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pivotTables/pivotTable1.xml" ContentType="application/vnd.openxmlformats-officedocument.spreadsheetml.pivotTable+xml"/>
  <Override PartName="/xl/drawings/drawing19.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0.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21.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2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Computer\Downloads\"/>
    </mc:Choice>
  </mc:AlternateContent>
  <xr:revisionPtr revIDLastSave="0" documentId="13_ncr:1_{93D70C33-4728-4B68-9DF6-548CF9158F53}" xr6:coauthVersionLast="47" xr6:coauthVersionMax="47" xr10:uidLastSave="{00000000-0000-0000-0000-000000000000}"/>
  <bookViews>
    <workbookView xWindow="-120" yWindow="-120" windowWidth="29040" windowHeight="16440" firstSheet="16" activeTab="19" xr2:uid="{00000000-000D-0000-FFFF-FFFF00000000}"/>
  </bookViews>
  <sheets>
    <sheet name="DASHBOARD" sheetId="6" r:id="rId1"/>
    <sheet name="N24" sheetId="1" r:id="rId2"/>
    <sheet name="S24" sheetId="4" r:id="rId3"/>
    <sheet name="Alipurduar" sheetId="5" r:id="rId4"/>
    <sheet name="Bankura" sheetId="11" r:id="rId5"/>
    <sheet name="Bardhaman" sheetId="12" r:id="rId6"/>
    <sheet name="Birbhum" sheetId="16" r:id="rId7"/>
    <sheet name="Coochbehar" sheetId="15" r:id="rId8"/>
    <sheet name="N Dinajpur" sheetId="19" r:id="rId9"/>
    <sheet name="S Dinajpur" sheetId="20" r:id="rId10"/>
    <sheet name="Haowrah" sheetId="8" r:id="rId11"/>
    <sheet name="Hooghly" sheetId="7" r:id="rId12"/>
    <sheet name="Jalpaiguri" sheetId="14" r:id="rId13"/>
    <sheet name="Maldah" sheetId="18" r:id="rId14"/>
    <sheet name="E Medinipur" sheetId="9" r:id="rId15"/>
    <sheet name="W Medinipur" sheetId="10" r:id="rId16"/>
    <sheet name="Murshidabad" sheetId="17" r:id="rId17"/>
    <sheet name="Nadia" sheetId="13" r:id="rId18"/>
    <sheet name="WH+RT PREVIOUS" sheetId="3" r:id="rId19"/>
    <sheet name="WH+RT CURRENT" sheetId="2" r:id="rId20"/>
    <sheet name="Analysis Previous Week" sheetId="22" r:id="rId21"/>
    <sheet name="Analysis_Previous_1" sheetId="25" r:id="rId22"/>
    <sheet name="Analysis Current Week" sheetId="21" r:id="rId23"/>
    <sheet name="Analysis_Current_1" sheetId="23" r:id="rId24"/>
    <sheet name="Current_Analysis_2" sheetId="24" r:id="rId25"/>
  </sheets>
  <definedNames>
    <definedName name="_xlnm._FilterDatabase" localSheetId="19" hidden="1">'WH+RT CURRENT'!$A$1:$T$9106</definedName>
    <definedName name="_xlnm._FilterDatabase" localSheetId="18" hidden="1">'WH+RT PREVIOUS'!$A$1:$T$9207</definedName>
    <definedName name="Slicer_District">#N/A</definedName>
    <definedName name="Slicer_District1">#N/A</definedName>
  </definedNames>
  <calcPr calcId="191029"/>
  <pivotCaches>
    <pivotCache cacheId="0" r:id="rId26"/>
    <pivotCache cacheId="1" r:id="rId27"/>
  </pivotCaches>
  <extLst>
    <ext xmlns:x14="http://schemas.microsoft.com/office/spreadsheetml/2009/9/main" uri="{BBE1A952-AA13-448e-AADC-164F8A28A991}">
      <x14:slicerCaches>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1" l="1"/>
  <c r="J64" i="4"/>
  <c r="F10" i="7"/>
  <c r="P109" i="1" l="1"/>
  <c r="P108" i="1"/>
  <c r="P111" i="1"/>
  <c r="J111" i="1"/>
  <c r="J109" i="1"/>
  <c r="J108" i="1"/>
  <c r="P102" i="1"/>
  <c r="P100" i="1"/>
  <c r="P99" i="1"/>
  <c r="J102" i="1"/>
  <c r="J100" i="1"/>
  <c r="J99" i="1"/>
  <c r="P93" i="1"/>
  <c r="P91" i="1"/>
  <c r="P90" i="1"/>
  <c r="J93" i="1"/>
  <c r="J91" i="1"/>
  <c r="J90" i="1"/>
  <c r="P84" i="1"/>
  <c r="P82" i="1"/>
  <c r="P81" i="1"/>
  <c r="J84" i="1"/>
  <c r="J82" i="1"/>
  <c r="J81" i="1"/>
  <c r="P75" i="1"/>
  <c r="P73" i="1"/>
  <c r="P72" i="1"/>
  <c r="J75" i="1"/>
  <c r="J73" i="1"/>
  <c r="J72" i="1"/>
  <c r="P66" i="1"/>
  <c r="P64" i="1"/>
  <c r="P63" i="1"/>
  <c r="J66" i="1"/>
  <c r="J64" i="1"/>
  <c r="J63" i="1"/>
  <c r="P57" i="1"/>
  <c r="P55" i="1"/>
  <c r="P54" i="1"/>
  <c r="J57" i="1"/>
  <c r="J55" i="1"/>
  <c r="J54" i="1"/>
  <c r="P48" i="1"/>
  <c r="P46" i="1"/>
  <c r="P45" i="1"/>
  <c r="J48" i="1"/>
  <c r="J46" i="1"/>
  <c r="J45" i="1"/>
  <c r="P39" i="1"/>
  <c r="P37" i="1"/>
  <c r="P36" i="1"/>
  <c r="J39" i="1"/>
  <c r="J37" i="1"/>
  <c r="J36" i="1"/>
  <c r="P30" i="1"/>
  <c r="P28" i="1"/>
  <c r="P27" i="1"/>
  <c r="O27" i="1"/>
  <c r="J30" i="1"/>
  <c r="I30" i="1"/>
  <c r="J28" i="1"/>
  <c r="I28" i="1"/>
  <c r="J27" i="1"/>
  <c r="I27" i="1"/>
  <c r="P21" i="1"/>
  <c r="O21" i="1"/>
  <c r="P19" i="1"/>
  <c r="O19" i="1"/>
  <c r="P18" i="1"/>
  <c r="O18" i="1"/>
  <c r="J21" i="1"/>
  <c r="I21" i="1"/>
  <c r="J19" i="1"/>
  <c r="I19" i="1"/>
  <c r="J18" i="1"/>
  <c r="J20" i="1" s="1"/>
  <c r="I18" i="1"/>
  <c r="P12" i="1"/>
  <c r="O12" i="1"/>
  <c r="P10" i="1"/>
  <c r="O10" i="1"/>
  <c r="P9" i="1"/>
  <c r="O9" i="1"/>
  <c r="J12" i="1"/>
  <c r="I12" i="1"/>
  <c r="J10" i="1"/>
  <c r="J11" i="1" s="1"/>
  <c r="I10" i="1"/>
  <c r="J9" i="1"/>
  <c r="I9" i="1"/>
  <c r="P11" i="1" l="1"/>
  <c r="P110" i="1"/>
  <c r="J110" i="1"/>
  <c r="P101" i="1"/>
  <c r="J101" i="1"/>
  <c r="P92" i="1"/>
  <c r="J92" i="1"/>
  <c r="P83" i="1"/>
  <c r="J83" i="1"/>
  <c r="P74" i="1"/>
  <c r="J74" i="1"/>
  <c r="J65" i="1"/>
  <c r="P65" i="1"/>
  <c r="J56" i="1"/>
  <c r="P56" i="1"/>
  <c r="P47" i="1"/>
  <c r="J47" i="1"/>
  <c r="P38" i="1"/>
  <c r="J38" i="1"/>
  <c r="P29" i="1"/>
  <c r="J29" i="1"/>
  <c r="P20" i="1"/>
  <c r="P30" i="20"/>
  <c r="P28" i="20"/>
  <c r="P27" i="20"/>
  <c r="O30" i="20"/>
  <c r="O28" i="20"/>
  <c r="O27" i="20"/>
  <c r="N30" i="20"/>
  <c r="N28" i="20"/>
  <c r="N27" i="20"/>
  <c r="M30" i="20"/>
  <c r="M28" i="20"/>
  <c r="M27" i="20"/>
  <c r="L30" i="20"/>
  <c r="L28" i="20"/>
  <c r="L27" i="20"/>
  <c r="J30" i="20"/>
  <c r="J28" i="20"/>
  <c r="J27" i="20"/>
  <c r="I30" i="20"/>
  <c r="I28" i="20"/>
  <c r="I27" i="20"/>
  <c r="H30" i="20"/>
  <c r="H28" i="20"/>
  <c r="H27" i="20"/>
  <c r="G30" i="20"/>
  <c r="G28" i="20"/>
  <c r="G27" i="20"/>
  <c r="F30" i="20"/>
  <c r="F28" i="20"/>
  <c r="F27" i="20"/>
  <c r="P21" i="20"/>
  <c r="P19" i="20"/>
  <c r="P18" i="20"/>
  <c r="O21" i="20"/>
  <c r="O19" i="20"/>
  <c r="O18" i="20"/>
  <c r="N21" i="20"/>
  <c r="N19" i="20"/>
  <c r="N18" i="20"/>
  <c r="M21" i="20"/>
  <c r="M19" i="20"/>
  <c r="M18" i="20"/>
  <c r="L21" i="20"/>
  <c r="L19" i="20"/>
  <c r="L18" i="20"/>
  <c r="J21" i="20"/>
  <c r="J19" i="20"/>
  <c r="J18" i="20"/>
  <c r="I21" i="20"/>
  <c r="I19" i="20"/>
  <c r="I18" i="20"/>
  <c r="H21" i="20"/>
  <c r="H19" i="20"/>
  <c r="H18" i="20"/>
  <c r="G21" i="20"/>
  <c r="G19" i="20"/>
  <c r="G18" i="20"/>
  <c r="F21" i="20"/>
  <c r="F19" i="20"/>
  <c r="F18" i="20"/>
  <c r="P12" i="20"/>
  <c r="P10" i="20"/>
  <c r="P9" i="20"/>
  <c r="O12" i="20"/>
  <c r="O10" i="20"/>
  <c r="O9" i="20"/>
  <c r="N12" i="20"/>
  <c r="N10" i="20"/>
  <c r="N9" i="20"/>
  <c r="M12" i="20"/>
  <c r="M10" i="20"/>
  <c r="M9" i="20"/>
  <c r="L12" i="20"/>
  <c r="L10" i="20"/>
  <c r="L9" i="20"/>
  <c r="J12" i="20"/>
  <c r="J10" i="20"/>
  <c r="J9" i="20"/>
  <c r="I12" i="20"/>
  <c r="I10" i="20"/>
  <c r="I9" i="20"/>
  <c r="H12" i="20"/>
  <c r="H10" i="20"/>
  <c r="H9" i="20"/>
  <c r="G12" i="20"/>
  <c r="G10" i="20"/>
  <c r="G9" i="20"/>
  <c r="F12" i="20"/>
  <c r="F10" i="20"/>
  <c r="F9" i="20"/>
  <c r="P48" i="19"/>
  <c r="P46" i="19"/>
  <c r="P45" i="19"/>
  <c r="O48" i="19"/>
  <c r="O46" i="19"/>
  <c r="O45" i="19"/>
  <c r="N48" i="19"/>
  <c r="N46" i="19"/>
  <c r="N45" i="19"/>
  <c r="M48" i="19"/>
  <c r="M46" i="19"/>
  <c r="M45" i="19"/>
  <c r="L48" i="19"/>
  <c r="L46" i="19"/>
  <c r="L45" i="19"/>
  <c r="J48" i="19"/>
  <c r="J46" i="19"/>
  <c r="J45" i="19"/>
  <c r="I48" i="19"/>
  <c r="I46" i="19"/>
  <c r="I45" i="19"/>
  <c r="H48" i="19"/>
  <c r="H46" i="19"/>
  <c r="H45" i="19"/>
  <c r="G48" i="19"/>
  <c r="G46" i="19"/>
  <c r="G45" i="19"/>
  <c r="F48" i="19"/>
  <c r="F46" i="19"/>
  <c r="F45" i="19"/>
  <c r="P39" i="19"/>
  <c r="P37" i="19"/>
  <c r="P36" i="19"/>
  <c r="O39" i="19"/>
  <c r="O37" i="19"/>
  <c r="O36" i="19"/>
  <c r="N39" i="19"/>
  <c r="N37" i="19"/>
  <c r="N36" i="19"/>
  <c r="M39" i="19"/>
  <c r="M37" i="19"/>
  <c r="M36" i="19"/>
  <c r="L39" i="19"/>
  <c r="L37" i="19"/>
  <c r="L36" i="19"/>
  <c r="J39" i="19"/>
  <c r="J37" i="19"/>
  <c r="J36" i="19"/>
  <c r="I39" i="19"/>
  <c r="I37" i="19"/>
  <c r="I36" i="19"/>
  <c r="H39" i="19"/>
  <c r="H37" i="19"/>
  <c r="H36" i="19"/>
  <c r="G39" i="19"/>
  <c r="G37" i="19"/>
  <c r="G36" i="19"/>
  <c r="F39" i="19"/>
  <c r="F37" i="19"/>
  <c r="F36" i="19"/>
  <c r="P30" i="19"/>
  <c r="P28" i="19"/>
  <c r="P27" i="19"/>
  <c r="O30" i="19"/>
  <c r="O28" i="19"/>
  <c r="O27" i="19"/>
  <c r="N30" i="19"/>
  <c r="N28" i="19"/>
  <c r="N27" i="19"/>
  <c r="M30" i="19"/>
  <c r="M28" i="19"/>
  <c r="M27" i="19"/>
  <c r="L30" i="19"/>
  <c r="L28" i="19"/>
  <c r="L27" i="19"/>
  <c r="J30" i="19"/>
  <c r="J28" i="19"/>
  <c r="J27" i="19"/>
  <c r="I30" i="19"/>
  <c r="I28" i="19"/>
  <c r="I27" i="19"/>
  <c r="H30" i="19"/>
  <c r="H28" i="19"/>
  <c r="H27" i="19"/>
  <c r="G30" i="19"/>
  <c r="G28" i="19"/>
  <c r="G27" i="19"/>
  <c r="F30" i="19"/>
  <c r="F28" i="19"/>
  <c r="F27" i="19"/>
  <c r="P21" i="19"/>
  <c r="P19" i="19"/>
  <c r="P18" i="19"/>
  <c r="O21" i="19"/>
  <c r="O19" i="19"/>
  <c r="O18" i="19"/>
  <c r="N21" i="19"/>
  <c r="N19" i="19"/>
  <c r="N18" i="19"/>
  <c r="M21" i="19"/>
  <c r="M19" i="19"/>
  <c r="M18" i="19"/>
  <c r="L21" i="19"/>
  <c r="L19" i="19"/>
  <c r="L18" i="19"/>
  <c r="J21" i="19"/>
  <c r="J19" i="19"/>
  <c r="J18" i="19"/>
  <c r="I21" i="19"/>
  <c r="I19" i="19"/>
  <c r="I18" i="19"/>
  <c r="H21" i="19"/>
  <c r="H19" i="19"/>
  <c r="H18" i="19"/>
  <c r="G21" i="19"/>
  <c r="G19" i="19"/>
  <c r="G18" i="19"/>
  <c r="F21" i="19"/>
  <c r="F19" i="19"/>
  <c r="F18" i="19"/>
  <c r="P12" i="19"/>
  <c r="P10" i="19"/>
  <c r="P9" i="19"/>
  <c r="O12" i="19"/>
  <c r="O10" i="19"/>
  <c r="O9" i="19"/>
  <c r="N12" i="19"/>
  <c r="N10" i="19"/>
  <c r="N9" i="19"/>
  <c r="M12" i="19"/>
  <c r="M10" i="19"/>
  <c r="M9" i="19"/>
  <c r="L12" i="19"/>
  <c r="L10" i="19"/>
  <c r="L9" i="19"/>
  <c r="J12" i="19"/>
  <c r="J10" i="19"/>
  <c r="J9" i="19"/>
  <c r="I12" i="19"/>
  <c r="I10" i="19"/>
  <c r="I9" i="19"/>
  <c r="H12" i="19"/>
  <c r="H10" i="19"/>
  <c r="H9" i="19"/>
  <c r="G12" i="19"/>
  <c r="G10" i="19"/>
  <c r="G9" i="19"/>
  <c r="F12" i="19"/>
  <c r="F10" i="19"/>
  <c r="F9" i="19"/>
  <c r="P57" i="18"/>
  <c r="P55" i="18"/>
  <c r="P54" i="18"/>
  <c r="O57" i="18"/>
  <c r="O55" i="18"/>
  <c r="O54" i="18"/>
  <c r="N57" i="18"/>
  <c r="N55" i="18"/>
  <c r="N54" i="18"/>
  <c r="M57" i="18"/>
  <c r="M55" i="18"/>
  <c r="M54" i="18"/>
  <c r="L57" i="18"/>
  <c r="L55" i="18"/>
  <c r="L54" i="18"/>
  <c r="J57" i="18"/>
  <c r="J55" i="18"/>
  <c r="J54" i="18"/>
  <c r="I57" i="18"/>
  <c r="I55" i="18"/>
  <c r="I54" i="18"/>
  <c r="H57" i="18"/>
  <c r="H55" i="18"/>
  <c r="H54" i="18"/>
  <c r="G57" i="18"/>
  <c r="G55" i="18"/>
  <c r="G54" i="18"/>
  <c r="F57" i="18"/>
  <c r="F55" i="18"/>
  <c r="F54" i="18"/>
  <c r="P48" i="18"/>
  <c r="P46" i="18"/>
  <c r="P45" i="18"/>
  <c r="O48" i="18"/>
  <c r="O46" i="18"/>
  <c r="O45" i="18"/>
  <c r="N48" i="18"/>
  <c r="N46" i="18"/>
  <c r="N45" i="18"/>
  <c r="M48" i="18"/>
  <c r="M46" i="18"/>
  <c r="M45" i="18"/>
  <c r="L48" i="18"/>
  <c r="L46" i="18"/>
  <c r="L45" i="18"/>
  <c r="J48" i="18"/>
  <c r="J46" i="18"/>
  <c r="J45" i="18"/>
  <c r="I48" i="18"/>
  <c r="I46" i="18"/>
  <c r="I45" i="18"/>
  <c r="H48" i="18"/>
  <c r="H46" i="18"/>
  <c r="H45" i="18"/>
  <c r="G48" i="18"/>
  <c r="G46" i="18"/>
  <c r="G45" i="18"/>
  <c r="F48" i="18"/>
  <c r="F46" i="18"/>
  <c r="F45" i="18"/>
  <c r="L38" i="19" l="1"/>
  <c r="P29" i="20"/>
  <c r="O29" i="20"/>
  <c r="N29" i="20"/>
  <c r="Q30" i="20"/>
  <c r="Q28" i="20"/>
  <c r="M29" i="20"/>
  <c r="Q27" i="20"/>
  <c r="J29" i="20"/>
  <c r="I29" i="20"/>
  <c r="H29" i="20"/>
  <c r="K30" i="20"/>
  <c r="K28" i="20"/>
  <c r="G29" i="20"/>
  <c r="K27" i="20"/>
  <c r="F29" i="20"/>
  <c r="L29" i="20"/>
  <c r="P20" i="20"/>
  <c r="O20" i="20"/>
  <c r="N20" i="20"/>
  <c r="Q21" i="20"/>
  <c r="Q19" i="20"/>
  <c r="M20" i="20"/>
  <c r="Q18" i="20"/>
  <c r="J20" i="20"/>
  <c r="I20" i="20"/>
  <c r="H20" i="20"/>
  <c r="K21" i="20"/>
  <c r="K19" i="20"/>
  <c r="G20" i="20"/>
  <c r="K18" i="20"/>
  <c r="F20" i="20"/>
  <c r="L20" i="20"/>
  <c r="P11" i="20"/>
  <c r="O11" i="20"/>
  <c r="N11" i="20"/>
  <c r="Q12" i="20"/>
  <c r="Q10" i="20"/>
  <c r="M11" i="20"/>
  <c r="Q9" i="20"/>
  <c r="J11" i="20"/>
  <c r="I11" i="20"/>
  <c r="H11" i="20"/>
  <c r="G11" i="20"/>
  <c r="K9" i="20"/>
  <c r="K10" i="20"/>
  <c r="K12" i="20"/>
  <c r="F11" i="20"/>
  <c r="L11" i="20"/>
  <c r="P47" i="19"/>
  <c r="O47" i="19"/>
  <c r="N47" i="19"/>
  <c r="Q46" i="19"/>
  <c r="M47" i="19"/>
  <c r="Q45" i="19"/>
  <c r="J47" i="19"/>
  <c r="I47" i="19"/>
  <c r="H47" i="19"/>
  <c r="K48" i="19"/>
  <c r="K46" i="19"/>
  <c r="G47" i="19"/>
  <c r="K45" i="19"/>
  <c r="Q48" i="19"/>
  <c r="F47" i="19"/>
  <c r="L47" i="19"/>
  <c r="P38" i="19"/>
  <c r="O38" i="19"/>
  <c r="N38" i="19"/>
  <c r="Q39" i="19"/>
  <c r="M38" i="19"/>
  <c r="Q37" i="19"/>
  <c r="Q36" i="19"/>
  <c r="J38" i="19"/>
  <c r="I38" i="19"/>
  <c r="H38" i="19"/>
  <c r="K39" i="19"/>
  <c r="K37" i="19"/>
  <c r="G38" i="19"/>
  <c r="K36" i="19"/>
  <c r="F38" i="19"/>
  <c r="P29" i="19"/>
  <c r="O29" i="19"/>
  <c r="N29" i="19"/>
  <c r="Q28" i="19"/>
  <c r="M29" i="19"/>
  <c r="Q27" i="19"/>
  <c r="J29" i="19"/>
  <c r="I29" i="19"/>
  <c r="H29" i="19"/>
  <c r="K30" i="19"/>
  <c r="K28" i="19"/>
  <c r="G29" i="19"/>
  <c r="K27" i="19"/>
  <c r="Q30" i="19"/>
  <c r="F29" i="19"/>
  <c r="L29" i="19"/>
  <c r="P20" i="19"/>
  <c r="O20" i="19"/>
  <c r="N20" i="19"/>
  <c r="Q21" i="19"/>
  <c r="Q19" i="19"/>
  <c r="M20" i="19"/>
  <c r="Q18" i="19"/>
  <c r="J20" i="19"/>
  <c r="I20" i="19"/>
  <c r="H20" i="19"/>
  <c r="K21" i="19"/>
  <c r="K19" i="19"/>
  <c r="G20" i="19"/>
  <c r="K18" i="19"/>
  <c r="F20" i="19"/>
  <c r="L20" i="19"/>
  <c r="P11" i="19"/>
  <c r="O11" i="19"/>
  <c r="N11" i="19"/>
  <c r="Q12" i="19"/>
  <c r="Q10" i="19"/>
  <c r="M11" i="19"/>
  <c r="Q9" i="19"/>
  <c r="J11" i="19"/>
  <c r="I11" i="19"/>
  <c r="H11" i="19"/>
  <c r="K12" i="19"/>
  <c r="K10" i="19"/>
  <c r="G11" i="19"/>
  <c r="K9" i="19"/>
  <c r="F11" i="19"/>
  <c r="L11" i="19"/>
  <c r="P56" i="18"/>
  <c r="O56" i="18"/>
  <c r="N56" i="18"/>
  <c r="Q57" i="18"/>
  <c r="Q55" i="18"/>
  <c r="M56" i="18"/>
  <c r="Q54" i="18"/>
  <c r="J56" i="18"/>
  <c r="I56" i="18"/>
  <c r="H56" i="18"/>
  <c r="K57" i="18"/>
  <c r="K55" i="18"/>
  <c r="G56" i="18"/>
  <c r="K54" i="18"/>
  <c r="F56" i="18"/>
  <c r="L56" i="18"/>
  <c r="P47" i="18"/>
  <c r="O47" i="18"/>
  <c r="N47" i="18"/>
  <c r="Q48" i="18"/>
  <c r="Q46" i="18"/>
  <c r="M47" i="18"/>
  <c r="Q45" i="18"/>
  <c r="J47" i="18"/>
  <c r="I47" i="18"/>
  <c r="H47" i="18"/>
  <c r="K48" i="18"/>
  <c r="K46" i="18"/>
  <c r="G47" i="18"/>
  <c r="K45" i="18"/>
  <c r="F47" i="18"/>
  <c r="L47" i="18"/>
  <c r="P39" i="18"/>
  <c r="P37" i="18"/>
  <c r="P36" i="18"/>
  <c r="O39" i="18"/>
  <c r="O37" i="18"/>
  <c r="O36" i="18"/>
  <c r="N39" i="18"/>
  <c r="N37" i="18"/>
  <c r="N36" i="18"/>
  <c r="M39" i="18"/>
  <c r="M37" i="18"/>
  <c r="M36" i="18"/>
  <c r="L39" i="18"/>
  <c r="L37" i="18"/>
  <c r="L36" i="18"/>
  <c r="J39" i="18"/>
  <c r="J37" i="18"/>
  <c r="J36" i="18"/>
  <c r="I39" i="18"/>
  <c r="I37" i="18"/>
  <c r="I36" i="18"/>
  <c r="H39" i="18"/>
  <c r="H37" i="18"/>
  <c r="H36" i="18"/>
  <c r="G39" i="18"/>
  <c r="G37" i="18"/>
  <c r="G36" i="18"/>
  <c r="F39" i="18"/>
  <c r="F37" i="18"/>
  <c r="F36" i="18"/>
  <c r="P30" i="18"/>
  <c r="P28" i="18"/>
  <c r="P27" i="18"/>
  <c r="O30" i="18"/>
  <c r="O28" i="18"/>
  <c r="O27" i="18"/>
  <c r="N30" i="18"/>
  <c r="N28" i="18"/>
  <c r="N27" i="18"/>
  <c r="M30" i="18"/>
  <c r="M28" i="18"/>
  <c r="M27" i="18"/>
  <c r="L30" i="18"/>
  <c r="L28" i="18"/>
  <c r="L27" i="18"/>
  <c r="J30" i="18"/>
  <c r="J28" i="18"/>
  <c r="J27" i="18"/>
  <c r="I30" i="18"/>
  <c r="I28" i="18"/>
  <c r="I27" i="18"/>
  <c r="H30" i="18"/>
  <c r="H28" i="18"/>
  <c r="H27" i="18"/>
  <c r="G30" i="18"/>
  <c r="G28" i="18"/>
  <c r="G27" i="18"/>
  <c r="F30" i="18"/>
  <c r="F28" i="18"/>
  <c r="F27" i="18"/>
  <c r="P21" i="18"/>
  <c r="P19" i="18"/>
  <c r="P18" i="18"/>
  <c r="O21" i="18"/>
  <c r="O19" i="18"/>
  <c r="O18" i="18"/>
  <c r="N21" i="18"/>
  <c r="N19" i="18"/>
  <c r="N18" i="18"/>
  <c r="M21" i="18"/>
  <c r="M19" i="18"/>
  <c r="M18" i="18"/>
  <c r="L21" i="18"/>
  <c r="L19" i="18"/>
  <c r="L18" i="18"/>
  <c r="J21" i="18"/>
  <c r="J19" i="18"/>
  <c r="J18" i="18"/>
  <c r="I21" i="18"/>
  <c r="I19" i="18"/>
  <c r="I18" i="18"/>
  <c r="H21" i="18"/>
  <c r="H19" i="18"/>
  <c r="H18" i="18"/>
  <c r="G21" i="18"/>
  <c r="G19" i="18"/>
  <c r="G18" i="18"/>
  <c r="F21" i="18"/>
  <c r="F19" i="18"/>
  <c r="F18" i="18"/>
  <c r="P12" i="18"/>
  <c r="P10" i="18"/>
  <c r="P9" i="18"/>
  <c r="O12" i="18"/>
  <c r="O10" i="18"/>
  <c r="O9" i="18"/>
  <c r="N12" i="18"/>
  <c r="N10" i="18"/>
  <c r="N9" i="18"/>
  <c r="M12" i="18"/>
  <c r="M10" i="18"/>
  <c r="M9" i="18"/>
  <c r="L12" i="18"/>
  <c r="L10" i="18"/>
  <c r="L9" i="18"/>
  <c r="J12" i="18"/>
  <c r="J10" i="18"/>
  <c r="J9" i="18"/>
  <c r="I12" i="18"/>
  <c r="I10" i="18"/>
  <c r="I9" i="18"/>
  <c r="H12" i="18"/>
  <c r="H10" i="18"/>
  <c r="H9" i="18"/>
  <c r="G12" i="18"/>
  <c r="G10" i="18"/>
  <c r="G9" i="18"/>
  <c r="F12" i="18"/>
  <c r="F10" i="18"/>
  <c r="F9" i="18"/>
  <c r="P138" i="17"/>
  <c r="P136" i="17"/>
  <c r="P135" i="17"/>
  <c r="O138" i="17"/>
  <c r="O136" i="17"/>
  <c r="O135" i="17"/>
  <c r="N138" i="17"/>
  <c r="N136" i="17"/>
  <c r="N135" i="17"/>
  <c r="M138" i="17"/>
  <c r="M136" i="17"/>
  <c r="M135" i="17"/>
  <c r="L138" i="17"/>
  <c r="L136" i="17"/>
  <c r="L135" i="17"/>
  <c r="J138" i="17"/>
  <c r="J136" i="17"/>
  <c r="J135" i="17"/>
  <c r="I138" i="17"/>
  <c r="I136" i="17"/>
  <c r="I135" i="17"/>
  <c r="H138" i="17"/>
  <c r="H136" i="17"/>
  <c r="H135" i="17"/>
  <c r="G138" i="17"/>
  <c r="G136" i="17"/>
  <c r="G135" i="17"/>
  <c r="F138" i="17"/>
  <c r="F136" i="17"/>
  <c r="F135" i="17"/>
  <c r="Q29" i="20" l="1"/>
  <c r="K29" i="20"/>
  <c r="Q20" i="20"/>
  <c r="K20" i="20"/>
  <c r="Q11" i="20"/>
  <c r="K11" i="20"/>
  <c r="Q47" i="19"/>
  <c r="K47" i="19"/>
  <c r="Q38" i="19"/>
  <c r="K38" i="19"/>
  <c r="Q29" i="19"/>
  <c r="K29" i="19"/>
  <c r="Q20" i="19"/>
  <c r="K20" i="19"/>
  <c r="Q11" i="19"/>
  <c r="K11" i="19"/>
  <c r="Q56" i="18"/>
  <c r="K56" i="18"/>
  <c r="Q47" i="18"/>
  <c r="K47" i="18"/>
  <c r="P38" i="18"/>
  <c r="O38" i="18"/>
  <c r="N38" i="18"/>
  <c r="Q39" i="18"/>
  <c r="Q37" i="18"/>
  <c r="M38" i="18"/>
  <c r="Q36" i="18"/>
  <c r="J38" i="18"/>
  <c r="I38" i="18"/>
  <c r="H38" i="18"/>
  <c r="K39" i="18"/>
  <c r="K37" i="18"/>
  <c r="G38" i="18"/>
  <c r="K36" i="18"/>
  <c r="F38" i="18"/>
  <c r="L38" i="18"/>
  <c r="P29" i="18"/>
  <c r="O29" i="18"/>
  <c r="N29" i="18"/>
  <c r="Q30" i="18"/>
  <c r="Q28" i="18"/>
  <c r="M29" i="18"/>
  <c r="Q27" i="18"/>
  <c r="J29" i="18"/>
  <c r="I29" i="18"/>
  <c r="H29" i="18"/>
  <c r="K30" i="18"/>
  <c r="K28" i="18"/>
  <c r="G29" i="18"/>
  <c r="K27" i="18"/>
  <c r="F29" i="18"/>
  <c r="L29" i="18"/>
  <c r="P20" i="18"/>
  <c r="O20" i="18"/>
  <c r="N20" i="18"/>
  <c r="Q21" i="18"/>
  <c r="Q19" i="18"/>
  <c r="M20" i="18"/>
  <c r="Q18" i="18"/>
  <c r="J20" i="18"/>
  <c r="I20" i="18"/>
  <c r="H20" i="18"/>
  <c r="K21" i="18"/>
  <c r="K19" i="18"/>
  <c r="G20" i="18"/>
  <c r="K18" i="18"/>
  <c r="F20" i="18"/>
  <c r="L20" i="18"/>
  <c r="P11" i="18"/>
  <c r="O11" i="18"/>
  <c r="N11" i="18"/>
  <c r="Q12" i="18"/>
  <c r="Q10" i="18"/>
  <c r="M11" i="18"/>
  <c r="Q9" i="18"/>
  <c r="J11" i="18"/>
  <c r="I11" i="18"/>
  <c r="H11" i="18"/>
  <c r="K12" i="18"/>
  <c r="K10" i="18"/>
  <c r="G11" i="18"/>
  <c r="K9" i="18"/>
  <c r="F11" i="18"/>
  <c r="L11" i="18"/>
  <c r="P137" i="17"/>
  <c r="O137" i="17"/>
  <c r="N137" i="17"/>
  <c r="Q138" i="17"/>
  <c r="Q136" i="17"/>
  <c r="M137" i="17"/>
  <c r="Q135" i="17"/>
  <c r="J137" i="17"/>
  <c r="I137" i="17"/>
  <c r="H137" i="17"/>
  <c r="K138" i="17"/>
  <c r="K136" i="17"/>
  <c r="G137" i="17"/>
  <c r="K135" i="17"/>
  <c r="F137" i="17"/>
  <c r="L137" i="17"/>
  <c r="P129" i="17"/>
  <c r="P127" i="17"/>
  <c r="P126" i="17"/>
  <c r="O129" i="17"/>
  <c r="O127" i="17"/>
  <c r="O126" i="17"/>
  <c r="N129" i="17"/>
  <c r="N127" i="17"/>
  <c r="N126" i="17"/>
  <c r="M129" i="17"/>
  <c r="M127" i="17"/>
  <c r="M126" i="17"/>
  <c r="L129" i="17"/>
  <c r="L127" i="17"/>
  <c r="L126" i="17"/>
  <c r="J129" i="17"/>
  <c r="J127" i="17"/>
  <c r="J126" i="17"/>
  <c r="I129" i="17"/>
  <c r="I127" i="17"/>
  <c r="I126" i="17"/>
  <c r="I128" i="17" s="1"/>
  <c r="H129" i="17"/>
  <c r="H127" i="17"/>
  <c r="H126" i="17"/>
  <c r="G129" i="17"/>
  <c r="G127" i="17"/>
  <c r="G126" i="17"/>
  <c r="F129" i="17"/>
  <c r="F127" i="17"/>
  <c r="F126" i="17"/>
  <c r="P120" i="17"/>
  <c r="P118" i="17"/>
  <c r="P117" i="17"/>
  <c r="O120" i="17"/>
  <c r="O118" i="17"/>
  <c r="O117" i="17"/>
  <c r="N120" i="17"/>
  <c r="N118" i="17"/>
  <c r="N117" i="17"/>
  <c r="M120" i="17"/>
  <c r="M118" i="17"/>
  <c r="M117" i="17"/>
  <c r="L120" i="17"/>
  <c r="L118" i="17"/>
  <c r="L117" i="17"/>
  <c r="J120" i="17"/>
  <c r="J118" i="17"/>
  <c r="J117" i="17"/>
  <c r="I120" i="17"/>
  <c r="I118" i="17"/>
  <c r="I117" i="17"/>
  <c r="H120" i="17"/>
  <c r="H118" i="17"/>
  <c r="H117" i="17"/>
  <c r="G120" i="17"/>
  <c r="G118" i="17"/>
  <c r="G117" i="17"/>
  <c r="F120" i="17"/>
  <c r="F118" i="17"/>
  <c r="F117" i="17"/>
  <c r="P111" i="17"/>
  <c r="P109" i="17"/>
  <c r="P108" i="17"/>
  <c r="O111" i="17"/>
  <c r="O109" i="17"/>
  <c r="O108" i="17"/>
  <c r="N111" i="17"/>
  <c r="N109" i="17"/>
  <c r="N108" i="17"/>
  <c r="M111" i="17"/>
  <c r="M109" i="17"/>
  <c r="M108" i="17"/>
  <c r="L111" i="17"/>
  <c r="L109" i="17"/>
  <c r="L108" i="17"/>
  <c r="J111" i="17"/>
  <c r="J109" i="17"/>
  <c r="J108" i="17"/>
  <c r="I111" i="17"/>
  <c r="I109" i="17"/>
  <c r="I108" i="17"/>
  <c r="H111" i="17"/>
  <c r="H109" i="17"/>
  <c r="H108" i="17"/>
  <c r="G111" i="17"/>
  <c r="G109" i="17"/>
  <c r="G108" i="17"/>
  <c r="F111" i="17"/>
  <c r="F109" i="17"/>
  <c r="F108" i="17"/>
  <c r="N81" i="1"/>
  <c r="N82" i="1"/>
  <c r="N100" i="17"/>
  <c r="N91" i="17"/>
  <c r="N82" i="17"/>
  <c r="N73" i="17"/>
  <c r="N64" i="17"/>
  <c r="N55" i="17"/>
  <c r="N46" i="17"/>
  <c r="N37" i="17"/>
  <c r="N28" i="17"/>
  <c r="N19" i="17"/>
  <c r="N10" i="17"/>
  <c r="N46" i="16"/>
  <c r="N45" i="16"/>
  <c r="N37" i="16"/>
  <c r="N36" i="16"/>
  <c r="N28" i="16"/>
  <c r="N27" i="16"/>
  <c r="N18" i="16"/>
  <c r="N19" i="16"/>
  <c r="N10" i="16"/>
  <c r="N9" i="16"/>
  <c r="N37" i="15"/>
  <c r="N36" i="15"/>
  <c r="N28" i="15"/>
  <c r="N27" i="15"/>
  <c r="N19" i="15"/>
  <c r="N18" i="15"/>
  <c r="N10" i="15"/>
  <c r="N9" i="15"/>
  <c r="N54" i="14"/>
  <c r="N63" i="14"/>
  <c r="N64" i="14"/>
  <c r="N55" i="14"/>
  <c r="N19" i="14"/>
  <c r="N10" i="14"/>
  <c r="N28" i="14"/>
  <c r="N46" i="14"/>
  <c r="N37" i="14"/>
  <c r="N45" i="14"/>
  <c r="N36" i="14"/>
  <c r="N27" i="14"/>
  <c r="N18" i="14"/>
  <c r="N9" i="14"/>
  <c r="N9" i="17"/>
  <c r="N18" i="17"/>
  <c r="N27" i="17"/>
  <c r="N36" i="17"/>
  <c r="N45" i="17"/>
  <c r="N54" i="17"/>
  <c r="N63" i="17"/>
  <c r="N72" i="17"/>
  <c r="N81" i="17"/>
  <c r="N90" i="17"/>
  <c r="N99" i="17"/>
  <c r="M99" i="17"/>
  <c r="P102" i="17"/>
  <c r="P100" i="17"/>
  <c r="P99" i="17"/>
  <c r="O102" i="17"/>
  <c r="O100" i="17"/>
  <c r="O99" i="17"/>
  <c r="N102" i="17"/>
  <c r="M102" i="17"/>
  <c r="M100" i="17"/>
  <c r="L102" i="17"/>
  <c r="L100" i="17"/>
  <c r="L99" i="17"/>
  <c r="J102" i="17"/>
  <c r="J100" i="17"/>
  <c r="J99" i="17"/>
  <c r="I102" i="17"/>
  <c r="I100" i="17"/>
  <c r="I99" i="17"/>
  <c r="H102" i="17"/>
  <c r="H100" i="17"/>
  <c r="H99" i="17"/>
  <c r="G102" i="17"/>
  <c r="G100" i="17"/>
  <c r="G99" i="17"/>
  <c r="F102" i="17"/>
  <c r="F100" i="17"/>
  <c r="F99" i="17"/>
  <c r="P93" i="17"/>
  <c r="P91" i="17"/>
  <c r="P90" i="17"/>
  <c r="O93" i="17"/>
  <c r="O91" i="17"/>
  <c r="O90" i="17"/>
  <c r="N93" i="17"/>
  <c r="M93" i="17"/>
  <c r="M91" i="17"/>
  <c r="M90" i="17"/>
  <c r="L93" i="17"/>
  <c r="L91" i="17"/>
  <c r="L90" i="17"/>
  <c r="J93" i="17"/>
  <c r="J91" i="17"/>
  <c r="J90" i="17"/>
  <c r="I93" i="17"/>
  <c r="I91" i="17"/>
  <c r="I90" i="17"/>
  <c r="H93" i="17"/>
  <c r="H91" i="17"/>
  <c r="H90" i="17"/>
  <c r="G93" i="17"/>
  <c r="G91" i="17"/>
  <c r="G90" i="17"/>
  <c r="F93" i="17"/>
  <c r="F90" i="17"/>
  <c r="F91" i="17"/>
  <c r="Q38" i="18" l="1"/>
  <c r="K38" i="18"/>
  <c r="Q29" i="18"/>
  <c r="K29" i="18"/>
  <c r="Q20" i="18"/>
  <c r="K20" i="18"/>
  <c r="Q11" i="18"/>
  <c r="K11" i="18"/>
  <c r="Q137" i="17"/>
  <c r="K137" i="17"/>
  <c r="P128" i="17"/>
  <c r="O128" i="17"/>
  <c r="N128" i="17"/>
  <c r="Q129" i="17"/>
  <c r="Q127" i="17"/>
  <c r="M128" i="17"/>
  <c r="Q126" i="17"/>
  <c r="J128" i="17"/>
  <c r="H128" i="17"/>
  <c r="K129" i="17"/>
  <c r="K127" i="17"/>
  <c r="G128" i="17"/>
  <c r="K126" i="17"/>
  <c r="F128" i="17"/>
  <c r="L128" i="17"/>
  <c r="P119" i="17"/>
  <c r="O119" i="17"/>
  <c r="N119" i="17"/>
  <c r="Q118" i="17"/>
  <c r="M119" i="17"/>
  <c r="Q117" i="17"/>
  <c r="J119" i="17"/>
  <c r="I119" i="17"/>
  <c r="H119" i="17"/>
  <c r="K120" i="17"/>
  <c r="K118" i="17"/>
  <c r="G119" i="17"/>
  <c r="K117" i="17"/>
  <c r="Q120" i="17"/>
  <c r="F119" i="17"/>
  <c r="L119" i="17"/>
  <c r="P110" i="17"/>
  <c r="O110" i="17"/>
  <c r="N110" i="17"/>
  <c r="Q111" i="17"/>
  <c r="Q109" i="17"/>
  <c r="M110" i="17"/>
  <c r="Q108" i="17"/>
  <c r="J110" i="17"/>
  <c r="I110" i="17"/>
  <c r="H110" i="17"/>
  <c r="K111" i="17"/>
  <c r="K109" i="17"/>
  <c r="G110" i="17"/>
  <c r="K108" i="17"/>
  <c r="F110" i="17"/>
  <c r="L110" i="17"/>
  <c r="P101" i="17"/>
  <c r="O101" i="17"/>
  <c r="N101" i="17"/>
  <c r="Q102" i="17"/>
  <c r="Q100" i="17"/>
  <c r="M101" i="17"/>
  <c r="Q99" i="17"/>
  <c r="J101" i="17"/>
  <c r="I101" i="17"/>
  <c r="H101" i="17"/>
  <c r="K102" i="17"/>
  <c r="K100" i="17"/>
  <c r="G101" i="17"/>
  <c r="K99" i="17"/>
  <c r="F101" i="17"/>
  <c r="L101" i="17"/>
  <c r="Q93" i="17"/>
  <c r="K93" i="17"/>
  <c r="Q91" i="17"/>
  <c r="K91" i="17"/>
  <c r="P92" i="17"/>
  <c r="O92" i="17"/>
  <c r="N92" i="17"/>
  <c r="M92" i="17"/>
  <c r="Q90" i="17"/>
  <c r="J92" i="17"/>
  <c r="I92" i="17"/>
  <c r="H92" i="17"/>
  <c r="G92" i="17"/>
  <c r="K90" i="17"/>
  <c r="P84" i="17"/>
  <c r="P82" i="17"/>
  <c r="P81" i="17"/>
  <c r="O84" i="17"/>
  <c r="O82" i="17"/>
  <c r="O81" i="17"/>
  <c r="N84" i="17"/>
  <c r="M84" i="17"/>
  <c r="M82" i="17"/>
  <c r="M81" i="17"/>
  <c r="L84" i="17"/>
  <c r="L82" i="17"/>
  <c r="L81" i="17"/>
  <c r="J84" i="17"/>
  <c r="J82" i="17"/>
  <c r="J81" i="17"/>
  <c r="I84" i="17"/>
  <c r="I82" i="17"/>
  <c r="I81" i="17"/>
  <c r="H84" i="17"/>
  <c r="H82" i="17"/>
  <c r="H81" i="17"/>
  <c r="G84" i="17"/>
  <c r="G82" i="17"/>
  <c r="G81" i="17"/>
  <c r="F84" i="17"/>
  <c r="F82" i="17"/>
  <c r="F81" i="17"/>
  <c r="P75" i="17"/>
  <c r="P73" i="17"/>
  <c r="P72" i="17"/>
  <c r="O75" i="17"/>
  <c r="O73" i="17"/>
  <c r="O72" i="17"/>
  <c r="N75" i="17"/>
  <c r="M75" i="17"/>
  <c r="M73" i="17"/>
  <c r="M72" i="17"/>
  <c r="L75" i="17"/>
  <c r="L73" i="17"/>
  <c r="L72" i="17"/>
  <c r="J75" i="17"/>
  <c r="J73" i="17"/>
  <c r="J72" i="17"/>
  <c r="I75" i="17"/>
  <c r="I73" i="17"/>
  <c r="I72" i="17"/>
  <c r="H75" i="17"/>
  <c r="H73" i="17"/>
  <c r="H72" i="17"/>
  <c r="G75" i="17"/>
  <c r="G73" i="17"/>
  <c r="G72" i="17"/>
  <c r="F75" i="17"/>
  <c r="F73" i="17"/>
  <c r="F72" i="17"/>
  <c r="P66" i="17"/>
  <c r="P64" i="17"/>
  <c r="P63" i="17"/>
  <c r="O66" i="17"/>
  <c r="O64" i="17"/>
  <c r="O63" i="17"/>
  <c r="N66" i="17"/>
  <c r="M66" i="17"/>
  <c r="M64" i="17"/>
  <c r="M63" i="17"/>
  <c r="L66" i="17"/>
  <c r="L64" i="17"/>
  <c r="L63" i="17"/>
  <c r="J66" i="17"/>
  <c r="J64" i="17"/>
  <c r="J63" i="17"/>
  <c r="I66" i="17"/>
  <c r="I64" i="17"/>
  <c r="I63" i="17"/>
  <c r="H66" i="17"/>
  <c r="H64" i="17"/>
  <c r="H63" i="17"/>
  <c r="G66" i="17"/>
  <c r="G64" i="17"/>
  <c r="G63" i="17"/>
  <c r="F66" i="17"/>
  <c r="F64" i="17"/>
  <c r="F63" i="17"/>
  <c r="Q128" i="17" l="1"/>
  <c r="K128" i="17"/>
  <c r="Q119" i="17"/>
  <c r="K119" i="17"/>
  <c r="Q110" i="17"/>
  <c r="K110" i="17"/>
  <c r="Q101" i="17"/>
  <c r="K101" i="17"/>
  <c r="F92" i="17"/>
  <c r="K92" i="17" s="1"/>
  <c r="L92" i="17"/>
  <c r="Q92" i="17" s="1"/>
  <c r="M74" i="17"/>
  <c r="P83" i="17"/>
  <c r="O83" i="17"/>
  <c r="N83" i="17"/>
  <c r="Q84" i="17"/>
  <c r="Q82" i="17"/>
  <c r="M83" i="17"/>
  <c r="Q81" i="17"/>
  <c r="J83" i="17"/>
  <c r="I83" i="17"/>
  <c r="H83" i="17"/>
  <c r="K84" i="17"/>
  <c r="K82" i="17"/>
  <c r="G83" i="17"/>
  <c r="K81" i="17"/>
  <c r="F83" i="17"/>
  <c r="L83" i="17"/>
  <c r="P74" i="17"/>
  <c r="O74" i="17"/>
  <c r="N74" i="17"/>
  <c r="Q72" i="17"/>
  <c r="Q75" i="17"/>
  <c r="Q73" i="17"/>
  <c r="J74" i="17"/>
  <c r="I74" i="17"/>
  <c r="H74" i="17"/>
  <c r="K75" i="17"/>
  <c r="K73" i="17"/>
  <c r="G74" i="17"/>
  <c r="K72" i="17"/>
  <c r="F74" i="17"/>
  <c r="L74" i="17"/>
  <c r="Q66" i="17"/>
  <c r="K66" i="17"/>
  <c r="Q64" i="17"/>
  <c r="K64" i="17"/>
  <c r="P65" i="17"/>
  <c r="O65" i="17"/>
  <c r="N65" i="17"/>
  <c r="M65" i="17"/>
  <c r="Q63" i="17"/>
  <c r="J65" i="17"/>
  <c r="I65" i="17"/>
  <c r="H65" i="17"/>
  <c r="G65" i="17"/>
  <c r="K63" i="17"/>
  <c r="P57" i="17"/>
  <c r="P55" i="17"/>
  <c r="P54" i="17"/>
  <c r="O57" i="17"/>
  <c r="O55" i="17"/>
  <c r="O54" i="17"/>
  <c r="N57" i="17"/>
  <c r="M57" i="17"/>
  <c r="M55" i="17"/>
  <c r="M54" i="17"/>
  <c r="L57" i="17"/>
  <c r="L55" i="17"/>
  <c r="L54" i="17"/>
  <c r="J57" i="17"/>
  <c r="J55" i="17"/>
  <c r="J54" i="17"/>
  <c r="I57" i="17"/>
  <c r="I55" i="17"/>
  <c r="I54" i="17"/>
  <c r="H57" i="17"/>
  <c r="H55" i="17"/>
  <c r="H54" i="17"/>
  <c r="G57" i="17"/>
  <c r="G55" i="17"/>
  <c r="F54" i="17"/>
  <c r="G54" i="17"/>
  <c r="F57" i="17"/>
  <c r="F55" i="17"/>
  <c r="P48" i="17"/>
  <c r="P46" i="17"/>
  <c r="P45" i="17"/>
  <c r="O48" i="17"/>
  <c r="O46" i="17"/>
  <c r="O45" i="17"/>
  <c r="N48" i="17"/>
  <c r="M48" i="17"/>
  <c r="M46" i="17"/>
  <c r="M45" i="17"/>
  <c r="L48" i="17"/>
  <c r="L46" i="17"/>
  <c r="L45" i="17"/>
  <c r="J48" i="17"/>
  <c r="J46" i="17"/>
  <c r="J45" i="17"/>
  <c r="I48" i="17"/>
  <c r="I46" i="17"/>
  <c r="I45" i="17"/>
  <c r="H48" i="17"/>
  <c r="H46" i="17"/>
  <c r="H45" i="17"/>
  <c r="G48" i="17"/>
  <c r="G46" i="17"/>
  <c r="G45" i="17"/>
  <c r="F48" i="17"/>
  <c r="F46" i="17"/>
  <c r="F45" i="17"/>
  <c r="P39" i="17"/>
  <c r="P37" i="17"/>
  <c r="P36" i="17"/>
  <c r="O39" i="17"/>
  <c r="O37" i="17"/>
  <c r="O36" i="17"/>
  <c r="N39" i="17"/>
  <c r="M39" i="17"/>
  <c r="M37" i="17"/>
  <c r="M36" i="17"/>
  <c r="L39" i="17"/>
  <c r="L37" i="17"/>
  <c r="L36" i="17"/>
  <c r="J39" i="17"/>
  <c r="J37" i="17"/>
  <c r="J36" i="17"/>
  <c r="I39" i="17"/>
  <c r="I37" i="17"/>
  <c r="I36" i="17"/>
  <c r="H39" i="17"/>
  <c r="H37" i="17"/>
  <c r="H36" i="17"/>
  <c r="G39" i="17"/>
  <c r="G37" i="17"/>
  <c r="G36" i="17"/>
  <c r="F39" i="17"/>
  <c r="F37" i="17"/>
  <c r="F36" i="17"/>
  <c r="P30" i="17"/>
  <c r="P28" i="17"/>
  <c r="P27" i="17"/>
  <c r="O30" i="17"/>
  <c r="O28" i="17"/>
  <c r="O27" i="17"/>
  <c r="N30" i="17"/>
  <c r="M30" i="17"/>
  <c r="M28" i="17"/>
  <c r="M27" i="17"/>
  <c r="L30" i="17"/>
  <c r="L28" i="17"/>
  <c r="L27" i="17"/>
  <c r="J30" i="17"/>
  <c r="J28" i="17"/>
  <c r="J27" i="17"/>
  <c r="J29" i="17" s="1"/>
  <c r="I30" i="17"/>
  <c r="I28" i="17"/>
  <c r="I27" i="17"/>
  <c r="H30" i="17"/>
  <c r="H28" i="17"/>
  <c r="H27" i="17"/>
  <c r="G30" i="17"/>
  <c r="G28" i="17"/>
  <c r="G27" i="17"/>
  <c r="F30" i="17"/>
  <c r="F28" i="17"/>
  <c r="F27" i="17"/>
  <c r="I18" i="17"/>
  <c r="I19" i="17"/>
  <c r="P21" i="17"/>
  <c r="P19" i="17"/>
  <c r="P18" i="17"/>
  <c r="O21" i="17"/>
  <c r="O19" i="17"/>
  <c r="O18" i="17"/>
  <c r="N21" i="17"/>
  <c r="M21" i="17"/>
  <c r="M19" i="17"/>
  <c r="M18" i="17"/>
  <c r="L21" i="17"/>
  <c r="L19" i="17"/>
  <c r="L18" i="17"/>
  <c r="J21" i="17"/>
  <c r="J19" i="17"/>
  <c r="J18" i="17"/>
  <c r="I21" i="17"/>
  <c r="H21" i="17"/>
  <c r="H19" i="17"/>
  <c r="H18" i="17"/>
  <c r="G21" i="17"/>
  <c r="G19" i="17"/>
  <c r="G18" i="17"/>
  <c r="F21" i="17"/>
  <c r="F19" i="17"/>
  <c r="F18" i="17"/>
  <c r="P12" i="17"/>
  <c r="P10" i="17"/>
  <c r="P9" i="17"/>
  <c r="O12" i="17"/>
  <c r="O10" i="17"/>
  <c r="O9" i="17"/>
  <c r="N12" i="17"/>
  <c r="M12" i="17"/>
  <c r="M10" i="17"/>
  <c r="M9" i="17"/>
  <c r="L12" i="17"/>
  <c r="L10" i="17"/>
  <c r="L9" i="17"/>
  <c r="J12" i="17"/>
  <c r="J10" i="17"/>
  <c r="J9" i="17"/>
  <c r="I12" i="17"/>
  <c r="I10" i="17"/>
  <c r="I9" i="17"/>
  <c r="H12" i="17"/>
  <c r="H10" i="17"/>
  <c r="H9" i="17"/>
  <c r="G12" i="17"/>
  <c r="G10" i="17"/>
  <c r="G9" i="17"/>
  <c r="F12" i="17"/>
  <c r="F10" i="17"/>
  <c r="F9" i="17"/>
  <c r="P48" i="16"/>
  <c r="P46" i="16"/>
  <c r="P45" i="16"/>
  <c r="O48" i="16"/>
  <c r="O46" i="16"/>
  <c r="O45" i="16"/>
  <c r="N48" i="16"/>
  <c r="M48" i="16"/>
  <c r="M46" i="16"/>
  <c r="M45" i="16"/>
  <c r="L48" i="16"/>
  <c r="L46" i="16"/>
  <c r="L45" i="16"/>
  <c r="J48" i="16"/>
  <c r="J46" i="16"/>
  <c r="J45" i="16"/>
  <c r="I48" i="16"/>
  <c r="I46" i="16"/>
  <c r="I45" i="16"/>
  <c r="H48" i="16"/>
  <c r="H46" i="16"/>
  <c r="H45" i="16"/>
  <c r="G48" i="16"/>
  <c r="G46" i="16"/>
  <c r="G45" i="16"/>
  <c r="F48" i="16"/>
  <c r="F46" i="16"/>
  <c r="F45" i="16"/>
  <c r="P39" i="16"/>
  <c r="P37" i="16"/>
  <c r="P36" i="16"/>
  <c r="O39" i="16"/>
  <c r="O37" i="16"/>
  <c r="O36" i="16"/>
  <c r="N39" i="16"/>
  <c r="M39" i="16"/>
  <c r="M37" i="16"/>
  <c r="M36" i="16"/>
  <c r="L39" i="16"/>
  <c r="L37" i="16"/>
  <c r="L36" i="16"/>
  <c r="J39" i="16"/>
  <c r="J37" i="16"/>
  <c r="J36" i="16"/>
  <c r="I39" i="16"/>
  <c r="I37" i="16"/>
  <c r="I36" i="16"/>
  <c r="H39" i="16"/>
  <c r="H37" i="16"/>
  <c r="H36" i="16"/>
  <c r="G39" i="16"/>
  <c r="G37" i="16"/>
  <c r="G36" i="16"/>
  <c r="F39" i="16"/>
  <c r="F37" i="16"/>
  <c r="F36" i="16"/>
  <c r="P30" i="16"/>
  <c r="P28" i="16"/>
  <c r="P27" i="16"/>
  <c r="O30" i="16"/>
  <c r="O28" i="16"/>
  <c r="O27" i="16"/>
  <c r="N30" i="16"/>
  <c r="M30" i="16"/>
  <c r="M28" i="16"/>
  <c r="M27" i="16"/>
  <c r="L30" i="16"/>
  <c r="L28" i="16"/>
  <c r="L27" i="16"/>
  <c r="J30" i="16"/>
  <c r="J28" i="16"/>
  <c r="J27" i="16"/>
  <c r="I30" i="16"/>
  <c r="I28" i="16"/>
  <c r="I27" i="16"/>
  <c r="H30" i="16"/>
  <c r="H28" i="16"/>
  <c r="H27" i="16"/>
  <c r="G30" i="16"/>
  <c r="G28" i="16"/>
  <c r="G27" i="16"/>
  <c r="F30" i="16"/>
  <c r="F28" i="16"/>
  <c r="F27" i="16"/>
  <c r="P21" i="16"/>
  <c r="P19" i="16"/>
  <c r="P18" i="16"/>
  <c r="O21" i="16"/>
  <c r="O19" i="16"/>
  <c r="O18" i="16"/>
  <c r="N21" i="16"/>
  <c r="M21" i="16"/>
  <c r="M19" i="16"/>
  <c r="M18" i="16"/>
  <c r="L21" i="16"/>
  <c r="L19" i="16"/>
  <c r="L18" i="16"/>
  <c r="J21" i="16"/>
  <c r="J19" i="16"/>
  <c r="J18" i="16"/>
  <c r="I21" i="16"/>
  <c r="I19" i="16"/>
  <c r="I18" i="16"/>
  <c r="H21" i="16"/>
  <c r="H19" i="16"/>
  <c r="H18" i="16"/>
  <c r="G21" i="16"/>
  <c r="G19" i="16"/>
  <c r="G18" i="16"/>
  <c r="F21" i="16"/>
  <c r="F19" i="16"/>
  <c r="F18" i="16"/>
  <c r="P12" i="16"/>
  <c r="P10" i="16"/>
  <c r="P9" i="16"/>
  <c r="O12" i="16"/>
  <c r="O10" i="16"/>
  <c r="O9" i="16"/>
  <c r="N12" i="16"/>
  <c r="M12" i="16"/>
  <c r="M10" i="16"/>
  <c r="M9" i="16"/>
  <c r="L12" i="16"/>
  <c r="L10" i="16"/>
  <c r="L9" i="16"/>
  <c r="J12" i="16"/>
  <c r="J10" i="16"/>
  <c r="J9" i="16"/>
  <c r="I12" i="16"/>
  <c r="I10" i="16"/>
  <c r="I9" i="16"/>
  <c r="H12" i="16"/>
  <c r="H10" i="16"/>
  <c r="H9" i="16"/>
  <c r="G12" i="16"/>
  <c r="G10" i="16"/>
  <c r="G9" i="16"/>
  <c r="F12" i="16"/>
  <c r="F10" i="16"/>
  <c r="F9" i="16"/>
  <c r="P39" i="15"/>
  <c r="P37" i="15"/>
  <c r="P36" i="15"/>
  <c r="O39" i="15"/>
  <c r="O37" i="15"/>
  <c r="O36" i="15"/>
  <c r="N39" i="15"/>
  <c r="M39" i="15"/>
  <c r="M37" i="15"/>
  <c r="M36" i="15"/>
  <c r="L39" i="15"/>
  <c r="L37" i="15"/>
  <c r="L36" i="15"/>
  <c r="J39" i="15"/>
  <c r="J37" i="15"/>
  <c r="J36" i="15"/>
  <c r="I39" i="15"/>
  <c r="I37" i="15"/>
  <c r="I36" i="15"/>
  <c r="H39" i="15"/>
  <c r="H37" i="15"/>
  <c r="H36" i="15"/>
  <c r="G39" i="15"/>
  <c r="G37" i="15"/>
  <c r="G36" i="15"/>
  <c r="F39" i="15"/>
  <c r="F37" i="15"/>
  <c r="F36" i="15"/>
  <c r="P30" i="15"/>
  <c r="P28" i="15"/>
  <c r="P27" i="15"/>
  <c r="O30" i="15"/>
  <c r="O28" i="15"/>
  <c r="O27" i="15"/>
  <c r="N30" i="15"/>
  <c r="M30" i="15"/>
  <c r="M28" i="15"/>
  <c r="M27" i="15"/>
  <c r="L30" i="15"/>
  <c r="L28" i="15"/>
  <c r="L27" i="15"/>
  <c r="J30" i="15"/>
  <c r="J28" i="15"/>
  <c r="J27" i="15"/>
  <c r="I30" i="15"/>
  <c r="I28" i="15"/>
  <c r="I27" i="15"/>
  <c r="H30" i="15"/>
  <c r="H28" i="15"/>
  <c r="H27" i="15"/>
  <c r="G30" i="15"/>
  <c r="G28" i="15"/>
  <c r="G27" i="15"/>
  <c r="F30" i="15"/>
  <c r="F28" i="15"/>
  <c r="F27" i="15"/>
  <c r="P19" i="15"/>
  <c r="P21" i="15"/>
  <c r="P18" i="15"/>
  <c r="O21" i="15"/>
  <c r="O19" i="15"/>
  <c r="O18" i="15"/>
  <c r="N21" i="15"/>
  <c r="M21" i="15"/>
  <c r="M19" i="15"/>
  <c r="M18" i="15"/>
  <c r="L21" i="15"/>
  <c r="L19" i="15"/>
  <c r="L18" i="15"/>
  <c r="J21" i="15"/>
  <c r="J19" i="15"/>
  <c r="J18" i="15"/>
  <c r="I21" i="15"/>
  <c r="I19" i="15"/>
  <c r="I18" i="15"/>
  <c r="H21" i="15"/>
  <c r="H19" i="15"/>
  <c r="H18" i="15"/>
  <c r="G21" i="15"/>
  <c r="G19" i="15"/>
  <c r="G18" i="15"/>
  <c r="F21" i="15"/>
  <c r="F19" i="15"/>
  <c r="F18" i="15"/>
  <c r="P12" i="15"/>
  <c r="P10" i="15"/>
  <c r="P9" i="15"/>
  <c r="O12" i="15"/>
  <c r="O10" i="15"/>
  <c r="O9" i="15"/>
  <c r="N12" i="15"/>
  <c r="M12" i="15"/>
  <c r="M10" i="15"/>
  <c r="M9" i="15"/>
  <c r="L12" i="15"/>
  <c r="L10" i="15"/>
  <c r="L9" i="15"/>
  <c r="J12" i="15"/>
  <c r="J10" i="15"/>
  <c r="J9" i="15"/>
  <c r="I12" i="15"/>
  <c r="I10" i="15"/>
  <c r="I9" i="15"/>
  <c r="H12" i="15"/>
  <c r="H10" i="15"/>
  <c r="H9" i="15"/>
  <c r="G12" i="15"/>
  <c r="G10" i="15"/>
  <c r="G9" i="15"/>
  <c r="F12" i="15"/>
  <c r="F10" i="15"/>
  <c r="F9" i="15"/>
  <c r="P66" i="14"/>
  <c r="P64" i="14"/>
  <c r="P63" i="14"/>
  <c r="O66" i="14"/>
  <c r="O64" i="14"/>
  <c r="O63" i="14"/>
  <c r="N66" i="14"/>
  <c r="M66" i="14"/>
  <c r="M64" i="14"/>
  <c r="M63" i="14"/>
  <c r="L66" i="14"/>
  <c r="L64" i="14"/>
  <c r="L63" i="14"/>
  <c r="J66" i="14"/>
  <c r="J64" i="14"/>
  <c r="J63" i="14"/>
  <c r="I66" i="14"/>
  <c r="I64" i="14"/>
  <c r="I63" i="14"/>
  <c r="H66" i="14"/>
  <c r="H64" i="14"/>
  <c r="H63" i="14"/>
  <c r="G66" i="14"/>
  <c r="G64" i="14"/>
  <c r="G63" i="14"/>
  <c r="F66" i="14"/>
  <c r="F64" i="14"/>
  <c r="F63" i="14"/>
  <c r="P57" i="14"/>
  <c r="P55" i="14"/>
  <c r="P54" i="14"/>
  <c r="O57" i="14"/>
  <c r="O55" i="14"/>
  <c r="O54" i="14"/>
  <c r="N57" i="14"/>
  <c r="M57" i="14"/>
  <c r="M55" i="14"/>
  <c r="M54" i="14"/>
  <c r="L57" i="14"/>
  <c r="L55" i="14"/>
  <c r="L54" i="14"/>
  <c r="J57" i="14"/>
  <c r="J55" i="14"/>
  <c r="J54" i="14"/>
  <c r="I57" i="14"/>
  <c r="I55" i="14"/>
  <c r="H54" i="14"/>
  <c r="I54" i="14"/>
  <c r="H57" i="14"/>
  <c r="H55" i="14"/>
  <c r="G57" i="14"/>
  <c r="G55" i="14"/>
  <c r="G54" i="14"/>
  <c r="F57" i="14"/>
  <c r="F55" i="14"/>
  <c r="F54" i="14"/>
  <c r="P48" i="14"/>
  <c r="P46" i="14"/>
  <c r="P45" i="14"/>
  <c r="O48" i="14"/>
  <c r="O46" i="14"/>
  <c r="O45" i="14"/>
  <c r="N48" i="14"/>
  <c r="M48" i="14"/>
  <c r="M46" i="14"/>
  <c r="M45" i="14"/>
  <c r="L48" i="14"/>
  <c r="L46" i="14"/>
  <c r="L45" i="14"/>
  <c r="J48" i="14"/>
  <c r="J46" i="14"/>
  <c r="J45" i="14"/>
  <c r="I48" i="14"/>
  <c r="I46" i="14"/>
  <c r="I45" i="14"/>
  <c r="H48" i="14"/>
  <c r="H46" i="14"/>
  <c r="H45" i="14"/>
  <c r="G48" i="14"/>
  <c r="G46" i="14"/>
  <c r="G45" i="14"/>
  <c r="F48" i="14"/>
  <c r="F46" i="14"/>
  <c r="F45" i="14"/>
  <c r="P12" i="5"/>
  <c r="P10" i="5"/>
  <c r="P9" i="5"/>
  <c r="O12" i="5"/>
  <c r="O10" i="5"/>
  <c r="O9" i="5"/>
  <c r="N12" i="5"/>
  <c r="N10" i="5"/>
  <c r="N9" i="5"/>
  <c r="M12" i="5"/>
  <c r="M10" i="5"/>
  <c r="M9" i="5"/>
  <c r="L12" i="5"/>
  <c r="L10" i="5"/>
  <c r="L9" i="5"/>
  <c r="J12" i="5"/>
  <c r="J10" i="5"/>
  <c r="J9" i="5"/>
  <c r="I12" i="5"/>
  <c r="I10" i="5"/>
  <c r="I9" i="5"/>
  <c r="H12" i="5"/>
  <c r="H10" i="5"/>
  <c r="H9" i="5"/>
  <c r="G12" i="5"/>
  <c r="G10" i="5"/>
  <c r="G9" i="5"/>
  <c r="F12" i="5"/>
  <c r="F10" i="5"/>
  <c r="F9" i="5"/>
  <c r="P39" i="14"/>
  <c r="P37" i="14"/>
  <c r="P36" i="14"/>
  <c r="O39" i="14"/>
  <c r="O37" i="14"/>
  <c r="O36" i="14"/>
  <c r="N39" i="14"/>
  <c r="N38" i="14"/>
  <c r="M39" i="14"/>
  <c r="M37" i="14"/>
  <c r="M36" i="14"/>
  <c r="L39" i="14"/>
  <c r="L37" i="14"/>
  <c r="L36" i="14"/>
  <c r="J39" i="14"/>
  <c r="J37" i="14"/>
  <c r="J36" i="14"/>
  <c r="I39" i="14"/>
  <c r="I37" i="14"/>
  <c r="I36" i="14"/>
  <c r="H39" i="14"/>
  <c r="H37" i="14"/>
  <c r="H36" i="14"/>
  <c r="G39" i="14"/>
  <c r="G37" i="14"/>
  <c r="G36" i="14"/>
  <c r="F39" i="14"/>
  <c r="F37" i="14"/>
  <c r="F36" i="14"/>
  <c r="P30" i="14"/>
  <c r="P28" i="14"/>
  <c r="P27" i="14"/>
  <c r="O30" i="14"/>
  <c r="O28" i="14"/>
  <c r="O27" i="14"/>
  <c r="N30" i="14"/>
  <c r="M30" i="14"/>
  <c r="M28" i="14"/>
  <c r="M27" i="14"/>
  <c r="L30" i="14"/>
  <c r="L28" i="14"/>
  <c r="L27" i="14"/>
  <c r="J30" i="14"/>
  <c r="J28" i="14"/>
  <c r="J27" i="14"/>
  <c r="I30" i="14"/>
  <c r="I28" i="14"/>
  <c r="I27" i="14"/>
  <c r="H30" i="14"/>
  <c r="H28" i="14"/>
  <c r="H27" i="14"/>
  <c r="G30" i="14"/>
  <c r="G28" i="14"/>
  <c r="G27" i="14"/>
  <c r="F30" i="14"/>
  <c r="F28" i="14"/>
  <c r="F27" i="14"/>
  <c r="P21" i="14"/>
  <c r="P19" i="14"/>
  <c r="P18" i="14"/>
  <c r="O21" i="14"/>
  <c r="O19" i="14"/>
  <c r="O18" i="14"/>
  <c r="N21" i="14"/>
  <c r="M21" i="14"/>
  <c r="M19" i="14"/>
  <c r="M18" i="14"/>
  <c r="L21" i="14"/>
  <c r="L19" i="14"/>
  <c r="L18" i="14"/>
  <c r="J21" i="14"/>
  <c r="J19" i="14"/>
  <c r="J18" i="14"/>
  <c r="I21" i="14"/>
  <c r="I19" i="14"/>
  <c r="I18" i="14"/>
  <c r="H21" i="14"/>
  <c r="H19" i="14"/>
  <c r="H18" i="14"/>
  <c r="G21" i="14"/>
  <c r="G19" i="14"/>
  <c r="G18" i="14"/>
  <c r="F21" i="14"/>
  <c r="F19" i="14"/>
  <c r="F18" i="14"/>
  <c r="P12" i="14"/>
  <c r="O12" i="14"/>
  <c r="P10" i="14"/>
  <c r="O10" i="14"/>
  <c r="P9" i="14"/>
  <c r="P11" i="14" s="1"/>
  <c r="O9" i="14"/>
  <c r="N12" i="14"/>
  <c r="M12" i="14"/>
  <c r="M10" i="14"/>
  <c r="M9" i="14"/>
  <c r="L12" i="14"/>
  <c r="L10" i="14"/>
  <c r="L9" i="14"/>
  <c r="J12" i="14"/>
  <c r="I12" i="14"/>
  <c r="J10" i="14"/>
  <c r="I10" i="14"/>
  <c r="J9" i="14"/>
  <c r="J11" i="14" s="1"/>
  <c r="I9" i="14"/>
  <c r="H12" i="14"/>
  <c r="H10" i="14"/>
  <c r="H9" i="14"/>
  <c r="G12" i="14"/>
  <c r="G10" i="14"/>
  <c r="G9" i="14"/>
  <c r="F12" i="14"/>
  <c r="F10" i="14"/>
  <c r="F9" i="14"/>
  <c r="K10" i="14" l="1"/>
  <c r="K9" i="14"/>
  <c r="K12" i="14"/>
  <c r="Q9" i="14"/>
  <c r="Q12" i="14"/>
  <c r="Q83" i="17"/>
  <c r="K83" i="17"/>
  <c r="Q74" i="17"/>
  <c r="K74" i="17"/>
  <c r="F65" i="17"/>
  <c r="K65" i="17" s="1"/>
  <c r="L65" i="17"/>
  <c r="Q65" i="17" s="1"/>
  <c r="P56" i="17"/>
  <c r="O56" i="17"/>
  <c r="N56" i="17"/>
  <c r="Q57" i="17"/>
  <c r="Q55" i="17"/>
  <c r="M56" i="17"/>
  <c r="Q54" i="17"/>
  <c r="J56" i="17"/>
  <c r="I56" i="17"/>
  <c r="H56" i="17"/>
  <c r="K57" i="17"/>
  <c r="K55" i="17"/>
  <c r="G56" i="17"/>
  <c r="K54" i="17"/>
  <c r="F56" i="17"/>
  <c r="L56" i="17"/>
  <c r="P47" i="17"/>
  <c r="O47" i="17"/>
  <c r="N47" i="17"/>
  <c r="Q48" i="17"/>
  <c r="Q46" i="17"/>
  <c r="M47" i="17"/>
  <c r="Q45" i="17"/>
  <c r="J47" i="17"/>
  <c r="I47" i="17"/>
  <c r="H47" i="17"/>
  <c r="K48" i="17"/>
  <c r="K46" i="17"/>
  <c r="G47" i="17"/>
  <c r="K45" i="17"/>
  <c r="F47" i="17"/>
  <c r="L47" i="17"/>
  <c r="P38" i="17"/>
  <c r="O38" i="17"/>
  <c r="N38" i="17"/>
  <c r="Q39" i="17"/>
  <c r="Q37" i="17"/>
  <c r="M38" i="17"/>
  <c r="Q36" i="17"/>
  <c r="J38" i="17"/>
  <c r="I38" i="17"/>
  <c r="H38" i="17"/>
  <c r="K39" i="17"/>
  <c r="K37" i="17"/>
  <c r="G38" i="17"/>
  <c r="K36" i="17"/>
  <c r="F38" i="17"/>
  <c r="L38" i="17"/>
  <c r="P29" i="17"/>
  <c r="O29" i="17"/>
  <c r="N29" i="17"/>
  <c r="Q30" i="17"/>
  <c r="Q28" i="17"/>
  <c r="M29" i="17"/>
  <c r="Q27" i="17"/>
  <c r="I29" i="17"/>
  <c r="H29" i="17"/>
  <c r="K30" i="17"/>
  <c r="K28" i="17"/>
  <c r="G29" i="17"/>
  <c r="K27" i="17"/>
  <c r="F29" i="17"/>
  <c r="L29" i="17"/>
  <c r="I20" i="17"/>
  <c r="P20" i="17"/>
  <c r="O20" i="17"/>
  <c r="N20" i="17"/>
  <c r="Q19" i="17"/>
  <c r="M20" i="17"/>
  <c r="Q18" i="17"/>
  <c r="J20" i="17"/>
  <c r="H20" i="17"/>
  <c r="K21" i="17"/>
  <c r="K19" i="17"/>
  <c r="G20" i="17"/>
  <c r="K18" i="17"/>
  <c r="Q21" i="17"/>
  <c r="F20" i="17"/>
  <c r="L20" i="17"/>
  <c r="P11" i="17"/>
  <c r="O11" i="17"/>
  <c r="N11" i="17"/>
  <c r="M11" i="17"/>
  <c r="J11" i="17"/>
  <c r="I11" i="17"/>
  <c r="H11" i="17"/>
  <c r="K12" i="17"/>
  <c r="K10" i="17"/>
  <c r="G11" i="17"/>
  <c r="K9" i="17"/>
  <c r="Q9" i="17"/>
  <c r="Q10" i="17"/>
  <c r="Q12" i="17"/>
  <c r="F11" i="17"/>
  <c r="L11" i="17"/>
  <c r="P47" i="16"/>
  <c r="O47" i="16"/>
  <c r="N47" i="16"/>
  <c r="Q48" i="16"/>
  <c r="Q46" i="16"/>
  <c r="M47" i="16"/>
  <c r="Q45" i="16"/>
  <c r="J47" i="16"/>
  <c r="I47" i="16"/>
  <c r="H47" i="16"/>
  <c r="K48" i="16"/>
  <c r="K46" i="16"/>
  <c r="G47" i="16"/>
  <c r="K45" i="16"/>
  <c r="F47" i="16"/>
  <c r="L47" i="16"/>
  <c r="P38" i="16"/>
  <c r="O38" i="16"/>
  <c r="N38" i="16"/>
  <c r="Q39" i="16"/>
  <c r="Q37" i="16"/>
  <c r="M38" i="16"/>
  <c r="Q36" i="16"/>
  <c r="J38" i="16"/>
  <c r="I38" i="16"/>
  <c r="H38" i="16"/>
  <c r="K39" i="16"/>
  <c r="K37" i="16"/>
  <c r="G38" i="16"/>
  <c r="K36" i="16"/>
  <c r="F38" i="16"/>
  <c r="L38" i="16"/>
  <c r="P29" i="16"/>
  <c r="O29" i="16"/>
  <c r="N29" i="16"/>
  <c r="Q30" i="16"/>
  <c r="Q28" i="16"/>
  <c r="M29" i="16"/>
  <c r="Q27" i="16"/>
  <c r="J29" i="16"/>
  <c r="I29" i="16"/>
  <c r="H29" i="16"/>
  <c r="K30" i="16"/>
  <c r="K28" i="16"/>
  <c r="G29" i="16"/>
  <c r="K27" i="16"/>
  <c r="F29" i="16"/>
  <c r="L29" i="16"/>
  <c r="P20" i="16"/>
  <c r="O20" i="16"/>
  <c r="N20" i="16"/>
  <c r="Q21" i="16"/>
  <c r="Q19" i="16"/>
  <c r="M20" i="16"/>
  <c r="Q18" i="16"/>
  <c r="J20" i="16"/>
  <c r="I20" i="16"/>
  <c r="H20" i="16"/>
  <c r="K21" i="16"/>
  <c r="K19" i="16"/>
  <c r="G20" i="16"/>
  <c r="K18" i="16"/>
  <c r="F20" i="16"/>
  <c r="L20" i="16"/>
  <c r="P11" i="16"/>
  <c r="O11" i="16"/>
  <c r="N11" i="16"/>
  <c r="Q12" i="16"/>
  <c r="Q10" i="16"/>
  <c r="M11" i="16"/>
  <c r="Q9" i="16"/>
  <c r="J11" i="16"/>
  <c r="I11" i="16"/>
  <c r="H11" i="16"/>
  <c r="K12" i="16"/>
  <c r="K10" i="16"/>
  <c r="G11" i="16"/>
  <c r="K9" i="16"/>
  <c r="F11" i="16"/>
  <c r="L11" i="16"/>
  <c r="P38" i="15"/>
  <c r="O38" i="15"/>
  <c r="N38" i="15"/>
  <c r="Q39" i="15"/>
  <c r="Q37" i="15"/>
  <c r="M38" i="15"/>
  <c r="Q36" i="15"/>
  <c r="J38" i="15"/>
  <c r="I38" i="15"/>
  <c r="H38" i="15"/>
  <c r="K39" i="15"/>
  <c r="K37" i="15"/>
  <c r="G38" i="15"/>
  <c r="K36" i="15"/>
  <c r="F38" i="15"/>
  <c r="L38" i="15"/>
  <c r="P29" i="15"/>
  <c r="O29" i="15"/>
  <c r="N29" i="15"/>
  <c r="Q30" i="15"/>
  <c r="Q28" i="15"/>
  <c r="M29" i="15"/>
  <c r="Q27" i="15"/>
  <c r="J29" i="15"/>
  <c r="I29" i="15"/>
  <c r="H29" i="15"/>
  <c r="K30" i="15"/>
  <c r="K28" i="15"/>
  <c r="G29" i="15"/>
  <c r="K27" i="15"/>
  <c r="F29" i="15"/>
  <c r="L29" i="15"/>
  <c r="P20" i="15"/>
  <c r="O20" i="15"/>
  <c r="N20" i="15"/>
  <c r="Q21" i="15"/>
  <c r="Q19" i="15"/>
  <c r="M20" i="15"/>
  <c r="Q18" i="15"/>
  <c r="J20" i="15"/>
  <c r="I20" i="15"/>
  <c r="H20" i="15"/>
  <c r="K21" i="15"/>
  <c r="K19" i="15"/>
  <c r="G20" i="15"/>
  <c r="K18" i="15"/>
  <c r="F20" i="15"/>
  <c r="L20" i="15"/>
  <c r="P11" i="15"/>
  <c r="O11" i="15"/>
  <c r="N11" i="15"/>
  <c r="Q12" i="15"/>
  <c r="Q10" i="15"/>
  <c r="M11" i="15"/>
  <c r="Q9" i="15"/>
  <c r="J11" i="15"/>
  <c r="I11" i="15"/>
  <c r="H11" i="15"/>
  <c r="G11" i="15"/>
  <c r="K9" i="15"/>
  <c r="K10" i="15"/>
  <c r="K12" i="15"/>
  <c r="F11" i="15"/>
  <c r="L11" i="15"/>
  <c r="P65" i="14"/>
  <c r="O65" i="14"/>
  <c r="N65" i="14"/>
  <c r="Q66" i="14"/>
  <c r="Q64" i="14"/>
  <c r="M65" i="14"/>
  <c r="Q63" i="14"/>
  <c r="J65" i="14"/>
  <c r="I65" i="14"/>
  <c r="H65" i="14"/>
  <c r="K66" i="14"/>
  <c r="K64" i="14"/>
  <c r="G65" i="14"/>
  <c r="K63" i="14"/>
  <c r="F65" i="14"/>
  <c r="L65" i="14"/>
  <c r="P56" i="14"/>
  <c r="O56" i="14"/>
  <c r="N56" i="14"/>
  <c r="Q57" i="14"/>
  <c r="Q55" i="14"/>
  <c r="M56" i="14"/>
  <c r="Q54" i="14"/>
  <c r="J56" i="14"/>
  <c r="I56" i="14"/>
  <c r="H56" i="14"/>
  <c r="K57" i="14"/>
  <c r="K55" i="14"/>
  <c r="G56" i="14"/>
  <c r="K54" i="14"/>
  <c r="F56" i="14"/>
  <c r="L56" i="14"/>
  <c r="P47" i="14"/>
  <c r="O47" i="14"/>
  <c r="N47" i="14"/>
  <c r="Q48" i="14"/>
  <c r="Q46" i="14"/>
  <c r="M47" i="14"/>
  <c r="Q45" i="14"/>
  <c r="J47" i="14"/>
  <c r="I47" i="14"/>
  <c r="H47" i="14"/>
  <c r="K48" i="14"/>
  <c r="K46" i="14"/>
  <c r="G47" i="14"/>
  <c r="K45" i="14"/>
  <c r="P11" i="5"/>
  <c r="O11" i="5"/>
  <c r="N11" i="5"/>
  <c r="Q12" i="5"/>
  <c r="Q10" i="5"/>
  <c r="M11" i="5"/>
  <c r="Q9" i="5"/>
  <c r="J11" i="5"/>
  <c r="I11" i="5"/>
  <c r="H11" i="5"/>
  <c r="K12" i="5"/>
  <c r="K10" i="5"/>
  <c r="G11" i="5"/>
  <c r="K9" i="5"/>
  <c r="F11" i="5"/>
  <c r="L11" i="5"/>
  <c r="F47" i="14"/>
  <c r="L47" i="14"/>
  <c r="P38" i="14"/>
  <c r="O38" i="14"/>
  <c r="Q39" i="14"/>
  <c r="Q37" i="14"/>
  <c r="M38" i="14"/>
  <c r="Q36" i="14"/>
  <c r="J38" i="14"/>
  <c r="I38" i="14"/>
  <c r="H38" i="14"/>
  <c r="K39" i="14"/>
  <c r="K37" i="14"/>
  <c r="G38" i="14"/>
  <c r="K36" i="14"/>
  <c r="Q10" i="14"/>
  <c r="F38" i="14"/>
  <c r="L38" i="14"/>
  <c r="P29" i="14"/>
  <c r="O29" i="14"/>
  <c r="N29" i="14"/>
  <c r="Q28" i="14"/>
  <c r="M29" i="14"/>
  <c r="Q27" i="14"/>
  <c r="J29" i="14"/>
  <c r="I29" i="14"/>
  <c r="H29" i="14"/>
  <c r="K30" i="14"/>
  <c r="K28" i="14"/>
  <c r="G29" i="14"/>
  <c r="K27" i="14"/>
  <c r="Q30" i="14"/>
  <c r="F29" i="14"/>
  <c r="L29" i="14"/>
  <c r="P20" i="14"/>
  <c r="O20" i="14"/>
  <c r="N20" i="14"/>
  <c r="Q21" i="14"/>
  <c r="Q19" i="14"/>
  <c r="M20" i="14"/>
  <c r="Q18" i="14"/>
  <c r="J20" i="14"/>
  <c r="I20" i="14"/>
  <c r="H20" i="14"/>
  <c r="K21" i="14"/>
  <c r="K19" i="14"/>
  <c r="G20" i="14"/>
  <c r="K18" i="14"/>
  <c r="F20" i="14"/>
  <c r="L20" i="14"/>
  <c r="O11" i="14"/>
  <c r="N11" i="14"/>
  <c r="M11" i="14"/>
  <c r="L11" i="14"/>
  <c r="I11" i="14"/>
  <c r="H11" i="14"/>
  <c r="G11" i="14"/>
  <c r="F11" i="14"/>
  <c r="P39" i="12"/>
  <c r="P37" i="12"/>
  <c r="P36" i="12"/>
  <c r="O39" i="12"/>
  <c r="O37" i="12"/>
  <c r="O36" i="12"/>
  <c r="N39" i="12"/>
  <c r="N37" i="12"/>
  <c r="N36" i="12"/>
  <c r="M39" i="12"/>
  <c r="M37" i="12"/>
  <c r="M36" i="12"/>
  <c r="L39" i="12"/>
  <c r="L37" i="12"/>
  <c r="L36" i="12"/>
  <c r="J39" i="12"/>
  <c r="J37" i="12"/>
  <c r="J36" i="12"/>
  <c r="I39" i="12"/>
  <c r="I37" i="12"/>
  <c r="I36" i="12"/>
  <c r="H39" i="12"/>
  <c r="H37" i="12"/>
  <c r="H36" i="12"/>
  <c r="G39" i="12"/>
  <c r="G37" i="12"/>
  <c r="G36" i="12"/>
  <c r="F39" i="12"/>
  <c r="F37" i="12"/>
  <c r="F36" i="12"/>
  <c r="P30" i="12"/>
  <c r="P28" i="12"/>
  <c r="P27" i="12"/>
  <c r="O30" i="12"/>
  <c r="O28" i="12"/>
  <c r="O27" i="12"/>
  <c r="N30" i="12"/>
  <c r="N28" i="12"/>
  <c r="N27" i="12"/>
  <c r="M30" i="12"/>
  <c r="M28" i="12"/>
  <c r="M27" i="12"/>
  <c r="L30" i="12"/>
  <c r="L28" i="12"/>
  <c r="L27" i="12"/>
  <c r="J30" i="12"/>
  <c r="J28" i="12"/>
  <c r="J27" i="12"/>
  <c r="I30" i="12"/>
  <c r="I28" i="12"/>
  <c r="I27" i="12"/>
  <c r="H30" i="12"/>
  <c r="H28" i="12"/>
  <c r="H27" i="12"/>
  <c r="G30" i="12"/>
  <c r="G28" i="12"/>
  <c r="G27" i="12"/>
  <c r="F30" i="12"/>
  <c r="F28" i="12"/>
  <c r="F27" i="12"/>
  <c r="P21" i="12"/>
  <c r="P19" i="12"/>
  <c r="P18" i="12"/>
  <c r="O21" i="12"/>
  <c r="O19" i="12"/>
  <c r="O18" i="12"/>
  <c r="N21" i="12"/>
  <c r="N19" i="12"/>
  <c r="N18" i="12"/>
  <c r="M21" i="12"/>
  <c r="M19" i="12"/>
  <c r="M18" i="12"/>
  <c r="L21" i="12"/>
  <c r="L19" i="12"/>
  <c r="L18" i="12"/>
  <c r="J21" i="12"/>
  <c r="J19" i="12"/>
  <c r="J18" i="12"/>
  <c r="I21" i="12"/>
  <c r="I19" i="12"/>
  <c r="I18" i="12"/>
  <c r="H21" i="12"/>
  <c r="H19" i="12"/>
  <c r="H18" i="12"/>
  <c r="G21" i="12"/>
  <c r="G19" i="12"/>
  <c r="G18" i="12"/>
  <c r="F21" i="12"/>
  <c r="F19" i="12"/>
  <c r="F18" i="12"/>
  <c r="P12" i="12"/>
  <c r="P10" i="12"/>
  <c r="P9" i="12"/>
  <c r="O12" i="12"/>
  <c r="O10" i="12"/>
  <c r="O9" i="12"/>
  <c r="N12" i="12"/>
  <c r="N10" i="12"/>
  <c r="N9" i="12"/>
  <c r="M12" i="12"/>
  <c r="M10" i="12"/>
  <c r="M9" i="12"/>
  <c r="L12" i="12"/>
  <c r="L10" i="12"/>
  <c r="L9" i="12"/>
  <c r="J12" i="12"/>
  <c r="J10" i="12"/>
  <c r="J9" i="12"/>
  <c r="I12" i="12"/>
  <c r="I10" i="12"/>
  <c r="I9" i="12"/>
  <c r="H12" i="12"/>
  <c r="H10" i="12"/>
  <c r="H9" i="12"/>
  <c r="G12" i="12"/>
  <c r="G10" i="12"/>
  <c r="G9" i="12"/>
  <c r="F12" i="12"/>
  <c r="F10" i="12"/>
  <c r="F9" i="12"/>
  <c r="P21" i="11"/>
  <c r="P19" i="11"/>
  <c r="P18" i="11"/>
  <c r="O21" i="11"/>
  <c r="O19" i="11"/>
  <c r="O18" i="11"/>
  <c r="N21" i="11"/>
  <c r="N19" i="11"/>
  <c r="N18" i="11"/>
  <c r="M21" i="11"/>
  <c r="M19" i="11"/>
  <c r="M18" i="11"/>
  <c r="L21" i="11"/>
  <c r="L19" i="11"/>
  <c r="L18" i="11"/>
  <c r="J21" i="11"/>
  <c r="J19" i="11"/>
  <c r="J18" i="11"/>
  <c r="I21" i="11"/>
  <c r="I19" i="11"/>
  <c r="I18" i="11"/>
  <c r="H21" i="11"/>
  <c r="H19" i="11"/>
  <c r="H18" i="11"/>
  <c r="G21" i="11"/>
  <c r="G19" i="11"/>
  <c r="G18" i="11"/>
  <c r="F21" i="11"/>
  <c r="F19" i="11"/>
  <c r="F18" i="11"/>
  <c r="H9" i="11"/>
  <c r="P12" i="11"/>
  <c r="P10" i="11"/>
  <c r="P9" i="11"/>
  <c r="O12" i="11"/>
  <c r="O10" i="11"/>
  <c r="O9" i="11"/>
  <c r="N12" i="11"/>
  <c r="N10" i="11"/>
  <c r="N9" i="11"/>
  <c r="M12" i="11"/>
  <c r="M10" i="11"/>
  <c r="M9" i="11"/>
  <c r="L12" i="11"/>
  <c r="L10" i="11"/>
  <c r="L9" i="11"/>
  <c r="J12" i="11"/>
  <c r="J10" i="11"/>
  <c r="J9" i="11"/>
  <c r="I12" i="11"/>
  <c r="I10" i="11"/>
  <c r="I9" i="11"/>
  <c r="H12" i="11"/>
  <c r="H10" i="11"/>
  <c r="G12" i="11"/>
  <c r="G10" i="11"/>
  <c r="G9" i="11"/>
  <c r="F12" i="11"/>
  <c r="F10" i="11"/>
  <c r="F9" i="11"/>
  <c r="P21" i="10"/>
  <c r="P19" i="10"/>
  <c r="P18" i="10"/>
  <c r="O21" i="10"/>
  <c r="O19" i="10"/>
  <c r="O18" i="10"/>
  <c r="N21" i="10"/>
  <c r="N19" i="10"/>
  <c r="N18" i="10"/>
  <c r="M21" i="10"/>
  <c r="M19" i="10"/>
  <c r="M18" i="10"/>
  <c r="L21" i="10"/>
  <c r="L19" i="10"/>
  <c r="L18" i="10"/>
  <c r="J21" i="10"/>
  <c r="J19" i="10"/>
  <c r="J18" i="10"/>
  <c r="I21" i="10"/>
  <c r="I19" i="10"/>
  <c r="I18" i="10"/>
  <c r="H21" i="10"/>
  <c r="H19" i="10"/>
  <c r="H18" i="10"/>
  <c r="G21" i="10"/>
  <c r="G19" i="10"/>
  <c r="G18" i="10"/>
  <c r="F21" i="10"/>
  <c r="F19" i="10"/>
  <c r="F18" i="10"/>
  <c r="H10" i="10"/>
  <c r="P12" i="10"/>
  <c r="P10" i="10"/>
  <c r="P9" i="10"/>
  <c r="O12" i="10"/>
  <c r="O10" i="10"/>
  <c r="O9" i="10"/>
  <c r="N12" i="10"/>
  <c r="N10" i="10"/>
  <c r="N9" i="10"/>
  <c r="M12" i="10"/>
  <c r="M10" i="10"/>
  <c r="M9" i="10"/>
  <c r="L12" i="10"/>
  <c r="L10" i="10"/>
  <c r="L9" i="10"/>
  <c r="J12" i="10"/>
  <c r="J10" i="10"/>
  <c r="J9" i="10"/>
  <c r="I12" i="10"/>
  <c r="I10" i="10"/>
  <c r="I9" i="10"/>
  <c r="H12" i="10"/>
  <c r="H9" i="10"/>
  <c r="G12" i="10"/>
  <c r="G10" i="10"/>
  <c r="G9" i="10"/>
  <c r="F12" i="10"/>
  <c r="F10" i="10"/>
  <c r="F9" i="10"/>
  <c r="P21" i="9"/>
  <c r="P19" i="9"/>
  <c r="P18" i="9"/>
  <c r="O21" i="9"/>
  <c r="O19" i="9"/>
  <c r="O18" i="9"/>
  <c r="N21" i="9"/>
  <c r="N19" i="9"/>
  <c r="N18" i="9"/>
  <c r="M21" i="9"/>
  <c r="M19" i="9"/>
  <c r="M18" i="9"/>
  <c r="L21" i="9"/>
  <c r="L19" i="9"/>
  <c r="L18" i="9"/>
  <c r="J21" i="9"/>
  <c r="J19" i="9"/>
  <c r="J18" i="9"/>
  <c r="I21" i="9"/>
  <c r="I19" i="9"/>
  <c r="I18" i="9"/>
  <c r="H21" i="9"/>
  <c r="H19" i="9"/>
  <c r="H18" i="9"/>
  <c r="G21" i="9"/>
  <c r="G19" i="9"/>
  <c r="G18" i="9"/>
  <c r="F21" i="9"/>
  <c r="F19" i="9"/>
  <c r="F18" i="9"/>
  <c r="I9" i="9"/>
  <c r="P12" i="9"/>
  <c r="P10" i="9"/>
  <c r="P9" i="9"/>
  <c r="O12" i="9"/>
  <c r="O10" i="9"/>
  <c r="O9" i="9"/>
  <c r="N12" i="9"/>
  <c r="N10" i="9"/>
  <c r="N9" i="9"/>
  <c r="M12" i="9"/>
  <c r="M10" i="9"/>
  <c r="M9" i="9"/>
  <c r="L12" i="9"/>
  <c r="L10" i="9"/>
  <c r="L9" i="9"/>
  <c r="J12" i="9"/>
  <c r="J10" i="9"/>
  <c r="J9" i="9"/>
  <c r="I12" i="9"/>
  <c r="I10" i="9"/>
  <c r="H12" i="9"/>
  <c r="H10" i="9"/>
  <c r="H9" i="9"/>
  <c r="G12" i="9"/>
  <c r="G10" i="9"/>
  <c r="G9" i="9"/>
  <c r="F12" i="9"/>
  <c r="F10" i="9"/>
  <c r="F9" i="9"/>
  <c r="P12" i="7"/>
  <c r="P10" i="7"/>
  <c r="P9" i="7"/>
  <c r="O12" i="7"/>
  <c r="O10" i="7"/>
  <c r="O9" i="7"/>
  <c r="N12" i="7"/>
  <c r="N10" i="7"/>
  <c r="N9" i="7"/>
  <c r="M12" i="7"/>
  <c r="M10" i="7"/>
  <c r="M9" i="7"/>
  <c r="L12" i="7"/>
  <c r="L10" i="7"/>
  <c r="L9" i="7"/>
  <c r="J12" i="7"/>
  <c r="J10" i="7"/>
  <c r="J9" i="7"/>
  <c r="I12" i="7"/>
  <c r="I10" i="7"/>
  <c r="I9" i="7"/>
  <c r="H12" i="7"/>
  <c r="H10" i="7"/>
  <c r="H9" i="7"/>
  <c r="G12" i="7"/>
  <c r="G10" i="7"/>
  <c r="G9" i="7"/>
  <c r="F12" i="7"/>
  <c r="F9" i="7"/>
  <c r="P156" i="13"/>
  <c r="P154" i="13"/>
  <c r="P153" i="13"/>
  <c r="O156" i="13"/>
  <c r="O154" i="13"/>
  <c r="O153" i="13"/>
  <c r="N156" i="13"/>
  <c r="N154" i="13"/>
  <c r="N153" i="13"/>
  <c r="M156" i="13"/>
  <c r="M154" i="13"/>
  <c r="M153" i="13"/>
  <c r="L156" i="13"/>
  <c r="L154" i="13"/>
  <c r="L153" i="13"/>
  <c r="J156" i="13"/>
  <c r="J154" i="13"/>
  <c r="J153" i="13"/>
  <c r="I156" i="13"/>
  <c r="I154" i="13"/>
  <c r="I153" i="13"/>
  <c r="H156" i="13"/>
  <c r="H154" i="13"/>
  <c r="H153" i="13"/>
  <c r="G156" i="13"/>
  <c r="G154" i="13"/>
  <c r="G153" i="13"/>
  <c r="F156" i="13"/>
  <c r="F154" i="13"/>
  <c r="F153" i="13"/>
  <c r="P147" i="13"/>
  <c r="P145" i="13"/>
  <c r="P144" i="13"/>
  <c r="O147" i="13"/>
  <c r="O145" i="13"/>
  <c r="O144" i="13"/>
  <c r="N147" i="13"/>
  <c r="N145" i="13"/>
  <c r="N144" i="13"/>
  <c r="M147" i="13"/>
  <c r="M145" i="13"/>
  <c r="M144" i="13"/>
  <c r="L147" i="13"/>
  <c r="L145" i="13"/>
  <c r="L144" i="13"/>
  <c r="J147" i="13"/>
  <c r="J145" i="13"/>
  <c r="J144" i="13"/>
  <c r="I147" i="13"/>
  <c r="I145" i="13"/>
  <c r="I144" i="13"/>
  <c r="H147" i="13"/>
  <c r="H145" i="13"/>
  <c r="H144" i="13"/>
  <c r="G147" i="13"/>
  <c r="G145" i="13"/>
  <c r="G144" i="13"/>
  <c r="F147" i="13"/>
  <c r="F145" i="13"/>
  <c r="F144" i="13"/>
  <c r="P138" i="13"/>
  <c r="P136" i="13"/>
  <c r="P135" i="13"/>
  <c r="O138" i="13"/>
  <c r="O136" i="13"/>
  <c r="O135" i="13"/>
  <c r="N138" i="13"/>
  <c r="N136" i="13"/>
  <c r="N135" i="13"/>
  <c r="M138" i="13"/>
  <c r="M136" i="13"/>
  <c r="M135" i="13"/>
  <c r="L138" i="13"/>
  <c r="L136" i="13"/>
  <c r="L135" i="13"/>
  <c r="J138" i="13"/>
  <c r="J136" i="13"/>
  <c r="J135" i="13"/>
  <c r="I138" i="13"/>
  <c r="I136" i="13"/>
  <c r="I135" i="13"/>
  <c r="H138" i="13"/>
  <c r="H136" i="13"/>
  <c r="H135" i="13"/>
  <c r="G138" i="13"/>
  <c r="G136" i="13"/>
  <c r="G135" i="13"/>
  <c r="F138" i="13"/>
  <c r="F136" i="13"/>
  <c r="F135" i="13"/>
  <c r="P129" i="13"/>
  <c r="P127" i="13"/>
  <c r="P126" i="13"/>
  <c r="O129" i="13"/>
  <c r="O127" i="13"/>
  <c r="O126" i="13"/>
  <c r="N129" i="13"/>
  <c r="N127" i="13"/>
  <c r="N126" i="13"/>
  <c r="M129" i="13"/>
  <c r="M127" i="13"/>
  <c r="M126" i="13"/>
  <c r="L129" i="13"/>
  <c r="L127" i="13"/>
  <c r="L126" i="13"/>
  <c r="J129" i="13"/>
  <c r="J127" i="13"/>
  <c r="J126" i="13"/>
  <c r="I129" i="13"/>
  <c r="I127" i="13"/>
  <c r="I126" i="13"/>
  <c r="H129" i="13"/>
  <c r="H127" i="13"/>
  <c r="H126" i="13"/>
  <c r="G129" i="13"/>
  <c r="G127" i="13"/>
  <c r="G126" i="13"/>
  <c r="F129" i="13"/>
  <c r="F127" i="13"/>
  <c r="F126" i="13"/>
  <c r="I118" i="13"/>
  <c r="P120" i="13"/>
  <c r="P118" i="13"/>
  <c r="P117" i="13"/>
  <c r="O120" i="13"/>
  <c r="O118" i="13"/>
  <c r="O117" i="13"/>
  <c r="N120" i="13"/>
  <c r="N118" i="13"/>
  <c r="N117" i="13"/>
  <c r="M120" i="13"/>
  <c r="M118" i="13"/>
  <c r="M117" i="13"/>
  <c r="L120" i="13"/>
  <c r="L118" i="13"/>
  <c r="L117" i="13"/>
  <c r="J120" i="13"/>
  <c r="J118" i="13"/>
  <c r="J117" i="13"/>
  <c r="I120" i="13"/>
  <c r="I117" i="13"/>
  <c r="H120" i="13"/>
  <c r="H118" i="13"/>
  <c r="H117" i="13"/>
  <c r="G120" i="13"/>
  <c r="G118" i="13"/>
  <c r="G117" i="13"/>
  <c r="F120" i="13"/>
  <c r="F118" i="13"/>
  <c r="F117" i="13"/>
  <c r="F109" i="13"/>
  <c r="P111" i="13"/>
  <c r="P109" i="13"/>
  <c r="O109" i="13"/>
  <c r="P108" i="13"/>
  <c r="O111" i="13"/>
  <c r="O108" i="13"/>
  <c r="N111" i="13"/>
  <c r="N109" i="13"/>
  <c r="N108" i="13"/>
  <c r="M111" i="13"/>
  <c r="M109" i="13"/>
  <c r="M108" i="13"/>
  <c r="L111" i="13"/>
  <c r="L109" i="13"/>
  <c r="L108" i="13"/>
  <c r="J111" i="13"/>
  <c r="J109" i="13"/>
  <c r="J108" i="13"/>
  <c r="I111" i="13"/>
  <c r="I109" i="13"/>
  <c r="I108" i="13"/>
  <c r="H111" i="13"/>
  <c r="H109" i="13"/>
  <c r="H108" i="13"/>
  <c r="G111" i="13"/>
  <c r="G109" i="13"/>
  <c r="G108" i="13"/>
  <c r="G110" i="13" s="1"/>
  <c r="F111" i="13"/>
  <c r="F108" i="13"/>
  <c r="P102" i="13"/>
  <c r="P100" i="13"/>
  <c r="P99" i="13"/>
  <c r="O102" i="13"/>
  <c r="O100" i="13"/>
  <c r="O99" i="13"/>
  <c r="N102" i="13"/>
  <c r="N100" i="13"/>
  <c r="N99" i="13"/>
  <c r="M102" i="13"/>
  <c r="M100" i="13"/>
  <c r="M99" i="13"/>
  <c r="L102" i="13"/>
  <c r="L100" i="13"/>
  <c r="L99" i="13"/>
  <c r="J102" i="13"/>
  <c r="J100" i="13"/>
  <c r="J99" i="13"/>
  <c r="I102" i="13"/>
  <c r="I100" i="13"/>
  <c r="I99" i="13"/>
  <c r="H102" i="13"/>
  <c r="H100" i="13"/>
  <c r="H99" i="13"/>
  <c r="G102" i="13"/>
  <c r="G100" i="13"/>
  <c r="G99" i="13"/>
  <c r="F102" i="13"/>
  <c r="F100" i="13"/>
  <c r="F99" i="13"/>
  <c r="I93" i="13"/>
  <c r="P93" i="13"/>
  <c r="P91" i="13"/>
  <c r="P90" i="13"/>
  <c r="O93" i="13"/>
  <c r="O91" i="13"/>
  <c r="O90" i="13"/>
  <c r="N93" i="13"/>
  <c r="N91" i="13"/>
  <c r="N90" i="13"/>
  <c r="M93" i="13"/>
  <c r="M91" i="13"/>
  <c r="M90" i="13"/>
  <c r="L93" i="13"/>
  <c r="L91" i="13"/>
  <c r="L90" i="13"/>
  <c r="J93" i="13"/>
  <c r="J91" i="13"/>
  <c r="J90" i="13"/>
  <c r="I91" i="13"/>
  <c r="I90" i="13"/>
  <c r="H93" i="13"/>
  <c r="H91" i="13"/>
  <c r="H90" i="13"/>
  <c r="G93" i="13"/>
  <c r="G91" i="13"/>
  <c r="G90" i="13"/>
  <c r="F93" i="13"/>
  <c r="F91" i="13"/>
  <c r="F90" i="13"/>
  <c r="P84" i="13"/>
  <c r="P82" i="13"/>
  <c r="P81" i="13"/>
  <c r="O84" i="13"/>
  <c r="O82" i="13"/>
  <c r="O81" i="13"/>
  <c r="N84" i="13"/>
  <c r="N82" i="13"/>
  <c r="N81" i="13"/>
  <c r="M84" i="13"/>
  <c r="M82" i="13"/>
  <c r="M81" i="13"/>
  <c r="L84" i="13"/>
  <c r="L82" i="13"/>
  <c r="L81" i="13"/>
  <c r="J84" i="13"/>
  <c r="J82" i="13"/>
  <c r="J81" i="13"/>
  <c r="I84" i="13"/>
  <c r="I82" i="13"/>
  <c r="I81" i="13"/>
  <c r="H84" i="13"/>
  <c r="H82" i="13"/>
  <c r="H81" i="13"/>
  <c r="G84" i="13"/>
  <c r="G82" i="13"/>
  <c r="G81" i="13"/>
  <c r="F84" i="13"/>
  <c r="F82" i="13"/>
  <c r="F81" i="13"/>
  <c r="P75" i="13"/>
  <c r="P73" i="13"/>
  <c r="P72" i="13"/>
  <c r="O75" i="13"/>
  <c r="O73" i="13"/>
  <c r="O72" i="13"/>
  <c r="N75" i="13"/>
  <c r="N73" i="13"/>
  <c r="N72" i="13"/>
  <c r="M75" i="13"/>
  <c r="M73" i="13"/>
  <c r="M72" i="13"/>
  <c r="L75" i="13"/>
  <c r="L73" i="13"/>
  <c r="L72" i="13"/>
  <c r="J75" i="13"/>
  <c r="J73" i="13"/>
  <c r="J72" i="13"/>
  <c r="I75" i="13"/>
  <c r="I73" i="13"/>
  <c r="I72" i="13"/>
  <c r="H75" i="13"/>
  <c r="H73" i="13"/>
  <c r="H72" i="13"/>
  <c r="G75" i="13"/>
  <c r="G73" i="13"/>
  <c r="G72" i="13"/>
  <c r="F75" i="13"/>
  <c r="F73" i="13"/>
  <c r="F72" i="13"/>
  <c r="P66" i="13"/>
  <c r="P64" i="13"/>
  <c r="P63" i="13"/>
  <c r="O66" i="13"/>
  <c r="O64" i="13"/>
  <c r="O63" i="13"/>
  <c r="N66" i="13"/>
  <c r="N64" i="13"/>
  <c r="N63" i="13"/>
  <c r="M66" i="13"/>
  <c r="M64" i="13"/>
  <c r="M63" i="13"/>
  <c r="L66" i="13"/>
  <c r="L64" i="13"/>
  <c r="L63" i="13"/>
  <c r="J66" i="13"/>
  <c r="J64" i="13"/>
  <c r="J63" i="13"/>
  <c r="I66" i="13"/>
  <c r="I64" i="13"/>
  <c r="I63" i="13"/>
  <c r="H66" i="13"/>
  <c r="H64" i="13"/>
  <c r="H63" i="13"/>
  <c r="G66" i="13"/>
  <c r="G64" i="13"/>
  <c r="G63" i="13"/>
  <c r="F66" i="13"/>
  <c r="F64" i="13"/>
  <c r="F63" i="13"/>
  <c r="P57" i="13"/>
  <c r="P55" i="13"/>
  <c r="P54" i="13"/>
  <c r="O57" i="13"/>
  <c r="O55" i="13"/>
  <c r="O54" i="13"/>
  <c r="N57" i="13"/>
  <c r="N55" i="13"/>
  <c r="N54" i="13"/>
  <c r="M57" i="13"/>
  <c r="M55" i="13"/>
  <c r="M54" i="13"/>
  <c r="L57" i="13"/>
  <c r="L55" i="13"/>
  <c r="L54" i="13"/>
  <c r="J57" i="13"/>
  <c r="J55" i="13"/>
  <c r="J54" i="13"/>
  <c r="I57" i="13"/>
  <c r="I55" i="13"/>
  <c r="I54" i="13"/>
  <c r="H57" i="13"/>
  <c r="H55" i="13"/>
  <c r="H54" i="13"/>
  <c r="G57" i="13"/>
  <c r="G55" i="13"/>
  <c r="G54" i="13"/>
  <c r="F57" i="13"/>
  <c r="F55" i="13"/>
  <c r="F54" i="13"/>
  <c r="P48" i="13"/>
  <c r="P46" i="13"/>
  <c r="P45" i="13"/>
  <c r="O48" i="13"/>
  <c r="O46" i="13"/>
  <c r="O9" i="13"/>
  <c r="O45" i="13"/>
  <c r="N48" i="13"/>
  <c r="N46" i="13"/>
  <c r="N45" i="13"/>
  <c r="M48" i="13"/>
  <c r="M46" i="13"/>
  <c r="M45" i="13"/>
  <c r="L48" i="13"/>
  <c r="L46" i="13"/>
  <c r="L45" i="13"/>
  <c r="J48" i="13"/>
  <c r="J46" i="13"/>
  <c r="J45" i="13"/>
  <c r="I48" i="13"/>
  <c r="I46" i="13"/>
  <c r="I45" i="13"/>
  <c r="H48" i="13"/>
  <c r="H46" i="13"/>
  <c r="H45" i="13"/>
  <c r="G48" i="13"/>
  <c r="G46" i="13"/>
  <c r="G45" i="13"/>
  <c r="F48" i="13"/>
  <c r="F46" i="13"/>
  <c r="F45" i="13"/>
  <c r="F37" i="13"/>
  <c r="P39" i="13"/>
  <c r="P37" i="13"/>
  <c r="P36" i="13"/>
  <c r="O39" i="13"/>
  <c r="O37" i="13"/>
  <c r="O36" i="13"/>
  <c r="N39" i="13"/>
  <c r="N37" i="13"/>
  <c r="N36" i="13"/>
  <c r="M39" i="13"/>
  <c r="M37" i="13"/>
  <c r="M36" i="13"/>
  <c r="L39" i="13"/>
  <c r="L37" i="13"/>
  <c r="L36" i="13"/>
  <c r="J39" i="13"/>
  <c r="J37" i="13"/>
  <c r="J36" i="13"/>
  <c r="I39" i="13"/>
  <c r="I37" i="13"/>
  <c r="I36" i="13"/>
  <c r="H39" i="13"/>
  <c r="H37" i="13"/>
  <c r="H36" i="13"/>
  <c r="G39" i="13"/>
  <c r="G37" i="13"/>
  <c r="G36" i="13"/>
  <c r="F39" i="13"/>
  <c r="F36" i="13"/>
  <c r="P30" i="13"/>
  <c r="P28" i="13"/>
  <c r="P27" i="13"/>
  <c r="O30" i="13"/>
  <c r="O28" i="13"/>
  <c r="O27" i="13"/>
  <c r="N30" i="13"/>
  <c r="N28" i="13"/>
  <c r="N27" i="13"/>
  <c r="M30" i="13"/>
  <c r="M28" i="13"/>
  <c r="M27" i="13"/>
  <c r="L30" i="13"/>
  <c r="L28" i="13"/>
  <c r="L27" i="13"/>
  <c r="J30" i="13"/>
  <c r="J28" i="13"/>
  <c r="J27" i="13"/>
  <c r="I30" i="13"/>
  <c r="I28" i="13"/>
  <c r="I27" i="13"/>
  <c r="H30" i="13"/>
  <c r="H28" i="13"/>
  <c r="H27" i="13"/>
  <c r="G30" i="13"/>
  <c r="G28" i="13"/>
  <c r="G27" i="13"/>
  <c r="F30" i="13"/>
  <c r="F28" i="13"/>
  <c r="F27" i="13"/>
  <c r="J19" i="13"/>
  <c r="P21" i="13"/>
  <c r="P19" i="13"/>
  <c r="P18" i="13"/>
  <c r="O21" i="13"/>
  <c r="O19" i="13"/>
  <c r="O18" i="13"/>
  <c r="N21" i="13"/>
  <c r="N19" i="13"/>
  <c r="N18" i="13"/>
  <c r="M21" i="13"/>
  <c r="M19" i="13"/>
  <c r="M18" i="13"/>
  <c r="L21" i="13"/>
  <c r="L19" i="13"/>
  <c r="L18" i="13"/>
  <c r="J21" i="13"/>
  <c r="J18" i="13"/>
  <c r="I21" i="13"/>
  <c r="I19" i="13"/>
  <c r="I18" i="13"/>
  <c r="H21" i="13"/>
  <c r="H19" i="13"/>
  <c r="H18" i="13"/>
  <c r="G21" i="13"/>
  <c r="G19" i="13"/>
  <c r="G18" i="13"/>
  <c r="F21" i="13"/>
  <c r="F19" i="13"/>
  <c r="F18" i="13"/>
  <c r="P12" i="13"/>
  <c r="P10" i="13"/>
  <c r="P9" i="13"/>
  <c r="O12" i="13"/>
  <c r="O10" i="13"/>
  <c r="N12" i="13"/>
  <c r="N10" i="13"/>
  <c r="N9" i="13"/>
  <c r="M12" i="13"/>
  <c r="M10" i="13"/>
  <c r="M9" i="13"/>
  <c r="L12" i="13"/>
  <c r="L10" i="13"/>
  <c r="L9" i="13"/>
  <c r="J12" i="13"/>
  <c r="J10" i="13"/>
  <c r="J9" i="13"/>
  <c r="I12" i="13"/>
  <c r="I10" i="13"/>
  <c r="I9" i="13"/>
  <c r="H12" i="13"/>
  <c r="H10" i="13"/>
  <c r="H9" i="13"/>
  <c r="G12" i="13"/>
  <c r="G10" i="13"/>
  <c r="G9" i="13"/>
  <c r="F12" i="13"/>
  <c r="F10" i="13"/>
  <c r="F9" i="13"/>
  <c r="P84" i="4"/>
  <c r="P82" i="4"/>
  <c r="P81" i="4"/>
  <c r="O84" i="4"/>
  <c r="O82" i="4"/>
  <c r="O81" i="4"/>
  <c r="N84" i="4"/>
  <c r="N82" i="4"/>
  <c r="N81" i="4"/>
  <c r="M84" i="4"/>
  <c r="M82" i="4"/>
  <c r="M81" i="4"/>
  <c r="L84" i="4"/>
  <c r="L82" i="4"/>
  <c r="L81" i="4"/>
  <c r="J84" i="4"/>
  <c r="J82" i="4"/>
  <c r="J81" i="4"/>
  <c r="I84" i="4"/>
  <c r="I82" i="4"/>
  <c r="I81" i="4"/>
  <c r="H84" i="4"/>
  <c r="H82" i="4"/>
  <c r="H81" i="4"/>
  <c r="G84" i="4"/>
  <c r="G82" i="4"/>
  <c r="G81" i="4"/>
  <c r="F84" i="4"/>
  <c r="F82" i="4"/>
  <c r="F81" i="4"/>
  <c r="P75" i="4"/>
  <c r="P73" i="4"/>
  <c r="P72" i="4"/>
  <c r="O75" i="4"/>
  <c r="O73" i="4"/>
  <c r="O72" i="4"/>
  <c r="N75" i="4"/>
  <c r="N73" i="4"/>
  <c r="N72" i="4"/>
  <c r="M75" i="4"/>
  <c r="M73" i="4"/>
  <c r="M72" i="4"/>
  <c r="L75" i="4"/>
  <c r="L73" i="4"/>
  <c r="L72" i="4"/>
  <c r="J75" i="4"/>
  <c r="J73" i="4"/>
  <c r="J72" i="4"/>
  <c r="I75" i="4"/>
  <c r="I73" i="4"/>
  <c r="I72" i="4"/>
  <c r="H75" i="4"/>
  <c r="H73" i="4"/>
  <c r="H72" i="4"/>
  <c r="G75" i="4"/>
  <c r="G73" i="4"/>
  <c r="G72" i="4"/>
  <c r="F75" i="4"/>
  <c r="F73" i="4"/>
  <c r="F72" i="4"/>
  <c r="P66" i="4"/>
  <c r="P64" i="4"/>
  <c r="P63" i="4"/>
  <c r="O66" i="4"/>
  <c r="O64" i="4"/>
  <c r="O63" i="4"/>
  <c r="N66" i="4"/>
  <c r="N64" i="4"/>
  <c r="N63" i="4"/>
  <c r="M66" i="4"/>
  <c r="M64" i="4"/>
  <c r="M63" i="4"/>
  <c r="L66" i="4"/>
  <c r="L64" i="4"/>
  <c r="L63" i="4"/>
  <c r="J66" i="4"/>
  <c r="J63" i="4"/>
  <c r="I66" i="4"/>
  <c r="I64" i="4"/>
  <c r="I63" i="4"/>
  <c r="H66" i="4"/>
  <c r="H64" i="4"/>
  <c r="H63" i="4"/>
  <c r="G66" i="4"/>
  <c r="G64" i="4"/>
  <c r="G63" i="4"/>
  <c r="F66" i="4"/>
  <c r="F64" i="4"/>
  <c r="F63" i="4"/>
  <c r="P57" i="4"/>
  <c r="P55" i="4"/>
  <c r="P54" i="4"/>
  <c r="O57" i="4"/>
  <c r="O55" i="4"/>
  <c r="O54" i="4"/>
  <c r="N57" i="4"/>
  <c r="N55" i="4"/>
  <c r="N54" i="4"/>
  <c r="M57" i="4"/>
  <c r="M55" i="4"/>
  <c r="M54" i="4"/>
  <c r="L57" i="4"/>
  <c r="L55" i="4"/>
  <c r="L54" i="4"/>
  <c r="J57" i="4"/>
  <c r="J55" i="4"/>
  <c r="J54" i="4"/>
  <c r="I57" i="4"/>
  <c r="I55" i="4"/>
  <c r="I54" i="4"/>
  <c r="H57" i="4"/>
  <c r="H55" i="4"/>
  <c r="H54" i="4"/>
  <c r="G57" i="4"/>
  <c r="G55" i="4"/>
  <c r="G54" i="4"/>
  <c r="F57" i="4"/>
  <c r="F55" i="4"/>
  <c r="F54" i="4"/>
  <c r="P46" i="4"/>
  <c r="P48" i="4"/>
  <c r="P45" i="4"/>
  <c r="O48" i="4"/>
  <c r="O46" i="4"/>
  <c r="O45" i="4"/>
  <c r="N48" i="4"/>
  <c r="N46" i="4"/>
  <c r="N45" i="4"/>
  <c r="M48" i="4"/>
  <c r="M46" i="4"/>
  <c r="M45" i="4"/>
  <c r="L48" i="4"/>
  <c r="L46" i="4"/>
  <c r="L45" i="4"/>
  <c r="J48" i="4"/>
  <c r="J46" i="4"/>
  <c r="J45" i="4"/>
  <c r="I48" i="4"/>
  <c r="I46" i="4"/>
  <c r="I45" i="4"/>
  <c r="H48" i="4"/>
  <c r="H46" i="4"/>
  <c r="H45" i="4"/>
  <c r="G48" i="4"/>
  <c r="L9" i="4"/>
  <c r="G46" i="4"/>
  <c r="G45" i="4"/>
  <c r="F46" i="4"/>
  <c r="F45" i="4"/>
  <c r="F48" i="4"/>
  <c r="P39" i="4"/>
  <c r="P37" i="4"/>
  <c r="P36" i="4"/>
  <c r="O39" i="4"/>
  <c r="O37" i="4"/>
  <c r="O36" i="4"/>
  <c r="N39" i="4"/>
  <c r="N37" i="4"/>
  <c r="N36" i="4"/>
  <c r="M39" i="4"/>
  <c r="M37" i="4"/>
  <c r="M36" i="4"/>
  <c r="L39" i="4"/>
  <c r="L37" i="4"/>
  <c r="L36" i="4"/>
  <c r="J39" i="4"/>
  <c r="J37" i="4"/>
  <c r="J36" i="4"/>
  <c r="I39" i="4"/>
  <c r="I37" i="4"/>
  <c r="I36" i="4"/>
  <c r="H39" i="4"/>
  <c r="H37" i="4"/>
  <c r="H36" i="4"/>
  <c r="G39" i="4"/>
  <c r="G37" i="4"/>
  <c r="G36" i="4"/>
  <c r="F39" i="4"/>
  <c r="F37" i="4"/>
  <c r="F36" i="4"/>
  <c r="P30" i="4"/>
  <c r="P28" i="4"/>
  <c r="P27" i="4"/>
  <c r="O30" i="4"/>
  <c r="O28" i="4"/>
  <c r="O27" i="4"/>
  <c r="N30" i="4"/>
  <c r="N28" i="4"/>
  <c r="N27" i="4"/>
  <c r="M30" i="4"/>
  <c r="M28" i="4"/>
  <c r="M27" i="4"/>
  <c r="L30" i="4"/>
  <c r="L28" i="4"/>
  <c r="L27" i="4"/>
  <c r="J30" i="4"/>
  <c r="J28" i="4"/>
  <c r="J27" i="4"/>
  <c r="I30" i="4"/>
  <c r="I28" i="4"/>
  <c r="I27" i="4"/>
  <c r="H30" i="4"/>
  <c r="H28" i="4"/>
  <c r="H27" i="4"/>
  <c r="G30" i="4"/>
  <c r="G28" i="4"/>
  <c r="G27" i="4"/>
  <c r="F30" i="4"/>
  <c r="F28" i="4"/>
  <c r="F27" i="4"/>
  <c r="P21" i="4"/>
  <c r="P19" i="4"/>
  <c r="P18" i="4"/>
  <c r="O21" i="4"/>
  <c r="O19" i="4"/>
  <c r="O18" i="4"/>
  <c r="N21" i="4"/>
  <c r="N19" i="4"/>
  <c r="N18" i="4"/>
  <c r="M21" i="4"/>
  <c r="M19" i="4"/>
  <c r="M18" i="4"/>
  <c r="L21" i="4"/>
  <c r="L19" i="4"/>
  <c r="L18" i="4"/>
  <c r="J21" i="4"/>
  <c r="J19" i="4"/>
  <c r="J18" i="4"/>
  <c r="I21" i="4"/>
  <c r="I19" i="4"/>
  <c r="I18" i="4"/>
  <c r="H21" i="4"/>
  <c r="H19" i="4"/>
  <c r="H18" i="4"/>
  <c r="G21" i="4"/>
  <c r="G19" i="4"/>
  <c r="G18" i="4"/>
  <c r="F21" i="4"/>
  <c r="F19" i="4"/>
  <c r="F18" i="4"/>
  <c r="J12" i="4"/>
  <c r="I12" i="4"/>
  <c r="I10" i="4"/>
  <c r="I9" i="4"/>
  <c r="H12" i="4"/>
  <c r="H10" i="4"/>
  <c r="H9" i="4"/>
  <c r="G12" i="4"/>
  <c r="G10" i="4"/>
  <c r="G9" i="4"/>
  <c r="F12" i="4"/>
  <c r="F48" i="1"/>
  <c r="F46" i="1"/>
  <c r="F10" i="4"/>
  <c r="F9" i="4"/>
  <c r="M9" i="4"/>
  <c r="P12" i="4"/>
  <c r="O12" i="4"/>
  <c r="P10" i="4"/>
  <c r="O10" i="4"/>
  <c r="P9" i="4"/>
  <c r="O9" i="4"/>
  <c r="N10" i="4"/>
  <c r="N9" i="4"/>
  <c r="M10" i="4"/>
  <c r="L10" i="4"/>
  <c r="L12" i="4"/>
  <c r="J9" i="4"/>
  <c r="J10" i="4"/>
  <c r="N12" i="4"/>
  <c r="M12" i="4"/>
  <c r="O109" i="1"/>
  <c r="N109" i="1"/>
  <c r="O108" i="1"/>
  <c r="N108" i="1"/>
  <c r="M109" i="1"/>
  <c r="M108" i="1"/>
  <c r="O111" i="1"/>
  <c r="N111" i="1"/>
  <c r="M111" i="1"/>
  <c r="L109" i="1"/>
  <c r="L108" i="1"/>
  <c r="L111" i="1"/>
  <c r="M91" i="1"/>
  <c r="N91" i="1"/>
  <c r="O91" i="1"/>
  <c r="O90" i="1"/>
  <c r="N90" i="1"/>
  <c r="M90" i="1"/>
  <c r="I111" i="1"/>
  <c r="H111" i="1"/>
  <c r="G111" i="1"/>
  <c r="F111" i="1"/>
  <c r="I109" i="1"/>
  <c r="H109" i="1"/>
  <c r="G109" i="1"/>
  <c r="F109" i="1"/>
  <c r="I108" i="1"/>
  <c r="H108" i="1"/>
  <c r="G108" i="1"/>
  <c r="G110" i="1" s="1"/>
  <c r="F108" i="1"/>
  <c r="O100" i="1"/>
  <c r="O99" i="1"/>
  <c r="N100" i="1"/>
  <c r="N99" i="1"/>
  <c r="M100" i="1"/>
  <c r="M99" i="1"/>
  <c r="O102" i="1"/>
  <c r="N102" i="1"/>
  <c r="M102" i="1"/>
  <c r="L102" i="1"/>
  <c r="L100" i="1"/>
  <c r="L99" i="1"/>
  <c r="I102" i="1"/>
  <c r="I100" i="1"/>
  <c r="I99" i="1"/>
  <c r="H102" i="1"/>
  <c r="H100" i="1"/>
  <c r="H99" i="1"/>
  <c r="G102" i="1"/>
  <c r="G100" i="1"/>
  <c r="G99" i="1"/>
  <c r="F102" i="1"/>
  <c r="F100" i="1"/>
  <c r="F99" i="1"/>
  <c r="O66" i="1"/>
  <c r="O64" i="1"/>
  <c r="O63" i="1"/>
  <c r="N66" i="1"/>
  <c r="N64" i="1"/>
  <c r="N63" i="1"/>
  <c r="M66" i="1"/>
  <c r="M64" i="1"/>
  <c r="M63" i="1"/>
  <c r="L66" i="1"/>
  <c r="L63" i="1"/>
  <c r="L64" i="1"/>
  <c r="L72" i="1"/>
  <c r="M72" i="1"/>
  <c r="N72" i="1"/>
  <c r="O72" i="1"/>
  <c r="O73" i="1"/>
  <c r="N73" i="1"/>
  <c r="M73" i="1"/>
  <c r="L73" i="1"/>
  <c r="L75" i="1"/>
  <c r="M75" i="1"/>
  <c r="N75" i="1"/>
  <c r="O75" i="1"/>
  <c r="O93" i="1"/>
  <c r="N93" i="1"/>
  <c r="M93" i="1"/>
  <c r="L93" i="1"/>
  <c r="L91" i="1"/>
  <c r="O81" i="1"/>
  <c r="O82" i="1"/>
  <c r="L90" i="1"/>
  <c r="I93" i="1"/>
  <c r="I91" i="1"/>
  <c r="I90" i="1"/>
  <c r="H93" i="1"/>
  <c r="H91" i="1"/>
  <c r="H90" i="1"/>
  <c r="G93" i="1"/>
  <c r="G91" i="1"/>
  <c r="G90" i="1"/>
  <c r="F93" i="1"/>
  <c r="F91" i="1"/>
  <c r="F90" i="1"/>
  <c r="N84" i="1"/>
  <c r="M84" i="1"/>
  <c r="O84" i="1"/>
  <c r="M82" i="1"/>
  <c r="L84" i="1"/>
  <c r="L82" i="1"/>
  <c r="M81" i="1"/>
  <c r="L81" i="1"/>
  <c r="I84" i="1"/>
  <c r="I82" i="1"/>
  <c r="I81" i="1"/>
  <c r="H84" i="1"/>
  <c r="H82" i="1"/>
  <c r="H81" i="1"/>
  <c r="G84" i="1"/>
  <c r="G82" i="1"/>
  <c r="G81" i="1"/>
  <c r="F84" i="1"/>
  <c r="F82" i="1"/>
  <c r="F81" i="1"/>
  <c r="I75" i="1"/>
  <c r="I73" i="1"/>
  <c r="I72" i="1"/>
  <c r="H75" i="1"/>
  <c r="H73" i="1"/>
  <c r="H72" i="1"/>
  <c r="G75" i="1"/>
  <c r="G73" i="1"/>
  <c r="G72" i="1"/>
  <c r="F75" i="1"/>
  <c r="F73" i="1"/>
  <c r="F72" i="1"/>
  <c r="I66" i="1"/>
  <c r="I64" i="1"/>
  <c r="I63" i="1"/>
  <c r="H66" i="1"/>
  <c r="H64" i="1"/>
  <c r="H63" i="1"/>
  <c r="G66" i="1"/>
  <c r="G64" i="1"/>
  <c r="G63" i="1"/>
  <c r="F66" i="1"/>
  <c r="F64" i="1"/>
  <c r="F63" i="1"/>
  <c r="O57" i="1"/>
  <c r="O55" i="1"/>
  <c r="O54" i="1"/>
  <c r="N57" i="1"/>
  <c r="N55" i="1"/>
  <c r="N54" i="1"/>
  <c r="M57" i="1"/>
  <c r="M55" i="1"/>
  <c r="M54" i="1"/>
  <c r="L57" i="1"/>
  <c r="L55" i="1"/>
  <c r="L54" i="1"/>
  <c r="I57" i="1"/>
  <c r="I55" i="1"/>
  <c r="I54" i="1"/>
  <c r="H57" i="1"/>
  <c r="H55" i="1"/>
  <c r="H54" i="1"/>
  <c r="G57" i="1"/>
  <c r="G55" i="1"/>
  <c r="G54" i="1"/>
  <c r="F57" i="1"/>
  <c r="F55" i="1"/>
  <c r="F54" i="1"/>
  <c r="O48" i="1"/>
  <c r="O46" i="1"/>
  <c r="O45" i="1"/>
  <c r="N48" i="1"/>
  <c r="N46" i="1"/>
  <c r="N45" i="1"/>
  <c r="M48" i="1"/>
  <c r="M46" i="1"/>
  <c r="M45" i="1"/>
  <c r="L48" i="1"/>
  <c r="L46" i="1"/>
  <c r="L45" i="1"/>
  <c r="I48" i="1"/>
  <c r="I46" i="1"/>
  <c r="I45" i="1"/>
  <c r="H48" i="1"/>
  <c r="H46" i="1"/>
  <c r="H45" i="1"/>
  <c r="G48" i="1"/>
  <c r="G46" i="1"/>
  <c r="G45" i="1"/>
  <c r="F45" i="1"/>
  <c r="O30" i="1"/>
  <c r="O28" i="1"/>
  <c r="N30" i="1"/>
  <c r="N28" i="1"/>
  <c r="N27" i="1"/>
  <c r="M30" i="1"/>
  <c r="M28" i="1"/>
  <c r="M27" i="1"/>
  <c r="L30" i="1"/>
  <c r="L28" i="1"/>
  <c r="L27" i="1"/>
  <c r="H30" i="1"/>
  <c r="H28" i="1"/>
  <c r="H27" i="1"/>
  <c r="G30" i="1"/>
  <c r="G28" i="1"/>
  <c r="G27" i="1"/>
  <c r="F30" i="1"/>
  <c r="F28" i="1"/>
  <c r="F27" i="1"/>
  <c r="N21" i="1"/>
  <c r="N19" i="1"/>
  <c r="N18" i="1"/>
  <c r="M21" i="1"/>
  <c r="M19" i="1"/>
  <c r="M18" i="1"/>
  <c r="L21" i="1"/>
  <c r="L19" i="1"/>
  <c r="L18" i="1"/>
  <c r="H21" i="1"/>
  <c r="H19" i="1"/>
  <c r="H18" i="1"/>
  <c r="G21" i="1"/>
  <c r="G19" i="1"/>
  <c r="G18" i="1"/>
  <c r="F21" i="1"/>
  <c r="F19" i="1"/>
  <c r="F18" i="1"/>
  <c r="N12" i="1"/>
  <c r="M12" i="1"/>
  <c r="L12" i="1"/>
  <c r="N10" i="1"/>
  <c r="M10" i="1"/>
  <c r="L10" i="1"/>
  <c r="N9" i="1"/>
  <c r="M9" i="1"/>
  <c r="L9" i="1"/>
  <c r="H12" i="1"/>
  <c r="G12" i="1"/>
  <c r="F12" i="1"/>
  <c r="H10" i="1"/>
  <c r="G10" i="1"/>
  <c r="F10" i="1"/>
  <c r="H9" i="1"/>
  <c r="G9" i="1"/>
  <c r="F9" i="1"/>
  <c r="I39" i="1"/>
  <c r="H39" i="1"/>
  <c r="I37" i="1"/>
  <c r="H37" i="1"/>
  <c r="I36" i="1"/>
  <c r="H36" i="1"/>
  <c r="G36" i="1"/>
  <c r="G39" i="1"/>
  <c r="G37" i="1"/>
  <c r="F36" i="1"/>
  <c r="F39" i="1"/>
  <c r="F37" i="1"/>
  <c r="C36" i="24"/>
  <c r="C34" i="25"/>
  <c r="B29" i="24"/>
  <c r="B28" i="25"/>
  <c r="K11" i="14" l="1"/>
  <c r="Q56" i="17"/>
  <c r="K56" i="17"/>
  <c r="Q47" i="17"/>
  <c r="K47" i="17"/>
  <c r="Q38" i="17"/>
  <c r="K38" i="17"/>
  <c r="Q29" i="17"/>
  <c r="K29" i="17"/>
  <c r="Q20" i="17"/>
  <c r="K20" i="17"/>
  <c r="Q11" i="17"/>
  <c r="K11" i="17"/>
  <c r="Q47" i="16"/>
  <c r="K47" i="16"/>
  <c r="Q38" i="16"/>
  <c r="K38" i="16"/>
  <c r="Q29" i="16"/>
  <c r="K29" i="16"/>
  <c r="Q20" i="16"/>
  <c r="K20" i="16"/>
  <c r="Q11" i="16"/>
  <c r="K11" i="16"/>
  <c r="Q38" i="15"/>
  <c r="K38" i="15"/>
  <c r="Q29" i="15"/>
  <c r="K29" i="15"/>
  <c r="Q20" i="15"/>
  <c r="K20" i="15"/>
  <c r="Q11" i="15"/>
  <c r="K11" i="15"/>
  <c r="Q65" i="14"/>
  <c r="K65" i="14"/>
  <c r="Q56" i="14"/>
  <c r="K56" i="14"/>
  <c r="Q47" i="14"/>
  <c r="K47" i="14"/>
  <c r="Q11" i="5"/>
  <c r="K11" i="5"/>
  <c r="Q38" i="14"/>
  <c r="K38" i="14"/>
  <c r="Q29" i="14"/>
  <c r="K29" i="14"/>
  <c r="Q20" i="14"/>
  <c r="K20" i="14"/>
  <c r="Q11" i="14"/>
  <c r="P38" i="12"/>
  <c r="N38" i="12"/>
  <c r="L38" i="12"/>
  <c r="J38" i="12"/>
  <c r="I38" i="12"/>
  <c r="H38" i="12"/>
  <c r="K39" i="12"/>
  <c r="K37" i="12"/>
  <c r="G38" i="12"/>
  <c r="K36" i="12"/>
  <c r="M38" i="12"/>
  <c r="Q37" i="12"/>
  <c r="O38" i="12"/>
  <c r="Q39" i="12"/>
  <c r="F38" i="12"/>
  <c r="Q36" i="12"/>
  <c r="P29" i="12"/>
  <c r="N29" i="12"/>
  <c r="L29" i="12"/>
  <c r="J29" i="12"/>
  <c r="I29" i="12"/>
  <c r="H29" i="12"/>
  <c r="K30" i="12"/>
  <c r="K28" i="12"/>
  <c r="G29" i="12"/>
  <c r="K27" i="12"/>
  <c r="M29" i="12"/>
  <c r="Q28" i="12"/>
  <c r="O29" i="12"/>
  <c r="Q30" i="12"/>
  <c r="F29" i="12"/>
  <c r="Q27" i="12"/>
  <c r="P20" i="12"/>
  <c r="N20" i="12"/>
  <c r="M20" i="12"/>
  <c r="L20" i="12"/>
  <c r="J20" i="12"/>
  <c r="I20" i="12"/>
  <c r="H20" i="12"/>
  <c r="K21" i="12"/>
  <c r="K19" i="12"/>
  <c r="F20" i="12"/>
  <c r="K18" i="12"/>
  <c r="Q19" i="12"/>
  <c r="O20" i="12"/>
  <c r="Q21" i="12"/>
  <c r="Q18" i="12"/>
  <c r="G20" i="12"/>
  <c r="P11" i="12"/>
  <c r="L11" i="12"/>
  <c r="J11" i="12"/>
  <c r="I11" i="12"/>
  <c r="H11" i="12"/>
  <c r="K12" i="12"/>
  <c r="K10" i="12"/>
  <c r="G11" i="12"/>
  <c r="F11" i="12"/>
  <c r="M11" i="12"/>
  <c r="Q10" i="12"/>
  <c r="Q12" i="12"/>
  <c r="O11" i="12"/>
  <c r="N11" i="12"/>
  <c r="K9" i="12"/>
  <c r="Q9" i="12"/>
  <c r="P20" i="11"/>
  <c r="N20" i="11"/>
  <c r="M20" i="11"/>
  <c r="J20" i="11"/>
  <c r="I20" i="11"/>
  <c r="H20" i="11"/>
  <c r="K21" i="11"/>
  <c r="K19" i="11"/>
  <c r="G20" i="11"/>
  <c r="F20" i="11"/>
  <c r="Q19" i="11"/>
  <c r="O20" i="11"/>
  <c r="Q21" i="11"/>
  <c r="L20" i="11"/>
  <c r="Q18" i="11"/>
  <c r="K18" i="11"/>
  <c r="P11" i="11"/>
  <c r="J11" i="11"/>
  <c r="I11" i="11"/>
  <c r="H11" i="11"/>
  <c r="K12" i="11"/>
  <c r="K10" i="11"/>
  <c r="G11" i="11"/>
  <c r="K9" i="11"/>
  <c r="F11" i="11"/>
  <c r="M11" i="11"/>
  <c r="N11" i="11"/>
  <c r="Q10" i="11"/>
  <c r="O11" i="11"/>
  <c r="Q12" i="11"/>
  <c r="Q9" i="11"/>
  <c r="L11" i="11"/>
  <c r="P20" i="10"/>
  <c r="O20" i="10"/>
  <c r="Q21" i="10"/>
  <c r="M20" i="10"/>
  <c r="L20" i="10"/>
  <c r="J20" i="10"/>
  <c r="I20" i="10"/>
  <c r="H20" i="10"/>
  <c r="K21" i="10"/>
  <c r="K19" i="10"/>
  <c r="G20" i="10"/>
  <c r="F20" i="10"/>
  <c r="N20" i="10"/>
  <c r="Q19" i="10"/>
  <c r="K18" i="10"/>
  <c r="Q18" i="10"/>
  <c r="P11" i="10"/>
  <c r="N11" i="10"/>
  <c r="M11" i="10"/>
  <c r="L11" i="10"/>
  <c r="J11" i="10"/>
  <c r="I11" i="10"/>
  <c r="H11" i="10"/>
  <c r="K12" i="10"/>
  <c r="K10" i="10"/>
  <c r="G11" i="10"/>
  <c r="K9" i="10"/>
  <c r="Q10" i="10"/>
  <c r="O11" i="10"/>
  <c r="Q12" i="10"/>
  <c r="F11" i="10"/>
  <c r="Q9" i="10"/>
  <c r="P20" i="9"/>
  <c r="N20" i="9"/>
  <c r="L20" i="9"/>
  <c r="J20" i="9"/>
  <c r="I20" i="9"/>
  <c r="H20" i="9"/>
  <c r="K21" i="9"/>
  <c r="K19" i="9"/>
  <c r="G20" i="9"/>
  <c r="K18" i="9"/>
  <c r="M20" i="9"/>
  <c r="Q19" i="9"/>
  <c r="O20" i="9"/>
  <c r="Q21" i="9"/>
  <c r="F20" i="9"/>
  <c r="Q18" i="9"/>
  <c r="N11" i="9"/>
  <c r="J11" i="9"/>
  <c r="I11" i="9"/>
  <c r="H11" i="9"/>
  <c r="K12" i="9"/>
  <c r="K10" i="9"/>
  <c r="G11" i="9"/>
  <c r="K9" i="9"/>
  <c r="Q10" i="9"/>
  <c r="O11" i="9"/>
  <c r="L11" i="9"/>
  <c r="P11" i="9"/>
  <c r="Q12" i="9"/>
  <c r="M11" i="9"/>
  <c r="F11" i="9"/>
  <c r="Q9" i="9"/>
  <c r="P11" i="7"/>
  <c r="L11" i="7"/>
  <c r="J11" i="7"/>
  <c r="I11" i="7"/>
  <c r="H11" i="7"/>
  <c r="K12" i="7"/>
  <c r="K10" i="7"/>
  <c r="G11" i="7"/>
  <c r="K9" i="7"/>
  <c r="M11" i="7"/>
  <c r="N11" i="7"/>
  <c r="Q10" i="7"/>
  <c r="O11" i="7"/>
  <c r="Q12" i="7"/>
  <c r="F11" i="7"/>
  <c r="Q9" i="7"/>
  <c r="O155" i="13"/>
  <c r="N155" i="13"/>
  <c r="L155" i="13"/>
  <c r="J155" i="13"/>
  <c r="I155" i="13"/>
  <c r="H155" i="13"/>
  <c r="K156" i="13"/>
  <c r="K154" i="13"/>
  <c r="F155" i="13"/>
  <c r="K153" i="13"/>
  <c r="Q154" i="13"/>
  <c r="P155" i="13"/>
  <c r="Q156" i="13"/>
  <c r="M155" i="13"/>
  <c r="G155" i="13"/>
  <c r="Q153" i="13"/>
  <c r="O146" i="13"/>
  <c r="N146" i="13"/>
  <c r="M146" i="13"/>
  <c r="J146" i="13"/>
  <c r="I146" i="13"/>
  <c r="H146" i="13"/>
  <c r="K147" i="13"/>
  <c r="K145" i="13"/>
  <c r="F146" i="13"/>
  <c r="K144" i="13"/>
  <c r="P146" i="13"/>
  <c r="Q145" i="13"/>
  <c r="Q147" i="13"/>
  <c r="L146" i="13"/>
  <c r="G146" i="13"/>
  <c r="Q144" i="13"/>
  <c r="P137" i="13"/>
  <c r="N137" i="13"/>
  <c r="M137" i="13"/>
  <c r="L137" i="13"/>
  <c r="J137" i="13"/>
  <c r="I137" i="13"/>
  <c r="H137" i="13"/>
  <c r="K138" i="13"/>
  <c r="K136" i="13"/>
  <c r="G137" i="13"/>
  <c r="F137" i="13"/>
  <c r="O137" i="13"/>
  <c r="Q136" i="13"/>
  <c r="Q138" i="13"/>
  <c r="K135" i="13"/>
  <c r="Q135" i="13"/>
  <c r="P128" i="13"/>
  <c r="O128" i="13"/>
  <c r="N128" i="13"/>
  <c r="M128" i="13"/>
  <c r="L128" i="13"/>
  <c r="J128" i="13"/>
  <c r="I128" i="13"/>
  <c r="H128" i="13"/>
  <c r="K129" i="13"/>
  <c r="K127" i="13"/>
  <c r="G128" i="13"/>
  <c r="F128" i="13"/>
  <c r="Q127" i="13"/>
  <c r="Q129" i="13"/>
  <c r="K126" i="13"/>
  <c r="Q126" i="13"/>
  <c r="O119" i="13"/>
  <c r="N119" i="13"/>
  <c r="L119" i="13"/>
  <c r="J119" i="13"/>
  <c r="I119" i="13"/>
  <c r="H119" i="13"/>
  <c r="K120" i="13"/>
  <c r="K118" i="13"/>
  <c r="F119" i="13"/>
  <c r="K117" i="13"/>
  <c r="P119" i="13"/>
  <c r="Q120" i="13"/>
  <c r="M119" i="13"/>
  <c r="Q118" i="13"/>
  <c r="G119" i="13"/>
  <c r="Q117" i="13"/>
  <c r="O110" i="13"/>
  <c r="N110" i="13"/>
  <c r="M110" i="13"/>
  <c r="L110" i="13"/>
  <c r="J110" i="13"/>
  <c r="I110" i="13"/>
  <c r="H110" i="13"/>
  <c r="K111" i="13"/>
  <c r="K109" i="13"/>
  <c r="F110" i="13"/>
  <c r="K108" i="13"/>
  <c r="Q109" i="13"/>
  <c r="P110" i="13"/>
  <c r="Q111" i="13"/>
  <c r="Q108" i="13"/>
  <c r="P101" i="13"/>
  <c r="O101" i="13"/>
  <c r="L101" i="13"/>
  <c r="J101" i="13"/>
  <c r="I101" i="13"/>
  <c r="H101" i="13"/>
  <c r="K102" i="13"/>
  <c r="K100" i="13"/>
  <c r="G101" i="13"/>
  <c r="K99" i="13"/>
  <c r="N101" i="13"/>
  <c r="Q100" i="13"/>
  <c r="Q102" i="13"/>
  <c r="M101" i="13"/>
  <c r="F101" i="13"/>
  <c r="Q99" i="13"/>
  <c r="P92" i="13"/>
  <c r="N92" i="13"/>
  <c r="L92" i="13"/>
  <c r="J92" i="13"/>
  <c r="I92" i="13"/>
  <c r="H92" i="13"/>
  <c r="K93" i="13"/>
  <c r="K91" i="13"/>
  <c r="G92" i="13"/>
  <c r="K90" i="13"/>
  <c r="M92" i="13"/>
  <c r="Q91" i="13"/>
  <c r="O92" i="13"/>
  <c r="Q93" i="13"/>
  <c r="F92" i="13"/>
  <c r="Q90" i="13"/>
  <c r="N83" i="13"/>
  <c r="M83" i="13"/>
  <c r="J83" i="13"/>
  <c r="I83" i="13"/>
  <c r="H83" i="13"/>
  <c r="K84" i="13"/>
  <c r="K82" i="13"/>
  <c r="G83" i="13"/>
  <c r="K81" i="13"/>
  <c r="Q82" i="13"/>
  <c r="P83" i="13"/>
  <c r="Q84" i="13"/>
  <c r="O83" i="13"/>
  <c r="L83" i="13"/>
  <c r="F83" i="13"/>
  <c r="Q81" i="13"/>
  <c r="O74" i="13"/>
  <c r="N74" i="13"/>
  <c r="M74" i="13"/>
  <c r="L74" i="13"/>
  <c r="J74" i="13"/>
  <c r="I74" i="13"/>
  <c r="H74" i="13"/>
  <c r="K75" i="13"/>
  <c r="K73" i="13"/>
  <c r="G74" i="13"/>
  <c r="K72" i="13"/>
  <c r="Q73" i="13"/>
  <c r="P74" i="13"/>
  <c r="Q75" i="13"/>
  <c r="F74" i="13"/>
  <c r="Q72" i="13"/>
  <c r="P65" i="13"/>
  <c r="N65" i="13"/>
  <c r="L65" i="13"/>
  <c r="J65" i="13"/>
  <c r="I65" i="13"/>
  <c r="K66" i="13"/>
  <c r="K64" i="13"/>
  <c r="G65" i="13"/>
  <c r="F65" i="13"/>
  <c r="K63" i="13"/>
  <c r="M65" i="13"/>
  <c r="Q64" i="13"/>
  <c r="O65" i="13"/>
  <c r="Q66" i="13"/>
  <c r="H65" i="13"/>
  <c r="Q63" i="13"/>
  <c r="P56" i="13"/>
  <c r="M56" i="13"/>
  <c r="J56" i="13"/>
  <c r="I56" i="13"/>
  <c r="H56" i="13"/>
  <c r="K57" i="13"/>
  <c r="K55" i="13"/>
  <c r="G56" i="13"/>
  <c r="K54" i="13"/>
  <c r="N56" i="13"/>
  <c r="Q55" i="13"/>
  <c r="O56" i="13"/>
  <c r="Q57" i="13"/>
  <c r="Q54" i="13"/>
  <c r="F56" i="13"/>
  <c r="L56" i="13"/>
  <c r="P47" i="13"/>
  <c r="L47" i="13"/>
  <c r="J47" i="13"/>
  <c r="I47" i="13"/>
  <c r="H47" i="13"/>
  <c r="K48" i="13"/>
  <c r="K46" i="13"/>
  <c r="G47" i="13"/>
  <c r="K45" i="13"/>
  <c r="M47" i="13"/>
  <c r="N47" i="13"/>
  <c r="Q46" i="13"/>
  <c r="O47" i="13"/>
  <c r="Q48" i="13"/>
  <c r="F47" i="13"/>
  <c r="Q45" i="13"/>
  <c r="P38" i="13"/>
  <c r="N38" i="13"/>
  <c r="L38" i="13"/>
  <c r="J38" i="13"/>
  <c r="I38" i="13"/>
  <c r="H38" i="13"/>
  <c r="K39" i="13"/>
  <c r="G38" i="13"/>
  <c r="K37" i="13"/>
  <c r="K36" i="13"/>
  <c r="M38" i="13"/>
  <c r="Q37" i="13"/>
  <c r="O38" i="13"/>
  <c r="Q39" i="13"/>
  <c r="F38" i="13"/>
  <c r="Q36" i="13"/>
  <c r="O29" i="13"/>
  <c r="L29" i="13"/>
  <c r="J29" i="13"/>
  <c r="I29" i="13"/>
  <c r="H29" i="13"/>
  <c r="K30" i="13"/>
  <c r="G29" i="13"/>
  <c r="K28" i="13"/>
  <c r="K27" i="13"/>
  <c r="N29" i="13"/>
  <c r="P29" i="13"/>
  <c r="M29" i="13"/>
  <c r="Q28" i="13"/>
  <c r="Q30" i="13"/>
  <c r="F29" i="13"/>
  <c r="Q27" i="13"/>
  <c r="P20" i="13"/>
  <c r="N20" i="13"/>
  <c r="J20" i="13"/>
  <c r="I20" i="13"/>
  <c r="H20" i="13"/>
  <c r="K21" i="13"/>
  <c r="K19" i="13"/>
  <c r="G20" i="13"/>
  <c r="K18" i="13"/>
  <c r="M20" i="13"/>
  <c r="L20" i="13"/>
  <c r="Q19" i="13"/>
  <c r="O20" i="13"/>
  <c r="Q21" i="13"/>
  <c r="F20" i="13"/>
  <c r="Q18" i="13"/>
  <c r="P11" i="13"/>
  <c r="J11" i="13"/>
  <c r="I11" i="13"/>
  <c r="H11" i="13"/>
  <c r="K12" i="13"/>
  <c r="K10" i="13"/>
  <c r="G11" i="13"/>
  <c r="K9" i="13"/>
  <c r="N11" i="13"/>
  <c r="L11" i="13"/>
  <c r="M11" i="13"/>
  <c r="Q10" i="13"/>
  <c r="O11" i="13"/>
  <c r="Q12" i="13"/>
  <c r="F11" i="13"/>
  <c r="Q9" i="13"/>
  <c r="O83" i="4"/>
  <c r="N83" i="4"/>
  <c r="M83" i="4"/>
  <c r="L83" i="4"/>
  <c r="J83" i="4"/>
  <c r="I83" i="4"/>
  <c r="H83" i="4"/>
  <c r="K84" i="4"/>
  <c r="K82" i="4"/>
  <c r="G83" i="4"/>
  <c r="K81" i="4"/>
  <c r="Q82" i="4"/>
  <c r="P83" i="4"/>
  <c r="Q84" i="4"/>
  <c r="F83" i="4"/>
  <c r="Q81" i="4"/>
  <c r="P74" i="4"/>
  <c r="N74" i="4"/>
  <c r="L74" i="4"/>
  <c r="J74" i="4"/>
  <c r="I74" i="4"/>
  <c r="H74" i="4"/>
  <c r="K75" i="4"/>
  <c r="K73" i="4"/>
  <c r="G74" i="4"/>
  <c r="K72" i="4"/>
  <c r="M74" i="4"/>
  <c r="Q73" i="4"/>
  <c r="O74" i="4"/>
  <c r="Q75" i="4"/>
  <c r="F74" i="4"/>
  <c r="Q72" i="4"/>
  <c r="O65" i="4"/>
  <c r="N65" i="4"/>
  <c r="M65" i="4"/>
  <c r="J65" i="4"/>
  <c r="I65" i="4"/>
  <c r="H65" i="4"/>
  <c r="K66" i="4"/>
  <c r="K64" i="4"/>
  <c r="G65" i="4"/>
  <c r="K63" i="4"/>
  <c r="Q64" i="4"/>
  <c r="P65" i="4"/>
  <c r="Q66" i="4"/>
  <c r="L65" i="4"/>
  <c r="F65" i="4"/>
  <c r="Q63" i="4"/>
  <c r="P56" i="4"/>
  <c r="N56" i="4"/>
  <c r="L56" i="4"/>
  <c r="J56" i="4"/>
  <c r="I56" i="4"/>
  <c r="H56" i="4"/>
  <c r="K57" i="4"/>
  <c r="K55" i="4"/>
  <c r="G56" i="4"/>
  <c r="K54" i="4"/>
  <c r="M56" i="4"/>
  <c r="O56" i="4"/>
  <c r="Q55" i="4"/>
  <c r="Q57" i="4"/>
  <c r="F56" i="4"/>
  <c r="Q54" i="4"/>
  <c r="K10" i="4"/>
  <c r="K9" i="4"/>
  <c r="J11" i="4"/>
  <c r="K12" i="4"/>
  <c r="F110" i="1"/>
  <c r="I38" i="1"/>
  <c r="K111" i="1"/>
  <c r="H38" i="1"/>
  <c r="H110" i="1"/>
  <c r="K109" i="1"/>
  <c r="P47" i="4"/>
  <c r="J47" i="4"/>
  <c r="I47" i="4"/>
  <c r="H47" i="4"/>
  <c r="G47" i="4"/>
  <c r="K46" i="4"/>
  <c r="K45" i="4"/>
  <c r="L47" i="4"/>
  <c r="K48" i="4"/>
  <c r="P11" i="4"/>
  <c r="M47" i="4"/>
  <c r="Q45" i="4"/>
  <c r="Q46" i="4"/>
  <c r="O47" i="4"/>
  <c r="Q48" i="4"/>
  <c r="N47" i="4"/>
  <c r="F47" i="4"/>
  <c r="K39" i="1"/>
  <c r="I110" i="1"/>
  <c r="Q10" i="4"/>
  <c r="P38" i="4"/>
  <c r="O38" i="4"/>
  <c r="N38" i="4"/>
  <c r="Q39" i="4"/>
  <c r="Q37" i="4"/>
  <c r="M38" i="4"/>
  <c r="Q36" i="4"/>
  <c r="J38" i="4"/>
  <c r="I38" i="4"/>
  <c r="H38" i="4"/>
  <c r="K39" i="4"/>
  <c r="K37" i="4"/>
  <c r="G38" i="4"/>
  <c r="K36" i="4"/>
  <c r="F38" i="4"/>
  <c r="L38" i="4"/>
  <c r="P29" i="4"/>
  <c r="O29" i="4"/>
  <c r="N29" i="4"/>
  <c r="Q30" i="4"/>
  <c r="Q28" i="4"/>
  <c r="M29" i="4"/>
  <c r="Q27" i="4"/>
  <c r="J29" i="4"/>
  <c r="I29" i="4"/>
  <c r="H29" i="4"/>
  <c r="K30" i="4"/>
  <c r="K28" i="4"/>
  <c r="G29" i="4"/>
  <c r="K27" i="4"/>
  <c r="F29" i="4"/>
  <c r="L29" i="4"/>
  <c r="P20" i="4"/>
  <c r="O20" i="4"/>
  <c r="N20" i="4"/>
  <c r="Q21" i="4"/>
  <c r="Q19" i="4"/>
  <c r="M20" i="4"/>
  <c r="Q18" i="4"/>
  <c r="J20" i="4"/>
  <c r="I20" i="4"/>
  <c r="H20" i="4"/>
  <c r="K21" i="4"/>
  <c r="K19" i="4"/>
  <c r="G20" i="4"/>
  <c r="K18" i="4"/>
  <c r="F20" i="4"/>
  <c r="L20" i="4"/>
  <c r="H11" i="4"/>
  <c r="G11" i="4"/>
  <c r="F11" i="4"/>
  <c r="Q12" i="4"/>
  <c r="Q9" i="4"/>
  <c r="O11" i="4"/>
  <c r="N11" i="4"/>
  <c r="M11" i="4"/>
  <c r="L11" i="4"/>
  <c r="I11" i="4"/>
  <c r="O110" i="1"/>
  <c r="N110" i="1"/>
  <c r="M110" i="1"/>
  <c r="L110" i="1"/>
  <c r="Q109" i="1"/>
  <c r="Q111" i="1"/>
  <c r="K108" i="1"/>
  <c r="Q108" i="1"/>
  <c r="O101" i="1"/>
  <c r="N101" i="1"/>
  <c r="Q102" i="1"/>
  <c r="M101" i="1"/>
  <c r="L101" i="1"/>
  <c r="I101" i="1"/>
  <c r="H101" i="1"/>
  <c r="K102" i="1"/>
  <c r="K100" i="1"/>
  <c r="G101" i="1"/>
  <c r="F101" i="1"/>
  <c r="Q100" i="1"/>
  <c r="K99" i="1"/>
  <c r="Q99" i="1"/>
  <c r="L92" i="1"/>
  <c r="O92" i="1"/>
  <c r="Q91" i="1"/>
  <c r="N92" i="1"/>
  <c r="Q93" i="1"/>
  <c r="M92" i="1"/>
  <c r="I92" i="1"/>
  <c r="H92" i="1"/>
  <c r="K93" i="1"/>
  <c r="K91" i="1"/>
  <c r="G92" i="1"/>
  <c r="F92" i="1"/>
  <c r="K90" i="1"/>
  <c r="Q90" i="1"/>
  <c r="O83" i="1"/>
  <c r="N83" i="1"/>
  <c r="Q84" i="1"/>
  <c r="M83" i="1"/>
  <c r="L83" i="1"/>
  <c r="I83" i="1"/>
  <c r="Q82" i="1"/>
  <c r="K84" i="1"/>
  <c r="H83" i="1"/>
  <c r="K82" i="1"/>
  <c r="G83" i="1"/>
  <c r="F83" i="1"/>
  <c r="K81" i="1"/>
  <c r="Q81" i="1"/>
  <c r="O74" i="1"/>
  <c r="N74" i="1"/>
  <c r="Q75" i="1"/>
  <c r="Q73" i="1"/>
  <c r="M74" i="1"/>
  <c r="L74" i="1"/>
  <c r="I74" i="1"/>
  <c r="H74" i="1"/>
  <c r="K75" i="1"/>
  <c r="K73" i="1"/>
  <c r="G74" i="1"/>
  <c r="F74" i="1"/>
  <c r="K72" i="1"/>
  <c r="Q72" i="1"/>
  <c r="O65" i="1"/>
  <c r="N65" i="1"/>
  <c r="Q66" i="1"/>
  <c r="Q64" i="1"/>
  <c r="M65" i="1"/>
  <c r="L65" i="1"/>
  <c r="I65" i="1"/>
  <c r="H65" i="1"/>
  <c r="K66" i="1"/>
  <c r="K64" i="1"/>
  <c r="G65" i="1"/>
  <c r="F65" i="1"/>
  <c r="K63" i="1"/>
  <c r="Q63" i="1"/>
  <c r="K37" i="1"/>
  <c r="O56" i="1"/>
  <c r="N56" i="1"/>
  <c r="M56" i="1"/>
  <c r="L56" i="1"/>
  <c r="I56" i="1"/>
  <c r="H56" i="1"/>
  <c r="K57" i="1"/>
  <c r="K55" i="1"/>
  <c r="G56" i="1"/>
  <c r="F56" i="1"/>
  <c r="Q55" i="1"/>
  <c r="Q57" i="1"/>
  <c r="K54" i="1"/>
  <c r="Q54" i="1"/>
  <c r="O47" i="1"/>
  <c r="N47" i="1"/>
  <c r="M47" i="1"/>
  <c r="L47" i="1"/>
  <c r="I47" i="1"/>
  <c r="H47" i="1"/>
  <c r="K48" i="1"/>
  <c r="K46" i="1"/>
  <c r="G47" i="1"/>
  <c r="F47" i="1"/>
  <c r="O29" i="1"/>
  <c r="N29" i="1"/>
  <c r="M29" i="1"/>
  <c r="L29" i="1"/>
  <c r="I29" i="1"/>
  <c r="H29" i="1"/>
  <c r="Q46" i="1"/>
  <c r="Q48" i="1"/>
  <c r="K45" i="1"/>
  <c r="Q45" i="1"/>
  <c r="K30" i="1"/>
  <c r="K28" i="1"/>
  <c r="G29" i="1"/>
  <c r="F29" i="1"/>
  <c r="O20" i="1"/>
  <c r="N20" i="1"/>
  <c r="M20" i="1"/>
  <c r="L20" i="1"/>
  <c r="I20" i="1"/>
  <c r="H20" i="1"/>
  <c r="K21" i="1"/>
  <c r="K19" i="1"/>
  <c r="G20" i="1"/>
  <c r="F20" i="1"/>
  <c r="Q19" i="1"/>
  <c r="Q21" i="1"/>
  <c r="Q28" i="1"/>
  <c r="Q30" i="1"/>
  <c r="K27" i="1"/>
  <c r="Q27" i="1"/>
  <c r="K18" i="1"/>
  <c r="Q18" i="1"/>
  <c r="O11" i="1"/>
  <c r="N11" i="1"/>
  <c r="M11" i="1"/>
  <c r="L11" i="1"/>
  <c r="I11" i="1"/>
  <c r="H11" i="1"/>
  <c r="K10" i="1"/>
  <c r="F38" i="1"/>
  <c r="K12" i="1"/>
  <c r="F11" i="1"/>
  <c r="G38" i="1"/>
  <c r="G11" i="1"/>
  <c r="Q10" i="1"/>
  <c r="Q12" i="1"/>
  <c r="K9" i="1"/>
  <c r="Q9" i="1"/>
  <c r="K36" i="1"/>
  <c r="K92" i="13" l="1"/>
  <c r="K20" i="10"/>
  <c r="K155" i="13"/>
  <c r="K29" i="13"/>
  <c r="K83" i="13"/>
  <c r="K128" i="13"/>
  <c r="K11" i="13"/>
  <c r="K20" i="9"/>
  <c r="K11" i="7"/>
  <c r="K74" i="4"/>
  <c r="Q38" i="12"/>
  <c r="K38" i="12"/>
  <c r="Q29" i="12"/>
  <c r="K29" i="12"/>
  <c r="Q20" i="12"/>
  <c r="K20" i="12"/>
  <c r="K11" i="12"/>
  <c r="Q11" i="12"/>
  <c r="Q20" i="11"/>
  <c r="K20" i="11"/>
  <c r="Q11" i="11"/>
  <c r="K11" i="11"/>
  <c r="Q20" i="10"/>
  <c r="Q20" i="9"/>
  <c r="Q11" i="10"/>
  <c r="K11" i="10"/>
  <c r="Q11" i="9"/>
  <c r="K11" i="9"/>
  <c r="Q11" i="7"/>
  <c r="Q155" i="13"/>
  <c r="Q146" i="13"/>
  <c r="K146" i="13"/>
  <c r="Q137" i="13"/>
  <c r="K137" i="13"/>
  <c r="Q128" i="13"/>
  <c r="Q119" i="13"/>
  <c r="K119" i="13"/>
  <c r="Q110" i="13"/>
  <c r="K110" i="13"/>
  <c r="Q92" i="13"/>
  <c r="Q101" i="13"/>
  <c r="K101" i="13"/>
  <c r="Q83" i="13"/>
  <c r="Q74" i="13"/>
  <c r="K74" i="13"/>
  <c r="Q65" i="13"/>
  <c r="K65" i="13"/>
  <c r="Q56" i="13"/>
  <c r="K56" i="13"/>
  <c r="Q47" i="13"/>
  <c r="K47" i="13"/>
  <c r="Q38" i="13"/>
  <c r="K38" i="13"/>
  <c r="Q29" i="13"/>
  <c r="K20" i="13"/>
  <c r="Q20" i="13"/>
  <c r="Q11" i="13"/>
  <c r="Q83" i="4"/>
  <c r="K83" i="4"/>
  <c r="Q74" i="4"/>
  <c r="Q65" i="4"/>
  <c r="K65" i="4"/>
  <c r="Q56" i="4"/>
  <c r="K56" i="4"/>
  <c r="K11" i="4"/>
  <c r="K110" i="1"/>
  <c r="K47" i="4"/>
  <c r="Q47" i="4"/>
  <c r="K92" i="1"/>
  <c r="Q38" i="4"/>
  <c r="K38" i="4"/>
  <c r="Q29" i="4"/>
  <c r="K29" i="4"/>
  <c r="Q20" i="4"/>
  <c r="K20" i="4"/>
  <c r="Q11" i="4"/>
  <c r="Q110" i="1"/>
  <c r="Q101" i="1"/>
  <c r="K101" i="1"/>
  <c r="Q92" i="1"/>
  <c r="Q83" i="1"/>
  <c r="K83" i="1"/>
  <c r="Q74" i="1"/>
  <c r="K74" i="1"/>
  <c r="Q65" i="1"/>
  <c r="K65" i="1"/>
  <c r="K20" i="1"/>
  <c r="Q56" i="1"/>
  <c r="K56" i="1"/>
  <c r="Q47" i="1"/>
  <c r="K47" i="1"/>
  <c r="Q29" i="1"/>
  <c r="K29" i="1"/>
  <c r="Q20" i="1"/>
  <c r="Q11" i="1"/>
  <c r="K11" i="1"/>
  <c r="K38" i="1"/>
  <c r="O39" i="1" l="1"/>
  <c r="O37" i="1"/>
  <c r="N39" i="1"/>
  <c r="N37" i="1"/>
  <c r="M39" i="1"/>
  <c r="M37" i="1"/>
  <c r="L39" i="1"/>
  <c r="L37" i="1"/>
  <c r="L36" i="1"/>
  <c r="O36" i="1"/>
  <c r="N36" i="1"/>
  <c r="M36" i="1"/>
  <c r="Q39" i="1" l="1"/>
  <c r="M38" i="1"/>
  <c r="N38" i="1"/>
  <c r="O38" i="1"/>
  <c r="Q37" i="1"/>
  <c r="L38" i="1"/>
  <c r="Q36" i="1"/>
  <c r="Q38" i="1" l="1"/>
</calcChain>
</file>

<file path=xl/sharedStrings.xml><?xml version="1.0" encoding="utf-8"?>
<sst xmlns="http://schemas.openxmlformats.org/spreadsheetml/2006/main" count="264992" uniqueCount="8278">
  <si>
    <t>UREA</t>
  </si>
  <si>
    <t>S-15</t>
  </si>
  <si>
    <t>10-26-26</t>
  </si>
  <si>
    <t>MOP</t>
  </si>
  <si>
    <t>TOTAL</t>
  </si>
  <si>
    <t>181-365</t>
  </si>
  <si>
    <t>366+</t>
  </si>
  <si>
    <t>GRAND TOTAL</t>
  </si>
  <si>
    <t>C R DEY</t>
  </si>
  <si>
    <t>TOTAL STOCK</t>
  </si>
  <si>
    <t>Plant</t>
  </si>
  <si>
    <t>Product</t>
  </si>
  <si>
    <t>State</t>
  </si>
  <si>
    <t>District</t>
  </si>
  <si>
    <t>Sub-District</t>
  </si>
  <si>
    <t>State Manager</t>
  </si>
  <si>
    <t>Area Manager</t>
  </si>
  <si>
    <t>Field Officer</t>
  </si>
  <si>
    <t>WH ID</t>
  </si>
  <si>
    <t>Wholesaler Name</t>
  </si>
  <si>
    <t>Dealership Nature</t>
  </si>
  <si>
    <t>Mobile Number</t>
  </si>
  <si>
    <t>Qty (In MT)</t>
  </si>
  <si>
    <t>Age (In Days)</t>
  </si>
  <si>
    <t>Ageing stock</t>
  </si>
  <si>
    <t>Invoice Number</t>
  </si>
  <si>
    <t>Invoice Date</t>
  </si>
  <si>
    <t>Seller Id</t>
  </si>
  <si>
    <t>Seller Name</t>
  </si>
  <si>
    <t>Seller Mobile Number</t>
  </si>
  <si>
    <t>RCF Thal</t>
  </si>
  <si>
    <t>N.C.Urea(45kg)</t>
  </si>
  <si>
    <t>WB</t>
  </si>
  <si>
    <t>24 Paraganas North</t>
  </si>
  <si>
    <t>Amdanga</t>
  </si>
  <si>
    <t>User Not Mapped</t>
  </si>
  <si>
    <t xml:space="preserve">Agradoot </t>
  </si>
  <si>
    <t>Private Wholsaler</t>
  </si>
  <si>
    <t>121-180</t>
  </si>
  <si>
    <t>'0509'</t>
  </si>
  <si>
    <t>2025-11-19</t>
  </si>
  <si>
    <t>607374</t>
  </si>
  <si>
    <t>SUMON SADHUKHAN</t>
  </si>
  <si>
    <t>7980704821</t>
  </si>
  <si>
    <t>RCF Import</t>
  </si>
  <si>
    <t>ALAM FERTILIZER</t>
  </si>
  <si>
    <t>0-30</t>
  </si>
  <si>
    <t>'AS01/230326'</t>
  </si>
  <si>
    <t>2026-03-23</t>
  </si>
  <si>
    <t>917469</t>
  </si>
  <si>
    <t>MONDAL KRISHI BHANDER</t>
  </si>
  <si>
    <t>Imp 10-26-26</t>
  </si>
  <si>
    <t>31-60</t>
  </si>
  <si>
    <t>'41'</t>
  </si>
  <si>
    <t>2026-03-07</t>
  </si>
  <si>
    <t>290832</t>
  </si>
  <si>
    <t>Kshitish Bardhan Chunilal Nath</t>
  </si>
  <si>
    <t>'39'</t>
  </si>
  <si>
    <t>2026-02-28</t>
  </si>
  <si>
    <t>RCF Trombay</t>
  </si>
  <si>
    <t>15-15-15</t>
  </si>
  <si>
    <t>61-90</t>
  </si>
  <si>
    <t>'37'</t>
  </si>
  <si>
    <t>2026-02-14</t>
  </si>
  <si>
    <t>Baduria</t>
  </si>
  <si>
    <t>Saha Krishi Bhandar</t>
  </si>
  <si>
    <t>9734801636</t>
  </si>
  <si>
    <t>'225'</t>
  </si>
  <si>
    <t>2025-12-15</t>
  </si>
  <si>
    <t>502354</t>
  </si>
  <si>
    <t>Joy Shankar Dutta  Sons Ferti</t>
  </si>
  <si>
    <t>9433002237</t>
  </si>
  <si>
    <t>'196'</t>
  </si>
  <si>
    <t>2025-11-29</t>
  </si>
  <si>
    <t>'285'</t>
  </si>
  <si>
    <t>2025-11-22</t>
  </si>
  <si>
    <t>262597</t>
  </si>
  <si>
    <t>M/S JOY SHANKAR DUTTA AND SONS</t>
  </si>
  <si>
    <t>'59A'</t>
  </si>
  <si>
    <t>2025-09-18</t>
  </si>
  <si>
    <t>'198'</t>
  </si>
  <si>
    <t>Samar Nath Sana</t>
  </si>
  <si>
    <t>9563062387</t>
  </si>
  <si>
    <t>'25-26/RCF/MOP/20'</t>
  </si>
  <si>
    <t>2026-02-27</t>
  </si>
  <si>
    <t>268815</t>
  </si>
  <si>
    <t>Chitta Ranjan Dey</t>
  </si>
  <si>
    <t>Barasat - I</t>
  </si>
  <si>
    <t>Barasat Krishi Bipani</t>
  </si>
  <si>
    <t>'WS3125003717'</t>
  </si>
  <si>
    <t>2026-02-24</t>
  </si>
  <si>
    <t>1</t>
  </si>
  <si>
    <t>rcf</t>
  </si>
  <si>
    <t>'WS3126000014'</t>
  </si>
  <si>
    <t>2026-04-01</t>
  </si>
  <si>
    <t xml:space="preserve">Saha Fertilizer Stores        </t>
  </si>
  <si>
    <t>8777624646</t>
  </si>
  <si>
    <t>'PINTUDA1'</t>
  </si>
  <si>
    <t>2025-12-13</t>
  </si>
  <si>
    <t>1170733</t>
  </si>
  <si>
    <t>IFFDC LTD</t>
  </si>
  <si>
    <t>'01282'</t>
  </si>
  <si>
    <t>2026-02-15</t>
  </si>
  <si>
    <t>223812</t>
  </si>
  <si>
    <t>M/S. Shyma Krishi B</t>
  </si>
  <si>
    <t>M/S Sariful Haque</t>
  </si>
  <si>
    <t>91-120</t>
  </si>
  <si>
    <t>'305'</t>
  </si>
  <si>
    <t>2026-01-19</t>
  </si>
  <si>
    <t>M/S. BERA ENTERPRISE</t>
  </si>
  <si>
    <t>'246'</t>
  </si>
  <si>
    <t>2025-08-25</t>
  </si>
  <si>
    <t>280832</t>
  </si>
  <si>
    <t xml:space="preserve"> S D Enterprise</t>
  </si>
  <si>
    <t>Basirhat - I</t>
  </si>
  <si>
    <t>MAA KRISHI BIPONI</t>
  </si>
  <si>
    <t>'278'</t>
  </si>
  <si>
    <t>2025-08-04</t>
  </si>
  <si>
    <t>405249</t>
  </si>
  <si>
    <t>Basirhat - II</t>
  </si>
  <si>
    <t>Ram prasad Mondal</t>
  </si>
  <si>
    <t>'25-26/RCF/MOP/24'</t>
  </si>
  <si>
    <t>Bongaon</t>
  </si>
  <si>
    <t>N.C. Das and Co.</t>
  </si>
  <si>
    <t>6297603863</t>
  </si>
  <si>
    <t>'WS3125003545'</t>
  </si>
  <si>
    <t>2026-02-16</t>
  </si>
  <si>
    <t>'WS3125003666'</t>
  </si>
  <si>
    <t>2026-02-21</t>
  </si>
  <si>
    <t>'3125004095'</t>
  </si>
  <si>
    <t>2026-03-18</t>
  </si>
  <si>
    <t>'NCD/03/0034'</t>
  </si>
  <si>
    <t>2026-03-11</t>
  </si>
  <si>
    <t>280729</t>
  </si>
  <si>
    <t>M/s. Naresh Chandra Das</t>
  </si>
  <si>
    <t>7365868045</t>
  </si>
  <si>
    <t>'3125004106'</t>
  </si>
  <si>
    <t>2026-03-25</t>
  </si>
  <si>
    <t>'WS3125003581'</t>
  </si>
  <si>
    <t>2026-02-17</t>
  </si>
  <si>
    <t>'3125004094'</t>
  </si>
  <si>
    <t>Mondal Stores</t>
  </si>
  <si>
    <t>'25-26/RCF/MOP/49'</t>
  </si>
  <si>
    <t>Bikram ghosh</t>
  </si>
  <si>
    <t>'25-26/RCF/MOP/51'</t>
  </si>
  <si>
    <t>'CKD/2526/FS/0556'</t>
  </si>
  <si>
    <t>2026-02-18</t>
  </si>
  <si>
    <t>223811</t>
  </si>
  <si>
    <t>Chanchal Kumar Dey</t>
  </si>
  <si>
    <t>SHIMUL HAZRA</t>
  </si>
  <si>
    <t>9932572558</t>
  </si>
  <si>
    <t>'25-26/RCF/MOP/48'</t>
  </si>
  <si>
    <t>LOKESH BISWAS</t>
  </si>
  <si>
    <t>'25-26/RCF/MOP/45'</t>
  </si>
  <si>
    <t>M/S RAMJAN MONDAL</t>
  </si>
  <si>
    <t>'25-26/RCF/MOP/47'</t>
  </si>
  <si>
    <t>'1423'</t>
  </si>
  <si>
    <t>2025-12-12</t>
  </si>
  <si>
    <t>888407</t>
  </si>
  <si>
    <t>MAA FERTILIZER</t>
  </si>
  <si>
    <t>9800042039</t>
  </si>
  <si>
    <t>'25-26/RCF/MOP/46'</t>
  </si>
  <si>
    <t>Deganga</t>
  </si>
  <si>
    <t>National Supply Agency</t>
  </si>
  <si>
    <t>'WS3125003620'</t>
  </si>
  <si>
    <t>'WS3126000006'</t>
  </si>
  <si>
    <t>Adarsha krishi bhander</t>
  </si>
  <si>
    <t>'NCD/N/0038/25-26'</t>
  </si>
  <si>
    <t>2025-06-21</t>
  </si>
  <si>
    <t>281522</t>
  </si>
  <si>
    <t>'878/1'</t>
  </si>
  <si>
    <t>2026-01-05</t>
  </si>
  <si>
    <t>Gaighata</t>
  </si>
  <si>
    <t>'508'</t>
  </si>
  <si>
    <t>New Radha krishna krishi bhand</t>
  </si>
  <si>
    <t>'25-26/RCF/10/35'</t>
  </si>
  <si>
    <t>2026-03-30</t>
  </si>
  <si>
    <t>Habra - I</t>
  </si>
  <si>
    <t>'WS3126000003'</t>
  </si>
  <si>
    <t>'WS3126000022'</t>
  </si>
  <si>
    <t>'WS3126000023'</t>
  </si>
  <si>
    <t xml:space="preserve">Malakshmi Krishi Bhandar      </t>
  </si>
  <si>
    <t>'WS3125003653'</t>
  </si>
  <si>
    <t>'WS3125003742'</t>
  </si>
  <si>
    <t>'WS3125003619'</t>
  </si>
  <si>
    <t>'WS3125003543'</t>
  </si>
  <si>
    <t>'WS3125003572'</t>
  </si>
  <si>
    <t>'WS3126000011'</t>
  </si>
  <si>
    <t>'WS3126000010'</t>
  </si>
  <si>
    <t>Sonali Enterprise</t>
  </si>
  <si>
    <t>8250035491</t>
  </si>
  <si>
    <t>'MLKB/F/0831'</t>
  </si>
  <si>
    <t>2026-03-14</t>
  </si>
  <si>
    <t>281511</t>
  </si>
  <si>
    <t>B K ROY AND COMPANY</t>
  </si>
  <si>
    <t>'WS3126000013'</t>
  </si>
  <si>
    <t>Habra - II</t>
  </si>
  <si>
    <t>Krishak Krishi Bhander</t>
  </si>
  <si>
    <t>'TAJU499'</t>
  </si>
  <si>
    <t>223807</t>
  </si>
  <si>
    <t>M.K. Chemical and Fertilizers</t>
  </si>
  <si>
    <t>9051316329</t>
  </si>
  <si>
    <t>'01276'</t>
  </si>
  <si>
    <t>2026-02-20</t>
  </si>
  <si>
    <t>Swarupnagar</t>
  </si>
  <si>
    <t>Mondal Krishi Bhandar</t>
  </si>
  <si>
    <t>'25-26/RCF/MOP/17'</t>
  </si>
  <si>
    <t>JANAKALYAN KRISHI BHANDER</t>
  </si>
  <si>
    <t>'25-26/RCF/MOP/2'</t>
  </si>
  <si>
    <t>Supriyo Das</t>
  </si>
  <si>
    <t>9564048050</t>
  </si>
  <si>
    <t>'25-26/RCF/MOP/16'</t>
  </si>
  <si>
    <t>'25-26/RCF/MOP/15'</t>
  </si>
  <si>
    <t>GRAMIN KRISHI BHANDER</t>
  </si>
  <si>
    <t>'25-26/RCF/MOP/1'</t>
  </si>
  <si>
    <t xml:space="preserve">Sahidul Islam  Co.           </t>
  </si>
  <si>
    <t>9153379112</t>
  </si>
  <si>
    <t>'WS3125003633'</t>
  </si>
  <si>
    <t>'WS3125003998'</t>
  </si>
  <si>
    <t>2026-03-09</t>
  </si>
  <si>
    <t>'WS3125003525'</t>
  </si>
  <si>
    <t>'WS3125003622'</t>
  </si>
  <si>
    <t>Amal Sales Corporation</t>
  </si>
  <si>
    <t>'WS3125003613'</t>
  </si>
  <si>
    <t>'WS3125003716'</t>
  </si>
  <si>
    <t>'WS3125003639'</t>
  </si>
  <si>
    <t>'WS3125003989'</t>
  </si>
  <si>
    <t>24 Paraganas South</t>
  </si>
  <si>
    <t>Bhangar - I</t>
  </si>
  <si>
    <t>Md Nowshar Ali Molla</t>
  </si>
  <si>
    <t>9143336806</t>
  </si>
  <si>
    <t>'WS3125003682'</t>
  </si>
  <si>
    <t>'WS3125003534'</t>
  </si>
  <si>
    <t>'WS3125003401'</t>
  </si>
  <si>
    <t>2026-02-10</t>
  </si>
  <si>
    <t>Bishnupur - I</t>
  </si>
  <si>
    <t>Hasya Badhan Makhal</t>
  </si>
  <si>
    <t>9674092010</t>
  </si>
  <si>
    <t>'WS3125003722'</t>
  </si>
  <si>
    <t>'WS3125003529'</t>
  </si>
  <si>
    <t>'WS3125003407'</t>
  </si>
  <si>
    <t>Bishnupur - II</t>
  </si>
  <si>
    <t>M/s. Janardan Parui</t>
  </si>
  <si>
    <t>6290703360</t>
  </si>
  <si>
    <t>'WS3125003960'</t>
  </si>
  <si>
    <t>'WS3125003530'</t>
  </si>
  <si>
    <t>M/S Sukumar Das</t>
  </si>
  <si>
    <t>9433009221</t>
  </si>
  <si>
    <t>'gp00452'</t>
  </si>
  <si>
    <t>2026-03-17</t>
  </si>
  <si>
    <t>269946</t>
  </si>
  <si>
    <t>Kultali</t>
  </si>
  <si>
    <t>Surendra Krishi Bhander</t>
  </si>
  <si>
    <t>9434404364</t>
  </si>
  <si>
    <t>'1235'</t>
  </si>
  <si>
    <t>2026-04-03</t>
  </si>
  <si>
    <t>280736</t>
  </si>
  <si>
    <t>M/S TAPAN KUMAR KARMAKAR</t>
  </si>
  <si>
    <t>7584080473</t>
  </si>
  <si>
    <t>'4899'</t>
  </si>
  <si>
    <t>2025-11-18</t>
  </si>
  <si>
    <t>MA NAMITA ENTERPRISE</t>
  </si>
  <si>
    <t>7699295315</t>
  </si>
  <si>
    <t>'4543'</t>
  </si>
  <si>
    <t>2025-08-08</t>
  </si>
  <si>
    <t>Magrahat - I</t>
  </si>
  <si>
    <t xml:space="preserve">Manoda Fertilisers            </t>
  </si>
  <si>
    <t>9830280488</t>
  </si>
  <si>
    <t>'WS3125003680'</t>
  </si>
  <si>
    <t>'WS3125003532'</t>
  </si>
  <si>
    <t>Magrahat - II</t>
  </si>
  <si>
    <t>Md Alauddin Mollick</t>
  </si>
  <si>
    <t>8926710497</t>
  </si>
  <si>
    <t>'WS3125003402'</t>
  </si>
  <si>
    <t>'WS3125003681'</t>
  </si>
  <si>
    <t>'WS3125003533'</t>
  </si>
  <si>
    <t>Mathurapur - II</t>
  </si>
  <si>
    <t>Kirtibas Kapat (A.S.C.)</t>
  </si>
  <si>
    <t>9064538989</t>
  </si>
  <si>
    <t>'WS3125003738'</t>
  </si>
  <si>
    <t>'WS3125003405'</t>
  </si>
  <si>
    <t>Bhabasindhu Halder</t>
  </si>
  <si>
    <t>8926428665</t>
  </si>
  <si>
    <t>'BHABO492'</t>
  </si>
  <si>
    <t xml:space="preserve"> Mahamaya Krishi Bhander</t>
  </si>
  <si>
    <t>District Cooperative Marketing Society</t>
  </si>
  <si>
    <t>9933502068</t>
  </si>
  <si>
    <t>'HE008065'</t>
  </si>
  <si>
    <t>2026-01-03</t>
  </si>
  <si>
    <t>'HE008066'</t>
  </si>
  <si>
    <t>Din Mohammad Laskar</t>
  </si>
  <si>
    <t>7003318442</t>
  </si>
  <si>
    <t>'ASRAFUL501'</t>
  </si>
  <si>
    <t>Namkhana Krishi Bipani</t>
  </si>
  <si>
    <t>366-546</t>
  </si>
  <si>
    <t>'HD006235'</t>
  </si>
  <si>
    <t>2024-12-04</t>
  </si>
  <si>
    <t>Kakdip Sar Bhandar</t>
  </si>
  <si>
    <t>'HE009047'</t>
  </si>
  <si>
    <t>2026-01-28</t>
  </si>
  <si>
    <t>Alipurduar</t>
  </si>
  <si>
    <t>Falakata</t>
  </si>
  <si>
    <t xml:space="preserve">Raja Fertilizer              </t>
  </si>
  <si>
    <t>8370801460</t>
  </si>
  <si>
    <t>'RF/ST/793'</t>
  </si>
  <si>
    <t>2026-02-09</t>
  </si>
  <si>
    <t>214210</t>
  </si>
  <si>
    <t>Raja Fertilizer</t>
  </si>
  <si>
    <t>8370801459</t>
  </si>
  <si>
    <t>'RF/ST/562'</t>
  </si>
  <si>
    <t>2026-04-14</t>
  </si>
  <si>
    <t>'RF/ST/788'</t>
  </si>
  <si>
    <t>Mahakal Enterprise</t>
  </si>
  <si>
    <t>9674571163</t>
  </si>
  <si>
    <t>'VAC/25-26/1304'</t>
  </si>
  <si>
    <t>214204</t>
  </si>
  <si>
    <t>Vikas Agrochemicals</t>
  </si>
  <si>
    <t>9474382706</t>
  </si>
  <si>
    <t>'VAC/25-26/1305'</t>
  </si>
  <si>
    <t>M/s. Mathura Nath Chowdhury</t>
  </si>
  <si>
    <t>7602178949</t>
  </si>
  <si>
    <t>'RF/ST/564'</t>
  </si>
  <si>
    <t>'RF/ST/455'</t>
  </si>
  <si>
    <t>2026-04-11</t>
  </si>
  <si>
    <t>260048</t>
  </si>
  <si>
    <t>Raja Fertilizers(Cbh)</t>
  </si>
  <si>
    <t>Kumargram</t>
  </si>
  <si>
    <t>NEW FARFERS TRADING</t>
  </si>
  <si>
    <t>'ME/25-26/3255'</t>
  </si>
  <si>
    <t>260049</t>
  </si>
  <si>
    <t>NEW AMIYA STORE</t>
  </si>
  <si>
    <t>'684'</t>
  </si>
  <si>
    <t>2026-03-05</t>
  </si>
  <si>
    <t>1264109</t>
  </si>
  <si>
    <t>M/S SUNIL KUMAR KUNDU</t>
  </si>
  <si>
    <t>9832028729</t>
  </si>
  <si>
    <t>Bankura</t>
  </si>
  <si>
    <t>Vishnupur</t>
  </si>
  <si>
    <t>Bankim Chandra Makur</t>
  </si>
  <si>
    <t>9434520840</t>
  </si>
  <si>
    <t>'WS3125003665'</t>
  </si>
  <si>
    <t>Bardhaman</t>
  </si>
  <si>
    <t>Bhatar</t>
  </si>
  <si>
    <t>M/s. Kiran Sankar Ray</t>
  </si>
  <si>
    <t>8250469811</t>
  </si>
  <si>
    <t>'G-09'</t>
  </si>
  <si>
    <t>2025-10-30</t>
  </si>
  <si>
    <t>261689</t>
  </si>
  <si>
    <t>M/s. Bimal Kumar Laha</t>
  </si>
  <si>
    <t>9434133803</t>
  </si>
  <si>
    <t>'G-08'</t>
  </si>
  <si>
    <t>'G-07'</t>
  </si>
  <si>
    <t>Burdwan - I</t>
  </si>
  <si>
    <t>PRASUN DAS</t>
  </si>
  <si>
    <t>9564391014</t>
  </si>
  <si>
    <t>'32/25-26'</t>
  </si>
  <si>
    <t>1612392</t>
  </si>
  <si>
    <t>MANIK LAL PAL</t>
  </si>
  <si>
    <t>8926111645</t>
  </si>
  <si>
    <t>'989'</t>
  </si>
  <si>
    <t>261683</t>
  </si>
  <si>
    <t>Amadpur U.C.A.C.S. Ltd.</t>
  </si>
  <si>
    <t>8967854686</t>
  </si>
  <si>
    <t>Galsi - I</t>
  </si>
  <si>
    <t>Gopeswar Jash</t>
  </si>
  <si>
    <t>8170016410</t>
  </si>
  <si>
    <t>'E-45'</t>
  </si>
  <si>
    <t>2025-08-16</t>
  </si>
  <si>
    <t>Galsi - II</t>
  </si>
  <si>
    <t xml:space="preserve">GHOSH KRISHI BHANDAR </t>
  </si>
  <si>
    <t>Marketer</t>
  </si>
  <si>
    <t>7501551576</t>
  </si>
  <si>
    <t>'2501'</t>
  </si>
  <si>
    <t>286044</t>
  </si>
  <si>
    <t>P M Sales Agency</t>
  </si>
  <si>
    <t>9434002276</t>
  </si>
  <si>
    <t>'2500'</t>
  </si>
  <si>
    <t>Jamalpur</t>
  </si>
  <si>
    <t>'WS3125003332'</t>
  </si>
  <si>
    <t>'WS3125003692'</t>
  </si>
  <si>
    <t>'WS3125003710'</t>
  </si>
  <si>
    <t>2026-02-22</t>
  </si>
  <si>
    <t>'WS3125003693'</t>
  </si>
  <si>
    <t>'WS3125003331'</t>
  </si>
  <si>
    <t>'WS3125003695'</t>
  </si>
  <si>
    <t>'WS3125003328'</t>
  </si>
  <si>
    <t>'WS3125003694'</t>
  </si>
  <si>
    <t>Sibnath Dawn</t>
  </si>
  <si>
    <t>9002133663</t>
  </si>
  <si>
    <t>'WS3125003333'</t>
  </si>
  <si>
    <t>Katwa - I</t>
  </si>
  <si>
    <t>M/s. S.Sikdar and Co.</t>
  </si>
  <si>
    <t>9064141714</t>
  </si>
  <si>
    <t>'WS3125003068'</t>
  </si>
  <si>
    <t>2026-01-23</t>
  </si>
  <si>
    <t>'WS3125003640'</t>
  </si>
  <si>
    <t>'WS3125002818'</t>
  </si>
  <si>
    <t>'WS3126000001'</t>
  </si>
  <si>
    <t>Mangolkote</t>
  </si>
  <si>
    <t>M/S SOUMEN LAHA</t>
  </si>
  <si>
    <t>7679682894</t>
  </si>
  <si>
    <t>'762'</t>
  </si>
  <si>
    <t>2025-09-08</t>
  </si>
  <si>
    <t>Memari - I</t>
  </si>
  <si>
    <t>PACS</t>
  </si>
  <si>
    <t>'I-19'</t>
  </si>
  <si>
    <t>2025-12-24</t>
  </si>
  <si>
    <t>'H-21'</t>
  </si>
  <si>
    <t>2025-11-26</t>
  </si>
  <si>
    <t>Memari - II</t>
  </si>
  <si>
    <t>'WS3125003734'</t>
  </si>
  <si>
    <t>'WS3125003696'</t>
  </si>
  <si>
    <t>'WS3125003712'</t>
  </si>
  <si>
    <t>Raina - I</t>
  </si>
  <si>
    <t>M/S MONDAL ENTERPRISE</t>
  </si>
  <si>
    <t>8620027376</t>
  </si>
  <si>
    <t>'E-85'</t>
  </si>
  <si>
    <t>'E-41'</t>
  </si>
  <si>
    <t>Birbhum</t>
  </si>
  <si>
    <t>Rampurhat - I</t>
  </si>
  <si>
    <t>Sree Maa Fertilizer</t>
  </si>
  <si>
    <t>7063506552</t>
  </si>
  <si>
    <t>'3125003702'</t>
  </si>
  <si>
    <t>2026-02-23</t>
  </si>
  <si>
    <t>'WS3125003826'</t>
  </si>
  <si>
    <t>2026-03-08</t>
  </si>
  <si>
    <t>'WS3125003825'</t>
  </si>
  <si>
    <t>M/s. Kishan Fertilizer</t>
  </si>
  <si>
    <t>9933896323</t>
  </si>
  <si>
    <t>'WS3125004021'</t>
  </si>
  <si>
    <t>'WS3125003828'</t>
  </si>
  <si>
    <t>'WS3125004008'</t>
  </si>
  <si>
    <t>'WS3125004022'</t>
  </si>
  <si>
    <t>'WS3125003829'</t>
  </si>
  <si>
    <t>'3125003524'</t>
  </si>
  <si>
    <t>'2526RAMSDF1111'</t>
  </si>
  <si>
    <t>280775</t>
  </si>
  <si>
    <t>R A Kheria</t>
  </si>
  <si>
    <t>9830290085</t>
  </si>
  <si>
    <t>'WS3125003830'</t>
  </si>
  <si>
    <t>'WS3125003827'</t>
  </si>
  <si>
    <t>Sainthia</t>
  </si>
  <si>
    <t>'21'</t>
  </si>
  <si>
    <t>262596</t>
  </si>
  <si>
    <t>M/S JOY NARAYAN DUTTA AND BROS</t>
  </si>
  <si>
    <t>9433002266</t>
  </si>
  <si>
    <t>'WS3125003246'</t>
  </si>
  <si>
    <t>2026-02-04</t>
  </si>
  <si>
    <t>Coochbehar</t>
  </si>
  <si>
    <t>Cooch Behar - I</t>
  </si>
  <si>
    <t xml:space="preserve">Dey Banik Fertiliser  Co.    </t>
  </si>
  <si>
    <t>9775801969</t>
  </si>
  <si>
    <t>'WS3125003752'</t>
  </si>
  <si>
    <t>2026-03-02</t>
  </si>
  <si>
    <t>'WS3125003243'</t>
  </si>
  <si>
    <t>2026-02-03</t>
  </si>
  <si>
    <t>'RF/ST/794'</t>
  </si>
  <si>
    <t>'RF/ST/913'</t>
  </si>
  <si>
    <t>'RF/ST/561'</t>
  </si>
  <si>
    <t>Dinhata - I</t>
  </si>
  <si>
    <t>MAA KALI FERTILIZER</t>
  </si>
  <si>
    <t>9933179116</t>
  </si>
  <si>
    <t>'B/25-26/030020'</t>
  </si>
  <si>
    <t>254732</t>
  </si>
  <si>
    <t>Binod Kumar Maskara</t>
  </si>
  <si>
    <t>8250461848</t>
  </si>
  <si>
    <t>Mathabhanga - II</t>
  </si>
  <si>
    <t xml:space="preserve">KAMAL KR ROY </t>
  </si>
  <si>
    <t>9735973823</t>
  </si>
  <si>
    <t>'GST/139/26-27'</t>
  </si>
  <si>
    <t>268761</t>
  </si>
  <si>
    <t>Chaki Enterprise</t>
  </si>
  <si>
    <t>8348285333</t>
  </si>
  <si>
    <t>Mekliganj</t>
  </si>
  <si>
    <t>M/S PRASANTA DAS</t>
  </si>
  <si>
    <t>8670737096</t>
  </si>
  <si>
    <t>'AKB/SA/4072'</t>
  </si>
  <si>
    <t>2026-02-06</t>
  </si>
  <si>
    <t>222671</t>
  </si>
  <si>
    <t>Adarsha Krishi Bhandar</t>
  </si>
  <si>
    <t>7872827880</t>
  </si>
  <si>
    <t>'AKB/SA/4073'</t>
  </si>
  <si>
    <t>'AKB/SA/4071'</t>
  </si>
  <si>
    <t>'STA/62/25-26'</t>
  </si>
  <si>
    <t>Sitai</t>
  </si>
  <si>
    <t>M/s. Debashis Kundu</t>
  </si>
  <si>
    <t>9641428689</t>
  </si>
  <si>
    <t>'2526USPKSLGF0088'</t>
  </si>
  <si>
    <t>2026-02-12</t>
  </si>
  <si>
    <t>1409662</t>
  </si>
  <si>
    <t>UMA SHANKAR PRADIP KUMAR</t>
  </si>
  <si>
    <t>9831636631</t>
  </si>
  <si>
    <t>'2526USPKSLGF0125'</t>
  </si>
  <si>
    <t>2026-03-12</t>
  </si>
  <si>
    <t>M/S ABDUL RAHAMAN HAQUE</t>
  </si>
  <si>
    <t>'RF/C/25-26/2516'</t>
  </si>
  <si>
    <t>2026-03-10</t>
  </si>
  <si>
    <t>Sitalkuchi</t>
  </si>
  <si>
    <t>Tapan Kumar Singh</t>
  </si>
  <si>
    <t>9932263327</t>
  </si>
  <si>
    <t>'AC/25-26/0427'</t>
  </si>
  <si>
    <t>1375345</t>
  </si>
  <si>
    <t xml:space="preserve">M/S AGRO CARE </t>
  </si>
  <si>
    <t>7908844177</t>
  </si>
  <si>
    <t>M/s Laxmi Narayan Fertilizer</t>
  </si>
  <si>
    <t>8116546931</t>
  </si>
  <si>
    <t>'1894'</t>
  </si>
  <si>
    <t>1098527</t>
  </si>
  <si>
    <t>M/S SUNIL KR.KUNDU</t>
  </si>
  <si>
    <t>Tufanganj - II</t>
  </si>
  <si>
    <t>M/S. PRAHALLAD  DAS</t>
  </si>
  <si>
    <t>9635190209</t>
  </si>
  <si>
    <t>'F/D25-26/2259'</t>
  </si>
  <si>
    <t>288290</t>
  </si>
  <si>
    <t>M/s Ma Mahamaya Krishi Bhandar</t>
  </si>
  <si>
    <t>9547002014</t>
  </si>
  <si>
    <t>'F/D25-26/2207'</t>
  </si>
  <si>
    <t>'824A'</t>
  </si>
  <si>
    <t>2026-03-03</t>
  </si>
  <si>
    <t>268849</t>
  </si>
  <si>
    <t>'672'</t>
  </si>
  <si>
    <t>'F/D25-26/2208'</t>
  </si>
  <si>
    <t>Dinajpur Dakshin</t>
  </si>
  <si>
    <t>Balurghat</t>
  </si>
  <si>
    <t>Tushar Kanti Agarwala</t>
  </si>
  <si>
    <t>8597190846</t>
  </si>
  <si>
    <t>'WS3125003297'</t>
  </si>
  <si>
    <t>2026-02-05</t>
  </si>
  <si>
    <t>'WS3125003233'</t>
  </si>
  <si>
    <t>'WS3125003870'</t>
  </si>
  <si>
    <t>'WS3125003310'</t>
  </si>
  <si>
    <t>'WS3125003873'</t>
  </si>
  <si>
    <t>'WS3125003871'</t>
  </si>
  <si>
    <t>Bansihari</t>
  </si>
  <si>
    <t>M/s. Krishi Unnayan Kendra</t>
  </si>
  <si>
    <t>8759907610</t>
  </si>
  <si>
    <t>'306'</t>
  </si>
  <si>
    <t>2025-09-25</t>
  </si>
  <si>
    <t>263373</t>
  </si>
  <si>
    <t>M/s. Kanailal Kedar Prasad</t>
  </si>
  <si>
    <t>9735692523</t>
  </si>
  <si>
    <t>'779'</t>
  </si>
  <si>
    <t>2025-12-10</t>
  </si>
  <si>
    <t>Gangarampur</t>
  </si>
  <si>
    <t>JIBAN KUMAR SEN</t>
  </si>
  <si>
    <t>9434144964</t>
  </si>
  <si>
    <t>'FER/25-26/1862'</t>
  </si>
  <si>
    <t>2026-03-26</t>
  </si>
  <si>
    <t>263382</t>
  </si>
  <si>
    <t>M/S Hoque Fertilizer Agency</t>
  </si>
  <si>
    <t>9775429340</t>
  </si>
  <si>
    <t>'1045'</t>
  </si>
  <si>
    <t>2026-02-13</t>
  </si>
  <si>
    <t>Harirampur</t>
  </si>
  <si>
    <t>Krishi Ghar</t>
  </si>
  <si>
    <t>7031245549</t>
  </si>
  <si>
    <t>'861'</t>
  </si>
  <si>
    <t>2026-01-20</t>
  </si>
  <si>
    <t>'629'</t>
  </si>
  <si>
    <t>281503</t>
  </si>
  <si>
    <t>'58'</t>
  </si>
  <si>
    <t>Kushmundi</t>
  </si>
  <si>
    <t>Keshav Joshi</t>
  </si>
  <si>
    <t>9475163493</t>
  </si>
  <si>
    <t>'780'</t>
  </si>
  <si>
    <t>Tapan</t>
  </si>
  <si>
    <t>M/S BISWAJIT KAR</t>
  </si>
  <si>
    <t>8906547307</t>
  </si>
  <si>
    <t>'6674'</t>
  </si>
  <si>
    <t>2025-11-25</t>
  </si>
  <si>
    <t>281486</t>
  </si>
  <si>
    <t>Birendra Nath Saha</t>
  </si>
  <si>
    <t>9474942172</t>
  </si>
  <si>
    <t>'228'</t>
  </si>
  <si>
    <t>2025-08-23</t>
  </si>
  <si>
    <t>547+</t>
  </si>
  <si>
    <t>2023-11-22</t>
  </si>
  <si>
    <t>739732</t>
  </si>
  <si>
    <t>RATAN KUMAR LAHA</t>
  </si>
  <si>
    <t>9563078662</t>
  </si>
  <si>
    <t>'226'</t>
  </si>
  <si>
    <t>Shyamala Agency</t>
  </si>
  <si>
    <t>9932733980</t>
  </si>
  <si>
    <t>'1041'</t>
  </si>
  <si>
    <t>Dinajpur Uttar</t>
  </si>
  <si>
    <t>Hemtabad</t>
  </si>
  <si>
    <t>M/S RADHA KRISHNA SAR BHANDAR</t>
  </si>
  <si>
    <t>9735437617</t>
  </si>
  <si>
    <t>'OFMS2'</t>
  </si>
  <si>
    <t>1259524</t>
  </si>
  <si>
    <t>M/S KRISHI GHAR</t>
  </si>
  <si>
    <t>9064113554</t>
  </si>
  <si>
    <t>Islampur</t>
  </si>
  <si>
    <t>Binod Kumar Baheti</t>
  </si>
  <si>
    <t>9800885611</t>
  </si>
  <si>
    <t>'WS3125003282'</t>
  </si>
  <si>
    <t>BIJON BANERJEE</t>
  </si>
  <si>
    <t>9609455194</t>
  </si>
  <si>
    <t>'UD/25-26/00065'</t>
  </si>
  <si>
    <t>Itahar</t>
  </si>
  <si>
    <t>KIRAN AGRO</t>
  </si>
  <si>
    <t>7001938584</t>
  </si>
  <si>
    <t>T. HOSSAIN &amp; SONS</t>
  </si>
  <si>
    <t>9242592770</t>
  </si>
  <si>
    <t>'VAC/25-26/1377'</t>
  </si>
  <si>
    <t>'VAC/25-26/1378'</t>
  </si>
  <si>
    <t>BANKIM CHANDRA MANDAL</t>
  </si>
  <si>
    <t>7001573946</t>
  </si>
  <si>
    <t>'2026'</t>
  </si>
  <si>
    <t>2025-12-08</t>
  </si>
  <si>
    <t>342392</t>
  </si>
  <si>
    <t>7407719515</t>
  </si>
  <si>
    <t>'2883'</t>
  </si>
  <si>
    <t>'3129'</t>
  </si>
  <si>
    <t>7001196936</t>
  </si>
  <si>
    <t>'2888'</t>
  </si>
  <si>
    <t>'1020'</t>
  </si>
  <si>
    <t>291327</t>
  </si>
  <si>
    <t>Nandalal Agarwala</t>
  </si>
  <si>
    <t>9434106010</t>
  </si>
  <si>
    <t>'2889'</t>
  </si>
  <si>
    <t>Raiganj</t>
  </si>
  <si>
    <t>Pulak Sarkar</t>
  </si>
  <si>
    <t>9474141205</t>
  </si>
  <si>
    <t>2024-09-14</t>
  </si>
  <si>
    <t>GHOSH FERTILIZER</t>
  </si>
  <si>
    <t>9434967172</t>
  </si>
  <si>
    <t>'1055'</t>
  </si>
  <si>
    <t>BISWAS FERTILIZER</t>
  </si>
  <si>
    <t>9635905766</t>
  </si>
  <si>
    <t>'2526RKF2939'</t>
  </si>
  <si>
    <t>254617</t>
  </si>
  <si>
    <t>M/s. R.K.Fertilizers</t>
  </si>
  <si>
    <t>9932191695</t>
  </si>
  <si>
    <t>M/S BASAK AND SONS</t>
  </si>
  <si>
    <t>9434458269</t>
  </si>
  <si>
    <t>'MAR09A'</t>
  </si>
  <si>
    <t>1086016</t>
  </si>
  <si>
    <t>'2029'</t>
  </si>
  <si>
    <t>Hooghly</t>
  </si>
  <si>
    <t>Chinsurah - Magra</t>
  </si>
  <si>
    <t>'253'</t>
  </si>
  <si>
    <t>260241</t>
  </si>
  <si>
    <t>Tapan Kumar Chel</t>
  </si>
  <si>
    <t>9007410200</t>
  </si>
  <si>
    <t>'59'</t>
  </si>
  <si>
    <t>2025-12-17</t>
  </si>
  <si>
    <t>Haripal</t>
  </si>
  <si>
    <t>M/S BIKAS CHANDRA BHANDARI</t>
  </si>
  <si>
    <t>8013238945</t>
  </si>
  <si>
    <t>'254'</t>
  </si>
  <si>
    <t>'182'</t>
  </si>
  <si>
    <t>Polba - Dadpur</t>
  </si>
  <si>
    <t>Sri Subhas Chandra Khan</t>
  </si>
  <si>
    <t>9804538127</t>
  </si>
  <si>
    <t>'57'</t>
  </si>
  <si>
    <t>'179'</t>
  </si>
  <si>
    <t>'251'</t>
  </si>
  <si>
    <t>'0251'</t>
  </si>
  <si>
    <t>'SUBHAS549'</t>
  </si>
  <si>
    <t>Howrah</t>
  </si>
  <si>
    <t>Shyampur - II</t>
  </si>
  <si>
    <t>M/S Patra and Sons</t>
  </si>
  <si>
    <t>9434316884</t>
  </si>
  <si>
    <t>'4222'</t>
  </si>
  <si>
    <t>2026-03-01</t>
  </si>
  <si>
    <t>1429116</t>
  </si>
  <si>
    <t>PATRA AND SONS</t>
  </si>
  <si>
    <t>8515915342</t>
  </si>
  <si>
    <t>Sasati SKUS Limited</t>
  </si>
  <si>
    <t>'4215'</t>
  </si>
  <si>
    <t>2026-02-25</t>
  </si>
  <si>
    <t>332581</t>
  </si>
  <si>
    <t>Jalpaiguri</t>
  </si>
  <si>
    <t>Kharibari</t>
  </si>
  <si>
    <t>M/S Prodip Kr Ghosh</t>
  </si>
  <si>
    <t>9002771451</t>
  </si>
  <si>
    <t>'2510'</t>
  </si>
  <si>
    <t>280728</t>
  </si>
  <si>
    <t>M/s. Sunil Kumar Kundu</t>
  </si>
  <si>
    <t>ATUL FERTILIZER</t>
  </si>
  <si>
    <t>9800490901</t>
  </si>
  <si>
    <t>'2526USPKSLGF0110'</t>
  </si>
  <si>
    <t>'2526USPKSLGF0112'</t>
  </si>
  <si>
    <t>'2526USPKSLGF0107'</t>
  </si>
  <si>
    <t>'2382/2384/2385/2386'</t>
  </si>
  <si>
    <t>'2526USPKSLGF0108'</t>
  </si>
  <si>
    <t>'2526USPKSLGF0106'</t>
  </si>
  <si>
    <t>'2526USPKSLGF0111'</t>
  </si>
  <si>
    <t>'2526USPKSLGF0113'</t>
  </si>
  <si>
    <t>'2526USPKSLGF0109'</t>
  </si>
  <si>
    <t>Mal</t>
  </si>
  <si>
    <t>M/S PANKAJ SARKAR</t>
  </si>
  <si>
    <t>'RF/S/25-26/783'</t>
  </si>
  <si>
    <t>Matigara</t>
  </si>
  <si>
    <t>'WS3125003281'</t>
  </si>
  <si>
    <t>'WS3125003277'</t>
  </si>
  <si>
    <t>'WS3125003795'</t>
  </si>
  <si>
    <t>'WS3125003790'</t>
  </si>
  <si>
    <t>'WS3125003798'</t>
  </si>
  <si>
    <t>'WS3125003794'</t>
  </si>
  <si>
    <t>'WS3125003796'</t>
  </si>
  <si>
    <t>'WS3125003278'</t>
  </si>
  <si>
    <t>'WS3125003279'</t>
  </si>
  <si>
    <t>Maynaguri</t>
  </si>
  <si>
    <t>'WS3125003319'</t>
  </si>
  <si>
    <t>'AC/25-26/0375'</t>
  </si>
  <si>
    <t>Phansidewa</t>
  </si>
  <si>
    <t>'WS3125003304'</t>
  </si>
  <si>
    <t>Debashis Kundu</t>
  </si>
  <si>
    <t>'697A'</t>
  </si>
  <si>
    <t>B.G.FERTILIZER</t>
  </si>
  <si>
    <t>9832049926</t>
  </si>
  <si>
    <t>'2526USPKSLGF0092'</t>
  </si>
  <si>
    <t>'2526USPKSLGF0123'</t>
  </si>
  <si>
    <t>'2526USPKSLGF0126'</t>
  </si>
  <si>
    <t>2026-03-13</t>
  </si>
  <si>
    <t>Rajganj</t>
  </si>
  <si>
    <t>'WS3125003272'</t>
  </si>
  <si>
    <t>Maldah</t>
  </si>
  <si>
    <t>Bamangola</t>
  </si>
  <si>
    <t>Kallol Banerjee</t>
  </si>
  <si>
    <t>9434518179</t>
  </si>
  <si>
    <t>'BKP/F-808'</t>
  </si>
  <si>
    <t>2026-01-22</t>
  </si>
  <si>
    <t>281269</t>
  </si>
  <si>
    <t>M/s. Butto Krishna Paul</t>
  </si>
  <si>
    <t>7908580984</t>
  </si>
  <si>
    <t>M/S TAPAN KUMAR PRAMANIK</t>
  </si>
  <si>
    <t>'652'</t>
  </si>
  <si>
    <t>270157</t>
  </si>
  <si>
    <t>M/s. Kanailal Keder Prasad</t>
  </si>
  <si>
    <t>9474075544</t>
  </si>
  <si>
    <t>English Bazar</t>
  </si>
  <si>
    <t>'BCD/0241/25-26'</t>
  </si>
  <si>
    <t>281272</t>
  </si>
  <si>
    <t>M/s. Bimal Chandra Das</t>
  </si>
  <si>
    <t>8617802084</t>
  </si>
  <si>
    <t>Gazole</t>
  </si>
  <si>
    <t xml:space="preserve">Golok Chandra Mondal </t>
  </si>
  <si>
    <t>8016366836</t>
  </si>
  <si>
    <t>'BKP/F-1071'</t>
  </si>
  <si>
    <t>Habibpur</t>
  </si>
  <si>
    <t>'3125004079'</t>
  </si>
  <si>
    <t>'3125004077'</t>
  </si>
  <si>
    <t>'3125004086'</t>
  </si>
  <si>
    <t>'3125004081'</t>
  </si>
  <si>
    <t>'3125004100'</t>
  </si>
  <si>
    <t>2026-03-20</t>
  </si>
  <si>
    <t>'3125004089'</t>
  </si>
  <si>
    <t>'3125004078'</t>
  </si>
  <si>
    <t>'3125004088'</t>
  </si>
  <si>
    <t>'3125004087'</t>
  </si>
  <si>
    <t>'3125004091'</t>
  </si>
  <si>
    <t>'3125004080'</t>
  </si>
  <si>
    <t>Kaliachak - I</t>
  </si>
  <si>
    <t>M/s BirendraNathSaha O Partner</t>
  </si>
  <si>
    <t>9232761461</t>
  </si>
  <si>
    <t>'WS3125003849'</t>
  </si>
  <si>
    <t>M/s Jatindra Nath Saha</t>
  </si>
  <si>
    <t>7431922103</t>
  </si>
  <si>
    <t>'WS3125003861'</t>
  </si>
  <si>
    <t>'WS3125003240'</t>
  </si>
  <si>
    <t>Kaliachak - II</t>
  </si>
  <si>
    <t>'WS3125003236'</t>
  </si>
  <si>
    <t>Medinipur East</t>
  </si>
  <si>
    <t>Egra - I</t>
  </si>
  <si>
    <t>Sabuj Mita</t>
  </si>
  <si>
    <t>9932091544</t>
  </si>
  <si>
    <t>'WS3125003668'</t>
  </si>
  <si>
    <t>'WS3125003345'</t>
  </si>
  <si>
    <t>Murshidabad</t>
  </si>
  <si>
    <t>Beldanga - I</t>
  </si>
  <si>
    <t>KRISHI KALYAN</t>
  </si>
  <si>
    <t>9434640551</t>
  </si>
  <si>
    <t>'2526RAMSDF1058'</t>
  </si>
  <si>
    <t>MS ABDUR RAHAMAN</t>
  </si>
  <si>
    <t>'2526RAMSDF0883'</t>
  </si>
  <si>
    <t>2026-02-02</t>
  </si>
  <si>
    <t>Beldanga - II</t>
  </si>
  <si>
    <t>Dutta Pramanik Enterprise</t>
  </si>
  <si>
    <t>9475520520</t>
  </si>
  <si>
    <t>'2526RAMSDF1056'</t>
  </si>
  <si>
    <t>Berhampore</t>
  </si>
  <si>
    <t>Bisanka Chandra Mondal And Son</t>
  </si>
  <si>
    <t>9609521133</t>
  </si>
  <si>
    <t>'WS3125004039'</t>
  </si>
  <si>
    <t>'3125004005'</t>
  </si>
  <si>
    <t>'3125004004'</t>
  </si>
  <si>
    <t>'WS3125003888'</t>
  </si>
  <si>
    <t>'WS3125004038'</t>
  </si>
  <si>
    <t>'WS3125004031'</t>
  </si>
  <si>
    <t>'3125004112'</t>
  </si>
  <si>
    <t>2026-03-28</t>
  </si>
  <si>
    <t>'WS3125004066'</t>
  </si>
  <si>
    <t>'WS3125003950'</t>
  </si>
  <si>
    <t>'3125004114'</t>
  </si>
  <si>
    <t>'3125004102'</t>
  </si>
  <si>
    <t>'3125003705'</t>
  </si>
  <si>
    <t>'3125004101'</t>
  </si>
  <si>
    <t>Krishi Mahal</t>
  </si>
  <si>
    <t>8536856527</t>
  </si>
  <si>
    <t>'2526RAMSDF1044'</t>
  </si>
  <si>
    <t>'2526RAMSDF1103'</t>
  </si>
  <si>
    <t>'2526RAMSDF0916'</t>
  </si>
  <si>
    <t>2026-02-11</t>
  </si>
  <si>
    <t>Maa Fertilizer</t>
  </si>
  <si>
    <t>'WS3125003943'</t>
  </si>
  <si>
    <t>'3125004104'</t>
  </si>
  <si>
    <t>2026-03-24</t>
  </si>
  <si>
    <t>'3125003750'</t>
  </si>
  <si>
    <t>'3125004103'</t>
  </si>
  <si>
    <t>'1557'</t>
  </si>
  <si>
    <t>'WS3125003933'</t>
  </si>
  <si>
    <t>'3125003809'</t>
  </si>
  <si>
    <t>'3125004097'</t>
  </si>
  <si>
    <t>2026-03-19</t>
  </si>
  <si>
    <t>M/S Monoranjan Dey</t>
  </si>
  <si>
    <t>9733893312</t>
  </si>
  <si>
    <t>'WS3125004059'</t>
  </si>
  <si>
    <t>M/S RANA FERTILISERS STORES</t>
  </si>
  <si>
    <t>8350079945</t>
  </si>
  <si>
    <t>'2526RAMSDF1080'</t>
  </si>
  <si>
    <t>MS BISWAS FERTILIZER</t>
  </si>
  <si>
    <t>9735978597</t>
  </si>
  <si>
    <t>'2526RAMSDF0888'</t>
  </si>
  <si>
    <t>'2526RAMSDF1081'</t>
  </si>
  <si>
    <t>'2526RAMSDF0878'</t>
  </si>
  <si>
    <t>'2526RAMSDF0879'</t>
  </si>
  <si>
    <t>'2526RAMSDF0889'</t>
  </si>
  <si>
    <t>'2526USPKSLG0'</t>
  </si>
  <si>
    <t>2026-04-02</t>
  </si>
  <si>
    <t>'2526RAMSDF1060'</t>
  </si>
  <si>
    <t>DEB NARAYAN BARAL</t>
  </si>
  <si>
    <t>7585040500</t>
  </si>
  <si>
    <t>'2526RAMSDF1039'</t>
  </si>
  <si>
    <t>Bhagawangola - II</t>
  </si>
  <si>
    <t>M/S TOHADDESH ALI</t>
  </si>
  <si>
    <t>9932007562</t>
  </si>
  <si>
    <t>'2526RAMSDF1082'</t>
  </si>
  <si>
    <t>Burwan</t>
  </si>
  <si>
    <t>CHAND GOPAL PAUL</t>
  </si>
  <si>
    <t>9732975001</t>
  </si>
  <si>
    <t>'1507'</t>
  </si>
  <si>
    <t>281704</t>
  </si>
  <si>
    <t>Jalangi</t>
  </si>
  <si>
    <t>SAIFUL ISLAM</t>
  </si>
  <si>
    <t>9733591556</t>
  </si>
  <si>
    <t>'04123'</t>
  </si>
  <si>
    <t>223292</t>
  </si>
  <si>
    <t>M/s. Gouri Sankar Mandal</t>
  </si>
  <si>
    <t>7365965125</t>
  </si>
  <si>
    <t>'4368'</t>
  </si>
  <si>
    <t>DEBASHIS SAHA</t>
  </si>
  <si>
    <t>9732566286</t>
  </si>
  <si>
    <t>'1508'</t>
  </si>
  <si>
    <t>'1534'</t>
  </si>
  <si>
    <t>'1487'</t>
  </si>
  <si>
    <t>2026-01-29</t>
  </si>
  <si>
    <t>'1535'</t>
  </si>
  <si>
    <t>'1532'</t>
  </si>
  <si>
    <t>Kandi</t>
  </si>
  <si>
    <t>Md. Giasuddin Sk</t>
  </si>
  <si>
    <t>9734652237</t>
  </si>
  <si>
    <t>'368'</t>
  </si>
  <si>
    <t>Lalgola</t>
  </si>
  <si>
    <t>KISHAN BANDHU</t>
  </si>
  <si>
    <t>9732811913</t>
  </si>
  <si>
    <t>'2526RAMSDF1036'</t>
  </si>
  <si>
    <t>'2526RAMSDF0865'</t>
  </si>
  <si>
    <t>'2526RAMSDF1037'</t>
  </si>
  <si>
    <t>Murshidabad Jiaganj</t>
  </si>
  <si>
    <t>Keshri Mal Jain</t>
  </si>
  <si>
    <t>9932820672</t>
  </si>
  <si>
    <t>'WS3125003218'</t>
  </si>
  <si>
    <t>Nabagram</t>
  </si>
  <si>
    <t>'3125003701'</t>
  </si>
  <si>
    <t>'3125004098'</t>
  </si>
  <si>
    <t>'WS3125004054'</t>
  </si>
  <si>
    <t>'WS3125004052'</t>
  </si>
  <si>
    <t>'3125003700'</t>
  </si>
  <si>
    <t>'WS3125004056'</t>
  </si>
  <si>
    <t>'WS3125004057'</t>
  </si>
  <si>
    <t>'3125003663'</t>
  </si>
  <si>
    <t>Md Samiruddin</t>
  </si>
  <si>
    <t>7550808353</t>
  </si>
  <si>
    <t>'1530'</t>
  </si>
  <si>
    <t>'2526RAMSDF1042'</t>
  </si>
  <si>
    <t>Nawda</t>
  </si>
  <si>
    <t>AKASH SAHIN</t>
  </si>
  <si>
    <t>8944813733</t>
  </si>
  <si>
    <t>'DKD/F/174/25-26'</t>
  </si>
  <si>
    <t>2026-03-15</t>
  </si>
  <si>
    <t>211642</t>
  </si>
  <si>
    <t>M/s. D.K.Dutta and Co.</t>
  </si>
  <si>
    <t>7797341354</t>
  </si>
  <si>
    <t>'DKD/F/145/25-26'</t>
  </si>
  <si>
    <t>2026-01-27</t>
  </si>
  <si>
    <t>Raninagar - I</t>
  </si>
  <si>
    <t>Utpal Kumar Dutta</t>
  </si>
  <si>
    <t>9434173910</t>
  </si>
  <si>
    <t>'1537'</t>
  </si>
  <si>
    <t>'1536'</t>
  </si>
  <si>
    <t>Raninagar - II</t>
  </si>
  <si>
    <t>RAKESH FERTILIZER</t>
  </si>
  <si>
    <t>9733026828</t>
  </si>
  <si>
    <t>'2526RAMSDF1063'</t>
  </si>
  <si>
    <t>'2526RAMSDF1097'</t>
  </si>
  <si>
    <t>'4969-4971'</t>
  </si>
  <si>
    <t>'2526RAMSDF1064'</t>
  </si>
  <si>
    <t>Sagardighi</t>
  </si>
  <si>
    <t>M/s. Padam Chand</t>
  </si>
  <si>
    <t>9434009550</t>
  </si>
  <si>
    <t>'2526RAMSDF1102'</t>
  </si>
  <si>
    <t>'2526RAMSDF1100'</t>
  </si>
  <si>
    <t>'WS3125003912'</t>
  </si>
  <si>
    <t>'WS3125003223'</t>
  </si>
  <si>
    <t>'WS3125004033'</t>
  </si>
  <si>
    <t>'BCMS/F502/25-26'</t>
  </si>
  <si>
    <t>223293</t>
  </si>
  <si>
    <t>'2526RAMSDF1101'</t>
  </si>
  <si>
    <t>Fatema Begam</t>
  </si>
  <si>
    <t>9733510936</t>
  </si>
  <si>
    <t>'DKD/F/172/25-26'</t>
  </si>
  <si>
    <t>ROJINA KHATUN</t>
  </si>
  <si>
    <t>'E00161'</t>
  </si>
  <si>
    <t>223281</t>
  </si>
  <si>
    <t>'E-165'</t>
  </si>
  <si>
    <t>'E00186'</t>
  </si>
  <si>
    <t>Samserganj</t>
  </si>
  <si>
    <t>SAMPA KRISHI GHAR</t>
  </si>
  <si>
    <t>9775055288</t>
  </si>
  <si>
    <t>'GK/1230'</t>
  </si>
  <si>
    <t>2025-09-01</t>
  </si>
  <si>
    <t>223285</t>
  </si>
  <si>
    <t>M/s. Golam Kibria</t>
  </si>
  <si>
    <t>8371889332</t>
  </si>
  <si>
    <t>Firoj Ali</t>
  </si>
  <si>
    <t>9932787296</t>
  </si>
  <si>
    <t>'WS3125003880'</t>
  </si>
  <si>
    <t>'WS3125003152'</t>
  </si>
  <si>
    <t>2026-01-24</t>
  </si>
  <si>
    <t>'WS3125004023'</t>
  </si>
  <si>
    <t xml:space="preserve">Nanda Dulal Mondal            </t>
  </si>
  <si>
    <t>9153141062</t>
  </si>
  <si>
    <t>'2526RAMSDF0915'</t>
  </si>
  <si>
    <t>'2526RAMSDF0877'</t>
  </si>
  <si>
    <t>Gopal Fertilizer</t>
  </si>
  <si>
    <t>8170003423</t>
  </si>
  <si>
    <t>'WS3125003230'</t>
  </si>
  <si>
    <t>'WS3125004037'</t>
  </si>
  <si>
    <t>INDRANI KRISHI SEVA KENDRA</t>
  </si>
  <si>
    <t>'2526RAMSDF1050'</t>
  </si>
  <si>
    <t>Nadia</t>
  </si>
  <si>
    <t>Chakdah</t>
  </si>
  <si>
    <t xml:space="preserve">M/S SUNIL KUMAR SAHA       </t>
  </si>
  <si>
    <t>9434110995</t>
  </si>
  <si>
    <t>'WS3126000031'</t>
  </si>
  <si>
    <t>'WS3126000032'</t>
  </si>
  <si>
    <t>'WS3125003562'</t>
  </si>
  <si>
    <t>'WS3125003726'</t>
  </si>
  <si>
    <t xml:space="preserve">Gouri Sankar Kundu            </t>
  </si>
  <si>
    <t>9064539774</t>
  </si>
  <si>
    <t>'WS3125003724'</t>
  </si>
  <si>
    <t>'WS3126000047'</t>
  </si>
  <si>
    <t>'WS3125003551'</t>
  </si>
  <si>
    <t>'WS3125003592'</t>
  </si>
  <si>
    <t>'WS3125003552'</t>
  </si>
  <si>
    <t>Hanskhali</t>
  </si>
  <si>
    <t>M/S-MADHUSUDAN GHOSH</t>
  </si>
  <si>
    <t>9434823432</t>
  </si>
  <si>
    <t>'66'</t>
  </si>
  <si>
    <t>2026-03-27</t>
  </si>
  <si>
    <t>260185</t>
  </si>
  <si>
    <t>Faroj Ali Shaikh</t>
  </si>
  <si>
    <t>7797070086</t>
  </si>
  <si>
    <t>'22'</t>
  </si>
  <si>
    <t>'65'</t>
  </si>
  <si>
    <t>'001'</t>
  </si>
  <si>
    <t>2026-04-05</t>
  </si>
  <si>
    <t>Haringhata</t>
  </si>
  <si>
    <t>Mahamaya Enterprise</t>
  </si>
  <si>
    <t>8348217174</t>
  </si>
  <si>
    <t>'WS3126000054'</t>
  </si>
  <si>
    <t xml:space="preserve">M/s. Jaiswal Enterprise </t>
  </si>
  <si>
    <t>8116105006</t>
  </si>
  <si>
    <t>'261'</t>
  </si>
  <si>
    <t>270129</t>
  </si>
  <si>
    <t>Kalyan Kr. Nandi</t>
  </si>
  <si>
    <t>8250914797</t>
  </si>
  <si>
    <t>'260'</t>
  </si>
  <si>
    <t>2026-03-16</t>
  </si>
  <si>
    <t>MS AJOY KRISHNA SEAL</t>
  </si>
  <si>
    <t>9932127372</t>
  </si>
  <si>
    <t>'WS3125003548'</t>
  </si>
  <si>
    <t>'WS3125003743'</t>
  </si>
  <si>
    <t>'WS3125003835'</t>
  </si>
  <si>
    <t>'WS3125003589'</t>
  </si>
  <si>
    <t>Karimpur - II</t>
  </si>
  <si>
    <t>Subir Kumar Biswas</t>
  </si>
  <si>
    <t>9932631270</t>
  </si>
  <si>
    <t>'2526RAMSDF1076'</t>
  </si>
  <si>
    <t>'2526USPKSLGF0090'</t>
  </si>
  <si>
    <t>'1552'</t>
  </si>
  <si>
    <t>2026-04-07</t>
  </si>
  <si>
    <t>'1549'</t>
  </si>
  <si>
    <t>'1526'</t>
  </si>
  <si>
    <t>Krishnaganj</t>
  </si>
  <si>
    <t>SASANKA SEKHAR KUNDU</t>
  </si>
  <si>
    <t>8250640930</t>
  </si>
  <si>
    <t>'262'</t>
  </si>
  <si>
    <t>2026-03-31</t>
  </si>
  <si>
    <t>'264'</t>
  </si>
  <si>
    <t>'263'</t>
  </si>
  <si>
    <t>'265'</t>
  </si>
  <si>
    <t>Krishnagar - I</t>
  </si>
  <si>
    <t>MS Guha And Co</t>
  </si>
  <si>
    <t>8695359505</t>
  </si>
  <si>
    <t>'WS3125003747'</t>
  </si>
  <si>
    <t>'WS3125003740'</t>
  </si>
  <si>
    <t>'WS3125003746'</t>
  </si>
  <si>
    <t>'WS3125003554'</t>
  </si>
  <si>
    <t>SatyaRanjan Kundu and Brothers</t>
  </si>
  <si>
    <t>7908186730</t>
  </si>
  <si>
    <t>'WS3126000039'</t>
  </si>
  <si>
    <t>'3125004093'</t>
  </si>
  <si>
    <t>'3125004092'</t>
  </si>
  <si>
    <t>'WS3125003709'</t>
  </si>
  <si>
    <t>'WS3125003559'</t>
  </si>
  <si>
    <t>'WS3126000036'</t>
  </si>
  <si>
    <t>'WS3126000035'</t>
  </si>
  <si>
    <t>'WS3126000037'</t>
  </si>
  <si>
    <t>'WS3126000034'</t>
  </si>
  <si>
    <t>'WS3126000038'</t>
  </si>
  <si>
    <t>M/s. Uttamendu Sarkar</t>
  </si>
  <si>
    <t>9002483836</t>
  </si>
  <si>
    <t>'WS3125003564'</t>
  </si>
  <si>
    <t>'WS3125003657'</t>
  </si>
  <si>
    <t>'WS3126000024'</t>
  </si>
  <si>
    <t>'WS3125003642'</t>
  </si>
  <si>
    <t>'WS3125003610'</t>
  </si>
  <si>
    <t>Tarun Kumar Saha</t>
  </si>
  <si>
    <t>8116312974</t>
  </si>
  <si>
    <t>'WS3125003576'</t>
  </si>
  <si>
    <t>'WS3125003571'</t>
  </si>
  <si>
    <t>'WS3125003727'</t>
  </si>
  <si>
    <t>'WS3125003590'</t>
  </si>
  <si>
    <t>'WS3125003082'</t>
  </si>
  <si>
    <t>'WS3125003626'</t>
  </si>
  <si>
    <t>'WS3125003568'</t>
  </si>
  <si>
    <t>'WS3125003578'</t>
  </si>
  <si>
    <t>'NCD/BD/009'</t>
  </si>
  <si>
    <t>'NCD/STK/06'</t>
  </si>
  <si>
    <t>2026-04-16</t>
  </si>
  <si>
    <t>'3125004083'</t>
  </si>
  <si>
    <t>'WS3125003598'</t>
  </si>
  <si>
    <t>'3125004099'</t>
  </si>
  <si>
    <t>'WS3126000058'</t>
  </si>
  <si>
    <t>'NCD/STK/01'</t>
  </si>
  <si>
    <t>'3125004096'</t>
  </si>
  <si>
    <t>'3125004082'</t>
  </si>
  <si>
    <t>'NCD/STK/02'</t>
  </si>
  <si>
    <t>S.S.P Enterprise</t>
  </si>
  <si>
    <t>9732669190</t>
  </si>
  <si>
    <t>'26'</t>
  </si>
  <si>
    <t>'25'</t>
  </si>
  <si>
    <t>M/S RATAN BISWAS</t>
  </si>
  <si>
    <t>8617364808</t>
  </si>
  <si>
    <t>'RATAN493'</t>
  </si>
  <si>
    <t>M.A.C COMPANY</t>
  </si>
  <si>
    <t>9433152053</t>
  </si>
  <si>
    <t>'1556'</t>
  </si>
  <si>
    <t>Nakashipara</t>
  </si>
  <si>
    <t>ARINDAM DAS</t>
  </si>
  <si>
    <t>8509566548</t>
  </si>
  <si>
    <t>'2856'</t>
  </si>
  <si>
    <t>2026-01-31</t>
  </si>
  <si>
    <t>Ranaghat - II</t>
  </si>
  <si>
    <t>Bhabani Prosad Chattopadhy</t>
  </si>
  <si>
    <t>7548026544</t>
  </si>
  <si>
    <t>'WS3125003561'</t>
  </si>
  <si>
    <t>'WS3125003931'</t>
  </si>
  <si>
    <t>'WS3125003725'</t>
  </si>
  <si>
    <t>'WS3126000033'</t>
  </si>
  <si>
    <t>Tehatta - I</t>
  </si>
  <si>
    <t>MS S K DUTTA</t>
  </si>
  <si>
    <t>9832802581</t>
  </si>
  <si>
    <t>'WS3126000040'</t>
  </si>
  <si>
    <t>'WS3125003650'</t>
  </si>
  <si>
    <t>'WS3125003602'</t>
  </si>
  <si>
    <t>'WS3125003555'</t>
  </si>
  <si>
    <t>Alam Fertilizer</t>
  </si>
  <si>
    <t>Private Retailer</t>
  </si>
  <si>
    <t>Md. Abdul Hye</t>
  </si>
  <si>
    <t>2021-02-20</t>
  </si>
  <si>
    <t>355410</t>
  </si>
  <si>
    <t>2024-04-29</t>
  </si>
  <si>
    <t>1287654</t>
  </si>
  <si>
    <t>AZAD KRISHI BHANDAR</t>
  </si>
  <si>
    <t>M/S Ashok Kumar Maity</t>
  </si>
  <si>
    <t>2026-01-25</t>
  </si>
  <si>
    <t>M/S. Chasi Ghar</t>
  </si>
  <si>
    <t>281525</t>
  </si>
  <si>
    <t>M/S. Ghosh Krishi Bipani</t>
  </si>
  <si>
    <t>2025-09-29</t>
  </si>
  <si>
    <t>M/S Janokalyan Fertilizers</t>
  </si>
  <si>
    <t>M/S. Loke Nath Krishi Bhandar</t>
  </si>
  <si>
    <t>2024-12-20</t>
  </si>
  <si>
    <t>M/S. Matri Krishi Bhandar</t>
  </si>
  <si>
    <t>M/S Mondal Fertilizer</t>
  </si>
  <si>
    <t>2024-11-20</t>
  </si>
  <si>
    <t>M/S. Sree Durga Krishi Bhandar</t>
  </si>
  <si>
    <t>2026-01-17</t>
  </si>
  <si>
    <t>MOLLAH FERTILIZER</t>
  </si>
  <si>
    <t>2025-01-16</t>
  </si>
  <si>
    <t>739737</t>
  </si>
  <si>
    <t>Agrodoot</t>
  </si>
  <si>
    <t>A.H.Md. Abdur Rahaman</t>
  </si>
  <si>
    <t>Dey Fertilizers</t>
  </si>
  <si>
    <t>Gagadhatri Krishi Bhandar</t>
  </si>
  <si>
    <t>2025-11-11</t>
  </si>
  <si>
    <t>Ghosh Krishi Bhandar</t>
  </si>
  <si>
    <t>281495</t>
  </si>
  <si>
    <t>Maity Krishi Bhandar</t>
  </si>
  <si>
    <t>2025-11-06</t>
  </si>
  <si>
    <t>M/S Bipul Kumar Ghosh</t>
  </si>
  <si>
    <t>2025-05-09</t>
  </si>
  <si>
    <t>M/S Ghosh Krishi Bhandar</t>
  </si>
  <si>
    <t>Sabuj Krishi Bhandar</t>
  </si>
  <si>
    <t>1192317</t>
  </si>
  <si>
    <t>M/S GHOSH FERTILIZER</t>
  </si>
  <si>
    <t>Santra Krishi Bhandar</t>
  </si>
  <si>
    <t>2019-06-09</t>
  </si>
  <si>
    <t>2020-08-18</t>
  </si>
  <si>
    <t>2020-12-02</t>
  </si>
  <si>
    <t>2020-11-30</t>
  </si>
  <si>
    <t>2020-11-11</t>
  </si>
  <si>
    <t>2020-11-23</t>
  </si>
  <si>
    <t>Chowdhury Fertilizer</t>
  </si>
  <si>
    <t>Molla Fertilizer</t>
  </si>
  <si>
    <t>2025-09-03</t>
  </si>
  <si>
    <t>Basudeb Ghosh</t>
  </si>
  <si>
    <t>268650</t>
  </si>
  <si>
    <t>NEW Mondal FERTILIZERS</t>
  </si>
  <si>
    <t>State Marketing Federation</t>
  </si>
  <si>
    <t>2025-11-21</t>
  </si>
  <si>
    <t>2024-11-22</t>
  </si>
  <si>
    <t>2026-01-26</t>
  </si>
  <si>
    <t>Sahajee Fertilizers</t>
  </si>
  <si>
    <t>2025-12-03</t>
  </si>
  <si>
    <t>2025-09-15</t>
  </si>
  <si>
    <t>2025-08-27</t>
  </si>
  <si>
    <t>Hossen Fertillizer</t>
  </si>
  <si>
    <t>Janapriya  Krishi  Bhander</t>
  </si>
  <si>
    <t>2025-08-22</t>
  </si>
  <si>
    <t xml:space="preserve"> Ghosh Fertilizer</t>
  </si>
  <si>
    <t>2026-02-07</t>
  </si>
  <si>
    <t>Maa Lakshmi Fertiliser</t>
  </si>
  <si>
    <t>Rahman Krishi Bhandar</t>
  </si>
  <si>
    <t>2025-09-22</t>
  </si>
  <si>
    <t>Matri Krishi Bhander</t>
  </si>
  <si>
    <t>Mallick Krishi Bhandar</t>
  </si>
  <si>
    <t>Swapan Krishi Bhandar</t>
  </si>
  <si>
    <t>Bhai Bhai Fertilizer</t>
  </si>
  <si>
    <t>2026-01-16</t>
  </si>
  <si>
    <t>Islam Krishi Bhandar</t>
  </si>
  <si>
    <t>M/S Sabir Fertilizer</t>
  </si>
  <si>
    <t>M/S MA KARUNAMOYEE KRISHI BHAN</t>
  </si>
  <si>
    <t>2025-11-30</t>
  </si>
  <si>
    <t>M/S Kamal Midde</t>
  </si>
  <si>
    <t>2025-12-20</t>
  </si>
  <si>
    <t>Amirali  Krishi Bhandar</t>
  </si>
  <si>
    <t>2025-07-12</t>
  </si>
  <si>
    <t>328271</t>
  </si>
  <si>
    <t>M/S JOYGURU KRISHI BHANDER</t>
  </si>
  <si>
    <t>2024-10-28</t>
  </si>
  <si>
    <t>PROSUN BHANGAR FERTILIZER</t>
  </si>
  <si>
    <t>GORA KRISHI BHNADER</t>
  </si>
  <si>
    <t>2022-04-06</t>
  </si>
  <si>
    <t>S.K. ENTERPRISE</t>
  </si>
  <si>
    <t>ALIBADDIN KRISHI BHANDAR</t>
  </si>
  <si>
    <t>2024-12-11</t>
  </si>
  <si>
    <t>797662</t>
  </si>
  <si>
    <t>KADPUR SKUS LTD</t>
  </si>
  <si>
    <t>ALI KRISHI BHANDER</t>
  </si>
  <si>
    <t>PADMALOVPUR KRISHI BHANDAR</t>
  </si>
  <si>
    <t>2024-12-21</t>
  </si>
  <si>
    <t>2025-01-09</t>
  </si>
  <si>
    <t>Rahaman fertilizer</t>
  </si>
  <si>
    <t>2025-11-09</t>
  </si>
  <si>
    <t>2025-05-10</t>
  </si>
  <si>
    <t>Rahul amin Fertilizer</t>
  </si>
  <si>
    <t>2026-04-08</t>
  </si>
  <si>
    <t>M/S KARUNAMAYEE KRISHI BHANDER</t>
  </si>
  <si>
    <t>M/S JUMKA FERTILIZER</t>
  </si>
  <si>
    <t>2026-01-02</t>
  </si>
  <si>
    <t>1556413</t>
  </si>
  <si>
    <t>GHOSH KRISHI BHANDAR</t>
  </si>
  <si>
    <t>SHIV KRISHI BHANDAR</t>
  </si>
  <si>
    <t>2025-01-23</t>
  </si>
  <si>
    <t>2024-11-27</t>
  </si>
  <si>
    <t>Janakalyan krishi Bhander</t>
  </si>
  <si>
    <t>2026-02-01</t>
  </si>
  <si>
    <t>Abdukl Hamid</t>
  </si>
  <si>
    <t>Abdus Salam</t>
  </si>
  <si>
    <t>Akbar Ali Baidya</t>
  </si>
  <si>
    <t>Ali Baksha Biswas</t>
  </si>
  <si>
    <t>2026-03-04</t>
  </si>
  <si>
    <t>505050</t>
  </si>
  <si>
    <t>M/S Abesh Dutta</t>
  </si>
  <si>
    <t>Azahar Krishi Bhandar</t>
  </si>
  <si>
    <t>223821</t>
  </si>
  <si>
    <t>M/S Tilok Kumar Dutta</t>
  </si>
  <si>
    <t>Bajlur Rahaman</t>
  </si>
  <si>
    <t>2023-05-10</t>
  </si>
  <si>
    <t>Bhagya Lakshmi Krishi Bhandar</t>
  </si>
  <si>
    <t>2026-01-18</t>
  </si>
  <si>
    <t>Bhai Bhai Krishi Bhandar</t>
  </si>
  <si>
    <t>Bimala Krishi Bhander</t>
  </si>
  <si>
    <t>Biswajit Mondal</t>
  </si>
  <si>
    <t>2025-07-17</t>
  </si>
  <si>
    <t>Biswanath Mondal</t>
  </si>
  <si>
    <t>2025-08-18</t>
  </si>
  <si>
    <t>2025-07-01</t>
  </si>
  <si>
    <t>Chasir Bandhu</t>
  </si>
  <si>
    <t>2025-07-19</t>
  </si>
  <si>
    <t>2025-07-20</t>
  </si>
  <si>
    <t>Doha Krishi Biponi</t>
  </si>
  <si>
    <t>Ebrahim Molla</t>
  </si>
  <si>
    <t>2025-12-01</t>
  </si>
  <si>
    <t>2026-03-06</t>
  </si>
  <si>
    <t>Fakir Ahamed Mondal</t>
  </si>
  <si>
    <t>Habiba Krishi Bhandar</t>
  </si>
  <si>
    <t>Islam Krishi Bhaner</t>
  </si>
  <si>
    <t>2025-07-09</t>
  </si>
  <si>
    <t>Jafar Ali</t>
  </si>
  <si>
    <t>2024-06-24</t>
  </si>
  <si>
    <t>Karima Bibi</t>
  </si>
  <si>
    <t>2025-04-16</t>
  </si>
  <si>
    <t>Md. Abdul Gafur</t>
  </si>
  <si>
    <t>Md  Ajed Ali</t>
  </si>
  <si>
    <t>Md. Mahiuddin</t>
  </si>
  <si>
    <t>2025-08-26</t>
  </si>
  <si>
    <t>Md. Nazrul Islam</t>
  </si>
  <si>
    <t>2024-01-29</t>
  </si>
  <si>
    <t>2022-11-22</t>
  </si>
  <si>
    <t>Moulik Krishi Bhandar</t>
  </si>
  <si>
    <t>M/S. Ganesh Chandra Ghosh</t>
  </si>
  <si>
    <t>M/S Md. Abdur Rasid</t>
  </si>
  <si>
    <t>2025-07-10</t>
  </si>
  <si>
    <t>Naskar Krishi Bhandar</t>
  </si>
  <si>
    <t>Rabidranath Sarkar</t>
  </si>
  <si>
    <t>497600</t>
  </si>
  <si>
    <t>Radha Krishna Krishi Bhandar</t>
  </si>
  <si>
    <t>Sana Krishi Bhandar</t>
  </si>
  <si>
    <t>Sathi Nursery</t>
  </si>
  <si>
    <t>2026-01-01</t>
  </si>
  <si>
    <t>Sima Krishi Bhandar</t>
  </si>
  <si>
    <t>1048909</t>
  </si>
  <si>
    <t>Sonali Krishi Bhandar</t>
  </si>
  <si>
    <t>2025-09-14</t>
  </si>
  <si>
    <t>Swapan Paul</t>
  </si>
  <si>
    <t>Prohallad Bhowmick and Gournag</t>
  </si>
  <si>
    <t>Bhola Nath Das</t>
  </si>
  <si>
    <t>2025-07-29</t>
  </si>
  <si>
    <t>Rabiul Islam</t>
  </si>
  <si>
    <t>Dilip Kumar Saha</t>
  </si>
  <si>
    <t>7001739365</t>
  </si>
  <si>
    <t>Anup Kumar Ghosh</t>
  </si>
  <si>
    <t>2025-11-27</t>
  </si>
  <si>
    <t>Nazim Uddin</t>
  </si>
  <si>
    <t>2025-02-19</t>
  </si>
  <si>
    <t>SRI KRISHNA KRISHI BHANDAR</t>
  </si>
  <si>
    <t>M/S. Ram Prasad Mondal</t>
  </si>
  <si>
    <t>M/S  Rejaul Krishi Bhander</t>
  </si>
  <si>
    <t>M/S Raihan Krishi Bhnader</t>
  </si>
  <si>
    <t>Sardar Krishi Bhander</t>
  </si>
  <si>
    <t>2025-10-21</t>
  </si>
  <si>
    <t>Farid Krishi Bhander</t>
  </si>
  <si>
    <t>223817</t>
  </si>
  <si>
    <t>RAHMAN KRISHI BHANDAR</t>
  </si>
  <si>
    <t>SADEKUL ISLAM</t>
  </si>
  <si>
    <t>HABIBOR RAHAMAN MONDAL</t>
  </si>
  <si>
    <t>2020-06-15</t>
  </si>
  <si>
    <t>1076581</t>
  </si>
  <si>
    <t>Banda Ali Mondal</t>
  </si>
  <si>
    <t>2025-08-13</t>
  </si>
  <si>
    <t>663871</t>
  </si>
  <si>
    <t>MONDAL KRISHI BHANDAR</t>
  </si>
  <si>
    <t>TAJMUN NAHAR</t>
  </si>
  <si>
    <t>GOBINDA CHANDRA MALLICK</t>
  </si>
  <si>
    <t>MAA LAXMI KRISHI BHANDAR</t>
  </si>
  <si>
    <t>Bagda</t>
  </si>
  <si>
    <t>Dilip Mazumder</t>
  </si>
  <si>
    <t>Sukhendu Saha</t>
  </si>
  <si>
    <t>9002005152</t>
  </si>
  <si>
    <t>414580</t>
  </si>
  <si>
    <t>Abubak Kar  Mondal</t>
  </si>
  <si>
    <t>2025-09-26</t>
  </si>
  <si>
    <t>2025-10-07</t>
  </si>
  <si>
    <t>Arup  Karma Kar</t>
  </si>
  <si>
    <t>Bikash Chandra Biswas</t>
  </si>
  <si>
    <t>2026-04-10</t>
  </si>
  <si>
    <t>Birendra Kumar Moulick</t>
  </si>
  <si>
    <t>Biswajit Ghosh</t>
  </si>
  <si>
    <t>Biswajit  Mondal</t>
  </si>
  <si>
    <t>2025-05-27</t>
  </si>
  <si>
    <t>Biswanath Ghosh</t>
  </si>
  <si>
    <t>Ganesh Chandra   Mondal</t>
  </si>
  <si>
    <t>Golok Chandra Mondal</t>
  </si>
  <si>
    <t>Go Pal  Mondal</t>
  </si>
  <si>
    <t>2026-02-19</t>
  </si>
  <si>
    <t>Gour Chakravorty</t>
  </si>
  <si>
    <t>Hazarat Tarafder</t>
  </si>
  <si>
    <t>Joydeb Biswas</t>
  </si>
  <si>
    <t>2025-10-02</t>
  </si>
  <si>
    <t>897258</t>
  </si>
  <si>
    <t>RAY FERTILISER</t>
  </si>
  <si>
    <t>Arabinda Biswas</t>
  </si>
  <si>
    <t>Iman  Ali Mallick</t>
  </si>
  <si>
    <t>Lalan Chandra   Mondal</t>
  </si>
  <si>
    <t>2024-09-10</t>
  </si>
  <si>
    <t>1219935</t>
  </si>
  <si>
    <t>Liyakat Mondal</t>
  </si>
  <si>
    <t>Mohitosh  Kumar  Mondal</t>
  </si>
  <si>
    <t>2025-02-23</t>
  </si>
  <si>
    <t>Monjurhassan  Mondal</t>
  </si>
  <si>
    <t>2025-01-12</t>
  </si>
  <si>
    <t>2025-10-03</t>
  </si>
  <si>
    <t>Nanigo Palbarei</t>
  </si>
  <si>
    <t>Narayan Chandra Biswas</t>
  </si>
  <si>
    <t>289634</t>
  </si>
  <si>
    <t>Sankar Lal Saha</t>
  </si>
  <si>
    <t>9830026138</t>
  </si>
  <si>
    <t>Probir Kumar Das</t>
  </si>
  <si>
    <t>2025-12-02</t>
  </si>
  <si>
    <t>Prokash  Biswas</t>
  </si>
  <si>
    <t>Ranjan Kumar Roy</t>
  </si>
  <si>
    <t>Ripon Fertilizer</t>
  </si>
  <si>
    <t>Sanjoy  Mallick</t>
  </si>
  <si>
    <t>Sankar Ghosh</t>
  </si>
  <si>
    <t>311050</t>
  </si>
  <si>
    <t>M/S Suchitra Ghosh</t>
  </si>
  <si>
    <t>Sujauddin Mondal</t>
  </si>
  <si>
    <t xml:space="preserve">Susanta Bachar </t>
  </si>
  <si>
    <t>2025-11-05</t>
  </si>
  <si>
    <t>280852</t>
  </si>
  <si>
    <t>Kundu Trading Co</t>
  </si>
  <si>
    <t>Sujoy Kr Biswas</t>
  </si>
  <si>
    <t>Nanda Dulal Sinha</t>
  </si>
  <si>
    <t>2025-02-16</t>
  </si>
  <si>
    <t>Saktipada Biswas</t>
  </si>
  <si>
    <t>1054125</t>
  </si>
  <si>
    <t>Ghosh Fertilizers</t>
  </si>
  <si>
    <t>Naba Kumar Nath</t>
  </si>
  <si>
    <t>2025-01-24</t>
  </si>
  <si>
    <t>Tapas Sardar</t>
  </si>
  <si>
    <t>Narayan Biswas</t>
  </si>
  <si>
    <t>Suvankar Bairagi</t>
  </si>
  <si>
    <t>Mihir Ghosh</t>
  </si>
  <si>
    <t>2025-06-22</t>
  </si>
  <si>
    <t>Ashim Kumar Das</t>
  </si>
  <si>
    <t>Mosiar Mondal</t>
  </si>
  <si>
    <t>2025-10-23</t>
  </si>
  <si>
    <t>Subhashish Ghosh</t>
  </si>
  <si>
    <t>Sadhan Mazumdar</t>
  </si>
  <si>
    <t>Tulshi Saha</t>
  </si>
  <si>
    <t>Bidyut Biswas</t>
  </si>
  <si>
    <t>Sujal Kr.Saha</t>
  </si>
  <si>
    <t>2025-03-21</t>
  </si>
  <si>
    <t>2025-02-17</t>
  </si>
  <si>
    <t>Nurjahan Mondal</t>
  </si>
  <si>
    <t>2022-03-27</t>
  </si>
  <si>
    <t>Shiba Pada Sarkar</t>
  </si>
  <si>
    <t>Jubbar Mandal</t>
  </si>
  <si>
    <t>2025-05-11</t>
  </si>
  <si>
    <t>1421415</t>
  </si>
  <si>
    <t>Swapan Kr Bagchi</t>
  </si>
  <si>
    <t>Pradyot Kumar Biswas</t>
  </si>
  <si>
    <t>Putul Halder</t>
  </si>
  <si>
    <t>Rejaul Mondal</t>
  </si>
  <si>
    <t>Palash Kumar Mondal</t>
  </si>
  <si>
    <t>ADHIKARY FERTILIZER</t>
  </si>
  <si>
    <t>Manabendra Tarafder</t>
  </si>
  <si>
    <t>Arsed Mondal</t>
  </si>
  <si>
    <t>Mehebub Ali Mondal</t>
  </si>
  <si>
    <t>Sambhu Sadhu Khan</t>
  </si>
  <si>
    <t>Pabitra Kanjilal</t>
  </si>
  <si>
    <t>2024-11-06</t>
  </si>
  <si>
    <t>Nazrul Islam Mondal</t>
  </si>
  <si>
    <t>2019-08-18</t>
  </si>
  <si>
    <t>1108226</t>
  </si>
  <si>
    <t>BISWA NATH GHOSH</t>
  </si>
  <si>
    <t>Sarif Sardar</t>
  </si>
  <si>
    <t>Samad Mondal</t>
  </si>
  <si>
    <t>901234</t>
  </si>
  <si>
    <t>M/S ARINDAM NANDI</t>
  </si>
  <si>
    <t>Nemai Debnath</t>
  </si>
  <si>
    <t>PROTAP GHOSH</t>
  </si>
  <si>
    <t>MASUD MOLLA</t>
  </si>
  <si>
    <t>Haradhon Ghosh</t>
  </si>
  <si>
    <t>2024-10-05</t>
  </si>
  <si>
    <t>1081212</t>
  </si>
  <si>
    <t>Jagannath Mukhopadhyay</t>
  </si>
  <si>
    <t>Aktar Mondal</t>
  </si>
  <si>
    <t>2025-01-02</t>
  </si>
  <si>
    <t>NAMITA RAY</t>
  </si>
  <si>
    <t>2023-05-26</t>
  </si>
  <si>
    <t>2023-04-30</t>
  </si>
  <si>
    <t>Niranjan Kumar Mondal</t>
  </si>
  <si>
    <t>2025-03-29</t>
  </si>
  <si>
    <t>SOFIAR MONDAL</t>
  </si>
  <si>
    <t>Sanjay Sarkar</t>
  </si>
  <si>
    <t>2025-01-28</t>
  </si>
  <si>
    <t>PROVAT MONDAL</t>
  </si>
  <si>
    <t>2025-04-29</t>
  </si>
  <si>
    <t>2024-09-19</t>
  </si>
  <si>
    <t>BISWAS FERTILISER</t>
  </si>
  <si>
    <t>2025-07-07</t>
  </si>
  <si>
    <t>LITON KUMAR DAS</t>
  </si>
  <si>
    <t>DIPANKAR GHOSH</t>
  </si>
  <si>
    <t>2025-07-13</t>
  </si>
  <si>
    <t>DAHARPOTA S.K.U.S LTD</t>
  </si>
  <si>
    <t>M/S SUBIR BISWAS</t>
  </si>
  <si>
    <t>NEW GHOSH FERTILIZER</t>
  </si>
  <si>
    <t>2025-08-11</t>
  </si>
  <si>
    <t>ROY KRISHI BHANDER</t>
  </si>
  <si>
    <t>SHYAMAL KUMAR GHOSH</t>
  </si>
  <si>
    <t>2025-10-08</t>
  </si>
  <si>
    <t>SUMANA FERTILIZER</t>
  </si>
  <si>
    <t>Jana Fertilizer</t>
  </si>
  <si>
    <t>M/S. Nasir Fertilizer</t>
  </si>
  <si>
    <t>Sk. Mugibar Rohaman</t>
  </si>
  <si>
    <t>2025-04-04</t>
  </si>
  <si>
    <t>2025-03-22</t>
  </si>
  <si>
    <t>2025-05-02</t>
  </si>
  <si>
    <t>M/S Kadambagachi Krishi Bhand</t>
  </si>
  <si>
    <t>Ashit Kumar Samanta</t>
  </si>
  <si>
    <t>D.N. Fertilizers</t>
  </si>
  <si>
    <t>RCF Trombay SCU</t>
  </si>
  <si>
    <t>Sulphur Coated Urea(40Kg)</t>
  </si>
  <si>
    <t>Ghoshkrishi Bhander</t>
  </si>
  <si>
    <t>Momin Ali</t>
  </si>
  <si>
    <t>Binoy krishna mondal</t>
  </si>
  <si>
    <t>M/S Chowdhury and Co</t>
  </si>
  <si>
    <t>Arun Kumar Ghosh</t>
  </si>
  <si>
    <t>Safura Bibi</t>
  </si>
  <si>
    <t>910962</t>
  </si>
  <si>
    <t>M/S Jana Fertilizer</t>
  </si>
  <si>
    <t>2025-12-19</t>
  </si>
  <si>
    <t>2026-01-09</t>
  </si>
  <si>
    <t>M/S Minoti Fertilizer</t>
  </si>
  <si>
    <t>Ma-Moni Fertilizer</t>
  </si>
  <si>
    <t>2021-12-25</t>
  </si>
  <si>
    <t>949738</t>
  </si>
  <si>
    <t>sABIR FERTILIZER</t>
  </si>
  <si>
    <t>9051027794</t>
  </si>
  <si>
    <t>2021-11-12</t>
  </si>
  <si>
    <t>2022-02-11</t>
  </si>
  <si>
    <t>Md.Rafique Ahammed</t>
  </si>
  <si>
    <t>A.D.I.R Trading Co.</t>
  </si>
  <si>
    <t>JULASH AND SONS</t>
  </si>
  <si>
    <t>M.S.A FERTILIZERS</t>
  </si>
  <si>
    <t>2025-02-24</t>
  </si>
  <si>
    <t>2023-12-19</t>
  </si>
  <si>
    <t>RAJU FERTILIZERS</t>
  </si>
  <si>
    <t>ALI FERTILIZERS</t>
  </si>
  <si>
    <t>924553</t>
  </si>
  <si>
    <t>Modern fertilizer</t>
  </si>
  <si>
    <t>2025-12-30</t>
  </si>
  <si>
    <t>2024-08-14</t>
  </si>
  <si>
    <t>2025-08-31</t>
  </si>
  <si>
    <t>2024-10-29</t>
  </si>
  <si>
    <t>328651</t>
  </si>
  <si>
    <t>Duttapukur Krishi Bipani</t>
  </si>
  <si>
    <t>SAHIN FERTILIZERS</t>
  </si>
  <si>
    <t>2026-04-09</t>
  </si>
  <si>
    <t>MAMTAZ FERTILIZER</t>
  </si>
  <si>
    <t>New Haldar Fertiliser</t>
  </si>
  <si>
    <t>Gazi Fertiliser</t>
  </si>
  <si>
    <t>2024-12-29</t>
  </si>
  <si>
    <t>281551</t>
  </si>
  <si>
    <t>Ratan Lal Saha</t>
  </si>
  <si>
    <t>9051954610</t>
  </si>
  <si>
    <t>RAHAMAN FERTILIZER</t>
  </si>
  <si>
    <t>2019-01-09</t>
  </si>
  <si>
    <t>2019-01-01</t>
  </si>
  <si>
    <t>11</t>
  </si>
  <si>
    <t>Too Old Stock</t>
  </si>
  <si>
    <t>KARUNAMAYEE KRISHI BHANDAR</t>
  </si>
  <si>
    <t>Modina Fertilizers</t>
  </si>
  <si>
    <t>DAS FERTILIZER</t>
  </si>
  <si>
    <t>2025-09-23</t>
  </si>
  <si>
    <t>RAFIK SARDAR</t>
  </si>
  <si>
    <t>2026-01-07</t>
  </si>
  <si>
    <t>Nasir uddin Fertilizer</t>
  </si>
  <si>
    <t>2024-11-09</t>
  </si>
  <si>
    <t>2023-03-06</t>
  </si>
  <si>
    <t>2025-01-08</t>
  </si>
  <si>
    <t>kRISHI KALYAN</t>
  </si>
  <si>
    <t>2022-09-07</t>
  </si>
  <si>
    <t>Shree ma kishi bhander</t>
  </si>
  <si>
    <t>2025-08-17</t>
  </si>
  <si>
    <t>2024-12-14</t>
  </si>
  <si>
    <t>2025-09-21</t>
  </si>
  <si>
    <t>Abu Talab</t>
  </si>
  <si>
    <t>Das Fertilizer</t>
  </si>
  <si>
    <t>Amit kumar Biswas</t>
  </si>
  <si>
    <t>Rahaman Fertilizer</t>
  </si>
  <si>
    <t>2025-01-21</t>
  </si>
  <si>
    <t>356188</t>
  </si>
  <si>
    <t>Saidul Islam</t>
  </si>
  <si>
    <t>9732576743</t>
  </si>
  <si>
    <t>SABUJ KRISHI BHANDER</t>
  </si>
  <si>
    <t>NEW SADHUKHAN KRISHI BHANDAR</t>
  </si>
  <si>
    <t>KOHINOOR BEEJ BHANDER</t>
  </si>
  <si>
    <t>2025-01-14</t>
  </si>
  <si>
    <t>SABUJ SATHI KRISHI BHANDER</t>
  </si>
  <si>
    <t>2024-06-29</t>
  </si>
  <si>
    <t>KRISHI FERTILIZER</t>
  </si>
  <si>
    <t>Barasat - II</t>
  </si>
  <si>
    <t>M/S Malaxmi Krishi Bhandar</t>
  </si>
  <si>
    <t>M/S Ashoke Fertiliser Store</t>
  </si>
  <si>
    <t>M/S A. Ali Fertilizer</t>
  </si>
  <si>
    <t>Hossain Krishi Seva Kendra</t>
  </si>
  <si>
    <t>2022-12-24</t>
  </si>
  <si>
    <t>2023-09-29</t>
  </si>
  <si>
    <t>Krishi Seva Kendra</t>
  </si>
  <si>
    <t>Madina Fertilizers</t>
  </si>
  <si>
    <t>223815</t>
  </si>
  <si>
    <t>Monjur Kadir</t>
  </si>
  <si>
    <t>2023-11-29</t>
  </si>
  <si>
    <t>M/S Hai Fertilizers</t>
  </si>
  <si>
    <t>M/S Jahangir Fertilizers Stor</t>
  </si>
  <si>
    <t>M/S Krishi Bhandar</t>
  </si>
  <si>
    <t>M/S M.A Samad And Sons</t>
  </si>
  <si>
    <t>M/S Paritosh Ghosh</t>
  </si>
  <si>
    <t>M/S Paul Krishi Bhanndar</t>
  </si>
  <si>
    <t>M/S Swapan Fertilizers</t>
  </si>
  <si>
    <t>M/S Tapan Fertilizers</t>
  </si>
  <si>
    <t>M/S Aziber Fertilizer</t>
  </si>
  <si>
    <t>Haran Chandra   Mondal</t>
  </si>
  <si>
    <t>Krishi Unayan</t>
  </si>
  <si>
    <t>Ma Laxmi Krishi Bhander</t>
  </si>
  <si>
    <t>2025-09-09</t>
  </si>
  <si>
    <t>M/S Ghosh Fertiliser</t>
  </si>
  <si>
    <t>M/S Rabiul Fertilizer</t>
  </si>
  <si>
    <t>M/S KALIMATA FERTILIZER STORE</t>
  </si>
  <si>
    <t>2025-11-13</t>
  </si>
  <si>
    <t>Rajjak Mondal</t>
  </si>
  <si>
    <t>2025-02-25</t>
  </si>
  <si>
    <t>Baidya Fertilizer</t>
  </si>
  <si>
    <t>KAZIPARA KRISHI BIPANI</t>
  </si>
  <si>
    <t>AJIBAR FERTILIZER</t>
  </si>
  <si>
    <t>Kalapole krishi bhander</t>
  </si>
  <si>
    <t>281542</t>
  </si>
  <si>
    <t>M/S Arun Kumar Ghosh</t>
  </si>
  <si>
    <t>MD Giasuddin</t>
  </si>
  <si>
    <t>Tuhina Fertilizer store</t>
  </si>
  <si>
    <t>HASAN FERTILIZER AND PESTICIDE</t>
  </si>
  <si>
    <t>668032</t>
  </si>
  <si>
    <t>NAHIM FERTILIZER</t>
  </si>
  <si>
    <t>2025-09-10</t>
  </si>
  <si>
    <t>PAUL FERTILIZER STORE</t>
  </si>
  <si>
    <t>MEHER ALI FERTILIZER</t>
  </si>
  <si>
    <t>2025-11-04</t>
  </si>
  <si>
    <t>M/S BIRPUR FERTILIZER</t>
  </si>
  <si>
    <t>2025-06-23</t>
  </si>
  <si>
    <t>KRISHIJ FARMER PRO COMP LTD</t>
  </si>
  <si>
    <t>2025-10-18</t>
  </si>
  <si>
    <t>493009</t>
  </si>
  <si>
    <t>M/S Halder Fertiliser</t>
  </si>
  <si>
    <t>Barrackpur - I</t>
  </si>
  <si>
    <t>Bijoy Krishna Saha</t>
  </si>
  <si>
    <t>Manindra Nath Tarafder</t>
  </si>
  <si>
    <t>M/S Tara Ma Krishi Bhander</t>
  </si>
  <si>
    <t>Subrata Kundu</t>
  </si>
  <si>
    <t>Kalam Fertiliser</t>
  </si>
  <si>
    <t>2025-09-20</t>
  </si>
  <si>
    <t>Annapurna Krishi Bhandar</t>
  </si>
  <si>
    <t>AMIN FERTILIZER</t>
  </si>
  <si>
    <t>CHANDINI FERTILIZER</t>
  </si>
  <si>
    <t>2024-12-23</t>
  </si>
  <si>
    <t>Barrackpur - II</t>
  </si>
  <si>
    <t>Maa Krishi Bhandar</t>
  </si>
  <si>
    <t>Animesh Dutta</t>
  </si>
  <si>
    <t>Bimal Kumar Mollick</t>
  </si>
  <si>
    <t>2025-11-14</t>
  </si>
  <si>
    <t>Mattri Krishi Bhandar</t>
  </si>
  <si>
    <t>2025-03-20</t>
  </si>
  <si>
    <t>281550</t>
  </si>
  <si>
    <t xml:space="preserve">Prakash Chand Mantri          </t>
  </si>
  <si>
    <t>Sonali Krishi Bipani</t>
  </si>
  <si>
    <t>2025-11-20</t>
  </si>
  <si>
    <t>294884</t>
  </si>
  <si>
    <t>M/S Uttam Kumar Dalal</t>
  </si>
  <si>
    <t>9832231914</t>
  </si>
  <si>
    <t>Pinaki Bhowmik</t>
  </si>
  <si>
    <t>Debabrata Kundu</t>
  </si>
  <si>
    <t>Urmila Yeasmin</t>
  </si>
  <si>
    <t>2025-05-29</t>
  </si>
  <si>
    <t>TAPAN KUMAR DAS</t>
  </si>
  <si>
    <t>2025-12-11</t>
  </si>
  <si>
    <t>M/s Bhattacharyya Krishi Bhand</t>
  </si>
  <si>
    <t>Jagabhandhu Adhikhari</t>
  </si>
  <si>
    <t>1086694</t>
  </si>
  <si>
    <t>Seuli Krishi Bipani</t>
  </si>
  <si>
    <t>2025-02-28</t>
  </si>
  <si>
    <t>Soumik Krishi Bhander</t>
  </si>
  <si>
    <t>Firoj krishi bhander</t>
  </si>
  <si>
    <t>ABHUL OHID</t>
  </si>
  <si>
    <t>M/S RAHAMANIA KRISHI BHANDER</t>
  </si>
  <si>
    <t>2025-11-28</t>
  </si>
  <si>
    <t>Mondal Fertilizer</t>
  </si>
  <si>
    <t>2024-12-09</t>
  </si>
  <si>
    <t>289635</t>
  </si>
  <si>
    <t>Sarbaranjan Sadhukhan</t>
  </si>
  <si>
    <t>7384683698</t>
  </si>
  <si>
    <t>Rahaman Krishi Bhandar</t>
  </si>
  <si>
    <t>2024-11-12</t>
  </si>
  <si>
    <t>Emarat Ali</t>
  </si>
  <si>
    <t>2026-01-10</t>
  </si>
  <si>
    <t>Md Jiarul Haque Baidya</t>
  </si>
  <si>
    <t>Saokat Mandal</t>
  </si>
  <si>
    <t>ABDUL RASID</t>
  </si>
  <si>
    <t>2024-01-20</t>
  </si>
  <si>
    <t>Altab Baidya</t>
  </si>
  <si>
    <t>MD. ANARUL</t>
  </si>
  <si>
    <t>NASIRUDDIN MONDAL</t>
  </si>
  <si>
    <t>ILA  DUTTA</t>
  </si>
  <si>
    <t>MAA TARA KRISHI BHANDAR</t>
  </si>
  <si>
    <t>SOHAG KRISHE VENDAR</t>
  </si>
  <si>
    <t>2025-11-15</t>
  </si>
  <si>
    <t>Ghosh fertilizer</t>
  </si>
  <si>
    <t>9333868034</t>
  </si>
  <si>
    <t>1107087</t>
  </si>
  <si>
    <t>SWAPAN GHOSH</t>
  </si>
  <si>
    <t>Natagram Skus Ltd</t>
  </si>
  <si>
    <t>Simulia Nischintapur Skus Ltd</t>
  </si>
  <si>
    <t>2026-01-30</t>
  </si>
  <si>
    <t>2025-04-21</t>
  </si>
  <si>
    <t>1466654</t>
  </si>
  <si>
    <t>HIRANMOY SARKAR</t>
  </si>
  <si>
    <t>2025-03-03</t>
  </si>
  <si>
    <t>Sukumar Pal</t>
  </si>
  <si>
    <t>2026-03-29</t>
  </si>
  <si>
    <t>Sunil Kumar Mondal</t>
  </si>
  <si>
    <t>R.G. Enterprise</t>
  </si>
  <si>
    <t>Tarak Chandra Das</t>
  </si>
  <si>
    <t>Bachhu Gain</t>
  </si>
  <si>
    <t>Jaganath Mukhopadyaha</t>
  </si>
  <si>
    <t>2024-11-30</t>
  </si>
  <si>
    <t>2024-07-10</t>
  </si>
  <si>
    <t>223814</t>
  </si>
  <si>
    <t xml:space="preserve">Loke Nath  Enterprise        </t>
  </si>
  <si>
    <t>Abdur  Rahim  Mondal</t>
  </si>
  <si>
    <t>2025-12-18</t>
  </si>
  <si>
    <t>Ashim Kumar Paul</t>
  </si>
  <si>
    <t>355903</t>
  </si>
  <si>
    <t>Paul Fertiliser</t>
  </si>
  <si>
    <t>Ashit Kumar Sur</t>
  </si>
  <si>
    <t>544994</t>
  </si>
  <si>
    <t>Ranjit Debnath</t>
  </si>
  <si>
    <t>2025-02-13</t>
  </si>
  <si>
    <t>1031616</t>
  </si>
  <si>
    <t>Rita Mondal</t>
  </si>
  <si>
    <t>9434190852</t>
  </si>
  <si>
    <t>Ashok Kumar Das</t>
  </si>
  <si>
    <t>Bidhan Chandra  Das</t>
  </si>
  <si>
    <t>Bidhan Chandra  Sar Kar</t>
  </si>
  <si>
    <t>Biswajitsharma</t>
  </si>
  <si>
    <t>2020-10-14</t>
  </si>
  <si>
    <t>355543</t>
  </si>
  <si>
    <t>Kaushik Mondal</t>
  </si>
  <si>
    <t>2022-12-14</t>
  </si>
  <si>
    <t>Biswas Fertilizer</t>
  </si>
  <si>
    <t>2026-04-17</t>
  </si>
  <si>
    <t>Ebadur Rahman  Mondal</t>
  </si>
  <si>
    <t>Hazrat Ali  Mondal</t>
  </si>
  <si>
    <t>Jagabondhu  Mondal</t>
  </si>
  <si>
    <t>JADAB CHANDRA DUTTA</t>
  </si>
  <si>
    <t>Mehabub Morsed Biswas</t>
  </si>
  <si>
    <t>2025-01-01</t>
  </si>
  <si>
    <t>Molay  Mondal and Ujjawal  Mondal</t>
  </si>
  <si>
    <t>2025-10-28</t>
  </si>
  <si>
    <t>2025-05-01</t>
  </si>
  <si>
    <t>Ranjit Kumar Singha Roy</t>
  </si>
  <si>
    <t>2025-07-16</t>
  </si>
  <si>
    <t>2025-08-19</t>
  </si>
  <si>
    <t>Sahebuddin Mondal</t>
  </si>
  <si>
    <t>Samir Kumar  Mondal</t>
  </si>
  <si>
    <t>Sanjoy Debnath</t>
  </si>
  <si>
    <t>2025-11-03</t>
  </si>
  <si>
    <t>Jadavpur Skus Ltd</t>
  </si>
  <si>
    <t>Krishna Biswas</t>
  </si>
  <si>
    <t>Kankan Fertilizers</t>
  </si>
  <si>
    <t>2025-12-09</t>
  </si>
  <si>
    <t>Satya Ranjan Sarkar</t>
  </si>
  <si>
    <t>Pranab Kumar Ghosh</t>
  </si>
  <si>
    <t>Habib Krishi Bhandar</t>
  </si>
  <si>
    <t>1054127</t>
  </si>
  <si>
    <t>Subal Chandra Roy</t>
  </si>
  <si>
    <t>Alamgir Mondal</t>
  </si>
  <si>
    <t>Swapan Kumar Biswas</t>
  </si>
  <si>
    <t>Baidya Nath Sengupta</t>
  </si>
  <si>
    <t>Debnath Fertilizer</t>
  </si>
  <si>
    <t>Subash Sarkar</t>
  </si>
  <si>
    <t>2025-03-24</t>
  </si>
  <si>
    <t>Mashir Mondal</t>
  </si>
  <si>
    <t>Gobindo Roy</t>
  </si>
  <si>
    <t>Sukanta Das</t>
  </si>
  <si>
    <t>2025-09-27</t>
  </si>
  <si>
    <t>2025-02-21</t>
  </si>
  <si>
    <t>2025-03-28</t>
  </si>
  <si>
    <t>Ashim Mondal</t>
  </si>
  <si>
    <t>Balianpur Skus Ltd</t>
  </si>
  <si>
    <t>Ranjit Biswas</t>
  </si>
  <si>
    <t>2025-07-22</t>
  </si>
  <si>
    <t>460751</t>
  </si>
  <si>
    <t>Bachu Gain</t>
  </si>
  <si>
    <t>2025-10-10</t>
  </si>
  <si>
    <t>2025-08-06</t>
  </si>
  <si>
    <t>Niranjan Biswas</t>
  </si>
  <si>
    <t>Abdul Alim Sardar</t>
  </si>
  <si>
    <t>2025-07-23</t>
  </si>
  <si>
    <t>Subrata Mondal</t>
  </si>
  <si>
    <t>1219923</t>
  </si>
  <si>
    <t>Shimul Hazra</t>
  </si>
  <si>
    <t>Abul Kalam Tarafder</t>
  </si>
  <si>
    <t>Ruhal Amin Mondal</t>
  </si>
  <si>
    <t>2025-10-05</t>
  </si>
  <si>
    <t>Ajay Kumar Das</t>
  </si>
  <si>
    <t>2025-04-17</t>
  </si>
  <si>
    <t>Sariot Mondal</t>
  </si>
  <si>
    <t>2026-02-26</t>
  </si>
  <si>
    <t>Amrita Mondal</t>
  </si>
  <si>
    <t>Bimal Chakravorthy</t>
  </si>
  <si>
    <t>Mukesh Fertilizer</t>
  </si>
  <si>
    <t>Fatik Chandra Mondal</t>
  </si>
  <si>
    <t>2025-01-18</t>
  </si>
  <si>
    <t>Sushanta Aich</t>
  </si>
  <si>
    <t>Surojit Mondal</t>
  </si>
  <si>
    <t>2025-04-28</t>
  </si>
  <si>
    <t>Salim Ali Khan</t>
  </si>
  <si>
    <t>Sanjoy Mitra and Pannalal Mitra</t>
  </si>
  <si>
    <t>Bikash Ch.Sarkar</t>
  </si>
  <si>
    <t>2025-09-17</t>
  </si>
  <si>
    <t>2025-08-15</t>
  </si>
  <si>
    <t>Amzad Hossain Tarafder</t>
  </si>
  <si>
    <t>2025-02-27</t>
  </si>
  <si>
    <t>Kalpana Roy</t>
  </si>
  <si>
    <t>Ashit Kr.Mondal</t>
  </si>
  <si>
    <t>YOUCHUP MONDAL</t>
  </si>
  <si>
    <t>Kutubuddin  Mondal</t>
  </si>
  <si>
    <t>2025-08-05</t>
  </si>
  <si>
    <t>Prodipta Mondal</t>
  </si>
  <si>
    <t>2023-01-31</t>
  </si>
  <si>
    <t>Subir Kumar Poddar</t>
  </si>
  <si>
    <t>Jhantu Biswas</t>
  </si>
  <si>
    <t>Suryakanta Roy</t>
  </si>
  <si>
    <t>2025-01-27</t>
  </si>
  <si>
    <t>Haridas Bacchar</t>
  </si>
  <si>
    <t>Shoag Mondal</t>
  </si>
  <si>
    <t>Pritam Enterprise</t>
  </si>
  <si>
    <t>2025-10-27</t>
  </si>
  <si>
    <t>Prosenjit Roy</t>
  </si>
  <si>
    <t>DEBDAS MANDAL</t>
  </si>
  <si>
    <t>Sudip Kumar Sarkar</t>
  </si>
  <si>
    <t>BHAJAHARI MONDAL</t>
  </si>
  <si>
    <t>Paresh Debnath</t>
  </si>
  <si>
    <t>Adhir Ch Biswas</t>
  </si>
  <si>
    <t>2025-07-18</t>
  </si>
  <si>
    <t>ABDUL JALIL MONDAL</t>
  </si>
  <si>
    <t>Prahlad Mondal</t>
  </si>
  <si>
    <t>Bhabotosh Debnath</t>
  </si>
  <si>
    <t>2024-10-01</t>
  </si>
  <si>
    <t>M/S Karuna Roy</t>
  </si>
  <si>
    <t>JILLUR RAHAMAN SARDAR</t>
  </si>
  <si>
    <t>2024-04-19</t>
  </si>
  <si>
    <t>Nirmal Ch. Paul</t>
  </si>
  <si>
    <t>2025-09-05</t>
  </si>
  <si>
    <t>Abdul Alim Mondal</t>
  </si>
  <si>
    <t>2025-06-06</t>
  </si>
  <si>
    <t>PAUL FERTILISER</t>
  </si>
  <si>
    <t>JAGADISH SARKER</t>
  </si>
  <si>
    <t>SOURAV SARKAR</t>
  </si>
  <si>
    <t>Dipak Mondal</t>
  </si>
  <si>
    <t>2025-02-15</t>
  </si>
  <si>
    <t>SOUMEN MONDAL</t>
  </si>
  <si>
    <t>Basiruddin Mondal</t>
  </si>
  <si>
    <t>Nanda Mondal</t>
  </si>
  <si>
    <t>SAILENDRA NATH GHOSH</t>
  </si>
  <si>
    <t>Goutam Halder</t>
  </si>
  <si>
    <t>Shibapada Mondal</t>
  </si>
  <si>
    <t>2025-04-01</t>
  </si>
  <si>
    <t xml:space="preserve">SAMIR KR. DUTTA and SOMA DUTTA </t>
  </si>
  <si>
    <t>Asish Karmakar</t>
  </si>
  <si>
    <t>SOLAIMAN MONDAL</t>
  </si>
  <si>
    <t>2025-10-22</t>
  </si>
  <si>
    <t>Uttam kumar Ghosh</t>
  </si>
  <si>
    <t>2021-03-02</t>
  </si>
  <si>
    <t>Avishek Mondal</t>
  </si>
  <si>
    <t>BHAI BHAI KRISHI VANDAR</t>
  </si>
  <si>
    <t xml:space="preserve">M/S Ramjan Mondal </t>
  </si>
  <si>
    <t>AKTAR FERTILIZER  PESTICIDES</t>
  </si>
  <si>
    <t>TAPAN SARKAR</t>
  </si>
  <si>
    <t>JAHIRUL MONDAL</t>
  </si>
  <si>
    <t>HABIBUR RAHAMAN MONDIL</t>
  </si>
  <si>
    <t>2025-03-26</t>
  </si>
  <si>
    <t>ARSED ALI MONDAL</t>
  </si>
  <si>
    <t>2025-09-30</t>
  </si>
  <si>
    <t>PINTU SARKAR</t>
  </si>
  <si>
    <t>ABAIDULLA MONDAL</t>
  </si>
  <si>
    <t>2025-12-22</t>
  </si>
  <si>
    <t>NURUL HASAN GAZI</t>
  </si>
  <si>
    <t>PROSENJIT PAL</t>
  </si>
  <si>
    <t>CHITTARANJAN BISWAS</t>
  </si>
  <si>
    <t>MAHASIN MONDAL</t>
  </si>
  <si>
    <t>TAPASHI FERTILIZER</t>
  </si>
  <si>
    <t>2026-04-04</t>
  </si>
  <si>
    <t>DEBNATH FERTILIZER</t>
  </si>
  <si>
    <t>SALAM SAHEDA FERTILIZER</t>
  </si>
  <si>
    <t>2025-12-07</t>
  </si>
  <si>
    <t>RABIOL MANDAL</t>
  </si>
  <si>
    <t>2025-06-10</t>
  </si>
  <si>
    <t>2025-05-25</t>
  </si>
  <si>
    <t>Adarsh Krishi Bhandar</t>
  </si>
  <si>
    <t>Barun Krishi Bhandar</t>
  </si>
  <si>
    <t>Bazlur Rahman</t>
  </si>
  <si>
    <t>Hasanur Fertilizers</t>
  </si>
  <si>
    <t>Liyakat Ali</t>
  </si>
  <si>
    <t>Maa Krishi Bhander</t>
  </si>
  <si>
    <t>Mahakali Krishi Bhandar</t>
  </si>
  <si>
    <t>Md.Abdul Ohab</t>
  </si>
  <si>
    <t>Md.Kays Ali</t>
  </si>
  <si>
    <t>2023-09-22</t>
  </si>
  <si>
    <t>Md Mahasin</t>
  </si>
  <si>
    <t>Mondal Fertilizers</t>
  </si>
  <si>
    <t>Mondal Krishi Bhander</t>
  </si>
  <si>
    <t>P.G.Krishi Bhandar</t>
  </si>
  <si>
    <t>2020-08-23</t>
  </si>
  <si>
    <t>945181</t>
  </si>
  <si>
    <t>MUKHERJEE BROTHERS</t>
  </si>
  <si>
    <t>Sabuj Sathi</t>
  </si>
  <si>
    <t>2023-09-06</t>
  </si>
  <si>
    <t>877418</t>
  </si>
  <si>
    <t>TAPAN BISWAS</t>
  </si>
  <si>
    <t>9733557901</t>
  </si>
  <si>
    <t>Sabuj Sona Krishi Bhander</t>
  </si>
  <si>
    <t>2024-08-19</t>
  </si>
  <si>
    <t>2024-07-16</t>
  </si>
  <si>
    <t>2024-07-11</t>
  </si>
  <si>
    <t>2024-05-23</t>
  </si>
  <si>
    <t>2024-05-16</t>
  </si>
  <si>
    <t>2024-08-31</t>
  </si>
  <si>
    <t>2024-05-30</t>
  </si>
  <si>
    <t>Sahid Krishi Bhander</t>
  </si>
  <si>
    <t>Sirasul Haque</t>
  </si>
  <si>
    <t>SAHAJAHANGIR GAZI</t>
  </si>
  <si>
    <t>2025-05-18</t>
  </si>
  <si>
    <t>Swapan Kumar Sadhukhan</t>
  </si>
  <si>
    <t>Swetpur Mskus Ltd</t>
  </si>
  <si>
    <t>Taijul Hoque And Brathers Kri</t>
  </si>
  <si>
    <t>Tofazzel Hoque And Brather Kr</t>
  </si>
  <si>
    <t xml:space="preserve">Sahidul Islam and Sons          </t>
  </si>
  <si>
    <t>2026-04-15</t>
  </si>
  <si>
    <t>Sri Guru Krishi Bhandar</t>
  </si>
  <si>
    <t>Firojul Islam</t>
  </si>
  <si>
    <t>Khanpur Krishi Bhandar</t>
  </si>
  <si>
    <t>2025-10-19</t>
  </si>
  <si>
    <t>2025-04-06</t>
  </si>
  <si>
    <t>2025-05-21</t>
  </si>
  <si>
    <t>Pintu Modern Krishi Bhnader</t>
  </si>
  <si>
    <t>Sahidul Islam</t>
  </si>
  <si>
    <t>2026-04-06</t>
  </si>
  <si>
    <t>Jabed Fertilizer</t>
  </si>
  <si>
    <t>Md.Abdulquadir</t>
  </si>
  <si>
    <t>Rama Ghosh</t>
  </si>
  <si>
    <t>Kolapoli Krishi Bhander</t>
  </si>
  <si>
    <t>Pijush Kanti Ghosh</t>
  </si>
  <si>
    <t>MODERN FERTILIZER</t>
  </si>
  <si>
    <t>2025-07-30</t>
  </si>
  <si>
    <t>BISWAS KRISHI BHANDAR</t>
  </si>
  <si>
    <t>Hassan Fertilizer</t>
  </si>
  <si>
    <t>Md Kuddus Ali</t>
  </si>
  <si>
    <t>MONDAL FERTILIZER</t>
  </si>
  <si>
    <t>PIRGORACHAD KRISHI BHANDAR</t>
  </si>
  <si>
    <t>2025-03-02</t>
  </si>
  <si>
    <t>2025-02-10</t>
  </si>
  <si>
    <t>MD MIRAJUL ISLAM</t>
  </si>
  <si>
    <t>SK MOTALEB</t>
  </si>
  <si>
    <t>NEW KRISHI BHANDER</t>
  </si>
  <si>
    <t>Mrinmayee Mondal</t>
  </si>
  <si>
    <t>md jiya fertilizer</t>
  </si>
  <si>
    <t>2025-10-16</t>
  </si>
  <si>
    <t>RAHAT KRISHI BHANDAR</t>
  </si>
  <si>
    <t>M/S NATIONAL SUPPLY AGENCY</t>
  </si>
  <si>
    <t>NEW BISWAS FERTILIZER</t>
  </si>
  <si>
    <t>HOSSAIN FERTILIZER</t>
  </si>
  <si>
    <t>2025-02-03</t>
  </si>
  <si>
    <t>M/S BHAI BHAI KRISHI BHANDAR</t>
  </si>
  <si>
    <t>Hassan Krishi Bhander</t>
  </si>
  <si>
    <t>MIRA FERTILIZER</t>
  </si>
  <si>
    <t>2025-08-24</t>
  </si>
  <si>
    <t>Adhir Sarkar</t>
  </si>
  <si>
    <t>Banglani Skus Ltd</t>
  </si>
  <si>
    <t>Kaya L.S Pcacs Ltd</t>
  </si>
  <si>
    <t>Mahishakati S.K.U.S.Ltd</t>
  </si>
  <si>
    <t>Purba Barasat Skus Ltd</t>
  </si>
  <si>
    <t>Haran Saha and Rafik Mondal</t>
  </si>
  <si>
    <t>Moyna Skus Ltd</t>
  </si>
  <si>
    <t>Baloram Ghosh</t>
  </si>
  <si>
    <t>Mahadev Kumar Mondal</t>
  </si>
  <si>
    <t>Bikash Biswas</t>
  </si>
  <si>
    <t>2024-03-31</t>
  </si>
  <si>
    <t>Anukul Kumar Khan</t>
  </si>
  <si>
    <t>Ashit Roy</t>
  </si>
  <si>
    <t>Mijanur Rahman  Dafa Der</t>
  </si>
  <si>
    <t>Samir Kumar Roy</t>
  </si>
  <si>
    <t>Jaleswarl/Spcacs Ltd</t>
  </si>
  <si>
    <t>Dhogachia Skus Ltd</t>
  </si>
  <si>
    <t>Dooma Union.L/S Pcacs.Ltd</t>
  </si>
  <si>
    <t>Bidyut Ghosh</t>
  </si>
  <si>
    <t>Molay Saha</t>
  </si>
  <si>
    <t>2024-01-23</t>
  </si>
  <si>
    <t>NEW RADHAKRISHNAKRISHI BHANDAR</t>
  </si>
  <si>
    <t>Nirmal Podder</t>
  </si>
  <si>
    <t>Dilip Kumar Mondal</t>
  </si>
  <si>
    <t>M/S Babul Das</t>
  </si>
  <si>
    <t>Basudev Ghosh</t>
  </si>
  <si>
    <t>Ghosh Fertlizer</t>
  </si>
  <si>
    <t>Arindam Mondal</t>
  </si>
  <si>
    <t>600929</t>
  </si>
  <si>
    <t>Durga Charan Barui</t>
  </si>
  <si>
    <t>Laxman Chandra Sardar</t>
  </si>
  <si>
    <t>2025-02-18</t>
  </si>
  <si>
    <t>Parimal Sardar</t>
  </si>
  <si>
    <t>Nitish Kumar Mondal</t>
  </si>
  <si>
    <t>Ashit Mondal</t>
  </si>
  <si>
    <t>M/S Ramkrishna Sardar</t>
  </si>
  <si>
    <t>M/S Biswajit Majumdar</t>
  </si>
  <si>
    <t>Nishikar Das</t>
  </si>
  <si>
    <t>M/S Protap Majumder</t>
  </si>
  <si>
    <t>Modern Fertilizer</t>
  </si>
  <si>
    <t>2026-04-12</t>
  </si>
  <si>
    <t>Biswajit Kundu</t>
  </si>
  <si>
    <t>Sadhan Das</t>
  </si>
  <si>
    <t>Shashanka Upadhyaya</t>
  </si>
  <si>
    <t>Satya Priya Palit</t>
  </si>
  <si>
    <t>Sanikanta Paul</t>
  </si>
  <si>
    <t>Goutam Sarkar</t>
  </si>
  <si>
    <t>Mangal Hazra</t>
  </si>
  <si>
    <t>2025-07-25</t>
  </si>
  <si>
    <t>Subhash Neogi</t>
  </si>
  <si>
    <t>2025-12-23</t>
  </si>
  <si>
    <t>Rampada Mondal</t>
  </si>
  <si>
    <t>2019-01-08</t>
  </si>
  <si>
    <t>625928</t>
  </si>
  <si>
    <t>Renuka Saha Roy</t>
  </si>
  <si>
    <t>7478940964</t>
  </si>
  <si>
    <t>SAILENDRA NATH MONDAL</t>
  </si>
  <si>
    <t>Nirmal Kr.Mondal</t>
  </si>
  <si>
    <t>Tulshidas Saha</t>
  </si>
  <si>
    <t>Nilkanta Ghosh</t>
  </si>
  <si>
    <t>Jharna Krishi Bhander</t>
  </si>
  <si>
    <t>M/S Sanjay Dutta</t>
  </si>
  <si>
    <t>SAMADDER KRISHI BHANDER</t>
  </si>
  <si>
    <t>2025-04-07</t>
  </si>
  <si>
    <t>Luftor Rahman Biswas</t>
  </si>
  <si>
    <t>M/S Mithu Das</t>
  </si>
  <si>
    <t>TAPAS CHATTERJEE</t>
  </si>
  <si>
    <t>SUJAY MONDAL</t>
  </si>
  <si>
    <t>BARUN BANERJEE</t>
  </si>
  <si>
    <t>ABHIJIT MONDAL</t>
  </si>
  <si>
    <t>RAJAPUR PASCHIMPARA SKUS LTD</t>
  </si>
  <si>
    <t>GAIGHATA SKUS LTD</t>
  </si>
  <si>
    <t>Shimuliapara Adarsha SKUS Ltd</t>
  </si>
  <si>
    <t>SHYAM SUNDAR KRISHI BHANDAR</t>
  </si>
  <si>
    <t>ANJALI FERTILIZER</t>
  </si>
  <si>
    <t>2025-09-11</t>
  </si>
  <si>
    <t>PARTHA BHASKAR</t>
  </si>
  <si>
    <t>BISWAS KRISHI BHANDER</t>
  </si>
  <si>
    <t>NEW ANANDA FERTILIZER</t>
  </si>
  <si>
    <t>SAHA KRISHI BIPANI</t>
  </si>
  <si>
    <t>UTTAR RAMPUR SKUS LTD</t>
  </si>
  <si>
    <t>Shyama Krishi Bhander</t>
  </si>
  <si>
    <t>Aklima Bibi</t>
  </si>
  <si>
    <t>Arman Fertilizers</t>
  </si>
  <si>
    <t>2025-05-12</t>
  </si>
  <si>
    <t>2025-07-28</t>
  </si>
  <si>
    <t>Barun Kumar Nandy</t>
  </si>
  <si>
    <t>Brojendra Mazumder</t>
  </si>
  <si>
    <t>Chatterjee Krishi Bhander</t>
  </si>
  <si>
    <t>Jhanka Krishi Bhandar</t>
  </si>
  <si>
    <t>Kiron Fertilizers</t>
  </si>
  <si>
    <t>Lila Krishi Bhander</t>
  </si>
  <si>
    <t>Md Nurul Amin</t>
  </si>
  <si>
    <t>M/S Debnath Fertilizer</t>
  </si>
  <si>
    <t>2025-03-09</t>
  </si>
  <si>
    <t>M/S Kalyani Krishi Bhandar</t>
  </si>
  <si>
    <t>M/S Krishi Laxmi</t>
  </si>
  <si>
    <t>M/S Ram Prasad Das</t>
  </si>
  <si>
    <t>2025-09-06</t>
  </si>
  <si>
    <t>Bijay Sarkar</t>
  </si>
  <si>
    <t>M/S Swapan Kumar Biswas</t>
  </si>
  <si>
    <t>2026-03-22</t>
  </si>
  <si>
    <t>New Biswas Krishi Bhandar</t>
  </si>
  <si>
    <t>Ram Chandra Das and Nurul</t>
  </si>
  <si>
    <t>Ranajit Kumar Sarkar</t>
  </si>
  <si>
    <t>2026-04-18</t>
  </si>
  <si>
    <t>MS Haque Krishi Bhander</t>
  </si>
  <si>
    <t>M/S Baidyanath Mondal</t>
  </si>
  <si>
    <t>Basanta Kumar RoyandCo</t>
  </si>
  <si>
    <t>M/S Sonali Enterprise</t>
  </si>
  <si>
    <t>Fultala Krishi Bhander</t>
  </si>
  <si>
    <t>Tarama Krishi Bhandar</t>
  </si>
  <si>
    <t>NEW DIPANWITA KRISHI BHANDER</t>
  </si>
  <si>
    <t>POPULAR KRISHI BHANDAR</t>
  </si>
  <si>
    <t>2024-08-18</t>
  </si>
  <si>
    <t>ANISUR ALAM</t>
  </si>
  <si>
    <t>ADHARSHA KRISHI BHANDAR</t>
  </si>
  <si>
    <t>AKUNJI KRISHI BHANDAR</t>
  </si>
  <si>
    <t>UTTAM SUR KRISHI BHANDAR</t>
  </si>
  <si>
    <t>CHALKULTALA  SAMOBAY KRISHI UN</t>
  </si>
  <si>
    <t>294883</t>
  </si>
  <si>
    <t>M/S Ganesh Chandra Ghosh</t>
  </si>
  <si>
    <t>Janapriya Samsel Krishi Bhand</t>
  </si>
  <si>
    <t>Kadpur Skus Ltd</t>
  </si>
  <si>
    <t>Lokenath Krishi Bhander</t>
  </si>
  <si>
    <t>Samen Ali Mondal</t>
  </si>
  <si>
    <t>Abusayed  Mondal</t>
  </si>
  <si>
    <t>Ashudi Krishi Bhan Der</t>
  </si>
  <si>
    <t>Baba  Taraknath  Krishibhan Der</t>
  </si>
  <si>
    <t>Bholanathsamaddar</t>
  </si>
  <si>
    <t>Guma  Krishi  Centre</t>
  </si>
  <si>
    <t>Karina Krishi   Bhander</t>
  </si>
  <si>
    <t>Krishak  Krishi  Bhander</t>
  </si>
  <si>
    <t>1096194</t>
  </si>
  <si>
    <t>Master Krishi Bhander</t>
  </si>
  <si>
    <t>Nemai Kumar Ghosh</t>
  </si>
  <si>
    <t>New  Janapriya  Krishi  Bhander</t>
  </si>
  <si>
    <t>Pradip Kumar Biswas</t>
  </si>
  <si>
    <t>Sabujayan  Krishibhander</t>
  </si>
  <si>
    <t>2024-03-13</t>
  </si>
  <si>
    <t>2023-09-30</t>
  </si>
  <si>
    <t>Sar  Ghar</t>
  </si>
  <si>
    <t>2025-10-17</t>
  </si>
  <si>
    <t>Shyamal Kr. Biswas</t>
  </si>
  <si>
    <t>Tarakeshwar Krishi Bhandar</t>
  </si>
  <si>
    <t>M/S Najirul Krishi Bhander</t>
  </si>
  <si>
    <t>BHAI BHAI KRISHI BHANDER</t>
  </si>
  <si>
    <t>2024-12-13</t>
  </si>
  <si>
    <t>DAS KRISHI BHANDER</t>
  </si>
  <si>
    <t>Lakshmi kata Mondal</t>
  </si>
  <si>
    <t>PAUL  FERTILIZER</t>
  </si>
  <si>
    <t>NEW SREEMA KRISHI BHANDER</t>
  </si>
  <si>
    <t>JOY GURU KRISHI BHANDAR</t>
  </si>
  <si>
    <t>RAHAMAN KRISHI BHANDER</t>
  </si>
  <si>
    <t>S.S. KRISHI BHANDER</t>
  </si>
  <si>
    <t>Haroa</t>
  </si>
  <si>
    <t>Alauddin Molla</t>
  </si>
  <si>
    <t>Baban Krishi Bhander</t>
  </si>
  <si>
    <t>2023-12-04</t>
  </si>
  <si>
    <t>Md. Rafiqul Islam</t>
  </si>
  <si>
    <t>Sabuj Krishi Centre</t>
  </si>
  <si>
    <t>2025-05-30</t>
  </si>
  <si>
    <t>Ziad Ali</t>
  </si>
  <si>
    <t>2025-12-06</t>
  </si>
  <si>
    <t>M/S Tapan Biswas</t>
  </si>
  <si>
    <t>ABDUL MAJID BAIDYA</t>
  </si>
  <si>
    <t>Md Bakhtiyar Ahmed</t>
  </si>
  <si>
    <t>Priyotosh Sardar</t>
  </si>
  <si>
    <t>Paik krishi bhandar</t>
  </si>
  <si>
    <t>Fajlul Islam</t>
  </si>
  <si>
    <t>M/S Rinku Krishi Bander</t>
  </si>
  <si>
    <t>2025-10-14</t>
  </si>
  <si>
    <t>779948</t>
  </si>
  <si>
    <t>MAHIR ENTERPRISE</t>
  </si>
  <si>
    <t>SAMIM KRISHI CENTER</t>
  </si>
  <si>
    <t>2025-06-24</t>
  </si>
  <si>
    <t>M/S JANAPRIYA KRISHI BHANDAR</t>
  </si>
  <si>
    <t>Hasnabad</t>
  </si>
  <si>
    <t>Kanika Pal</t>
  </si>
  <si>
    <t>Md. Abder Molla</t>
  </si>
  <si>
    <t>Kinkar Das</t>
  </si>
  <si>
    <t>Swapan Kumar Majumder</t>
  </si>
  <si>
    <t>2024-11-08</t>
  </si>
  <si>
    <t>Abdul Chattar Mondal</t>
  </si>
  <si>
    <t>2021-01-28</t>
  </si>
  <si>
    <t>Tarak Das</t>
  </si>
  <si>
    <t>Hingalganj</t>
  </si>
  <si>
    <t>Goutam Chakraborty</t>
  </si>
  <si>
    <t>Debendra Krishi Bhandar</t>
  </si>
  <si>
    <t>601121</t>
  </si>
  <si>
    <t>Sailendranath Mondal</t>
  </si>
  <si>
    <t>9932826979</t>
  </si>
  <si>
    <t>JAYDEV MONDAL</t>
  </si>
  <si>
    <t>KAMALA FERTILISER</t>
  </si>
  <si>
    <t>Minakhan</t>
  </si>
  <si>
    <t>Modina Krishi Bhander</t>
  </si>
  <si>
    <t>Sundarban Krishi Bipani</t>
  </si>
  <si>
    <t>2024-12-07</t>
  </si>
  <si>
    <t>2025-01-31</t>
  </si>
  <si>
    <t>Abul Kasham Tarafdur</t>
  </si>
  <si>
    <t>2025-01-25</t>
  </si>
  <si>
    <t>2020-12-26</t>
  </si>
  <si>
    <t>M/S MAA KRISHI BHANDAR</t>
  </si>
  <si>
    <t>Sandeshkhali - I</t>
  </si>
  <si>
    <t>M/S Sundarban Krishi Bipani</t>
  </si>
  <si>
    <t>Sailendra Nath Mondal</t>
  </si>
  <si>
    <t>Sunilkumar Ghosh</t>
  </si>
  <si>
    <t>Swapan Kumar Dafadar</t>
  </si>
  <si>
    <t>DAFADAR KRISHI CENTER</t>
  </si>
  <si>
    <t>Sandeshkhali - II</t>
  </si>
  <si>
    <t>Manobendraodas</t>
  </si>
  <si>
    <t>Ray Krishi Bhandar</t>
  </si>
  <si>
    <t>2024-01-31</t>
  </si>
  <si>
    <t>Abdul Karim Gazi</t>
  </si>
  <si>
    <t>Afiruddin Par</t>
  </si>
  <si>
    <t>Akram Ali Sardar</t>
  </si>
  <si>
    <t>Arvinda Ghosh</t>
  </si>
  <si>
    <t>2025-12-05</t>
  </si>
  <si>
    <t>Bikash Ch. Mondal</t>
  </si>
  <si>
    <t>Bikash Ch Sardar</t>
  </si>
  <si>
    <t>1102995</t>
  </si>
  <si>
    <t>Giarul Islam Biswas</t>
  </si>
  <si>
    <t>Goutam Das</t>
  </si>
  <si>
    <t>M/S SANDIP MONDAL</t>
  </si>
  <si>
    <t>Jiban Krishna Sarkar</t>
  </si>
  <si>
    <t>Kalan Dholi</t>
  </si>
  <si>
    <t xml:space="preserve">Kanchan Krishi Bhandar </t>
  </si>
  <si>
    <t>Madhu Sudan Roy</t>
  </si>
  <si>
    <t>Md.Anarul Islam Sardar</t>
  </si>
  <si>
    <t>Mufti Krishi Bhander</t>
  </si>
  <si>
    <t>2022-04-12</t>
  </si>
  <si>
    <t>2024-02-26</t>
  </si>
  <si>
    <t>Prakash Chandra Sarkar</t>
  </si>
  <si>
    <t>Puspendu Bachar</t>
  </si>
  <si>
    <t>2025-10-29</t>
  </si>
  <si>
    <t>Rabindra Nath Sarkar</t>
  </si>
  <si>
    <t>Rexona Krishi Bhandar</t>
  </si>
  <si>
    <t>Samser Ali Mondal</t>
  </si>
  <si>
    <t>Saradha Krishi Bhandar</t>
  </si>
  <si>
    <t>Seikh Abul Hohossain</t>
  </si>
  <si>
    <t>Sohajohan Molla</t>
  </si>
  <si>
    <t>2025-12-21</t>
  </si>
  <si>
    <t>1052457</t>
  </si>
  <si>
    <t>Sunity Kr.Sarkar</t>
  </si>
  <si>
    <t>Unique Krishi Bhandar</t>
  </si>
  <si>
    <t>Shyamal Kr Das</t>
  </si>
  <si>
    <t>Sukumar Ghosh</t>
  </si>
  <si>
    <t>Sumaia Fertilizers</t>
  </si>
  <si>
    <t>2024-10-22</t>
  </si>
  <si>
    <t>Swapan Kr Das</t>
  </si>
  <si>
    <t>Kinkar Mondal</t>
  </si>
  <si>
    <t>Abu Taleb Mondal</t>
  </si>
  <si>
    <t>Md Bhadra Ali Mondal</t>
  </si>
  <si>
    <t>Md Jahan Ali Molla</t>
  </si>
  <si>
    <t>2024-11-21</t>
  </si>
  <si>
    <t>Nemai Chandra Mondal</t>
  </si>
  <si>
    <t>Rabiul Sardar</t>
  </si>
  <si>
    <t>2023-02-02</t>
  </si>
  <si>
    <t>Ramesh Chendra Halder</t>
  </si>
  <si>
    <t>Sukumar Ballav</t>
  </si>
  <si>
    <t>Kasem  Mallick</t>
  </si>
  <si>
    <t>Abul Kalam Mondal</t>
  </si>
  <si>
    <t>Mirza Faruk Ahamed</t>
  </si>
  <si>
    <t>Salem Sardar</t>
  </si>
  <si>
    <t>Debashish Das</t>
  </si>
  <si>
    <t>281515</t>
  </si>
  <si>
    <t xml:space="preserve">Chatra Krishi Bhandar         </t>
  </si>
  <si>
    <t>CHANCHAL SARKAR</t>
  </si>
  <si>
    <t>Prasanta Sarkar</t>
  </si>
  <si>
    <t>M/S Tushar Kanti Ghosh</t>
  </si>
  <si>
    <t>M/S Rabindra Nath Mondal</t>
  </si>
  <si>
    <t>Maa Chandi Krishi Bhander</t>
  </si>
  <si>
    <t>2024-03-29</t>
  </si>
  <si>
    <t>Gourpada Mallick</t>
  </si>
  <si>
    <t>SAJAHAN DAFADAR</t>
  </si>
  <si>
    <t>655489</t>
  </si>
  <si>
    <t>MOGLESUR RAHAMAN MOLLA</t>
  </si>
  <si>
    <t>AMIYA PROSAD DAS</t>
  </si>
  <si>
    <t>APARNA MALLICK SARDAR</t>
  </si>
  <si>
    <t>DUTTAPARA KRISHI BIPONI</t>
  </si>
  <si>
    <t>MONDAL KRISHI BIPONI</t>
  </si>
  <si>
    <t>Boyalghata Krishi Bhander</t>
  </si>
  <si>
    <t>2022-12-10</t>
  </si>
  <si>
    <t>1280145</t>
  </si>
  <si>
    <t>MD MEHDIHASAN</t>
  </si>
  <si>
    <t>2022-03-19</t>
  </si>
  <si>
    <t>2023-01-10</t>
  </si>
  <si>
    <t>M/S. Asraf Ali</t>
  </si>
  <si>
    <t>M/S Arif Enterprise</t>
  </si>
  <si>
    <t>2019-09-21</t>
  </si>
  <si>
    <t>Ashim Bhattacharyya</t>
  </si>
  <si>
    <t>Bhagirath Mondal</t>
  </si>
  <si>
    <t>2023-04-03</t>
  </si>
  <si>
    <t>223825</t>
  </si>
  <si>
    <t xml:space="preserve">Shyamal Kumar Dalal           </t>
  </si>
  <si>
    <t>2024-10-15</t>
  </si>
  <si>
    <t>Bhattacharjee Fertilizers Sto</t>
  </si>
  <si>
    <t>2021-02-10</t>
  </si>
  <si>
    <t>Debdas Adhikary</t>
  </si>
  <si>
    <t>Gaighata Cadp Fscs Ltd</t>
  </si>
  <si>
    <t>Gazi Krishi Bhandae</t>
  </si>
  <si>
    <t>2019-07-04</t>
  </si>
  <si>
    <t>Gopal Ch. Das</t>
  </si>
  <si>
    <t>Hanspur Skus Ltd</t>
  </si>
  <si>
    <t>Kazi Sahi Durzzaman</t>
  </si>
  <si>
    <t>Liton Krishi Biponi</t>
  </si>
  <si>
    <t>2020-02-19</t>
  </si>
  <si>
    <t>Maa Kali Milla and Store</t>
  </si>
  <si>
    <t>M/S Kanai Lal Mondal</t>
  </si>
  <si>
    <t>M/S Khaza Fertilizers</t>
  </si>
  <si>
    <t>M/S Molla Fertilizers</t>
  </si>
  <si>
    <t>M/S Shila Fertilizers</t>
  </si>
  <si>
    <t>Muniya Krishi Bhandar</t>
  </si>
  <si>
    <t>Nurpur Krishi Bhander</t>
  </si>
  <si>
    <t>2019-09-08</t>
  </si>
  <si>
    <t>Parabir Kr. Ghosh</t>
  </si>
  <si>
    <t>Purkait Krishi Bhander</t>
  </si>
  <si>
    <t>Sabir Krishi Bhandar</t>
  </si>
  <si>
    <t>2019-01-11</t>
  </si>
  <si>
    <t>281520</t>
  </si>
  <si>
    <t>Susanta Pal</t>
  </si>
  <si>
    <t>Swapan Ghosh</t>
  </si>
  <si>
    <t>Upendra Fertilizer</t>
  </si>
  <si>
    <t>2022-04-13</t>
  </si>
  <si>
    <t>Sohrab Sardar</t>
  </si>
  <si>
    <t>2020-09-21</t>
  </si>
  <si>
    <t>Gopal Chandra Mondal</t>
  </si>
  <si>
    <t>2019-11-22</t>
  </si>
  <si>
    <t>2021-12-31</t>
  </si>
  <si>
    <t>Omar Ali Mondal</t>
  </si>
  <si>
    <t>2023-07-14</t>
  </si>
  <si>
    <t>Haque Krishi Bhander</t>
  </si>
  <si>
    <t>2025-09-12</t>
  </si>
  <si>
    <t>Samir Kumar Ghosh</t>
  </si>
  <si>
    <t>K Ali Das Das</t>
  </si>
  <si>
    <t>2021-06-23</t>
  </si>
  <si>
    <t>2020-06-26</t>
  </si>
  <si>
    <t>Ali Kadar Mondal</t>
  </si>
  <si>
    <t>Anupam  Mondal</t>
  </si>
  <si>
    <t>Ashim Ghosh</t>
  </si>
  <si>
    <t>Khalek Mondal</t>
  </si>
  <si>
    <t>2021-07-03</t>
  </si>
  <si>
    <t>Laxman Chandra Biswas</t>
  </si>
  <si>
    <t>Liton  Mondal</t>
  </si>
  <si>
    <t>Md.Abdul  Khalek  Mondal</t>
  </si>
  <si>
    <t>2020-08-25</t>
  </si>
  <si>
    <t>Monoranjan Biswas</t>
  </si>
  <si>
    <t>2020-03-22</t>
  </si>
  <si>
    <t>1036455</t>
  </si>
  <si>
    <t>Pan Krishi Bhander</t>
  </si>
  <si>
    <t>2019-09-19</t>
  </si>
  <si>
    <t>268764</t>
  </si>
  <si>
    <t>Chanchala Fertilizer</t>
  </si>
  <si>
    <t>2022-04-14</t>
  </si>
  <si>
    <t>Profllya Chandra   Mondal</t>
  </si>
  <si>
    <t>2021-01-06</t>
  </si>
  <si>
    <t>1113311</t>
  </si>
  <si>
    <t>Saria Krishi Bhander</t>
  </si>
  <si>
    <t>2022-02-16</t>
  </si>
  <si>
    <t>Sadhan Kumar Dey</t>
  </si>
  <si>
    <t>M/S Bipul Fertilizer Store</t>
  </si>
  <si>
    <t>Uttam Deb Noth</t>
  </si>
  <si>
    <t>2022-10-09</t>
  </si>
  <si>
    <t>Salauddin Biswas</t>
  </si>
  <si>
    <t>Subhas Kapat</t>
  </si>
  <si>
    <t>Anup Ghosh</t>
  </si>
  <si>
    <t>2020-12-31</t>
  </si>
  <si>
    <t>2021-02-26</t>
  </si>
  <si>
    <t>Mongal Biswas</t>
  </si>
  <si>
    <t>2022-05-28</t>
  </si>
  <si>
    <t>M/S Hasya Badan Makul</t>
  </si>
  <si>
    <t>Dipankar Sikdar</t>
  </si>
  <si>
    <t>Kartick Ch.Sarkar</t>
  </si>
  <si>
    <t>2025-11-16</t>
  </si>
  <si>
    <t>Th Urea(50 Kg)</t>
  </si>
  <si>
    <t>Jayanta Sen</t>
  </si>
  <si>
    <t>M/S Matri Krishi Bhander</t>
  </si>
  <si>
    <t>Jayasri Fertilizer</t>
  </si>
  <si>
    <t>Goutam And Soumen Chowdhury</t>
  </si>
  <si>
    <t>Imtiaz Ahmed</t>
  </si>
  <si>
    <t>2022-08-20</t>
  </si>
  <si>
    <t>2022-05-10</t>
  </si>
  <si>
    <t>2022-07-11</t>
  </si>
  <si>
    <t>Ahana Krishi Bhandar</t>
  </si>
  <si>
    <t>2021-02-18</t>
  </si>
  <si>
    <t>2020-12-30</t>
  </si>
  <si>
    <t>Raj Krishi Bhandar</t>
  </si>
  <si>
    <t>2023-01-03</t>
  </si>
  <si>
    <t>2022-11-12</t>
  </si>
  <si>
    <t>Parul Bibi</t>
  </si>
  <si>
    <t>2019-03-30</t>
  </si>
  <si>
    <t>Goutam Mondal</t>
  </si>
  <si>
    <t>2020-06-27</t>
  </si>
  <si>
    <t>356072</t>
  </si>
  <si>
    <t>Marjel Mondal</t>
  </si>
  <si>
    <t>Dibyendu Biswas</t>
  </si>
  <si>
    <t>Saifuddin Mondal</t>
  </si>
  <si>
    <t>Ramprasad Biswas</t>
  </si>
  <si>
    <t>2022-09-24</t>
  </si>
  <si>
    <t>Amrita Sarkar</t>
  </si>
  <si>
    <t>Amal Kumar Gain</t>
  </si>
  <si>
    <t>Gobinda Chandra Biswas</t>
  </si>
  <si>
    <t>2019-03-09</t>
  </si>
  <si>
    <t>268525</t>
  </si>
  <si>
    <t>Arindam Nandi</t>
  </si>
  <si>
    <t>Abdul Ruhu Mondal</t>
  </si>
  <si>
    <t>2020-02-06</t>
  </si>
  <si>
    <t>Shanku Mondal</t>
  </si>
  <si>
    <t>2021-07-16</t>
  </si>
  <si>
    <t>2021-11-04</t>
  </si>
  <si>
    <t>Ismail Mondal</t>
  </si>
  <si>
    <t>2025-10-15</t>
  </si>
  <si>
    <t>2025-11-12</t>
  </si>
  <si>
    <t>Rjaul Hossen Mallick</t>
  </si>
  <si>
    <t>Ashalata Krishi Bhander</t>
  </si>
  <si>
    <t>2020-05-29</t>
  </si>
  <si>
    <t>2020-02-01</t>
  </si>
  <si>
    <t>Surabuddin Biswas</t>
  </si>
  <si>
    <t>2021-03-26</t>
  </si>
  <si>
    <t>289631</t>
  </si>
  <si>
    <t>M/S Ramjan Mondal</t>
  </si>
  <si>
    <t>Smt Pampa Biswas</t>
  </si>
  <si>
    <t>2023-02-04</t>
  </si>
  <si>
    <t>Subhas Chandra Biswas</t>
  </si>
  <si>
    <t>2019-08-06</t>
  </si>
  <si>
    <t>2019-08-10</t>
  </si>
  <si>
    <t>2019-11-15</t>
  </si>
  <si>
    <t>2019-06-27</t>
  </si>
  <si>
    <t>Dipak Roy</t>
  </si>
  <si>
    <t>2019-12-11</t>
  </si>
  <si>
    <t>2019-10-18</t>
  </si>
  <si>
    <t>Akbar Ali Mondal</t>
  </si>
  <si>
    <t>2019-03-19</t>
  </si>
  <si>
    <t>Mahabub Hasan</t>
  </si>
  <si>
    <t>2020-01-02</t>
  </si>
  <si>
    <t>2019-12-21</t>
  </si>
  <si>
    <t>2020-04-18</t>
  </si>
  <si>
    <t>2020-03-15</t>
  </si>
  <si>
    <t>Ashit Majumder</t>
  </si>
  <si>
    <t>2019-08-07</t>
  </si>
  <si>
    <t>2021-04-08</t>
  </si>
  <si>
    <t>Atabuddin Mondal</t>
  </si>
  <si>
    <t>2019-05-31</t>
  </si>
  <si>
    <t>Sonali</t>
  </si>
  <si>
    <t>2019-02-04</t>
  </si>
  <si>
    <t>809548</t>
  </si>
  <si>
    <t>CHOWDHARI FERTILIZER</t>
  </si>
  <si>
    <t>ABDUL ALIM MONDAL</t>
  </si>
  <si>
    <t>MD.KARAM HOSSAIN</t>
  </si>
  <si>
    <t>2020-02-26</t>
  </si>
  <si>
    <t>2020-02-15</t>
  </si>
  <si>
    <t>2020-04-19</t>
  </si>
  <si>
    <t>2020-03-24</t>
  </si>
  <si>
    <t>2020-01-06</t>
  </si>
  <si>
    <t>RABEYA TARAFDAR</t>
  </si>
  <si>
    <t>2020-06-20</t>
  </si>
  <si>
    <t>2020-07-04</t>
  </si>
  <si>
    <t>2020-05-10</t>
  </si>
  <si>
    <t>2020-07-12</t>
  </si>
  <si>
    <t>Janapriya krishi bhandar</t>
  </si>
  <si>
    <t>2019-11-21</t>
  </si>
  <si>
    <t>2020-07-13</t>
  </si>
  <si>
    <t>Miragul Fertilizer</t>
  </si>
  <si>
    <t>Rafiqul Fertilizer</t>
  </si>
  <si>
    <t>Joy krishi bhander</t>
  </si>
  <si>
    <t>2020-08-21</t>
  </si>
  <si>
    <t>KENARAM MONDAL</t>
  </si>
  <si>
    <t>2020-02-21</t>
  </si>
  <si>
    <t>ABDULLA DHABAK</t>
  </si>
  <si>
    <t>Rajib Tarafdar</t>
  </si>
  <si>
    <t>2020-02-22</t>
  </si>
  <si>
    <t>2020-06-22</t>
  </si>
  <si>
    <t>Rafiqul Islam</t>
  </si>
  <si>
    <t>2019-09-13</t>
  </si>
  <si>
    <t>2019-11-08</t>
  </si>
  <si>
    <t>2019-11-06</t>
  </si>
  <si>
    <t>SABEDA FERTILIZER</t>
  </si>
  <si>
    <t>DILIP TARAFDAR</t>
  </si>
  <si>
    <t>M/S SABUJ KRISHI BHANDAR</t>
  </si>
  <si>
    <t>ARIYAN FERTILIZER</t>
  </si>
  <si>
    <t>MANDAL FERTILIZER</t>
  </si>
  <si>
    <t>Baruipur</t>
  </si>
  <si>
    <t>M/S Adarsha Krishi Bhander</t>
  </si>
  <si>
    <t>224553</t>
  </si>
  <si>
    <t>M/Stapan Kumar Karmakar</t>
  </si>
  <si>
    <t>Adhikari Fertilizer</t>
  </si>
  <si>
    <t>2023-11-16</t>
  </si>
  <si>
    <t>269533</t>
  </si>
  <si>
    <t>2023-07-06</t>
  </si>
  <si>
    <t>M/S. Oli Fertilizer</t>
  </si>
  <si>
    <t>281135</t>
  </si>
  <si>
    <t>Anil Kumar Purkait</t>
  </si>
  <si>
    <t>Krishi Bandhu Fertilisers</t>
  </si>
  <si>
    <t>2023-11-17</t>
  </si>
  <si>
    <t>2023-02-03</t>
  </si>
  <si>
    <t>Laskar Fertilizer</t>
  </si>
  <si>
    <t>2024-11-11</t>
  </si>
  <si>
    <t xml:space="preserve">M/S RAKIA SEED STORES </t>
  </si>
  <si>
    <t>M/S Md. Mucha Kalim Mondal</t>
  </si>
  <si>
    <t>2021-04-11</t>
  </si>
  <si>
    <t>2021-06-11</t>
  </si>
  <si>
    <t>Mondal Fertilisers</t>
  </si>
  <si>
    <t>281125</t>
  </si>
  <si>
    <t>Rumpa Fertiliser</t>
  </si>
  <si>
    <t>2025-04-30</t>
  </si>
  <si>
    <t>M/S. Dilip Kumar Naskar</t>
  </si>
  <si>
    <t>2023-07-04</t>
  </si>
  <si>
    <t>M/S ANKIT FERTILIZERS</t>
  </si>
  <si>
    <t>BISHNU FERTILISER</t>
  </si>
  <si>
    <t>2021-11-20</t>
  </si>
  <si>
    <t>M/S. HALDER FERTILIZER</t>
  </si>
  <si>
    <t>2019-10-29</t>
  </si>
  <si>
    <t>356389</t>
  </si>
  <si>
    <t xml:space="preserve"> Siddik Ali Gazi</t>
  </si>
  <si>
    <t>9903464391</t>
  </si>
  <si>
    <t>MONDAL FERTILISER</t>
  </si>
  <si>
    <t xml:space="preserve">LAXMI FERTILIZER </t>
  </si>
  <si>
    <t>M/S AL-AMIN FERTILISER</t>
  </si>
  <si>
    <t>2024-08-22</t>
  </si>
  <si>
    <t>2024-08-07</t>
  </si>
  <si>
    <t>TARIKUL ISLAM</t>
  </si>
  <si>
    <t>356406</t>
  </si>
  <si>
    <t>Sonali Krishi Bhander</t>
  </si>
  <si>
    <t>6294305762</t>
  </si>
  <si>
    <t>290841</t>
  </si>
  <si>
    <t>Sadhukhan &amp; Sons</t>
  </si>
  <si>
    <t>LASKAR FERTILISER</t>
  </si>
  <si>
    <t>2025-11-10</t>
  </si>
  <si>
    <t>M/S HAQUE AGRI WORLD</t>
  </si>
  <si>
    <t>2023-01-18</t>
  </si>
  <si>
    <t>2022-12-22</t>
  </si>
  <si>
    <t>NASKAR FERTILIZER</t>
  </si>
  <si>
    <t>M/S. CHAMPAHATI SAR BIKRAY KEN</t>
  </si>
  <si>
    <t>1470890</t>
  </si>
  <si>
    <t>SAHA BROTHERS</t>
  </si>
  <si>
    <t>M/S ABUL HOSSAIN MOLLA</t>
  </si>
  <si>
    <t>2026-04-13</t>
  </si>
  <si>
    <t>M/S LAXMI SAR BHANDAR</t>
  </si>
  <si>
    <t>Basanti</t>
  </si>
  <si>
    <t>Banamali Purkait</t>
  </si>
  <si>
    <t>290840</t>
  </si>
  <si>
    <t>N C Das &amp; Company</t>
  </si>
  <si>
    <t>Kartick Ch. Mondal</t>
  </si>
  <si>
    <t>M/S. Das Fertiliser Pro. Sanjoy Das</t>
  </si>
  <si>
    <t>Tarama Fertiliser</t>
  </si>
  <si>
    <t>M/S Nemai Chandra Saha</t>
  </si>
  <si>
    <t>Nazmul Hussain Jamadar</t>
  </si>
  <si>
    <t>2021-04-23</t>
  </si>
  <si>
    <t>HASANUR ZAMAN LASKER</t>
  </si>
  <si>
    <t xml:space="preserve"> M/S KHAN KRISHI BHANDER</t>
  </si>
  <si>
    <t>2020-08-10</t>
  </si>
  <si>
    <t>643299</t>
  </si>
  <si>
    <t>HAQE BUL KRISHI BHANDER</t>
  </si>
  <si>
    <t>9732829089</t>
  </si>
  <si>
    <t>Md. Sofiqur Rahaman Molla</t>
  </si>
  <si>
    <t>290836</t>
  </si>
  <si>
    <t>Kuddus Ali Molla</t>
  </si>
  <si>
    <t>Atab Ali Molla</t>
  </si>
  <si>
    <t>MD ALI FERTILIZER</t>
  </si>
  <si>
    <t>2024-01-06</t>
  </si>
  <si>
    <t>M/S Nowshar Ali Molla</t>
  </si>
  <si>
    <t>Nepal Naskar</t>
  </si>
  <si>
    <t>2021-06-03</t>
  </si>
  <si>
    <t>Paik Fertilizer</t>
  </si>
  <si>
    <t xml:space="preserve"> m/s Sudhir Kr Ghosh</t>
  </si>
  <si>
    <t>Shekkrishi Bhandar</t>
  </si>
  <si>
    <t>Mojaffar Hossain molla</t>
  </si>
  <si>
    <t>M/S Ferdousi Fertiliser</t>
  </si>
  <si>
    <t>Paik Krishi Bhander</t>
  </si>
  <si>
    <t>2023-01-16</t>
  </si>
  <si>
    <t>281181</t>
  </si>
  <si>
    <t>R. B. Agro Enterprise</t>
  </si>
  <si>
    <t>9903110185</t>
  </si>
  <si>
    <t>Bakkar Sar Kendra</t>
  </si>
  <si>
    <t>ALAYA KRISHI BHANDAR</t>
  </si>
  <si>
    <t>THE K.G.N KRISHI BHANDAR</t>
  </si>
  <si>
    <t>506846</t>
  </si>
  <si>
    <t>Adarsha Krishi fertilizer</t>
  </si>
  <si>
    <t>7003789893</t>
  </si>
  <si>
    <t>KOWSAR ALI MOLLA</t>
  </si>
  <si>
    <t>M/S. MAA KRISHI SEVA KENDRA</t>
  </si>
  <si>
    <t>ABU HOSSAIN FERTILIZER</t>
  </si>
  <si>
    <t>2025-07-31</t>
  </si>
  <si>
    <t>2024-12-15</t>
  </si>
  <si>
    <t>355645</t>
  </si>
  <si>
    <t>M/s. Md Sahidul Islam</t>
  </si>
  <si>
    <t>9883502324</t>
  </si>
  <si>
    <t>M/S RINKU FERTILIZER</t>
  </si>
  <si>
    <t>Bhangar - II</t>
  </si>
  <si>
    <t>Pravesh Das</t>
  </si>
  <si>
    <t>2025-09-28</t>
  </si>
  <si>
    <t>Bimal Chandra Karmakar</t>
  </si>
  <si>
    <t>Tarfdar Krishi Bhandar</t>
  </si>
  <si>
    <t>9732926523</t>
  </si>
  <si>
    <t>Md. Ahiduzzaman Sahaji</t>
  </si>
  <si>
    <t>2025-08-07</t>
  </si>
  <si>
    <t>Md.Ismailmolla</t>
  </si>
  <si>
    <t>Md.Ispahanmolla</t>
  </si>
  <si>
    <t>2024-01-08</t>
  </si>
  <si>
    <t>Md..Jiad Ali Molla</t>
  </si>
  <si>
    <t>M/S. Rabiul Islam</t>
  </si>
  <si>
    <t>Sudebkr  Mondal</t>
  </si>
  <si>
    <t>2025-04-08</t>
  </si>
  <si>
    <t>Amirul Islam Molla</t>
  </si>
  <si>
    <t>Mosaref Molla</t>
  </si>
  <si>
    <t>2024-11-26</t>
  </si>
  <si>
    <t>Md Sahidul Islam</t>
  </si>
  <si>
    <t>Kakuli Krishi Bhandar</t>
  </si>
  <si>
    <t>2022-11-16</t>
  </si>
  <si>
    <t>356412</t>
  </si>
  <si>
    <t>Tarafdarkrishi Bhandar</t>
  </si>
  <si>
    <t>PROBIR KR ROY</t>
  </si>
  <si>
    <t>2025-08-30</t>
  </si>
  <si>
    <t>2025-07-03</t>
  </si>
  <si>
    <t>RAIHAN KRISHI BHANDER</t>
  </si>
  <si>
    <t>MD ALI AKBAR MOLLA</t>
  </si>
  <si>
    <t>2025-06-03</t>
  </si>
  <si>
    <t>KAZI ABDUL MATIN</t>
  </si>
  <si>
    <t>2025-08-09</t>
  </si>
  <si>
    <t>AJAN SAPUIN</t>
  </si>
  <si>
    <t xml:space="preserve">DIN MOHAMMAD LASKAR </t>
  </si>
  <si>
    <t>342299</t>
  </si>
  <si>
    <t>NEW FERTILISERand STORES</t>
  </si>
  <si>
    <t>2024-02-29</t>
  </si>
  <si>
    <t>MD HABIBUR REHMAN</t>
  </si>
  <si>
    <t>2023-12-16</t>
  </si>
  <si>
    <t>Harekrishna  Mondal</t>
  </si>
  <si>
    <t>PANCHANAN SARDAR</t>
  </si>
  <si>
    <t>2025-02-06</t>
  </si>
  <si>
    <t>M/S TAPAS KUMAR SAMANTA</t>
  </si>
  <si>
    <t>HASYA BADAN MAKAL</t>
  </si>
  <si>
    <t>Ranu Fertilizer</t>
  </si>
  <si>
    <t>ETHAN FERTILIZERS</t>
  </si>
  <si>
    <t>M/S BISWAS KRISHI BHANDER</t>
  </si>
  <si>
    <t>M/S NASKAR FERTILIZER</t>
  </si>
  <si>
    <t>2024-02-03</t>
  </si>
  <si>
    <t>281186</t>
  </si>
  <si>
    <t>Shyamal Kumar Ghosh</t>
  </si>
  <si>
    <t>Budge Budge - II</t>
  </si>
  <si>
    <t>Sushil Krishna Samanta</t>
  </si>
  <si>
    <t>Malay Pramanik</t>
  </si>
  <si>
    <t>Rama Mondal</t>
  </si>
  <si>
    <t>M/S BHOLANATH JANA</t>
  </si>
  <si>
    <t>2024-07-01</t>
  </si>
  <si>
    <t>Tara Maa Fertilizer Centre</t>
  </si>
  <si>
    <t>2022-11-23</t>
  </si>
  <si>
    <t>SAIKAT KHAN</t>
  </si>
  <si>
    <t>Canning - I</t>
  </si>
  <si>
    <t>MAA DURGA SAR VANDHAR</t>
  </si>
  <si>
    <t>Chasi Ghar</t>
  </si>
  <si>
    <t>Raima Sar Bhander</t>
  </si>
  <si>
    <t>OMBYA AYEMA SAR BHANDER</t>
  </si>
  <si>
    <t>2024-09-26</t>
  </si>
  <si>
    <t>2024-09-28</t>
  </si>
  <si>
    <t>Sri Durga Enterprize</t>
  </si>
  <si>
    <t>2025-08-03</t>
  </si>
  <si>
    <t>MAA DURGA KRISHI BIPANI</t>
  </si>
  <si>
    <t>GAZI FERTILISER</t>
  </si>
  <si>
    <t>SOFIRUL MOLLA</t>
  </si>
  <si>
    <t>M/S SABUJ BANGLA SAR BHANDAR</t>
  </si>
  <si>
    <t>281035</t>
  </si>
  <si>
    <t>Matri Sar Bhandar</t>
  </si>
  <si>
    <t>9830087830</t>
  </si>
  <si>
    <t>Canning - II</t>
  </si>
  <si>
    <t>M/S. Adhikari Sar Bhander</t>
  </si>
  <si>
    <t>SHAIK SAR BHANDER</t>
  </si>
  <si>
    <t>2025-02-22</t>
  </si>
  <si>
    <t>K.G.N.FERTILISER</t>
  </si>
  <si>
    <t>SARDAR SAR BHANDER</t>
  </si>
  <si>
    <t>2024-11-28</t>
  </si>
  <si>
    <t>M/S BHAI BHAI ENTERPRISE</t>
  </si>
  <si>
    <t>Diamond Harbour - I</t>
  </si>
  <si>
    <t>M/S Moyra Fertiliser</t>
  </si>
  <si>
    <t>2026-01-13</t>
  </si>
  <si>
    <t>M/S.Purkait Fertiliser</t>
  </si>
  <si>
    <t>Shreekrishnakrishi Bhandar</t>
  </si>
  <si>
    <t>2023-10-02</t>
  </si>
  <si>
    <t>Soumen Tikader</t>
  </si>
  <si>
    <t>2021-04-24</t>
  </si>
  <si>
    <t>355886</t>
  </si>
  <si>
    <t>Pankajpurakait</t>
  </si>
  <si>
    <t>9733230795</t>
  </si>
  <si>
    <t>Biswanath Halder</t>
  </si>
  <si>
    <t>Tapandranath Biswas</t>
  </si>
  <si>
    <t>S.K.Fertilisers</t>
  </si>
  <si>
    <t>281132</t>
  </si>
  <si>
    <t xml:space="preserve">Pravakar Halder               </t>
  </si>
  <si>
    <t>8967341314</t>
  </si>
  <si>
    <t>M/S Sankar Saha</t>
  </si>
  <si>
    <t>2023-07-26</t>
  </si>
  <si>
    <t>Astik Kumar Halder</t>
  </si>
  <si>
    <t>Indrajit Naskar</t>
  </si>
  <si>
    <t>PIJUSH KANTI PANUA</t>
  </si>
  <si>
    <t>RADHARANI FERTILISER</t>
  </si>
  <si>
    <t>2020-12-21</t>
  </si>
  <si>
    <t>2020-02-03</t>
  </si>
  <si>
    <t>L-PLOT SAR BHANDER</t>
  </si>
  <si>
    <t>2026-01-14</t>
  </si>
  <si>
    <t>342383</t>
  </si>
  <si>
    <t>Diamond Harbour - II</t>
  </si>
  <si>
    <t>Priti Fertilizer</t>
  </si>
  <si>
    <t>2019-01-18</t>
  </si>
  <si>
    <t>Debasis Jana</t>
  </si>
  <si>
    <t>Sathi Fertiliser</t>
  </si>
  <si>
    <t>2025-03-16</t>
  </si>
  <si>
    <t>NILIMA SARDAR</t>
  </si>
  <si>
    <t>2024-12-18</t>
  </si>
  <si>
    <t>2023-08-15</t>
  </si>
  <si>
    <t>Falta</t>
  </si>
  <si>
    <t>BHUMI LAXMI FERTILISER</t>
  </si>
  <si>
    <t>2022-04-04</t>
  </si>
  <si>
    <t xml:space="preserve">M/S SREE DURGA KRISHI BHANDAR </t>
  </si>
  <si>
    <t>M/S MONISH HALDAR</t>
  </si>
  <si>
    <t>Gosaba</t>
  </si>
  <si>
    <t>Dayapur Skus Ltd</t>
  </si>
  <si>
    <t>1134498</t>
  </si>
  <si>
    <t>KALIMA KRISHI BHANDER</t>
  </si>
  <si>
    <t>8389891356</t>
  </si>
  <si>
    <t>Saroswati Krishi Bhander</t>
  </si>
  <si>
    <t>Sumana Krishi Bipani</t>
  </si>
  <si>
    <t>2026-01-08</t>
  </si>
  <si>
    <t>1083068</t>
  </si>
  <si>
    <t>SUNDARBAN KRISHI BIPANI</t>
  </si>
  <si>
    <t>8918609412</t>
  </si>
  <si>
    <t>M/S DINONATH BAIDAYA</t>
  </si>
  <si>
    <t>1208896</t>
  </si>
  <si>
    <t>SUBHA FERTILIZER</t>
  </si>
  <si>
    <t>9830263072</t>
  </si>
  <si>
    <t>PADMABATI KRISHI BHANDER</t>
  </si>
  <si>
    <t>DINABANDHU MONDAL</t>
  </si>
  <si>
    <t>2024-03-20</t>
  </si>
  <si>
    <t>M/S MATRI KRISHI BHANDER</t>
  </si>
  <si>
    <t>2024-09-16</t>
  </si>
  <si>
    <t>ATUL KRISHI BHANDER</t>
  </si>
  <si>
    <t xml:space="preserve"> M/S DAS KRISHI BIPANI</t>
  </si>
  <si>
    <t>2025-11-17</t>
  </si>
  <si>
    <t>RADHA KRISHNA KRISHI BHANDER</t>
  </si>
  <si>
    <t>Jaynagar - I</t>
  </si>
  <si>
    <t>M/S Das Sar Bickrya Kendra</t>
  </si>
  <si>
    <t>NOWMAN ALI MOLLA</t>
  </si>
  <si>
    <t xml:space="preserve"> M/S Tapas Kumar Naskar</t>
  </si>
  <si>
    <t>Rohit Kumar Halder</t>
  </si>
  <si>
    <t>Tusar Sarder</t>
  </si>
  <si>
    <t>Dhali Fertiliser</t>
  </si>
  <si>
    <t>Bhudhar Chandra Naskar</t>
  </si>
  <si>
    <t>MAA FERTILISER</t>
  </si>
  <si>
    <t xml:space="preserve"> M/S DHALI ENTERPRISE</t>
  </si>
  <si>
    <t>SARDAR FERTILIZER</t>
  </si>
  <si>
    <t>Jaynagar - II</t>
  </si>
  <si>
    <t>Nemai Chatui</t>
  </si>
  <si>
    <t>Srikanta Pramanik</t>
  </si>
  <si>
    <t>Da Senterprises</t>
  </si>
  <si>
    <t>2020-12-03</t>
  </si>
  <si>
    <t>Kayal Fertiliser</t>
  </si>
  <si>
    <t>Manirul Sarkar</t>
  </si>
  <si>
    <t>Sri Durga Fertiliser</t>
  </si>
  <si>
    <t>Ayub Ali Molla</t>
  </si>
  <si>
    <t>M/S MONDAL FERTILIZER</t>
  </si>
  <si>
    <t xml:space="preserve"> M/S Lilabati Fertilizer</t>
  </si>
  <si>
    <t>Nandalal Sardar</t>
  </si>
  <si>
    <t>2025-04-12</t>
  </si>
  <si>
    <t>Hazra Krishi Bhandar</t>
  </si>
  <si>
    <t>M/S GAZI FERTILIZER</t>
  </si>
  <si>
    <t>2020-08-14</t>
  </si>
  <si>
    <t>SANATAN KRISHI BHANDER</t>
  </si>
  <si>
    <t>MATRI KRISHI BHANDER</t>
  </si>
  <si>
    <t>Hamida Fertilizer</t>
  </si>
  <si>
    <t>M/S BAIDYA FERTILIZER</t>
  </si>
  <si>
    <t>2022-01-07</t>
  </si>
  <si>
    <t>2020-09-30</t>
  </si>
  <si>
    <t>2021-11-24</t>
  </si>
  <si>
    <t>Kakdwip</t>
  </si>
  <si>
    <t>Gouranga Krishi Bhandar</t>
  </si>
  <si>
    <t>Maa Kali Krishi Bhandar</t>
  </si>
  <si>
    <t>M/S SUDARSAN PANDIT</t>
  </si>
  <si>
    <t>Paban Krishi Bhandar</t>
  </si>
  <si>
    <t>M/S SUNDARBAN FERTILIZER</t>
  </si>
  <si>
    <t>Kakdwip Sar Bhander</t>
  </si>
  <si>
    <t>Pramila Krishi Bhander</t>
  </si>
  <si>
    <t>M/S KAKDWIP AGRO SERVICE</t>
  </si>
  <si>
    <t>Radha Gobinda Krishi Bhander</t>
  </si>
  <si>
    <t>Makali Krishi Bhander</t>
  </si>
  <si>
    <t>Kiran Fertiliser Shop</t>
  </si>
  <si>
    <t>Babusana Fertilisers</t>
  </si>
  <si>
    <t>Jadupati Krishi Bhander</t>
  </si>
  <si>
    <t>2025-05-19</t>
  </si>
  <si>
    <t>311219</t>
  </si>
  <si>
    <t>Bimal Roy</t>
  </si>
  <si>
    <t>Roy Fertilisers</t>
  </si>
  <si>
    <t>Satyanarayan Krishi Bhander</t>
  </si>
  <si>
    <t>Sukumar Manna</t>
  </si>
  <si>
    <t>SAMIRAN KRISHI BHANDAR</t>
  </si>
  <si>
    <t>290835</t>
  </si>
  <si>
    <t>SRI KRISHNA KRISHI BHANDER</t>
  </si>
  <si>
    <t>M/S MA KALI KRISHI BHANDERER</t>
  </si>
  <si>
    <t>KHANTAMONI KRISHI BHANDER</t>
  </si>
  <si>
    <t>PRATIMA SAR BHANDER</t>
  </si>
  <si>
    <t>270099</t>
  </si>
  <si>
    <t>Kakdwip Krishi Bandr</t>
  </si>
  <si>
    <t>SURENDRA KRISHI BHABAN</t>
  </si>
  <si>
    <t>KARAN FERTILISER</t>
  </si>
  <si>
    <t>2021-03-23</t>
  </si>
  <si>
    <t>333133</t>
  </si>
  <si>
    <t xml:space="preserve"> Purusatham Fertilizers</t>
  </si>
  <si>
    <t>NAYEK FERTILISER</t>
  </si>
  <si>
    <t>MAA DURGA KRISHI BHANDER</t>
  </si>
  <si>
    <t>2020-09-29</t>
  </si>
  <si>
    <t>M/S MAA KALI KRISHI BHANDAR</t>
  </si>
  <si>
    <t>KAKDWIP KRISHAK SATHI</t>
  </si>
  <si>
    <t>2025-01-30</t>
  </si>
  <si>
    <t>SUBHAJIT KRISHI BHANDER</t>
  </si>
  <si>
    <t>2022-03-15</t>
  </si>
  <si>
    <t>268603</t>
  </si>
  <si>
    <t>Baidya Krishi Bhander</t>
  </si>
  <si>
    <t>9434041915</t>
  </si>
  <si>
    <t>HARIPRIVA FERTILISER</t>
  </si>
  <si>
    <t>2020-12-27</t>
  </si>
  <si>
    <t>MA BASANTI KRISHI BHANDER</t>
  </si>
  <si>
    <t>SRI DURGA SAR BHANDER</t>
  </si>
  <si>
    <t>2020-02-29</t>
  </si>
  <si>
    <t>LAKSHMI GANESH KRISHI BHANDER</t>
  </si>
  <si>
    <t>AHALAYA KRISHI BHANDER</t>
  </si>
  <si>
    <t>2020-12-09</t>
  </si>
  <si>
    <t>2020-01-08</t>
  </si>
  <si>
    <t>USHA KRISHI BHANDER</t>
  </si>
  <si>
    <t>2024-12-24</t>
  </si>
  <si>
    <t>M/S SUNDARBAN KRISHI BHANDER</t>
  </si>
  <si>
    <t>Kulpi</t>
  </si>
  <si>
    <t>Sukendu Majumdar</t>
  </si>
  <si>
    <t>M/S. Halder Fertiliser Pro. Satyendranath Halder</t>
  </si>
  <si>
    <t>2023-03-27</t>
  </si>
  <si>
    <t>Kartik Ch Mondal</t>
  </si>
  <si>
    <t>M/S Pramanik Fertilisers</t>
  </si>
  <si>
    <t>Kartik Chandra Manna</t>
  </si>
  <si>
    <t>Sri Bishnu Krishi Bhander</t>
  </si>
  <si>
    <t>MA A KALI FERTILIZER AND PESTI</t>
  </si>
  <si>
    <t>M/S LAXMISRI KRISHI BHANDER</t>
  </si>
  <si>
    <t>M/S HALDER FERTILIZER</t>
  </si>
  <si>
    <t>Joydev Fertilizer</t>
  </si>
  <si>
    <t>Narendranath Laskar</t>
  </si>
  <si>
    <t>M/S ASMA TARA FERTILIZER</t>
  </si>
  <si>
    <t>PURKAIT FERTILIZER</t>
  </si>
  <si>
    <t>Md. Sirajul Molla</t>
  </si>
  <si>
    <t>2026-01-15</t>
  </si>
  <si>
    <t>Mondal Fertiliser</t>
  </si>
  <si>
    <t>775216</t>
  </si>
  <si>
    <t>MAA NAMITA ENTERPRISE</t>
  </si>
  <si>
    <t>SUMITRA FERTILIZER</t>
  </si>
  <si>
    <t>M/S. MAA KALI TARA FERTILIZERS</t>
  </si>
  <si>
    <t>MATRIFERTILIZER</t>
  </si>
  <si>
    <t>2023-02-18</t>
  </si>
  <si>
    <t>M/S. MAA MALINA FERTILIZER</t>
  </si>
  <si>
    <t>M/S. RADHA KRISHNA KRISHI BHAN</t>
  </si>
  <si>
    <t>M/S SARDAR FERTILISER</t>
  </si>
  <si>
    <t>M/S MAA RADHARANI KRISHI BHAND</t>
  </si>
  <si>
    <t>M/s. Manoda Fertilizer</t>
  </si>
  <si>
    <t>Md.Sahabuddin Paik</t>
  </si>
  <si>
    <t>M/S.Md. Allauddin Mollick</t>
  </si>
  <si>
    <t>Loca Fertilizer</t>
  </si>
  <si>
    <t>2021-03-06</t>
  </si>
  <si>
    <t>342385</t>
  </si>
  <si>
    <t>Green Traders</t>
  </si>
  <si>
    <t>9732810824</t>
  </si>
  <si>
    <t>2019-08-23</t>
  </si>
  <si>
    <t>Las Kar Fertiliser</t>
  </si>
  <si>
    <t>2025-04-23</t>
  </si>
  <si>
    <t>Abdus Chattar Dhali</t>
  </si>
  <si>
    <t>Md Selim Zafar Laskar</t>
  </si>
  <si>
    <t>Sri Krishna Krishi Bhandar</t>
  </si>
  <si>
    <t>Gazi Fertilisers</t>
  </si>
  <si>
    <t>Mojakker Gazi</t>
  </si>
  <si>
    <t>Abdul Mallek Peyada</t>
  </si>
  <si>
    <t>Gobinda Naskar</t>
  </si>
  <si>
    <t>Swagata Fertiliser</t>
  </si>
  <si>
    <t>Sahadat Mollick</t>
  </si>
  <si>
    <t>Swapan Sardar</t>
  </si>
  <si>
    <t>2025-11-08</t>
  </si>
  <si>
    <t>Kalas Krishi Ghar</t>
  </si>
  <si>
    <t>MANSURA MOLLA</t>
  </si>
  <si>
    <t>MD AYAZ RAHAMAN MOLLICK</t>
  </si>
  <si>
    <t>M/S MD IMRAN AHMED MOLLICK</t>
  </si>
  <si>
    <t>Mandirbazar</t>
  </si>
  <si>
    <t>Gopal Fertiliser</t>
  </si>
  <si>
    <t>Das Fertilizers</t>
  </si>
  <si>
    <t>Gayen Fertilizer</t>
  </si>
  <si>
    <t>Soma Fertiliser</t>
  </si>
  <si>
    <t>Sunit Kumar Nas Kar</t>
  </si>
  <si>
    <t>Subhendu Mondal</t>
  </si>
  <si>
    <t>HALDER FERTILISER</t>
  </si>
  <si>
    <t>SHILA FERTILISER</t>
  </si>
  <si>
    <t>Mathurapur - I</t>
  </si>
  <si>
    <t>M/S Mondal Fertiliser</t>
  </si>
  <si>
    <t>Subha Ranjan Majumder</t>
  </si>
  <si>
    <t>Dilip Kr Samanta</t>
  </si>
  <si>
    <t>Tapan  Mondal</t>
  </si>
  <si>
    <t>SARDER FERTILISER</t>
  </si>
  <si>
    <t>2025-03-14</t>
  </si>
  <si>
    <t>268665</t>
  </si>
  <si>
    <t>ARATI FERTILISER</t>
  </si>
  <si>
    <t>NEW KRISHI KALYAN KENDRA</t>
  </si>
  <si>
    <t>Bhabasindhu Haldar</t>
  </si>
  <si>
    <t>Joyguru Krishi Bhander</t>
  </si>
  <si>
    <t>Baidya Fertiliser  Prop-Manurath Baidya</t>
  </si>
  <si>
    <t>Maa Kali Fertilisers</t>
  </si>
  <si>
    <t>Mohabatnagar Skus Ltd</t>
  </si>
  <si>
    <t>Santa Fertiliser</t>
  </si>
  <si>
    <t>2023-03-22</t>
  </si>
  <si>
    <t>Das Krishi Seva Kandra</t>
  </si>
  <si>
    <t>2022-01-17</t>
  </si>
  <si>
    <t>Bar Krishi Bhander</t>
  </si>
  <si>
    <t>JAHANARA FERTILISER</t>
  </si>
  <si>
    <t>DEBRAJ PURKAIT</t>
  </si>
  <si>
    <t>2024-11-23</t>
  </si>
  <si>
    <t>Maa Gouri Fertilizer</t>
  </si>
  <si>
    <t>2022-06-29</t>
  </si>
  <si>
    <t>461604</t>
  </si>
  <si>
    <t>Subhendu Haldar</t>
  </si>
  <si>
    <t>8617023552</t>
  </si>
  <si>
    <t>BERA KRISHI BHANDER</t>
  </si>
  <si>
    <t>M/S SUKDEB BERA</t>
  </si>
  <si>
    <t>SHYAMAL SAMANTA</t>
  </si>
  <si>
    <t>Namkhana</t>
  </si>
  <si>
    <t xml:space="preserve"> Chashi Bandhu Sar Ghar </t>
  </si>
  <si>
    <t>2025-10-31</t>
  </si>
  <si>
    <t>M/S Gharai Krishi Bhander</t>
  </si>
  <si>
    <t>Maa Laxmi Krishibhander</t>
  </si>
  <si>
    <t>Maity Sar Bhander Prop-Pratima Maity</t>
  </si>
  <si>
    <t>Purandar Fertiliser  Prop-Probal Sahoo</t>
  </si>
  <si>
    <t>Nirmal Halder</t>
  </si>
  <si>
    <t>Das Fertilisers</t>
  </si>
  <si>
    <t>M/S. Satya Narayan Krishi Bhan</t>
  </si>
  <si>
    <t>Mondal Sar Bhander</t>
  </si>
  <si>
    <t>Manka Krishi Bhander</t>
  </si>
  <si>
    <t>Jagat Guru Krishi Bhandar</t>
  </si>
  <si>
    <t>Santra Brothers Krishi Bipani</t>
  </si>
  <si>
    <t>2022-01-05</t>
  </si>
  <si>
    <t>Tarama Krishi Bhander</t>
  </si>
  <si>
    <t>MANNA KRISHI BHANDER</t>
  </si>
  <si>
    <t>SUKDEB PRAMANIK</t>
  </si>
  <si>
    <t>M/S PRADHAN KRISHI BHANDER</t>
  </si>
  <si>
    <t>LAXMI SAR BHANDER</t>
  </si>
  <si>
    <t>KARUNA KRISHI BHANDAR</t>
  </si>
  <si>
    <t>M/S MAA KALI SAR BHANDER</t>
  </si>
  <si>
    <t>BAPAN FERTILIZER</t>
  </si>
  <si>
    <t>KRISHI SAR BHANDER</t>
  </si>
  <si>
    <t>M/S MA CHHABI KRISHI BHANDAR</t>
  </si>
  <si>
    <t>Patharpratima</t>
  </si>
  <si>
    <t>M/S HABIBULLA MOLLA</t>
  </si>
  <si>
    <t>Sindhu Sar Bhandar</t>
  </si>
  <si>
    <t>Sena Fertiliser</t>
  </si>
  <si>
    <t>Sumitra Fertilizer</t>
  </si>
  <si>
    <t>Sundarbon Krishi Bipani</t>
  </si>
  <si>
    <t>Petri Matri Sar Bhander</t>
  </si>
  <si>
    <t>Parasar Acharya</t>
  </si>
  <si>
    <t>Sabuj Dwip Fertiliser</t>
  </si>
  <si>
    <t>SUNDERBAN FERTILIZER</t>
  </si>
  <si>
    <t>MA SOUDAMINI KRISHI BHANDER</t>
  </si>
  <si>
    <t>NEW SWAPAN KUMAR MAITY FERTILI</t>
  </si>
  <si>
    <t>MAA SARDAR KRISHI BHANDER</t>
  </si>
  <si>
    <t xml:space="preserve"> M/S MAITY FERTILISER</t>
  </si>
  <si>
    <t>TARA MA KRISHI BHANDER</t>
  </si>
  <si>
    <t>2022-03-13</t>
  </si>
  <si>
    <t>KRISHI BHANDER FERTILIZER</t>
  </si>
  <si>
    <t>2022-03-17</t>
  </si>
  <si>
    <t>RADHAKRISHNA KRISHI BHANDAR</t>
  </si>
  <si>
    <t>M/S MALLIK FERTILIZER</t>
  </si>
  <si>
    <t>2024-10-09</t>
  </si>
  <si>
    <t>Sagar</t>
  </si>
  <si>
    <t>M/S. Maa Aparna Fertiliser</t>
  </si>
  <si>
    <t>2021-08-30</t>
  </si>
  <si>
    <t>Asimpaik</t>
  </si>
  <si>
    <t>Das Fertiliser</t>
  </si>
  <si>
    <t>Maa Parul Bala Fertilisers</t>
  </si>
  <si>
    <t>Rajlaxmi Krishi Bhandar</t>
  </si>
  <si>
    <t>Santi Krishi Bhandar Prop-P.Karan</t>
  </si>
  <si>
    <t>Subal Chandra Bhanja</t>
  </si>
  <si>
    <t>Manas Parua</t>
  </si>
  <si>
    <t>Tapas Kr Parua</t>
  </si>
  <si>
    <t>PRAMILA KRISHI BHANDAR</t>
  </si>
  <si>
    <t>Bhagabati Krishi Bhander</t>
  </si>
  <si>
    <t>Sagar Krishi Bhander</t>
  </si>
  <si>
    <t>2024-08-26</t>
  </si>
  <si>
    <t>Madurga Krishi Bhander</t>
  </si>
  <si>
    <t>Asit Kumar Giri</t>
  </si>
  <si>
    <t>Behula Krishi Bhander</t>
  </si>
  <si>
    <t>2023-07-13</t>
  </si>
  <si>
    <t>Maa Sureswari Sar Ghar</t>
  </si>
  <si>
    <t>Swapan Kumar Bera</t>
  </si>
  <si>
    <t>Srima Sarada Sar Ghar</t>
  </si>
  <si>
    <t>Masaroda Krishi Bhander</t>
  </si>
  <si>
    <t>Pradhan Krishi Bhander</t>
  </si>
  <si>
    <t>2025-12-27</t>
  </si>
  <si>
    <t>Suruchi Krishi Bhander</t>
  </si>
  <si>
    <t>Vibekananda Pradhan</t>
  </si>
  <si>
    <t>Snehalata Krishi Bhander</t>
  </si>
  <si>
    <t>Jana Fertilisers</t>
  </si>
  <si>
    <t>Panchami Krishi Bhander</t>
  </si>
  <si>
    <t>2025-12-16</t>
  </si>
  <si>
    <t>Prafulla Krishi Bhandar</t>
  </si>
  <si>
    <t>Sundarban Krishi Bhander</t>
  </si>
  <si>
    <t>2025-08-28</t>
  </si>
  <si>
    <t>SANJIB PRAMANIK</t>
  </si>
  <si>
    <t>SUBRATA MAL</t>
  </si>
  <si>
    <t>SUBOTH BALA KRISHI BHANDER</t>
  </si>
  <si>
    <t>2019-09-14</t>
  </si>
  <si>
    <t>A.D.SARGHAR</t>
  </si>
  <si>
    <t>JAMUNA KRISHI BHANDER</t>
  </si>
  <si>
    <t>2022-01-12</t>
  </si>
  <si>
    <t>BIKASH RANJAN MANDAL</t>
  </si>
  <si>
    <t>SWAPAN JANA</t>
  </si>
  <si>
    <t>Anila Krishi Bhander</t>
  </si>
  <si>
    <t>TILOTAMA KRISHI BHANDAR</t>
  </si>
  <si>
    <t>MA PANCHAMI FERTILIZER</t>
  </si>
  <si>
    <t>KALPANA KRISHI BHANDER</t>
  </si>
  <si>
    <t>MAA ANJALI KRISHI BHANDER</t>
  </si>
  <si>
    <t>Sonarpur</t>
  </si>
  <si>
    <t>Sasadhar Sar Bhander Prop-Tusar Mondal</t>
  </si>
  <si>
    <t>Saikat Fertilisers</t>
  </si>
  <si>
    <t>Dinmahamad Mondal</t>
  </si>
  <si>
    <t>2023-11-08</t>
  </si>
  <si>
    <t>Samser Ali Gayen</t>
  </si>
  <si>
    <t>M/S. Samanta Brothers</t>
  </si>
  <si>
    <t>2025-05-28</t>
  </si>
  <si>
    <t xml:space="preserve"> M/S TARA MAA FERTILISER</t>
  </si>
  <si>
    <t>NATUNHAT KRISHI BHANDAR</t>
  </si>
  <si>
    <t>2025-12-04</t>
  </si>
  <si>
    <t>M/S FERTILIZER SHOP</t>
  </si>
  <si>
    <t>Thakurpukur Mahestola</t>
  </si>
  <si>
    <t>Bimal Chandra Sardar</t>
  </si>
  <si>
    <t>Moniruzaman Krishi Bhandar</t>
  </si>
  <si>
    <t>9609423691</t>
  </si>
  <si>
    <t>2024-09-15</t>
  </si>
  <si>
    <t>1023423</t>
  </si>
  <si>
    <t>MONIRUZZAMAN KRISHI BHANDER</t>
  </si>
  <si>
    <t>Bidhan Ranjan Mondal</t>
  </si>
  <si>
    <t>2024-02-07</t>
  </si>
  <si>
    <t>Patra Fertilisers</t>
  </si>
  <si>
    <t>2024-07-15</t>
  </si>
  <si>
    <t>Sushil Sardar</t>
  </si>
  <si>
    <t>Gosto Behari Naskar</t>
  </si>
  <si>
    <t xml:space="preserve"> Gandhari Bhander (Sukumar Hal</t>
  </si>
  <si>
    <t>2020-08-07</t>
  </si>
  <si>
    <t>2021-11-23</t>
  </si>
  <si>
    <t>2022-04-01</t>
  </si>
  <si>
    <t>M/S Fatema Fertiliser</t>
  </si>
  <si>
    <t>2019-03-13</t>
  </si>
  <si>
    <t>Das Fertilizer P Pradip Kr Das</t>
  </si>
  <si>
    <t>M/S Ghosh Krishi Bipani</t>
  </si>
  <si>
    <t>2019-02-18</t>
  </si>
  <si>
    <t>Sundarban Agro Service</t>
  </si>
  <si>
    <t>8900726599</t>
  </si>
  <si>
    <t>2019-07-03</t>
  </si>
  <si>
    <t>342387</t>
  </si>
  <si>
    <t>2022-06-21</t>
  </si>
  <si>
    <t>Kayal Fertilizer</t>
  </si>
  <si>
    <t>Mayafertilzers</t>
  </si>
  <si>
    <t>Minajkrishi Bhandar</t>
  </si>
  <si>
    <t>2021-08-25</t>
  </si>
  <si>
    <t>Nimai Das</t>
  </si>
  <si>
    <t>2021-09-15</t>
  </si>
  <si>
    <t>Rahim Baksh Mistry</t>
  </si>
  <si>
    <t>2019-12-13</t>
  </si>
  <si>
    <t>Jagat Makhal</t>
  </si>
  <si>
    <t>2022-12-05</t>
  </si>
  <si>
    <t>Ujjir Houssen Mondal</t>
  </si>
  <si>
    <t>M/S Razzaque Safui</t>
  </si>
  <si>
    <t>M/S Abul Hossen Laskar</t>
  </si>
  <si>
    <t>Giri Krishi Bhander</t>
  </si>
  <si>
    <t>Paul Krishi Bhander</t>
  </si>
  <si>
    <t>2023-01-27</t>
  </si>
  <si>
    <t xml:space="preserve"> M/S Sardar Sar Bhander</t>
  </si>
  <si>
    <t>Rakesh Sar Bhander</t>
  </si>
  <si>
    <t>Bour Fertilisers</t>
  </si>
  <si>
    <t>2020-01-13</t>
  </si>
  <si>
    <t>2020-03-02</t>
  </si>
  <si>
    <t>Bishalaxmi Bhander</t>
  </si>
  <si>
    <t>2020-10-02</t>
  </si>
  <si>
    <t>Chasi Bandhu Sar Bhander</t>
  </si>
  <si>
    <t>2022-09-03</t>
  </si>
  <si>
    <t>M/S. Makali Krishi Bhander</t>
  </si>
  <si>
    <t>Malaxmi Krishi Bhander</t>
  </si>
  <si>
    <t>2021-02-15</t>
  </si>
  <si>
    <t>Maatri Fertilisers</t>
  </si>
  <si>
    <t>2019-09-06</t>
  </si>
  <si>
    <t>Barun Samanta</t>
  </si>
  <si>
    <t>Maakali Sar Bhander</t>
  </si>
  <si>
    <t>Kbd Krishi Bhander</t>
  </si>
  <si>
    <t>Dadhiram Pramanik</t>
  </si>
  <si>
    <t>2020-11-28</t>
  </si>
  <si>
    <t>2022-04-30</t>
  </si>
  <si>
    <t>Dulal Das</t>
  </si>
  <si>
    <t>Md. Mosaraf Ali</t>
  </si>
  <si>
    <t>Md. Abdul Ahid Molla</t>
  </si>
  <si>
    <t>2021-04-20</t>
  </si>
  <si>
    <t>2022-12-01</t>
  </si>
  <si>
    <t>2021-03-10</t>
  </si>
  <si>
    <t>Radha Madhab Krishi Bhander</t>
  </si>
  <si>
    <t>2019-05-01</t>
  </si>
  <si>
    <t>2020-11-05</t>
  </si>
  <si>
    <t>Gopal Sar Bhandar</t>
  </si>
  <si>
    <t>M/s Biswas Krishi Bhandar</t>
  </si>
  <si>
    <t>Imp DAP</t>
  </si>
  <si>
    <t>Balai Lal Bag</t>
  </si>
  <si>
    <t>2019-01-15</t>
  </si>
  <si>
    <t>Laskar Krishi Bhandar</t>
  </si>
  <si>
    <t>2021-08-01</t>
  </si>
  <si>
    <t xml:space="preserve">MA BASANTI FERTILISER </t>
  </si>
  <si>
    <t>Jana Sar Ghar</t>
  </si>
  <si>
    <t>2020-09-01</t>
  </si>
  <si>
    <t>Majee Fertilizer</t>
  </si>
  <si>
    <t>2021-09-10</t>
  </si>
  <si>
    <t>Sabitri Fertiliser</t>
  </si>
  <si>
    <t>2020-12-23</t>
  </si>
  <si>
    <t>Sita Fertilisers</t>
  </si>
  <si>
    <t>414268</t>
  </si>
  <si>
    <t>Subhasis Panda</t>
  </si>
  <si>
    <t>7679929747</t>
  </si>
  <si>
    <t>BARIK KRISHI BHANDER</t>
  </si>
  <si>
    <t>2022-01-25</t>
  </si>
  <si>
    <t>BABY FERTILISERS</t>
  </si>
  <si>
    <t>BASANTI DAS</t>
  </si>
  <si>
    <t>2020-11-27</t>
  </si>
  <si>
    <t>2022-11-28</t>
  </si>
  <si>
    <t>SITA FERTILISER</t>
  </si>
  <si>
    <t>MAA PUSHPA KRISHI BHANDAR</t>
  </si>
  <si>
    <t>MA JAMUNA KRISHI BHANDAR</t>
  </si>
  <si>
    <t>2020-09-05</t>
  </si>
  <si>
    <t>2021-02-01</t>
  </si>
  <si>
    <t>2021-03-14</t>
  </si>
  <si>
    <t>2021-02-27</t>
  </si>
  <si>
    <t>2021-09-06</t>
  </si>
  <si>
    <t>2021-07-14</t>
  </si>
  <si>
    <t>MANIKJAN FERTILIZER</t>
  </si>
  <si>
    <t>2021-01-12</t>
  </si>
  <si>
    <t>HARADHAN DAS</t>
  </si>
  <si>
    <t>2019-09-23</t>
  </si>
  <si>
    <t>Nargis Fertiliser</t>
  </si>
  <si>
    <t>2020-10-11</t>
  </si>
  <si>
    <t>MA AKIDAM FERTILISER</t>
  </si>
  <si>
    <t>2021-12-23</t>
  </si>
  <si>
    <t>BROJABALLAVPUR KRISH BHANDER</t>
  </si>
  <si>
    <t>DAS FERTILISER</t>
  </si>
  <si>
    <t>2022-06-27</t>
  </si>
  <si>
    <t>2022-08-10</t>
  </si>
  <si>
    <t>BINAY CHANDRA SADHUKHAN</t>
  </si>
  <si>
    <t>2022-06-18</t>
  </si>
  <si>
    <t>MUSA HAQUE MOLLA</t>
  </si>
  <si>
    <t>2021-02-07</t>
  </si>
  <si>
    <t>MD NAJRUL ISLAM</t>
  </si>
  <si>
    <t>2019-07-28</t>
  </si>
  <si>
    <t>2019-12-15</t>
  </si>
  <si>
    <t>ABDUL HAKIM MOLLA</t>
  </si>
  <si>
    <t>MA INDUBALA KRISHI BHANDER</t>
  </si>
  <si>
    <t>MD HASEM ALI MOLLA</t>
  </si>
  <si>
    <t>KHAN FERTILISER</t>
  </si>
  <si>
    <t>2021-12-22</t>
  </si>
  <si>
    <t>ABDUL HALIM MONDAL</t>
  </si>
  <si>
    <t>2020-01-09</t>
  </si>
  <si>
    <t>639539</t>
  </si>
  <si>
    <t>ABUL KALAM MONDAL</t>
  </si>
  <si>
    <t>9732789800</t>
  </si>
  <si>
    <t>MISTRY FERTILIZER</t>
  </si>
  <si>
    <t>MA KALI KRISHI BHANDER</t>
  </si>
  <si>
    <t>2022-02-14</t>
  </si>
  <si>
    <t>DUKHI KRISHI BHANDER</t>
  </si>
  <si>
    <t>2023-03-13</t>
  </si>
  <si>
    <t>MA KAMALA FERTILISER</t>
  </si>
  <si>
    <t>SWAPAN PRAMANIK</t>
  </si>
  <si>
    <t>2022-02-12</t>
  </si>
  <si>
    <t>SARATHI KRISHI BHANDER</t>
  </si>
  <si>
    <t>2022-03-22</t>
  </si>
  <si>
    <t>ARRAHIM KRISHI BHANDER</t>
  </si>
  <si>
    <t>RADHA GOBINDA SAR BHANDER</t>
  </si>
  <si>
    <t>KRISHI SAAR BHANDAR</t>
  </si>
  <si>
    <t>2020-10-05</t>
  </si>
  <si>
    <t>NUR ISLAM MOLLA</t>
  </si>
  <si>
    <t>SARIFUL KRISHI BHANDER</t>
  </si>
  <si>
    <t>2019-03-06</t>
  </si>
  <si>
    <t>MAA KALPANA KRISHI BHANDER</t>
  </si>
  <si>
    <t>2021-10-14</t>
  </si>
  <si>
    <t>TAPAN KRISHI BHANDER</t>
  </si>
  <si>
    <t>2020-12-17</t>
  </si>
  <si>
    <t>HALDER FERTILIZER</t>
  </si>
  <si>
    <t>2019-02-01</t>
  </si>
  <si>
    <t>333128</t>
  </si>
  <si>
    <t>New Krishi Bhander</t>
  </si>
  <si>
    <t>9732511105</t>
  </si>
  <si>
    <t>MD SIRAJUL HAQUE</t>
  </si>
  <si>
    <t>2019-11-29</t>
  </si>
  <si>
    <t>2020-01-12</t>
  </si>
  <si>
    <t>2019-02-02</t>
  </si>
  <si>
    <t>BIJOY KRISHI BHANDAR</t>
  </si>
  <si>
    <t>2023-01-20</t>
  </si>
  <si>
    <t>MALANGINI FERTILIZER</t>
  </si>
  <si>
    <t>2019-11-17</t>
  </si>
  <si>
    <t>281115</t>
  </si>
  <si>
    <t>M/s. Nirmalendu Halder</t>
  </si>
  <si>
    <t>9433233606</t>
  </si>
  <si>
    <t>KAMALA KRISHI BHANDER</t>
  </si>
  <si>
    <t>2019-11-27</t>
  </si>
  <si>
    <t>SEKH KRISHI BHANDER</t>
  </si>
  <si>
    <t>2023-08-31</t>
  </si>
  <si>
    <t>M/S SUNDARI SAR BHANDAR</t>
  </si>
  <si>
    <t>M/S NEW KRISHI UNNYANI</t>
  </si>
  <si>
    <t>LAKSHMI ENTERPRISE</t>
  </si>
  <si>
    <t>M/S AVIJIT KUNDU</t>
  </si>
  <si>
    <t>M/S BHABESH KAYAL</t>
  </si>
  <si>
    <t>MAA KALI KRISHI BHANDAR</t>
  </si>
  <si>
    <t>Alipurduar - I</t>
  </si>
  <si>
    <t>Loke Nath Fertilizer</t>
  </si>
  <si>
    <t>1264113</t>
  </si>
  <si>
    <t>SRIKRISHNA ENTERPRISE</t>
  </si>
  <si>
    <t>9614703331</t>
  </si>
  <si>
    <t>Bhubaneswari Fertilizers</t>
  </si>
  <si>
    <t>214203</t>
  </si>
  <si>
    <t>RAY FERTILIZER</t>
  </si>
  <si>
    <t>M/S KRISHI BIPANI</t>
  </si>
  <si>
    <t>JHARNA FERTILIZER</t>
  </si>
  <si>
    <t>2025-09-24</t>
  </si>
  <si>
    <t>ROSNI FERTILIZER</t>
  </si>
  <si>
    <t>Laxmi Fertilizer</t>
  </si>
  <si>
    <t>1159944</t>
  </si>
  <si>
    <t>Dey Banik Fertilizer and Co</t>
  </si>
  <si>
    <t>SARKAR FERTILIZER</t>
  </si>
  <si>
    <t>2023-11-25</t>
  </si>
  <si>
    <t>Alipurduar - II</t>
  </si>
  <si>
    <t>Atul Modak</t>
  </si>
  <si>
    <t>T.S ENTERPRISE</t>
  </si>
  <si>
    <t>Other</t>
  </si>
  <si>
    <t>SUN FERTILISER</t>
  </si>
  <si>
    <t>Ram Saha</t>
  </si>
  <si>
    <t>1335785</t>
  </si>
  <si>
    <t>CHAKI AGRO SCIENCE</t>
  </si>
  <si>
    <t>Ranjan Basak</t>
  </si>
  <si>
    <t>Amendra Paul</t>
  </si>
  <si>
    <t>2024-12-10</t>
  </si>
  <si>
    <t>Parimal Barman</t>
  </si>
  <si>
    <t>BALARAM DAS</t>
  </si>
  <si>
    <t>2025-04-05</t>
  </si>
  <si>
    <t>KISHAN FERTILISER</t>
  </si>
  <si>
    <t>P.S FERTILISER</t>
  </si>
  <si>
    <t>NIRMAL FERTILIZER</t>
  </si>
  <si>
    <t>BHUMI LAXMI</t>
  </si>
  <si>
    <t>SUPRIYA STORE</t>
  </si>
  <si>
    <t>2025-02-08</t>
  </si>
  <si>
    <t>281165</t>
  </si>
  <si>
    <t>Supriya Stores</t>
  </si>
  <si>
    <t>9434808230</t>
  </si>
  <si>
    <t>2025-02-05</t>
  </si>
  <si>
    <t>SARKAR FERTILISER</t>
  </si>
  <si>
    <t>M/S KISHOK BHANDAR</t>
  </si>
  <si>
    <t>Parimal Roy</t>
  </si>
  <si>
    <t>2020-05-26</t>
  </si>
  <si>
    <t>457815</t>
  </si>
  <si>
    <t>Mahavir Agency</t>
  </si>
  <si>
    <t>9434071707</t>
  </si>
  <si>
    <t>Ranjit Paul</t>
  </si>
  <si>
    <t>287777</t>
  </si>
  <si>
    <t>Sailen Das</t>
  </si>
  <si>
    <t>Shambhu Choudhury</t>
  </si>
  <si>
    <t>Diganta Das</t>
  </si>
  <si>
    <t>Krishi Swapna Fertilizer</t>
  </si>
  <si>
    <t>FULESWAR DEBNATH</t>
  </si>
  <si>
    <t>CHARU FERTILIZER</t>
  </si>
  <si>
    <t>2025-10-20</t>
  </si>
  <si>
    <t>KRISHI BIPANI</t>
  </si>
  <si>
    <t>2022-09-29</t>
  </si>
  <si>
    <t>DUTTA FERTILISER</t>
  </si>
  <si>
    <t>New Maa Tara Fertilizer</t>
  </si>
  <si>
    <t>SINHA FERTILIZER</t>
  </si>
  <si>
    <t>2024-08-17</t>
  </si>
  <si>
    <t>DEBRAJ DUTTA</t>
  </si>
  <si>
    <t>GOBINDA CHANDRA DAS</t>
  </si>
  <si>
    <t>M/S GUPI STORE</t>
  </si>
  <si>
    <t>Bankura - II</t>
  </si>
  <si>
    <t>Jhantulal Ghosh</t>
  </si>
  <si>
    <t>261556</t>
  </si>
  <si>
    <t>Barjora</t>
  </si>
  <si>
    <t>Amit Bhui</t>
  </si>
  <si>
    <t>1404374</t>
  </si>
  <si>
    <t>PRITSH KUMAR SEN</t>
  </si>
  <si>
    <t>7001420238</t>
  </si>
  <si>
    <t>Indpur</t>
  </si>
  <si>
    <t>PRATAP MUKHERJEE</t>
  </si>
  <si>
    <t>Jaypur</t>
  </si>
  <si>
    <t>Jagannath Samui</t>
  </si>
  <si>
    <t>Banshi Gopal Mukherjee</t>
  </si>
  <si>
    <t>Amaresh Dey</t>
  </si>
  <si>
    <t>NABAKUMAR KUNDU</t>
  </si>
  <si>
    <t>Kotulpur</t>
  </si>
  <si>
    <t>RAMA GHOSH</t>
  </si>
  <si>
    <t>2024-12-30</t>
  </si>
  <si>
    <t>Onda</t>
  </si>
  <si>
    <t>Dibyendu Roy</t>
  </si>
  <si>
    <t>Jamini Mohan Kundu</t>
  </si>
  <si>
    <t>Kuruna Kali Adhikari</t>
  </si>
  <si>
    <t>2022-10-24</t>
  </si>
  <si>
    <t>Balaram Khan</t>
  </si>
  <si>
    <t>Sujoy Kumar Sen</t>
  </si>
  <si>
    <t>Ranjit Diasi</t>
  </si>
  <si>
    <t>SUBIR CHAKRABORTY</t>
  </si>
  <si>
    <t>NUR ALAM MANDAL</t>
  </si>
  <si>
    <t>Abdul RAhaman Mondal</t>
  </si>
  <si>
    <t>2024-12-31</t>
  </si>
  <si>
    <t>Netai Chandra Pal</t>
  </si>
  <si>
    <t>Saltora</t>
  </si>
  <si>
    <t>Chinmoy Gorain</t>
  </si>
  <si>
    <t>Kartick Gorain</t>
  </si>
  <si>
    <t>Mahananda Gorain</t>
  </si>
  <si>
    <t>2025-05-20</t>
  </si>
  <si>
    <t>Kalidas Gorai</t>
  </si>
  <si>
    <t>Simlapal</t>
  </si>
  <si>
    <t>Rabindranath Laha</t>
  </si>
  <si>
    <t>Joydeb Sannigrahi</t>
  </si>
  <si>
    <t>BANAMALI DUTTA</t>
  </si>
  <si>
    <t>JOYDEB SINHAMAHAPATRA</t>
  </si>
  <si>
    <t>Sonamukhi</t>
  </si>
  <si>
    <t>Tulsi Saw</t>
  </si>
  <si>
    <t>Himangsu Bari</t>
  </si>
  <si>
    <t>Taldangra</t>
  </si>
  <si>
    <t>Susanta Dey</t>
  </si>
  <si>
    <t>Uttam Kumar Nayak</t>
  </si>
  <si>
    <t>Ramprasad Singha Mahapatra</t>
  </si>
  <si>
    <t>Paresh Nath Patra</t>
  </si>
  <si>
    <t>Abdul Hosen Khan</t>
  </si>
  <si>
    <t>Susanta Patra</t>
  </si>
  <si>
    <t>Smt. Angur Pal</t>
  </si>
  <si>
    <t>Yeasin Ali Mondal</t>
  </si>
  <si>
    <t>Uttam Kumar Chattopadhyay</t>
  </si>
  <si>
    <t>Amerulla Dalal</t>
  </si>
  <si>
    <t>NARU GOPAL MANDAL</t>
  </si>
  <si>
    <t>Agunkumari Skus Ltd</t>
  </si>
  <si>
    <t>Dinabandhu Kundu</t>
  </si>
  <si>
    <t>Swapan Sannigrahi</t>
  </si>
  <si>
    <t>Kalyan Kumar Saha</t>
  </si>
  <si>
    <t>Tapan Kolay</t>
  </si>
  <si>
    <t>Sasti Giri</t>
  </si>
  <si>
    <t>Ahamadulla Chowdhury</t>
  </si>
  <si>
    <t>Madhusudan Mondal</t>
  </si>
  <si>
    <t>Lakshman Saini</t>
  </si>
  <si>
    <t>2024-04-04</t>
  </si>
  <si>
    <t>604558</t>
  </si>
  <si>
    <t>MORAR KRISHI BHANDER</t>
  </si>
  <si>
    <t>9434168055</t>
  </si>
  <si>
    <t>2021-11-06</t>
  </si>
  <si>
    <t>Mitali Ghosh</t>
  </si>
  <si>
    <t>SWARAJ BANERJEE</t>
  </si>
  <si>
    <t>SANTINATH GHOSH</t>
  </si>
  <si>
    <t>AFSANA KHATUN</t>
  </si>
  <si>
    <t>Gopal Ch. Baul</t>
  </si>
  <si>
    <t>Pradip Sukul</t>
  </si>
  <si>
    <t>Tulsi Das Konar</t>
  </si>
  <si>
    <t>Dinabandhu Gorai</t>
  </si>
  <si>
    <t>2023-10-14</t>
  </si>
  <si>
    <t>261599</t>
  </si>
  <si>
    <t>Sital Prasad Nandi</t>
  </si>
  <si>
    <t>9733383728</t>
  </si>
  <si>
    <t>PRAKASH DASH</t>
  </si>
  <si>
    <t>2020-08-06</t>
  </si>
  <si>
    <t>261577</t>
  </si>
  <si>
    <t>Dulal Chndra Nandi</t>
  </si>
  <si>
    <t>9434003144</t>
  </si>
  <si>
    <t>Ausgram - I</t>
  </si>
  <si>
    <t>Achintya Kumar Banerjee</t>
  </si>
  <si>
    <t>GOAM NABI SK</t>
  </si>
  <si>
    <t>261685</t>
  </si>
  <si>
    <t>M/s. Asok Kumar Nag</t>
  </si>
  <si>
    <t>6294510597</t>
  </si>
  <si>
    <t>Ausgram - II</t>
  </si>
  <si>
    <t>DEBABRATA ROY</t>
  </si>
  <si>
    <t>1191750</t>
  </si>
  <si>
    <t>SAKTI PADA HUI</t>
  </si>
  <si>
    <t>9832201350</t>
  </si>
  <si>
    <t>Sk Sofiullha</t>
  </si>
  <si>
    <t>ASOKE ROY</t>
  </si>
  <si>
    <t>261704</t>
  </si>
  <si>
    <t>DIGAMBAR MUKHERJEE</t>
  </si>
  <si>
    <t>2025-07-02</t>
  </si>
  <si>
    <t>M/S KRISHI BHANDAR</t>
  </si>
  <si>
    <t>Sk Hasanur Jaman</t>
  </si>
  <si>
    <t>261727</t>
  </si>
  <si>
    <t>Mondal Traders</t>
  </si>
  <si>
    <t>1391279</t>
  </si>
  <si>
    <t>M/s. Lokenath Enterprise</t>
  </si>
  <si>
    <t>9474550617</t>
  </si>
  <si>
    <t>Partha Dutta</t>
  </si>
  <si>
    <t>Somenath Garai</t>
  </si>
  <si>
    <t>DAMODAR KRISHI BIPANI</t>
  </si>
  <si>
    <t>MINATI PANJA</t>
  </si>
  <si>
    <t>Baba Rameswar Fertilizer</t>
  </si>
  <si>
    <t>379777</t>
  </si>
  <si>
    <t>Baba Billeswar Krishi Udyog</t>
  </si>
  <si>
    <t>2025-08-20</t>
  </si>
  <si>
    <t>P.M.Sales Agency</t>
  </si>
  <si>
    <t>KURKUBA ASKARAN SKUS LTD</t>
  </si>
  <si>
    <t>ROY ENTERPRISE</t>
  </si>
  <si>
    <t>2025-09-13</t>
  </si>
  <si>
    <t>M/S-KRISHAK SATHI</t>
  </si>
  <si>
    <t>Dumur F.P.C.Ltd.</t>
  </si>
  <si>
    <t>Swarna Agro Care</t>
  </si>
  <si>
    <t>Jamalpur TCAMS Ltd</t>
  </si>
  <si>
    <t>HPE Jotesriram ASKUS Ltd</t>
  </si>
  <si>
    <t>Paratal Ucacs Ltd</t>
  </si>
  <si>
    <t>Prabir Kumar Ghosh</t>
  </si>
  <si>
    <t>Sisir Kumar Mondal</t>
  </si>
  <si>
    <t xml:space="preserve">Swapan Kumar Ghosh </t>
  </si>
  <si>
    <t>2025-09-16</t>
  </si>
  <si>
    <t>Prasanta Kumar Ghosh</t>
  </si>
  <si>
    <t>Kripa Sindhu Dey</t>
  </si>
  <si>
    <t>CHANDI MATA KRISHI BHANDAR</t>
  </si>
  <si>
    <t>Kashinath Das</t>
  </si>
  <si>
    <t>PANCHRA U.C.A.C.S LTD</t>
  </si>
  <si>
    <t>SURAJIT MONDAL</t>
  </si>
  <si>
    <t>Nandanpur S.K.U.S. Ltd.</t>
  </si>
  <si>
    <t>Jotesriram A.S.K.U.S Ltd</t>
  </si>
  <si>
    <t>Jamalpur TCAMA Ltd.</t>
  </si>
  <si>
    <t>Ajoy Kumar Pal</t>
  </si>
  <si>
    <t>Kalna - I</t>
  </si>
  <si>
    <t>HIMADRI SINGHA ROY</t>
  </si>
  <si>
    <t>1156141</t>
  </si>
  <si>
    <t>M/s. Mojibar Rahaman Mondal</t>
  </si>
  <si>
    <t>Kalna - II</t>
  </si>
  <si>
    <t>Chagram Noarah SKUS Ltd.</t>
  </si>
  <si>
    <t>M/S. SIDDHARTHA PAL</t>
  </si>
  <si>
    <t>TUSHAR KANTI GHOSH</t>
  </si>
  <si>
    <t>SANJIT KUMAR DAS</t>
  </si>
  <si>
    <t>Suman Ghosh</t>
  </si>
  <si>
    <t>Jiban Ghatak</t>
  </si>
  <si>
    <t>261730</t>
  </si>
  <si>
    <t>SUVAM SAHA</t>
  </si>
  <si>
    <t>CHANDANA SAHA</t>
  </si>
  <si>
    <t>KRISHI MANGAL BEEJ BHABAN</t>
  </si>
  <si>
    <t>2025-03-12</t>
  </si>
  <si>
    <t>221301</t>
  </si>
  <si>
    <t>M/s. Mahadeb Saha and Co.</t>
  </si>
  <si>
    <t>9434252325</t>
  </si>
  <si>
    <t>APURBA GHOSH</t>
  </si>
  <si>
    <t>SUJOY MONDAL</t>
  </si>
  <si>
    <t>2025-12-31</t>
  </si>
  <si>
    <t>TRIPALLY SSS LTD</t>
  </si>
  <si>
    <t>261700</t>
  </si>
  <si>
    <t>Katwa Thana C.A.M.S.Ltd.</t>
  </si>
  <si>
    <t>7001765011</t>
  </si>
  <si>
    <t>Saha Fertilizer</t>
  </si>
  <si>
    <t>Katwa - II</t>
  </si>
  <si>
    <t>DIPAK KUMAR HAZRA</t>
  </si>
  <si>
    <t>Ketugram - I</t>
  </si>
  <si>
    <t>Ketugram Thana A.M.C.S. Ltd.</t>
  </si>
  <si>
    <t>2024-09-30</t>
  </si>
  <si>
    <t>M/s. Mirazul Haque</t>
  </si>
  <si>
    <t>Ketugram - II</t>
  </si>
  <si>
    <t>Buddhadeb Mondal</t>
  </si>
  <si>
    <t>Khandaghosh</t>
  </si>
  <si>
    <t>M/s Sawkat Ali Mondal</t>
  </si>
  <si>
    <t>1297965</t>
  </si>
  <si>
    <t>ASROF ALI MONDAL</t>
  </si>
  <si>
    <t>MOLLA NIYAJUL ISLAM</t>
  </si>
  <si>
    <t>Sk Mofijul Haque</t>
  </si>
  <si>
    <t>CHIRANJIT GHOSH</t>
  </si>
  <si>
    <t>921423</t>
  </si>
  <si>
    <t>M/s. Mirza Md Manik</t>
  </si>
  <si>
    <t>6297462482</t>
  </si>
  <si>
    <t>Middya Enterprise</t>
  </si>
  <si>
    <t>Asim  Mondal</t>
  </si>
  <si>
    <t>M/s. Subhendu Kundu</t>
  </si>
  <si>
    <t>Md. Tipu Choudhury</t>
  </si>
  <si>
    <t>2025-03-04</t>
  </si>
  <si>
    <t>SOURENDRA NATH MONDAL</t>
  </si>
  <si>
    <t>1024474</t>
  </si>
  <si>
    <t>Sri Krishna Krishi Kalyan</t>
  </si>
  <si>
    <t>Manteswar</t>
  </si>
  <si>
    <t>Susanta Kumar Mandal</t>
  </si>
  <si>
    <t>M/s. Tarak Nath Krishi Bhandar</t>
  </si>
  <si>
    <t>1094187</t>
  </si>
  <si>
    <t>M/S SUMANTA GARAI</t>
  </si>
  <si>
    <t>9647950503</t>
  </si>
  <si>
    <t>M/s. Partha Ghosh</t>
  </si>
  <si>
    <t>2025-02-20</t>
  </si>
  <si>
    <t>M/S KABIR HOSSAIN KHAN</t>
  </si>
  <si>
    <t>2024-10-24</t>
  </si>
  <si>
    <t>893003</t>
  </si>
  <si>
    <t>KABIR HOSSAIN KHAN</t>
  </si>
  <si>
    <t>8159834818</t>
  </si>
  <si>
    <t>M/S SAHAJAMAL MALLICK</t>
  </si>
  <si>
    <t>M/S BISWARUP NANDI</t>
  </si>
  <si>
    <t>261714</t>
  </si>
  <si>
    <t>Mukherjee Krishi Bhandar</t>
  </si>
  <si>
    <t>8945050207</t>
  </si>
  <si>
    <t>M/s Subrota Mukherjee</t>
  </si>
  <si>
    <t>Sekh Ataul Haque</t>
  </si>
  <si>
    <t>M/s. Mahadeb Kumar</t>
  </si>
  <si>
    <t>M/S Sukdev Chatterjee</t>
  </si>
  <si>
    <t>Hira Krishi Bhandar</t>
  </si>
  <si>
    <t>Kanan Kishore De</t>
  </si>
  <si>
    <t>2025-11-24</t>
  </si>
  <si>
    <t>SASHIBHUSAN SAMANTA</t>
  </si>
  <si>
    <t>2025-12-28</t>
  </si>
  <si>
    <t>BIJOYA GHOSH</t>
  </si>
  <si>
    <t>M/s. Basudev Chakraborty</t>
  </si>
  <si>
    <t>M/s. Krishi Pragati</t>
  </si>
  <si>
    <t>1019561</t>
  </si>
  <si>
    <t xml:space="preserve"> BARABAINAN U.C.A.C.S LTD</t>
  </si>
  <si>
    <t>9933916095</t>
  </si>
  <si>
    <t>Purbasthali - I</t>
  </si>
  <si>
    <t>Nurul Islam Sk</t>
  </si>
  <si>
    <t>Mahima Krishi Bhander</t>
  </si>
  <si>
    <t>DOLKRISHNA BHATTACHARYYA</t>
  </si>
  <si>
    <t>SAMIT BHANJA DEBNATH</t>
  </si>
  <si>
    <t>IMDADUL MALLIK</t>
  </si>
  <si>
    <t>2025-10-26</t>
  </si>
  <si>
    <t>SURAT ALI SEIKH</t>
  </si>
  <si>
    <t>2025-08-29</t>
  </si>
  <si>
    <t>M/S SHYMAL KUMAR GHOSH</t>
  </si>
  <si>
    <t>SUBAL CHANDRA PAL</t>
  </si>
  <si>
    <t>RAJIB SK</t>
  </si>
  <si>
    <t>MANIKMOY MONDAL</t>
  </si>
  <si>
    <t>BRINDABAN CHOWDHURY</t>
  </si>
  <si>
    <t>2025-05-17</t>
  </si>
  <si>
    <t>Purbasthali - II</t>
  </si>
  <si>
    <t>M/s. Sannyasi Das</t>
  </si>
  <si>
    <t>M/s. Ratan Chandra Ghosh</t>
  </si>
  <si>
    <t>9064338501</t>
  </si>
  <si>
    <t>1000531</t>
  </si>
  <si>
    <t>SRI RATAN CHANDRA GHOSH</t>
  </si>
  <si>
    <t>M/s. Sirajul Haque Mallick</t>
  </si>
  <si>
    <t>M/S SUSHIL DAS</t>
  </si>
  <si>
    <t>2025-12-26</t>
  </si>
  <si>
    <t>M/S SUKDEB GHOSH</t>
  </si>
  <si>
    <t>M/S. GOUTAM SAHA</t>
  </si>
  <si>
    <t>NUR HASAN SHAIKH</t>
  </si>
  <si>
    <t>Papri Ghosh</t>
  </si>
  <si>
    <t>M/s. Suman Debnath</t>
  </si>
  <si>
    <t>Secretary Khemta SKUS Ltd</t>
  </si>
  <si>
    <t>1569523</t>
  </si>
  <si>
    <t>Shib Sankar Pal</t>
  </si>
  <si>
    <t>GOPAL NAGAR KRISHI BHANDAR</t>
  </si>
  <si>
    <t>SK MOFAJJAL HOSSAIN</t>
  </si>
  <si>
    <t>SURAMAT ALI MALLIK</t>
  </si>
  <si>
    <t>CHANDI PRASAD DE</t>
  </si>
  <si>
    <t>BORAKONA UJIRHATI S.K.U.S LTD.</t>
  </si>
  <si>
    <t>2024-03-23</t>
  </si>
  <si>
    <t>MIRJA MANIRUL HAQUE</t>
  </si>
  <si>
    <t>2025-09-02</t>
  </si>
  <si>
    <t>KAMAL KRISHNA KHAN</t>
  </si>
  <si>
    <t>Mondal Krishi Sebasadan</t>
  </si>
  <si>
    <t>Sabujayan</t>
  </si>
  <si>
    <t>Raina - II</t>
  </si>
  <si>
    <t>Barabainan UCACS Ltd.</t>
  </si>
  <si>
    <t>Abdulhabibhazari</t>
  </si>
  <si>
    <t>Sandip Ray</t>
  </si>
  <si>
    <t xml:space="preserve">Bhuri Agro Service Center </t>
  </si>
  <si>
    <t>2020-11-19</t>
  </si>
  <si>
    <t>1134684</t>
  </si>
  <si>
    <t>Bimal Kumar Laha</t>
  </si>
  <si>
    <t>9434003674</t>
  </si>
  <si>
    <t>Rakia Begum</t>
  </si>
  <si>
    <t>Bolpur Sriniketan</t>
  </si>
  <si>
    <t>Sk Irsad</t>
  </si>
  <si>
    <t>262599</t>
  </si>
  <si>
    <t>Murarai - I</t>
  </si>
  <si>
    <t>Chandranath Sen</t>
  </si>
  <si>
    <t>2025-12-29</t>
  </si>
  <si>
    <t>Md Kutubuddin Sk</t>
  </si>
  <si>
    <t>221829</t>
  </si>
  <si>
    <t>B R Datta</t>
  </si>
  <si>
    <t>9434172426</t>
  </si>
  <si>
    <t>221827</t>
  </si>
  <si>
    <t>Sushil Kumar Bhakat</t>
  </si>
  <si>
    <t>2025-03-11</t>
  </si>
  <si>
    <t>221835</t>
  </si>
  <si>
    <t>Tapas Dutta</t>
  </si>
  <si>
    <t>7908147935</t>
  </si>
  <si>
    <t>MOTALEB MOLLA</t>
  </si>
  <si>
    <t>RUPALI MONDAL</t>
  </si>
  <si>
    <t>SUKANTA DUTTA</t>
  </si>
  <si>
    <t>SUDIPTA MONDAL</t>
  </si>
  <si>
    <t>Murarai - II</t>
  </si>
  <si>
    <t>JASIMUDDIN SK</t>
  </si>
  <si>
    <t>Nalhati - I</t>
  </si>
  <si>
    <t>Tilok Kumar Mondal</t>
  </si>
  <si>
    <t>Sultanpur Skus Ltd.</t>
  </si>
  <si>
    <t>Kalyan Karforma</t>
  </si>
  <si>
    <t>SAKHI GOPAL DUTTA</t>
  </si>
  <si>
    <t>2022-11-30</t>
  </si>
  <si>
    <t>2022-06-01</t>
  </si>
  <si>
    <t>GOSSAINPUR SKUS LTD</t>
  </si>
  <si>
    <t>Nalhati - II</t>
  </si>
  <si>
    <t>Tarun Chandra Sahu</t>
  </si>
  <si>
    <t>NAJEMUL HAQUE</t>
  </si>
  <si>
    <t>2023-10-04</t>
  </si>
  <si>
    <t>ISLAM FERTILIZER</t>
  </si>
  <si>
    <t>BULBUL STORES- MIZANUR</t>
  </si>
  <si>
    <t>Nanoor</t>
  </si>
  <si>
    <t>Fewgram SKUS</t>
  </si>
  <si>
    <t>B.R.Datta</t>
  </si>
  <si>
    <t>2026-03-21</t>
  </si>
  <si>
    <t>MAYURAKSHI FERTILIZER</t>
  </si>
  <si>
    <t>Haranath Dutta</t>
  </si>
  <si>
    <t>Abdul Wadood Molla</t>
  </si>
  <si>
    <t>Mrinal Kanti Dutta</t>
  </si>
  <si>
    <t>SANTOSH KUMAR MONDAL</t>
  </si>
  <si>
    <t>Rampurhat - II</t>
  </si>
  <si>
    <t>Baikunth Bihari Dey</t>
  </si>
  <si>
    <t>KALUHA SKUS LTD</t>
  </si>
  <si>
    <t>ASGAR ALI</t>
  </si>
  <si>
    <t>Suri - I</t>
  </si>
  <si>
    <t>Kishan Fertiliser</t>
  </si>
  <si>
    <t>Nityananda Sadhu</t>
  </si>
  <si>
    <t>Jahangir Hossain</t>
  </si>
  <si>
    <t>RAMPURHAT LSM COOP SOCIETY LTD</t>
  </si>
  <si>
    <t>2022-08-18</t>
  </si>
  <si>
    <t>SUVASISH GHOSH</t>
  </si>
  <si>
    <t>Dawaguri Fertilizer</t>
  </si>
  <si>
    <t>214214</t>
  </si>
  <si>
    <t>Krishi Sopan</t>
  </si>
  <si>
    <t>MANOBENDRA DHAR</t>
  </si>
  <si>
    <t>2025-01-06</t>
  </si>
  <si>
    <t>619180</t>
  </si>
  <si>
    <t>NIRMAL ENTERPRISE</t>
  </si>
  <si>
    <t>Mrinal Kanti Som</t>
  </si>
  <si>
    <t>Chandamari Fertiliser</t>
  </si>
  <si>
    <t>BIMAL CHANDRA DEY</t>
  </si>
  <si>
    <t>M/S NARAYAN FERTILIZER</t>
  </si>
  <si>
    <t>2021-01-18</t>
  </si>
  <si>
    <t>323482</t>
  </si>
  <si>
    <t>Narayan Chandra Sarkar</t>
  </si>
  <si>
    <t>9647835645</t>
  </si>
  <si>
    <t>2023-12-01</t>
  </si>
  <si>
    <t>2020-11-29</t>
  </si>
  <si>
    <t>NITYANANDA SARKAR</t>
  </si>
  <si>
    <t>2025-12-25</t>
  </si>
  <si>
    <t>Cooch Behar - II</t>
  </si>
  <si>
    <t>Biman Mitra</t>
  </si>
  <si>
    <t>M/s. Paul Fertilizer</t>
  </si>
  <si>
    <t>260160</t>
  </si>
  <si>
    <t>Chanda Nursery</t>
  </si>
  <si>
    <t>9641878132</t>
  </si>
  <si>
    <t>Bandana Dey</t>
  </si>
  <si>
    <t>M/S Nirufa Fertilizer</t>
  </si>
  <si>
    <t>Niranjan Dey</t>
  </si>
  <si>
    <t>Jiyarul Hoque</t>
  </si>
  <si>
    <t>FARUQUE AHMED</t>
  </si>
  <si>
    <t>M/S. BARMAN FERTILISER</t>
  </si>
  <si>
    <t>M/S. RAHAMAN FERTILIZER</t>
  </si>
  <si>
    <t>M/s. Barma Krishi Bhandar</t>
  </si>
  <si>
    <t>M/S GREEN HOME NURSERY</t>
  </si>
  <si>
    <t>M/s. Hajrat Ali</t>
  </si>
  <si>
    <t>Bipul Thakur</t>
  </si>
  <si>
    <t>Fajlay Haque</t>
  </si>
  <si>
    <t>Ratan Chandra Das</t>
  </si>
  <si>
    <t>Amarendra Nath Barman</t>
  </si>
  <si>
    <t>272992</t>
  </si>
  <si>
    <t>M/S Mohata Stores</t>
  </si>
  <si>
    <t>9434256132</t>
  </si>
  <si>
    <t>M/s. Nripendra Narayan Saha</t>
  </si>
  <si>
    <t>Samir Bhoumik</t>
  </si>
  <si>
    <t>SAGAR FERTILIZER</t>
  </si>
  <si>
    <t>1213389</t>
  </si>
  <si>
    <t>Sushendra Barman</t>
  </si>
  <si>
    <t>Hiran Sarkar</t>
  </si>
  <si>
    <t>2024-12-19</t>
  </si>
  <si>
    <t>Soumitra Dutta</t>
  </si>
  <si>
    <t>2021-02-11</t>
  </si>
  <si>
    <t>272984</t>
  </si>
  <si>
    <t>M/s. Ma Mahamaya KrishiBhandar</t>
  </si>
  <si>
    <t>8016059111</t>
  </si>
  <si>
    <t>M/S HARI PRASAD BARMAN</t>
  </si>
  <si>
    <t>2020-08-27</t>
  </si>
  <si>
    <t>ABDUL MANNAN MIA</t>
  </si>
  <si>
    <t>2022-01-31</t>
  </si>
  <si>
    <t>548853</t>
  </si>
  <si>
    <t>Sandip Kumar Rathi</t>
  </si>
  <si>
    <t>6295235517</t>
  </si>
  <si>
    <t>2022-02-01</t>
  </si>
  <si>
    <t>M/S RAUSAN FERTILIZER</t>
  </si>
  <si>
    <t>2020-12-25</t>
  </si>
  <si>
    <t>888409</t>
  </si>
  <si>
    <t>M/S JAYANTA SARKAR</t>
  </si>
  <si>
    <t>8001912826</t>
  </si>
  <si>
    <t>2023-01-09</t>
  </si>
  <si>
    <t xml:space="preserve">PUJA FERTILIZER </t>
  </si>
  <si>
    <t>SOMNATH CHAKRABORTY</t>
  </si>
  <si>
    <t>UNIQUE FERTILIZER</t>
  </si>
  <si>
    <t>Bhudeb Hisabia</t>
  </si>
  <si>
    <t>Dinhata - II</t>
  </si>
  <si>
    <t>Afajuddin Miya</t>
  </si>
  <si>
    <t>2025-01-15</t>
  </si>
  <si>
    <t>M/s. Abdul Latif Miya</t>
  </si>
  <si>
    <t>2025-03-25</t>
  </si>
  <si>
    <t>2025-03-17</t>
  </si>
  <si>
    <t>Badsha Bapary</t>
  </si>
  <si>
    <t>JAHANGIR HOSSAIN</t>
  </si>
  <si>
    <t>Sunil Chandra Paul</t>
  </si>
  <si>
    <t>Samir Sharma</t>
  </si>
  <si>
    <t>SUJIT KUMAR ROY</t>
  </si>
  <si>
    <t>Abdul Gani</t>
  </si>
  <si>
    <t>Eakramul Haque</t>
  </si>
  <si>
    <t>Paresh Chandra Biswas</t>
  </si>
  <si>
    <t>2024-12-17</t>
  </si>
  <si>
    <t>M/S SERAJUL HAQUE</t>
  </si>
  <si>
    <t>269006</t>
  </si>
  <si>
    <t>M/s. Dulichand Kundanmal</t>
  </si>
  <si>
    <t>9679371081</t>
  </si>
  <si>
    <t>SAIDUL HAQUE</t>
  </si>
  <si>
    <t>Moumita and Sneha Fertilizer</t>
  </si>
  <si>
    <t>Haldibari</t>
  </si>
  <si>
    <t>M/s. Sri Barman Fertilizers</t>
  </si>
  <si>
    <t>M/s. Radha Krishna Fertilizer</t>
  </si>
  <si>
    <t>952445</t>
  </si>
  <si>
    <t>M/s. Smt. Sabita Barman</t>
  </si>
  <si>
    <t>2022-12-20</t>
  </si>
  <si>
    <t>Rabindra Nath Roy</t>
  </si>
  <si>
    <t>M/S MUKUL HOQUE SARKAR</t>
  </si>
  <si>
    <t>2021-01-19</t>
  </si>
  <si>
    <t>876178</t>
  </si>
  <si>
    <t>M/S. BARUN SARKAR</t>
  </si>
  <si>
    <t>9434890811</t>
  </si>
  <si>
    <t>M/s. Sarkar Beej Bhander</t>
  </si>
  <si>
    <t>2021-01-27</t>
  </si>
  <si>
    <t>631835</t>
  </si>
  <si>
    <t>SHIB SHAKTI FERTILIZER</t>
  </si>
  <si>
    <t>8918662387</t>
  </si>
  <si>
    <t xml:space="preserve">M/S JYOTIRMOY FERTILIZER </t>
  </si>
  <si>
    <t>2022-11-25</t>
  </si>
  <si>
    <t>M/s. Girendra Chandra Barman</t>
  </si>
  <si>
    <t>2019-04-25</t>
  </si>
  <si>
    <t>BIPLAB ROY</t>
  </si>
  <si>
    <t>2023-01-12</t>
  </si>
  <si>
    <t>M/S. DHANI FERTILIZER</t>
  </si>
  <si>
    <t>2022-08-11</t>
  </si>
  <si>
    <t>Mathabhanga - I</t>
  </si>
  <si>
    <t>Abdul Gofur Rahaman</t>
  </si>
  <si>
    <t>2024-09-20</t>
  </si>
  <si>
    <t>Subhash Chandra Barman</t>
  </si>
  <si>
    <t>Jaychan Das</t>
  </si>
  <si>
    <t>7076392309</t>
  </si>
  <si>
    <t>2025-12-14</t>
  </si>
  <si>
    <t>1213387</t>
  </si>
  <si>
    <t>JAYCHAN DAS</t>
  </si>
  <si>
    <t>Jagadish Ghosh</t>
  </si>
  <si>
    <t>2025-05-13</t>
  </si>
  <si>
    <t>Maminur Hossain</t>
  </si>
  <si>
    <t>Kishan Fertilizer</t>
  </si>
  <si>
    <t>Sanjit Chandra Barman</t>
  </si>
  <si>
    <t>2021-12-08</t>
  </si>
  <si>
    <t>2023-10-25</t>
  </si>
  <si>
    <t>Belayet Hossain</t>
  </si>
  <si>
    <t>2025-01-11</t>
  </si>
  <si>
    <t>273016</t>
  </si>
  <si>
    <t>2024-12-16</t>
  </si>
  <si>
    <t>Baburam Fertilizer</t>
  </si>
  <si>
    <t>SANJIB SAHA</t>
  </si>
  <si>
    <t>256899</t>
  </si>
  <si>
    <t>Gandheswari Krishi Bhandar</t>
  </si>
  <si>
    <t>6295191755</t>
  </si>
  <si>
    <t>KRISHNA KANTA BARMAN</t>
  </si>
  <si>
    <t>M/s. New Kishan Fertiliser</t>
  </si>
  <si>
    <t>2025-01-26</t>
  </si>
  <si>
    <t>2025-01-13</t>
  </si>
  <si>
    <t>Jhantu Chandra Ray</t>
  </si>
  <si>
    <t>273000</t>
  </si>
  <si>
    <t>Ramlal Roy</t>
  </si>
  <si>
    <t>9933180608</t>
  </si>
  <si>
    <t>CHHAKMAL MIAH</t>
  </si>
  <si>
    <t>BISWAJIT BARMAN</t>
  </si>
  <si>
    <t>2024-03-18</t>
  </si>
  <si>
    <t>BIDYUT KUMAR PAUL</t>
  </si>
  <si>
    <t>NIRMAL TALUKDAR</t>
  </si>
  <si>
    <t>Asraful Hossein</t>
  </si>
  <si>
    <t>2021-12-04</t>
  </si>
  <si>
    <t>Barodola F.P.C.Ltd</t>
  </si>
  <si>
    <t>Santosh Kumar Daftari</t>
  </si>
  <si>
    <t>Majumder Fertilizer</t>
  </si>
  <si>
    <t>M/s. Kartik Barman</t>
  </si>
  <si>
    <t>Ashis Das</t>
  </si>
  <si>
    <t>Kamal Kr. Roy</t>
  </si>
  <si>
    <t>1296616</t>
  </si>
  <si>
    <t>M/s. Niranjan Gope</t>
  </si>
  <si>
    <t>Ajijul Hoque</t>
  </si>
  <si>
    <t>BIMAL PAUL</t>
  </si>
  <si>
    <t>PRANAB BISWAS</t>
  </si>
  <si>
    <t>M/S KRISHNA KANTADAS</t>
  </si>
  <si>
    <t>M/S MAA LAXMI BEEJ BHANDAR</t>
  </si>
  <si>
    <t>M/S SHANUR ALAM</t>
  </si>
  <si>
    <t>2025-07-14</t>
  </si>
  <si>
    <t>M/S BARMAN FERTILIZER</t>
  </si>
  <si>
    <t>Harish Dey</t>
  </si>
  <si>
    <t>2025-10-09</t>
  </si>
  <si>
    <t>M/S. SAMSUL ALAM</t>
  </si>
  <si>
    <t>VIVEKANANDA BISWAS</t>
  </si>
  <si>
    <t>Anoyar Hossain</t>
  </si>
  <si>
    <t xml:space="preserve">Unishbisha Kisan Agragami FPC </t>
  </si>
  <si>
    <t>2024-12-05</t>
  </si>
  <si>
    <t>Jeet Fertilizers</t>
  </si>
  <si>
    <t>Bani Fertilizer</t>
  </si>
  <si>
    <t>M/s. Raja Fertiliser</t>
  </si>
  <si>
    <t>M/s. Mithu Saha</t>
  </si>
  <si>
    <t>9800491207</t>
  </si>
  <si>
    <t>1432586</t>
  </si>
  <si>
    <t>M/s. Prasanta Das</t>
  </si>
  <si>
    <t>Santosh Roy</t>
  </si>
  <si>
    <t>M/S SHIULI SEED and FERTILIZER</t>
  </si>
  <si>
    <t>MASRAKUL ISLAM SARKAR</t>
  </si>
  <si>
    <t>Krishi Kalyan Fertiliser</t>
  </si>
  <si>
    <t>M/S Ikbal Nasim</t>
  </si>
  <si>
    <t>2023-12-17</t>
  </si>
  <si>
    <t>655485</t>
  </si>
  <si>
    <t>7001239531</t>
  </si>
  <si>
    <t>M/s. Jiyarul Islam</t>
  </si>
  <si>
    <t>1354392</t>
  </si>
  <si>
    <t>Chaki Agro Science</t>
  </si>
  <si>
    <t>7872900309</t>
  </si>
  <si>
    <t>M/s. Abiyal Haque</t>
  </si>
  <si>
    <t>1278044</t>
  </si>
  <si>
    <t>M/S.RAMLAL ROY</t>
  </si>
  <si>
    <t>M/S. KOUSHIK ENTERPRISE</t>
  </si>
  <si>
    <t>ABIR GOSWAMI</t>
  </si>
  <si>
    <t>2019-08-08</t>
  </si>
  <si>
    <t>258294</t>
  </si>
  <si>
    <t>M/S Raju Bhowmick</t>
  </si>
  <si>
    <t>7001039370</t>
  </si>
  <si>
    <t>Hemendra Nath Roy</t>
  </si>
  <si>
    <t>2022-11-03</t>
  </si>
  <si>
    <t>1290677</t>
  </si>
  <si>
    <t>M/S. RADHAKRISHNA FERTILIZER</t>
  </si>
  <si>
    <t>9748553755</t>
  </si>
  <si>
    <t>M/S BIMAL BARMAN</t>
  </si>
  <si>
    <t>2021-10-29</t>
  </si>
  <si>
    <t>M/s. Lalchand Roy</t>
  </si>
  <si>
    <t>2021-12-03</t>
  </si>
  <si>
    <t>M/s. Parimal Roy</t>
  </si>
  <si>
    <t>2019-08-16</t>
  </si>
  <si>
    <t>M/S. MAA LAXMI FERTILIZER</t>
  </si>
  <si>
    <t>2021-10-11</t>
  </si>
  <si>
    <t>2023-10-11</t>
  </si>
  <si>
    <t>M/s. Roy Fertilizer</t>
  </si>
  <si>
    <t>2024-01-10</t>
  </si>
  <si>
    <t>M/S. SARKAR FERTILIZER</t>
  </si>
  <si>
    <t>M/S LOKNATH FERTILIZER</t>
  </si>
  <si>
    <t>2023-04-18</t>
  </si>
  <si>
    <t>2021-10-01</t>
  </si>
  <si>
    <t>M/S. ROY FERTILIZER</t>
  </si>
  <si>
    <t>M/S.PROMILA FERTILIZER</t>
  </si>
  <si>
    <t>2023-01-13</t>
  </si>
  <si>
    <t>M/s. Pratap Barman</t>
  </si>
  <si>
    <t>2024-12-08</t>
  </si>
  <si>
    <t>1342079</t>
  </si>
  <si>
    <t>M/S. ALI FERTILIZER</t>
  </si>
  <si>
    <t>6295989104</t>
  </si>
  <si>
    <t>Abhijit Roy</t>
  </si>
  <si>
    <t>M/s. Subhas Ch Barman</t>
  </si>
  <si>
    <t>MAJIDUL MIAH</t>
  </si>
  <si>
    <t>2021-12-17</t>
  </si>
  <si>
    <t>M/S PUSPA NATH BARMAN</t>
  </si>
  <si>
    <t>2023-01-11</t>
  </si>
  <si>
    <t>272980</t>
  </si>
  <si>
    <t>Loknath Fertilizer</t>
  </si>
  <si>
    <t>8170862300</t>
  </si>
  <si>
    <t>M/S BARMAN FERTLIZER</t>
  </si>
  <si>
    <t>Sitalkuchi L/S Cams Ltd.</t>
  </si>
  <si>
    <t>Bablu Paul</t>
  </si>
  <si>
    <t>M/s. Subhash Barman</t>
  </si>
  <si>
    <t>Gobinda Chandra Saha</t>
  </si>
  <si>
    <t>2024-11-24</t>
  </si>
  <si>
    <t>M/s. Nikhil Chandra Paul</t>
  </si>
  <si>
    <t>SANTOSH KUMAR PRAMANIK</t>
  </si>
  <si>
    <t>PRASENJIT BARMAN</t>
  </si>
  <si>
    <t>AKAR ALI MIYA</t>
  </si>
  <si>
    <t>M/s Krishi Proyojani Kendra</t>
  </si>
  <si>
    <t>KAMAL PAUL</t>
  </si>
  <si>
    <t>2020-08-11</t>
  </si>
  <si>
    <t>Sabujsona Fertilizer</t>
  </si>
  <si>
    <t>2024-11-18</t>
  </si>
  <si>
    <t>1478575</t>
  </si>
  <si>
    <t>M/S. PRANESH PAUL</t>
  </si>
  <si>
    <t>M/S MOSTAFIZAR RAHAMAN</t>
  </si>
  <si>
    <t>M/s Prabir Guha</t>
  </si>
  <si>
    <t>Ujjal Roy</t>
  </si>
  <si>
    <t>Jeni Fertilizer</t>
  </si>
  <si>
    <t>M/s. Alom Fertilizer Shop</t>
  </si>
  <si>
    <t>M/s. Ali Fertilizer</t>
  </si>
  <si>
    <t>Tufanganj - I</t>
  </si>
  <si>
    <t>M/S GREEN HOME</t>
  </si>
  <si>
    <t>9547626773</t>
  </si>
  <si>
    <t>M/S- GOPAL CHANDA</t>
  </si>
  <si>
    <t>Parbananda Roy</t>
  </si>
  <si>
    <t>M/S- MAA KALI FERTILIZER</t>
  </si>
  <si>
    <t>M/s. Surath Saha</t>
  </si>
  <si>
    <t>M/s. Ali Hossain</t>
  </si>
  <si>
    <t>2023-12-14</t>
  </si>
  <si>
    <t>1214824</t>
  </si>
  <si>
    <t>Ibrahim Ali Bepari</t>
  </si>
  <si>
    <t>Jakir Hossain Bepari</t>
  </si>
  <si>
    <t>Jhirul Hoque Sarkar</t>
  </si>
  <si>
    <t>Krishi Bhander</t>
  </si>
  <si>
    <t>M/S-KRISHNA FERTILIZER</t>
  </si>
  <si>
    <t>M/s- Majiruddin Miah</t>
  </si>
  <si>
    <t>M/S- Nikhil Chandra Saha</t>
  </si>
  <si>
    <t>Prashanta Debnath</t>
  </si>
  <si>
    <t>M/S- DULAL DAS</t>
  </si>
  <si>
    <t>1214827</t>
  </si>
  <si>
    <t>BINOY DEY</t>
  </si>
  <si>
    <t>9434483653</t>
  </si>
  <si>
    <t>M/S New Basundhara</t>
  </si>
  <si>
    <t>Roy Fertilizer</t>
  </si>
  <si>
    <t>M/S Swasti Fertilizer</t>
  </si>
  <si>
    <t>NARAYAN CHANDRA BARMAN</t>
  </si>
  <si>
    <t>M/S- ANIMESH RAY MANDAL</t>
  </si>
  <si>
    <t>2024-10-03</t>
  </si>
  <si>
    <t>M/S- SAIFUR RAHAMAN</t>
  </si>
  <si>
    <t>2023-08-22</t>
  </si>
  <si>
    <t xml:space="preserve">SUBODH CHANDRA DAS </t>
  </si>
  <si>
    <t>SAFIUL ISLAM SEKH</t>
  </si>
  <si>
    <t xml:space="preserve">M/S- DIPAK CHAKROBORTY </t>
  </si>
  <si>
    <t>M/S-CHINMAY SARKAR</t>
  </si>
  <si>
    <t>2024-09-11</t>
  </si>
  <si>
    <t>M/S SAMIM ABEDIN</t>
  </si>
  <si>
    <t>M/S ASHRAFUL ALAM</t>
  </si>
  <si>
    <t>2024-12-06</t>
  </si>
  <si>
    <t>PRASANTA SAHA</t>
  </si>
  <si>
    <t>BIDHAN CHANDRA DAS</t>
  </si>
  <si>
    <t>2024-10-18</t>
  </si>
  <si>
    <t>2024-09-25</t>
  </si>
  <si>
    <t>SUNIT KUMAR ROY</t>
  </si>
  <si>
    <t>M/S SANJOY KUMAR DAS</t>
  </si>
  <si>
    <t>M/S. GOLAM SAROYAR BYAPARI</t>
  </si>
  <si>
    <t>M/S RANJIT KR. DAS</t>
  </si>
  <si>
    <t>M S. KRISHI GHAR</t>
  </si>
  <si>
    <t>MOFIJUL RAHAMAN</t>
  </si>
  <si>
    <t>M/s. Bhowmik Fertilizer</t>
  </si>
  <si>
    <t>Gopal Sarkar</t>
  </si>
  <si>
    <t>Mahendra Kohar</t>
  </si>
  <si>
    <t>Nikhil Chandra Saha</t>
  </si>
  <si>
    <t>Nitish Debnath</t>
  </si>
  <si>
    <t>M/s. Barman Fertilizer</t>
  </si>
  <si>
    <t>M/s. Sailen Chandra Das</t>
  </si>
  <si>
    <t>M/s. Sri Krishna Fertilizer</t>
  </si>
  <si>
    <t>M/s. Krishna Kanta Barman</t>
  </si>
  <si>
    <t>Sujal Paul</t>
  </si>
  <si>
    <t>Sukumar Barman</t>
  </si>
  <si>
    <t>M/s. Kishor Barman</t>
  </si>
  <si>
    <t>M/s. Layek Fertilizer</t>
  </si>
  <si>
    <t>M/s. Narayan Saha</t>
  </si>
  <si>
    <t>M/s. Prallad Chandra Sen</t>
  </si>
  <si>
    <t>Barun Chandra Arya</t>
  </si>
  <si>
    <t>M/s. Joy Ma  Krishi Bhandar</t>
  </si>
  <si>
    <t>M/s. Ma Lakshmi Krishi Kendra</t>
  </si>
  <si>
    <t>M/S. PRADIP KUMAR SARKAR</t>
  </si>
  <si>
    <t>M/S SANTOSH DAS</t>
  </si>
  <si>
    <t>2024-10-14</t>
  </si>
  <si>
    <t>281089</t>
  </si>
  <si>
    <t>Green Home</t>
  </si>
  <si>
    <t>M/S. BENARASI SAHA</t>
  </si>
  <si>
    <t>M/S. RAJESWARI FERTILIZER</t>
  </si>
  <si>
    <t>BISHNU BARMAN</t>
  </si>
  <si>
    <t>M/S ROY FERTILIZER</t>
  </si>
  <si>
    <t>Mafijul Hossain</t>
  </si>
  <si>
    <t>Manoj Kumar Roy</t>
  </si>
  <si>
    <t>2022-01-19</t>
  </si>
  <si>
    <t>M/S. Bahi Bhai Fertlizer</t>
  </si>
  <si>
    <t>Nalini Kanta Barman  Koushik B</t>
  </si>
  <si>
    <t>Nripendra Nath Barman(Gosairh</t>
  </si>
  <si>
    <t>2022-01-23</t>
  </si>
  <si>
    <t>1133474</t>
  </si>
  <si>
    <t>M/S MAHABUL HOSSAIN</t>
  </si>
  <si>
    <t>9832398568</t>
  </si>
  <si>
    <t>Swapan Sarkar</t>
  </si>
  <si>
    <t>Azizur Pramaniic</t>
  </si>
  <si>
    <t>Jamser Ali Bappari</t>
  </si>
  <si>
    <t>2024-10-25</t>
  </si>
  <si>
    <t>Utpel Chakraborty</t>
  </si>
  <si>
    <t>Kuddus Ali Pramanik</t>
  </si>
  <si>
    <t>2021-01-16</t>
  </si>
  <si>
    <t>260162</t>
  </si>
  <si>
    <t>Ram Kumar Maheshwary</t>
  </si>
  <si>
    <t>9733413770</t>
  </si>
  <si>
    <t>Pratikulmandal</t>
  </si>
  <si>
    <t>Nasiruddin Miah</t>
  </si>
  <si>
    <t>Bijoy Kundu</t>
  </si>
  <si>
    <t>9434340515</t>
  </si>
  <si>
    <t>2020-08-02</t>
  </si>
  <si>
    <t>482946</t>
  </si>
  <si>
    <t>Sunil Kumar Kundu</t>
  </si>
  <si>
    <t>Nitish Chandra Ghosh</t>
  </si>
  <si>
    <t>2022-01-28</t>
  </si>
  <si>
    <t>2019-12-05</t>
  </si>
  <si>
    <t>M/S Dhiren Kar</t>
  </si>
  <si>
    <t>2023-11-23</t>
  </si>
  <si>
    <t>Pannalal Deb</t>
  </si>
  <si>
    <t>2019-05-19</t>
  </si>
  <si>
    <t>2019-02-15</t>
  </si>
  <si>
    <t>288291</t>
  </si>
  <si>
    <t>M/s. Mohata Stores</t>
  </si>
  <si>
    <t>2019-02-07</t>
  </si>
  <si>
    <t>RAHUL HOQUE</t>
  </si>
  <si>
    <t>2020-03-29</t>
  </si>
  <si>
    <t>Mousami Fertiliser</t>
  </si>
  <si>
    <t>Sabujayan Fertiliser</t>
  </si>
  <si>
    <t>2020-09-06</t>
  </si>
  <si>
    <t>RAFIKUL ISLAM SARKAR</t>
  </si>
  <si>
    <t>M/S. GOURANGA BISWAS</t>
  </si>
  <si>
    <t>M/S. SARITA SAHA</t>
  </si>
  <si>
    <t>2021-08-19</t>
  </si>
  <si>
    <t>DILIP SEN</t>
  </si>
  <si>
    <t>2020-02-20</t>
  </si>
  <si>
    <t>M/s. ANUSHKA FERTILISER</t>
  </si>
  <si>
    <t>M/s. JOGESH BARMAN</t>
  </si>
  <si>
    <t>2020-08-12</t>
  </si>
  <si>
    <t>MOHAMMAD ALI</t>
  </si>
  <si>
    <t>2019-12-18</t>
  </si>
  <si>
    <t>M/S LAXMI KANTA BARMAN</t>
  </si>
  <si>
    <t>2019-08-30</t>
  </si>
  <si>
    <t>RAHAMAN FERTILISER</t>
  </si>
  <si>
    <t>M/S. FARIDUL HAQUE</t>
  </si>
  <si>
    <t>PRIYA FERTILIZER</t>
  </si>
  <si>
    <t>2021-10-31</t>
  </si>
  <si>
    <t>M/S. SUCHITRA FERTILIZER</t>
  </si>
  <si>
    <t>BIMAL SARKAR</t>
  </si>
  <si>
    <t>M/S LAXMI KRISHI BHANDAR</t>
  </si>
  <si>
    <t>M/s Maa Fertilizer</t>
  </si>
  <si>
    <t>Ms Bhai Bhai Fertilizer Shop</t>
  </si>
  <si>
    <t>Greenery Nursery</t>
  </si>
  <si>
    <t>Darjeeling</t>
  </si>
  <si>
    <t>M/S ASHRAFIFERTLIZER</t>
  </si>
  <si>
    <t>Bidyut Mohanta</t>
  </si>
  <si>
    <t>Bilas Kumar Das</t>
  </si>
  <si>
    <t>2025-11-07</t>
  </si>
  <si>
    <t>286422</t>
  </si>
  <si>
    <t>Dipak Kumar Laha</t>
  </si>
  <si>
    <t>6297583814</t>
  </si>
  <si>
    <t>MADHU CH  HORE</t>
  </si>
  <si>
    <t>Jagannathbati Skus Ltd</t>
  </si>
  <si>
    <t>Milu Das</t>
  </si>
  <si>
    <t>KAFILUDDIN MONDAL</t>
  </si>
  <si>
    <t>332079</t>
  </si>
  <si>
    <t>Amcherali Mandal</t>
  </si>
  <si>
    <t>9547098638</t>
  </si>
  <si>
    <t>Nayan Choudhury</t>
  </si>
  <si>
    <t>2025-11-23</t>
  </si>
  <si>
    <t>Nirapada Das</t>
  </si>
  <si>
    <t>Subhankar Mohanta</t>
  </si>
  <si>
    <t>2025-07-15</t>
  </si>
  <si>
    <t>Mosaraf Mondal</t>
  </si>
  <si>
    <t>Sankar Debnath</t>
  </si>
  <si>
    <t>354029</t>
  </si>
  <si>
    <t>M/s. Bhumi Laxmi</t>
  </si>
  <si>
    <t>9153195790</t>
  </si>
  <si>
    <t>Animesh Mondal</t>
  </si>
  <si>
    <t>Ghosh Fertilizer</t>
  </si>
  <si>
    <t>Jogen Mahato</t>
  </si>
  <si>
    <t>Mahanta Sar Bhandar</t>
  </si>
  <si>
    <t>Pranay Laha</t>
  </si>
  <si>
    <t>Bimal Chandra  Pramanik</t>
  </si>
  <si>
    <t>263370</t>
  </si>
  <si>
    <t>MS Deepak Kumar Sarkar And Son</t>
  </si>
  <si>
    <t>9851529233</t>
  </si>
  <si>
    <t>Rahunath Paul</t>
  </si>
  <si>
    <t>Soumendranath Mondal</t>
  </si>
  <si>
    <t>Sunil Chandra  Das</t>
  </si>
  <si>
    <t>Kanak Debnath</t>
  </si>
  <si>
    <t>Ranjan Paul</t>
  </si>
  <si>
    <t>Bijan Mahata</t>
  </si>
  <si>
    <t>SHYAMAL KUMAR ROY</t>
  </si>
  <si>
    <t>Binoy Mondol</t>
  </si>
  <si>
    <t>SHYAMAL CHOWDHURY</t>
  </si>
  <si>
    <t>M/S DEBNATH KRISHI BHANDAR</t>
  </si>
  <si>
    <t>Bijon Chandra Pramanik</t>
  </si>
  <si>
    <t>M/S. SUJIT DAS</t>
  </si>
  <si>
    <t>Gokul Chandra Mondal</t>
  </si>
  <si>
    <t>Sampa Choudhury(Saha)</t>
  </si>
  <si>
    <t>M/S Gopal Krishna Samajder</t>
  </si>
  <si>
    <t>Sushil Ranjan Mohanta</t>
  </si>
  <si>
    <t>M/S. NAJMA BIBI</t>
  </si>
  <si>
    <t>M/S SURESH DEBNATH</t>
  </si>
  <si>
    <t>2025-04-25</t>
  </si>
  <si>
    <t>M/S Sabuj Ghar</t>
  </si>
  <si>
    <t>KANCHAN ROY</t>
  </si>
  <si>
    <t>NITAI CHANDRA GHOSH</t>
  </si>
  <si>
    <t>Ashit Kumar Paul</t>
  </si>
  <si>
    <t>M/S ASIT MANDAL</t>
  </si>
  <si>
    <t>MAA MANASA FERTILIZER</t>
  </si>
  <si>
    <t>501083</t>
  </si>
  <si>
    <t>M/S Raj Laxmi Sar Bhandar</t>
  </si>
  <si>
    <t>9733231915</t>
  </si>
  <si>
    <t>RAM GOPAL SEEDS STORE</t>
  </si>
  <si>
    <t>GOUR PADA DUTTA</t>
  </si>
  <si>
    <t>CHANDAN LAHA</t>
  </si>
  <si>
    <t>M/S PINAKI DAS</t>
  </si>
  <si>
    <t>SAFALI PAUL</t>
  </si>
  <si>
    <t>1223571</t>
  </si>
  <si>
    <t>M/S SUBRATA KUMAR LAHA</t>
  </si>
  <si>
    <t>8637363960</t>
  </si>
  <si>
    <t>RAJU DEBNATH</t>
  </si>
  <si>
    <t>1183563</t>
  </si>
  <si>
    <t>RAJU KAR</t>
  </si>
  <si>
    <t>9734915998</t>
  </si>
  <si>
    <t>HARADHAN SAHA</t>
  </si>
  <si>
    <t>HIRENDRANATH SARKAR</t>
  </si>
  <si>
    <t>M/S RANJIT MAHATO</t>
  </si>
  <si>
    <t>M/S MOMIN MONDAL</t>
  </si>
  <si>
    <t>2024-09-12</t>
  </si>
  <si>
    <t>PANKAJ MAHANTA</t>
  </si>
  <si>
    <t>M/S REKHA SAR BHANDER</t>
  </si>
  <si>
    <t>M/S LAXMI NARAYAN SAR BHANDAR</t>
  </si>
  <si>
    <t>AINUL ISLAM SARKAR</t>
  </si>
  <si>
    <t>SUJOY DAS</t>
  </si>
  <si>
    <t>AMIT SARKAR</t>
  </si>
  <si>
    <t>MUKESH AGARWALA</t>
  </si>
  <si>
    <t>AMAL PAUL</t>
  </si>
  <si>
    <t>SWAPAN DEBNATH</t>
  </si>
  <si>
    <t>SANJIT DAS</t>
  </si>
  <si>
    <t>SUDHIR CHANDRA MANDAL</t>
  </si>
  <si>
    <t>2025-04-03</t>
  </si>
  <si>
    <t>M/S DILIP KUMAR PAUL</t>
  </si>
  <si>
    <t>ANIL GHOSH</t>
  </si>
  <si>
    <t>2023-03-26</t>
  </si>
  <si>
    <t>SUKHENDU LAHA</t>
  </si>
  <si>
    <t>2022-07-07</t>
  </si>
  <si>
    <t>M/S. DIPANKAR ROY</t>
  </si>
  <si>
    <t>7063173144</t>
  </si>
  <si>
    <t>M/S GOPESH CHANDRA BARMAN</t>
  </si>
  <si>
    <t>M/S ALOK CHATTARJEE</t>
  </si>
  <si>
    <t>M/S DHANANJAY BHOWMIK</t>
  </si>
  <si>
    <t>SERAJUL ISLAM</t>
  </si>
  <si>
    <t xml:space="preserve">M/S SUJIT BASAK  SUDEB KUMAR </t>
  </si>
  <si>
    <t>2025-07-27</t>
  </si>
  <si>
    <t>M/S ANIL CHANDRA MONDAL</t>
  </si>
  <si>
    <t>M/S BIPLAB MONDAL PARIJAT GOSW</t>
  </si>
  <si>
    <t xml:space="preserve">M/S SHREE KRISHNA SAR VANDAR  </t>
  </si>
  <si>
    <t>M/S. AMRIT MONDAL</t>
  </si>
  <si>
    <t>M/S.SUBHENDU MAHANTA</t>
  </si>
  <si>
    <t>Harekanta Sarkar</t>
  </si>
  <si>
    <t>263374</t>
  </si>
  <si>
    <t>M/S NAJMUL ISLAM</t>
  </si>
  <si>
    <t>Niyati Sarkar</t>
  </si>
  <si>
    <t>8348696079</t>
  </si>
  <si>
    <t>Milan Chandra  Das</t>
  </si>
  <si>
    <t>Montosh Roy</t>
  </si>
  <si>
    <t>2025-01-22</t>
  </si>
  <si>
    <t>Swapan Das</t>
  </si>
  <si>
    <t>KRISHI UNNAYAN KENDRA</t>
  </si>
  <si>
    <t>M/S. NITAI SARKAR N SATYAJIT S</t>
  </si>
  <si>
    <t>Farad Hossain</t>
  </si>
  <si>
    <t>2024-11-10</t>
  </si>
  <si>
    <t>2023-11-26</t>
  </si>
  <si>
    <t>M/S CHANDAN SHIL</t>
  </si>
  <si>
    <t>ALAM SAR BHANDAR</t>
  </si>
  <si>
    <t>2022-12-21</t>
  </si>
  <si>
    <t>2022-12-03</t>
  </si>
  <si>
    <t>1150421</t>
  </si>
  <si>
    <t>M/S KAMAL KUMAR DAS</t>
  </si>
  <si>
    <t>7432910905</t>
  </si>
  <si>
    <t>M/S EMAJUL ISLAM</t>
  </si>
  <si>
    <t>M/S SANTI NITRA</t>
  </si>
  <si>
    <t>2022-11-08</t>
  </si>
  <si>
    <t>M/S SABUJ GHAR</t>
  </si>
  <si>
    <t>BRAJESH ROY</t>
  </si>
  <si>
    <t>ALAM SARKAR</t>
  </si>
  <si>
    <t>M/S-TAPAS SARKAR</t>
  </si>
  <si>
    <t>2022-02-18</t>
  </si>
  <si>
    <t>1222813</t>
  </si>
  <si>
    <t>M/S NIYATI SARKAR</t>
  </si>
  <si>
    <t>SHYAMAL KARMAKAR  ROHIT KARMAK</t>
  </si>
  <si>
    <t>Hamidur Rahaman</t>
  </si>
  <si>
    <t>MOHABUL HOSSAIN</t>
  </si>
  <si>
    <t>M/S SUBRATA SARKAR</t>
  </si>
  <si>
    <t>M/S NISHIT DAS</t>
  </si>
  <si>
    <t>2022-11-17</t>
  </si>
  <si>
    <t>KRISHI GHAR</t>
  </si>
  <si>
    <t>JYOTISH MAHATA</t>
  </si>
  <si>
    <t>2024-10-20</t>
  </si>
  <si>
    <t>M/S. JIAUL HUDA</t>
  </si>
  <si>
    <t>M/S. SAJJAT ALI</t>
  </si>
  <si>
    <t>M/S AMRAN HOSSAIN</t>
  </si>
  <si>
    <t>M/S MANGAL SARKAR</t>
  </si>
  <si>
    <t>M/S-PRIYOTOSH KANTI ROY</t>
  </si>
  <si>
    <t>M/S. DEY SAR BHANDAR</t>
  </si>
  <si>
    <t>M/S HIREN CHANDRA SAHA</t>
  </si>
  <si>
    <t>2023-08-17</t>
  </si>
  <si>
    <t>MS. RAJU KUMAR PRASAD A SANTO</t>
  </si>
  <si>
    <t>M/S.NARAYAN FERTILIZER</t>
  </si>
  <si>
    <t>JARJIS MONDAL AND NOWAJSARIF</t>
  </si>
  <si>
    <t>2025-10-11</t>
  </si>
  <si>
    <t>M/S. MANDAL FERTILIZER A PESTI</t>
  </si>
  <si>
    <t>Krishan Unnyan Seba Kendra</t>
  </si>
  <si>
    <t>Chandan Das</t>
  </si>
  <si>
    <t>1216980</t>
  </si>
  <si>
    <t>PURNA CHATTAPADHAYAY</t>
  </si>
  <si>
    <t>8670728284</t>
  </si>
  <si>
    <t>Dhirendra Nath Roy</t>
  </si>
  <si>
    <t>M/S. JABED ALI SARKAR</t>
  </si>
  <si>
    <t>Purna Chattopadadhyay</t>
  </si>
  <si>
    <t>Sabuj Sar Bhandar</t>
  </si>
  <si>
    <t>M/S SANTOSH KUMAR SARKAR</t>
  </si>
  <si>
    <t>2023-12-03</t>
  </si>
  <si>
    <t>2024-03-10</t>
  </si>
  <si>
    <t>2023-03-23</t>
  </si>
  <si>
    <t>Sarkar Fertilizer Agency</t>
  </si>
  <si>
    <t>263377</t>
  </si>
  <si>
    <t>Rahaman Fertilizer Agency</t>
  </si>
  <si>
    <t>9064276670</t>
  </si>
  <si>
    <t>M/S. UJJWAL BARMAN</t>
  </si>
  <si>
    <t>Sukumar Saha</t>
  </si>
  <si>
    <t>M/S. SAYRAPUR S.K.U.S. LTD.</t>
  </si>
  <si>
    <t>Gopeswar Basak</t>
  </si>
  <si>
    <t>Kashinath Sarkar</t>
  </si>
  <si>
    <t>Uttam Sarkar</t>
  </si>
  <si>
    <t>Babar Ali</t>
  </si>
  <si>
    <t>BASUDEB GHOSH</t>
  </si>
  <si>
    <t>Maidur Islam</t>
  </si>
  <si>
    <t>Niranjan Kumar  Bose</t>
  </si>
  <si>
    <t>Prasanta Kr Biswas</t>
  </si>
  <si>
    <t>2022-12-06</t>
  </si>
  <si>
    <t>657762</t>
  </si>
  <si>
    <t>M/S SHIV DURGA ENTERPRISE</t>
  </si>
  <si>
    <t>8945092494</t>
  </si>
  <si>
    <t>2022-12-15</t>
  </si>
  <si>
    <t>NAJIMUL HOQUE</t>
  </si>
  <si>
    <t>1519430</t>
  </si>
  <si>
    <t>Goutam Ray</t>
  </si>
  <si>
    <t>Aminul Islam</t>
  </si>
  <si>
    <t>286427</t>
  </si>
  <si>
    <t>Bimal Chandra Saha</t>
  </si>
  <si>
    <t>2022-10-22</t>
  </si>
  <si>
    <t>M/S IAKUB ALI SARKAR</t>
  </si>
  <si>
    <t>HOSSAIN FERT AGENCY</t>
  </si>
  <si>
    <t>M/S DEBESH ROY</t>
  </si>
  <si>
    <t>PARITOSH BARMAN</t>
  </si>
  <si>
    <t>M/S KRISHNA FERTILIZER</t>
  </si>
  <si>
    <t>M/S KALAMUL ISLAM</t>
  </si>
  <si>
    <t>MAA MANASHA FERTILIZER</t>
  </si>
  <si>
    <t>SARKAR KRISHI BEEJ BHANDER AND</t>
  </si>
  <si>
    <t>7001706957</t>
  </si>
  <si>
    <t xml:space="preserve">Sharmin Chowdhury </t>
  </si>
  <si>
    <t>M/S HARUN FERT. AGENCY</t>
  </si>
  <si>
    <t>340430</t>
  </si>
  <si>
    <t>M/S SARKAR FERT. AGENCY</t>
  </si>
  <si>
    <t>2025-03-01</t>
  </si>
  <si>
    <t>1152223</t>
  </si>
  <si>
    <t>M/S BISWAJIT FERTILIZER</t>
  </si>
  <si>
    <t>9733156272</t>
  </si>
  <si>
    <t>MANI RATNA SAHA</t>
  </si>
  <si>
    <t>JIBAN MITRA</t>
  </si>
  <si>
    <t>ABDUL HAI MIYNA</t>
  </si>
  <si>
    <t>2023-11-30</t>
  </si>
  <si>
    <t>M/S MAHABUB ALAM MIAH</t>
  </si>
  <si>
    <t>M/S. MANDAL FERTILZER</t>
  </si>
  <si>
    <t>M/S UJJAL CHOWDHURY</t>
  </si>
  <si>
    <t>2022-12-31</t>
  </si>
  <si>
    <t>2020-09-19</t>
  </si>
  <si>
    <t>MOSTAFIJUR RAHAMAN</t>
  </si>
  <si>
    <t>M/S BASUDEB GHOSH</t>
  </si>
  <si>
    <t>M/S DIPU DEB SHRMA</t>
  </si>
  <si>
    <t>M/S ISLAM FERTILIZER</t>
  </si>
  <si>
    <t>RAFIKUL ISLAM</t>
  </si>
  <si>
    <t>RAHED ALI MIA</t>
  </si>
  <si>
    <t>M/S. SASFUL HASAN</t>
  </si>
  <si>
    <t>M/S MA LAXMI KRISHI BHANDAR</t>
  </si>
  <si>
    <t>M/S Jannat Fertilizer</t>
  </si>
  <si>
    <t>Prasanta Roy</t>
  </si>
  <si>
    <t>Mulahat Skus Ltd.</t>
  </si>
  <si>
    <t>M/S NABENDU KISHORE DAS</t>
  </si>
  <si>
    <t>M/S SUBHASISH CHAKRABORTY</t>
  </si>
  <si>
    <t>BANESWAR SARKAR</t>
  </si>
  <si>
    <t>M/S. FARUK HOSSAIN</t>
  </si>
  <si>
    <t>M/S. FIROJ ALAM</t>
  </si>
  <si>
    <t>M/S TANMAY CHOWDHURY</t>
  </si>
  <si>
    <t>M/S NOUSAD ISLAM</t>
  </si>
  <si>
    <t>2022-10-20</t>
  </si>
  <si>
    <t>M/S. MAKSEDUR RAHAMAN</t>
  </si>
  <si>
    <t>M/S. NUR FERTILIZER</t>
  </si>
  <si>
    <t>M/S MASIDUR RAHAMAN</t>
  </si>
  <si>
    <t>SOFIKUL HOQUE</t>
  </si>
  <si>
    <t>M/S. MIRJA FERTILIZER</t>
  </si>
  <si>
    <t>Md AJIJ</t>
  </si>
  <si>
    <t>BEGUM KHALEDA RAJIYA AND SAHAN</t>
  </si>
  <si>
    <t>SARWAR SAR BHANDAR</t>
  </si>
  <si>
    <t>Hilli</t>
  </si>
  <si>
    <t>AMAL KUMAR DAS</t>
  </si>
  <si>
    <t>Nayan Ghosh</t>
  </si>
  <si>
    <t>MS. SANTANA MAHANTA</t>
  </si>
  <si>
    <t>SANTU KUMAR LAHA</t>
  </si>
  <si>
    <t>Subrata Kumar Laha</t>
  </si>
  <si>
    <t>Bablu Mahata</t>
  </si>
  <si>
    <t>M/S SUDHIR SAR BHANDAR</t>
  </si>
  <si>
    <t>SHYAMALA AGENCY</t>
  </si>
  <si>
    <t>263380</t>
  </si>
  <si>
    <t>JHARNA SARKAR DAS</t>
  </si>
  <si>
    <t>2025-06-12</t>
  </si>
  <si>
    <t>BHUSHAN KUMAR DAS</t>
  </si>
  <si>
    <t>SAMAPTA SARKAR</t>
  </si>
  <si>
    <t>BINODH MONDAL</t>
  </si>
  <si>
    <t>Bimal Chandra Mondal</t>
  </si>
  <si>
    <t>2023-03-08</t>
  </si>
  <si>
    <t>584539</t>
  </si>
  <si>
    <t>BIJAY KUMAR AGARWALA</t>
  </si>
  <si>
    <t>9434521132</t>
  </si>
  <si>
    <t>SABITRI SAR BHANDAR</t>
  </si>
  <si>
    <t>SUDHANGSHU KRISHI SAMADHAR</t>
  </si>
  <si>
    <t>ANITA SARKA N SUSHIL KR SARKAR</t>
  </si>
  <si>
    <t>M/S MINTU MONDAL</t>
  </si>
  <si>
    <t>RATAN LAHA</t>
  </si>
  <si>
    <t>JOYDEV LAHA</t>
  </si>
  <si>
    <t>Kumarganj</t>
  </si>
  <si>
    <t>2020-03-07</t>
  </si>
  <si>
    <t>1138290</t>
  </si>
  <si>
    <t>RABIUL MONDAL</t>
  </si>
  <si>
    <t>9733871314</t>
  </si>
  <si>
    <t>PREMANANDA BASAK</t>
  </si>
  <si>
    <t>Sadhan Saha</t>
  </si>
  <si>
    <t>SUMIT KARMAKAR</t>
  </si>
  <si>
    <t>M/S. AMCHERALI MONDAL N AMAJUL</t>
  </si>
  <si>
    <t>M/S DIPAK KUMAR SAHA</t>
  </si>
  <si>
    <t>NARAYAN CHANDRA DAS</t>
  </si>
  <si>
    <t>M/S. AMJAD MONDAL</t>
  </si>
  <si>
    <t>2026-01-06</t>
  </si>
  <si>
    <t>Bipul Kr Roy</t>
  </si>
  <si>
    <t>PIJUSH KUMAR DAS</t>
  </si>
  <si>
    <t>Sudip Roy</t>
  </si>
  <si>
    <t>Barun Kumar Mondal</t>
  </si>
  <si>
    <t>AKTARUJ ZAMAN MONDAL</t>
  </si>
  <si>
    <t>Difajuddin  Mondal</t>
  </si>
  <si>
    <t>Wanur Ali Sarkar</t>
  </si>
  <si>
    <t>M/S MALOY GHOSH</t>
  </si>
  <si>
    <t>Talebul islam mandal</t>
  </si>
  <si>
    <t>Rajib Ali Sarkar</t>
  </si>
  <si>
    <t>Gajendranath Ghosh</t>
  </si>
  <si>
    <t>DIPAK MOHON DAS</t>
  </si>
  <si>
    <t>BIJAN DAS</t>
  </si>
  <si>
    <t>RAJIB SARKAR</t>
  </si>
  <si>
    <t>M/S HOSSAIN SAR BHANDAR</t>
  </si>
  <si>
    <t>BISWAJIT SARKAR</t>
  </si>
  <si>
    <t>M/S KHARAJUL MONDAL</t>
  </si>
  <si>
    <t>PRADIP DAS</t>
  </si>
  <si>
    <t>2025-07-26</t>
  </si>
  <si>
    <t>M/S SAYANTA MONDAL</t>
  </si>
  <si>
    <t>MAA MANASA SAR BHANDAR</t>
  </si>
  <si>
    <t>Najmul Alam Mia  Majidur Mond</t>
  </si>
  <si>
    <t>M/S MONDAL FERTILZER</t>
  </si>
  <si>
    <t>2026-01-21</t>
  </si>
  <si>
    <t>M/S Gopinath Sar Bhandar</t>
  </si>
  <si>
    <t>Sarkar Krishi Bhandar</t>
  </si>
  <si>
    <t>Abdul Hannan</t>
  </si>
  <si>
    <t>HAQUE FERTILIZER</t>
  </si>
  <si>
    <t>RAHAMAN FERTILIZER AGENCY</t>
  </si>
  <si>
    <t>Ashimuddin Ahammed</t>
  </si>
  <si>
    <t>Khairul Alam</t>
  </si>
  <si>
    <t>Manju Krishi Ghar</t>
  </si>
  <si>
    <t>Nojrul Islam</t>
  </si>
  <si>
    <t>2025-07-05</t>
  </si>
  <si>
    <t>M/S AHACHAN ALI NURUL ISLAM</t>
  </si>
  <si>
    <t>Sadhan Chakraborty</t>
  </si>
  <si>
    <t>Swapan Kumar Roy</t>
  </si>
  <si>
    <t>2025-03-18</t>
  </si>
  <si>
    <t>ABDUL HASAN</t>
  </si>
  <si>
    <t>Keshab Joshi</t>
  </si>
  <si>
    <t>Golam Rabbani</t>
  </si>
  <si>
    <t>Ali Fert. Agency</t>
  </si>
  <si>
    <t>Sarkar Fert. Agency</t>
  </si>
  <si>
    <t>ALI FERTILIZER AGENCY</t>
  </si>
  <si>
    <t>HOSSAIN FERTILIZER AGENCY</t>
  </si>
  <si>
    <t>M/S DHANALAKSHMI KRISHI SAR BH</t>
  </si>
  <si>
    <t>2023-12-21</t>
  </si>
  <si>
    <t>M/S ISLAM FERT. AGENCY</t>
  </si>
  <si>
    <t>M/S NAZARUL ISLAM</t>
  </si>
  <si>
    <t>LAKSHMI FERTILIZER AGENCY</t>
  </si>
  <si>
    <t>M/S MUNTU ROY</t>
  </si>
  <si>
    <t>M/S. MAJEDUR FERTILIZER</t>
  </si>
  <si>
    <t>2023-11-28</t>
  </si>
  <si>
    <t>2022-05-19</t>
  </si>
  <si>
    <t>MAJIBUR RAHAMAN</t>
  </si>
  <si>
    <t>2024-09-09</t>
  </si>
  <si>
    <t>BANKIM SARKAR</t>
  </si>
  <si>
    <t>M/S. JIBAN KR SEN</t>
  </si>
  <si>
    <t>M/S DADA BHAI FERTILIZER</t>
  </si>
  <si>
    <t>2024-12-03</t>
  </si>
  <si>
    <t>MASUD ALAM</t>
  </si>
  <si>
    <t>2020-12-14</t>
  </si>
  <si>
    <t>ROY FERTILIZER AGENCY</t>
  </si>
  <si>
    <t>GOLICHAND ROY</t>
  </si>
  <si>
    <t>BHARAT MAHATO</t>
  </si>
  <si>
    <t>2021-10-06</t>
  </si>
  <si>
    <t>M/S. GALEN CHANDRA SARKAR</t>
  </si>
  <si>
    <t>SABUJ SATHI FERTILIZER</t>
  </si>
  <si>
    <t>2022-02-15</t>
  </si>
  <si>
    <t>SUFALA SAR BHANDAR</t>
  </si>
  <si>
    <t>KALIDAS ROY</t>
  </si>
  <si>
    <t>BARMAN FERTILIZER</t>
  </si>
  <si>
    <t>ANITYA SARKAR</t>
  </si>
  <si>
    <t>2021-02-04</t>
  </si>
  <si>
    <t>M/S. MIRAN FERTILIZER</t>
  </si>
  <si>
    <t>2022-08-09</t>
  </si>
  <si>
    <t>M/S HOSSAIN FERTILIZER AGENCY</t>
  </si>
  <si>
    <t>2021-11-27</t>
  </si>
  <si>
    <t>Khagendra Nath Barman and Mith</t>
  </si>
  <si>
    <t>2025-08-14</t>
  </si>
  <si>
    <t>M/S POPULER FERT. AGENCY</t>
  </si>
  <si>
    <t>2025-03-13</t>
  </si>
  <si>
    <t>2022-12-11</t>
  </si>
  <si>
    <t>HOSSAIN FERT. AGENCY</t>
  </si>
  <si>
    <t>M/S NAKUL CHANDRA SARKAR</t>
  </si>
  <si>
    <t>M/S  ISPANHANI AJAD FERT</t>
  </si>
  <si>
    <t>M/S ISLAM FERTILIZER AGENCY</t>
  </si>
  <si>
    <t>M/S. LAL KASHEM FERTILIZER SHO</t>
  </si>
  <si>
    <t>M/S Kabier Fertilizer</t>
  </si>
  <si>
    <t>RAHUL ALAM</t>
  </si>
  <si>
    <t>Abdul Razzak Mia</t>
  </si>
  <si>
    <t>Barman Fertilizer</t>
  </si>
  <si>
    <t>Bipul Kr. Ghosh</t>
  </si>
  <si>
    <t>Mandal Fertilizer</t>
  </si>
  <si>
    <t>M/S PRITAM KUMAR MONDAL</t>
  </si>
  <si>
    <t>Rejaul Karim Mandal</t>
  </si>
  <si>
    <t>Sarkar Fertiliser</t>
  </si>
  <si>
    <t>Wyether Ali Mandal</t>
  </si>
  <si>
    <t>Tamijuddin Sarkar</t>
  </si>
  <si>
    <t>M/S ANICHHUR HAKIM</t>
  </si>
  <si>
    <t>Patkola Skus Ltd.</t>
  </si>
  <si>
    <t>Samsul Alam Sarkar</t>
  </si>
  <si>
    <t>1258418</t>
  </si>
  <si>
    <t>ASHOK Kumar Saha</t>
  </si>
  <si>
    <t>Bapi Sarkar</t>
  </si>
  <si>
    <t>Jiaulmolla</t>
  </si>
  <si>
    <t>1622168</t>
  </si>
  <si>
    <t>MS Mondal Fertilizer</t>
  </si>
  <si>
    <t>9932723750</t>
  </si>
  <si>
    <t>M/S - RATAN KR LAHA</t>
  </si>
  <si>
    <t>M/S SABUJ FERTILIZER</t>
  </si>
  <si>
    <t>SEKENDAR MONDAL</t>
  </si>
  <si>
    <t>Hayder Sarkar</t>
  </si>
  <si>
    <t>M/S NIREN SENGUPTA</t>
  </si>
  <si>
    <t>2022-12-27</t>
  </si>
  <si>
    <t>Ma Manasa Sar Bhander</t>
  </si>
  <si>
    <t>Idrish Ali Sarkar</t>
  </si>
  <si>
    <t>ARUN KR MALI</t>
  </si>
  <si>
    <t>M/S NURANI SAR BHANDER</t>
  </si>
  <si>
    <t>M/S PAUL FERTILIZERS</t>
  </si>
  <si>
    <t>2024-11-17</t>
  </si>
  <si>
    <t>SATTAR ISLAM</t>
  </si>
  <si>
    <t>M/S. ANIRBAN SAHA</t>
  </si>
  <si>
    <t>BASANTI BARMAN</t>
  </si>
  <si>
    <t>SABUJ BIPLAB</t>
  </si>
  <si>
    <t>NIMAI BARMAN</t>
  </si>
  <si>
    <t>M/S. MAHASIN REJA</t>
  </si>
  <si>
    <t>2021-03-18</t>
  </si>
  <si>
    <t>M/S. BIPUL BARMAN</t>
  </si>
  <si>
    <t>NURUL ISLAM</t>
  </si>
  <si>
    <t>M/S. SABUJ BHANDER</t>
  </si>
  <si>
    <t>1598467</t>
  </si>
  <si>
    <t xml:space="preserve">M/S Kishok Bazar </t>
  </si>
  <si>
    <t>7479028672</t>
  </si>
  <si>
    <t>M/S MAA LAXMI SAR BHANDER</t>
  </si>
  <si>
    <t>M/S RAJU BARMAN</t>
  </si>
  <si>
    <t>2024-08-10</t>
  </si>
  <si>
    <t>BHUMI BANDHU FERTILIZER</t>
  </si>
  <si>
    <t>M/S. RAKESH PAUL</t>
  </si>
  <si>
    <t>2020-09-09</t>
  </si>
  <si>
    <t>M/S NITISH KUMAR BISWAS</t>
  </si>
  <si>
    <t>NURUL FERTILIZER</t>
  </si>
  <si>
    <t>2023-11-21</t>
  </si>
  <si>
    <t>ARIF MONDAL</t>
  </si>
  <si>
    <t>M/S MADAN BARMAN</t>
  </si>
  <si>
    <t>M/S SUJIT SARKAR</t>
  </si>
  <si>
    <t>MOJAMMEL HAQUE MAHALAT N ABDUL</t>
  </si>
  <si>
    <t>M/S SARKAR FERTILIZER</t>
  </si>
  <si>
    <t>2025-03-30</t>
  </si>
  <si>
    <t>M/S ABDUR RAHIM AHAMAD</t>
  </si>
  <si>
    <t>M/S. SAFIUDDIN SARKAR</t>
  </si>
  <si>
    <t>M/S. SITA RANI BARMAN N KARTIK</t>
  </si>
  <si>
    <t>MAHABUL ISLAM</t>
  </si>
  <si>
    <t>M/S. RANJIT ROY</t>
  </si>
  <si>
    <t>AHMED FERTILIZER</t>
  </si>
  <si>
    <t>RAJJATUL HOSSAIN</t>
  </si>
  <si>
    <t>2019-11-23</t>
  </si>
  <si>
    <t>M/S KALIDAS BISWAS AND AJGAR A</t>
  </si>
  <si>
    <t>M/S-NIREN ROY</t>
  </si>
  <si>
    <t>MAJIBAR RAHAMAN</t>
  </si>
  <si>
    <t>ROY FERTLIZERS</t>
  </si>
  <si>
    <t>M/S NARAYAN CHANDRA KAR</t>
  </si>
  <si>
    <t>M/S ARINDAM BISWAS</t>
  </si>
  <si>
    <t xml:space="preserve">M/S GAFFAR SARKAR </t>
  </si>
  <si>
    <t>M/S ANNOPURNA FERTILISER</t>
  </si>
  <si>
    <t>M/S Gita Fertiliser</t>
  </si>
  <si>
    <t>1265557</t>
  </si>
  <si>
    <t>M/S MRINMOY PAUL</t>
  </si>
  <si>
    <t>9933415457</t>
  </si>
  <si>
    <t>M/S. RADHA KRISHNA SAR BHANDAR</t>
  </si>
  <si>
    <t>M/S Kazi Fertilizer</t>
  </si>
  <si>
    <t>M/S FAYJAN FERTILIZER</t>
  </si>
  <si>
    <t>M/S NARJINA MANDAL</t>
  </si>
  <si>
    <t>M/S MATRI BHUMI</t>
  </si>
  <si>
    <t>MONDAL SAR BHANDAR</t>
  </si>
  <si>
    <t>M/S Burima Shar Bhandar</t>
  </si>
  <si>
    <t>M/S Fresh N Safe Fertilizer</t>
  </si>
  <si>
    <t>Rafiuddin Sarkar</t>
  </si>
  <si>
    <t>Bhaktipada Das</t>
  </si>
  <si>
    <t>Nurjit Ali</t>
  </si>
  <si>
    <t>2022-12-26</t>
  </si>
  <si>
    <t>Sukanti Sarkar</t>
  </si>
  <si>
    <t>Bonashiee Sar Bhandar</t>
  </si>
  <si>
    <t>Firdus Sarkar</t>
  </si>
  <si>
    <t>2021-03-24</t>
  </si>
  <si>
    <t>2020-01-21</t>
  </si>
  <si>
    <t>1082770</t>
  </si>
  <si>
    <t>M/S DIPANKAR ROY</t>
  </si>
  <si>
    <t>Sujit Basak</t>
  </si>
  <si>
    <t>2021-03-05</t>
  </si>
  <si>
    <t>MOSTAFA MONDAL SAR BHANDER</t>
  </si>
  <si>
    <t>MOJIBAR SARKAR</t>
  </si>
  <si>
    <t>2019-03-07</t>
  </si>
  <si>
    <t>775214</t>
  </si>
  <si>
    <t>M/s. Sarkar Fertilizer</t>
  </si>
  <si>
    <t>9734008321</t>
  </si>
  <si>
    <t>SHAWNOAJ ALAM CHOWDHURY</t>
  </si>
  <si>
    <t>2021-03-19</t>
  </si>
  <si>
    <t>1119058</t>
  </si>
  <si>
    <t>Sarkar Krishi Beej Bhandar</t>
  </si>
  <si>
    <t>SADANANDA ROY</t>
  </si>
  <si>
    <t>2020-11-24</t>
  </si>
  <si>
    <t>M/S WASHIM K. B. B. P-A. R. M.</t>
  </si>
  <si>
    <t>M/s. JITENDRA SARKAR</t>
  </si>
  <si>
    <t>2025-05-15</t>
  </si>
  <si>
    <t>M/S. SUKHA RANJAN DAS</t>
  </si>
  <si>
    <t>DULAL CHANDRA DAS</t>
  </si>
  <si>
    <t>M/S. DALIMUDDIN SARKAR</t>
  </si>
  <si>
    <t>BIREN SARKAR</t>
  </si>
  <si>
    <t>2021-03-15</t>
  </si>
  <si>
    <t>NILIMA GHOSH</t>
  </si>
  <si>
    <t>2022-10-11</t>
  </si>
  <si>
    <t>2022-04-11</t>
  </si>
  <si>
    <t>PARTHA BASAK</t>
  </si>
  <si>
    <t>M/S ASHOK KUMAR SARK</t>
  </si>
  <si>
    <t>2020-03-05</t>
  </si>
  <si>
    <t>M/S TOFAYEL ANOWER</t>
  </si>
  <si>
    <t>2022-03-12</t>
  </si>
  <si>
    <t xml:space="preserve">M/S LAXMI BHANDAR </t>
  </si>
  <si>
    <t>TOHABUR FERTILIZER AND PESTICI</t>
  </si>
  <si>
    <t>S Alam Fertilizer</t>
  </si>
  <si>
    <t>Chopra</t>
  </si>
  <si>
    <t>Gopal Chandra Das</t>
  </si>
  <si>
    <t>Noori Fertilizers</t>
  </si>
  <si>
    <t>385753</t>
  </si>
  <si>
    <t>Subrata Roy</t>
  </si>
  <si>
    <t>1132410</t>
  </si>
  <si>
    <t>M/S MIRJA FERTILIZER</t>
  </si>
  <si>
    <t>8016016291</t>
  </si>
  <si>
    <t>M/S ANUP KUMAR MAJUMDAR</t>
  </si>
  <si>
    <t>M/S KAMIL AKHTER</t>
  </si>
  <si>
    <t>Mangal Prasad Bhagat</t>
  </si>
  <si>
    <t>M/S SAHA FERTILIZER</t>
  </si>
  <si>
    <t>Shishir Kumar Paul</t>
  </si>
  <si>
    <t>870893</t>
  </si>
  <si>
    <t>M/s. Mithun Bhagat</t>
  </si>
  <si>
    <t>9735950765</t>
  </si>
  <si>
    <t>Safiruddin</t>
  </si>
  <si>
    <t>M/S GOUTAM SARKAR</t>
  </si>
  <si>
    <t>255006</t>
  </si>
  <si>
    <t>M/S PAUL FERTILIZER</t>
  </si>
  <si>
    <t>8617668649</t>
  </si>
  <si>
    <t>MD JAHIRUDDIHN</t>
  </si>
  <si>
    <t>2025-07-11</t>
  </si>
  <si>
    <t>1129415</t>
  </si>
  <si>
    <t>M/S S.P ENTERPRISES</t>
  </si>
  <si>
    <t>7551830155</t>
  </si>
  <si>
    <t>LOKNATH FERTILIZER</t>
  </si>
  <si>
    <t>1285645</t>
  </si>
  <si>
    <t>DUTTA FERTILIZER</t>
  </si>
  <si>
    <t>8250622045</t>
  </si>
  <si>
    <t>SUKDEB BISWAS</t>
  </si>
  <si>
    <t>M/S RAJAKUL ISLAM</t>
  </si>
  <si>
    <t>2022-08-31</t>
  </si>
  <si>
    <t>Mirja Ferilizers</t>
  </si>
  <si>
    <t>2025-03-08</t>
  </si>
  <si>
    <t>M/S BINOY ROY</t>
  </si>
  <si>
    <t>BIPLAB BHOWMIK</t>
  </si>
  <si>
    <t>M/S DUTTA FERTILIZER</t>
  </si>
  <si>
    <t>SAMIM AKHTAR</t>
  </si>
  <si>
    <t>M/S SHYAMAL CHANDRA BISWAS</t>
  </si>
  <si>
    <t>GOURAB KUMAR BHAGAT</t>
  </si>
  <si>
    <t>M/S HAQUE FERTILIZER</t>
  </si>
  <si>
    <t>M/S TAIYAB ALI</t>
  </si>
  <si>
    <t>SS ENTERPRISE</t>
  </si>
  <si>
    <t>JHARNA HALDAR</t>
  </si>
  <si>
    <t>Goalpokhar - I</t>
  </si>
  <si>
    <t>Samiran Sarkar</t>
  </si>
  <si>
    <t>HARI PADA MAJUMDER</t>
  </si>
  <si>
    <t>Bijoy Debsarma</t>
  </si>
  <si>
    <t>Uttar Chunihar Skus Ltd</t>
  </si>
  <si>
    <t>Md Kamaluddin</t>
  </si>
  <si>
    <t>MD. SHAMMIM AKTER</t>
  </si>
  <si>
    <t>M/S ABU KALAM</t>
  </si>
  <si>
    <t>SAHAPUR-II BAKA DUMURIA SKUS L</t>
  </si>
  <si>
    <t>SURMATUN KHATUN</t>
  </si>
  <si>
    <t>2024-09-13</t>
  </si>
  <si>
    <t xml:space="preserve"> MD. AKKASH ALI</t>
  </si>
  <si>
    <t>MD. IFTEKHAR ALAM</t>
  </si>
  <si>
    <t>897266</t>
  </si>
  <si>
    <t>MD. AKHTAR HUSSAIN</t>
  </si>
  <si>
    <t>7908153661</t>
  </si>
  <si>
    <t>M/S MD NIZAMUDDIN</t>
  </si>
  <si>
    <t>1187549</t>
  </si>
  <si>
    <t>M/S MD FAZLUR RAHAMAN</t>
  </si>
  <si>
    <t>9733031760</t>
  </si>
  <si>
    <t>M/S PROSANJIT BISWAS</t>
  </si>
  <si>
    <t>2023-12-02</t>
  </si>
  <si>
    <t>893011</t>
  </si>
  <si>
    <t>AKHIL KUMAR BHOWMICK</t>
  </si>
  <si>
    <t>7277816377</t>
  </si>
  <si>
    <t>S. A. FERTILIZERS SHOP</t>
  </si>
  <si>
    <t>2023-12-12</t>
  </si>
  <si>
    <t>JAY MAA DURGA FERTILIZER SHOP</t>
  </si>
  <si>
    <t>Goalpokhar - II</t>
  </si>
  <si>
    <t>M/S SUMIT KUMAR JAIN</t>
  </si>
  <si>
    <t>9932267906</t>
  </si>
  <si>
    <t>1278042</t>
  </si>
  <si>
    <t>Agrichem Fertiliser Centre</t>
  </si>
  <si>
    <t>Md Anwar Alam</t>
  </si>
  <si>
    <t>M/s Najma Khatoon</t>
  </si>
  <si>
    <t>M/S Mukul Sarkar</t>
  </si>
  <si>
    <t>M/S JAIN FERTILIZER andAGRICULTU</t>
  </si>
  <si>
    <t>M/s Niranjan Kumar Das</t>
  </si>
  <si>
    <t>M/S PRADIP SARKAR</t>
  </si>
  <si>
    <t>M/S KOHINOOR FERTILIZER</t>
  </si>
  <si>
    <t>M/S SAFIQUL ALAM</t>
  </si>
  <si>
    <t>M/S. Serajul Islam</t>
  </si>
  <si>
    <t>MD. TAUSIF REZA</t>
  </si>
  <si>
    <t>M/S GALIA KHAD BHANDER</t>
  </si>
  <si>
    <t>M/S. NOOR NEYAAZ</t>
  </si>
  <si>
    <t>TABREZ FERTILIZER</t>
  </si>
  <si>
    <t>BHAI BHAI FERTILIZER</t>
  </si>
  <si>
    <t>M/S PRATAP MAJUMDER</t>
  </si>
  <si>
    <t>MS FARHAN FERTILIZER</t>
  </si>
  <si>
    <t>Ashraf Ali</t>
  </si>
  <si>
    <t>1058188</t>
  </si>
  <si>
    <t>SAIDUR RAHAMAN</t>
  </si>
  <si>
    <t>9734115820</t>
  </si>
  <si>
    <t>Krishi Biplab Sahayak</t>
  </si>
  <si>
    <t>2022-12-23</t>
  </si>
  <si>
    <t>281226</t>
  </si>
  <si>
    <t>Subuj Supply</t>
  </si>
  <si>
    <t>7001971187</t>
  </si>
  <si>
    <t>Makleshur Zaman</t>
  </si>
  <si>
    <t>651626</t>
  </si>
  <si>
    <t>Manoj Kumar Deb</t>
  </si>
  <si>
    <t>Samsul Haque</t>
  </si>
  <si>
    <t>1412930</t>
  </si>
  <si>
    <t>KARNAJORA CO-OPERATIVE AGRICUL</t>
  </si>
  <si>
    <t>8250457408</t>
  </si>
  <si>
    <t>Sar Bikray Kendra</t>
  </si>
  <si>
    <t>1403333</t>
  </si>
  <si>
    <t xml:space="preserve">M/S LAXMI FERTILIZER </t>
  </si>
  <si>
    <t>9733431740</t>
  </si>
  <si>
    <t>Subrata Das Chowdhury</t>
  </si>
  <si>
    <t>Sar Beej Bhandar</t>
  </si>
  <si>
    <t>876168</t>
  </si>
  <si>
    <t>M/s. NEW LAXMI FERTILIZERS</t>
  </si>
  <si>
    <t>8207270798</t>
  </si>
  <si>
    <t>Rabi Pal</t>
  </si>
  <si>
    <t>2023-07-08</t>
  </si>
  <si>
    <t>M/S KARTIK CHANDRA BARMAN</t>
  </si>
  <si>
    <t>2024-11-16</t>
  </si>
  <si>
    <t>1132426</t>
  </si>
  <si>
    <t>M/S KRISHI DISHA</t>
  </si>
  <si>
    <t>6294430316</t>
  </si>
  <si>
    <t>M/S CHAND MOHAMMED</t>
  </si>
  <si>
    <t>M/S ASERA KHATUN</t>
  </si>
  <si>
    <t>2022-07-22</t>
  </si>
  <si>
    <t>M/s AFIF FERTILIZER</t>
  </si>
  <si>
    <t>1084859</t>
  </si>
  <si>
    <t>M/S PADMA LOCHAN ROY</t>
  </si>
  <si>
    <t>M/S SIRAJUDDIN AHAMED</t>
  </si>
  <si>
    <t>ABDUL KALAM</t>
  </si>
  <si>
    <t>TAJMUL ALI</t>
  </si>
  <si>
    <t>SUHANA KRISHI BHANDAR</t>
  </si>
  <si>
    <t>TAGIMUL HOQUE</t>
  </si>
  <si>
    <t>M/S. NIRENDRA NATH BARMAN</t>
  </si>
  <si>
    <t>2022-07-14</t>
  </si>
  <si>
    <t>G.M. ASIK IQBAL</t>
  </si>
  <si>
    <t>2024-11-04</t>
  </si>
  <si>
    <t>SAMIR MAHAMAD</t>
  </si>
  <si>
    <t>JITENDRA NATH ROY</t>
  </si>
  <si>
    <t>M/S. CHOWDHURY FERTILIZER</t>
  </si>
  <si>
    <t>B.S.K.U.S.L</t>
  </si>
  <si>
    <t>ABDUL KAFI</t>
  </si>
  <si>
    <t>HEM CHANDRA BHOWMIK</t>
  </si>
  <si>
    <t>NAODA AGRICULTURE WELFARE SOCI</t>
  </si>
  <si>
    <t>ASRAFI BEEJ BHANDAR</t>
  </si>
  <si>
    <t>TARIKH FERTILIZER</t>
  </si>
  <si>
    <t>MOHAMMAD MUSA</t>
  </si>
  <si>
    <t>MD MIZANUR RAHAMAN</t>
  </si>
  <si>
    <t>SUNRISE KRISHI BHANDAR</t>
  </si>
  <si>
    <t xml:space="preserve">MIRA FERTILIZER PESTICIDES </t>
  </si>
  <si>
    <t>2025-07-21</t>
  </si>
  <si>
    <t>M/S RAMNARAYAN PRASAD GUPTA</t>
  </si>
  <si>
    <t>2020-11-18</t>
  </si>
  <si>
    <t>1071594</t>
  </si>
  <si>
    <t>Litan Dey</t>
  </si>
  <si>
    <t>Sima Dutta (Das)</t>
  </si>
  <si>
    <t>Bijon Banarjee</t>
  </si>
  <si>
    <t>TAFAZUL ALAM</t>
  </si>
  <si>
    <t>2024-10-02</t>
  </si>
  <si>
    <t>1265553</t>
  </si>
  <si>
    <t>M/S TARA MAA BEEJ BHANDAR</t>
  </si>
  <si>
    <t>8250390783</t>
  </si>
  <si>
    <t>Md. Nasim Ahamed</t>
  </si>
  <si>
    <t>2025-05-24</t>
  </si>
  <si>
    <t>M/S GALIB HUSSAIN</t>
  </si>
  <si>
    <t>VIVEKANANDA SKUS LTD</t>
  </si>
  <si>
    <t>M/S S.P. ENTERPRISES</t>
  </si>
  <si>
    <t>M/S UJJAL DATTA</t>
  </si>
  <si>
    <t>M/S BIMAL KUMAR BISWAS</t>
  </si>
  <si>
    <t>2021-12-06</t>
  </si>
  <si>
    <t>Dipak Fertilizer</t>
  </si>
  <si>
    <t>2025-02-01</t>
  </si>
  <si>
    <t>M/S DITYA ENTERPRISE</t>
  </si>
  <si>
    <t xml:space="preserve">M/S AHAMAD RAJA </t>
  </si>
  <si>
    <t>M/S MOHAMMAD SHAMIM AKHTER</t>
  </si>
  <si>
    <t>2024-12-12</t>
  </si>
  <si>
    <t>BASU ENTERPRISE</t>
  </si>
  <si>
    <t>M/S MANJUR ALAM</t>
  </si>
  <si>
    <t>M/S KARUNA SAR BHANDAR</t>
  </si>
  <si>
    <t>Faijul Khan</t>
  </si>
  <si>
    <t>2025-10-25</t>
  </si>
  <si>
    <t>2023-01-01</t>
  </si>
  <si>
    <t>Haradhan Paul</t>
  </si>
  <si>
    <t>ISMAIL HOQUE</t>
  </si>
  <si>
    <t>MD ABDUR RASHID</t>
  </si>
  <si>
    <t>M/S SAHIL AZAD FARTILIZER SHOP</t>
  </si>
  <si>
    <t>8927726054</t>
  </si>
  <si>
    <t>281210</t>
  </si>
  <si>
    <t>Monsur Alam Azad</t>
  </si>
  <si>
    <t>MUKTA DAS</t>
  </si>
  <si>
    <t>Talebur Rahaman</t>
  </si>
  <si>
    <t>Anil Mondal</t>
  </si>
  <si>
    <t>Durgapur Skus Ltd</t>
  </si>
  <si>
    <t>2022-07-21</t>
  </si>
  <si>
    <t>2021-11-28</t>
  </si>
  <si>
    <t>1161963</t>
  </si>
  <si>
    <t>M/S PANDEY AND SONS</t>
  </si>
  <si>
    <t>9614822447</t>
  </si>
  <si>
    <t>Pradyut Biswas</t>
  </si>
  <si>
    <t>1086899</t>
  </si>
  <si>
    <t>2024-12-01</t>
  </si>
  <si>
    <t>SHIB SANKAR SAHA</t>
  </si>
  <si>
    <t>1606985</t>
  </si>
  <si>
    <t>Romijuddin Ahammed</t>
  </si>
  <si>
    <t>Ful Mahammed</t>
  </si>
  <si>
    <t>1088936</t>
  </si>
  <si>
    <t>KARUNA SAR BHANDER</t>
  </si>
  <si>
    <t>9851734399</t>
  </si>
  <si>
    <t>Anjali Ghosh</t>
  </si>
  <si>
    <t>M/S NIKHIL MAHALDAR</t>
  </si>
  <si>
    <t>SISHIR KUMAR SARKAR</t>
  </si>
  <si>
    <t>AMINUL ISLAM</t>
  </si>
  <si>
    <t>2025-11-01</t>
  </si>
  <si>
    <t>MINTU CHANDRA DAS</t>
  </si>
  <si>
    <t>M/S FAJILUDDIN AHAMMAD</t>
  </si>
  <si>
    <t>M/S. CHANDAN KR DEBNATH</t>
  </si>
  <si>
    <t>HABIBUR RAHAMAN</t>
  </si>
  <si>
    <t>M/S. KISHAN SATHI</t>
  </si>
  <si>
    <t>BAREN CHANDRA SARKAR</t>
  </si>
  <si>
    <t>PABITRA BARMAN</t>
  </si>
  <si>
    <t>RENU KHATUN</t>
  </si>
  <si>
    <t>ABUL KASHIM</t>
  </si>
  <si>
    <t>PRADIP ROY</t>
  </si>
  <si>
    <t>SUNIL CHANDRA KARMAKAR</t>
  </si>
  <si>
    <t>IMRAN HOSSAIN</t>
  </si>
  <si>
    <t>HAMEDUR RAHAMAN</t>
  </si>
  <si>
    <t>1000521</t>
  </si>
  <si>
    <t>AFIZUDDIN AHAMMED</t>
  </si>
  <si>
    <t>6297251857</t>
  </si>
  <si>
    <t>SAMSUL HOQUE</t>
  </si>
  <si>
    <t>2022-08-24</t>
  </si>
  <si>
    <t>MASUD ALI</t>
  </si>
  <si>
    <t>MOHD. MASUD RAJI</t>
  </si>
  <si>
    <t>M/S HUMAYUN ALAM</t>
  </si>
  <si>
    <t>ABUL KALAM AJAD</t>
  </si>
  <si>
    <t>M/S NIMAI ROY</t>
  </si>
  <si>
    <t>1082772</t>
  </si>
  <si>
    <t>M/S NEPAL CHANDRA ROY</t>
  </si>
  <si>
    <t>2022-10-23</t>
  </si>
  <si>
    <t>ABDUL KADER</t>
  </si>
  <si>
    <t>2022-10-29</t>
  </si>
  <si>
    <t>1082774</t>
  </si>
  <si>
    <t>PITAMBAR AGARWALA</t>
  </si>
  <si>
    <t>9932496601</t>
  </si>
  <si>
    <t>M/S MAHAMMAD HOSSAIN</t>
  </si>
  <si>
    <t>NAJMUL HOQUE</t>
  </si>
  <si>
    <t>M/S ASHADUL HAQUE</t>
  </si>
  <si>
    <t>M/S GOBINDA BISWAS</t>
  </si>
  <si>
    <t>JIAUL HOQUE</t>
  </si>
  <si>
    <t>M/S MITHUN MANDAL</t>
  </si>
  <si>
    <t>KANTI BASAK</t>
  </si>
  <si>
    <t>M/S NAJIBUL ISLAM</t>
  </si>
  <si>
    <t>DEBASHISH DAS</t>
  </si>
  <si>
    <t>TUSHAR KANTI CHOWDHURY</t>
  </si>
  <si>
    <t>SHIBENDU PRAMANIK</t>
  </si>
  <si>
    <t>AJIJUR RAHAMAN</t>
  </si>
  <si>
    <t>PANCHANAN PAUL</t>
  </si>
  <si>
    <t>2023-03-21</t>
  </si>
  <si>
    <t>M/S ABDUL OHAB</t>
  </si>
  <si>
    <t>IMRUL KAYESH</t>
  </si>
  <si>
    <t>KAMALUDDIN AHAMED</t>
  </si>
  <si>
    <t>ABDUL MAJID</t>
  </si>
  <si>
    <t>2024-10-07</t>
  </si>
  <si>
    <t>AMJADUL HAQUE</t>
  </si>
  <si>
    <t>M/S ABUL BASAR</t>
  </si>
  <si>
    <t>AKTAR SHAR BHANDER</t>
  </si>
  <si>
    <t>M/S SAJIRUL HAQUE</t>
  </si>
  <si>
    <t>TAJ SHAR BHANDER</t>
  </si>
  <si>
    <t>ARUN DHAR</t>
  </si>
  <si>
    <t>M/S BIJAY SARKAR</t>
  </si>
  <si>
    <t>PARIMAL BARMAN</t>
  </si>
  <si>
    <t>2023-03-20</t>
  </si>
  <si>
    <t>KALAL SAR BHANDER</t>
  </si>
  <si>
    <t>M/S UMA SARKAR</t>
  </si>
  <si>
    <t>M/S NIBEDITA FERTILIER</t>
  </si>
  <si>
    <t>1265559</t>
  </si>
  <si>
    <t>JOSIMUDDIN SARKAR AND TAJIRUDD</t>
  </si>
  <si>
    <t>P.K.ENTERPRISE</t>
  </si>
  <si>
    <t>SARKAR BROTHERS FERTILIZER</t>
  </si>
  <si>
    <t>M/S NIMAI MANDAL</t>
  </si>
  <si>
    <t>NAJRUR SAAR BHANDAR</t>
  </si>
  <si>
    <t>AHAMMED FERTILIZER</t>
  </si>
  <si>
    <t>SAHADAT FERTILIZER</t>
  </si>
  <si>
    <t>2025-05-06</t>
  </si>
  <si>
    <t>1138640</t>
  </si>
  <si>
    <t>SUNIL CHANDRA BISWAS</t>
  </si>
  <si>
    <t>8759855029</t>
  </si>
  <si>
    <t>AJIM FERTILIZER</t>
  </si>
  <si>
    <t>Kaliaganj</t>
  </si>
  <si>
    <t>Buddhadeb Sarkar</t>
  </si>
  <si>
    <t>Fatepur Skus Ltd</t>
  </si>
  <si>
    <t>Fulatti Skus Ltd</t>
  </si>
  <si>
    <t>Shyamal Baishya</t>
  </si>
  <si>
    <t>Soumen Kundu</t>
  </si>
  <si>
    <t>Shiva Roy</t>
  </si>
  <si>
    <t>Pradip Kumar Sarkar</t>
  </si>
  <si>
    <t>1102258</t>
  </si>
  <si>
    <t>KALIAGANJ KRISH GHORE</t>
  </si>
  <si>
    <t>9547474206</t>
  </si>
  <si>
    <t>Kobaj Ali</t>
  </si>
  <si>
    <t>Debabrata Dutt</t>
  </si>
  <si>
    <t>M/S Muktarul Islam</t>
  </si>
  <si>
    <t>M/S Anupam Sarkar</t>
  </si>
  <si>
    <t>2022-09-30</t>
  </si>
  <si>
    <t>JITENDRA NATH SARKAR</t>
  </si>
  <si>
    <t>949278</t>
  </si>
  <si>
    <t>M/S TAIMUR AHAMED</t>
  </si>
  <si>
    <t>333141</t>
  </si>
  <si>
    <t>Biswjit Kundu</t>
  </si>
  <si>
    <t>7001510217</t>
  </si>
  <si>
    <t>M/S NAJBUL HOQUE</t>
  </si>
  <si>
    <t>MANGLA ROY</t>
  </si>
  <si>
    <t>M/S. BISWADEB SARKAR</t>
  </si>
  <si>
    <t>BUDHU ROY</t>
  </si>
  <si>
    <t>M/s. KRISHI BHANDER</t>
  </si>
  <si>
    <t>MIJANUR HOQUE</t>
  </si>
  <si>
    <t>AINUL HAQUE</t>
  </si>
  <si>
    <t>NEPAL CHANDRA SAHA</t>
  </si>
  <si>
    <t>NIRMA DEBSARMA</t>
  </si>
  <si>
    <t>KALYAGANJ KUPC LTD</t>
  </si>
  <si>
    <t>2024-12-27</t>
  </si>
  <si>
    <t>RANI FERTILIZER</t>
  </si>
  <si>
    <t>AKRAM FERTILIZER</t>
  </si>
  <si>
    <t>WALIOR RAHAMAN</t>
  </si>
  <si>
    <t>Karandighi</t>
  </si>
  <si>
    <t>Majibur Rehman</t>
  </si>
  <si>
    <t>Santi Ranjan Singha</t>
  </si>
  <si>
    <t>M/S. Raj Lakshmi Sar Bhander</t>
  </si>
  <si>
    <t>Lakhan Maitra</t>
  </si>
  <si>
    <t>PRANAB FERTILIZER</t>
  </si>
  <si>
    <t>MANOJ AGARWALA</t>
  </si>
  <si>
    <t>M/S. Md. Mafiz Alam</t>
  </si>
  <si>
    <t>M/S MD.JAMIM AKHTAR</t>
  </si>
  <si>
    <t>M/S-BABUL KUMAR SAHA</t>
  </si>
  <si>
    <t>MD KHALID HOSSAIN</t>
  </si>
  <si>
    <t>M/S SHILA SINHA</t>
  </si>
  <si>
    <t>HAQUE FERTILIZERS</t>
  </si>
  <si>
    <t>2023-03-25</t>
  </si>
  <si>
    <t>310820</t>
  </si>
  <si>
    <t xml:space="preserve"> Balajee Agro Centre</t>
  </si>
  <si>
    <t>9064874336</t>
  </si>
  <si>
    <t>M/S MD ANADUL HAQUE</t>
  </si>
  <si>
    <t>ALI ENTERPRISE</t>
  </si>
  <si>
    <t>2024-07-29</t>
  </si>
  <si>
    <t>KRISHI BAHAR AGRO ENTERPRISE</t>
  </si>
  <si>
    <t>M/S BAIJ NATH YADAV</t>
  </si>
  <si>
    <t>Goutam Kumar Saha</t>
  </si>
  <si>
    <t>Parimal Chanda Das</t>
  </si>
  <si>
    <t>Pranab Narayan Shome</t>
  </si>
  <si>
    <t>7001328091</t>
  </si>
  <si>
    <t>Prasanta Kumar Mandal</t>
  </si>
  <si>
    <t>Sonabari  Uttar O Gobindapur S</t>
  </si>
  <si>
    <t>Habibur Rahaman</t>
  </si>
  <si>
    <t>Hekim Ali</t>
  </si>
  <si>
    <t>M/S LAXMI ENTERPRISE</t>
  </si>
  <si>
    <t>1335783</t>
  </si>
  <si>
    <t>7001660752</t>
  </si>
  <si>
    <t>MAA LAXMI SAR BHANDER</t>
  </si>
  <si>
    <t>Modak Sar Bhandar</t>
  </si>
  <si>
    <t>2025-05-04</t>
  </si>
  <si>
    <t>2024-08-03</t>
  </si>
  <si>
    <t>Gobinda Chandra  Paul</t>
  </si>
  <si>
    <t>RATAN KUMAR DEB</t>
  </si>
  <si>
    <t>9733114040</t>
  </si>
  <si>
    <t>Sabnam Fertiliser</t>
  </si>
  <si>
    <t>BAIDYANATH KUNDU</t>
  </si>
  <si>
    <t>8972807161</t>
  </si>
  <si>
    <t>SHYAMAL PAUL</t>
  </si>
  <si>
    <t>2023-03-14</t>
  </si>
  <si>
    <t>Shankar Mandal</t>
  </si>
  <si>
    <t>Maa Kali Sar Bhandar</t>
  </si>
  <si>
    <t>2024-04-25</t>
  </si>
  <si>
    <t>2023-03-17</t>
  </si>
  <si>
    <t>2025-06-19</t>
  </si>
  <si>
    <t>2024-09-23</t>
  </si>
  <si>
    <t>Sonali Sar Bhandar</t>
  </si>
  <si>
    <t>1036451</t>
  </si>
  <si>
    <t>PRANAB NARAYAN SHOME</t>
  </si>
  <si>
    <t>Ajit  Ghosh</t>
  </si>
  <si>
    <t>New  Laxmi Fertilizers</t>
  </si>
  <si>
    <t>Makul  Sarkar</t>
  </si>
  <si>
    <t>M/S. MAA LAXMI SAR BHANDER</t>
  </si>
  <si>
    <t>NOOR ALAM</t>
  </si>
  <si>
    <t>Mahim Mahato</t>
  </si>
  <si>
    <t>Ashim Sarkar</t>
  </si>
  <si>
    <t>1146104</t>
  </si>
  <si>
    <t>RAJA FERTILIZERS</t>
  </si>
  <si>
    <t>Sunendu Ghosh</t>
  </si>
  <si>
    <t>Sabbir Ali</t>
  </si>
  <si>
    <t>Osman Gani</t>
  </si>
  <si>
    <t>SHEPAL BISWAS</t>
  </si>
  <si>
    <t>M/S SAMAY SARKAR</t>
  </si>
  <si>
    <t>M/S Bodirud Zamal</t>
  </si>
  <si>
    <t>2025-11-02</t>
  </si>
  <si>
    <t>1049081</t>
  </si>
  <si>
    <t>ABU TAHIR</t>
  </si>
  <si>
    <t>9733293920</t>
  </si>
  <si>
    <t>M/S Abul Mahammad</t>
  </si>
  <si>
    <t>2024-11-19</t>
  </si>
  <si>
    <t>M/S ASHA ENTERPRISE</t>
  </si>
  <si>
    <t>M/S KRISHI BIPLAB</t>
  </si>
  <si>
    <t>M/S MAA TARA FERTLIZER WHOLESA</t>
  </si>
  <si>
    <t>M/S NOJRUL ISLAM</t>
  </si>
  <si>
    <t>M/S SULTANA FERTILIZER</t>
  </si>
  <si>
    <t>BIJOY RAHA</t>
  </si>
  <si>
    <t>M/S SANKAR SAR BEEJ BHANDER</t>
  </si>
  <si>
    <t>2026-02-08</t>
  </si>
  <si>
    <t>R.K.FERTILIZER and SEEDS</t>
  </si>
  <si>
    <t>UPADHAYAY FERILISER</t>
  </si>
  <si>
    <t>2019-07-29</t>
  </si>
  <si>
    <t>920966</t>
  </si>
  <si>
    <t>M/S. RATAN KUMAR DEB</t>
  </si>
  <si>
    <t>BISWAS SAR BHANDER</t>
  </si>
  <si>
    <t>2025-03-06</t>
  </si>
  <si>
    <t>2025-06-09</t>
  </si>
  <si>
    <t>ANIL DABNATH</t>
  </si>
  <si>
    <t>TULAN DAS</t>
  </si>
  <si>
    <t>268536</t>
  </si>
  <si>
    <t>M/s. A.Saha and Co.</t>
  </si>
  <si>
    <t>7908322991</t>
  </si>
  <si>
    <t>MAHATO FERTILIZER SHOP</t>
  </si>
  <si>
    <t>8145760033</t>
  </si>
  <si>
    <t>1292397</t>
  </si>
  <si>
    <t>JAHAR KUMAR DAS</t>
  </si>
  <si>
    <t>8250003688</t>
  </si>
  <si>
    <t>JOY BABA LOKNATH SAR BHANDER</t>
  </si>
  <si>
    <t>M/S HAQUE SAR BHANDAR</t>
  </si>
  <si>
    <t>SANKAR BARMAN</t>
  </si>
  <si>
    <t>SABITA SAHA ROY</t>
  </si>
  <si>
    <t>2021-09-07</t>
  </si>
  <si>
    <t>NRIPENDRA BISWAS</t>
  </si>
  <si>
    <t>2024-07-08</t>
  </si>
  <si>
    <t>M/S. MADHAB CH SARKAR</t>
  </si>
  <si>
    <t>DEY FERTILIZER</t>
  </si>
  <si>
    <t>1187545</t>
  </si>
  <si>
    <t>M/S TUSHAR KANTI AGARWALA</t>
  </si>
  <si>
    <t>BAPPY SARKAR</t>
  </si>
  <si>
    <t>2025-01-19</t>
  </si>
  <si>
    <t>2023-02-28</t>
  </si>
  <si>
    <t>625071</t>
  </si>
  <si>
    <t>9933571182</t>
  </si>
  <si>
    <t>2022-10-31</t>
  </si>
  <si>
    <t>2022-12-02</t>
  </si>
  <si>
    <t>M/S. GHOSH FERTILIZER CENTRE</t>
  </si>
  <si>
    <t>DAS SAR BHANDER</t>
  </si>
  <si>
    <t>M/s. MAHATO BEEJ BHANDER</t>
  </si>
  <si>
    <t>291329</t>
  </si>
  <si>
    <t>Noor Fert Agency</t>
  </si>
  <si>
    <t>9907316133</t>
  </si>
  <si>
    <t>M/S NOORI FERTILIZER</t>
  </si>
  <si>
    <t>SETABUL SEKH</t>
  </si>
  <si>
    <t>M/s. UJJAL DAS</t>
  </si>
  <si>
    <t>1258460</t>
  </si>
  <si>
    <t>M/S MAA TARA FERTILIZER WHOLES</t>
  </si>
  <si>
    <t>6294610027</t>
  </si>
  <si>
    <t>M/S NAJAR MOHAMMAD</t>
  </si>
  <si>
    <t>M/s. SUFAL SARKAR</t>
  </si>
  <si>
    <t>ALI SAR BHANDER</t>
  </si>
  <si>
    <t>SHYAMLAL PRAMANIK</t>
  </si>
  <si>
    <t>DURGA ROY</t>
  </si>
  <si>
    <t>AMIT FERTILIZER</t>
  </si>
  <si>
    <t>SHRIBAS DAS</t>
  </si>
  <si>
    <t>Ahammad rejaul hoque</t>
  </si>
  <si>
    <t>PARESH CHANDRA ROY</t>
  </si>
  <si>
    <t>M/s. SABUJ SAR BHANDER</t>
  </si>
  <si>
    <t>M/s. RADHA KANTA SAR BHANDAR</t>
  </si>
  <si>
    <t>2023-05-02</t>
  </si>
  <si>
    <t>281603</t>
  </si>
  <si>
    <t>M/S USHA FERTILISERS</t>
  </si>
  <si>
    <t>M/S. Krishi Ghar</t>
  </si>
  <si>
    <t>1084182</t>
  </si>
  <si>
    <t>KUNDU FERTILIZER</t>
  </si>
  <si>
    <t>1138638</t>
  </si>
  <si>
    <t>MAHATO FERTILIZER AND SEED</t>
  </si>
  <si>
    <t>RITU FERTILIZER</t>
  </si>
  <si>
    <t>2023-11-07</t>
  </si>
  <si>
    <t>2021-12-20</t>
  </si>
  <si>
    <t>SWARUP PAUL</t>
  </si>
  <si>
    <t>ASRAF SAR BHANDER</t>
  </si>
  <si>
    <t>MALEK FERTILIZER</t>
  </si>
  <si>
    <t>AMRIT KR BARMAN</t>
  </si>
  <si>
    <t>1000525</t>
  </si>
  <si>
    <t>ROY KRISHI BEEJ BHANDER</t>
  </si>
  <si>
    <t>8918953747</t>
  </si>
  <si>
    <t>M/s. SABUJ JYOTSNA</t>
  </si>
  <si>
    <t>De and Brother Fertilizer</t>
  </si>
  <si>
    <t>2023-02-01</t>
  </si>
  <si>
    <t>MANGLU BARMAN</t>
  </si>
  <si>
    <t>SIMA FERTILIZER</t>
  </si>
  <si>
    <t>2023-01-25</t>
  </si>
  <si>
    <t>2025-01-17</t>
  </si>
  <si>
    <t>2023-03-24</t>
  </si>
  <si>
    <t>BHABANI BARMAN</t>
  </si>
  <si>
    <t>REKHA SARKAR</t>
  </si>
  <si>
    <t>MAHAMMAD SAFIKUL</t>
  </si>
  <si>
    <t>2025-06-20</t>
  </si>
  <si>
    <t>Sujan Das</t>
  </si>
  <si>
    <t>2025-09-04</t>
  </si>
  <si>
    <t>M/S GONI MAHAMMAD</t>
  </si>
  <si>
    <t>2022-06-20</t>
  </si>
  <si>
    <t>LOKNATH KRISHI BHANDAR</t>
  </si>
  <si>
    <t>SUMAN SAR BHANDER</t>
  </si>
  <si>
    <t>2025-06-26</t>
  </si>
  <si>
    <t>M/S KALABATI AGRICULTURE</t>
  </si>
  <si>
    <t>2022-07-29</t>
  </si>
  <si>
    <t>M/S RAKHED ALI</t>
  </si>
  <si>
    <t>2021-12-19</t>
  </si>
  <si>
    <t>M/S SAHA SAR BHANDAR</t>
  </si>
  <si>
    <t>GUNADHAR BARMAN</t>
  </si>
  <si>
    <t>PRITI SAR BHANDER</t>
  </si>
  <si>
    <t>2024-02-06</t>
  </si>
  <si>
    <t>2024-03-06</t>
  </si>
  <si>
    <t>2023-12-24</t>
  </si>
  <si>
    <t>SARKAR KRISHI BHANDAR</t>
  </si>
  <si>
    <t>J P FERTILIZER</t>
  </si>
  <si>
    <t xml:space="preserve">KALICHARAN SARKAR AND PABITRA </t>
  </si>
  <si>
    <t>DEYS FERTILISER</t>
  </si>
  <si>
    <t>MAHATO SEEDS AND FERTILIZER</t>
  </si>
  <si>
    <t>RADHA KRISHNA GREEN HOUSE</t>
  </si>
  <si>
    <t>REHAN TRADERS</t>
  </si>
  <si>
    <t>M/S LOKNATH KRISHI BHANDAR</t>
  </si>
  <si>
    <t xml:space="preserve">SARKAR FERTILIZER </t>
  </si>
  <si>
    <t xml:space="preserve">RAMIZ FERTILIZER </t>
  </si>
  <si>
    <t>Bikash Fertiliser</t>
  </si>
  <si>
    <t>Tarun Kanti Ghosh</t>
  </si>
  <si>
    <t>Jahar Kumar Das</t>
  </si>
  <si>
    <t>2026-01-12</t>
  </si>
  <si>
    <t>Parimaldam</t>
  </si>
  <si>
    <t>Ramesh Chandra   Debnath</t>
  </si>
  <si>
    <t>2024-10-19</t>
  </si>
  <si>
    <t>SALIM ALI</t>
  </si>
  <si>
    <t>M/S BAREN CHANDRA  SARKAR</t>
  </si>
  <si>
    <t>M/S. NARGIS BEGAM</t>
  </si>
  <si>
    <t>2019-12-30</t>
  </si>
  <si>
    <t>MAJIJUR RAHAMAN</t>
  </si>
  <si>
    <t>2021-07-05</t>
  </si>
  <si>
    <t>SAMSUDDIN AHAMMAD</t>
  </si>
  <si>
    <t>ABDUL RAZZAK</t>
  </si>
  <si>
    <t>AJIMUDDIN AHAMMAD</t>
  </si>
  <si>
    <t>NANDALAL BARMAN</t>
  </si>
  <si>
    <t>M/S BABIB and PESTICIDES</t>
  </si>
  <si>
    <t>GARIB NAWAZ FERTILIZER</t>
  </si>
  <si>
    <t>KHUSHI FERTILIZER</t>
  </si>
  <si>
    <t>Balagarh</t>
  </si>
  <si>
    <t>Samar Sandhukhan</t>
  </si>
  <si>
    <t>M/S Dibakar Sarkar</t>
  </si>
  <si>
    <t>260249</t>
  </si>
  <si>
    <t>Debi Prasad Mondal</t>
  </si>
  <si>
    <t>9153032645</t>
  </si>
  <si>
    <t>2025-05-08</t>
  </si>
  <si>
    <t>M/S Swapan Kumar Ghosh</t>
  </si>
  <si>
    <t>2021-05-23</t>
  </si>
  <si>
    <t>937806</t>
  </si>
  <si>
    <t>NIRMAL KUMAR MONDAL</t>
  </si>
  <si>
    <t>9474107277</t>
  </si>
  <si>
    <t>M/S Swapan Ghosh</t>
  </si>
  <si>
    <t>UPANANDA FERTILIZER</t>
  </si>
  <si>
    <t>NARAYAN CHADRA MONDAL</t>
  </si>
  <si>
    <t>GHOSH BROTHERS</t>
  </si>
  <si>
    <t>ASHIM SADHUKHAN</t>
  </si>
  <si>
    <t>2021-06-09</t>
  </si>
  <si>
    <t>BISWAJIT HALDAR</t>
  </si>
  <si>
    <t>Chanditala - I</t>
  </si>
  <si>
    <t>M/S SUFAL KRISHI SAMBHAR</t>
  </si>
  <si>
    <t>1292419</t>
  </si>
  <si>
    <t>SRI KRISHNA FERTILISER</t>
  </si>
  <si>
    <t>9875670675</t>
  </si>
  <si>
    <t>PRASANTA KHAN</t>
  </si>
  <si>
    <t>Chanditala - II</t>
  </si>
  <si>
    <t>New Durgamata Fertiliser</t>
  </si>
  <si>
    <t>SANJOY KOLEY</t>
  </si>
  <si>
    <t>Dhaniakhali</t>
  </si>
  <si>
    <t>Jerur Skus Ltd</t>
  </si>
  <si>
    <t>9434415683</t>
  </si>
  <si>
    <t>1065092</t>
  </si>
  <si>
    <t>JERUR SKUS LTD</t>
  </si>
  <si>
    <t>Dasharathi Ghosh</t>
  </si>
  <si>
    <t>Rabindra Nath Modak and Bros.</t>
  </si>
  <si>
    <t>260240</t>
  </si>
  <si>
    <t>KEDAR NATH BHAKAT SONS</t>
  </si>
  <si>
    <t>9083620937</t>
  </si>
  <si>
    <t>Uday Ghosh</t>
  </si>
  <si>
    <t>Manoranjan Krishi Bipani</t>
  </si>
  <si>
    <t xml:space="preserve"> Jamaluddin Molla</t>
  </si>
  <si>
    <t>888411</t>
  </si>
  <si>
    <t>Sk. Masud Ali</t>
  </si>
  <si>
    <t>342343</t>
  </si>
  <si>
    <t>SUNITI KUMAR MUKHOPADHYAY</t>
  </si>
  <si>
    <t>M/S SRIKRISHNA TRADERS</t>
  </si>
  <si>
    <t>Gopinath Das</t>
  </si>
  <si>
    <t>New Satyanarayan Krishi Bhanda</t>
  </si>
  <si>
    <t>9433127075</t>
  </si>
  <si>
    <t>260246</t>
  </si>
  <si>
    <t>Bikas Chandra Bhandari</t>
  </si>
  <si>
    <t>Chittaranjan Dey</t>
  </si>
  <si>
    <t>Jayata Kumar Rakshit</t>
  </si>
  <si>
    <t>Pravat Kumar Chatterjee</t>
  </si>
  <si>
    <t>2023-12-11</t>
  </si>
  <si>
    <t>Satya Narayan Krishi Bhander</t>
  </si>
  <si>
    <t>Md. Rafik Mondal</t>
  </si>
  <si>
    <t>KRISHI PRAGATI</t>
  </si>
  <si>
    <t>M/S SASTI RAM GHOSH</t>
  </si>
  <si>
    <t>M/S MALLICK KRISHI BHANDAR</t>
  </si>
  <si>
    <t>2024-12-02</t>
  </si>
  <si>
    <t>SURESH CHANDRA DAS</t>
  </si>
  <si>
    <t>SHANKARBABAKRISHI AND BIJ BHAN</t>
  </si>
  <si>
    <t>2025-08-12</t>
  </si>
  <si>
    <t>S KRISHI BHANDAR</t>
  </si>
  <si>
    <t>2025-06-13</t>
  </si>
  <si>
    <t>RABINDRANATH DAS SAR SHOP</t>
  </si>
  <si>
    <t>Jangipara</t>
  </si>
  <si>
    <t>PRADIP KUMAR SEN</t>
  </si>
  <si>
    <t>2023-11-13</t>
  </si>
  <si>
    <t>PRODYUT CHAKRABARTY</t>
  </si>
  <si>
    <t>SAMAR PAL</t>
  </si>
  <si>
    <t>BIPLAB SINGHA ROY</t>
  </si>
  <si>
    <t>HARADHAN SABUI</t>
  </si>
  <si>
    <t>MA RAJBALLAVI KRISHI BHANDAR</t>
  </si>
  <si>
    <t>CHANDRANATH HAZRA</t>
  </si>
  <si>
    <t>Khanakul - I</t>
  </si>
  <si>
    <t>Chabbispur Skus Ltd</t>
  </si>
  <si>
    <t>269264</t>
  </si>
  <si>
    <t xml:space="preserve">Goghat Thana L/S PCAMS Ltd </t>
  </si>
  <si>
    <t>9563200492</t>
  </si>
  <si>
    <t>Shyamal Khamrui</t>
  </si>
  <si>
    <t>SRIKANTA RANA</t>
  </si>
  <si>
    <t>Khanakul - II</t>
  </si>
  <si>
    <t>SHATABDI SHOW</t>
  </si>
  <si>
    <t>2022-11-27</t>
  </si>
  <si>
    <t>1083982</t>
  </si>
  <si>
    <t>Kumar Fertilizer</t>
  </si>
  <si>
    <t>9734379245</t>
  </si>
  <si>
    <t>DIBYENDU BERA</t>
  </si>
  <si>
    <t>Pandua</t>
  </si>
  <si>
    <t>Satinath Sarkar</t>
  </si>
  <si>
    <t>1444440</t>
  </si>
  <si>
    <t>M/S SADHUKHAN TRADERS</t>
  </si>
  <si>
    <t>9434301601</t>
  </si>
  <si>
    <t>Saomnath Ghosh</t>
  </si>
  <si>
    <t>Sankar Prosad Kumar</t>
  </si>
  <si>
    <t>Pannalal Das</t>
  </si>
  <si>
    <t>2022-10-21</t>
  </si>
  <si>
    <t>2023-01-30</t>
  </si>
  <si>
    <t>Tapas Kumar Banerjee</t>
  </si>
  <si>
    <t>1095867</t>
  </si>
  <si>
    <t>8670226902</t>
  </si>
  <si>
    <t>M/S KRISHI DARSHAN</t>
  </si>
  <si>
    <t>soumen chattopadhaya</t>
  </si>
  <si>
    <t>RABINDRA NATH MITRA</t>
  </si>
  <si>
    <t>1304250</t>
  </si>
  <si>
    <t>KALIMATA ENTERPRISE</t>
  </si>
  <si>
    <t>9333994707</t>
  </si>
  <si>
    <t>Halder Fertilizer</t>
  </si>
  <si>
    <t>Rajesh Ghosh</t>
  </si>
  <si>
    <t>Shyamal Jana</t>
  </si>
  <si>
    <t>Sk.Basir Ahamed</t>
  </si>
  <si>
    <t>Nashirul Haque Sarkar</t>
  </si>
  <si>
    <t>2024-07-28</t>
  </si>
  <si>
    <t>260227</t>
  </si>
  <si>
    <t xml:space="preserve">Krishi Bipani </t>
  </si>
  <si>
    <t>9933482498</t>
  </si>
  <si>
    <t>2025-08-10</t>
  </si>
  <si>
    <t>Krishi Sathi</t>
  </si>
  <si>
    <t>Dayamay Ghosh</t>
  </si>
  <si>
    <t>Bhim Chandra Ghosh</t>
  </si>
  <si>
    <t>Kartick Chandra Santra</t>
  </si>
  <si>
    <t>BISWAJIT PAL</t>
  </si>
  <si>
    <t>7872560091</t>
  </si>
  <si>
    <t>845555</t>
  </si>
  <si>
    <t>HEMANTA SASMAL</t>
  </si>
  <si>
    <t>DILIP HALDER</t>
  </si>
  <si>
    <t>MD. FIROJE MONDAL</t>
  </si>
  <si>
    <t>921653</t>
  </si>
  <si>
    <t>PROVAS CHAL</t>
  </si>
  <si>
    <t>9635259885</t>
  </si>
  <si>
    <t>SK AMINUR RAHAMAN</t>
  </si>
  <si>
    <t>KEDAR NATH DAS</t>
  </si>
  <si>
    <t>KUNDU FERTILISER</t>
  </si>
  <si>
    <t>MAA KALI KRISHI BHANDER</t>
  </si>
  <si>
    <t>SK KRISHI BHANDER</t>
  </si>
  <si>
    <t>270282</t>
  </si>
  <si>
    <t>Khan Fertilizers</t>
  </si>
  <si>
    <t>7699668433</t>
  </si>
  <si>
    <t>Pursura</t>
  </si>
  <si>
    <t>Sukhendu Ghosh</t>
  </si>
  <si>
    <t>NARAYAN MIDDE</t>
  </si>
  <si>
    <t>2023-08-12</t>
  </si>
  <si>
    <t>Serampur Uttarpara</t>
  </si>
  <si>
    <t>M/S Biganananda Krishi Bhandar</t>
  </si>
  <si>
    <t>M/S Abu Sufian Sarkar</t>
  </si>
  <si>
    <t>M/S Maa Monsha Fertilizer</t>
  </si>
  <si>
    <t>M/S Krishbandhu Stores</t>
  </si>
  <si>
    <t>Singur</t>
  </si>
  <si>
    <t>Balarampur Laskarpur Skus Ltd.</t>
  </si>
  <si>
    <t>Noapara Skus Ltd.</t>
  </si>
  <si>
    <t>Pahalampur Skus Ltd.</t>
  </si>
  <si>
    <t>Aloke Koley</t>
  </si>
  <si>
    <t>Ramesh Chandra Das</t>
  </si>
  <si>
    <t>M/S Pradip Kumar Das</t>
  </si>
  <si>
    <t>M/S Taramaa Krish Bhander</t>
  </si>
  <si>
    <t>NARAYAN KOLEY</t>
  </si>
  <si>
    <t>M/S Ranjit Kokey</t>
  </si>
  <si>
    <t>M/s.Gopinath Koley</t>
  </si>
  <si>
    <t>SOUMEN PATRA</t>
  </si>
  <si>
    <t>SRICHARAN DAS</t>
  </si>
  <si>
    <t>MAHAPRABHU KRISHI BHANDAR</t>
  </si>
  <si>
    <t>2025-01-10</t>
  </si>
  <si>
    <t>Dilip Kumar Mallick</t>
  </si>
  <si>
    <t>SINGURKRISHOK KALYAN AGRO PROD</t>
  </si>
  <si>
    <t>GREEN FRIENDS SHOP</t>
  </si>
  <si>
    <t>Tarakeswar</t>
  </si>
  <si>
    <t>Dilip Chakrobortty</t>
  </si>
  <si>
    <t>SUSANTA SAMANTA</t>
  </si>
  <si>
    <t>HEMANTA HAZRA</t>
  </si>
  <si>
    <t>MAHAPRABHU FERTILISER</t>
  </si>
  <si>
    <t>1541649</t>
  </si>
  <si>
    <t>KUMAR AGRO INPUT</t>
  </si>
  <si>
    <t>6297930583</t>
  </si>
  <si>
    <t>Melki Skus Ltd</t>
  </si>
  <si>
    <t>Ashok Kumar Patra</t>
  </si>
  <si>
    <t>Krishi Sri</t>
  </si>
  <si>
    <t>Murari Mohan Goswami</t>
  </si>
  <si>
    <t>Lakshman Bag</t>
  </si>
  <si>
    <t>Urbara Traders</t>
  </si>
  <si>
    <t>2020-06-18</t>
  </si>
  <si>
    <t>294837</t>
  </si>
  <si>
    <t>Dharma Das Roy</t>
  </si>
  <si>
    <t>9474172444</t>
  </si>
  <si>
    <t>Gopal Chandra Pal</t>
  </si>
  <si>
    <t>Ranjit Kumar Pan</t>
  </si>
  <si>
    <t>9831143479</t>
  </si>
  <si>
    <t>2022-04-02</t>
  </si>
  <si>
    <t>260223</t>
  </si>
  <si>
    <t xml:space="preserve">Ranjit Kumar Pan              </t>
  </si>
  <si>
    <t>BISWANATH DEY</t>
  </si>
  <si>
    <t>2021-02-03</t>
  </si>
  <si>
    <t>2021-01-25</t>
  </si>
  <si>
    <t>SUVRAJIT SAMANTA</t>
  </si>
  <si>
    <t>SHYAMSUNDAR ADHIKARY</t>
  </si>
  <si>
    <t>2019-12-26</t>
  </si>
  <si>
    <t>269333</t>
  </si>
  <si>
    <t>Ma Durga Fetilizer</t>
  </si>
  <si>
    <t>9733686470</t>
  </si>
  <si>
    <t>RANAJIT DE</t>
  </si>
  <si>
    <t>PRANOY GHOSH</t>
  </si>
  <si>
    <t>VIVEKANANDA AGRO COMPLEX</t>
  </si>
  <si>
    <t>Amta - I</t>
  </si>
  <si>
    <t>Atanu Koley</t>
  </si>
  <si>
    <t>TARA MAA FERTILISERS</t>
  </si>
  <si>
    <t>Amta - II</t>
  </si>
  <si>
    <t>M/S MAHAPRABHU FERTILIZER</t>
  </si>
  <si>
    <t>M/S SHRIDHARNATH FARTILIZER</t>
  </si>
  <si>
    <t>Bagnan - I</t>
  </si>
  <si>
    <t>Adhya Sar Bikray Shop</t>
  </si>
  <si>
    <t>Bagnan - II</t>
  </si>
  <si>
    <t>KALIMATA FERTILISER</t>
  </si>
  <si>
    <t xml:space="preserve"> M/S KAR FERTILISER</t>
  </si>
  <si>
    <t>ADAK FERTILIZERS</t>
  </si>
  <si>
    <t>Udaynarayanpur</t>
  </si>
  <si>
    <t>Krishi Bhandar</t>
  </si>
  <si>
    <t>332107</t>
  </si>
  <si>
    <t>Uluberia - I</t>
  </si>
  <si>
    <t>SANTANU PAL</t>
  </si>
  <si>
    <t>Dhupguri</t>
  </si>
  <si>
    <t>M/S BHAI BHAI BEEJ BHANDAR</t>
  </si>
  <si>
    <t>Bimal Chandra Roy</t>
  </si>
  <si>
    <t>M/S SUJIT FERTILIZER</t>
  </si>
  <si>
    <t>Maa Lakshmi Fertilisers</t>
  </si>
  <si>
    <t>2023-11-18</t>
  </si>
  <si>
    <t>1102246</t>
  </si>
  <si>
    <t>MAA SARADA KRISHI BHANDAR</t>
  </si>
  <si>
    <t>7001049430</t>
  </si>
  <si>
    <t>SABUJ MAHAL</t>
  </si>
  <si>
    <t>2024-01-12</t>
  </si>
  <si>
    <t>646084</t>
  </si>
  <si>
    <t>NARAYAN CHANDRA DHAR</t>
  </si>
  <si>
    <t>9832375165</t>
  </si>
  <si>
    <t>NIRNALA BEEJ BHANDAR</t>
  </si>
  <si>
    <t>Sudeb Dutta and Trading</t>
  </si>
  <si>
    <t xml:space="preserve"> M/S ALAM FERTILIZER</t>
  </si>
  <si>
    <t>2023-12-06</t>
  </si>
  <si>
    <t>2023-12-26</t>
  </si>
  <si>
    <t>2023-12-29</t>
  </si>
  <si>
    <t>M/S CHANDRA BEEJ BHANDAR</t>
  </si>
  <si>
    <t>1286098</t>
  </si>
  <si>
    <t>DUTTA ENTERPRISE</t>
  </si>
  <si>
    <t>9832365365</t>
  </si>
  <si>
    <t>SANTOSH BEEJ BHANDAR</t>
  </si>
  <si>
    <t>2023-05-17</t>
  </si>
  <si>
    <t>HAZI FERTILIZER</t>
  </si>
  <si>
    <t>Ankur Krishi Bhandar</t>
  </si>
  <si>
    <t>HAZI KRISHI BHANDAR</t>
  </si>
  <si>
    <t>2023-11-11</t>
  </si>
  <si>
    <t>M/S Jagat Bandhu Fertilizers</t>
  </si>
  <si>
    <t>939071</t>
  </si>
  <si>
    <t>M/S ANNAPURNA KRISHI BHANDAR</t>
  </si>
  <si>
    <t>9749004017</t>
  </si>
  <si>
    <t>Rana Prasad Sarkar</t>
  </si>
  <si>
    <t>1320424</t>
  </si>
  <si>
    <t>Roy Beej Bhandar</t>
  </si>
  <si>
    <t>9749085045</t>
  </si>
  <si>
    <t>M/S Atul Chandra Saha</t>
  </si>
  <si>
    <t>9434151902</t>
  </si>
  <si>
    <t>222657</t>
  </si>
  <si>
    <t>Kalpana Beej Bhandar</t>
  </si>
  <si>
    <t>2020-10-25</t>
  </si>
  <si>
    <t>1019557</t>
  </si>
  <si>
    <t>M/S NEW DEEP KRISHI BHANDAR</t>
  </si>
  <si>
    <t>9434257790</t>
  </si>
  <si>
    <t>2020-11-09</t>
  </si>
  <si>
    <t>Jyotsna Fertilizer</t>
  </si>
  <si>
    <t>222661</t>
  </si>
  <si>
    <t>M/s. Dutta Krishi Bhandar</t>
  </si>
  <si>
    <t>8617691998</t>
  </si>
  <si>
    <t>KISHAN BEEJ BHANDAR</t>
  </si>
  <si>
    <t>ROY and SONS</t>
  </si>
  <si>
    <t>M/S JOY DURGA KRISHI BHANDAR</t>
  </si>
  <si>
    <t>2022-04-29</t>
  </si>
  <si>
    <t>1153940</t>
  </si>
  <si>
    <t>JALPAIGURI CHEMICALS</t>
  </si>
  <si>
    <t>9434412443</t>
  </si>
  <si>
    <t>2022-01-18</t>
  </si>
  <si>
    <t>BARMAN FERTLIZER</t>
  </si>
  <si>
    <t>268535</t>
  </si>
  <si>
    <t>M/S Arup Sarkar</t>
  </si>
  <si>
    <t>9932209752</t>
  </si>
  <si>
    <t>663873</t>
  </si>
  <si>
    <t>SUKHARANJAN SARKAR</t>
  </si>
  <si>
    <t>222656</t>
  </si>
  <si>
    <t>Kallol Fertilisers</t>
  </si>
  <si>
    <t>7384223335</t>
  </si>
  <si>
    <t>RAHAMAN KRISHI BHANDAR</t>
  </si>
  <si>
    <t>2021-11-26</t>
  </si>
  <si>
    <t>BINNABARI AGRO FERTILIZER</t>
  </si>
  <si>
    <t>ARUP SARKAR</t>
  </si>
  <si>
    <t>KRISHI BHANDAR</t>
  </si>
  <si>
    <t>214211</t>
  </si>
  <si>
    <t>Sri Balaji Krishi Bhandar</t>
  </si>
  <si>
    <t>9933393621</t>
  </si>
  <si>
    <t>The New Krishi Bhandar</t>
  </si>
  <si>
    <t>MUN MUN FERTILIZER</t>
  </si>
  <si>
    <t>RABINDRA SARKAR</t>
  </si>
  <si>
    <t>2021-12-30</t>
  </si>
  <si>
    <t>MAA DURGA KRISHI BHANDAR</t>
  </si>
  <si>
    <t>222659</t>
  </si>
  <si>
    <t>G.C. Enterprise</t>
  </si>
  <si>
    <t>9749271176</t>
  </si>
  <si>
    <t>RUPALI FERTILISER</t>
  </si>
  <si>
    <t>2019-12-17</t>
  </si>
  <si>
    <t>1144668</t>
  </si>
  <si>
    <t>8250897703</t>
  </si>
  <si>
    <t>MITRA FERTILIZER</t>
  </si>
  <si>
    <t>M/S SEN FERTILIZERS</t>
  </si>
  <si>
    <t>2025-05-23</t>
  </si>
  <si>
    <t>M/S PRIYA KRISHI BHANDAR</t>
  </si>
  <si>
    <t>2022-09-14</t>
  </si>
  <si>
    <t>1097532</t>
  </si>
  <si>
    <t>Puja Agro Chemicals</t>
  </si>
  <si>
    <t>9734970530</t>
  </si>
  <si>
    <t>MAGMOON KRISHI BEEJ BHANDAR</t>
  </si>
  <si>
    <t>VIJAYA SHANKAR PRASAD</t>
  </si>
  <si>
    <t>GREEN LIFE FERTILIZER</t>
  </si>
  <si>
    <t>SHAW FERTILIZERS</t>
  </si>
  <si>
    <t>MS Maa Tara Krishi Sandhan Ke</t>
  </si>
  <si>
    <t>AVAYA AGRO</t>
  </si>
  <si>
    <t>2023-10-28</t>
  </si>
  <si>
    <t>SIKDAR KRISHI BHANDAR</t>
  </si>
  <si>
    <t>Teesta Fertilizer</t>
  </si>
  <si>
    <t>New Baba Anandamurti Enterpris</t>
  </si>
  <si>
    <t>Ganesh Krishi Bhandar</t>
  </si>
  <si>
    <t>Dutta Krishi Udyog</t>
  </si>
  <si>
    <t>VIVEKANANDA  FERTILIZER</t>
  </si>
  <si>
    <t>1116321</t>
  </si>
  <si>
    <t>EVEREST FERTILIZER</t>
  </si>
  <si>
    <t>2023-12-09</t>
  </si>
  <si>
    <t>213285</t>
  </si>
  <si>
    <t>DURGA FERTILIZER</t>
  </si>
  <si>
    <t>PRASAD AGRO CHEMICALS</t>
  </si>
  <si>
    <t>QUADRI FERTILIZER</t>
  </si>
  <si>
    <t>JAYANTI FERTILIZER</t>
  </si>
  <si>
    <t>Dharmendra Singh</t>
  </si>
  <si>
    <t>M/S BISWAS BEEJ BHANDAR</t>
  </si>
  <si>
    <t>Tapas Das</t>
  </si>
  <si>
    <t>2021-09-28</t>
  </si>
  <si>
    <t>Krishi Kalyan</t>
  </si>
  <si>
    <t>KUMUD ROY</t>
  </si>
  <si>
    <t>MANGALA SUPPLY  AGENCIES PVT.</t>
  </si>
  <si>
    <t>385729</t>
  </si>
  <si>
    <t>Basak Krishi Ghar</t>
  </si>
  <si>
    <t>Dilip Mandal</t>
  </si>
  <si>
    <t>Gobinda Sarkar</t>
  </si>
  <si>
    <t xml:space="preserve"> M/S NIDHIR MANDAL</t>
  </si>
  <si>
    <t>Safiul Hakim</t>
  </si>
  <si>
    <t>M/S CHAKI KRISHI BHANDAR</t>
  </si>
  <si>
    <t>Dipendra Nath Roy</t>
  </si>
  <si>
    <t>M/S BANAMALI FERTILIZER</t>
  </si>
  <si>
    <t>Maa Laxmi Beej Bhandar</t>
  </si>
  <si>
    <t>Gitanjali Fertilizer</t>
  </si>
  <si>
    <t>Adarsha Beej Bhandar</t>
  </si>
  <si>
    <t>Upananda Roy</t>
  </si>
  <si>
    <t>2024-10-21</t>
  </si>
  <si>
    <t>KRISHI MAHAL</t>
  </si>
  <si>
    <t>KRISHI UDYAG</t>
  </si>
  <si>
    <t>SHYAM KRISHI BHANDAR</t>
  </si>
  <si>
    <t>268704</t>
  </si>
  <si>
    <t>Bijay Agarwala</t>
  </si>
  <si>
    <t>9932936450</t>
  </si>
  <si>
    <t>CHARU KRISHI BHANDAR</t>
  </si>
  <si>
    <t>KALU BABA KRISHI MAHAL</t>
  </si>
  <si>
    <t>JANUDDIN FERTILIZER</t>
  </si>
  <si>
    <t>SEN KRISHI BHANDAR</t>
  </si>
  <si>
    <t>M/S SABITRI KRISHI BHANDAR</t>
  </si>
  <si>
    <t>BAKUL MANDAL</t>
  </si>
  <si>
    <t>SEN KRISHI KALYANP</t>
  </si>
  <si>
    <t>M/S KAMAL ROY</t>
  </si>
  <si>
    <t>214213</t>
  </si>
  <si>
    <t>National Industries</t>
  </si>
  <si>
    <t>9641330052</t>
  </si>
  <si>
    <t>BARMAN KRISHI BHANDER</t>
  </si>
  <si>
    <t>BIJOY KUMAR ROY</t>
  </si>
  <si>
    <t>SAMBHU KRISHI BEEJ BHANDAR</t>
  </si>
  <si>
    <t>2022-09-20</t>
  </si>
  <si>
    <t>M/S RAM KRISHNA FERTILIZER</t>
  </si>
  <si>
    <t>M/S MAHALAXMI FERTILIZER</t>
  </si>
  <si>
    <t>M/S SHARMA KRISHI BHANDER</t>
  </si>
  <si>
    <t>Naxalbari</t>
  </si>
  <si>
    <t>Manajit Pal</t>
  </si>
  <si>
    <t>RATNA FERTILIZER</t>
  </si>
  <si>
    <t>PATHAK FERTILIZER</t>
  </si>
  <si>
    <t>BARAI FERTILIZER</t>
  </si>
  <si>
    <t>CHOUDHURY AGRO</t>
  </si>
  <si>
    <t>PAUL FERTILIZER</t>
  </si>
  <si>
    <t>SABRI FERTILIZER</t>
  </si>
  <si>
    <t>Raj Samim Enterprise</t>
  </si>
  <si>
    <t>SUSHIL KUMAR MONDAL</t>
  </si>
  <si>
    <t>MD AFSAR ALI</t>
  </si>
  <si>
    <t>TAMIM FERTILIZER</t>
  </si>
  <si>
    <t>ANJALI AGRO CHEMICALS</t>
  </si>
  <si>
    <t>ABDUL HAKIM FERTILIZER</t>
  </si>
  <si>
    <t xml:space="preserve">M/S KOUSHIK FERTILIZER </t>
  </si>
  <si>
    <t xml:space="preserve">ASHARAFI FERTILIZER </t>
  </si>
  <si>
    <t>SANJU AGRO ENTERPRISE</t>
  </si>
  <si>
    <t>M/S VERMIGRI</t>
  </si>
  <si>
    <t>AADYA SHAKTI ENTERPRISE</t>
  </si>
  <si>
    <t>Sarkar Agrochem and fertilizer</t>
  </si>
  <si>
    <t>NEW SARKAR KRISHI BHANDAR</t>
  </si>
  <si>
    <t>Manjina Khatun</t>
  </si>
  <si>
    <t>SONO FERTILIZER</t>
  </si>
  <si>
    <t>GOLAKNATH KRISHI BHANDAR</t>
  </si>
  <si>
    <t>2019-08-09</t>
  </si>
  <si>
    <t>MAHABOO FERTILIZER</t>
  </si>
  <si>
    <t>Jhumki Bhowmik</t>
  </si>
  <si>
    <t>2021-12-15</t>
  </si>
  <si>
    <t>Chowrasia Fertilizer</t>
  </si>
  <si>
    <t>Madan Mohan Roy</t>
  </si>
  <si>
    <t>2022-03-30</t>
  </si>
  <si>
    <t>2022-09-23</t>
  </si>
  <si>
    <t>ABDUL KHALEK FERTILIZER</t>
  </si>
  <si>
    <t>2020-12-01</t>
  </si>
  <si>
    <t>ASHOK SARKAR</t>
  </si>
  <si>
    <t>2019-05-22</t>
  </si>
  <si>
    <t>553514</t>
  </si>
  <si>
    <t>Om Prakash Agarwala</t>
  </si>
  <si>
    <t>9233402522</t>
  </si>
  <si>
    <t>SWAPAN KUMAR DAS</t>
  </si>
  <si>
    <t>2021-12-14</t>
  </si>
  <si>
    <t>M/S RUPA SAAR O BEEJ BHANDA</t>
  </si>
  <si>
    <t>2019-04-10</t>
  </si>
  <si>
    <t>Loknath Enterprise</t>
  </si>
  <si>
    <t>2019-05-15</t>
  </si>
  <si>
    <t>MD FARUQUE ALAM</t>
  </si>
  <si>
    <t>BABUL FERTILIZER</t>
  </si>
  <si>
    <t>2023-10-17</t>
  </si>
  <si>
    <t>ROY FERTILIZER</t>
  </si>
  <si>
    <t>M/S Kallol Banerjee</t>
  </si>
  <si>
    <t>270122</t>
  </si>
  <si>
    <t>M/S Maa Laxmi Sar Bhandar</t>
  </si>
  <si>
    <t>M/S Nepal Mahato</t>
  </si>
  <si>
    <t>9933020708</t>
  </si>
  <si>
    <t>Narayani Krishi Bhandar</t>
  </si>
  <si>
    <t>1268897</t>
  </si>
  <si>
    <t>M/S NEPAL MAHATO</t>
  </si>
  <si>
    <t xml:space="preserve">Sikdar Sar Bhandar. </t>
  </si>
  <si>
    <t>9474473351</t>
  </si>
  <si>
    <t>Utpal Swarnakar</t>
  </si>
  <si>
    <t>Motilal Sar Bhandar</t>
  </si>
  <si>
    <t>Joyma Santosi Sar Bhandar</t>
  </si>
  <si>
    <t>269982</t>
  </si>
  <si>
    <t>Mondal Sar Bhandar</t>
  </si>
  <si>
    <t>Maa Durga Sar Bhandar</t>
  </si>
  <si>
    <t>Mala Sar Bhandar</t>
  </si>
  <si>
    <t>Jagadish Sar Bhandar</t>
  </si>
  <si>
    <t>Sonali Fasal</t>
  </si>
  <si>
    <t>Akash Sar Bhandar</t>
  </si>
  <si>
    <t>1000527</t>
  </si>
  <si>
    <t>M/s Bhumi Laxmi</t>
  </si>
  <si>
    <t>9932113924</t>
  </si>
  <si>
    <t>MAA DURGA SAR BHANDAR</t>
  </si>
  <si>
    <t xml:space="preserve"> AGRO TRADING and SEED BHANDAR</t>
  </si>
  <si>
    <t>MILAN DEV FERTILISERS</t>
  </si>
  <si>
    <t>BHAI BHAI SAR BHANDAR</t>
  </si>
  <si>
    <t>M/S BADRUDDOJA HOSSAIN</t>
  </si>
  <si>
    <t>1315537</t>
  </si>
  <si>
    <t>M/S SIKDAR SAR BHANDAR</t>
  </si>
  <si>
    <t>M/S JAGABANDHU SAR BHANDAR</t>
  </si>
  <si>
    <t>2024-10-08</t>
  </si>
  <si>
    <t>M/S BANOMALA FERTILIZER</t>
  </si>
  <si>
    <t>M/S HARIPADA SARKAR</t>
  </si>
  <si>
    <t>SABUJ SARBHANDAR</t>
  </si>
  <si>
    <t>268712</t>
  </si>
  <si>
    <t>M/S NEW BINA SAR BHANDAR</t>
  </si>
  <si>
    <t>M/S NUR SAR BHANDAR</t>
  </si>
  <si>
    <t>M/S MANDAL BEEJ BHANDER</t>
  </si>
  <si>
    <t>MS UTTAM BHAKAT</t>
  </si>
  <si>
    <t>Chanchal - I</t>
  </si>
  <si>
    <t>9434422447</t>
  </si>
  <si>
    <t>260350</t>
  </si>
  <si>
    <t>Md Saju</t>
  </si>
  <si>
    <t>M/S SONALI KRISHI GHAR</t>
  </si>
  <si>
    <t>Abdul Khaleque</t>
  </si>
  <si>
    <t>Anwar Ali</t>
  </si>
  <si>
    <t>2022-02-10</t>
  </si>
  <si>
    <t>SRIDAM CHANDRA SAHA</t>
  </si>
  <si>
    <t>1116231</t>
  </si>
  <si>
    <t>CHAS - BAAS</t>
  </si>
  <si>
    <t>9126050773</t>
  </si>
  <si>
    <t>Soheb Sar Bhandar</t>
  </si>
  <si>
    <t>Soumendra Nath Saha</t>
  </si>
  <si>
    <t>ZAKIR HOSSAIN SAR BHANDAR</t>
  </si>
  <si>
    <t>BADRUL ALAM</t>
  </si>
  <si>
    <t>2022-08-22</t>
  </si>
  <si>
    <t>2021-03-29</t>
  </si>
  <si>
    <t>SHYAMAL SAHA</t>
  </si>
  <si>
    <t>2023-03-31</t>
  </si>
  <si>
    <t>SAFIUL ALAM</t>
  </si>
  <si>
    <t>ALI KRISHI GHAR</t>
  </si>
  <si>
    <t>741258</t>
  </si>
  <si>
    <t>8101653961</t>
  </si>
  <si>
    <t>M/S MD. ROFIQUL ALAM</t>
  </si>
  <si>
    <t>EMAJUL HOQUE</t>
  </si>
  <si>
    <t>M/S NOWSAD ALI</t>
  </si>
  <si>
    <t>M/S-NURUL ISLAM</t>
  </si>
  <si>
    <t>2022-04-08</t>
  </si>
  <si>
    <t>2022-02-25</t>
  </si>
  <si>
    <t>2022-03-09</t>
  </si>
  <si>
    <t>2022-03-18</t>
  </si>
  <si>
    <t xml:space="preserve">AZMIRA SAR BHANDAR </t>
  </si>
  <si>
    <t>SAHABUDDIN AHAMED</t>
  </si>
  <si>
    <t>M/S MATIUR RAHAMAN</t>
  </si>
  <si>
    <t>2022-02-22</t>
  </si>
  <si>
    <t>M/S RUBEL KRISHI BHANDAR</t>
  </si>
  <si>
    <t>MAHBUB ALAM</t>
  </si>
  <si>
    <t>Chanchal - II</t>
  </si>
  <si>
    <t>M/S Prafulla Mandal</t>
  </si>
  <si>
    <t>2025-02-04</t>
  </si>
  <si>
    <t>Akmal Hossain</t>
  </si>
  <si>
    <t>Md. Niamataulah</t>
  </si>
  <si>
    <t>Asfaque Hossainchoudhury</t>
  </si>
  <si>
    <t>Abdul Halim</t>
  </si>
  <si>
    <t>MITHUN MANDAL</t>
  </si>
  <si>
    <t>HOBIBUR RAHAMAN</t>
  </si>
  <si>
    <t>TARIK AHAMED</t>
  </si>
  <si>
    <t>RAJ KR GHOSH</t>
  </si>
  <si>
    <t>533562</t>
  </si>
  <si>
    <t>M/S Samaun Reja</t>
  </si>
  <si>
    <t>9734975754</t>
  </si>
  <si>
    <t>SWAPAN YADAB</t>
  </si>
  <si>
    <t>MD. JALAL</t>
  </si>
  <si>
    <t>PRAKASH SARKAR</t>
  </si>
  <si>
    <t>M/S RAFIKUL ALAM</t>
  </si>
  <si>
    <t>M/S WAKIBUL HASSAN</t>
  </si>
  <si>
    <t>2023-03-05</t>
  </si>
  <si>
    <t>M/S NAUSAD ALI</t>
  </si>
  <si>
    <t>M/S NILUFA BIBI</t>
  </si>
  <si>
    <t>M/S ABDUL AZIZ</t>
  </si>
  <si>
    <t>M/S DILUYAR HOSSAN</t>
  </si>
  <si>
    <t>MASREKUL ALAM</t>
  </si>
  <si>
    <t>M/S RAHUL KUMAR SAHA</t>
  </si>
  <si>
    <t>M/S ABDUL ALIM</t>
  </si>
  <si>
    <t>M/S HASEBUL HOQUE</t>
  </si>
  <si>
    <t>2023-02-25</t>
  </si>
  <si>
    <t>288983</t>
  </si>
  <si>
    <t>Naba Kumar Saha</t>
  </si>
  <si>
    <t>9733139884</t>
  </si>
  <si>
    <t xml:space="preserve">BIDYANANDAPUR ABUJ BAHINI FAR </t>
  </si>
  <si>
    <t>280849</t>
  </si>
  <si>
    <t>Z Haque</t>
  </si>
  <si>
    <t>9733413973</t>
  </si>
  <si>
    <t>MD ALAUDDIN</t>
  </si>
  <si>
    <t>Doli Saha</t>
  </si>
  <si>
    <t>Adarsha Krishi Sar Bhandar</t>
  </si>
  <si>
    <t>M/S SOVANAGAR AGRO INPUTS AGEN</t>
  </si>
  <si>
    <t>Basundhara Krishi Bhandar</t>
  </si>
  <si>
    <t>2025-01-04</t>
  </si>
  <si>
    <t>281277</t>
  </si>
  <si>
    <t>Krishi Bipani</t>
  </si>
  <si>
    <t>9434981339</t>
  </si>
  <si>
    <t>Salema Krishi Sar Bhandar</t>
  </si>
  <si>
    <t>M/S ADHUNIK SAR BHANDAR</t>
  </si>
  <si>
    <t>M/S DIPALI SAR BHANDER</t>
  </si>
  <si>
    <t>Bardanga Skus Ltd</t>
  </si>
  <si>
    <t>Bhabanipur Sar Bhander</t>
  </si>
  <si>
    <t>Dipak Sarkar</t>
  </si>
  <si>
    <t>Janani Sar Bhander</t>
  </si>
  <si>
    <t>Mandal Sar Bhandar</t>
  </si>
  <si>
    <t>652957</t>
  </si>
  <si>
    <t>M/S MAITRA FERTILIZER</t>
  </si>
  <si>
    <t>M/S Akshaya Sar Bhandar</t>
  </si>
  <si>
    <t>M/S RAJLAXMI SAR BHANDAR</t>
  </si>
  <si>
    <t>1324728</t>
  </si>
  <si>
    <t>RAJLAXMI SAR BHANDER</t>
  </si>
  <si>
    <t>9775843959</t>
  </si>
  <si>
    <t>M/S Nazima Sar Bhandar</t>
  </si>
  <si>
    <t>M/S Raja Sar Bhandar</t>
  </si>
  <si>
    <t>M/S Sabuj Krishi Sar Bhandra</t>
  </si>
  <si>
    <t>Nabaday Skus Ltd.</t>
  </si>
  <si>
    <t>Rasu Roy</t>
  </si>
  <si>
    <t>Sabuj Fasal</t>
  </si>
  <si>
    <t>Biswanath Jha</t>
  </si>
  <si>
    <t>M/S Nepal Chandra Mondal</t>
  </si>
  <si>
    <t>M/S Sankar Chandra Saha</t>
  </si>
  <si>
    <t>Jaimasantoshiserbhandar</t>
  </si>
  <si>
    <t>Kartik Choudhury</t>
  </si>
  <si>
    <t>M/S Sabuj Krishi Ghar</t>
  </si>
  <si>
    <t>Hassain Sar Bhandar</t>
  </si>
  <si>
    <t>Joydeep Sar Bhandar</t>
  </si>
  <si>
    <t>2021-03-16</t>
  </si>
  <si>
    <t>M/S Nityananda Roy</t>
  </si>
  <si>
    <t>2022-11-21</t>
  </si>
  <si>
    <t>M/S SANTOSH KUMAR DEBNATH</t>
  </si>
  <si>
    <t>M/S SARKAR KRISHI BIPANI</t>
  </si>
  <si>
    <t>M/S Siraj Sar Bhandar</t>
  </si>
  <si>
    <t>M/S Maa Monosa Sar Bhandar</t>
  </si>
  <si>
    <t>M/S LASMON SAR BHANDAR</t>
  </si>
  <si>
    <t>CHITTA RANJAN SAR BHANDAR</t>
  </si>
  <si>
    <t>BAIDYANATH SAR BHANDAR</t>
  </si>
  <si>
    <t>M/S MAA KALI SAR BHANDAR</t>
  </si>
  <si>
    <t>M/S JAHANGIR SAR BHANDAR</t>
  </si>
  <si>
    <t>M/S NUR AMINA HOQUE</t>
  </si>
  <si>
    <t>M/S PRAFULLA SARKAR</t>
  </si>
  <si>
    <t>288977</t>
  </si>
  <si>
    <t>M/S NAGEN SAR BHANDAR</t>
  </si>
  <si>
    <t>MD.IMDADUL ISLAM</t>
  </si>
  <si>
    <t>M/S MAA LAXMI SAR BHANDAR</t>
  </si>
  <si>
    <t>M/S RABINDRANATH MONDAL</t>
  </si>
  <si>
    <t>M/S SANJOY SARKAR</t>
  </si>
  <si>
    <t>SARKAR SAR BHANDAR</t>
  </si>
  <si>
    <t>SUKUMAR SARKAR</t>
  </si>
  <si>
    <t>SUNIL KUMAR SARKAR</t>
  </si>
  <si>
    <t>A to Z SAR BHANDAR</t>
  </si>
  <si>
    <t>KRISHNADEB MAHATO</t>
  </si>
  <si>
    <t>INAMUL HOQUE</t>
  </si>
  <si>
    <t>RAFIQUL ISLAM</t>
  </si>
  <si>
    <t>INDRAMOHAN SAHA SAR BHANDAR</t>
  </si>
  <si>
    <t>MAA LAXMI SAR BHANDAR</t>
  </si>
  <si>
    <t>ALOK DSR BHSNDAR</t>
  </si>
  <si>
    <t>861204</t>
  </si>
  <si>
    <t>M/s. Shankar Chandra Saha</t>
  </si>
  <si>
    <t>9002479146</t>
  </si>
  <si>
    <t>M/S KRISHI BANDHU SARER DOKAN</t>
  </si>
  <si>
    <t>MONOJ SAHA</t>
  </si>
  <si>
    <t>2021-12-09</t>
  </si>
  <si>
    <t>PALLABY FERTILIZER SHOP</t>
  </si>
  <si>
    <t>M/S KIRTONIA SAR BHANDAR</t>
  </si>
  <si>
    <t>M/S RAJESWAR MANDAL</t>
  </si>
  <si>
    <t>M/S MAA MANASA SAR BHANDAR</t>
  </si>
  <si>
    <t>M/S BISWAS SAR BHANDAR</t>
  </si>
  <si>
    <t>ALINA SAR BHANDAR</t>
  </si>
  <si>
    <t>RAMPROSAD MANDAL</t>
  </si>
  <si>
    <t>M/S BHOWMIK SAR BHANDER</t>
  </si>
  <si>
    <t>M/S BISWANATH MAJUMDAR</t>
  </si>
  <si>
    <t>2025-10-13</t>
  </si>
  <si>
    <t>M/S SANGTA SAR BHANDAR</t>
  </si>
  <si>
    <t>M/S RAJ SAR BHANDAR</t>
  </si>
  <si>
    <t>M/S MAA DURGA BHANDAR</t>
  </si>
  <si>
    <t>MS AROHI SAR BHANDAR</t>
  </si>
  <si>
    <t>MS HIMANGSHU KUMAR SAHA</t>
  </si>
  <si>
    <t>M/S BANALATA SAR BHANDAR</t>
  </si>
  <si>
    <t>MS HABIL MAHAMMAD</t>
  </si>
  <si>
    <t>BISWAS KRISHI GHAR</t>
  </si>
  <si>
    <t>HIRA FASAL RAKSA KRISHI GHAR</t>
  </si>
  <si>
    <t>MS BISHAKHA KRISHI BHANDAR</t>
  </si>
  <si>
    <t>2025-03-10</t>
  </si>
  <si>
    <t>CHIRANJIT MANDAL</t>
  </si>
  <si>
    <t>M/S GOURANGA MANDAL</t>
  </si>
  <si>
    <t>M/S BISWAS SEEDS AND PESTICIDE</t>
  </si>
  <si>
    <t>POLADANGA MULTIPURPOSE COOPERA</t>
  </si>
  <si>
    <t>M/S MOJAHAR FERTILIZER</t>
  </si>
  <si>
    <t>PABITRA KUMAR MANDAL</t>
  </si>
  <si>
    <t>M/S SWAPAN KUMAR ROY</t>
  </si>
  <si>
    <t>JOY GURU SAR BHANDAR</t>
  </si>
  <si>
    <t>M/S JAYA KRISHI BHANDAR</t>
  </si>
  <si>
    <t>M/S RIPAN SARKAR</t>
  </si>
  <si>
    <t>M/S SAMRAT MIA</t>
  </si>
  <si>
    <t>CHANDAN SARKAR</t>
  </si>
  <si>
    <t>SARADA KRISHI BHANDAR</t>
  </si>
  <si>
    <t>Aiho Skus Ltd</t>
  </si>
  <si>
    <t>Brindabanbati Skus Ltd.</t>
  </si>
  <si>
    <t>Manohar Gupta</t>
  </si>
  <si>
    <t>Nimbari Skus Ltd</t>
  </si>
  <si>
    <t>Soladanga Skus Ltd.</t>
  </si>
  <si>
    <t>M/S Bharti Sar Bhandar</t>
  </si>
  <si>
    <t>M/S Chhotelal Sar Bhandar</t>
  </si>
  <si>
    <t>M/S Sarathi Sar Bhandar</t>
  </si>
  <si>
    <t>Brajendra Nath Barman</t>
  </si>
  <si>
    <t>M/S Bimal Chandra Sarkar</t>
  </si>
  <si>
    <t>M/S Maa Durga Sar Bhandar</t>
  </si>
  <si>
    <t>M/S Mondal Sar Bhandar</t>
  </si>
  <si>
    <t>Manoka Sar Bhandar</t>
  </si>
  <si>
    <t>Asit Baran Dutta</t>
  </si>
  <si>
    <t>Ganesh Ram Paul</t>
  </si>
  <si>
    <t>Minati Sar Bhandar</t>
  </si>
  <si>
    <t>Bishnu Sarkar</t>
  </si>
  <si>
    <t>M/S Phani Bhushan Mondal</t>
  </si>
  <si>
    <t>M/S Biswanath Sar Bhander</t>
  </si>
  <si>
    <t>M/S Promotho Nath Mondal</t>
  </si>
  <si>
    <t>GUPTA KISHAN CENTER</t>
  </si>
  <si>
    <t>BAISHNAB SAR BHANDAR</t>
  </si>
  <si>
    <t>Janaki Krishi sava kandra</t>
  </si>
  <si>
    <t>Prosad fertiliser</t>
  </si>
  <si>
    <t>Pal  Fertilizer</t>
  </si>
  <si>
    <t>Basanta Sar Bhandar</t>
  </si>
  <si>
    <t>GANESH SAR BHANDAR</t>
  </si>
  <si>
    <t>M/S BABA LOKNATH SAR BHANDER</t>
  </si>
  <si>
    <t>M/S CHAND MOHAN BARMAN</t>
  </si>
  <si>
    <t>M/S MAA DURGA SAR BHANDER</t>
  </si>
  <si>
    <t>M/S SOREN SAR BHANDER</t>
  </si>
  <si>
    <t>M/S CHOWDHARY SAR BHANDER</t>
  </si>
  <si>
    <t>M/S CHOWDHURY SAR BHANDAR</t>
  </si>
  <si>
    <t>M/S REBA FERTILIZER</t>
  </si>
  <si>
    <t>M/S KHIRODHAR SAR VANDAR</t>
  </si>
  <si>
    <t>M/S DULAL FERTILIZER A PESTICI</t>
  </si>
  <si>
    <t>M/S OM FERTILIZER AND PESTICID</t>
  </si>
  <si>
    <t>M/S MAA DURGA SAR VANDAR</t>
  </si>
  <si>
    <t xml:space="preserve">M/S BRAJENDRANATH BARMAN </t>
  </si>
  <si>
    <t>M/S Roy Fertilizer</t>
  </si>
  <si>
    <t>M/S Dhananjay Sathi Pesticides</t>
  </si>
  <si>
    <t>M/S Krishi Ghar</t>
  </si>
  <si>
    <t>Harischandrapur - I</t>
  </si>
  <si>
    <t>Ananda Agarwal</t>
  </si>
  <si>
    <t>Dipu Sar Bhandar</t>
  </si>
  <si>
    <t xml:space="preserve">Krishi Sangastha              </t>
  </si>
  <si>
    <t>9434040109</t>
  </si>
  <si>
    <t>Adarsha Sar Bhandarpropsanatan Das</t>
  </si>
  <si>
    <t>Manojram</t>
  </si>
  <si>
    <t>Kamal Kanta Das</t>
  </si>
  <si>
    <t>BABLU SINGHA</t>
  </si>
  <si>
    <t>2022-12-07</t>
  </si>
  <si>
    <t>281266</t>
  </si>
  <si>
    <t>ATAUR</t>
  </si>
  <si>
    <t>2021-10-17</t>
  </si>
  <si>
    <t>SUKRA SAHA</t>
  </si>
  <si>
    <t>PINTU CH DAS</t>
  </si>
  <si>
    <t>SK. MAHEDUL ISLAM</t>
  </si>
  <si>
    <t>M/S BABLU SAHA</t>
  </si>
  <si>
    <t>M/S NOWAJ KRISHI BHANDER</t>
  </si>
  <si>
    <t>Harischandrapur - II</t>
  </si>
  <si>
    <t>Md Akbar Ali</t>
  </si>
  <si>
    <t>Safiqul Alam</t>
  </si>
  <si>
    <t>Bhai Bhai Sar Bhandar</t>
  </si>
  <si>
    <t>Sk Mosim</t>
  </si>
  <si>
    <t>Lipon Sar Bhandar</t>
  </si>
  <si>
    <t>M/S TAIMUR HOQUE</t>
  </si>
  <si>
    <t>MANDAL ENTERPRISE</t>
  </si>
  <si>
    <t>M/S IMAMUDDIN</t>
  </si>
  <si>
    <t>2023-11-14</t>
  </si>
  <si>
    <t>PIARUL HOQUE</t>
  </si>
  <si>
    <t>NASIR HOSSAIN</t>
  </si>
  <si>
    <t>FERASAT ALI</t>
  </si>
  <si>
    <t>ABDUL TAYEB</t>
  </si>
  <si>
    <t>M/S SUBASH PRAMANIK</t>
  </si>
  <si>
    <t>Mandal Fertilizer Shop</t>
  </si>
  <si>
    <t>ANKITA FERTILIZER SHOP</t>
  </si>
  <si>
    <t>SK NAJIM FERTILIZER</t>
  </si>
  <si>
    <t>Kallol Kumar Saha</t>
  </si>
  <si>
    <t>2021-05-12</t>
  </si>
  <si>
    <t>Iffdc-Kbsk Jalalpur</t>
  </si>
  <si>
    <t>M/S ABU AJAM</t>
  </si>
  <si>
    <t>M/S LAL KRIHI SEVA KENDRA</t>
  </si>
  <si>
    <t>Juthika Sar Bhandar</t>
  </si>
  <si>
    <t>Firoja Sar Bhandar</t>
  </si>
  <si>
    <t>M/S Bapi Mondal</t>
  </si>
  <si>
    <t>M/S HASANAT SAR BHANDAR</t>
  </si>
  <si>
    <t>M/S HOQUE SAR BHANDAR</t>
  </si>
  <si>
    <t>M/S DIL DAR HOSSAIN</t>
  </si>
  <si>
    <t>RICHA SAR BHANDAR</t>
  </si>
  <si>
    <t>2023-02-14</t>
  </si>
  <si>
    <t>1245434</t>
  </si>
  <si>
    <t xml:space="preserve">M/S MD ABU AZAM </t>
  </si>
  <si>
    <t>8001343778</t>
  </si>
  <si>
    <t>M/S-KRISHI SEBA SAR BHANDAR</t>
  </si>
  <si>
    <t>2024-03-25</t>
  </si>
  <si>
    <t>SAFIQUL ISLAM</t>
  </si>
  <si>
    <t>2021-04-03</t>
  </si>
  <si>
    <t>739727</t>
  </si>
  <si>
    <t>M/S MD SABIR ALI</t>
  </si>
  <si>
    <t>8617066067</t>
  </si>
  <si>
    <t>SOHAN FERTILISER</t>
  </si>
  <si>
    <t>Kaliachak - III</t>
  </si>
  <si>
    <t>Baishnabnagar Acms Ltd</t>
  </si>
  <si>
    <t>M/S Md. Anisur Rahaman</t>
  </si>
  <si>
    <t>Sahida Sar Kendra</t>
  </si>
  <si>
    <t>M/S NASIMA SAR BHANDAR</t>
  </si>
  <si>
    <t>M/S HALIM KRISHI SAR BHANDER</t>
  </si>
  <si>
    <t>M/S MANDAL FERTILIZER</t>
  </si>
  <si>
    <t>M/S SAHA ENTERPRISE</t>
  </si>
  <si>
    <t>M/S SHOVA KRISHI UNNAYANKENDRA</t>
  </si>
  <si>
    <t>M/S MAMLAT SK</t>
  </si>
  <si>
    <t>M/S MADINA FERTILIZER</t>
  </si>
  <si>
    <t>M/S SAHIDUL ISLAM</t>
  </si>
  <si>
    <t>M/S RUNA SAR BHANDER</t>
  </si>
  <si>
    <t>Maldah (Old)</t>
  </si>
  <si>
    <t>Well Culture</t>
  </si>
  <si>
    <t>Das Sar Bhandar</t>
  </si>
  <si>
    <t>Loknath Sar Bhandar</t>
  </si>
  <si>
    <t>Md. Wahedur Rahaman</t>
  </si>
  <si>
    <t>Lakshmi Sar Bhandar</t>
  </si>
  <si>
    <t>Hoque Sar Bhandar</t>
  </si>
  <si>
    <t>Md. Matiur Rahaman</t>
  </si>
  <si>
    <t>Masidur Rahaman</t>
  </si>
  <si>
    <t>Tanushree Krishi Sar Bhandar</t>
  </si>
  <si>
    <t>M/S. ENAMUL HOQUE</t>
  </si>
  <si>
    <t>JOY MAA LAXMI SAR BHANDAR</t>
  </si>
  <si>
    <t>INDRAJIT SAHA</t>
  </si>
  <si>
    <t>M/S BIMAL CHANDRA SARKAR</t>
  </si>
  <si>
    <t>M/S RADHARANI SAR BHANDAR</t>
  </si>
  <si>
    <t>M/S-MOJAHID SAR BHANDAR</t>
  </si>
  <si>
    <t>Juli Mili Sar Bhandar</t>
  </si>
  <si>
    <t>SUSMITASAR BHANDAR</t>
  </si>
  <si>
    <t>TRINATH ROY</t>
  </si>
  <si>
    <t>ROBAIT ISLAM</t>
  </si>
  <si>
    <t>M/S PRITI SAR BHANDAR</t>
  </si>
  <si>
    <t>M/S MEHERPUR KRISHI BHAVAN</t>
  </si>
  <si>
    <t>M/S J KRISHAK BANDHU</t>
  </si>
  <si>
    <t>M/S DHIREN KRISHI BHANDAR</t>
  </si>
  <si>
    <t>Jatradanga Krishighar</t>
  </si>
  <si>
    <t>M/S SABUJ KRISHI GHAR</t>
  </si>
  <si>
    <t>Manikchak</t>
  </si>
  <si>
    <t>Reja Krishi Sar Bhandar</t>
  </si>
  <si>
    <t>Amader Sar Bhandar</t>
  </si>
  <si>
    <t>Keshab Chandra Singha</t>
  </si>
  <si>
    <t>M/S PROTAP MONDAL</t>
  </si>
  <si>
    <t>M/S SUCHITRA SAR BHANDAR</t>
  </si>
  <si>
    <t>M/S DULALI SAR BHANDAR</t>
  </si>
  <si>
    <t>M/S KRISHI SAR BHANDER</t>
  </si>
  <si>
    <t>M/S DEBASHREE FERTILISERS</t>
  </si>
  <si>
    <t>BISWAJIT CHOWDHURY</t>
  </si>
  <si>
    <t>BAJRANGBALI SAR BHANDAR</t>
  </si>
  <si>
    <t>M/S SONALI SAR BHANDAR</t>
  </si>
  <si>
    <t>M/S RAHAMAN SAR BHANDER</t>
  </si>
  <si>
    <t>Ratua - I</t>
  </si>
  <si>
    <t>Trilochan Mondal</t>
  </si>
  <si>
    <t>M/S Sukumar Ch. Thokdar</t>
  </si>
  <si>
    <t>Md. Aftabuddin Biswas</t>
  </si>
  <si>
    <t>Paban Kumar Singh</t>
  </si>
  <si>
    <t>2023-11-10</t>
  </si>
  <si>
    <t>Ajit Saha</t>
  </si>
  <si>
    <t>Md. Sadikul Alam</t>
  </si>
  <si>
    <t>MD HUMAYUN REJA</t>
  </si>
  <si>
    <t>MD MOKHLESUR RAHAMAN</t>
  </si>
  <si>
    <t>MD KAUSAR ALI</t>
  </si>
  <si>
    <t>MANIK CHANDRA SAHA</t>
  </si>
  <si>
    <t>2023-02-11</t>
  </si>
  <si>
    <t>MD.BORHAN ALI</t>
  </si>
  <si>
    <t>MD TANJAMAL HOQUE</t>
  </si>
  <si>
    <t>AMIT MANDAL</t>
  </si>
  <si>
    <t>M/S KHALILUR RAHAMAN</t>
  </si>
  <si>
    <t>2025-07-24</t>
  </si>
  <si>
    <t>MUSLEMA BIBI</t>
  </si>
  <si>
    <t>MD MUKTAR ALAM</t>
  </si>
  <si>
    <t>SABUJ SAR BHANDAR</t>
  </si>
  <si>
    <t>M/S MD ASHIQUE</t>
  </si>
  <si>
    <t>MD JALALUDDIN</t>
  </si>
  <si>
    <t>Ratua - II</t>
  </si>
  <si>
    <t>Md. Emadur Rahaman</t>
  </si>
  <si>
    <t>Masadur Rahman</t>
  </si>
  <si>
    <t>Md. Mostufa</t>
  </si>
  <si>
    <t>Joy Maa Durga Sar Bhandar</t>
  </si>
  <si>
    <t>S.K. Tamijuddin</t>
  </si>
  <si>
    <t>2022-10-14</t>
  </si>
  <si>
    <t>Enamul Haque</t>
  </si>
  <si>
    <t>2021-05-28</t>
  </si>
  <si>
    <t>Md.Mosarraf Hossain</t>
  </si>
  <si>
    <t>M/S- BELIRA BIBI</t>
  </si>
  <si>
    <t>SAHA SAR BHANDAR</t>
  </si>
  <si>
    <t>BARIK</t>
  </si>
  <si>
    <t>M/S AZIZUR RAHAMAN</t>
  </si>
  <si>
    <t>MD.MOHISUDDIN</t>
  </si>
  <si>
    <t>MD. NAJMUL HOQUE</t>
  </si>
  <si>
    <t>M/S RAIHAN SARBHANDAR</t>
  </si>
  <si>
    <t>M/S SAMAUN REJA</t>
  </si>
  <si>
    <t>SK ANISUR RAHAMAN</t>
  </si>
  <si>
    <t>M/S SAIFUJJAMAN</t>
  </si>
  <si>
    <t>1265873</t>
  </si>
  <si>
    <t>IFFDC-KBSK  PROP-AHMAD HOSSAIN</t>
  </si>
  <si>
    <t>8942098019</t>
  </si>
  <si>
    <t>Sushmita Sar Bhandar</t>
  </si>
  <si>
    <t>Susama Sar Bhandar</t>
  </si>
  <si>
    <t>Sunilchandra Barman</t>
  </si>
  <si>
    <t>M/S Sunil Kumar Saha</t>
  </si>
  <si>
    <t>2021-01-14</t>
  </si>
  <si>
    <t>Ar Sara Bhandar</t>
  </si>
  <si>
    <t>2019-08-22</t>
  </si>
  <si>
    <t>Md. Manirujjaman</t>
  </si>
  <si>
    <t>M/S Joy Durga Krishi Bhandar</t>
  </si>
  <si>
    <t>Taj Enterprise</t>
  </si>
  <si>
    <t>Maa Manasha Sar Bhandar</t>
  </si>
  <si>
    <t>Md Faruque</t>
  </si>
  <si>
    <t>2020-11-25</t>
  </si>
  <si>
    <t>Bijoy Laxmi krishi bhandar</t>
  </si>
  <si>
    <t>2019-09-01</t>
  </si>
  <si>
    <t>TRISHNAPROTIPPESTICIDESandFERTIL</t>
  </si>
  <si>
    <t>M/S JOY SANKAR GUPTA</t>
  </si>
  <si>
    <t>2020-12-07</t>
  </si>
  <si>
    <t>M/S FURSHED ALI</t>
  </si>
  <si>
    <t>ALI STORES</t>
  </si>
  <si>
    <t>2020-03-13</t>
  </si>
  <si>
    <t>JAGADISH SAHA</t>
  </si>
  <si>
    <t>2021-01-11</t>
  </si>
  <si>
    <t>223195</t>
  </si>
  <si>
    <t xml:space="preserve">M/s. Tarakeswar Roy </t>
  </si>
  <si>
    <t>9775858507</t>
  </si>
  <si>
    <t>M/S SK. INSAN</t>
  </si>
  <si>
    <t>2020-10-03</t>
  </si>
  <si>
    <t>2020-04-03</t>
  </si>
  <si>
    <t>M/S MANJUR ALI</t>
  </si>
  <si>
    <t>2021-07-27</t>
  </si>
  <si>
    <t>M/S MATHATO SAR BHANDER</t>
  </si>
  <si>
    <t>2020-12-28</t>
  </si>
  <si>
    <t>2020-07-19</t>
  </si>
  <si>
    <t>SHIB SHANKAR MANDAL</t>
  </si>
  <si>
    <t>2020-10-22</t>
  </si>
  <si>
    <t>MAYER DOWA</t>
  </si>
  <si>
    <t>M/S HASANUZAMMAN SAR BHANDER</t>
  </si>
  <si>
    <t>ALAMGIR ALI</t>
  </si>
  <si>
    <t>2019-03-20</t>
  </si>
  <si>
    <t>MONGLI SAR BHANDAR</t>
  </si>
  <si>
    <t>MD SHAFIKUL ALAM</t>
  </si>
  <si>
    <t>M/S KRISHAK BANDHU</t>
  </si>
  <si>
    <t>2023-12-13</t>
  </si>
  <si>
    <t xml:space="preserve">M/S AJIJUL SAR BHANDAR </t>
  </si>
  <si>
    <t>NIVRITY BEEJ BHANDAR</t>
  </si>
  <si>
    <t>Bhagawanpur - II</t>
  </si>
  <si>
    <t>Tarun Kanti Bera</t>
  </si>
  <si>
    <t>280604</t>
  </si>
  <si>
    <t>Contai - I</t>
  </si>
  <si>
    <t>Bikash Manna</t>
  </si>
  <si>
    <t>281502</t>
  </si>
  <si>
    <t>M/s. Mishra and Co.</t>
  </si>
  <si>
    <t>7602075590</t>
  </si>
  <si>
    <t>Manindranath Panigrahi</t>
  </si>
  <si>
    <t>RABINDRA NATH ROUTH</t>
  </si>
  <si>
    <t>NEW KAR FERTILIZER</t>
  </si>
  <si>
    <t>2025-10-24</t>
  </si>
  <si>
    <t>PATIT PABAN JANA</t>
  </si>
  <si>
    <t>KANAI KAMILA</t>
  </si>
  <si>
    <t>GIRI FERTILISER</t>
  </si>
  <si>
    <t>MAA LAKHEM VANDER</t>
  </si>
  <si>
    <t>Contai - III</t>
  </si>
  <si>
    <t>Pranab Kumar Das</t>
  </si>
  <si>
    <t>M/s Tapas shit</t>
  </si>
  <si>
    <t>Deshopran</t>
  </si>
  <si>
    <t>Makali fertiliser (Gurudeb)</t>
  </si>
  <si>
    <t>Saktipada Patra</t>
  </si>
  <si>
    <t>Manna Enterprise</t>
  </si>
  <si>
    <t>SANKHA MAYEE KRISHI BHANDERS</t>
  </si>
  <si>
    <t>2023-09-19</t>
  </si>
  <si>
    <t>BANKIM CHANDRA SAHOO</t>
  </si>
  <si>
    <t>Prasenjit Mahapatra</t>
  </si>
  <si>
    <t>BHARGABI SAR SARBARAHA KENDRA</t>
  </si>
  <si>
    <t>2024-09-04</t>
  </si>
  <si>
    <t>KSHUDIRAM  JANA</t>
  </si>
  <si>
    <t>Sri Uttam Kumar Pradhan</t>
  </si>
  <si>
    <t>Nimai Pandit</t>
  </si>
  <si>
    <t>PRANAB PRADHAN</t>
  </si>
  <si>
    <t>SANJIB CHANDA</t>
  </si>
  <si>
    <t>2024-08-25</t>
  </si>
  <si>
    <t>CHANDAN KUMAR JANA</t>
  </si>
  <si>
    <t>PUTUL MISHRA</t>
  </si>
  <si>
    <t>NIMAI SAU</t>
  </si>
  <si>
    <t>krishi bhander</t>
  </si>
  <si>
    <t>Egra - II</t>
  </si>
  <si>
    <t>Rebati Fertilizers Brindaban G</t>
  </si>
  <si>
    <t>Srichandan Das</t>
  </si>
  <si>
    <t>Sukumar Patra</t>
  </si>
  <si>
    <t>MAHALAKSHMI BHANDAR</t>
  </si>
  <si>
    <t>Khejuri - II</t>
  </si>
  <si>
    <t>Susanta Kumar Giri</t>
  </si>
  <si>
    <t>Madhumita Jana</t>
  </si>
  <si>
    <t>2021-03-20</t>
  </si>
  <si>
    <t>586666</t>
  </si>
  <si>
    <t>MANI SANKAR SAU</t>
  </si>
  <si>
    <t>9732974217</t>
  </si>
  <si>
    <t>ASHOK KUMAR DOLAI</t>
  </si>
  <si>
    <t>2019-07-08</t>
  </si>
  <si>
    <t>501379</t>
  </si>
  <si>
    <t>SANGITA ENTERPRISE</t>
  </si>
  <si>
    <t>9932977059</t>
  </si>
  <si>
    <t>Nandigram - II</t>
  </si>
  <si>
    <t>SUSANTA BERA</t>
  </si>
  <si>
    <t>Panskura</t>
  </si>
  <si>
    <t xml:space="preserve"> M/S AGRO FERTILISER </t>
  </si>
  <si>
    <t>KALIPADA JANA</t>
  </si>
  <si>
    <t>Potashpur - II</t>
  </si>
  <si>
    <t>Pintu Das</t>
  </si>
  <si>
    <t>Nabakumar Shee</t>
  </si>
  <si>
    <t>AMBIKESH SEN</t>
  </si>
  <si>
    <t>MS TILOTTAMA KRISHI BHANDER</t>
  </si>
  <si>
    <t>Tamluk</t>
  </si>
  <si>
    <t>PULAK SAU</t>
  </si>
  <si>
    <t>Kartic Das</t>
  </si>
  <si>
    <t>2021-01-31</t>
  </si>
  <si>
    <t>Nayaput Skus Ltd.</t>
  </si>
  <si>
    <t>Pradhan Fertilizer</t>
  </si>
  <si>
    <t>2021-08-03</t>
  </si>
  <si>
    <t>BALIARPUR SKUS LTD</t>
  </si>
  <si>
    <t>MANJU DAS</t>
  </si>
  <si>
    <t>2021-07-18</t>
  </si>
  <si>
    <t>MAITY FERTILIZERS</t>
  </si>
  <si>
    <t>2019-07-22</t>
  </si>
  <si>
    <t>NEW JYOTSNA ENTERPRISE</t>
  </si>
  <si>
    <t>Medinipur West</t>
  </si>
  <si>
    <t>Daspur - II</t>
  </si>
  <si>
    <t>Vivekanand Banerjee</t>
  </si>
  <si>
    <t>1094193</t>
  </si>
  <si>
    <t>ASHOK KUMAR NANDI</t>
  </si>
  <si>
    <t>9749310530</t>
  </si>
  <si>
    <t>Garbeta - III</t>
  </si>
  <si>
    <t>Sreema Krishi Bhandar</t>
  </si>
  <si>
    <t>2023-12-23</t>
  </si>
  <si>
    <t>281708</t>
  </si>
  <si>
    <t xml:space="preserve">Ramkayal Upadhyay             </t>
  </si>
  <si>
    <t>9434138314</t>
  </si>
  <si>
    <t>RAJESH SAMANTA</t>
  </si>
  <si>
    <t>M/S SADHAN BISWAS</t>
  </si>
  <si>
    <t>281717</t>
  </si>
  <si>
    <t>Saktipada Roy</t>
  </si>
  <si>
    <t>9932821183</t>
  </si>
  <si>
    <t>BABA BASANTARAY KRISHI BHANDER</t>
  </si>
  <si>
    <t>281719</t>
  </si>
  <si>
    <t>M/s. Lalmohan De</t>
  </si>
  <si>
    <t>9153622851</t>
  </si>
  <si>
    <t>M/S SATYA SAMANTA</t>
  </si>
  <si>
    <t>JAHARLAL KRISHI BHANDER</t>
  </si>
  <si>
    <t>Ghatal</t>
  </si>
  <si>
    <t>Sk Hafijul Rahaman</t>
  </si>
  <si>
    <t>M/S Zarman Ali</t>
  </si>
  <si>
    <t>289315</t>
  </si>
  <si>
    <t>Md.Sabir Ahmed</t>
  </si>
  <si>
    <t>Amod Ali</t>
  </si>
  <si>
    <t>1111397</t>
  </si>
  <si>
    <t>M/s. Urbara</t>
  </si>
  <si>
    <t>9126512188</t>
  </si>
  <si>
    <t>Ananda Kundu</t>
  </si>
  <si>
    <t>Bankim Bihari Dutta</t>
  </si>
  <si>
    <t>ISLAM FERTILISER</t>
  </si>
  <si>
    <t>MAHADEB PAL</t>
  </si>
  <si>
    <t>1118894</t>
  </si>
  <si>
    <t>M/S KABIR BEEJ BHANDAR</t>
  </si>
  <si>
    <t>9153171759</t>
  </si>
  <si>
    <t>M/S MENOKA FERTILIZER</t>
  </si>
  <si>
    <t>9733528547</t>
  </si>
  <si>
    <t>1101819</t>
  </si>
  <si>
    <t>MENAKA FERTILIZER</t>
  </si>
  <si>
    <t>UTPAL MONDAL</t>
  </si>
  <si>
    <t>Dutta Parmanik Enterprise</t>
  </si>
  <si>
    <t>223286</t>
  </si>
  <si>
    <t>FAJIUR RAHAMAN MOLLA</t>
  </si>
  <si>
    <t>ANISUR HOSSAIN MONDAL</t>
  </si>
  <si>
    <t>2023-12-15</t>
  </si>
  <si>
    <t>NIKHIL KUMAR MONDAL</t>
  </si>
  <si>
    <t>SONALI MONDAL</t>
  </si>
  <si>
    <t>ATAUR RAHAMAN</t>
  </si>
  <si>
    <t>NAZERA BIBI</t>
  </si>
  <si>
    <t>ABUHENA SK</t>
  </si>
  <si>
    <t>289309</t>
  </si>
  <si>
    <t>Amanul Haque</t>
  </si>
  <si>
    <t>269139</t>
  </si>
  <si>
    <t>Rana Fertiliser Store</t>
  </si>
  <si>
    <t>596479</t>
  </si>
  <si>
    <t>Fakrul Molla</t>
  </si>
  <si>
    <t>Narayan Chandra Mondal</t>
  </si>
  <si>
    <t xml:space="preserve">Rajib Kar </t>
  </si>
  <si>
    <t>2025-07-04</t>
  </si>
  <si>
    <t>223283</t>
  </si>
  <si>
    <t>B Mukherjee  And Company</t>
  </si>
  <si>
    <t>7430990680</t>
  </si>
  <si>
    <t>Ratan Kr. Paul</t>
  </si>
  <si>
    <t>978672</t>
  </si>
  <si>
    <t>M/s. Abu Raihan Mondal</t>
  </si>
  <si>
    <t>9733607656</t>
  </si>
  <si>
    <t>A B Siddique</t>
  </si>
  <si>
    <t>Akman Sk</t>
  </si>
  <si>
    <t>Majibur Rahaman</t>
  </si>
  <si>
    <t>Mirkaram Mohd Sirajul Huda</t>
  </si>
  <si>
    <t>2023-07-03</t>
  </si>
  <si>
    <t>SAIFUL SK</t>
  </si>
  <si>
    <t>MANDAL SAR BHANDAR</t>
  </si>
  <si>
    <t>Jayanta Mondal</t>
  </si>
  <si>
    <t>Milan Kumar Ghosh</t>
  </si>
  <si>
    <t>Sankar Mondal</t>
  </si>
  <si>
    <t>Rintu Hossain</t>
  </si>
  <si>
    <t>Debnarayan Baral</t>
  </si>
  <si>
    <t>1463904</t>
  </si>
  <si>
    <t>Muktipada Nandi</t>
  </si>
  <si>
    <t>465152</t>
  </si>
  <si>
    <t>M/S Md Ali</t>
  </si>
  <si>
    <t>Tanmoy Choudhury</t>
  </si>
  <si>
    <t>661791</t>
  </si>
  <si>
    <t>Golam Martoj Ali</t>
  </si>
  <si>
    <t>Asgar Ali Seikh</t>
  </si>
  <si>
    <t>2025-06-18</t>
  </si>
  <si>
    <t>Uma Rani Mondal</t>
  </si>
  <si>
    <t>Gajendra Nath Das</t>
  </si>
  <si>
    <t>Subuktigin</t>
  </si>
  <si>
    <t>Abdul Mannan Sekh</t>
  </si>
  <si>
    <t>M/S MAINUL ISLAM</t>
  </si>
  <si>
    <t>ABBAS SK</t>
  </si>
  <si>
    <t>Nirmal Kumar Banerjee</t>
  </si>
  <si>
    <t>DEBENDRA NATH GHOSH</t>
  </si>
  <si>
    <t>SUBODH MONDAL</t>
  </si>
  <si>
    <t>2026-01-04</t>
  </si>
  <si>
    <t>N ALAM FERTILIZER</t>
  </si>
  <si>
    <t>2020-07-31</t>
  </si>
  <si>
    <t>2020-10-20</t>
  </si>
  <si>
    <t>2019-01-03</t>
  </si>
  <si>
    <t>M/S. ROKI FERTILIZER</t>
  </si>
  <si>
    <t>KRISHI ENTERPRISE</t>
  </si>
  <si>
    <t>2025-05-31</t>
  </si>
  <si>
    <t>2024-01-09</t>
  </si>
  <si>
    <t>2024-07-04</t>
  </si>
  <si>
    <t>2025-04-15</t>
  </si>
  <si>
    <t>JAMILA KHATUN</t>
  </si>
  <si>
    <t>2023-04-19</t>
  </si>
  <si>
    <t>1116227</t>
  </si>
  <si>
    <t>RENTU GHOSH</t>
  </si>
  <si>
    <t>MUKTIMOHAN MONDAL</t>
  </si>
  <si>
    <t>RAJESH SK</t>
  </si>
  <si>
    <t>1220453</t>
  </si>
  <si>
    <t>PIARUL SEIKH</t>
  </si>
  <si>
    <t>9735313600</t>
  </si>
  <si>
    <t>PROSENJIT CHANDRA</t>
  </si>
  <si>
    <t>NURSHIA KHATUN</t>
  </si>
  <si>
    <t>DEY ENTERPRISE</t>
  </si>
  <si>
    <t>BHIM MONDAL</t>
  </si>
  <si>
    <t>281687</t>
  </si>
  <si>
    <t>Tapash  Kr Das</t>
  </si>
  <si>
    <t>9064408878</t>
  </si>
  <si>
    <t>Bhagawangola - I</t>
  </si>
  <si>
    <t>Safikul Islam</t>
  </si>
  <si>
    <t>Abdus Samad</t>
  </si>
  <si>
    <t>1320516</t>
  </si>
  <si>
    <t>BIDHAN CHANDRA BISWAS</t>
  </si>
  <si>
    <t>9732816547</t>
  </si>
  <si>
    <t>Subir Kumar Das</t>
  </si>
  <si>
    <t>289310</t>
  </si>
  <si>
    <t>MAHATABUDDIN</t>
  </si>
  <si>
    <t>Md Samsuzzoha</t>
  </si>
  <si>
    <t>9933642334</t>
  </si>
  <si>
    <t>Md Asraful Haque</t>
  </si>
  <si>
    <t xml:space="preserve">Sanjiban Das </t>
  </si>
  <si>
    <t>223289</t>
  </si>
  <si>
    <t>Parbati Shankar Nandi</t>
  </si>
  <si>
    <t>8972180003</t>
  </si>
  <si>
    <t>Muktar Ali</t>
  </si>
  <si>
    <t>Md Samsul Haque</t>
  </si>
  <si>
    <t>Shekh Sadi</t>
  </si>
  <si>
    <t>Alamin Sekh</t>
  </si>
  <si>
    <t>1096940</t>
  </si>
  <si>
    <t>MD.-SAMSUZZOHA</t>
  </si>
  <si>
    <t>2022-05-06</t>
  </si>
  <si>
    <t>GOUTAM KUMAR DAS</t>
  </si>
  <si>
    <t>DULAB BIBI</t>
  </si>
  <si>
    <t>2025-06-05</t>
  </si>
  <si>
    <t>223287</t>
  </si>
  <si>
    <t xml:space="preserve">Arup Kumar Majumder           </t>
  </si>
  <si>
    <t>9476172453</t>
  </si>
  <si>
    <t>MD MILON BASAR</t>
  </si>
  <si>
    <t>2023-04-15</t>
  </si>
  <si>
    <t xml:space="preserve">ABDUS SALAM </t>
  </si>
  <si>
    <t>MD NABIUL SK</t>
  </si>
  <si>
    <t>SAHAJUDDIN SK</t>
  </si>
  <si>
    <t>MD ASHIM AKRAM</t>
  </si>
  <si>
    <t>HAKIM SK</t>
  </si>
  <si>
    <t>NEFAJUDDIN</t>
  </si>
  <si>
    <t>UJJAL CHANDRA DAS</t>
  </si>
  <si>
    <t>2025-07-08</t>
  </si>
  <si>
    <t xml:space="preserve">JAYANTA SINGHA </t>
  </si>
  <si>
    <t>ATIKUR RAHAMAN</t>
  </si>
  <si>
    <t>M/S MILAN CHANDRA DAS</t>
  </si>
  <si>
    <t>FERDOUSA BIBI</t>
  </si>
  <si>
    <t>AMJAD HOSSAIN FERTILIZER</t>
  </si>
  <si>
    <t>2025-08-21</t>
  </si>
  <si>
    <t>MST. JULEMA BIBI</t>
  </si>
  <si>
    <t>M/S SIDDHARTHA FERTILIZER</t>
  </si>
  <si>
    <t>Rabiul Haque</t>
  </si>
  <si>
    <t>1098131</t>
  </si>
  <si>
    <t>RABIUL-HOQUE</t>
  </si>
  <si>
    <t>7477374559</t>
  </si>
  <si>
    <t>223279</t>
  </si>
  <si>
    <t>Sudhir Ranjan Chakraborty</t>
  </si>
  <si>
    <t>9434364324</t>
  </si>
  <si>
    <t>Sokhina Bibi</t>
  </si>
  <si>
    <t>Gour Gopal Mondal</t>
  </si>
  <si>
    <t>Md..Habibur Rahman</t>
  </si>
  <si>
    <t>Saibur Ali</t>
  </si>
  <si>
    <t>Dipti Sarkar</t>
  </si>
  <si>
    <t>NIHARANJAN SARKAR</t>
  </si>
  <si>
    <t>DILIP KUMAR MONDAL</t>
  </si>
  <si>
    <t>2023-12-18</t>
  </si>
  <si>
    <t>TIPU SULTAN FERTILISER</t>
  </si>
  <si>
    <t>SAHO ALAM</t>
  </si>
  <si>
    <t>2019-01-04</t>
  </si>
  <si>
    <t>PIARUL ISLAM</t>
  </si>
  <si>
    <t>2021-04-25</t>
  </si>
  <si>
    <t>1159343</t>
  </si>
  <si>
    <t>PRASANTA KUMAR MONDAL</t>
  </si>
  <si>
    <t>M/S BELAL SK</t>
  </si>
  <si>
    <t>1225743</t>
  </si>
  <si>
    <t>FULBAS ALI</t>
  </si>
  <si>
    <t>Bharatpur - I</t>
  </si>
  <si>
    <t>Nirmal Kumar Saha</t>
  </si>
  <si>
    <t>Dulal Chandra Mondal</t>
  </si>
  <si>
    <t>2025-06-17</t>
  </si>
  <si>
    <t>1138964</t>
  </si>
  <si>
    <t>M/S Amanur Rahaman</t>
  </si>
  <si>
    <t>NIZAM SK</t>
  </si>
  <si>
    <t>SUMSUL HAQUE</t>
  </si>
  <si>
    <t>2025-05-26</t>
  </si>
  <si>
    <t>GOLAM MUSTAFA</t>
  </si>
  <si>
    <t>Bharatpur - II</t>
  </si>
  <si>
    <t>Samsul Alam Chowdhury</t>
  </si>
  <si>
    <t>MD SAIFUDDIN</t>
  </si>
  <si>
    <t>PATKARI DE</t>
  </si>
  <si>
    <t>KRISHI MELA</t>
  </si>
  <si>
    <t>MONDAL KRISHI STORE</t>
  </si>
  <si>
    <t>Bakkar Ali</t>
  </si>
  <si>
    <t>876174</t>
  </si>
  <si>
    <t>Chand Gopal Paul</t>
  </si>
  <si>
    <t>Royal Enterprises</t>
  </si>
  <si>
    <t>211681</t>
  </si>
  <si>
    <t>Firoze Shaikh</t>
  </si>
  <si>
    <t>Md Kafarul Hossain</t>
  </si>
  <si>
    <t>2025-10-04</t>
  </si>
  <si>
    <t>Md. Abu Hasanat Ali</t>
  </si>
  <si>
    <t>2023-07-01</t>
  </si>
  <si>
    <t>2025-02-09</t>
  </si>
  <si>
    <t>Tarun Saha</t>
  </si>
  <si>
    <t>Nasirul Islam</t>
  </si>
  <si>
    <t>Harasankar Pandey</t>
  </si>
  <si>
    <t>2019-03-22</t>
  </si>
  <si>
    <t>256526</t>
  </si>
  <si>
    <t>Bankashyam Dutta</t>
  </si>
  <si>
    <t>7384555867</t>
  </si>
  <si>
    <t>Syed Haniuzzman</t>
  </si>
  <si>
    <t>Mehadul Hossain</t>
  </si>
  <si>
    <t>CHANDRA SEKHAR DAS</t>
  </si>
  <si>
    <t>TARUN KUMAR DEY</t>
  </si>
  <si>
    <t>MD SABURUDDIN SK</t>
  </si>
  <si>
    <t>2025-03-05</t>
  </si>
  <si>
    <t>GOLAM MORTUZA</t>
  </si>
  <si>
    <t>SOUMEN DAS</t>
  </si>
  <si>
    <t>SUJIT KUMAR PAL</t>
  </si>
  <si>
    <t>223290</t>
  </si>
  <si>
    <t>Joydev Paul</t>
  </si>
  <si>
    <t>9474318098</t>
  </si>
  <si>
    <t>GUJJHA KALI FARMER PRODUCER CO</t>
  </si>
  <si>
    <t>JALALUDDIN HOSSAIN</t>
  </si>
  <si>
    <t>SRIKRISHNA MONDAL</t>
  </si>
  <si>
    <t>Domkal</t>
  </si>
  <si>
    <t>Mahabat Ali</t>
  </si>
  <si>
    <t>9434013573</t>
  </si>
  <si>
    <t>281705</t>
  </si>
  <si>
    <t>MAHABAT ALI</t>
  </si>
  <si>
    <t>Billal Hossain</t>
  </si>
  <si>
    <t>2023-05-11</t>
  </si>
  <si>
    <t>Saiful Islam</t>
  </si>
  <si>
    <t>Arjam Biswas</t>
  </si>
  <si>
    <t>2025-09-07</t>
  </si>
  <si>
    <t>Arman Ali</t>
  </si>
  <si>
    <t>Asmat Ali Mondal</t>
  </si>
  <si>
    <t>Azizul Islam</t>
  </si>
  <si>
    <t>1557438</t>
  </si>
  <si>
    <t>Sujahan Mondal</t>
  </si>
  <si>
    <t>Manirujjaman Biswas</t>
  </si>
  <si>
    <t>Susanta Kr.Saha</t>
  </si>
  <si>
    <t>SABUR ALI</t>
  </si>
  <si>
    <t>MUKULA BIBI</t>
  </si>
  <si>
    <t>BISWAJI BISWAS</t>
  </si>
  <si>
    <t>HIRENDRANATH BISWAS</t>
  </si>
  <si>
    <t>SOMNATH PAL</t>
  </si>
  <si>
    <t>ALI HOSSAIN SHA</t>
  </si>
  <si>
    <t>RAKIBUL ISLAM</t>
  </si>
  <si>
    <t>SARIFUL ISLAM</t>
  </si>
  <si>
    <t>SAHABUDDIN MONDAL</t>
  </si>
  <si>
    <t>SUMIT BISWAS</t>
  </si>
  <si>
    <t>2024-05-12</t>
  </si>
  <si>
    <t>1116229</t>
  </si>
  <si>
    <t>SETABUDDIN BISWAS</t>
  </si>
  <si>
    <t>GANGADASPARA SKUS LTD</t>
  </si>
  <si>
    <t>ABDUR RASID MANDAL</t>
  </si>
  <si>
    <t>2021-01-26</t>
  </si>
  <si>
    <t>M/S BISWAS FERTILISER</t>
  </si>
  <si>
    <t>MS RAHAT FERTILIZER</t>
  </si>
  <si>
    <t>AMRUL ISLAM</t>
  </si>
  <si>
    <t>ENAFUL ISLAM MONDAL</t>
  </si>
  <si>
    <t>MOSTAFA SEKH</t>
  </si>
  <si>
    <t>ENAMUL HAQUE</t>
  </si>
  <si>
    <t>SAJAHAN MONDAL</t>
  </si>
  <si>
    <t>SOHEL RANA</t>
  </si>
  <si>
    <t>Farakka</t>
  </si>
  <si>
    <t>Sk Samsher Ali</t>
  </si>
  <si>
    <t>2022-04-10</t>
  </si>
  <si>
    <t>TINKU KRISHI GHAR</t>
  </si>
  <si>
    <t>PRADIP KUMAR MONDAL</t>
  </si>
  <si>
    <t>1140145</t>
  </si>
  <si>
    <t>Hariharpara</t>
  </si>
  <si>
    <t>Rejaul Hoque</t>
  </si>
  <si>
    <t>Sahajahan Biswas</t>
  </si>
  <si>
    <t>Abul Kalam</t>
  </si>
  <si>
    <t>2025-06-28</t>
  </si>
  <si>
    <t>Khairul Hasan</t>
  </si>
  <si>
    <t>Hasanuzzaman</t>
  </si>
  <si>
    <t>AFROJA BIBI</t>
  </si>
  <si>
    <t>FARUK SAIKH</t>
  </si>
  <si>
    <t>REKSONA KHATUN</t>
  </si>
  <si>
    <t>GOLAM MUSTAFA MONDAL</t>
  </si>
  <si>
    <t>1272718</t>
  </si>
  <si>
    <t>MUKLESH BISWAS</t>
  </si>
  <si>
    <t>9733941741</t>
  </si>
  <si>
    <t>M/S MOLLA FERTILIZER</t>
  </si>
  <si>
    <t>BITTU BANERJEE</t>
  </si>
  <si>
    <t>WASHIM FERTILIZER</t>
  </si>
  <si>
    <t>Ramen Kumar Mandal</t>
  </si>
  <si>
    <t>Debabrata Saha</t>
  </si>
  <si>
    <t>Rajjak Molla</t>
  </si>
  <si>
    <t>Jnanaranjon Sarkar</t>
  </si>
  <si>
    <t>Shikha Rani Saha</t>
  </si>
  <si>
    <t>Pradip Joardar</t>
  </si>
  <si>
    <t>Azimuddin Mandal</t>
  </si>
  <si>
    <t>Prasanta Kumar Halder</t>
  </si>
  <si>
    <t>FARHIN AFROZ</t>
  </si>
  <si>
    <t>SAFIKUL ISLAM MONDAL</t>
  </si>
  <si>
    <t>BASARUL ISLAM</t>
  </si>
  <si>
    <t>SOUMITRA CHANDRA</t>
  </si>
  <si>
    <t>M/S Dinabandhu Ghosh</t>
  </si>
  <si>
    <t>M/S Nirmal Krishna Ghosh</t>
  </si>
  <si>
    <t>Sukurulla Sk</t>
  </si>
  <si>
    <t>Nandadulal Rajbanshi</t>
  </si>
  <si>
    <t>Dipak Kumar Das</t>
  </si>
  <si>
    <t>Samir Kumar P Alit</t>
  </si>
  <si>
    <t>Nurjamat Haque</t>
  </si>
  <si>
    <t>M/S Hasanur Jaman</t>
  </si>
  <si>
    <t>M/S.Siddiqui Fertilizer</t>
  </si>
  <si>
    <t>Bidyut Dutta</t>
  </si>
  <si>
    <t>Md.Rustam Sk.</t>
  </si>
  <si>
    <t>Sachidananda Dutta</t>
  </si>
  <si>
    <t>Mir Sirajul Islam</t>
  </si>
  <si>
    <t>NIJAMUDDIN SK</t>
  </si>
  <si>
    <t>ALAM ENTERPRISE</t>
  </si>
  <si>
    <t>SABINA KHATUN</t>
  </si>
  <si>
    <t>HAZARAT ALI</t>
  </si>
  <si>
    <t>TAPASH SAHA</t>
  </si>
  <si>
    <t>UDAY CHANDRA SAHA</t>
  </si>
  <si>
    <t>DEBASIS MONDAL</t>
  </si>
  <si>
    <t>KIRONMOY CHANDRA</t>
  </si>
  <si>
    <t>RAJIB LOCHAN GHOSH</t>
  </si>
  <si>
    <t>NEW PRAMANIK FERTILIZER</t>
  </si>
  <si>
    <t>SAFIKUL ISLAM</t>
  </si>
  <si>
    <t>SRI SRI RAMKRISHNA SAR GHAR</t>
  </si>
  <si>
    <t>SUN AGRO</t>
  </si>
  <si>
    <t>KALIMUDDIN FERTILIZER</t>
  </si>
  <si>
    <t>IMRAN ALI</t>
  </si>
  <si>
    <t>281698</t>
  </si>
  <si>
    <t>Khargram</t>
  </si>
  <si>
    <t>Abdur Roshid</t>
  </si>
  <si>
    <t>Netai Kumar Saha</t>
  </si>
  <si>
    <t>Naba Kumar Pal</t>
  </si>
  <si>
    <t>Faijuddin Mondal</t>
  </si>
  <si>
    <t>SUMIT PRAMANIK</t>
  </si>
  <si>
    <t>2025-06-16</t>
  </si>
  <si>
    <t>Rejaul Haque</t>
  </si>
  <si>
    <t>Abul Barkat</t>
  </si>
  <si>
    <t>Nabir Ali</t>
  </si>
  <si>
    <t>ABHIJIT GHOSH</t>
  </si>
  <si>
    <t>TARAK NATH SAHA</t>
  </si>
  <si>
    <t>SUBRATA MONDAL</t>
  </si>
  <si>
    <t>Abdul Karim</t>
  </si>
  <si>
    <t>GOUTAM KUMAR SARKAR</t>
  </si>
  <si>
    <t>BAPAN MONDAL</t>
  </si>
  <si>
    <t>PANKAJ GHOSH</t>
  </si>
  <si>
    <t>MD SAYER ALI</t>
  </si>
  <si>
    <t>FAIJUL KABIR SK</t>
  </si>
  <si>
    <t>BARKET MAYE KRISHI BHANDER</t>
  </si>
  <si>
    <t>M/S MAA FERTILIZER</t>
  </si>
  <si>
    <t>281697</t>
  </si>
  <si>
    <t>PAL FERTILIZER</t>
  </si>
  <si>
    <t>Md Ashraf Ali</t>
  </si>
  <si>
    <t>9733973220</t>
  </si>
  <si>
    <t>355437</t>
  </si>
  <si>
    <t>Asraf Ali</t>
  </si>
  <si>
    <t>Mojibur Rahaman</t>
  </si>
  <si>
    <t>2024-01-14</t>
  </si>
  <si>
    <t>289319</t>
  </si>
  <si>
    <t>M/S Debasis Das</t>
  </si>
  <si>
    <t>Md Mirjahan Ali</t>
  </si>
  <si>
    <t>9851341063</t>
  </si>
  <si>
    <t>Rabindra Nath Mandal</t>
  </si>
  <si>
    <t>Bikash Chandra Das</t>
  </si>
  <si>
    <t>Md. Nurabul Alam</t>
  </si>
  <si>
    <t>Md. Rafikul Islam</t>
  </si>
  <si>
    <t>281689</t>
  </si>
  <si>
    <t>Baduruddin Sarkar</t>
  </si>
  <si>
    <t xml:space="preserve">Md. Minarul Islam </t>
  </si>
  <si>
    <t>9635304081</t>
  </si>
  <si>
    <t>Md. Moyjuddin</t>
  </si>
  <si>
    <t>1255882</t>
  </si>
  <si>
    <t>Umar Ali</t>
  </si>
  <si>
    <t>2023-10-30</t>
  </si>
  <si>
    <t>2023-10-29</t>
  </si>
  <si>
    <t>DIPTI KUMAR DAS</t>
  </si>
  <si>
    <t>SUBHAS CHANDRA DAS</t>
  </si>
  <si>
    <t>MD OBAIDUR RAHOMAN</t>
  </si>
  <si>
    <t>223291</t>
  </si>
  <si>
    <t>M/S Keshri Mal Jain</t>
  </si>
  <si>
    <t>7718281841</t>
  </si>
  <si>
    <t>MD AKMAL HOSSAIN</t>
  </si>
  <si>
    <t>SADANANDA DAS</t>
  </si>
  <si>
    <t>RAMIZ HASAN</t>
  </si>
  <si>
    <t>MD PIARUL ISLAM</t>
  </si>
  <si>
    <t>2024-11-25</t>
  </si>
  <si>
    <t>Sirifa Bibi</t>
  </si>
  <si>
    <t>MD AZIZUR RAHAMAN</t>
  </si>
  <si>
    <t>MD JOHARUL ISLAM</t>
  </si>
  <si>
    <t>658735</t>
  </si>
  <si>
    <t>MD MINARUL ISLAM</t>
  </si>
  <si>
    <t>AMAL KR SAHA</t>
  </si>
  <si>
    <t>DULAL KUMAR SHIL</t>
  </si>
  <si>
    <t>MD. MILTON</t>
  </si>
  <si>
    <t>MUKLEMA BIBI</t>
  </si>
  <si>
    <t>MST JAIBAN NESHA</t>
  </si>
  <si>
    <t>TOUFIK AHMED</t>
  </si>
  <si>
    <t>ASIF AGRO CHEMICALS</t>
  </si>
  <si>
    <t>MD SHAFI KAMAL</t>
  </si>
  <si>
    <t>NIRANANDA DAS</t>
  </si>
  <si>
    <t>Anirul Islam</t>
  </si>
  <si>
    <t>Ashutosh Das</t>
  </si>
  <si>
    <t>Ram Prasad Basak</t>
  </si>
  <si>
    <t xml:space="preserve">Abdus Sattar </t>
  </si>
  <si>
    <t>Shyamal Kumar Mondal</t>
  </si>
  <si>
    <t>Tarani Dhar Biswas</t>
  </si>
  <si>
    <t>Sambhu Charan Mandal</t>
  </si>
  <si>
    <t>Sunit Kumar Mandal</t>
  </si>
  <si>
    <t>M/S AKHIL GHOSH</t>
  </si>
  <si>
    <t>2025-08-01</t>
  </si>
  <si>
    <t>Harinarayan Dey</t>
  </si>
  <si>
    <t>Nandadulal  Mondal</t>
  </si>
  <si>
    <t>Tapas Kumar Das</t>
  </si>
  <si>
    <t>Swapan Kumar Das</t>
  </si>
  <si>
    <t>Radhamadhab Fertilizer</t>
  </si>
  <si>
    <t>Soumabrata Mandal</t>
  </si>
  <si>
    <t>Shuvra Chakraborty</t>
  </si>
  <si>
    <t>Sarjuma Bibi</t>
  </si>
  <si>
    <t>Sachin Enterprise</t>
  </si>
  <si>
    <t>Bidyut Sarkar</t>
  </si>
  <si>
    <t>Sujit Kumar Pal</t>
  </si>
  <si>
    <t>Md.Sariful Biswas</t>
  </si>
  <si>
    <t>DIPANKAR DAS</t>
  </si>
  <si>
    <t>TOPIKUL ISLAM</t>
  </si>
  <si>
    <t>NAJRUL SK</t>
  </si>
  <si>
    <t xml:space="preserve">BISHWAJIT MONDAL </t>
  </si>
  <si>
    <t>MD GOLABUR RAHAMAN</t>
  </si>
  <si>
    <t>Probir Sarkar</t>
  </si>
  <si>
    <t>MD SAZZAD ALI</t>
  </si>
  <si>
    <t>TARUN GHOSH</t>
  </si>
  <si>
    <t>RAMESH MANDAL</t>
  </si>
  <si>
    <t>BIMAN MONDAL</t>
  </si>
  <si>
    <t>SAGAR MONDAL</t>
  </si>
  <si>
    <t>SUBHAMAY MONDAL</t>
  </si>
  <si>
    <t>SUMANTA MANDAL</t>
  </si>
  <si>
    <t>CHARITRA CHOWDHURY</t>
  </si>
  <si>
    <t>MD MAZED RAHAMAN</t>
  </si>
  <si>
    <t>BISWANATH PAUL</t>
  </si>
  <si>
    <t>rANJIT MONDAL</t>
  </si>
  <si>
    <t>MD SAJIBUR SHAIKH</t>
  </si>
  <si>
    <t>2025-06-30</t>
  </si>
  <si>
    <t>MD JALAUDDIN SK</t>
  </si>
  <si>
    <t>MD ABDUL KHABIR</t>
  </si>
  <si>
    <t>9734115502</t>
  </si>
  <si>
    <t>MIRA KHATUN</t>
  </si>
  <si>
    <t>TRISHNA SINGHA</t>
  </si>
  <si>
    <t>MARJINA BIBI</t>
  </si>
  <si>
    <t>SADIKUL ISLAM</t>
  </si>
  <si>
    <t>NABIRUL ISLAM</t>
  </si>
  <si>
    <t>DEBASHIS GHOSH</t>
  </si>
  <si>
    <t>Soumen Mandal</t>
  </si>
  <si>
    <t>Jasimuddin S.K.</t>
  </si>
  <si>
    <t>M/S Adhir Singha</t>
  </si>
  <si>
    <t>Bidhan Mitra</t>
  </si>
  <si>
    <t>Md Jakir Hossain</t>
  </si>
  <si>
    <t>M/s Ohida Bibi</t>
  </si>
  <si>
    <t>Samsul Alam</t>
  </si>
  <si>
    <t>Altafur Rahaman</t>
  </si>
  <si>
    <t>Ekramul Houque</t>
  </si>
  <si>
    <t>Sanjoy Kumar Mondal</t>
  </si>
  <si>
    <t>Rakesul Kader</t>
  </si>
  <si>
    <t>Mahadev Mondal</t>
  </si>
  <si>
    <t>Ranajoy Mandal</t>
  </si>
  <si>
    <t>Uma Mondal</t>
  </si>
  <si>
    <t>Nikhil Roychowdhury</t>
  </si>
  <si>
    <t>Timir Roychoudhury</t>
  </si>
  <si>
    <t>Sabana Fertiliser</t>
  </si>
  <si>
    <t>Sib Sankar Mondal</t>
  </si>
  <si>
    <t>CHASHI GHAR</t>
  </si>
  <si>
    <t>Nizamuddin Seikh</t>
  </si>
  <si>
    <t>SABANA FERTILIZER</t>
  </si>
  <si>
    <t>MD AMIN ALI</t>
  </si>
  <si>
    <t>SATYA KINKAR DUTTA</t>
  </si>
  <si>
    <t>MOSLEM SK</t>
  </si>
  <si>
    <t>M/S RABIUL ALAM</t>
  </si>
  <si>
    <t>2025-01-29</t>
  </si>
  <si>
    <t>SUMON MONDAL</t>
  </si>
  <si>
    <t>MILI KHATUN</t>
  </si>
  <si>
    <t>Debapriya Mandal</t>
  </si>
  <si>
    <t>ARFUL MONDAL</t>
  </si>
  <si>
    <t>ASIF HOSSAIN</t>
  </si>
  <si>
    <t>2022-12-04</t>
  </si>
  <si>
    <t>ROBIUL ISLAM</t>
  </si>
  <si>
    <t>RABIN MONDAL</t>
  </si>
  <si>
    <t>Motiur Rahaman</t>
  </si>
  <si>
    <t>MD FERTILIZER</t>
  </si>
  <si>
    <t>2024-10-11</t>
  </si>
  <si>
    <t>KOUSHIK MANDAL</t>
  </si>
  <si>
    <t>R FERTILISER AND PESTICIDE</t>
  </si>
  <si>
    <t>NUR KRISHI BHANDAR</t>
  </si>
  <si>
    <t>ANSARI KRISHIGHAR</t>
  </si>
  <si>
    <t>PRADIP MONDAL</t>
  </si>
  <si>
    <t>Afarid Molla</t>
  </si>
  <si>
    <t>Asit Kumar Mondal</t>
  </si>
  <si>
    <t xml:space="preserve">Rabindra Nath Mondal </t>
  </si>
  <si>
    <t>Taj Ali Mondal</t>
  </si>
  <si>
    <t>Faruk Biswas</t>
  </si>
  <si>
    <t>Sirajul Biswas</t>
  </si>
  <si>
    <t>Mrityunjoy Mondal</t>
  </si>
  <si>
    <t>1223223</t>
  </si>
  <si>
    <t>Rajjak Malitya</t>
  </si>
  <si>
    <t>NURIMAN SK</t>
  </si>
  <si>
    <t>2024-12-26</t>
  </si>
  <si>
    <t>Manjarul sheikh</t>
  </si>
  <si>
    <t>Afajuddin Mondal</t>
  </si>
  <si>
    <t xml:space="preserve">Nikhil Biswas </t>
  </si>
  <si>
    <t>MATIUR RAHAMAN MANDAL</t>
  </si>
  <si>
    <t>USUF ALI MALITYA</t>
  </si>
  <si>
    <t>NURIL MIL NUR ALAM</t>
  </si>
  <si>
    <t>Dinesh Kumar Biswas</t>
  </si>
  <si>
    <t>MONDAL FERTLIZER</t>
  </si>
  <si>
    <t xml:space="preserve">ASIF IKBAL </t>
  </si>
  <si>
    <t>NUMAN KRISHI GHAR</t>
  </si>
  <si>
    <t>SAJAMAL SHEIKH</t>
  </si>
  <si>
    <t>1377494</t>
  </si>
  <si>
    <t>SELIM REJA SARDAR</t>
  </si>
  <si>
    <t>9647284847</t>
  </si>
  <si>
    <t>RIPON SK</t>
  </si>
  <si>
    <t>NARGIS KHATUN</t>
  </si>
  <si>
    <t>NAJBUL SK</t>
  </si>
  <si>
    <t>JAKIA KHATUN</t>
  </si>
  <si>
    <t>Raghunathganj - I</t>
  </si>
  <si>
    <t>Golam Mustak Ahmed</t>
  </si>
  <si>
    <t>Murselim Sekh</t>
  </si>
  <si>
    <t>Babulal Paul</t>
  </si>
  <si>
    <t>Partha Pratim Dutta</t>
  </si>
  <si>
    <t>ANANTA MONDAL</t>
  </si>
  <si>
    <t>SAJU FERTILIZER</t>
  </si>
  <si>
    <t>Sk Hasanuzzaman</t>
  </si>
  <si>
    <t>JANTA KRISHI BHANDAR</t>
  </si>
  <si>
    <t>JOY DUTTA</t>
  </si>
  <si>
    <t>SADRUL ALAM</t>
  </si>
  <si>
    <t>MotaharHossain</t>
  </si>
  <si>
    <t>SIMA DAS</t>
  </si>
  <si>
    <t>MD DARBESH ALI</t>
  </si>
  <si>
    <t>Raghunathganj - II</t>
  </si>
  <si>
    <t>Md Yeasuddin Sk</t>
  </si>
  <si>
    <t>Mijanur Rahaman</t>
  </si>
  <si>
    <t>Saiful Khan</t>
  </si>
  <si>
    <t>ASMA BEEJ BHANDAR</t>
  </si>
  <si>
    <t>2023-12-08</t>
  </si>
  <si>
    <t>SANTANU SARKAR</t>
  </si>
  <si>
    <t>2023-06-14</t>
  </si>
  <si>
    <t>1288378</t>
  </si>
  <si>
    <t>FULLTUSHI KRISHI GHAR</t>
  </si>
  <si>
    <t>A.K.M. Tahiduzzaman</t>
  </si>
  <si>
    <t>7699547814</t>
  </si>
  <si>
    <t>Abdur Rahaman</t>
  </si>
  <si>
    <t>Jahiruddin Sk</t>
  </si>
  <si>
    <t>Nitish Kumar  Mondal</t>
  </si>
  <si>
    <t>Harendra Nath Mondal</t>
  </si>
  <si>
    <t>Sariful Islam</t>
  </si>
  <si>
    <t>Merajul Islam</t>
  </si>
  <si>
    <t>Mihir Mandal</t>
  </si>
  <si>
    <t>SUDIPTO SARKAR</t>
  </si>
  <si>
    <t>NUR ISLAM SAIKH</t>
  </si>
  <si>
    <t>M/S MOMOTAZ BIBI</t>
  </si>
  <si>
    <t>2023-05-23</t>
  </si>
  <si>
    <t>MONIENDIR FERTILIZER</t>
  </si>
  <si>
    <t>Mainul Islam</t>
  </si>
  <si>
    <t>2022-09-27</t>
  </si>
  <si>
    <t>599997</t>
  </si>
  <si>
    <t>RADHA MADHAB FERTILISER</t>
  </si>
  <si>
    <t xml:space="preserve">Azizur Rahaman </t>
  </si>
  <si>
    <t>Abdul Jabbar</t>
  </si>
  <si>
    <t>Emdadul Hoque</t>
  </si>
  <si>
    <t>Anarul Islam</t>
  </si>
  <si>
    <t>Motiul Islam</t>
  </si>
  <si>
    <t>Alauddin Sk</t>
  </si>
  <si>
    <t>MOZAMMEL HAQUE</t>
  </si>
  <si>
    <t>NRIPENDRA NATH MONDAL</t>
  </si>
  <si>
    <t>JISAN FERTILIZER</t>
  </si>
  <si>
    <t>A N AGRO CARE</t>
  </si>
  <si>
    <t>M/S Hari Kishan Bhakat</t>
  </si>
  <si>
    <t>Badaruddin Ahmed</t>
  </si>
  <si>
    <t>Fatema Begum</t>
  </si>
  <si>
    <t>Harhari Skus Ltd</t>
  </si>
  <si>
    <t>9434394715</t>
  </si>
  <si>
    <t>1050194</t>
  </si>
  <si>
    <t>HARHARI SKUS LTD</t>
  </si>
  <si>
    <t>Padam Chand</t>
  </si>
  <si>
    <t>Takbir Ali</t>
  </si>
  <si>
    <t>Md Ataullah</t>
  </si>
  <si>
    <t>Md Ibrahim</t>
  </si>
  <si>
    <t>Mominul Shaikh</t>
  </si>
  <si>
    <t>Rajeswari Mahara</t>
  </si>
  <si>
    <t>Shyamal Krishna Chandra</t>
  </si>
  <si>
    <t>Sk. Abdullah</t>
  </si>
  <si>
    <t>Utpal Debnath</t>
  </si>
  <si>
    <t>Nure Alam Dewan</t>
  </si>
  <si>
    <t>Minarul Sk</t>
  </si>
  <si>
    <t>Alimuddin Sk</t>
  </si>
  <si>
    <t>Ashis Bhakat</t>
  </si>
  <si>
    <t>Samim Parwaz</t>
  </si>
  <si>
    <t>Mumtaz Begum</t>
  </si>
  <si>
    <t>SOHEL HODA</t>
  </si>
  <si>
    <t>BISWAJIT PRAMANIK</t>
  </si>
  <si>
    <t>BASIR ALAM</t>
  </si>
  <si>
    <t>ABUL BASAR</t>
  </si>
  <si>
    <t>BIKASH MITRA</t>
  </si>
  <si>
    <t>2024-01-19</t>
  </si>
  <si>
    <t>PARESH CHANDRA MONDAL</t>
  </si>
  <si>
    <t>KAMALA KANTA MONDAL</t>
  </si>
  <si>
    <t>MD ZINARUL SEKH</t>
  </si>
  <si>
    <t>MD RABIUL ALAM DEWAN</t>
  </si>
  <si>
    <t>ALAMGIR SK</t>
  </si>
  <si>
    <t>HELALUDDIN SEIKH</t>
  </si>
  <si>
    <t>KARID HASAN</t>
  </si>
  <si>
    <t>SK SAFAR ALI</t>
  </si>
  <si>
    <t>JOY KRISHNA DUTTA</t>
  </si>
  <si>
    <t>SADER ALI</t>
  </si>
  <si>
    <t>NASIRA BIBI</t>
  </si>
  <si>
    <t>MEHEDI HASAN</t>
  </si>
  <si>
    <t>SUKHEN KUMAR MANDAL</t>
  </si>
  <si>
    <t>SURENDRA NATHY MONDAL</t>
  </si>
  <si>
    <t>NAZIR HOSSAIN</t>
  </si>
  <si>
    <t>BAHAL DEWAN</t>
  </si>
  <si>
    <t>ABDUR RAHAMAN CHOWDHURY</t>
  </si>
  <si>
    <t>JYOTSNA KHATUN BIBI</t>
  </si>
  <si>
    <t>KUDROT ALI</t>
  </si>
  <si>
    <t>MOTAHAR HOSSAIN</t>
  </si>
  <si>
    <t>DEBASHIS PRAMANIK</t>
  </si>
  <si>
    <t>MUNTAJ ALI</t>
  </si>
  <si>
    <t>SAMEYA ZAMAN NURI</t>
  </si>
  <si>
    <t>SONALI GHOSH MONDAL</t>
  </si>
  <si>
    <t>TOTAN MONDAL</t>
  </si>
  <si>
    <t>MD SOHEL RANA</t>
  </si>
  <si>
    <t>MANIRUL ISLAM</t>
  </si>
  <si>
    <t>RUMI MAL</t>
  </si>
  <si>
    <t>HAZIBUL RAHMAN</t>
  </si>
  <si>
    <t>2025-05-05</t>
  </si>
  <si>
    <t>Suti - I</t>
  </si>
  <si>
    <t>Rajib Khamaru</t>
  </si>
  <si>
    <t>Abu Bakkar</t>
  </si>
  <si>
    <t>Dutta Fertilizer</t>
  </si>
  <si>
    <t>MD BABUL SAIKH</t>
  </si>
  <si>
    <t xml:space="preserve">KISHORE KANTI DAS </t>
  </si>
  <si>
    <t>ANJALI KRISHI GHAR</t>
  </si>
  <si>
    <t>2024-05-04</t>
  </si>
  <si>
    <t>PRONAB MAJHI</t>
  </si>
  <si>
    <t>SOHIDUL ISLAM</t>
  </si>
  <si>
    <t>Suti - II</t>
  </si>
  <si>
    <t>S P M FERTILIZER SHOP</t>
  </si>
  <si>
    <t>Apurba Das</t>
  </si>
  <si>
    <t>MITHUN DAS</t>
  </si>
  <si>
    <t>BHAGBAT MONDAL</t>
  </si>
  <si>
    <t>UTTAM ROY</t>
  </si>
  <si>
    <t>Abdul Khalil</t>
  </si>
  <si>
    <t>Abdul Latif</t>
  </si>
  <si>
    <t>Bikash Mandal</t>
  </si>
  <si>
    <t>Kashi Nath Saha</t>
  </si>
  <si>
    <t xml:space="preserve">Umapada Pal </t>
  </si>
  <si>
    <t>2019-04-03</t>
  </si>
  <si>
    <t>Kamrujjman</t>
  </si>
  <si>
    <t>2025-04-24</t>
  </si>
  <si>
    <t>Md. Jamal Uddin</t>
  </si>
  <si>
    <t>2022-09-08</t>
  </si>
  <si>
    <t>2022-08-07</t>
  </si>
  <si>
    <t>Muklesh Biswas</t>
  </si>
  <si>
    <t>Jadupati Sarkar</t>
  </si>
  <si>
    <t>Afroj Hossain</t>
  </si>
  <si>
    <t>9733507660</t>
  </si>
  <si>
    <t>2024-08-16</t>
  </si>
  <si>
    <t>1141448</t>
  </si>
  <si>
    <t>Sumanta Kumar Saha</t>
  </si>
  <si>
    <t>MINTU SEKH</t>
  </si>
  <si>
    <t>2019-04-29</t>
  </si>
  <si>
    <t>Md. Hamidul Sk.</t>
  </si>
  <si>
    <t>2019-11-28</t>
  </si>
  <si>
    <t>1098674</t>
  </si>
  <si>
    <t>SOUMENDRA NATH SAHA</t>
  </si>
  <si>
    <t>M/S PRASANTA KUMAR MONDAL</t>
  </si>
  <si>
    <t>Krishi Fertilizer</t>
  </si>
  <si>
    <t>TINKU FERTILIZER</t>
  </si>
  <si>
    <t>RCF Compost</t>
  </si>
  <si>
    <t>City Compost</t>
  </si>
  <si>
    <t>HASANUJJAMAN MONDAL</t>
  </si>
  <si>
    <t>2020-01-23</t>
  </si>
  <si>
    <t>BIJALI ENTERPRISE</t>
  </si>
  <si>
    <t>2020-10-27</t>
  </si>
  <si>
    <t>MD SABIR AKBAR AMED</t>
  </si>
  <si>
    <t>589743</t>
  </si>
  <si>
    <t>JOY SHANKAR DUTTA &amp; SONS FERTI</t>
  </si>
  <si>
    <t>7699039330</t>
  </si>
  <si>
    <t>RAINBOW FERTILIZER</t>
  </si>
  <si>
    <t>2021-07-01</t>
  </si>
  <si>
    <t>BIPLAB CHAKRABORTY</t>
  </si>
  <si>
    <t>MD NAKSAR ALI</t>
  </si>
  <si>
    <t>2022-05-12</t>
  </si>
  <si>
    <t>AKBOR SK</t>
  </si>
  <si>
    <t>2020-01-18</t>
  </si>
  <si>
    <t>SAIMAN ALI</t>
  </si>
  <si>
    <t>NARAYAN PAUL</t>
  </si>
  <si>
    <t>MD SORIFUL ISLAM</t>
  </si>
  <si>
    <t>1225739</t>
  </si>
  <si>
    <t>BAHARUL ISLAM</t>
  </si>
  <si>
    <t>9932460909</t>
  </si>
  <si>
    <t>ANOWAR HOSSAIN</t>
  </si>
  <si>
    <t>2020-07-08</t>
  </si>
  <si>
    <t>MD KUDRATULLAH</t>
  </si>
  <si>
    <t>2019-03-29</t>
  </si>
  <si>
    <t>FULKUMARI MONDAL</t>
  </si>
  <si>
    <t>2022-06-24</t>
  </si>
  <si>
    <t>TAPAS JOWARDAR</t>
  </si>
  <si>
    <t>2024-01-02</t>
  </si>
  <si>
    <t>SURAYA YEASMIN</t>
  </si>
  <si>
    <t>JAMAL SK</t>
  </si>
  <si>
    <t>MATLEB ALI</t>
  </si>
  <si>
    <t>BRAJA KUMAR MANDAL</t>
  </si>
  <si>
    <t>KABIR FERTILIZER</t>
  </si>
  <si>
    <t>NAJIRA KHATUN</t>
  </si>
  <si>
    <t>GHOSH FERTILIZER SEED</t>
  </si>
  <si>
    <t>SAMIM FERTILIZER</t>
  </si>
  <si>
    <t>KIRTIPUR MATIR GOLPO FPC LTD</t>
  </si>
  <si>
    <t>Paresh Nath Singha</t>
  </si>
  <si>
    <t>214222</t>
  </si>
  <si>
    <t>Abdul Ohab Gharami</t>
  </si>
  <si>
    <t>260209</t>
  </si>
  <si>
    <t>Abdul Ohab Mondal</t>
  </si>
  <si>
    <t>260177</t>
  </si>
  <si>
    <t>M/S Achinta Kr Das</t>
  </si>
  <si>
    <t>441419</t>
  </si>
  <si>
    <t>M/S Namita Chanda</t>
  </si>
  <si>
    <t>9775677020</t>
  </si>
  <si>
    <t>M/S Ajoy Ghosh</t>
  </si>
  <si>
    <t>Altab Mondal</t>
  </si>
  <si>
    <t>1043444</t>
  </si>
  <si>
    <t>UMA RANI SAHA</t>
  </si>
  <si>
    <t>9775414001</t>
  </si>
  <si>
    <t>Amal Mondal</t>
  </si>
  <si>
    <t>260210</t>
  </si>
  <si>
    <t>281285</t>
  </si>
  <si>
    <t>Amit Biswas</t>
  </si>
  <si>
    <t>281284</t>
  </si>
  <si>
    <t>Sadhan Kumar Ghosh</t>
  </si>
  <si>
    <t>7602136568</t>
  </si>
  <si>
    <t>Ananda Tarafder</t>
  </si>
  <si>
    <t>Ashoke Kr. Ghosh</t>
  </si>
  <si>
    <t>M/S Ayub Hossain</t>
  </si>
  <si>
    <t>2024-03-17</t>
  </si>
  <si>
    <t>Babul Ch. Bala</t>
  </si>
  <si>
    <t>Bapi Biswas</t>
  </si>
  <si>
    <t>M/S BIMAL KUMAR PAUL</t>
  </si>
  <si>
    <t>Bishnupada Sarkar</t>
  </si>
  <si>
    <t>Debasish Ghosh</t>
  </si>
  <si>
    <t>Dhirendra Nath Biswas</t>
  </si>
  <si>
    <t>M/S DILIP KUMAR BALA</t>
  </si>
  <si>
    <t>M/S Dipankar Sen</t>
  </si>
  <si>
    <t>Firoj Ali Mondal</t>
  </si>
  <si>
    <t>Hayder Ali Mondal</t>
  </si>
  <si>
    <t>M/S KAMAL BISWAS</t>
  </si>
  <si>
    <t>9733645039</t>
  </si>
  <si>
    <t>259034</t>
  </si>
  <si>
    <t>Karabina Mondal</t>
  </si>
  <si>
    <t>Kawcher Ali Mondal</t>
  </si>
  <si>
    <t>Madan Mohan Biswas</t>
  </si>
  <si>
    <t>1222703</t>
  </si>
  <si>
    <t>SANDIP CHANDA</t>
  </si>
  <si>
    <t>9232773990</t>
  </si>
  <si>
    <t>Madhusudan Debnath</t>
  </si>
  <si>
    <t>M/S MADHU SUDAN GHOSH</t>
  </si>
  <si>
    <t>Mahadeb Santra</t>
  </si>
  <si>
    <t>Mainul Haque</t>
  </si>
  <si>
    <t>2025-02-07</t>
  </si>
  <si>
    <t>2025-01-05</t>
  </si>
  <si>
    <t>Mofijul Haque</t>
  </si>
  <si>
    <t>M/s Nihar Ranjan Das</t>
  </si>
  <si>
    <t>Nirmal Kr. Ghosh</t>
  </si>
  <si>
    <t>M/s Nityagopal Paul</t>
  </si>
  <si>
    <t>M/S PROBODH KIJMAR CHANDA</t>
  </si>
  <si>
    <t>MIS HABINOHA NATH GHOSH</t>
  </si>
  <si>
    <t>2024-10-30</t>
  </si>
  <si>
    <t>1214830</t>
  </si>
  <si>
    <t>Ranjan Sadhukhan</t>
  </si>
  <si>
    <t>Pijush Kanti Das</t>
  </si>
  <si>
    <t>Pranab Sarkar</t>
  </si>
  <si>
    <t>Ranjan Biswas</t>
  </si>
  <si>
    <t>M/S Debnath Enterprise</t>
  </si>
  <si>
    <t>Najibuddin Mondal</t>
  </si>
  <si>
    <t>Ram Prasad Mandal</t>
  </si>
  <si>
    <t>Sailesh Chandra Basu</t>
  </si>
  <si>
    <t>Sanjib Kumar Ghosh</t>
  </si>
  <si>
    <t>Sankar Sarkar</t>
  </si>
  <si>
    <t>2024-09-29</t>
  </si>
  <si>
    <t>Sujit Dutta</t>
  </si>
  <si>
    <t xml:space="preserve">M/S Talab Bari Mondal </t>
  </si>
  <si>
    <t>M/S Subhash Majumder</t>
  </si>
  <si>
    <t>M/S Swapan Kumar Saha</t>
  </si>
  <si>
    <t>M/S Nasarat Ali Mondal</t>
  </si>
  <si>
    <t>M/S Subrata Mondal</t>
  </si>
  <si>
    <t>Dinabandhu Sadhukha</t>
  </si>
  <si>
    <t>2025-06-08</t>
  </si>
  <si>
    <t>Subhash Ch Dey</t>
  </si>
  <si>
    <t>M/S Umesh Chandra  Mallick</t>
  </si>
  <si>
    <t>M/S Ramesh Debnath</t>
  </si>
  <si>
    <t>M/S. Sura Bala Mondal</t>
  </si>
  <si>
    <t>2025-04-18</t>
  </si>
  <si>
    <t>Minajul Mondal</t>
  </si>
  <si>
    <t>Shayam Sundar</t>
  </si>
  <si>
    <t>Shib  Prosad Dutta</t>
  </si>
  <si>
    <t>MS Sasti Biswas</t>
  </si>
  <si>
    <t>Rajesh Mondal</t>
  </si>
  <si>
    <t>Eliash Uddin Mondal</t>
  </si>
  <si>
    <t>M/S Mahidul Mondal</t>
  </si>
  <si>
    <t>M/S Narayan Ch Biswas</t>
  </si>
  <si>
    <t>SAHADAT MONDAL</t>
  </si>
  <si>
    <t>PARITOSH BISWAS</t>
  </si>
  <si>
    <t>Palash Mondal</t>
  </si>
  <si>
    <t>Abulkalam Azad Khan</t>
  </si>
  <si>
    <t>Amit Sarkar</t>
  </si>
  <si>
    <t>ETI BISWAS</t>
  </si>
  <si>
    <t>UJJWAL MONDAL</t>
  </si>
  <si>
    <t>GIYARUL MONDAL</t>
  </si>
  <si>
    <t>PRASANTA BISWAS</t>
  </si>
  <si>
    <t>HARIDAS SADHUKHAN</t>
  </si>
  <si>
    <t>SHIKHA BISWAS</t>
  </si>
  <si>
    <t>2024-02-17</t>
  </si>
  <si>
    <t>549643</t>
  </si>
  <si>
    <t>TAPAN KUMAR MONDAL</t>
  </si>
  <si>
    <t>BHAKTI PRASANTA DEY</t>
  </si>
  <si>
    <t>2024-09-05</t>
  </si>
  <si>
    <t>2024-06-28</t>
  </si>
  <si>
    <t>2024-08-12</t>
  </si>
  <si>
    <t>BHARAT BISWAS</t>
  </si>
  <si>
    <t>SHYAMA PADA BISWAS</t>
  </si>
  <si>
    <t>KARTICK DEBNATH</t>
  </si>
  <si>
    <t>BABLU PAUL</t>
  </si>
  <si>
    <t>M/s BISWAJIT MONDAL</t>
  </si>
  <si>
    <t>M/S ILIYAS KHAN</t>
  </si>
  <si>
    <t>M/S HIMANGSHU ROY</t>
  </si>
  <si>
    <t>MANORANJAN MONDAL</t>
  </si>
  <si>
    <t>M/S ANUP SINGHARAY</t>
  </si>
  <si>
    <t>2025-10-12</t>
  </si>
  <si>
    <t>BIJIT DAS</t>
  </si>
  <si>
    <t>PRABHAT KUMAR BISWAS</t>
  </si>
  <si>
    <t>SANKAR BISWAS</t>
  </si>
  <si>
    <t>2024-08-30</t>
  </si>
  <si>
    <t>JAYANTI DAS</t>
  </si>
  <si>
    <t>2025-09-19</t>
  </si>
  <si>
    <t>AJIT KUMAR SARKAR</t>
  </si>
  <si>
    <t>PRADIP KUMAR DAS</t>
  </si>
  <si>
    <t>2024-02-25</t>
  </si>
  <si>
    <t>FAJU MONDAL</t>
  </si>
  <si>
    <t>RASID ALAM GHARAMI</t>
  </si>
  <si>
    <t>DIDAR BOX MONDAL</t>
  </si>
  <si>
    <t>2025-06-15</t>
  </si>
  <si>
    <t>SUSHANTA KUMAR DAS</t>
  </si>
  <si>
    <t>2024-04-26</t>
  </si>
  <si>
    <t>662593</t>
  </si>
  <si>
    <t>M/S. BISWAS KRISHI BHANDER</t>
  </si>
  <si>
    <t>FAIJUL HAQUE MONDAL</t>
  </si>
  <si>
    <t>JAYDEB DEBNATH</t>
  </si>
  <si>
    <t>MIHIR DAS</t>
  </si>
  <si>
    <t>2025-06-04</t>
  </si>
  <si>
    <t>MALAY KUMAR SAHA</t>
  </si>
  <si>
    <t>SWAPN MONDAL</t>
  </si>
  <si>
    <t>ARJUN KUMAR GHOSH</t>
  </si>
  <si>
    <t>260178</t>
  </si>
  <si>
    <t>DEBNARAYAN DAS</t>
  </si>
  <si>
    <t>CHAKRABORTY FERTILIZER</t>
  </si>
  <si>
    <t>FAIJUL HAQUE</t>
  </si>
  <si>
    <t>SHYAMRAM DAS</t>
  </si>
  <si>
    <t>RABIYAL HOSSAIN</t>
  </si>
  <si>
    <t>M/s SAHIDUL MONDAL</t>
  </si>
  <si>
    <t>BARUN HALDER</t>
  </si>
  <si>
    <t>RABINDRA MONDAL</t>
  </si>
  <si>
    <t>SUSHIL CHANDRA CHANDA</t>
  </si>
  <si>
    <t>AVJIT HAZRA</t>
  </si>
  <si>
    <t>BARKAT ALI MISTRI</t>
  </si>
  <si>
    <t>M/S DINESH CHANDRA MAJJUMDER</t>
  </si>
  <si>
    <t>M/S SONA FERTILIZER</t>
  </si>
  <si>
    <t>M/S SUKANTA ACHARYA</t>
  </si>
  <si>
    <t>2025-06-29</t>
  </si>
  <si>
    <t>M/S TARA MAA FERTILIZER</t>
  </si>
  <si>
    <t>MS NATAKISHORE SARKAR</t>
  </si>
  <si>
    <t>260211</t>
  </si>
  <si>
    <t>MS RABIUL MONDAL</t>
  </si>
  <si>
    <t>M/S MONDAL FERTILIZER AND PEST</t>
  </si>
  <si>
    <t>AMIT SAHA</t>
  </si>
  <si>
    <t>FERDOUSI FERTILIZER</t>
  </si>
  <si>
    <t>M/S ARIF FERTILIZER</t>
  </si>
  <si>
    <t>SUJIT BISWAS</t>
  </si>
  <si>
    <t>M/S SAFAR HOSSAIN</t>
  </si>
  <si>
    <t>PURNIMA KRISHI BHANDAR</t>
  </si>
  <si>
    <t>M/S SUNIL KUMAR SAHA</t>
  </si>
  <si>
    <t>MS REHAN FERTILIZER AN PESTICI</t>
  </si>
  <si>
    <t>M/S SHANKU MONDAL</t>
  </si>
  <si>
    <t>260179</t>
  </si>
  <si>
    <t>Chapra</t>
  </si>
  <si>
    <t>Nur Islam Molla</t>
  </si>
  <si>
    <t>Bimal Kumar Kundu</t>
  </si>
  <si>
    <t>9732685190</t>
  </si>
  <si>
    <t>Naresh Das Sar Bhandar</t>
  </si>
  <si>
    <t>MS MONDAL FERTILIZER</t>
  </si>
  <si>
    <t>BURIMA FERTILIZER</t>
  </si>
  <si>
    <t>1210862</t>
  </si>
  <si>
    <t>S.S.P ENTERPRISE</t>
  </si>
  <si>
    <t>9635197281</t>
  </si>
  <si>
    <t>MS MA KALI FERTILIZER</t>
  </si>
  <si>
    <t>2024-06-02</t>
  </si>
  <si>
    <t>260184</t>
  </si>
  <si>
    <t>260202</t>
  </si>
  <si>
    <t>Mallick Fetilizer</t>
  </si>
  <si>
    <t>Sekh and Sons</t>
  </si>
  <si>
    <t>Krishi Laxmi</t>
  </si>
  <si>
    <t>Shefali Sarkar</t>
  </si>
  <si>
    <t>Tapas Kumar Saha</t>
  </si>
  <si>
    <t>280913</t>
  </si>
  <si>
    <t>Bishal Fertilizer</t>
  </si>
  <si>
    <t>269287</t>
  </si>
  <si>
    <t>Gopal Krishna Kundu</t>
  </si>
  <si>
    <t>9732644921</t>
  </si>
  <si>
    <t>Mahaldar Fertilizer</t>
  </si>
  <si>
    <t>SRI DURGA FERTILIZER</t>
  </si>
  <si>
    <t>342772</t>
  </si>
  <si>
    <t>MS Halsana Fertilizer</t>
  </si>
  <si>
    <t>GARAI FERTILIZER</t>
  </si>
  <si>
    <t>MONDAL FERTILIZERS</t>
  </si>
  <si>
    <t>Shaikh Fertilizer</t>
  </si>
  <si>
    <t>MS BHUMI LAXMI FERTILIZERS</t>
  </si>
  <si>
    <t>MAHATPUR FERTILIZER</t>
  </si>
  <si>
    <t>MS Garai Fertilizer</t>
  </si>
  <si>
    <t>MAA LAXMI FERTILIZERS</t>
  </si>
  <si>
    <t>Sujoy Ghosh</t>
  </si>
  <si>
    <t>Abdul Mannan Shaikh</t>
  </si>
  <si>
    <t>Sankar Kr Biswas</t>
  </si>
  <si>
    <t>Rima Fertilizer</t>
  </si>
  <si>
    <t>Mosahab Kakka</t>
  </si>
  <si>
    <t>MS MARUF FERTILIZER</t>
  </si>
  <si>
    <t>MS KABIRUL FERTILIZERS</t>
  </si>
  <si>
    <t>MS Debrata Biswas</t>
  </si>
  <si>
    <t>MS Rakhal Ch. Das</t>
  </si>
  <si>
    <t>1132412</t>
  </si>
  <si>
    <t>M/S MLLICK FERTILIZER</t>
  </si>
  <si>
    <t>9775925747</t>
  </si>
  <si>
    <t>Giyasuddin Sk</t>
  </si>
  <si>
    <t>Sobedar Hossain Mondal</t>
  </si>
  <si>
    <t>MA LAXMI FERTILIZER</t>
  </si>
  <si>
    <t>SAHAR UDDIN MONDAL</t>
  </si>
  <si>
    <t>M/S ANISUR MAHALDER</t>
  </si>
  <si>
    <t>SHAIKH FERTILIZER</t>
  </si>
  <si>
    <t>LALTU FERTILIZER</t>
  </si>
  <si>
    <t>2019-05-25</t>
  </si>
  <si>
    <t>389660</t>
  </si>
  <si>
    <t>Sirajuddin Biswas</t>
  </si>
  <si>
    <t>8641979947</t>
  </si>
  <si>
    <t>SIDHARTHA BISWAS</t>
  </si>
  <si>
    <t>M/S SUFAL KUMAR BISWAS</t>
  </si>
  <si>
    <t>M/S ANANDAMAY GHOSH</t>
  </si>
  <si>
    <t>280732</t>
  </si>
  <si>
    <t>MS DAYAL FERTILIZER</t>
  </si>
  <si>
    <t>APON FERTILIZER</t>
  </si>
  <si>
    <t>DEBNATH PAL</t>
  </si>
  <si>
    <t>ETI GHOSH</t>
  </si>
  <si>
    <t xml:space="preserve">SONALI FASAL </t>
  </si>
  <si>
    <t>MS TARA MA FERTILIZER</t>
  </si>
  <si>
    <t>2024-04-05</t>
  </si>
  <si>
    <t>BILTU FERTILIZER</t>
  </si>
  <si>
    <t>MS SADHUKHAN FERTILIZER</t>
  </si>
  <si>
    <t>MADON MOHAN GARAI</t>
  </si>
  <si>
    <t>Shaikh fertilizer</t>
  </si>
  <si>
    <t>MONDAL FERTILIZER PROP SADAR A</t>
  </si>
  <si>
    <t>SOHANA FERTILIZER</t>
  </si>
  <si>
    <t>2024-07-30</t>
  </si>
  <si>
    <t>MANOJ KUMAR MONDAL</t>
  </si>
  <si>
    <t>BIJALI FERTILIZER</t>
  </si>
  <si>
    <t>MOLLA FERTILIZER</t>
  </si>
  <si>
    <t>SARASWATI FERTILIZER</t>
  </si>
  <si>
    <t xml:space="preserve">MS GHOSH FERTILIZER </t>
  </si>
  <si>
    <t>SHAIK FERTILIZER</t>
  </si>
  <si>
    <t>2025-10-06</t>
  </si>
  <si>
    <t>MONORANJAN GHOSH FERTILIZER</t>
  </si>
  <si>
    <t>2023-02-10</t>
  </si>
  <si>
    <t xml:space="preserve">MAA KALI FERTILIZER           </t>
  </si>
  <si>
    <t>1063524</t>
  </si>
  <si>
    <t>SOURAV GUPTA</t>
  </si>
  <si>
    <t>7001896546</t>
  </si>
  <si>
    <t>M/S GOUTAM BAG</t>
  </si>
  <si>
    <t>ASHA FERTILIZER</t>
  </si>
  <si>
    <t>M/S BISWAJIT GHOSH</t>
  </si>
  <si>
    <t>M/S AYAN FERTILIZER(PROP.AZHAR</t>
  </si>
  <si>
    <t>M/S HALSANA FERTILIZER</t>
  </si>
  <si>
    <t>M/S BISWAS FERTILIZER PROP MOS</t>
  </si>
  <si>
    <t>MS NABAYUG LS CO OP AGRIL CR S</t>
  </si>
  <si>
    <t>Pradip Kr.Saha</t>
  </si>
  <si>
    <t>MS Ajoy Biswas</t>
  </si>
  <si>
    <t>Balaram Biswas</t>
  </si>
  <si>
    <t>Subhas Ch. Biswas</t>
  </si>
  <si>
    <t>Adhir Ch Ghosh</t>
  </si>
  <si>
    <t>Amaresh Sadhukhan</t>
  </si>
  <si>
    <t>Ashok Kumar Biswas</t>
  </si>
  <si>
    <t>Basudeb Majumder</t>
  </si>
  <si>
    <t>Bipul Biswas</t>
  </si>
  <si>
    <t>Birendra Nath Mondal</t>
  </si>
  <si>
    <t>Biswajit Saha</t>
  </si>
  <si>
    <t>MS Gokul Chandra Mandal</t>
  </si>
  <si>
    <t>2024-01-04</t>
  </si>
  <si>
    <t>Goutam Ghosh</t>
  </si>
  <si>
    <t>Jadugopal Ray</t>
  </si>
  <si>
    <t>Joyanta Sarkar</t>
  </si>
  <si>
    <t>MS Kalipada Biswas</t>
  </si>
  <si>
    <t>Koushik Saha</t>
  </si>
  <si>
    <t>Lakshmi Kanta Biswas</t>
  </si>
  <si>
    <t>Madhusudan Karmakar</t>
  </si>
  <si>
    <t>MS MAFUJA KHATUN MONDAL</t>
  </si>
  <si>
    <t>Mukul Mallick</t>
  </si>
  <si>
    <t>MS Nadiram Sarkar</t>
  </si>
  <si>
    <t>Narayan Ch. Biswas</t>
  </si>
  <si>
    <t>Nikhil Ch. Majumder</t>
  </si>
  <si>
    <t>Purna Chandra Ray</t>
  </si>
  <si>
    <t>Prodyut Joarder</t>
  </si>
  <si>
    <t>Ramesh Chandra Biswas</t>
  </si>
  <si>
    <t>Prosanta Biswas</t>
  </si>
  <si>
    <t>Samir Kumar Pal</t>
  </si>
  <si>
    <t>Bibekanandamondal</t>
  </si>
  <si>
    <t>2023-07-17</t>
  </si>
  <si>
    <t>M/S Rabindranath Majumder</t>
  </si>
  <si>
    <t>M/S Reboti Mohon Saha</t>
  </si>
  <si>
    <t>Sanjib Kumar Dey</t>
  </si>
  <si>
    <t>Sidhartha Panday</t>
  </si>
  <si>
    <t>M/S Shaymol Kr. Saha</t>
  </si>
  <si>
    <t>2024-07-19</t>
  </si>
  <si>
    <t>Binoy Krishna Ghosh</t>
  </si>
  <si>
    <t>Monimohan Samajpati</t>
  </si>
  <si>
    <t>M/S Tilok Das</t>
  </si>
  <si>
    <t>Subal Chandra Biswas</t>
  </si>
  <si>
    <t>M/S Sukdev Dey</t>
  </si>
  <si>
    <t>MS Sukumar Biswas</t>
  </si>
  <si>
    <t>SANJAY SAHA</t>
  </si>
  <si>
    <t>SHIBKINKAR SARKAR</t>
  </si>
  <si>
    <t>Nirmal Kr. Biswas</t>
  </si>
  <si>
    <t>Ms Sankar Prosad Ghosh</t>
  </si>
  <si>
    <t>MS SHYAMAPADA GHOSH</t>
  </si>
  <si>
    <t>MS SUSANTA PAUL</t>
  </si>
  <si>
    <t>SHRINIBAS BISWAS</t>
  </si>
  <si>
    <t>DILIP KUMAR ROY</t>
  </si>
  <si>
    <t>HARASHIT BISWAS</t>
  </si>
  <si>
    <t>SUBHENDU GHOSH</t>
  </si>
  <si>
    <t>PRAMANICK FERTILIZER</t>
  </si>
  <si>
    <t>268776</t>
  </si>
  <si>
    <t>Chandra Kanta Das</t>
  </si>
  <si>
    <t>9830307100</t>
  </si>
  <si>
    <t>BISWAJIT DAS</t>
  </si>
  <si>
    <t>KUMARESH BISWAS</t>
  </si>
  <si>
    <t>CHUPRIA O PANDITPUR GPSKUS LTD</t>
  </si>
  <si>
    <t>KUDDUS ALI SARDAR</t>
  </si>
  <si>
    <t>NIRMAL KUMAR GHOSH</t>
  </si>
  <si>
    <t>MS MADHU SUDAN BISWAS</t>
  </si>
  <si>
    <t>JAGANNATH BISWAS</t>
  </si>
  <si>
    <t>MS SHASHTI CHARAN MANDAL</t>
  </si>
  <si>
    <t>RANJIT KUMAR BISWAS</t>
  </si>
  <si>
    <t>SUBHASH CHANDRA KHAN</t>
  </si>
  <si>
    <t>AROBINDA SARKAR</t>
  </si>
  <si>
    <t>PRONOTI SARKAR</t>
  </si>
  <si>
    <t>NABADWIP CHANDRA SARKAR</t>
  </si>
  <si>
    <t>MS ASIT KUMAR BAIDYA</t>
  </si>
  <si>
    <t>MS BISHNU PADA DEWAN</t>
  </si>
  <si>
    <t>AMALESH CHANDRA BASAK</t>
  </si>
  <si>
    <t>AMIR HOSSAIN MONDAL</t>
  </si>
  <si>
    <t>SAMIR SARKAR</t>
  </si>
  <si>
    <t>PIJUSH KANTI KUNDU</t>
  </si>
  <si>
    <t>2023-01-14</t>
  </si>
  <si>
    <t>2022-07-13</t>
  </si>
  <si>
    <t>NAKUMUDDIN MONDAL</t>
  </si>
  <si>
    <t>SUDHENDU SAHA</t>
  </si>
  <si>
    <t>6294824935</t>
  </si>
  <si>
    <t>MONGAL CHANDRA MONDAL</t>
  </si>
  <si>
    <t>1005236</t>
  </si>
  <si>
    <t>DINESH PAL</t>
  </si>
  <si>
    <t>SUDIPTA DEY</t>
  </si>
  <si>
    <t>M/S UTTAM MONDAL</t>
  </si>
  <si>
    <t>BISWAS PESTICIDE</t>
  </si>
  <si>
    <t xml:space="preserve">M/S TAPASH PAUL </t>
  </si>
  <si>
    <t>Biswajit Ganguli</t>
  </si>
  <si>
    <t>1354434</t>
  </si>
  <si>
    <t>CHANCHAL KUMAR DEY</t>
  </si>
  <si>
    <t>7908362192</t>
  </si>
  <si>
    <t>Krishi Bhavan Agro  Service Ce</t>
  </si>
  <si>
    <t>Ajijul Haque</t>
  </si>
  <si>
    <t>2021-11-29</t>
  </si>
  <si>
    <t>Adhir Chandra Das</t>
  </si>
  <si>
    <t>M/S Hamedul Mandal</t>
  </si>
  <si>
    <t xml:space="preserve">Jaiswal Enterprise </t>
  </si>
  <si>
    <t>Badal Mallick</t>
  </si>
  <si>
    <t>1420181</t>
  </si>
  <si>
    <t>M/S BINAY DAS</t>
  </si>
  <si>
    <t>7797613134</t>
  </si>
  <si>
    <t>M/S Ajay Chaube</t>
  </si>
  <si>
    <t>Ajit Kr. Mondal</t>
  </si>
  <si>
    <t>Ajit Kr. Sarkar</t>
  </si>
  <si>
    <t>Alok Kr. Ghosh</t>
  </si>
  <si>
    <t>Ananda Chakraborty</t>
  </si>
  <si>
    <t>Avijit Mandal</t>
  </si>
  <si>
    <t>Bholanath Ghosh</t>
  </si>
  <si>
    <t>Binay Das</t>
  </si>
  <si>
    <t>Biplab Debnath</t>
  </si>
  <si>
    <t>Ebadat Hoque Mondal</t>
  </si>
  <si>
    <t>M/S Emanuddin Mondal</t>
  </si>
  <si>
    <t>Indrajit Golder And Brothers</t>
  </si>
  <si>
    <t>Jadab Chandra Gain</t>
  </si>
  <si>
    <t>Jasimuddin Mia</t>
  </si>
  <si>
    <t>Joydeb Sadhukha</t>
  </si>
  <si>
    <t>Julfikkar Mandal</t>
  </si>
  <si>
    <t>Kamaluddin Mondal</t>
  </si>
  <si>
    <t>2024-03-12</t>
  </si>
  <si>
    <t>Lakshaman Das</t>
  </si>
  <si>
    <t>Mainul Hossain</t>
  </si>
  <si>
    <t>Malay Kumar Debnath</t>
  </si>
  <si>
    <t>Md. Jalauddin Mia</t>
  </si>
  <si>
    <t>Md. Mozaffar Hossain</t>
  </si>
  <si>
    <t>Mijanur Rahaman Mondal</t>
  </si>
  <si>
    <t>Mikail Mondal</t>
  </si>
  <si>
    <t>2024-02-13</t>
  </si>
  <si>
    <t>Monirul Mondal</t>
  </si>
  <si>
    <t>Monoranjan Sarkar</t>
  </si>
  <si>
    <t>Nabyendu Pathak</t>
  </si>
  <si>
    <t>Narendra Nath Das</t>
  </si>
  <si>
    <t>Nasiruddin Mia</t>
  </si>
  <si>
    <t>M/S ROY FERTILIZERS</t>
  </si>
  <si>
    <t>Saifuddin Mandal</t>
  </si>
  <si>
    <t>M/s Prangopal Nandi</t>
  </si>
  <si>
    <t>Rekha Roy</t>
  </si>
  <si>
    <t>Ranjit Mondal</t>
  </si>
  <si>
    <t>Prodip Pal</t>
  </si>
  <si>
    <t>Rajat Kumar Ghosh</t>
  </si>
  <si>
    <t>M/s Asim Kanti Basak</t>
  </si>
  <si>
    <t>NITYA NANDA GHOSH</t>
  </si>
  <si>
    <t>Robiyal Hossain</t>
  </si>
  <si>
    <t>2024-05-07</t>
  </si>
  <si>
    <t>Sankar Kr. Ghosh</t>
  </si>
  <si>
    <t>2024-05-06</t>
  </si>
  <si>
    <t>Ghosh Krishi Bhander</t>
  </si>
  <si>
    <t xml:space="preserve"> Banerjee Fertilisers</t>
  </si>
  <si>
    <t>Rafique Mondal</t>
  </si>
  <si>
    <t>Md. Sirajul Haq</t>
  </si>
  <si>
    <t>Swapna Das</t>
  </si>
  <si>
    <t>Sarkar Krishi Bhander</t>
  </si>
  <si>
    <t>Wajedul Islam</t>
  </si>
  <si>
    <t>2024-11-29</t>
  </si>
  <si>
    <t>Apurba Mondal</t>
  </si>
  <si>
    <t>Suprabir Biswas</t>
  </si>
  <si>
    <t>M/S Subrata Biswas</t>
  </si>
  <si>
    <t>Samar Nath Singha Roy</t>
  </si>
  <si>
    <t>Kadura Khatun Bibi</t>
  </si>
  <si>
    <t>M/S Azim Mondal</t>
  </si>
  <si>
    <t>M/S PANCHUGOPAL SARKAR</t>
  </si>
  <si>
    <t>M/S CHIDDIKI-RH-KRISHI BHANDER</t>
  </si>
  <si>
    <t>M/S MAULA BOX KRISHI BHANDER</t>
  </si>
  <si>
    <t>Sannyasi Mandal</t>
  </si>
  <si>
    <t>Avijit Debnath</t>
  </si>
  <si>
    <t>Abdul Rajjak</t>
  </si>
  <si>
    <t>M/S BASIRUL MANDAL</t>
  </si>
  <si>
    <t>Subrata Sau</t>
  </si>
  <si>
    <t>MANDAL KRISHI BHANDER</t>
  </si>
  <si>
    <t>M/S SAHIDUL HOQUE MONDAL</t>
  </si>
  <si>
    <t>SURJA SARKAR</t>
  </si>
  <si>
    <t>NITAI GHOSH</t>
  </si>
  <si>
    <t>DASTOGIR FERTILIZER</t>
  </si>
  <si>
    <t>M/S MINHASUDDIN HAQUE</t>
  </si>
  <si>
    <t>SHIBU SAHA</t>
  </si>
  <si>
    <t>M/S JAFIUDDIN KAYAL</t>
  </si>
  <si>
    <t>KETAB ALI MONDAL</t>
  </si>
  <si>
    <t>ASHIT DAS</t>
  </si>
  <si>
    <t>2023-05-29</t>
  </si>
  <si>
    <t>SARAPHUDDIN MANDAL</t>
  </si>
  <si>
    <t>MONTU MONDAL</t>
  </si>
  <si>
    <t>Sahabuddin Mondal</t>
  </si>
  <si>
    <t>JAYNUL MOLLA</t>
  </si>
  <si>
    <t>MOMINUL MONDAL</t>
  </si>
  <si>
    <t>SUSANTI MONDAL GOLDAR</t>
  </si>
  <si>
    <t>SHREE MA LAXMI KRISHI BHNADER</t>
  </si>
  <si>
    <t>MAA TARA KRISHI BHANDER</t>
  </si>
  <si>
    <t>AMMA CHASHI GHAR</t>
  </si>
  <si>
    <t>M/s TARAFDER ENTERPRISE</t>
  </si>
  <si>
    <t>Kaliganj</t>
  </si>
  <si>
    <t>Nefaj Molla</t>
  </si>
  <si>
    <t>Nurul Fertilizer</t>
  </si>
  <si>
    <t>2024-11-01</t>
  </si>
  <si>
    <t>Ramprasad Dutta</t>
  </si>
  <si>
    <t>Md Kamal Sekh</t>
  </si>
  <si>
    <t>Shikh Brothers</t>
  </si>
  <si>
    <t>441017</t>
  </si>
  <si>
    <t>M/S S M. Abdul Matin</t>
  </si>
  <si>
    <t>7501569288</t>
  </si>
  <si>
    <t>HARERAM DAS</t>
  </si>
  <si>
    <t>MOSARAF HOSSAIN MONDAL</t>
  </si>
  <si>
    <t>FULBAS SK</t>
  </si>
  <si>
    <t>2023-01-26</t>
  </si>
  <si>
    <t xml:space="preserve">NATIONAL KRISHI FERTILIZER </t>
  </si>
  <si>
    <t>Kalyani</t>
  </si>
  <si>
    <t>MS TASLIMA MONDAL</t>
  </si>
  <si>
    <t>GHOSH FERTILIZER AND PESTICIDE</t>
  </si>
  <si>
    <t xml:space="preserve">GHOSH FERTILIZER </t>
  </si>
  <si>
    <t>GREEN ENTERPRISE</t>
  </si>
  <si>
    <t>Karimpur - I</t>
  </si>
  <si>
    <t>Abdul Hannan Shaikh</t>
  </si>
  <si>
    <t>Tarapur Skus Ltd</t>
  </si>
  <si>
    <t>Ajoy Das Bairagya</t>
  </si>
  <si>
    <t>2024-05-18</t>
  </si>
  <si>
    <t>Amit  Mondal</t>
  </si>
  <si>
    <t>Janadev Kundu</t>
  </si>
  <si>
    <t>Uttam  Kumar  Das</t>
  </si>
  <si>
    <t xml:space="preserve">Sonatan Mondal </t>
  </si>
  <si>
    <t>Suresh Ch. Mondal and Sons</t>
  </si>
  <si>
    <t>Niharendu Saha</t>
  </si>
  <si>
    <t>M/S. Nirmal Kr Biswas</t>
  </si>
  <si>
    <t>Swapan Kr Mondal</t>
  </si>
  <si>
    <t>Manotosh Biswas</t>
  </si>
  <si>
    <t>Dokari Mondol</t>
  </si>
  <si>
    <t>1258420</t>
  </si>
  <si>
    <t>2023-12-10</t>
  </si>
  <si>
    <t>Jahurul Biswas</t>
  </si>
  <si>
    <t>RAJU BISWAS</t>
  </si>
  <si>
    <t>BISWAJIT SAHA</t>
  </si>
  <si>
    <t>7074375038</t>
  </si>
  <si>
    <t>939069</t>
  </si>
  <si>
    <t>BIRENDRA NATH SAHA AND  SON</t>
  </si>
  <si>
    <t>M/S Sanjoy Dey</t>
  </si>
  <si>
    <t>2024-05-31</t>
  </si>
  <si>
    <t>Avijit Biswas</t>
  </si>
  <si>
    <t xml:space="preserve">Utpal Joarder </t>
  </si>
  <si>
    <t>Brojo Gopal Nath</t>
  </si>
  <si>
    <t>2022-11-19</t>
  </si>
  <si>
    <t>ASRAFUL KHAN</t>
  </si>
  <si>
    <t>HIMANGSHU GHOSH</t>
  </si>
  <si>
    <t>BIKASH MISTRY</t>
  </si>
  <si>
    <t>ANARUL SEKH</t>
  </si>
  <si>
    <t>MANIRUL MANDAL</t>
  </si>
  <si>
    <t>ANIMESH BISWAS</t>
  </si>
  <si>
    <t>RAKESH SAHA</t>
  </si>
  <si>
    <t>KIRITI ROY</t>
  </si>
  <si>
    <t>PRAKASH MONDAL</t>
  </si>
  <si>
    <t>BIKASH PRAMANIK</t>
  </si>
  <si>
    <t>SWAPAN KUMAR BISWAS</t>
  </si>
  <si>
    <t>SAJAHAN SHAIKH</t>
  </si>
  <si>
    <t>BAPPADITYA BISWAS</t>
  </si>
  <si>
    <t>ASRAFUL MONDAL</t>
  </si>
  <si>
    <t>NABA KUMAR GHOSH</t>
  </si>
  <si>
    <t>MANAJ MANDAL</t>
  </si>
  <si>
    <t>SALIMUDDIN SHAIKH</t>
  </si>
  <si>
    <t>SUMAN MANDAL</t>
  </si>
  <si>
    <t>Nabadwip Mandal</t>
  </si>
  <si>
    <t>Year Ali Sk</t>
  </si>
  <si>
    <t>Anarul Islam Halsana</t>
  </si>
  <si>
    <t>Asit  Kumar  Biswas</t>
  </si>
  <si>
    <t>Engraj Mondal</t>
  </si>
  <si>
    <t>Jaydaeb  Biswas</t>
  </si>
  <si>
    <t>Madhab Chandra Sarkar</t>
  </si>
  <si>
    <t>Ramesh Pramanick</t>
  </si>
  <si>
    <t>Sada Nanda Mandal</t>
  </si>
  <si>
    <t>Pabitra Kumar Biswas</t>
  </si>
  <si>
    <t>BISWAJIT GHOSH</t>
  </si>
  <si>
    <t>M/S Sajahan Halsana</t>
  </si>
  <si>
    <t>ASRAFUL SEKH</t>
  </si>
  <si>
    <t>ALAMGIR MANDAL</t>
  </si>
  <si>
    <t>APURBA DAS</t>
  </si>
  <si>
    <t>2021-10-28</t>
  </si>
  <si>
    <t>TOTON BISWAS</t>
  </si>
  <si>
    <t>JULFIKAR SEKH</t>
  </si>
  <si>
    <t>ACHINTYA SAHA</t>
  </si>
  <si>
    <t>PARULA BEWA</t>
  </si>
  <si>
    <t>SIRAJUL BISWAS</t>
  </si>
  <si>
    <t>SIRAJUL MONDAL</t>
  </si>
  <si>
    <t>DIN MAHAMMAD SHAIKH</t>
  </si>
  <si>
    <t>FULCHAND SHAIKH</t>
  </si>
  <si>
    <t>1036427</t>
  </si>
  <si>
    <t>PINAKI SAHA</t>
  </si>
  <si>
    <t>9641671766</t>
  </si>
  <si>
    <t>ASHUTOSH MAHATA</t>
  </si>
  <si>
    <t>SUCHANDAN SARKAR</t>
  </si>
  <si>
    <t>2023-05-01</t>
  </si>
  <si>
    <t>GOUTAM KARMAKAR</t>
  </si>
  <si>
    <t>GOLAM MURTUJA SHAIKH</t>
  </si>
  <si>
    <t>2021-08-14</t>
  </si>
  <si>
    <t>2024-03-24</t>
  </si>
  <si>
    <t>ABDUL SAMIM MANDAL</t>
  </si>
  <si>
    <t>DIPANKAR BISWAS</t>
  </si>
  <si>
    <t>ARINDAM MANDAL</t>
  </si>
  <si>
    <t>BHABESH MONDAL</t>
  </si>
  <si>
    <t>ABDUR RAJJAK SARDAR</t>
  </si>
  <si>
    <t>SHEKHAR MONDAL</t>
  </si>
  <si>
    <t>DEBU BISWAS</t>
  </si>
  <si>
    <t>FARID MANDAL</t>
  </si>
  <si>
    <t>2024-09-02</t>
  </si>
  <si>
    <t>SANJOY CHOUDHURY</t>
  </si>
  <si>
    <t>MASIBUL SARDAR</t>
  </si>
  <si>
    <t>Abdul Hannan Biswas</t>
  </si>
  <si>
    <t>AMINUL MONDAL</t>
  </si>
  <si>
    <t>NIKHIL KUMAR MANDAL</t>
  </si>
  <si>
    <t>SANJAY DEBNATH</t>
  </si>
  <si>
    <t>2023-09-03</t>
  </si>
  <si>
    <t>RAMJAN MONDAL</t>
  </si>
  <si>
    <t>2022-11-24</t>
  </si>
  <si>
    <t>2024-06-03</t>
  </si>
  <si>
    <t>Malloy mondal</t>
  </si>
  <si>
    <t>SUBODH CHANDRA MONDAL</t>
  </si>
  <si>
    <t>NUR SELIM SAHA</t>
  </si>
  <si>
    <t>RAZZAK MALITHYA</t>
  </si>
  <si>
    <t>TAJLU HALSANA</t>
  </si>
  <si>
    <t>MONOTOSH PAL</t>
  </si>
  <si>
    <t>MD ANARUL MANDAL</t>
  </si>
  <si>
    <t>1051516</t>
  </si>
  <si>
    <t>SANTOSH KUMAR BISWAS</t>
  </si>
  <si>
    <t>9153398386</t>
  </si>
  <si>
    <t>DELUAR HOSSAIN SAIKH</t>
  </si>
  <si>
    <t>M/S ISMAIL SEKH</t>
  </si>
  <si>
    <t>M/S BIDWAN SHIL</t>
  </si>
  <si>
    <t>MS GINDAR PAIK</t>
  </si>
  <si>
    <t>M/S NEWTAN BISWAS</t>
  </si>
  <si>
    <t>ANANTA KUMAR SARKAR</t>
  </si>
  <si>
    <t>RAMIZ HOSSAIN SHAIKH</t>
  </si>
  <si>
    <t>Gede Skus Ltd</t>
  </si>
  <si>
    <t>2025-05-03</t>
  </si>
  <si>
    <t>Swapan Kr Ghosh</t>
  </si>
  <si>
    <t>SABUJ GHAR</t>
  </si>
  <si>
    <t>Chashi Ghar</t>
  </si>
  <si>
    <t>M/s NTKHIL KUMAR SARKAR</t>
  </si>
  <si>
    <t>Pravash Ch. Biswas</t>
  </si>
  <si>
    <t>Tapan Kr.Nath</t>
  </si>
  <si>
    <t>Rajkumar Krishi Bhaban</t>
  </si>
  <si>
    <t>2022-06-05</t>
  </si>
  <si>
    <t>755099</t>
  </si>
  <si>
    <t>BWOWMICK TRADERS</t>
  </si>
  <si>
    <t>9734838585</t>
  </si>
  <si>
    <t>M/S Bhaumik Traders</t>
  </si>
  <si>
    <t>Shashadhar Biswas</t>
  </si>
  <si>
    <t>Tewary Fertilizer</t>
  </si>
  <si>
    <t>Tarun Choudhury</t>
  </si>
  <si>
    <t>New Probir Biswas</t>
  </si>
  <si>
    <t>Sasanka Sekhar Kundu</t>
  </si>
  <si>
    <t>M/s Ghosh Fertilizer</t>
  </si>
  <si>
    <t>Krishak Sathi</t>
  </si>
  <si>
    <t>2023-06-10</t>
  </si>
  <si>
    <t>New Chasi Ghar</t>
  </si>
  <si>
    <t>TANOY NATH</t>
  </si>
  <si>
    <t>KRISHI PROGATI</t>
  </si>
  <si>
    <t>PALI BISWAS</t>
  </si>
  <si>
    <t>SINGHA FERTILIZER</t>
  </si>
  <si>
    <t>KRISHNA RAY</t>
  </si>
  <si>
    <t>RUPAM KRISHI BIPANI</t>
  </si>
  <si>
    <t>Pal Fertilizer</t>
  </si>
  <si>
    <t>BISWAJIT MONDAL</t>
  </si>
  <si>
    <t>M/s Sabuj Biplab</t>
  </si>
  <si>
    <t>BIMAL KUMAR BISWAS</t>
  </si>
  <si>
    <t>DINBANDHU BISWAS</t>
  </si>
  <si>
    <t xml:space="preserve">KRISHI BIPLOB PROP ASIT KUMAR </t>
  </si>
  <si>
    <t>2022-09-19</t>
  </si>
  <si>
    <t xml:space="preserve">MONDAL FARTILIZER PROP GOUTAM </t>
  </si>
  <si>
    <t>NEW SARKAR FERTILIZER PROP TAP</t>
  </si>
  <si>
    <t>2024-10-06</t>
  </si>
  <si>
    <t>PARIMAL BISWAS</t>
  </si>
  <si>
    <t xml:space="preserve">KRISHI BHABAN </t>
  </si>
  <si>
    <t>Nitai Mallick</t>
  </si>
  <si>
    <t>Sanjoy Joarder</t>
  </si>
  <si>
    <t>Subodh Biswas</t>
  </si>
  <si>
    <t>Bimal Podder</t>
  </si>
  <si>
    <t>GAUTAM KUNDU</t>
  </si>
  <si>
    <t>MS SANTOSIMA FERTILIZERS</t>
  </si>
  <si>
    <t>M/S KARTICK CHANDRA GHOSH</t>
  </si>
  <si>
    <t>Sadhan Kumar Pal</t>
  </si>
  <si>
    <t>Tapas Kr Sadhukhan</t>
  </si>
  <si>
    <t>9749807346</t>
  </si>
  <si>
    <t>Garai Krishi Traders</t>
  </si>
  <si>
    <t>Golok Behari Saha</t>
  </si>
  <si>
    <t>9434148418</t>
  </si>
  <si>
    <t>Biswanath Bhowmick</t>
  </si>
  <si>
    <t>Madhusudan Ghosh</t>
  </si>
  <si>
    <t>Ratan Kumar Ghosh</t>
  </si>
  <si>
    <t>TITHI FERTILISER</t>
  </si>
  <si>
    <t>Sudhamoy Ghosh</t>
  </si>
  <si>
    <t>Animesh  Majumder</t>
  </si>
  <si>
    <t>Indrajit Ghosh</t>
  </si>
  <si>
    <t>Kalam Uddin Shaikh</t>
  </si>
  <si>
    <t>2025-02-14</t>
  </si>
  <si>
    <t>Sadhan  Kr  Ghosh</t>
  </si>
  <si>
    <t>Sunil Kumar Biswas</t>
  </si>
  <si>
    <t>Monotosh Kr Sen</t>
  </si>
  <si>
    <t>Biswas Fertilizers</t>
  </si>
  <si>
    <t>Sudip Biswas</t>
  </si>
  <si>
    <t>M/S MAA LAXMi FERTILIZER</t>
  </si>
  <si>
    <t>Haradhan Biswas</t>
  </si>
  <si>
    <t>M/S Sukumar Modok</t>
  </si>
  <si>
    <t>Ashimananda Ghosh</t>
  </si>
  <si>
    <t>Jagabandhu Mondal</t>
  </si>
  <si>
    <t>2021-04-28</t>
  </si>
  <si>
    <t>Manik Ch Ghosh</t>
  </si>
  <si>
    <t>Mukherjee Fertilizer</t>
  </si>
  <si>
    <t>MAA BIMALA FERTILIZERS</t>
  </si>
  <si>
    <t>Ranat Kr Paul</t>
  </si>
  <si>
    <t>Balai Chandra Khan</t>
  </si>
  <si>
    <t>Ananda Gopal Garai</t>
  </si>
  <si>
    <t>Ratan Kr Majumder</t>
  </si>
  <si>
    <t>Sarkar Fertilizer</t>
  </si>
  <si>
    <t>Adatya Pal</t>
  </si>
  <si>
    <t>Brindaban Saha</t>
  </si>
  <si>
    <t>Amal Kr Biswas</t>
  </si>
  <si>
    <t>Anup Kr Dey</t>
  </si>
  <si>
    <t>BOSE FERTILIZERS</t>
  </si>
  <si>
    <t>Mahananda Ghosh</t>
  </si>
  <si>
    <t>Bipad Biswas</t>
  </si>
  <si>
    <t>Ashit Kr Biswas</t>
  </si>
  <si>
    <t>MS Tarak Biswas</t>
  </si>
  <si>
    <t>Chakraborty Traders</t>
  </si>
  <si>
    <t>Apurba Biswas</t>
  </si>
  <si>
    <t>Rajib Maitra</t>
  </si>
  <si>
    <t>Utpal Ghosh</t>
  </si>
  <si>
    <t>M/S Biswanath Gorai</t>
  </si>
  <si>
    <t>Ratan Biswas</t>
  </si>
  <si>
    <t>Krishna Saha</t>
  </si>
  <si>
    <t>Chinmoy Biswas</t>
  </si>
  <si>
    <t>JOY MA LAXMI FERTILISER</t>
  </si>
  <si>
    <t>TAPAN KUMAR PAUL</t>
  </si>
  <si>
    <t>BISWAS FERTILIZERS</t>
  </si>
  <si>
    <t>MS KALIPADA BISWAS</t>
  </si>
  <si>
    <t>BROJESWAR FERTILIZER</t>
  </si>
  <si>
    <t>ALAUDDIN SEKH</t>
  </si>
  <si>
    <t>MIRJA HAKIM MONDAL</t>
  </si>
  <si>
    <t>MS UTPAL MONDAL</t>
  </si>
  <si>
    <t>258838</t>
  </si>
  <si>
    <t>Kartik Chandra Pramanik</t>
  </si>
  <si>
    <t>9382413330</t>
  </si>
  <si>
    <t>2024-02-01</t>
  </si>
  <si>
    <t>SUMANTRA BISWAS</t>
  </si>
  <si>
    <t>DEBASWISH HALDER</t>
  </si>
  <si>
    <t>GOPAL MONDAL</t>
  </si>
  <si>
    <t>SHYAMAL BISWAS</t>
  </si>
  <si>
    <t>RABINDRA NATH SAHA</t>
  </si>
  <si>
    <t>AMAL BISWAS</t>
  </si>
  <si>
    <t>2021-12-01</t>
  </si>
  <si>
    <t>SHISHIR NAG</t>
  </si>
  <si>
    <t>2021-04-16</t>
  </si>
  <si>
    <t>892991</t>
  </si>
  <si>
    <t>TAPAS KUMAR SADHUKHAN</t>
  </si>
  <si>
    <t>SUFAL SADHUKHAN</t>
  </si>
  <si>
    <t>SUKUMAR SADHUKHAN</t>
  </si>
  <si>
    <t>NITYA NANDA MAJUMDAR</t>
  </si>
  <si>
    <t>MAA LAKSHMI FERTILIZER</t>
  </si>
  <si>
    <t>RABINDRA NATH BISWAS</t>
  </si>
  <si>
    <t>ABDUL SATTAR MONDAL</t>
  </si>
  <si>
    <t>MS GANESH CHANDRA MONDAL</t>
  </si>
  <si>
    <t>ALOKE KUMAR BISWAS</t>
  </si>
  <si>
    <t>RAM SARKAR</t>
  </si>
  <si>
    <t>CHOUDHURY FERTILIZER</t>
  </si>
  <si>
    <t>SUSANTA BISWAS</t>
  </si>
  <si>
    <t>SUSHIL KUMAR DAS</t>
  </si>
  <si>
    <t>AYUB NABI SHEIKH</t>
  </si>
  <si>
    <t>BISWAS FPSB</t>
  </si>
  <si>
    <t>SADDAM HOSSEN MONDAL</t>
  </si>
  <si>
    <t xml:space="preserve">GHOSH FERTILISER </t>
  </si>
  <si>
    <t>MS SATTYEN BISWAS</t>
  </si>
  <si>
    <t>CHANDI CHARAN HALDAR</t>
  </si>
  <si>
    <t>JAYDEB GHOSH</t>
  </si>
  <si>
    <t>DEBASISH DAS</t>
  </si>
  <si>
    <t>GHOSH FERTILISER</t>
  </si>
  <si>
    <t>MADAN SADHUKHAN</t>
  </si>
  <si>
    <t>2023-08-26</t>
  </si>
  <si>
    <t>2024-04-23</t>
  </si>
  <si>
    <t>2024-07-05</t>
  </si>
  <si>
    <t>SOURAV FERTILIZER</t>
  </si>
  <si>
    <t>MD ISLAM SHAIK</t>
  </si>
  <si>
    <t>SUBHAS CHAKRABORTY</t>
  </si>
  <si>
    <t>2022-10-30</t>
  </si>
  <si>
    <t>2023-11-03</t>
  </si>
  <si>
    <t>2022-11-18</t>
  </si>
  <si>
    <t>MS IKBAL JAFAR</t>
  </si>
  <si>
    <t>JOYDEB GHOSH</t>
  </si>
  <si>
    <t>M/S Ghosh Fertilizer</t>
  </si>
  <si>
    <t>BUDDHADEB MANDAL</t>
  </si>
  <si>
    <t>M/S MAA TARA KRISHI BHANDAR</t>
  </si>
  <si>
    <t>CHAKDIKNAGAR MAHILA FPC</t>
  </si>
  <si>
    <t>2024-11-05</t>
  </si>
  <si>
    <t>ANIRBAN SARKAR</t>
  </si>
  <si>
    <t>M/S LITON MONDAL</t>
  </si>
  <si>
    <t>M/S Bhai Bhai Fertilizer (Prop</t>
  </si>
  <si>
    <t>M/S RABINDRANATH SADHUKHAN</t>
  </si>
  <si>
    <t>SAHA AGRO FERTILIZER (PROP. PR</t>
  </si>
  <si>
    <t>MITRA KRISHI GHAR</t>
  </si>
  <si>
    <t>Krishnagar - II</t>
  </si>
  <si>
    <t>Goutam Biswas</t>
  </si>
  <si>
    <t>Manik Lal Dey</t>
  </si>
  <si>
    <t>9002155612</t>
  </si>
  <si>
    <t>Tara Ma Fertiliser</t>
  </si>
  <si>
    <t>Krishi Biplab</t>
  </si>
  <si>
    <t>Lokenah Sar Bhander</t>
  </si>
  <si>
    <t>M/S Pritom Enterprice</t>
  </si>
  <si>
    <t>Bomkesh Ghosh</t>
  </si>
  <si>
    <t>441405</t>
  </si>
  <si>
    <t>New Taraknath Beeze Bhender</t>
  </si>
  <si>
    <t>9641540108</t>
  </si>
  <si>
    <t>New Taraknath Beeze Bhander</t>
  </si>
  <si>
    <t>M/S SHAIKH FERTILIZER</t>
  </si>
  <si>
    <t>Allarakha Biswas</t>
  </si>
  <si>
    <t>Alibaddin Shaikh</t>
  </si>
  <si>
    <t>HOSSAIN ALI SHAIKH</t>
  </si>
  <si>
    <t>SUKUMAR MONDAL</t>
  </si>
  <si>
    <t>KALI MATA KRISHI BHANDER</t>
  </si>
  <si>
    <t>260189</t>
  </si>
  <si>
    <t>SARITION FERTILIZER</t>
  </si>
  <si>
    <t>2024-12-28</t>
  </si>
  <si>
    <t>SUCHANA FERTILIZER</t>
  </si>
  <si>
    <t>SMRITY FERTILIZER</t>
  </si>
  <si>
    <t>2024-06-01</t>
  </si>
  <si>
    <t>2023-02-09</t>
  </si>
  <si>
    <t>SINGHATI SKUS LTD SONDANGA</t>
  </si>
  <si>
    <t>Nabadwip</t>
  </si>
  <si>
    <t>Hossen Ali Sk</t>
  </si>
  <si>
    <t>Ranjit Das</t>
  </si>
  <si>
    <t>Sanjit Ghosh</t>
  </si>
  <si>
    <t>LOKNATH SEEDS BHANDER</t>
  </si>
  <si>
    <t>2023-03-04</t>
  </si>
  <si>
    <t>Monowar Mondal</t>
  </si>
  <si>
    <t>Azahar Mondal</t>
  </si>
  <si>
    <t>Samad Sekh</t>
  </si>
  <si>
    <t>M/S MOUMITA FERTILIZER</t>
  </si>
  <si>
    <t>MD JAKIR HOSSIN</t>
  </si>
  <si>
    <t>SAMIR DUTTA</t>
  </si>
  <si>
    <t>MD KAMAL ALI SK</t>
  </si>
  <si>
    <t>RANJIT DAS</t>
  </si>
  <si>
    <t>2024-05-14</t>
  </si>
  <si>
    <t>SAHAYRA FERTILIZER</t>
  </si>
  <si>
    <t>NURSLAM SK</t>
  </si>
  <si>
    <t>Abdul Jillal sheikh Bhavan Tru</t>
  </si>
  <si>
    <t>Ganga Traders</t>
  </si>
  <si>
    <t>Rumpi Fertilisers</t>
  </si>
  <si>
    <t>Jahangir Alam</t>
  </si>
  <si>
    <t>Jayanta Kumar Ghosh</t>
  </si>
  <si>
    <t xml:space="preserve">Sirjul Hoque Sekh </t>
  </si>
  <si>
    <t>MS RASHIDUL SHAIKH</t>
  </si>
  <si>
    <t>Md. Afzal Hossan</t>
  </si>
  <si>
    <t>Suman Mandal</t>
  </si>
  <si>
    <t>Arijul Shaikh</t>
  </si>
  <si>
    <t>MAFIJUL SK</t>
  </si>
  <si>
    <t>MD ABDUL ALIM SK</t>
  </si>
  <si>
    <t>Mintu Mandal</t>
  </si>
  <si>
    <t>Abdul Halim Sk</t>
  </si>
  <si>
    <t>2020-12-12</t>
  </si>
  <si>
    <t>902197</t>
  </si>
  <si>
    <t>AVIJIT DUTTA</t>
  </si>
  <si>
    <t>7384408110</t>
  </si>
  <si>
    <t>Arindam das</t>
  </si>
  <si>
    <t>Santosh Sarkar</t>
  </si>
  <si>
    <t>Indrajit Dey</t>
  </si>
  <si>
    <t>ANUJ KUMAR GHOSH</t>
  </si>
  <si>
    <t>HARUN ALI RASID BISWAS</t>
  </si>
  <si>
    <t>Atiur Rahaman Seikh</t>
  </si>
  <si>
    <t>SONALI KHATUN</t>
  </si>
  <si>
    <t>AOLAD SK</t>
  </si>
  <si>
    <t>Anirul Sarkar</t>
  </si>
  <si>
    <t>SATYA NARAYAN KARMAKAR</t>
  </si>
  <si>
    <t>M/S NAYAN RANJAN DATTA</t>
  </si>
  <si>
    <t>7063600433</t>
  </si>
  <si>
    <t>ABDUL MOTIN SHAIKH</t>
  </si>
  <si>
    <t>2024-01-26</t>
  </si>
  <si>
    <t>1198961</t>
  </si>
  <si>
    <t>Subhankar Ghosh</t>
  </si>
  <si>
    <t>9732806770</t>
  </si>
  <si>
    <t>AZIBAR SEKH</t>
  </si>
  <si>
    <t>JASIM MONDAL</t>
  </si>
  <si>
    <t>BUDDHADEB SAHA</t>
  </si>
  <si>
    <t>KIAMAT SHAIKH</t>
  </si>
  <si>
    <t>1221148</t>
  </si>
  <si>
    <t>JAYDEB SARKAR</t>
  </si>
  <si>
    <t>YEAKUB SARKAR</t>
  </si>
  <si>
    <t>SHAIFUL ASLAM KHAN</t>
  </si>
  <si>
    <t>MS HOSSAIN ALI SHAIKH</t>
  </si>
  <si>
    <t>HARUN ALRASHID BISWAS</t>
  </si>
  <si>
    <t>SINGHATI SKUS LTD-SALIGRAM</t>
  </si>
  <si>
    <t>SAMIMA KRISHI SEVA KENDRA</t>
  </si>
  <si>
    <t>Ranaghat - I</t>
  </si>
  <si>
    <t>Habibpur L/S Pri.Agril.Credit.</t>
  </si>
  <si>
    <t>DIPAK KUMAH CHANDA</t>
  </si>
  <si>
    <t>Madan Mohan Saha</t>
  </si>
  <si>
    <t>Rabindra Nath Biswas</t>
  </si>
  <si>
    <t>9434197359</t>
  </si>
  <si>
    <t>MlS  ANANTA DUTTA</t>
  </si>
  <si>
    <t>Asit Pramanick</t>
  </si>
  <si>
    <t>Bhagirath Biswas</t>
  </si>
  <si>
    <t>M/S. BISWAS FERTILIZER</t>
  </si>
  <si>
    <t>Bimal Kumar Ghosh</t>
  </si>
  <si>
    <t>Jafar Ali Mondal</t>
  </si>
  <si>
    <t>MIS JITENDHA KUMAR MODAK</t>
  </si>
  <si>
    <t>2024-09-08</t>
  </si>
  <si>
    <t>M/s.Kartick Chandra Roy</t>
  </si>
  <si>
    <t>M/S NABA KUMAR BISWAS</t>
  </si>
  <si>
    <t>2022-04-27</t>
  </si>
  <si>
    <t>2022-02-21</t>
  </si>
  <si>
    <t>Mls. SAIDUL ALI SEKH</t>
  </si>
  <si>
    <t>Pradip Biswas</t>
  </si>
  <si>
    <t>M/S PRAFULLA FERTILIZER</t>
  </si>
  <si>
    <t>2024-03-07</t>
  </si>
  <si>
    <t>2024-05-20</t>
  </si>
  <si>
    <t>281567</t>
  </si>
  <si>
    <t>M/S SANTOSH BHOWMICK</t>
  </si>
  <si>
    <t>Joydev Kumar Biswas</t>
  </si>
  <si>
    <t>SHEE DUHGA FERTILIZEH</t>
  </si>
  <si>
    <t>M/S Debosree Biswas</t>
  </si>
  <si>
    <t>Sswapan Kr Bhowmik</t>
  </si>
  <si>
    <t>2024-07-26</t>
  </si>
  <si>
    <t>Oyaseb Mondal</t>
  </si>
  <si>
    <t>Subahas Rudra</t>
  </si>
  <si>
    <t>GAIN FERTILISER</t>
  </si>
  <si>
    <t>SUKHEN BISWAS</t>
  </si>
  <si>
    <t>PRASANTA SARKAR</t>
  </si>
  <si>
    <t>SARAJIT MONDAL</t>
  </si>
  <si>
    <t>388956</t>
  </si>
  <si>
    <t>Sudhendu Saha</t>
  </si>
  <si>
    <t>MS Sushil Samajder</t>
  </si>
  <si>
    <t>GHOSH FERTILIZERS</t>
  </si>
  <si>
    <t>PRADIP KUMAR CHANDA</t>
  </si>
  <si>
    <t>9733490091</t>
  </si>
  <si>
    <t>SAHIDUL ISLAM MONDAL</t>
  </si>
  <si>
    <t>M/S ADITYA PAL</t>
  </si>
  <si>
    <t>NILADRI SARKAR</t>
  </si>
  <si>
    <t>MODAK ENTERPRISE</t>
  </si>
  <si>
    <t>2023-05-30</t>
  </si>
  <si>
    <t>M/S MAJUMDAR FERTILIZER</t>
  </si>
  <si>
    <t>NILKANTA GHOSH</t>
  </si>
  <si>
    <t>2024-11-07</t>
  </si>
  <si>
    <t>MAINUL HAQUE</t>
  </si>
  <si>
    <t>Sec. Sambhupur SKUS ltd</t>
  </si>
  <si>
    <t>Sec. Nandighat SKUS ltd.</t>
  </si>
  <si>
    <t>SAMPA BISWAS</t>
  </si>
  <si>
    <t>M/S SABITA FERTILIZER</t>
  </si>
  <si>
    <t>281568</t>
  </si>
  <si>
    <t>Pradip Kr Chanda</t>
  </si>
  <si>
    <t>M/S Sarkar Fertilizer</t>
  </si>
  <si>
    <t xml:space="preserve">M/S BISWAS BEEJ BHANDAR BIPUL </t>
  </si>
  <si>
    <t>M/S ARNNAPURNA FERTILIZER(Bidi</t>
  </si>
  <si>
    <t xml:space="preserve">Nill Fertilizer And Pesticide </t>
  </si>
  <si>
    <t>Chapra Dhantala Skus Ltd</t>
  </si>
  <si>
    <t>Ashit Biswas</t>
  </si>
  <si>
    <t>Sukumar Ghsoh</t>
  </si>
  <si>
    <t>Amanul Tarafder</t>
  </si>
  <si>
    <t>Arup Mitra</t>
  </si>
  <si>
    <t>M/S MIRA FERTILIZER</t>
  </si>
  <si>
    <t>Fazlur Rahaman Mondal</t>
  </si>
  <si>
    <t>Girindra Nath Saha</t>
  </si>
  <si>
    <t>Gopinath Kundu</t>
  </si>
  <si>
    <t>9734074810</t>
  </si>
  <si>
    <t>Hemanta Nath</t>
  </si>
  <si>
    <t>2020-06-03</t>
  </si>
  <si>
    <t>2020-03-04</t>
  </si>
  <si>
    <t>952447</t>
  </si>
  <si>
    <t>Hasen Ali Mondal</t>
  </si>
  <si>
    <t>Joydeb Paul</t>
  </si>
  <si>
    <t>Manindra Chandra Sil</t>
  </si>
  <si>
    <t>Netai Chandra Kundu</t>
  </si>
  <si>
    <t>Ranjit Roy</t>
  </si>
  <si>
    <t>Rajkumar Adhikary</t>
  </si>
  <si>
    <t>Robiul Hassan Mondal</t>
  </si>
  <si>
    <t>Amal Mitra</t>
  </si>
  <si>
    <t>Dilip Ghosh</t>
  </si>
  <si>
    <t>Saiful Tarafder</t>
  </si>
  <si>
    <t>Samir Kumar Biswas</t>
  </si>
  <si>
    <t xml:space="preserve">Umesh Biswas </t>
  </si>
  <si>
    <t>M/S Prosanta Biswas</t>
  </si>
  <si>
    <t>1036433</t>
  </si>
  <si>
    <t>MRITTUNJAY KUNDU</t>
  </si>
  <si>
    <t>M/S Gautam Dhar</t>
  </si>
  <si>
    <t>M/S.Susanta Ghosh</t>
  </si>
  <si>
    <t>M/S. Ujjwal Sarkar</t>
  </si>
  <si>
    <t>2025-06-02</t>
  </si>
  <si>
    <t>M/S. Reba Paul</t>
  </si>
  <si>
    <t>Uttam Karmokar</t>
  </si>
  <si>
    <t>HALDAR FERTILIZERS</t>
  </si>
  <si>
    <t>Shibo Prosad Ghosh</t>
  </si>
  <si>
    <t>M/S Swapan Biswas</t>
  </si>
  <si>
    <t>Subrata Banerjee</t>
  </si>
  <si>
    <t>2024-02-24</t>
  </si>
  <si>
    <t>2024-02-28</t>
  </si>
  <si>
    <t>2023-09-24</t>
  </si>
  <si>
    <t>M/S Ranjit Pal</t>
  </si>
  <si>
    <t>NAZRUL HOQUE MANDAL</t>
  </si>
  <si>
    <t>Kamal Bhowmick</t>
  </si>
  <si>
    <t>Bandana Chowdhury</t>
  </si>
  <si>
    <t>2025-02-02</t>
  </si>
  <si>
    <t>SUDHIR KUMAR SARKAR</t>
  </si>
  <si>
    <t>Arman Tarafder</t>
  </si>
  <si>
    <t>UTTAM KUMAR CHOWDHURY</t>
  </si>
  <si>
    <t>KASHI NATH MONDAL</t>
  </si>
  <si>
    <t>2025-02-26</t>
  </si>
  <si>
    <t>2023-09-04</t>
  </si>
  <si>
    <t>2024-12-22</t>
  </si>
  <si>
    <t>SUSHANTA BISWAS</t>
  </si>
  <si>
    <t>NETAIPADA DEY</t>
  </si>
  <si>
    <t>HARALAL ROY</t>
  </si>
  <si>
    <t>BISWAJIT BISWAS</t>
  </si>
  <si>
    <t>DIPAK GHOSH</t>
  </si>
  <si>
    <t>RAMJAN ALI SEIKH</t>
  </si>
  <si>
    <t>2021-05-03</t>
  </si>
  <si>
    <t>892997</t>
  </si>
  <si>
    <t>PARESH GHOSH</t>
  </si>
  <si>
    <t>9735355001</t>
  </si>
  <si>
    <t>2024-03-16</t>
  </si>
  <si>
    <t>ANUP DAS</t>
  </si>
  <si>
    <t>KRISHNA SARKAR</t>
  </si>
  <si>
    <t>2024-03-15</t>
  </si>
  <si>
    <t>2021-04-09</t>
  </si>
  <si>
    <t>668026</t>
  </si>
  <si>
    <t>CHIRANJIT DAS</t>
  </si>
  <si>
    <t>7501332793</t>
  </si>
  <si>
    <t>SANDIP SAHA</t>
  </si>
  <si>
    <t>ASHIM SARKAR</t>
  </si>
  <si>
    <t>PARITOSH DAS</t>
  </si>
  <si>
    <t>RAGHU-JASAR-NAGAR SKUS</t>
  </si>
  <si>
    <t>2025-01-20</t>
  </si>
  <si>
    <t>RANJIT CHAKRABORTY</t>
  </si>
  <si>
    <t>2025-04-02</t>
  </si>
  <si>
    <t>JAGADISH CHAKRABORTY</t>
  </si>
  <si>
    <t>2023-07-16</t>
  </si>
  <si>
    <t>NOKARI SKUS LTD</t>
  </si>
  <si>
    <t>SAILENDRA NATH HALDER</t>
  </si>
  <si>
    <t>SEC NANDIGHAT SKUS</t>
  </si>
  <si>
    <t>ASHADUL MONDAL</t>
  </si>
  <si>
    <t>HEMAITPUR HAZRAPUR SKUS LTD</t>
  </si>
  <si>
    <t>DHIRAT KUMAR BISWAS</t>
  </si>
  <si>
    <t>BHARAT MAULEY</t>
  </si>
  <si>
    <t>ASHISH GHOSH</t>
  </si>
  <si>
    <t>SATYA BISWAS</t>
  </si>
  <si>
    <t>2023-06-23</t>
  </si>
  <si>
    <t xml:space="preserve">KAMDEB DAS </t>
  </si>
  <si>
    <t>2023-04-11</t>
  </si>
  <si>
    <t>BASUDEB SAHA</t>
  </si>
  <si>
    <t>2024-12-25</t>
  </si>
  <si>
    <t>MADAN MOHAN PAL</t>
  </si>
  <si>
    <t>2023-01-04</t>
  </si>
  <si>
    <t>DILIP BISWAS</t>
  </si>
  <si>
    <t>2024-06-15</t>
  </si>
  <si>
    <t>SANTI RANJAN SARKAR</t>
  </si>
  <si>
    <t>HEMAITPUR SKUS LTD</t>
  </si>
  <si>
    <t>DILIP KU BISWAS</t>
  </si>
  <si>
    <t>2020-08-17</t>
  </si>
  <si>
    <t>2019-02-06</t>
  </si>
  <si>
    <t>SAKENDER ALI SEKH BHANGI</t>
  </si>
  <si>
    <t>2023-07-11</t>
  </si>
  <si>
    <t>2023-10-15</t>
  </si>
  <si>
    <t>LATIKA MITRA DEY</t>
  </si>
  <si>
    <t>M/S Biswajit Ghosh</t>
  </si>
  <si>
    <t>M/S BANKIM BISWAS</t>
  </si>
  <si>
    <t>2024-02-02</t>
  </si>
  <si>
    <t>MS Biplab Biswas</t>
  </si>
  <si>
    <t>BISWAS FERTILIZERS A PESTICIDE</t>
  </si>
  <si>
    <t>SARKAR FERTILIZERS SEED AND PE</t>
  </si>
  <si>
    <t>M/S SANATAN BISWAS</t>
  </si>
  <si>
    <t>JAGANNATH PAUL</t>
  </si>
  <si>
    <t>SRIKRISHNA FERTILIZER</t>
  </si>
  <si>
    <t>AVOY KRISHI BHANDER</t>
  </si>
  <si>
    <t>M/S CHABI DAS</t>
  </si>
  <si>
    <t>SUVANKAR DAS</t>
  </si>
  <si>
    <t>M/S ABU SIDDIQUE FERTILIZER</t>
  </si>
  <si>
    <t>Santipur</t>
  </si>
  <si>
    <t>Tapan Kr Mallick</t>
  </si>
  <si>
    <t>Joydeb Ghosh</t>
  </si>
  <si>
    <t>Amar Chakraborty</t>
  </si>
  <si>
    <t>Debranjan Das</t>
  </si>
  <si>
    <t>Dipak Das</t>
  </si>
  <si>
    <t>Gobinda Mondal</t>
  </si>
  <si>
    <t>Dhanajay Majumder</t>
  </si>
  <si>
    <t>M/S. BHOWMICK FERTILIZER</t>
  </si>
  <si>
    <t>Rabindro Nath Saha</t>
  </si>
  <si>
    <t>M/s. Prabhat Kr. Sanyashi</t>
  </si>
  <si>
    <t>Intaz Ali Jahangir</t>
  </si>
  <si>
    <t>Sadhan Ch. Ghosh</t>
  </si>
  <si>
    <t>M/S BISWAS FERTILIZER</t>
  </si>
  <si>
    <t>M/S GOBINDA FERTILIZER</t>
  </si>
  <si>
    <t>M/S. Uttam Ghosh</t>
  </si>
  <si>
    <t>SUKUMAR BISWAS</t>
  </si>
  <si>
    <t>Sujit Saha</t>
  </si>
  <si>
    <t>SUSHANTA ADHIKARI</t>
  </si>
  <si>
    <t>2023-09-27</t>
  </si>
  <si>
    <t>M/S. GHOSH FERTILIZER</t>
  </si>
  <si>
    <t>NIRMAL KUNDU</t>
  </si>
  <si>
    <t>SALIL BARAN GHOSH</t>
  </si>
  <si>
    <t>M/S. GOLAM RASUL DHABAK</t>
  </si>
  <si>
    <t>MS BISWAS FERTIIZER</t>
  </si>
  <si>
    <t>GOPAL CHANDRA DHANI</t>
  </si>
  <si>
    <t>M/S. HABIBULLA SK</t>
  </si>
  <si>
    <t>BISWAS SAR BHANDAR</t>
  </si>
  <si>
    <t>RADHA KRISHNA KRISHI BHANDAR</t>
  </si>
  <si>
    <t>Manjushree Dutta</t>
  </si>
  <si>
    <t>HARIPADA PAL</t>
  </si>
  <si>
    <t>Motiur Rahaman Mollick</t>
  </si>
  <si>
    <t>Abdur Rashid Mondal</t>
  </si>
  <si>
    <t>Jayanta Ghosh</t>
  </si>
  <si>
    <t>Sujitkr  Mondal</t>
  </si>
  <si>
    <t>Minojali Shaikh</t>
  </si>
  <si>
    <t>MS KRISHI BIPLAB</t>
  </si>
  <si>
    <t>MAA PRIYA KRISHI BHANDAR</t>
  </si>
  <si>
    <t>Swapan Kumar Mondal</t>
  </si>
  <si>
    <t xml:space="preserve">Adhir Kr GhoshandSujit Ghosh </t>
  </si>
  <si>
    <t>Khodabox Halsana</t>
  </si>
  <si>
    <t>Jiarul Shaikh</t>
  </si>
  <si>
    <t>Rina Fertilizer</t>
  </si>
  <si>
    <t>2025-04-20</t>
  </si>
  <si>
    <t>KRISHI LAXMI</t>
  </si>
  <si>
    <t>Jelhoque Mondal</t>
  </si>
  <si>
    <t>MS SARGHAR</t>
  </si>
  <si>
    <t>Sukdab Biswas</t>
  </si>
  <si>
    <t>Dilip Kr Joarder</t>
  </si>
  <si>
    <t>Jagannath Biswas</t>
  </si>
  <si>
    <t>Pankaj  Sarkar</t>
  </si>
  <si>
    <t>NARAYAN CHANDRA BISWAS</t>
  </si>
  <si>
    <t>Bikash Mondal</t>
  </si>
  <si>
    <t>MS SABUJ SATHI FERTILIZERS</t>
  </si>
  <si>
    <t>KANAN BISWAS</t>
  </si>
  <si>
    <t>ANIL KUMAR DAS</t>
  </si>
  <si>
    <t>Tarun Kr</t>
  </si>
  <si>
    <t>Mandal Fertilizers</t>
  </si>
  <si>
    <t>Sridam Chandra Biswas</t>
  </si>
  <si>
    <t>Shyamlal Biswas</t>
  </si>
  <si>
    <t>Babar Ali Ske</t>
  </si>
  <si>
    <t>Wardi Gaman</t>
  </si>
  <si>
    <t>Sumana Krishi Bhander</t>
  </si>
  <si>
    <t>Pran Ball Pattandar</t>
  </si>
  <si>
    <t>Matilal Biswas</t>
  </si>
  <si>
    <t>SUDEVI BHOWMIK</t>
  </si>
  <si>
    <t>IKBAL KABIRAJ</t>
  </si>
  <si>
    <t>BHIM CHANDRA BISWAS</t>
  </si>
  <si>
    <t>Modan Mohan Biswas</t>
  </si>
  <si>
    <t>Sudhamoy Mondal</t>
  </si>
  <si>
    <t>Mandal Fertiliser</t>
  </si>
  <si>
    <t>Subhas Biswas</t>
  </si>
  <si>
    <t xml:space="preserve"> Chakraborty Fertilizer</t>
  </si>
  <si>
    <t>1470444</t>
  </si>
  <si>
    <t>Billal Malitya</t>
  </si>
  <si>
    <t>7074281871</t>
  </si>
  <si>
    <t>Subrata Biswas</t>
  </si>
  <si>
    <t>Isadul Sk</t>
  </si>
  <si>
    <t>2024-08-02</t>
  </si>
  <si>
    <t>SAMSUZZOHA MANDAL</t>
  </si>
  <si>
    <t>SAINUR MONDAL</t>
  </si>
  <si>
    <t>APARNA GHOSH</t>
  </si>
  <si>
    <t>CHAITANYA KUMAR MONDAL</t>
  </si>
  <si>
    <t>ACHINTA MONDAL</t>
  </si>
  <si>
    <t>SINDHU HALDER</t>
  </si>
  <si>
    <t>GOUTAM GHOSH</t>
  </si>
  <si>
    <t>ASHIS KUMAR MONDAL</t>
  </si>
  <si>
    <t>BIDHAN CHANDRA MONDAL</t>
  </si>
  <si>
    <t>BIKASHS CHANDRA SARKAR</t>
  </si>
  <si>
    <t>BIKASH CH MONDAL</t>
  </si>
  <si>
    <t>BIDYUT MONDAL</t>
  </si>
  <si>
    <t>2024-08-20</t>
  </si>
  <si>
    <t>SUPRIYA BISWAS</t>
  </si>
  <si>
    <t>BRISHA KETU BISWAS</t>
  </si>
  <si>
    <t>2024-04-09</t>
  </si>
  <si>
    <t>BIBHUTI SARKAR</t>
  </si>
  <si>
    <t>PACHU GOPAL MONDAL</t>
  </si>
  <si>
    <t>ALAMGIR ISLAM</t>
  </si>
  <si>
    <t>M/S KRISHOK BONDHU</t>
  </si>
  <si>
    <t>SHAIKH FERTILISER</t>
  </si>
  <si>
    <t>RAJESH NATH</t>
  </si>
  <si>
    <t>KRISHAK BANDHU</t>
  </si>
  <si>
    <t>Tehatta - II</t>
  </si>
  <si>
    <t>M/s SWAPAN KUMAR BISWAS</t>
  </si>
  <si>
    <t>Ranjit Kumar Mondal</t>
  </si>
  <si>
    <t>Kuntal Biswas</t>
  </si>
  <si>
    <t>Nirmal Ghosh</t>
  </si>
  <si>
    <t>NARATTAM MONDAL</t>
  </si>
  <si>
    <t>SUKHENDU MONDAL</t>
  </si>
  <si>
    <t>2023-01-23</t>
  </si>
  <si>
    <t>M/s SRIDAM SARKAR</t>
  </si>
  <si>
    <t>MS MALLICK FERTILIZERS</t>
  </si>
  <si>
    <t>ABDUL RAJJAK SK</t>
  </si>
  <si>
    <t>M/S  FERTILIZER</t>
  </si>
  <si>
    <t>ASIRUSDIN SK</t>
  </si>
  <si>
    <t>LALU BISWAS</t>
  </si>
  <si>
    <t>SABUR ALI SHAIKH</t>
  </si>
  <si>
    <t>M/s BIJAYA KRISHI BHANDAR</t>
  </si>
  <si>
    <t>2021-05-31</t>
  </si>
  <si>
    <t>269300</t>
  </si>
  <si>
    <t>Gopinath Mollick</t>
  </si>
  <si>
    <t>8348154015</t>
  </si>
  <si>
    <t>UTTAM BISWAS</t>
  </si>
  <si>
    <t>2021-01-15</t>
  </si>
  <si>
    <t>M/s AMRIT KRISHI BHANDER</t>
  </si>
  <si>
    <t>ABDUR RAZZAK</t>
  </si>
  <si>
    <t>MANKIR HOSSAIN SHAIKH</t>
  </si>
  <si>
    <t>MS RAJ FERTILIZER</t>
  </si>
  <si>
    <t>Nayeb Shekh</t>
  </si>
  <si>
    <t>M/s PALLIMANGAL FERTILIZER</t>
  </si>
  <si>
    <t>SUKUMAR MANDAL</t>
  </si>
  <si>
    <t>RAI DHANI FERTILIZER- PROP KA</t>
  </si>
  <si>
    <t>M/S MOHONA FERTILIZER AND INSE</t>
  </si>
  <si>
    <t>1157492</t>
  </si>
  <si>
    <t>M/S APARNA DEY</t>
  </si>
  <si>
    <t>8597753337</t>
  </si>
  <si>
    <t>M/S SAIFUL BISWAS</t>
  </si>
  <si>
    <t>Sakti Pada Bhattacharya</t>
  </si>
  <si>
    <t>6295869635</t>
  </si>
  <si>
    <t>2020-02-24</t>
  </si>
  <si>
    <t>1107761</t>
  </si>
  <si>
    <t>M/S SAKTI PADA BHATTACHARYA</t>
  </si>
  <si>
    <t>2020-10-18</t>
  </si>
  <si>
    <t>Joy Maa Tara Krishi Vander</t>
  </si>
  <si>
    <t>2024-08-08</t>
  </si>
  <si>
    <t>Mrinal Kanti Biswas</t>
  </si>
  <si>
    <t>2022-08-04</t>
  </si>
  <si>
    <t>2023-01-08</t>
  </si>
  <si>
    <t>Kundu Fertiliser</t>
  </si>
  <si>
    <t>Bibekananda Ball</t>
  </si>
  <si>
    <t>Md Abdul Matin</t>
  </si>
  <si>
    <t>Kartick Sandhukha</t>
  </si>
  <si>
    <t>Prasun Biswas</t>
  </si>
  <si>
    <t>2022-05-31</t>
  </si>
  <si>
    <t>Subhasish Ghosh</t>
  </si>
  <si>
    <t>Sushanta Ghosh</t>
  </si>
  <si>
    <t>Anita Biswas</t>
  </si>
  <si>
    <t>Arup Khan</t>
  </si>
  <si>
    <t>Asmaul Mondal</t>
  </si>
  <si>
    <t>2021-05-01</t>
  </si>
  <si>
    <t>2021-04-21</t>
  </si>
  <si>
    <t>Azizul Sardar</t>
  </si>
  <si>
    <t>Bablu Biswas</t>
  </si>
  <si>
    <t>Bidyut Karmakar</t>
  </si>
  <si>
    <t>Gobinda Chadra Dutta</t>
  </si>
  <si>
    <t>Hangsaraj Ghosh</t>
  </si>
  <si>
    <t>2024-03-30</t>
  </si>
  <si>
    <t>2024-04-07</t>
  </si>
  <si>
    <t>Kanailal Ghosh</t>
  </si>
  <si>
    <t>Mahabul Shaikh</t>
  </si>
  <si>
    <t>Manju Ghosh</t>
  </si>
  <si>
    <t>Manoj  Biswas</t>
  </si>
  <si>
    <t>Md. Abdul Karim Sk</t>
  </si>
  <si>
    <t>2021-04-02</t>
  </si>
  <si>
    <t>Minajul Hoque Mondal</t>
  </si>
  <si>
    <t>2020-04-24</t>
  </si>
  <si>
    <t>342576</t>
  </si>
  <si>
    <t>Tapan Kr. Mandal</t>
  </si>
  <si>
    <t>9382122260</t>
  </si>
  <si>
    <t>Mominur Rahaman Mondal</t>
  </si>
  <si>
    <t>2024-03-04</t>
  </si>
  <si>
    <t>Mousmi Biswas</t>
  </si>
  <si>
    <t>Mousumi Fertilizer</t>
  </si>
  <si>
    <t>2023-03-01</t>
  </si>
  <si>
    <t>2022-03-03</t>
  </si>
  <si>
    <t>2022-04-22</t>
  </si>
  <si>
    <t>Mrinal Kanti Karmakar</t>
  </si>
  <si>
    <t>Netai Bhowmick</t>
  </si>
  <si>
    <t>Nikhil Chandra Dutta</t>
  </si>
  <si>
    <t>Nirmal Kumar Biswas</t>
  </si>
  <si>
    <t>Nirmal Sarkar</t>
  </si>
  <si>
    <t>Paresh Chandra Dey</t>
  </si>
  <si>
    <t>Paresh Ch. Tarafder</t>
  </si>
  <si>
    <t>Pasupati Ghosh</t>
  </si>
  <si>
    <t>Pradip Bir</t>
  </si>
  <si>
    <t>Prasanta Ghosh</t>
  </si>
  <si>
    <t>Premchand Mahato</t>
  </si>
  <si>
    <t>Pradip Kumar Mitra</t>
  </si>
  <si>
    <t>2022-12-29</t>
  </si>
  <si>
    <t>2023-03-15</t>
  </si>
  <si>
    <t>Ratan Sadhukhan</t>
  </si>
  <si>
    <t>2023-02-07</t>
  </si>
  <si>
    <t>2023-02-24</t>
  </si>
  <si>
    <t>Uttam Kumar Biswas</t>
  </si>
  <si>
    <t>2019-11-25</t>
  </si>
  <si>
    <t>Khalek  Mondal</t>
  </si>
  <si>
    <t>Mandanmohanbiswas</t>
  </si>
  <si>
    <t>Mangalmay  Mondal</t>
  </si>
  <si>
    <t>Montaz Alijahangir</t>
  </si>
  <si>
    <t>Mullah Ali Mostaque</t>
  </si>
  <si>
    <t>Amalendu Biswas</t>
  </si>
  <si>
    <t xml:space="preserve">Surat Ali Sk </t>
  </si>
  <si>
    <t>2022-11-29</t>
  </si>
  <si>
    <t xml:space="preserve">Sajedur Rahaman </t>
  </si>
  <si>
    <t>2020-08-24</t>
  </si>
  <si>
    <t>260201</t>
  </si>
  <si>
    <t xml:space="preserve">Nayan Ranjan Dutta            </t>
  </si>
  <si>
    <t xml:space="preserve">Aminur Mondal </t>
  </si>
  <si>
    <t>Mayarani Fertilizers</t>
  </si>
  <si>
    <t>2019-07-07</t>
  </si>
  <si>
    <t>Sri Narayan Chandra Biswas</t>
  </si>
  <si>
    <t>2022-02-09</t>
  </si>
  <si>
    <t>2022-06-11</t>
  </si>
  <si>
    <t>Lili Fertilizer</t>
  </si>
  <si>
    <t>2021-08-10</t>
  </si>
  <si>
    <t>M/S Sajahan Mondal</t>
  </si>
  <si>
    <t>2019-08-14</t>
  </si>
  <si>
    <t>Rafikul Mondal</t>
  </si>
  <si>
    <t>Jatin Biswas</t>
  </si>
  <si>
    <t>Netai Modak</t>
  </si>
  <si>
    <t>2019-11-12</t>
  </si>
  <si>
    <t>Gurucharan Das</t>
  </si>
  <si>
    <t>2020-04-14</t>
  </si>
  <si>
    <t>Haider Ali Biswas</t>
  </si>
  <si>
    <t>MONDAL FEHTILIZEH</t>
  </si>
  <si>
    <t>Keshob Saha</t>
  </si>
  <si>
    <t>2023-04-29</t>
  </si>
  <si>
    <t>Partha Mallick</t>
  </si>
  <si>
    <t>Moloy Garai</t>
  </si>
  <si>
    <t>2019-03-27</t>
  </si>
  <si>
    <t>M/S S S Fertilizers</t>
  </si>
  <si>
    <t>Sudip Kr Das</t>
  </si>
  <si>
    <t>2019-08-01</t>
  </si>
  <si>
    <t>2019-09-07</t>
  </si>
  <si>
    <t>Shital Prasad Ghosh</t>
  </si>
  <si>
    <t>SHAMBHU CHANDRA MANDAL</t>
  </si>
  <si>
    <t>MUNSHI ABUL HASSAN</t>
  </si>
  <si>
    <t>2022-11-06</t>
  </si>
  <si>
    <t>2021-01-21</t>
  </si>
  <si>
    <t>2021-08-11</t>
  </si>
  <si>
    <t>BIJOY KRISHNA SEN</t>
  </si>
  <si>
    <t>2021-02-22</t>
  </si>
  <si>
    <t>2020-12-15</t>
  </si>
  <si>
    <t>Maa Tara Krishi Bhander</t>
  </si>
  <si>
    <t>2019-04-23</t>
  </si>
  <si>
    <t>SADDAM DHABAK</t>
  </si>
  <si>
    <t>NURJEL SEKH</t>
  </si>
  <si>
    <t>MA KOMOLA KRISHI BHANDAR</t>
  </si>
  <si>
    <t>NIRMAL KUMAR PAUL</t>
  </si>
  <si>
    <t>2021-04-07</t>
  </si>
  <si>
    <t>342685</t>
  </si>
  <si>
    <t>Bipul Sarkar</t>
  </si>
  <si>
    <t>8536068296</t>
  </si>
  <si>
    <t>RADHA RANI MODAK</t>
  </si>
  <si>
    <t>HAFIZUR RAHAMAN</t>
  </si>
  <si>
    <t>2020-03-11</t>
  </si>
  <si>
    <t>441019</t>
  </si>
  <si>
    <t>Sudhansu Chatterjee</t>
  </si>
  <si>
    <t>9733489231</t>
  </si>
  <si>
    <t>M/s MATRI FERTILIZER</t>
  </si>
  <si>
    <t>2020-07-03</t>
  </si>
  <si>
    <t>1036429</t>
  </si>
  <si>
    <t>8617088579</t>
  </si>
  <si>
    <t>PARTHA SARATHI ROY</t>
  </si>
  <si>
    <t xml:space="preserve">GHOSH FARTILIZER </t>
  </si>
  <si>
    <t>SADHAN KUMAR GHOSH</t>
  </si>
  <si>
    <t>Kishan Super Agrochem</t>
  </si>
  <si>
    <t>2019-03-03</t>
  </si>
  <si>
    <t>412012</t>
  </si>
  <si>
    <t>UDAY SARKAR</t>
  </si>
  <si>
    <t>9732905092</t>
  </si>
  <si>
    <t>HARA GOPAL RAY</t>
  </si>
  <si>
    <t>2022-12-28</t>
  </si>
  <si>
    <t>SARIYAT MONDAL</t>
  </si>
  <si>
    <t>2022-01-02</t>
  </si>
  <si>
    <t>2022-03-31</t>
  </si>
  <si>
    <t>2021-11-02</t>
  </si>
  <si>
    <t xml:space="preserve">UNNAYAN </t>
  </si>
  <si>
    <t>2023-02-05</t>
  </si>
  <si>
    <t>SUNITA PAUL</t>
  </si>
  <si>
    <t>SALAM MONDAL</t>
  </si>
  <si>
    <t>SARAFAT ALI SK</t>
  </si>
  <si>
    <t>RAKIBUL HAQUE</t>
  </si>
  <si>
    <t>2019-03-24</t>
  </si>
  <si>
    <t>ANANDA KUMAR BISWAS</t>
  </si>
  <si>
    <t>2023-03-02</t>
  </si>
  <si>
    <t>TENTUL CHANDRA GHOSH</t>
  </si>
  <si>
    <t>2019-08-12</t>
  </si>
  <si>
    <t>SUVANKAR KARMAKAR</t>
  </si>
  <si>
    <t>2020-10-19</t>
  </si>
  <si>
    <t>NARU GOPAL BISWAS</t>
  </si>
  <si>
    <t>2022-11-26</t>
  </si>
  <si>
    <t>HARI CHARAN SADHUKHAN</t>
  </si>
  <si>
    <t>2021-02-05</t>
  </si>
  <si>
    <t>NIRMAL KUMAR BISWAS</t>
  </si>
  <si>
    <t>RATAN KUMAR MANDAL</t>
  </si>
  <si>
    <t>2020-05-16</t>
  </si>
  <si>
    <t>MUKUL KANTI SIKDAR</t>
  </si>
  <si>
    <t>2019-11-03</t>
  </si>
  <si>
    <t>497602</t>
  </si>
  <si>
    <t>Sudhir Sikdar</t>
  </si>
  <si>
    <t>9474732860</t>
  </si>
  <si>
    <t>2019-04-27</t>
  </si>
  <si>
    <t>342264</t>
  </si>
  <si>
    <t>Nabin Chandra Das</t>
  </si>
  <si>
    <t>7908608939</t>
  </si>
  <si>
    <t>RAFIKUL MALITHA</t>
  </si>
  <si>
    <t>2025-03-27</t>
  </si>
  <si>
    <t>RANJIT KUMAR SARKAR</t>
  </si>
  <si>
    <t>2020-03-08</t>
  </si>
  <si>
    <t>SADHAN KUMAR DEY</t>
  </si>
  <si>
    <t>2020-04-27</t>
  </si>
  <si>
    <t>SHIB SANKAR BISWAS</t>
  </si>
  <si>
    <t>2019-05-09</t>
  </si>
  <si>
    <t xml:space="preserve">BOKKOR BISWAS </t>
  </si>
  <si>
    <t>ABDUL MALEK MONDAL</t>
  </si>
  <si>
    <t>2020-04-29</t>
  </si>
  <si>
    <t>901232</t>
  </si>
  <si>
    <t>MALLICK FERTILIZER</t>
  </si>
  <si>
    <t>7001329763</t>
  </si>
  <si>
    <t>2020-01-05</t>
  </si>
  <si>
    <t>2020-04-05</t>
  </si>
  <si>
    <t>GOPAL FERTILIZER</t>
  </si>
  <si>
    <t xml:space="preserve">NUR FERTILIZER </t>
  </si>
  <si>
    <t>826235</t>
  </si>
  <si>
    <t>MAHADEB DAS</t>
  </si>
  <si>
    <t>9932210665</t>
  </si>
  <si>
    <t>260198</t>
  </si>
  <si>
    <t>Maa Tara Agril Centre</t>
  </si>
  <si>
    <t>9153011426</t>
  </si>
  <si>
    <t>ANANDANAGAR SKUS LTD</t>
  </si>
  <si>
    <t>SUBODH KUMAR MANDAL</t>
  </si>
  <si>
    <t xml:space="preserve">M/S KRISHI PRAGATI PROP SALIM </t>
  </si>
  <si>
    <t>2020-01-04</t>
  </si>
  <si>
    <t>KRISHNA GOPAL BISWAS</t>
  </si>
  <si>
    <t>1063526</t>
  </si>
  <si>
    <t>Ms. Harendra Nath Saha</t>
  </si>
  <si>
    <t>9083872456</t>
  </si>
  <si>
    <t>M/S DHAKI FERTILIZER</t>
  </si>
  <si>
    <t>2021-02-08</t>
  </si>
  <si>
    <t>MD SAFIUDDIN MONDAL</t>
  </si>
  <si>
    <t>2019-03-31</t>
  </si>
  <si>
    <t>MS SAFIUR FERTILIZER</t>
  </si>
  <si>
    <t>2022-01-06</t>
  </si>
  <si>
    <t>2021-07-08</t>
  </si>
  <si>
    <t>ANISA FERTILIZER</t>
  </si>
  <si>
    <t>SUMAN AGRI TECH</t>
  </si>
  <si>
    <t>MAJIDUL FERTILIZER</t>
  </si>
  <si>
    <t>M/S BISWAS FERTILIZER  PRO. PA</t>
  </si>
  <si>
    <t>SABITA KRISHI GHAR</t>
  </si>
  <si>
    <t>MONDAL FERTILIZER PROP ATAUR MONDAL</t>
  </si>
  <si>
    <t>MS TOTA MONDAL</t>
  </si>
  <si>
    <t>Paschim Bardhaman</t>
  </si>
  <si>
    <t>Barabani</t>
  </si>
  <si>
    <t>SAROJ CHAND</t>
  </si>
  <si>
    <t>261721</t>
  </si>
  <si>
    <t>Sakti Pada Hui</t>
  </si>
  <si>
    <t>Faridpur Durgapur</t>
  </si>
  <si>
    <t>Samar Chandra Mondal</t>
  </si>
  <si>
    <t>Salanpur</t>
  </si>
  <si>
    <t>Bharat Krishi Kalyan</t>
  </si>
  <si>
    <t>SANTI KRISHI BHANDER</t>
  </si>
  <si>
    <t>Banarasi Beej Bhawan</t>
  </si>
  <si>
    <t>'WS3125003280'</t>
  </si>
  <si>
    <t>'WS3125004010'</t>
  </si>
  <si>
    <t>'WS3125003945'</t>
  </si>
  <si>
    <t>'WS3125003611'</t>
  </si>
  <si>
    <t>'WS3126000025'</t>
  </si>
  <si>
    <t>Mukul Roy</t>
  </si>
  <si>
    <t>M/s NIRMAL FERTILIZER AND PEST</t>
  </si>
  <si>
    <t>JOLLY FERTILIZER</t>
  </si>
  <si>
    <t>AMAL SALES CORPORATION</t>
  </si>
  <si>
    <t>B K ROY</t>
  </si>
  <si>
    <t>BARASAT KRISHI BIPANI</t>
  </si>
  <si>
    <t xml:space="preserve">Ma Lakshmi Krishi Bhandar </t>
  </si>
  <si>
    <t xml:space="preserve">Sahidul Islam  Co. </t>
  </si>
  <si>
    <t>NORTH 24 PARGANAS</t>
  </si>
  <si>
    <t>SOUTH 24 PARGANAS</t>
  </si>
  <si>
    <t>DAP</t>
  </si>
  <si>
    <t>Manoda Fertilisers</t>
  </si>
  <si>
    <t>Previous</t>
  </si>
  <si>
    <t>Current</t>
  </si>
  <si>
    <t>ALIPURDUAR</t>
  </si>
  <si>
    <t>WB DEALERS AGING STOCK TRACKER DASHBOARD</t>
  </si>
  <si>
    <t>North Dinajpur</t>
  </si>
  <si>
    <t>South Dinajpur</t>
  </si>
  <si>
    <t>Haowrah</t>
  </si>
  <si>
    <t>East Medinipur</t>
  </si>
  <si>
    <t>West Medinipur</t>
  </si>
  <si>
    <t>Gouri Sankar Kundu</t>
  </si>
  <si>
    <t>Satya Ranjan Kundu and Brothers</t>
  </si>
  <si>
    <t>Total</t>
  </si>
  <si>
    <t>Ramkayal Upadhyay</t>
  </si>
  <si>
    <t>Row Labels</t>
  </si>
  <si>
    <t>Grand Total</t>
  </si>
  <si>
    <t>Sum of Qty (In MT)</t>
  </si>
  <si>
    <t>Column Labels</t>
  </si>
  <si>
    <t>PREVIOUS</t>
  </si>
  <si>
    <t>CURRENT</t>
  </si>
  <si>
    <t>Dey Banik Fertiliser  Co.</t>
  </si>
  <si>
    <t>Arup Kumar Majumder</t>
  </si>
  <si>
    <t>AGEING STOCK</t>
  </si>
  <si>
    <t>'NCD/06/0035'</t>
  </si>
  <si>
    <t>2026-04-24</t>
  </si>
  <si>
    <t>'WS3126000157'</t>
  </si>
  <si>
    <t>2026-04-25</t>
  </si>
  <si>
    <t>'WS3126000165'</t>
  </si>
  <si>
    <t>'WS3126000166'</t>
  </si>
  <si>
    <t>'WS3126000159'</t>
  </si>
  <si>
    <t>'WS3126000136'</t>
  </si>
  <si>
    <t>'WS3126000134'</t>
  </si>
  <si>
    <t>'WS3126000135'</t>
  </si>
  <si>
    <t>'GST/976/26-27'</t>
  </si>
  <si>
    <t>'WS3126000085'</t>
  </si>
  <si>
    <t>2026-04-20</t>
  </si>
  <si>
    <t>'WS3126000078'</t>
  </si>
  <si>
    <t>M/S Ananta Pada Sarkar</t>
  </si>
  <si>
    <t>'FER/26-27/00077'</t>
  </si>
  <si>
    <t>2026-04-21</t>
  </si>
  <si>
    <t>'FER/26-27/00059'</t>
  </si>
  <si>
    <t>'FER/26-27/00075'</t>
  </si>
  <si>
    <t>'FER/26-27/00078'</t>
  </si>
  <si>
    <t>'FER/26-27/00076'</t>
  </si>
  <si>
    <t>'WS3126000075'</t>
  </si>
  <si>
    <t>'WS3126000071'</t>
  </si>
  <si>
    <t>'WS3126000123'</t>
  </si>
  <si>
    <t>'WS3126000124'</t>
  </si>
  <si>
    <t>'WS3126000126'</t>
  </si>
  <si>
    <t>'WS3126000125'</t>
  </si>
  <si>
    <t>'BNS2627PST128'</t>
  </si>
  <si>
    <t>'WS3126000131'</t>
  </si>
  <si>
    <t>'WS3126000130'</t>
  </si>
  <si>
    <t>'WS3126000129'</t>
  </si>
  <si>
    <t>'WS3126000128'</t>
  </si>
  <si>
    <t>'WS3126000127'</t>
  </si>
  <si>
    <t>'WS3126000133'</t>
  </si>
  <si>
    <t>'WS3126000132'</t>
  </si>
  <si>
    <t>'WS3126000077'</t>
  </si>
  <si>
    <t>'WS3126000084'</t>
  </si>
  <si>
    <t>'01'</t>
  </si>
  <si>
    <t>'WS3126000064'</t>
  </si>
  <si>
    <t>'WS3126000062'</t>
  </si>
  <si>
    <t>'WS3126000070'</t>
  </si>
  <si>
    <t>'BKP/F-25'</t>
  </si>
  <si>
    <t>'WS3126000119'</t>
  </si>
  <si>
    <t>'WS3126000092'</t>
  </si>
  <si>
    <t>'WS3126000109'</t>
  </si>
  <si>
    <t>'WS3126000121'</t>
  </si>
  <si>
    <t>'WS3126000097'</t>
  </si>
  <si>
    <t>'WS3126000094'</t>
  </si>
  <si>
    <t>'WS3126000111'</t>
  </si>
  <si>
    <t>'WS3126000100'</t>
  </si>
  <si>
    <t>'WS3126000122'</t>
  </si>
  <si>
    <t>'WS3126000120'</t>
  </si>
  <si>
    <t>'WS3126000103'</t>
  </si>
  <si>
    <t>'WS3126000104'</t>
  </si>
  <si>
    <t>'WS3126000106'</t>
  </si>
  <si>
    <t>'WS3126000113'</t>
  </si>
  <si>
    <t>'WS3126000118'</t>
  </si>
  <si>
    <t>'WS3126000069'</t>
  </si>
  <si>
    <t>'WS3126000068'</t>
  </si>
  <si>
    <t>'WS3126000065'</t>
  </si>
  <si>
    <t>'WS3126000066'</t>
  </si>
  <si>
    <t>'WS3126000073'</t>
  </si>
  <si>
    <t>'WS3126000081'</t>
  </si>
  <si>
    <t>'WS3126000074'</t>
  </si>
  <si>
    <t>'WS3126000082'</t>
  </si>
  <si>
    <t>'BKP/F-27'</t>
  </si>
  <si>
    <t>'WS3126000067'</t>
  </si>
  <si>
    <t>'WS3126000063'</t>
  </si>
  <si>
    <t>'74'</t>
  </si>
  <si>
    <t>'73'</t>
  </si>
  <si>
    <t>'ABURAIHAN/FY2526'</t>
  </si>
  <si>
    <t>'WS3125004041'</t>
  </si>
  <si>
    <t>'WS3125004045'</t>
  </si>
  <si>
    <t>2026-04-19</t>
  </si>
  <si>
    <t>2026-04-26</t>
  </si>
  <si>
    <t>1219939</t>
  </si>
  <si>
    <t>BHABATARINI KRISHI BHANDAR</t>
  </si>
  <si>
    <t>2026-04-22</t>
  </si>
  <si>
    <t>2026-04-23</t>
  </si>
  <si>
    <t>Durga Krishi Bhander</t>
  </si>
  <si>
    <t>Md.Motiar Rahman Sardar</t>
  </si>
  <si>
    <t>Sabuj Bhabna</t>
  </si>
  <si>
    <t>Lokenath Krishi Seva Kendra</t>
  </si>
  <si>
    <t>Pankabati Krishi Bhander</t>
  </si>
  <si>
    <t>ASHIM DAS</t>
  </si>
  <si>
    <t>NEW KRISHI SEVAYAN</t>
  </si>
  <si>
    <t>JAYHARI BARMAN</t>
  </si>
  <si>
    <t>SWAPAN PAUL</t>
  </si>
  <si>
    <t>M/S JEEN MATA FERTILIZERS</t>
  </si>
  <si>
    <t>SABUJ SAATHI KRISHI GHAR</t>
  </si>
  <si>
    <t>M/S Eamam Hasan Miah</t>
  </si>
  <si>
    <t>BROJENDRA NATH ROY N NITAI ROY</t>
  </si>
  <si>
    <t>Afijuddin Ahamed</t>
  </si>
  <si>
    <t>Rahman Fertilizers</t>
  </si>
  <si>
    <t>APPU KOLEY</t>
  </si>
  <si>
    <t>M/S DAS BEEJ BHANDAR</t>
  </si>
  <si>
    <t>Biswas and Brothers Fertilizers</t>
  </si>
  <si>
    <t>KRISHNA NATH MANDAL</t>
  </si>
  <si>
    <t>NABENDU KUMAR CHOUDHURY</t>
  </si>
  <si>
    <t>Maa Durga Enterprise</t>
  </si>
  <si>
    <t>Birendra Nath Saha and Partner</t>
  </si>
  <si>
    <t>M/S Ganesh Ch. Saha</t>
  </si>
  <si>
    <t>Rajdeo Barui</t>
  </si>
  <si>
    <t>SADDAM SAR BHANDAR</t>
  </si>
  <si>
    <t>Khudiram Saha</t>
  </si>
  <si>
    <t>ANIMESH SARKAR</t>
  </si>
  <si>
    <t>S M GOLAM AJAD</t>
  </si>
  <si>
    <t>Attab Ali Mondal</t>
  </si>
  <si>
    <t>RUP CHAND DAS</t>
  </si>
  <si>
    <t>MEHEBUL SK</t>
  </si>
  <si>
    <t>PRAGATI KRISHI VANDAR</t>
  </si>
  <si>
    <t>Asraf Shaikh</t>
  </si>
  <si>
    <t>Chitta Ranjan Mandal</t>
  </si>
  <si>
    <t>SARKAR FERTILIZEH</t>
  </si>
  <si>
    <t>Saraswati Majumder</t>
  </si>
  <si>
    <t>M/S BUDHO MOLLA</t>
  </si>
  <si>
    <t>Abul Hassan Dehu</t>
  </si>
  <si>
    <t>Amlan Bajpaye</t>
  </si>
  <si>
    <t>JAHANGIR MALITHYA</t>
  </si>
  <si>
    <t>Raidhani Fertilizer</t>
  </si>
  <si>
    <t>MS FERTILIZER</t>
  </si>
  <si>
    <t>BILLAL SEKH</t>
  </si>
  <si>
    <t>amalsalescorpn@gmail.com</t>
  </si>
  <si>
    <t>Subject</t>
  </si>
  <si>
    <t>Liquidation of RCF high Aging Stock</t>
  </si>
  <si>
    <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</si>
</sst>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u/>
      <sz val="11"/>
      <color theme="1"/>
      <name val="Calibri"/>
      <family val="2"/>
      <scheme val="minor"/>
    </font>
    <font>
      <u/>
      <sz val="36"/>
      <color theme="1"/>
      <name val="Calibri"/>
      <family val="2"/>
      <scheme val="minor"/>
    </font>
    <font>
      <u/>
      <sz val="24"/>
      <color theme="1"/>
      <name val="Calibri"/>
      <family val="2"/>
      <scheme val="minor"/>
    </font>
    <font>
      <b/>
      <u/>
      <sz val="24"/>
      <color theme="1"/>
      <name val="Calibri"/>
      <family val="2"/>
      <scheme val="minor"/>
    </font>
    <font>
      <u/>
      <sz val="11"/>
      <color theme="10"/>
      <name val="Calibri"/>
      <family val="2"/>
      <scheme val="minor"/>
    </font>
    <font>
      <sz val="11"/>
      <name val="Calibri"/>
      <family val="2"/>
      <scheme val="minor"/>
    </font>
    <font>
      <b/>
      <sz val="11"/>
      <color theme="1"/>
      <name val="Arial Black"/>
      <family val="2"/>
    </font>
  </fonts>
  <fills count="7">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rgb="FF92D05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20">
    <xf numFmtId="0" fontId="0" fillId="0" borderId="0" xfId="0"/>
    <xf numFmtId="0" fontId="0" fillId="0" borderId="1" xfId="0" applyBorder="1"/>
    <xf numFmtId="0" fontId="1" fillId="3"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center" vertical="center"/>
    </xf>
    <xf numFmtId="0" fontId="7" fillId="6" borderId="1" xfId="0" applyFont="1" applyFill="1" applyBorder="1" applyAlignment="1">
      <alignment vertical="top"/>
    </xf>
    <xf numFmtId="0" fontId="0" fillId="0" borderId="1" xfId="0" applyBorder="1" applyAlignment="1">
      <alignment horizontal="center" vertical="center"/>
    </xf>
    <xf numFmtId="0" fontId="1" fillId="0" borderId="0" xfId="0" applyFont="1"/>
    <xf numFmtId="0" fontId="2" fillId="0" borderId="0" xfId="0" applyFont="1"/>
    <xf numFmtId="0" fontId="6" fillId="0" borderId="0" xfId="1"/>
    <xf numFmtId="0" fontId="8" fillId="5" borderId="1" xfId="1" applyFont="1" applyFill="1" applyBorder="1" applyAlignment="1">
      <alignment horizontal="center" vertical="center"/>
    </xf>
    <xf numFmtId="0" fontId="2" fillId="2" borderId="1" xfId="0" applyFon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3" borderId="1" xfId="0" applyFont="1" applyFill="1" applyBorder="1" applyAlignment="1">
      <alignment horizontal="center"/>
    </xf>
    <xf numFmtId="0" fontId="3" fillId="4" borderId="0" xfId="0" applyFont="1" applyFill="1" applyAlignment="1">
      <alignment horizontal="center"/>
    </xf>
    <xf numFmtId="0" fontId="0" fillId="4" borderId="0" xfId="0" applyFill="1" applyAlignment="1">
      <alignment horizontal="center"/>
    </xf>
    <xf numFmtId="0" fontId="5" fillId="4" borderId="0" xfId="0" applyFont="1" applyFill="1" applyAlignment="1">
      <alignment horizontal="center" vertical="center"/>
    </xf>
    <xf numFmtId="0" fontId="4" fillId="4"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80ED99"/>
      <color rgb="FF57CC99"/>
      <color rgb="FF38A3A5"/>
      <color rgb="FF22577A"/>
      <color rgb="FF004F88"/>
      <color rgb="FFA66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180+ AGING STOCK TRACKER DEALER WISE_V.1.0.0.xlsx]Analysis Current Week!PivotTable1</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baseline="0"/>
              <a:t>current week (total)</a:t>
            </a:r>
            <a:endParaRPr lang="en-IN"/>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2700000" scaled="1"/>
            <a:tileRect/>
          </a:gra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 Current Week'!$B$3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2700000" scaled="1"/>
              <a:tileRect/>
            </a:gra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Current Week'!$A$4:$A$23</c:f>
              <c:strCache>
                <c:ptCount val="19"/>
                <c:pt idx="0">
                  <c:v>Paschim Bardhaman</c:v>
                </c:pt>
                <c:pt idx="1">
                  <c:v>Nadia</c:v>
                </c:pt>
                <c:pt idx="2">
                  <c:v>Murshidabad</c:v>
                </c:pt>
                <c:pt idx="3">
                  <c:v>Medinipur West</c:v>
                </c:pt>
                <c:pt idx="4">
                  <c:v>Medinipur East</c:v>
                </c:pt>
                <c:pt idx="5">
                  <c:v>Maldah</c:v>
                </c:pt>
                <c:pt idx="6">
                  <c:v>Jalpaiguri</c:v>
                </c:pt>
                <c:pt idx="7">
                  <c:v>Howrah</c:v>
                </c:pt>
                <c:pt idx="8">
                  <c:v>Hooghly</c:v>
                </c:pt>
                <c:pt idx="9">
                  <c:v>Dinajpur Uttar</c:v>
                </c:pt>
                <c:pt idx="10">
                  <c:v>Dinajpur Dakshin</c:v>
                </c:pt>
                <c:pt idx="11">
                  <c:v>Darjeeling</c:v>
                </c:pt>
                <c:pt idx="12">
                  <c:v>Coochbehar</c:v>
                </c:pt>
                <c:pt idx="13">
                  <c:v>Birbhum</c:v>
                </c:pt>
                <c:pt idx="14">
                  <c:v>Bardhaman</c:v>
                </c:pt>
                <c:pt idx="15">
                  <c:v>Bankura</c:v>
                </c:pt>
                <c:pt idx="16">
                  <c:v>Alipurduar</c:v>
                </c:pt>
                <c:pt idx="17">
                  <c:v>24 Paraganas South</c:v>
                </c:pt>
                <c:pt idx="18">
                  <c:v>24 Paraganas North</c:v>
                </c:pt>
              </c:strCache>
            </c:strRef>
          </c:cat>
          <c:val>
            <c:numRef>
              <c:f>'Analysis Current Week'!$B$4:$B$23</c:f>
              <c:numCache>
                <c:formatCode>General</c:formatCode>
                <c:ptCount val="19"/>
                <c:pt idx="0">
                  <c:v>14.42</c:v>
                </c:pt>
                <c:pt idx="1">
                  <c:v>6690.6449999999995</c:v>
                </c:pt>
                <c:pt idx="2">
                  <c:v>5105.5910000000049</c:v>
                </c:pt>
                <c:pt idx="3">
                  <c:v>37.115000000000002</c:v>
                </c:pt>
                <c:pt idx="4">
                  <c:v>185.63299999999998</c:v>
                </c:pt>
                <c:pt idx="5">
                  <c:v>4709.773000000002</c:v>
                </c:pt>
                <c:pt idx="6">
                  <c:v>1066.1589999999994</c:v>
                </c:pt>
                <c:pt idx="7">
                  <c:v>48.065000000000005</c:v>
                </c:pt>
                <c:pt idx="8">
                  <c:v>757.18600000000004</c:v>
                </c:pt>
                <c:pt idx="9">
                  <c:v>2353.7110000000066</c:v>
                </c:pt>
                <c:pt idx="10">
                  <c:v>3229.2170000000024</c:v>
                </c:pt>
                <c:pt idx="11">
                  <c:v>0.01</c:v>
                </c:pt>
                <c:pt idx="12">
                  <c:v>634.66599999999971</c:v>
                </c:pt>
                <c:pt idx="13">
                  <c:v>526.43599999999981</c:v>
                </c:pt>
                <c:pt idx="14">
                  <c:v>1287.5450000000003</c:v>
                </c:pt>
                <c:pt idx="15">
                  <c:v>540.09800000000007</c:v>
                </c:pt>
                <c:pt idx="16">
                  <c:v>207.87099999999995</c:v>
                </c:pt>
                <c:pt idx="17">
                  <c:v>1498.6260000000032</c:v>
                </c:pt>
                <c:pt idx="18">
                  <c:v>4935.8549999999841</c:v>
                </c:pt>
              </c:numCache>
            </c:numRef>
          </c:val>
          <c:extLst>
            <c:ext xmlns:c16="http://schemas.microsoft.com/office/drawing/2014/chart" uri="{C3380CC4-5D6E-409C-BE32-E72D297353CC}">
              <c16:uniqueId val="{00000000-D31A-4C9D-85EA-A25C11E15A7C}"/>
            </c:ext>
          </c:extLst>
        </c:ser>
        <c:dLbls>
          <c:showLegendKey val="0"/>
          <c:showVal val="1"/>
          <c:showCatName val="0"/>
          <c:showSerName val="0"/>
          <c:showPercent val="0"/>
          <c:showBubbleSize val="0"/>
        </c:dLbls>
        <c:gapWidth val="84"/>
        <c:gapDepth val="53"/>
        <c:shape val="box"/>
        <c:axId val="1953688191"/>
        <c:axId val="1953682431"/>
        <c:axId val="0"/>
      </c:bar3DChart>
      <c:catAx>
        <c:axId val="19536881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3682431"/>
        <c:crosses val="autoZero"/>
        <c:auto val="1"/>
        <c:lblAlgn val="ctr"/>
        <c:lblOffset val="100"/>
        <c:noMultiLvlLbl val="0"/>
      </c:catAx>
      <c:valAx>
        <c:axId val="1953682431"/>
        <c:scaling>
          <c:orientation val="minMax"/>
        </c:scaling>
        <c:delete val="1"/>
        <c:axPos val="b"/>
        <c:numFmt formatCode="General" sourceLinked="1"/>
        <c:majorTickMark val="out"/>
        <c:minorTickMark val="none"/>
        <c:tickLblPos val="nextTo"/>
        <c:crossAx val="195368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180+ AGING STOCK TRACKER DEALER WISE_V.1.0.0.xlsx]Analysis Previous Week!PivotTable2</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800" b="0" i="0" u="none" strike="noStrike" kern="1200" cap="all" baseline="0">
                <a:solidFill>
                  <a:sysClr val="window" lastClr="FFFFFF"/>
                </a:solidFill>
              </a:rPr>
              <a:t>Previous week (total)</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2700000" scaled="1"/>
            <a:tileRect/>
          </a:gra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 Previous Week'!$B$3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2700000" scaled="1"/>
              <a:tileRect/>
            </a:gra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Previous Week'!$A$4:$A$23</c:f>
              <c:strCache>
                <c:ptCount val="19"/>
                <c:pt idx="0">
                  <c:v>Paschim Bardhaman</c:v>
                </c:pt>
                <c:pt idx="1">
                  <c:v>Nadia</c:v>
                </c:pt>
                <c:pt idx="2">
                  <c:v>Murshidabad</c:v>
                </c:pt>
                <c:pt idx="3">
                  <c:v>Medinipur West</c:v>
                </c:pt>
                <c:pt idx="4">
                  <c:v>Medinipur East</c:v>
                </c:pt>
                <c:pt idx="5">
                  <c:v>Maldah</c:v>
                </c:pt>
                <c:pt idx="6">
                  <c:v>Jalpaiguri</c:v>
                </c:pt>
                <c:pt idx="7">
                  <c:v>Howrah</c:v>
                </c:pt>
                <c:pt idx="8">
                  <c:v>Hooghly</c:v>
                </c:pt>
                <c:pt idx="9">
                  <c:v>Dinajpur Uttar</c:v>
                </c:pt>
                <c:pt idx="10">
                  <c:v>Dinajpur Dakshin</c:v>
                </c:pt>
                <c:pt idx="11">
                  <c:v>Darjeeling</c:v>
                </c:pt>
                <c:pt idx="12">
                  <c:v>Coochbehar</c:v>
                </c:pt>
                <c:pt idx="13">
                  <c:v>Birbhum</c:v>
                </c:pt>
                <c:pt idx="14">
                  <c:v>Bardhaman</c:v>
                </c:pt>
                <c:pt idx="15">
                  <c:v>Bankura</c:v>
                </c:pt>
                <c:pt idx="16">
                  <c:v>Alipurduar</c:v>
                </c:pt>
                <c:pt idx="17">
                  <c:v>24 Paraganas South</c:v>
                </c:pt>
                <c:pt idx="18">
                  <c:v>24 Paraganas North</c:v>
                </c:pt>
              </c:strCache>
            </c:strRef>
          </c:cat>
          <c:val>
            <c:numRef>
              <c:f>'Analysis Previous Week'!$B$4:$B$23</c:f>
              <c:numCache>
                <c:formatCode>General</c:formatCode>
                <c:ptCount val="19"/>
                <c:pt idx="0">
                  <c:v>14.645000000000001</c:v>
                </c:pt>
                <c:pt idx="1">
                  <c:v>6897.3279999999877</c:v>
                </c:pt>
                <c:pt idx="2">
                  <c:v>5288.2039999999915</c:v>
                </c:pt>
                <c:pt idx="3">
                  <c:v>37.115000000000002</c:v>
                </c:pt>
                <c:pt idx="4">
                  <c:v>193.78800000000001</c:v>
                </c:pt>
                <c:pt idx="5">
                  <c:v>3532.9980000000014</c:v>
                </c:pt>
                <c:pt idx="6">
                  <c:v>1074.4939999999992</c:v>
                </c:pt>
                <c:pt idx="7">
                  <c:v>37.085000000000001</c:v>
                </c:pt>
                <c:pt idx="8">
                  <c:v>780.40100000000007</c:v>
                </c:pt>
                <c:pt idx="9">
                  <c:v>2113.4310000000014</c:v>
                </c:pt>
                <c:pt idx="10">
                  <c:v>2811.4510000000055</c:v>
                </c:pt>
                <c:pt idx="11">
                  <c:v>0.01</c:v>
                </c:pt>
                <c:pt idx="12">
                  <c:v>634.33599999999967</c:v>
                </c:pt>
                <c:pt idx="13">
                  <c:v>845.56600000000014</c:v>
                </c:pt>
                <c:pt idx="14">
                  <c:v>1378.1749999999997</c:v>
                </c:pt>
                <c:pt idx="15">
                  <c:v>426.89800000000008</c:v>
                </c:pt>
                <c:pt idx="16">
                  <c:v>213.03600000000009</c:v>
                </c:pt>
                <c:pt idx="17">
                  <c:v>1423.5480000000002</c:v>
                </c:pt>
                <c:pt idx="18">
                  <c:v>5227.8289999999952</c:v>
                </c:pt>
              </c:numCache>
            </c:numRef>
          </c:val>
          <c:extLst>
            <c:ext xmlns:c16="http://schemas.microsoft.com/office/drawing/2014/chart" uri="{C3380CC4-5D6E-409C-BE32-E72D297353CC}">
              <c16:uniqueId val="{00000000-8219-47D4-840E-876748973131}"/>
            </c:ext>
          </c:extLst>
        </c:ser>
        <c:dLbls>
          <c:showLegendKey val="0"/>
          <c:showVal val="1"/>
          <c:showCatName val="0"/>
          <c:showSerName val="0"/>
          <c:showPercent val="0"/>
          <c:showBubbleSize val="0"/>
        </c:dLbls>
        <c:gapWidth val="84"/>
        <c:gapDepth val="53"/>
        <c:shape val="box"/>
        <c:axId val="1779545119"/>
        <c:axId val="1779547039"/>
        <c:axId val="0"/>
      </c:bar3DChart>
      <c:catAx>
        <c:axId val="177954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9547039"/>
        <c:crosses val="autoZero"/>
        <c:auto val="1"/>
        <c:lblAlgn val="ctr"/>
        <c:lblOffset val="100"/>
        <c:noMultiLvlLbl val="0"/>
      </c:catAx>
      <c:valAx>
        <c:axId val="1779547039"/>
        <c:scaling>
          <c:orientation val="minMax"/>
        </c:scaling>
        <c:delete val="1"/>
        <c:axPos val="b"/>
        <c:numFmt formatCode="General" sourceLinked="1"/>
        <c:majorTickMark val="out"/>
        <c:minorTickMark val="none"/>
        <c:tickLblPos val="nextTo"/>
        <c:crossAx val="177954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180+ AGING STOCK TRACKER DEALER WISE_V.1.0.0.xlsx]Analysis_Current_1!PivotTable3</c:name>
    <c:fmtId val="4"/>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4656955380577426"/>
          <c:y val="0.15523148148148147"/>
          <c:w val="0.45963888888888887"/>
          <c:h val="0.76606481481481481"/>
        </c:manualLayout>
      </c:layout>
      <c:doughnutChart>
        <c:varyColors val="1"/>
        <c:ser>
          <c:idx val="0"/>
          <c:order val="0"/>
          <c:tx>
            <c:strRef>
              <c:f>Analysis_Current_1!$B$3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A6D-4CA9-8F64-3B0A079E770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A6D-4CA9-8F64-3B0A079E770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A6D-4CA9-8F64-3B0A079E770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A6D-4CA9-8F64-3B0A079E770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A6D-4CA9-8F64-3B0A079E7708}"/>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3A6D-4CA9-8F64-3B0A079E7708}"/>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3A6D-4CA9-8F64-3B0A079E7708}"/>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3A6D-4CA9-8F64-3B0A079E77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Analysis_Current_1!$A$4:$A$12</c:f>
              <c:strCache>
                <c:ptCount val="8"/>
                <c:pt idx="0">
                  <c:v>0-30</c:v>
                </c:pt>
                <c:pt idx="1">
                  <c:v>121-180</c:v>
                </c:pt>
                <c:pt idx="2">
                  <c:v>181-365</c:v>
                </c:pt>
                <c:pt idx="3">
                  <c:v>31-60</c:v>
                </c:pt>
                <c:pt idx="4">
                  <c:v>366-546</c:v>
                </c:pt>
                <c:pt idx="5">
                  <c:v>547+</c:v>
                </c:pt>
                <c:pt idx="6">
                  <c:v>61-90</c:v>
                </c:pt>
                <c:pt idx="7">
                  <c:v>91-120</c:v>
                </c:pt>
              </c:strCache>
            </c:strRef>
          </c:cat>
          <c:val>
            <c:numRef>
              <c:f>Analysis_Current_1!$B$4:$B$12</c:f>
              <c:numCache>
                <c:formatCode>General</c:formatCode>
                <c:ptCount val="8"/>
                <c:pt idx="0">
                  <c:v>6460.3999999999787</c:v>
                </c:pt>
                <c:pt idx="1">
                  <c:v>3306.5060000000021</c:v>
                </c:pt>
                <c:pt idx="2">
                  <c:v>2030.1479999999983</c:v>
                </c:pt>
                <c:pt idx="3">
                  <c:v>9787.8370000000032</c:v>
                </c:pt>
                <c:pt idx="4">
                  <c:v>695.23299999999915</c:v>
                </c:pt>
                <c:pt idx="5">
                  <c:v>1375.9299999999982</c:v>
                </c:pt>
                <c:pt idx="6">
                  <c:v>7743.3919999999825</c:v>
                </c:pt>
                <c:pt idx="7">
                  <c:v>2429.1760000000008</c:v>
                </c:pt>
              </c:numCache>
            </c:numRef>
          </c:val>
          <c:extLst>
            <c:ext xmlns:c16="http://schemas.microsoft.com/office/drawing/2014/chart" uri="{C3380CC4-5D6E-409C-BE32-E72D297353CC}">
              <c16:uniqueId val="{00000010-3A6D-4CA9-8F64-3B0A079E770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8.8888888888888892E-2"/>
          <c:y val="0.16898038786818315"/>
          <c:w val="0.17499999999999999"/>
          <c:h val="0.692270705745115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180+ AGING STOCK TRACKER DEALER WISE_V.1.0.0.xlsx]Current_Analysis_2!PivotTable4</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Current_Analysis_2!$B$3:$B$4</c:f>
              <c:strCache>
                <c:ptCount val="1"/>
                <c:pt idx="0">
                  <c:v>181-365</c:v>
                </c:pt>
              </c:strCache>
            </c:strRef>
          </c:tx>
          <c:spPr>
            <a:solidFill>
              <a:schemeClr val="accent1"/>
            </a:solidFill>
            <a:ln>
              <a:noFill/>
            </a:ln>
            <a:effectLst/>
            <a:sp3d/>
          </c:spPr>
          <c:invertIfNegative val="0"/>
          <c:cat>
            <c:strRef>
              <c:f>Current_Analysis_2!$A$5:$A$24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Current_Analysis_2!$B$5:$B$24</c:f>
              <c:numCache>
                <c:formatCode>General</c:formatCode>
                <c:ptCount val="19"/>
                <c:pt idx="0">
                  <c:v>241.61799999999999</c:v>
                </c:pt>
                <c:pt idx="1">
                  <c:v>92.664999999999992</c:v>
                </c:pt>
                <c:pt idx="2">
                  <c:v>0.39999999999999997</c:v>
                </c:pt>
                <c:pt idx="3">
                  <c:v>70.010000000000005</c:v>
                </c:pt>
                <c:pt idx="4">
                  <c:v>133.75</c:v>
                </c:pt>
                <c:pt idx="5">
                  <c:v>1.4999999999999999E-2</c:v>
                </c:pt>
                <c:pt idx="6">
                  <c:v>7.24</c:v>
                </c:pt>
                <c:pt idx="8">
                  <c:v>121.72499999999997</c:v>
                </c:pt>
                <c:pt idx="9">
                  <c:v>209.52100000000004</c:v>
                </c:pt>
                <c:pt idx="10">
                  <c:v>81.449999999999989</c:v>
                </c:pt>
                <c:pt idx="11">
                  <c:v>1.845</c:v>
                </c:pt>
                <c:pt idx="12">
                  <c:v>10.082000000000001</c:v>
                </c:pt>
                <c:pt idx="13">
                  <c:v>222.87500000000003</c:v>
                </c:pt>
                <c:pt idx="14">
                  <c:v>14.381</c:v>
                </c:pt>
                <c:pt idx="15">
                  <c:v>8.4599999999999991</c:v>
                </c:pt>
                <c:pt idx="16">
                  <c:v>282.39999999999998</c:v>
                </c:pt>
                <c:pt idx="17">
                  <c:v>527.15100000000018</c:v>
                </c:pt>
                <c:pt idx="18">
                  <c:v>4.5600000000000005</c:v>
                </c:pt>
              </c:numCache>
            </c:numRef>
          </c:val>
          <c:extLst>
            <c:ext xmlns:c16="http://schemas.microsoft.com/office/drawing/2014/chart" uri="{C3380CC4-5D6E-409C-BE32-E72D297353CC}">
              <c16:uniqueId val="{00000000-7949-41CB-81E0-3C143B76650B}"/>
            </c:ext>
          </c:extLst>
        </c:ser>
        <c:ser>
          <c:idx val="1"/>
          <c:order val="1"/>
          <c:tx>
            <c:strRef>
              <c:f>Current_Analysis_2!$C$3:$C$4</c:f>
              <c:strCache>
                <c:ptCount val="1"/>
                <c:pt idx="0">
                  <c:v>366-546</c:v>
                </c:pt>
              </c:strCache>
            </c:strRef>
          </c:tx>
          <c:spPr>
            <a:solidFill>
              <a:schemeClr val="accent2"/>
            </a:solidFill>
            <a:ln>
              <a:noFill/>
            </a:ln>
            <a:effectLst/>
            <a:sp3d/>
          </c:spPr>
          <c:invertIfNegative val="0"/>
          <c:cat>
            <c:strRef>
              <c:f>Current_Analysis_2!$A$5:$A$24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Current_Analysis_2!$C$5:$C$24</c:f>
              <c:numCache>
                <c:formatCode>General</c:formatCode>
                <c:ptCount val="19"/>
                <c:pt idx="0">
                  <c:v>77.201000000000008</c:v>
                </c:pt>
                <c:pt idx="1">
                  <c:v>57.183000000000021</c:v>
                </c:pt>
                <c:pt idx="2">
                  <c:v>0.28000000000000003</c:v>
                </c:pt>
                <c:pt idx="3">
                  <c:v>19.574999999999999</c:v>
                </c:pt>
                <c:pt idx="4">
                  <c:v>38.25</c:v>
                </c:pt>
                <c:pt idx="5">
                  <c:v>2.8559999999999999</c:v>
                </c:pt>
                <c:pt idx="6">
                  <c:v>25.685000000000002</c:v>
                </c:pt>
                <c:pt idx="8">
                  <c:v>98.339000000000013</c:v>
                </c:pt>
                <c:pt idx="9">
                  <c:v>111.33000000000004</c:v>
                </c:pt>
                <c:pt idx="10">
                  <c:v>18.100000000000005</c:v>
                </c:pt>
                <c:pt idx="12">
                  <c:v>3.38</c:v>
                </c:pt>
                <c:pt idx="13">
                  <c:v>73.97</c:v>
                </c:pt>
                <c:pt idx="14">
                  <c:v>0.1</c:v>
                </c:pt>
                <c:pt idx="15">
                  <c:v>0.01</c:v>
                </c:pt>
                <c:pt idx="16">
                  <c:v>37.520000000000003</c:v>
                </c:pt>
                <c:pt idx="17">
                  <c:v>131.45400000000004</c:v>
                </c:pt>
              </c:numCache>
            </c:numRef>
          </c:val>
          <c:extLst>
            <c:ext xmlns:c16="http://schemas.microsoft.com/office/drawing/2014/chart" uri="{C3380CC4-5D6E-409C-BE32-E72D297353CC}">
              <c16:uniqueId val="{00000001-7949-41CB-81E0-3C143B76650B}"/>
            </c:ext>
          </c:extLst>
        </c:ser>
        <c:ser>
          <c:idx val="2"/>
          <c:order val="2"/>
          <c:tx>
            <c:strRef>
              <c:f>Current_Analysis_2!$D$3:$D$4</c:f>
              <c:strCache>
                <c:ptCount val="1"/>
                <c:pt idx="0">
                  <c:v>547+</c:v>
                </c:pt>
              </c:strCache>
            </c:strRef>
          </c:tx>
          <c:spPr>
            <a:solidFill>
              <a:schemeClr val="accent3"/>
            </a:solidFill>
            <a:ln>
              <a:noFill/>
            </a:ln>
            <a:effectLst/>
            <a:sp3d/>
          </c:spPr>
          <c:invertIfNegative val="0"/>
          <c:cat>
            <c:strRef>
              <c:f>Current_Analysis_2!$A$5:$A$24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Current_Analysis_2!$D$5:$D$24</c:f>
              <c:numCache>
                <c:formatCode>General</c:formatCode>
                <c:ptCount val="19"/>
                <c:pt idx="0">
                  <c:v>185.52799999999999</c:v>
                </c:pt>
                <c:pt idx="1">
                  <c:v>158.398</c:v>
                </c:pt>
                <c:pt idx="2">
                  <c:v>16.581</c:v>
                </c:pt>
                <c:pt idx="3">
                  <c:v>18.683</c:v>
                </c:pt>
                <c:pt idx="4">
                  <c:v>29.344999999999999</c:v>
                </c:pt>
                <c:pt idx="5">
                  <c:v>5.04</c:v>
                </c:pt>
                <c:pt idx="6">
                  <c:v>51.686000000000014</c:v>
                </c:pt>
                <c:pt idx="7">
                  <c:v>0.01</c:v>
                </c:pt>
                <c:pt idx="8">
                  <c:v>81.994999999999976</c:v>
                </c:pt>
                <c:pt idx="9">
                  <c:v>71.41</c:v>
                </c:pt>
                <c:pt idx="10">
                  <c:v>84.131</c:v>
                </c:pt>
                <c:pt idx="12">
                  <c:v>21.012</c:v>
                </c:pt>
                <c:pt idx="13">
                  <c:v>178.42000000000004</c:v>
                </c:pt>
                <c:pt idx="14">
                  <c:v>21.402000000000001</c:v>
                </c:pt>
                <c:pt idx="15">
                  <c:v>7.7200000000000006</c:v>
                </c:pt>
                <c:pt idx="16">
                  <c:v>110.08699999999996</c:v>
                </c:pt>
                <c:pt idx="17">
                  <c:v>334.48199999999974</c:v>
                </c:pt>
              </c:numCache>
            </c:numRef>
          </c:val>
          <c:extLst>
            <c:ext xmlns:c16="http://schemas.microsoft.com/office/drawing/2014/chart" uri="{C3380CC4-5D6E-409C-BE32-E72D297353CC}">
              <c16:uniqueId val="{00000002-7949-41CB-81E0-3C143B76650B}"/>
            </c:ext>
          </c:extLst>
        </c:ser>
        <c:dLbls>
          <c:showLegendKey val="0"/>
          <c:showVal val="0"/>
          <c:showCatName val="0"/>
          <c:showSerName val="0"/>
          <c:showPercent val="0"/>
          <c:showBubbleSize val="0"/>
        </c:dLbls>
        <c:gapWidth val="150"/>
        <c:shape val="box"/>
        <c:axId val="366212752"/>
        <c:axId val="278099984"/>
        <c:axId val="0"/>
      </c:bar3DChart>
      <c:catAx>
        <c:axId val="366212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278099984"/>
        <c:crosses val="autoZero"/>
        <c:auto val="1"/>
        <c:lblAlgn val="ctr"/>
        <c:lblOffset val="100"/>
        <c:noMultiLvlLbl val="0"/>
      </c:catAx>
      <c:valAx>
        <c:axId val="27809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36621275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180+ AGING STOCK TRACKER DEALER WISE_V.1.0.0.xlsx]Analysis_Previous_1!PivotTable7</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Analysis_Previous_1!$B$3:$B$4</c:f>
              <c:strCache>
                <c:ptCount val="1"/>
                <c:pt idx="0">
                  <c:v>181-365</c:v>
                </c:pt>
              </c:strCache>
            </c:strRef>
          </c:tx>
          <c:spPr>
            <a:solidFill>
              <a:schemeClr val="accent1"/>
            </a:solidFill>
            <a:ln>
              <a:noFill/>
            </a:ln>
            <a:effectLst/>
            <a:sp3d/>
          </c:spPr>
          <c:invertIfNegative val="0"/>
          <c:cat>
            <c:strRef>
              <c:f>Analysis_Previous_1!$A$5:$A$24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Analysis_Previous_1!$B$5:$B$24</c:f>
              <c:numCache>
                <c:formatCode>General</c:formatCode>
                <c:ptCount val="19"/>
                <c:pt idx="0">
                  <c:v>218.17699999999994</c:v>
                </c:pt>
                <c:pt idx="1">
                  <c:v>99.835000000000022</c:v>
                </c:pt>
                <c:pt idx="2">
                  <c:v>0.39999999999999997</c:v>
                </c:pt>
                <c:pt idx="3">
                  <c:v>74.835000000000008</c:v>
                </c:pt>
                <c:pt idx="4">
                  <c:v>164.36999999999998</c:v>
                </c:pt>
                <c:pt idx="5">
                  <c:v>1.4999999999999999E-2</c:v>
                </c:pt>
                <c:pt idx="6">
                  <c:v>7.04</c:v>
                </c:pt>
                <c:pt idx="8">
                  <c:v>139.46999999999997</c:v>
                </c:pt>
                <c:pt idx="9">
                  <c:v>213.4260000000001</c:v>
                </c:pt>
                <c:pt idx="10">
                  <c:v>82.915000000000006</c:v>
                </c:pt>
                <c:pt idx="11">
                  <c:v>1.845</c:v>
                </c:pt>
                <c:pt idx="12">
                  <c:v>10.132000000000001</c:v>
                </c:pt>
                <c:pt idx="13">
                  <c:v>253.11000000000004</c:v>
                </c:pt>
                <c:pt idx="14">
                  <c:v>15.79</c:v>
                </c:pt>
                <c:pt idx="15">
                  <c:v>8.4600000000000009</c:v>
                </c:pt>
                <c:pt idx="16">
                  <c:v>285.40000000000015</c:v>
                </c:pt>
                <c:pt idx="17">
                  <c:v>521.16000000000065</c:v>
                </c:pt>
                <c:pt idx="18">
                  <c:v>4.5600000000000005</c:v>
                </c:pt>
              </c:numCache>
            </c:numRef>
          </c:val>
          <c:extLst>
            <c:ext xmlns:c16="http://schemas.microsoft.com/office/drawing/2014/chart" uri="{C3380CC4-5D6E-409C-BE32-E72D297353CC}">
              <c16:uniqueId val="{00000000-5C49-4908-ABB4-05F3D72334EA}"/>
            </c:ext>
          </c:extLst>
        </c:ser>
        <c:ser>
          <c:idx val="1"/>
          <c:order val="1"/>
          <c:tx>
            <c:strRef>
              <c:f>Analysis_Previous_1!$C$3:$C$4</c:f>
              <c:strCache>
                <c:ptCount val="1"/>
                <c:pt idx="0">
                  <c:v>366-546</c:v>
                </c:pt>
              </c:strCache>
            </c:strRef>
          </c:tx>
          <c:spPr>
            <a:solidFill>
              <a:schemeClr val="accent2"/>
            </a:solidFill>
            <a:ln>
              <a:noFill/>
            </a:ln>
            <a:effectLst/>
            <a:sp3d/>
          </c:spPr>
          <c:invertIfNegative val="0"/>
          <c:cat>
            <c:strRef>
              <c:f>Analysis_Previous_1!$A$5:$A$24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Analysis_Previous_1!$C$5:$C$24</c:f>
              <c:numCache>
                <c:formatCode>General</c:formatCode>
                <c:ptCount val="19"/>
                <c:pt idx="0">
                  <c:v>79.185000000000031</c:v>
                </c:pt>
                <c:pt idx="1">
                  <c:v>51.152999999999977</c:v>
                </c:pt>
                <c:pt idx="2">
                  <c:v>0.28000000000000003</c:v>
                </c:pt>
                <c:pt idx="3">
                  <c:v>19.574999999999999</c:v>
                </c:pt>
                <c:pt idx="4">
                  <c:v>41.935000000000009</c:v>
                </c:pt>
                <c:pt idx="5">
                  <c:v>2.8559999999999999</c:v>
                </c:pt>
                <c:pt idx="6">
                  <c:v>26.185000000000009</c:v>
                </c:pt>
                <c:pt idx="8">
                  <c:v>97.638999999999982</c:v>
                </c:pt>
                <c:pt idx="9">
                  <c:v>111.87500000000001</c:v>
                </c:pt>
                <c:pt idx="10">
                  <c:v>18.100000000000001</c:v>
                </c:pt>
                <c:pt idx="12">
                  <c:v>3.73</c:v>
                </c:pt>
                <c:pt idx="13">
                  <c:v>68.7</c:v>
                </c:pt>
                <c:pt idx="14">
                  <c:v>0.1</c:v>
                </c:pt>
                <c:pt idx="15">
                  <c:v>0.01</c:v>
                </c:pt>
                <c:pt idx="16">
                  <c:v>38.220000000000013</c:v>
                </c:pt>
                <c:pt idx="17">
                  <c:v>136.75400000000002</c:v>
                </c:pt>
              </c:numCache>
            </c:numRef>
          </c:val>
          <c:extLst>
            <c:ext xmlns:c16="http://schemas.microsoft.com/office/drawing/2014/chart" uri="{C3380CC4-5D6E-409C-BE32-E72D297353CC}">
              <c16:uniqueId val="{00000001-5C49-4908-ABB4-05F3D72334EA}"/>
            </c:ext>
          </c:extLst>
        </c:ser>
        <c:ser>
          <c:idx val="2"/>
          <c:order val="2"/>
          <c:tx>
            <c:strRef>
              <c:f>Analysis_Previous_1!$D$3:$D$4</c:f>
              <c:strCache>
                <c:ptCount val="1"/>
                <c:pt idx="0">
                  <c:v>547+</c:v>
                </c:pt>
              </c:strCache>
            </c:strRef>
          </c:tx>
          <c:spPr>
            <a:solidFill>
              <a:schemeClr val="accent3"/>
            </a:solidFill>
            <a:ln>
              <a:noFill/>
            </a:ln>
            <a:effectLst/>
            <a:sp3d/>
          </c:spPr>
          <c:invertIfNegative val="0"/>
          <c:cat>
            <c:strRef>
              <c:f>Analysis_Previous_1!$A$5:$A$24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Analysis_Previous_1!$D$5:$D$24</c:f>
              <c:numCache>
                <c:formatCode>General</c:formatCode>
                <c:ptCount val="19"/>
                <c:pt idx="0">
                  <c:v>186.25299999999993</c:v>
                </c:pt>
                <c:pt idx="1">
                  <c:v>158.42799999999994</c:v>
                </c:pt>
                <c:pt idx="2">
                  <c:v>16.581</c:v>
                </c:pt>
                <c:pt idx="3">
                  <c:v>18.683</c:v>
                </c:pt>
                <c:pt idx="4">
                  <c:v>29.02</c:v>
                </c:pt>
                <c:pt idx="5">
                  <c:v>5.04</c:v>
                </c:pt>
                <c:pt idx="6">
                  <c:v>51.186000000000007</c:v>
                </c:pt>
                <c:pt idx="7">
                  <c:v>0.01</c:v>
                </c:pt>
                <c:pt idx="8">
                  <c:v>82.894999999999996</c:v>
                </c:pt>
                <c:pt idx="9">
                  <c:v>70.124999999999986</c:v>
                </c:pt>
                <c:pt idx="10">
                  <c:v>84.131</c:v>
                </c:pt>
                <c:pt idx="12">
                  <c:v>20.661999999999999</c:v>
                </c:pt>
                <c:pt idx="13">
                  <c:v>177.57499999999999</c:v>
                </c:pt>
                <c:pt idx="14">
                  <c:v>21.402000000000005</c:v>
                </c:pt>
                <c:pt idx="15">
                  <c:v>7.72</c:v>
                </c:pt>
                <c:pt idx="16">
                  <c:v>109.49200000000003</c:v>
                </c:pt>
                <c:pt idx="17">
                  <c:v>331.16200000000015</c:v>
                </c:pt>
              </c:numCache>
            </c:numRef>
          </c:val>
          <c:extLst>
            <c:ext xmlns:c16="http://schemas.microsoft.com/office/drawing/2014/chart" uri="{C3380CC4-5D6E-409C-BE32-E72D297353CC}">
              <c16:uniqueId val="{00000002-5C49-4908-ABB4-05F3D72334EA}"/>
            </c:ext>
          </c:extLst>
        </c:ser>
        <c:dLbls>
          <c:showLegendKey val="0"/>
          <c:showVal val="0"/>
          <c:showCatName val="0"/>
          <c:showSerName val="0"/>
          <c:showPercent val="0"/>
          <c:showBubbleSize val="0"/>
        </c:dLbls>
        <c:gapWidth val="150"/>
        <c:shape val="box"/>
        <c:axId val="576071216"/>
        <c:axId val="516871216"/>
        <c:axId val="0"/>
      </c:bar3DChart>
      <c:catAx>
        <c:axId val="576071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6871216"/>
        <c:crosses val="autoZero"/>
        <c:auto val="1"/>
        <c:lblAlgn val="ctr"/>
        <c:lblOffset val="100"/>
        <c:noMultiLvlLbl val="0"/>
      </c:catAx>
      <c:valAx>
        <c:axId val="51687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607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180+ AGING STOCK TRACKER DEALER WISE_V.1.0.0.xlsx]Analysis Previous Week!PivotTable2</c:name>
    <c:fmtId val="6"/>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 Previous Week'!$B$3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Previous Week'!$A$4:$A$23</c:f>
              <c:strCache>
                <c:ptCount val="19"/>
                <c:pt idx="0">
                  <c:v>Paschim Bardhaman</c:v>
                </c:pt>
                <c:pt idx="1">
                  <c:v>Nadia</c:v>
                </c:pt>
                <c:pt idx="2">
                  <c:v>Murshidabad</c:v>
                </c:pt>
                <c:pt idx="3">
                  <c:v>Medinipur West</c:v>
                </c:pt>
                <c:pt idx="4">
                  <c:v>Medinipur East</c:v>
                </c:pt>
                <c:pt idx="5">
                  <c:v>Maldah</c:v>
                </c:pt>
                <c:pt idx="6">
                  <c:v>Jalpaiguri</c:v>
                </c:pt>
                <c:pt idx="7">
                  <c:v>Howrah</c:v>
                </c:pt>
                <c:pt idx="8">
                  <c:v>Hooghly</c:v>
                </c:pt>
                <c:pt idx="9">
                  <c:v>Dinajpur Uttar</c:v>
                </c:pt>
                <c:pt idx="10">
                  <c:v>Dinajpur Dakshin</c:v>
                </c:pt>
                <c:pt idx="11">
                  <c:v>Darjeeling</c:v>
                </c:pt>
                <c:pt idx="12">
                  <c:v>Coochbehar</c:v>
                </c:pt>
                <c:pt idx="13">
                  <c:v>Birbhum</c:v>
                </c:pt>
                <c:pt idx="14">
                  <c:v>Bardhaman</c:v>
                </c:pt>
                <c:pt idx="15">
                  <c:v>Bankura</c:v>
                </c:pt>
                <c:pt idx="16">
                  <c:v>Alipurduar</c:v>
                </c:pt>
                <c:pt idx="17">
                  <c:v>24 Paraganas South</c:v>
                </c:pt>
                <c:pt idx="18">
                  <c:v>24 Paraganas North</c:v>
                </c:pt>
              </c:strCache>
            </c:strRef>
          </c:cat>
          <c:val>
            <c:numRef>
              <c:f>'Analysis Previous Week'!$B$4:$B$23</c:f>
              <c:numCache>
                <c:formatCode>General</c:formatCode>
                <c:ptCount val="19"/>
                <c:pt idx="0">
                  <c:v>14.645000000000001</c:v>
                </c:pt>
                <c:pt idx="1">
                  <c:v>6897.3279999999877</c:v>
                </c:pt>
                <c:pt idx="2">
                  <c:v>5288.2039999999915</c:v>
                </c:pt>
                <c:pt idx="3">
                  <c:v>37.115000000000002</c:v>
                </c:pt>
                <c:pt idx="4">
                  <c:v>193.78800000000001</c:v>
                </c:pt>
                <c:pt idx="5">
                  <c:v>3532.9980000000014</c:v>
                </c:pt>
                <c:pt idx="6">
                  <c:v>1074.4939999999992</c:v>
                </c:pt>
                <c:pt idx="7">
                  <c:v>37.085000000000001</c:v>
                </c:pt>
                <c:pt idx="8">
                  <c:v>780.40100000000007</c:v>
                </c:pt>
                <c:pt idx="9">
                  <c:v>2113.4310000000014</c:v>
                </c:pt>
                <c:pt idx="10">
                  <c:v>2811.4510000000055</c:v>
                </c:pt>
                <c:pt idx="11">
                  <c:v>0.01</c:v>
                </c:pt>
                <c:pt idx="12">
                  <c:v>634.33599999999967</c:v>
                </c:pt>
                <c:pt idx="13">
                  <c:v>845.56600000000014</c:v>
                </c:pt>
                <c:pt idx="14">
                  <c:v>1378.1749999999997</c:v>
                </c:pt>
                <c:pt idx="15">
                  <c:v>426.89800000000008</c:v>
                </c:pt>
                <c:pt idx="16">
                  <c:v>213.03600000000009</c:v>
                </c:pt>
                <c:pt idx="17">
                  <c:v>1423.5480000000002</c:v>
                </c:pt>
                <c:pt idx="18">
                  <c:v>5227.8289999999952</c:v>
                </c:pt>
              </c:numCache>
            </c:numRef>
          </c:val>
          <c:extLst>
            <c:ext xmlns:c16="http://schemas.microsoft.com/office/drawing/2014/chart" uri="{C3380CC4-5D6E-409C-BE32-E72D297353CC}">
              <c16:uniqueId val="{00000000-D014-4C14-B616-0F08E63F89AF}"/>
            </c:ext>
          </c:extLst>
        </c:ser>
        <c:dLbls>
          <c:showLegendKey val="0"/>
          <c:showVal val="1"/>
          <c:showCatName val="0"/>
          <c:showSerName val="0"/>
          <c:showPercent val="0"/>
          <c:showBubbleSize val="0"/>
        </c:dLbls>
        <c:gapWidth val="84"/>
        <c:gapDepth val="53"/>
        <c:shape val="box"/>
        <c:axId val="1968695775"/>
        <c:axId val="1968692415"/>
        <c:axId val="0"/>
      </c:bar3DChart>
      <c:catAx>
        <c:axId val="1968695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8692415"/>
        <c:crosses val="autoZero"/>
        <c:auto val="1"/>
        <c:lblAlgn val="ctr"/>
        <c:lblOffset val="100"/>
        <c:noMultiLvlLbl val="0"/>
      </c:catAx>
      <c:valAx>
        <c:axId val="1968692415"/>
        <c:scaling>
          <c:orientation val="minMax"/>
        </c:scaling>
        <c:delete val="1"/>
        <c:axPos val="b"/>
        <c:numFmt formatCode="General" sourceLinked="1"/>
        <c:majorTickMark val="out"/>
        <c:minorTickMark val="none"/>
        <c:tickLblPos val="nextTo"/>
        <c:crossAx val="196869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180+ AGING STOCK TRACKER DEALER WISE_V.1.0.0.xlsx]Analysis_Previous_1!PivotTable7</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Analysis_Previous_1!$B$3:$B$4</c:f>
              <c:strCache>
                <c:ptCount val="1"/>
                <c:pt idx="0">
                  <c:v>181-365</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Analysis_Previous_1!$A$5:$A$24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Analysis_Previous_1!$B$5:$B$24</c:f>
              <c:numCache>
                <c:formatCode>General</c:formatCode>
                <c:ptCount val="19"/>
                <c:pt idx="0">
                  <c:v>218.17699999999994</c:v>
                </c:pt>
                <c:pt idx="1">
                  <c:v>99.835000000000022</c:v>
                </c:pt>
                <c:pt idx="2">
                  <c:v>0.39999999999999997</c:v>
                </c:pt>
                <c:pt idx="3">
                  <c:v>74.835000000000008</c:v>
                </c:pt>
                <c:pt idx="4">
                  <c:v>164.36999999999998</c:v>
                </c:pt>
                <c:pt idx="5">
                  <c:v>1.4999999999999999E-2</c:v>
                </c:pt>
                <c:pt idx="6">
                  <c:v>7.04</c:v>
                </c:pt>
                <c:pt idx="8">
                  <c:v>139.46999999999997</c:v>
                </c:pt>
                <c:pt idx="9">
                  <c:v>213.4260000000001</c:v>
                </c:pt>
                <c:pt idx="10">
                  <c:v>82.915000000000006</c:v>
                </c:pt>
                <c:pt idx="11">
                  <c:v>1.845</c:v>
                </c:pt>
                <c:pt idx="12">
                  <c:v>10.132000000000001</c:v>
                </c:pt>
                <c:pt idx="13">
                  <c:v>253.11000000000004</c:v>
                </c:pt>
                <c:pt idx="14">
                  <c:v>15.79</c:v>
                </c:pt>
                <c:pt idx="15">
                  <c:v>8.4600000000000009</c:v>
                </c:pt>
                <c:pt idx="16">
                  <c:v>285.40000000000015</c:v>
                </c:pt>
                <c:pt idx="17">
                  <c:v>521.16000000000065</c:v>
                </c:pt>
                <c:pt idx="18">
                  <c:v>4.5600000000000005</c:v>
                </c:pt>
              </c:numCache>
            </c:numRef>
          </c:val>
          <c:extLst>
            <c:ext xmlns:c16="http://schemas.microsoft.com/office/drawing/2014/chart" uri="{C3380CC4-5D6E-409C-BE32-E72D297353CC}">
              <c16:uniqueId val="{00000000-BF5F-4917-8630-E1CFBCAF912E}"/>
            </c:ext>
          </c:extLst>
        </c:ser>
        <c:ser>
          <c:idx val="1"/>
          <c:order val="1"/>
          <c:tx>
            <c:strRef>
              <c:f>Analysis_Previous_1!$C$3:$C$4</c:f>
              <c:strCache>
                <c:ptCount val="1"/>
                <c:pt idx="0">
                  <c:v>366-546</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Analysis_Previous_1!$A$5:$A$24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Analysis_Previous_1!$C$5:$C$24</c:f>
              <c:numCache>
                <c:formatCode>General</c:formatCode>
                <c:ptCount val="19"/>
                <c:pt idx="0">
                  <c:v>79.185000000000031</c:v>
                </c:pt>
                <c:pt idx="1">
                  <c:v>51.152999999999977</c:v>
                </c:pt>
                <c:pt idx="2">
                  <c:v>0.28000000000000003</c:v>
                </c:pt>
                <c:pt idx="3">
                  <c:v>19.574999999999999</c:v>
                </c:pt>
                <c:pt idx="4">
                  <c:v>41.935000000000009</c:v>
                </c:pt>
                <c:pt idx="5">
                  <c:v>2.8559999999999999</c:v>
                </c:pt>
                <c:pt idx="6">
                  <c:v>26.185000000000009</c:v>
                </c:pt>
                <c:pt idx="8">
                  <c:v>97.638999999999982</c:v>
                </c:pt>
                <c:pt idx="9">
                  <c:v>111.87500000000001</c:v>
                </c:pt>
                <c:pt idx="10">
                  <c:v>18.100000000000001</c:v>
                </c:pt>
                <c:pt idx="12">
                  <c:v>3.73</c:v>
                </c:pt>
                <c:pt idx="13">
                  <c:v>68.7</c:v>
                </c:pt>
                <c:pt idx="14">
                  <c:v>0.1</c:v>
                </c:pt>
                <c:pt idx="15">
                  <c:v>0.01</c:v>
                </c:pt>
                <c:pt idx="16">
                  <c:v>38.220000000000013</c:v>
                </c:pt>
                <c:pt idx="17">
                  <c:v>136.75400000000002</c:v>
                </c:pt>
              </c:numCache>
            </c:numRef>
          </c:val>
          <c:extLst>
            <c:ext xmlns:c16="http://schemas.microsoft.com/office/drawing/2014/chart" uri="{C3380CC4-5D6E-409C-BE32-E72D297353CC}">
              <c16:uniqueId val="{00000001-BF5F-4917-8630-E1CFBCAF912E}"/>
            </c:ext>
          </c:extLst>
        </c:ser>
        <c:ser>
          <c:idx val="2"/>
          <c:order val="2"/>
          <c:tx>
            <c:strRef>
              <c:f>Analysis_Previous_1!$D$3:$D$4</c:f>
              <c:strCache>
                <c:ptCount val="1"/>
                <c:pt idx="0">
                  <c:v>547+</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Analysis_Previous_1!$A$5:$A$24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Analysis_Previous_1!$D$5:$D$24</c:f>
              <c:numCache>
                <c:formatCode>General</c:formatCode>
                <c:ptCount val="19"/>
                <c:pt idx="0">
                  <c:v>186.25299999999993</c:v>
                </c:pt>
                <c:pt idx="1">
                  <c:v>158.42799999999994</c:v>
                </c:pt>
                <c:pt idx="2">
                  <c:v>16.581</c:v>
                </c:pt>
                <c:pt idx="3">
                  <c:v>18.683</c:v>
                </c:pt>
                <c:pt idx="4">
                  <c:v>29.02</c:v>
                </c:pt>
                <c:pt idx="5">
                  <c:v>5.04</c:v>
                </c:pt>
                <c:pt idx="6">
                  <c:v>51.186000000000007</c:v>
                </c:pt>
                <c:pt idx="7">
                  <c:v>0.01</c:v>
                </c:pt>
                <c:pt idx="8">
                  <c:v>82.894999999999996</c:v>
                </c:pt>
                <c:pt idx="9">
                  <c:v>70.124999999999986</c:v>
                </c:pt>
                <c:pt idx="10">
                  <c:v>84.131</c:v>
                </c:pt>
                <c:pt idx="12">
                  <c:v>20.661999999999999</c:v>
                </c:pt>
                <c:pt idx="13">
                  <c:v>177.57499999999999</c:v>
                </c:pt>
                <c:pt idx="14">
                  <c:v>21.402000000000005</c:v>
                </c:pt>
                <c:pt idx="15">
                  <c:v>7.72</c:v>
                </c:pt>
                <c:pt idx="16">
                  <c:v>109.49200000000003</c:v>
                </c:pt>
                <c:pt idx="17">
                  <c:v>331.16200000000015</c:v>
                </c:pt>
              </c:numCache>
            </c:numRef>
          </c:val>
          <c:extLst>
            <c:ext xmlns:c16="http://schemas.microsoft.com/office/drawing/2014/chart" uri="{C3380CC4-5D6E-409C-BE32-E72D297353CC}">
              <c16:uniqueId val="{00000002-BF5F-4917-8630-E1CFBCAF912E}"/>
            </c:ext>
          </c:extLst>
        </c:ser>
        <c:dLbls>
          <c:showLegendKey val="0"/>
          <c:showVal val="1"/>
          <c:showCatName val="0"/>
          <c:showSerName val="0"/>
          <c:showPercent val="0"/>
          <c:showBubbleSize val="0"/>
        </c:dLbls>
        <c:gapWidth val="84"/>
        <c:gapDepth val="53"/>
        <c:shape val="box"/>
        <c:axId val="342839280"/>
        <c:axId val="260579008"/>
        <c:axId val="0"/>
      </c:bar3DChart>
      <c:catAx>
        <c:axId val="34283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0579008"/>
        <c:crosses val="autoZero"/>
        <c:auto val="1"/>
        <c:lblAlgn val="ctr"/>
        <c:lblOffset val="100"/>
        <c:noMultiLvlLbl val="0"/>
      </c:catAx>
      <c:valAx>
        <c:axId val="260579008"/>
        <c:scaling>
          <c:orientation val="minMax"/>
        </c:scaling>
        <c:delete val="1"/>
        <c:axPos val="b"/>
        <c:numFmt formatCode="General" sourceLinked="1"/>
        <c:majorTickMark val="out"/>
        <c:minorTickMark val="none"/>
        <c:tickLblPos val="nextTo"/>
        <c:crossAx val="34283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180+ AGING STOCK TRACKER DEALER WISE_V.1.0.0.xlsx]Analysis_Previous_1!PivotTable7</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Analysis_Previous_1!$B$3:$B$4</c:f>
              <c:strCache>
                <c:ptCount val="1"/>
                <c:pt idx="0">
                  <c:v>181-365</c:v>
                </c:pt>
              </c:strCache>
            </c:strRef>
          </c:tx>
          <c:spPr>
            <a:solidFill>
              <a:schemeClr val="accent1"/>
            </a:solidFill>
            <a:ln>
              <a:noFill/>
            </a:ln>
            <a:effectLst/>
            <a:sp3d/>
          </c:spPr>
          <c:invertIfNegative val="0"/>
          <c:cat>
            <c:strRef>
              <c:f>Analysis_Previous_1!$A$5:$A$24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Analysis_Previous_1!$B$5:$B$24</c:f>
              <c:numCache>
                <c:formatCode>General</c:formatCode>
                <c:ptCount val="19"/>
                <c:pt idx="0">
                  <c:v>218.17699999999994</c:v>
                </c:pt>
                <c:pt idx="1">
                  <c:v>99.835000000000022</c:v>
                </c:pt>
                <c:pt idx="2">
                  <c:v>0.39999999999999997</c:v>
                </c:pt>
                <c:pt idx="3">
                  <c:v>74.835000000000008</c:v>
                </c:pt>
                <c:pt idx="4">
                  <c:v>164.36999999999998</c:v>
                </c:pt>
                <c:pt idx="5">
                  <c:v>1.4999999999999999E-2</c:v>
                </c:pt>
                <c:pt idx="6">
                  <c:v>7.04</c:v>
                </c:pt>
                <c:pt idx="8">
                  <c:v>139.46999999999997</c:v>
                </c:pt>
                <c:pt idx="9">
                  <c:v>213.4260000000001</c:v>
                </c:pt>
                <c:pt idx="10">
                  <c:v>82.915000000000006</c:v>
                </c:pt>
                <c:pt idx="11">
                  <c:v>1.845</c:v>
                </c:pt>
                <c:pt idx="12">
                  <c:v>10.132000000000001</c:v>
                </c:pt>
                <c:pt idx="13">
                  <c:v>253.11000000000004</c:v>
                </c:pt>
                <c:pt idx="14">
                  <c:v>15.79</c:v>
                </c:pt>
                <c:pt idx="15">
                  <c:v>8.4600000000000009</c:v>
                </c:pt>
                <c:pt idx="16">
                  <c:v>285.40000000000015</c:v>
                </c:pt>
                <c:pt idx="17">
                  <c:v>521.16000000000065</c:v>
                </c:pt>
                <c:pt idx="18">
                  <c:v>4.5600000000000005</c:v>
                </c:pt>
              </c:numCache>
            </c:numRef>
          </c:val>
          <c:extLst>
            <c:ext xmlns:c16="http://schemas.microsoft.com/office/drawing/2014/chart" uri="{C3380CC4-5D6E-409C-BE32-E72D297353CC}">
              <c16:uniqueId val="{00000000-C135-431D-AD02-EAA2AF3A8CEB}"/>
            </c:ext>
          </c:extLst>
        </c:ser>
        <c:ser>
          <c:idx val="1"/>
          <c:order val="1"/>
          <c:tx>
            <c:strRef>
              <c:f>Analysis_Previous_1!$C$3:$C$4</c:f>
              <c:strCache>
                <c:ptCount val="1"/>
                <c:pt idx="0">
                  <c:v>366-546</c:v>
                </c:pt>
              </c:strCache>
            </c:strRef>
          </c:tx>
          <c:spPr>
            <a:solidFill>
              <a:schemeClr val="accent2"/>
            </a:solidFill>
            <a:ln>
              <a:noFill/>
            </a:ln>
            <a:effectLst/>
            <a:sp3d/>
          </c:spPr>
          <c:invertIfNegative val="0"/>
          <c:cat>
            <c:strRef>
              <c:f>Analysis_Previous_1!$A$5:$A$24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Analysis_Previous_1!$C$5:$C$24</c:f>
              <c:numCache>
                <c:formatCode>General</c:formatCode>
                <c:ptCount val="19"/>
                <c:pt idx="0">
                  <c:v>79.185000000000031</c:v>
                </c:pt>
                <c:pt idx="1">
                  <c:v>51.152999999999977</c:v>
                </c:pt>
                <c:pt idx="2">
                  <c:v>0.28000000000000003</c:v>
                </c:pt>
                <c:pt idx="3">
                  <c:v>19.574999999999999</c:v>
                </c:pt>
                <c:pt idx="4">
                  <c:v>41.935000000000009</c:v>
                </c:pt>
                <c:pt idx="5">
                  <c:v>2.8559999999999999</c:v>
                </c:pt>
                <c:pt idx="6">
                  <c:v>26.185000000000009</c:v>
                </c:pt>
                <c:pt idx="8">
                  <c:v>97.638999999999982</c:v>
                </c:pt>
                <c:pt idx="9">
                  <c:v>111.87500000000001</c:v>
                </c:pt>
                <c:pt idx="10">
                  <c:v>18.100000000000001</c:v>
                </c:pt>
                <c:pt idx="12">
                  <c:v>3.73</c:v>
                </c:pt>
                <c:pt idx="13">
                  <c:v>68.7</c:v>
                </c:pt>
                <c:pt idx="14">
                  <c:v>0.1</c:v>
                </c:pt>
                <c:pt idx="15">
                  <c:v>0.01</c:v>
                </c:pt>
                <c:pt idx="16">
                  <c:v>38.220000000000013</c:v>
                </c:pt>
                <c:pt idx="17">
                  <c:v>136.75400000000002</c:v>
                </c:pt>
              </c:numCache>
            </c:numRef>
          </c:val>
          <c:extLst>
            <c:ext xmlns:c16="http://schemas.microsoft.com/office/drawing/2014/chart" uri="{C3380CC4-5D6E-409C-BE32-E72D297353CC}">
              <c16:uniqueId val="{00000001-C135-431D-AD02-EAA2AF3A8CEB}"/>
            </c:ext>
          </c:extLst>
        </c:ser>
        <c:ser>
          <c:idx val="2"/>
          <c:order val="2"/>
          <c:tx>
            <c:strRef>
              <c:f>Analysis_Previous_1!$D$3:$D$4</c:f>
              <c:strCache>
                <c:ptCount val="1"/>
                <c:pt idx="0">
                  <c:v>547+</c:v>
                </c:pt>
              </c:strCache>
            </c:strRef>
          </c:tx>
          <c:spPr>
            <a:solidFill>
              <a:schemeClr val="accent3"/>
            </a:solidFill>
            <a:ln>
              <a:noFill/>
            </a:ln>
            <a:effectLst/>
            <a:sp3d/>
          </c:spPr>
          <c:invertIfNegative val="0"/>
          <c:cat>
            <c:strRef>
              <c:f>Analysis_Previous_1!$A$5:$A$24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Analysis_Previous_1!$D$5:$D$24</c:f>
              <c:numCache>
                <c:formatCode>General</c:formatCode>
                <c:ptCount val="19"/>
                <c:pt idx="0">
                  <c:v>186.25299999999993</c:v>
                </c:pt>
                <c:pt idx="1">
                  <c:v>158.42799999999994</c:v>
                </c:pt>
                <c:pt idx="2">
                  <c:v>16.581</c:v>
                </c:pt>
                <c:pt idx="3">
                  <c:v>18.683</c:v>
                </c:pt>
                <c:pt idx="4">
                  <c:v>29.02</c:v>
                </c:pt>
                <c:pt idx="5">
                  <c:v>5.04</c:v>
                </c:pt>
                <c:pt idx="6">
                  <c:v>51.186000000000007</c:v>
                </c:pt>
                <c:pt idx="7">
                  <c:v>0.01</c:v>
                </c:pt>
                <c:pt idx="8">
                  <c:v>82.894999999999996</c:v>
                </c:pt>
                <c:pt idx="9">
                  <c:v>70.124999999999986</c:v>
                </c:pt>
                <c:pt idx="10">
                  <c:v>84.131</c:v>
                </c:pt>
                <c:pt idx="12">
                  <c:v>20.661999999999999</c:v>
                </c:pt>
                <c:pt idx="13">
                  <c:v>177.57499999999999</c:v>
                </c:pt>
                <c:pt idx="14">
                  <c:v>21.402000000000005</c:v>
                </c:pt>
                <c:pt idx="15">
                  <c:v>7.72</c:v>
                </c:pt>
                <c:pt idx="16">
                  <c:v>109.49200000000003</c:v>
                </c:pt>
                <c:pt idx="17">
                  <c:v>331.16200000000015</c:v>
                </c:pt>
              </c:numCache>
            </c:numRef>
          </c:val>
          <c:extLst>
            <c:ext xmlns:c16="http://schemas.microsoft.com/office/drawing/2014/chart" uri="{C3380CC4-5D6E-409C-BE32-E72D297353CC}">
              <c16:uniqueId val="{00000002-C135-431D-AD02-EAA2AF3A8CEB}"/>
            </c:ext>
          </c:extLst>
        </c:ser>
        <c:dLbls>
          <c:showLegendKey val="0"/>
          <c:showVal val="0"/>
          <c:showCatName val="0"/>
          <c:showSerName val="0"/>
          <c:showPercent val="0"/>
          <c:showBubbleSize val="0"/>
        </c:dLbls>
        <c:gapWidth val="150"/>
        <c:shape val="box"/>
        <c:axId val="576071216"/>
        <c:axId val="516871216"/>
        <c:axId val="0"/>
      </c:bar3DChart>
      <c:catAx>
        <c:axId val="576071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871216"/>
        <c:crosses val="autoZero"/>
        <c:auto val="1"/>
        <c:lblAlgn val="ctr"/>
        <c:lblOffset val="100"/>
        <c:noMultiLvlLbl val="0"/>
      </c:catAx>
      <c:valAx>
        <c:axId val="51687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07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180+ AGING STOCK TRACKER DEALER WISE_V.1.0.0.xlsx]Analysis Current Week!PivotTable1</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total</a:t>
            </a:r>
            <a:r>
              <a:rPr lang="en-IN" baseline="0"/>
              <a:t> stock (current week)</a:t>
            </a:r>
            <a:endParaRPr lang="en-IN"/>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 Current Week'!$B$3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Current Week'!$A$4:$A$23</c:f>
              <c:strCache>
                <c:ptCount val="19"/>
                <c:pt idx="0">
                  <c:v>Paschim Bardhaman</c:v>
                </c:pt>
                <c:pt idx="1">
                  <c:v>Nadia</c:v>
                </c:pt>
                <c:pt idx="2">
                  <c:v>Murshidabad</c:v>
                </c:pt>
                <c:pt idx="3">
                  <c:v>Medinipur West</c:v>
                </c:pt>
                <c:pt idx="4">
                  <c:v>Medinipur East</c:v>
                </c:pt>
                <c:pt idx="5">
                  <c:v>Maldah</c:v>
                </c:pt>
                <c:pt idx="6">
                  <c:v>Jalpaiguri</c:v>
                </c:pt>
                <c:pt idx="7">
                  <c:v>Howrah</c:v>
                </c:pt>
                <c:pt idx="8">
                  <c:v>Hooghly</c:v>
                </c:pt>
                <c:pt idx="9">
                  <c:v>Dinajpur Uttar</c:v>
                </c:pt>
                <c:pt idx="10">
                  <c:v>Dinajpur Dakshin</c:v>
                </c:pt>
                <c:pt idx="11">
                  <c:v>Darjeeling</c:v>
                </c:pt>
                <c:pt idx="12">
                  <c:v>Coochbehar</c:v>
                </c:pt>
                <c:pt idx="13">
                  <c:v>Birbhum</c:v>
                </c:pt>
                <c:pt idx="14">
                  <c:v>Bardhaman</c:v>
                </c:pt>
                <c:pt idx="15">
                  <c:v>Bankura</c:v>
                </c:pt>
                <c:pt idx="16">
                  <c:v>Alipurduar</c:v>
                </c:pt>
                <c:pt idx="17">
                  <c:v>24 Paraganas South</c:v>
                </c:pt>
                <c:pt idx="18">
                  <c:v>24 Paraganas North</c:v>
                </c:pt>
              </c:strCache>
            </c:strRef>
          </c:cat>
          <c:val>
            <c:numRef>
              <c:f>'Analysis Current Week'!$B$4:$B$23</c:f>
              <c:numCache>
                <c:formatCode>General</c:formatCode>
                <c:ptCount val="19"/>
                <c:pt idx="0">
                  <c:v>14.42</c:v>
                </c:pt>
                <c:pt idx="1">
                  <c:v>6690.6449999999995</c:v>
                </c:pt>
                <c:pt idx="2">
                  <c:v>5105.5910000000049</c:v>
                </c:pt>
                <c:pt idx="3">
                  <c:v>37.115000000000002</c:v>
                </c:pt>
                <c:pt idx="4">
                  <c:v>185.63299999999998</c:v>
                </c:pt>
                <c:pt idx="5">
                  <c:v>4709.773000000002</c:v>
                </c:pt>
                <c:pt idx="6">
                  <c:v>1066.1589999999994</c:v>
                </c:pt>
                <c:pt idx="7">
                  <c:v>48.065000000000005</c:v>
                </c:pt>
                <c:pt idx="8">
                  <c:v>757.18600000000004</c:v>
                </c:pt>
                <c:pt idx="9">
                  <c:v>2353.7110000000066</c:v>
                </c:pt>
                <c:pt idx="10">
                  <c:v>3229.2170000000024</c:v>
                </c:pt>
                <c:pt idx="11">
                  <c:v>0.01</c:v>
                </c:pt>
                <c:pt idx="12">
                  <c:v>634.66599999999971</c:v>
                </c:pt>
                <c:pt idx="13">
                  <c:v>526.43599999999981</c:v>
                </c:pt>
                <c:pt idx="14">
                  <c:v>1287.5450000000003</c:v>
                </c:pt>
                <c:pt idx="15">
                  <c:v>540.09800000000007</c:v>
                </c:pt>
                <c:pt idx="16">
                  <c:v>207.87099999999995</c:v>
                </c:pt>
                <c:pt idx="17">
                  <c:v>1498.6260000000032</c:v>
                </c:pt>
                <c:pt idx="18">
                  <c:v>4935.8549999999841</c:v>
                </c:pt>
              </c:numCache>
            </c:numRef>
          </c:val>
          <c:extLst>
            <c:ext xmlns:c16="http://schemas.microsoft.com/office/drawing/2014/chart" uri="{C3380CC4-5D6E-409C-BE32-E72D297353CC}">
              <c16:uniqueId val="{00000000-CF9A-4333-A636-30E07756808D}"/>
            </c:ext>
          </c:extLst>
        </c:ser>
        <c:dLbls>
          <c:showLegendKey val="0"/>
          <c:showVal val="1"/>
          <c:showCatName val="0"/>
          <c:showSerName val="0"/>
          <c:showPercent val="0"/>
          <c:showBubbleSize val="0"/>
        </c:dLbls>
        <c:gapWidth val="84"/>
        <c:gapDepth val="53"/>
        <c:shape val="box"/>
        <c:axId val="1953688191"/>
        <c:axId val="1953682431"/>
        <c:axId val="0"/>
      </c:bar3DChart>
      <c:catAx>
        <c:axId val="19536881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3682431"/>
        <c:crosses val="autoZero"/>
        <c:auto val="1"/>
        <c:lblAlgn val="ctr"/>
        <c:lblOffset val="100"/>
        <c:noMultiLvlLbl val="0"/>
      </c:catAx>
      <c:valAx>
        <c:axId val="1953682431"/>
        <c:scaling>
          <c:orientation val="minMax"/>
        </c:scaling>
        <c:delete val="1"/>
        <c:axPos val="b"/>
        <c:numFmt formatCode="General" sourceLinked="1"/>
        <c:majorTickMark val="out"/>
        <c:minorTickMark val="none"/>
        <c:tickLblPos val="nextTo"/>
        <c:crossAx val="195368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180+ AGING STOCK TRACKER DEALER WISE_V.1.0.0.xlsx]Analysis_Current_1!PivotTable3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4656955380577426"/>
          <c:y val="0.15523148148148147"/>
          <c:w val="0.45963888888888887"/>
          <c:h val="0.76606481481481481"/>
        </c:manualLayout>
      </c:layout>
      <c:doughnutChart>
        <c:varyColors val="1"/>
        <c:ser>
          <c:idx val="0"/>
          <c:order val="0"/>
          <c:tx>
            <c:strRef>
              <c:f>Analysis_Current_1!$B$3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04-4EAC-A5E2-43CD224AB1F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04-4EAC-A5E2-43CD224AB1F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04-4EAC-A5E2-43CD224AB1F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E04-4EAC-A5E2-43CD224AB1F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E04-4EAC-A5E2-43CD224AB1F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E04-4EAC-A5E2-43CD224AB1F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E04-4EAC-A5E2-43CD224AB1F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E04-4EAC-A5E2-43CD224AB1F2}"/>
              </c:ext>
            </c:extLst>
          </c:dPt>
          <c:cat>
            <c:strRef>
              <c:f>Analysis_Current_1!$A$4:$A$12</c:f>
              <c:strCache>
                <c:ptCount val="8"/>
                <c:pt idx="0">
                  <c:v>0-30</c:v>
                </c:pt>
                <c:pt idx="1">
                  <c:v>121-180</c:v>
                </c:pt>
                <c:pt idx="2">
                  <c:v>181-365</c:v>
                </c:pt>
                <c:pt idx="3">
                  <c:v>31-60</c:v>
                </c:pt>
                <c:pt idx="4">
                  <c:v>366-546</c:v>
                </c:pt>
                <c:pt idx="5">
                  <c:v>547+</c:v>
                </c:pt>
                <c:pt idx="6">
                  <c:v>61-90</c:v>
                </c:pt>
                <c:pt idx="7">
                  <c:v>91-120</c:v>
                </c:pt>
              </c:strCache>
            </c:strRef>
          </c:cat>
          <c:val>
            <c:numRef>
              <c:f>Analysis_Current_1!$B$4:$B$12</c:f>
              <c:numCache>
                <c:formatCode>General</c:formatCode>
                <c:ptCount val="8"/>
                <c:pt idx="0">
                  <c:v>6460.3999999999787</c:v>
                </c:pt>
                <c:pt idx="1">
                  <c:v>3306.5060000000021</c:v>
                </c:pt>
                <c:pt idx="2">
                  <c:v>2030.1479999999983</c:v>
                </c:pt>
                <c:pt idx="3">
                  <c:v>9787.8370000000032</c:v>
                </c:pt>
                <c:pt idx="4">
                  <c:v>695.23299999999915</c:v>
                </c:pt>
                <c:pt idx="5">
                  <c:v>1375.9299999999982</c:v>
                </c:pt>
                <c:pt idx="6">
                  <c:v>7743.3919999999825</c:v>
                </c:pt>
                <c:pt idx="7">
                  <c:v>2429.1760000000008</c:v>
                </c:pt>
              </c:numCache>
            </c:numRef>
          </c:val>
          <c:extLst>
            <c:ext xmlns:c16="http://schemas.microsoft.com/office/drawing/2014/chart" uri="{C3380CC4-5D6E-409C-BE32-E72D297353CC}">
              <c16:uniqueId val="{00000000-9B5E-4D6F-A191-69D41A24051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8.8888888888888892E-2"/>
          <c:y val="0.16898038786818315"/>
          <c:w val="0.17499999999999999"/>
          <c:h val="0.692270705745115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180+ AGING STOCK TRACKER DEALER WISE_V.1.0.0.xlsx]Current_Analysis_2!PivotTable4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Current_Analysis_2!$B$3:$B$4</c:f>
              <c:strCache>
                <c:ptCount val="1"/>
                <c:pt idx="0">
                  <c:v>181-365</c:v>
                </c:pt>
              </c:strCache>
            </c:strRef>
          </c:tx>
          <c:spPr>
            <a:solidFill>
              <a:schemeClr val="accent1"/>
            </a:solidFill>
            <a:ln>
              <a:noFill/>
            </a:ln>
            <a:effectLst/>
            <a:sp3d/>
          </c:spPr>
          <c:invertIfNegative val="0"/>
          <c:cat>
            <c:strRef>
              <c:f>Current_Analysis_2!$A$5:$A$24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Current_Analysis_2!$B$5:$B$24</c:f>
              <c:numCache>
                <c:formatCode>General</c:formatCode>
                <c:ptCount val="19"/>
                <c:pt idx="0">
                  <c:v>241.61799999999999</c:v>
                </c:pt>
                <c:pt idx="1">
                  <c:v>92.664999999999992</c:v>
                </c:pt>
                <c:pt idx="2">
                  <c:v>0.39999999999999997</c:v>
                </c:pt>
                <c:pt idx="3">
                  <c:v>70.010000000000005</c:v>
                </c:pt>
                <c:pt idx="4">
                  <c:v>133.75</c:v>
                </c:pt>
                <c:pt idx="5">
                  <c:v>1.4999999999999999E-2</c:v>
                </c:pt>
                <c:pt idx="6">
                  <c:v>7.24</c:v>
                </c:pt>
                <c:pt idx="8">
                  <c:v>121.72499999999997</c:v>
                </c:pt>
                <c:pt idx="9">
                  <c:v>209.52100000000004</c:v>
                </c:pt>
                <c:pt idx="10">
                  <c:v>81.449999999999989</c:v>
                </c:pt>
                <c:pt idx="11">
                  <c:v>1.845</c:v>
                </c:pt>
                <c:pt idx="12">
                  <c:v>10.082000000000001</c:v>
                </c:pt>
                <c:pt idx="13">
                  <c:v>222.87500000000003</c:v>
                </c:pt>
                <c:pt idx="14">
                  <c:v>14.381</c:v>
                </c:pt>
                <c:pt idx="15">
                  <c:v>8.4599999999999991</c:v>
                </c:pt>
                <c:pt idx="16">
                  <c:v>282.39999999999998</c:v>
                </c:pt>
                <c:pt idx="17">
                  <c:v>527.15100000000018</c:v>
                </c:pt>
                <c:pt idx="18">
                  <c:v>4.5600000000000005</c:v>
                </c:pt>
              </c:numCache>
            </c:numRef>
          </c:val>
          <c:extLst>
            <c:ext xmlns:c16="http://schemas.microsoft.com/office/drawing/2014/chart" uri="{C3380CC4-5D6E-409C-BE32-E72D297353CC}">
              <c16:uniqueId val="{00000000-CF39-4534-9661-F593AE509C62}"/>
            </c:ext>
          </c:extLst>
        </c:ser>
        <c:ser>
          <c:idx val="1"/>
          <c:order val="1"/>
          <c:tx>
            <c:strRef>
              <c:f>Current_Analysis_2!$C$3:$C$4</c:f>
              <c:strCache>
                <c:ptCount val="1"/>
                <c:pt idx="0">
                  <c:v>366-546</c:v>
                </c:pt>
              </c:strCache>
            </c:strRef>
          </c:tx>
          <c:spPr>
            <a:solidFill>
              <a:schemeClr val="accent2"/>
            </a:solidFill>
            <a:ln>
              <a:noFill/>
            </a:ln>
            <a:effectLst/>
            <a:sp3d/>
          </c:spPr>
          <c:invertIfNegative val="0"/>
          <c:cat>
            <c:strRef>
              <c:f>Current_Analysis_2!$A$5:$A$24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Current_Analysis_2!$C$5:$C$24</c:f>
              <c:numCache>
                <c:formatCode>General</c:formatCode>
                <c:ptCount val="19"/>
                <c:pt idx="0">
                  <c:v>77.201000000000008</c:v>
                </c:pt>
                <c:pt idx="1">
                  <c:v>57.183000000000021</c:v>
                </c:pt>
                <c:pt idx="2">
                  <c:v>0.28000000000000003</c:v>
                </c:pt>
                <c:pt idx="3">
                  <c:v>19.574999999999999</c:v>
                </c:pt>
                <c:pt idx="4">
                  <c:v>38.25</c:v>
                </c:pt>
                <c:pt idx="5">
                  <c:v>2.8559999999999999</c:v>
                </c:pt>
                <c:pt idx="6">
                  <c:v>25.685000000000002</c:v>
                </c:pt>
                <c:pt idx="8">
                  <c:v>98.339000000000013</c:v>
                </c:pt>
                <c:pt idx="9">
                  <c:v>111.33000000000004</c:v>
                </c:pt>
                <c:pt idx="10">
                  <c:v>18.100000000000005</c:v>
                </c:pt>
                <c:pt idx="12">
                  <c:v>3.38</c:v>
                </c:pt>
                <c:pt idx="13">
                  <c:v>73.97</c:v>
                </c:pt>
                <c:pt idx="14">
                  <c:v>0.1</c:v>
                </c:pt>
                <c:pt idx="15">
                  <c:v>0.01</c:v>
                </c:pt>
                <c:pt idx="16">
                  <c:v>37.520000000000003</c:v>
                </c:pt>
                <c:pt idx="17">
                  <c:v>131.45400000000004</c:v>
                </c:pt>
              </c:numCache>
            </c:numRef>
          </c:val>
          <c:extLst>
            <c:ext xmlns:c16="http://schemas.microsoft.com/office/drawing/2014/chart" uri="{C3380CC4-5D6E-409C-BE32-E72D297353CC}">
              <c16:uniqueId val="{00000001-CF39-4534-9661-F593AE509C62}"/>
            </c:ext>
          </c:extLst>
        </c:ser>
        <c:ser>
          <c:idx val="2"/>
          <c:order val="2"/>
          <c:tx>
            <c:strRef>
              <c:f>Current_Analysis_2!$D$3:$D$4</c:f>
              <c:strCache>
                <c:ptCount val="1"/>
                <c:pt idx="0">
                  <c:v>547+</c:v>
                </c:pt>
              </c:strCache>
            </c:strRef>
          </c:tx>
          <c:spPr>
            <a:solidFill>
              <a:schemeClr val="accent3"/>
            </a:solidFill>
            <a:ln>
              <a:noFill/>
            </a:ln>
            <a:effectLst/>
            <a:sp3d/>
          </c:spPr>
          <c:invertIfNegative val="0"/>
          <c:cat>
            <c:strRef>
              <c:f>Current_Analysis_2!$A$5:$A$24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Current_Analysis_2!$D$5:$D$24</c:f>
              <c:numCache>
                <c:formatCode>General</c:formatCode>
                <c:ptCount val="19"/>
                <c:pt idx="0">
                  <c:v>185.52799999999999</c:v>
                </c:pt>
                <c:pt idx="1">
                  <c:v>158.398</c:v>
                </c:pt>
                <c:pt idx="2">
                  <c:v>16.581</c:v>
                </c:pt>
                <c:pt idx="3">
                  <c:v>18.683</c:v>
                </c:pt>
                <c:pt idx="4">
                  <c:v>29.344999999999999</c:v>
                </c:pt>
                <c:pt idx="5">
                  <c:v>5.04</c:v>
                </c:pt>
                <c:pt idx="6">
                  <c:v>51.686000000000014</c:v>
                </c:pt>
                <c:pt idx="7">
                  <c:v>0.01</c:v>
                </c:pt>
                <c:pt idx="8">
                  <c:v>81.994999999999976</c:v>
                </c:pt>
                <c:pt idx="9">
                  <c:v>71.41</c:v>
                </c:pt>
                <c:pt idx="10">
                  <c:v>84.131</c:v>
                </c:pt>
                <c:pt idx="12">
                  <c:v>21.012</c:v>
                </c:pt>
                <c:pt idx="13">
                  <c:v>178.42000000000004</c:v>
                </c:pt>
                <c:pt idx="14">
                  <c:v>21.402000000000001</c:v>
                </c:pt>
                <c:pt idx="15">
                  <c:v>7.7200000000000006</c:v>
                </c:pt>
                <c:pt idx="16">
                  <c:v>110.08699999999996</c:v>
                </c:pt>
                <c:pt idx="17">
                  <c:v>334.48199999999974</c:v>
                </c:pt>
              </c:numCache>
            </c:numRef>
          </c:val>
          <c:extLst>
            <c:ext xmlns:c16="http://schemas.microsoft.com/office/drawing/2014/chart" uri="{C3380CC4-5D6E-409C-BE32-E72D297353CC}">
              <c16:uniqueId val="{00000002-CF39-4534-9661-F593AE509C62}"/>
            </c:ext>
          </c:extLst>
        </c:ser>
        <c:dLbls>
          <c:showLegendKey val="0"/>
          <c:showVal val="0"/>
          <c:showCatName val="0"/>
          <c:showSerName val="0"/>
          <c:showPercent val="0"/>
          <c:showBubbleSize val="0"/>
        </c:dLbls>
        <c:gapWidth val="150"/>
        <c:shape val="box"/>
        <c:axId val="366212752"/>
        <c:axId val="278099984"/>
        <c:axId val="0"/>
      </c:bar3DChart>
      <c:catAx>
        <c:axId val="366212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99984"/>
        <c:crosses val="autoZero"/>
        <c:auto val="1"/>
        <c:lblAlgn val="ctr"/>
        <c:lblOffset val="100"/>
        <c:noMultiLvlLbl val="0"/>
      </c:catAx>
      <c:valAx>
        <c:axId val="27809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1275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180+ AGING STOCK TRACKER DEALER WISE_V.1.0.0.xlsx]Current_Analysis_2!PivotTable4</c:name>
    <c:fmtId val="1"/>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Current_Analysis_2!$B$3:$B$4</c:f>
              <c:strCache>
                <c:ptCount val="1"/>
                <c:pt idx="0">
                  <c:v>181-365</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Current_Analysis_2!$A$5:$A$24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Current_Analysis_2!$B$5:$B$24</c:f>
              <c:numCache>
                <c:formatCode>General</c:formatCode>
                <c:ptCount val="19"/>
                <c:pt idx="0">
                  <c:v>241.61799999999999</c:v>
                </c:pt>
                <c:pt idx="1">
                  <c:v>92.664999999999992</c:v>
                </c:pt>
                <c:pt idx="2">
                  <c:v>0.39999999999999997</c:v>
                </c:pt>
                <c:pt idx="3">
                  <c:v>70.010000000000005</c:v>
                </c:pt>
                <c:pt idx="4">
                  <c:v>133.75</c:v>
                </c:pt>
                <c:pt idx="5">
                  <c:v>1.4999999999999999E-2</c:v>
                </c:pt>
                <c:pt idx="6">
                  <c:v>7.24</c:v>
                </c:pt>
                <c:pt idx="8">
                  <c:v>121.72499999999997</c:v>
                </c:pt>
                <c:pt idx="9">
                  <c:v>209.52100000000004</c:v>
                </c:pt>
                <c:pt idx="10">
                  <c:v>81.449999999999989</c:v>
                </c:pt>
                <c:pt idx="11">
                  <c:v>1.845</c:v>
                </c:pt>
                <c:pt idx="12">
                  <c:v>10.082000000000001</c:v>
                </c:pt>
                <c:pt idx="13">
                  <c:v>222.87500000000003</c:v>
                </c:pt>
                <c:pt idx="14">
                  <c:v>14.381</c:v>
                </c:pt>
                <c:pt idx="15">
                  <c:v>8.4599999999999991</c:v>
                </c:pt>
                <c:pt idx="16">
                  <c:v>282.39999999999998</c:v>
                </c:pt>
                <c:pt idx="17">
                  <c:v>527.15100000000018</c:v>
                </c:pt>
                <c:pt idx="18">
                  <c:v>4.5600000000000005</c:v>
                </c:pt>
              </c:numCache>
            </c:numRef>
          </c:val>
          <c:extLst>
            <c:ext xmlns:c16="http://schemas.microsoft.com/office/drawing/2014/chart" uri="{C3380CC4-5D6E-409C-BE32-E72D297353CC}">
              <c16:uniqueId val="{00000000-103B-4F74-B18A-8F6FF068AF9C}"/>
            </c:ext>
          </c:extLst>
        </c:ser>
        <c:ser>
          <c:idx val="1"/>
          <c:order val="1"/>
          <c:tx>
            <c:strRef>
              <c:f>Current_Analysis_2!$C$3:$C$4</c:f>
              <c:strCache>
                <c:ptCount val="1"/>
                <c:pt idx="0">
                  <c:v>366-546</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Current_Analysis_2!$A$5:$A$24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Current_Analysis_2!$C$5:$C$24</c:f>
              <c:numCache>
                <c:formatCode>General</c:formatCode>
                <c:ptCount val="19"/>
                <c:pt idx="0">
                  <c:v>77.201000000000008</c:v>
                </c:pt>
                <c:pt idx="1">
                  <c:v>57.183000000000021</c:v>
                </c:pt>
                <c:pt idx="2">
                  <c:v>0.28000000000000003</c:v>
                </c:pt>
                <c:pt idx="3">
                  <c:v>19.574999999999999</c:v>
                </c:pt>
                <c:pt idx="4">
                  <c:v>38.25</c:v>
                </c:pt>
                <c:pt idx="5">
                  <c:v>2.8559999999999999</c:v>
                </c:pt>
                <c:pt idx="6">
                  <c:v>25.685000000000002</c:v>
                </c:pt>
                <c:pt idx="8">
                  <c:v>98.339000000000013</c:v>
                </c:pt>
                <c:pt idx="9">
                  <c:v>111.33000000000004</c:v>
                </c:pt>
                <c:pt idx="10">
                  <c:v>18.100000000000005</c:v>
                </c:pt>
                <c:pt idx="12">
                  <c:v>3.38</c:v>
                </c:pt>
                <c:pt idx="13">
                  <c:v>73.97</c:v>
                </c:pt>
                <c:pt idx="14">
                  <c:v>0.1</c:v>
                </c:pt>
                <c:pt idx="15">
                  <c:v>0.01</c:v>
                </c:pt>
                <c:pt idx="16">
                  <c:v>37.520000000000003</c:v>
                </c:pt>
                <c:pt idx="17">
                  <c:v>131.45400000000004</c:v>
                </c:pt>
              </c:numCache>
            </c:numRef>
          </c:val>
          <c:extLst>
            <c:ext xmlns:c16="http://schemas.microsoft.com/office/drawing/2014/chart" uri="{C3380CC4-5D6E-409C-BE32-E72D297353CC}">
              <c16:uniqueId val="{00000001-103B-4F74-B18A-8F6FF068AF9C}"/>
            </c:ext>
          </c:extLst>
        </c:ser>
        <c:ser>
          <c:idx val="2"/>
          <c:order val="2"/>
          <c:tx>
            <c:strRef>
              <c:f>Current_Analysis_2!$D$3:$D$4</c:f>
              <c:strCache>
                <c:ptCount val="1"/>
                <c:pt idx="0">
                  <c:v>547+</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Current_Analysis_2!$A$5:$A$24</c:f>
              <c:strCache>
                <c:ptCount val="19"/>
                <c:pt idx="0">
                  <c:v>24 Paraganas North</c:v>
                </c:pt>
                <c:pt idx="1">
                  <c:v>24 Paraganas South</c:v>
                </c:pt>
                <c:pt idx="2">
                  <c:v>Alipurduar</c:v>
                </c:pt>
                <c:pt idx="3">
                  <c:v>Bankura</c:v>
                </c:pt>
                <c:pt idx="4">
                  <c:v>Bardhaman</c:v>
                </c:pt>
                <c:pt idx="5">
                  <c:v>Birbhum</c:v>
                </c:pt>
                <c:pt idx="6">
                  <c:v>Coochbehar</c:v>
                </c:pt>
                <c:pt idx="7">
                  <c:v>Darjeeling</c:v>
                </c:pt>
                <c:pt idx="8">
                  <c:v>Dinajpur Dakshin</c:v>
                </c:pt>
                <c:pt idx="9">
                  <c:v>Dinajpur Uttar</c:v>
                </c:pt>
                <c:pt idx="10">
                  <c:v>Hooghly</c:v>
                </c:pt>
                <c:pt idx="11">
                  <c:v>Howrah</c:v>
                </c:pt>
                <c:pt idx="12">
                  <c:v>Jalpaiguri</c:v>
                </c:pt>
                <c:pt idx="13">
                  <c:v>Maldah</c:v>
                </c:pt>
                <c:pt idx="14">
                  <c:v>Medinipur East</c:v>
                </c:pt>
                <c:pt idx="15">
                  <c:v>Medinipur West</c:v>
                </c:pt>
                <c:pt idx="16">
                  <c:v>Murshidabad</c:v>
                </c:pt>
                <c:pt idx="17">
                  <c:v>Nadia</c:v>
                </c:pt>
                <c:pt idx="18">
                  <c:v>Paschim Bardhaman</c:v>
                </c:pt>
              </c:strCache>
            </c:strRef>
          </c:cat>
          <c:val>
            <c:numRef>
              <c:f>Current_Analysis_2!$D$5:$D$24</c:f>
              <c:numCache>
                <c:formatCode>General</c:formatCode>
                <c:ptCount val="19"/>
                <c:pt idx="0">
                  <c:v>185.52799999999999</c:v>
                </c:pt>
                <c:pt idx="1">
                  <c:v>158.398</c:v>
                </c:pt>
                <c:pt idx="2">
                  <c:v>16.581</c:v>
                </c:pt>
                <c:pt idx="3">
                  <c:v>18.683</c:v>
                </c:pt>
                <c:pt idx="4">
                  <c:v>29.344999999999999</c:v>
                </c:pt>
                <c:pt idx="5">
                  <c:v>5.04</c:v>
                </c:pt>
                <c:pt idx="6">
                  <c:v>51.686000000000014</c:v>
                </c:pt>
                <c:pt idx="7">
                  <c:v>0.01</c:v>
                </c:pt>
                <c:pt idx="8">
                  <c:v>81.994999999999976</c:v>
                </c:pt>
                <c:pt idx="9">
                  <c:v>71.41</c:v>
                </c:pt>
                <c:pt idx="10">
                  <c:v>84.131</c:v>
                </c:pt>
                <c:pt idx="12">
                  <c:v>21.012</c:v>
                </c:pt>
                <c:pt idx="13">
                  <c:v>178.42000000000004</c:v>
                </c:pt>
                <c:pt idx="14">
                  <c:v>21.402000000000001</c:v>
                </c:pt>
                <c:pt idx="15">
                  <c:v>7.7200000000000006</c:v>
                </c:pt>
                <c:pt idx="16">
                  <c:v>110.08699999999996</c:v>
                </c:pt>
                <c:pt idx="17">
                  <c:v>334.48199999999974</c:v>
                </c:pt>
              </c:numCache>
            </c:numRef>
          </c:val>
          <c:extLst>
            <c:ext xmlns:c16="http://schemas.microsoft.com/office/drawing/2014/chart" uri="{C3380CC4-5D6E-409C-BE32-E72D297353CC}">
              <c16:uniqueId val="{00000002-103B-4F74-B18A-8F6FF068AF9C}"/>
            </c:ext>
          </c:extLst>
        </c:ser>
        <c:dLbls>
          <c:showLegendKey val="0"/>
          <c:showVal val="1"/>
          <c:showCatName val="0"/>
          <c:showSerName val="0"/>
          <c:showPercent val="0"/>
          <c:showBubbleSize val="0"/>
        </c:dLbls>
        <c:gapWidth val="84"/>
        <c:gapDepth val="53"/>
        <c:shape val="box"/>
        <c:axId val="354153888"/>
        <c:axId val="171867072"/>
        <c:axId val="0"/>
      </c:bar3DChart>
      <c:catAx>
        <c:axId val="35415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867072"/>
        <c:crosses val="autoZero"/>
        <c:auto val="1"/>
        <c:lblAlgn val="ctr"/>
        <c:lblOffset val="100"/>
        <c:noMultiLvlLbl val="0"/>
      </c:catAx>
      <c:valAx>
        <c:axId val="171867072"/>
        <c:scaling>
          <c:orientation val="minMax"/>
        </c:scaling>
        <c:delete val="1"/>
        <c:axPos val="b"/>
        <c:numFmt formatCode="General" sourceLinked="1"/>
        <c:majorTickMark val="out"/>
        <c:minorTickMark val="none"/>
        <c:tickLblPos val="nextTo"/>
        <c:crossAx val="3541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26" Type="http://schemas.openxmlformats.org/officeDocument/2006/relationships/chart" Target="../charts/chart4.xml"/><Relationship Id="rId3" Type="http://schemas.openxmlformats.org/officeDocument/2006/relationships/hyperlink" Target="#Hooghly!A1"/><Relationship Id="rId21" Type="http://schemas.openxmlformats.org/officeDocument/2006/relationships/chart" Target="../charts/chart1.xml"/><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5" Type="http://schemas.openxmlformats.org/officeDocument/2006/relationships/image" Target="../media/image4.svg"/><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24" Type="http://schemas.openxmlformats.org/officeDocument/2006/relationships/image" Target="../media/image3.png"/><Relationship Id="rId5" Type="http://schemas.openxmlformats.org/officeDocument/2006/relationships/hyperlink" Target="#'E Medinipur'!A1"/><Relationship Id="rId15" Type="http://schemas.openxmlformats.org/officeDocument/2006/relationships/hyperlink" Target="#Maldah!A1"/><Relationship Id="rId23" Type="http://schemas.openxmlformats.org/officeDocument/2006/relationships/chart" Target="../charts/chart3.xml"/><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 Id="rId22" Type="http://schemas.openxmlformats.org/officeDocument/2006/relationships/chart" Target="../charts/chart2.xml"/><Relationship Id="rId27"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3.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4.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5.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6.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7.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8.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9.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10.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11.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21" Type="http://schemas.openxmlformats.org/officeDocument/2006/relationships/image" Target="../media/image5.png"/><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 Id="rId22" Type="http://schemas.openxmlformats.org/officeDocument/2006/relationships/image" Target="../media/image6.svg"/></Relationships>
</file>

<file path=xl/drawings/_rels/drawing12.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13.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14.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15.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16.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17.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18.xml.rels><?xml version="1.0" encoding="UTF-8" standalone="yes"?>
<Relationships xmlns="http://schemas.openxmlformats.org/package/2006/relationships"><Relationship Id="rId8" Type="http://schemas.openxmlformats.org/officeDocument/2006/relationships/hyperlink" Target="#Bardhaman!A1"/><Relationship Id="rId13" Type="http://schemas.openxmlformats.org/officeDocument/2006/relationships/hyperlink" Target="#Alipurduar!A1"/><Relationship Id="rId18" Type="http://schemas.openxmlformats.org/officeDocument/2006/relationships/hyperlink" Target="#DASHBOARD!A1"/><Relationship Id="rId3" Type="http://schemas.openxmlformats.org/officeDocument/2006/relationships/hyperlink" Target="#Hooghly!A1"/><Relationship Id="rId7" Type="http://schemas.openxmlformats.org/officeDocument/2006/relationships/hyperlink" Target="#Bankura!A1"/><Relationship Id="rId12" Type="http://schemas.openxmlformats.org/officeDocument/2006/relationships/hyperlink" Target="#'S Dinajpur'!A1"/><Relationship Id="rId17" Type="http://schemas.openxmlformats.org/officeDocument/2006/relationships/hyperlink" Target="#Coochbehar!A1"/><Relationship Id="rId2" Type="http://schemas.openxmlformats.org/officeDocument/2006/relationships/hyperlink" Target="#'S24'!A1"/><Relationship Id="rId16" Type="http://schemas.openxmlformats.org/officeDocument/2006/relationships/hyperlink" Target="#Jalpaiguri!A1"/><Relationship Id="rId20" Type="http://schemas.openxmlformats.org/officeDocument/2006/relationships/image" Target="../media/image2.svg"/><Relationship Id="rId1" Type="http://schemas.openxmlformats.org/officeDocument/2006/relationships/hyperlink" Target="#'N24'!A1"/><Relationship Id="rId6" Type="http://schemas.openxmlformats.org/officeDocument/2006/relationships/hyperlink" Target="#'W Medinipur'!A1"/><Relationship Id="rId11" Type="http://schemas.openxmlformats.org/officeDocument/2006/relationships/hyperlink" Target="#Birbhum!A1"/><Relationship Id="rId5" Type="http://schemas.openxmlformats.org/officeDocument/2006/relationships/hyperlink" Target="#'E Medinipur'!A1"/><Relationship Id="rId15" Type="http://schemas.openxmlformats.org/officeDocument/2006/relationships/hyperlink" Target="#Maldah!A1"/><Relationship Id="rId10" Type="http://schemas.openxmlformats.org/officeDocument/2006/relationships/hyperlink" Target="#Murshidabad!A1"/><Relationship Id="rId19" Type="http://schemas.openxmlformats.org/officeDocument/2006/relationships/image" Target="../media/image1.png"/><Relationship Id="rId4" Type="http://schemas.openxmlformats.org/officeDocument/2006/relationships/hyperlink" Target="#Haowrah!A1"/><Relationship Id="rId9" Type="http://schemas.openxmlformats.org/officeDocument/2006/relationships/hyperlink" Target="#Nadia!A1"/><Relationship Id="rId14" Type="http://schemas.openxmlformats.org/officeDocument/2006/relationships/hyperlink" Target="#'N Dinajpur'!A1"/></Relationships>
</file>

<file path=xl/drawings/_rels/drawing1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3</xdr:col>
      <xdr:colOff>381000</xdr:colOff>
      <xdr:row>39</xdr:row>
      <xdr:rowOff>180975</xdr:rowOff>
    </xdr:to>
    <xdr:grpSp>
      <xdr:nvGrpSpPr>
        <xdr:cNvPr id="42" name="Group 41">
          <a:extLst>
            <a:ext uri="{FF2B5EF4-FFF2-40B4-BE49-F238E27FC236}">
              <a16:creationId xmlns:a16="http://schemas.microsoft.com/office/drawing/2014/main" id="{1AA94E1E-8525-7889-9C32-1C38294D0140}"/>
            </a:ext>
          </a:extLst>
        </xdr:cNvPr>
        <xdr:cNvGrpSpPr/>
      </xdr:nvGrpSpPr>
      <xdr:grpSpPr>
        <a:xfrm>
          <a:off x="9525" y="0"/>
          <a:ext cx="2514600" cy="7610475"/>
          <a:chOff x="9525" y="0"/>
          <a:chExt cx="2514600" cy="7515225"/>
        </a:xfrm>
      </xdr:grpSpPr>
      <xdr:sp macro="" textlink="">
        <xdr:nvSpPr>
          <xdr:cNvPr id="2" name="Rectangle: Rounded Corners 1">
            <a:extLst>
              <a:ext uri="{FF2B5EF4-FFF2-40B4-BE49-F238E27FC236}">
                <a16:creationId xmlns:a16="http://schemas.microsoft.com/office/drawing/2014/main" id="{7B737157-7EC4-3DA4-9854-C813C73A94E9}"/>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A558DA58-5AFB-7B85-6DFE-12E79F375BD7}"/>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4" name="Rectangle: Rounded Corners 3">
            <a:extLst>
              <a:ext uri="{FF2B5EF4-FFF2-40B4-BE49-F238E27FC236}">
                <a16:creationId xmlns:a16="http://schemas.microsoft.com/office/drawing/2014/main" id="{4BA3949B-6AB0-57C7-9FB8-D6F7C4440F10}"/>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5CD3A8F4-0672-538B-5D62-92F81BFC49C9}"/>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8BE34937-F36F-F9E2-82B6-1F9BB55B17AD}"/>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246D205B-D565-0637-7D5A-2BBC1D5CAFD6}"/>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CCDA20E6-F6FA-B5AB-0241-C2780F71000F}"/>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6" name="Rectangle: Rounded Corners 15">
            <a:hlinkClick xmlns:r="http://schemas.openxmlformats.org/officeDocument/2006/relationships" r:id="rId5"/>
            <a:extLst>
              <a:ext uri="{FF2B5EF4-FFF2-40B4-BE49-F238E27FC236}">
                <a16:creationId xmlns:a16="http://schemas.microsoft.com/office/drawing/2014/main" id="{020D81B5-4C70-368A-FA9B-2A094B558D89}"/>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7" name="Rectangle: Rounded Corners 16">
            <a:hlinkClick xmlns:r="http://schemas.openxmlformats.org/officeDocument/2006/relationships" r:id="rId6"/>
            <a:extLst>
              <a:ext uri="{FF2B5EF4-FFF2-40B4-BE49-F238E27FC236}">
                <a16:creationId xmlns:a16="http://schemas.microsoft.com/office/drawing/2014/main" id="{C41B239D-01AA-455A-AB76-975D91BF9F12}"/>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8" name="Rectangle: Rounded Corners 17">
            <a:hlinkClick xmlns:r="http://schemas.openxmlformats.org/officeDocument/2006/relationships" r:id="rId7"/>
            <a:extLst>
              <a:ext uri="{FF2B5EF4-FFF2-40B4-BE49-F238E27FC236}">
                <a16:creationId xmlns:a16="http://schemas.microsoft.com/office/drawing/2014/main" id="{B0B15C0E-F458-8CDD-E0AC-BB9110468BFB}"/>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21" name="Rectangle: Rounded Corners 20">
            <a:hlinkClick xmlns:r="http://schemas.openxmlformats.org/officeDocument/2006/relationships" r:id="rId8"/>
            <a:extLst>
              <a:ext uri="{FF2B5EF4-FFF2-40B4-BE49-F238E27FC236}">
                <a16:creationId xmlns:a16="http://schemas.microsoft.com/office/drawing/2014/main" id="{05C17583-064E-2ECD-BB58-7CF2CC29D384}"/>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22" name="Rectangle: Rounded Corners 21">
            <a:hlinkClick xmlns:r="http://schemas.openxmlformats.org/officeDocument/2006/relationships" r:id="rId9"/>
            <a:extLst>
              <a:ext uri="{FF2B5EF4-FFF2-40B4-BE49-F238E27FC236}">
                <a16:creationId xmlns:a16="http://schemas.microsoft.com/office/drawing/2014/main" id="{B580156A-0757-A85D-D7CB-425B06F96755}"/>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23" name="Rectangle: Rounded Corners 22">
            <a:hlinkClick xmlns:r="http://schemas.openxmlformats.org/officeDocument/2006/relationships" r:id="rId10"/>
            <a:extLst>
              <a:ext uri="{FF2B5EF4-FFF2-40B4-BE49-F238E27FC236}">
                <a16:creationId xmlns:a16="http://schemas.microsoft.com/office/drawing/2014/main" id="{9D046CF1-14FB-F4DE-C4E1-CE23379B03D1}"/>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24" name="Rectangle: Rounded Corners 23">
            <a:hlinkClick xmlns:r="http://schemas.openxmlformats.org/officeDocument/2006/relationships" r:id="rId11"/>
            <a:extLst>
              <a:ext uri="{FF2B5EF4-FFF2-40B4-BE49-F238E27FC236}">
                <a16:creationId xmlns:a16="http://schemas.microsoft.com/office/drawing/2014/main" id="{BF1320BA-4B25-B9AF-A2E4-86EB112841FD}"/>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25" name="Rectangle: Rounded Corners 24">
            <a:hlinkClick xmlns:r="http://schemas.openxmlformats.org/officeDocument/2006/relationships" r:id="rId12"/>
            <a:extLst>
              <a:ext uri="{FF2B5EF4-FFF2-40B4-BE49-F238E27FC236}">
                <a16:creationId xmlns:a16="http://schemas.microsoft.com/office/drawing/2014/main" id="{22A95364-2588-FCC6-A3DC-7C6AAF0121B1}"/>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27" name="Rectangle: Rounded Corners 26">
            <a:hlinkClick xmlns:r="http://schemas.openxmlformats.org/officeDocument/2006/relationships" r:id="rId13"/>
            <a:extLst>
              <a:ext uri="{FF2B5EF4-FFF2-40B4-BE49-F238E27FC236}">
                <a16:creationId xmlns:a16="http://schemas.microsoft.com/office/drawing/2014/main" id="{24D3F637-4AF0-CDD4-A59C-6DF1AEC45D1D}"/>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28" name="Rectangle: Rounded Corners 27">
            <a:hlinkClick xmlns:r="http://schemas.openxmlformats.org/officeDocument/2006/relationships" r:id="rId14"/>
            <a:extLst>
              <a:ext uri="{FF2B5EF4-FFF2-40B4-BE49-F238E27FC236}">
                <a16:creationId xmlns:a16="http://schemas.microsoft.com/office/drawing/2014/main" id="{E2246437-F539-41FE-CFC8-3B75BE18685E}"/>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9" name="Rectangle: Rounded Corners 28">
            <a:hlinkClick xmlns:r="http://schemas.openxmlformats.org/officeDocument/2006/relationships" r:id="rId15"/>
            <a:extLst>
              <a:ext uri="{FF2B5EF4-FFF2-40B4-BE49-F238E27FC236}">
                <a16:creationId xmlns:a16="http://schemas.microsoft.com/office/drawing/2014/main" id="{A8D658FE-C04C-FCDD-70DA-785E5B2561C7}"/>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30" name="Rectangle: Rounded Corners 29">
            <a:hlinkClick xmlns:r="http://schemas.openxmlformats.org/officeDocument/2006/relationships" r:id="rId16"/>
            <a:extLst>
              <a:ext uri="{FF2B5EF4-FFF2-40B4-BE49-F238E27FC236}">
                <a16:creationId xmlns:a16="http://schemas.microsoft.com/office/drawing/2014/main" id="{2DB93AFF-EC92-63B8-2415-B8257704221A}"/>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31" name="Rectangle: Rounded Corners 30">
            <a:hlinkClick xmlns:r="http://schemas.openxmlformats.org/officeDocument/2006/relationships" r:id="rId17"/>
            <a:extLst>
              <a:ext uri="{FF2B5EF4-FFF2-40B4-BE49-F238E27FC236}">
                <a16:creationId xmlns:a16="http://schemas.microsoft.com/office/drawing/2014/main" id="{1FACE7F8-51EC-DD2C-86BE-72013369374D}"/>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8" name="Rectangle: Rounded Corners 7">
            <a:hlinkClick xmlns:r="http://schemas.openxmlformats.org/officeDocument/2006/relationships" r:id="rId18"/>
            <a:extLst>
              <a:ext uri="{FF2B5EF4-FFF2-40B4-BE49-F238E27FC236}">
                <a16:creationId xmlns:a16="http://schemas.microsoft.com/office/drawing/2014/main" id="{7E2DC7C9-24F9-AA34-C6AA-7D59F73B5C6B}"/>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10" name="Graphic 9" descr="Home with solid fill">
            <a:hlinkClick xmlns:r="http://schemas.openxmlformats.org/officeDocument/2006/relationships" r:id="rId18"/>
            <a:extLst>
              <a:ext uri="{FF2B5EF4-FFF2-40B4-BE49-F238E27FC236}">
                <a16:creationId xmlns:a16="http://schemas.microsoft.com/office/drawing/2014/main" id="{689F0FF6-FE6E-5858-0FC6-EA9693DD029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twoCellAnchor>
    <xdr:from>
      <xdr:col>4</xdr:col>
      <xdr:colOff>0</xdr:colOff>
      <xdr:row>3</xdr:row>
      <xdr:rowOff>114300</xdr:rowOff>
    </xdr:from>
    <xdr:to>
      <xdr:col>27</xdr:col>
      <xdr:colOff>581025</xdr:colOff>
      <xdr:row>64</xdr:row>
      <xdr:rowOff>161925</xdr:rowOff>
    </xdr:to>
    <xdr:sp macro="" textlink="">
      <xdr:nvSpPr>
        <xdr:cNvPr id="9" name="Rectangle: Rounded Corners 8">
          <a:extLst>
            <a:ext uri="{FF2B5EF4-FFF2-40B4-BE49-F238E27FC236}">
              <a16:creationId xmlns:a16="http://schemas.microsoft.com/office/drawing/2014/main" id="{300F866D-CB2C-249B-B685-BC74307C545B}"/>
            </a:ext>
          </a:extLst>
        </xdr:cNvPr>
        <xdr:cNvSpPr/>
      </xdr:nvSpPr>
      <xdr:spPr>
        <a:xfrm>
          <a:off x="2857500" y="685800"/>
          <a:ext cx="14601825" cy="11668125"/>
        </a:xfrm>
        <a:prstGeom prst="roundRect">
          <a:avLst>
            <a:gd name="adj" fmla="val 1675"/>
          </a:avLst>
        </a:prstGeom>
        <a:gradFill>
          <a:gsLst>
            <a:gs pos="0">
              <a:srgbClr val="22577A"/>
            </a:gs>
            <a:gs pos="42000">
              <a:srgbClr val="38A3A5"/>
            </a:gs>
            <a:gs pos="80000">
              <a:srgbClr val="57CC99"/>
            </a:gs>
            <a:gs pos="100000">
              <a:srgbClr val="80ED99"/>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504825</xdr:colOff>
      <xdr:row>35</xdr:row>
      <xdr:rowOff>57150</xdr:rowOff>
    </xdr:from>
    <xdr:to>
      <xdr:col>27</xdr:col>
      <xdr:colOff>350043</xdr:colOff>
      <xdr:row>63</xdr:row>
      <xdr:rowOff>19049</xdr:rowOff>
    </xdr:to>
    <xdr:graphicFrame macro="">
      <xdr:nvGraphicFramePr>
        <xdr:cNvPr id="12" name="Chart 11">
          <a:extLst>
            <a:ext uri="{FF2B5EF4-FFF2-40B4-BE49-F238E27FC236}">
              <a16:creationId xmlns:a16="http://schemas.microsoft.com/office/drawing/2014/main" id="{5CFCA4A7-E724-4924-90E6-EF6B536DC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533401</xdr:colOff>
      <xdr:row>35</xdr:row>
      <xdr:rowOff>66675</xdr:rowOff>
    </xdr:from>
    <xdr:to>
      <xdr:col>16</xdr:col>
      <xdr:colOff>76201</xdr:colOff>
      <xdr:row>63</xdr:row>
      <xdr:rowOff>9525</xdr:rowOff>
    </xdr:to>
    <xdr:graphicFrame macro="">
      <xdr:nvGraphicFramePr>
        <xdr:cNvPr id="34" name="Chart 33">
          <a:extLst>
            <a:ext uri="{FF2B5EF4-FFF2-40B4-BE49-F238E27FC236}">
              <a16:creationId xmlns:a16="http://schemas.microsoft.com/office/drawing/2014/main" id="{10303325-3FBF-42A1-9733-36B404848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285749</xdr:colOff>
      <xdr:row>22</xdr:row>
      <xdr:rowOff>38100</xdr:rowOff>
    </xdr:from>
    <xdr:to>
      <xdr:col>10</xdr:col>
      <xdr:colOff>381000</xdr:colOff>
      <xdr:row>34</xdr:row>
      <xdr:rowOff>171450</xdr:rowOff>
    </xdr:to>
    <xdr:graphicFrame macro="">
      <xdr:nvGraphicFramePr>
        <xdr:cNvPr id="35" name="Chart 34">
          <a:extLst>
            <a:ext uri="{FF2B5EF4-FFF2-40B4-BE49-F238E27FC236}">
              <a16:creationId xmlns:a16="http://schemas.microsoft.com/office/drawing/2014/main" id="{24D9DFC5-59E2-4103-867B-4DD3D4201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95250</xdr:colOff>
      <xdr:row>7</xdr:row>
      <xdr:rowOff>152400</xdr:rowOff>
    </xdr:from>
    <xdr:to>
      <xdr:col>8</xdr:col>
      <xdr:colOff>19050</xdr:colOff>
      <xdr:row>11</xdr:row>
      <xdr:rowOff>66675</xdr:rowOff>
    </xdr:to>
    <xdr:grpSp>
      <xdr:nvGrpSpPr>
        <xdr:cNvPr id="74" name="Group 73">
          <a:extLst>
            <a:ext uri="{FF2B5EF4-FFF2-40B4-BE49-F238E27FC236}">
              <a16:creationId xmlns:a16="http://schemas.microsoft.com/office/drawing/2014/main" id="{AE5B5778-ABAE-FE64-C20E-2B5DF737D072}"/>
            </a:ext>
          </a:extLst>
        </xdr:cNvPr>
        <xdr:cNvGrpSpPr/>
      </xdr:nvGrpSpPr>
      <xdr:grpSpPr>
        <a:xfrm>
          <a:off x="2952750" y="1485900"/>
          <a:ext cx="2362200" cy="676275"/>
          <a:chOff x="3038475" y="3171825"/>
          <a:chExt cx="2362200" cy="676275"/>
        </a:xfrm>
      </xdr:grpSpPr>
      <xdr:grpSp>
        <xdr:nvGrpSpPr>
          <xdr:cNvPr id="51" name="Group 50">
            <a:extLst>
              <a:ext uri="{FF2B5EF4-FFF2-40B4-BE49-F238E27FC236}">
                <a16:creationId xmlns:a16="http://schemas.microsoft.com/office/drawing/2014/main" id="{8C4944AE-50FA-4211-B98A-CB17AD99A6E7}"/>
              </a:ext>
            </a:extLst>
          </xdr:cNvPr>
          <xdr:cNvGrpSpPr/>
        </xdr:nvGrpSpPr>
        <xdr:grpSpPr>
          <a:xfrm>
            <a:off x="3038475" y="3171825"/>
            <a:ext cx="2362200" cy="676275"/>
            <a:chOff x="3657600" y="3400425"/>
            <a:chExt cx="2160477" cy="676275"/>
          </a:xfrm>
        </xdr:grpSpPr>
        <xdr:sp macro="" textlink="">
          <xdr:nvSpPr>
            <xdr:cNvPr id="52" name="Rectangle: Rounded Corners 51">
              <a:extLst>
                <a:ext uri="{FF2B5EF4-FFF2-40B4-BE49-F238E27FC236}">
                  <a16:creationId xmlns:a16="http://schemas.microsoft.com/office/drawing/2014/main" id="{E4324CD5-67E9-E346-20C3-12DCEB8BAA4C}"/>
                </a:ext>
              </a:extLst>
            </xdr:cNvPr>
            <xdr:cNvSpPr/>
          </xdr:nvSpPr>
          <xdr:spPr>
            <a:xfrm>
              <a:off x="3657600" y="3438525"/>
              <a:ext cx="2019300" cy="638175"/>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89E2582F-B44A-212C-F61B-3CAC70AE2F87}"/>
                </a:ext>
              </a:extLst>
            </xdr:cNvPr>
            <xdr:cNvSpPr/>
          </xdr:nvSpPr>
          <xdr:spPr>
            <a:xfrm>
              <a:off x="4206431" y="3457575"/>
              <a:ext cx="1460922" cy="590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54">
              <a:extLst>
                <a:ext uri="{FF2B5EF4-FFF2-40B4-BE49-F238E27FC236}">
                  <a16:creationId xmlns:a16="http://schemas.microsoft.com/office/drawing/2014/main" id="{3A3EA5B9-DB5D-2BB5-E6BD-4ADEDC344577}"/>
                </a:ext>
              </a:extLst>
            </xdr:cNvPr>
            <xdr:cNvSpPr/>
          </xdr:nvSpPr>
          <xdr:spPr>
            <a:xfrm>
              <a:off x="4238169" y="3400425"/>
              <a:ext cx="1579908" cy="276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u="sng">
                  <a:solidFill>
                    <a:schemeClr val="accent3">
                      <a:lumMod val="75000"/>
                    </a:schemeClr>
                  </a:solidFill>
                </a:rPr>
                <a:t>Total</a:t>
              </a:r>
              <a:r>
                <a:rPr lang="en-IN" sz="1200" b="1" u="sng" baseline="0">
                  <a:solidFill>
                    <a:schemeClr val="accent3">
                      <a:lumMod val="75000"/>
                    </a:schemeClr>
                  </a:solidFill>
                </a:rPr>
                <a:t> Stock (Current)</a:t>
              </a:r>
              <a:endParaRPr lang="en-IN" sz="1200" b="1" u="sng">
                <a:solidFill>
                  <a:schemeClr val="accent3">
                    <a:lumMod val="75000"/>
                  </a:schemeClr>
                </a:solidFill>
              </a:endParaRPr>
            </a:p>
          </xdr:txBody>
        </xdr:sp>
        <xdr:sp macro="" textlink="">
          <xdr:nvSpPr>
            <xdr:cNvPr id="56" name="Rectangle 55">
              <a:extLst>
                <a:ext uri="{FF2B5EF4-FFF2-40B4-BE49-F238E27FC236}">
                  <a16:creationId xmlns:a16="http://schemas.microsoft.com/office/drawing/2014/main" id="{2EDF7580-2E36-B95E-E2EE-CF7AB980A680}"/>
                </a:ext>
              </a:extLst>
            </xdr:cNvPr>
            <xdr:cNvSpPr/>
          </xdr:nvSpPr>
          <xdr:spPr>
            <a:xfrm>
              <a:off x="4314825" y="3609975"/>
              <a:ext cx="1266825"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lumMod val="50000"/>
                    </a:schemeClr>
                  </a:solidFill>
                  <a:effectLst/>
                  <a:latin typeface="+mn-lt"/>
                  <a:ea typeface="+mn-ea"/>
                  <a:cs typeface="+mn-cs"/>
                </a:rPr>
                <a:t>33828.622</a:t>
              </a:r>
              <a:r>
                <a:rPr lang="en-US" sz="1800" b="1">
                  <a:solidFill>
                    <a:schemeClr val="bg1">
                      <a:lumMod val="65000"/>
                    </a:schemeClr>
                  </a:solidFill>
                </a:rPr>
                <a:t> </a:t>
              </a:r>
              <a:r>
                <a:rPr lang="en-IN">
                  <a:solidFill>
                    <a:schemeClr val="tx1"/>
                  </a:solidFill>
                  <a:effectLst/>
                </a:rPr>
                <a:t>  </a:t>
              </a:r>
              <a:endParaRPr lang="en-US" sz="1100" b="1" i="0" u="none" strike="noStrike">
                <a:solidFill>
                  <a:schemeClr val="tx1"/>
                </a:solidFill>
                <a:latin typeface="Calibri"/>
                <a:ea typeface="Calibri"/>
                <a:cs typeface="Calibri"/>
              </a:endParaRPr>
            </a:p>
          </xdr:txBody>
        </xdr:sp>
      </xdr:grpSp>
      <xdr:pic>
        <xdr:nvPicPr>
          <xdr:cNvPr id="73" name="Graphic 72" descr="Bar chart with solid fill">
            <a:extLst>
              <a:ext uri="{FF2B5EF4-FFF2-40B4-BE49-F238E27FC236}">
                <a16:creationId xmlns:a16="http://schemas.microsoft.com/office/drawing/2014/main" id="{28668BF8-032B-445D-E850-38D0F8F095B4}"/>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3105150" y="3257550"/>
            <a:ext cx="495300" cy="495300"/>
          </a:xfrm>
          <a:prstGeom prst="rect">
            <a:avLst/>
          </a:prstGeom>
        </xdr:spPr>
      </xdr:pic>
    </xdr:grpSp>
    <xdr:clientData/>
  </xdr:twoCellAnchor>
  <xdr:twoCellAnchor>
    <xdr:from>
      <xdr:col>4</xdr:col>
      <xdr:colOff>95250</xdr:colOff>
      <xdr:row>15</xdr:row>
      <xdr:rowOff>33866</xdr:rowOff>
    </xdr:from>
    <xdr:to>
      <xdr:col>8</xdr:col>
      <xdr:colOff>19050</xdr:colOff>
      <xdr:row>18</xdr:row>
      <xdr:rowOff>138641</xdr:rowOff>
    </xdr:to>
    <xdr:grpSp>
      <xdr:nvGrpSpPr>
        <xdr:cNvPr id="75" name="Group 74">
          <a:extLst>
            <a:ext uri="{FF2B5EF4-FFF2-40B4-BE49-F238E27FC236}">
              <a16:creationId xmlns:a16="http://schemas.microsoft.com/office/drawing/2014/main" id="{6A3C3D12-2FA1-9520-FE50-B3FDCB1C366B}"/>
            </a:ext>
          </a:extLst>
        </xdr:cNvPr>
        <xdr:cNvGrpSpPr/>
      </xdr:nvGrpSpPr>
      <xdr:grpSpPr>
        <a:xfrm>
          <a:off x="2952750" y="2891366"/>
          <a:ext cx="2362200" cy="676275"/>
          <a:chOff x="3038475" y="3171825"/>
          <a:chExt cx="2362200" cy="676275"/>
        </a:xfrm>
      </xdr:grpSpPr>
      <xdr:grpSp>
        <xdr:nvGrpSpPr>
          <xdr:cNvPr id="76" name="Group 75">
            <a:extLst>
              <a:ext uri="{FF2B5EF4-FFF2-40B4-BE49-F238E27FC236}">
                <a16:creationId xmlns:a16="http://schemas.microsoft.com/office/drawing/2014/main" id="{49BD192D-47DD-F542-595E-01E0294A0066}"/>
              </a:ext>
            </a:extLst>
          </xdr:cNvPr>
          <xdr:cNvGrpSpPr/>
        </xdr:nvGrpSpPr>
        <xdr:grpSpPr>
          <a:xfrm>
            <a:off x="3038475" y="3171825"/>
            <a:ext cx="2362200" cy="676275"/>
            <a:chOff x="3657600" y="3400425"/>
            <a:chExt cx="2160477" cy="676275"/>
          </a:xfrm>
        </xdr:grpSpPr>
        <xdr:sp macro="" textlink="">
          <xdr:nvSpPr>
            <xdr:cNvPr id="78" name="Rectangle: Rounded Corners 77">
              <a:extLst>
                <a:ext uri="{FF2B5EF4-FFF2-40B4-BE49-F238E27FC236}">
                  <a16:creationId xmlns:a16="http://schemas.microsoft.com/office/drawing/2014/main" id="{3905FF53-597E-9A32-F73D-F1BF9ECCC70A}"/>
                </a:ext>
              </a:extLst>
            </xdr:cNvPr>
            <xdr:cNvSpPr/>
          </xdr:nvSpPr>
          <xdr:spPr>
            <a:xfrm>
              <a:off x="3657600" y="3438525"/>
              <a:ext cx="2019300" cy="638175"/>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 name="Rectangle: Rounded Corners 78">
              <a:extLst>
                <a:ext uri="{FF2B5EF4-FFF2-40B4-BE49-F238E27FC236}">
                  <a16:creationId xmlns:a16="http://schemas.microsoft.com/office/drawing/2014/main" id="{64B0A3E4-065E-346F-6993-C6CFA12E2C7E}"/>
                </a:ext>
              </a:extLst>
            </xdr:cNvPr>
            <xdr:cNvSpPr/>
          </xdr:nvSpPr>
          <xdr:spPr>
            <a:xfrm>
              <a:off x="4206431" y="3457575"/>
              <a:ext cx="1460922" cy="590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0" name="Rectangle 79">
              <a:extLst>
                <a:ext uri="{FF2B5EF4-FFF2-40B4-BE49-F238E27FC236}">
                  <a16:creationId xmlns:a16="http://schemas.microsoft.com/office/drawing/2014/main" id="{DD6CA77E-AFE7-A834-E6F9-72C0666AD622}"/>
                </a:ext>
              </a:extLst>
            </xdr:cNvPr>
            <xdr:cNvSpPr/>
          </xdr:nvSpPr>
          <xdr:spPr>
            <a:xfrm>
              <a:off x="4238169" y="3400425"/>
              <a:ext cx="1579908" cy="276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u="sng">
                  <a:solidFill>
                    <a:schemeClr val="accent3">
                      <a:lumMod val="75000"/>
                    </a:schemeClr>
                  </a:solidFill>
                </a:rPr>
                <a:t>Total</a:t>
              </a:r>
              <a:r>
                <a:rPr lang="en-IN" sz="1200" b="1" u="sng" baseline="0">
                  <a:solidFill>
                    <a:schemeClr val="accent3">
                      <a:lumMod val="75000"/>
                    </a:schemeClr>
                  </a:solidFill>
                </a:rPr>
                <a:t> Stock (Previous)</a:t>
              </a:r>
              <a:endParaRPr lang="en-IN" sz="1200" b="1" u="sng">
                <a:solidFill>
                  <a:schemeClr val="accent3">
                    <a:lumMod val="75000"/>
                  </a:schemeClr>
                </a:solidFill>
              </a:endParaRPr>
            </a:p>
          </xdr:txBody>
        </xdr:sp>
        <xdr:sp macro="" textlink="">
          <xdr:nvSpPr>
            <xdr:cNvPr id="81" name="Rectangle 80">
              <a:extLst>
                <a:ext uri="{FF2B5EF4-FFF2-40B4-BE49-F238E27FC236}">
                  <a16:creationId xmlns:a16="http://schemas.microsoft.com/office/drawing/2014/main" id="{0E0E064A-F038-C4F8-F344-2B71D1699F3B}"/>
                </a:ext>
              </a:extLst>
            </xdr:cNvPr>
            <xdr:cNvSpPr/>
          </xdr:nvSpPr>
          <xdr:spPr>
            <a:xfrm>
              <a:off x="4314825" y="3609975"/>
              <a:ext cx="1266825"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lumMod val="50000"/>
                    </a:schemeClr>
                  </a:solidFill>
                  <a:effectLst/>
                  <a:latin typeface="+mn-lt"/>
                  <a:ea typeface="+mn-ea"/>
                  <a:cs typeface="+mn-cs"/>
                </a:rPr>
                <a:t>32930.338</a:t>
              </a:r>
              <a:r>
                <a:rPr lang="en-US" sz="1800" b="1">
                  <a:solidFill>
                    <a:schemeClr val="bg1">
                      <a:lumMod val="50000"/>
                    </a:schemeClr>
                  </a:solidFill>
                </a:rPr>
                <a:t> </a:t>
              </a:r>
              <a:r>
                <a:rPr lang="en-IN" sz="1800">
                  <a:solidFill>
                    <a:schemeClr val="bg1">
                      <a:lumMod val="50000"/>
                    </a:schemeClr>
                  </a:solidFill>
                  <a:effectLst/>
                </a:rPr>
                <a:t> </a:t>
              </a:r>
              <a:r>
                <a:rPr lang="en-IN">
                  <a:solidFill>
                    <a:schemeClr val="tx1"/>
                  </a:solidFill>
                  <a:effectLst/>
                </a:rPr>
                <a:t>  </a:t>
              </a:r>
              <a:endParaRPr lang="en-US" sz="1100" b="1" i="0" u="none" strike="noStrike">
                <a:solidFill>
                  <a:schemeClr val="tx1"/>
                </a:solidFill>
                <a:latin typeface="Calibri"/>
                <a:ea typeface="Calibri"/>
                <a:cs typeface="Calibri"/>
              </a:endParaRPr>
            </a:p>
          </xdr:txBody>
        </xdr:sp>
      </xdr:grpSp>
      <xdr:pic>
        <xdr:nvPicPr>
          <xdr:cNvPr id="77" name="Graphic 76" descr="Bar chart with solid fill">
            <a:extLst>
              <a:ext uri="{FF2B5EF4-FFF2-40B4-BE49-F238E27FC236}">
                <a16:creationId xmlns:a16="http://schemas.microsoft.com/office/drawing/2014/main" id="{FE2335F6-FF8B-DB92-B481-2738A6505E81}"/>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3105150" y="3257550"/>
            <a:ext cx="495300" cy="495300"/>
          </a:xfrm>
          <a:prstGeom prst="rect">
            <a:avLst/>
          </a:prstGeom>
        </xdr:spPr>
      </xdr:pic>
    </xdr:grpSp>
    <xdr:clientData/>
  </xdr:twoCellAnchor>
  <xdr:twoCellAnchor>
    <xdr:from>
      <xdr:col>7</xdr:col>
      <xdr:colOff>314324</xdr:colOff>
      <xdr:row>11</xdr:row>
      <xdr:rowOff>93133</xdr:rowOff>
    </xdr:from>
    <xdr:to>
      <xdr:col>11</xdr:col>
      <xdr:colOff>83765</xdr:colOff>
      <xdr:row>15</xdr:row>
      <xdr:rowOff>7408</xdr:rowOff>
    </xdr:to>
    <xdr:grpSp>
      <xdr:nvGrpSpPr>
        <xdr:cNvPr id="90" name="Group 89">
          <a:extLst>
            <a:ext uri="{FF2B5EF4-FFF2-40B4-BE49-F238E27FC236}">
              <a16:creationId xmlns:a16="http://schemas.microsoft.com/office/drawing/2014/main" id="{01E7263D-C83D-4A70-E0DC-9294BDDD96A6}"/>
            </a:ext>
          </a:extLst>
        </xdr:cNvPr>
        <xdr:cNvGrpSpPr/>
      </xdr:nvGrpSpPr>
      <xdr:grpSpPr>
        <a:xfrm>
          <a:off x="5000624" y="2188633"/>
          <a:ext cx="2207841" cy="676275"/>
          <a:chOff x="3038474" y="3171825"/>
          <a:chExt cx="2207841" cy="676275"/>
        </a:xfrm>
      </xdr:grpSpPr>
      <xdr:grpSp>
        <xdr:nvGrpSpPr>
          <xdr:cNvPr id="91" name="Group 90">
            <a:extLst>
              <a:ext uri="{FF2B5EF4-FFF2-40B4-BE49-F238E27FC236}">
                <a16:creationId xmlns:a16="http://schemas.microsoft.com/office/drawing/2014/main" id="{97FB6BF4-6FA5-923E-5AAD-8E0607634A24}"/>
              </a:ext>
            </a:extLst>
          </xdr:cNvPr>
          <xdr:cNvGrpSpPr/>
        </xdr:nvGrpSpPr>
        <xdr:grpSpPr>
          <a:xfrm>
            <a:off x="3038474" y="3171825"/>
            <a:ext cx="2207841" cy="676275"/>
            <a:chOff x="3657600" y="3400425"/>
            <a:chExt cx="2019300" cy="676275"/>
          </a:xfrm>
        </xdr:grpSpPr>
        <xdr:sp macro="" textlink="">
          <xdr:nvSpPr>
            <xdr:cNvPr id="93" name="Rectangle: Rounded Corners 92">
              <a:extLst>
                <a:ext uri="{FF2B5EF4-FFF2-40B4-BE49-F238E27FC236}">
                  <a16:creationId xmlns:a16="http://schemas.microsoft.com/office/drawing/2014/main" id="{39D82C1A-17F8-7570-F1D9-5A1F362B0F57}"/>
                </a:ext>
              </a:extLst>
            </xdr:cNvPr>
            <xdr:cNvSpPr/>
          </xdr:nvSpPr>
          <xdr:spPr>
            <a:xfrm>
              <a:off x="3657600" y="3438525"/>
              <a:ext cx="2019300" cy="638175"/>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4" name="Rectangle: Rounded Corners 93">
              <a:extLst>
                <a:ext uri="{FF2B5EF4-FFF2-40B4-BE49-F238E27FC236}">
                  <a16:creationId xmlns:a16="http://schemas.microsoft.com/office/drawing/2014/main" id="{4DD07859-6AB9-F705-20C5-125F052E6803}"/>
                </a:ext>
              </a:extLst>
            </xdr:cNvPr>
            <xdr:cNvSpPr/>
          </xdr:nvSpPr>
          <xdr:spPr>
            <a:xfrm>
              <a:off x="4206431" y="3457575"/>
              <a:ext cx="1460922" cy="590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5" name="Rectangle 94">
              <a:extLst>
                <a:ext uri="{FF2B5EF4-FFF2-40B4-BE49-F238E27FC236}">
                  <a16:creationId xmlns:a16="http://schemas.microsoft.com/office/drawing/2014/main" id="{B3A40F11-FA1F-D455-E5BB-68E6E902ADCE}"/>
                </a:ext>
              </a:extLst>
            </xdr:cNvPr>
            <xdr:cNvSpPr/>
          </xdr:nvSpPr>
          <xdr:spPr>
            <a:xfrm>
              <a:off x="4398087" y="3400425"/>
              <a:ext cx="1088948" cy="276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u="sng">
                  <a:solidFill>
                    <a:schemeClr val="accent3">
                      <a:lumMod val="75000"/>
                    </a:schemeClr>
                  </a:solidFill>
                </a:rPr>
                <a:t>181+ </a:t>
              </a:r>
              <a:r>
                <a:rPr lang="en-IN" sz="1200" b="1" u="sng" baseline="0">
                  <a:solidFill>
                    <a:schemeClr val="accent3">
                      <a:lumMod val="75000"/>
                    </a:schemeClr>
                  </a:solidFill>
                </a:rPr>
                <a:t>(Current)</a:t>
              </a:r>
              <a:endParaRPr lang="en-IN" sz="1200" b="1" u="sng">
                <a:solidFill>
                  <a:schemeClr val="accent3">
                    <a:lumMod val="75000"/>
                  </a:schemeClr>
                </a:solidFill>
              </a:endParaRPr>
            </a:p>
          </xdr:txBody>
        </xdr:sp>
        <xdr:sp macro="" textlink="">
          <xdr:nvSpPr>
            <xdr:cNvPr id="96" name="Rectangle 95">
              <a:extLst>
                <a:ext uri="{FF2B5EF4-FFF2-40B4-BE49-F238E27FC236}">
                  <a16:creationId xmlns:a16="http://schemas.microsoft.com/office/drawing/2014/main" id="{DEC3B95C-3AFD-AB5B-F2CD-BFCABE282DCC}"/>
                </a:ext>
              </a:extLst>
            </xdr:cNvPr>
            <xdr:cNvSpPr/>
          </xdr:nvSpPr>
          <xdr:spPr>
            <a:xfrm>
              <a:off x="4450357" y="3609975"/>
              <a:ext cx="984411"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lumMod val="50000"/>
                    </a:schemeClr>
                  </a:solidFill>
                  <a:effectLst/>
                  <a:latin typeface="+mn-lt"/>
                  <a:ea typeface="+mn-ea"/>
                  <a:cs typeface="+mn-cs"/>
                </a:rPr>
                <a:t>4101.311</a:t>
              </a:r>
              <a:r>
                <a:rPr lang="en-US" sz="1800" b="1">
                  <a:solidFill>
                    <a:schemeClr val="bg1">
                      <a:lumMod val="50000"/>
                    </a:schemeClr>
                  </a:solidFill>
                </a:rPr>
                <a:t> </a:t>
              </a:r>
              <a:r>
                <a:rPr lang="en-IN" sz="1800">
                  <a:solidFill>
                    <a:schemeClr val="bg1">
                      <a:lumMod val="50000"/>
                    </a:schemeClr>
                  </a:solidFill>
                  <a:effectLst/>
                </a:rPr>
                <a:t>  </a:t>
              </a:r>
              <a:r>
                <a:rPr lang="en-IN">
                  <a:solidFill>
                    <a:schemeClr val="tx1"/>
                  </a:solidFill>
                  <a:effectLst/>
                </a:rPr>
                <a:t>  </a:t>
              </a:r>
              <a:endParaRPr lang="en-US" sz="1100" b="1" i="0" u="none" strike="noStrike">
                <a:solidFill>
                  <a:schemeClr val="tx1"/>
                </a:solidFill>
                <a:latin typeface="Calibri"/>
                <a:ea typeface="Calibri"/>
                <a:cs typeface="Calibri"/>
              </a:endParaRPr>
            </a:p>
          </xdr:txBody>
        </xdr:sp>
      </xdr:grpSp>
      <xdr:pic>
        <xdr:nvPicPr>
          <xdr:cNvPr id="92" name="Graphic 91" descr="Bar chart with solid fill">
            <a:extLst>
              <a:ext uri="{FF2B5EF4-FFF2-40B4-BE49-F238E27FC236}">
                <a16:creationId xmlns:a16="http://schemas.microsoft.com/office/drawing/2014/main" id="{E68A4C86-3F83-7FFA-464E-0CD92370786A}"/>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3105150" y="3257550"/>
            <a:ext cx="495300" cy="495300"/>
          </a:xfrm>
          <a:prstGeom prst="rect">
            <a:avLst/>
          </a:prstGeom>
        </xdr:spPr>
      </xdr:pic>
    </xdr:grpSp>
    <xdr:clientData/>
  </xdr:twoCellAnchor>
  <xdr:twoCellAnchor>
    <xdr:from>
      <xdr:col>7</xdr:col>
      <xdr:colOff>314324</xdr:colOff>
      <xdr:row>18</xdr:row>
      <xdr:rowOff>165100</xdr:rowOff>
    </xdr:from>
    <xdr:to>
      <xdr:col>11</xdr:col>
      <xdr:colOff>83765</xdr:colOff>
      <xdr:row>22</xdr:row>
      <xdr:rowOff>79375</xdr:rowOff>
    </xdr:to>
    <xdr:grpSp>
      <xdr:nvGrpSpPr>
        <xdr:cNvPr id="104" name="Group 103">
          <a:extLst>
            <a:ext uri="{FF2B5EF4-FFF2-40B4-BE49-F238E27FC236}">
              <a16:creationId xmlns:a16="http://schemas.microsoft.com/office/drawing/2014/main" id="{44B9FFD4-17E7-313A-DFBE-65CB78324447}"/>
            </a:ext>
          </a:extLst>
        </xdr:cNvPr>
        <xdr:cNvGrpSpPr/>
      </xdr:nvGrpSpPr>
      <xdr:grpSpPr>
        <a:xfrm>
          <a:off x="5000624" y="3594100"/>
          <a:ext cx="2207841" cy="676275"/>
          <a:chOff x="3038474" y="3171825"/>
          <a:chExt cx="2207841" cy="676275"/>
        </a:xfrm>
      </xdr:grpSpPr>
      <xdr:grpSp>
        <xdr:nvGrpSpPr>
          <xdr:cNvPr id="105" name="Group 104">
            <a:extLst>
              <a:ext uri="{FF2B5EF4-FFF2-40B4-BE49-F238E27FC236}">
                <a16:creationId xmlns:a16="http://schemas.microsoft.com/office/drawing/2014/main" id="{078C6FDB-81E6-D9BE-8F4F-66B01CB24376}"/>
              </a:ext>
            </a:extLst>
          </xdr:cNvPr>
          <xdr:cNvGrpSpPr/>
        </xdr:nvGrpSpPr>
        <xdr:grpSpPr>
          <a:xfrm>
            <a:off x="3038474" y="3171825"/>
            <a:ext cx="2207841" cy="676275"/>
            <a:chOff x="3657600" y="3400425"/>
            <a:chExt cx="2019300" cy="676275"/>
          </a:xfrm>
        </xdr:grpSpPr>
        <xdr:sp macro="" textlink="">
          <xdr:nvSpPr>
            <xdr:cNvPr id="107" name="Rectangle: Rounded Corners 106">
              <a:extLst>
                <a:ext uri="{FF2B5EF4-FFF2-40B4-BE49-F238E27FC236}">
                  <a16:creationId xmlns:a16="http://schemas.microsoft.com/office/drawing/2014/main" id="{5808DCA1-8BB6-51D6-6266-20278372EAC1}"/>
                </a:ext>
              </a:extLst>
            </xdr:cNvPr>
            <xdr:cNvSpPr/>
          </xdr:nvSpPr>
          <xdr:spPr>
            <a:xfrm>
              <a:off x="3657600" y="3438525"/>
              <a:ext cx="2019300" cy="638175"/>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8" name="Rectangle: Rounded Corners 107">
              <a:extLst>
                <a:ext uri="{FF2B5EF4-FFF2-40B4-BE49-F238E27FC236}">
                  <a16:creationId xmlns:a16="http://schemas.microsoft.com/office/drawing/2014/main" id="{B6213FE6-62DC-4BF6-2D05-73D0E411D265}"/>
                </a:ext>
              </a:extLst>
            </xdr:cNvPr>
            <xdr:cNvSpPr/>
          </xdr:nvSpPr>
          <xdr:spPr>
            <a:xfrm>
              <a:off x="4206431" y="3457575"/>
              <a:ext cx="1460922" cy="590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9" name="Rectangle 108">
              <a:extLst>
                <a:ext uri="{FF2B5EF4-FFF2-40B4-BE49-F238E27FC236}">
                  <a16:creationId xmlns:a16="http://schemas.microsoft.com/office/drawing/2014/main" id="{9B2CB6E5-A843-E588-F216-AFED3E46AFB9}"/>
                </a:ext>
              </a:extLst>
            </xdr:cNvPr>
            <xdr:cNvSpPr/>
          </xdr:nvSpPr>
          <xdr:spPr>
            <a:xfrm>
              <a:off x="4398087" y="3400425"/>
              <a:ext cx="1088948" cy="276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u="sng">
                  <a:solidFill>
                    <a:schemeClr val="accent3">
                      <a:lumMod val="75000"/>
                    </a:schemeClr>
                  </a:solidFill>
                </a:rPr>
                <a:t>181+ </a:t>
              </a:r>
              <a:r>
                <a:rPr lang="en-IN" sz="1200" b="1" u="sng" baseline="0">
                  <a:solidFill>
                    <a:schemeClr val="accent3">
                      <a:lumMod val="75000"/>
                    </a:schemeClr>
                  </a:solidFill>
                </a:rPr>
                <a:t>(Previous)</a:t>
              </a:r>
              <a:endParaRPr lang="en-IN" sz="1200" b="1" u="sng">
                <a:solidFill>
                  <a:schemeClr val="accent3">
                    <a:lumMod val="75000"/>
                  </a:schemeClr>
                </a:solidFill>
              </a:endParaRPr>
            </a:p>
          </xdr:txBody>
        </xdr:sp>
        <xdr:sp macro="" textlink="">
          <xdr:nvSpPr>
            <xdr:cNvPr id="110" name="Rectangle 109">
              <a:extLst>
                <a:ext uri="{FF2B5EF4-FFF2-40B4-BE49-F238E27FC236}">
                  <a16:creationId xmlns:a16="http://schemas.microsoft.com/office/drawing/2014/main" id="{4998E2E4-CDC5-5850-9C07-49F1C97C3DBA}"/>
                </a:ext>
              </a:extLst>
            </xdr:cNvPr>
            <xdr:cNvSpPr/>
          </xdr:nvSpPr>
          <xdr:spPr>
            <a:xfrm>
              <a:off x="4450357" y="3609975"/>
              <a:ext cx="984411"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lumMod val="50000"/>
                    </a:schemeClr>
                  </a:solidFill>
                  <a:effectLst/>
                  <a:latin typeface="+mn-lt"/>
                  <a:ea typeface="+mn-ea"/>
                  <a:cs typeface="+mn-cs"/>
                </a:rPr>
                <a:t>4167.602</a:t>
              </a:r>
              <a:r>
                <a:rPr lang="en-US" sz="1800" b="1">
                  <a:solidFill>
                    <a:schemeClr val="bg1">
                      <a:lumMod val="50000"/>
                    </a:schemeClr>
                  </a:solidFill>
                </a:rPr>
                <a:t> </a:t>
              </a:r>
              <a:r>
                <a:rPr lang="en-IN" sz="1800" b="1">
                  <a:solidFill>
                    <a:schemeClr val="bg1">
                      <a:lumMod val="50000"/>
                    </a:schemeClr>
                  </a:solidFill>
                  <a:effectLst/>
                </a:rPr>
                <a:t> </a:t>
              </a:r>
              <a:r>
                <a:rPr lang="en-IN" sz="1800">
                  <a:solidFill>
                    <a:schemeClr val="bg1">
                      <a:lumMod val="50000"/>
                    </a:schemeClr>
                  </a:solidFill>
                  <a:effectLst/>
                </a:rPr>
                <a:t>  </a:t>
              </a:r>
              <a:r>
                <a:rPr lang="en-IN">
                  <a:solidFill>
                    <a:schemeClr val="tx1"/>
                  </a:solidFill>
                  <a:effectLst/>
                </a:rPr>
                <a:t>  </a:t>
              </a:r>
              <a:endParaRPr lang="en-US" sz="1100" b="1" i="0" u="none" strike="noStrike">
                <a:solidFill>
                  <a:schemeClr val="tx1"/>
                </a:solidFill>
                <a:latin typeface="Calibri"/>
                <a:ea typeface="Calibri"/>
                <a:cs typeface="Calibri"/>
              </a:endParaRPr>
            </a:p>
          </xdr:txBody>
        </xdr:sp>
      </xdr:grpSp>
      <xdr:pic>
        <xdr:nvPicPr>
          <xdr:cNvPr id="106" name="Graphic 105" descr="Bar chart with solid fill">
            <a:extLst>
              <a:ext uri="{FF2B5EF4-FFF2-40B4-BE49-F238E27FC236}">
                <a16:creationId xmlns:a16="http://schemas.microsoft.com/office/drawing/2014/main" id="{5F548CCB-D8A9-8650-0326-7725B194046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3105150" y="3257550"/>
            <a:ext cx="495300" cy="495300"/>
          </a:xfrm>
          <a:prstGeom prst="rect">
            <a:avLst/>
          </a:prstGeom>
        </xdr:spPr>
      </xdr:pic>
    </xdr:grpSp>
    <xdr:clientData/>
  </xdr:twoCellAnchor>
  <xdr:twoCellAnchor>
    <xdr:from>
      <xdr:col>11</xdr:col>
      <xdr:colOff>295275</xdr:colOff>
      <xdr:row>4</xdr:row>
      <xdr:rowOff>114300</xdr:rowOff>
    </xdr:from>
    <xdr:to>
      <xdr:col>27</xdr:col>
      <xdr:colOff>390525</xdr:colOff>
      <xdr:row>19</xdr:row>
      <xdr:rowOff>0</xdr:rowOff>
    </xdr:to>
    <xdr:graphicFrame macro="">
      <xdr:nvGraphicFramePr>
        <xdr:cNvPr id="59" name="Chart 58">
          <a:extLst>
            <a:ext uri="{FF2B5EF4-FFF2-40B4-BE49-F238E27FC236}">
              <a16:creationId xmlns:a16="http://schemas.microsoft.com/office/drawing/2014/main" id="{163AA42E-25D5-4C3A-9A47-8106EC9B1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11</xdr:col>
      <xdr:colOff>295275</xdr:colOff>
      <xdr:row>19</xdr:row>
      <xdr:rowOff>66674</xdr:rowOff>
    </xdr:from>
    <xdr:to>
      <xdr:col>27</xdr:col>
      <xdr:colOff>390525</xdr:colOff>
      <xdr:row>34</xdr:row>
      <xdr:rowOff>133349</xdr:rowOff>
    </xdr:to>
    <xdr:graphicFrame macro="">
      <xdr:nvGraphicFramePr>
        <xdr:cNvPr id="60" name="Chart 59">
          <a:extLst>
            <a:ext uri="{FF2B5EF4-FFF2-40B4-BE49-F238E27FC236}">
              <a16:creationId xmlns:a16="http://schemas.microsoft.com/office/drawing/2014/main" id="{04FA5EE3-43D0-41BC-9CDE-AAF3C76C5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3" name="Group 22">
          <a:extLst>
            <a:ext uri="{FF2B5EF4-FFF2-40B4-BE49-F238E27FC236}">
              <a16:creationId xmlns:a16="http://schemas.microsoft.com/office/drawing/2014/main" id="{8A76F84C-B739-4222-88E7-0AE977AA22AA}"/>
            </a:ext>
          </a:extLst>
        </xdr:cNvPr>
        <xdr:cNvGrpSpPr/>
      </xdr:nvGrpSpPr>
      <xdr:grpSpPr>
        <a:xfrm>
          <a:off x="0" y="0"/>
          <a:ext cx="2514600" cy="7562850"/>
          <a:chOff x="9525" y="0"/>
          <a:chExt cx="2514600" cy="7515225"/>
        </a:xfrm>
      </xdr:grpSpPr>
      <xdr:sp macro="" textlink="">
        <xdr:nvSpPr>
          <xdr:cNvPr id="24" name="Rectangle: Rounded Corners 23">
            <a:extLst>
              <a:ext uri="{FF2B5EF4-FFF2-40B4-BE49-F238E27FC236}">
                <a16:creationId xmlns:a16="http://schemas.microsoft.com/office/drawing/2014/main" id="{C53215D6-EF3E-0866-F159-9D6B50C41B85}"/>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6EE99A23-2B53-EAEC-6CC7-14ECBA655292}"/>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26" name="Rectangle: Rounded Corners 25">
            <a:extLst>
              <a:ext uri="{FF2B5EF4-FFF2-40B4-BE49-F238E27FC236}">
                <a16:creationId xmlns:a16="http://schemas.microsoft.com/office/drawing/2014/main" id="{37A422F2-6435-25B2-EBC6-1D5A2672B69C}"/>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27" name="Rectangle: Rounded Corners 26">
            <a:hlinkClick xmlns:r="http://schemas.openxmlformats.org/officeDocument/2006/relationships" r:id="rId1"/>
            <a:extLst>
              <a:ext uri="{FF2B5EF4-FFF2-40B4-BE49-F238E27FC236}">
                <a16:creationId xmlns:a16="http://schemas.microsoft.com/office/drawing/2014/main" id="{1EB9A1E5-9137-4A55-AB0E-58A4FA91C354}"/>
              </a:ext>
            </a:extLst>
          </xdr:cNvPr>
          <xdr:cNvSpPr/>
        </xdr:nvSpPr>
        <xdr:spPr>
          <a:xfrm>
            <a:off x="161924" y="1190625"/>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North</a:t>
            </a:r>
            <a:r>
              <a:rPr lang="en-IN" sz="1100" b="1" baseline="0"/>
              <a:t> 24 Pgs</a:t>
            </a:r>
            <a:endParaRPr lang="en-IN" sz="1100" b="1"/>
          </a:p>
        </xdr:txBody>
      </xdr:sp>
      <xdr:sp macro="" textlink="">
        <xdr:nvSpPr>
          <xdr:cNvPr id="28" name="Rectangle: Rounded Corners 27">
            <a:hlinkClick xmlns:r="http://schemas.openxmlformats.org/officeDocument/2006/relationships" r:id="rId2"/>
            <a:extLst>
              <a:ext uri="{FF2B5EF4-FFF2-40B4-BE49-F238E27FC236}">
                <a16:creationId xmlns:a16="http://schemas.microsoft.com/office/drawing/2014/main" id="{4066C2ED-73B7-1850-32E6-6FA14A0EA5B5}"/>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3EE46198-A42C-87EC-5D62-956CE2898A10}"/>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30" name="Rectangle: Rounded Corners 29">
            <a:hlinkClick xmlns:r="http://schemas.openxmlformats.org/officeDocument/2006/relationships" r:id="rId4"/>
            <a:extLst>
              <a:ext uri="{FF2B5EF4-FFF2-40B4-BE49-F238E27FC236}">
                <a16:creationId xmlns:a16="http://schemas.microsoft.com/office/drawing/2014/main" id="{DC19141A-95AA-8473-21A4-9B2115AC6E89}"/>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31" name="Rectangle: Rounded Corners 30">
            <a:hlinkClick xmlns:r="http://schemas.openxmlformats.org/officeDocument/2006/relationships" r:id="rId5"/>
            <a:extLst>
              <a:ext uri="{FF2B5EF4-FFF2-40B4-BE49-F238E27FC236}">
                <a16:creationId xmlns:a16="http://schemas.microsoft.com/office/drawing/2014/main" id="{6DEA0CA4-7E9B-7885-4744-83A07FDB3047}"/>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32" name="Rectangle: Rounded Corners 31">
            <a:hlinkClick xmlns:r="http://schemas.openxmlformats.org/officeDocument/2006/relationships" r:id="rId6"/>
            <a:extLst>
              <a:ext uri="{FF2B5EF4-FFF2-40B4-BE49-F238E27FC236}">
                <a16:creationId xmlns:a16="http://schemas.microsoft.com/office/drawing/2014/main" id="{FB9120EF-AE39-BC43-5198-8679570C5129}"/>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33" name="Rectangle: Rounded Corners 32">
            <a:hlinkClick xmlns:r="http://schemas.openxmlformats.org/officeDocument/2006/relationships" r:id="rId7"/>
            <a:extLst>
              <a:ext uri="{FF2B5EF4-FFF2-40B4-BE49-F238E27FC236}">
                <a16:creationId xmlns:a16="http://schemas.microsoft.com/office/drawing/2014/main" id="{EEB0EDF3-CBCA-9809-412C-A5189F88759C}"/>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34" name="Rectangle: Rounded Corners 33">
            <a:hlinkClick xmlns:r="http://schemas.openxmlformats.org/officeDocument/2006/relationships" r:id="rId8"/>
            <a:extLst>
              <a:ext uri="{FF2B5EF4-FFF2-40B4-BE49-F238E27FC236}">
                <a16:creationId xmlns:a16="http://schemas.microsoft.com/office/drawing/2014/main" id="{898B4532-E352-E247-C53A-C2BF3C6640DE}"/>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35" name="Rectangle: Rounded Corners 34">
            <a:hlinkClick xmlns:r="http://schemas.openxmlformats.org/officeDocument/2006/relationships" r:id="rId9"/>
            <a:extLst>
              <a:ext uri="{FF2B5EF4-FFF2-40B4-BE49-F238E27FC236}">
                <a16:creationId xmlns:a16="http://schemas.microsoft.com/office/drawing/2014/main" id="{536A2CE2-4C9F-4270-5072-5DF29E02175F}"/>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36" name="Rectangle: Rounded Corners 35">
            <a:hlinkClick xmlns:r="http://schemas.openxmlformats.org/officeDocument/2006/relationships" r:id="rId10"/>
            <a:extLst>
              <a:ext uri="{FF2B5EF4-FFF2-40B4-BE49-F238E27FC236}">
                <a16:creationId xmlns:a16="http://schemas.microsoft.com/office/drawing/2014/main" id="{15BF8DB4-FCC8-245A-2E4F-42102E087047}"/>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37" name="Rectangle: Rounded Corners 36">
            <a:hlinkClick xmlns:r="http://schemas.openxmlformats.org/officeDocument/2006/relationships" r:id="rId11"/>
            <a:extLst>
              <a:ext uri="{FF2B5EF4-FFF2-40B4-BE49-F238E27FC236}">
                <a16:creationId xmlns:a16="http://schemas.microsoft.com/office/drawing/2014/main" id="{94D7FFD1-31F6-3359-C98F-021732B2F043}"/>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38" name="Rectangle: Rounded Corners 37">
            <a:hlinkClick xmlns:r="http://schemas.openxmlformats.org/officeDocument/2006/relationships" r:id="rId12"/>
            <a:extLst>
              <a:ext uri="{FF2B5EF4-FFF2-40B4-BE49-F238E27FC236}">
                <a16:creationId xmlns:a16="http://schemas.microsoft.com/office/drawing/2014/main" id="{4B85F7CB-706E-EAF5-0FFF-AE9C8321F0DE}"/>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39" name="Rectangle: Rounded Corners 38">
            <a:hlinkClick xmlns:r="http://schemas.openxmlformats.org/officeDocument/2006/relationships" r:id="rId13"/>
            <a:extLst>
              <a:ext uri="{FF2B5EF4-FFF2-40B4-BE49-F238E27FC236}">
                <a16:creationId xmlns:a16="http://schemas.microsoft.com/office/drawing/2014/main" id="{5D45CB16-0217-11EB-37B1-AACCF0A5576F}"/>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40" name="Rectangle: Rounded Corners 39">
            <a:hlinkClick xmlns:r="http://schemas.openxmlformats.org/officeDocument/2006/relationships" r:id="rId14"/>
            <a:extLst>
              <a:ext uri="{FF2B5EF4-FFF2-40B4-BE49-F238E27FC236}">
                <a16:creationId xmlns:a16="http://schemas.microsoft.com/office/drawing/2014/main" id="{94C18DF2-EC97-E16C-3368-64C2D4223B2A}"/>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41" name="Rectangle: Rounded Corners 40">
            <a:hlinkClick xmlns:r="http://schemas.openxmlformats.org/officeDocument/2006/relationships" r:id="rId15"/>
            <a:extLst>
              <a:ext uri="{FF2B5EF4-FFF2-40B4-BE49-F238E27FC236}">
                <a16:creationId xmlns:a16="http://schemas.microsoft.com/office/drawing/2014/main" id="{EFE043E4-0347-5035-7FF3-1BFEF97F7BEF}"/>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42" name="Rectangle: Rounded Corners 41">
            <a:hlinkClick xmlns:r="http://schemas.openxmlformats.org/officeDocument/2006/relationships" r:id="rId16"/>
            <a:extLst>
              <a:ext uri="{FF2B5EF4-FFF2-40B4-BE49-F238E27FC236}">
                <a16:creationId xmlns:a16="http://schemas.microsoft.com/office/drawing/2014/main" id="{377658D7-2BCA-49D4-0F5B-31723F4D2F3B}"/>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43" name="Rectangle: Rounded Corners 42">
            <a:hlinkClick xmlns:r="http://schemas.openxmlformats.org/officeDocument/2006/relationships" r:id="rId17"/>
            <a:extLst>
              <a:ext uri="{FF2B5EF4-FFF2-40B4-BE49-F238E27FC236}">
                <a16:creationId xmlns:a16="http://schemas.microsoft.com/office/drawing/2014/main" id="{99A88C93-AC6C-E48B-29C6-62F71744B969}"/>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44" name="Rectangle: Rounded Corners 43">
            <a:hlinkClick xmlns:r="http://schemas.openxmlformats.org/officeDocument/2006/relationships" r:id="rId18"/>
            <a:extLst>
              <a:ext uri="{FF2B5EF4-FFF2-40B4-BE49-F238E27FC236}">
                <a16:creationId xmlns:a16="http://schemas.microsoft.com/office/drawing/2014/main" id="{2CABE91E-A27F-0C24-DBD5-3D63BDA21090}"/>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45" name="Graphic 44" descr="Home with solid fill">
            <a:hlinkClick xmlns:r="http://schemas.openxmlformats.org/officeDocument/2006/relationships" r:id="rId18"/>
            <a:extLst>
              <a:ext uri="{FF2B5EF4-FFF2-40B4-BE49-F238E27FC236}">
                <a16:creationId xmlns:a16="http://schemas.microsoft.com/office/drawing/2014/main" id="{CE31EE5C-FD4A-E5D2-833E-11EA78B7E53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609599</xdr:colOff>
      <xdr:row>3</xdr:row>
      <xdr:rowOff>47625</xdr:rowOff>
    </xdr:from>
    <xdr:to>
      <xdr:col>2</xdr:col>
      <xdr:colOff>371474</xdr:colOff>
      <xdr:row>35</xdr:row>
      <xdr:rowOff>57150</xdr:rowOff>
    </xdr:to>
    <xdr:grpSp>
      <xdr:nvGrpSpPr>
        <xdr:cNvPr id="2" name="Group 1">
          <a:extLst>
            <a:ext uri="{FF2B5EF4-FFF2-40B4-BE49-F238E27FC236}">
              <a16:creationId xmlns:a16="http://schemas.microsoft.com/office/drawing/2014/main" id="{C397731E-2D7D-42EC-8391-4F92936F7572}"/>
            </a:ext>
          </a:extLst>
        </xdr:cNvPr>
        <xdr:cNvGrpSpPr/>
      </xdr:nvGrpSpPr>
      <xdr:grpSpPr>
        <a:xfrm>
          <a:off x="609599" y="619125"/>
          <a:ext cx="1190625" cy="6105525"/>
          <a:chOff x="619124" y="619125"/>
          <a:chExt cx="1190625" cy="6105525"/>
        </a:xfrm>
      </xdr:grpSpPr>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D0F21C56-4BC8-9C27-ADF0-7B58A36F7A4D}"/>
              </a:ext>
            </a:extLst>
          </xdr:cNvPr>
          <xdr:cNvSpPr/>
        </xdr:nvSpPr>
        <xdr:spPr>
          <a:xfrm>
            <a:off x="619124" y="6191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1F9C639C-00E4-DD44-80EF-952FB5468041}"/>
              </a:ext>
            </a:extLst>
          </xdr:cNvPr>
          <xdr:cNvSpPr/>
        </xdr:nvSpPr>
        <xdr:spPr>
          <a:xfrm>
            <a:off x="619124" y="9405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South</a:t>
            </a:r>
            <a:r>
              <a:rPr lang="en-IN" sz="1100" baseline="0"/>
              <a:t> 24 Pgs</a:t>
            </a:r>
            <a:endParaRPr lang="en-IN" sz="1100"/>
          </a:p>
        </xdr:txBody>
      </xdr:sp>
      <xdr:sp macro="" textlink="">
        <xdr:nvSpPr>
          <xdr:cNvPr id="8" name="Rectangle: Rounded Corners 7">
            <a:extLst>
              <a:ext uri="{FF2B5EF4-FFF2-40B4-BE49-F238E27FC236}">
                <a16:creationId xmlns:a16="http://schemas.microsoft.com/office/drawing/2014/main" id="{52BF167B-121E-E8F8-45D6-2BEBD0864EBB}"/>
              </a:ext>
            </a:extLst>
          </xdr:cNvPr>
          <xdr:cNvSpPr/>
        </xdr:nvSpPr>
        <xdr:spPr>
          <a:xfrm>
            <a:off x="619124" y="12620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Hooghly</a:t>
            </a:r>
          </a:p>
        </xdr:txBody>
      </xdr:sp>
      <xdr:sp macro="" textlink="">
        <xdr:nvSpPr>
          <xdr:cNvPr id="9" name="Rectangle: Rounded Corners 8">
            <a:extLst>
              <a:ext uri="{FF2B5EF4-FFF2-40B4-BE49-F238E27FC236}">
                <a16:creationId xmlns:a16="http://schemas.microsoft.com/office/drawing/2014/main" id="{7C74F087-934F-596F-AA41-8B4A23F77BA3}"/>
              </a:ext>
            </a:extLst>
          </xdr:cNvPr>
          <xdr:cNvSpPr/>
        </xdr:nvSpPr>
        <xdr:spPr>
          <a:xfrm>
            <a:off x="619124" y="15835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Haowah</a:t>
            </a:r>
          </a:p>
        </xdr:txBody>
      </xdr:sp>
      <xdr:sp macro="" textlink="">
        <xdr:nvSpPr>
          <xdr:cNvPr id="10" name="Rectangle: Rounded Corners 9">
            <a:extLst>
              <a:ext uri="{FF2B5EF4-FFF2-40B4-BE49-F238E27FC236}">
                <a16:creationId xmlns:a16="http://schemas.microsoft.com/office/drawing/2014/main" id="{C3FE1E72-B1B6-BC93-0866-A9C47BCAE318}"/>
              </a:ext>
            </a:extLst>
          </xdr:cNvPr>
          <xdr:cNvSpPr/>
        </xdr:nvSpPr>
        <xdr:spPr>
          <a:xfrm>
            <a:off x="619124" y="19050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Medinipur</a:t>
            </a:r>
            <a:r>
              <a:rPr lang="en-IN" sz="1100" baseline="0"/>
              <a:t> East</a:t>
            </a:r>
            <a:endParaRPr lang="en-IN" sz="1100"/>
          </a:p>
        </xdr:txBody>
      </xdr:sp>
      <xdr:sp macro="" textlink="">
        <xdr:nvSpPr>
          <xdr:cNvPr id="11" name="Rectangle: Rounded Corners 10">
            <a:extLst>
              <a:ext uri="{FF2B5EF4-FFF2-40B4-BE49-F238E27FC236}">
                <a16:creationId xmlns:a16="http://schemas.microsoft.com/office/drawing/2014/main" id="{2C1338AD-DEC8-E7EC-A90A-30195E8A59AC}"/>
              </a:ext>
            </a:extLst>
          </xdr:cNvPr>
          <xdr:cNvSpPr/>
        </xdr:nvSpPr>
        <xdr:spPr>
          <a:xfrm>
            <a:off x="619124" y="22264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Medinipur</a:t>
            </a:r>
            <a:r>
              <a:rPr lang="en-IN" sz="1100" baseline="0"/>
              <a:t> West</a:t>
            </a:r>
            <a:endParaRPr lang="en-IN" sz="1100"/>
          </a:p>
        </xdr:txBody>
      </xdr:sp>
      <xdr:sp macro="" textlink="">
        <xdr:nvSpPr>
          <xdr:cNvPr id="12" name="Rectangle: Rounded Corners 11">
            <a:extLst>
              <a:ext uri="{FF2B5EF4-FFF2-40B4-BE49-F238E27FC236}">
                <a16:creationId xmlns:a16="http://schemas.microsoft.com/office/drawing/2014/main" id="{65BE9997-1472-69A9-98FA-6B4ED533DECE}"/>
              </a:ext>
            </a:extLst>
          </xdr:cNvPr>
          <xdr:cNvSpPr/>
        </xdr:nvSpPr>
        <xdr:spPr>
          <a:xfrm>
            <a:off x="619124" y="25479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Bankura</a:t>
            </a:r>
          </a:p>
        </xdr:txBody>
      </xdr:sp>
      <xdr:sp macro="" textlink="">
        <xdr:nvSpPr>
          <xdr:cNvPr id="13" name="Rectangle: Rounded Corners 12">
            <a:extLst>
              <a:ext uri="{FF2B5EF4-FFF2-40B4-BE49-F238E27FC236}">
                <a16:creationId xmlns:a16="http://schemas.microsoft.com/office/drawing/2014/main" id="{0FB0C4C8-07A3-D5FC-6ABD-CD4B6375BF10}"/>
              </a:ext>
            </a:extLst>
          </xdr:cNvPr>
          <xdr:cNvSpPr/>
        </xdr:nvSpPr>
        <xdr:spPr>
          <a:xfrm>
            <a:off x="619124" y="28694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Bardhaman</a:t>
            </a:r>
          </a:p>
        </xdr:txBody>
      </xdr:sp>
      <xdr:sp macro="" textlink="">
        <xdr:nvSpPr>
          <xdr:cNvPr id="14" name="Rectangle: Rounded Corners 13">
            <a:extLst>
              <a:ext uri="{FF2B5EF4-FFF2-40B4-BE49-F238E27FC236}">
                <a16:creationId xmlns:a16="http://schemas.microsoft.com/office/drawing/2014/main" id="{D170CC48-C08C-FD9C-6BC7-AC88FDDC4608}"/>
              </a:ext>
            </a:extLst>
          </xdr:cNvPr>
          <xdr:cNvSpPr/>
        </xdr:nvSpPr>
        <xdr:spPr>
          <a:xfrm>
            <a:off x="619124" y="31908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Nadia</a:t>
            </a:r>
          </a:p>
        </xdr:txBody>
      </xdr:sp>
      <xdr:sp macro="" textlink="">
        <xdr:nvSpPr>
          <xdr:cNvPr id="15" name="Rectangle: Rounded Corners 14">
            <a:extLst>
              <a:ext uri="{FF2B5EF4-FFF2-40B4-BE49-F238E27FC236}">
                <a16:creationId xmlns:a16="http://schemas.microsoft.com/office/drawing/2014/main" id="{F91CA31A-8AE9-0705-7177-6D618657D95B}"/>
              </a:ext>
            </a:extLst>
          </xdr:cNvPr>
          <xdr:cNvSpPr/>
        </xdr:nvSpPr>
        <xdr:spPr>
          <a:xfrm>
            <a:off x="619124" y="54646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Murshidabad</a:t>
            </a:r>
          </a:p>
        </xdr:txBody>
      </xdr:sp>
      <xdr:sp macro="" textlink="">
        <xdr:nvSpPr>
          <xdr:cNvPr id="16" name="Rectangle: Rounded Corners 15">
            <a:extLst>
              <a:ext uri="{FF2B5EF4-FFF2-40B4-BE49-F238E27FC236}">
                <a16:creationId xmlns:a16="http://schemas.microsoft.com/office/drawing/2014/main" id="{C1ECB4D0-8837-A5D9-6F6C-C772F2F14ABC}"/>
              </a:ext>
            </a:extLst>
          </xdr:cNvPr>
          <xdr:cNvSpPr/>
        </xdr:nvSpPr>
        <xdr:spPr>
          <a:xfrm>
            <a:off x="619124" y="51271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Birbhum</a:t>
            </a:r>
          </a:p>
        </xdr:txBody>
      </xdr:sp>
      <xdr:sp macro="" textlink="">
        <xdr:nvSpPr>
          <xdr:cNvPr id="17" name="Rectangle: Rounded Corners 16">
            <a:extLst>
              <a:ext uri="{FF2B5EF4-FFF2-40B4-BE49-F238E27FC236}">
                <a16:creationId xmlns:a16="http://schemas.microsoft.com/office/drawing/2014/main" id="{0F5F3F22-F448-C2B0-9046-5313D8FCFAD8}"/>
              </a:ext>
            </a:extLst>
          </xdr:cNvPr>
          <xdr:cNvSpPr/>
        </xdr:nvSpPr>
        <xdr:spPr>
          <a:xfrm>
            <a:off x="619124" y="64770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t>
            </a:r>
            <a:r>
              <a:rPr lang="en-IN" sz="1100" baseline="0"/>
              <a:t> Dinajpur</a:t>
            </a:r>
            <a:endParaRPr lang="en-IN" sz="1100"/>
          </a:p>
        </xdr:txBody>
      </xdr:sp>
      <xdr:sp macro="" textlink="">
        <xdr:nvSpPr>
          <xdr:cNvPr id="18" name="Rectangle: Rounded Corners 17">
            <a:extLst>
              <a:ext uri="{FF2B5EF4-FFF2-40B4-BE49-F238E27FC236}">
                <a16:creationId xmlns:a16="http://schemas.microsoft.com/office/drawing/2014/main" id="{2CCE4671-74ED-6181-4CB8-3C4C3F2BF13D}"/>
              </a:ext>
            </a:extLst>
          </xdr:cNvPr>
          <xdr:cNvSpPr/>
        </xdr:nvSpPr>
        <xdr:spPr>
          <a:xfrm>
            <a:off x="619124" y="41148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Alipurduar</a:t>
            </a:r>
          </a:p>
        </xdr:txBody>
      </xdr:sp>
      <xdr:sp macro="" textlink="">
        <xdr:nvSpPr>
          <xdr:cNvPr id="19" name="Rectangle: Rounded Corners 18">
            <a:extLst>
              <a:ext uri="{FF2B5EF4-FFF2-40B4-BE49-F238E27FC236}">
                <a16:creationId xmlns:a16="http://schemas.microsoft.com/office/drawing/2014/main" id="{23E83862-A023-5E44-A638-37F6EA52663D}"/>
              </a:ext>
            </a:extLst>
          </xdr:cNvPr>
          <xdr:cNvSpPr/>
        </xdr:nvSpPr>
        <xdr:spPr>
          <a:xfrm>
            <a:off x="619124" y="61395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N</a:t>
            </a:r>
            <a:r>
              <a:rPr lang="en-IN" sz="1100" baseline="0"/>
              <a:t> Dinajpur</a:t>
            </a:r>
            <a:endParaRPr lang="en-IN" sz="1100"/>
          </a:p>
        </xdr:txBody>
      </xdr:sp>
      <xdr:sp macro="" textlink="">
        <xdr:nvSpPr>
          <xdr:cNvPr id="20" name="Rectangle: Rounded Corners 19">
            <a:extLst>
              <a:ext uri="{FF2B5EF4-FFF2-40B4-BE49-F238E27FC236}">
                <a16:creationId xmlns:a16="http://schemas.microsoft.com/office/drawing/2014/main" id="{9D4DC7A1-8BF0-E7FC-69E8-690961ABDA33}"/>
              </a:ext>
            </a:extLst>
          </xdr:cNvPr>
          <xdr:cNvSpPr/>
        </xdr:nvSpPr>
        <xdr:spPr>
          <a:xfrm>
            <a:off x="619124" y="58020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Malda</a:t>
            </a:r>
          </a:p>
        </xdr:txBody>
      </xdr:sp>
      <xdr:sp macro="" textlink="">
        <xdr:nvSpPr>
          <xdr:cNvPr id="21" name="Rectangle: Rounded Corners 20">
            <a:extLst>
              <a:ext uri="{FF2B5EF4-FFF2-40B4-BE49-F238E27FC236}">
                <a16:creationId xmlns:a16="http://schemas.microsoft.com/office/drawing/2014/main" id="{E2740689-F276-41BA-BF4F-4DCC87E920E6}"/>
              </a:ext>
            </a:extLst>
          </xdr:cNvPr>
          <xdr:cNvSpPr/>
        </xdr:nvSpPr>
        <xdr:spPr>
          <a:xfrm>
            <a:off x="619124" y="44522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Jalpaiguri</a:t>
            </a:r>
          </a:p>
        </xdr:txBody>
      </xdr:sp>
      <xdr:sp macro="" textlink="">
        <xdr:nvSpPr>
          <xdr:cNvPr id="22" name="Rectangle: Rounded Corners 21">
            <a:extLst>
              <a:ext uri="{FF2B5EF4-FFF2-40B4-BE49-F238E27FC236}">
                <a16:creationId xmlns:a16="http://schemas.microsoft.com/office/drawing/2014/main" id="{826CA1C3-CE1E-2009-C0D5-B9C1A2A20020}"/>
              </a:ext>
            </a:extLst>
          </xdr:cNvPr>
          <xdr:cNvSpPr/>
        </xdr:nvSpPr>
        <xdr:spPr>
          <a:xfrm>
            <a:off x="619124" y="47897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Coochbehar</a:t>
            </a:r>
          </a:p>
        </xdr:txBody>
      </xdr:sp>
    </xdr:grpSp>
    <xdr:clientData/>
  </xdr:twoCellAnchor>
  <xdr:twoCellAnchor>
    <xdr:from>
      <xdr:col>0</xdr:col>
      <xdr:colOff>0</xdr:colOff>
      <xdr:row>0</xdr:row>
      <xdr:rowOff>0</xdr:rowOff>
    </xdr:from>
    <xdr:to>
      <xdr:col>3</xdr:col>
      <xdr:colOff>371475</xdr:colOff>
      <xdr:row>39</xdr:row>
      <xdr:rowOff>85725</xdr:rowOff>
    </xdr:to>
    <xdr:grpSp>
      <xdr:nvGrpSpPr>
        <xdr:cNvPr id="23" name="Group 22">
          <a:extLst>
            <a:ext uri="{FF2B5EF4-FFF2-40B4-BE49-F238E27FC236}">
              <a16:creationId xmlns:a16="http://schemas.microsoft.com/office/drawing/2014/main" id="{9604C07F-5AEA-4D69-A88F-235F6DD73692}"/>
            </a:ext>
          </a:extLst>
        </xdr:cNvPr>
        <xdr:cNvGrpSpPr/>
      </xdr:nvGrpSpPr>
      <xdr:grpSpPr>
        <a:xfrm>
          <a:off x="0" y="0"/>
          <a:ext cx="2514600" cy="7515225"/>
          <a:chOff x="9525" y="0"/>
          <a:chExt cx="2514600" cy="7515225"/>
        </a:xfrm>
      </xdr:grpSpPr>
      <xdr:sp macro="" textlink="">
        <xdr:nvSpPr>
          <xdr:cNvPr id="24" name="Rectangle: Rounded Corners 23">
            <a:extLst>
              <a:ext uri="{FF2B5EF4-FFF2-40B4-BE49-F238E27FC236}">
                <a16:creationId xmlns:a16="http://schemas.microsoft.com/office/drawing/2014/main" id="{EBB97B57-9512-C30D-07B7-6701B34CE079}"/>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474AA95B-EAE5-FE64-A8C8-178F512E2B67}"/>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26" name="Rectangle: Rounded Corners 25">
            <a:extLst>
              <a:ext uri="{FF2B5EF4-FFF2-40B4-BE49-F238E27FC236}">
                <a16:creationId xmlns:a16="http://schemas.microsoft.com/office/drawing/2014/main" id="{0B4226D3-1EF2-9729-8A1B-01456BC48AB8}"/>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27" name="Rectangle: Rounded Corners 26">
            <a:hlinkClick xmlns:r="http://schemas.openxmlformats.org/officeDocument/2006/relationships" r:id="rId1"/>
            <a:extLst>
              <a:ext uri="{FF2B5EF4-FFF2-40B4-BE49-F238E27FC236}">
                <a16:creationId xmlns:a16="http://schemas.microsoft.com/office/drawing/2014/main" id="{67288E10-183E-C84B-7933-734F6A4C4E9E}"/>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28" name="Rectangle: Rounded Corners 27">
            <a:hlinkClick xmlns:r="http://schemas.openxmlformats.org/officeDocument/2006/relationships" r:id="rId2"/>
            <a:extLst>
              <a:ext uri="{FF2B5EF4-FFF2-40B4-BE49-F238E27FC236}">
                <a16:creationId xmlns:a16="http://schemas.microsoft.com/office/drawing/2014/main" id="{F049E755-E82D-5E4A-981F-0566A4EAFBAC}"/>
              </a:ext>
            </a:extLst>
          </xdr:cNvPr>
          <xdr:cNvSpPr/>
        </xdr:nvSpPr>
        <xdr:spPr>
          <a:xfrm>
            <a:off x="161924" y="1512094"/>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South</a:t>
            </a:r>
            <a:r>
              <a:rPr lang="en-IN" sz="1100" b="1" baseline="0"/>
              <a:t> 24 Pgs</a:t>
            </a:r>
            <a:endParaRPr lang="en-IN" sz="1100" b="1"/>
          </a:p>
        </xdr:txBody>
      </xdr:sp>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CEDC7550-5509-A99A-173E-61F8AFBE70A6}"/>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30" name="Rectangle: Rounded Corners 29">
            <a:hlinkClick xmlns:r="http://schemas.openxmlformats.org/officeDocument/2006/relationships" r:id="rId4"/>
            <a:extLst>
              <a:ext uri="{FF2B5EF4-FFF2-40B4-BE49-F238E27FC236}">
                <a16:creationId xmlns:a16="http://schemas.microsoft.com/office/drawing/2014/main" id="{3E0762FA-36AC-E8DE-7E9E-F1DFA2F889E7}"/>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31" name="Rectangle: Rounded Corners 30">
            <a:hlinkClick xmlns:r="http://schemas.openxmlformats.org/officeDocument/2006/relationships" r:id="rId5"/>
            <a:extLst>
              <a:ext uri="{FF2B5EF4-FFF2-40B4-BE49-F238E27FC236}">
                <a16:creationId xmlns:a16="http://schemas.microsoft.com/office/drawing/2014/main" id="{216830BF-0151-D69E-9E00-D653E12D5C1B}"/>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32" name="Rectangle: Rounded Corners 31">
            <a:hlinkClick xmlns:r="http://schemas.openxmlformats.org/officeDocument/2006/relationships" r:id="rId6"/>
            <a:extLst>
              <a:ext uri="{FF2B5EF4-FFF2-40B4-BE49-F238E27FC236}">
                <a16:creationId xmlns:a16="http://schemas.microsoft.com/office/drawing/2014/main" id="{80DE0CC9-5FE1-6203-1EB0-8E5792F27E07}"/>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33" name="Rectangle: Rounded Corners 32">
            <a:hlinkClick xmlns:r="http://schemas.openxmlformats.org/officeDocument/2006/relationships" r:id="rId7"/>
            <a:extLst>
              <a:ext uri="{FF2B5EF4-FFF2-40B4-BE49-F238E27FC236}">
                <a16:creationId xmlns:a16="http://schemas.microsoft.com/office/drawing/2014/main" id="{1E21BAB8-22A0-BB2A-4C78-67CBA54D5F79}"/>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34" name="Rectangle: Rounded Corners 33">
            <a:hlinkClick xmlns:r="http://schemas.openxmlformats.org/officeDocument/2006/relationships" r:id="rId8"/>
            <a:extLst>
              <a:ext uri="{FF2B5EF4-FFF2-40B4-BE49-F238E27FC236}">
                <a16:creationId xmlns:a16="http://schemas.microsoft.com/office/drawing/2014/main" id="{2FACD029-FC2B-6151-E55A-C643ECEBA427}"/>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35" name="Rectangle: Rounded Corners 34">
            <a:hlinkClick xmlns:r="http://schemas.openxmlformats.org/officeDocument/2006/relationships" r:id="rId9"/>
            <a:extLst>
              <a:ext uri="{FF2B5EF4-FFF2-40B4-BE49-F238E27FC236}">
                <a16:creationId xmlns:a16="http://schemas.microsoft.com/office/drawing/2014/main" id="{76E12961-59CB-4EF4-2360-2D9B17DAE73D}"/>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36" name="Rectangle: Rounded Corners 35">
            <a:hlinkClick xmlns:r="http://schemas.openxmlformats.org/officeDocument/2006/relationships" r:id="rId10"/>
            <a:extLst>
              <a:ext uri="{FF2B5EF4-FFF2-40B4-BE49-F238E27FC236}">
                <a16:creationId xmlns:a16="http://schemas.microsoft.com/office/drawing/2014/main" id="{924D57AF-B0A2-AD87-7F7C-90FDB83E816B}"/>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37" name="Rectangle: Rounded Corners 36">
            <a:hlinkClick xmlns:r="http://schemas.openxmlformats.org/officeDocument/2006/relationships" r:id="rId11"/>
            <a:extLst>
              <a:ext uri="{FF2B5EF4-FFF2-40B4-BE49-F238E27FC236}">
                <a16:creationId xmlns:a16="http://schemas.microsoft.com/office/drawing/2014/main" id="{BDBDF9E6-D7B0-3C79-2701-6BC1AA03D8B2}"/>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38" name="Rectangle: Rounded Corners 37">
            <a:hlinkClick xmlns:r="http://schemas.openxmlformats.org/officeDocument/2006/relationships" r:id="rId12"/>
            <a:extLst>
              <a:ext uri="{FF2B5EF4-FFF2-40B4-BE49-F238E27FC236}">
                <a16:creationId xmlns:a16="http://schemas.microsoft.com/office/drawing/2014/main" id="{EC3AEF94-D029-9AF1-0B16-EA97D5AEDE84}"/>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39" name="Rectangle: Rounded Corners 38">
            <a:hlinkClick xmlns:r="http://schemas.openxmlformats.org/officeDocument/2006/relationships" r:id="rId13"/>
            <a:extLst>
              <a:ext uri="{FF2B5EF4-FFF2-40B4-BE49-F238E27FC236}">
                <a16:creationId xmlns:a16="http://schemas.microsoft.com/office/drawing/2014/main" id="{28424D29-7D99-9896-6C78-3DFE10914603}"/>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40" name="Rectangle: Rounded Corners 39">
            <a:hlinkClick xmlns:r="http://schemas.openxmlformats.org/officeDocument/2006/relationships" r:id="rId14"/>
            <a:extLst>
              <a:ext uri="{FF2B5EF4-FFF2-40B4-BE49-F238E27FC236}">
                <a16:creationId xmlns:a16="http://schemas.microsoft.com/office/drawing/2014/main" id="{3DD2552C-02C9-2550-C432-F4A61D3E53BB}"/>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41" name="Rectangle: Rounded Corners 40">
            <a:hlinkClick xmlns:r="http://schemas.openxmlformats.org/officeDocument/2006/relationships" r:id="rId15"/>
            <a:extLst>
              <a:ext uri="{FF2B5EF4-FFF2-40B4-BE49-F238E27FC236}">
                <a16:creationId xmlns:a16="http://schemas.microsoft.com/office/drawing/2014/main" id="{F74595A6-327B-30CD-19DF-4771B6B40F60}"/>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42" name="Rectangle: Rounded Corners 41">
            <a:hlinkClick xmlns:r="http://schemas.openxmlformats.org/officeDocument/2006/relationships" r:id="rId16"/>
            <a:extLst>
              <a:ext uri="{FF2B5EF4-FFF2-40B4-BE49-F238E27FC236}">
                <a16:creationId xmlns:a16="http://schemas.microsoft.com/office/drawing/2014/main" id="{23DA62C6-A349-1EFB-9974-CFB2D7BA1052}"/>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43" name="Rectangle: Rounded Corners 42">
            <a:hlinkClick xmlns:r="http://schemas.openxmlformats.org/officeDocument/2006/relationships" r:id="rId17"/>
            <a:extLst>
              <a:ext uri="{FF2B5EF4-FFF2-40B4-BE49-F238E27FC236}">
                <a16:creationId xmlns:a16="http://schemas.microsoft.com/office/drawing/2014/main" id="{5F00141A-2CE3-5EAF-AE68-DB3B61BC3156}"/>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44" name="Rectangle: Rounded Corners 43">
            <a:hlinkClick xmlns:r="http://schemas.openxmlformats.org/officeDocument/2006/relationships" r:id="rId18"/>
            <a:extLst>
              <a:ext uri="{FF2B5EF4-FFF2-40B4-BE49-F238E27FC236}">
                <a16:creationId xmlns:a16="http://schemas.microsoft.com/office/drawing/2014/main" id="{3AEA233F-1B64-4107-9B10-7414FEADB7F7}"/>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45" name="Graphic 44" descr="Home with solid fill">
            <a:hlinkClick xmlns:r="http://schemas.openxmlformats.org/officeDocument/2006/relationships" r:id="rId18"/>
            <a:extLst>
              <a:ext uri="{FF2B5EF4-FFF2-40B4-BE49-F238E27FC236}">
                <a16:creationId xmlns:a16="http://schemas.microsoft.com/office/drawing/2014/main" id="{D5B212D5-7376-5357-21DB-4CB1B8A5E0E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3" name="Group 22">
          <a:extLst>
            <a:ext uri="{FF2B5EF4-FFF2-40B4-BE49-F238E27FC236}">
              <a16:creationId xmlns:a16="http://schemas.microsoft.com/office/drawing/2014/main" id="{35DF20D9-66CA-4A9F-A4D0-B15FAD308F6B}"/>
            </a:ext>
          </a:extLst>
        </xdr:cNvPr>
        <xdr:cNvGrpSpPr/>
      </xdr:nvGrpSpPr>
      <xdr:grpSpPr>
        <a:xfrm>
          <a:off x="0" y="0"/>
          <a:ext cx="2514600" cy="7515225"/>
          <a:chOff x="9525" y="0"/>
          <a:chExt cx="2514600" cy="7515225"/>
        </a:xfrm>
      </xdr:grpSpPr>
      <xdr:sp macro="" textlink="">
        <xdr:nvSpPr>
          <xdr:cNvPr id="24" name="Rectangle: Rounded Corners 23">
            <a:extLst>
              <a:ext uri="{FF2B5EF4-FFF2-40B4-BE49-F238E27FC236}">
                <a16:creationId xmlns:a16="http://schemas.microsoft.com/office/drawing/2014/main" id="{1D6AF251-7F10-7336-FF51-EDD7385496D8}"/>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0647A2C6-22AB-F9FA-CC9C-B30D154CA07A}"/>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26" name="Rectangle: Rounded Corners 25">
            <a:extLst>
              <a:ext uri="{FF2B5EF4-FFF2-40B4-BE49-F238E27FC236}">
                <a16:creationId xmlns:a16="http://schemas.microsoft.com/office/drawing/2014/main" id="{B5001206-6A60-C344-9295-965A045E3058}"/>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27" name="Rectangle: Rounded Corners 26">
            <a:hlinkClick xmlns:r="http://schemas.openxmlformats.org/officeDocument/2006/relationships" r:id="rId1"/>
            <a:extLst>
              <a:ext uri="{FF2B5EF4-FFF2-40B4-BE49-F238E27FC236}">
                <a16:creationId xmlns:a16="http://schemas.microsoft.com/office/drawing/2014/main" id="{2A559130-C817-5D5F-1735-EFFEE49157F4}"/>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28" name="Rectangle: Rounded Corners 27">
            <a:hlinkClick xmlns:r="http://schemas.openxmlformats.org/officeDocument/2006/relationships" r:id="rId2"/>
            <a:extLst>
              <a:ext uri="{FF2B5EF4-FFF2-40B4-BE49-F238E27FC236}">
                <a16:creationId xmlns:a16="http://schemas.microsoft.com/office/drawing/2014/main" id="{EA54A6D4-240C-3AE7-748A-EFAB61DA4134}"/>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1129B740-56C0-CC3B-A16F-06D46E23E3E2}"/>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30" name="Rectangle: Rounded Corners 29">
            <a:hlinkClick xmlns:r="http://schemas.openxmlformats.org/officeDocument/2006/relationships" r:id="rId4"/>
            <a:extLst>
              <a:ext uri="{FF2B5EF4-FFF2-40B4-BE49-F238E27FC236}">
                <a16:creationId xmlns:a16="http://schemas.microsoft.com/office/drawing/2014/main" id="{F270F306-1DFC-BD72-98E6-59347656603C}"/>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31" name="Rectangle: Rounded Corners 30">
            <a:hlinkClick xmlns:r="http://schemas.openxmlformats.org/officeDocument/2006/relationships" r:id="rId5"/>
            <a:extLst>
              <a:ext uri="{FF2B5EF4-FFF2-40B4-BE49-F238E27FC236}">
                <a16:creationId xmlns:a16="http://schemas.microsoft.com/office/drawing/2014/main" id="{DBDE9D25-84B4-F285-4F5A-E077E6BA1586}"/>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32" name="Rectangle: Rounded Corners 31">
            <a:hlinkClick xmlns:r="http://schemas.openxmlformats.org/officeDocument/2006/relationships" r:id="rId6"/>
            <a:extLst>
              <a:ext uri="{FF2B5EF4-FFF2-40B4-BE49-F238E27FC236}">
                <a16:creationId xmlns:a16="http://schemas.microsoft.com/office/drawing/2014/main" id="{DE25EB01-23F9-BD65-CB74-FBD7E64C6D78}"/>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33" name="Rectangle: Rounded Corners 32">
            <a:hlinkClick xmlns:r="http://schemas.openxmlformats.org/officeDocument/2006/relationships" r:id="rId7"/>
            <a:extLst>
              <a:ext uri="{FF2B5EF4-FFF2-40B4-BE49-F238E27FC236}">
                <a16:creationId xmlns:a16="http://schemas.microsoft.com/office/drawing/2014/main" id="{12245AF2-B643-424A-E2E4-D2222CCF8456}"/>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34" name="Rectangle: Rounded Corners 33">
            <a:hlinkClick xmlns:r="http://schemas.openxmlformats.org/officeDocument/2006/relationships" r:id="rId8"/>
            <a:extLst>
              <a:ext uri="{FF2B5EF4-FFF2-40B4-BE49-F238E27FC236}">
                <a16:creationId xmlns:a16="http://schemas.microsoft.com/office/drawing/2014/main" id="{408DA366-711C-0194-21F5-F32855B2CA4B}"/>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35" name="Rectangle: Rounded Corners 34">
            <a:hlinkClick xmlns:r="http://schemas.openxmlformats.org/officeDocument/2006/relationships" r:id="rId9"/>
            <a:extLst>
              <a:ext uri="{FF2B5EF4-FFF2-40B4-BE49-F238E27FC236}">
                <a16:creationId xmlns:a16="http://schemas.microsoft.com/office/drawing/2014/main" id="{ED64326B-70A2-549B-1F9A-3A17DF7DF7F3}"/>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36" name="Rectangle: Rounded Corners 35">
            <a:hlinkClick xmlns:r="http://schemas.openxmlformats.org/officeDocument/2006/relationships" r:id="rId10"/>
            <a:extLst>
              <a:ext uri="{FF2B5EF4-FFF2-40B4-BE49-F238E27FC236}">
                <a16:creationId xmlns:a16="http://schemas.microsoft.com/office/drawing/2014/main" id="{7912685C-0A6F-8A61-35E1-B2F4521FEF5F}"/>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37" name="Rectangle: Rounded Corners 36">
            <a:hlinkClick xmlns:r="http://schemas.openxmlformats.org/officeDocument/2006/relationships" r:id="rId11"/>
            <a:extLst>
              <a:ext uri="{FF2B5EF4-FFF2-40B4-BE49-F238E27FC236}">
                <a16:creationId xmlns:a16="http://schemas.microsoft.com/office/drawing/2014/main" id="{A0AF6435-3894-2DBF-A0CF-5EC7A941A36E}"/>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38" name="Rectangle: Rounded Corners 37">
            <a:hlinkClick xmlns:r="http://schemas.openxmlformats.org/officeDocument/2006/relationships" r:id="rId12"/>
            <a:extLst>
              <a:ext uri="{FF2B5EF4-FFF2-40B4-BE49-F238E27FC236}">
                <a16:creationId xmlns:a16="http://schemas.microsoft.com/office/drawing/2014/main" id="{372321B5-E23F-17DA-E9D9-0DEFFD76E482}"/>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39" name="Rectangle: Rounded Corners 38">
            <a:hlinkClick xmlns:r="http://schemas.openxmlformats.org/officeDocument/2006/relationships" r:id="rId13"/>
            <a:extLst>
              <a:ext uri="{FF2B5EF4-FFF2-40B4-BE49-F238E27FC236}">
                <a16:creationId xmlns:a16="http://schemas.microsoft.com/office/drawing/2014/main" id="{78DC30EB-783D-7F15-2CEB-5FEBD5F55EBE}"/>
              </a:ext>
            </a:extLst>
          </xdr:cNvPr>
          <xdr:cNvSpPr/>
        </xdr:nvSpPr>
        <xdr:spPr>
          <a:xfrm>
            <a:off x="161924" y="4724400"/>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Alipurduar</a:t>
            </a:r>
          </a:p>
        </xdr:txBody>
      </xdr:sp>
      <xdr:sp macro="" textlink="">
        <xdr:nvSpPr>
          <xdr:cNvPr id="40" name="Rectangle: Rounded Corners 39">
            <a:hlinkClick xmlns:r="http://schemas.openxmlformats.org/officeDocument/2006/relationships" r:id="rId14"/>
            <a:extLst>
              <a:ext uri="{FF2B5EF4-FFF2-40B4-BE49-F238E27FC236}">
                <a16:creationId xmlns:a16="http://schemas.microsoft.com/office/drawing/2014/main" id="{E768576A-73FE-455C-E984-DB4153CD2CF3}"/>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41" name="Rectangle: Rounded Corners 40">
            <a:hlinkClick xmlns:r="http://schemas.openxmlformats.org/officeDocument/2006/relationships" r:id="rId15"/>
            <a:extLst>
              <a:ext uri="{FF2B5EF4-FFF2-40B4-BE49-F238E27FC236}">
                <a16:creationId xmlns:a16="http://schemas.microsoft.com/office/drawing/2014/main" id="{ADF68603-6AD9-212F-466F-ED6993DFE9D9}"/>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42" name="Rectangle: Rounded Corners 41">
            <a:hlinkClick xmlns:r="http://schemas.openxmlformats.org/officeDocument/2006/relationships" r:id="rId16"/>
            <a:extLst>
              <a:ext uri="{FF2B5EF4-FFF2-40B4-BE49-F238E27FC236}">
                <a16:creationId xmlns:a16="http://schemas.microsoft.com/office/drawing/2014/main" id="{66DD33F1-257F-1D03-E924-9B351A4E9FB5}"/>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43" name="Rectangle: Rounded Corners 42">
            <a:hlinkClick xmlns:r="http://schemas.openxmlformats.org/officeDocument/2006/relationships" r:id="rId17"/>
            <a:extLst>
              <a:ext uri="{FF2B5EF4-FFF2-40B4-BE49-F238E27FC236}">
                <a16:creationId xmlns:a16="http://schemas.microsoft.com/office/drawing/2014/main" id="{79AEC42F-4779-6C54-A6B6-36144E91FECD}"/>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44" name="Rectangle: Rounded Corners 43">
            <a:hlinkClick xmlns:r="http://schemas.openxmlformats.org/officeDocument/2006/relationships" r:id="rId18"/>
            <a:extLst>
              <a:ext uri="{FF2B5EF4-FFF2-40B4-BE49-F238E27FC236}">
                <a16:creationId xmlns:a16="http://schemas.microsoft.com/office/drawing/2014/main" id="{96C24A74-E864-B0AD-C203-607F29F7AD8A}"/>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45" name="Graphic 44" descr="Home with solid fill">
            <a:hlinkClick xmlns:r="http://schemas.openxmlformats.org/officeDocument/2006/relationships" r:id="rId18"/>
            <a:extLst>
              <a:ext uri="{FF2B5EF4-FFF2-40B4-BE49-F238E27FC236}">
                <a16:creationId xmlns:a16="http://schemas.microsoft.com/office/drawing/2014/main" id="{EE57E4AE-74D1-DC9E-2E8B-AA82963D942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96BAB278-4762-43E3-9533-01DC0F9BCB66}"/>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5DED7180-1E00-42ED-79C1-B9276425FF95}"/>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7C7761E7-2B23-43EF-07F7-5DD1BF7C8722}"/>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5097F02D-93E0-69C1-5894-386B91892AAE}"/>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F01DEEF7-1AF7-DCAD-3C92-8A63F904F416}"/>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CE740D4E-4E1B-0B89-5359-8BEFC98F2554}"/>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A36201BD-9FA6-4DA1-A709-82C9EBF170E5}"/>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EDFAB627-D29E-18C7-0BC1-2E575FB5C9B2}"/>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3760F261-5385-B73C-07F8-05AAFD925153}"/>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2CCE188E-374B-B158-2034-2A24DEBC3214}"/>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0E937E9E-2070-8CEB-D20F-D524937AC292}"/>
              </a:ext>
            </a:extLst>
          </xdr:cNvPr>
          <xdr:cNvSpPr/>
        </xdr:nvSpPr>
        <xdr:spPr>
          <a:xfrm>
            <a:off x="161924" y="3119439"/>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0BEF63AD-ED87-9C62-65DA-1366171B19E5}"/>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6CC073F5-5017-F93C-6EA6-D82298C02042}"/>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FF300828-6AB4-A1D6-0064-EA0F73669F78}"/>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8C9184B1-126F-54D6-6F79-FD8F6911C6BB}"/>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D43BA07A-D193-2EA5-1EC3-3F67A9728901}"/>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226E4312-BB0F-07A9-E5F2-216968CF079B}"/>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ECBDEDB6-B646-9652-1935-1E6D2CD00865}"/>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155ABA7C-E0CD-BAB1-9565-4DBB69D1F4DE}"/>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07B4BDAD-E8B7-2F8E-4313-7E7AE39E3D68}"/>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5F057D3A-DF01-2154-C205-4FFB0AD33607}"/>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32B11223-31C0-FF09-3E4F-F048CEF69DF3}"/>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98080802-78DE-FF45-671D-9C2E3237021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E7D0954F-8B63-4743-A7F1-FA4B6E9B1A3B}"/>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F376B4E9-F2F8-CA26-8BF6-1CEEA463EB43}"/>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F0402800-48D3-A0C3-A41C-26753E630FEA}"/>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0753320F-C7F6-6411-6AB0-4E99903380C8}"/>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B420808C-2EB0-3D60-759E-4D4E2C62FAB5}"/>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BD03149F-5985-7856-3147-46BC1F111BB6}"/>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E89AB0B6-2544-E677-5008-1A232B4E7F19}"/>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45753C0F-28EB-1A78-9934-6ECFD49EDDA3}"/>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39F95343-EF75-3C12-ADE0-D3CCE18C2BCF}"/>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C7FBAABA-514E-A3FB-C9B1-ECBFBE6E2F8E}"/>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D1AF93D5-34FB-71FC-29C0-6766C8099453}"/>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EED42D94-5F36-2511-04EF-A96CBF204ED9}"/>
              </a:ext>
            </a:extLst>
          </xdr:cNvPr>
          <xdr:cNvSpPr/>
        </xdr:nvSpPr>
        <xdr:spPr>
          <a:xfrm>
            <a:off x="161924" y="3440908"/>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B60DDE44-268E-D962-6AEC-E40B6F1FA0B0}"/>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090CE53F-38B2-3691-D116-01850E253A8A}"/>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334460F2-A8C1-9150-C96B-9729AE8D33C0}"/>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B76080D3-956D-B445-5493-6221D4F133B4}"/>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1BEFA192-E975-FA2E-1D55-2752C8C0F843}"/>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D59DA399-36F2-D534-8E0B-946BBECCC404}"/>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85738B96-0E2C-D07D-4843-8F1ED92AA6BC}"/>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B41029E3-8604-C2E3-AE32-BF093AEC2988}"/>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658D5BD7-22B2-EA21-7F5D-49D79DD68E37}"/>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2E667EA9-FDCE-1015-15BE-32FC2F70FAD4}"/>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9BE6BADB-7A63-973E-BC82-93A5D738F91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E0F5A259-411B-4B03-9ADB-79BC124E544A}"/>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64C13325-8812-7934-F729-560D30192658}"/>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9FEF0306-EFC5-17A8-CE13-67BC492E536F}"/>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835C5D17-7976-D7D2-CE1C-C1077444559E}"/>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FA0F3A62-1F0C-402F-02BF-0D35BE58EF30}"/>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C4C166FD-360A-D446-08D8-C014BF4B32E2}"/>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A74607EB-B863-31F4-0E19-6B36715B68ED}"/>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6C148C1D-7281-2E03-F730-EE66D0F4E2AD}"/>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BD683E4B-9C06-D2D3-95D4-1DCC745AA1DA}"/>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E40F0083-9C2E-2895-4C7B-467C9DB9AD40}"/>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38F446E6-C3F0-14A9-9074-6F1CEED6DFFD}"/>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8D73CCC0-1305-D1B3-938D-E6B016FED2C4}"/>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542F8B74-625C-1F48-C943-8E7017B739C9}"/>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8D49E4C4-6F80-D092-D4C9-1E75AFAC833D}"/>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84605E10-0DD9-E90A-253A-89A08F19B877}"/>
              </a:ext>
            </a:extLst>
          </xdr:cNvPr>
          <xdr:cNvSpPr/>
        </xdr:nvSpPr>
        <xdr:spPr>
          <a:xfrm>
            <a:off x="161924" y="5736771"/>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5C41CE32-00D2-35C0-F8FC-34ABE5033071}"/>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CFA2BB92-F818-5ED3-EDF3-7864ECF133DB}"/>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4EFC27AE-8F36-E08B-C4B6-EE38B9A1CF0D}"/>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6FAFE591-FA62-B82A-5398-C4E0646A083E}"/>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C24E4132-8A5C-FC3D-2684-AA8966F872BC}"/>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04D55AB0-CACC-2CE1-3480-44F2F13E5333}"/>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1A540394-D837-3D5D-AA5A-A04579432B06}"/>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88D6E30D-2A0C-DD8E-752F-3B7C83D57EC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EAFD7D21-8837-4F5B-BEEB-5359E17815FC}"/>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38F4AA55-C86F-8E98-47B0-3C8A4983995A}"/>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A34ADC6D-5F74-C917-C313-D5D28340AF25}"/>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738FF137-C712-9A1B-BB93-5D345F9CB525}"/>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63CA7F1B-A548-5A9C-1FFC-C4622AF53C47}"/>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6A9A9C58-8F99-CCA8-716C-4A94E04129E7}"/>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C00336A1-6AF9-41B3-31AD-B9C451D884D7}"/>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FE8DEC07-A577-72D0-B1FD-7A39B71E52AD}"/>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6AC001DB-3BDE-EA2D-D2C4-A589DD489C63}"/>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70721FC2-6782-EF96-E9DC-9D24954A1BED}"/>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AD31199A-56DC-C4E4-970D-EE912DC32C1D}"/>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C4A642A1-A465-7A5D-1006-31798661406B}"/>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CC6DE464-BB02-4867-786F-3E87A3167C22}"/>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E3A96B6C-3EA7-99CC-931A-26E8A15062E4}"/>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009985F3-41A8-7AE1-07C9-EDB357F2D5FE}"/>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74271DCF-7A10-1ACF-C25A-539D4ED01084}"/>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957D96CD-1230-D4A3-D5A2-EDD6FA9E22E1}"/>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92891752-60C8-2036-8FF7-9A2286F14BE5}"/>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6F2C4F52-EA16-C18E-F237-DE09419F20C3}"/>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1FC8CD2B-28E3-A565-2526-BBB0D2C75423}"/>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57E71CD0-C1FA-D3AB-3A06-7344A14D1CB4}"/>
              </a:ext>
            </a:extLst>
          </xdr:cNvPr>
          <xdr:cNvSpPr/>
        </xdr:nvSpPr>
        <xdr:spPr>
          <a:xfrm>
            <a:off x="161924" y="5399314"/>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74C890CF-1132-669B-C7AE-1A3E4470AAE3}"/>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3D5C7CA2-F013-DFB8-73E5-110F7E36332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D8A054E5-4B73-4BE4-AD4B-35CD281644FB}"/>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00555A19-083B-DB48-F71B-00CC601EEAAA}"/>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DA950571-7AD1-94D3-7B31-B7EAD828B639}"/>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B1ABC1D9-E7AB-A5FE-4088-C34D6714D457}"/>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70B30BC1-A286-C01D-1423-3FEB398A262A}"/>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CC5E07D1-2690-5745-A21E-E1D0A50A1274}"/>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0DC82397-E1B5-4CFE-F68A-CB82FD33419A}"/>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8A9E726B-4AF1-9B9A-8EAF-2AB2999C88A2}"/>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F4925C6D-EB17-8472-9FEE-DB52B5EF71D6}"/>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49A7DB3C-0924-9DF8-6C71-1D28BE3B0E26}"/>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974F2F76-AA3F-A658-6C98-47CC4171E013}"/>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22F4FF23-F237-E1A5-44D8-5D0B413A33A9}"/>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8D57E0CC-A390-5BCC-372D-7608E772FF34}"/>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062B50F7-C888-9226-B6C2-6ABB4A68D431}"/>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900E898F-8AD3-4E98-CCCA-1C06186776E0}"/>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CE658651-8FC5-244A-2E34-C37AF956C125}"/>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A05CFA9F-81CD-E79E-1E81-A61FC780F946}"/>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3B7C6286-40DA-02B9-7124-6F291FE22654}"/>
              </a:ext>
            </a:extLst>
          </xdr:cNvPr>
          <xdr:cNvSpPr/>
        </xdr:nvSpPr>
        <xdr:spPr>
          <a:xfrm>
            <a:off x="161924" y="6749142"/>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N</a:t>
            </a:r>
            <a:r>
              <a:rPr lang="en-IN" sz="1100" b="1" baseline="0"/>
              <a:t> Dinajpur</a:t>
            </a:r>
            <a:endParaRPr lang="en-IN" sz="1100" b="1"/>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64A5A98C-AD8E-6B6F-A1D7-C36F3B3B59CA}"/>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914F3D23-A1AF-0910-939A-C67319E60B11}"/>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4F6DA4E9-5F3A-A720-1B3F-635E1D97EC69}"/>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D65BE9D2-B825-7A72-D0F6-0CE1C03DFD41}"/>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B2E22CED-6A4A-788E-A2EB-145AB891AAA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43C54E35-E9F1-4C1F-BC80-D584AE060400}"/>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EEFF159C-3928-242A-F592-81025387CD9C}"/>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8B3C51C2-2180-D88D-7B50-6289B0A5F6F2}"/>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9FF35990-A841-19BE-6AFA-9A7FF6513629}"/>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8E770090-5625-9BBC-2C30-19B83BF61031}"/>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4409483A-6601-C764-BA83-68150876F4F5}"/>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76BE71DE-FAFA-1DB7-60B6-D229F1826B19}"/>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FED12EA3-B3E5-9AD3-F4A1-94B82698AFED}"/>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717DD7D0-07C4-455F-58E8-9CD5630B4922}"/>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4AE0F00C-1652-5187-119B-D87B57D69224}"/>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623244EC-1DCE-94BA-931E-C0C4C53C9EF0}"/>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3443B9BE-406E-47DE-9E6B-9F6F391FD101}"/>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D5A875FB-5709-058B-E541-2B361AC476A9}"/>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C1FA1E51-39AA-3E7B-0875-5D28DB90F339}"/>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E7EAA382-A154-F2C5-A5B5-72DFBC1A87DF}"/>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B66387FD-2101-E075-0F29-5B559F662C35}"/>
              </a:ext>
            </a:extLst>
          </xdr:cNvPr>
          <xdr:cNvSpPr/>
        </xdr:nvSpPr>
        <xdr:spPr>
          <a:xfrm>
            <a:off x="161924" y="7086600"/>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S</a:t>
            </a:r>
            <a:r>
              <a:rPr lang="en-IN" sz="1100" b="1" baseline="0"/>
              <a:t> Dinajpur</a:t>
            </a:r>
            <a:endParaRPr lang="en-IN" sz="1100" b="1"/>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466DB172-45F9-2077-9BD5-392143E6ECA2}"/>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61D1B51D-E2C8-E47B-25F1-7D04BD54F2CC}"/>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44E8CC8A-6209-5F0F-5997-94521C02F871}"/>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F4891EC9-E85C-EAE1-5E9F-DFC96670DA3D}"/>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1BEB3207-B47E-69C5-586C-3CB524EA0C17}"/>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C317EEA3-CA47-80A4-9230-F02C13746272}"/>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CA2BDDC5-3E2D-3559-ECCD-4CE23995991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4E676111-71B4-4F8B-BB0E-AA64D89D32AF}"/>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5E8894F5-9034-54B7-AA5A-9536DC0FCDD9}"/>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54951BE8-9F2A-E932-1D17-F3D5FBB958CC}"/>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C51ED54B-CAC3-65C3-4113-E9C9C380427B}"/>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C027E640-A54B-017C-07AE-73B241D02DEF}"/>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2137007B-6E92-9D0F-B589-A0133E3EFF4A}"/>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68281DE0-2484-9C5C-02A7-8837B7AEC656}"/>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2D47FE5E-BB15-CE7F-1572-6FEE475CB389}"/>
              </a:ext>
            </a:extLst>
          </xdr:cNvPr>
          <xdr:cNvSpPr/>
        </xdr:nvSpPr>
        <xdr:spPr>
          <a:xfrm>
            <a:off x="161924" y="2155032"/>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62C4262A-7EEC-9A8B-920D-A1B55B2EC612}"/>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F63E23AA-E8A8-4D5B-1CCC-D2AB03FADB84}"/>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F484CAF1-0321-E7A5-942E-72C4BE67327E}"/>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B41A42A4-AE91-65BB-5D7F-6E35A8906788}"/>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CA21904E-B0D6-E7D0-1A34-378B3723F278}"/>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887A13AE-15F6-7FDB-1446-4B6E77D28F35}"/>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A72551E6-02E9-14AD-9582-019FF0C332BD}"/>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61B4911C-1142-8DDB-57AA-138AF5233E9F}"/>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018DC7F1-DF1E-AC74-24EB-6F3CF2C0AB96}"/>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39EB51C1-A3B0-09F1-1F4F-F59B5F1C949F}"/>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CDDD76FF-469C-6205-70DF-6CDE715BC3C1}"/>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A4F33E53-D3A2-8970-21CD-26EAD45FF10E}"/>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64C6ACEE-9A5E-7CEC-DC5D-F0A5B706300E}"/>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68708A29-3044-46BB-199C-ED8545E2478F}"/>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84F3E8E0-7DE7-1344-A827-86F930B83CC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twoCellAnchor>
    <xdr:from>
      <xdr:col>4</xdr:col>
      <xdr:colOff>9525</xdr:colOff>
      <xdr:row>5</xdr:row>
      <xdr:rowOff>19050</xdr:rowOff>
    </xdr:from>
    <xdr:to>
      <xdr:col>16</xdr:col>
      <xdr:colOff>600075</xdr:colOff>
      <xdr:row>33</xdr:row>
      <xdr:rowOff>57150</xdr:rowOff>
    </xdr:to>
    <xdr:grpSp>
      <xdr:nvGrpSpPr>
        <xdr:cNvPr id="29" name="Group 28">
          <a:extLst>
            <a:ext uri="{FF2B5EF4-FFF2-40B4-BE49-F238E27FC236}">
              <a16:creationId xmlns:a16="http://schemas.microsoft.com/office/drawing/2014/main" id="{F7F69CFA-3430-5757-6933-85EB7E381CF5}"/>
            </a:ext>
          </a:extLst>
        </xdr:cNvPr>
        <xdr:cNvGrpSpPr/>
      </xdr:nvGrpSpPr>
      <xdr:grpSpPr>
        <a:xfrm>
          <a:off x="2867025" y="971550"/>
          <a:ext cx="7905750" cy="5372100"/>
          <a:chOff x="5724525" y="971550"/>
          <a:chExt cx="7905750" cy="5372100"/>
        </a:xfrm>
      </xdr:grpSpPr>
      <xdr:sp macro="" textlink="">
        <xdr:nvSpPr>
          <xdr:cNvPr id="27" name="Rectangle: Rounded Corners 26">
            <a:extLst>
              <a:ext uri="{FF2B5EF4-FFF2-40B4-BE49-F238E27FC236}">
                <a16:creationId xmlns:a16="http://schemas.microsoft.com/office/drawing/2014/main" id="{9E707CE0-92C3-8832-2A1D-80DEDC4D4780}"/>
              </a:ext>
            </a:extLst>
          </xdr:cNvPr>
          <xdr:cNvSpPr/>
        </xdr:nvSpPr>
        <xdr:spPr>
          <a:xfrm>
            <a:off x="5724525" y="971550"/>
            <a:ext cx="7905750" cy="537210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6" name="Graphic 25" descr="Warning with solid fill">
            <a:extLst>
              <a:ext uri="{FF2B5EF4-FFF2-40B4-BE49-F238E27FC236}">
                <a16:creationId xmlns:a16="http://schemas.microsoft.com/office/drawing/2014/main" id="{F3279444-44A9-F68D-97C9-665069D65AF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6019800" y="2305050"/>
            <a:ext cx="2686050" cy="2686050"/>
          </a:xfrm>
          <a:prstGeom prst="rect">
            <a:avLst/>
          </a:prstGeom>
        </xdr:spPr>
      </xdr:pic>
      <xdr:sp macro="" textlink="">
        <xdr:nvSpPr>
          <xdr:cNvPr id="28" name="Rectangle 27">
            <a:extLst>
              <a:ext uri="{FF2B5EF4-FFF2-40B4-BE49-F238E27FC236}">
                <a16:creationId xmlns:a16="http://schemas.microsoft.com/office/drawing/2014/main" id="{2D47B7D6-E4B5-687B-18F4-B33DFFFB8A12}"/>
              </a:ext>
            </a:extLst>
          </xdr:cNvPr>
          <xdr:cNvSpPr/>
        </xdr:nvSpPr>
        <xdr:spPr>
          <a:xfrm>
            <a:off x="8658225" y="2019300"/>
            <a:ext cx="4962525" cy="3238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600" b="1"/>
              <a:t>Under</a:t>
            </a:r>
          </a:p>
          <a:p>
            <a:pPr algn="ctr"/>
            <a:r>
              <a:rPr lang="en-IN" sz="6600" b="1" baseline="0"/>
              <a:t> Construction</a:t>
            </a:r>
            <a:endParaRPr lang="en-IN" sz="6600" b="1"/>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14D618FC-B5F7-43D8-BCFC-98E82C6FE92A}"/>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A17E4B56-4831-A731-BEEE-89324FC974C3}"/>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05E05735-4815-639D-576A-91391DDAEEAC}"/>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363C96F4-3B06-16F0-6B32-CC0FC438044D}"/>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CE785DD6-619C-A62F-4ABC-18801E4F0299}"/>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502E5975-00C1-5906-6601-26687AA27775}"/>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02BBADA7-3876-C909-7CD5-5165B819F6F5}"/>
              </a:ext>
            </a:extLst>
          </xdr:cNvPr>
          <xdr:cNvSpPr/>
        </xdr:nvSpPr>
        <xdr:spPr>
          <a:xfrm>
            <a:off x="161924" y="1833563"/>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2A481C9E-F9AD-D50C-2D17-0581E93ED456}"/>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913AD2A4-5FF9-4DDB-B933-955F9C612953}"/>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7029C583-38BF-2528-45FE-AD2BE36DF734}"/>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3E362F75-E29D-EC1B-916E-E3AC46B2009B}"/>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F0D4C066-24CC-A1B5-9436-0E8F43508130}"/>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1AF56813-D84A-6013-C5F8-4C77F2A16C17}"/>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FC30F568-8BE5-EC67-E1C4-69800D79615D}"/>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960EF6CC-6341-4B20-D3AE-7810AE289E21}"/>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BDAC2840-BD24-6D1A-6EDC-05E1441C7B64}"/>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8364B576-71BB-2051-9B44-19AAB51C4647}"/>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A1AD301A-C1F5-A405-13C8-CD003FC18ECC}"/>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43574F09-BBA8-2FD3-175B-72F58E103FA0}"/>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10AC969A-8266-885B-2452-9545DBE345EE}"/>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9512DA67-CF92-2CFC-A8E8-FDC6980E4284}"/>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00242196-F357-88D5-DD83-F7C9FA1F5CE8}"/>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83BA167E-D9E0-2AA6-D7D5-C41B0B57919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F212BBE6-EDD3-4A00-9D5F-E9F3F8B6496C}"/>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15E4D95A-B850-F262-620E-030A282A82B8}"/>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42D88907-B7F4-C170-3434-8F1EF5C2726C}"/>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1FFD2330-A4E2-282C-5A24-75FEBCB17499}"/>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1E662022-323E-DB84-B628-525011AF44F6}"/>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E45400F5-7060-1D5C-4EB9-A5FA8D55F13F}"/>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530686A5-9A5D-87F5-1156-6791FF57239D}"/>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D81D9C10-E952-5CD6-3D5B-62D9CA41C4AB}"/>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74E1391E-34E0-EE43-91DF-92385DDE0376}"/>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6DD809BB-3F08-D894-D240-92B809D76428}"/>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6AD4C5C0-8BA1-83C9-673E-D1481FAA146B}"/>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68F0492A-4E83-B02C-FD24-BBA0D6474121}"/>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B7423342-EA9B-6651-64CA-AD3DDF248838}"/>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8EF87F16-A572-40B7-F6C8-89CB4F172187}"/>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6A9329EE-EC13-C36B-B2CB-C2784DC45F34}"/>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5C5DE360-8415-17F3-4DBA-BCC9E649B43D}"/>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DDD66FF4-9325-6FC2-BDF9-9018EF9FE11E}"/>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ED540759-7AA8-8E14-DA5D-76FD0A89C59A}"/>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719FDBF6-BF4F-AEA6-4465-30B02B041A32}"/>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6B6CD0DC-FDE7-64BC-75B8-B5B5784920D5}"/>
              </a:ext>
            </a:extLst>
          </xdr:cNvPr>
          <xdr:cNvSpPr/>
        </xdr:nvSpPr>
        <xdr:spPr>
          <a:xfrm>
            <a:off x="161924" y="5061857"/>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062662F5-3558-6D89-FB2A-A3D246F06FCB}"/>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C2ED7D0F-1F57-9F03-535A-7F9B6176CCFA}"/>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71B80D1B-1C19-22B7-32AE-E7E569DD331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57E86C3C-6F53-45F4-8920-0D76E4B1E974}"/>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12FFB7A1-9A60-9B74-96D5-AA18280A8C86}"/>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17FDCC4C-0F81-46DF-DD4B-91CFA9AE6948}"/>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B40D91F4-3B58-B59A-9D8D-E8CCB2807072}"/>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F4F41F8D-956D-86F4-BA0F-C93B7B79B838}"/>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A9F569A4-1E26-284F-3B73-95C218361AF3}"/>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7953F108-BD36-2EDA-F467-061A3F1317DD}"/>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670D8F47-EF27-5BE5-18EA-A272FB6F5EAC}"/>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96A7D2CB-25E0-F7C5-EBE5-8B33AA34A2F2}"/>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249223AB-375C-AE72-FFD7-9D6EA7C12228}"/>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D99D9858-3492-D575-1E56-E4A3F7F40E50}"/>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571A5CB6-4B59-19D7-AF08-2B4C3F5B0FDE}"/>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85E5913B-B5C3-F917-40C7-EFB0EA0E2357}"/>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DDEDBCFD-AB0C-463E-3278-DCBA8D940FCD}"/>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681F752D-37F1-198B-6EEC-FCFF2AD4773F}"/>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C76972A3-BE9A-9967-D698-82B5D92F3DE2}"/>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D0DF1D01-3BC3-D20C-EB0C-39B88BB9BFFE}"/>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3F37B55D-184E-4818-3AFD-91D13E606E95}"/>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A58C5446-6CC3-452E-4421-D5EF011CB325}"/>
              </a:ext>
            </a:extLst>
          </xdr:cNvPr>
          <xdr:cNvSpPr/>
        </xdr:nvSpPr>
        <xdr:spPr>
          <a:xfrm>
            <a:off x="161924" y="6411685"/>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BD12EC49-5D86-C3F5-7B50-7A79A5DCDDCB}"/>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65D18511-D231-52F7-BD5B-B81550A2B929}"/>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FB732056-FB2A-C737-4874-031A71B06CE2}"/>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A11FF49F-0BFA-C055-74EC-A9E5D5B5DD3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7A896314-BFDE-46E6-800B-2412DE68A17C}"/>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0BF7D311-E321-81C9-7C1E-D2F689A5FCC9}"/>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9DC49E68-7F76-32A8-1972-5B66A28B006C}"/>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6898553A-F6D8-7814-2117-D88DEAED18CB}"/>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5A15F2BE-B267-E228-C939-80A7D3650B79}"/>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9CE3F890-86AB-0C17-2945-102D7CBF18B0}"/>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687FE5E3-5FFD-E73E-F1FC-5F1CFFCD0979}"/>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A1975416-55B3-3FD5-965E-E2D873C57B83}"/>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8102DFAA-28DD-B3C1-3C97-FA6BF518354C}"/>
              </a:ext>
            </a:extLst>
          </xdr:cNvPr>
          <xdr:cNvSpPr/>
        </xdr:nvSpPr>
        <xdr:spPr>
          <a:xfrm>
            <a:off x="161924" y="2476501"/>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Medinipur</a:t>
            </a:r>
            <a:r>
              <a:rPr lang="en-IN" sz="1100" b="1" baseline="0"/>
              <a:t> East</a:t>
            </a:r>
            <a:endParaRPr lang="en-IN" sz="1100" b="1"/>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64666796-2E89-A9BA-FA6C-A75706F571AB}"/>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A07A97BE-742D-2615-8841-370FA3357074}"/>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E5A20D2D-3386-B65A-4AA3-2A200FFEDC42}"/>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75C30B45-F10B-13A5-B751-8AD617C0904F}"/>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7E354A66-99BA-3195-84CA-48707EDB0500}"/>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576901D4-B0E2-B353-2B32-CE5329AEEA6A}"/>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4D0B37B5-2881-C1D4-027E-4A125E07D9D1}"/>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C4841497-9E4C-23E3-AF34-07C172786DE8}"/>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A4E511EA-8FA3-2A27-D904-E9AA97DFD137}"/>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0157D548-CFE4-1F19-2AC9-EF28DB036113}"/>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33C52399-E05D-F8D1-9C10-452CC3C13EFB}"/>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22AEF8A6-BB62-EEE7-D91D-995629E4B1EF}"/>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90B526FC-3957-0DFC-C03D-29A22BDB744F}"/>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C7E8D181-3BFA-4246-DC19-2E736B1F2A4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654B994D-72D7-40EB-8955-721C907126D6}"/>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F81F111B-9B16-2105-44DA-46FA98659268}"/>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E30B5E01-55BE-F7D3-B434-ECD0E5DE37EB}"/>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F77EEF3B-1BE5-1CC0-FB21-7408996A5419}"/>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5324FBCE-0831-F66E-A467-2D5F71BF66B6}"/>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B99D8E44-4477-4682-F3EB-C7CEC774E90E}"/>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811731A0-7467-82FD-C346-FBA245DC32CA}"/>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9DD4D5E5-F678-7006-3194-F204089AD59C}"/>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045A422F-36C4-1729-3B35-FB6452783331}"/>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1716F54F-DFEA-39CE-8747-A21F04542BF8}"/>
              </a:ext>
            </a:extLst>
          </xdr:cNvPr>
          <xdr:cNvSpPr/>
        </xdr:nvSpPr>
        <xdr:spPr>
          <a:xfrm>
            <a:off x="161924" y="2797970"/>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Medinipur</a:t>
            </a:r>
            <a:r>
              <a:rPr lang="en-IN" sz="1100" b="1" baseline="0"/>
              <a:t> West</a:t>
            </a:r>
            <a:endParaRPr lang="en-IN" sz="1100" b="1"/>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7A01E1BE-CCA9-BB16-FFA5-C27B860BD43C}"/>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4AA6CF59-C7DE-DEDF-99FF-967D345A9CCA}"/>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A406FFF4-F27B-81BE-9FF2-F855B23BD937}"/>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8D1A527D-F22E-749F-7D93-2209A8F6D163}"/>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0ACAF691-3725-9FD2-0EE8-71B16509350F}"/>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675A1153-0537-4D90-1A0E-B8781E2969C2}"/>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D32FC983-F50D-6949-35AC-3EB2A92A7823}"/>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F0D1720E-D328-D4F9-8681-1374E88BDC9F}"/>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E8662D66-6D94-3896-F35D-D283495B0D7F}"/>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946F3771-CB1D-EA39-BC5E-10162F3D5887}"/>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D9446073-BC35-08B6-281F-524680DFDE72}"/>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2274ADFA-E2BC-2256-1976-0FB58BFF6BB8}"/>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5E209478-19C3-B2A1-BDBE-2FB5B4A27F1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5D59F6BB-6CF0-4500-85E5-4BD878B05A01}"/>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F0B27FE1-88C6-982D-F106-326D9EC1A166}"/>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91F020D1-8898-66FD-6FE8-51ECD83CAF49}"/>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FA03EDE9-E633-6131-6198-EA90C1B3528A}"/>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7E0B5DBF-23FB-95C2-4FFD-C39D555CECF4}"/>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4233DF29-45FD-60B2-EDC4-B547DFB92F5E}"/>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423FB36A-2B37-A782-658A-BB0712892A29}"/>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0A9E1557-9237-601D-EEB2-5849AB17C8DF}"/>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E1AA0CD9-35D3-5EA6-2876-20FA78F676CA}"/>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2B1134B3-7158-7CF9-FD29-0AF59A80EF92}"/>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69FCD214-D6D7-3C2E-145B-5CF00F1B2F55}"/>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187AF064-A1B4-AA65-9C5F-B5C236AC39B0}"/>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08B7AF26-8DE9-209B-2BE5-E72023878313}"/>
              </a:ext>
            </a:extLst>
          </xdr:cNvPr>
          <xdr:cNvSpPr/>
        </xdr:nvSpPr>
        <xdr:spPr>
          <a:xfrm>
            <a:off x="161924" y="376237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CC5C3525-2F14-6221-C825-2910ED8E8852}"/>
              </a:ext>
            </a:extLst>
          </xdr:cNvPr>
          <xdr:cNvSpPr/>
        </xdr:nvSpPr>
        <xdr:spPr>
          <a:xfrm>
            <a:off x="161924" y="6074228"/>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79863BEA-0DD5-950A-EFF5-1090FFC3DB3F}"/>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061C956A-9B77-2E71-988E-79CEA19D627E}"/>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03CDAC72-FD7F-4A14-372C-3EB6345AC463}"/>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6B725545-9E28-6CA2-D5DD-01CA37F48B17}"/>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6D527E9D-9BBF-F3F1-BD7C-96395DD3800B}"/>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FA59B996-3BE3-DF03-4AE2-762486FAB9DE}"/>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B76CE7D4-1799-9242-9BC0-966CD628171A}"/>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FA4D92BC-CFD3-D813-D4B0-02C89F4F29DD}"/>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3B676627-44FC-181F-4EB8-F630E334448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371475</xdr:colOff>
      <xdr:row>39</xdr:row>
      <xdr:rowOff>85725</xdr:rowOff>
    </xdr:to>
    <xdr:grpSp>
      <xdr:nvGrpSpPr>
        <xdr:cNvPr id="2" name="Group 1">
          <a:extLst>
            <a:ext uri="{FF2B5EF4-FFF2-40B4-BE49-F238E27FC236}">
              <a16:creationId xmlns:a16="http://schemas.microsoft.com/office/drawing/2014/main" id="{FF94B96E-19E1-4E50-88DB-ED5EC1EE4266}"/>
            </a:ext>
          </a:extLst>
        </xdr:cNvPr>
        <xdr:cNvGrpSpPr/>
      </xdr:nvGrpSpPr>
      <xdr:grpSpPr>
        <a:xfrm>
          <a:off x="0" y="0"/>
          <a:ext cx="2514600" cy="7515225"/>
          <a:chOff x="9525" y="0"/>
          <a:chExt cx="2514600" cy="7515225"/>
        </a:xfrm>
      </xdr:grpSpPr>
      <xdr:sp macro="" textlink="">
        <xdr:nvSpPr>
          <xdr:cNvPr id="3" name="Rectangle: Rounded Corners 2">
            <a:extLst>
              <a:ext uri="{FF2B5EF4-FFF2-40B4-BE49-F238E27FC236}">
                <a16:creationId xmlns:a16="http://schemas.microsoft.com/office/drawing/2014/main" id="{0CDDD8E3-6BB8-D9AC-288D-A3F38B67AE72}"/>
              </a:ext>
            </a:extLst>
          </xdr:cNvPr>
          <xdr:cNvSpPr/>
        </xdr:nvSpPr>
        <xdr:spPr>
          <a:xfrm>
            <a:off x="9525" y="0"/>
            <a:ext cx="2514600" cy="7515225"/>
          </a:xfrm>
          <a:prstGeom prst="roundRect">
            <a:avLst>
              <a:gd name="adj" fmla="val 2998"/>
            </a:avLst>
          </a:prstGeom>
          <a:gradFill>
            <a:gsLst>
              <a:gs pos="19000">
                <a:srgbClr val="22577A"/>
              </a:gs>
              <a:gs pos="46000">
                <a:srgbClr val="38A3A5"/>
              </a:gs>
              <a:gs pos="76000">
                <a:srgbClr val="57CC99"/>
              </a:gs>
              <a:gs pos="100000">
                <a:srgbClr val="80ED99"/>
              </a:gs>
            </a:gsLst>
            <a:lin ang="5400000" scaled="1"/>
          </a:gra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CDC14C4E-9EAA-A9F3-03B0-275CFD7249C4}"/>
              </a:ext>
            </a:extLst>
          </xdr:cNvPr>
          <xdr:cNvSpPr/>
        </xdr:nvSpPr>
        <xdr:spPr>
          <a:xfrm>
            <a:off x="209549" y="762000"/>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Indrani</a:t>
            </a:r>
          </a:p>
        </xdr:txBody>
      </xdr:sp>
      <xdr:sp macro="" textlink="">
        <xdr:nvSpPr>
          <xdr:cNvPr id="5" name="Rectangle: Rounded Corners 4">
            <a:extLst>
              <a:ext uri="{FF2B5EF4-FFF2-40B4-BE49-F238E27FC236}">
                <a16:creationId xmlns:a16="http://schemas.microsoft.com/office/drawing/2014/main" id="{087BBA83-D120-A1A7-1D76-441DE5D9A7FD}"/>
              </a:ext>
            </a:extLst>
          </xdr:cNvPr>
          <xdr:cNvSpPr/>
        </xdr:nvSpPr>
        <xdr:spPr>
          <a:xfrm>
            <a:off x="209549" y="4181475"/>
            <a:ext cx="2085975" cy="361950"/>
          </a:xfrm>
          <a:prstGeom prst="roundRect">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none"/>
              <a:t>Mayank</a:t>
            </a:r>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CDDB41B7-7FB0-D574-49ED-1ABEA6AD5226}"/>
              </a:ext>
            </a:extLst>
          </xdr:cNvPr>
          <xdr:cNvSpPr/>
        </xdr:nvSpPr>
        <xdr:spPr>
          <a:xfrm>
            <a:off x="161924" y="119062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North</a:t>
            </a:r>
            <a:r>
              <a:rPr lang="en-IN" sz="1100" baseline="0"/>
              <a:t> 24 Pgs</a:t>
            </a:r>
            <a:endParaRPr lang="en-IN" sz="1100"/>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BAEF3427-10F4-011D-2ACA-FE3002281A08}"/>
              </a:ext>
            </a:extLst>
          </xdr:cNvPr>
          <xdr:cNvSpPr/>
        </xdr:nvSpPr>
        <xdr:spPr>
          <a:xfrm>
            <a:off x="161924" y="151209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South</a:t>
            </a:r>
            <a:r>
              <a:rPr lang="en-IN" sz="1100" baseline="0"/>
              <a:t> 24 Pgs</a:t>
            </a:r>
            <a:endParaRPr lang="en-IN" sz="11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82C25931-4A9A-05DF-5ADA-F357D0C34163}"/>
              </a:ext>
            </a:extLst>
          </xdr:cNvPr>
          <xdr:cNvSpPr/>
        </xdr:nvSpPr>
        <xdr:spPr>
          <a:xfrm>
            <a:off x="161924" y="1833563"/>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Hooghly</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7224D889-25D9-B7AD-57EE-46BDDDA1BCEF}"/>
              </a:ext>
            </a:extLst>
          </xdr:cNvPr>
          <xdr:cNvSpPr/>
        </xdr:nvSpPr>
        <xdr:spPr>
          <a:xfrm>
            <a:off x="161924" y="215503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Haowah</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0AADB87B-D98F-1B52-8329-99E0F64FB0F2}"/>
              </a:ext>
            </a:extLst>
          </xdr:cNvPr>
          <xdr:cNvSpPr/>
        </xdr:nvSpPr>
        <xdr:spPr>
          <a:xfrm>
            <a:off x="161924" y="247650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East</a:t>
            </a:r>
            <a:endParaRPr lang="en-IN" sz="1100"/>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5452A556-735E-9115-C605-8F40F047CD36}"/>
              </a:ext>
            </a:extLst>
          </xdr:cNvPr>
          <xdr:cNvSpPr/>
        </xdr:nvSpPr>
        <xdr:spPr>
          <a:xfrm>
            <a:off x="161924" y="279797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Medinipur</a:t>
            </a:r>
            <a:r>
              <a:rPr lang="en-IN" sz="1100" baseline="0"/>
              <a:t> West</a:t>
            </a:r>
            <a:endParaRPr lang="en-IN" sz="1100"/>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BB418936-44ED-05BF-9611-75AAFCECE825}"/>
              </a:ext>
            </a:extLst>
          </xdr:cNvPr>
          <xdr:cNvSpPr/>
        </xdr:nvSpPr>
        <xdr:spPr>
          <a:xfrm>
            <a:off x="161924" y="3119439"/>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Bankura</a:t>
            </a:r>
          </a:p>
        </xdr:txBody>
      </xdr:sp>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F648E1D4-CEBB-CE16-A8BD-95F14FE63F66}"/>
              </a:ext>
            </a:extLst>
          </xdr:cNvPr>
          <xdr:cNvSpPr/>
        </xdr:nvSpPr>
        <xdr:spPr>
          <a:xfrm>
            <a:off x="161924" y="344090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Bardhaman</a:t>
            </a:r>
          </a:p>
        </xdr:txBody>
      </xdr:sp>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302142A7-526D-94B8-BC3A-143FC1A79656}"/>
              </a:ext>
            </a:extLst>
          </xdr:cNvPr>
          <xdr:cNvSpPr/>
        </xdr:nvSpPr>
        <xdr:spPr>
          <a:xfrm>
            <a:off x="161924" y="3762375"/>
            <a:ext cx="1190625" cy="247650"/>
          </a:xfrm>
          <a:prstGeom prst="roundRect">
            <a:avLst/>
          </a:prstGeom>
          <a:gradFill flip="none" rotWithShape="1">
            <a:gsLst>
              <a:gs pos="0">
                <a:srgbClr val="004F88">
                  <a:shade val="30000"/>
                  <a:satMod val="115000"/>
                </a:srgbClr>
              </a:gs>
              <a:gs pos="50000">
                <a:srgbClr val="004F88">
                  <a:shade val="67500"/>
                  <a:satMod val="115000"/>
                </a:srgbClr>
              </a:gs>
              <a:gs pos="100000">
                <a:srgbClr val="004F88">
                  <a:shade val="100000"/>
                  <a:satMod val="115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00" b="1"/>
              <a:t>Nadia</a:t>
            </a:r>
          </a:p>
        </xdr:txBody>
      </xdr:sp>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60FED16E-8EC1-98E9-098A-2FC0632BB693}"/>
              </a:ext>
            </a:extLst>
          </xdr:cNvPr>
          <xdr:cNvSpPr/>
        </xdr:nvSpPr>
        <xdr:spPr>
          <a:xfrm>
            <a:off x="161924" y="6074228"/>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Murshidabad</a:t>
            </a:r>
          </a:p>
        </xdr:txBody>
      </xdr:sp>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BDF4346E-1039-1FA6-941B-CDAF2E9BA049}"/>
              </a:ext>
            </a:extLst>
          </xdr:cNvPr>
          <xdr:cNvSpPr/>
        </xdr:nvSpPr>
        <xdr:spPr>
          <a:xfrm>
            <a:off x="161924" y="5736771"/>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Birbhum</a:t>
            </a:r>
          </a:p>
        </xdr:txBody>
      </xdr:sp>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D690FF68-ECB1-49C1-C852-49070CB9E36A}"/>
              </a:ext>
            </a:extLst>
          </xdr:cNvPr>
          <xdr:cNvSpPr/>
        </xdr:nvSpPr>
        <xdr:spPr>
          <a:xfrm>
            <a:off x="161924" y="70866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t>
            </a:r>
            <a:r>
              <a:rPr lang="en-IN" sz="1100" baseline="0"/>
              <a:t> Dinajpur</a:t>
            </a:r>
            <a:endParaRPr lang="en-IN" sz="1100"/>
          </a:p>
        </xdr:txBody>
      </xdr:sp>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24B8C7EA-531F-8475-1F0A-178AF790CBF0}"/>
              </a:ext>
            </a:extLst>
          </xdr:cNvPr>
          <xdr:cNvSpPr/>
        </xdr:nvSpPr>
        <xdr:spPr>
          <a:xfrm>
            <a:off x="161924" y="4724400"/>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Alipurduar</a:t>
            </a:r>
          </a:p>
        </xdr:txBody>
      </xdr:sp>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BF82B923-C72F-5C94-E30D-949ED5668A51}"/>
              </a:ext>
            </a:extLst>
          </xdr:cNvPr>
          <xdr:cNvSpPr/>
        </xdr:nvSpPr>
        <xdr:spPr>
          <a:xfrm>
            <a:off x="161924" y="6749142"/>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N</a:t>
            </a:r>
            <a:r>
              <a:rPr lang="en-IN" sz="1100" baseline="0"/>
              <a:t> Dinajpur</a:t>
            </a:r>
            <a:endParaRPr lang="en-IN" sz="1100"/>
          </a:p>
        </xdr:txBody>
      </xdr:sp>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851B0067-A00B-D1B7-9314-5D70149DB5C5}"/>
              </a:ext>
            </a:extLst>
          </xdr:cNvPr>
          <xdr:cNvSpPr/>
        </xdr:nvSpPr>
        <xdr:spPr>
          <a:xfrm>
            <a:off x="161924" y="6411685"/>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Malda</a:t>
            </a:r>
          </a:p>
        </xdr:txBody>
      </xdr:sp>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3B0FC0EF-CC6C-A2CD-F6A0-3640754CF50F}"/>
              </a:ext>
            </a:extLst>
          </xdr:cNvPr>
          <xdr:cNvSpPr/>
        </xdr:nvSpPr>
        <xdr:spPr>
          <a:xfrm>
            <a:off x="161924" y="5061857"/>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Jalpaiguri</a:t>
            </a:r>
          </a:p>
        </xdr:txBody>
      </xdr:sp>
      <xdr:sp macro="" textlink="">
        <xdr:nvSpPr>
          <xdr:cNvPr id="22" name="Rectangle: Rounded Corners 21">
            <a:hlinkClick xmlns:r="http://schemas.openxmlformats.org/officeDocument/2006/relationships" r:id="rId17"/>
            <a:extLst>
              <a:ext uri="{FF2B5EF4-FFF2-40B4-BE49-F238E27FC236}">
                <a16:creationId xmlns:a16="http://schemas.microsoft.com/office/drawing/2014/main" id="{14D0F08E-F4F8-7A8C-B7CD-D43ED2385AD8}"/>
              </a:ext>
            </a:extLst>
          </xdr:cNvPr>
          <xdr:cNvSpPr/>
        </xdr:nvSpPr>
        <xdr:spPr>
          <a:xfrm>
            <a:off x="161924" y="5399314"/>
            <a:ext cx="1190625" cy="2476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Coochbehar</a:t>
            </a:r>
          </a:p>
        </xdr:txBody>
      </xdr:sp>
      <xdr:sp macro="" textlink="">
        <xdr:nvSpPr>
          <xdr:cNvPr id="23" name="Rectangle: Rounded Corners 22">
            <a:hlinkClick xmlns:r="http://schemas.openxmlformats.org/officeDocument/2006/relationships" r:id="rId18"/>
            <a:extLst>
              <a:ext uri="{FF2B5EF4-FFF2-40B4-BE49-F238E27FC236}">
                <a16:creationId xmlns:a16="http://schemas.microsoft.com/office/drawing/2014/main" id="{C97C3B08-BFC6-17C5-0BAC-931D88C24848}"/>
              </a:ext>
            </a:extLst>
          </xdr:cNvPr>
          <xdr:cNvSpPr/>
        </xdr:nvSpPr>
        <xdr:spPr>
          <a:xfrm>
            <a:off x="747711" y="152400"/>
            <a:ext cx="10096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pic>
        <xdr:nvPicPr>
          <xdr:cNvPr id="24" name="Graphic 23" descr="Home with solid fill">
            <a:hlinkClick xmlns:r="http://schemas.openxmlformats.org/officeDocument/2006/relationships" r:id="rId18"/>
            <a:extLst>
              <a:ext uri="{FF2B5EF4-FFF2-40B4-BE49-F238E27FC236}">
                <a16:creationId xmlns:a16="http://schemas.microsoft.com/office/drawing/2014/main" id="{3CAEB675-9B90-9DD9-9BDF-F22BC9C9B18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71475" y="76199"/>
            <a:ext cx="504825" cy="466725"/>
          </a:xfrm>
          <a:prstGeom prst="rect">
            <a:avLst/>
          </a:prstGeom>
        </xdr:spPr>
      </xdr:pic>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13</xdr:col>
      <xdr:colOff>38099</xdr:colOff>
      <xdr:row>1</xdr:row>
      <xdr:rowOff>9526</xdr:rowOff>
    </xdr:from>
    <xdr:to>
      <xdr:col>26</xdr:col>
      <xdr:colOff>276224</xdr:colOff>
      <xdr:row>7</xdr:row>
      <xdr:rowOff>28576</xdr:rowOff>
    </xdr:to>
    <mc:AlternateContent xmlns:mc="http://schemas.openxmlformats.org/markup-compatibility/2006" xmlns:a14="http://schemas.microsoft.com/office/drawing/2010/main">
      <mc:Choice Requires="a14">
        <xdr:graphicFrame macro="">
          <xdr:nvGraphicFramePr>
            <xdr:cNvPr id="3" name="District">
              <a:extLst>
                <a:ext uri="{FF2B5EF4-FFF2-40B4-BE49-F238E27FC236}">
                  <a16:creationId xmlns:a16="http://schemas.microsoft.com/office/drawing/2014/main" id="{9E713105-75C3-09DD-9330-6BC91DE6B32B}"/>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9277349" y="200026"/>
              <a:ext cx="8162925"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104775</xdr:colOff>
      <xdr:row>10</xdr:row>
      <xdr:rowOff>180975</xdr:rowOff>
    </xdr:from>
    <xdr:to>
      <xdr:col>13</xdr:col>
      <xdr:colOff>295275</xdr:colOff>
      <xdr:row>25</xdr:row>
      <xdr:rowOff>66675</xdr:rowOff>
    </xdr:to>
    <xdr:graphicFrame macro="">
      <xdr:nvGraphicFramePr>
        <xdr:cNvPr id="5" name="Chart 4">
          <a:extLst>
            <a:ext uri="{FF2B5EF4-FFF2-40B4-BE49-F238E27FC236}">
              <a16:creationId xmlns:a16="http://schemas.microsoft.com/office/drawing/2014/main" id="{E6A17718-DD22-AB05-10FB-DD75839E6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14</xdr:col>
      <xdr:colOff>285750</xdr:colOff>
      <xdr:row>0</xdr:row>
      <xdr:rowOff>33336</xdr:rowOff>
    </xdr:from>
    <xdr:to>
      <xdr:col>21</xdr:col>
      <xdr:colOff>590550</xdr:colOff>
      <xdr:row>20</xdr:row>
      <xdr:rowOff>57149</xdr:rowOff>
    </xdr:to>
    <xdr:graphicFrame macro="">
      <xdr:nvGraphicFramePr>
        <xdr:cNvPr id="2" name="Chart 1">
          <a:extLst>
            <a:ext uri="{FF2B5EF4-FFF2-40B4-BE49-F238E27FC236}">
              <a16:creationId xmlns:a16="http://schemas.microsoft.com/office/drawing/2014/main" id="{E7E5FA3A-8183-429E-920F-6FD637601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333375</xdr:colOff>
      <xdr:row>5</xdr:row>
      <xdr:rowOff>185737</xdr:rowOff>
    </xdr:from>
    <xdr:to>
      <xdr:col>13</xdr:col>
      <xdr:colOff>381000</xdr:colOff>
      <xdr:row>20</xdr:row>
      <xdr:rowOff>71437</xdr:rowOff>
    </xdr:to>
    <xdr:graphicFrame macro="">
      <xdr:nvGraphicFramePr>
        <xdr:cNvPr id="3" name="Chart 2">
          <a:extLst>
            <a:ext uri="{FF2B5EF4-FFF2-40B4-BE49-F238E27FC236}">
              <a16:creationId xmlns:a16="http://schemas.microsoft.com/office/drawing/2014/main" id="{79CBB2EF-E9FD-433C-9131-FA79EA003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2</xdr:col>
      <xdr:colOff>514350</xdr:colOff>
      <xdr:row>4</xdr:row>
      <xdr:rowOff>0</xdr:rowOff>
    </xdr:from>
    <xdr:to>
      <xdr:col>13</xdr:col>
      <xdr:colOff>438150</xdr:colOff>
      <xdr:row>25</xdr:row>
      <xdr:rowOff>171450</xdr:rowOff>
    </xdr:to>
    <xdr:graphicFrame macro="">
      <xdr:nvGraphicFramePr>
        <xdr:cNvPr id="2" name="Chart 1">
          <a:extLst>
            <a:ext uri="{FF2B5EF4-FFF2-40B4-BE49-F238E27FC236}">
              <a16:creationId xmlns:a16="http://schemas.microsoft.com/office/drawing/2014/main" id="{DFF03A13-C13C-0B8F-1469-16319F293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400050</xdr:colOff>
      <xdr:row>2</xdr:row>
      <xdr:rowOff>85726</xdr:rowOff>
    </xdr:from>
    <xdr:to>
      <xdr:col>26</xdr:col>
      <xdr:colOff>190500</xdr:colOff>
      <xdr:row>9</xdr:row>
      <xdr:rowOff>66676</xdr:rowOff>
    </xdr:to>
    <mc:AlternateContent xmlns:mc="http://schemas.openxmlformats.org/markup-compatibility/2006" xmlns:a14="http://schemas.microsoft.com/office/drawing/2010/main">
      <mc:Choice Requires="a14">
        <xdr:graphicFrame macro="">
          <xdr:nvGraphicFramePr>
            <xdr:cNvPr id="3" name="District 1">
              <a:extLst>
                <a:ext uri="{FF2B5EF4-FFF2-40B4-BE49-F238E27FC236}">
                  <a16:creationId xmlns:a16="http://schemas.microsoft.com/office/drawing/2014/main" id="{B5238A40-2A1B-433D-3959-D1E0C51C4BC1}"/>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mlns="">
        <xdr:sp macro="" textlink="">
          <xdr:nvSpPr>
            <xdr:cNvPr id="0" name=""/>
            <xdr:cNvSpPr>
              <a:spLocks noTextEdit="1"/>
            </xdr:cNvSpPr>
          </xdr:nvSpPr>
          <xdr:spPr>
            <a:xfrm>
              <a:off x="10172700" y="466726"/>
              <a:ext cx="710565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47625</xdr:colOff>
      <xdr:row>3</xdr:row>
      <xdr:rowOff>57150</xdr:rowOff>
    </xdr:from>
    <xdr:to>
      <xdr:col>19</xdr:col>
      <xdr:colOff>352425</xdr:colOff>
      <xdr:row>17</xdr:row>
      <xdr:rowOff>133350</xdr:rowOff>
    </xdr:to>
    <xdr:graphicFrame macro="">
      <xdr:nvGraphicFramePr>
        <xdr:cNvPr id="2" name="Chart 1">
          <a:extLst>
            <a:ext uri="{FF2B5EF4-FFF2-40B4-BE49-F238E27FC236}">
              <a16:creationId xmlns:a16="http://schemas.microsoft.com/office/drawing/2014/main" id="{1FFA2783-F13C-11C0-A42D-FCBFBE95E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7</xdr:col>
      <xdr:colOff>266700</xdr:colOff>
      <xdr:row>3</xdr:row>
      <xdr:rowOff>100012</xdr:rowOff>
    </xdr:from>
    <xdr:to>
      <xdr:col>24</xdr:col>
      <xdr:colOff>209550</xdr:colOff>
      <xdr:row>17</xdr:row>
      <xdr:rowOff>176212</xdr:rowOff>
    </xdr:to>
    <xdr:graphicFrame macro="">
      <xdr:nvGraphicFramePr>
        <xdr:cNvPr id="2" name="Chart 1">
          <a:extLst>
            <a:ext uri="{FF2B5EF4-FFF2-40B4-BE49-F238E27FC236}">
              <a16:creationId xmlns:a16="http://schemas.microsoft.com/office/drawing/2014/main" id="{C4399216-A3AD-4526-9FEC-C3978F767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571500</xdr:colOff>
      <xdr:row>20</xdr:row>
      <xdr:rowOff>157161</xdr:rowOff>
    </xdr:from>
    <xdr:to>
      <xdr:col>20</xdr:col>
      <xdr:colOff>28575</xdr:colOff>
      <xdr:row>45</xdr:row>
      <xdr:rowOff>152400</xdr:rowOff>
    </xdr:to>
    <xdr:graphicFrame macro="">
      <xdr:nvGraphicFramePr>
        <xdr:cNvPr id="3" name="Chart 2">
          <a:extLst>
            <a:ext uri="{FF2B5EF4-FFF2-40B4-BE49-F238E27FC236}">
              <a16:creationId xmlns:a16="http://schemas.microsoft.com/office/drawing/2014/main" id="{EC6478A3-F8FC-4E32-B16F-774F578BE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0.548085648152" createdVersion="8" refreshedVersion="6" minRefreshableVersion="3" recordCount="9106" xr:uid="{3F75CA6D-9848-4705-BA0A-188923A88878}">
  <cacheSource type="worksheet">
    <worksheetSource ref="A1:T9207" sheet="WH+RT CURRENT"/>
  </cacheSource>
  <cacheFields count="20">
    <cacheField name="Plant" numFmtId="0">
      <sharedItems containsBlank="1"/>
    </cacheField>
    <cacheField name="Product" numFmtId="0">
      <sharedItems containsBlank="1"/>
    </cacheField>
    <cacheField name="State" numFmtId="0">
      <sharedItems containsBlank="1"/>
    </cacheField>
    <cacheField name="District" numFmtId="0">
      <sharedItems containsBlank="1" count="20">
        <s v="24 Paraganas North"/>
        <s v="24 Paraganas South"/>
        <s v="Alipurduar"/>
        <s v="Bankura"/>
        <s v="Bardhaman"/>
        <s v="Birbhum"/>
        <s v="Coochbehar"/>
        <s v="Dinajpur Dakshin"/>
        <s v="Dinajpur Uttar"/>
        <s v="Hooghly"/>
        <s v="Howrah"/>
        <s v="Jalpaiguri"/>
        <s v="Maldah"/>
        <s v="Medinipur East"/>
        <s v="Murshidabad"/>
        <s v="Nadia"/>
        <s v="Darjeeling"/>
        <s v="Medinipur West"/>
        <s v="Paschim Bardhaman"/>
        <m/>
      </sharedItems>
    </cacheField>
    <cacheField name="Sub-District" numFmtId="0">
      <sharedItems containsBlank="1"/>
    </cacheField>
    <cacheField name="State Manager" numFmtId="0">
      <sharedItems containsBlank="1"/>
    </cacheField>
    <cacheField name="Area Manager" numFmtId="0">
      <sharedItems containsBlank="1"/>
    </cacheField>
    <cacheField name="Field Officer" numFmtId="0">
      <sharedItems containsBlank="1"/>
    </cacheField>
    <cacheField name="WH ID" numFmtId="0">
      <sharedItems containsString="0" containsBlank="1" containsNumber="1" containsInteger="1" minValue="126330" maxValue="1654376"/>
    </cacheField>
    <cacheField name="Wholesaler Name" numFmtId="0">
      <sharedItems containsBlank="1"/>
    </cacheField>
    <cacheField name="Dealership Nature" numFmtId="0">
      <sharedItems containsBlank="1"/>
    </cacheField>
    <cacheField name="Mobile Number" numFmtId="0">
      <sharedItems containsBlank="1"/>
    </cacheField>
    <cacheField name="Qty (In MT)" numFmtId="0">
      <sharedItems containsString="0" containsBlank="1" containsNumber="1" minValue="1E-3" maxValue="79.3"/>
    </cacheField>
    <cacheField name="Age (In Days)" numFmtId="0">
      <sharedItems containsString="0" containsBlank="1" containsNumber="1" containsInteger="1" minValue="1" maxValue="2673"/>
    </cacheField>
    <cacheField name="AGEING STOCK" numFmtId="0">
      <sharedItems containsBlank="1" count="9">
        <s v="121-180"/>
        <s v="31-60"/>
        <s v="61-90"/>
        <s v="181-365"/>
        <s v="0-30"/>
        <s v="91-120"/>
        <s v="366-546"/>
        <s v="547+"/>
        <m/>
      </sharedItems>
    </cacheField>
    <cacheField name="Invoice Number" numFmtId="0">
      <sharedItems containsBlank="1"/>
    </cacheField>
    <cacheField name="Invoice Date" numFmtId="0">
      <sharedItems containsBlank="1"/>
    </cacheField>
    <cacheField name="Seller Id" numFmtId="0">
      <sharedItems containsBlank="1"/>
    </cacheField>
    <cacheField name="Seller Name" numFmtId="0">
      <sharedItems containsBlank="1"/>
    </cacheField>
    <cacheField name="Seller Mobile Number" numFmtId="0">
      <sharedItems containsBlank="1"/>
    </cacheField>
  </cacheFields>
  <extLst>
    <ext xmlns:x14="http://schemas.microsoft.com/office/spreadsheetml/2009/9/main" uri="{725AE2AE-9491-48be-B2B4-4EB974FC3084}">
      <x14:pivotCacheDefinition pivotCacheId="7255763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0.549547106479" createdVersion="8" refreshedVersion="6" minRefreshableVersion="3" recordCount="9207" xr:uid="{CADB0068-3B18-469A-BB56-E76DCD8844FF}">
  <cacheSource type="worksheet">
    <worksheetSource ref="A1:T9292" sheet="WH+RT PREVIOUS"/>
  </cacheSource>
  <cacheFields count="20">
    <cacheField name="Plant" numFmtId="0">
      <sharedItems containsBlank="1"/>
    </cacheField>
    <cacheField name="Product" numFmtId="0">
      <sharedItems containsBlank="1"/>
    </cacheField>
    <cacheField name="State" numFmtId="0">
      <sharedItems containsBlank="1"/>
    </cacheField>
    <cacheField name="District" numFmtId="0">
      <sharedItems containsBlank="1" count="20">
        <s v="24 Paraganas North"/>
        <s v="24 Paraganas South"/>
        <s v="Alipurduar"/>
        <s v="Bankura"/>
        <s v="Bardhaman"/>
        <s v="Birbhum"/>
        <s v="Coochbehar"/>
        <s v="Darjeeling"/>
        <s v="Dinajpur Dakshin"/>
        <s v="Dinajpur Uttar"/>
        <s v="Hooghly"/>
        <s v="Howrah"/>
        <s v="Jalpaiguri"/>
        <s v="Maldah"/>
        <s v="Medinipur East"/>
        <s v="Medinipur West"/>
        <s v="Murshidabad"/>
        <s v="Nadia"/>
        <s v="Paschim Bardhaman"/>
        <m/>
      </sharedItems>
    </cacheField>
    <cacheField name="Sub-District" numFmtId="0">
      <sharedItems containsBlank="1"/>
    </cacheField>
    <cacheField name="State Manager" numFmtId="0">
      <sharedItems containsBlank="1"/>
    </cacheField>
    <cacheField name="Area Manager" numFmtId="0">
      <sharedItems containsBlank="1"/>
    </cacheField>
    <cacheField name="Field Officer" numFmtId="0">
      <sharedItems containsBlank="1"/>
    </cacheField>
    <cacheField name="WH ID" numFmtId="0">
      <sharedItems containsString="0" containsBlank="1" containsNumber="1" containsInteger="1" minValue="126330" maxValue="1654376"/>
    </cacheField>
    <cacheField name="Wholesaler Name" numFmtId="0">
      <sharedItems containsBlank="1"/>
    </cacheField>
    <cacheField name="Dealership Nature" numFmtId="0">
      <sharedItems containsBlank="1"/>
    </cacheField>
    <cacheField name="Mobile Number" numFmtId="0">
      <sharedItems containsBlank="1"/>
    </cacheField>
    <cacheField name="Qty (In MT)" numFmtId="0">
      <sharedItems containsString="0" containsBlank="1" containsNumber="1" minValue="1E-3" maxValue="90"/>
    </cacheField>
    <cacheField name="Age (In Days)" numFmtId="0">
      <sharedItems containsString="0" containsBlank="1" containsNumber="1" containsInteger="1" minValue="2" maxValue="2666"/>
    </cacheField>
    <cacheField name="Ageing stock" numFmtId="0">
      <sharedItems containsBlank="1" count="9">
        <s v="366-546"/>
        <s v="181-365"/>
        <s v="547+"/>
        <s v="31-60"/>
        <s v="121-180"/>
        <s v="0-30"/>
        <s v="61-90"/>
        <s v="91-120"/>
        <m/>
      </sharedItems>
    </cacheField>
    <cacheField name="Invoice Number" numFmtId="0">
      <sharedItems containsBlank="1"/>
    </cacheField>
    <cacheField name="Invoice Date" numFmtId="0">
      <sharedItems containsBlank="1"/>
    </cacheField>
    <cacheField name="Seller Id" numFmtId="0">
      <sharedItems containsBlank="1" containsMixedTypes="1" containsNumber="1" containsInteger="1" minValue="269533" maxValue="289634"/>
    </cacheField>
    <cacheField name="Seller Name" numFmtId="0">
      <sharedItems containsBlank="1"/>
    </cacheField>
    <cacheField name="Seller Mobile Number" numFmtId="0">
      <sharedItems containsBlank="1"/>
    </cacheField>
  </cacheFields>
  <extLst>
    <ext xmlns:x14="http://schemas.microsoft.com/office/spreadsheetml/2009/9/main" uri="{725AE2AE-9491-48be-B2B4-4EB974FC3084}">
      <x14:pivotCacheDefinition pivotCacheId="1155569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06">
  <r>
    <s v="RCF Thal"/>
    <s v="N.C.Urea(45kg)"/>
    <s v="WB"/>
    <x v="0"/>
    <s v="Amdanga"/>
    <s v="User Not Mapped"/>
    <s v="User Not Mapped"/>
    <s v="User Not Mapped"/>
    <n v="355410"/>
    <s v="Agradoot "/>
    <s v="Private Wholsaler"/>
    <s v="9433166490"/>
    <n v="2.7"/>
    <n v="159"/>
    <x v="0"/>
    <s v="'0509'"/>
    <s v="2025-11-19"/>
    <s v="607374"/>
    <s v="SUMON SADHUKHAN"/>
    <s v="7980704821"/>
  </r>
  <r>
    <s v="RCF Import"/>
    <s v="MOP"/>
    <s v="WB"/>
    <x v="0"/>
    <s v="Amdanga"/>
    <s v="User Not Mapped"/>
    <s v="User Not Mapped"/>
    <s v="User Not Mapped"/>
    <n v="739737"/>
    <s v="ALAM FERTILIZER"/>
    <s v="Private Wholsaler"/>
    <s v="9123715989"/>
    <n v="19"/>
    <n v="35"/>
    <x v="1"/>
    <s v="'AS01/230326'"/>
    <s v="2026-03-23"/>
    <s v="917469"/>
    <s v="MONDAL KRISHI BHANDER"/>
    <s v="9681347066"/>
  </r>
  <r>
    <s v="RCF Trombay"/>
    <s v="15-15-15"/>
    <s v="WB"/>
    <x v="0"/>
    <s v="Amdanga"/>
    <s v="User Not Mapped"/>
    <s v="User Not Mapped"/>
    <s v="User Not Mapped"/>
    <n v="917469"/>
    <s v="MONDAL KRISHI BHANDER"/>
    <s v="Private Wholsaler"/>
    <s v="9681347066"/>
    <n v="0.5"/>
    <n v="72"/>
    <x v="2"/>
    <s v="'37'"/>
    <s v="2026-02-14"/>
    <s v="290832"/>
    <s v="Kshitish Bardhan Chunilal Nath"/>
    <s v="9230615179"/>
  </r>
  <r>
    <s v="RCF Import"/>
    <s v="MOP"/>
    <s v="WB"/>
    <x v="0"/>
    <s v="Amdanga"/>
    <s v="User Not Mapped"/>
    <s v="User Not Mapped"/>
    <s v="User Not Mapped"/>
    <n v="917469"/>
    <s v="MONDAL KRISHI BHANDER"/>
    <s v="Private Wholsaler"/>
    <s v="9681347066"/>
    <n v="3"/>
    <n v="58"/>
    <x v="1"/>
    <s v="'39'"/>
    <s v="2026-02-28"/>
    <s v="290832"/>
    <s v="Kshitish Bardhan Chunilal Nath"/>
    <s v="9230615179"/>
  </r>
  <r>
    <s v="RCF Import"/>
    <s v="Imp 10-26-26"/>
    <s v="WB"/>
    <x v="0"/>
    <s v="Amdanga"/>
    <s v="User Not Mapped"/>
    <s v="User Not Mapped"/>
    <s v="User Not Mapped"/>
    <n v="917469"/>
    <s v="MONDAL KRISHI BHANDER"/>
    <s v="Private Wholsaler"/>
    <s v="9681347066"/>
    <n v="22"/>
    <n v="51"/>
    <x v="1"/>
    <s v="'41'"/>
    <s v="2026-03-07"/>
    <s v="290832"/>
    <s v="Kshitish Bardhan Chunilal Nath"/>
    <s v="9230615179"/>
  </r>
  <r>
    <s v="RCF Thal"/>
    <s v="N.C.Urea(45kg)"/>
    <s v="WB"/>
    <x v="0"/>
    <s v="Baduria"/>
    <s v="User Not Mapped"/>
    <s v="User Not Mapped"/>
    <s v="User Not Mapped"/>
    <n v="405249"/>
    <s v="Saha Krishi Bhandar"/>
    <s v="Private Wholsaler"/>
    <s v="9734801636"/>
    <n v="3.645"/>
    <n v="149"/>
    <x v="0"/>
    <s v="'196'"/>
    <s v="2025-11-29"/>
    <s v="502354"/>
    <s v="Joy Shankar Dutta  Sons Ferti"/>
    <s v="9433002237"/>
  </r>
  <r>
    <s v="RCF Trombay"/>
    <s v="15-15-15"/>
    <s v="WB"/>
    <x v="0"/>
    <s v="Baduria"/>
    <s v="User Not Mapped"/>
    <s v="User Not Mapped"/>
    <s v="User Not Mapped"/>
    <n v="405249"/>
    <s v="Saha Krishi Bhandar"/>
    <s v="Private Wholsaler"/>
    <s v="9734801636"/>
    <n v="10.4"/>
    <n v="133"/>
    <x v="0"/>
    <s v="'225'"/>
    <s v="2025-12-15"/>
    <s v="502354"/>
    <s v="Joy Shankar Dutta  Sons Ferti"/>
    <s v="9433002237"/>
  </r>
  <r>
    <s v="RCF Trombay"/>
    <s v="N.C.Urea(45kg)"/>
    <s v="WB"/>
    <x v="0"/>
    <s v="Baduria"/>
    <s v="User Not Mapped"/>
    <s v="User Not Mapped"/>
    <s v="User Not Mapped"/>
    <n v="405249"/>
    <s v="Saha Krishi Bhandar"/>
    <s v="Private Wholsaler"/>
    <s v="9734801636"/>
    <n v="0.23"/>
    <n v="221"/>
    <x v="3"/>
    <s v="'59A'"/>
    <s v="2025-09-18"/>
    <s v="502354"/>
    <s v="Joy Shankar Dutta  Sons Ferti"/>
    <s v="9433002237"/>
  </r>
  <r>
    <s v="RCF Import"/>
    <s v="MOP"/>
    <s v="WB"/>
    <x v="0"/>
    <s v="Baduria"/>
    <s v="User Not Mapped"/>
    <s v="User Not Mapped"/>
    <s v="User Not Mapped"/>
    <n v="497600"/>
    <s v="Samar Nath Sana"/>
    <s v="Private Wholsaler"/>
    <s v="9563062387"/>
    <n v="3.3"/>
    <n v="59"/>
    <x v="1"/>
    <s v="'25-26/RCF/MOP/20'"/>
    <s v="2026-02-27"/>
    <s v="268815"/>
    <s v="Chitta Ranjan Dey"/>
    <s v="9434744870"/>
  </r>
  <r>
    <s v="RCF Import"/>
    <s v="Imp 10-26-26"/>
    <s v="WB"/>
    <x v="0"/>
    <s v="Barasat - I"/>
    <s v="User Not Mapped"/>
    <s v="User Not Mapped"/>
    <s v="User Not Mapped"/>
    <n v="268650"/>
    <s v="Barasat Krishi Bipani"/>
    <s v="Private Wholsaler"/>
    <s v="8336087625"/>
    <n v="3.25"/>
    <n v="62"/>
    <x v="2"/>
    <s v="'WS3125003717'"/>
    <s v="2026-02-24"/>
    <s v="1"/>
    <s v="rcf"/>
    <m/>
  </r>
  <r>
    <s v="RCF Thal"/>
    <s v="N.C.Urea(45kg)"/>
    <s v="WB"/>
    <x v="0"/>
    <s v="Barasat - I"/>
    <s v="User Not Mapped"/>
    <s v="User Not Mapped"/>
    <s v="User Not Mapped"/>
    <n v="268650"/>
    <s v="Barasat Krishi Bipani"/>
    <s v="Private Wholsaler"/>
    <s v="8336087625"/>
    <n v="0.315"/>
    <n v="26"/>
    <x v="4"/>
    <s v="'WS3126000014'"/>
    <s v="2026-04-01"/>
    <s v="1"/>
    <s v="rcf"/>
    <m/>
  </r>
  <r>
    <s v="RCF Trombay"/>
    <s v="15-15-15"/>
    <s v="WB"/>
    <x v="0"/>
    <s v="Barasat - I"/>
    <s v="User Not Mapped"/>
    <s v="User Not Mapped"/>
    <s v="User Not Mapped"/>
    <n v="281495"/>
    <s v="Saha Fertilizer Stores        "/>
    <s v="Private Wholsaler"/>
    <s v="8777624646"/>
    <n v="11"/>
    <n v="71"/>
    <x v="2"/>
    <s v="'01282'"/>
    <s v="2026-02-15"/>
    <s v="223812"/>
    <s v="M/S. Shyma Krishi B"/>
    <s v="8617629886"/>
  </r>
  <r>
    <s v="RCF Trombay"/>
    <s v="15-15-15"/>
    <s v="WB"/>
    <x v="0"/>
    <s v="Barasat - I"/>
    <s v="User Not Mapped"/>
    <s v="User Not Mapped"/>
    <s v="User Not Mapped"/>
    <n v="281495"/>
    <s v="Saha Fertilizer Stores        "/>
    <s v="Private Wholsaler"/>
    <s v="8777624646"/>
    <n v="0.2"/>
    <n v="135"/>
    <x v="0"/>
    <s v="'PINTUDA1'"/>
    <s v="2025-12-13"/>
    <s v="1170733"/>
    <s v="IFFDC LTD"/>
    <s v="8597890515"/>
  </r>
  <r>
    <s v="RCF Trombay"/>
    <s v="15-15-15"/>
    <s v="WB"/>
    <x v="0"/>
    <s v="Barasat - I"/>
    <s v="User Not Mapped"/>
    <s v="User Not Mapped"/>
    <s v="User Not Mapped"/>
    <n v="910962"/>
    <s v="M/S. BERA ENTERPRISE"/>
    <s v="Private Wholsaler"/>
    <s v="9836333180"/>
    <n v="3.5"/>
    <n v="245"/>
    <x v="3"/>
    <s v="'246'"/>
    <s v="2025-08-25"/>
    <s v="280832"/>
    <s v=" S D Enterprise"/>
    <s v="9433002261"/>
  </r>
  <r>
    <s v="RCF Thal"/>
    <s v="N.C.Urea(45kg)"/>
    <s v="WB"/>
    <x v="0"/>
    <s v="Basirhat - I"/>
    <s v="User Not Mapped"/>
    <s v="User Not Mapped"/>
    <s v="User Not Mapped"/>
    <n v="668032"/>
    <s v="MAA KRISHI BIPONI"/>
    <s v="Private Wholsaler"/>
    <s v="9564322993"/>
    <n v="10.08"/>
    <n v="266"/>
    <x v="3"/>
    <s v="'278'"/>
    <s v="2025-08-04"/>
    <s v="405249"/>
    <s v="Saha Krishi Bhandar"/>
    <s v="9734801636"/>
  </r>
  <r>
    <s v="RCF Import"/>
    <s v="MOP"/>
    <s v="WB"/>
    <x v="0"/>
    <s v="Basirhat - II"/>
    <s v="User Not Mapped"/>
    <s v="User Not Mapped"/>
    <s v="User Not Mapped"/>
    <n v="1086694"/>
    <s v="Ram prasad Mondal"/>
    <s v="Private Wholsaler"/>
    <s v="9609464662"/>
    <n v="8"/>
    <n v="59"/>
    <x v="1"/>
    <s v="'25-26/RCF/MOP/24'"/>
    <s v="2026-02-27"/>
    <s v="268815"/>
    <s v="Chitta Ranjan Dey"/>
    <s v="9434744870"/>
  </r>
  <r>
    <s v="RCF Import"/>
    <s v="Imp 10-26-26"/>
    <s v="WB"/>
    <x v="0"/>
    <s v="Bongaon"/>
    <s v="User Not Mapped"/>
    <s v="User Not Mapped"/>
    <s v="User Not Mapped"/>
    <n v="281522"/>
    <s v="N.C. Das and Co."/>
    <s v="Private Wholsaler"/>
    <s v="6297603863"/>
    <n v="41.5"/>
    <n v="40"/>
    <x v="1"/>
    <s v="'3125004094'"/>
    <s v="2026-03-18"/>
    <s v="1"/>
    <s v="rcf"/>
    <m/>
  </r>
  <r>
    <s v="RCF Import"/>
    <s v="Imp 10-26-26"/>
    <s v="WB"/>
    <x v="0"/>
    <s v="Bongaon"/>
    <s v="User Not Mapped"/>
    <s v="User Not Mapped"/>
    <s v="User Not Mapped"/>
    <n v="281522"/>
    <s v="N.C. Das and Co."/>
    <s v="Private Wholsaler"/>
    <s v="6297603863"/>
    <n v="2.4"/>
    <n v="40"/>
    <x v="1"/>
    <s v="'3125004095'"/>
    <s v="2026-03-18"/>
    <s v="1"/>
    <s v="rcf"/>
    <m/>
  </r>
  <r>
    <s v="RCF Import"/>
    <s v="MOP"/>
    <s v="WB"/>
    <x v="0"/>
    <s v="Bongaon"/>
    <s v="User Not Mapped"/>
    <s v="User Not Mapped"/>
    <s v="User Not Mapped"/>
    <n v="281522"/>
    <s v="N.C. Das and Co."/>
    <s v="Private Wholsaler"/>
    <s v="6297603863"/>
    <n v="17"/>
    <n v="69"/>
    <x v="2"/>
    <s v="'WS3125003581'"/>
    <s v="2026-02-17"/>
    <s v="1"/>
    <s v="rcf"/>
    <m/>
  </r>
  <r>
    <s v="RCF Thal"/>
    <s v="N.C.Urea(45kg)"/>
    <s v="WB"/>
    <x v="0"/>
    <s v="Bongaon"/>
    <s v="User Not Mapped"/>
    <s v="User Not Mapped"/>
    <s v="User Not Mapped"/>
    <n v="281522"/>
    <s v="N.C. Das and Co."/>
    <s v="Private Wholsaler"/>
    <s v="6297603863"/>
    <n v="3"/>
    <n v="3"/>
    <x v="4"/>
    <s v="'NCD/06/0035'"/>
    <s v="2026-04-24"/>
    <s v="280729"/>
    <s v="M/s. Naresh Chandra Das"/>
    <s v="7365868045"/>
  </r>
  <r>
    <s v="RCF Import"/>
    <s v="Imp 10-26-26"/>
    <s v="WB"/>
    <x v="0"/>
    <s v="Bongaon"/>
    <s v="User Not Mapped"/>
    <s v="User Not Mapped"/>
    <s v="User Not Mapped"/>
    <n v="281522"/>
    <s v="N.C. Das and Co."/>
    <s v="Private Wholsaler"/>
    <s v="6297603863"/>
    <n v="35"/>
    <n v="33"/>
    <x v="1"/>
    <s v="'3125004106'"/>
    <s v="2026-03-25"/>
    <s v="1"/>
    <s v="rcf"/>
    <m/>
  </r>
  <r>
    <s v="RCF Import"/>
    <s v="MOP"/>
    <s v="WB"/>
    <x v="0"/>
    <s v="Bongaon"/>
    <s v="User Not Mapped"/>
    <s v="User Not Mapped"/>
    <s v="User Not Mapped"/>
    <n v="281522"/>
    <s v="N.C. Das and Co."/>
    <s v="Private Wholsaler"/>
    <s v="6297603863"/>
    <n v="3.85"/>
    <n v="70"/>
    <x v="2"/>
    <s v="'WS3125003545'"/>
    <s v="2026-02-16"/>
    <s v="1"/>
    <s v="rcf"/>
    <m/>
  </r>
  <r>
    <s v="RCF Import"/>
    <s v="MOP"/>
    <s v="WB"/>
    <x v="0"/>
    <s v="Bongaon"/>
    <s v="User Not Mapped"/>
    <s v="User Not Mapped"/>
    <s v="User Not Mapped"/>
    <n v="1054125"/>
    <s v="Mondal Stores"/>
    <s v="Private Wholsaler"/>
    <s v="9749959358"/>
    <n v="2"/>
    <n v="59"/>
    <x v="1"/>
    <s v="'25-26/RCF/MOP/49'"/>
    <s v="2026-02-27"/>
    <s v="268815"/>
    <s v="Chitta Ranjan Dey"/>
    <s v="9434744870"/>
  </r>
  <r>
    <s v="RCF Import"/>
    <s v="MOP"/>
    <s v="WB"/>
    <x v="0"/>
    <s v="Bongaon"/>
    <s v="User Not Mapped"/>
    <s v="User Not Mapped"/>
    <s v="User Not Mapped"/>
    <n v="1076583"/>
    <s v="Bikram ghosh"/>
    <s v="Private Wholsaler"/>
    <s v="8670083399"/>
    <n v="5"/>
    <n v="59"/>
    <x v="1"/>
    <s v="'25-26/RCF/MOP/51'"/>
    <s v="2026-02-27"/>
    <s v="268815"/>
    <s v="Chitta Ranjan Dey"/>
    <s v="9434744870"/>
  </r>
  <r>
    <s v="RCF Import"/>
    <s v="MOP"/>
    <s v="WB"/>
    <x v="0"/>
    <s v="Bongaon"/>
    <s v="User Not Mapped"/>
    <s v="User Not Mapped"/>
    <s v="User Not Mapped"/>
    <n v="1076583"/>
    <s v="Bikram ghosh"/>
    <s v="Private Wholsaler"/>
    <s v="8670083399"/>
    <n v="5.5"/>
    <n v="68"/>
    <x v="2"/>
    <s v="'CKD/2526/FS/0556'"/>
    <s v="2026-02-18"/>
    <s v="223811"/>
    <s v="Chanchal Kumar Dey"/>
    <s v="9434616928"/>
  </r>
  <r>
    <s v="RCF Import"/>
    <s v="MOP"/>
    <s v="WB"/>
    <x v="0"/>
    <s v="Bongaon"/>
    <s v="User Not Mapped"/>
    <s v="User Not Mapped"/>
    <s v="User Not Mapped"/>
    <n v="1219923"/>
    <s v="SHIMUL HAZRA"/>
    <s v="Private Wholsaler"/>
    <s v="9932572558"/>
    <n v="10"/>
    <n v="59"/>
    <x v="1"/>
    <s v="'25-26/RCF/MOP/48'"/>
    <s v="2026-02-27"/>
    <s v="268815"/>
    <s v="Chitta Ranjan Dey"/>
    <s v="9434744870"/>
  </r>
  <r>
    <s v="RCF Import"/>
    <s v="MOP"/>
    <s v="WB"/>
    <x v="0"/>
    <s v="Bongaon"/>
    <s v="User Not Mapped"/>
    <s v="User Not Mapped"/>
    <s v="User Not Mapped"/>
    <n v="1421415"/>
    <s v="M/S RAMJAN MONDAL"/>
    <s v="Private Wholsaler"/>
    <s v="7384055745"/>
    <n v="10"/>
    <n v="59"/>
    <x v="1"/>
    <s v="'25-26/RCF/MOP/47'"/>
    <s v="2026-02-27"/>
    <s v="268815"/>
    <s v="Chitta Ranjan Dey"/>
    <s v="9434744870"/>
  </r>
  <r>
    <s v="RCF Import"/>
    <s v="MOP"/>
    <s v="WB"/>
    <x v="0"/>
    <s v="Bongaon"/>
    <s v="User Not Mapped"/>
    <s v="User Not Mapped"/>
    <s v="User Not Mapped"/>
    <n v="1421415"/>
    <s v="M/S RAMJAN MONDAL"/>
    <s v="Private Wholsaler"/>
    <s v="7384055745"/>
    <n v="10"/>
    <n v="59"/>
    <x v="1"/>
    <s v="'25-26/RCF/MOP/46'"/>
    <s v="2026-02-27"/>
    <s v="268815"/>
    <s v="Chitta Ranjan Dey"/>
    <s v="9434744870"/>
  </r>
  <r>
    <s v="RCF Trombay"/>
    <s v="15-15-15"/>
    <s v="WB"/>
    <x v="0"/>
    <s v="Bongaon"/>
    <s v="User Not Mapped"/>
    <s v="User Not Mapped"/>
    <s v="User Not Mapped"/>
    <n v="1421415"/>
    <s v="M/S RAMJAN MONDAL"/>
    <s v="Private Wholsaler"/>
    <s v="7384055745"/>
    <n v="7"/>
    <n v="136"/>
    <x v="0"/>
    <s v="'1423'"/>
    <s v="2025-12-12"/>
    <s v="888407"/>
    <s v="MAA FERTILIZER"/>
    <s v="9800042039"/>
  </r>
  <r>
    <s v="RCF Trombay"/>
    <s v="N.C.Urea(45kg)"/>
    <s v="WB"/>
    <x v="0"/>
    <s v="Deganga"/>
    <s v="User Not Mapped"/>
    <s v="User Not Mapped"/>
    <s v="User Not Mapped"/>
    <n v="223817"/>
    <s v="National Supply Agency"/>
    <s v="Private Wholsaler"/>
    <s v="9564505288"/>
    <n v="2.99"/>
    <n v="65"/>
    <x v="2"/>
    <s v="'WS3125003620'"/>
    <s v="2026-02-21"/>
    <s v="1"/>
    <s v="rcf"/>
    <m/>
  </r>
  <r>
    <s v="RCF Thal"/>
    <s v="N.C.Urea(45kg)"/>
    <s v="WB"/>
    <x v="0"/>
    <s v="Deganga"/>
    <s v="User Not Mapped"/>
    <s v="User Not Mapped"/>
    <s v="User Not Mapped"/>
    <n v="223817"/>
    <s v="National Supply Agency"/>
    <s v="Private Wholsaler"/>
    <s v="9564505288"/>
    <n v="28.98"/>
    <n v="26"/>
    <x v="4"/>
    <s v="'WS3126000006'"/>
    <s v="2026-04-01"/>
    <s v="1"/>
    <s v="rcf"/>
    <m/>
  </r>
  <r>
    <s v="RCF Trombay"/>
    <s v="15-15-15"/>
    <s v="WB"/>
    <x v="0"/>
    <s v="Deganga"/>
    <s v="User Not Mapped"/>
    <s v="User Not Mapped"/>
    <s v="User Not Mapped"/>
    <n v="1076581"/>
    <s v="Adarsha krishi bhander"/>
    <s v="Private Wholsaler"/>
    <s v="9143169628"/>
    <n v="6.7"/>
    <n v="310"/>
    <x v="3"/>
    <s v="'NCD/N/0038/25-26'"/>
    <s v="2025-06-21"/>
    <s v="281522"/>
    <s v="N.C. Das and Co."/>
    <s v="6297603863"/>
  </r>
  <r>
    <s v="RCF Thal"/>
    <s v="N.C.Urea(45kg)"/>
    <s v="WB"/>
    <x v="0"/>
    <s v="Deganga"/>
    <s v="User Not Mapped"/>
    <s v="User Not Mapped"/>
    <s v="User Not Mapped"/>
    <n v="1076581"/>
    <s v="Adarsha krishi bhander"/>
    <s v="Private Wholsaler"/>
    <s v="9143169628"/>
    <n v="10.98"/>
    <n v="112"/>
    <x v="5"/>
    <s v="'878/1'"/>
    <s v="2026-01-05"/>
    <s v="405249"/>
    <s v="Saha Krishi Bhandar"/>
    <s v="9734801636"/>
  </r>
  <r>
    <s v="RCF Thal"/>
    <s v="N.C.Urea(45kg)"/>
    <s v="WB"/>
    <x v="0"/>
    <s v="Gaighata"/>
    <s v="User Not Mapped"/>
    <s v="User Not Mapped"/>
    <s v="User Not Mapped"/>
    <n v="223811"/>
    <s v="Chanchal Kumar Dey"/>
    <s v="Private Wholsaler"/>
    <s v="9434616928"/>
    <n v="4.4550000000000001"/>
    <n v="47"/>
    <x v="1"/>
    <s v="'508'"/>
    <s v="2026-03-11"/>
    <s v="502354"/>
    <s v="Joy Shankar Dutta  Sons Ferti"/>
    <s v="9433002237"/>
  </r>
  <r>
    <s v="RCF Import"/>
    <s v="Imp 10-26-26"/>
    <s v="WB"/>
    <x v="0"/>
    <s v="Gaighata"/>
    <s v="User Not Mapped"/>
    <s v="User Not Mapped"/>
    <s v="User Not Mapped"/>
    <n v="1054127"/>
    <s v="New Radha krishna krishi bhand"/>
    <s v="Private Wholsaler"/>
    <s v="7908733277"/>
    <n v="1"/>
    <n v="28"/>
    <x v="4"/>
    <s v="'25-26/RCF/10/35'"/>
    <s v="2026-03-30"/>
    <s v="268815"/>
    <s v="Chitta Ranjan Dey"/>
    <s v="9434744870"/>
  </r>
  <r>
    <s v="RCF Thal"/>
    <s v="N.C.Urea(45kg)"/>
    <s v="WB"/>
    <x v="0"/>
    <s v="Habra - I"/>
    <s v="User Not Mapped"/>
    <s v="User Not Mapped"/>
    <s v="User Not Mapped"/>
    <n v="223812"/>
    <s v="M/S. Shyma Krishi B"/>
    <s v="Private Wholsaler"/>
    <s v="8617629886"/>
    <n v="9.99"/>
    <n v="26"/>
    <x v="4"/>
    <s v="'WS3126000003'"/>
    <s v="2026-04-01"/>
    <s v="1"/>
    <s v="rcf"/>
    <m/>
  </r>
  <r>
    <s v="RCF Import"/>
    <s v="MOP"/>
    <s v="WB"/>
    <x v="0"/>
    <s v="Habra - I"/>
    <s v="User Not Mapped"/>
    <s v="User Not Mapped"/>
    <s v="User Not Mapped"/>
    <n v="281511"/>
    <s v="Malakshmi Krishi Bhandar      "/>
    <s v="Private Wholsaler"/>
    <s v="9800561868"/>
    <n v="8"/>
    <n v="70"/>
    <x v="2"/>
    <s v="'WS3125003572'"/>
    <s v="2026-02-16"/>
    <s v="1"/>
    <s v="rcf"/>
    <m/>
  </r>
  <r>
    <s v="RCF Trombay"/>
    <s v="15-15-15"/>
    <s v="WB"/>
    <x v="0"/>
    <s v="Habra - I"/>
    <s v="User Not Mapped"/>
    <s v="User Not Mapped"/>
    <s v="User Not Mapped"/>
    <n v="281511"/>
    <s v="Malakshmi Krishi Bhandar      "/>
    <s v="Private Wholsaler"/>
    <s v="9800561868"/>
    <n v="15.515000000000001"/>
    <n v="65"/>
    <x v="2"/>
    <s v="'WS3125003653'"/>
    <s v="2026-02-21"/>
    <s v="1"/>
    <s v="rcf"/>
    <m/>
  </r>
  <r>
    <s v="RCF Import"/>
    <s v="MOP"/>
    <s v="WB"/>
    <x v="0"/>
    <s v="Habra - I"/>
    <s v="User Not Mapped"/>
    <s v="User Not Mapped"/>
    <s v="User Not Mapped"/>
    <n v="281511"/>
    <s v="Malakshmi Krishi Bhandar      "/>
    <s v="Private Wholsaler"/>
    <s v="9800561868"/>
    <n v="18.7"/>
    <n v="70"/>
    <x v="2"/>
    <s v="'WS3125003543'"/>
    <s v="2026-02-16"/>
    <s v="1"/>
    <s v="rcf"/>
    <m/>
  </r>
  <r>
    <s v="RCF Trombay"/>
    <s v="N.C.Urea(45kg)"/>
    <s v="WB"/>
    <x v="0"/>
    <s v="Habra - I"/>
    <s v="User Not Mapped"/>
    <s v="User Not Mapped"/>
    <s v="User Not Mapped"/>
    <n v="281511"/>
    <s v="Malakshmi Krishi Bhandar      "/>
    <s v="Private Wholsaler"/>
    <s v="9800561868"/>
    <n v="7.8650000000000002"/>
    <n v="65"/>
    <x v="2"/>
    <s v="'WS3125003619'"/>
    <s v="2026-02-21"/>
    <s v="1"/>
    <s v="rcf"/>
    <m/>
  </r>
  <r>
    <s v="RCF Thal"/>
    <s v="N.C.Urea(45kg)"/>
    <s v="WB"/>
    <x v="0"/>
    <s v="Habra - I"/>
    <s v="User Not Mapped"/>
    <s v="User Not Mapped"/>
    <s v="User Not Mapped"/>
    <n v="281511"/>
    <s v="Malakshmi Krishi Bhandar      "/>
    <s v="Private Wholsaler"/>
    <s v="9800561868"/>
    <n v="54.945"/>
    <n v="26"/>
    <x v="4"/>
    <s v="'WS3126000011'"/>
    <s v="2026-04-01"/>
    <s v="1"/>
    <s v="rcf"/>
    <m/>
  </r>
  <r>
    <s v="RCF Thal"/>
    <s v="N.C.Urea(45kg)"/>
    <s v="WB"/>
    <x v="0"/>
    <s v="Habra - I"/>
    <s v="User Not Mapped"/>
    <s v="User Not Mapped"/>
    <s v="User Not Mapped"/>
    <n v="281511"/>
    <s v="Malakshmi Krishi Bhandar      "/>
    <s v="Private Wholsaler"/>
    <s v="9800561868"/>
    <n v="5.27"/>
    <n v="26"/>
    <x v="4"/>
    <s v="'WS3126000010'"/>
    <s v="2026-04-01"/>
    <s v="1"/>
    <s v="rcf"/>
    <m/>
  </r>
  <r>
    <s v="RCF Import"/>
    <s v="Imp 10-26-26"/>
    <s v="WB"/>
    <x v="0"/>
    <s v="Habra - I"/>
    <s v="User Not Mapped"/>
    <s v="User Not Mapped"/>
    <s v="User Not Mapped"/>
    <n v="281511"/>
    <s v="Malakshmi Krishi Bhandar      "/>
    <s v="Private Wholsaler"/>
    <s v="9800561868"/>
    <n v="5"/>
    <n v="62"/>
    <x v="2"/>
    <s v="'WS3125003742'"/>
    <s v="2026-02-24"/>
    <s v="1"/>
    <s v="rcf"/>
    <m/>
  </r>
  <r>
    <s v="RCF Import"/>
    <s v="MOP"/>
    <s v="WB"/>
    <x v="0"/>
    <s v="Habra - I"/>
    <s v="User Not Mapped"/>
    <s v="User Not Mapped"/>
    <s v="User Not Mapped"/>
    <n v="663871"/>
    <s v="Sonali Enterprise"/>
    <s v="Private Wholsaler"/>
    <s v="8250035491"/>
    <n v="4.2"/>
    <n v="44"/>
    <x v="1"/>
    <s v="'MLKB/F/0831'"/>
    <s v="2026-03-14"/>
    <s v="281511"/>
    <s v="Malakshmi Krishi Bhandar      "/>
    <s v="9800561868"/>
  </r>
  <r>
    <s v="RCF Thal"/>
    <s v="N.C.Urea(45kg)"/>
    <s v="WB"/>
    <x v="0"/>
    <s v="Habra - I"/>
    <s v="User Not Mapped"/>
    <s v="User Not Mapped"/>
    <s v="User Not Mapped"/>
    <n v="1048909"/>
    <s v="B K ROY AND COMPANY"/>
    <s v="Private Wholsaler"/>
    <s v="9734516484"/>
    <n v="5.49"/>
    <n v="26"/>
    <x v="4"/>
    <s v="'WS3126000013'"/>
    <s v="2026-04-01"/>
    <s v="1"/>
    <s v="rcf"/>
    <m/>
  </r>
  <r>
    <s v="RCF Trombay"/>
    <s v="15-15-15"/>
    <s v="WB"/>
    <x v="0"/>
    <s v="Habra - II"/>
    <s v="User Not Mapped"/>
    <s v="User Not Mapped"/>
    <s v="User Not Mapped"/>
    <n v="1096194"/>
    <s v="Krishak Krishi Bhander"/>
    <s v="Private Wholsaler"/>
    <s v="9734636496"/>
    <n v="3"/>
    <n v="66"/>
    <x v="2"/>
    <s v="'01276'"/>
    <s v="2026-02-20"/>
    <s v="223812"/>
    <s v="M/S. Shyma Krishi B"/>
    <s v="8617629886"/>
  </r>
  <r>
    <s v="RCF Import"/>
    <s v="MOP"/>
    <s v="WB"/>
    <x v="0"/>
    <s v="Habra - II"/>
    <s v="User Not Mapped"/>
    <s v="User Not Mapped"/>
    <s v="User Not Mapped"/>
    <n v="1096194"/>
    <s v="Krishak Krishi Bhander"/>
    <s v="Private Wholsaler"/>
    <s v="9734636496"/>
    <n v="3.7"/>
    <n v="68"/>
    <x v="2"/>
    <s v="'TAJU499'"/>
    <s v="2026-02-18"/>
    <s v="223807"/>
    <s v="M.K. Chemical and Fertilizers"/>
    <s v="9051316329"/>
  </r>
  <r>
    <s v="RCF Import"/>
    <s v="MOP"/>
    <s v="WB"/>
    <x v="0"/>
    <s v="Swarupnagar"/>
    <s v="User Not Mapped"/>
    <s v="User Not Mapped"/>
    <s v="User Not Mapped"/>
    <n v="655489"/>
    <s v="Mondal Krishi Bhandar"/>
    <s v="Private Wholsaler"/>
    <s v="9733762735"/>
    <n v="11"/>
    <n v="59"/>
    <x v="1"/>
    <s v="'25-26/RCF/MOP/17'"/>
    <s v="2026-02-27"/>
    <s v="268815"/>
    <s v="Chitta Ranjan Dey"/>
    <s v="9434744870"/>
  </r>
  <r>
    <s v="RCF Import"/>
    <s v="MOP"/>
    <s v="WB"/>
    <x v="0"/>
    <s v="Swarupnagar"/>
    <s v="User Not Mapped"/>
    <s v="User Not Mapped"/>
    <s v="User Not Mapped"/>
    <n v="702168"/>
    <s v="JANAKALYAN KRISHI BHANDER"/>
    <s v="Private Wholsaler"/>
    <s v="9732713416"/>
    <n v="11"/>
    <n v="59"/>
    <x v="1"/>
    <s v="'25-26/RCF/MOP/2'"/>
    <s v="2026-02-27"/>
    <s v="268815"/>
    <s v="Chitta Ranjan Dey"/>
    <s v="9434744870"/>
  </r>
  <r>
    <s v="RCF Import"/>
    <s v="MOP"/>
    <s v="WB"/>
    <x v="0"/>
    <s v="Swarupnagar"/>
    <s v="User Not Mapped"/>
    <s v="User Not Mapped"/>
    <s v="User Not Mapped"/>
    <n v="1052457"/>
    <s v="Supriyo Das"/>
    <s v="Private Wholsaler"/>
    <s v="9564048050"/>
    <n v="11"/>
    <n v="59"/>
    <x v="1"/>
    <s v="'25-26/RCF/MOP/16'"/>
    <s v="2026-02-27"/>
    <s v="268815"/>
    <s v="Chitta Ranjan Dey"/>
    <s v="9434744870"/>
  </r>
  <r>
    <s v="RCF Import"/>
    <s v="MOP"/>
    <s v="WB"/>
    <x v="0"/>
    <s v="Swarupnagar"/>
    <s v="User Not Mapped"/>
    <s v="User Not Mapped"/>
    <s v="User Not Mapped"/>
    <n v="1052457"/>
    <s v="Supriyo Das"/>
    <s v="Private Wholsaler"/>
    <s v="9564048050"/>
    <n v="8"/>
    <n v="59"/>
    <x v="1"/>
    <s v="'25-26/RCF/MOP/15'"/>
    <s v="2026-02-27"/>
    <s v="268815"/>
    <s v="Chitta Ranjan Dey"/>
    <s v="9434744870"/>
  </r>
  <r>
    <s v="RCF Import"/>
    <s v="MOP"/>
    <s v="WB"/>
    <x v="0"/>
    <s v="Swarupnagar"/>
    <s v="User Not Mapped"/>
    <s v="User Not Mapped"/>
    <s v="User Not Mapped"/>
    <n v="1102995"/>
    <s v="GRAMIN KRISHI BHANDER"/>
    <s v="Private Wholsaler"/>
    <s v="9733535399"/>
    <n v="11"/>
    <n v="59"/>
    <x v="1"/>
    <s v="'25-26/RCF/MOP/1'"/>
    <s v="2026-02-27"/>
    <s v="268815"/>
    <s v="Chitta Ranjan Dey"/>
    <s v="9434744870"/>
  </r>
  <r>
    <s v="RCF Trombay"/>
    <s v="N.C.Urea(45kg)"/>
    <s v="WB"/>
    <x v="0"/>
    <m/>
    <s v="User Not Mapped"/>
    <s v="User Not Mapped"/>
    <s v="User Not Mapped"/>
    <n v="223815"/>
    <s v="Sahidul Islam  Co.           "/>
    <s v="Private Wholsaler"/>
    <s v="9153379112"/>
    <n v="5.49"/>
    <n v="65"/>
    <x v="2"/>
    <s v="'WS3125003622'"/>
    <s v="2026-02-21"/>
    <s v="1"/>
    <s v="rcf"/>
    <m/>
  </r>
  <r>
    <s v="RCF Trombay"/>
    <s v="15-15-15"/>
    <s v="WB"/>
    <x v="0"/>
    <m/>
    <s v="User Not Mapped"/>
    <s v="User Not Mapped"/>
    <s v="User Not Mapped"/>
    <n v="223815"/>
    <s v="Sahidul Islam  Co.           "/>
    <s v="Private Wholsaler"/>
    <s v="9153379112"/>
    <n v="1"/>
    <n v="65"/>
    <x v="2"/>
    <s v="'WS3125003633'"/>
    <s v="2026-02-21"/>
    <s v="1"/>
    <s v="rcf"/>
    <m/>
  </r>
  <r>
    <s v="RCF Import"/>
    <s v="MOP"/>
    <s v="WB"/>
    <x v="0"/>
    <m/>
    <s v="User Not Mapped"/>
    <s v="User Not Mapped"/>
    <s v="User Not Mapped"/>
    <n v="223815"/>
    <s v="Sahidul Islam  Co.           "/>
    <s v="Private Wholsaler"/>
    <s v="9153379112"/>
    <n v="9"/>
    <n v="70"/>
    <x v="2"/>
    <s v="'WS3125003525'"/>
    <s v="2026-02-16"/>
    <s v="1"/>
    <s v="rcf"/>
    <m/>
  </r>
  <r>
    <s v="RCF Thal"/>
    <s v="N.C.Urea(45kg)"/>
    <s v="WB"/>
    <x v="0"/>
    <m/>
    <s v="User Not Mapped"/>
    <s v="User Not Mapped"/>
    <s v="User Not Mapped"/>
    <n v="223815"/>
    <s v="Sahidul Islam  Co.           "/>
    <s v="Private Wholsaler"/>
    <s v="9153379112"/>
    <n v="16.47"/>
    <n v="49"/>
    <x v="1"/>
    <s v="'WS3125003998'"/>
    <s v="2026-03-09"/>
    <s v="1"/>
    <s v="rcf"/>
    <m/>
  </r>
  <r>
    <s v="RCF Trombay"/>
    <s v="N.C.Urea(45kg)"/>
    <s v="WB"/>
    <x v="0"/>
    <m/>
    <s v="User Not Mapped"/>
    <s v="User Not Mapped"/>
    <s v="User Not Mapped"/>
    <n v="328271"/>
    <s v="Amal Sales Corporation"/>
    <s v="Private Wholsaler"/>
    <s v="7908257456"/>
    <n v="1.8"/>
    <n v="65"/>
    <x v="2"/>
    <s v="'WS3125003613'"/>
    <s v="2026-02-21"/>
    <s v="1"/>
    <s v="rcf"/>
    <m/>
  </r>
  <r>
    <s v="RCF Import"/>
    <s v="Imp 10-26-26"/>
    <s v="WB"/>
    <x v="0"/>
    <m/>
    <s v="User Not Mapped"/>
    <s v="User Not Mapped"/>
    <s v="User Not Mapped"/>
    <n v="328271"/>
    <s v="Amal Sales Corporation"/>
    <s v="Private Wholsaler"/>
    <s v="7908257456"/>
    <n v="3.5"/>
    <n v="62"/>
    <x v="2"/>
    <s v="'WS3125003716'"/>
    <s v="2026-02-24"/>
    <s v="1"/>
    <s v="rcf"/>
    <m/>
  </r>
  <r>
    <s v="RCF Trombay"/>
    <s v="15-15-15"/>
    <s v="WB"/>
    <x v="0"/>
    <m/>
    <s v="User Not Mapped"/>
    <s v="User Not Mapped"/>
    <s v="User Not Mapped"/>
    <n v="328271"/>
    <s v="Amal Sales Corporation"/>
    <s v="Private Wholsaler"/>
    <s v="7908257456"/>
    <n v="1"/>
    <n v="65"/>
    <x v="2"/>
    <s v="'WS3125003639'"/>
    <s v="2026-02-21"/>
    <s v="1"/>
    <s v="rcf"/>
    <m/>
  </r>
  <r>
    <s v="RCF Thal"/>
    <s v="N.C.Urea(45kg)"/>
    <s v="WB"/>
    <x v="0"/>
    <m/>
    <s v="User Not Mapped"/>
    <s v="User Not Mapped"/>
    <s v="User Not Mapped"/>
    <n v="328271"/>
    <s v="Amal Sales Corporation"/>
    <s v="Private Wholsaler"/>
    <s v="7908257456"/>
    <n v="5.49"/>
    <n v="49"/>
    <x v="1"/>
    <s v="'WS3125003989'"/>
    <s v="2026-03-09"/>
    <s v="1"/>
    <s v="rcf"/>
    <m/>
  </r>
  <r>
    <s v="RCF Import"/>
    <s v="MOP"/>
    <s v="WB"/>
    <x v="1"/>
    <s v="Bhangar - I"/>
    <s v="User Not Mapped"/>
    <s v="User Not Mapped"/>
    <s v="User Not Mapped"/>
    <n v="290836"/>
    <s v="Md Nowshar Ali Molla"/>
    <s v="Private Wholsaler"/>
    <s v="9143336806"/>
    <n v="11"/>
    <n v="70"/>
    <x v="2"/>
    <s v="'WS3125003534'"/>
    <s v="2026-02-16"/>
    <s v="1"/>
    <s v="rcf"/>
    <m/>
  </r>
  <r>
    <s v="RCF Import"/>
    <s v="Imp 10-26-26"/>
    <s v="WB"/>
    <x v="1"/>
    <s v="Bhangar - I"/>
    <s v="User Not Mapped"/>
    <s v="User Not Mapped"/>
    <s v="User Not Mapped"/>
    <n v="290836"/>
    <s v="Md Nowshar Ali Molla"/>
    <s v="Private Wholsaler"/>
    <s v="9143336806"/>
    <n v="8"/>
    <n v="65"/>
    <x v="2"/>
    <s v="'WS3125003682'"/>
    <s v="2026-02-21"/>
    <s v="1"/>
    <s v="rcf"/>
    <m/>
  </r>
  <r>
    <s v="RCF Trombay"/>
    <s v="15-15-15"/>
    <s v="WB"/>
    <x v="1"/>
    <s v="Bhangar - I"/>
    <s v="User Not Mapped"/>
    <s v="User Not Mapped"/>
    <s v="User Not Mapped"/>
    <n v="290836"/>
    <s v="Md Nowshar Ali Molla"/>
    <s v="Private Wholsaler"/>
    <s v="9143336806"/>
    <n v="2.5"/>
    <n v="76"/>
    <x v="2"/>
    <s v="'WS3125003401'"/>
    <s v="2026-02-10"/>
    <s v="1"/>
    <s v="rcf"/>
    <m/>
  </r>
  <r>
    <s v="RCF Import"/>
    <s v="Imp 10-26-26"/>
    <s v="WB"/>
    <x v="1"/>
    <s v="Bishnupur - I"/>
    <s v="User Not Mapped"/>
    <s v="User Not Mapped"/>
    <s v="User Not Mapped"/>
    <n v="269533"/>
    <s v="Hasya Badhan Makhal"/>
    <s v="Private Wholsaler"/>
    <s v="9674092010"/>
    <n v="8.75"/>
    <n v="62"/>
    <x v="2"/>
    <s v="'WS3125003722'"/>
    <s v="2026-02-24"/>
    <s v="1"/>
    <s v="rcf"/>
    <m/>
  </r>
  <r>
    <s v="RCF Import"/>
    <s v="MOP"/>
    <s v="WB"/>
    <x v="1"/>
    <s v="Bishnupur - I"/>
    <s v="User Not Mapped"/>
    <s v="User Not Mapped"/>
    <s v="User Not Mapped"/>
    <n v="269533"/>
    <s v="Hasya Badhan Makhal"/>
    <s v="Private Wholsaler"/>
    <s v="9674092010"/>
    <n v="11.85"/>
    <n v="70"/>
    <x v="2"/>
    <s v="'WS3125003529'"/>
    <s v="2026-02-16"/>
    <s v="1"/>
    <s v="rcf"/>
    <m/>
  </r>
  <r>
    <s v="RCF Thal"/>
    <s v="N.C.Urea(45kg)"/>
    <s v="WB"/>
    <x v="1"/>
    <s v="Bishnupur - II"/>
    <s v="User Not Mapped"/>
    <s v="User Not Mapped"/>
    <s v="User Not Mapped"/>
    <n v="269946"/>
    <s v="M/s. Janardan Parui"/>
    <s v="Private Wholsaler"/>
    <s v="6290703360"/>
    <n v="32.94"/>
    <n v="2"/>
    <x v="4"/>
    <s v="'WS3126000157'"/>
    <s v="2026-04-25"/>
    <s v="1"/>
    <s v="rcf"/>
    <m/>
  </r>
  <r>
    <s v="RCF Import"/>
    <s v="MOP"/>
    <s v="WB"/>
    <x v="1"/>
    <s v="Bishnupur - II"/>
    <s v="User Not Mapped"/>
    <s v="User Not Mapped"/>
    <s v="User Not Mapped"/>
    <n v="269946"/>
    <s v="M/s. Janardan Parui"/>
    <s v="Private Wholsaler"/>
    <s v="6290703360"/>
    <n v="22"/>
    <n v="70"/>
    <x v="2"/>
    <s v="'WS3125003530'"/>
    <s v="2026-02-16"/>
    <s v="1"/>
    <s v="rcf"/>
    <m/>
  </r>
  <r>
    <s v="RCF Thal"/>
    <s v="N.C.Urea(45kg)"/>
    <s v="WB"/>
    <x v="1"/>
    <s v="Bishnupur - II"/>
    <s v="User Not Mapped"/>
    <s v="User Not Mapped"/>
    <s v="User Not Mapped"/>
    <n v="269946"/>
    <s v="M/s. Janardan Parui"/>
    <s v="Private Wholsaler"/>
    <s v="6290703360"/>
    <n v="3.7949999999999999"/>
    <n v="49"/>
    <x v="1"/>
    <s v="'WS3125003960'"/>
    <s v="2026-03-09"/>
    <s v="1"/>
    <s v="rcf"/>
    <m/>
  </r>
  <r>
    <s v="RCF Import"/>
    <s v="Imp 10-26-26"/>
    <s v="WB"/>
    <x v="1"/>
    <s v="Bishnupur - II"/>
    <s v="User Not Mapped"/>
    <s v="User Not Mapped"/>
    <s v="User Not Mapped"/>
    <n v="281186"/>
    <s v="M/S Sukumar Das"/>
    <s v="Private Wholsaler"/>
    <s v="9433009221"/>
    <n v="3"/>
    <n v="41"/>
    <x v="1"/>
    <s v="'gp00452'"/>
    <s v="2026-03-17"/>
    <s v="269946"/>
    <s v="M/s. Janardan Parui"/>
    <s v="6290703360"/>
  </r>
  <r>
    <s v="RCF Thal"/>
    <s v="N.C.Urea(45kg)"/>
    <s v="WB"/>
    <x v="1"/>
    <s v="Jaynagar - I"/>
    <s v="User Not Mapped"/>
    <s v="User Not Mapped"/>
    <s v="User Not Mapped"/>
    <n v="280736"/>
    <s v="M/S TAPAN KUMAR KARMAKAR"/>
    <s v="Private Wholsaler"/>
    <s v="7584080473"/>
    <n v="54"/>
    <n v="2"/>
    <x v="4"/>
    <s v="'WS3126000165'"/>
    <s v="2026-04-25"/>
    <s v="1"/>
    <s v="rcf"/>
    <m/>
  </r>
  <r>
    <s v="RCF Thal"/>
    <s v="N.C.Urea(45kg)"/>
    <s v="WB"/>
    <x v="1"/>
    <s v="Jaynagar - I"/>
    <s v="User Not Mapped"/>
    <s v="User Not Mapped"/>
    <s v="User Not Mapped"/>
    <n v="280736"/>
    <s v="M/S TAPAN KUMAR KARMAKAR"/>
    <s v="Private Wholsaler"/>
    <s v="7584080473"/>
    <n v="33.840000000000003"/>
    <n v="2"/>
    <x v="4"/>
    <s v="'WS3126000166'"/>
    <s v="2026-04-25"/>
    <s v="1"/>
    <s v="rcf"/>
    <m/>
  </r>
  <r>
    <s v="RCF Trombay"/>
    <s v="15-15-15"/>
    <s v="WB"/>
    <x v="1"/>
    <s v="Kultali"/>
    <s v="User Not Mapped"/>
    <s v="User Not Mapped"/>
    <s v="User Not Mapped"/>
    <n v="311219"/>
    <s v="Surendra Krishi Bhander"/>
    <s v="Private Wholsaler"/>
    <s v="9434404364"/>
    <n v="11"/>
    <n v="24"/>
    <x v="4"/>
    <s v="'1235'"/>
    <s v="2026-04-03"/>
    <s v="280736"/>
    <s v="M/S TAPAN KUMAR KARMAKAR"/>
    <s v="7584080473"/>
  </r>
  <r>
    <s v="RCF Trombay"/>
    <s v="15-15-15"/>
    <s v="WB"/>
    <x v="1"/>
    <s v="Kultali"/>
    <s v="User Not Mapped"/>
    <s v="User Not Mapped"/>
    <s v="User Not Mapped"/>
    <n v="311219"/>
    <s v="Surendra Krishi Bhander"/>
    <s v="Private Wholsaler"/>
    <s v="9434404364"/>
    <n v="6.2"/>
    <n v="160"/>
    <x v="0"/>
    <s v="'4899'"/>
    <s v="2025-11-18"/>
    <s v="280736"/>
    <s v="M/S TAPAN KUMAR KARMAKAR"/>
    <s v="7584080473"/>
  </r>
  <r>
    <s v="RCF Trombay"/>
    <s v="15-15-15"/>
    <s v="WB"/>
    <x v="1"/>
    <s v="Kultali"/>
    <s v="User Not Mapped"/>
    <s v="User Not Mapped"/>
    <s v="User Not Mapped"/>
    <n v="775216"/>
    <s v="MA NAMITA ENTERPRISE"/>
    <s v="Private Wholsaler"/>
    <s v="7699295315"/>
    <n v="11"/>
    <n v="262"/>
    <x v="3"/>
    <s v="'4543'"/>
    <s v="2025-08-08"/>
    <s v="280736"/>
    <s v="M/S TAPAN KUMAR KARMAKAR"/>
    <s v="7584080473"/>
  </r>
  <r>
    <s v="RCF Import"/>
    <s v="Imp 10-26-26"/>
    <s v="WB"/>
    <x v="1"/>
    <s v="Magrahat - I"/>
    <s v="User Not Mapped"/>
    <s v="User Not Mapped"/>
    <s v="User Not Mapped"/>
    <n v="281125"/>
    <s v="Manoda Fertilisers            "/>
    <s v="Private Wholsaler"/>
    <s v="9830280488"/>
    <n v="4.5"/>
    <n v="65"/>
    <x v="2"/>
    <s v="'WS3125003680'"/>
    <s v="2026-02-21"/>
    <s v="1"/>
    <s v="rcf"/>
    <m/>
  </r>
  <r>
    <s v="RCF Import"/>
    <s v="MOP"/>
    <s v="WB"/>
    <x v="1"/>
    <s v="Magrahat - I"/>
    <s v="User Not Mapped"/>
    <s v="User Not Mapped"/>
    <s v="User Not Mapped"/>
    <n v="281125"/>
    <s v="Manoda Fertilisers            "/>
    <s v="Private Wholsaler"/>
    <s v="9830280488"/>
    <n v="11"/>
    <n v="70"/>
    <x v="2"/>
    <s v="'WS3125003532'"/>
    <s v="2026-02-16"/>
    <s v="1"/>
    <s v="rcf"/>
    <m/>
  </r>
  <r>
    <s v="RCF Thal"/>
    <s v="N.C.Urea(45kg)"/>
    <s v="WB"/>
    <x v="1"/>
    <s v="Mathurapur - II"/>
    <s v="User Not Mapped"/>
    <s v="User Not Mapped"/>
    <s v="User Not Mapped"/>
    <n v="224553"/>
    <s v="Kirtibas Kapat (A.S.C.)"/>
    <s v="Private Wholsaler"/>
    <s v="9064538989"/>
    <n v="21.96"/>
    <n v="2"/>
    <x v="4"/>
    <s v="'WS3126000159'"/>
    <s v="2026-04-25"/>
    <s v="1"/>
    <s v="rcf"/>
    <m/>
  </r>
  <r>
    <s v="RCF Import"/>
    <s v="Imp 10-26-26"/>
    <s v="WB"/>
    <x v="1"/>
    <s v="Mathurapur - II"/>
    <s v="User Not Mapped"/>
    <s v="User Not Mapped"/>
    <s v="User Not Mapped"/>
    <n v="224553"/>
    <s v="Kirtibas Kapat (A.S.C.)"/>
    <s v="Private Wholsaler"/>
    <s v="9064538989"/>
    <n v="11"/>
    <n v="62"/>
    <x v="2"/>
    <s v="'WS3125003738'"/>
    <s v="2026-02-24"/>
    <s v="1"/>
    <s v="rcf"/>
    <m/>
  </r>
  <r>
    <s v="RCF Import"/>
    <s v="MOP"/>
    <s v="WB"/>
    <x v="1"/>
    <s v="Mathurapur - II"/>
    <s v="User Not Mapped"/>
    <s v="User Not Mapped"/>
    <s v="User Not Mapped"/>
    <n v="268665"/>
    <s v="Bhabasindhu Halder"/>
    <s v="Private Wholsaler"/>
    <s v="8926428665"/>
    <n v="4.5"/>
    <n v="68"/>
    <x v="2"/>
    <s v="'BHABO492'"/>
    <s v="2026-02-18"/>
    <s v="223807"/>
    <s v="M.K. Chemical and Fertilizers"/>
    <s v="9051316329"/>
  </r>
  <r>
    <s v="RCF Trombay"/>
    <s v="15-15-15"/>
    <s v="WB"/>
    <x v="1"/>
    <m/>
    <s v="User Not Mapped"/>
    <s v="User Not Mapped"/>
    <s v="User Not Mapped"/>
    <n v="290835"/>
    <s v=" Mahamaya Krishi Bhander"/>
    <s v="District Cooperative Marketing Society"/>
    <s v="9933502068"/>
    <n v="3"/>
    <n v="114"/>
    <x v="5"/>
    <s v="'HE008066'"/>
    <s v="2026-01-03"/>
    <s v="269946"/>
    <s v="M/s. Janardan Parui"/>
    <s v="6290703360"/>
  </r>
  <r>
    <s v="RCF Trombay"/>
    <s v="15-15-15"/>
    <s v="WB"/>
    <x v="1"/>
    <m/>
    <s v="User Not Mapped"/>
    <s v="User Not Mapped"/>
    <s v="User Not Mapped"/>
    <n v="290835"/>
    <s v=" Mahamaya Krishi Bhander"/>
    <s v="District Cooperative Marketing Society"/>
    <s v="9933502068"/>
    <n v="1.5"/>
    <n v="114"/>
    <x v="5"/>
    <s v="'HE008065'"/>
    <s v="2026-01-03"/>
    <s v="269946"/>
    <s v="M/s. Janardan Parui"/>
    <s v="6290703360"/>
  </r>
  <r>
    <s v="RCF Import"/>
    <s v="MOP"/>
    <s v="WB"/>
    <x v="1"/>
    <m/>
    <s v="User Not Mapped"/>
    <s v="User Not Mapped"/>
    <s v="User Not Mapped"/>
    <n v="342299"/>
    <s v="Din Mohammad Laskar"/>
    <s v="Private Wholsaler"/>
    <s v="7003318442"/>
    <n v="5.5"/>
    <n v="68"/>
    <x v="2"/>
    <s v="'ASRAFUL501'"/>
    <s v="2026-02-18"/>
    <s v="223807"/>
    <s v="M.K. Chemical and Fertilizers"/>
    <s v="9051316329"/>
  </r>
  <r>
    <s v="RCF Trombay"/>
    <s v="15-15-15"/>
    <s v="WB"/>
    <x v="1"/>
    <m/>
    <s v="User Not Mapped"/>
    <s v="User Not Mapped"/>
    <s v="User Not Mapped"/>
    <n v="342381"/>
    <s v="Namkhana Krishi Bipani"/>
    <s v="Private Wholsaler"/>
    <s v="9933792735"/>
    <n v="3"/>
    <n v="509"/>
    <x v="6"/>
    <s v="'HD006235'"/>
    <s v="2024-12-04"/>
    <s v="269946"/>
    <s v="M/s. Janardan Parui"/>
    <s v="6290703360"/>
  </r>
  <r>
    <s v="RCF Trombay"/>
    <s v="15-15-15"/>
    <s v="WB"/>
    <x v="1"/>
    <m/>
    <s v="User Not Mapped"/>
    <s v="User Not Mapped"/>
    <s v="User Not Mapped"/>
    <n v="342383"/>
    <s v="Kakdip Sar Bhandar"/>
    <s v="Private Wholsaler"/>
    <s v="9933502068"/>
    <n v="3.5"/>
    <n v="89"/>
    <x v="2"/>
    <s v="'HE009047'"/>
    <s v="2026-01-28"/>
    <s v="269946"/>
    <s v="M/s. Janardan Parui"/>
    <s v="6290703360"/>
  </r>
  <r>
    <s v="RCF Trombay"/>
    <s v="15-15-15"/>
    <s v="WB"/>
    <x v="2"/>
    <s v="Falakata"/>
    <s v="User Not Mapped"/>
    <s v="User Not Mapped"/>
    <s v="User Not Mapped"/>
    <n v="214203"/>
    <s v="Raja Fertilizer              "/>
    <s v="Private Wholsaler"/>
    <s v="8370801460"/>
    <n v="12.3"/>
    <n v="65"/>
    <x v="2"/>
    <s v="'RF/ST/788'"/>
    <s v="2026-02-21"/>
    <s v="214210"/>
    <s v="Raja Fertilizer"/>
    <s v="8370801459"/>
  </r>
  <r>
    <s v="RCF Trombay"/>
    <s v="15-15-15"/>
    <s v="WB"/>
    <x v="2"/>
    <s v="Falakata"/>
    <s v="User Not Mapped"/>
    <s v="User Not Mapped"/>
    <s v="User Not Mapped"/>
    <n v="214203"/>
    <s v="Raja Fertilizer              "/>
    <s v="Private Wholsaler"/>
    <s v="8370801460"/>
    <n v="11"/>
    <n v="13"/>
    <x v="4"/>
    <s v="'RF/ST/562'"/>
    <s v="2026-04-14"/>
    <s v="214210"/>
    <s v="Raja Fertilizer"/>
    <s v="8370801459"/>
  </r>
  <r>
    <s v="RCF Trombay"/>
    <s v="N.C.Urea(45kg)"/>
    <s v="WB"/>
    <x v="2"/>
    <s v="Falakata"/>
    <s v="User Not Mapped"/>
    <s v="User Not Mapped"/>
    <s v="User Not Mapped"/>
    <n v="214203"/>
    <s v="Raja Fertilizer              "/>
    <s v="Private Wholsaler"/>
    <s v="8370801460"/>
    <n v="0.155"/>
    <n v="77"/>
    <x v="2"/>
    <s v="'RF/ST/793'"/>
    <s v="2026-02-09"/>
    <s v="214210"/>
    <s v="Raja Fertilizer"/>
    <s v="8370801459"/>
  </r>
  <r>
    <s v="RCF Trombay"/>
    <s v="15-15-15"/>
    <s v="WB"/>
    <x v="2"/>
    <s v="Falakata"/>
    <s v="User Not Mapped"/>
    <s v="User Not Mapped"/>
    <s v="User Not Mapped"/>
    <n v="260049"/>
    <s v="Mahakal Enterprise"/>
    <s v="Private Wholsaler"/>
    <s v="9674571163"/>
    <n v="18.899999999999999"/>
    <n v="72"/>
    <x v="2"/>
    <s v="'VAC/25-26/1304'"/>
    <s v="2026-02-14"/>
    <s v="214204"/>
    <s v="Vikas Agrochemicals"/>
    <s v="9474382706"/>
  </r>
  <r>
    <s v="RCF Trombay"/>
    <s v="15-15-15"/>
    <s v="WB"/>
    <x v="2"/>
    <s v="Falakata"/>
    <s v="User Not Mapped"/>
    <s v="User Not Mapped"/>
    <s v="User Not Mapped"/>
    <n v="260049"/>
    <s v="Mahakal Enterprise"/>
    <s v="Private Wholsaler"/>
    <s v="9674571163"/>
    <n v="25"/>
    <n v="72"/>
    <x v="2"/>
    <s v="'VAC/25-26/1305'"/>
    <s v="2026-02-14"/>
    <s v="214204"/>
    <s v="Vikas Agrochemicals"/>
    <s v="9474382706"/>
  </r>
  <r>
    <s v="RCF Trombay"/>
    <s v="15-15-15"/>
    <s v="WB"/>
    <x v="2"/>
    <s v="Falakata"/>
    <s v="User Not Mapped"/>
    <s v="User Not Mapped"/>
    <s v="User Not Mapped"/>
    <n v="287777"/>
    <s v="M/s. Mathura Nath Chowdhury"/>
    <s v="Private Wholsaler"/>
    <s v="7602178949"/>
    <n v="0.75"/>
    <n v="16"/>
    <x v="4"/>
    <s v="'RF/ST/455'"/>
    <s v="2026-04-11"/>
    <s v="260048"/>
    <s v="Raja Fertilizers(Cbh)"/>
    <s v="7602178949"/>
  </r>
  <r>
    <s v="RCF Trombay"/>
    <s v="15-15-15"/>
    <s v="WB"/>
    <x v="2"/>
    <s v="Falakata"/>
    <s v="User Not Mapped"/>
    <s v="User Not Mapped"/>
    <s v="User Not Mapped"/>
    <n v="287777"/>
    <s v="M/s. Mathura Nath Chowdhury"/>
    <s v="Private Wholsaler"/>
    <s v="7602178949"/>
    <n v="11"/>
    <n v="13"/>
    <x v="4"/>
    <s v="'RF/ST/564'"/>
    <s v="2026-04-14"/>
    <s v="214210"/>
    <s v="Raja Fertilizer"/>
    <s v="8370801459"/>
  </r>
  <r>
    <s v="RCF Trombay"/>
    <s v="15-15-15"/>
    <s v="WB"/>
    <x v="2"/>
    <s v="Kumargram"/>
    <s v="User Not Mapped"/>
    <s v="User Not Mapped"/>
    <s v="User Not Mapped"/>
    <n v="1065810"/>
    <s v="NEW FARFERS TRADING"/>
    <s v="Private Wholsaler"/>
    <s v="9475763009"/>
    <n v="10"/>
    <n v="26"/>
    <x v="4"/>
    <s v="'ME/25-26/3255'"/>
    <s v="2026-04-01"/>
    <s v="260049"/>
    <s v="Mahakal Enterprise"/>
    <s v="9674571163"/>
  </r>
  <r>
    <s v="RCF Thal"/>
    <s v="N.C.Urea(45kg)"/>
    <s v="WB"/>
    <x v="2"/>
    <s v="Kumargram"/>
    <s v="User Not Mapped"/>
    <s v="User Not Mapped"/>
    <s v="User Not Mapped"/>
    <n v="1156273"/>
    <s v="NEW AMIYA STORE"/>
    <s v="Private Wholsaler"/>
    <s v="7908117405"/>
    <n v="11.025"/>
    <n v="53"/>
    <x v="1"/>
    <s v="'684'"/>
    <s v="2026-03-05"/>
    <s v="1264109"/>
    <s v="M/S SUNIL KUMAR KUNDU"/>
    <s v="9832028729"/>
  </r>
  <r>
    <s v="RCF Import"/>
    <s v="Imp 10-26-26"/>
    <s v="WB"/>
    <x v="3"/>
    <s v="Vishnupur"/>
    <s v="User Not Mapped"/>
    <s v="User Not Mapped"/>
    <s v="User Not Mapped"/>
    <n v="261556"/>
    <s v="Bankim Chandra Makur"/>
    <s v="Private Wholsaler"/>
    <s v="9434520840"/>
    <n v="6"/>
    <n v="65"/>
    <x v="2"/>
    <s v="'WS3125003665'"/>
    <s v="2026-02-21"/>
    <s v="1"/>
    <s v="rcf"/>
    <m/>
  </r>
  <r>
    <s v="RCF Thal"/>
    <s v="N.C.Urea(45kg)"/>
    <s v="WB"/>
    <x v="3"/>
    <s v="Vishnupur"/>
    <s v="User Not Mapped"/>
    <s v="User Not Mapped"/>
    <s v="User Not Mapped"/>
    <n v="261556"/>
    <s v="Bankim Chandra Makur"/>
    <s v="Private Wholsaler"/>
    <s v="9434520840"/>
    <n v="54"/>
    <n v="2"/>
    <x v="4"/>
    <s v="'WS3126000136'"/>
    <s v="2026-04-25"/>
    <s v="1"/>
    <s v="rcf"/>
    <m/>
  </r>
  <r>
    <s v="RCF Thal"/>
    <s v="N.C.Urea(45kg)"/>
    <s v="WB"/>
    <x v="3"/>
    <s v="Vishnupur"/>
    <s v="User Not Mapped"/>
    <s v="User Not Mapped"/>
    <s v="User Not Mapped"/>
    <n v="261556"/>
    <s v="Bankim Chandra Makur"/>
    <s v="Private Wholsaler"/>
    <s v="9434520840"/>
    <n v="18"/>
    <n v="2"/>
    <x v="4"/>
    <s v="'WS3126000134'"/>
    <s v="2026-04-25"/>
    <s v="1"/>
    <s v="rcf"/>
    <m/>
  </r>
  <r>
    <s v="RCF Thal"/>
    <s v="N.C.Urea(45kg)"/>
    <s v="WB"/>
    <x v="3"/>
    <s v="Vishnupur"/>
    <s v="User Not Mapped"/>
    <s v="User Not Mapped"/>
    <s v="User Not Mapped"/>
    <n v="261556"/>
    <s v="Bankim Chandra Makur"/>
    <s v="Private Wholsaler"/>
    <s v="9434520840"/>
    <n v="54"/>
    <n v="2"/>
    <x v="4"/>
    <s v="'WS3126000135'"/>
    <s v="2026-04-25"/>
    <s v="1"/>
    <s v="rcf"/>
    <m/>
  </r>
  <r>
    <s v="RCF Trombay"/>
    <s v="N.C.Urea(45kg)"/>
    <s v="WB"/>
    <x v="4"/>
    <s v="Bhatar"/>
    <s v="User Not Mapped"/>
    <s v="User Not Mapped"/>
    <s v="User Not Mapped"/>
    <n v="261704"/>
    <s v="M/s. Kiran Sankar Ray"/>
    <s v="Private Wholsaler"/>
    <s v="8250469811"/>
    <n v="23.94"/>
    <n v="179"/>
    <x v="0"/>
    <s v="'G-08'"/>
    <s v="2025-10-30"/>
    <s v="261689"/>
    <s v="M/s. Bimal Kumar Laha"/>
    <s v="9434133803"/>
  </r>
  <r>
    <s v="RCF Trombay"/>
    <s v="N.C.Urea(45kg)"/>
    <s v="WB"/>
    <x v="4"/>
    <s v="Bhatar"/>
    <s v="User Not Mapped"/>
    <s v="User Not Mapped"/>
    <s v="User Not Mapped"/>
    <n v="261704"/>
    <s v="M/s. Kiran Sankar Ray"/>
    <s v="Private Wholsaler"/>
    <s v="8250469811"/>
    <n v="11.97"/>
    <n v="179"/>
    <x v="0"/>
    <s v="'G-07'"/>
    <s v="2025-10-30"/>
    <s v="261689"/>
    <s v="M/s. Bimal Kumar Laha"/>
    <s v="9434133803"/>
  </r>
  <r>
    <s v="RCF Trombay"/>
    <s v="N.C.Urea(45kg)"/>
    <s v="WB"/>
    <x v="4"/>
    <s v="Bhatar"/>
    <s v="User Not Mapped"/>
    <s v="User Not Mapped"/>
    <s v="User Not Mapped"/>
    <n v="261704"/>
    <s v="M/s. Kiran Sankar Ray"/>
    <s v="Private Wholsaler"/>
    <s v="8250469811"/>
    <n v="23.94"/>
    <n v="179"/>
    <x v="0"/>
    <s v="'G-09'"/>
    <s v="2025-10-30"/>
    <s v="261689"/>
    <s v="M/s. Bimal Kumar Laha"/>
    <s v="9434133803"/>
  </r>
  <r>
    <s v="RCF Trombay"/>
    <s v="15-15-15"/>
    <s v="WB"/>
    <x v="4"/>
    <s v="Burdwan - I"/>
    <s v="User Not Mapped"/>
    <s v="User Not Mapped"/>
    <s v="User Not Mapped"/>
    <n v="1156141"/>
    <s v="PRASUN DAS"/>
    <s v="Private Wholsaler"/>
    <s v="9564391014"/>
    <n v="0.7"/>
    <n v="159"/>
    <x v="0"/>
    <s v="'989'"/>
    <s v="2025-11-19"/>
    <s v="261683"/>
    <s v="Amadpur U.C.A.C.S. Ltd."/>
    <s v="8967854686"/>
  </r>
  <r>
    <s v="RCF Thal"/>
    <s v="N.C.Urea(45kg)"/>
    <s v="WB"/>
    <x v="4"/>
    <s v="Burdwan - I"/>
    <s v="User Not Mapped"/>
    <s v="User Not Mapped"/>
    <s v="User Not Mapped"/>
    <n v="1156141"/>
    <s v="PRASUN DAS"/>
    <s v="Private Wholsaler"/>
    <s v="9564391014"/>
    <n v="0.03"/>
    <n v="76"/>
    <x v="2"/>
    <s v="'32/25-26'"/>
    <s v="2026-02-10"/>
    <s v="1612392"/>
    <s v="MANIK LAL PAL"/>
    <s v="8926111645"/>
  </r>
  <r>
    <s v="RCF Trombay"/>
    <s v="15-15-15"/>
    <s v="WB"/>
    <x v="4"/>
    <s v="Galsi - II"/>
    <s v="User Not Mapped"/>
    <s v="User Not Mapped"/>
    <s v="User Not Mapped"/>
    <n v="1569523"/>
    <s v="GHOSH KRISHI BHANDAR "/>
    <s v="Marketer"/>
    <s v="7501551576"/>
    <n v="10"/>
    <n v="89"/>
    <x v="2"/>
    <s v="'2501'"/>
    <s v="2026-01-28"/>
    <s v="286044"/>
    <s v="P M Sales Agency"/>
    <s v="9434002276"/>
  </r>
  <r>
    <s v="RCF Trombay"/>
    <s v="15-15-15"/>
    <s v="WB"/>
    <x v="4"/>
    <s v="Galsi - II"/>
    <s v="User Not Mapped"/>
    <s v="User Not Mapped"/>
    <s v="User Not Mapped"/>
    <n v="1569523"/>
    <s v="GHOSH KRISHI BHANDAR "/>
    <s v="Marketer"/>
    <s v="7501551576"/>
    <n v="16"/>
    <n v="89"/>
    <x v="2"/>
    <s v="'2500'"/>
    <s v="2026-01-28"/>
    <s v="286044"/>
    <s v="P M Sales Agency"/>
    <s v="9434002276"/>
  </r>
  <r>
    <s v="RCF Import"/>
    <s v="Imp 10-26-26"/>
    <s v="WB"/>
    <x v="4"/>
    <s v="Jamalpur"/>
    <s v="User Not Mapped"/>
    <s v="User Not Mapped"/>
    <s v="User Not Mapped"/>
    <n v="261689"/>
    <s v="M/s. Bimal Kumar Laha"/>
    <s v="Private Wholsaler"/>
    <s v="9434133803"/>
    <n v="50"/>
    <n v="65"/>
    <x v="2"/>
    <s v="'WS3125003695'"/>
    <s v="2026-02-21"/>
    <s v="1"/>
    <s v="rcf"/>
    <m/>
  </r>
  <r>
    <s v="RCF Import"/>
    <s v="Imp 10-26-26"/>
    <s v="WB"/>
    <x v="4"/>
    <s v="Jamalpur"/>
    <s v="User Not Mapped"/>
    <s v="User Not Mapped"/>
    <s v="User Not Mapped"/>
    <n v="261689"/>
    <s v="M/s. Bimal Kumar Laha"/>
    <s v="Private Wholsaler"/>
    <s v="9434133803"/>
    <n v="50"/>
    <n v="65"/>
    <x v="2"/>
    <s v="'WS3125003693'"/>
    <s v="2026-02-21"/>
    <s v="1"/>
    <s v="rcf"/>
    <m/>
  </r>
  <r>
    <s v="RCF Thal"/>
    <s v="N.C.Urea(45kg)"/>
    <s v="WB"/>
    <x v="4"/>
    <s v="Jamalpur"/>
    <s v="User Not Mapped"/>
    <s v="User Not Mapped"/>
    <s v="User Not Mapped"/>
    <n v="261689"/>
    <s v="M/s. Bimal Kumar Laha"/>
    <s v="Private Wholsaler"/>
    <s v="9434133803"/>
    <n v="54"/>
    <n v="77"/>
    <x v="2"/>
    <s v="'WS3125003328'"/>
    <s v="2026-02-09"/>
    <s v="1"/>
    <s v="rcf"/>
    <m/>
  </r>
  <r>
    <s v="RCF Import"/>
    <s v="Imp 10-26-26"/>
    <s v="WB"/>
    <x v="4"/>
    <s v="Jamalpur"/>
    <s v="User Not Mapped"/>
    <s v="User Not Mapped"/>
    <s v="User Not Mapped"/>
    <n v="261689"/>
    <s v="M/s. Bimal Kumar Laha"/>
    <s v="Private Wholsaler"/>
    <s v="9434133803"/>
    <n v="28"/>
    <n v="65"/>
    <x v="2"/>
    <s v="'WS3125003694'"/>
    <s v="2026-02-21"/>
    <s v="1"/>
    <s v="rcf"/>
    <m/>
  </r>
  <r>
    <s v="RCF Import"/>
    <s v="Imp 10-26-26"/>
    <s v="WB"/>
    <x v="4"/>
    <s v="Jamalpur"/>
    <s v="User Not Mapped"/>
    <s v="User Not Mapped"/>
    <s v="User Not Mapped"/>
    <n v="261689"/>
    <s v="M/s. Bimal Kumar Laha"/>
    <s v="Private Wholsaler"/>
    <s v="9434133803"/>
    <n v="10.8"/>
    <n v="64"/>
    <x v="2"/>
    <s v="'WS3125003710'"/>
    <s v="2026-02-22"/>
    <s v="1"/>
    <s v="rcf"/>
    <m/>
  </r>
  <r>
    <s v="RCF Import"/>
    <s v="Imp 10-26-26"/>
    <s v="WB"/>
    <x v="4"/>
    <s v="Jamalpur"/>
    <s v="User Not Mapped"/>
    <s v="User Not Mapped"/>
    <s v="User Not Mapped"/>
    <n v="261689"/>
    <s v="M/s. Bimal Kumar Laha"/>
    <s v="Private Wholsaler"/>
    <s v="9434133803"/>
    <n v="50"/>
    <n v="65"/>
    <x v="2"/>
    <s v="'WS3125003692'"/>
    <s v="2026-02-21"/>
    <s v="1"/>
    <s v="rcf"/>
    <m/>
  </r>
  <r>
    <s v="RCF Thal"/>
    <s v="N.C.Urea(45kg)"/>
    <s v="WB"/>
    <x v="4"/>
    <s v="Jamalpur"/>
    <s v="User Not Mapped"/>
    <s v="User Not Mapped"/>
    <s v="User Not Mapped"/>
    <n v="261689"/>
    <s v="M/s. Bimal Kumar Laha"/>
    <s v="Private Wholsaler"/>
    <s v="9434133803"/>
    <n v="0.63"/>
    <n v="77"/>
    <x v="2"/>
    <s v="'WS3125003331'"/>
    <s v="2026-02-09"/>
    <s v="1"/>
    <s v="rcf"/>
    <m/>
  </r>
  <r>
    <s v="RCF Thal"/>
    <s v="N.C.Urea(45kg)"/>
    <s v="WB"/>
    <x v="4"/>
    <s v="Jamalpur"/>
    <s v="User Not Mapped"/>
    <s v="User Not Mapped"/>
    <s v="User Not Mapped"/>
    <n v="261689"/>
    <s v="M/s. Bimal Kumar Laha"/>
    <s v="Private Wholsaler"/>
    <s v="9434133803"/>
    <n v="21.78"/>
    <n v="77"/>
    <x v="2"/>
    <s v="'WS3125003332'"/>
    <s v="2026-02-09"/>
    <s v="1"/>
    <s v="rcf"/>
    <m/>
  </r>
  <r>
    <s v="RCF Thal"/>
    <s v="N.C.Urea(45kg)"/>
    <s v="WB"/>
    <x v="4"/>
    <s v="Jamalpur"/>
    <s v="User Not Mapped"/>
    <s v="User Not Mapped"/>
    <s v="User Not Mapped"/>
    <n v="261727"/>
    <s v="Sibnath Dawn"/>
    <s v="Private Wholsaler"/>
    <s v="9002133663"/>
    <n v="16.204999999999998"/>
    <n v="77"/>
    <x v="2"/>
    <s v="'WS3125003333'"/>
    <s v="2026-02-09"/>
    <s v="1"/>
    <s v="rcf"/>
    <m/>
  </r>
  <r>
    <s v="RCF Trombay"/>
    <s v="15-15-15"/>
    <s v="WB"/>
    <x v="4"/>
    <s v="Katwa - I"/>
    <s v="User Not Mapped"/>
    <s v="User Not Mapped"/>
    <s v="User Not Mapped"/>
    <n v="261730"/>
    <s v="M/s. S.Sikdar and Co."/>
    <s v="Private Wholsaler"/>
    <s v="9064141714"/>
    <n v="10"/>
    <n v="94"/>
    <x v="5"/>
    <s v="'WS3125003068'"/>
    <s v="2026-01-23"/>
    <s v="1"/>
    <s v="rcf"/>
    <m/>
  </r>
  <r>
    <s v="RCF Trombay"/>
    <s v="15-15-15"/>
    <s v="WB"/>
    <x v="4"/>
    <s v="Katwa - I"/>
    <s v="User Not Mapped"/>
    <s v="User Not Mapped"/>
    <s v="User Not Mapped"/>
    <n v="261730"/>
    <s v="M/s. S.Sikdar and Co."/>
    <s v="Private Wholsaler"/>
    <s v="9064141714"/>
    <n v="8.5"/>
    <n v="135"/>
    <x v="0"/>
    <s v="'WS3125002818'"/>
    <s v="2025-12-13"/>
    <s v="1"/>
    <s v="rcf"/>
    <m/>
  </r>
  <r>
    <s v="RCF Trombay"/>
    <s v="15-15-15"/>
    <s v="WB"/>
    <x v="4"/>
    <s v="Katwa - I"/>
    <s v="User Not Mapped"/>
    <s v="User Not Mapped"/>
    <s v="User Not Mapped"/>
    <n v="261730"/>
    <s v="M/s. S.Sikdar and Co."/>
    <s v="Private Wholsaler"/>
    <s v="9064141714"/>
    <n v="20"/>
    <n v="65"/>
    <x v="2"/>
    <s v="'WS3125003640'"/>
    <s v="2026-02-21"/>
    <s v="1"/>
    <s v="rcf"/>
    <m/>
  </r>
  <r>
    <s v="RCF Thal"/>
    <s v="N.C.Urea(45kg)"/>
    <s v="WB"/>
    <x v="4"/>
    <s v="Katwa - I"/>
    <s v="User Not Mapped"/>
    <s v="User Not Mapped"/>
    <s v="User Not Mapped"/>
    <n v="261730"/>
    <s v="M/s. S.Sikdar and Co."/>
    <s v="Private Wholsaler"/>
    <s v="9064141714"/>
    <n v="12.015000000000001"/>
    <n v="26"/>
    <x v="4"/>
    <s v="'WS3126000001'"/>
    <s v="2026-04-01"/>
    <s v="1"/>
    <s v="rcf"/>
    <m/>
  </r>
  <r>
    <s v="RCF Trombay"/>
    <s v="15-15-15"/>
    <s v="WB"/>
    <x v="4"/>
    <s v="Mangolkote"/>
    <s v="User Not Mapped"/>
    <s v="User Not Mapped"/>
    <s v="User Not Mapped"/>
    <n v="1024474"/>
    <s v="M/S SOUMEN LAHA"/>
    <s v="Private Wholsaler"/>
    <s v="7679682894"/>
    <n v="7"/>
    <n v="231"/>
    <x v="3"/>
    <s v="'762'"/>
    <s v="2025-09-08"/>
    <s v="261683"/>
    <s v="Amadpur U.C.A.C.S. Ltd."/>
    <s v="8967854686"/>
  </r>
  <r>
    <s v="RCF Thal"/>
    <s v="N.C.Urea(45kg)"/>
    <s v="WB"/>
    <x v="4"/>
    <s v="Memari - I"/>
    <s v="User Not Mapped"/>
    <s v="User Not Mapped"/>
    <s v="User Not Mapped"/>
    <n v="261683"/>
    <s v="Amadpur U.C.A.C.S. Ltd."/>
    <s v="PACS"/>
    <s v="8967854686"/>
    <n v="29.925000000000001"/>
    <n v="124"/>
    <x v="0"/>
    <s v="'I-19'"/>
    <s v="2025-12-24"/>
    <s v="261689"/>
    <s v="M/s. Bimal Kumar Laha"/>
    <s v="9434133803"/>
  </r>
  <r>
    <s v="RCF Thal"/>
    <s v="N.C.Urea(45kg)"/>
    <s v="WB"/>
    <x v="4"/>
    <s v="Memari - I"/>
    <s v="User Not Mapped"/>
    <s v="User Not Mapped"/>
    <s v="User Not Mapped"/>
    <n v="261683"/>
    <s v="Amadpur U.C.A.C.S. Ltd."/>
    <s v="PACS"/>
    <s v="8967854686"/>
    <n v="4.4999999999999998E-2"/>
    <n v="152"/>
    <x v="0"/>
    <s v="'H-21'"/>
    <s v="2025-11-26"/>
    <s v="261689"/>
    <s v="M/s. Bimal Kumar Laha"/>
    <s v="9434133803"/>
  </r>
  <r>
    <s v="RCF Import"/>
    <s v="Imp 10-26-26"/>
    <s v="WB"/>
    <x v="4"/>
    <s v="Memari - II"/>
    <s v="User Not Mapped"/>
    <s v="User Not Mapped"/>
    <s v="User Not Mapped"/>
    <n v="1612392"/>
    <s v="MANIK LAL PAL"/>
    <s v="Private Wholsaler"/>
    <s v="8926111645"/>
    <n v="30"/>
    <n v="64"/>
    <x v="2"/>
    <s v="'WS3125003712'"/>
    <s v="2026-02-22"/>
    <s v="1"/>
    <s v="rcf"/>
    <m/>
  </r>
  <r>
    <s v="RCF Import"/>
    <s v="Imp 10-26-26"/>
    <s v="WB"/>
    <x v="4"/>
    <s v="Memari - II"/>
    <s v="User Not Mapped"/>
    <s v="User Not Mapped"/>
    <s v="User Not Mapped"/>
    <n v="1612392"/>
    <s v="MANIK LAL PAL"/>
    <s v="Private Wholsaler"/>
    <s v="8926111645"/>
    <n v="16"/>
    <n v="64"/>
    <x v="2"/>
    <s v="'WS3125003734'"/>
    <s v="2026-02-22"/>
    <s v="1"/>
    <s v="rcf"/>
    <m/>
  </r>
  <r>
    <s v="RCF Import"/>
    <s v="Imp 10-26-26"/>
    <s v="WB"/>
    <x v="4"/>
    <s v="Memari - II"/>
    <s v="User Not Mapped"/>
    <s v="User Not Mapped"/>
    <s v="User Not Mapped"/>
    <n v="1612392"/>
    <s v="MANIK LAL PAL"/>
    <s v="Private Wholsaler"/>
    <s v="8926111645"/>
    <n v="38"/>
    <n v="65"/>
    <x v="2"/>
    <s v="'WS3125003696'"/>
    <s v="2026-02-21"/>
    <s v="1"/>
    <s v="rcf"/>
    <m/>
  </r>
  <r>
    <s v="RCF Trombay"/>
    <s v="15-15-15"/>
    <s v="WB"/>
    <x v="4"/>
    <s v="Raina - I"/>
    <s v="User Not Mapped"/>
    <s v="User Not Mapped"/>
    <s v="User Not Mapped"/>
    <n v="1297965"/>
    <s v="M/S MONDAL ENTERPRISE"/>
    <s v="Private Wholsaler"/>
    <s v="8620027376"/>
    <n v="3"/>
    <n v="245"/>
    <x v="3"/>
    <s v="'E-85'"/>
    <s v="2025-08-25"/>
    <s v="261689"/>
    <s v="M/s. Bimal Kumar Laha"/>
    <s v="9434133803"/>
  </r>
  <r>
    <s v="RCF Trombay"/>
    <s v="15-15-15"/>
    <s v="WB"/>
    <x v="4"/>
    <s v="Raina - I"/>
    <s v="User Not Mapped"/>
    <s v="User Not Mapped"/>
    <s v="User Not Mapped"/>
    <n v="1297965"/>
    <s v="M/S MONDAL ENTERPRISE"/>
    <s v="Private Wholsaler"/>
    <s v="8620027376"/>
    <n v="3.75"/>
    <n v="254"/>
    <x v="3"/>
    <s v="'E-41'"/>
    <s v="2025-08-16"/>
    <s v="261689"/>
    <s v="M/s. Bimal Kumar Laha"/>
    <s v="9434133803"/>
  </r>
  <r>
    <s v="RCF Thal"/>
    <s v="N.C.Urea(45kg)"/>
    <s v="WB"/>
    <x v="5"/>
    <s v="Rampurhat - I"/>
    <s v="User Not Mapped"/>
    <s v="User Not Mapped"/>
    <s v="User Not Mapped"/>
    <n v="221827"/>
    <s v="Sree Maa Fertilizer"/>
    <s v="Private Wholsaler"/>
    <s v="7063506552"/>
    <n v="9.76"/>
    <n v="50"/>
    <x v="1"/>
    <s v="'WS3125003826'"/>
    <s v="2026-03-08"/>
    <s v="1"/>
    <s v="rcf"/>
    <m/>
  </r>
  <r>
    <s v="RCF Thal"/>
    <s v="N.C.Urea(45kg)"/>
    <s v="WB"/>
    <x v="5"/>
    <s v="Rampurhat - I"/>
    <s v="User Not Mapped"/>
    <s v="User Not Mapped"/>
    <s v="User Not Mapped"/>
    <n v="221827"/>
    <s v="Sree Maa Fertilizer"/>
    <s v="Private Wholsaler"/>
    <s v="7063506552"/>
    <n v="54"/>
    <n v="50"/>
    <x v="1"/>
    <s v="'WS3125003825'"/>
    <s v="2026-03-08"/>
    <s v="1"/>
    <s v="rcf"/>
    <m/>
  </r>
  <r>
    <s v="RCF Import"/>
    <s v="Imp 10-26-26"/>
    <s v="WB"/>
    <x v="5"/>
    <s v="Rampurhat - I"/>
    <s v="User Not Mapped"/>
    <s v="User Not Mapped"/>
    <s v="User Not Mapped"/>
    <n v="221827"/>
    <s v="Sree Maa Fertilizer"/>
    <s v="Private Wholsaler"/>
    <s v="7063506552"/>
    <n v="30"/>
    <n v="63"/>
    <x v="2"/>
    <s v="'3125003702'"/>
    <s v="2026-02-23"/>
    <s v="1"/>
    <s v="rcf"/>
    <m/>
  </r>
  <r>
    <s v="RCF Import"/>
    <s v="Imp 10-26-26"/>
    <s v="WB"/>
    <x v="5"/>
    <s v="Rampurhat - I"/>
    <s v="User Not Mapped"/>
    <s v="User Not Mapped"/>
    <s v="User Not Mapped"/>
    <n v="262599"/>
    <s v="M/s. Kishan Fertilizer"/>
    <s v="Private Wholsaler"/>
    <s v="9933896323"/>
    <n v="10"/>
    <n v="66"/>
    <x v="2"/>
    <s v="'3125003524'"/>
    <s v="2026-02-20"/>
    <s v="1"/>
    <s v="rcf"/>
    <m/>
  </r>
  <r>
    <s v="RCF Thal"/>
    <s v="N.C.Urea(45kg)"/>
    <s v="WB"/>
    <x v="5"/>
    <s v="Rampurhat - I"/>
    <s v="User Not Mapped"/>
    <s v="User Not Mapped"/>
    <s v="User Not Mapped"/>
    <n v="262599"/>
    <s v="M/s. Kishan Fertilizer"/>
    <s v="Private Wholsaler"/>
    <s v="9933896323"/>
    <n v="7.11"/>
    <n v="50"/>
    <x v="1"/>
    <s v="'WS3125003827'"/>
    <s v="2026-03-08"/>
    <s v="1"/>
    <s v="rcf"/>
    <m/>
  </r>
  <r>
    <s v="RCF Trombay"/>
    <s v="N.C.Urea(45kg)"/>
    <s v="WB"/>
    <x v="5"/>
    <s v="Rampurhat - I"/>
    <s v="User Not Mapped"/>
    <s v="User Not Mapped"/>
    <s v="User Not Mapped"/>
    <n v="262599"/>
    <s v="M/s. Kishan Fertilizer"/>
    <s v="Private Wholsaler"/>
    <s v="9933896323"/>
    <n v="2.6549999999999998"/>
    <n v="44"/>
    <x v="1"/>
    <s v="'2526RAMSDF1111'"/>
    <s v="2026-03-14"/>
    <s v="280775"/>
    <s v="R A Kheria"/>
    <s v="9830290085"/>
  </r>
  <r>
    <s v="RCF Import"/>
    <s v="Imp 10-26-26"/>
    <s v="WB"/>
    <x v="5"/>
    <s v="Sainthia"/>
    <s v="User Not Mapped"/>
    <s v="User Not Mapped"/>
    <s v="User Not Mapped"/>
    <n v="262597"/>
    <s v="M/S JOY SHANKAR DUTTA AND SONS"/>
    <s v="Private Wholsaler"/>
    <s v="9433002237"/>
    <n v="7"/>
    <n v="47"/>
    <x v="1"/>
    <s v="'21'"/>
    <s v="2026-03-11"/>
    <s v="262596"/>
    <s v="M/S JOY NARAYAN DUTTA AND BROS"/>
    <s v="9433002266"/>
  </r>
  <r>
    <s v="RCF Import"/>
    <s v="Imp 10-26-26"/>
    <s v="WB"/>
    <x v="5"/>
    <s v="Sainthia"/>
    <s v="User Not Mapped"/>
    <s v="User Not Mapped"/>
    <s v="User Not Mapped"/>
    <n v="262597"/>
    <s v="M/S JOY SHANKAR DUTTA AND SONS"/>
    <s v="Private Wholsaler"/>
    <s v="9433002237"/>
    <n v="10"/>
    <n v="82"/>
    <x v="2"/>
    <s v="'WS3125003246'"/>
    <s v="2026-02-04"/>
    <s v="1"/>
    <s v="rcf"/>
    <m/>
  </r>
  <r>
    <s v="RCF Thal"/>
    <s v="N.C.Urea(45kg)"/>
    <s v="WB"/>
    <x v="6"/>
    <s v="Cooch Behar - I"/>
    <s v="User Not Mapped"/>
    <s v="User Not Mapped"/>
    <s v="User Not Mapped"/>
    <n v="214214"/>
    <s v="Dey Banik Fertiliser  Co.    "/>
    <s v="Private Wholsaler"/>
    <s v="9775801969"/>
    <n v="3.0150000000000001"/>
    <n v="56"/>
    <x v="1"/>
    <s v="'WS3125003752'"/>
    <s v="2026-03-02"/>
    <s v="1"/>
    <s v="rcf"/>
    <m/>
  </r>
  <r>
    <s v="RCF Trombay"/>
    <s v="15-15-15"/>
    <s v="WB"/>
    <x v="6"/>
    <s v="Cooch Behar - I"/>
    <s v="User Not Mapped"/>
    <s v="User Not Mapped"/>
    <s v="User Not Mapped"/>
    <n v="214214"/>
    <s v="Dey Banik Fertiliser  Co.    "/>
    <s v="Private Wholsaler"/>
    <s v="9775801969"/>
    <n v="9.15"/>
    <n v="83"/>
    <x v="2"/>
    <s v="'WS3125003243'"/>
    <s v="2026-02-03"/>
    <s v="1"/>
    <s v="rcf"/>
    <m/>
  </r>
  <r>
    <s v="RCF Trombay"/>
    <s v="15-15-15"/>
    <s v="WB"/>
    <x v="6"/>
    <s v="Cooch Behar - I"/>
    <s v="User Not Mapped"/>
    <s v="User Not Mapped"/>
    <s v="User Not Mapped"/>
    <n v="260048"/>
    <s v="Raja Fertilizers(Cbh)"/>
    <s v="Private Wholsaler"/>
    <s v="7602178949"/>
    <n v="24.3"/>
    <n v="13"/>
    <x v="4"/>
    <s v="'RF/ST/561'"/>
    <s v="2026-04-14"/>
    <s v="214210"/>
    <s v="Raja Fertilizer"/>
    <s v="8370801459"/>
  </r>
  <r>
    <s v="RCF Thal"/>
    <s v="N.C.Urea(45kg)"/>
    <s v="WB"/>
    <x v="6"/>
    <s v="Cooch Behar - I"/>
    <s v="User Not Mapped"/>
    <s v="User Not Mapped"/>
    <s v="User Not Mapped"/>
    <n v="260048"/>
    <s v="Raja Fertilizers(Cbh)"/>
    <s v="Private Wholsaler"/>
    <s v="7602178949"/>
    <n v="4.9749999999999996"/>
    <n v="40"/>
    <x v="1"/>
    <s v="'RF/ST/913'"/>
    <s v="2026-03-18"/>
    <s v="214210"/>
    <s v="Raja Fertilizer"/>
    <s v="8370801459"/>
  </r>
  <r>
    <s v="RCF Trombay"/>
    <s v="N.C.Urea(45kg)"/>
    <s v="WB"/>
    <x v="6"/>
    <s v="Cooch Behar - I"/>
    <s v="User Not Mapped"/>
    <s v="User Not Mapped"/>
    <s v="User Not Mapped"/>
    <n v="260048"/>
    <s v="Raja Fertilizers(Cbh)"/>
    <s v="Private Wholsaler"/>
    <s v="7602178949"/>
    <n v="0.56499999999999995"/>
    <n v="77"/>
    <x v="2"/>
    <s v="'RF/ST/794'"/>
    <s v="2026-02-09"/>
    <s v="214210"/>
    <s v="Raja Fertilizer"/>
    <s v="8370801459"/>
  </r>
  <r>
    <s v="RCF Thal"/>
    <s v="N.C.Urea(45kg)"/>
    <s v="WB"/>
    <x v="6"/>
    <s v="Dinhata - I"/>
    <s v="User Not Mapped"/>
    <s v="User Not Mapped"/>
    <s v="User Not Mapped"/>
    <n v="1213389"/>
    <s v="MAA KALI FERTILIZER"/>
    <s v="Private Wholsaler"/>
    <s v="9933179116"/>
    <n v="19.170000000000002"/>
    <n v="49"/>
    <x v="1"/>
    <s v="'B/25-26/030020'"/>
    <s v="2026-03-09"/>
    <s v="254732"/>
    <s v="Binod Kumar Maskara"/>
    <s v="8250461848"/>
  </r>
  <r>
    <s v="RCF Trombay"/>
    <s v="15-15-15"/>
    <s v="WB"/>
    <x v="6"/>
    <s v="Mathabhanga - II"/>
    <s v="User Not Mapped"/>
    <s v="User Not Mapped"/>
    <s v="User Not Mapped"/>
    <n v="1296616"/>
    <s v="KAMAL KR ROY "/>
    <s v="Private Wholsaler"/>
    <s v="9735973823"/>
    <n v="3.5"/>
    <n v="24"/>
    <x v="4"/>
    <s v="'GST/139/26-27'"/>
    <s v="2026-04-03"/>
    <s v="268761"/>
    <s v="Chaki Enterprise"/>
    <s v="8348285333"/>
  </r>
  <r>
    <s v="RCF Trombay"/>
    <s v="15-15-15"/>
    <s v="WB"/>
    <x v="6"/>
    <s v="Mathabhanga - II"/>
    <s v="User Not Mapped"/>
    <s v="User Not Mapped"/>
    <s v="User Not Mapped"/>
    <n v="1296616"/>
    <s v="KAMAL KR ROY "/>
    <s v="Private Wholsaler"/>
    <s v="9735973823"/>
    <n v="3.5"/>
    <n v="3"/>
    <x v="4"/>
    <s v="'GST/976/26-27'"/>
    <s v="2026-04-24"/>
    <s v="268761"/>
    <s v="Chaki Enterprise"/>
    <s v="8348285333"/>
  </r>
  <r>
    <s v="RCF Thal"/>
    <s v="N.C.Urea(45kg)"/>
    <s v="WB"/>
    <x v="6"/>
    <s v="Mekliganj"/>
    <s v="User Not Mapped"/>
    <s v="User Not Mapped"/>
    <s v="User Not Mapped"/>
    <n v="952445"/>
    <s v="M/S PRASANTA DAS"/>
    <s v="Private Wholsaler"/>
    <s v="8670737096"/>
    <n v="11.97"/>
    <n v="49"/>
    <x v="1"/>
    <s v="'STA/62/25-26'"/>
    <s v="2026-03-09"/>
    <s v="254732"/>
    <s v="Binod Kumar Maskara"/>
    <s v="8250461848"/>
  </r>
  <r>
    <s v="RCF Trombay"/>
    <s v="15-15-15"/>
    <s v="WB"/>
    <x v="6"/>
    <s v="Mekliganj"/>
    <s v="User Not Mapped"/>
    <s v="User Not Mapped"/>
    <s v="User Not Mapped"/>
    <n v="952445"/>
    <s v="M/S PRASANTA DAS"/>
    <s v="Private Wholsaler"/>
    <s v="8670737096"/>
    <n v="4"/>
    <n v="80"/>
    <x v="2"/>
    <s v="'AKB/SA/4072'"/>
    <s v="2026-02-06"/>
    <s v="222671"/>
    <s v="Adarsha Krishi Bhandar"/>
    <s v="7872827880"/>
  </r>
  <r>
    <s v="RCF Trombay"/>
    <s v="15-15-15"/>
    <s v="WB"/>
    <x v="6"/>
    <s v="Mekliganj"/>
    <s v="User Not Mapped"/>
    <s v="User Not Mapped"/>
    <s v="User Not Mapped"/>
    <n v="952445"/>
    <s v="M/S PRASANTA DAS"/>
    <s v="Private Wholsaler"/>
    <s v="8670737096"/>
    <n v="3.5"/>
    <n v="80"/>
    <x v="2"/>
    <s v="'AKB/SA/4073'"/>
    <s v="2026-02-06"/>
    <s v="222671"/>
    <s v="Adarsha Krishi Bhandar"/>
    <s v="7872827880"/>
  </r>
  <r>
    <s v="RCF Trombay"/>
    <s v="15-15-15"/>
    <s v="WB"/>
    <x v="6"/>
    <s v="Mekliganj"/>
    <s v="User Not Mapped"/>
    <s v="User Not Mapped"/>
    <s v="User Not Mapped"/>
    <n v="952445"/>
    <s v="M/S PRASANTA DAS"/>
    <s v="Private Wholsaler"/>
    <s v="8670737096"/>
    <n v="0.5"/>
    <n v="80"/>
    <x v="2"/>
    <s v="'AKB/SA/4071'"/>
    <s v="2026-02-06"/>
    <s v="222671"/>
    <s v="Adarsha Krishi Bhandar"/>
    <s v="7872827880"/>
  </r>
  <r>
    <s v="RCF Thal"/>
    <s v="N.C.Urea(45kg)"/>
    <s v="WB"/>
    <x v="6"/>
    <s v="Sitai"/>
    <s v="User Not Mapped"/>
    <s v="User Not Mapped"/>
    <s v="User Not Mapped"/>
    <n v="268849"/>
    <s v="M/s. Debashis Kundu"/>
    <s v="Private Wholsaler"/>
    <s v="9641428689"/>
    <n v="2.9249999999999998"/>
    <n v="46"/>
    <x v="1"/>
    <s v="'2526USPKSLGF0125'"/>
    <s v="2026-03-12"/>
    <s v="1409662"/>
    <s v="UMA SHANKAR PRADIP KUMAR"/>
    <s v="9831636631"/>
  </r>
  <r>
    <s v="RCF Trombay"/>
    <s v="15-15-15"/>
    <s v="WB"/>
    <x v="6"/>
    <s v="Sitai"/>
    <s v="User Not Mapped"/>
    <s v="User Not Mapped"/>
    <s v="User Not Mapped"/>
    <n v="268849"/>
    <s v="M/s. Debashis Kundu"/>
    <s v="Private Wholsaler"/>
    <s v="9641428689"/>
    <n v="3.05"/>
    <n v="74"/>
    <x v="2"/>
    <s v="'2526USPKSLGF0088'"/>
    <s v="2026-02-12"/>
    <s v="1409662"/>
    <s v="UMA SHANKAR PRADIP KUMAR"/>
    <s v="9831636631"/>
  </r>
  <r>
    <s v="RCF Thal"/>
    <s v="N.C.Urea(45kg)"/>
    <s v="WB"/>
    <x v="6"/>
    <s v="Sitai"/>
    <s v="User Not Mapped"/>
    <s v="User Not Mapped"/>
    <s v="User Not Mapped"/>
    <n v="1098525"/>
    <s v="M/S ABDUL RAHAMAN HAQUE"/>
    <s v="Private Wholsaler"/>
    <s v="8116824875"/>
    <n v="25.065000000000001"/>
    <n v="48"/>
    <x v="1"/>
    <s v="'RF/C/25-26/2516'"/>
    <s v="2026-03-10"/>
    <s v="260048"/>
    <s v="Raja Fertilizers(Cbh)"/>
    <s v="7602178949"/>
  </r>
  <r>
    <s v="RCF Trombay"/>
    <s v="15-15-15"/>
    <s v="WB"/>
    <x v="6"/>
    <s v="Sitalkuchi"/>
    <s v="User Not Mapped"/>
    <s v="User Not Mapped"/>
    <s v="User Not Mapped"/>
    <n v="273016"/>
    <s v="Tapan Kumar Singh"/>
    <s v="Private Wholsaler"/>
    <s v="9932263327"/>
    <n v="2.15"/>
    <n v="135"/>
    <x v="0"/>
    <s v="'AC/25-26/0427'"/>
    <s v="2025-12-13"/>
    <s v="1375345"/>
    <s v="M/S AGRO CARE "/>
    <s v="7908844177"/>
  </r>
  <r>
    <s v="RCF Thal"/>
    <s v="N.C.Urea(45kg)"/>
    <s v="WB"/>
    <x v="6"/>
    <s v="Sitalkuchi"/>
    <s v="User Not Mapped"/>
    <s v="User Not Mapped"/>
    <s v="User Not Mapped"/>
    <n v="1478575"/>
    <s v="M/s Laxmi Narayan Fertilizer"/>
    <s v="Private Wholsaler"/>
    <s v="8116546931"/>
    <n v="24.975000000000001"/>
    <n v="53"/>
    <x v="1"/>
    <s v="'1894'"/>
    <s v="2026-03-05"/>
    <s v="1098527"/>
    <s v="M/S SUNIL KR.KUNDU"/>
    <s v="9832028729"/>
  </r>
  <r>
    <s v="RCF Trombay"/>
    <s v="15-15-15"/>
    <s v="WB"/>
    <x v="6"/>
    <s v="Tufanganj - II"/>
    <s v="User Not Mapped"/>
    <s v="User Not Mapped"/>
    <s v="User Not Mapped"/>
    <n v="1214824"/>
    <s v="M/S. PRAHALLAD  DAS"/>
    <s v="Private Wholsaler"/>
    <s v="9635190209"/>
    <n v="0.5"/>
    <n v="55"/>
    <x v="1"/>
    <s v="'824A'"/>
    <s v="2026-03-03"/>
    <s v="268849"/>
    <s v="M/s. Debashis Kundu"/>
    <s v="9641428689"/>
  </r>
  <r>
    <s v="RCF Trombay"/>
    <s v="N.C.Urea(45kg)"/>
    <s v="WB"/>
    <x v="6"/>
    <s v="Tufanganj - II"/>
    <s v="User Not Mapped"/>
    <s v="User Not Mapped"/>
    <s v="User Not Mapped"/>
    <n v="1214824"/>
    <s v="M/S. PRAHALLAD  DAS"/>
    <s v="Private Wholsaler"/>
    <s v="9635190209"/>
    <n v="0.09"/>
    <n v="74"/>
    <x v="2"/>
    <s v="'672'"/>
    <s v="2026-02-12"/>
    <s v="268849"/>
    <s v="M/s. Debashis Kundu"/>
    <s v="9641428689"/>
  </r>
  <r>
    <s v="RCF Thal"/>
    <s v="N.C.Urea(45kg)"/>
    <s v="WB"/>
    <x v="6"/>
    <s v="Tufanganj - II"/>
    <s v="User Not Mapped"/>
    <s v="User Not Mapped"/>
    <s v="User Not Mapped"/>
    <n v="1214824"/>
    <s v="M/S. PRAHALLAD  DAS"/>
    <s v="Private Wholsaler"/>
    <s v="9635190209"/>
    <n v="11.025"/>
    <n v="47"/>
    <x v="1"/>
    <s v="'F/D25-26/2208'"/>
    <s v="2026-03-11"/>
    <s v="288290"/>
    <s v="M/s Ma Mahamaya Krishi Bhandar"/>
    <s v="9547002014"/>
  </r>
  <r>
    <s v="RCF Thal"/>
    <s v="N.C.Urea(45kg)"/>
    <s v="WB"/>
    <x v="6"/>
    <s v="Tufanganj - II"/>
    <s v="User Not Mapped"/>
    <s v="User Not Mapped"/>
    <s v="User Not Mapped"/>
    <n v="1214824"/>
    <s v="M/S. PRAHALLAD  DAS"/>
    <s v="Private Wholsaler"/>
    <s v="9635190209"/>
    <n v="11.025"/>
    <n v="40"/>
    <x v="1"/>
    <s v="'F/D25-26/2259'"/>
    <s v="2026-03-18"/>
    <s v="288290"/>
    <s v="M/s Ma Mahamaya Krishi Bhandar"/>
    <s v="9547002014"/>
  </r>
  <r>
    <s v="RCF Thal"/>
    <s v="N.C.Urea(45kg)"/>
    <s v="WB"/>
    <x v="6"/>
    <s v="Tufanganj - II"/>
    <s v="User Not Mapped"/>
    <s v="User Not Mapped"/>
    <s v="User Not Mapped"/>
    <n v="1214824"/>
    <s v="M/S. PRAHALLAD  DAS"/>
    <s v="Private Wholsaler"/>
    <s v="9635190209"/>
    <n v="9.7650000000000006"/>
    <n v="47"/>
    <x v="1"/>
    <s v="'F/D25-26/2207'"/>
    <s v="2026-03-11"/>
    <s v="288290"/>
    <s v="M/s Ma Mahamaya Krishi Bhandar"/>
    <s v="9547002014"/>
  </r>
  <r>
    <s v="RCF Thal"/>
    <s v="N.C.Urea(45kg)"/>
    <s v="WB"/>
    <x v="7"/>
    <s v="Balurghat"/>
    <s v="User Not Mapped"/>
    <s v="User Not Mapped"/>
    <s v="User Not Mapped"/>
    <n v="263382"/>
    <s v="Tushar Kanti Agarwala"/>
    <s v="Private Wholsaler"/>
    <s v="8597190846"/>
    <n v="45"/>
    <n v="49"/>
    <x v="1"/>
    <s v="'WS3125003870'"/>
    <s v="2026-03-09"/>
    <s v="1"/>
    <s v="rcf"/>
    <m/>
  </r>
  <r>
    <s v="RCF Import"/>
    <s v="Imp 10-26-26"/>
    <s v="WB"/>
    <x v="7"/>
    <s v="Balurghat"/>
    <s v="User Not Mapped"/>
    <s v="User Not Mapped"/>
    <s v="User Not Mapped"/>
    <n v="263382"/>
    <s v="Tushar Kanti Agarwala"/>
    <s v="Private Wholsaler"/>
    <s v="8597190846"/>
    <n v="3"/>
    <n v="83"/>
    <x v="2"/>
    <s v="'WS3125003233'"/>
    <s v="2026-02-03"/>
    <s v="1"/>
    <s v="rcf"/>
    <m/>
  </r>
  <r>
    <s v="RCF Thal"/>
    <s v="N.C.Urea(45kg)"/>
    <s v="WB"/>
    <x v="7"/>
    <s v="Balurghat"/>
    <s v="User Not Mapped"/>
    <s v="User Not Mapped"/>
    <s v="User Not Mapped"/>
    <n v="263382"/>
    <s v="Tushar Kanti Agarwala"/>
    <s v="Private Wholsaler"/>
    <s v="8597190846"/>
    <n v="43.515000000000001"/>
    <n v="49"/>
    <x v="1"/>
    <s v="'WS3125003871'"/>
    <s v="2026-03-09"/>
    <s v="1"/>
    <s v="rcf"/>
    <m/>
  </r>
  <r>
    <s v="RCF Thal"/>
    <s v="N.C.Urea(45kg)"/>
    <s v="WB"/>
    <x v="7"/>
    <s v="Balurghat"/>
    <s v="User Not Mapped"/>
    <s v="User Not Mapped"/>
    <s v="User Not Mapped"/>
    <n v="263382"/>
    <s v="Tushar Kanti Agarwala"/>
    <s v="Private Wholsaler"/>
    <s v="8597190846"/>
    <n v="45"/>
    <n v="49"/>
    <x v="1"/>
    <s v="'WS3125003873'"/>
    <s v="2026-03-09"/>
    <s v="1"/>
    <s v="rcf"/>
    <m/>
  </r>
  <r>
    <s v="RCF Trombay"/>
    <s v="15-15-15"/>
    <s v="WB"/>
    <x v="7"/>
    <s v="Balurghat"/>
    <s v="User Not Mapped"/>
    <s v="User Not Mapped"/>
    <s v="User Not Mapped"/>
    <n v="263382"/>
    <s v="Tushar Kanti Agarwala"/>
    <s v="Private Wholsaler"/>
    <s v="8597190846"/>
    <n v="49.625"/>
    <n v="7"/>
    <x v="4"/>
    <s v="'WS3126000085'"/>
    <s v="2026-04-20"/>
    <s v="1"/>
    <s v="rcf"/>
    <m/>
  </r>
  <r>
    <s v="RCF Trombay"/>
    <s v="N.C.Urea(45kg)"/>
    <s v="WB"/>
    <x v="7"/>
    <s v="Balurghat"/>
    <s v="User Not Mapped"/>
    <s v="User Not Mapped"/>
    <s v="User Not Mapped"/>
    <n v="263382"/>
    <s v="Tushar Kanti Agarwala"/>
    <s v="Private Wholsaler"/>
    <s v="8597190846"/>
    <n v="17.55"/>
    <n v="7"/>
    <x v="4"/>
    <s v="'WS3126000078'"/>
    <s v="2026-04-20"/>
    <s v="1"/>
    <s v="rcf"/>
    <m/>
  </r>
  <r>
    <s v="RCF Trombay"/>
    <s v="15-15-15"/>
    <s v="WB"/>
    <x v="7"/>
    <s v="Bansihari"/>
    <s v="User Not Mapped"/>
    <s v="User Not Mapped"/>
    <s v="User Not Mapped"/>
    <n v="263374"/>
    <s v="M/s. Krishi Unnayan Kendra"/>
    <s v="Private Wholsaler"/>
    <s v="8759907610"/>
    <n v="11"/>
    <n v="138"/>
    <x v="0"/>
    <s v="'779'"/>
    <s v="2025-12-10"/>
    <s v="263373"/>
    <s v="M/s. Kanailal Kedar Prasad"/>
    <s v="9735692523"/>
  </r>
  <r>
    <s v="RCF Trombay"/>
    <s v="15-15-15"/>
    <s v="WB"/>
    <x v="7"/>
    <s v="Bansihari"/>
    <s v="User Not Mapped"/>
    <s v="User Not Mapped"/>
    <s v="User Not Mapped"/>
    <n v="263374"/>
    <s v="M/s. Krishi Unnayan Kendra"/>
    <s v="Private Wholsaler"/>
    <s v="8759907610"/>
    <n v="1.625"/>
    <n v="214"/>
    <x v="3"/>
    <s v="'306'"/>
    <s v="2025-09-25"/>
    <s v="263373"/>
    <s v="M/s. Kanailal Kedar Prasad"/>
    <s v="9735692523"/>
  </r>
  <r>
    <s v="RCF Trombay"/>
    <s v="15-15-15"/>
    <s v="WB"/>
    <x v="7"/>
    <s v="Gangarampur"/>
    <s v="User Not Mapped"/>
    <s v="User Not Mapped"/>
    <s v="User Not Mapped"/>
    <n v="340430"/>
    <s v="JIBAN KUMAR SEN"/>
    <s v="Private Wholsaler"/>
    <s v="9434144964"/>
    <n v="10"/>
    <n v="32"/>
    <x v="1"/>
    <s v="'FER/25-26/1862'"/>
    <s v="2026-03-26"/>
    <s v="263382"/>
    <s v="Tushar Kanti Agarwala"/>
    <s v="8597190846"/>
  </r>
  <r>
    <s v="RCF Import"/>
    <s v="Imp 10-26-26"/>
    <s v="WB"/>
    <x v="7"/>
    <s v="Gangarampur"/>
    <s v="User Not Mapped"/>
    <s v="User Not Mapped"/>
    <s v="User Not Mapped"/>
    <n v="1519430"/>
    <s v="M/S Hoque Fertilizer Agency"/>
    <s v="Private Wholsaler"/>
    <s v="9775429340"/>
    <n v="3"/>
    <n v="73"/>
    <x v="2"/>
    <s v="'1045'"/>
    <s v="2026-02-13"/>
    <s v="263373"/>
    <s v="M/s. Kanailal Kedar Prasad"/>
    <s v="9735692523"/>
  </r>
  <r>
    <s v="RCF Trombay"/>
    <s v="15-15-15"/>
    <s v="WB"/>
    <x v="7"/>
    <s v="Harirampur"/>
    <s v="User Not Mapped"/>
    <s v="User Not Mapped"/>
    <s v="User Not Mapped"/>
    <n v="281503"/>
    <s v="Krishi Ghar"/>
    <s v="Private Wholsaler"/>
    <s v="7031245549"/>
    <n v="4.5"/>
    <n v="97"/>
    <x v="5"/>
    <s v="'861'"/>
    <s v="2026-01-20"/>
    <s v="263373"/>
    <s v="M/s. Kanailal Kedar Prasad"/>
    <s v="9735692523"/>
  </r>
  <r>
    <s v="RCF Trombay"/>
    <s v="15-15-15"/>
    <s v="WB"/>
    <x v="7"/>
    <s v="Harirampur"/>
    <s v="User Not Mapped"/>
    <s v="User Not Mapped"/>
    <s v="User Not Mapped"/>
    <n v="1170733"/>
    <s v="IFFDC LTD"/>
    <s v="Private Wholsaler"/>
    <s v="8597890515"/>
    <n v="20"/>
    <n v="135"/>
    <x v="0"/>
    <s v="'629'"/>
    <s v="2025-12-13"/>
    <s v="281503"/>
    <s v="Krishi Ghar"/>
    <s v="7031245549"/>
  </r>
  <r>
    <s v="RCF Trombay"/>
    <s v="15-15-15"/>
    <s v="WB"/>
    <x v="7"/>
    <s v="Harirampur"/>
    <s v="User Not Mapped"/>
    <s v="User Not Mapped"/>
    <s v="User Not Mapped"/>
    <n v="1170733"/>
    <s v="IFFDC LTD"/>
    <s v="Private Wholsaler"/>
    <s v="8597890515"/>
    <n v="15"/>
    <n v="135"/>
    <x v="0"/>
    <s v="'58'"/>
    <s v="2025-12-13"/>
    <s v="281503"/>
    <s v="Krishi Ghar"/>
    <s v="7031245549"/>
  </r>
  <r>
    <s v="RCF Trombay"/>
    <s v="15-15-15"/>
    <s v="WB"/>
    <x v="7"/>
    <s v="Harirampur"/>
    <s v="User Not Mapped"/>
    <s v="User Not Mapped"/>
    <s v="User Not Mapped"/>
    <n v="1264111"/>
    <s v="M/S Ananta Pada Sarkar"/>
    <s v="Private Wholsaler"/>
    <s v="7980594714"/>
    <n v="11"/>
    <n v="6"/>
    <x v="4"/>
    <s v="'FER/26-27/00077'"/>
    <s v="2026-04-21"/>
    <s v="263382"/>
    <s v="Tushar Kanti Agarwala"/>
    <s v="8597190846"/>
  </r>
  <r>
    <s v="RCF Trombay"/>
    <s v="15-15-15"/>
    <s v="WB"/>
    <x v="7"/>
    <s v="Harirampur"/>
    <s v="User Not Mapped"/>
    <s v="User Not Mapped"/>
    <s v="User Not Mapped"/>
    <n v="1264111"/>
    <s v="M/S Ananta Pada Sarkar"/>
    <s v="Private Wholsaler"/>
    <s v="7980594714"/>
    <n v="11"/>
    <n v="6"/>
    <x v="4"/>
    <s v="'FER/26-27/00059'"/>
    <s v="2026-04-21"/>
    <s v="263382"/>
    <s v="Tushar Kanti Agarwala"/>
    <s v="8597190846"/>
  </r>
  <r>
    <s v="RCF Trombay"/>
    <s v="15-15-15"/>
    <s v="WB"/>
    <x v="7"/>
    <s v="Harirampur"/>
    <s v="User Not Mapped"/>
    <s v="User Not Mapped"/>
    <s v="User Not Mapped"/>
    <n v="1264111"/>
    <s v="M/S Ananta Pada Sarkar"/>
    <s v="Private Wholsaler"/>
    <s v="7980594714"/>
    <n v="11"/>
    <n v="6"/>
    <x v="4"/>
    <s v="'FER/26-27/00075'"/>
    <s v="2026-04-21"/>
    <s v="263382"/>
    <s v="Tushar Kanti Agarwala"/>
    <s v="8597190846"/>
  </r>
  <r>
    <s v="RCF Trombay"/>
    <s v="15-15-15"/>
    <s v="WB"/>
    <x v="7"/>
    <s v="Harirampur"/>
    <s v="User Not Mapped"/>
    <s v="User Not Mapped"/>
    <s v="User Not Mapped"/>
    <n v="1264111"/>
    <s v="M/S Ananta Pada Sarkar"/>
    <s v="Private Wholsaler"/>
    <s v="7980594714"/>
    <n v="11"/>
    <n v="6"/>
    <x v="4"/>
    <s v="'FER/26-27/00078'"/>
    <s v="2026-04-21"/>
    <s v="263382"/>
    <s v="Tushar Kanti Agarwala"/>
    <s v="8597190846"/>
  </r>
  <r>
    <s v="RCF Trombay"/>
    <s v="15-15-15"/>
    <s v="WB"/>
    <x v="7"/>
    <s v="Harirampur"/>
    <s v="User Not Mapped"/>
    <s v="User Not Mapped"/>
    <s v="User Not Mapped"/>
    <n v="1264111"/>
    <s v="M/S Ananta Pada Sarkar"/>
    <s v="Private Wholsaler"/>
    <s v="7980594714"/>
    <n v="11"/>
    <n v="6"/>
    <x v="4"/>
    <s v="'FER/26-27/00076'"/>
    <s v="2026-04-21"/>
    <s v="263382"/>
    <s v="Tushar Kanti Agarwala"/>
    <s v="8597190846"/>
  </r>
  <r>
    <s v="RCF Trombay"/>
    <s v="15-15-15"/>
    <s v="WB"/>
    <x v="7"/>
    <s v="Hilli"/>
    <s v="User Not Mapped"/>
    <s v="User Not Mapped"/>
    <s v="User Not Mapped"/>
    <n v="286422"/>
    <s v="Dipak Kumar Laha"/>
    <s v="Private Wholsaler"/>
    <s v="6297583814"/>
    <n v="37"/>
    <n v="7"/>
    <x v="4"/>
    <s v="'WS3126000075'"/>
    <s v="2026-04-20"/>
    <s v="1"/>
    <s v="rcf"/>
    <m/>
  </r>
  <r>
    <s v="RCF Trombay"/>
    <s v="N.C.Urea(45kg)"/>
    <s v="WB"/>
    <x v="7"/>
    <s v="Hilli"/>
    <s v="User Not Mapped"/>
    <s v="User Not Mapped"/>
    <s v="User Not Mapped"/>
    <n v="286422"/>
    <s v="Dipak Kumar Laha"/>
    <s v="Private Wholsaler"/>
    <s v="6297583814"/>
    <n v="24.975000000000001"/>
    <n v="7"/>
    <x v="4"/>
    <s v="'WS3126000071'"/>
    <s v="2026-04-20"/>
    <s v="1"/>
    <s v="rcf"/>
    <m/>
  </r>
  <r>
    <s v="RCF Trombay"/>
    <s v="15-15-15"/>
    <s v="WB"/>
    <x v="7"/>
    <s v="Kushmundi"/>
    <s v="User Not Mapped"/>
    <s v="User Not Mapped"/>
    <s v="User Not Mapped"/>
    <n v="286427"/>
    <s v="Keshav Joshi"/>
    <s v="Private Wholsaler"/>
    <s v="9475163493"/>
    <n v="9"/>
    <n v="138"/>
    <x v="0"/>
    <s v="'780'"/>
    <s v="2025-12-10"/>
    <s v="263373"/>
    <s v="M/s. Kanailal Kedar Prasad"/>
    <s v="9735692523"/>
  </r>
  <r>
    <s v="RCF Trombay"/>
    <s v="15-15-15"/>
    <s v="WB"/>
    <x v="7"/>
    <s v="Tapan"/>
    <s v="User Not Mapped"/>
    <s v="User Not Mapped"/>
    <s v="User Not Mapped"/>
    <n v="263373"/>
    <s v="M/s. Kanailal Kedar Prasad"/>
    <s v="Private Wholsaler"/>
    <s v="9735692523"/>
    <n v="50"/>
    <n v="7"/>
    <x v="4"/>
    <s v="'WS3126000123'"/>
    <s v="2026-04-20"/>
    <s v="1"/>
    <s v="rcf"/>
    <m/>
  </r>
  <r>
    <s v="RCF Trombay"/>
    <s v="15-15-15"/>
    <s v="WB"/>
    <x v="7"/>
    <s v="Tapan"/>
    <s v="User Not Mapped"/>
    <s v="User Not Mapped"/>
    <s v="User Not Mapped"/>
    <n v="263373"/>
    <s v="M/s. Kanailal Kedar Prasad"/>
    <s v="Private Wholsaler"/>
    <s v="9735692523"/>
    <n v="50"/>
    <n v="7"/>
    <x v="4"/>
    <s v="'WS3126000124'"/>
    <s v="2026-04-20"/>
    <s v="1"/>
    <s v="rcf"/>
    <m/>
  </r>
  <r>
    <s v="RCF Trombay"/>
    <s v="15-15-15"/>
    <s v="WB"/>
    <x v="7"/>
    <s v="Tapan"/>
    <s v="User Not Mapped"/>
    <s v="User Not Mapped"/>
    <s v="User Not Mapped"/>
    <n v="263373"/>
    <s v="M/s. Kanailal Kedar Prasad"/>
    <s v="Private Wholsaler"/>
    <s v="9735692523"/>
    <n v="50"/>
    <n v="7"/>
    <x v="4"/>
    <s v="'WS3126000126'"/>
    <s v="2026-04-20"/>
    <s v="1"/>
    <s v="rcf"/>
    <m/>
  </r>
  <r>
    <s v="RCF Trombay"/>
    <s v="15-15-15"/>
    <s v="WB"/>
    <x v="7"/>
    <s v="Tapan"/>
    <s v="User Not Mapped"/>
    <s v="User Not Mapped"/>
    <s v="User Not Mapped"/>
    <n v="263373"/>
    <s v="M/s. Kanailal Kedar Prasad"/>
    <s v="Private Wholsaler"/>
    <s v="9735692523"/>
    <n v="50"/>
    <n v="7"/>
    <x v="4"/>
    <s v="'WS3126000125'"/>
    <s v="2026-04-20"/>
    <s v="1"/>
    <s v="rcf"/>
    <m/>
  </r>
  <r>
    <s v="RCF Trombay"/>
    <s v="15-15-15"/>
    <s v="WB"/>
    <x v="7"/>
    <s v="Tapan"/>
    <s v="User Not Mapped"/>
    <s v="User Not Mapped"/>
    <s v="User Not Mapped"/>
    <n v="1258418"/>
    <s v="M/S BISWAJIT KAR"/>
    <s v="Private Wholsaler"/>
    <s v="8906547307"/>
    <n v="7"/>
    <n v="247"/>
    <x v="3"/>
    <s v="'228'"/>
    <s v="2025-08-23"/>
    <s v="263373"/>
    <s v="M/s. Kanailal Kedar Prasad"/>
    <s v="9735692523"/>
  </r>
  <r>
    <s v="RCF Thal"/>
    <s v="N.C.Urea(45kg)"/>
    <s v="WB"/>
    <x v="7"/>
    <s v="Tapan"/>
    <s v="User Not Mapped"/>
    <s v="User Not Mapped"/>
    <s v="User Not Mapped"/>
    <n v="1258418"/>
    <s v="M/S BISWAJIT KAR"/>
    <s v="Private Wholsaler"/>
    <s v="8906547307"/>
    <n v="0.29499999999999998"/>
    <n v="153"/>
    <x v="0"/>
    <s v="'6674'"/>
    <s v="2025-11-25"/>
    <s v="281486"/>
    <s v="Birendra Nath Saha"/>
    <s v="9474942172"/>
  </r>
  <r>
    <s v="RCF Thal"/>
    <s v="N.C.Urea(45kg)"/>
    <s v="WB"/>
    <x v="7"/>
    <s v="Tapan"/>
    <s v="User Not Mapped"/>
    <s v="User Not Mapped"/>
    <s v="User Not Mapped"/>
    <n v="1258418"/>
    <s v="M/S BISWAJIT KAR"/>
    <s v="Private Wholsaler"/>
    <s v="8906547307"/>
    <n v="11.475"/>
    <n v="7"/>
    <x v="4"/>
    <s v="'BNS2627PST128'"/>
    <s v="2026-04-20"/>
    <s v="268712"/>
    <s v="M/s BirendraNathSaha O Partner"/>
    <s v="9232761461"/>
  </r>
  <r>
    <s v="RCF Trombay"/>
    <s v="N.C.Urea(45kg)"/>
    <s v="WB"/>
    <x v="7"/>
    <s v="Tapan"/>
    <s v="User Not Mapped"/>
    <s v="User Not Mapped"/>
    <s v="User Not Mapped"/>
    <n v="1258418"/>
    <s v="M/S BISWAJIT KAR"/>
    <s v="Private Wholsaler"/>
    <s v="8906547307"/>
    <n v="0.2"/>
    <n v="887"/>
    <x v="7"/>
    <m/>
    <s v="2023-11-22"/>
    <s v="739732"/>
    <s v="RATAN KUMAR LAHA"/>
    <s v="9563078662"/>
  </r>
  <r>
    <s v="RCF Trombay"/>
    <s v="15-15-15"/>
    <s v="WB"/>
    <x v="7"/>
    <s v="Tapan"/>
    <s v="User Not Mapped"/>
    <s v="User Not Mapped"/>
    <s v="User Not Mapped"/>
    <n v="1258418"/>
    <s v="M/S BISWAJIT KAR"/>
    <s v="Private Wholsaler"/>
    <s v="8906547307"/>
    <n v="11.5"/>
    <n v="247"/>
    <x v="3"/>
    <s v="'226'"/>
    <s v="2025-08-23"/>
    <s v="263373"/>
    <s v="M/s. Kanailal Kedar Prasad"/>
    <s v="9735692523"/>
  </r>
  <r>
    <s v="RCF Import"/>
    <s v="Imp 10-26-26"/>
    <s v="WB"/>
    <x v="7"/>
    <m/>
    <s v="User Not Mapped"/>
    <s v="User Not Mapped"/>
    <s v="User Not Mapped"/>
    <n v="263380"/>
    <s v="Shyamala Agency"/>
    <s v="Private Wholsaler"/>
    <s v="9932733980"/>
    <n v="10"/>
    <n v="81"/>
    <x v="2"/>
    <s v="'1041'"/>
    <s v="2026-02-05"/>
    <s v="263373"/>
    <s v="M/s. Kanailal Kedar Prasad"/>
    <s v="9735692523"/>
  </r>
  <r>
    <s v="RCF Import"/>
    <s v="Imp 10-26-26"/>
    <s v="WB"/>
    <x v="8"/>
    <s v="Hemtabad"/>
    <s v="User Not Mapped"/>
    <s v="User Not Mapped"/>
    <s v="User Not Mapped"/>
    <n v="651626"/>
    <s v="M/S RADHA KRISHNA SAR BHANDAR"/>
    <s v="Private Wholsaler"/>
    <s v="9735437617"/>
    <n v="51.5"/>
    <n v="24"/>
    <x v="4"/>
    <s v="'OFMS2'"/>
    <s v="2026-04-03"/>
    <s v="1259524"/>
    <s v="M/S KRISHI GHAR"/>
    <s v="9064113554"/>
  </r>
  <r>
    <s v="RCF Trombay"/>
    <s v="15-15-15"/>
    <s v="WB"/>
    <x v="8"/>
    <s v="Islampur"/>
    <s v="User Not Mapped"/>
    <s v="User Not Mapped"/>
    <s v="User Not Mapped"/>
    <n v="385753"/>
    <s v="Binod Kumar Baheti"/>
    <s v="Private Wholsaler"/>
    <s v="9800885611"/>
    <n v="5.75"/>
    <n v="82"/>
    <x v="2"/>
    <s v="'WS3125003282'"/>
    <s v="2026-02-04"/>
    <s v="1"/>
    <s v="rcf"/>
    <m/>
  </r>
  <r>
    <s v="RCF Trombay"/>
    <s v="15-15-15"/>
    <s v="WB"/>
    <x v="8"/>
    <s v="Islampur"/>
    <s v="User Not Mapped"/>
    <s v="User Not Mapped"/>
    <s v="User Not Mapped"/>
    <n v="1071594"/>
    <s v="BIJON BANERJEE"/>
    <s v="Private Wholsaler"/>
    <s v="9609455194"/>
    <n v="1"/>
    <n v="44"/>
    <x v="1"/>
    <s v="'UD/25-26/00065'"/>
    <s v="2026-03-14"/>
    <s v="263382"/>
    <s v="Tushar Kanti Agarwala"/>
    <s v="8597190846"/>
  </r>
  <r>
    <s v="RCF Import"/>
    <s v="Imp 10-26-26"/>
    <s v="WB"/>
    <x v="8"/>
    <s v="Itahar"/>
    <s v="User Not Mapped"/>
    <s v="User Not Mapped"/>
    <s v="User Not Mapped"/>
    <n v="1082772"/>
    <s v="KIRAN AGRO"/>
    <s v="Private Wholsaler"/>
    <s v="7001938584"/>
    <n v="12"/>
    <n v="81"/>
    <x v="2"/>
    <s v="'305'"/>
    <s v="2026-02-05"/>
    <s v="281486"/>
    <s v="Birendra Nath Saha"/>
    <s v="9474942172"/>
  </r>
  <r>
    <s v="RCF Trombay"/>
    <s v="15-15-15"/>
    <s v="WB"/>
    <x v="8"/>
    <s v="Itahar"/>
    <s v="User Not Mapped"/>
    <s v="User Not Mapped"/>
    <s v="User Not Mapped"/>
    <n v="1086016"/>
    <s v="T. HOSSAIN &amp; SONS"/>
    <s v="Private Wholsaler"/>
    <s v="9242592770"/>
    <n v="0.5"/>
    <n v="51"/>
    <x v="1"/>
    <s v="'VAC/25-26/1377'"/>
    <s v="2026-03-07"/>
    <s v="214204"/>
    <s v="Vikas Agrochemicals"/>
    <s v="9474382706"/>
  </r>
  <r>
    <s v="RCF Trombay"/>
    <s v="15-15-15"/>
    <s v="WB"/>
    <x v="8"/>
    <s v="Itahar"/>
    <s v="User Not Mapped"/>
    <s v="User Not Mapped"/>
    <s v="User Not Mapped"/>
    <n v="1086016"/>
    <s v="T. HOSSAIN &amp; SONS"/>
    <s v="Private Wholsaler"/>
    <s v="9242592770"/>
    <n v="25"/>
    <n v="51"/>
    <x v="1"/>
    <s v="'VAC/25-26/1378'"/>
    <s v="2026-03-07"/>
    <s v="214204"/>
    <s v="Vikas Agrochemicals"/>
    <s v="9474382706"/>
  </r>
  <r>
    <s v="RCF Import"/>
    <s v="Imp 10-26-26"/>
    <s v="WB"/>
    <x v="8"/>
    <s v="Itahar"/>
    <s v="User Not Mapped"/>
    <s v="User Not Mapped"/>
    <s v="User Not Mapped"/>
    <n v="1086899"/>
    <s v="BANKIM CHANDRA MANDAL"/>
    <s v="Private Wholsaler"/>
    <s v="7001573946"/>
    <n v="12"/>
    <n v="58"/>
    <x v="1"/>
    <s v="'3129'"/>
    <s v="2026-02-28"/>
    <s v="342392"/>
    <s v="M/s. Kanailal Kedar Prasad"/>
    <s v="7407719515"/>
  </r>
  <r>
    <s v="RCF Trombay"/>
    <s v="15-15-15"/>
    <s v="WB"/>
    <x v="8"/>
    <s v="Itahar"/>
    <s v="User Not Mapped"/>
    <s v="User Not Mapped"/>
    <s v="User Not Mapped"/>
    <n v="1086899"/>
    <s v="BANKIM CHANDRA MANDAL"/>
    <s v="Private Wholsaler"/>
    <s v="7001573946"/>
    <n v="1"/>
    <n v="140"/>
    <x v="0"/>
    <s v="'2026'"/>
    <s v="2025-12-08"/>
    <s v="342392"/>
    <s v="M/s. Kanailal Kedar Prasad"/>
    <s v="7407719515"/>
  </r>
  <r>
    <s v="RCF Import"/>
    <s v="Imp 10-26-26"/>
    <s v="WB"/>
    <x v="8"/>
    <s v="Itahar"/>
    <s v="User Not Mapped"/>
    <s v="User Not Mapped"/>
    <s v="User Not Mapped"/>
    <n v="1086899"/>
    <s v="BANKIM CHANDRA MANDAL"/>
    <s v="Private Wholsaler"/>
    <s v="7001573946"/>
    <n v="2"/>
    <n v="81"/>
    <x v="2"/>
    <s v="'2883'"/>
    <s v="2026-02-05"/>
    <s v="342392"/>
    <s v="M/s. Kanailal Kedar Prasad"/>
    <s v="7407719515"/>
  </r>
  <r>
    <s v="RCF Trombay"/>
    <s v="15-15-15"/>
    <s v="WB"/>
    <x v="8"/>
    <s v="Itahar"/>
    <s v="User Not Mapped"/>
    <s v="User Not Mapped"/>
    <s v="User Not Mapped"/>
    <n v="1606985"/>
    <s v="M/S KRISHI GHAR"/>
    <s v="Private Wholsaler"/>
    <s v="7001196936"/>
    <n v="13"/>
    <n v="74"/>
    <x v="2"/>
    <s v="'1020'"/>
    <s v="2026-02-12"/>
    <s v="291327"/>
    <s v="Nandalal Agarwala"/>
    <s v="9434106010"/>
  </r>
  <r>
    <s v="RCF Import"/>
    <s v="Imp 10-26-26"/>
    <s v="WB"/>
    <x v="8"/>
    <s v="Itahar"/>
    <s v="User Not Mapped"/>
    <s v="User Not Mapped"/>
    <s v="User Not Mapped"/>
    <n v="1606985"/>
    <s v="M/S KRISHI GHAR"/>
    <s v="Private Wholsaler"/>
    <s v="7001196936"/>
    <n v="2"/>
    <n v="81"/>
    <x v="2"/>
    <s v="'2888'"/>
    <s v="2026-02-05"/>
    <s v="342392"/>
    <s v="M/s. Kanailal Kedar Prasad"/>
    <s v="7407719515"/>
  </r>
  <r>
    <s v="RCF Import"/>
    <s v="Imp 10-26-26"/>
    <s v="WB"/>
    <x v="8"/>
    <s v="Itahar"/>
    <s v="User Not Mapped"/>
    <s v="User Not Mapped"/>
    <s v="User Not Mapped"/>
    <n v="1606985"/>
    <s v="M/S KRISHI GHAR"/>
    <s v="Private Wholsaler"/>
    <s v="7001196936"/>
    <n v="11"/>
    <n v="81"/>
    <x v="2"/>
    <s v="'2889'"/>
    <s v="2026-02-05"/>
    <s v="342392"/>
    <s v="M/s. Kanailal Kedar Prasad"/>
    <s v="7407719515"/>
  </r>
  <r>
    <s v="RCF Trombay"/>
    <s v="15-15-15"/>
    <s v="WB"/>
    <x v="8"/>
    <s v="Karandighi"/>
    <s v="User Not Mapped"/>
    <s v="User Not Mapped"/>
    <s v="User Not Mapped"/>
    <n v="342392"/>
    <s v="M/s. Kanailal Kedar Prasad"/>
    <s v="Private Wholsaler"/>
    <s v="7407719515"/>
    <n v="50"/>
    <n v="7"/>
    <x v="4"/>
    <s v="'WS3126000131'"/>
    <s v="2026-04-20"/>
    <s v="1"/>
    <s v="rcf"/>
    <m/>
  </r>
  <r>
    <s v="RCF Trombay"/>
    <s v="15-15-15"/>
    <s v="WB"/>
    <x v="8"/>
    <s v="Karandighi"/>
    <s v="User Not Mapped"/>
    <s v="User Not Mapped"/>
    <s v="User Not Mapped"/>
    <n v="342392"/>
    <s v="M/s. Kanailal Kedar Prasad"/>
    <s v="Private Wholsaler"/>
    <s v="7407719515"/>
    <n v="50"/>
    <n v="7"/>
    <x v="4"/>
    <s v="'WS3126000130'"/>
    <s v="2026-04-20"/>
    <s v="1"/>
    <s v="rcf"/>
    <m/>
  </r>
  <r>
    <s v="RCF Trombay"/>
    <s v="15-15-15"/>
    <s v="WB"/>
    <x v="8"/>
    <s v="Karandighi"/>
    <s v="User Not Mapped"/>
    <s v="User Not Mapped"/>
    <s v="User Not Mapped"/>
    <n v="342392"/>
    <s v="M/s. Kanailal Kedar Prasad"/>
    <s v="Private Wholsaler"/>
    <s v="7407719515"/>
    <n v="50"/>
    <n v="7"/>
    <x v="4"/>
    <s v="'WS3126000129'"/>
    <s v="2026-04-20"/>
    <s v="1"/>
    <s v="rcf"/>
    <m/>
  </r>
  <r>
    <s v="RCF Trombay"/>
    <s v="15-15-15"/>
    <s v="WB"/>
    <x v="8"/>
    <s v="Karandighi"/>
    <s v="User Not Mapped"/>
    <s v="User Not Mapped"/>
    <s v="User Not Mapped"/>
    <n v="342392"/>
    <s v="M/s. Kanailal Kedar Prasad"/>
    <s v="Private Wholsaler"/>
    <s v="7407719515"/>
    <n v="50"/>
    <n v="7"/>
    <x v="4"/>
    <s v="'WS3126000128'"/>
    <s v="2026-04-20"/>
    <s v="1"/>
    <s v="rcf"/>
    <m/>
  </r>
  <r>
    <s v="RCF Trombay"/>
    <s v="15-15-15"/>
    <s v="WB"/>
    <x v="8"/>
    <s v="Karandighi"/>
    <s v="User Not Mapped"/>
    <s v="User Not Mapped"/>
    <s v="User Not Mapped"/>
    <n v="342392"/>
    <s v="M/s. Kanailal Kedar Prasad"/>
    <s v="Private Wholsaler"/>
    <s v="7407719515"/>
    <n v="50"/>
    <n v="7"/>
    <x v="4"/>
    <s v="'WS3126000127'"/>
    <s v="2026-04-20"/>
    <s v="1"/>
    <s v="rcf"/>
    <m/>
  </r>
  <r>
    <s v="RCF Trombay"/>
    <s v="15-15-15"/>
    <s v="WB"/>
    <x v="8"/>
    <s v="Karandighi"/>
    <s v="User Not Mapped"/>
    <s v="User Not Mapped"/>
    <s v="User Not Mapped"/>
    <n v="342392"/>
    <s v="M/s. Kanailal Kedar Prasad"/>
    <s v="Private Wholsaler"/>
    <s v="7407719515"/>
    <n v="16"/>
    <n v="7"/>
    <x v="4"/>
    <s v="'WS3126000133'"/>
    <s v="2026-04-20"/>
    <s v="1"/>
    <s v="rcf"/>
    <m/>
  </r>
  <r>
    <s v="RCF Trombay"/>
    <s v="15-15-15"/>
    <s v="WB"/>
    <x v="8"/>
    <s v="Karandighi"/>
    <s v="User Not Mapped"/>
    <s v="User Not Mapped"/>
    <s v="User Not Mapped"/>
    <n v="342392"/>
    <s v="M/s. Kanailal Kedar Prasad"/>
    <s v="Private Wholsaler"/>
    <s v="7407719515"/>
    <n v="34"/>
    <n v="7"/>
    <x v="4"/>
    <s v="'WS3126000132'"/>
    <s v="2026-04-20"/>
    <s v="1"/>
    <s v="rcf"/>
    <m/>
  </r>
  <r>
    <s v="RCF Trombay"/>
    <s v="15-15-15"/>
    <s v="WB"/>
    <x v="8"/>
    <s v="Raiganj"/>
    <s v="User Not Mapped"/>
    <s v="User Not Mapped"/>
    <s v="User Not Mapped"/>
    <n v="281603"/>
    <s v="Pulak Sarkar"/>
    <s v="Private Wholsaler"/>
    <s v="9474141205"/>
    <n v="1"/>
    <n v="590"/>
    <x v="7"/>
    <m/>
    <s v="2024-09-14"/>
    <s v="342392"/>
    <s v="M/s. Kanailal Kedar Prasad"/>
    <s v="7407719515"/>
  </r>
  <r>
    <s v="RCF Trombay"/>
    <s v="N.C.Urea(45kg)"/>
    <s v="WB"/>
    <x v="8"/>
    <s v="Raiganj"/>
    <s v="User Not Mapped"/>
    <s v="User Not Mapped"/>
    <s v="User Not Mapped"/>
    <n v="291327"/>
    <s v="Nandalal Agarwala"/>
    <s v="Private Wholsaler"/>
    <s v="9434106010"/>
    <n v="11.025"/>
    <n v="7"/>
    <x v="4"/>
    <s v="'WS3126000077'"/>
    <s v="2026-04-20"/>
    <s v="1"/>
    <s v="rcf"/>
    <m/>
  </r>
  <r>
    <s v="RCF Trombay"/>
    <s v="15-15-15"/>
    <s v="WB"/>
    <x v="8"/>
    <s v="Raiganj"/>
    <s v="User Not Mapped"/>
    <s v="User Not Mapped"/>
    <s v="User Not Mapped"/>
    <n v="291327"/>
    <s v="Nandalal Agarwala"/>
    <s v="Private Wholsaler"/>
    <s v="9434106010"/>
    <n v="11"/>
    <n v="7"/>
    <x v="4"/>
    <s v="'WS3126000084'"/>
    <s v="2026-04-20"/>
    <s v="1"/>
    <s v="rcf"/>
    <m/>
  </r>
  <r>
    <s v="RCF Trombay"/>
    <s v="15-15-15"/>
    <s v="WB"/>
    <x v="8"/>
    <s v="Raiganj"/>
    <s v="User Not Mapped"/>
    <s v="User Not Mapped"/>
    <s v="User Not Mapped"/>
    <n v="949278"/>
    <s v="GHOSH FERTILIZER"/>
    <s v="Private Wholsaler"/>
    <s v="9434967172"/>
    <n v="8.4"/>
    <n v="214"/>
    <x v="3"/>
    <s v="'1055'"/>
    <s v="2025-09-25"/>
    <s v="342392"/>
    <s v="M/s. Kanailal Kedar Prasad"/>
    <s v="7407719515"/>
  </r>
  <r>
    <s v="RCF Trombay"/>
    <s v="15-15-15"/>
    <s v="WB"/>
    <x v="8"/>
    <s v="Raiganj"/>
    <s v="User Not Mapped"/>
    <s v="User Not Mapped"/>
    <s v="User Not Mapped"/>
    <n v="1084859"/>
    <s v="BISWAS FERTILIZER"/>
    <s v="Private Wholsaler"/>
    <s v="9635905766"/>
    <n v="6"/>
    <n v="65"/>
    <x v="2"/>
    <s v="'2526RKF2939'"/>
    <s v="2026-02-21"/>
    <s v="254617"/>
    <s v="M/s. R.K.Fertilizers"/>
    <s v="9932191695"/>
  </r>
  <r>
    <s v="RCF Thal"/>
    <s v="N.C.Urea(45kg)"/>
    <s v="WB"/>
    <x v="9"/>
    <s v="Chinsurah - Magra"/>
    <s v="User Not Mapped"/>
    <s v="User Not Mapped"/>
    <s v="User Not Mapped"/>
    <n v="607374"/>
    <s v="SUMON SADHUKHAN"/>
    <s v="Private Wholsaler"/>
    <s v="7980704821"/>
    <n v="7.86"/>
    <n v="76"/>
    <x v="2"/>
    <s v="'253'"/>
    <s v="2026-02-10"/>
    <s v="260241"/>
    <s v="Tapan Kumar Chel"/>
    <s v="9007410200"/>
  </r>
  <r>
    <s v="RCF Trombay"/>
    <s v="15-15-15"/>
    <s v="WB"/>
    <x v="9"/>
    <s v="Chinsurah - Magra"/>
    <s v="User Not Mapped"/>
    <s v="User Not Mapped"/>
    <s v="User Not Mapped"/>
    <n v="607374"/>
    <s v="SUMON SADHUKHAN"/>
    <s v="Private Wholsaler"/>
    <s v="7980704821"/>
    <n v="8"/>
    <n v="131"/>
    <x v="0"/>
    <s v="'59'"/>
    <s v="2025-12-17"/>
    <s v="260241"/>
    <s v="Tapan Kumar Chel"/>
    <s v="9007410200"/>
  </r>
  <r>
    <s v="RCF Trombay"/>
    <s v="15-15-15"/>
    <s v="WB"/>
    <x v="9"/>
    <s v="Haripal"/>
    <s v="User Not Mapped"/>
    <s v="User Not Mapped"/>
    <s v="User Not Mapped"/>
    <n v="888411"/>
    <s v="M/S BIKAS CHANDRA BHANDARI"/>
    <s v="Private Wholsaler"/>
    <s v="8013238945"/>
    <n v="11.5"/>
    <n v="131"/>
    <x v="0"/>
    <s v="'58'"/>
    <s v="2025-12-17"/>
    <s v="260241"/>
    <s v="Tapan Kumar Chel"/>
    <s v="9007410200"/>
  </r>
  <r>
    <s v="RCF Trombay"/>
    <s v="N.C.Urea(45kg)"/>
    <s v="WB"/>
    <x v="9"/>
    <s v="Haripal"/>
    <s v="User Not Mapped"/>
    <s v="User Not Mapped"/>
    <s v="User Not Mapped"/>
    <n v="888411"/>
    <s v="M/S BIKAS CHANDRA BHANDARI"/>
    <s v="Private Wholsaler"/>
    <s v="8013238945"/>
    <n v="1.0349999999999999"/>
    <n v="131"/>
    <x v="0"/>
    <s v="'182'"/>
    <s v="2025-12-17"/>
    <s v="260241"/>
    <s v="Tapan Kumar Chel"/>
    <s v="9007410200"/>
  </r>
  <r>
    <s v="RCF Thal"/>
    <s v="N.C.Urea(45kg)"/>
    <s v="WB"/>
    <x v="9"/>
    <s v="Haripal"/>
    <s v="User Not Mapped"/>
    <s v="User Not Mapped"/>
    <s v="User Not Mapped"/>
    <n v="888411"/>
    <s v="M/S BIKAS CHANDRA BHANDARI"/>
    <s v="Private Wholsaler"/>
    <s v="8013238945"/>
    <n v="1.17"/>
    <n v="76"/>
    <x v="2"/>
    <s v="'254'"/>
    <s v="2026-02-10"/>
    <s v="260241"/>
    <s v="Tapan Kumar Chel"/>
    <s v="9007410200"/>
  </r>
  <r>
    <s v="RCF Thal"/>
    <s v="N.C.Urea(45kg)"/>
    <s v="WB"/>
    <x v="9"/>
    <s v="Polba - Dadpur"/>
    <s v="User Not Mapped"/>
    <s v="User Not Mapped"/>
    <s v="User Not Mapped"/>
    <n v="342343"/>
    <s v="Sri Subhas Chandra Khan"/>
    <s v="Private Wholsaler"/>
    <s v="9804538127"/>
    <n v="29.925000000000001"/>
    <n v="76"/>
    <x v="2"/>
    <s v="'251'"/>
    <s v="2026-02-10"/>
    <s v="260241"/>
    <s v="Tapan Kumar Chel"/>
    <s v="9007410200"/>
  </r>
  <r>
    <s v="RCF Trombay"/>
    <s v="N.C.Urea(45kg)"/>
    <s v="WB"/>
    <x v="9"/>
    <s v="Polba - Dadpur"/>
    <s v="User Not Mapped"/>
    <s v="User Not Mapped"/>
    <s v="User Not Mapped"/>
    <n v="342343"/>
    <s v="Sri Subhas Chandra Khan"/>
    <s v="Private Wholsaler"/>
    <s v="9804538127"/>
    <n v="17.93"/>
    <n v="131"/>
    <x v="0"/>
    <s v="'179'"/>
    <s v="2025-12-17"/>
    <s v="260241"/>
    <s v="Tapan Kumar Chel"/>
    <s v="9007410200"/>
  </r>
  <r>
    <s v="RCF Trombay"/>
    <s v="15-15-15"/>
    <s v="WB"/>
    <x v="9"/>
    <s v="Polba - Dadpur"/>
    <s v="User Not Mapped"/>
    <s v="User Not Mapped"/>
    <s v="User Not Mapped"/>
    <n v="342343"/>
    <s v="Sri Subhas Chandra Khan"/>
    <s v="Private Wholsaler"/>
    <s v="9804538127"/>
    <n v="6"/>
    <n v="131"/>
    <x v="0"/>
    <s v="'57'"/>
    <s v="2025-12-17"/>
    <s v="260241"/>
    <s v="Tapan Kumar Chel"/>
    <s v="9007410200"/>
  </r>
  <r>
    <s v="RCF Thal"/>
    <s v="N.C.Urea(45kg)"/>
    <s v="WB"/>
    <x v="9"/>
    <s v="Polba - Dadpur"/>
    <s v="User Not Mapped"/>
    <s v="User Not Mapped"/>
    <s v="User Not Mapped"/>
    <n v="342343"/>
    <s v="Sri Subhas Chandra Khan"/>
    <s v="Private Wholsaler"/>
    <s v="9804538127"/>
    <n v="2.2200000000000002"/>
    <n v="76"/>
    <x v="2"/>
    <s v="'0251'"/>
    <s v="2026-02-10"/>
    <s v="260241"/>
    <s v="Tapan Kumar Chel"/>
    <s v="9007410200"/>
  </r>
  <r>
    <s v="RCF Import"/>
    <s v="Imp 10-26-26"/>
    <s v="WB"/>
    <x v="9"/>
    <s v="Polba - Dadpur"/>
    <s v="User Not Mapped"/>
    <s v="User Not Mapped"/>
    <s v="User Not Mapped"/>
    <n v="342343"/>
    <s v="Sri Subhas Chandra Khan"/>
    <s v="Private Wholsaler"/>
    <s v="9804538127"/>
    <n v="6"/>
    <n v="59"/>
    <x v="1"/>
    <s v="'SUBHAS549'"/>
    <s v="2026-02-27"/>
    <s v="223807"/>
    <s v="M.K. Chemical and Fertilizers"/>
    <s v="9051316329"/>
  </r>
  <r>
    <s v="RCF Import"/>
    <s v="Imp 10-26-26"/>
    <s v="WB"/>
    <x v="10"/>
    <s v="Shyampur - II"/>
    <s v="User Not Mapped"/>
    <s v="User Not Mapped"/>
    <s v="User Not Mapped"/>
    <n v="332581"/>
    <s v="M/S Patra and Sons"/>
    <s v="Private Wholsaler"/>
    <s v="9434316884"/>
    <n v="1.5"/>
    <n v="57"/>
    <x v="1"/>
    <s v="'4222'"/>
    <s v="2026-03-01"/>
    <s v="1429116"/>
    <s v="PATRA AND SONS"/>
    <s v="8515915342"/>
  </r>
  <r>
    <s v="RCF Thal"/>
    <s v="N.C.Urea(45kg)"/>
    <s v="WB"/>
    <x v="10"/>
    <s v="Udaynarayanpur"/>
    <s v="User Not Mapped"/>
    <s v="User Not Mapped"/>
    <s v="User Not Mapped"/>
    <n v="332107"/>
    <s v="Kumar Fertilizer"/>
    <s v="Private Wholsaler"/>
    <s v="9734379245"/>
    <n v="10.98"/>
    <n v="2"/>
    <x v="4"/>
    <s v="'01'"/>
    <s v="2026-04-25"/>
    <s v="290832"/>
    <s v="Kshitish Bardhan Chunilal Nath"/>
    <s v="9230615179"/>
  </r>
  <r>
    <s v="RCF Import"/>
    <s v="Imp 10-26-26"/>
    <s v="WB"/>
    <x v="10"/>
    <m/>
    <s v="User Not Mapped"/>
    <s v="User Not Mapped"/>
    <s v="User Not Mapped"/>
    <n v="918896"/>
    <s v="Sasati SKUS Limited"/>
    <s v="PACS"/>
    <s v="9732902806"/>
    <n v="5.5"/>
    <n v="61"/>
    <x v="2"/>
    <s v="'4215'"/>
    <s v="2026-02-25"/>
    <s v="332581"/>
    <s v="M/S Patra and Sons"/>
    <s v="9434316884"/>
  </r>
  <r>
    <s v="RCF Thal"/>
    <s v="N.C.Urea(45kg)"/>
    <s v="WB"/>
    <x v="11"/>
    <s v="Kharibari"/>
    <s v="User Not Mapped"/>
    <s v="User Not Mapped"/>
    <s v="User Not Mapped"/>
    <n v="213285"/>
    <s v="M/S Prodip Kr Ghosh"/>
    <s v="Private Wholsaler"/>
    <s v="9002771451"/>
    <n v="11.025"/>
    <n v="53"/>
    <x v="1"/>
    <s v="'2510'"/>
    <s v="2026-03-05"/>
    <s v="280728"/>
    <s v="M/s. Sunil Kumar Kundu"/>
    <s v="9832028729"/>
  </r>
  <r>
    <s v="RCF Thal"/>
    <s v="N.C.Urea(45kg)"/>
    <s v="WB"/>
    <x v="11"/>
    <s v="Kharibari"/>
    <s v="User Not Mapped"/>
    <s v="User Not Mapped"/>
    <s v="User Not Mapped"/>
    <n v="1116321"/>
    <s v="ATUL FERTILIZER"/>
    <s v="Private Wholsaler"/>
    <s v="9800490901"/>
    <n v="11.025"/>
    <n v="51"/>
    <x v="1"/>
    <s v="'2526USPKSLGF0109'"/>
    <s v="2026-03-07"/>
    <s v="1409662"/>
    <s v="UMA SHANKAR PRADIP KUMAR"/>
    <s v="9831636631"/>
  </r>
  <r>
    <s v="RCF Thal"/>
    <s v="N.C.Urea(45kg)"/>
    <s v="WB"/>
    <x v="11"/>
    <s v="Kharibari"/>
    <s v="User Not Mapped"/>
    <s v="User Not Mapped"/>
    <s v="User Not Mapped"/>
    <n v="1116321"/>
    <s v="ATUL FERTILIZER"/>
    <s v="Private Wholsaler"/>
    <s v="9800490901"/>
    <n v="8.7750000000000004"/>
    <n v="51"/>
    <x v="1"/>
    <s v="'2526USPKSLGF0106'"/>
    <s v="2026-03-07"/>
    <s v="1409662"/>
    <s v="UMA SHANKAR PRADIP KUMAR"/>
    <s v="9831636631"/>
  </r>
  <r>
    <s v="RCF Thal"/>
    <s v="N.C.Urea(45kg)"/>
    <s v="WB"/>
    <x v="11"/>
    <s v="Kharibari"/>
    <s v="User Not Mapped"/>
    <s v="User Not Mapped"/>
    <s v="User Not Mapped"/>
    <n v="1116321"/>
    <s v="ATUL FERTILIZER"/>
    <s v="Private Wholsaler"/>
    <s v="9800490901"/>
    <n v="11.025"/>
    <n v="51"/>
    <x v="1"/>
    <s v="'2526USPKSLGF0110'"/>
    <s v="2026-03-07"/>
    <s v="1409662"/>
    <s v="UMA SHANKAR PRADIP KUMAR"/>
    <s v="9831636631"/>
  </r>
  <r>
    <s v="RCF Thal"/>
    <s v="N.C.Urea(45kg)"/>
    <s v="WB"/>
    <x v="11"/>
    <s v="Kharibari"/>
    <s v="User Not Mapped"/>
    <s v="User Not Mapped"/>
    <s v="User Not Mapped"/>
    <n v="1116321"/>
    <s v="ATUL FERTILIZER"/>
    <s v="Private Wholsaler"/>
    <s v="9800490901"/>
    <n v="11.025"/>
    <n v="51"/>
    <x v="1"/>
    <s v="'2526USPKSLGF0108'"/>
    <s v="2026-03-07"/>
    <s v="1409662"/>
    <s v="UMA SHANKAR PRADIP KUMAR"/>
    <s v="9831636631"/>
  </r>
  <r>
    <s v="RCF Thal"/>
    <s v="N.C.Urea(45kg)"/>
    <s v="WB"/>
    <x v="11"/>
    <s v="Kharibari"/>
    <s v="User Not Mapped"/>
    <s v="User Not Mapped"/>
    <s v="User Not Mapped"/>
    <n v="1116321"/>
    <s v="ATUL FERTILIZER"/>
    <s v="Private Wholsaler"/>
    <s v="9800490901"/>
    <n v="11.025"/>
    <n v="51"/>
    <x v="1"/>
    <s v="'2526USPKSLGF0112'"/>
    <s v="2026-03-07"/>
    <s v="1409662"/>
    <s v="UMA SHANKAR PRADIP KUMAR"/>
    <s v="9831636631"/>
  </r>
  <r>
    <s v="RCF Thal"/>
    <s v="N.C.Urea(45kg)"/>
    <s v="WB"/>
    <x v="11"/>
    <s v="Kharibari"/>
    <s v="User Not Mapped"/>
    <s v="User Not Mapped"/>
    <s v="User Not Mapped"/>
    <n v="1116321"/>
    <s v="ATUL FERTILIZER"/>
    <s v="Private Wholsaler"/>
    <s v="9800490901"/>
    <n v="11.025"/>
    <n v="51"/>
    <x v="1"/>
    <s v="'2526USPKSLGF0111'"/>
    <s v="2026-03-07"/>
    <s v="1409662"/>
    <s v="UMA SHANKAR PRADIP KUMAR"/>
    <s v="9831636631"/>
  </r>
  <r>
    <s v="RCF Trombay"/>
    <s v="15-15-15"/>
    <s v="WB"/>
    <x v="11"/>
    <s v="Kharibari"/>
    <s v="User Not Mapped"/>
    <s v="User Not Mapped"/>
    <s v="User Not Mapped"/>
    <n v="1116321"/>
    <s v="ATUL FERTILIZER"/>
    <s v="Private Wholsaler"/>
    <s v="9800490901"/>
    <n v="10.75"/>
    <n v="82"/>
    <x v="2"/>
    <s v="'2382/2384/2385/2386'"/>
    <s v="2026-02-04"/>
    <s v="280728"/>
    <s v="M/s. Sunil Kumar Kundu"/>
    <s v="9832028729"/>
  </r>
  <r>
    <s v="RCF Thal"/>
    <s v="N.C.Urea(45kg)"/>
    <s v="WB"/>
    <x v="11"/>
    <s v="Kharibari"/>
    <s v="User Not Mapped"/>
    <s v="User Not Mapped"/>
    <s v="User Not Mapped"/>
    <n v="1116321"/>
    <s v="ATUL FERTILIZER"/>
    <s v="Private Wholsaler"/>
    <s v="9800490901"/>
    <n v="11.025"/>
    <n v="51"/>
    <x v="1"/>
    <s v="'2526USPKSLGF0113'"/>
    <s v="2026-03-07"/>
    <s v="1409662"/>
    <s v="UMA SHANKAR PRADIP KUMAR"/>
    <s v="9831636631"/>
  </r>
  <r>
    <s v="RCF Thal"/>
    <s v="N.C.Urea(45kg)"/>
    <s v="WB"/>
    <x v="11"/>
    <s v="Kharibari"/>
    <s v="User Not Mapped"/>
    <s v="User Not Mapped"/>
    <s v="User Not Mapped"/>
    <n v="1116321"/>
    <s v="ATUL FERTILIZER"/>
    <s v="Private Wholsaler"/>
    <s v="9800490901"/>
    <n v="11.025"/>
    <n v="51"/>
    <x v="1"/>
    <s v="'2526USPKSLGF0107'"/>
    <s v="2026-03-07"/>
    <s v="1409662"/>
    <s v="UMA SHANKAR PRADIP KUMAR"/>
    <s v="9831636631"/>
  </r>
  <r>
    <s v="RCF Trombay"/>
    <s v="15-15-15"/>
    <s v="WB"/>
    <x v="11"/>
    <s v="Mal"/>
    <s v="User Not Mapped"/>
    <s v="User Not Mapped"/>
    <s v="User Not Mapped"/>
    <n v="1322047"/>
    <s v="M/S PANKAJ SARKAR"/>
    <s v="Private Wholsaler"/>
    <s v="9002881602"/>
    <n v="11"/>
    <n v="82"/>
    <x v="2"/>
    <s v="'RF/S/25-26/783'"/>
    <s v="2026-02-04"/>
    <s v="214210"/>
    <s v="Raja Fertilizer"/>
    <s v="8370801459"/>
  </r>
  <r>
    <s v="RCF Thal"/>
    <s v="N.C.Urea(45kg)"/>
    <s v="WB"/>
    <x v="11"/>
    <s v="Matigara"/>
    <s v="User Not Mapped"/>
    <s v="User Not Mapped"/>
    <s v="User Not Mapped"/>
    <n v="214210"/>
    <s v="Raja Fertilizer"/>
    <s v="Private Wholsaler"/>
    <s v="8370801459"/>
    <n v="54"/>
    <n v="56"/>
    <x v="1"/>
    <s v="'WS3125003796'"/>
    <s v="2026-03-02"/>
    <s v="1"/>
    <s v="rcf"/>
    <m/>
  </r>
  <r>
    <s v="RCF Thal"/>
    <s v="N.C.Urea(45kg)"/>
    <s v="WB"/>
    <x v="11"/>
    <s v="Matigara"/>
    <s v="User Not Mapped"/>
    <s v="User Not Mapped"/>
    <s v="User Not Mapped"/>
    <n v="214210"/>
    <s v="Raja Fertilizer"/>
    <s v="Private Wholsaler"/>
    <s v="8370801459"/>
    <n v="54"/>
    <n v="56"/>
    <x v="1"/>
    <s v="'WS3125003794'"/>
    <s v="2026-03-02"/>
    <s v="1"/>
    <s v="rcf"/>
    <m/>
  </r>
  <r>
    <s v="RCF Trombay"/>
    <s v="15-15-15"/>
    <s v="WB"/>
    <x v="11"/>
    <s v="Matigara"/>
    <s v="User Not Mapped"/>
    <s v="User Not Mapped"/>
    <s v="User Not Mapped"/>
    <n v="214210"/>
    <s v="Raja Fertilizer"/>
    <s v="Private Wholsaler"/>
    <s v="8370801459"/>
    <n v="54"/>
    <n v="82"/>
    <x v="2"/>
    <s v="'WS3125003280'"/>
    <s v="2026-02-04"/>
    <s v="1"/>
    <s v="rcf"/>
    <m/>
  </r>
  <r>
    <s v="RCF Thal"/>
    <s v="N.C.Urea(45kg)"/>
    <s v="WB"/>
    <x v="11"/>
    <s v="Matigara"/>
    <s v="User Not Mapped"/>
    <s v="User Not Mapped"/>
    <s v="User Not Mapped"/>
    <n v="214210"/>
    <s v="Raja Fertilizer"/>
    <s v="Private Wholsaler"/>
    <s v="8370801459"/>
    <n v="45"/>
    <n v="56"/>
    <x v="1"/>
    <s v="'WS3125003798'"/>
    <s v="2026-03-02"/>
    <s v="1"/>
    <s v="rcf"/>
    <m/>
  </r>
  <r>
    <s v="RCF Trombay"/>
    <s v="15-15-15"/>
    <s v="WB"/>
    <x v="11"/>
    <s v="Matigara"/>
    <s v="User Not Mapped"/>
    <s v="User Not Mapped"/>
    <s v="User Not Mapped"/>
    <n v="214210"/>
    <s v="Raja Fertilizer"/>
    <s v="Private Wholsaler"/>
    <s v="8370801459"/>
    <n v="54"/>
    <n v="82"/>
    <x v="2"/>
    <s v="'WS3125003279'"/>
    <s v="2026-02-04"/>
    <s v="1"/>
    <s v="rcf"/>
    <m/>
  </r>
  <r>
    <s v="RCF Thal"/>
    <s v="N.C.Urea(45kg)"/>
    <s v="WB"/>
    <x v="11"/>
    <s v="Matigara"/>
    <s v="User Not Mapped"/>
    <s v="User Not Mapped"/>
    <s v="User Not Mapped"/>
    <n v="214210"/>
    <s v="Raja Fertilizer"/>
    <s v="Private Wholsaler"/>
    <s v="8370801459"/>
    <n v="21.89"/>
    <n v="56"/>
    <x v="1"/>
    <s v="'WS3125003790'"/>
    <s v="2026-03-02"/>
    <s v="1"/>
    <s v="rcf"/>
    <m/>
  </r>
  <r>
    <s v="RCF Trombay"/>
    <s v="15-15-15"/>
    <s v="WB"/>
    <x v="11"/>
    <s v="Matigara"/>
    <s v="User Not Mapped"/>
    <s v="User Not Mapped"/>
    <s v="User Not Mapped"/>
    <n v="214210"/>
    <s v="Raja Fertilizer"/>
    <s v="Private Wholsaler"/>
    <s v="8370801459"/>
    <n v="46"/>
    <n v="82"/>
    <x v="2"/>
    <s v="'WS3125003281'"/>
    <s v="2026-02-04"/>
    <s v="1"/>
    <s v="rcf"/>
    <m/>
  </r>
  <r>
    <s v="RCF Trombay"/>
    <s v="15-15-15"/>
    <s v="WB"/>
    <x v="11"/>
    <s v="Matigara"/>
    <s v="User Not Mapped"/>
    <s v="User Not Mapped"/>
    <s v="User Not Mapped"/>
    <n v="214210"/>
    <s v="Raja Fertilizer"/>
    <s v="Private Wholsaler"/>
    <s v="8370801459"/>
    <n v="47.25"/>
    <n v="82"/>
    <x v="2"/>
    <s v="'WS3125003278'"/>
    <s v="2026-02-04"/>
    <s v="1"/>
    <s v="rcf"/>
    <m/>
  </r>
  <r>
    <s v="RCF Thal"/>
    <s v="N.C.Urea(45kg)"/>
    <s v="WB"/>
    <x v="11"/>
    <s v="Matigara"/>
    <s v="User Not Mapped"/>
    <s v="User Not Mapped"/>
    <s v="User Not Mapped"/>
    <n v="214210"/>
    <s v="Raja Fertilizer"/>
    <s v="Private Wholsaler"/>
    <s v="8370801459"/>
    <n v="54"/>
    <n v="56"/>
    <x v="1"/>
    <s v="'WS3125003795'"/>
    <s v="2026-03-02"/>
    <s v="1"/>
    <s v="rcf"/>
    <m/>
  </r>
  <r>
    <s v="RCF Trombay"/>
    <s v="15-15-15"/>
    <s v="WB"/>
    <x v="11"/>
    <s v="Maynaguri"/>
    <s v="User Not Mapped"/>
    <s v="User Not Mapped"/>
    <s v="User Not Mapped"/>
    <n v="222671"/>
    <s v="Adarsha Krishi Bhandar"/>
    <s v="Private Wholsaler"/>
    <s v="7872827880"/>
    <n v="33.4"/>
    <n v="81"/>
    <x v="2"/>
    <s v="'WS3125003319'"/>
    <s v="2026-02-05"/>
    <s v="1"/>
    <s v="rcf"/>
    <m/>
  </r>
  <r>
    <s v="RCF Trombay"/>
    <s v="15-15-15"/>
    <s v="WB"/>
    <x v="11"/>
    <s v="Maynaguri"/>
    <s v="User Not Mapped"/>
    <s v="User Not Mapped"/>
    <s v="User Not Mapped"/>
    <n v="268761"/>
    <s v="Chaki Enterprise"/>
    <s v="Private Wholsaler"/>
    <s v="8348285333"/>
    <n v="2.65"/>
    <n v="138"/>
    <x v="0"/>
    <s v="'AC/25-26/0375'"/>
    <s v="2025-12-10"/>
    <s v="1375345"/>
    <s v="M/S AGRO CARE "/>
    <s v="7908844177"/>
  </r>
  <r>
    <s v="RCF Trombay"/>
    <s v="15-15-15"/>
    <s v="WB"/>
    <x v="11"/>
    <s v="Phansidewa"/>
    <s v="User Not Mapped"/>
    <s v="User Not Mapped"/>
    <s v="User Not Mapped"/>
    <n v="214204"/>
    <s v="Vikas Agrochemicals"/>
    <s v="Private Wholsaler"/>
    <s v="9474382706"/>
    <n v="0.75"/>
    <n v="81"/>
    <x v="2"/>
    <s v="'WS3125003304'"/>
    <s v="2026-02-05"/>
    <s v="1"/>
    <s v="rcf"/>
    <m/>
  </r>
  <r>
    <s v="RCF Trombay"/>
    <s v="15-15-15"/>
    <s v="WB"/>
    <x v="11"/>
    <s v="Phansidewa"/>
    <s v="User Not Mapped"/>
    <s v="User Not Mapped"/>
    <s v="User Not Mapped"/>
    <n v="385729"/>
    <s v="Debashis Kundu"/>
    <s v="Private Wholsaler"/>
    <s v="9641428689"/>
    <n v="15"/>
    <n v="74"/>
    <x v="2"/>
    <s v="'697A'"/>
    <s v="2026-02-12"/>
    <s v="268849"/>
    <s v="M/s. Debashis Kundu"/>
    <s v="9641428689"/>
  </r>
  <r>
    <s v="RCF Trombay"/>
    <s v="15-15-15"/>
    <s v="WB"/>
    <x v="11"/>
    <s v="Phansidewa"/>
    <s v="User Not Mapped"/>
    <s v="User Not Mapped"/>
    <s v="User Not Mapped"/>
    <n v="663873"/>
    <s v="B.G.FERTILIZER"/>
    <s v="Private Wholsaler"/>
    <s v="9832049926"/>
    <n v="4.25"/>
    <n v="74"/>
    <x v="2"/>
    <s v="'2526USPKSLGF0092'"/>
    <s v="2026-02-12"/>
    <s v="1409662"/>
    <s v="UMA SHANKAR PRADIP KUMAR"/>
    <s v="9831636631"/>
  </r>
  <r>
    <s v="RCF Thal"/>
    <s v="N.C.Urea(45kg)"/>
    <s v="WB"/>
    <x v="11"/>
    <s v="Phansidewa"/>
    <s v="User Not Mapped"/>
    <s v="User Not Mapped"/>
    <s v="User Not Mapped"/>
    <n v="663873"/>
    <s v="B.G.FERTILIZER"/>
    <s v="Private Wholsaler"/>
    <s v="9832049926"/>
    <n v="2.3849999999999998"/>
    <n v="51"/>
    <x v="1"/>
    <s v="'2526USPKSLGF0123'"/>
    <s v="2026-03-07"/>
    <s v="1409662"/>
    <s v="UMA SHANKAR PRADIP KUMAR"/>
    <s v="9831636631"/>
  </r>
  <r>
    <s v="RCF Thal"/>
    <s v="N.C.Urea(45kg)"/>
    <s v="WB"/>
    <x v="11"/>
    <s v="Phansidewa"/>
    <s v="User Not Mapped"/>
    <s v="User Not Mapped"/>
    <s v="User Not Mapped"/>
    <n v="663873"/>
    <s v="B.G.FERTILIZER"/>
    <s v="Private Wholsaler"/>
    <s v="9832049926"/>
    <n v="6.4349999999999996"/>
    <n v="45"/>
    <x v="1"/>
    <s v="'2526USPKSLGF0126'"/>
    <s v="2026-03-13"/>
    <s v="1409662"/>
    <s v="UMA SHANKAR PRADIP KUMAR"/>
    <s v="9831636631"/>
  </r>
  <r>
    <s v="RCF Trombay"/>
    <s v="15-15-15"/>
    <s v="WB"/>
    <x v="11"/>
    <s v="Rajganj"/>
    <s v="User Not Mapped"/>
    <s v="User Not Mapped"/>
    <s v="User Not Mapped"/>
    <n v="280728"/>
    <s v="M/s. Sunil Kumar Kundu"/>
    <s v="Private Wholsaler"/>
    <s v="9832028729"/>
    <n v="39.25"/>
    <n v="82"/>
    <x v="2"/>
    <s v="'WS3125003272'"/>
    <s v="2026-02-04"/>
    <s v="1"/>
    <s v="rcf"/>
    <m/>
  </r>
  <r>
    <s v="RCF Thal"/>
    <s v="N.C.Urea(45kg)"/>
    <s v="WB"/>
    <x v="12"/>
    <s v="Bamangola"/>
    <s v="User Not Mapped"/>
    <s v="User Not Mapped"/>
    <s v="User Not Mapped"/>
    <n v="270122"/>
    <s v="Kallol Banerjee"/>
    <s v="Private Wholsaler"/>
    <s v="9434518179"/>
    <n v="5.625"/>
    <n v="95"/>
    <x v="5"/>
    <s v="'BKP/F-808'"/>
    <s v="2026-01-22"/>
    <s v="281269"/>
    <s v="M/s. Butto Krishna Paul"/>
    <s v="7908580984"/>
  </r>
  <r>
    <s v="RCF Trombay"/>
    <s v="15-15-15"/>
    <s v="WB"/>
    <x v="12"/>
    <s v="Bamangola"/>
    <s v="User Not Mapped"/>
    <s v="User Not Mapped"/>
    <s v="User Not Mapped"/>
    <n v="1265575"/>
    <s v="M/S TAPAN KUMAR PRAMANIK"/>
    <s v="Private Wholsaler"/>
    <s v="9800845175"/>
    <n v="7"/>
    <n v="214"/>
    <x v="3"/>
    <s v="'652'"/>
    <s v="2025-09-25"/>
    <s v="270157"/>
    <s v="M/s. Kanailal Keder Prasad"/>
    <s v="9474075544"/>
  </r>
  <r>
    <s v="RCF Trombay"/>
    <s v="N.C.Urea(45kg)"/>
    <s v="WB"/>
    <x v="12"/>
    <s v="Chanchal - I"/>
    <s v="User Not Mapped"/>
    <s v="User Not Mapped"/>
    <s v="User Not Mapped"/>
    <n v="260350"/>
    <s v="Adarsha Krishi Bhandar"/>
    <s v="Private Wholsaler"/>
    <s v="9434422447"/>
    <n v="32.4"/>
    <n v="7"/>
    <x v="4"/>
    <s v="'WS3126000064'"/>
    <s v="2026-04-20"/>
    <s v="1"/>
    <s v="rcf"/>
    <m/>
  </r>
  <r>
    <s v="RCF Trombay"/>
    <s v="15-15-15"/>
    <s v="WB"/>
    <x v="12"/>
    <s v="Chanchal - I"/>
    <s v="User Not Mapped"/>
    <s v="User Not Mapped"/>
    <s v="User Not Mapped"/>
    <n v="260350"/>
    <s v="Adarsha Krishi Bhandar"/>
    <s v="Private Wholsaler"/>
    <s v="9434422447"/>
    <n v="49"/>
    <n v="7"/>
    <x v="4"/>
    <s v="'WS3126000062'"/>
    <s v="2026-04-20"/>
    <s v="1"/>
    <s v="rcf"/>
    <m/>
  </r>
  <r>
    <s v="RCF Thal"/>
    <s v="N.C.Urea(45kg)"/>
    <s v="WB"/>
    <x v="12"/>
    <s v="English Bazar"/>
    <s v="User Not Mapped"/>
    <s v="User Not Mapped"/>
    <s v="User Not Mapped"/>
    <n v="281269"/>
    <s v="M/s. Butto Krishna Paul"/>
    <s v="Private Wholsaler"/>
    <s v="7908580984"/>
    <n v="7.47"/>
    <n v="47"/>
    <x v="1"/>
    <s v="'BCD/0241/25-26'"/>
    <s v="2026-03-11"/>
    <s v="281272"/>
    <s v="M/s. Bimal Chandra Das"/>
    <s v="9734196261"/>
  </r>
  <r>
    <s v="RCF Trombay"/>
    <s v="N.C.Urea(45kg)"/>
    <s v="WB"/>
    <x v="12"/>
    <s v="English Bazar"/>
    <s v="User Not Mapped"/>
    <s v="User Not Mapped"/>
    <s v="User Not Mapped"/>
    <n v="281269"/>
    <s v="M/s. Butto Krishna Paul"/>
    <s v="Private Wholsaler"/>
    <s v="7908580984"/>
    <n v="9.4499999999999993"/>
    <n v="7"/>
    <x v="4"/>
    <s v="'WS3126000070'"/>
    <s v="2026-04-20"/>
    <s v="1"/>
    <s v="rcf"/>
    <m/>
  </r>
  <r>
    <s v="RCF Thal"/>
    <s v="N.C.Urea(45kg)"/>
    <s v="WB"/>
    <x v="12"/>
    <s v="Gazole"/>
    <s v="User Not Mapped"/>
    <s v="User Not Mapped"/>
    <s v="User Not Mapped"/>
    <n v="288977"/>
    <s v="Golok Chandra Mondal "/>
    <s v="Private Wholsaler"/>
    <s v="8016366836"/>
    <n v="8.0549999999999997"/>
    <n v="47"/>
    <x v="1"/>
    <s v="'BKP/F-1071'"/>
    <s v="2026-03-11"/>
    <s v="281269"/>
    <s v="M/s. Butto Krishna Paul"/>
    <s v="7908580984"/>
  </r>
  <r>
    <s v="RCF Trombay"/>
    <s v="15-15-15"/>
    <s v="WB"/>
    <x v="12"/>
    <s v="Gazole"/>
    <s v="User Not Mapped"/>
    <s v="User Not Mapped"/>
    <s v="User Not Mapped"/>
    <n v="1259524"/>
    <s v="M/S KRISHI GHAR"/>
    <s v="Private Wholsaler"/>
    <s v="9064113554"/>
    <n v="20"/>
    <n v="7"/>
    <x v="4"/>
    <s v="'BKP/F-25'"/>
    <s v="2026-04-20"/>
    <s v="281269"/>
    <s v="M/s. Butto Krishna Paul"/>
    <s v="7908580984"/>
  </r>
  <r>
    <s v="RCF Trombay"/>
    <s v="15-15-15"/>
    <s v="WB"/>
    <x v="12"/>
    <s v="Habibpur"/>
    <s v="User Not Mapped"/>
    <s v="User Not Mapped"/>
    <s v="User Not Mapped"/>
    <n v="270157"/>
    <s v="M/s. Kanailal Keder Prasad"/>
    <s v="Private Wholsaler"/>
    <s v="9474075544"/>
    <n v="55"/>
    <n v="7"/>
    <x v="4"/>
    <s v="'WS3126000119'"/>
    <s v="2026-04-20"/>
    <s v="1"/>
    <s v="rcf"/>
    <m/>
  </r>
  <r>
    <s v="RCF Import"/>
    <s v="Imp 10-26-26"/>
    <s v="WB"/>
    <x v="12"/>
    <s v="Habibpur"/>
    <s v="User Not Mapped"/>
    <s v="User Not Mapped"/>
    <s v="User Not Mapped"/>
    <n v="270157"/>
    <s v="M/s. Kanailal Keder Prasad"/>
    <s v="Private Wholsaler"/>
    <s v="9474075544"/>
    <n v="50"/>
    <n v="41"/>
    <x v="1"/>
    <s v="'3125004087'"/>
    <s v="2026-03-17"/>
    <s v="1"/>
    <s v="rcf"/>
    <m/>
  </r>
  <r>
    <s v="RCF Trombay"/>
    <s v="15-15-15"/>
    <s v="WB"/>
    <x v="12"/>
    <s v="Habibpur"/>
    <s v="User Not Mapped"/>
    <s v="User Not Mapped"/>
    <s v="User Not Mapped"/>
    <n v="270157"/>
    <s v="M/s. Kanailal Keder Prasad"/>
    <s v="Private Wholsaler"/>
    <s v="9474075544"/>
    <n v="5"/>
    <n v="7"/>
    <x v="4"/>
    <s v="'WS3126000092'"/>
    <s v="2026-04-20"/>
    <s v="1"/>
    <s v="rcf"/>
    <m/>
  </r>
  <r>
    <s v="RCF Import"/>
    <s v="Imp 10-26-26"/>
    <s v="WB"/>
    <x v="12"/>
    <s v="Habibpur"/>
    <s v="User Not Mapped"/>
    <s v="User Not Mapped"/>
    <s v="User Not Mapped"/>
    <n v="270157"/>
    <s v="M/s. Kanailal Keder Prasad"/>
    <s v="Private Wholsaler"/>
    <s v="9474075544"/>
    <n v="45"/>
    <n v="44"/>
    <x v="1"/>
    <s v="'3125004078'"/>
    <s v="2026-03-14"/>
    <s v="1"/>
    <s v="rcf"/>
    <m/>
  </r>
  <r>
    <s v="RCF Import"/>
    <s v="Imp 10-26-26"/>
    <s v="WB"/>
    <x v="12"/>
    <s v="Habibpur"/>
    <s v="User Not Mapped"/>
    <s v="User Not Mapped"/>
    <s v="User Not Mapped"/>
    <n v="270157"/>
    <s v="M/s. Kanailal Keder Prasad"/>
    <s v="Private Wholsaler"/>
    <s v="9474075544"/>
    <n v="45"/>
    <n v="41"/>
    <x v="1"/>
    <s v="'3125004089'"/>
    <s v="2026-03-17"/>
    <s v="1"/>
    <s v="rcf"/>
    <m/>
  </r>
  <r>
    <s v="RCF Trombay"/>
    <s v="15-15-15"/>
    <s v="WB"/>
    <x v="12"/>
    <s v="Habibpur"/>
    <s v="User Not Mapped"/>
    <s v="User Not Mapped"/>
    <s v="User Not Mapped"/>
    <n v="270157"/>
    <s v="M/s. Kanailal Keder Prasad"/>
    <s v="Private Wholsaler"/>
    <s v="9474075544"/>
    <n v="55"/>
    <n v="7"/>
    <x v="4"/>
    <s v="'WS3126000109'"/>
    <s v="2026-04-20"/>
    <s v="1"/>
    <s v="rcf"/>
    <m/>
  </r>
  <r>
    <s v="RCF Trombay"/>
    <s v="15-15-15"/>
    <s v="WB"/>
    <x v="12"/>
    <s v="Habibpur"/>
    <s v="User Not Mapped"/>
    <s v="User Not Mapped"/>
    <s v="User Not Mapped"/>
    <n v="270157"/>
    <s v="M/s. Kanailal Keder Prasad"/>
    <s v="Private Wholsaler"/>
    <s v="9474075544"/>
    <n v="39.5"/>
    <n v="7"/>
    <x v="4"/>
    <s v="'WS3126000121'"/>
    <s v="2026-04-20"/>
    <s v="1"/>
    <s v="rcf"/>
    <m/>
  </r>
  <r>
    <s v="RCF Import"/>
    <s v="Imp 10-26-26"/>
    <s v="WB"/>
    <x v="12"/>
    <s v="Habibpur"/>
    <s v="User Not Mapped"/>
    <s v="User Not Mapped"/>
    <s v="User Not Mapped"/>
    <n v="270157"/>
    <s v="M/s. Kanailal Keder Prasad"/>
    <s v="Private Wholsaler"/>
    <s v="9474075544"/>
    <n v="50"/>
    <n v="41"/>
    <x v="1"/>
    <s v="'3125004088'"/>
    <s v="2026-03-17"/>
    <s v="1"/>
    <s v="rcf"/>
    <m/>
  </r>
  <r>
    <s v="RCF Trombay"/>
    <s v="15-15-15"/>
    <s v="WB"/>
    <x v="12"/>
    <s v="Habibpur"/>
    <s v="User Not Mapped"/>
    <s v="User Not Mapped"/>
    <s v="User Not Mapped"/>
    <n v="270157"/>
    <s v="M/s. Kanailal Keder Prasad"/>
    <s v="Private Wholsaler"/>
    <s v="9474075544"/>
    <n v="55"/>
    <n v="7"/>
    <x v="4"/>
    <s v="'WS3126000097'"/>
    <s v="2026-04-20"/>
    <s v="1"/>
    <s v="rcf"/>
    <m/>
  </r>
  <r>
    <s v="RCF Import"/>
    <s v="Imp 10-26-26"/>
    <s v="WB"/>
    <x v="12"/>
    <s v="Habibpur"/>
    <s v="User Not Mapped"/>
    <s v="User Not Mapped"/>
    <s v="User Not Mapped"/>
    <n v="270157"/>
    <s v="M/s. Kanailal Keder Prasad"/>
    <s v="Private Wholsaler"/>
    <s v="9474075544"/>
    <n v="39"/>
    <n v="44"/>
    <x v="1"/>
    <s v="'3125004081'"/>
    <s v="2026-03-14"/>
    <s v="1"/>
    <s v="rcf"/>
    <m/>
  </r>
  <r>
    <s v="RCF Trombay"/>
    <s v="15-15-15"/>
    <s v="WB"/>
    <x v="12"/>
    <s v="Habibpur"/>
    <s v="User Not Mapped"/>
    <s v="User Not Mapped"/>
    <s v="User Not Mapped"/>
    <n v="270157"/>
    <s v="M/s. Kanailal Keder Prasad"/>
    <s v="Private Wholsaler"/>
    <s v="9474075544"/>
    <n v="55"/>
    <n v="7"/>
    <x v="4"/>
    <s v="'WS3126000094'"/>
    <s v="2026-04-20"/>
    <s v="1"/>
    <s v="rcf"/>
    <m/>
  </r>
  <r>
    <s v="RCF Import"/>
    <s v="Imp 10-26-26"/>
    <s v="WB"/>
    <x v="12"/>
    <s v="Habibpur"/>
    <s v="User Not Mapped"/>
    <s v="User Not Mapped"/>
    <s v="User Not Mapped"/>
    <n v="270157"/>
    <s v="M/s. Kanailal Keder Prasad"/>
    <s v="Private Wholsaler"/>
    <s v="9474075544"/>
    <n v="50"/>
    <n v="41"/>
    <x v="1"/>
    <s v="'3125004086'"/>
    <s v="2026-03-17"/>
    <s v="1"/>
    <s v="rcf"/>
    <m/>
  </r>
  <r>
    <s v="RCF Trombay"/>
    <s v="15-15-15"/>
    <s v="WB"/>
    <x v="12"/>
    <s v="Habibpur"/>
    <s v="User Not Mapped"/>
    <s v="User Not Mapped"/>
    <s v="User Not Mapped"/>
    <n v="270157"/>
    <s v="M/s. Kanailal Keder Prasad"/>
    <s v="Private Wholsaler"/>
    <s v="9474075544"/>
    <n v="55"/>
    <n v="7"/>
    <x v="4"/>
    <s v="'WS3126000111'"/>
    <s v="2026-04-20"/>
    <s v="1"/>
    <s v="rcf"/>
    <m/>
  </r>
  <r>
    <s v="RCF Import"/>
    <s v="Imp 10-26-26"/>
    <s v="WB"/>
    <x v="12"/>
    <s v="Habibpur"/>
    <s v="User Not Mapped"/>
    <s v="User Not Mapped"/>
    <s v="User Not Mapped"/>
    <n v="270157"/>
    <s v="M/s. Kanailal Keder Prasad"/>
    <s v="Private Wholsaler"/>
    <s v="9474075544"/>
    <n v="54"/>
    <n v="44"/>
    <x v="1"/>
    <s v="'3125004077'"/>
    <s v="2026-03-14"/>
    <s v="1"/>
    <s v="rcf"/>
    <m/>
  </r>
  <r>
    <s v="RCF Trombay"/>
    <s v="15-15-15"/>
    <s v="WB"/>
    <x v="12"/>
    <s v="Habibpur"/>
    <s v="User Not Mapped"/>
    <s v="User Not Mapped"/>
    <s v="User Not Mapped"/>
    <n v="270157"/>
    <s v="M/s. Kanailal Keder Prasad"/>
    <s v="Private Wholsaler"/>
    <s v="9474075544"/>
    <n v="55"/>
    <n v="7"/>
    <x v="4"/>
    <s v="'WS3126000100'"/>
    <s v="2026-04-20"/>
    <s v="1"/>
    <s v="rcf"/>
    <m/>
  </r>
  <r>
    <s v="RCF Trombay"/>
    <s v="15-15-15"/>
    <s v="WB"/>
    <x v="12"/>
    <s v="Habibpur"/>
    <s v="User Not Mapped"/>
    <s v="User Not Mapped"/>
    <s v="User Not Mapped"/>
    <n v="270157"/>
    <s v="M/s. Kanailal Keder Prasad"/>
    <s v="Private Wholsaler"/>
    <s v="9474075544"/>
    <n v="55"/>
    <n v="7"/>
    <x v="4"/>
    <s v="'WS3126000122'"/>
    <s v="2026-04-20"/>
    <s v="1"/>
    <s v="rcf"/>
    <m/>
  </r>
  <r>
    <s v="RCF Trombay"/>
    <s v="15-15-15"/>
    <s v="WB"/>
    <x v="12"/>
    <s v="Habibpur"/>
    <s v="User Not Mapped"/>
    <s v="User Not Mapped"/>
    <s v="User Not Mapped"/>
    <n v="270157"/>
    <s v="M/s. Kanailal Keder Prasad"/>
    <s v="Private Wholsaler"/>
    <s v="9474075544"/>
    <n v="49.25"/>
    <n v="7"/>
    <x v="4"/>
    <s v="'WS3126000120'"/>
    <s v="2026-04-20"/>
    <s v="1"/>
    <s v="rcf"/>
    <m/>
  </r>
  <r>
    <s v="RCF Import"/>
    <s v="Imp 10-26-26"/>
    <s v="WB"/>
    <x v="12"/>
    <s v="Habibpur"/>
    <s v="User Not Mapped"/>
    <s v="User Not Mapped"/>
    <s v="User Not Mapped"/>
    <n v="270157"/>
    <s v="M/s. Kanailal Keder Prasad"/>
    <s v="Private Wholsaler"/>
    <s v="9474075544"/>
    <n v="50"/>
    <n v="40"/>
    <x v="1"/>
    <s v="'3125004091'"/>
    <s v="2026-03-18"/>
    <s v="1"/>
    <s v="rcf"/>
    <m/>
  </r>
  <r>
    <s v="RCF Trombay"/>
    <s v="15-15-15"/>
    <s v="WB"/>
    <x v="12"/>
    <s v="Habibpur"/>
    <s v="User Not Mapped"/>
    <s v="User Not Mapped"/>
    <s v="User Not Mapped"/>
    <n v="270157"/>
    <s v="M/s. Kanailal Keder Prasad"/>
    <s v="Private Wholsaler"/>
    <s v="9474075544"/>
    <n v="55"/>
    <n v="7"/>
    <x v="4"/>
    <s v="'WS3126000103'"/>
    <s v="2026-04-20"/>
    <s v="1"/>
    <s v="rcf"/>
    <m/>
  </r>
  <r>
    <s v="RCF Trombay"/>
    <s v="15-15-15"/>
    <s v="WB"/>
    <x v="12"/>
    <s v="Habibpur"/>
    <s v="User Not Mapped"/>
    <s v="User Not Mapped"/>
    <s v="User Not Mapped"/>
    <n v="270157"/>
    <s v="M/s. Kanailal Keder Prasad"/>
    <s v="Private Wholsaler"/>
    <s v="9474075544"/>
    <n v="55"/>
    <n v="7"/>
    <x v="4"/>
    <s v="'WS3126000104'"/>
    <s v="2026-04-20"/>
    <s v="1"/>
    <s v="rcf"/>
    <m/>
  </r>
  <r>
    <s v="RCF Import"/>
    <s v="Imp 10-26-26"/>
    <s v="WB"/>
    <x v="12"/>
    <s v="Habibpur"/>
    <s v="User Not Mapped"/>
    <s v="User Not Mapped"/>
    <s v="User Not Mapped"/>
    <n v="270157"/>
    <s v="M/s. Kanailal Keder Prasad"/>
    <s v="Private Wholsaler"/>
    <s v="9474075544"/>
    <n v="54"/>
    <n v="44"/>
    <x v="1"/>
    <s v="'3125004080'"/>
    <s v="2026-03-14"/>
    <s v="1"/>
    <s v="rcf"/>
    <m/>
  </r>
  <r>
    <s v="RCF Trombay"/>
    <s v="15-15-15"/>
    <s v="WB"/>
    <x v="12"/>
    <s v="Habibpur"/>
    <s v="User Not Mapped"/>
    <s v="User Not Mapped"/>
    <s v="User Not Mapped"/>
    <n v="270157"/>
    <s v="M/s. Kanailal Keder Prasad"/>
    <s v="Private Wholsaler"/>
    <s v="9474075544"/>
    <n v="15.5"/>
    <n v="7"/>
    <x v="4"/>
    <s v="'WS3126000106'"/>
    <s v="2026-04-20"/>
    <s v="1"/>
    <s v="rcf"/>
    <m/>
  </r>
  <r>
    <s v="RCF Import"/>
    <s v="Imp 10-26-26"/>
    <s v="WB"/>
    <x v="12"/>
    <s v="Habibpur"/>
    <s v="User Not Mapped"/>
    <s v="User Not Mapped"/>
    <s v="User Not Mapped"/>
    <n v="270157"/>
    <s v="M/s. Kanailal Keder Prasad"/>
    <s v="Private Wholsaler"/>
    <s v="9474075544"/>
    <n v="54"/>
    <n v="44"/>
    <x v="1"/>
    <s v="'3125004079'"/>
    <s v="2026-03-14"/>
    <s v="1"/>
    <s v="rcf"/>
    <m/>
  </r>
  <r>
    <s v="RCF Trombay"/>
    <s v="15-15-15"/>
    <s v="WB"/>
    <x v="12"/>
    <s v="Habibpur"/>
    <s v="User Not Mapped"/>
    <s v="User Not Mapped"/>
    <s v="User Not Mapped"/>
    <n v="270157"/>
    <s v="M/s. Kanailal Keder Prasad"/>
    <s v="Private Wholsaler"/>
    <s v="9474075544"/>
    <n v="55"/>
    <n v="7"/>
    <x v="4"/>
    <s v="'WS3126000113'"/>
    <s v="2026-04-20"/>
    <s v="1"/>
    <s v="rcf"/>
    <m/>
  </r>
  <r>
    <s v="RCF Trombay"/>
    <s v="15-15-15"/>
    <s v="WB"/>
    <x v="12"/>
    <s v="Habibpur"/>
    <s v="User Not Mapped"/>
    <s v="User Not Mapped"/>
    <s v="User Not Mapped"/>
    <n v="270157"/>
    <s v="M/s. Kanailal Keder Prasad"/>
    <s v="Private Wholsaler"/>
    <s v="9474075544"/>
    <n v="55"/>
    <n v="7"/>
    <x v="4"/>
    <s v="'WS3126000118'"/>
    <s v="2026-04-20"/>
    <s v="1"/>
    <s v="rcf"/>
    <m/>
  </r>
  <r>
    <s v="RCF Import"/>
    <s v="Imp 10-26-26"/>
    <s v="WB"/>
    <x v="12"/>
    <s v="Habibpur"/>
    <s v="User Not Mapped"/>
    <s v="User Not Mapped"/>
    <s v="User Not Mapped"/>
    <n v="270157"/>
    <s v="M/s. Kanailal Keder Prasad"/>
    <s v="Private Wholsaler"/>
    <s v="9474075544"/>
    <n v="5"/>
    <n v="38"/>
    <x v="1"/>
    <s v="'3125004100'"/>
    <s v="2026-03-20"/>
    <s v="1"/>
    <s v="rcf"/>
    <m/>
  </r>
  <r>
    <s v="RCF Trombay"/>
    <s v="N.C.Urea(45kg)"/>
    <s v="WB"/>
    <x v="12"/>
    <s v="Kaliachak - I"/>
    <s v="User Not Mapped"/>
    <s v="User Not Mapped"/>
    <s v="User Not Mapped"/>
    <n v="268712"/>
    <s v="M/s BirendraNathSaha O Partner"/>
    <s v="Private Wholsaler"/>
    <s v="9232761461"/>
    <n v="18"/>
    <n v="7"/>
    <x v="4"/>
    <s v="'WS3126000069'"/>
    <s v="2026-04-20"/>
    <s v="1"/>
    <s v="rcf"/>
    <m/>
  </r>
  <r>
    <s v="RCF Trombay"/>
    <s v="N.C.Urea(45kg)"/>
    <s v="WB"/>
    <x v="12"/>
    <s v="Kaliachak - I"/>
    <s v="User Not Mapped"/>
    <s v="User Not Mapped"/>
    <s v="User Not Mapped"/>
    <n v="268712"/>
    <s v="M/s BirendraNathSaha O Partner"/>
    <s v="Private Wholsaler"/>
    <s v="9232761461"/>
    <n v="18.585000000000001"/>
    <n v="7"/>
    <x v="4"/>
    <s v="'WS3126000068'"/>
    <s v="2026-04-20"/>
    <s v="1"/>
    <s v="rcf"/>
    <m/>
  </r>
  <r>
    <s v="RCF Trombay"/>
    <s v="15-15-15"/>
    <s v="WB"/>
    <x v="12"/>
    <s v="Kaliachak - I"/>
    <s v="User Not Mapped"/>
    <s v="User Not Mapped"/>
    <s v="User Not Mapped"/>
    <n v="268712"/>
    <s v="M/s BirendraNathSaha O Partner"/>
    <s v="Private Wholsaler"/>
    <s v="9232761461"/>
    <n v="50"/>
    <n v="7"/>
    <x v="4"/>
    <s v="'WS3126000065'"/>
    <s v="2026-04-20"/>
    <s v="1"/>
    <s v="rcf"/>
    <m/>
  </r>
  <r>
    <s v="RCF Trombay"/>
    <s v="15-15-15"/>
    <s v="WB"/>
    <x v="12"/>
    <s v="Kaliachak - I"/>
    <s v="User Not Mapped"/>
    <s v="User Not Mapped"/>
    <s v="User Not Mapped"/>
    <n v="268712"/>
    <s v="M/s BirendraNathSaha O Partner"/>
    <s v="Private Wholsaler"/>
    <s v="9232761461"/>
    <n v="30"/>
    <n v="7"/>
    <x v="4"/>
    <s v="'WS3126000066'"/>
    <s v="2026-04-20"/>
    <s v="1"/>
    <s v="rcf"/>
    <m/>
  </r>
  <r>
    <s v="RCF Trombay"/>
    <s v="N.C.Urea(45kg)"/>
    <s v="WB"/>
    <x v="12"/>
    <s v="Kaliachak - I"/>
    <s v="User Not Mapped"/>
    <s v="User Not Mapped"/>
    <s v="User Not Mapped"/>
    <n v="269982"/>
    <s v="M/s Jatindra Nath Saha"/>
    <s v="Private Wholsaler"/>
    <s v="7431922103"/>
    <n v="3.375"/>
    <n v="7"/>
    <x v="4"/>
    <s v="'WS3126000073'"/>
    <s v="2026-04-20"/>
    <s v="1"/>
    <s v="rcf"/>
    <m/>
  </r>
  <r>
    <s v="RCF Trombay"/>
    <s v="15-15-15"/>
    <s v="WB"/>
    <x v="12"/>
    <s v="Kaliachak - I"/>
    <s v="User Not Mapped"/>
    <s v="User Not Mapped"/>
    <s v="User Not Mapped"/>
    <n v="269982"/>
    <s v="M/s Jatindra Nath Saha"/>
    <s v="Private Wholsaler"/>
    <s v="7431922103"/>
    <n v="47"/>
    <n v="7"/>
    <x v="4"/>
    <s v="'WS3126000081'"/>
    <s v="2026-04-20"/>
    <s v="1"/>
    <s v="rcf"/>
    <m/>
  </r>
  <r>
    <s v="RCF Import"/>
    <s v="Imp 10-26-26"/>
    <s v="WB"/>
    <x v="12"/>
    <s v="Kaliachak - I"/>
    <s v="User Not Mapped"/>
    <s v="User Not Mapped"/>
    <s v="User Not Mapped"/>
    <n v="269982"/>
    <s v="M/s Jatindra Nath Saha"/>
    <s v="Private Wholsaler"/>
    <s v="7431922103"/>
    <n v="11"/>
    <n v="83"/>
    <x v="2"/>
    <s v="'WS3125003240'"/>
    <s v="2026-02-03"/>
    <s v="1"/>
    <s v="rcf"/>
    <m/>
  </r>
  <r>
    <s v="RCF Thal"/>
    <s v="N.C.Urea(45kg)"/>
    <s v="WB"/>
    <x v="12"/>
    <s v="Kaliachak - I"/>
    <s v="User Not Mapped"/>
    <s v="User Not Mapped"/>
    <s v="User Not Mapped"/>
    <n v="269982"/>
    <s v="M/s Jatindra Nath Saha"/>
    <s v="Private Wholsaler"/>
    <s v="7431922103"/>
    <n v="1.08"/>
    <n v="49"/>
    <x v="1"/>
    <s v="'WS3125003861'"/>
    <s v="2026-03-09"/>
    <s v="1"/>
    <s v="rcf"/>
    <m/>
  </r>
  <r>
    <s v="RCF Trombay"/>
    <s v="N.C.Urea(45kg)"/>
    <s v="WB"/>
    <x v="12"/>
    <s v="Kaliachak - I"/>
    <s v="User Not Mapped"/>
    <s v="User Not Mapped"/>
    <s v="User Not Mapped"/>
    <n v="269982"/>
    <s v="M/s Jatindra Nath Saha"/>
    <s v="Private Wholsaler"/>
    <s v="7431922103"/>
    <n v="54"/>
    <n v="7"/>
    <x v="4"/>
    <s v="'WS3126000074'"/>
    <s v="2026-04-20"/>
    <s v="1"/>
    <s v="rcf"/>
    <m/>
  </r>
  <r>
    <s v="RCF Trombay"/>
    <s v="15-15-15"/>
    <s v="WB"/>
    <x v="12"/>
    <s v="Kaliachak - I"/>
    <s v="User Not Mapped"/>
    <s v="User Not Mapped"/>
    <s v="User Not Mapped"/>
    <n v="269982"/>
    <s v="M/s Jatindra Nath Saha"/>
    <s v="Private Wholsaler"/>
    <s v="7431922103"/>
    <n v="50"/>
    <n v="7"/>
    <x v="4"/>
    <s v="'WS3126000082'"/>
    <s v="2026-04-20"/>
    <s v="1"/>
    <s v="rcf"/>
    <m/>
  </r>
  <r>
    <s v="RCF Trombay"/>
    <s v="15-15-15"/>
    <s v="WB"/>
    <x v="12"/>
    <s v="Kaliachak - II"/>
    <s v="User Not Mapped"/>
    <s v="User Not Mapped"/>
    <s v="User Not Mapped"/>
    <n v="281272"/>
    <s v="M/s. Bimal Chandra Das"/>
    <s v="Private Wholsaler"/>
    <s v="9734196261"/>
    <n v="11"/>
    <n v="7"/>
    <x v="4"/>
    <s v="'BKP/F-27'"/>
    <s v="2026-04-20"/>
    <s v="281269"/>
    <s v="M/s. Butto Krishna Paul"/>
    <s v="7908580984"/>
  </r>
  <r>
    <s v="RCF Trombay"/>
    <s v="N.C.Urea(45kg)"/>
    <s v="WB"/>
    <x v="12"/>
    <s v="Kaliachak - II"/>
    <s v="User Not Mapped"/>
    <s v="User Not Mapped"/>
    <s v="User Not Mapped"/>
    <n v="281272"/>
    <s v="M/s. Bimal Chandra Das"/>
    <s v="Private Wholsaler"/>
    <s v="9734196261"/>
    <n v="36"/>
    <n v="7"/>
    <x v="4"/>
    <s v="'WS3126000067'"/>
    <s v="2026-04-20"/>
    <s v="1"/>
    <s v="rcf"/>
    <m/>
  </r>
  <r>
    <s v="RCF Import"/>
    <s v="Imp 10-26-26"/>
    <s v="WB"/>
    <x v="12"/>
    <s v="Kaliachak - II"/>
    <s v="User Not Mapped"/>
    <s v="User Not Mapped"/>
    <s v="User Not Mapped"/>
    <n v="281272"/>
    <s v="M/s. Bimal Chandra Das"/>
    <s v="Private Wholsaler"/>
    <s v="9734196261"/>
    <n v="33"/>
    <n v="83"/>
    <x v="2"/>
    <s v="'WS3125003236'"/>
    <s v="2026-02-03"/>
    <s v="1"/>
    <s v="rcf"/>
    <m/>
  </r>
  <r>
    <s v="RCF Trombay"/>
    <s v="15-15-15"/>
    <s v="WB"/>
    <x v="12"/>
    <s v="Kaliachak - II"/>
    <s v="User Not Mapped"/>
    <s v="User Not Mapped"/>
    <s v="User Not Mapped"/>
    <n v="281272"/>
    <s v="M/s. Bimal Chandra Das"/>
    <s v="Private Wholsaler"/>
    <s v="9734196261"/>
    <n v="38"/>
    <n v="7"/>
    <x v="4"/>
    <s v="'WS3126000063'"/>
    <s v="2026-04-20"/>
    <s v="1"/>
    <s v="rcf"/>
    <m/>
  </r>
  <r>
    <s v="RCF Trombay"/>
    <s v="15-15-15"/>
    <s v="WB"/>
    <x v="12"/>
    <s v="Maldah (Old)"/>
    <s v="User Not Mapped"/>
    <s v="User Not Mapped"/>
    <s v="User Not Mapped"/>
    <n v="1375345"/>
    <s v="M/S AGRO CARE "/>
    <s v="Private Wholsaler"/>
    <s v="7908844177"/>
    <n v="25"/>
    <n v="3"/>
    <x v="4"/>
    <s v="'74'"/>
    <s v="2026-04-24"/>
    <s v="270157"/>
    <s v="M/s. Kanailal Keder Prasad"/>
    <s v="9474075544"/>
  </r>
  <r>
    <s v="RCF Trombay"/>
    <s v="15-15-15"/>
    <s v="WB"/>
    <x v="12"/>
    <s v="Maldah (Old)"/>
    <s v="User Not Mapped"/>
    <s v="User Not Mapped"/>
    <s v="User Not Mapped"/>
    <n v="1375345"/>
    <s v="M/S AGRO CARE "/>
    <s v="Private Wholsaler"/>
    <s v="7908844177"/>
    <n v="25"/>
    <n v="3"/>
    <x v="4"/>
    <s v="'73'"/>
    <s v="2026-04-24"/>
    <s v="270157"/>
    <s v="M/s. Kanailal Keder Prasad"/>
    <s v="9474075544"/>
  </r>
  <r>
    <s v="RCF Thal"/>
    <s v="N.C.Urea(45kg)"/>
    <s v="WB"/>
    <x v="13"/>
    <s v="Egra - I"/>
    <s v="User Not Mapped"/>
    <s v="User Not Mapped"/>
    <s v="User Not Mapped"/>
    <n v="280604"/>
    <s v="Sabuj Mita"/>
    <s v="Private Wholsaler"/>
    <s v="9932091544"/>
    <n v="0.17"/>
    <n v="77"/>
    <x v="2"/>
    <s v="'WS3125003345'"/>
    <s v="2026-02-09"/>
    <s v="1"/>
    <s v="rcf"/>
    <m/>
  </r>
  <r>
    <s v="RCF Import"/>
    <s v="Imp 10-26-26"/>
    <s v="WB"/>
    <x v="13"/>
    <s v="Egra - I"/>
    <s v="User Not Mapped"/>
    <s v="User Not Mapped"/>
    <s v="User Not Mapped"/>
    <n v="280604"/>
    <s v="Sabuj Mita"/>
    <s v="Private Wholsaler"/>
    <s v="9932091544"/>
    <n v="36"/>
    <n v="65"/>
    <x v="2"/>
    <s v="'WS3125003668'"/>
    <s v="2026-02-21"/>
    <s v="1"/>
    <s v="rcf"/>
    <m/>
  </r>
  <r>
    <s v="RCF Thal"/>
    <s v="N.C.Urea(45kg)"/>
    <s v="WB"/>
    <x v="14"/>
    <s v="Beldanga - I"/>
    <s v="User Not Mapped"/>
    <s v="User Not Mapped"/>
    <s v="User Not Mapped"/>
    <n v="661791"/>
    <s v="KRISHI KALYAN"/>
    <s v="Private Wholsaler"/>
    <s v="9434640551"/>
    <n v="14.04"/>
    <n v="47"/>
    <x v="1"/>
    <s v="'2526RAMSDF1058'"/>
    <s v="2026-03-11"/>
    <s v="280775"/>
    <s v="R A Kheria"/>
    <s v="9830290085"/>
  </r>
  <r>
    <s v="RCF Trombay"/>
    <s v="N.C.Urea(45kg)"/>
    <s v="WB"/>
    <x v="14"/>
    <s v="Beldanga - I"/>
    <s v="User Not Mapped"/>
    <s v="User Not Mapped"/>
    <s v="User Not Mapped"/>
    <n v="1094758"/>
    <s v="JOLLY FERTILIZER"/>
    <s v="Private Wholsaler"/>
    <s v="9800196889"/>
    <n v="17.145"/>
    <n v="6"/>
    <x v="4"/>
    <s v="'ABURAIHAN/FY2526'"/>
    <s v="2026-04-21"/>
    <s v="280775"/>
    <s v="R A Kheria"/>
    <s v="9830290085"/>
  </r>
  <r>
    <s v="RCF Trombay"/>
    <s v="15-15-15"/>
    <s v="WB"/>
    <x v="14"/>
    <s v="Beldanga - I"/>
    <s v="User Not Mapped"/>
    <s v="User Not Mapped"/>
    <s v="User Not Mapped"/>
    <n v="1220445"/>
    <s v="MS ABDUR RAHAMAN"/>
    <s v="Private Wholsaler"/>
    <s v="7872545334"/>
    <n v="10"/>
    <n v="84"/>
    <x v="2"/>
    <s v="'2526RAMSDF0883'"/>
    <s v="2026-02-02"/>
    <s v="280775"/>
    <s v="R A Kheria"/>
    <s v="9830290085"/>
  </r>
  <r>
    <s v="RCF Thal"/>
    <s v="N.C.Urea(45kg)"/>
    <s v="WB"/>
    <x v="14"/>
    <s v="Beldanga - II"/>
    <s v="User Not Mapped"/>
    <s v="User Not Mapped"/>
    <s v="User Not Mapped"/>
    <n v="223286"/>
    <s v="Dutta Pramanik Enterprise"/>
    <s v="Private Wholsaler"/>
    <s v="9475520520"/>
    <n v="4.5"/>
    <n v="47"/>
    <x v="1"/>
    <s v="'2526RAMSDF1056'"/>
    <s v="2026-03-11"/>
    <s v="280775"/>
    <s v="R A Kheria"/>
    <s v="9830290085"/>
  </r>
  <r>
    <s v="RCF Trombay"/>
    <s v="15-15-15"/>
    <s v="WB"/>
    <x v="14"/>
    <s v="Berhampore"/>
    <s v="User Not Mapped"/>
    <s v="User Not Mapped"/>
    <s v="User Not Mapped"/>
    <n v="223293"/>
    <s v="Bisanka Chandra Mondal And Son"/>
    <s v="Private Wholsaler"/>
    <s v="9609521133"/>
    <n v="8"/>
    <n v="47"/>
    <x v="1"/>
    <s v="'WS3125004041'"/>
    <s v="2026-03-11"/>
    <s v="1"/>
    <s v="rcf"/>
    <m/>
  </r>
  <r>
    <s v="RCF Import"/>
    <s v="Imp 10-26-26"/>
    <s v="WB"/>
    <x v="14"/>
    <s v="Berhampore"/>
    <s v="User Not Mapped"/>
    <s v="User Not Mapped"/>
    <s v="User Not Mapped"/>
    <n v="223293"/>
    <s v="Bisanka Chandra Mondal And Son"/>
    <s v="Private Wholsaler"/>
    <s v="9609521133"/>
    <n v="37"/>
    <n v="48"/>
    <x v="1"/>
    <s v="'3125004005'"/>
    <s v="2026-03-10"/>
    <s v="1"/>
    <s v="rcf"/>
    <m/>
  </r>
  <r>
    <s v="RCF Import"/>
    <s v="Imp 10-26-26"/>
    <s v="WB"/>
    <x v="14"/>
    <s v="Berhampore"/>
    <s v="User Not Mapped"/>
    <s v="User Not Mapped"/>
    <s v="User Not Mapped"/>
    <n v="223293"/>
    <s v="Bisanka Chandra Mondal And Son"/>
    <s v="Private Wholsaler"/>
    <s v="9609521133"/>
    <n v="38.5"/>
    <n v="48"/>
    <x v="1"/>
    <s v="'3125004004'"/>
    <s v="2026-03-10"/>
    <s v="1"/>
    <s v="rcf"/>
    <m/>
  </r>
  <r>
    <s v="RCF Trombay"/>
    <s v="15-15-15"/>
    <s v="WB"/>
    <x v="14"/>
    <s v="Berhampore"/>
    <s v="User Not Mapped"/>
    <s v="User Not Mapped"/>
    <s v="User Not Mapped"/>
    <n v="223293"/>
    <s v="Bisanka Chandra Mondal And Son"/>
    <s v="Private Wholsaler"/>
    <s v="9609521133"/>
    <n v="50"/>
    <n v="47"/>
    <x v="1"/>
    <s v="'WS3125004045'"/>
    <s v="2026-03-11"/>
    <s v="1"/>
    <s v="rcf"/>
    <m/>
  </r>
  <r>
    <s v="RCF Trombay"/>
    <s v="N.C.Urea(45kg)"/>
    <s v="WB"/>
    <x v="14"/>
    <s v="Berhampore"/>
    <s v="User Not Mapped"/>
    <s v="User Not Mapped"/>
    <s v="User Not Mapped"/>
    <n v="223293"/>
    <s v="Bisanka Chandra Mondal And Son"/>
    <s v="Private Wholsaler"/>
    <s v="9609521133"/>
    <n v="8.2349999999999994"/>
    <n v="47"/>
    <x v="1"/>
    <s v="'WS3125004031'"/>
    <s v="2026-03-11"/>
    <s v="1"/>
    <s v="rcf"/>
    <m/>
  </r>
  <r>
    <s v="RCF Import"/>
    <s v="Imp 10-26-26"/>
    <s v="WB"/>
    <x v="14"/>
    <s v="Berhampore"/>
    <s v="User Not Mapped"/>
    <s v="User Not Mapped"/>
    <s v="User Not Mapped"/>
    <n v="280775"/>
    <s v="R A Kheria"/>
    <s v="Private Wholsaler"/>
    <s v="9830290085"/>
    <n v="29.7"/>
    <n v="28"/>
    <x v="4"/>
    <s v="'3125004114'"/>
    <s v="2026-03-30"/>
    <s v="1"/>
    <s v="rcf"/>
    <m/>
  </r>
  <r>
    <s v="RCF Import"/>
    <s v="Imp 10-26-26"/>
    <s v="WB"/>
    <x v="14"/>
    <s v="Berhampore"/>
    <s v="User Not Mapped"/>
    <s v="User Not Mapped"/>
    <s v="User Not Mapped"/>
    <n v="280775"/>
    <s v="R A Kheria"/>
    <s v="Private Wholsaler"/>
    <s v="9830290085"/>
    <n v="51"/>
    <n v="38"/>
    <x v="1"/>
    <s v="'3125004102'"/>
    <s v="2026-03-20"/>
    <s v="1"/>
    <s v="rcf"/>
    <m/>
  </r>
  <r>
    <s v="RCF Import"/>
    <s v="Imp 10-26-26"/>
    <s v="WB"/>
    <x v="14"/>
    <s v="Berhampore"/>
    <s v="User Not Mapped"/>
    <s v="User Not Mapped"/>
    <s v="User Not Mapped"/>
    <n v="280775"/>
    <s v="R A Kheria"/>
    <s v="Private Wholsaler"/>
    <s v="9830290085"/>
    <n v="51"/>
    <n v="38"/>
    <x v="1"/>
    <s v="'3125004101'"/>
    <s v="2026-03-20"/>
    <s v="1"/>
    <s v="rcf"/>
    <m/>
  </r>
  <r>
    <s v="RCF Import"/>
    <s v="Imp 10-26-26"/>
    <s v="WB"/>
    <x v="14"/>
    <s v="Berhampore"/>
    <s v="User Not Mapped"/>
    <s v="User Not Mapped"/>
    <s v="User Not Mapped"/>
    <n v="280775"/>
    <s v="R A Kheria"/>
    <s v="Private Wholsaler"/>
    <s v="9830290085"/>
    <n v="9"/>
    <n v="62"/>
    <x v="2"/>
    <s v="'3125003705'"/>
    <s v="2026-02-24"/>
    <s v="1"/>
    <s v="rcf"/>
    <m/>
  </r>
  <r>
    <s v="RCF Import"/>
    <s v="Imp 10-26-26"/>
    <s v="WB"/>
    <x v="14"/>
    <s v="Berhampore"/>
    <s v="User Not Mapped"/>
    <s v="User Not Mapped"/>
    <s v="User Not Mapped"/>
    <n v="280775"/>
    <s v="R A Kheria"/>
    <s v="Private Wholsaler"/>
    <s v="9830290085"/>
    <n v="55"/>
    <n v="30"/>
    <x v="4"/>
    <s v="'3125004112'"/>
    <s v="2026-03-28"/>
    <s v="1"/>
    <s v="rcf"/>
    <m/>
  </r>
  <r>
    <s v="RCF Thal"/>
    <s v="N.C.Urea(45kg)"/>
    <s v="WB"/>
    <x v="14"/>
    <s v="Berhampore"/>
    <s v="User Not Mapped"/>
    <s v="User Not Mapped"/>
    <s v="User Not Mapped"/>
    <n v="280775"/>
    <s v="R A Kheria"/>
    <s v="Private Wholsaler"/>
    <s v="9830290085"/>
    <n v="14.85"/>
    <n v="49"/>
    <x v="1"/>
    <s v="'WS3125003950'"/>
    <s v="2026-03-09"/>
    <s v="1"/>
    <s v="rcf"/>
    <m/>
  </r>
  <r>
    <s v="RCF Trombay"/>
    <s v="N.C.Urea(45kg)"/>
    <s v="WB"/>
    <x v="14"/>
    <s v="Berhampore"/>
    <s v="User Not Mapped"/>
    <s v="User Not Mapped"/>
    <s v="User Not Mapped"/>
    <n v="280775"/>
    <s v="R A Kheria"/>
    <s v="Private Wholsaler"/>
    <s v="9830290085"/>
    <n v="12.824999999999999"/>
    <n v="47"/>
    <x v="1"/>
    <s v="'WS3125004066'"/>
    <s v="2026-03-11"/>
    <s v="1"/>
    <s v="rcf"/>
    <m/>
  </r>
  <r>
    <s v="RCF Trombay"/>
    <s v="N.C.Urea(45kg)"/>
    <s v="WB"/>
    <x v="14"/>
    <s v="Berhampore"/>
    <s v="User Not Mapped"/>
    <s v="User Not Mapped"/>
    <s v="User Not Mapped"/>
    <n v="281698"/>
    <s v="Krishi Mahal"/>
    <s v="Private Wholsaler"/>
    <s v="8536856527"/>
    <n v="5.04"/>
    <n v="44"/>
    <x v="1"/>
    <s v="'2526RAMSDF1103'"/>
    <s v="2026-03-14"/>
    <s v="280775"/>
    <s v="R A Kheria"/>
    <s v="9830290085"/>
  </r>
  <r>
    <s v="RCF Import"/>
    <s v="Imp 10-26-26"/>
    <s v="WB"/>
    <x v="14"/>
    <s v="Berhampore"/>
    <s v="User Not Mapped"/>
    <s v="User Not Mapped"/>
    <s v="User Not Mapped"/>
    <n v="281698"/>
    <s v="Krishi Mahal"/>
    <s v="Private Wholsaler"/>
    <s v="8536856527"/>
    <n v="1.75"/>
    <n v="75"/>
    <x v="2"/>
    <s v="'2526RAMSDF0916'"/>
    <s v="2026-02-11"/>
    <s v="280775"/>
    <s v="R A Kheria"/>
    <s v="9830290085"/>
  </r>
  <r>
    <s v="RCF Thal"/>
    <s v="N.C.Urea(45kg)"/>
    <s v="WB"/>
    <x v="14"/>
    <s v="Berhampore"/>
    <s v="User Not Mapped"/>
    <s v="User Not Mapped"/>
    <s v="User Not Mapped"/>
    <n v="281698"/>
    <s v="Krishi Mahal"/>
    <s v="Private Wholsaler"/>
    <s v="8536856527"/>
    <n v="1.89"/>
    <n v="47"/>
    <x v="1"/>
    <s v="'2526RAMSDF1044'"/>
    <s v="2026-03-11"/>
    <s v="280775"/>
    <s v="R A Kheria"/>
    <s v="9830290085"/>
  </r>
  <r>
    <s v="RCF Thal"/>
    <s v="N.C.Urea(45kg)"/>
    <s v="WB"/>
    <x v="14"/>
    <s v="Berhampore"/>
    <s v="User Not Mapped"/>
    <s v="User Not Mapped"/>
    <s v="User Not Mapped"/>
    <n v="281704"/>
    <s v="Maa Fertilizer"/>
    <s v="Private Wholsaler"/>
    <s v="9800042039"/>
    <n v="54"/>
    <n v="49"/>
    <x v="1"/>
    <s v="'WS3125003933'"/>
    <s v="2026-03-09"/>
    <s v="1"/>
    <s v="rcf"/>
    <m/>
  </r>
  <r>
    <s v="RCF Import"/>
    <s v="Imp 10-26-26"/>
    <s v="WB"/>
    <x v="14"/>
    <s v="Berhampore"/>
    <s v="User Not Mapped"/>
    <s v="User Not Mapped"/>
    <s v="User Not Mapped"/>
    <n v="281704"/>
    <s v="Maa Fertilizer"/>
    <s v="Private Wholsaler"/>
    <s v="9800042039"/>
    <n v="1.35"/>
    <n v="59"/>
    <x v="1"/>
    <s v="'3125003750'"/>
    <s v="2026-02-27"/>
    <s v="1"/>
    <s v="rcf"/>
    <m/>
  </r>
  <r>
    <s v="RCF Thal"/>
    <s v="N.C.Urea(45kg)"/>
    <s v="WB"/>
    <x v="14"/>
    <s v="Berhampore"/>
    <s v="User Not Mapped"/>
    <s v="User Not Mapped"/>
    <s v="User Not Mapped"/>
    <n v="281704"/>
    <s v="Maa Fertilizer"/>
    <s v="Private Wholsaler"/>
    <s v="9800042039"/>
    <n v="16.245000000000001"/>
    <n v="49"/>
    <x v="1"/>
    <s v="'WS3125003945'"/>
    <s v="2026-03-09"/>
    <s v="1"/>
    <s v="rcf"/>
    <m/>
  </r>
  <r>
    <s v="RCF Import"/>
    <s v="Imp 10-26-26"/>
    <s v="WB"/>
    <x v="14"/>
    <s v="Berhampore"/>
    <s v="User Not Mapped"/>
    <s v="User Not Mapped"/>
    <s v="User Not Mapped"/>
    <n v="281704"/>
    <s v="Maa Fertilizer"/>
    <s v="Private Wholsaler"/>
    <s v="9800042039"/>
    <n v="16"/>
    <n v="39"/>
    <x v="1"/>
    <s v="'3125004097'"/>
    <s v="2026-03-19"/>
    <s v="1"/>
    <s v="rcf"/>
    <m/>
  </r>
  <r>
    <s v="RCF Trombay"/>
    <s v="N.C.Urea(45kg)"/>
    <s v="WB"/>
    <x v="14"/>
    <s v="Berhampore"/>
    <s v="User Not Mapped"/>
    <s v="User Not Mapped"/>
    <s v="User Not Mapped"/>
    <n v="281704"/>
    <s v="Maa Fertilizer"/>
    <s v="Private Wholsaler"/>
    <s v="9800042039"/>
    <n v="4.9950000000000001"/>
    <n v="47"/>
    <x v="1"/>
    <s v="'WS3125004010'"/>
    <s v="2026-03-11"/>
    <s v="1"/>
    <s v="rcf"/>
    <m/>
  </r>
  <r>
    <s v="RCF Import"/>
    <s v="Imp 10-26-26"/>
    <s v="WB"/>
    <x v="14"/>
    <s v="Berhampore"/>
    <s v="User Not Mapped"/>
    <s v="User Not Mapped"/>
    <s v="User Not Mapped"/>
    <n v="281704"/>
    <s v="Maa Fertilizer"/>
    <s v="Private Wholsaler"/>
    <s v="9800042039"/>
    <n v="16"/>
    <n v="35"/>
    <x v="1"/>
    <s v="'3125004103'"/>
    <s v="2026-03-23"/>
    <s v="1"/>
    <s v="rcf"/>
    <m/>
  </r>
  <r>
    <s v="RCF Trombay"/>
    <s v="15-15-15"/>
    <s v="WB"/>
    <x v="14"/>
    <s v="Berhampore"/>
    <s v="User Not Mapped"/>
    <s v="User Not Mapped"/>
    <s v="User Not Mapped"/>
    <n v="281704"/>
    <s v="Maa Fertilizer"/>
    <s v="Private Wholsaler"/>
    <s v="9800042039"/>
    <n v="26"/>
    <n v="16"/>
    <x v="4"/>
    <s v="'1557'"/>
    <s v="2026-04-11"/>
    <s v="888407"/>
    <s v="MAA FERTILIZER"/>
    <s v="9800042039"/>
  </r>
  <r>
    <s v="RCF Import"/>
    <s v="Imp 10-26-26"/>
    <s v="WB"/>
    <x v="14"/>
    <s v="Berhampore"/>
    <s v="User Not Mapped"/>
    <s v="User Not Mapped"/>
    <s v="User Not Mapped"/>
    <n v="281704"/>
    <s v="Maa Fertilizer"/>
    <s v="Private Wholsaler"/>
    <s v="9800042039"/>
    <n v="10"/>
    <n v="34"/>
    <x v="1"/>
    <s v="'3125004104'"/>
    <s v="2026-03-24"/>
    <s v="1"/>
    <s v="rcf"/>
    <m/>
  </r>
  <r>
    <s v="RCF Import"/>
    <s v="Imp 10-26-26"/>
    <s v="WB"/>
    <x v="14"/>
    <s v="Berhampore"/>
    <s v="User Not Mapped"/>
    <s v="User Not Mapped"/>
    <s v="User Not Mapped"/>
    <n v="281704"/>
    <s v="Maa Fertilizer"/>
    <s v="Private Wholsaler"/>
    <s v="9800042039"/>
    <n v="10"/>
    <n v="53"/>
    <x v="1"/>
    <s v="'3125003809'"/>
    <s v="2026-03-05"/>
    <s v="1"/>
    <s v="rcf"/>
    <m/>
  </r>
  <r>
    <s v="RCF Trombay"/>
    <s v="15-15-15"/>
    <s v="WB"/>
    <x v="14"/>
    <s v="Berhampore"/>
    <s v="User Not Mapped"/>
    <s v="User Not Mapped"/>
    <s v="User Not Mapped"/>
    <n v="289315"/>
    <s v="M/S Monoranjan Dey"/>
    <s v="Private Wholsaler"/>
    <s v="9733893312"/>
    <n v="20"/>
    <n v="47"/>
    <x v="1"/>
    <s v="'WS3125004059'"/>
    <s v="2026-03-11"/>
    <s v="1"/>
    <s v="rcf"/>
    <m/>
  </r>
  <r>
    <s v="RCF Trombay"/>
    <s v="15-15-15"/>
    <s v="WB"/>
    <x v="14"/>
    <s v="Berhampore"/>
    <s v="User Not Mapped"/>
    <s v="User Not Mapped"/>
    <s v="User Not Mapped"/>
    <n v="596479"/>
    <s v="M/S RANA FERTILISERS STORES"/>
    <s v="Private Wholsaler"/>
    <s v="8350079945"/>
    <n v="10.5"/>
    <n v="44"/>
    <x v="1"/>
    <s v="'2526RAMSDF1080'"/>
    <s v="2026-03-14"/>
    <s v="280775"/>
    <s v="R A Kheria"/>
    <s v="9830290085"/>
  </r>
  <r>
    <s v="RCF Trombay"/>
    <s v="15-15-15"/>
    <s v="WB"/>
    <x v="14"/>
    <s v="Berhampore"/>
    <s v="User Not Mapped"/>
    <s v="User Not Mapped"/>
    <s v="User Not Mapped"/>
    <n v="1225743"/>
    <s v="MS BISWAS FERTILIZER"/>
    <s v="Private Wholsaler"/>
    <s v="9735978597"/>
    <n v="5.9749999999999996"/>
    <n v="84"/>
    <x v="2"/>
    <s v="'2526RAMSDF0888'"/>
    <s v="2026-02-02"/>
    <s v="280775"/>
    <s v="R A Kheria"/>
    <s v="9830290085"/>
  </r>
  <r>
    <s v="RCF Trombay"/>
    <s v="N.C.Urea(45kg)"/>
    <s v="WB"/>
    <x v="14"/>
    <s v="Berhampore"/>
    <s v="User Not Mapped"/>
    <s v="User Not Mapped"/>
    <s v="User Not Mapped"/>
    <n v="1225743"/>
    <s v="MS BISWAS FERTILIZER"/>
    <s v="Private Wholsaler"/>
    <s v="9735978597"/>
    <n v="2.97"/>
    <n v="84"/>
    <x v="2"/>
    <s v="'2526RAMSDF0878'"/>
    <s v="2026-02-02"/>
    <s v="280775"/>
    <s v="R A Kheria"/>
    <s v="9830290085"/>
  </r>
  <r>
    <s v="RCF Trombay"/>
    <s v="15-15-15"/>
    <s v="WB"/>
    <x v="14"/>
    <s v="Berhampore"/>
    <s v="User Not Mapped"/>
    <s v="User Not Mapped"/>
    <s v="User Not Mapped"/>
    <n v="1225743"/>
    <s v="MS BISWAS FERTILIZER"/>
    <s v="Private Wholsaler"/>
    <s v="9735978597"/>
    <n v="25"/>
    <n v="25"/>
    <x v="4"/>
    <s v="'2526USPKSLG0'"/>
    <s v="2026-04-02"/>
    <s v="1409662"/>
    <s v="UMA SHANKAR PRADIP KUMAR"/>
    <s v="9831636631"/>
  </r>
  <r>
    <s v="RCF Trombay"/>
    <s v="N.C.Urea(45kg)"/>
    <s v="WB"/>
    <x v="14"/>
    <s v="Berhampore"/>
    <s v="User Not Mapped"/>
    <s v="User Not Mapped"/>
    <s v="User Not Mapped"/>
    <n v="1225743"/>
    <s v="MS BISWAS FERTILIZER"/>
    <s v="Private Wholsaler"/>
    <s v="9735978597"/>
    <n v="9.99"/>
    <n v="84"/>
    <x v="2"/>
    <s v="'2526RAMSDF0879'"/>
    <s v="2026-02-02"/>
    <s v="280775"/>
    <s v="R A Kheria"/>
    <s v="9830290085"/>
  </r>
  <r>
    <s v="RCF Trombay"/>
    <s v="15-15-15"/>
    <s v="WB"/>
    <x v="14"/>
    <s v="Berhampore"/>
    <s v="User Not Mapped"/>
    <s v="User Not Mapped"/>
    <s v="User Not Mapped"/>
    <n v="1225743"/>
    <s v="MS BISWAS FERTILIZER"/>
    <s v="Private Wholsaler"/>
    <s v="9735978597"/>
    <n v="10"/>
    <n v="84"/>
    <x v="2"/>
    <s v="'2526RAMSDF0889'"/>
    <s v="2026-02-02"/>
    <s v="280775"/>
    <s v="R A Kheria"/>
    <s v="9830290085"/>
  </r>
  <r>
    <s v="RCF Trombay"/>
    <s v="15-15-15"/>
    <s v="WB"/>
    <x v="14"/>
    <s v="Berhampore"/>
    <s v="User Not Mapped"/>
    <s v="User Not Mapped"/>
    <s v="User Not Mapped"/>
    <n v="1225743"/>
    <s v="MS BISWAS FERTILIZER"/>
    <s v="Private Wholsaler"/>
    <s v="9735978597"/>
    <n v="21"/>
    <n v="44"/>
    <x v="1"/>
    <s v="'2526RAMSDF1081'"/>
    <s v="2026-03-14"/>
    <s v="280775"/>
    <s v="R A Kheria"/>
    <s v="9830290085"/>
  </r>
  <r>
    <s v="RCF Thal"/>
    <s v="N.C.Urea(45kg)"/>
    <s v="WB"/>
    <x v="14"/>
    <s v="Berhampore"/>
    <s v="User Not Mapped"/>
    <s v="User Not Mapped"/>
    <s v="User Not Mapped"/>
    <n v="1225743"/>
    <s v="MS BISWAS FERTILIZER"/>
    <s v="Private Wholsaler"/>
    <s v="9735978597"/>
    <n v="12.96"/>
    <n v="47"/>
    <x v="1"/>
    <s v="'2526RAMSDF1060'"/>
    <s v="2026-03-11"/>
    <s v="280775"/>
    <s v="R A Kheria"/>
    <s v="9830290085"/>
  </r>
  <r>
    <s v="RCF Thal"/>
    <s v="N.C.Urea(45kg)"/>
    <s v="WB"/>
    <x v="14"/>
    <s v="Berhampore"/>
    <s v="User Not Mapped"/>
    <s v="User Not Mapped"/>
    <s v="User Not Mapped"/>
    <n v="1463904"/>
    <s v="DEB NARAYAN BARAL"/>
    <s v="Private Wholsaler"/>
    <s v="7585040500"/>
    <n v="2.52"/>
    <n v="47"/>
    <x v="1"/>
    <s v="'2526RAMSDF1039'"/>
    <s v="2026-03-11"/>
    <s v="280775"/>
    <s v="R A Kheria"/>
    <s v="9830290085"/>
  </r>
  <r>
    <s v="RCF Trombay"/>
    <s v="15-15-15"/>
    <s v="WB"/>
    <x v="14"/>
    <s v="Bhagawangola - II"/>
    <s v="User Not Mapped"/>
    <s v="User Not Mapped"/>
    <s v="User Not Mapped"/>
    <n v="1159343"/>
    <s v="M/S TOHADDESH ALI"/>
    <s v="Private Wholsaler"/>
    <s v="9932007562"/>
    <n v="10"/>
    <n v="44"/>
    <x v="1"/>
    <s v="'2526RAMSDF1082'"/>
    <s v="2026-03-14"/>
    <s v="280775"/>
    <s v="R A Kheria"/>
    <s v="9830290085"/>
  </r>
  <r>
    <s v="RCF Import"/>
    <s v="Imp 10-26-26"/>
    <s v="WB"/>
    <x v="14"/>
    <s v="Burwan"/>
    <s v="User Not Mapped"/>
    <s v="User Not Mapped"/>
    <s v="User Not Mapped"/>
    <n v="876174"/>
    <s v="CHAND GOPAL PAUL"/>
    <s v="Private Wholsaler"/>
    <s v="9732975001"/>
    <n v="7"/>
    <n v="75"/>
    <x v="2"/>
    <s v="'1507'"/>
    <s v="2026-02-11"/>
    <s v="281704"/>
    <s v="Maa Fertilizer"/>
    <s v="9800042039"/>
  </r>
  <r>
    <s v="RCF Import"/>
    <s v="Imp 10-26-26"/>
    <s v="WB"/>
    <x v="14"/>
    <s v="Jalangi"/>
    <s v="User Not Mapped"/>
    <s v="User Not Mapped"/>
    <s v="User Not Mapped"/>
    <n v="1116229"/>
    <s v="SAIFUL ISLAM"/>
    <s v="Private Wholsaler"/>
    <s v="9733591556"/>
    <n v="7"/>
    <n v="74"/>
    <x v="2"/>
    <s v="'4368'"/>
    <s v="2026-02-12"/>
    <s v="223292"/>
    <s v="M/s. Gouri Sankar Mandal"/>
    <s v="7365965125"/>
  </r>
  <r>
    <s v="RCF Trombay"/>
    <s v="15-15-15"/>
    <s v="WB"/>
    <x v="14"/>
    <s v="Jalangi"/>
    <s v="User Not Mapped"/>
    <s v="User Not Mapped"/>
    <s v="User Not Mapped"/>
    <n v="1116229"/>
    <s v="SAIFUL ISLAM"/>
    <s v="Private Wholsaler"/>
    <s v="9733591556"/>
    <n v="7"/>
    <n v="89"/>
    <x v="2"/>
    <s v="'04123'"/>
    <s v="2026-01-28"/>
    <s v="223292"/>
    <s v="M/s. Gouri Sankar Mandal"/>
    <s v="7365965125"/>
  </r>
  <r>
    <s v="RCF Import"/>
    <s v="Imp 10-26-26"/>
    <s v="WB"/>
    <x v="14"/>
    <s v="Jalangi"/>
    <s v="User Not Mapped"/>
    <s v="User Not Mapped"/>
    <s v="User Not Mapped"/>
    <n v="1557438"/>
    <s v="DEBASHIS SAHA"/>
    <s v="Private Wholsaler"/>
    <s v="9732566286"/>
    <n v="10"/>
    <n v="75"/>
    <x v="2"/>
    <s v="'1508'"/>
    <s v="2026-02-11"/>
    <s v="281704"/>
    <s v="Maa Fertilizer"/>
    <s v="9800042039"/>
  </r>
  <r>
    <s v="RCF Thal"/>
    <s v="N.C.Urea(45kg)"/>
    <s v="WB"/>
    <x v="14"/>
    <s v="Jalangi"/>
    <s v="User Not Mapped"/>
    <s v="User Not Mapped"/>
    <s v="User Not Mapped"/>
    <n v="1557438"/>
    <s v="DEBASHIS SAHA"/>
    <s v="Private Wholsaler"/>
    <s v="9732566286"/>
    <n v="14.13"/>
    <n v="44"/>
    <x v="1"/>
    <s v="'1532'"/>
    <s v="2026-03-14"/>
    <s v="281704"/>
    <s v="Maa Fertilizer"/>
    <s v="9800042039"/>
  </r>
  <r>
    <s v="RCF Trombay"/>
    <s v="15-15-15"/>
    <s v="WB"/>
    <x v="14"/>
    <s v="Jalangi"/>
    <s v="User Not Mapped"/>
    <s v="User Not Mapped"/>
    <s v="User Not Mapped"/>
    <n v="1557438"/>
    <s v="DEBASHIS SAHA"/>
    <s v="Private Wholsaler"/>
    <s v="9732566286"/>
    <n v="13"/>
    <n v="44"/>
    <x v="1"/>
    <s v="'1535'"/>
    <s v="2026-03-14"/>
    <s v="281704"/>
    <s v="Maa Fertilizer"/>
    <s v="9800042039"/>
  </r>
  <r>
    <s v="RCF Trombay"/>
    <s v="N.C.Urea(45kg)"/>
    <s v="WB"/>
    <x v="14"/>
    <s v="Jalangi"/>
    <s v="User Not Mapped"/>
    <s v="User Not Mapped"/>
    <s v="User Not Mapped"/>
    <n v="1557438"/>
    <s v="DEBASHIS SAHA"/>
    <s v="Private Wholsaler"/>
    <s v="9732566286"/>
    <n v="1.89"/>
    <n v="44"/>
    <x v="1"/>
    <s v="'1534'"/>
    <s v="2026-03-14"/>
    <s v="281704"/>
    <s v="Maa Fertilizer"/>
    <s v="9800042039"/>
  </r>
  <r>
    <s v="RCF Thal"/>
    <s v="N.C.Urea(45kg)"/>
    <s v="WB"/>
    <x v="14"/>
    <s v="Kandi"/>
    <s v="User Not Mapped"/>
    <s v="User Not Mapped"/>
    <s v="User Not Mapped"/>
    <n v="211681"/>
    <s v="Md. Giasuddin Sk"/>
    <s v="Private Wholsaler"/>
    <s v="9734652237"/>
    <n v="10.574999999999999"/>
    <n v="47"/>
    <x v="1"/>
    <s v="'368'"/>
    <s v="2026-03-11"/>
    <s v="262597"/>
    <s v="M/S JOY SHANKAR DUTTA AND SONS"/>
    <s v="9433002237"/>
  </r>
  <r>
    <s v="RCF Thal"/>
    <s v="N.C.Urea(45kg)"/>
    <s v="WB"/>
    <x v="14"/>
    <s v="Lalgola"/>
    <s v="User Not Mapped"/>
    <s v="User Not Mapped"/>
    <s v="User Not Mapped"/>
    <n v="1116227"/>
    <s v="KISHAN BANDHU"/>
    <s v="Private Wholsaler"/>
    <s v="9732811913"/>
    <n v="9.99"/>
    <n v="47"/>
    <x v="1"/>
    <s v="'2526RAMSDF1037'"/>
    <s v="2026-03-11"/>
    <s v="280775"/>
    <s v="R A Kheria"/>
    <s v="9830290085"/>
  </r>
  <r>
    <s v="RCF Trombay"/>
    <s v="N.C.Urea(45kg)"/>
    <s v="WB"/>
    <x v="14"/>
    <s v="Lalgola"/>
    <s v="User Not Mapped"/>
    <s v="User Not Mapped"/>
    <s v="User Not Mapped"/>
    <n v="1116227"/>
    <s v="KISHAN BANDHU"/>
    <s v="Private Wholsaler"/>
    <s v="9732811913"/>
    <n v="14.04"/>
    <n v="84"/>
    <x v="2"/>
    <s v="'2526RAMSDF0865'"/>
    <s v="2026-02-02"/>
    <s v="280775"/>
    <s v="R A Kheria"/>
    <s v="9830290085"/>
  </r>
  <r>
    <s v="RCF Thal"/>
    <s v="N.C.Urea(45kg)"/>
    <s v="WB"/>
    <x v="14"/>
    <s v="Lalgola"/>
    <s v="User Not Mapped"/>
    <s v="User Not Mapped"/>
    <s v="User Not Mapped"/>
    <n v="1116227"/>
    <s v="KISHAN BANDHU"/>
    <s v="Private Wholsaler"/>
    <s v="9732811913"/>
    <n v="7.02"/>
    <n v="47"/>
    <x v="1"/>
    <s v="'2526RAMSDF1036'"/>
    <s v="2026-03-11"/>
    <s v="280775"/>
    <s v="R A Kheria"/>
    <s v="9830290085"/>
  </r>
  <r>
    <s v="RCF Import"/>
    <s v="Imp 10-26-26"/>
    <s v="WB"/>
    <x v="14"/>
    <s v="Murshidabad Jiaganj"/>
    <s v="User Not Mapped"/>
    <s v="User Not Mapped"/>
    <s v="User Not Mapped"/>
    <n v="465152"/>
    <s v="Keshri Mal Jain"/>
    <s v="Private Wholsaler"/>
    <s v="9932820672"/>
    <n v="2.5"/>
    <n v="84"/>
    <x v="2"/>
    <s v="'WS3125003218'"/>
    <s v="2026-02-02"/>
    <s v="1"/>
    <s v="rcf"/>
    <m/>
  </r>
  <r>
    <s v="RCF Trombay"/>
    <s v="N.C.Urea(45kg)"/>
    <s v="WB"/>
    <x v="14"/>
    <s v="Nabagram"/>
    <s v="User Not Mapped"/>
    <s v="User Not Mapped"/>
    <s v="User Not Mapped"/>
    <n v="223292"/>
    <s v="M/s. Gouri Sankar Mandal"/>
    <s v="Private Wholsaler"/>
    <s v="7365965125"/>
    <n v="6.6150000000000002"/>
    <n v="47"/>
    <x v="1"/>
    <s v="'WS3125004052'"/>
    <s v="2026-03-11"/>
    <s v="1"/>
    <s v="rcf"/>
    <m/>
  </r>
  <r>
    <s v="RCF Import"/>
    <s v="Imp 10-26-26"/>
    <s v="WB"/>
    <x v="14"/>
    <s v="Nabagram"/>
    <s v="User Not Mapped"/>
    <s v="User Not Mapped"/>
    <s v="User Not Mapped"/>
    <n v="223292"/>
    <s v="M/s. Gouri Sankar Mandal"/>
    <s v="Private Wholsaler"/>
    <s v="7365965125"/>
    <n v="46"/>
    <n v="63"/>
    <x v="2"/>
    <s v="'3125003663'"/>
    <s v="2026-02-23"/>
    <s v="1"/>
    <s v="rcf"/>
    <m/>
  </r>
  <r>
    <s v="RCF Trombay"/>
    <s v="15-15-15"/>
    <s v="WB"/>
    <x v="14"/>
    <s v="Nabagram"/>
    <s v="User Not Mapped"/>
    <s v="User Not Mapped"/>
    <s v="User Not Mapped"/>
    <n v="223292"/>
    <s v="M/s. Gouri Sankar Mandal"/>
    <s v="Private Wholsaler"/>
    <s v="7365965125"/>
    <n v="54"/>
    <n v="47"/>
    <x v="1"/>
    <s v="'WS3125004054'"/>
    <s v="2026-03-11"/>
    <s v="1"/>
    <s v="rcf"/>
    <m/>
  </r>
  <r>
    <s v="RCF Import"/>
    <s v="Imp 10-26-26"/>
    <s v="WB"/>
    <x v="14"/>
    <s v="Nabagram"/>
    <s v="User Not Mapped"/>
    <s v="User Not Mapped"/>
    <s v="User Not Mapped"/>
    <n v="223292"/>
    <s v="M/s. Gouri Sankar Mandal"/>
    <s v="Private Wholsaler"/>
    <s v="7365965125"/>
    <n v="50"/>
    <n v="63"/>
    <x v="2"/>
    <s v="'3125003700'"/>
    <s v="2026-02-23"/>
    <s v="1"/>
    <s v="rcf"/>
    <m/>
  </r>
  <r>
    <s v="RCF Import"/>
    <s v="Imp 10-26-26"/>
    <s v="WB"/>
    <x v="14"/>
    <s v="Nabagram"/>
    <s v="User Not Mapped"/>
    <s v="User Not Mapped"/>
    <s v="User Not Mapped"/>
    <n v="223292"/>
    <s v="M/s. Gouri Sankar Mandal"/>
    <s v="Private Wholsaler"/>
    <s v="7365965125"/>
    <n v="10"/>
    <n v="38"/>
    <x v="1"/>
    <s v="'3125004098'"/>
    <s v="2026-03-20"/>
    <s v="1"/>
    <s v="rcf"/>
    <m/>
  </r>
  <r>
    <s v="RCF Trombay"/>
    <s v="15-15-15"/>
    <s v="WB"/>
    <x v="14"/>
    <s v="Nabagram"/>
    <s v="User Not Mapped"/>
    <s v="User Not Mapped"/>
    <s v="User Not Mapped"/>
    <n v="223292"/>
    <s v="M/s. Gouri Sankar Mandal"/>
    <s v="Private Wholsaler"/>
    <s v="7365965125"/>
    <n v="43.25"/>
    <n v="47"/>
    <x v="1"/>
    <s v="'WS3125004057'"/>
    <s v="2026-03-11"/>
    <s v="1"/>
    <s v="rcf"/>
    <m/>
  </r>
  <r>
    <s v="RCF Import"/>
    <s v="Imp 10-26-26"/>
    <s v="WB"/>
    <x v="14"/>
    <s v="Nabagram"/>
    <s v="User Not Mapped"/>
    <s v="User Not Mapped"/>
    <s v="User Not Mapped"/>
    <n v="223292"/>
    <s v="M/s. Gouri Sankar Mandal"/>
    <s v="Private Wholsaler"/>
    <s v="7365965125"/>
    <n v="20"/>
    <n v="63"/>
    <x v="2"/>
    <s v="'3125003701'"/>
    <s v="2026-02-23"/>
    <s v="1"/>
    <s v="rcf"/>
    <m/>
  </r>
  <r>
    <s v="RCF Thal"/>
    <s v="N.C.Urea(45kg)"/>
    <s v="WB"/>
    <x v="14"/>
    <s v="Nabagram"/>
    <s v="User Not Mapped"/>
    <s v="User Not Mapped"/>
    <s v="User Not Mapped"/>
    <n v="281697"/>
    <s v="Md Samiruddin"/>
    <s v="Private Wholsaler"/>
    <s v="7550808353"/>
    <n v="15.21"/>
    <n v="47"/>
    <x v="1"/>
    <s v="'2526RAMSDF1042'"/>
    <s v="2026-03-11"/>
    <s v="280775"/>
    <s v="R A Kheria"/>
    <s v="9830290085"/>
  </r>
  <r>
    <s v="RCF Thal"/>
    <s v="N.C.Urea(45kg)"/>
    <s v="WB"/>
    <x v="14"/>
    <s v="Nabagram"/>
    <s v="User Not Mapped"/>
    <s v="User Not Mapped"/>
    <s v="User Not Mapped"/>
    <n v="281697"/>
    <s v="Md Samiruddin"/>
    <s v="Private Wholsaler"/>
    <s v="7550808353"/>
    <n v="23.49"/>
    <n v="44"/>
    <x v="1"/>
    <s v="'1530'"/>
    <s v="2026-03-14"/>
    <s v="281704"/>
    <s v="Maa Fertilizer"/>
    <s v="9800042039"/>
  </r>
  <r>
    <s v="RCF Trombay"/>
    <s v="15-15-15"/>
    <s v="WB"/>
    <x v="14"/>
    <s v="Raninagar - I"/>
    <s v="User Not Mapped"/>
    <s v="User Not Mapped"/>
    <s v="User Not Mapped"/>
    <n v="289319"/>
    <s v="Utpal Kumar Dutta"/>
    <s v="Private Wholsaler"/>
    <s v="9434173910"/>
    <n v="2"/>
    <n v="44"/>
    <x v="1"/>
    <s v="'1537'"/>
    <s v="2026-03-14"/>
    <s v="281704"/>
    <s v="Maa Fertilizer"/>
    <s v="9800042039"/>
  </r>
  <r>
    <s v="RCF Trombay"/>
    <s v="N.C.Urea(45kg)"/>
    <s v="WB"/>
    <x v="14"/>
    <s v="Raninagar - I"/>
    <s v="User Not Mapped"/>
    <s v="User Not Mapped"/>
    <s v="User Not Mapped"/>
    <n v="289319"/>
    <s v="Utpal Kumar Dutta"/>
    <s v="Private Wholsaler"/>
    <s v="9434173910"/>
    <n v="2.52"/>
    <n v="44"/>
    <x v="1"/>
    <s v="'1536'"/>
    <s v="2026-03-14"/>
    <s v="281704"/>
    <s v="Maa Fertilizer"/>
    <s v="9800042039"/>
  </r>
  <r>
    <s v="RCF Thal"/>
    <s v="N.C.Urea(45kg)"/>
    <s v="WB"/>
    <x v="14"/>
    <s v="Raninagar - II"/>
    <s v="User Not Mapped"/>
    <s v="User Not Mapped"/>
    <s v="User Not Mapped"/>
    <n v="1138964"/>
    <s v="RAKESH FERTILIZER"/>
    <s v="Private Wholsaler"/>
    <s v="9733026828"/>
    <n v="17.010000000000002"/>
    <n v="32"/>
    <x v="1"/>
    <s v="'2526RAMSDF1064'"/>
    <s v="2026-03-26"/>
    <s v="280775"/>
    <s v="R A Kheria"/>
    <s v="9830290085"/>
  </r>
  <r>
    <s v="RCF Thal"/>
    <s v="N.C.Urea(45kg)"/>
    <s v="WB"/>
    <x v="14"/>
    <s v="Raninagar - II"/>
    <s v="User Not Mapped"/>
    <s v="User Not Mapped"/>
    <s v="User Not Mapped"/>
    <n v="1138964"/>
    <s v="RAKESH FERTILIZER"/>
    <s v="Private Wholsaler"/>
    <s v="9733026828"/>
    <n v="4.68"/>
    <n v="32"/>
    <x v="1"/>
    <s v="'2526RAMSDF1063'"/>
    <s v="2026-03-26"/>
    <s v="280775"/>
    <s v="R A Kheria"/>
    <s v="9830290085"/>
  </r>
  <r>
    <s v="RCF Trombay"/>
    <s v="15-15-15"/>
    <s v="WB"/>
    <x v="14"/>
    <s v="Raninagar - II"/>
    <s v="User Not Mapped"/>
    <s v="User Not Mapped"/>
    <s v="User Not Mapped"/>
    <n v="1138964"/>
    <s v="RAKESH FERTILIZER"/>
    <s v="Private Wholsaler"/>
    <s v="9733026828"/>
    <n v="43"/>
    <n v="41"/>
    <x v="1"/>
    <s v="'4969-4971'"/>
    <s v="2026-03-17"/>
    <s v="223292"/>
    <s v="M/s. Gouri Sankar Mandal"/>
    <s v="7365965125"/>
  </r>
  <r>
    <s v="RCF Trombay"/>
    <s v="N.C.Urea(45kg)"/>
    <s v="WB"/>
    <x v="14"/>
    <s v="Raninagar - II"/>
    <s v="User Not Mapped"/>
    <s v="User Not Mapped"/>
    <s v="User Not Mapped"/>
    <n v="1138964"/>
    <s v="RAKESH FERTILIZER"/>
    <s v="Private Wholsaler"/>
    <s v="9733026828"/>
    <n v="9.0449999999999999"/>
    <n v="44"/>
    <x v="1"/>
    <s v="'2526RAMSDF1097'"/>
    <s v="2026-03-14"/>
    <s v="280775"/>
    <s v="R A Kheria"/>
    <s v="9830290085"/>
  </r>
  <r>
    <s v="RCF Trombay"/>
    <s v="15-15-15"/>
    <s v="WB"/>
    <x v="14"/>
    <s v="Sagardighi"/>
    <s v="User Not Mapped"/>
    <s v="User Not Mapped"/>
    <s v="User Not Mapped"/>
    <n v="223281"/>
    <s v="M/s. Padam Chand"/>
    <s v="Private Wholsaler"/>
    <s v="9434009550"/>
    <n v="11.5"/>
    <n v="47"/>
    <x v="1"/>
    <s v="'WS3125004033'"/>
    <s v="2026-03-11"/>
    <s v="1"/>
    <s v="rcf"/>
    <m/>
  </r>
  <r>
    <s v="RCF Trombay"/>
    <s v="N.C.Urea(45kg)"/>
    <s v="WB"/>
    <x v="14"/>
    <s v="Sagardighi"/>
    <s v="User Not Mapped"/>
    <s v="User Not Mapped"/>
    <s v="User Not Mapped"/>
    <n v="223281"/>
    <s v="M/s. Padam Chand"/>
    <s v="Private Wholsaler"/>
    <s v="9434009550"/>
    <n v="12.33"/>
    <n v="44"/>
    <x v="1"/>
    <s v="'2526RAMSDF1102'"/>
    <s v="2026-03-14"/>
    <s v="280775"/>
    <s v="R A Kheria"/>
    <s v="9830290085"/>
  </r>
  <r>
    <s v="RCF Import"/>
    <s v="Imp 10-26-26"/>
    <s v="WB"/>
    <x v="14"/>
    <s v="Sagardighi"/>
    <s v="User Not Mapped"/>
    <s v="User Not Mapped"/>
    <s v="User Not Mapped"/>
    <n v="223281"/>
    <s v="M/s. Padam Chand"/>
    <s v="Private Wholsaler"/>
    <s v="9434009550"/>
    <n v="4"/>
    <n v="84"/>
    <x v="2"/>
    <s v="'WS3125003223'"/>
    <s v="2026-02-02"/>
    <s v="1"/>
    <s v="rcf"/>
    <m/>
  </r>
  <r>
    <s v="RCF Trombay"/>
    <s v="N.C.Urea(45kg)"/>
    <s v="WB"/>
    <x v="14"/>
    <s v="Sagardighi"/>
    <s v="User Not Mapped"/>
    <s v="User Not Mapped"/>
    <s v="User Not Mapped"/>
    <n v="223281"/>
    <s v="M/s. Padam Chand"/>
    <s v="Private Wholsaler"/>
    <s v="9434009550"/>
    <n v="12.33"/>
    <n v="44"/>
    <x v="1"/>
    <s v="'2526RAMSDF1101'"/>
    <s v="2026-03-14"/>
    <s v="280775"/>
    <s v="R A Kheria"/>
    <s v="9830290085"/>
  </r>
  <r>
    <s v="RCF Trombay"/>
    <s v="N.C.Urea(45kg)"/>
    <s v="WB"/>
    <x v="14"/>
    <s v="Sagardighi"/>
    <s v="User Not Mapped"/>
    <s v="User Not Mapped"/>
    <s v="User Not Mapped"/>
    <n v="223281"/>
    <s v="M/s. Padam Chand"/>
    <s v="Private Wholsaler"/>
    <s v="9434009550"/>
    <n v="7.56"/>
    <n v="44"/>
    <x v="1"/>
    <s v="'2526RAMSDF1100'"/>
    <s v="2026-03-14"/>
    <s v="280775"/>
    <s v="R A Kheria"/>
    <s v="9830290085"/>
  </r>
  <r>
    <s v="RCF Import"/>
    <s v="Imp 10-26-26"/>
    <s v="WB"/>
    <x v="14"/>
    <s v="Sagardighi"/>
    <s v="User Not Mapped"/>
    <s v="User Not Mapped"/>
    <s v="User Not Mapped"/>
    <n v="223281"/>
    <s v="M/s. Padam Chand"/>
    <s v="Private Wholsaler"/>
    <s v="9434009550"/>
    <n v="9.5"/>
    <n v="44"/>
    <x v="1"/>
    <s v="'BCMS/F502/25-26'"/>
    <s v="2026-03-14"/>
    <s v="223293"/>
    <s v="Bisanka Chandra Mondal And Son"/>
    <s v="9609521133"/>
  </r>
  <r>
    <s v="RCF Thal"/>
    <s v="N.C.Urea(45kg)"/>
    <s v="WB"/>
    <x v="14"/>
    <s v="Sagardighi"/>
    <s v="User Not Mapped"/>
    <s v="User Not Mapped"/>
    <s v="User Not Mapped"/>
    <n v="223281"/>
    <s v="M/s. Padam Chand"/>
    <s v="Private Wholsaler"/>
    <s v="9434009550"/>
    <n v="4.1399999999999997"/>
    <n v="49"/>
    <x v="1"/>
    <s v="'WS3125003912'"/>
    <s v="2026-03-09"/>
    <s v="1"/>
    <s v="rcf"/>
    <m/>
  </r>
  <r>
    <s v="RCF Trombay"/>
    <s v="15-15-15"/>
    <s v="WB"/>
    <x v="14"/>
    <s v="Sagardighi"/>
    <s v="User Not Mapped"/>
    <s v="User Not Mapped"/>
    <s v="User Not Mapped"/>
    <n v="289309"/>
    <s v="Fatema Begam"/>
    <s v="Private Wholsaler"/>
    <s v="9733510936"/>
    <n v="4.25"/>
    <n v="43"/>
    <x v="1"/>
    <s v="'DKD/F/172/25-26'"/>
    <s v="2026-03-15"/>
    <s v="211642"/>
    <s v="M/s. D.K.Dutta and Co."/>
    <s v="7797341354"/>
  </r>
  <r>
    <s v="RCF Trombay"/>
    <s v="N.C.Urea(45kg)"/>
    <s v="WB"/>
    <x v="14"/>
    <s v="Sagardighi"/>
    <s v="User Not Mapped"/>
    <s v="User Not Mapped"/>
    <s v="User Not Mapped"/>
    <n v="1556397"/>
    <s v="ROJINA KHATUN"/>
    <s v="Private Wholsaler"/>
    <s v="8327685821"/>
    <n v="9.99"/>
    <n v="80"/>
    <x v="2"/>
    <s v="'E-165'"/>
    <s v="2026-02-06"/>
    <s v="223281"/>
    <s v="M/s. Padam Chand"/>
    <s v="9434009550"/>
  </r>
  <r>
    <s v="RCF Import"/>
    <s v="Imp 10-26-26"/>
    <s v="WB"/>
    <x v="14"/>
    <s v="Sagardighi"/>
    <s v="User Not Mapped"/>
    <s v="User Not Mapped"/>
    <s v="User Not Mapped"/>
    <n v="1556397"/>
    <s v="ROJINA KHATUN"/>
    <s v="Private Wholsaler"/>
    <s v="8327685821"/>
    <n v="7"/>
    <n v="84"/>
    <x v="2"/>
    <s v="'E00161'"/>
    <s v="2026-02-02"/>
    <s v="223281"/>
    <s v="M/s. Padam Chand"/>
    <s v="9434009550"/>
  </r>
  <r>
    <s v="RCF Trombay"/>
    <s v="N.C.Urea(45kg)"/>
    <s v="WB"/>
    <x v="14"/>
    <s v="Sagardighi"/>
    <s v="User Not Mapped"/>
    <s v="User Not Mapped"/>
    <s v="User Not Mapped"/>
    <n v="1556397"/>
    <s v="ROJINA KHATUN"/>
    <s v="Private Wholsaler"/>
    <s v="8327685821"/>
    <n v="7.02"/>
    <n v="44"/>
    <x v="1"/>
    <s v="'E00186'"/>
    <s v="2026-03-14"/>
    <s v="223281"/>
    <s v="M/s. Padam Chand"/>
    <s v="9434009550"/>
  </r>
  <r>
    <s v="RCF Thal"/>
    <s v="N.C.Urea(45kg)"/>
    <s v="WB"/>
    <x v="14"/>
    <s v="Samserganj"/>
    <s v="User Not Mapped"/>
    <s v="User Not Mapped"/>
    <s v="User Not Mapped"/>
    <n v="1140145"/>
    <s v="SAMPA KRISHI GHAR"/>
    <s v="Private Wholsaler"/>
    <s v="9775055288"/>
    <n v="0.05"/>
    <n v="238"/>
    <x v="3"/>
    <s v="'GK/1230'"/>
    <s v="2025-09-01"/>
    <s v="223285"/>
    <s v="M/s. Golam Kibria"/>
    <s v="8371889332"/>
  </r>
  <r>
    <s v="RCF Trombay"/>
    <s v="N.C.Urea(45kg)"/>
    <s v="WB"/>
    <x v="14"/>
    <m/>
    <s v="User Not Mapped"/>
    <s v="User Not Mapped"/>
    <s v="User Not Mapped"/>
    <n v="269139"/>
    <s v="Firoj Ali"/>
    <s v="Private Wholsaler"/>
    <s v="9932787296"/>
    <n v="41.85"/>
    <n v="93"/>
    <x v="5"/>
    <s v="'WS3125003152'"/>
    <s v="2026-01-24"/>
    <s v="1"/>
    <s v="rcf"/>
    <m/>
  </r>
  <r>
    <s v="RCF Thal"/>
    <s v="N.C.Urea(45kg)"/>
    <s v="WB"/>
    <x v="14"/>
    <m/>
    <s v="User Not Mapped"/>
    <s v="User Not Mapped"/>
    <s v="User Not Mapped"/>
    <n v="269139"/>
    <s v="Firoj Ali"/>
    <s v="Private Wholsaler"/>
    <s v="9932787296"/>
    <n v="5.085"/>
    <n v="49"/>
    <x v="1"/>
    <s v="'WS3125003880'"/>
    <s v="2026-03-09"/>
    <s v="1"/>
    <s v="rcf"/>
    <m/>
  </r>
  <r>
    <s v="RCF Trombay"/>
    <s v="N.C.Urea(45kg)"/>
    <s v="WB"/>
    <x v="14"/>
    <m/>
    <s v="User Not Mapped"/>
    <s v="User Not Mapped"/>
    <s v="User Not Mapped"/>
    <n v="269139"/>
    <s v="Firoj Ali"/>
    <s v="Private Wholsaler"/>
    <s v="9932787296"/>
    <n v="46.98"/>
    <n v="47"/>
    <x v="1"/>
    <s v="'WS3125004023'"/>
    <s v="2026-03-11"/>
    <s v="1"/>
    <s v="rcf"/>
    <m/>
  </r>
  <r>
    <s v="RCF Import"/>
    <s v="Imp 10-26-26"/>
    <s v="WB"/>
    <x v="14"/>
    <m/>
    <s v="User Not Mapped"/>
    <s v="User Not Mapped"/>
    <s v="User Not Mapped"/>
    <n v="281689"/>
    <s v="Nanda Dulal Mondal            "/>
    <s v="Private Wholsaler"/>
    <s v="9153141062"/>
    <n v="10"/>
    <n v="75"/>
    <x v="2"/>
    <s v="'2526RAMSDF0915'"/>
    <s v="2026-02-11"/>
    <s v="280775"/>
    <s v="R A Kheria"/>
    <s v="9830290085"/>
  </r>
  <r>
    <s v="RCF Import"/>
    <s v="Imp 10-26-26"/>
    <s v="WB"/>
    <x v="14"/>
    <m/>
    <s v="User Not Mapped"/>
    <s v="User Not Mapped"/>
    <s v="User Not Mapped"/>
    <n v="289310"/>
    <s v="Gopal Fertilizer"/>
    <s v="Private Wholsaler"/>
    <s v="8170003423"/>
    <n v="15"/>
    <n v="84"/>
    <x v="2"/>
    <s v="'WS3125003230'"/>
    <s v="2026-02-02"/>
    <s v="1"/>
    <s v="rcf"/>
    <m/>
  </r>
  <r>
    <s v="RCF Trombay"/>
    <s v="15-15-15"/>
    <s v="WB"/>
    <x v="14"/>
    <m/>
    <s v="User Not Mapped"/>
    <s v="User Not Mapped"/>
    <s v="User Not Mapped"/>
    <n v="289310"/>
    <s v="Gopal Fertilizer"/>
    <s v="Private Wholsaler"/>
    <s v="8170003423"/>
    <n v="7"/>
    <n v="47"/>
    <x v="1"/>
    <s v="'WS3125004037'"/>
    <s v="2026-03-11"/>
    <s v="1"/>
    <s v="rcf"/>
    <m/>
  </r>
  <r>
    <s v="RCF Thal"/>
    <s v="N.C.Urea(45kg)"/>
    <s v="WB"/>
    <x v="14"/>
    <m/>
    <s v="User Not Mapped"/>
    <s v="User Not Mapped"/>
    <s v="User Not Mapped"/>
    <n v="1398644"/>
    <s v="INDRANI KRISHI SEVA KENDRA"/>
    <s v="Private Wholsaler"/>
    <s v="8250244820"/>
    <n v="4.05"/>
    <n v="47"/>
    <x v="1"/>
    <s v="'2526RAMSDF1050'"/>
    <s v="2026-03-11"/>
    <s v="280775"/>
    <s v="R A Kheria"/>
    <s v="9830290085"/>
  </r>
  <r>
    <s v="RCF Import"/>
    <s v="Imp 10-26-26"/>
    <s v="WB"/>
    <x v="15"/>
    <s v="Chakdah"/>
    <s v="User Not Mapped"/>
    <s v="User Not Mapped"/>
    <s v="User Not Mapped"/>
    <n v="260209"/>
    <s v="M/S SUNIL KUMAR SAHA       "/>
    <s v="Private Wholsaler"/>
    <s v="9434110995"/>
    <n v="24.05"/>
    <n v="62"/>
    <x v="2"/>
    <s v="'WS3125003726'"/>
    <s v="2026-02-24"/>
    <s v="1"/>
    <s v="rcf"/>
    <m/>
  </r>
  <r>
    <s v="RCF Thal"/>
    <s v="N.C.Urea(45kg)"/>
    <s v="WB"/>
    <x v="15"/>
    <s v="Chakdah"/>
    <s v="User Not Mapped"/>
    <s v="User Not Mapped"/>
    <s v="User Not Mapped"/>
    <n v="260209"/>
    <s v="M/S SUNIL KUMAR SAHA       "/>
    <s v="Private Wholsaler"/>
    <s v="9434110995"/>
    <n v="30.24"/>
    <n v="26"/>
    <x v="4"/>
    <s v="'WS3126000031'"/>
    <s v="2026-04-01"/>
    <s v="1"/>
    <s v="rcf"/>
    <m/>
  </r>
  <r>
    <s v="RCF Import"/>
    <s v="MOP"/>
    <s v="WB"/>
    <x v="15"/>
    <s v="Chakdah"/>
    <s v="User Not Mapped"/>
    <s v="User Not Mapped"/>
    <s v="User Not Mapped"/>
    <n v="260209"/>
    <s v="M/S SUNIL KUMAR SAHA       "/>
    <s v="Private Wholsaler"/>
    <s v="9434110995"/>
    <n v="50"/>
    <n v="69"/>
    <x v="2"/>
    <s v="'WS3125003562'"/>
    <s v="2026-02-17"/>
    <s v="1"/>
    <s v="rcf"/>
    <m/>
  </r>
  <r>
    <s v="RCF Import"/>
    <s v="MOP"/>
    <s v="WB"/>
    <x v="15"/>
    <s v="Chakdah"/>
    <s v="User Not Mapped"/>
    <s v="User Not Mapped"/>
    <s v="User Not Mapped"/>
    <n v="260210"/>
    <s v="Gouri Sankar Kundu            "/>
    <s v="Private Wholsaler"/>
    <s v="9064539774"/>
    <n v="10.4"/>
    <n v="69"/>
    <x v="2"/>
    <s v="'WS3125003551'"/>
    <s v="2026-02-17"/>
    <s v="1"/>
    <s v="rcf"/>
    <m/>
  </r>
  <r>
    <s v="RCF Trombay"/>
    <s v="N.C.Urea(45kg)"/>
    <s v="WB"/>
    <x v="15"/>
    <s v="Chakdah"/>
    <s v="User Not Mapped"/>
    <s v="User Not Mapped"/>
    <s v="User Not Mapped"/>
    <n v="260210"/>
    <s v="Gouri Sankar Kundu            "/>
    <s v="Private Wholsaler"/>
    <s v="9064539774"/>
    <n v="0.36"/>
    <n v="65"/>
    <x v="2"/>
    <s v="'WS3125003592'"/>
    <s v="2026-02-21"/>
    <s v="1"/>
    <s v="rcf"/>
    <m/>
  </r>
  <r>
    <s v="RCF Import"/>
    <s v="Imp 10-26-26"/>
    <s v="WB"/>
    <x v="15"/>
    <s v="Chakdah"/>
    <s v="User Not Mapped"/>
    <s v="User Not Mapped"/>
    <s v="User Not Mapped"/>
    <n v="260210"/>
    <s v="Gouri Sankar Kundu            "/>
    <s v="Private Wholsaler"/>
    <s v="9064539774"/>
    <n v="35.25"/>
    <n v="62"/>
    <x v="2"/>
    <s v="'WS3125003724'"/>
    <s v="2026-02-24"/>
    <s v="1"/>
    <s v="rcf"/>
    <m/>
  </r>
  <r>
    <s v="RCF Import"/>
    <s v="MOP"/>
    <s v="WB"/>
    <x v="15"/>
    <s v="Chakdah"/>
    <s v="User Not Mapped"/>
    <s v="User Not Mapped"/>
    <s v="User Not Mapped"/>
    <n v="260210"/>
    <s v="Gouri Sankar Kundu            "/>
    <s v="Private Wholsaler"/>
    <s v="9064539774"/>
    <n v="10"/>
    <n v="69"/>
    <x v="2"/>
    <s v="'WS3125003552'"/>
    <s v="2026-02-17"/>
    <s v="1"/>
    <s v="rcf"/>
    <m/>
  </r>
  <r>
    <s v="RCF Thal"/>
    <s v="N.C.Urea(45kg)"/>
    <s v="WB"/>
    <x v="15"/>
    <s v="Chakdah"/>
    <s v="User Not Mapped"/>
    <s v="User Not Mapped"/>
    <s v="User Not Mapped"/>
    <n v="260210"/>
    <s v="Gouri Sankar Kundu            "/>
    <s v="Private Wholsaler"/>
    <s v="9064539774"/>
    <n v="0.58499999999999996"/>
    <n v="26"/>
    <x v="4"/>
    <s v="'WS3126000047'"/>
    <s v="2026-04-01"/>
    <s v="1"/>
    <s v="rcf"/>
    <m/>
  </r>
  <r>
    <s v="RCF Trombay"/>
    <s v="N.C.Urea(45kg)"/>
    <s v="WB"/>
    <x v="15"/>
    <s v="Hanskhali"/>
    <s v="User Not Mapped"/>
    <s v="User Not Mapped"/>
    <s v="User Not Mapped"/>
    <n v="280732"/>
    <s v="M/S-MADHUSUDAN GHOSH"/>
    <s v="Private Wholsaler"/>
    <s v="9434823432"/>
    <n v="1.395"/>
    <n v="62"/>
    <x v="2"/>
    <s v="'22'"/>
    <s v="2026-02-24"/>
    <s v="260185"/>
    <s v="Faroj Ali Shaikh"/>
    <s v="7797070086"/>
  </r>
  <r>
    <s v="RCF Thal"/>
    <s v="N.C.Urea(45kg)"/>
    <s v="WB"/>
    <x v="15"/>
    <s v="Hanskhali"/>
    <s v="User Not Mapped"/>
    <s v="User Not Mapped"/>
    <s v="User Not Mapped"/>
    <n v="280732"/>
    <s v="M/S-MADHUSUDAN GHOSH"/>
    <s v="Private Wholsaler"/>
    <s v="9434823432"/>
    <n v="15.885"/>
    <n v="22"/>
    <x v="4"/>
    <s v="'001'"/>
    <s v="2026-04-05"/>
    <s v="260185"/>
    <s v="Faroj Ali Shaikh"/>
    <s v="7797070086"/>
  </r>
  <r>
    <s v="RCF Import"/>
    <s v="Imp 10-26-26"/>
    <s v="WB"/>
    <x v="15"/>
    <s v="Haringhata"/>
    <s v="User Not Mapped"/>
    <s v="User Not Mapped"/>
    <s v="User Not Mapped"/>
    <n v="260211"/>
    <s v="M/s. Jaiswal Enterprise "/>
    <s v="Private Wholsaler"/>
    <s v="8116105006"/>
    <n v="0.55000000000000004"/>
    <n v="31"/>
    <x v="1"/>
    <s v="'261'"/>
    <s v="2026-03-27"/>
    <s v="270129"/>
    <s v="Kalyan Kr. Nandi"/>
    <s v="8250914797"/>
  </r>
  <r>
    <s v="RCF Import"/>
    <s v="Imp 10-26-26"/>
    <s v="WB"/>
    <x v="15"/>
    <s v="Haringhata"/>
    <s v="User Not Mapped"/>
    <s v="User Not Mapped"/>
    <s v="User Not Mapped"/>
    <n v="260211"/>
    <s v="M/s. Jaiswal Enterprise "/>
    <s v="Private Wholsaler"/>
    <s v="8116105006"/>
    <n v="8.65"/>
    <n v="42"/>
    <x v="1"/>
    <s v="'260'"/>
    <s v="2026-03-16"/>
    <s v="270129"/>
    <s v="Kalyan Kr. Nandi"/>
    <s v="8250914797"/>
  </r>
  <r>
    <s v="RCF Import"/>
    <s v="Imp 10-26-26"/>
    <s v="WB"/>
    <x v="15"/>
    <s v="Haringhata"/>
    <s v="User Not Mapped"/>
    <s v="User Not Mapped"/>
    <s v="User Not Mapped"/>
    <n v="260211"/>
    <s v="M/s. Jaiswal Enterprise "/>
    <s v="Private Wholsaler"/>
    <s v="8116105006"/>
    <n v="10.45"/>
    <n v="28"/>
    <x v="4"/>
    <s v="'261'"/>
    <s v="2026-03-30"/>
    <s v="270129"/>
    <s v="Kalyan Kr. Nandi"/>
    <s v="8250914797"/>
  </r>
  <r>
    <s v="RCF Import"/>
    <s v="Imp 10-26-26"/>
    <s v="WB"/>
    <x v="15"/>
    <s v="Haringhata"/>
    <s v="User Not Mapped"/>
    <s v="User Not Mapped"/>
    <s v="User Not Mapped"/>
    <n v="1214830"/>
    <s v="MS AJOY KRISHNA SEAL"/>
    <s v="Private Wholsaler"/>
    <s v="9932127372"/>
    <n v="2"/>
    <n v="62"/>
    <x v="2"/>
    <s v="'WS3125003743'"/>
    <s v="2026-02-24"/>
    <s v="1"/>
    <s v="rcf"/>
    <m/>
  </r>
  <r>
    <s v="RCF Trombay"/>
    <s v="N.C.Urea(45kg)"/>
    <s v="WB"/>
    <x v="15"/>
    <s v="Haringhata"/>
    <s v="User Not Mapped"/>
    <s v="User Not Mapped"/>
    <s v="User Not Mapped"/>
    <n v="1214830"/>
    <s v="MS AJOY KRISHNA SEAL"/>
    <s v="Private Wholsaler"/>
    <s v="9932127372"/>
    <n v="3.5000000000000003E-2"/>
    <n v="65"/>
    <x v="2"/>
    <s v="'WS3125003589'"/>
    <s v="2026-02-21"/>
    <s v="1"/>
    <s v="rcf"/>
    <m/>
  </r>
  <r>
    <s v="RCF Trombay"/>
    <s v="15-15-15"/>
    <s v="WB"/>
    <x v="15"/>
    <s v="Karimpur - II"/>
    <s v="User Not Mapped"/>
    <s v="User Not Mapped"/>
    <s v="User Not Mapped"/>
    <n v="342772"/>
    <s v="Subir Kumar Biswas"/>
    <s v="Private Wholsaler"/>
    <s v="9932631270"/>
    <n v="10"/>
    <n v="44"/>
    <x v="1"/>
    <s v="'2526RAMSDF1076'"/>
    <s v="2026-03-14"/>
    <s v="280775"/>
    <s v="R A Kheria"/>
    <s v="9830290085"/>
  </r>
  <r>
    <s v="RCF Trombay"/>
    <s v="15-15-15"/>
    <s v="WB"/>
    <x v="15"/>
    <s v="Karimpur - II"/>
    <s v="User Not Mapped"/>
    <s v="User Not Mapped"/>
    <s v="User Not Mapped"/>
    <n v="342772"/>
    <s v="Subir Kumar Biswas"/>
    <s v="Private Wholsaler"/>
    <s v="9932631270"/>
    <n v="5.9"/>
    <n v="74"/>
    <x v="2"/>
    <s v="'2526USPKSLGF0090'"/>
    <s v="2026-02-12"/>
    <s v="1409662"/>
    <s v="UMA SHANKAR PRADIP KUMAR"/>
    <s v="9831636631"/>
  </r>
  <r>
    <s v="RCF Import"/>
    <s v="Imp 10-26-26"/>
    <s v="WB"/>
    <x v="15"/>
    <s v="Karimpur - II"/>
    <s v="User Not Mapped"/>
    <s v="User Not Mapped"/>
    <s v="User Not Mapped"/>
    <n v="888407"/>
    <s v="MAA FERTILIZER"/>
    <s v="Private Wholsaler"/>
    <s v="9800042039"/>
    <n v="0.5"/>
    <n v="62"/>
    <x v="2"/>
    <s v="'1526'"/>
    <s v="2026-02-24"/>
    <s v="281704"/>
    <s v="Maa Fertilizer"/>
    <s v="9800042039"/>
  </r>
  <r>
    <s v="RCF Import"/>
    <s v="Imp 10-26-26"/>
    <s v="WB"/>
    <x v="15"/>
    <s v="Karimpur - II"/>
    <s v="User Not Mapped"/>
    <s v="User Not Mapped"/>
    <s v="User Not Mapped"/>
    <n v="888407"/>
    <s v="MAA FERTILIZER"/>
    <s v="Private Wholsaler"/>
    <s v="9800042039"/>
    <n v="7"/>
    <n v="20"/>
    <x v="4"/>
    <s v="'1552'"/>
    <s v="2026-04-07"/>
    <s v="281704"/>
    <s v="Maa Fertilizer"/>
    <s v="9800042039"/>
  </r>
  <r>
    <s v="RCF Import"/>
    <s v="MOP"/>
    <s v="WB"/>
    <x v="15"/>
    <s v="Krishnaganj"/>
    <s v="User Not Mapped"/>
    <s v="User Not Mapped"/>
    <s v="User Not Mapped"/>
    <n v="1005236"/>
    <s v="SASANKA SEKHAR KUNDU"/>
    <s v="Private Wholsaler"/>
    <s v="8250640930"/>
    <n v="10"/>
    <n v="25"/>
    <x v="4"/>
    <s v="'264'"/>
    <s v="2026-04-02"/>
    <s v="270129"/>
    <s v="Kalyan Kr. Nandi"/>
    <s v="8250914797"/>
  </r>
  <r>
    <s v="RCF Import"/>
    <s v="MOP"/>
    <s v="WB"/>
    <x v="15"/>
    <s v="Krishnaganj"/>
    <s v="User Not Mapped"/>
    <s v="User Not Mapped"/>
    <s v="User Not Mapped"/>
    <n v="1005236"/>
    <s v="SASANKA SEKHAR KUNDU"/>
    <s v="Private Wholsaler"/>
    <s v="8250640930"/>
    <n v="10"/>
    <n v="25"/>
    <x v="4"/>
    <s v="'265'"/>
    <s v="2026-04-02"/>
    <s v="270129"/>
    <s v="Kalyan Kr. Nandi"/>
    <s v="8250914797"/>
  </r>
  <r>
    <s v="RCF Import"/>
    <s v="MOP"/>
    <s v="WB"/>
    <x v="15"/>
    <s v="Krishnaganj"/>
    <s v="User Not Mapped"/>
    <s v="User Not Mapped"/>
    <s v="User Not Mapped"/>
    <n v="1005236"/>
    <s v="SASANKA SEKHAR KUNDU"/>
    <s v="Private Wholsaler"/>
    <s v="8250640930"/>
    <n v="10"/>
    <n v="27"/>
    <x v="4"/>
    <s v="'263'"/>
    <s v="2026-03-31"/>
    <s v="270129"/>
    <s v="Kalyan Kr. Nandi"/>
    <s v="8250914797"/>
  </r>
  <r>
    <s v="RCF Import"/>
    <s v="MOP"/>
    <s v="WB"/>
    <x v="15"/>
    <s v="Krishnaganj"/>
    <s v="User Not Mapped"/>
    <s v="User Not Mapped"/>
    <s v="User Not Mapped"/>
    <n v="1005236"/>
    <s v="SASANKA SEKHAR KUNDU"/>
    <s v="Private Wholsaler"/>
    <s v="8250640930"/>
    <n v="3.75"/>
    <n v="27"/>
    <x v="4"/>
    <s v="'262'"/>
    <s v="2026-03-31"/>
    <s v="270129"/>
    <s v="Kalyan Kr. Nandi"/>
    <s v="8250914797"/>
  </r>
  <r>
    <s v="RCF Import"/>
    <s v="Imp 10-26-26"/>
    <s v="WB"/>
    <x v="15"/>
    <s v="Krishnagar - I"/>
    <s v="User Not Mapped"/>
    <s v="User Not Mapped"/>
    <s v="User Not Mapped"/>
    <n v="259034"/>
    <s v="MS Guha And Co"/>
    <s v="Private Wholsaler"/>
    <s v="8695359505"/>
    <n v="14"/>
    <n v="62"/>
    <x v="2"/>
    <s v="'WS3125003746'"/>
    <s v="2026-02-24"/>
    <s v="1"/>
    <s v="rcf"/>
    <m/>
  </r>
  <r>
    <s v="RCF Import"/>
    <s v="Imp 10-26-26"/>
    <s v="WB"/>
    <x v="15"/>
    <s v="Krishnagar - I"/>
    <s v="User Not Mapped"/>
    <s v="User Not Mapped"/>
    <s v="User Not Mapped"/>
    <n v="259034"/>
    <s v="MS Guha And Co"/>
    <s v="Private Wholsaler"/>
    <s v="8695359505"/>
    <n v="45"/>
    <n v="62"/>
    <x v="2"/>
    <s v="'WS3125003740'"/>
    <s v="2026-02-24"/>
    <s v="1"/>
    <s v="rcf"/>
    <m/>
  </r>
  <r>
    <s v="RCF Import"/>
    <s v="Imp 10-26-26"/>
    <s v="WB"/>
    <x v="15"/>
    <s v="Krishnagar - I"/>
    <s v="User Not Mapped"/>
    <s v="User Not Mapped"/>
    <s v="User Not Mapped"/>
    <n v="259034"/>
    <s v="MS Guha And Co"/>
    <s v="Private Wholsaler"/>
    <s v="8695359505"/>
    <n v="2"/>
    <n v="61"/>
    <x v="2"/>
    <s v="'WS3125003747'"/>
    <s v="2026-02-25"/>
    <s v="1"/>
    <s v="rcf"/>
    <m/>
  </r>
  <r>
    <s v="RCF Import"/>
    <s v="MOP"/>
    <s v="WB"/>
    <x v="15"/>
    <s v="Krishnagar - I"/>
    <s v="User Not Mapped"/>
    <s v="User Not Mapped"/>
    <s v="User Not Mapped"/>
    <n v="259034"/>
    <s v="MS Guha And Co"/>
    <s v="Private Wholsaler"/>
    <s v="8695359505"/>
    <n v="10"/>
    <n v="69"/>
    <x v="2"/>
    <s v="'WS3125003554'"/>
    <s v="2026-02-17"/>
    <s v="1"/>
    <s v="rcf"/>
    <m/>
  </r>
  <r>
    <s v="RCF Thal"/>
    <s v="N.C.Urea(45kg)"/>
    <s v="WB"/>
    <x v="15"/>
    <s v="Krishnagar - I"/>
    <s v="User Not Mapped"/>
    <s v="User Not Mapped"/>
    <s v="User Not Mapped"/>
    <n v="260177"/>
    <s v="SatyaRanjan Kundu and Brothers"/>
    <s v="Private Wholsaler"/>
    <s v="7908186730"/>
    <n v="1.62"/>
    <n v="26"/>
    <x v="4"/>
    <s v="'WS3126000034'"/>
    <s v="2026-04-01"/>
    <s v="1"/>
    <s v="rcf"/>
    <m/>
  </r>
  <r>
    <s v="RCF Thal"/>
    <s v="N.C.Urea(45kg)"/>
    <s v="WB"/>
    <x v="15"/>
    <s v="Krishnagar - I"/>
    <s v="User Not Mapped"/>
    <s v="User Not Mapped"/>
    <s v="User Not Mapped"/>
    <n v="260177"/>
    <s v="SatyaRanjan Kundu and Brothers"/>
    <s v="Private Wholsaler"/>
    <s v="7908186730"/>
    <n v="39.69"/>
    <n v="26"/>
    <x v="4"/>
    <s v="'WS3126000039'"/>
    <s v="2026-04-01"/>
    <s v="1"/>
    <s v="rcf"/>
    <m/>
  </r>
  <r>
    <s v="RCF Import"/>
    <s v="MOP"/>
    <s v="WB"/>
    <x v="15"/>
    <s v="Krishnagar - I"/>
    <s v="User Not Mapped"/>
    <s v="User Not Mapped"/>
    <s v="User Not Mapped"/>
    <n v="260177"/>
    <s v="SatyaRanjan Kundu and Brothers"/>
    <s v="Private Wholsaler"/>
    <s v="7908186730"/>
    <n v="44.5"/>
    <n v="69"/>
    <x v="2"/>
    <s v="'WS3125003559'"/>
    <s v="2026-02-17"/>
    <s v="1"/>
    <s v="rcf"/>
    <m/>
  </r>
  <r>
    <s v="RCF Thal"/>
    <s v="N.C.Urea(45kg)"/>
    <s v="WB"/>
    <x v="15"/>
    <s v="Krishnagar - I"/>
    <s v="User Not Mapped"/>
    <s v="User Not Mapped"/>
    <s v="User Not Mapped"/>
    <n v="260177"/>
    <s v="SatyaRanjan Kundu and Brothers"/>
    <s v="Private Wholsaler"/>
    <s v="7908186730"/>
    <n v="54"/>
    <n v="26"/>
    <x v="4"/>
    <s v="'WS3126000036'"/>
    <s v="2026-04-01"/>
    <s v="1"/>
    <s v="rcf"/>
    <m/>
  </r>
  <r>
    <s v="RCF Thal"/>
    <s v="N.C.Urea(45kg)"/>
    <s v="WB"/>
    <x v="15"/>
    <s v="Krishnagar - I"/>
    <s v="User Not Mapped"/>
    <s v="User Not Mapped"/>
    <s v="User Not Mapped"/>
    <n v="260177"/>
    <s v="SatyaRanjan Kundu and Brothers"/>
    <s v="Private Wholsaler"/>
    <s v="7908186730"/>
    <n v="54"/>
    <n v="26"/>
    <x v="4"/>
    <s v="'WS3126000037'"/>
    <s v="2026-04-01"/>
    <s v="1"/>
    <s v="rcf"/>
    <m/>
  </r>
  <r>
    <s v="RCF Thal"/>
    <s v="N.C.Urea(45kg)"/>
    <s v="WB"/>
    <x v="15"/>
    <s v="Krishnagar - I"/>
    <s v="User Not Mapped"/>
    <s v="User Not Mapped"/>
    <s v="User Not Mapped"/>
    <n v="260177"/>
    <s v="SatyaRanjan Kundu and Brothers"/>
    <s v="Private Wholsaler"/>
    <s v="7908186730"/>
    <n v="54"/>
    <n v="26"/>
    <x v="4"/>
    <s v="'WS3126000038'"/>
    <s v="2026-04-01"/>
    <s v="1"/>
    <s v="rcf"/>
    <m/>
  </r>
  <r>
    <s v="RCF Trombay"/>
    <s v="15-15-15"/>
    <s v="WB"/>
    <x v="15"/>
    <s v="Krishnagar - I"/>
    <s v="User Not Mapped"/>
    <s v="User Not Mapped"/>
    <s v="User Not Mapped"/>
    <n v="260177"/>
    <s v="SatyaRanjan Kundu and Brothers"/>
    <s v="Private Wholsaler"/>
    <s v="7908186730"/>
    <n v="23.6"/>
    <n v="64"/>
    <x v="2"/>
    <s v="'WS3125003709'"/>
    <s v="2026-02-22"/>
    <s v="1"/>
    <s v="rcf"/>
    <m/>
  </r>
  <r>
    <s v="RCF Import"/>
    <s v="Imp 10-26-26"/>
    <s v="WB"/>
    <x v="15"/>
    <s v="Krishnagar - I"/>
    <s v="User Not Mapped"/>
    <s v="User Not Mapped"/>
    <s v="User Not Mapped"/>
    <n v="260177"/>
    <s v="SatyaRanjan Kundu and Brothers"/>
    <s v="Private Wholsaler"/>
    <s v="7908186730"/>
    <n v="54"/>
    <n v="40"/>
    <x v="1"/>
    <s v="'3125004092'"/>
    <s v="2026-03-18"/>
    <s v="1"/>
    <s v="rcf"/>
    <m/>
  </r>
  <r>
    <s v="RCF Import"/>
    <s v="Imp 10-26-26"/>
    <s v="WB"/>
    <x v="15"/>
    <s v="Krishnagar - I"/>
    <s v="User Not Mapped"/>
    <s v="User Not Mapped"/>
    <s v="User Not Mapped"/>
    <n v="260177"/>
    <s v="SatyaRanjan Kundu and Brothers"/>
    <s v="Private Wholsaler"/>
    <s v="7908186730"/>
    <n v="44"/>
    <n v="40"/>
    <x v="1"/>
    <s v="'3125004093'"/>
    <s v="2026-03-18"/>
    <s v="1"/>
    <s v="rcf"/>
    <m/>
  </r>
  <r>
    <s v="RCF Trombay"/>
    <s v="15-15-15"/>
    <s v="WB"/>
    <x v="15"/>
    <s v="Krishnagar - I"/>
    <s v="User Not Mapped"/>
    <s v="User Not Mapped"/>
    <s v="User Not Mapped"/>
    <n v="260178"/>
    <s v="M/s. Uttamendu Sarkar"/>
    <s v="Private Wholsaler"/>
    <s v="9002483836"/>
    <n v="6.75"/>
    <n v="65"/>
    <x v="2"/>
    <s v="'WS3125003642'"/>
    <s v="2026-02-21"/>
    <s v="1"/>
    <s v="rcf"/>
    <m/>
  </r>
  <r>
    <s v="RCF Trombay"/>
    <s v="N.C.Urea(45kg)"/>
    <s v="WB"/>
    <x v="15"/>
    <s v="Krishnagar - I"/>
    <s v="User Not Mapped"/>
    <s v="User Not Mapped"/>
    <s v="User Not Mapped"/>
    <n v="260178"/>
    <s v="M/s. Uttamendu Sarkar"/>
    <s v="Private Wholsaler"/>
    <s v="9002483836"/>
    <n v="3.6949999999999998"/>
    <n v="65"/>
    <x v="2"/>
    <s v="'WS3125003611'"/>
    <s v="2026-02-21"/>
    <s v="1"/>
    <s v="rcf"/>
    <m/>
  </r>
  <r>
    <s v="RCF Import"/>
    <s v="MOP"/>
    <s v="WB"/>
    <x v="15"/>
    <s v="Krishnagar - I"/>
    <s v="User Not Mapped"/>
    <s v="User Not Mapped"/>
    <s v="User Not Mapped"/>
    <n v="260178"/>
    <s v="M/s. Uttamendu Sarkar"/>
    <s v="Private Wholsaler"/>
    <s v="9002483836"/>
    <n v="25.75"/>
    <n v="69"/>
    <x v="2"/>
    <s v="'WS3125003564'"/>
    <s v="2026-02-17"/>
    <s v="1"/>
    <s v="rcf"/>
    <m/>
  </r>
  <r>
    <s v="RCF Thal"/>
    <s v="N.C.Urea(45kg)"/>
    <s v="WB"/>
    <x v="15"/>
    <s v="Krishnagar - I"/>
    <s v="User Not Mapped"/>
    <s v="User Not Mapped"/>
    <s v="User Not Mapped"/>
    <n v="260178"/>
    <s v="M/s. Uttamendu Sarkar"/>
    <s v="Private Wholsaler"/>
    <s v="9002483836"/>
    <n v="27.72"/>
    <n v="26"/>
    <x v="4"/>
    <s v="'WS3126000025'"/>
    <s v="2026-04-01"/>
    <s v="1"/>
    <s v="rcf"/>
    <m/>
  </r>
  <r>
    <s v="RCF Trombay"/>
    <s v="15-15-15"/>
    <s v="WB"/>
    <x v="15"/>
    <s v="Krishnagar - I"/>
    <s v="User Not Mapped"/>
    <s v="User Not Mapped"/>
    <s v="User Not Mapped"/>
    <n v="260178"/>
    <s v="M/s. Uttamendu Sarkar"/>
    <s v="Private Wholsaler"/>
    <s v="9002483836"/>
    <n v="50"/>
    <n v="65"/>
    <x v="2"/>
    <s v="'WS3125003657'"/>
    <s v="2026-02-21"/>
    <s v="1"/>
    <s v="rcf"/>
    <m/>
  </r>
  <r>
    <s v="RCF Import"/>
    <s v="MOP"/>
    <s v="WB"/>
    <x v="15"/>
    <s v="Krishnagar - I"/>
    <s v="User Not Mapped"/>
    <s v="User Not Mapped"/>
    <s v="User Not Mapped"/>
    <n v="260179"/>
    <s v="Tarun Kumar Saha"/>
    <s v="Private Wholsaler"/>
    <s v="8116312974"/>
    <n v="10"/>
    <n v="69"/>
    <x v="2"/>
    <s v="'WS3125003571'"/>
    <s v="2026-02-17"/>
    <s v="1"/>
    <s v="rcf"/>
    <m/>
  </r>
  <r>
    <s v="RCF Import"/>
    <s v="Imp 10-26-26"/>
    <s v="WB"/>
    <x v="15"/>
    <s v="Krishnagar - I"/>
    <s v="User Not Mapped"/>
    <s v="User Not Mapped"/>
    <s v="User Not Mapped"/>
    <n v="260179"/>
    <s v="Tarun Kumar Saha"/>
    <s v="Private Wholsaler"/>
    <s v="8116312974"/>
    <n v="11"/>
    <n v="62"/>
    <x v="2"/>
    <s v="'WS3125003727'"/>
    <s v="2026-02-24"/>
    <s v="1"/>
    <s v="rcf"/>
    <m/>
  </r>
  <r>
    <s v="RCF Import"/>
    <s v="MOP"/>
    <s v="WB"/>
    <x v="15"/>
    <s v="Krishnagar - I"/>
    <s v="User Not Mapped"/>
    <s v="User Not Mapped"/>
    <s v="User Not Mapped"/>
    <n v="260179"/>
    <s v="Tarun Kumar Saha"/>
    <s v="Private Wholsaler"/>
    <s v="8116312974"/>
    <n v="5"/>
    <n v="69"/>
    <x v="2"/>
    <s v="'WS3125003576'"/>
    <s v="2026-02-17"/>
    <s v="1"/>
    <s v="rcf"/>
    <m/>
  </r>
  <r>
    <s v="RCF Trombay"/>
    <s v="15-15-15"/>
    <s v="WB"/>
    <x v="15"/>
    <s v="Krishnagar - I"/>
    <s v="User Not Mapped"/>
    <s v="User Not Mapped"/>
    <s v="User Not Mapped"/>
    <n v="260185"/>
    <s v="Faroj Ali Shaikh"/>
    <s v="Private Wholsaler"/>
    <s v="7797070086"/>
    <n v="1"/>
    <n v="94"/>
    <x v="5"/>
    <s v="'WS3125003082'"/>
    <s v="2026-01-23"/>
    <s v="1"/>
    <s v="rcf"/>
    <m/>
  </r>
  <r>
    <s v="RCF Trombay"/>
    <s v="15-15-15"/>
    <s v="WB"/>
    <x v="15"/>
    <s v="Krishnagar - I"/>
    <s v="User Not Mapped"/>
    <s v="User Not Mapped"/>
    <s v="User Not Mapped"/>
    <n v="260185"/>
    <s v="Faroj Ali Shaikh"/>
    <s v="Private Wholsaler"/>
    <s v="7797070086"/>
    <n v="20"/>
    <n v="65"/>
    <x v="2"/>
    <s v="'WS3125003626'"/>
    <s v="2026-02-21"/>
    <s v="1"/>
    <s v="rcf"/>
    <m/>
  </r>
  <r>
    <s v="RCF Trombay"/>
    <s v="N.C.Urea(45kg)"/>
    <s v="WB"/>
    <x v="15"/>
    <s v="Krishnagar - I"/>
    <s v="User Not Mapped"/>
    <s v="User Not Mapped"/>
    <s v="User Not Mapped"/>
    <n v="260185"/>
    <s v="Faroj Ali Shaikh"/>
    <s v="Private Wholsaler"/>
    <s v="7797070086"/>
    <n v="4.32"/>
    <n v="65"/>
    <x v="2"/>
    <s v="'WS3125003590'"/>
    <s v="2026-02-21"/>
    <s v="1"/>
    <s v="rcf"/>
    <m/>
  </r>
  <r>
    <s v="RCF Import"/>
    <s v="MOP"/>
    <s v="WB"/>
    <x v="15"/>
    <s v="Krishnagar - I"/>
    <s v="User Not Mapped"/>
    <s v="User Not Mapped"/>
    <s v="User Not Mapped"/>
    <n v="270129"/>
    <s v="Kalyan Kr. Nandi"/>
    <s v="Private Wholsaler"/>
    <s v="8250914797"/>
    <n v="5"/>
    <n v="69"/>
    <x v="2"/>
    <s v="'WS3125003568'"/>
    <s v="2026-02-17"/>
    <s v="1"/>
    <s v="rcf"/>
    <m/>
  </r>
  <r>
    <s v="RCF Import"/>
    <s v="MOP"/>
    <s v="WB"/>
    <x v="15"/>
    <s v="Krishnagar - I"/>
    <s v="User Not Mapped"/>
    <s v="User Not Mapped"/>
    <s v="User Not Mapped"/>
    <n v="270129"/>
    <s v="Kalyan Kr. Nandi"/>
    <s v="Private Wholsaler"/>
    <s v="8250914797"/>
    <n v="30"/>
    <n v="68"/>
    <x v="2"/>
    <s v="'WS3125003578'"/>
    <s v="2026-02-18"/>
    <s v="1"/>
    <s v="rcf"/>
    <m/>
  </r>
  <r>
    <s v="RCF Import"/>
    <s v="Imp 10-26-26"/>
    <s v="WB"/>
    <x v="15"/>
    <s v="Krishnagar - I"/>
    <s v="User Not Mapped"/>
    <s v="User Not Mapped"/>
    <s v="User Not Mapped"/>
    <n v="280729"/>
    <s v="M/s. Naresh Chandra Das"/>
    <s v="Private Wholsaler"/>
    <s v="7365868045"/>
    <n v="0.3"/>
    <n v="51"/>
    <x v="1"/>
    <s v="'NCD/STK/01'"/>
    <s v="2026-03-07"/>
    <s v="281522"/>
    <s v="N.C. Das and Co."/>
    <s v="6297603863"/>
  </r>
  <r>
    <s v="RCF Import"/>
    <s v="Imp 10-26-26"/>
    <s v="WB"/>
    <x v="15"/>
    <s v="Krishnagar - I"/>
    <s v="User Not Mapped"/>
    <s v="User Not Mapped"/>
    <s v="User Not Mapped"/>
    <n v="280729"/>
    <s v="M/s. Naresh Chandra Das"/>
    <s v="Private Wholsaler"/>
    <s v="7365868045"/>
    <n v="10"/>
    <n v="13"/>
    <x v="4"/>
    <s v="'NCD/STK/01'"/>
    <s v="2026-04-14"/>
    <s v="281522"/>
    <s v="N.C. Das and Co."/>
    <s v="6297603863"/>
  </r>
  <r>
    <s v="RCF Import"/>
    <s v="MOP"/>
    <s v="WB"/>
    <x v="15"/>
    <s v="Krishnagar - I"/>
    <s v="User Not Mapped"/>
    <s v="User Not Mapped"/>
    <s v="User Not Mapped"/>
    <n v="280729"/>
    <s v="M/s. Naresh Chandra Das"/>
    <s v="Private Wholsaler"/>
    <s v="7365868045"/>
    <n v="55"/>
    <n v="44"/>
    <x v="1"/>
    <s v="'3125004083'"/>
    <s v="2026-03-14"/>
    <s v="1"/>
    <s v="rcf"/>
    <m/>
  </r>
  <r>
    <s v="RCF Trombay"/>
    <s v="N.C.Urea(45kg)"/>
    <s v="WB"/>
    <x v="15"/>
    <s v="Krishnagar - I"/>
    <s v="User Not Mapped"/>
    <s v="User Not Mapped"/>
    <s v="User Not Mapped"/>
    <n v="280729"/>
    <s v="M/s. Naresh Chandra Das"/>
    <s v="Private Wholsaler"/>
    <s v="7365868045"/>
    <n v="0.09"/>
    <n v="65"/>
    <x v="2"/>
    <s v="'WS3125003598'"/>
    <s v="2026-02-21"/>
    <s v="1"/>
    <s v="rcf"/>
    <m/>
  </r>
  <r>
    <s v="RCF Import"/>
    <s v="MOP"/>
    <s v="WB"/>
    <x v="15"/>
    <s v="Krishnagar - I"/>
    <s v="User Not Mapped"/>
    <s v="User Not Mapped"/>
    <s v="User Not Mapped"/>
    <n v="280729"/>
    <s v="M/s. Naresh Chandra Das"/>
    <s v="Private Wholsaler"/>
    <s v="7365868045"/>
    <n v="35"/>
    <n v="38"/>
    <x v="1"/>
    <s v="'3125004099'"/>
    <s v="2026-03-20"/>
    <s v="1"/>
    <s v="rcf"/>
    <m/>
  </r>
  <r>
    <s v="RCF Thal"/>
    <s v="N.C.Urea(45kg)"/>
    <s v="WB"/>
    <x v="15"/>
    <s v="Krishnagar - I"/>
    <s v="User Not Mapped"/>
    <s v="User Not Mapped"/>
    <s v="User Not Mapped"/>
    <n v="280729"/>
    <s v="M/s. Naresh Chandra Das"/>
    <s v="Private Wholsaler"/>
    <s v="7365868045"/>
    <n v="7.56"/>
    <n v="11"/>
    <x v="4"/>
    <s v="'NCD/STK/06'"/>
    <s v="2026-04-16"/>
    <s v="281522"/>
    <s v="N.C. Das and Co."/>
    <s v="6297603863"/>
  </r>
  <r>
    <s v="RCF Trombay"/>
    <s v="15-15-15"/>
    <s v="WB"/>
    <x v="15"/>
    <s v="Krishnagar - I"/>
    <s v="User Not Mapped"/>
    <s v="User Not Mapped"/>
    <s v="User Not Mapped"/>
    <n v="280729"/>
    <s v="M/s. Naresh Chandra Das"/>
    <s v="Private Wholsaler"/>
    <s v="7365868045"/>
    <n v="5.22"/>
    <n v="59"/>
    <x v="1"/>
    <s v="'NCD/STK/02'"/>
    <s v="2026-02-27"/>
    <s v="281522"/>
    <s v="N.C. Das and Co."/>
    <s v="6297603863"/>
  </r>
  <r>
    <s v="RCF Import"/>
    <s v="MOP"/>
    <s v="WB"/>
    <x v="15"/>
    <s v="Krishnagar - I"/>
    <s v="User Not Mapped"/>
    <s v="User Not Mapped"/>
    <s v="User Not Mapped"/>
    <n v="280729"/>
    <s v="M/s. Naresh Chandra Das"/>
    <s v="Private Wholsaler"/>
    <s v="7365868045"/>
    <n v="25.9"/>
    <n v="44"/>
    <x v="1"/>
    <s v="'3125004082'"/>
    <s v="2026-03-14"/>
    <s v="1"/>
    <s v="rcf"/>
    <m/>
  </r>
  <r>
    <s v="RCF Import"/>
    <s v="MOP"/>
    <s v="WB"/>
    <x v="15"/>
    <s v="Krishnagar - I"/>
    <s v="User Not Mapped"/>
    <s v="User Not Mapped"/>
    <s v="User Not Mapped"/>
    <n v="280729"/>
    <s v="M/s. Naresh Chandra Das"/>
    <s v="Private Wholsaler"/>
    <s v="7365868045"/>
    <n v="0.9"/>
    <n v="40"/>
    <x v="1"/>
    <s v="'3125004096'"/>
    <s v="2026-03-18"/>
    <s v="1"/>
    <s v="rcf"/>
    <m/>
  </r>
  <r>
    <s v="RCF Trombay"/>
    <s v="15-15-15"/>
    <s v="WB"/>
    <x v="15"/>
    <s v="Krishnagar - I"/>
    <s v="User Not Mapped"/>
    <s v="User Not Mapped"/>
    <s v="User Not Mapped"/>
    <n v="280913"/>
    <s v="S.S.P Enterprise"/>
    <s v="Private Wholsaler"/>
    <s v="9732669190"/>
    <n v="2.5"/>
    <n v="62"/>
    <x v="2"/>
    <s v="'26'"/>
    <s v="2026-02-24"/>
    <s v="260185"/>
    <s v="Faroj Ali Shaikh"/>
    <s v="7797070086"/>
  </r>
  <r>
    <s v="RCF Import"/>
    <s v="MOP"/>
    <s v="WB"/>
    <x v="15"/>
    <s v="Krishnagar - I"/>
    <s v="User Not Mapped"/>
    <s v="User Not Mapped"/>
    <s v="User Not Mapped"/>
    <n v="280913"/>
    <s v="S.S.P Enterprise"/>
    <s v="Private Wholsaler"/>
    <s v="9732669190"/>
    <n v="1.25"/>
    <n v="62"/>
    <x v="2"/>
    <s v="'25'"/>
    <s v="2026-02-24"/>
    <s v="260185"/>
    <s v="Faroj Ali Shaikh"/>
    <s v="7797070086"/>
  </r>
  <r>
    <s v="RCF Import"/>
    <s v="MOP"/>
    <s v="WB"/>
    <x v="15"/>
    <s v="Krishnagar - I"/>
    <s v="User Not Mapped"/>
    <s v="User Not Mapped"/>
    <s v="User Not Mapped"/>
    <n v="549643"/>
    <s v="M/S RATAN BISWAS"/>
    <s v="Private Wholsaler"/>
    <s v="8617364808"/>
    <n v="1.4"/>
    <n v="68"/>
    <x v="2"/>
    <s v="'RATAN493'"/>
    <s v="2026-02-18"/>
    <s v="223807"/>
    <s v="M.K. Chemical and Fertilizers"/>
    <s v="9051316329"/>
  </r>
  <r>
    <s v="RCF Trombay"/>
    <s v="15-15-15"/>
    <s v="WB"/>
    <x v="15"/>
    <s v="Krishnagar - I"/>
    <s v="User Not Mapped"/>
    <s v="User Not Mapped"/>
    <s v="User Not Mapped"/>
    <n v="1258420"/>
    <s v="M.A.C COMPANY"/>
    <s v="Private Wholsaler"/>
    <s v="9433152053"/>
    <n v="5"/>
    <n v="20"/>
    <x v="4"/>
    <s v="'1556'"/>
    <s v="2026-04-07"/>
    <s v="888407"/>
    <s v="MAA FERTILIZER"/>
    <s v="9800042039"/>
  </r>
  <r>
    <s v="RCF Trombay"/>
    <s v="15-15-15"/>
    <s v="WB"/>
    <x v="15"/>
    <s v="Nakashipara"/>
    <s v="User Not Mapped"/>
    <s v="User Not Mapped"/>
    <s v="User Not Mapped"/>
    <n v="1221148"/>
    <s v="ARINDAM DAS"/>
    <s v="Private Wholsaler"/>
    <s v="8509566548"/>
    <n v="7"/>
    <n v="86"/>
    <x v="2"/>
    <s v="'2856'"/>
    <s v="2026-01-31"/>
    <s v="223285"/>
    <s v="M/s. Golam Kibria"/>
    <s v="8371889332"/>
  </r>
  <r>
    <s v="RCF Import"/>
    <s v="MOP"/>
    <s v="WB"/>
    <x v="15"/>
    <s v="Ranaghat - II"/>
    <s v="User Not Mapped"/>
    <s v="User Not Mapped"/>
    <s v="User Not Mapped"/>
    <n v="281285"/>
    <s v="Bhabani Prosad Chattopadhy"/>
    <s v="Private Wholsaler"/>
    <s v="7548026544"/>
    <n v="4.4000000000000004"/>
    <n v="69"/>
    <x v="2"/>
    <s v="'WS3125003561'"/>
    <s v="2026-02-17"/>
    <s v="1"/>
    <s v="rcf"/>
    <m/>
  </r>
  <r>
    <s v="RCF Import"/>
    <s v="Imp 10-26-26"/>
    <s v="WB"/>
    <x v="15"/>
    <s v="Ranaghat - II"/>
    <s v="User Not Mapped"/>
    <s v="User Not Mapped"/>
    <s v="User Not Mapped"/>
    <n v="281285"/>
    <s v="Bhabani Prosad Chattopadhy"/>
    <s v="Private Wholsaler"/>
    <s v="7548026544"/>
    <n v="0.15"/>
    <n v="62"/>
    <x v="2"/>
    <s v="'WS3125003725'"/>
    <s v="2026-02-24"/>
    <s v="1"/>
    <s v="rcf"/>
    <m/>
  </r>
  <r>
    <s v="RCF Thal"/>
    <s v="N.C.Urea(45kg)"/>
    <s v="WB"/>
    <x v="15"/>
    <s v="Ranaghat - II"/>
    <s v="User Not Mapped"/>
    <s v="User Not Mapped"/>
    <s v="User Not Mapped"/>
    <n v="281285"/>
    <s v="Bhabani Prosad Chattopadhy"/>
    <s v="Private Wholsaler"/>
    <s v="7548026544"/>
    <n v="39.96"/>
    <n v="26"/>
    <x v="4"/>
    <s v="'WS3126000033'"/>
    <s v="2026-04-01"/>
    <s v="1"/>
    <s v="rcf"/>
    <m/>
  </r>
  <r>
    <s v="RCF Thal"/>
    <s v="N.C.Urea(45kg)"/>
    <s v="WB"/>
    <x v="15"/>
    <s v="Ranaghat - II"/>
    <s v="User Not Mapped"/>
    <s v="User Not Mapped"/>
    <s v="User Not Mapped"/>
    <n v="281285"/>
    <s v="Bhabani Prosad Chattopadhy"/>
    <s v="Private Wholsaler"/>
    <s v="7548026544"/>
    <n v="6.39"/>
    <n v="49"/>
    <x v="1"/>
    <s v="'WS3125003931'"/>
    <s v="2026-03-09"/>
    <s v="1"/>
    <s v="rcf"/>
    <m/>
  </r>
  <r>
    <s v="RCF Thal"/>
    <s v="N.C.Urea(45kg)"/>
    <s v="WB"/>
    <x v="15"/>
    <s v="Tehatta - I"/>
    <s v="User Not Mapped"/>
    <s v="User Not Mapped"/>
    <s v="User Not Mapped"/>
    <n v="260202"/>
    <s v="MS S K DUTTA"/>
    <s v="Private Wholsaler"/>
    <s v="9832802581"/>
    <n v="1.98"/>
    <n v="26"/>
    <x v="4"/>
    <s v="'WS3126000040'"/>
    <s v="2026-04-01"/>
    <s v="1"/>
    <s v="rcf"/>
    <m/>
  </r>
  <r>
    <s v="RCF Import"/>
    <s v="MOP"/>
    <s v="WB"/>
    <x v="15"/>
    <s v="Tehatta - I"/>
    <s v="User Not Mapped"/>
    <s v="User Not Mapped"/>
    <s v="User Not Mapped"/>
    <n v="260202"/>
    <s v="MS S K DUTTA"/>
    <s v="Private Wholsaler"/>
    <s v="9832802581"/>
    <n v="39.5"/>
    <n v="69"/>
    <x v="2"/>
    <s v="'WS3125003555'"/>
    <s v="2026-02-17"/>
    <s v="1"/>
    <s v="rcf"/>
    <m/>
  </r>
  <r>
    <s v="RCF Trombay"/>
    <s v="N.C.Urea(45kg)"/>
    <s v="WB"/>
    <x v="15"/>
    <s v="Tehatta - I"/>
    <s v="User Not Mapped"/>
    <s v="User Not Mapped"/>
    <s v="User Not Mapped"/>
    <n v="260202"/>
    <s v="MS S K DUTTA"/>
    <s v="Private Wholsaler"/>
    <s v="9832802581"/>
    <n v="0.23499999999999999"/>
    <n v="65"/>
    <x v="2"/>
    <s v="'WS3125003602'"/>
    <s v="2026-02-21"/>
    <s v="1"/>
    <s v="rcf"/>
    <m/>
  </r>
  <r>
    <s v="RCF Import"/>
    <s v="Imp 10-26-26"/>
    <s v="WB"/>
    <x v="0"/>
    <s v="Amdanga"/>
    <s v="User Not Mapped"/>
    <s v="User Not Mapped"/>
    <s v="User Not Mapped"/>
    <n v="189316"/>
    <s v="Alam Fertilizer"/>
    <s v="Private Retailer"/>
    <s v="8697022173"/>
    <n v="4"/>
    <n v="31"/>
    <x v="1"/>
    <m/>
    <s v="2026-03-27"/>
    <s v="281522"/>
    <s v="N.C. Das and Co."/>
    <s v="6297603863"/>
  </r>
  <r>
    <s v="RCF Thal"/>
    <s v="N.C.Urea(45kg)"/>
    <s v="WB"/>
    <x v="0"/>
    <s v="Amdanga"/>
    <s v="User Not Mapped"/>
    <s v="User Not Mapped"/>
    <s v="User Not Mapped"/>
    <n v="189316"/>
    <s v="Alam Fertilizer"/>
    <s v="Private Retailer"/>
    <s v="8697022173"/>
    <n v="5.7149999999999999"/>
    <n v="46"/>
    <x v="1"/>
    <m/>
    <s v="2026-03-12"/>
    <s v="268815"/>
    <s v="Chitta Ranjan Dey"/>
    <s v="9434744870"/>
  </r>
  <r>
    <s v="RCF Trombay"/>
    <s v="N.C.Urea(45kg)"/>
    <s v="WB"/>
    <x v="0"/>
    <s v="Amdanga"/>
    <s v="User Not Mapped"/>
    <s v="User Not Mapped"/>
    <s v="User Not Mapped"/>
    <n v="189344"/>
    <s v="Md. Abdul Hye"/>
    <s v="Private Retailer"/>
    <s v="8436368461"/>
    <n v="0.85499999999999998"/>
    <n v="728"/>
    <x v="7"/>
    <m/>
    <s v="2024-04-29"/>
    <s v="1287654"/>
    <s v="AZAD KRISHI BHANDAR"/>
    <s v="9836419256"/>
  </r>
  <r>
    <s v="RCF Trombay"/>
    <s v="15-15-15"/>
    <s v="WB"/>
    <x v="0"/>
    <s v="Amdanga"/>
    <s v="User Not Mapped"/>
    <s v="User Not Mapped"/>
    <s v="User Not Mapped"/>
    <n v="189344"/>
    <s v="Md. Abdul Hye"/>
    <s v="Private Retailer"/>
    <s v="8436368461"/>
    <n v="0.02"/>
    <n v="1892"/>
    <x v="7"/>
    <m/>
    <s v="2021-02-20"/>
    <s v="355410"/>
    <s v="Agradoot "/>
    <s v="9433166490"/>
  </r>
  <r>
    <s v="RCF Trombay"/>
    <s v="15-15-15"/>
    <s v="WB"/>
    <x v="0"/>
    <s v="Amdanga"/>
    <s v="User Not Mapped"/>
    <s v="User Not Mapped"/>
    <s v="User Not Mapped"/>
    <n v="189380"/>
    <s v="M/S Ashok Kumar Maity"/>
    <s v="Private Retailer"/>
    <s v="9433804837"/>
    <n v="3.45"/>
    <n v="92"/>
    <x v="5"/>
    <m/>
    <s v="2026-01-25"/>
    <s v="917469"/>
    <s v="MONDAL KRISHI BHANDER"/>
    <s v="9681347066"/>
  </r>
  <r>
    <s v="RCF Thal"/>
    <s v="N.C.Urea(45kg)"/>
    <s v="WB"/>
    <x v="0"/>
    <s v="Amdanga"/>
    <s v="User Not Mapped"/>
    <s v="User Not Mapped"/>
    <s v="User Not Mapped"/>
    <n v="189386"/>
    <s v="M/S. Chasi Ghar"/>
    <s v="Private Retailer"/>
    <s v="9593077664"/>
    <n v="0.72"/>
    <n v="238"/>
    <x v="3"/>
    <m/>
    <s v="2025-09-01"/>
    <s v="281522"/>
    <s v="N.C. Das and Co."/>
    <s v="6297603863"/>
  </r>
  <r>
    <s v="RCF Trombay"/>
    <s v="15-15-15"/>
    <s v="WB"/>
    <x v="0"/>
    <s v="Amdanga"/>
    <s v="User Not Mapped"/>
    <s v="User Not Mapped"/>
    <s v="User Not Mapped"/>
    <n v="189386"/>
    <s v="M/S. Chasi Ghar"/>
    <s v="Private Retailer"/>
    <s v="9593077664"/>
    <n v="1"/>
    <n v="44"/>
    <x v="1"/>
    <m/>
    <s v="2026-03-14"/>
    <s v="281525"/>
    <s v="M/S Sariful Haque"/>
    <s v="7890901060"/>
  </r>
  <r>
    <s v="RCF Trombay"/>
    <s v="N.C.Urea(45kg)"/>
    <s v="WB"/>
    <x v="0"/>
    <s v="Amdanga"/>
    <s v="User Not Mapped"/>
    <s v="User Not Mapped"/>
    <s v="User Not Mapped"/>
    <n v="189386"/>
    <s v="M/S. Chasi Ghar"/>
    <s v="Private Retailer"/>
    <s v="9593077664"/>
    <n v="6.3"/>
    <n v="95"/>
    <x v="5"/>
    <m/>
    <s v="2026-01-22"/>
    <s v="281522"/>
    <s v="N.C. Das and Co."/>
    <s v="6297603863"/>
  </r>
  <r>
    <s v="RCF Import"/>
    <s v="MOP"/>
    <s v="WB"/>
    <x v="0"/>
    <s v="Amdanga"/>
    <s v="User Not Mapped"/>
    <s v="User Not Mapped"/>
    <s v="User Not Mapped"/>
    <n v="189392"/>
    <s v="M/S. Ghosh Krishi Bipani"/>
    <s v="Private Retailer"/>
    <s v="9748851399"/>
    <n v="0.75"/>
    <n v="210"/>
    <x v="3"/>
    <m/>
    <s v="2025-09-29"/>
    <s v="917469"/>
    <s v="MONDAL KRISHI BHANDER"/>
    <s v="9681347066"/>
  </r>
  <r>
    <s v="RCF Trombay"/>
    <s v="15-15-15"/>
    <s v="WB"/>
    <x v="0"/>
    <s v="Amdanga"/>
    <s v="User Not Mapped"/>
    <s v="User Not Mapped"/>
    <s v="User Not Mapped"/>
    <n v="189408"/>
    <s v="M/S Janokalyan Fertilizers"/>
    <s v="Private Retailer"/>
    <s v="9874303577"/>
    <n v="0.45"/>
    <n v="72"/>
    <x v="2"/>
    <m/>
    <s v="2026-02-14"/>
    <s v="281522"/>
    <s v="N.C. Das and Co."/>
    <s v="6297603863"/>
  </r>
  <r>
    <s v="RCF Trombay"/>
    <s v="N.C.Urea(45kg)"/>
    <s v="WB"/>
    <x v="0"/>
    <s v="Amdanga"/>
    <s v="User Not Mapped"/>
    <s v="User Not Mapped"/>
    <s v="User Not Mapped"/>
    <n v="189408"/>
    <s v="M/S Janokalyan Fertilizers"/>
    <s v="Private Retailer"/>
    <s v="9874303577"/>
    <n v="1.7549999999999999"/>
    <n v="72"/>
    <x v="2"/>
    <m/>
    <s v="2026-02-14"/>
    <s v="281522"/>
    <s v="N.C. Das and Co."/>
    <s v="6297603863"/>
  </r>
  <r>
    <s v="RCF Import"/>
    <s v="Imp 10-26-26"/>
    <s v="WB"/>
    <x v="0"/>
    <s v="Amdanga"/>
    <s v="User Not Mapped"/>
    <s v="User Not Mapped"/>
    <s v="User Not Mapped"/>
    <n v="189408"/>
    <s v="M/S Janokalyan Fertilizers"/>
    <s v="Private Retailer"/>
    <s v="9874303577"/>
    <n v="0.45"/>
    <n v="41"/>
    <x v="1"/>
    <m/>
    <s v="2026-03-17"/>
    <s v="281522"/>
    <s v="N.C. Das and Co."/>
    <s v="6297603863"/>
  </r>
  <r>
    <s v="RCF Trombay"/>
    <s v="15-15-15"/>
    <s v="WB"/>
    <x v="0"/>
    <s v="Amdanga"/>
    <s v="User Not Mapped"/>
    <s v="User Not Mapped"/>
    <s v="User Not Mapped"/>
    <n v="189416"/>
    <s v="M/S. Loke Nath Krishi Bhandar"/>
    <s v="Private Retailer"/>
    <s v="9547666619"/>
    <n v="0.04"/>
    <n v="493"/>
    <x v="6"/>
    <m/>
    <s v="2024-12-20"/>
    <s v="917469"/>
    <s v="MONDAL KRISHI BHANDER"/>
    <s v="9681347066"/>
  </r>
  <r>
    <s v="RCF Thal"/>
    <s v="N.C.Urea(45kg)"/>
    <s v="WB"/>
    <x v="0"/>
    <s v="Amdanga"/>
    <s v="User Not Mapped"/>
    <s v="User Not Mapped"/>
    <s v="User Not Mapped"/>
    <n v="189426"/>
    <s v="M/S. Matri Krishi Bhandar"/>
    <s v="Private Retailer"/>
    <s v="7980801211"/>
    <n v="3.15"/>
    <n v="75"/>
    <x v="2"/>
    <m/>
    <s v="2026-02-11"/>
    <s v="281511"/>
    <s v="Malakshmi Krishi Bhandar      "/>
    <s v="9800561868"/>
  </r>
  <r>
    <s v="RCF Trombay"/>
    <s v="15-15-15"/>
    <s v="WB"/>
    <x v="0"/>
    <s v="Amdanga"/>
    <s v="User Not Mapped"/>
    <s v="User Not Mapped"/>
    <s v="User Not Mapped"/>
    <n v="189438"/>
    <s v="M/S Mondal Fertilizer"/>
    <s v="Private Retailer"/>
    <s v="9231246948"/>
    <n v="1"/>
    <n v="523"/>
    <x v="6"/>
    <m/>
    <s v="2024-11-20"/>
    <s v="223807"/>
    <s v="M.K. Chemical and Fertilizers"/>
    <s v="9051316329"/>
  </r>
  <r>
    <s v="RCF Trombay"/>
    <s v="15-15-15"/>
    <s v="WB"/>
    <x v="0"/>
    <s v="Amdanga"/>
    <s v="User Not Mapped"/>
    <s v="User Not Mapped"/>
    <s v="User Not Mapped"/>
    <n v="189464"/>
    <s v="M/S. Sree Durga Krishi Bhandar"/>
    <s v="Private Retailer"/>
    <s v="9836712197"/>
    <n v="0.28299999999999997"/>
    <n v="100"/>
    <x v="5"/>
    <m/>
    <s v="2026-01-17"/>
    <s v="223807"/>
    <s v="M.K. Chemical and Fertilizers"/>
    <s v="9051316329"/>
  </r>
  <r>
    <s v="RCF Trombay"/>
    <s v="15-15-15"/>
    <s v="WB"/>
    <x v="0"/>
    <s v="Amdanga"/>
    <s v="User Not Mapped"/>
    <s v="User Not Mapped"/>
    <s v="User Not Mapped"/>
    <n v="189472"/>
    <s v="MOLLAH FERTILIZER"/>
    <s v="Private Retailer"/>
    <s v="9874073557"/>
    <n v="1.1499999999999999"/>
    <n v="466"/>
    <x v="6"/>
    <m/>
    <s v="2025-01-16"/>
    <s v="739737"/>
    <s v="ALAM FERTILIZER"/>
    <s v="9123715989"/>
  </r>
  <r>
    <s v="RCF Trombay"/>
    <s v="15-15-15"/>
    <s v="WB"/>
    <x v="0"/>
    <s v="Amdanga"/>
    <s v="User Not Mapped"/>
    <s v="User Not Mapped"/>
    <s v="User Not Mapped"/>
    <n v="226461"/>
    <s v="Agrodoot"/>
    <s v="Private Retailer"/>
    <s v="7602499919"/>
    <n v="1.075"/>
    <n v="58"/>
    <x v="1"/>
    <m/>
    <s v="2026-02-28"/>
    <s v="281511"/>
    <s v="Malakshmi Krishi Bhandar      "/>
    <s v="9800561868"/>
  </r>
  <r>
    <s v="RCF Trombay"/>
    <s v="N.C.Urea(45kg)"/>
    <s v="WB"/>
    <x v="0"/>
    <s v="Amdanga"/>
    <s v="User Not Mapped"/>
    <s v="User Not Mapped"/>
    <s v="User Not Mapped"/>
    <n v="226465"/>
    <s v="A.H.Md. Abdur Rahaman"/>
    <s v="Private Retailer"/>
    <s v="9647541848"/>
    <n v="0.22500000000000001"/>
    <n v="95"/>
    <x v="5"/>
    <m/>
    <s v="2026-01-22"/>
    <s v="281522"/>
    <s v="N.C. Das and Co."/>
    <s v="6297603863"/>
  </r>
  <r>
    <s v="RCF Trombay"/>
    <s v="N.C.Urea(45kg)"/>
    <s v="WB"/>
    <x v="0"/>
    <s v="Amdanga"/>
    <s v="User Not Mapped"/>
    <s v="User Not Mapped"/>
    <s v="User Not Mapped"/>
    <n v="226465"/>
    <s v="A.H.Md. Abdur Rahaman"/>
    <s v="Private Retailer"/>
    <s v="9647541848"/>
    <n v="5.49"/>
    <n v="56"/>
    <x v="1"/>
    <m/>
    <s v="2026-03-02"/>
    <s v="917469"/>
    <s v="MONDAL KRISHI BHANDER"/>
    <s v="9681347066"/>
  </r>
  <r>
    <s v="RCF Import"/>
    <s v="MOP"/>
    <s v="WB"/>
    <x v="0"/>
    <s v="Amdanga"/>
    <s v="User Not Mapped"/>
    <s v="User Not Mapped"/>
    <s v="User Not Mapped"/>
    <n v="226625"/>
    <s v="Dey Fertilizers"/>
    <s v="Private Retailer"/>
    <s v="9932328160"/>
    <n v="5.5"/>
    <n v="62"/>
    <x v="2"/>
    <m/>
    <s v="2026-02-24"/>
    <s v="268815"/>
    <s v="Chitta Ranjan Dey"/>
    <s v="9434744870"/>
  </r>
  <r>
    <s v="RCF Trombay"/>
    <s v="15-15-15"/>
    <s v="WB"/>
    <x v="0"/>
    <s v="Amdanga"/>
    <s v="User Not Mapped"/>
    <s v="User Not Mapped"/>
    <s v="User Not Mapped"/>
    <n v="226625"/>
    <s v="Dey Fertilizers"/>
    <s v="Private Retailer"/>
    <s v="9932328160"/>
    <n v="5.55"/>
    <n v="73"/>
    <x v="2"/>
    <m/>
    <s v="2026-02-13"/>
    <s v="268815"/>
    <s v="Chitta Ranjan Dey"/>
    <s v="9434744870"/>
  </r>
  <r>
    <s v="RCF Thal"/>
    <s v="N.C.Urea(45kg)"/>
    <s v="WB"/>
    <x v="0"/>
    <s v="Amdanga"/>
    <s v="User Not Mapped"/>
    <s v="User Not Mapped"/>
    <s v="User Not Mapped"/>
    <n v="226625"/>
    <s v="Dey Fertilizers"/>
    <s v="Private Retailer"/>
    <s v="9932328160"/>
    <n v="3.69"/>
    <n v="46"/>
    <x v="1"/>
    <m/>
    <s v="2026-03-12"/>
    <s v="268815"/>
    <s v="Chitta Ranjan Dey"/>
    <s v="9434744870"/>
  </r>
  <r>
    <s v="RCF Trombay"/>
    <s v="N.C.Urea(45kg)"/>
    <s v="WB"/>
    <x v="0"/>
    <s v="Amdanga"/>
    <s v="User Not Mapped"/>
    <s v="User Not Mapped"/>
    <s v="User Not Mapped"/>
    <n v="226625"/>
    <s v="Dey Fertilizers"/>
    <s v="Private Retailer"/>
    <s v="9932328160"/>
    <n v="5.31"/>
    <n v="72"/>
    <x v="2"/>
    <m/>
    <s v="2026-02-14"/>
    <s v="268815"/>
    <s v="Chitta Ranjan Dey"/>
    <s v="9434744870"/>
  </r>
  <r>
    <s v="RCF Trombay"/>
    <s v="15-15-15"/>
    <s v="WB"/>
    <x v="0"/>
    <s v="Amdanga"/>
    <s v="User Not Mapped"/>
    <s v="User Not Mapped"/>
    <s v="User Not Mapped"/>
    <n v="226644"/>
    <s v="Gagadhatri Krishi Bhandar"/>
    <s v="Private Retailer"/>
    <s v="9830269299"/>
    <n v="1"/>
    <n v="72"/>
    <x v="2"/>
    <m/>
    <s v="2026-02-14"/>
    <s v="281522"/>
    <s v="N.C. Das and Co."/>
    <s v="6297603863"/>
  </r>
  <r>
    <s v="RCF Trombay"/>
    <s v="15-15-15"/>
    <s v="WB"/>
    <x v="0"/>
    <s v="Amdanga"/>
    <s v="User Not Mapped"/>
    <s v="User Not Mapped"/>
    <s v="User Not Mapped"/>
    <n v="226660"/>
    <s v="Ghosh Krishi Bhandar"/>
    <s v="Private Retailer"/>
    <s v="9674139749"/>
    <n v="0.95"/>
    <n v="32"/>
    <x v="1"/>
    <m/>
    <s v="2026-03-26"/>
    <s v="281495"/>
    <s v="Saha Fertilizer Stores        "/>
    <s v="8777624646"/>
  </r>
  <r>
    <s v="RCF Trombay"/>
    <s v="15-15-15"/>
    <s v="WB"/>
    <x v="0"/>
    <s v="Amdanga"/>
    <s v="User Not Mapped"/>
    <s v="User Not Mapped"/>
    <s v="User Not Mapped"/>
    <n v="226660"/>
    <s v="Ghosh Krishi Bhandar"/>
    <s v="Private Retailer"/>
    <s v="9674139749"/>
    <n v="0.35"/>
    <n v="49"/>
    <x v="1"/>
    <m/>
    <s v="2026-03-09"/>
    <s v="281495"/>
    <s v="Saha Fertilizer Stores        "/>
    <s v="8777624646"/>
  </r>
  <r>
    <s v="RCF Thal"/>
    <s v="N.C.Urea(45kg)"/>
    <s v="WB"/>
    <x v="0"/>
    <s v="Amdanga"/>
    <s v="User Not Mapped"/>
    <s v="User Not Mapped"/>
    <s v="User Not Mapped"/>
    <n v="226807"/>
    <s v="Maity Krishi Bhandar"/>
    <s v="Private Retailer"/>
    <s v="8017609570"/>
    <n v="4.5"/>
    <n v="31"/>
    <x v="1"/>
    <m/>
    <s v="2026-03-27"/>
    <s v="917469"/>
    <s v="MONDAL KRISHI BHANDER"/>
    <s v="9681347066"/>
  </r>
  <r>
    <s v="RCF Trombay"/>
    <s v="15-15-15"/>
    <s v="WB"/>
    <x v="0"/>
    <s v="Amdanga"/>
    <s v="User Not Mapped"/>
    <s v="User Not Mapped"/>
    <s v="User Not Mapped"/>
    <n v="226807"/>
    <s v="Maity Krishi Bhandar"/>
    <s v="Private Retailer"/>
    <s v="8017609570"/>
    <n v="0.05"/>
    <n v="72"/>
    <x v="2"/>
    <m/>
    <s v="2026-02-14"/>
    <s v="281522"/>
    <s v="N.C. Das and Co."/>
    <s v="6297603863"/>
  </r>
  <r>
    <s v="RCF Trombay"/>
    <s v="N.C.Urea(45kg)"/>
    <s v="WB"/>
    <x v="0"/>
    <s v="Amdanga"/>
    <s v="User Not Mapped"/>
    <s v="User Not Mapped"/>
    <s v="User Not Mapped"/>
    <n v="226807"/>
    <s v="Maity Krishi Bhandar"/>
    <s v="Private Retailer"/>
    <s v="8017609570"/>
    <n v="0.495"/>
    <n v="72"/>
    <x v="2"/>
    <m/>
    <s v="2026-02-14"/>
    <s v="281522"/>
    <s v="N.C. Das and Co."/>
    <s v="6297603863"/>
  </r>
  <r>
    <s v="RCF Import"/>
    <s v="MOP"/>
    <s v="WB"/>
    <x v="0"/>
    <s v="Amdanga"/>
    <s v="User Not Mapped"/>
    <s v="User Not Mapped"/>
    <s v="User Not Mapped"/>
    <n v="226807"/>
    <s v="Maity Krishi Bhandar"/>
    <s v="Private Retailer"/>
    <s v="8017609570"/>
    <n v="0.5"/>
    <n v="172"/>
    <x v="0"/>
    <m/>
    <s v="2025-11-06"/>
    <s v="917469"/>
    <s v="MONDAL KRISHI BHANDER"/>
    <s v="9681347066"/>
  </r>
  <r>
    <s v="RCF Trombay"/>
    <s v="15-15-15"/>
    <s v="WB"/>
    <x v="0"/>
    <s v="Amdanga"/>
    <s v="User Not Mapped"/>
    <s v="User Not Mapped"/>
    <s v="User Not Mapped"/>
    <n v="226936"/>
    <s v="M/S Bipul Kumar Ghosh"/>
    <s v="Private Retailer"/>
    <s v="9547911117"/>
    <n v="0.5"/>
    <n v="353"/>
    <x v="3"/>
    <m/>
    <s v="2025-05-09"/>
    <s v="223812"/>
    <s v="M/S. Shyma Krishi B"/>
    <s v="8617629886"/>
  </r>
  <r>
    <s v="RCF Import"/>
    <s v="Imp 10-26-26"/>
    <s v="WB"/>
    <x v="0"/>
    <s v="Amdanga"/>
    <s v="User Not Mapped"/>
    <s v="User Not Mapped"/>
    <s v="User Not Mapped"/>
    <n v="226936"/>
    <s v="M/S Bipul Kumar Ghosh"/>
    <s v="Private Retailer"/>
    <s v="9547911117"/>
    <n v="4.8499999999999996"/>
    <n v="62"/>
    <x v="2"/>
    <m/>
    <s v="2026-02-24"/>
    <s v="223812"/>
    <s v="M/S. Shyma Krishi B"/>
    <s v="8617629886"/>
  </r>
  <r>
    <s v="RCF Thal"/>
    <s v="N.C.Urea(45kg)"/>
    <s v="WB"/>
    <x v="0"/>
    <s v="Amdanga"/>
    <s v="User Not Mapped"/>
    <s v="User Not Mapped"/>
    <s v="User Not Mapped"/>
    <n v="226950"/>
    <s v="M/S Ghosh Krishi Bhandar"/>
    <s v="Private Retailer"/>
    <s v="9903483106"/>
    <n v="2.23"/>
    <n v="30"/>
    <x v="4"/>
    <m/>
    <s v="2026-03-28"/>
    <s v="917469"/>
    <s v="MONDAL KRISHI BHANDER"/>
    <s v="9681347066"/>
  </r>
  <r>
    <s v="RCF Trombay"/>
    <s v="15-15-15"/>
    <s v="WB"/>
    <x v="0"/>
    <s v="Amdanga"/>
    <s v="User Not Mapped"/>
    <s v="User Not Mapped"/>
    <s v="User Not Mapped"/>
    <n v="227125"/>
    <s v="Sabuj Krishi Bhandar"/>
    <s v="Private Retailer"/>
    <s v="8348444840"/>
    <n v="0.9"/>
    <n v="31"/>
    <x v="1"/>
    <m/>
    <s v="2026-03-27"/>
    <s v="1192317"/>
    <s v="M/S GHOSH FERTILIZER"/>
    <s v="9064992112"/>
  </r>
  <r>
    <s v="RCF Trombay"/>
    <s v="15-15-15"/>
    <s v="WB"/>
    <x v="0"/>
    <s v="Amdanga"/>
    <s v="User Not Mapped"/>
    <s v="User Not Mapped"/>
    <s v="User Not Mapped"/>
    <n v="270814"/>
    <s v="Santra Krishi Bhandar"/>
    <s v="Private Retailer"/>
    <s v="8609036181"/>
    <n v="0.50900000000000001"/>
    <n v="2514"/>
    <x v="7"/>
    <m/>
    <s v="2019-06-09"/>
    <s v="917469"/>
    <s v="MONDAL KRISHI BHANDER"/>
    <s v="9681347066"/>
  </r>
  <r>
    <s v="RCF Trombay"/>
    <s v="15-15-15"/>
    <s v="WB"/>
    <x v="0"/>
    <s v="Amdanga"/>
    <s v="User Not Mapped"/>
    <s v="User Not Mapped"/>
    <s v="User Not Mapped"/>
    <n v="270814"/>
    <s v="Santra Krishi Bhandar"/>
    <s v="Private Retailer"/>
    <s v="8609036181"/>
    <n v="3.45"/>
    <n v="2078"/>
    <x v="7"/>
    <m/>
    <s v="2020-08-18"/>
    <s v="917469"/>
    <s v="MONDAL KRISHI BHANDER"/>
    <s v="9681347066"/>
  </r>
  <r>
    <s v="RCF Thal"/>
    <s v="N.C.Urea(45kg)"/>
    <s v="WB"/>
    <x v="0"/>
    <s v="Amdanga"/>
    <s v="User Not Mapped"/>
    <s v="User Not Mapped"/>
    <s v="User Not Mapped"/>
    <n v="270814"/>
    <s v="Santra Krishi Bhandar"/>
    <s v="Private Retailer"/>
    <s v="8609036181"/>
    <n v="0.4"/>
    <n v="2514"/>
    <x v="7"/>
    <m/>
    <s v="2019-06-09"/>
    <s v="917469"/>
    <s v="MONDAL KRISHI BHANDER"/>
    <s v="9681347066"/>
  </r>
  <r>
    <s v="RCF Trombay"/>
    <s v="15-15-15"/>
    <s v="WB"/>
    <x v="0"/>
    <s v="Amdanga"/>
    <s v="User Not Mapped"/>
    <s v="User Not Mapped"/>
    <s v="User Not Mapped"/>
    <n v="270814"/>
    <s v="Santra Krishi Bhandar"/>
    <s v="Private Retailer"/>
    <s v="8609036181"/>
    <n v="0.5"/>
    <n v="1993"/>
    <x v="7"/>
    <m/>
    <s v="2020-11-11"/>
    <s v="917469"/>
    <s v="MONDAL KRISHI BHANDER"/>
    <s v="9681347066"/>
  </r>
  <r>
    <s v="RCF Trombay"/>
    <s v="15-15-15"/>
    <s v="WB"/>
    <x v="0"/>
    <s v="Amdanga"/>
    <s v="User Not Mapped"/>
    <s v="User Not Mapped"/>
    <s v="User Not Mapped"/>
    <n v="270814"/>
    <s v="Santra Krishi Bhandar"/>
    <s v="Private Retailer"/>
    <s v="8609036181"/>
    <n v="0.25"/>
    <n v="1981"/>
    <x v="7"/>
    <m/>
    <s v="2020-11-23"/>
    <s v="917469"/>
    <s v="MONDAL KRISHI BHANDER"/>
    <s v="9681347066"/>
  </r>
  <r>
    <s v="RCF Trombay"/>
    <s v="15-15-15"/>
    <s v="WB"/>
    <x v="0"/>
    <s v="Amdanga"/>
    <s v="User Not Mapped"/>
    <s v="User Not Mapped"/>
    <s v="User Not Mapped"/>
    <n v="270814"/>
    <s v="Santra Krishi Bhandar"/>
    <s v="Private Retailer"/>
    <s v="8609036181"/>
    <n v="0.15"/>
    <n v="1974"/>
    <x v="7"/>
    <m/>
    <s v="2020-11-30"/>
    <s v="917469"/>
    <s v="MONDAL KRISHI BHANDER"/>
    <s v="9681347066"/>
  </r>
  <r>
    <s v="RCF Trombay"/>
    <s v="N.C.Urea(45kg)"/>
    <s v="WB"/>
    <x v="0"/>
    <s v="Amdanga"/>
    <s v="User Not Mapped"/>
    <s v="User Not Mapped"/>
    <s v="User Not Mapped"/>
    <n v="270814"/>
    <s v="Santra Krishi Bhandar"/>
    <s v="Private Retailer"/>
    <s v="8609036181"/>
    <n v="1.8"/>
    <n v="2078"/>
    <x v="7"/>
    <m/>
    <s v="2020-08-18"/>
    <s v="917469"/>
    <s v="MONDAL KRISHI BHANDER"/>
    <s v="9681347066"/>
  </r>
  <r>
    <s v="RCF Trombay"/>
    <s v="15-15-15"/>
    <s v="WB"/>
    <x v="0"/>
    <s v="Amdanga"/>
    <s v="User Not Mapped"/>
    <s v="User Not Mapped"/>
    <s v="User Not Mapped"/>
    <n v="270814"/>
    <s v="Santra Krishi Bhandar"/>
    <s v="Private Retailer"/>
    <s v="8609036181"/>
    <n v="0.5"/>
    <n v="1972"/>
    <x v="7"/>
    <m/>
    <s v="2020-12-02"/>
    <s v="917469"/>
    <s v="MONDAL KRISHI BHANDER"/>
    <s v="9681347066"/>
  </r>
  <r>
    <s v="RCF Trombay"/>
    <s v="N.C.Urea(45kg)"/>
    <s v="WB"/>
    <x v="0"/>
    <s v="Amdanga"/>
    <s v="User Not Mapped"/>
    <s v="User Not Mapped"/>
    <s v="User Not Mapped"/>
    <n v="289597"/>
    <s v="Chowdhury Fertilizer"/>
    <s v="Private Retailer"/>
    <s v="9051376300"/>
    <n v="10.484999999999999"/>
    <n v="63"/>
    <x v="2"/>
    <m/>
    <s v="2026-02-23"/>
    <s v="223812"/>
    <s v="M/S. Shyma Krishi B"/>
    <s v="8617629886"/>
  </r>
  <r>
    <s v="RCF Import"/>
    <s v="MOP"/>
    <s v="WB"/>
    <x v="0"/>
    <s v="Amdanga"/>
    <s v="User Not Mapped"/>
    <s v="User Not Mapped"/>
    <s v="User Not Mapped"/>
    <n v="289611"/>
    <s v="Molla Fertilizer"/>
    <s v="Private Retailer"/>
    <s v="8583815525"/>
    <n v="0.2"/>
    <n v="236"/>
    <x v="3"/>
    <m/>
    <s v="2025-09-03"/>
    <s v="917469"/>
    <s v="MONDAL KRISHI BHANDER"/>
    <s v="9681347066"/>
  </r>
  <r>
    <s v="RCF Trombay"/>
    <s v="15-15-15"/>
    <s v="WB"/>
    <x v="0"/>
    <s v="Amdanga"/>
    <s v="User Not Mapped"/>
    <s v="User Not Mapped"/>
    <s v="User Not Mapped"/>
    <n v="289611"/>
    <s v="Molla Fertilizer"/>
    <s v="Private Retailer"/>
    <s v="8583815525"/>
    <n v="0.1"/>
    <n v="236"/>
    <x v="3"/>
    <m/>
    <s v="2025-09-03"/>
    <s v="917469"/>
    <s v="MONDAL KRISHI BHANDER"/>
    <s v="9681347066"/>
  </r>
  <r>
    <s v="RCF Trombay"/>
    <s v="N.C.Urea(45kg)"/>
    <s v="WB"/>
    <x v="0"/>
    <s v="Amdanga"/>
    <s v="User Not Mapped"/>
    <s v="User Not Mapped"/>
    <s v="User Not Mapped"/>
    <n v="289611"/>
    <s v="Molla Fertilizer"/>
    <s v="Private Retailer"/>
    <s v="8583815525"/>
    <n v="0.09"/>
    <n v="236"/>
    <x v="3"/>
    <m/>
    <s v="2025-09-03"/>
    <s v="917469"/>
    <s v="MONDAL KRISHI BHANDER"/>
    <s v="9681347066"/>
  </r>
  <r>
    <s v="RCF Thal"/>
    <s v="N.C.Urea(45kg)"/>
    <s v="WB"/>
    <x v="0"/>
    <s v="Amdanga"/>
    <s v="User Not Mapped"/>
    <s v="User Not Mapped"/>
    <s v="User Not Mapped"/>
    <n v="323590"/>
    <s v="Basudeb Ghosh"/>
    <s v="Private Retailer"/>
    <s v="9830210770"/>
    <n v="3.78"/>
    <n v="25"/>
    <x v="4"/>
    <m/>
    <s v="2026-04-02"/>
    <s v="268650"/>
    <s v="Barasat Krishi Bipani"/>
    <s v="8336087625"/>
  </r>
  <r>
    <s v="RCF Trombay"/>
    <s v="N.C.Urea(45kg)"/>
    <s v="WB"/>
    <x v="0"/>
    <s v="Amdanga"/>
    <s v="User Not Mapped"/>
    <s v="User Not Mapped"/>
    <s v="User Not Mapped"/>
    <n v="323590"/>
    <s v="Basudeb Ghosh"/>
    <s v="Private Retailer"/>
    <s v="9830210770"/>
    <n v="0.13500000000000001"/>
    <n v="62"/>
    <x v="2"/>
    <m/>
    <s v="2026-02-24"/>
    <s v="268650"/>
    <s v="Barasat Krishi Bipani"/>
    <s v="8336087625"/>
  </r>
  <r>
    <s v="RCF Trombay"/>
    <s v="15-15-15"/>
    <s v="WB"/>
    <x v="0"/>
    <s v="Amdanga"/>
    <s v="User Not Mapped"/>
    <s v="User Not Mapped"/>
    <s v="User Not Mapped"/>
    <n v="331501"/>
    <s v="NEW Mondal FERTILIZERS"/>
    <s v="State Marketing Federation"/>
    <s v="9903273616"/>
    <n v="5"/>
    <n v="91"/>
    <x v="5"/>
    <m/>
    <s v="2026-01-26"/>
    <s v="281511"/>
    <s v="Malakshmi Krishi Bhandar      "/>
    <s v="9800561868"/>
  </r>
  <r>
    <s v="RCF Import"/>
    <s v="MOP"/>
    <s v="WB"/>
    <x v="0"/>
    <s v="Amdanga"/>
    <s v="User Not Mapped"/>
    <s v="User Not Mapped"/>
    <s v="User Not Mapped"/>
    <n v="331501"/>
    <s v="NEW Mondal FERTILIZERS"/>
    <s v="State Marketing Federation"/>
    <s v="9903273616"/>
    <n v="5.5"/>
    <n v="56"/>
    <x v="1"/>
    <m/>
    <s v="2026-03-02"/>
    <s v="281511"/>
    <s v="Malakshmi Krishi Bhandar      "/>
    <s v="9800561868"/>
  </r>
  <r>
    <s v="RCF Import"/>
    <s v="MOP"/>
    <s v="WB"/>
    <x v="0"/>
    <s v="Amdanga"/>
    <s v="User Not Mapped"/>
    <s v="User Not Mapped"/>
    <s v="User Not Mapped"/>
    <n v="331501"/>
    <s v="NEW Mondal FERTILIZERS"/>
    <s v="State Marketing Federation"/>
    <s v="9903273616"/>
    <n v="2.75"/>
    <n v="172"/>
    <x v="0"/>
    <m/>
    <s v="2025-11-06"/>
    <s v="917469"/>
    <s v="MONDAL KRISHI BHANDER"/>
    <s v="9681347066"/>
  </r>
  <r>
    <s v="RCF Import"/>
    <s v="MOP"/>
    <s v="WB"/>
    <x v="0"/>
    <s v="Amdanga"/>
    <s v="User Not Mapped"/>
    <s v="User Not Mapped"/>
    <s v="User Not Mapped"/>
    <n v="331501"/>
    <s v="NEW Mondal FERTILIZERS"/>
    <s v="State Marketing Federation"/>
    <s v="9903273616"/>
    <n v="3.25"/>
    <n v="157"/>
    <x v="0"/>
    <m/>
    <s v="2025-11-21"/>
    <s v="917469"/>
    <s v="MONDAL KRISHI BHANDER"/>
    <s v="9681347066"/>
  </r>
  <r>
    <s v="RCF Trombay"/>
    <s v="N.C.Urea(45kg)"/>
    <s v="WB"/>
    <x v="0"/>
    <s v="Amdanga"/>
    <s v="User Not Mapped"/>
    <s v="User Not Mapped"/>
    <s v="User Not Mapped"/>
    <n v="331501"/>
    <s v="NEW Mondal FERTILIZERS"/>
    <s v="State Marketing Federation"/>
    <s v="9903273616"/>
    <n v="2.2949999999999999"/>
    <n v="521"/>
    <x v="6"/>
    <m/>
    <s v="2024-11-22"/>
    <s v="281511"/>
    <s v="Malakshmi Krishi Bhandar      "/>
    <s v="9800561868"/>
  </r>
  <r>
    <s v="RCF Trombay"/>
    <s v="15-15-15"/>
    <s v="WB"/>
    <x v="0"/>
    <s v="Amdanga"/>
    <s v="User Not Mapped"/>
    <s v="User Not Mapped"/>
    <s v="User Not Mapped"/>
    <n v="331501"/>
    <s v="NEW Mondal FERTILIZERS"/>
    <s v="State Marketing Federation"/>
    <s v="9903273616"/>
    <n v="5.5"/>
    <n v="71"/>
    <x v="2"/>
    <m/>
    <s v="2026-02-15"/>
    <s v="917469"/>
    <s v="MONDAL KRISHI BHANDER"/>
    <s v="9681347066"/>
  </r>
  <r>
    <s v="RCF Trombay"/>
    <s v="15-15-15"/>
    <s v="WB"/>
    <x v="0"/>
    <s v="Amdanga"/>
    <s v="User Not Mapped"/>
    <s v="User Not Mapped"/>
    <s v="User Not Mapped"/>
    <n v="331891"/>
    <s v="Sahajee Fertilizers"/>
    <s v="Private Retailer"/>
    <s v="9903868114"/>
    <n v="2.5"/>
    <n v="72"/>
    <x v="2"/>
    <m/>
    <s v="2026-02-14"/>
    <s v="281522"/>
    <s v="N.C. Das and Co."/>
    <s v="6297603863"/>
  </r>
  <r>
    <s v="RCF Trombay"/>
    <s v="15-15-15"/>
    <s v="WB"/>
    <x v="0"/>
    <s v="Amdanga"/>
    <s v="User Not Mapped"/>
    <s v="User Not Mapped"/>
    <s v="User Not Mapped"/>
    <n v="331891"/>
    <s v="Sahajee Fertilizers"/>
    <s v="Private Retailer"/>
    <s v="9903868114"/>
    <n v="3.65"/>
    <n v="72"/>
    <x v="2"/>
    <m/>
    <s v="2026-02-14"/>
    <s v="281511"/>
    <s v="Malakshmi Krishi Bhandar      "/>
    <s v="9800561868"/>
  </r>
  <r>
    <s v="RCF Thal"/>
    <s v="N.C.Urea(45kg)"/>
    <s v="WB"/>
    <x v="0"/>
    <s v="Amdanga"/>
    <s v="User Not Mapped"/>
    <s v="User Not Mapped"/>
    <s v="User Not Mapped"/>
    <n v="331891"/>
    <s v="Sahajee Fertilizers"/>
    <s v="Private Retailer"/>
    <s v="9903868114"/>
    <n v="0.76500000000000001"/>
    <n v="145"/>
    <x v="0"/>
    <m/>
    <s v="2025-12-03"/>
    <s v="281522"/>
    <s v="N.C. Das and Co."/>
    <s v="6297603863"/>
  </r>
  <r>
    <s v="RCF Trombay"/>
    <s v="15-15-15"/>
    <s v="WB"/>
    <x v="0"/>
    <s v="Amdanga"/>
    <s v="User Not Mapped"/>
    <s v="User Not Mapped"/>
    <s v="User Not Mapped"/>
    <n v="354944"/>
    <s v="Ghosh Krishi Bhandar"/>
    <s v="Private Retailer"/>
    <s v="8479933744"/>
    <n v="0.25"/>
    <n v="224"/>
    <x v="3"/>
    <m/>
    <s v="2025-09-15"/>
    <s v="281511"/>
    <s v="Malakshmi Krishi Bhandar      "/>
    <s v="9800561868"/>
  </r>
  <r>
    <s v="RCF Trombay"/>
    <s v="15-15-15"/>
    <s v="WB"/>
    <x v="0"/>
    <s v="Amdanga"/>
    <s v="User Not Mapped"/>
    <s v="User Not Mapped"/>
    <s v="User Not Mapped"/>
    <n v="354944"/>
    <s v="Ghosh Krishi Bhandar"/>
    <s v="Private Retailer"/>
    <s v="8479933744"/>
    <n v="0.25"/>
    <n v="243"/>
    <x v="3"/>
    <m/>
    <s v="2025-08-27"/>
    <s v="281511"/>
    <s v="Malakshmi Krishi Bhandar      "/>
    <s v="9800561868"/>
  </r>
  <r>
    <s v="RCF Trombay"/>
    <s v="N.C.Urea(45kg)"/>
    <s v="WB"/>
    <x v="0"/>
    <s v="Amdanga"/>
    <s v="User Not Mapped"/>
    <s v="User Not Mapped"/>
    <s v="User Not Mapped"/>
    <n v="354944"/>
    <s v="Ghosh Krishi Bhandar"/>
    <s v="Private Retailer"/>
    <s v="8479933744"/>
    <n v="0.09"/>
    <n v="72"/>
    <x v="2"/>
    <m/>
    <s v="2026-02-14"/>
    <s v="281522"/>
    <s v="N.C. Das and Co."/>
    <s v="6297603863"/>
  </r>
  <r>
    <s v="RCF Trombay"/>
    <s v="15-15-15"/>
    <s v="WB"/>
    <x v="0"/>
    <s v="Amdanga"/>
    <s v="User Not Mapped"/>
    <s v="User Not Mapped"/>
    <s v="User Not Mapped"/>
    <n v="355036"/>
    <s v="Hossen Fertillizer"/>
    <s v="Private Retailer"/>
    <s v="9143035128"/>
    <n v="7.2"/>
    <n v="100"/>
    <x v="5"/>
    <m/>
    <s v="2026-01-17"/>
    <s v="268815"/>
    <s v="Chitta Ranjan Dey"/>
    <s v="9434744870"/>
  </r>
  <r>
    <s v="RCF Trombay"/>
    <s v="N.C.Urea(45kg)"/>
    <s v="WB"/>
    <x v="0"/>
    <s v="Amdanga"/>
    <s v="User Not Mapped"/>
    <s v="User Not Mapped"/>
    <s v="User Not Mapped"/>
    <n v="355036"/>
    <s v="Hossen Fertillizer"/>
    <s v="Private Retailer"/>
    <s v="9143035128"/>
    <n v="0.27"/>
    <n v="100"/>
    <x v="5"/>
    <m/>
    <s v="2026-01-17"/>
    <s v="268815"/>
    <s v="Chitta Ranjan Dey"/>
    <s v="9434744870"/>
  </r>
  <r>
    <s v="RCF Thal"/>
    <s v="N.C.Urea(45kg)"/>
    <s v="WB"/>
    <x v="0"/>
    <s v="Amdanga"/>
    <s v="User Not Mapped"/>
    <s v="User Not Mapped"/>
    <s v="User Not Mapped"/>
    <n v="355036"/>
    <s v="Hossen Fertillizer"/>
    <s v="Private Retailer"/>
    <s v="9143035128"/>
    <n v="10.98"/>
    <n v="46"/>
    <x v="1"/>
    <m/>
    <s v="2026-03-12"/>
    <s v="268815"/>
    <s v="Chitta Ranjan Dey"/>
    <s v="9434744870"/>
  </r>
  <r>
    <s v="RCF Thal"/>
    <s v="N.C.Urea(45kg)"/>
    <s v="WB"/>
    <x v="0"/>
    <s v="Amdanga"/>
    <s v="User Not Mapped"/>
    <s v="User Not Mapped"/>
    <s v="User Not Mapped"/>
    <n v="355062"/>
    <s v="Janapriya  Krishi  Bhander"/>
    <s v="Private Retailer"/>
    <s v="9635908114"/>
    <n v="4.5"/>
    <n v="30"/>
    <x v="4"/>
    <m/>
    <s v="2026-03-28"/>
    <s v="917469"/>
    <s v="MONDAL KRISHI BHANDER"/>
    <s v="9681347066"/>
  </r>
  <r>
    <s v="RCF Import"/>
    <s v="MOP"/>
    <s v="WB"/>
    <x v="0"/>
    <s v="Amdanga"/>
    <s v="User Not Mapped"/>
    <s v="User Not Mapped"/>
    <s v="User Not Mapped"/>
    <n v="355138"/>
    <s v=" Ghosh Fertilizer"/>
    <s v="Private Retailer"/>
    <s v="8016493773"/>
    <n v="0.1"/>
    <n v="172"/>
    <x v="0"/>
    <m/>
    <s v="2025-11-06"/>
    <s v="917469"/>
    <s v="MONDAL KRISHI BHANDER"/>
    <s v="9681347066"/>
  </r>
  <r>
    <s v="RCF Thal"/>
    <s v="N.C.Urea(45kg)"/>
    <s v="WB"/>
    <x v="0"/>
    <s v="Amdanga"/>
    <s v="User Not Mapped"/>
    <s v="User Not Mapped"/>
    <s v="User Not Mapped"/>
    <n v="355138"/>
    <s v=" Ghosh Fertilizer"/>
    <s v="Private Retailer"/>
    <s v="8016493773"/>
    <n v="3.105"/>
    <n v="30"/>
    <x v="4"/>
    <m/>
    <s v="2026-03-28"/>
    <s v="917469"/>
    <s v="MONDAL KRISHI BHANDER"/>
    <s v="9681347066"/>
  </r>
  <r>
    <s v="RCF Trombay"/>
    <s v="15-15-15"/>
    <s v="WB"/>
    <x v="0"/>
    <s v="Amdanga"/>
    <s v="User Not Mapped"/>
    <s v="User Not Mapped"/>
    <s v="User Not Mapped"/>
    <n v="355138"/>
    <s v=" Ghosh Fertilizer"/>
    <s v="Private Retailer"/>
    <s v="8016493773"/>
    <n v="3.55"/>
    <n v="79"/>
    <x v="2"/>
    <m/>
    <s v="2026-02-07"/>
    <s v="917469"/>
    <s v="MONDAL KRISHI BHANDER"/>
    <s v="9681347066"/>
  </r>
  <r>
    <s v="RCF Trombay"/>
    <s v="15-15-15"/>
    <s v="WB"/>
    <x v="0"/>
    <s v="Amdanga"/>
    <s v="User Not Mapped"/>
    <s v="User Not Mapped"/>
    <s v="User Not Mapped"/>
    <n v="355236"/>
    <s v="Maa Lakshmi Fertiliser"/>
    <s v="Private Retailer"/>
    <s v="8017911325"/>
    <n v="11.5"/>
    <n v="72"/>
    <x v="2"/>
    <m/>
    <s v="2026-02-14"/>
    <s v="281522"/>
    <s v="N.C. Das and Co."/>
    <s v="6297603863"/>
  </r>
  <r>
    <s v="RCF Trombay"/>
    <s v="15-15-15"/>
    <s v="WB"/>
    <x v="0"/>
    <s v="Amdanga"/>
    <s v="User Not Mapped"/>
    <s v="User Not Mapped"/>
    <s v="User Not Mapped"/>
    <n v="355236"/>
    <s v="Maa Lakshmi Fertiliser"/>
    <s v="Private Retailer"/>
    <s v="8017911325"/>
    <n v="4"/>
    <n v="94"/>
    <x v="5"/>
    <m/>
    <s v="2026-01-23"/>
    <s v="223807"/>
    <s v="M.K. Chemical and Fertilizers"/>
    <s v="9051316329"/>
  </r>
  <r>
    <s v="RCF Trombay"/>
    <s v="N.C.Urea(45kg)"/>
    <s v="WB"/>
    <x v="0"/>
    <s v="Amdanga"/>
    <s v="User Not Mapped"/>
    <s v="User Not Mapped"/>
    <s v="User Not Mapped"/>
    <n v="382828"/>
    <s v="Rahman Krishi Bhandar"/>
    <s v="Private Retailer"/>
    <s v="9239211954"/>
    <n v="0.09"/>
    <n v="217"/>
    <x v="3"/>
    <m/>
    <s v="2025-09-22"/>
    <s v="281522"/>
    <s v="N.C. Das and Co."/>
    <s v="6297603863"/>
  </r>
  <r>
    <s v="RCF Thal"/>
    <s v="N.C.Urea(45kg)"/>
    <s v="WB"/>
    <x v="0"/>
    <s v="Amdanga"/>
    <s v="User Not Mapped"/>
    <s v="User Not Mapped"/>
    <s v="User Not Mapped"/>
    <n v="382828"/>
    <s v="Rahman Krishi Bhandar"/>
    <s v="Private Retailer"/>
    <s v="9239211954"/>
    <n v="0.94499999999999995"/>
    <n v="145"/>
    <x v="0"/>
    <m/>
    <s v="2025-12-03"/>
    <s v="281522"/>
    <s v="N.C. Das and Co."/>
    <s v="6297603863"/>
  </r>
  <r>
    <s v="RCF Trombay"/>
    <s v="15-15-15"/>
    <s v="WB"/>
    <x v="0"/>
    <s v="Amdanga"/>
    <s v="User Not Mapped"/>
    <s v="User Not Mapped"/>
    <s v="User Not Mapped"/>
    <n v="409510"/>
    <s v="Matri Krishi Bhander"/>
    <s v="Private Retailer"/>
    <s v="9051614023"/>
    <n v="0.79600000000000004"/>
    <n v="167"/>
    <x v="0"/>
    <m/>
    <s v="2025-11-11"/>
    <s v="281511"/>
    <s v="Malakshmi Krishi Bhandar      "/>
    <s v="9800561868"/>
  </r>
  <r>
    <s v="RCF Trombay"/>
    <s v="15-15-15"/>
    <s v="WB"/>
    <x v="0"/>
    <s v="Amdanga"/>
    <s v="User Not Mapped"/>
    <s v="User Not Mapped"/>
    <s v="User Not Mapped"/>
    <n v="409518"/>
    <s v="Mallick Krishi Bhandar"/>
    <s v="Private Retailer"/>
    <s v="9836168497"/>
    <n v="0.05"/>
    <n v="94"/>
    <x v="5"/>
    <m/>
    <s v="2026-01-23"/>
    <s v="223807"/>
    <s v="M.K. Chemical and Fertilizers"/>
    <s v="9051316329"/>
  </r>
  <r>
    <s v="RCF Trombay"/>
    <s v="15-15-15"/>
    <s v="WB"/>
    <x v="0"/>
    <s v="Amdanga"/>
    <s v="User Not Mapped"/>
    <s v="User Not Mapped"/>
    <s v="User Not Mapped"/>
    <n v="410804"/>
    <s v="Swapan Krishi Bhandar"/>
    <s v="Private Retailer"/>
    <s v="9836420931"/>
    <n v="3.4"/>
    <n v="73"/>
    <x v="2"/>
    <m/>
    <s v="2026-02-13"/>
    <s v="268815"/>
    <s v="Chitta Ranjan Dey"/>
    <s v="9434744870"/>
  </r>
  <r>
    <s v="RCF Trombay"/>
    <s v="15-15-15"/>
    <s v="WB"/>
    <x v="0"/>
    <s v="Amdanga"/>
    <s v="User Not Mapped"/>
    <s v="User Not Mapped"/>
    <s v="User Not Mapped"/>
    <n v="410806"/>
    <s v="Bhai Bhai Fertilizer"/>
    <s v="Private Retailer"/>
    <s v="9836765506"/>
    <n v="5.5"/>
    <n v="95"/>
    <x v="5"/>
    <m/>
    <s v="2026-01-22"/>
    <s v="281522"/>
    <s v="N.C. Das and Co."/>
    <s v="6297603863"/>
  </r>
  <r>
    <s v="RCF Trombay"/>
    <s v="15-15-15"/>
    <s v="WB"/>
    <x v="0"/>
    <s v="Amdanga"/>
    <s v="User Not Mapped"/>
    <s v="User Not Mapped"/>
    <s v="User Not Mapped"/>
    <n v="410806"/>
    <s v="Bhai Bhai Fertilizer"/>
    <s v="Private Retailer"/>
    <s v="9836765506"/>
    <n v="0.6"/>
    <n v="140"/>
    <x v="0"/>
    <m/>
    <s v="2025-12-08"/>
    <s v="281522"/>
    <s v="N.C. Das and Co."/>
    <s v="6297603863"/>
  </r>
  <r>
    <s v="RCF Thal"/>
    <s v="N.C.Urea(45kg)"/>
    <s v="WB"/>
    <x v="0"/>
    <s v="Amdanga"/>
    <s v="User Not Mapped"/>
    <s v="User Not Mapped"/>
    <s v="User Not Mapped"/>
    <n v="410806"/>
    <s v="Bhai Bhai Fertilizer"/>
    <s v="Private Retailer"/>
    <s v="9836765506"/>
    <n v="2.2050000000000001"/>
    <n v="101"/>
    <x v="5"/>
    <m/>
    <s v="2026-01-16"/>
    <s v="281522"/>
    <s v="N.C. Das and Co."/>
    <s v="6297603863"/>
  </r>
  <r>
    <s v="RCF Trombay"/>
    <s v="15-15-15"/>
    <s v="WB"/>
    <x v="0"/>
    <s v="Amdanga"/>
    <s v="User Not Mapped"/>
    <s v="User Not Mapped"/>
    <s v="User Not Mapped"/>
    <n v="478001"/>
    <s v="Islam Krishi Bhandar"/>
    <s v="Private Retailer"/>
    <s v="7699366912"/>
    <n v="5"/>
    <n v="72"/>
    <x v="2"/>
    <m/>
    <s v="2026-02-14"/>
    <s v="268815"/>
    <s v="Chitta Ranjan Dey"/>
    <s v="9434744870"/>
  </r>
  <r>
    <s v="RCF Thal"/>
    <s v="N.C.Urea(45kg)"/>
    <s v="WB"/>
    <x v="0"/>
    <s v="Amdanga"/>
    <s v="User Not Mapped"/>
    <s v="User Not Mapped"/>
    <s v="User Not Mapped"/>
    <n v="478001"/>
    <s v="Islam Krishi Bhandar"/>
    <s v="Private Retailer"/>
    <s v="7699366912"/>
    <n v="8.9550000000000001"/>
    <n v="46"/>
    <x v="1"/>
    <m/>
    <s v="2026-03-12"/>
    <s v="268815"/>
    <s v="Chitta Ranjan Dey"/>
    <s v="9434744870"/>
  </r>
  <r>
    <s v="RCF Import"/>
    <s v="Imp 10-26-26"/>
    <s v="WB"/>
    <x v="0"/>
    <s v="Amdanga"/>
    <s v="User Not Mapped"/>
    <s v="User Not Mapped"/>
    <s v="User Not Mapped"/>
    <n v="478001"/>
    <s v="Islam Krishi Bhandar"/>
    <s v="Private Retailer"/>
    <s v="7699366912"/>
    <n v="5"/>
    <n v="28"/>
    <x v="4"/>
    <m/>
    <s v="2026-03-30"/>
    <s v="268815"/>
    <s v="Chitta Ranjan Dey"/>
    <s v="9434744870"/>
  </r>
  <r>
    <s v="RCF Import"/>
    <s v="MOP"/>
    <s v="WB"/>
    <x v="0"/>
    <s v="Amdanga"/>
    <s v="User Not Mapped"/>
    <s v="User Not Mapped"/>
    <s v="User Not Mapped"/>
    <n v="478001"/>
    <s v="Islam Krishi Bhandar"/>
    <s v="Private Retailer"/>
    <s v="7699366912"/>
    <n v="4.5"/>
    <n v="59"/>
    <x v="1"/>
    <m/>
    <s v="2026-02-27"/>
    <s v="268815"/>
    <s v="Chitta Ranjan Dey"/>
    <s v="9434744870"/>
  </r>
  <r>
    <s v="RCF Trombay"/>
    <s v="N.C.Urea(45kg)"/>
    <s v="WB"/>
    <x v="0"/>
    <s v="Amdanga"/>
    <s v="User Not Mapped"/>
    <s v="User Not Mapped"/>
    <s v="User Not Mapped"/>
    <n v="487189"/>
    <s v="M/S Sabir Fertilizer"/>
    <s v="Private Retailer"/>
    <s v="9836939368"/>
    <n v="2.88"/>
    <n v="72"/>
    <x v="2"/>
    <m/>
    <s v="2026-02-14"/>
    <s v="281522"/>
    <s v="N.C. Das and Co."/>
    <s v="6297603863"/>
  </r>
  <r>
    <s v="RCF Trombay"/>
    <s v="15-15-15"/>
    <s v="WB"/>
    <x v="0"/>
    <s v="Amdanga"/>
    <s v="User Not Mapped"/>
    <s v="User Not Mapped"/>
    <s v="User Not Mapped"/>
    <n v="515670"/>
    <s v="M/S MA KARUNAMOYEE KRISHI BHAN"/>
    <s v="Private Retailer"/>
    <s v="7003890718"/>
    <n v="11"/>
    <n v="100"/>
    <x v="5"/>
    <m/>
    <s v="2026-01-17"/>
    <s v="281511"/>
    <s v="Malakshmi Krishi Bhandar      "/>
    <s v="9800561868"/>
  </r>
  <r>
    <s v="RCF Thal"/>
    <s v="N.C.Urea(45kg)"/>
    <s v="WB"/>
    <x v="0"/>
    <s v="Amdanga"/>
    <s v="User Not Mapped"/>
    <s v="User Not Mapped"/>
    <s v="User Not Mapped"/>
    <n v="515670"/>
    <s v="M/S MA KARUNAMOYEE KRISHI BHAN"/>
    <s v="Private Retailer"/>
    <s v="7003890718"/>
    <n v="2.25"/>
    <n v="31"/>
    <x v="1"/>
    <m/>
    <s v="2026-03-27"/>
    <s v="917469"/>
    <s v="MONDAL KRISHI BHANDER"/>
    <s v="9681347066"/>
  </r>
  <r>
    <s v="RCF Trombay"/>
    <s v="N.C.Urea(45kg)"/>
    <s v="WB"/>
    <x v="0"/>
    <s v="Amdanga"/>
    <s v="User Not Mapped"/>
    <s v="User Not Mapped"/>
    <s v="User Not Mapped"/>
    <n v="515670"/>
    <s v="M/S MA KARUNAMOYEE KRISHI BHAN"/>
    <s v="Private Retailer"/>
    <s v="7003890718"/>
    <n v="5.49"/>
    <n v="72"/>
    <x v="2"/>
    <m/>
    <s v="2026-02-14"/>
    <s v="281511"/>
    <s v="Malakshmi Krishi Bhandar      "/>
    <s v="9800561868"/>
  </r>
  <r>
    <s v="RCF Trombay"/>
    <s v="15-15-15"/>
    <s v="WB"/>
    <x v="0"/>
    <s v="Amdanga"/>
    <s v="User Not Mapped"/>
    <s v="User Not Mapped"/>
    <s v="User Not Mapped"/>
    <n v="515670"/>
    <s v="M/S MA KARUNAMOYEE KRISHI BHAN"/>
    <s v="Private Retailer"/>
    <s v="7003890718"/>
    <n v="5.5"/>
    <n v="72"/>
    <x v="2"/>
    <m/>
    <s v="2026-02-14"/>
    <s v="281511"/>
    <s v="Malakshmi Krishi Bhandar      "/>
    <s v="9800561868"/>
  </r>
  <r>
    <s v="RCF Trombay"/>
    <s v="N.C.Urea(45kg)"/>
    <s v="WB"/>
    <x v="0"/>
    <s v="Amdanga"/>
    <s v="User Not Mapped"/>
    <s v="User Not Mapped"/>
    <s v="User Not Mapped"/>
    <n v="515670"/>
    <s v="M/S MA KARUNAMOYEE KRISHI BHAN"/>
    <s v="Private Retailer"/>
    <s v="7003890718"/>
    <n v="5.49"/>
    <n v="100"/>
    <x v="5"/>
    <m/>
    <s v="2026-01-17"/>
    <s v="281511"/>
    <s v="Malakshmi Krishi Bhandar      "/>
    <s v="9800561868"/>
  </r>
  <r>
    <s v="RCF Trombay"/>
    <s v="N.C.Urea(45kg)"/>
    <s v="WB"/>
    <x v="0"/>
    <s v="Amdanga"/>
    <s v="User Not Mapped"/>
    <s v="User Not Mapped"/>
    <s v="User Not Mapped"/>
    <n v="515670"/>
    <s v="M/S MA KARUNAMOYEE KRISHI BHAN"/>
    <s v="Private Retailer"/>
    <s v="7003890718"/>
    <n v="4.319"/>
    <n v="148"/>
    <x v="0"/>
    <m/>
    <s v="2025-11-30"/>
    <s v="281511"/>
    <s v="Malakshmi Krishi Bhandar      "/>
    <s v="9800561868"/>
  </r>
  <r>
    <s v="RCF Trombay"/>
    <s v="15-15-15"/>
    <s v="WB"/>
    <x v="0"/>
    <s v="Amdanga"/>
    <s v="User Not Mapped"/>
    <s v="User Not Mapped"/>
    <s v="User Not Mapped"/>
    <n v="515670"/>
    <s v="M/S MA KARUNAMOYEE KRISHI BHAN"/>
    <s v="Private Retailer"/>
    <s v="7003890718"/>
    <n v="2.694"/>
    <n v="148"/>
    <x v="0"/>
    <m/>
    <s v="2025-11-30"/>
    <s v="281511"/>
    <s v="Malakshmi Krishi Bhandar      "/>
    <s v="9800561868"/>
  </r>
  <r>
    <s v="RCF Trombay"/>
    <s v="15-15-15"/>
    <s v="WB"/>
    <x v="0"/>
    <s v="Amdanga"/>
    <s v="User Not Mapped"/>
    <s v="User Not Mapped"/>
    <s v="User Not Mapped"/>
    <n v="515670"/>
    <s v="M/S MA KARUNAMOYEE KRISHI BHAN"/>
    <s v="Private Retailer"/>
    <s v="7003890718"/>
    <n v="5.5"/>
    <n v="131"/>
    <x v="0"/>
    <m/>
    <s v="2025-12-17"/>
    <s v="281511"/>
    <s v="Malakshmi Krishi Bhandar      "/>
    <s v="9800561868"/>
  </r>
  <r>
    <s v="RCF Thal"/>
    <s v="N.C.Urea(45kg)"/>
    <s v="WB"/>
    <x v="0"/>
    <s v="Amdanga"/>
    <s v="User Not Mapped"/>
    <s v="User Not Mapped"/>
    <s v="User Not Mapped"/>
    <n v="515678"/>
    <s v="M/S Kamal Midde"/>
    <s v="Private Retailer"/>
    <s v="9874616333"/>
    <n v="0.99"/>
    <n v="128"/>
    <x v="0"/>
    <m/>
    <s v="2025-12-20"/>
    <s v="281511"/>
    <s v="Malakshmi Krishi Bhandar      "/>
    <s v="9800561868"/>
  </r>
  <r>
    <s v="RCF Trombay"/>
    <s v="15-15-15"/>
    <s v="WB"/>
    <x v="0"/>
    <s v="Amdanga"/>
    <s v="User Not Mapped"/>
    <s v="User Not Mapped"/>
    <s v="User Not Mapped"/>
    <n v="515686"/>
    <s v="Amirali  Krishi Bhandar"/>
    <s v="Private Retailer"/>
    <s v="9874435167"/>
    <n v="5.5"/>
    <n v="101"/>
    <x v="5"/>
    <m/>
    <s v="2026-01-16"/>
    <s v="281522"/>
    <s v="N.C. Das and Co."/>
    <s v="6297603863"/>
  </r>
  <r>
    <s v="RCF Trombay"/>
    <s v="15-15-15"/>
    <s v="WB"/>
    <x v="0"/>
    <s v="Amdanga"/>
    <s v="User Not Mapped"/>
    <s v="User Not Mapped"/>
    <s v="User Not Mapped"/>
    <n v="515686"/>
    <s v="Amirali  Krishi Bhandar"/>
    <s v="Private Retailer"/>
    <s v="9874435167"/>
    <n v="4.5999999999999996"/>
    <n v="289"/>
    <x v="3"/>
    <m/>
    <s v="2025-07-12"/>
    <s v="328271"/>
    <s v="Amal Sales Corporation"/>
    <s v="7908257456"/>
  </r>
  <r>
    <s v="RCF Trombay"/>
    <s v="15-15-15"/>
    <s v="WB"/>
    <x v="0"/>
    <s v="Amdanga"/>
    <s v="User Not Mapped"/>
    <s v="User Not Mapped"/>
    <s v="User Not Mapped"/>
    <n v="546322"/>
    <s v="M/S JOYGURU KRISHI BHANDER"/>
    <s v="Private Retailer"/>
    <s v="9647402895"/>
    <n v="0.05"/>
    <n v="546"/>
    <x v="6"/>
    <m/>
    <s v="2024-10-28"/>
    <s v="739737"/>
    <s v="ALAM FERTILIZER"/>
    <s v="9123715989"/>
  </r>
  <r>
    <s v="RCF Trombay"/>
    <s v="15-15-15"/>
    <s v="WB"/>
    <x v="0"/>
    <s v="Amdanga"/>
    <s v="User Not Mapped"/>
    <s v="User Not Mapped"/>
    <s v="User Not Mapped"/>
    <n v="730803"/>
    <s v="PROSUN BHANGAR FERTILIZER"/>
    <s v="Private Retailer"/>
    <s v="9088621179"/>
    <n v="1"/>
    <n v="72"/>
    <x v="2"/>
    <m/>
    <s v="2026-02-14"/>
    <s v="281522"/>
    <s v="N.C. Das and Co."/>
    <s v="6297603863"/>
  </r>
  <r>
    <s v="RCF Thal"/>
    <s v="N.C.Urea(45kg)"/>
    <s v="WB"/>
    <x v="0"/>
    <s v="Amdanga"/>
    <s v="User Not Mapped"/>
    <s v="User Not Mapped"/>
    <s v="User Not Mapped"/>
    <n v="750801"/>
    <s v="GORA KRISHI BHNADER"/>
    <s v="Private Retailer"/>
    <s v="9476222355"/>
    <n v="0.495"/>
    <n v="1482"/>
    <x v="7"/>
    <m/>
    <s v="2022-04-06"/>
    <s v="281511"/>
    <s v="Malakshmi Krishi Bhandar      "/>
    <s v="9800561868"/>
  </r>
  <r>
    <s v="RCF Trombay"/>
    <s v="15-15-15"/>
    <s v="WB"/>
    <x v="0"/>
    <s v="Amdanga"/>
    <s v="User Not Mapped"/>
    <s v="User Not Mapped"/>
    <s v="User Not Mapped"/>
    <n v="768090"/>
    <s v="S.K. ENTERPRISE"/>
    <s v="Private Retailer"/>
    <s v="8336830285"/>
    <n v="0.2"/>
    <n v="95"/>
    <x v="5"/>
    <m/>
    <s v="2026-01-22"/>
    <s v="281522"/>
    <s v="N.C. Das and Co."/>
    <s v="6297603863"/>
  </r>
  <r>
    <s v="RCF Trombay"/>
    <s v="15-15-15"/>
    <s v="WB"/>
    <x v="0"/>
    <s v="Amdanga"/>
    <s v="User Not Mapped"/>
    <s v="User Not Mapped"/>
    <s v="User Not Mapped"/>
    <n v="768090"/>
    <s v="S.K. ENTERPRISE"/>
    <s v="Private Retailer"/>
    <s v="8336830285"/>
    <n v="11"/>
    <n v="72"/>
    <x v="2"/>
    <m/>
    <s v="2026-02-14"/>
    <s v="281522"/>
    <s v="N.C. Das and Co."/>
    <s v="6297603863"/>
  </r>
  <r>
    <s v="RCF Trombay"/>
    <s v="15-15-15"/>
    <s v="WB"/>
    <x v="0"/>
    <s v="Amdanga"/>
    <s v="User Not Mapped"/>
    <s v="User Not Mapped"/>
    <s v="User Not Mapped"/>
    <n v="837359"/>
    <s v="ALIBADDIN KRISHI BHANDAR"/>
    <s v="Private Retailer"/>
    <s v="9800461955"/>
    <n v="0.13"/>
    <n v="502"/>
    <x v="6"/>
    <m/>
    <s v="2024-12-11"/>
    <s v="797662"/>
    <s v="KADPUR SKUS LTD"/>
    <s v="9830346319"/>
  </r>
  <r>
    <s v="RCF Thal"/>
    <s v="N.C.Urea(45kg)"/>
    <s v="WB"/>
    <x v="0"/>
    <s v="Amdanga"/>
    <s v="User Not Mapped"/>
    <s v="User Not Mapped"/>
    <s v="User Not Mapped"/>
    <n v="843266"/>
    <s v="ALI KRISHI BHANDER"/>
    <s v="Private Retailer"/>
    <s v="8583933647"/>
    <n v="2.2050000000000001"/>
    <n v="31"/>
    <x v="1"/>
    <m/>
    <s v="2026-03-27"/>
    <s v="917469"/>
    <s v="MONDAL KRISHI BHANDER"/>
    <s v="9681347066"/>
  </r>
  <r>
    <s v="RCF Thal"/>
    <s v="N.C.Urea(45kg)"/>
    <s v="WB"/>
    <x v="0"/>
    <s v="Amdanga"/>
    <s v="User Not Mapped"/>
    <s v="User Not Mapped"/>
    <s v="User Not Mapped"/>
    <n v="876736"/>
    <s v="PADMALOVPUR KRISHI BHANDAR"/>
    <s v="Private Retailer"/>
    <s v="7586032597"/>
    <n v="0.22500000000000001"/>
    <n v="492"/>
    <x v="6"/>
    <m/>
    <s v="2024-12-21"/>
    <s v="797662"/>
    <s v="KADPUR SKUS LTD"/>
    <s v="9830346319"/>
  </r>
  <r>
    <s v="RCF Trombay"/>
    <s v="15-15-15"/>
    <s v="WB"/>
    <x v="0"/>
    <s v="Amdanga"/>
    <s v="User Not Mapped"/>
    <s v="User Not Mapped"/>
    <s v="User Not Mapped"/>
    <n v="876736"/>
    <s v="PADMALOVPUR KRISHI BHANDAR"/>
    <s v="Private Retailer"/>
    <s v="7586032597"/>
    <n v="0.1"/>
    <n v="473"/>
    <x v="6"/>
    <m/>
    <s v="2025-01-09"/>
    <s v="797662"/>
    <s v="KADPUR SKUS LTD"/>
    <s v="9830346319"/>
  </r>
  <r>
    <s v="RCF Trombay"/>
    <s v="15-15-15"/>
    <s v="WB"/>
    <x v="0"/>
    <s v="Amdanga"/>
    <s v="User Not Mapped"/>
    <s v="User Not Mapped"/>
    <s v="User Not Mapped"/>
    <n v="949709"/>
    <s v="Rahaman fertilizer"/>
    <s v="Private Retailer"/>
    <s v="8583927525"/>
    <n v="0.05"/>
    <n v="352"/>
    <x v="3"/>
    <m/>
    <s v="2025-05-10"/>
    <s v="281511"/>
    <s v="Malakshmi Krishi Bhandar      "/>
    <s v="9800561868"/>
  </r>
  <r>
    <s v="RCF Trombay"/>
    <s v="15-15-15"/>
    <s v="WB"/>
    <x v="0"/>
    <s v="Amdanga"/>
    <s v="User Not Mapped"/>
    <s v="User Not Mapped"/>
    <s v="User Not Mapped"/>
    <n v="949709"/>
    <s v="Rahaman fertilizer"/>
    <s v="Private Retailer"/>
    <s v="8583927525"/>
    <n v="1"/>
    <n v="153"/>
    <x v="0"/>
    <m/>
    <s v="2025-11-25"/>
    <s v="281511"/>
    <s v="Malakshmi Krishi Bhandar      "/>
    <s v="9800561868"/>
  </r>
  <r>
    <s v="RCF Trombay"/>
    <s v="15-15-15"/>
    <s v="WB"/>
    <x v="0"/>
    <s v="Amdanga"/>
    <s v="User Not Mapped"/>
    <s v="User Not Mapped"/>
    <s v="User Not Mapped"/>
    <n v="949709"/>
    <s v="Rahaman fertilizer"/>
    <s v="Private Retailer"/>
    <s v="8583927525"/>
    <n v="1"/>
    <n v="169"/>
    <x v="0"/>
    <m/>
    <s v="2025-11-09"/>
    <s v="281511"/>
    <s v="Malakshmi Krishi Bhandar      "/>
    <s v="9800561868"/>
  </r>
  <r>
    <s v="RCF Import"/>
    <s v="Imp 10-26-26"/>
    <s v="WB"/>
    <x v="0"/>
    <s v="Amdanga"/>
    <s v="User Not Mapped"/>
    <s v="User Not Mapped"/>
    <s v="User Not Mapped"/>
    <n v="1018673"/>
    <s v="Rahul amin Fertilizer"/>
    <s v="Private Retailer"/>
    <s v="7890613239"/>
    <n v="3"/>
    <n v="56"/>
    <x v="1"/>
    <m/>
    <s v="2026-03-02"/>
    <s v="281511"/>
    <s v="Malakshmi Krishi Bhandar      "/>
    <s v="9800561868"/>
  </r>
  <r>
    <s v="RCF Thal"/>
    <s v="N.C.Urea(45kg)"/>
    <s v="WB"/>
    <x v="0"/>
    <s v="Amdanga"/>
    <s v="User Not Mapped"/>
    <s v="User Not Mapped"/>
    <s v="User Not Mapped"/>
    <n v="1018673"/>
    <s v="Rahul amin Fertilizer"/>
    <s v="Private Retailer"/>
    <s v="7890613239"/>
    <n v="9.4049999999999994"/>
    <n v="19"/>
    <x v="4"/>
    <m/>
    <s v="2026-04-08"/>
    <s v="281511"/>
    <s v="Malakshmi Krishi Bhandar      "/>
    <s v="9800561868"/>
  </r>
  <r>
    <s v="RCF Trombay"/>
    <s v="15-15-15"/>
    <s v="WB"/>
    <x v="0"/>
    <s v="Amdanga"/>
    <s v="User Not Mapped"/>
    <s v="User Not Mapped"/>
    <s v="User Not Mapped"/>
    <n v="1018673"/>
    <s v="Rahul amin Fertilizer"/>
    <s v="Private Retailer"/>
    <s v="7890613239"/>
    <n v="2.75"/>
    <n v="72"/>
    <x v="2"/>
    <m/>
    <s v="2026-02-14"/>
    <s v="281511"/>
    <s v="Malakshmi Krishi Bhandar      "/>
    <s v="9800561868"/>
  </r>
  <r>
    <s v="RCF Trombay"/>
    <s v="N.C.Urea(45kg)"/>
    <s v="WB"/>
    <x v="0"/>
    <s v="Amdanga"/>
    <s v="User Not Mapped"/>
    <s v="User Not Mapped"/>
    <s v="User Not Mapped"/>
    <n v="1194704"/>
    <s v="M/S KARUNAMAYEE KRISHI BHANDER"/>
    <s v="Private Retailer"/>
    <s v="7797439429"/>
    <n v="8.5050000000000008"/>
    <n v="95"/>
    <x v="5"/>
    <m/>
    <s v="2026-01-22"/>
    <s v="281522"/>
    <s v="N.C. Das and Co."/>
    <s v="6297603863"/>
  </r>
  <r>
    <s v="RCF Trombay"/>
    <s v="15-15-15"/>
    <s v="WB"/>
    <x v="0"/>
    <s v="Amdanga"/>
    <s v="User Not Mapped"/>
    <s v="User Not Mapped"/>
    <s v="User Not Mapped"/>
    <n v="1194704"/>
    <s v="M/S KARUNAMAYEE KRISHI BHANDER"/>
    <s v="Private Retailer"/>
    <s v="7797439429"/>
    <n v="4.05"/>
    <n v="91"/>
    <x v="5"/>
    <m/>
    <s v="2026-01-26"/>
    <s v="281511"/>
    <s v="Malakshmi Krishi Bhandar      "/>
    <s v="9800561868"/>
  </r>
  <r>
    <s v="RCF Trombay"/>
    <s v="15-15-15"/>
    <s v="WB"/>
    <x v="0"/>
    <s v="Amdanga"/>
    <s v="User Not Mapped"/>
    <s v="User Not Mapped"/>
    <s v="User Not Mapped"/>
    <n v="1274585"/>
    <s v="M/S JUMKA FERTILIZER"/>
    <s v="Private Retailer"/>
    <s v="7584822462"/>
    <n v="1.5"/>
    <n v="115"/>
    <x v="5"/>
    <m/>
    <s v="2026-01-02"/>
    <s v="1556413"/>
    <s v="GHOSH KRISHI BHANDAR"/>
    <s v="8697657020"/>
  </r>
  <r>
    <s v="RCF Trombay"/>
    <s v="15-15-15"/>
    <s v="WB"/>
    <x v="0"/>
    <s v="Amdanga"/>
    <s v="User Not Mapped"/>
    <s v="User Not Mapped"/>
    <s v="User Not Mapped"/>
    <n v="1461481"/>
    <s v="SHIV KRISHI BHANDAR"/>
    <s v="Private Retailer"/>
    <s v="8777814254"/>
    <n v="1.1000000000000001"/>
    <n v="459"/>
    <x v="6"/>
    <m/>
    <s v="2025-01-23"/>
    <s v="917469"/>
    <s v="MONDAL KRISHI BHANDER"/>
    <s v="9681347066"/>
  </r>
  <r>
    <s v="RCF Thal"/>
    <s v="N.C.Urea(45kg)"/>
    <s v="WB"/>
    <x v="0"/>
    <s v="Amdanga"/>
    <s v="User Not Mapped"/>
    <s v="User Not Mapped"/>
    <s v="User Not Mapped"/>
    <n v="1461481"/>
    <s v="SHIV KRISHI BHANDAR"/>
    <s v="Private Retailer"/>
    <s v="8777814254"/>
    <n v="2.0249999999999999"/>
    <n v="31"/>
    <x v="1"/>
    <m/>
    <s v="2026-03-27"/>
    <s v="917469"/>
    <s v="MONDAL KRISHI BHANDER"/>
    <s v="9681347066"/>
  </r>
  <r>
    <s v="RCF Thal"/>
    <s v="N.C.Urea(45kg)"/>
    <s v="WB"/>
    <x v="0"/>
    <s v="Amdanga"/>
    <s v="User Not Mapped"/>
    <s v="User Not Mapped"/>
    <s v="User Not Mapped"/>
    <n v="1461481"/>
    <s v="SHIV KRISHI BHANDAR"/>
    <s v="Private Retailer"/>
    <s v="8777814254"/>
    <n v="0.05"/>
    <n v="248"/>
    <x v="3"/>
    <m/>
    <s v="2025-08-22"/>
    <s v="281511"/>
    <s v="Malakshmi Krishi Bhandar      "/>
    <s v="9800561868"/>
  </r>
  <r>
    <s v="RCF Trombay"/>
    <s v="15-15-15"/>
    <s v="WB"/>
    <x v="0"/>
    <s v="Amdanga"/>
    <s v="User Not Mapped"/>
    <s v="User Not Mapped"/>
    <s v="User Not Mapped"/>
    <n v="1461481"/>
    <s v="SHIV KRISHI BHANDAR"/>
    <s v="Private Retailer"/>
    <s v="8777814254"/>
    <n v="0.85"/>
    <n v="516"/>
    <x v="6"/>
    <m/>
    <s v="2024-11-27"/>
    <s v="917469"/>
    <s v="MONDAL KRISHI BHANDER"/>
    <s v="9681347066"/>
  </r>
  <r>
    <s v="RCF Thal"/>
    <s v="N.C.Urea(45kg)"/>
    <s v="WB"/>
    <x v="0"/>
    <s v="Amdanga"/>
    <s v="User Not Mapped"/>
    <s v="User Not Mapped"/>
    <s v="User Not Mapped"/>
    <n v="1509073"/>
    <s v="GHOSH KRISHI BHANDAR"/>
    <s v="Private Retailer"/>
    <s v="9163449557"/>
    <n v="0.40500000000000003"/>
    <n v="16"/>
    <x v="4"/>
    <m/>
    <s v="2026-04-11"/>
    <s v="281511"/>
    <s v="Malakshmi Krishi Bhandar      "/>
    <s v="9800561868"/>
  </r>
  <r>
    <s v="RCF Trombay"/>
    <s v="15-15-15"/>
    <s v="WB"/>
    <x v="0"/>
    <s v="Amdanga"/>
    <s v="User Not Mapped"/>
    <s v="User Not Mapped"/>
    <s v="User Not Mapped"/>
    <n v="1541147"/>
    <s v="Janakalyan krishi Bhander"/>
    <s v="Private Retailer"/>
    <s v="7001240463"/>
    <n v="1.7"/>
    <n v="148"/>
    <x v="0"/>
    <m/>
    <s v="2025-11-30"/>
    <s v="281511"/>
    <s v="Malakshmi Krishi Bhandar      "/>
    <s v="9800561868"/>
  </r>
  <r>
    <s v="RCF Trombay"/>
    <s v="15-15-15"/>
    <s v="WB"/>
    <x v="0"/>
    <s v="Amdanga"/>
    <s v="User Not Mapped"/>
    <s v="User Not Mapped"/>
    <s v="User Not Mapped"/>
    <n v="1548377"/>
    <s v="GHOSH KRISHI BHANDAR"/>
    <s v="Private Retailer"/>
    <s v="8697657020"/>
    <n v="0.05"/>
    <n v="85"/>
    <x v="2"/>
    <m/>
    <s v="2026-02-01"/>
    <s v="1556413"/>
    <s v="GHOSH KRISHI BHANDAR"/>
    <s v="8697657020"/>
  </r>
  <r>
    <s v="RCF Trombay"/>
    <s v="15-15-15"/>
    <s v="WB"/>
    <x v="0"/>
    <s v="Baduria"/>
    <s v="User Not Mapped"/>
    <s v="User Not Mapped"/>
    <s v="User Not Mapped"/>
    <n v="226431"/>
    <s v="Abdukl Hamid"/>
    <s v="Private Retailer"/>
    <s v="9735338529"/>
    <n v="3.55"/>
    <n v="68"/>
    <x v="2"/>
    <m/>
    <s v="2026-02-18"/>
    <s v="281522"/>
    <s v="N.C. Das and Co."/>
    <s v="6297603863"/>
  </r>
  <r>
    <s v="RCF Trombay"/>
    <s v="15-15-15"/>
    <s v="WB"/>
    <x v="0"/>
    <s v="Baduria"/>
    <s v="User Not Mapped"/>
    <s v="User Not Mapped"/>
    <s v="User Not Mapped"/>
    <n v="226447"/>
    <s v="Abdus Salam"/>
    <s v="Private Retailer"/>
    <s v="9800897788"/>
    <n v="6.7"/>
    <n v="51"/>
    <x v="1"/>
    <m/>
    <s v="2026-03-07"/>
    <s v="281511"/>
    <s v="Malakshmi Krishi Bhandar      "/>
    <s v="9800561868"/>
  </r>
  <r>
    <s v="RCF Thal"/>
    <s v="N.C.Urea(45kg)"/>
    <s v="WB"/>
    <x v="0"/>
    <s v="Baduria"/>
    <s v="User Not Mapped"/>
    <s v="User Not Mapped"/>
    <s v="User Not Mapped"/>
    <n v="226470"/>
    <s v="Akbar Ali Baidya"/>
    <s v="Private Retailer"/>
    <s v="8145962353"/>
    <n v="2.6549999999999998"/>
    <n v="46"/>
    <x v="1"/>
    <m/>
    <s v="2026-03-12"/>
    <s v="268815"/>
    <s v="Chitta Ranjan Dey"/>
    <s v="9434744870"/>
  </r>
  <r>
    <s v="RCF Import"/>
    <s v="Imp 10-26-26"/>
    <s v="WB"/>
    <x v="0"/>
    <s v="Baduria"/>
    <s v="User Not Mapped"/>
    <s v="User Not Mapped"/>
    <s v="User Not Mapped"/>
    <n v="226470"/>
    <s v="Akbar Ali Baidya"/>
    <s v="Private Retailer"/>
    <s v="8145962353"/>
    <n v="11"/>
    <n v="28"/>
    <x v="4"/>
    <m/>
    <s v="2026-03-30"/>
    <s v="268815"/>
    <s v="Chitta Ranjan Dey"/>
    <s v="9434744870"/>
  </r>
  <r>
    <s v="RCF Import"/>
    <s v="MOP"/>
    <s v="WB"/>
    <x v="0"/>
    <s v="Baduria"/>
    <s v="User Not Mapped"/>
    <s v="User Not Mapped"/>
    <s v="User Not Mapped"/>
    <n v="226470"/>
    <s v="Akbar Ali Baidya"/>
    <s v="Private Retailer"/>
    <s v="8145962353"/>
    <n v="11"/>
    <n v="62"/>
    <x v="2"/>
    <m/>
    <s v="2026-02-24"/>
    <s v="268815"/>
    <s v="Chitta Ranjan Dey"/>
    <s v="9434744870"/>
  </r>
  <r>
    <s v="RCF Trombay"/>
    <s v="15-15-15"/>
    <s v="WB"/>
    <x v="0"/>
    <s v="Baduria"/>
    <s v="User Not Mapped"/>
    <s v="User Not Mapped"/>
    <s v="User Not Mapped"/>
    <n v="226470"/>
    <s v="Akbar Ali Baidya"/>
    <s v="Private Retailer"/>
    <s v="8145962353"/>
    <n v="2.75"/>
    <n v="100"/>
    <x v="5"/>
    <m/>
    <s v="2026-01-17"/>
    <s v="268815"/>
    <s v="Chitta Ranjan Dey"/>
    <s v="9434744870"/>
  </r>
  <r>
    <s v="RCF Import"/>
    <s v="MOP"/>
    <s v="WB"/>
    <x v="0"/>
    <s v="Baduria"/>
    <s v="User Not Mapped"/>
    <s v="User Not Mapped"/>
    <s v="User Not Mapped"/>
    <n v="226480"/>
    <s v="Ali Baksha Biswas"/>
    <s v="Private Retailer"/>
    <s v="7699973062"/>
    <n v="0.5"/>
    <n v="54"/>
    <x v="1"/>
    <m/>
    <s v="2026-03-04"/>
    <s v="505050"/>
    <s v="M/S Abesh Dutta"/>
    <s v="7063115250"/>
  </r>
  <r>
    <s v="RCF Thal"/>
    <s v="N.C.Urea(45kg)"/>
    <s v="WB"/>
    <x v="0"/>
    <s v="Baduria"/>
    <s v="User Not Mapped"/>
    <s v="User Not Mapped"/>
    <s v="User Not Mapped"/>
    <n v="226531"/>
    <s v="Azahar Krishi Bhandar"/>
    <s v="Private Retailer"/>
    <s v="9735604529"/>
    <n v="2.9249999999999998"/>
    <n v="210"/>
    <x v="3"/>
    <m/>
    <s v="2025-09-29"/>
    <s v="223821"/>
    <s v="M/S Tilok Kumar Dutta"/>
    <s v="9064209939"/>
  </r>
  <r>
    <s v="RCF Trombay"/>
    <s v="15-15-15"/>
    <s v="WB"/>
    <x v="0"/>
    <s v="Baduria"/>
    <s v="User Not Mapped"/>
    <s v="User Not Mapped"/>
    <s v="User Not Mapped"/>
    <n v="226531"/>
    <s v="Azahar Krishi Bhandar"/>
    <s v="Private Retailer"/>
    <s v="9735604529"/>
    <n v="0.45"/>
    <n v="69"/>
    <x v="2"/>
    <m/>
    <s v="2026-02-17"/>
    <s v="281511"/>
    <s v="Malakshmi Krishi Bhandar      "/>
    <s v="9800561868"/>
  </r>
  <r>
    <s v="RCF Trombay"/>
    <s v="15-15-15"/>
    <s v="WB"/>
    <x v="0"/>
    <s v="Baduria"/>
    <s v="User Not Mapped"/>
    <s v="User Not Mapped"/>
    <s v="User Not Mapped"/>
    <n v="226541"/>
    <s v="Bajlur Rahaman"/>
    <s v="Private Retailer"/>
    <s v="9143047131"/>
    <n v="0.01"/>
    <n v="1083"/>
    <x v="7"/>
    <m/>
    <s v="2023-05-10"/>
    <s v="405249"/>
    <s v="Saha Krishi Bhandar"/>
    <s v="9734801636"/>
  </r>
  <r>
    <s v="RCF Trombay"/>
    <s v="N.C.Urea(45kg)"/>
    <s v="WB"/>
    <x v="0"/>
    <s v="Baduria"/>
    <s v="User Not Mapped"/>
    <s v="User Not Mapped"/>
    <s v="User Not Mapped"/>
    <n v="226556"/>
    <s v="Bhagya Lakshmi Krishi Bhandar"/>
    <s v="Private Retailer"/>
    <s v="9734676627"/>
    <n v="0.09"/>
    <n v="99"/>
    <x v="5"/>
    <m/>
    <s v="2026-01-18"/>
    <s v="505050"/>
    <s v="M/S Abesh Dutta"/>
    <s v="7063115250"/>
  </r>
  <r>
    <s v="RCF Trombay"/>
    <s v="15-15-15"/>
    <s v="WB"/>
    <x v="0"/>
    <s v="Baduria"/>
    <s v="User Not Mapped"/>
    <s v="User Not Mapped"/>
    <s v="User Not Mapped"/>
    <n v="226558"/>
    <s v="Bhai Bhai Krishi Bhandar"/>
    <s v="Private Retailer"/>
    <s v="9153140454"/>
    <n v="5.5"/>
    <n v="73"/>
    <x v="2"/>
    <m/>
    <s v="2026-02-13"/>
    <s v="268815"/>
    <s v="Chitta Ranjan Dey"/>
    <s v="9434744870"/>
  </r>
  <r>
    <s v="RCF Trombay"/>
    <s v="15-15-15"/>
    <s v="WB"/>
    <x v="0"/>
    <s v="Baduria"/>
    <s v="User Not Mapped"/>
    <s v="User Not Mapped"/>
    <s v="User Not Mapped"/>
    <n v="226558"/>
    <s v="Bhai Bhai Krishi Bhandar"/>
    <s v="Private Retailer"/>
    <s v="9153140454"/>
    <n v="0.64"/>
    <n v="100"/>
    <x v="5"/>
    <m/>
    <s v="2026-01-17"/>
    <s v="268815"/>
    <s v="Chitta Ranjan Dey"/>
    <s v="9434744870"/>
  </r>
  <r>
    <s v="RCF Import"/>
    <s v="MOP"/>
    <s v="WB"/>
    <x v="0"/>
    <s v="Baduria"/>
    <s v="User Not Mapped"/>
    <s v="User Not Mapped"/>
    <s v="User Not Mapped"/>
    <n v="226558"/>
    <s v="Bhai Bhai Krishi Bhandar"/>
    <s v="Private Retailer"/>
    <s v="9153140454"/>
    <n v="3.61"/>
    <n v="62"/>
    <x v="2"/>
    <m/>
    <s v="2026-02-24"/>
    <s v="268815"/>
    <s v="Chitta Ranjan Dey"/>
    <s v="9434744870"/>
  </r>
  <r>
    <s v="RCF Trombay"/>
    <s v="N.C.Urea(45kg)"/>
    <s v="WB"/>
    <x v="0"/>
    <s v="Baduria"/>
    <s v="User Not Mapped"/>
    <s v="User Not Mapped"/>
    <s v="User Not Mapped"/>
    <n v="226558"/>
    <s v="Bhai Bhai Krishi Bhandar"/>
    <s v="Private Retailer"/>
    <s v="9153140454"/>
    <n v="5.04"/>
    <n v="72"/>
    <x v="2"/>
    <m/>
    <s v="2026-02-14"/>
    <s v="268815"/>
    <s v="Chitta Ranjan Dey"/>
    <s v="9434744870"/>
  </r>
  <r>
    <s v="RCF Trombay"/>
    <s v="15-15-15"/>
    <s v="WB"/>
    <x v="0"/>
    <s v="Baduria"/>
    <s v="User Not Mapped"/>
    <s v="User Not Mapped"/>
    <s v="User Not Mapped"/>
    <n v="226578"/>
    <s v="Biswajit Mondal"/>
    <s v="Private Retailer"/>
    <s v="9775609048"/>
    <n v="0.05"/>
    <n v="284"/>
    <x v="3"/>
    <m/>
    <s v="2025-07-17"/>
    <s v="281522"/>
    <s v="N.C. Das and Co."/>
    <s v="6297603863"/>
  </r>
  <r>
    <s v="RCF Trombay"/>
    <s v="15-15-15"/>
    <s v="WB"/>
    <x v="0"/>
    <s v="Baduria"/>
    <s v="User Not Mapped"/>
    <s v="User Not Mapped"/>
    <s v="User Not Mapped"/>
    <n v="226578"/>
    <s v="Biswajit Mondal"/>
    <s v="Private Retailer"/>
    <s v="9775609048"/>
    <n v="5.5"/>
    <n v="88"/>
    <x v="2"/>
    <m/>
    <s v="2026-01-29"/>
    <s v="281522"/>
    <s v="N.C. Das and Co."/>
    <s v="6297603863"/>
  </r>
  <r>
    <s v="RCF Trombay"/>
    <s v="N.C.Urea(45kg)"/>
    <s v="WB"/>
    <x v="0"/>
    <s v="Baduria"/>
    <s v="User Not Mapped"/>
    <s v="User Not Mapped"/>
    <s v="User Not Mapped"/>
    <n v="226578"/>
    <s v="Biswajit Mondal"/>
    <s v="Private Retailer"/>
    <s v="9775609048"/>
    <n v="5.49"/>
    <n v="88"/>
    <x v="2"/>
    <m/>
    <s v="2026-01-29"/>
    <s v="281522"/>
    <s v="N.C. Das and Co."/>
    <s v="6297603863"/>
  </r>
  <r>
    <s v="RCF Trombay"/>
    <s v="15-15-15"/>
    <s v="WB"/>
    <x v="0"/>
    <s v="Baduria"/>
    <s v="User Not Mapped"/>
    <s v="User Not Mapped"/>
    <s v="User Not Mapped"/>
    <n v="226580"/>
    <s v="Biswanath Mondal"/>
    <s v="Private Retailer"/>
    <s v="9735383595"/>
    <n v="0.19700000000000001"/>
    <n v="300"/>
    <x v="3"/>
    <m/>
    <s v="2025-07-01"/>
    <s v="268650"/>
    <s v="Barasat Krishi Bipani"/>
    <s v="8336087625"/>
  </r>
  <r>
    <s v="RCF Thal"/>
    <s v="N.C.Urea(45kg)"/>
    <s v="WB"/>
    <x v="0"/>
    <s v="Baduria"/>
    <s v="User Not Mapped"/>
    <s v="User Not Mapped"/>
    <s v="User Not Mapped"/>
    <n v="226580"/>
    <s v="Biswanath Mondal"/>
    <s v="Private Retailer"/>
    <s v="9735383595"/>
    <n v="0.56499999999999995"/>
    <n v="252"/>
    <x v="3"/>
    <m/>
    <s v="2025-08-18"/>
    <s v="223812"/>
    <s v="M/S. Shyma Krishi B"/>
    <s v="8617629886"/>
  </r>
  <r>
    <s v="RCF Thal"/>
    <s v="N.C.Urea(45kg)"/>
    <s v="WB"/>
    <x v="0"/>
    <s v="Baduria"/>
    <s v="User Not Mapped"/>
    <s v="User Not Mapped"/>
    <s v="User Not Mapped"/>
    <n v="226602"/>
    <s v="Chasir Bandhu"/>
    <s v="Private Retailer"/>
    <s v="8436150102"/>
    <n v="0.9"/>
    <n v="282"/>
    <x v="3"/>
    <m/>
    <s v="2025-07-19"/>
    <s v="223812"/>
    <s v="M/S. Shyma Krishi B"/>
    <s v="8617629886"/>
  </r>
  <r>
    <s v="RCF Trombay"/>
    <s v="15-15-15"/>
    <s v="WB"/>
    <x v="0"/>
    <s v="Baduria"/>
    <s v="User Not Mapped"/>
    <s v="User Not Mapped"/>
    <s v="User Not Mapped"/>
    <n v="226602"/>
    <s v="Chasir Bandhu"/>
    <s v="Private Retailer"/>
    <s v="8436150102"/>
    <n v="1.05"/>
    <n v="281"/>
    <x v="3"/>
    <m/>
    <s v="2025-07-20"/>
    <s v="1192317"/>
    <s v="M/S GHOSH FERTILIZER"/>
    <s v="9064992112"/>
  </r>
  <r>
    <s v="RCF Import"/>
    <s v="MOP"/>
    <s v="WB"/>
    <x v="0"/>
    <s v="Baduria"/>
    <s v="User Not Mapped"/>
    <s v="User Not Mapped"/>
    <s v="User Not Mapped"/>
    <n v="226631"/>
    <s v="Doha Krishi Biponi"/>
    <s v="Private Retailer"/>
    <s v="7430968010"/>
    <n v="0.5"/>
    <n v="28"/>
    <x v="4"/>
    <m/>
    <s v="2026-03-30"/>
    <s v="505050"/>
    <s v="M/S Abesh Dutta"/>
    <s v="7063115250"/>
  </r>
  <r>
    <s v="RCF Trombay"/>
    <s v="15-15-15"/>
    <s v="WB"/>
    <x v="0"/>
    <s v="Baduria"/>
    <s v="User Not Mapped"/>
    <s v="User Not Mapped"/>
    <s v="User Not Mapped"/>
    <n v="226636"/>
    <s v="Ebrahim Molla"/>
    <s v="Private Retailer"/>
    <s v="9093997935"/>
    <n v="0.45"/>
    <n v="147"/>
    <x v="0"/>
    <m/>
    <s v="2025-12-01"/>
    <s v="223812"/>
    <s v="M/S. Shyma Krishi B"/>
    <s v="8617629886"/>
  </r>
  <r>
    <s v="RCF Import"/>
    <s v="MOP"/>
    <s v="WB"/>
    <x v="0"/>
    <s v="Baduria"/>
    <s v="User Not Mapped"/>
    <s v="User Not Mapped"/>
    <s v="User Not Mapped"/>
    <n v="226636"/>
    <s v="Ebrahim Molla"/>
    <s v="Private Retailer"/>
    <s v="9093997935"/>
    <n v="1"/>
    <n v="52"/>
    <x v="1"/>
    <m/>
    <s v="2026-03-06"/>
    <s v="505050"/>
    <s v="M/S Abesh Dutta"/>
    <s v="7063115250"/>
  </r>
  <r>
    <s v="RCF Thal"/>
    <s v="N.C.Urea(45kg)"/>
    <s v="WB"/>
    <x v="0"/>
    <s v="Baduria"/>
    <s v="User Not Mapped"/>
    <s v="User Not Mapped"/>
    <s v="User Not Mapped"/>
    <n v="226639"/>
    <s v="Fakir Ahamed Mondal"/>
    <s v="Private Retailer"/>
    <s v="9609379774"/>
    <n v="4.41"/>
    <n v="38"/>
    <x v="1"/>
    <m/>
    <s v="2026-03-20"/>
    <s v="268815"/>
    <s v="Chitta Ranjan Dey"/>
    <s v="9434744870"/>
  </r>
  <r>
    <s v="RCF Trombay"/>
    <s v="15-15-15"/>
    <s v="WB"/>
    <x v="0"/>
    <s v="Baduria"/>
    <s v="User Not Mapped"/>
    <s v="User Not Mapped"/>
    <s v="User Not Mapped"/>
    <n v="226682"/>
    <s v="Habiba Krishi Bhandar"/>
    <s v="Private Retailer"/>
    <s v="9153351778"/>
    <n v="0.35"/>
    <n v="69"/>
    <x v="2"/>
    <m/>
    <s v="2026-02-17"/>
    <s v="505050"/>
    <s v="M/S Abesh Dutta"/>
    <s v="7063115250"/>
  </r>
  <r>
    <s v="RCF Trombay"/>
    <s v="15-15-15"/>
    <s v="WB"/>
    <x v="0"/>
    <s v="Baduria"/>
    <s v="User Not Mapped"/>
    <s v="User Not Mapped"/>
    <s v="User Not Mapped"/>
    <n v="226708"/>
    <s v="Islam Krishi Bhaner"/>
    <s v="Private Retailer"/>
    <s v="9732559920"/>
    <n v="1.35"/>
    <n v="292"/>
    <x v="3"/>
    <m/>
    <s v="2025-07-09"/>
    <s v="223812"/>
    <s v="M/S. Shyma Krishi B"/>
    <s v="8617629886"/>
  </r>
  <r>
    <s v="RCF Trombay"/>
    <s v="15-15-15"/>
    <s v="WB"/>
    <x v="0"/>
    <s v="Baduria"/>
    <s v="User Not Mapped"/>
    <s v="User Not Mapped"/>
    <s v="User Not Mapped"/>
    <n v="226710"/>
    <s v="Jafar Ali"/>
    <s v="Private Retailer"/>
    <s v="9735285501"/>
    <n v="0.2"/>
    <n v="672"/>
    <x v="7"/>
    <m/>
    <s v="2024-06-24"/>
    <s v="405249"/>
    <s v="Saha Krishi Bhandar"/>
    <s v="9734801636"/>
  </r>
  <r>
    <s v="RCF Trombay"/>
    <s v="15-15-15"/>
    <s v="WB"/>
    <x v="0"/>
    <s v="Baduria"/>
    <s v="User Not Mapped"/>
    <s v="User Not Mapped"/>
    <s v="User Not Mapped"/>
    <n v="226749"/>
    <s v="Karima Bibi"/>
    <s v="Private Retailer"/>
    <s v="9732548140"/>
    <n v="0.2"/>
    <n v="376"/>
    <x v="6"/>
    <m/>
    <s v="2025-04-16"/>
    <s v="1192317"/>
    <s v="M/S GHOSH FERTILIZER"/>
    <s v="9064992112"/>
  </r>
  <r>
    <s v="RCF Trombay"/>
    <s v="15-15-15"/>
    <s v="WB"/>
    <x v="0"/>
    <s v="Baduria"/>
    <s v="User Not Mapped"/>
    <s v="User Not Mapped"/>
    <s v="User Not Mapped"/>
    <n v="226832"/>
    <s v="Md. Abdul Gafur"/>
    <s v="Private Retailer"/>
    <s v="9733884940"/>
    <n v="0.3"/>
    <n v="31"/>
    <x v="1"/>
    <m/>
    <s v="2026-03-27"/>
    <s v="1192317"/>
    <s v="M/S GHOSH FERTILIZER"/>
    <s v="9064992112"/>
  </r>
  <r>
    <s v="RCF Import"/>
    <s v="MOP"/>
    <s v="WB"/>
    <x v="0"/>
    <s v="Baduria"/>
    <s v="User Not Mapped"/>
    <s v="User Not Mapped"/>
    <s v="User Not Mapped"/>
    <n v="226845"/>
    <s v="Md  Ajed Ali"/>
    <s v="Private Retailer"/>
    <s v="9775077315"/>
    <n v="5.5"/>
    <n v="68"/>
    <x v="2"/>
    <m/>
    <s v="2026-02-18"/>
    <s v="281511"/>
    <s v="Malakshmi Krishi Bhandar      "/>
    <s v="9800561868"/>
  </r>
  <r>
    <s v="RCF Trombay"/>
    <s v="15-15-15"/>
    <s v="WB"/>
    <x v="0"/>
    <s v="Baduria"/>
    <s v="User Not Mapped"/>
    <s v="User Not Mapped"/>
    <s v="User Not Mapped"/>
    <n v="226845"/>
    <s v="Md  Ajed Ali"/>
    <s v="Private Retailer"/>
    <s v="9775077315"/>
    <n v="5.5"/>
    <n v="98"/>
    <x v="5"/>
    <m/>
    <s v="2026-01-19"/>
    <s v="281511"/>
    <s v="Malakshmi Krishi Bhandar      "/>
    <s v="9800561868"/>
  </r>
  <r>
    <s v="RCF Trombay"/>
    <s v="15-15-15"/>
    <s v="WB"/>
    <x v="0"/>
    <s v="Baduria"/>
    <s v="User Not Mapped"/>
    <s v="User Not Mapped"/>
    <s v="User Not Mapped"/>
    <n v="226845"/>
    <s v="Md  Ajed Ali"/>
    <s v="Private Retailer"/>
    <s v="9775077315"/>
    <n v="5.5"/>
    <n v="72"/>
    <x v="2"/>
    <m/>
    <s v="2026-02-14"/>
    <s v="281511"/>
    <s v="Malakshmi Krishi Bhandar      "/>
    <s v="9800561868"/>
  </r>
  <r>
    <s v="RCF Trombay"/>
    <s v="N.C.Urea(45kg)"/>
    <s v="WB"/>
    <x v="0"/>
    <s v="Baduria"/>
    <s v="User Not Mapped"/>
    <s v="User Not Mapped"/>
    <s v="User Not Mapped"/>
    <n v="226861"/>
    <s v="Md. Mahiuddin"/>
    <s v="Private Retailer"/>
    <s v="9932760173"/>
    <n v="0.63"/>
    <n v="244"/>
    <x v="3"/>
    <m/>
    <s v="2025-08-26"/>
    <s v="223812"/>
    <s v="M/S. Shyma Krishi B"/>
    <s v="8617629886"/>
  </r>
  <r>
    <s v="RCF Import"/>
    <s v="Imp 10-26-26"/>
    <s v="WB"/>
    <x v="0"/>
    <s v="Baduria"/>
    <s v="User Not Mapped"/>
    <s v="User Not Mapped"/>
    <s v="User Not Mapped"/>
    <n v="226871"/>
    <s v="Md. Nazrul Islam"/>
    <s v="Private Retailer"/>
    <s v="8001993655"/>
    <n v="0.05"/>
    <n v="819"/>
    <x v="7"/>
    <m/>
    <s v="2024-01-29"/>
    <s v="505050"/>
    <s v="M/S Abesh Dutta"/>
    <s v="7063115250"/>
  </r>
  <r>
    <s v="RCF Trombay"/>
    <s v="N.C.Urea(45kg)"/>
    <s v="WB"/>
    <x v="0"/>
    <s v="Baduria"/>
    <s v="User Not Mapped"/>
    <s v="User Not Mapped"/>
    <s v="User Not Mapped"/>
    <n v="226871"/>
    <s v="Md. Nazrul Islam"/>
    <s v="Private Retailer"/>
    <s v="8001993655"/>
    <n v="2.74"/>
    <n v="1252"/>
    <x v="7"/>
    <m/>
    <s v="2022-11-22"/>
    <s v="281522"/>
    <s v="N.C. Das and Co."/>
    <s v="6297603863"/>
  </r>
  <r>
    <s v="RCF Trombay"/>
    <s v="15-15-15"/>
    <s v="WB"/>
    <x v="0"/>
    <s v="Baduria"/>
    <s v="User Not Mapped"/>
    <s v="User Not Mapped"/>
    <s v="User Not Mapped"/>
    <n v="226918"/>
    <s v="Moulik Krishi Bhandar"/>
    <s v="Private Retailer"/>
    <s v="6294662140"/>
    <n v="0.8"/>
    <n v="68"/>
    <x v="2"/>
    <m/>
    <s v="2026-02-18"/>
    <s v="281522"/>
    <s v="N.C. Das and Co."/>
    <s v="6297603863"/>
  </r>
  <r>
    <s v="RCF Import"/>
    <s v="MOP"/>
    <s v="WB"/>
    <x v="0"/>
    <s v="Baduria"/>
    <s v="User Not Mapped"/>
    <s v="User Not Mapped"/>
    <s v="User Not Mapped"/>
    <n v="226946"/>
    <s v="M/S. Ganesh Chandra Ghosh"/>
    <s v="Private Retailer"/>
    <s v="9733506474"/>
    <n v="2.1"/>
    <n v="68"/>
    <x v="2"/>
    <m/>
    <s v="2026-02-18"/>
    <s v="223812"/>
    <s v="M/S. Shyma Krishi B"/>
    <s v="8617629886"/>
  </r>
  <r>
    <s v="RCF Import"/>
    <s v="Imp 10-26-26"/>
    <s v="WB"/>
    <x v="0"/>
    <s v="Baduria"/>
    <s v="User Not Mapped"/>
    <s v="User Not Mapped"/>
    <s v="User Not Mapped"/>
    <n v="226946"/>
    <s v="M/S. Ganesh Chandra Ghosh"/>
    <s v="Private Retailer"/>
    <s v="9733506474"/>
    <n v="1.5"/>
    <n v="62"/>
    <x v="2"/>
    <m/>
    <s v="2026-02-24"/>
    <s v="223812"/>
    <s v="M/S. Shyma Krishi B"/>
    <s v="8617629886"/>
  </r>
  <r>
    <s v="RCF Trombay"/>
    <s v="15-15-15"/>
    <s v="WB"/>
    <x v="0"/>
    <s v="Baduria"/>
    <s v="User Not Mapped"/>
    <s v="User Not Mapped"/>
    <s v="User Not Mapped"/>
    <n v="226979"/>
    <s v="M/S Md. Abdur Rasid"/>
    <s v="Private Retailer"/>
    <s v="9732591399"/>
    <n v="5"/>
    <n v="148"/>
    <x v="0"/>
    <m/>
    <s v="2025-11-30"/>
    <s v="281511"/>
    <s v="Malakshmi Krishi Bhandar      "/>
    <s v="9800561868"/>
  </r>
  <r>
    <s v="RCF Thal"/>
    <s v="N.C.Urea(45kg)"/>
    <s v="WB"/>
    <x v="0"/>
    <s v="Baduria"/>
    <s v="User Not Mapped"/>
    <s v="User Not Mapped"/>
    <s v="User Not Mapped"/>
    <n v="226979"/>
    <s v="M/S Md. Abdur Rasid"/>
    <s v="Private Retailer"/>
    <s v="9732591399"/>
    <n v="2.34"/>
    <n v="20"/>
    <x v="4"/>
    <m/>
    <s v="2026-04-07"/>
    <s v="281522"/>
    <s v="N.C. Das and Co."/>
    <s v="6297603863"/>
  </r>
  <r>
    <s v="RCF Trombay"/>
    <s v="15-15-15"/>
    <s v="WB"/>
    <x v="0"/>
    <s v="Baduria"/>
    <s v="User Not Mapped"/>
    <s v="User Not Mapped"/>
    <s v="User Not Mapped"/>
    <n v="227028"/>
    <s v="Naskar Krishi Bhandar"/>
    <s v="Private Retailer"/>
    <s v="9775363657"/>
    <n v="2.15"/>
    <n v="91"/>
    <x v="5"/>
    <m/>
    <s v="2026-01-26"/>
    <s v="281522"/>
    <s v="N.C. Das and Co."/>
    <s v="6297603863"/>
  </r>
  <r>
    <s v="RCF Import"/>
    <s v="MOP"/>
    <s v="WB"/>
    <x v="0"/>
    <s v="Baduria"/>
    <s v="User Not Mapped"/>
    <s v="User Not Mapped"/>
    <s v="User Not Mapped"/>
    <n v="227083"/>
    <s v="Rabidranath Sarkar"/>
    <s v="Private Retailer"/>
    <s v="9733536355"/>
    <n v="0.2"/>
    <n v="40"/>
    <x v="1"/>
    <m/>
    <s v="2026-03-18"/>
    <s v="497600"/>
    <s v="Samar Nath Sana"/>
    <s v="9563062387"/>
  </r>
  <r>
    <s v="RCF Thal"/>
    <s v="N.C.Urea(45kg)"/>
    <s v="WB"/>
    <x v="0"/>
    <s v="Baduria"/>
    <s v="User Not Mapped"/>
    <s v="User Not Mapped"/>
    <s v="User Not Mapped"/>
    <n v="227157"/>
    <s v="Sana Krishi Bhandar"/>
    <s v="Private Retailer"/>
    <s v="9732940254"/>
    <n v="0.94499999999999995"/>
    <n v="47"/>
    <x v="1"/>
    <m/>
    <s v="2026-03-11"/>
    <s v="505050"/>
    <s v="M/S Abesh Dutta"/>
    <s v="7063115250"/>
  </r>
  <r>
    <s v="RCF Trombay"/>
    <s v="N.C.Urea(45kg)"/>
    <s v="WB"/>
    <x v="0"/>
    <s v="Baduria"/>
    <s v="User Not Mapped"/>
    <s v="User Not Mapped"/>
    <s v="User Not Mapped"/>
    <n v="227179"/>
    <s v="Sathi Nursery"/>
    <s v="Private Retailer"/>
    <s v="7364001598"/>
    <n v="3.51"/>
    <n v="95"/>
    <x v="5"/>
    <m/>
    <s v="2026-01-22"/>
    <s v="502354"/>
    <s v="Joy Shankar Dutta  Sons Ferti"/>
    <s v="9433002237"/>
  </r>
  <r>
    <s v="RCF Trombay"/>
    <s v="15-15-15"/>
    <s v="WB"/>
    <x v="0"/>
    <s v="Baduria"/>
    <s v="User Not Mapped"/>
    <s v="User Not Mapped"/>
    <s v="User Not Mapped"/>
    <n v="227179"/>
    <s v="Sathi Nursery"/>
    <s v="Private Retailer"/>
    <s v="7364001598"/>
    <n v="2.5"/>
    <n v="116"/>
    <x v="5"/>
    <m/>
    <s v="2026-01-01"/>
    <s v="281522"/>
    <s v="N.C. Das and Co."/>
    <s v="6297603863"/>
  </r>
  <r>
    <s v="RCF Trombay"/>
    <s v="15-15-15"/>
    <s v="WB"/>
    <x v="0"/>
    <s v="Baduria"/>
    <s v="User Not Mapped"/>
    <s v="User Not Mapped"/>
    <s v="User Not Mapped"/>
    <n v="227198"/>
    <s v="Sima Krishi Bhandar"/>
    <s v="Private Retailer"/>
    <s v="7479185710"/>
    <n v="0.5"/>
    <n v="92"/>
    <x v="5"/>
    <m/>
    <s v="2026-01-25"/>
    <s v="1048909"/>
    <s v="B K ROY AND COMPANY"/>
    <s v="9734516484"/>
  </r>
  <r>
    <s v="RCF Trombay"/>
    <s v="N.C.Urea(45kg)"/>
    <s v="WB"/>
    <x v="0"/>
    <s v="Baduria"/>
    <s v="User Not Mapped"/>
    <s v="User Not Mapped"/>
    <s v="User Not Mapped"/>
    <n v="227211"/>
    <s v="Sonali Krishi Bhandar"/>
    <s v="Private Retailer"/>
    <s v="9732563172"/>
    <n v="0.09"/>
    <n v="225"/>
    <x v="3"/>
    <m/>
    <s v="2025-09-14"/>
    <s v="1192317"/>
    <s v="M/S GHOSH FERTILIZER"/>
    <s v="9064992112"/>
  </r>
  <r>
    <s v="RCF Thal"/>
    <s v="N.C.Urea(45kg)"/>
    <s v="WB"/>
    <x v="0"/>
    <s v="Baduria"/>
    <s v="User Not Mapped"/>
    <s v="User Not Mapped"/>
    <s v="User Not Mapped"/>
    <n v="227248"/>
    <s v="Swapan Paul"/>
    <s v="Private Retailer"/>
    <s v="7478929519"/>
    <n v="4.8600000000000003"/>
    <n v="16"/>
    <x v="4"/>
    <m/>
    <s v="2026-04-11"/>
    <s v="223812"/>
    <s v="M/S. Shyma Krishi B"/>
    <s v="8617629886"/>
  </r>
  <r>
    <s v="RCF Trombay"/>
    <s v="15-15-15"/>
    <s v="WB"/>
    <x v="0"/>
    <s v="Baduria"/>
    <s v="User Not Mapped"/>
    <s v="User Not Mapped"/>
    <s v="User Not Mapped"/>
    <n v="270789"/>
    <s v="Prohallad Bhowmick and Gournag"/>
    <s v="Private Retailer"/>
    <s v="8759327226"/>
    <n v="4.5"/>
    <n v="100"/>
    <x v="5"/>
    <m/>
    <s v="2026-01-17"/>
    <s v="268815"/>
    <s v="Chitta Ranjan Dey"/>
    <s v="9434744870"/>
  </r>
  <r>
    <s v="RCF Thal"/>
    <s v="N.C.Urea(45kg)"/>
    <s v="WB"/>
    <x v="0"/>
    <s v="Baduria"/>
    <s v="User Not Mapped"/>
    <s v="User Not Mapped"/>
    <s v="User Not Mapped"/>
    <n v="270789"/>
    <s v="Prohallad Bhowmick and Gournag"/>
    <s v="Private Retailer"/>
    <s v="8759327226"/>
    <n v="9.6300000000000008"/>
    <n v="46"/>
    <x v="1"/>
    <m/>
    <s v="2026-03-12"/>
    <s v="268815"/>
    <s v="Chitta Ranjan Dey"/>
    <s v="9434744870"/>
  </r>
  <r>
    <s v="RCF Trombay"/>
    <s v="15-15-15"/>
    <s v="WB"/>
    <x v="0"/>
    <s v="Baduria"/>
    <s v="User Not Mapped"/>
    <s v="User Not Mapped"/>
    <s v="User Not Mapped"/>
    <n v="323591"/>
    <s v="Bhola Nath Das"/>
    <s v="Private Retailer"/>
    <s v="9732895664"/>
    <n v="0.75"/>
    <n v="135"/>
    <x v="0"/>
    <m/>
    <s v="2025-12-13"/>
    <s v="405249"/>
    <s v="Saha Krishi Bhandar"/>
    <s v="9734801636"/>
  </r>
  <r>
    <s v="RCF Trombay"/>
    <s v="15-15-15"/>
    <s v="WB"/>
    <x v="0"/>
    <s v="Baduria"/>
    <s v="User Not Mapped"/>
    <s v="User Not Mapped"/>
    <s v="User Not Mapped"/>
    <n v="323591"/>
    <s v="Bhola Nath Das"/>
    <s v="Private Retailer"/>
    <s v="9732895664"/>
    <n v="0.5"/>
    <n v="160"/>
    <x v="0"/>
    <m/>
    <s v="2025-11-18"/>
    <s v="281511"/>
    <s v="Malakshmi Krishi Bhandar      "/>
    <s v="9800561868"/>
  </r>
  <r>
    <s v="RCF Trombay"/>
    <s v="15-15-15"/>
    <s v="WB"/>
    <x v="0"/>
    <s v="Baduria"/>
    <s v="User Not Mapped"/>
    <s v="User Not Mapped"/>
    <s v="User Not Mapped"/>
    <n v="323591"/>
    <s v="Bhola Nath Das"/>
    <s v="Private Retailer"/>
    <s v="9732895664"/>
    <n v="0.5"/>
    <n v="79"/>
    <x v="2"/>
    <m/>
    <s v="2026-02-07"/>
    <s v="281511"/>
    <s v="Malakshmi Krishi Bhandar      "/>
    <s v="9800561868"/>
  </r>
  <r>
    <s v="RCF Trombay"/>
    <s v="15-15-15"/>
    <s v="WB"/>
    <x v="0"/>
    <s v="Baduria"/>
    <s v="User Not Mapped"/>
    <s v="User Not Mapped"/>
    <s v="User Not Mapped"/>
    <n v="323591"/>
    <s v="Bhola Nath Das"/>
    <s v="Private Retailer"/>
    <s v="9732895664"/>
    <n v="0.3"/>
    <n v="272"/>
    <x v="3"/>
    <m/>
    <s v="2025-07-29"/>
    <s v="405249"/>
    <s v="Saha Krishi Bhandar"/>
    <s v="9734801636"/>
  </r>
  <r>
    <s v="RCF Trombay"/>
    <s v="15-15-15"/>
    <s v="WB"/>
    <x v="0"/>
    <s v="Baduria"/>
    <s v="User Not Mapped"/>
    <s v="User Not Mapped"/>
    <s v="User Not Mapped"/>
    <n v="331848"/>
    <s v="Rabiul Islam"/>
    <s v="Private Retailer"/>
    <s v="9732550451"/>
    <n v="5.5"/>
    <n v="99"/>
    <x v="5"/>
    <m/>
    <s v="2026-01-18"/>
    <s v="505050"/>
    <s v="M/S Abesh Dutta"/>
    <s v="7063115250"/>
  </r>
  <r>
    <s v="RCF Trombay"/>
    <s v="15-15-15"/>
    <s v="WB"/>
    <x v="0"/>
    <s v="Baduria"/>
    <s v="User Not Mapped"/>
    <s v="User Not Mapped"/>
    <s v="User Not Mapped"/>
    <n v="331848"/>
    <s v="Rabiul Islam"/>
    <s v="Private Retailer"/>
    <s v="9732550451"/>
    <n v="0.8"/>
    <n v="147"/>
    <x v="0"/>
    <m/>
    <s v="2025-12-01"/>
    <s v="223812"/>
    <s v="M/S. Shyma Krishi B"/>
    <s v="8617629886"/>
  </r>
  <r>
    <s v="RCF Trombay"/>
    <s v="15-15-15"/>
    <s v="WB"/>
    <x v="0"/>
    <s v="Baduria"/>
    <s v="User Not Mapped"/>
    <s v="User Not Mapped"/>
    <s v="User Not Mapped"/>
    <n v="354901"/>
    <s v="Dilip Kumar Saha"/>
    <s v="Private Retailer"/>
    <s v="7001739365"/>
    <n v="13"/>
    <n v="7"/>
    <x v="4"/>
    <m/>
    <s v="2026-04-20"/>
    <s v="405249"/>
    <s v="Saha Krishi Bhandar"/>
    <s v="9734801636"/>
  </r>
  <r>
    <s v="RCF Thal"/>
    <s v="N.C.Urea(45kg)"/>
    <s v="WB"/>
    <x v="0"/>
    <s v="Baduria"/>
    <s v="User Not Mapped"/>
    <s v="User Not Mapped"/>
    <s v="User Not Mapped"/>
    <n v="354901"/>
    <s v="Dilip Kumar Saha"/>
    <s v="Private Retailer"/>
    <s v="7001739365"/>
    <n v="21.6"/>
    <n v="20"/>
    <x v="4"/>
    <m/>
    <s v="2026-04-07"/>
    <s v="281522"/>
    <s v="N.C. Das and Co."/>
    <s v="6297603863"/>
  </r>
  <r>
    <s v="RCF Trombay"/>
    <s v="15-15-15"/>
    <s v="WB"/>
    <x v="0"/>
    <s v="Baduria"/>
    <s v="User Not Mapped"/>
    <s v="User Not Mapped"/>
    <s v="User Not Mapped"/>
    <n v="354901"/>
    <s v="Dilip Kumar Saha"/>
    <s v="Private Retailer"/>
    <s v="7001739365"/>
    <n v="4.75"/>
    <n v="116"/>
    <x v="5"/>
    <m/>
    <s v="2026-01-01"/>
    <s v="281522"/>
    <s v="N.C. Das and Co."/>
    <s v="6297603863"/>
  </r>
  <r>
    <s v="RCF Trombay"/>
    <s v="15-15-15"/>
    <s v="WB"/>
    <x v="0"/>
    <s v="Baduria"/>
    <s v="User Not Mapped"/>
    <s v="User Not Mapped"/>
    <s v="User Not Mapped"/>
    <n v="382403"/>
    <s v="Anup Kumar Ghosh"/>
    <s v="Private Retailer"/>
    <s v="6294358720"/>
    <n v="5.2"/>
    <n v="98"/>
    <x v="5"/>
    <m/>
    <s v="2026-01-19"/>
    <s v="281511"/>
    <s v="Malakshmi Krishi Bhandar      "/>
    <s v="9800561868"/>
  </r>
  <r>
    <s v="RCF Thal"/>
    <s v="N.C.Urea(45kg)"/>
    <s v="WB"/>
    <x v="0"/>
    <s v="Baduria"/>
    <s v="User Not Mapped"/>
    <s v="User Not Mapped"/>
    <s v="User Not Mapped"/>
    <n v="382403"/>
    <s v="Anup Kumar Ghosh"/>
    <s v="Private Retailer"/>
    <s v="6294358720"/>
    <n v="0.22500000000000001"/>
    <n v="151"/>
    <x v="0"/>
    <m/>
    <s v="2025-11-27"/>
    <s v="268815"/>
    <s v="Chitta Ranjan Dey"/>
    <s v="9434744870"/>
  </r>
  <r>
    <s v="RCF Import"/>
    <s v="MOP"/>
    <s v="WB"/>
    <x v="0"/>
    <s v="Baduria"/>
    <s v="User Not Mapped"/>
    <s v="User Not Mapped"/>
    <s v="User Not Mapped"/>
    <n v="382804"/>
    <s v="Nazim Uddin"/>
    <s v="Private Retailer"/>
    <s v="8967902155"/>
    <n v="0.45"/>
    <n v="432"/>
    <x v="6"/>
    <m/>
    <s v="2025-02-19"/>
    <s v="505050"/>
    <s v="M/S Abesh Dutta"/>
    <s v="7063115250"/>
  </r>
  <r>
    <s v="RCF Thal"/>
    <s v="N.C.Urea(45kg)"/>
    <s v="WB"/>
    <x v="0"/>
    <s v="Baduria"/>
    <s v="User Not Mapped"/>
    <s v="User Not Mapped"/>
    <s v="User Not Mapped"/>
    <n v="382832"/>
    <s v="SRI KRISHNA KRISHI BHANDAR"/>
    <s v="Private Retailer"/>
    <s v="9800295649"/>
    <n v="4.9950000000000001"/>
    <n v="16"/>
    <x v="4"/>
    <m/>
    <s v="2026-04-11"/>
    <s v="223812"/>
    <s v="M/S. Shyma Krishi B"/>
    <s v="8617629886"/>
  </r>
  <r>
    <s v="RCF Import"/>
    <s v="MOP"/>
    <s v="WB"/>
    <x v="0"/>
    <s v="Baduria"/>
    <s v="User Not Mapped"/>
    <s v="User Not Mapped"/>
    <s v="User Not Mapped"/>
    <n v="382832"/>
    <s v="SRI KRISHNA KRISHI BHANDAR"/>
    <s v="Private Retailer"/>
    <s v="9800295649"/>
    <n v="1.1000000000000001"/>
    <n v="65"/>
    <x v="2"/>
    <m/>
    <s v="2026-02-21"/>
    <s v="223812"/>
    <s v="M/S. Shyma Krishi B"/>
    <s v="8617629886"/>
  </r>
  <r>
    <s v="RCF Import"/>
    <s v="Imp 10-26-26"/>
    <s v="WB"/>
    <x v="0"/>
    <s v="Baduria"/>
    <s v="User Not Mapped"/>
    <s v="User Not Mapped"/>
    <s v="User Not Mapped"/>
    <n v="382832"/>
    <s v="SRI KRISHNA KRISHI BHANDAR"/>
    <s v="Private Retailer"/>
    <s v="9800295649"/>
    <n v="1.75"/>
    <n v="62"/>
    <x v="2"/>
    <m/>
    <s v="2026-02-24"/>
    <s v="223812"/>
    <s v="M/S. Shyma Krishi B"/>
    <s v="8617629886"/>
  </r>
  <r>
    <s v="RCF Import"/>
    <s v="Imp 10-26-26"/>
    <s v="WB"/>
    <x v="0"/>
    <s v="Baduria"/>
    <s v="User Not Mapped"/>
    <s v="User Not Mapped"/>
    <s v="User Not Mapped"/>
    <n v="410728"/>
    <s v="M/S. Ram Prasad Mondal"/>
    <s v="Private Retailer"/>
    <s v="9609464662"/>
    <n v="5.5"/>
    <n v="28"/>
    <x v="4"/>
    <m/>
    <s v="2026-03-30"/>
    <s v="268815"/>
    <s v="Chitta Ranjan Dey"/>
    <s v="9434744870"/>
  </r>
  <r>
    <s v="RCF Thal"/>
    <s v="N.C.Urea(45kg)"/>
    <s v="WB"/>
    <x v="0"/>
    <s v="Baduria"/>
    <s v="User Not Mapped"/>
    <s v="User Not Mapped"/>
    <s v="User Not Mapped"/>
    <n v="410728"/>
    <s v="M/S. Ram Prasad Mondal"/>
    <s v="Private Retailer"/>
    <s v="9609464662"/>
    <n v="9.5399999999999991"/>
    <n v="76"/>
    <x v="2"/>
    <m/>
    <s v="2026-02-10"/>
    <s v="268815"/>
    <s v="Chitta Ranjan Dey"/>
    <s v="9434744870"/>
  </r>
  <r>
    <s v="RCF Trombay"/>
    <s v="15-15-15"/>
    <s v="WB"/>
    <x v="0"/>
    <s v="Baduria"/>
    <s v="User Not Mapped"/>
    <s v="User Not Mapped"/>
    <s v="User Not Mapped"/>
    <n v="410728"/>
    <s v="M/S. Ram Prasad Mondal"/>
    <s v="Private Retailer"/>
    <s v="9609464662"/>
    <n v="3.4"/>
    <n v="100"/>
    <x v="5"/>
    <m/>
    <s v="2026-01-17"/>
    <s v="268815"/>
    <s v="Chitta Ranjan Dey"/>
    <s v="9434744870"/>
  </r>
  <r>
    <s v="RCF Trombay"/>
    <s v="N.C.Urea(45kg)"/>
    <s v="WB"/>
    <x v="0"/>
    <s v="Baduria"/>
    <s v="User Not Mapped"/>
    <s v="User Not Mapped"/>
    <s v="User Not Mapped"/>
    <n v="410728"/>
    <s v="M/S. Ram Prasad Mondal"/>
    <s v="Private Retailer"/>
    <s v="9609464662"/>
    <n v="5.1749999999999998"/>
    <n v="100"/>
    <x v="5"/>
    <m/>
    <s v="2026-01-17"/>
    <s v="268815"/>
    <s v="Chitta Ranjan Dey"/>
    <s v="9434744870"/>
  </r>
  <r>
    <s v="RCF Trombay"/>
    <s v="15-15-15"/>
    <s v="WB"/>
    <x v="0"/>
    <s v="Baduria"/>
    <s v="User Not Mapped"/>
    <s v="User Not Mapped"/>
    <s v="User Not Mapped"/>
    <n v="460707"/>
    <s v="M/S  Rejaul Krishi Bhander"/>
    <s v="Private Retailer"/>
    <s v="9775585308"/>
    <n v="0.35"/>
    <n v="97"/>
    <x v="5"/>
    <m/>
    <s v="2026-01-20"/>
    <s v="281511"/>
    <s v="Malakshmi Krishi Bhandar      "/>
    <s v="9800561868"/>
  </r>
  <r>
    <s v="RCF Trombay"/>
    <s v="15-15-15"/>
    <s v="WB"/>
    <x v="0"/>
    <s v="Baduria"/>
    <s v="User Not Mapped"/>
    <s v="User Not Mapped"/>
    <s v="User Not Mapped"/>
    <n v="460707"/>
    <s v="M/S  Rejaul Krishi Bhander"/>
    <s v="Private Retailer"/>
    <s v="9775585308"/>
    <n v="0.15"/>
    <n v="169"/>
    <x v="0"/>
    <m/>
    <s v="2025-11-09"/>
    <s v="281511"/>
    <s v="Malakshmi Krishi Bhandar      "/>
    <s v="9800561868"/>
  </r>
  <r>
    <s v="RCF Trombay"/>
    <s v="15-15-15"/>
    <s v="WB"/>
    <x v="0"/>
    <s v="Baduria"/>
    <s v="User Not Mapped"/>
    <s v="User Not Mapped"/>
    <s v="User Not Mapped"/>
    <n v="460707"/>
    <s v="M/S  Rejaul Krishi Bhander"/>
    <s v="Private Retailer"/>
    <s v="9775585308"/>
    <n v="0.5"/>
    <n v="30"/>
    <x v="4"/>
    <m/>
    <s v="2026-03-28"/>
    <s v="281511"/>
    <s v="Malakshmi Krishi Bhandar      "/>
    <s v="9800561868"/>
  </r>
  <r>
    <s v="RCF Thal"/>
    <s v="N.C.Urea(45kg)"/>
    <s v="WB"/>
    <x v="0"/>
    <s v="Baduria"/>
    <s v="User Not Mapped"/>
    <s v="User Not Mapped"/>
    <s v="User Not Mapped"/>
    <n v="460711"/>
    <s v="M/S Raihan Krishi Bhnader"/>
    <s v="Private Retailer"/>
    <s v="7586050984"/>
    <n v="0.45"/>
    <n v="45"/>
    <x v="1"/>
    <m/>
    <s v="2026-03-13"/>
    <s v="1192317"/>
    <s v="M/S GHOSH FERTILIZER"/>
    <s v="9064992112"/>
  </r>
  <r>
    <s v="RCF Trombay"/>
    <s v="15-15-15"/>
    <s v="WB"/>
    <x v="0"/>
    <s v="Baduria"/>
    <s v="User Not Mapped"/>
    <s v="User Not Mapped"/>
    <s v="User Not Mapped"/>
    <n v="460745"/>
    <s v="Sardar Krishi Bhander"/>
    <s v="Private Retailer"/>
    <s v="9647368382"/>
    <n v="3.5000000000000003E-2"/>
    <n v="188"/>
    <x v="3"/>
    <m/>
    <s v="2025-10-21"/>
    <s v="505050"/>
    <s v="M/S Abesh Dutta"/>
    <s v="7063115250"/>
  </r>
  <r>
    <s v="RCF Import"/>
    <s v="MOP"/>
    <s v="WB"/>
    <x v="0"/>
    <s v="Baduria"/>
    <s v="User Not Mapped"/>
    <s v="User Not Mapped"/>
    <s v="User Not Mapped"/>
    <n v="460745"/>
    <s v="Sardar Krishi Bhander"/>
    <s v="Private Retailer"/>
    <s v="9647368382"/>
    <n v="1"/>
    <n v="52"/>
    <x v="1"/>
    <m/>
    <s v="2026-03-06"/>
    <s v="505050"/>
    <s v="M/S Abesh Dutta"/>
    <s v="7063115250"/>
  </r>
  <r>
    <s v="RCF Trombay"/>
    <s v="15-15-15"/>
    <s v="WB"/>
    <x v="0"/>
    <s v="Baduria"/>
    <s v="User Not Mapped"/>
    <s v="User Not Mapped"/>
    <s v="User Not Mapped"/>
    <n v="461952"/>
    <s v="Farid Krishi Bhander"/>
    <s v="Private Retailer"/>
    <s v="9093548082"/>
    <n v="3.05"/>
    <n v="93"/>
    <x v="5"/>
    <m/>
    <s v="2026-01-24"/>
    <s v="223817"/>
    <s v="National Supply Agency"/>
    <s v="9564505288"/>
  </r>
  <r>
    <s v="RCF Trombay"/>
    <s v="15-15-15"/>
    <s v="WB"/>
    <x v="0"/>
    <s v="Baduria"/>
    <s v="User Not Mapped"/>
    <s v="User Not Mapped"/>
    <s v="User Not Mapped"/>
    <n v="624357"/>
    <s v="RAHMAN KRISHI BHANDAR"/>
    <s v="Private Retailer"/>
    <s v="9635990842"/>
    <n v="0.42499999999999999"/>
    <n v="69"/>
    <x v="2"/>
    <m/>
    <s v="2026-02-17"/>
    <s v="281511"/>
    <s v="Malakshmi Krishi Bhandar      "/>
    <s v="9800561868"/>
  </r>
  <r>
    <s v="RCF Import"/>
    <s v="MOP"/>
    <s v="WB"/>
    <x v="0"/>
    <s v="Baduria"/>
    <s v="User Not Mapped"/>
    <s v="User Not Mapped"/>
    <s v="User Not Mapped"/>
    <n v="624357"/>
    <s v="RAHMAN KRISHI BHANDAR"/>
    <s v="Private Retailer"/>
    <s v="9635990842"/>
    <n v="0.65"/>
    <n v="61"/>
    <x v="2"/>
    <m/>
    <s v="2026-02-25"/>
    <s v="281511"/>
    <s v="Malakshmi Krishi Bhandar      "/>
    <s v="9800561868"/>
  </r>
  <r>
    <s v="RCF Trombay"/>
    <s v="15-15-15"/>
    <s v="WB"/>
    <x v="0"/>
    <s v="Baduria"/>
    <s v="User Not Mapped"/>
    <s v="User Not Mapped"/>
    <s v="User Not Mapped"/>
    <n v="668566"/>
    <s v="SADEKUL ISLAM"/>
    <s v="Private Retailer"/>
    <s v="9932294978"/>
    <n v="4.05"/>
    <n v="98"/>
    <x v="5"/>
    <m/>
    <s v="2026-01-19"/>
    <s v="281511"/>
    <s v="Malakshmi Krishi Bhandar      "/>
    <s v="9800561868"/>
  </r>
  <r>
    <s v="RCF Trombay"/>
    <s v="N.C.Urea(45kg)"/>
    <s v="WB"/>
    <x v="0"/>
    <s v="Baduria"/>
    <s v="User Not Mapped"/>
    <s v="User Not Mapped"/>
    <s v="User Not Mapped"/>
    <n v="668566"/>
    <s v="SADEKUL ISLAM"/>
    <s v="Private Retailer"/>
    <s v="9932294978"/>
    <n v="5.1749999999999998"/>
    <n v="98"/>
    <x v="5"/>
    <m/>
    <s v="2026-01-19"/>
    <s v="281511"/>
    <s v="Malakshmi Krishi Bhandar      "/>
    <s v="9800561868"/>
  </r>
  <r>
    <s v="RCF Trombay"/>
    <s v="15-15-15"/>
    <s v="WB"/>
    <x v="0"/>
    <s v="Baduria"/>
    <s v="User Not Mapped"/>
    <s v="User Not Mapped"/>
    <s v="User Not Mapped"/>
    <n v="668748"/>
    <s v="HABIBOR RAHAMAN MONDAL"/>
    <s v="Private Retailer"/>
    <s v="9593117664"/>
    <n v="0.42"/>
    <n v="2142"/>
    <x v="7"/>
    <m/>
    <s v="2020-06-15"/>
    <s v="1076581"/>
    <s v="Adarsha krishi bhander"/>
    <s v="9143169628"/>
  </r>
  <r>
    <s v="RCF Trombay"/>
    <s v="15-15-15"/>
    <s v="WB"/>
    <x v="0"/>
    <s v="Baduria"/>
    <s v="User Not Mapped"/>
    <s v="User Not Mapped"/>
    <s v="User Not Mapped"/>
    <n v="777531"/>
    <s v="Banda Ali Mondal"/>
    <s v="Private Retailer"/>
    <s v="9002180986"/>
    <n v="0.25"/>
    <n v="257"/>
    <x v="3"/>
    <m/>
    <s v="2025-08-13"/>
    <s v="663871"/>
    <s v="Sonali Enterprise"/>
    <s v="8250035491"/>
  </r>
  <r>
    <s v="RCF Import"/>
    <s v="MOP"/>
    <s v="WB"/>
    <x v="0"/>
    <s v="Baduria"/>
    <s v="User Not Mapped"/>
    <s v="User Not Mapped"/>
    <s v="User Not Mapped"/>
    <n v="1216140"/>
    <s v="MONDAL KRISHI BHANDAR"/>
    <s v="Private Retailer"/>
    <s v="6295541039"/>
    <n v="0.25"/>
    <n v="9"/>
    <x v="4"/>
    <m/>
    <s v="2026-04-18"/>
    <s v="663871"/>
    <s v="Sonali Enterprise"/>
    <s v="8250035491"/>
  </r>
  <r>
    <s v="RCF Import"/>
    <s v="MOP"/>
    <s v="WB"/>
    <x v="0"/>
    <s v="Baduria"/>
    <s v="User Not Mapped"/>
    <s v="User Not Mapped"/>
    <s v="User Not Mapped"/>
    <n v="1216140"/>
    <s v="MONDAL KRISHI BHANDAR"/>
    <s v="Private Retailer"/>
    <s v="6295541039"/>
    <n v="0.5"/>
    <n v="53"/>
    <x v="1"/>
    <m/>
    <s v="2026-03-05"/>
    <s v="663871"/>
    <s v="Sonali Enterprise"/>
    <s v="8250035491"/>
  </r>
  <r>
    <s v="RCF Import"/>
    <s v="MOP"/>
    <s v="WB"/>
    <x v="0"/>
    <s v="Baduria"/>
    <s v="User Not Mapped"/>
    <s v="User Not Mapped"/>
    <s v="User Not Mapped"/>
    <n v="1216140"/>
    <s v="MONDAL KRISHI BHANDAR"/>
    <s v="Private Retailer"/>
    <s v="6295541039"/>
    <n v="0.3"/>
    <n v="28"/>
    <x v="4"/>
    <m/>
    <s v="2026-03-30"/>
    <s v="663871"/>
    <s v="Sonali Enterprise"/>
    <s v="8250035491"/>
  </r>
  <r>
    <s v="RCF Trombay"/>
    <s v="15-15-15"/>
    <s v="WB"/>
    <x v="0"/>
    <s v="Baduria"/>
    <s v="User Not Mapped"/>
    <s v="User Not Mapped"/>
    <s v="User Not Mapped"/>
    <n v="1216140"/>
    <s v="MONDAL KRISHI BHANDAR"/>
    <s v="Private Retailer"/>
    <s v="6295541039"/>
    <n v="0.379"/>
    <n v="147"/>
    <x v="0"/>
    <m/>
    <s v="2025-12-01"/>
    <s v="223812"/>
    <s v="M/S. Shyma Krishi B"/>
    <s v="8617629886"/>
  </r>
  <r>
    <s v="RCF Trombay"/>
    <s v="N.C.Urea(45kg)"/>
    <s v="WB"/>
    <x v="0"/>
    <s v="Baduria"/>
    <s v="User Not Mapped"/>
    <s v="User Not Mapped"/>
    <s v="User Not Mapped"/>
    <n v="1216140"/>
    <s v="MONDAL KRISHI BHANDAR"/>
    <s v="Private Retailer"/>
    <s v="6295541039"/>
    <n v="0.125"/>
    <n v="147"/>
    <x v="0"/>
    <m/>
    <s v="2025-12-01"/>
    <s v="223812"/>
    <s v="M/S. Shyma Krishi B"/>
    <s v="8617629886"/>
  </r>
  <r>
    <s v="RCF Trombay"/>
    <s v="15-15-15"/>
    <s v="WB"/>
    <x v="0"/>
    <s v="Baduria"/>
    <s v="User Not Mapped"/>
    <s v="User Not Mapped"/>
    <s v="User Not Mapped"/>
    <n v="1300042"/>
    <s v="TAJMUN NAHAR"/>
    <s v="Private Retailer"/>
    <s v="7679833855"/>
    <n v="5.4"/>
    <n v="73"/>
    <x v="2"/>
    <m/>
    <s v="2026-02-13"/>
    <s v="268815"/>
    <s v="Chitta Ranjan Dey"/>
    <s v="9434744870"/>
  </r>
  <r>
    <s v="RCF Import"/>
    <s v="Imp 10-26-26"/>
    <s v="WB"/>
    <x v="0"/>
    <s v="Baduria"/>
    <s v="User Not Mapped"/>
    <s v="User Not Mapped"/>
    <s v="User Not Mapped"/>
    <n v="1412269"/>
    <s v="GOBINDA CHANDRA MALLICK"/>
    <s v="Private Retailer"/>
    <s v="6294354902"/>
    <n v="0.2"/>
    <n v="244"/>
    <x v="3"/>
    <m/>
    <s v="2025-08-26"/>
    <s v="268815"/>
    <s v="Chitta Ranjan Dey"/>
    <s v="9434744870"/>
  </r>
  <r>
    <s v="RCF Trombay"/>
    <s v="N.C.Urea(45kg)"/>
    <s v="WB"/>
    <x v="0"/>
    <s v="Baduria"/>
    <s v="User Not Mapped"/>
    <s v="User Not Mapped"/>
    <s v="User Not Mapped"/>
    <n v="1412269"/>
    <s v="GOBINDA CHANDRA MALLICK"/>
    <s v="Private Retailer"/>
    <s v="6294354902"/>
    <n v="2.2050000000000001"/>
    <n v="72"/>
    <x v="2"/>
    <m/>
    <s v="2026-02-14"/>
    <s v="268815"/>
    <s v="Chitta Ranjan Dey"/>
    <s v="9434744870"/>
  </r>
  <r>
    <s v="RCF Thal"/>
    <s v="N.C.Urea(45kg)"/>
    <s v="WB"/>
    <x v="0"/>
    <s v="Baduria"/>
    <s v="User Not Mapped"/>
    <s v="User Not Mapped"/>
    <s v="User Not Mapped"/>
    <n v="1412269"/>
    <s v="GOBINDA CHANDRA MALLICK"/>
    <s v="Private Retailer"/>
    <s v="6294354902"/>
    <n v="10.8"/>
    <n v="46"/>
    <x v="1"/>
    <m/>
    <s v="2026-03-12"/>
    <s v="268815"/>
    <s v="Chitta Ranjan Dey"/>
    <s v="9434744870"/>
  </r>
  <r>
    <s v="RCF Import"/>
    <s v="Imp 10-26-26"/>
    <s v="WB"/>
    <x v="0"/>
    <s v="Baduria"/>
    <s v="User Not Mapped"/>
    <s v="User Not Mapped"/>
    <s v="User Not Mapped"/>
    <n v="1412269"/>
    <s v="GOBINDA CHANDRA MALLICK"/>
    <s v="Private Retailer"/>
    <s v="6294354902"/>
    <n v="5.5"/>
    <n v="28"/>
    <x v="4"/>
    <m/>
    <s v="2026-03-30"/>
    <s v="268815"/>
    <s v="Chitta Ranjan Dey"/>
    <s v="9434744870"/>
  </r>
  <r>
    <s v="RCF Import"/>
    <s v="MOP"/>
    <s v="WB"/>
    <x v="0"/>
    <s v="Baduria"/>
    <s v="User Not Mapped"/>
    <s v="User Not Mapped"/>
    <s v="User Not Mapped"/>
    <n v="1412269"/>
    <s v="GOBINDA CHANDRA MALLICK"/>
    <s v="Private Retailer"/>
    <s v="6294354902"/>
    <n v="5.5"/>
    <n v="62"/>
    <x v="2"/>
    <m/>
    <s v="2026-02-24"/>
    <s v="268815"/>
    <s v="Chitta Ranjan Dey"/>
    <s v="9434744870"/>
  </r>
  <r>
    <s v="RCF Trombay"/>
    <s v="15-15-15"/>
    <s v="WB"/>
    <x v="0"/>
    <s v="Baduria"/>
    <s v="User Not Mapped"/>
    <s v="User Not Mapped"/>
    <s v="User Not Mapped"/>
    <n v="1412269"/>
    <s v="GOBINDA CHANDRA MALLICK"/>
    <s v="Private Retailer"/>
    <s v="6294354902"/>
    <n v="2.75"/>
    <n v="72"/>
    <x v="2"/>
    <m/>
    <s v="2026-02-14"/>
    <s v="268815"/>
    <s v="Chitta Ranjan Dey"/>
    <s v="9434744870"/>
  </r>
  <r>
    <s v="RCF Import"/>
    <s v="MOP"/>
    <s v="WB"/>
    <x v="0"/>
    <s v="Baduria"/>
    <s v="User Not Mapped"/>
    <s v="User Not Mapped"/>
    <s v="User Not Mapped"/>
    <n v="1612118"/>
    <s v="MAA LAXMI KRISHI BHANDAR"/>
    <s v="Private Retailer"/>
    <s v="6295046376"/>
    <n v="0.15"/>
    <n v="54"/>
    <x v="1"/>
    <m/>
    <s v="2026-03-04"/>
    <s v="505050"/>
    <s v="M/S Abesh Dutta"/>
    <s v="7063115250"/>
  </r>
  <r>
    <s v="RCF Thal"/>
    <s v="N.C.Urea(45kg)"/>
    <s v="WB"/>
    <x v="0"/>
    <s v="Bagda"/>
    <s v="User Not Mapped"/>
    <s v="User Not Mapped"/>
    <s v="User Not Mapped"/>
    <n v="226627"/>
    <s v="Dilip Mazumder"/>
    <s v="Private Retailer"/>
    <s v="9635346844"/>
    <n v="9.99"/>
    <n v="20"/>
    <x v="4"/>
    <m/>
    <s v="2026-04-07"/>
    <s v="268815"/>
    <s v="Chitta Ranjan Dey"/>
    <s v="9434744870"/>
  </r>
  <r>
    <s v="RCF Import"/>
    <s v="MOP"/>
    <s v="WB"/>
    <x v="0"/>
    <s v="Bagda"/>
    <s v="User Not Mapped"/>
    <s v="User Not Mapped"/>
    <s v="User Not Mapped"/>
    <n v="270841"/>
    <s v="Sukhendu Saha"/>
    <s v="Private Retailer"/>
    <s v="9002005152"/>
    <n v="0.25"/>
    <n v="31"/>
    <x v="1"/>
    <m/>
    <s v="2026-03-27"/>
    <s v="414580"/>
    <s v="Sukhendu Saha"/>
    <s v="9002005152"/>
  </r>
  <r>
    <s v="RCF Thal"/>
    <s v="N.C.Urea(45kg)"/>
    <s v="WB"/>
    <x v="0"/>
    <s v="Bagda"/>
    <s v="User Not Mapped"/>
    <s v="User Not Mapped"/>
    <s v="User Not Mapped"/>
    <n v="270841"/>
    <s v="Sukhendu Saha"/>
    <s v="Private Retailer"/>
    <s v="9002005152"/>
    <n v="12.6"/>
    <n v="20"/>
    <x v="4"/>
    <m/>
    <s v="2026-04-07"/>
    <s v="268815"/>
    <s v="Chitta Ranjan Dey"/>
    <s v="9434744870"/>
  </r>
  <r>
    <s v="RCF Trombay"/>
    <s v="N.C.Urea(45kg)"/>
    <s v="WB"/>
    <x v="0"/>
    <s v="Bagda"/>
    <s v="User Not Mapped"/>
    <s v="User Not Mapped"/>
    <s v="User Not Mapped"/>
    <n v="340697"/>
    <s v="Abubak Kar  Mondal"/>
    <s v="Private Retailer"/>
    <s v="9547499471"/>
    <n v="3.33"/>
    <n v="202"/>
    <x v="3"/>
    <m/>
    <s v="2025-10-07"/>
    <s v="281522"/>
    <s v="N.C. Das and Co."/>
    <s v="6297603863"/>
  </r>
  <r>
    <s v="RCF Import"/>
    <s v="Imp 10-26-26"/>
    <s v="WB"/>
    <x v="0"/>
    <s v="Bagda"/>
    <s v="User Not Mapped"/>
    <s v="User Not Mapped"/>
    <s v="User Not Mapped"/>
    <n v="340697"/>
    <s v="Abubak Kar  Mondal"/>
    <s v="Private Retailer"/>
    <s v="9547499471"/>
    <n v="2.6659999999999999"/>
    <n v="62"/>
    <x v="2"/>
    <m/>
    <s v="2026-02-24"/>
    <s v="223812"/>
    <s v="M/S. Shyma Krishi B"/>
    <s v="8617629886"/>
  </r>
  <r>
    <s v="RCF Thal"/>
    <s v="N.C.Urea(45kg)"/>
    <s v="WB"/>
    <x v="0"/>
    <s v="Bagda"/>
    <s v="User Not Mapped"/>
    <s v="User Not Mapped"/>
    <s v="User Not Mapped"/>
    <n v="340697"/>
    <s v="Abubak Kar  Mondal"/>
    <s v="Private Retailer"/>
    <s v="9547499471"/>
    <n v="1.575"/>
    <n v="213"/>
    <x v="3"/>
    <m/>
    <s v="2025-09-26"/>
    <s v="502354"/>
    <s v="Joy Shankar Dutta  Sons Ferti"/>
    <s v="9433002237"/>
  </r>
  <r>
    <s v="RCF Import"/>
    <s v="MOP"/>
    <s v="WB"/>
    <x v="0"/>
    <s v="Bagda"/>
    <s v="User Not Mapped"/>
    <s v="User Not Mapped"/>
    <s v="User Not Mapped"/>
    <n v="354727"/>
    <s v="Arup  Karma Kar"/>
    <s v="Private Retailer"/>
    <s v="6294935756"/>
    <n v="0.25"/>
    <n v="39"/>
    <x v="1"/>
    <m/>
    <s v="2026-03-19"/>
    <s v="414580"/>
    <s v="Sukhendu Saha"/>
    <s v="9002005152"/>
  </r>
  <r>
    <s v="RCF Import"/>
    <s v="MOP"/>
    <s v="WB"/>
    <x v="0"/>
    <s v="Bagda"/>
    <s v="User Not Mapped"/>
    <s v="User Not Mapped"/>
    <s v="User Not Mapped"/>
    <n v="354727"/>
    <s v="Arup  Karma Kar"/>
    <s v="Private Retailer"/>
    <s v="6294935756"/>
    <n v="0.25"/>
    <n v="57"/>
    <x v="1"/>
    <m/>
    <s v="2026-03-01"/>
    <s v="414580"/>
    <s v="Sukhendu Saha"/>
    <s v="9002005152"/>
  </r>
  <r>
    <s v="RCF Import"/>
    <s v="MOP"/>
    <s v="WB"/>
    <x v="0"/>
    <s v="Bagda"/>
    <s v="User Not Mapped"/>
    <s v="User Not Mapped"/>
    <s v="User Not Mapped"/>
    <n v="354727"/>
    <s v="Arup  Karma Kar"/>
    <s v="Private Retailer"/>
    <s v="6294935756"/>
    <n v="0.2"/>
    <n v="46"/>
    <x v="1"/>
    <m/>
    <s v="2026-03-12"/>
    <s v="414580"/>
    <s v="Sukhendu Saha"/>
    <s v="9002005152"/>
  </r>
  <r>
    <s v="RCF Trombay"/>
    <s v="N.C.Urea(45kg)"/>
    <s v="WB"/>
    <x v="0"/>
    <s v="Bagda"/>
    <s v="User Not Mapped"/>
    <s v="User Not Mapped"/>
    <s v="User Not Mapped"/>
    <n v="354827"/>
    <s v="Bikash Chandra Biswas"/>
    <s v="Private Retailer"/>
    <s v="9609250249"/>
    <n v="1.71"/>
    <n v="75"/>
    <x v="2"/>
    <m/>
    <s v="2026-02-11"/>
    <s v="223817"/>
    <s v="National Supply Agency"/>
    <s v="9564505288"/>
  </r>
  <r>
    <s v="RCF Import"/>
    <s v="Imp 10-26-26"/>
    <s v="WB"/>
    <x v="0"/>
    <s v="Bagda"/>
    <s v="User Not Mapped"/>
    <s v="User Not Mapped"/>
    <s v="User Not Mapped"/>
    <n v="354827"/>
    <s v="Bikash Chandra Biswas"/>
    <s v="Private Retailer"/>
    <s v="9609250249"/>
    <n v="3"/>
    <n v="56"/>
    <x v="1"/>
    <m/>
    <s v="2026-03-02"/>
    <s v="223817"/>
    <s v="National Supply Agency"/>
    <s v="9564505288"/>
  </r>
  <r>
    <s v="RCF Thal"/>
    <s v="N.C.Urea(45kg)"/>
    <s v="WB"/>
    <x v="0"/>
    <s v="Bagda"/>
    <s v="User Not Mapped"/>
    <s v="User Not Mapped"/>
    <s v="User Not Mapped"/>
    <n v="354827"/>
    <s v="Bikash Chandra Biswas"/>
    <s v="Private Retailer"/>
    <s v="9609250249"/>
    <n v="9.18"/>
    <n v="17"/>
    <x v="4"/>
    <m/>
    <s v="2026-04-10"/>
    <s v="268815"/>
    <s v="Chitta Ranjan Dey"/>
    <s v="9434744870"/>
  </r>
  <r>
    <s v="RCF Trombay"/>
    <s v="15-15-15"/>
    <s v="WB"/>
    <x v="0"/>
    <s v="Bagda"/>
    <s v="User Not Mapped"/>
    <s v="User Not Mapped"/>
    <s v="User Not Mapped"/>
    <n v="354827"/>
    <s v="Bikash Chandra Biswas"/>
    <s v="Private Retailer"/>
    <s v="9609250249"/>
    <n v="0.75"/>
    <n v="56"/>
    <x v="1"/>
    <m/>
    <s v="2026-03-02"/>
    <s v="223817"/>
    <s v="National Supply Agency"/>
    <s v="9564505288"/>
  </r>
  <r>
    <s v="RCF Thal"/>
    <s v="N.C.Urea(45kg)"/>
    <s v="WB"/>
    <x v="0"/>
    <s v="Bagda"/>
    <s v="User Not Mapped"/>
    <s v="User Not Mapped"/>
    <s v="User Not Mapped"/>
    <n v="354827"/>
    <s v="Bikash Chandra Biswas"/>
    <s v="Private Retailer"/>
    <s v="9609250249"/>
    <n v="4.9950000000000001"/>
    <n v="8"/>
    <x v="4"/>
    <m/>
    <s v="2026-04-19"/>
    <s v="223812"/>
    <s v="M/S. Shyma Krishi B"/>
    <s v="8617629886"/>
  </r>
  <r>
    <s v="RCF Trombay"/>
    <s v="15-15-15"/>
    <s v="WB"/>
    <x v="0"/>
    <s v="Bagda"/>
    <s v="User Not Mapped"/>
    <s v="User Not Mapped"/>
    <s v="User Not Mapped"/>
    <n v="354845"/>
    <s v="Birendra Kumar Moulick"/>
    <s v="Private Retailer"/>
    <s v="9733753295"/>
    <n v="2.2999999999999998"/>
    <n v="65"/>
    <x v="2"/>
    <m/>
    <s v="2026-02-21"/>
    <s v="223807"/>
    <s v="M.K. Chemical and Fertilizers"/>
    <s v="9051316329"/>
  </r>
  <r>
    <s v="RCF Trombay"/>
    <s v="15-15-15"/>
    <s v="WB"/>
    <x v="0"/>
    <s v="Bagda"/>
    <s v="User Not Mapped"/>
    <s v="User Not Mapped"/>
    <s v="User Not Mapped"/>
    <n v="354849"/>
    <s v="Biswajit Ghosh"/>
    <s v="Private Retailer"/>
    <s v="9733685814"/>
    <n v="0.53"/>
    <n v="63"/>
    <x v="2"/>
    <m/>
    <s v="2026-02-23"/>
    <s v="223812"/>
    <s v="M/S. Shyma Krishi B"/>
    <s v="8617629886"/>
  </r>
  <r>
    <s v="RCF Trombay"/>
    <s v="15-15-15"/>
    <s v="WB"/>
    <x v="0"/>
    <s v="Bagda"/>
    <s v="User Not Mapped"/>
    <s v="User Not Mapped"/>
    <s v="User Not Mapped"/>
    <n v="354851"/>
    <s v="Biswajit  Mondal"/>
    <s v="Private Retailer"/>
    <s v="9733951521"/>
    <n v="0.5"/>
    <n v="335"/>
    <x v="3"/>
    <m/>
    <s v="2025-05-27"/>
    <s v="328271"/>
    <s v="Amal Sales Corporation"/>
    <s v="7908257456"/>
  </r>
  <r>
    <s v="RCF Thal"/>
    <s v="N.C.Urea(45kg)"/>
    <s v="WB"/>
    <x v="0"/>
    <s v="Bagda"/>
    <s v="User Not Mapped"/>
    <s v="User Not Mapped"/>
    <s v="User Not Mapped"/>
    <n v="354854"/>
    <s v="Biswanath Ghosh"/>
    <s v="Private Retailer"/>
    <s v="9732645071"/>
    <n v="3.6"/>
    <n v="46"/>
    <x v="1"/>
    <m/>
    <s v="2026-03-12"/>
    <s v="223807"/>
    <s v="M.K. Chemical and Fertilizers"/>
    <s v="9051316329"/>
  </r>
  <r>
    <s v="RCF Import"/>
    <s v="Imp 10-26-26"/>
    <s v="WB"/>
    <x v="0"/>
    <s v="Bagda"/>
    <s v="User Not Mapped"/>
    <s v="User Not Mapped"/>
    <s v="User Not Mapped"/>
    <n v="354854"/>
    <s v="Biswanath Ghosh"/>
    <s v="Private Retailer"/>
    <s v="9732645071"/>
    <n v="1.6"/>
    <n v="27"/>
    <x v="4"/>
    <m/>
    <s v="2026-03-31"/>
    <s v="223811"/>
    <s v="Chanchal Kumar Dey"/>
    <s v="9434616928"/>
  </r>
  <r>
    <s v="RCF Import"/>
    <s v="MOP"/>
    <s v="WB"/>
    <x v="0"/>
    <s v="Bagda"/>
    <s v="User Not Mapped"/>
    <s v="User Not Mapped"/>
    <s v="User Not Mapped"/>
    <n v="354934"/>
    <s v="Ganesh Chandra   Mondal"/>
    <s v="Private Retailer"/>
    <s v="9733589738"/>
    <n v="0.25"/>
    <n v="57"/>
    <x v="1"/>
    <m/>
    <s v="2026-03-01"/>
    <s v="414580"/>
    <s v="Sukhendu Saha"/>
    <s v="9002005152"/>
  </r>
  <r>
    <s v="RCF Trombay"/>
    <s v="15-15-15"/>
    <s v="WB"/>
    <x v="0"/>
    <s v="Bagda"/>
    <s v="User Not Mapped"/>
    <s v="User Not Mapped"/>
    <s v="User Not Mapped"/>
    <n v="354994"/>
    <s v="Golok Chandra Mondal"/>
    <s v="PACS"/>
    <s v="9647042665"/>
    <n v="1.1000000000000001"/>
    <n v="70"/>
    <x v="2"/>
    <m/>
    <s v="2026-02-16"/>
    <s v="328271"/>
    <s v="Amal Sales Corporation"/>
    <s v="7908257456"/>
  </r>
  <r>
    <s v="RCF Trombay"/>
    <s v="N.C.Urea(45kg)"/>
    <s v="WB"/>
    <x v="0"/>
    <s v="Bagda"/>
    <s v="User Not Mapped"/>
    <s v="User Not Mapped"/>
    <s v="User Not Mapped"/>
    <n v="354994"/>
    <s v="Golok Chandra Mondal"/>
    <s v="PACS"/>
    <s v="9647042665"/>
    <n v="1.4950000000000001"/>
    <n v="70"/>
    <x v="2"/>
    <m/>
    <s v="2026-02-16"/>
    <s v="328271"/>
    <s v="Amal Sales Corporation"/>
    <s v="7908257456"/>
  </r>
  <r>
    <s v="RCF Import"/>
    <s v="MOP"/>
    <s v="WB"/>
    <x v="0"/>
    <s v="Bagda"/>
    <s v="User Not Mapped"/>
    <s v="User Not Mapped"/>
    <s v="User Not Mapped"/>
    <n v="354994"/>
    <s v="Golok Chandra Mondal"/>
    <s v="PACS"/>
    <s v="9647042665"/>
    <n v="5.3"/>
    <n v="69"/>
    <x v="2"/>
    <m/>
    <s v="2026-02-17"/>
    <s v="328271"/>
    <s v="Amal Sales Corporation"/>
    <s v="7908257456"/>
  </r>
  <r>
    <s v="RCF Trombay"/>
    <s v="15-15-15"/>
    <s v="WB"/>
    <x v="0"/>
    <s v="Bagda"/>
    <s v="User Not Mapped"/>
    <s v="User Not Mapped"/>
    <s v="User Not Mapped"/>
    <n v="355001"/>
    <s v="Go Pal  Mondal"/>
    <s v="Private Retailer"/>
    <s v="8967395354"/>
    <n v="8"/>
    <n v="72"/>
    <x v="2"/>
    <m/>
    <s v="2026-02-14"/>
    <s v="281522"/>
    <s v="N.C. Das and Co."/>
    <s v="6297603863"/>
  </r>
  <r>
    <s v="RCF Import"/>
    <s v="MOP"/>
    <s v="WB"/>
    <x v="0"/>
    <s v="Bagda"/>
    <s v="User Not Mapped"/>
    <s v="User Not Mapped"/>
    <s v="User Not Mapped"/>
    <n v="355001"/>
    <s v="Go Pal  Mondal"/>
    <s v="Private Retailer"/>
    <s v="8967395354"/>
    <n v="10"/>
    <n v="59"/>
    <x v="1"/>
    <m/>
    <s v="2026-02-27"/>
    <s v="281522"/>
    <s v="N.C. Das and Co."/>
    <s v="6297603863"/>
  </r>
  <r>
    <s v="RCF Trombay"/>
    <s v="N.C.Urea(45kg)"/>
    <s v="WB"/>
    <x v="0"/>
    <s v="Bagda"/>
    <s v="User Not Mapped"/>
    <s v="User Not Mapped"/>
    <s v="User Not Mapped"/>
    <n v="355001"/>
    <s v="Go Pal  Mondal"/>
    <s v="Private Retailer"/>
    <s v="8967395354"/>
    <n v="5.4450000000000003"/>
    <n v="72"/>
    <x v="2"/>
    <m/>
    <s v="2026-02-14"/>
    <s v="281522"/>
    <s v="N.C. Das and Co."/>
    <s v="6297603863"/>
  </r>
  <r>
    <s v="RCF Trombay"/>
    <s v="15-15-15"/>
    <s v="WB"/>
    <x v="0"/>
    <s v="Bagda"/>
    <s v="User Not Mapped"/>
    <s v="User Not Mapped"/>
    <s v="User Not Mapped"/>
    <n v="355001"/>
    <s v="Go Pal  Mondal"/>
    <s v="Private Retailer"/>
    <s v="8967395354"/>
    <n v="11"/>
    <n v="67"/>
    <x v="2"/>
    <m/>
    <s v="2026-02-19"/>
    <s v="281522"/>
    <s v="N.C. Das and Co."/>
    <s v="6297603863"/>
  </r>
  <r>
    <s v="RCF Trombay"/>
    <s v="15-15-15"/>
    <s v="WB"/>
    <x v="0"/>
    <s v="Bagda"/>
    <s v="User Not Mapped"/>
    <s v="User Not Mapped"/>
    <s v="User Not Mapped"/>
    <n v="355005"/>
    <s v="Gour Chakravorty"/>
    <s v="Private Retailer"/>
    <s v="9735262273"/>
    <n v="10"/>
    <n v="62"/>
    <x v="2"/>
    <m/>
    <s v="2026-02-24"/>
    <s v="268815"/>
    <s v="Chitta Ranjan Dey"/>
    <s v="9434744870"/>
  </r>
  <r>
    <s v="RCF Import"/>
    <s v="MOP"/>
    <s v="WB"/>
    <x v="0"/>
    <s v="Bagda"/>
    <s v="User Not Mapped"/>
    <s v="User Not Mapped"/>
    <s v="User Not Mapped"/>
    <n v="355005"/>
    <s v="Gour Chakravorty"/>
    <s v="Private Retailer"/>
    <s v="9735262273"/>
    <n v="4.2"/>
    <n v="59"/>
    <x v="1"/>
    <m/>
    <s v="2026-02-27"/>
    <s v="268815"/>
    <s v="Chitta Ranjan Dey"/>
    <s v="9434744870"/>
  </r>
  <r>
    <s v="RCF Trombay"/>
    <s v="15-15-15"/>
    <s v="WB"/>
    <x v="0"/>
    <s v="Bagda"/>
    <s v="User Not Mapped"/>
    <s v="User Not Mapped"/>
    <s v="User Not Mapped"/>
    <n v="355005"/>
    <s v="Gour Chakravorty"/>
    <s v="Private Retailer"/>
    <s v="9735262273"/>
    <n v="3.4"/>
    <n v="93"/>
    <x v="5"/>
    <m/>
    <s v="2026-01-24"/>
    <s v="268815"/>
    <s v="Chitta Ranjan Dey"/>
    <s v="9434744870"/>
  </r>
  <r>
    <s v="RCF Thal"/>
    <s v="N.C.Urea(45kg)"/>
    <s v="WB"/>
    <x v="0"/>
    <s v="Bagda"/>
    <s v="User Not Mapped"/>
    <s v="User Not Mapped"/>
    <s v="User Not Mapped"/>
    <n v="355005"/>
    <s v="Gour Chakravorty"/>
    <s v="Private Retailer"/>
    <s v="9735262273"/>
    <n v="18.225000000000001"/>
    <n v="20"/>
    <x v="4"/>
    <m/>
    <s v="2026-04-07"/>
    <s v="268815"/>
    <s v="Chitta Ranjan Dey"/>
    <s v="9434744870"/>
  </r>
  <r>
    <s v="RCF Import"/>
    <s v="MOP"/>
    <s v="WB"/>
    <x v="0"/>
    <s v="Bagda"/>
    <s v="User Not Mapped"/>
    <s v="User Not Mapped"/>
    <s v="User Not Mapped"/>
    <n v="355032"/>
    <s v="Hazarat Tarafder"/>
    <s v="Private Retailer"/>
    <s v="9564100878"/>
    <n v="0.2"/>
    <n v="31"/>
    <x v="1"/>
    <m/>
    <s v="2026-03-27"/>
    <s v="414580"/>
    <s v="Sukhendu Saha"/>
    <s v="9002005152"/>
  </r>
  <r>
    <s v="RCF Trombay"/>
    <s v="N.C.Urea(45kg)"/>
    <s v="WB"/>
    <x v="0"/>
    <s v="Bagda"/>
    <s v="User Not Mapped"/>
    <s v="User Not Mapped"/>
    <s v="User Not Mapped"/>
    <n v="355077"/>
    <s v="Joydeb Biswas"/>
    <s v="Private Retailer"/>
    <s v="9735603944"/>
    <n v="7.4999999999999997E-2"/>
    <n v="207"/>
    <x v="3"/>
    <m/>
    <s v="2025-10-02"/>
    <s v="897258"/>
    <s v="RAY FERTILISER"/>
    <s v="7074214566"/>
  </r>
  <r>
    <s v="RCF Trombay"/>
    <s v="15-15-15"/>
    <s v="WB"/>
    <x v="0"/>
    <s v="Bagda"/>
    <s v="User Not Mapped"/>
    <s v="User Not Mapped"/>
    <s v="User Not Mapped"/>
    <n v="355113"/>
    <s v="Arabinda Biswas"/>
    <s v="Private Retailer"/>
    <s v="8768059786"/>
    <n v="2.2000000000000002"/>
    <n v="91"/>
    <x v="5"/>
    <m/>
    <s v="2026-01-26"/>
    <s v="268815"/>
    <s v="Chitta Ranjan Dey"/>
    <s v="9434744870"/>
  </r>
  <r>
    <s v="RCF Trombay"/>
    <s v="N.C.Urea(45kg)"/>
    <s v="WB"/>
    <x v="0"/>
    <s v="Bagda"/>
    <s v="User Not Mapped"/>
    <s v="User Not Mapped"/>
    <s v="User Not Mapped"/>
    <n v="355113"/>
    <s v="Arabinda Biswas"/>
    <s v="Private Retailer"/>
    <s v="8768059786"/>
    <n v="0.22500000000000001"/>
    <n v="91"/>
    <x v="5"/>
    <m/>
    <s v="2026-01-26"/>
    <s v="268815"/>
    <s v="Chitta Ranjan Dey"/>
    <s v="9434744870"/>
  </r>
  <r>
    <s v="RCF Import"/>
    <s v="MOP"/>
    <s v="WB"/>
    <x v="0"/>
    <s v="Bagda"/>
    <s v="User Not Mapped"/>
    <s v="User Not Mapped"/>
    <s v="User Not Mapped"/>
    <n v="355145"/>
    <s v="Iman  Ali Mallick"/>
    <s v="Private Retailer"/>
    <s v="9734875521"/>
    <n v="0.12"/>
    <n v="31"/>
    <x v="1"/>
    <m/>
    <s v="2026-03-27"/>
    <s v="414580"/>
    <s v="Sukhendu Saha"/>
    <s v="9002005152"/>
  </r>
  <r>
    <s v="RCF Trombay"/>
    <s v="N.C.Urea(45kg)"/>
    <s v="WB"/>
    <x v="0"/>
    <s v="Bagda"/>
    <s v="User Not Mapped"/>
    <s v="User Not Mapped"/>
    <s v="User Not Mapped"/>
    <n v="355211"/>
    <s v="Lalan Chandra   Mondal"/>
    <s v="Private Retailer"/>
    <s v="9734820223"/>
    <n v="7.0000000000000007E-2"/>
    <n v="594"/>
    <x v="7"/>
    <m/>
    <s v="2024-09-10"/>
    <s v="1219935"/>
    <s v="BISWAS FERTILIZER"/>
    <s v="7797491324"/>
  </r>
  <r>
    <s v="RCF Trombay"/>
    <s v="15-15-15"/>
    <s v="WB"/>
    <x v="0"/>
    <s v="Bagda"/>
    <s v="User Not Mapped"/>
    <s v="User Not Mapped"/>
    <s v="User Not Mapped"/>
    <n v="355228"/>
    <s v="Liyakat Mondal"/>
    <s v="Private Retailer"/>
    <s v="8348148355"/>
    <n v="4"/>
    <n v="63"/>
    <x v="2"/>
    <m/>
    <s v="2026-02-23"/>
    <s v="223812"/>
    <s v="M/S. Shyma Krishi B"/>
    <s v="8617629886"/>
  </r>
  <r>
    <s v="RCF Import"/>
    <s v="Imp 10-26-26"/>
    <s v="WB"/>
    <x v="0"/>
    <s v="Bagda"/>
    <s v="User Not Mapped"/>
    <s v="User Not Mapped"/>
    <s v="User Not Mapped"/>
    <n v="355228"/>
    <s v="Liyakat Mondal"/>
    <s v="Private Retailer"/>
    <s v="8348148355"/>
    <n v="5.5"/>
    <n v="31"/>
    <x v="1"/>
    <m/>
    <s v="2026-03-27"/>
    <s v="223812"/>
    <s v="M/S. Shyma Krishi B"/>
    <s v="8617629886"/>
  </r>
  <r>
    <s v="RCF Trombay"/>
    <s v="15-15-15"/>
    <s v="WB"/>
    <x v="0"/>
    <s v="Bagda"/>
    <s v="User Not Mapped"/>
    <s v="User Not Mapped"/>
    <s v="User Not Mapped"/>
    <n v="355228"/>
    <s v="Liyakat Mondal"/>
    <s v="Private Retailer"/>
    <s v="8348148355"/>
    <n v="2.7"/>
    <n v="133"/>
    <x v="0"/>
    <m/>
    <s v="2025-12-15"/>
    <s v="223807"/>
    <s v="M.K. Chemical and Fertilizers"/>
    <s v="9051316329"/>
  </r>
  <r>
    <s v="RCF Thal"/>
    <s v="N.C.Urea(45kg)"/>
    <s v="WB"/>
    <x v="0"/>
    <s v="Bagda"/>
    <s v="User Not Mapped"/>
    <s v="User Not Mapped"/>
    <s v="User Not Mapped"/>
    <n v="355673"/>
    <s v="Mohitosh  Kumar  Mondal"/>
    <s v="Private Retailer"/>
    <s v="9733819716"/>
    <n v="4.4999999999999998E-2"/>
    <n v="428"/>
    <x v="6"/>
    <m/>
    <s v="2025-02-23"/>
    <s v="223807"/>
    <s v="M.K. Chemical and Fertilizers"/>
    <s v="9051316329"/>
  </r>
  <r>
    <s v="RCF Import"/>
    <s v="MOP"/>
    <s v="WB"/>
    <x v="0"/>
    <s v="Bagda"/>
    <s v="User Not Mapped"/>
    <s v="User Not Mapped"/>
    <s v="User Not Mapped"/>
    <n v="355695"/>
    <s v="Monjurhassan  Mondal"/>
    <s v="Private Retailer"/>
    <s v="9733767794"/>
    <n v="2"/>
    <n v="207"/>
    <x v="3"/>
    <m/>
    <s v="2025-10-02"/>
    <s v="897258"/>
    <s v="RAY FERTILISER"/>
    <s v="7074214566"/>
  </r>
  <r>
    <s v="RCF Trombay"/>
    <s v="N.C.Urea(45kg)"/>
    <s v="WB"/>
    <x v="0"/>
    <s v="Bagda"/>
    <s v="User Not Mapped"/>
    <s v="User Not Mapped"/>
    <s v="User Not Mapped"/>
    <n v="355695"/>
    <s v="Monjurhassan  Mondal"/>
    <s v="Private Retailer"/>
    <s v="9733767794"/>
    <n v="0.85499999999999998"/>
    <n v="207"/>
    <x v="3"/>
    <m/>
    <s v="2025-10-02"/>
    <s v="897258"/>
    <s v="RAY FERTILISER"/>
    <s v="7074214566"/>
  </r>
  <r>
    <s v="RCF Trombay"/>
    <s v="15-15-15"/>
    <s v="WB"/>
    <x v="0"/>
    <s v="Bagda"/>
    <s v="User Not Mapped"/>
    <s v="User Not Mapped"/>
    <s v="User Not Mapped"/>
    <n v="355695"/>
    <s v="Monjurhassan  Mondal"/>
    <s v="Private Retailer"/>
    <s v="9733767794"/>
    <n v="1.5"/>
    <n v="206"/>
    <x v="3"/>
    <m/>
    <s v="2025-10-03"/>
    <s v="897258"/>
    <s v="RAY FERTILISER"/>
    <s v="7074214566"/>
  </r>
  <r>
    <s v="RCF Import"/>
    <s v="MOP"/>
    <s v="WB"/>
    <x v="0"/>
    <s v="Bagda"/>
    <s v="User Not Mapped"/>
    <s v="User Not Mapped"/>
    <s v="User Not Mapped"/>
    <n v="355695"/>
    <s v="Monjurhassan  Mondal"/>
    <s v="Private Retailer"/>
    <s v="9733767794"/>
    <n v="1.25"/>
    <n v="470"/>
    <x v="6"/>
    <m/>
    <s v="2025-01-12"/>
    <s v="897258"/>
    <s v="RAY FERTILISER"/>
    <s v="7074214566"/>
  </r>
  <r>
    <s v="RCF Import"/>
    <s v="Imp 10-26-26"/>
    <s v="WB"/>
    <x v="0"/>
    <s v="Bagda"/>
    <s v="User Not Mapped"/>
    <s v="User Not Mapped"/>
    <s v="User Not Mapped"/>
    <n v="355695"/>
    <s v="Monjurhassan  Mondal"/>
    <s v="Private Retailer"/>
    <s v="9733767794"/>
    <n v="1.75"/>
    <n v="470"/>
    <x v="6"/>
    <m/>
    <s v="2025-01-12"/>
    <s v="897258"/>
    <s v="RAY FERTILISER"/>
    <s v="7074214566"/>
  </r>
  <r>
    <s v="RCF Trombay"/>
    <s v="N.C.Urea(45kg)"/>
    <s v="WB"/>
    <x v="0"/>
    <s v="Bagda"/>
    <s v="User Not Mapped"/>
    <s v="User Not Mapped"/>
    <s v="User Not Mapped"/>
    <n v="355778"/>
    <s v="Nanigo Palbarei"/>
    <s v="Private Retailer"/>
    <s v="9734859164"/>
    <n v="2.2050000000000001"/>
    <n v="90"/>
    <x v="2"/>
    <m/>
    <s v="2026-01-27"/>
    <s v="223811"/>
    <s v="Chanchal Kumar Dey"/>
    <s v="9434616928"/>
  </r>
  <r>
    <s v="RCF Trombay"/>
    <s v="15-15-15"/>
    <s v="WB"/>
    <x v="0"/>
    <s v="Bagda"/>
    <s v="User Not Mapped"/>
    <s v="User Not Mapped"/>
    <s v="User Not Mapped"/>
    <n v="355778"/>
    <s v="Nanigo Palbarei"/>
    <s v="Private Retailer"/>
    <s v="9734859164"/>
    <n v="1.9"/>
    <n v="90"/>
    <x v="2"/>
    <m/>
    <s v="2026-01-27"/>
    <s v="223811"/>
    <s v="Chanchal Kumar Dey"/>
    <s v="9434616928"/>
  </r>
  <r>
    <s v="RCF Trombay"/>
    <s v="15-15-15"/>
    <s v="WB"/>
    <x v="0"/>
    <s v="Bagda"/>
    <s v="User Not Mapped"/>
    <s v="User Not Mapped"/>
    <s v="User Not Mapped"/>
    <n v="355781"/>
    <s v="Narayan Chandra Biswas"/>
    <s v="Private Retailer"/>
    <s v="9734672612"/>
    <n v="5.0999999999999996"/>
    <n v="63"/>
    <x v="2"/>
    <m/>
    <s v="2026-02-23"/>
    <s v="289634"/>
    <s v="Sankar Lal Saha"/>
    <s v="9830026138"/>
  </r>
  <r>
    <s v="RCF Import"/>
    <s v="MOP"/>
    <s v="WB"/>
    <x v="0"/>
    <s v="Bagda"/>
    <s v="User Not Mapped"/>
    <s v="User Not Mapped"/>
    <s v="User Not Mapped"/>
    <n v="355781"/>
    <s v="Narayan Chandra Biswas"/>
    <s v="Private Retailer"/>
    <s v="9734672612"/>
    <n v="0.5"/>
    <n v="40"/>
    <x v="1"/>
    <m/>
    <s v="2026-03-18"/>
    <s v="414580"/>
    <s v="Sukhendu Saha"/>
    <s v="9002005152"/>
  </r>
  <r>
    <s v="RCF Trombay"/>
    <s v="15-15-15"/>
    <s v="WB"/>
    <x v="0"/>
    <s v="Bagda"/>
    <s v="User Not Mapped"/>
    <s v="User Not Mapped"/>
    <s v="User Not Mapped"/>
    <n v="355943"/>
    <s v="Probir Kumar Das"/>
    <s v="Private Retailer"/>
    <s v="6296039521"/>
    <n v="2.1"/>
    <n v="146"/>
    <x v="0"/>
    <m/>
    <s v="2025-12-02"/>
    <s v="328271"/>
    <s v="Amal Sales Corporation"/>
    <s v="7908257456"/>
  </r>
  <r>
    <s v="RCF Trombay"/>
    <s v="N.C.Urea(45kg)"/>
    <s v="WB"/>
    <x v="0"/>
    <s v="Bagda"/>
    <s v="User Not Mapped"/>
    <s v="User Not Mapped"/>
    <s v="User Not Mapped"/>
    <n v="355949"/>
    <s v="Prokash  Biswas"/>
    <s v="Private Retailer"/>
    <s v="9733867858"/>
    <n v="2.6549999999999998"/>
    <n v="70"/>
    <x v="2"/>
    <m/>
    <s v="2026-02-16"/>
    <s v="268815"/>
    <s v="Chitta Ranjan Dey"/>
    <s v="9434744870"/>
  </r>
  <r>
    <s v="RCF Thal"/>
    <s v="N.C.Urea(45kg)"/>
    <s v="WB"/>
    <x v="0"/>
    <s v="Bagda"/>
    <s v="User Not Mapped"/>
    <s v="User Not Mapped"/>
    <s v="User Not Mapped"/>
    <n v="356049"/>
    <s v="Ranjan Kumar Roy"/>
    <s v="Private Retailer"/>
    <s v="8250800815"/>
    <n v="9.99"/>
    <n v="20"/>
    <x v="4"/>
    <m/>
    <s v="2026-04-07"/>
    <s v="268815"/>
    <s v="Chitta Ranjan Dey"/>
    <s v="9434744870"/>
  </r>
  <r>
    <s v="RCF Thal"/>
    <s v="N.C.Urea(45kg)"/>
    <s v="WB"/>
    <x v="0"/>
    <s v="Bagda"/>
    <s v="User Not Mapped"/>
    <s v="User Not Mapped"/>
    <s v="User Not Mapped"/>
    <n v="356049"/>
    <s v="Ranjan Kumar Roy"/>
    <s v="Private Retailer"/>
    <s v="8250800815"/>
    <n v="2.88"/>
    <n v="76"/>
    <x v="2"/>
    <m/>
    <s v="2026-02-10"/>
    <s v="223812"/>
    <s v="M/S. Shyma Krishi B"/>
    <s v="8617629886"/>
  </r>
  <r>
    <s v="RCF Import"/>
    <s v="Imp 10-26-26"/>
    <s v="WB"/>
    <x v="0"/>
    <s v="Bagda"/>
    <s v="User Not Mapped"/>
    <s v="User Not Mapped"/>
    <s v="User Not Mapped"/>
    <n v="356074"/>
    <s v="Ripon Fertilizer"/>
    <s v="Private Retailer"/>
    <s v="9733999040"/>
    <n v="2.75"/>
    <n v="62"/>
    <x v="2"/>
    <m/>
    <s v="2026-02-24"/>
    <s v="223812"/>
    <s v="M/S. Shyma Krishi B"/>
    <s v="8617629886"/>
  </r>
  <r>
    <s v="RCF Import"/>
    <s v="MOP"/>
    <s v="WB"/>
    <x v="0"/>
    <s v="Bagda"/>
    <s v="User Not Mapped"/>
    <s v="User Not Mapped"/>
    <s v="User Not Mapped"/>
    <n v="356074"/>
    <s v="Ripon Fertilizer"/>
    <s v="Private Retailer"/>
    <s v="9733999040"/>
    <n v="1.4"/>
    <n v="40"/>
    <x v="1"/>
    <m/>
    <s v="2026-03-18"/>
    <s v="897258"/>
    <s v="RAY FERTILISER"/>
    <s v="7074214566"/>
  </r>
  <r>
    <s v="RCF Trombay"/>
    <s v="15-15-15"/>
    <s v="WB"/>
    <x v="0"/>
    <s v="Bagda"/>
    <s v="User Not Mapped"/>
    <s v="User Not Mapped"/>
    <s v="User Not Mapped"/>
    <n v="356074"/>
    <s v="Ripon Fertilizer"/>
    <s v="Private Retailer"/>
    <s v="9733999040"/>
    <n v="0.2"/>
    <n v="63"/>
    <x v="2"/>
    <m/>
    <s v="2026-02-23"/>
    <s v="223812"/>
    <s v="M/S. Shyma Krishi B"/>
    <s v="8617629886"/>
  </r>
  <r>
    <s v="RCF Thal"/>
    <s v="N.C.Urea(45kg)"/>
    <s v="WB"/>
    <x v="0"/>
    <s v="Bagda"/>
    <s v="User Not Mapped"/>
    <s v="User Not Mapped"/>
    <s v="User Not Mapped"/>
    <n v="356074"/>
    <s v="Ripon Fertilizer"/>
    <s v="Private Retailer"/>
    <s v="9733999040"/>
    <n v="4.9950000000000001"/>
    <n v="16"/>
    <x v="4"/>
    <m/>
    <s v="2026-04-11"/>
    <s v="223812"/>
    <s v="M/S. Shyma Krishi B"/>
    <s v="8617629886"/>
  </r>
  <r>
    <s v="RCF Import"/>
    <s v="MOP"/>
    <s v="WB"/>
    <x v="0"/>
    <s v="Bagda"/>
    <s v="User Not Mapped"/>
    <s v="User Not Mapped"/>
    <s v="User Not Mapped"/>
    <n v="356074"/>
    <s v="Ripon Fertilizer"/>
    <s v="Private Retailer"/>
    <s v="9733999040"/>
    <n v="1.5"/>
    <n v="30"/>
    <x v="4"/>
    <m/>
    <s v="2026-03-28"/>
    <s v="897258"/>
    <s v="RAY FERTILISER"/>
    <s v="7074214566"/>
  </r>
  <r>
    <s v="RCF Import"/>
    <s v="MOP"/>
    <s v="WB"/>
    <x v="0"/>
    <s v="Bagda"/>
    <s v="User Not Mapped"/>
    <s v="User Not Mapped"/>
    <s v="User Not Mapped"/>
    <n v="356250"/>
    <s v="Sanjoy  Mallick"/>
    <s v="Private Retailer"/>
    <s v="9932007910"/>
    <n v="0.1"/>
    <n v="46"/>
    <x v="1"/>
    <m/>
    <s v="2026-03-12"/>
    <s v="414580"/>
    <s v="Sukhendu Saha"/>
    <s v="9002005152"/>
  </r>
  <r>
    <s v="RCF Import"/>
    <s v="MOP"/>
    <s v="WB"/>
    <x v="0"/>
    <s v="Bagda"/>
    <s v="User Not Mapped"/>
    <s v="User Not Mapped"/>
    <s v="User Not Mapped"/>
    <n v="356250"/>
    <s v="Sanjoy  Mallick"/>
    <s v="Private Retailer"/>
    <s v="9932007910"/>
    <n v="0.25"/>
    <n v="39"/>
    <x v="1"/>
    <m/>
    <s v="2026-03-19"/>
    <s v="414580"/>
    <s v="Sukhendu Saha"/>
    <s v="9002005152"/>
  </r>
  <r>
    <s v="RCF Trombay"/>
    <s v="15-15-15"/>
    <s v="WB"/>
    <x v="0"/>
    <s v="Bagda"/>
    <s v="User Not Mapped"/>
    <s v="User Not Mapped"/>
    <s v="User Not Mapped"/>
    <n v="356258"/>
    <s v="Sankar Ghosh"/>
    <s v="Private Retailer"/>
    <s v="7001688369"/>
    <n v="3.25"/>
    <n v="64"/>
    <x v="2"/>
    <m/>
    <s v="2026-02-22"/>
    <s v="311050"/>
    <s v="M/S Suchitra Ghosh"/>
    <s v="9609145715"/>
  </r>
  <r>
    <s v="RCF Thal"/>
    <s v="N.C.Urea(45kg)"/>
    <s v="WB"/>
    <x v="0"/>
    <s v="Bagda"/>
    <s v="User Not Mapped"/>
    <s v="User Not Mapped"/>
    <s v="User Not Mapped"/>
    <n v="390585"/>
    <s v="Sujauddin Mondal"/>
    <s v="Private Retailer"/>
    <s v="9593116054"/>
    <n v="4.9950000000000001"/>
    <n v="24"/>
    <x v="4"/>
    <m/>
    <s v="2026-04-03"/>
    <s v="223807"/>
    <s v="M.K. Chemical and Fertilizers"/>
    <s v="9051316329"/>
  </r>
  <r>
    <s v="RCF Trombay"/>
    <s v="15-15-15"/>
    <s v="WB"/>
    <x v="0"/>
    <s v="Bagda"/>
    <s v="User Not Mapped"/>
    <s v="User Not Mapped"/>
    <s v="User Not Mapped"/>
    <n v="393641"/>
    <s v="Susanta Bachar "/>
    <s v="Private Retailer"/>
    <s v="9734649054"/>
    <n v="0.75"/>
    <n v="173"/>
    <x v="0"/>
    <m/>
    <s v="2025-11-05"/>
    <s v="280852"/>
    <s v="Kundu Trading Co"/>
    <s v="9434119572"/>
  </r>
  <r>
    <s v="RCF Thal"/>
    <s v="N.C.Urea(45kg)"/>
    <s v="WB"/>
    <x v="0"/>
    <s v="Bagda"/>
    <s v="User Not Mapped"/>
    <s v="User Not Mapped"/>
    <s v="User Not Mapped"/>
    <n v="409484"/>
    <s v="Sujoy Kr Biswas"/>
    <s v="Private Retailer"/>
    <s v="9002248871"/>
    <n v="9.5399999999999991"/>
    <n v="20"/>
    <x v="4"/>
    <m/>
    <s v="2026-04-07"/>
    <s v="268815"/>
    <s v="Chitta Ranjan Dey"/>
    <s v="9434744870"/>
  </r>
  <r>
    <s v="RCF Trombay"/>
    <s v="N.C.Urea(45kg)"/>
    <s v="WB"/>
    <x v="0"/>
    <s v="Bagda"/>
    <s v="User Not Mapped"/>
    <s v="User Not Mapped"/>
    <s v="User Not Mapped"/>
    <n v="409484"/>
    <s v="Sujoy Kr Biswas"/>
    <s v="Private Retailer"/>
    <s v="9002248871"/>
    <n v="5.49"/>
    <n v="62"/>
    <x v="2"/>
    <m/>
    <s v="2026-02-24"/>
    <s v="268815"/>
    <s v="Chitta Ranjan Dey"/>
    <s v="9434744870"/>
  </r>
  <r>
    <s v="RCF Trombay"/>
    <s v="15-15-15"/>
    <s v="WB"/>
    <x v="0"/>
    <s v="Bagda"/>
    <s v="User Not Mapped"/>
    <s v="User Not Mapped"/>
    <s v="User Not Mapped"/>
    <n v="409484"/>
    <s v="Sujoy Kr Biswas"/>
    <s v="Private Retailer"/>
    <s v="9002248871"/>
    <n v="4.25"/>
    <n v="93"/>
    <x v="5"/>
    <m/>
    <s v="2026-01-24"/>
    <s v="268815"/>
    <s v="Chitta Ranjan Dey"/>
    <s v="9434744870"/>
  </r>
  <r>
    <s v="RCF Trombay"/>
    <s v="N.C.Urea(45kg)"/>
    <s v="WB"/>
    <x v="0"/>
    <s v="Bagda"/>
    <s v="User Not Mapped"/>
    <s v="User Not Mapped"/>
    <s v="User Not Mapped"/>
    <n v="409494"/>
    <s v="Nanda Dulal Sinha"/>
    <s v="Private Retailer"/>
    <s v="9733569434"/>
    <n v="0.36"/>
    <n v="435"/>
    <x v="6"/>
    <m/>
    <s v="2025-02-16"/>
    <s v="897258"/>
    <s v="RAY FERTILISER"/>
    <s v="7074214566"/>
  </r>
  <r>
    <s v="RCF Import"/>
    <s v="MOP"/>
    <s v="WB"/>
    <x v="0"/>
    <s v="Bagda"/>
    <s v="User Not Mapped"/>
    <s v="User Not Mapped"/>
    <s v="User Not Mapped"/>
    <n v="410890"/>
    <s v="Saktipada Biswas"/>
    <s v="Private Retailer"/>
    <s v="9733908498"/>
    <n v="0.75"/>
    <n v="26"/>
    <x v="4"/>
    <m/>
    <s v="2026-04-01"/>
    <s v="1054125"/>
    <s v="Mondal Stores"/>
    <s v="9749959358"/>
  </r>
  <r>
    <s v="RCF Import"/>
    <s v="MOP"/>
    <s v="WB"/>
    <x v="0"/>
    <s v="Bagda"/>
    <s v="User Not Mapped"/>
    <s v="User Not Mapped"/>
    <s v="User Not Mapped"/>
    <n v="410950"/>
    <s v="Ghosh Fertilizers"/>
    <s v="Private Retailer"/>
    <s v="9851230599"/>
    <n v="0.5"/>
    <n v="56"/>
    <x v="1"/>
    <m/>
    <s v="2026-03-02"/>
    <s v="414580"/>
    <s v="Sukhendu Saha"/>
    <s v="9002005152"/>
  </r>
  <r>
    <s v="RCF Trombay"/>
    <s v="15-15-15"/>
    <s v="WB"/>
    <x v="0"/>
    <s v="Bagda"/>
    <s v="User Not Mapped"/>
    <s v="User Not Mapped"/>
    <s v="User Not Mapped"/>
    <n v="410992"/>
    <s v="Naba Kumar Nath"/>
    <s v="Private Retailer"/>
    <s v="9153810117"/>
    <n v="0.6"/>
    <n v="458"/>
    <x v="6"/>
    <m/>
    <s v="2025-01-24"/>
    <s v="289634"/>
    <s v="Sankar Lal Saha"/>
    <s v="9830026138"/>
  </r>
  <r>
    <s v="RCF Trombay"/>
    <s v="N.C.Urea(45kg)"/>
    <s v="WB"/>
    <x v="0"/>
    <s v="Bagda"/>
    <s v="User Not Mapped"/>
    <s v="User Not Mapped"/>
    <s v="User Not Mapped"/>
    <n v="414180"/>
    <s v="Narayan Biswas"/>
    <s v="Private Retailer"/>
    <s v="9635797181"/>
    <n v="4.9950000000000001"/>
    <n v="63"/>
    <x v="2"/>
    <m/>
    <s v="2026-02-23"/>
    <s v="289634"/>
    <s v="Sankar Lal Saha"/>
    <s v="9830026138"/>
  </r>
  <r>
    <s v="RCF Trombay"/>
    <s v="15-15-15"/>
    <s v="WB"/>
    <x v="0"/>
    <s v="Bagda"/>
    <s v="User Not Mapped"/>
    <s v="User Not Mapped"/>
    <s v="User Not Mapped"/>
    <n v="414180"/>
    <s v="Narayan Biswas"/>
    <s v="Private Retailer"/>
    <s v="9635797181"/>
    <n v="4"/>
    <n v="63"/>
    <x v="2"/>
    <m/>
    <s v="2026-02-23"/>
    <s v="289634"/>
    <s v="Sankar Lal Saha"/>
    <s v="9830026138"/>
  </r>
  <r>
    <s v="RCF Thal"/>
    <s v="N.C.Urea(45kg)"/>
    <s v="WB"/>
    <x v="0"/>
    <s v="Bagda"/>
    <s v="User Not Mapped"/>
    <s v="User Not Mapped"/>
    <s v="User Not Mapped"/>
    <n v="456776"/>
    <s v="Suvankar Bairagi"/>
    <s v="Private Retailer"/>
    <s v="9002057138"/>
    <n v="9.18"/>
    <n v="17"/>
    <x v="4"/>
    <m/>
    <s v="2026-04-10"/>
    <s v="268815"/>
    <s v="Chitta Ranjan Dey"/>
    <s v="9434744870"/>
  </r>
  <r>
    <s v="RCF Trombay"/>
    <s v="15-15-15"/>
    <s v="WB"/>
    <x v="0"/>
    <s v="Bagda"/>
    <s v="User Not Mapped"/>
    <s v="User Not Mapped"/>
    <s v="User Not Mapped"/>
    <n v="456794"/>
    <s v="Mihir Ghosh"/>
    <s v="Private Retailer"/>
    <s v="7797392390"/>
    <n v="0.85"/>
    <n v="309"/>
    <x v="3"/>
    <m/>
    <s v="2025-06-22"/>
    <s v="311050"/>
    <s v="M/S Suchitra Ghosh"/>
    <s v="9609145715"/>
  </r>
  <r>
    <s v="RCF Trombay"/>
    <s v="15-15-15"/>
    <s v="WB"/>
    <x v="0"/>
    <s v="Bagda"/>
    <s v="User Not Mapped"/>
    <s v="User Not Mapped"/>
    <s v="User Not Mapped"/>
    <n v="456794"/>
    <s v="Mihir Ghosh"/>
    <s v="Private Retailer"/>
    <s v="7797392390"/>
    <n v="5"/>
    <n v="65"/>
    <x v="2"/>
    <m/>
    <s v="2026-02-21"/>
    <s v="223807"/>
    <s v="M.K. Chemical and Fertilizers"/>
    <s v="9051316329"/>
  </r>
  <r>
    <s v="RCF Trombay"/>
    <s v="N.C.Urea(45kg)"/>
    <s v="WB"/>
    <x v="0"/>
    <s v="Bagda"/>
    <s v="User Not Mapped"/>
    <s v="User Not Mapped"/>
    <s v="User Not Mapped"/>
    <n v="457462"/>
    <s v="Ashim Kumar Das"/>
    <s v="Private Retailer"/>
    <s v="9153209272"/>
    <n v="0.9"/>
    <n v="62"/>
    <x v="2"/>
    <m/>
    <s v="2026-02-24"/>
    <s v="268815"/>
    <s v="Chitta Ranjan Dey"/>
    <s v="9434744870"/>
  </r>
  <r>
    <s v="RCF Trombay"/>
    <s v="15-15-15"/>
    <s v="WB"/>
    <x v="0"/>
    <s v="Bagda"/>
    <s v="User Not Mapped"/>
    <s v="User Not Mapped"/>
    <s v="User Not Mapped"/>
    <n v="457462"/>
    <s v="Ashim Kumar Das"/>
    <s v="Private Retailer"/>
    <s v="9153209272"/>
    <n v="0.85"/>
    <n v="93"/>
    <x v="5"/>
    <m/>
    <s v="2026-01-24"/>
    <s v="268815"/>
    <s v="Chitta Ranjan Dey"/>
    <s v="9434744870"/>
  </r>
  <r>
    <s v="RCF Thal"/>
    <s v="N.C.Urea(45kg)"/>
    <s v="WB"/>
    <x v="0"/>
    <s v="Bagda"/>
    <s v="User Not Mapped"/>
    <s v="User Not Mapped"/>
    <s v="User Not Mapped"/>
    <n v="457462"/>
    <s v="Ashim Kumar Das"/>
    <s v="Private Retailer"/>
    <s v="9153209272"/>
    <n v="9.7650000000000006"/>
    <n v="20"/>
    <x v="4"/>
    <m/>
    <s v="2026-04-07"/>
    <s v="268815"/>
    <s v="Chitta Ranjan Dey"/>
    <s v="9434744870"/>
  </r>
  <r>
    <s v="RCF Import"/>
    <s v="MOP"/>
    <s v="WB"/>
    <x v="0"/>
    <s v="Bagda"/>
    <s v="User Not Mapped"/>
    <s v="User Not Mapped"/>
    <s v="User Not Mapped"/>
    <n v="457462"/>
    <s v="Ashim Kumar Das"/>
    <s v="Private Retailer"/>
    <s v="9153209272"/>
    <n v="1.8"/>
    <n v="59"/>
    <x v="1"/>
    <m/>
    <s v="2026-02-27"/>
    <s v="268815"/>
    <s v="Chitta Ranjan Dey"/>
    <s v="9434744870"/>
  </r>
  <r>
    <s v="RCF Trombay"/>
    <s v="N.C.Urea(45kg)"/>
    <s v="WB"/>
    <x v="0"/>
    <s v="Bagda"/>
    <s v="User Not Mapped"/>
    <s v="User Not Mapped"/>
    <s v="User Not Mapped"/>
    <n v="457494"/>
    <s v="Mosiar Mondal"/>
    <s v="Private Retailer"/>
    <s v="9734515790"/>
    <n v="0.18"/>
    <n v="186"/>
    <x v="3"/>
    <m/>
    <s v="2025-10-23"/>
    <s v="328271"/>
    <s v="Amal Sales Corporation"/>
    <s v="7908257456"/>
  </r>
  <r>
    <s v="RCF Trombay"/>
    <s v="N.C.Urea(45kg)"/>
    <s v="WB"/>
    <x v="0"/>
    <s v="Bagda"/>
    <s v="User Not Mapped"/>
    <s v="User Not Mapped"/>
    <s v="User Not Mapped"/>
    <n v="457500"/>
    <s v="Subhashish Ghosh"/>
    <s v="Private Retailer"/>
    <s v="9735227216"/>
    <n v="5.4450000000000003"/>
    <n v="70"/>
    <x v="2"/>
    <m/>
    <s v="2026-02-16"/>
    <s v="268815"/>
    <s v="Chitta Ranjan Dey"/>
    <s v="9434744870"/>
  </r>
  <r>
    <s v="RCF Thal"/>
    <s v="N.C.Urea(45kg)"/>
    <s v="WB"/>
    <x v="0"/>
    <s v="Bagda"/>
    <s v="User Not Mapped"/>
    <s v="User Not Mapped"/>
    <s v="User Not Mapped"/>
    <n v="457500"/>
    <s v="Subhashish Ghosh"/>
    <s v="Private Retailer"/>
    <s v="9735227216"/>
    <n v="2.6549999999999998"/>
    <n v="45"/>
    <x v="1"/>
    <m/>
    <s v="2026-03-13"/>
    <s v="268815"/>
    <s v="Chitta Ranjan Dey"/>
    <s v="9434744870"/>
  </r>
  <r>
    <s v="RCF Trombay"/>
    <s v="15-15-15"/>
    <s v="WB"/>
    <x v="0"/>
    <s v="Bagda"/>
    <s v="User Not Mapped"/>
    <s v="User Not Mapped"/>
    <s v="User Not Mapped"/>
    <n v="457573"/>
    <s v="Sadhan Mazumdar"/>
    <s v="Private Retailer"/>
    <s v="9434503177"/>
    <n v="4.6500000000000004"/>
    <n v="62"/>
    <x v="2"/>
    <m/>
    <s v="2026-02-24"/>
    <s v="268815"/>
    <s v="Chitta Ranjan Dey"/>
    <s v="9434744870"/>
  </r>
  <r>
    <s v="RCF Import"/>
    <s v="MOP"/>
    <s v="WB"/>
    <x v="0"/>
    <s v="Bagda"/>
    <s v="User Not Mapped"/>
    <s v="User Not Mapped"/>
    <s v="User Not Mapped"/>
    <n v="457583"/>
    <s v="Tulshi Saha"/>
    <s v="Private Retailer"/>
    <s v="8768743976"/>
    <n v="0.25"/>
    <n v="47"/>
    <x v="1"/>
    <m/>
    <s v="2026-03-11"/>
    <s v="414580"/>
    <s v="Sukhendu Saha"/>
    <s v="9002005152"/>
  </r>
  <r>
    <s v="RCF Trombay"/>
    <s v="15-15-15"/>
    <s v="WB"/>
    <x v="0"/>
    <s v="Bagda"/>
    <s v="User Not Mapped"/>
    <s v="User Not Mapped"/>
    <s v="User Not Mapped"/>
    <n v="457819"/>
    <s v="Bidyut Biswas"/>
    <s v="Private Retailer"/>
    <s v="9732823240"/>
    <n v="0.2"/>
    <n v="173"/>
    <x v="0"/>
    <m/>
    <s v="2025-11-05"/>
    <s v="280852"/>
    <s v="Kundu Trading Co"/>
    <s v="9434119572"/>
  </r>
  <r>
    <s v="RCF Thal"/>
    <s v="N.C.Urea(45kg)"/>
    <s v="WB"/>
    <x v="0"/>
    <s v="Bagda"/>
    <s v="User Not Mapped"/>
    <s v="User Not Mapped"/>
    <s v="User Not Mapped"/>
    <n v="457835"/>
    <s v="Sujal Kr.Saha"/>
    <s v="Private Retailer"/>
    <s v="9474658884"/>
    <n v="0.81"/>
    <n v="402"/>
    <x v="6"/>
    <m/>
    <s v="2025-03-21"/>
    <s v="223812"/>
    <s v="M/S. Shyma Krishi B"/>
    <s v="8617629886"/>
  </r>
  <r>
    <s v="RCF Import"/>
    <s v="MOP"/>
    <s v="WB"/>
    <x v="0"/>
    <s v="Bagda"/>
    <s v="User Not Mapped"/>
    <s v="User Not Mapped"/>
    <s v="User Not Mapped"/>
    <n v="457835"/>
    <s v="Sujal Kr.Saha"/>
    <s v="Private Retailer"/>
    <s v="9474658884"/>
    <n v="0.5"/>
    <n v="434"/>
    <x v="6"/>
    <m/>
    <s v="2025-02-17"/>
    <s v="223812"/>
    <s v="M/S. Shyma Krishi B"/>
    <s v="8617629886"/>
  </r>
  <r>
    <s v="RCF Trombay"/>
    <s v="15-15-15"/>
    <s v="WB"/>
    <x v="0"/>
    <s v="Bagda"/>
    <s v="User Not Mapped"/>
    <s v="User Not Mapped"/>
    <s v="User Not Mapped"/>
    <n v="457841"/>
    <s v="Nurjahan Mondal"/>
    <s v="Private Retailer"/>
    <s v="9564360037"/>
    <n v="5.48"/>
    <n v="1492"/>
    <x v="7"/>
    <m/>
    <s v="2022-03-27"/>
    <s v="223807"/>
    <s v="M.K. Chemical and Fertilizers"/>
    <s v="9051316329"/>
  </r>
  <r>
    <s v="RCF Thal"/>
    <s v="N.C.Urea(45kg)"/>
    <s v="WB"/>
    <x v="0"/>
    <s v="Bagda"/>
    <s v="User Not Mapped"/>
    <s v="User Not Mapped"/>
    <s v="User Not Mapped"/>
    <n v="458113"/>
    <s v="Shiba Pada Sarkar"/>
    <s v="Private Retailer"/>
    <s v="8926463845"/>
    <n v="5.9850000000000003"/>
    <n v="19"/>
    <x v="4"/>
    <m/>
    <s v="2026-04-08"/>
    <s v="281522"/>
    <s v="N.C. Das and Co."/>
    <s v="6297603863"/>
  </r>
  <r>
    <s v="RCF Import"/>
    <s v="MOP"/>
    <s v="WB"/>
    <x v="0"/>
    <s v="Bagda"/>
    <s v="User Not Mapped"/>
    <s v="User Not Mapped"/>
    <s v="User Not Mapped"/>
    <n v="458452"/>
    <s v="Jubbar Mandal"/>
    <s v="Private Retailer"/>
    <s v="8514054194"/>
    <n v="1.7000000000000001E-2"/>
    <n v="351"/>
    <x v="3"/>
    <m/>
    <s v="2025-05-11"/>
    <s v="1421415"/>
    <s v="M/S RAMJAN MONDAL"/>
    <s v="7384055745"/>
  </r>
  <r>
    <s v="RCF Trombay"/>
    <s v="N.C.Urea(45kg)"/>
    <s v="WB"/>
    <x v="0"/>
    <s v="Bagda"/>
    <s v="User Not Mapped"/>
    <s v="User Not Mapped"/>
    <s v="User Not Mapped"/>
    <n v="482604"/>
    <s v="Swapan Kr Bagchi"/>
    <s v="Private Retailer"/>
    <s v="9732906705"/>
    <n v="1.35"/>
    <n v="207"/>
    <x v="3"/>
    <m/>
    <s v="2025-10-02"/>
    <s v="897258"/>
    <s v="RAY FERTILISER"/>
    <s v="7074214566"/>
  </r>
  <r>
    <s v="RCF Thal"/>
    <s v="N.C.Urea(45kg)"/>
    <s v="WB"/>
    <x v="0"/>
    <s v="Bagda"/>
    <s v="User Not Mapped"/>
    <s v="User Not Mapped"/>
    <s v="User Not Mapped"/>
    <n v="482604"/>
    <s v="Swapan Kr Bagchi"/>
    <s v="Private Retailer"/>
    <s v="9732906705"/>
    <n v="5.2649999999999997"/>
    <n v="43"/>
    <x v="1"/>
    <m/>
    <s v="2026-03-15"/>
    <s v="223812"/>
    <s v="M/S. Shyma Krishi B"/>
    <s v="8617629886"/>
  </r>
  <r>
    <s v="RCF Trombay"/>
    <s v="15-15-15"/>
    <s v="WB"/>
    <x v="0"/>
    <s v="Bagda"/>
    <s v="User Not Mapped"/>
    <s v="User Not Mapped"/>
    <s v="User Not Mapped"/>
    <n v="482604"/>
    <s v="Swapan Kr Bagchi"/>
    <s v="Private Retailer"/>
    <s v="9732906705"/>
    <n v="1"/>
    <n v="248"/>
    <x v="3"/>
    <m/>
    <s v="2025-08-22"/>
    <s v="897258"/>
    <s v="RAY FERTILISER"/>
    <s v="7074214566"/>
  </r>
  <r>
    <s v="RCF Import"/>
    <s v="MOP"/>
    <s v="WB"/>
    <x v="0"/>
    <s v="Bagda"/>
    <s v="User Not Mapped"/>
    <s v="User Not Mapped"/>
    <s v="User Not Mapped"/>
    <n v="487672"/>
    <s v="Pradyot Kumar Biswas"/>
    <s v="Private Retailer"/>
    <s v="9775284933"/>
    <n v="0.25"/>
    <n v="48"/>
    <x v="1"/>
    <m/>
    <s v="2026-03-10"/>
    <s v="414580"/>
    <s v="Sukhendu Saha"/>
    <s v="9002005152"/>
  </r>
  <r>
    <s v="RCF Trombay"/>
    <s v="15-15-15"/>
    <s v="WB"/>
    <x v="0"/>
    <s v="Bagda"/>
    <s v="User Not Mapped"/>
    <s v="User Not Mapped"/>
    <s v="User Not Mapped"/>
    <n v="489307"/>
    <s v="Putul Halder"/>
    <s v="Private Retailer"/>
    <s v="9593460325"/>
    <n v="0.25"/>
    <n v="247"/>
    <x v="3"/>
    <m/>
    <s v="2025-08-23"/>
    <s v="897258"/>
    <s v="RAY FERTILISER"/>
    <s v="7074214566"/>
  </r>
  <r>
    <s v="RCF Trombay"/>
    <s v="15-15-15"/>
    <s v="WB"/>
    <x v="0"/>
    <s v="Bagda"/>
    <s v="User Not Mapped"/>
    <s v="User Not Mapped"/>
    <s v="User Not Mapped"/>
    <n v="491329"/>
    <s v="Rejaul Mondal"/>
    <s v="Private Retailer"/>
    <s v="9932728622"/>
    <n v="3.6"/>
    <n v="63"/>
    <x v="2"/>
    <m/>
    <s v="2026-02-23"/>
    <s v="223812"/>
    <s v="M/S. Shyma Krishi B"/>
    <s v="8617629886"/>
  </r>
  <r>
    <s v="RCF Trombay"/>
    <s v="N.C.Urea(45kg)"/>
    <s v="WB"/>
    <x v="0"/>
    <s v="Bagda"/>
    <s v="User Not Mapped"/>
    <s v="User Not Mapped"/>
    <s v="User Not Mapped"/>
    <n v="491329"/>
    <s v="Rejaul Mondal"/>
    <s v="Private Retailer"/>
    <s v="9932728622"/>
    <n v="1.71"/>
    <n v="63"/>
    <x v="2"/>
    <m/>
    <s v="2026-02-23"/>
    <s v="223812"/>
    <s v="M/S. Shyma Krishi B"/>
    <s v="8617629886"/>
  </r>
  <r>
    <s v="RCF Trombay"/>
    <s v="N.C.Urea(45kg)"/>
    <s v="WB"/>
    <x v="0"/>
    <s v="Bagda"/>
    <s v="User Not Mapped"/>
    <s v="User Not Mapped"/>
    <s v="User Not Mapped"/>
    <n v="491329"/>
    <s v="Rejaul Mondal"/>
    <s v="Private Retailer"/>
    <s v="9932728622"/>
    <n v="4.9950000000000001"/>
    <n v="59"/>
    <x v="1"/>
    <m/>
    <s v="2026-02-27"/>
    <s v="281522"/>
    <s v="N.C. Das and Co."/>
    <s v="6297603863"/>
  </r>
  <r>
    <s v="RCF Thal"/>
    <s v="N.C.Urea(45kg)"/>
    <s v="WB"/>
    <x v="0"/>
    <s v="Bagda"/>
    <s v="User Not Mapped"/>
    <s v="User Not Mapped"/>
    <s v="User Not Mapped"/>
    <n v="496559"/>
    <s v="Palash Kumar Mondal"/>
    <s v="Private Retailer"/>
    <s v="7364959087"/>
    <n v="3.42"/>
    <n v="43"/>
    <x v="1"/>
    <m/>
    <s v="2026-03-15"/>
    <s v="223812"/>
    <s v="M/S. Shyma Krishi B"/>
    <s v="8617629886"/>
  </r>
  <r>
    <s v="RCF Thal"/>
    <s v="N.C.Urea(45kg)"/>
    <s v="WB"/>
    <x v="0"/>
    <s v="Bagda"/>
    <s v="User Not Mapped"/>
    <s v="User Not Mapped"/>
    <s v="User Not Mapped"/>
    <n v="496559"/>
    <s v="Palash Kumar Mondal"/>
    <s v="Private Retailer"/>
    <s v="7364959087"/>
    <n v="14.984999999999999"/>
    <n v="16"/>
    <x v="4"/>
    <m/>
    <s v="2026-04-11"/>
    <s v="223812"/>
    <s v="M/S. Shyma Krishi B"/>
    <s v="8617629886"/>
  </r>
  <r>
    <s v="RCF Thal"/>
    <s v="N.C.Urea(45kg)"/>
    <s v="WB"/>
    <x v="0"/>
    <s v="Bagda"/>
    <s v="User Not Mapped"/>
    <s v="User Not Mapped"/>
    <s v="User Not Mapped"/>
    <n v="496559"/>
    <s v="Palash Kumar Mondal"/>
    <s v="Private Retailer"/>
    <s v="7364959087"/>
    <n v="9.99"/>
    <n v="17"/>
    <x v="4"/>
    <m/>
    <s v="2026-04-10"/>
    <s v="268815"/>
    <s v="Chitta Ranjan Dey"/>
    <s v="9434744870"/>
  </r>
  <r>
    <s v="RCF Import"/>
    <s v="Imp 10-26-26"/>
    <s v="WB"/>
    <x v="0"/>
    <s v="Bagda"/>
    <s v="User Not Mapped"/>
    <s v="User Not Mapped"/>
    <s v="User Not Mapped"/>
    <n v="496559"/>
    <s v="Palash Kumar Mondal"/>
    <s v="Private Retailer"/>
    <s v="7364959087"/>
    <n v="5.25"/>
    <n v="56"/>
    <x v="1"/>
    <m/>
    <s v="2026-03-02"/>
    <s v="223817"/>
    <s v="National Supply Agency"/>
    <s v="9564505288"/>
  </r>
  <r>
    <s v="RCF Trombay"/>
    <s v="15-15-15"/>
    <s v="WB"/>
    <x v="0"/>
    <s v="Bagda"/>
    <s v="User Not Mapped"/>
    <s v="User Not Mapped"/>
    <s v="User Not Mapped"/>
    <n v="496559"/>
    <s v="Palash Kumar Mondal"/>
    <s v="Private Retailer"/>
    <s v="7364959087"/>
    <n v="0.45"/>
    <n v="56"/>
    <x v="1"/>
    <m/>
    <s v="2026-03-02"/>
    <s v="223817"/>
    <s v="National Supply Agency"/>
    <s v="9564505288"/>
  </r>
  <r>
    <s v="RCF Thal"/>
    <s v="N.C.Urea(45kg)"/>
    <s v="WB"/>
    <x v="0"/>
    <s v="Bagda"/>
    <s v="User Not Mapped"/>
    <s v="User Not Mapped"/>
    <s v="User Not Mapped"/>
    <n v="497749"/>
    <s v="ADHIKARY FERTILIZER"/>
    <s v="Private Retailer"/>
    <s v="9735993375"/>
    <n v="6.75"/>
    <n v="45"/>
    <x v="1"/>
    <m/>
    <s v="2026-03-13"/>
    <s v="268815"/>
    <s v="Chitta Ranjan Dey"/>
    <s v="9434744870"/>
  </r>
  <r>
    <s v="RCF Thal"/>
    <s v="N.C.Urea(45kg)"/>
    <s v="WB"/>
    <x v="0"/>
    <s v="Bagda"/>
    <s v="User Not Mapped"/>
    <s v="User Not Mapped"/>
    <s v="User Not Mapped"/>
    <n v="497749"/>
    <s v="ADHIKARY FERTILIZER"/>
    <s v="Private Retailer"/>
    <s v="9735993375"/>
    <n v="5.2649999999999997"/>
    <n v="47"/>
    <x v="1"/>
    <m/>
    <s v="2026-03-11"/>
    <s v="223807"/>
    <s v="M.K. Chemical and Fertilizers"/>
    <s v="9051316329"/>
  </r>
  <r>
    <s v="RCF Trombay"/>
    <s v="N.C.Urea(45kg)"/>
    <s v="WB"/>
    <x v="0"/>
    <s v="Bagda"/>
    <s v="User Not Mapped"/>
    <s v="User Not Mapped"/>
    <s v="User Not Mapped"/>
    <n v="499046"/>
    <s v="Manabendra Tarafder"/>
    <s v="Private Retailer"/>
    <s v="9679333706"/>
    <n v="0.81"/>
    <n v="90"/>
    <x v="2"/>
    <m/>
    <s v="2026-01-27"/>
    <s v="223811"/>
    <s v="Chanchal Kumar Dey"/>
    <s v="9434616928"/>
  </r>
  <r>
    <s v="RCF Trombay"/>
    <s v="15-15-15"/>
    <s v="WB"/>
    <x v="0"/>
    <s v="Bagda"/>
    <s v="User Not Mapped"/>
    <s v="User Not Mapped"/>
    <s v="User Not Mapped"/>
    <n v="499046"/>
    <s v="Manabendra Tarafder"/>
    <s v="Private Retailer"/>
    <s v="9679333706"/>
    <n v="0.9"/>
    <n v="90"/>
    <x v="2"/>
    <m/>
    <s v="2026-01-27"/>
    <s v="223811"/>
    <s v="Chanchal Kumar Dey"/>
    <s v="9434616928"/>
  </r>
  <r>
    <s v="RCF Trombay"/>
    <s v="N.C.Urea(45kg)"/>
    <s v="WB"/>
    <x v="0"/>
    <s v="Bagda"/>
    <s v="User Not Mapped"/>
    <s v="User Not Mapped"/>
    <s v="User Not Mapped"/>
    <n v="501270"/>
    <s v="Arsed Mondal"/>
    <s v="Private Retailer"/>
    <s v="8116998225"/>
    <n v="4.4999999999999998E-2"/>
    <n v="202"/>
    <x v="3"/>
    <m/>
    <s v="2025-10-07"/>
    <s v="281522"/>
    <s v="N.C. Das and Co."/>
    <s v="6297603863"/>
  </r>
  <r>
    <s v="RCF Import"/>
    <s v="MOP"/>
    <s v="WB"/>
    <x v="0"/>
    <s v="Bagda"/>
    <s v="User Not Mapped"/>
    <s v="User Not Mapped"/>
    <s v="User Not Mapped"/>
    <n v="501443"/>
    <s v="Mehebub Ali Mondal"/>
    <s v="Private Retailer"/>
    <s v="9733562112"/>
    <n v="3.4000000000000002E-2"/>
    <n v="428"/>
    <x v="6"/>
    <m/>
    <s v="2025-02-23"/>
    <s v="223807"/>
    <s v="M.K. Chemical and Fertilizers"/>
    <s v="9051316329"/>
  </r>
  <r>
    <s v="RCF Thal"/>
    <s v="N.C.Urea(45kg)"/>
    <s v="WB"/>
    <x v="0"/>
    <s v="Bagda"/>
    <s v="User Not Mapped"/>
    <s v="User Not Mapped"/>
    <s v="User Not Mapped"/>
    <n v="501443"/>
    <s v="Mehebub Ali Mondal"/>
    <s v="Private Retailer"/>
    <s v="9733562112"/>
    <n v="0.36"/>
    <n v="428"/>
    <x v="6"/>
    <m/>
    <s v="2025-02-23"/>
    <s v="223807"/>
    <s v="M.K. Chemical and Fertilizers"/>
    <s v="9051316329"/>
  </r>
  <r>
    <s v="RCF Trombay"/>
    <s v="15-15-15"/>
    <s v="WB"/>
    <x v="0"/>
    <s v="Bagda"/>
    <s v="User Not Mapped"/>
    <s v="User Not Mapped"/>
    <s v="User Not Mapped"/>
    <n v="513941"/>
    <s v="Sambhu Sadhu Khan"/>
    <s v="Private Retailer"/>
    <s v="9378335861"/>
    <n v="1.3979999999999999"/>
    <n v="64"/>
    <x v="2"/>
    <m/>
    <s v="2026-02-22"/>
    <s v="311050"/>
    <s v="M/S Suchitra Ghosh"/>
    <s v="9609145715"/>
  </r>
  <r>
    <s v="RCF Trombay"/>
    <s v="15-15-15"/>
    <s v="WB"/>
    <x v="0"/>
    <s v="Bagda"/>
    <s v="User Not Mapped"/>
    <s v="User Not Mapped"/>
    <s v="User Not Mapped"/>
    <n v="531463"/>
    <s v="Pabitra Kanjilal"/>
    <s v="Private Retailer"/>
    <s v="8348140956"/>
    <n v="4.4999999999999998E-2"/>
    <n v="537"/>
    <x v="6"/>
    <m/>
    <s v="2024-11-06"/>
    <s v="1219935"/>
    <s v="BISWAS FERTILIZER"/>
    <s v="7797491324"/>
  </r>
  <r>
    <s v="RCF Trombay"/>
    <s v="15-15-15"/>
    <s v="WB"/>
    <x v="0"/>
    <s v="Bagda"/>
    <s v="User Not Mapped"/>
    <s v="User Not Mapped"/>
    <s v="User Not Mapped"/>
    <n v="538130"/>
    <s v="Nazrul Islam Mondal"/>
    <s v="Private Retailer"/>
    <s v="8670424609"/>
    <n v="1.4999999999999999E-2"/>
    <n v="2444"/>
    <x v="7"/>
    <m/>
    <s v="2019-08-18"/>
    <s v="1108226"/>
    <s v="BISWA NATH GHOSH"/>
    <s v="9732645071"/>
  </r>
  <r>
    <s v="RCF Trombay"/>
    <s v="15-15-15"/>
    <s v="WB"/>
    <x v="0"/>
    <s v="Bagda"/>
    <s v="User Not Mapped"/>
    <s v="User Not Mapped"/>
    <s v="User Not Mapped"/>
    <n v="538132"/>
    <s v="Sarif Sardar"/>
    <s v="Private Retailer"/>
    <s v="9735315233"/>
    <n v="1.95"/>
    <n v="146"/>
    <x v="0"/>
    <m/>
    <s v="2025-12-02"/>
    <s v="328271"/>
    <s v="Amal Sales Corporation"/>
    <s v="7908257456"/>
  </r>
  <r>
    <s v="RCF Trombay"/>
    <s v="N.C.Urea(45kg)"/>
    <s v="WB"/>
    <x v="0"/>
    <s v="Bagda"/>
    <s v="User Not Mapped"/>
    <s v="User Not Mapped"/>
    <s v="User Not Mapped"/>
    <n v="538132"/>
    <s v="Sarif Sardar"/>
    <s v="Private Retailer"/>
    <s v="9735315233"/>
    <n v="2.7"/>
    <n v="10"/>
    <x v="4"/>
    <m/>
    <s v="2026-04-17"/>
    <s v="328271"/>
    <s v="Amal Sales Corporation"/>
    <s v="7908257456"/>
  </r>
  <r>
    <s v="RCF Import"/>
    <s v="Imp 10-26-26"/>
    <s v="WB"/>
    <x v="0"/>
    <s v="Bagda"/>
    <s v="User Not Mapped"/>
    <s v="User Not Mapped"/>
    <s v="User Not Mapped"/>
    <n v="538132"/>
    <s v="Sarif Sardar"/>
    <s v="Private Retailer"/>
    <s v="9735315233"/>
    <n v="3"/>
    <n v="10"/>
    <x v="4"/>
    <m/>
    <s v="2026-04-17"/>
    <s v="328271"/>
    <s v="Amal Sales Corporation"/>
    <s v="7908257456"/>
  </r>
  <r>
    <s v="RCF Thal"/>
    <s v="N.C.Urea(45kg)"/>
    <s v="WB"/>
    <x v="0"/>
    <s v="Bagda"/>
    <s v="User Not Mapped"/>
    <s v="User Not Mapped"/>
    <s v="User Not Mapped"/>
    <n v="538132"/>
    <s v="Sarif Sardar"/>
    <s v="Private Retailer"/>
    <s v="9735315233"/>
    <n v="0.94499999999999995"/>
    <n v="70"/>
    <x v="2"/>
    <m/>
    <s v="2026-02-16"/>
    <s v="328271"/>
    <s v="Amal Sales Corporation"/>
    <s v="7908257456"/>
  </r>
  <r>
    <s v="RCF Trombay"/>
    <s v="15-15-15"/>
    <s v="WB"/>
    <x v="0"/>
    <s v="Bagda"/>
    <s v="User Not Mapped"/>
    <s v="User Not Mapped"/>
    <s v="User Not Mapped"/>
    <n v="545834"/>
    <s v="Samad Mondal"/>
    <s v="Private Retailer"/>
    <s v="8001092133"/>
    <n v="0.06"/>
    <n v="231"/>
    <x v="3"/>
    <m/>
    <s v="2025-09-08"/>
    <s v="901234"/>
    <s v="M/S ARINDAM NANDI"/>
    <s v="9153209294"/>
  </r>
  <r>
    <s v="RCF Import"/>
    <s v="MOP"/>
    <s v="WB"/>
    <x v="0"/>
    <s v="Bagda"/>
    <s v="User Not Mapped"/>
    <s v="User Not Mapped"/>
    <s v="User Not Mapped"/>
    <n v="545840"/>
    <s v="Nemai Debnath"/>
    <s v="Private Retailer"/>
    <s v="9775018002"/>
    <n v="0.2"/>
    <n v="45"/>
    <x v="1"/>
    <m/>
    <s v="2026-03-13"/>
    <s v="414580"/>
    <s v="Sukhendu Saha"/>
    <s v="9002005152"/>
  </r>
  <r>
    <s v="RCF Thal"/>
    <s v="N.C.Urea(45kg)"/>
    <s v="WB"/>
    <x v="0"/>
    <s v="Bagda"/>
    <s v="User Not Mapped"/>
    <s v="User Not Mapped"/>
    <s v="User Not Mapped"/>
    <n v="545840"/>
    <s v="Nemai Debnath"/>
    <s v="Private Retailer"/>
    <s v="9775018002"/>
    <n v="5.9850000000000003"/>
    <n v="19"/>
    <x v="4"/>
    <m/>
    <s v="2026-04-08"/>
    <s v="281522"/>
    <s v="N.C. Das and Co."/>
    <s v="6297603863"/>
  </r>
  <r>
    <s v="RCF Thal"/>
    <s v="N.C.Urea(45kg)"/>
    <s v="WB"/>
    <x v="0"/>
    <s v="Bagda"/>
    <s v="User Not Mapped"/>
    <s v="User Not Mapped"/>
    <s v="User Not Mapped"/>
    <n v="545846"/>
    <s v="PROTAP GHOSH"/>
    <s v="Private Retailer"/>
    <s v="7407785145"/>
    <n v="1.0349999999999999"/>
    <n v="73"/>
    <x v="2"/>
    <m/>
    <s v="2026-02-13"/>
    <s v="268815"/>
    <s v="Chitta Ranjan Dey"/>
    <s v="9434744870"/>
  </r>
  <r>
    <s v="RCF Trombay"/>
    <s v="N.C.Urea(45kg)"/>
    <s v="WB"/>
    <x v="0"/>
    <s v="Bagda"/>
    <s v="User Not Mapped"/>
    <s v="User Not Mapped"/>
    <s v="User Not Mapped"/>
    <n v="545850"/>
    <s v="MASUD MOLLA"/>
    <s v="Private Retailer"/>
    <s v="9933820430"/>
    <n v="4.9950000000000001"/>
    <n v="133"/>
    <x v="0"/>
    <m/>
    <s v="2025-12-15"/>
    <s v="223807"/>
    <s v="M.K. Chemical and Fertilizers"/>
    <s v="9051316329"/>
  </r>
  <r>
    <s v="RCF Trombay"/>
    <s v="15-15-15"/>
    <s v="WB"/>
    <x v="0"/>
    <s v="Bagda"/>
    <s v="User Not Mapped"/>
    <s v="User Not Mapped"/>
    <s v="User Not Mapped"/>
    <n v="545852"/>
    <s v="Haradhon Ghosh"/>
    <s v="Private Retailer"/>
    <s v="9734440678"/>
    <n v="2.5000000000000001E-2"/>
    <n v="569"/>
    <x v="7"/>
    <m/>
    <s v="2024-10-05"/>
    <s v="1081212"/>
    <s v="Jagannath Mukhopadhyay"/>
    <s v="9732764229"/>
  </r>
  <r>
    <s v="RCF Thal"/>
    <s v="N.C.Urea(45kg)"/>
    <s v="WB"/>
    <x v="0"/>
    <s v="Bagda"/>
    <s v="User Not Mapped"/>
    <s v="User Not Mapped"/>
    <s v="User Not Mapped"/>
    <n v="545852"/>
    <s v="Haradhon Ghosh"/>
    <s v="Private Retailer"/>
    <s v="9734440678"/>
    <n v="4.4999999999999998E-2"/>
    <n v="569"/>
    <x v="7"/>
    <m/>
    <s v="2024-10-05"/>
    <s v="1081212"/>
    <s v="Jagannath Mukhopadhyay"/>
    <s v="9732764229"/>
  </r>
  <r>
    <s v="RCF Trombay"/>
    <s v="N.C.Urea(45kg)"/>
    <s v="WB"/>
    <x v="0"/>
    <s v="Bagda"/>
    <s v="User Not Mapped"/>
    <s v="User Not Mapped"/>
    <s v="User Not Mapped"/>
    <n v="550587"/>
    <s v="Aktar Mondal"/>
    <s v="Private Retailer"/>
    <s v="8535892617"/>
    <n v="1.89"/>
    <n v="70"/>
    <x v="2"/>
    <m/>
    <s v="2026-02-16"/>
    <s v="268815"/>
    <s v="Chitta Ranjan Dey"/>
    <s v="9434744870"/>
  </r>
  <r>
    <s v="RCF Import"/>
    <s v="MOP"/>
    <s v="WB"/>
    <x v="0"/>
    <s v="Bagda"/>
    <s v="User Not Mapped"/>
    <s v="User Not Mapped"/>
    <s v="User Not Mapped"/>
    <n v="550587"/>
    <s v="Aktar Mondal"/>
    <s v="Private Retailer"/>
    <s v="8535892617"/>
    <n v="0.5"/>
    <n v="207"/>
    <x v="3"/>
    <m/>
    <s v="2025-10-02"/>
    <s v="897258"/>
    <s v="RAY FERTILISER"/>
    <s v="7074214566"/>
  </r>
  <r>
    <s v="RCF Trombay"/>
    <s v="15-15-15"/>
    <s v="WB"/>
    <x v="0"/>
    <s v="Bagda"/>
    <s v="User Not Mapped"/>
    <s v="User Not Mapped"/>
    <s v="User Not Mapped"/>
    <n v="550587"/>
    <s v="Aktar Mondal"/>
    <s v="Private Retailer"/>
    <s v="8535892617"/>
    <n v="0.95"/>
    <n v="480"/>
    <x v="6"/>
    <m/>
    <s v="2025-01-02"/>
    <s v="897258"/>
    <s v="RAY FERTILISER"/>
    <s v="7074214566"/>
  </r>
  <r>
    <s v="RCF Thal"/>
    <s v="N.C.Urea(45kg)"/>
    <s v="WB"/>
    <x v="0"/>
    <s v="Bagda"/>
    <s v="User Not Mapped"/>
    <s v="User Not Mapped"/>
    <s v="User Not Mapped"/>
    <n v="599464"/>
    <s v="NAMITA RAY"/>
    <s v="Private Retailer"/>
    <s v="9564038114"/>
    <n v="1.8"/>
    <n v="1067"/>
    <x v="7"/>
    <m/>
    <s v="2023-05-26"/>
    <s v="223807"/>
    <s v="M.K. Chemical and Fertilizers"/>
    <s v="9051316329"/>
  </r>
  <r>
    <s v="RCF Trombay"/>
    <s v="N.C.Urea(45kg)"/>
    <s v="WB"/>
    <x v="0"/>
    <s v="Bagda"/>
    <s v="User Not Mapped"/>
    <s v="User Not Mapped"/>
    <s v="User Not Mapped"/>
    <n v="599464"/>
    <s v="NAMITA RAY"/>
    <s v="Private Retailer"/>
    <s v="9564038114"/>
    <n v="0.315"/>
    <n v="1093"/>
    <x v="7"/>
    <m/>
    <s v="2023-04-30"/>
    <s v="223807"/>
    <s v="M.K. Chemical and Fertilizers"/>
    <s v="9051316329"/>
  </r>
  <r>
    <s v="RCF Thal"/>
    <s v="N.C.Urea(45kg)"/>
    <s v="WB"/>
    <x v="0"/>
    <s v="Bagda"/>
    <s v="User Not Mapped"/>
    <s v="User Not Mapped"/>
    <s v="User Not Mapped"/>
    <n v="600937"/>
    <s v="Niranjan Kumar Mondal"/>
    <s v="Private Retailer"/>
    <s v="9635696715"/>
    <n v="0.01"/>
    <n v="458"/>
    <x v="6"/>
    <m/>
    <s v="2025-01-24"/>
    <s v="289634"/>
    <s v="Sankar Lal Saha"/>
    <s v="9830026138"/>
  </r>
  <r>
    <s v="RCF Trombay"/>
    <s v="15-15-15"/>
    <s v="WB"/>
    <x v="0"/>
    <s v="Bagda"/>
    <s v="User Not Mapped"/>
    <s v="User Not Mapped"/>
    <s v="User Not Mapped"/>
    <n v="600937"/>
    <s v="Niranjan Kumar Mondal"/>
    <s v="Private Retailer"/>
    <s v="9635696715"/>
    <n v="0.95"/>
    <n v="394"/>
    <x v="6"/>
    <m/>
    <s v="2025-03-29"/>
    <s v="281522"/>
    <s v="N.C. Das and Co."/>
    <s v="6297603863"/>
  </r>
  <r>
    <s v="RCF Thal"/>
    <s v="N.C.Urea(45kg)"/>
    <s v="WB"/>
    <x v="0"/>
    <s v="Bagda"/>
    <s v="User Not Mapped"/>
    <s v="User Not Mapped"/>
    <s v="User Not Mapped"/>
    <n v="607240"/>
    <s v="SOFIAR MONDAL"/>
    <s v="Private Retailer"/>
    <s v="9735706651"/>
    <n v="8.8650000000000002"/>
    <n v="46"/>
    <x v="1"/>
    <m/>
    <s v="2026-03-12"/>
    <s v="268815"/>
    <s v="Chitta Ranjan Dey"/>
    <s v="9434744870"/>
  </r>
  <r>
    <s v="RCF Thal"/>
    <s v="N.C.Urea(45kg)"/>
    <s v="WB"/>
    <x v="0"/>
    <s v="Bagda"/>
    <s v="User Not Mapped"/>
    <s v="User Not Mapped"/>
    <s v="User Not Mapped"/>
    <n v="659288"/>
    <s v="Sanjay Sarkar"/>
    <s v="Private Retailer"/>
    <s v="8768067211"/>
    <n v="0.36"/>
    <n v="454"/>
    <x v="6"/>
    <m/>
    <s v="2025-01-28"/>
    <s v="268815"/>
    <s v="Chitta Ranjan Dey"/>
    <s v="9434744870"/>
  </r>
  <r>
    <s v="RCF Trombay"/>
    <s v="N.C.Urea(45kg)"/>
    <s v="WB"/>
    <x v="0"/>
    <s v="Bagda"/>
    <s v="User Not Mapped"/>
    <s v="User Not Mapped"/>
    <s v="User Not Mapped"/>
    <n v="660354"/>
    <s v="PROVAT MONDAL"/>
    <s v="Private Retailer"/>
    <s v="7001033524"/>
    <n v="6.5000000000000002E-2"/>
    <n v="585"/>
    <x v="7"/>
    <m/>
    <s v="2024-09-19"/>
    <s v="1219935"/>
    <s v="BISWAS FERTILIZER"/>
    <s v="7797491324"/>
  </r>
  <r>
    <s v="RCF Trombay"/>
    <s v="15-15-15"/>
    <s v="WB"/>
    <x v="0"/>
    <s v="Bagda"/>
    <s v="User Not Mapped"/>
    <s v="User Not Mapped"/>
    <s v="User Not Mapped"/>
    <n v="660354"/>
    <s v="PROVAT MONDAL"/>
    <s v="Private Retailer"/>
    <s v="7001033524"/>
    <n v="0.8"/>
    <n v="363"/>
    <x v="3"/>
    <m/>
    <s v="2025-04-29"/>
    <s v="223807"/>
    <s v="M.K. Chemical and Fertilizers"/>
    <s v="9051316329"/>
  </r>
  <r>
    <s v="RCF Trombay"/>
    <s v="15-15-15"/>
    <s v="WB"/>
    <x v="0"/>
    <s v="Bagda"/>
    <s v="User Not Mapped"/>
    <s v="User Not Mapped"/>
    <s v="User Not Mapped"/>
    <n v="661803"/>
    <s v="BISWAS FERTILISER"/>
    <s v="Private Retailer"/>
    <s v="8697276223"/>
    <n v="2.95"/>
    <n v="294"/>
    <x v="3"/>
    <m/>
    <s v="2025-07-07"/>
    <s v="311050"/>
    <s v="M/S Suchitra Ghosh"/>
    <s v="9609145715"/>
  </r>
  <r>
    <s v="RCF Trombay"/>
    <s v="N.C.Urea(45kg)"/>
    <s v="WB"/>
    <x v="0"/>
    <s v="Bagda"/>
    <s v="User Not Mapped"/>
    <s v="User Not Mapped"/>
    <s v="User Not Mapped"/>
    <n v="667738"/>
    <s v="LITON KUMAR DAS"/>
    <s v="Private Retailer"/>
    <s v="9734321294"/>
    <n v="0.13500000000000001"/>
    <n v="133"/>
    <x v="0"/>
    <m/>
    <s v="2025-12-15"/>
    <s v="223807"/>
    <s v="M.K. Chemical and Fertilizers"/>
    <s v="9051316329"/>
  </r>
  <r>
    <s v="RCF Trombay"/>
    <s v="15-15-15"/>
    <s v="WB"/>
    <x v="0"/>
    <s v="Bagda"/>
    <s v="User Not Mapped"/>
    <s v="User Not Mapped"/>
    <s v="User Not Mapped"/>
    <n v="807108"/>
    <s v="DIPANKAR GHOSH"/>
    <s v="Private Retailer"/>
    <s v="9564068918"/>
    <n v="0.65"/>
    <n v="288"/>
    <x v="3"/>
    <m/>
    <s v="2025-07-13"/>
    <s v="901234"/>
    <s v="M/S ARINDAM NANDI"/>
    <s v="9153209294"/>
  </r>
  <r>
    <s v="RCF Thal"/>
    <s v="N.C.Urea(45kg)"/>
    <s v="WB"/>
    <x v="0"/>
    <s v="Bagda"/>
    <s v="User Not Mapped"/>
    <s v="User Not Mapped"/>
    <s v="User Not Mapped"/>
    <n v="1018665"/>
    <s v="DAHARPOTA S.K.U.S LTD"/>
    <s v="Private Retailer"/>
    <s v="9733685490"/>
    <n v="9.85"/>
    <n v="45"/>
    <x v="1"/>
    <m/>
    <s v="2026-03-13"/>
    <s v="268815"/>
    <s v="Chitta Ranjan Dey"/>
    <s v="9434744870"/>
  </r>
  <r>
    <s v="RCF Trombay"/>
    <s v="15-15-15"/>
    <s v="WB"/>
    <x v="0"/>
    <s v="Bagda"/>
    <s v="User Not Mapped"/>
    <s v="User Not Mapped"/>
    <s v="User Not Mapped"/>
    <n v="1219716"/>
    <s v="M/S SUBIR BISWAS"/>
    <s v="Private Retailer"/>
    <s v="9091692206"/>
    <n v="2"/>
    <n v="62"/>
    <x v="2"/>
    <m/>
    <s v="2026-02-24"/>
    <s v="268815"/>
    <s v="Chitta Ranjan Dey"/>
    <s v="9434744870"/>
  </r>
  <r>
    <s v="RCF Thal"/>
    <s v="N.C.Urea(45kg)"/>
    <s v="WB"/>
    <x v="0"/>
    <s v="Bagda"/>
    <s v="User Not Mapped"/>
    <s v="User Not Mapped"/>
    <s v="User Not Mapped"/>
    <n v="1219716"/>
    <s v="M/S SUBIR BISWAS"/>
    <s v="Private Retailer"/>
    <s v="9091692206"/>
    <n v="9.18"/>
    <n v="20"/>
    <x v="4"/>
    <m/>
    <s v="2026-04-07"/>
    <s v="268815"/>
    <s v="Chitta Ranjan Dey"/>
    <s v="9434744870"/>
  </r>
  <r>
    <s v="RCF Import"/>
    <s v="Imp 10-26-26"/>
    <s v="WB"/>
    <x v="0"/>
    <s v="Bagda"/>
    <s v="User Not Mapped"/>
    <s v="User Not Mapped"/>
    <s v="User Not Mapped"/>
    <n v="1219716"/>
    <s v="M/S SUBIR BISWAS"/>
    <s v="Private Retailer"/>
    <s v="9091692206"/>
    <n v="5.5"/>
    <n v="28"/>
    <x v="4"/>
    <m/>
    <s v="2026-03-30"/>
    <s v="268815"/>
    <s v="Chitta Ranjan Dey"/>
    <s v="9434744870"/>
  </r>
  <r>
    <s v="RCF Import"/>
    <s v="MOP"/>
    <s v="WB"/>
    <x v="0"/>
    <s v="Bagda"/>
    <s v="User Not Mapped"/>
    <s v="User Not Mapped"/>
    <s v="User Not Mapped"/>
    <n v="1219716"/>
    <s v="M/S SUBIR BISWAS"/>
    <s v="Private Retailer"/>
    <s v="9091692206"/>
    <n v="2"/>
    <n v="59"/>
    <x v="1"/>
    <m/>
    <s v="2026-02-27"/>
    <s v="268815"/>
    <s v="Chitta Ranjan Dey"/>
    <s v="9434744870"/>
  </r>
  <r>
    <s v="RCF Trombay"/>
    <s v="15-15-15"/>
    <s v="WB"/>
    <x v="0"/>
    <s v="Bagda"/>
    <s v="User Not Mapped"/>
    <s v="User Not Mapped"/>
    <s v="User Not Mapped"/>
    <n v="1383388"/>
    <s v="NEW GHOSH FERTILIZER"/>
    <s v="Private Retailer"/>
    <s v="9153160342"/>
    <n v="0.75"/>
    <n v="259"/>
    <x v="3"/>
    <m/>
    <s v="2025-08-11"/>
    <s v="901234"/>
    <s v="M/S ARINDAM NANDI"/>
    <s v="9153209294"/>
  </r>
  <r>
    <s v="RCF Thal"/>
    <s v="N.C.Urea(45kg)"/>
    <s v="WB"/>
    <x v="0"/>
    <s v="Bagda"/>
    <s v="User Not Mapped"/>
    <s v="User Not Mapped"/>
    <s v="User Not Mapped"/>
    <n v="1388234"/>
    <s v="ROY KRISHI BHANDER"/>
    <s v="Private Retailer"/>
    <s v="8926471945"/>
    <n v="9.99"/>
    <n v="16"/>
    <x v="4"/>
    <m/>
    <s v="2026-04-11"/>
    <s v="223812"/>
    <s v="M/S. Shyma Krishi B"/>
    <s v="8617629886"/>
  </r>
  <r>
    <s v="RCF Thal"/>
    <s v="N.C.Urea(45kg)"/>
    <s v="WB"/>
    <x v="0"/>
    <s v="Bagda"/>
    <s v="User Not Mapped"/>
    <s v="User Not Mapped"/>
    <s v="User Not Mapped"/>
    <n v="1388234"/>
    <s v="ROY KRISHI BHANDER"/>
    <s v="Private Retailer"/>
    <s v="8926471945"/>
    <n v="7.47"/>
    <n v="19"/>
    <x v="4"/>
    <m/>
    <s v="2026-04-08"/>
    <s v="281522"/>
    <s v="N.C. Das and Co."/>
    <s v="6297603863"/>
  </r>
  <r>
    <s v="RCF Trombay"/>
    <s v="N.C.Urea(45kg)"/>
    <s v="WB"/>
    <x v="0"/>
    <s v="Bagda"/>
    <s v="User Not Mapped"/>
    <s v="User Not Mapped"/>
    <s v="User Not Mapped"/>
    <n v="1466642"/>
    <s v="SHYAMAL KUMAR GHOSH"/>
    <s v="Private Retailer"/>
    <s v="6294539695"/>
    <n v="0.18"/>
    <n v="201"/>
    <x v="3"/>
    <m/>
    <s v="2025-10-08"/>
    <s v="897258"/>
    <s v="RAY FERTILISER"/>
    <s v="7074214566"/>
  </r>
  <r>
    <s v="RCF Trombay"/>
    <s v="N.C.Urea(45kg)"/>
    <s v="WB"/>
    <x v="0"/>
    <s v="Bagda"/>
    <s v="User Not Mapped"/>
    <s v="User Not Mapped"/>
    <s v="User Not Mapped"/>
    <n v="1573131"/>
    <s v="SUMANA FERTILIZER"/>
    <s v="Private Retailer"/>
    <s v="8436873877"/>
    <n v="0.99"/>
    <n v="65"/>
    <x v="2"/>
    <m/>
    <s v="2026-02-21"/>
    <s v="223807"/>
    <s v="M.K. Chemical and Fertilizers"/>
    <s v="9051316329"/>
  </r>
  <r>
    <s v="RCF Trombay"/>
    <s v="15-15-15"/>
    <s v="WB"/>
    <x v="0"/>
    <s v="Bagda"/>
    <s v="User Not Mapped"/>
    <s v="User Not Mapped"/>
    <s v="User Not Mapped"/>
    <n v="1573131"/>
    <s v="SUMANA FERTILIZER"/>
    <s v="Private Retailer"/>
    <s v="8436873877"/>
    <n v="7"/>
    <n v="65"/>
    <x v="2"/>
    <m/>
    <s v="2026-02-21"/>
    <s v="223807"/>
    <s v="M.K. Chemical and Fertilizers"/>
    <s v="9051316329"/>
  </r>
  <r>
    <s v="RCF Import"/>
    <s v="MOP"/>
    <s v="WB"/>
    <x v="0"/>
    <s v="Bagda"/>
    <s v="User Not Mapped"/>
    <s v="User Not Mapped"/>
    <s v="User Not Mapped"/>
    <n v="1573131"/>
    <s v="SUMANA FERTILIZER"/>
    <s v="Private Retailer"/>
    <s v="8436873877"/>
    <n v="4.95"/>
    <n v="68"/>
    <x v="2"/>
    <m/>
    <s v="2026-02-18"/>
    <s v="223807"/>
    <s v="M.K. Chemical and Fertilizers"/>
    <s v="9051316329"/>
  </r>
  <r>
    <s v="RCF Trombay"/>
    <s v="15-15-15"/>
    <s v="WB"/>
    <x v="0"/>
    <s v="Bagda"/>
    <s v="User Not Mapped"/>
    <s v="User Not Mapped"/>
    <s v="User Not Mapped"/>
    <n v="1573131"/>
    <s v="SUMANA FERTILIZER"/>
    <s v="Private Retailer"/>
    <s v="8436873877"/>
    <n v="2.65"/>
    <n v="133"/>
    <x v="0"/>
    <m/>
    <s v="2025-12-15"/>
    <s v="223807"/>
    <s v="M.K. Chemical and Fertilizers"/>
    <s v="9051316329"/>
  </r>
  <r>
    <s v="RCF Trombay"/>
    <s v="15-15-15"/>
    <s v="WB"/>
    <x v="0"/>
    <s v="Barasat - I"/>
    <s v="User Not Mapped"/>
    <s v="User Not Mapped"/>
    <s v="User Not Mapped"/>
    <n v="189404"/>
    <s v="Jana Fertilizer"/>
    <s v="Private Retailer"/>
    <s v="9748113810"/>
    <n v="0.75"/>
    <n v="100"/>
    <x v="5"/>
    <m/>
    <s v="2026-01-17"/>
    <s v="223807"/>
    <s v="M.K. Chemical and Fertilizers"/>
    <s v="9051316329"/>
  </r>
  <r>
    <s v="RCF Trombay"/>
    <s v="15-15-15"/>
    <s v="WB"/>
    <x v="0"/>
    <s v="Barasat - I"/>
    <s v="User Not Mapped"/>
    <s v="User Not Mapped"/>
    <s v="User Not Mapped"/>
    <n v="189444"/>
    <s v="M/S. Nasir Fertilizer"/>
    <s v="Private Retailer"/>
    <s v="9051458990"/>
    <n v="0.7"/>
    <n v="67"/>
    <x v="2"/>
    <m/>
    <s v="2026-02-19"/>
    <s v="281525"/>
    <s v="M/S Sariful Haque"/>
    <s v="7890901060"/>
  </r>
  <r>
    <s v="RCF Trombay"/>
    <s v="15-15-15"/>
    <s v="WB"/>
    <x v="0"/>
    <s v="Barasat - I"/>
    <s v="User Not Mapped"/>
    <s v="User Not Mapped"/>
    <s v="User Not Mapped"/>
    <n v="189498"/>
    <s v="Sk. Mugibar Rohaman"/>
    <s v="Private Retailer"/>
    <s v="9874681583"/>
    <n v="0.998"/>
    <n v="401"/>
    <x v="6"/>
    <m/>
    <s v="2025-03-22"/>
    <s v="268650"/>
    <s v="Barasat Krishi Bipani"/>
    <s v="8336087625"/>
  </r>
  <r>
    <s v="RCF Trombay"/>
    <s v="15-15-15"/>
    <s v="WB"/>
    <x v="0"/>
    <s v="Barasat - I"/>
    <s v="User Not Mapped"/>
    <s v="User Not Mapped"/>
    <s v="User Not Mapped"/>
    <n v="189498"/>
    <s v="Sk. Mugibar Rohaman"/>
    <s v="Private Retailer"/>
    <s v="9874681583"/>
    <n v="0.5"/>
    <n v="360"/>
    <x v="3"/>
    <m/>
    <s v="2025-05-02"/>
    <s v="268650"/>
    <s v="Barasat Krishi Bipani"/>
    <s v="8336087625"/>
  </r>
  <r>
    <s v="RCF Thal"/>
    <s v="N.C.Urea(45kg)"/>
    <s v="WB"/>
    <x v="0"/>
    <s v="Barasat - I"/>
    <s v="User Not Mapped"/>
    <s v="User Not Mapped"/>
    <s v="User Not Mapped"/>
    <n v="189498"/>
    <s v="Sk. Mugibar Rohaman"/>
    <s v="Private Retailer"/>
    <s v="9874681583"/>
    <n v="0.76500000000000001"/>
    <n v="388"/>
    <x v="6"/>
    <m/>
    <s v="2025-04-04"/>
    <s v="268650"/>
    <s v="Barasat Krishi Bipani"/>
    <s v="8336087625"/>
  </r>
  <r>
    <s v="RCF Trombay"/>
    <s v="N.C.Urea(45kg)"/>
    <s v="WB"/>
    <x v="0"/>
    <s v="Barasat - I"/>
    <s v="User Not Mapped"/>
    <s v="User Not Mapped"/>
    <s v="User Not Mapped"/>
    <n v="219020"/>
    <s v="M/S Kadambagachi Krishi Bhand"/>
    <s v="Private Retailer"/>
    <s v="9874997429"/>
    <n v="2.6549999999999998"/>
    <n v="95"/>
    <x v="5"/>
    <m/>
    <s v="2026-01-22"/>
    <s v="223817"/>
    <s v="National Supply Agency"/>
    <s v="9564505288"/>
  </r>
  <r>
    <s v="RCF Trombay"/>
    <s v="15-15-15"/>
    <s v="WB"/>
    <x v="0"/>
    <s v="Barasat - I"/>
    <s v="User Not Mapped"/>
    <s v="User Not Mapped"/>
    <s v="User Not Mapped"/>
    <n v="219020"/>
    <s v="M/S Kadambagachi Krishi Bhand"/>
    <s v="Private Retailer"/>
    <s v="9874997429"/>
    <n v="7.45"/>
    <n v="75"/>
    <x v="2"/>
    <m/>
    <s v="2026-02-11"/>
    <s v="223817"/>
    <s v="National Supply Agency"/>
    <s v="9564505288"/>
  </r>
  <r>
    <s v="RCF Thal"/>
    <s v="N.C.Urea(45kg)"/>
    <s v="WB"/>
    <x v="0"/>
    <s v="Barasat - I"/>
    <s v="User Not Mapped"/>
    <s v="User Not Mapped"/>
    <s v="User Not Mapped"/>
    <n v="226522"/>
    <s v="Ashit Kumar Samanta"/>
    <s v="Private Retailer"/>
    <s v="9038581762"/>
    <n v="4.1399999999999997"/>
    <n v="45"/>
    <x v="1"/>
    <m/>
    <s v="2026-03-13"/>
    <s v="1192317"/>
    <s v="M/S GHOSH FERTILIZER"/>
    <s v="9064992112"/>
  </r>
  <r>
    <s v="RCF Trombay"/>
    <s v="15-15-15"/>
    <s v="WB"/>
    <x v="0"/>
    <s v="Barasat - I"/>
    <s v="User Not Mapped"/>
    <s v="User Not Mapped"/>
    <s v="User Not Mapped"/>
    <n v="226630"/>
    <s v="D.N. Fertilizers"/>
    <s v="Private Retailer"/>
    <s v="8450087887"/>
    <n v="1.8"/>
    <n v="98"/>
    <x v="5"/>
    <m/>
    <s v="2026-01-19"/>
    <s v="281511"/>
    <s v="Malakshmi Krishi Bhandar      "/>
    <s v="9800561868"/>
  </r>
  <r>
    <s v="RCF Thal"/>
    <s v="N.C.Urea(45kg)"/>
    <s v="WB"/>
    <x v="0"/>
    <s v="Barasat - I"/>
    <s v="User Not Mapped"/>
    <s v="User Not Mapped"/>
    <s v="User Not Mapped"/>
    <n v="226657"/>
    <s v="Ghosh Fertilizers"/>
    <s v="Private Retailer"/>
    <s v="9804366980"/>
    <n v="10.08"/>
    <n v="47"/>
    <x v="1"/>
    <m/>
    <s v="2026-03-11"/>
    <s v="223807"/>
    <s v="M.K. Chemical and Fertilizers"/>
    <s v="9051316329"/>
  </r>
  <r>
    <s v="RCF Trombay"/>
    <s v="15-15-15"/>
    <s v="WB"/>
    <x v="0"/>
    <s v="Barasat - I"/>
    <s v="User Not Mapped"/>
    <s v="User Not Mapped"/>
    <s v="User Not Mapped"/>
    <n v="226657"/>
    <s v="Ghosh Fertilizers"/>
    <s v="Private Retailer"/>
    <s v="9804366980"/>
    <n v="11"/>
    <n v="75"/>
    <x v="2"/>
    <m/>
    <s v="2026-02-11"/>
    <s v="223807"/>
    <s v="M.K. Chemical and Fertilizers"/>
    <s v="9051316329"/>
  </r>
  <r>
    <s v="RCF Import"/>
    <s v="Imp 10-26-26"/>
    <s v="WB"/>
    <x v="0"/>
    <s v="Barasat - I"/>
    <s v="User Not Mapped"/>
    <s v="User Not Mapped"/>
    <s v="User Not Mapped"/>
    <n v="226657"/>
    <s v="Ghosh Fertilizers"/>
    <s v="Private Retailer"/>
    <s v="9804366980"/>
    <n v="2.4500000000000002"/>
    <n v="62"/>
    <x v="2"/>
    <m/>
    <s v="2026-02-24"/>
    <s v="223807"/>
    <s v="M.K. Chemical and Fertilizers"/>
    <s v="9051316329"/>
  </r>
  <r>
    <s v="RCF Import"/>
    <s v="MOP"/>
    <s v="WB"/>
    <x v="0"/>
    <s v="Barasat - I"/>
    <s v="User Not Mapped"/>
    <s v="User Not Mapped"/>
    <s v="User Not Mapped"/>
    <n v="226657"/>
    <s v="Ghosh Fertilizers"/>
    <s v="Private Retailer"/>
    <s v="9804366980"/>
    <n v="5.5"/>
    <n v="68"/>
    <x v="2"/>
    <m/>
    <s v="2026-02-18"/>
    <s v="223807"/>
    <s v="M.K. Chemical and Fertilizers"/>
    <s v="9051316329"/>
  </r>
  <r>
    <s v="RCF Trombay"/>
    <s v="N.C.Urea(45kg)"/>
    <s v="WB"/>
    <x v="0"/>
    <s v="Barasat - I"/>
    <s v="User Not Mapped"/>
    <s v="User Not Mapped"/>
    <s v="User Not Mapped"/>
    <n v="226657"/>
    <s v="Ghosh Fertilizers"/>
    <s v="Private Retailer"/>
    <s v="9804366980"/>
    <n v="4.8150000000000004"/>
    <n v="75"/>
    <x v="2"/>
    <m/>
    <s v="2026-02-11"/>
    <s v="223807"/>
    <s v="M.K. Chemical and Fertilizers"/>
    <s v="9051316329"/>
  </r>
  <r>
    <s v="RCF Trombay"/>
    <s v="15-15-15"/>
    <s v="WB"/>
    <x v="0"/>
    <s v="Barasat - I"/>
    <s v="User Not Mapped"/>
    <s v="User Not Mapped"/>
    <s v="User Not Mapped"/>
    <n v="226657"/>
    <s v="Ghosh Fertilizers"/>
    <s v="Private Retailer"/>
    <s v="9804366980"/>
    <n v="4.5490000000000004"/>
    <n v="100"/>
    <x v="5"/>
    <m/>
    <s v="2026-01-17"/>
    <s v="223807"/>
    <s v="M.K. Chemical and Fertilizers"/>
    <s v="9051316329"/>
  </r>
  <r>
    <s v="RCF Trombay"/>
    <s v="N.C.Urea(45kg)"/>
    <s v="WB"/>
    <x v="0"/>
    <s v="Barasat - I"/>
    <s v="User Not Mapped"/>
    <s v="User Not Mapped"/>
    <s v="User Not Mapped"/>
    <n v="226662"/>
    <s v="Ghoshkrishi Bhander"/>
    <s v="Private Retailer"/>
    <s v="8391082069"/>
    <n v="2.0699999999999998"/>
    <n v="93"/>
    <x v="5"/>
    <m/>
    <s v="2026-01-24"/>
    <s v="223817"/>
    <s v="National Supply Agency"/>
    <s v="9564505288"/>
  </r>
  <r>
    <s v="RCF Trombay SCU"/>
    <s v="Sulphur Coated Urea(40Kg)"/>
    <s v="WB"/>
    <x v="0"/>
    <s v="Barasat - I"/>
    <s v="User Not Mapped"/>
    <s v="User Not Mapped"/>
    <s v="User Not Mapped"/>
    <n v="226662"/>
    <s v="Ghoshkrishi Bhander"/>
    <s v="Private Retailer"/>
    <s v="8391082069"/>
    <n v="0.28000000000000003"/>
    <n v="93"/>
    <x v="5"/>
    <m/>
    <s v="2026-01-24"/>
    <s v="223817"/>
    <s v="National Supply Agency"/>
    <s v="9564505288"/>
  </r>
  <r>
    <s v="RCF Trombay"/>
    <s v="N.C.Urea(45kg)"/>
    <s v="WB"/>
    <x v="0"/>
    <s v="Barasat - I"/>
    <s v="User Not Mapped"/>
    <s v="User Not Mapped"/>
    <s v="User Not Mapped"/>
    <n v="226892"/>
    <s v="Momin Ali"/>
    <s v="Private Retailer"/>
    <s v="9330988600"/>
    <n v="1.1000000000000001"/>
    <n v="83"/>
    <x v="2"/>
    <m/>
    <s v="2026-02-03"/>
    <s v="268650"/>
    <s v="Barasat Krishi Bipani"/>
    <s v="8336087625"/>
  </r>
  <r>
    <s v="RCF Trombay"/>
    <s v="15-15-15"/>
    <s v="WB"/>
    <x v="0"/>
    <s v="Barasat - I"/>
    <s v="User Not Mapped"/>
    <s v="User Not Mapped"/>
    <s v="User Not Mapped"/>
    <n v="226892"/>
    <s v="Momin Ali"/>
    <s v="Private Retailer"/>
    <s v="9330988600"/>
    <n v="0.25"/>
    <n v="83"/>
    <x v="2"/>
    <m/>
    <s v="2026-02-03"/>
    <s v="268650"/>
    <s v="Barasat Krishi Bipani"/>
    <s v="8336087625"/>
  </r>
  <r>
    <s v="RCF Thal"/>
    <s v="N.C.Urea(45kg)"/>
    <s v="WB"/>
    <x v="0"/>
    <s v="Barasat - I"/>
    <s v="User Not Mapped"/>
    <s v="User Not Mapped"/>
    <s v="User Not Mapped"/>
    <n v="226892"/>
    <s v="Momin Ali"/>
    <s v="Private Retailer"/>
    <s v="9330988600"/>
    <n v="0.315"/>
    <n v="48"/>
    <x v="1"/>
    <m/>
    <s v="2026-03-10"/>
    <s v="268650"/>
    <s v="Barasat Krishi Bipani"/>
    <s v="8336087625"/>
  </r>
  <r>
    <s v="RCF Trombay"/>
    <s v="N.C.Urea(45kg)"/>
    <s v="WB"/>
    <x v="0"/>
    <s v="Barasat - I"/>
    <s v="User Not Mapped"/>
    <s v="User Not Mapped"/>
    <s v="User Not Mapped"/>
    <n v="226892"/>
    <s v="Momin Ali"/>
    <s v="Private Retailer"/>
    <s v="9330988600"/>
    <n v="0.18"/>
    <n v="54"/>
    <x v="1"/>
    <m/>
    <s v="2026-03-04"/>
    <s v="268650"/>
    <s v="Barasat Krishi Bipani"/>
    <s v="8336087625"/>
  </r>
  <r>
    <s v="RCF Import"/>
    <s v="Imp 10-26-26"/>
    <s v="WB"/>
    <x v="0"/>
    <s v="Barasat - I"/>
    <s v="User Not Mapped"/>
    <s v="User Not Mapped"/>
    <s v="User Not Mapped"/>
    <n v="226892"/>
    <s v="Momin Ali"/>
    <s v="Private Retailer"/>
    <s v="9330988600"/>
    <n v="0.35"/>
    <n v="48"/>
    <x v="1"/>
    <m/>
    <s v="2026-03-10"/>
    <s v="268650"/>
    <s v="Barasat Krishi Bipani"/>
    <s v="8336087625"/>
  </r>
  <r>
    <s v="RCF Trombay"/>
    <s v="15-15-15"/>
    <s v="WB"/>
    <x v="0"/>
    <s v="Barasat - I"/>
    <s v="User Not Mapped"/>
    <s v="User Not Mapped"/>
    <s v="User Not Mapped"/>
    <n v="226892"/>
    <s v="Momin Ali"/>
    <s v="Private Retailer"/>
    <s v="9330988600"/>
    <n v="0.25"/>
    <n v="54"/>
    <x v="1"/>
    <m/>
    <s v="2026-03-04"/>
    <s v="268650"/>
    <s v="Barasat Krishi Bipani"/>
    <s v="8336087625"/>
  </r>
  <r>
    <s v="RCF Trombay"/>
    <s v="15-15-15"/>
    <s v="WB"/>
    <x v="0"/>
    <s v="Barasat - I"/>
    <s v="User Not Mapped"/>
    <s v="User Not Mapped"/>
    <s v="User Not Mapped"/>
    <n v="226894"/>
    <s v="Binoy krishna mondal"/>
    <s v="Private Retailer"/>
    <s v="9609534280"/>
    <n v="0.25"/>
    <n v="100"/>
    <x v="5"/>
    <m/>
    <s v="2026-01-17"/>
    <s v="223807"/>
    <s v="M.K. Chemical and Fertilizers"/>
    <s v="9051316329"/>
  </r>
  <r>
    <s v="RCF Import"/>
    <s v="MOP"/>
    <s v="WB"/>
    <x v="0"/>
    <s v="Barasat - I"/>
    <s v="User Not Mapped"/>
    <s v="User Not Mapped"/>
    <s v="User Not Mapped"/>
    <n v="226894"/>
    <s v="Binoy krishna mondal"/>
    <s v="Private Retailer"/>
    <s v="9609534280"/>
    <n v="0.7"/>
    <n v="28"/>
    <x v="4"/>
    <m/>
    <s v="2026-03-30"/>
    <s v="663871"/>
    <s v="Sonali Enterprise"/>
    <s v="8250035491"/>
  </r>
  <r>
    <s v="RCF Trombay"/>
    <s v="N.C.Urea(45kg)"/>
    <s v="WB"/>
    <x v="0"/>
    <s v="Barasat - I"/>
    <s v="User Not Mapped"/>
    <s v="User Not Mapped"/>
    <s v="User Not Mapped"/>
    <n v="251962"/>
    <s v="Arun Kumar Ghosh"/>
    <s v="Private Retailer"/>
    <s v="9830376581"/>
    <n v="3.78"/>
    <n v="26"/>
    <x v="4"/>
    <m/>
    <s v="2026-04-01"/>
    <s v="223817"/>
    <s v="National Supply Agency"/>
    <s v="9564505288"/>
  </r>
  <r>
    <s v="RCF Trombay"/>
    <s v="15-15-15"/>
    <s v="WB"/>
    <x v="0"/>
    <s v="Barasat - I"/>
    <s v="User Not Mapped"/>
    <s v="User Not Mapped"/>
    <s v="User Not Mapped"/>
    <n v="270799"/>
    <s v="Safura Bibi"/>
    <s v="Private Retailer"/>
    <s v="9830435119"/>
    <n v="0.21"/>
    <n v="201"/>
    <x v="3"/>
    <m/>
    <s v="2025-10-08"/>
    <s v="910962"/>
    <s v="M/S. BERA ENTERPRISE"/>
    <s v="9836333180"/>
  </r>
  <r>
    <s v="RCF Trombay"/>
    <s v="15-15-15"/>
    <s v="WB"/>
    <x v="0"/>
    <s v="Barasat - I"/>
    <s v="User Not Mapped"/>
    <s v="User Not Mapped"/>
    <s v="User Not Mapped"/>
    <n v="410994"/>
    <s v="M/S Jana Fertilizer"/>
    <s v="Private Retailer"/>
    <s v="8777818574"/>
    <n v="1"/>
    <n v="108"/>
    <x v="5"/>
    <m/>
    <s v="2026-01-09"/>
    <s v="281495"/>
    <s v="Saha Fertilizer Stores        "/>
    <s v="8777624646"/>
  </r>
  <r>
    <s v="RCF Trombay"/>
    <s v="15-15-15"/>
    <s v="WB"/>
    <x v="0"/>
    <s v="Barasat - I"/>
    <s v="User Not Mapped"/>
    <s v="User Not Mapped"/>
    <s v="User Not Mapped"/>
    <n v="410994"/>
    <s v="M/S Jana Fertilizer"/>
    <s v="Private Retailer"/>
    <s v="8777818574"/>
    <n v="1.85"/>
    <n v="129"/>
    <x v="0"/>
    <m/>
    <s v="2025-12-19"/>
    <s v="281495"/>
    <s v="Saha Fertilizer Stores        "/>
    <s v="8777624646"/>
  </r>
  <r>
    <s v="RCF Trombay"/>
    <s v="15-15-15"/>
    <s v="WB"/>
    <x v="0"/>
    <s v="Barasat - I"/>
    <s v="User Not Mapped"/>
    <s v="User Not Mapped"/>
    <s v="User Not Mapped"/>
    <n v="411038"/>
    <s v="M/S Minoti Fertilizer"/>
    <s v="Private Retailer"/>
    <s v="9875438566"/>
    <n v="1"/>
    <n v="62"/>
    <x v="2"/>
    <m/>
    <s v="2026-02-24"/>
    <s v="281495"/>
    <s v="Saha Fertilizer Stores        "/>
    <s v="8777624646"/>
  </r>
  <r>
    <s v="RCF Trombay"/>
    <s v="N.C.Urea(45kg)"/>
    <s v="WB"/>
    <x v="0"/>
    <s v="Barasat - I"/>
    <s v="User Not Mapped"/>
    <s v="User Not Mapped"/>
    <s v="User Not Mapped"/>
    <n v="411046"/>
    <s v="Ma-Moni Fertilizer"/>
    <s v="Private Retailer"/>
    <s v="9143732906"/>
    <n v="0.45"/>
    <n v="1584"/>
    <x v="7"/>
    <m/>
    <s v="2021-12-25"/>
    <s v="949738"/>
    <s v="sABIR FERTILIZER"/>
    <s v="9051027794"/>
  </r>
  <r>
    <s v="RCF Trombay"/>
    <s v="15-15-15"/>
    <s v="WB"/>
    <x v="0"/>
    <s v="Barasat - I"/>
    <s v="User Not Mapped"/>
    <s v="User Not Mapped"/>
    <s v="User Not Mapped"/>
    <n v="411046"/>
    <s v="Ma-Moni Fertilizer"/>
    <s v="Private Retailer"/>
    <s v="9143732906"/>
    <n v="0.05"/>
    <n v="1627"/>
    <x v="7"/>
    <m/>
    <s v="2021-11-12"/>
    <s v="949738"/>
    <s v="sABIR FERTILIZER"/>
    <s v="9051027794"/>
  </r>
  <r>
    <s v="RCF Thal"/>
    <s v="N.C.Urea(45kg)"/>
    <s v="WB"/>
    <x v="0"/>
    <s v="Barasat - I"/>
    <s v="User Not Mapped"/>
    <s v="User Not Mapped"/>
    <s v="User Not Mapped"/>
    <n v="411046"/>
    <s v="Ma-Moni Fertilizer"/>
    <s v="Private Retailer"/>
    <s v="9143732906"/>
    <n v="0.22500000000000001"/>
    <n v="1536"/>
    <x v="7"/>
    <m/>
    <s v="2022-02-11"/>
    <s v="281511"/>
    <s v="Malakshmi Krishi Bhandar      "/>
    <s v="9800561868"/>
  </r>
  <r>
    <s v="RCF Import"/>
    <s v="Imp 10-26-26"/>
    <s v="WB"/>
    <x v="0"/>
    <s v="Barasat - I"/>
    <s v="User Not Mapped"/>
    <s v="User Not Mapped"/>
    <s v="User Not Mapped"/>
    <n v="493105"/>
    <s v="Md.Rafique Ahammed"/>
    <s v="Private Retailer"/>
    <s v="9051640039"/>
    <n v="2"/>
    <n v="31"/>
    <x v="1"/>
    <m/>
    <s v="2026-03-27"/>
    <s v="268650"/>
    <s v="Barasat Krishi Bipani"/>
    <s v="8336087625"/>
  </r>
  <r>
    <s v="RCF Trombay"/>
    <s v="15-15-15"/>
    <s v="WB"/>
    <x v="0"/>
    <s v="Barasat - I"/>
    <s v="User Not Mapped"/>
    <s v="User Not Mapped"/>
    <s v="User Not Mapped"/>
    <n v="497471"/>
    <s v="A.D.I.R Trading Co."/>
    <s v="Private Retailer"/>
    <s v="8017306486"/>
    <n v="3.95"/>
    <n v="92"/>
    <x v="5"/>
    <m/>
    <s v="2026-01-25"/>
    <s v="917469"/>
    <s v="MONDAL KRISHI BHANDER"/>
    <s v="9681347066"/>
  </r>
  <r>
    <s v="RCF Thal"/>
    <s v="N.C.Urea(45kg)"/>
    <s v="WB"/>
    <x v="0"/>
    <s v="Barasat - I"/>
    <s v="User Not Mapped"/>
    <s v="User Not Mapped"/>
    <s v="User Not Mapped"/>
    <n v="497471"/>
    <s v="A.D.I.R Trading Co."/>
    <s v="Private Retailer"/>
    <s v="8017306486"/>
    <n v="6.75"/>
    <n v="16"/>
    <x v="4"/>
    <m/>
    <s v="2026-04-11"/>
    <s v="281511"/>
    <s v="Malakshmi Krishi Bhandar      "/>
    <s v="9800561868"/>
  </r>
  <r>
    <s v="RCF Trombay"/>
    <s v="N.C.Urea(45kg)"/>
    <s v="WB"/>
    <x v="0"/>
    <s v="Barasat - I"/>
    <s v="User Not Mapped"/>
    <s v="User Not Mapped"/>
    <s v="User Not Mapped"/>
    <n v="497471"/>
    <s v="A.D.I.R Trading Co."/>
    <s v="Private Retailer"/>
    <s v="8017306486"/>
    <n v="4.83"/>
    <n v="92"/>
    <x v="5"/>
    <m/>
    <s v="2026-01-25"/>
    <s v="917469"/>
    <s v="MONDAL KRISHI BHANDER"/>
    <s v="9681347066"/>
  </r>
  <r>
    <s v="RCF Trombay"/>
    <s v="15-15-15"/>
    <s v="WB"/>
    <x v="0"/>
    <s v="Barasat - I"/>
    <s v="User Not Mapped"/>
    <s v="User Not Mapped"/>
    <s v="User Not Mapped"/>
    <n v="497471"/>
    <s v="A.D.I.R Trading Co."/>
    <s v="Private Retailer"/>
    <s v="8017306486"/>
    <n v="5.5"/>
    <n v="71"/>
    <x v="2"/>
    <m/>
    <s v="2026-02-15"/>
    <s v="917469"/>
    <s v="MONDAL KRISHI BHANDER"/>
    <s v="9681347066"/>
  </r>
  <r>
    <s v="RCF Trombay"/>
    <s v="15-15-15"/>
    <s v="WB"/>
    <x v="0"/>
    <s v="Barasat - I"/>
    <s v="User Not Mapped"/>
    <s v="User Not Mapped"/>
    <s v="User Not Mapped"/>
    <n v="613670"/>
    <s v="JULASH AND SONS"/>
    <s v="Private Retailer"/>
    <s v="7980349631"/>
    <n v="0.2"/>
    <n v="55"/>
    <x v="1"/>
    <m/>
    <s v="2026-03-03"/>
    <s v="281525"/>
    <s v="M/S Sariful Haque"/>
    <s v="7890901060"/>
  </r>
  <r>
    <s v="RCF Thal"/>
    <s v="N.C.Urea(45kg)"/>
    <s v="WB"/>
    <x v="0"/>
    <s v="Barasat - I"/>
    <s v="User Not Mapped"/>
    <s v="User Not Mapped"/>
    <s v="User Not Mapped"/>
    <n v="616417"/>
    <s v="M.S.A FERTILIZERS"/>
    <s v="Private Retailer"/>
    <s v="9681282035"/>
    <n v="0.61"/>
    <n v="427"/>
    <x v="6"/>
    <m/>
    <s v="2025-02-24"/>
    <s v="223807"/>
    <s v="M.K. Chemical and Fertilizers"/>
    <s v="9051316329"/>
  </r>
  <r>
    <s v="RCF Trombay"/>
    <s v="15-15-15"/>
    <s v="WB"/>
    <x v="0"/>
    <s v="Barasat - I"/>
    <s v="User Not Mapped"/>
    <s v="User Not Mapped"/>
    <s v="User Not Mapped"/>
    <n v="616417"/>
    <s v="M.S.A FERTILIZERS"/>
    <s v="Private Retailer"/>
    <s v="9681282035"/>
    <n v="8.5000000000000006E-2"/>
    <n v="860"/>
    <x v="7"/>
    <m/>
    <s v="2023-12-19"/>
    <s v="739737"/>
    <s v="ALAM FERTILIZER"/>
    <s v="9123715989"/>
  </r>
  <r>
    <s v="RCF Trombay"/>
    <s v="15-15-15"/>
    <s v="WB"/>
    <x v="0"/>
    <s v="Barasat - I"/>
    <s v="User Not Mapped"/>
    <s v="User Not Mapped"/>
    <s v="User Not Mapped"/>
    <n v="616423"/>
    <s v="RAJU FERTILIZERS"/>
    <s v="Private Retailer"/>
    <s v="9836764293"/>
    <n v="0.5"/>
    <n v="97"/>
    <x v="5"/>
    <m/>
    <s v="2026-01-20"/>
    <s v="281525"/>
    <s v="M/S Sariful Haque"/>
    <s v="7890901060"/>
  </r>
  <r>
    <s v="RCF Trombay"/>
    <s v="15-15-15"/>
    <s v="WB"/>
    <x v="0"/>
    <s v="Barasat - I"/>
    <s v="User Not Mapped"/>
    <s v="User Not Mapped"/>
    <s v="User Not Mapped"/>
    <n v="616423"/>
    <s v="RAJU FERTILIZERS"/>
    <s v="Private Retailer"/>
    <s v="9836764293"/>
    <n v="0.4"/>
    <n v="149"/>
    <x v="0"/>
    <m/>
    <s v="2025-11-29"/>
    <s v="223807"/>
    <s v="M.K. Chemical and Fertilizers"/>
    <s v="9051316329"/>
  </r>
  <r>
    <s v="RCF Import"/>
    <s v="Imp 10-26-26"/>
    <s v="WB"/>
    <x v="0"/>
    <s v="Barasat - I"/>
    <s v="User Not Mapped"/>
    <s v="User Not Mapped"/>
    <s v="User Not Mapped"/>
    <n v="616433"/>
    <s v="ALI FERTILIZERS"/>
    <s v="Private Retailer"/>
    <s v="8017564519"/>
    <n v="0.45"/>
    <n v="621"/>
    <x v="7"/>
    <m/>
    <s v="2024-08-14"/>
    <s v="924553"/>
    <s v="Modern fertilizer"/>
    <s v="9734054818"/>
  </r>
  <r>
    <s v="RCF Trombay"/>
    <s v="15-15-15"/>
    <s v="WB"/>
    <x v="0"/>
    <s v="Barasat - I"/>
    <s v="User Not Mapped"/>
    <s v="User Not Mapped"/>
    <s v="User Not Mapped"/>
    <n v="616433"/>
    <s v="ALI FERTILIZERS"/>
    <s v="Private Retailer"/>
    <s v="8017564519"/>
    <n v="0.05"/>
    <n v="118"/>
    <x v="5"/>
    <m/>
    <s v="2025-12-30"/>
    <s v="924553"/>
    <s v="Modern fertilizer"/>
    <s v="9734054818"/>
  </r>
  <r>
    <s v="RCF Thal"/>
    <s v="N.C.Urea(45kg)"/>
    <s v="WB"/>
    <x v="0"/>
    <s v="Barasat - I"/>
    <s v="User Not Mapped"/>
    <s v="User Not Mapped"/>
    <s v="User Not Mapped"/>
    <n v="616433"/>
    <s v="ALI FERTILIZERS"/>
    <s v="Private Retailer"/>
    <s v="8017564519"/>
    <n v="0.02"/>
    <n v="239"/>
    <x v="3"/>
    <m/>
    <s v="2025-08-31"/>
    <s v="924553"/>
    <s v="Modern fertilizer"/>
    <s v="9734054818"/>
  </r>
  <r>
    <s v="RCF Import"/>
    <s v="MOP"/>
    <s v="WB"/>
    <x v="0"/>
    <s v="Barasat - I"/>
    <s v="User Not Mapped"/>
    <s v="User Not Mapped"/>
    <s v="User Not Mapped"/>
    <n v="616433"/>
    <s v="ALI FERTILIZERS"/>
    <s v="Private Retailer"/>
    <s v="8017564519"/>
    <n v="0.5"/>
    <n v="67"/>
    <x v="2"/>
    <m/>
    <s v="2026-02-19"/>
    <s v="924553"/>
    <s v="Modern fertilizer"/>
    <s v="9734054818"/>
  </r>
  <r>
    <s v="RCF Trombay"/>
    <s v="N.C.Urea(45kg)"/>
    <s v="WB"/>
    <x v="0"/>
    <s v="Barasat - I"/>
    <s v="User Not Mapped"/>
    <s v="User Not Mapped"/>
    <s v="User Not Mapped"/>
    <n v="616435"/>
    <s v="GHOSH FERTILIZER"/>
    <s v="Private Retailer"/>
    <s v="9875664859"/>
    <n v="5.2649999999999997"/>
    <n v="94"/>
    <x v="5"/>
    <m/>
    <s v="2026-01-23"/>
    <s v="223807"/>
    <s v="M.K. Chemical and Fertilizers"/>
    <s v="9051316329"/>
  </r>
  <r>
    <s v="RCF Trombay"/>
    <s v="15-15-15"/>
    <s v="WB"/>
    <x v="0"/>
    <s v="Barasat - I"/>
    <s v="User Not Mapped"/>
    <s v="User Not Mapped"/>
    <s v="User Not Mapped"/>
    <n v="616435"/>
    <s v="GHOSH FERTILIZER"/>
    <s v="Private Retailer"/>
    <s v="9875664859"/>
    <n v="0.15"/>
    <n v="545"/>
    <x v="6"/>
    <m/>
    <s v="2024-10-29"/>
    <s v="328651"/>
    <s v="Duttapukur Krishi Bipani"/>
    <s v="7890631908"/>
  </r>
  <r>
    <s v="RCF Trombay"/>
    <s v="15-15-15"/>
    <s v="WB"/>
    <x v="0"/>
    <s v="Barasat - I"/>
    <s v="User Not Mapped"/>
    <s v="User Not Mapped"/>
    <s v="User Not Mapped"/>
    <n v="616435"/>
    <s v="GHOSH FERTILIZER"/>
    <s v="Private Retailer"/>
    <s v="9875664859"/>
    <n v="5.5"/>
    <n v="47"/>
    <x v="1"/>
    <m/>
    <s v="2026-03-11"/>
    <s v="281522"/>
    <s v="N.C. Das and Co."/>
    <s v="6297603863"/>
  </r>
  <r>
    <s v="RCF Trombay"/>
    <s v="15-15-15"/>
    <s v="WB"/>
    <x v="0"/>
    <s v="Barasat - I"/>
    <s v="User Not Mapped"/>
    <s v="User Not Mapped"/>
    <s v="User Not Mapped"/>
    <n v="616437"/>
    <s v="SAHIN FERTILIZERS"/>
    <s v="Private Retailer"/>
    <s v="9230280499"/>
    <n v="1"/>
    <n v="68"/>
    <x v="2"/>
    <m/>
    <s v="2026-02-18"/>
    <s v="281525"/>
    <s v="M/S Sariful Haque"/>
    <s v="7890901060"/>
  </r>
  <r>
    <s v="RCF Import"/>
    <s v="MOP"/>
    <s v="WB"/>
    <x v="0"/>
    <s v="Barasat - I"/>
    <s v="User Not Mapped"/>
    <s v="User Not Mapped"/>
    <s v="User Not Mapped"/>
    <n v="616437"/>
    <s v="SAHIN FERTILIZERS"/>
    <s v="Private Retailer"/>
    <s v="9230280499"/>
    <n v="0.5"/>
    <n v="18"/>
    <x v="4"/>
    <m/>
    <s v="2026-04-09"/>
    <s v="924553"/>
    <s v="Modern fertilizer"/>
    <s v="9734054818"/>
  </r>
  <r>
    <s v="RCF Trombay"/>
    <s v="N.C.Urea(45kg)"/>
    <s v="WB"/>
    <x v="0"/>
    <s v="Barasat - I"/>
    <s v="User Not Mapped"/>
    <s v="User Not Mapped"/>
    <s v="User Not Mapped"/>
    <n v="616443"/>
    <s v="MAMTAZ FERTILIZER"/>
    <s v="Private Retailer"/>
    <s v="8296300806"/>
    <n v="1.89"/>
    <n v="217"/>
    <x v="3"/>
    <m/>
    <s v="2025-09-22"/>
    <s v="281522"/>
    <s v="N.C. Das and Co."/>
    <s v="6297603863"/>
  </r>
  <r>
    <s v="RCF Trombay"/>
    <s v="15-15-15"/>
    <s v="WB"/>
    <x v="0"/>
    <s v="Barasat - I"/>
    <s v="User Not Mapped"/>
    <s v="User Not Mapped"/>
    <s v="User Not Mapped"/>
    <n v="616443"/>
    <s v="MAMTAZ FERTILIZER"/>
    <s v="Private Retailer"/>
    <s v="8296300806"/>
    <n v="0.91500000000000004"/>
    <n v="217"/>
    <x v="3"/>
    <m/>
    <s v="2025-09-22"/>
    <s v="281522"/>
    <s v="N.C. Das and Co."/>
    <s v="6297603863"/>
  </r>
  <r>
    <s v="RCF Import"/>
    <s v="Imp 10-26-26"/>
    <s v="WB"/>
    <x v="0"/>
    <s v="Barasat - I"/>
    <s v="User Not Mapped"/>
    <s v="User Not Mapped"/>
    <s v="User Not Mapped"/>
    <n v="631719"/>
    <s v="New Haldar Fertiliser"/>
    <s v="Private Retailer"/>
    <s v="9143094705"/>
    <n v="5.5"/>
    <n v="62"/>
    <x v="2"/>
    <m/>
    <s v="2026-02-24"/>
    <s v="223807"/>
    <s v="M.K. Chemical and Fertilizers"/>
    <s v="9051316329"/>
  </r>
  <r>
    <s v="RCF Trombay"/>
    <s v="15-15-15"/>
    <s v="WB"/>
    <x v="0"/>
    <s v="Barasat - I"/>
    <s v="User Not Mapped"/>
    <s v="User Not Mapped"/>
    <s v="User Not Mapped"/>
    <n v="631721"/>
    <s v="Gazi Fertiliser"/>
    <s v="Private Retailer"/>
    <s v="7003899599"/>
    <n v="0.5"/>
    <n v="484"/>
    <x v="6"/>
    <m/>
    <s v="2024-12-29"/>
    <s v="281551"/>
    <s v="Ratan Lal Saha"/>
    <s v="9051954610"/>
  </r>
  <r>
    <s v="RCF Trombay"/>
    <s v="15-15-15"/>
    <s v="WB"/>
    <x v="0"/>
    <s v="Barasat - I"/>
    <s v="User Not Mapped"/>
    <s v="User Not Mapped"/>
    <s v="User Not Mapped"/>
    <n v="637375"/>
    <s v="RAHAMAN FERTILIZER"/>
    <s v="Private Retailer"/>
    <s v="9836848090"/>
    <n v="0.2"/>
    <n v="2665"/>
    <x v="7"/>
    <m/>
    <s v="2019-01-09"/>
    <s v="268650"/>
    <s v="Barasat Krishi Bipani"/>
    <s v="8336087625"/>
  </r>
  <r>
    <s v="RCF Trombay"/>
    <s v="15-15-15"/>
    <s v="WB"/>
    <x v="0"/>
    <s v="Barasat - I"/>
    <s v="User Not Mapped"/>
    <s v="User Not Mapped"/>
    <s v="User Not Mapped"/>
    <n v="637375"/>
    <s v="RAHAMAN FERTILIZER"/>
    <s v="Private Retailer"/>
    <s v="9836848090"/>
    <n v="0.01"/>
    <n v="2673"/>
    <x v="7"/>
    <m/>
    <s v="2019-01-01"/>
    <s v="11"/>
    <s v="Too Old Stock"/>
    <m/>
  </r>
  <r>
    <s v="RCF Trombay"/>
    <s v="15-15-15"/>
    <s v="WB"/>
    <x v="0"/>
    <s v="Barasat - I"/>
    <s v="User Not Mapped"/>
    <s v="User Not Mapped"/>
    <s v="User Not Mapped"/>
    <n v="657339"/>
    <s v="KARUNAMAYEE KRISHI BHANDAR"/>
    <s v="Private Retailer"/>
    <s v="9163988406"/>
    <n v="2.4510000000000001"/>
    <n v="245"/>
    <x v="3"/>
    <m/>
    <s v="2025-08-25"/>
    <s v="289634"/>
    <s v="Sankar Lal Saha"/>
    <s v="9830026138"/>
  </r>
  <r>
    <s v="RCF Trombay"/>
    <s v="15-15-15"/>
    <s v="WB"/>
    <x v="0"/>
    <s v="Barasat - I"/>
    <s v="User Not Mapped"/>
    <s v="User Not Mapped"/>
    <s v="User Not Mapped"/>
    <n v="673888"/>
    <s v="Modina Fertilizers"/>
    <s v="Private Retailer"/>
    <s v="9681803179"/>
    <n v="0.45"/>
    <n v="67"/>
    <x v="2"/>
    <m/>
    <s v="2026-02-19"/>
    <s v="281525"/>
    <s v="M/S Sariful Haque"/>
    <s v="7890901060"/>
  </r>
  <r>
    <s v="RCF Thal"/>
    <s v="N.C.Urea(45kg)"/>
    <s v="WB"/>
    <x v="0"/>
    <s v="Barasat - I"/>
    <s v="User Not Mapped"/>
    <s v="User Not Mapped"/>
    <s v="User Not Mapped"/>
    <n v="750808"/>
    <s v="DAS FERTILIZER"/>
    <s v="Private Retailer"/>
    <s v="8001471444"/>
    <n v="2.6549999999999998"/>
    <n v="44"/>
    <x v="1"/>
    <m/>
    <s v="2026-03-14"/>
    <s v="281511"/>
    <s v="Malakshmi Krishi Bhandar      "/>
    <s v="9800561868"/>
  </r>
  <r>
    <s v="RCF Trombay"/>
    <s v="15-15-15"/>
    <s v="WB"/>
    <x v="0"/>
    <s v="Barasat - I"/>
    <s v="User Not Mapped"/>
    <s v="User Not Mapped"/>
    <s v="User Not Mapped"/>
    <n v="750808"/>
    <s v="DAS FERTILIZER"/>
    <s v="Private Retailer"/>
    <s v="8001471444"/>
    <n v="4.45"/>
    <n v="98"/>
    <x v="5"/>
    <m/>
    <s v="2026-01-19"/>
    <s v="281511"/>
    <s v="Malakshmi Krishi Bhandar      "/>
    <s v="9800561868"/>
  </r>
  <r>
    <s v="RCF Trombay"/>
    <s v="15-15-15"/>
    <s v="WB"/>
    <x v="0"/>
    <s v="Barasat - I"/>
    <s v="User Not Mapped"/>
    <s v="User Not Mapped"/>
    <s v="User Not Mapped"/>
    <n v="857623"/>
    <s v="Nasir uddin Fertilizer"/>
    <s v="Private Retailer"/>
    <s v="8777406965"/>
    <n v="1"/>
    <n v="474"/>
    <x v="6"/>
    <m/>
    <s v="2025-01-08"/>
    <s v="797662"/>
    <s v="KADPUR SKUS LTD"/>
    <s v="9830346319"/>
  </r>
  <r>
    <s v="RCF Trombay"/>
    <s v="N.C.Urea(45kg)"/>
    <s v="WB"/>
    <x v="0"/>
    <s v="Barasat - I"/>
    <s v="User Not Mapped"/>
    <s v="User Not Mapped"/>
    <s v="User Not Mapped"/>
    <n v="857623"/>
    <s v="Nasir uddin Fertilizer"/>
    <s v="Private Retailer"/>
    <s v="8777406965"/>
    <n v="5.49"/>
    <n v="148"/>
    <x v="0"/>
    <m/>
    <s v="2025-11-30"/>
    <s v="281511"/>
    <s v="Malakshmi Krishi Bhandar      "/>
    <s v="9800561868"/>
  </r>
  <r>
    <s v="RCF Trombay"/>
    <s v="15-15-15"/>
    <s v="WB"/>
    <x v="0"/>
    <s v="Barasat - I"/>
    <s v="User Not Mapped"/>
    <s v="User Not Mapped"/>
    <s v="User Not Mapped"/>
    <n v="857623"/>
    <s v="Nasir uddin Fertilizer"/>
    <s v="Private Retailer"/>
    <s v="8777406965"/>
    <n v="0.5"/>
    <n v="534"/>
    <x v="6"/>
    <m/>
    <s v="2024-11-09"/>
    <s v="797662"/>
    <s v="KADPUR SKUS LTD"/>
    <s v="9830346319"/>
  </r>
  <r>
    <s v="RCF Trombay"/>
    <s v="N.C.Urea(45kg)"/>
    <s v="WB"/>
    <x v="0"/>
    <s v="Barasat - I"/>
    <s v="User Not Mapped"/>
    <s v="User Not Mapped"/>
    <s v="User Not Mapped"/>
    <n v="857623"/>
    <s v="Nasir uddin Fertilizer"/>
    <s v="Private Retailer"/>
    <s v="8777406965"/>
    <n v="0.01"/>
    <n v="1148"/>
    <x v="7"/>
    <m/>
    <s v="2023-03-06"/>
    <s v="223807"/>
    <s v="M.K. Chemical and Fertilizers"/>
    <s v="9051316329"/>
  </r>
  <r>
    <s v="RCF Trombay"/>
    <s v="N.C.Urea(45kg)"/>
    <s v="WB"/>
    <x v="0"/>
    <s v="Barasat - I"/>
    <s v="User Not Mapped"/>
    <s v="User Not Mapped"/>
    <s v="User Not Mapped"/>
    <n v="859185"/>
    <s v="kRISHI KALYAN"/>
    <s v="Private Retailer"/>
    <s v="7384680422"/>
    <n v="0.45"/>
    <n v="1328"/>
    <x v="7"/>
    <m/>
    <s v="2022-09-07"/>
    <s v="281511"/>
    <s v="Malakshmi Krishi Bhandar      "/>
    <s v="9800561868"/>
  </r>
  <r>
    <s v="RCF Trombay"/>
    <s v="15-15-15"/>
    <s v="WB"/>
    <x v="0"/>
    <s v="Barasat - I"/>
    <s v="User Not Mapped"/>
    <s v="User Not Mapped"/>
    <s v="User Not Mapped"/>
    <n v="916448"/>
    <s v="Shree ma kishi bhander"/>
    <s v="Private Retailer"/>
    <s v="9333825435"/>
    <n v="1.4999999999999999E-2"/>
    <n v="499"/>
    <x v="6"/>
    <m/>
    <s v="2024-12-14"/>
    <s v="281511"/>
    <s v="Malakshmi Krishi Bhandar      "/>
    <s v="9800561868"/>
  </r>
  <r>
    <s v="RCF Trombay"/>
    <s v="15-15-15"/>
    <s v="WB"/>
    <x v="0"/>
    <s v="Barasat - I"/>
    <s v="User Not Mapped"/>
    <s v="User Not Mapped"/>
    <s v="User Not Mapped"/>
    <n v="916448"/>
    <s v="Shree ma kishi bhander"/>
    <s v="Private Retailer"/>
    <s v="9333825435"/>
    <n v="0.05"/>
    <n v="218"/>
    <x v="3"/>
    <m/>
    <s v="2025-09-21"/>
    <s v="281511"/>
    <s v="Malakshmi Krishi Bhandar      "/>
    <s v="9800561868"/>
  </r>
  <r>
    <s v="RCF Thal"/>
    <s v="N.C.Urea(45kg)"/>
    <s v="WB"/>
    <x v="0"/>
    <s v="Barasat - I"/>
    <s v="User Not Mapped"/>
    <s v="User Not Mapped"/>
    <s v="User Not Mapped"/>
    <n v="916448"/>
    <s v="Shree ma kishi bhander"/>
    <s v="Private Retailer"/>
    <s v="9333825435"/>
    <n v="2.3E-2"/>
    <n v="253"/>
    <x v="3"/>
    <m/>
    <s v="2025-08-17"/>
    <s v="281511"/>
    <s v="Malakshmi Krishi Bhandar      "/>
    <s v="9800561868"/>
  </r>
  <r>
    <s v="RCF Trombay"/>
    <s v="15-15-15"/>
    <s v="WB"/>
    <x v="0"/>
    <s v="Barasat - I"/>
    <s v="User Not Mapped"/>
    <s v="User Not Mapped"/>
    <s v="User Not Mapped"/>
    <n v="917451"/>
    <s v="Abu Talab"/>
    <s v="Private Retailer"/>
    <s v="9734293880"/>
    <n v="3.5"/>
    <n v="61"/>
    <x v="2"/>
    <m/>
    <s v="2026-02-25"/>
    <s v="223812"/>
    <s v="M/S. Shyma Krishi B"/>
    <s v="8617629886"/>
  </r>
  <r>
    <s v="RCF Trombay"/>
    <s v="15-15-15"/>
    <s v="WB"/>
    <x v="0"/>
    <s v="Barasat - I"/>
    <s v="User Not Mapped"/>
    <s v="User Not Mapped"/>
    <s v="User Not Mapped"/>
    <n v="945099"/>
    <s v="Das Fertilizer"/>
    <s v="Private Retailer"/>
    <s v="8370948252"/>
    <n v="0.25"/>
    <n v="30"/>
    <x v="4"/>
    <m/>
    <s v="2026-03-28"/>
    <s v="281511"/>
    <s v="Malakshmi Krishi Bhandar      "/>
    <s v="9800561868"/>
  </r>
  <r>
    <s v="RCF Trombay"/>
    <s v="15-15-15"/>
    <s v="WB"/>
    <x v="0"/>
    <s v="Barasat - I"/>
    <s v="User Not Mapped"/>
    <s v="User Not Mapped"/>
    <s v="User Not Mapped"/>
    <n v="945099"/>
    <s v="Das Fertilizer"/>
    <s v="Private Retailer"/>
    <s v="8370948252"/>
    <n v="0.2"/>
    <n v="42"/>
    <x v="1"/>
    <m/>
    <s v="2026-03-16"/>
    <s v="281511"/>
    <s v="Malakshmi Krishi Bhandar      "/>
    <s v="9800561868"/>
  </r>
  <r>
    <s v="RCF Trombay"/>
    <s v="15-15-15"/>
    <s v="WB"/>
    <x v="0"/>
    <s v="Barasat - I"/>
    <s v="User Not Mapped"/>
    <s v="User Not Mapped"/>
    <s v="User Not Mapped"/>
    <n v="950014"/>
    <s v="Amit kumar Biswas"/>
    <s v="Private Retailer"/>
    <s v="9647324568"/>
    <n v="2.25"/>
    <n v="39"/>
    <x v="1"/>
    <m/>
    <s v="2026-03-19"/>
    <s v="328271"/>
    <s v="Amal Sales Corporation"/>
    <s v="7908257456"/>
  </r>
  <r>
    <s v="RCF Trombay"/>
    <s v="15-15-15"/>
    <s v="WB"/>
    <x v="0"/>
    <s v="Barasat - I"/>
    <s v="User Not Mapped"/>
    <s v="User Not Mapped"/>
    <s v="User Not Mapped"/>
    <n v="1008652"/>
    <s v="Rahaman Fertilizer"/>
    <s v="Private Retailer"/>
    <s v="9647168105"/>
    <n v="0.95"/>
    <n v="461"/>
    <x v="6"/>
    <m/>
    <s v="2025-01-21"/>
    <s v="356188"/>
    <s v="Saidul Islam"/>
    <s v="9732576743"/>
  </r>
  <r>
    <s v="RCF Trombay"/>
    <s v="15-15-15"/>
    <s v="WB"/>
    <x v="0"/>
    <s v="Barasat - I"/>
    <s v="User Not Mapped"/>
    <s v="User Not Mapped"/>
    <s v="User Not Mapped"/>
    <n v="1030076"/>
    <s v="SABUJ KRISHI BHANDER"/>
    <s v="Private Retailer"/>
    <s v="9143666374"/>
    <n v="0.65"/>
    <n v="98"/>
    <x v="5"/>
    <m/>
    <s v="2026-01-19"/>
    <s v="281511"/>
    <s v="Malakshmi Krishi Bhandar      "/>
    <s v="9800561868"/>
  </r>
  <r>
    <s v="RCF Import"/>
    <s v="Imp 10-26-26"/>
    <s v="WB"/>
    <x v="0"/>
    <s v="Barasat - I"/>
    <s v="User Not Mapped"/>
    <s v="User Not Mapped"/>
    <s v="User Not Mapped"/>
    <n v="1259528"/>
    <s v="NEW SADHUKHAN KRISHI BHANDAR"/>
    <s v="Private Retailer"/>
    <s v="8240042863"/>
    <n v="2.5"/>
    <n v="61"/>
    <x v="2"/>
    <m/>
    <s v="2026-02-25"/>
    <s v="289634"/>
    <s v="Sankar Lal Saha"/>
    <s v="9830026138"/>
  </r>
  <r>
    <s v="RCF Import"/>
    <s v="MOP"/>
    <s v="WB"/>
    <x v="0"/>
    <s v="Barasat - I"/>
    <s v="User Not Mapped"/>
    <s v="User Not Mapped"/>
    <s v="User Not Mapped"/>
    <n v="1259528"/>
    <s v="NEW SADHUKHAN KRISHI BHANDAR"/>
    <s v="Private Retailer"/>
    <s v="8240042863"/>
    <n v="5.25"/>
    <n v="67"/>
    <x v="2"/>
    <m/>
    <s v="2026-02-19"/>
    <s v="289634"/>
    <s v="Sankar Lal Saha"/>
    <s v="9830026138"/>
  </r>
  <r>
    <s v="RCF Thal"/>
    <s v="N.C.Urea(45kg)"/>
    <s v="WB"/>
    <x v="0"/>
    <s v="Barasat - I"/>
    <s v="User Not Mapped"/>
    <s v="User Not Mapped"/>
    <s v="User Not Mapped"/>
    <n v="1259528"/>
    <s v="NEW SADHUKHAN KRISHI BHANDAR"/>
    <s v="Private Retailer"/>
    <s v="8240042863"/>
    <n v="4.68"/>
    <n v="47"/>
    <x v="1"/>
    <m/>
    <s v="2026-03-11"/>
    <s v="289634"/>
    <s v="Sankar Lal Saha"/>
    <s v="9830026138"/>
  </r>
  <r>
    <s v="RCF Trombay"/>
    <s v="15-15-15"/>
    <s v="WB"/>
    <x v="0"/>
    <s v="Barasat - I"/>
    <s v="User Not Mapped"/>
    <s v="User Not Mapped"/>
    <s v="User Not Mapped"/>
    <n v="1259528"/>
    <s v="NEW SADHUKHAN KRISHI BHANDAR"/>
    <s v="Private Retailer"/>
    <s v="8240042863"/>
    <n v="0.75"/>
    <n v="32"/>
    <x v="1"/>
    <m/>
    <s v="2026-03-26"/>
    <s v="281495"/>
    <s v="Saha Fertilizer Stores        "/>
    <s v="8777624646"/>
  </r>
  <r>
    <s v="RCF Trombay"/>
    <s v="15-15-15"/>
    <s v="WB"/>
    <x v="0"/>
    <s v="Barasat - I"/>
    <s v="User Not Mapped"/>
    <s v="User Not Mapped"/>
    <s v="User Not Mapped"/>
    <n v="1319925"/>
    <s v="KOHINOOR BEEJ BHANDER"/>
    <s v="Private Retailer"/>
    <s v="9330895274"/>
    <n v="0.45"/>
    <n v="473"/>
    <x v="6"/>
    <m/>
    <s v="2025-01-09"/>
    <s v="797662"/>
    <s v="KADPUR SKUS LTD"/>
    <s v="9830346319"/>
  </r>
  <r>
    <s v="RCF Trombay"/>
    <s v="15-15-15"/>
    <s v="WB"/>
    <x v="0"/>
    <s v="Barasat - I"/>
    <s v="User Not Mapped"/>
    <s v="User Not Mapped"/>
    <s v="User Not Mapped"/>
    <n v="1319925"/>
    <s v="KOHINOOR BEEJ BHANDER"/>
    <s v="Private Retailer"/>
    <s v="9330895274"/>
    <n v="0.9"/>
    <n v="468"/>
    <x v="6"/>
    <m/>
    <s v="2025-01-14"/>
    <s v="797662"/>
    <s v="KADPUR SKUS LTD"/>
    <s v="9830346319"/>
  </r>
  <r>
    <s v="RCF Trombay"/>
    <s v="15-15-15"/>
    <s v="WB"/>
    <x v="0"/>
    <s v="Barasat - I"/>
    <s v="User Not Mapped"/>
    <s v="User Not Mapped"/>
    <s v="User Not Mapped"/>
    <n v="1380639"/>
    <s v="SABUJ SATHI KRISHI BHANDER"/>
    <s v="Private Retailer"/>
    <s v="9007497082"/>
    <n v="4.9000000000000002E-2"/>
    <n v="667"/>
    <x v="7"/>
    <m/>
    <s v="2024-06-29"/>
    <s v="281495"/>
    <s v="Saha Fertilizer Stores        "/>
    <s v="8777624646"/>
  </r>
  <r>
    <s v="RCF Trombay"/>
    <s v="N.C.Urea(45kg)"/>
    <s v="WB"/>
    <x v="0"/>
    <s v="Barasat - I"/>
    <s v="User Not Mapped"/>
    <s v="User Not Mapped"/>
    <s v="User Not Mapped"/>
    <n v="1380639"/>
    <s v="SABUJ SATHI KRISHI BHANDER"/>
    <s v="Private Retailer"/>
    <s v="9007497082"/>
    <n v="2.4300000000000002"/>
    <n v="63"/>
    <x v="2"/>
    <m/>
    <s v="2026-02-23"/>
    <s v="268650"/>
    <s v="Barasat Krishi Bipani"/>
    <s v="8336087625"/>
  </r>
  <r>
    <s v="RCF Trombay"/>
    <s v="N.C.Urea(45kg)"/>
    <s v="WB"/>
    <x v="0"/>
    <s v="Barasat - I"/>
    <s v="User Not Mapped"/>
    <s v="User Not Mapped"/>
    <s v="User Not Mapped"/>
    <n v="1444512"/>
    <s v="KRISHI FERTILIZER"/>
    <s v="Private Retailer"/>
    <s v="9674230023"/>
    <n v="0.99"/>
    <n v="202"/>
    <x v="3"/>
    <m/>
    <s v="2025-10-07"/>
    <s v="281522"/>
    <s v="N.C. Das and Co."/>
    <s v="6297603863"/>
  </r>
  <r>
    <s v="RCF Trombay"/>
    <s v="15-15-15"/>
    <s v="WB"/>
    <x v="0"/>
    <s v="Barasat - I"/>
    <s v="User Not Mapped"/>
    <s v="User Not Mapped"/>
    <s v="User Not Mapped"/>
    <n v="1444512"/>
    <s v="KRISHI FERTILIZER"/>
    <s v="Private Retailer"/>
    <s v="9674230023"/>
    <n v="4.0999999999999996"/>
    <n v="202"/>
    <x v="3"/>
    <m/>
    <s v="2025-10-07"/>
    <s v="281522"/>
    <s v="N.C. Das and Co."/>
    <s v="6297603863"/>
  </r>
  <r>
    <s v="RCF Import"/>
    <s v="MOP"/>
    <s v="WB"/>
    <x v="0"/>
    <s v="Barasat - II"/>
    <s v="User Not Mapped"/>
    <s v="User Not Mapped"/>
    <s v="User Not Mapped"/>
    <n v="189422"/>
    <s v="M/S Malaxmi Krishi Bhandar"/>
    <s v="Private Retailer"/>
    <s v="6296541498"/>
    <n v="11"/>
    <n v="41"/>
    <x v="1"/>
    <m/>
    <s v="2026-03-17"/>
    <s v="502354"/>
    <s v="Joy Shankar Dutta  Sons Ferti"/>
    <s v="9433002237"/>
  </r>
  <r>
    <s v="RCF Thal"/>
    <s v="N.C.Urea(45kg)"/>
    <s v="WB"/>
    <x v="0"/>
    <s v="Barasat - II"/>
    <s v="User Not Mapped"/>
    <s v="User Not Mapped"/>
    <s v="User Not Mapped"/>
    <n v="189422"/>
    <s v="M/S Malaxmi Krishi Bhandar"/>
    <s v="Private Retailer"/>
    <s v="6296541498"/>
    <n v="5.9219999999999997"/>
    <n v="41"/>
    <x v="1"/>
    <m/>
    <s v="2026-03-17"/>
    <s v="502354"/>
    <s v="Joy Shankar Dutta  Sons Ferti"/>
    <s v="9433002237"/>
  </r>
  <r>
    <s v="RCF Trombay"/>
    <s v="15-15-15"/>
    <s v="WB"/>
    <x v="0"/>
    <s v="Barasat - II"/>
    <s v="User Not Mapped"/>
    <s v="User Not Mapped"/>
    <s v="User Not Mapped"/>
    <n v="219016"/>
    <s v="M/S Ashoke Fertiliser Store"/>
    <s v="Private Retailer"/>
    <s v="9883951065"/>
    <n v="1.75"/>
    <n v="47"/>
    <x v="1"/>
    <m/>
    <s v="2026-03-11"/>
    <s v="281522"/>
    <s v="N.C. Das and Co."/>
    <s v="6297603863"/>
  </r>
  <r>
    <s v="RCF Trombay"/>
    <s v="15-15-15"/>
    <s v="WB"/>
    <x v="0"/>
    <s v="Barasat - II"/>
    <s v="User Not Mapped"/>
    <s v="User Not Mapped"/>
    <s v="User Not Mapped"/>
    <n v="219019"/>
    <s v="M/S A. Ali Fertilizer"/>
    <s v="Private Retailer"/>
    <s v="9831529969"/>
    <n v="1.5"/>
    <n v="75"/>
    <x v="2"/>
    <m/>
    <s v="2026-02-11"/>
    <s v="289634"/>
    <s v="Sankar Lal Saha"/>
    <s v="9830026138"/>
  </r>
  <r>
    <s v="RCF Thal"/>
    <s v="N.C.Urea(45kg)"/>
    <s v="WB"/>
    <x v="0"/>
    <s v="Barasat - II"/>
    <s v="User Not Mapped"/>
    <s v="User Not Mapped"/>
    <s v="User Not Mapped"/>
    <n v="226702"/>
    <s v="Hossain Krishi Seva Kendra"/>
    <s v="Private Retailer"/>
    <s v="9609431013"/>
    <n v="1.99"/>
    <n v="1220"/>
    <x v="7"/>
    <m/>
    <s v="2022-12-24"/>
    <s v="281522"/>
    <s v="N.C. Das and Co."/>
    <s v="6297603863"/>
  </r>
  <r>
    <s v="RCF Trombay"/>
    <s v="N.C.Urea(45kg)"/>
    <s v="WB"/>
    <x v="0"/>
    <s v="Barasat - II"/>
    <s v="User Not Mapped"/>
    <s v="User Not Mapped"/>
    <s v="User Not Mapped"/>
    <n v="226702"/>
    <s v="Hossain Krishi Seva Kendra"/>
    <s v="Private Retailer"/>
    <s v="9609431013"/>
    <n v="4.8150000000000004"/>
    <n v="941"/>
    <x v="7"/>
    <m/>
    <s v="2023-09-29"/>
    <s v="268815"/>
    <s v="Chitta Ranjan Dey"/>
    <s v="9434744870"/>
  </r>
  <r>
    <s v="RCF Import"/>
    <s v="Imp 10-26-26"/>
    <s v="WB"/>
    <x v="0"/>
    <s v="Barasat - II"/>
    <s v="User Not Mapped"/>
    <s v="User Not Mapped"/>
    <s v="User Not Mapped"/>
    <n v="226770"/>
    <s v="Krishi Seva Kendra"/>
    <s v="Private Retailer"/>
    <s v="9163269088"/>
    <n v="0.6"/>
    <n v="31"/>
    <x v="1"/>
    <m/>
    <s v="2026-03-27"/>
    <s v="268650"/>
    <s v="Barasat Krishi Bipani"/>
    <s v="8336087625"/>
  </r>
  <r>
    <s v="RCF Trombay"/>
    <s v="15-15-15"/>
    <s v="WB"/>
    <x v="0"/>
    <s v="Barasat - II"/>
    <s v="User Not Mapped"/>
    <s v="User Not Mapped"/>
    <s v="User Not Mapped"/>
    <n v="226799"/>
    <s v="Madina Fertilizers"/>
    <s v="Private Retailer"/>
    <s v="8017490976"/>
    <n v="1.45"/>
    <n v="70"/>
    <x v="2"/>
    <m/>
    <s v="2026-02-16"/>
    <s v="223815"/>
    <s v="Sahidul Islam  Co.           "/>
    <s v="9153379112"/>
  </r>
  <r>
    <s v="RCF Import"/>
    <s v="MOP"/>
    <s v="WB"/>
    <x v="0"/>
    <s v="Barasat - II"/>
    <s v="User Not Mapped"/>
    <s v="User Not Mapped"/>
    <s v="User Not Mapped"/>
    <n v="226799"/>
    <s v="Madina Fertilizers"/>
    <s v="Private Retailer"/>
    <s v="8017490976"/>
    <n v="1.4"/>
    <n v="67"/>
    <x v="2"/>
    <m/>
    <s v="2026-02-19"/>
    <s v="223815"/>
    <s v="Sahidul Islam  Co.           "/>
    <s v="9153379112"/>
  </r>
  <r>
    <s v="RCF Trombay"/>
    <s v="15-15-15"/>
    <s v="WB"/>
    <x v="0"/>
    <s v="Barasat - II"/>
    <s v="User Not Mapped"/>
    <s v="User Not Mapped"/>
    <s v="User Not Mapped"/>
    <n v="226799"/>
    <s v="Madina Fertilizers"/>
    <s v="Private Retailer"/>
    <s v="8017490976"/>
    <n v="2"/>
    <n v="27"/>
    <x v="4"/>
    <m/>
    <s v="2026-03-31"/>
    <s v="223815"/>
    <s v="Sahidul Islam  Co.           "/>
    <s v="9153379112"/>
  </r>
  <r>
    <s v="RCF Trombay"/>
    <s v="N.C.Urea(45kg)"/>
    <s v="WB"/>
    <x v="0"/>
    <s v="Barasat - II"/>
    <s v="User Not Mapped"/>
    <s v="User Not Mapped"/>
    <s v="User Not Mapped"/>
    <n v="226913"/>
    <s v="Monjur Kadir"/>
    <s v="Private Retailer"/>
    <s v="9735763974"/>
    <n v="0.04"/>
    <n v="880"/>
    <x v="7"/>
    <m/>
    <s v="2023-11-29"/>
    <s v="281522"/>
    <s v="N.C. Das and Co."/>
    <s v="6297603863"/>
  </r>
  <r>
    <s v="RCF Trombay"/>
    <s v="15-15-15"/>
    <s v="WB"/>
    <x v="0"/>
    <s v="Barasat - II"/>
    <s v="User Not Mapped"/>
    <s v="User Not Mapped"/>
    <s v="User Not Mapped"/>
    <n v="226956"/>
    <s v="M/S Jahangir Fertilizers Stor"/>
    <s v="Private Retailer"/>
    <s v="9647138472"/>
    <n v="3.3"/>
    <n v="75"/>
    <x v="2"/>
    <m/>
    <s v="2026-02-11"/>
    <s v="223815"/>
    <s v="Sahidul Islam  Co.           "/>
    <s v="9153379112"/>
  </r>
  <r>
    <s v="RCF Trombay"/>
    <s v="15-15-15"/>
    <s v="WB"/>
    <x v="0"/>
    <s v="Barasat - II"/>
    <s v="User Not Mapped"/>
    <s v="User Not Mapped"/>
    <s v="User Not Mapped"/>
    <n v="226956"/>
    <s v="M/S Jahangir Fertilizers Stor"/>
    <s v="Private Retailer"/>
    <s v="9647138472"/>
    <n v="0.25"/>
    <n v="65"/>
    <x v="2"/>
    <m/>
    <s v="2026-02-21"/>
    <s v="223815"/>
    <s v="Sahidul Islam  Co.           "/>
    <s v="9153379112"/>
  </r>
  <r>
    <s v="RCF Trombay"/>
    <s v="15-15-15"/>
    <s v="WB"/>
    <x v="0"/>
    <s v="Barasat - II"/>
    <s v="User Not Mapped"/>
    <s v="User Not Mapped"/>
    <s v="User Not Mapped"/>
    <n v="226970"/>
    <s v="M/S Krishi Bhandar"/>
    <s v="Private Retailer"/>
    <s v="9051133784"/>
    <n v="0.16"/>
    <n v="70"/>
    <x v="2"/>
    <m/>
    <s v="2026-02-16"/>
    <s v="268650"/>
    <s v="Barasat Krishi Bipani"/>
    <s v="8336087625"/>
  </r>
  <r>
    <s v="RCF Thal"/>
    <s v="N.C.Urea(45kg)"/>
    <s v="WB"/>
    <x v="0"/>
    <s v="Barasat - II"/>
    <s v="User Not Mapped"/>
    <s v="User Not Mapped"/>
    <s v="User Not Mapped"/>
    <n v="226970"/>
    <s v="M/S Krishi Bhandar"/>
    <s v="Private Retailer"/>
    <s v="9051133784"/>
    <n v="0.46500000000000002"/>
    <n v="19"/>
    <x v="4"/>
    <m/>
    <s v="2026-04-08"/>
    <s v="268650"/>
    <s v="Barasat Krishi Bipani"/>
    <s v="8336087625"/>
  </r>
  <r>
    <s v="RCF Import"/>
    <s v="Imp 10-26-26"/>
    <s v="WB"/>
    <x v="0"/>
    <s v="Barasat - II"/>
    <s v="User Not Mapped"/>
    <s v="User Not Mapped"/>
    <s v="User Not Mapped"/>
    <n v="226970"/>
    <s v="M/S Krishi Bhandar"/>
    <s v="Private Retailer"/>
    <s v="9051133784"/>
    <n v="0.69"/>
    <n v="19"/>
    <x v="4"/>
    <m/>
    <s v="2026-04-08"/>
    <s v="268650"/>
    <s v="Barasat Krishi Bipani"/>
    <s v="8336087625"/>
  </r>
  <r>
    <s v="RCF Trombay"/>
    <s v="N.C.Urea(45kg)"/>
    <s v="WB"/>
    <x v="0"/>
    <s v="Barasat - II"/>
    <s v="User Not Mapped"/>
    <s v="User Not Mapped"/>
    <s v="User Not Mapped"/>
    <n v="226978"/>
    <s v="M/S M.A Samad And Sons"/>
    <s v="Private Retailer"/>
    <s v="9734442647"/>
    <n v="0.63"/>
    <n v="73"/>
    <x v="2"/>
    <m/>
    <s v="2026-02-13"/>
    <s v="223807"/>
    <s v="M.K. Chemical and Fertilizers"/>
    <s v="9051316329"/>
  </r>
  <r>
    <s v="RCF Trombay"/>
    <s v="N.C.Urea(45kg)"/>
    <s v="WB"/>
    <x v="0"/>
    <s v="Barasat - II"/>
    <s v="User Not Mapped"/>
    <s v="User Not Mapped"/>
    <s v="User Not Mapped"/>
    <n v="226989"/>
    <s v="M/S Paritosh Ghosh"/>
    <s v="Private Retailer"/>
    <s v="9674426005"/>
    <n v="1.4999999999999999E-2"/>
    <n v="352"/>
    <x v="3"/>
    <m/>
    <s v="2025-05-10"/>
    <s v="223815"/>
    <s v="Sahidul Islam  Co.           "/>
    <s v="9153379112"/>
  </r>
  <r>
    <s v="RCF Trombay"/>
    <s v="N.C.Urea(45kg)"/>
    <s v="WB"/>
    <x v="0"/>
    <s v="Barasat - II"/>
    <s v="User Not Mapped"/>
    <s v="User Not Mapped"/>
    <s v="User Not Mapped"/>
    <n v="226990"/>
    <s v="M/S Paul Krishi Bhanndar"/>
    <s v="Private Retailer"/>
    <s v="9874173613"/>
    <n v="0.45"/>
    <n v="100"/>
    <x v="5"/>
    <m/>
    <s v="2026-01-17"/>
    <s v="223815"/>
    <s v="Sahidul Islam  Co.           "/>
    <s v="9153379112"/>
  </r>
  <r>
    <s v="RCF Trombay"/>
    <s v="15-15-15"/>
    <s v="WB"/>
    <x v="0"/>
    <s v="Barasat - II"/>
    <s v="User Not Mapped"/>
    <s v="User Not Mapped"/>
    <s v="User Not Mapped"/>
    <n v="226990"/>
    <s v="M/S Paul Krishi Bhanndar"/>
    <s v="Private Retailer"/>
    <s v="9874173613"/>
    <n v="1"/>
    <n v="100"/>
    <x v="5"/>
    <m/>
    <s v="2026-01-17"/>
    <s v="223815"/>
    <s v="Sahidul Islam  Co.           "/>
    <s v="9153379112"/>
  </r>
  <r>
    <s v="RCF Trombay"/>
    <s v="15-15-15"/>
    <s v="WB"/>
    <x v="0"/>
    <s v="Barasat - II"/>
    <s v="User Not Mapped"/>
    <s v="User Not Mapped"/>
    <s v="User Not Mapped"/>
    <n v="226990"/>
    <s v="M/S Paul Krishi Bhanndar"/>
    <s v="Private Retailer"/>
    <s v="9874173613"/>
    <n v="0.5"/>
    <n v="91"/>
    <x v="5"/>
    <m/>
    <s v="2026-01-26"/>
    <s v="223815"/>
    <s v="Sahidul Islam  Co.           "/>
    <s v="9153379112"/>
  </r>
  <r>
    <s v="RCF Import"/>
    <s v="Imp 10-26-26"/>
    <s v="WB"/>
    <x v="0"/>
    <s v="Barasat - II"/>
    <s v="User Not Mapped"/>
    <s v="User Not Mapped"/>
    <s v="User Not Mapped"/>
    <n v="227009"/>
    <s v="M/S Swapan Fertilizers"/>
    <s v="Private Retailer"/>
    <s v="9674773484"/>
    <n v="7.2"/>
    <n v="28"/>
    <x v="4"/>
    <m/>
    <s v="2026-03-30"/>
    <s v="268815"/>
    <s v="Chitta Ranjan Dey"/>
    <s v="9434744870"/>
  </r>
  <r>
    <s v="RCF Trombay"/>
    <s v="15-15-15"/>
    <s v="WB"/>
    <x v="0"/>
    <s v="Barasat - II"/>
    <s v="User Not Mapped"/>
    <s v="User Not Mapped"/>
    <s v="User Not Mapped"/>
    <n v="227009"/>
    <s v="M/S Swapan Fertilizers"/>
    <s v="Private Retailer"/>
    <s v="9674773484"/>
    <n v="1.1000000000000001"/>
    <n v="72"/>
    <x v="2"/>
    <m/>
    <s v="2026-02-14"/>
    <s v="268815"/>
    <s v="Chitta Ranjan Dey"/>
    <s v="9434744870"/>
  </r>
  <r>
    <s v="RCF Thal"/>
    <s v="N.C.Urea(45kg)"/>
    <s v="WB"/>
    <x v="0"/>
    <s v="Barasat - II"/>
    <s v="User Not Mapped"/>
    <s v="User Not Mapped"/>
    <s v="User Not Mapped"/>
    <n v="227009"/>
    <s v="M/S Swapan Fertilizers"/>
    <s v="Private Retailer"/>
    <s v="9674773484"/>
    <n v="4.5"/>
    <n v="46"/>
    <x v="1"/>
    <m/>
    <s v="2026-03-12"/>
    <s v="268815"/>
    <s v="Chitta Ranjan Dey"/>
    <s v="9434744870"/>
  </r>
  <r>
    <s v="RCF Trombay"/>
    <s v="N.C.Urea(45kg)"/>
    <s v="WB"/>
    <x v="0"/>
    <s v="Barasat - II"/>
    <s v="User Not Mapped"/>
    <s v="User Not Mapped"/>
    <s v="User Not Mapped"/>
    <n v="227011"/>
    <s v="M/S Tapan Fertilizers"/>
    <s v="Private Retailer"/>
    <s v="8016463251"/>
    <n v="2.0249999999999999"/>
    <n v="70"/>
    <x v="2"/>
    <m/>
    <s v="2026-02-16"/>
    <s v="268650"/>
    <s v="Barasat Krishi Bipani"/>
    <s v="8336087625"/>
  </r>
  <r>
    <s v="RCF Thal"/>
    <s v="N.C.Urea(45kg)"/>
    <s v="WB"/>
    <x v="0"/>
    <s v="Barasat - II"/>
    <s v="User Not Mapped"/>
    <s v="User Not Mapped"/>
    <s v="User Not Mapped"/>
    <n v="227011"/>
    <s v="M/S Tapan Fertilizers"/>
    <s v="Private Retailer"/>
    <s v="8016463251"/>
    <n v="5.4450000000000003"/>
    <n v="145"/>
    <x v="0"/>
    <m/>
    <s v="2025-12-03"/>
    <s v="223821"/>
    <s v="M/S Tilok Kumar Dutta"/>
    <s v="9064209939"/>
  </r>
  <r>
    <s v="RCF Trombay"/>
    <s v="N.C.Urea(45kg)"/>
    <s v="WB"/>
    <x v="0"/>
    <s v="Barasat - II"/>
    <s v="User Not Mapped"/>
    <s v="User Not Mapped"/>
    <s v="User Not Mapped"/>
    <n v="227011"/>
    <s v="M/S Tapan Fertilizers"/>
    <s v="Private Retailer"/>
    <s v="8016463251"/>
    <n v="0.94499999999999995"/>
    <n v="95"/>
    <x v="5"/>
    <m/>
    <s v="2026-01-22"/>
    <s v="223811"/>
    <s v="Chanchal Kumar Dey"/>
    <s v="9434616928"/>
  </r>
  <r>
    <s v="RCF Trombay"/>
    <s v="15-15-15"/>
    <s v="WB"/>
    <x v="0"/>
    <s v="Barasat - II"/>
    <s v="User Not Mapped"/>
    <s v="User Not Mapped"/>
    <s v="User Not Mapped"/>
    <n v="289613"/>
    <s v="M/S Aziber Fertilizer"/>
    <s v="Private Retailer"/>
    <s v="9051706302"/>
    <n v="0.5"/>
    <n v="82"/>
    <x v="2"/>
    <m/>
    <s v="2026-02-04"/>
    <s v="281495"/>
    <s v="Saha Fertilizer Stores        "/>
    <s v="8777624646"/>
  </r>
  <r>
    <s v="RCF Trombay"/>
    <s v="15-15-15"/>
    <s v="WB"/>
    <x v="0"/>
    <s v="Barasat - II"/>
    <s v="User Not Mapped"/>
    <s v="User Not Mapped"/>
    <s v="User Not Mapped"/>
    <n v="355025"/>
    <s v="Haran Chandra   Mondal"/>
    <s v="Private Retailer"/>
    <s v="9732399234"/>
    <n v="0.5"/>
    <n v="67"/>
    <x v="2"/>
    <m/>
    <s v="2026-02-19"/>
    <s v="281525"/>
    <s v="M/S Sariful Haque"/>
    <s v="7890901060"/>
  </r>
  <r>
    <s v="RCF Trombay"/>
    <s v="15-15-15"/>
    <s v="WB"/>
    <x v="0"/>
    <s v="Barasat - II"/>
    <s v="User Not Mapped"/>
    <s v="User Not Mapped"/>
    <s v="User Not Mapped"/>
    <n v="355197"/>
    <s v="Krishi Unayan"/>
    <s v="Private Retailer"/>
    <s v="9830185164"/>
    <n v="0.68600000000000005"/>
    <n v="114"/>
    <x v="5"/>
    <m/>
    <s v="2026-01-03"/>
    <s v="268650"/>
    <s v="Barasat Krishi Bipani"/>
    <s v="8336087625"/>
  </r>
  <r>
    <s v="RCF Import"/>
    <s v="Imp 10-26-26"/>
    <s v="WB"/>
    <x v="0"/>
    <s v="Barasat - II"/>
    <s v="User Not Mapped"/>
    <s v="User Not Mapped"/>
    <s v="User Not Mapped"/>
    <n v="355197"/>
    <s v="Krishi Unayan"/>
    <s v="Private Retailer"/>
    <s v="9830185164"/>
    <n v="1.895"/>
    <n v="19"/>
    <x v="4"/>
    <m/>
    <s v="2026-04-08"/>
    <s v="268650"/>
    <s v="Barasat Krishi Bipani"/>
    <s v="8336087625"/>
  </r>
  <r>
    <s v="RCF Thal"/>
    <s v="N.C.Urea(45kg)"/>
    <s v="WB"/>
    <x v="0"/>
    <s v="Barasat - II"/>
    <s v="User Not Mapped"/>
    <s v="User Not Mapped"/>
    <s v="User Not Mapped"/>
    <n v="355313"/>
    <s v="Ma Laxmi Krishi Bhander"/>
    <s v="Private Retailer"/>
    <s v="9733582048"/>
    <n v="2.56"/>
    <n v="230"/>
    <x v="3"/>
    <m/>
    <s v="2025-09-09"/>
    <s v="1048909"/>
    <s v="B K ROY AND COMPANY"/>
    <s v="9734516484"/>
  </r>
  <r>
    <s v="RCF Trombay"/>
    <s v="15-15-15"/>
    <s v="WB"/>
    <x v="0"/>
    <s v="Barasat - II"/>
    <s v="User Not Mapped"/>
    <s v="User Not Mapped"/>
    <s v="User Not Mapped"/>
    <n v="355313"/>
    <s v="Ma Laxmi Krishi Bhander"/>
    <s v="Private Retailer"/>
    <s v="9733582048"/>
    <n v="0.95"/>
    <n v="257"/>
    <x v="3"/>
    <m/>
    <s v="2025-08-13"/>
    <s v="1048909"/>
    <s v="B K ROY AND COMPANY"/>
    <s v="9734516484"/>
  </r>
  <r>
    <s v="RCF Thal"/>
    <s v="N.C.Urea(45kg)"/>
    <s v="WB"/>
    <x v="0"/>
    <s v="Barasat - II"/>
    <s v="User Not Mapped"/>
    <s v="User Not Mapped"/>
    <s v="User Not Mapped"/>
    <n v="355313"/>
    <s v="Ma Laxmi Krishi Bhander"/>
    <s v="Private Retailer"/>
    <s v="9733582048"/>
    <n v="5.49"/>
    <n v="45"/>
    <x v="1"/>
    <m/>
    <s v="2026-03-13"/>
    <s v="268815"/>
    <s v="Chitta Ranjan Dey"/>
    <s v="9434744870"/>
  </r>
  <r>
    <s v="RCF Trombay"/>
    <s v="N.C.Urea(45kg)"/>
    <s v="WB"/>
    <x v="0"/>
    <s v="Barasat - II"/>
    <s v="User Not Mapped"/>
    <s v="User Not Mapped"/>
    <s v="User Not Mapped"/>
    <n v="411010"/>
    <s v="M/S Ghosh Fertiliser"/>
    <s v="Private Retailer"/>
    <s v="9748893789"/>
    <n v="1.44"/>
    <n v="56"/>
    <x v="1"/>
    <m/>
    <s v="2026-03-02"/>
    <s v="268650"/>
    <s v="Barasat Krishi Bipani"/>
    <s v="8336087625"/>
  </r>
  <r>
    <s v="RCF Trombay"/>
    <s v="15-15-15"/>
    <s v="WB"/>
    <x v="0"/>
    <s v="Barasat - II"/>
    <s v="User Not Mapped"/>
    <s v="User Not Mapped"/>
    <s v="User Not Mapped"/>
    <n v="411010"/>
    <s v="M/S Ghosh Fertiliser"/>
    <s v="Private Retailer"/>
    <s v="9748893789"/>
    <n v="2"/>
    <n v="56"/>
    <x v="1"/>
    <m/>
    <s v="2026-03-02"/>
    <s v="268650"/>
    <s v="Barasat Krishi Bipani"/>
    <s v="8336087625"/>
  </r>
  <r>
    <s v="RCF Import"/>
    <s v="Imp 10-26-26"/>
    <s v="WB"/>
    <x v="0"/>
    <s v="Barasat - II"/>
    <s v="User Not Mapped"/>
    <s v="User Not Mapped"/>
    <s v="User Not Mapped"/>
    <n v="411050"/>
    <s v="M/S Rabiul Fertilizer"/>
    <s v="Private Retailer"/>
    <s v="9836741944"/>
    <n v="4.4000000000000004"/>
    <n v="61"/>
    <x v="2"/>
    <m/>
    <s v="2026-02-25"/>
    <s v="223815"/>
    <s v="Sahidul Islam  Co.           "/>
    <s v="9153379112"/>
  </r>
  <r>
    <s v="RCF Trombay"/>
    <s v="15-15-15"/>
    <s v="WB"/>
    <x v="0"/>
    <s v="Barasat - II"/>
    <s v="User Not Mapped"/>
    <s v="User Not Mapped"/>
    <s v="User Not Mapped"/>
    <n v="411050"/>
    <s v="M/S Rabiul Fertilizer"/>
    <s v="Private Retailer"/>
    <s v="9836741944"/>
    <n v="0.3"/>
    <n v="75"/>
    <x v="2"/>
    <m/>
    <s v="2026-02-11"/>
    <s v="223815"/>
    <s v="Sahidul Islam  Co.           "/>
    <s v="9153379112"/>
  </r>
  <r>
    <s v="RCF Trombay"/>
    <s v="N.C.Urea(45kg)"/>
    <s v="WB"/>
    <x v="0"/>
    <s v="Barasat - II"/>
    <s v="User Not Mapped"/>
    <s v="User Not Mapped"/>
    <s v="User Not Mapped"/>
    <n v="411050"/>
    <s v="M/S Rabiul Fertilizer"/>
    <s v="Private Retailer"/>
    <s v="9836741944"/>
    <n v="2.52"/>
    <n v="75"/>
    <x v="2"/>
    <m/>
    <s v="2026-02-11"/>
    <s v="223815"/>
    <s v="Sahidul Islam  Co.           "/>
    <s v="9153379112"/>
  </r>
  <r>
    <s v="RCF Trombay"/>
    <s v="N.C.Urea(45kg)"/>
    <s v="WB"/>
    <x v="0"/>
    <s v="Barasat - II"/>
    <s v="User Not Mapped"/>
    <s v="User Not Mapped"/>
    <s v="User Not Mapped"/>
    <n v="465178"/>
    <s v="M/S KALIMATA FERTILIZER STORE"/>
    <s v="Private Retailer"/>
    <s v="9733953714"/>
    <n v="1.163"/>
    <n v="165"/>
    <x v="0"/>
    <m/>
    <s v="2025-11-13"/>
    <s v="405249"/>
    <s v="Saha Krishi Bhandar"/>
    <s v="9734801636"/>
  </r>
  <r>
    <s v="RCF Trombay"/>
    <s v="15-15-15"/>
    <s v="WB"/>
    <x v="0"/>
    <s v="Barasat - II"/>
    <s v="User Not Mapped"/>
    <s v="User Not Mapped"/>
    <s v="User Not Mapped"/>
    <n v="481212"/>
    <s v="Rajjak Mondal"/>
    <s v="Private Retailer"/>
    <s v="9593700491"/>
    <n v="2.5499999999999998"/>
    <n v="74"/>
    <x v="2"/>
    <m/>
    <s v="2026-02-12"/>
    <s v="223807"/>
    <s v="M.K. Chemical and Fertilizers"/>
    <s v="9051316329"/>
  </r>
  <r>
    <s v="RCF Thal"/>
    <s v="N.C.Urea(45kg)"/>
    <s v="WB"/>
    <x v="0"/>
    <s v="Barasat - II"/>
    <s v="User Not Mapped"/>
    <s v="User Not Mapped"/>
    <s v="User Not Mapped"/>
    <n v="481212"/>
    <s v="Rajjak Mondal"/>
    <s v="Private Retailer"/>
    <s v="9593700491"/>
    <n v="1.415"/>
    <n v="426"/>
    <x v="6"/>
    <m/>
    <s v="2025-02-25"/>
    <s v="289634"/>
    <s v="Sankar Lal Saha"/>
    <s v="9830026138"/>
  </r>
  <r>
    <s v="RCF Import"/>
    <s v="Imp 10-26-26"/>
    <s v="WB"/>
    <x v="0"/>
    <s v="Barasat - II"/>
    <s v="User Not Mapped"/>
    <s v="User Not Mapped"/>
    <s v="User Not Mapped"/>
    <n v="500070"/>
    <s v="Baidya Fertilizer"/>
    <s v="Private Retailer"/>
    <s v="8584822527"/>
    <n v="0.7"/>
    <n v="61"/>
    <x v="2"/>
    <m/>
    <s v="2026-02-25"/>
    <s v="223815"/>
    <s v="Sahidul Islam  Co.           "/>
    <s v="9153379112"/>
  </r>
  <r>
    <s v="RCF Thal"/>
    <s v="N.C.Urea(45kg)"/>
    <s v="WB"/>
    <x v="0"/>
    <s v="Barasat - II"/>
    <s v="User Not Mapped"/>
    <s v="User Not Mapped"/>
    <s v="User Not Mapped"/>
    <n v="500070"/>
    <s v="Baidya Fertilizer"/>
    <s v="Private Retailer"/>
    <s v="8584822527"/>
    <n v="2.5649999999999999"/>
    <n v="40"/>
    <x v="1"/>
    <m/>
    <s v="2026-03-18"/>
    <s v="223815"/>
    <s v="Sahidul Islam  Co.           "/>
    <s v="9153379112"/>
  </r>
  <r>
    <s v="RCF Trombay"/>
    <s v="15-15-15"/>
    <s v="WB"/>
    <x v="0"/>
    <s v="Barasat - II"/>
    <s v="User Not Mapped"/>
    <s v="User Not Mapped"/>
    <s v="User Not Mapped"/>
    <n v="515672"/>
    <s v="KAZIPARA KRISHI BIPANI"/>
    <s v="Private Retailer"/>
    <s v="7890152969"/>
    <n v="1.65"/>
    <n v="146"/>
    <x v="0"/>
    <m/>
    <s v="2025-12-02"/>
    <s v="281551"/>
    <s v="Ratan Lal Saha"/>
    <s v="9051954610"/>
  </r>
  <r>
    <s v="RCF Trombay"/>
    <s v="15-15-15"/>
    <s v="WB"/>
    <x v="0"/>
    <s v="Barasat - II"/>
    <s v="User Not Mapped"/>
    <s v="User Not Mapped"/>
    <s v="User Not Mapped"/>
    <n v="594590"/>
    <s v="AJIBAR FERTILIZER"/>
    <s v="Private Retailer"/>
    <s v="9903037698"/>
    <n v="0.625"/>
    <n v="80"/>
    <x v="2"/>
    <m/>
    <s v="2026-02-06"/>
    <s v="281551"/>
    <s v="Ratan Lal Saha"/>
    <s v="9051954610"/>
  </r>
  <r>
    <s v="RCF Trombay"/>
    <s v="15-15-15"/>
    <s v="WB"/>
    <x v="0"/>
    <s v="Barasat - II"/>
    <s v="User Not Mapped"/>
    <s v="User Not Mapped"/>
    <s v="User Not Mapped"/>
    <n v="931343"/>
    <s v="Kalapole krishi bhander"/>
    <s v="Private Retailer"/>
    <s v="9800478992"/>
    <n v="0.05"/>
    <n v="224"/>
    <x v="3"/>
    <m/>
    <s v="2025-09-15"/>
    <s v="281542"/>
    <s v="M/S Arun Kumar Ghosh"/>
    <s v="9564505288"/>
  </r>
  <r>
    <s v="RCF Trombay"/>
    <s v="15-15-15"/>
    <s v="WB"/>
    <x v="0"/>
    <s v="Barasat - II"/>
    <s v="User Not Mapped"/>
    <s v="User Not Mapped"/>
    <s v="User Not Mapped"/>
    <n v="958549"/>
    <s v="MD Giasuddin"/>
    <s v="Private Retailer"/>
    <s v="8478910760"/>
    <n v="1.85"/>
    <n v="70"/>
    <x v="2"/>
    <m/>
    <s v="2026-02-16"/>
    <s v="268650"/>
    <s v="Barasat Krishi Bipani"/>
    <s v="8336087625"/>
  </r>
  <r>
    <s v="RCF Thal"/>
    <s v="N.C.Urea(45kg)"/>
    <s v="WB"/>
    <x v="0"/>
    <s v="Barasat - II"/>
    <s v="User Not Mapped"/>
    <s v="User Not Mapped"/>
    <s v="User Not Mapped"/>
    <n v="958549"/>
    <s v="MD Giasuddin"/>
    <s v="Private Retailer"/>
    <s v="8478910760"/>
    <n v="1.8"/>
    <n v="70"/>
    <x v="2"/>
    <m/>
    <s v="2026-02-16"/>
    <s v="268650"/>
    <s v="Barasat Krishi Bipani"/>
    <s v="8336087625"/>
  </r>
  <r>
    <s v="RCF Import"/>
    <s v="Imp 10-26-26"/>
    <s v="WB"/>
    <x v="0"/>
    <s v="Barasat - II"/>
    <s v="User Not Mapped"/>
    <s v="User Not Mapped"/>
    <s v="User Not Mapped"/>
    <n v="958555"/>
    <s v="Tuhina Fertilizer store"/>
    <s v="Private Retailer"/>
    <s v="9836727214"/>
    <n v="0.5"/>
    <n v="147"/>
    <x v="0"/>
    <m/>
    <s v="2025-12-01"/>
    <s v="268650"/>
    <s v="Barasat Krishi Bipani"/>
    <s v="8336087625"/>
  </r>
  <r>
    <s v="RCF Trombay"/>
    <s v="15-15-15"/>
    <s v="WB"/>
    <x v="0"/>
    <s v="Barasat - II"/>
    <s v="User Not Mapped"/>
    <s v="User Not Mapped"/>
    <s v="User Not Mapped"/>
    <n v="958555"/>
    <s v="Tuhina Fertilizer store"/>
    <s v="Private Retailer"/>
    <s v="9836727214"/>
    <n v="0.5"/>
    <n v="147"/>
    <x v="0"/>
    <m/>
    <s v="2025-12-01"/>
    <s v="268650"/>
    <s v="Barasat Krishi Bipani"/>
    <s v="8336087625"/>
  </r>
  <r>
    <s v="RCF Trombay"/>
    <s v="N.C.Urea(45kg)"/>
    <s v="WB"/>
    <x v="0"/>
    <s v="Barasat - II"/>
    <s v="User Not Mapped"/>
    <s v="User Not Mapped"/>
    <s v="User Not Mapped"/>
    <n v="958555"/>
    <s v="Tuhina Fertilizer store"/>
    <s v="Private Retailer"/>
    <s v="9836727214"/>
    <n v="2.2599999999999998"/>
    <n v="147"/>
    <x v="0"/>
    <m/>
    <s v="2025-12-01"/>
    <s v="268650"/>
    <s v="Barasat Krishi Bipani"/>
    <s v="8336087625"/>
  </r>
  <r>
    <s v="RCF Thal"/>
    <s v="N.C.Urea(45kg)"/>
    <s v="WB"/>
    <x v="0"/>
    <s v="Barasat - II"/>
    <s v="User Not Mapped"/>
    <s v="User Not Mapped"/>
    <s v="User Not Mapped"/>
    <n v="1278331"/>
    <s v="HASAN FERTILIZER AND PESTICIDE"/>
    <s v="Private Retailer"/>
    <s v="9733543582"/>
    <n v="0.26500000000000001"/>
    <n v="245"/>
    <x v="3"/>
    <m/>
    <s v="2025-08-25"/>
    <s v="668032"/>
    <s v="MAA KRISHI BIPONI"/>
    <s v="9564322993"/>
  </r>
  <r>
    <s v="RCF Trombay"/>
    <s v="N.C.Urea(45kg)"/>
    <s v="WB"/>
    <x v="0"/>
    <s v="Barasat - II"/>
    <s v="User Not Mapped"/>
    <s v="User Not Mapped"/>
    <s v="User Not Mapped"/>
    <n v="1410472"/>
    <s v="NAHIM FERTILIZER"/>
    <s v="Private Retailer"/>
    <s v="7003872133"/>
    <n v="1.4550000000000001"/>
    <n v="229"/>
    <x v="3"/>
    <m/>
    <s v="2025-09-10"/>
    <s v="223815"/>
    <s v="Sahidul Islam  Co.           "/>
    <s v="9153379112"/>
  </r>
  <r>
    <s v="RCF Thal"/>
    <s v="N.C.Urea(45kg)"/>
    <s v="WB"/>
    <x v="0"/>
    <s v="Barasat - II"/>
    <s v="User Not Mapped"/>
    <s v="User Not Mapped"/>
    <s v="User Not Mapped"/>
    <n v="1410472"/>
    <s v="NAHIM FERTILIZER"/>
    <s v="Private Retailer"/>
    <s v="7003872133"/>
    <n v="0.60499999999999998"/>
    <n v="245"/>
    <x v="3"/>
    <m/>
    <s v="2025-08-25"/>
    <s v="223807"/>
    <s v="M.K. Chemical and Fertilizers"/>
    <s v="9051316329"/>
  </r>
  <r>
    <s v="RCF Thal"/>
    <s v="N.C.Urea(45kg)"/>
    <s v="WB"/>
    <x v="0"/>
    <s v="Barasat - II"/>
    <s v="User Not Mapped"/>
    <s v="User Not Mapped"/>
    <s v="User Not Mapped"/>
    <n v="1475157"/>
    <s v="MEHER ALI FERTILIZER"/>
    <s v="Private Retailer"/>
    <s v="9091060315"/>
    <n v="3.6"/>
    <n v="174"/>
    <x v="0"/>
    <m/>
    <s v="2025-11-04"/>
    <s v="223821"/>
    <s v="M/S Tilok Kumar Dutta"/>
    <s v="9064209939"/>
  </r>
  <r>
    <s v="RCF Trombay"/>
    <s v="N.C.Urea(45kg)"/>
    <s v="WB"/>
    <x v="0"/>
    <s v="Barasat - II"/>
    <s v="User Not Mapped"/>
    <s v="User Not Mapped"/>
    <s v="User Not Mapped"/>
    <n v="1475157"/>
    <s v="MEHER ALI FERTILIZER"/>
    <s v="Private Retailer"/>
    <s v="9091060315"/>
    <n v="3.4649999999999999"/>
    <n v="75"/>
    <x v="2"/>
    <m/>
    <s v="2026-02-11"/>
    <s v="289634"/>
    <s v="Sankar Lal Saha"/>
    <s v="9830026138"/>
  </r>
  <r>
    <s v="RCF Trombay"/>
    <s v="N.C.Urea(45kg)"/>
    <s v="WB"/>
    <x v="0"/>
    <s v="Barasat - II"/>
    <s v="User Not Mapped"/>
    <s v="User Not Mapped"/>
    <s v="User Not Mapped"/>
    <n v="1567134"/>
    <s v="KRISHIJ FARMER PRO COMP LTD"/>
    <s v="Private Retailer"/>
    <s v="9830191341"/>
    <n v="5.04"/>
    <n v="191"/>
    <x v="3"/>
    <m/>
    <s v="2025-10-18"/>
    <s v="493009"/>
    <s v="M/S Halder Fertiliser"/>
    <s v="9051954610"/>
  </r>
  <r>
    <s v="RCF Trombay"/>
    <s v="15-15-15"/>
    <s v="WB"/>
    <x v="0"/>
    <s v="Barrackpur - I"/>
    <s v="User Not Mapped"/>
    <s v="User Not Mapped"/>
    <s v="User Not Mapped"/>
    <n v="226562"/>
    <s v="Bijoy Krishna Saha"/>
    <s v="Private Retailer"/>
    <s v="9748457448"/>
    <n v="1.95"/>
    <n v="82"/>
    <x v="2"/>
    <m/>
    <s v="2026-02-04"/>
    <s v="281495"/>
    <s v="Saha Fertilizer Stores        "/>
    <s v="8777624646"/>
  </r>
  <r>
    <s v="RCF Trombay"/>
    <s v="15-15-15"/>
    <s v="WB"/>
    <x v="0"/>
    <s v="Barrackpur - I"/>
    <s v="User Not Mapped"/>
    <s v="User Not Mapped"/>
    <s v="User Not Mapped"/>
    <n v="226822"/>
    <s v="Manindra Nath Tarafder"/>
    <s v="Private Retailer"/>
    <s v="9433039970"/>
    <n v="1.948"/>
    <n v="100"/>
    <x v="5"/>
    <m/>
    <s v="2026-01-17"/>
    <s v="268815"/>
    <s v="Chitta Ranjan Dey"/>
    <s v="9434744870"/>
  </r>
  <r>
    <s v="RCF Import"/>
    <s v="Imp 10-26-26"/>
    <s v="WB"/>
    <x v="0"/>
    <s v="Barrackpur - I"/>
    <s v="User Not Mapped"/>
    <s v="User Not Mapped"/>
    <s v="User Not Mapped"/>
    <n v="226822"/>
    <s v="Manindra Nath Tarafder"/>
    <s v="Private Retailer"/>
    <s v="9433039970"/>
    <n v="4.5"/>
    <n v="28"/>
    <x v="4"/>
    <m/>
    <s v="2026-03-30"/>
    <s v="268815"/>
    <s v="Chitta Ranjan Dey"/>
    <s v="9434744870"/>
  </r>
  <r>
    <s v="RCF Import"/>
    <s v="MOP"/>
    <s v="WB"/>
    <x v="0"/>
    <s v="Barrackpur - I"/>
    <s v="User Not Mapped"/>
    <s v="User Not Mapped"/>
    <s v="User Not Mapped"/>
    <n v="226822"/>
    <s v="Manindra Nath Tarafder"/>
    <s v="Private Retailer"/>
    <s v="9433039970"/>
    <n v="5.35"/>
    <n v="59"/>
    <x v="1"/>
    <m/>
    <s v="2026-02-27"/>
    <s v="268815"/>
    <s v="Chitta Ranjan Dey"/>
    <s v="9434744870"/>
  </r>
  <r>
    <s v="RCF Import"/>
    <s v="Imp 10-26-26"/>
    <s v="WB"/>
    <x v="0"/>
    <s v="Barrackpur - I"/>
    <s v="User Not Mapped"/>
    <s v="User Not Mapped"/>
    <s v="User Not Mapped"/>
    <n v="227012"/>
    <s v="M/S Tara Ma Krishi Bhander"/>
    <s v="Private Retailer"/>
    <s v="9433640289"/>
    <n v="4.7"/>
    <n v="28"/>
    <x v="4"/>
    <m/>
    <s v="2026-03-30"/>
    <s v="268815"/>
    <s v="Chitta Ranjan Dey"/>
    <s v="9434744870"/>
  </r>
  <r>
    <s v="RCF Thal"/>
    <s v="N.C.Urea(45kg)"/>
    <s v="WB"/>
    <x v="0"/>
    <s v="Barrackpur - I"/>
    <s v="User Not Mapped"/>
    <s v="User Not Mapped"/>
    <s v="User Not Mapped"/>
    <n v="227012"/>
    <s v="M/S Tara Ma Krishi Bhander"/>
    <s v="Private Retailer"/>
    <s v="9433640289"/>
    <n v="6.66"/>
    <n v="46"/>
    <x v="1"/>
    <m/>
    <s v="2026-03-12"/>
    <s v="268815"/>
    <s v="Chitta Ranjan Dey"/>
    <s v="9434744870"/>
  </r>
  <r>
    <s v="RCF Trombay"/>
    <s v="15-15-15"/>
    <s v="WB"/>
    <x v="0"/>
    <s v="Barrackpur - I"/>
    <s v="User Not Mapped"/>
    <s v="User Not Mapped"/>
    <s v="User Not Mapped"/>
    <n v="227012"/>
    <s v="M/S Tara Ma Krishi Bhander"/>
    <s v="Private Retailer"/>
    <s v="9433640289"/>
    <n v="2.15"/>
    <n v="72"/>
    <x v="2"/>
    <m/>
    <s v="2026-02-14"/>
    <s v="268815"/>
    <s v="Chitta Ranjan Dey"/>
    <s v="9434744870"/>
  </r>
  <r>
    <s v="RCF Import"/>
    <s v="MOP"/>
    <s v="WB"/>
    <x v="0"/>
    <s v="Barrackpur - I"/>
    <s v="User Not Mapped"/>
    <s v="User Not Mapped"/>
    <s v="User Not Mapped"/>
    <n v="227012"/>
    <s v="M/S Tara Ma Krishi Bhander"/>
    <s v="Private Retailer"/>
    <s v="9433640289"/>
    <n v="4.2"/>
    <n v="59"/>
    <x v="1"/>
    <m/>
    <s v="2026-02-27"/>
    <s v="268815"/>
    <s v="Chitta Ranjan Dey"/>
    <s v="9434744870"/>
  </r>
  <r>
    <s v="RCF Import"/>
    <s v="MOP"/>
    <s v="WB"/>
    <x v="0"/>
    <s v="Barrackpur - I"/>
    <s v="User Not Mapped"/>
    <s v="User Not Mapped"/>
    <s v="User Not Mapped"/>
    <n v="342693"/>
    <s v="Subrata Kundu"/>
    <s v="Private Retailer"/>
    <s v="8584908689"/>
    <n v="0.25"/>
    <n v="44"/>
    <x v="1"/>
    <m/>
    <s v="2026-03-14"/>
    <s v="281511"/>
    <s v="Malakshmi Krishi Bhandar      "/>
    <s v="9800561868"/>
  </r>
  <r>
    <s v="RCF Trombay"/>
    <s v="15-15-15"/>
    <s v="WB"/>
    <x v="0"/>
    <s v="Barrackpur - I"/>
    <s v="User Not Mapped"/>
    <s v="User Not Mapped"/>
    <s v="User Not Mapped"/>
    <n v="342693"/>
    <s v="Subrata Kundu"/>
    <s v="Private Retailer"/>
    <s v="8584908689"/>
    <n v="3.05"/>
    <n v="72"/>
    <x v="2"/>
    <m/>
    <s v="2026-02-14"/>
    <s v="281511"/>
    <s v="Malakshmi Krishi Bhandar      "/>
    <s v="9800561868"/>
  </r>
  <r>
    <s v="RCF Thal"/>
    <s v="N.C.Urea(45kg)"/>
    <s v="WB"/>
    <x v="0"/>
    <s v="Barrackpur - I"/>
    <s v="User Not Mapped"/>
    <s v="User Not Mapped"/>
    <s v="User Not Mapped"/>
    <n v="342693"/>
    <s v="Subrata Kundu"/>
    <s v="Private Retailer"/>
    <s v="8584908689"/>
    <n v="0.63"/>
    <n v="72"/>
    <x v="2"/>
    <m/>
    <s v="2026-02-14"/>
    <s v="281511"/>
    <s v="Malakshmi Krishi Bhandar      "/>
    <s v="9800561868"/>
  </r>
  <r>
    <s v="RCF Thal"/>
    <s v="N.C.Urea(45kg)"/>
    <s v="WB"/>
    <x v="0"/>
    <s v="Barrackpur - I"/>
    <s v="User Not Mapped"/>
    <s v="User Not Mapped"/>
    <s v="User Not Mapped"/>
    <n v="355088"/>
    <s v="Kalam Fertiliser"/>
    <s v="Private Retailer"/>
    <s v="7047552276"/>
    <n v="5.51"/>
    <n v="42"/>
    <x v="1"/>
    <m/>
    <s v="2026-03-16"/>
    <s v="917469"/>
    <s v="MONDAL KRISHI BHANDER"/>
    <s v="9681347066"/>
  </r>
  <r>
    <s v="RCF Trombay"/>
    <s v="N.C.Urea(45kg)"/>
    <s v="WB"/>
    <x v="0"/>
    <s v="Barrackpur - I"/>
    <s v="User Not Mapped"/>
    <s v="User Not Mapped"/>
    <s v="User Not Mapped"/>
    <n v="355088"/>
    <s v="Kalam Fertiliser"/>
    <s v="Private Retailer"/>
    <s v="7047552276"/>
    <n v="5.49"/>
    <n v="56"/>
    <x v="1"/>
    <m/>
    <s v="2026-03-02"/>
    <s v="917469"/>
    <s v="MONDAL KRISHI BHANDER"/>
    <s v="9681347066"/>
  </r>
  <r>
    <s v="RCF Trombay"/>
    <s v="N.C.Urea(45kg)"/>
    <s v="WB"/>
    <x v="0"/>
    <s v="Barrackpur - I"/>
    <s v="User Not Mapped"/>
    <s v="User Not Mapped"/>
    <s v="User Not Mapped"/>
    <n v="355088"/>
    <s v="Kalam Fertiliser"/>
    <s v="Private Retailer"/>
    <s v="7047552276"/>
    <n v="4.9800000000000004"/>
    <n v="79"/>
    <x v="2"/>
    <m/>
    <s v="2026-02-07"/>
    <s v="917469"/>
    <s v="MONDAL KRISHI BHANDER"/>
    <s v="9681347066"/>
  </r>
  <r>
    <s v="RCF Trombay"/>
    <s v="N.C.Urea(45kg)"/>
    <s v="WB"/>
    <x v="0"/>
    <s v="Barrackpur - I"/>
    <s v="User Not Mapped"/>
    <s v="User Not Mapped"/>
    <s v="User Not Mapped"/>
    <n v="355088"/>
    <s v="Kalam Fertiliser"/>
    <s v="Private Retailer"/>
    <s v="7047552276"/>
    <n v="3.65"/>
    <n v="219"/>
    <x v="3"/>
    <m/>
    <s v="2025-09-20"/>
    <s v="917469"/>
    <s v="MONDAL KRISHI BHANDER"/>
    <s v="9681347066"/>
  </r>
  <r>
    <s v="RCF Trombay"/>
    <s v="15-15-15"/>
    <s v="WB"/>
    <x v="0"/>
    <s v="Barrackpur - I"/>
    <s v="User Not Mapped"/>
    <s v="User Not Mapped"/>
    <s v="User Not Mapped"/>
    <n v="355088"/>
    <s v="Kalam Fertiliser"/>
    <s v="Private Retailer"/>
    <s v="7047552276"/>
    <n v="0.5"/>
    <n v="219"/>
    <x v="3"/>
    <m/>
    <s v="2025-09-20"/>
    <s v="917469"/>
    <s v="MONDAL KRISHI BHANDER"/>
    <s v="9681347066"/>
  </r>
  <r>
    <s v="RCF Trombay"/>
    <s v="15-15-15"/>
    <s v="WB"/>
    <x v="0"/>
    <s v="Barrackpur - I"/>
    <s v="User Not Mapped"/>
    <s v="User Not Mapped"/>
    <s v="User Not Mapped"/>
    <n v="487638"/>
    <s v="Annapurna Krishi Bhandar"/>
    <s v="Private Retailer"/>
    <s v="9143054966"/>
    <n v="0.9"/>
    <n v="98"/>
    <x v="5"/>
    <m/>
    <s v="2026-01-19"/>
    <s v="281511"/>
    <s v="Malakshmi Krishi Bhandar      "/>
    <s v="9800561868"/>
  </r>
  <r>
    <s v="RCF Import"/>
    <s v="MOP"/>
    <s v="WB"/>
    <x v="0"/>
    <s v="Barrackpur - I"/>
    <s v="User Not Mapped"/>
    <s v="User Not Mapped"/>
    <s v="User Not Mapped"/>
    <n v="487638"/>
    <s v="Annapurna Krishi Bhandar"/>
    <s v="Private Retailer"/>
    <s v="9143054966"/>
    <n v="0.25"/>
    <n v="44"/>
    <x v="1"/>
    <m/>
    <s v="2026-03-14"/>
    <s v="281511"/>
    <s v="Malakshmi Krishi Bhandar      "/>
    <s v="9800561868"/>
  </r>
  <r>
    <s v="RCF Import"/>
    <s v="MOP"/>
    <s v="WB"/>
    <x v="0"/>
    <s v="Barrackpur - I"/>
    <s v="User Not Mapped"/>
    <s v="User Not Mapped"/>
    <s v="User Not Mapped"/>
    <n v="777445"/>
    <s v="AMIN FERTILIZER"/>
    <s v="Private Retailer"/>
    <s v="7003642822"/>
    <n v="5.05"/>
    <n v="68"/>
    <x v="2"/>
    <m/>
    <s v="2026-02-18"/>
    <s v="223812"/>
    <s v="M/S. Shyma Krishi B"/>
    <s v="8617629886"/>
  </r>
  <r>
    <s v="RCF Trombay SCU"/>
    <s v="Sulphur Coated Urea(40Kg)"/>
    <s v="WB"/>
    <x v="0"/>
    <s v="Barrackpur - I"/>
    <s v="User Not Mapped"/>
    <s v="User Not Mapped"/>
    <s v="User Not Mapped"/>
    <n v="777445"/>
    <s v="AMIN FERTILIZER"/>
    <s v="Private Retailer"/>
    <s v="7003642822"/>
    <n v="1.28"/>
    <n v="100"/>
    <x v="5"/>
    <m/>
    <s v="2026-01-17"/>
    <s v="223807"/>
    <s v="M.K. Chemical and Fertilizers"/>
    <s v="9051316329"/>
  </r>
  <r>
    <s v="RCF Trombay"/>
    <s v="15-15-15"/>
    <s v="WB"/>
    <x v="0"/>
    <s v="Barrackpur - I"/>
    <s v="User Not Mapped"/>
    <s v="User Not Mapped"/>
    <s v="User Not Mapped"/>
    <n v="777445"/>
    <s v="AMIN FERTILIZER"/>
    <s v="Private Retailer"/>
    <s v="7003642822"/>
    <n v="2.95"/>
    <n v="99"/>
    <x v="5"/>
    <m/>
    <s v="2026-01-18"/>
    <s v="223812"/>
    <s v="M/S. Shyma Krishi B"/>
    <s v="8617629886"/>
  </r>
  <r>
    <s v="RCF Trombay"/>
    <s v="15-15-15"/>
    <s v="WB"/>
    <x v="0"/>
    <s v="Barrackpur - I"/>
    <s v="User Not Mapped"/>
    <s v="User Not Mapped"/>
    <s v="User Not Mapped"/>
    <n v="865241"/>
    <s v="CHANDINI FERTILIZER"/>
    <s v="Private Retailer"/>
    <s v="7890384104"/>
    <n v="0.56000000000000005"/>
    <n v="490"/>
    <x v="6"/>
    <m/>
    <s v="2024-12-23"/>
    <s v="797662"/>
    <s v="KADPUR SKUS LTD"/>
    <s v="9830346319"/>
  </r>
  <r>
    <s v="RCF Import"/>
    <s v="Imp 10-26-26"/>
    <s v="WB"/>
    <x v="0"/>
    <s v="Barrackpur - II"/>
    <s v="User Not Mapped"/>
    <s v="User Not Mapped"/>
    <s v="User Not Mapped"/>
    <n v="226790"/>
    <s v="Maa Krishi Bhandar"/>
    <s v="Private Retailer"/>
    <s v="9836729552"/>
    <n v="1.1000000000000001"/>
    <n v="62"/>
    <x v="2"/>
    <m/>
    <s v="2026-02-24"/>
    <s v="223812"/>
    <s v="M/S. Shyma Krishi B"/>
    <s v="8617629886"/>
  </r>
  <r>
    <s v="RCF Trombay"/>
    <s v="N.C.Urea(45kg)"/>
    <s v="WB"/>
    <x v="0"/>
    <s v="Basirhat - I"/>
    <s v="User Not Mapped"/>
    <s v="User Not Mapped"/>
    <s v="User Not Mapped"/>
    <n v="226501"/>
    <s v="Animesh Dutta"/>
    <s v="Private Retailer"/>
    <s v="8016054579"/>
    <n v="0.76500000000000001"/>
    <n v="89"/>
    <x v="2"/>
    <m/>
    <s v="2026-01-28"/>
    <s v="223811"/>
    <s v="Chanchal Kumar Dey"/>
    <s v="9434616928"/>
  </r>
  <r>
    <s v="RCF Trombay"/>
    <s v="15-15-15"/>
    <s v="WB"/>
    <x v="0"/>
    <s v="Basirhat - I"/>
    <s v="User Not Mapped"/>
    <s v="User Not Mapped"/>
    <s v="User Not Mapped"/>
    <n v="226569"/>
    <s v="Bimal Kumar Mollick"/>
    <s v="Private Retailer"/>
    <s v="9733992427"/>
    <n v="0.44"/>
    <n v="164"/>
    <x v="0"/>
    <m/>
    <s v="2025-11-14"/>
    <s v="268650"/>
    <s v="Barasat Krishi Bipani"/>
    <s v="8336087625"/>
  </r>
  <r>
    <s v="RCF Import"/>
    <s v="Imp 10-26-26"/>
    <s v="WB"/>
    <x v="0"/>
    <s v="Basirhat - I"/>
    <s v="User Not Mapped"/>
    <s v="User Not Mapped"/>
    <s v="User Not Mapped"/>
    <n v="226569"/>
    <s v="Bimal Kumar Mollick"/>
    <s v="Private Retailer"/>
    <s v="9733992427"/>
    <n v="2E-3"/>
    <n v="164"/>
    <x v="0"/>
    <m/>
    <s v="2025-11-14"/>
    <s v="268650"/>
    <s v="Barasat Krishi Bipani"/>
    <s v="8336087625"/>
  </r>
  <r>
    <s v="RCF Trombay"/>
    <s v="15-15-15"/>
    <s v="WB"/>
    <x v="0"/>
    <s v="Basirhat - I"/>
    <s v="User Not Mapped"/>
    <s v="User Not Mapped"/>
    <s v="User Not Mapped"/>
    <n v="226830"/>
    <s v="Mattri Krishi Bhandar"/>
    <s v="Private Retailer"/>
    <s v="9933506961"/>
    <n v="0.5"/>
    <n v="403"/>
    <x v="6"/>
    <m/>
    <s v="2025-03-20"/>
    <s v="281550"/>
    <s v="Prakash Chand Mantri          "/>
    <s v="9474024004"/>
  </r>
  <r>
    <s v="RCF Trombay"/>
    <s v="N.C.Urea(45kg)"/>
    <s v="WB"/>
    <x v="0"/>
    <s v="Basirhat - I"/>
    <s v="User Not Mapped"/>
    <s v="User Not Mapped"/>
    <s v="User Not Mapped"/>
    <n v="382469"/>
    <s v="Sonali Krishi Bipani"/>
    <s v="Private Retailer"/>
    <s v="9732957761"/>
    <n v="0.09"/>
    <n v="158"/>
    <x v="0"/>
    <m/>
    <s v="2025-11-20"/>
    <s v="294884"/>
    <s v="M/S Uttam Kumar Dalal"/>
    <s v="9832231914"/>
  </r>
  <r>
    <s v="RCF Trombay"/>
    <s v="N.C.Urea(45kg)"/>
    <s v="WB"/>
    <x v="0"/>
    <s v="Basirhat - I"/>
    <s v="User Not Mapped"/>
    <s v="User Not Mapped"/>
    <s v="User Not Mapped"/>
    <n v="534608"/>
    <s v="Pinaki Bhowmik"/>
    <s v="Private Retailer"/>
    <s v="9564345551"/>
    <n v="0.01"/>
    <n v="72"/>
    <x v="2"/>
    <m/>
    <s v="2026-02-14"/>
    <s v="281511"/>
    <s v="Malakshmi Krishi Bhandar      "/>
    <s v="9800561868"/>
  </r>
  <r>
    <s v="RCF Trombay"/>
    <s v="15-15-15"/>
    <s v="WB"/>
    <x v="0"/>
    <s v="Basirhat - I"/>
    <s v="User Not Mapped"/>
    <s v="User Not Mapped"/>
    <s v="User Not Mapped"/>
    <n v="534608"/>
    <s v="Pinaki Bhowmik"/>
    <s v="Private Retailer"/>
    <s v="9564345551"/>
    <n v="5.5"/>
    <n v="49"/>
    <x v="1"/>
    <m/>
    <s v="2026-03-09"/>
    <s v="281511"/>
    <s v="Malakshmi Krishi Bhandar      "/>
    <s v="9800561868"/>
  </r>
  <r>
    <s v="RCF Thal"/>
    <s v="N.C.Urea(45kg)"/>
    <s v="WB"/>
    <x v="0"/>
    <s v="Basirhat - I"/>
    <s v="User Not Mapped"/>
    <s v="User Not Mapped"/>
    <s v="User Not Mapped"/>
    <n v="534608"/>
    <s v="Pinaki Bhowmik"/>
    <s v="Private Retailer"/>
    <s v="9564345551"/>
    <n v="5.085"/>
    <n v="76"/>
    <x v="2"/>
    <m/>
    <s v="2026-02-10"/>
    <s v="223812"/>
    <s v="M/S. Shyma Krishi B"/>
    <s v="8617629886"/>
  </r>
  <r>
    <s v="RCF Trombay"/>
    <s v="15-15-15"/>
    <s v="WB"/>
    <x v="0"/>
    <s v="Basirhat - I"/>
    <s v="User Not Mapped"/>
    <s v="User Not Mapped"/>
    <s v="User Not Mapped"/>
    <n v="534608"/>
    <s v="Pinaki Bhowmik"/>
    <s v="Private Retailer"/>
    <s v="9564345551"/>
    <n v="0.75"/>
    <n v="98"/>
    <x v="5"/>
    <m/>
    <s v="2026-01-19"/>
    <s v="281511"/>
    <s v="Malakshmi Krishi Bhandar      "/>
    <s v="9800561868"/>
  </r>
  <r>
    <s v="RCF Import"/>
    <s v="MOP"/>
    <s v="WB"/>
    <x v="0"/>
    <s v="Basirhat - I"/>
    <s v="User Not Mapped"/>
    <s v="User Not Mapped"/>
    <s v="User Not Mapped"/>
    <n v="538246"/>
    <s v="Debabrata Kundu"/>
    <s v="Private Retailer"/>
    <s v="9002920606"/>
    <n v="0.35"/>
    <n v="68"/>
    <x v="2"/>
    <m/>
    <s v="2026-02-18"/>
    <s v="223812"/>
    <s v="M/S. Shyma Krishi B"/>
    <s v="8617629886"/>
  </r>
  <r>
    <s v="RCF Trombay"/>
    <s v="15-15-15"/>
    <s v="WB"/>
    <x v="0"/>
    <s v="Basirhat - I"/>
    <s v="User Not Mapped"/>
    <s v="User Not Mapped"/>
    <s v="User Not Mapped"/>
    <n v="553284"/>
    <s v="Urmila Yeasmin"/>
    <s v="Private Retailer"/>
    <s v="6296627171"/>
    <n v="5.4989999999999997"/>
    <n v="61"/>
    <x v="2"/>
    <m/>
    <s v="2026-02-25"/>
    <s v="281511"/>
    <s v="Malakshmi Krishi Bhandar      "/>
    <s v="9800561868"/>
  </r>
  <r>
    <s v="RCF Trombay"/>
    <s v="N.C.Urea(45kg)"/>
    <s v="WB"/>
    <x v="0"/>
    <s v="Basirhat - I"/>
    <s v="User Not Mapped"/>
    <s v="User Not Mapped"/>
    <s v="User Not Mapped"/>
    <n v="632952"/>
    <s v="TAPAN KUMAR DAS"/>
    <s v="Private Retailer"/>
    <s v="7797535679"/>
    <n v="0.155"/>
    <n v="50"/>
    <x v="1"/>
    <m/>
    <s v="2026-03-08"/>
    <s v="1048909"/>
    <s v="B K ROY AND COMPANY"/>
    <s v="9734516484"/>
  </r>
  <r>
    <s v="RCF Thal"/>
    <s v="N.C.Urea(45kg)"/>
    <s v="WB"/>
    <x v="0"/>
    <s v="Basirhat - I"/>
    <s v="User Not Mapped"/>
    <s v="User Not Mapped"/>
    <s v="User Not Mapped"/>
    <n v="632952"/>
    <s v="TAPAN KUMAR DAS"/>
    <s v="Private Retailer"/>
    <s v="7797535679"/>
    <n v="5.0000000000000001E-3"/>
    <n v="137"/>
    <x v="0"/>
    <m/>
    <s v="2025-12-11"/>
    <s v="1048909"/>
    <s v="B K ROY AND COMPANY"/>
    <s v="9734516484"/>
  </r>
  <r>
    <s v="RCF Import"/>
    <s v="Imp 10-26-26"/>
    <s v="WB"/>
    <x v="0"/>
    <s v="Basirhat - I"/>
    <s v="User Not Mapped"/>
    <s v="User Not Mapped"/>
    <s v="User Not Mapped"/>
    <n v="632952"/>
    <s v="TAPAN KUMAR DAS"/>
    <s v="Private Retailer"/>
    <s v="7797535679"/>
    <n v="2.85"/>
    <n v="18"/>
    <x v="4"/>
    <m/>
    <s v="2026-04-09"/>
    <s v="1048909"/>
    <s v="B K ROY AND COMPANY"/>
    <s v="9734516484"/>
  </r>
  <r>
    <s v="RCF Trombay"/>
    <s v="15-15-15"/>
    <s v="WB"/>
    <x v="0"/>
    <s v="Basirhat - I"/>
    <s v="User Not Mapped"/>
    <s v="User Not Mapped"/>
    <s v="User Not Mapped"/>
    <n v="632952"/>
    <s v="TAPAN KUMAR DAS"/>
    <s v="Private Retailer"/>
    <s v="7797535679"/>
    <n v="3"/>
    <n v="18"/>
    <x v="4"/>
    <m/>
    <s v="2026-04-09"/>
    <s v="1048909"/>
    <s v="B K ROY AND COMPANY"/>
    <s v="9734516484"/>
  </r>
  <r>
    <s v="RCF Import"/>
    <s v="MOP"/>
    <s v="WB"/>
    <x v="0"/>
    <s v="Basirhat - I"/>
    <s v="User Not Mapped"/>
    <s v="User Not Mapped"/>
    <s v="User Not Mapped"/>
    <n v="632952"/>
    <s v="TAPAN KUMAR DAS"/>
    <s v="Private Retailer"/>
    <s v="7797535679"/>
    <n v="1"/>
    <n v="50"/>
    <x v="1"/>
    <m/>
    <s v="2026-03-08"/>
    <s v="1048909"/>
    <s v="B K ROY AND COMPANY"/>
    <s v="9734516484"/>
  </r>
  <r>
    <s v="RCF Trombay"/>
    <s v="15-15-15"/>
    <s v="WB"/>
    <x v="0"/>
    <s v="Basirhat - I"/>
    <s v="User Not Mapped"/>
    <s v="User Not Mapped"/>
    <s v="User Not Mapped"/>
    <n v="632952"/>
    <s v="TAPAN KUMAR DAS"/>
    <s v="Private Retailer"/>
    <s v="7797535679"/>
    <n v="0.65"/>
    <n v="50"/>
    <x v="1"/>
    <m/>
    <s v="2026-03-08"/>
    <s v="1048909"/>
    <s v="B K ROY AND COMPANY"/>
    <s v="9734516484"/>
  </r>
  <r>
    <s v="RCF Import"/>
    <s v="MOP"/>
    <s v="WB"/>
    <x v="0"/>
    <s v="Basirhat - I"/>
    <s v="User Not Mapped"/>
    <s v="User Not Mapped"/>
    <s v="User Not Mapped"/>
    <n v="632952"/>
    <s v="TAPAN KUMAR DAS"/>
    <s v="Private Retailer"/>
    <s v="7797535679"/>
    <n v="1.35"/>
    <n v="68"/>
    <x v="2"/>
    <m/>
    <s v="2026-02-18"/>
    <s v="1048909"/>
    <s v="B K ROY AND COMPANY"/>
    <s v="9734516484"/>
  </r>
  <r>
    <s v="RCF Thal"/>
    <s v="N.C.Urea(45kg)"/>
    <s v="WB"/>
    <x v="0"/>
    <s v="Basirhat - I"/>
    <s v="User Not Mapped"/>
    <s v="User Not Mapped"/>
    <s v="User Not Mapped"/>
    <n v="668530"/>
    <s v="M/s Bhattacharyya Krishi Bhand"/>
    <s v="Private Retailer"/>
    <s v="9647090898"/>
    <n v="4.7249999999999996"/>
    <n v="47"/>
    <x v="1"/>
    <m/>
    <s v="2026-03-11"/>
    <s v="223812"/>
    <s v="M/S. Shyma Krishi B"/>
    <s v="8617629886"/>
  </r>
  <r>
    <s v="RCF Trombay"/>
    <s v="N.C.Urea(45kg)"/>
    <s v="WB"/>
    <x v="0"/>
    <s v="Basirhat - I"/>
    <s v="User Not Mapped"/>
    <s v="User Not Mapped"/>
    <s v="User Not Mapped"/>
    <n v="668530"/>
    <s v="M/s Bhattacharyya Krishi Bhand"/>
    <s v="Private Retailer"/>
    <s v="9647090898"/>
    <n v="0.45"/>
    <n v="89"/>
    <x v="2"/>
    <m/>
    <s v="2026-01-28"/>
    <s v="223811"/>
    <s v="Chanchal Kumar Dey"/>
    <s v="9434616928"/>
  </r>
  <r>
    <s v="RCF Import"/>
    <s v="MOP"/>
    <s v="WB"/>
    <x v="0"/>
    <s v="Basirhat - I"/>
    <s v="User Not Mapped"/>
    <s v="User Not Mapped"/>
    <s v="User Not Mapped"/>
    <n v="668530"/>
    <s v="M/s Bhattacharyya Krishi Bhand"/>
    <s v="Private Retailer"/>
    <s v="9647090898"/>
    <n v="2.25"/>
    <n v="68"/>
    <x v="2"/>
    <m/>
    <s v="2026-02-18"/>
    <s v="223812"/>
    <s v="M/S. Shyma Krishi B"/>
    <s v="8617629886"/>
  </r>
  <r>
    <s v="RCF Import"/>
    <s v="MOP"/>
    <s v="WB"/>
    <x v="0"/>
    <s v="Basirhat - I"/>
    <s v="User Not Mapped"/>
    <s v="User Not Mapped"/>
    <s v="User Not Mapped"/>
    <n v="864308"/>
    <s v="Jagabhandhu Adhikhari"/>
    <s v="Private Retailer"/>
    <s v="8768955472"/>
    <n v="3"/>
    <n v="30"/>
    <x v="4"/>
    <m/>
    <s v="2026-03-28"/>
    <s v="1086694"/>
    <s v="Ram prasad Mondal"/>
    <s v="9609464662"/>
  </r>
  <r>
    <s v="RCF Thal"/>
    <s v="N.C.Urea(45kg)"/>
    <s v="WB"/>
    <x v="0"/>
    <s v="Basirhat - I"/>
    <s v="User Not Mapped"/>
    <s v="User Not Mapped"/>
    <s v="User Not Mapped"/>
    <n v="917256"/>
    <s v="Seuli Krishi Bipani"/>
    <s v="Private Retailer"/>
    <s v="7718101080"/>
    <n v="0.40500000000000003"/>
    <n v="423"/>
    <x v="6"/>
    <m/>
    <s v="2025-02-28"/>
    <s v="281511"/>
    <s v="Malakshmi Krishi Bhandar      "/>
    <s v="9800561868"/>
  </r>
  <r>
    <s v="RCF Trombay"/>
    <s v="15-15-15"/>
    <s v="WB"/>
    <x v="0"/>
    <s v="Basirhat - I"/>
    <s v="User Not Mapped"/>
    <s v="User Not Mapped"/>
    <s v="User Not Mapped"/>
    <n v="953355"/>
    <s v="Soumik Krishi Bhander"/>
    <s v="Private Retailer"/>
    <s v="9775163064"/>
    <n v="0.35"/>
    <n v="62"/>
    <x v="2"/>
    <m/>
    <s v="2026-02-24"/>
    <s v="505050"/>
    <s v="M/S Abesh Dutta"/>
    <s v="7063115250"/>
  </r>
  <r>
    <s v="RCF Thal"/>
    <s v="N.C.Urea(45kg)"/>
    <s v="WB"/>
    <x v="0"/>
    <s v="Basirhat - I"/>
    <s v="User Not Mapped"/>
    <s v="User Not Mapped"/>
    <s v="User Not Mapped"/>
    <n v="953355"/>
    <s v="Soumik Krishi Bhander"/>
    <s v="Private Retailer"/>
    <s v="9775163064"/>
    <n v="1.35"/>
    <n v="40"/>
    <x v="1"/>
    <m/>
    <s v="2026-03-18"/>
    <s v="505050"/>
    <s v="M/S Abesh Dutta"/>
    <s v="7063115250"/>
  </r>
  <r>
    <s v="RCF Trombay"/>
    <s v="N.C.Urea(45kg)"/>
    <s v="WB"/>
    <x v="0"/>
    <s v="Basirhat - I"/>
    <s v="User Not Mapped"/>
    <s v="User Not Mapped"/>
    <s v="User Not Mapped"/>
    <n v="961226"/>
    <s v="Firoj krishi bhander"/>
    <s v="Private Retailer"/>
    <s v="9775503010"/>
    <n v="5.49"/>
    <n v="73"/>
    <x v="2"/>
    <m/>
    <s v="2026-02-13"/>
    <s v="268815"/>
    <s v="Chitta Ranjan Dey"/>
    <s v="9434744870"/>
  </r>
  <r>
    <s v="RCF Trombay"/>
    <s v="N.C.Urea(45kg)"/>
    <s v="WB"/>
    <x v="0"/>
    <s v="Basirhat - I"/>
    <s v="User Not Mapped"/>
    <s v="User Not Mapped"/>
    <s v="User Not Mapped"/>
    <n v="1018669"/>
    <s v="ABHUL OHID"/>
    <s v="Private Retailer"/>
    <s v="9851758345"/>
    <n v="2.25"/>
    <n v="73"/>
    <x v="2"/>
    <m/>
    <s v="2026-02-13"/>
    <s v="268815"/>
    <s v="Chitta Ranjan Dey"/>
    <s v="9434744870"/>
  </r>
  <r>
    <s v="RCF Trombay"/>
    <s v="15-15-15"/>
    <s v="WB"/>
    <x v="0"/>
    <s v="Basirhat - I"/>
    <s v="User Not Mapped"/>
    <s v="User Not Mapped"/>
    <s v="User Not Mapped"/>
    <n v="1368120"/>
    <s v="M/S RAHAMANIA KRISHI BHANDER"/>
    <s v="Private Retailer"/>
    <s v="9051825410"/>
    <n v="2.5"/>
    <n v="75"/>
    <x v="2"/>
    <m/>
    <s v="2026-02-11"/>
    <s v="223817"/>
    <s v="National Supply Agency"/>
    <s v="9564505288"/>
  </r>
  <r>
    <s v="RCF Thal"/>
    <s v="N.C.Urea(45kg)"/>
    <s v="WB"/>
    <x v="0"/>
    <s v="Basirhat - II"/>
    <s v="User Not Mapped"/>
    <s v="User Not Mapped"/>
    <s v="User Not Mapped"/>
    <n v="226446"/>
    <s v="Abdus Salam"/>
    <s v="Private Retailer"/>
    <s v="8116777334"/>
    <n v="0.315"/>
    <n v="150"/>
    <x v="0"/>
    <m/>
    <s v="2025-11-28"/>
    <s v="223812"/>
    <s v="M/S. Shyma Krishi B"/>
    <s v="8617629886"/>
  </r>
  <r>
    <s v="RCF Trombay"/>
    <s v="15-15-15"/>
    <s v="WB"/>
    <x v="0"/>
    <s v="Basirhat - II"/>
    <s v="User Not Mapped"/>
    <s v="User Not Mapped"/>
    <s v="User Not Mapped"/>
    <n v="226895"/>
    <s v="Mondal Fertilizer"/>
    <s v="Private Retailer"/>
    <s v="9732913195"/>
    <n v="0.8"/>
    <n v="504"/>
    <x v="6"/>
    <m/>
    <s v="2024-12-09"/>
    <s v="289635"/>
    <s v="Sarbaranjan Sadhukhan"/>
    <s v="7384683698"/>
  </r>
  <r>
    <s v="RCF Thal"/>
    <s v="N.C.Urea(45kg)"/>
    <s v="WB"/>
    <x v="0"/>
    <s v="Basirhat - II"/>
    <s v="User Not Mapped"/>
    <s v="User Not Mapped"/>
    <s v="User Not Mapped"/>
    <n v="227092"/>
    <s v="Rahaman Krishi Bhandar"/>
    <s v="Private Retailer"/>
    <s v="9733596602"/>
    <n v="0.99"/>
    <n v="423"/>
    <x v="6"/>
    <m/>
    <s v="2025-02-28"/>
    <s v="281511"/>
    <s v="Malakshmi Krishi Bhandar      "/>
    <s v="9800561868"/>
  </r>
  <r>
    <s v="RCF Thal"/>
    <s v="N.C.Urea(45kg)"/>
    <s v="WB"/>
    <x v="0"/>
    <s v="Basirhat - II"/>
    <s v="User Not Mapped"/>
    <s v="User Not Mapped"/>
    <s v="User Not Mapped"/>
    <n v="227092"/>
    <s v="Rahaman Krishi Bhandar"/>
    <s v="Private Retailer"/>
    <s v="9733596602"/>
    <n v="0.32500000000000001"/>
    <n v="531"/>
    <x v="6"/>
    <m/>
    <s v="2024-11-12"/>
    <s v="668032"/>
    <s v="MAA KRISHI BIPONI"/>
    <s v="9564322993"/>
  </r>
  <r>
    <s v="RCF Trombay"/>
    <s v="N.C.Urea(45kg)"/>
    <s v="WB"/>
    <x v="0"/>
    <s v="Basirhat - II"/>
    <s v="User Not Mapped"/>
    <s v="User Not Mapped"/>
    <s v="User Not Mapped"/>
    <n v="323600"/>
    <s v="Emarat Ali"/>
    <s v="Private Retailer"/>
    <s v="9647706793"/>
    <n v="3.0150000000000001"/>
    <n v="107"/>
    <x v="5"/>
    <m/>
    <s v="2026-01-10"/>
    <s v="223812"/>
    <s v="M/S. Shyma Krishi B"/>
    <s v="8617629886"/>
  </r>
  <r>
    <s v="RCF Trombay"/>
    <s v="15-15-15"/>
    <s v="WB"/>
    <x v="0"/>
    <s v="Basirhat - II"/>
    <s v="User Not Mapped"/>
    <s v="User Not Mapped"/>
    <s v="User Not Mapped"/>
    <n v="331486"/>
    <s v="Md Jiarul Haque Baidya"/>
    <s v="Private Retailer"/>
    <s v="6294339460"/>
    <n v="6.8"/>
    <n v="98"/>
    <x v="5"/>
    <m/>
    <s v="2026-01-19"/>
    <s v="281522"/>
    <s v="N.C. Das and Co."/>
    <s v="6297603863"/>
  </r>
  <r>
    <s v="RCF Thal"/>
    <s v="N.C.Urea(45kg)"/>
    <s v="WB"/>
    <x v="0"/>
    <s v="Basirhat - II"/>
    <s v="User Not Mapped"/>
    <s v="User Not Mapped"/>
    <s v="User Not Mapped"/>
    <n v="331486"/>
    <s v="Md Jiarul Haque Baidya"/>
    <s v="Private Retailer"/>
    <s v="6294339460"/>
    <n v="12.15"/>
    <n v="98"/>
    <x v="5"/>
    <m/>
    <s v="2026-01-19"/>
    <s v="281522"/>
    <s v="N.C. Das and Co."/>
    <s v="6297603863"/>
  </r>
  <r>
    <s v="RCF Trombay"/>
    <s v="15-15-15"/>
    <s v="WB"/>
    <x v="0"/>
    <s v="Basirhat - II"/>
    <s v="User Not Mapped"/>
    <s v="User Not Mapped"/>
    <s v="User Not Mapped"/>
    <n v="411239"/>
    <s v="Saokat Mandal"/>
    <s v="Private Retailer"/>
    <s v="9732931470"/>
    <n v="0.155"/>
    <n v="545"/>
    <x v="6"/>
    <m/>
    <s v="2024-10-29"/>
    <s v="289635"/>
    <s v="Sarbaranjan Sadhukhan"/>
    <s v="7384683698"/>
  </r>
  <r>
    <s v="RCF Trombay"/>
    <s v="15-15-15"/>
    <s v="WB"/>
    <x v="0"/>
    <s v="Basirhat - II"/>
    <s v="User Not Mapped"/>
    <s v="User Not Mapped"/>
    <s v="User Not Mapped"/>
    <n v="496077"/>
    <s v="ABDUL RASID"/>
    <s v="Private Retailer"/>
    <s v="9735263472"/>
    <n v="0.05"/>
    <n v="828"/>
    <x v="7"/>
    <m/>
    <s v="2024-01-20"/>
    <s v="405249"/>
    <s v="Saha Krishi Bhandar"/>
    <s v="9734801636"/>
  </r>
  <r>
    <s v="RCF Thal"/>
    <s v="N.C.Urea(45kg)"/>
    <s v="WB"/>
    <x v="0"/>
    <s v="Basirhat - II"/>
    <s v="User Not Mapped"/>
    <s v="User Not Mapped"/>
    <s v="User Not Mapped"/>
    <n v="520403"/>
    <s v="Altab Baidya"/>
    <s v="Private Retailer"/>
    <s v="9091654439"/>
    <n v="5.49"/>
    <n v="45"/>
    <x v="1"/>
    <m/>
    <s v="2026-03-13"/>
    <s v="1192317"/>
    <s v="M/S GHOSH FERTILIZER"/>
    <s v="9064992112"/>
  </r>
  <r>
    <s v="RCF Thal"/>
    <s v="N.C.Urea(45kg)"/>
    <s v="WB"/>
    <x v="0"/>
    <s v="Basirhat - II"/>
    <s v="User Not Mapped"/>
    <s v="User Not Mapped"/>
    <s v="User Not Mapped"/>
    <n v="620506"/>
    <s v="MD. ANARUL"/>
    <s v="Private Retailer"/>
    <s v="8927515921"/>
    <n v="10.98"/>
    <n v="39"/>
    <x v="1"/>
    <m/>
    <s v="2026-03-19"/>
    <s v="281522"/>
    <s v="N.C. Das and Co."/>
    <s v="6297603863"/>
  </r>
  <r>
    <s v="RCF Thal"/>
    <s v="N.C.Urea(45kg)"/>
    <s v="WB"/>
    <x v="0"/>
    <s v="Basirhat - II"/>
    <s v="User Not Mapped"/>
    <s v="User Not Mapped"/>
    <s v="User Not Mapped"/>
    <n v="620506"/>
    <s v="MD. ANARUL"/>
    <s v="Private Retailer"/>
    <s v="8927515921"/>
    <n v="5.04"/>
    <n v="68"/>
    <x v="2"/>
    <m/>
    <s v="2026-02-18"/>
    <s v="281522"/>
    <s v="N.C. Das and Co."/>
    <s v="6297603863"/>
  </r>
  <r>
    <s v="RCF Trombay"/>
    <s v="15-15-15"/>
    <s v="WB"/>
    <x v="0"/>
    <s v="Basirhat - II"/>
    <s v="User Not Mapped"/>
    <s v="User Not Mapped"/>
    <s v="User Not Mapped"/>
    <n v="620506"/>
    <s v="MD. ANARUL"/>
    <s v="Private Retailer"/>
    <s v="8927515921"/>
    <n v="4.05"/>
    <n v="68"/>
    <x v="2"/>
    <m/>
    <s v="2026-02-18"/>
    <s v="281522"/>
    <s v="N.C. Das and Co."/>
    <s v="6297603863"/>
  </r>
  <r>
    <s v="RCF Trombay"/>
    <s v="N.C.Urea(45kg)"/>
    <s v="WB"/>
    <x v="0"/>
    <s v="Basirhat - II"/>
    <s v="User Not Mapped"/>
    <s v="User Not Mapped"/>
    <s v="User Not Mapped"/>
    <n v="953438"/>
    <s v="NASIRUDDIN MONDAL"/>
    <s v="Private Retailer"/>
    <s v="8001245079"/>
    <n v="5.49"/>
    <n v="31"/>
    <x v="1"/>
    <m/>
    <s v="2026-03-27"/>
    <s v="289634"/>
    <s v="Sankar Lal Saha"/>
    <s v="9830026138"/>
  </r>
  <r>
    <s v="RCF Trombay"/>
    <s v="N.C.Urea(45kg)"/>
    <s v="WB"/>
    <x v="0"/>
    <s v="Basirhat - II"/>
    <s v="User Not Mapped"/>
    <s v="User Not Mapped"/>
    <s v="User Not Mapped"/>
    <n v="1031580"/>
    <s v="ILA  DUTTA"/>
    <s v="Private Retailer"/>
    <s v="7797515881"/>
    <n v="0.54"/>
    <n v="95"/>
    <x v="5"/>
    <m/>
    <s v="2026-01-22"/>
    <s v="502354"/>
    <s v="Joy Shankar Dutta  Sons Ferti"/>
    <s v="9433002237"/>
  </r>
  <r>
    <s v="RCF Import"/>
    <s v="Imp 10-26-26"/>
    <s v="WB"/>
    <x v="0"/>
    <s v="Basirhat - II"/>
    <s v="User Not Mapped"/>
    <s v="User Not Mapped"/>
    <s v="User Not Mapped"/>
    <n v="1448246"/>
    <s v="MAA TARA KRISHI BHANDAR"/>
    <s v="Private Retailer"/>
    <s v="7908555147"/>
    <n v="5.5"/>
    <n v="56"/>
    <x v="1"/>
    <m/>
    <s v="2026-03-02"/>
    <s v="281511"/>
    <s v="Malakshmi Krishi Bhandar      "/>
    <s v="9800561868"/>
  </r>
  <r>
    <s v="RCF Trombay"/>
    <s v="15-15-15"/>
    <s v="WB"/>
    <x v="0"/>
    <s v="Basirhat - II"/>
    <s v="User Not Mapped"/>
    <s v="User Not Mapped"/>
    <s v="User Not Mapped"/>
    <n v="1489726"/>
    <s v="SOHAG KRISHE VENDAR"/>
    <s v="Private Retailer"/>
    <s v="9614423910"/>
    <n v="1"/>
    <n v="163"/>
    <x v="0"/>
    <m/>
    <s v="2025-11-15"/>
    <s v="223812"/>
    <s v="M/S. Shyma Krishi B"/>
    <s v="8617629886"/>
  </r>
  <r>
    <s v="RCF Trombay"/>
    <s v="15-15-15"/>
    <s v="WB"/>
    <x v="0"/>
    <s v="Bongaon"/>
    <s v="User Not Mapped"/>
    <s v="User Not Mapped"/>
    <s v="User Not Mapped"/>
    <n v="226596"/>
    <s v="Ghosh fertilizer"/>
    <s v="Private Retailer"/>
    <s v="9333868034"/>
    <n v="1.75"/>
    <n v="62"/>
    <x v="2"/>
    <m/>
    <s v="2026-02-24"/>
    <s v="268815"/>
    <s v="Chitta Ranjan Dey"/>
    <s v="9434744870"/>
  </r>
  <r>
    <s v="RCF Import"/>
    <s v="Imp 10-26-26"/>
    <s v="WB"/>
    <x v="0"/>
    <s v="Bongaon"/>
    <s v="User Not Mapped"/>
    <s v="User Not Mapped"/>
    <s v="User Not Mapped"/>
    <n v="226596"/>
    <s v="Ghosh fertilizer"/>
    <s v="Private Retailer"/>
    <s v="9333868034"/>
    <n v="0.95"/>
    <n v="152"/>
    <x v="0"/>
    <m/>
    <s v="2025-11-26"/>
    <s v="1107087"/>
    <s v="SWAPAN GHOSH"/>
    <s v="9333868034"/>
  </r>
  <r>
    <s v="RCF Thal"/>
    <s v="N.C.Urea(45kg)"/>
    <s v="WB"/>
    <x v="0"/>
    <s v="Bongaon"/>
    <s v="User Not Mapped"/>
    <s v="User Not Mapped"/>
    <s v="User Not Mapped"/>
    <n v="226596"/>
    <s v="Ghosh fertilizer"/>
    <s v="Private Retailer"/>
    <s v="9333868034"/>
    <n v="9.99"/>
    <n v="20"/>
    <x v="4"/>
    <m/>
    <s v="2026-04-07"/>
    <s v="268815"/>
    <s v="Chitta Ranjan Dey"/>
    <s v="9434744870"/>
  </r>
  <r>
    <s v="RCF Thal"/>
    <s v="N.C.Urea(45kg)"/>
    <s v="WB"/>
    <x v="0"/>
    <s v="Bongaon"/>
    <s v="User Not Mapped"/>
    <s v="User Not Mapped"/>
    <s v="User Not Mapped"/>
    <n v="226596"/>
    <s v="Ghosh fertilizer"/>
    <s v="Private Retailer"/>
    <s v="9333868034"/>
    <n v="7.47"/>
    <n v="46"/>
    <x v="1"/>
    <m/>
    <s v="2026-03-12"/>
    <s v="268815"/>
    <s v="Chitta Ranjan Dey"/>
    <s v="9434744870"/>
  </r>
  <r>
    <s v="RCF Import"/>
    <s v="Imp 10-26-26"/>
    <s v="WB"/>
    <x v="0"/>
    <s v="Bongaon"/>
    <s v="User Not Mapped"/>
    <s v="User Not Mapped"/>
    <s v="User Not Mapped"/>
    <n v="226596"/>
    <s v="Ghosh fertilizer"/>
    <s v="Private Retailer"/>
    <s v="9333868034"/>
    <n v="11"/>
    <n v="28"/>
    <x v="4"/>
    <m/>
    <s v="2026-03-30"/>
    <s v="268815"/>
    <s v="Chitta Ranjan Dey"/>
    <s v="9434744870"/>
  </r>
  <r>
    <s v="RCF Import"/>
    <s v="MOP"/>
    <s v="WB"/>
    <x v="0"/>
    <s v="Bongaon"/>
    <s v="User Not Mapped"/>
    <s v="User Not Mapped"/>
    <s v="User Not Mapped"/>
    <n v="227029"/>
    <s v="Natagram Skus Ltd"/>
    <s v="PACS"/>
    <s v="9733630445"/>
    <n v="4.5999999999999996"/>
    <n v="68"/>
    <x v="2"/>
    <m/>
    <s v="2026-02-18"/>
    <s v="281511"/>
    <s v="Malakshmi Krishi Bhandar      "/>
    <s v="9800561868"/>
  </r>
  <r>
    <s v="RCF Trombay"/>
    <s v="15-15-15"/>
    <s v="WB"/>
    <x v="0"/>
    <s v="Bongaon"/>
    <s v="User Not Mapped"/>
    <s v="User Not Mapped"/>
    <s v="User Not Mapped"/>
    <n v="227199"/>
    <s v="Simulia Nischintapur Skus Ltd"/>
    <s v="PACS"/>
    <s v="9733600404"/>
    <n v="5.0000000000000001E-3"/>
    <n v="87"/>
    <x v="2"/>
    <m/>
    <s v="2026-01-30"/>
    <s v="281525"/>
    <s v="M/S Sariful Haque"/>
    <s v="7890901060"/>
  </r>
  <r>
    <s v="RCF Import"/>
    <s v="MOP"/>
    <s v="WB"/>
    <x v="0"/>
    <s v="Bongaon"/>
    <s v="User Not Mapped"/>
    <s v="User Not Mapped"/>
    <s v="User Not Mapped"/>
    <n v="227225"/>
    <s v="Sujauddin Mondal"/>
    <s v="Private Retailer"/>
    <s v="7319096635"/>
    <n v="0.25"/>
    <n v="371"/>
    <x v="6"/>
    <m/>
    <s v="2025-04-21"/>
    <s v="1466654"/>
    <s v="HIRANMOY SARKAR"/>
    <s v="9733584729"/>
  </r>
  <r>
    <s v="RCF Import"/>
    <s v="MOP"/>
    <s v="WB"/>
    <x v="0"/>
    <s v="Bongaon"/>
    <s v="User Not Mapped"/>
    <s v="User Not Mapped"/>
    <s v="User Not Mapped"/>
    <n v="227225"/>
    <s v="Sujauddin Mondal"/>
    <s v="Private Retailer"/>
    <s v="7319096635"/>
    <n v="0.25"/>
    <n v="420"/>
    <x v="6"/>
    <m/>
    <s v="2025-03-03"/>
    <s v="1054125"/>
    <s v="Mondal Stores"/>
    <s v="9749959358"/>
  </r>
  <r>
    <s v="RCF Thal"/>
    <s v="N.C.Urea(45kg)"/>
    <s v="WB"/>
    <x v="0"/>
    <s v="Bongaon"/>
    <s v="User Not Mapped"/>
    <s v="User Not Mapped"/>
    <s v="User Not Mapped"/>
    <n v="227230"/>
    <s v="Sukumar Pal"/>
    <s v="Private Retailer"/>
    <s v="9932909595"/>
    <n v="0.02"/>
    <n v="70"/>
    <x v="2"/>
    <m/>
    <s v="2026-02-16"/>
    <s v="328271"/>
    <s v="Amal Sales Corporation"/>
    <s v="7908257456"/>
  </r>
  <r>
    <s v="RCF Trombay"/>
    <s v="N.C.Urea(45kg)"/>
    <s v="WB"/>
    <x v="0"/>
    <s v="Bongaon"/>
    <s v="User Not Mapped"/>
    <s v="User Not Mapped"/>
    <s v="User Not Mapped"/>
    <n v="227230"/>
    <s v="Sukumar Pal"/>
    <s v="Private Retailer"/>
    <s v="9932909595"/>
    <n v="0.315"/>
    <n v="56"/>
    <x v="1"/>
    <m/>
    <s v="2026-03-02"/>
    <s v="223817"/>
    <s v="National Supply Agency"/>
    <s v="9564505288"/>
  </r>
  <r>
    <s v="RCF Trombay"/>
    <s v="15-15-15"/>
    <s v="WB"/>
    <x v="0"/>
    <s v="Bongaon"/>
    <s v="User Not Mapped"/>
    <s v="User Not Mapped"/>
    <s v="User Not Mapped"/>
    <n v="227230"/>
    <s v="Sukumar Pal"/>
    <s v="Private Retailer"/>
    <s v="9932909595"/>
    <n v="0.02"/>
    <n v="70"/>
    <x v="2"/>
    <m/>
    <s v="2026-02-16"/>
    <s v="328271"/>
    <s v="Amal Sales Corporation"/>
    <s v="7908257456"/>
  </r>
  <r>
    <s v="RCF Thal"/>
    <s v="N.C.Urea(45kg)"/>
    <s v="WB"/>
    <x v="0"/>
    <s v="Bongaon"/>
    <s v="User Not Mapped"/>
    <s v="User Not Mapped"/>
    <s v="User Not Mapped"/>
    <n v="227230"/>
    <s v="Sukumar Pal"/>
    <s v="Private Retailer"/>
    <s v="9932909595"/>
    <n v="5.49"/>
    <n v="29"/>
    <x v="4"/>
    <m/>
    <s v="2026-03-29"/>
    <s v="223817"/>
    <s v="National Supply Agency"/>
    <s v="9564505288"/>
  </r>
  <r>
    <s v="RCF Import"/>
    <s v="MOP"/>
    <s v="WB"/>
    <x v="0"/>
    <s v="Bongaon"/>
    <s v="User Not Mapped"/>
    <s v="User Not Mapped"/>
    <s v="User Not Mapped"/>
    <n v="227230"/>
    <s v="Sukumar Pal"/>
    <s v="Private Retailer"/>
    <s v="9932909595"/>
    <n v="3.05"/>
    <n v="69"/>
    <x v="2"/>
    <m/>
    <s v="2026-02-17"/>
    <s v="328271"/>
    <s v="Amal Sales Corporation"/>
    <s v="7908257456"/>
  </r>
  <r>
    <s v="RCF Import"/>
    <s v="Imp 10-26-26"/>
    <s v="WB"/>
    <x v="0"/>
    <s v="Bongaon"/>
    <s v="User Not Mapped"/>
    <s v="User Not Mapped"/>
    <s v="User Not Mapped"/>
    <n v="270847"/>
    <s v="Sunil Kumar Mondal"/>
    <s v="Private Retailer"/>
    <s v="8972796298"/>
    <n v="5.5"/>
    <n v="28"/>
    <x v="4"/>
    <m/>
    <s v="2026-03-30"/>
    <s v="268815"/>
    <s v="Chitta Ranjan Dey"/>
    <s v="9434744870"/>
  </r>
  <r>
    <s v="RCF Trombay"/>
    <s v="15-15-15"/>
    <s v="WB"/>
    <x v="0"/>
    <s v="Bongaon"/>
    <s v="User Not Mapped"/>
    <s v="User Not Mapped"/>
    <s v="User Not Mapped"/>
    <n v="270847"/>
    <s v="Sunil Kumar Mondal"/>
    <s v="Private Retailer"/>
    <s v="8972796298"/>
    <n v="5"/>
    <n v="62"/>
    <x v="2"/>
    <m/>
    <s v="2026-02-24"/>
    <s v="268815"/>
    <s v="Chitta Ranjan Dey"/>
    <s v="9434744870"/>
  </r>
  <r>
    <s v="RCF Trombay"/>
    <s v="N.C.Urea(45kg)"/>
    <s v="WB"/>
    <x v="0"/>
    <s v="Bongaon"/>
    <s v="User Not Mapped"/>
    <s v="User Not Mapped"/>
    <s v="User Not Mapped"/>
    <n v="270847"/>
    <s v="Sunil Kumar Mondal"/>
    <s v="Private Retailer"/>
    <s v="8972796298"/>
    <n v="8.19"/>
    <n v="62"/>
    <x v="2"/>
    <m/>
    <s v="2026-02-24"/>
    <s v="268815"/>
    <s v="Chitta Ranjan Dey"/>
    <s v="9434744870"/>
  </r>
  <r>
    <s v="RCF Trombay"/>
    <s v="15-15-15"/>
    <s v="WB"/>
    <x v="0"/>
    <s v="Bongaon"/>
    <s v="User Not Mapped"/>
    <s v="User Not Mapped"/>
    <s v="User Not Mapped"/>
    <n v="270847"/>
    <s v="Sunil Kumar Mondal"/>
    <s v="Private Retailer"/>
    <s v="8972796298"/>
    <n v="0.3"/>
    <n v="70"/>
    <x v="2"/>
    <m/>
    <s v="2026-02-16"/>
    <s v="328271"/>
    <s v="Amal Sales Corporation"/>
    <s v="7908257456"/>
  </r>
  <r>
    <s v="RCF Thal"/>
    <s v="N.C.Urea(45kg)"/>
    <s v="WB"/>
    <x v="0"/>
    <s v="Bongaon"/>
    <s v="User Not Mapped"/>
    <s v="User Not Mapped"/>
    <s v="User Not Mapped"/>
    <n v="270847"/>
    <s v="Sunil Kumar Mondal"/>
    <s v="Private Retailer"/>
    <s v="8972796298"/>
    <n v="9.99"/>
    <n v="20"/>
    <x v="4"/>
    <m/>
    <s v="2026-04-07"/>
    <s v="268815"/>
    <s v="Chitta Ranjan Dey"/>
    <s v="9434744870"/>
  </r>
  <r>
    <s v="RCF Import"/>
    <s v="MOP"/>
    <s v="WB"/>
    <x v="0"/>
    <s v="Bongaon"/>
    <s v="User Not Mapped"/>
    <s v="User Not Mapped"/>
    <s v="User Not Mapped"/>
    <n v="270847"/>
    <s v="Sunil Kumar Mondal"/>
    <s v="Private Retailer"/>
    <s v="8972796298"/>
    <n v="3.95"/>
    <n v="59"/>
    <x v="1"/>
    <m/>
    <s v="2026-02-27"/>
    <s v="268815"/>
    <s v="Chitta Ranjan Dey"/>
    <s v="9434744870"/>
  </r>
  <r>
    <s v="RCF Import"/>
    <s v="MOP"/>
    <s v="WB"/>
    <x v="0"/>
    <s v="Bongaon"/>
    <s v="User Not Mapped"/>
    <s v="User Not Mapped"/>
    <s v="User Not Mapped"/>
    <n v="289616"/>
    <s v="R.G. Enterprise"/>
    <s v="Private Retailer"/>
    <s v="9933457475"/>
    <n v="1.85"/>
    <n v="435"/>
    <x v="6"/>
    <m/>
    <s v="2025-02-16"/>
    <s v="281511"/>
    <s v="Malakshmi Krishi Bhandar      "/>
    <s v="9800561868"/>
  </r>
  <r>
    <s v="RCF Trombay"/>
    <s v="15-15-15"/>
    <s v="WB"/>
    <x v="0"/>
    <s v="Bongaon"/>
    <s v="User Not Mapped"/>
    <s v="User Not Mapped"/>
    <s v="User Not Mapped"/>
    <n v="289616"/>
    <s v="R.G. Enterprise"/>
    <s v="Private Retailer"/>
    <s v="9933457475"/>
    <n v="0.45"/>
    <n v="363"/>
    <x v="3"/>
    <m/>
    <s v="2025-04-29"/>
    <s v="281511"/>
    <s v="Malakshmi Krishi Bhandar      "/>
    <s v="9800561868"/>
  </r>
  <r>
    <s v="RCF Trombay"/>
    <s v="15-15-15"/>
    <s v="WB"/>
    <x v="0"/>
    <s v="Bongaon"/>
    <s v="User Not Mapped"/>
    <s v="User Not Mapped"/>
    <s v="User Not Mapped"/>
    <n v="289619"/>
    <s v="Tarak Chandra Das"/>
    <s v="Private Retailer"/>
    <s v="9734549303"/>
    <n v="0.7"/>
    <n v="70"/>
    <x v="2"/>
    <m/>
    <s v="2026-02-16"/>
    <s v="268815"/>
    <s v="Chitta Ranjan Dey"/>
    <s v="9434744870"/>
  </r>
  <r>
    <s v="RCF Thal"/>
    <s v="N.C.Urea(45kg)"/>
    <s v="WB"/>
    <x v="0"/>
    <s v="Bongaon"/>
    <s v="User Not Mapped"/>
    <s v="User Not Mapped"/>
    <s v="User Not Mapped"/>
    <n v="289619"/>
    <s v="Tarak Chandra Das"/>
    <s v="Private Retailer"/>
    <s v="9734549303"/>
    <n v="6.2549999999999999"/>
    <n v="73"/>
    <x v="2"/>
    <m/>
    <s v="2026-02-13"/>
    <s v="268815"/>
    <s v="Chitta Ranjan Dey"/>
    <s v="9434744870"/>
  </r>
  <r>
    <s v="RCF Thal"/>
    <s v="N.C.Urea(45kg)"/>
    <s v="WB"/>
    <x v="0"/>
    <s v="Bongaon"/>
    <s v="User Not Mapped"/>
    <s v="User Not Mapped"/>
    <s v="User Not Mapped"/>
    <n v="289619"/>
    <s v="Tarak Chandra Das"/>
    <s v="Private Retailer"/>
    <s v="9734549303"/>
    <n v="6.75"/>
    <n v="1"/>
    <x v="4"/>
    <m/>
    <s v="2026-04-26"/>
    <s v="268815"/>
    <s v="Chitta Ranjan Dey"/>
    <s v="9434744870"/>
  </r>
  <r>
    <s v="RCF Thal"/>
    <s v="N.C.Urea(45kg)"/>
    <s v="WB"/>
    <x v="0"/>
    <s v="Bongaon"/>
    <s v="User Not Mapped"/>
    <s v="User Not Mapped"/>
    <s v="User Not Mapped"/>
    <n v="323588"/>
    <s v="Bachhu Gain"/>
    <s v="Private Retailer"/>
    <s v="9733867619"/>
    <n v="4.0049999999999999"/>
    <n v="24"/>
    <x v="4"/>
    <m/>
    <s v="2026-04-03"/>
    <s v="289634"/>
    <s v="Sankar Lal Saha"/>
    <s v="9830026138"/>
  </r>
  <r>
    <s v="RCF Trombay"/>
    <s v="15-15-15"/>
    <s v="WB"/>
    <x v="0"/>
    <s v="Bongaon"/>
    <s v="User Not Mapped"/>
    <s v="User Not Mapped"/>
    <s v="User Not Mapped"/>
    <n v="323620"/>
    <s v="Jaganath Mukhopadyaha"/>
    <s v="Private Retailer"/>
    <s v="9732764229"/>
    <n v="0.25"/>
    <n v="656"/>
    <x v="7"/>
    <m/>
    <s v="2024-07-10"/>
    <s v="223814"/>
    <s v="Loke Nath  Enterprise        "/>
    <s v="9732614270"/>
  </r>
  <r>
    <s v="RCF Trombay"/>
    <s v="N.C.Urea(45kg)"/>
    <s v="WB"/>
    <x v="0"/>
    <s v="Bongaon"/>
    <s v="User Not Mapped"/>
    <s v="User Not Mapped"/>
    <s v="User Not Mapped"/>
    <n v="323620"/>
    <s v="Jaganath Mukhopadyaha"/>
    <s v="Private Retailer"/>
    <s v="9732764229"/>
    <n v="0.04"/>
    <n v="513"/>
    <x v="6"/>
    <m/>
    <s v="2024-11-30"/>
    <s v="1081212"/>
    <s v="Jagannath Mukhopadhyay"/>
    <s v="9732764229"/>
  </r>
  <r>
    <s v="RCF Thal"/>
    <s v="N.C.Urea(45kg)"/>
    <s v="WB"/>
    <x v="0"/>
    <s v="Bongaon"/>
    <s v="User Not Mapped"/>
    <s v="User Not Mapped"/>
    <s v="User Not Mapped"/>
    <n v="354659"/>
    <s v="Abdur  Rahim  Mondal"/>
    <s v="Private Retailer"/>
    <s v="9733562488"/>
    <n v="2.5649999999999999"/>
    <n v="45"/>
    <x v="1"/>
    <m/>
    <s v="2026-03-13"/>
    <s v="268815"/>
    <s v="Chitta Ranjan Dey"/>
    <s v="9434744870"/>
  </r>
  <r>
    <s v="RCF Trombay"/>
    <s v="15-15-15"/>
    <s v="WB"/>
    <x v="0"/>
    <s v="Bongaon"/>
    <s v="User Not Mapped"/>
    <s v="User Not Mapped"/>
    <s v="User Not Mapped"/>
    <n v="354659"/>
    <s v="Abdur  Rahim  Mondal"/>
    <s v="Private Retailer"/>
    <s v="9733562488"/>
    <n v="0.45"/>
    <n v="130"/>
    <x v="0"/>
    <m/>
    <s v="2025-12-18"/>
    <s v="1421415"/>
    <s v="M/S RAMJAN MONDAL"/>
    <s v="7384055745"/>
  </r>
  <r>
    <s v="RCF Trombay"/>
    <s v="N.C.Urea(45kg)"/>
    <s v="WB"/>
    <x v="0"/>
    <s v="Bongaon"/>
    <s v="User Not Mapped"/>
    <s v="User Not Mapped"/>
    <s v="User Not Mapped"/>
    <n v="354659"/>
    <s v="Abdur  Rahim  Mondal"/>
    <s v="Private Retailer"/>
    <s v="9733562488"/>
    <n v="2.0249999999999999"/>
    <n v="70"/>
    <x v="2"/>
    <m/>
    <s v="2026-02-16"/>
    <s v="268815"/>
    <s v="Chitta Ranjan Dey"/>
    <s v="9434744870"/>
  </r>
  <r>
    <s v="RCF Thal"/>
    <s v="N.C.Urea(45kg)"/>
    <s v="WB"/>
    <x v="0"/>
    <s v="Bongaon"/>
    <s v="User Not Mapped"/>
    <s v="User Not Mapped"/>
    <s v="User Not Mapped"/>
    <n v="354734"/>
    <s v="Ashim Kumar Paul"/>
    <s v="Private Retailer"/>
    <s v="9734897685"/>
    <n v="0.36"/>
    <n v="75"/>
    <x v="2"/>
    <m/>
    <s v="2026-02-11"/>
    <s v="289634"/>
    <s v="Sankar Lal Saha"/>
    <s v="9830026138"/>
  </r>
  <r>
    <s v="RCF Thal"/>
    <s v="N.C.Urea(45kg)"/>
    <s v="WB"/>
    <x v="0"/>
    <s v="Bongaon"/>
    <s v="User Not Mapped"/>
    <s v="User Not Mapped"/>
    <s v="User Not Mapped"/>
    <n v="354734"/>
    <s v="Ashim Kumar Paul"/>
    <s v="Private Retailer"/>
    <s v="9734897685"/>
    <n v="19.98"/>
    <n v="20"/>
    <x v="4"/>
    <m/>
    <s v="2026-04-07"/>
    <s v="268815"/>
    <s v="Chitta Ranjan Dey"/>
    <s v="9434744870"/>
  </r>
  <r>
    <s v="RCF Import"/>
    <s v="Imp 10-26-26"/>
    <s v="WB"/>
    <x v="0"/>
    <s v="Bongaon"/>
    <s v="User Not Mapped"/>
    <s v="User Not Mapped"/>
    <s v="User Not Mapped"/>
    <n v="354734"/>
    <s v="Ashim Kumar Paul"/>
    <s v="Private Retailer"/>
    <s v="9734897685"/>
    <n v="4.7"/>
    <n v="53"/>
    <x v="1"/>
    <m/>
    <s v="2026-03-05"/>
    <s v="355903"/>
    <s v="Paul Fertiliser"/>
    <s v="9932862633"/>
  </r>
  <r>
    <s v="RCF Import"/>
    <s v="MOP"/>
    <s v="WB"/>
    <x v="0"/>
    <s v="Bongaon"/>
    <s v="User Not Mapped"/>
    <s v="User Not Mapped"/>
    <s v="User Not Mapped"/>
    <n v="354734"/>
    <s v="Ashim Kumar Paul"/>
    <s v="Private Retailer"/>
    <s v="9734897685"/>
    <n v="3.05"/>
    <n v="57"/>
    <x v="1"/>
    <m/>
    <s v="2026-03-01"/>
    <s v="311050"/>
    <s v="M/S Suchitra Ghosh"/>
    <s v="9609145715"/>
  </r>
  <r>
    <s v="RCF Import"/>
    <s v="MOP"/>
    <s v="WB"/>
    <x v="0"/>
    <s v="Bongaon"/>
    <s v="User Not Mapped"/>
    <s v="User Not Mapped"/>
    <s v="User Not Mapped"/>
    <n v="354738"/>
    <s v="Ashit Kumar Sur"/>
    <s v="Private Retailer"/>
    <s v="9332966093"/>
    <n v="0.38"/>
    <n v="423"/>
    <x v="6"/>
    <m/>
    <s v="2025-02-28"/>
    <s v="544994"/>
    <s v="Ranjit Debnath"/>
    <s v="9732922923"/>
  </r>
  <r>
    <s v="RCF Trombay"/>
    <s v="15-15-15"/>
    <s v="WB"/>
    <x v="0"/>
    <s v="Bongaon"/>
    <s v="User Not Mapped"/>
    <s v="User Not Mapped"/>
    <s v="User Not Mapped"/>
    <n v="354738"/>
    <s v="Ashit Kumar Sur"/>
    <s v="Private Retailer"/>
    <s v="9332966093"/>
    <n v="0.41"/>
    <n v="438"/>
    <x v="6"/>
    <m/>
    <s v="2025-02-13"/>
    <s v="1031616"/>
    <s v="Rita Mondal"/>
    <s v="9434190852"/>
  </r>
  <r>
    <s v="RCF Thal"/>
    <s v="N.C.Urea(45kg)"/>
    <s v="WB"/>
    <x v="0"/>
    <s v="Bongaon"/>
    <s v="User Not Mapped"/>
    <s v="User Not Mapped"/>
    <s v="User Not Mapped"/>
    <n v="354744"/>
    <s v="Ashok Kumar Das"/>
    <s v="Private Retailer"/>
    <s v="9332644267"/>
    <n v="5.2649999999999997"/>
    <n v="46"/>
    <x v="1"/>
    <m/>
    <s v="2026-03-12"/>
    <s v="268815"/>
    <s v="Chitta Ranjan Dey"/>
    <s v="9434744870"/>
  </r>
  <r>
    <s v="RCF Trombay"/>
    <s v="15-15-15"/>
    <s v="WB"/>
    <x v="0"/>
    <s v="Bongaon"/>
    <s v="User Not Mapped"/>
    <s v="User Not Mapped"/>
    <s v="User Not Mapped"/>
    <n v="354823"/>
    <s v="Bidhan Chandra  Das"/>
    <s v="Private Retailer"/>
    <s v="9733873161"/>
    <n v="0.55000000000000004"/>
    <n v="394"/>
    <x v="6"/>
    <m/>
    <s v="2025-03-29"/>
    <s v="281522"/>
    <s v="N.C. Das and Co."/>
    <s v="6297603863"/>
  </r>
  <r>
    <s v="RCF Thal"/>
    <s v="N.C.Urea(45kg)"/>
    <s v="WB"/>
    <x v="0"/>
    <s v="Bongaon"/>
    <s v="User Not Mapped"/>
    <s v="User Not Mapped"/>
    <s v="User Not Mapped"/>
    <n v="354824"/>
    <s v="Bidhan Chandra  Sar Kar"/>
    <s v="Private Retailer"/>
    <s v="9732456640"/>
    <n v="0.27"/>
    <n v="45"/>
    <x v="1"/>
    <m/>
    <s v="2026-03-13"/>
    <s v="1048909"/>
    <s v="B K ROY AND COMPANY"/>
    <s v="9734516484"/>
  </r>
  <r>
    <s v="RCF Trombay"/>
    <s v="N.C.Urea(45kg)"/>
    <s v="WB"/>
    <x v="0"/>
    <s v="Bongaon"/>
    <s v="User Not Mapped"/>
    <s v="User Not Mapped"/>
    <s v="User Not Mapped"/>
    <n v="354824"/>
    <s v="Bidhan Chandra  Sar Kar"/>
    <s v="Private Retailer"/>
    <s v="9732456640"/>
    <n v="0.02"/>
    <n v="76"/>
    <x v="2"/>
    <m/>
    <s v="2026-02-10"/>
    <s v="1048909"/>
    <s v="B K ROY AND COMPANY"/>
    <s v="9734516484"/>
  </r>
  <r>
    <s v="RCF Thal"/>
    <s v="N.C.Urea(45kg)"/>
    <s v="WB"/>
    <x v="0"/>
    <s v="Bongaon"/>
    <s v="User Not Mapped"/>
    <s v="User Not Mapped"/>
    <s v="User Not Mapped"/>
    <n v="354853"/>
    <s v="Biswajitsharma"/>
    <s v="Private Retailer"/>
    <s v="9733867827"/>
    <n v="5.0000000000000001E-3"/>
    <n v="2021"/>
    <x v="7"/>
    <m/>
    <s v="2020-10-14"/>
    <s v="355543"/>
    <s v="Kaushik Mondal"/>
    <s v="9434102139"/>
  </r>
  <r>
    <s v="RCF Trombay"/>
    <s v="15-15-15"/>
    <s v="WB"/>
    <x v="0"/>
    <s v="Bongaon"/>
    <s v="User Not Mapped"/>
    <s v="User Not Mapped"/>
    <s v="User Not Mapped"/>
    <n v="354853"/>
    <s v="Biswajitsharma"/>
    <s v="Private Retailer"/>
    <s v="9733867827"/>
    <n v="2.2000000000000002"/>
    <n v="1230"/>
    <x v="7"/>
    <m/>
    <s v="2022-12-14"/>
    <s v="281522"/>
    <s v="N.C. Das and Co."/>
    <s v="6297603863"/>
  </r>
  <r>
    <s v="RCF Trombay"/>
    <s v="15-15-15"/>
    <s v="WB"/>
    <x v="0"/>
    <s v="Bongaon"/>
    <s v="User Not Mapped"/>
    <s v="User Not Mapped"/>
    <s v="User Not Mapped"/>
    <n v="354859"/>
    <s v="Biswas Fertilizer"/>
    <s v="Private Retailer"/>
    <s v="9735213936"/>
    <n v="0.2"/>
    <n v="219"/>
    <x v="3"/>
    <m/>
    <s v="2025-09-20"/>
    <s v="328271"/>
    <s v="Amal Sales Corporation"/>
    <s v="7908257456"/>
  </r>
  <r>
    <s v="RCF Import"/>
    <s v="Imp 10-26-26"/>
    <s v="WB"/>
    <x v="0"/>
    <s v="Bongaon"/>
    <s v="User Not Mapped"/>
    <s v="User Not Mapped"/>
    <s v="User Not Mapped"/>
    <n v="354859"/>
    <s v="Biswas Fertilizer"/>
    <s v="Private Retailer"/>
    <s v="9735213936"/>
    <n v="4.5"/>
    <n v="10"/>
    <x v="4"/>
    <m/>
    <s v="2026-04-17"/>
    <s v="328271"/>
    <s v="Amal Sales Corporation"/>
    <s v="7908257456"/>
  </r>
  <r>
    <s v="RCF Trombay"/>
    <s v="15-15-15"/>
    <s v="WB"/>
    <x v="0"/>
    <s v="Bongaon"/>
    <s v="User Not Mapped"/>
    <s v="User Not Mapped"/>
    <s v="User Not Mapped"/>
    <n v="354859"/>
    <s v="Biswas Fertilizer"/>
    <s v="Private Retailer"/>
    <s v="9735213936"/>
    <n v="3"/>
    <n v="146"/>
    <x v="0"/>
    <m/>
    <s v="2025-12-02"/>
    <s v="328271"/>
    <s v="Amal Sales Corporation"/>
    <s v="7908257456"/>
  </r>
  <r>
    <s v="RCF Trombay"/>
    <s v="15-15-15"/>
    <s v="WB"/>
    <x v="0"/>
    <s v="Bongaon"/>
    <s v="User Not Mapped"/>
    <s v="User Not Mapped"/>
    <s v="User Not Mapped"/>
    <n v="354923"/>
    <s v="Ebadur Rahman  Mondal"/>
    <s v="Private Retailer"/>
    <s v="9733807972"/>
    <n v="10"/>
    <n v="63"/>
    <x v="2"/>
    <m/>
    <s v="2026-02-23"/>
    <s v="223812"/>
    <s v="M/S. Shyma Krishi B"/>
    <s v="8617629886"/>
  </r>
  <r>
    <s v="RCF Trombay"/>
    <s v="15-15-15"/>
    <s v="WB"/>
    <x v="0"/>
    <s v="Bongaon"/>
    <s v="User Not Mapped"/>
    <s v="User Not Mapped"/>
    <s v="User Not Mapped"/>
    <n v="354923"/>
    <s v="Ebadur Rahman  Mondal"/>
    <s v="Private Retailer"/>
    <s v="9733807972"/>
    <n v="5.7"/>
    <n v="71"/>
    <x v="2"/>
    <m/>
    <s v="2026-02-15"/>
    <s v="223812"/>
    <s v="M/S. Shyma Krishi B"/>
    <s v="8617629886"/>
  </r>
  <r>
    <s v="RCF Trombay"/>
    <s v="N.C.Urea(45kg)"/>
    <s v="WB"/>
    <x v="0"/>
    <s v="Bongaon"/>
    <s v="User Not Mapped"/>
    <s v="User Not Mapped"/>
    <s v="User Not Mapped"/>
    <n v="354923"/>
    <s v="Ebadur Rahman  Mondal"/>
    <s v="Private Retailer"/>
    <s v="9733807972"/>
    <n v="1.17"/>
    <n v="71"/>
    <x v="2"/>
    <m/>
    <s v="2026-02-15"/>
    <s v="223812"/>
    <s v="M/S. Shyma Krishi B"/>
    <s v="8617629886"/>
  </r>
  <r>
    <s v="RCF Import"/>
    <s v="Imp 10-26-26"/>
    <s v="WB"/>
    <x v="0"/>
    <s v="Bongaon"/>
    <s v="User Not Mapped"/>
    <s v="User Not Mapped"/>
    <s v="User Not Mapped"/>
    <n v="354923"/>
    <s v="Ebadur Rahman  Mondal"/>
    <s v="Private Retailer"/>
    <s v="9733807972"/>
    <n v="3.25"/>
    <n v="61"/>
    <x v="2"/>
    <m/>
    <s v="2026-02-25"/>
    <s v="223812"/>
    <s v="M/S. Shyma Krishi B"/>
    <s v="8617629886"/>
  </r>
  <r>
    <s v="RCF Thal"/>
    <s v="N.C.Urea(45kg)"/>
    <s v="WB"/>
    <x v="0"/>
    <s v="Bongaon"/>
    <s v="User Not Mapped"/>
    <s v="User Not Mapped"/>
    <s v="User Not Mapped"/>
    <n v="355033"/>
    <s v="Hazrat Ali  Mondal"/>
    <s v="Private Retailer"/>
    <s v="9635290270"/>
    <n v="4.5"/>
    <n v="46"/>
    <x v="1"/>
    <m/>
    <s v="2026-03-12"/>
    <s v="268815"/>
    <s v="Chitta Ranjan Dey"/>
    <s v="9434744870"/>
  </r>
  <r>
    <s v="RCF Trombay"/>
    <s v="15-15-15"/>
    <s v="WB"/>
    <x v="0"/>
    <s v="Bongaon"/>
    <s v="User Not Mapped"/>
    <s v="User Not Mapped"/>
    <s v="User Not Mapped"/>
    <n v="355051"/>
    <s v="Jagabondhu  Mondal"/>
    <s v="Private Retailer"/>
    <s v="9735425284"/>
    <n v="4.75"/>
    <n v="62"/>
    <x v="2"/>
    <m/>
    <s v="2026-02-24"/>
    <s v="311050"/>
    <s v="M/S Suchitra Ghosh"/>
    <s v="9609145715"/>
  </r>
  <r>
    <s v="RCF Trombay"/>
    <s v="N.C.Urea(45kg)"/>
    <s v="WB"/>
    <x v="0"/>
    <s v="Bongaon"/>
    <s v="User Not Mapped"/>
    <s v="User Not Mapped"/>
    <s v="User Not Mapped"/>
    <n v="355079"/>
    <s v="JADAB CHANDRA DUTTA"/>
    <s v="Private Retailer"/>
    <s v="9733208855"/>
    <n v="1.1100000000000001"/>
    <n v="76"/>
    <x v="2"/>
    <m/>
    <s v="2026-02-10"/>
    <s v="1048909"/>
    <s v="B K ROY AND COMPANY"/>
    <s v="9734516484"/>
  </r>
  <r>
    <s v="RCF Trombay"/>
    <s v="15-15-15"/>
    <s v="WB"/>
    <x v="0"/>
    <s v="Bongaon"/>
    <s v="User Not Mapped"/>
    <s v="User Not Mapped"/>
    <s v="User Not Mapped"/>
    <n v="355079"/>
    <s v="JADAB CHANDRA DUTTA"/>
    <s v="Private Retailer"/>
    <s v="9733208855"/>
    <n v="1.5"/>
    <n v="76"/>
    <x v="2"/>
    <m/>
    <s v="2026-02-10"/>
    <s v="1048909"/>
    <s v="B K ROY AND COMPANY"/>
    <s v="9734516484"/>
  </r>
  <r>
    <s v="RCF Thal"/>
    <s v="N.C.Urea(45kg)"/>
    <s v="WB"/>
    <x v="0"/>
    <s v="Bongaon"/>
    <s v="User Not Mapped"/>
    <s v="User Not Mapped"/>
    <s v="User Not Mapped"/>
    <n v="355079"/>
    <s v="JADAB CHANDRA DUTTA"/>
    <s v="Private Retailer"/>
    <s v="9733208855"/>
    <n v="0.01"/>
    <n v="282"/>
    <x v="3"/>
    <m/>
    <s v="2025-07-19"/>
    <s v="1048909"/>
    <s v="B K ROY AND COMPANY"/>
    <s v="9734516484"/>
  </r>
  <r>
    <s v="RCF Trombay"/>
    <s v="15-15-15"/>
    <s v="WB"/>
    <x v="0"/>
    <s v="Bongaon"/>
    <s v="User Not Mapped"/>
    <s v="User Not Mapped"/>
    <s v="User Not Mapped"/>
    <n v="355650"/>
    <s v="Mehabub Morsed Biswas"/>
    <s v="Private Retailer"/>
    <s v="9735315119"/>
    <n v="1"/>
    <n v="481"/>
    <x v="6"/>
    <m/>
    <s v="2025-01-01"/>
    <s v="281511"/>
    <s v="Malakshmi Krishi Bhandar      "/>
    <s v="9800561868"/>
  </r>
  <r>
    <s v="RCF Trombay"/>
    <s v="15-15-15"/>
    <s v="WB"/>
    <x v="0"/>
    <s v="Bongaon"/>
    <s v="User Not Mapped"/>
    <s v="User Not Mapped"/>
    <s v="User Not Mapped"/>
    <n v="355675"/>
    <s v="Molay  Mondal and Ujjawal  Mondal"/>
    <s v="Private Retailer"/>
    <s v="8918649966"/>
    <n v="0.75"/>
    <n v="361"/>
    <x v="3"/>
    <m/>
    <s v="2025-05-01"/>
    <s v="289634"/>
    <s v="Sankar Lal Saha"/>
    <s v="9830026138"/>
  </r>
  <r>
    <s v="RCF Trombay"/>
    <s v="N.C.Urea(45kg)"/>
    <s v="WB"/>
    <x v="0"/>
    <s v="Bongaon"/>
    <s v="User Not Mapped"/>
    <s v="User Not Mapped"/>
    <s v="User Not Mapped"/>
    <n v="355675"/>
    <s v="Molay  Mondal and Ujjawal  Mondal"/>
    <s v="Private Retailer"/>
    <s v="8918649966"/>
    <n v="3.375"/>
    <n v="181"/>
    <x v="3"/>
    <m/>
    <s v="2025-10-28"/>
    <s v="223812"/>
    <s v="M/S. Shyma Krishi B"/>
    <s v="8617629886"/>
  </r>
  <r>
    <s v="RCF Import"/>
    <s v="Imp 10-26-26"/>
    <s v="WB"/>
    <x v="0"/>
    <s v="Bongaon"/>
    <s v="User Not Mapped"/>
    <s v="User Not Mapped"/>
    <s v="User Not Mapped"/>
    <n v="355675"/>
    <s v="Molay  Mondal and Ujjawal  Mondal"/>
    <s v="Private Retailer"/>
    <s v="8918649966"/>
    <n v="5.5"/>
    <n v="61"/>
    <x v="2"/>
    <m/>
    <s v="2026-02-25"/>
    <s v="223812"/>
    <s v="M/S. Shyma Krishi B"/>
    <s v="8617629886"/>
  </r>
  <r>
    <s v="RCF Thal"/>
    <s v="N.C.Urea(45kg)"/>
    <s v="WB"/>
    <x v="0"/>
    <s v="Bongaon"/>
    <s v="User Not Mapped"/>
    <s v="User Not Mapped"/>
    <s v="User Not Mapped"/>
    <n v="356056"/>
    <s v="Ranjit Kumar Singha Roy"/>
    <s v="Private Retailer"/>
    <s v="7797121074"/>
    <n v="4.4999999999999998E-2"/>
    <n v="251"/>
    <x v="3"/>
    <m/>
    <s v="2025-08-19"/>
    <s v="281511"/>
    <s v="Malakshmi Krishi Bhandar      "/>
    <s v="9800561868"/>
  </r>
  <r>
    <s v="RCF Trombay"/>
    <s v="15-15-15"/>
    <s v="WB"/>
    <x v="0"/>
    <s v="Bongaon"/>
    <s v="User Not Mapped"/>
    <s v="User Not Mapped"/>
    <s v="User Not Mapped"/>
    <n v="356056"/>
    <s v="Ranjit Kumar Singha Roy"/>
    <s v="Private Retailer"/>
    <s v="7797121074"/>
    <n v="0.65"/>
    <n v="285"/>
    <x v="3"/>
    <m/>
    <s v="2025-07-16"/>
    <s v="281511"/>
    <s v="Malakshmi Krishi Bhandar      "/>
    <s v="9800561868"/>
  </r>
  <r>
    <s v="RCF Thal"/>
    <s v="N.C.Urea(45kg)"/>
    <s v="WB"/>
    <x v="0"/>
    <s v="Bongaon"/>
    <s v="User Not Mapped"/>
    <s v="User Not Mapped"/>
    <s v="User Not Mapped"/>
    <n v="356056"/>
    <s v="Ranjit Kumar Singha Roy"/>
    <s v="Private Retailer"/>
    <s v="7797121074"/>
    <n v="2.7450000000000001"/>
    <n v="72"/>
    <x v="2"/>
    <m/>
    <s v="2026-02-14"/>
    <s v="281511"/>
    <s v="Malakshmi Krishi Bhandar      "/>
    <s v="9800561868"/>
  </r>
  <r>
    <s v="RCF Trombay"/>
    <s v="15-15-15"/>
    <s v="WB"/>
    <x v="0"/>
    <s v="Bongaon"/>
    <s v="User Not Mapped"/>
    <s v="User Not Mapped"/>
    <s v="User Not Mapped"/>
    <n v="356146"/>
    <s v="Sahebuddin Mondal"/>
    <s v="Private Retailer"/>
    <s v="9734514917"/>
    <n v="5"/>
    <n v="75"/>
    <x v="2"/>
    <m/>
    <s v="2026-02-11"/>
    <s v="223807"/>
    <s v="M.K. Chemical and Fertilizers"/>
    <s v="9051316329"/>
  </r>
  <r>
    <s v="RCF Thal"/>
    <s v="N.C.Urea(45kg)"/>
    <s v="WB"/>
    <x v="0"/>
    <s v="Bongaon"/>
    <s v="User Not Mapped"/>
    <s v="User Not Mapped"/>
    <s v="User Not Mapped"/>
    <n v="356146"/>
    <s v="Sahebuddin Mondal"/>
    <s v="Private Retailer"/>
    <s v="9734514917"/>
    <n v="4.55"/>
    <n v="29"/>
    <x v="4"/>
    <m/>
    <s v="2026-03-29"/>
    <s v="223817"/>
    <s v="National Supply Agency"/>
    <s v="9564505288"/>
  </r>
  <r>
    <s v="RCF Trombay"/>
    <s v="N.C.Urea(45kg)"/>
    <s v="WB"/>
    <x v="0"/>
    <s v="Bongaon"/>
    <s v="User Not Mapped"/>
    <s v="User Not Mapped"/>
    <s v="User Not Mapped"/>
    <n v="356224"/>
    <s v="Samir Kumar  Mondal"/>
    <s v="Private Retailer"/>
    <s v="9002008232"/>
    <n v="3.15"/>
    <n v="92"/>
    <x v="5"/>
    <m/>
    <s v="2026-01-25"/>
    <s v="1048909"/>
    <s v="B K ROY AND COMPANY"/>
    <s v="9734516484"/>
  </r>
  <r>
    <s v="RCF Import"/>
    <s v="MOP"/>
    <s v="WB"/>
    <x v="0"/>
    <s v="Bongaon"/>
    <s v="User Not Mapped"/>
    <s v="User Not Mapped"/>
    <s v="User Not Mapped"/>
    <n v="356224"/>
    <s v="Samir Kumar  Mondal"/>
    <s v="Private Retailer"/>
    <s v="9002008232"/>
    <n v="1"/>
    <n v="25"/>
    <x v="4"/>
    <m/>
    <s v="2026-04-02"/>
    <s v="1054125"/>
    <s v="Mondal Stores"/>
    <s v="9749959358"/>
  </r>
  <r>
    <s v="RCF Trombay"/>
    <s v="N.C.Urea(45kg)"/>
    <s v="WB"/>
    <x v="0"/>
    <s v="Bongaon"/>
    <s v="User Not Mapped"/>
    <s v="User Not Mapped"/>
    <s v="User Not Mapped"/>
    <n v="356224"/>
    <s v="Samir Kumar  Mondal"/>
    <s v="Private Retailer"/>
    <s v="9002008232"/>
    <n v="4.68"/>
    <n v="76"/>
    <x v="2"/>
    <m/>
    <s v="2026-02-10"/>
    <s v="1048909"/>
    <s v="B K ROY AND COMPANY"/>
    <s v="9734516484"/>
  </r>
  <r>
    <s v="RCF Trombay"/>
    <s v="15-15-15"/>
    <s v="WB"/>
    <x v="0"/>
    <s v="Bongaon"/>
    <s v="User Not Mapped"/>
    <s v="User Not Mapped"/>
    <s v="User Not Mapped"/>
    <n v="356224"/>
    <s v="Samir Kumar  Mondal"/>
    <s v="Private Retailer"/>
    <s v="9002008232"/>
    <n v="3.5"/>
    <n v="92"/>
    <x v="5"/>
    <m/>
    <s v="2026-01-25"/>
    <s v="1048909"/>
    <s v="B K ROY AND COMPANY"/>
    <s v="9734516484"/>
  </r>
  <r>
    <s v="RCF Trombay"/>
    <s v="15-15-15"/>
    <s v="WB"/>
    <x v="0"/>
    <s v="Bongaon"/>
    <s v="User Not Mapped"/>
    <s v="User Not Mapped"/>
    <s v="User Not Mapped"/>
    <n v="382445"/>
    <s v="Sanjoy Debnath"/>
    <s v="Private Retailer"/>
    <s v="8768760949"/>
    <n v="0.5"/>
    <n v="175"/>
    <x v="0"/>
    <m/>
    <s v="2025-11-03"/>
    <s v="281511"/>
    <s v="Malakshmi Krishi Bhandar      "/>
    <s v="9800561868"/>
  </r>
  <r>
    <s v="RCF Trombay"/>
    <s v="15-15-15"/>
    <s v="WB"/>
    <x v="0"/>
    <s v="Bongaon"/>
    <s v="User Not Mapped"/>
    <s v="User Not Mapped"/>
    <s v="User Not Mapped"/>
    <n v="387818"/>
    <s v="Jadavpur Skus Ltd"/>
    <s v="PACS"/>
    <s v="9735470283"/>
    <n v="5.5"/>
    <n v="73"/>
    <x v="2"/>
    <m/>
    <s v="2026-02-13"/>
    <s v="268815"/>
    <s v="Chitta Ranjan Dey"/>
    <s v="9434744870"/>
  </r>
  <r>
    <s v="RCF Trombay"/>
    <s v="15-15-15"/>
    <s v="WB"/>
    <x v="0"/>
    <s v="Bongaon"/>
    <s v="User Not Mapped"/>
    <s v="User Not Mapped"/>
    <s v="User Not Mapped"/>
    <n v="391971"/>
    <s v="Krishna Biswas"/>
    <s v="Private Retailer"/>
    <s v="9733523622"/>
    <n v="3"/>
    <n v="173"/>
    <x v="0"/>
    <m/>
    <s v="2025-11-05"/>
    <s v="280852"/>
    <s v="Kundu Trading Co"/>
    <s v="9434119572"/>
  </r>
  <r>
    <s v="RCF Trombay"/>
    <s v="N.C.Urea(45kg)"/>
    <s v="WB"/>
    <x v="0"/>
    <s v="Bongaon"/>
    <s v="User Not Mapped"/>
    <s v="User Not Mapped"/>
    <s v="User Not Mapped"/>
    <n v="410718"/>
    <s v="Kankan Fertilizers"/>
    <s v="Private Retailer"/>
    <s v="9775018062"/>
    <n v="0.58499999999999996"/>
    <n v="139"/>
    <x v="0"/>
    <m/>
    <s v="2025-12-09"/>
    <s v="281522"/>
    <s v="N.C. Das and Co."/>
    <s v="6297603863"/>
  </r>
  <r>
    <s v="RCF Trombay"/>
    <s v="15-15-15"/>
    <s v="WB"/>
    <x v="0"/>
    <s v="Bongaon"/>
    <s v="User Not Mapped"/>
    <s v="User Not Mapped"/>
    <s v="User Not Mapped"/>
    <n v="411237"/>
    <s v="Satya Ranjan Sarkar"/>
    <s v="Private Retailer"/>
    <s v="9749275172"/>
    <n v="0.2"/>
    <n v="403"/>
    <x v="6"/>
    <m/>
    <s v="2025-03-20"/>
    <s v="1031616"/>
    <s v="Rita Mondal"/>
    <s v="9434190852"/>
  </r>
  <r>
    <s v="RCF Import"/>
    <s v="MOP"/>
    <s v="WB"/>
    <x v="0"/>
    <s v="Bongaon"/>
    <s v="User Not Mapped"/>
    <s v="User Not Mapped"/>
    <s v="User Not Mapped"/>
    <n v="411247"/>
    <s v="Pranab Kumar Ghosh"/>
    <s v="Private Retailer"/>
    <s v="8535982520"/>
    <n v="3.05"/>
    <n v="68"/>
    <x v="2"/>
    <m/>
    <s v="2026-02-18"/>
    <s v="223812"/>
    <s v="M/S. Shyma Krishi B"/>
    <s v="8617629886"/>
  </r>
  <r>
    <s v="RCF Thal"/>
    <s v="N.C.Urea(45kg)"/>
    <s v="WB"/>
    <x v="0"/>
    <s v="Bongaon"/>
    <s v="User Not Mapped"/>
    <s v="User Not Mapped"/>
    <s v="User Not Mapped"/>
    <n v="411247"/>
    <s v="Pranab Kumar Ghosh"/>
    <s v="Private Retailer"/>
    <s v="8535982520"/>
    <n v="9.99"/>
    <n v="16"/>
    <x v="4"/>
    <m/>
    <s v="2026-04-11"/>
    <s v="223812"/>
    <s v="M/S. Shyma Krishi B"/>
    <s v="8617629886"/>
  </r>
  <r>
    <s v="RCF Thal"/>
    <s v="N.C.Urea(45kg)"/>
    <s v="WB"/>
    <x v="0"/>
    <s v="Bongaon"/>
    <s v="User Not Mapped"/>
    <s v="User Not Mapped"/>
    <s v="User Not Mapped"/>
    <n v="411247"/>
    <s v="Pranab Kumar Ghosh"/>
    <s v="Private Retailer"/>
    <s v="8535982520"/>
    <n v="2.3849999999999998"/>
    <n v="19"/>
    <x v="4"/>
    <m/>
    <s v="2026-04-08"/>
    <s v="281511"/>
    <s v="Malakshmi Krishi Bhandar      "/>
    <s v="9800561868"/>
  </r>
  <r>
    <s v="RCF Import"/>
    <s v="MOP"/>
    <s v="WB"/>
    <x v="0"/>
    <s v="Bongaon"/>
    <s v="User Not Mapped"/>
    <s v="User Not Mapped"/>
    <s v="User Not Mapped"/>
    <n v="411257"/>
    <s v="Habib Krishi Bhandar"/>
    <s v="Private Retailer"/>
    <s v="7872690652"/>
    <n v="2"/>
    <n v="59"/>
    <x v="1"/>
    <m/>
    <s v="2026-02-27"/>
    <s v="1054127"/>
    <s v="New Radha krishna krishi bhand"/>
    <s v="7908733277"/>
  </r>
  <r>
    <s v="RCF Import"/>
    <s v="Imp 10-26-26"/>
    <s v="WB"/>
    <x v="0"/>
    <s v="Bongaon"/>
    <s v="User Not Mapped"/>
    <s v="User Not Mapped"/>
    <s v="User Not Mapped"/>
    <n v="411269"/>
    <s v="Subal Chandra Roy"/>
    <s v="Private Retailer"/>
    <s v="9432165014"/>
    <n v="5"/>
    <n v="28"/>
    <x v="4"/>
    <m/>
    <s v="2026-03-30"/>
    <s v="268815"/>
    <s v="Chitta Ranjan Dey"/>
    <s v="9434744870"/>
  </r>
  <r>
    <s v="RCF Thal"/>
    <s v="N.C.Urea(45kg)"/>
    <s v="WB"/>
    <x v="0"/>
    <s v="Bongaon"/>
    <s v="User Not Mapped"/>
    <s v="User Not Mapped"/>
    <s v="User Not Mapped"/>
    <n v="411289"/>
    <s v="Alamgir Mondal"/>
    <s v="Private Retailer"/>
    <s v="9832951604"/>
    <n v="4.9950000000000001"/>
    <n v="17"/>
    <x v="4"/>
    <m/>
    <s v="2026-04-10"/>
    <s v="268815"/>
    <s v="Chitta Ranjan Dey"/>
    <s v="9434744870"/>
  </r>
  <r>
    <s v="RCF Thal"/>
    <s v="N.C.Urea(45kg)"/>
    <s v="WB"/>
    <x v="0"/>
    <s v="Bongaon"/>
    <s v="User Not Mapped"/>
    <s v="User Not Mapped"/>
    <s v="User Not Mapped"/>
    <n v="411291"/>
    <s v="Swapan Kumar Biswas"/>
    <s v="Private Retailer"/>
    <s v="9609081363"/>
    <n v="5.49"/>
    <n v="46"/>
    <x v="1"/>
    <m/>
    <s v="2026-03-12"/>
    <s v="268815"/>
    <s v="Chitta Ranjan Dey"/>
    <s v="9434744870"/>
  </r>
  <r>
    <s v="RCF Thal"/>
    <s v="N.C.Urea(45kg)"/>
    <s v="WB"/>
    <x v="0"/>
    <s v="Bongaon"/>
    <s v="User Not Mapped"/>
    <s v="User Not Mapped"/>
    <s v="User Not Mapped"/>
    <n v="411377"/>
    <s v="Baidya Nath Sengupta"/>
    <s v="Private Retailer"/>
    <s v="9932557347"/>
    <n v="4.41"/>
    <n v="46"/>
    <x v="1"/>
    <m/>
    <s v="2026-03-12"/>
    <s v="268815"/>
    <s v="Chitta Ranjan Dey"/>
    <s v="9434744870"/>
  </r>
  <r>
    <s v="RCF Trombay"/>
    <s v="N.C.Urea(45kg)"/>
    <s v="WB"/>
    <x v="0"/>
    <s v="Bongaon"/>
    <s v="User Not Mapped"/>
    <s v="User Not Mapped"/>
    <s v="User Not Mapped"/>
    <n v="411439"/>
    <s v="Debnath Fertilizer"/>
    <s v="Private Retailer"/>
    <s v="9333820071"/>
    <n v="5.085"/>
    <n v="100"/>
    <x v="5"/>
    <m/>
    <s v="2026-01-17"/>
    <s v="289634"/>
    <s v="Sankar Lal Saha"/>
    <s v="9830026138"/>
  </r>
  <r>
    <s v="RCF Trombay"/>
    <s v="15-15-15"/>
    <s v="WB"/>
    <x v="0"/>
    <s v="Bongaon"/>
    <s v="User Not Mapped"/>
    <s v="User Not Mapped"/>
    <s v="User Not Mapped"/>
    <n v="411439"/>
    <s v="Debnath Fertilizer"/>
    <s v="Private Retailer"/>
    <s v="9333820071"/>
    <n v="11"/>
    <n v="100"/>
    <x v="5"/>
    <m/>
    <s v="2026-01-17"/>
    <s v="289634"/>
    <s v="Sankar Lal Saha"/>
    <s v="9830026138"/>
  </r>
  <r>
    <s v="RCF Trombay"/>
    <s v="N.C.Urea(45kg)"/>
    <s v="WB"/>
    <x v="0"/>
    <s v="Bongaon"/>
    <s v="User Not Mapped"/>
    <s v="User Not Mapped"/>
    <s v="User Not Mapped"/>
    <n v="411439"/>
    <s v="Debnath Fertilizer"/>
    <s v="Private Retailer"/>
    <s v="9333820071"/>
    <n v="4.9950000000000001"/>
    <n v="61"/>
    <x v="2"/>
    <m/>
    <s v="2026-02-25"/>
    <s v="289634"/>
    <s v="Sankar Lal Saha"/>
    <s v="9830026138"/>
  </r>
  <r>
    <s v="RCF Import"/>
    <s v="MOP"/>
    <s v="WB"/>
    <x v="0"/>
    <s v="Bongaon"/>
    <s v="User Not Mapped"/>
    <s v="User Not Mapped"/>
    <s v="User Not Mapped"/>
    <n v="411439"/>
    <s v="Debnath Fertilizer"/>
    <s v="Private Retailer"/>
    <s v="9333820071"/>
    <n v="4.2"/>
    <n v="68"/>
    <x v="2"/>
    <m/>
    <s v="2026-02-18"/>
    <s v="223807"/>
    <s v="M.K. Chemical and Fertilizers"/>
    <s v="9051316329"/>
  </r>
  <r>
    <s v="RCF Trombay"/>
    <s v="15-15-15"/>
    <s v="WB"/>
    <x v="0"/>
    <s v="Bongaon"/>
    <s v="User Not Mapped"/>
    <s v="User Not Mapped"/>
    <s v="User Not Mapped"/>
    <n v="411439"/>
    <s v="Debnath Fertilizer"/>
    <s v="Private Retailer"/>
    <s v="9333820071"/>
    <n v="22"/>
    <n v="88"/>
    <x v="2"/>
    <m/>
    <s v="2026-01-29"/>
    <s v="281522"/>
    <s v="N.C. Das and Co."/>
    <s v="6297603863"/>
  </r>
  <r>
    <s v="RCF Trombay"/>
    <s v="15-15-15"/>
    <s v="WB"/>
    <x v="0"/>
    <s v="Bongaon"/>
    <s v="User Not Mapped"/>
    <s v="User Not Mapped"/>
    <s v="User Not Mapped"/>
    <n v="411439"/>
    <s v="Debnath Fertilizer"/>
    <s v="Private Retailer"/>
    <s v="9333820071"/>
    <n v="8"/>
    <n v="174"/>
    <x v="0"/>
    <m/>
    <s v="2025-11-04"/>
    <s v="281522"/>
    <s v="N.C. Das and Co."/>
    <s v="6297603863"/>
  </r>
  <r>
    <s v="RCF Thal"/>
    <s v="N.C.Urea(45kg)"/>
    <s v="WB"/>
    <x v="0"/>
    <s v="Bongaon"/>
    <s v="User Not Mapped"/>
    <s v="User Not Mapped"/>
    <s v="User Not Mapped"/>
    <n v="411439"/>
    <s v="Debnath Fertilizer"/>
    <s v="Private Retailer"/>
    <s v="9333820071"/>
    <n v="32.94"/>
    <n v="47"/>
    <x v="1"/>
    <m/>
    <s v="2026-03-11"/>
    <s v="223807"/>
    <s v="M.K. Chemical and Fertilizers"/>
    <s v="9051316329"/>
  </r>
  <r>
    <s v="RCF Trombay"/>
    <s v="15-15-15"/>
    <s v="WB"/>
    <x v="0"/>
    <s v="Bongaon"/>
    <s v="User Not Mapped"/>
    <s v="User Not Mapped"/>
    <s v="User Not Mapped"/>
    <n v="411439"/>
    <s v="Debnath Fertilizer"/>
    <s v="Private Retailer"/>
    <s v="9333820071"/>
    <n v="38.5"/>
    <n v="73"/>
    <x v="2"/>
    <m/>
    <s v="2026-02-13"/>
    <s v="223807"/>
    <s v="M.K. Chemical and Fertilizers"/>
    <s v="9051316329"/>
  </r>
  <r>
    <s v="RCF Trombay"/>
    <s v="15-15-15"/>
    <s v="WB"/>
    <x v="0"/>
    <s v="Bongaon"/>
    <s v="User Not Mapped"/>
    <s v="User Not Mapped"/>
    <s v="User Not Mapped"/>
    <n v="411465"/>
    <s v="Subash Sarkar"/>
    <s v="Private Retailer"/>
    <s v="9933958387"/>
    <n v="0.85"/>
    <n v="399"/>
    <x v="6"/>
    <m/>
    <s v="2025-03-24"/>
    <s v="281511"/>
    <s v="Malakshmi Krishi Bhandar      "/>
    <s v="9800561868"/>
  </r>
  <r>
    <s v="RCF Trombay"/>
    <s v="N.C.Urea(45kg)"/>
    <s v="WB"/>
    <x v="0"/>
    <s v="Bongaon"/>
    <s v="User Not Mapped"/>
    <s v="User Not Mapped"/>
    <s v="User Not Mapped"/>
    <n v="411465"/>
    <s v="Subash Sarkar"/>
    <s v="Private Retailer"/>
    <s v="9933958387"/>
    <n v="3.78"/>
    <n v="72"/>
    <x v="2"/>
    <m/>
    <s v="2026-02-14"/>
    <s v="281511"/>
    <s v="Malakshmi Krishi Bhandar      "/>
    <s v="9800561868"/>
  </r>
  <r>
    <s v="RCF Thal"/>
    <s v="N.C.Urea(45kg)"/>
    <s v="WB"/>
    <x v="0"/>
    <s v="Bongaon"/>
    <s v="User Not Mapped"/>
    <s v="User Not Mapped"/>
    <s v="User Not Mapped"/>
    <n v="411465"/>
    <s v="Subash Sarkar"/>
    <s v="Private Retailer"/>
    <s v="9933958387"/>
    <n v="9.99"/>
    <n v="19"/>
    <x v="4"/>
    <m/>
    <s v="2026-04-08"/>
    <s v="281511"/>
    <s v="Malakshmi Krishi Bhandar      "/>
    <s v="9800561868"/>
  </r>
  <r>
    <s v="RCF Import"/>
    <s v="Imp 10-26-26"/>
    <s v="WB"/>
    <x v="0"/>
    <s v="Bongaon"/>
    <s v="User Not Mapped"/>
    <s v="User Not Mapped"/>
    <s v="User Not Mapped"/>
    <n v="411491"/>
    <s v="Mashir Mondal"/>
    <s v="Private Retailer"/>
    <s v="8918966274"/>
    <n v="2.38"/>
    <n v="2"/>
    <x v="4"/>
    <m/>
    <s v="2026-04-25"/>
    <s v="311050"/>
    <s v="M/S Suchitra Ghosh"/>
    <s v="9609145715"/>
  </r>
  <r>
    <s v="RCF Trombay"/>
    <s v="15-15-15"/>
    <s v="WB"/>
    <x v="0"/>
    <s v="Bongaon"/>
    <s v="User Not Mapped"/>
    <s v="User Not Mapped"/>
    <s v="User Not Mapped"/>
    <n v="411491"/>
    <s v="Mashir Mondal"/>
    <s v="Private Retailer"/>
    <s v="8918966274"/>
    <n v="1.9550000000000001"/>
    <n v="75"/>
    <x v="2"/>
    <m/>
    <s v="2026-02-11"/>
    <s v="223807"/>
    <s v="M.K. Chemical and Fertilizers"/>
    <s v="9051316329"/>
  </r>
  <r>
    <s v="RCF Thal"/>
    <s v="N.C.Urea(45kg)"/>
    <s v="WB"/>
    <x v="0"/>
    <s v="Bongaon"/>
    <s v="User Not Mapped"/>
    <s v="User Not Mapped"/>
    <s v="User Not Mapped"/>
    <n v="411503"/>
    <s v="Gobindo Roy"/>
    <s v="Private Retailer"/>
    <s v="7098449420"/>
    <n v="5.49"/>
    <n v="76"/>
    <x v="2"/>
    <m/>
    <s v="2026-02-10"/>
    <s v="223812"/>
    <s v="M/S. Shyma Krishi B"/>
    <s v="8617629886"/>
  </r>
  <r>
    <s v="RCF Thal"/>
    <s v="N.C.Urea(45kg)"/>
    <s v="WB"/>
    <x v="0"/>
    <s v="Bongaon"/>
    <s v="User Not Mapped"/>
    <s v="User Not Mapped"/>
    <s v="User Not Mapped"/>
    <n v="411509"/>
    <s v="Ranjit Debnath"/>
    <s v="Private Retailer"/>
    <s v="9932768695"/>
    <n v="0.22500000000000001"/>
    <n v="251"/>
    <x v="3"/>
    <m/>
    <s v="2025-08-19"/>
    <s v="281511"/>
    <s v="Malakshmi Krishi Bhandar      "/>
    <s v="9800561868"/>
  </r>
  <r>
    <s v="RCF Trombay"/>
    <s v="15-15-15"/>
    <s v="WB"/>
    <x v="0"/>
    <s v="Bongaon"/>
    <s v="User Not Mapped"/>
    <s v="User Not Mapped"/>
    <s v="User Not Mapped"/>
    <n v="411509"/>
    <s v="Ranjit Debnath"/>
    <s v="Private Retailer"/>
    <s v="9932768695"/>
    <n v="1"/>
    <n v="285"/>
    <x v="3"/>
    <m/>
    <s v="2025-07-16"/>
    <s v="281511"/>
    <s v="Malakshmi Krishi Bhandar      "/>
    <s v="9800561868"/>
  </r>
  <r>
    <s v="RCF Trombay"/>
    <s v="15-15-15"/>
    <s v="WB"/>
    <x v="0"/>
    <s v="Bongaon"/>
    <s v="User Not Mapped"/>
    <s v="User Not Mapped"/>
    <s v="User Not Mapped"/>
    <n v="411511"/>
    <s v="Sukanta Das"/>
    <s v="Private Retailer"/>
    <s v="9733577734"/>
    <n v="0.1"/>
    <n v="395"/>
    <x v="6"/>
    <m/>
    <s v="2025-03-28"/>
    <s v="281511"/>
    <s v="Malakshmi Krishi Bhandar      "/>
    <s v="9800561868"/>
  </r>
  <r>
    <s v="RCF Trombay"/>
    <s v="15-15-15"/>
    <s v="WB"/>
    <x v="0"/>
    <s v="Bongaon"/>
    <s v="User Not Mapped"/>
    <s v="User Not Mapped"/>
    <s v="User Not Mapped"/>
    <n v="411511"/>
    <s v="Sukanta Das"/>
    <s v="Private Retailer"/>
    <s v="9733577734"/>
    <n v="1.5"/>
    <n v="245"/>
    <x v="3"/>
    <m/>
    <s v="2025-08-25"/>
    <s v="281511"/>
    <s v="Malakshmi Krishi Bhandar      "/>
    <s v="9800561868"/>
  </r>
  <r>
    <s v="RCF Trombay"/>
    <s v="15-15-15"/>
    <s v="WB"/>
    <x v="0"/>
    <s v="Bongaon"/>
    <s v="User Not Mapped"/>
    <s v="User Not Mapped"/>
    <s v="User Not Mapped"/>
    <n v="411511"/>
    <s v="Sukanta Das"/>
    <s v="Private Retailer"/>
    <s v="9733577734"/>
    <n v="1.75"/>
    <n v="175"/>
    <x v="0"/>
    <m/>
    <s v="2025-11-03"/>
    <s v="281511"/>
    <s v="Malakshmi Krishi Bhandar      "/>
    <s v="9800561868"/>
  </r>
  <r>
    <s v="RCF Trombay"/>
    <s v="15-15-15"/>
    <s v="WB"/>
    <x v="0"/>
    <s v="Bongaon"/>
    <s v="User Not Mapped"/>
    <s v="User Not Mapped"/>
    <s v="User Not Mapped"/>
    <n v="411511"/>
    <s v="Sukanta Das"/>
    <s v="Private Retailer"/>
    <s v="9733577734"/>
    <n v="3"/>
    <n v="212"/>
    <x v="3"/>
    <m/>
    <s v="2025-09-27"/>
    <s v="223812"/>
    <s v="M/S. Shyma Krishi B"/>
    <s v="8617629886"/>
  </r>
  <r>
    <s v="RCF Thal"/>
    <s v="N.C.Urea(45kg)"/>
    <s v="WB"/>
    <x v="0"/>
    <s v="Bongaon"/>
    <s v="User Not Mapped"/>
    <s v="User Not Mapped"/>
    <s v="User Not Mapped"/>
    <n v="411511"/>
    <s v="Sukanta Das"/>
    <s v="Private Retailer"/>
    <s v="9733577734"/>
    <n v="0.26100000000000001"/>
    <n v="149"/>
    <x v="0"/>
    <m/>
    <s v="2025-11-29"/>
    <s v="223807"/>
    <s v="M.K. Chemical and Fertilizers"/>
    <s v="9051316329"/>
  </r>
  <r>
    <s v="RCF Trombay"/>
    <s v="N.C.Urea(45kg)"/>
    <s v="WB"/>
    <x v="0"/>
    <s v="Bongaon"/>
    <s v="User Not Mapped"/>
    <s v="User Not Mapped"/>
    <s v="User Not Mapped"/>
    <n v="411511"/>
    <s v="Sukanta Das"/>
    <s v="Private Retailer"/>
    <s v="9733577734"/>
    <n v="0.09"/>
    <n v="430"/>
    <x v="6"/>
    <m/>
    <s v="2025-02-21"/>
    <s v="281511"/>
    <s v="Malakshmi Krishi Bhandar      "/>
    <s v="9800561868"/>
  </r>
  <r>
    <s v="RCF Thal"/>
    <s v="N.C.Urea(45kg)"/>
    <s v="WB"/>
    <x v="0"/>
    <s v="Bongaon"/>
    <s v="User Not Mapped"/>
    <s v="User Not Mapped"/>
    <s v="User Not Mapped"/>
    <n v="456800"/>
    <s v="Ashim Mondal"/>
    <s v="Private Retailer"/>
    <s v="9733832915"/>
    <n v="1.35"/>
    <n v="18"/>
    <x v="4"/>
    <m/>
    <s v="2026-04-09"/>
    <s v="223811"/>
    <s v="Chanchal Kumar Dey"/>
    <s v="9434616928"/>
  </r>
  <r>
    <s v="RCF Import"/>
    <s v="MOP"/>
    <s v="WB"/>
    <x v="0"/>
    <s v="Bongaon"/>
    <s v="User Not Mapped"/>
    <s v="User Not Mapped"/>
    <s v="User Not Mapped"/>
    <n v="456800"/>
    <s v="Ashim Mondal"/>
    <s v="Private Retailer"/>
    <s v="9733832915"/>
    <n v="0.15"/>
    <n v="66"/>
    <x v="2"/>
    <m/>
    <s v="2026-02-20"/>
    <s v="223811"/>
    <s v="Chanchal Kumar Dey"/>
    <s v="9434616928"/>
  </r>
  <r>
    <s v="RCF Trombay"/>
    <s v="15-15-15"/>
    <s v="WB"/>
    <x v="0"/>
    <s v="Bongaon"/>
    <s v="User Not Mapped"/>
    <s v="User Not Mapped"/>
    <s v="User Not Mapped"/>
    <n v="456860"/>
    <s v="Balianpur Skus Ltd"/>
    <s v="District Cooperative Marketing Society"/>
    <s v="6294477269"/>
    <n v="4.3"/>
    <n v="100"/>
    <x v="5"/>
    <m/>
    <s v="2026-01-17"/>
    <s v="223807"/>
    <s v="M.K. Chemical and Fertilizers"/>
    <s v="9051316329"/>
  </r>
  <r>
    <s v="RCF Trombay"/>
    <s v="N.C.Urea(45kg)"/>
    <s v="WB"/>
    <x v="0"/>
    <s v="Bongaon"/>
    <s v="User Not Mapped"/>
    <s v="User Not Mapped"/>
    <s v="User Not Mapped"/>
    <n v="456860"/>
    <s v="Balianpur Skus Ltd"/>
    <s v="District Cooperative Marketing Society"/>
    <s v="6294477269"/>
    <n v="3.42"/>
    <n v="100"/>
    <x v="5"/>
    <m/>
    <s v="2026-01-17"/>
    <s v="223807"/>
    <s v="M.K. Chemical and Fertilizers"/>
    <s v="9051316329"/>
  </r>
  <r>
    <s v="RCF Trombay"/>
    <s v="15-15-15"/>
    <s v="WB"/>
    <x v="0"/>
    <s v="Bongaon"/>
    <s v="User Not Mapped"/>
    <s v="User Not Mapped"/>
    <s v="User Not Mapped"/>
    <n v="456860"/>
    <s v="Balianpur Skus Ltd"/>
    <s v="District Cooperative Marketing Society"/>
    <s v="6294477269"/>
    <n v="11"/>
    <n v="75"/>
    <x v="2"/>
    <m/>
    <s v="2026-02-11"/>
    <s v="223807"/>
    <s v="M.K. Chemical and Fertilizers"/>
    <s v="9051316329"/>
  </r>
  <r>
    <s v="RCF Import"/>
    <s v="Imp 10-26-26"/>
    <s v="WB"/>
    <x v="0"/>
    <s v="Bongaon"/>
    <s v="User Not Mapped"/>
    <s v="User Not Mapped"/>
    <s v="User Not Mapped"/>
    <n v="457310"/>
    <s v="Ranjit Biswas"/>
    <s v="Private Retailer"/>
    <s v="9679194241"/>
    <n v="2.5000000000000001E-2"/>
    <n v="279"/>
    <x v="3"/>
    <m/>
    <s v="2025-07-22"/>
    <s v="460751"/>
    <s v="Bachu Gain"/>
    <s v="7384859398"/>
  </r>
  <r>
    <s v="RCF Trombay"/>
    <s v="15-15-15"/>
    <s v="WB"/>
    <x v="0"/>
    <s v="Bongaon"/>
    <s v="User Not Mapped"/>
    <s v="User Not Mapped"/>
    <s v="User Not Mapped"/>
    <n v="457310"/>
    <s v="Ranjit Biswas"/>
    <s v="Private Retailer"/>
    <s v="9679194241"/>
    <n v="0.5"/>
    <n v="279"/>
    <x v="3"/>
    <m/>
    <s v="2025-07-22"/>
    <s v="460751"/>
    <s v="Bachu Gain"/>
    <s v="7384859398"/>
  </r>
  <r>
    <s v="RCF Thal"/>
    <s v="N.C.Urea(45kg)"/>
    <s v="WB"/>
    <x v="0"/>
    <s v="Bongaon"/>
    <s v="User Not Mapped"/>
    <s v="User Not Mapped"/>
    <s v="User Not Mapped"/>
    <n v="457310"/>
    <s v="Ranjit Biswas"/>
    <s v="Private Retailer"/>
    <s v="9679194241"/>
    <n v="9.99"/>
    <n v="199"/>
    <x v="3"/>
    <m/>
    <s v="2025-10-10"/>
    <s v="281522"/>
    <s v="N.C. Das and Co."/>
    <s v="6297603863"/>
  </r>
  <r>
    <s v="RCF Trombay"/>
    <s v="N.C.Urea(45kg)"/>
    <s v="WB"/>
    <x v="0"/>
    <s v="Bongaon"/>
    <s v="User Not Mapped"/>
    <s v="User Not Mapped"/>
    <s v="User Not Mapped"/>
    <n v="457310"/>
    <s v="Ranjit Biswas"/>
    <s v="Private Retailer"/>
    <s v="9679194241"/>
    <n v="3.4649999999999999"/>
    <n v="264"/>
    <x v="3"/>
    <m/>
    <s v="2025-08-06"/>
    <s v="460751"/>
    <s v="Bachu Gain"/>
    <s v="7384859398"/>
  </r>
  <r>
    <s v="RCF Import"/>
    <s v="MOP"/>
    <s v="WB"/>
    <x v="0"/>
    <s v="Bongaon"/>
    <s v="User Not Mapped"/>
    <s v="User Not Mapped"/>
    <s v="User Not Mapped"/>
    <n v="457312"/>
    <s v="Niranjan Biswas"/>
    <s v="Private Retailer"/>
    <s v="8967046512"/>
    <n v="1.5"/>
    <n v="25"/>
    <x v="4"/>
    <m/>
    <s v="2026-04-02"/>
    <s v="1054125"/>
    <s v="Mondal Stores"/>
    <s v="9749959358"/>
  </r>
  <r>
    <s v="RCF Thal"/>
    <s v="N.C.Urea(45kg)"/>
    <s v="WB"/>
    <x v="0"/>
    <s v="Bongaon"/>
    <s v="User Not Mapped"/>
    <s v="User Not Mapped"/>
    <s v="User Not Mapped"/>
    <n v="457312"/>
    <s v="Niranjan Biswas"/>
    <s v="Private Retailer"/>
    <s v="8967046512"/>
    <n v="4.05"/>
    <n v="46"/>
    <x v="1"/>
    <m/>
    <s v="2026-03-12"/>
    <s v="268815"/>
    <s v="Chitta Ranjan Dey"/>
    <s v="9434744870"/>
  </r>
  <r>
    <s v="RCF Thal"/>
    <s v="N.C.Urea(45kg)"/>
    <s v="WB"/>
    <x v="0"/>
    <s v="Bongaon"/>
    <s v="User Not Mapped"/>
    <s v="User Not Mapped"/>
    <s v="User Not Mapped"/>
    <n v="457312"/>
    <s v="Niranjan Biswas"/>
    <s v="Private Retailer"/>
    <s v="8967046512"/>
    <n v="9.99"/>
    <n v="25"/>
    <x v="4"/>
    <m/>
    <s v="2026-04-02"/>
    <s v="223807"/>
    <s v="M.K. Chemical and Fertilizers"/>
    <s v="9051316329"/>
  </r>
  <r>
    <s v="RCF Thal"/>
    <s v="N.C.Urea(45kg)"/>
    <s v="WB"/>
    <x v="0"/>
    <s v="Bongaon"/>
    <s v="User Not Mapped"/>
    <s v="User Not Mapped"/>
    <s v="User Not Mapped"/>
    <n v="457320"/>
    <s v="Abdul Alim Sardar"/>
    <s v="Private Retailer"/>
    <s v="7427915210"/>
    <n v="1.1850000000000001"/>
    <n v="278"/>
    <x v="3"/>
    <m/>
    <s v="2025-07-23"/>
    <s v="268815"/>
    <s v="Chitta Ranjan Dey"/>
    <s v="9434744870"/>
  </r>
  <r>
    <s v="RCF Trombay"/>
    <s v="N.C.Urea(45kg)"/>
    <s v="WB"/>
    <x v="0"/>
    <s v="Bongaon"/>
    <s v="User Not Mapped"/>
    <s v="User Not Mapped"/>
    <s v="User Not Mapped"/>
    <n v="457320"/>
    <s v="Abdul Alim Sardar"/>
    <s v="Private Retailer"/>
    <s v="7427915210"/>
    <n v="2.7"/>
    <n v="70"/>
    <x v="2"/>
    <m/>
    <s v="2026-02-16"/>
    <s v="268815"/>
    <s v="Chitta Ranjan Dey"/>
    <s v="9434744870"/>
  </r>
  <r>
    <s v="RCF Trombay"/>
    <s v="N.C.Urea(45kg)"/>
    <s v="WB"/>
    <x v="0"/>
    <s v="Bongaon"/>
    <s v="User Not Mapped"/>
    <s v="User Not Mapped"/>
    <s v="User Not Mapped"/>
    <n v="457450"/>
    <s v="Subrata Mondal"/>
    <s v="Private Retailer"/>
    <s v="9932234865"/>
    <n v="6.22"/>
    <n v="75"/>
    <x v="2"/>
    <m/>
    <s v="2026-02-11"/>
    <s v="1219923"/>
    <s v="SHIMUL HAZRA"/>
    <s v="9932572558"/>
  </r>
  <r>
    <s v="RCF Import"/>
    <s v="Imp 10-26-26"/>
    <s v="WB"/>
    <x v="0"/>
    <s v="Bongaon"/>
    <s v="User Not Mapped"/>
    <s v="User Not Mapped"/>
    <s v="User Not Mapped"/>
    <n v="457486"/>
    <s v="Shimul Hazra"/>
    <s v="Private Retailer"/>
    <s v="9732863371"/>
    <n v="8.5"/>
    <n v="30"/>
    <x v="4"/>
    <m/>
    <s v="2026-03-28"/>
    <s v="1219923"/>
    <s v="SHIMUL HAZRA"/>
    <s v="9932572558"/>
  </r>
  <r>
    <s v="RCF Trombay"/>
    <s v="N.C.Urea(45kg)"/>
    <s v="WB"/>
    <x v="0"/>
    <s v="Bongaon"/>
    <s v="User Not Mapped"/>
    <s v="User Not Mapped"/>
    <s v="User Not Mapped"/>
    <n v="457486"/>
    <s v="Shimul Hazra"/>
    <s v="Private Retailer"/>
    <s v="9732863371"/>
    <n v="4.4999999999999998E-2"/>
    <n v="93"/>
    <x v="5"/>
    <m/>
    <s v="2026-01-24"/>
    <s v="268815"/>
    <s v="Chitta Ranjan Dey"/>
    <s v="9434744870"/>
  </r>
  <r>
    <s v="RCF Thal"/>
    <s v="N.C.Urea(45kg)"/>
    <s v="WB"/>
    <x v="0"/>
    <s v="Bongaon"/>
    <s v="User Not Mapped"/>
    <s v="User Not Mapped"/>
    <s v="User Not Mapped"/>
    <n v="457486"/>
    <s v="Shimul Hazra"/>
    <s v="Private Retailer"/>
    <s v="9732863371"/>
    <n v="5.13"/>
    <n v="73"/>
    <x v="2"/>
    <m/>
    <s v="2026-02-13"/>
    <s v="268815"/>
    <s v="Chitta Ranjan Dey"/>
    <s v="9434744870"/>
  </r>
  <r>
    <s v="RCF Trombay"/>
    <s v="N.C.Urea(45kg)"/>
    <s v="WB"/>
    <x v="0"/>
    <s v="Bongaon"/>
    <s v="User Not Mapped"/>
    <s v="User Not Mapped"/>
    <s v="User Not Mapped"/>
    <n v="457486"/>
    <s v="Shimul Hazra"/>
    <s v="Private Retailer"/>
    <s v="9732863371"/>
    <n v="5.49"/>
    <n v="73"/>
    <x v="2"/>
    <m/>
    <s v="2026-02-13"/>
    <s v="268815"/>
    <s v="Chitta Ranjan Dey"/>
    <s v="9434744870"/>
  </r>
  <r>
    <s v="RCF Trombay"/>
    <s v="15-15-15"/>
    <s v="WB"/>
    <x v="0"/>
    <s v="Bongaon"/>
    <s v="User Not Mapped"/>
    <s v="User Not Mapped"/>
    <s v="User Not Mapped"/>
    <n v="457490"/>
    <s v="Abul Kalam Tarafder"/>
    <s v="Private Retailer"/>
    <s v="9064303159"/>
    <n v="3.25"/>
    <n v="93"/>
    <x v="5"/>
    <m/>
    <s v="2026-01-24"/>
    <s v="268815"/>
    <s v="Chitta Ranjan Dey"/>
    <s v="9434744870"/>
  </r>
  <r>
    <s v="RCF Thal"/>
    <s v="N.C.Urea(45kg)"/>
    <s v="WB"/>
    <x v="0"/>
    <s v="Bongaon"/>
    <s v="User Not Mapped"/>
    <s v="User Not Mapped"/>
    <s v="User Not Mapped"/>
    <n v="457490"/>
    <s v="Abul Kalam Tarafder"/>
    <s v="Private Retailer"/>
    <s v="9064303159"/>
    <n v="9.99"/>
    <n v="20"/>
    <x v="4"/>
    <m/>
    <s v="2026-04-07"/>
    <s v="268815"/>
    <s v="Chitta Ranjan Dey"/>
    <s v="9434744870"/>
  </r>
  <r>
    <s v="RCF Import"/>
    <s v="MOP"/>
    <s v="WB"/>
    <x v="0"/>
    <s v="Bongaon"/>
    <s v="User Not Mapped"/>
    <s v="User Not Mapped"/>
    <s v="User Not Mapped"/>
    <n v="458125"/>
    <s v="Ruhal Amin Mondal"/>
    <s v="Private Retailer"/>
    <s v="9609280571"/>
    <n v="0.5"/>
    <n v="25"/>
    <x v="4"/>
    <m/>
    <s v="2026-04-02"/>
    <s v="1054125"/>
    <s v="Mondal Stores"/>
    <s v="9749959358"/>
  </r>
  <r>
    <s v="RCF Trombay"/>
    <s v="15-15-15"/>
    <s v="WB"/>
    <x v="0"/>
    <s v="Bongaon"/>
    <s v="User Not Mapped"/>
    <s v="User Not Mapped"/>
    <s v="User Not Mapped"/>
    <n v="458125"/>
    <s v="Ruhal Amin Mondal"/>
    <s v="Private Retailer"/>
    <s v="9609280571"/>
    <n v="0.85"/>
    <n v="279"/>
    <x v="3"/>
    <m/>
    <s v="2025-07-22"/>
    <s v="460751"/>
    <s v="Bachu Gain"/>
    <s v="7384859398"/>
  </r>
  <r>
    <s v="RCF Import"/>
    <s v="Imp 10-26-26"/>
    <s v="WB"/>
    <x v="0"/>
    <s v="Bongaon"/>
    <s v="User Not Mapped"/>
    <s v="User Not Mapped"/>
    <s v="User Not Mapped"/>
    <n v="458125"/>
    <s v="Ruhal Amin Mondal"/>
    <s v="Private Retailer"/>
    <s v="9609280571"/>
    <n v="0.75"/>
    <n v="204"/>
    <x v="3"/>
    <m/>
    <s v="2025-10-05"/>
    <s v="460751"/>
    <s v="Bachu Gain"/>
    <s v="7384859398"/>
  </r>
  <r>
    <s v="RCF Thal"/>
    <s v="N.C.Urea(45kg)"/>
    <s v="WB"/>
    <x v="0"/>
    <s v="Bongaon"/>
    <s v="User Not Mapped"/>
    <s v="User Not Mapped"/>
    <s v="User Not Mapped"/>
    <n v="458444"/>
    <s v="Ajay Kumar Das"/>
    <s v="Private Retailer"/>
    <s v="9749802253"/>
    <n v="0.46"/>
    <n v="401"/>
    <x v="6"/>
    <m/>
    <s v="2025-03-22"/>
    <s v="1466654"/>
    <s v="HIRANMOY SARKAR"/>
    <s v="9733584729"/>
  </r>
  <r>
    <s v="RCF Thal"/>
    <s v="N.C.Urea(45kg)"/>
    <s v="WB"/>
    <x v="0"/>
    <s v="Bongaon"/>
    <s v="User Not Mapped"/>
    <s v="User Not Mapped"/>
    <s v="User Not Mapped"/>
    <n v="458444"/>
    <s v="Ajay Kumar Das"/>
    <s v="Private Retailer"/>
    <s v="9749802253"/>
    <n v="1.35"/>
    <n v="375"/>
    <x v="6"/>
    <m/>
    <s v="2025-04-17"/>
    <s v="1466654"/>
    <s v="HIRANMOY SARKAR"/>
    <s v="9733584729"/>
  </r>
  <r>
    <s v="RCF Thal"/>
    <s v="N.C.Urea(45kg)"/>
    <s v="WB"/>
    <x v="0"/>
    <s v="Bongaon"/>
    <s v="User Not Mapped"/>
    <s v="User Not Mapped"/>
    <s v="User Not Mapped"/>
    <n v="458444"/>
    <s v="Ajay Kumar Das"/>
    <s v="Private Retailer"/>
    <s v="9749802253"/>
    <n v="1"/>
    <n v="188"/>
    <x v="3"/>
    <m/>
    <s v="2025-10-21"/>
    <s v="1466654"/>
    <s v="HIRANMOY SARKAR"/>
    <s v="9733584729"/>
  </r>
  <r>
    <s v="RCF Trombay"/>
    <s v="15-15-15"/>
    <s v="WB"/>
    <x v="0"/>
    <s v="Bongaon"/>
    <s v="User Not Mapped"/>
    <s v="User Not Mapped"/>
    <s v="User Not Mapped"/>
    <n v="458460"/>
    <s v="Sariot Mondal"/>
    <s v="Private Retailer"/>
    <s v="9064320595"/>
    <n v="5.5"/>
    <n v="60"/>
    <x v="1"/>
    <m/>
    <s v="2026-02-26"/>
    <s v="223807"/>
    <s v="M.K. Chemical and Fertilizers"/>
    <s v="9051316329"/>
  </r>
  <r>
    <s v="RCF Thal"/>
    <s v="N.C.Urea(45kg)"/>
    <s v="WB"/>
    <x v="0"/>
    <s v="Bongaon"/>
    <s v="User Not Mapped"/>
    <s v="User Not Mapped"/>
    <s v="User Not Mapped"/>
    <n v="458460"/>
    <s v="Sariot Mondal"/>
    <s v="Private Retailer"/>
    <s v="9064320595"/>
    <n v="5.49"/>
    <n v="42"/>
    <x v="1"/>
    <m/>
    <s v="2026-03-16"/>
    <s v="281522"/>
    <s v="N.C. Das and Co."/>
    <s v="6297603863"/>
  </r>
  <r>
    <s v="RCF Trombay"/>
    <s v="15-15-15"/>
    <s v="WB"/>
    <x v="0"/>
    <s v="Bongaon"/>
    <s v="User Not Mapped"/>
    <s v="User Not Mapped"/>
    <s v="User Not Mapped"/>
    <n v="458460"/>
    <s v="Sariot Mondal"/>
    <s v="Private Retailer"/>
    <s v="9064320595"/>
    <n v="0.4"/>
    <n v="75"/>
    <x v="2"/>
    <m/>
    <s v="2026-02-11"/>
    <s v="223807"/>
    <s v="M.K. Chemical and Fertilizers"/>
    <s v="9051316329"/>
  </r>
  <r>
    <s v="RCF Thal"/>
    <s v="N.C.Urea(45kg)"/>
    <s v="WB"/>
    <x v="0"/>
    <s v="Bongaon"/>
    <s v="User Not Mapped"/>
    <s v="User Not Mapped"/>
    <s v="User Not Mapped"/>
    <n v="479310"/>
    <s v="Bimal Chakravorthy"/>
    <s v="Private Retailer"/>
    <s v="9733867590"/>
    <n v="3.33"/>
    <n v="46"/>
    <x v="1"/>
    <m/>
    <s v="2026-03-12"/>
    <s v="268815"/>
    <s v="Chitta Ranjan Dey"/>
    <s v="9434744870"/>
  </r>
  <r>
    <s v="RCF Trombay"/>
    <s v="15-15-15"/>
    <s v="WB"/>
    <x v="0"/>
    <s v="Bongaon"/>
    <s v="User Not Mapped"/>
    <s v="User Not Mapped"/>
    <s v="User Not Mapped"/>
    <n v="479320"/>
    <s v="Mukesh Fertilizer"/>
    <s v="Private Retailer"/>
    <s v="8609321615"/>
    <n v="2.5"/>
    <n v="83"/>
    <x v="2"/>
    <m/>
    <s v="2026-02-03"/>
    <s v="281522"/>
    <s v="N.C. Das and Co."/>
    <s v="6297603863"/>
  </r>
  <r>
    <s v="RCF Thal"/>
    <s v="N.C.Urea(45kg)"/>
    <s v="WB"/>
    <x v="0"/>
    <s v="Bongaon"/>
    <s v="User Not Mapped"/>
    <s v="User Not Mapped"/>
    <s v="User Not Mapped"/>
    <n v="479759"/>
    <s v="Fatik Chandra Mondal"/>
    <s v="Private Retailer"/>
    <s v="9333508337"/>
    <n v="6.75"/>
    <n v="1"/>
    <x v="4"/>
    <m/>
    <s v="2026-04-26"/>
    <s v="268815"/>
    <s v="Chitta Ranjan Dey"/>
    <s v="9434744870"/>
  </r>
  <r>
    <s v="RCF Import"/>
    <s v="MOP"/>
    <s v="WB"/>
    <x v="0"/>
    <s v="Bongaon"/>
    <s v="User Not Mapped"/>
    <s v="User Not Mapped"/>
    <s v="User Not Mapped"/>
    <n v="479759"/>
    <s v="Fatik Chandra Mondal"/>
    <s v="Private Retailer"/>
    <s v="9333508337"/>
    <n v="0.8"/>
    <n v="464"/>
    <x v="6"/>
    <m/>
    <s v="2025-01-18"/>
    <s v="544994"/>
    <s v="Ranjit Debnath"/>
    <s v="9732922923"/>
  </r>
  <r>
    <s v="RCF Trombay"/>
    <s v="N.C.Urea(45kg)"/>
    <s v="WB"/>
    <x v="0"/>
    <s v="Bongaon"/>
    <s v="User Not Mapped"/>
    <s v="User Not Mapped"/>
    <s v="User Not Mapped"/>
    <n v="484500"/>
    <s v="Sushanta Aich"/>
    <s v="Private Retailer"/>
    <s v="9153397039"/>
    <n v="0.09"/>
    <n v="139"/>
    <x v="0"/>
    <m/>
    <s v="2025-12-09"/>
    <s v="281522"/>
    <s v="N.C. Das and Co."/>
    <s v="6297603863"/>
  </r>
  <r>
    <s v="RCF Trombay"/>
    <s v="15-15-15"/>
    <s v="WB"/>
    <x v="0"/>
    <s v="Bongaon"/>
    <s v="User Not Mapped"/>
    <s v="User Not Mapped"/>
    <s v="User Not Mapped"/>
    <n v="484506"/>
    <s v="Surojit Mondal"/>
    <s v="Private Retailer"/>
    <s v="9564341464"/>
    <n v="5.5"/>
    <n v="100"/>
    <x v="5"/>
    <m/>
    <s v="2026-01-17"/>
    <s v="223807"/>
    <s v="M.K. Chemical and Fertilizers"/>
    <s v="9051316329"/>
  </r>
  <r>
    <s v="RCF Trombay"/>
    <s v="15-15-15"/>
    <s v="WB"/>
    <x v="0"/>
    <s v="Bongaon"/>
    <s v="User Not Mapped"/>
    <s v="User Not Mapped"/>
    <s v="User Not Mapped"/>
    <n v="484506"/>
    <s v="Surojit Mondal"/>
    <s v="Private Retailer"/>
    <s v="9564341464"/>
    <n v="1.35"/>
    <n v="364"/>
    <x v="3"/>
    <m/>
    <s v="2025-04-28"/>
    <s v="223807"/>
    <s v="M.K. Chemical and Fertilizers"/>
    <s v="9051316329"/>
  </r>
  <r>
    <s v="RCF Trombay"/>
    <s v="15-15-15"/>
    <s v="WB"/>
    <x v="0"/>
    <s v="Bongaon"/>
    <s v="User Not Mapped"/>
    <s v="User Not Mapped"/>
    <s v="User Not Mapped"/>
    <n v="487199"/>
    <s v="Salim Ali Khan"/>
    <s v="Private Retailer"/>
    <s v="9732441513"/>
    <n v="1.57"/>
    <n v="480"/>
    <x v="6"/>
    <m/>
    <s v="2025-01-02"/>
    <s v="289634"/>
    <s v="Sankar Lal Saha"/>
    <s v="9830026138"/>
  </r>
  <r>
    <s v="RCF Trombay"/>
    <s v="N.C.Urea(45kg)"/>
    <s v="WB"/>
    <x v="0"/>
    <s v="Bongaon"/>
    <s v="User Not Mapped"/>
    <s v="User Not Mapped"/>
    <s v="User Not Mapped"/>
    <n v="490663"/>
    <s v="Sanjoy Mitra and Pannalal Mitra"/>
    <s v="Private Retailer"/>
    <s v="9832286850"/>
    <n v="4.7300000000000004"/>
    <n v="56"/>
    <x v="1"/>
    <m/>
    <s v="2026-03-02"/>
    <s v="1219923"/>
    <s v="SHIMUL HAZRA"/>
    <s v="9932572558"/>
  </r>
  <r>
    <s v="RCF Trombay"/>
    <s v="N.C.Urea(45kg)"/>
    <s v="WB"/>
    <x v="0"/>
    <s v="Bongaon"/>
    <s v="User Not Mapped"/>
    <s v="User Not Mapped"/>
    <s v="User Not Mapped"/>
    <n v="490665"/>
    <s v="Bikash Ch.Sarkar"/>
    <s v="Private Retailer"/>
    <s v="9735784501"/>
    <n v="3.15"/>
    <n v="92"/>
    <x v="5"/>
    <m/>
    <s v="2026-01-25"/>
    <s v="1048909"/>
    <s v="B K ROY AND COMPANY"/>
    <s v="9734516484"/>
  </r>
  <r>
    <s v="RCF Trombay"/>
    <s v="N.C.Urea(45kg)"/>
    <s v="WB"/>
    <x v="0"/>
    <s v="Bongaon"/>
    <s v="User Not Mapped"/>
    <s v="User Not Mapped"/>
    <s v="User Not Mapped"/>
    <n v="490665"/>
    <s v="Bikash Ch.Sarkar"/>
    <s v="Private Retailer"/>
    <s v="9735784501"/>
    <n v="4.4999999999999998E-2"/>
    <n v="222"/>
    <x v="3"/>
    <m/>
    <s v="2025-09-17"/>
    <s v="1048909"/>
    <s v="B K ROY AND COMPANY"/>
    <s v="9734516484"/>
  </r>
  <r>
    <s v="RCF Trombay"/>
    <s v="15-15-15"/>
    <s v="WB"/>
    <x v="0"/>
    <s v="Bongaon"/>
    <s v="User Not Mapped"/>
    <s v="User Not Mapped"/>
    <s v="User Not Mapped"/>
    <n v="490665"/>
    <s v="Bikash Ch.Sarkar"/>
    <s v="Private Retailer"/>
    <s v="9735784501"/>
    <n v="0.95"/>
    <n v="255"/>
    <x v="3"/>
    <m/>
    <s v="2025-08-15"/>
    <s v="1048909"/>
    <s v="B K ROY AND COMPANY"/>
    <s v="9734516484"/>
  </r>
  <r>
    <s v="RCF Trombay"/>
    <s v="15-15-15"/>
    <s v="WB"/>
    <x v="0"/>
    <s v="Bongaon"/>
    <s v="User Not Mapped"/>
    <s v="User Not Mapped"/>
    <s v="User Not Mapped"/>
    <n v="490665"/>
    <s v="Bikash Ch.Sarkar"/>
    <s v="Private Retailer"/>
    <s v="9735784501"/>
    <n v="3"/>
    <n v="92"/>
    <x v="5"/>
    <m/>
    <s v="2026-01-25"/>
    <s v="1048909"/>
    <s v="B K ROY AND COMPANY"/>
    <s v="9734516484"/>
  </r>
  <r>
    <s v="RCF Thal"/>
    <s v="N.C.Urea(45kg)"/>
    <s v="WB"/>
    <x v="0"/>
    <s v="Bongaon"/>
    <s v="User Not Mapped"/>
    <s v="User Not Mapped"/>
    <s v="User Not Mapped"/>
    <n v="490665"/>
    <s v="Bikash Ch.Sarkar"/>
    <s v="Private Retailer"/>
    <s v="9735784501"/>
    <n v="2.7450000000000001"/>
    <n v="45"/>
    <x v="1"/>
    <m/>
    <s v="2026-03-13"/>
    <s v="1048909"/>
    <s v="B K ROY AND COMPANY"/>
    <s v="9734516484"/>
  </r>
  <r>
    <s v="RCF Trombay"/>
    <s v="N.C.Urea(45kg)"/>
    <s v="WB"/>
    <x v="0"/>
    <s v="Bongaon"/>
    <s v="User Not Mapped"/>
    <s v="User Not Mapped"/>
    <s v="User Not Mapped"/>
    <n v="490665"/>
    <s v="Bikash Ch.Sarkar"/>
    <s v="Private Retailer"/>
    <s v="9735784501"/>
    <n v="3.15"/>
    <n v="76"/>
    <x v="2"/>
    <m/>
    <s v="2026-02-10"/>
    <s v="1048909"/>
    <s v="B K ROY AND COMPANY"/>
    <s v="9734516484"/>
  </r>
  <r>
    <s v="RCF Import"/>
    <s v="Imp 10-26-26"/>
    <s v="WB"/>
    <x v="0"/>
    <s v="Bongaon"/>
    <s v="User Not Mapped"/>
    <s v="User Not Mapped"/>
    <s v="User Not Mapped"/>
    <n v="490669"/>
    <s v="Amzad Hossain Tarafder"/>
    <s v="Private Retailer"/>
    <s v="7797039903"/>
    <n v="0.5"/>
    <n v="308"/>
    <x v="3"/>
    <m/>
    <s v="2025-06-23"/>
    <s v="1054125"/>
    <s v="Mondal Stores"/>
    <s v="9749959358"/>
  </r>
  <r>
    <s v="RCF Import"/>
    <s v="MOP"/>
    <s v="WB"/>
    <x v="0"/>
    <s v="Bongaon"/>
    <s v="User Not Mapped"/>
    <s v="User Not Mapped"/>
    <s v="User Not Mapped"/>
    <n v="490669"/>
    <s v="Amzad Hossain Tarafder"/>
    <s v="Private Retailer"/>
    <s v="7797039903"/>
    <n v="0.5"/>
    <n v="424"/>
    <x v="6"/>
    <m/>
    <s v="2025-02-27"/>
    <s v="1054125"/>
    <s v="Mondal Stores"/>
    <s v="9749959358"/>
  </r>
  <r>
    <s v="RCF Trombay"/>
    <s v="15-15-15"/>
    <s v="WB"/>
    <x v="0"/>
    <s v="Bongaon"/>
    <s v="User Not Mapped"/>
    <s v="User Not Mapped"/>
    <s v="User Not Mapped"/>
    <n v="493631"/>
    <s v="Kalpana Roy"/>
    <s v="Private Retailer"/>
    <s v="8001232446"/>
    <n v="1"/>
    <n v="40"/>
    <x v="1"/>
    <m/>
    <s v="2026-03-18"/>
    <s v="281511"/>
    <s v="Malakshmi Krishi Bhandar      "/>
    <s v="9800561868"/>
  </r>
  <r>
    <s v="RCF Thal"/>
    <s v="N.C.Urea(45kg)"/>
    <s v="WB"/>
    <x v="0"/>
    <s v="Bongaon"/>
    <s v="User Not Mapped"/>
    <s v="User Not Mapped"/>
    <s v="User Not Mapped"/>
    <n v="497679"/>
    <s v="Ashit Kr.Mondal"/>
    <s v="Private Retailer"/>
    <s v="9732947569"/>
    <n v="4.9950000000000001"/>
    <n v="17"/>
    <x v="4"/>
    <m/>
    <s v="2026-04-10"/>
    <s v="268815"/>
    <s v="Chitta Ranjan Dey"/>
    <s v="9434744870"/>
  </r>
  <r>
    <s v="RCF Import"/>
    <s v="MOP"/>
    <s v="WB"/>
    <x v="0"/>
    <s v="Bongaon"/>
    <s v="User Not Mapped"/>
    <s v="User Not Mapped"/>
    <s v="User Not Mapped"/>
    <n v="497685"/>
    <s v="YOUCHUP MONDAL"/>
    <s v="Private Retailer"/>
    <s v="9749959358"/>
    <n v="8.4499999999999993"/>
    <n v="63"/>
    <x v="2"/>
    <m/>
    <s v="2026-02-23"/>
    <s v="281522"/>
    <s v="N.C. Das and Co."/>
    <s v="6297603863"/>
  </r>
  <r>
    <s v="RCF Trombay"/>
    <s v="N.C.Urea(45kg)"/>
    <s v="WB"/>
    <x v="0"/>
    <s v="Bongaon"/>
    <s v="User Not Mapped"/>
    <s v="User Not Mapped"/>
    <s v="User Not Mapped"/>
    <n v="497685"/>
    <s v="YOUCHUP MONDAL"/>
    <s v="Private Retailer"/>
    <s v="9749959358"/>
    <n v="2.4750000000000001"/>
    <n v="86"/>
    <x v="2"/>
    <m/>
    <s v="2026-01-31"/>
    <s v="281522"/>
    <s v="N.C. Das and Co."/>
    <s v="6297603863"/>
  </r>
  <r>
    <s v="RCF Thal"/>
    <s v="N.C.Urea(45kg)"/>
    <s v="WB"/>
    <x v="0"/>
    <s v="Bongaon"/>
    <s v="User Not Mapped"/>
    <s v="User Not Mapped"/>
    <s v="User Not Mapped"/>
    <n v="497685"/>
    <s v="YOUCHUP MONDAL"/>
    <s v="Private Retailer"/>
    <s v="9749959358"/>
    <n v="1.7549999999999999"/>
    <n v="76"/>
    <x v="2"/>
    <m/>
    <s v="2026-02-10"/>
    <s v="268815"/>
    <s v="Chitta Ranjan Dey"/>
    <s v="9434744870"/>
  </r>
  <r>
    <s v="RCF Trombay"/>
    <s v="N.C.Urea(45kg)"/>
    <s v="WB"/>
    <x v="0"/>
    <s v="Bongaon"/>
    <s v="User Not Mapped"/>
    <s v="User Not Mapped"/>
    <s v="User Not Mapped"/>
    <n v="497685"/>
    <s v="YOUCHUP MONDAL"/>
    <s v="Private Retailer"/>
    <s v="9749959358"/>
    <n v="10.98"/>
    <n v="73"/>
    <x v="2"/>
    <m/>
    <s v="2026-02-13"/>
    <s v="268815"/>
    <s v="Chitta Ranjan Dey"/>
    <s v="9434744870"/>
  </r>
  <r>
    <s v="RCF Thal"/>
    <s v="N.C.Urea(45kg)"/>
    <s v="WB"/>
    <x v="0"/>
    <s v="Bongaon"/>
    <s v="User Not Mapped"/>
    <s v="User Not Mapped"/>
    <s v="User Not Mapped"/>
    <n v="497685"/>
    <s v="YOUCHUP MONDAL"/>
    <s v="Private Retailer"/>
    <s v="9749959358"/>
    <n v="9.99"/>
    <n v="17"/>
    <x v="4"/>
    <m/>
    <s v="2026-04-10"/>
    <s v="268815"/>
    <s v="Chitta Ranjan Dey"/>
    <s v="9434744870"/>
  </r>
  <r>
    <s v="RCF Trombay"/>
    <s v="15-15-15"/>
    <s v="WB"/>
    <x v="0"/>
    <s v="Bongaon"/>
    <s v="User Not Mapped"/>
    <s v="User Not Mapped"/>
    <s v="User Not Mapped"/>
    <n v="500871"/>
    <s v="Kutubuddin  Mondal"/>
    <s v="Private Retailer"/>
    <s v="9775267232"/>
    <n v="0.1"/>
    <n v="99"/>
    <x v="5"/>
    <m/>
    <s v="2026-01-18"/>
    <s v="268815"/>
    <s v="Chitta Ranjan Dey"/>
    <s v="9434744870"/>
  </r>
  <r>
    <s v="RCF Import"/>
    <s v="Imp 10-26-26"/>
    <s v="WB"/>
    <x v="0"/>
    <s v="Bongaon"/>
    <s v="User Not Mapped"/>
    <s v="User Not Mapped"/>
    <s v="User Not Mapped"/>
    <n v="500871"/>
    <s v="Kutubuddin  Mondal"/>
    <s v="Private Retailer"/>
    <s v="9775267232"/>
    <n v="0.1"/>
    <n v="265"/>
    <x v="3"/>
    <m/>
    <s v="2025-08-05"/>
    <s v="1466654"/>
    <s v="HIRANMOY SARKAR"/>
    <s v="9733584729"/>
  </r>
  <r>
    <s v="RCF Thal"/>
    <s v="N.C.Urea(45kg)"/>
    <s v="WB"/>
    <x v="0"/>
    <s v="Bongaon"/>
    <s v="User Not Mapped"/>
    <s v="User Not Mapped"/>
    <s v="User Not Mapped"/>
    <n v="500871"/>
    <s v="Kutubuddin  Mondal"/>
    <s v="Private Retailer"/>
    <s v="9775267232"/>
    <n v="4.1849999999999996"/>
    <n v="47"/>
    <x v="1"/>
    <m/>
    <s v="2026-03-11"/>
    <s v="223807"/>
    <s v="M.K. Chemical and Fertilizers"/>
    <s v="9051316329"/>
  </r>
  <r>
    <s v="RCF Trombay"/>
    <s v="15-15-15"/>
    <s v="WB"/>
    <x v="0"/>
    <s v="Bongaon"/>
    <s v="User Not Mapped"/>
    <s v="User Not Mapped"/>
    <s v="User Not Mapped"/>
    <n v="500871"/>
    <s v="Kutubuddin  Mondal"/>
    <s v="Private Retailer"/>
    <s v="9775267232"/>
    <n v="5"/>
    <n v="65"/>
    <x v="2"/>
    <m/>
    <s v="2026-02-21"/>
    <s v="223807"/>
    <s v="M.K. Chemical and Fertilizers"/>
    <s v="9051316329"/>
  </r>
  <r>
    <s v="RCF Trombay"/>
    <s v="N.C.Urea(45kg)"/>
    <s v="WB"/>
    <x v="0"/>
    <s v="Bongaon"/>
    <s v="User Not Mapped"/>
    <s v="User Not Mapped"/>
    <s v="User Not Mapped"/>
    <n v="500877"/>
    <s v="Prodipta Mondal"/>
    <s v="Private Retailer"/>
    <s v="9564680058"/>
    <n v="1.89"/>
    <n v="1182"/>
    <x v="7"/>
    <m/>
    <s v="2023-01-31"/>
    <s v="268815"/>
    <s v="Chitta Ranjan Dey"/>
    <s v="9434744870"/>
  </r>
  <r>
    <s v="RCF Trombay"/>
    <s v="N.C.Urea(45kg)"/>
    <s v="WB"/>
    <x v="0"/>
    <s v="Bongaon"/>
    <s v="User Not Mapped"/>
    <s v="User Not Mapped"/>
    <s v="User Not Mapped"/>
    <n v="501212"/>
    <s v="Subir Kumar Poddar"/>
    <s v="Private Retailer"/>
    <s v="9732960112"/>
    <n v="7.58"/>
    <n v="58"/>
    <x v="1"/>
    <m/>
    <s v="2026-02-28"/>
    <s v="223807"/>
    <s v="M.K. Chemical and Fertilizers"/>
    <s v="9051316329"/>
  </r>
  <r>
    <s v="RCF Trombay"/>
    <s v="15-15-15"/>
    <s v="WB"/>
    <x v="0"/>
    <s v="Bongaon"/>
    <s v="User Not Mapped"/>
    <s v="User Not Mapped"/>
    <s v="User Not Mapped"/>
    <n v="501429"/>
    <s v="Jhantu Biswas"/>
    <s v="Private Retailer"/>
    <s v="9093047087"/>
    <n v="1.5"/>
    <n v="100"/>
    <x v="5"/>
    <m/>
    <s v="2026-01-17"/>
    <s v="223807"/>
    <s v="M.K. Chemical and Fertilizers"/>
    <s v="9051316329"/>
  </r>
  <r>
    <s v="RCF Thal"/>
    <s v="N.C.Urea(45kg)"/>
    <s v="WB"/>
    <x v="0"/>
    <s v="Bongaon"/>
    <s v="User Not Mapped"/>
    <s v="User Not Mapped"/>
    <s v="User Not Mapped"/>
    <n v="501429"/>
    <s v="Jhantu Biswas"/>
    <s v="Private Retailer"/>
    <s v="9093047087"/>
    <n v="4.9950000000000001"/>
    <n v="17"/>
    <x v="4"/>
    <m/>
    <s v="2026-04-10"/>
    <s v="268815"/>
    <s v="Chitta Ranjan Dey"/>
    <s v="9434744870"/>
  </r>
  <r>
    <s v="RCF Import"/>
    <s v="Imp 10-26-26"/>
    <s v="WB"/>
    <x v="0"/>
    <s v="Bongaon"/>
    <s v="User Not Mapped"/>
    <s v="User Not Mapped"/>
    <s v="User Not Mapped"/>
    <n v="504539"/>
    <s v="Suryakanta Roy"/>
    <s v="Private Retailer"/>
    <s v="9734893591"/>
    <n v="0.435"/>
    <n v="455"/>
    <x v="6"/>
    <m/>
    <s v="2025-01-27"/>
    <s v="1466654"/>
    <s v="HIRANMOY SARKAR"/>
    <s v="9733584729"/>
  </r>
  <r>
    <s v="RCF Import"/>
    <s v="Imp 10-26-26"/>
    <s v="WB"/>
    <x v="0"/>
    <s v="Bongaon"/>
    <s v="User Not Mapped"/>
    <s v="User Not Mapped"/>
    <s v="User Not Mapped"/>
    <n v="517115"/>
    <s v="Haridas Bacchar"/>
    <s v="Private Retailer"/>
    <s v="8768621743"/>
    <n v="5.5"/>
    <n v="60"/>
    <x v="1"/>
    <m/>
    <s v="2026-02-26"/>
    <s v="223807"/>
    <s v="M.K. Chemical and Fertilizers"/>
    <s v="9051316329"/>
  </r>
  <r>
    <s v="RCF Thal"/>
    <s v="N.C.Urea(45kg)"/>
    <s v="WB"/>
    <x v="0"/>
    <s v="Bongaon"/>
    <s v="User Not Mapped"/>
    <s v="User Not Mapped"/>
    <s v="User Not Mapped"/>
    <n v="517115"/>
    <s v="Haridas Bacchar"/>
    <s v="Private Retailer"/>
    <s v="8768621743"/>
    <n v="9.99"/>
    <n v="25"/>
    <x v="4"/>
    <m/>
    <s v="2026-04-02"/>
    <s v="223807"/>
    <s v="M.K. Chemical and Fertilizers"/>
    <s v="9051316329"/>
  </r>
  <r>
    <s v="RCF Trombay"/>
    <s v="15-15-15"/>
    <s v="WB"/>
    <x v="0"/>
    <s v="Bongaon"/>
    <s v="User Not Mapped"/>
    <s v="User Not Mapped"/>
    <s v="User Not Mapped"/>
    <n v="517117"/>
    <s v="Shoag Mondal"/>
    <s v="Private Retailer"/>
    <s v="7908554269"/>
    <n v="5.25"/>
    <n v="71"/>
    <x v="2"/>
    <m/>
    <s v="2026-02-15"/>
    <s v="223812"/>
    <s v="M/S. Shyma Krishi B"/>
    <s v="8617629886"/>
  </r>
  <r>
    <s v="RCF Thal"/>
    <s v="N.C.Urea(45kg)"/>
    <s v="WB"/>
    <x v="0"/>
    <s v="Bongaon"/>
    <s v="User Not Mapped"/>
    <s v="User Not Mapped"/>
    <s v="User Not Mapped"/>
    <n v="517117"/>
    <s v="Shoag Mondal"/>
    <s v="Private Retailer"/>
    <s v="7908554269"/>
    <n v="5.04"/>
    <n v="202"/>
    <x v="3"/>
    <m/>
    <s v="2025-10-07"/>
    <s v="281522"/>
    <s v="N.C. Das and Co."/>
    <s v="6297603863"/>
  </r>
  <r>
    <s v="RCF Thal"/>
    <s v="N.C.Urea(45kg)"/>
    <s v="WB"/>
    <x v="0"/>
    <s v="Bongaon"/>
    <s v="User Not Mapped"/>
    <s v="User Not Mapped"/>
    <s v="User Not Mapped"/>
    <n v="517117"/>
    <s v="Shoag Mondal"/>
    <s v="Private Retailer"/>
    <s v="7908554269"/>
    <n v="10.845000000000001"/>
    <n v="181"/>
    <x v="3"/>
    <m/>
    <s v="2025-10-28"/>
    <s v="502354"/>
    <s v="Joy Shankar Dutta  Sons Ferti"/>
    <s v="9433002237"/>
  </r>
  <r>
    <s v="RCF Trombay"/>
    <s v="N.C.Urea(45kg)"/>
    <s v="WB"/>
    <x v="0"/>
    <s v="Bongaon"/>
    <s v="User Not Mapped"/>
    <s v="User Not Mapped"/>
    <s v="User Not Mapped"/>
    <n v="517117"/>
    <s v="Shoag Mondal"/>
    <s v="Private Retailer"/>
    <s v="7908554269"/>
    <n v="5.49"/>
    <n v="71"/>
    <x v="2"/>
    <m/>
    <s v="2026-02-15"/>
    <s v="223812"/>
    <s v="M/S. Shyma Krishi B"/>
    <s v="8617629886"/>
  </r>
  <r>
    <s v="RCF Trombay"/>
    <s v="N.C.Urea(45kg)"/>
    <s v="WB"/>
    <x v="0"/>
    <s v="Bongaon"/>
    <s v="User Not Mapped"/>
    <s v="User Not Mapped"/>
    <s v="User Not Mapped"/>
    <n v="520124"/>
    <s v="Pritam Enterprise"/>
    <s v="Private Retailer"/>
    <s v="9153209294"/>
    <n v="4.5449999999999999"/>
    <n v="537"/>
    <x v="6"/>
    <m/>
    <s v="2024-11-06"/>
    <s v="901234"/>
    <s v="M/S ARINDAM NANDI"/>
    <s v="9153209294"/>
  </r>
  <r>
    <s v="RCF Trombay"/>
    <s v="15-15-15"/>
    <s v="WB"/>
    <x v="0"/>
    <s v="Bongaon"/>
    <s v="User Not Mapped"/>
    <s v="User Not Mapped"/>
    <s v="User Not Mapped"/>
    <n v="520124"/>
    <s v="Pritam Enterprise"/>
    <s v="Private Retailer"/>
    <s v="9153209294"/>
    <n v="5.3"/>
    <n v="182"/>
    <x v="3"/>
    <m/>
    <s v="2025-10-27"/>
    <s v="223807"/>
    <s v="M.K. Chemical and Fertilizers"/>
    <s v="9051316329"/>
  </r>
  <r>
    <s v="RCF Trombay"/>
    <s v="15-15-15"/>
    <s v="WB"/>
    <x v="0"/>
    <s v="Bongaon"/>
    <s v="User Not Mapped"/>
    <s v="User Not Mapped"/>
    <s v="User Not Mapped"/>
    <n v="520124"/>
    <s v="Pritam Enterprise"/>
    <s v="Private Retailer"/>
    <s v="9153209294"/>
    <n v="1.25"/>
    <n v="136"/>
    <x v="0"/>
    <m/>
    <s v="2025-12-12"/>
    <s v="901234"/>
    <s v="M/S ARINDAM NANDI"/>
    <s v="9153209294"/>
  </r>
  <r>
    <s v="RCF Trombay"/>
    <s v="15-15-15"/>
    <s v="WB"/>
    <x v="0"/>
    <s v="Bongaon"/>
    <s v="User Not Mapped"/>
    <s v="User Not Mapped"/>
    <s v="User Not Mapped"/>
    <n v="520423"/>
    <s v="Prosenjit Roy"/>
    <s v="Private Retailer"/>
    <s v="8967248196"/>
    <n v="5.5"/>
    <n v="99"/>
    <x v="5"/>
    <m/>
    <s v="2026-01-18"/>
    <s v="223812"/>
    <s v="M/S. Shyma Krishi B"/>
    <s v="8617629886"/>
  </r>
  <r>
    <s v="RCF Import"/>
    <s v="Imp 10-26-26"/>
    <s v="WB"/>
    <x v="0"/>
    <s v="Bongaon"/>
    <s v="User Not Mapped"/>
    <s v="User Not Mapped"/>
    <s v="User Not Mapped"/>
    <n v="538098"/>
    <s v="DEBDAS MANDAL"/>
    <s v="Private Retailer"/>
    <s v="9735304431"/>
    <n v="9"/>
    <n v="2"/>
    <x v="4"/>
    <m/>
    <s v="2026-04-25"/>
    <s v="311050"/>
    <s v="M/S Suchitra Ghosh"/>
    <s v="9609145715"/>
  </r>
  <r>
    <s v="RCF Trombay"/>
    <s v="N.C.Urea(45kg)"/>
    <s v="WB"/>
    <x v="0"/>
    <s v="Bongaon"/>
    <s v="User Not Mapped"/>
    <s v="User Not Mapped"/>
    <s v="User Not Mapped"/>
    <n v="538098"/>
    <s v="DEBDAS MANDAL"/>
    <s v="Private Retailer"/>
    <s v="9735304431"/>
    <n v="5.1749999999999998"/>
    <n v="62"/>
    <x v="2"/>
    <m/>
    <s v="2026-02-24"/>
    <s v="268815"/>
    <s v="Chitta Ranjan Dey"/>
    <s v="9434744870"/>
  </r>
  <r>
    <s v="RCF Import"/>
    <s v="MOP"/>
    <s v="WB"/>
    <x v="0"/>
    <s v="Bongaon"/>
    <s v="User Not Mapped"/>
    <s v="User Not Mapped"/>
    <s v="User Not Mapped"/>
    <n v="538098"/>
    <s v="DEBDAS MANDAL"/>
    <s v="Private Retailer"/>
    <s v="9735304431"/>
    <n v="4"/>
    <n v="7"/>
    <x v="4"/>
    <m/>
    <s v="2026-04-20"/>
    <s v="1219939"/>
    <s v="LOKESH BISWAS"/>
    <s v="9933841755"/>
  </r>
  <r>
    <s v="RCF Import"/>
    <s v="MOP"/>
    <s v="WB"/>
    <x v="0"/>
    <s v="Bongaon"/>
    <s v="User Not Mapped"/>
    <s v="User Not Mapped"/>
    <s v="User Not Mapped"/>
    <n v="538098"/>
    <s v="DEBDAS MANDAL"/>
    <s v="Private Retailer"/>
    <s v="9735304431"/>
    <n v="1"/>
    <n v="8"/>
    <x v="4"/>
    <m/>
    <s v="2026-04-19"/>
    <s v="1219939"/>
    <s v="LOKESH BISWAS"/>
    <s v="9933841755"/>
  </r>
  <r>
    <s v="RCF Thal"/>
    <s v="N.C.Urea(45kg)"/>
    <s v="WB"/>
    <x v="0"/>
    <s v="Bongaon"/>
    <s v="User Not Mapped"/>
    <s v="User Not Mapped"/>
    <s v="User Not Mapped"/>
    <n v="538098"/>
    <s v="DEBDAS MANDAL"/>
    <s v="Private Retailer"/>
    <s v="9735304431"/>
    <n v="19.71"/>
    <n v="20"/>
    <x v="4"/>
    <m/>
    <s v="2026-04-07"/>
    <s v="268815"/>
    <s v="Chitta Ranjan Dey"/>
    <s v="9434744870"/>
  </r>
  <r>
    <s v="RCF Thal"/>
    <s v="N.C.Urea(45kg)"/>
    <s v="WB"/>
    <x v="0"/>
    <s v="Bongaon"/>
    <s v="User Not Mapped"/>
    <s v="User Not Mapped"/>
    <s v="User Not Mapped"/>
    <n v="538104"/>
    <s v="Sudip Kumar Sarkar"/>
    <s v="Private Retailer"/>
    <s v="9564496346"/>
    <n v="9.99"/>
    <n v="24"/>
    <x v="4"/>
    <m/>
    <s v="2026-04-03"/>
    <s v="289634"/>
    <s v="Sankar Lal Saha"/>
    <s v="9830026138"/>
  </r>
  <r>
    <s v="RCF Trombay"/>
    <s v="15-15-15"/>
    <s v="WB"/>
    <x v="0"/>
    <s v="Bongaon"/>
    <s v="User Not Mapped"/>
    <s v="User Not Mapped"/>
    <s v="User Not Mapped"/>
    <n v="538116"/>
    <s v="BHAJAHARI MONDAL"/>
    <s v="Private Retailer"/>
    <s v="9933842208"/>
    <n v="1.8"/>
    <n v="74"/>
    <x v="2"/>
    <m/>
    <s v="2026-02-12"/>
    <s v="223807"/>
    <s v="M.K. Chemical and Fertilizers"/>
    <s v="9051316329"/>
  </r>
  <r>
    <s v="RCF Thal"/>
    <s v="N.C.Urea(45kg)"/>
    <s v="WB"/>
    <x v="0"/>
    <s v="Bongaon"/>
    <s v="User Not Mapped"/>
    <s v="User Not Mapped"/>
    <s v="User Not Mapped"/>
    <n v="538116"/>
    <s v="BHAJAHARI MONDAL"/>
    <s v="Private Retailer"/>
    <s v="9933842208"/>
    <n v="6.5750000000000002"/>
    <n v="45"/>
    <x v="1"/>
    <m/>
    <s v="2026-03-13"/>
    <s v="268815"/>
    <s v="Chitta Ranjan Dey"/>
    <s v="9434744870"/>
  </r>
  <r>
    <s v="RCF Thal"/>
    <s v="N.C.Urea(45kg)"/>
    <s v="WB"/>
    <x v="0"/>
    <s v="Bongaon"/>
    <s v="User Not Mapped"/>
    <s v="User Not Mapped"/>
    <s v="User Not Mapped"/>
    <n v="543084"/>
    <s v="Paresh Debnath"/>
    <s v="Private Retailer"/>
    <s v="9732807076"/>
    <n v="4.4999999999999998E-2"/>
    <n v="73"/>
    <x v="2"/>
    <m/>
    <s v="2026-02-13"/>
    <s v="268815"/>
    <s v="Chitta Ranjan Dey"/>
    <s v="9434744870"/>
  </r>
  <r>
    <s v="RCF Thal"/>
    <s v="N.C.Urea(45kg)"/>
    <s v="WB"/>
    <x v="0"/>
    <s v="Bongaon"/>
    <s v="User Not Mapped"/>
    <s v="User Not Mapped"/>
    <s v="User Not Mapped"/>
    <n v="545838"/>
    <s v="Adhir Ch Biswas"/>
    <s v="Private Retailer"/>
    <s v="8926035600"/>
    <n v="5.49"/>
    <n v="46"/>
    <x v="1"/>
    <m/>
    <s v="2026-03-12"/>
    <s v="268815"/>
    <s v="Chitta Ranjan Dey"/>
    <s v="9434744870"/>
  </r>
  <r>
    <s v="RCF Trombay"/>
    <s v="N.C.Urea(45kg)"/>
    <s v="WB"/>
    <x v="0"/>
    <s v="Bongaon"/>
    <s v="User Not Mapped"/>
    <s v="User Not Mapped"/>
    <s v="User Not Mapped"/>
    <n v="545838"/>
    <s v="Adhir Ch Biswas"/>
    <s v="Private Retailer"/>
    <s v="8926035600"/>
    <n v="3.6"/>
    <n v="283"/>
    <x v="3"/>
    <m/>
    <s v="2025-07-18"/>
    <s v="281522"/>
    <s v="N.C. Das and Co."/>
    <s v="6297603863"/>
  </r>
  <r>
    <s v="RCF Import"/>
    <s v="MOP"/>
    <s v="WB"/>
    <x v="0"/>
    <s v="Bongaon"/>
    <s v="User Not Mapped"/>
    <s v="User Not Mapped"/>
    <s v="User Not Mapped"/>
    <n v="545838"/>
    <s v="Adhir Ch Biswas"/>
    <s v="Private Retailer"/>
    <s v="8926035600"/>
    <n v="1"/>
    <n v="25"/>
    <x v="4"/>
    <m/>
    <s v="2026-04-02"/>
    <s v="1054125"/>
    <s v="Mondal Stores"/>
    <s v="9749959358"/>
  </r>
  <r>
    <s v="RCF Trombay"/>
    <s v="N.C.Urea(45kg)"/>
    <s v="WB"/>
    <x v="0"/>
    <s v="Bongaon"/>
    <s v="User Not Mapped"/>
    <s v="User Not Mapped"/>
    <s v="User Not Mapped"/>
    <n v="545842"/>
    <s v="ABDUL JALIL MONDAL"/>
    <s v="Private Retailer"/>
    <s v="8609633093"/>
    <n v="7.02"/>
    <n v="90"/>
    <x v="2"/>
    <m/>
    <s v="2026-01-27"/>
    <s v="289634"/>
    <s v="Sankar Lal Saha"/>
    <s v="9830026138"/>
  </r>
  <r>
    <s v="RCF Trombay"/>
    <s v="15-15-15"/>
    <s v="WB"/>
    <x v="0"/>
    <s v="Bongaon"/>
    <s v="User Not Mapped"/>
    <s v="User Not Mapped"/>
    <s v="User Not Mapped"/>
    <n v="545842"/>
    <s v="ABDUL JALIL MONDAL"/>
    <s v="Private Retailer"/>
    <s v="8609633093"/>
    <n v="2"/>
    <n v="90"/>
    <x v="2"/>
    <m/>
    <s v="2026-01-27"/>
    <s v="289634"/>
    <s v="Sankar Lal Saha"/>
    <s v="9830026138"/>
  </r>
  <r>
    <s v="RCF Trombay"/>
    <s v="15-15-15"/>
    <s v="WB"/>
    <x v="0"/>
    <s v="Bongaon"/>
    <s v="User Not Mapped"/>
    <s v="User Not Mapped"/>
    <s v="User Not Mapped"/>
    <n v="545844"/>
    <s v="Prahlad Mondal"/>
    <s v="Private Retailer"/>
    <s v="9609511008"/>
    <n v="3"/>
    <n v="73"/>
    <x v="2"/>
    <m/>
    <s v="2026-02-13"/>
    <s v="268815"/>
    <s v="Chitta Ranjan Dey"/>
    <s v="9434744870"/>
  </r>
  <r>
    <s v="RCF Trombay"/>
    <s v="N.C.Urea(45kg)"/>
    <s v="WB"/>
    <x v="0"/>
    <s v="Bongaon"/>
    <s v="User Not Mapped"/>
    <s v="User Not Mapped"/>
    <s v="User Not Mapped"/>
    <n v="545844"/>
    <s v="Prahlad Mondal"/>
    <s v="Private Retailer"/>
    <s v="9609511008"/>
    <n v="0.79500000000000004"/>
    <n v="247"/>
    <x v="3"/>
    <m/>
    <s v="2025-08-23"/>
    <s v="268815"/>
    <s v="Chitta Ranjan Dey"/>
    <s v="9434744870"/>
  </r>
  <r>
    <s v="RCF Trombay"/>
    <s v="15-15-15"/>
    <s v="WB"/>
    <x v="0"/>
    <s v="Bongaon"/>
    <s v="User Not Mapped"/>
    <s v="User Not Mapped"/>
    <s v="User Not Mapped"/>
    <n v="547926"/>
    <s v="Bhabotosh Debnath"/>
    <s v="Private Retailer"/>
    <s v="9733543654"/>
    <n v="0.38"/>
    <n v="573"/>
    <x v="7"/>
    <m/>
    <s v="2024-10-01"/>
    <s v="281511"/>
    <s v="Malakshmi Krishi Bhandar      "/>
    <s v="9800561868"/>
  </r>
  <r>
    <s v="RCF Trombay"/>
    <s v="15-15-15"/>
    <s v="WB"/>
    <x v="0"/>
    <s v="Bongaon"/>
    <s v="User Not Mapped"/>
    <s v="User Not Mapped"/>
    <s v="User Not Mapped"/>
    <n v="555293"/>
    <s v="M/S Karuna Roy"/>
    <s v="Private Retailer"/>
    <s v="8001066332"/>
    <n v="3.8"/>
    <n v="213"/>
    <x v="3"/>
    <m/>
    <s v="2025-09-26"/>
    <s v="901234"/>
    <s v="M/S ARINDAM NANDI"/>
    <s v="9153209294"/>
  </r>
  <r>
    <s v="RCF Thal"/>
    <s v="N.C.Urea(45kg)"/>
    <s v="WB"/>
    <x v="0"/>
    <s v="Bongaon"/>
    <s v="User Not Mapped"/>
    <s v="User Not Mapped"/>
    <s v="User Not Mapped"/>
    <n v="555339"/>
    <s v="JILLUR RAHAMAN SARDAR"/>
    <s v="Private Retailer"/>
    <s v="9609279154"/>
    <n v="0.45"/>
    <n v="738"/>
    <x v="7"/>
    <m/>
    <s v="2024-04-19"/>
    <s v="1466654"/>
    <s v="HIRANMOY SARKAR"/>
    <s v="9733584729"/>
  </r>
  <r>
    <s v="RCF Import"/>
    <s v="Imp 10-26-26"/>
    <s v="WB"/>
    <x v="0"/>
    <s v="Bongaon"/>
    <s v="User Not Mapped"/>
    <s v="User Not Mapped"/>
    <s v="User Not Mapped"/>
    <n v="600955"/>
    <s v="Nirmal Ch. Paul"/>
    <s v="Private Retailer"/>
    <s v="8536801543"/>
    <n v="0.55000000000000004"/>
    <n v="234"/>
    <x v="3"/>
    <m/>
    <s v="2025-09-05"/>
    <s v="1466654"/>
    <s v="HIRANMOY SARKAR"/>
    <s v="9733584729"/>
  </r>
  <r>
    <s v="RCF Import"/>
    <s v="Imp 10-26-26"/>
    <s v="WB"/>
    <x v="0"/>
    <s v="Bongaon"/>
    <s v="User Not Mapped"/>
    <s v="User Not Mapped"/>
    <s v="User Not Mapped"/>
    <n v="600959"/>
    <s v="Abdul Alim Mondal"/>
    <s v="Private Retailer"/>
    <s v="9091487330"/>
    <n v="0.5"/>
    <n v="325"/>
    <x v="3"/>
    <m/>
    <s v="2025-06-06"/>
    <s v="1054125"/>
    <s v="Mondal Stores"/>
    <s v="9749959358"/>
  </r>
  <r>
    <s v="RCF Import"/>
    <s v="MOP"/>
    <s v="WB"/>
    <x v="0"/>
    <s v="Bongaon"/>
    <s v="User Not Mapped"/>
    <s v="User Not Mapped"/>
    <s v="User Not Mapped"/>
    <n v="602285"/>
    <s v="PAUL FERTILISER"/>
    <s v="Private Retailer"/>
    <s v="8001602759"/>
    <n v="2.5"/>
    <n v="59"/>
    <x v="1"/>
    <m/>
    <s v="2026-02-27"/>
    <s v="281522"/>
    <s v="N.C. Das and Co."/>
    <s v="6297603863"/>
  </r>
  <r>
    <s v="RCF Thal"/>
    <s v="N.C.Urea(45kg)"/>
    <s v="WB"/>
    <x v="0"/>
    <s v="Bongaon"/>
    <s v="User Not Mapped"/>
    <s v="User Not Mapped"/>
    <s v="User Not Mapped"/>
    <n v="602285"/>
    <s v="PAUL FERTILISER"/>
    <s v="Private Retailer"/>
    <s v="8001602759"/>
    <n v="2.61"/>
    <n v="47"/>
    <x v="1"/>
    <m/>
    <s v="2026-03-11"/>
    <s v="223812"/>
    <s v="M/S. Shyma Krishi B"/>
    <s v="8617629886"/>
  </r>
  <r>
    <s v="RCF Trombay"/>
    <s v="N.C.Urea(45kg)"/>
    <s v="WB"/>
    <x v="0"/>
    <s v="Bongaon"/>
    <s v="User Not Mapped"/>
    <s v="User Not Mapped"/>
    <s v="User Not Mapped"/>
    <n v="604330"/>
    <s v="JAGADISH SARKER"/>
    <s v="Private Retailer"/>
    <s v="9609549629"/>
    <n v="5"/>
    <n v="56"/>
    <x v="1"/>
    <m/>
    <s v="2026-03-02"/>
    <s v="1219923"/>
    <s v="SHIMUL HAZRA"/>
    <s v="9932572558"/>
  </r>
  <r>
    <s v="RCF Trombay"/>
    <s v="N.C.Urea(45kg)"/>
    <s v="WB"/>
    <x v="0"/>
    <s v="Bongaon"/>
    <s v="User Not Mapped"/>
    <s v="User Not Mapped"/>
    <s v="User Not Mapped"/>
    <n v="604330"/>
    <s v="JAGADISH SARKER"/>
    <s v="Private Retailer"/>
    <s v="9609549629"/>
    <n v="8.91"/>
    <n v="174"/>
    <x v="0"/>
    <m/>
    <s v="2025-11-04"/>
    <s v="281522"/>
    <s v="N.C. Das and Co."/>
    <s v="6297603863"/>
  </r>
  <r>
    <s v="RCF Import"/>
    <s v="MOP"/>
    <s v="WB"/>
    <x v="0"/>
    <s v="Bongaon"/>
    <s v="User Not Mapped"/>
    <s v="User Not Mapped"/>
    <s v="User Not Mapped"/>
    <n v="631183"/>
    <s v="SOURAV SARKAR"/>
    <s v="Private Retailer"/>
    <s v="9593005901"/>
    <n v="1"/>
    <n v="25"/>
    <x v="4"/>
    <m/>
    <s v="2026-04-02"/>
    <s v="1054125"/>
    <s v="Mondal Stores"/>
    <s v="9749959358"/>
  </r>
  <r>
    <s v="RCF Trombay"/>
    <s v="15-15-15"/>
    <s v="WB"/>
    <x v="0"/>
    <s v="Bongaon"/>
    <s v="User Not Mapped"/>
    <s v="User Not Mapped"/>
    <s v="User Not Mapped"/>
    <n v="631183"/>
    <s v="SOURAV SARKAR"/>
    <s v="Private Retailer"/>
    <s v="9593005901"/>
    <n v="1.75"/>
    <n v="157"/>
    <x v="0"/>
    <m/>
    <s v="2025-11-21"/>
    <s v="281511"/>
    <s v="Malakshmi Krishi Bhandar      "/>
    <s v="9800561868"/>
  </r>
  <r>
    <s v="RCF Thal"/>
    <s v="N.C.Urea(45kg)"/>
    <s v="WB"/>
    <x v="0"/>
    <s v="Bongaon"/>
    <s v="User Not Mapped"/>
    <s v="User Not Mapped"/>
    <s v="User Not Mapped"/>
    <n v="631183"/>
    <s v="SOURAV SARKAR"/>
    <s v="Private Retailer"/>
    <s v="9593005901"/>
    <n v="1.665"/>
    <n v="49"/>
    <x v="1"/>
    <m/>
    <s v="2026-03-09"/>
    <s v="281511"/>
    <s v="Malakshmi Krishi Bhandar      "/>
    <s v="9800561868"/>
  </r>
  <r>
    <s v="RCF Import"/>
    <s v="MOP"/>
    <s v="WB"/>
    <x v="0"/>
    <s v="Bongaon"/>
    <s v="User Not Mapped"/>
    <s v="User Not Mapped"/>
    <s v="User Not Mapped"/>
    <n v="631183"/>
    <s v="SOURAV SARKAR"/>
    <s v="Private Retailer"/>
    <s v="9593005901"/>
    <n v="0.5"/>
    <n v="11"/>
    <x v="4"/>
    <m/>
    <s v="2026-04-16"/>
    <s v="1054125"/>
    <s v="Mondal Stores"/>
    <s v="9749959358"/>
  </r>
  <r>
    <s v="RCF Trombay"/>
    <s v="15-15-15"/>
    <s v="WB"/>
    <x v="0"/>
    <s v="Bongaon"/>
    <s v="User Not Mapped"/>
    <s v="User Not Mapped"/>
    <s v="User Not Mapped"/>
    <n v="631183"/>
    <s v="SOURAV SARKAR"/>
    <s v="Private Retailer"/>
    <s v="9593005901"/>
    <n v="0.76700000000000002"/>
    <n v="212"/>
    <x v="3"/>
    <m/>
    <s v="2025-09-27"/>
    <s v="223812"/>
    <s v="M/S. Shyma Krishi B"/>
    <s v="8617629886"/>
  </r>
  <r>
    <s v="RCF Trombay"/>
    <s v="15-15-15"/>
    <s v="WB"/>
    <x v="0"/>
    <s v="Bongaon"/>
    <s v="User Not Mapped"/>
    <s v="User Not Mapped"/>
    <s v="User Not Mapped"/>
    <n v="637363"/>
    <s v="Dipak Mondal"/>
    <s v="Private Retailer"/>
    <s v="9735234421"/>
    <n v="2.95"/>
    <n v="63"/>
    <x v="2"/>
    <m/>
    <s v="2026-02-23"/>
    <s v="223812"/>
    <s v="M/S. Shyma Krishi B"/>
    <s v="8617629886"/>
  </r>
  <r>
    <s v="RCF Import"/>
    <s v="MOP"/>
    <s v="WB"/>
    <x v="0"/>
    <s v="Bongaon"/>
    <s v="User Not Mapped"/>
    <s v="User Not Mapped"/>
    <s v="User Not Mapped"/>
    <n v="637363"/>
    <s v="Dipak Mondal"/>
    <s v="Private Retailer"/>
    <s v="9735234421"/>
    <n v="0.1"/>
    <n v="436"/>
    <x v="6"/>
    <m/>
    <s v="2025-02-15"/>
    <s v="223812"/>
    <s v="M/S. Shyma Krishi B"/>
    <s v="8617629886"/>
  </r>
  <r>
    <s v="RCF Trombay"/>
    <s v="15-15-15"/>
    <s v="WB"/>
    <x v="0"/>
    <s v="Bongaon"/>
    <s v="User Not Mapped"/>
    <s v="User Not Mapped"/>
    <s v="User Not Mapped"/>
    <n v="648061"/>
    <s v="SOUMEN MONDAL"/>
    <s v="Private Retailer"/>
    <s v="8597194326"/>
    <n v="2.2999999999999998"/>
    <n v="75"/>
    <x v="2"/>
    <m/>
    <s v="2026-02-11"/>
    <s v="223807"/>
    <s v="M.K. Chemical and Fertilizers"/>
    <s v="9051316329"/>
  </r>
  <r>
    <s v="RCF Trombay"/>
    <s v="15-15-15"/>
    <s v="WB"/>
    <x v="0"/>
    <s v="Bongaon"/>
    <s v="User Not Mapped"/>
    <s v="User Not Mapped"/>
    <s v="User Not Mapped"/>
    <n v="648061"/>
    <s v="SOUMEN MONDAL"/>
    <s v="Private Retailer"/>
    <s v="8597194326"/>
    <n v="6"/>
    <n v="62"/>
    <x v="2"/>
    <m/>
    <s v="2026-02-24"/>
    <s v="311050"/>
    <s v="M/S Suchitra Ghosh"/>
    <s v="9609145715"/>
  </r>
  <r>
    <s v="RCF Trombay"/>
    <s v="15-15-15"/>
    <s v="WB"/>
    <x v="0"/>
    <s v="Bongaon"/>
    <s v="User Not Mapped"/>
    <s v="User Not Mapped"/>
    <s v="User Not Mapped"/>
    <n v="648061"/>
    <s v="SOUMEN MONDAL"/>
    <s v="Private Retailer"/>
    <s v="8597194326"/>
    <n v="5"/>
    <n v="39"/>
    <x v="1"/>
    <m/>
    <s v="2026-03-19"/>
    <s v="328271"/>
    <s v="Amal Sales Corporation"/>
    <s v="7908257456"/>
  </r>
  <r>
    <s v="RCF Trombay"/>
    <s v="N.C.Urea(45kg)"/>
    <s v="WB"/>
    <x v="0"/>
    <s v="Bongaon"/>
    <s v="User Not Mapped"/>
    <s v="User Not Mapped"/>
    <s v="User Not Mapped"/>
    <n v="648061"/>
    <s v="SOUMEN MONDAL"/>
    <s v="Private Retailer"/>
    <s v="8597194326"/>
    <n v="5.49"/>
    <n v="39"/>
    <x v="1"/>
    <m/>
    <s v="2026-03-19"/>
    <s v="328271"/>
    <s v="Amal Sales Corporation"/>
    <s v="7908257456"/>
  </r>
  <r>
    <s v="RCF Import"/>
    <s v="Imp 10-26-26"/>
    <s v="WB"/>
    <x v="0"/>
    <s v="Bongaon"/>
    <s v="User Not Mapped"/>
    <s v="User Not Mapped"/>
    <s v="User Not Mapped"/>
    <n v="648061"/>
    <s v="SOUMEN MONDAL"/>
    <s v="Private Retailer"/>
    <s v="8597194326"/>
    <n v="3.5"/>
    <n v="2"/>
    <x v="4"/>
    <m/>
    <s v="2026-04-25"/>
    <s v="311050"/>
    <s v="M/S Suchitra Ghosh"/>
    <s v="9609145715"/>
  </r>
  <r>
    <s v="RCF Trombay"/>
    <s v="N.C.Urea(45kg)"/>
    <s v="WB"/>
    <x v="0"/>
    <s v="Bongaon"/>
    <s v="User Not Mapped"/>
    <s v="User Not Mapped"/>
    <s v="User Not Mapped"/>
    <n v="650323"/>
    <s v="Basiruddin Mondal"/>
    <s v="Private Retailer"/>
    <s v="9609769820"/>
    <n v="2.44"/>
    <n v="75"/>
    <x v="2"/>
    <m/>
    <s v="2026-02-11"/>
    <s v="1219923"/>
    <s v="SHIMUL HAZRA"/>
    <s v="9932572558"/>
  </r>
  <r>
    <s v="RCF Import"/>
    <s v="MOP"/>
    <s v="WB"/>
    <x v="0"/>
    <s v="Bongaon"/>
    <s v="User Not Mapped"/>
    <s v="User Not Mapped"/>
    <s v="User Not Mapped"/>
    <n v="653570"/>
    <s v="Nanda Mondal"/>
    <s v="Private Retailer"/>
    <s v="9933922035"/>
    <n v="0.25"/>
    <n v="25"/>
    <x v="4"/>
    <m/>
    <s v="2026-04-02"/>
    <s v="1054125"/>
    <s v="Mondal Stores"/>
    <s v="9749959358"/>
  </r>
  <r>
    <s v="RCF Trombay"/>
    <s v="15-15-15"/>
    <s v="WB"/>
    <x v="0"/>
    <s v="Bongaon"/>
    <s v="User Not Mapped"/>
    <s v="User Not Mapped"/>
    <s v="User Not Mapped"/>
    <n v="698547"/>
    <s v="SAILENDRA NATH GHOSH"/>
    <s v="Private Retailer"/>
    <s v="9733599951"/>
    <n v="10"/>
    <n v="62"/>
    <x v="2"/>
    <m/>
    <s v="2026-02-24"/>
    <s v="268815"/>
    <s v="Chitta Ranjan Dey"/>
    <s v="9434744870"/>
  </r>
  <r>
    <s v="RCF Trombay"/>
    <s v="15-15-15"/>
    <s v="WB"/>
    <x v="0"/>
    <s v="Bongaon"/>
    <s v="User Not Mapped"/>
    <s v="User Not Mapped"/>
    <s v="User Not Mapped"/>
    <n v="698547"/>
    <s v="SAILENDRA NATH GHOSH"/>
    <s v="Private Retailer"/>
    <s v="9733599951"/>
    <n v="6.5"/>
    <n v="181"/>
    <x v="3"/>
    <m/>
    <s v="2025-10-28"/>
    <s v="268815"/>
    <s v="Chitta Ranjan Dey"/>
    <s v="9434744870"/>
  </r>
  <r>
    <s v="RCF Trombay"/>
    <s v="N.C.Urea(45kg)"/>
    <s v="WB"/>
    <x v="0"/>
    <s v="Bongaon"/>
    <s v="User Not Mapped"/>
    <s v="User Not Mapped"/>
    <s v="User Not Mapped"/>
    <n v="698547"/>
    <s v="SAILENDRA NATH GHOSH"/>
    <s v="Private Retailer"/>
    <s v="9733599951"/>
    <n v="7.7850000000000001"/>
    <n v="181"/>
    <x v="3"/>
    <m/>
    <s v="2025-10-28"/>
    <s v="268815"/>
    <s v="Chitta Ranjan Dey"/>
    <s v="9434744870"/>
  </r>
  <r>
    <s v="RCF Thal"/>
    <s v="N.C.Urea(45kg)"/>
    <s v="WB"/>
    <x v="0"/>
    <s v="Bongaon"/>
    <s v="User Not Mapped"/>
    <s v="User Not Mapped"/>
    <s v="User Not Mapped"/>
    <n v="915203"/>
    <s v="Goutam Halder"/>
    <s v="Private Retailer"/>
    <s v="9382009689"/>
    <n v="4.68"/>
    <n v="47"/>
    <x v="1"/>
    <m/>
    <s v="2026-03-11"/>
    <s v="223807"/>
    <s v="M.K. Chemical and Fertilizers"/>
    <s v="9051316329"/>
  </r>
  <r>
    <s v="RCF Thal"/>
    <s v="N.C.Urea(45kg)"/>
    <s v="WB"/>
    <x v="0"/>
    <s v="Bongaon"/>
    <s v="User Not Mapped"/>
    <s v="User Not Mapped"/>
    <s v="User Not Mapped"/>
    <n v="916460"/>
    <s v="Shibapada Mondal"/>
    <s v="Private Retailer"/>
    <s v="8346870294"/>
    <n v="1.4999999999999999E-2"/>
    <n v="391"/>
    <x v="6"/>
    <m/>
    <s v="2025-04-01"/>
    <s v="1031616"/>
    <s v="Rita Mondal"/>
    <s v="9434190852"/>
  </r>
  <r>
    <s v="RCF Thal"/>
    <s v="N.C.Urea(45kg)"/>
    <s v="WB"/>
    <x v="0"/>
    <s v="Bongaon"/>
    <s v="User Not Mapped"/>
    <s v="User Not Mapped"/>
    <s v="User Not Mapped"/>
    <n v="931331"/>
    <s v="SAMIR KR. DUTTA and SOMA DUTTA "/>
    <s v="Private Retailer"/>
    <s v="9735458924"/>
    <n v="8.4600000000000009"/>
    <n v="45"/>
    <x v="1"/>
    <m/>
    <s v="2026-03-13"/>
    <s v="281511"/>
    <s v="Malakshmi Krishi Bhandar      "/>
    <s v="9800561868"/>
  </r>
  <r>
    <s v="RCF Thal"/>
    <s v="N.C.Urea(45kg)"/>
    <s v="WB"/>
    <x v="0"/>
    <s v="Bongaon"/>
    <s v="User Not Mapped"/>
    <s v="User Not Mapped"/>
    <s v="User Not Mapped"/>
    <n v="931331"/>
    <s v="SAMIR KR. DUTTA and SOMA DUTTA "/>
    <s v="Private Retailer"/>
    <s v="9735458924"/>
    <n v="9.99"/>
    <n v="19"/>
    <x v="4"/>
    <m/>
    <s v="2026-04-08"/>
    <s v="281511"/>
    <s v="Malakshmi Krishi Bhandar      "/>
    <s v="9800561868"/>
  </r>
  <r>
    <s v="RCF Import"/>
    <s v="Imp 10-26-26"/>
    <s v="WB"/>
    <x v="0"/>
    <s v="Bongaon"/>
    <s v="User Not Mapped"/>
    <s v="User Not Mapped"/>
    <s v="User Not Mapped"/>
    <n v="931331"/>
    <s v="SAMIR KR. DUTTA and SOMA DUTTA "/>
    <s v="Private Retailer"/>
    <s v="9735458924"/>
    <n v="10.6"/>
    <n v="61"/>
    <x v="2"/>
    <m/>
    <s v="2026-02-25"/>
    <s v="281511"/>
    <s v="Malakshmi Krishi Bhandar      "/>
    <s v="9800561868"/>
  </r>
  <r>
    <s v="RCF Trombay"/>
    <s v="N.C.Urea(45kg)"/>
    <s v="WB"/>
    <x v="0"/>
    <s v="Bongaon"/>
    <s v="User Not Mapped"/>
    <s v="User Not Mapped"/>
    <s v="User Not Mapped"/>
    <n v="931339"/>
    <s v="Asish Karmakar"/>
    <s v="Private Retailer"/>
    <s v="9775105605"/>
    <n v="7.6050000000000004"/>
    <n v="74"/>
    <x v="2"/>
    <m/>
    <s v="2026-02-12"/>
    <s v="223811"/>
    <s v="Chanchal Kumar Dey"/>
    <s v="9434616928"/>
  </r>
  <r>
    <s v="RCF Thal"/>
    <s v="N.C.Urea(45kg)"/>
    <s v="WB"/>
    <x v="0"/>
    <s v="Bongaon"/>
    <s v="User Not Mapped"/>
    <s v="User Not Mapped"/>
    <s v="User Not Mapped"/>
    <n v="1006459"/>
    <s v="SOLAIMAN MONDAL"/>
    <s v="Private Retailer"/>
    <s v="9144470027"/>
    <n v="5.49"/>
    <n v="187"/>
    <x v="3"/>
    <m/>
    <s v="2025-10-22"/>
    <s v="460751"/>
    <s v="Bachu Gain"/>
    <s v="7384859398"/>
  </r>
  <r>
    <s v="RCF Trombay"/>
    <s v="15-15-15"/>
    <s v="WB"/>
    <x v="0"/>
    <s v="Bongaon"/>
    <s v="User Not Mapped"/>
    <s v="User Not Mapped"/>
    <s v="User Not Mapped"/>
    <n v="1007540"/>
    <s v="Uttam kumar Ghosh"/>
    <s v="Private Retailer"/>
    <s v="9643257313"/>
    <n v="1E-3"/>
    <n v="1882"/>
    <x v="7"/>
    <m/>
    <s v="2021-03-02"/>
    <s v="1054125"/>
    <s v="Mondal Stores"/>
    <s v="9749959358"/>
  </r>
  <r>
    <s v="RCF Import"/>
    <s v="MOP"/>
    <s v="WB"/>
    <x v="0"/>
    <s v="Bongaon"/>
    <s v="User Not Mapped"/>
    <s v="User Not Mapped"/>
    <s v="User Not Mapped"/>
    <n v="1133461"/>
    <s v="Avishek Mondal"/>
    <s v="Private Retailer"/>
    <s v="7550905032"/>
    <n v="0.16500000000000001"/>
    <n v="420"/>
    <x v="6"/>
    <m/>
    <s v="2025-03-03"/>
    <s v="1054125"/>
    <s v="Mondal Stores"/>
    <s v="9749959358"/>
  </r>
  <r>
    <s v="RCF Thal"/>
    <s v="N.C.Urea(45kg)"/>
    <s v="WB"/>
    <x v="0"/>
    <s v="Bongaon"/>
    <s v="User Not Mapped"/>
    <s v="User Not Mapped"/>
    <s v="User Not Mapped"/>
    <n v="1133461"/>
    <s v="Avishek Mondal"/>
    <s v="Private Retailer"/>
    <s v="7550905032"/>
    <n v="3.22"/>
    <n v="46"/>
    <x v="1"/>
    <m/>
    <s v="2026-03-12"/>
    <s v="268815"/>
    <s v="Chitta Ranjan Dey"/>
    <s v="9434744870"/>
  </r>
  <r>
    <s v="RCF Trombay"/>
    <s v="15-15-15"/>
    <s v="WB"/>
    <x v="0"/>
    <s v="Bongaon"/>
    <s v="User Not Mapped"/>
    <s v="User Not Mapped"/>
    <s v="User Not Mapped"/>
    <n v="1186033"/>
    <s v="BHAI BHAI KRISHI VANDAR"/>
    <s v="Private Retailer"/>
    <s v="9038371970"/>
    <n v="4.7"/>
    <n v="90"/>
    <x v="2"/>
    <m/>
    <s v="2026-01-27"/>
    <s v="289634"/>
    <s v="Sankar Lal Saha"/>
    <s v="9830026138"/>
  </r>
  <r>
    <s v="RCF Thal"/>
    <s v="N.C.Urea(45kg)"/>
    <s v="WB"/>
    <x v="0"/>
    <s v="Bongaon"/>
    <s v="User Not Mapped"/>
    <s v="User Not Mapped"/>
    <s v="User Not Mapped"/>
    <n v="1278337"/>
    <s v="M/S Ramjan Mondal "/>
    <s v="Private Retailer"/>
    <s v="7384055745"/>
    <n v="2.3849999999999998"/>
    <n v="151"/>
    <x v="0"/>
    <m/>
    <s v="2025-11-27"/>
    <s v="268815"/>
    <s v="Chitta Ranjan Dey"/>
    <s v="9434744870"/>
  </r>
  <r>
    <s v="RCF Import"/>
    <s v="Imp 10-26-26"/>
    <s v="WB"/>
    <x v="0"/>
    <s v="Bongaon"/>
    <s v="User Not Mapped"/>
    <s v="User Not Mapped"/>
    <s v="User Not Mapped"/>
    <n v="1278337"/>
    <s v="M/S Ramjan Mondal "/>
    <s v="Private Retailer"/>
    <s v="7384055745"/>
    <n v="9.1999999999999993"/>
    <n v="28"/>
    <x v="4"/>
    <m/>
    <s v="2026-03-30"/>
    <s v="268815"/>
    <s v="Chitta Ranjan Dey"/>
    <s v="9434744870"/>
  </r>
  <r>
    <s v="RCF Trombay"/>
    <s v="15-15-15"/>
    <s v="WB"/>
    <x v="0"/>
    <s v="Bongaon"/>
    <s v="User Not Mapped"/>
    <s v="User Not Mapped"/>
    <s v="User Not Mapped"/>
    <n v="1278337"/>
    <s v="M/S Ramjan Mondal "/>
    <s v="Private Retailer"/>
    <s v="7384055745"/>
    <n v="8.35"/>
    <n v="62"/>
    <x v="2"/>
    <m/>
    <s v="2026-02-24"/>
    <s v="268815"/>
    <s v="Chitta Ranjan Dey"/>
    <s v="9434744870"/>
  </r>
  <r>
    <s v="RCF Thal"/>
    <s v="N.C.Urea(45kg)"/>
    <s v="WB"/>
    <x v="0"/>
    <s v="Bongaon"/>
    <s v="User Not Mapped"/>
    <s v="User Not Mapped"/>
    <s v="User Not Mapped"/>
    <n v="1278337"/>
    <s v="M/S Ramjan Mondal "/>
    <s v="Private Retailer"/>
    <s v="7384055745"/>
    <n v="6.21"/>
    <n v="45"/>
    <x v="1"/>
    <m/>
    <s v="2026-03-13"/>
    <s v="268815"/>
    <s v="Chitta Ranjan Dey"/>
    <s v="9434744870"/>
  </r>
  <r>
    <s v="RCF Thal"/>
    <s v="N.C.Urea(45kg)"/>
    <s v="WB"/>
    <x v="0"/>
    <s v="Bongaon"/>
    <s v="User Not Mapped"/>
    <s v="User Not Mapped"/>
    <s v="User Not Mapped"/>
    <n v="1278337"/>
    <s v="M/S Ramjan Mondal "/>
    <s v="Private Retailer"/>
    <s v="7384055745"/>
    <n v="15.21"/>
    <n v="1"/>
    <x v="4"/>
    <m/>
    <s v="2026-04-26"/>
    <s v="268815"/>
    <s v="Chitta Ranjan Dey"/>
    <s v="9434744870"/>
  </r>
  <r>
    <s v="RCF Import"/>
    <s v="MOP"/>
    <s v="WB"/>
    <x v="0"/>
    <s v="Bongaon"/>
    <s v="User Not Mapped"/>
    <s v="User Not Mapped"/>
    <s v="User Not Mapped"/>
    <n v="1278337"/>
    <s v="M/S Ramjan Mondal "/>
    <s v="Private Retailer"/>
    <s v="7384055745"/>
    <n v="5.35"/>
    <n v="68"/>
    <x v="2"/>
    <m/>
    <s v="2026-02-18"/>
    <s v="223807"/>
    <s v="M.K. Chemical and Fertilizers"/>
    <s v="9051316329"/>
  </r>
  <r>
    <s v="RCF Thal"/>
    <s v="N.C.Urea(45kg)"/>
    <s v="WB"/>
    <x v="0"/>
    <s v="Bongaon"/>
    <s v="User Not Mapped"/>
    <s v="User Not Mapped"/>
    <s v="User Not Mapped"/>
    <n v="1285607"/>
    <s v="BHABATARINI KRISHI BHANDAR"/>
    <s v="Private Retailer"/>
    <s v="6294444758"/>
    <n v="9.99"/>
    <n v="20"/>
    <x v="4"/>
    <m/>
    <s v="2026-04-07"/>
    <s v="268815"/>
    <s v="Chitta Ranjan Dey"/>
    <s v="9434744870"/>
  </r>
  <r>
    <s v="RCF Thal"/>
    <s v="N.C.Urea(45kg)"/>
    <s v="WB"/>
    <x v="0"/>
    <s v="Bongaon"/>
    <s v="User Not Mapped"/>
    <s v="User Not Mapped"/>
    <s v="User Not Mapped"/>
    <n v="1288384"/>
    <s v="AKTAR FERTILIZER  PESTICIDES"/>
    <s v="Private Retailer"/>
    <s v="9735295405"/>
    <n v="0.99"/>
    <n v="199"/>
    <x v="3"/>
    <m/>
    <s v="2025-10-10"/>
    <s v="281522"/>
    <s v="N.C. Das and Co."/>
    <s v="6297603863"/>
  </r>
  <r>
    <s v="RCF Thal"/>
    <s v="N.C.Urea(45kg)"/>
    <s v="WB"/>
    <x v="0"/>
    <s v="Bongaon"/>
    <s v="User Not Mapped"/>
    <s v="User Not Mapped"/>
    <s v="User Not Mapped"/>
    <n v="1292391"/>
    <s v="TAPAN SARKAR"/>
    <s v="Private Retailer"/>
    <s v="8219589761"/>
    <n v="4.2300000000000004"/>
    <n v="199"/>
    <x v="3"/>
    <m/>
    <s v="2025-10-10"/>
    <s v="281522"/>
    <s v="N.C. Das and Co."/>
    <s v="6297603863"/>
  </r>
  <r>
    <s v="RCF Thal"/>
    <s v="N.C.Urea(45kg)"/>
    <s v="WB"/>
    <x v="0"/>
    <s v="Bongaon"/>
    <s v="User Not Mapped"/>
    <s v="User Not Mapped"/>
    <s v="User Not Mapped"/>
    <n v="1292821"/>
    <s v="JAHIRUL MONDAL"/>
    <s v="Private Retailer"/>
    <s v="9932295013"/>
    <n v="4.9950000000000001"/>
    <n v="24"/>
    <x v="4"/>
    <m/>
    <s v="2026-04-03"/>
    <s v="289634"/>
    <s v="Sankar Lal Saha"/>
    <s v="9830026138"/>
  </r>
  <r>
    <s v="RCF Import"/>
    <s v="Imp 10-26-26"/>
    <s v="WB"/>
    <x v="0"/>
    <s v="Bongaon"/>
    <s v="User Not Mapped"/>
    <s v="User Not Mapped"/>
    <s v="User Not Mapped"/>
    <n v="1331233"/>
    <s v="HABIBUR RAHAMAN MONDIL"/>
    <s v="Private Retailer"/>
    <s v="8337844984"/>
    <n v="0.25"/>
    <n v="153"/>
    <x v="0"/>
    <m/>
    <s v="2025-11-25"/>
    <s v="460751"/>
    <s v="Bachu Gain"/>
    <s v="7384859398"/>
  </r>
  <r>
    <s v="RCF Import"/>
    <s v="MOP"/>
    <s v="WB"/>
    <x v="0"/>
    <s v="Bongaon"/>
    <s v="User Not Mapped"/>
    <s v="User Not Mapped"/>
    <s v="User Not Mapped"/>
    <n v="1331233"/>
    <s v="HABIBUR RAHAMAN MONDIL"/>
    <s v="Private Retailer"/>
    <s v="8337844984"/>
    <n v="1"/>
    <n v="397"/>
    <x v="6"/>
    <m/>
    <s v="2025-03-26"/>
    <s v="1219923"/>
    <s v="SHIMUL HAZRA"/>
    <s v="9932572558"/>
  </r>
  <r>
    <s v="RCF Thal"/>
    <s v="N.C.Urea(45kg)"/>
    <s v="WB"/>
    <x v="0"/>
    <s v="Bongaon"/>
    <s v="User Not Mapped"/>
    <s v="User Not Mapped"/>
    <s v="User Not Mapped"/>
    <n v="1331235"/>
    <s v="ARSED ALI MONDAL"/>
    <s v="Private Retailer"/>
    <s v="7076086118"/>
    <n v="0.09"/>
    <n v="209"/>
    <x v="3"/>
    <m/>
    <s v="2025-09-30"/>
    <s v="1466654"/>
    <s v="HIRANMOY SARKAR"/>
    <s v="9733584729"/>
  </r>
  <r>
    <s v="RCF Trombay"/>
    <s v="15-15-15"/>
    <s v="WB"/>
    <x v="0"/>
    <s v="Bongaon"/>
    <s v="User Not Mapped"/>
    <s v="User Not Mapped"/>
    <s v="User Not Mapped"/>
    <n v="1331237"/>
    <s v="PINTU SARKAR"/>
    <s v="Private Retailer"/>
    <s v="8670760028"/>
    <n v="2.5"/>
    <n v="99"/>
    <x v="5"/>
    <m/>
    <s v="2026-01-18"/>
    <s v="268815"/>
    <s v="Chitta Ranjan Dey"/>
    <s v="9434744870"/>
  </r>
  <r>
    <s v="RCF Trombay"/>
    <s v="N.C.Urea(45kg)"/>
    <s v="WB"/>
    <x v="0"/>
    <s v="Bongaon"/>
    <s v="User Not Mapped"/>
    <s v="User Not Mapped"/>
    <s v="User Not Mapped"/>
    <n v="1331239"/>
    <s v="ABAIDULLA MONDAL"/>
    <s v="Private Retailer"/>
    <s v="8642024986"/>
    <n v="5.73"/>
    <n v="75"/>
    <x v="2"/>
    <m/>
    <s v="2026-02-11"/>
    <s v="1219923"/>
    <s v="SHIMUL HAZRA"/>
    <s v="9932572558"/>
  </r>
  <r>
    <s v="RCF Thal"/>
    <s v="N.C.Urea(45kg)"/>
    <s v="WB"/>
    <x v="0"/>
    <s v="Bongaon"/>
    <s v="User Not Mapped"/>
    <s v="User Not Mapped"/>
    <s v="User Not Mapped"/>
    <n v="1331239"/>
    <s v="ABAIDULLA MONDAL"/>
    <s v="Private Retailer"/>
    <s v="8642024986"/>
    <n v="3.96"/>
    <n v="42"/>
    <x v="1"/>
    <m/>
    <s v="2026-03-16"/>
    <s v="281522"/>
    <s v="N.C. Das and Co."/>
    <s v="6297603863"/>
  </r>
  <r>
    <s v="RCF Trombay"/>
    <s v="15-15-15"/>
    <s v="WB"/>
    <x v="0"/>
    <s v="Bongaon"/>
    <s v="User Not Mapped"/>
    <s v="User Not Mapped"/>
    <s v="User Not Mapped"/>
    <n v="1354316"/>
    <s v="KRISHI FERTILIZER"/>
    <s v="Private Retailer"/>
    <s v="8101732360"/>
    <n v="0.2"/>
    <n v="245"/>
    <x v="3"/>
    <m/>
    <s v="2025-08-25"/>
    <s v="281511"/>
    <s v="Malakshmi Krishi Bhandar      "/>
    <s v="9800561868"/>
  </r>
  <r>
    <s v="RCF Import"/>
    <s v="MOP"/>
    <s v="WB"/>
    <x v="0"/>
    <s v="Bongaon"/>
    <s v="User Not Mapped"/>
    <s v="User Not Mapped"/>
    <s v="User Not Mapped"/>
    <n v="1354322"/>
    <s v="NURUL HASAN GAZI"/>
    <s v="Private Retailer"/>
    <s v="7864018294"/>
    <n v="1.55"/>
    <n v="68"/>
    <x v="2"/>
    <m/>
    <s v="2026-02-18"/>
    <s v="223811"/>
    <s v="Chanchal Kumar Dey"/>
    <s v="9434616928"/>
  </r>
  <r>
    <s v="RCF Thal"/>
    <s v="N.C.Urea(45kg)"/>
    <s v="WB"/>
    <x v="0"/>
    <s v="Bongaon"/>
    <s v="User Not Mapped"/>
    <s v="User Not Mapped"/>
    <s v="User Not Mapped"/>
    <n v="1354322"/>
    <s v="NURUL HASAN GAZI"/>
    <s v="Private Retailer"/>
    <s v="7864018294"/>
    <n v="6.48"/>
    <n v="24"/>
    <x v="4"/>
    <m/>
    <s v="2026-04-03"/>
    <s v="289634"/>
    <s v="Sankar Lal Saha"/>
    <s v="9830026138"/>
  </r>
  <r>
    <s v="RCF Import"/>
    <s v="MOP"/>
    <s v="WB"/>
    <x v="0"/>
    <s v="Bongaon"/>
    <s v="User Not Mapped"/>
    <s v="User Not Mapped"/>
    <s v="User Not Mapped"/>
    <n v="1354328"/>
    <s v="PROSENJIT PAL"/>
    <s v="Private Retailer"/>
    <s v="8942858915"/>
    <n v="4"/>
    <n v="68"/>
    <x v="2"/>
    <m/>
    <s v="2026-02-18"/>
    <s v="223811"/>
    <s v="Chanchal Kumar Dey"/>
    <s v="9434616928"/>
  </r>
  <r>
    <s v="RCF Trombay"/>
    <s v="N.C.Urea(45kg)"/>
    <s v="WB"/>
    <x v="0"/>
    <s v="Bongaon"/>
    <s v="User Not Mapped"/>
    <s v="User Not Mapped"/>
    <s v="User Not Mapped"/>
    <n v="1354328"/>
    <s v="PROSENJIT PAL"/>
    <s v="Private Retailer"/>
    <s v="8942858915"/>
    <n v="5.49"/>
    <n v="75"/>
    <x v="2"/>
    <m/>
    <s v="2026-02-11"/>
    <s v="223811"/>
    <s v="Chanchal Kumar Dey"/>
    <s v="9434616928"/>
  </r>
  <r>
    <s v="RCF Thal"/>
    <s v="N.C.Urea(45kg)"/>
    <s v="WB"/>
    <x v="0"/>
    <s v="Bongaon"/>
    <s v="User Not Mapped"/>
    <s v="User Not Mapped"/>
    <s v="User Not Mapped"/>
    <n v="1354330"/>
    <s v="CHITTARANJAN BISWAS"/>
    <s v="Private Retailer"/>
    <s v="7364985591"/>
    <n v="4.5449999999999999"/>
    <n v="16"/>
    <x v="4"/>
    <m/>
    <s v="2026-04-11"/>
    <s v="223812"/>
    <s v="M/S. Shyma Krishi B"/>
    <s v="8617629886"/>
  </r>
  <r>
    <s v="RCF Thal"/>
    <s v="N.C.Urea(45kg)"/>
    <s v="WB"/>
    <x v="0"/>
    <s v="Bongaon"/>
    <s v="User Not Mapped"/>
    <s v="User Not Mapped"/>
    <s v="User Not Mapped"/>
    <n v="1383390"/>
    <s v="MAHASIN MONDAL"/>
    <s v="Private Retailer"/>
    <s v="7699104593"/>
    <n v="4.9950000000000001"/>
    <n v="17"/>
    <x v="4"/>
    <m/>
    <s v="2026-04-10"/>
    <s v="268815"/>
    <s v="Chitta Ranjan Dey"/>
    <s v="9434744870"/>
  </r>
  <r>
    <s v="RCF Trombay"/>
    <s v="15-15-15"/>
    <s v="WB"/>
    <x v="0"/>
    <s v="Bongaon"/>
    <s v="User Not Mapped"/>
    <s v="User Not Mapped"/>
    <s v="User Not Mapped"/>
    <n v="1469391"/>
    <s v="TAPASHI FERTILIZER"/>
    <s v="Private Retailer"/>
    <s v="8436886946"/>
    <n v="8.9009999999999998"/>
    <n v="61"/>
    <x v="2"/>
    <m/>
    <s v="2026-02-25"/>
    <s v="281511"/>
    <s v="Malakshmi Krishi Bhandar      "/>
    <s v="9800561868"/>
  </r>
  <r>
    <s v="RCF Trombay"/>
    <s v="N.C.Urea(45kg)"/>
    <s v="WB"/>
    <x v="0"/>
    <s v="Bongaon"/>
    <s v="User Not Mapped"/>
    <s v="User Not Mapped"/>
    <s v="User Not Mapped"/>
    <n v="1469391"/>
    <s v="TAPASHI FERTILIZER"/>
    <s v="Private Retailer"/>
    <s v="8436886946"/>
    <n v="3.625"/>
    <n v="61"/>
    <x v="2"/>
    <m/>
    <s v="2026-02-25"/>
    <s v="281511"/>
    <s v="Malakshmi Krishi Bhandar      "/>
    <s v="9800561868"/>
  </r>
  <r>
    <s v="RCF Import"/>
    <s v="Imp 10-26-26"/>
    <s v="WB"/>
    <x v="0"/>
    <s v="Bongaon"/>
    <s v="User Not Mapped"/>
    <s v="User Not Mapped"/>
    <s v="User Not Mapped"/>
    <n v="1469391"/>
    <s v="TAPASHI FERTILIZER"/>
    <s v="Private Retailer"/>
    <s v="8436886946"/>
    <n v="2.48"/>
    <n v="23"/>
    <x v="4"/>
    <m/>
    <s v="2026-04-04"/>
    <s v="1054127"/>
    <s v="New Radha krishna krishi bhand"/>
    <s v="7908733277"/>
  </r>
  <r>
    <s v="RCF Trombay"/>
    <s v="15-15-15"/>
    <s v="WB"/>
    <x v="0"/>
    <s v="Bongaon"/>
    <s v="User Not Mapped"/>
    <s v="User Not Mapped"/>
    <s v="User Not Mapped"/>
    <n v="1478563"/>
    <s v="DEBNATH FERTILIZER"/>
    <s v="Private Retailer"/>
    <s v="9800839346"/>
    <n v="0.5"/>
    <n v="74"/>
    <x v="2"/>
    <m/>
    <s v="2026-02-12"/>
    <s v="223807"/>
    <s v="M.K. Chemical and Fertilizers"/>
    <s v="9051316329"/>
  </r>
  <r>
    <s v="RCF Trombay"/>
    <s v="15-15-15"/>
    <s v="WB"/>
    <x v="0"/>
    <s v="Bongaon"/>
    <s v="User Not Mapped"/>
    <s v="User Not Mapped"/>
    <s v="User Not Mapped"/>
    <n v="1489728"/>
    <s v="SALAM SAHEDA FERTILIZER"/>
    <s v="Private Retailer"/>
    <s v="9382632246"/>
    <n v="4.3499999999999996"/>
    <n v="83"/>
    <x v="2"/>
    <m/>
    <s v="2026-02-03"/>
    <s v="281522"/>
    <s v="N.C. Das and Co."/>
    <s v="6297603863"/>
  </r>
  <r>
    <s v="RCF Thal"/>
    <s v="N.C.Urea(45kg)"/>
    <s v="WB"/>
    <x v="0"/>
    <s v="Bongaon"/>
    <s v="User Not Mapped"/>
    <s v="User Not Mapped"/>
    <s v="User Not Mapped"/>
    <n v="1489728"/>
    <s v="SALAM SAHEDA FERTILIZER"/>
    <s v="Private Retailer"/>
    <s v="9382632246"/>
    <n v="0.99"/>
    <n v="141"/>
    <x v="0"/>
    <m/>
    <s v="2025-12-07"/>
    <s v="223812"/>
    <s v="M/S. Shyma Krishi B"/>
    <s v="8617629886"/>
  </r>
  <r>
    <s v="RCF Trombay"/>
    <s v="N.C.Urea(45kg)"/>
    <s v="WB"/>
    <x v="0"/>
    <s v="Bongaon"/>
    <s v="User Not Mapped"/>
    <s v="User Not Mapped"/>
    <s v="User Not Mapped"/>
    <n v="1489744"/>
    <s v="DAS FERTILIZER"/>
    <s v="Private Retailer"/>
    <s v="9609114833"/>
    <n v="0.09"/>
    <n v="174"/>
    <x v="0"/>
    <m/>
    <s v="2025-11-04"/>
    <s v="281522"/>
    <s v="N.C. Das and Co."/>
    <s v="6297603863"/>
  </r>
  <r>
    <s v="RCF Import"/>
    <s v="Imp 10-26-26"/>
    <s v="WB"/>
    <x v="0"/>
    <s v="Bongaon"/>
    <s v="User Not Mapped"/>
    <s v="User Not Mapped"/>
    <s v="User Not Mapped"/>
    <n v="1490379"/>
    <s v="RABIOL MANDAL"/>
    <s v="Private Retailer"/>
    <s v="9732451033"/>
    <n v="0.1"/>
    <n v="187"/>
    <x v="3"/>
    <m/>
    <s v="2025-10-22"/>
    <s v="460751"/>
    <s v="Bachu Gain"/>
    <s v="7384859398"/>
  </r>
  <r>
    <s v="RCF Trombay"/>
    <s v="15-15-15"/>
    <s v="WB"/>
    <x v="0"/>
    <s v="Bongaon"/>
    <s v="User Not Mapped"/>
    <s v="User Not Mapped"/>
    <s v="User Not Mapped"/>
    <n v="1490379"/>
    <s v="RABIOL MANDAL"/>
    <s v="Private Retailer"/>
    <s v="9732451033"/>
    <n v="0.4"/>
    <n v="279"/>
    <x v="3"/>
    <m/>
    <s v="2025-07-22"/>
    <s v="460751"/>
    <s v="Bachu Gain"/>
    <s v="7384859398"/>
  </r>
  <r>
    <s v="RCF Import"/>
    <s v="MOP"/>
    <s v="WB"/>
    <x v="0"/>
    <s v="Bongaon"/>
    <s v="User Not Mapped"/>
    <s v="User Not Mapped"/>
    <s v="User Not Mapped"/>
    <n v="1490379"/>
    <s v="RABIOL MANDAL"/>
    <s v="Private Retailer"/>
    <s v="9732451033"/>
    <n v="0.5"/>
    <n v="25"/>
    <x v="4"/>
    <m/>
    <s v="2026-04-02"/>
    <s v="1054125"/>
    <s v="Mondal Stores"/>
    <s v="9749959358"/>
  </r>
  <r>
    <s v="RCF Trombay"/>
    <s v="N.C.Urea(45kg)"/>
    <s v="WB"/>
    <x v="0"/>
    <s v="Bongaon"/>
    <s v="User Not Mapped"/>
    <s v="User Not Mapped"/>
    <s v="User Not Mapped"/>
    <n v="1490379"/>
    <s v="RABIOL MANDAL"/>
    <s v="Private Retailer"/>
    <s v="9732451033"/>
    <n v="0.315"/>
    <n v="139"/>
    <x v="0"/>
    <m/>
    <s v="2025-12-09"/>
    <s v="281522"/>
    <s v="N.C. Das and Co."/>
    <s v="6297603863"/>
  </r>
  <r>
    <s v="RCF Import"/>
    <s v="Imp 10-26-26"/>
    <s v="WB"/>
    <x v="0"/>
    <s v="Bongaon"/>
    <s v="User Not Mapped"/>
    <s v="User Not Mapped"/>
    <s v="User Not Mapped"/>
    <n v="1546530"/>
    <s v="MONDAL KRISHI BHANDER"/>
    <s v="Private Retailer"/>
    <s v="6297853497"/>
    <n v="0.5"/>
    <n v="337"/>
    <x v="3"/>
    <m/>
    <s v="2025-05-25"/>
    <s v="1054125"/>
    <s v="Mondal Stores"/>
    <s v="9749959358"/>
  </r>
  <r>
    <s v="RCF Import"/>
    <s v="Imp 10-26-26"/>
    <s v="WB"/>
    <x v="0"/>
    <s v="Bongaon"/>
    <s v="User Not Mapped"/>
    <s v="User Not Mapped"/>
    <s v="User Not Mapped"/>
    <n v="1546530"/>
    <s v="MONDAL KRISHI BHANDER"/>
    <s v="Private Retailer"/>
    <s v="6297853497"/>
    <n v="0.25"/>
    <n v="321"/>
    <x v="3"/>
    <m/>
    <s v="2025-06-10"/>
    <s v="1054125"/>
    <s v="Mondal Stores"/>
    <s v="9749959358"/>
  </r>
  <r>
    <s v="RCF Trombay"/>
    <s v="15-15-15"/>
    <s v="WB"/>
    <x v="0"/>
    <s v="Deganga"/>
    <s v="User Not Mapped"/>
    <s v="User Not Mapped"/>
    <s v="User Not Mapped"/>
    <n v="226454"/>
    <s v="Adarsh Krishi Bhandar"/>
    <s v="Private Retailer"/>
    <s v="9143169628"/>
    <n v="3"/>
    <n v="70"/>
    <x v="2"/>
    <m/>
    <s v="2026-02-16"/>
    <s v="281522"/>
    <s v="N.C. Das and Co."/>
    <s v="6297603863"/>
  </r>
  <r>
    <s v="RCF Import"/>
    <s v="Imp 10-26-26"/>
    <s v="WB"/>
    <x v="0"/>
    <s v="Deganga"/>
    <s v="User Not Mapped"/>
    <s v="User Not Mapped"/>
    <s v="User Not Mapped"/>
    <n v="226454"/>
    <s v="Adarsh Krishi Bhandar"/>
    <s v="Private Retailer"/>
    <s v="9143169628"/>
    <n v="5.5"/>
    <n v="247"/>
    <x v="3"/>
    <m/>
    <s v="2025-08-23"/>
    <s v="223812"/>
    <s v="M/S. Shyma Krishi B"/>
    <s v="8617629886"/>
  </r>
  <r>
    <s v="RCF Trombay"/>
    <s v="15-15-15"/>
    <s v="WB"/>
    <x v="0"/>
    <s v="Deganga"/>
    <s v="User Not Mapped"/>
    <s v="User Not Mapped"/>
    <s v="User Not Mapped"/>
    <n v="226454"/>
    <s v="Adarsh Krishi Bhandar"/>
    <s v="Private Retailer"/>
    <s v="9143169628"/>
    <n v="11"/>
    <n v="99"/>
    <x v="5"/>
    <m/>
    <s v="2026-01-18"/>
    <s v="223812"/>
    <s v="M/S. Shyma Krishi B"/>
    <s v="8617629886"/>
  </r>
  <r>
    <s v="RCF Trombay"/>
    <s v="15-15-15"/>
    <s v="WB"/>
    <x v="0"/>
    <s v="Deganga"/>
    <s v="User Not Mapped"/>
    <s v="User Not Mapped"/>
    <s v="User Not Mapped"/>
    <n v="226547"/>
    <s v="Barun Krishi Bhandar"/>
    <s v="Private Retailer"/>
    <s v="9732701088"/>
    <n v="5.5"/>
    <n v="68"/>
    <x v="2"/>
    <m/>
    <s v="2026-02-18"/>
    <s v="281522"/>
    <s v="N.C. Das and Co."/>
    <s v="6297603863"/>
  </r>
  <r>
    <s v="RCF Trombay"/>
    <s v="15-15-15"/>
    <s v="WB"/>
    <x v="0"/>
    <s v="Deganga"/>
    <s v="User Not Mapped"/>
    <s v="User Not Mapped"/>
    <s v="User Not Mapped"/>
    <n v="226547"/>
    <s v="Barun Krishi Bhandar"/>
    <s v="Private Retailer"/>
    <s v="9732701088"/>
    <n v="2.25"/>
    <n v="91"/>
    <x v="5"/>
    <m/>
    <s v="2026-01-26"/>
    <s v="281522"/>
    <s v="N.C. Das and Co."/>
    <s v="6297603863"/>
  </r>
  <r>
    <s v="RCF Thal"/>
    <s v="N.C.Urea(45kg)"/>
    <s v="WB"/>
    <x v="0"/>
    <s v="Deganga"/>
    <s v="User Not Mapped"/>
    <s v="User Not Mapped"/>
    <s v="User Not Mapped"/>
    <n v="226547"/>
    <s v="Barun Krishi Bhandar"/>
    <s v="Private Retailer"/>
    <s v="9732701088"/>
    <n v="4.7699999999999996"/>
    <n v="68"/>
    <x v="2"/>
    <m/>
    <s v="2026-02-18"/>
    <s v="281522"/>
    <s v="N.C. Das and Co."/>
    <s v="6297603863"/>
  </r>
  <r>
    <s v="RCF Import"/>
    <s v="Imp 10-26-26"/>
    <s v="WB"/>
    <x v="0"/>
    <s v="Deganga"/>
    <s v="User Not Mapped"/>
    <s v="User Not Mapped"/>
    <s v="User Not Mapped"/>
    <n v="226551"/>
    <s v="Bazlur Rahman"/>
    <s v="Private Retailer"/>
    <s v="9735503652"/>
    <n v="5.4"/>
    <n v="28"/>
    <x v="4"/>
    <m/>
    <s v="2026-03-30"/>
    <s v="268815"/>
    <s v="Chitta Ranjan Dey"/>
    <s v="9434744870"/>
  </r>
  <r>
    <s v="RCF Import"/>
    <s v="MOP"/>
    <s v="WB"/>
    <x v="0"/>
    <s v="Deganga"/>
    <s v="User Not Mapped"/>
    <s v="User Not Mapped"/>
    <s v="User Not Mapped"/>
    <n v="226695"/>
    <s v="Hasanur Fertilizers"/>
    <s v="Private Retailer"/>
    <s v="8145022775"/>
    <n v="2.1"/>
    <n v="68"/>
    <x v="2"/>
    <m/>
    <s v="2026-02-18"/>
    <s v="281511"/>
    <s v="Malakshmi Krishi Bhandar      "/>
    <s v="9800561868"/>
  </r>
  <r>
    <s v="RCF Trombay"/>
    <s v="N.C.Urea(45kg)"/>
    <s v="WB"/>
    <x v="0"/>
    <s v="Deganga"/>
    <s v="User Not Mapped"/>
    <s v="User Not Mapped"/>
    <s v="User Not Mapped"/>
    <n v="226695"/>
    <s v="Hasanur Fertilizers"/>
    <s v="Private Retailer"/>
    <s v="8145022775"/>
    <n v="2.7"/>
    <n v="68"/>
    <x v="2"/>
    <m/>
    <s v="2026-02-18"/>
    <s v="281511"/>
    <s v="Malakshmi Krishi Bhandar      "/>
    <s v="9800561868"/>
  </r>
  <r>
    <s v="RCF Thal"/>
    <s v="N.C.Urea(45kg)"/>
    <s v="WB"/>
    <x v="0"/>
    <s v="Deganga"/>
    <s v="User Not Mapped"/>
    <s v="User Not Mapped"/>
    <s v="User Not Mapped"/>
    <n v="226779"/>
    <s v="Liyakat Ali"/>
    <s v="Private Retailer"/>
    <s v="9674044346"/>
    <n v="3.78"/>
    <n v="46"/>
    <x v="1"/>
    <m/>
    <s v="2026-03-12"/>
    <s v="268815"/>
    <s v="Chitta Ranjan Dey"/>
    <s v="9434744870"/>
  </r>
  <r>
    <s v="RCF Import"/>
    <s v="MOP"/>
    <s v="WB"/>
    <x v="0"/>
    <s v="Deganga"/>
    <s v="User Not Mapped"/>
    <s v="User Not Mapped"/>
    <s v="User Not Mapped"/>
    <n v="226779"/>
    <s v="Liyakat Ali"/>
    <s v="Private Retailer"/>
    <s v="9674044346"/>
    <n v="1.55"/>
    <n v="62"/>
    <x v="2"/>
    <m/>
    <s v="2026-02-24"/>
    <s v="268815"/>
    <s v="Chitta Ranjan Dey"/>
    <s v="9434744870"/>
  </r>
  <r>
    <s v="RCF Thal"/>
    <s v="N.C.Urea(45kg)"/>
    <s v="WB"/>
    <x v="0"/>
    <s v="Deganga"/>
    <s v="User Not Mapped"/>
    <s v="User Not Mapped"/>
    <s v="User Not Mapped"/>
    <n v="226792"/>
    <s v="Maa Krishi Bhander"/>
    <s v="Private Retailer"/>
    <s v="9635772121"/>
    <n v="3.6"/>
    <n v="44"/>
    <x v="1"/>
    <m/>
    <s v="2026-03-14"/>
    <s v="281511"/>
    <s v="Malakshmi Krishi Bhandar      "/>
    <s v="9800561868"/>
  </r>
  <r>
    <s v="RCF Import"/>
    <s v="Imp 10-26-26"/>
    <s v="WB"/>
    <x v="0"/>
    <s v="Deganga"/>
    <s v="User Not Mapped"/>
    <s v="User Not Mapped"/>
    <s v="User Not Mapped"/>
    <n v="226802"/>
    <s v="Mahakali Krishi Bhandar"/>
    <s v="Private Retailer"/>
    <s v="8145373189"/>
    <n v="2.4500000000000002"/>
    <n v="56"/>
    <x v="1"/>
    <m/>
    <s v="2026-03-02"/>
    <s v="281511"/>
    <s v="Malakshmi Krishi Bhandar      "/>
    <s v="9800561868"/>
  </r>
  <r>
    <s v="RCF Thal"/>
    <s v="N.C.Urea(45kg)"/>
    <s v="WB"/>
    <x v="0"/>
    <s v="Deganga"/>
    <s v="User Not Mapped"/>
    <s v="User Not Mapped"/>
    <s v="User Not Mapped"/>
    <n v="226802"/>
    <s v="Mahakali Krishi Bhandar"/>
    <s v="Private Retailer"/>
    <s v="8145373189"/>
    <n v="5.49"/>
    <n v="44"/>
    <x v="1"/>
    <m/>
    <s v="2026-03-14"/>
    <s v="281511"/>
    <s v="Malakshmi Krishi Bhandar      "/>
    <s v="9800561868"/>
  </r>
  <r>
    <s v="RCF Trombay"/>
    <s v="N.C.Urea(45kg)"/>
    <s v="WB"/>
    <x v="0"/>
    <s v="Deganga"/>
    <s v="User Not Mapped"/>
    <s v="User Not Mapped"/>
    <s v="User Not Mapped"/>
    <n v="226802"/>
    <s v="Mahakali Krishi Bhandar"/>
    <s v="Private Retailer"/>
    <s v="8145373189"/>
    <n v="5.49"/>
    <n v="114"/>
    <x v="5"/>
    <m/>
    <s v="2026-01-03"/>
    <s v="281511"/>
    <s v="Malakshmi Krishi Bhandar      "/>
    <s v="9800561868"/>
  </r>
  <r>
    <s v="RCF Trombay"/>
    <s v="N.C.Urea(45kg)"/>
    <s v="WB"/>
    <x v="0"/>
    <s v="Deganga"/>
    <s v="User Not Mapped"/>
    <s v="User Not Mapped"/>
    <s v="User Not Mapped"/>
    <n v="226802"/>
    <s v="Mahakali Krishi Bhandar"/>
    <s v="Private Retailer"/>
    <s v="8145373189"/>
    <n v="4.8150000000000004"/>
    <n v="160"/>
    <x v="0"/>
    <m/>
    <s v="2025-11-18"/>
    <s v="281511"/>
    <s v="Malakshmi Krishi Bhandar      "/>
    <s v="9800561868"/>
  </r>
  <r>
    <s v="RCF Thal"/>
    <s v="N.C.Urea(45kg)"/>
    <s v="WB"/>
    <x v="0"/>
    <s v="Deganga"/>
    <s v="User Not Mapped"/>
    <s v="User Not Mapped"/>
    <s v="User Not Mapped"/>
    <n v="226802"/>
    <s v="Mahakali Krishi Bhandar"/>
    <s v="Private Retailer"/>
    <s v="8145373189"/>
    <n v="4.6349999999999998"/>
    <n v="75"/>
    <x v="2"/>
    <m/>
    <s v="2026-02-11"/>
    <s v="281511"/>
    <s v="Malakshmi Krishi Bhandar      "/>
    <s v="9800561868"/>
  </r>
  <r>
    <s v="RCF Thal"/>
    <s v="N.C.Urea(45kg)"/>
    <s v="WB"/>
    <x v="0"/>
    <s v="Deganga"/>
    <s v="User Not Mapped"/>
    <s v="User Not Mapped"/>
    <s v="User Not Mapped"/>
    <n v="226836"/>
    <s v="Md.Abdul Ohab"/>
    <s v="Private Retailer"/>
    <s v="9732820969"/>
    <n v="10.98"/>
    <n v="47"/>
    <x v="1"/>
    <m/>
    <s v="2026-03-11"/>
    <s v="223812"/>
    <s v="M/S. Shyma Krishi B"/>
    <s v="8617629886"/>
  </r>
  <r>
    <s v="RCF Thal"/>
    <s v="N.C.Urea(45kg)"/>
    <s v="WB"/>
    <x v="0"/>
    <s v="Deganga"/>
    <s v="User Not Mapped"/>
    <s v="User Not Mapped"/>
    <s v="User Not Mapped"/>
    <n v="226836"/>
    <s v="Md.Abdul Ohab"/>
    <s v="Private Retailer"/>
    <s v="9732820969"/>
    <n v="6.21"/>
    <n v="145"/>
    <x v="0"/>
    <m/>
    <s v="2025-12-03"/>
    <s v="281522"/>
    <s v="N.C. Das and Co."/>
    <s v="6297603863"/>
  </r>
  <r>
    <s v="RCF Trombay"/>
    <s v="N.C.Urea(45kg)"/>
    <s v="WB"/>
    <x v="0"/>
    <s v="Deganga"/>
    <s v="User Not Mapped"/>
    <s v="User Not Mapped"/>
    <s v="User Not Mapped"/>
    <n v="226857"/>
    <s v="Md.Kays Ali"/>
    <s v="Private Retailer"/>
    <s v="9609191791"/>
    <n v="5.58"/>
    <n v="948"/>
    <x v="7"/>
    <m/>
    <s v="2023-09-22"/>
    <s v="223821"/>
    <s v="M/S Tilok Kumar Dutta"/>
    <s v="9064209939"/>
  </r>
  <r>
    <s v="RCF Import"/>
    <s v="MOP"/>
    <s v="WB"/>
    <x v="0"/>
    <s v="Deganga"/>
    <s v="User Not Mapped"/>
    <s v="User Not Mapped"/>
    <s v="User Not Mapped"/>
    <n v="226860"/>
    <s v="Md Mahasin"/>
    <s v="Private Retailer"/>
    <s v="9002559461"/>
    <n v="0.4"/>
    <n v="53"/>
    <x v="1"/>
    <m/>
    <s v="2026-03-05"/>
    <s v="663871"/>
    <s v="Sonali Enterprise"/>
    <s v="8250035491"/>
  </r>
  <r>
    <s v="RCF Trombay"/>
    <s v="15-15-15"/>
    <s v="WB"/>
    <x v="0"/>
    <s v="Deganga"/>
    <s v="User Not Mapped"/>
    <s v="User Not Mapped"/>
    <s v="User Not Mapped"/>
    <n v="226860"/>
    <s v="Md Mahasin"/>
    <s v="Private Retailer"/>
    <s v="9002559461"/>
    <n v="2.75"/>
    <n v="75"/>
    <x v="2"/>
    <m/>
    <s v="2026-02-11"/>
    <s v="223807"/>
    <s v="M.K. Chemical and Fertilizers"/>
    <s v="9051316329"/>
  </r>
  <r>
    <s v="RCF Trombay"/>
    <s v="15-15-15"/>
    <s v="WB"/>
    <x v="0"/>
    <s v="Deganga"/>
    <s v="User Not Mapped"/>
    <s v="User Not Mapped"/>
    <s v="User Not Mapped"/>
    <n v="226901"/>
    <s v="Mondal Fertilizers"/>
    <s v="Private Retailer"/>
    <s v="6297096144"/>
    <n v="0.1"/>
    <n v="128"/>
    <x v="0"/>
    <m/>
    <s v="2025-12-20"/>
    <s v="924553"/>
    <s v="Modern fertilizer"/>
    <s v="9734054818"/>
  </r>
  <r>
    <s v="RCF Thal"/>
    <s v="N.C.Urea(45kg)"/>
    <s v="WB"/>
    <x v="0"/>
    <s v="Deganga"/>
    <s v="User Not Mapped"/>
    <s v="User Not Mapped"/>
    <s v="User Not Mapped"/>
    <n v="226907"/>
    <s v="Mondal Krishi Bhander"/>
    <s v="Private Retailer"/>
    <s v="9733838048"/>
    <n v="5.49"/>
    <n v="73"/>
    <x v="2"/>
    <m/>
    <s v="2026-02-13"/>
    <s v="223807"/>
    <s v="M.K. Chemical and Fertilizers"/>
    <s v="9051316329"/>
  </r>
  <r>
    <s v="RCF Trombay"/>
    <s v="15-15-15"/>
    <s v="WB"/>
    <x v="0"/>
    <s v="Deganga"/>
    <s v="User Not Mapped"/>
    <s v="User Not Mapped"/>
    <s v="User Not Mapped"/>
    <n v="227067"/>
    <s v="P.G.Krishi Bhandar"/>
    <s v="Private Retailer"/>
    <s v="8001319934"/>
    <n v="5.0000000000000001E-3"/>
    <n v="2073"/>
    <x v="7"/>
    <m/>
    <s v="2020-08-23"/>
    <s v="945181"/>
    <s v="MUKHERJEE BROTHERS"/>
    <s v="8436066634"/>
  </r>
  <r>
    <s v="RCF Trombay"/>
    <s v="N.C.Urea(45kg)"/>
    <s v="WB"/>
    <x v="0"/>
    <s v="Deganga"/>
    <s v="User Not Mapped"/>
    <s v="User Not Mapped"/>
    <s v="User Not Mapped"/>
    <n v="227128"/>
    <s v="Sabuj Sathi"/>
    <s v="Private Retailer"/>
    <s v="9735657467"/>
    <n v="2.88"/>
    <n v="964"/>
    <x v="7"/>
    <m/>
    <s v="2023-09-06"/>
    <s v="877418"/>
    <s v="TAPAN BISWAS"/>
    <s v="9733557901"/>
  </r>
  <r>
    <s v="RCF Trombay"/>
    <s v="15-15-15"/>
    <s v="WB"/>
    <x v="0"/>
    <s v="Deganga"/>
    <s v="User Not Mapped"/>
    <s v="User Not Mapped"/>
    <s v="User Not Mapped"/>
    <n v="227129"/>
    <s v="Sabuj Sona Krishi Bhander"/>
    <s v="Private Retailer"/>
    <s v="7407505530"/>
    <n v="0.4"/>
    <n v="616"/>
    <x v="7"/>
    <m/>
    <s v="2024-08-19"/>
    <s v="663871"/>
    <s v="Sonali Enterprise"/>
    <s v="8250035491"/>
  </r>
  <r>
    <s v="RCF Trombay"/>
    <s v="15-15-15"/>
    <s v="WB"/>
    <x v="0"/>
    <s v="Deganga"/>
    <s v="User Not Mapped"/>
    <s v="User Not Mapped"/>
    <s v="User Not Mapped"/>
    <n v="227129"/>
    <s v="Sabuj Sona Krishi Bhander"/>
    <s v="Private Retailer"/>
    <s v="7407505530"/>
    <n v="0.6"/>
    <n v="655"/>
    <x v="7"/>
    <m/>
    <s v="2024-07-11"/>
    <s v="663871"/>
    <s v="Sonali Enterprise"/>
    <s v="8250035491"/>
  </r>
  <r>
    <s v="RCF Trombay"/>
    <s v="15-15-15"/>
    <s v="WB"/>
    <x v="0"/>
    <s v="Deganga"/>
    <s v="User Not Mapped"/>
    <s v="User Not Mapped"/>
    <s v="User Not Mapped"/>
    <n v="227129"/>
    <s v="Sabuj Sona Krishi Bhander"/>
    <s v="Private Retailer"/>
    <s v="7407505530"/>
    <n v="3"/>
    <n v="697"/>
    <x v="7"/>
    <m/>
    <s v="2024-05-30"/>
    <s v="663871"/>
    <s v="Sonali Enterprise"/>
    <s v="8250035491"/>
  </r>
  <r>
    <s v="RCF Trombay"/>
    <s v="15-15-15"/>
    <s v="WB"/>
    <x v="0"/>
    <s v="Deganga"/>
    <s v="User Not Mapped"/>
    <s v="User Not Mapped"/>
    <s v="User Not Mapped"/>
    <n v="227129"/>
    <s v="Sabuj Sona Krishi Bhander"/>
    <s v="Private Retailer"/>
    <s v="7407505530"/>
    <n v="1.5"/>
    <n v="704"/>
    <x v="7"/>
    <m/>
    <s v="2024-05-23"/>
    <s v="663871"/>
    <s v="Sonali Enterprise"/>
    <s v="8250035491"/>
  </r>
  <r>
    <s v="RCF Trombay"/>
    <s v="15-15-15"/>
    <s v="WB"/>
    <x v="0"/>
    <s v="Deganga"/>
    <s v="User Not Mapped"/>
    <s v="User Not Mapped"/>
    <s v="User Not Mapped"/>
    <n v="227129"/>
    <s v="Sabuj Sona Krishi Bhander"/>
    <s v="Private Retailer"/>
    <s v="7407505530"/>
    <n v="0.7"/>
    <n v="711"/>
    <x v="7"/>
    <m/>
    <s v="2024-05-16"/>
    <s v="663871"/>
    <s v="Sonali Enterprise"/>
    <s v="8250035491"/>
  </r>
  <r>
    <s v="RCF Thal"/>
    <s v="N.C.Urea(45kg)"/>
    <s v="WB"/>
    <x v="0"/>
    <s v="Deganga"/>
    <s v="User Not Mapped"/>
    <s v="User Not Mapped"/>
    <s v="User Not Mapped"/>
    <n v="227129"/>
    <s v="Sabuj Sona Krishi Bhander"/>
    <s v="Private Retailer"/>
    <s v="7407505530"/>
    <n v="2.25"/>
    <n v="711"/>
    <x v="7"/>
    <m/>
    <s v="2024-05-16"/>
    <s v="663871"/>
    <s v="Sonali Enterprise"/>
    <s v="8250035491"/>
  </r>
  <r>
    <s v="RCF Trombay"/>
    <s v="15-15-15"/>
    <s v="WB"/>
    <x v="0"/>
    <s v="Deganga"/>
    <s v="User Not Mapped"/>
    <s v="User Not Mapped"/>
    <s v="User Not Mapped"/>
    <n v="227129"/>
    <s v="Sabuj Sona Krishi Bhander"/>
    <s v="Private Retailer"/>
    <s v="7407505530"/>
    <n v="0.3"/>
    <n v="604"/>
    <x v="7"/>
    <m/>
    <s v="2024-08-31"/>
    <s v="663871"/>
    <s v="Sonali Enterprise"/>
    <s v="8250035491"/>
  </r>
  <r>
    <s v="RCF Trombay"/>
    <s v="15-15-15"/>
    <s v="WB"/>
    <x v="0"/>
    <s v="Deganga"/>
    <s v="User Not Mapped"/>
    <s v="User Not Mapped"/>
    <s v="User Not Mapped"/>
    <n v="227129"/>
    <s v="Sabuj Sona Krishi Bhander"/>
    <s v="Private Retailer"/>
    <s v="7407505530"/>
    <n v="0.4"/>
    <n v="621"/>
    <x v="7"/>
    <m/>
    <s v="2024-08-14"/>
    <s v="663871"/>
    <s v="Sonali Enterprise"/>
    <s v="8250035491"/>
  </r>
  <r>
    <s v="RCF Trombay"/>
    <s v="15-15-15"/>
    <s v="WB"/>
    <x v="0"/>
    <s v="Deganga"/>
    <s v="User Not Mapped"/>
    <s v="User Not Mapped"/>
    <s v="User Not Mapped"/>
    <n v="227129"/>
    <s v="Sabuj Sona Krishi Bhander"/>
    <s v="Private Retailer"/>
    <s v="7407505530"/>
    <n v="0.5"/>
    <n v="650"/>
    <x v="7"/>
    <m/>
    <s v="2024-07-16"/>
    <s v="663871"/>
    <s v="Sonali Enterprise"/>
    <s v="8250035491"/>
  </r>
  <r>
    <s v="RCF Import"/>
    <s v="Imp 10-26-26"/>
    <s v="WB"/>
    <x v="0"/>
    <s v="Deganga"/>
    <s v="User Not Mapped"/>
    <s v="User Not Mapped"/>
    <s v="User Not Mapped"/>
    <n v="227139"/>
    <s v="Sahid Krishi Bhander"/>
    <s v="Private Retailer"/>
    <s v="9735380951"/>
    <n v="5.5"/>
    <n v="62"/>
    <x v="2"/>
    <m/>
    <s v="2026-02-24"/>
    <s v="223812"/>
    <s v="M/S. Shyma Krishi B"/>
    <s v="8617629886"/>
  </r>
  <r>
    <s v="RCF Import"/>
    <s v="Imp 10-26-26"/>
    <s v="WB"/>
    <x v="0"/>
    <s v="Deganga"/>
    <s v="User Not Mapped"/>
    <s v="User Not Mapped"/>
    <s v="User Not Mapped"/>
    <n v="227204"/>
    <s v="Sirasul Haque"/>
    <s v="Private Retailer"/>
    <s v="9932123893"/>
    <n v="3.95"/>
    <n v="61"/>
    <x v="2"/>
    <m/>
    <s v="2026-02-25"/>
    <s v="223815"/>
    <s v="Sahidul Islam  Co.           "/>
    <s v="9153379112"/>
  </r>
  <r>
    <s v="RCF Trombay"/>
    <s v="N.C.Urea(45kg)"/>
    <s v="WB"/>
    <x v="0"/>
    <s v="Deganga"/>
    <s v="User Not Mapped"/>
    <s v="User Not Mapped"/>
    <s v="User Not Mapped"/>
    <n v="227204"/>
    <s v="Sirasul Haque"/>
    <s v="Private Retailer"/>
    <s v="9932123893"/>
    <n v="2.9249999999999998"/>
    <n v="75"/>
    <x v="2"/>
    <m/>
    <s v="2026-02-11"/>
    <s v="223815"/>
    <s v="Sahidul Islam  Co.           "/>
    <s v="9153379112"/>
  </r>
  <r>
    <s v="RCF Trombay"/>
    <s v="15-15-15"/>
    <s v="WB"/>
    <x v="0"/>
    <s v="Deganga"/>
    <s v="User Not Mapped"/>
    <s v="User Not Mapped"/>
    <s v="User Not Mapped"/>
    <n v="227210"/>
    <s v="SAHAJAHANGIR GAZI"/>
    <s v="Private Retailer"/>
    <s v="9775226259"/>
    <n v="1"/>
    <n v="239"/>
    <x v="3"/>
    <m/>
    <s v="2025-08-31"/>
    <s v="924553"/>
    <s v="Modern fertilizer"/>
    <s v="9734054818"/>
  </r>
  <r>
    <s v="RCF Thal"/>
    <s v="N.C.Urea(45kg)"/>
    <s v="WB"/>
    <x v="0"/>
    <s v="Deganga"/>
    <s v="User Not Mapped"/>
    <s v="User Not Mapped"/>
    <s v="User Not Mapped"/>
    <n v="227210"/>
    <s v="SAHAJAHANGIR GAZI"/>
    <s v="Private Retailer"/>
    <s v="9775226259"/>
    <n v="1.2150000000000001"/>
    <n v="255"/>
    <x v="3"/>
    <m/>
    <s v="2025-08-15"/>
    <s v="223807"/>
    <s v="M.K. Chemical and Fertilizers"/>
    <s v="9051316329"/>
  </r>
  <r>
    <s v="RCF Import"/>
    <s v="MOP"/>
    <s v="WB"/>
    <x v="0"/>
    <s v="Deganga"/>
    <s v="User Not Mapped"/>
    <s v="User Not Mapped"/>
    <s v="User Not Mapped"/>
    <n v="227210"/>
    <s v="SAHAJAHANGIR GAZI"/>
    <s v="Private Retailer"/>
    <s v="9775226259"/>
    <n v="0.5"/>
    <n v="344"/>
    <x v="3"/>
    <m/>
    <s v="2025-05-18"/>
    <s v="924553"/>
    <s v="Modern fertilizer"/>
    <s v="9734054818"/>
  </r>
  <r>
    <s v="RCF Trombay"/>
    <s v="15-15-15"/>
    <s v="WB"/>
    <x v="0"/>
    <s v="Deganga"/>
    <s v="User Not Mapped"/>
    <s v="User Not Mapped"/>
    <s v="User Not Mapped"/>
    <n v="227246"/>
    <s v="Swapan Kumar Sadhukhan"/>
    <s v="Private Retailer"/>
    <s v="9733536653"/>
    <n v="1.9"/>
    <n v="116"/>
    <x v="5"/>
    <m/>
    <s v="2026-01-01"/>
    <s v="281522"/>
    <s v="N.C. Das and Co."/>
    <s v="6297603863"/>
  </r>
  <r>
    <s v="RCF Trombay"/>
    <s v="15-15-15"/>
    <s v="WB"/>
    <x v="0"/>
    <s v="Deganga"/>
    <s v="User Not Mapped"/>
    <s v="User Not Mapped"/>
    <s v="User Not Mapped"/>
    <n v="227251"/>
    <s v="Swetpur Mskus Ltd"/>
    <s v="State Marketing Federation"/>
    <s v="9874319030"/>
    <n v="3.9980000000000002"/>
    <n v="70"/>
    <x v="2"/>
    <m/>
    <s v="2026-02-16"/>
    <s v="223812"/>
    <s v="M/S. Shyma Krishi B"/>
    <s v="8617629886"/>
  </r>
  <r>
    <s v="RCF Thal"/>
    <s v="N.C.Urea(45kg)"/>
    <s v="WB"/>
    <x v="0"/>
    <s v="Deganga"/>
    <s v="User Not Mapped"/>
    <s v="User Not Mapped"/>
    <s v="User Not Mapped"/>
    <n v="227253"/>
    <s v="Taijul Hoque And Brathers Kri"/>
    <s v="Private Retailer"/>
    <s v="9732140536"/>
    <n v="3.915"/>
    <n v="46"/>
    <x v="1"/>
    <m/>
    <s v="2026-03-12"/>
    <s v="223807"/>
    <s v="M.K. Chemical and Fertilizers"/>
    <s v="9051316329"/>
  </r>
  <r>
    <s v="RCF Trombay"/>
    <s v="15-15-15"/>
    <s v="WB"/>
    <x v="0"/>
    <s v="Deganga"/>
    <s v="User Not Mapped"/>
    <s v="User Not Mapped"/>
    <s v="User Not Mapped"/>
    <n v="227272"/>
    <s v="Tofazzel Hoque And Brather Kr"/>
    <s v="Private Retailer"/>
    <s v="9593461668"/>
    <n v="0.35"/>
    <n v="55"/>
    <x v="1"/>
    <m/>
    <s v="2026-03-03"/>
    <s v="281525"/>
    <s v="M/S Sariful Haque"/>
    <s v="7890901060"/>
  </r>
  <r>
    <s v="RCF Import"/>
    <s v="MOP"/>
    <s v="WB"/>
    <x v="0"/>
    <s v="Deganga"/>
    <s v="User Not Mapped"/>
    <s v="User Not Mapped"/>
    <s v="User Not Mapped"/>
    <n v="270805"/>
    <s v="Sahidul Islam and Sons          "/>
    <s v="Private Retailer"/>
    <s v="9153379112"/>
    <n v="0.4"/>
    <n v="20"/>
    <x v="4"/>
    <m/>
    <s v="2026-04-07"/>
    <s v="223815"/>
    <s v="Sahidul Islam  Co.           "/>
    <s v="9153379112"/>
  </r>
  <r>
    <s v="RCF Thal"/>
    <s v="N.C.Urea(45kg)"/>
    <s v="WB"/>
    <x v="0"/>
    <s v="Deganga"/>
    <s v="User Not Mapped"/>
    <s v="User Not Mapped"/>
    <s v="User Not Mapped"/>
    <n v="270834"/>
    <s v="Sri Guru Krishi Bhandar"/>
    <s v="Private Retailer"/>
    <s v="9233971217"/>
    <n v="0.4"/>
    <n v="248"/>
    <x v="3"/>
    <m/>
    <s v="2025-08-22"/>
    <s v="281511"/>
    <s v="Malakshmi Krishi Bhandar      "/>
    <s v="9800561868"/>
  </r>
  <r>
    <s v="RCF Import"/>
    <s v="MOP"/>
    <s v="WB"/>
    <x v="0"/>
    <s v="Deganga"/>
    <s v="User Not Mapped"/>
    <s v="User Not Mapped"/>
    <s v="User Not Mapped"/>
    <n v="323604"/>
    <s v="Firojul Islam"/>
    <s v="Private Retailer"/>
    <s v="9732891313"/>
    <n v="0.25"/>
    <n v="42"/>
    <x v="1"/>
    <m/>
    <s v="2026-03-16"/>
    <s v="663871"/>
    <s v="Sonali Enterprise"/>
    <s v="8250035491"/>
  </r>
  <r>
    <s v="RCF Trombay"/>
    <s v="15-15-15"/>
    <s v="WB"/>
    <x v="0"/>
    <s v="Deganga"/>
    <s v="User Not Mapped"/>
    <s v="User Not Mapped"/>
    <s v="User Not Mapped"/>
    <n v="323631"/>
    <s v="Khanpur Krishi Bhandar"/>
    <s v="Private Retailer"/>
    <s v="9734379388"/>
    <n v="0.2"/>
    <n v="247"/>
    <x v="3"/>
    <m/>
    <s v="2025-08-23"/>
    <s v="924553"/>
    <s v="Modern fertilizer"/>
    <s v="9734054818"/>
  </r>
  <r>
    <s v="RCF Thal"/>
    <s v="N.C.Urea(45kg)"/>
    <s v="WB"/>
    <x v="0"/>
    <s v="Deganga"/>
    <s v="User Not Mapped"/>
    <s v="User Not Mapped"/>
    <s v="User Not Mapped"/>
    <n v="323631"/>
    <s v="Khanpur Krishi Bhandar"/>
    <s v="Private Retailer"/>
    <s v="9734379388"/>
    <n v="0.04"/>
    <n v="190"/>
    <x v="3"/>
    <m/>
    <s v="2025-10-19"/>
    <s v="924553"/>
    <s v="Modern fertilizer"/>
    <s v="9734054818"/>
  </r>
  <r>
    <s v="RCF Import"/>
    <s v="MOP"/>
    <s v="WB"/>
    <x v="0"/>
    <s v="Deganga"/>
    <s v="User Not Mapped"/>
    <s v="User Not Mapped"/>
    <s v="User Not Mapped"/>
    <n v="323631"/>
    <s v="Khanpur Krishi Bhandar"/>
    <s v="Private Retailer"/>
    <s v="9734379388"/>
    <n v="0.05"/>
    <n v="386"/>
    <x v="6"/>
    <m/>
    <s v="2025-04-06"/>
    <s v="924553"/>
    <s v="Modern fertilizer"/>
    <s v="9734054818"/>
  </r>
  <r>
    <s v="RCF Thal"/>
    <s v="N.C.Urea(45kg)"/>
    <s v="WB"/>
    <x v="0"/>
    <s v="Deganga"/>
    <s v="User Not Mapped"/>
    <s v="User Not Mapped"/>
    <s v="User Not Mapped"/>
    <n v="323631"/>
    <s v="Khanpur Krishi Bhandar"/>
    <s v="Private Retailer"/>
    <s v="9734379388"/>
    <n v="5.49"/>
    <n v="39"/>
    <x v="1"/>
    <m/>
    <s v="2026-03-19"/>
    <s v="281522"/>
    <s v="N.C. Das and Co."/>
    <s v="6297603863"/>
  </r>
  <r>
    <s v="RCF Trombay"/>
    <s v="15-15-15"/>
    <s v="WB"/>
    <x v="0"/>
    <s v="Deganga"/>
    <s v="User Not Mapped"/>
    <s v="User Not Mapped"/>
    <s v="User Not Mapped"/>
    <n v="323631"/>
    <s v="Khanpur Krishi Bhandar"/>
    <s v="Private Retailer"/>
    <s v="9734379388"/>
    <n v="0.25"/>
    <n v="190"/>
    <x v="3"/>
    <m/>
    <s v="2025-10-19"/>
    <s v="924553"/>
    <s v="Modern fertilizer"/>
    <s v="9734054818"/>
  </r>
  <r>
    <s v="RCF Trombay"/>
    <s v="N.C.Urea(45kg)"/>
    <s v="WB"/>
    <x v="0"/>
    <s v="Deganga"/>
    <s v="User Not Mapped"/>
    <s v="User Not Mapped"/>
    <s v="User Not Mapped"/>
    <n v="323631"/>
    <s v="Khanpur Krishi Bhandar"/>
    <s v="Private Retailer"/>
    <s v="9734379388"/>
    <n v="0.01"/>
    <n v="341"/>
    <x v="3"/>
    <m/>
    <s v="2025-05-21"/>
    <s v="281511"/>
    <s v="Malakshmi Krishi Bhandar      "/>
    <s v="9800561868"/>
  </r>
  <r>
    <s v="RCF Trombay"/>
    <s v="15-15-15"/>
    <s v="WB"/>
    <x v="0"/>
    <s v="Deganga"/>
    <s v="User Not Mapped"/>
    <s v="User Not Mapped"/>
    <s v="User Not Mapped"/>
    <n v="341028"/>
    <s v="Bhai Bhai Fertilizer"/>
    <s v="Private Retailer"/>
    <s v="9732783971"/>
    <n v="4.6500000000000004"/>
    <n v="75"/>
    <x v="2"/>
    <m/>
    <s v="2026-02-11"/>
    <s v="223815"/>
    <s v="Sahidul Islam  Co.           "/>
    <s v="9153379112"/>
  </r>
  <r>
    <s v="RCF Import"/>
    <s v="Imp 10-26-26"/>
    <s v="WB"/>
    <x v="0"/>
    <s v="Deganga"/>
    <s v="User Not Mapped"/>
    <s v="User Not Mapped"/>
    <s v="User Not Mapped"/>
    <n v="355912"/>
    <s v="Pintu Modern Krishi Bhnader"/>
    <s v="Private Retailer"/>
    <s v="9733426333"/>
    <n v="0.20499999999999999"/>
    <n v="243"/>
    <x v="3"/>
    <m/>
    <s v="2025-08-27"/>
    <s v="281511"/>
    <s v="Malakshmi Krishi Bhandar      "/>
    <s v="9800561868"/>
  </r>
  <r>
    <s v="RCF Thal"/>
    <s v="N.C.Urea(45kg)"/>
    <s v="WB"/>
    <x v="0"/>
    <s v="Deganga"/>
    <s v="User Not Mapped"/>
    <s v="User Not Mapped"/>
    <s v="User Not Mapped"/>
    <n v="356147"/>
    <s v="Sahidul Islam"/>
    <s v="Private Retailer"/>
    <s v="9732576743"/>
    <n v="9.99"/>
    <n v="21"/>
    <x v="4"/>
    <m/>
    <s v="2026-04-06"/>
    <s v="223812"/>
    <s v="M/S. Shyma Krishi B"/>
    <s v="8617629886"/>
  </r>
  <r>
    <s v="RCF Thal"/>
    <s v="N.C.Urea(45kg)"/>
    <s v="WB"/>
    <x v="0"/>
    <s v="Deganga"/>
    <s v="User Not Mapped"/>
    <s v="User Not Mapped"/>
    <s v="User Not Mapped"/>
    <n v="411471"/>
    <s v="Jabed Fertilizer"/>
    <s v="Private Retailer"/>
    <s v="9231892495"/>
    <n v="0.9"/>
    <n v="190"/>
    <x v="3"/>
    <m/>
    <s v="2025-10-19"/>
    <s v="924553"/>
    <s v="Modern fertilizer"/>
    <s v="9734054818"/>
  </r>
  <r>
    <s v="RCF Import"/>
    <s v="Imp 10-26-26"/>
    <s v="WB"/>
    <x v="0"/>
    <s v="Deganga"/>
    <s v="User Not Mapped"/>
    <s v="User Not Mapped"/>
    <s v="User Not Mapped"/>
    <n v="461958"/>
    <s v="Md.Abdulquadir"/>
    <s v="Private Retailer"/>
    <s v="9143131170"/>
    <n v="0.4"/>
    <n v="61"/>
    <x v="2"/>
    <m/>
    <s v="2026-02-25"/>
    <s v="223815"/>
    <s v="Sahidul Islam  Co.           "/>
    <s v="9153379112"/>
  </r>
  <r>
    <s v="RCF Trombay"/>
    <s v="N.C.Urea(45kg)"/>
    <s v="WB"/>
    <x v="0"/>
    <s v="Deganga"/>
    <s v="User Not Mapped"/>
    <s v="User Not Mapped"/>
    <s v="User Not Mapped"/>
    <n v="461958"/>
    <s v="Md.Abdulquadir"/>
    <s v="Private Retailer"/>
    <s v="9143131170"/>
    <n v="5.085"/>
    <n v="75"/>
    <x v="2"/>
    <m/>
    <s v="2026-02-11"/>
    <s v="223815"/>
    <s v="Sahidul Islam  Co.           "/>
    <s v="9153379112"/>
  </r>
  <r>
    <s v="RCF Trombay"/>
    <s v="15-15-15"/>
    <s v="WB"/>
    <x v="0"/>
    <s v="Deganga"/>
    <s v="User Not Mapped"/>
    <s v="User Not Mapped"/>
    <s v="User Not Mapped"/>
    <n v="500076"/>
    <s v="Rama Ghosh"/>
    <s v="Private Retailer"/>
    <s v="8016731525"/>
    <n v="0.9"/>
    <n v="90"/>
    <x v="2"/>
    <m/>
    <s v="2026-01-27"/>
    <s v="223815"/>
    <s v="Sahidul Islam  Co.           "/>
    <s v="9153379112"/>
  </r>
  <r>
    <s v="RCF Import"/>
    <s v="MOP"/>
    <s v="WB"/>
    <x v="0"/>
    <s v="Deganga"/>
    <s v="User Not Mapped"/>
    <s v="User Not Mapped"/>
    <s v="User Not Mapped"/>
    <n v="520100"/>
    <s v="Kolapoli Krishi Bhander"/>
    <s v="Private Retailer"/>
    <s v="7384631317"/>
    <n v="2.6"/>
    <n v="62"/>
    <x v="2"/>
    <m/>
    <s v="2026-02-24"/>
    <s v="268815"/>
    <s v="Chitta Ranjan Dey"/>
    <s v="9434744870"/>
  </r>
  <r>
    <s v="RCF Trombay"/>
    <s v="15-15-15"/>
    <s v="WB"/>
    <x v="0"/>
    <s v="Deganga"/>
    <s v="User Not Mapped"/>
    <s v="User Not Mapped"/>
    <s v="User Not Mapped"/>
    <n v="520100"/>
    <s v="Kolapoli Krishi Bhander"/>
    <s v="Private Retailer"/>
    <s v="7384631317"/>
    <n v="1"/>
    <n v="72"/>
    <x v="2"/>
    <m/>
    <s v="2026-02-14"/>
    <s v="268815"/>
    <s v="Chitta Ranjan Dey"/>
    <s v="9434744870"/>
  </r>
  <r>
    <s v="RCF Import"/>
    <s v="MOP"/>
    <s v="WB"/>
    <x v="0"/>
    <s v="Deganga"/>
    <s v="User Not Mapped"/>
    <s v="User Not Mapped"/>
    <s v="User Not Mapped"/>
    <n v="607997"/>
    <s v="Pijush Kanti Ghosh"/>
    <s v="Private Retailer"/>
    <s v="8001812036"/>
    <n v="2"/>
    <n v="48"/>
    <x v="1"/>
    <m/>
    <s v="2026-03-10"/>
    <s v="223817"/>
    <s v="National Supply Agency"/>
    <s v="9564505288"/>
  </r>
  <r>
    <s v="RCF Import"/>
    <s v="Imp 10-26-26"/>
    <s v="WB"/>
    <x v="0"/>
    <s v="Deganga"/>
    <s v="User Not Mapped"/>
    <s v="User Not Mapped"/>
    <s v="User Not Mapped"/>
    <n v="622734"/>
    <s v="MODERN FERTILIZER"/>
    <s v="Private Retailer"/>
    <s v="9775534691"/>
    <n v="2.5"/>
    <n v="33"/>
    <x v="1"/>
    <m/>
    <s v="2026-03-25"/>
    <s v="281511"/>
    <s v="Malakshmi Krishi Bhandar      "/>
    <s v="9800561868"/>
  </r>
  <r>
    <s v="RCF Thal"/>
    <s v="N.C.Urea(45kg)"/>
    <s v="WB"/>
    <x v="0"/>
    <s v="Deganga"/>
    <s v="User Not Mapped"/>
    <s v="User Not Mapped"/>
    <s v="User Not Mapped"/>
    <n v="622734"/>
    <s v="MODERN FERTILIZER"/>
    <s v="Private Retailer"/>
    <s v="9775534691"/>
    <n v="0.01"/>
    <n v="271"/>
    <x v="3"/>
    <m/>
    <s v="2025-07-30"/>
    <s v="281511"/>
    <s v="Malakshmi Krishi Bhandar      "/>
    <s v="9800561868"/>
  </r>
  <r>
    <s v="RCF Thal"/>
    <s v="N.C.Urea(45kg)"/>
    <s v="WB"/>
    <x v="0"/>
    <s v="Deganga"/>
    <s v="User Not Mapped"/>
    <s v="User Not Mapped"/>
    <s v="User Not Mapped"/>
    <n v="622740"/>
    <s v="BISWAS KRISHI BHANDAR"/>
    <s v="Private Retailer"/>
    <s v="9733536393"/>
    <n v="5.49"/>
    <n v="34"/>
    <x v="1"/>
    <m/>
    <s v="2026-03-24"/>
    <s v="281522"/>
    <s v="N.C. Das and Co."/>
    <s v="6297603863"/>
  </r>
  <r>
    <s v="RCF Trombay"/>
    <s v="N.C.Urea(45kg)"/>
    <s v="WB"/>
    <x v="0"/>
    <s v="Deganga"/>
    <s v="User Not Mapped"/>
    <s v="User Not Mapped"/>
    <s v="User Not Mapped"/>
    <n v="622740"/>
    <s v="BISWAS KRISHI BHANDAR"/>
    <s v="Private Retailer"/>
    <s v="9733536393"/>
    <n v="2.34"/>
    <n v="95"/>
    <x v="5"/>
    <m/>
    <s v="2026-01-22"/>
    <s v="223811"/>
    <s v="Chanchal Kumar Dey"/>
    <s v="9434616928"/>
  </r>
  <r>
    <s v="RCF Import"/>
    <s v="Imp 10-26-26"/>
    <s v="WB"/>
    <x v="0"/>
    <s v="Deganga"/>
    <s v="User Not Mapped"/>
    <s v="User Not Mapped"/>
    <s v="User Not Mapped"/>
    <n v="768122"/>
    <s v="Hassan Fertilizer"/>
    <s v="Private Retailer"/>
    <s v="8697616771"/>
    <n v="1.85"/>
    <n v="33"/>
    <x v="1"/>
    <m/>
    <s v="2026-03-25"/>
    <s v="281511"/>
    <s v="Malakshmi Krishi Bhandar      "/>
    <s v="9800561868"/>
  </r>
  <r>
    <s v="RCF Trombay"/>
    <s v="15-15-15"/>
    <s v="WB"/>
    <x v="0"/>
    <s v="Deganga"/>
    <s v="User Not Mapped"/>
    <s v="User Not Mapped"/>
    <s v="User Not Mapped"/>
    <n v="768194"/>
    <s v="Md Kuddus Ali"/>
    <s v="Private Retailer"/>
    <s v="9732941109"/>
    <n v="0.72"/>
    <n v="70"/>
    <x v="2"/>
    <m/>
    <s v="2026-02-16"/>
    <s v="223815"/>
    <s v="Sahidul Islam  Co.           "/>
    <s v="9153379112"/>
  </r>
  <r>
    <s v="RCF Thal"/>
    <s v="N.C.Urea(45kg)"/>
    <s v="WB"/>
    <x v="0"/>
    <s v="Deganga"/>
    <s v="User Not Mapped"/>
    <s v="User Not Mapped"/>
    <s v="User Not Mapped"/>
    <n v="777465"/>
    <s v="NEW GHOSH FERTILIZER"/>
    <s v="Private Retailer"/>
    <s v="6296541498"/>
    <n v="21.39"/>
    <n v="18"/>
    <x v="4"/>
    <m/>
    <s v="2026-04-09"/>
    <s v="281522"/>
    <s v="N.C. Das and Co."/>
    <s v="6297603863"/>
  </r>
  <r>
    <s v="RCF Import"/>
    <s v="Imp 10-26-26"/>
    <s v="WB"/>
    <x v="0"/>
    <s v="Deganga"/>
    <s v="User Not Mapped"/>
    <s v="User Not Mapped"/>
    <s v="User Not Mapped"/>
    <n v="777465"/>
    <s v="NEW GHOSH FERTILIZER"/>
    <s v="Private Retailer"/>
    <s v="6296541498"/>
    <n v="10"/>
    <n v="13"/>
    <x v="4"/>
    <m/>
    <s v="2026-04-14"/>
    <s v="281522"/>
    <s v="N.C. Das and Co."/>
    <s v="6297603863"/>
  </r>
  <r>
    <s v="RCF Import"/>
    <s v="Imp 10-26-26"/>
    <s v="WB"/>
    <x v="0"/>
    <s v="Deganga"/>
    <s v="User Not Mapped"/>
    <s v="User Not Mapped"/>
    <s v="User Not Mapped"/>
    <n v="777499"/>
    <s v="MONDAL FERTILIZER"/>
    <s v="Private Retailer"/>
    <s v="7362939540"/>
    <n v="2.6"/>
    <n v="56"/>
    <x v="1"/>
    <m/>
    <s v="2026-03-02"/>
    <s v="223817"/>
    <s v="National Supply Agency"/>
    <s v="9564505288"/>
  </r>
  <r>
    <s v="RCF Import"/>
    <s v="MOP"/>
    <s v="WB"/>
    <x v="0"/>
    <s v="Deganga"/>
    <s v="User Not Mapped"/>
    <s v="User Not Mapped"/>
    <s v="User Not Mapped"/>
    <n v="777499"/>
    <s v="MONDAL FERTILIZER"/>
    <s v="Private Retailer"/>
    <s v="7362939540"/>
    <n v="1.6"/>
    <n v="56"/>
    <x v="1"/>
    <m/>
    <s v="2026-03-02"/>
    <s v="223817"/>
    <s v="National Supply Agency"/>
    <s v="9564505288"/>
  </r>
  <r>
    <s v="RCF Import"/>
    <s v="MOP"/>
    <s v="WB"/>
    <x v="0"/>
    <s v="Deganga"/>
    <s v="User Not Mapped"/>
    <s v="User Not Mapped"/>
    <s v="User Not Mapped"/>
    <n v="797973"/>
    <s v="PIRGORACHAD KRISHI BHANDAR"/>
    <s v="Private Retailer"/>
    <s v="7063345183"/>
    <n v="0.69899999999999995"/>
    <n v="421"/>
    <x v="6"/>
    <m/>
    <s v="2025-03-02"/>
    <s v="924553"/>
    <s v="Modern fertilizer"/>
    <s v="9734054818"/>
  </r>
  <r>
    <s v="RCF Trombay"/>
    <s v="15-15-15"/>
    <s v="WB"/>
    <x v="0"/>
    <s v="Deganga"/>
    <s v="User Not Mapped"/>
    <s v="User Not Mapped"/>
    <s v="User Not Mapped"/>
    <n v="797973"/>
    <s v="PIRGORACHAD KRISHI BHANDAR"/>
    <s v="Private Retailer"/>
    <s v="7063345183"/>
    <n v="2.29"/>
    <n v="441"/>
    <x v="6"/>
    <m/>
    <s v="2025-02-10"/>
    <s v="356188"/>
    <s v="Saidul Islam"/>
    <s v="9732576743"/>
  </r>
  <r>
    <s v="RCF Trombay"/>
    <s v="15-15-15"/>
    <s v="WB"/>
    <x v="0"/>
    <s v="Deganga"/>
    <s v="User Not Mapped"/>
    <s v="User Not Mapped"/>
    <s v="User Not Mapped"/>
    <n v="797975"/>
    <s v="MD MIRAJUL ISLAM"/>
    <s v="Private Retailer"/>
    <s v="9732411940"/>
    <n v="4.25"/>
    <n v="100"/>
    <x v="5"/>
    <m/>
    <s v="2026-01-17"/>
    <s v="281511"/>
    <s v="Malakshmi Krishi Bhandar      "/>
    <s v="9800561868"/>
  </r>
  <r>
    <s v="RCF Trombay"/>
    <s v="15-15-15"/>
    <s v="WB"/>
    <x v="0"/>
    <s v="Deganga"/>
    <s v="User Not Mapped"/>
    <s v="User Not Mapped"/>
    <s v="User Not Mapped"/>
    <n v="843450"/>
    <s v="SK MOTALEB"/>
    <s v="Private Retailer"/>
    <s v="9547111010"/>
    <n v="3.85"/>
    <n v="101"/>
    <x v="5"/>
    <m/>
    <s v="2026-01-16"/>
    <s v="223815"/>
    <s v="Sahidul Islam  Co.           "/>
    <s v="9153379112"/>
  </r>
  <r>
    <s v="RCF Trombay"/>
    <s v="15-15-15"/>
    <s v="WB"/>
    <x v="0"/>
    <s v="Deganga"/>
    <s v="User Not Mapped"/>
    <s v="User Not Mapped"/>
    <s v="User Not Mapped"/>
    <n v="950006"/>
    <s v="NEW KRISHI BHANDER"/>
    <s v="Private Retailer"/>
    <s v="6294554673"/>
    <n v="3.1"/>
    <n v="94"/>
    <x v="5"/>
    <m/>
    <s v="2026-01-23"/>
    <s v="281511"/>
    <s v="Malakshmi Krishi Bhandar      "/>
    <s v="9800561868"/>
  </r>
  <r>
    <s v="RCF Import"/>
    <s v="MOP"/>
    <s v="WB"/>
    <x v="0"/>
    <s v="Deganga"/>
    <s v="User Not Mapped"/>
    <s v="User Not Mapped"/>
    <s v="User Not Mapped"/>
    <n v="950006"/>
    <s v="NEW KRISHI BHANDER"/>
    <s v="Private Retailer"/>
    <s v="6294554673"/>
    <n v="4.75"/>
    <n v="68"/>
    <x v="2"/>
    <m/>
    <s v="2026-02-18"/>
    <s v="281511"/>
    <s v="Malakshmi Krishi Bhandar      "/>
    <s v="9800561868"/>
  </r>
  <r>
    <s v="RCF Import"/>
    <s v="MOP"/>
    <s v="WB"/>
    <x v="0"/>
    <s v="Deganga"/>
    <s v="User Not Mapped"/>
    <s v="User Not Mapped"/>
    <s v="User Not Mapped"/>
    <n v="951089"/>
    <s v="Mondal Fertilizer"/>
    <s v="Private Retailer"/>
    <s v="9002882049"/>
    <n v="0.5"/>
    <n v="48"/>
    <x v="1"/>
    <m/>
    <s v="2026-03-10"/>
    <s v="924553"/>
    <s v="Modern fertilizer"/>
    <s v="9734054818"/>
  </r>
  <r>
    <s v="RCF Trombay"/>
    <s v="15-15-15"/>
    <s v="WB"/>
    <x v="0"/>
    <s v="Deganga"/>
    <s v="User Not Mapped"/>
    <s v="User Not Mapped"/>
    <s v="User Not Mapped"/>
    <n v="958007"/>
    <s v="Mrinmayee Mondal"/>
    <s v="Private Retailer"/>
    <s v="8145256885"/>
    <n v="0.15"/>
    <n v="229"/>
    <x v="3"/>
    <m/>
    <s v="2025-09-10"/>
    <s v="924553"/>
    <s v="Modern fertilizer"/>
    <s v="9734054818"/>
  </r>
  <r>
    <s v="RCF Import"/>
    <s v="MOP"/>
    <s v="WB"/>
    <x v="0"/>
    <s v="Deganga"/>
    <s v="User Not Mapped"/>
    <s v="User Not Mapped"/>
    <s v="User Not Mapped"/>
    <n v="958007"/>
    <s v="Mrinmayee Mondal"/>
    <s v="Private Retailer"/>
    <s v="8145256885"/>
    <n v="0.5"/>
    <n v="247"/>
    <x v="3"/>
    <m/>
    <s v="2025-08-23"/>
    <s v="924553"/>
    <s v="Modern fertilizer"/>
    <s v="9734054818"/>
  </r>
  <r>
    <s v="RCF Import"/>
    <s v="MOP"/>
    <s v="WB"/>
    <x v="0"/>
    <s v="Deganga"/>
    <s v="User Not Mapped"/>
    <s v="User Not Mapped"/>
    <s v="User Not Mapped"/>
    <n v="961076"/>
    <s v="md jiya fertilizer"/>
    <s v="Private Retailer"/>
    <s v="9679947593"/>
    <n v="0.5"/>
    <n v="64"/>
    <x v="2"/>
    <m/>
    <s v="2026-02-22"/>
    <s v="924553"/>
    <s v="Modern fertilizer"/>
    <s v="9734054818"/>
  </r>
  <r>
    <s v="RCF Trombay"/>
    <s v="15-15-15"/>
    <s v="WB"/>
    <x v="0"/>
    <s v="Deganga"/>
    <s v="User Not Mapped"/>
    <s v="User Not Mapped"/>
    <s v="User Not Mapped"/>
    <n v="961076"/>
    <s v="md jiya fertilizer"/>
    <s v="Private Retailer"/>
    <s v="9679947593"/>
    <n v="0.45"/>
    <n v="193"/>
    <x v="3"/>
    <m/>
    <s v="2025-10-16"/>
    <s v="924553"/>
    <s v="Modern fertilizer"/>
    <s v="9734054818"/>
  </r>
  <r>
    <s v="RCF Thal"/>
    <s v="N.C.Urea(45kg)"/>
    <s v="WB"/>
    <x v="0"/>
    <s v="Deganga"/>
    <s v="User Not Mapped"/>
    <s v="User Not Mapped"/>
    <s v="User Not Mapped"/>
    <n v="1200506"/>
    <s v="RAHAT KRISHI BHANDAR"/>
    <s v="Private Retailer"/>
    <s v="7980309494"/>
    <n v="0.18"/>
    <n v="193"/>
    <x v="3"/>
    <m/>
    <s v="2025-10-16"/>
    <s v="223807"/>
    <s v="M.K. Chemical and Fertilizers"/>
    <s v="9051316329"/>
  </r>
  <r>
    <s v="RCF Import"/>
    <s v="MOP"/>
    <s v="WB"/>
    <x v="0"/>
    <s v="Deganga"/>
    <s v="User Not Mapped"/>
    <s v="User Not Mapped"/>
    <s v="User Not Mapped"/>
    <n v="1213353"/>
    <s v="NEW BISWAS FERTILIZER"/>
    <s v="Private Retailer"/>
    <s v="6294553450"/>
    <n v="4.25"/>
    <n v="68"/>
    <x v="2"/>
    <m/>
    <s v="2026-02-18"/>
    <s v="223807"/>
    <s v="M.K. Chemical and Fertilizers"/>
    <s v="9051316329"/>
  </r>
  <r>
    <s v="RCF Trombay"/>
    <s v="15-15-15"/>
    <s v="WB"/>
    <x v="0"/>
    <s v="Deganga"/>
    <s v="User Not Mapped"/>
    <s v="User Not Mapped"/>
    <s v="User Not Mapped"/>
    <n v="1213353"/>
    <s v="NEW BISWAS FERTILIZER"/>
    <s v="Private Retailer"/>
    <s v="6294553450"/>
    <n v="2.85"/>
    <n v="75"/>
    <x v="2"/>
    <m/>
    <s v="2026-02-11"/>
    <s v="223807"/>
    <s v="M.K. Chemical and Fertilizers"/>
    <s v="9051316329"/>
  </r>
  <r>
    <s v="RCF Trombay"/>
    <s v="N.C.Urea(45kg)"/>
    <s v="WB"/>
    <x v="0"/>
    <s v="Deganga"/>
    <s v="User Not Mapped"/>
    <s v="User Not Mapped"/>
    <s v="User Not Mapped"/>
    <n v="1213353"/>
    <s v="NEW BISWAS FERTILIZER"/>
    <s v="Private Retailer"/>
    <s v="6294553450"/>
    <n v="0.76500000000000001"/>
    <n v="147"/>
    <x v="0"/>
    <m/>
    <s v="2025-12-01"/>
    <s v="223812"/>
    <s v="M/S. Shyma Krishi B"/>
    <s v="8617629886"/>
  </r>
  <r>
    <s v="RCF Thal"/>
    <s v="N.C.Urea(45kg)"/>
    <s v="WB"/>
    <x v="0"/>
    <s v="Deganga"/>
    <s v="User Not Mapped"/>
    <s v="User Not Mapped"/>
    <s v="User Not Mapped"/>
    <n v="1461479"/>
    <s v="HOSSAIN FERTILIZER"/>
    <s v="Private Retailer"/>
    <s v="7586875896"/>
    <n v="0.94499999999999995"/>
    <n v="448"/>
    <x v="6"/>
    <m/>
    <s v="2025-02-03"/>
    <s v="281522"/>
    <s v="N.C. Das and Co."/>
    <s v="6297603863"/>
  </r>
  <r>
    <s v="RCF Trombay"/>
    <s v="N.C.Urea(45kg)"/>
    <s v="WB"/>
    <x v="0"/>
    <s v="Deganga"/>
    <s v="User Not Mapped"/>
    <s v="User Not Mapped"/>
    <s v="User Not Mapped"/>
    <n v="1534798"/>
    <s v="M/S BHAI BHAI KRISHI BHANDAR"/>
    <s v="Private Retailer"/>
    <s v="8640061746"/>
    <n v="0.81"/>
    <n v="95"/>
    <x v="5"/>
    <m/>
    <s v="2026-01-22"/>
    <s v="223817"/>
    <s v="National Supply Agency"/>
    <s v="9564505288"/>
  </r>
  <r>
    <s v="RCF Trombay SCU"/>
    <s v="Sulphur Coated Urea(40Kg)"/>
    <s v="WB"/>
    <x v="0"/>
    <s v="Deganga"/>
    <s v="User Not Mapped"/>
    <s v="User Not Mapped"/>
    <s v="User Not Mapped"/>
    <n v="1534798"/>
    <s v="M/S BHAI BHAI KRISHI BHANDAR"/>
    <s v="Private Retailer"/>
    <s v="8640061746"/>
    <n v="1.84"/>
    <n v="95"/>
    <x v="5"/>
    <m/>
    <s v="2026-01-22"/>
    <s v="223817"/>
    <s v="National Supply Agency"/>
    <s v="9564505288"/>
  </r>
  <r>
    <s v="RCF Trombay"/>
    <s v="15-15-15"/>
    <s v="WB"/>
    <x v="0"/>
    <s v="Deganga"/>
    <s v="User Not Mapped"/>
    <s v="User Not Mapped"/>
    <s v="User Not Mapped"/>
    <n v="1544998"/>
    <s v="Hassan Krishi Bhander"/>
    <s v="Private Retailer"/>
    <s v="8145330252"/>
    <n v="2.5"/>
    <n v="98"/>
    <x v="5"/>
    <m/>
    <s v="2026-01-19"/>
    <s v="281522"/>
    <s v="N.C. Das and Co."/>
    <s v="6297603863"/>
  </r>
  <r>
    <s v="RCF Trombay"/>
    <s v="15-15-15"/>
    <s v="WB"/>
    <x v="0"/>
    <s v="Deganga"/>
    <s v="User Not Mapped"/>
    <s v="User Not Mapped"/>
    <s v="User Not Mapped"/>
    <n v="1544998"/>
    <s v="Hassan Krishi Bhander"/>
    <s v="Private Retailer"/>
    <s v="8145330252"/>
    <n v="2"/>
    <n v="98"/>
    <x v="5"/>
    <m/>
    <s v="2026-01-19"/>
    <s v="281511"/>
    <s v="Malakshmi Krishi Bhandar      "/>
    <s v="9800561868"/>
  </r>
  <r>
    <s v="RCF Trombay"/>
    <s v="15-15-15"/>
    <s v="WB"/>
    <x v="0"/>
    <s v="Deganga"/>
    <s v="User Not Mapped"/>
    <s v="User Not Mapped"/>
    <s v="User Not Mapped"/>
    <n v="1581070"/>
    <s v="MIRA FERTILIZER"/>
    <s v="Private Retailer"/>
    <s v="9733375521"/>
    <n v="2.5000000000000001E-2"/>
    <n v="246"/>
    <x v="3"/>
    <m/>
    <s v="2025-08-24"/>
    <s v="663871"/>
    <s v="Sonali Enterprise"/>
    <s v="8250035491"/>
  </r>
  <r>
    <s v="RCF Import"/>
    <s v="MOP"/>
    <s v="WB"/>
    <x v="0"/>
    <s v="Gaighata"/>
    <s v="User Not Mapped"/>
    <s v="User Not Mapped"/>
    <s v="User Not Mapped"/>
    <n v="226543"/>
    <s v="Banglani Skus Ltd"/>
    <s v="State Marketing Federation"/>
    <s v="9933459445"/>
    <n v="1.18"/>
    <n v="52"/>
    <x v="1"/>
    <m/>
    <s v="2026-03-06"/>
    <s v="223811"/>
    <s v="Chanchal Kumar Dey"/>
    <s v="9434616928"/>
  </r>
  <r>
    <s v="RCF Trombay"/>
    <s v="15-15-15"/>
    <s v="WB"/>
    <x v="0"/>
    <s v="Gaighata"/>
    <s v="User Not Mapped"/>
    <s v="User Not Mapped"/>
    <s v="User Not Mapped"/>
    <n v="226543"/>
    <s v="Banglani Skus Ltd"/>
    <s v="State Marketing Federation"/>
    <s v="9933459445"/>
    <n v="9.25"/>
    <n v="100"/>
    <x v="5"/>
    <m/>
    <s v="2026-01-17"/>
    <s v="289634"/>
    <s v="Sankar Lal Saha"/>
    <s v="9830026138"/>
  </r>
  <r>
    <s v="RCF Trombay"/>
    <s v="15-15-15"/>
    <s v="WB"/>
    <x v="0"/>
    <s v="Gaighata"/>
    <s v="User Not Mapped"/>
    <s v="User Not Mapped"/>
    <s v="User Not Mapped"/>
    <n v="226756"/>
    <s v="Kaya L.S Pcacs Ltd"/>
    <s v="PACS"/>
    <s v="7557891525"/>
    <n v="7.1130000000000004"/>
    <n v="95"/>
    <x v="5"/>
    <m/>
    <s v="2026-01-22"/>
    <s v="223811"/>
    <s v="Chanchal Kumar Dey"/>
    <s v="9434616928"/>
  </r>
  <r>
    <s v="RCF Trombay"/>
    <s v="N.C.Urea(45kg)"/>
    <s v="WB"/>
    <x v="0"/>
    <s v="Gaighata"/>
    <s v="User Not Mapped"/>
    <s v="User Not Mapped"/>
    <s v="User Not Mapped"/>
    <n v="226805"/>
    <s v="Mahishakati S.K.U.S.Ltd"/>
    <s v="Private Retailer"/>
    <s v="9933481875"/>
    <n v="2.88"/>
    <n v="75"/>
    <x v="2"/>
    <m/>
    <s v="2026-02-11"/>
    <s v="223807"/>
    <s v="M.K. Chemical and Fertilizers"/>
    <s v="9051316329"/>
  </r>
  <r>
    <s v="RCF Trombay"/>
    <s v="15-15-15"/>
    <s v="WB"/>
    <x v="0"/>
    <s v="Gaighata"/>
    <s v="User Not Mapped"/>
    <s v="User Not Mapped"/>
    <s v="User Not Mapped"/>
    <n v="226805"/>
    <s v="Mahishakati S.K.U.S.Ltd"/>
    <s v="Private Retailer"/>
    <s v="9933481875"/>
    <n v="9.3000000000000007"/>
    <n v="95"/>
    <x v="5"/>
    <m/>
    <s v="2026-01-22"/>
    <s v="223811"/>
    <s v="Chanchal Kumar Dey"/>
    <s v="9434616928"/>
  </r>
  <r>
    <s v="RCF Trombay"/>
    <s v="15-15-15"/>
    <s v="WB"/>
    <x v="0"/>
    <s v="Gaighata"/>
    <s v="User Not Mapped"/>
    <s v="User Not Mapped"/>
    <s v="User Not Mapped"/>
    <n v="227080"/>
    <s v="Purba Barasat Skus Ltd"/>
    <s v="District Cooperative Marketing Society"/>
    <s v="9733579933"/>
    <n v="3.45"/>
    <n v="75"/>
    <x v="2"/>
    <m/>
    <s v="2026-02-11"/>
    <s v="223811"/>
    <s v="Chanchal Kumar Dey"/>
    <s v="9434616928"/>
  </r>
  <r>
    <s v="RCF Import"/>
    <s v="MOP"/>
    <s v="WB"/>
    <x v="0"/>
    <s v="Gaighata"/>
    <s v="User Not Mapped"/>
    <s v="User Not Mapped"/>
    <s v="User Not Mapped"/>
    <n v="269469"/>
    <s v="Haran Saha and Rafik Mondal"/>
    <s v="Private Retailer"/>
    <s v="7478755384"/>
    <n v="0.15"/>
    <n v="68"/>
    <x v="2"/>
    <m/>
    <s v="2026-02-18"/>
    <s v="1048909"/>
    <s v="B K ROY AND COMPANY"/>
    <s v="9734516484"/>
  </r>
  <r>
    <s v="RCF Trombay"/>
    <s v="15-15-15"/>
    <s v="WB"/>
    <x v="0"/>
    <s v="Gaighata"/>
    <s v="User Not Mapped"/>
    <s v="User Not Mapped"/>
    <s v="User Not Mapped"/>
    <n v="270784"/>
    <s v="Moyna Skus Ltd"/>
    <s v="PACS"/>
    <s v="9733671054"/>
    <n v="7.5750000000000002"/>
    <n v="75"/>
    <x v="2"/>
    <m/>
    <s v="2026-02-11"/>
    <s v="289634"/>
    <s v="Sankar Lal Saha"/>
    <s v="9830026138"/>
  </r>
  <r>
    <s v="RCF Trombay"/>
    <s v="15-15-15"/>
    <s v="WB"/>
    <x v="0"/>
    <s v="Gaighata"/>
    <s v="User Not Mapped"/>
    <s v="User Not Mapped"/>
    <s v="User Not Mapped"/>
    <n v="270784"/>
    <s v="Moyna Skus Ltd"/>
    <s v="PACS"/>
    <s v="9733671054"/>
    <n v="11"/>
    <n v="72"/>
    <x v="2"/>
    <m/>
    <s v="2026-02-14"/>
    <s v="268815"/>
    <s v="Chitta Ranjan Dey"/>
    <s v="9434744870"/>
  </r>
  <r>
    <s v="RCF Import"/>
    <s v="MOP"/>
    <s v="WB"/>
    <x v="0"/>
    <s v="Gaighata"/>
    <s v="User Not Mapped"/>
    <s v="User Not Mapped"/>
    <s v="User Not Mapped"/>
    <n v="289594"/>
    <s v="Baloram Ghosh"/>
    <s v="Private Retailer"/>
    <s v="9733864975"/>
    <n v="1"/>
    <n v="46"/>
    <x v="1"/>
    <m/>
    <s v="2026-03-12"/>
    <s v="1054127"/>
    <s v="New Radha krishna krishi bhand"/>
    <s v="7908733277"/>
  </r>
  <r>
    <s v="RCF Trombay"/>
    <s v="N.C.Urea(45kg)"/>
    <s v="WB"/>
    <x v="0"/>
    <s v="Gaighata"/>
    <s v="User Not Mapped"/>
    <s v="User Not Mapped"/>
    <s v="User Not Mapped"/>
    <n v="289594"/>
    <s v="Baloram Ghosh"/>
    <s v="Private Retailer"/>
    <s v="9733864975"/>
    <n v="0.09"/>
    <n v="75"/>
    <x v="2"/>
    <m/>
    <s v="2026-02-11"/>
    <s v="223807"/>
    <s v="M.K. Chemical and Fertilizers"/>
    <s v="9051316329"/>
  </r>
  <r>
    <s v="RCF Trombay"/>
    <s v="15-15-15"/>
    <s v="WB"/>
    <x v="0"/>
    <s v="Gaighata"/>
    <s v="User Not Mapped"/>
    <s v="User Not Mapped"/>
    <s v="User Not Mapped"/>
    <n v="289610"/>
    <s v="Mahadev Kumar Mondal"/>
    <s v="Private Retailer"/>
    <s v="9614392732"/>
    <n v="0.45"/>
    <n v="99"/>
    <x v="5"/>
    <m/>
    <s v="2026-01-18"/>
    <s v="223812"/>
    <s v="M/S. Shyma Krishi B"/>
    <s v="8617629886"/>
  </r>
  <r>
    <s v="RCF Thal"/>
    <s v="N.C.Urea(45kg)"/>
    <s v="WB"/>
    <x v="0"/>
    <s v="Gaighata"/>
    <s v="User Not Mapped"/>
    <s v="User Not Mapped"/>
    <s v="User Not Mapped"/>
    <n v="289610"/>
    <s v="Mahadev Kumar Mondal"/>
    <s v="Private Retailer"/>
    <s v="9614392732"/>
    <n v="1.575"/>
    <n v="47"/>
    <x v="1"/>
    <m/>
    <s v="2026-03-11"/>
    <s v="223812"/>
    <s v="M/S. Shyma Krishi B"/>
    <s v="8617629886"/>
  </r>
  <r>
    <s v="RCF Trombay"/>
    <s v="15-15-15"/>
    <s v="WB"/>
    <x v="0"/>
    <s v="Gaighata"/>
    <s v="User Not Mapped"/>
    <s v="User Not Mapped"/>
    <s v="User Not Mapped"/>
    <n v="341070"/>
    <s v="Bikash Biswas"/>
    <s v="Private Retailer"/>
    <s v="8967568235"/>
    <n v="2.2000000000000002"/>
    <n v="757"/>
    <x v="7"/>
    <m/>
    <s v="2024-03-31"/>
    <s v="281511"/>
    <s v="Malakshmi Krishi Bhandar      "/>
    <s v="9800561868"/>
  </r>
  <r>
    <s v="RCF Thal"/>
    <s v="N.C.Urea(45kg)"/>
    <s v="WB"/>
    <x v="0"/>
    <s v="Gaighata"/>
    <s v="User Not Mapped"/>
    <s v="User Not Mapped"/>
    <s v="User Not Mapped"/>
    <n v="354715"/>
    <s v="Anukul Kumar Khan"/>
    <s v="Private Retailer"/>
    <s v="9932375120"/>
    <n v="9.99"/>
    <n v="17"/>
    <x v="4"/>
    <m/>
    <s v="2026-04-10"/>
    <s v="281522"/>
    <s v="N.C. Das and Co."/>
    <s v="6297603863"/>
  </r>
  <r>
    <s v="RCF Thal"/>
    <s v="N.C.Urea(45kg)"/>
    <s v="WB"/>
    <x v="0"/>
    <s v="Gaighata"/>
    <s v="User Not Mapped"/>
    <s v="User Not Mapped"/>
    <s v="User Not Mapped"/>
    <n v="354715"/>
    <s v="Anukul Kumar Khan"/>
    <s v="Private Retailer"/>
    <s v="9932375120"/>
    <n v="9.99"/>
    <n v="18"/>
    <x v="4"/>
    <m/>
    <s v="2026-04-09"/>
    <s v="281522"/>
    <s v="N.C. Das and Co."/>
    <s v="6297603863"/>
  </r>
  <r>
    <s v="RCF Import"/>
    <s v="Imp 10-26-26"/>
    <s v="WB"/>
    <x v="0"/>
    <s v="Gaighata"/>
    <s v="User Not Mapped"/>
    <s v="User Not Mapped"/>
    <s v="User Not Mapped"/>
    <n v="354715"/>
    <s v="Anukul Kumar Khan"/>
    <s v="Private Retailer"/>
    <s v="9932375120"/>
    <n v="5.9"/>
    <n v="6"/>
    <x v="4"/>
    <m/>
    <s v="2026-04-21"/>
    <s v="281522"/>
    <s v="N.C. Das and Co."/>
    <s v="6297603863"/>
  </r>
  <r>
    <s v="RCF Thal"/>
    <s v="N.C.Urea(45kg)"/>
    <s v="WB"/>
    <x v="0"/>
    <s v="Gaighata"/>
    <s v="User Not Mapped"/>
    <s v="User Not Mapped"/>
    <s v="User Not Mapped"/>
    <n v="354715"/>
    <s v="Anukul Kumar Khan"/>
    <s v="Private Retailer"/>
    <s v="9932375120"/>
    <n v="1.08"/>
    <n v="25"/>
    <x v="4"/>
    <m/>
    <s v="2026-04-02"/>
    <s v="223807"/>
    <s v="M.K. Chemical and Fertilizers"/>
    <s v="9051316329"/>
  </r>
  <r>
    <s v="RCF Trombay"/>
    <s v="15-15-15"/>
    <s v="WB"/>
    <x v="0"/>
    <s v="Gaighata"/>
    <s v="User Not Mapped"/>
    <s v="User Not Mapped"/>
    <s v="User Not Mapped"/>
    <n v="354740"/>
    <s v="Ashit Roy"/>
    <s v="Private Retailer"/>
    <s v="9733842985"/>
    <n v="2"/>
    <n v="16"/>
    <x v="4"/>
    <m/>
    <s v="2026-04-11"/>
    <s v="281511"/>
    <s v="Malakshmi Krishi Bhandar      "/>
    <s v="9800561868"/>
  </r>
  <r>
    <s v="RCF Trombay"/>
    <s v="15-15-15"/>
    <s v="WB"/>
    <x v="0"/>
    <s v="Gaighata"/>
    <s v="User Not Mapped"/>
    <s v="User Not Mapped"/>
    <s v="User Not Mapped"/>
    <n v="354740"/>
    <s v="Ashit Roy"/>
    <s v="Private Retailer"/>
    <s v="9733842985"/>
    <n v="1.75"/>
    <n v="45"/>
    <x v="1"/>
    <m/>
    <s v="2026-03-13"/>
    <s v="281511"/>
    <s v="Malakshmi Krishi Bhandar      "/>
    <s v="9800561868"/>
  </r>
  <r>
    <s v="RCF Import"/>
    <s v="MOP"/>
    <s v="WB"/>
    <x v="0"/>
    <s v="Gaighata"/>
    <s v="User Not Mapped"/>
    <s v="User Not Mapped"/>
    <s v="User Not Mapped"/>
    <n v="354740"/>
    <s v="Ashit Roy"/>
    <s v="Private Retailer"/>
    <s v="9733842985"/>
    <n v="5.5"/>
    <n v="68"/>
    <x v="2"/>
    <m/>
    <s v="2026-02-18"/>
    <s v="281511"/>
    <s v="Malakshmi Krishi Bhandar      "/>
    <s v="9800561868"/>
  </r>
  <r>
    <s v="RCF Import"/>
    <s v="MOP"/>
    <s v="WB"/>
    <x v="0"/>
    <s v="Gaighata"/>
    <s v="User Not Mapped"/>
    <s v="User Not Mapped"/>
    <s v="User Not Mapped"/>
    <n v="354848"/>
    <s v="Biswajit Ghosh"/>
    <s v="Private Retailer"/>
    <s v="9475138538"/>
    <n v="1.75"/>
    <n v="62"/>
    <x v="2"/>
    <m/>
    <s v="2026-02-24"/>
    <s v="223812"/>
    <s v="M/S. Shyma Krishi B"/>
    <s v="8617629886"/>
  </r>
  <r>
    <s v="RCF Trombay"/>
    <s v="15-15-15"/>
    <s v="WB"/>
    <x v="0"/>
    <s v="Gaighata"/>
    <s v="User Not Mapped"/>
    <s v="User Not Mapped"/>
    <s v="User Not Mapped"/>
    <n v="354848"/>
    <s v="Biswajit Ghosh"/>
    <s v="Private Retailer"/>
    <s v="9475138538"/>
    <n v="1.9"/>
    <n v="99"/>
    <x v="5"/>
    <m/>
    <s v="2026-01-18"/>
    <s v="223812"/>
    <s v="M/S. Shyma Krishi B"/>
    <s v="8617629886"/>
  </r>
  <r>
    <s v="RCF Trombay"/>
    <s v="15-15-15"/>
    <s v="WB"/>
    <x v="0"/>
    <s v="Gaighata"/>
    <s v="User Not Mapped"/>
    <s v="User Not Mapped"/>
    <s v="User Not Mapped"/>
    <n v="355656"/>
    <s v="Mijanur Rahman  Dafa Der"/>
    <s v="Private Retailer"/>
    <s v="9800041211"/>
    <n v="1.35"/>
    <n v="76"/>
    <x v="2"/>
    <m/>
    <s v="2026-02-10"/>
    <s v="1048909"/>
    <s v="B K ROY AND COMPANY"/>
    <s v="9734516484"/>
  </r>
  <r>
    <s v="RCF Trombay"/>
    <s v="15-15-15"/>
    <s v="WB"/>
    <x v="0"/>
    <s v="Gaighata"/>
    <s v="User Not Mapped"/>
    <s v="User Not Mapped"/>
    <s v="User Not Mapped"/>
    <n v="356226"/>
    <s v="Samir Kumar Roy"/>
    <s v="Private Retailer"/>
    <s v="9641602880"/>
    <n v="2"/>
    <n v="76"/>
    <x v="2"/>
    <m/>
    <s v="2026-02-10"/>
    <s v="1048909"/>
    <s v="B K ROY AND COMPANY"/>
    <s v="9734516484"/>
  </r>
  <r>
    <s v="RCF Thal"/>
    <s v="N.C.Urea(45kg)"/>
    <s v="WB"/>
    <x v="0"/>
    <s v="Gaighata"/>
    <s v="User Not Mapped"/>
    <s v="User Not Mapped"/>
    <s v="User Not Mapped"/>
    <n v="356226"/>
    <s v="Samir Kumar Roy"/>
    <s v="Private Retailer"/>
    <s v="9641602880"/>
    <n v="0.05"/>
    <n v="151"/>
    <x v="0"/>
    <m/>
    <s v="2025-11-27"/>
    <s v="1048909"/>
    <s v="B K ROY AND COMPANY"/>
    <s v="9734516484"/>
  </r>
  <r>
    <s v="RCF Import"/>
    <s v="MOP"/>
    <s v="WB"/>
    <x v="0"/>
    <s v="Gaighata"/>
    <s v="User Not Mapped"/>
    <s v="User Not Mapped"/>
    <s v="User Not Mapped"/>
    <n v="376221"/>
    <s v="Jaleswarl/Spcacs Ltd"/>
    <s v="PACS"/>
    <s v="9749693643"/>
    <n v="9.75"/>
    <n v="51"/>
    <x v="1"/>
    <m/>
    <s v="2026-03-07"/>
    <s v="281511"/>
    <s v="Malakshmi Krishi Bhandar      "/>
    <s v="9800561868"/>
  </r>
  <r>
    <s v="RCF Trombay"/>
    <s v="15-15-15"/>
    <s v="WB"/>
    <x v="0"/>
    <s v="Gaighata"/>
    <s v="User Not Mapped"/>
    <s v="User Not Mapped"/>
    <s v="User Not Mapped"/>
    <n v="376379"/>
    <s v="Dhogachia Skus Ltd"/>
    <s v="PACS"/>
    <s v="9734826414"/>
    <n v="0.7"/>
    <n v="61"/>
    <x v="2"/>
    <m/>
    <s v="2026-02-25"/>
    <s v="281511"/>
    <s v="Malakshmi Krishi Bhandar      "/>
    <s v="9800561868"/>
  </r>
  <r>
    <s v="RCF Trombay"/>
    <s v="15-15-15"/>
    <s v="WB"/>
    <x v="0"/>
    <s v="Gaighata"/>
    <s v="User Not Mapped"/>
    <s v="User Not Mapped"/>
    <s v="User Not Mapped"/>
    <n v="377024"/>
    <s v="Dooma Union.L/S Pcacs.Ltd"/>
    <s v="PACS"/>
    <s v="9332558525"/>
    <n v="6.6"/>
    <n v="91"/>
    <x v="5"/>
    <m/>
    <s v="2026-01-26"/>
    <s v="281522"/>
    <s v="N.C. Das and Co."/>
    <s v="6297603863"/>
  </r>
  <r>
    <s v="RCF Import"/>
    <s v="MOP"/>
    <s v="WB"/>
    <x v="0"/>
    <s v="Gaighata"/>
    <s v="User Not Mapped"/>
    <s v="User Not Mapped"/>
    <s v="User Not Mapped"/>
    <n v="377024"/>
    <s v="Dooma Union.L/S Pcacs.Ltd"/>
    <s v="PACS"/>
    <s v="9332558525"/>
    <n v="5.25"/>
    <n v="68"/>
    <x v="2"/>
    <m/>
    <s v="2026-02-18"/>
    <s v="223807"/>
    <s v="M.K. Chemical and Fertilizers"/>
    <s v="9051316329"/>
  </r>
  <r>
    <s v="RCF Import"/>
    <s v="MOP"/>
    <s v="WB"/>
    <x v="0"/>
    <s v="Gaighata"/>
    <s v="User Not Mapped"/>
    <s v="User Not Mapped"/>
    <s v="User Not Mapped"/>
    <n v="411203"/>
    <s v="Bidyut Ghosh"/>
    <s v="Private Retailer"/>
    <s v="9749219025"/>
    <n v="3.05"/>
    <n v="62"/>
    <x v="2"/>
    <m/>
    <s v="2026-02-24"/>
    <s v="268815"/>
    <s v="Chitta Ranjan Dey"/>
    <s v="9434744870"/>
  </r>
  <r>
    <s v="RCF Thal"/>
    <s v="N.C.Urea(45kg)"/>
    <s v="WB"/>
    <x v="0"/>
    <s v="Gaighata"/>
    <s v="User Not Mapped"/>
    <s v="User Not Mapped"/>
    <s v="User Not Mapped"/>
    <n v="411209"/>
    <s v="Molay Saha"/>
    <s v="Private Retailer"/>
    <s v="9933832688"/>
    <n v="4.5"/>
    <n v="420"/>
    <x v="6"/>
    <m/>
    <s v="2025-03-03"/>
    <s v="405249"/>
    <s v="Saha Krishi Bhandar"/>
    <s v="9734801636"/>
  </r>
  <r>
    <s v="RCF Trombay"/>
    <s v="N.C.Urea(45kg)"/>
    <s v="WB"/>
    <x v="0"/>
    <s v="Gaighata"/>
    <s v="User Not Mapped"/>
    <s v="User Not Mapped"/>
    <s v="User Not Mapped"/>
    <n v="411209"/>
    <s v="Molay Saha"/>
    <s v="Private Retailer"/>
    <s v="9933832688"/>
    <n v="3.04"/>
    <n v="825"/>
    <x v="7"/>
    <m/>
    <s v="2024-01-23"/>
    <s v="281522"/>
    <s v="N.C. Das and Co."/>
    <s v="6297603863"/>
  </r>
  <r>
    <s v="RCF Thal"/>
    <s v="N.C.Urea(45kg)"/>
    <s v="WB"/>
    <x v="0"/>
    <s v="Gaighata"/>
    <s v="User Not Mapped"/>
    <s v="User Not Mapped"/>
    <s v="User Not Mapped"/>
    <n v="411321"/>
    <s v="NEW RADHAKRISHNAKRISHI BHANDAR"/>
    <s v="Private Retailer"/>
    <s v="7908733277"/>
    <n v="4.9950000000000001"/>
    <n v="43"/>
    <x v="1"/>
    <m/>
    <s v="2026-03-15"/>
    <s v="268815"/>
    <s v="Chitta Ranjan Dey"/>
    <s v="9434744870"/>
  </r>
  <r>
    <s v="RCF Import"/>
    <s v="Imp 10-26-26"/>
    <s v="WB"/>
    <x v="0"/>
    <s v="Gaighata"/>
    <s v="User Not Mapped"/>
    <s v="User Not Mapped"/>
    <s v="User Not Mapped"/>
    <n v="411321"/>
    <s v="NEW RADHAKRISHNAKRISHI BHANDAR"/>
    <s v="Private Retailer"/>
    <s v="7908733277"/>
    <n v="1.25"/>
    <n v="5"/>
    <x v="4"/>
    <m/>
    <s v="2026-04-22"/>
    <s v="1054127"/>
    <s v="New Radha krishna krishi bhand"/>
    <s v="7908733277"/>
  </r>
  <r>
    <s v="RCF Import"/>
    <s v="Imp 10-26-26"/>
    <s v="WB"/>
    <x v="0"/>
    <s v="Gaighata"/>
    <s v="User Not Mapped"/>
    <s v="User Not Mapped"/>
    <s v="User Not Mapped"/>
    <n v="411331"/>
    <s v="Nirmal Podder"/>
    <s v="Private Retailer"/>
    <s v="9733723751"/>
    <n v="0.55000000000000004"/>
    <n v="23"/>
    <x v="4"/>
    <m/>
    <s v="2026-04-04"/>
    <s v="1054127"/>
    <s v="New Radha krishna krishi bhand"/>
    <s v="7908733277"/>
  </r>
  <r>
    <s v="RCF Trombay"/>
    <s v="15-15-15"/>
    <s v="WB"/>
    <x v="0"/>
    <s v="Gaighata"/>
    <s v="User Not Mapped"/>
    <s v="User Not Mapped"/>
    <s v="User Not Mapped"/>
    <n v="411339"/>
    <s v="Dilip Kumar Mondal"/>
    <s v="Private Retailer"/>
    <s v="9932583255"/>
    <n v="1.64"/>
    <n v="75"/>
    <x v="2"/>
    <m/>
    <s v="2026-02-11"/>
    <s v="281511"/>
    <s v="Malakshmi Krishi Bhandar      "/>
    <s v="9800561868"/>
  </r>
  <r>
    <s v="RCF Import"/>
    <s v="Imp 10-26-26"/>
    <s v="WB"/>
    <x v="0"/>
    <s v="Gaighata"/>
    <s v="User Not Mapped"/>
    <s v="User Not Mapped"/>
    <s v="User Not Mapped"/>
    <n v="411339"/>
    <s v="Dilip Kumar Mondal"/>
    <s v="Private Retailer"/>
    <s v="9932583255"/>
    <n v="0.5"/>
    <n v="28"/>
    <x v="4"/>
    <m/>
    <s v="2026-03-30"/>
    <s v="281511"/>
    <s v="Malakshmi Krishi Bhandar      "/>
    <s v="9800561868"/>
  </r>
  <r>
    <s v="RCF Trombay"/>
    <s v="15-15-15"/>
    <s v="WB"/>
    <x v="0"/>
    <s v="Gaighata"/>
    <s v="User Not Mapped"/>
    <s v="User Not Mapped"/>
    <s v="User Not Mapped"/>
    <n v="411339"/>
    <s v="Dilip Kumar Mondal"/>
    <s v="Private Retailer"/>
    <s v="9932583255"/>
    <n v="1"/>
    <n v="28"/>
    <x v="4"/>
    <m/>
    <s v="2026-03-30"/>
    <s v="281511"/>
    <s v="Malakshmi Krishi Bhandar      "/>
    <s v="9800561868"/>
  </r>
  <r>
    <s v="RCF Trombay"/>
    <s v="N.C.Urea(45kg)"/>
    <s v="WB"/>
    <x v="0"/>
    <s v="Gaighata"/>
    <s v="User Not Mapped"/>
    <s v="User Not Mapped"/>
    <s v="User Not Mapped"/>
    <n v="411339"/>
    <s v="Dilip Kumar Mondal"/>
    <s v="Private Retailer"/>
    <s v="9932583255"/>
    <n v="0.72"/>
    <n v="51"/>
    <x v="1"/>
    <m/>
    <s v="2026-03-07"/>
    <s v="281511"/>
    <s v="Malakshmi Krishi Bhandar      "/>
    <s v="9800561868"/>
  </r>
  <r>
    <s v="RCF Import"/>
    <s v="MOP"/>
    <s v="WB"/>
    <x v="0"/>
    <s v="Gaighata"/>
    <s v="User Not Mapped"/>
    <s v="User Not Mapped"/>
    <s v="User Not Mapped"/>
    <n v="411339"/>
    <s v="Dilip Kumar Mondal"/>
    <s v="Private Retailer"/>
    <s v="9932583255"/>
    <n v="0.25"/>
    <n v="35"/>
    <x v="1"/>
    <m/>
    <s v="2026-03-23"/>
    <s v="281511"/>
    <s v="Malakshmi Krishi Bhandar      "/>
    <s v="9800561868"/>
  </r>
  <r>
    <s v="RCF Import"/>
    <s v="MOP"/>
    <s v="WB"/>
    <x v="0"/>
    <s v="Gaighata"/>
    <s v="User Not Mapped"/>
    <s v="User Not Mapped"/>
    <s v="User Not Mapped"/>
    <n v="411339"/>
    <s v="Dilip Kumar Mondal"/>
    <s v="Private Retailer"/>
    <s v="9932583255"/>
    <n v="0.2"/>
    <n v="51"/>
    <x v="1"/>
    <m/>
    <s v="2026-03-07"/>
    <s v="281511"/>
    <s v="Malakshmi Krishi Bhandar      "/>
    <s v="9800561868"/>
  </r>
  <r>
    <s v="RCF Trombay"/>
    <s v="15-15-15"/>
    <s v="WB"/>
    <x v="0"/>
    <s v="Gaighata"/>
    <s v="User Not Mapped"/>
    <s v="User Not Mapped"/>
    <s v="User Not Mapped"/>
    <n v="411339"/>
    <s v="Dilip Kumar Mondal"/>
    <s v="Private Retailer"/>
    <s v="9932583255"/>
    <n v="0.35"/>
    <n v="35"/>
    <x v="1"/>
    <m/>
    <s v="2026-03-23"/>
    <s v="281511"/>
    <s v="Malakshmi Krishi Bhandar      "/>
    <s v="9800561868"/>
  </r>
  <r>
    <s v="RCF Trombay"/>
    <s v="15-15-15"/>
    <s v="WB"/>
    <x v="0"/>
    <s v="Gaighata"/>
    <s v="User Not Mapped"/>
    <s v="User Not Mapped"/>
    <s v="User Not Mapped"/>
    <n v="411339"/>
    <s v="Dilip Kumar Mondal"/>
    <s v="Private Retailer"/>
    <s v="9932583255"/>
    <n v="1"/>
    <n v="44"/>
    <x v="1"/>
    <m/>
    <s v="2026-03-14"/>
    <s v="281511"/>
    <s v="Malakshmi Krishi Bhandar      "/>
    <s v="9800561868"/>
  </r>
  <r>
    <s v="RCF Trombay"/>
    <s v="15-15-15"/>
    <s v="WB"/>
    <x v="0"/>
    <s v="Gaighata"/>
    <s v="User Not Mapped"/>
    <s v="User Not Mapped"/>
    <s v="User Not Mapped"/>
    <n v="411339"/>
    <s v="Dilip Kumar Mondal"/>
    <s v="Private Retailer"/>
    <s v="9932583255"/>
    <n v="2.4"/>
    <n v="51"/>
    <x v="1"/>
    <m/>
    <s v="2026-03-07"/>
    <s v="281511"/>
    <s v="Malakshmi Krishi Bhandar      "/>
    <s v="9800561868"/>
  </r>
  <r>
    <s v="RCF Trombay"/>
    <s v="N.C.Urea(45kg)"/>
    <s v="WB"/>
    <x v="0"/>
    <s v="Gaighata"/>
    <s v="User Not Mapped"/>
    <s v="User Not Mapped"/>
    <s v="User Not Mapped"/>
    <n v="411339"/>
    <s v="Dilip Kumar Mondal"/>
    <s v="Private Retailer"/>
    <s v="9932583255"/>
    <n v="0.45"/>
    <n v="35"/>
    <x v="1"/>
    <m/>
    <s v="2026-03-23"/>
    <s v="281511"/>
    <s v="Malakshmi Krishi Bhandar      "/>
    <s v="9800561868"/>
  </r>
  <r>
    <s v="RCF Import"/>
    <s v="MOP"/>
    <s v="WB"/>
    <x v="0"/>
    <s v="Gaighata"/>
    <s v="User Not Mapped"/>
    <s v="User Not Mapped"/>
    <s v="User Not Mapped"/>
    <n v="411347"/>
    <s v="M/S Babul Das"/>
    <s v="Private Retailer"/>
    <s v="9775056130"/>
    <n v="4.2"/>
    <n v="68"/>
    <x v="2"/>
    <m/>
    <s v="2026-02-18"/>
    <s v="223812"/>
    <s v="M/S. Shyma Krishi B"/>
    <s v="8617629886"/>
  </r>
  <r>
    <s v="RCF Trombay"/>
    <s v="15-15-15"/>
    <s v="WB"/>
    <x v="0"/>
    <s v="Gaighata"/>
    <s v="User Not Mapped"/>
    <s v="User Not Mapped"/>
    <s v="User Not Mapped"/>
    <n v="411349"/>
    <s v="Basudev Ghosh"/>
    <s v="Private Retailer"/>
    <s v="9635915129"/>
    <n v="5.5"/>
    <n v="72"/>
    <x v="2"/>
    <m/>
    <s v="2026-02-14"/>
    <s v="268815"/>
    <s v="Chitta Ranjan Dey"/>
    <s v="9434744870"/>
  </r>
  <r>
    <s v="RCF Import"/>
    <s v="MOP"/>
    <s v="WB"/>
    <x v="0"/>
    <s v="Gaighata"/>
    <s v="User Not Mapped"/>
    <s v="User Not Mapped"/>
    <s v="User Not Mapped"/>
    <n v="411349"/>
    <s v="Basudev Ghosh"/>
    <s v="Private Retailer"/>
    <s v="9635915129"/>
    <n v="5"/>
    <n v="62"/>
    <x v="2"/>
    <m/>
    <s v="2026-02-24"/>
    <s v="268815"/>
    <s v="Chitta Ranjan Dey"/>
    <s v="9434744870"/>
  </r>
  <r>
    <s v="RCF Trombay"/>
    <s v="15-15-15"/>
    <s v="WB"/>
    <x v="0"/>
    <s v="Gaighata"/>
    <s v="User Not Mapped"/>
    <s v="User Not Mapped"/>
    <s v="User Not Mapped"/>
    <n v="411349"/>
    <s v="Basudev Ghosh"/>
    <s v="Private Retailer"/>
    <s v="9635915129"/>
    <n v="0.6"/>
    <n v="100"/>
    <x v="5"/>
    <m/>
    <s v="2026-01-17"/>
    <s v="268815"/>
    <s v="Chitta Ranjan Dey"/>
    <s v="9434744870"/>
  </r>
  <r>
    <s v="RCF Import"/>
    <s v="Imp 10-26-26"/>
    <s v="WB"/>
    <x v="0"/>
    <s v="Gaighata"/>
    <s v="User Not Mapped"/>
    <s v="User Not Mapped"/>
    <s v="User Not Mapped"/>
    <n v="411349"/>
    <s v="Basudev Ghosh"/>
    <s v="Private Retailer"/>
    <s v="9635915129"/>
    <n v="4.75"/>
    <n v="28"/>
    <x v="4"/>
    <m/>
    <s v="2026-03-30"/>
    <s v="268815"/>
    <s v="Chitta Ranjan Dey"/>
    <s v="9434744870"/>
  </r>
  <r>
    <s v="RCF Thal"/>
    <s v="N.C.Urea(45kg)"/>
    <s v="WB"/>
    <x v="0"/>
    <s v="Gaighata"/>
    <s v="User Not Mapped"/>
    <s v="User Not Mapped"/>
    <s v="User Not Mapped"/>
    <n v="411365"/>
    <s v="Ghosh Fertlizer"/>
    <s v="Private Retailer"/>
    <s v="9749556595"/>
    <n v="0.13500000000000001"/>
    <n v="344"/>
    <x v="3"/>
    <m/>
    <s v="2025-05-18"/>
    <s v="1031616"/>
    <s v="Rita Mondal"/>
    <s v="9434190852"/>
  </r>
  <r>
    <s v="RCF Trombay"/>
    <s v="N.C.Urea(45kg)"/>
    <s v="WB"/>
    <x v="0"/>
    <s v="Gaighata"/>
    <s v="User Not Mapped"/>
    <s v="User Not Mapped"/>
    <s v="User Not Mapped"/>
    <n v="411365"/>
    <s v="Ghosh Fertlizer"/>
    <s v="Private Retailer"/>
    <s v="9749556595"/>
    <n v="0.67500000000000004"/>
    <n v="159"/>
    <x v="0"/>
    <m/>
    <s v="2025-11-19"/>
    <s v="281511"/>
    <s v="Malakshmi Krishi Bhandar      "/>
    <s v="9800561868"/>
  </r>
  <r>
    <s v="RCF Thal"/>
    <s v="N.C.Urea(45kg)"/>
    <s v="WB"/>
    <x v="0"/>
    <s v="Gaighata"/>
    <s v="User Not Mapped"/>
    <s v="User Not Mapped"/>
    <s v="User Not Mapped"/>
    <n v="411365"/>
    <s v="Ghosh Fertlizer"/>
    <s v="Private Retailer"/>
    <s v="9749556595"/>
    <n v="0.495"/>
    <n v="159"/>
    <x v="0"/>
    <m/>
    <s v="2025-11-19"/>
    <s v="281511"/>
    <s v="Malakshmi Krishi Bhandar      "/>
    <s v="9800561868"/>
  </r>
  <r>
    <s v="RCF Trombay"/>
    <s v="15-15-15"/>
    <s v="WB"/>
    <x v="0"/>
    <s v="Gaighata"/>
    <s v="User Not Mapped"/>
    <s v="User Not Mapped"/>
    <s v="User Not Mapped"/>
    <n v="411365"/>
    <s v="Ghosh Fertlizer"/>
    <s v="Private Retailer"/>
    <s v="9749556595"/>
    <n v="0.75"/>
    <n v="159"/>
    <x v="0"/>
    <m/>
    <s v="2025-11-19"/>
    <s v="281511"/>
    <s v="Malakshmi Krishi Bhandar      "/>
    <s v="9800561868"/>
  </r>
  <r>
    <s v="RCF Import"/>
    <s v="MOP"/>
    <s v="WB"/>
    <x v="0"/>
    <s v="Gaighata"/>
    <s v="User Not Mapped"/>
    <s v="User Not Mapped"/>
    <s v="User Not Mapped"/>
    <n v="411369"/>
    <s v="Arindam Mondal"/>
    <s v="Private Retailer"/>
    <s v="8972026312"/>
    <n v="1"/>
    <n v="62"/>
    <x v="2"/>
    <m/>
    <s v="2026-02-24"/>
    <s v="600929"/>
    <s v="Anukul Kumar Khan"/>
    <s v="9547730250"/>
  </r>
  <r>
    <s v="RCF Thal"/>
    <s v="N.C.Urea(45kg)"/>
    <s v="WB"/>
    <x v="0"/>
    <s v="Gaighata"/>
    <s v="User Not Mapped"/>
    <s v="User Not Mapped"/>
    <s v="User Not Mapped"/>
    <n v="411369"/>
    <s v="Arindam Mondal"/>
    <s v="Private Retailer"/>
    <s v="8972026312"/>
    <n v="3.375"/>
    <n v="17"/>
    <x v="4"/>
    <m/>
    <s v="2026-04-10"/>
    <s v="281522"/>
    <s v="N.C. Das and Co."/>
    <s v="6297603863"/>
  </r>
  <r>
    <s v="RCF Trombay"/>
    <s v="15-15-15"/>
    <s v="WB"/>
    <x v="0"/>
    <s v="Gaighata"/>
    <s v="User Not Mapped"/>
    <s v="User Not Mapped"/>
    <s v="User Not Mapped"/>
    <n v="411373"/>
    <s v="Durga Charan Barui"/>
    <s v="Private Retailer"/>
    <s v="9932691312"/>
    <n v="1.45"/>
    <n v="73"/>
    <x v="2"/>
    <m/>
    <s v="2026-02-13"/>
    <s v="268815"/>
    <s v="Chitta Ranjan Dey"/>
    <s v="9434744870"/>
  </r>
  <r>
    <s v="RCF Import"/>
    <s v="MOP"/>
    <s v="WB"/>
    <x v="0"/>
    <s v="Gaighata"/>
    <s v="User Not Mapped"/>
    <s v="User Not Mapped"/>
    <s v="User Not Mapped"/>
    <n v="411373"/>
    <s v="Durga Charan Barui"/>
    <s v="Private Retailer"/>
    <s v="9932691312"/>
    <n v="2.65"/>
    <n v="59"/>
    <x v="1"/>
    <m/>
    <s v="2026-02-27"/>
    <s v="268815"/>
    <s v="Chitta Ranjan Dey"/>
    <s v="9434744870"/>
  </r>
  <r>
    <s v="RCF Thal"/>
    <s v="N.C.Urea(45kg)"/>
    <s v="WB"/>
    <x v="0"/>
    <s v="Gaighata"/>
    <s v="User Not Mapped"/>
    <s v="User Not Mapped"/>
    <s v="User Not Mapped"/>
    <n v="411373"/>
    <s v="Durga Charan Barui"/>
    <s v="Private Retailer"/>
    <s v="9932691312"/>
    <n v="5.31"/>
    <n v="46"/>
    <x v="1"/>
    <m/>
    <s v="2026-03-12"/>
    <s v="268815"/>
    <s v="Chitta Ranjan Dey"/>
    <s v="9434744870"/>
  </r>
  <r>
    <s v="RCF Import"/>
    <s v="Imp 10-26-26"/>
    <s v="WB"/>
    <x v="0"/>
    <s v="Gaighata"/>
    <s v="User Not Mapped"/>
    <s v="User Not Mapped"/>
    <s v="User Not Mapped"/>
    <n v="411373"/>
    <s v="Durga Charan Barui"/>
    <s v="Private Retailer"/>
    <s v="9932691312"/>
    <n v="3.95"/>
    <n v="28"/>
    <x v="4"/>
    <m/>
    <s v="2026-03-30"/>
    <s v="268815"/>
    <s v="Chitta Ranjan Dey"/>
    <s v="9434744870"/>
  </r>
  <r>
    <s v="RCF Trombay"/>
    <s v="15-15-15"/>
    <s v="WB"/>
    <x v="0"/>
    <s v="Gaighata"/>
    <s v="User Not Mapped"/>
    <s v="User Not Mapped"/>
    <s v="User Not Mapped"/>
    <n v="411383"/>
    <s v="Laxman Chandra Sardar"/>
    <s v="Private Retailer"/>
    <s v="9002893215"/>
    <n v="0.27"/>
    <n v="433"/>
    <x v="6"/>
    <m/>
    <s v="2025-02-18"/>
    <s v="1031616"/>
    <s v="Rita Mondal"/>
    <s v="9434190852"/>
  </r>
  <r>
    <s v="RCF Trombay"/>
    <s v="15-15-15"/>
    <s v="WB"/>
    <x v="0"/>
    <s v="Gaighata"/>
    <s v="User Not Mapped"/>
    <s v="User Not Mapped"/>
    <s v="User Not Mapped"/>
    <n v="411395"/>
    <s v="Parimal Sardar"/>
    <s v="Private Retailer"/>
    <s v="9163192077"/>
    <n v="2.2000000000000002"/>
    <n v="246"/>
    <x v="3"/>
    <m/>
    <s v="2025-08-24"/>
    <s v="223812"/>
    <s v="M/S. Shyma Krishi B"/>
    <s v="8617629886"/>
  </r>
  <r>
    <s v="RCF Thal"/>
    <s v="N.C.Urea(45kg)"/>
    <s v="WB"/>
    <x v="0"/>
    <s v="Gaighata"/>
    <s v="User Not Mapped"/>
    <s v="User Not Mapped"/>
    <s v="User Not Mapped"/>
    <n v="411401"/>
    <s v="Nitish Kumar Mondal"/>
    <s v="Private Retailer"/>
    <s v="9153769541"/>
    <n v="1.8"/>
    <n v="47"/>
    <x v="1"/>
    <m/>
    <s v="2026-03-11"/>
    <s v="223812"/>
    <s v="M/S. Shyma Krishi B"/>
    <s v="8617629886"/>
  </r>
  <r>
    <s v="RCF Import"/>
    <s v="Imp 10-26-26"/>
    <s v="WB"/>
    <x v="0"/>
    <s v="Gaighata"/>
    <s v="User Not Mapped"/>
    <s v="User Not Mapped"/>
    <s v="User Not Mapped"/>
    <n v="411431"/>
    <s v="M/S Ramkrishna Sardar"/>
    <s v="Private Retailer"/>
    <s v="9800724156"/>
    <n v="1"/>
    <n v="28"/>
    <x v="4"/>
    <m/>
    <s v="2026-03-30"/>
    <s v="268815"/>
    <s v="Chitta Ranjan Dey"/>
    <s v="9434744870"/>
  </r>
  <r>
    <s v="RCF Thal"/>
    <s v="N.C.Urea(45kg)"/>
    <s v="WB"/>
    <x v="0"/>
    <s v="Gaighata"/>
    <s v="User Not Mapped"/>
    <s v="User Not Mapped"/>
    <s v="User Not Mapped"/>
    <n v="411431"/>
    <s v="M/S Ramkrishna Sardar"/>
    <s v="Private Retailer"/>
    <s v="9800724156"/>
    <n v="4.7249999999999996"/>
    <n v="76"/>
    <x v="2"/>
    <m/>
    <s v="2026-02-10"/>
    <s v="268815"/>
    <s v="Chitta Ranjan Dey"/>
    <s v="9434744870"/>
  </r>
  <r>
    <s v="RCF Thal"/>
    <s v="N.C.Urea(45kg)"/>
    <s v="WB"/>
    <x v="0"/>
    <s v="Gaighata"/>
    <s v="User Not Mapped"/>
    <s v="User Not Mapped"/>
    <s v="User Not Mapped"/>
    <n v="411431"/>
    <s v="M/S Ramkrishna Sardar"/>
    <s v="Private Retailer"/>
    <s v="9800724156"/>
    <n v="9.99"/>
    <n v="20"/>
    <x v="4"/>
    <m/>
    <s v="2026-04-07"/>
    <s v="268815"/>
    <s v="Chitta Ranjan Dey"/>
    <s v="9434744870"/>
  </r>
  <r>
    <s v="RCF Import"/>
    <s v="MOP"/>
    <s v="WB"/>
    <x v="0"/>
    <s v="Gaighata"/>
    <s v="User Not Mapped"/>
    <s v="User Not Mapped"/>
    <s v="User Not Mapped"/>
    <n v="411447"/>
    <s v="M/S Biswajit Majumdar"/>
    <s v="Private Retailer"/>
    <s v="9564077070"/>
    <n v="1.5"/>
    <n v="47"/>
    <x v="1"/>
    <m/>
    <s v="2026-03-11"/>
    <s v="600929"/>
    <s v="Anukul Kumar Khan"/>
    <s v="9547730250"/>
  </r>
  <r>
    <s v="RCF Trombay"/>
    <s v="15-15-15"/>
    <s v="WB"/>
    <x v="0"/>
    <s v="Gaighata"/>
    <s v="User Not Mapped"/>
    <s v="User Not Mapped"/>
    <s v="User Not Mapped"/>
    <n v="411453"/>
    <s v="Nishikar Das"/>
    <s v="Private Retailer"/>
    <s v="9647238087"/>
    <n v="0.59499999999999997"/>
    <n v="289"/>
    <x v="3"/>
    <m/>
    <s v="2025-07-12"/>
    <s v="281522"/>
    <s v="N.C. Das and Co."/>
    <s v="6297603863"/>
  </r>
  <r>
    <s v="RCF Trombay"/>
    <s v="N.C.Urea(45kg)"/>
    <s v="WB"/>
    <x v="0"/>
    <s v="Gaighata"/>
    <s v="User Not Mapped"/>
    <s v="User Not Mapped"/>
    <s v="User Not Mapped"/>
    <n v="411457"/>
    <s v="M/S Protap Majumder"/>
    <s v="Private Retailer"/>
    <s v="9647282532"/>
    <n v="8.9550000000000001"/>
    <n v="70"/>
    <x v="2"/>
    <m/>
    <s v="2026-02-16"/>
    <s v="223817"/>
    <s v="National Supply Agency"/>
    <s v="9564505288"/>
  </r>
  <r>
    <s v="RCF Trombay"/>
    <s v="15-15-15"/>
    <s v="WB"/>
    <x v="0"/>
    <s v="Gaighata"/>
    <s v="User Not Mapped"/>
    <s v="User Not Mapped"/>
    <s v="User Not Mapped"/>
    <n v="411457"/>
    <s v="M/S Protap Majumder"/>
    <s v="Private Retailer"/>
    <s v="9647282532"/>
    <n v="3"/>
    <n v="70"/>
    <x v="2"/>
    <m/>
    <s v="2026-02-16"/>
    <s v="223817"/>
    <s v="National Supply Agency"/>
    <s v="9564505288"/>
  </r>
  <r>
    <s v="RCF Trombay"/>
    <s v="15-15-15"/>
    <s v="WB"/>
    <x v="0"/>
    <s v="Gaighata"/>
    <s v="User Not Mapped"/>
    <s v="User Not Mapped"/>
    <s v="User Not Mapped"/>
    <n v="411459"/>
    <s v="Modern Fertilizer"/>
    <s v="Private Retailer"/>
    <s v="7872782575"/>
    <n v="4.9349999999999996"/>
    <n v="97"/>
    <x v="5"/>
    <m/>
    <s v="2026-01-20"/>
    <s v="223812"/>
    <s v="M/S. Shyma Krishi B"/>
    <s v="8617629886"/>
  </r>
  <r>
    <s v="RCF Thal"/>
    <s v="N.C.Urea(45kg)"/>
    <s v="WB"/>
    <x v="0"/>
    <s v="Gaighata"/>
    <s v="User Not Mapped"/>
    <s v="User Not Mapped"/>
    <s v="User Not Mapped"/>
    <n v="411459"/>
    <s v="Modern Fertilizer"/>
    <s v="Private Retailer"/>
    <s v="7872782575"/>
    <n v="8.82"/>
    <n v="46"/>
    <x v="1"/>
    <m/>
    <s v="2026-03-12"/>
    <s v="268815"/>
    <s v="Chitta Ranjan Dey"/>
    <s v="9434744870"/>
  </r>
  <r>
    <s v="RCF Import"/>
    <s v="MOP"/>
    <s v="WB"/>
    <x v="0"/>
    <s v="Gaighata"/>
    <s v="User Not Mapped"/>
    <s v="User Not Mapped"/>
    <s v="User Not Mapped"/>
    <n v="411459"/>
    <s v="Modern Fertilizer"/>
    <s v="Private Retailer"/>
    <s v="7872782575"/>
    <n v="2.25"/>
    <n v="15"/>
    <x v="4"/>
    <m/>
    <s v="2026-04-12"/>
    <s v="924553"/>
    <s v="Modern fertilizer"/>
    <s v="9734054818"/>
  </r>
  <r>
    <s v="RCF Import"/>
    <s v="Imp 10-26-26"/>
    <s v="WB"/>
    <x v="0"/>
    <s v="Gaighata"/>
    <s v="User Not Mapped"/>
    <s v="User Not Mapped"/>
    <s v="User Not Mapped"/>
    <n v="411459"/>
    <s v="Modern Fertilizer"/>
    <s v="Private Retailer"/>
    <s v="7872782575"/>
    <n v="5.45"/>
    <n v="28"/>
    <x v="4"/>
    <m/>
    <s v="2026-03-30"/>
    <s v="268815"/>
    <s v="Chitta Ranjan Dey"/>
    <s v="9434744870"/>
  </r>
  <r>
    <s v="RCF Thal"/>
    <s v="N.C.Urea(45kg)"/>
    <s v="WB"/>
    <x v="0"/>
    <s v="Gaighata"/>
    <s v="User Not Mapped"/>
    <s v="User Not Mapped"/>
    <s v="User Not Mapped"/>
    <n v="457498"/>
    <s v="Sadhan Das"/>
    <s v="Private Retailer"/>
    <s v="8167325004"/>
    <n v="3.24"/>
    <n v="17"/>
    <x v="4"/>
    <m/>
    <s v="2026-04-10"/>
    <s v="281522"/>
    <s v="N.C. Das and Co."/>
    <s v="6297603863"/>
  </r>
  <r>
    <s v="RCF Thal"/>
    <s v="N.C.Urea(45kg)"/>
    <s v="WB"/>
    <x v="0"/>
    <s v="Gaighata"/>
    <s v="User Not Mapped"/>
    <s v="User Not Mapped"/>
    <s v="User Not Mapped"/>
    <n v="457847"/>
    <s v="Shashanka Upadhyaya"/>
    <s v="Private Retailer"/>
    <s v="8016030025"/>
    <n v="2.835"/>
    <n v="17"/>
    <x v="4"/>
    <m/>
    <s v="2026-04-10"/>
    <s v="281522"/>
    <s v="N.C. Das and Co."/>
    <s v="6297603863"/>
  </r>
  <r>
    <s v="RCF Trombay"/>
    <s v="N.C.Urea(45kg)"/>
    <s v="WB"/>
    <x v="0"/>
    <s v="Gaighata"/>
    <s v="User Not Mapped"/>
    <s v="User Not Mapped"/>
    <s v="User Not Mapped"/>
    <n v="457847"/>
    <s v="Shashanka Upadhyaya"/>
    <s v="Private Retailer"/>
    <s v="8016030025"/>
    <n v="0.67500000000000004"/>
    <n v="100"/>
    <x v="5"/>
    <m/>
    <s v="2026-01-17"/>
    <s v="268815"/>
    <s v="Chitta Ranjan Dey"/>
    <s v="9434744870"/>
  </r>
  <r>
    <s v="RCF Trombay"/>
    <s v="N.C.Urea(45kg)"/>
    <s v="WB"/>
    <x v="0"/>
    <s v="Gaighata"/>
    <s v="User Not Mapped"/>
    <s v="User Not Mapped"/>
    <s v="User Not Mapped"/>
    <n v="457849"/>
    <s v="Satya Priya Palit"/>
    <s v="Private Retailer"/>
    <s v="7586992715"/>
    <n v="0.03"/>
    <n v="257"/>
    <x v="3"/>
    <m/>
    <s v="2025-08-13"/>
    <s v="1048909"/>
    <s v="B K ROY AND COMPANY"/>
    <s v="9734516484"/>
  </r>
  <r>
    <s v="RCF Trombay"/>
    <s v="15-15-15"/>
    <s v="WB"/>
    <x v="0"/>
    <s v="Gaighata"/>
    <s v="User Not Mapped"/>
    <s v="User Not Mapped"/>
    <s v="User Not Mapped"/>
    <n v="458069"/>
    <s v="Sanikanta Paul"/>
    <s v="Private Retailer"/>
    <s v="9933704281"/>
    <n v="0.25"/>
    <n v="95"/>
    <x v="5"/>
    <m/>
    <s v="2026-01-22"/>
    <s v="223811"/>
    <s v="Chanchal Kumar Dey"/>
    <s v="9434616928"/>
  </r>
  <r>
    <s v="RCF Thal"/>
    <s v="N.C.Urea(45kg)"/>
    <s v="WB"/>
    <x v="0"/>
    <s v="Gaighata"/>
    <s v="User Not Mapped"/>
    <s v="User Not Mapped"/>
    <s v="User Not Mapped"/>
    <n v="458069"/>
    <s v="Sanikanta Paul"/>
    <s v="Private Retailer"/>
    <s v="9933704281"/>
    <n v="0.9"/>
    <n v="18"/>
    <x v="4"/>
    <m/>
    <s v="2026-04-09"/>
    <s v="223811"/>
    <s v="Chanchal Kumar Dey"/>
    <s v="9434616928"/>
  </r>
  <r>
    <s v="RCF Import"/>
    <s v="Imp 10-26-26"/>
    <s v="WB"/>
    <x v="0"/>
    <s v="Gaighata"/>
    <s v="User Not Mapped"/>
    <s v="User Not Mapped"/>
    <s v="User Not Mapped"/>
    <n v="458075"/>
    <s v="Goutam Sarkar"/>
    <s v="Private Retailer"/>
    <s v="9679455201"/>
    <n v="0.14000000000000001"/>
    <n v="289"/>
    <x v="3"/>
    <m/>
    <s v="2025-07-12"/>
    <s v="1219923"/>
    <s v="SHIMUL HAZRA"/>
    <s v="9932572558"/>
  </r>
  <r>
    <s v="RCF Trombay"/>
    <s v="N.C.Urea(45kg)"/>
    <s v="WB"/>
    <x v="0"/>
    <s v="Gaighata"/>
    <s v="User Not Mapped"/>
    <s v="User Not Mapped"/>
    <s v="User Not Mapped"/>
    <n v="458099"/>
    <s v="Mangal Hazra"/>
    <s v="Private Retailer"/>
    <s v="9153691210"/>
    <n v="0.18"/>
    <n v="231"/>
    <x v="3"/>
    <m/>
    <s v="2025-09-08"/>
    <s v="1054127"/>
    <s v="New Radha krishna krishi bhand"/>
    <s v="7908733277"/>
  </r>
  <r>
    <s v="RCF Trombay"/>
    <s v="15-15-15"/>
    <s v="WB"/>
    <x v="0"/>
    <s v="Gaighata"/>
    <s v="User Not Mapped"/>
    <s v="User Not Mapped"/>
    <s v="User Not Mapped"/>
    <n v="458099"/>
    <s v="Mangal Hazra"/>
    <s v="Private Retailer"/>
    <s v="9153691210"/>
    <n v="0.4"/>
    <n v="276"/>
    <x v="3"/>
    <m/>
    <s v="2025-07-25"/>
    <s v="1054127"/>
    <s v="New Radha krishna krishi bhand"/>
    <s v="7908733277"/>
  </r>
  <r>
    <s v="RCF Import"/>
    <s v="MOP"/>
    <s v="WB"/>
    <x v="0"/>
    <s v="Gaighata"/>
    <s v="User Not Mapped"/>
    <s v="User Not Mapped"/>
    <s v="User Not Mapped"/>
    <n v="458111"/>
    <s v="Subhash Neogi"/>
    <s v="Private Retailer"/>
    <s v="9933017959"/>
    <n v="0.9"/>
    <n v="51"/>
    <x v="1"/>
    <m/>
    <s v="2026-03-07"/>
    <s v="281511"/>
    <s v="Malakshmi Krishi Bhandar      "/>
    <s v="9800561868"/>
  </r>
  <r>
    <s v="RCF Trombay"/>
    <s v="N.C.Urea(45kg)"/>
    <s v="WB"/>
    <x v="0"/>
    <s v="Gaighata"/>
    <s v="User Not Mapped"/>
    <s v="User Not Mapped"/>
    <s v="User Not Mapped"/>
    <n v="458111"/>
    <s v="Subhash Neogi"/>
    <s v="Private Retailer"/>
    <s v="9933017959"/>
    <n v="5.22"/>
    <n v="72"/>
    <x v="2"/>
    <m/>
    <s v="2026-02-14"/>
    <s v="281511"/>
    <s v="Malakshmi Krishi Bhandar      "/>
    <s v="9800561868"/>
  </r>
  <r>
    <s v="RCF Trombay"/>
    <s v="15-15-15"/>
    <s v="WB"/>
    <x v="0"/>
    <s v="Gaighata"/>
    <s v="User Not Mapped"/>
    <s v="User Not Mapped"/>
    <s v="User Not Mapped"/>
    <n v="458111"/>
    <s v="Subhash Neogi"/>
    <s v="Private Retailer"/>
    <s v="9933017959"/>
    <n v="4.625"/>
    <n v="91"/>
    <x v="5"/>
    <m/>
    <s v="2026-01-26"/>
    <s v="281511"/>
    <s v="Malakshmi Krishi Bhandar      "/>
    <s v="9800561868"/>
  </r>
  <r>
    <s v="RCF Import"/>
    <s v="Imp 10-26-26"/>
    <s v="WB"/>
    <x v="0"/>
    <s v="Gaighata"/>
    <s v="User Not Mapped"/>
    <s v="User Not Mapped"/>
    <s v="User Not Mapped"/>
    <n v="458111"/>
    <s v="Subhash Neogi"/>
    <s v="Private Retailer"/>
    <s v="9933017959"/>
    <n v="0.2"/>
    <n v="167"/>
    <x v="0"/>
    <m/>
    <s v="2025-11-11"/>
    <s v="281511"/>
    <s v="Malakshmi Krishi Bhandar      "/>
    <s v="9800561868"/>
  </r>
  <r>
    <s v="RCF Import"/>
    <s v="Imp 10-26-26"/>
    <s v="WB"/>
    <x v="0"/>
    <s v="Gaighata"/>
    <s v="User Not Mapped"/>
    <s v="User Not Mapped"/>
    <s v="User Not Mapped"/>
    <n v="458111"/>
    <s v="Subhash Neogi"/>
    <s v="Private Retailer"/>
    <s v="9933017959"/>
    <n v="0.25"/>
    <n v="51"/>
    <x v="1"/>
    <m/>
    <s v="2026-03-07"/>
    <s v="281511"/>
    <s v="Malakshmi Krishi Bhandar      "/>
    <s v="9800561868"/>
  </r>
  <r>
    <s v="RCF Thal"/>
    <s v="N.C.Urea(45kg)"/>
    <s v="WB"/>
    <x v="0"/>
    <s v="Gaighata"/>
    <s v="User Not Mapped"/>
    <s v="User Not Mapped"/>
    <s v="User Not Mapped"/>
    <n v="458121"/>
    <s v="Biswajit Mondal"/>
    <s v="Private Retailer"/>
    <s v="8001059673"/>
    <n v="5.49"/>
    <n v="44"/>
    <x v="1"/>
    <m/>
    <s v="2026-03-14"/>
    <s v="281511"/>
    <s v="Malakshmi Krishi Bhandar      "/>
    <s v="9800561868"/>
  </r>
  <r>
    <s v="RCF Thal"/>
    <s v="N.C.Urea(45kg)"/>
    <s v="WB"/>
    <x v="0"/>
    <s v="Gaighata"/>
    <s v="User Not Mapped"/>
    <s v="User Not Mapped"/>
    <s v="User Not Mapped"/>
    <n v="458121"/>
    <s v="Biswajit Mondal"/>
    <s v="Private Retailer"/>
    <s v="8001059673"/>
    <n v="4.9950000000000001"/>
    <n v="19"/>
    <x v="4"/>
    <m/>
    <s v="2026-04-08"/>
    <s v="281511"/>
    <s v="Malakshmi Krishi Bhandar      "/>
    <s v="9800561868"/>
  </r>
  <r>
    <s v="RCF Thal"/>
    <s v="N.C.Urea(45kg)"/>
    <s v="WB"/>
    <x v="0"/>
    <s v="Gaighata"/>
    <s v="User Not Mapped"/>
    <s v="User Not Mapped"/>
    <s v="User Not Mapped"/>
    <n v="458121"/>
    <s v="Biswajit Mondal"/>
    <s v="Private Retailer"/>
    <s v="8001059673"/>
    <n v="0.99"/>
    <n v="75"/>
    <x v="2"/>
    <m/>
    <s v="2026-02-11"/>
    <s v="281511"/>
    <s v="Malakshmi Krishi Bhandar      "/>
    <s v="9800561868"/>
  </r>
  <r>
    <s v="RCF Trombay"/>
    <s v="15-15-15"/>
    <s v="WB"/>
    <x v="0"/>
    <s v="Gaighata"/>
    <s v="User Not Mapped"/>
    <s v="User Not Mapped"/>
    <s v="User Not Mapped"/>
    <n v="458135"/>
    <s v="Rampada Mondal"/>
    <s v="Private Retailer"/>
    <s v="9002198517"/>
    <n v="0.02"/>
    <n v="2666"/>
    <x v="7"/>
    <m/>
    <s v="2019-01-08"/>
    <s v="625928"/>
    <s v="Renuka Saha Roy"/>
    <s v="7478940964"/>
  </r>
  <r>
    <s v="RCF Trombay"/>
    <s v="15-15-15"/>
    <s v="WB"/>
    <x v="0"/>
    <s v="Gaighata"/>
    <s v="User Not Mapped"/>
    <s v="User Not Mapped"/>
    <s v="User Not Mapped"/>
    <n v="458462"/>
    <s v="SAILENDRA NATH MONDAL"/>
    <s v="Private Retailer"/>
    <s v="9732947251"/>
    <n v="3.5"/>
    <n v="72"/>
    <x v="2"/>
    <m/>
    <s v="2026-02-14"/>
    <s v="281511"/>
    <s v="Malakshmi Krishi Bhandar      "/>
    <s v="9800561868"/>
  </r>
  <r>
    <s v="RCF Import"/>
    <s v="Imp 10-26-26"/>
    <s v="WB"/>
    <x v="0"/>
    <s v="Gaighata"/>
    <s v="User Not Mapped"/>
    <s v="User Not Mapped"/>
    <s v="User Not Mapped"/>
    <n v="461940"/>
    <s v="Nirmal Kr.Mondal"/>
    <s v="Private Retailer"/>
    <s v="9434196616"/>
    <n v="4.55"/>
    <n v="28"/>
    <x v="4"/>
    <m/>
    <s v="2026-03-30"/>
    <s v="268815"/>
    <s v="Chitta Ranjan Dey"/>
    <s v="9434744870"/>
  </r>
  <r>
    <s v="RCF Trombay"/>
    <s v="15-15-15"/>
    <s v="WB"/>
    <x v="0"/>
    <s v="Gaighata"/>
    <s v="User Not Mapped"/>
    <s v="User Not Mapped"/>
    <s v="User Not Mapped"/>
    <n v="461940"/>
    <s v="Nirmal Kr.Mondal"/>
    <s v="Private Retailer"/>
    <s v="9434196616"/>
    <n v="0.39500000000000002"/>
    <n v="61"/>
    <x v="2"/>
    <m/>
    <s v="2026-02-25"/>
    <s v="281511"/>
    <s v="Malakshmi Krishi Bhandar      "/>
    <s v="9800561868"/>
  </r>
  <r>
    <s v="RCF Trombay"/>
    <s v="15-15-15"/>
    <s v="WB"/>
    <x v="0"/>
    <s v="Gaighata"/>
    <s v="User Not Mapped"/>
    <s v="User Not Mapped"/>
    <s v="User Not Mapped"/>
    <n v="466946"/>
    <s v="Tulshidas Saha"/>
    <s v="Private Retailer"/>
    <s v="9333493517"/>
    <n v="0.25"/>
    <n v="99"/>
    <x v="5"/>
    <m/>
    <s v="2026-01-18"/>
    <s v="223812"/>
    <s v="M/S. Shyma Krishi B"/>
    <s v="8617629886"/>
  </r>
  <r>
    <s v="RCF Import"/>
    <s v="Imp 10-26-26"/>
    <s v="WB"/>
    <x v="0"/>
    <s v="Gaighata"/>
    <s v="User Not Mapped"/>
    <s v="User Not Mapped"/>
    <s v="User Not Mapped"/>
    <n v="466946"/>
    <s v="Tulshidas Saha"/>
    <s v="Private Retailer"/>
    <s v="9333493517"/>
    <n v="5.5"/>
    <n v="62"/>
    <x v="2"/>
    <m/>
    <s v="2026-02-24"/>
    <s v="223812"/>
    <s v="M/S. Shyma Krishi B"/>
    <s v="8617629886"/>
  </r>
  <r>
    <s v="RCF Import"/>
    <s v="MOP"/>
    <s v="WB"/>
    <x v="0"/>
    <s v="Gaighata"/>
    <s v="User Not Mapped"/>
    <s v="User Not Mapped"/>
    <s v="User Not Mapped"/>
    <n v="466946"/>
    <s v="Tulshidas Saha"/>
    <s v="Private Retailer"/>
    <s v="9333493517"/>
    <n v="5.25"/>
    <n v="68"/>
    <x v="2"/>
    <m/>
    <s v="2026-02-18"/>
    <s v="223812"/>
    <s v="M/S. Shyma Krishi B"/>
    <s v="8617629886"/>
  </r>
  <r>
    <s v="RCF Trombay"/>
    <s v="15-15-15"/>
    <s v="WB"/>
    <x v="0"/>
    <s v="Gaighata"/>
    <s v="User Not Mapped"/>
    <s v="User Not Mapped"/>
    <s v="User Not Mapped"/>
    <n v="497745"/>
    <s v="Nilkanta Ghosh"/>
    <s v="Private Retailer"/>
    <s v="8967410038"/>
    <n v="5.5"/>
    <n v="76"/>
    <x v="2"/>
    <m/>
    <s v="2026-02-10"/>
    <s v="1048909"/>
    <s v="B K ROY AND COMPANY"/>
    <s v="9734516484"/>
  </r>
  <r>
    <s v="RCF Thal"/>
    <s v="N.C.Urea(45kg)"/>
    <s v="WB"/>
    <x v="0"/>
    <s v="Gaighata"/>
    <s v="User Not Mapped"/>
    <s v="User Not Mapped"/>
    <s v="User Not Mapped"/>
    <n v="501365"/>
    <s v="Jharna Krishi Bhander"/>
    <s v="Private Retailer"/>
    <s v="9800217611"/>
    <n v="1.08"/>
    <n v="44"/>
    <x v="1"/>
    <m/>
    <s v="2026-03-14"/>
    <s v="223811"/>
    <s v="Chanchal Kumar Dey"/>
    <s v="9434616928"/>
  </r>
  <r>
    <s v="RCF Thal"/>
    <s v="N.C.Urea(45kg)"/>
    <s v="WB"/>
    <x v="0"/>
    <s v="Gaighata"/>
    <s v="User Not Mapped"/>
    <s v="User Not Mapped"/>
    <s v="User Not Mapped"/>
    <n v="507604"/>
    <s v="M/S Sanjay Dutta"/>
    <s v="Private Retailer"/>
    <s v="8670776677"/>
    <n v="3.24"/>
    <n v="47"/>
    <x v="1"/>
    <m/>
    <s v="2026-03-11"/>
    <s v="223812"/>
    <s v="M/S. Shyma Krishi B"/>
    <s v="8617629886"/>
  </r>
  <r>
    <s v="RCF Trombay"/>
    <s v="15-15-15"/>
    <s v="WB"/>
    <x v="0"/>
    <s v="Gaighata"/>
    <s v="User Not Mapped"/>
    <s v="User Not Mapped"/>
    <s v="User Not Mapped"/>
    <n v="514427"/>
    <s v="SAMADDER KRISHI BHANDER"/>
    <s v="Private Retailer"/>
    <s v="9563030863"/>
    <n v="0.85"/>
    <n v="385"/>
    <x v="6"/>
    <m/>
    <s v="2025-04-07"/>
    <s v="281522"/>
    <s v="N.C. Das and Co."/>
    <s v="6297603863"/>
  </r>
  <r>
    <s v="RCF Thal"/>
    <s v="N.C.Urea(45kg)"/>
    <s v="WB"/>
    <x v="0"/>
    <s v="Gaighata"/>
    <s v="User Not Mapped"/>
    <s v="User Not Mapped"/>
    <s v="User Not Mapped"/>
    <n v="515702"/>
    <s v="Luftor Rahman Biswas"/>
    <s v="Private Retailer"/>
    <s v="9775524985"/>
    <n v="5.49"/>
    <n v="76"/>
    <x v="2"/>
    <m/>
    <s v="2026-02-10"/>
    <s v="223812"/>
    <s v="M/S. Shyma Krishi B"/>
    <s v="8617629886"/>
  </r>
  <r>
    <s v="RCF Import"/>
    <s v="MOP"/>
    <s v="WB"/>
    <x v="0"/>
    <s v="Gaighata"/>
    <s v="User Not Mapped"/>
    <s v="User Not Mapped"/>
    <s v="User Not Mapped"/>
    <n v="517970"/>
    <s v="M/S Mithu Das"/>
    <s v="Private Retailer"/>
    <s v="9475456056"/>
    <n v="0.2"/>
    <n v="40"/>
    <x v="1"/>
    <m/>
    <s v="2026-03-18"/>
    <s v="1054127"/>
    <s v="New Radha krishna krishi bhand"/>
    <s v="7908733277"/>
  </r>
  <r>
    <s v="RCF Thal"/>
    <s v="N.C.Urea(45kg)"/>
    <s v="WB"/>
    <x v="0"/>
    <s v="Gaighata"/>
    <s v="User Not Mapped"/>
    <s v="User Not Mapped"/>
    <s v="User Not Mapped"/>
    <n v="517970"/>
    <s v="M/S Mithu Das"/>
    <s v="Private Retailer"/>
    <s v="9475456056"/>
    <n v="0.19"/>
    <n v="420"/>
    <x v="6"/>
    <m/>
    <s v="2025-03-03"/>
    <s v="405249"/>
    <s v="Saha Krishi Bhandar"/>
    <s v="9734801636"/>
  </r>
  <r>
    <s v="RCF Import"/>
    <s v="MOP"/>
    <s v="WB"/>
    <x v="0"/>
    <s v="Gaighata"/>
    <s v="User Not Mapped"/>
    <s v="User Not Mapped"/>
    <s v="User Not Mapped"/>
    <n v="545848"/>
    <s v="TAPAS CHATTERJEE"/>
    <s v="Private Retailer"/>
    <s v="9735668631"/>
    <n v="1"/>
    <n v="62"/>
    <x v="2"/>
    <m/>
    <s v="2026-02-24"/>
    <s v="600929"/>
    <s v="Anukul Kumar Khan"/>
    <s v="9547730250"/>
  </r>
  <r>
    <s v="RCF Trombay"/>
    <s v="15-15-15"/>
    <s v="WB"/>
    <x v="0"/>
    <s v="Gaighata"/>
    <s v="User Not Mapped"/>
    <s v="User Not Mapped"/>
    <s v="User Not Mapped"/>
    <n v="632948"/>
    <s v="SUJAY MONDAL"/>
    <s v="Private Retailer"/>
    <s v="9434613693"/>
    <n v="3"/>
    <n v="76"/>
    <x v="2"/>
    <m/>
    <s v="2026-02-10"/>
    <s v="1048909"/>
    <s v="B K ROY AND COMPANY"/>
    <s v="9734516484"/>
  </r>
  <r>
    <s v="RCF Trombay"/>
    <s v="N.C.Urea(45kg)"/>
    <s v="WB"/>
    <x v="0"/>
    <s v="Gaighata"/>
    <s v="User Not Mapped"/>
    <s v="User Not Mapped"/>
    <s v="User Not Mapped"/>
    <n v="632948"/>
    <s v="SUJAY MONDAL"/>
    <s v="Private Retailer"/>
    <s v="9434613693"/>
    <n v="0.41699999999999998"/>
    <n v="230"/>
    <x v="3"/>
    <m/>
    <s v="2025-09-09"/>
    <s v="1048909"/>
    <s v="B K ROY AND COMPANY"/>
    <s v="9734516484"/>
  </r>
  <r>
    <s v="RCF Import"/>
    <s v="MOP"/>
    <s v="WB"/>
    <x v="0"/>
    <s v="Gaighata"/>
    <s v="User Not Mapped"/>
    <s v="User Not Mapped"/>
    <s v="User Not Mapped"/>
    <n v="682639"/>
    <s v="BARUN BANERJEE"/>
    <s v="Private Retailer"/>
    <s v="9647281574"/>
    <n v="2.5"/>
    <n v="46"/>
    <x v="1"/>
    <m/>
    <s v="2026-03-12"/>
    <s v="1054127"/>
    <s v="New Radha krishna krishi bhand"/>
    <s v="7908733277"/>
  </r>
  <r>
    <s v="RCF Thal"/>
    <s v="N.C.Urea(45kg)"/>
    <s v="WB"/>
    <x v="0"/>
    <s v="Gaighata"/>
    <s v="User Not Mapped"/>
    <s v="User Not Mapped"/>
    <s v="User Not Mapped"/>
    <n v="682639"/>
    <s v="BARUN BANERJEE"/>
    <s v="Private Retailer"/>
    <s v="9647281574"/>
    <n v="3.87"/>
    <n v="43"/>
    <x v="1"/>
    <m/>
    <s v="2026-03-15"/>
    <s v="268815"/>
    <s v="Chitta Ranjan Dey"/>
    <s v="9434744870"/>
  </r>
  <r>
    <s v="RCF Trombay"/>
    <s v="15-15-15"/>
    <s v="WB"/>
    <x v="0"/>
    <s v="Gaighata"/>
    <s v="User Not Mapped"/>
    <s v="User Not Mapped"/>
    <s v="User Not Mapped"/>
    <n v="682639"/>
    <s v="BARUN BANERJEE"/>
    <s v="Private Retailer"/>
    <s v="9647281574"/>
    <n v="3.3"/>
    <n v="100"/>
    <x v="5"/>
    <m/>
    <s v="2026-01-17"/>
    <s v="268815"/>
    <s v="Chitta Ranjan Dey"/>
    <s v="9434744870"/>
  </r>
  <r>
    <s v="RCF Import"/>
    <s v="Imp 10-26-26"/>
    <s v="WB"/>
    <x v="0"/>
    <s v="Gaighata"/>
    <s v="User Not Mapped"/>
    <s v="User Not Mapped"/>
    <s v="User Not Mapped"/>
    <n v="682639"/>
    <s v="BARUN BANERJEE"/>
    <s v="Private Retailer"/>
    <s v="9647281574"/>
    <n v="1.5"/>
    <n v="21"/>
    <x v="4"/>
    <m/>
    <s v="2026-04-06"/>
    <s v="1054127"/>
    <s v="New Radha krishna krishi bhand"/>
    <s v="7908733277"/>
  </r>
  <r>
    <s v="RCF Thal"/>
    <s v="N.C.Urea(45kg)"/>
    <s v="WB"/>
    <x v="0"/>
    <s v="Gaighata"/>
    <s v="User Not Mapped"/>
    <s v="User Not Mapped"/>
    <s v="User Not Mapped"/>
    <n v="798549"/>
    <s v="ABHIJIT MONDAL"/>
    <s v="Private Retailer"/>
    <s v="9679312740"/>
    <n v="7.9649999999999999"/>
    <n v="25"/>
    <x v="4"/>
    <m/>
    <s v="2026-04-02"/>
    <s v="223807"/>
    <s v="M.K. Chemical and Fertilizers"/>
    <s v="9051316329"/>
  </r>
  <r>
    <s v="RCF Trombay"/>
    <s v="15-15-15"/>
    <s v="WB"/>
    <x v="0"/>
    <s v="Gaighata"/>
    <s v="User Not Mapped"/>
    <s v="User Not Mapped"/>
    <s v="User Not Mapped"/>
    <n v="910298"/>
    <s v="RAJAPUR PASCHIMPARA SKUS LTD"/>
    <s v="PACS"/>
    <s v="8609480555"/>
    <n v="1.95"/>
    <n v="91"/>
    <x v="5"/>
    <m/>
    <s v="2026-01-26"/>
    <s v="281522"/>
    <s v="N.C. Das and Co."/>
    <s v="6297603863"/>
  </r>
  <r>
    <s v="RCF Import"/>
    <s v="Imp 10-26-26"/>
    <s v="WB"/>
    <x v="0"/>
    <s v="Gaighata"/>
    <s v="User Not Mapped"/>
    <s v="User Not Mapped"/>
    <s v="User Not Mapped"/>
    <n v="1029598"/>
    <s v="GAIGHATA SKUS LTD"/>
    <s v="PACS"/>
    <s v="9232823549"/>
    <n v="0.7"/>
    <n v="17"/>
    <x v="4"/>
    <m/>
    <s v="2026-04-10"/>
    <s v="1054127"/>
    <s v="New Radha krishna krishi bhand"/>
    <s v="7908733277"/>
  </r>
  <r>
    <s v="RCF Trombay"/>
    <s v="N.C.Urea(45kg)"/>
    <s v="WB"/>
    <x v="0"/>
    <s v="Gaighata"/>
    <s v="User Not Mapped"/>
    <s v="User Not Mapped"/>
    <s v="User Not Mapped"/>
    <n v="1062384"/>
    <s v="Shimuliapara Adarsha SKUS Ltd"/>
    <s v="PACS"/>
    <s v="7063666928"/>
    <n v="10.98"/>
    <n v="75"/>
    <x v="2"/>
    <m/>
    <s v="2026-02-11"/>
    <s v="289634"/>
    <s v="Sankar Lal Saha"/>
    <s v="9830026138"/>
  </r>
  <r>
    <s v="RCF Trombay"/>
    <s v="15-15-15"/>
    <s v="WB"/>
    <x v="0"/>
    <s v="Gaighata"/>
    <s v="User Not Mapped"/>
    <s v="User Not Mapped"/>
    <s v="User Not Mapped"/>
    <n v="1062384"/>
    <s v="Shimuliapara Adarsha SKUS Ltd"/>
    <s v="PACS"/>
    <s v="7063666928"/>
    <n v="5.5"/>
    <n v="75"/>
    <x v="2"/>
    <m/>
    <s v="2026-02-11"/>
    <s v="289634"/>
    <s v="Sankar Lal Saha"/>
    <s v="9830026138"/>
  </r>
  <r>
    <s v="RCF Import"/>
    <s v="MOP"/>
    <s v="WB"/>
    <x v="0"/>
    <s v="Gaighata"/>
    <s v="User Not Mapped"/>
    <s v="User Not Mapped"/>
    <s v="User Not Mapped"/>
    <n v="1259329"/>
    <s v="SHYAM SUNDAR KRISHI BHANDAR"/>
    <s v="Private Retailer"/>
    <s v="8617557897"/>
    <n v="1.5"/>
    <n v="68"/>
    <x v="2"/>
    <m/>
    <s v="2026-02-18"/>
    <s v="223812"/>
    <s v="M/S. Shyma Krishi B"/>
    <s v="8617629886"/>
  </r>
  <r>
    <s v="RCF Thal"/>
    <s v="N.C.Urea(45kg)"/>
    <s v="WB"/>
    <x v="0"/>
    <s v="Gaighata"/>
    <s v="User Not Mapped"/>
    <s v="User Not Mapped"/>
    <s v="User Not Mapped"/>
    <n v="1259329"/>
    <s v="SHYAM SUNDAR KRISHI BHANDAR"/>
    <s v="Private Retailer"/>
    <s v="8617557897"/>
    <n v="0.85499999999999998"/>
    <n v="76"/>
    <x v="2"/>
    <m/>
    <s v="2026-02-10"/>
    <s v="223812"/>
    <s v="M/S. Shyma Krishi B"/>
    <s v="8617629886"/>
  </r>
  <r>
    <s v="RCF Import"/>
    <s v="MOP"/>
    <s v="WB"/>
    <x v="0"/>
    <s v="Gaighata"/>
    <s v="User Not Mapped"/>
    <s v="User Not Mapped"/>
    <s v="User Not Mapped"/>
    <n v="1288392"/>
    <s v="ANJALI FERTILIZER"/>
    <s v="Private Retailer"/>
    <s v="9064383096"/>
    <n v="0.5"/>
    <n v="62"/>
    <x v="2"/>
    <m/>
    <s v="2026-02-24"/>
    <s v="600929"/>
    <s v="Anukul Kumar Khan"/>
    <s v="9547730250"/>
  </r>
  <r>
    <s v="RCF Trombay"/>
    <s v="15-15-15"/>
    <s v="WB"/>
    <x v="0"/>
    <s v="Gaighata"/>
    <s v="User Not Mapped"/>
    <s v="User Not Mapped"/>
    <s v="User Not Mapped"/>
    <n v="1288392"/>
    <s v="ANJALI FERTILIZER"/>
    <s v="Private Retailer"/>
    <s v="9064383096"/>
    <n v="0.2"/>
    <n v="228"/>
    <x v="3"/>
    <m/>
    <s v="2025-09-11"/>
    <s v="901234"/>
    <s v="M/S ARINDAM NANDI"/>
    <s v="9153209294"/>
  </r>
  <r>
    <s v="RCF Trombay"/>
    <s v="15-15-15"/>
    <s v="WB"/>
    <x v="0"/>
    <s v="Gaighata"/>
    <s v="User Not Mapped"/>
    <s v="User Not Mapped"/>
    <s v="User Not Mapped"/>
    <n v="1328639"/>
    <s v="PARTHA BHASKAR"/>
    <s v="Private Retailer"/>
    <s v="7908095383"/>
    <n v="0.7"/>
    <n v="99"/>
    <x v="5"/>
    <m/>
    <s v="2026-01-18"/>
    <s v="223812"/>
    <s v="M/S. Shyma Krishi B"/>
    <s v="8617629886"/>
  </r>
  <r>
    <s v="RCF Import"/>
    <s v="MOP"/>
    <s v="WB"/>
    <x v="0"/>
    <s v="Gaighata"/>
    <s v="User Not Mapped"/>
    <s v="User Not Mapped"/>
    <s v="User Not Mapped"/>
    <n v="1383396"/>
    <s v="BISWAS KRISHI BHANDER"/>
    <s v="Private Retailer"/>
    <s v="9126932292"/>
    <n v="5.5"/>
    <n v="68"/>
    <x v="2"/>
    <m/>
    <s v="2026-02-18"/>
    <s v="223812"/>
    <s v="M/S. Shyma Krishi B"/>
    <s v="8617629886"/>
  </r>
  <r>
    <s v="RCF Thal"/>
    <s v="N.C.Urea(45kg)"/>
    <s v="WB"/>
    <x v="0"/>
    <s v="Gaighata"/>
    <s v="User Not Mapped"/>
    <s v="User Not Mapped"/>
    <s v="User Not Mapped"/>
    <n v="1383396"/>
    <s v="BISWAS KRISHI BHANDER"/>
    <s v="Private Retailer"/>
    <s v="9126932292"/>
    <n v="2.4750000000000001"/>
    <n v="150"/>
    <x v="0"/>
    <m/>
    <s v="2025-11-28"/>
    <s v="223812"/>
    <s v="M/S. Shyma Krishi B"/>
    <s v="8617629886"/>
  </r>
  <r>
    <s v="RCF Trombay"/>
    <s v="N.C.Urea(45kg)"/>
    <s v="WB"/>
    <x v="0"/>
    <s v="Gaighata"/>
    <s v="User Not Mapped"/>
    <s v="User Not Mapped"/>
    <s v="User Not Mapped"/>
    <n v="1398654"/>
    <s v="MONDAL KRISHI BHANDER"/>
    <s v="Private Retailer"/>
    <s v="8918338037"/>
    <n v="4.32"/>
    <n v="76"/>
    <x v="2"/>
    <m/>
    <s v="2026-02-10"/>
    <s v="1048909"/>
    <s v="B K ROY AND COMPANY"/>
    <s v="9734516484"/>
  </r>
  <r>
    <s v="RCF Trombay"/>
    <s v="15-15-15"/>
    <s v="WB"/>
    <x v="0"/>
    <s v="Gaighata"/>
    <s v="User Not Mapped"/>
    <s v="User Not Mapped"/>
    <s v="User Not Mapped"/>
    <n v="1398654"/>
    <s v="MONDAL KRISHI BHANDER"/>
    <s v="Private Retailer"/>
    <s v="8918338037"/>
    <n v="5"/>
    <n v="76"/>
    <x v="2"/>
    <m/>
    <s v="2026-02-10"/>
    <s v="1048909"/>
    <s v="B K ROY AND COMPANY"/>
    <s v="9734516484"/>
  </r>
  <r>
    <s v="RCF Thal"/>
    <s v="N.C.Urea(45kg)"/>
    <s v="WB"/>
    <x v="0"/>
    <s v="Gaighata"/>
    <s v="User Not Mapped"/>
    <s v="User Not Mapped"/>
    <s v="User Not Mapped"/>
    <n v="1398654"/>
    <s v="MONDAL KRISHI BHANDER"/>
    <s v="Private Retailer"/>
    <s v="8918338037"/>
    <n v="5.49"/>
    <n v="43"/>
    <x v="1"/>
    <m/>
    <s v="2026-03-15"/>
    <s v="268815"/>
    <s v="Chitta Ranjan Dey"/>
    <s v="9434744870"/>
  </r>
  <r>
    <s v="RCF Import"/>
    <s v="MOP"/>
    <s v="WB"/>
    <x v="0"/>
    <s v="Gaighata"/>
    <s v="User Not Mapped"/>
    <s v="User Not Mapped"/>
    <s v="User Not Mapped"/>
    <n v="1577420"/>
    <s v="NEW ANANDA FERTILIZER"/>
    <s v="Private Retailer"/>
    <s v="8910999850"/>
    <n v="0.4"/>
    <n v="62"/>
    <x v="2"/>
    <m/>
    <s v="2026-02-24"/>
    <s v="600929"/>
    <s v="Anukul Kumar Khan"/>
    <s v="9547730250"/>
  </r>
  <r>
    <s v="RCF Thal"/>
    <s v="N.C.Urea(45kg)"/>
    <s v="WB"/>
    <x v="0"/>
    <s v="Gaighata"/>
    <s v="User Not Mapped"/>
    <s v="User Not Mapped"/>
    <s v="User Not Mapped"/>
    <n v="1582555"/>
    <s v="SAHA KRISHI BIPANI"/>
    <s v="Private Retailer"/>
    <s v="9242105045"/>
    <n v="0.45"/>
    <n v="47"/>
    <x v="1"/>
    <m/>
    <s v="2026-03-11"/>
    <s v="223812"/>
    <s v="M/S. Shyma Krishi B"/>
    <s v="8617629886"/>
  </r>
  <r>
    <s v="RCF Trombay"/>
    <s v="15-15-15"/>
    <s v="WB"/>
    <x v="0"/>
    <s v="Gaighata"/>
    <s v="User Not Mapped"/>
    <s v="User Not Mapped"/>
    <s v="User Not Mapped"/>
    <n v="1582555"/>
    <s v="SAHA KRISHI BIPANI"/>
    <s v="Private Retailer"/>
    <s v="9242105045"/>
    <n v="2.4500000000000002"/>
    <n v="99"/>
    <x v="5"/>
    <m/>
    <s v="2026-01-18"/>
    <s v="223812"/>
    <s v="M/S. Shyma Krishi B"/>
    <s v="8617629886"/>
  </r>
  <r>
    <s v="RCF Trombay"/>
    <s v="N.C.Urea(45kg)"/>
    <s v="WB"/>
    <x v="0"/>
    <s v="Gaighata"/>
    <s v="User Not Mapped"/>
    <s v="User Not Mapped"/>
    <s v="User Not Mapped"/>
    <n v="1582555"/>
    <s v="SAHA KRISHI BIPANI"/>
    <s v="Private Retailer"/>
    <s v="9242105045"/>
    <n v="1.845"/>
    <n v="99"/>
    <x v="5"/>
    <m/>
    <s v="2026-01-18"/>
    <s v="223812"/>
    <s v="M/S. Shyma Krishi B"/>
    <s v="8617629886"/>
  </r>
  <r>
    <s v="RCF Import"/>
    <s v="MOP"/>
    <s v="WB"/>
    <x v="0"/>
    <s v="Gaighata"/>
    <s v="User Not Mapped"/>
    <s v="User Not Mapped"/>
    <s v="User Not Mapped"/>
    <n v="1582555"/>
    <s v="SAHA KRISHI BIPANI"/>
    <s v="Private Retailer"/>
    <s v="9242105045"/>
    <n v="2.35"/>
    <n v="62"/>
    <x v="2"/>
    <m/>
    <s v="2026-02-24"/>
    <s v="223812"/>
    <s v="M/S. Shyma Krishi B"/>
    <s v="8617629886"/>
  </r>
  <r>
    <s v="RCF Trombay"/>
    <s v="15-15-15"/>
    <s v="WB"/>
    <x v="0"/>
    <s v="Gaighata"/>
    <s v="User Not Mapped"/>
    <s v="User Not Mapped"/>
    <s v="User Not Mapped"/>
    <n v="1622190"/>
    <s v="UTTAR RAMPUR SKUS LTD"/>
    <s v="PACS"/>
    <s v="9635124800"/>
    <n v="1.55"/>
    <n v="147"/>
    <x v="0"/>
    <m/>
    <s v="2025-12-01"/>
    <s v="281550"/>
    <s v="Prakash Chand Mantri          "/>
    <s v="9474024004"/>
  </r>
  <r>
    <s v="RCF Thal"/>
    <s v="N.C.Urea(45kg)"/>
    <s v="WB"/>
    <x v="0"/>
    <s v="Habra - I"/>
    <s v="User Not Mapped"/>
    <s v="User Not Mapped"/>
    <s v="User Not Mapped"/>
    <n v="189494"/>
    <s v="Shyama Krishi Bhander"/>
    <s v="Private Retailer"/>
    <s v="7797545626"/>
    <n v="1.98"/>
    <n v="19"/>
    <x v="4"/>
    <m/>
    <s v="2026-04-08"/>
    <s v="223812"/>
    <s v="M/S. Shyma Krishi B"/>
    <s v="8617629886"/>
  </r>
  <r>
    <s v="RCF Trombay"/>
    <s v="N.C.Urea(45kg)"/>
    <s v="WB"/>
    <x v="0"/>
    <s v="Habra - I"/>
    <s v="User Not Mapped"/>
    <s v="User Not Mapped"/>
    <s v="User Not Mapped"/>
    <n v="226472"/>
    <s v="Aklima Bibi"/>
    <s v="Private Retailer"/>
    <s v="9932237990"/>
    <n v="1.4850000000000001"/>
    <n v="126"/>
    <x v="0"/>
    <m/>
    <s v="2025-12-22"/>
    <s v="405249"/>
    <s v="Saha Krishi Bhandar"/>
    <s v="9734801636"/>
  </r>
  <r>
    <s v="RCF Thal"/>
    <s v="N.C.Urea(45kg)"/>
    <s v="WB"/>
    <x v="0"/>
    <s v="Habra - I"/>
    <s v="User Not Mapped"/>
    <s v="User Not Mapped"/>
    <s v="User Not Mapped"/>
    <n v="226472"/>
    <s v="Aklima Bibi"/>
    <s v="Private Retailer"/>
    <s v="9932237990"/>
    <n v="3.2850000000000001"/>
    <n v="20"/>
    <x v="4"/>
    <m/>
    <s v="2026-04-07"/>
    <s v="281522"/>
    <s v="N.C. Das and Co."/>
    <s v="6297603863"/>
  </r>
  <r>
    <s v="RCF Trombay"/>
    <s v="15-15-15"/>
    <s v="WB"/>
    <x v="0"/>
    <s v="Habra - I"/>
    <s v="User Not Mapped"/>
    <s v="User Not Mapped"/>
    <s v="User Not Mapped"/>
    <n v="226472"/>
    <s v="Aklima Bibi"/>
    <s v="Private Retailer"/>
    <s v="9932237990"/>
    <n v="0.2"/>
    <n v="135"/>
    <x v="0"/>
    <m/>
    <s v="2025-12-13"/>
    <s v="405249"/>
    <s v="Saha Krishi Bhandar"/>
    <s v="9734801636"/>
  </r>
  <r>
    <s v="RCF Trombay SCU"/>
    <s v="Sulphur Coated Urea(40Kg)"/>
    <s v="WB"/>
    <x v="0"/>
    <s v="Habra - I"/>
    <s v="User Not Mapped"/>
    <s v="User Not Mapped"/>
    <s v="User Not Mapped"/>
    <n v="226503"/>
    <s v="Annapurna Krishi Bhandar"/>
    <s v="Private Retailer"/>
    <s v="7797301967"/>
    <n v="1.84"/>
    <n v="93"/>
    <x v="5"/>
    <m/>
    <s v="2026-01-24"/>
    <s v="223817"/>
    <s v="National Supply Agency"/>
    <s v="9564505288"/>
  </r>
  <r>
    <s v="RCF Trombay"/>
    <s v="N.C.Urea(45kg)"/>
    <s v="WB"/>
    <x v="0"/>
    <s v="Habra - I"/>
    <s v="User Not Mapped"/>
    <s v="User Not Mapped"/>
    <s v="User Not Mapped"/>
    <n v="226503"/>
    <s v="Annapurna Krishi Bhandar"/>
    <s v="Private Retailer"/>
    <s v="7797301967"/>
    <n v="3.42"/>
    <n v="93"/>
    <x v="5"/>
    <m/>
    <s v="2026-01-24"/>
    <s v="223817"/>
    <s v="National Supply Agency"/>
    <s v="9564505288"/>
  </r>
  <r>
    <s v="RCF Thal"/>
    <s v="N.C.Urea(45kg)"/>
    <s v="WB"/>
    <x v="0"/>
    <s v="Habra - I"/>
    <s v="User Not Mapped"/>
    <s v="User Not Mapped"/>
    <s v="User Not Mapped"/>
    <n v="226548"/>
    <s v="Barun Kumar Nandy"/>
    <s v="Private Retailer"/>
    <s v="9735378743"/>
    <n v="3.7349999999999999"/>
    <n v="47"/>
    <x v="1"/>
    <m/>
    <s v="2026-03-11"/>
    <s v="223812"/>
    <s v="M/S. Shyma Krishi B"/>
    <s v="8617629886"/>
  </r>
  <r>
    <s v="RCF Trombay"/>
    <s v="N.C.Urea(45kg)"/>
    <s v="WB"/>
    <x v="0"/>
    <s v="Habra - I"/>
    <s v="User Not Mapped"/>
    <s v="User Not Mapped"/>
    <s v="User Not Mapped"/>
    <n v="226548"/>
    <s v="Barun Kumar Nandy"/>
    <s v="Private Retailer"/>
    <s v="9735378743"/>
    <n v="5.49"/>
    <n v="71"/>
    <x v="2"/>
    <m/>
    <s v="2026-02-15"/>
    <s v="223812"/>
    <s v="M/S. Shyma Krishi B"/>
    <s v="8617629886"/>
  </r>
  <r>
    <s v="RCF Thal"/>
    <s v="N.C.Urea(45kg)"/>
    <s v="WB"/>
    <x v="0"/>
    <s v="Habra - I"/>
    <s v="User Not Mapped"/>
    <s v="User Not Mapped"/>
    <s v="User Not Mapped"/>
    <n v="226595"/>
    <s v="Brojendra Mazumder"/>
    <s v="Private Retailer"/>
    <s v="9635546091"/>
    <n v="3.42"/>
    <n v="45"/>
    <x v="1"/>
    <m/>
    <s v="2026-03-13"/>
    <s v="281511"/>
    <s v="Malakshmi Krishi Bhandar      "/>
    <s v="9800561868"/>
  </r>
  <r>
    <s v="RCF Trombay"/>
    <s v="N.C.Urea(45kg)"/>
    <s v="WB"/>
    <x v="0"/>
    <s v="Habra - I"/>
    <s v="User Not Mapped"/>
    <s v="User Not Mapped"/>
    <s v="User Not Mapped"/>
    <n v="226595"/>
    <s v="Brojendra Mazumder"/>
    <s v="Private Retailer"/>
    <s v="9635546091"/>
    <n v="0.67500000000000004"/>
    <n v="65"/>
    <x v="2"/>
    <m/>
    <s v="2026-02-21"/>
    <s v="223812"/>
    <s v="M/S. Shyma Krishi B"/>
    <s v="8617629886"/>
  </r>
  <r>
    <s v="RCF Thal"/>
    <s v="N.C.Urea(45kg)"/>
    <s v="WB"/>
    <x v="0"/>
    <s v="Habra - I"/>
    <s v="User Not Mapped"/>
    <s v="User Not Mapped"/>
    <s v="User Not Mapped"/>
    <n v="226603"/>
    <s v="Chatterjee Krishi Bhander"/>
    <s v="Private Retailer"/>
    <s v="9932749903"/>
    <n v="2.0699999999999998"/>
    <n v="46"/>
    <x v="1"/>
    <m/>
    <s v="2026-03-12"/>
    <s v="268815"/>
    <s v="Chitta Ranjan Dey"/>
    <s v="9434744870"/>
  </r>
  <r>
    <s v="RCF Import"/>
    <s v="MOP"/>
    <s v="WB"/>
    <x v="0"/>
    <s v="Habra - I"/>
    <s v="User Not Mapped"/>
    <s v="User Not Mapped"/>
    <s v="User Not Mapped"/>
    <n v="226603"/>
    <s v="Chatterjee Krishi Bhander"/>
    <s v="Private Retailer"/>
    <s v="9932749903"/>
    <n v="2.35"/>
    <n v="62"/>
    <x v="2"/>
    <m/>
    <s v="2026-02-24"/>
    <s v="268815"/>
    <s v="Chitta Ranjan Dey"/>
    <s v="9434744870"/>
  </r>
  <r>
    <s v="RCF Import"/>
    <s v="Imp 10-26-26"/>
    <s v="WB"/>
    <x v="0"/>
    <s v="Habra - I"/>
    <s v="User Not Mapped"/>
    <s v="User Not Mapped"/>
    <s v="User Not Mapped"/>
    <n v="226603"/>
    <s v="Chatterjee Krishi Bhander"/>
    <s v="Private Retailer"/>
    <s v="9932749903"/>
    <n v="3.15"/>
    <n v="28"/>
    <x v="4"/>
    <m/>
    <s v="2026-03-30"/>
    <s v="268815"/>
    <s v="Chitta Ranjan Dey"/>
    <s v="9434744870"/>
  </r>
  <r>
    <s v="RCF Import"/>
    <s v="MOP"/>
    <s v="WB"/>
    <x v="0"/>
    <s v="Habra - I"/>
    <s v="User Not Mapped"/>
    <s v="User Not Mapped"/>
    <s v="User Not Mapped"/>
    <n v="226726"/>
    <s v="Jhanka Krishi Bhandar"/>
    <s v="Private Retailer"/>
    <s v="8617425305"/>
    <n v="3"/>
    <n v="68"/>
    <x v="2"/>
    <m/>
    <s v="2026-02-18"/>
    <s v="281511"/>
    <s v="Malakshmi Krishi Bhandar      "/>
    <s v="9800561868"/>
  </r>
  <r>
    <s v="RCF Trombay"/>
    <s v="15-15-15"/>
    <s v="WB"/>
    <x v="0"/>
    <s v="Habra - I"/>
    <s v="User Not Mapped"/>
    <s v="User Not Mapped"/>
    <s v="User Not Mapped"/>
    <n v="226726"/>
    <s v="Jhanka Krishi Bhandar"/>
    <s v="Private Retailer"/>
    <s v="8617425305"/>
    <n v="0.55000000000000004"/>
    <n v="42"/>
    <x v="1"/>
    <m/>
    <s v="2026-03-16"/>
    <s v="281511"/>
    <s v="Malakshmi Krishi Bhandar      "/>
    <s v="9800561868"/>
  </r>
  <r>
    <s v="RCF Import"/>
    <s v="Imp 10-26-26"/>
    <s v="WB"/>
    <x v="0"/>
    <s v="Habra - I"/>
    <s v="User Not Mapped"/>
    <s v="User Not Mapped"/>
    <s v="User Not Mapped"/>
    <n v="226726"/>
    <s v="Jhanka Krishi Bhandar"/>
    <s v="Private Retailer"/>
    <s v="8617425305"/>
    <n v="2.75"/>
    <n v="58"/>
    <x v="1"/>
    <m/>
    <s v="2026-02-28"/>
    <s v="281511"/>
    <s v="Malakshmi Krishi Bhandar      "/>
    <s v="9800561868"/>
  </r>
  <r>
    <s v="RCF Trombay"/>
    <s v="15-15-15"/>
    <s v="WB"/>
    <x v="0"/>
    <s v="Habra - I"/>
    <s v="User Not Mapped"/>
    <s v="User Not Mapped"/>
    <s v="User Not Mapped"/>
    <n v="226762"/>
    <s v="Kiron Fertilizers"/>
    <s v="Private Retailer"/>
    <s v="8918458558"/>
    <n v="0.25"/>
    <n v="100"/>
    <x v="5"/>
    <m/>
    <s v="2026-01-17"/>
    <s v="268815"/>
    <s v="Chitta Ranjan Dey"/>
    <s v="9434744870"/>
  </r>
  <r>
    <s v="RCF Import"/>
    <s v="MOP"/>
    <s v="WB"/>
    <x v="0"/>
    <s v="Habra - I"/>
    <s v="User Not Mapped"/>
    <s v="User Not Mapped"/>
    <s v="User Not Mapped"/>
    <n v="226777"/>
    <s v="Lila Krishi Bhander"/>
    <s v="Private Retailer"/>
    <s v="9476123162"/>
    <n v="1.85"/>
    <n v="62"/>
    <x v="2"/>
    <m/>
    <s v="2026-02-24"/>
    <s v="268815"/>
    <s v="Chitta Ranjan Dey"/>
    <s v="9434744870"/>
  </r>
  <r>
    <s v="RCF Import"/>
    <s v="Imp 10-26-26"/>
    <s v="WB"/>
    <x v="0"/>
    <s v="Habra - I"/>
    <s v="User Not Mapped"/>
    <s v="User Not Mapped"/>
    <s v="User Not Mapped"/>
    <n v="226777"/>
    <s v="Lila Krishi Bhander"/>
    <s v="Private Retailer"/>
    <s v="9476123162"/>
    <n v="4"/>
    <n v="28"/>
    <x v="4"/>
    <m/>
    <s v="2026-03-30"/>
    <s v="268815"/>
    <s v="Chitta Ranjan Dey"/>
    <s v="9434744870"/>
  </r>
  <r>
    <s v="RCF Trombay"/>
    <s v="15-15-15"/>
    <s v="WB"/>
    <x v="0"/>
    <s v="Habra - I"/>
    <s v="User Not Mapped"/>
    <s v="User Not Mapped"/>
    <s v="User Not Mapped"/>
    <n v="226777"/>
    <s v="Lila Krishi Bhander"/>
    <s v="Private Retailer"/>
    <s v="9476123162"/>
    <n v="1.9"/>
    <n v="72"/>
    <x v="2"/>
    <m/>
    <s v="2026-02-14"/>
    <s v="268815"/>
    <s v="Chitta Ranjan Dey"/>
    <s v="9434744870"/>
  </r>
  <r>
    <s v="RCF Trombay"/>
    <s v="15-15-15"/>
    <s v="WB"/>
    <x v="0"/>
    <s v="Habra - I"/>
    <s v="User Not Mapped"/>
    <s v="User Not Mapped"/>
    <s v="User Not Mapped"/>
    <n v="226789"/>
    <s v="Maa Krishi Bhandar"/>
    <s v="Private Retailer"/>
    <s v="9933792940"/>
    <n v="3.4"/>
    <n v="100"/>
    <x v="5"/>
    <m/>
    <s v="2026-01-17"/>
    <s v="268815"/>
    <s v="Chitta Ranjan Dey"/>
    <s v="9434744870"/>
  </r>
  <r>
    <s v="RCF Import"/>
    <s v="Imp 10-26-26"/>
    <s v="WB"/>
    <x v="0"/>
    <s v="Habra - I"/>
    <s v="User Not Mapped"/>
    <s v="User Not Mapped"/>
    <s v="User Not Mapped"/>
    <n v="226789"/>
    <s v="Maa Krishi Bhandar"/>
    <s v="Private Retailer"/>
    <s v="9933792940"/>
    <n v="5"/>
    <n v="28"/>
    <x v="4"/>
    <m/>
    <s v="2026-03-30"/>
    <s v="268815"/>
    <s v="Chitta Ranjan Dey"/>
    <s v="9434744870"/>
  </r>
  <r>
    <s v="RCF Thal"/>
    <s v="N.C.Urea(45kg)"/>
    <s v="WB"/>
    <x v="0"/>
    <s v="Habra - I"/>
    <s v="User Not Mapped"/>
    <s v="User Not Mapped"/>
    <s v="User Not Mapped"/>
    <n v="226873"/>
    <s v="Md Nurul Amin"/>
    <s v="Private Retailer"/>
    <s v="7679403730"/>
    <n v="4.2300000000000004"/>
    <n v="44"/>
    <x v="1"/>
    <m/>
    <s v="2026-03-14"/>
    <s v="281511"/>
    <s v="Malakshmi Krishi Bhandar      "/>
    <s v="9800561868"/>
  </r>
  <r>
    <s v="RCF Trombay"/>
    <s v="N.C.Urea(45kg)"/>
    <s v="WB"/>
    <x v="0"/>
    <s v="Habra - I"/>
    <s v="User Not Mapped"/>
    <s v="User Not Mapped"/>
    <s v="User Not Mapped"/>
    <n v="226942"/>
    <s v="M/S Debnath Fertilizer"/>
    <s v="Private Retailer"/>
    <s v="9775126980"/>
    <n v="1.08"/>
    <n v="414"/>
    <x v="6"/>
    <m/>
    <s v="2025-03-09"/>
    <s v="281511"/>
    <s v="Malakshmi Krishi Bhandar      "/>
    <s v="9800561868"/>
  </r>
  <r>
    <s v="RCF Import"/>
    <s v="MOP"/>
    <s v="WB"/>
    <x v="0"/>
    <s v="Habra - I"/>
    <s v="User Not Mapped"/>
    <s v="User Not Mapped"/>
    <s v="User Not Mapped"/>
    <n v="226962"/>
    <s v="M/S Kalyani Krishi Bhandar"/>
    <s v="Private Retailer"/>
    <s v="9800393822"/>
    <n v="5.5"/>
    <n v="62"/>
    <x v="2"/>
    <m/>
    <s v="2026-02-24"/>
    <s v="268815"/>
    <s v="Chitta Ranjan Dey"/>
    <s v="9434744870"/>
  </r>
  <r>
    <s v="RCF Import"/>
    <s v="Imp 10-26-26"/>
    <s v="WB"/>
    <x v="0"/>
    <s v="Habra - I"/>
    <s v="User Not Mapped"/>
    <s v="User Not Mapped"/>
    <s v="User Not Mapped"/>
    <n v="226971"/>
    <s v="M/S Krishi Laxmi"/>
    <s v="Private Retailer"/>
    <s v="9733658779"/>
    <n v="3.15"/>
    <n v="28"/>
    <x v="4"/>
    <m/>
    <s v="2026-03-30"/>
    <s v="268815"/>
    <s v="Chitta Ranjan Dey"/>
    <s v="9434744870"/>
  </r>
  <r>
    <s v="RCF Trombay"/>
    <s v="15-15-15"/>
    <s v="WB"/>
    <x v="0"/>
    <s v="Habra - I"/>
    <s v="User Not Mapped"/>
    <s v="User Not Mapped"/>
    <s v="User Not Mapped"/>
    <n v="226971"/>
    <s v="M/S Krishi Laxmi"/>
    <s v="Private Retailer"/>
    <s v="9733658779"/>
    <n v="1.55"/>
    <n v="73"/>
    <x v="2"/>
    <m/>
    <s v="2026-02-13"/>
    <s v="268815"/>
    <s v="Chitta Ranjan Dey"/>
    <s v="9434744870"/>
  </r>
  <r>
    <s v="RCF Import"/>
    <s v="MOP"/>
    <s v="WB"/>
    <x v="0"/>
    <s v="Habra - I"/>
    <s v="User Not Mapped"/>
    <s v="User Not Mapped"/>
    <s v="User Not Mapped"/>
    <n v="226971"/>
    <s v="M/S Krishi Laxmi"/>
    <s v="Private Retailer"/>
    <s v="9733658779"/>
    <n v="1.9"/>
    <n v="62"/>
    <x v="2"/>
    <m/>
    <s v="2026-02-24"/>
    <s v="268815"/>
    <s v="Chitta Ranjan Dey"/>
    <s v="9434744870"/>
  </r>
  <r>
    <s v="RCF Trombay"/>
    <s v="15-15-15"/>
    <s v="WB"/>
    <x v="0"/>
    <s v="Habra - I"/>
    <s v="User Not Mapped"/>
    <s v="User Not Mapped"/>
    <s v="User Not Mapped"/>
    <n v="226992"/>
    <s v="M/S Ram Prasad Das"/>
    <s v="Private Retailer"/>
    <s v="9333880164"/>
    <n v="6.0000000000000001E-3"/>
    <n v="233"/>
    <x v="3"/>
    <m/>
    <s v="2025-09-06"/>
    <s v="281511"/>
    <s v="Malakshmi Krishi Bhandar      "/>
    <s v="9800561868"/>
  </r>
  <r>
    <s v="RCF Import"/>
    <s v="MOP"/>
    <s v="WB"/>
    <x v="0"/>
    <s v="Habra - I"/>
    <s v="User Not Mapped"/>
    <s v="User Not Mapped"/>
    <s v="User Not Mapped"/>
    <n v="227010"/>
    <s v="M/S Swapan Kumar Biswas"/>
    <s v="Private Retailer"/>
    <s v="9732462289"/>
    <n v="0.4"/>
    <n v="66"/>
    <x v="2"/>
    <m/>
    <s v="2026-02-20"/>
    <s v="663871"/>
    <s v="Sonali Enterprise"/>
    <s v="8250035491"/>
  </r>
  <r>
    <s v="RCF Import"/>
    <s v="MOP"/>
    <s v="WB"/>
    <x v="0"/>
    <s v="Habra - I"/>
    <s v="User Not Mapped"/>
    <s v="User Not Mapped"/>
    <s v="User Not Mapped"/>
    <n v="227010"/>
    <s v="M/S Swapan Kumar Biswas"/>
    <s v="Private Retailer"/>
    <s v="9732462289"/>
    <n v="0.5"/>
    <n v="53"/>
    <x v="1"/>
    <m/>
    <s v="2026-03-05"/>
    <s v="663871"/>
    <s v="Sonali Enterprise"/>
    <s v="8250035491"/>
  </r>
  <r>
    <s v="RCF Thal"/>
    <s v="N.C.Urea(45kg)"/>
    <s v="WB"/>
    <x v="0"/>
    <s v="Habra - I"/>
    <s v="User Not Mapped"/>
    <s v="User Not Mapped"/>
    <s v="User Not Mapped"/>
    <n v="227010"/>
    <s v="M/S Swapan Kumar Biswas"/>
    <s v="Private Retailer"/>
    <s v="9732462289"/>
    <n v="4.59"/>
    <n v="44"/>
    <x v="1"/>
    <m/>
    <s v="2026-03-14"/>
    <s v="281511"/>
    <s v="Malakshmi Krishi Bhandar      "/>
    <s v="9800561868"/>
  </r>
  <r>
    <s v="RCF Import"/>
    <s v="MOP"/>
    <s v="WB"/>
    <x v="0"/>
    <s v="Habra - I"/>
    <s v="User Not Mapped"/>
    <s v="User Not Mapped"/>
    <s v="User Not Mapped"/>
    <n v="227010"/>
    <s v="M/S Swapan Kumar Biswas"/>
    <s v="Private Retailer"/>
    <s v="9732462289"/>
    <n v="0.4"/>
    <n v="36"/>
    <x v="1"/>
    <m/>
    <s v="2026-03-22"/>
    <s v="663871"/>
    <s v="Sonali Enterprise"/>
    <s v="8250035491"/>
  </r>
  <r>
    <s v="RCF Import"/>
    <s v="MOP"/>
    <s v="WB"/>
    <x v="0"/>
    <s v="Habra - I"/>
    <s v="User Not Mapped"/>
    <s v="User Not Mapped"/>
    <s v="User Not Mapped"/>
    <n v="227038"/>
    <s v="New Biswas Krishi Bhandar"/>
    <s v="Private Retailer"/>
    <s v="9733685809"/>
    <n v="0.5"/>
    <n v="63"/>
    <x v="2"/>
    <m/>
    <s v="2026-02-23"/>
    <s v="663871"/>
    <s v="Sonali Enterprise"/>
    <s v="8250035491"/>
  </r>
  <r>
    <s v="RCF Trombay"/>
    <s v="15-15-15"/>
    <s v="WB"/>
    <x v="0"/>
    <s v="Habra - I"/>
    <s v="User Not Mapped"/>
    <s v="User Not Mapped"/>
    <s v="User Not Mapped"/>
    <n v="227102"/>
    <s v="Ram Chandra Das and Nurul"/>
    <s v="Private Retailer"/>
    <s v="9609187597"/>
    <n v="0.5"/>
    <n v="98"/>
    <x v="5"/>
    <m/>
    <s v="2026-01-19"/>
    <s v="281511"/>
    <s v="Malakshmi Krishi Bhandar      "/>
    <s v="9800561868"/>
  </r>
  <r>
    <s v="RCF Import"/>
    <s v="MOP"/>
    <s v="WB"/>
    <x v="0"/>
    <s v="Habra - I"/>
    <s v="User Not Mapped"/>
    <s v="User Not Mapped"/>
    <s v="User Not Mapped"/>
    <n v="227102"/>
    <s v="Ram Chandra Das and Nurul"/>
    <s v="Private Retailer"/>
    <s v="9609187597"/>
    <n v="0.3"/>
    <n v="31"/>
    <x v="1"/>
    <m/>
    <s v="2026-03-27"/>
    <s v="663871"/>
    <s v="Sonali Enterprise"/>
    <s v="8250035491"/>
  </r>
  <r>
    <s v="RCF Import"/>
    <s v="MOP"/>
    <s v="WB"/>
    <x v="0"/>
    <s v="Habra - I"/>
    <s v="User Not Mapped"/>
    <s v="User Not Mapped"/>
    <s v="User Not Mapped"/>
    <n v="227106"/>
    <s v="Ranajit Kumar Sarkar"/>
    <s v="Private Retailer"/>
    <s v="9593748954"/>
    <n v="0.15"/>
    <n v="9"/>
    <x v="4"/>
    <m/>
    <s v="2026-04-18"/>
    <s v="663871"/>
    <s v="Sonali Enterprise"/>
    <s v="8250035491"/>
  </r>
  <r>
    <s v="RCF Trombay"/>
    <s v="15-15-15"/>
    <s v="WB"/>
    <x v="0"/>
    <s v="Habra - I"/>
    <s v="User Not Mapped"/>
    <s v="User Not Mapped"/>
    <s v="User Not Mapped"/>
    <n v="270824"/>
    <s v="MS Haque Krishi Bhander"/>
    <s v="Private Retailer"/>
    <s v="9002182376"/>
    <n v="1.5"/>
    <n v="99"/>
    <x v="5"/>
    <m/>
    <s v="2026-01-18"/>
    <s v="223812"/>
    <s v="M/S. Shyma Krishi B"/>
    <s v="8617629886"/>
  </r>
  <r>
    <s v="RCF Import"/>
    <s v="MOP"/>
    <s v="WB"/>
    <x v="0"/>
    <s v="Habra - I"/>
    <s v="User Not Mapped"/>
    <s v="User Not Mapped"/>
    <s v="User Not Mapped"/>
    <n v="323501"/>
    <s v="M/S Baidyanath Mondal"/>
    <s v="Private Retailer"/>
    <s v="9732962055"/>
    <n v="4.4000000000000004"/>
    <n v="62"/>
    <x v="2"/>
    <m/>
    <s v="2026-02-24"/>
    <s v="268815"/>
    <s v="Chitta Ranjan Dey"/>
    <s v="9434744870"/>
  </r>
  <r>
    <s v="RCF Thal"/>
    <s v="N.C.Urea(45kg)"/>
    <s v="WB"/>
    <x v="0"/>
    <s v="Habra - I"/>
    <s v="User Not Mapped"/>
    <s v="User Not Mapped"/>
    <s v="User Not Mapped"/>
    <n v="323501"/>
    <s v="M/S Baidyanath Mondal"/>
    <s v="Private Retailer"/>
    <s v="9732962055"/>
    <n v="4.95"/>
    <n v="46"/>
    <x v="1"/>
    <m/>
    <s v="2026-03-12"/>
    <s v="268815"/>
    <s v="Chitta Ranjan Dey"/>
    <s v="9434744870"/>
  </r>
  <r>
    <s v="RCF Trombay"/>
    <s v="15-15-15"/>
    <s v="WB"/>
    <x v="0"/>
    <s v="Habra - I"/>
    <s v="User Not Mapped"/>
    <s v="User Not Mapped"/>
    <s v="User Not Mapped"/>
    <n v="323501"/>
    <s v="M/S Baidyanath Mondal"/>
    <s v="Private Retailer"/>
    <s v="9732962055"/>
    <n v="0.75"/>
    <n v="72"/>
    <x v="2"/>
    <m/>
    <s v="2026-02-14"/>
    <s v="268815"/>
    <s v="Chitta Ranjan Dey"/>
    <s v="9434744870"/>
  </r>
  <r>
    <s v="RCF Import"/>
    <s v="Imp 10-26-26"/>
    <s v="WB"/>
    <x v="0"/>
    <s v="Habra - I"/>
    <s v="User Not Mapped"/>
    <s v="User Not Mapped"/>
    <s v="User Not Mapped"/>
    <n v="323501"/>
    <s v="M/S Baidyanath Mondal"/>
    <s v="Private Retailer"/>
    <s v="9732962055"/>
    <n v="5.25"/>
    <n v="28"/>
    <x v="4"/>
    <m/>
    <s v="2026-03-30"/>
    <s v="268815"/>
    <s v="Chitta Ranjan Dey"/>
    <s v="9434744870"/>
  </r>
  <r>
    <s v="RCF Trombay"/>
    <s v="N.C.Urea(45kg)"/>
    <s v="WB"/>
    <x v="0"/>
    <s v="Habra - I"/>
    <s v="User Not Mapped"/>
    <s v="User Not Mapped"/>
    <s v="User Not Mapped"/>
    <n v="354778"/>
    <s v="Basanta Kumar RoyandCo"/>
    <s v="Private Retailer"/>
    <s v="9734516484"/>
    <n v="17.215"/>
    <n v="9"/>
    <x v="4"/>
    <m/>
    <s v="2026-04-18"/>
    <s v="1048909"/>
    <s v="B K ROY AND COMPANY"/>
    <s v="9734516484"/>
  </r>
  <r>
    <s v="RCF Import"/>
    <s v="Imp 10-26-26"/>
    <s v="WB"/>
    <x v="0"/>
    <s v="Habra - I"/>
    <s v="User Not Mapped"/>
    <s v="User Not Mapped"/>
    <s v="User Not Mapped"/>
    <n v="354778"/>
    <s v="Basanta Kumar RoyandCo"/>
    <s v="Private Retailer"/>
    <s v="9734516484"/>
    <n v="15.95"/>
    <n v="18"/>
    <x v="4"/>
    <m/>
    <s v="2026-04-09"/>
    <s v="1048909"/>
    <s v="B K ROY AND COMPANY"/>
    <s v="9734516484"/>
  </r>
  <r>
    <s v="RCF Trombay"/>
    <s v="15-15-15"/>
    <s v="WB"/>
    <x v="0"/>
    <s v="Habra - I"/>
    <s v="User Not Mapped"/>
    <s v="User Not Mapped"/>
    <s v="User Not Mapped"/>
    <n v="354778"/>
    <s v="Basanta Kumar RoyandCo"/>
    <s v="Private Retailer"/>
    <s v="9734516484"/>
    <n v="1.1499999999999999"/>
    <n v="9"/>
    <x v="4"/>
    <m/>
    <s v="2026-04-18"/>
    <s v="1048909"/>
    <s v="B K ROY AND COMPANY"/>
    <s v="9734516484"/>
  </r>
  <r>
    <s v="RCF Import"/>
    <s v="MOP"/>
    <s v="WB"/>
    <x v="0"/>
    <s v="Habra - I"/>
    <s v="User Not Mapped"/>
    <s v="User Not Mapped"/>
    <s v="User Not Mapped"/>
    <n v="354778"/>
    <s v="Basanta Kumar RoyandCo"/>
    <s v="Private Retailer"/>
    <s v="9734516484"/>
    <n v="4.5"/>
    <n v="9"/>
    <x v="4"/>
    <m/>
    <s v="2026-04-18"/>
    <s v="1048909"/>
    <s v="B K ROY AND COMPANY"/>
    <s v="9734516484"/>
  </r>
  <r>
    <s v="RCF Thal"/>
    <s v="N.C.Urea(45kg)"/>
    <s v="WB"/>
    <x v="0"/>
    <s v="Habra - I"/>
    <s v="User Not Mapped"/>
    <s v="User Not Mapped"/>
    <s v="User Not Mapped"/>
    <n v="354778"/>
    <s v="Basanta Kumar RoyandCo"/>
    <s v="Private Retailer"/>
    <s v="9734516484"/>
    <n v="16.12"/>
    <n v="18"/>
    <x v="4"/>
    <m/>
    <s v="2026-04-09"/>
    <s v="1048909"/>
    <s v="B K ROY AND COMPANY"/>
    <s v="9734516484"/>
  </r>
  <r>
    <s v="RCF Trombay"/>
    <s v="15-15-15"/>
    <s v="WB"/>
    <x v="0"/>
    <s v="Habra - I"/>
    <s v="User Not Mapped"/>
    <s v="User Not Mapped"/>
    <s v="User Not Mapped"/>
    <n v="503504"/>
    <s v="M/S Sonali Enterprise"/>
    <s v="Private Retailer"/>
    <s v="8250035491"/>
    <n v="4.7"/>
    <n v="72"/>
    <x v="2"/>
    <m/>
    <s v="2026-02-14"/>
    <s v="268815"/>
    <s v="Chitta Ranjan Dey"/>
    <s v="9434744870"/>
  </r>
  <r>
    <s v="RCF Thal"/>
    <s v="N.C.Urea(45kg)"/>
    <s v="WB"/>
    <x v="0"/>
    <s v="Habra - I"/>
    <s v="User Not Mapped"/>
    <s v="User Not Mapped"/>
    <s v="User Not Mapped"/>
    <n v="503504"/>
    <s v="M/S Sonali Enterprise"/>
    <s v="Private Retailer"/>
    <s v="8250035491"/>
    <n v="2.7450000000000001"/>
    <n v="44"/>
    <x v="1"/>
    <m/>
    <s v="2026-03-14"/>
    <s v="281511"/>
    <s v="Malakshmi Krishi Bhandar      "/>
    <s v="9800561868"/>
  </r>
  <r>
    <s v="RCF Import"/>
    <s v="MOP"/>
    <s v="WB"/>
    <x v="0"/>
    <s v="Habra - I"/>
    <s v="User Not Mapped"/>
    <s v="User Not Mapped"/>
    <s v="User Not Mapped"/>
    <n v="545521"/>
    <s v="Fultala Krishi Bhander"/>
    <s v="Private Retailer"/>
    <s v="9232864625"/>
    <n v="0.4"/>
    <n v="36"/>
    <x v="1"/>
    <m/>
    <s v="2026-03-22"/>
    <s v="663871"/>
    <s v="Sonali Enterprise"/>
    <s v="8250035491"/>
  </r>
  <r>
    <s v="RCF Thal"/>
    <s v="N.C.Urea(45kg)"/>
    <s v="WB"/>
    <x v="0"/>
    <s v="Habra - I"/>
    <s v="User Not Mapped"/>
    <s v="User Not Mapped"/>
    <s v="User Not Mapped"/>
    <n v="552210"/>
    <s v="Tarama Krishi Bhandar"/>
    <s v="Private Retailer"/>
    <s v="9733819026"/>
    <n v="5.49"/>
    <n v="47"/>
    <x v="1"/>
    <m/>
    <s v="2026-03-11"/>
    <s v="223812"/>
    <s v="M/S. Shyma Krishi B"/>
    <s v="8617629886"/>
  </r>
  <r>
    <s v="RCF Trombay SCU"/>
    <s v="Sulphur Coated Urea(40Kg)"/>
    <s v="WB"/>
    <x v="0"/>
    <s v="Habra - I"/>
    <s v="User Not Mapped"/>
    <s v="User Not Mapped"/>
    <s v="User Not Mapped"/>
    <n v="552210"/>
    <s v="Tarama Krishi Bhandar"/>
    <s v="Private Retailer"/>
    <s v="9733819026"/>
    <n v="2.4"/>
    <n v="97"/>
    <x v="5"/>
    <m/>
    <s v="2026-01-20"/>
    <s v="223812"/>
    <s v="M/S. Shyma Krishi B"/>
    <s v="8617629886"/>
  </r>
  <r>
    <s v="RCF Thal"/>
    <s v="N.C.Urea(45kg)"/>
    <s v="WB"/>
    <x v="0"/>
    <s v="Habra - I"/>
    <s v="User Not Mapped"/>
    <s v="User Not Mapped"/>
    <s v="User Not Mapped"/>
    <n v="552210"/>
    <s v="Tarama Krishi Bhandar"/>
    <s v="Private Retailer"/>
    <s v="9733819026"/>
    <n v="8.49"/>
    <n v="68"/>
    <x v="2"/>
    <m/>
    <s v="2026-02-18"/>
    <s v="223812"/>
    <s v="M/S. Shyma Krishi B"/>
    <s v="8617629886"/>
  </r>
  <r>
    <s v="RCF Thal"/>
    <s v="N.C.Urea(45kg)"/>
    <s v="WB"/>
    <x v="0"/>
    <s v="Habra - I"/>
    <s v="User Not Mapped"/>
    <s v="User Not Mapped"/>
    <s v="User Not Mapped"/>
    <n v="648151"/>
    <s v="NEW DIPANWITA KRISHI BHANDER"/>
    <s v="Private Retailer"/>
    <s v="8345802970"/>
    <n v="9.9"/>
    <n v="16"/>
    <x v="4"/>
    <m/>
    <s v="2026-04-11"/>
    <s v="223812"/>
    <s v="M/S. Shyma Krishi B"/>
    <s v="8617629886"/>
  </r>
  <r>
    <s v="RCF Trombay"/>
    <s v="N.C.Urea(45kg)"/>
    <s v="WB"/>
    <x v="0"/>
    <s v="Habra - I"/>
    <s v="User Not Mapped"/>
    <s v="User Not Mapped"/>
    <s v="User Not Mapped"/>
    <n v="648151"/>
    <s v="NEW DIPANWITA KRISHI BHANDER"/>
    <s v="Private Retailer"/>
    <s v="8345802970"/>
    <n v="1.89"/>
    <n v="59"/>
    <x v="1"/>
    <m/>
    <s v="2026-02-27"/>
    <s v="223812"/>
    <s v="M/S. Shyma Krishi B"/>
    <s v="8617629886"/>
  </r>
  <r>
    <s v="RCF Trombay"/>
    <s v="15-15-15"/>
    <s v="WB"/>
    <x v="0"/>
    <s v="Habra - I"/>
    <s v="User Not Mapped"/>
    <s v="User Not Mapped"/>
    <s v="User Not Mapped"/>
    <n v="870250"/>
    <s v="POPULAR KRISHI BHANDAR"/>
    <s v="Private Retailer"/>
    <s v="9800237464"/>
    <n v="3.5999999999999997E-2"/>
    <n v="617"/>
    <x v="7"/>
    <m/>
    <s v="2024-08-18"/>
    <s v="924553"/>
    <s v="Modern fertilizer"/>
    <s v="9734054818"/>
  </r>
  <r>
    <s v="RCF Import"/>
    <s v="MOP"/>
    <s v="WB"/>
    <x v="0"/>
    <s v="Habra - I"/>
    <s v="User Not Mapped"/>
    <s v="User Not Mapped"/>
    <s v="User Not Mapped"/>
    <n v="870252"/>
    <s v="ANISUR ALAM"/>
    <s v="Private Retailer"/>
    <s v="8001942121"/>
    <n v="0.5"/>
    <n v="28"/>
    <x v="4"/>
    <m/>
    <s v="2026-03-30"/>
    <s v="663871"/>
    <s v="Sonali Enterprise"/>
    <s v="8250035491"/>
  </r>
  <r>
    <s v="RCF Trombay"/>
    <s v="15-15-15"/>
    <s v="WB"/>
    <x v="0"/>
    <s v="Habra - I"/>
    <s v="User Not Mapped"/>
    <s v="User Not Mapped"/>
    <s v="User Not Mapped"/>
    <n v="870252"/>
    <s v="ANISUR ALAM"/>
    <s v="Private Retailer"/>
    <s v="8001942121"/>
    <n v="1.8"/>
    <n v="75"/>
    <x v="2"/>
    <m/>
    <s v="2026-02-11"/>
    <s v="223807"/>
    <s v="M.K. Chemical and Fertilizers"/>
    <s v="9051316329"/>
  </r>
  <r>
    <s v="RCF Import"/>
    <s v="MOP"/>
    <s v="WB"/>
    <x v="0"/>
    <s v="Habra - I"/>
    <s v="User Not Mapped"/>
    <s v="User Not Mapped"/>
    <s v="User Not Mapped"/>
    <n v="870252"/>
    <s v="ANISUR ALAM"/>
    <s v="Private Retailer"/>
    <s v="8001942121"/>
    <n v="0.5"/>
    <n v="36"/>
    <x v="1"/>
    <m/>
    <s v="2026-03-22"/>
    <s v="663871"/>
    <s v="Sonali Enterprise"/>
    <s v="8250035491"/>
  </r>
  <r>
    <s v="RCF Import"/>
    <s v="MOP"/>
    <s v="WB"/>
    <x v="0"/>
    <s v="Habra - I"/>
    <s v="User Not Mapped"/>
    <s v="User Not Mapped"/>
    <s v="User Not Mapped"/>
    <n v="870252"/>
    <s v="ANISUR ALAM"/>
    <s v="Private Retailer"/>
    <s v="8001942121"/>
    <n v="0.3"/>
    <n v="47"/>
    <x v="1"/>
    <m/>
    <s v="2026-03-11"/>
    <s v="663871"/>
    <s v="Sonali Enterprise"/>
    <s v="8250035491"/>
  </r>
  <r>
    <s v="RCF Import"/>
    <s v="MOP"/>
    <s v="WB"/>
    <x v="0"/>
    <s v="Habra - I"/>
    <s v="User Not Mapped"/>
    <s v="User Not Mapped"/>
    <s v="User Not Mapped"/>
    <n v="870252"/>
    <s v="ANISUR ALAM"/>
    <s v="Private Retailer"/>
    <s v="8001942121"/>
    <n v="0.5"/>
    <n v="63"/>
    <x v="2"/>
    <m/>
    <s v="2026-02-23"/>
    <s v="663871"/>
    <s v="Sonali Enterprise"/>
    <s v="8250035491"/>
  </r>
  <r>
    <s v="RCF Import"/>
    <s v="Imp 10-26-26"/>
    <s v="WB"/>
    <x v="0"/>
    <s v="Habra - I"/>
    <s v="User Not Mapped"/>
    <s v="User Not Mapped"/>
    <s v="User Not Mapped"/>
    <n v="1368116"/>
    <s v="ADHARSHA KRISHI BHANDAR"/>
    <s v="Private Retailer"/>
    <s v="9126571926"/>
    <n v="3.7"/>
    <n v="28"/>
    <x v="4"/>
    <m/>
    <s v="2026-03-30"/>
    <s v="268815"/>
    <s v="Chitta Ranjan Dey"/>
    <s v="9434744870"/>
  </r>
  <r>
    <s v="RCF Import"/>
    <s v="MOP"/>
    <s v="WB"/>
    <x v="0"/>
    <s v="Habra - I"/>
    <s v="User Not Mapped"/>
    <s v="User Not Mapped"/>
    <s v="User Not Mapped"/>
    <n v="1368116"/>
    <s v="ADHARSHA KRISHI BHANDAR"/>
    <s v="Private Retailer"/>
    <s v="9126571926"/>
    <n v="1.9"/>
    <n v="62"/>
    <x v="2"/>
    <m/>
    <s v="2026-02-24"/>
    <s v="268815"/>
    <s v="Chitta Ranjan Dey"/>
    <s v="9434744870"/>
  </r>
  <r>
    <s v="RCF Trombay"/>
    <s v="15-15-15"/>
    <s v="WB"/>
    <x v="0"/>
    <s v="Habra - I"/>
    <s v="User Not Mapped"/>
    <s v="User Not Mapped"/>
    <s v="User Not Mapped"/>
    <n v="1490381"/>
    <s v="AKUNJI KRISHI BHANDAR"/>
    <s v="Private Retailer"/>
    <s v="9153001338"/>
    <n v="1.65"/>
    <n v="99"/>
    <x v="5"/>
    <m/>
    <s v="2026-01-18"/>
    <s v="223812"/>
    <s v="M/S. Shyma Krishi B"/>
    <s v="8617629886"/>
  </r>
  <r>
    <s v="RCF Thal"/>
    <s v="N.C.Urea(45kg)"/>
    <s v="WB"/>
    <x v="0"/>
    <s v="Habra - I"/>
    <s v="User Not Mapped"/>
    <s v="User Not Mapped"/>
    <s v="User Not Mapped"/>
    <n v="1496080"/>
    <s v="UTTAM SUR KRISHI BHANDAR"/>
    <s v="Private Retailer"/>
    <s v="8250379228"/>
    <n v="5.49"/>
    <n v="46"/>
    <x v="1"/>
    <m/>
    <s v="2026-03-12"/>
    <s v="268815"/>
    <s v="Chitta Ranjan Dey"/>
    <s v="9434744870"/>
  </r>
  <r>
    <s v="RCF Import"/>
    <s v="MOP"/>
    <s v="WB"/>
    <x v="0"/>
    <s v="Habra - I"/>
    <s v="User Not Mapped"/>
    <s v="User Not Mapped"/>
    <s v="User Not Mapped"/>
    <n v="1496080"/>
    <s v="UTTAM SUR KRISHI BHANDAR"/>
    <s v="Private Retailer"/>
    <s v="8250379228"/>
    <n v="3.3"/>
    <n v="62"/>
    <x v="2"/>
    <m/>
    <s v="2026-02-24"/>
    <s v="268815"/>
    <s v="Chitta Ranjan Dey"/>
    <s v="9434744870"/>
  </r>
  <r>
    <s v="RCF Import"/>
    <s v="Imp 10-26-26"/>
    <s v="WB"/>
    <x v="0"/>
    <s v="Habra - I"/>
    <s v="User Not Mapped"/>
    <s v="User Not Mapped"/>
    <s v="User Not Mapped"/>
    <n v="1496080"/>
    <s v="UTTAM SUR KRISHI BHANDAR"/>
    <s v="Private Retailer"/>
    <s v="8250379228"/>
    <n v="3.5"/>
    <n v="28"/>
    <x v="4"/>
    <m/>
    <s v="2026-03-30"/>
    <s v="268815"/>
    <s v="Chitta Ranjan Dey"/>
    <s v="9434744870"/>
  </r>
  <r>
    <s v="RCF Trombay"/>
    <s v="15-15-15"/>
    <s v="WB"/>
    <x v="0"/>
    <s v="Habra - I"/>
    <s v="User Not Mapped"/>
    <s v="User Not Mapped"/>
    <s v="User Not Mapped"/>
    <n v="1496080"/>
    <s v="UTTAM SUR KRISHI BHANDAR"/>
    <s v="Private Retailer"/>
    <s v="8250379228"/>
    <n v="0.7"/>
    <n v="100"/>
    <x v="5"/>
    <m/>
    <s v="2026-01-17"/>
    <s v="268815"/>
    <s v="Chitta Ranjan Dey"/>
    <s v="9434744870"/>
  </r>
  <r>
    <s v="RCF Trombay"/>
    <s v="15-15-15"/>
    <s v="WB"/>
    <x v="0"/>
    <s v="Habra - I"/>
    <s v="User Not Mapped"/>
    <s v="User Not Mapped"/>
    <s v="User Not Mapped"/>
    <n v="1498786"/>
    <s v="CHALKULTALA  SAMOBAY KRISHI UN"/>
    <s v="PACS"/>
    <s v="8436367433"/>
    <n v="0.65"/>
    <n v="97"/>
    <x v="5"/>
    <m/>
    <s v="2026-01-20"/>
    <s v="294883"/>
    <s v="M/S Ganesh Chandra Ghosh"/>
    <s v="7407663942"/>
  </r>
  <r>
    <s v="RCF Trombay"/>
    <s v="N.C.Urea(45kg)"/>
    <s v="WB"/>
    <x v="0"/>
    <s v="Habra - I"/>
    <s v="User Not Mapped"/>
    <s v="User Not Mapped"/>
    <s v="User Not Mapped"/>
    <n v="1498786"/>
    <s v="CHALKULTALA  SAMOBAY KRISHI UN"/>
    <s v="PACS"/>
    <s v="8436367433"/>
    <n v="4.59"/>
    <n v="40"/>
    <x v="1"/>
    <m/>
    <s v="2026-03-18"/>
    <s v="223812"/>
    <s v="M/S. Shyma Krishi B"/>
    <s v="8617629886"/>
  </r>
  <r>
    <s v="RCF Trombay"/>
    <s v="15-15-15"/>
    <s v="WB"/>
    <x v="0"/>
    <s v="Habra - I"/>
    <s v="User Not Mapped"/>
    <s v="User Not Mapped"/>
    <s v="User Not Mapped"/>
    <n v="1498786"/>
    <s v="CHALKULTALA  SAMOBAY KRISHI UN"/>
    <s v="PACS"/>
    <s v="8436367433"/>
    <n v="11"/>
    <n v="40"/>
    <x v="1"/>
    <m/>
    <s v="2026-03-18"/>
    <s v="223812"/>
    <s v="M/S. Shyma Krishi B"/>
    <s v="8617629886"/>
  </r>
  <r>
    <s v="RCF Trombay"/>
    <s v="15-15-15"/>
    <s v="WB"/>
    <x v="0"/>
    <s v="Habra - I"/>
    <s v="User Not Mapped"/>
    <s v="User Not Mapped"/>
    <s v="User Not Mapped"/>
    <n v="1498786"/>
    <s v="CHALKULTALA  SAMOBAY KRISHI UN"/>
    <s v="PACS"/>
    <s v="8436367433"/>
    <n v="5.5"/>
    <n v="73"/>
    <x v="2"/>
    <m/>
    <s v="2026-02-13"/>
    <s v="268815"/>
    <s v="Chitta Ranjan Dey"/>
    <s v="9434744870"/>
  </r>
  <r>
    <s v="RCF Trombay"/>
    <s v="15-15-15"/>
    <s v="WB"/>
    <x v="0"/>
    <s v="Habra - II"/>
    <s v="User Not Mapped"/>
    <s v="User Not Mapped"/>
    <s v="User Not Mapped"/>
    <n v="226720"/>
    <s v="Janapriya Samsel Krishi Bhand"/>
    <s v="Private Retailer"/>
    <s v="9233185571"/>
    <n v="1.5"/>
    <n v="130"/>
    <x v="0"/>
    <m/>
    <s v="2025-12-18"/>
    <s v="917469"/>
    <s v="MONDAL KRISHI BHANDER"/>
    <s v="9681347066"/>
  </r>
  <r>
    <s v="RCF Trombay"/>
    <s v="15-15-15"/>
    <s v="WB"/>
    <x v="0"/>
    <s v="Habra - II"/>
    <s v="User Not Mapped"/>
    <s v="User Not Mapped"/>
    <s v="User Not Mapped"/>
    <n v="226720"/>
    <s v="Janapriya Samsel Krishi Bhand"/>
    <s v="Private Retailer"/>
    <s v="9233185571"/>
    <n v="0.82699999999999996"/>
    <n v="172"/>
    <x v="0"/>
    <m/>
    <s v="2025-11-06"/>
    <s v="917469"/>
    <s v="MONDAL KRISHI BHANDER"/>
    <s v="9681347066"/>
  </r>
  <r>
    <s v="RCF Trombay"/>
    <s v="N.C.Urea(45kg)"/>
    <s v="WB"/>
    <x v="0"/>
    <s v="Habra - II"/>
    <s v="User Not Mapped"/>
    <s v="User Not Mapped"/>
    <s v="User Not Mapped"/>
    <n v="226736"/>
    <s v="Kadpur Skus Ltd"/>
    <s v="State Marketing Federation"/>
    <s v="9830346319"/>
    <n v="4.0949999999999998"/>
    <n v="72"/>
    <x v="2"/>
    <m/>
    <s v="2026-02-14"/>
    <s v="281511"/>
    <s v="Malakshmi Krishi Bhandar      "/>
    <s v="9800561868"/>
  </r>
  <r>
    <s v="RCF Trombay"/>
    <s v="15-15-15"/>
    <s v="WB"/>
    <x v="0"/>
    <s v="Habra - II"/>
    <s v="User Not Mapped"/>
    <s v="User Not Mapped"/>
    <s v="User Not Mapped"/>
    <n v="226780"/>
    <s v="Lokenath Krishi Bhander"/>
    <s v="Private Retailer"/>
    <s v="9547723181"/>
    <n v="0.1"/>
    <n v="273"/>
    <x v="3"/>
    <m/>
    <s v="2025-07-28"/>
    <s v="281511"/>
    <s v="Malakshmi Krishi Bhandar      "/>
    <s v="9800561868"/>
  </r>
  <r>
    <s v="RCF Trombay"/>
    <s v="15-15-15"/>
    <s v="WB"/>
    <x v="0"/>
    <s v="Habra - II"/>
    <s v="User Not Mapped"/>
    <s v="User Not Mapped"/>
    <s v="User Not Mapped"/>
    <n v="226780"/>
    <s v="Lokenath Krishi Bhander"/>
    <s v="Private Retailer"/>
    <s v="9547723181"/>
    <n v="0.1"/>
    <n v="169"/>
    <x v="0"/>
    <m/>
    <s v="2025-11-09"/>
    <s v="281511"/>
    <s v="Malakshmi Krishi Bhandar      "/>
    <s v="9800561868"/>
  </r>
  <r>
    <s v="RCF Trombay"/>
    <s v="15-15-15"/>
    <s v="WB"/>
    <x v="0"/>
    <s v="Habra - II"/>
    <s v="User Not Mapped"/>
    <s v="User Not Mapped"/>
    <s v="User Not Mapped"/>
    <n v="226780"/>
    <s v="Lokenath Krishi Bhander"/>
    <s v="Private Retailer"/>
    <s v="9547723181"/>
    <n v="0.25"/>
    <n v="93"/>
    <x v="5"/>
    <m/>
    <s v="2026-01-24"/>
    <s v="281511"/>
    <s v="Malakshmi Krishi Bhandar      "/>
    <s v="9800561868"/>
  </r>
  <r>
    <s v="RCF Thal"/>
    <s v="N.C.Urea(45kg)"/>
    <s v="WB"/>
    <x v="0"/>
    <s v="Habra - II"/>
    <s v="User Not Mapped"/>
    <s v="User Not Mapped"/>
    <s v="User Not Mapped"/>
    <n v="354667"/>
    <s v="Abusayed  Mondal"/>
    <s v="Private Retailer"/>
    <s v="9153577141"/>
    <n v="1.4850000000000001"/>
    <n v="46"/>
    <x v="1"/>
    <m/>
    <s v="2026-03-12"/>
    <s v="268815"/>
    <s v="Chitta Ranjan Dey"/>
    <s v="9434744870"/>
  </r>
  <r>
    <s v="RCF Import"/>
    <s v="Imp 10-26-26"/>
    <s v="WB"/>
    <x v="0"/>
    <s v="Habra - II"/>
    <s v="User Not Mapped"/>
    <s v="User Not Mapped"/>
    <s v="User Not Mapped"/>
    <n v="354667"/>
    <s v="Abusayed  Mondal"/>
    <s v="Private Retailer"/>
    <s v="9153577141"/>
    <n v="4.4000000000000004"/>
    <n v="28"/>
    <x v="4"/>
    <m/>
    <s v="2026-03-30"/>
    <s v="268815"/>
    <s v="Chitta Ranjan Dey"/>
    <s v="9434744870"/>
  </r>
  <r>
    <s v="RCF Trombay"/>
    <s v="15-15-15"/>
    <s v="WB"/>
    <x v="0"/>
    <s v="Habra - II"/>
    <s v="User Not Mapped"/>
    <s v="User Not Mapped"/>
    <s v="User Not Mapped"/>
    <n v="354746"/>
    <s v="Ashudi Krishi Bhan Der"/>
    <s v="Private Retailer"/>
    <s v="9732235955"/>
    <n v="7.8"/>
    <n v="75"/>
    <x v="2"/>
    <m/>
    <s v="2026-02-11"/>
    <s v="223807"/>
    <s v="M.K. Chemical and Fertilizers"/>
    <s v="9051316329"/>
  </r>
  <r>
    <s v="RCF Thal"/>
    <s v="N.C.Urea(45kg)"/>
    <s v="WB"/>
    <x v="0"/>
    <s v="Habra - II"/>
    <s v="User Not Mapped"/>
    <s v="User Not Mapped"/>
    <s v="User Not Mapped"/>
    <n v="354746"/>
    <s v="Ashudi Krishi Bhan Der"/>
    <s v="Private Retailer"/>
    <s v="9732235955"/>
    <n v="2.0550000000000002"/>
    <n v="75"/>
    <x v="2"/>
    <m/>
    <s v="2026-02-11"/>
    <s v="223807"/>
    <s v="M.K. Chemical and Fertilizers"/>
    <s v="9051316329"/>
  </r>
  <r>
    <s v="RCF Trombay"/>
    <s v="N.C.Urea(45kg)"/>
    <s v="WB"/>
    <x v="0"/>
    <s v="Habra - II"/>
    <s v="User Not Mapped"/>
    <s v="User Not Mapped"/>
    <s v="User Not Mapped"/>
    <n v="354758"/>
    <s v="Baba  Taraknath  Krishibhan Der"/>
    <s v="Private Retailer"/>
    <s v="9734543795"/>
    <n v="0.54"/>
    <n v="118"/>
    <x v="5"/>
    <m/>
    <s v="2025-12-30"/>
    <s v="281511"/>
    <s v="Malakshmi Krishi Bhandar      "/>
    <s v="9800561868"/>
  </r>
  <r>
    <s v="RCF Thal"/>
    <s v="N.C.Urea(45kg)"/>
    <s v="WB"/>
    <x v="0"/>
    <s v="Habra - II"/>
    <s v="User Not Mapped"/>
    <s v="User Not Mapped"/>
    <s v="User Not Mapped"/>
    <n v="354797"/>
    <s v="Bholanathsamaddar"/>
    <s v="Private Retailer"/>
    <s v="9732537477"/>
    <n v="3.24"/>
    <n v="46"/>
    <x v="1"/>
    <m/>
    <s v="2026-03-12"/>
    <s v="268815"/>
    <s v="Chitta Ranjan Dey"/>
    <s v="9434744870"/>
  </r>
  <r>
    <s v="RCF Thal"/>
    <s v="N.C.Urea(45kg)"/>
    <s v="WB"/>
    <x v="0"/>
    <s v="Habra - II"/>
    <s v="User Not Mapped"/>
    <s v="User Not Mapped"/>
    <s v="User Not Mapped"/>
    <n v="355011"/>
    <s v="Guma  Krishi  Centre"/>
    <s v="Private Retailer"/>
    <s v="9641730793"/>
    <n v="10.62"/>
    <n v="42"/>
    <x v="1"/>
    <m/>
    <s v="2026-03-16"/>
    <s v="281522"/>
    <s v="N.C. Das and Co."/>
    <s v="6297603863"/>
  </r>
  <r>
    <s v="RCF Trombay"/>
    <s v="15-15-15"/>
    <s v="WB"/>
    <x v="0"/>
    <s v="Habra - II"/>
    <s v="User Not Mapped"/>
    <s v="User Not Mapped"/>
    <s v="User Not Mapped"/>
    <n v="355156"/>
    <s v="Karina Krishi   Bhander"/>
    <s v="Private Retailer"/>
    <s v="9775038282"/>
    <n v="5.5"/>
    <n v="72"/>
    <x v="2"/>
    <m/>
    <s v="2026-02-14"/>
    <s v="281511"/>
    <s v="Malakshmi Krishi Bhandar      "/>
    <s v="9800561868"/>
  </r>
  <r>
    <s v="RCF Trombay"/>
    <s v="N.C.Urea(45kg)"/>
    <s v="WB"/>
    <x v="0"/>
    <s v="Habra - II"/>
    <s v="User Not Mapped"/>
    <s v="User Not Mapped"/>
    <s v="User Not Mapped"/>
    <n v="355156"/>
    <s v="Karina Krishi   Bhander"/>
    <s v="Private Retailer"/>
    <s v="9775038282"/>
    <n v="4.41"/>
    <n v="72"/>
    <x v="2"/>
    <m/>
    <s v="2026-02-14"/>
    <s v="281511"/>
    <s v="Malakshmi Krishi Bhandar      "/>
    <s v="9800561868"/>
  </r>
  <r>
    <s v="RCF Thal"/>
    <s v="N.C.Urea(45kg)"/>
    <s v="WB"/>
    <x v="0"/>
    <s v="Habra - II"/>
    <s v="User Not Mapped"/>
    <s v="User Not Mapped"/>
    <s v="User Not Mapped"/>
    <n v="355183"/>
    <s v="Krishak  Krishi  Bhander"/>
    <s v="Private Retailer"/>
    <s v="9734636496"/>
    <n v="5.31"/>
    <n v="20"/>
    <x v="4"/>
    <m/>
    <s v="2026-04-07"/>
    <s v="268815"/>
    <s v="Chitta Ranjan Dey"/>
    <s v="9434744870"/>
  </r>
  <r>
    <s v="RCF Import"/>
    <s v="Imp 10-26-26"/>
    <s v="WB"/>
    <x v="0"/>
    <s v="Habra - II"/>
    <s v="User Not Mapped"/>
    <s v="User Not Mapped"/>
    <s v="User Not Mapped"/>
    <n v="355183"/>
    <s v="Krishak  Krishi  Bhander"/>
    <s v="Private Retailer"/>
    <s v="9734636496"/>
    <n v="2.2999999999999998"/>
    <n v="62"/>
    <x v="2"/>
    <m/>
    <s v="2026-02-24"/>
    <s v="223807"/>
    <s v="M.K. Chemical and Fertilizers"/>
    <s v="9051316329"/>
  </r>
  <r>
    <s v="RCF Trombay"/>
    <s v="15-15-15"/>
    <s v="WB"/>
    <x v="0"/>
    <s v="Habra - II"/>
    <s v="User Not Mapped"/>
    <s v="User Not Mapped"/>
    <s v="User Not Mapped"/>
    <n v="355183"/>
    <s v="Krishak  Krishi  Bhander"/>
    <s v="Private Retailer"/>
    <s v="9734636496"/>
    <n v="0.85"/>
    <n v="15"/>
    <x v="4"/>
    <m/>
    <s v="2026-04-12"/>
    <s v="1096194"/>
    <s v="Krishak Krishi Bhander"/>
    <s v="9734636496"/>
  </r>
  <r>
    <s v="RCF Import"/>
    <s v="MOP"/>
    <s v="WB"/>
    <x v="0"/>
    <s v="Habra - II"/>
    <s v="User Not Mapped"/>
    <s v="User Not Mapped"/>
    <s v="User Not Mapped"/>
    <n v="355183"/>
    <s v="Krishak  Krishi  Bhander"/>
    <s v="Private Retailer"/>
    <s v="9734636496"/>
    <n v="2.2999999999999998"/>
    <n v="39"/>
    <x v="1"/>
    <m/>
    <s v="2026-03-19"/>
    <s v="1096194"/>
    <s v="Krishak Krishi Bhander"/>
    <s v="9734636496"/>
  </r>
  <r>
    <s v="RCF Trombay"/>
    <s v="N.C.Urea(45kg)"/>
    <s v="WB"/>
    <x v="0"/>
    <s v="Habra - II"/>
    <s v="User Not Mapped"/>
    <s v="User Not Mapped"/>
    <s v="User Not Mapped"/>
    <n v="355346"/>
    <s v="Master Krishi Bhander"/>
    <s v="Private Retailer"/>
    <s v="9476222355"/>
    <n v="5.49"/>
    <n v="68"/>
    <x v="2"/>
    <m/>
    <s v="2026-02-18"/>
    <s v="281522"/>
    <s v="N.C. Das and Co."/>
    <s v="6297603863"/>
  </r>
  <r>
    <s v="RCF Thal"/>
    <s v="N.C.Urea(45kg)"/>
    <s v="WB"/>
    <x v="0"/>
    <s v="Habra - II"/>
    <s v="User Not Mapped"/>
    <s v="User Not Mapped"/>
    <s v="User Not Mapped"/>
    <n v="355796"/>
    <s v="Nemai Kumar Ghosh"/>
    <s v="Private Retailer"/>
    <s v="9635666110"/>
    <n v="5.49"/>
    <n v="47"/>
    <x v="1"/>
    <m/>
    <s v="2026-03-11"/>
    <s v="289634"/>
    <s v="Sankar Lal Saha"/>
    <s v="9830026138"/>
  </r>
  <r>
    <s v="RCF Trombay"/>
    <s v="15-15-15"/>
    <s v="WB"/>
    <x v="0"/>
    <s v="Habra - II"/>
    <s v="User Not Mapped"/>
    <s v="User Not Mapped"/>
    <s v="User Not Mapped"/>
    <n v="355805"/>
    <s v="New  Janapriya  Krishi  Bhander"/>
    <s v="Private Retailer"/>
    <s v="9874679693"/>
    <n v="0.8"/>
    <n v="98"/>
    <x v="5"/>
    <m/>
    <s v="2026-01-19"/>
    <s v="281511"/>
    <s v="Malakshmi Krishi Bhandar      "/>
    <s v="9800561868"/>
  </r>
  <r>
    <s v="RCF Trombay"/>
    <s v="N.C.Urea(45kg)"/>
    <s v="WB"/>
    <x v="0"/>
    <s v="Habra - II"/>
    <s v="User Not Mapped"/>
    <s v="User Not Mapped"/>
    <s v="User Not Mapped"/>
    <n v="355805"/>
    <s v="New  Janapriya  Krishi  Bhander"/>
    <s v="Private Retailer"/>
    <s v="9874679693"/>
    <n v="0.72"/>
    <n v="98"/>
    <x v="5"/>
    <m/>
    <s v="2026-01-19"/>
    <s v="281511"/>
    <s v="Malakshmi Krishi Bhandar      "/>
    <s v="9800561868"/>
  </r>
  <r>
    <s v="RCF Import"/>
    <s v="Imp 10-26-26"/>
    <s v="WB"/>
    <x v="0"/>
    <s v="Habra - II"/>
    <s v="User Not Mapped"/>
    <s v="User Not Mapped"/>
    <s v="User Not Mapped"/>
    <n v="355922"/>
    <s v="Pradip Kumar Biswas"/>
    <s v="Private Retailer"/>
    <s v="9735517576"/>
    <n v="4.25"/>
    <n v="28"/>
    <x v="4"/>
    <m/>
    <s v="2026-03-30"/>
    <s v="268815"/>
    <s v="Chitta Ranjan Dey"/>
    <s v="9434744870"/>
  </r>
  <r>
    <s v="RCF Trombay"/>
    <s v="15-15-15"/>
    <s v="WB"/>
    <x v="0"/>
    <s v="Habra - II"/>
    <s v="User Not Mapped"/>
    <s v="User Not Mapped"/>
    <s v="User Not Mapped"/>
    <n v="355922"/>
    <s v="Pradip Kumar Biswas"/>
    <s v="Private Retailer"/>
    <s v="9735517576"/>
    <n v="3.25"/>
    <n v="73"/>
    <x v="2"/>
    <m/>
    <s v="2026-02-13"/>
    <s v="268815"/>
    <s v="Chitta Ranjan Dey"/>
    <s v="9434744870"/>
  </r>
  <r>
    <s v="RCF Import"/>
    <s v="MOP"/>
    <s v="WB"/>
    <x v="0"/>
    <s v="Habra - II"/>
    <s v="User Not Mapped"/>
    <s v="User Not Mapped"/>
    <s v="User Not Mapped"/>
    <n v="355922"/>
    <s v="Pradip Kumar Biswas"/>
    <s v="Private Retailer"/>
    <s v="9735517576"/>
    <n v="5.5"/>
    <n v="62"/>
    <x v="2"/>
    <m/>
    <s v="2026-02-24"/>
    <s v="268815"/>
    <s v="Chitta Ranjan Dey"/>
    <s v="9434744870"/>
  </r>
  <r>
    <s v="RCF Thal"/>
    <s v="N.C.Urea(45kg)"/>
    <s v="WB"/>
    <x v="0"/>
    <s v="Habra - II"/>
    <s v="User Not Mapped"/>
    <s v="User Not Mapped"/>
    <s v="User Not Mapped"/>
    <n v="355922"/>
    <s v="Pradip Kumar Biswas"/>
    <s v="Private Retailer"/>
    <s v="9735517576"/>
    <n v="4.1399999999999997"/>
    <n v="46"/>
    <x v="1"/>
    <m/>
    <s v="2026-03-12"/>
    <s v="268815"/>
    <s v="Chitta Ranjan Dey"/>
    <s v="9434744870"/>
  </r>
  <r>
    <s v="RCF Trombay"/>
    <s v="15-15-15"/>
    <s v="WB"/>
    <x v="0"/>
    <s v="Habra - II"/>
    <s v="User Not Mapped"/>
    <s v="User Not Mapped"/>
    <s v="User Not Mapped"/>
    <n v="356089"/>
    <s v="Sabujayan  Krishibhander"/>
    <s v="Private Retailer"/>
    <s v="9734894019"/>
    <n v="2.8"/>
    <n v="775"/>
    <x v="7"/>
    <m/>
    <s v="2024-03-13"/>
    <s v="1287654"/>
    <s v="AZAD KRISHI BHANDAR"/>
    <s v="9836419256"/>
  </r>
  <r>
    <s v="RCF Trombay"/>
    <s v="N.C.Urea(45kg)"/>
    <s v="WB"/>
    <x v="0"/>
    <s v="Habra - II"/>
    <s v="User Not Mapped"/>
    <s v="User Not Mapped"/>
    <s v="User Not Mapped"/>
    <n v="356089"/>
    <s v="Sabujayan  Krishibhander"/>
    <s v="Private Retailer"/>
    <s v="9734894019"/>
    <n v="1.7"/>
    <n v="940"/>
    <x v="7"/>
    <m/>
    <s v="2023-09-30"/>
    <s v="1096194"/>
    <s v="Krishak Krishi Bhander"/>
    <s v="9734636496"/>
  </r>
  <r>
    <s v="RCF Import"/>
    <s v="Imp 10-26-26"/>
    <s v="WB"/>
    <x v="0"/>
    <s v="Habra - II"/>
    <s v="User Not Mapped"/>
    <s v="User Not Mapped"/>
    <s v="User Not Mapped"/>
    <n v="356296"/>
    <s v="Sar  Ghar"/>
    <s v="Private Retailer"/>
    <s v="9932964212"/>
    <n v="6"/>
    <n v="39"/>
    <x v="1"/>
    <m/>
    <s v="2026-03-19"/>
    <s v="223817"/>
    <s v="National Supply Agency"/>
    <s v="9564505288"/>
  </r>
  <r>
    <s v="RCF Thal"/>
    <s v="N.C.Urea(45kg)"/>
    <s v="WB"/>
    <x v="0"/>
    <s v="Habra - II"/>
    <s v="User Not Mapped"/>
    <s v="User Not Mapped"/>
    <s v="User Not Mapped"/>
    <n v="356296"/>
    <s v="Sar  Ghar"/>
    <s v="Private Retailer"/>
    <s v="9932964212"/>
    <n v="2.34"/>
    <n v="48"/>
    <x v="1"/>
    <m/>
    <s v="2026-03-10"/>
    <s v="223817"/>
    <s v="National Supply Agency"/>
    <s v="9564505288"/>
  </r>
  <r>
    <s v="RCF Trombay"/>
    <s v="15-15-15"/>
    <s v="WB"/>
    <x v="0"/>
    <s v="Habra - II"/>
    <s v="User Not Mapped"/>
    <s v="User Not Mapped"/>
    <s v="User Not Mapped"/>
    <n v="356297"/>
    <s v="Sar  Ghar"/>
    <s v="Private Retailer"/>
    <s v="7001938344"/>
    <n v="3.4"/>
    <n v="192"/>
    <x v="3"/>
    <m/>
    <s v="2025-10-17"/>
    <s v="268815"/>
    <s v="Chitta Ranjan Dey"/>
    <s v="9434744870"/>
  </r>
  <r>
    <s v="RCF Trombay"/>
    <s v="N.C.Urea(45kg)"/>
    <s v="WB"/>
    <x v="0"/>
    <s v="Habra - II"/>
    <s v="User Not Mapped"/>
    <s v="User Not Mapped"/>
    <s v="User Not Mapped"/>
    <n v="411129"/>
    <s v="Shyamal Kr. Biswas"/>
    <s v="Private Retailer"/>
    <s v="9735753092"/>
    <n v="1.575"/>
    <n v="83"/>
    <x v="2"/>
    <m/>
    <s v="2026-02-03"/>
    <s v="268650"/>
    <s v="Barasat Krishi Bipani"/>
    <s v="8336087625"/>
  </r>
  <r>
    <s v="RCF Trombay"/>
    <s v="15-15-15"/>
    <s v="WB"/>
    <x v="0"/>
    <s v="Habra - II"/>
    <s v="User Not Mapped"/>
    <s v="User Not Mapped"/>
    <s v="User Not Mapped"/>
    <n v="411129"/>
    <s v="Shyamal Kr. Biswas"/>
    <s v="Private Retailer"/>
    <s v="9735753092"/>
    <n v="0.59799999999999998"/>
    <n v="83"/>
    <x v="2"/>
    <m/>
    <s v="2026-02-03"/>
    <s v="268650"/>
    <s v="Barasat Krishi Bipani"/>
    <s v="8336087625"/>
  </r>
  <r>
    <s v="RCF Thal"/>
    <s v="N.C.Urea(45kg)"/>
    <s v="WB"/>
    <x v="0"/>
    <s v="Habra - II"/>
    <s v="User Not Mapped"/>
    <s v="User Not Mapped"/>
    <s v="User Not Mapped"/>
    <n v="487652"/>
    <s v="Tarakeshwar Krishi Bhandar"/>
    <s v="Private Retailer"/>
    <s v="9732464657"/>
    <n v="0.54"/>
    <n v="70"/>
    <x v="2"/>
    <m/>
    <s v="2026-02-16"/>
    <s v="268650"/>
    <s v="Barasat Krishi Bipani"/>
    <s v="8336087625"/>
  </r>
  <r>
    <s v="RCF Thal"/>
    <s v="N.C.Urea(45kg)"/>
    <s v="WB"/>
    <x v="0"/>
    <s v="Habra - II"/>
    <s v="User Not Mapped"/>
    <s v="User Not Mapped"/>
    <s v="User Not Mapped"/>
    <n v="531469"/>
    <s v="M/S Najirul Krishi Bhander"/>
    <s v="Private Retailer"/>
    <s v="9564367266"/>
    <n v="8.5950000000000006"/>
    <n v="19"/>
    <x v="4"/>
    <m/>
    <s v="2026-04-08"/>
    <s v="281522"/>
    <s v="N.C. Das and Co."/>
    <s v="6297603863"/>
  </r>
  <r>
    <s v="RCF Import"/>
    <s v="Imp 10-26-26"/>
    <s v="WB"/>
    <x v="0"/>
    <s v="Habra - II"/>
    <s v="User Not Mapped"/>
    <s v="User Not Mapped"/>
    <s v="User Not Mapped"/>
    <n v="531469"/>
    <s v="M/S Najirul Krishi Bhander"/>
    <s v="Private Retailer"/>
    <s v="9564367266"/>
    <n v="2.25"/>
    <n v="51"/>
    <x v="1"/>
    <m/>
    <s v="2026-03-07"/>
    <s v="281522"/>
    <s v="N.C. Das and Co."/>
    <s v="6297603863"/>
  </r>
  <r>
    <s v="RCF Thal"/>
    <s v="N.C.Urea(45kg)"/>
    <s v="WB"/>
    <x v="0"/>
    <s v="Habra - II"/>
    <s v="User Not Mapped"/>
    <s v="User Not Mapped"/>
    <s v="User Not Mapped"/>
    <n v="593580"/>
    <s v="BHAI BHAI KRISHI BHANDER"/>
    <s v="Private Retailer"/>
    <s v="8001060053"/>
    <n v="3.69"/>
    <n v="44"/>
    <x v="1"/>
    <m/>
    <s v="2026-03-14"/>
    <s v="281511"/>
    <s v="Malakshmi Krishi Bhandar      "/>
    <s v="9800561868"/>
  </r>
  <r>
    <s v="RCF Trombay"/>
    <s v="15-15-15"/>
    <s v="WB"/>
    <x v="0"/>
    <s v="Habra - II"/>
    <s v="User Not Mapped"/>
    <s v="User Not Mapped"/>
    <s v="User Not Mapped"/>
    <n v="797254"/>
    <s v="JANAKALYAN KRISHI BHANDER"/>
    <s v="Private Retailer"/>
    <s v="9734349563"/>
    <n v="4.5"/>
    <n v="72"/>
    <x v="2"/>
    <m/>
    <s v="2026-02-14"/>
    <s v="281511"/>
    <s v="Malakshmi Krishi Bhandar      "/>
    <s v="9800561868"/>
  </r>
  <r>
    <s v="RCF Thal"/>
    <s v="N.C.Urea(45kg)"/>
    <s v="WB"/>
    <x v="0"/>
    <s v="Habra - II"/>
    <s v="User Not Mapped"/>
    <s v="User Not Mapped"/>
    <s v="User Not Mapped"/>
    <n v="931355"/>
    <s v="Rahaman Fertilizer"/>
    <s v="Private Retailer"/>
    <s v="7872102476"/>
    <n v="4.95"/>
    <n v="70"/>
    <x v="2"/>
    <m/>
    <s v="2026-02-16"/>
    <s v="268650"/>
    <s v="Barasat Krishi Bipani"/>
    <s v="8336087625"/>
  </r>
  <r>
    <s v="RCF Trombay"/>
    <s v="15-15-15"/>
    <s v="WB"/>
    <x v="0"/>
    <s v="Habra - II"/>
    <s v="User Not Mapped"/>
    <s v="User Not Mapped"/>
    <s v="User Not Mapped"/>
    <n v="931355"/>
    <s v="Rahaman Fertilizer"/>
    <s v="Private Retailer"/>
    <s v="7872102476"/>
    <n v="0.25"/>
    <n v="500"/>
    <x v="6"/>
    <m/>
    <s v="2024-12-13"/>
    <s v="281511"/>
    <s v="Malakshmi Krishi Bhandar      "/>
    <s v="9800561868"/>
  </r>
  <r>
    <s v="RCF Thal"/>
    <s v="N.C.Urea(45kg)"/>
    <s v="WB"/>
    <x v="0"/>
    <s v="Habra - II"/>
    <s v="User Not Mapped"/>
    <s v="User Not Mapped"/>
    <s v="User Not Mapped"/>
    <n v="958218"/>
    <s v="DAS KRISHI BHANDER"/>
    <s v="Private Retailer"/>
    <s v="9775265631"/>
    <n v="8.82"/>
    <n v="25"/>
    <x v="4"/>
    <m/>
    <s v="2026-04-02"/>
    <s v="223807"/>
    <s v="M.K. Chemical and Fertilizers"/>
    <s v="9051316329"/>
  </r>
  <r>
    <s v="RCF Trombay"/>
    <s v="15-15-15"/>
    <s v="WB"/>
    <x v="0"/>
    <s v="Habra - II"/>
    <s v="User Not Mapped"/>
    <s v="User Not Mapped"/>
    <s v="User Not Mapped"/>
    <n v="958218"/>
    <s v="DAS KRISHI BHANDER"/>
    <s v="Private Retailer"/>
    <s v="9775265631"/>
    <n v="1.1499999999999999"/>
    <n v="98"/>
    <x v="5"/>
    <m/>
    <s v="2026-01-19"/>
    <s v="281511"/>
    <s v="Malakshmi Krishi Bhandar      "/>
    <s v="9800561868"/>
  </r>
  <r>
    <s v="RCF Import"/>
    <s v="Imp 10-26-26"/>
    <s v="WB"/>
    <x v="0"/>
    <s v="Habra - II"/>
    <s v="User Not Mapped"/>
    <s v="User Not Mapped"/>
    <s v="User Not Mapped"/>
    <n v="958218"/>
    <s v="DAS KRISHI BHANDER"/>
    <s v="Private Retailer"/>
    <s v="9775265631"/>
    <n v="5.3"/>
    <n v="58"/>
    <x v="1"/>
    <m/>
    <s v="2026-02-28"/>
    <s v="281511"/>
    <s v="Malakshmi Krishi Bhandar      "/>
    <s v="9800561868"/>
  </r>
  <r>
    <s v="RCF Trombay"/>
    <s v="N.C.Urea(45kg)"/>
    <s v="WB"/>
    <x v="0"/>
    <s v="Habra - II"/>
    <s v="User Not Mapped"/>
    <s v="User Not Mapped"/>
    <s v="User Not Mapped"/>
    <n v="1018663"/>
    <s v="Lakshmi kata Mondal"/>
    <s v="Private Retailer"/>
    <s v="9564605306"/>
    <n v="0.315"/>
    <n v="98"/>
    <x v="5"/>
    <m/>
    <s v="2026-01-19"/>
    <s v="281511"/>
    <s v="Malakshmi Krishi Bhandar      "/>
    <s v="9800561868"/>
  </r>
  <r>
    <s v="RCF Trombay"/>
    <s v="15-15-15"/>
    <s v="WB"/>
    <x v="0"/>
    <s v="Habra - II"/>
    <s v="User Not Mapped"/>
    <s v="User Not Mapped"/>
    <s v="User Not Mapped"/>
    <n v="1018663"/>
    <s v="Lakshmi kata Mondal"/>
    <s v="Private Retailer"/>
    <s v="9564605306"/>
    <n v="1.25"/>
    <n v="98"/>
    <x v="5"/>
    <m/>
    <s v="2026-01-19"/>
    <s v="281511"/>
    <s v="Malakshmi Krishi Bhandar      "/>
    <s v="9800561868"/>
  </r>
  <r>
    <s v="RCF Import"/>
    <s v="Imp 10-26-26"/>
    <s v="WB"/>
    <x v="0"/>
    <s v="Habra - II"/>
    <s v="User Not Mapped"/>
    <s v="User Not Mapped"/>
    <s v="User Not Mapped"/>
    <n v="1219851"/>
    <s v="PAUL  FERTILIZER"/>
    <s v="Private Retailer"/>
    <s v="9932862633"/>
    <n v="1.7"/>
    <n v="62"/>
    <x v="2"/>
    <m/>
    <s v="2026-02-24"/>
    <s v="223807"/>
    <s v="M.K. Chemical and Fertilizers"/>
    <s v="9051316329"/>
  </r>
  <r>
    <s v="RCF Trombay"/>
    <s v="15-15-15"/>
    <s v="WB"/>
    <x v="0"/>
    <s v="Habra - II"/>
    <s v="User Not Mapped"/>
    <s v="User Not Mapped"/>
    <s v="User Not Mapped"/>
    <n v="1219851"/>
    <s v="PAUL  FERTILIZER"/>
    <s v="Private Retailer"/>
    <s v="9932862633"/>
    <n v="2.25"/>
    <n v="75"/>
    <x v="2"/>
    <m/>
    <s v="2026-02-11"/>
    <s v="223807"/>
    <s v="M.K. Chemical and Fertilizers"/>
    <s v="9051316329"/>
  </r>
  <r>
    <s v="RCF Thal"/>
    <s v="N.C.Urea(45kg)"/>
    <s v="WB"/>
    <x v="0"/>
    <s v="Habra - II"/>
    <s v="User Not Mapped"/>
    <s v="User Not Mapped"/>
    <s v="User Not Mapped"/>
    <n v="1219851"/>
    <s v="PAUL  FERTILIZER"/>
    <s v="Private Retailer"/>
    <s v="9932862633"/>
    <n v="6.21"/>
    <n v="46"/>
    <x v="1"/>
    <m/>
    <s v="2026-03-12"/>
    <s v="268815"/>
    <s v="Chitta Ranjan Dey"/>
    <s v="9434744870"/>
  </r>
  <r>
    <s v="RCF Thal"/>
    <s v="N.C.Urea(45kg)"/>
    <s v="WB"/>
    <x v="0"/>
    <s v="Habra - II"/>
    <s v="User Not Mapped"/>
    <s v="User Not Mapped"/>
    <s v="User Not Mapped"/>
    <n v="1223338"/>
    <s v="NEW SREEMA KRISHI BHANDER"/>
    <s v="Private Retailer"/>
    <s v="9339222080"/>
    <n v="2.5649999999999999"/>
    <n v="46"/>
    <x v="1"/>
    <m/>
    <s v="2026-03-12"/>
    <s v="268815"/>
    <s v="Chitta Ranjan Dey"/>
    <s v="9434744870"/>
  </r>
  <r>
    <s v="RCF Import"/>
    <s v="Imp 10-26-26"/>
    <s v="WB"/>
    <x v="0"/>
    <s v="Habra - II"/>
    <s v="User Not Mapped"/>
    <s v="User Not Mapped"/>
    <s v="User Not Mapped"/>
    <n v="1223338"/>
    <s v="NEW SREEMA KRISHI BHANDER"/>
    <s v="Private Retailer"/>
    <s v="9339222080"/>
    <n v="4.5"/>
    <n v="28"/>
    <x v="4"/>
    <m/>
    <s v="2026-03-30"/>
    <s v="268815"/>
    <s v="Chitta Ranjan Dey"/>
    <s v="9434744870"/>
  </r>
  <r>
    <s v="RCF Trombay"/>
    <s v="15-15-15"/>
    <s v="WB"/>
    <x v="0"/>
    <s v="Habra - II"/>
    <s v="User Not Mapped"/>
    <s v="User Not Mapped"/>
    <s v="User Not Mapped"/>
    <n v="1496625"/>
    <s v="JOY GURU KRISHI BHANDAR"/>
    <s v="Private Retailer"/>
    <s v="6297696296"/>
    <n v="3.35"/>
    <n v="75"/>
    <x v="2"/>
    <m/>
    <s v="2026-02-11"/>
    <s v="289634"/>
    <s v="Sankar Lal Saha"/>
    <s v="9830026138"/>
  </r>
  <r>
    <s v="RCF Trombay"/>
    <s v="N.C.Urea(45kg)"/>
    <s v="WB"/>
    <x v="0"/>
    <s v="Habra - II"/>
    <s v="User Not Mapped"/>
    <s v="User Not Mapped"/>
    <s v="User Not Mapped"/>
    <n v="1496625"/>
    <s v="JOY GURU KRISHI BHANDAR"/>
    <s v="Private Retailer"/>
    <s v="6297696296"/>
    <n v="8.19"/>
    <n v="46"/>
    <x v="1"/>
    <m/>
    <s v="2026-03-12"/>
    <s v="281522"/>
    <s v="N.C. Das and Co."/>
    <s v="6297603863"/>
  </r>
  <r>
    <s v="RCF Thal"/>
    <s v="N.C.Urea(45kg)"/>
    <s v="WB"/>
    <x v="0"/>
    <s v="Habra - II"/>
    <s v="User Not Mapped"/>
    <s v="User Not Mapped"/>
    <s v="User Not Mapped"/>
    <n v="1496625"/>
    <s v="JOY GURU KRISHI BHANDAR"/>
    <s v="Private Retailer"/>
    <s v="6297696296"/>
    <n v="9.36"/>
    <n v="25"/>
    <x v="4"/>
    <m/>
    <s v="2026-04-02"/>
    <s v="223807"/>
    <s v="M.K. Chemical and Fertilizers"/>
    <s v="9051316329"/>
  </r>
  <r>
    <s v="RCF Trombay"/>
    <s v="N.C.Urea(45kg)"/>
    <s v="WB"/>
    <x v="0"/>
    <s v="Habra - II"/>
    <s v="User Not Mapped"/>
    <s v="User Not Mapped"/>
    <s v="User Not Mapped"/>
    <n v="1599621"/>
    <s v="RAHAMAN KRISHI BHANDER"/>
    <s v="Private Retailer"/>
    <s v="8972018750"/>
    <n v="4.4999999999999998E-2"/>
    <n v="101"/>
    <x v="5"/>
    <m/>
    <s v="2026-01-16"/>
    <s v="281511"/>
    <s v="Malakshmi Krishi Bhandar      "/>
    <s v="9800561868"/>
  </r>
  <r>
    <s v="RCF Trombay"/>
    <s v="15-15-15"/>
    <s v="WB"/>
    <x v="0"/>
    <s v="Habra - II"/>
    <s v="User Not Mapped"/>
    <s v="User Not Mapped"/>
    <s v="User Not Mapped"/>
    <n v="1599621"/>
    <s v="RAHAMAN KRISHI BHANDER"/>
    <s v="Private Retailer"/>
    <s v="8972018750"/>
    <n v="0.25"/>
    <n v="75"/>
    <x v="2"/>
    <m/>
    <s v="2026-02-11"/>
    <s v="281511"/>
    <s v="Malakshmi Krishi Bhandar      "/>
    <s v="9800561868"/>
  </r>
  <r>
    <s v="RCF Trombay"/>
    <s v="N.C.Urea(45kg)"/>
    <s v="WB"/>
    <x v="0"/>
    <s v="Habra - II"/>
    <s v="User Not Mapped"/>
    <s v="User Not Mapped"/>
    <s v="User Not Mapped"/>
    <n v="1605258"/>
    <s v="S.S. KRISHI BHANDER"/>
    <s v="Private Retailer"/>
    <s v="9732789828"/>
    <n v="4.4999999999999998E-2"/>
    <n v="90"/>
    <x v="2"/>
    <m/>
    <s v="2026-01-27"/>
    <s v="1096194"/>
    <s v="Krishak Krishi Bhander"/>
    <s v="9734636496"/>
  </r>
  <r>
    <s v="RCF Trombay"/>
    <s v="15-15-15"/>
    <s v="WB"/>
    <x v="0"/>
    <s v="Habra - II"/>
    <s v="User Not Mapped"/>
    <s v="User Not Mapped"/>
    <s v="User Not Mapped"/>
    <n v="1605258"/>
    <s v="S.S. KRISHI BHANDER"/>
    <s v="Private Retailer"/>
    <s v="9732789828"/>
    <n v="0.35"/>
    <n v="56"/>
    <x v="1"/>
    <m/>
    <s v="2026-03-02"/>
    <s v="1096194"/>
    <s v="Krishak Krishi Bhander"/>
    <s v="9734636496"/>
  </r>
  <r>
    <s v="RCF Import"/>
    <s v="MOP"/>
    <s v="WB"/>
    <x v="0"/>
    <s v="Habra - II"/>
    <s v="User Not Mapped"/>
    <s v="User Not Mapped"/>
    <s v="User Not Mapped"/>
    <n v="1605258"/>
    <s v="S.S. KRISHI BHANDER"/>
    <s v="Private Retailer"/>
    <s v="9732789828"/>
    <n v="0.55000000000000004"/>
    <n v="56"/>
    <x v="1"/>
    <m/>
    <s v="2026-03-02"/>
    <s v="1096194"/>
    <s v="Krishak Krishi Bhander"/>
    <s v="9734636496"/>
  </r>
  <r>
    <s v="RCF Thal"/>
    <s v="N.C.Urea(45kg)"/>
    <s v="WB"/>
    <x v="0"/>
    <s v="Haroa"/>
    <s v="User Not Mapped"/>
    <s v="User Not Mapped"/>
    <s v="User Not Mapped"/>
    <n v="189320"/>
    <s v="Alauddin Molla"/>
    <s v="Private Retailer"/>
    <s v="9093810438"/>
    <n v="0.35299999999999998"/>
    <n v="255"/>
    <x v="3"/>
    <m/>
    <s v="2025-08-15"/>
    <s v="223807"/>
    <s v="M.K. Chemical and Fertilizers"/>
    <s v="9051316329"/>
  </r>
  <r>
    <s v="RCF Trombay"/>
    <s v="15-15-15"/>
    <s v="WB"/>
    <x v="0"/>
    <s v="Haroa"/>
    <s v="User Not Mapped"/>
    <s v="User Not Mapped"/>
    <s v="User Not Mapped"/>
    <n v="189324"/>
    <s v="Baban Krishi Bhander"/>
    <s v="Private Retailer"/>
    <s v="9734977535"/>
    <n v="0.24"/>
    <n v="875"/>
    <x v="7"/>
    <m/>
    <s v="2023-12-04"/>
    <s v="877418"/>
    <s v="TAPAN BISWAS"/>
    <s v="9733557901"/>
  </r>
  <r>
    <s v="RCF Thal"/>
    <s v="N.C.Urea(45kg)"/>
    <s v="WB"/>
    <x v="0"/>
    <s v="Haroa"/>
    <s v="User Not Mapped"/>
    <s v="User Not Mapped"/>
    <s v="User Not Mapped"/>
    <n v="189358"/>
    <s v="Md. Rafiqul Islam"/>
    <s v="Private Retailer"/>
    <s v="9144375854"/>
    <n v="1.4850000000000001"/>
    <n v="424"/>
    <x v="6"/>
    <m/>
    <s v="2025-02-27"/>
    <s v="877418"/>
    <s v="TAPAN BISWAS"/>
    <s v="9733557901"/>
  </r>
  <r>
    <s v="RCF Import"/>
    <s v="Imp 10-26-26"/>
    <s v="WB"/>
    <x v="0"/>
    <s v="Haroa"/>
    <s v="User Not Mapped"/>
    <s v="User Not Mapped"/>
    <s v="User Not Mapped"/>
    <n v="189358"/>
    <s v="Md. Rafiqul Islam"/>
    <s v="Private Retailer"/>
    <s v="9144375854"/>
    <n v="3.5"/>
    <n v="38"/>
    <x v="1"/>
    <m/>
    <s v="2026-03-20"/>
    <s v="281522"/>
    <s v="N.C. Das and Co."/>
    <s v="6297603863"/>
  </r>
  <r>
    <s v="RCF Trombay"/>
    <s v="15-15-15"/>
    <s v="WB"/>
    <x v="0"/>
    <s v="Haroa"/>
    <s v="User Not Mapped"/>
    <s v="User Not Mapped"/>
    <s v="User Not Mapped"/>
    <n v="189490"/>
    <s v="Sabuj Krishi Centre"/>
    <s v="Private Retailer"/>
    <s v="9732455564"/>
    <n v="0.6"/>
    <n v="332"/>
    <x v="3"/>
    <m/>
    <s v="2025-05-30"/>
    <s v="289635"/>
    <s v="Sarbaranjan Sadhukhan"/>
    <s v="7384683698"/>
  </r>
  <r>
    <s v="RCF Thal"/>
    <s v="N.C.Urea(45kg)"/>
    <s v="WB"/>
    <x v="0"/>
    <s v="Haroa"/>
    <s v="User Not Mapped"/>
    <s v="User Not Mapped"/>
    <s v="User Not Mapped"/>
    <n v="189508"/>
    <s v="Ziad Ali"/>
    <s v="Private Retailer"/>
    <s v="7699362631"/>
    <n v="4.4999999999999998E-2"/>
    <n v="142"/>
    <x v="0"/>
    <m/>
    <s v="2025-12-06"/>
    <s v="281522"/>
    <s v="N.C. Das and Co."/>
    <s v="6297603863"/>
  </r>
  <r>
    <s v="RCF Thal"/>
    <s v="N.C.Urea(45kg)"/>
    <s v="WB"/>
    <x v="0"/>
    <s v="Haroa"/>
    <s v="User Not Mapped"/>
    <s v="User Not Mapped"/>
    <s v="User Not Mapped"/>
    <n v="460111"/>
    <s v="ABDUL MAJID BAIDYA"/>
    <s v="Private Retailer"/>
    <s v="9932724496"/>
    <n v="1.125"/>
    <n v="202"/>
    <x v="3"/>
    <m/>
    <s v="2025-10-07"/>
    <s v="281522"/>
    <s v="N.C. Das and Co."/>
    <s v="6297603863"/>
  </r>
  <r>
    <s v="RCF Trombay"/>
    <s v="N.C.Urea(45kg)"/>
    <s v="WB"/>
    <x v="0"/>
    <s v="Haroa"/>
    <s v="User Not Mapped"/>
    <s v="User Not Mapped"/>
    <s v="User Not Mapped"/>
    <n v="644120"/>
    <s v="Md Bakhtiyar Ahmed"/>
    <s v="Private Retailer"/>
    <s v="9733502083"/>
    <n v="2.5649999999999999"/>
    <n v="245"/>
    <x v="3"/>
    <m/>
    <s v="2025-08-25"/>
    <s v="268815"/>
    <s v="Chitta Ranjan Dey"/>
    <s v="9434744870"/>
  </r>
  <r>
    <s v="RCF Trombay"/>
    <s v="15-15-15"/>
    <s v="WB"/>
    <x v="0"/>
    <s v="Haroa"/>
    <s v="User Not Mapped"/>
    <s v="User Not Mapped"/>
    <s v="User Not Mapped"/>
    <n v="768288"/>
    <s v="Priyotosh Sardar"/>
    <s v="Private Retailer"/>
    <s v="9775334295"/>
    <n v="2"/>
    <n v="61"/>
    <x v="2"/>
    <m/>
    <s v="2026-02-25"/>
    <s v="281511"/>
    <s v="Malakshmi Krishi Bhandar      "/>
    <s v="9800561868"/>
  </r>
  <r>
    <s v="RCF Trombay"/>
    <s v="N.C.Urea(45kg)"/>
    <s v="WB"/>
    <x v="0"/>
    <s v="Haroa"/>
    <s v="User Not Mapped"/>
    <s v="User Not Mapped"/>
    <s v="User Not Mapped"/>
    <n v="768288"/>
    <s v="Priyotosh Sardar"/>
    <s v="Private Retailer"/>
    <s v="9775334295"/>
    <n v="0.495"/>
    <n v="61"/>
    <x v="2"/>
    <m/>
    <s v="2026-02-25"/>
    <s v="281511"/>
    <s v="Malakshmi Krishi Bhandar      "/>
    <s v="9800561868"/>
  </r>
  <r>
    <s v="RCF Trombay"/>
    <s v="N.C.Urea(45kg)"/>
    <s v="WB"/>
    <x v="0"/>
    <s v="Haroa"/>
    <s v="User Not Mapped"/>
    <s v="User Not Mapped"/>
    <s v="User Not Mapped"/>
    <n v="932509"/>
    <s v="Paik krishi bhandar"/>
    <s v="Private Retailer"/>
    <s v="9775260282"/>
    <n v="2.7E-2"/>
    <n v="212"/>
    <x v="3"/>
    <m/>
    <s v="2025-09-27"/>
    <s v="223807"/>
    <s v="M.K. Chemical and Fertilizers"/>
    <s v="9051316329"/>
  </r>
  <r>
    <s v="RCF Thal"/>
    <s v="N.C.Urea(45kg)"/>
    <s v="WB"/>
    <x v="0"/>
    <s v="Haroa"/>
    <s v="User Not Mapped"/>
    <s v="User Not Mapped"/>
    <s v="User Not Mapped"/>
    <n v="1062352"/>
    <s v="Fajlul Islam"/>
    <s v="Private Retailer"/>
    <s v="8017892312"/>
    <n v="10.98"/>
    <n v="47"/>
    <x v="1"/>
    <m/>
    <s v="2026-03-11"/>
    <s v="223807"/>
    <s v="M.K. Chemical and Fertilizers"/>
    <s v="9051316329"/>
  </r>
  <r>
    <s v="RCF Thal"/>
    <s v="N.C.Urea(45kg)"/>
    <s v="WB"/>
    <x v="0"/>
    <s v="Haroa"/>
    <s v="User Not Mapped"/>
    <s v="User Not Mapped"/>
    <s v="User Not Mapped"/>
    <n v="1062352"/>
    <s v="Fajlul Islam"/>
    <s v="Private Retailer"/>
    <s v="8017892312"/>
    <n v="1.2150000000000001"/>
    <n v="152"/>
    <x v="0"/>
    <m/>
    <s v="2025-11-26"/>
    <s v="328651"/>
    <s v="Duttapukur Krishi Bipani"/>
    <s v="7890631908"/>
  </r>
  <r>
    <s v="RCF Thal"/>
    <s v="N.C.Urea(45kg)"/>
    <s v="WB"/>
    <x v="0"/>
    <s v="Haroa"/>
    <s v="User Not Mapped"/>
    <s v="User Not Mapped"/>
    <s v="User Not Mapped"/>
    <n v="1272714"/>
    <s v="M/S Rinku Krishi Bander"/>
    <s v="Private Retailer"/>
    <s v="9564472989"/>
    <n v="5.13"/>
    <n v="195"/>
    <x v="3"/>
    <m/>
    <s v="2025-10-14"/>
    <s v="779948"/>
    <s v="MAHIR ENTERPRISE"/>
    <s v="9735714968"/>
  </r>
  <r>
    <s v="RCF Trombay"/>
    <s v="15-15-15"/>
    <s v="WB"/>
    <x v="0"/>
    <s v="Haroa"/>
    <s v="User Not Mapped"/>
    <s v="User Not Mapped"/>
    <s v="User Not Mapped"/>
    <n v="1354320"/>
    <s v="SAMIM KRISHI CENTER"/>
    <s v="Private Retailer"/>
    <s v="9851410490"/>
    <n v="0.1"/>
    <n v="307"/>
    <x v="3"/>
    <m/>
    <s v="2025-06-24"/>
    <s v="289635"/>
    <s v="Sarbaranjan Sadhukhan"/>
    <s v="7384683698"/>
  </r>
  <r>
    <s v="RCF Thal"/>
    <s v="N.C.Urea(45kg)"/>
    <s v="WB"/>
    <x v="0"/>
    <s v="Haroa"/>
    <s v="User Not Mapped"/>
    <s v="User Not Mapped"/>
    <s v="User Not Mapped"/>
    <n v="1524823"/>
    <s v="M/S JANAPRIYA KRISHI BHANDAR"/>
    <s v="Private Retailer"/>
    <s v="8348595255"/>
    <n v="10.98"/>
    <n v="47"/>
    <x v="1"/>
    <m/>
    <s v="2026-03-11"/>
    <s v="223807"/>
    <s v="M.K. Chemical and Fertilizers"/>
    <s v="9051316329"/>
  </r>
  <r>
    <s v="RCF Import"/>
    <s v="MOP"/>
    <s v="WB"/>
    <x v="0"/>
    <s v="Hasnabad"/>
    <s v="User Not Mapped"/>
    <s v="User Not Mapped"/>
    <s v="User Not Mapped"/>
    <n v="226747"/>
    <s v="Kanika Pal"/>
    <s v="Private Retailer"/>
    <s v="9153055087"/>
    <n v="2"/>
    <n v="68"/>
    <x v="2"/>
    <m/>
    <s v="2026-02-18"/>
    <s v="281511"/>
    <s v="Malakshmi Krishi Bhandar      "/>
    <s v="9800561868"/>
  </r>
  <r>
    <s v="RCF Trombay"/>
    <s v="N.C.Urea(45kg)"/>
    <s v="WB"/>
    <x v="0"/>
    <s v="Hasnabad"/>
    <s v="User Not Mapped"/>
    <s v="User Not Mapped"/>
    <s v="User Not Mapped"/>
    <n v="226831"/>
    <s v="Md. Abder Molla"/>
    <s v="Private Retailer"/>
    <s v="9734612314"/>
    <n v="5.13"/>
    <n v="98"/>
    <x v="5"/>
    <m/>
    <s v="2026-01-19"/>
    <s v="281511"/>
    <s v="Malakshmi Krishi Bhandar      "/>
    <s v="9800561868"/>
  </r>
  <r>
    <s v="RCF Trombay"/>
    <s v="N.C.Urea(45kg)"/>
    <s v="WB"/>
    <x v="0"/>
    <s v="Hasnabad"/>
    <s v="User Not Mapped"/>
    <s v="User Not Mapped"/>
    <s v="User Not Mapped"/>
    <n v="300599"/>
    <s v="Kinkar Das"/>
    <s v="Private Retailer"/>
    <s v="9091389536"/>
    <n v="0.58499999999999996"/>
    <n v="149"/>
    <x v="0"/>
    <m/>
    <s v="2025-11-29"/>
    <s v="223807"/>
    <s v="M.K. Chemical and Fertilizers"/>
    <s v="9051316329"/>
  </r>
  <r>
    <s v="RCF Thal"/>
    <s v="N.C.Urea(45kg)"/>
    <s v="WB"/>
    <x v="0"/>
    <s v="Hasnabad"/>
    <s v="User Not Mapped"/>
    <s v="User Not Mapped"/>
    <s v="User Not Mapped"/>
    <n v="300601"/>
    <s v="Swapan Kumar Majumder"/>
    <s v="Private Retailer"/>
    <s v="9679008777"/>
    <n v="0.09"/>
    <n v="423"/>
    <x v="6"/>
    <m/>
    <s v="2025-02-28"/>
    <s v="281511"/>
    <s v="Malakshmi Krishi Bhandar      "/>
    <s v="9800561868"/>
  </r>
  <r>
    <s v="RCF Trombay"/>
    <s v="N.C.Urea(45kg)"/>
    <s v="WB"/>
    <x v="0"/>
    <s v="Hasnabad"/>
    <s v="User Not Mapped"/>
    <s v="User Not Mapped"/>
    <s v="User Not Mapped"/>
    <n v="300601"/>
    <s v="Swapan Kumar Majumder"/>
    <s v="Private Retailer"/>
    <s v="9679008777"/>
    <n v="0.60499999999999998"/>
    <n v="535"/>
    <x v="6"/>
    <m/>
    <s v="2024-11-08"/>
    <s v="668032"/>
    <s v="MAA KRISHI BIPONI"/>
    <s v="9564322993"/>
  </r>
  <r>
    <s v="RCF Thal"/>
    <s v="N.C.Urea(45kg)"/>
    <s v="WB"/>
    <x v="0"/>
    <s v="Hasnabad"/>
    <s v="User Not Mapped"/>
    <s v="User Not Mapped"/>
    <s v="User Not Mapped"/>
    <n v="632568"/>
    <s v="Abdul Chattar Mondal"/>
    <s v="Private Retailer"/>
    <s v="8350051413"/>
    <n v="0.09"/>
    <n v="1915"/>
    <x v="7"/>
    <m/>
    <s v="2021-01-28"/>
    <s v="668032"/>
    <s v="MAA KRISHI BIPONI"/>
    <s v="9564322993"/>
  </r>
  <r>
    <s v="RCF Trombay"/>
    <s v="15-15-15"/>
    <s v="WB"/>
    <x v="0"/>
    <s v="Hasnabad"/>
    <s v="User Not Mapped"/>
    <s v="User Not Mapped"/>
    <s v="User Not Mapped"/>
    <n v="632572"/>
    <s v="Tarak Das"/>
    <s v="Private Retailer"/>
    <s v="7431061379"/>
    <n v="0.5"/>
    <n v="2673"/>
    <x v="7"/>
    <m/>
    <s v="2019-01-01"/>
    <s v="11"/>
    <s v="Too Old Stock"/>
    <m/>
  </r>
  <r>
    <s v="RCF Trombay"/>
    <s v="N.C.Urea(45kg)"/>
    <s v="WB"/>
    <x v="0"/>
    <s v="Hasnabad"/>
    <s v="User Not Mapped"/>
    <s v="User Not Mapped"/>
    <s v="User Not Mapped"/>
    <n v="1591944"/>
    <s v="MONDAL KRISHI BHANDAR"/>
    <s v="Private Retailer"/>
    <s v="9091490735"/>
    <n v="6.5000000000000002E-2"/>
    <n v="98"/>
    <x v="5"/>
    <m/>
    <s v="2026-01-19"/>
    <s v="281511"/>
    <s v="Malakshmi Krishi Bhandar      "/>
    <s v="9800561868"/>
  </r>
  <r>
    <s v="RCF Trombay"/>
    <s v="N.C.Urea(45kg)"/>
    <s v="WB"/>
    <x v="0"/>
    <s v="Hingalganj"/>
    <s v="User Not Mapped"/>
    <s v="User Not Mapped"/>
    <s v="User Not Mapped"/>
    <n v="341414"/>
    <s v="Goutam Chakraborty"/>
    <s v="Private Retailer"/>
    <s v="9932527733"/>
    <n v="1.4850000000000001"/>
    <n v="204"/>
    <x v="3"/>
    <m/>
    <s v="2025-10-05"/>
    <s v="294884"/>
    <s v="M/S Uttam Kumar Dalal"/>
    <s v="9832231914"/>
  </r>
  <r>
    <s v="RCF Trombay"/>
    <s v="N.C.Urea(45kg)"/>
    <s v="WB"/>
    <x v="0"/>
    <s v="Hingalganj"/>
    <s v="User Not Mapped"/>
    <s v="User Not Mapped"/>
    <s v="User Not Mapped"/>
    <n v="549130"/>
    <s v="Debendra Krishi Bhandar"/>
    <s v="Private Retailer"/>
    <s v="8972295655"/>
    <n v="2.15"/>
    <n v="500"/>
    <x v="6"/>
    <m/>
    <s v="2024-12-13"/>
    <s v="601121"/>
    <s v="Sailendranath Mondal"/>
    <s v="9932826979"/>
  </r>
  <r>
    <s v="RCF Thal"/>
    <s v="N.C.Urea(45kg)"/>
    <s v="WB"/>
    <x v="0"/>
    <s v="Hingalganj"/>
    <s v="User Not Mapped"/>
    <s v="User Not Mapped"/>
    <s v="User Not Mapped"/>
    <n v="1478557"/>
    <s v="JAYDEV MONDAL"/>
    <s v="Private Retailer"/>
    <s v="7029279187"/>
    <n v="5.4"/>
    <n v="278"/>
    <x v="3"/>
    <m/>
    <s v="2025-07-23"/>
    <s v="281511"/>
    <s v="Malakshmi Krishi Bhandar      "/>
    <s v="9800561868"/>
  </r>
  <r>
    <s v="RCF Import"/>
    <s v="MOP"/>
    <s v="WB"/>
    <x v="0"/>
    <s v="Hingalganj"/>
    <s v="User Not Mapped"/>
    <s v="User Not Mapped"/>
    <s v="User Not Mapped"/>
    <n v="1478557"/>
    <s v="JAYDEV MONDAL"/>
    <s v="Private Retailer"/>
    <s v="7029279187"/>
    <n v="3.8"/>
    <n v="56"/>
    <x v="1"/>
    <m/>
    <s v="2026-03-02"/>
    <s v="281511"/>
    <s v="Malakshmi Krishi Bhandar      "/>
    <s v="9800561868"/>
  </r>
  <r>
    <s v="RCF Thal"/>
    <s v="N.C.Urea(45kg)"/>
    <s v="WB"/>
    <x v="0"/>
    <s v="Hingalganj"/>
    <s v="User Not Mapped"/>
    <s v="User Not Mapped"/>
    <s v="User Not Mapped"/>
    <n v="1478567"/>
    <s v="KAMALA FERTILISER"/>
    <s v="Private Retailer"/>
    <s v="7318852028"/>
    <n v="2.34"/>
    <n v="265"/>
    <x v="3"/>
    <m/>
    <s v="2025-08-05"/>
    <s v="281511"/>
    <s v="Malakshmi Krishi Bhandar      "/>
    <s v="9800561868"/>
  </r>
  <r>
    <s v="RCF Thal"/>
    <s v="N.C.Urea(45kg)"/>
    <s v="WB"/>
    <x v="0"/>
    <s v="Minakhan"/>
    <s v="User Not Mapped"/>
    <s v="User Not Mapped"/>
    <s v="User Not Mapped"/>
    <n v="226883"/>
    <s v="Modina Krishi Bhander"/>
    <s v="Private Retailer"/>
    <s v="9775063185"/>
    <n v="5.94"/>
    <n v="282"/>
    <x v="3"/>
    <m/>
    <s v="2025-07-19"/>
    <s v="223812"/>
    <s v="M/S. Shyma Krishi B"/>
    <s v="8617629886"/>
  </r>
  <r>
    <s v="RCF Trombay"/>
    <s v="N.C.Urea(45kg)"/>
    <s v="WB"/>
    <x v="0"/>
    <s v="Minakhan"/>
    <s v="User Not Mapped"/>
    <s v="User Not Mapped"/>
    <s v="User Not Mapped"/>
    <n v="227235"/>
    <s v="Sundarban Krishi Bipani"/>
    <s v="Private Retailer"/>
    <s v="9732661925"/>
    <n v="2.61"/>
    <n v="506"/>
    <x v="6"/>
    <m/>
    <s v="2024-12-07"/>
    <s v="281522"/>
    <s v="N.C. Das and Co."/>
    <s v="6297603863"/>
  </r>
  <r>
    <s v="RCF Trombay"/>
    <s v="15-15-15"/>
    <s v="WB"/>
    <x v="0"/>
    <s v="Minakhan"/>
    <s v="User Not Mapped"/>
    <s v="User Not Mapped"/>
    <s v="User Not Mapped"/>
    <n v="227235"/>
    <s v="Sundarban Krishi Bipani"/>
    <s v="Private Retailer"/>
    <s v="9732661925"/>
    <n v="0.29499999999999998"/>
    <n v="451"/>
    <x v="6"/>
    <m/>
    <s v="2025-01-31"/>
    <s v="223807"/>
    <s v="M.K. Chemical and Fertilizers"/>
    <s v="9051316329"/>
  </r>
  <r>
    <s v="RCF Thal"/>
    <s v="N.C.Urea(45kg)"/>
    <s v="WB"/>
    <x v="0"/>
    <s v="Minakhan"/>
    <s v="User Not Mapped"/>
    <s v="User Not Mapped"/>
    <s v="User Not Mapped"/>
    <n v="382782"/>
    <s v="Abul Kasham Tarafdur"/>
    <s v="Private Retailer"/>
    <s v="9733885160"/>
    <n v="3.915"/>
    <n v="457"/>
    <x v="6"/>
    <m/>
    <s v="2025-01-25"/>
    <s v="223812"/>
    <s v="M/S. Shyma Krishi B"/>
    <s v="8617629886"/>
  </r>
  <r>
    <s v="RCF Trombay"/>
    <s v="N.C.Urea(45kg)"/>
    <s v="WB"/>
    <x v="0"/>
    <s v="Minakhan"/>
    <s v="User Not Mapped"/>
    <s v="User Not Mapped"/>
    <s v="User Not Mapped"/>
    <n v="382782"/>
    <s v="Abul Kasham Tarafdur"/>
    <s v="Private Retailer"/>
    <s v="9733885160"/>
    <n v="0.61499999999999999"/>
    <n v="1948"/>
    <x v="7"/>
    <m/>
    <s v="2020-12-26"/>
    <s v="328651"/>
    <s v="Duttapukur Krishi Bipani"/>
    <s v="7890631908"/>
  </r>
  <r>
    <s v="RCF Import"/>
    <s v="MOP"/>
    <s v="WB"/>
    <x v="0"/>
    <s v="Minakhan"/>
    <s v="User Not Mapped"/>
    <s v="User Not Mapped"/>
    <s v="User Not Mapped"/>
    <n v="994360"/>
    <s v="M/S MAA KRISHI BHANDAR"/>
    <s v="Private Retailer"/>
    <s v="8670748829"/>
    <n v="6.6"/>
    <n v="58"/>
    <x v="1"/>
    <m/>
    <s v="2026-02-28"/>
    <s v="281522"/>
    <s v="N.C. Das and Co."/>
    <s v="6297603863"/>
  </r>
  <r>
    <s v="RCF Thal"/>
    <s v="N.C.Urea(45kg)"/>
    <s v="WB"/>
    <x v="0"/>
    <s v="Minakhan"/>
    <s v="User Not Mapped"/>
    <s v="User Not Mapped"/>
    <s v="User Not Mapped"/>
    <n v="994360"/>
    <s v="M/S MAA KRISHI BHANDAR"/>
    <s v="Private Retailer"/>
    <s v="8670748829"/>
    <n v="11.925000000000001"/>
    <n v="67"/>
    <x v="2"/>
    <m/>
    <s v="2026-02-19"/>
    <s v="281522"/>
    <s v="N.C. Das and Co."/>
    <s v="6297603863"/>
  </r>
  <r>
    <s v="RCF Thal"/>
    <s v="N.C.Urea(45kg)"/>
    <s v="WB"/>
    <x v="0"/>
    <s v="Sandeshkhali - I"/>
    <s v="User Not Mapped"/>
    <s v="User Not Mapped"/>
    <s v="User Not Mapped"/>
    <n v="227007"/>
    <s v="M/S Sundarban Krishi Bipani"/>
    <s v="Private Retailer"/>
    <s v="9002391465"/>
    <n v="21.96"/>
    <n v="46"/>
    <x v="1"/>
    <m/>
    <s v="2026-03-12"/>
    <s v="281522"/>
    <s v="N.C. Das and Co."/>
    <s v="6297603863"/>
  </r>
  <r>
    <s v="RCF Thal"/>
    <s v="N.C.Urea(45kg)"/>
    <s v="WB"/>
    <x v="0"/>
    <s v="Sandeshkhali - I"/>
    <s v="User Not Mapped"/>
    <s v="User Not Mapped"/>
    <s v="User Not Mapped"/>
    <n v="227007"/>
    <s v="M/S Sundarban Krishi Bipani"/>
    <s v="Private Retailer"/>
    <s v="9002391465"/>
    <n v="10.17"/>
    <n v="74"/>
    <x v="2"/>
    <m/>
    <s v="2026-02-12"/>
    <s v="281522"/>
    <s v="N.C. Das and Co."/>
    <s v="6297603863"/>
  </r>
  <r>
    <s v="RCF Import"/>
    <s v="MOP"/>
    <s v="WB"/>
    <x v="0"/>
    <s v="Sandeshkhali - I"/>
    <s v="User Not Mapped"/>
    <s v="User Not Mapped"/>
    <s v="User Not Mapped"/>
    <n v="227007"/>
    <s v="M/S Sundarban Krishi Bipani"/>
    <s v="Private Retailer"/>
    <s v="9002391465"/>
    <n v="10.65"/>
    <n v="63"/>
    <x v="2"/>
    <m/>
    <s v="2026-02-23"/>
    <s v="281522"/>
    <s v="N.C. Das and Co."/>
    <s v="6297603863"/>
  </r>
  <r>
    <s v="RCF Trombay"/>
    <s v="N.C.Urea(45kg)"/>
    <s v="WB"/>
    <x v="0"/>
    <s v="Sandeshkhali - I"/>
    <s v="User Not Mapped"/>
    <s v="User Not Mapped"/>
    <s v="User Not Mapped"/>
    <n v="227145"/>
    <s v="Sailendra Nath Mondal"/>
    <s v="Private Retailer"/>
    <s v="9932826979"/>
    <n v="3.42"/>
    <n v="216"/>
    <x v="3"/>
    <m/>
    <s v="2025-09-23"/>
    <s v="281511"/>
    <s v="Malakshmi Krishi Bhandar      "/>
    <s v="9800561868"/>
  </r>
  <r>
    <s v="RCF Trombay"/>
    <s v="N.C.Urea(45kg)"/>
    <s v="WB"/>
    <x v="0"/>
    <s v="Sandeshkhali - I"/>
    <s v="User Not Mapped"/>
    <s v="User Not Mapped"/>
    <s v="User Not Mapped"/>
    <n v="227145"/>
    <s v="Sailendra Nath Mondal"/>
    <s v="Private Retailer"/>
    <s v="9932826979"/>
    <n v="10.98"/>
    <n v="100"/>
    <x v="5"/>
    <m/>
    <s v="2026-01-17"/>
    <s v="281511"/>
    <s v="Malakshmi Krishi Bhandar      "/>
    <s v="9800561868"/>
  </r>
  <r>
    <s v="RCF Import"/>
    <s v="MOP"/>
    <s v="WB"/>
    <x v="0"/>
    <s v="Sandeshkhali - I"/>
    <s v="User Not Mapped"/>
    <s v="User Not Mapped"/>
    <s v="User Not Mapped"/>
    <n v="227145"/>
    <s v="Sailendra Nath Mondal"/>
    <s v="Private Retailer"/>
    <s v="9932826979"/>
    <n v="11"/>
    <n v="68"/>
    <x v="2"/>
    <m/>
    <s v="2026-02-18"/>
    <s v="281511"/>
    <s v="Malakshmi Krishi Bhandar      "/>
    <s v="9800561868"/>
  </r>
  <r>
    <s v="RCF Thal"/>
    <s v="N.C.Urea(45kg)"/>
    <s v="WB"/>
    <x v="0"/>
    <s v="Sandeshkhali - I"/>
    <s v="User Not Mapped"/>
    <s v="User Not Mapped"/>
    <s v="User Not Mapped"/>
    <n v="227145"/>
    <s v="Sailendra Nath Mondal"/>
    <s v="Private Retailer"/>
    <s v="9932826979"/>
    <n v="10.98"/>
    <n v="75"/>
    <x v="2"/>
    <m/>
    <s v="2026-02-11"/>
    <s v="281511"/>
    <s v="Malakshmi Krishi Bhandar      "/>
    <s v="9800561868"/>
  </r>
  <r>
    <s v="RCF Import"/>
    <s v="Imp 10-26-26"/>
    <s v="WB"/>
    <x v="0"/>
    <s v="Sandeshkhali - I"/>
    <s v="User Not Mapped"/>
    <s v="User Not Mapped"/>
    <s v="User Not Mapped"/>
    <n v="227145"/>
    <s v="Sailendra Nath Mondal"/>
    <s v="Private Retailer"/>
    <s v="9932826979"/>
    <n v="11"/>
    <n v="56"/>
    <x v="1"/>
    <m/>
    <s v="2026-03-02"/>
    <s v="281511"/>
    <s v="Malakshmi Krishi Bhandar      "/>
    <s v="9800561868"/>
  </r>
  <r>
    <s v="RCF Thal"/>
    <s v="N.C.Urea(45kg)"/>
    <s v="WB"/>
    <x v="0"/>
    <s v="Sandeshkhali - I"/>
    <s v="User Not Mapped"/>
    <s v="User Not Mapped"/>
    <s v="User Not Mapped"/>
    <n v="227160"/>
    <s v="Sankar Ghosh"/>
    <s v="Private Retailer"/>
    <s v="9733617560"/>
    <n v="5.49"/>
    <n v="47"/>
    <x v="1"/>
    <m/>
    <s v="2026-03-11"/>
    <s v="223807"/>
    <s v="M.K. Chemical and Fertilizers"/>
    <s v="9051316329"/>
  </r>
  <r>
    <s v="RCF Thal"/>
    <s v="N.C.Urea(45kg)"/>
    <s v="WB"/>
    <x v="0"/>
    <s v="Sandeshkhali - I"/>
    <s v="User Not Mapped"/>
    <s v="User Not Mapped"/>
    <s v="User Not Mapped"/>
    <n v="227236"/>
    <s v="Sunilkumar Ghosh"/>
    <s v="Private Retailer"/>
    <s v="9800480451"/>
    <n v="5.4450000000000003"/>
    <n v="47"/>
    <x v="1"/>
    <m/>
    <s v="2026-03-11"/>
    <s v="289634"/>
    <s v="Sankar Lal Saha"/>
    <s v="9830026138"/>
  </r>
  <r>
    <s v="RCF Trombay"/>
    <s v="N.C.Urea(45kg)"/>
    <s v="WB"/>
    <x v="0"/>
    <s v="Sandeshkhali - I"/>
    <s v="User Not Mapped"/>
    <s v="User Not Mapped"/>
    <s v="User Not Mapped"/>
    <n v="227245"/>
    <s v="Swapan Kumar Dafadar"/>
    <s v="Private Retailer"/>
    <s v="9153200762"/>
    <n v="1.71"/>
    <n v="126"/>
    <x v="0"/>
    <m/>
    <s v="2025-12-22"/>
    <s v="281511"/>
    <s v="Malakshmi Krishi Bhandar      "/>
    <s v="9800561868"/>
  </r>
  <r>
    <s v="RCF Thal"/>
    <s v="N.C.Urea(45kg)"/>
    <s v="WB"/>
    <x v="0"/>
    <s v="Sandeshkhali - I"/>
    <s v="User Not Mapped"/>
    <s v="User Not Mapped"/>
    <s v="User Not Mapped"/>
    <n v="1633780"/>
    <s v="DAFADAR KRISHI CENTER"/>
    <s v="Private Retailer"/>
    <s v="8001155708"/>
    <n v="7.0549999999999997"/>
    <n v="19"/>
    <x v="4"/>
    <m/>
    <s v="2026-04-08"/>
    <s v="281511"/>
    <s v="Malakshmi Krishi Bhandar      "/>
    <s v="9800561868"/>
  </r>
  <r>
    <s v="RCF Import"/>
    <s v="MOP"/>
    <s v="WB"/>
    <x v="0"/>
    <s v="Sandeshkhali - I"/>
    <s v="User Not Mapped"/>
    <s v="User Not Mapped"/>
    <s v="User Not Mapped"/>
    <n v="1633780"/>
    <s v="DAFADAR KRISHI CENTER"/>
    <s v="Private Retailer"/>
    <s v="8001155708"/>
    <n v="2.0739999999999998"/>
    <n v="35"/>
    <x v="1"/>
    <m/>
    <s v="2026-03-23"/>
    <s v="281511"/>
    <s v="Malakshmi Krishi Bhandar      "/>
    <s v="9800561868"/>
  </r>
  <r>
    <s v="RCF Trombay"/>
    <s v="N.C.Urea(45kg)"/>
    <s v="WB"/>
    <x v="0"/>
    <s v="Sandeshkhali - II"/>
    <s v="User Not Mapped"/>
    <s v="User Not Mapped"/>
    <s v="User Not Mapped"/>
    <n v="226824"/>
    <s v="Manobendraodas"/>
    <s v="Private Retailer"/>
    <s v="9732623913"/>
    <n v="0.67500000000000004"/>
    <n v="204"/>
    <x v="3"/>
    <m/>
    <s v="2025-10-05"/>
    <s v="294884"/>
    <s v="M/S Uttam Kumar Dalal"/>
    <s v="9832231914"/>
  </r>
  <r>
    <s v="RCF Trombay"/>
    <s v="N.C.Urea(45kg)"/>
    <s v="WB"/>
    <x v="0"/>
    <s v="Sandeshkhali - II"/>
    <s v="User Not Mapped"/>
    <s v="User Not Mapped"/>
    <s v="User Not Mapped"/>
    <n v="227109"/>
    <s v="Ray Krishi Bhandar"/>
    <s v="Private Retailer"/>
    <s v="9635322422"/>
    <n v="0.45"/>
    <n v="817"/>
    <x v="7"/>
    <m/>
    <s v="2024-01-31"/>
    <s v="877418"/>
    <s v="TAPAN BISWAS"/>
    <s v="9733557901"/>
  </r>
  <r>
    <s v="RCF Trombay"/>
    <s v="15-15-15"/>
    <s v="WB"/>
    <x v="0"/>
    <s v="Swarupnagar"/>
    <s v="User Not Mapped"/>
    <s v="User Not Mapped"/>
    <s v="User Not Mapped"/>
    <n v="226436"/>
    <s v="Abdul Karim Gazi"/>
    <s v="Private Retailer"/>
    <s v="9734611490"/>
    <n v="4.5999999999999996"/>
    <n v="73"/>
    <x v="2"/>
    <m/>
    <s v="2026-02-13"/>
    <s v="268815"/>
    <s v="Chitta Ranjan Dey"/>
    <s v="9434744870"/>
  </r>
  <r>
    <s v="RCF Trombay"/>
    <s v="N.C.Urea(45kg)"/>
    <s v="WB"/>
    <x v="0"/>
    <s v="Swarupnagar"/>
    <s v="User Not Mapped"/>
    <s v="User Not Mapped"/>
    <s v="User Not Mapped"/>
    <n v="226436"/>
    <s v="Abdul Karim Gazi"/>
    <s v="Private Retailer"/>
    <s v="9734611490"/>
    <n v="4.1399999999999997"/>
    <n v="73"/>
    <x v="2"/>
    <m/>
    <s v="2026-02-13"/>
    <s v="268815"/>
    <s v="Chitta Ranjan Dey"/>
    <s v="9434744870"/>
  </r>
  <r>
    <s v="RCF Thal"/>
    <s v="N.C.Urea(45kg)"/>
    <s v="WB"/>
    <x v="0"/>
    <s v="Swarupnagar"/>
    <s v="User Not Mapped"/>
    <s v="User Not Mapped"/>
    <s v="User Not Mapped"/>
    <n v="226456"/>
    <s v="Afiruddin Par"/>
    <s v="Private Retailer"/>
    <s v="8609678132"/>
    <n v="5.04"/>
    <n v="39"/>
    <x v="1"/>
    <m/>
    <s v="2026-03-19"/>
    <s v="281522"/>
    <s v="N.C. Das and Co."/>
    <s v="6297603863"/>
  </r>
  <r>
    <s v="RCF Trombay"/>
    <s v="N.C.Urea(45kg)"/>
    <s v="WB"/>
    <x v="0"/>
    <s v="Swarupnagar"/>
    <s v="User Not Mapped"/>
    <s v="User Not Mapped"/>
    <s v="User Not Mapped"/>
    <n v="226456"/>
    <s v="Afiruddin Par"/>
    <s v="Private Retailer"/>
    <s v="8609678132"/>
    <n v="2.97"/>
    <n v="72"/>
    <x v="2"/>
    <m/>
    <s v="2026-02-14"/>
    <s v="281511"/>
    <s v="Malakshmi Krishi Bhandar      "/>
    <s v="9800561868"/>
  </r>
  <r>
    <s v="RCF Trombay"/>
    <s v="15-15-15"/>
    <s v="WB"/>
    <x v="0"/>
    <s v="Swarupnagar"/>
    <s v="User Not Mapped"/>
    <s v="User Not Mapped"/>
    <s v="User Not Mapped"/>
    <n v="226474"/>
    <s v="Akram Ali Sardar"/>
    <s v="Private Retailer"/>
    <s v="8343830707"/>
    <n v="2.7"/>
    <n v="73"/>
    <x v="2"/>
    <m/>
    <s v="2026-02-13"/>
    <s v="268815"/>
    <s v="Chitta Ranjan Dey"/>
    <s v="9434744870"/>
  </r>
  <r>
    <s v="RCF Import"/>
    <s v="MOP"/>
    <s v="WB"/>
    <x v="0"/>
    <s v="Swarupnagar"/>
    <s v="User Not Mapped"/>
    <s v="User Not Mapped"/>
    <s v="User Not Mapped"/>
    <n v="226513"/>
    <s v="Arvinda Ghosh"/>
    <s v="Private Retailer"/>
    <s v="9733491362"/>
    <n v="5.5"/>
    <n v="68"/>
    <x v="2"/>
    <m/>
    <s v="2026-02-18"/>
    <s v="1048909"/>
    <s v="B K ROY AND COMPANY"/>
    <s v="9734516484"/>
  </r>
  <r>
    <s v="RCF Import"/>
    <s v="MOP"/>
    <s v="WB"/>
    <x v="0"/>
    <s v="Swarupnagar"/>
    <s v="User Not Mapped"/>
    <s v="User Not Mapped"/>
    <s v="User Not Mapped"/>
    <n v="226565"/>
    <s v="Bikash Ch. Mondal"/>
    <s v="Private Retailer"/>
    <s v="9732862545"/>
    <n v="5"/>
    <n v="62"/>
    <x v="2"/>
    <m/>
    <s v="2026-02-24"/>
    <s v="268815"/>
    <s v="Chitta Ranjan Dey"/>
    <s v="9434744870"/>
  </r>
  <r>
    <s v="RCF Import"/>
    <s v="Imp 10-26-26"/>
    <s v="WB"/>
    <x v="0"/>
    <s v="Swarupnagar"/>
    <s v="User Not Mapped"/>
    <s v="User Not Mapped"/>
    <s v="User Not Mapped"/>
    <n v="226565"/>
    <s v="Bikash Ch. Mondal"/>
    <s v="Private Retailer"/>
    <s v="9732862545"/>
    <n v="3.6"/>
    <n v="28"/>
    <x v="4"/>
    <m/>
    <s v="2026-03-30"/>
    <s v="268815"/>
    <s v="Chitta Ranjan Dey"/>
    <s v="9434744870"/>
  </r>
  <r>
    <s v="RCF Trombay"/>
    <s v="15-15-15"/>
    <s v="WB"/>
    <x v="0"/>
    <s v="Swarupnagar"/>
    <s v="User Not Mapped"/>
    <s v="User Not Mapped"/>
    <s v="User Not Mapped"/>
    <n v="226581"/>
    <s v="Biswanath Mondal"/>
    <s v="Private Retailer"/>
    <s v="9378028184"/>
    <n v="1.85"/>
    <n v="99"/>
    <x v="5"/>
    <m/>
    <s v="2026-01-18"/>
    <s v="223812"/>
    <s v="M/S. Shyma Krishi B"/>
    <s v="8617629886"/>
  </r>
  <r>
    <s v="RCF Thal"/>
    <s v="N.C.Urea(45kg)"/>
    <s v="WB"/>
    <x v="0"/>
    <s v="Swarupnagar"/>
    <s v="User Not Mapped"/>
    <s v="User Not Mapped"/>
    <s v="User Not Mapped"/>
    <n v="226661"/>
    <s v="Ghosh Krishi Bhandar"/>
    <s v="Private Retailer"/>
    <s v="7001298554"/>
    <n v="4.3650000000000002"/>
    <n v="45"/>
    <x v="1"/>
    <m/>
    <s v="2026-03-13"/>
    <s v="268815"/>
    <s v="Chitta Ranjan Dey"/>
    <s v="9434744870"/>
  </r>
  <r>
    <s v="RCF Thal"/>
    <s v="N.C.Urea(45kg)"/>
    <s v="WB"/>
    <x v="0"/>
    <s v="Swarupnagar"/>
    <s v="User Not Mapped"/>
    <s v="User Not Mapped"/>
    <s v="User Not Mapped"/>
    <n v="226661"/>
    <s v="Ghosh Krishi Bhandar"/>
    <s v="Private Retailer"/>
    <s v="7001298554"/>
    <n v="3.2850000000000001"/>
    <n v="20"/>
    <x v="4"/>
    <m/>
    <s v="2026-04-07"/>
    <s v="281522"/>
    <s v="N.C. Das and Co."/>
    <s v="6297603863"/>
  </r>
  <r>
    <s v="RCF Trombay"/>
    <s v="15-15-15"/>
    <s v="WB"/>
    <x v="0"/>
    <s v="Swarupnagar"/>
    <s v="User Not Mapped"/>
    <s v="User Not Mapped"/>
    <s v="User Not Mapped"/>
    <n v="226661"/>
    <s v="Ghosh Krishi Bhandar"/>
    <s v="Private Retailer"/>
    <s v="7001298554"/>
    <n v="5.25"/>
    <n v="99"/>
    <x v="5"/>
    <m/>
    <s v="2026-01-18"/>
    <s v="268815"/>
    <s v="Chitta Ranjan Dey"/>
    <s v="9434744870"/>
  </r>
  <r>
    <s v="RCF Trombay"/>
    <s v="N.C.Urea(45kg)"/>
    <s v="WB"/>
    <x v="0"/>
    <s v="Swarupnagar"/>
    <s v="User Not Mapped"/>
    <s v="User Not Mapped"/>
    <s v="User Not Mapped"/>
    <n v="226661"/>
    <s v="Ghosh Krishi Bhandar"/>
    <s v="Private Retailer"/>
    <s v="7001298554"/>
    <n v="1.35"/>
    <n v="76"/>
    <x v="2"/>
    <m/>
    <s v="2026-02-10"/>
    <s v="405249"/>
    <s v="Saha Krishi Bhandar"/>
    <s v="9734801636"/>
  </r>
  <r>
    <s v="RCF Trombay"/>
    <s v="15-15-15"/>
    <s v="WB"/>
    <x v="0"/>
    <s v="Swarupnagar"/>
    <s v="User Not Mapped"/>
    <s v="User Not Mapped"/>
    <s v="User Not Mapped"/>
    <n v="226664"/>
    <s v="Giarul Islam Biswas"/>
    <s v="Private Retailer"/>
    <s v="9732276830"/>
    <n v="0.25"/>
    <n v="97"/>
    <x v="5"/>
    <m/>
    <s v="2026-01-20"/>
    <s v="405249"/>
    <s v="Saha Krishi Bhandar"/>
    <s v="9734801636"/>
  </r>
  <r>
    <s v="RCF Import"/>
    <s v="MOP"/>
    <s v="WB"/>
    <x v="0"/>
    <s v="Swarupnagar"/>
    <s v="User Not Mapped"/>
    <s v="User Not Mapped"/>
    <s v="User Not Mapped"/>
    <n v="226664"/>
    <s v="Giarul Islam Biswas"/>
    <s v="Private Retailer"/>
    <s v="9732276830"/>
    <n v="0.5"/>
    <n v="54"/>
    <x v="1"/>
    <m/>
    <s v="2026-03-04"/>
    <s v="505050"/>
    <s v="M/S Abesh Dutta"/>
    <s v="7063115250"/>
  </r>
  <r>
    <s v="RCF Import"/>
    <s v="Imp 10-26-26"/>
    <s v="WB"/>
    <x v="0"/>
    <s v="Swarupnagar"/>
    <s v="User Not Mapped"/>
    <s v="User Not Mapped"/>
    <s v="User Not Mapped"/>
    <n v="226677"/>
    <s v="Goutam Das"/>
    <s v="Private Retailer"/>
    <s v="9800796736"/>
    <n v="5.5"/>
    <n v="28"/>
    <x v="4"/>
    <m/>
    <s v="2026-03-30"/>
    <s v="268815"/>
    <s v="Chitta Ranjan Dey"/>
    <s v="9434744870"/>
  </r>
  <r>
    <s v="RCF Thal"/>
    <s v="N.C.Urea(45kg)"/>
    <s v="WB"/>
    <x v="0"/>
    <s v="Swarupnagar"/>
    <s v="User Not Mapped"/>
    <s v="User Not Mapped"/>
    <s v="User Not Mapped"/>
    <n v="226677"/>
    <s v="Goutam Das"/>
    <s v="Private Retailer"/>
    <s v="9800796736"/>
    <n v="9"/>
    <n v="76"/>
    <x v="2"/>
    <m/>
    <s v="2026-02-10"/>
    <s v="268815"/>
    <s v="Chitta Ranjan Dey"/>
    <s v="9434744870"/>
  </r>
  <r>
    <s v="RCF Import"/>
    <s v="MOP"/>
    <s v="WB"/>
    <x v="0"/>
    <s v="Swarupnagar"/>
    <s v="User Not Mapped"/>
    <s v="User Not Mapped"/>
    <s v="User Not Mapped"/>
    <n v="226677"/>
    <s v="Goutam Das"/>
    <s v="Private Retailer"/>
    <s v="9800796736"/>
    <n v="4.8"/>
    <n v="62"/>
    <x v="2"/>
    <m/>
    <s v="2026-02-24"/>
    <s v="268815"/>
    <s v="Chitta Ranjan Dey"/>
    <s v="9434744870"/>
  </r>
  <r>
    <s v="RCF Trombay"/>
    <s v="15-15-15"/>
    <s v="WB"/>
    <x v="0"/>
    <s v="Swarupnagar"/>
    <s v="User Not Mapped"/>
    <s v="User Not Mapped"/>
    <s v="User Not Mapped"/>
    <n v="226677"/>
    <s v="Goutam Das"/>
    <s v="Private Retailer"/>
    <s v="9800796736"/>
    <n v="5"/>
    <n v="100"/>
    <x v="5"/>
    <m/>
    <s v="2026-01-17"/>
    <s v="268815"/>
    <s v="Chitta Ranjan Dey"/>
    <s v="9434744870"/>
  </r>
  <r>
    <s v="RCF Thal"/>
    <s v="N.C.Urea(45kg)"/>
    <s v="WB"/>
    <x v="0"/>
    <s v="Swarupnagar"/>
    <s v="User Not Mapped"/>
    <s v="User Not Mapped"/>
    <s v="User Not Mapped"/>
    <n v="226730"/>
    <s v="Jiban Krishna Sarkar"/>
    <s v="Private Retailer"/>
    <s v="9593112636"/>
    <n v="0.09"/>
    <n v="75"/>
    <x v="2"/>
    <m/>
    <s v="2026-02-11"/>
    <s v="281511"/>
    <s v="Malakshmi Krishi Bhandar      "/>
    <s v="9800561868"/>
  </r>
  <r>
    <s v="RCF Trombay"/>
    <s v="15-15-15"/>
    <s v="WB"/>
    <x v="0"/>
    <s v="Swarupnagar"/>
    <s v="User Not Mapped"/>
    <s v="User Not Mapped"/>
    <s v="User Not Mapped"/>
    <n v="226737"/>
    <s v="Kalan Dholi"/>
    <s v="Private Retailer"/>
    <s v="9153510156"/>
    <n v="2"/>
    <n v="99"/>
    <x v="5"/>
    <m/>
    <s v="2026-01-18"/>
    <s v="505050"/>
    <s v="M/S Abesh Dutta"/>
    <s v="7063115250"/>
  </r>
  <r>
    <s v="RCF Trombay"/>
    <s v="15-15-15"/>
    <s v="WB"/>
    <x v="0"/>
    <s v="Swarupnagar"/>
    <s v="User Not Mapped"/>
    <s v="User Not Mapped"/>
    <s v="User Not Mapped"/>
    <n v="226746"/>
    <s v="Kanchan Krishi Bhandar "/>
    <s v="Private Retailer"/>
    <s v="9735424159"/>
    <n v="2.75"/>
    <n v="131"/>
    <x v="0"/>
    <m/>
    <s v="2025-12-17"/>
    <s v="281511"/>
    <s v="Malakshmi Krishi Bhandar      "/>
    <s v="9800561868"/>
  </r>
  <r>
    <s v="RCF Import"/>
    <s v="MOP"/>
    <s v="WB"/>
    <x v="0"/>
    <s v="Swarupnagar"/>
    <s v="User Not Mapped"/>
    <s v="User Not Mapped"/>
    <s v="User Not Mapped"/>
    <n v="226798"/>
    <s v="Madhu Sudan Roy"/>
    <s v="Private Retailer"/>
    <s v="9800559335"/>
    <n v="1"/>
    <n v="28"/>
    <x v="4"/>
    <m/>
    <s v="2026-03-30"/>
    <s v="505050"/>
    <s v="M/S Abesh Dutta"/>
    <s v="7063115250"/>
  </r>
  <r>
    <s v="RCF Trombay"/>
    <s v="15-15-15"/>
    <s v="WB"/>
    <x v="0"/>
    <s v="Swarupnagar"/>
    <s v="User Not Mapped"/>
    <s v="User Not Mapped"/>
    <s v="User Not Mapped"/>
    <n v="226846"/>
    <s v="Md.Anarul Islam Sardar"/>
    <s v="Private Retailer"/>
    <s v="9732412137"/>
    <n v="0.25"/>
    <n v="69"/>
    <x v="2"/>
    <m/>
    <s v="2026-02-17"/>
    <s v="505050"/>
    <s v="M/S Abesh Dutta"/>
    <s v="7063115250"/>
  </r>
  <r>
    <s v="RCF Trombay"/>
    <s v="15-15-15"/>
    <s v="WB"/>
    <x v="0"/>
    <s v="Swarupnagar"/>
    <s v="User Not Mapped"/>
    <s v="User Not Mapped"/>
    <s v="User Not Mapped"/>
    <n v="227016"/>
    <s v="Mufti Krishi Bhander"/>
    <s v="Private Retailer"/>
    <s v="9734256423"/>
    <n v="1.54"/>
    <n v="352"/>
    <x v="3"/>
    <m/>
    <s v="2025-05-10"/>
    <s v="268815"/>
    <s v="Chitta Ranjan Dey"/>
    <s v="9434744870"/>
  </r>
  <r>
    <s v="RCF Thal"/>
    <s v="N.C.Urea(45kg)"/>
    <s v="WB"/>
    <x v="0"/>
    <s v="Swarupnagar"/>
    <s v="User Not Mapped"/>
    <s v="User Not Mapped"/>
    <s v="User Not Mapped"/>
    <n v="227016"/>
    <s v="Mufti Krishi Bhander"/>
    <s v="Private Retailer"/>
    <s v="9734256423"/>
    <n v="2.2050000000000001"/>
    <n v="534"/>
    <x v="6"/>
    <m/>
    <s v="2024-11-09"/>
    <s v="268815"/>
    <s v="Chitta Ranjan Dey"/>
    <s v="9434744870"/>
  </r>
  <r>
    <s v="RCF Trombay"/>
    <s v="N.C.Urea(45kg)"/>
    <s v="WB"/>
    <x v="0"/>
    <s v="Swarupnagar"/>
    <s v="User Not Mapped"/>
    <s v="User Not Mapped"/>
    <s v="User Not Mapped"/>
    <n v="227016"/>
    <s v="Mufti Krishi Bhander"/>
    <s v="Private Retailer"/>
    <s v="9734256423"/>
    <n v="7.1999999999999995E-2"/>
    <n v="1476"/>
    <x v="7"/>
    <m/>
    <s v="2022-04-12"/>
    <s v="223812"/>
    <s v="M/S. Shyma Krishi B"/>
    <s v="8617629886"/>
  </r>
  <r>
    <s v="RCF Import"/>
    <s v="Imp 10-26-26"/>
    <s v="WB"/>
    <x v="0"/>
    <s v="Swarupnagar"/>
    <s v="User Not Mapped"/>
    <s v="User Not Mapped"/>
    <s v="User Not Mapped"/>
    <n v="227016"/>
    <s v="Mufti Krishi Bhander"/>
    <s v="Private Retailer"/>
    <s v="9734256423"/>
    <n v="0.2"/>
    <n v="791"/>
    <x v="7"/>
    <m/>
    <s v="2024-02-26"/>
    <s v="505050"/>
    <s v="M/S Abesh Dutta"/>
    <s v="7063115250"/>
  </r>
  <r>
    <s v="RCF Import"/>
    <s v="MOP"/>
    <s v="WB"/>
    <x v="0"/>
    <s v="Swarupnagar"/>
    <s v="User Not Mapped"/>
    <s v="User Not Mapped"/>
    <s v="User Not Mapped"/>
    <n v="227033"/>
    <s v="Nazrul Islam Mondal"/>
    <s v="Private Retailer"/>
    <s v="7548021266"/>
    <n v="1.1499999999999999"/>
    <n v="54"/>
    <x v="1"/>
    <m/>
    <s v="2026-03-04"/>
    <s v="497600"/>
    <s v="Samar Nath Sana"/>
    <s v="9563062387"/>
  </r>
  <r>
    <s v="RCF Import"/>
    <s v="MOP"/>
    <s v="WB"/>
    <x v="0"/>
    <s v="Swarupnagar"/>
    <s v="User Not Mapped"/>
    <s v="User Not Mapped"/>
    <s v="User Not Mapped"/>
    <n v="227073"/>
    <s v="Prakash Chandra Sarkar"/>
    <s v="Private Retailer"/>
    <s v="9002094102"/>
    <n v="0.75"/>
    <n v="432"/>
    <x v="6"/>
    <m/>
    <s v="2025-02-19"/>
    <s v="505050"/>
    <s v="M/S Abesh Dutta"/>
    <s v="7063115250"/>
  </r>
  <r>
    <s v="RCF Trombay"/>
    <s v="N.C.Urea(45kg)"/>
    <s v="WB"/>
    <x v="0"/>
    <s v="Swarupnagar"/>
    <s v="User Not Mapped"/>
    <s v="User Not Mapped"/>
    <s v="User Not Mapped"/>
    <n v="227073"/>
    <s v="Prakash Chandra Sarkar"/>
    <s v="Private Retailer"/>
    <s v="9002094102"/>
    <n v="2.7"/>
    <n v="99"/>
    <x v="5"/>
    <m/>
    <s v="2026-01-18"/>
    <s v="223812"/>
    <s v="M/S. Shyma Krishi B"/>
    <s v="8617629886"/>
  </r>
  <r>
    <s v="RCF Thal"/>
    <s v="N.C.Urea(45kg)"/>
    <s v="WB"/>
    <x v="0"/>
    <s v="Swarupnagar"/>
    <s v="User Not Mapped"/>
    <s v="User Not Mapped"/>
    <s v="User Not Mapped"/>
    <n v="227082"/>
    <s v="Puspendu Bachar"/>
    <s v="Private Retailer"/>
    <s v="6294297161"/>
    <n v="0.54"/>
    <n v="180"/>
    <x v="0"/>
    <m/>
    <s v="2025-10-29"/>
    <s v="405249"/>
    <s v="Saha Krishi Bhandar"/>
    <s v="9734801636"/>
  </r>
  <r>
    <s v="RCF Trombay"/>
    <s v="15-15-15"/>
    <s v="WB"/>
    <x v="0"/>
    <s v="Swarupnagar"/>
    <s v="User Not Mapped"/>
    <s v="User Not Mapped"/>
    <s v="User Not Mapped"/>
    <n v="227085"/>
    <s v="Rabindra Nath Sarkar"/>
    <s v="Private Retailer"/>
    <s v="9734578137"/>
    <n v="0.8"/>
    <n v="149"/>
    <x v="0"/>
    <m/>
    <s v="2025-11-29"/>
    <s v="1048909"/>
    <s v="B K ROY AND COMPANY"/>
    <s v="9734516484"/>
  </r>
  <r>
    <s v="RCF Trombay"/>
    <s v="15-15-15"/>
    <s v="WB"/>
    <x v="0"/>
    <s v="Swarupnagar"/>
    <s v="User Not Mapped"/>
    <s v="User Not Mapped"/>
    <s v="User Not Mapped"/>
    <n v="227108"/>
    <s v="Rexona Krishi Bhandar"/>
    <s v="Private Retailer"/>
    <s v="9609225352"/>
    <n v="2.8"/>
    <n v="99"/>
    <x v="5"/>
    <m/>
    <s v="2026-01-18"/>
    <s v="505050"/>
    <s v="M/S Abesh Dutta"/>
    <s v="7063115250"/>
  </r>
  <r>
    <s v="RCF Thal"/>
    <s v="N.C.Urea(45kg)"/>
    <s v="WB"/>
    <x v="0"/>
    <s v="Swarupnagar"/>
    <s v="User Not Mapped"/>
    <s v="User Not Mapped"/>
    <s v="User Not Mapped"/>
    <n v="227156"/>
    <s v="Samser Ali Mondal"/>
    <s v="Private Retailer"/>
    <s v="9775241159"/>
    <n v="5.4450000000000003"/>
    <n v="73"/>
    <x v="2"/>
    <m/>
    <s v="2026-02-13"/>
    <s v="268815"/>
    <s v="Chitta Ranjan Dey"/>
    <s v="9434744870"/>
  </r>
  <r>
    <s v="RCF Trombay"/>
    <s v="15-15-15"/>
    <s v="WB"/>
    <x v="0"/>
    <s v="Swarupnagar"/>
    <s v="User Not Mapped"/>
    <s v="User Not Mapped"/>
    <s v="User Not Mapped"/>
    <n v="227167"/>
    <s v="Saradha Krishi Bhandar"/>
    <s v="Private Retailer"/>
    <s v="9749783563"/>
    <n v="1.25"/>
    <n v="99"/>
    <x v="5"/>
    <m/>
    <s v="2026-01-18"/>
    <s v="223812"/>
    <s v="M/S. Shyma Krishi B"/>
    <s v="8617629886"/>
  </r>
  <r>
    <s v="RCF Trombay"/>
    <s v="15-15-15"/>
    <s v="WB"/>
    <x v="0"/>
    <s v="Swarupnagar"/>
    <s v="User Not Mapped"/>
    <s v="User Not Mapped"/>
    <s v="User Not Mapped"/>
    <n v="227167"/>
    <s v="Saradha Krishi Bhandar"/>
    <s v="Private Retailer"/>
    <s v="9749783563"/>
    <n v="2"/>
    <n v="99"/>
    <x v="5"/>
    <m/>
    <s v="2026-01-18"/>
    <s v="505050"/>
    <s v="M/S Abesh Dutta"/>
    <s v="7063115250"/>
  </r>
  <r>
    <s v="RCF Thal"/>
    <s v="N.C.Urea(45kg)"/>
    <s v="WB"/>
    <x v="0"/>
    <s v="Swarupnagar"/>
    <s v="User Not Mapped"/>
    <s v="User Not Mapped"/>
    <s v="User Not Mapped"/>
    <n v="227185"/>
    <s v="Seikh Abul Hohossain"/>
    <s v="Private Retailer"/>
    <s v="9732722084"/>
    <n v="4.1399999999999997"/>
    <n v="73"/>
    <x v="2"/>
    <m/>
    <s v="2026-02-13"/>
    <s v="268815"/>
    <s v="Chitta Ranjan Dey"/>
    <s v="9434744870"/>
  </r>
  <r>
    <s v="RCF Thal"/>
    <s v="N.C.Urea(45kg)"/>
    <s v="WB"/>
    <x v="0"/>
    <s v="Swarupnagar"/>
    <s v="User Not Mapped"/>
    <s v="User Not Mapped"/>
    <s v="User Not Mapped"/>
    <n v="227209"/>
    <s v="Sohajohan Molla"/>
    <s v="Private Retailer"/>
    <s v="9647278097"/>
    <n v="4.41"/>
    <n v="127"/>
    <x v="0"/>
    <m/>
    <s v="2025-12-21"/>
    <s v="268815"/>
    <s v="Chitta Ranjan Dey"/>
    <s v="9434744870"/>
  </r>
  <r>
    <s v="RCF Thal"/>
    <s v="N.C.Urea(45kg)"/>
    <s v="WB"/>
    <x v="0"/>
    <s v="Swarupnagar"/>
    <s v="User Not Mapped"/>
    <s v="User Not Mapped"/>
    <s v="User Not Mapped"/>
    <n v="227209"/>
    <s v="Sohajohan Molla"/>
    <s v="Private Retailer"/>
    <s v="9647278097"/>
    <n v="5.49"/>
    <n v="45"/>
    <x v="1"/>
    <m/>
    <s v="2026-03-13"/>
    <s v="268815"/>
    <s v="Chitta Ranjan Dey"/>
    <s v="9434744870"/>
  </r>
  <r>
    <s v="RCF Import"/>
    <s v="MOP"/>
    <s v="WB"/>
    <x v="0"/>
    <s v="Swarupnagar"/>
    <s v="User Not Mapped"/>
    <s v="User Not Mapped"/>
    <s v="User Not Mapped"/>
    <n v="227209"/>
    <s v="Sohajohan Molla"/>
    <s v="Private Retailer"/>
    <s v="9647278097"/>
    <n v="3"/>
    <n v="50"/>
    <x v="1"/>
    <m/>
    <s v="2026-03-08"/>
    <s v="1052457"/>
    <s v="Supriyo Das"/>
    <s v="9564048050"/>
  </r>
  <r>
    <s v="RCF Import"/>
    <s v="MOP"/>
    <s v="WB"/>
    <x v="0"/>
    <s v="Swarupnagar"/>
    <s v="User Not Mapped"/>
    <s v="User Not Mapped"/>
    <s v="User Not Mapped"/>
    <n v="227237"/>
    <s v="Sunity Kr.Sarkar"/>
    <s v="Private Retailer"/>
    <s v="9733707910"/>
    <n v="5.5"/>
    <n v="62"/>
    <x v="2"/>
    <m/>
    <s v="2026-02-24"/>
    <s v="268815"/>
    <s v="Chitta Ranjan Dey"/>
    <s v="9434744870"/>
  </r>
  <r>
    <s v="RCF Trombay"/>
    <s v="15-15-15"/>
    <s v="WB"/>
    <x v="0"/>
    <s v="Swarupnagar"/>
    <s v="User Not Mapped"/>
    <s v="User Not Mapped"/>
    <s v="User Not Mapped"/>
    <n v="227237"/>
    <s v="Sunity Kr.Sarkar"/>
    <s v="Private Retailer"/>
    <s v="9733707910"/>
    <n v="1.1499999999999999"/>
    <n v="73"/>
    <x v="2"/>
    <m/>
    <s v="2026-02-13"/>
    <s v="268815"/>
    <s v="Chitta Ranjan Dey"/>
    <s v="9434744870"/>
  </r>
  <r>
    <s v="RCF Import"/>
    <s v="Imp 10-26-26"/>
    <s v="WB"/>
    <x v="0"/>
    <s v="Swarupnagar"/>
    <s v="User Not Mapped"/>
    <s v="User Not Mapped"/>
    <s v="User Not Mapped"/>
    <n v="227237"/>
    <s v="Sunity Kr.Sarkar"/>
    <s v="Private Retailer"/>
    <s v="9733707910"/>
    <n v="5.5"/>
    <n v="28"/>
    <x v="4"/>
    <m/>
    <s v="2026-03-30"/>
    <s v="268815"/>
    <s v="Chitta Ranjan Dey"/>
    <s v="9434744870"/>
  </r>
  <r>
    <s v="RCF Thal"/>
    <s v="N.C.Urea(45kg)"/>
    <s v="WB"/>
    <x v="0"/>
    <s v="Swarupnagar"/>
    <s v="User Not Mapped"/>
    <s v="User Not Mapped"/>
    <s v="User Not Mapped"/>
    <n v="227237"/>
    <s v="Sunity Kr.Sarkar"/>
    <s v="Private Retailer"/>
    <s v="9733707910"/>
    <n v="8.9550000000000001"/>
    <n v="46"/>
    <x v="1"/>
    <m/>
    <s v="2026-03-12"/>
    <s v="268815"/>
    <s v="Chitta Ranjan Dey"/>
    <s v="9434744870"/>
  </r>
  <r>
    <s v="RCF Trombay"/>
    <s v="15-15-15"/>
    <s v="WB"/>
    <x v="0"/>
    <s v="Swarupnagar"/>
    <s v="User Not Mapped"/>
    <s v="User Not Mapped"/>
    <s v="User Not Mapped"/>
    <n v="227275"/>
    <s v="Unique Krishi Bhandar"/>
    <s v="Private Retailer"/>
    <s v="9647008003"/>
    <n v="0.85"/>
    <n v="99"/>
    <x v="5"/>
    <m/>
    <s v="2026-01-18"/>
    <s v="223812"/>
    <s v="M/S. Shyma Krishi B"/>
    <s v="8617629886"/>
  </r>
  <r>
    <s v="RCF Trombay"/>
    <s v="N.C.Urea(45kg)"/>
    <s v="WB"/>
    <x v="0"/>
    <s v="Swarupnagar"/>
    <s v="User Not Mapped"/>
    <s v="User Not Mapped"/>
    <s v="User Not Mapped"/>
    <n v="227275"/>
    <s v="Unique Krishi Bhandar"/>
    <s v="Private Retailer"/>
    <s v="9647008003"/>
    <n v="1.9550000000000001"/>
    <n v="99"/>
    <x v="5"/>
    <m/>
    <s v="2026-01-18"/>
    <s v="223812"/>
    <s v="M/S. Shyma Krishi B"/>
    <s v="8617629886"/>
  </r>
  <r>
    <s v="RCF Import"/>
    <s v="MOP"/>
    <s v="WB"/>
    <x v="0"/>
    <s v="Swarupnagar"/>
    <s v="User Not Mapped"/>
    <s v="User Not Mapped"/>
    <s v="User Not Mapped"/>
    <n v="227275"/>
    <s v="Unique Krishi Bhandar"/>
    <s v="Private Retailer"/>
    <s v="9647008003"/>
    <n v="1"/>
    <n v="54"/>
    <x v="1"/>
    <m/>
    <s v="2026-03-04"/>
    <s v="505050"/>
    <s v="M/S Abesh Dutta"/>
    <s v="7063115250"/>
  </r>
  <r>
    <s v="RCF Trombay"/>
    <s v="15-15-15"/>
    <s v="WB"/>
    <x v="0"/>
    <s v="Swarupnagar"/>
    <s v="User Not Mapped"/>
    <s v="User Not Mapped"/>
    <s v="User Not Mapped"/>
    <n v="270826"/>
    <s v="Shyamal Kr Das"/>
    <s v="Private Retailer"/>
    <s v="9641696061"/>
    <n v="1.6"/>
    <n v="99"/>
    <x v="5"/>
    <m/>
    <s v="2026-01-18"/>
    <s v="223812"/>
    <s v="M/S. Shyma Krishi B"/>
    <s v="8617629886"/>
  </r>
  <r>
    <s v="RCF Trombay"/>
    <s v="15-15-15"/>
    <s v="WB"/>
    <x v="0"/>
    <s v="Swarupnagar"/>
    <s v="User Not Mapped"/>
    <s v="User Not Mapped"/>
    <s v="User Not Mapped"/>
    <n v="270826"/>
    <s v="Shyamal Kr Das"/>
    <s v="Private Retailer"/>
    <s v="9641696061"/>
    <n v="0.5"/>
    <n v="69"/>
    <x v="2"/>
    <m/>
    <s v="2026-02-17"/>
    <s v="505050"/>
    <s v="M/S Abesh Dutta"/>
    <s v="7063115250"/>
  </r>
  <r>
    <s v="RCF Trombay"/>
    <s v="15-15-15"/>
    <s v="WB"/>
    <x v="0"/>
    <s v="Swarupnagar"/>
    <s v="User Not Mapped"/>
    <s v="User Not Mapped"/>
    <s v="User Not Mapped"/>
    <n v="270842"/>
    <s v="Sukumar Ghosh"/>
    <s v="Private Retailer"/>
    <s v="9064703815"/>
    <n v="0.15"/>
    <n v="167"/>
    <x v="0"/>
    <m/>
    <s v="2025-11-11"/>
    <s v="281511"/>
    <s v="Malakshmi Krishi Bhandar      "/>
    <s v="9800561868"/>
  </r>
  <r>
    <s v="RCF Import"/>
    <s v="MOP"/>
    <s v="WB"/>
    <x v="0"/>
    <s v="Swarupnagar"/>
    <s v="User Not Mapped"/>
    <s v="User Not Mapped"/>
    <s v="User Not Mapped"/>
    <n v="270842"/>
    <s v="Sukumar Ghosh"/>
    <s v="Private Retailer"/>
    <s v="9064703815"/>
    <n v="4.9000000000000004"/>
    <n v="68"/>
    <x v="2"/>
    <m/>
    <s v="2026-02-18"/>
    <s v="281511"/>
    <s v="Malakshmi Krishi Bhandar      "/>
    <s v="9800561868"/>
  </r>
  <r>
    <s v="RCF Trombay"/>
    <s v="15-15-15"/>
    <s v="WB"/>
    <x v="0"/>
    <s v="Swarupnagar"/>
    <s v="User Not Mapped"/>
    <s v="User Not Mapped"/>
    <s v="User Not Mapped"/>
    <n v="270845"/>
    <s v="Sumaia Fertilizers"/>
    <s v="Private Retailer"/>
    <s v="8001310087"/>
    <n v="0.35"/>
    <n v="552"/>
    <x v="7"/>
    <m/>
    <s v="2024-10-22"/>
    <s v="663871"/>
    <s v="Sonali Enterprise"/>
    <s v="8250035491"/>
  </r>
  <r>
    <s v="RCF Import"/>
    <s v="MOP"/>
    <s v="WB"/>
    <x v="0"/>
    <s v="Swarupnagar"/>
    <s v="User Not Mapped"/>
    <s v="User Not Mapped"/>
    <s v="User Not Mapped"/>
    <n v="270850"/>
    <s v="Swapan Kr Das"/>
    <s v="Private Retailer"/>
    <s v="9641601818"/>
    <n v="4.25"/>
    <n v="62"/>
    <x v="2"/>
    <m/>
    <s v="2026-02-24"/>
    <s v="268815"/>
    <s v="Chitta Ranjan Dey"/>
    <s v="9434744870"/>
  </r>
  <r>
    <s v="RCF Thal"/>
    <s v="N.C.Urea(45kg)"/>
    <s v="WB"/>
    <x v="0"/>
    <s v="Swarupnagar"/>
    <s v="User Not Mapped"/>
    <s v="User Not Mapped"/>
    <s v="User Not Mapped"/>
    <n v="323633"/>
    <s v="Kinkar Mondal"/>
    <s v="Private Retailer"/>
    <s v="9641828349"/>
    <n v="5.49"/>
    <n v="38"/>
    <x v="1"/>
    <m/>
    <s v="2026-03-20"/>
    <s v="268815"/>
    <s v="Chitta Ranjan Dey"/>
    <s v="9434744870"/>
  </r>
  <r>
    <s v="RCF Thal"/>
    <s v="N.C.Urea(45kg)"/>
    <s v="WB"/>
    <x v="0"/>
    <s v="Swarupnagar"/>
    <s v="User Not Mapped"/>
    <s v="User Not Mapped"/>
    <s v="User Not Mapped"/>
    <n v="331133"/>
    <s v="Abu Taleb Mondal"/>
    <s v="Private Retailer"/>
    <s v="9734308951"/>
    <n v="3.5550000000000002"/>
    <n v="45"/>
    <x v="1"/>
    <m/>
    <s v="2026-03-13"/>
    <s v="268815"/>
    <s v="Chitta Ranjan Dey"/>
    <s v="9434744870"/>
  </r>
  <r>
    <s v="RCF Trombay"/>
    <s v="15-15-15"/>
    <s v="WB"/>
    <x v="0"/>
    <s v="Swarupnagar"/>
    <s v="User Not Mapped"/>
    <s v="User Not Mapped"/>
    <s v="User Not Mapped"/>
    <n v="331479"/>
    <s v="Md Bhadra Ali Mondal"/>
    <s v="Private Retailer"/>
    <s v="9733946263"/>
    <n v="0.35"/>
    <n v="91"/>
    <x v="5"/>
    <m/>
    <s v="2026-01-26"/>
    <s v="281522"/>
    <s v="N.C. Das and Co."/>
    <s v="6297603863"/>
  </r>
  <r>
    <s v="RCF Thal"/>
    <s v="N.C.Urea(45kg)"/>
    <s v="WB"/>
    <x v="0"/>
    <s v="Swarupnagar"/>
    <s v="User Not Mapped"/>
    <s v="User Not Mapped"/>
    <s v="User Not Mapped"/>
    <n v="331484"/>
    <s v="Md Jahan Ali Molla"/>
    <s v="Private Retailer"/>
    <s v="9609347826"/>
    <n v="4.6100000000000003"/>
    <n v="534"/>
    <x v="6"/>
    <m/>
    <s v="2024-11-09"/>
    <s v="268815"/>
    <s v="Chitta Ranjan Dey"/>
    <s v="9434744870"/>
  </r>
  <r>
    <s v="RCF Trombay"/>
    <s v="15-15-15"/>
    <s v="WB"/>
    <x v="0"/>
    <s v="Swarupnagar"/>
    <s v="User Not Mapped"/>
    <s v="User Not Mapped"/>
    <s v="User Not Mapped"/>
    <n v="331484"/>
    <s v="Md Jahan Ali Molla"/>
    <s v="Private Retailer"/>
    <s v="9609347826"/>
    <n v="0.95"/>
    <n v="522"/>
    <x v="6"/>
    <m/>
    <s v="2024-11-21"/>
    <s v="268815"/>
    <s v="Chitta Ranjan Dey"/>
    <s v="9434744870"/>
  </r>
  <r>
    <s v="RCF Trombay"/>
    <s v="15-15-15"/>
    <s v="WB"/>
    <x v="0"/>
    <s v="Swarupnagar"/>
    <s v="User Not Mapped"/>
    <s v="User Not Mapped"/>
    <s v="User Not Mapped"/>
    <n v="331767"/>
    <s v="Nemai Chandra Mondal"/>
    <s v="Private Retailer"/>
    <s v="8641926274"/>
    <n v="2"/>
    <n v="99"/>
    <x v="5"/>
    <m/>
    <s v="2026-01-18"/>
    <s v="505050"/>
    <s v="M/S Abesh Dutta"/>
    <s v="7063115250"/>
  </r>
  <r>
    <s v="RCF Thal"/>
    <s v="N.C.Urea(45kg)"/>
    <s v="WB"/>
    <x v="0"/>
    <s v="Swarupnagar"/>
    <s v="User Not Mapped"/>
    <s v="User Not Mapped"/>
    <s v="User Not Mapped"/>
    <n v="331767"/>
    <s v="Nemai Chandra Mondal"/>
    <s v="Private Retailer"/>
    <s v="8641926274"/>
    <n v="8.2349999999999994"/>
    <n v="43"/>
    <x v="1"/>
    <m/>
    <s v="2026-03-15"/>
    <s v="281511"/>
    <s v="Malakshmi Krishi Bhandar      "/>
    <s v="9800561868"/>
  </r>
  <r>
    <s v="RCF Import"/>
    <s v="MOP"/>
    <s v="WB"/>
    <x v="0"/>
    <s v="Swarupnagar"/>
    <s v="User Not Mapped"/>
    <s v="User Not Mapped"/>
    <s v="User Not Mapped"/>
    <n v="331767"/>
    <s v="Nemai Chandra Mondal"/>
    <s v="Private Retailer"/>
    <s v="8641926274"/>
    <n v="1.5"/>
    <n v="54"/>
    <x v="1"/>
    <m/>
    <s v="2026-03-04"/>
    <s v="505050"/>
    <s v="M/S Abesh Dutta"/>
    <s v="7063115250"/>
  </r>
  <r>
    <s v="RCF Trombay"/>
    <s v="N.C.Urea(45kg)"/>
    <s v="WB"/>
    <x v="0"/>
    <s v="Swarupnagar"/>
    <s v="User Not Mapped"/>
    <s v="User Not Mapped"/>
    <s v="User Not Mapped"/>
    <n v="331849"/>
    <s v="Rabiul Sardar"/>
    <s v="Private Retailer"/>
    <s v="8768669811"/>
    <n v="0.09"/>
    <n v="1180"/>
    <x v="7"/>
    <m/>
    <s v="2023-02-02"/>
    <s v="281522"/>
    <s v="N.C. Das and Co."/>
    <s v="6297603863"/>
  </r>
  <r>
    <s v="RCF Trombay"/>
    <s v="15-15-15"/>
    <s v="WB"/>
    <x v="0"/>
    <s v="Swarupnagar"/>
    <s v="User Not Mapped"/>
    <s v="User Not Mapped"/>
    <s v="User Not Mapped"/>
    <n v="331869"/>
    <s v="Ramesh Chendra Halder"/>
    <s v="Private Retailer"/>
    <s v="9734025977"/>
    <n v="2.25"/>
    <n v="71"/>
    <x v="2"/>
    <m/>
    <s v="2026-02-15"/>
    <s v="505050"/>
    <s v="M/S Abesh Dutta"/>
    <s v="7063115250"/>
  </r>
  <r>
    <s v="RCF Thal"/>
    <s v="N.C.Urea(45kg)"/>
    <s v="WB"/>
    <x v="0"/>
    <s v="Swarupnagar"/>
    <s v="User Not Mapped"/>
    <s v="User Not Mapped"/>
    <s v="User Not Mapped"/>
    <n v="331998"/>
    <s v="Sukumar Ballav"/>
    <s v="Private Retailer"/>
    <s v="9734568496"/>
    <n v="4.4999999999999998E-2"/>
    <n v="47"/>
    <x v="1"/>
    <m/>
    <s v="2026-03-11"/>
    <s v="505050"/>
    <s v="M/S Abesh Dutta"/>
    <s v="7063115250"/>
  </r>
  <r>
    <s v="RCF Thal"/>
    <s v="N.C.Urea(45kg)"/>
    <s v="WB"/>
    <x v="0"/>
    <s v="Swarupnagar"/>
    <s v="User Not Mapped"/>
    <s v="User Not Mapped"/>
    <s v="User Not Mapped"/>
    <n v="341630"/>
    <s v="Kasem  Mallick"/>
    <s v="Private Retailer"/>
    <s v="6295897074"/>
    <n v="10.98"/>
    <n v="45"/>
    <x v="1"/>
    <m/>
    <s v="2026-03-13"/>
    <s v="281511"/>
    <s v="Malakshmi Krishi Bhandar      "/>
    <s v="9800561868"/>
  </r>
  <r>
    <s v="RCF Trombay"/>
    <s v="15-15-15"/>
    <s v="WB"/>
    <x v="0"/>
    <s v="Swarupnagar"/>
    <s v="User Not Mapped"/>
    <s v="User Not Mapped"/>
    <s v="User Not Mapped"/>
    <n v="407348"/>
    <s v="Abul Kalam Mondal"/>
    <s v="Private Retailer"/>
    <s v="9735760219"/>
    <n v="3.35"/>
    <n v="68"/>
    <x v="2"/>
    <m/>
    <s v="2026-02-18"/>
    <s v="281511"/>
    <s v="Malakshmi Krishi Bhandar      "/>
    <s v="9800561868"/>
  </r>
  <r>
    <s v="RCF Trombay"/>
    <s v="15-15-15"/>
    <s v="WB"/>
    <x v="0"/>
    <s v="Swarupnagar"/>
    <s v="User Not Mapped"/>
    <s v="User Not Mapped"/>
    <s v="User Not Mapped"/>
    <n v="407422"/>
    <s v="Mirza Faruk Ahamed"/>
    <s v="Private Retailer"/>
    <s v="7478531417"/>
    <n v="0.5"/>
    <n v="73"/>
    <x v="2"/>
    <m/>
    <s v="2026-02-13"/>
    <s v="268815"/>
    <s v="Chitta Ranjan Dey"/>
    <s v="9434744870"/>
  </r>
  <r>
    <s v="RCF Thal"/>
    <s v="N.C.Urea(45kg)"/>
    <s v="WB"/>
    <x v="0"/>
    <s v="Swarupnagar"/>
    <s v="User Not Mapped"/>
    <s v="User Not Mapped"/>
    <s v="User Not Mapped"/>
    <n v="407422"/>
    <s v="Mirza Faruk Ahamed"/>
    <s v="Private Retailer"/>
    <s v="7478531417"/>
    <n v="5.49"/>
    <n v="45"/>
    <x v="1"/>
    <m/>
    <s v="2026-03-13"/>
    <s v="268815"/>
    <s v="Chitta Ranjan Dey"/>
    <s v="9434744870"/>
  </r>
  <r>
    <s v="RCF Thal"/>
    <s v="N.C.Urea(45kg)"/>
    <s v="WB"/>
    <x v="0"/>
    <s v="Swarupnagar"/>
    <s v="User Not Mapped"/>
    <s v="User Not Mapped"/>
    <s v="User Not Mapped"/>
    <n v="407422"/>
    <s v="Mirza Faruk Ahamed"/>
    <s v="Private Retailer"/>
    <s v="7478531417"/>
    <n v="6.84"/>
    <n v="73"/>
    <x v="2"/>
    <m/>
    <s v="2026-02-13"/>
    <s v="268815"/>
    <s v="Chitta Ranjan Dey"/>
    <s v="9434744870"/>
  </r>
  <r>
    <s v="RCF Import"/>
    <s v="Imp 10-26-26"/>
    <s v="WB"/>
    <x v="0"/>
    <s v="Swarupnagar"/>
    <s v="User Not Mapped"/>
    <s v="User Not Mapped"/>
    <s v="User Not Mapped"/>
    <n v="407446"/>
    <s v="Salem Sardar"/>
    <s v="Private Retailer"/>
    <s v="9733535399"/>
    <n v="8.35"/>
    <n v="28"/>
    <x v="4"/>
    <m/>
    <s v="2026-03-30"/>
    <s v="268815"/>
    <s v="Chitta Ranjan Dey"/>
    <s v="9434744870"/>
  </r>
  <r>
    <s v="RCF Import"/>
    <s v="MOP"/>
    <s v="WB"/>
    <x v="0"/>
    <s v="Swarupnagar"/>
    <s v="User Not Mapped"/>
    <s v="User Not Mapped"/>
    <s v="User Not Mapped"/>
    <n v="407446"/>
    <s v="Salem Sardar"/>
    <s v="Private Retailer"/>
    <s v="9733535399"/>
    <n v="2.9"/>
    <n v="18"/>
    <x v="4"/>
    <m/>
    <s v="2026-04-09"/>
    <s v="1102995"/>
    <s v="GRAMIN KRISHI BHANDER"/>
    <s v="9733535399"/>
  </r>
  <r>
    <s v="RCF Import"/>
    <s v="MOP"/>
    <s v="WB"/>
    <x v="0"/>
    <s v="Swarupnagar"/>
    <s v="User Not Mapped"/>
    <s v="User Not Mapped"/>
    <s v="User Not Mapped"/>
    <n v="469740"/>
    <s v="Debashish Das"/>
    <s v="Private Retailer"/>
    <s v="9609185994"/>
    <n v="0.15"/>
    <n v="428"/>
    <x v="6"/>
    <m/>
    <s v="2025-02-23"/>
    <s v="281515"/>
    <s v="Chatra Krishi Bhandar         "/>
    <s v="9735524484"/>
  </r>
  <r>
    <s v="RCF Trombay"/>
    <s v="15-15-15"/>
    <s v="WB"/>
    <x v="0"/>
    <s v="Swarupnagar"/>
    <s v="User Not Mapped"/>
    <s v="User Not Mapped"/>
    <s v="User Not Mapped"/>
    <n v="502735"/>
    <s v="CHANCHAL SARKAR"/>
    <s v="Private Retailer"/>
    <s v="9143239625"/>
    <n v="0.4"/>
    <n v="64"/>
    <x v="2"/>
    <m/>
    <s v="2026-02-22"/>
    <s v="505050"/>
    <s v="M/S Abesh Dutta"/>
    <s v="7063115250"/>
  </r>
  <r>
    <s v="RCF Thal"/>
    <s v="N.C.Urea(45kg)"/>
    <s v="WB"/>
    <x v="0"/>
    <s v="Swarupnagar"/>
    <s v="User Not Mapped"/>
    <s v="User Not Mapped"/>
    <s v="User Not Mapped"/>
    <n v="502737"/>
    <s v="Prasanta Sarkar"/>
    <s v="Private Retailer"/>
    <s v="9733985883"/>
    <n v="1.26"/>
    <n v="47"/>
    <x v="1"/>
    <m/>
    <s v="2026-03-11"/>
    <s v="505050"/>
    <s v="M/S Abesh Dutta"/>
    <s v="7063115250"/>
  </r>
  <r>
    <s v="RCF Thal"/>
    <s v="N.C.Urea(45kg)"/>
    <s v="WB"/>
    <x v="0"/>
    <s v="Swarupnagar"/>
    <s v="User Not Mapped"/>
    <s v="User Not Mapped"/>
    <s v="User Not Mapped"/>
    <n v="507610"/>
    <s v="M/S Tushar Kanti Ghosh"/>
    <s v="Private Retailer"/>
    <s v="9733561928"/>
    <n v="2.25"/>
    <n v="47"/>
    <x v="1"/>
    <m/>
    <s v="2026-03-11"/>
    <s v="223812"/>
    <s v="M/S. Shyma Krishi B"/>
    <s v="8617629886"/>
  </r>
  <r>
    <s v="RCF Trombay"/>
    <s v="15-15-15"/>
    <s v="WB"/>
    <x v="0"/>
    <s v="Swarupnagar"/>
    <s v="User Not Mapped"/>
    <s v="User Not Mapped"/>
    <s v="User Not Mapped"/>
    <n v="514990"/>
    <s v="M/S Rabindra Nath Mondal"/>
    <s v="Private Retailer"/>
    <s v="9733762735"/>
    <n v="0.5"/>
    <n v="72"/>
    <x v="2"/>
    <m/>
    <s v="2026-02-14"/>
    <s v="268815"/>
    <s v="Chitta Ranjan Dey"/>
    <s v="9434744870"/>
  </r>
  <r>
    <s v="RCF Import"/>
    <s v="Imp 10-26-26"/>
    <s v="WB"/>
    <x v="0"/>
    <s v="Swarupnagar"/>
    <s v="User Not Mapped"/>
    <s v="User Not Mapped"/>
    <s v="User Not Mapped"/>
    <n v="514990"/>
    <s v="M/S Rabindra Nath Mondal"/>
    <s v="Private Retailer"/>
    <s v="9733762735"/>
    <n v="5"/>
    <n v="28"/>
    <x v="4"/>
    <m/>
    <s v="2026-03-30"/>
    <s v="268815"/>
    <s v="Chitta Ranjan Dey"/>
    <s v="9434744870"/>
  </r>
  <r>
    <s v="RCF Thal"/>
    <s v="N.C.Urea(45kg)"/>
    <s v="WB"/>
    <x v="0"/>
    <s v="Swarupnagar"/>
    <s v="User Not Mapped"/>
    <s v="User Not Mapped"/>
    <s v="User Not Mapped"/>
    <n v="515698"/>
    <s v="Maa Chandi Krishi Bhander"/>
    <s v="Private Retailer"/>
    <s v="9635806410"/>
    <n v="1.325"/>
    <n v="759"/>
    <x v="7"/>
    <m/>
    <s v="2024-03-29"/>
    <s v="268815"/>
    <s v="Chitta Ranjan Dey"/>
    <s v="9434744870"/>
  </r>
  <r>
    <s v="RCF Trombay"/>
    <s v="15-15-15"/>
    <s v="WB"/>
    <x v="0"/>
    <s v="Swarupnagar"/>
    <s v="User Not Mapped"/>
    <s v="User Not Mapped"/>
    <s v="User Not Mapped"/>
    <n v="519112"/>
    <s v="Gourpada Mallick"/>
    <s v="Private Retailer"/>
    <s v="9339258990"/>
    <n v="3.95"/>
    <n v="100"/>
    <x v="5"/>
    <m/>
    <s v="2026-01-17"/>
    <s v="281511"/>
    <s v="Malakshmi Krishi Bhandar      "/>
    <s v="9800561868"/>
  </r>
  <r>
    <s v="RCF Thal"/>
    <s v="N.C.Urea(45kg)"/>
    <s v="WB"/>
    <x v="0"/>
    <s v="Swarupnagar"/>
    <s v="User Not Mapped"/>
    <s v="User Not Mapped"/>
    <s v="User Not Mapped"/>
    <n v="675068"/>
    <s v="SAJAHAN DAFADAR"/>
    <s v="Private Retailer"/>
    <s v="9732983409"/>
    <n v="4.95"/>
    <n v="127"/>
    <x v="0"/>
    <m/>
    <s v="2025-12-21"/>
    <s v="268815"/>
    <s v="Chitta Ranjan Dey"/>
    <s v="9434744870"/>
  </r>
  <r>
    <s v="RCF Import"/>
    <s v="MOP"/>
    <s v="WB"/>
    <x v="0"/>
    <s v="Swarupnagar"/>
    <s v="User Not Mapped"/>
    <s v="User Not Mapped"/>
    <s v="User Not Mapped"/>
    <n v="675068"/>
    <s v="SAJAHAN DAFADAR"/>
    <s v="Private Retailer"/>
    <s v="9732983409"/>
    <n v="1"/>
    <n v="278"/>
    <x v="3"/>
    <m/>
    <s v="2025-07-23"/>
    <s v="655489"/>
    <s v="Mondal Krishi Bhandar"/>
    <s v="9733762735"/>
  </r>
  <r>
    <s v="RCF Trombay"/>
    <s v="15-15-15"/>
    <s v="WB"/>
    <x v="0"/>
    <s v="Swarupnagar"/>
    <s v="User Not Mapped"/>
    <s v="User Not Mapped"/>
    <s v="User Not Mapped"/>
    <n v="1030072"/>
    <s v="MOGLESUR RAHAMAN MOLLA"/>
    <s v="Private Retailer"/>
    <s v="8509070605"/>
    <n v="5.5"/>
    <n v="68"/>
    <x v="2"/>
    <m/>
    <s v="2026-02-18"/>
    <s v="281511"/>
    <s v="Malakshmi Krishi Bhandar      "/>
    <s v="9800561868"/>
  </r>
  <r>
    <s v="RCF Thal"/>
    <s v="N.C.Urea(45kg)"/>
    <s v="WB"/>
    <x v="0"/>
    <s v="Swarupnagar"/>
    <s v="User Not Mapped"/>
    <s v="User Not Mapped"/>
    <s v="User Not Mapped"/>
    <n v="1030072"/>
    <s v="MOGLESUR RAHAMAN MOLLA"/>
    <s v="Private Retailer"/>
    <s v="8509070605"/>
    <n v="2.9249999999999998"/>
    <n v="76"/>
    <x v="2"/>
    <m/>
    <s v="2026-02-10"/>
    <s v="223812"/>
    <s v="M/S. Shyma Krishi B"/>
    <s v="8617629886"/>
  </r>
  <r>
    <s v="RCF Trombay"/>
    <s v="15-15-15"/>
    <s v="WB"/>
    <x v="0"/>
    <s v="Swarupnagar"/>
    <s v="User Not Mapped"/>
    <s v="User Not Mapped"/>
    <s v="User Not Mapped"/>
    <n v="1030072"/>
    <s v="MOGLESUR RAHAMAN MOLLA"/>
    <s v="Private Retailer"/>
    <s v="8509070605"/>
    <n v="5"/>
    <n v="91"/>
    <x v="5"/>
    <m/>
    <s v="2026-01-26"/>
    <s v="281522"/>
    <s v="N.C. Das and Co."/>
    <s v="6297603863"/>
  </r>
  <r>
    <s v="RCF Trombay"/>
    <s v="15-15-15"/>
    <s v="WB"/>
    <x v="0"/>
    <s v="Swarupnagar"/>
    <s v="User Not Mapped"/>
    <s v="User Not Mapped"/>
    <s v="User Not Mapped"/>
    <n v="1030072"/>
    <s v="MOGLESUR RAHAMAN MOLLA"/>
    <s v="Private Retailer"/>
    <s v="8509070605"/>
    <n v="5.5"/>
    <n v="79"/>
    <x v="2"/>
    <m/>
    <s v="2026-02-07"/>
    <s v="281511"/>
    <s v="Malakshmi Krishi Bhandar      "/>
    <s v="9800561868"/>
  </r>
  <r>
    <s v="RCF Thal"/>
    <s v="N.C.Urea(45kg)"/>
    <s v="WB"/>
    <x v="0"/>
    <s v="Swarupnagar"/>
    <s v="User Not Mapped"/>
    <s v="User Not Mapped"/>
    <s v="User Not Mapped"/>
    <n v="1213333"/>
    <s v="AMIYA PROSAD DAS"/>
    <s v="Private Retailer"/>
    <s v="9732582853"/>
    <n v="4.8600000000000003"/>
    <n v="45"/>
    <x v="1"/>
    <m/>
    <s v="2026-03-13"/>
    <s v="268815"/>
    <s v="Chitta Ranjan Dey"/>
    <s v="9434744870"/>
  </r>
  <r>
    <s v="RCF Trombay"/>
    <s v="15-15-15"/>
    <s v="WB"/>
    <x v="0"/>
    <s v="Swarupnagar"/>
    <s v="User Not Mapped"/>
    <s v="User Not Mapped"/>
    <s v="User Not Mapped"/>
    <n v="1213365"/>
    <s v="APARNA MALLICK SARDAR"/>
    <s v="Private Retailer"/>
    <s v="7865835945"/>
    <n v="0.2"/>
    <n v="292"/>
    <x v="3"/>
    <m/>
    <s v="2025-07-09"/>
    <s v="505050"/>
    <s v="M/S Abesh Dutta"/>
    <s v="7063115250"/>
  </r>
  <r>
    <s v="RCF Import"/>
    <s v="Imp 10-26-26"/>
    <s v="WB"/>
    <x v="0"/>
    <s v="Swarupnagar"/>
    <s v="User Not Mapped"/>
    <s v="User Not Mapped"/>
    <s v="User Not Mapped"/>
    <n v="1216136"/>
    <s v="DAS KRISHI BHANDER"/>
    <s v="Private Retailer"/>
    <s v="9564048050"/>
    <n v="11"/>
    <n v="28"/>
    <x v="4"/>
    <m/>
    <s v="2026-03-30"/>
    <s v="268815"/>
    <s v="Chitta Ranjan Dey"/>
    <s v="9434744870"/>
  </r>
  <r>
    <s v="RCF Trombay"/>
    <s v="15-15-15"/>
    <s v="WB"/>
    <x v="0"/>
    <s v="Swarupnagar"/>
    <s v="User Not Mapped"/>
    <s v="User Not Mapped"/>
    <s v="User Not Mapped"/>
    <n v="1531024"/>
    <s v="DUTTAPARA KRISHI BIPONI"/>
    <s v="Private Retailer"/>
    <s v="7908225346"/>
    <n v="0.6"/>
    <n v="72"/>
    <x v="2"/>
    <m/>
    <s v="2026-02-14"/>
    <s v="268815"/>
    <s v="Chitta Ranjan Dey"/>
    <s v="9434744870"/>
  </r>
  <r>
    <s v="RCF Thal"/>
    <s v="N.C.Urea(45kg)"/>
    <s v="WB"/>
    <x v="0"/>
    <s v="Swarupnagar"/>
    <s v="User Not Mapped"/>
    <s v="User Not Mapped"/>
    <s v="User Not Mapped"/>
    <n v="1546080"/>
    <s v="MONDAL KRISHI BIPONI"/>
    <s v="Private Retailer"/>
    <s v="8617377838"/>
    <n v="4.5"/>
    <n v="98"/>
    <x v="5"/>
    <m/>
    <s v="2026-01-19"/>
    <s v="281522"/>
    <s v="N.C. Das and Co."/>
    <s v="6297603863"/>
  </r>
  <r>
    <s v="RCF Trombay"/>
    <s v="15-15-15"/>
    <s v="WB"/>
    <x v="0"/>
    <s v="Swarupnagar"/>
    <s v="User Not Mapped"/>
    <s v="User Not Mapped"/>
    <s v="User Not Mapped"/>
    <n v="1546080"/>
    <s v="MONDAL KRISHI BIPONI"/>
    <s v="Private Retailer"/>
    <s v="8617377838"/>
    <n v="1.1000000000000001"/>
    <n v="98"/>
    <x v="5"/>
    <m/>
    <s v="2026-01-19"/>
    <s v="281522"/>
    <s v="N.C. Das and Co."/>
    <s v="6297603863"/>
  </r>
  <r>
    <s v="RCF Thal"/>
    <s v="N.C.Urea(45kg)"/>
    <s v="WB"/>
    <x v="0"/>
    <m/>
    <s v="User Not Mapped"/>
    <s v="User Not Mapped"/>
    <s v="User Not Mapped"/>
    <n v="189326"/>
    <s v="Boyalghata Krishi Bhander"/>
    <s v="Private Retailer"/>
    <s v="9748238840"/>
    <n v="5.9850000000000003"/>
    <n v="1220"/>
    <x v="7"/>
    <m/>
    <s v="2022-12-24"/>
    <s v="1280145"/>
    <s v="MD MEHDIHASAN"/>
    <s v="8918784735"/>
  </r>
  <r>
    <s v="RCF Trombay"/>
    <s v="15-15-15"/>
    <s v="WB"/>
    <x v="0"/>
    <m/>
    <s v="User Not Mapped"/>
    <s v="User Not Mapped"/>
    <s v="User Not Mapped"/>
    <n v="189326"/>
    <s v="Boyalghata Krishi Bhander"/>
    <s v="Private Retailer"/>
    <s v="9748238840"/>
    <n v="5.5"/>
    <n v="1203"/>
    <x v="7"/>
    <m/>
    <s v="2023-01-10"/>
    <s v="281511"/>
    <s v="Malakshmi Krishi Bhandar      "/>
    <s v="9800561868"/>
  </r>
  <r>
    <s v="RCF Trombay"/>
    <s v="15-15-15"/>
    <s v="WB"/>
    <x v="0"/>
    <m/>
    <s v="User Not Mapped"/>
    <s v="User Not Mapped"/>
    <s v="User Not Mapped"/>
    <n v="189326"/>
    <s v="Boyalghata Krishi Bhander"/>
    <s v="Private Retailer"/>
    <s v="9748238840"/>
    <n v="5.5"/>
    <n v="1234"/>
    <x v="7"/>
    <m/>
    <s v="2022-12-10"/>
    <s v="281511"/>
    <s v="Malakshmi Krishi Bhandar      "/>
    <s v="9800561868"/>
  </r>
  <r>
    <s v="RCF Trombay"/>
    <s v="15-15-15"/>
    <s v="WB"/>
    <x v="0"/>
    <m/>
    <s v="User Not Mapped"/>
    <s v="User Not Mapped"/>
    <s v="User Not Mapped"/>
    <n v="189326"/>
    <s v="Boyalghata Krishi Bhander"/>
    <s v="Private Retailer"/>
    <s v="9748238840"/>
    <n v="2.25"/>
    <n v="1252"/>
    <x v="7"/>
    <m/>
    <s v="2022-11-22"/>
    <s v="223815"/>
    <s v="Sahidul Islam  Co.           "/>
    <s v="9153379112"/>
  </r>
  <r>
    <s v="RCF Thal"/>
    <s v="N.C.Urea(45kg)"/>
    <s v="WB"/>
    <x v="0"/>
    <m/>
    <s v="User Not Mapped"/>
    <s v="User Not Mapped"/>
    <s v="User Not Mapped"/>
    <n v="189326"/>
    <s v="Boyalghata Krishi Bhander"/>
    <s v="Private Retailer"/>
    <s v="9748238840"/>
    <n v="2.4300000000000002"/>
    <n v="1500"/>
    <x v="7"/>
    <m/>
    <s v="2022-03-19"/>
    <s v="223815"/>
    <s v="Sahidul Islam  Co.           "/>
    <s v="9153379112"/>
  </r>
  <r>
    <s v="RCF Thal"/>
    <s v="N.C.Urea(45kg)"/>
    <s v="WB"/>
    <x v="0"/>
    <m/>
    <s v="User Not Mapped"/>
    <s v="User Not Mapped"/>
    <s v="User Not Mapped"/>
    <n v="189382"/>
    <s v="M/S. Asraf Ali"/>
    <s v="Private Retailer"/>
    <s v="6295459212"/>
    <n v="1.08"/>
    <n v="213"/>
    <x v="3"/>
    <m/>
    <s v="2025-09-26"/>
    <s v="223807"/>
    <s v="M.K. Chemical and Fertilizers"/>
    <s v="9051316329"/>
  </r>
  <r>
    <s v="RCF Trombay"/>
    <s v="15-15-15"/>
    <s v="WB"/>
    <x v="0"/>
    <m/>
    <s v="User Not Mapped"/>
    <s v="User Not Mapped"/>
    <s v="User Not Mapped"/>
    <n v="189382"/>
    <s v="M/S. Asraf Ali"/>
    <s v="Private Retailer"/>
    <s v="6295459212"/>
    <n v="2.5"/>
    <n v="72"/>
    <x v="2"/>
    <m/>
    <s v="2026-02-14"/>
    <s v="281511"/>
    <s v="Malakshmi Krishi Bhandar      "/>
    <s v="9800561868"/>
  </r>
  <r>
    <s v="RCF Trombay"/>
    <s v="15-15-15"/>
    <s v="WB"/>
    <x v="0"/>
    <m/>
    <s v="User Not Mapped"/>
    <s v="User Not Mapped"/>
    <s v="User Not Mapped"/>
    <n v="219015"/>
    <s v="M/S Arif Enterprise"/>
    <s v="Private Retailer"/>
    <s v="9836381492"/>
    <n v="0.28000000000000003"/>
    <n v="2410"/>
    <x v="7"/>
    <m/>
    <s v="2019-09-21"/>
    <s v="910962"/>
    <s v="M/S. BERA ENTERPRISE"/>
    <s v="9836333180"/>
  </r>
  <r>
    <s v="RCF Import"/>
    <s v="MOP"/>
    <s v="WB"/>
    <x v="0"/>
    <m/>
    <s v="User Not Mapped"/>
    <s v="User Not Mapped"/>
    <s v="User Not Mapped"/>
    <n v="226518"/>
    <s v="Ashim Bhattacharyya"/>
    <s v="Private Retailer"/>
    <s v="9635969263"/>
    <n v="0.35"/>
    <n v="436"/>
    <x v="6"/>
    <m/>
    <s v="2025-02-15"/>
    <s v="223812"/>
    <s v="M/S. Shyma Krishi B"/>
    <s v="8617629886"/>
  </r>
  <r>
    <s v="RCF Trombay"/>
    <s v="15-15-15"/>
    <s v="WB"/>
    <x v="0"/>
    <m/>
    <s v="User Not Mapped"/>
    <s v="User Not Mapped"/>
    <s v="User Not Mapped"/>
    <n v="226555"/>
    <s v="Bhagirath Mondal"/>
    <s v="Private Retailer"/>
    <s v="9564093090"/>
    <n v="6.0000000000000001E-3"/>
    <n v="1120"/>
    <x v="7"/>
    <m/>
    <s v="2023-04-03"/>
    <s v="223825"/>
    <s v="Shyamal Kumar Dalal           "/>
    <s v="9832231914"/>
  </r>
  <r>
    <s v="RCF Import"/>
    <s v="MOP"/>
    <s v="WB"/>
    <x v="0"/>
    <m/>
    <s v="User Not Mapped"/>
    <s v="User Not Mapped"/>
    <s v="User Not Mapped"/>
    <n v="226555"/>
    <s v="Bhagirath Mondal"/>
    <s v="Private Retailer"/>
    <s v="9564093090"/>
    <n v="1"/>
    <n v="559"/>
    <x v="7"/>
    <m/>
    <s v="2024-10-15"/>
    <s v="497600"/>
    <s v="Samar Nath Sana"/>
    <s v="9563062387"/>
  </r>
  <r>
    <s v="RCF Trombay"/>
    <s v="15-15-15"/>
    <s v="WB"/>
    <x v="0"/>
    <m/>
    <s v="User Not Mapped"/>
    <s v="User Not Mapped"/>
    <s v="User Not Mapped"/>
    <n v="226560"/>
    <s v="Bhattacharjee Fertilizers Sto"/>
    <s v="Private Retailer"/>
    <s v="9051633607"/>
    <n v="0.55000000000000004"/>
    <n v="1902"/>
    <x v="7"/>
    <m/>
    <s v="2021-02-10"/>
    <s v="917469"/>
    <s v="MONDAL KRISHI BHANDER"/>
    <s v="9681347066"/>
  </r>
  <r>
    <s v="RCF Trombay"/>
    <s v="N.C.Urea(45kg)"/>
    <s v="WB"/>
    <x v="0"/>
    <m/>
    <s v="User Not Mapped"/>
    <s v="User Not Mapped"/>
    <s v="User Not Mapped"/>
    <n v="226620"/>
    <s v="Debdas Adhikary"/>
    <s v="Private Retailer"/>
    <s v="9734404348"/>
    <n v="0.45"/>
    <n v="99"/>
    <x v="5"/>
    <m/>
    <s v="2026-01-18"/>
    <s v="505050"/>
    <s v="M/S Abesh Dutta"/>
    <s v="7063115250"/>
  </r>
  <r>
    <s v="RCF Trombay"/>
    <s v="15-15-15"/>
    <s v="WB"/>
    <x v="0"/>
    <m/>
    <s v="User Not Mapped"/>
    <s v="User Not Mapped"/>
    <s v="User Not Mapped"/>
    <n v="226620"/>
    <s v="Debdas Adhikary"/>
    <s v="Private Retailer"/>
    <s v="9734404348"/>
    <n v="0.75"/>
    <n v="99"/>
    <x v="5"/>
    <m/>
    <s v="2026-01-18"/>
    <s v="505050"/>
    <s v="M/S Abesh Dutta"/>
    <s v="7063115250"/>
  </r>
  <r>
    <s v="RCF Trombay"/>
    <s v="N.C.Urea(45kg)"/>
    <s v="WB"/>
    <x v="0"/>
    <m/>
    <s v="User Not Mapped"/>
    <s v="User Not Mapped"/>
    <s v="User Not Mapped"/>
    <n v="226645"/>
    <s v="Gaighata Cadp Fscs Ltd"/>
    <s v="State Marketing Federation"/>
    <s v="9647242651"/>
    <n v="7.5149999999999997"/>
    <n v="100"/>
    <x v="5"/>
    <m/>
    <s v="2026-01-17"/>
    <s v="223807"/>
    <s v="M.K. Chemical and Fertilizers"/>
    <s v="9051316329"/>
  </r>
  <r>
    <s v="RCF Trombay"/>
    <s v="15-15-15"/>
    <s v="WB"/>
    <x v="0"/>
    <m/>
    <s v="User Not Mapped"/>
    <s v="User Not Mapped"/>
    <s v="User Not Mapped"/>
    <n v="226645"/>
    <s v="Gaighata Cadp Fscs Ltd"/>
    <s v="State Marketing Federation"/>
    <s v="9647242651"/>
    <n v="2.2000000000000002"/>
    <n v="100"/>
    <x v="5"/>
    <m/>
    <s v="2026-01-17"/>
    <s v="223807"/>
    <s v="M.K. Chemical and Fertilizers"/>
    <s v="9051316329"/>
  </r>
  <r>
    <s v="RCF Thal"/>
    <s v="N.C.Urea(45kg)"/>
    <s v="WB"/>
    <x v="0"/>
    <m/>
    <s v="User Not Mapped"/>
    <s v="User Not Mapped"/>
    <s v="User Not Mapped"/>
    <n v="226650"/>
    <s v="Gazi Krishi Bhandae"/>
    <s v="Private Retailer"/>
    <s v="9775553157"/>
    <n v="2.6749999999999998"/>
    <n v="2489"/>
    <x v="7"/>
    <m/>
    <s v="2019-07-04"/>
    <s v="505050"/>
    <s v="M/S Abesh Dutta"/>
    <s v="7063115250"/>
  </r>
  <r>
    <s v="RCF Trombay"/>
    <s v="15-15-15"/>
    <s v="WB"/>
    <x v="0"/>
    <m/>
    <s v="User Not Mapped"/>
    <s v="User Not Mapped"/>
    <s v="User Not Mapped"/>
    <n v="226650"/>
    <s v="Gazi Krishi Bhandae"/>
    <s v="Private Retailer"/>
    <s v="9775553157"/>
    <n v="0.749"/>
    <n v="2489"/>
    <x v="7"/>
    <m/>
    <s v="2019-07-04"/>
    <s v="505050"/>
    <s v="M/S Abesh Dutta"/>
    <s v="7063115250"/>
  </r>
  <r>
    <s v="RCF Trombay"/>
    <s v="N.C.Urea(45kg)"/>
    <s v="WB"/>
    <x v="0"/>
    <m/>
    <s v="User Not Mapped"/>
    <s v="User Not Mapped"/>
    <s v="User Not Mapped"/>
    <n v="226673"/>
    <s v="Gopal Ch. Das"/>
    <s v="Private Retailer"/>
    <s v="9775266329"/>
    <n v="0.44500000000000001"/>
    <n v="2673"/>
    <x v="7"/>
    <m/>
    <s v="2019-01-01"/>
    <s v="11"/>
    <s v="Too Old Stock"/>
    <m/>
  </r>
  <r>
    <s v="RCF Trombay"/>
    <s v="15-15-15"/>
    <s v="WB"/>
    <x v="0"/>
    <m/>
    <s v="User Not Mapped"/>
    <s v="User Not Mapped"/>
    <s v="User Not Mapped"/>
    <n v="226673"/>
    <s v="Gopal Ch. Das"/>
    <s v="Private Retailer"/>
    <s v="9775266329"/>
    <n v="0.59499999999999997"/>
    <n v="2673"/>
    <x v="7"/>
    <m/>
    <s v="2019-01-01"/>
    <s v="11"/>
    <s v="Too Old Stock"/>
    <m/>
  </r>
  <r>
    <s v="RCF Trombay"/>
    <s v="15-15-15"/>
    <s v="WB"/>
    <x v="0"/>
    <m/>
    <s v="User Not Mapped"/>
    <s v="User Not Mapped"/>
    <s v="User Not Mapped"/>
    <n v="226687"/>
    <s v="Hanspur Skus Ltd"/>
    <s v="State Marketing Federation"/>
    <s v="9734175069"/>
    <n v="4.5999999999999996"/>
    <n v="72"/>
    <x v="2"/>
    <m/>
    <s v="2026-02-14"/>
    <s v="281511"/>
    <s v="Malakshmi Krishi Bhandar      "/>
    <s v="9800561868"/>
  </r>
  <r>
    <s v="RCF Trombay"/>
    <s v="N.C.Urea(45kg)"/>
    <s v="WB"/>
    <x v="0"/>
    <m/>
    <s v="User Not Mapped"/>
    <s v="User Not Mapped"/>
    <s v="User Not Mapped"/>
    <n v="226758"/>
    <s v="Kazi Sahi Durzzaman"/>
    <s v="Private Retailer"/>
    <s v="9153029140"/>
    <n v="0.75"/>
    <n v="2673"/>
    <x v="7"/>
    <m/>
    <s v="2019-01-01"/>
    <s v="11"/>
    <s v="Too Old Stock"/>
    <m/>
  </r>
  <r>
    <s v="RCF Thal"/>
    <s v="N.C.Urea(45kg)"/>
    <s v="WB"/>
    <x v="0"/>
    <m/>
    <s v="User Not Mapped"/>
    <s v="User Not Mapped"/>
    <s v="User Not Mapped"/>
    <n v="226778"/>
    <s v="Liton Krishi Biponi"/>
    <s v="Private Retailer"/>
    <s v="9735605851"/>
    <n v="0.22500000000000001"/>
    <n v="2259"/>
    <x v="7"/>
    <m/>
    <s v="2020-02-19"/>
    <s v="668032"/>
    <s v="MAA KRISHI BIPONI"/>
    <s v="9564322993"/>
  </r>
  <r>
    <s v="RCF Trombay"/>
    <s v="15-15-15"/>
    <s v="WB"/>
    <x v="0"/>
    <m/>
    <s v="User Not Mapped"/>
    <s v="User Not Mapped"/>
    <s v="User Not Mapped"/>
    <n v="226906"/>
    <s v="Mondal Krishi Bhander"/>
    <s v="Private Retailer"/>
    <s v="9735227499"/>
    <n v="0.03"/>
    <n v="2673"/>
    <x v="7"/>
    <m/>
    <s v="2019-01-01"/>
    <s v="11"/>
    <s v="Too Old Stock"/>
    <m/>
  </r>
  <r>
    <s v="RCF Trombay"/>
    <s v="15-15-15"/>
    <s v="WB"/>
    <x v="0"/>
    <m/>
    <s v="User Not Mapped"/>
    <s v="User Not Mapped"/>
    <s v="User Not Mapped"/>
    <n v="226965"/>
    <s v="M/S Kanai Lal Mondal"/>
    <s v="Private Retailer"/>
    <s v="9434102139"/>
    <n v="1"/>
    <n v="2673"/>
    <x v="7"/>
    <m/>
    <s v="2019-01-01"/>
    <s v="11"/>
    <s v="Too Old Stock"/>
    <m/>
  </r>
  <r>
    <s v="RCF Trombay"/>
    <s v="15-15-15"/>
    <s v="WB"/>
    <x v="0"/>
    <m/>
    <s v="User Not Mapped"/>
    <s v="User Not Mapped"/>
    <s v="User Not Mapped"/>
    <n v="226968"/>
    <s v="M/S Khaza Fertilizers"/>
    <s v="Private Retailer"/>
    <s v="9874884975"/>
    <n v="4.4999999999999998E-2"/>
    <n v="2673"/>
    <x v="7"/>
    <m/>
    <s v="2019-01-01"/>
    <s v="11"/>
    <s v="Too Old Stock"/>
    <m/>
  </r>
  <r>
    <s v="RCF Thal"/>
    <s v="N.C.Urea(45kg)"/>
    <s v="WB"/>
    <x v="0"/>
    <m/>
    <s v="User Not Mapped"/>
    <s v="User Not Mapped"/>
    <s v="User Not Mapped"/>
    <n v="226983"/>
    <s v="M/S Molla Fertilizers"/>
    <s v="Private Retailer"/>
    <s v="7047741085"/>
    <n v="10.98"/>
    <n v="282"/>
    <x v="3"/>
    <m/>
    <s v="2025-07-19"/>
    <s v="223812"/>
    <s v="M/S. Shyma Krishi B"/>
    <s v="8617629886"/>
  </r>
  <r>
    <s v="RCF Trombay"/>
    <s v="15-15-15"/>
    <s v="WB"/>
    <x v="0"/>
    <m/>
    <s v="User Not Mapped"/>
    <s v="User Not Mapped"/>
    <s v="User Not Mapped"/>
    <n v="227002"/>
    <s v="M/S Shila Fertilizers"/>
    <s v="Private Retailer"/>
    <s v="8961360609"/>
    <n v="0.03"/>
    <n v="2673"/>
    <x v="7"/>
    <m/>
    <s v="2019-01-01"/>
    <s v="11"/>
    <s v="Too Old Stock"/>
    <m/>
  </r>
  <r>
    <s v="RCF Thal"/>
    <s v="N.C.Urea(45kg)"/>
    <s v="WB"/>
    <x v="0"/>
    <m/>
    <s v="User Not Mapped"/>
    <s v="User Not Mapped"/>
    <s v="User Not Mapped"/>
    <n v="227018"/>
    <s v="Muniya Krishi Bhandar"/>
    <s v="Private Retailer"/>
    <s v="9933360073"/>
    <n v="0.45"/>
    <n v="210"/>
    <x v="3"/>
    <m/>
    <s v="2025-09-29"/>
    <s v="223821"/>
    <s v="M/S Tilok Kumar Dutta"/>
    <s v="9064209939"/>
  </r>
  <r>
    <s v="RCF Trombay"/>
    <s v="N.C.Urea(45kg)"/>
    <s v="WB"/>
    <x v="0"/>
    <m/>
    <s v="User Not Mapped"/>
    <s v="User Not Mapped"/>
    <s v="User Not Mapped"/>
    <n v="227050"/>
    <s v="Nurpur Krishi Bhander"/>
    <s v="Private Retailer"/>
    <s v="8017672105"/>
    <n v="0.02"/>
    <n v="2423"/>
    <x v="7"/>
    <m/>
    <s v="2019-09-08"/>
    <s v="355903"/>
    <s v="Paul Fertiliser"/>
    <s v="9932862633"/>
  </r>
  <r>
    <s v="RCF Trombay"/>
    <s v="15-15-15"/>
    <s v="WB"/>
    <x v="0"/>
    <m/>
    <s v="User Not Mapped"/>
    <s v="User Not Mapped"/>
    <s v="User Not Mapped"/>
    <n v="227058"/>
    <s v="Parabir Kr. Ghosh"/>
    <s v="Private Retailer"/>
    <s v="9775631272"/>
    <n v="1"/>
    <n v="66"/>
    <x v="2"/>
    <m/>
    <s v="2026-02-20"/>
    <s v="1048909"/>
    <s v="B K ROY AND COMPANY"/>
    <s v="9734516484"/>
  </r>
  <r>
    <s v="RCF Thal"/>
    <s v="N.C.Urea(45kg)"/>
    <s v="WB"/>
    <x v="0"/>
    <m/>
    <s v="User Not Mapped"/>
    <s v="User Not Mapped"/>
    <s v="User Not Mapped"/>
    <n v="227058"/>
    <s v="Parabir Kr. Ghosh"/>
    <s v="Private Retailer"/>
    <s v="9775631272"/>
    <n v="1.155"/>
    <n v="66"/>
    <x v="2"/>
    <m/>
    <s v="2026-02-20"/>
    <s v="1048909"/>
    <s v="B K ROY AND COMPANY"/>
    <s v="9734516484"/>
  </r>
  <r>
    <s v="RCF Import"/>
    <s v="MOP"/>
    <s v="WB"/>
    <x v="0"/>
    <m/>
    <s v="User Not Mapped"/>
    <s v="User Not Mapped"/>
    <s v="User Not Mapped"/>
    <n v="227058"/>
    <s v="Parabir Kr. Ghosh"/>
    <s v="Private Retailer"/>
    <s v="9775631272"/>
    <n v="2.4500000000000002"/>
    <n v="68"/>
    <x v="2"/>
    <m/>
    <s v="2026-02-18"/>
    <s v="1048909"/>
    <s v="B K ROY AND COMPANY"/>
    <s v="9734516484"/>
  </r>
  <r>
    <s v="RCF Trombay"/>
    <s v="15-15-15"/>
    <s v="WB"/>
    <x v="0"/>
    <m/>
    <s v="User Not Mapped"/>
    <s v="User Not Mapped"/>
    <s v="User Not Mapped"/>
    <n v="227081"/>
    <s v="Purkait Krishi Bhander"/>
    <s v="Private Retailer"/>
    <s v="9733538010"/>
    <n v="0.28999999999999998"/>
    <n v="2673"/>
    <x v="7"/>
    <m/>
    <s v="2019-01-01"/>
    <s v="11"/>
    <s v="Too Old Stock"/>
    <m/>
  </r>
  <r>
    <s v="RCF Trombay"/>
    <s v="15-15-15"/>
    <s v="WB"/>
    <x v="0"/>
    <m/>
    <s v="User Not Mapped"/>
    <s v="User Not Mapped"/>
    <s v="User Not Mapped"/>
    <n v="227124"/>
    <s v="Sabir Krishi Bhandar"/>
    <s v="Private Retailer"/>
    <s v="9432378259"/>
    <n v="0.48499999999999999"/>
    <n v="2663"/>
    <x v="7"/>
    <m/>
    <s v="2019-01-11"/>
    <s v="281520"/>
    <s v="Mahamaya Enterprise"/>
    <s v="6289429133"/>
  </r>
  <r>
    <s v="RCF Trombay"/>
    <s v="15-15-15"/>
    <s v="WB"/>
    <x v="0"/>
    <m/>
    <s v="User Not Mapped"/>
    <s v="User Not Mapped"/>
    <s v="User Not Mapped"/>
    <n v="227239"/>
    <s v="Susanta Pal"/>
    <s v="Private Retailer"/>
    <s v="9735771238"/>
    <n v="3.0000000000000001E-3"/>
    <n v="2673"/>
    <x v="7"/>
    <m/>
    <s v="2019-01-01"/>
    <s v="11"/>
    <s v="Too Old Stock"/>
    <m/>
  </r>
  <r>
    <s v="RCF Thal"/>
    <s v="N.C.Urea(45kg)"/>
    <s v="WB"/>
    <x v="0"/>
    <m/>
    <s v="User Not Mapped"/>
    <s v="User Not Mapped"/>
    <s v="User Not Mapped"/>
    <n v="227244"/>
    <s v="Swapan Ghosh"/>
    <s v="Private Retailer"/>
    <s v="9231850444"/>
    <n v="3.87"/>
    <n v="19"/>
    <x v="4"/>
    <m/>
    <s v="2026-04-08"/>
    <s v="281511"/>
    <s v="Malakshmi Krishi Bhandar      "/>
    <s v="9800561868"/>
  </r>
  <r>
    <s v="RCF Trombay"/>
    <s v="15-15-15"/>
    <s v="WB"/>
    <x v="0"/>
    <m/>
    <s v="User Not Mapped"/>
    <s v="User Not Mapped"/>
    <s v="User Not Mapped"/>
    <n v="227244"/>
    <s v="Swapan Ghosh"/>
    <s v="Private Retailer"/>
    <s v="9231850444"/>
    <n v="0.995"/>
    <n v="72"/>
    <x v="2"/>
    <m/>
    <s v="2026-02-14"/>
    <s v="281511"/>
    <s v="Malakshmi Krishi Bhandar      "/>
    <s v="9800561868"/>
  </r>
  <r>
    <s v="RCF Trombay"/>
    <s v="N.C.Urea(45kg)"/>
    <s v="WB"/>
    <x v="0"/>
    <m/>
    <s v="User Not Mapped"/>
    <s v="User Not Mapped"/>
    <s v="User Not Mapped"/>
    <n v="227276"/>
    <s v="Upendra Fertilizer"/>
    <s v="Private Retailer"/>
    <s v="8967765577"/>
    <n v="0.08"/>
    <n v="1915"/>
    <x v="7"/>
    <m/>
    <s v="2021-01-28"/>
    <s v="668032"/>
    <s v="MAA KRISHI BIPONI"/>
    <s v="9564322993"/>
  </r>
  <r>
    <s v="RCF Trombay"/>
    <s v="15-15-15"/>
    <s v="WB"/>
    <x v="0"/>
    <m/>
    <s v="User Not Mapped"/>
    <s v="User Not Mapped"/>
    <s v="User Not Mapped"/>
    <n v="270807"/>
    <s v="Saidul Islam"/>
    <s v="Private Retailer"/>
    <s v="9883598474"/>
    <n v="0.85"/>
    <n v="1475"/>
    <x v="7"/>
    <m/>
    <s v="2022-04-13"/>
    <s v="281511"/>
    <s v="Malakshmi Krishi Bhandar      "/>
    <s v="9800561868"/>
  </r>
  <r>
    <s v="RCF Trombay"/>
    <s v="15-15-15"/>
    <s v="WB"/>
    <x v="0"/>
    <m/>
    <s v="User Not Mapped"/>
    <s v="User Not Mapped"/>
    <s v="User Not Mapped"/>
    <n v="270832"/>
    <s v="Sohrab Sardar"/>
    <s v="Private Retailer"/>
    <s v="9732555598"/>
    <n v="1E-3"/>
    <n v="2044"/>
    <x v="7"/>
    <m/>
    <s v="2020-09-21"/>
    <s v="1052457"/>
    <s v="Supriyo Das"/>
    <s v="9564048050"/>
  </r>
  <r>
    <s v="RCF Trombay"/>
    <s v="15-15-15"/>
    <s v="WB"/>
    <x v="0"/>
    <m/>
    <s v="User Not Mapped"/>
    <s v="User Not Mapped"/>
    <s v="User Not Mapped"/>
    <n v="323611"/>
    <s v="Gopal Chandra Mondal"/>
    <s v="Private Retailer"/>
    <s v="8001035995"/>
    <n v="0.05"/>
    <n v="2348"/>
    <x v="7"/>
    <m/>
    <s v="2019-11-22"/>
    <s v="281550"/>
    <s v="Prakash Chand Mantri          "/>
    <s v="9474024004"/>
  </r>
  <r>
    <s v="RCF Thal"/>
    <s v="N.C.Urea(45kg)"/>
    <s v="WB"/>
    <x v="0"/>
    <m/>
    <s v="User Not Mapped"/>
    <s v="User Not Mapped"/>
    <s v="User Not Mapped"/>
    <n v="331502"/>
    <s v="Mondal Krishi Bhandar"/>
    <s v="Private Retailer"/>
    <s v="9735554044"/>
    <n v="2.79"/>
    <n v="1578"/>
    <x v="7"/>
    <m/>
    <s v="2021-12-31"/>
    <s v="268815"/>
    <s v="Chitta Ranjan Dey"/>
    <s v="9434744870"/>
  </r>
  <r>
    <s v="RCF Trombay"/>
    <s v="15-15-15"/>
    <s v="WB"/>
    <x v="0"/>
    <m/>
    <s v="User Not Mapped"/>
    <s v="User Not Mapped"/>
    <s v="User Not Mapped"/>
    <n v="331786"/>
    <s v="Omar Ali Mondal"/>
    <s v="Private Retailer"/>
    <s v="9609163317"/>
    <n v="3.5000000000000003E-2"/>
    <n v="1018"/>
    <x v="7"/>
    <m/>
    <s v="2023-07-14"/>
    <s v="268815"/>
    <s v="Chitta Ranjan Dey"/>
    <s v="9434744870"/>
  </r>
  <r>
    <s v="RCF Import"/>
    <s v="MOP"/>
    <s v="WB"/>
    <x v="0"/>
    <m/>
    <s v="User Not Mapped"/>
    <s v="User Not Mapped"/>
    <s v="User Not Mapped"/>
    <n v="341452"/>
    <s v="Haque Krishi Bhander"/>
    <s v="Private Retailer"/>
    <s v="9775513733"/>
    <n v="1"/>
    <n v="227"/>
    <x v="3"/>
    <m/>
    <s v="2025-09-12"/>
    <s v="655489"/>
    <s v="Mondal Krishi Bhandar"/>
    <s v="9733762735"/>
  </r>
  <r>
    <s v="RCF Thal"/>
    <s v="N.C.Urea(45kg)"/>
    <s v="WB"/>
    <x v="0"/>
    <m/>
    <s v="User Not Mapped"/>
    <s v="User Not Mapped"/>
    <s v="User Not Mapped"/>
    <n v="342398"/>
    <s v="Samir Kumar Ghosh"/>
    <s v="Private Retailer"/>
    <s v="9635982670"/>
    <n v="5.22"/>
    <n v="46"/>
    <x v="1"/>
    <m/>
    <s v="2026-03-12"/>
    <s v="268815"/>
    <s v="Chitta Ranjan Dey"/>
    <s v="9434744870"/>
  </r>
  <r>
    <s v="RCF Thal"/>
    <s v="N.C.Urea(45kg)"/>
    <s v="WB"/>
    <x v="0"/>
    <m/>
    <s v="User Not Mapped"/>
    <s v="User Not Mapped"/>
    <s v="User Not Mapped"/>
    <n v="355090"/>
    <s v="K Ali Das Das"/>
    <s v="Private Retailer"/>
    <s v="9733764141"/>
    <n v="0.15"/>
    <n v="2131"/>
    <x v="7"/>
    <m/>
    <s v="2020-06-26"/>
    <s v="1081212"/>
    <s v="Jagannath Mukhopadhyay"/>
    <s v="9732764229"/>
  </r>
  <r>
    <s v="RCF Trombay"/>
    <s v="15-15-15"/>
    <s v="WB"/>
    <x v="0"/>
    <m/>
    <s v="User Not Mapped"/>
    <s v="User Not Mapped"/>
    <s v="User Not Mapped"/>
    <n v="355090"/>
    <s v="K Ali Das Das"/>
    <s v="Private Retailer"/>
    <s v="9733764141"/>
    <n v="0.41"/>
    <n v="1769"/>
    <x v="7"/>
    <m/>
    <s v="2021-06-23"/>
    <s v="1081212"/>
    <s v="Jagannath Mukhopadhyay"/>
    <s v="9732764229"/>
  </r>
  <r>
    <s v="RCF Trombay"/>
    <s v="15-15-15"/>
    <s v="WB"/>
    <x v="0"/>
    <m/>
    <s v="User Not Mapped"/>
    <s v="User Not Mapped"/>
    <s v="User Not Mapped"/>
    <n v="355106"/>
    <s v="Ali Kadar Mondal"/>
    <s v="Private Retailer"/>
    <s v="9735774992"/>
    <n v="7.0000000000000007E-2"/>
    <n v="2673"/>
    <x v="7"/>
    <m/>
    <s v="2019-01-01"/>
    <s v="11"/>
    <s v="Too Old Stock"/>
    <m/>
  </r>
  <r>
    <s v="RCF Trombay"/>
    <s v="N.C.Urea(45kg)"/>
    <s v="WB"/>
    <x v="0"/>
    <m/>
    <s v="User Not Mapped"/>
    <s v="User Not Mapped"/>
    <s v="User Not Mapped"/>
    <n v="355112"/>
    <s v="Anupam  Mondal"/>
    <s v="Private Retailer"/>
    <s v="8617422952"/>
    <n v="1.89"/>
    <n v="62"/>
    <x v="2"/>
    <m/>
    <s v="2026-02-24"/>
    <s v="268815"/>
    <s v="Chitta Ranjan Dey"/>
    <s v="9434744870"/>
  </r>
  <r>
    <s v="RCF Import"/>
    <s v="MOP"/>
    <s v="WB"/>
    <x v="0"/>
    <m/>
    <s v="User Not Mapped"/>
    <s v="User Not Mapped"/>
    <s v="User Not Mapped"/>
    <n v="355112"/>
    <s v="Anupam  Mondal"/>
    <s v="Private Retailer"/>
    <s v="8617422952"/>
    <n v="4.3"/>
    <n v="59"/>
    <x v="1"/>
    <m/>
    <s v="2026-02-27"/>
    <s v="268815"/>
    <s v="Chitta Ranjan Dey"/>
    <s v="9434744870"/>
  </r>
  <r>
    <s v="RCF Thal"/>
    <s v="N.C.Urea(45kg)"/>
    <s v="WB"/>
    <x v="0"/>
    <m/>
    <s v="User Not Mapped"/>
    <s v="User Not Mapped"/>
    <s v="User Not Mapped"/>
    <n v="355112"/>
    <s v="Anupam  Mondal"/>
    <s v="Private Retailer"/>
    <s v="8617422952"/>
    <n v="9.99"/>
    <n v="20"/>
    <x v="4"/>
    <m/>
    <s v="2026-04-07"/>
    <s v="268815"/>
    <s v="Chitta Ranjan Dey"/>
    <s v="9434744870"/>
  </r>
  <r>
    <s v="RCF Import"/>
    <s v="Imp 10-26-26"/>
    <s v="WB"/>
    <x v="0"/>
    <m/>
    <s v="User Not Mapped"/>
    <s v="User Not Mapped"/>
    <s v="User Not Mapped"/>
    <n v="355112"/>
    <s v="Anupam  Mondal"/>
    <s v="Private Retailer"/>
    <s v="8617422952"/>
    <n v="5"/>
    <n v="27"/>
    <x v="4"/>
    <m/>
    <s v="2026-03-31"/>
    <s v="223811"/>
    <s v="Chanchal Kumar Dey"/>
    <s v="9434616928"/>
  </r>
  <r>
    <s v="RCF Import"/>
    <s v="Imp 10-26-26"/>
    <s v="WB"/>
    <x v="0"/>
    <m/>
    <s v="User Not Mapped"/>
    <s v="User Not Mapped"/>
    <s v="User Not Mapped"/>
    <n v="355112"/>
    <s v="Anupam  Mondal"/>
    <s v="Private Retailer"/>
    <s v="8617422952"/>
    <n v="4.1500000000000004"/>
    <n v="28"/>
    <x v="4"/>
    <m/>
    <s v="2026-03-30"/>
    <s v="268815"/>
    <s v="Chitta Ranjan Dey"/>
    <s v="9434744870"/>
  </r>
  <r>
    <s v="RCF Trombay"/>
    <s v="15-15-15"/>
    <s v="WB"/>
    <x v="0"/>
    <m/>
    <s v="User Not Mapped"/>
    <s v="User Not Mapped"/>
    <s v="User Not Mapped"/>
    <n v="355112"/>
    <s v="Anupam  Mondal"/>
    <s v="Private Retailer"/>
    <s v="8617422952"/>
    <n v="2.2000000000000002"/>
    <n v="62"/>
    <x v="2"/>
    <m/>
    <s v="2026-02-24"/>
    <s v="268815"/>
    <s v="Chitta Ranjan Dey"/>
    <s v="9434744870"/>
  </r>
  <r>
    <s v="RCF Trombay"/>
    <s v="15-15-15"/>
    <s v="WB"/>
    <x v="0"/>
    <m/>
    <s v="User Not Mapped"/>
    <s v="User Not Mapped"/>
    <s v="User Not Mapped"/>
    <n v="355115"/>
    <s v="Ashim Ghosh"/>
    <s v="Private Retailer"/>
    <s v="7478849392"/>
    <n v="6.7000000000000004E-2"/>
    <n v="2673"/>
    <x v="7"/>
    <m/>
    <s v="2019-01-01"/>
    <s v="11"/>
    <s v="Too Old Stock"/>
    <m/>
  </r>
  <r>
    <s v="RCF Trombay"/>
    <s v="N.C.Urea(45kg)"/>
    <s v="WB"/>
    <x v="0"/>
    <m/>
    <s v="User Not Mapped"/>
    <s v="User Not Mapped"/>
    <s v="User Not Mapped"/>
    <n v="355172"/>
    <s v="Khalek Mondal"/>
    <s v="Private Retailer"/>
    <s v="9547288570"/>
    <n v="2.4750000000000001"/>
    <n v="1759"/>
    <x v="7"/>
    <m/>
    <s v="2021-07-03"/>
    <s v="311050"/>
    <s v="M/S Suchitra Ghosh"/>
    <s v="9609145715"/>
  </r>
  <r>
    <s v="RCF Trombay"/>
    <s v="15-15-15"/>
    <s v="WB"/>
    <x v="0"/>
    <m/>
    <s v="User Not Mapped"/>
    <s v="User Not Mapped"/>
    <s v="User Not Mapped"/>
    <n v="355172"/>
    <s v="Khalek Mondal"/>
    <s v="Private Retailer"/>
    <s v="9547288570"/>
    <n v="1.7"/>
    <n v="1759"/>
    <x v="7"/>
    <m/>
    <s v="2021-07-03"/>
    <s v="311050"/>
    <s v="M/S Suchitra Ghosh"/>
    <s v="9609145715"/>
  </r>
  <r>
    <s v="RCF Import"/>
    <s v="Imp 10-26-26"/>
    <s v="WB"/>
    <x v="0"/>
    <m/>
    <s v="User Not Mapped"/>
    <s v="User Not Mapped"/>
    <s v="User Not Mapped"/>
    <n v="355216"/>
    <s v="Laxman Chandra Biswas"/>
    <s v="Private Retailer"/>
    <s v="9647324568"/>
    <n v="2.2999999999999998"/>
    <n v="247"/>
    <x v="3"/>
    <m/>
    <s v="2025-08-23"/>
    <s v="223812"/>
    <s v="M/S. Shyma Krishi B"/>
    <s v="8617629886"/>
  </r>
  <r>
    <s v="RCF Trombay"/>
    <s v="N.C.Urea(45kg)"/>
    <s v="WB"/>
    <x v="0"/>
    <m/>
    <s v="User Not Mapped"/>
    <s v="User Not Mapped"/>
    <s v="User Not Mapped"/>
    <n v="355216"/>
    <s v="Laxman Chandra Biswas"/>
    <s v="Private Retailer"/>
    <s v="9647324568"/>
    <n v="5.49"/>
    <n v="10"/>
    <x v="4"/>
    <m/>
    <s v="2026-04-17"/>
    <s v="328271"/>
    <s v="Amal Sales Corporation"/>
    <s v="7908257456"/>
  </r>
  <r>
    <s v="RCF Trombay"/>
    <s v="15-15-15"/>
    <s v="WB"/>
    <x v="0"/>
    <m/>
    <s v="User Not Mapped"/>
    <s v="User Not Mapped"/>
    <s v="User Not Mapped"/>
    <n v="355216"/>
    <s v="Laxman Chandra Biswas"/>
    <s v="Private Retailer"/>
    <s v="9647324568"/>
    <n v="2.2000000000000002"/>
    <n v="10"/>
    <x v="4"/>
    <m/>
    <s v="2026-04-17"/>
    <s v="328271"/>
    <s v="Amal Sales Corporation"/>
    <s v="7908257456"/>
  </r>
  <r>
    <s v="RCF Trombay"/>
    <s v="N.C.Urea(45kg)"/>
    <s v="WB"/>
    <x v="0"/>
    <m/>
    <s v="User Not Mapped"/>
    <s v="User Not Mapped"/>
    <s v="User Not Mapped"/>
    <n v="355216"/>
    <s v="Laxman Chandra Biswas"/>
    <s v="Private Retailer"/>
    <s v="9647324568"/>
    <n v="5.1749999999999998"/>
    <n v="39"/>
    <x v="1"/>
    <m/>
    <s v="2026-03-19"/>
    <s v="328271"/>
    <s v="Amal Sales Corporation"/>
    <s v="7908257456"/>
  </r>
  <r>
    <s v="RCF Trombay"/>
    <s v="15-15-15"/>
    <s v="WB"/>
    <x v="0"/>
    <m/>
    <s v="User Not Mapped"/>
    <s v="User Not Mapped"/>
    <s v="User Not Mapped"/>
    <n v="355227"/>
    <s v="Liton  Mondal"/>
    <s v="Private Retailer"/>
    <s v="7001460767"/>
    <n v="0.9"/>
    <n v="432"/>
    <x v="6"/>
    <m/>
    <s v="2025-02-19"/>
    <s v="223812"/>
    <s v="M/S. Shyma Krishi B"/>
    <s v="8617629886"/>
  </r>
  <r>
    <s v="RCF Thal"/>
    <s v="N.C.Urea(45kg)"/>
    <s v="WB"/>
    <x v="0"/>
    <m/>
    <s v="User Not Mapped"/>
    <s v="User Not Mapped"/>
    <s v="User Not Mapped"/>
    <n v="355227"/>
    <s v="Liton  Mondal"/>
    <s v="Private Retailer"/>
    <s v="7001460767"/>
    <n v="2.5649999999999999"/>
    <n v="199"/>
    <x v="3"/>
    <m/>
    <s v="2025-10-10"/>
    <s v="281522"/>
    <s v="N.C. Das and Co."/>
    <s v="6297603863"/>
  </r>
  <r>
    <s v="RCF Trombay"/>
    <s v="N.C.Urea(45kg)"/>
    <s v="WB"/>
    <x v="0"/>
    <m/>
    <s v="User Not Mapped"/>
    <s v="User Not Mapped"/>
    <s v="User Not Mapped"/>
    <n v="355227"/>
    <s v="Liton  Mondal"/>
    <s v="Private Retailer"/>
    <s v="7001460767"/>
    <n v="3.94"/>
    <n v="63"/>
    <x v="2"/>
    <m/>
    <s v="2026-02-23"/>
    <s v="223812"/>
    <s v="M/S. Shyma Krishi B"/>
    <s v="8617629886"/>
  </r>
  <r>
    <s v="RCF Import"/>
    <s v="Imp 10-26-26"/>
    <s v="WB"/>
    <x v="0"/>
    <m/>
    <s v="User Not Mapped"/>
    <s v="User Not Mapped"/>
    <s v="User Not Mapped"/>
    <n v="355227"/>
    <s v="Liton  Mondal"/>
    <s v="Private Retailer"/>
    <s v="7001460767"/>
    <n v="5.5"/>
    <n v="62"/>
    <x v="2"/>
    <m/>
    <s v="2026-02-24"/>
    <s v="223812"/>
    <s v="M/S. Shyma Krishi B"/>
    <s v="8617629886"/>
  </r>
  <r>
    <s v="RCF Import"/>
    <s v="MOP"/>
    <s v="WB"/>
    <x v="0"/>
    <m/>
    <s v="User Not Mapped"/>
    <s v="User Not Mapped"/>
    <s v="User Not Mapped"/>
    <n v="355227"/>
    <s v="Liton  Mondal"/>
    <s v="Private Retailer"/>
    <s v="7001460767"/>
    <n v="0.5"/>
    <n v="434"/>
    <x v="6"/>
    <m/>
    <s v="2025-02-17"/>
    <s v="223812"/>
    <s v="M/S. Shyma Krishi B"/>
    <s v="8617629886"/>
  </r>
  <r>
    <s v="RCF Trombay"/>
    <s v="15-15-15"/>
    <s v="WB"/>
    <x v="0"/>
    <m/>
    <s v="User Not Mapped"/>
    <s v="User Not Mapped"/>
    <s v="User Not Mapped"/>
    <n v="355360"/>
    <s v="Md.Abdul  Khalek  Mondal"/>
    <s v="Private Retailer"/>
    <s v="9732528799"/>
    <n v="2.6"/>
    <n v="2071"/>
    <x v="7"/>
    <m/>
    <s v="2020-08-25"/>
    <s v="311050"/>
    <s v="M/S Suchitra Ghosh"/>
    <s v="9609145715"/>
  </r>
  <r>
    <s v="RCF Trombay"/>
    <s v="N.C.Urea(45kg)"/>
    <s v="WB"/>
    <x v="0"/>
    <m/>
    <s v="User Not Mapped"/>
    <s v="User Not Mapped"/>
    <s v="User Not Mapped"/>
    <n v="355360"/>
    <s v="Md.Abdul  Khalek  Mondal"/>
    <s v="Private Retailer"/>
    <s v="9732528799"/>
    <n v="4.4550000000000001"/>
    <n v="2071"/>
    <x v="7"/>
    <m/>
    <s v="2020-08-25"/>
    <s v="311050"/>
    <s v="M/S Suchitra Ghosh"/>
    <s v="9609145715"/>
  </r>
  <r>
    <s v="RCF Thal"/>
    <s v="N.C.Urea(45kg)"/>
    <s v="WB"/>
    <x v="0"/>
    <m/>
    <s v="User Not Mapped"/>
    <s v="User Not Mapped"/>
    <s v="User Not Mapped"/>
    <n v="355697"/>
    <s v="Monoranjan Biswas"/>
    <s v="Private Retailer"/>
    <s v="8436456816"/>
    <n v="1.17"/>
    <n v="2227"/>
    <x v="7"/>
    <m/>
    <s v="2020-03-22"/>
    <s v="1036455"/>
    <s v="Monoranjan Biswas"/>
    <s v="8436456816"/>
  </r>
  <r>
    <s v="RCF Trombay"/>
    <s v="15-15-15"/>
    <s v="WB"/>
    <x v="0"/>
    <m/>
    <s v="User Not Mapped"/>
    <s v="User Not Mapped"/>
    <s v="User Not Mapped"/>
    <n v="355887"/>
    <s v="Pan Krishi Bhander"/>
    <s v="Private Retailer"/>
    <s v="9239400746"/>
    <n v="0.22500000000000001"/>
    <n v="1474"/>
    <x v="7"/>
    <m/>
    <s v="2022-04-14"/>
    <s v="268650"/>
    <s v="Barasat Krishi Bipani"/>
    <s v="8336087625"/>
  </r>
  <r>
    <s v="RCF Trombay"/>
    <s v="15-15-15"/>
    <s v="WB"/>
    <x v="0"/>
    <m/>
    <s v="User Not Mapped"/>
    <s v="User Not Mapped"/>
    <s v="User Not Mapped"/>
    <n v="355887"/>
    <s v="Pan Krishi Bhander"/>
    <s v="Private Retailer"/>
    <s v="9239400746"/>
    <n v="0.2"/>
    <n v="2412"/>
    <x v="7"/>
    <m/>
    <s v="2019-09-19"/>
    <s v="268764"/>
    <s v="Chanchala Fertilizer"/>
    <s v="9830608031"/>
  </r>
  <r>
    <s v="RCF Trombay"/>
    <s v="15-15-15"/>
    <s v="WB"/>
    <x v="0"/>
    <m/>
    <s v="User Not Mapped"/>
    <s v="User Not Mapped"/>
    <s v="User Not Mapped"/>
    <n v="355946"/>
    <s v="Profllya Chandra   Mondal"/>
    <s v="Private Retailer"/>
    <s v="9733551738"/>
    <n v="0.05"/>
    <n v="1937"/>
    <x v="7"/>
    <m/>
    <s v="2021-01-06"/>
    <s v="1113311"/>
    <s v="Chitta Ranjan Dey"/>
    <s v="7908037468"/>
  </r>
  <r>
    <s v="RCF Thal"/>
    <s v="N.C.Urea(45kg)"/>
    <s v="WB"/>
    <x v="0"/>
    <m/>
    <s v="User Not Mapped"/>
    <s v="User Not Mapped"/>
    <s v="User Not Mapped"/>
    <n v="411091"/>
    <s v="Saria Krishi Bhander"/>
    <s v="Private Retailer"/>
    <s v="9733746611"/>
    <n v="3.5000000000000003E-2"/>
    <n v="1531"/>
    <x v="7"/>
    <m/>
    <s v="2022-02-16"/>
    <s v="268815"/>
    <s v="Chitta Ranjan Dey"/>
    <s v="9434744870"/>
  </r>
  <r>
    <s v="RCF Trombay"/>
    <s v="N.C.Urea(45kg)"/>
    <s v="WB"/>
    <x v="0"/>
    <m/>
    <s v="User Not Mapped"/>
    <s v="User Not Mapped"/>
    <s v="User Not Mapped"/>
    <n v="411189"/>
    <s v="Sadhan Kumar Dey"/>
    <s v="Private Retailer"/>
    <s v="9093884652"/>
    <n v="0.63"/>
    <n v="59"/>
    <x v="1"/>
    <m/>
    <s v="2026-02-27"/>
    <s v="223812"/>
    <s v="M/S. Shyma Krishi B"/>
    <s v="8617629886"/>
  </r>
  <r>
    <s v="RCF Trombay SCU"/>
    <s v="Sulphur Coated Urea(40Kg)"/>
    <s v="WB"/>
    <x v="0"/>
    <m/>
    <s v="User Not Mapped"/>
    <s v="User Not Mapped"/>
    <s v="User Not Mapped"/>
    <n v="411189"/>
    <s v="Sadhan Kumar Dey"/>
    <s v="Private Retailer"/>
    <s v="9093884652"/>
    <n v="1"/>
    <n v="59"/>
    <x v="1"/>
    <m/>
    <s v="2026-02-27"/>
    <s v="223812"/>
    <s v="M/S. Shyma Krishi B"/>
    <s v="8617629886"/>
  </r>
  <r>
    <s v="RCF Trombay"/>
    <s v="15-15-15"/>
    <s v="WB"/>
    <x v="0"/>
    <m/>
    <s v="User Not Mapped"/>
    <s v="User Not Mapped"/>
    <s v="User Not Mapped"/>
    <n v="411211"/>
    <s v="M/S Bipul Fertilizer Store"/>
    <s v="Private Retailer"/>
    <s v="8777515160"/>
    <n v="2.4500000000000002"/>
    <n v="98"/>
    <x v="5"/>
    <m/>
    <s v="2026-01-19"/>
    <s v="281511"/>
    <s v="Malakshmi Krishi Bhandar      "/>
    <s v="9800561868"/>
  </r>
  <r>
    <s v="RCF Trombay"/>
    <s v="15-15-15"/>
    <s v="WB"/>
    <x v="0"/>
    <m/>
    <s v="User Not Mapped"/>
    <s v="User Not Mapped"/>
    <s v="User Not Mapped"/>
    <n v="411251"/>
    <s v="Uttam Deb Noth"/>
    <s v="Private Retailer"/>
    <s v="9732925838"/>
    <n v="0.5"/>
    <n v="1296"/>
    <x v="7"/>
    <m/>
    <s v="2022-10-09"/>
    <s v="901234"/>
    <s v="M/S ARINDAM NANDI"/>
    <s v="9153209294"/>
  </r>
  <r>
    <s v="RCF Trombay"/>
    <s v="15-15-15"/>
    <s v="WB"/>
    <x v="0"/>
    <m/>
    <s v="User Not Mapped"/>
    <s v="User Not Mapped"/>
    <s v="User Not Mapped"/>
    <n v="411281"/>
    <s v="Salauddin Biswas"/>
    <s v="Private Retailer"/>
    <s v="9153437959"/>
    <n v="0.06"/>
    <n v="2673"/>
    <x v="7"/>
    <m/>
    <s v="2019-01-01"/>
    <s v="11"/>
    <s v="Too Old Stock"/>
    <m/>
  </r>
  <r>
    <s v="RCF Trombay"/>
    <s v="15-15-15"/>
    <s v="WB"/>
    <x v="0"/>
    <m/>
    <s v="User Not Mapped"/>
    <s v="User Not Mapped"/>
    <s v="User Not Mapped"/>
    <n v="411429"/>
    <s v="Subhas Kapat"/>
    <s v="Private Retailer"/>
    <s v="9647228470"/>
    <n v="7.0000000000000007E-2"/>
    <n v="2673"/>
    <x v="7"/>
    <m/>
    <s v="2019-01-01"/>
    <s v="11"/>
    <s v="Too Old Stock"/>
    <m/>
  </r>
  <r>
    <s v="RCF Trombay"/>
    <s v="15-15-15"/>
    <s v="WB"/>
    <x v="0"/>
    <m/>
    <s v="User Not Mapped"/>
    <s v="User Not Mapped"/>
    <s v="User Not Mapped"/>
    <n v="411451"/>
    <s v="Anup Ghosh"/>
    <s v="Private Retailer"/>
    <s v="9641378793"/>
    <n v="2.97"/>
    <n v="1943"/>
    <x v="7"/>
    <m/>
    <s v="2020-12-31"/>
    <s v="600929"/>
    <s v="Anukul Kumar Khan"/>
    <s v="9547730250"/>
  </r>
  <r>
    <s v="RCF Trombay"/>
    <s v="15-15-15"/>
    <s v="WB"/>
    <x v="0"/>
    <m/>
    <s v="User Not Mapped"/>
    <s v="User Not Mapped"/>
    <s v="User Not Mapped"/>
    <n v="411451"/>
    <s v="Anup Ghosh"/>
    <s v="Private Retailer"/>
    <s v="9641378793"/>
    <n v="5"/>
    <n v="1886"/>
    <x v="7"/>
    <m/>
    <s v="2021-02-26"/>
    <s v="600929"/>
    <s v="Anukul Kumar Khan"/>
    <s v="9547730250"/>
  </r>
  <r>
    <s v="RCF Trombay"/>
    <s v="N.C.Urea(45kg)"/>
    <s v="WB"/>
    <x v="0"/>
    <m/>
    <s v="User Not Mapped"/>
    <s v="User Not Mapped"/>
    <s v="User Not Mapped"/>
    <n v="455948"/>
    <s v="Mongal Biswas"/>
    <s v="Private Retailer"/>
    <s v="9609118632"/>
    <n v="7.6950000000000003"/>
    <n v="1430"/>
    <x v="7"/>
    <m/>
    <s v="2022-05-28"/>
    <s v="223807"/>
    <s v="M.K. Chemical and Fertilizers"/>
    <s v="9051316329"/>
  </r>
  <r>
    <s v="RCF Trombay"/>
    <s v="15-15-15"/>
    <s v="WB"/>
    <x v="0"/>
    <m/>
    <s v="User Not Mapped"/>
    <s v="User Not Mapped"/>
    <s v="User Not Mapped"/>
    <n v="455948"/>
    <s v="Mongal Biswas"/>
    <s v="Private Retailer"/>
    <s v="9609118632"/>
    <n v="0.05"/>
    <n v="1430"/>
    <x v="7"/>
    <m/>
    <s v="2022-05-28"/>
    <s v="223807"/>
    <s v="M.K. Chemical and Fertilizers"/>
    <s v="9051316329"/>
  </r>
  <r>
    <s v="RCF Trombay"/>
    <s v="15-15-15"/>
    <s v="WB"/>
    <x v="0"/>
    <m/>
    <s v="User Not Mapped"/>
    <s v="User Not Mapped"/>
    <s v="User Not Mapped"/>
    <n v="456878"/>
    <s v="M/S Hasya Badan Makul"/>
    <s v="Private Retailer"/>
    <s v="9836907019"/>
    <n v="0.05"/>
    <n v="2673"/>
    <x v="7"/>
    <m/>
    <s v="2019-01-01"/>
    <s v="11"/>
    <s v="Too Old Stock"/>
    <m/>
  </r>
  <r>
    <s v="RCF Trombay"/>
    <s v="15-15-15"/>
    <s v="WB"/>
    <x v="0"/>
    <m/>
    <s v="User Not Mapped"/>
    <s v="User Not Mapped"/>
    <s v="User Not Mapped"/>
    <n v="457458"/>
    <s v="Dipankar Sikdar"/>
    <s v="Private Retailer"/>
    <s v="9732622093"/>
    <n v="0.20499999999999999"/>
    <n v="2673"/>
    <x v="7"/>
    <m/>
    <s v="2019-01-01"/>
    <s v="11"/>
    <s v="Too Old Stock"/>
    <m/>
  </r>
  <r>
    <s v="RCF Trombay"/>
    <s v="15-15-15"/>
    <s v="WB"/>
    <x v="0"/>
    <m/>
    <s v="User Not Mapped"/>
    <s v="User Not Mapped"/>
    <s v="User Not Mapped"/>
    <n v="457482"/>
    <s v="Kartick Ch.Sarkar"/>
    <s v="Private Retailer"/>
    <s v="6297939158"/>
    <n v="0.65"/>
    <n v="162"/>
    <x v="0"/>
    <m/>
    <s v="2025-11-16"/>
    <s v="281511"/>
    <s v="Malakshmi Krishi Bhandar      "/>
    <s v="9800561868"/>
  </r>
  <r>
    <s v="RCF Trombay"/>
    <s v="15-15-15"/>
    <s v="WB"/>
    <x v="0"/>
    <m/>
    <s v="User Not Mapped"/>
    <s v="User Not Mapped"/>
    <s v="User Not Mapped"/>
    <n v="457843"/>
    <s v="Biswajit Ghosh"/>
    <s v="Private Retailer"/>
    <s v="8670077370"/>
    <n v="0.02"/>
    <n v="2673"/>
    <x v="7"/>
    <m/>
    <s v="2019-01-01"/>
    <s v="11"/>
    <s v="Too Old Stock"/>
    <m/>
  </r>
  <r>
    <s v="RCF Thal"/>
    <s v="Th Urea(50 Kg)"/>
    <s v="WB"/>
    <x v="0"/>
    <m/>
    <s v="User Not Mapped"/>
    <s v="User Not Mapped"/>
    <s v="User Not Mapped"/>
    <n v="458107"/>
    <s v="Jayanta Sen"/>
    <s v="Private Retailer"/>
    <s v="9734673616"/>
    <n v="0.23799999999999999"/>
    <n v="2673"/>
    <x v="7"/>
    <m/>
    <s v="2019-01-01"/>
    <s v="11"/>
    <s v="Too Old Stock"/>
    <m/>
  </r>
  <r>
    <s v="RCF Trombay"/>
    <s v="15-15-15"/>
    <s v="WB"/>
    <x v="0"/>
    <m/>
    <s v="User Not Mapped"/>
    <s v="User Not Mapped"/>
    <s v="User Not Mapped"/>
    <n v="458107"/>
    <s v="Jayanta Sen"/>
    <s v="Private Retailer"/>
    <s v="9734673616"/>
    <n v="2.1999999999999999E-2"/>
    <n v="2673"/>
    <x v="7"/>
    <m/>
    <s v="2019-01-01"/>
    <s v="11"/>
    <s v="Too Old Stock"/>
    <m/>
  </r>
  <r>
    <s v="RCF Trombay"/>
    <s v="15-15-15"/>
    <s v="WB"/>
    <x v="0"/>
    <m/>
    <s v="User Not Mapped"/>
    <s v="User Not Mapped"/>
    <s v="User Not Mapped"/>
    <n v="460729"/>
    <s v="M/S Matri Krishi Bhander"/>
    <s v="Private Retailer"/>
    <s v="7679933127"/>
    <n v="0.44500000000000001"/>
    <n v="2673"/>
    <x v="7"/>
    <m/>
    <s v="2019-01-01"/>
    <s v="11"/>
    <s v="Too Old Stock"/>
    <m/>
  </r>
  <r>
    <s v="RCF Trombay"/>
    <s v="15-15-15"/>
    <s v="WB"/>
    <x v="0"/>
    <m/>
    <s v="User Not Mapped"/>
    <s v="User Not Mapped"/>
    <s v="User Not Mapped"/>
    <n v="462715"/>
    <s v="Jayasri Fertilizer"/>
    <s v="Private Retailer"/>
    <s v="9674134806"/>
    <n v="0.25"/>
    <n v="2673"/>
    <x v="7"/>
    <m/>
    <s v="2019-01-01"/>
    <s v="11"/>
    <s v="Too Old Stock"/>
    <m/>
  </r>
  <r>
    <s v="RCF Trombay"/>
    <s v="15-15-15"/>
    <s v="WB"/>
    <x v="0"/>
    <m/>
    <s v="User Not Mapped"/>
    <s v="User Not Mapped"/>
    <s v="User Not Mapped"/>
    <n v="479755"/>
    <s v="Goutam And Soumen Chowdhury"/>
    <s v="Private Retailer"/>
    <s v="9609165246"/>
    <n v="0.5"/>
    <n v="2673"/>
    <x v="7"/>
    <m/>
    <s v="2019-01-01"/>
    <s v="11"/>
    <s v="Too Old Stock"/>
    <m/>
  </r>
  <r>
    <s v="RCF Trombay"/>
    <s v="N.C.Urea(45kg)"/>
    <s v="WB"/>
    <x v="0"/>
    <m/>
    <s v="User Not Mapped"/>
    <s v="User Not Mapped"/>
    <s v="User Not Mapped"/>
    <n v="481033"/>
    <s v="Imtiaz Ahmed"/>
    <s v="Private Retailer"/>
    <s v="9531615535"/>
    <n v="0.13500000000000001"/>
    <n v="1448"/>
    <x v="7"/>
    <m/>
    <s v="2022-05-10"/>
    <s v="328271"/>
    <s v="Amal Sales Corporation"/>
    <s v="7908257456"/>
  </r>
  <r>
    <s v="RCF Trombay"/>
    <s v="15-15-15"/>
    <s v="WB"/>
    <x v="0"/>
    <m/>
    <s v="User Not Mapped"/>
    <s v="User Not Mapped"/>
    <s v="User Not Mapped"/>
    <n v="481033"/>
    <s v="Imtiaz Ahmed"/>
    <s v="Private Retailer"/>
    <s v="9531615535"/>
    <n v="0.5"/>
    <n v="1346"/>
    <x v="7"/>
    <m/>
    <s v="2022-08-20"/>
    <s v="328271"/>
    <s v="Amal Sales Corporation"/>
    <s v="7908257456"/>
  </r>
  <r>
    <s v="RCF Trombay"/>
    <s v="15-15-15"/>
    <s v="WB"/>
    <x v="0"/>
    <m/>
    <s v="User Not Mapped"/>
    <s v="User Not Mapped"/>
    <s v="User Not Mapped"/>
    <n v="481033"/>
    <s v="Imtiaz Ahmed"/>
    <s v="Private Retailer"/>
    <s v="9531615535"/>
    <n v="0.2"/>
    <n v="1386"/>
    <x v="7"/>
    <m/>
    <s v="2022-07-11"/>
    <s v="328271"/>
    <s v="Amal Sales Corporation"/>
    <s v="7908257456"/>
  </r>
  <r>
    <s v="RCF Trombay"/>
    <s v="15-15-15"/>
    <s v="WB"/>
    <x v="0"/>
    <m/>
    <s v="User Not Mapped"/>
    <s v="User Not Mapped"/>
    <s v="User Not Mapped"/>
    <n v="487193"/>
    <s v="Ahana Krishi Bhandar"/>
    <s v="Private Retailer"/>
    <s v="9883052263"/>
    <n v="0.45"/>
    <n v="1944"/>
    <x v="7"/>
    <m/>
    <s v="2020-12-30"/>
    <s v="949738"/>
    <s v="sABIR FERTILIZER"/>
    <s v="9051027794"/>
  </r>
  <r>
    <s v="RCF Trombay"/>
    <s v="15-15-15"/>
    <s v="WB"/>
    <x v="0"/>
    <m/>
    <s v="User Not Mapped"/>
    <s v="User Not Mapped"/>
    <s v="User Not Mapped"/>
    <n v="487193"/>
    <s v="Ahana Krishi Bhandar"/>
    <s v="Private Retailer"/>
    <s v="9883052263"/>
    <n v="1"/>
    <n v="1894"/>
    <x v="7"/>
    <m/>
    <s v="2021-02-18"/>
    <s v="949738"/>
    <s v="sABIR FERTILIZER"/>
    <s v="9051027794"/>
  </r>
  <r>
    <s v="RCF Trombay"/>
    <s v="15-15-15"/>
    <s v="WB"/>
    <x v="0"/>
    <m/>
    <s v="User Not Mapped"/>
    <s v="User Not Mapped"/>
    <s v="User Not Mapped"/>
    <n v="487640"/>
    <s v="Raj Krishi Bhandar"/>
    <s v="Private Retailer"/>
    <s v="9732855180"/>
    <n v="1.3"/>
    <n v="1262"/>
    <x v="7"/>
    <m/>
    <s v="2022-11-12"/>
    <s v="268815"/>
    <s v="Chitta Ranjan Dey"/>
    <s v="9434744870"/>
  </r>
  <r>
    <s v="RCF Thal"/>
    <s v="N.C.Urea(45kg)"/>
    <s v="WB"/>
    <x v="0"/>
    <m/>
    <s v="User Not Mapped"/>
    <s v="User Not Mapped"/>
    <s v="User Not Mapped"/>
    <n v="487640"/>
    <s v="Raj Krishi Bhandar"/>
    <s v="Private Retailer"/>
    <s v="9732855180"/>
    <n v="1.17"/>
    <n v="1210"/>
    <x v="7"/>
    <m/>
    <s v="2023-01-03"/>
    <s v="405249"/>
    <s v="Saha Krishi Bhandar"/>
    <s v="9734801636"/>
  </r>
  <r>
    <s v="RCF Trombay"/>
    <s v="15-15-15"/>
    <s v="WB"/>
    <x v="0"/>
    <m/>
    <s v="User Not Mapped"/>
    <s v="User Not Mapped"/>
    <s v="User Not Mapped"/>
    <n v="487654"/>
    <s v="Parul Bibi"/>
    <s v="Private Retailer"/>
    <s v="9735491360"/>
    <n v="1E-3"/>
    <n v="2585"/>
    <x v="7"/>
    <m/>
    <s v="2019-03-30"/>
    <s v="663871"/>
    <s v="Sonali Enterprise"/>
    <s v="8250035491"/>
  </r>
  <r>
    <s v="RCF Thal"/>
    <s v="N.C.Urea(45kg)"/>
    <s v="WB"/>
    <x v="0"/>
    <m/>
    <s v="User Not Mapped"/>
    <s v="User Not Mapped"/>
    <s v="User Not Mapped"/>
    <n v="490395"/>
    <s v="Goutam Mondal"/>
    <s v="Private Retailer"/>
    <s v="7679777520"/>
    <n v="1.26"/>
    <n v="2130"/>
    <x v="7"/>
    <m/>
    <s v="2020-06-27"/>
    <s v="356072"/>
    <s v="R.G. Enterprise"/>
    <s v="9933457475"/>
  </r>
  <r>
    <s v="RCF Trombay"/>
    <s v="15-15-15"/>
    <s v="WB"/>
    <x v="0"/>
    <m/>
    <s v="User Not Mapped"/>
    <s v="User Not Mapped"/>
    <s v="User Not Mapped"/>
    <n v="490649"/>
    <s v="Marjel Mondal"/>
    <s v="Private Retailer"/>
    <s v="7384579543"/>
    <n v="0.08"/>
    <n v="2673"/>
    <x v="7"/>
    <m/>
    <s v="2019-01-01"/>
    <s v="11"/>
    <s v="Too Old Stock"/>
    <m/>
  </r>
  <r>
    <s v="RCF Trombay"/>
    <s v="15-15-15"/>
    <s v="WB"/>
    <x v="0"/>
    <m/>
    <s v="User Not Mapped"/>
    <s v="User Not Mapped"/>
    <s v="User Not Mapped"/>
    <n v="500645"/>
    <s v="Dibyendu Biswas"/>
    <s v="Private Retailer"/>
    <s v="9593603555"/>
    <n v="1.9"/>
    <n v="173"/>
    <x v="0"/>
    <m/>
    <s v="2025-11-05"/>
    <s v="280852"/>
    <s v="Kundu Trading Co"/>
    <s v="9434119572"/>
  </r>
  <r>
    <s v="RCF Trombay"/>
    <s v="15-15-15"/>
    <s v="WB"/>
    <x v="0"/>
    <m/>
    <s v="User Not Mapped"/>
    <s v="User Not Mapped"/>
    <s v="User Not Mapped"/>
    <n v="501278"/>
    <s v="Saifuddin Mondal"/>
    <s v="Private Retailer"/>
    <s v="9153815785"/>
    <n v="0.11"/>
    <n v="2673"/>
    <x v="7"/>
    <m/>
    <s v="2019-01-01"/>
    <s v="11"/>
    <s v="Too Old Stock"/>
    <m/>
  </r>
  <r>
    <s v="RCF Trombay"/>
    <s v="15-15-15"/>
    <s v="WB"/>
    <x v="0"/>
    <m/>
    <s v="User Not Mapped"/>
    <s v="User Not Mapped"/>
    <s v="User Not Mapped"/>
    <n v="502090"/>
    <s v="Ramprasad Biswas"/>
    <s v="Private Retailer"/>
    <s v="9735327003"/>
    <n v="0.25"/>
    <n v="2444"/>
    <x v="7"/>
    <m/>
    <s v="2019-08-18"/>
    <s v="1108226"/>
    <s v="BISWA NATH GHOSH"/>
    <s v="9732645071"/>
  </r>
  <r>
    <s v="RCF Trombay"/>
    <s v="N.C.Urea(45kg)"/>
    <s v="WB"/>
    <x v="0"/>
    <m/>
    <s v="User Not Mapped"/>
    <s v="User Not Mapped"/>
    <s v="User Not Mapped"/>
    <n v="503498"/>
    <s v="Lokenath Krishi Bhander"/>
    <s v="Private Retailer"/>
    <s v="9733958716"/>
    <n v="1.89"/>
    <n v="1311"/>
    <x v="7"/>
    <m/>
    <s v="2022-09-24"/>
    <s v="281511"/>
    <s v="Malakshmi Krishi Bhandar      "/>
    <s v="9800561868"/>
  </r>
  <r>
    <s v="RCF Trombay"/>
    <s v="N.C.Urea(45kg)"/>
    <s v="WB"/>
    <x v="0"/>
    <m/>
    <s v="User Not Mapped"/>
    <s v="User Not Mapped"/>
    <s v="User Not Mapped"/>
    <n v="509944"/>
    <s v="Amrita Sarkar"/>
    <s v="Private Retailer"/>
    <s v="7547976005"/>
    <n v="2.5000000000000001E-2"/>
    <n v="2673"/>
    <x v="7"/>
    <m/>
    <s v="2019-01-01"/>
    <s v="11"/>
    <s v="Too Old Stock"/>
    <m/>
  </r>
  <r>
    <s v="RCF Trombay"/>
    <s v="N.C.Urea(45kg)"/>
    <s v="WB"/>
    <x v="0"/>
    <m/>
    <s v="User Not Mapped"/>
    <s v="User Not Mapped"/>
    <s v="User Not Mapped"/>
    <n v="515906"/>
    <s v="Amal Kumar Gain"/>
    <s v="Private Retailer"/>
    <s v="9641576301"/>
    <n v="0.72"/>
    <n v="63"/>
    <x v="2"/>
    <m/>
    <s v="2026-02-23"/>
    <s v="405249"/>
    <s v="Saha Krishi Bhandar"/>
    <s v="9734801636"/>
  </r>
  <r>
    <s v="RCF Trombay"/>
    <s v="15-15-15"/>
    <s v="WB"/>
    <x v="0"/>
    <m/>
    <s v="User Not Mapped"/>
    <s v="User Not Mapped"/>
    <s v="User Not Mapped"/>
    <n v="515906"/>
    <s v="Amal Kumar Gain"/>
    <s v="Private Retailer"/>
    <s v="9641576301"/>
    <n v="3.5"/>
    <n v="99"/>
    <x v="5"/>
    <m/>
    <s v="2026-01-18"/>
    <s v="268815"/>
    <s v="Chitta Ranjan Dey"/>
    <s v="9434744870"/>
  </r>
  <r>
    <s v="RCF Thal"/>
    <s v="N.C.Urea(45kg)"/>
    <s v="WB"/>
    <x v="0"/>
    <m/>
    <s v="User Not Mapped"/>
    <s v="User Not Mapped"/>
    <s v="User Not Mapped"/>
    <n v="515906"/>
    <s v="Amal Kumar Gain"/>
    <s v="Private Retailer"/>
    <s v="9641576301"/>
    <n v="5.49"/>
    <n v="45"/>
    <x v="1"/>
    <m/>
    <s v="2026-03-13"/>
    <s v="268815"/>
    <s v="Chitta Ranjan Dey"/>
    <s v="9434744870"/>
  </r>
  <r>
    <s v="RCF Trombay"/>
    <s v="15-15-15"/>
    <s v="WB"/>
    <x v="0"/>
    <m/>
    <s v="User Not Mapped"/>
    <s v="User Not Mapped"/>
    <s v="User Not Mapped"/>
    <n v="516798"/>
    <s v="Gobinda Chandra Biswas"/>
    <s v="Private Retailer"/>
    <s v="8348647939"/>
    <n v="0.05"/>
    <n v="2606"/>
    <x v="7"/>
    <m/>
    <s v="2019-03-09"/>
    <s v="268525"/>
    <s v="Arindam Nandi"/>
    <s v="7548949398"/>
  </r>
  <r>
    <s v="RCF Trombay"/>
    <s v="N.C.Urea(45kg)"/>
    <s v="WB"/>
    <x v="0"/>
    <m/>
    <s v="User Not Mapped"/>
    <s v="User Not Mapped"/>
    <s v="User Not Mapped"/>
    <n v="517113"/>
    <s v="Abdul Ruhu Mondal"/>
    <s v="Private Retailer"/>
    <s v="8515894564"/>
    <n v="0.27"/>
    <n v="2272"/>
    <x v="7"/>
    <m/>
    <s v="2020-02-06"/>
    <s v="901234"/>
    <s v="M/S ARINDAM NANDI"/>
    <s v="9153209294"/>
  </r>
  <r>
    <s v="RCF Trombay"/>
    <s v="15-15-15"/>
    <s v="WB"/>
    <x v="0"/>
    <m/>
    <s v="User Not Mapped"/>
    <s v="User Not Mapped"/>
    <s v="User Not Mapped"/>
    <n v="517113"/>
    <s v="Abdul Ruhu Mondal"/>
    <s v="Private Retailer"/>
    <s v="8515894564"/>
    <n v="1.35"/>
    <n v="2272"/>
    <x v="7"/>
    <m/>
    <s v="2020-02-06"/>
    <s v="901234"/>
    <s v="M/S ARINDAM NANDI"/>
    <s v="9153209294"/>
  </r>
  <r>
    <s v="RCF Trombay"/>
    <s v="15-15-15"/>
    <s v="WB"/>
    <x v="0"/>
    <m/>
    <s v="User Not Mapped"/>
    <s v="User Not Mapped"/>
    <s v="User Not Mapped"/>
    <n v="520431"/>
    <s v="Shanku Mondal"/>
    <s v="Private Retailer"/>
    <s v="9735603503"/>
    <n v="0.06"/>
    <n v="2673"/>
    <x v="7"/>
    <m/>
    <s v="2019-01-01"/>
    <s v="11"/>
    <s v="Too Old Stock"/>
    <m/>
  </r>
  <r>
    <s v="RCF Trombay"/>
    <s v="N.C.Urea(45kg)"/>
    <s v="WB"/>
    <x v="0"/>
    <m/>
    <s v="User Not Mapped"/>
    <s v="User Not Mapped"/>
    <s v="User Not Mapped"/>
    <n v="520447"/>
    <s v="Gopal Chandra Mondal"/>
    <s v="Private Retailer"/>
    <s v="9474494752"/>
    <n v="0.02"/>
    <n v="1635"/>
    <x v="7"/>
    <m/>
    <s v="2021-11-04"/>
    <s v="328271"/>
    <s v="Amal Sales Corporation"/>
    <s v="7908257456"/>
  </r>
  <r>
    <s v="RCF Trombay"/>
    <s v="15-15-15"/>
    <s v="WB"/>
    <x v="0"/>
    <m/>
    <s v="User Not Mapped"/>
    <s v="User Not Mapped"/>
    <s v="User Not Mapped"/>
    <n v="520447"/>
    <s v="Gopal Chandra Mondal"/>
    <s v="Private Retailer"/>
    <s v="9474494752"/>
    <n v="0.5"/>
    <n v="1746"/>
    <x v="7"/>
    <m/>
    <s v="2021-07-16"/>
    <s v="223821"/>
    <s v="M/S Tilok Kumar Dutta"/>
    <s v="9064209939"/>
  </r>
  <r>
    <s v="RCF Trombay"/>
    <s v="15-15-15"/>
    <s v="WB"/>
    <x v="0"/>
    <m/>
    <s v="User Not Mapped"/>
    <s v="User Not Mapped"/>
    <s v="User Not Mapped"/>
    <n v="520461"/>
    <s v="Ismail Mondal"/>
    <s v="Private Retailer"/>
    <s v="9733479212"/>
    <n v="0.6"/>
    <n v="31"/>
    <x v="1"/>
    <m/>
    <s v="2026-03-27"/>
    <s v="1192317"/>
    <s v="M/S GHOSH FERTILIZER"/>
    <s v="9064992112"/>
  </r>
  <r>
    <s v="RCF Trombay"/>
    <s v="15-15-15"/>
    <s v="WB"/>
    <x v="0"/>
    <m/>
    <s v="User Not Mapped"/>
    <s v="User Not Mapped"/>
    <s v="User Not Mapped"/>
    <n v="530164"/>
    <s v="Rjaul Hossen Mallick"/>
    <s v="Private Retailer"/>
    <s v="9734505133"/>
    <n v="0.1"/>
    <n v="2673"/>
    <x v="7"/>
    <m/>
    <s v="2019-01-01"/>
    <s v="11"/>
    <s v="Too Old Stock"/>
    <m/>
  </r>
  <r>
    <s v="RCF Thal"/>
    <s v="N.C.Urea(45kg)"/>
    <s v="WB"/>
    <x v="0"/>
    <m/>
    <s v="User Not Mapped"/>
    <s v="User Not Mapped"/>
    <s v="User Not Mapped"/>
    <n v="531467"/>
    <s v="Ashalata Krishi Bhander"/>
    <s v="Private Retailer"/>
    <s v="8348266285"/>
    <n v="3.18"/>
    <n v="2277"/>
    <x v="7"/>
    <m/>
    <s v="2020-02-01"/>
    <s v="268815"/>
    <s v="Chitta Ranjan Dey"/>
    <s v="9434744870"/>
  </r>
  <r>
    <s v="RCF Trombay"/>
    <s v="15-15-15"/>
    <s v="WB"/>
    <x v="0"/>
    <m/>
    <s v="User Not Mapped"/>
    <s v="User Not Mapped"/>
    <s v="User Not Mapped"/>
    <n v="531467"/>
    <s v="Ashalata Krishi Bhander"/>
    <s v="Private Retailer"/>
    <s v="8348266285"/>
    <n v="4.7"/>
    <n v="2159"/>
    <x v="7"/>
    <m/>
    <s v="2020-05-29"/>
    <s v="268815"/>
    <s v="Chitta Ranjan Dey"/>
    <s v="9434744870"/>
  </r>
  <r>
    <s v="RCF Thal"/>
    <s v="N.C.Urea(45kg)"/>
    <s v="WB"/>
    <x v="0"/>
    <m/>
    <s v="User Not Mapped"/>
    <s v="User Not Mapped"/>
    <s v="User Not Mapped"/>
    <n v="538090"/>
    <s v="Surabuddin Biswas"/>
    <s v="Private Retailer"/>
    <s v="9564272985"/>
    <n v="1E-3"/>
    <n v="1858"/>
    <x v="7"/>
    <m/>
    <s v="2021-03-26"/>
    <s v="289631"/>
    <s v="M/S Ramjan Mondal"/>
    <s v="9933702920"/>
  </r>
  <r>
    <s v="RCF Trombay"/>
    <s v="N.C.Urea(45kg)"/>
    <s v="WB"/>
    <x v="0"/>
    <m/>
    <s v="User Not Mapped"/>
    <s v="User Not Mapped"/>
    <s v="User Not Mapped"/>
    <n v="538090"/>
    <s v="Surabuddin Biswas"/>
    <s v="Private Retailer"/>
    <s v="9564272985"/>
    <n v="1E-3"/>
    <n v="1093"/>
    <x v="7"/>
    <m/>
    <s v="2023-04-30"/>
    <s v="223807"/>
    <s v="M.K. Chemical and Fertilizers"/>
    <s v="9051316329"/>
  </r>
  <r>
    <s v="RCF Trombay"/>
    <s v="15-15-15"/>
    <s v="WB"/>
    <x v="0"/>
    <m/>
    <s v="User Not Mapped"/>
    <s v="User Not Mapped"/>
    <s v="User Not Mapped"/>
    <n v="538090"/>
    <s v="Surabuddin Biswas"/>
    <s v="Private Retailer"/>
    <s v="9564272985"/>
    <n v="1E-3"/>
    <n v="1858"/>
    <x v="7"/>
    <m/>
    <s v="2021-03-26"/>
    <s v="289631"/>
    <s v="M/S Ramjan Mondal"/>
    <s v="9933702920"/>
  </r>
  <r>
    <s v="RCF Trombay"/>
    <s v="N.C.Urea(45kg)"/>
    <s v="WB"/>
    <x v="0"/>
    <m/>
    <s v="User Not Mapped"/>
    <s v="User Not Mapped"/>
    <s v="User Not Mapped"/>
    <n v="538126"/>
    <s v="Smt Pampa Biswas"/>
    <s v="Private Retailer"/>
    <s v="9932369237"/>
    <n v="5.49"/>
    <n v="1178"/>
    <x v="7"/>
    <m/>
    <s v="2023-02-04"/>
    <s v="223807"/>
    <s v="M.K. Chemical and Fertilizers"/>
    <s v="9051316329"/>
  </r>
  <r>
    <s v="RCF Trombay"/>
    <s v="15-15-15"/>
    <s v="WB"/>
    <x v="0"/>
    <m/>
    <s v="User Not Mapped"/>
    <s v="User Not Mapped"/>
    <s v="User Not Mapped"/>
    <n v="540557"/>
    <s v="Subhas Chandra Biswas"/>
    <s v="Private Retailer"/>
    <s v="9153783744"/>
    <n v="2"/>
    <n v="2452"/>
    <x v="7"/>
    <m/>
    <s v="2019-08-10"/>
    <s v="289631"/>
    <s v="M/S Ramjan Mondal"/>
    <s v="9933702920"/>
  </r>
  <r>
    <s v="RCF Trombay"/>
    <s v="15-15-15"/>
    <s v="WB"/>
    <x v="0"/>
    <m/>
    <s v="User Not Mapped"/>
    <s v="User Not Mapped"/>
    <s v="User Not Mapped"/>
    <n v="540557"/>
    <s v="Subhas Chandra Biswas"/>
    <s v="Private Retailer"/>
    <s v="9153783744"/>
    <n v="2"/>
    <n v="2456"/>
    <x v="7"/>
    <m/>
    <s v="2019-08-06"/>
    <s v="289631"/>
    <s v="M/S Ramjan Mondal"/>
    <s v="9933702920"/>
  </r>
  <r>
    <s v="RCF Trombay"/>
    <s v="15-15-15"/>
    <s v="WB"/>
    <x v="0"/>
    <m/>
    <s v="User Not Mapped"/>
    <s v="User Not Mapped"/>
    <s v="User Not Mapped"/>
    <n v="540557"/>
    <s v="Subhas Chandra Biswas"/>
    <s v="Private Retailer"/>
    <s v="9153783744"/>
    <n v="0.25"/>
    <n v="2496"/>
    <x v="7"/>
    <m/>
    <s v="2019-06-27"/>
    <s v="289631"/>
    <s v="M/S Ramjan Mondal"/>
    <s v="9933702920"/>
  </r>
  <r>
    <s v="RCF Thal"/>
    <s v="N.C.Urea(45kg)"/>
    <s v="WB"/>
    <x v="0"/>
    <m/>
    <s v="User Not Mapped"/>
    <s v="User Not Mapped"/>
    <s v="User Not Mapped"/>
    <n v="540557"/>
    <s v="Subhas Chandra Biswas"/>
    <s v="Private Retailer"/>
    <s v="9153783744"/>
    <n v="2.25"/>
    <n v="2355"/>
    <x v="7"/>
    <m/>
    <s v="2019-11-15"/>
    <s v="289631"/>
    <s v="M/S Ramjan Mondal"/>
    <s v="9933702920"/>
  </r>
  <r>
    <s v="RCF Trombay"/>
    <s v="15-15-15"/>
    <s v="WB"/>
    <x v="0"/>
    <m/>
    <s v="User Not Mapped"/>
    <s v="User Not Mapped"/>
    <s v="User Not Mapped"/>
    <n v="543036"/>
    <s v="Dipak Roy"/>
    <s v="Private Retailer"/>
    <s v="8001911138"/>
    <n v="0.51"/>
    <n v="2383"/>
    <x v="7"/>
    <m/>
    <s v="2019-10-18"/>
    <s v="901234"/>
    <s v="M/S ARINDAM NANDI"/>
    <s v="9153209294"/>
  </r>
  <r>
    <s v="RCF Trombay"/>
    <s v="N.C.Urea(45kg)"/>
    <s v="WB"/>
    <x v="0"/>
    <m/>
    <s v="User Not Mapped"/>
    <s v="User Not Mapped"/>
    <s v="User Not Mapped"/>
    <n v="543036"/>
    <s v="Dipak Roy"/>
    <s v="Private Retailer"/>
    <s v="8001911138"/>
    <n v="0.22500000000000001"/>
    <n v="2329"/>
    <x v="7"/>
    <m/>
    <s v="2019-12-11"/>
    <s v="901234"/>
    <s v="M/S ARINDAM NANDI"/>
    <s v="9153209294"/>
  </r>
  <r>
    <s v="RCF Trombay"/>
    <s v="15-15-15"/>
    <s v="WB"/>
    <x v="0"/>
    <m/>
    <s v="User Not Mapped"/>
    <s v="User Not Mapped"/>
    <s v="User Not Mapped"/>
    <n v="543048"/>
    <s v="Akbar Ali Mondal"/>
    <s v="Private Retailer"/>
    <s v="8768937940"/>
    <n v="4.5999999999999999E-2"/>
    <n v="2596"/>
    <x v="7"/>
    <m/>
    <s v="2019-03-19"/>
    <s v="328271"/>
    <s v="Amal Sales Corporation"/>
    <s v="7908257456"/>
  </r>
  <r>
    <s v="RCF Thal"/>
    <s v="N.C.Urea(45kg)"/>
    <s v="WB"/>
    <x v="0"/>
    <m/>
    <s v="User Not Mapped"/>
    <s v="User Not Mapped"/>
    <s v="User Not Mapped"/>
    <n v="543048"/>
    <s v="Akbar Ali Mondal"/>
    <s v="Private Retailer"/>
    <s v="8768937940"/>
    <n v="1E-3"/>
    <n v="2673"/>
    <x v="7"/>
    <m/>
    <s v="2019-01-01"/>
    <s v="11"/>
    <s v="Too Old Stock"/>
    <m/>
  </r>
  <r>
    <s v="RCF Trombay"/>
    <s v="15-15-15"/>
    <s v="WB"/>
    <x v="0"/>
    <m/>
    <s v="User Not Mapped"/>
    <s v="User Not Mapped"/>
    <s v="User Not Mapped"/>
    <n v="546173"/>
    <s v="Mahabub Hasan"/>
    <s v="Private Retailer"/>
    <s v="9734674136"/>
    <n v="0.25"/>
    <n v="2200"/>
    <x v="7"/>
    <m/>
    <s v="2020-04-18"/>
    <s v="294884"/>
    <s v="M/S Uttam Kumar Dalal"/>
    <s v="9832231914"/>
  </r>
  <r>
    <s v="RCF Trombay"/>
    <s v="15-15-15"/>
    <s v="WB"/>
    <x v="0"/>
    <m/>
    <s v="User Not Mapped"/>
    <s v="User Not Mapped"/>
    <s v="User Not Mapped"/>
    <n v="546173"/>
    <s v="Mahabub Hasan"/>
    <s v="Private Retailer"/>
    <s v="9734674136"/>
    <n v="0.25"/>
    <n v="2234"/>
    <x v="7"/>
    <m/>
    <s v="2020-03-15"/>
    <s v="294884"/>
    <s v="M/S Uttam Kumar Dalal"/>
    <s v="9832231914"/>
  </r>
  <r>
    <s v="RCF Trombay"/>
    <s v="N.C.Urea(45kg)"/>
    <s v="WB"/>
    <x v="0"/>
    <m/>
    <s v="User Not Mapped"/>
    <s v="User Not Mapped"/>
    <s v="User Not Mapped"/>
    <n v="546173"/>
    <s v="Mahabub Hasan"/>
    <s v="Private Retailer"/>
    <s v="9734674136"/>
    <n v="0.45"/>
    <n v="2307"/>
    <x v="7"/>
    <m/>
    <s v="2020-01-02"/>
    <s v="294884"/>
    <s v="M/S Uttam Kumar Dalal"/>
    <s v="9832231914"/>
  </r>
  <r>
    <s v="RCF Trombay"/>
    <s v="N.C.Urea(45kg)"/>
    <s v="WB"/>
    <x v="0"/>
    <m/>
    <s v="User Not Mapped"/>
    <s v="User Not Mapped"/>
    <s v="User Not Mapped"/>
    <n v="546173"/>
    <s v="Mahabub Hasan"/>
    <s v="Private Retailer"/>
    <s v="9734674136"/>
    <n v="0.40200000000000002"/>
    <n v="2319"/>
    <x v="7"/>
    <m/>
    <s v="2019-12-21"/>
    <s v="294884"/>
    <s v="M/S Uttam Kumar Dalal"/>
    <s v="9832231914"/>
  </r>
  <r>
    <s v="RCF Trombay"/>
    <s v="15-15-15"/>
    <s v="WB"/>
    <x v="0"/>
    <m/>
    <s v="User Not Mapped"/>
    <s v="User Not Mapped"/>
    <s v="User Not Mapped"/>
    <n v="546173"/>
    <s v="Mahabub Hasan"/>
    <s v="Private Retailer"/>
    <s v="9734674136"/>
    <n v="0.17499999999999999"/>
    <n v="2307"/>
    <x v="7"/>
    <m/>
    <s v="2020-01-02"/>
    <s v="294884"/>
    <s v="M/S Uttam Kumar Dalal"/>
    <s v="9832231914"/>
  </r>
  <r>
    <s v="RCF Trombay"/>
    <s v="N.C.Urea(45kg)"/>
    <s v="WB"/>
    <x v="0"/>
    <m/>
    <s v="User Not Mapped"/>
    <s v="User Not Mapped"/>
    <s v="User Not Mapped"/>
    <n v="550231"/>
    <s v="Ashit Majumder"/>
    <s v="Private Retailer"/>
    <s v="9091462008"/>
    <n v="0.63300000000000001"/>
    <n v="2455"/>
    <x v="7"/>
    <m/>
    <s v="2019-08-07"/>
    <s v="414580"/>
    <s v="Sukhendu Saha"/>
    <s v="9002005152"/>
  </r>
  <r>
    <s v="RCF Thal"/>
    <s v="N.C.Urea(45kg)"/>
    <s v="WB"/>
    <x v="0"/>
    <m/>
    <s v="User Not Mapped"/>
    <s v="User Not Mapped"/>
    <s v="User Not Mapped"/>
    <n v="550231"/>
    <s v="Ashit Majumder"/>
    <s v="Private Retailer"/>
    <s v="9091462008"/>
    <n v="0.21299999999999999"/>
    <n v="1845"/>
    <x v="7"/>
    <m/>
    <s v="2021-04-08"/>
    <s v="311050"/>
    <s v="M/S Suchitra Ghosh"/>
    <s v="9609145715"/>
  </r>
  <r>
    <s v="RCF Trombay"/>
    <s v="15-15-15"/>
    <s v="WB"/>
    <x v="0"/>
    <m/>
    <s v="User Not Mapped"/>
    <s v="User Not Mapped"/>
    <s v="User Not Mapped"/>
    <n v="555301"/>
    <s v="Atabuddin Mondal"/>
    <s v="Private Retailer"/>
    <s v="9733690619"/>
    <n v="5.5E-2"/>
    <n v="2523"/>
    <x v="7"/>
    <m/>
    <s v="2019-05-31"/>
    <s v="1054125"/>
    <s v="Mondal Stores"/>
    <s v="9749959358"/>
  </r>
  <r>
    <s v="RCF Trombay"/>
    <s v="15-15-15"/>
    <s v="WB"/>
    <x v="0"/>
    <m/>
    <s v="User Not Mapped"/>
    <s v="User Not Mapped"/>
    <s v="User Not Mapped"/>
    <n v="592086"/>
    <s v="Sonali"/>
    <s v="Private Retailer"/>
    <s v="9804554800"/>
    <n v="0.78"/>
    <n v="2639"/>
    <x v="7"/>
    <m/>
    <s v="2019-02-04"/>
    <s v="809548"/>
    <s v="CHOWDHARI FERTILIZER"/>
    <s v="8910461953"/>
  </r>
  <r>
    <s v="RCF Trombay"/>
    <s v="15-15-15"/>
    <s v="WB"/>
    <x v="0"/>
    <m/>
    <s v="User Not Mapped"/>
    <s v="User Not Mapped"/>
    <s v="User Not Mapped"/>
    <n v="668564"/>
    <s v="ABDUL ALIM MONDAL"/>
    <s v="Private Retailer"/>
    <s v="7074420288"/>
    <n v="0.5"/>
    <n v="2673"/>
    <x v="7"/>
    <m/>
    <s v="2019-01-01"/>
    <s v="11"/>
    <s v="Too Old Stock"/>
    <m/>
  </r>
  <r>
    <s v="RCF Trombay"/>
    <s v="15-15-15"/>
    <s v="WB"/>
    <x v="0"/>
    <m/>
    <s v="User Not Mapped"/>
    <s v="User Not Mapped"/>
    <s v="User Not Mapped"/>
    <n v="668586"/>
    <s v="MD.KARAM HOSSAIN"/>
    <s v="Private Retailer"/>
    <s v="9547626148"/>
    <n v="0.2"/>
    <n v="2225"/>
    <x v="7"/>
    <m/>
    <s v="2020-03-24"/>
    <s v="405249"/>
    <s v="Saha Krishi Bhandar"/>
    <s v="9734801636"/>
  </r>
  <r>
    <s v="RCF Trombay"/>
    <s v="15-15-15"/>
    <s v="WB"/>
    <x v="0"/>
    <m/>
    <s v="User Not Mapped"/>
    <s v="User Not Mapped"/>
    <s v="User Not Mapped"/>
    <n v="668586"/>
    <s v="MD.KARAM HOSSAIN"/>
    <s v="Private Retailer"/>
    <s v="9547626148"/>
    <n v="0.2"/>
    <n v="2303"/>
    <x v="7"/>
    <m/>
    <s v="2020-01-06"/>
    <s v="405249"/>
    <s v="Saha Krishi Bhandar"/>
    <s v="9734801636"/>
  </r>
  <r>
    <s v="RCF Trombay"/>
    <s v="15-15-15"/>
    <s v="WB"/>
    <x v="0"/>
    <m/>
    <s v="User Not Mapped"/>
    <s v="User Not Mapped"/>
    <s v="User Not Mapped"/>
    <n v="668586"/>
    <s v="MD.KARAM HOSSAIN"/>
    <s v="Private Retailer"/>
    <s v="9547626148"/>
    <n v="0.1"/>
    <n v="2263"/>
    <x v="7"/>
    <m/>
    <s v="2020-02-15"/>
    <s v="405249"/>
    <s v="Saha Krishi Bhandar"/>
    <s v="9734801636"/>
  </r>
  <r>
    <s v="RCF Trombay"/>
    <s v="15-15-15"/>
    <s v="WB"/>
    <x v="0"/>
    <m/>
    <s v="User Not Mapped"/>
    <s v="User Not Mapped"/>
    <s v="User Not Mapped"/>
    <n v="668586"/>
    <s v="MD.KARAM HOSSAIN"/>
    <s v="Private Retailer"/>
    <s v="9547626148"/>
    <n v="0.15"/>
    <n v="2252"/>
    <x v="7"/>
    <m/>
    <s v="2020-02-26"/>
    <s v="405249"/>
    <s v="Saha Krishi Bhandar"/>
    <s v="9734801636"/>
  </r>
  <r>
    <s v="RCF Trombay"/>
    <s v="N.C.Urea(45kg)"/>
    <s v="WB"/>
    <x v="0"/>
    <m/>
    <s v="User Not Mapped"/>
    <s v="User Not Mapped"/>
    <s v="User Not Mapped"/>
    <n v="668586"/>
    <s v="MD.KARAM HOSSAIN"/>
    <s v="Private Retailer"/>
    <s v="9547626148"/>
    <n v="3.5000000000000003E-2"/>
    <n v="2303"/>
    <x v="7"/>
    <m/>
    <s v="2020-01-06"/>
    <s v="405249"/>
    <s v="Saha Krishi Bhandar"/>
    <s v="9734801636"/>
  </r>
  <r>
    <s v="RCF Trombay"/>
    <s v="15-15-15"/>
    <s v="WB"/>
    <x v="0"/>
    <m/>
    <s v="User Not Mapped"/>
    <s v="User Not Mapped"/>
    <s v="User Not Mapped"/>
    <n v="668586"/>
    <s v="MD.KARAM HOSSAIN"/>
    <s v="Private Retailer"/>
    <s v="9547626148"/>
    <n v="0.25"/>
    <n v="2199"/>
    <x v="7"/>
    <m/>
    <s v="2020-04-19"/>
    <s v="405249"/>
    <s v="Saha Krishi Bhandar"/>
    <s v="9734801636"/>
  </r>
  <r>
    <s v="RCF Thal"/>
    <s v="N.C.Urea(45kg)"/>
    <s v="WB"/>
    <x v="0"/>
    <m/>
    <s v="User Not Mapped"/>
    <s v="User Not Mapped"/>
    <s v="User Not Mapped"/>
    <n v="668602"/>
    <s v="RABEYA TARAFDAR"/>
    <s v="Private Retailer"/>
    <s v="9547626154"/>
    <n v="0.22500000000000001"/>
    <n v="2123"/>
    <x v="7"/>
    <m/>
    <s v="2020-07-04"/>
    <s v="281515"/>
    <s v="Chatra Krishi Bhandar         "/>
    <s v="9735524484"/>
  </r>
  <r>
    <s v="RCF Thal"/>
    <s v="N.C.Urea(45kg)"/>
    <s v="WB"/>
    <x v="0"/>
    <m/>
    <s v="User Not Mapped"/>
    <s v="User Not Mapped"/>
    <s v="User Not Mapped"/>
    <n v="668602"/>
    <s v="RABEYA TARAFDAR"/>
    <s v="Private Retailer"/>
    <s v="9547626154"/>
    <n v="0.9"/>
    <n v="2137"/>
    <x v="7"/>
    <m/>
    <s v="2020-06-20"/>
    <s v="281515"/>
    <s v="Chatra Krishi Bhandar         "/>
    <s v="9735524484"/>
  </r>
  <r>
    <s v="RCF Trombay"/>
    <s v="15-15-15"/>
    <s v="WB"/>
    <x v="0"/>
    <m/>
    <s v="User Not Mapped"/>
    <s v="User Not Mapped"/>
    <s v="User Not Mapped"/>
    <n v="668602"/>
    <s v="RABEYA TARAFDAR"/>
    <s v="Private Retailer"/>
    <s v="9547626154"/>
    <n v="0.42499999999999999"/>
    <n v="2137"/>
    <x v="7"/>
    <m/>
    <s v="2020-06-20"/>
    <s v="281515"/>
    <s v="Chatra Krishi Bhandar         "/>
    <s v="9735524484"/>
  </r>
  <r>
    <s v="RCF Trombay"/>
    <s v="15-15-15"/>
    <s v="WB"/>
    <x v="0"/>
    <m/>
    <s v="User Not Mapped"/>
    <s v="User Not Mapped"/>
    <s v="User Not Mapped"/>
    <n v="668602"/>
    <s v="RABEYA TARAFDAR"/>
    <s v="Private Retailer"/>
    <s v="9547626154"/>
    <n v="0.25"/>
    <n v="2123"/>
    <x v="7"/>
    <m/>
    <s v="2020-07-04"/>
    <s v="281515"/>
    <s v="Chatra Krishi Bhandar         "/>
    <s v="9735524484"/>
  </r>
  <r>
    <s v="RCF Trombay"/>
    <s v="15-15-15"/>
    <s v="WB"/>
    <x v="0"/>
    <m/>
    <s v="User Not Mapped"/>
    <s v="User Not Mapped"/>
    <s v="User Not Mapped"/>
    <n v="668602"/>
    <s v="RABEYA TARAFDAR"/>
    <s v="Private Retailer"/>
    <s v="9547626154"/>
    <n v="0.25"/>
    <n v="2115"/>
    <x v="7"/>
    <m/>
    <s v="2020-07-12"/>
    <s v="281515"/>
    <s v="Chatra Krishi Bhandar         "/>
    <s v="9735524484"/>
  </r>
  <r>
    <s v="RCF Thal"/>
    <s v="N.C.Urea(45kg)"/>
    <s v="WB"/>
    <x v="0"/>
    <m/>
    <s v="User Not Mapped"/>
    <s v="User Not Mapped"/>
    <s v="User Not Mapped"/>
    <n v="668602"/>
    <s v="RABEYA TARAFDAR"/>
    <s v="Private Retailer"/>
    <s v="9547626154"/>
    <n v="4.4999999999999998E-2"/>
    <n v="2178"/>
    <x v="7"/>
    <m/>
    <s v="2020-05-10"/>
    <s v="281515"/>
    <s v="Chatra Krishi Bhandar         "/>
    <s v="9735524484"/>
  </r>
  <r>
    <s v="RCF Thal"/>
    <s v="N.C.Urea(45kg)"/>
    <s v="WB"/>
    <x v="0"/>
    <m/>
    <s v="User Not Mapped"/>
    <s v="User Not Mapped"/>
    <s v="User Not Mapped"/>
    <n v="917437"/>
    <s v="Janapriya krishi bhandar"/>
    <s v="Private Retailer"/>
    <s v="9733488447"/>
    <n v="0.315"/>
    <n v="2114"/>
    <x v="7"/>
    <m/>
    <s v="2020-07-13"/>
    <s v="356188"/>
    <s v="Saidul Islam"/>
    <s v="9732576743"/>
  </r>
  <r>
    <s v="RCF Trombay"/>
    <s v="15-15-15"/>
    <s v="WB"/>
    <x v="0"/>
    <m/>
    <s v="User Not Mapped"/>
    <s v="User Not Mapped"/>
    <s v="User Not Mapped"/>
    <n v="917437"/>
    <s v="Janapriya krishi bhandar"/>
    <s v="Private Retailer"/>
    <s v="9733488447"/>
    <n v="0.19"/>
    <n v="2349"/>
    <x v="7"/>
    <m/>
    <s v="2019-11-21"/>
    <s v="356188"/>
    <s v="Saidul Islam"/>
    <s v="9732576743"/>
  </r>
  <r>
    <s v="RCF Thal"/>
    <s v="N.C.Urea(45kg)"/>
    <s v="WB"/>
    <x v="0"/>
    <m/>
    <s v="User Not Mapped"/>
    <s v="User Not Mapped"/>
    <s v="User Not Mapped"/>
    <n v="917453"/>
    <s v="Miragul Fertilizer"/>
    <s v="Private Retailer"/>
    <s v="8013776155"/>
    <n v="0.16500000000000001"/>
    <n v="2673"/>
    <x v="7"/>
    <m/>
    <s v="2019-01-01"/>
    <s v="11"/>
    <s v="Too Old Stock"/>
    <m/>
  </r>
  <r>
    <s v="RCF Trombay"/>
    <s v="15-15-15"/>
    <s v="WB"/>
    <x v="0"/>
    <m/>
    <s v="User Not Mapped"/>
    <s v="User Not Mapped"/>
    <s v="User Not Mapped"/>
    <n v="917453"/>
    <s v="Miragul Fertilizer"/>
    <s v="Private Retailer"/>
    <s v="8013776155"/>
    <n v="0.125"/>
    <n v="2673"/>
    <x v="7"/>
    <m/>
    <s v="2019-01-01"/>
    <s v="11"/>
    <s v="Too Old Stock"/>
    <m/>
  </r>
  <r>
    <s v="RCF Trombay"/>
    <s v="15-15-15"/>
    <s v="WB"/>
    <x v="0"/>
    <m/>
    <s v="User Not Mapped"/>
    <s v="User Not Mapped"/>
    <s v="User Not Mapped"/>
    <n v="937974"/>
    <s v="Rafiqul Fertilizer"/>
    <s v="Private Retailer"/>
    <s v="9874825859"/>
    <n v="0.04"/>
    <n v="2673"/>
    <x v="7"/>
    <m/>
    <s v="2019-01-01"/>
    <s v="11"/>
    <s v="Too Old Stock"/>
    <m/>
  </r>
  <r>
    <s v="RCF Trombay"/>
    <s v="N.C.Urea(45kg)"/>
    <s v="WB"/>
    <x v="0"/>
    <m/>
    <s v="User Not Mapped"/>
    <s v="User Not Mapped"/>
    <s v="User Not Mapped"/>
    <n v="949966"/>
    <s v="Joy krishi bhander"/>
    <s v="Private Retailer"/>
    <s v="8584837840"/>
    <n v="3.2000000000000001E-2"/>
    <n v="2673"/>
    <x v="7"/>
    <m/>
    <s v="2019-01-01"/>
    <s v="11"/>
    <s v="Too Old Stock"/>
    <m/>
  </r>
  <r>
    <s v="RCF Trombay"/>
    <s v="15-15-15"/>
    <s v="WB"/>
    <x v="0"/>
    <m/>
    <s v="User Not Mapped"/>
    <s v="User Not Mapped"/>
    <s v="User Not Mapped"/>
    <n v="952119"/>
    <s v="Jana Fertilizer"/>
    <s v="Private Retailer"/>
    <s v="9051927615"/>
    <n v="0.1"/>
    <n v="2075"/>
    <x v="7"/>
    <m/>
    <s v="2020-08-21"/>
    <s v="223807"/>
    <s v="M.K. Chemical and Fertilizers"/>
    <s v="9051316329"/>
  </r>
  <r>
    <s v="RCF Trombay"/>
    <s v="15-15-15"/>
    <s v="WB"/>
    <x v="0"/>
    <m/>
    <s v="User Not Mapped"/>
    <s v="User Not Mapped"/>
    <s v="User Not Mapped"/>
    <n v="986078"/>
    <s v="KENARAM MONDAL"/>
    <s v="Private Retailer"/>
    <s v="9733354280"/>
    <n v="0.1"/>
    <n v="2257"/>
    <x v="7"/>
    <m/>
    <s v="2020-02-21"/>
    <s v="901234"/>
    <s v="M/S ARINDAM NANDI"/>
    <s v="9153209294"/>
  </r>
  <r>
    <s v="RCF Thal"/>
    <s v="N.C.Urea(45kg)"/>
    <s v="WB"/>
    <x v="0"/>
    <m/>
    <s v="User Not Mapped"/>
    <s v="User Not Mapped"/>
    <s v="User Not Mapped"/>
    <n v="986078"/>
    <s v="KENARAM MONDAL"/>
    <s v="Private Retailer"/>
    <s v="9733354280"/>
    <n v="0.09"/>
    <n v="2257"/>
    <x v="7"/>
    <m/>
    <s v="2020-02-21"/>
    <s v="901234"/>
    <s v="M/S ARINDAM NANDI"/>
    <s v="9153209294"/>
  </r>
  <r>
    <s v="RCF Trombay"/>
    <s v="15-15-15"/>
    <s v="WB"/>
    <x v="0"/>
    <m/>
    <s v="User Not Mapped"/>
    <s v="User Not Mapped"/>
    <s v="User Not Mapped"/>
    <n v="1032407"/>
    <s v="ABDULLA DHABAK"/>
    <s v="Private Retailer"/>
    <s v="7074722599"/>
    <n v="0.15"/>
    <n v="2673"/>
    <x v="7"/>
    <m/>
    <s v="2019-01-01"/>
    <s v="11"/>
    <s v="Too Old Stock"/>
    <m/>
  </r>
  <r>
    <s v="RCF Thal"/>
    <s v="N.C.Urea(45kg)"/>
    <s v="WB"/>
    <x v="0"/>
    <m/>
    <s v="User Not Mapped"/>
    <s v="User Not Mapped"/>
    <s v="User Not Mapped"/>
    <n v="1051006"/>
    <s v="Rajib Tarafdar"/>
    <s v="Private Retailer"/>
    <s v="8001051177"/>
    <n v="0.9"/>
    <n v="2256"/>
    <x v="7"/>
    <m/>
    <s v="2020-02-22"/>
    <s v="289631"/>
    <s v="M/S Ramjan Mondal"/>
    <s v="9933702920"/>
  </r>
  <r>
    <s v="RCF Trombay"/>
    <s v="15-15-15"/>
    <s v="WB"/>
    <x v="0"/>
    <m/>
    <s v="User Not Mapped"/>
    <s v="User Not Mapped"/>
    <s v="User Not Mapped"/>
    <n v="1051006"/>
    <s v="Rajib Tarafdar"/>
    <s v="Private Retailer"/>
    <s v="8001051177"/>
    <n v="0.5"/>
    <n v="2135"/>
    <x v="7"/>
    <m/>
    <s v="2020-06-22"/>
    <s v="289631"/>
    <s v="M/S Ramjan Mondal"/>
    <s v="9933702920"/>
  </r>
  <r>
    <s v="RCF Trombay"/>
    <s v="N.C.Urea(45kg)"/>
    <s v="WB"/>
    <x v="0"/>
    <m/>
    <s v="User Not Mapped"/>
    <s v="User Not Mapped"/>
    <s v="User Not Mapped"/>
    <n v="1051006"/>
    <s v="Rajib Tarafdar"/>
    <s v="Private Retailer"/>
    <s v="8001051177"/>
    <n v="0.9"/>
    <n v="2135"/>
    <x v="7"/>
    <m/>
    <s v="2020-06-22"/>
    <s v="289631"/>
    <s v="M/S Ramjan Mondal"/>
    <s v="9933702920"/>
  </r>
  <r>
    <s v="RCF Trombay"/>
    <s v="15-15-15"/>
    <s v="WB"/>
    <x v="0"/>
    <m/>
    <s v="User Not Mapped"/>
    <s v="User Not Mapped"/>
    <s v="User Not Mapped"/>
    <n v="1102065"/>
    <s v="Rafiqul Islam"/>
    <s v="Private Retailer"/>
    <s v="9933300796"/>
    <n v="5"/>
    <n v="2362"/>
    <x v="7"/>
    <m/>
    <s v="2019-11-08"/>
    <s v="223807"/>
    <s v="M.K. Chemical and Fertilizers"/>
    <s v="9051316329"/>
  </r>
  <r>
    <s v="RCF Trombay"/>
    <s v="15-15-15"/>
    <s v="WB"/>
    <x v="0"/>
    <m/>
    <s v="User Not Mapped"/>
    <s v="User Not Mapped"/>
    <s v="User Not Mapped"/>
    <n v="1102065"/>
    <s v="Rafiqul Islam"/>
    <s v="Private Retailer"/>
    <s v="9933300796"/>
    <n v="1.55"/>
    <n v="2364"/>
    <x v="7"/>
    <m/>
    <s v="2019-11-06"/>
    <s v="223807"/>
    <s v="M.K. Chemical and Fertilizers"/>
    <s v="9051316329"/>
  </r>
  <r>
    <s v="RCF Trombay"/>
    <s v="N.C.Urea(45kg)"/>
    <s v="WB"/>
    <x v="0"/>
    <m/>
    <s v="User Not Mapped"/>
    <s v="User Not Mapped"/>
    <s v="User Not Mapped"/>
    <n v="1102065"/>
    <s v="Rafiqul Islam"/>
    <s v="Private Retailer"/>
    <s v="9933300796"/>
    <n v="0.36899999999999999"/>
    <n v="2418"/>
    <x v="7"/>
    <m/>
    <s v="2019-09-13"/>
    <s v="268815"/>
    <s v="Chitta Ranjan Dey"/>
    <s v="9434744870"/>
  </r>
  <r>
    <s v="RCF Thal"/>
    <s v="N.C.Urea(45kg)"/>
    <s v="WB"/>
    <x v="0"/>
    <m/>
    <s v="User Not Mapped"/>
    <s v="User Not Mapped"/>
    <s v="User Not Mapped"/>
    <n v="1286794"/>
    <s v="SABEDA FERTILIZER"/>
    <s v="Private Retailer"/>
    <s v="9732829612"/>
    <n v="4.5"/>
    <n v="1475"/>
    <x v="7"/>
    <m/>
    <s v="2022-04-13"/>
    <s v="281522"/>
    <s v="N.C. Das and Co."/>
    <s v="6297603863"/>
  </r>
  <r>
    <s v="RCF Import"/>
    <s v="MOP"/>
    <s v="WB"/>
    <x v="0"/>
    <m/>
    <s v="User Not Mapped"/>
    <s v="User Not Mapped"/>
    <s v="User Not Mapped"/>
    <n v="1489738"/>
    <s v="DILIP TARAFDAR"/>
    <s v="Private Retailer"/>
    <s v="7679957949"/>
    <n v="1"/>
    <n v="62"/>
    <x v="2"/>
    <m/>
    <s v="2026-02-24"/>
    <s v="600929"/>
    <s v="Anukul Kumar Khan"/>
    <s v="9547730250"/>
  </r>
  <r>
    <s v="RCF Import"/>
    <s v="Imp 10-26-26"/>
    <s v="WB"/>
    <x v="0"/>
    <m/>
    <s v="User Not Mapped"/>
    <s v="User Not Mapped"/>
    <s v="User Not Mapped"/>
    <n v="1505472"/>
    <s v="M/S SABUJ KRISHI BHANDAR"/>
    <s v="Private Retailer"/>
    <s v="9382467176"/>
    <n v="5.5"/>
    <n v="59"/>
    <x v="1"/>
    <m/>
    <s v="2026-02-27"/>
    <s v="223812"/>
    <s v="M/S. Shyma Krishi B"/>
    <s v="8617629886"/>
  </r>
  <r>
    <s v="RCF Import"/>
    <s v="MOP"/>
    <s v="WB"/>
    <x v="0"/>
    <m/>
    <s v="User Not Mapped"/>
    <s v="User Not Mapped"/>
    <s v="User Not Mapped"/>
    <n v="1592864"/>
    <s v="ARIYAN FERTILIZER"/>
    <s v="Private Retailer"/>
    <s v="9564858558"/>
    <n v="1"/>
    <n v="30"/>
    <x v="4"/>
    <m/>
    <s v="2026-03-28"/>
    <s v="497600"/>
    <s v="Samar Nath Sana"/>
    <s v="9563062387"/>
  </r>
  <r>
    <s v="RCF Import"/>
    <s v="Imp 10-26-26"/>
    <s v="WB"/>
    <x v="0"/>
    <m/>
    <s v="User Not Mapped"/>
    <s v="User Not Mapped"/>
    <s v="User Not Mapped"/>
    <n v="1640967"/>
    <s v="MANDAL FERTILIZER"/>
    <s v="Private Retailer"/>
    <s v="8346952662"/>
    <n v="1.5569999999999999"/>
    <n v="43"/>
    <x v="1"/>
    <m/>
    <s v="2026-03-15"/>
    <s v="223812"/>
    <s v="M/S. Shyma Krishi B"/>
    <s v="8617629886"/>
  </r>
  <r>
    <s v="RCF Import"/>
    <s v="MOP"/>
    <s v="WB"/>
    <x v="0"/>
    <m/>
    <s v="User Not Mapped"/>
    <s v="User Not Mapped"/>
    <s v="User Not Mapped"/>
    <n v="1640967"/>
    <s v="MANDAL FERTILIZER"/>
    <s v="Private Retailer"/>
    <s v="8346952662"/>
    <n v="3.9249999999999998"/>
    <n v="43"/>
    <x v="1"/>
    <m/>
    <s v="2026-03-15"/>
    <s v="223812"/>
    <s v="M/S. Shyma Krishi B"/>
    <s v="8617629886"/>
  </r>
  <r>
    <s v="RCF Thal"/>
    <s v="N.C.Urea(45kg)"/>
    <s v="WB"/>
    <x v="1"/>
    <s v="Baruipur"/>
    <s v="User Not Mapped"/>
    <s v="User Not Mapped"/>
    <s v="User Not Mapped"/>
    <n v="290773"/>
    <s v="M/S Adarsha Krishi Bhander"/>
    <s v="Private Retailer"/>
    <s v="9830755148"/>
    <n v="2.0249999999999999"/>
    <n v="175"/>
    <x v="0"/>
    <m/>
    <s v="2025-11-03"/>
    <s v="224553"/>
    <s v="Kirtibas Kapat (A.S.C.)"/>
    <s v="9064538989"/>
  </r>
  <r>
    <s v="RCF Trombay"/>
    <s v="15-15-15"/>
    <s v="WB"/>
    <x v="1"/>
    <s v="Baruipur"/>
    <s v="User Not Mapped"/>
    <s v="User Not Mapped"/>
    <s v="User Not Mapped"/>
    <n v="290810"/>
    <s v="M/Stapan Kumar Karmakar"/>
    <s v="Private Retailer"/>
    <s v="7584080473"/>
    <n v="0.25"/>
    <n v="17"/>
    <x v="4"/>
    <m/>
    <s v="2026-04-10"/>
    <s v="280736"/>
    <s v="M/S TAPAN KUMAR KARMAKAR"/>
    <s v="7584080473"/>
  </r>
  <r>
    <s v="RCF Trombay"/>
    <s v="15-15-15"/>
    <s v="WB"/>
    <x v="1"/>
    <s v="Baruipur"/>
    <s v="User Not Mapped"/>
    <s v="User Not Mapped"/>
    <s v="User Not Mapped"/>
    <n v="340709"/>
    <s v="Adhikari Fertilizer"/>
    <s v="Private Retailer"/>
    <s v="9874549312"/>
    <n v="1.95"/>
    <n v="1026"/>
    <x v="7"/>
    <m/>
    <s v="2023-07-06"/>
    <s v="269533"/>
    <s v="Hasya Badhan Makhal"/>
    <s v="9674092010"/>
  </r>
  <r>
    <s v="RCF Trombay"/>
    <s v="15-15-15"/>
    <s v="WB"/>
    <x v="1"/>
    <s v="Baruipur"/>
    <s v="User Not Mapped"/>
    <s v="User Not Mapped"/>
    <s v="User Not Mapped"/>
    <n v="340709"/>
    <s v="Adhikari Fertilizer"/>
    <s v="Private Retailer"/>
    <s v="9874549312"/>
    <n v="0.75"/>
    <n v="893"/>
    <x v="7"/>
    <m/>
    <s v="2023-11-16"/>
    <s v="269533"/>
    <s v="Hasya Badhan Makhal"/>
    <s v="9674092010"/>
  </r>
  <r>
    <s v="RCF Thal"/>
    <s v="N.C.Urea(45kg)"/>
    <s v="WB"/>
    <x v="1"/>
    <s v="Baruipur"/>
    <s v="User Not Mapped"/>
    <s v="User Not Mapped"/>
    <s v="User Not Mapped"/>
    <n v="340709"/>
    <s v="Adhikari Fertilizer"/>
    <s v="Private Retailer"/>
    <s v="9874549312"/>
    <n v="0.03"/>
    <n v="893"/>
    <x v="7"/>
    <m/>
    <s v="2023-11-16"/>
    <s v="269533"/>
    <s v="Hasya Badhan Makhal"/>
    <s v="9674092010"/>
  </r>
  <r>
    <s v="RCF Import"/>
    <s v="MOP"/>
    <s v="WB"/>
    <x v="1"/>
    <s v="Baruipur"/>
    <s v="User Not Mapped"/>
    <s v="User Not Mapped"/>
    <s v="User Not Mapped"/>
    <n v="340757"/>
    <s v="M/S. Oli Fertilizer"/>
    <s v="Private Retailer"/>
    <s v="9735618057"/>
    <n v="0.5"/>
    <n v="62"/>
    <x v="2"/>
    <m/>
    <s v="2026-02-24"/>
    <s v="281135"/>
    <s v="Md Alauddin Mollick"/>
    <s v="8926710497"/>
  </r>
  <r>
    <s v="RCF Import"/>
    <s v="Imp 10-26-26"/>
    <s v="WB"/>
    <x v="1"/>
    <s v="Baruipur"/>
    <s v="User Not Mapped"/>
    <s v="User Not Mapped"/>
    <s v="User Not Mapped"/>
    <n v="340818"/>
    <s v="Anil Kumar Purkait"/>
    <s v="Private Retailer"/>
    <s v="9732930919"/>
    <n v="0.3"/>
    <n v="4"/>
    <x v="4"/>
    <m/>
    <s v="2026-04-23"/>
    <s v="281135"/>
    <s v="Md Alauddin Mollick"/>
    <s v="8926710497"/>
  </r>
  <r>
    <s v="RCF Thal"/>
    <s v="N.C.Urea(45kg)"/>
    <s v="WB"/>
    <x v="1"/>
    <s v="Baruipur"/>
    <s v="User Not Mapped"/>
    <s v="User Not Mapped"/>
    <s v="User Not Mapped"/>
    <n v="340818"/>
    <s v="Anil Kumar Purkait"/>
    <s v="Private Retailer"/>
    <s v="9732930919"/>
    <n v="0.13500000000000001"/>
    <n v="44"/>
    <x v="1"/>
    <m/>
    <s v="2026-03-14"/>
    <s v="281135"/>
    <s v="Md Alauddin Mollick"/>
    <s v="8926710497"/>
  </r>
  <r>
    <s v="RCF Trombay"/>
    <s v="N.C.Urea(45kg)"/>
    <s v="WB"/>
    <x v="1"/>
    <s v="Baruipur"/>
    <s v="User Not Mapped"/>
    <s v="User Not Mapped"/>
    <s v="User Not Mapped"/>
    <n v="341676"/>
    <s v="Krishi Bandhu Fertilisers"/>
    <s v="Private Retailer"/>
    <s v="9933075817"/>
    <n v="1.8"/>
    <n v="1179"/>
    <x v="7"/>
    <m/>
    <s v="2023-02-03"/>
    <s v="224553"/>
    <s v="Kirtibas Kapat (A.S.C.)"/>
    <s v="9064538989"/>
  </r>
  <r>
    <s v="RCF Trombay"/>
    <s v="N.C.Urea(45kg)"/>
    <s v="WB"/>
    <x v="1"/>
    <s v="Baruipur"/>
    <s v="User Not Mapped"/>
    <s v="User Not Mapped"/>
    <s v="User Not Mapped"/>
    <n v="341676"/>
    <s v="Krishi Bandhu Fertilisers"/>
    <s v="Private Retailer"/>
    <s v="9933075817"/>
    <n v="0.27"/>
    <n v="892"/>
    <x v="7"/>
    <m/>
    <s v="2023-11-17"/>
    <s v="281135"/>
    <s v="Md Alauddin Mollick"/>
    <s v="8926710497"/>
  </r>
  <r>
    <s v="RCF Trombay"/>
    <s v="15-15-15"/>
    <s v="WB"/>
    <x v="1"/>
    <s v="Baruipur"/>
    <s v="User Not Mapped"/>
    <s v="User Not Mapped"/>
    <s v="User Not Mapped"/>
    <n v="341726"/>
    <s v="Laskar Fertilizer"/>
    <s v="Private Retailer"/>
    <s v="9836198499"/>
    <n v="0.25"/>
    <n v="457"/>
    <x v="6"/>
    <m/>
    <s v="2025-01-25"/>
    <s v="281135"/>
    <s v="Md Alauddin Mollick"/>
    <s v="8926710497"/>
  </r>
  <r>
    <s v="RCF Thal"/>
    <s v="N.C.Urea(45kg)"/>
    <s v="WB"/>
    <x v="1"/>
    <s v="Baruipur"/>
    <s v="User Not Mapped"/>
    <s v="User Not Mapped"/>
    <s v="User Not Mapped"/>
    <n v="341726"/>
    <s v="Laskar Fertilizer"/>
    <s v="Private Retailer"/>
    <s v="9836198499"/>
    <n v="0.71"/>
    <n v="532"/>
    <x v="6"/>
    <m/>
    <s v="2024-11-11"/>
    <s v="281135"/>
    <s v="Md Alauddin Mollick"/>
    <s v="8926710497"/>
  </r>
  <r>
    <s v="RCF Trombay"/>
    <s v="N.C.Urea(45kg)"/>
    <s v="WB"/>
    <x v="1"/>
    <s v="Baruipur"/>
    <s v="User Not Mapped"/>
    <s v="User Not Mapped"/>
    <s v="User Not Mapped"/>
    <n v="355997"/>
    <s v="M/S RAKIA SEED STORES "/>
    <s v="Private Retailer"/>
    <s v="8016947414"/>
    <n v="10.98"/>
    <n v="68"/>
    <x v="2"/>
    <m/>
    <s v="2026-02-18"/>
    <s v="269533"/>
    <s v="Hasya Badhan Makhal"/>
    <s v="9674092010"/>
  </r>
  <r>
    <s v="RCF Trombay"/>
    <s v="15-15-15"/>
    <s v="WB"/>
    <x v="1"/>
    <s v="Baruipur"/>
    <s v="User Not Mapped"/>
    <s v="User Not Mapped"/>
    <s v="User Not Mapped"/>
    <n v="355997"/>
    <s v="M/S RAKIA SEED STORES "/>
    <s v="Private Retailer"/>
    <s v="8016947414"/>
    <n v="5.5"/>
    <n v="68"/>
    <x v="2"/>
    <m/>
    <s v="2026-02-18"/>
    <s v="269533"/>
    <s v="Hasya Badhan Makhal"/>
    <s v="9674092010"/>
  </r>
  <r>
    <s v="RCF Trombay"/>
    <s v="15-15-15"/>
    <s v="WB"/>
    <x v="1"/>
    <s v="Baruipur"/>
    <s v="User Not Mapped"/>
    <s v="User Not Mapped"/>
    <s v="User Not Mapped"/>
    <n v="384660"/>
    <s v="Das Fertilizer"/>
    <s v="Private Retailer"/>
    <s v="8961242940"/>
    <n v="0.75"/>
    <n v="51"/>
    <x v="1"/>
    <m/>
    <s v="2026-03-07"/>
    <s v="269946"/>
    <s v="M/s. Janardan Parui"/>
    <s v="6290703360"/>
  </r>
  <r>
    <s v="RCF Trombay"/>
    <s v="15-15-15"/>
    <s v="WB"/>
    <x v="1"/>
    <s v="Baruipur"/>
    <s v="User Not Mapped"/>
    <s v="User Not Mapped"/>
    <s v="User Not Mapped"/>
    <n v="387329"/>
    <s v="M/S GHOSH FERTILIZER"/>
    <s v="Private Retailer"/>
    <s v="8016256232"/>
    <n v="0.1"/>
    <n v="51"/>
    <x v="1"/>
    <m/>
    <s v="2026-03-07"/>
    <s v="281135"/>
    <s v="Md Alauddin Mollick"/>
    <s v="8926710497"/>
  </r>
  <r>
    <s v="RCF Trombay"/>
    <s v="15-15-15"/>
    <s v="WB"/>
    <x v="1"/>
    <s v="Baruipur"/>
    <s v="User Not Mapped"/>
    <s v="User Not Mapped"/>
    <s v="User Not Mapped"/>
    <n v="456156"/>
    <s v="M/S Md. Mucha Kalim Mondal"/>
    <s v="Private Retailer"/>
    <s v="6296515880"/>
    <n v="0.5"/>
    <n v="1781"/>
    <x v="7"/>
    <m/>
    <s v="2021-06-11"/>
    <s v="281135"/>
    <s v="Md Alauddin Mollick"/>
    <s v="8926710497"/>
  </r>
  <r>
    <s v="RCF Trombay"/>
    <s v="15-15-15"/>
    <s v="WB"/>
    <x v="1"/>
    <s v="Baruipur"/>
    <s v="User Not Mapped"/>
    <s v="User Not Mapped"/>
    <s v="User Not Mapped"/>
    <n v="456156"/>
    <s v="M/S Md. Mucha Kalim Mondal"/>
    <s v="Private Retailer"/>
    <s v="6296515880"/>
    <n v="0.05"/>
    <n v="1842"/>
    <x v="7"/>
    <m/>
    <s v="2021-04-11"/>
    <s v="269533"/>
    <s v="Hasya Badhan Makhal"/>
    <s v="9674092010"/>
  </r>
  <r>
    <s v="RCF Trombay"/>
    <s v="15-15-15"/>
    <s v="WB"/>
    <x v="1"/>
    <s v="Baruipur"/>
    <s v="User Not Mapped"/>
    <s v="User Not Mapped"/>
    <s v="User Not Mapped"/>
    <n v="460685"/>
    <s v="Mondal Fertilisers"/>
    <s v="Private Retailer"/>
    <s v="8697658722"/>
    <n v="0.2"/>
    <n v="67"/>
    <x v="2"/>
    <m/>
    <s v="2026-02-19"/>
    <s v="269533"/>
    <s v="Hasya Badhan Makhal"/>
    <s v="9674092010"/>
  </r>
  <r>
    <s v="RCF Import"/>
    <s v="MOP"/>
    <s v="WB"/>
    <x v="1"/>
    <s v="Baruipur"/>
    <s v="User Not Mapped"/>
    <s v="User Not Mapped"/>
    <s v="User Not Mapped"/>
    <n v="460685"/>
    <s v="Mondal Fertilisers"/>
    <s v="Private Retailer"/>
    <s v="8697658722"/>
    <n v="0.2"/>
    <n v="67"/>
    <x v="2"/>
    <m/>
    <s v="2026-02-19"/>
    <s v="269533"/>
    <s v="Hasya Badhan Makhal"/>
    <s v="9674092010"/>
  </r>
  <r>
    <s v="RCF Import"/>
    <s v="Imp 10-26-26"/>
    <s v="WB"/>
    <x v="1"/>
    <s v="Baruipur"/>
    <s v="User Not Mapped"/>
    <s v="User Not Mapped"/>
    <s v="User Not Mapped"/>
    <n v="460685"/>
    <s v="Mondal Fertilisers"/>
    <s v="Private Retailer"/>
    <s v="8697658722"/>
    <n v="0.7"/>
    <n v="44"/>
    <x v="1"/>
    <m/>
    <s v="2026-03-14"/>
    <s v="281125"/>
    <s v="Manoda Fertilisers            "/>
    <s v="9830280488"/>
  </r>
  <r>
    <s v="RCF Thal"/>
    <s v="N.C.Urea(45kg)"/>
    <s v="WB"/>
    <x v="1"/>
    <s v="Baruipur"/>
    <s v="User Not Mapped"/>
    <s v="User Not Mapped"/>
    <s v="User Not Mapped"/>
    <n v="466411"/>
    <s v="Rumpa Fertiliser"/>
    <s v="Private Retailer"/>
    <s v="7044265648"/>
    <n v="0.18"/>
    <n v="362"/>
    <x v="3"/>
    <m/>
    <s v="2025-04-30"/>
    <s v="224553"/>
    <s v="Kirtibas Kapat (A.S.C.)"/>
    <s v="9064538989"/>
  </r>
  <r>
    <s v="RCF Import"/>
    <s v="MOP"/>
    <s v="WB"/>
    <x v="1"/>
    <s v="Baruipur"/>
    <s v="User Not Mapped"/>
    <s v="User Not Mapped"/>
    <s v="User Not Mapped"/>
    <n v="466411"/>
    <s v="Rumpa Fertiliser"/>
    <s v="Private Retailer"/>
    <s v="7044265648"/>
    <n v="0.25"/>
    <n v="362"/>
    <x v="3"/>
    <m/>
    <s v="2025-04-30"/>
    <s v="224553"/>
    <s v="Kirtibas Kapat (A.S.C.)"/>
    <s v="9064538989"/>
  </r>
  <r>
    <s v="RCF Import"/>
    <s v="Imp 10-26-26"/>
    <s v="WB"/>
    <x v="1"/>
    <s v="Baruipur"/>
    <s v="User Not Mapped"/>
    <s v="User Not Mapped"/>
    <s v="User Not Mapped"/>
    <n v="467181"/>
    <s v="Durga Krishi Bhander"/>
    <s v="Private Retailer"/>
    <s v="7890602384"/>
    <n v="0.1"/>
    <n v="3"/>
    <x v="4"/>
    <m/>
    <s v="2026-04-24"/>
    <s v="281135"/>
    <s v="Md Alauddin Mollick"/>
    <s v="8926710497"/>
  </r>
  <r>
    <s v="RCF Trombay"/>
    <s v="15-15-15"/>
    <s v="WB"/>
    <x v="1"/>
    <s v="Baruipur"/>
    <s v="User Not Mapped"/>
    <s v="User Not Mapped"/>
    <s v="User Not Mapped"/>
    <n v="470890"/>
    <s v="M/S. Dilip Kumar Naskar"/>
    <s v="Private Retailer"/>
    <s v="9143076135"/>
    <n v="0.25"/>
    <n v="173"/>
    <x v="0"/>
    <m/>
    <s v="2025-11-05"/>
    <s v="269533"/>
    <s v="Hasya Badhan Makhal"/>
    <s v="9674092010"/>
  </r>
  <r>
    <s v="RCF Trombay"/>
    <s v="15-15-15"/>
    <s v="WB"/>
    <x v="1"/>
    <s v="Baruipur"/>
    <s v="User Not Mapped"/>
    <s v="User Not Mapped"/>
    <s v="User Not Mapped"/>
    <n v="470890"/>
    <s v="M/S. Dilip Kumar Naskar"/>
    <s v="Private Retailer"/>
    <s v="9143076135"/>
    <n v="0.26"/>
    <n v="1028"/>
    <x v="7"/>
    <m/>
    <s v="2023-07-04"/>
    <s v="269533"/>
    <s v="Hasya Badhan Makhal"/>
    <s v="9674092010"/>
  </r>
  <r>
    <s v="RCF Thal"/>
    <s v="N.C.Urea(45kg)"/>
    <s v="WB"/>
    <x v="1"/>
    <s v="Baruipur"/>
    <s v="User Not Mapped"/>
    <s v="User Not Mapped"/>
    <s v="User Not Mapped"/>
    <n v="470890"/>
    <s v="M/S. Dilip Kumar Naskar"/>
    <s v="Private Retailer"/>
    <s v="9143076135"/>
    <n v="0.22500000000000001"/>
    <n v="173"/>
    <x v="0"/>
    <m/>
    <s v="2025-11-05"/>
    <s v="269533"/>
    <s v="Hasya Badhan Makhal"/>
    <s v="9674092010"/>
  </r>
  <r>
    <s v="RCF Trombay"/>
    <s v="15-15-15"/>
    <s v="WB"/>
    <x v="1"/>
    <s v="Baruipur"/>
    <s v="User Not Mapped"/>
    <s v="User Not Mapped"/>
    <s v="User Not Mapped"/>
    <n v="631391"/>
    <s v="M/S ANKIT FERTILIZERS"/>
    <s v="Private Retailer"/>
    <s v="9748820557"/>
    <n v="0.75"/>
    <n v="33"/>
    <x v="1"/>
    <m/>
    <s v="2026-03-25"/>
    <s v="269533"/>
    <s v="Hasya Badhan Makhal"/>
    <s v="9674092010"/>
  </r>
  <r>
    <s v="RCF Trombay"/>
    <s v="N.C.Urea(45kg)"/>
    <s v="WB"/>
    <x v="1"/>
    <s v="Baruipur"/>
    <s v="User Not Mapped"/>
    <s v="User Not Mapped"/>
    <s v="User Not Mapped"/>
    <n v="632942"/>
    <s v="BISHNU FERTILISER"/>
    <s v="Private Retailer"/>
    <s v="8013261284"/>
    <n v="0.13500000000000001"/>
    <n v="1619"/>
    <x v="7"/>
    <m/>
    <s v="2021-11-20"/>
    <s v="269533"/>
    <s v="Hasya Badhan Makhal"/>
    <s v="9674092010"/>
  </r>
  <r>
    <s v="RCF Trombay"/>
    <s v="15-15-15"/>
    <s v="WB"/>
    <x v="1"/>
    <s v="Baruipur"/>
    <s v="User Not Mapped"/>
    <s v="User Not Mapped"/>
    <s v="User Not Mapped"/>
    <n v="632942"/>
    <s v="BISHNU FERTILISER"/>
    <s v="Private Retailer"/>
    <s v="8013261284"/>
    <n v="0.249"/>
    <n v="1619"/>
    <x v="7"/>
    <m/>
    <s v="2021-11-20"/>
    <s v="269533"/>
    <s v="Hasya Badhan Makhal"/>
    <s v="9674092010"/>
  </r>
  <r>
    <s v="RCF Trombay"/>
    <s v="15-15-15"/>
    <s v="WB"/>
    <x v="1"/>
    <s v="Baruipur"/>
    <s v="User Not Mapped"/>
    <s v="User Not Mapped"/>
    <s v="User Not Mapped"/>
    <n v="638929"/>
    <s v="M/S. HALDER FERTILIZER"/>
    <s v="Private Retailer"/>
    <s v="9836256023"/>
    <n v="0.05"/>
    <n v="2372"/>
    <x v="7"/>
    <m/>
    <s v="2019-10-29"/>
    <s v="356389"/>
    <s v=" Siddik Ali Gazi"/>
    <s v="9903464391"/>
  </r>
  <r>
    <s v="RCF Trombay"/>
    <s v="15-15-15"/>
    <s v="WB"/>
    <x v="1"/>
    <s v="Baruipur"/>
    <s v="User Not Mapped"/>
    <s v="User Not Mapped"/>
    <s v="User Not Mapped"/>
    <n v="638976"/>
    <s v="MONDAL FERTILISER"/>
    <s v="Private Retailer"/>
    <s v="9609139005"/>
    <n v="0.15"/>
    <n v="30"/>
    <x v="4"/>
    <m/>
    <s v="2026-03-28"/>
    <s v="281135"/>
    <s v="Md Alauddin Mollick"/>
    <s v="8926710497"/>
  </r>
  <r>
    <s v="RCF Trombay"/>
    <s v="15-15-15"/>
    <s v="WB"/>
    <x v="1"/>
    <s v="Baruipur"/>
    <s v="User Not Mapped"/>
    <s v="User Not Mapped"/>
    <s v="User Not Mapped"/>
    <n v="654091"/>
    <s v="LAXMI FERTILIZER "/>
    <s v="Private Retailer"/>
    <s v="8910202099"/>
    <n v="0.5"/>
    <n v="51"/>
    <x v="1"/>
    <m/>
    <s v="2026-03-07"/>
    <s v="269946"/>
    <s v="M/s. Janardan Parui"/>
    <s v="6290703360"/>
  </r>
  <r>
    <s v="RCF Trombay"/>
    <s v="15-15-15"/>
    <s v="WB"/>
    <x v="1"/>
    <s v="Baruipur"/>
    <s v="User Not Mapped"/>
    <s v="User Not Mapped"/>
    <s v="User Not Mapped"/>
    <n v="654829"/>
    <s v="M/S AL-AMIN FERTILISER"/>
    <s v="Private Retailer"/>
    <s v="9874725550"/>
    <n v="0.05"/>
    <n v="628"/>
    <x v="7"/>
    <m/>
    <s v="2024-08-07"/>
    <s v="281135"/>
    <s v="Md Alauddin Mollick"/>
    <s v="8926710497"/>
  </r>
  <r>
    <s v="RCF Trombay"/>
    <s v="15-15-15"/>
    <s v="WB"/>
    <x v="1"/>
    <s v="Baruipur"/>
    <s v="User Not Mapped"/>
    <s v="User Not Mapped"/>
    <s v="User Not Mapped"/>
    <n v="654829"/>
    <s v="M/S AL-AMIN FERTILISER"/>
    <s v="Private Retailer"/>
    <s v="9874725550"/>
    <n v="0.25"/>
    <n v="613"/>
    <x v="7"/>
    <m/>
    <s v="2024-08-22"/>
    <s v="281135"/>
    <s v="Md Alauddin Mollick"/>
    <s v="8926710497"/>
  </r>
  <r>
    <s v="RCF Thal"/>
    <s v="N.C.Urea(45kg)"/>
    <s v="WB"/>
    <x v="1"/>
    <s v="Baruipur"/>
    <s v="User Not Mapped"/>
    <s v="User Not Mapped"/>
    <s v="User Not Mapped"/>
    <n v="870312"/>
    <s v="TARIKUL ISLAM"/>
    <s v="Private Retailer"/>
    <s v="9749665807"/>
    <n v="10.98"/>
    <n v="47"/>
    <x v="1"/>
    <m/>
    <s v="2026-03-11"/>
    <s v="356406"/>
    <s v="Sonali Krishi Bhander"/>
    <s v="6294305762"/>
  </r>
  <r>
    <s v="RCF Thal"/>
    <s v="N.C.Urea(45kg)"/>
    <s v="WB"/>
    <x v="1"/>
    <s v="Baruipur"/>
    <s v="User Not Mapped"/>
    <s v="User Not Mapped"/>
    <s v="User Not Mapped"/>
    <n v="870312"/>
    <s v="TARIKUL ISLAM"/>
    <s v="Private Retailer"/>
    <s v="9749665807"/>
    <n v="1.0349999999999999"/>
    <n v="152"/>
    <x v="0"/>
    <m/>
    <s v="2025-11-26"/>
    <s v="290841"/>
    <s v="Sadhukhan &amp; Sons"/>
    <s v="9051954610"/>
  </r>
  <r>
    <s v="RCF Thal"/>
    <s v="N.C.Urea(45kg)"/>
    <s v="WB"/>
    <x v="1"/>
    <s v="Baruipur"/>
    <s v="User Not Mapped"/>
    <s v="User Not Mapped"/>
    <s v="User Not Mapped"/>
    <n v="905068"/>
    <s v="LASKAR FERTILISER"/>
    <s v="Private Retailer"/>
    <s v="7679671739"/>
    <n v="1.9350000000000001"/>
    <n v="168"/>
    <x v="0"/>
    <m/>
    <s v="2025-11-10"/>
    <s v="280736"/>
    <s v="M/S TAPAN KUMAR KARMAKAR"/>
    <s v="7584080473"/>
  </r>
  <r>
    <s v="RCF Trombay"/>
    <s v="N.C.Urea(45kg)"/>
    <s v="WB"/>
    <x v="1"/>
    <s v="Baruipur"/>
    <s v="User Not Mapped"/>
    <s v="User Not Mapped"/>
    <s v="User Not Mapped"/>
    <n v="1150378"/>
    <s v="M/S HAQUE AGRI WORLD"/>
    <s v="Private Retailer"/>
    <s v="9051778220"/>
    <n v="0.01"/>
    <n v="1222"/>
    <x v="7"/>
    <m/>
    <s v="2022-12-22"/>
    <s v="269533"/>
    <s v="Hasya Badhan Makhal"/>
    <s v="9674092010"/>
  </r>
  <r>
    <s v="RCF Trombay"/>
    <s v="15-15-15"/>
    <s v="WB"/>
    <x v="1"/>
    <s v="Baruipur"/>
    <s v="User Not Mapped"/>
    <s v="User Not Mapped"/>
    <s v="User Not Mapped"/>
    <n v="1150378"/>
    <s v="M/S HAQUE AGRI WORLD"/>
    <s v="Private Retailer"/>
    <s v="9051778220"/>
    <n v="0.15"/>
    <n v="1195"/>
    <x v="7"/>
    <m/>
    <s v="2023-01-18"/>
    <s v="269533"/>
    <s v="Hasya Badhan Makhal"/>
    <s v="9674092010"/>
  </r>
  <r>
    <s v="RCF Trombay"/>
    <s v="15-15-15"/>
    <s v="WB"/>
    <x v="1"/>
    <s v="Baruipur"/>
    <s v="User Not Mapped"/>
    <s v="User Not Mapped"/>
    <s v="User Not Mapped"/>
    <n v="1161883"/>
    <s v="NASKAR FERTILIZER"/>
    <s v="Private Retailer"/>
    <s v="9564212200"/>
    <n v="10.98"/>
    <n v="47"/>
    <x v="1"/>
    <m/>
    <s v="2026-03-11"/>
    <s v="269946"/>
    <s v="M/s. Janardan Parui"/>
    <s v="6290703360"/>
  </r>
  <r>
    <s v="RCF Thal"/>
    <s v="N.C.Urea(45kg)"/>
    <s v="WB"/>
    <x v="1"/>
    <s v="Baruipur"/>
    <s v="User Not Mapped"/>
    <s v="User Not Mapped"/>
    <s v="User Not Mapped"/>
    <n v="1303310"/>
    <s v="M/S. CHAMPAHATI SAR BIKRAY KEN"/>
    <s v="Private Retailer"/>
    <s v="7001983953"/>
    <n v="6.48"/>
    <n v="202"/>
    <x v="3"/>
    <m/>
    <s v="2025-10-07"/>
    <s v="1470890"/>
    <s v="SAHA BROTHERS"/>
    <s v="7001739365"/>
  </r>
  <r>
    <s v="RCF Import"/>
    <s v="Imp 10-26-26"/>
    <s v="WB"/>
    <x v="1"/>
    <s v="Baruipur"/>
    <s v="User Not Mapped"/>
    <s v="User Not Mapped"/>
    <s v="User Not Mapped"/>
    <n v="1455955"/>
    <s v="M/S ABUL HOSSAIN MOLLA"/>
    <s v="Private Retailer"/>
    <s v="6289056565"/>
    <n v="0.25"/>
    <n v="14"/>
    <x v="4"/>
    <m/>
    <s v="2026-04-13"/>
    <s v="281135"/>
    <s v="Md Alauddin Mollick"/>
    <s v="8926710497"/>
  </r>
  <r>
    <s v="RCF Import"/>
    <s v="MOP"/>
    <s v="WB"/>
    <x v="1"/>
    <s v="Baruipur"/>
    <s v="User Not Mapped"/>
    <s v="User Not Mapped"/>
    <s v="User Not Mapped"/>
    <n v="1603840"/>
    <s v="M/S LAXMI SAR BHANDAR"/>
    <s v="Private Retailer"/>
    <s v="8967636148"/>
    <n v="2.0499999999999998"/>
    <n v="66"/>
    <x v="2"/>
    <m/>
    <s v="2026-02-20"/>
    <s v="281135"/>
    <s v="Md Alauddin Mollick"/>
    <s v="8926710497"/>
  </r>
  <r>
    <s v="RCF Trombay"/>
    <s v="N.C.Urea(45kg)"/>
    <s v="WB"/>
    <x v="1"/>
    <s v="Basanti"/>
    <s v="User Not Mapped"/>
    <s v="User Not Mapped"/>
    <s v="User Not Mapped"/>
    <n v="290748"/>
    <s v="Banamali Purkait"/>
    <s v="Private Retailer"/>
    <s v="9733836356"/>
    <n v="3.0150000000000001"/>
    <n v="74"/>
    <x v="2"/>
    <m/>
    <s v="2026-02-12"/>
    <s v="356406"/>
    <s v="Sonali Krishi Bhander"/>
    <s v="6294305762"/>
  </r>
  <r>
    <s v="RCF Thal"/>
    <s v="N.C.Urea(45kg)"/>
    <s v="WB"/>
    <x v="1"/>
    <s v="Basanti"/>
    <s v="User Not Mapped"/>
    <s v="User Not Mapped"/>
    <s v="User Not Mapped"/>
    <n v="290748"/>
    <s v="Banamali Purkait"/>
    <s v="Private Retailer"/>
    <s v="9733836356"/>
    <n v="2.4300000000000002"/>
    <n v="199"/>
    <x v="3"/>
    <m/>
    <s v="2025-10-10"/>
    <s v="290840"/>
    <s v="N C Das &amp; Company"/>
    <s v="7365868045"/>
  </r>
  <r>
    <s v="RCF Thal"/>
    <s v="N.C.Urea(45kg)"/>
    <s v="WB"/>
    <x v="1"/>
    <s v="Basanti"/>
    <s v="User Not Mapped"/>
    <s v="User Not Mapped"/>
    <s v="User Not Mapped"/>
    <n v="290762"/>
    <s v="Kartick Ch. Mondal"/>
    <s v="Private Retailer"/>
    <s v="7602931643"/>
    <n v="8.9550000000000001"/>
    <n v="48"/>
    <x v="1"/>
    <m/>
    <s v="2026-03-10"/>
    <s v="269946"/>
    <s v="M/s. Janardan Parui"/>
    <s v="6290703360"/>
  </r>
  <r>
    <s v="RCF Thal"/>
    <s v="N.C.Urea(45kg)"/>
    <s v="WB"/>
    <x v="1"/>
    <s v="Basanti"/>
    <s v="User Not Mapped"/>
    <s v="User Not Mapped"/>
    <s v="User Not Mapped"/>
    <n v="290779"/>
    <s v="M/S. Das Fertiliser Pro. Sanjoy Das"/>
    <s v="Private Retailer"/>
    <s v="9733640246"/>
    <n v="5.5350000000000001"/>
    <n v="175"/>
    <x v="0"/>
    <m/>
    <s v="2025-11-03"/>
    <s v="224553"/>
    <s v="Kirtibas Kapat (A.S.C.)"/>
    <s v="9064538989"/>
  </r>
  <r>
    <s v="RCF Trombay"/>
    <s v="N.C.Urea(45kg)"/>
    <s v="WB"/>
    <x v="1"/>
    <s v="Basanti"/>
    <s v="User Not Mapped"/>
    <s v="User Not Mapped"/>
    <s v="User Not Mapped"/>
    <n v="290824"/>
    <s v="Tarama Fertiliser"/>
    <s v="Private Retailer"/>
    <s v="9733582337"/>
    <n v="5.04"/>
    <n v="74"/>
    <x v="2"/>
    <m/>
    <s v="2026-02-12"/>
    <s v="356406"/>
    <s v="Sonali Krishi Bhander"/>
    <s v="6294305762"/>
  </r>
  <r>
    <s v="RCF Thal"/>
    <s v="N.C.Urea(45kg)"/>
    <s v="WB"/>
    <x v="1"/>
    <s v="Basanti"/>
    <s v="User Not Mapped"/>
    <s v="User Not Mapped"/>
    <s v="User Not Mapped"/>
    <n v="309213"/>
    <s v="Mondal Krishi Bhander"/>
    <s v="Private Retailer"/>
    <s v="9609378345"/>
    <n v="10.98"/>
    <n v="47"/>
    <x v="1"/>
    <m/>
    <s v="2026-03-11"/>
    <s v="269533"/>
    <s v="Hasya Badhan Makhal"/>
    <s v="9674092010"/>
  </r>
  <r>
    <s v="RCF Thal"/>
    <s v="N.C.Urea(45kg)"/>
    <s v="WB"/>
    <x v="1"/>
    <s v="Basanti"/>
    <s v="User Not Mapped"/>
    <s v="User Not Mapped"/>
    <s v="User Not Mapped"/>
    <n v="309276"/>
    <s v="M/S Nemai Chandra Saha"/>
    <s v="State Marketing Federation"/>
    <s v="9734313137"/>
    <n v="32.94"/>
    <n v="47"/>
    <x v="1"/>
    <m/>
    <s v="2026-03-11"/>
    <s v="290840"/>
    <s v="N C Das &amp; Company"/>
    <s v="7365868045"/>
  </r>
  <r>
    <s v="RCF Import"/>
    <s v="MOP"/>
    <s v="WB"/>
    <x v="1"/>
    <s v="Basanti"/>
    <s v="User Not Mapped"/>
    <s v="User Not Mapped"/>
    <s v="User Not Mapped"/>
    <n v="309276"/>
    <s v="M/S Nemai Chandra Saha"/>
    <s v="State Marketing Federation"/>
    <s v="9734313137"/>
    <n v="11"/>
    <n v="63"/>
    <x v="2"/>
    <m/>
    <s v="2026-02-23"/>
    <s v="290840"/>
    <s v="N C Das &amp; Company"/>
    <s v="7365868045"/>
  </r>
  <r>
    <s v="RCF Thal"/>
    <s v="N.C.Urea(45kg)"/>
    <s v="WB"/>
    <x v="1"/>
    <s v="Basanti"/>
    <s v="User Not Mapped"/>
    <s v="User Not Mapped"/>
    <s v="User Not Mapped"/>
    <n v="309276"/>
    <s v="M/S Nemai Chandra Saha"/>
    <s v="State Marketing Federation"/>
    <s v="9734313137"/>
    <n v="16.155000000000001"/>
    <n v="72"/>
    <x v="2"/>
    <m/>
    <s v="2026-02-14"/>
    <s v="290840"/>
    <s v="N C Das &amp; Company"/>
    <s v="7365868045"/>
  </r>
  <r>
    <s v="RCF Import"/>
    <s v="Imp 10-26-26"/>
    <s v="WB"/>
    <x v="1"/>
    <s v="Basanti"/>
    <s v="User Not Mapped"/>
    <s v="User Not Mapped"/>
    <s v="User Not Mapped"/>
    <n v="631817"/>
    <s v="HASANUR ZAMAN LASKER"/>
    <s v="Private Retailer"/>
    <s v="7074863017"/>
    <n v="0.05"/>
    <n v="504"/>
    <x v="6"/>
    <m/>
    <s v="2024-12-09"/>
    <s v="356406"/>
    <s v="Sonali Krishi Bhander"/>
    <s v="6294305762"/>
  </r>
  <r>
    <s v="RCF Import"/>
    <s v="Imp 10-26-26"/>
    <s v="WB"/>
    <x v="1"/>
    <s v="Basanti"/>
    <s v="User Not Mapped"/>
    <s v="User Not Mapped"/>
    <s v="User Not Mapped"/>
    <n v="767672"/>
    <s v=" M/S KHAN KRISHI BHANDER"/>
    <s v="Private Retailer"/>
    <s v="9732235807"/>
    <n v="1.85"/>
    <n v="225"/>
    <x v="3"/>
    <m/>
    <s v="2025-09-14"/>
    <s v="281135"/>
    <s v="Md Alauddin Mollick"/>
    <s v="8926710497"/>
  </r>
  <r>
    <s v="RCF Thal"/>
    <s v="N.C.Urea(45kg)"/>
    <s v="WB"/>
    <x v="1"/>
    <s v="Basanti"/>
    <s v="User Not Mapped"/>
    <s v="User Not Mapped"/>
    <s v="User Not Mapped"/>
    <n v="767672"/>
    <s v=" M/S KHAN KRISHI BHANDER"/>
    <s v="Private Retailer"/>
    <s v="9732235807"/>
    <n v="3.4249999999999998"/>
    <n v="2086"/>
    <x v="7"/>
    <m/>
    <s v="2020-08-10"/>
    <s v="643299"/>
    <s v="HAQE BUL KRISHI BHANDER"/>
    <s v="9732829089"/>
  </r>
  <r>
    <s v="RCF Trombay"/>
    <s v="15-15-15"/>
    <s v="WB"/>
    <x v="1"/>
    <s v="Bhangar - I"/>
    <s v="User Not Mapped"/>
    <s v="User Not Mapped"/>
    <s v="User Not Mapped"/>
    <n v="331412"/>
    <s v="Kuddus Ali Molla"/>
    <s v="Private Retailer"/>
    <s v="9735308676"/>
    <n v="1.25"/>
    <n v="70"/>
    <x v="2"/>
    <m/>
    <s v="2026-02-16"/>
    <s v="290841"/>
    <s v="Sadhukhan &amp; Sons"/>
    <s v="9051954610"/>
  </r>
  <r>
    <s v="RCF Thal"/>
    <s v="N.C.Urea(45kg)"/>
    <s v="WB"/>
    <x v="1"/>
    <s v="Bhangar - I"/>
    <s v="User Not Mapped"/>
    <s v="User Not Mapped"/>
    <s v="User Not Mapped"/>
    <n v="340953"/>
    <s v="Atab Ali Molla"/>
    <s v="Private Retailer"/>
    <s v="9735761405"/>
    <n v="0.28799999999999998"/>
    <n v="420"/>
    <x v="6"/>
    <m/>
    <s v="2025-03-03"/>
    <s v="290840"/>
    <s v="N C Das &amp; Company"/>
    <s v="7365868045"/>
  </r>
  <r>
    <s v="RCF Thal"/>
    <s v="N.C.Urea(45kg)"/>
    <s v="WB"/>
    <x v="1"/>
    <s v="Bhangar - I"/>
    <s v="User Not Mapped"/>
    <s v="User Not Mapped"/>
    <s v="User Not Mapped"/>
    <n v="355670"/>
    <s v="MD ALI FERTILIZER"/>
    <s v="Private Retailer"/>
    <s v="9836029487"/>
    <n v="0.18"/>
    <n v="887"/>
    <x v="7"/>
    <m/>
    <s v="2023-11-22"/>
    <s v="281135"/>
    <s v="Md Alauddin Mollick"/>
    <s v="8926710497"/>
  </r>
  <r>
    <s v="RCF Trombay"/>
    <s v="15-15-15"/>
    <s v="WB"/>
    <x v="1"/>
    <s v="Bhangar - I"/>
    <s v="User Not Mapped"/>
    <s v="User Not Mapped"/>
    <s v="User Not Mapped"/>
    <n v="355670"/>
    <s v="MD ALI FERTILIZER"/>
    <s v="Private Retailer"/>
    <s v="9836029487"/>
    <n v="1.7999999999999999E-2"/>
    <n v="842"/>
    <x v="7"/>
    <m/>
    <s v="2024-01-06"/>
    <s v="281135"/>
    <s v="Md Alauddin Mollick"/>
    <s v="8926710497"/>
  </r>
  <r>
    <s v="RCF Trombay"/>
    <s v="N.C.Urea(45kg)"/>
    <s v="WB"/>
    <x v="1"/>
    <s v="Bhangar - I"/>
    <s v="User Not Mapped"/>
    <s v="User Not Mapped"/>
    <s v="User Not Mapped"/>
    <n v="355670"/>
    <s v="MD ALI FERTILIZER"/>
    <s v="Private Retailer"/>
    <s v="9836029487"/>
    <n v="0.9"/>
    <n v="842"/>
    <x v="7"/>
    <m/>
    <s v="2024-01-06"/>
    <s v="281135"/>
    <s v="Md Alauddin Mollick"/>
    <s v="8926710497"/>
  </r>
  <r>
    <s v="RCF Thal"/>
    <s v="N.C.Urea(45kg)"/>
    <s v="WB"/>
    <x v="1"/>
    <s v="Bhangar - I"/>
    <s v="User Not Mapped"/>
    <s v="User Not Mapped"/>
    <s v="User Not Mapped"/>
    <n v="355741"/>
    <s v="M/S Nowshar Ali Molla"/>
    <s v="Private Retailer"/>
    <s v="9800357351"/>
    <n v="6.0750000000000002"/>
    <n v="38"/>
    <x v="1"/>
    <m/>
    <s v="2026-03-20"/>
    <s v="290836"/>
    <s v="Md Nowshar Ali Molla"/>
    <s v="9143336806"/>
  </r>
  <r>
    <s v="RCF Thal"/>
    <s v="N.C.Urea(45kg)"/>
    <s v="WB"/>
    <x v="1"/>
    <s v="Bhangar - I"/>
    <s v="User Not Mapped"/>
    <s v="User Not Mapped"/>
    <s v="User Not Mapped"/>
    <n v="355798"/>
    <s v="Nepal Naskar"/>
    <s v="Private Retailer"/>
    <s v="9647389435"/>
    <n v="3.2000000000000001E-2"/>
    <n v="1789"/>
    <x v="7"/>
    <m/>
    <s v="2021-06-03"/>
    <s v="643299"/>
    <s v="HAQE BUL KRISHI BHANDER"/>
    <s v="9732829089"/>
  </r>
  <r>
    <s v="RCF Trombay"/>
    <s v="15-15-15"/>
    <s v="WB"/>
    <x v="1"/>
    <s v="Bhangar - I"/>
    <s v="User Not Mapped"/>
    <s v="User Not Mapped"/>
    <s v="User Not Mapped"/>
    <n v="355845"/>
    <s v="Paik Fertilizer"/>
    <s v="Private Retailer"/>
    <s v="9800797929"/>
    <n v="0.45"/>
    <n v="52"/>
    <x v="1"/>
    <m/>
    <s v="2026-03-06"/>
    <s v="290836"/>
    <s v="Md Nowshar Ali Molla"/>
    <s v="9143336806"/>
  </r>
  <r>
    <s v="RCF Trombay"/>
    <s v="N.C.Urea(45kg)"/>
    <s v="WB"/>
    <x v="1"/>
    <s v="Bhangar - I"/>
    <s v="User Not Mapped"/>
    <s v="User Not Mapped"/>
    <s v="User Not Mapped"/>
    <n v="356405"/>
    <s v=" m/s Sudhir Kr Ghosh"/>
    <s v="Private Retailer"/>
    <s v="9732671914"/>
    <n v="5.49"/>
    <n v="101"/>
    <x v="5"/>
    <m/>
    <s v="2026-01-16"/>
    <s v="224553"/>
    <s v="Kirtibas Kapat (A.S.C.)"/>
    <s v="9064538989"/>
  </r>
  <r>
    <s v="RCF Trombay"/>
    <s v="15-15-15"/>
    <s v="WB"/>
    <x v="1"/>
    <s v="Bhangar - I"/>
    <s v="User Not Mapped"/>
    <s v="User Not Mapped"/>
    <s v="User Not Mapped"/>
    <n v="356405"/>
    <s v=" m/s Sudhir Kr Ghosh"/>
    <s v="Private Retailer"/>
    <s v="9732671914"/>
    <n v="5.5"/>
    <n v="101"/>
    <x v="5"/>
    <m/>
    <s v="2026-01-16"/>
    <s v="224553"/>
    <s v="Kirtibas Kapat (A.S.C.)"/>
    <s v="9064538989"/>
  </r>
  <r>
    <s v="RCF Trombay"/>
    <s v="15-15-15"/>
    <s v="WB"/>
    <x v="1"/>
    <s v="Bhangar - I"/>
    <s v="User Not Mapped"/>
    <s v="User Not Mapped"/>
    <s v="User Not Mapped"/>
    <n v="356408"/>
    <s v="Shekkrishi Bhandar"/>
    <s v="Private Retailer"/>
    <s v="9564048868"/>
    <n v="0.5"/>
    <n v="6"/>
    <x v="4"/>
    <m/>
    <s v="2026-04-21"/>
    <s v="281135"/>
    <s v="Md Alauddin Mollick"/>
    <s v="8926710497"/>
  </r>
  <r>
    <s v="RCF Trombay"/>
    <s v="15-15-15"/>
    <s v="WB"/>
    <x v="1"/>
    <s v="Bhangar - I"/>
    <s v="User Not Mapped"/>
    <s v="User Not Mapped"/>
    <s v="User Not Mapped"/>
    <n v="356408"/>
    <s v="Shekkrishi Bhandar"/>
    <s v="Private Retailer"/>
    <s v="9564048868"/>
    <n v="0.5"/>
    <n v="133"/>
    <x v="0"/>
    <m/>
    <s v="2025-12-15"/>
    <s v="281135"/>
    <s v="Md Alauddin Mollick"/>
    <s v="8926710497"/>
  </r>
  <r>
    <s v="RCF Trombay"/>
    <s v="15-15-15"/>
    <s v="WB"/>
    <x v="1"/>
    <s v="Bhangar - I"/>
    <s v="User Not Mapped"/>
    <s v="User Not Mapped"/>
    <s v="User Not Mapped"/>
    <n v="457701"/>
    <s v="Mojaffar Hossain molla"/>
    <s v="Private Retailer"/>
    <s v="7872912002"/>
    <n v="0.15"/>
    <n v="49"/>
    <x v="1"/>
    <m/>
    <s v="2026-03-09"/>
    <s v="281135"/>
    <s v="Md Alauddin Mollick"/>
    <s v="8926710497"/>
  </r>
  <r>
    <s v="RCF Trombay"/>
    <s v="15-15-15"/>
    <s v="WB"/>
    <x v="1"/>
    <s v="Bhangar - I"/>
    <s v="User Not Mapped"/>
    <s v="User Not Mapped"/>
    <s v="User Not Mapped"/>
    <n v="461105"/>
    <s v="M/S Ferdousi Fertiliser"/>
    <s v="Private Retailer"/>
    <s v="9735201520"/>
    <n v="0.04"/>
    <n v="231"/>
    <x v="3"/>
    <m/>
    <s v="2025-09-08"/>
    <s v="356406"/>
    <s v="Sonali Krishi Bhander"/>
    <s v="6294305762"/>
  </r>
  <r>
    <s v="RCF Trombay"/>
    <s v="N.C.Urea(45kg)"/>
    <s v="WB"/>
    <x v="1"/>
    <s v="Bhangar - I"/>
    <s v="User Not Mapped"/>
    <s v="User Not Mapped"/>
    <s v="User Not Mapped"/>
    <n v="461125"/>
    <s v="Paik Krishi Bhander"/>
    <s v="Private Retailer"/>
    <s v="9933499302"/>
    <n v="0.54"/>
    <n v="1197"/>
    <x v="7"/>
    <m/>
    <s v="2023-01-16"/>
    <s v="281181"/>
    <s v="R. B. Agro Enterprise"/>
    <s v="9903110185"/>
  </r>
  <r>
    <s v="RCF Import"/>
    <s v="MOP"/>
    <s v="WB"/>
    <x v="1"/>
    <s v="Bhangar - I"/>
    <s v="User Not Mapped"/>
    <s v="User Not Mapped"/>
    <s v="User Not Mapped"/>
    <n v="463319"/>
    <s v="Bakkar Sar Kendra"/>
    <s v="Private Retailer"/>
    <s v="9735549767"/>
    <n v="4.7"/>
    <n v="67"/>
    <x v="2"/>
    <m/>
    <s v="2026-02-19"/>
    <s v="280736"/>
    <s v="M/S TAPAN KUMAR KARMAKAR"/>
    <s v="7584080473"/>
  </r>
  <r>
    <s v="RCF Trombay"/>
    <s v="N.C.Urea(45kg)"/>
    <s v="WB"/>
    <x v="1"/>
    <s v="Bhangar - I"/>
    <s v="User Not Mapped"/>
    <s v="User Not Mapped"/>
    <s v="User Not Mapped"/>
    <n v="463319"/>
    <s v="Bakkar Sar Kendra"/>
    <s v="Private Retailer"/>
    <s v="9735549767"/>
    <n v="0.67500000000000004"/>
    <n v="99"/>
    <x v="5"/>
    <m/>
    <s v="2026-01-18"/>
    <s v="280736"/>
    <s v="M/S TAPAN KUMAR KARMAKAR"/>
    <s v="7584080473"/>
  </r>
  <r>
    <s v="RCF Trombay"/>
    <s v="15-15-15"/>
    <s v="WB"/>
    <x v="1"/>
    <s v="Bhangar - I"/>
    <s v="User Not Mapped"/>
    <s v="User Not Mapped"/>
    <s v="User Not Mapped"/>
    <n v="463319"/>
    <s v="Bakkar Sar Kendra"/>
    <s v="Private Retailer"/>
    <s v="9735549767"/>
    <n v="0.35"/>
    <n v="99"/>
    <x v="5"/>
    <m/>
    <s v="2026-01-18"/>
    <s v="280736"/>
    <s v="M/S TAPAN KUMAR KARMAKAR"/>
    <s v="7584080473"/>
  </r>
  <r>
    <s v="RCF Trombay"/>
    <s v="N.C.Urea(45kg)"/>
    <s v="WB"/>
    <x v="1"/>
    <s v="Bhangar - I"/>
    <s v="User Not Mapped"/>
    <s v="User Not Mapped"/>
    <s v="User Not Mapped"/>
    <n v="622790"/>
    <s v="THE K.G.N KRISHI BHANDAR"/>
    <s v="Private Retailer"/>
    <s v="9153179661"/>
    <n v="3.1949999999999998"/>
    <n v="97"/>
    <x v="5"/>
    <m/>
    <s v="2026-01-20"/>
    <s v="506846"/>
    <s v="Adarsha Krishi fertilizer"/>
    <s v="9832639301"/>
  </r>
  <r>
    <s v="RCF Trombay"/>
    <s v="15-15-15"/>
    <s v="WB"/>
    <x v="1"/>
    <s v="Bhangar - I"/>
    <s v="User Not Mapped"/>
    <s v="User Not Mapped"/>
    <s v="User Not Mapped"/>
    <n v="633406"/>
    <s v="KOWSAR ALI MOLLA"/>
    <s v="Private Retailer"/>
    <s v="9593954614"/>
    <n v="2.5000000000000001E-2"/>
    <n v="499"/>
    <x v="6"/>
    <m/>
    <s v="2024-12-14"/>
    <s v="506846"/>
    <s v="Adarsha Krishi fertilizer"/>
    <s v="9832639301"/>
  </r>
  <r>
    <s v="RCF Trombay"/>
    <s v="15-15-15"/>
    <s v="WB"/>
    <x v="1"/>
    <s v="Bhangar - I"/>
    <s v="User Not Mapped"/>
    <s v="User Not Mapped"/>
    <s v="User Not Mapped"/>
    <n v="1271543"/>
    <s v="M/S. MAA KRISHI SEVA KENDRA"/>
    <s v="Private Retailer"/>
    <s v="8926685359"/>
    <n v="2"/>
    <n v="98"/>
    <x v="5"/>
    <m/>
    <s v="2026-01-19"/>
    <s v="280736"/>
    <s v="M/S TAPAN KUMAR KARMAKAR"/>
    <s v="7584080473"/>
  </r>
  <r>
    <s v="RCF Trombay"/>
    <s v="N.C.Urea(45kg)"/>
    <s v="WB"/>
    <x v="1"/>
    <s v="Bhangar - I"/>
    <s v="User Not Mapped"/>
    <s v="User Not Mapped"/>
    <s v="User Not Mapped"/>
    <n v="1271543"/>
    <s v="M/S. MAA KRISHI SEVA KENDRA"/>
    <s v="Private Retailer"/>
    <s v="8926685359"/>
    <n v="2.61"/>
    <n v="98"/>
    <x v="5"/>
    <m/>
    <s v="2026-01-19"/>
    <s v="280736"/>
    <s v="M/S TAPAN KUMAR KARMAKAR"/>
    <s v="7584080473"/>
  </r>
  <r>
    <s v="RCF Trombay"/>
    <s v="15-15-15"/>
    <s v="WB"/>
    <x v="1"/>
    <s v="Bhangar - I"/>
    <s v="User Not Mapped"/>
    <s v="User Not Mapped"/>
    <s v="User Not Mapped"/>
    <n v="1271543"/>
    <s v="M/S. MAA KRISHI SEVA KENDRA"/>
    <s v="Private Retailer"/>
    <s v="8926685359"/>
    <n v="0.75"/>
    <n v="279"/>
    <x v="3"/>
    <m/>
    <s v="2025-07-22"/>
    <s v="280736"/>
    <s v="M/S TAPAN KUMAR KARMAKAR"/>
    <s v="7584080473"/>
  </r>
  <r>
    <s v="RCF Trombay"/>
    <s v="15-15-15"/>
    <s v="WB"/>
    <x v="1"/>
    <s v="Bhangar - I"/>
    <s v="User Not Mapped"/>
    <s v="User Not Mapped"/>
    <s v="User Not Mapped"/>
    <n v="1411819"/>
    <s v="ABU HOSSAIN FERTILIZER"/>
    <s v="Private Retailer"/>
    <s v="8116798046"/>
    <n v="5"/>
    <n v="270"/>
    <x v="3"/>
    <m/>
    <s v="2025-07-31"/>
    <s v="356406"/>
    <s v="Sonali Krishi Bhander"/>
    <s v="6294305762"/>
  </r>
  <r>
    <s v="RCF Trombay"/>
    <s v="15-15-15"/>
    <s v="WB"/>
    <x v="1"/>
    <s v="Bhangar - I"/>
    <s v="User Not Mapped"/>
    <s v="User Not Mapped"/>
    <s v="User Not Mapped"/>
    <n v="1411819"/>
    <s v="ABU HOSSAIN FERTILIZER"/>
    <s v="Private Retailer"/>
    <s v="8116798046"/>
    <n v="2.1"/>
    <n v="498"/>
    <x v="6"/>
    <m/>
    <s v="2024-12-15"/>
    <s v="355645"/>
    <s v="M/s. Md Sahidul Islam"/>
    <s v="9883502324"/>
  </r>
  <r>
    <s v="RCF Trombay"/>
    <s v="15-15-15"/>
    <s v="WB"/>
    <x v="1"/>
    <s v="Bhangar - I"/>
    <s v="User Not Mapped"/>
    <s v="User Not Mapped"/>
    <s v="User Not Mapped"/>
    <n v="1455967"/>
    <s v="M/S RINKU FERTILIZER"/>
    <s v="Private Retailer"/>
    <s v="9143359179"/>
    <n v="2.7"/>
    <n v="72"/>
    <x v="2"/>
    <m/>
    <s v="2026-02-14"/>
    <s v="224553"/>
    <s v="Kirtibas Kapat (A.S.C.)"/>
    <s v="9064538989"/>
  </r>
  <r>
    <s v="RCF Import"/>
    <s v="MOP"/>
    <s v="WB"/>
    <x v="1"/>
    <s v="Bhangar - II"/>
    <s v="User Not Mapped"/>
    <s v="User Not Mapped"/>
    <s v="User Not Mapped"/>
    <n v="309682"/>
    <s v="Pravesh Das"/>
    <s v="Private Retailer"/>
    <s v="9734362184"/>
    <n v="3.25"/>
    <n v="67"/>
    <x v="2"/>
    <m/>
    <s v="2026-02-19"/>
    <s v="280736"/>
    <s v="M/S TAPAN KUMAR KARMAKAR"/>
    <s v="7584080473"/>
  </r>
  <r>
    <s v="RCF Import"/>
    <s v="Imp 10-26-26"/>
    <s v="WB"/>
    <x v="1"/>
    <s v="Bhangar - II"/>
    <s v="User Not Mapped"/>
    <s v="User Not Mapped"/>
    <s v="User Not Mapped"/>
    <n v="331189"/>
    <s v="Bimal Chandra Karmakar"/>
    <s v="Private Retailer"/>
    <s v="9735454772"/>
    <n v="3.75"/>
    <n v="43"/>
    <x v="1"/>
    <m/>
    <s v="2026-03-15"/>
    <s v="224553"/>
    <s v="Kirtibas Kapat (A.S.C.)"/>
    <s v="9064538989"/>
  </r>
  <r>
    <s v="RCF Trombay"/>
    <s v="15-15-15"/>
    <s v="WB"/>
    <x v="1"/>
    <s v="Bhangar - II"/>
    <s v="User Not Mapped"/>
    <s v="User Not Mapped"/>
    <s v="User Not Mapped"/>
    <n v="331189"/>
    <s v="Bimal Chandra Karmakar"/>
    <s v="Private Retailer"/>
    <s v="9735454772"/>
    <n v="1.1499999999999999"/>
    <n v="59"/>
    <x v="1"/>
    <m/>
    <s v="2026-02-27"/>
    <s v="280736"/>
    <s v="M/S TAPAN KUMAR KARMAKAR"/>
    <s v="7584080473"/>
  </r>
  <r>
    <s v="RCF Thal"/>
    <s v="N.C.Urea(45kg)"/>
    <s v="WB"/>
    <x v="1"/>
    <s v="Bhangar - II"/>
    <s v="User Not Mapped"/>
    <s v="User Not Mapped"/>
    <s v="User Not Mapped"/>
    <n v="331189"/>
    <s v="Bimal Chandra Karmakar"/>
    <s v="Private Retailer"/>
    <s v="9735454772"/>
    <n v="2.2050000000000001"/>
    <n v="45"/>
    <x v="1"/>
    <m/>
    <s v="2026-03-13"/>
    <s v="280736"/>
    <s v="M/S TAPAN KUMAR KARMAKAR"/>
    <s v="7584080473"/>
  </r>
  <r>
    <s v="RCF Import"/>
    <s v="MOP"/>
    <s v="WB"/>
    <x v="1"/>
    <s v="Bhangar - II"/>
    <s v="User Not Mapped"/>
    <s v="User Not Mapped"/>
    <s v="User Not Mapped"/>
    <n v="342298"/>
    <s v="Tarfdar Krishi Bhandar"/>
    <s v="Private Retailer"/>
    <s v="9732926523"/>
    <n v="5.5"/>
    <n v="66"/>
    <x v="2"/>
    <m/>
    <s v="2026-02-20"/>
    <s v="356406"/>
    <s v="Sonali Krishi Bhander"/>
    <s v="6294305762"/>
  </r>
  <r>
    <s v="RCF Trombay"/>
    <s v="15-15-15"/>
    <s v="WB"/>
    <x v="1"/>
    <s v="Bhangar - II"/>
    <s v="User Not Mapped"/>
    <s v="User Not Mapped"/>
    <s v="User Not Mapped"/>
    <n v="342298"/>
    <s v="Tarfdar Krishi Bhandar"/>
    <s v="Private Retailer"/>
    <s v="9732926523"/>
    <n v="0.54500000000000004"/>
    <n v="130"/>
    <x v="0"/>
    <m/>
    <s v="2025-12-18"/>
    <s v="290840"/>
    <s v="N C Das &amp; Company"/>
    <s v="7365868045"/>
  </r>
  <r>
    <s v="RCF Thal"/>
    <s v="N.C.Urea(45kg)"/>
    <s v="WB"/>
    <x v="1"/>
    <s v="Bhangar - II"/>
    <s v="User Not Mapped"/>
    <s v="User Not Mapped"/>
    <s v="User Not Mapped"/>
    <n v="355365"/>
    <s v="Md. Ahiduzzaman Sahaji"/>
    <s v="Private Retailer"/>
    <s v="8101949261"/>
    <n v="4.1399999999999997"/>
    <n v="263"/>
    <x v="3"/>
    <m/>
    <s v="2025-08-07"/>
    <s v="281125"/>
    <s v="Manoda Fertilisers            "/>
    <s v="9830280488"/>
  </r>
  <r>
    <s v="RCF Trombay"/>
    <s v="15-15-15"/>
    <s v="WB"/>
    <x v="1"/>
    <s v="Bhangar - II"/>
    <s v="User Not Mapped"/>
    <s v="User Not Mapped"/>
    <s v="User Not Mapped"/>
    <n v="355365"/>
    <s v="Md. Ahiduzzaman Sahaji"/>
    <s v="Private Retailer"/>
    <s v="8101949261"/>
    <n v="0.05"/>
    <n v="263"/>
    <x v="3"/>
    <m/>
    <s v="2025-08-07"/>
    <s v="281125"/>
    <s v="Manoda Fertilisers            "/>
    <s v="9830280488"/>
  </r>
  <r>
    <s v="RCF Trombay"/>
    <s v="N.C.Urea(45kg)"/>
    <s v="WB"/>
    <x v="1"/>
    <s v="Bhangar - II"/>
    <s v="User Not Mapped"/>
    <s v="User Not Mapped"/>
    <s v="User Not Mapped"/>
    <n v="355384"/>
    <s v="Md.Ismailmolla"/>
    <s v="Private Retailer"/>
    <s v="9735755235"/>
    <n v="3.915"/>
    <n v="97"/>
    <x v="5"/>
    <m/>
    <s v="2026-01-20"/>
    <s v="506846"/>
    <s v="Adarsha Krishi fertilizer"/>
    <s v="9832639301"/>
  </r>
  <r>
    <s v="RCF Trombay"/>
    <s v="15-15-15"/>
    <s v="WB"/>
    <x v="1"/>
    <s v="Bhangar - II"/>
    <s v="User Not Mapped"/>
    <s v="User Not Mapped"/>
    <s v="User Not Mapped"/>
    <n v="355385"/>
    <s v="Md.Ispahanmolla"/>
    <s v="Private Retailer"/>
    <s v="9734642846"/>
    <n v="0.1"/>
    <n v="840"/>
    <x v="7"/>
    <m/>
    <s v="2024-01-08"/>
    <s v="280736"/>
    <s v="M/S TAPAN KUMAR KARMAKAR"/>
    <s v="7584080473"/>
  </r>
  <r>
    <s v="RCF Trombay"/>
    <s v="15-15-15"/>
    <s v="WB"/>
    <x v="1"/>
    <s v="Bhangar - II"/>
    <s v="User Not Mapped"/>
    <s v="User Not Mapped"/>
    <s v="User Not Mapped"/>
    <n v="355389"/>
    <s v="Md..Jiad Ali Molla"/>
    <s v="Private Retailer"/>
    <s v="9734029210"/>
    <n v="4.4999999999999998E-2"/>
    <n v="775"/>
    <x v="7"/>
    <m/>
    <s v="2024-03-13"/>
    <s v="356406"/>
    <s v="Sonali Krishi Bhander"/>
    <s v="6294305762"/>
  </r>
  <r>
    <s v="RCF Thal"/>
    <s v="N.C.Urea(45kg)"/>
    <s v="WB"/>
    <x v="1"/>
    <s v="Bhangar - II"/>
    <s v="User Not Mapped"/>
    <s v="User Not Mapped"/>
    <s v="User Not Mapped"/>
    <n v="355742"/>
    <s v="M/S. Rabiul Islam"/>
    <s v="Private Retailer"/>
    <s v="9830521863"/>
    <n v="0.93"/>
    <n v="133"/>
    <x v="0"/>
    <m/>
    <s v="2025-12-15"/>
    <s v="506846"/>
    <s v="Adarsha Krishi fertilizer"/>
    <s v="9832639301"/>
  </r>
  <r>
    <s v="RCF Trombay"/>
    <s v="15-15-15"/>
    <s v="WB"/>
    <x v="1"/>
    <s v="Bhangar - II"/>
    <s v="User Not Mapped"/>
    <s v="User Not Mapped"/>
    <s v="User Not Mapped"/>
    <n v="355742"/>
    <s v="M/S. Rabiul Islam"/>
    <s v="Private Retailer"/>
    <s v="9830521863"/>
    <n v="4.5999999999999996"/>
    <n v="26"/>
    <x v="4"/>
    <m/>
    <s v="2026-04-01"/>
    <s v="506846"/>
    <s v="Adarsha Krishi fertilizer"/>
    <s v="9832639301"/>
  </r>
  <r>
    <s v="RCF Trombay"/>
    <s v="15-15-15"/>
    <s v="WB"/>
    <x v="1"/>
    <s v="Bhangar - II"/>
    <s v="User Not Mapped"/>
    <s v="User Not Mapped"/>
    <s v="User Not Mapped"/>
    <n v="356411"/>
    <s v="Sudebkr  Mondal"/>
    <s v="Private Retailer"/>
    <s v="9735245956"/>
    <n v="4"/>
    <n v="26"/>
    <x v="4"/>
    <m/>
    <s v="2026-04-01"/>
    <s v="506846"/>
    <s v="Adarsha Krishi fertilizer"/>
    <s v="9832639301"/>
  </r>
  <r>
    <s v="RCF Trombay"/>
    <s v="N.C.Urea(45kg)"/>
    <s v="WB"/>
    <x v="1"/>
    <s v="Bhangar - II"/>
    <s v="User Not Mapped"/>
    <s v="User Not Mapped"/>
    <s v="User Not Mapped"/>
    <n v="356411"/>
    <s v="Sudebkr  Mondal"/>
    <s v="Private Retailer"/>
    <s v="9735245956"/>
    <n v="2.2949999999999999"/>
    <n v="384"/>
    <x v="6"/>
    <m/>
    <s v="2025-04-08"/>
    <s v="506846"/>
    <s v="Adarsha Krishi fertilizer"/>
    <s v="9832639301"/>
  </r>
  <r>
    <s v="RCF Trombay"/>
    <s v="15-15-15"/>
    <s v="WB"/>
    <x v="1"/>
    <s v="Bhangar - II"/>
    <s v="User Not Mapped"/>
    <s v="User Not Mapped"/>
    <s v="User Not Mapped"/>
    <n v="460613"/>
    <s v="Amirul Islam Molla"/>
    <s v="Private Retailer"/>
    <s v="9775081392"/>
    <n v="3.7999999999999999E-2"/>
    <n v="152"/>
    <x v="0"/>
    <m/>
    <s v="2025-11-26"/>
    <s v="356406"/>
    <s v="Sonali Krishi Bhander"/>
    <s v="6294305762"/>
  </r>
  <r>
    <s v="RCF Trombay"/>
    <s v="15-15-15"/>
    <s v="WB"/>
    <x v="1"/>
    <s v="Bhangar - II"/>
    <s v="User Not Mapped"/>
    <s v="User Not Mapped"/>
    <s v="User Not Mapped"/>
    <n v="470796"/>
    <s v="Mosaref Molla"/>
    <s v="Private Retailer"/>
    <s v="9932247751"/>
    <n v="0.1"/>
    <n v="72"/>
    <x v="2"/>
    <m/>
    <s v="2026-02-14"/>
    <s v="506846"/>
    <s v="Adarsha Krishi fertilizer"/>
    <s v="9832639301"/>
  </r>
  <r>
    <s v="RCF Trombay"/>
    <s v="N.C.Urea(45kg)"/>
    <s v="WB"/>
    <x v="1"/>
    <s v="Bhangar - II"/>
    <s v="User Not Mapped"/>
    <s v="User Not Mapped"/>
    <s v="User Not Mapped"/>
    <n v="470796"/>
    <s v="Mosaref Molla"/>
    <s v="Private Retailer"/>
    <s v="9932247751"/>
    <n v="3.0000000000000001E-3"/>
    <n v="517"/>
    <x v="6"/>
    <m/>
    <s v="2024-11-26"/>
    <s v="506846"/>
    <s v="Adarsha Krishi fertilizer"/>
    <s v="9832639301"/>
  </r>
  <r>
    <s v="RCF Trombay"/>
    <s v="15-15-15"/>
    <s v="WB"/>
    <x v="1"/>
    <s v="Bhangar - II"/>
    <s v="User Not Mapped"/>
    <s v="User Not Mapped"/>
    <s v="User Not Mapped"/>
    <n v="510504"/>
    <s v="Md Sahidul Islam"/>
    <s v="Private Retailer"/>
    <s v="8768971493"/>
    <n v="11"/>
    <n v="28"/>
    <x v="4"/>
    <m/>
    <s v="2026-03-30"/>
    <s v="355645"/>
    <s v="M/s. Md Sahidul Islam"/>
    <s v="9883502324"/>
  </r>
  <r>
    <s v="RCF Trombay"/>
    <s v="N.C.Urea(45kg)"/>
    <s v="WB"/>
    <x v="1"/>
    <s v="Bhangar - II"/>
    <s v="User Not Mapped"/>
    <s v="User Not Mapped"/>
    <s v="User Not Mapped"/>
    <n v="541208"/>
    <s v="Kakuli Krishi Bhandar"/>
    <s v="Private Retailer"/>
    <s v="9593153337"/>
    <n v="5.0000000000000001E-3"/>
    <n v="1258"/>
    <x v="7"/>
    <m/>
    <s v="2022-11-16"/>
    <s v="356412"/>
    <s v="Tarafdarkrishi Bhandar"/>
    <s v="9732926523"/>
  </r>
  <r>
    <s v="RCF Trombay"/>
    <s v="N.C.Urea(45kg)"/>
    <s v="WB"/>
    <x v="1"/>
    <s v="Bhangar - II"/>
    <s v="User Not Mapped"/>
    <s v="User Not Mapped"/>
    <s v="User Not Mapped"/>
    <n v="635692"/>
    <s v="PROBIR KR ROY"/>
    <s v="Private Retailer"/>
    <s v="7699866166"/>
    <n v="4.8600000000000003"/>
    <n v="240"/>
    <x v="3"/>
    <m/>
    <s v="2025-08-30"/>
    <s v="506846"/>
    <s v="Adarsha Krishi fertilizer"/>
    <s v="9832639301"/>
  </r>
  <r>
    <s v="RCF Trombay"/>
    <s v="15-15-15"/>
    <s v="WB"/>
    <x v="1"/>
    <s v="Bhangar - II"/>
    <s v="User Not Mapped"/>
    <s v="User Not Mapped"/>
    <s v="User Not Mapped"/>
    <n v="635692"/>
    <s v="PROBIR KR ROY"/>
    <s v="Private Retailer"/>
    <s v="7699866166"/>
    <n v="5"/>
    <n v="53"/>
    <x v="1"/>
    <m/>
    <s v="2026-03-05"/>
    <s v="290841"/>
    <s v="Sadhukhan &amp; Sons"/>
    <s v="9051954610"/>
  </r>
  <r>
    <s v="RCF Thal"/>
    <s v="N.C.Urea(45kg)"/>
    <s v="WB"/>
    <x v="1"/>
    <s v="Bhangar - II"/>
    <s v="User Not Mapped"/>
    <s v="User Not Mapped"/>
    <s v="User Not Mapped"/>
    <n v="635692"/>
    <s v="PROBIR KR ROY"/>
    <s v="Private Retailer"/>
    <s v="7699866166"/>
    <n v="9.9149999999999991"/>
    <n v="149"/>
    <x v="0"/>
    <m/>
    <s v="2025-11-29"/>
    <s v="506846"/>
    <s v="Adarsha Krishi fertilizer"/>
    <s v="9832639301"/>
  </r>
  <r>
    <s v="RCF Trombay"/>
    <s v="15-15-15"/>
    <s v="WB"/>
    <x v="1"/>
    <s v="Bhangar - II"/>
    <s v="User Not Mapped"/>
    <s v="User Not Mapped"/>
    <s v="User Not Mapped"/>
    <n v="635692"/>
    <s v="PROBIR KR ROY"/>
    <s v="Private Retailer"/>
    <s v="7699866166"/>
    <n v="0.05"/>
    <n v="135"/>
    <x v="0"/>
    <m/>
    <s v="2025-12-13"/>
    <s v="506846"/>
    <s v="Adarsha Krishi fertilizer"/>
    <s v="9832639301"/>
  </r>
  <r>
    <s v="RCF Trombay"/>
    <s v="N.C.Urea(45kg)"/>
    <s v="WB"/>
    <x v="1"/>
    <s v="Bhangar - II"/>
    <s v="User Not Mapped"/>
    <s v="User Not Mapped"/>
    <s v="User Not Mapped"/>
    <n v="635692"/>
    <s v="PROBIR KR ROY"/>
    <s v="Private Retailer"/>
    <s v="7699866166"/>
    <n v="0.36"/>
    <n v="298"/>
    <x v="3"/>
    <m/>
    <s v="2025-07-03"/>
    <s v="506846"/>
    <s v="Adarsha Krishi fertilizer"/>
    <s v="9832639301"/>
  </r>
  <r>
    <s v="RCF Trombay"/>
    <s v="15-15-15"/>
    <s v="WB"/>
    <x v="1"/>
    <s v="Bhangar - II"/>
    <s v="User Not Mapped"/>
    <s v="User Not Mapped"/>
    <s v="User Not Mapped"/>
    <n v="636472"/>
    <s v="RAIHAN KRISHI BHANDER"/>
    <s v="Private Retailer"/>
    <s v="9732800217"/>
    <n v="4.1500000000000004"/>
    <n v="72"/>
    <x v="2"/>
    <m/>
    <s v="2026-02-14"/>
    <s v="506846"/>
    <s v="Adarsha Krishi fertilizer"/>
    <s v="9832639301"/>
  </r>
  <r>
    <s v="RCF Trombay"/>
    <s v="15-15-15"/>
    <s v="WB"/>
    <x v="1"/>
    <s v="Bhangar - II"/>
    <s v="User Not Mapped"/>
    <s v="User Not Mapped"/>
    <s v="User Not Mapped"/>
    <n v="636478"/>
    <s v="MD ALI AKBAR MOLLA"/>
    <s v="Private Retailer"/>
    <s v="8768233899"/>
    <n v="8.65"/>
    <n v="328"/>
    <x v="3"/>
    <m/>
    <s v="2025-06-03"/>
    <s v="506846"/>
    <s v="Adarsha Krishi fertilizer"/>
    <s v="9832639301"/>
  </r>
  <r>
    <s v="RCF Trombay"/>
    <s v="N.C.Urea(45kg)"/>
    <s v="WB"/>
    <x v="1"/>
    <s v="Bhangar - II"/>
    <s v="User Not Mapped"/>
    <s v="User Not Mapped"/>
    <s v="User Not Mapped"/>
    <n v="637369"/>
    <s v="KAZI ABDUL MATIN"/>
    <s v="Private Retailer"/>
    <s v="7384513031"/>
    <n v="0.18"/>
    <n v="261"/>
    <x v="3"/>
    <m/>
    <s v="2025-08-09"/>
    <s v="224553"/>
    <s v="Kirtibas Kapat (A.S.C.)"/>
    <s v="9064538989"/>
  </r>
  <r>
    <s v="RCF Thal"/>
    <s v="N.C.Urea(45kg)"/>
    <s v="WB"/>
    <x v="1"/>
    <s v="Bhangar - II"/>
    <s v="User Not Mapped"/>
    <s v="User Not Mapped"/>
    <s v="User Not Mapped"/>
    <n v="637797"/>
    <s v="AJAN SAPUIN"/>
    <s v="Private Retailer"/>
    <s v="9609112384"/>
    <n v="6.4349999999999996"/>
    <n v="149"/>
    <x v="0"/>
    <m/>
    <s v="2025-11-29"/>
    <s v="506846"/>
    <s v="Adarsha Krishi fertilizer"/>
    <s v="9832639301"/>
  </r>
  <r>
    <s v="RCF Trombay"/>
    <s v="15-15-15"/>
    <s v="WB"/>
    <x v="1"/>
    <s v="Bhangar - II"/>
    <s v="User Not Mapped"/>
    <s v="User Not Mapped"/>
    <s v="User Not Mapped"/>
    <n v="637797"/>
    <s v="AJAN SAPUIN"/>
    <s v="Private Retailer"/>
    <s v="9609112384"/>
    <n v="6"/>
    <n v="53"/>
    <x v="1"/>
    <m/>
    <s v="2026-03-05"/>
    <s v="290841"/>
    <s v="Sadhukhan &amp; Sons"/>
    <s v="9051954610"/>
  </r>
  <r>
    <s v="RCF Thal"/>
    <s v="N.C.Urea(45kg)"/>
    <s v="WB"/>
    <x v="1"/>
    <s v="Bhangar - II"/>
    <s v="User Not Mapped"/>
    <s v="User Not Mapped"/>
    <s v="User Not Mapped"/>
    <n v="639315"/>
    <s v="DIN MOHAMMAD LASKAR "/>
    <s v="Private Retailer"/>
    <s v="7003318442"/>
    <n v="22.05"/>
    <n v="71"/>
    <x v="2"/>
    <m/>
    <s v="2026-02-15"/>
    <s v="342299"/>
    <s v="Din Mohammad Laskar"/>
    <s v="7003318442"/>
  </r>
  <r>
    <s v="RCF Trombay"/>
    <s v="15-15-15"/>
    <s v="WB"/>
    <x v="1"/>
    <s v="Bhangar - II"/>
    <s v="User Not Mapped"/>
    <s v="User Not Mapped"/>
    <s v="User Not Mapped"/>
    <n v="639315"/>
    <s v="DIN MOHAMMAD LASKAR "/>
    <s v="Private Retailer"/>
    <s v="7003318442"/>
    <n v="3.6"/>
    <n v="100"/>
    <x v="5"/>
    <m/>
    <s v="2026-01-17"/>
    <s v="342299"/>
    <s v="Din Mohammad Laskar"/>
    <s v="7003318442"/>
  </r>
  <r>
    <s v="RCF Trombay"/>
    <s v="15-15-15"/>
    <s v="WB"/>
    <x v="1"/>
    <s v="Bhangar - II"/>
    <s v="User Not Mapped"/>
    <s v="User Not Mapped"/>
    <s v="User Not Mapped"/>
    <n v="836714"/>
    <s v="NEW FERTILISERand STORES"/>
    <s v="Private Retailer"/>
    <s v="9564407296"/>
    <n v="0.2"/>
    <n v="788"/>
    <x v="7"/>
    <m/>
    <s v="2024-02-29"/>
    <s v="506846"/>
    <s v="Adarsha Krishi fertilizer"/>
    <s v="9832639301"/>
  </r>
  <r>
    <s v="RCF Thal"/>
    <s v="N.C.Urea(45kg)"/>
    <s v="WB"/>
    <x v="1"/>
    <s v="Bhangar - II"/>
    <s v="User Not Mapped"/>
    <s v="User Not Mapped"/>
    <s v="User Not Mapped"/>
    <n v="952241"/>
    <s v="MD HABIBUR REHMAN"/>
    <s v="Private Retailer"/>
    <s v="8391006933"/>
    <n v="0.76500000000000001"/>
    <n v="893"/>
    <x v="7"/>
    <m/>
    <s v="2023-11-16"/>
    <s v="281181"/>
    <s v="R. B. Agro Enterprise"/>
    <s v="9903110185"/>
  </r>
  <r>
    <s v="RCF Trombay"/>
    <s v="15-15-15"/>
    <s v="WB"/>
    <x v="1"/>
    <s v="Bhangar - II"/>
    <s v="User Not Mapped"/>
    <s v="User Not Mapped"/>
    <s v="User Not Mapped"/>
    <n v="952241"/>
    <s v="MD HABIBUR REHMAN"/>
    <s v="Private Retailer"/>
    <s v="8391006933"/>
    <n v="0.35"/>
    <n v="893"/>
    <x v="7"/>
    <m/>
    <s v="2023-11-16"/>
    <s v="281181"/>
    <s v="R. B. Agro Enterprise"/>
    <s v="9903110185"/>
  </r>
  <r>
    <s v="RCF Trombay"/>
    <s v="15-15-15"/>
    <s v="WB"/>
    <x v="1"/>
    <s v="Bhangar - II"/>
    <s v="User Not Mapped"/>
    <s v="User Not Mapped"/>
    <s v="User Not Mapped"/>
    <n v="952241"/>
    <s v="MD HABIBUR REHMAN"/>
    <s v="Private Retailer"/>
    <s v="8391006933"/>
    <n v="3"/>
    <n v="863"/>
    <x v="7"/>
    <m/>
    <s v="2023-12-16"/>
    <s v="281181"/>
    <s v="R. B. Agro Enterprise"/>
    <s v="9903110185"/>
  </r>
  <r>
    <s v="RCF Trombay"/>
    <s v="15-15-15"/>
    <s v="WB"/>
    <x v="1"/>
    <s v="Bishnupur - I"/>
    <s v="User Not Mapped"/>
    <s v="User Not Mapped"/>
    <s v="User Not Mapped"/>
    <n v="341461"/>
    <s v="Harekrishna  Mondal"/>
    <s v="Private Retailer"/>
    <s v="9804145180"/>
    <n v="0.1"/>
    <n v="68"/>
    <x v="2"/>
    <m/>
    <s v="2026-02-18"/>
    <s v="269533"/>
    <s v="Hasya Badhan Makhal"/>
    <s v="9674092010"/>
  </r>
  <r>
    <s v="RCF Import"/>
    <s v="MOP"/>
    <s v="WB"/>
    <x v="1"/>
    <s v="Bishnupur - I"/>
    <s v="User Not Mapped"/>
    <s v="User Not Mapped"/>
    <s v="User Not Mapped"/>
    <n v="341461"/>
    <s v="Harekrishna  Mondal"/>
    <s v="Private Retailer"/>
    <s v="9804145180"/>
    <n v="0.15"/>
    <n v="7"/>
    <x v="4"/>
    <m/>
    <s v="2026-04-20"/>
    <s v="269533"/>
    <s v="Hasya Badhan Makhal"/>
    <s v="9674092010"/>
  </r>
  <r>
    <s v="RCF Trombay"/>
    <s v="15-15-15"/>
    <s v="WB"/>
    <x v="1"/>
    <s v="Bishnupur - I"/>
    <s v="User Not Mapped"/>
    <s v="User Not Mapped"/>
    <s v="User Not Mapped"/>
    <n v="341461"/>
    <s v="Harekrishna  Mondal"/>
    <s v="Private Retailer"/>
    <s v="9804145180"/>
    <n v="0.75"/>
    <n v="7"/>
    <x v="4"/>
    <m/>
    <s v="2026-04-20"/>
    <s v="269533"/>
    <s v="Hasya Badhan Makhal"/>
    <s v="9674092010"/>
  </r>
  <r>
    <s v="RCF Trombay"/>
    <s v="N.C.Urea(45kg)"/>
    <s v="WB"/>
    <x v="1"/>
    <s v="Bishnupur - I"/>
    <s v="User Not Mapped"/>
    <s v="User Not Mapped"/>
    <s v="User Not Mapped"/>
    <n v="634829"/>
    <s v="PANCHANAN SARDAR"/>
    <s v="Private Retailer"/>
    <s v="9330490626"/>
    <n v="0.54"/>
    <n v="445"/>
    <x v="6"/>
    <m/>
    <s v="2025-02-06"/>
    <s v="269533"/>
    <s v="Hasya Badhan Makhal"/>
    <s v="9674092010"/>
  </r>
  <r>
    <s v="RCF Trombay"/>
    <s v="N.C.Urea(45kg)"/>
    <s v="WB"/>
    <x v="1"/>
    <s v="Bishnupur - I"/>
    <s v="User Not Mapped"/>
    <s v="User Not Mapped"/>
    <s v="User Not Mapped"/>
    <n v="653540"/>
    <s v="M/S TAPAS KUMAR SAMANTA"/>
    <s v="Private Retailer"/>
    <s v="9836278986"/>
    <n v="0.09"/>
    <n v="95"/>
    <x v="5"/>
    <m/>
    <s v="2026-01-22"/>
    <s v="281125"/>
    <s v="Manoda Fertilisers            "/>
    <s v="9830280488"/>
  </r>
  <r>
    <s v="RCF Trombay"/>
    <s v="15-15-15"/>
    <s v="WB"/>
    <x v="1"/>
    <s v="Bishnupur - I"/>
    <s v="User Not Mapped"/>
    <s v="User Not Mapped"/>
    <s v="User Not Mapped"/>
    <n v="1027030"/>
    <s v="HASYA BADAN MAKAL"/>
    <s v="Private Retailer"/>
    <s v="9674572215"/>
    <n v="5"/>
    <n v="4"/>
    <x v="4"/>
    <m/>
    <s v="2026-04-23"/>
    <s v="269533"/>
    <s v="Hasya Badhan Makhal"/>
    <s v="9674092010"/>
  </r>
  <r>
    <s v="RCF Import"/>
    <s v="MOP"/>
    <s v="WB"/>
    <x v="1"/>
    <s v="Bishnupur - I"/>
    <s v="User Not Mapped"/>
    <s v="User Not Mapped"/>
    <s v="User Not Mapped"/>
    <n v="1027030"/>
    <s v="HASYA BADAN MAKAL"/>
    <s v="Private Retailer"/>
    <s v="9674572215"/>
    <n v="9.5500000000000007"/>
    <n v="53"/>
    <x v="1"/>
    <m/>
    <s v="2026-03-05"/>
    <s v="269533"/>
    <s v="Hasya Badhan Makhal"/>
    <s v="9674092010"/>
  </r>
  <r>
    <s v="RCF Import"/>
    <s v="Imp 10-26-26"/>
    <s v="WB"/>
    <x v="1"/>
    <s v="Bishnupur - I"/>
    <s v="User Not Mapped"/>
    <s v="User Not Mapped"/>
    <s v="User Not Mapped"/>
    <n v="1027030"/>
    <s v="HASYA BADAN MAKAL"/>
    <s v="Private Retailer"/>
    <s v="9674572215"/>
    <n v="3.45"/>
    <n v="53"/>
    <x v="1"/>
    <m/>
    <s v="2026-03-05"/>
    <s v="269533"/>
    <s v="Hasya Badhan Makhal"/>
    <s v="9674092010"/>
  </r>
  <r>
    <s v="RCF Thal"/>
    <s v="N.C.Urea(45kg)"/>
    <s v="WB"/>
    <x v="1"/>
    <s v="Bishnupur - I"/>
    <s v="User Not Mapped"/>
    <s v="User Not Mapped"/>
    <s v="User Not Mapped"/>
    <n v="1336151"/>
    <s v="ETHAN FERTILIZERS"/>
    <s v="Private Retailer"/>
    <s v="7003772612"/>
    <n v="3.105"/>
    <n v="259"/>
    <x v="3"/>
    <m/>
    <s v="2025-08-11"/>
    <s v="269533"/>
    <s v="Hasya Badhan Makhal"/>
    <s v="9674092010"/>
  </r>
  <r>
    <s v="RCF Trombay"/>
    <s v="15-15-15"/>
    <s v="WB"/>
    <x v="1"/>
    <s v="Bishnupur - I"/>
    <s v="User Not Mapped"/>
    <s v="User Not Mapped"/>
    <s v="User Not Mapped"/>
    <n v="1336151"/>
    <s v="ETHAN FERTILIZERS"/>
    <s v="Private Retailer"/>
    <s v="7003772612"/>
    <n v="1.95"/>
    <n v="68"/>
    <x v="2"/>
    <m/>
    <s v="2026-02-18"/>
    <s v="269533"/>
    <s v="Hasya Badhan Makhal"/>
    <s v="9674092010"/>
  </r>
  <r>
    <s v="RCF Thal"/>
    <s v="N.C.Urea(45kg)"/>
    <s v="WB"/>
    <x v="1"/>
    <s v="Bishnupur - I"/>
    <s v="User Not Mapped"/>
    <s v="User Not Mapped"/>
    <s v="User Not Mapped"/>
    <n v="1336151"/>
    <s v="ETHAN FERTILIZERS"/>
    <s v="Private Retailer"/>
    <s v="7003772612"/>
    <n v="0.63"/>
    <n v="135"/>
    <x v="0"/>
    <m/>
    <s v="2025-12-13"/>
    <s v="269533"/>
    <s v="Hasya Badhan Makhal"/>
    <s v="9674092010"/>
  </r>
  <r>
    <s v="RCF Trombay"/>
    <s v="15-15-15"/>
    <s v="WB"/>
    <x v="1"/>
    <s v="Bishnupur - I"/>
    <s v="User Not Mapped"/>
    <s v="User Not Mapped"/>
    <s v="User Not Mapped"/>
    <n v="1338588"/>
    <s v="M/S BISWAS KRISHI BHANDER"/>
    <s v="Private Retailer"/>
    <s v="9088213719"/>
    <n v="0.9"/>
    <n v="67"/>
    <x v="2"/>
    <m/>
    <s v="2026-02-19"/>
    <s v="269533"/>
    <s v="Hasya Badhan Makhal"/>
    <s v="9674092010"/>
  </r>
  <r>
    <s v="RCF Import"/>
    <s v="MOP"/>
    <s v="WB"/>
    <x v="1"/>
    <s v="Bishnupur - I"/>
    <s v="User Not Mapped"/>
    <s v="User Not Mapped"/>
    <s v="User Not Mapped"/>
    <n v="1338588"/>
    <s v="M/S BISWAS KRISHI BHANDER"/>
    <s v="Private Retailer"/>
    <s v="9088213719"/>
    <n v="1.3"/>
    <n v="67"/>
    <x v="2"/>
    <m/>
    <s v="2026-02-19"/>
    <s v="269533"/>
    <s v="Hasya Badhan Makhal"/>
    <s v="9674092010"/>
  </r>
  <r>
    <s v="RCF Trombay"/>
    <s v="N.C.Urea(45kg)"/>
    <s v="WB"/>
    <x v="1"/>
    <s v="Bishnupur - I"/>
    <s v="User Not Mapped"/>
    <s v="User Not Mapped"/>
    <s v="User Not Mapped"/>
    <n v="1338590"/>
    <s v="M/S NASKAR FERTILIZER"/>
    <s v="Private Retailer"/>
    <s v="6289668087"/>
    <n v="6.8"/>
    <n v="814"/>
    <x v="7"/>
    <m/>
    <s v="2024-02-03"/>
    <s v="281181"/>
    <s v="R. B. Agro Enterprise"/>
    <s v="9903110185"/>
  </r>
  <r>
    <s v="RCF Import"/>
    <s v="Imp 10-26-26"/>
    <s v="WB"/>
    <x v="1"/>
    <s v="Bishnupur - II"/>
    <s v="User Not Mapped"/>
    <s v="User Not Mapped"/>
    <s v="User Not Mapped"/>
    <n v="460757"/>
    <s v="Shyamal Kumar Ghosh"/>
    <s v="Private Retailer"/>
    <s v="9836302197"/>
    <n v="0.05"/>
    <n v="41"/>
    <x v="1"/>
    <m/>
    <s v="2026-03-17"/>
    <s v="281186"/>
    <s v="M/S Sukumar Das"/>
    <s v="9433009221"/>
  </r>
  <r>
    <s v="RCF Trombay"/>
    <s v="15-15-15"/>
    <s v="WB"/>
    <x v="1"/>
    <s v="Budge Budge - II"/>
    <s v="User Not Mapped"/>
    <s v="User Not Mapped"/>
    <s v="User Not Mapped"/>
    <n v="384668"/>
    <s v="Sushil Krishna Samanta"/>
    <s v="Private Retailer"/>
    <s v="9836482006"/>
    <n v="0.25"/>
    <n v="27"/>
    <x v="4"/>
    <m/>
    <s v="2026-03-31"/>
    <s v="269946"/>
    <s v="M/s. Janardan Parui"/>
    <s v="6290703360"/>
  </r>
  <r>
    <s v="RCF Thal"/>
    <s v="N.C.Urea(45kg)"/>
    <s v="WB"/>
    <x v="1"/>
    <s v="Budge Budge - II"/>
    <s v="User Not Mapped"/>
    <s v="User Not Mapped"/>
    <s v="User Not Mapped"/>
    <n v="385472"/>
    <s v="Malay Pramanik"/>
    <s v="Private Retailer"/>
    <s v="9051876248"/>
    <n v="1.575"/>
    <n v="76"/>
    <x v="2"/>
    <m/>
    <s v="2026-02-10"/>
    <s v="269533"/>
    <s v="Hasya Badhan Makhal"/>
    <s v="9674092010"/>
  </r>
  <r>
    <s v="RCF Import"/>
    <s v="MOP"/>
    <s v="WB"/>
    <x v="1"/>
    <s v="Budge Budge - II"/>
    <s v="User Not Mapped"/>
    <s v="User Not Mapped"/>
    <s v="User Not Mapped"/>
    <n v="387473"/>
    <s v="Rama Mondal"/>
    <s v="Private Retailer"/>
    <s v="9830384784"/>
    <n v="0.25"/>
    <n v="233"/>
    <x v="3"/>
    <m/>
    <s v="2025-09-06"/>
    <s v="281125"/>
    <s v="Manoda Fertilisers            "/>
    <s v="9830280488"/>
  </r>
  <r>
    <s v="RCF Thal"/>
    <s v="N.C.Urea(45kg)"/>
    <s v="WB"/>
    <x v="1"/>
    <s v="Budge Budge - II"/>
    <s v="User Not Mapped"/>
    <s v="User Not Mapped"/>
    <s v="User Not Mapped"/>
    <n v="387473"/>
    <s v="Rama Mondal"/>
    <s v="Private Retailer"/>
    <s v="9830384784"/>
    <n v="0.85499999999999998"/>
    <n v="233"/>
    <x v="3"/>
    <m/>
    <s v="2025-09-06"/>
    <s v="281125"/>
    <s v="Manoda Fertilisers            "/>
    <s v="9830280488"/>
  </r>
  <r>
    <s v="RCF Trombay"/>
    <s v="N.C.Urea(45kg)"/>
    <s v="WB"/>
    <x v="1"/>
    <s v="Budge Budge - II"/>
    <s v="User Not Mapped"/>
    <s v="User Not Mapped"/>
    <s v="User Not Mapped"/>
    <n v="480921"/>
    <s v="M/S BHOLANATH JANA"/>
    <s v="Private Retailer"/>
    <s v="9831538521"/>
    <n v="2.5649999999999999"/>
    <n v="665"/>
    <x v="7"/>
    <m/>
    <s v="2024-07-01"/>
    <s v="269533"/>
    <s v="Hasya Badhan Makhal"/>
    <s v="9674092010"/>
  </r>
  <r>
    <s v="RCF Trombay"/>
    <s v="N.C.Urea(45kg)"/>
    <s v="WB"/>
    <x v="1"/>
    <s v="Budge Budge - II"/>
    <s v="User Not Mapped"/>
    <s v="User Not Mapped"/>
    <s v="User Not Mapped"/>
    <n v="541218"/>
    <s v="Tara Maa Fertilizer Centre"/>
    <s v="Private Retailer"/>
    <s v="8017061164"/>
    <n v="0.77500000000000002"/>
    <n v="1251"/>
    <x v="7"/>
    <m/>
    <s v="2022-11-23"/>
    <s v="281181"/>
    <s v="R. B. Agro Enterprise"/>
    <s v="9903110185"/>
  </r>
  <r>
    <s v="RCF Trombay"/>
    <s v="15-15-15"/>
    <s v="WB"/>
    <x v="1"/>
    <s v="Budge Budge - II"/>
    <s v="User Not Mapped"/>
    <s v="User Not Mapped"/>
    <s v="User Not Mapped"/>
    <n v="640601"/>
    <s v="SAIKAT KHAN"/>
    <s v="Private Retailer"/>
    <s v="9051241759"/>
    <n v="0.05"/>
    <n v="146"/>
    <x v="0"/>
    <m/>
    <s v="2025-12-02"/>
    <s v="269946"/>
    <s v="M/s. Janardan Parui"/>
    <s v="6290703360"/>
  </r>
  <r>
    <s v="RCF Import"/>
    <s v="MOP"/>
    <s v="WB"/>
    <x v="1"/>
    <s v="Canning - I"/>
    <s v="User Not Mapped"/>
    <s v="User Not Mapped"/>
    <s v="User Not Mapped"/>
    <n v="461171"/>
    <s v="MAA DURGA SAR VANDHAR"/>
    <s v="Private Retailer"/>
    <s v="9333871896"/>
    <n v="0.5"/>
    <n v="44"/>
    <x v="1"/>
    <m/>
    <s v="2026-03-14"/>
    <s v="281135"/>
    <s v="Md Alauddin Mollick"/>
    <s v="8926710497"/>
  </r>
  <r>
    <s v="RCF Trombay"/>
    <s v="15-15-15"/>
    <s v="WB"/>
    <x v="1"/>
    <s v="Canning - I"/>
    <s v="User Not Mapped"/>
    <s v="User Not Mapped"/>
    <s v="User Not Mapped"/>
    <n v="461171"/>
    <s v="MAA DURGA SAR VANDHAR"/>
    <s v="Private Retailer"/>
    <s v="9333871896"/>
    <n v="0.25"/>
    <n v="44"/>
    <x v="1"/>
    <m/>
    <s v="2026-03-14"/>
    <s v="281135"/>
    <s v="Md Alauddin Mollick"/>
    <s v="8926710497"/>
  </r>
  <r>
    <s v="RCF Import"/>
    <s v="Imp 10-26-26"/>
    <s v="WB"/>
    <x v="1"/>
    <s v="Canning - I"/>
    <s v="User Not Mapped"/>
    <s v="User Not Mapped"/>
    <s v="User Not Mapped"/>
    <n v="461171"/>
    <s v="MAA DURGA SAR VANDHAR"/>
    <s v="Private Retailer"/>
    <s v="9333871896"/>
    <n v="0.25"/>
    <n v="44"/>
    <x v="1"/>
    <m/>
    <s v="2026-03-14"/>
    <s v="281135"/>
    <s v="Md Alauddin Mollick"/>
    <s v="8926710497"/>
  </r>
  <r>
    <s v="RCF Import"/>
    <s v="MOP"/>
    <s v="WB"/>
    <x v="1"/>
    <s v="Canning - I"/>
    <s v="User Not Mapped"/>
    <s v="User Not Mapped"/>
    <s v="User Not Mapped"/>
    <n v="461171"/>
    <s v="MAA DURGA SAR VANDHAR"/>
    <s v="Private Retailer"/>
    <s v="9333871896"/>
    <n v="0.75"/>
    <n v="63"/>
    <x v="2"/>
    <m/>
    <s v="2026-02-23"/>
    <s v="281135"/>
    <s v="Md Alauddin Mollick"/>
    <s v="8926710497"/>
  </r>
  <r>
    <s v="RCF Thal"/>
    <s v="N.C.Urea(45kg)"/>
    <s v="WB"/>
    <x v="1"/>
    <s v="Canning - I"/>
    <s v="User Not Mapped"/>
    <s v="User Not Mapped"/>
    <s v="User Not Mapped"/>
    <n v="461279"/>
    <s v="Chasi Ghar"/>
    <s v="Private Retailer"/>
    <s v="9733654163"/>
    <n v="2.88"/>
    <n v="282"/>
    <x v="3"/>
    <m/>
    <s v="2025-07-19"/>
    <s v="280736"/>
    <s v="M/S TAPAN KUMAR KARMAKAR"/>
    <s v="7584080473"/>
  </r>
  <r>
    <s v="RCF Import"/>
    <s v="MOP"/>
    <s v="WB"/>
    <x v="1"/>
    <s v="Canning - I"/>
    <s v="User Not Mapped"/>
    <s v="User Not Mapped"/>
    <s v="User Not Mapped"/>
    <n v="461279"/>
    <s v="Chasi Ghar"/>
    <s v="Private Retailer"/>
    <s v="9733654163"/>
    <n v="3"/>
    <n v="59"/>
    <x v="1"/>
    <m/>
    <s v="2026-02-27"/>
    <s v="280736"/>
    <s v="M/S TAPAN KUMAR KARMAKAR"/>
    <s v="7584080473"/>
  </r>
  <r>
    <s v="RCF Import"/>
    <s v="MOP"/>
    <s v="WB"/>
    <x v="1"/>
    <s v="Canning - I"/>
    <s v="User Not Mapped"/>
    <s v="User Not Mapped"/>
    <s v="User Not Mapped"/>
    <n v="504489"/>
    <s v="Raima Sar Bhander"/>
    <s v="Private Retailer"/>
    <s v="9332609072"/>
    <n v="0.2"/>
    <n v="49"/>
    <x v="1"/>
    <m/>
    <s v="2026-03-09"/>
    <s v="281135"/>
    <s v="Md Alauddin Mollick"/>
    <s v="8926710497"/>
  </r>
  <r>
    <s v="RCF Import"/>
    <s v="MOP"/>
    <s v="WB"/>
    <x v="1"/>
    <s v="Canning - I"/>
    <s v="User Not Mapped"/>
    <s v="User Not Mapped"/>
    <s v="User Not Mapped"/>
    <n v="504489"/>
    <s v="Raima Sar Bhander"/>
    <s v="Private Retailer"/>
    <s v="9332609072"/>
    <n v="0.5"/>
    <n v="33"/>
    <x v="1"/>
    <m/>
    <s v="2026-03-25"/>
    <s v="281135"/>
    <s v="Md Alauddin Mollick"/>
    <s v="8926710497"/>
  </r>
  <r>
    <s v="RCF Trombay"/>
    <s v="15-15-15"/>
    <s v="WB"/>
    <x v="1"/>
    <s v="Canning - I"/>
    <s v="User Not Mapped"/>
    <s v="User Not Mapped"/>
    <s v="User Not Mapped"/>
    <n v="631991"/>
    <s v="OMBYA AYEMA SAR BHANDER"/>
    <s v="Private Retailer"/>
    <s v="8145384542"/>
    <n v="5"/>
    <n v="578"/>
    <x v="7"/>
    <m/>
    <s v="2024-09-26"/>
    <s v="281125"/>
    <s v="Manoda Fertilisers            "/>
    <s v="9830280488"/>
  </r>
  <r>
    <s v="RCF Thal"/>
    <s v="N.C.Urea(45kg)"/>
    <s v="WB"/>
    <x v="1"/>
    <s v="Canning - I"/>
    <s v="User Not Mapped"/>
    <s v="User Not Mapped"/>
    <s v="User Not Mapped"/>
    <n v="631991"/>
    <s v="OMBYA AYEMA SAR BHANDER"/>
    <s v="Private Retailer"/>
    <s v="8145384542"/>
    <n v="3.5550000000000002"/>
    <n v="576"/>
    <x v="7"/>
    <m/>
    <s v="2024-09-28"/>
    <s v="281125"/>
    <s v="Manoda Fertilisers            "/>
    <s v="9830280488"/>
  </r>
  <r>
    <s v="RCF Thal"/>
    <s v="N.C.Urea(45kg)"/>
    <s v="WB"/>
    <x v="1"/>
    <s v="Canning - I"/>
    <s v="User Not Mapped"/>
    <s v="User Not Mapped"/>
    <s v="User Not Mapped"/>
    <n v="641038"/>
    <s v="Sri Durga Enterprize"/>
    <s v="Private Retailer"/>
    <s v="9144208492"/>
    <n v="2.5649999999999999"/>
    <n v="267"/>
    <x v="3"/>
    <m/>
    <s v="2025-08-03"/>
    <s v="280736"/>
    <s v="M/S TAPAN KUMAR KARMAKAR"/>
    <s v="7584080473"/>
  </r>
  <r>
    <s v="RCF Trombay"/>
    <s v="N.C.Urea(45kg)"/>
    <s v="WB"/>
    <x v="1"/>
    <s v="Canning - I"/>
    <s v="User Not Mapped"/>
    <s v="User Not Mapped"/>
    <s v="User Not Mapped"/>
    <n v="655417"/>
    <s v="MAA DURGA KRISHI BIPANI"/>
    <s v="Private Retailer"/>
    <s v="6296512530"/>
    <n v="0.75"/>
    <n v="1902"/>
    <x v="7"/>
    <m/>
    <s v="2021-02-10"/>
    <s v="281181"/>
    <s v="R. B. Agro Enterprise"/>
    <s v="9903110185"/>
  </r>
  <r>
    <s v="RCF Trombay"/>
    <s v="15-15-15"/>
    <s v="WB"/>
    <x v="1"/>
    <s v="Canning - I"/>
    <s v="User Not Mapped"/>
    <s v="User Not Mapped"/>
    <s v="User Not Mapped"/>
    <n v="657754"/>
    <s v="GAZI FERTILISER"/>
    <s v="Private Retailer"/>
    <s v="9735228936"/>
    <n v="4.5999999999999996"/>
    <n v="70"/>
    <x v="2"/>
    <m/>
    <s v="2026-02-16"/>
    <s v="290841"/>
    <s v="Sadhukhan &amp; Sons"/>
    <s v="9051954610"/>
  </r>
  <r>
    <s v="RCF Thal"/>
    <s v="N.C.Urea(45kg)"/>
    <s v="WB"/>
    <x v="1"/>
    <s v="Canning - I"/>
    <s v="User Not Mapped"/>
    <s v="User Not Mapped"/>
    <s v="User Not Mapped"/>
    <n v="759585"/>
    <s v="SOFIRUL MOLLA"/>
    <s v="Private Retailer"/>
    <s v="6294305657"/>
    <n v="10.98"/>
    <n v="40"/>
    <x v="1"/>
    <m/>
    <s v="2026-03-18"/>
    <s v="269533"/>
    <s v="Hasya Badhan Makhal"/>
    <s v="9674092010"/>
  </r>
  <r>
    <s v="RCF Import"/>
    <s v="MOP"/>
    <s v="WB"/>
    <x v="1"/>
    <s v="Canning - I"/>
    <s v="User Not Mapped"/>
    <s v="User Not Mapped"/>
    <s v="User Not Mapped"/>
    <n v="1449893"/>
    <s v="M/S SABUJ BANGLA SAR BHANDAR"/>
    <s v="Private Retailer"/>
    <s v="9647142464"/>
    <n v="1.25"/>
    <n v="421"/>
    <x v="6"/>
    <m/>
    <s v="2025-03-02"/>
    <s v="281035"/>
    <s v="Matri Sar Bhandar"/>
    <s v="9830087830"/>
  </r>
  <r>
    <s v="RCF Import"/>
    <s v="MOP"/>
    <s v="WB"/>
    <x v="1"/>
    <s v="Canning - II"/>
    <s v="User Not Mapped"/>
    <s v="User Not Mapped"/>
    <s v="User Not Mapped"/>
    <n v="309221"/>
    <s v="M/S. Adhikari Sar Bhander"/>
    <s v="Private Retailer"/>
    <s v="9732594148"/>
    <n v="0.48199999999999998"/>
    <n v="151"/>
    <x v="0"/>
    <m/>
    <s v="2025-11-27"/>
    <s v="356406"/>
    <s v="Sonali Krishi Bhander"/>
    <s v="6294305762"/>
  </r>
  <r>
    <s v="RCF Thal"/>
    <s v="N.C.Urea(45kg)"/>
    <s v="WB"/>
    <x v="1"/>
    <s v="Canning - II"/>
    <s v="User Not Mapped"/>
    <s v="User Not Mapped"/>
    <s v="User Not Mapped"/>
    <n v="634547"/>
    <s v="SHAIK SAR BHANDER"/>
    <s v="Private Retailer"/>
    <s v="9733591580"/>
    <n v="0.96699999999999997"/>
    <n v="429"/>
    <x v="6"/>
    <m/>
    <s v="2025-02-22"/>
    <s v="281125"/>
    <s v="Manoda Fertilisers            "/>
    <s v="9830280488"/>
  </r>
  <r>
    <s v="RCF Thal"/>
    <s v="N.C.Urea(45kg)"/>
    <s v="WB"/>
    <x v="1"/>
    <s v="Canning - II"/>
    <s v="User Not Mapped"/>
    <s v="User Not Mapped"/>
    <s v="User Not Mapped"/>
    <n v="634547"/>
    <s v="SHAIK SAR BHANDER"/>
    <s v="Private Retailer"/>
    <s v="9733591580"/>
    <n v="10.98"/>
    <n v="76"/>
    <x v="2"/>
    <m/>
    <s v="2026-02-10"/>
    <s v="281125"/>
    <s v="Manoda Fertilisers            "/>
    <s v="9830280488"/>
  </r>
  <r>
    <s v="RCF Trombay"/>
    <s v="15-15-15"/>
    <s v="WB"/>
    <x v="1"/>
    <s v="Canning - II"/>
    <s v="User Not Mapped"/>
    <s v="User Not Mapped"/>
    <s v="User Not Mapped"/>
    <n v="648085"/>
    <s v="K.G.N.FERTILISER"/>
    <s v="Private Retailer"/>
    <s v="9732606795"/>
    <n v="3.5"/>
    <n v="499"/>
    <x v="6"/>
    <m/>
    <s v="2024-12-14"/>
    <s v="281135"/>
    <s v="Md Alauddin Mollick"/>
    <s v="8926710497"/>
  </r>
  <r>
    <s v="RCF Trombay"/>
    <s v="15-15-15"/>
    <s v="WB"/>
    <x v="1"/>
    <s v="Canning - II"/>
    <s v="User Not Mapped"/>
    <s v="User Not Mapped"/>
    <s v="User Not Mapped"/>
    <n v="1395234"/>
    <s v="SARDAR SAR BHANDER"/>
    <s v="Private Retailer"/>
    <s v="7001891485"/>
    <n v="0.125"/>
    <n v="515"/>
    <x v="6"/>
    <m/>
    <s v="2024-11-28"/>
    <s v="269533"/>
    <s v="Hasya Badhan Makhal"/>
    <s v="9674092010"/>
  </r>
  <r>
    <s v="RCF Trombay"/>
    <s v="N.C.Urea(45kg)"/>
    <s v="WB"/>
    <x v="1"/>
    <s v="Canning - II"/>
    <s v="User Not Mapped"/>
    <s v="User Not Mapped"/>
    <s v="User Not Mapped"/>
    <n v="1395234"/>
    <s v="SARDAR SAR BHANDER"/>
    <s v="Private Retailer"/>
    <s v="7001891485"/>
    <n v="0.255"/>
    <n v="515"/>
    <x v="6"/>
    <m/>
    <s v="2024-11-28"/>
    <s v="269533"/>
    <s v="Hasya Badhan Makhal"/>
    <s v="9674092010"/>
  </r>
  <r>
    <s v="RCF Trombay"/>
    <s v="15-15-15"/>
    <s v="WB"/>
    <x v="1"/>
    <s v="Canning - II"/>
    <s v="User Not Mapped"/>
    <s v="User Not Mapped"/>
    <s v="User Not Mapped"/>
    <n v="1552635"/>
    <s v="M/S BHAI BHAI ENTERPRISE"/>
    <s v="Private Retailer"/>
    <s v="8017139176"/>
    <n v="0.5"/>
    <n v="76"/>
    <x v="2"/>
    <m/>
    <s v="2026-02-10"/>
    <s v="281135"/>
    <s v="Md Alauddin Mollick"/>
    <s v="8926710497"/>
  </r>
  <r>
    <s v="RCF Trombay"/>
    <s v="15-15-15"/>
    <s v="WB"/>
    <x v="1"/>
    <s v="Canning - II"/>
    <s v="User Not Mapped"/>
    <s v="User Not Mapped"/>
    <s v="User Not Mapped"/>
    <n v="1552635"/>
    <s v="M/S BHAI BHAI ENTERPRISE"/>
    <s v="Private Retailer"/>
    <s v="8017139176"/>
    <n v="0.5"/>
    <n v="95"/>
    <x v="5"/>
    <m/>
    <s v="2026-01-22"/>
    <s v="281135"/>
    <s v="Md Alauddin Mollick"/>
    <s v="8926710497"/>
  </r>
  <r>
    <s v="RCF Trombay"/>
    <s v="15-15-15"/>
    <s v="WB"/>
    <x v="1"/>
    <s v="Diamond Harbour - I"/>
    <s v="User Not Mapped"/>
    <s v="User Not Mapped"/>
    <s v="User Not Mapped"/>
    <n v="290798"/>
    <s v="M/S Moyra Fertiliser"/>
    <s v="Private Retailer"/>
    <s v="9775071392"/>
    <n v="0.05"/>
    <n v="104"/>
    <x v="5"/>
    <m/>
    <s v="2026-01-13"/>
    <s v="269946"/>
    <s v="M/s. Janardan Parui"/>
    <s v="6290703360"/>
  </r>
  <r>
    <s v="RCF Trombay"/>
    <s v="N.C.Urea(45kg)"/>
    <s v="WB"/>
    <x v="1"/>
    <s v="Diamond Harbour - I"/>
    <s v="User Not Mapped"/>
    <s v="User Not Mapped"/>
    <s v="User Not Mapped"/>
    <n v="309283"/>
    <s v="M/S.Purkait Fertiliser"/>
    <s v="Private Retailer"/>
    <s v="9734466845"/>
    <n v="5.0000000000000001E-3"/>
    <n v="252"/>
    <x v="3"/>
    <m/>
    <s v="2025-08-18"/>
    <s v="281125"/>
    <s v="Manoda Fertilisers            "/>
    <s v="9830280488"/>
  </r>
  <r>
    <s v="RCF Trombay"/>
    <s v="N.C.Urea(45kg)"/>
    <s v="WB"/>
    <x v="1"/>
    <s v="Diamond Harbour - I"/>
    <s v="User Not Mapped"/>
    <s v="User Not Mapped"/>
    <s v="User Not Mapped"/>
    <n v="356429"/>
    <s v="Shreekrishnakrishi Bhandar"/>
    <s v="Private Retailer"/>
    <s v="9933534788"/>
    <n v="0.09"/>
    <n v="938"/>
    <x v="7"/>
    <m/>
    <s v="2023-10-02"/>
    <s v="281181"/>
    <s v="R. B. Agro Enterprise"/>
    <s v="9903110185"/>
  </r>
  <r>
    <s v="RCF Trombay"/>
    <s v="N.C.Urea(45kg)"/>
    <s v="WB"/>
    <x v="1"/>
    <s v="Diamond Harbour - I"/>
    <s v="User Not Mapped"/>
    <s v="User Not Mapped"/>
    <s v="User Not Mapped"/>
    <n v="459418"/>
    <s v="Soumen Tikader"/>
    <s v="Private Retailer"/>
    <s v="9593928931"/>
    <n v="8.9999999999999993E-3"/>
    <n v="1829"/>
    <x v="7"/>
    <m/>
    <s v="2021-04-24"/>
    <s v="355886"/>
    <s v="Pankajpurakait"/>
    <s v="9733230795"/>
  </r>
  <r>
    <s v="RCF Trombay"/>
    <s v="N.C.Urea(45kg)"/>
    <s v="WB"/>
    <x v="1"/>
    <s v="Diamond Harbour - I"/>
    <s v="User Not Mapped"/>
    <s v="User Not Mapped"/>
    <s v="User Not Mapped"/>
    <n v="463199"/>
    <s v="Biswanath Halder"/>
    <s v="Private Retailer"/>
    <s v="8293152905"/>
    <n v="0.09"/>
    <n v="100"/>
    <x v="5"/>
    <m/>
    <s v="2026-01-17"/>
    <s v="269946"/>
    <s v="M/s. Janardan Parui"/>
    <s v="6290703360"/>
  </r>
  <r>
    <s v="RCF Trombay"/>
    <s v="N.C.Urea(45kg)"/>
    <s v="WB"/>
    <x v="1"/>
    <s v="Diamond Harbour - I"/>
    <s v="User Not Mapped"/>
    <s v="User Not Mapped"/>
    <s v="User Not Mapped"/>
    <n v="463211"/>
    <s v="Tapandranath Biswas"/>
    <s v="Private Retailer"/>
    <s v="9932315412"/>
    <n v="0.89"/>
    <n v="294"/>
    <x v="3"/>
    <m/>
    <s v="2025-07-07"/>
    <s v="280736"/>
    <s v="M/S TAPAN KUMAR KARMAKAR"/>
    <s v="7584080473"/>
  </r>
  <r>
    <s v="RCF Import"/>
    <s v="MOP"/>
    <s v="WB"/>
    <x v="1"/>
    <s v="Diamond Harbour - I"/>
    <s v="User Not Mapped"/>
    <s v="User Not Mapped"/>
    <s v="User Not Mapped"/>
    <n v="463215"/>
    <s v="S.K.Fertilisers"/>
    <s v="Private Retailer"/>
    <s v="9647265218"/>
    <n v="2.15"/>
    <n v="153"/>
    <x v="0"/>
    <m/>
    <s v="2025-11-25"/>
    <s v="281132"/>
    <s v="Pravakar Halder               "/>
    <s v="8967341314"/>
  </r>
  <r>
    <s v="RCF Trombay"/>
    <s v="N.C.Urea(45kg)"/>
    <s v="WB"/>
    <x v="1"/>
    <s v="Diamond Harbour - I"/>
    <s v="User Not Mapped"/>
    <s v="User Not Mapped"/>
    <s v="User Not Mapped"/>
    <n v="469772"/>
    <s v="M/S Sankar Saha"/>
    <s v="Private Retailer"/>
    <s v="8016190778"/>
    <n v="5.0000000000000001E-3"/>
    <n v="1006"/>
    <x v="7"/>
    <m/>
    <s v="2023-07-26"/>
    <s v="281125"/>
    <s v="Manoda Fertilisers            "/>
    <s v="9830280488"/>
  </r>
  <r>
    <s v="RCF Trombay"/>
    <s v="15-15-15"/>
    <s v="WB"/>
    <x v="1"/>
    <s v="Diamond Harbour - I"/>
    <s v="User Not Mapped"/>
    <s v="User Not Mapped"/>
    <s v="User Not Mapped"/>
    <n v="470838"/>
    <s v="Astik Kumar Halder"/>
    <s v="Private Retailer"/>
    <s v="9933444442"/>
    <n v="0.25"/>
    <n v="244"/>
    <x v="3"/>
    <m/>
    <s v="2025-08-26"/>
    <s v="280736"/>
    <s v="M/S TAPAN KUMAR KARMAKAR"/>
    <s v="7584080473"/>
  </r>
  <r>
    <s v="RCF Trombay"/>
    <s v="15-15-15"/>
    <s v="WB"/>
    <x v="1"/>
    <s v="Diamond Harbour - I"/>
    <s v="User Not Mapped"/>
    <s v="User Not Mapped"/>
    <s v="User Not Mapped"/>
    <n v="470844"/>
    <s v="Indrajit Naskar"/>
    <s v="Private Retailer"/>
    <s v="9093266883"/>
    <n v="0.5"/>
    <n v="243"/>
    <x v="3"/>
    <m/>
    <s v="2025-08-27"/>
    <s v="224553"/>
    <s v="Kirtibas Kapat (A.S.C.)"/>
    <s v="9064538989"/>
  </r>
  <r>
    <s v="RCF Trombay"/>
    <s v="15-15-15"/>
    <s v="WB"/>
    <x v="1"/>
    <s v="Diamond Harbour - I"/>
    <s v="User Not Mapped"/>
    <s v="User Not Mapped"/>
    <s v="User Not Mapped"/>
    <n v="634787"/>
    <s v="DAS KRISHI BHANDER"/>
    <s v="Private Retailer"/>
    <s v="9093840311"/>
    <n v="0.1"/>
    <n v="70"/>
    <x v="2"/>
    <m/>
    <s v="2026-02-16"/>
    <s v="280736"/>
    <s v="M/S TAPAN KUMAR KARMAKAR"/>
    <s v="7584080473"/>
  </r>
  <r>
    <s v="RCF Trombay"/>
    <s v="N.C.Urea(45kg)"/>
    <s v="WB"/>
    <x v="1"/>
    <s v="Diamond Harbour - I"/>
    <s v="User Not Mapped"/>
    <s v="User Not Mapped"/>
    <s v="User Not Mapped"/>
    <n v="642838"/>
    <s v="PIJUSH KANTI PANUA"/>
    <s v="Private Retailer"/>
    <s v="9093965285"/>
    <n v="0.09"/>
    <n v="100"/>
    <x v="5"/>
    <m/>
    <s v="2026-01-17"/>
    <s v="269946"/>
    <s v="M/s. Janardan Parui"/>
    <s v="6290703360"/>
  </r>
  <r>
    <s v="RCF Thal"/>
    <s v="N.C.Urea(45kg)"/>
    <s v="WB"/>
    <x v="1"/>
    <s v="Diamond Harbour - I"/>
    <s v="User Not Mapped"/>
    <s v="User Not Mapped"/>
    <s v="User Not Mapped"/>
    <n v="642838"/>
    <s v="PIJUSH KANTI PANUA"/>
    <s v="Private Retailer"/>
    <s v="9093965285"/>
    <n v="5.5E-2"/>
    <n v="147"/>
    <x v="0"/>
    <m/>
    <s v="2025-12-01"/>
    <s v="269946"/>
    <s v="M/s. Janardan Parui"/>
    <s v="6290703360"/>
  </r>
  <r>
    <s v="RCF Trombay"/>
    <s v="15-15-15"/>
    <s v="WB"/>
    <x v="1"/>
    <s v="Diamond Harbour - I"/>
    <s v="User Not Mapped"/>
    <s v="User Not Mapped"/>
    <s v="User Not Mapped"/>
    <n v="737850"/>
    <s v="RADHARANI FERTILISER"/>
    <s v="Private Retailer"/>
    <s v="8001390411"/>
    <n v="0.03"/>
    <n v="169"/>
    <x v="0"/>
    <m/>
    <s v="2025-11-09"/>
    <s v="224553"/>
    <s v="Kirtibas Kapat (A.S.C.)"/>
    <s v="9064538989"/>
  </r>
  <r>
    <s v="RCF Trombay"/>
    <s v="15-15-15"/>
    <s v="WB"/>
    <x v="1"/>
    <s v="Diamond Harbour - I"/>
    <s v="User Not Mapped"/>
    <s v="User Not Mapped"/>
    <s v="User Not Mapped"/>
    <n v="881429"/>
    <s v="MONDAL KRISHI BHANDER"/>
    <s v="Private Retailer"/>
    <s v="9002343916"/>
    <n v="4.9000000000000002E-2"/>
    <n v="1953"/>
    <x v="7"/>
    <m/>
    <s v="2020-12-21"/>
    <s v="281135"/>
    <s v="Md Alauddin Mollick"/>
    <s v="8926710497"/>
  </r>
  <r>
    <s v="RCF Thal"/>
    <s v="N.C.Urea(45kg)"/>
    <s v="WB"/>
    <x v="1"/>
    <s v="Diamond Harbour - I"/>
    <s v="User Not Mapped"/>
    <s v="User Not Mapped"/>
    <s v="User Not Mapped"/>
    <n v="881429"/>
    <s v="MONDAL KRISHI BHANDER"/>
    <s v="Private Retailer"/>
    <s v="9002343916"/>
    <n v="1E-3"/>
    <n v="2275"/>
    <x v="7"/>
    <m/>
    <s v="2020-02-03"/>
    <s v="281135"/>
    <s v="Md Alauddin Mollick"/>
    <s v="8926710497"/>
  </r>
  <r>
    <s v="RCF Trombay"/>
    <s v="15-15-15"/>
    <s v="WB"/>
    <x v="1"/>
    <s v="Diamond Harbour - I"/>
    <s v="User Not Mapped"/>
    <s v="User Not Mapped"/>
    <s v="User Not Mapped"/>
    <n v="896798"/>
    <s v="L-PLOT SAR BHANDER"/>
    <s v="Private Retailer"/>
    <s v="8371000583"/>
    <n v="0.74199999999999999"/>
    <n v="103"/>
    <x v="5"/>
    <m/>
    <s v="2026-01-14"/>
    <s v="342383"/>
    <s v="Kakdip Sar Bhandar"/>
    <s v="9933502068"/>
  </r>
  <r>
    <s v="RCF Trombay"/>
    <s v="N.C.Urea(45kg)"/>
    <s v="WB"/>
    <x v="1"/>
    <s v="Diamond Harbour - II"/>
    <s v="User Not Mapped"/>
    <s v="User Not Mapped"/>
    <s v="User Not Mapped"/>
    <n v="342369"/>
    <s v="Priti Fertilizer"/>
    <s v="Private Retailer"/>
    <s v="9733336361"/>
    <n v="0.193"/>
    <n v="2656"/>
    <x v="7"/>
    <m/>
    <s v="2019-01-18"/>
    <s v="269946"/>
    <s v="M/s. Janardan Parui"/>
    <s v="6290703360"/>
  </r>
  <r>
    <s v="RCF Trombay"/>
    <s v="15-15-15"/>
    <s v="WB"/>
    <x v="1"/>
    <s v="Diamond Harbour - II"/>
    <s v="User Not Mapped"/>
    <s v="User Not Mapped"/>
    <s v="User Not Mapped"/>
    <n v="462671"/>
    <s v="Debasis Jana"/>
    <s v="Private Retailer"/>
    <s v="9775536915"/>
    <n v="0.05"/>
    <n v="2673"/>
    <x v="7"/>
    <m/>
    <s v="2019-01-01"/>
    <s v="11"/>
    <s v="Too Old Stock"/>
    <m/>
  </r>
  <r>
    <s v="RCF Import"/>
    <s v="MOP"/>
    <s v="WB"/>
    <x v="1"/>
    <s v="Diamond Harbour - II"/>
    <s v="User Not Mapped"/>
    <s v="User Not Mapped"/>
    <s v="User Not Mapped"/>
    <n v="462874"/>
    <s v="Sathi Fertiliser"/>
    <s v="Private Retailer"/>
    <s v="9733534808"/>
    <n v="0.05"/>
    <n v="407"/>
    <x v="6"/>
    <m/>
    <s v="2025-03-16"/>
    <s v="281132"/>
    <s v="Pravakar Halder               "/>
    <s v="8967341314"/>
  </r>
  <r>
    <s v="RCF Thal"/>
    <s v="N.C.Urea(45kg)"/>
    <s v="WB"/>
    <x v="1"/>
    <s v="Diamond Harbour - II"/>
    <s v="User Not Mapped"/>
    <s v="User Not Mapped"/>
    <s v="User Not Mapped"/>
    <n v="632938"/>
    <s v="NILIMA SARDAR"/>
    <s v="Private Retailer"/>
    <s v="7430810668"/>
    <n v="0.09"/>
    <n v="860"/>
    <x v="7"/>
    <m/>
    <s v="2023-12-19"/>
    <s v="281135"/>
    <s v="Md Alauddin Mollick"/>
    <s v="8926710497"/>
  </r>
  <r>
    <s v="RCF Trombay"/>
    <s v="15-15-15"/>
    <s v="WB"/>
    <x v="1"/>
    <s v="Diamond Harbour - II"/>
    <s v="User Not Mapped"/>
    <s v="User Not Mapped"/>
    <s v="User Not Mapped"/>
    <n v="632938"/>
    <s v="NILIMA SARDAR"/>
    <s v="Private Retailer"/>
    <s v="7430810668"/>
    <n v="0.25"/>
    <n v="495"/>
    <x v="6"/>
    <m/>
    <s v="2024-12-18"/>
    <s v="281135"/>
    <s v="Md Alauddin Mollick"/>
    <s v="8926710497"/>
  </r>
  <r>
    <s v="RCF Trombay"/>
    <s v="15-15-15"/>
    <s v="WB"/>
    <x v="1"/>
    <s v="Diamond Harbour - II"/>
    <s v="User Not Mapped"/>
    <s v="User Not Mapped"/>
    <s v="User Not Mapped"/>
    <n v="632938"/>
    <s v="NILIMA SARDAR"/>
    <s v="Private Retailer"/>
    <s v="7430810668"/>
    <n v="0.2"/>
    <n v="986"/>
    <x v="7"/>
    <m/>
    <s v="2023-08-15"/>
    <s v="281135"/>
    <s v="Md Alauddin Mollick"/>
    <s v="8926710497"/>
  </r>
  <r>
    <s v="RCF Thal"/>
    <s v="N.C.Urea(45kg)"/>
    <s v="WB"/>
    <x v="1"/>
    <s v="Falta"/>
    <s v="User Not Mapped"/>
    <s v="User Not Mapped"/>
    <s v="User Not Mapped"/>
    <n v="470990"/>
    <s v="BHUMI LAXMI FERTILISER"/>
    <s v="Private Retailer"/>
    <s v="9933821005"/>
    <n v="5.0000000000000001E-3"/>
    <n v="1484"/>
    <x v="7"/>
    <m/>
    <s v="2022-04-04"/>
    <s v="269946"/>
    <s v="M/s. Janardan Parui"/>
    <s v="6290703360"/>
  </r>
  <r>
    <s v="RCF Thal"/>
    <s v="N.C.Urea(45kg)"/>
    <s v="WB"/>
    <x v="1"/>
    <s v="Falta"/>
    <s v="User Not Mapped"/>
    <s v="User Not Mapped"/>
    <s v="User Not Mapped"/>
    <n v="480933"/>
    <s v="M/S SREE DURGA KRISHI BHANDAR "/>
    <s v="Private Retailer"/>
    <s v="9635452573"/>
    <n v="1.665"/>
    <n v="76"/>
    <x v="2"/>
    <m/>
    <s v="2026-02-10"/>
    <s v="269533"/>
    <s v="Hasya Badhan Makhal"/>
    <s v="9674092010"/>
  </r>
  <r>
    <s v="RCF Import"/>
    <s v="Imp 10-26-26"/>
    <s v="WB"/>
    <x v="1"/>
    <s v="Falta"/>
    <s v="User Not Mapped"/>
    <s v="User Not Mapped"/>
    <s v="User Not Mapped"/>
    <n v="1161885"/>
    <s v="M/S MONISH HALDAR"/>
    <s v="Private Retailer"/>
    <s v="6294316294"/>
    <n v="5.75"/>
    <n v="27"/>
    <x v="4"/>
    <m/>
    <s v="2026-03-31"/>
    <s v="269946"/>
    <s v="M/s. Janardan Parui"/>
    <s v="6290703360"/>
  </r>
  <r>
    <s v="RCF Thal"/>
    <s v="N.C.Urea(45kg)"/>
    <s v="WB"/>
    <x v="1"/>
    <s v="Falta"/>
    <s v="User Not Mapped"/>
    <s v="User Not Mapped"/>
    <s v="User Not Mapped"/>
    <n v="1161885"/>
    <s v="M/S MONISH HALDAR"/>
    <s v="Private Retailer"/>
    <s v="6294316294"/>
    <n v="10.98"/>
    <n v="77"/>
    <x v="2"/>
    <m/>
    <s v="2026-02-09"/>
    <s v="269946"/>
    <s v="M/s. Janardan Parui"/>
    <s v="6290703360"/>
  </r>
  <r>
    <s v="RCF Thal"/>
    <s v="N.C.Urea(45kg)"/>
    <s v="WB"/>
    <x v="1"/>
    <s v="Gosaba"/>
    <s v="User Not Mapped"/>
    <s v="User Not Mapped"/>
    <s v="User Not Mapped"/>
    <n v="254133"/>
    <s v="Dayapur Skus Ltd"/>
    <s v="PACS"/>
    <s v="9609230313"/>
    <n v="0.89"/>
    <n v="252"/>
    <x v="3"/>
    <m/>
    <s v="2025-08-18"/>
    <s v="1134498"/>
    <s v="KALIMA KRISHI BHANDER"/>
    <s v="8389891356"/>
  </r>
  <r>
    <s v="RCF Trombay"/>
    <s v="N.C.Urea(45kg)"/>
    <s v="WB"/>
    <x v="1"/>
    <s v="Gosaba"/>
    <s v="User Not Mapped"/>
    <s v="User Not Mapped"/>
    <s v="User Not Mapped"/>
    <n v="533416"/>
    <s v="Saroswati Krishi Bhander"/>
    <s v="Private Retailer"/>
    <s v="9734313500"/>
    <n v="5.0000000000000001E-3"/>
    <n v="578"/>
    <x v="7"/>
    <m/>
    <s v="2024-09-26"/>
    <s v="290840"/>
    <s v="N C Das &amp; Company"/>
    <s v="7365868045"/>
  </r>
  <r>
    <s v="RCF Import"/>
    <s v="MOP"/>
    <s v="WB"/>
    <x v="1"/>
    <s v="Gosaba"/>
    <s v="User Not Mapped"/>
    <s v="User Not Mapped"/>
    <s v="User Not Mapped"/>
    <n v="652693"/>
    <s v="Sumana Krishi Bipani"/>
    <s v="Private Retailer"/>
    <s v="7584078866"/>
    <n v="4.2"/>
    <n v="109"/>
    <x v="5"/>
    <m/>
    <s v="2026-01-08"/>
    <s v="1083068"/>
    <s v="SUNDARBAN KRISHI BIPANI"/>
    <s v="8918609412"/>
  </r>
  <r>
    <s v="RCF Thal"/>
    <s v="N.C.Urea(45kg)"/>
    <s v="WB"/>
    <x v="1"/>
    <s v="Gosaba"/>
    <s v="User Not Mapped"/>
    <s v="User Not Mapped"/>
    <s v="User Not Mapped"/>
    <n v="658121"/>
    <s v="M/S DINONATH BAIDAYA"/>
    <s v="Private Retailer"/>
    <s v="9735558374"/>
    <n v="6.12"/>
    <n v="191"/>
    <x v="3"/>
    <m/>
    <s v="2025-10-18"/>
    <s v="1134498"/>
    <s v="KALIMA KRISHI BHANDER"/>
    <s v="8389891356"/>
  </r>
  <r>
    <s v="RCF Trombay"/>
    <s v="N.C.Urea(45kg)"/>
    <s v="WB"/>
    <x v="1"/>
    <s v="Gosaba"/>
    <s v="User Not Mapped"/>
    <s v="User Not Mapped"/>
    <s v="User Not Mapped"/>
    <n v="658121"/>
    <s v="M/S DINONATH BAIDAYA"/>
    <s v="Private Retailer"/>
    <s v="9735558374"/>
    <n v="5.8049999999999997"/>
    <n v="394"/>
    <x v="6"/>
    <m/>
    <s v="2025-03-29"/>
    <s v="1208896"/>
    <s v="SUBHA FERTILIZER"/>
    <s v="9830263072"/>
  </r>
  <r>
    <s v="RCF Thal"/>
    <s v="N.C.Urea(45kg)"/>
    <s v="WB"/>
    <x v="1"/>
    <s v="Gosaba"/>
    <s v="User Not Mapped"/>
    <s v="User Not Mapped"/>
    <s v="User Not Mapped"/>
    <n v="892237"/>
    <s v="PADMABATI KRISHI BHANDER"/>
    <s v="Private Retailer"/>
    <s v="9775730255"/>
    <n v="2.52"/>
    <n v="191"/>
    <x v="3"/>
    <m/>
    <s v="2025-10-18"/>
    <s v="1134498"/>
    <s v="KALIMA KRISHI BHANDER"/>
    <s v="8389891356"/>
  </r>
  <r>
    <s v="RCF Thal"/>
    <s v="N.C.Urea(45kg)"/>
    <s v="WB"/>
    <x v="1"/>
    <s v="Gosaba"/>
    <s v="User Not Mapped"/>
    <s v="User Not Mapped"/>
    <s v="User Not Mapped"/>
    <n v="892245"/>
    <s v="DINABANDHU MONDAL"/>
    <s v="Private Retailer"/>
    <s v="8001993652"/>
    <n v="0.47499999999999998"/>
    <n v="768"/>
    <x v="7"/>
    <m/>
    <s v="2024-03-20"/>
    <s v="1134498"/>
    <s v="KALIMA KRISHI BHANDER"/>
    <s v="8389891356"/>
  </r>
  <r>
    <s v="RCF Thal"/>
    <s v="N.C.Urea(45kg)"/>
    <s v="WB"/>
    <x v="1"/>
    <s v="Gosaba"/>
    <s v="User Not Mapped"/>
    <s v="User Not Mapped"/>
    <s v="User Not Mapped"/>
    <n v="910294"/>
    <s v="M/S MATRI KRISHI BHANDER"/>
    <s v="Private Retailer"/>
    <s v="9153298806"/>
    <n v="0.505"/>
    <n v="588"/>
    <x v="7"/>
    <m/>
    <s v="2024-09-16"/>
    <s v="1083068"/>
    <s v="SUNDARBAN KRISHI BIPANI"/>
    <s v="8918609412"/>
  </r>
  <r>
    <s v="RCF Thal"/>
    <s v="N.C.Urea(45kg)"/>
    <s v="WB"/>
    <x v="1"/>
    <s v="Gosaba"/>
    <s v="User Not Mapped"/>
    <s v="User Not Mapped"/>
    <s v="User Not Mapped"/>
    <n v="937962"/>
    <s v="ATUL KRISHI BHANDER"/>
    <s v="Private Retailer"/>
    <s v="9547622382"/>
    <n v="0.1"/>
    <n v="588"/>
    <x v="7"/>
    <m/>
    <s v="2024-09-16"/>
    <s v="1083068"/>
    <s v="SUNDARBAN KRISHI BIPANI"/>
    <s v="8918609412"/>
  </r>
  <r>
    <s v="RCF Import"/>
    <s v="MOP"/>
    <s v="WB"/>
    <x v="1"/>
    <s v="Gosaba"/>
    <s v="User Not Mapped"/>
    <s v="User Not Mapped"/>
    <s v="User Not Mapped"/>
    <n v="1032309"/>
    <s v=" M/S DAS KRISHI BIPANI"/>
    <s v="Private Retailer"/>
    <s v="9091432386"/>
    <n v="0.05"/>
    <n v="161"/>
    <x v="0"/>
    <m/>
    <s v="2025-11-17"/>
    <s v="1083068"/>
    <s v="SUNDARBAN KRISHI BIPANI"/>
    <s v="8918609412"/>
  </r>
  <r>
    <s v="RCF Thal"/>
    <s v="N.C.Urea(45kg)"/>
    <s v="WB"/>
    <x v="1"/>
    <s v="Gosaba"/>
    <s v="User Not Mapped"/>
    <s v="User Not Mapped"/>
    <s v="User Not Mapped"/>
    <n v="1032309"/>
    <s v=" M/S DAS KRISHI BIPANI"/>
    <s v="Private Retailer"/>
    <s v="9091432386"/>
    <n v="3.89"/>
    <n v="63"/>
    <x v="2"/>
    <m/>
    <s v="2026-02-23"/>
    <s v="290840"/>
    <s v="N C Das &amp; Company"/>
    <s v="7365868045"/>
  </r>
  <r>
    <s v="RCF Thal"/>
    <s v="N.C.Urea(45kg)"/>
    <s v="WB"/>
    <x v="1"/>
    <s v="Gosaba"/>
    <s v="User Not Mapped"/>
    <s v="User Not Mapped"/>
    <s v="User Not Mapped"/>
    <n v="1096759"/>
    <s v="RADHA KRISHNA KRISHI BHANDER"/>
    <s v="Private Retailer"/>
    <s v="8389891356"/>
    <n v="1.89"/>
    <n v="175"/>
    <x v="0"/>
    <m/>
    <s v="2025-11-03"/>
    <s v="1134498"/>
    <s v="KALIMA KRISHI BHANDER"/>
    <s v="8389891356"/>
  </r>
  <r>
    <s v="RCF Trombay"/>
    <s v="15-15-15"/>
    <s v="WB"/>
    <x v="1"/>
    <s v="Gosaba"/>
    <s v="User Not Mapped"/>
    <s v="User Not Mapped"/>
    <s v="User Not Mapped"/>
    <n v="1096759"/>
    <s v="RADHA KRISHNA KRISHI BHANDER"/>
    <s v="Private Retailer"/>
    <s v="8389891356"/>
    <n v="2"/>
    <n v="493"/>
    <x v="6"/>
    <m/>
    <s v="2024-12-20"/>
    <s v="1208896"/>
    <s v="SUBHA FERTILIZER"/>
    <s v="9830263072"/>
  </r>
  <r>
    <s v="RCF Trombay"/>
    <s v="15-15-15"/>
    <s v="WB"/>
    <x v="1"/>
    <s v="Jaynagar - I"/>
    <s v="User Not Mapped"/>
    <s v="User Not Mapped"/>
    <s v="User Not Mapped"/>
    <n v="290780"/>
    <s v="M/S Das Sar Bickrya Kendra"/>
    <s v="Private Retailer"/>
    <s v="9933406945"/>
    <n v="0.5"/>
    <n v="100"/>
    <x v="5"/>
    <m/>
    <s v="2026-01-17"/>
    <s v="281135"/>
    <s v="Md Alauddin Mollick"/>
    <s v="8926710497"/>
  </r>
  <r>
    <s v="RCF Import"/>
    <s v="MOP"/>
    <s v="WB"/>
    <x v="1"/>
    <s v="Jaynagar - I"/>
    <s v="User Not Mapped"/>
    <s v="User Not Mapped"/>
    <s v="User Not Mapped"/>
    <n v="355830"/>
    <s v="NOWMAN ALI MOLLA"/>
    <s v="Private Retailer"/>
    <s v="9749611024"/>
    <n v="0.05"/>
    <n v="56"/>
    <x v="1"/>
    <m/>
    <s v="2026-03-02"/>
    <s v="281135"/>
    <s v="Md Alauddin Mollick"/>
    <s v="8926710497"/>
  </r>
  <r>
    <s v="RCF Trombay"/>
    <s v="N.C.Urea(45kg)"/>
    <s v="WB"/>
    <x v="1"/>
    <s v="Jaynagar - I"/>
    <s v="User Not Mapped"/>
    <s v="User Not Mapped"/>
    <s v="User Not Mapped"/>
    <n v="355830"/>
    <s v="NOWMAN ALI MOLLA"/>
    <s v="Private Retailer"/>
    <s v="9749611024"/>
    <n v="4.4999999999999998E-2"/>
    <n v="493"/>
    <x v="6"/>
    <m/>
    <s v="2024-12-20"/>
    <s v="281135"/>
    <s v="Md Alauddin Mollick"/>
    <s v="8926710497"/>
  </r>
  <r>
    <s v="RCF Thal"/>
    <s v="N.C.Urea(45kg)"/>
    <s v="WB"/>
    <x v="1"/>
    <s v="Jaynagar - I"/>
    <s v="User Not Mapped"/>
    <s v="User Not Mapped"/>
    <s v="User Not Mapped"/>
    <n v="356397"/>
    <s v=" M/S Tapas Kumar Naskar"/>
    <s v="Private Retailer"/>
    <s v="9775136237"/>
    <n v="2.34"/>
    <n v="147"/>
    <x v="0"/>
    <m/>
    <s v="2025-12-01"/>
    <s v="224553"/>
    <s v="Kirtibas Kapat (A.S.C.)"/>
    <s v="9064538989"/>
  </r>
  <r>
    <s v="RCF Import"/>
    <s v="Imp 10-26-26"/>
    <s v="WB"/>
    <x v="1"/>
    <s v="Jaynagar - I"/>
    <s v="User Not Mapped"/>
    <s v="User Not Mapped"/>
    <s v="User Not Mapped"/>
    <n v="466819"/>
    <s v="Rohit Kumar Halder"/>
    <s v="Private Retailer"/>
    <s v="8768844079"/>
    <n v="0.1"/>
    <n v="49"/>
    <x v="1"/>
    <m/>
    <s v="2026-03-09"/>
    <s v="281135"/>
    <s v="Md Alauddin Mollick"/>
    <s v="8926710497"/>
  </r>
  <r>
    <s v="RCF Import"/>
    <s v="MOP"/>
    <s v="WB"/>
    <x v="1"/>
    <s v="Jaynagar - I"/>
    <s v="User Not Mapped"/>
    <s v="User Not Mapped"/>
    <s v="User Not Mapped"/>
    <n v="466819"/>
    <s v="Rohit Kumar Halder"/>
    <s v="Private Retailer"/>
    <s v="8768844079"/>
    <n v="0.25"/>
    <n v="47"/>
    <x v="1"/>
    <m/>
    <s v="2026-03-11"/>
    <s v="281135"/>
    <s v="Md Alauddin Mollick"/>
    <s v="8926710497"/>
  </r>
  <r>
    <s v="RCF Trombay"/>
    <s v="15-15-15"/>
    <s v="WB"/>
    <x v="1"/>
    <s v="Jaynagar - I"/>
    <s v="User Not Mapped"/>
    <s v="User Not Mapped"/>
    <s v="User Not Mapped"/>
    <n v="466819"/>
    <s v="Rohit Kumar Halder"/>
    <s v="Private Retailer"/>
    <s v="8768844079"/>
    <n v="0.1"/>
    <n v="49"/>
    <x v="1"/>
    <m/>
    <s v="2026-03-09"/>
    <s v="281135"/>
    <s v="Md Alauddin Mollick"/>
    <s v="8926710497"/>
  </r>
  <r>
    <s v="RCF Import"/>
    <s v="MOP"/>
    <s v="WB"/>
    <x v="1"/>
    <s v="Jaynagar - I"/>
    <s v="User Not Mapped"/>
    <s v="User Not Mapped"/>
    <s v="User Not Mapped"/>
    <n v="470852"/>
    <s v="Tusar Sarder"/>
    <s v="Private Retailer"/>
    <s v="8250936280"/>
    <n v="0.15"/>
    <n v="56"/>
    <x v="1"/>
    <m/>
    <s v="2026-03-02"/>
    <s v="281135"/>
    <s v="Md Alauddin Mollick"/>
    <s v="8926710497"/>
  </r>
  <r>
    <s v="RCF Import"/>
    <s v="Imp 10-26-26"/>
    <s v="WB"/>
    <x v="1"/>
    <s v="Jaynagar - I"/>
    <s v="User Not Mapped"/>
    <s v="User Not Mapped"/>
    <s v="User Not Mapped"/>
    <n v="504491"/>
    <s v="Dhali Fertiliser"/>
    <s v="Private Retailer"/>
    <s v="9733973426"/>
    <n v="0.25"/>
    <n v="58"/>
    <x v="1"/>
    <m/>
    <s v="2026-02-28"/>
    <s v="281135"/>
    <s v="Md Alauddin Mollick"/>
    <s v="8926710497"/>
  </r>
  <r>
    <s v="RCF Import"/>
    <s v="Imp 10-26-26"/>
    <s v="WB"/>
    <x v="1"/>
    <s v="Jaynagar - I"/>
    <s v="User Not Mapped"/>
    <s v="User Not Mapped"/>
    <s v="User Not Mapped"/>
    <n v="504491"/>
    <s v="Dhali Fertiliser"/>
    <s v="Private Retailer"/>
    <s v="9733973426"/>
    <n v="0.25"/>
    <n v="4"/>
    <x v="4"/>
    <m/>
    <s v="2026-04-23"/>
    <s v="281135"/>
    <s v="Md Alauddin Mollick"/>
    <s v="8926710497"/>
  </r>
  <r>
    <s v="RCF Thal"/>
    <s v="N.C.Urea(45kg)"/>
    <s v="WB"/>
    <x v="1"/>
    <s v="Jaynagar - I"/>
    <s v="User Not Mapped"/>
    <s v="User Not Mapped"/>
    <s v="User Not Mapped"/>
    <n v="541939"/>
    <s v="Bhudhar Chandra Naskar"/>
    <s v="Private Retailer"/>
    <s v="9732956985"/>
    <n v="5.76"/>
    <n v="58"/>
    <x v="1"/>
    <m/>
    <s v="2026-02-28"/>
    <s v="290840"/>
    <s v="N C Das &amp; Company"/>
    <s v="7365868045"/>
  </r>
  <r>
    <s v="RCF Trombay"/>
    <s v="15-15-15"/>
    <s v="WB"/>
    <x v="1"/>
    <s v="Jaynagar - I"/>
    <s v="User Not Mapped"/>
    <s v="User Not Mapped"/>
    <s v="User Not Mapped"/>
    <n v="645143"/>
    <s v="MAA FERTILISER"/>
    <s v="Private Retailer"/>
    <s v="9732829116"/>
    <n v="0.15"/>
    <n v="40"/>
    <x v="1"/>
    <m/>
    <s v="2026-03-18"/>
    <s v="281135"/>
    <s v="Md Alauddin Mollick"/>
    <s v="8926710497"/>
  </r>
  <r>
    <s v="RCF Trombay"/>
    <s v="N.C.Urea(45kg)"/>
    <s v="WB"/>
    <x v="1"/>
    <s v="Jaynagar - I"/>
    <s v="User Not Mapped"/>
    <s v="User Not Mapped"/>
    <s v="User Not Mapped"/>
    <n v="731107"/>
    <s v=" M/S DHALI ENTERPRISE"/>
    <s v="Private Retailer"/>
    <s v="9830427628"/>
    <n v="4.87"/>
    <n v="264"/>
    <x v="3"/>
    <m/>
    <s v="2025-08-06"/>
    <s v="280736"/>
    <s v="M/S TAPAN KUMAR KARMAKAR"/>
    <s v="7584080473"/>
  </r>
  <r>
    <s v="RCF Import"/>
    <s v="MOP"/>
    <s v="WB"/>
    <x v="1"/>
    <s v="Jaynagar - I"/>
    <s v="User Not Mapped"/>
    <s v="User Not Mapped"/>
    <s v="User Not Mapped"/>
    <n v="1256862"/>
    <s v="SARDAR FERTILIZER"/>
    <s v="Private Retailer"/>
    <s v="7908209028"/>
    <n v="0.25"/>
    <n v="56"/>
    <x v="1"/>
    <m/>
    <s v="2026-03-02"/>
    <s v="281135"/>
    <s v="Md Alauddin Mollick"/>
    <s v="8926710497"/>
  </r>
  <r>
    <s v="RCF Import"/>
    <s v="MOP"/>
    <s v="WB"/>
    <x v="1"/>
    <s v="Jaynagar - I"/>
    <s v="User Not Mapped"/>
    <s v="User Not Mapped"/>
    <s v="User Not Mapped"/>
    <n v="1256862"/>
    <s v="SARDAR FERTILIZER"/>
    <s v="Private Retailer"/>
    <s v="7908209028"/>
    <n v="0.1"/>
    <n v="62"/>
    <x v="2"/>
    <m/>
    <s v="2026-02-24"/>
    <s v="281135"/>
    <s v="Md Alauddin Mollick"/>
    <s v="8926710497"/>
  </r>
  <r>
    <s v="RCF Import"/>
    <s v="MOP"/>
    <s v="WB"/>
    <x v="1"/>
    <s v="Jaynagar - I"/>
    <s v="User Not Mapped"/>
    <s v="User Not Mapped"/>
    <s v="User Not Mapped"/>
    <n v="1256862"/>
    <s v="SARDAR FERTILIZER"/>
    <s v="Private Retailer"/>
    <s v="7908209028"/>
    <n v="0.05"/>
    <n v="51"/>
    <x v="1"/>
    <m/>
    <s v="2026-03-07"/>
    <s v="281135"/>
    <s v="Md Alauddin Mollick"/>
    <s v="8926710497"/>
  </r>
  <r>
    <s v="RCF Thal"/>
    <s v="N.C.Urea(45kg)"/>
    <s v="WB"/>
    <x v="1"/>
    <s v="Jaynagar - I"/>
    <s v="User Not Mapped"/>
    <s v="User Not Mapped"/>
    <s v="User Not Mapped"/>
    <n v="1256862"/>
    <s v="SARDAR FERTILIZER"/>
    <s v="Private Retailer"/>
    <s v="7908209028"/>
    <n v="2.7450000000000001"/>
    <n v="44"/>
    <x v="1"/>
    <m/>
    <s v="2026-03-14"/>
    <s v="281135"/>
    <s v="Md Alauddin Mollick"/>
    <s v="8926710497"/>
  </r>
  <r>
    <s v="RCF Import"/>
    <s v="MOP"/>
    <s v="WB"/>
    <x v="1"/>
    <s v="Jaynagar - I"/>
    <s v="User Not Mapped"/>
    <s v="User Not Mapped"/>
    <s v="User Not Mapped"/>
    <n v="1256862"/>
    <s v="SARDAR FERTILIZER"/>
    <s v="Private Retailer"/>
    <s v="7908209028"/>
    <n v="0.05"/>
    <n v="40"/>
    <x v="1"/>
    <m/>
    <s v="2026-03-18"/>
    <s v="281135"/>
    <s v="Md Alauddin Mollick"/>
    <s v="8926710497"/>
  </r>
  <r>
    <s v="RCF Import"/>
    <s v="MOP"/>
    <s v="WB"/>
    <x v="1"/>
    <s v="Jaynagar - II"/>
    <s v="User Not Mapped"/>
    <s v="User Not Mapped"/>
    <s v="User Not Mapped"/>
    <n v="290811"/>
    <s v="Nemai Chatui"/>
    <s v="Private Retailer"/>
    <s v="9002979569"/>
    <n v="0.5"/>
    <n v="40"/>
    <x v="1"/>
    <m/>
    <s v="2026-03-18"/>
    <s v="281135"/>
    <s v="Md Alauddin Mollick"/>
    <s v="8926710497"/>
  </r>
  <r>
    <s v="RCF Import"/>
    <s v="MOP"/>
    <s v="WB"/>
    <x v="1"/>
    <s v="Jaynagar - II"/>
    <s v="User Not Mapped"/>
    <s v="User Not Mapped"/>
    <s v="User Not Mapped"/>
    <n v="290818"/>
    <s v="Srikanta Pramanik"/>
    <s v="Private Retailer"/>
    <s v="9800419304"/>
    <n v="0.14499999999999999"/>
    <n v="58"/>
    <x v="1"/>
    <m/>
    <s v="2026-02-28"/>
    <s v="281135"/>
    <s v="Md Alauddin Mollick"/>
    <s v="8926710497"/>
  </r>
  <r>
    <s v="RCF Trombay"/>
    <s v="15-15-15"/>
    <s v="WB"/>
    <x v="1"/>
    <s v="Jaynagar - II"/>
    <s v="User Not Mapped"/>
    <s v="User Not Mapped"/>
    <s v="User Not Mapped"/>
    <n v="341223"/>
    <s v="Da Senterprises"/>
    <s v="Private Retailer"/>
    <s v="9434437109"/>
    <n v="0.05"/>
    <n v="1971"/>
    <x v="7"/>
    <m/>
    <s v="2020-12-03"/>
    <s v="280736"/>
    <s v="M/S TAPAN KUMAR KARMAKAR"/>
    <s v="7584080473"/>
  </r>
  <r>
    <s v="RCF Trombay"/>
    <s v="15-15-15"/>
    <s v="WB"/>
    <x v="1"/>
    <s v="Jaynagar - II"/>
    <s v="User Not Mapped"/>
    <s v="User Not Mapped"/>
    <s v="User Not Mapped"/>
    <n v="341634"/>
    <s v="Kayal Fertiliser"/>
    <s v="Private Retailer"/>
    <s v="6294580752"/>
    <n v="2.2000000000000002"/>
    <n v="90"/>
    <x v="2"/>
    <m/>
    <s v="2026-01-27"/>
    <s v="224553"/>
    <s v="Kirtibas Kapat (A.S.C.)"/>
    <s v="9064538989"/>
  </r>
  <r>
    <s v="RCF Trombay"/>
    <s v="15-15-15"/>
    <s v="WB"/>
    <x v="1"/>
    <s v="Jaynagar - II"/>
    <s v="User Not Mapped"/>
    <s v="User Not Mapped"/>
    <s v="User Not Mapped"/>
    <n v="341837"/>
    <s v="Manirul Sarkar"/>
    <s v="Private Retailer"/>
    <s v="9732920239"/>
    <n v="1.78"/>
    <n v="95"/>
    <x v="5"/>
    <m/>
    <s v="2026-01-22"/>
    <s v="290840"/>
    <s v="N C Das &amp; Company"/>
    <s v="7365868045"/>
  </r>
  <r>
    <s v="RCF Thal"/>
    <s v="N.C.Urea(45kg)"/>
    <s v="WB"/>
    <x v="1"/>
    <s v="Jaynagar - II"/>
    <s v="User Not Mapped"/>
    <s v="User Not Mapped"/>
    <s v="User Not Mapped"/>
    <n v="341837"/>
    <s v="Manirul Sarkar"/>
    <s v="Private Retailer"/>
    <s v="9732920239"/>
    <n v="0.45"/>
    <n v="100"/>
    <x v="5"/>
    <m/>
    <s v="2026-01-17"/>
    <s v="290840"/>
    <s v="N C Das &amp; Company"/>
    <s v="7365868045"/>
  </r>
  <r>
    <s v="RCF Trombay"/>
    <s v="N.C.Urea(45kg)"/>
    <s v="WB"/>
    <x v="1"/>
    <s v="Jaynagar - II"/>
    <s v="User Not Mapped"/>
    <s v="User Not Mapped"/>
    <s v="User Not Mapped"/>
    <n v="341837"/>
    <s v="Manirul Sarkar"/>
    <s v="Private Retailer"/>
    <s v="9732920239"/>
    <n v="0.54"/>
    <n v="95"/>
    <x v="5"/>
    <m/>
    <s v="2026-01-22"/>
    <s v="290840"/>
    <s v="N C Das &amp; Company"/>
    <s v="7365868045"/>
  </r>
  <r>
    <s v="RCF Trombay"/>
    <s v="15-15-15"/>
    <s v="WB"/>
    <x v="1"/>
    <s v="Jaynagar - II"/>
    <s v="User Not Mapped"/>
    <s v="User Not Mapped"/>
    <s v="User Not Mapped"/>
    <n v="356413"/>
    <s v="Sri Durga Fertiliser"/>
    <s v="Private Retailer"/>
    <s v="9735366387"/>
    <n v="0.15"/>
    <n v="109"/>
    <x v="5"/>
    <m/>
    <s v="2026-01-08"/>
    <s v="224553"/>
    <s v="Kirtibas Kapat (A.S.C.)"/>
    <s v="9064538989"/>
  </r>
  <r>
    <s v="RCF Thal"/>
    <s v="N.C.Urea(45kg)"/>
    <s v="WB"/>
    <x v="1"/>
    <s v="Jaynagar - II"/>
    <s v="User Not Mapped"/>
    <s v="User Not Mapped"/>
    <s v="User Not Mapped"/>
    <n v="385496"/>
    <s v="Ayub Ali Molla"/>
    <s v="Private Retailer"/>
    <s v="9734966849"/>
    <n v="5.49"/>
    <n v="45"/>
    <x v="1"/>
    <m/>
    <s v="2026-03-13"/>
    <s v="280736"/>
    <s v="M/S TAPAN KUMAR KARMAKAR"/>
    <s v="7584080473"/>
  </r>
  <r>
    <s v="RCF Trombay"/>
    <s v="15-15-15"/>
    <s v="WB"/>
    <x v="1"/>
    <s v="Jaynagar - II"/>
    <s v="User Not Mapped"/>
    <s v="User Not Mapped"/>
    <s v="User Not Mapped"/>
    <n v="427076"/>
    <s v="M/S MONDAL FERTILIZER"/>
    <s v="Private Retailer"/>
    <s v="9832958210"/>
    <n v="0.45"/>
    <n v="202"/>
    <x v="3"/>
    <m/>
    <s v="2025-10-07"/>
    <s v="281135"/>
    <s v="Md Alauddin Mollick"/>
    <s v="8926710497"/>
  </r>
  <r>
    <s v="RCF Thal"/>
    <s v="N.C.Urea(45kg)"/>
    <s v="WB"/>
    <x v="1"/>
    <s v="Jaynagar - II"/>
    <s v="User Not Mapped"/>
    <s v="User Not Mapped"/>
    <s v="User Not Mapped"/>
    <n v="427080"/>
    <s v=" M/S Lilabati Fertilizer"/>
    <s v="Private Retailer"/>
    <s v="6297823812"/>
    <n v="11.115"/>
    <n v="32"/>
    <x v="1"/>
    <m/>
    <s v="2026-03-26"/>
    <s v="290840"/>
    <s v="N C Das &amp; Company"/>
    <s v="7365868045"/>
  </r>
  <r>
    <s v="RCF Thal"/>
    <s v="N.C.Urea(45kg)"/>
    <s v="WB"/>
    <x v="1"/>
    <s v="Jaynagar - II"/>
    <s v="User Not Mapped"/>
    <s v="User Not Mapped"/>
    <s v="User Not Mapped"/>
    <n v="466894"/>
    <s v="Nandalal Sardar"/>
    <s v="Private Retailer"/>
    <s v="7585955978"/>
    <n v="0.67500000000000004"/>
    <n v="380"/>
    <x v="6"/>
    <m/>
    <s v="2025-04-12"/>
    <s v="290840"/>
    <s v="N C Das &amp; Company"/>
    <s v="7365868045"/>
  </r>
  <r>
    <s v="RCF Import"/>
    <s v="MOP"/>
    <s v="WB"/>
    <x v="1"/>
    <s v="Jaynagar - II"/>
    <s v="User Not Mapped"/>
    <s v="User Not Mapped"/>
    <s v="User Not Mapped"/>
    <n v="533440"/>
    <s v="Hazra Krishi Bhandar"/>
    <s v="Private Retailer"/>
    <s v="9735279478"/>
    <n v="0.25"/>
    <n v="40"/>
    <x v="1"/>
    <m/>
    <s v="2026-03-18"/>
    <s v="281135"/>
    <s v="Md Alauddin Mollick"/>
    <s v="8926710497"/>
  </r>
  <r>
    <s v="RCF Trombay"/>
    <s v="N.C.Urea(45kg)"/>
    <s v="WB"/>
    <x v="1"/>
    <s v="Jaynagar - II"/>
    <s v="User Not Mapped"/>
    <s v="User Not Mapped"/>
    <s v="User Not Mapped"/>
    <n v="634863"/>
    <s v="M/S GAZI FERTILIZER"/>
    <s v="Private Retailer"/>
    <s v="7890583449"/>
    <n v="0.22500000000000001"/>
    <n v="2082"/>
    <x v="7"/>
    <m/>
    <s v="2020-08-14"/>
    <s v="280736"/>
    <s v="M/S TAPAN KUMAR KARMAKAR"/>
    <s v="7584080473"/>
  </r>
  <r>
    <s v="RCF Trombay"/>
    <s v="N.C.Urea(45kg)"/>
    <s v="WB"/>
    <x v="1"/>
    <s v="Jaynagar - II"/>
    <s v="User Not Mapped"/>
    <s v="User Not Mapped"/>
    <s v="User Not Mapped"/>
    <n v="634891"/>
    <s v="SANATAN KRISHI BHANDER"/>
    <s v="Private Retailer"/>
    <s v="9609113083"/>
    <n v="6.6150000000000002"/>
    <n v="195"/>
    <x v="3"/>
    <m/>
    <s v="2025-10-14"/>
    <s v="224553"/>
    <s v="Kirtibas Kapat (A.S.C.)"/>
    <s v="9064538989"/>
  </r>
  <r>
    <s v="RCF Thal"/>
    <s v="N.C.Urea(45kg)"/>
    <s v="WB"/>
    <x v="1"/>
    <s v="Jaynagar - II"/>
    <s v="User Not Mapped"/>
    <s v="User Not Mapped"/>
    <s v="User Not Mapped"/>
    <n v="635319"/>
    <s v="MATRI KRISHI BHANDER"/>
    <s v="Private Retailer"/>
    <s v="7699215001"/>
    <n v="0.13500000000000001"/>
    <n v="380"/>
    <x v="6"/>
    <m/>
    <s v="2025-04-12"/>
    <s v="290840"/>
    <s v="N C Das &amp; Company"/>
    <s v="7365868045"/>
  </r>
  <r>
    <s v="RCF Thal"/>
    <s v="N.C.Urea(45kg)"/>
    <s v="WB"/>
    <x v="1"/>
    <s v="Jaynagar - II"/>
    <s v="User Not Mapped"/>
    <s v="User Not Mapped"/>
    <s v="User Not Mapped"/>
    <n v="635319"/>
    <s v="MATRI KRISHI BHANDER"/>
    <s v="Private Retailer"/>
    <s v="7699215001"/>
    <n v="10.98"/>
    <n v="32"/>
    <x v="1"/>
    <m/>
    <s v="2026-03-26"/>
    <s v="290840"/>
    <s v="N C Das &amp; Company"/>
    <s v="7365868045"/>
  </r>
  <r>
    <s v="RCF Import"/>
    <s v="MOP"/>
    <s v="WB"/>
    <x v="1"/>
    <s v="Jaynagar - II"/>
    <s v="User Not Mapped"/>
    <s v="User Not Mapped"/>
    <s v="User Not Mapped"/>
    <n v="639887"/>
    <s v="Hamida Fertilizer"/>
    <s v="Private Retailer"/>
    <s v="8617078964"/>
    <n v="0.75"/>
    <n v="40"/>
    <x v="1"/>
    <m/>
    <s v="2026-03-18"/>
    <s v="281135"/>
    <s v="Md Alauddin Mollick"/>
    <s v="8926710497"/>
  </r>
  <r>
    <s v="RCF Thal"/>
    <s v="N.C.Urea(45kg)"/>
    <s v="WB"/>
    <x v="1"/>
    <s v="Jaynagar - II"/>
    <s v="User Not Mapped"/>
    <s v="User Not Mapped"/>
    <s v="User Not Mapped"/>
    <n v="656514"/>
    <s v="M/S BAIDYA FERTILIZER"/>
    <s v="Private Retailer"/>
    <s v="9732770498"/>
    <n v="0.67500000000000004"/>
    <n v="380"/>
    <x v="6"/>
    <m/>
    <s v="2025-04-12"/>
    <s v="290840"/>
    <s v="N C Das &amp; Company"/>
    <s v="7365868045"/>
  </r>
  <r>
    <s v="RCF Thal"/>
    <s v="N.C.Urea(45kg)"/>
    <s v="WB"/>
    <x v="1"/>
    <s v="Jaynagar - II"/>
    <s v="User Not Mapped"/>
    <s v="User Not Mapped"/>
    <s v="User Not Mapped"/>
    <n v="656514"/>
    <s v="M/S BAIDYA FERTILIZER"/>
    <s v="Private Retailer"/>
    <s v="9732770498"/>
    <n v="10.98"/>
    <n v="9"/>
    <x v="4"/>
    <m/>
    <s v="2026-04-18"/>
    <s v="290840"/>
    <s v="N C Das &amp; Company"/>
    <s v="7365868045"/>
  </r>
  <r>
    <s v="RCF Trombay"/>
    <s v="15-15-15"/>
    <s v="WB"/>
    <x v="1"/>
    <s v="Jaynagar - II"/>
    <s v="User Not Mapped"/>
    <s v="User Not Mapped"/>
    <s v="User Not Mapped"/>
    <n v="662599"/>
    <s v="M/S MONDAL FERTILIZER"/>
    <s v="Private Retailer"/>
    <s v="9083891168"/>
    <n v="1.5"/>
    <n v="1615"/>
    <x v="7"/>
    <m/>
    <s v="2021-11-24"/>
    <s v="224553"/>
    <s v="Kirtibas Kapat (A.S.C.)"/>
    <s v="9064538989"/>
  </r>
  <r>
    <s v="RCF Thal"/>
    <s v="N.C.Urea(45kg)"/>
    <s v="WB"/>
    <x v="1"/>
    <s v="Jaynagar - II"/>
    <s v="User Not Mapped"/>
    <s v="User Not Mapped"/>
    <s v="User Not Mapped"/>
    <n v="662599"/>
    <s v="M/S MONDAL FERTILIZER"/>
    <s v="Private Retailer"/>
    <s v="9083891168"/>
    <n v="0.45"/>
    <n v="2035"/>
    <x v="7"/>
    <m/>
    <s v="2020-09-30"/>
    <s v="280736"/>
    <s v="M/S TAPAN KUMAR KARMAKAR"/>
    <s v="7584080473"/>
  </r>
  <r>
    <s v="RCF Thal"/>
    <s v="N.C.Urea(45kg)"/>
    <s v="WB"/>
    <x v="1"/>
    <s v="Jaynagar - II"/>
    <s v="User Not Mapped"/>
    <s v="User Not Mapped"/>
    <s v="User Not Mapped"/>
    <n v="662599"/>
    <s v="M/S MONDAL FERTILIZER"/>
    <s v="Private Retailer"/>
    <s v="9083891168"/>
    <n v="2.25"/>
    <n v="1571"/>
    <x v="7"/>
    <m/>
    <s v="2022-01-07"/>
    <s v="224553"/>
    <s v="Kirtibas Kapat (A.S.C.)"/>
    <s v="9064538989"/>
  </r>
  <r>
    <s v="RCF Thal"/>
    <s v="N.C.Urea(45kg)"/>
    <s v="WB"/>
    <x v="1"/>
    <s v="Kakdwip"/>
    <s v="User Not Mapped"/>
    <s v="User Not Mapped"/>
    <s v="User Not Mapped"/>
    <n v="290753"/>
    <s v="Gouranga Krishi Bhandar"/>
    <s v="Private Retailer"/>
    <s v="9732546339"/>
    <n v="1.08"/>
    <n v="48"/>
    <x v="1"/>
    <m/>
    <s v="2026-03-10"/>
    <s v="269946"/>
    <s v="M/s. Janardan Parui"/>
    <s v="6290703360"/>
  </r>
  <r>
    <s v="RCF Import"/>
    <s v="MOP"/>
    <s v="WB"/>
    <x v="1"/>
    <s v="Kakdwip"/>
    <s v="User Not Mapped"/>
    <s v="User Not Mapped"/>
    <s v="User Not Mapped"/>
    <n v="290766"/>
    <s v="Maa Kali Krishi Bhandar"/>
    <s v="Private Retailer"/>
    <s v="9609071250"/>
    <n v="4"/>
    <n v="67"/>
    <x v="2"/>
    <m/>
    <s v="2026-02-19"/>
    <s v="280736"/>
    <s v="M/S TAPAN KUMAR KARMAKAR"/>
    <s v="7584080473"/>
  </r>
  <r>
    <s v="RCF Thal"/>
    <s v="N.C.Urea(45kg)"/>
    <s v="WB"/>
    <x v="1"/>
    <s v="Kakdwip"/>
    <s v="User Not Mapped"/>
    <s v="User Not Mapped"/>
    <s v="User Not Mapped"/>
    <n v="309266"/>
    <s v="M/S SUDARSAN PANDIT"/>
    <s v="Private Retailer"/>
    <s v="9433120430"/>
    <n v="0.85499999999999998"/>
    <n v="147"/>
    <x v="0"/>
    <m/>
    <s v="2025-12-01"/>
    <s v="224553"/>
    <s v="Kirtibas Kapat (A.S.C.)"/>
    <s v="9064538989"/>
  </r>
  <r>
    <s v="RCF Trombay"/>
    <s v="15-15-15"/>
    <s v="WB"/>
    <x v="1"/>
    <s v="Kakdwip"/>
    <s v="User Not Mapped"/>
    <s v="User Not Mapped"/>
    <s v="User Not Mapped"/>
    <n v="309266"/>
    <s v="M/S SUDARSAN PANDIT"/>
    <s v="Private Retailer"/>
    <s v="9433120430"/>
    <n v="5.5"/>
    <n v="33"/>
    <x v="1"/>
    <m/>
    <s v="2026-03-25"/>
    <s v="269946"/>
    <s v="M/s. Janardan Parui"/>
    <s v="6290703360"/>
  </r>
  <r>
    <s v="RCF Trombay"/>
    <s v="15-15-15"/>
    <s v="WB"/>
    <x v="1"/>
    <s v="Kakdwip"/>
    <s v="User Not Mapped"/>
    <s v="User Not Mapped"/>
    <s v="User Not Mapped"/>
    <n v="309266"/>
    <s v="M/S SUDARSAN PANDIT"/>
    <s v="Private Retailer"/>
    <s v="9433120430"/>
    <n v="2.5"/>
    <n v="20"/>
    <x v="4"/>
    <m/>
    <s v="2026-04-07"/>
    <s v="269946"/>
    <s v="M/s. Janardan Parui"/>
    <s v="6290703360"/>
  </r>
  <r>
    <s v="RCF Trombay"/>
    <s v="15-15-15"/>
    <s v="WB"/>
    <x v="1"/>
    <s v="Kakdwip"/>
    <s v="User Not Mapped"/>
    <s v="User Not Mapped"/>
    <s v="User Not Mapped"/>
    <n v="309266"/>
    <s v="M/S SUDARSAN PANDIT"/>
    <s v="Private Retailer"/>
    <s v="9433120430"/>
    <n v="5.5"/>
    <n v="89"/>
    <x v="2"/>
    <m/>
    <s v="2026-01-28"/>
    <s v="269946"/>
    <s v="M/s. Janardan Parui"/>
    <s v="6290703360"/>
  </r>
  <r>
    <s v="RCF Trombay"/>
    <s v="15-15-15"/>
    <s v="WB"/>
    <x v="1"/>
    <s v="Kakdwip"/>
    <s v="User Not Mapped"/>
    <s v="User Not Mapped"/>
    <s v="User Not Mapped"/>
    <n v="309493"/>
    <s v="Paban Krishi Bhandar"/>
    <s v="Private Retailer"/>
    <s v="7908584449"/>
    <n v="2.8"/>
    <n v="133"/>
    <x v="0"/>
    <m/>
    <s v="2025-12-15"/>
    <s v="280736"/>
    <s v="M/S TAPAN KUMAR KARMAKAR"/>
    <s v="7584080473"/>
  </r>
  <r>
    <s v="RCF Import"/>
    <s v="MOP"/>
    <s v="WB"/>
    <x v="1"/>
    <s v="Kakdwip"/>
    <s v="User Not Mapped"/>
    <s v="User Not Mapped"/>
    <s v="User Not Mapped"/>
    <n v="341041"/>
    <s v="M/S SUNDARBAN FERTILIZER"/>
    <s v="Private Retailer"/>
    <s v="8768181804"/>
    <n v="0.25"/>
    <n v="58"/>
    <x v="1"/>
    <m/>
    <s v="2026-02-28"/>
    <s v="224553"/>
    <s v="Kirtibas Kapat (A.S.C.)"/>
    <s v="9064538989"/>
  </r>
  <r>
    <s v="RCF Trombay"/>
    <s v="15-15-15"/>
    <s v="WB"/>
    <x v="1"/>
    <s v="Kakdwip"/>
    <s v="User Not Mapped"/>
    <s v="User Not Mapped"/>
    <s v="User Not Mapped"/>
    <n v="341041"/>
    <s v="M/S SUNDARBAN FERTILIZER"/>
    <s v="Private Retailer"/>
    <s v="8768181804"/>
    <n v="0.5"/>
    <n v="58"/>
    <x v="1"/>
    <m/>
    <s v="2026-02-28"/>
    <s v="224553"/>
    <s v="Kirtibas Kapat (A.S.C.)"/>
    <s v="9064538989"/>
  </r>
  <r>
    <s v="RCF Trombay"/>
    <s v="15-15-15"/>
    <s v="WB"/>
    <x v="1"/>
    <s v="Kakdwip"/>
    <s v="User Not Mapped"/>
    <s v="User Not Mapped"/>
    <s v="User Not Mapped"/>
    <n v="355086"/>
    <s v="Kakdwip Sar Bhander"/>
    <s v="Private Retailer"/>
    <s v="8001113615"/>
    <n v="1.25"/>
    <n v="33"/>
    <x v="1"/>
    <m/>
    <s v="2026-03-25"/>
    <s v="342383"/>
    <s v="Kakdip Sar Bhandar"/>
    <s v="9933502068"/>
  </r>
  <r>
    <s v="RCF Thal"/>
    <s v="N.C.Urea(45kg)"/>
    <s v="WB"/>
    <x v="1"/>
    <s v="Kakdwip"/>
    <s v="User Not Mapped"/>
    <s v="User Not Mapped"/>
    <s v="User Not Mapped"/>
    <n v="355086"/>
    <s v="Kakdwip Sar Bhander"/>
    <s v="Private Retailer"/>
    <s v="8001113615"/>
    <n v="11.43"/>
    <n v="72"/>
    <x v="2"/>
    <m/>
    <s v="2026-02-14"/>
    <s v="224553"/>
    <s v="Kirtibas Kapat (A.S.C.)"/>
    <s v="9064538989"/>
  </r>
  <r>
    <s v="RCF Trombay"/>
    <s v="15-15-15"/>
    <s v="WB"/>
    <x v="1"/>
    <s v="Kakdwip"/>
    <s v="User Not Mapped"/>
    <s v="User Not Mapped"/>
    <s v="User Not Mapped"/>
    <n v="461654"/>
    <s v="Pramila Krishi Bhander"/>
    <s v="Private Retailer"/>
    <s v="9735405790"/>
    <n v="0.1"/>
    <n v="139"/>
    <x v="0"/>
    <m/>
    <s v="2025-12-09"/>
    <s v="224553"/>
    <s v="Kirtibas Kapat (A.S.C.)"/>
    <s v="9064538989"/>
  </r>
  <r>
    <s v="RCF Trombay"/>
    <s v="15-15-15"/>
    <s v="WB"/>
    <x v="1"/>
    <s v="Kakdwip"/>
    <s v="User Not Mapped"/>
    <s v="User Not Mapped"/>
    <s v="User Not Mapped"/>
    <n v="461654"/>
    <s v="Pramila Krishi Bhander"/>
    <s v="Private Retailer"/>
    <s v="9735405790"/>
    <n v="0.02"/>
    <n v="221"/>
    <x v="3"/>
    <m/>
    <s v="2025-09-18"/>
    <s v="224553"/>
    <s v="Kirtibas Kapat (A.S.C.)"/>
    <s v="9064538989"/>
  </r>
  <r>
    <s v="RCF Trombay"/>
    <s v="15-15-15"/>
    <s v="WB"/>
    <x v="1"/>
    <s v="Kakdwip"/>
    <s v="User Not Mapped"/>
    <s v="User Not Mapped"/>
    <s v="User Not Mapped"/>
    <n v="461660"/>
    <s v="M/S KAKDWIP AGRO SERVICE"/>
    <s v="Private Retailer"/>
    <s v="9064266001"/>
    <n v="3.15"/>
    <n v="89"/>
    <x v="2"/>
    <m/>
    <s v="2026-01-28"/>
    <s v="269946"/>
    <s v="M/s. Janardan Parui"/>
    <s v="6290703360"/>
  </r>
  <r>
    <s v="RCF Import"/>
    <s v="MOP"/>
    <s v="WB"/>
    <x v="1"/>
    <s v="Kakdwip"/>
    <s v="User Not Mapped"/>
    <s v="User Not Mapped"/>
    <s v="User Not Mapped"/>
    <n v="461660"/>
    <s v="M/S KAKDWIP AGRO SERVICE"/>
    <s v="Private Retailer"/>
    <s v="9064266001"/>
    <n v="4.1500000000000004"/>
    <n v="67"/>
    <x v="2"/>
    <m/>
    <s v="2026-02-19"/>
    <s v="280736"/>
    <s v="M/S TAPAN KUMAR KARMAKAR"/>
    <s v="7584080473"/>
  </r>
  <r>
    <s v="RCF Trombay"/>
    <s v="N.C.Urea(45kg)"/>
    <s v="WB"/>
    <x v="1"/>
    <s v="Kakdwip"/>
    <s v="User Not Mapped"/>
    <s v="User Not Mapped"/>
    <s v="User Not Mapped"/>
    <n v="461666"/>
    <s v="Radha Gobinda Krishi Bhander"/>
    <s v="Private Retailer"/>
    <s v="9732412212"/>
    <n v="0.59499999999999997"/>
    <n v="95"/>
    <x v="5"/>
    <m/>
    <s v="2026-01-22"/>
    <s v="269946"/>
    <s v="M/s. Janardan Parui"/>
    <s v="6290703360"/>
  </r>
  <r>
    <s v="RCF Trombay"/>
    <s v="15-15-15"/>
    <s v="WB"/>
    <x v="1"/>
    <s v="Kakdwip"/>
    <s v="User Not Mapped"/>
    <s v="User Not Mapped"/>
    <s v="User Not Mapped"/>
    <n v="461694"/>
    <s v="Makali Krishi Bhander"/>
    <s v="Private Retailer"/>
    <s v="8967374822"/>
    <n v="0.2"/>
    <n v="138"/>
    <x v="0"/>
    <m/>
    <s v="2025-12-10"/>
    <s v="224553"/>
    <s v="Kirtibas Kapat (A.S.C.)"/>
    <s v="9064538989"/>
  </r>
  <r>
    <s v="RCF Trombay"/>
    <s v="15-15-15"/>
    <s v="WB"/>
    <x v="1"/>
    <s v="Kakdwip"/>
    <s v="User Not Mapped"/>
    <s v="User Not Mapped"/>
    <s v="User Not Mapped"/>
    <n v="461900"/>
    <s v="Kiran Fertiliser Shop"/>
    <s v="Private Retailer"/>
    <s v="7319572675"/>
    <n v="0.5"/>
    <n v="29"/>
    <x v="4"/>
    <m/>
    <s v="2026-03-29"/>
    <s v="224553"/>
    <s v="Kirtibas Kapat (A.S.C.)"/>
    <s v="9064538989"/>
  </r>
  <r>
    <s v="RCF Trombay"/>
    <s v="15-15-15"/>
    <s v="WB"/>
    <x v="1"/>
    <s v="Kakdwip"/>
    <s v="User Not Mapped"/>
    <s v="User Not Mapped"/>
    <s v="User Not Mapped"/>
    <n v="462663"/>
    <s v="Babusana Fertilisers"/>
    <s v="Private Retailer"/>
    <s v="9800031189"/>
    <n v="0.05"/>
    <n v="109"/>
    <x v="5"/>
    <m/>
    <s v="2026-01-08"/>
    <s v="269946"/>
    <s v="M/s. Janardan Parui"/>
    <s v="6290703360"/>
  </r>
  <r>
    <s v="RCF Trombay"/>
    <s v="15-15-15"/>
    <s v="WB"/>
    <x v="1"/>
    <s v="Kakdwip"/>
    <s v="User Not Mapped"/>
    <s v="User Not Mapped"/>
    <s v="User Not Mapped"/>
    <n v="462685"/>
    <s v="Jadupati Krishi Bhander"/>
    <s v="Private Retailer"/>
    <s v="9002447647"/>
    <n v="0.05"/>
    <n v="343"/>
    <x v="3"/>
    <m/>
    <s v="2025-05-19"/>
    <s v="311219"/>
    <s v="Surendra Krishi Bhander"/>
    <s v="9434404364"/>
  </r>
  <r>
    <s v="RCF Trombay"/>
    <s v="15-15-15"/>
    <s v="WB"/>
    <x v="1"/>
    <s v="Kakdwip"/>
    <s v="User Not Mapped"/>
    <s v="User Not Mapped"/>
    <s v="User Not Mapped"/>
    <n v="462687"/>
    <s v="Bimal Roy"/>
    <s v="Private Retailer"/>
    <s v="8167467157"/>
    <n v="0.5"/>
    <n v="125"/>
    <x v="0"/>
    <m/>
    <s v="2025-12-23"/>
    <s v="224553"/>
    <s v="Kirtibas Kapat (A.S.C.)"/>
    <s v="9064538989"/>
  </r>
  <r>
    <s v="RCF Trombay"/>
    <s v="15-15-15"/>
    <s v="WB"/>
    <x v="1"/>
    <s v="Kakdwip"/>
    <s v="User Not Mapped"/>
    <s v="User Not Mapped"/>
    <s v="User Not Mapped"/>
    <n v="462689"/>
    <s v="Sonali Krishi Bhander"/>
    <s v="Private Retailer"/>
    <s v="9800989766"/>
    <n v="0.45"/>
    <n v="283"/>
    <x v="3"/>
    <m/>
    <s v="2025-07-18"/>
    <s v="311219"/>
    <s v="Surendra Krishi Bhander"/>
    <s v="9434404364"/>
  </r>
  <r>
    <s v="RCF Thal"/>
    <s v="N.C.Urea(45kg)"/>
    <s v="WB"/>
    <x v="1"/>
    <s v="Kakdwip"/>
    <s v="User Not Mapped"/>
    <s v="User Not Mapped"/>
    <s v="User Not Mapped"/>
    <n v="462689"/>
    <s v="Sonali Krishi Bhander"/>
    <s v="Private Retailer"/>
    <s v="9800989766"/>
    <n v="1.155"/>
    <n v="61"/>
    <x v="2"/>
    <m/>
    <s v="2026-02-25"/>
    <s v="269946"/>
    <s v="M/s. Janardan Parui"/>
    <s v="6290703360"/>
  </r>
  <r>
    <s v="RCF Trombay"/>
    <s v="15-15-15"/>
    <s v="WB"/>
    <x v="1"/>
    <s v="Kakdwip"/>
    <s v="User Not Mapped"/>
    <s v="User Not Mapped"/>
    <s v="User Not Mapped"/>
    <n v="462749"/>
    <s v="Roy Fertilisers"/>
    <s v="Private Retailer"/>
    <s v="9002779284"/>
    <n v="0.9"/>
    <n v="43"/>
    <x v="1"/>
    <m/>
    <s v="2026-03-15"/>
    <s v="311219"/>
    <s v="Surendra Krishi Bhander"/>
    <s v="9434404364"/>
  </r>
  <r>
    <s v="RCF Trombay"/>
    <s v="15-15-15"/>
    <s v="WB"/>
    <x v="1"/>
    <s v="Kakdwip"/>
    <s v="User Not Mapped"/>
    <s v="User Not Mapped"/>
    <s v="User Not Mapped"/>
    <n v="462753"/>
    <s v="Satyanarayan Krishi Bhander"/>
    <s v="Private Retailer"/>
    <s v="9051037558"/>
    <n v="0.77500000000000002"/>
    <n v="35"/>
    <x v="1"/>
    <m/>
    <s v="2026-03-23"/>
    <s v="311219"/>
    <s v="Surendra Krishi Bhander"/>
    <s v="9434404364"/>
  </r>
  <r>
    <s v="RCF Trombay"/>
    <s v="15-15-15"/>
    <s v="WB"/>
    <x v="1"/>
    <s v="Kakdwip"/>
    <s v="User Not Mapped"/>
    <s v="User Not Mapped"/>
    <s v="User Not Mapped"/>
    <n v="465938"/>
    <s v="Sukumar Manna"/>
    <s v="Private Retailer"/>
    <s v="8001965597"/>
    <n v="0.35"/>
    <n v="187"/>
    <x v="3"/>
    <m/>
    <s v="2025-10-22"/>
    <s v="281135"/>
    <s v="Md Alauddin Mollick"/>
    <s v="8926710497"/>
  </r>
  <r>
    <s v="RCF Trombay"/>
    <s v="15-15-15"/>
    <s v="WB"/>
    <x v="1"/>
    <s v="Kakdwip"/>
    <s v="User Not Mapped"/>
    <s v="User Not Mapped"/>
    <s v="User Not Mapped"/>
    <n v="465938"/>
    <s v="Sukumar Manna"/>
    <s v="Private Retailer"/>
    <s v="8001965597"/>
    <n v="0.25"/>
    <n v="139"/>
    <x v="0"/>
    <m/>
    <s v="2025-12-09"/>
    <s v="224553"/>
    <s v="Kirtibas Kapat (A.S.C.)"/>
    <s v="9064538989"/>
  </r>
  <r>
    <s v="RCF Trombay"/>
    <s v="15-15-15"/>
    <s v="WB"/>
    <x v="1"/>
    <s v="Kakdwip"/>
    <s v="User Not Mapped"/>
    <s v="User Not Mapped"/>
    <s v="User Not Mapped"/>
    <n v="541775"/>
    <s v="SAMIRAN KRISHI BHANDAR"/>
    <s v="Private Retailer"/>
    <s v="9800653442"/>
    <n v="3"/>
    <n v="32"/>
    <x v="1"/>
    <m/>
    <s v="2026-03-26"/>
    <s v="290835"/>
    <s v=" Mahamaya Krishi Bhander"/>
    <s v="9933502068"/>
  </r>
  <r>
    <s v="RCF Trombay"/>
    <s v="15-15-15"/>
    <s v="WB"/>
    <x v="1"/>
    <s v="Kakdwip"/>
    <s v="User Not Mapped"/>
    <s v="User Not Mapped"/>
    <s v="User Not Mapped"/>
    <n v="624133"/>
    <s v="SRI KRISHNA KRISHI BHANDER"/>
    <s v="Private Retailer"/>
    <s v="8116782444"/>
    <n v="1"/>
    <n v="109"/>
    <x v="5"/>
    <m/>
    <s v="2026-01-08"/>
    <s v="224553"/>
    <s v="Kirtibas Kapat (A.S.C.)"/>
    <s v="9064538989"/>
  </r>
  <r>
    <s v="RCF Trombay"/>
    <s v="15-15-15"/>
    <s v="WB"/>
    <x v="1"/>
    <s v="Kakdwip"/>
    <s v="User Not Mapped"/>
    <s v="User Not Mapped"/>
    <s v="User Not Mapped"/>
    <n v="624133"/>
    <s v="SRI KRISHNA KRISHI BHANDER"/>
    <s v="Private Retailer"/>
    <s v="8116782444"/>
    <n v="0.25"/>
    <n v="53"/>
    <x v="1"/>
    <m/>
    <s v="2026-03-05"/>
    <s v="224553"/>
    <s v="Kirtibas Kapat (A.S.C.)"/>
    <s v="9064538989"/>
  </r>
  <r>
    <s v="RCF Thal"/>
    <s v="N.C.Urea(45kg)"/>
    <s v="WB"/>
    <x v="1"/>
    <s v="Kakdwip"/>
    <s v="User Not Mapped"/>
    <s v="User Not Mapped"/>
    <s v="User Not Mapped"/>
    <n v="624133"/>
    <s v="SRI KRISHNA KRISHI BHANDER"/>
    <s v="Private Retailer"/>
    <s v="8116782444"/>
    <n v="0.09"/>
    <n v="213"/>
    <x v="3"/>
    <m/>
    <s v="2025-09-26"/>
    <s v="224553"/>
    <s v="Kirtibas Kapat (A.S.C.)"/>
    <s v="9064538989"/>
  </r>
  <r>
    <s v="RCF Trombay"/>
    <s v="15-15-15"/>
    <s v="WB"/>
    <x v="1"/>
    <s v="Kakdwip"/>
    <s v="User Not Mapped"/>
    <s v="User Not Mapped"/>
    <s v="User Not Mapped"/>
    <n v="624133"/>
    <s v="SRI KRISHNA KRISHI BHANDER"/>
    <s v="Private Retailer"/>
    <s v="8116782444"/>
    <n v="0.25"/>
    <n v="29"/>
    <x v="4"/>
    <m/>
    <s v="2026-03-29"/>
    <s v="224553"/>
    <s v="Kirtibas Kapat (A.S.C.)"/>
    <s v="9064538989"/>
  </r>
  <r>
    <s v="RCF Thal"/>
    <s v="N.C.Urea(45kg)"/>
    <s v="WB"/>
    <x v="1"/>
    <s v="Kakdwip"/>
    <s v="User Not Mapped"/>
    <s v="User Not Mapped"/>
    <s v="User Not Mapped"/>
    <n v="633248"/>
    <s v="M/S MA KALI KRISHI BHANDERER"/>
    <s v="Private Retailer"/>
    <s v="8001066099"/>
    <n v="0.63"/>
    <n v="48"/>
    <x v="1"/>
    <m/>
    <s v="2026-03-10"/>
    <s v="269946"/>
    <s v="M/s. Janardan Parui"/>
    <s v="6290703360"/>
  </r>
  <r>
    <s v="RCF Thal"/>
    <s v="N.C.Urea(45kg)"/>
    <s v="WB"/>
    <x v="1"/>
    <s v="Kakdwip"/>
    <s v="User Not Mapped"/>
    <s v="User Not Mapped"/>
    <s v="User Not Mapped"/>
    <n v="633256"/>
    <s v="KHANTAMONI KRISHI BHANDER"/>
    <s v="Private Retailer"/>
    <s v="7031808355"/>
    <n v="0.495"/>
    <n v="244"/>
    <x v="3"/>
    <m/>
    <s v="2025-08-26"/>
    <s v="224553"/>
    <s v="Kirtibas Kapat (A.S.C.)"/>
    <s v="9064538989"/>
  </r>
  <r>
    <s v="RCF Trombay"/>
    <s v="15-15-15"/>
    <s v="WB"/>
    <x v="1"/>
    <s v="Kakdwip"/>
    <s v="User Not Mapped"/>
    <s v="User Not Mapped"/>
    <s v="User Not Mapped"/>
    <n v="633314"/>
    <s v="PRATIMA SAR BHANDER"/>
    <s v="Private Retailer"/>
    <s v="8145086702"/>
    <n v="0.05"/>
    <n v="281"/>
    <x v="3"/>
    <m/>
    <s v="2025-07-20"/>
    <s v="270099"/>
    <s v="Kakdwip Krishi Bandr"/>
    <s v="9933502068"/>
  </r>
  <r>
    <s v="RCF Trombay"/>
    <s v="15-15-15"/>
    <s v="WB"/>
    <x v="1"/>
    <s v="Kakdwip"/>
    <s v="User Not Mapped"/>
    <s v="User Not Mapped"/>
    <s v="User Not Mapped"/>
    <n v="633320"/>
    <s v="SURENDRA KRISHI BHABAN"/>
    <s v="Private Retailer"/>
    <s v="9647235500"/>
    <n v="0.04"/>
    <n v="166"/>
    <x v="0"/>
    <m/>
    <s v="2025-11-12"/>
    <s v="311219"/>
    <s v="Surendra Krishi Bhander"/>
    <s v="9434404364"/>
  </r>
  <r>
    <s v="RCF Trombay"/>
    <s v="15-15-15"/>
    <s v="WB"/>
    <x v="1"/>
    <s v="Kakdwip"/>
    <s v="User Not Mapped"/>
    <s v="User Not Mapped"/>
    <s v="User Not Mapped"/>
    <n v="637833"/>
    <s v="KARAN FERTILISER"/>
    <s v="Private Retailer"/>
    <s v="9635579531"/>
    <n v="2.1999999999999999E-2"/>
    <n v="1861"/>
    <x v="7"/>
    <m/>
    <s v="2021-03-23"/>
    <s v="333133"/>
    <s v=" Purusatham Fertilizers"/>
    <s v="9933502068"/>
  </r>
  <r>
    <s v="RCF Trombay"/>
    <s v="15-15-15"/>
    <s v="WB"/>
    <x v="1"/>
    <s v="Kakdwip"/>
    <s v="User Not Mapped"/>
    <s v="User Not Mapped"/>
    <s v="User Not Mapped"/>
    <n v="637841"/>
    <s v="NAYEK FERTILISER"/>
    <s v="Private Retailer"/>
    <s v="9733708027"/>
    <n v="4.8000000000000001E-2"/>
    <n v="74"/>
    <x v="2"/>
    <m/>
    <s v="2026-02-12"/>
    <s v="280736"/>
    <s v="M/S TAPAN KUMAR KARMAKAR"/>
    <s v="7584080473"/>
  </r>
  <r>
    <s v="RCF Trombay"/>
    <s v="N.C.Urea(45kg)"/>
    <s v="WB"/>
    <x v="1"/>
    <s v="Kakdwip"/>
    <s v="User Not Mapped"/>
    <s v="User Not Mapped"/>
    <s v="User Not Mapped"/>
    <n v="637845"/>
    <s v="MAA DURGA KRISHI BHANDER"/>
    <s v="Private Retailer"/>
    <s v="7407309186"/>
    <n v="0.45"/>
    <n v="2036"/>
    <x v="7"/>
    <m/>
    <s v="2020-09-29"/>
    <s v="333133"/>
    <s v=" Purusatham Fertilizers"/>
    <s v="9933502068"/>
  </r>
  <r>
    <s v="RCF Trombay"/>
    <s v="15-15-15"/>
    <s v="WB"/>
    <x v="1"/>
    <s v="Kakdwip"/>
    <s v="User Not Mapped"/>
    <s v="User Not Mapped"/>
    <s v="User Not Mapped"/>
    <n v="640617"/>
    <s v="M/S MAA KALI KRISHI BHANDAR"/>
    <s v="Private Retailer"/>
    <s v="8101639938"/>
    <n v="1.5"/>
    <n v="133"/>
    <x v="0"/>
    <m/>
    <s v="2025-12-15"/>
    <s v="224553"/>
    <s v="Kirtibas Kapat (A.S.C.)"/>
    <s v="9064538989"/>
  </r>
  <r>
    <s v="RCF Trombay"/>
    <s v="N.C.Urea(45kg)"/>
    <s v="WB"/>
    <x v="1"/>
    <s v="Kakdwip"/>
    <s v="User Not Mapped"/>
    <s v="User Not Mapped"/>
    <s v="User Not Mapped"/>
    <n v="775021"/>
    <s v="KAKDWIP KRISHAK SATHI"/>
    <s v="Private Retailer"/>
    <s v="8348405319"/>
    <n v="0.01"/>
    <n v="452"/>
    <x v="6"/>
    <m/>
    <s v="2025-01-30"/>
    <s v="269946"/>
    <s v="M/s. Janardan Parui"/>
    <s v="6290703360"/>
  </r>
  <r>
    <s v="RCF Thal"/>
    <s v="N.C.Urea(45kg)"/>
    <s v="WB"/>
    <x v="1"/>
    <s v="Kakdwip"/>
    <s v="User Not Mapped"/>
    <s v="User Not Mapped"/>
    <s v="User Not Mapped"/>
    <n v="775021"/>
    <s v="KAKDWIP KRISHAK SATHI"/>
    <s v="Private Retailer"/>
    <s v="8348405319"/>
    <n v="8.0000000000000002E-3"/>
    <n v="166"/>
    <x v="0"/>
    <m/>
    <s v="2025-11-12"/>
    <s v="269533"/>
    <s v="Hasya Badhan Makhal"/>
    <s v="9674092010"/>
  </r>
  <r>
    <s v="RCF Trombay"/>
    <s v="15-15-15"/>
    <s v="WB"/>
    <x v="1"/>
    <s v="Kakdwip"/>
    <s v="User Not Mapped"/>
    <s v="User Not Mapped"/>
    <s v="User Not Mapped"/>
    <n v="775021"/>
    <s v="KAKDWIP KRISHAK SATHI"/>
    <s v="Private Retailer"/>
    <s v="8348405319"/>
    <n v="3.95"/>
    <n v="452"/>
    <x v="6"/>
    <m/>
    <s v="2025-01-30"/>
    <s v="269946"/>
    <s v="M/s. Janardan Parui"/>
    <s v="6290703360"/>
  </r>
  <r>
    <s v="RCF Import"/>
    <s v="MOP"/>
    <s v="WB"/>
    <x v="1"/>
    <s v="Kakdwip"/>
    <s v="User Not Mapped"/>
    <s v="User Not Mapped"/>
    <s v="User Not Mapped"/>
    <n v="775021"/>
    <s v="KAKDWIP KRISHAK SATHI"/>
    <s v="Private Retailer"/>
    <s v="8348405319"/>
    <n v="10.5"/>
    <n v="452"/>
    <x v="6"/>
    <m/>
    <s v="2025-01-30"/>
    <s v="269946"/>
    <s v="M/s. Janardan Parui"/>
    <s v="6290703360"/>
  </r>
  <r>
    <s v="RCF Trombay"/>
    <s v="15-15-15"/>
    <s v="WB"/>
    <x v="1"/>
    <s v="Kakdwip"/>
    <s v="User Not Mapped"/>
    <s v="User Not Mapped"/>
    <s v="User Not Mapped"/>
    <n v="872958"/>
    <s v="SUBHAJIT KRISHI BHANDER"/>
    <s v="Private Retailer"/>
    <s v="8509124268"/>
    <n v="0.01"/>
    <n v="1504"/>
    <x v="7"/>
    <m/>
    <s v="2022-03-15"/>
    <s v="268603"/>
    <s v="Baidya Krishi Bhander"/>
    <s v="9434041915"/>
  </r>
  <r>
    <s v="RCF Trombay"/>
    <s v="15-15-15"/>
    <s v="WB"/>
    <x v="1"/>
    <s v="Kakdwip"/>
    <s v="User Not Mapped"/>
    <s v="User Not Mapped"/>
    <s v="User Not Mapped"/>
    <n v="892271"/>
    <s v="HARIPRIVA FERTILISER"/>
    <s v="Private Retailer"/>
    <s v="7363809486"/>
    <n v="0.25"/>
    <n v="1947"/>
    <x v="7"/>
    <m/>
    <s v="2020-12-27"/>
    <s v="333133"/>
    <s v=" Purusatham Fertilizers"/>
    <s v="9933502068"/>
  </r>
  <r>
    <s v="RCF Trombay"/>
    <s v="N.C.Urea(45kg)"/>
    <s v="WB"/>
    <x v="1"/>
    <s v="Kakdwip"/>
    <s v="User Not Mapped"/>
    <s v="User Not Mapped"/>
    <s v="User Not Mapped"/>
    <n v="953420"/>
    <s v="MA BASANTI KRISHI BHANDER"/>
    <s v="Private Retailer"/>
    <s v="9647574508"/>
    <n v="2.0249999999999999"/>
    <n v="83"/>
    <x v="2"/>
    <m/>
    <s v="2026-02-03"/>
    <s v="224553"/>
    <s v="Kirtibas Kapat (A.S.C.)"/>
    <s v="9064538989"/>
  </r>
  <r>
    <s v="RCF Trombay"/>
    <s v="15-15-15"/>
    <s v="WB"/>
    <x v="1"/>
    <s v="Kakdwip"/>
    <s v="User Not Mapped"/>
    <s v="User Not Mapped"/>
    <s v="User Not Mapped"/>
    <n v="953540"/>
    <s v="SRI DURGA SAR BHANDER"/>
    <s v="Private Retailer"/>
    <s v="9732846654"/>
    <n v="0.45"/>
    <n v="2249"/>
    <x v="7"/>
    <m/>
    <s v="2020-02-29"/>
    <s v="311219"/>
    <s v="Surendra Krishi Bhander"/>
    <s v="9434404364"/>
  </r>
  <r>
    <s v="RCF Thal"/>
    <s v="N.C.Urea(45kg)"/>
    <s v="WB"/>
    <x v="1"/>
    <s v="Kakdwip"/>
    <s v="User Not Mapped"/>
    <s v="User Not Mapped"/>
    <s v="User Not Mapped"/>
    <n v="953542"/>
    <s v="LAKSHMI GANESH KRISHI BHANDER"/>
    <s v="Private Retailer"/>
    <s v="9735467158"/>
    <n v="0.40500000000000003"/>
    <n v="257"/>
    <x v="3"/>
    <m/>
    <s v="2025-08-13"/>
    <s v="270099"/>
    <s v="Kakdwip Krishi Bandr"/>
    <s v="9933502068"/>
  </r>
  <r>
    <s v="RCF Trombay"/>
    <s v="15-15-15"/>
    <s v="WB"/>
    <x v="1"/>
    <s v="Kakdwip"/>
    <s v="User Not Mapped"/>
    <s v="User Not Mapped"/>
    <s v="User Not Mapped"/>
    <n v="953542"/>
    <s v="LAKSHMI GANESH KRISHI BHANDER"/>
    <s v="Private Retailer"/>
    <s v="9735467158"/>
    <n v="0.29699999999999999"/>
    <n v="257"/>
    <x v="3"/>
    <m/>
    <s v="2025-08-13"/>
    <s v="270099"/>
    <s v="Kakdwip Krishi Bandr"/>
    <s v="9933502068"/>
  </r>
  <r>
    <s v="RCF Trombay"/>
    <s v="15-15-15"/>
    <s v="WB"/>
    <x v="1"/>
    <s v="Kakdwip"/>
    <s v="User Not Mapped"/>
    <s v="User Not Mapped"/>
    <s v="User Not Mapped"/>
    <n v="968286"/>
    <s v="AHALAYA KRISHI BHANDER"/>
    <s v="Private Retailer"/>
    <s v="9091486165"/>
    <n v="1"/>
    <n v="1965"/>
    <x v="7"/>
    <m/>
    <s v="2020-12-09"/>
    <s v="270099"/>
    <s v="Kakdwip Krishi Bandr"/>
    <s v="9933502068"/>
  </r>
  <r>
    <s v="RCF Trombay"/>
    <s v="15-15-15"/>
    <s v="WB"/>
    <x v="1"/>
    <s v="Kakdwip"/>
    <s v="User Not Mapped"/>
    <s v="User Not Mapped"/>
    <s v="User Not Mapped"/>
    <n v="968286"/>
    <s v="AHALAYA KRISHI BHANDER"/>
    <s v="Private Retailer"/>
    <s v="9091486165"/>
    <n v="1E-3"/>
    <n v="2301"/>
    <x v="7"/>
    <m/>
    <s v="2020-01-08"/>
    <s v="270099"/>
    <s v="Kakdwip Krishi Bandr"/>
    <s v="9933502068"/>
  </r>
  <r>
    <s v="RCF Trombay"/>
    <s v="15-15-15"/>
    <s v="WB"/>
    <x v="1"/>
    <s v="Kakdwip"/>
    <s v="User Not Mapped"/>
    <s v="User Not Mapped"/>
    <s v="User Not Mapped"/>
    <n v="1001463"/>
    <s v="USHA KRISHI BHANDER"/>
    <s v="Private Retailer"/>
    <s v="9732809838"/>
    <n v="0.7"/>
    <n v="489"/>
    <x v="6"/>
    <m/>
    <s v="2024-12-24"/>
    <s v="333133"/>
    <s v=" Purusatham Fertilizers"/>
    <s v="9933502068"/>
  </r>
  <r>
    <s v="RCF Thal"/>
    <s v="N.C.Urea(45kg)"/>
    <s v="WB"/>
    <x v="1"/>
    <s v="Kakdwip"/>
    <s v="User Not Mapped"/>
    <s v="User Not Mapped"/>
    <s v="User Not Mapped"/>
    <n v="1518967"/>
    <s v="M/S SUNDARBAN KRISHI BHANDER"/>
    <s v="Private Retailer"/>
    <s v="9382723212"/>
    <n v="3.87"/>
    <n v="44"/>
    <x v="1"/>
    <m/>
    <s v="2026-03-14"/>
    <s v="224553"/>
    <s v="Kirtibas Kapat (A.S.C.)"/>
    <s v="9064538989"/>
  </r>
  <r>
    <s v="RCF Thal"/>
    <s v="N.C.Urea(45kg)"/>
    <s v="WB"/>
    <x v="1"/>
    <s v="Kulpi"/>
    <s v="User Not Mapped"/>
    <s v="User Not Mapped"/>
    <s v="User Not Mapped"/>
    <n v="281109"/>
    <s v="Sukendu Majumdar"/>
    <s v="Private Retailer"/>
    <s v="9734389320"/>
    <n v="1.125"/>
    <n v="49"/>
    <x v="1"/>
    <m/>
    <s v="2026-03-09"/>
    <s v="269946"/>
    <s v="M/s. Janardan Parui"/>
    <s v="6290703360"/>
  </r>
  <r>
    <s v="RCF Trombay"/>
    <s v="15-15-15"/>
    <s v="WB"/>
    <x v="1"/>
    <s v="Kulpi"/>
    <s v="User Not Mapped"/>
    <s v="User Not Mapped"/>
    <s v="User Not Mapped"/>
    <n v="309247"/>
    <s v="M/S. Halder Fertiliser Pro. Satyendranath Halder"/>
    <s v="Private Retailer"/>
    <s v="9733593677"/>
    <n v="0.75"/>
    <n v="1127"/>
    <x v="7"/>
    <m/>
    <s v="2023-03-27"/>
    <s v="281135"/>
    <s v="Md Alauddin Mollick"/>
    <s v="8926710497"/>
  </r>
  <r>
    <s v="RCF Thal"/>
    <s v="N.C.Urea(45kg)"/>
    <s v="WB"/>
    <x v="1"/>
    <s v="Kulpi"/>
    <s v="User Not Mapped"/>
    <s v="User Not Mapped"/>
    <s v="User Not Mapped"/>
    <n v="355161"/>
    <s v="Kartik Ch Mondal"/>
    <s v="Private Retailer"/>
    <s v="9933496740"/>
    <n v="2.25"/>
    <n v="72"/>
    <x v="2"/>
    <m/>
    <s v="2026-02-14"/>
    <s v="224553"/>
    <s v="Kirtibas Kapat (A.S.C.)"/>
    <s v="9064538989"/>
  </r>
  <r>
    <s v="RCF Trombay"/>
    <s v="N.C.Urea(45kg)"/>
    <s v="WB"/>
    <x v="1"/>
    <s v="Kulpi"/>
    <s v="User Not Mapped"/>
    <s v="User Not Mapped"/>
    <s v="User Not Mapped"/>
    <n v="460733"/>
    <s v="M/S Pramanik Fertilisers"/>
    <s v="Private Retailer"/>
    <s v="8016407812"/>
    <n v="0.13500000000000001"/>
    <n v="252"/>
    <x v="3"/>
    <m/>
    <s v="2025-08-18"/>
    <s v="281186"/>
    <s v="M/S Sukumar Das"/>
    <s v="9433009221"/>
  </r>
  <r>
    <s v="RCF Trombay"/>
    <s v="15-15-15"/>
    <s v="WB"/>
    <x v="1"/>
    <s v="Kulpi"/>
    <s v="User Not Mapped"/>
    <s v="User Not Mapped"/>
    <s v="User Not Mapped"/>
    <n v="467483"/>
    <s v="Kartik Chandra Manna"/>
    <s v="Private Retailer"/>
    <s v="9733611412"/>
    <n v="0.25"/>
    <n v="57"/>
    <x v="1"/>
    <m/>
    <s v="2026-03-01"/>
    <s v="224553"/>
    <s v="Kirtibas Kapat (A.S.C.)"/>
    <s v="9064538989"/>
  </r>
  <r>
    <s v="RCF Thal"/>
    <s v="N.C.Urea(45kg)"/>
    <s v="WB"/>
    <x v="1"/>
    <s v="Kulpi"/>
    <s v="User Not Mapped"/>
    <s v="User Not Mapped"/>
    <s v="User Not Mapped"/>
    <n v="482944"/>
    <s v="Sri Bishnu Krishi Bhander"/>
    <s v="Private Retailer"/>
    <s v="8250979923"/>
    <n v="1.575"/>
    <n v="72"/>
    <x v="2"/>
    <m/>
    <s v="2026-02-14"/>
    <s v="224553"/>
    <s v="Kirtibas Kapat (A.S.C.)"/>
    <s v="9064538989"/>
  </r>
  <r>
    <s v="RCF Trombay"/>
    <s v="N.C.Urea(45kg)"/>
    <s v="WB"/>
    <x v="1"/>
    <s v="Kulpi"/>
    <s v="User Not Mapped"/>
    <s v="User Not Mapped"/>
    <s v="User Not Mapped"/>
    <n v="1307614"/>
    <s v="MA A KALI FERTILIZER AND PESTI"/>
    <s v="Private Retailer"/>
    <s v="7001737994"/>
    <n v="4.4999999999999998E-2"/>
    <n v="261"/>
    <x v="3"/>
    <m/>
    <s v="2025-08-09"/>
    <s v="224553"/>
    <s v="Kirtibas Kapat (A.S.C.)"/>
    <s v="9064538989"/>
  </r>
  <r>
    <s v="RCF Thal"/>
    <s v="N.C.Urea(45kg)"/>
    <s v="WB"/>
    <x v="1"/>
    <s v="Kulpi"/>
    <s v="User Not Mapped"/>
    <s v="User Not Mapped"/>
    <s v="User Not Mapped"/>
    <n v="1558788"/>
    <s v="M/S LAXMISRI KRISHI BHANDER"/>
    <s v="Private Retailer"/>
    <s v="9091448177"/>
    <n v="0.63"/>
    <n v="72"/>
    <x v="2"/>
    <m/>
    <s v="2026-02-14"/>
    <s v="224553"/>
    <s v="Kirtibas Kapat (A.S.C.)"/>
    <s v="9064538989"/>
  </r>
  <r>
    <s v="RCF Trombay"/>
    <s v="15-15-15"/>
    <s v="WB"/>
    <x v="1"/>
    <s v="Kulpi"/>
    <s v="User Not Mapped"/>
    <s v="User Not Mapped"/>
    <s v="User Not Mapped"/>
    <n v="1576589"/>
    <s v="M/S HALDER FERTILIZER"/>
    <s v="Private Retailer"/>
    <s v="8972096151"/>
    <n v="0.25"/>
    <n v="83"/>
    <x v="2"/>
    <m/>
    <s v="2026-02-03"/>
    <s v="224553"/>
    <s v="Kirtibas Kapat (A.S.C.)"/>
    <s v="9064538989"/>
  </r>
  <r>
    <s v="RCF Import"/>
    <s v="MOP"/>
    <s v="WB"/>
    <x v="1"/>
    <s v="Kultali"/>
    <s v="User Not Mapped"/>
    <s v="User Not Mapped"/>
    <s v="User Not Mapped"/>
    <n v="308783"/>
    <s v="Joydev Fertilizer"/>
    <s v="Private Retailer"/>
    <s v="8001805472"/>
    <n v="0.25"/>
    <n v="56"/>
    <x v="1"/>
    <m/>
    <s v="2026-03-02"/>
    <s v="224553"/>
    <s v="Kirtibas Kapat (A.S.C.)"/>
    <s v="9064538989"/>
  </r>
  <r>
    <s v="RCF Trombay"/>
    <s v="N.C.Urea(45kg)"/>
    <s v="WB"/>
    <x v="1"/>
    <s v="Kultali"/>
    <s v="User Not Mapped"/>
    <s v="User Not Mapped"/>
    <s v="User Not Mapped"/>
    <n v="342049"/>
    <s v="Narendranath Laskar"/>
    <s v="Private Retailer"/>
    <s v="8967157587"/>
    <n v="1.26"/>
    <n v="59"/>
    <x v="1"/>
    <m/>
    <s v="2026-02-27"/>
    <s v="280736"/>
    <s v="M/S TAPAN KUMAR KARMAKAR"/>
    <s v="7584080473"/>
  </r>
  <r>
    <s v="RCF Trombay"/>
    <s v="15-15-15"/>
    <s v="WB"/>
    <x v="1"/>
    <s v="Kultali"/>
    <s v="User Not Mapped"/>
    <s v="User Not Mapped"/>
    <s v="User Not Mapped"/>
    <n v="456132"/>
    <s v="M/S ASMA TARA FERTILIZER"/>
    <s v="Private Retailer"/>
    <s v="9933389905"/>
    <n v="0.5"/>
    <n v="697"/>
    <x v="7"/>
    <m/>
    <s v="2024-05-30"/>
    <s v="281135"/>
    <s v="Md Alauddin Mollick"/>
    <s v="8926710497"/>
  </r>
  <r>
    <s v="RCF Thal"/>
    <s v="N.C.Urea(45kg)"/>
    <s v="WB"/>
    <x v="1"/>
    <s v="Kultali"/>
    <s v="User Not Mapped"/>
    <s v="User Not Mapped"/>
    <s v="User Not Mapped"/>
    <n v="470952"/>
    <s v="PURKAIT FERTILIZER"/>
    <s v="Private Retailer"/>
    <s v="8906428470"/>
    <n v="9.36"/>
    <n v="48"/>
    <x v="1"/>
    <m/>
    <s v="2026-03-10"/>
    <s v="269946"/>
    <s v="M/s. Janardan Parui"/>
    <s v="6290703360"/>
  </r>
  <r>
    <s v="RCF Thal"/>
    <s v="N.C.Urea(45kg)"/>
    <s v="WB"/>
    <x v="1"/>
    <s v="Kultali"/>
    <s v="User Not Mapped"/>
    <s v="User Not Mapped"/>
    <s v="User Not Mapped"/>
    <n v="484026"/>
    <s v="Md. Sirajul Molla"/>
    <s v="Private Retailer"/>
    <s v="8101280516"/>
    <n v="6.48"/>
    <n v="133"/>
    <x v="0"/>
    <m/>
    <s v="2025-12-15"/>
    <s v="281135"/>
    <s v="Md Alauddin Mollick"/>
    <s v="8926710497"/>
  </r>
  <r>
    <s v="RCF Trombay"/>
    <s v="N.C.Urea(45kg)"/>
    <s v="WB"/>
    <x v="1"/>
    <s v="Kultali"/>
    <s v="User Not Mapped"/>
    <s v="User Not Mapped"/>
    <s v="User Not Mapped"/>
    <n v="484026"/>
    <s v="Md. Sirajul Molla"/>
    <s v="Private Retailer"/>
    <s v="8101280516"/>
    <n v="9.6300000000000008"/>
    <n v="102"/>
    <x v="5"/>
    <m/>
    <s v="2026-01-15"/>
    <s v="281135"/>
    <s v="Md Alauddin Mollick"/>
    <s v="8926710497"/>
  </r>
  <r>
    <s v="RCF Trombay"/>
    <s v="N.C.Urea(45kg)"/>
    <s v="WB"/>
    <x v="1"/>
    <s v="Kultali"/>
    <s v="User Not Mapped"/>
    <s v="User Not Mapped"/>
    <s v="User Not Mapped"/>
    <n v="548622"/>
    <s v="Mondal Fertiliser"/>
    <s v="Private Retailer"/>
    <s v="8346985355"/>
    <n v="0.72"/>
    <n v="948"/>
    <x v="7"/>
    <m/>
    <s v="2023-09-22"/>
    <s v="775216"/>
    <s v="MA NAMITA ENTERPRISE"/>
    <s v="7699295315"/>
  </r>
  <r>
    <s v="RCF Thal"/>
    <s v="N.C.Urea(45kg)"/>
    <s v="WB"/>
    <x v="1"/>
    <s v="Kultali"/>
    <s v="User Not Mapped"/>
    <s v="User Not Mapped"/>
    <s v="User Not Mapped"/>
    <n v="668734"/>
    <s v="MAA NAMITA ENTERPRISE"/>
    <s v="Private Retailer"/>
    <s v="7699295315"/>
    <n v="24.614999999999998"/>
    <n v="47"/>
    <x v="1"/>
    <m/>
    <s v="2026-03-11"/>
    <s v="290840"/>
    <s v="N C Das &amp; Company"/>
    <s v="7365868045"/>
  </r>
  <r>
    <s v="RCF Trombay"/>
    <s v="N.C.Urea(45kg)"/>
    <s v="WB"/>
    <x v="1"/>
    <s v="Kultali"/>
    <s v="User Not Mapped"/>
    <s v="User Not Mapped"/>
    <s v="User Not Mapped"/>
    <n v="668734"/>
    <s v="MAA NAMITA ENTERPRISE"/>
    <s v="Private Retailer"/>
    <s v="7699295315"/>
    <n v="29.385000000000002"/>
    <n v="47"/>
    <x v="1"/>
    <m/>
    <s v="2026-03-11"/>
    <s v="290840"/>
    <s v="N C Das &amp; Company"/>
    <s v="7365868045"/>
  </r>
  <r>
    <s v="RCF Thal"/>
    <s v="N.C.Urea(45kg)"/>
    <s v="WB"/>
    <x v="1"/>
    <s v="Kultali"/>
    <s v="User Not Mapped"/>
    <s v="User Not Mapped"/>
    <s v="User Not Mapped"/>
    <n v="730799"/>
    <s v="SUMITRA FERTILIZER"/>
    <s v="Private Retailer"/>
    <s v="9641490482"/>
    <n v="19.035"/>
    <n v="44"/>
    <x v="1"/>
    <m/>
    <s v="2026-03-14"/>
    <s v="224553"/>
    <s v="Kirtibas Kapat (A.S.C.)"/>
    <s v="9064538989"/>
  </r>
  <r>
    <s v="RCF Thal"/>
    <s v="N.C.Urea(45kg)"/>
    <s v="WB"/>
    <x v="1"/>
    <s v="Kultali"/>
    <s v="User Not Mapped"/>
    <s v="User Not Mapped"/>
    <s v="User Not Mapped"/>
    <n v="758700"/>
    <s v="M/S. MAA KALI TARA FERTILIZERS"/>
    <s v="Private Retailer"/>
    <s v="9735695994"/>
    <n v="1.77"/>
    <n v="434"/>
    <x v="6"/>
    <m/>
    <s v="2025-02-17"/>
    <s v="224553"/>
    <s v="Kirtibas Kapat (A.S.C.)"/>
    <s v="9064538989"/>
  </r>
  <r>
    <s v="RCF Thal"/>
    <s v="N.C.Urea(45kg)"/>
    <s v="WB"/>
    <x v="1"/>
    <s v="Kultali"/>
    <s v="User Not Mapped"/>
    <s v="User Not Mapped"/>
    <s v="User Not Mapped"/>
    <n v="1086121"/>
    <s v="MATRIFERTILIZER"/>
    <s v="Private Retailer"/>
    <s v="8967540797"/>
    <n v="7.38"/>
    <n v="1164"/>
    <x v="7"/>
    <m/>
    <s v="2023-02-18"/>
    <s v="281181"/>
    <s v="R. B. Agro Enterprise"/>
    <s v="9903110185"/>
  </r>
  <r>
    <s v="RCF Trombay"/>
    <s v="15-15-15"/>
    <s v="WB"/>
    <x v="1"/>
    <s v="Kultali"/>
    <s v="User Not Mapped"/>
    <s v="User Not Mapped"/>
    <s v="User Not Mapped"/>
    <n v="1286066"/>
    <s v="M/S. MAA MALINA FERTILIZER"/>
    <s v="Private Retailer"/>
    <s v="8617540412"/>
    <n v="14.3"/>
    <n v="95"/>
    <x v="5"/>
    <m/>
    <s v="2026-01-22"/>
    <s v="1208896"/>
    <s v="SUBHA FERTILIZER"/>
    <s v="9830263072"/>
  </r>
  <r>
    <s v="RCF Import"/>
    <s v="MOP"/>
    <s v="WB"/>
    <x v="1"/>
    <s v="Kultali"/>
    <s v="User Not Mapped"/>
    <s v="User Not Mapped"/>
    <s v="User Not Mapped"/>
    <n v="1292379"/>
    <s v="M/S. RADHA KRISHNA KRISHI BHAN"/>
    <s v="Private Retailer"/>
    <s v="7407813204"/>
    <n v="2"/>
    <n v="66"/>
    <x v="2"/>
    <m/>
    <s v="2026-02-20"/>
    <s v="280736"/>
    <s v="M/S TAPAN KUMAR KARMAKAR"/>
    <s v="7584080473"/>
  </r>
  <r>
    <s v="RCF Import"/>
    <s v="MOP"/>
    <s v="WB"/>
    <x v="1"/>
    <s v="Kultali"/>
    <s v="User Not Mapped"/>
    <s v="User Not Mapped"/>
    <s v="User Not Mapped"/>
    <n v="1409258"/>
    <s v="M/S SARDAR FERTILISER"/>
    <s v="Private Retailer"/>
    <s v="9874689104"/>
    <n v="1.95"/>
    <n v="66"/>
    <x v="2"/>
    <m/>
    <s v="2026-02-20"/>
    <s v="280736"/>
    <s v="M/S TAPAN KUMAR KARMAKAR"/>
    <s v="7584080473"/>
  </r>
  <r>
    <s v="RCF Import"/>
    <s v="MOP"/>
    <s v="WB"/>
    <x v="1"/>
    <s v="Kultali"/>
    <s v="User Not Mapped"/>
    <s v="User Not Mapped"/>
    <s v="User Not Mapped"/>
    <n v="1574308"/>
    <s v="M/S MAA RADHARANI KRISHI BHAND"/>
    <s v="Private Retailer"/>
    <s v="8967616948"/>
    <n v="0.65"/>
    <n v="66"/>
    <x v="2"/>
    <m/>
    <s v="2026-02-20"/>
    <s v="280736"/>
    <s v="M/S TAPAN KUMAR KARMAKAR"/>
    <s v="7584080473"/>
  </r>
  <r>
    <s v="RCF Thal"/>
    <s v="N.C.Urea(45kg)"/>
    <s v="WB"/>
    <x v="1"/>
    <s v="Magrahat - I"/>
    <s v="User Not Mapped"/>
    <s v="User Not Mapped"/>
    <s v="User Not Mapped"/>
    <n v="309269"/>
    <s v="M/s. Manoda Fertilizer"/>
    <s v="Private Retailer"/>
    <s v="9830280488"/>
    <n v="2.61"/>
    <n v="40"/>
    <x v="1"/>
    <m/>
    <s v="2026-03-18"/>
    <s v="281125"/>
    <s v="Manoda Fertilisers            "/>
    <s v="9830280488"/>
  </r>
  <r>
    <s v="RCF Trombay"/>
    <s v="N.C.Urea(45kg)"/>
    <s v="WB"/>
    <x v="1"/>
    <s v="Magrahat - I"/>
    <s v="User Not Mapped"/>
    <s v="User Not Mapped"/>
    <s v="User Not Mapped"/>
    <n v="341900"/>
    <s v="Md.Motiar Rahman Sardar"/>
    <s v="Private Retailer"/>
    <s v="9735495828"/>
    <n v="0.36"/>
    <n v="115"/>
    <x v="5"/>
    <m/>
    <s v="2026-01-02"/>
    <s v="269946"/>
    <s v="M/s. Janardan Parui"/>
    <s v="6290703360"/>
  </r>
  <r>
    <s v="RCF Import"/>
    <s v="Imp 10-26-26"/>
    <s v="WB"/>
    <x v="1"/>
    <s v="Magrahat - I"/>
    <s v="User Not Mapped"/>
    <s v="User Not Mapped"/>
    <s v="User Not Mapped"/>
    <n v="530314"/>
    <s v="Md.Sahabuddin Paik"/>
    <s v="Private Retailer"/>
    <s v="9734114058"/>
    <n v="5.5"/>
    <n v="27"/>
    <x v="4"/>
    <m/>
    <s v="2026-03-31"/>
    <s v="269946"/>
    <s v="M/s. Janardan Parui"/>
    <s v="6290703360"/>
  </r>
  <r>
    <s v="RCF Trombay"/>
    <s v="N.C.Urea(45kg)"/>
    <s v="WB"/>
    <x v="1"/>
    <s v="Magrahat - I"/>
    <s v="User Not Mapped"/>
    <s v="User Not Mapped"/>
    <s v="User Not Mapped"/>
    <n v="530314"/>
    <s v="Md.Sahabuddin Paik"/>
    <s v="Private Retailer"/>
    <s v="9734114058"/>
    <n v="10.98"/>
    <n v="75"/>
    <x v="2"/>
    <m/>
    <s v="2026-02-11"/>
    <s v="269946"/>
    <s v="M/s. Janardan Parui"/>
    <s v="6290703360"/>
  </r>
  <r>
    <s v="RCF Trombay"/>
    <s v="N.C.Urea(45kg)"/>
    <s v="WB"/>
    <x v="1"/>
    <s v="Magrahat - I"/>
    <s v="User Not Mapped"/>
    <s v="User Not Mapped"/>
    <s v="User Not Mapped"/>
    <n v="530314"/>
    <s v="Md.Sahabuddin Paik"/>
    <s v="Private Retailer"/>
    <s v="9734114058"/>
    <n v="5.04"/>
    <n v="100"/>
    <x v="5"/>
    <m/>
    <s v="2026-01-17"/>
    <s v="269946"/>
    <s v="M/s. Janardan Parui"/>
    <s v="6290703360"/>
  </r>
  <r>
    <s v="RCF Import"/>
    <s v="MOP"/>
    <s v="WB"/>
    <x v="1"/>
    <s v="Magrahat - II"/>
    <s v="User Not Mapped"/>
    <s v="User Not Mapped"/>
    <s v="User Not Mapped"/>
    <n v="294895"/>
    <s v="M/S.Md. Allauddin Mollick"/>
    <s v="Private Retailer"/>
    <s v="8926710497"/>
    <n v="2.5"/>
    <n v="56"/>
    <x v="1"/>
    <m/>
    <s v="2026-03-02"/>
    <s v="281135"/>
    <s v="Md Alauddin Mollick"/>
    <s v="8926710497"/>
  </r>
  <r>
    <s v="RCF Import"/>
    <s v="MOP"/>
    <s v="WB"/>
    <x v="1"/>
    <s v="Magrahat - II"/>
    <s v="User Not Mapped"/>
    <s v="User Not Mapped"/>
    <s v="User Not Mapped"/>
    <n v="294895"/>
    <s v="M/S.Md. Allauddin Mollick"/>
    <s v="Private Retailer"/>
    <s v="8926710497"/>
    <n v="2"/>
    <n v="54"/>
    <x v="1"/>
    <m/>
    <s v="2026-03-04"/>
    <s v="281135"/>
    <s v="Md Alauddin Mollick"/>
    <s v="8926710497"/>
  </r>
  <r>
    <s v="RCF Thal"/>
    <s v="N.C.Urea(45kg)"/>
    <s v="WB"/>
    <x v="1"/>
    <s v="Magrahat - II"/>
    <s v="User Not Mapped"/>
    <s v="User Not Mapped"/>
    <s v="User Not Mapped"/>
    <n v="341737"/>
    <s v="Loca Fertilizer"/>
    <s v="Private Retailer"/>
    <s v="9153236923"/>
    <n v="0.04"/>
    <n v="2439"/>
    <x v="7"/>
    <m/>
    <s v="2019-08-23"/>
    <s v="342385"/>
    <s v="Green Traders"/>
    <s v="9732810824"/>
  </r>
  <r>
    <s v="RCF Trombay"/>
    <s v="15-15-15"/>
    <s v="WB"/>
    <x v="1"/>
    <s v="Magrahat - II"/>
    <s v="User Not Mapped"/>
    <s v="User Not Mapped"/>
    <s v="User Not Mapped"/>
    <n v="341737"/>
    <s v="Loca Fertilizer"/>
    <s v="Private Retailer"/>
    <s v="9153236923"/>
    <n v="8.9999999999999993E-3"/>
    <n v="1878"/>
    <x v="7"/>
    <m/>
    <s v="2021-03-06"/>
    <s v="342385"/>
    <s v="Green Traders"/>
    <s v="9732810824"/>
  </r>
  <r>
    <s v="RCF Thal"/>
    <s v="N.C.Urea(45kg)"/>
    <s v="WB"/>
    <x v="1"/>
    <s v="Magrahat - II"/>
    <s v="User Not Mapped"/>
    <s v="User Not Mapped"/>
    <s v="User Not Mapped"/>
    <n v="355885"/>
    <s v="Pankajpurakait"/>
    <s v="Private Retailer"/>
    <s v="9733230795"/>
    <n v="6.03"/>
    <n v="369"/>
    <x v="6"/>
    <m/>
    <s v="2025-04-23"/>
    <s v="290840"/>
    <s v="N C Das &amp; Company"/>
    <s v="7365868045"/>
  </r>
  <r>
    <s v="RCF Trombay"/>
    <s v="N.C.Urea(45kg)"/>
    <s v="WB"/>
    <x v="1"/>
    <s v="Magrahat - II"/>
    <s v="User Not Mapped"/>
    <s v="User Not Mapped"/>
    <s v="User Not Mapped"/>
    <n v="355885"/>
    <s v="Pankajpurakait"/>
    <s v="Private Retailer"/>
    <s v="9733230795"/>
    <n v="5.49"/>
    <n v="95"/>
    <x v="5"/>
    <m/>
    <s v="2026-01-22"/>
    <s v="290840"/>
    <s v="N C Das &amp; Company"/>
    <s v="7365868045"/>
  </r>
  <r>
    <s v="RCF Trombay"/>
    <s v="15-15-15"/>
    <s v="WB"/>
    <x v="1"/>
    <s v="Magrahat - II"/>
    <s v="User Not Mapped"/>
    <s v="User Not Mapped"/>
    <s v="User Not Mapped"/>
    <n v="355885"/>
    <s v="Pankajpurakait"/>
    <s v="Private Retailer"/>
    <s v="9733230795"/>
    <n v="2.4500000000000002"/>
    <n v="95"/>
    <x v="5"/>
    <m/>
    <s v="2026-01-22"/>
    <s v="290840"/>
    <s v="N C Das &amp; Company"/>
    <s v="7365868045"/>
  </r>
  <r>
    <s v="RCF Trombay"/>
    <s v="N.C.Urea(45kg)"/>
    <s v="WB"/>
    <x v="1"/>
    <s v="Magrahat - II"/>
    <s v="User Not Mapped"/>
    <s v="User Not Mapped"/>
    <s v="User Not Mapped"/>
    <n v="355885"/>
    <s v="Pankajpurakait"/>
    <s v="Private Retailer"/>
    <s v="9733230795"/>
    <n v="5.5350000000000001"/>
    <n v="376"/>
    <x v="6"/>
    <m/>
    <s v="2025-04-16"/>
    <s v="290840"/>
    <s v="N C Das &amp; Company"/>
    <s v="7365868045"/>
  </r>
  <r>
    <s v="RCF Import"/>
    <s v="MOP"/>
    <s v="WB"/>
    <x v="1"/>
    <s v="Magrahat - II"/>
    <s v="User Not Mapped"/>
    <s v="User Not Mapped"/>
    <s v="User Not Mapped"/>
    <n v="385492"/>
    <s v="Abdus Chattar Dhali"/>
    <s v="Private Retailer"/>
    <s v="9732926919"/>
    <n v="0.05"/>
    <n v="62"/>
    <x v="2"/>
    <m/>
    <s v="2026-02-24"/>
    <s v="281135"/>
    <s v="Md Alauddin Mollick"/>
    <s v="8926710497"/>
  </r>
  <r>
    <s v="RCF Trombay"/>
    <s v="15-15-15"/>
    <s v="WB"/>
    <x v="1"/>
    <s v="Magrahat - II"/>
    <s v="User Not Mapped"/>
    <s v="User Not Mapped"/>
    <s v="User Not Mapped"/>
    <n v="456138"/>
    <s v="Md Selim Zafar Laskar"/>
    <s v="Private Retailer"/>
    <s v="9732810877"/>
    <n v="0.25"/>
    <n v="58"/>
    <x v="1"/>
    <m/>
    <s v="2026-02-28"/>
    <s v="269946"/>
    <s v="M/s. Janardan Parui"/>
    <s v="6290703360"/>
  </r>
  <r>
    <s v="RCF Trombay"/>
    <s v="15-15-15"/>
    <s v="WB"/>
    <x v="1"/>
    <s v="Magrahat - II"/>
    <s v="User Not Mapped"/>
    <s v="User Not Mapped"/>
    <s v="User Not Mapped"/>
    <n v="456138"/>
    <s v="Md Selim Zafar Laskar"/>
    <s v="Private Retailer"/>
    <s v="9732810877"/>
    <n v="1"/>
    <n v="51"/>
    <x v="1"/>
    <m/>
    <s v="2026-03-07"/>
    <s v="269946"/>
    <s v="M/s. Janardan Parui"/>
    <s v="6290703360"/>
  </r>
  <r>
    <s v="RCF Trombay"/>
    <s v="15-15-15"/>
    <s v="WB"/>
    <x v="1"/>
    <s v="Magrahat - II"/>
    <s v="User Not Mapped"/>
    <s v="User Not Mapped"/>
    <s v="User Not Mapped"/>
    <n v="456138"/>
    <s v="Md Selim Zafar Laskar"/>
    <s v="Private Retailer"/>
    <s v="9732810877"/>
    <n v="0.5"/>
    <n v="27"/>
    <x v="4"/>
    <m/>
    <s v="2026-03-31"/>
    <s v="269946"/>
    <s v="M/s. Janardan Parui"/>
    <s v="6290703360"/>
  </r>
  <r>
    <s v="RCF Trombay"/>
    <s v="N.C.Urea(45kg)"/>
    <s v="WB"/>
    <x v="1"/>
    <s v="Magrahat - II"/>
    <s v="User Not Mapped"/>
    <s v="User Not Mapped"/>
    <s v="User Not Mapped"/>
    <n v="459442"/>
    <s v="Sri Krishna Krishi Bhandar"/>
    <s v="Private Retailer"/>
    <s v="9836893998"/>
    <n v="0.23"/>
    <n v="489"/>
    <x v="6"/>
    <m/>
    <s v="2024-12-24"/>
    <s v="269533"/>
    <s v="Hasya Badhan Makhal"/>
    <s v="9674092010"/>
  </r>
  <r>
    <s v="RCF Import"/>
    <s v="Imp 10-26-26"/>
    <s v="WB"/>
    <x v="1"/>
    <s v="Magrahat - II"/>
    <s v="User Not Mapped"/>
    <s v="User Not Mapped"/>
    <s v="User Not Mapped"/>
    <n v="461336"/>
    <s v="Gazi Fertilisers"/>
    <s v="Private Retailer"/>
    <s v="9732450051"/>
    <n v="0.15"/>
    <n v="21"/>
    <x v="4"/>
    <m/>
    <s v="2026-04-06"/>
    <s v="281135"/>
    <s v="Md Alauddin Mollick"/>
    <s v="8926710497"/>
  </r>
  <r>
    <s v="RCF Import"/>
    <s v="Imp 10-26-26"/>
    <s v="WB"/>
    <x v="1"/>
    <s v="Magrahat - II"/>
    <s v="User Not Mapped"/>
    <s v="User Not Mapped"/>
    <s v="User Not Mapped"/>
    <n v="461336"/>
    <s v="Gazi Fertilisers"/>
    <s v="Private Retailer"/>
    <s v="9732450051"/>
    <n v="0.15"/>
    <n v="51"/>
    <x v="1"/>
    <m/>
    <s v="2026-03-07"/>
    <s v="281135"/>
    <s v="Md Alauddin Mollick"/>
    <s v="8926710497"/>
  </r>
  <r>
    <s v="RCF Import"/>
    <s v="Imp 10-26-26"/>
    <s v="WB"/>
    <x v="1"/>
    <s v="Magrahat - II"/>
    <s v="User Not Mapped"/>
    <s v="User Not Mapped"/>
    <s v="User Not Mapped"/>
    <n v="461336"/>
    <s v="Gazi Fertilisers"/>
    <s v="Private Retailer"/>
    <s v="9732450051"/>
    <n v="0.15"/>
    <n v="30"/>
    <x v="4"/>
    <m/>
    <s v="2026-03-28"/>
    <s v="281135"/>
    <s v="Md Alauddin Mollick"/>
    <s v="8926710497"/>
  </r>
  <r>
    <s v="RCF Trombay"/>
    <s v="N.C.Urea(45kg)"/>
    <s v="WB"/>
    <x v="1"/>
    <s v="Magrahat - II"/>
    <s v="User Not Mapped"/>
    <s v="User Not Mapped"/>
    <s v="User Not Mapped"/>
    <n v="461360"/>
    <s v="Mojakker Gazi"/>
    <s v="Private Retailer"/>
    <s v="8641060289"/>
    <n v="0.76500000000000001"/>
    <n v="68"/>
    <x v="2"/>
    <m/>
    <s v="2026-02-18"/>
    <s v="281135"/>
    <s v="Md Alauddin Mollick"/>
    <s v="8926710497"/>
  </r>
  <r>
    <s v="RCF Import"/>
    <s v="Imp 10-26-26"/>
    <s v="WB"/>
    <x v="1"/>
    <s v="Magrahat - II"/>
    <s v="User Not Mapped"/>
    <s v="User Not Mapped"/>
    <s v="User Not Mapped"/>
    <n v="461366"/>
    <s v="Abdul Mallek Peyada"/>
    <s v="Private Retailer"/>
    <s v="9832586827"/>
    <n v="4.4999999999999998E-2"/>
    <n v="56"/>
    <x v="1"/>
    <m/>
    <s v="2026-03-02"/>
    <s v="281135"/>
    <s v="Md Alauddin Mollick"/>
    <s v="8926710497"/>
  </r>
  <r>
    <s v="RCF Import"/>
    <s v="MOP"/>
    <s v="WB"/>
    <x v="1"/>
    <s v="Magrahat - II"/>
    <s v="User Not Mapped"/>
    <s v="User Not Mapped"/>
    <s v="User Not Mapped"/>
    <n v="461376"/>
    <s v="Gobinda Naskar"/>
    <s v="Private Retailer"/>
    <s v="9735688481"/>
    <n v="1"/>
    <n v="62"/>
    <x v="2"/>
    <m/>
    <s v="2026-02-24"/>
    <s v="281135"/>
    <s v="Md Alauddin Mollick"/>
    <s v="8926710497"/>
  </r>
  <r>
    <s v="RCF Import"/>
    <s v="Imp 10-26-26"/>
    <s v="WB"/>
    <x v="1"/>
    <s v="Magrahat - II"/>
    <s v="User Not Mapped"/>
    <s v="User Not Mapped"/>
    <s v="User Not Mapped"/>
    <n v="461376"/>
    <s v="Gobinda Naskar"/>
    <s v="Private Retailer"/>
    <s v="9735688481"/>
    <n v="0.4"/>
    <n v="27"/>
    <x v="4"/>
    <m/>
    <s v="2026-03-31"/>
    <s v="281135"/>
    <s v="Md Alauddin Mollick"/>
    <s v="8926710497"/>
  </r>
  <r>
    <s v="RCF Import"/>
    <s v="Imp 10-26-26"/>
    <s v="WB"/>
    <x v="1"/>
    <s v="Magrahat - II"/>
    <s v="User Not Mapped"/>
    <s v="User Not Mapped"/>
    <s v="User Not Mapped"/>
    <n v="461410"/>
    <s v="Swagata Fertiliser"/>
    <s v="Private Retailer"/>
    <s v="9933622027"/>
    <n v="0.5"/>
    <n v="51"/>
    <x v="1"/>
    <m/>
    <s v="2026-03-07"/>
    <s v="281135"/>
    <s v="Md Alauddin Mollick"/>
    <s v="8926710497"/>
  </r>
  <r>
    <s v="RCF Thal"/>
    <s v="N.C.Urea(45kg)"/>
    <s v="WB"/>
    <x v="1"/>
    <s v="Magrahat - II"/>
    <s v="User Not Mapped"/>
    <s v="User Not Mapped"/>
    <s v="User Not Mapped"/>
    <n v="483174"/>
    <s v="Sahadat Mollick"/>
    <s v="Private Retailer"/>
    <s v="8697675867"/>
    <n v="0.22500000000000001"/>
    <n v="426"/>
    <x v="6"/>
    <m/>
    <s v="2025-02-25"/>
    <s v="269533"/>
    <s v="Hasya Badhan Makhal"/>
    <s v="9674092010"/>
  </r>
  <r>
    <s v="RCF Thal"/>
    <s v="N.C.Urea(45kg)"/>
    <s v="WB"/>
    <x v="1"/>
    <s v="Magrahat - II"/>
    <s v="User Not Mapped"/>
    <s v="User Not Mapped"/>
    <s v="User Not Mapped"/>
    <n v="498986"/>
    <s v="Swapan Sardar"/>
    <s v="Private Retailer"/>
    <s v="8016029542"/>
    <n v="0.36"/>
    <n v="170"/>
    <x v="0"/>
    <m/>
    <s v="2025-11-08"/>
    <s v="281135"/>
    <s v="Md Alauddin Mollick"/>
    <s v="8926710497"/>
  </r>
  <r>
    <s v="RCF Thal"/>
    <s v="N.C.Urea(45kg)"/>
    <s v="WB"/>
    <x v="1"/>
    <s v="Magrahat - II"/>
    <s v="User Not Mapped"/>
    <s v="User Not Mapped"/>
    <s v="User Not Mapped"/>
    <n v="503367"/>
    <s v="Kalas Krishi Ghar"/>
    <s v="Private Retailer"/>
    <s v="9775231660"/>
    <n v="5.49"/>
    <n v="76"/>
    <x v="2"/>
    <m/>
    <s v="2026-02-10"/>
    <s v="269533"/>
    <s v="Hasya Badhan Makhal"/>
    <s v="9674092010"/>
  </r>
  <r>
    <s v="RCF Import"/>
    <s v="Imp 10-26-26"/>
    <s v="WB"/>
    <x v="1"/>
    <s v="Magrahat - II"/>
    <s v="User Not Mapped"/>
    <s v="User Not Mapped"/>
    <s v="User Not Mapped"/>
    <n v="503367"/>
    <s v="Kalas Krishi Ghar"/>
    <s v="Private Retailer"/>
    <s v="9775231660"/>
    <n v="1"/>
    <n v="53"/>
    <x v="1"/>
    <m/>
    <s v="2026-03-05"/>
    <s v="269533"/>
    <s v="Hasya Badhan Makhal"/>
    <s v="9674092010"/>
  </r>
  <r>
    <s v="RCF Thal"/>
    <s v="N.C.Urea(45kg)"/>
    <s v="WB"/>
    <x v="1"/>
    <s v="Magrahat - II"/>
    <s v="User Not Mapped"/>
    <s v="User Not Mapped"/>
    <s v="User Not Mapped"/>
    <n v="595026"/>
    <s v="MANSURA MOLLA"/>
    <s v="Private Retailer"/>
    <s v="9609574250"/>
    <n v="1.26"/>
    <n v="175"/>
    <x v="0"/>
    <m/>
    <s v="2025-11-03"/>
    <s v="224553"/>
    <s v="Kirtibas Kapat (A.S.C.)"/>
    <s v="9064538989"/>
  </r>
  <r>
    <s v="RCF Trombay"/>
    <s v="N.C.Urea(45kg)"/>
    <s v="WB"/>
    <x v="1"/>
    <s v="Magrahat - II"/>
    <s v="User Not Mapped"/>
    <s v="User Not Mapped"/>
    <s v="User Not Mapped"/>
    <n v="595026"/>
    <s v="MANSURA MOLLA"/>
    <s v="Private Retailer"/>
    <s v="9609574250"/>
    <n v="4.41"/>
    <n v="133"/>
    <x v="0"/>
    <m/>
    <s v="2025-12-15"/>
    <s v="290840"/>
    <s v="N C Das &amp; Company"/>
    <s v="7365868045"/>
  </r>
  <r>
    <s v="RCF Import"/>
    <s v="Imp 10-26-26"/>
    <s v="WB"/>
    <x v="1"/>
    <s v="Magrahat - II"/>
    <s v="User Not Mapped"/>
    <s v="User Not Mapped"/>
    <s v="User Not Mapped"/>
    <n v="595026"/>
    <s v="MANSURA MOLLA"/>
    <s v="Private Retailer"/>
    <s v="9609574250"/>
    <n v="9.75"/>
    <n v="51"/>
    <x v="1"/>
    <m/>
    <s v="2026-03-07"/>
    <s v="290840"/>
    <s v="N C Das &amp; Company"/>
    <s v="7365868045"/>
  </r>
  <r>
    <s v="RCF Trombay"/>
    <s v="15-15-15"/>
    <s v="WB"/>
    <x v="1"/>
    <s v="Magrahat - II"/>
    <s v="User Not Mapped"/>
    <s v="User Not Mapped"/>
    <s v="User Not Mapped"/>
    <n v="595026"/>
    <s v="MANSURA MOLLA"/>
    <s v="Private Retailer"/>
    <s v="9609574250"/>
    <n v="4.75"/>
    <n v="53"/>
    <x v="1"/>
    <m/>
    <s v="2026-03-05"/>
    <s v="290840"/>
    <s v="N C Das &amp; Company"/>
    <s v="7365868045"/>
  </r>
  <r>
    <s v="RCF Trombay"/>
    <s v="15-15-15"/>
    <s v="WB"/>
    <x v="1"/>
    <s v="Magrahat - II"/>
    <s v="User Not Mapped"/>
    <s v="User Not Mapped"/>
    <s v="User Not Mapped"/>
    <n v="1105225"/>
    <s v="MD AYAZ RAHAMAN MOLLICK"/>
    <s v="Private Retailer"/>
    <s v="9153762805"/>
    <n v="1.2"/>
    <n v="84"/>
    <x v="2"/>
    <m/>
    <s v="2026-02-02"/>
    <s v="281135"/>
    <s v="Md Alauddin Mollick"/>
    <s v="8926710497"/>
  </r>
  <r>
    <s v="RCF Import"/>
    <s v="Imp 10-26-26"/>
    <s v="WB"/>
    <x v="1"/>
    <s v="Mandirbazar"/>
    <s v="User Not Mapped"/>
    <s v="User Not Mapped"/>
    <s v="User Not Mapped"/>
    <n v="331259"/>
    <s v="Gopal Fertiliser"/>
    <s v="Private Retailer"/>
    <s v="9735487590"/>
    <n v="0.5"/>
    <n v="63"/>
    <x v="2"/>
    <m/>
    <s v="2026-02-23"/>
    <s v="224553"/>
    <s v="Kirtibas Kapat (A.S.C.)"/>
    <s v="9064538989"/>
  </r>
  <r>
    <s v="RCF Thal"/>
    <s v="N.C.Urea(45kg)"/>
    <s v="WB"/>
    <x v="1"/>
    <s v="Mandirbazar"/>
    <s v="User Not Mapped"/>
    <s v="User Not Mapped"/>
    <s v="User Not Mapped"/>
    <n v="331259"/>
    <s v="Gopal Fertiliser"/>
    <s v="Private Retailer"/>
    <s v="9735487590"/>
    <n v="3.2850000000000001"/>
    <n v="72"/>
    <x v="2"/>
    <m/>
    <s v="2026-02-14"/>
    <s v="224553"/>
    <s v="Kirtibas Kapat (A.S.C.)"/>
    <s v="9064538989"/>
  </r>
  <r>
    <s v="RCF Import"/>
    <s v="Imp 10-26-26"/>
    <s v="WB"/>
    <x v="1"/>
    <s v="Mandirbazar"/>
    <s v="User Not Mapped"/>
    <s v="User Not Mapped"/>
    <s v="User Not Mapped"/>
    <n v="341228"/>
    <s v="Das Fertilizers"/>
    <s v="Private Retailer"/>
    <s v="9126473688"/>
    <n v="0.75"/>
    <n v="63"/>
    <x v="2"/>
    <m/>
    <s v="2026-02-23"/>
    <s v="224553"/>
    <s v="Kirtibas Kapat (A.S.C.)"/>
    <s v="9064538989"/>
  </r>
  <r>
    <s v="RCF Trombay"/>
    <s v="N.C.Urea(45kg)"/>
    <s v="WB"/>
    <x v="1"/>
    <s v="Mandirbazar"/>
    <s v="User Not Mapped"/>
    <s v="User Not Mapped"/>
    <s v="User Not Mapped"/>
    <n v="341228"/>
    <s v="Das Fertilizers"/>
    <s v="Private Retailer"/>
    <s v="9126473688"/>
    <n v="1.35"/>
    <n v="72"/>
    <x v="2"/>
    <m/>
    <s v="2026-02-14"/>
    <s v="224553"/>
    <s v="Kirtibas Kapat (A.S.C.)"/>
    <s v="9064538989"/>
  </r>
  <r>
    <s v="RCF Trombay"/>
    <s v="15-15-15"/>
    <s v="WB"/>
    <x v="1"/>
    <s v="Mandirbazar"/>
    <s v="User Not Mapped"/>
    <s v="User Not Mapped"/>
    <s v="User Not Mapped"/>
    <n v="341356"/>
    <s v="Gayen Fertilizer"/>
    <s v="Private Retailer"/>
    <s v="7319579836"/>
    <n v="0.5"/>
    <n v="59"/>
    <x v="1"/>
    <m/>
    <s v="2026-02-27"/>
    <s v="269946"/>
    <s v="M/s. Janardan Parui"/>
    <s v="6290703360"/>
  </r>
  <r>
    <s v="RCF Import"/>
    <s v="Imp 10-26-26"/>
    <s v="WB"/>
    <x v="1"/>
    <s v="Mandirbazar"/>
    <s v="User Not Mapped"/>
    <s v="User Not Mapped"/>
    <s v="User Not Mapped"/>
    <n v="356421"/>
    <s v="Soma Fertiliser"/>
    <s v="Private Retailer"/>
    <s v="9732733237"/>
    <n v="1.9"/>
    <n v="60"/>
    <x v="1"/>
    <m/>
    <s v="2026-02-26"/>
    <s v="224553"/>
    <s v="Kirtibas Kapat (A.S.C.)"/>
    <s v="9064538989"/>
  </r>
  <r>
    <s v="RCF Trombay"/>
    <s v="N.C.Urea(45kg)"/>
    <s v="WB"/>
    <x v="1"/>
    <s v="Mandirbazar"/>
    <s v="User Not Mapped"/>
    <s v="User Not Mapped"/>
    <s v="User Not Mapped"/>
    <n v="356428"/>
    <s v="Sunit Kumar Nas Kar"/>
    <s v="Private Retailer"/>
    <s v="9647447433"/>
    <n v="0.45"/>
    <n v="72"/>
    <x v="2"/>
    <m/>
    <s v="2026-02-14"/>
    <s v="224553"/>
    <s v="Kirtibas Kapat (A.S.C.)"/>
    <s v="9064538989"/>
  </r>
  <r>
    <s v="RCF Trombay"/>
    <s v="N.C.Urea(45kg)"/>
    <s v="WB"/>
    <x v="1"/>
    <s v="Mandirbazar"/>
    <s v="User Not Mapped"/>
    <s v="User Not Mapped"/>
    <s v="User Not Mapped"/>
    <n v="460755"/>
    <s v="Subhendu Mondal"/>
    <s v="Private Retailer"/>
    <s v="9733635633"/>
    <n v="6.3"/>
    <n v="100"/>
    <x v="5"/>
    <m/>
    <s v="2026-01-17"/>
    <s v="269946"/>
    <s v="M/s. Janardan Parui"/>
    <s v="6290703360"/>
  </r>
  <r>
    <s v="RCF Trombay"/>
    <s v="N.C.Urea(45kg)"/>
    <s v="WB"/>
    <x v="1"/>
    <s v="Mandirbazar"/>
    <s v="User Not Mapped"/>
    <s v="User Not Mapped"/>
    <s v="User Not Mapped"/>
    <n v="460755"/>
    <s v="Subhendu Mondal"/>
    <s v="Private Retailer"/>
    <s v="9733635633"/>
    <n v="4.8949999999999996"/>
    <n v="95"/>
    <x v="5"/>
    <m/>
    <s v="2026-01-22"/>
    <s v="269946"/>
    <s v="M/s. Janardan Parui"/>
    <s v="6290703360"/>
  </r>
  <r>
    <s v="RCF Thal"/>
    <s v="N.C.Urea(45kg)"/>
    <s v="WB"/>
    <x v="1"/>
    <s v="Mandirbazar"/>
    <s v="User Not Mapped"/>
    <s v="User Not Mapped"/>
    <s v="User Not Mapped"/>
    <n v="608723"/>
    <s v="HALDER FERTILISER"/>
    <s v="Private Retailer"/>
    <s v="9093493788"/>
    <n v="1.71"/>
    <n v="49"/>
    <x v="1"/>
    <m/>
    <s v="2026-03-09"/>
    <s v="269946"/>
    <s v="M/s. Janardan Parui"/>
    <s v="6290703360"/>
  </r>
  <r>
    <s v="RCF Import"/>
    <s v="Imp 10-26-26"/>
    <s v="WB"/>
    <x v="1"/>
    <s v="Mandirbazar"/>
    <s v="User Not Mapped"/>
    <s v="User Not Mapped"/>
    <s v="User Not Mapped"/>
    <n v="824297"/>
    <s v="SHILA FERTILISER"/>
    <s v="Private Retailer"/>
    <s v="7584930947"/>
    <n v="2.5"/>
    <n v="63"/>
    <x v="2"/>
    <m/>
    <s v="2026-02-23"/>
    <s v="224553"/>
    <s v="Kirtibas Kapat (A.S.C.)"/>
    <s v="9064538989"/>
  </r>
  <r>
    <s v="RCF Trombay"/>
    <s v="N.C.Urea(45kg)"/>
    <s v="WB"/>
    <x v="1"/>
    <s v="Mathurapur - I"/>
    <s v="User Not Mapped"/>
    <s v="User Not Mapped"/>
    <s v="User Not Mapped"/>
    <n v="290797"/>
    <s v="M/S Mondal Fertiliser"/>
    <s v="Private Retailer"/>
    <s v="9679179025"/>
    <n v="5.31"/>
    <n v="81"/>
    <x v="2"/>
    <m/>
    <s v="2026-02-05"/>
    <s v="224553"/>
    <s v="Kirtibas Kapat (A.S.C.)"/>
    <s v="9064538989"/>
  </r>
  <r>
    <s v="RCF Thal"/>
    <s v="N.C.Urea(45kg)"/>
    <s v="WB"/>
    <x v="1"/>
    <s v="Mathurapur - I"/>
    <s v="User Not Mapped"/>
    <s v="User Not Mapped"/>
    <s v="User Not Mapped"/>
    <n v="290797"/>
    <s v="M/S Mondal Fertiliser"/>
    <s v="Private Retailer"/>
    <s v="9679179025"/>
    <n v="4.5"/>
    <n v="72"/>
    <x v="2"/>
    <m/>
    <s v="2026-02-14"/>
    <s v="224553"/>
    <s v="Kirtibas Kapat (A.S.C.)"/>
    <s v="9064538989"/>
  </r>
  <r>
    <s v="RCF Trombay"/>
    <s v="15-15-15"/>
    <s v="WB"/>
    <x v="1"/>
    <s v="Mathurapur - I"/>
    <s v="User Not Mapped"/>
    <s v="User Not Mapped"/>
    <s v="User Not Mapped"/>
    <n v="310493"/>
    <s v="Subha Ranjan Majumder"/>
    <s v="Private Retailer"/>
    <s v="9647237562"/>
    <n v="0.4"/>
    <n v="56"/>
    <x v="1"/>
    <m/>
    <s v="2026-03-02"/>
    <s v="224553"/>
    <s v="Kirtibas Kapat (A.S.C.)"/>
    <s v="9064538989"/>
  </r>
  <r>
    <s v="RCF Thal"/>
    <s v="N.C.Urea(45kg)"/>
    <s v="WB"/>
    <x v="1"/>
    <s v="Mathurapur - I"/>
    <s v="User Not Mapped"/>
    <s v="User Not Mapped"/>
    <s v="User Not Mapped"/>
    <n v="354899"/>
    <s v="Dilip Kr Samanta"/>
    <s v="Private Retailer"/>
    <s v="9732818081"/>
    <n v="1.2150000000000001"/>
    <n v="72"/>
    <x v="2"/>
    <m/>
    <s v="2026-02-14"/>
    <s v="224553"/>
    <s v="Kirtibas Kapat (A.S.C.)"/>
    <s v="9064538989"/>
  </r>
  <r>
    <s v="RCF Thal"/>
    <s v="N.C.Urea(45kg)"/>
    <s v="WB"/>
    <x v="1"/>
    <s v="Mathurapur - I"/>
    <s v="User Not Mapped"/>
    <s v="User Not Mapped"/>
    <s v="User Not Mapped"/>
    <n v="356439"/>
    <s v="Tapan  Mondal"/>
    <s v="Private Retailer"/>
    <s v="9733808251"/>
    <n v="2.0249999999999999"/>
    <n v="72"/>
    <x v="2"/>
    <m/>
    <s v="2026-02-14"/>
    <s v="224553"/>
    <s v="Kirtibas Kapat (A.S.C.)"/>
    <s v="9064538989"/>
  </r>
  <r>
    <s v="RCF Import"/>
    <s v="MOP"/>
    <s v="WB"/>
    <x v="1"/>
    <s v="Mathurapur - I"/>
    <s v="User Not Mapped"/>
    <s v="User Not Mapped"/>
    <s v="User Not Mapped"/>
    <n v="633026"/>
    <s v="SARDER FERTILISER"/>
    <s v="Private Retailer"/>
    <s v="8250226803"/>
    <n v="2.1"/>
    <n v="409"/>
    <x v="6"/>
    <m/>
    <s v="2025-03-14"/>
    <s v="268665"/>
    <s v="Bhabasindhu Halder"/>
    <s v="8926428665"/>
  </r>
  <r>
    <s v="RCF Thal"/>
    <s v="N.C.Urea(45kg)"/>
    <s v="WB"/>
    <x v="1"/>
    <s v="Mathurapur - I"/>
    <s v="User Not Mapped"/>
    <s v="User Not Mapped"/>
    <s v="User Not Mapped"/>
    <n v="633028"/>
    <s v="ARATI FERTILISER"/>
    <s v="Private Retailer"/>
    <s v="7908312110"/>
    <n v="4.4999999999999998E-2"/>
    <n v="429"/>
    <x v="6"/>
    <m/>
    <s v="2025-02-22"/>
    <s v="280736"/>
    <s v="M/S TAPAN KUMAR KARMAKAR"/>
    <s v="7584080473"/>
  </r>
  <r>
    <s v="RCF Import"/>
    <s v="MOP"/>
    <s v="WB"/>
    <x v="1"/>
    <s v="Mathurapur - I"/>
    <s v="User Not Mapped"/>
    <s v="User Not Mapped"/>
    <s v="User Not Mapped"/>
    <n v="633028"/>
    <s v="ARATI FERTILISER"/>
    <s v="Private Retailer"/>
    <s v="7908312110"/>
    <n v="1.5"/>
    <n v="50"/>
    <x v="1"/>
    <m/>
    <s v="2026-03-08"/>
    <s v="268665"/>
    <s v="Bhabasindhu Halder"/>
    <s v="8926428665"/>
  </r>
  <r>
    <s v="RCF Thal"/>
    <s v="N.C.Urea(45kg)"/>
    <s v="WB"/>
    <x v="1"/>
    <s v="Mathurapur - I"/>
    <s v="User Not Mapped"/>
    <s v="User Not Mapped"/>
    <s v="User Not Mapped"/>
    <n v="654971"/>
    <s v="NEW KRISHI KALYAN KENDRA"/>
    <s v="Private Retailer"/>
    <s v="9933779494"/>
    <n v="1.0349999999999999"/>
    <n v="47"/>
    <x v="1"/>
    <m/>
    <s v="2026-03-11"/>
    <s v="281135"/>
    <s v="Md Alauddin Mollick"/>
    <s v="8926710497"/>
  </r>
  <r>
    <s v="RCF Thal"/>
    <s v="N.C.Urea(45kg)"/>
    <s v="WB"/>
    <x v="1"/>
    <s v="Mathurapur - II"/>
    <s v="User Not Mapped"/>
    <s v="User Not Mapped"/>
    <s v="User Not Mapped"/>
    <n v="281084"/>
    <s v="Bhabasindhu Haldar"/>
    <s v="Private Retailer"/>
    <s v="8926428665"/>
    <n v="9.0449999999999999"/>
    <n v="47"/>
    <x v="1"/>
    <m/>
    <s v="2026-03-11"/>
    <s v="290840"/>
    <s v="N C Das &amp; Company"/>
    <s v="7365868045"/>
  </r>
  <r>
    <s v="RCF Trombay"/>
    <s v="N.C.Urea(45kg)"/>
    <s v="WB"/>
    <x v="1"/>
    <s v="Mathurapur - II"/>
    <s v="User Not Mapped"/>
    <s v="User Not Mapped"/>
    <s v="User Not Mapped"/>
    <n v="300624"/>
    <s v="Joyguru Krishi Bhander"/>
    <s v="Private Retailer"/>
    <s v="9775159058"/>
    <n v="1.665"/>
    <n v="69"/>
    <x v="2"/>
    <m/>
    <s v="2026-02-17"/>
    <s v="224553"/>
    <s v="Kirtibas Kapat (A.S.C.)"/>
    <s v="9064538989"/>
  </r>
  <r>
    <s v="RCF Import"/>
    <s v="MOP"/>
    <s v="WB"/>
    <x v="1"/>
    <s v="Mathurapur - II"/>
    <s v="User Not Mapped"/>
    <s v="User Not Mapped"/>
    <s v="User Not Mapped"/>
    <n v="340982"/>
    <s v="Baidya Fertiliser  Prop-Manurath Baidya"/>
    <s v="Private Retailer"/>
    <s v="6296840237"/>
    <n v="0.25"/>
    <n v="33"/>
    <x v="1"/>
    <m/>
    <s v="2026-03-25"/>
    <s v="224553"/>
    <s v="Kirtibas Kapat (A.S.C.)"/>
    <s v="9064538989"/>
  </r>
  <r>
    <s v="RCF Trombay"/>
    <s v="15-15-15"/>
    <s v="WB"/>
    <x v="1"/>
    <s v="Mathurapur - II"/>
    <s v="User Not Mapped"/>
    <s v="User Not Mapped"/>
    <s v="User Not Mapped"/>
    <n v="340982"/>
    <s v="Baidya Fertiliser  Prop-Manurath Baidya"/>
    <s v="Private Retailer"/>
    <s v="6296840237"/>
    <n v="5.0999999999999996"/>
    <n v="90"/>
    <x v="2"/>
    <m/>
    <s v="2026-01-27"/>
    <s v="224553"/>
    <s v="Kirtibas Kapat (A.S.C.)"/>
    <s v="9064538989"/>
  </r>
  <r>
    <s v="RCF Import"/>
    <s v="Imp 10-26-26"/>
    <s v="WB"/>
    <x v="1"/>
    <s v="Mathurapur - II"/>
    <s v="User Not Mapped"/>
    <s v="User Not Mapped"/>
    <s v="User Not Mapped"/>
    <n v="341744"/>
    <s v="Maa Kali Fertilisers"/>
    <s v="Private Retailer"/>
    <s v="9734642038"/>
    <n v="1.9"/>
    <n v="62"/>
    <x v="2"/>
    <m/>
    <s v="2026-02-24"/>
    <s v="224553"/>
    <s v="Kirtibas Kapat (A.S.C.)"/>
    <s v="9064538989"/>
  </r>
  <r>
    <s v="RCF Import"/>
    <s v="Imp 10-26-26"/>
    <s v="WB"/>
    <x v="1"/>
    <s v="Mathurapur - II"/>
    <s v="User Not Mapped"/>
    <s v="User Not Mapped"/>
    <s v="User Not Mapped"/>
    <n v="356090"/>
    <s v="Sabuj Bhabna"/>
    <s v="Private Retailer"/>
    <s v="9734650122"/>
    <n v="5"/>
    <n v="6"/>
    <x v="4"/>
    <m/>
    <s v="2026-04-21"/>
    <s v="224553"/>
    <s v="Kirtibas Kapat (A.S.C.)"/>
    <s v="9064538989"/>
  </r>
  <r>
    <s v="RCF Trombay"/>
    <s v="15-15-15"/>
    <s v="WB"/>
    <x v="1"/>
    <s v="Mathurapur - II"/>
    <s v="User Not Mapped"/>
    <s v="User Not Mapped"/>
    <s v="User Not Mapped"/>
    <n v="356090"/>
    <s v="Sabuj Bhabna"/>
    <s v="Private Retailer"/>
    <s v="9734650122"/>
    <n v="5.85"/>
    <n v="6"/>
    <x v="4"/>
    <m/>
    <s v="2026-04-21"/>
    <s v="224553"/>
    <s v="Kirtibas Kapat (A.S.C.)"/>
    <s v="9064538989"/>
  </r>
  <r>
    <s v="RCF Import"/>
    <s v="MOP"/>
    <s v="WB"/>
    <x v="1"/>
    <s v="Mathurapur - II"/>
    <s v="User Not Mapped"/>
    <s v="User Not Mapped"/>
    <s v="User Not Mapped"/>
    <n v="357127"/>
    <s v="Mohabatnagar Skus Ltd"/>
    <s v="PACS"/>
    <s v="7063160847"/>
    <n v="0.5"/>
    <n v="41"/>
    <x v="1"/>
    <m/>
    <s v="2026-03-17"/>
    <s v="224553"/>
    <s v="Kirtibas Kapat (A.S.C.)"/>
    <s v="9064538989"/>
  </r>
  <r>
    <s v="RCF Thal"/>
    <s v="N.C.Urea(45kg)"/>
    <s v="WB"/>
    <x v="1"/>
    <s v="Mathurapur - II"/>
    <s v="User Not Mapped"/>
    <s v="User Not Mapped"/>
    <s v="User Not Mapped"/>
    <n v="459620"/>
    <s v="Santa Fertiliser"/>
    <s v="Private Retailer"/>
    <s v="8637088648"/>
    <n v="2.5000000000000001E-2"/>
    <n v="1132"/>
    <x v="7"/>
    <m/>
    <s v="2023-03-22"/>
    <s v="224553"/>
    <s v="Kirtibas Kapat (A.S.C.)"/>
    <s v="9064538989"/>
  </r>
  <r>
    <s v="RCF Trombay"/>
    <s v="N.C.Urea(45kg)"/>
    <s v="WB"/>
    <x v="1"/>
    <s v="Mathurapur - II"/>
    <s v="User Not Mapped"/>
    <s v="User Not Mapped"/>
    <s v="User Not Mapped"/>
    <n v="459620"/>
    <s v="Santa Fertiliser"/>
    <s v="Private Retailer"/>
    <s v="8637088648"/>
    <n v="2.5000000000000001E-2"/>
    <n v="1132"/>
    <x v="7"/>
    <m/>
    <s v="2023-03-22"/>
    <s v="224553"/>
    <s v="Kirtibas Kapat (A.S.C.)"/>
    <s v="9064538989"/>
  </r>
  <r>
    <s v="RCF Trombay"/>
    <s v="15-15-15"/>
    <s v="WB"/>
    <x v="1"/>
    <s v="Mathurapur - II"/>
    <s v="User Not Mapped"/>
    <s v="User Not Mapped"/>
    <s v="User Not Mapped"/>
    <n v="463235"/>
    <s v="Das Krishi Seva Kandra"/>
    <s v="Private Retailer"/>
    <s v="7001191218"/>
    <n v="0.05"/>
    <n v="1561"/>
    <x v="7"/>
    <m/>
    <s v="2022-01-17"/>
    <s v="268665"/>
    <s v="Bhabasindhu Halder"/>
    <s v="8926428665"/>
  </r>
  <r>
    <s v="RCF Import"/>
    <s v="MOP"/>
    <s v="WB"/>
    <x v="1"/>
    <s v="Mathurapur - II"/>
    <s v="User Not Mapped"/>
    <s v="User Not Mapped"/>
    <s v="User Not Mapped"/>
    <n v="463241"/>
    <s v="Bar Krishi Bhander"/>
    <s v="Private Retailer"/>
    <s v="7602105421"/>
    <n v="0.5"/>
    <n v="52"/>
    <x v="1"/>
    <m/>
    <s v="2026-03-06"/>
    <s v="224553"/>
    <s v="Kirtibas Kapat (A.S.C.)"/>
    <s v="9064538989"/>
  </r>
  <r>
    <s v="RCF Trombay"/>
    <s v="15-15-15"/>
    <s v="WB"/>
    <x v="1"/>
    <s v="Mathurapur - II"/>
    <s v="User Not Mapped"/>
    <s v="User Not Mapped"/>
    <s v="User Not Mapped"/>
    <n v="530304"/>
    <s v="Lokenath Krishi Seva Kendra"/>
    <s v="Private Retailer"/>
    <s v="9679657271"/>
    <n v="2.5"/>
    <n v="15"/>
    <x v="4"/>
    <m/>
    <s v="2026-04-12"/>
    <s v="224553"/>
    <s v="Kirtibas Kapat (A.S.C.)"/>
    <s v="9064538989"/>
  </r>
  <r>
    <s v="RCF Trombay"/>
    <s v="N.C.Urea(45kg)"/>
    <s v="WB"/>
    <x v="1"/>
    <s v="Mathurapur - II"/>
    <s v="User Not Mapped"/>
    <s v="User Not Mapped"/>
    <s v="User Not Mapped"/>
    <n v="624361"/>
    <s v="JAHANARA FERTILISER"/>
    <s v="Private Retailer"/>
    <s v="9733593679"/>
    <n v="0.495"/>
    <n v="272"/>
    <x v="3"/>
    <m/>
    <s v="2025-07-29"/>
    <s v="224553"/>
    <s v="Kirtibas Kapat (A.S.C.)"/>
    <s v="9064538989"/>
  </r>
  <r>
    <s v="RCF Import"/>
    <s v="MOP"/>
    <s v="WB"/>
    <x v="1"/>
    <s v="Mathurapur - II"/>
    <s v="User Not Mapped"/>
    <s v="User Not Mapped"/>
    <s v="User Not Mapped"/>
    <n v="626094"/>
    <s v="DEBRAJ PURKAIT"/>
    <s v="Private Retailer"/>
    <s v="9593616298"/>
    <n v="0.25"/>
    <n v="66"/>
    <x v="2"/>
    <m/>
    <s v="2026-02-20"/>
    <s v="224553"/>
    <s v="Kirtibas Kapat (A.S.C.)"/>
    <s v="9064538989"/>
  </r>
  <r>
    <s v="RCF Trombay"/>
    <s v="15-15-15"/>
    <s v="WB"/>
    <x v="1"/>
    <s v="Mathurapur - II"/>
    <s v="User Not Mapped"/>
    <s v="User Not Mapped"/>
    <s v="User Not Mapped"/>
    <n v="631805"/>
    <s v="HALDER FERTILISER"/>
    <s v="Private Retailer"/>
    <s v="9735028233"/>
    <n v="0.2"/>
    <n v="520"/>
    <x v="6"/>
    <m/>
    <s v="2024-11-23"/>
    <s v="224553"/>
    <s v="Kirtibas Kapat (A.S.C.)"/>
    <s v="9064538989"/>
  </r>
  <r>
    <s v="RCF Trombay"/>
    <s v="N.C.Urea(45kg)"/>
    <s v="WB"/>
    <x v="1"/>
    <s v="Mathurapur - II"/>
    <s v="User Not Mapped"/>
    <s v="User Not Mapped"/>
    <s v="User Not Mapped"/>
    <n v="751242"/>
    <s v="Maa Gouri Fertilizer"/>
    <s v="Private Retailer"/>
    <s v="7029201022"/>
    <n v="2.7450000000000001"/>
    <n v="1398"/>
    <x v="7"/>
    <m/>
    <s v="2022-06-29"/>
    <s v="461604"/>
    <s v="Subhendu Haldar"/>
    <s v="8617023552"/>
  </r>
  <r>
    <s v="RCF Trombay"/>
    <s v="N.C.Urea(45kg)"/>
    <s v="WB"/>
    <x v="1"/>
    <s v="Mathurapur - II"/>
    <s v="User Not Mapped"/>
    <s v="User Not Mapped"/>
    <s v="User Not Mapped"/>
    <n v="797086"/>
    <s v="BERA KRISHI BHANDER"/>
    <s v="Private Retailer"/>
    <s v="9732038005"/>
    <n v="1.26"/>
    <n v="86"/>
    <x v="2"/>
    <m/>
    <s v="2026-01-31"/>
    <s v="224553"/>
    <s v="Kirtibas Kapat (A.S.C.)"/>
    <s v="9064538989"/>
  </r>
  <r>
    <s v="RCF Trombay"/>
    <s v="15-15-15"/>
    <s v="WB"/>
    <x v="1"/>
    <s v="Mathurapur - II"/>
    <s v="User Not Mapped"/>
    <s v="User Not Mapped"/>
    <s v="User Not Mapped"/>
    <n v="1145092"/>
    <s v="M/S SUKDEB BERA"/>
    <s v="Private Retailer"/>
    <s v="6294268029"/>
    <n v="0.25"/>
    <n v="53"/>
    <x v="1"/>
    <m/>
    <s v="2026-03-05"/>
    <s v="224553"/>
    <s v="Kirtibas Kapat (A.S.C.)"/>
    <s v="9064538989"/>
  </r>
  <r>
    <s v="RCF Import"/>
    <s v="MOP"/>
    <s v="WB"/>
    <x v="1"/>
    <s v="Mathurapur - II"/>
    <s v="User Not Mapped"/>
    <s v="User Not Mapped"/>
    <s v="User Not Mapped"/>
    <n v="1145092"/>
    <s v="M/S SUKDEB BERA"/>
    <s v="Private Retailer"/>
    <s v="6294268029"/>
    <n v="1.5"/>
    <n v="41"/>
    <x v="1"/>
    <m/>
    <s v="2026-03-17"/>
    <s v="224553"/>
    <s v="Kirtibas Kapat (A.S.C.)"/>
    <s v="9064538989"/>
  </r>
  <r>
    <s v="RCF Import"/>
    <s v="MOP"/>
    <s v="WB"/>
    <x v="1"/>
    <s v="Mathurapur - II"/>
    <s v="User Not Mapped"/>
    <s v="User Not Mapped"/>
    <s v="User Not Mapped"/>
    <n v="1266841"/>
    <s v="SHYAMAL SAMANTA"/>
    <s v="Private Retailer"/>
    <s v="9733965663"/>
    <n v="4.1500000000000004"/>
    <n v="27"/>
    <x v="4"/>
    <m/>
    <s v="2026-03-31"/>
    <s v="224553"/>
    <s v="Kirtibas Kapat (A.S.C.)"/>
    <s v="9064538989"/>
  </r>
  <r>
    <s v="RCF Trombay"/>
    <s v="15-15-15"/>
    <s v="WB"/>
    <x v="1"/>
    <s v="Namkhana"/>
    <s v="User Not Mapped"/>
    <s v="User Not Mapped"/>
    <s v="User Not Mapped"/>
    <n v="281123"/>
    <s v=" Chashi Bandhu Sar Ghar "/>
    <s v="Private Retailer"/>
    <s v="8609685596"/>
    <n v="0.3"/>
    <n v="178"/>
    <x v="0"/>
    <m/>
    <s v="2025-10-31"/>
    <s v="269946"/>
    <s v="M/s. Janardan Parui"/>
    <s v="6290703360"/>
  </r>
  <r>
    <s v="RCF Trombay"/>
    <s v="15-15-15"/>
    <s v="WB"/>
    <x v="1"/>
    <s v="Namkhana"/>
    <s v="User Not Mapped"/>
    <s v="User Not Mapped"/>
    <s v="User Not Mapped"/>
    <n v="290784"/>
    <s v="M/S Gharai Krishi Bhander"/>
    <s v="Private Retailer"/>
    <s v="9732884255"/>
    <n v="0.15"/>
    <n v="130"/>
    <x v="0"/>
    <m/>
    <s v="2025-12-18"/>
    <s v="280736"/>
    <s v="M/S TAPAN KUMAR KARMAKAR"/>
    <s v="7584080473"/>
  </r>
  <r>
    <s v="RCF Trombay"/>
    <s v="15-15-15"/>
    <s v="WB"/>
    <x v="1"/>
    <s v="Namkhana"/>
    <s v="User Not Mapped"/>
    <s v="User Not Mapped"/>
    <s v="User Not Mapped"/>
    <n v="290784"/>
    <s v="M/S Gharai Krishi Bhander"/>
    <s v="Private Retailer"/>
    <s v="9732884255"/>
    <n v="0.25"/>
    <n v="32"/>
    <x v="1"/>
    <m/>
    <s v="2026-03-26"/>
    <s v="280736"/>
    <s v="M/S TAPAN KUMAR KARMAKAR"/>
    <s v="7584080473"/>
  </r>
  <r>
    <s v="RCF Trombay"/>
    <s v="15-15-15"/>
    <s v="WB"/>
    <x v="1"/>
    <s v="Namkhana"/>
    <s v="User Not Mapped"/>
    <s v="User Not Mapped"/>
    <s v="User Not Mapped"/>
    <n v="331437"/>
    <s v="Maa Laxmi Krishibhander"/>
    <s v="Private Retailer"/>
    <s v="8537909978"/>
    <n v="0.15"/>
    <n v="2673"/>
    <x v="7"/>
    <m/>
    <s v="2019-01-01"/>
    <s v="11"/>
    <s v="Too Old Stock"/>
    <m/>
  </r>
  <r>
    <s v="RCF Thal"/>
    <s v="N.C.Urea(45kg)"/>
    <s v="WB"/>
    <x v="1"/>
    <s v="Namkhana"/>
    <s v="User Not Mapped"/>
    <s v="User Not Mapped"/>
    <s v="User Not Mapped"/>
    <n v="341801"/>
    <s v="Maity Sar Bhander Prop-Pratima Maity"/>
    <s v="Private Retailer"/>
    <s v="9126423687"/>
    <n v="4.1399999999999997"/>
    <n v="72"/>
    <x v="2"/>
    <m/>
    <s v="2026-02-14"/>
    <s v="224553"/>
    <s v="Kirtibas Kapat (A.S.C.)"/>
    <s v="9064538989"/>
  </r>
  <r>
    <s v="RCF Thal"/>
    <s v="N.C.Urea(45kg)"/>
    <s v="WB"/>
    <x v="1"/>
    <s v="Namkhana"/>
    <s v="User Not Mapped"/>
    <s v="User Not Mapped"/>
    <s v="User Not Mapped"/>
    <n v="341801"/>
    <s v="Maity Sar Bhander Prop-Pratima Maity"/>
    <s v="Private Retailer"/>
    <s v="9126423687"/>
    <n v="3.915"/>
    <n v="133"/>
    <x v="0"/>
    <m/>
    <s v="2025-12-15"/>
    <s v="224553"/>
    <s v="Kirtibas Kapat (A.S.C.)"/>
    <s v="9064538989"/>
  </r>
  <r>
    <s v="RCF Trombay"/>
    <s v="15-15-15"/>
    <s v="WB"/>
    <x v="1"/>
    <s v="Namkhana"/>
    <s v="User Not Mapped"/>
    <s v="User Not Mapped"/>
    <s v="User Not Mapped"/>
    <n v="341801"/>
    <s v="Maity Sar Bhander Prop-Pratima Maity"/>
    <s v="Private Retailer"/>
    <s v="9126423687"/>
    <n v="1.6"/>
    <n v="72"/>
    <x v="2"/>
    <m/>
    <s v="2026-02-14"/>
    <s v="224553"/>
    <s v="Kirtibas Kapat (A.S.C.)"/>
    <s v="9064538989"/>
  </r>
  <r>
    <s v="RCF Trombay"/>
    <s v="N.C.Urea(45kg)"/>
    <s v="WB"/>
    <x v="1"/>
    <s v="Namkhana"/>
    <s v="User Not Mapped"/>
    <s v="User Not Mapped"/>
    <s v="User Not Mapped"/>
    <n v="355960"/>
    <s v="Purandar Fertiliser  Prop-Probal Sahoo"/>
    <s v="Private Retailer"/>
    <s v="9732979238"/>
    <n v="0.18"/>
    <n v="45"/>
    <x v="1"/>
    <m/>
    <s v="2026-03-13"/>
    <s v="280736"/>
    <s v="M/S TAPAN KUMAR KARMAKAR"/>
    <s v="7584080473"/>
  </r>
  <r>
    <s v="RCF Trombay"/>
    <s v="N.C.Urea(45kg)"/>
    <s v="WB"/>
    <x v="1"/>
    <s v="Namkhana"/>
    <s v="User Not Mapped"/>
    <s v="User Not Mapped"/>
    <s v="User Not Mapped"/>
    <n v="460607"/>
    <s v="Nirmal Halder"/>
    <s v="Private Retailer"/>
    <s v="8942876321"/>
    <n v="0.85499999999999998"/>
    <n v="212"/>
    <x v="3"/>
    <m/>
    <s v="2025-09-27"/>
    <s v="281135"/>
    <s v="Md Alauddin Mollick"/>
    <s v="8926710497"/>
  </r>
  <r>
    <s v="RCF Trombay"/>
    <s v="15-15-15"/>
    <s v="WB"/>
    <x v="1"/>
    <s v="Namkhana"/>
    <s v="User Not Mapped"/>
    <s v="User Not Mapped"/>
    <s v="User Not Mapped"/>
    <n v="460771"/>
    <s v="Das Fertilisers"/>
    <s v="Private Retailer"/>
    <s v="9733931051"/>
    <n v="2.7"/>
    <n v="67"/>
    <x v="2"/>
    <m/>
    <s v="2026-02-19"/>
    <s v="280736"/>
    <s v="M/S TAPAN KUMAR KARMAKAR"/>
    <s v="7584080473"/>
  </r>
  <r>
    <s v="RCF Trombay"/>
    <s v="N.C.Urea(45kg)"/>
    <s v="WB"/>
    <x v="1"/>
    <s v="Namkhana"/>
    <s v="User Not Mapped"/>
    <s v="User Not Mapped"/>
    <s v="User Not Mapped"/>
    <n v="460783"/>
    <s v="M/S. Satya Narayan Krishi Bhan"/>
    <s v="Private Retailer"/>
    <s v="9735018492"/>
    <n v="1.98"/>
    <n v="72"/>
    <x v="2"/>
    <m/>
    <s v="2026-02-14"/>
    <s v="224553"/>
    <s v="Kirtibas Kapat (A.S.C.)"/>
    <s v="9064538989"/>
  </r>
  <r>
    <s v="RCF Trombay"/>
    <s v="15-15-15"/>
    <s v="WB"/>
    <x v="1"/>
    <s v="Namkhana"/>
    <s v="User Not Mapped"/>
    <s v="User Not Mapped"/>
    <s v="User Not Mapped"/>
    <n v="460783"/>
    <s v="M/S. Satya Narayan Krishi Bhan"/>
    <s v="Private Retailer"/>
    <s v="9735018492"/>
    <n v="0.5"/>
    <n v="107"/>
    <x v="5"/>
    <m/>
    <s v="2026-01-10"/>
    <s v="224553"/>
    <s v="Kirtibas Kapat (A.S.C.)"/>
    <s v="9064538989"/>
  </r>
  <r>
    <s v="RCF Trombay"/>
    <s v="N.C.Urea(45kg)"/>
    <s v="WB"/>
    <x v="1"/>
    <s v="Namkhana"/>
    <s v="User Not Mapped"/>
    <s v="User Not Mapped"/>
    <s v="User Not Mapped"/>
    <n v="460833"/>
    <s v="Mondal Sar Bhander"/>
    <s v="Private Retailer"/>
    <s v="9002344703"/>
    <n v="1.8"/>
    <n v="51"/>
    <x v="1"/>
    <m/>
    <s v="2026-03-07"/>
    <s v="224553"/>
    <s v="Kirtibas Kapat (A.S.C.)"/>
    <s v="9064538989"/>
  </r>
  <r>
    <s v="RCF Trombay"/>
    <s v="15-15-15"/>
    <s v="WB"/>
    <x v="1"/>
    <s v="Namkhana"/>
    <s v="User Not Mapped"/>
    <s v="User Not Mapped"/>
    <s v="User Not Mapped"/>
    <n v="460833"/>
    <s v="Mondal Sar Bhander"/>
    <s v="Private Retailer"/>
    <s v="9002344703"/>
    <n v="0.5"/>
    <n v="133"/>
    <x v="0"/>
    <m/>
    <s v="2025-12-15"/>
    <s v="224553"/>
    <s v="Kirtibas Kapat (A.S.C.)"/>
    <s v="9064538989"/>
  </r>
  <r>
    <s v="RCF Trombay"/>
    <s v="N.C.Urea(45kg)"/>
    <s v="WB"/>
    <x v="1"/>
    <s v="Namkhana"/>
    <s v="User Not Mapped"/>
    <s v="User Not Mapped"/>
    <s v="User Not Mapped"/>
    <n v="460851"/>
    <s v="Manka Krishi Bhander"/>
    <s v="Private Retailer"/>
    <s v="9732781508"/>
    <n v="0.27200000000000002"/>
    <n v="221"/>
    <x v="3"/>
    <m/>
    <s v="2025-09-18"/>
    <s v="224553"/>
    <s v="Kirtibas Kapat (A.S.C.)"/>
    <s v="9064538989"/>
  </r>
  <r>
    <s v="RCF Thal"/>
    <s v="N.C.Urea(45kg)"/>
    <s v="WB"/>
    <x v="1"/>
    <s v="Namkhana"/>
    <s v="User Not Mapped"/>
    <s v="User Not Mapped"/>
    <s v="User Not Mapped"/>
    <n v="460851"/>
    <s v="Manka Krishi Bhander"/>
    <s v="Private Retailer"/>
    <s v="9732781508"/>
    <n v="0.27"/>
    <n v="590"/>
    <x v="7"/>
    <m/>
    <s v="2024-09-14"/>
    <s v="224553"/>
    <s v="Kirtibas Kapat (A.S.C.)"/>
    <s v="9064538989"/>
  </r>
  <r>
    <s v="RCF Import"/>
    <s v="MOP"/>
    <s v="WB"/>
    <x v="1"/>
    <s v="Namkhana"/>
    <s v="User Not Mapped"/>
    <s v="User Not Mapped"/>
    <s v="User Not Mapped"/>
    <n v="483170"/>
    <s v="Surendra Krishi Bhander"/>
    <s v="Private Retailer"/>
    <s v="9002948494"/>
    <n v="2"/>
    <n v="67"/>
    <x v="2"/>
    <m/>
    <s v="2026-02-19"/>
    <s v="280736"/>
    <s v="M/S TAPAN KUMAR KARMAKAR"/>
    <s v="7584080473"/>
  </r>
  <r>
    <s v="RCF Trombay"/>
    <s v="15-15-15"/>
    <s v="WB"/>
    <x v="1"/>
    <s v="Namkhana"/>
    <s v="User Not Mapped"/>
    <s v="User Not Mapped"/>
    <s v="User Not Mapped"/>
    <n v="483170"/>
    <s v="Surendra Krishi Bhander"/>
    <s v="Private Retailer"/>
    <s v="9002948494"/>
    <n v="0.6"/>
    <n v="130"/>
    <x v="0"/>
    <m/>
    <s v="2025-12-18"/>
    <s v="280736"/>
    <s v="M/S TAPAN KUMAR KARMAKAR"/>
    <s v="7584080473"/>
  </r>
  <r>
    <s v="RCF Trombay"/>
    <s v="15-15-15"/>
    <s v="WB"/>
    <x v="1"/>
    <s v="Namkhana"/>
    <s v="User Not Mapped"/>
    <s v="User Not Mapped"/>
    <s v="User Not Mapped"/>
    <n v="484032"/>
    <s v="Jagat Guru Krishi Bhandar"/>
    <s v="Private Retailer"/>
    <s v="9732820361"/>
    <n v="0.25"/>
    <n v="102"/>
    <x v="5"/>
    <m/>
    <s v="2026-01-15"/>
    <s v="280736"/>
    <s v="M/S TAPAN KUMAR KARMAKAR"/>
    <s v="7584080473"/>
  </r>
  <r>
    <s v="RCF Trombay"/>
    <s v="15-15-15"/>
    <s v="WB"/>
    <x v="1"/>
    <s v="Namkhana"/>
    <s v="User Not Mapped"/>
    <s v="User Not Mapped"/>
    <s v="User Not Mapped"/>
    <n v="484034"/>
    <s v="Santra Brothers Krishi Bipani"/>
    <s v="Private Retailer"/>
    <s v="9733723498"/>
    <n v="1E-3"/>
    <n v="1573"/>
    <x v="7"/>
    <m/>
    <s v="2022-01-05"/>
    <s v="268603"/>
    <s v="Baidya Krishi Bhander"/>
    <s v="9434041915"/>
  </r>
  <r>
    <s v="RCF Import"/>
    <s v="MOP"/>
    <s v="WB"/>
    <x v="1"/>
    <s v="Namkhana"/>
    <s v="User Not Mapped"/>
    <s v="User Not Mapped"/>
    <s v="User Not Mapped"/>
    <n v="541016"/>
    <s v="Tarama Krishi Bhander"/>
    <s v="Private Retailer"/>
    <s v="8597183412"/>
    <n v="1.8"/>
    <n v="67"/>
    <x v="2"/>
    <m/>
    <s v="2026-02-19"/>
    <s v="280736"/>
    <s v="M/S TAPAN KUMAR KARMAKAR"/>
    <s v="7584080473"/>
  </r>
  <r>
    <s v="RCF Thal"/>
    <s v="N.C.Urea(45kg)"/>
    <s v="WB"/>
    <x v="1"/>
    <s v="Namkhana"/>
    <s v="User Not Mapped"/>
    <s v="User Not Mapped"/>
    <s v="User Not Mapped"/>
    <n v="613662"/>
    <s v="MANNA KRISHI BHANDER"/>
    <s v="Private Retailer"/>
    <s v="8001392710"/>
    <n v="0.76500000000000001"/>
    <n v="72"/>
    <x v="2"/>
    <m/>
    <s v="2026-02-14"/>
    <s v="224553"/>
    <s v="Kirtibas Kapat (A.S.C.)"/>
    <s v="9064538989"/>
  </r>
  <r>
    <s v="RCF Trombay"/>
    <s v="15-15-15"/>
    <s v="WB"/>
    <x v="1"/>
    <s v="Namkhana"/>
    <s v="User Not Mapped"/>
    <s v="User Not Mapped"/>
    <s v="User Not Mapped"/>
    <n v="613662"/>
    <s v="MANNA KRISHI BHANDER"/>
    <s v="Private Retailer"/>
    <s v="8001392710"/>
    <n v="1.2"/>
    <n v="72"/>
    <x v="2"/>
    <m/>
    <s v="2026-02-14"/>
    <s v="224553"/>
    <s v="Kirtibas Kapat (A.S.C.)"/>
    <s v="9064538989"/>
  </r>
  <r>
    <s v="RCF Trombay"/>
    <s v="15-15-15"/>
    <s v="WB"/>
    <x v="1"/>
    <s v="Namkhana"/>
    <s v="User Not Mapped"/>
    <s v="User Not Mapped"/>
    <s v="User Not Mapped"/>
    <n v="613668"/>
    <s v="SUKDEB PRAMANIK"/>
    <s v="Private Retailer"/>
    <s v="9933189502"/>
    <n v="0.14499999999999999"/>
    <n v="161"/>
    <x v="0"/>
    <m/>
    <s v="2025-11-17"/>
    <s v="224553"/>
    <s v="Kirtibas Kapat (A.S.C.)"/>
    <s v="9064538989"/>
  </r>
  <r>
    <s v="RCF Trombay"/>
    <s v="15-15-15"/>
    <s v="WB"/>
    <x v="1"/>
    <s v="Namkhana"/>
    <s v="User Not Mapped"/>
    <s v="User Not Mapped"/>
    <s v="User Not Mapped"/>
    <n v="613668"/>
    <s v="SUKDEB PRAMANIK"/>
    <s v="Private Retailer"/>
    <s v="9933189502"/>
    <n v="0.25"/>
    <n v="127"/>
    <x v="0"/>
    <m/>
    <s v="2025-12-21"/>
    <s v="280736"/>
    <s v="M/S TAPAN KUMAR KARMAKAR"/>
    <s v="7584080473"/>
  </r>
  <r>
    <s v="RCF Thal"/>
    <s v="N.C.Urea(45kg)"/>
    <s v="WB"/>
    <x v="1"/>
    <s v="Namkhana"/>
    <s v="User Not Mapped"/>
    <s v="User Not Mapped"/>
    <s v="User Not Mapped"/>
    <n v="643015"/>
    <s v="M/S PRADHAN KRISHI BHANDER"/>
    <s v="Private Retailer"/>
    <s v="9734813951"/>
    <n v="5.3999999999999999E-2"/>
    <n v="195"/>
    <x v="3"/>
    <m/>
    <s v="2025-10-14"/>
    <s v="224553"/>
    <s v="Kirtibas Kapat (A.S.C.)"/>
    <s v="9064538989"/>
  </r>
  <r>
    <s v="RCF Import"/>
    <s v="MOP"/>
    <s v="WB"/>
    <x v="1"/>
    <s v="Namkhana"/>
    <s v="User Not Mapped"/>
    <s v="User Not Mapped"/>
    <s v="User Not Mapped"/>
    <n v="643015"/>
    <s v="M/S PRADHAN KRISHI BHANDER"/>
    <s v="Private Retailer"/>
    <s v="9734813951"/>
    <n v="1"/>
    <n v="588"/>
    <x v="7"/>
    <m/>
    <s v="2024-09-16"/>
    <s v="224553"/>
    <s v="Kirtibas Kapat (A.S.C.)"/>
    <s v="9064538989"/>
  </r>
  <r>
    <s v="RCF Trombay"/>
    <s v="N.C.Urea(45kg)"/>
    <s v="WB"/>
    <x v="1"/>
    <s v="Namkhana"/>
    <s v="User Not Mapped"/>
    <s v="User Not Mapped"/>
    <s v="User Not Mapped"/>
    <n v="648147"/>
    <s v="LAXMI SAR BHANDER"/>
    <s v="Private Retailer"/>
    <s v="7407231443"/>
    <n v="5.49"/>
    <n v="251"/>
    <x v="3"/>
    <m/>
    <s v="2025-08-19"/>
    <s v="280736"/>
    <s v="M/S TAPAN KUMAR KARMAKAR"/>
    <s v="7584080473"/>
  </r>
  <r>
    <s v="RCF Trombay"/>
    <s v="15-15-15"/>
    <s v="WB"/>
    <x v="1"/>
    <s v="Namkhana"/>
    <s v="User Not Mapped"/>
    <s v="User Not Mapped"/>
    <s v="User Not Mapped"/>
    <n v="686304"/>
    <s v="KARUNA KRISHI BHANDAR"/>
    <s v="Private Retailer"/>
    <s v="7557808878"/>
    <n v="0.15"/>
    <n v="72"/>
    <x v="2"/>
    <m/>
    <s v="2026-02-14"/>
    <s v="224553"/>
    <s v="Kirtibas Kapat (A.S.C.)"/>
    <s v="9064538989"/>
  </r>
  <r>
    <s v="RCF Trombay"/>
    <s v="15-15-15"/>
    <s v="WB"/>
    <x v="1"/>
    <s v="Namkhana"/>
    <s v="User Not Mapped"/>
    <s v="User Not Mapped"/>
    <s v="User Not Mapped"/>
    <n v="892195"/>
    <s v="M/S MAA KALI SAR BHANDER"/>
    <s v="Private Retailer"/>
    <s v="9733735879"/>
    <n v="0.2"/>
    <n v="127"/>
    <x v="0"/>
    <m/>
    <s v="2025-12-21"/>
    <s v="280736"/>
    <s v="M/S TAPAN KUMAR KARMAKAR"/>
    <s v="7584080473"/>
  </r>
  <r>
    <s v="RCF Trombay"/>
    <s v="N.C.Urea(45kg)"/>
    <s v="WB"/>
    <x v="1"/>
    <s v="Namkhana"/>
    <s v="User Not Mapped"/>
    <s v="User Not Mapped"/>
    <s v="User Not Mapped"/>
    <n v="892195"/>
    <s v="M/S MAA KALI SAR BHANDER"/>
    <s v="Private Retailer"/>
    <s v="9733735879"/>
    <n v="2.97"/>
    <n v="72"/>
    <x v="2"/>
    <m/>
    <s v="2026-02-14"/>
    <s v="224553"/>
    <s v="Kirtibas Kapat (A.S.C.)"/>
    <s v="9064538989"/>
  </r>
  <r>
    <s v="RCF Import"/>
    <s v="MOP"/>
    <s v="WB"/>
    <x v="1"/>
    <s v="Namkhana"/>
    <s v="User Not Mapped"/>
    <s v="User Not Mapped"/>
    <s v="User Not Mapped"/>
    <n v="1086123"/>
    <s v="BAPAN FERTILIZER"/>
    <s v="Private Retailer"/>
    <s v="8670036538"/>
    <n v="1.65"/>
    <n v="67"/>
    <x v="2"/>
    <m/>
    <s v="2026-02-19"/>
    <s v="280736"/>
    <s v="M/S TAPAN KUMAR KARMAKAR"/>
    <s v="7584080473"/>
  </r>
  <r>
    <s v="RCF Trombay"/>
    <s v="N.C.Urea(45kg)"/>
    <s v="WB"/>
    <x v="1"/>
    <s v="Namkhana"/>
    <s v="User Not Mapped"/>
    <s v="User Not Mapped"/>
    <s v="User Not Mapped"/>
    <n v="1252362"/>
    <s v="KRISHI SAR BHANDER"/>
    <s v="Private Retailer"/>
    <s v="9609314713"/>
    <n v="4.4999999999999998E-2"/>
    <n v="500"/>
    <x v="6"/>
    <m/>
    <s v="2024-12-13"/>
    <s v="280736"/>
    <s v="M/S TAPAN KUMAR KARMAKAR"/>
    <s v="7584080473"/>
  </r>
  <r>
    <s v="RCF Trombay"/>
    <s v="15-15-15"/>
    <s v="WB"/>
    <x v="1"/>
    <s v="Namkhana"/>
    <s v="User Not Mapped"/>
    <s v="User Not Mapped"/>
    <s v="User Not Mapped"/>
    <n v="1574996"/>
    <s v="M/S MA CHHABI KRISHI BHANDAR"/>
    <s v="Private Retailer"/>
    <s v="8016628654"/>
    <n v="1"/>
    <n v="133"/>
    <x v="0"/>
    <m/>
    <s v="2025-12-15"/>
    <s v="280736"/>
    <s v="M/S TAPAN KUMAR KARMAKAR"/>
    <s v="7584080473"/>
  </r>
  <r>
    <s v="RCF Thal"/>
    <s v="N.C.Urea(45kg)"/>
    <s v="WB"/>
    <x v="1"/>
    <s v="Patharpratima"/>
    <s v="User Not Mapped"/>
    <s v="User Not Mapped"/>
    <s v="User Not Mapped"/>
    <n v="294890"/>
    <s v="M/S HABIBULLA MOLLA"/>
    <s v="Private Retailer"/>
    <s v="9732960394"/>
    <n v="6.165"/>
    <n v="77"/>
    <x v="2"/>
    <m/>
    <s v="2026-02-09"/>
    <s v="269946"/>
    <s v="M/s. Janardan Parui"/>
    <s v="6290703360"/>
  </r>
  <r>
    <s v="RCF Trombay"/>
    <s v="15-15-15"/>
    <s v="WB"/>
    <x v="1"/>
    <s v="Patharpratima"/>
    <s v="User Not Mapped"/>
    <s v="User Not Mapped"/>
    <s v="User Not Mapped"/>
    <n v="310251"/>
    <s v="Sindhu Sar Bhandar"/>
    <s v="Private Retailer"/>
    <s v="9732619342"/>
    <n v="6.95"/>
    <n v="28"/>
    <x v="4"/>
    <m/>
    <s v="2026-03-30"/>
    <s v="269946"/>
    <s v="M/s. Janardan Parui"/>
    <s v="6290703360"/>
  </r>
  <r>
    <s v="RCF Import"/>
    <s v="Imp 10-26-26"/>
    <s v="WB"/>
    <x v="1"/>
    <s v="Patharpratima"/>
    <s v="User Not Mapped"/>
    <s v="User Not Mapped"/>
    <s v="User Not Mapped"/>
    <n v="310251"/>
    <s v="Sindhu Sar Bhandar"/>
    <s v="Private Retailer"/>
    <s v="9732619342"/>
    <n v="5.25"/>
    <n v="27"/>
    <x v="4"/>
    <m/>
    <s v="2026-03-31"/>
    <s v="269946"/>
    <s v="M/s. Janardan Parui"/>
    <s v="6290703360"/>
  </r>
  <r>
    <s v="RCF Import"/>
    <s v="Imp 10-26-26"/>
    <s v="WB"/>
    <x v="1"/>
    <s v="Patharpratima"/>
    <s v="User Not Mapped"/>
    <s v="User Not Mapped"/>
    <s v="User Not Mapped"/>
    <n v="331918"/>
    <s v="Sena Fertiliser"/>
    <s v="Private Retailer"/>
    <s v="9734308086"/>
    <n v="0.68"/>
    <n v="43"/>
    <x v="1"/>
    <m/>
    <s v="2026-03-15"/>
    <s v="224553"/>
    <s v="Kirtibas Kapat (A.S.C.)"/>
    <s v="9064538989"/>
  </r>
  <r>
    <s v="RCF Trombay"/>
    <s v="15-15-15"/>
    <s v="WB"/>
    <x v="1"/>
    <s v="Patharpratima"/>
    <s v="User Not Mapped"/>
    <s v="User Not Mapped"/>
    <s v="User Not Mapped"/>
    <n v="356438"/>
    <s v="Sumitra Fertilizer"/>
    <s v="Private Retailer"/>
    <s v="9732911428"/>
    <n v="0.5"/>
    <n v="168"/>
    <x v="0"/>
    <m/>
    <s v="2025-11-10"/>
    <s v="224553"/>
    <s v="Kirtibas Kapat (A.S.C.)"/>
    <s v="9064538989"/>
  </r>
  <r>
    <s v="RCF Trombay"/>
    <s v="15-15-15"/>
    <s v="WB"/>
    <x v="1"/>
    <s v="Patharpratima"/>
    <s v="User Not Mapped"/>
    <s v="User Not Mapped"/>
    <s v="User Not Mapped"/>
    <n v="461223"/>
    <s v="Sundarbon Krishi Bipani"/>
    <s v="Private Retailer"/>
    <s v="9775009038"/>
    <n v="0.06"/>
    <n v="2673"/>
    <x v="7"/>
    <m/>
    <s v="2019-01-01"/>
    <s v="11"/>
    <s v="Too Old Stock"/>
    <m/>
  </r>
  <r>
    <s v="RCF Trombay"/>
    <s v="15-15-15"/>
    <s v="WB"/>
    <x v="1"/>
    <s v="Patharpratima"/>
    <s v="User Not Mapped"/>
    <s v="User Not Mapped"/>
    <s v="User Not Mapped"/>
    <n v="461618"/>
    <s v="Petri Matri Sar Bhander"/>
    <s v="Private Retailer"/>
    <s v="9734392430"/>
    <n v="0.4"/>
    <n v="199"/>
    <x v="3"/>
    <m/>
    <s v="2025-10-10"/>
    <s v="280736"/>
    <s v="M/S TAPAN KUMAR KARMAKAR"/>
    <s v="7584080473"/>
  </r>
  <r>
    <s v="RCF Thal"/>
    <s v="N.C.Urea(45kg)"/>
    <s v="WB"/>
    <x v="1"/>
    <s v="Patharpratima"/>
    <s v="User Not Mapped"/>
    <s v="User Not Mapped"/>
    <s v="User Not Mapped"/>
    <n v="461618"/>
    <s v="Petri Matri Sar Bhander"/>
    <s v="Private Retailer"/>
    <s v="9734392430"/>
    <n v="0.67500000000000004"/>
    <n v="41"/>
    <x v="1"/>
    <m/>
    <s v="2026-03-17"/>
    <s v="280736"/>
    <s v="M/S TAPAN KUMAR KARMAKAR"/>
    <s v="7584080473"/>
  </r>
  <r>
    <s v="RCF Thal"/>
    <s v="N.C.Urea(45kg)"/>
    <s v="WB"/>
    <x v="1"/>
    <s v="Patharpratima"/>
    <s v="User Not Mapped"/>
    <s v="User Not Mapped"/>
    <s v="User Not Mapped"/>
    <n v="492503"/>
    <s v="Parasar Acharya"/>
    <s v="Private Retailer"/>
    <s v="9002682808"/>
    <n v="0.7"/>
    <n v="257"/>
    <x v="3"/>
    <m/>
    <s v="2025-08-13"/>
    <s v="270099"/>
    <s v="Kakdwip Krishi Bandr"/>
    <s v="9933502068"/>
  </r>
  <r>
    <s v="RCF Trombay"/>
    <s v="15-15-15"/>
    <s v="WB"/>
    <x v="1"/>
    <s v="Patharpratima"/>
    <s v="User Not Mapped"/>
    <s v="User Not Mapped"/>
    <s v="User Not Mapped"/>
    <n v="492503"/>
    <s v="Parasar Acharya"/>
    <s v="Private Retailer"/>
    <s v="9002682808"/>
    <n v="0.38"/>
    <n v="257"/>
    <x v="3"/>
    <m/>
    <s v="2025-08-13"/>
    <s v="270099"/>
    <s v="Kakdwip Krishi Bandr"/>
    <s v="9933502068"/>
  </r>
  <r>
    <s v="RCF Trombay"/>
    <s v="15-15-15"/>
    <s v="WB"/>
    <x v="1"/>
    <s v="Patharpratima"/>
    <s v="User Not Mapped"/>
    <s v="User Not Mapped"/>
    <s v="User Not Mapped"/>
    <n v="547420"/>
    <s v="Sabuj Dwip Fertiliser"/>
    <s v="Private Retailer"/>
    <s v="9734341619"/>
    <n v="0.9"/>
    <n v="95"/>
    <x v="5"/>
    <m/>
    <s v="2026-01-22"/>
    <s v="281135"/>
    <s v="Md Alauddin Mollick"/>
    <s v="8926710497"/>
  </r>
  <r>
    <s v="RCF Import"/>
    <s v="MOP"/>
    <s v="WB"/>
    <x v="1"/>
    <s v="Patharpratima"/>
    <s v="User Not Mapped"/>
    <s v="User Not Mapped"/>
    <s v="User Not Mapped"/>
    <n v="656512"/>
    <s v="SUNDERBAN FERTILIZER"/>
    <s v="Private Retailer"/>
    <s v="9064271681"/>
    <n v="0.75"/>
    <n v="33"/>
    <x v="1"/>
    <m/>
    <s v="2026-03-25"/>
    <s v="224553"/>
    <s v="Kirtibas Kapat (A.S.C.)"/>
    <s v="9064538989"/>
  </r>
  <r>
    <s v="RCF Import"/>
    <s v="MOP"/>
    <s v="WB"/>
    <x v="1"/>
    <s v="Patharpratima"/>
    <s v="User Not Mapped"/>
    <s v="User Not Mapped"/>
    <s v="User Not Mapped"/>
    <n v="904456"/>
    <s v="MA SOUDAMINI KRISHI BHANDER"/>
    <s v="Private Retailer"/>
    <s v="9732957240"/>
    <n v="0.25"/>
    <n v="33"/>
    <x v="1"/>
    <m/>
    <s v="2026-03-25"/>
    <s v="224553"/>
    <s v="Kirtibas Kapat (A.S.C.)"/>
    <s v="9064538989"/>
  </r>
  <r>
    <s v="RCF Import"/>
    <s v="MOP"/>
    <s v="WB"/>
    <x v="1"/>
    <s v="Patharpratima"/>
    <s v="User Not Mapped"/>
    <s v="User Not Mapped"/>
    <s v="User Not Mapped"/>
    <n v="953552"/>
    <s v="NEW SWAPAN KUMAR MAITY FERTILI"/>
    <s v="Private Retailer"/>
    <s v="7478461146"/>
    <n v="1"/>
    <n v="18"/>
    <x v="4"/>
    <m/>
    <s v="2026-04-09"/>
    <s v="224553"/>
    <s v="Kirtibas Kapat (A.S.C.)"/>
    <s v="9064538989"/>
  </r>
  <r>
    <s v="RCF Trombay"/>
    <s v="N.C.Urea(45kg)"/>
    <s v="WB"/>
    <x v="1"/>
    <s v="Patharpratima"/>
    <s v="User Not Mapped"/>
    <s v="User Not Mapped"/>
    <s v="User Not Mapped"/>
    <n v="986026"/>
    <s v="MAA SARDAR KRISHI BHANDER"/>
    <s v="Private Retailer"/>
    <s v="9732596590"/>
    <n v="5.0000000000000001E-3"/>
    <n v="817"/>
    <x v="7"/>
    <m/>
    <s v="2024-01-31"/>
    <s v="269946"/>
    <s v="M/s. Janardan Parui"/>
    <s v="6290703360"/>
  </r>
  <r>
    <s v="RCF Trombay"/>
    <s v="15-15-15"/>
    <s v="WB"/>
    <x v="1"/>
    <s v="Patharpratima"/>
    <s v="User Not Mapped"/>
    <s v="User Not Mapped"/>
    <s v="User Not Mapped"/>
    <n v="1052094"/>
    <s v=" M/S MAITY FERTILISER"/>
    <s v="Private Retailer"/>
    <s v="9733669913"/>
    <n v="0.45"/>
    <n v="291"/>
    <x v="3"/>
    <m/>
    <s v="2025-07-10"/>
    <s v="269946"/>
    <s v="M/s. Janardan Parui"/>
    <s v="6290703360"/>
  </r>
  <r>
    <s v="RCF Trombay"/>
    <s v="15-15-15"/>
    <s v="WB"/>
    <x v="1"/>
    <s v="Patharpratima"/>
    <s v="User Not Mapped"/>
    <s v="User Not Mapped"/>
    <s v="User Not Mapped"/>
    <n v="1092687"/>
    <s v="TARA MA KRISHI BHANDER"/>
    <s v="Private Retailer"/>
    <s v="7478930288"/>
    <n v="0.55000000000000004"/>
    <n v="1506"/>
    <x v="7"/>
    <m/>
    <s v="2022-03-13"/>
    <s v="342383"/>
    <s v="Kakdip Sar Bhandar"/>
    <s v="9933502068"/>
  </r>
  <r>
    <s v="RCF Trombay"/>
    <s v="15-15-15"/>
    <s v="WB"/>
    <x v="1"/>
    <s v="Patharpratima"/>
    <s v="User Not Mapped"/>
    <s v="User Not Mapped"/>
    <s v="User Not Mapped"/>
    <n v="1216146"/>
    <s v="KRISHI BHANDER FERTILIZER"/>
    <s v="Private Retailer"/>
    <s v="6294116612"/>
    <n v="0.01"/>
    <n v="1502"/>
    <x v="7"/>
    <m/>
    <s v="2022-03-17"/>
    <s v="224553"/>
    <s v="Kirtibas Kapat (A.S.C.)"/>
    <s v="9064538989"/>
  </r>
  <r>
    <s v="RCF Trombay"/>
    <s v="15-15-15"/>
    <s v="WB"/>
    <x v="1"/>
    <s v="Patharpratima"/>
    <s v="User Not Mapped"/>
    <s v="User Not Mapped"/>
    <s v="User Not Mapped"/>
    <n v="1216150"/>
    <s v="RADHAKRISHNA KRISHI BHANDAR"/>
    <s v="Private Retailer"/>
    <s v="9883084867"/>
    <n v="0.25"/>
    <n v="126"/>
    <x v="0"/>
    <m/>
    <s v="2025-12-22"/>
    <s v="290835"/>
    <s v=" Mahamaya Krishi Bhander"/>
    <s v="9933502068"/>
  </r>
  <r>
    <s v="RCF Import"/>
    <s v="MOP"/>
    <s v="WB"/>
    <x v="1"/>
    <s v="Patharpratima"/>
    <s v="User Not Mapped"/>
    <s v="User Not Mapped"/>
    <s v="User Not Mapped"/>
    <n v="1461483"/>
    <s v="M/S MAA KALI KRISHI BHANDAR"/>
    <s v="Private Retailer"/>
    <s v="8617668344"/>
    <n v="0.5"/>
    <n v="61"/>
    <x v="2"/>
    <m/>
    <s v="2026-02-25"/>
    <s v="224553"/>
    <s v="Kirtibas Kapat (A.S.C.)"/>
    <s v="9064538989"/>
  </r>
  <r>
    <s v="RCF Trombay"/>
    <s v="N.C.Urea(45kg)"/>
    <s v="WB"/>
    <x v="1"/>
    <s v="Patharpratima"/>
    <s v="User Not Mapped"/>
    <s v="User Not Mapped"/>
    <s v="User Not Mapped"/>
    <n v="1461485"/>
    <s v="M/S MALLIK FERTILIZER"/>
    <s v="Private Retailer"/>
    <s v="9679867406"/>
    <n v="0.27"/>
    <n v="565"/>
    <x v="7"/>
    <m/>
    <s v="2024-10-09"/>
    <s v="224553"/>
    <s v="Kirtibas Kapat (A.S.C.)"/>
    <s v="9064538989"/>
  </r>
  <r>
    <s v="RCF Thal"/>
    <s v="N.C.Urea(45kg)"/>
    <s v="WB"/>
    <x v="1"/>
    <s v="Patharpratima"/>
    <s v="User Not Mapped"/>
    <s v="User Not Mapped"/>
    <s v="User Not Mapped"/>
    <n v="1461485"/>
    <s v="M/S MALLIK FERTILIZER"/>
    <s v="Private Retailer"/>
    <s v="9679867406"/>
    <n v="0.45"/>
    <n v="502"/>
    <x v="6"/>
    <m/>
    <s v="2024-12-11"/>
    <s v="224553"/>
    <s v="Kirtibas Kapat (A.S.C.)"/>
    <s v="9064538989"/>
  </r>
  <r>
    <s v="RCF Trombay"/>
    <s v="15-15-15"/>
    <s v="WB"/>
    <x v="1"/>
    <s v="Sagar"/>
    <s v="User Not Mapped"/>
    <s v="User Not Mapped"/>
    <s v="User Not Mapped"/>
    <n v="290791"/>
    <s v="M/S. Maa Aparna Fertiliser"/>
    <s v="Private Retailer"/>
    <s v="7319427082"/>
    <n v="3.0000000000000001E-3"/>
    <n v="1701"/>
    <x v="7"/>
    <m/>
    <s v="2021-08-30"/>
    <s v="311219"/>
    <s v="Surendra Krishi Bhander"/>
    <s v="9434404364"/>
  </r>
  <r>
    <s v="RCF Trombay"/>
    <s v="15-15-15"/>
    <s v="WB"/>
    <x v="1"/>
    <s v="Sagar"/>
    <s v="User Not Mapped"/>
    <s v="User Not Mapped"/>
    <s v="User Not Mapped"/>
    <n v="309211"/>
    <s v="Mondal Fertiliser"/>
    <s v="Private Retailer"/>
    <s v="9733554076"/>
    <n v="2.5"/>
    <n v="25"/>
    <x v="4"/>
    <m/>
    <s v="2026-04-02"/>
    <s v="269946"/>
    <s v="M/s. Janardan Parui"/>
    <s v="6290703360"/>
  </r>
  <r>
    <s v="RCF Trombay"/>
    <s v="15-15-15"/>
    <s v="WB"/>
    <x v="1"/>
    <s v="Sagar"/>
    <s v="User Not Mapped"/>
    <s v="User Not Mapped"/>
    <s v="User Not Mapped"/>
    <n v="340928"/>
    <s v="Asimpaik"/>
    <s v="Private Retailer"/>
    <s v="9932842786"/>
    <n v="0.25"/>
    <n v="15"/>
    <x v="4"/>
    <m/>
    <s v="2026-04-12"/>
    <s v="224553"/>
    <s v="Kirtibas Kapat (A.S.C.)"/>
    <s v="9064538989"/>
  </r>
  <r>
    <s v="RCF Trombay"/>
    <s v="15-15-15"/>
    <s v="WB"/>
    <x v="1"/>
    <s v="Sagar"/>
    <s v="User Not Mapped"/>
    <s v="User Not Mapped"/>
    <s v="User Not Mapped"/>
    <n v="340928"/>
    <s v="Asimpaik"/>
    <s v="Private Retailer"/>
    <s v="9932842786"/>
    <n v="0.25"/>
    <n v="29"/>
    <x v="4"/>
    <m/>
    <s v="2026-03-29"/>
    <s v="224553"/>
    <s v="Kirtibas Kapat (A.S.C.)"/>
    <s v="9064538989"/>
  </r>
  <r>
    <s v="RCF Trombay"/>
    <s v="15-15-15"/>
    <s v="WB"/>
    <x v="1"/>
    <s v="Sagar"/>
    <s v="User Not Mapped"/>
    <s v="User Not Mapped"/>
    <s v="User Not Mapped"/>
    <n v="341225"/>
    <s v="Das Fertiliser"/>
    <s v="Private Retailer"/>
    <s v="7364098603"/>
    <n v="8.75"/>
    <n v="28"/>
    <x v="4"/>
    <m/>
    <s v="2026-03-30"/>
    <s v="269946"/>
    <s v="M/s. Janardan Parui"/>
    <s v="6290703360"/>
  </r>
  <r>
    <s v="RCF Import"/>
    <s v="Imp 10-26-26"/>
    <s v="WB"/>
    <x v="1"/>
    <s v="Sagar"/>
    <s v="User Not Mapped"/>
    <s v="User Not Mapped"/>
    <s v="User Not Mapped"/>
    <n v="341225"/>
    <s v="Das Fertiliser"/>
    <s v="Private Retailer"/>
    <s v="7364098603"/>
    <n v="2.5"/>
    <n v="27"/>
    <x v="4"/>
    <m/>
    <s v="2026-03-31"/>
    <s v="269946"/>
    <s v="M/s. Janardan Parui"/>
    <s v="6290703360"/>
  </r>
  <r>
    <s v="RCF Trombay"/>
    <s v="15-15-15"/>
    <s v="WB"/>
    <x v="1"/>
    <s v="Sagar"/>
    <s v="User Not Mapped"/>
    <s v="User Not Mapped"/>
    <s v="User Not Mapped"/>
    <n v="341754"/>
    <s v="Maa Parul Bala Fertilisers"/>
    <s v="Private Retailer"/>
    <s v="7029452634"/>
    <n v="0.7"/>
    <n v="109"/>
    <x v="5"/>
    <m/>
    <s v="2026-01-08"/>
    <s v="224553"/>
    <s v="Kirtibas Kapat (A.S.C.)"/>
    <s v="9064538989"/>
  </r>
  <r>
    <s v="RCF Trombay"/>
    <s v="15-15-15"/>
    <s v="WB"/>
    <x v="1"/>
    <s v="Sagar"/>
    <s v="User Not Mapped"/>
    <s v="User Not Mapped"/>
    <s v="User Not Mapped"/>
    <n v="342379"/>
    <s v="Rajlaxmi Krishi Bhandar"/>
    <s v="Private Retailer"/>
    <s v="9547925049"/>
    <n v="2.3E-2"/>
    <n v="199"/>
    <x v="3"/>
    <m/>
    <s v="2025-10-10"/>
    <s v="280736"/>
    <s v="M/S TAPAN KUMAR KARMAKAR"/>
    <s v="7584080473"/>
  </r>
  <r>
    <s v="RCF Trombay"/>
    <s v="15-15-15"/>
    <s v="WB"/>
    <x v="1"/>
    <s v="Sagar"/>
    <s v="User Not Mapped"/>
    <s v="User Not Mapped"/>
    <s v="User Not Mapped"/>
    <n v="356275"/>
    <s v="Santi Krishi Bhandar Prop-P.Karan"/>
    <s v="Private Retailer"/>
    <s v="7430880163"/>
    <n v="0.45"/>
    <n v="34"/>
    <x v="1"/>
    <m/>
    <s v="2026-03-24"/>
    <s v="269946"/>
    <s v="M/s. Janardan Parui"/>
    <s v="6290703360"/>
  </r>
  <r>
    <s v="RCF Trombay"/>
    <s v="15-15-15"/>
    <s v="WB"/>
    <x v="1"/>
    <s v="Sagar"/>
    <s v="User Not Mapped"/>
    <s v="User Not Mapped"/>
    <s v="User Not Mapped"/>
    <n v="356424"/>
    <s v="Subal Chandra Bhanja"/>
    <s v="Private Retailer"/>
    <s v="9732654719"/>
    <n v="0.45"/>
    <n v="27"/>
    <x v="4"/>
    <m/>
    <s v="2026-03-31"/>
    <s v="224553"/>
    <s v="Kirtibas Kapat (A.S.C.)"/>
    <s v="9064538989"/>
  </r>
  <r>
    <s v="RCF Import"/>
    <s v="MOP"/>
    <s v="WB"/>
    <x v="1"/>
    <s v="Sagar"/>
    <s v="User Not Mapped"/>
    <s v="User Not Mapped"/>
    <s v="User Not Mapped"/>
    <n v="356424"/>
    <s v="Subal Chandra Bhanja"/>
    <s v="Private Retailer"/>
    <s v="9732654719"/>
    <n v="1.5"/>
    <n v="45"/>
    <x v="1"/>
    <m/>
    <s v="2026-03-13"/>
    <s v="224553"/>
    <s v="Kirtibas Kapat (A.S.C.)"/>
    <s v="9064538989"/>
  </r>
  <r>
    <s v="RCF Trombay"/>
    <s v="15-15-15"/>
    <s v="WB"/>
    <x v="1"/>
    <s v="Sagar"/>
    <s v="User Not Mapped"/>
    <s v="User Not Mapped"/>
    <s v="User Not Mapped"/>
    <n v="458923"/>
    <s v="Manas Parua"/>
    <s v="Private Retailer"/>
    <s v="9002055890"/>
    <n v="0.8"/>
    <n v="30"/>
    <x v="4"/>
    <m/>
    <s v="2026-03-28"/>
    <s v="224553"/>
    <s v="Kirtibas Kapat (A.S.C.)"/>
    <s v="9064538989"/>
  </r>
  <r>
    <s v="RCF Import"/>
    <s v="Imp 10-26-26"/>
    <s v="WB"/>
    <x v="1"/>
    <s v="Sagar"/>
    <s v="User Not Mapped"/>
    <s v="User Not Mapped"/>
    <s v="User Not Mapped"/>
    <n v="458931"/>
    <s v="Tapas Kr Parua"/>
    <s v="Private Retailer"/>
    <s v="9002611929"/>
    <n v="0.5"/>
    <n v="35"/>
    <x v="1"/>
    <m/>
    <s v="2026-03-23"/>
    <s v="224553"/>
    <s v="Kirtibas Kapat (A.S.C.)"/>
    <s v="9064538989"/>
  </r>
  <r>
    <s v="RCF Trombay"/>
    <s v="15-15-15"/>
    <s v="WB"/>
    <x v="1"/>
    <s v="Sagar"/>
    <s v="User Not Mapped"/>
    <s v="User Not Mapped"/>
    <s v="User Not Mapped"/>
    <n v="458931"/>
    <s v="Tapas Kr Parua"/>
    <s v="Private Retailer"/>
    <s v="9002611929"/>
    <n v="0.5"/>
    <n v="35"/>
    <x v="1"/>
    <m/>
    <s v="2026-03-23"/>
    <s v="224553"/>
    <s v="Kirtibas Kapat (A.S.C.)"/>
    <s v="9064538989"/>
  </r>
  <r>
    <s v="RCF Trombay"/>
    <s v="15-15-15"/>
    <s v="WB"/>
    <x v="1"/>
    <s v="Sagar"/>
    <s v="User Not Mapped"/>
    <s v="User Not Mapped"/>
    <s v="User Not Mapped"/>
    <n v="460611"/>
    <s v="PRAMILA KRISHI BHANDAR"/>
    <s v="Private Retailer"/>
    <s v="8768240639"/>
    <n v="3.0000000000000001E-3"/>
    <n v="283"/>
    <x v="3"/>
    <m/>
    <s v="2025-07-18"/>
    <s v="311219"/>
    <s v="Surendra Krishi Bhander"/>
    <s v="9434404364"/>
  </r>
  <r>
    <s v="RCF Trombay"/>
    <s v="15-15-15"/>
    <s v="WB"/>
    <x v="1"/>
    <s v="Sagar"/>
    <s v="User Not Mapped"/>
    <s v="User Not Mapped"/>
    <s v="User Not Mapped"/>
    <n v="461714"/>
    <s v="Bhagabati Krishi Bhander"/>
    <s v="Private Retailer"/>
    <s v="9609208214"/>
    <n v="0.35"/>
    <n v="33"/>
    <x v="1"/>
    <m/>
    <s v="2026-03-25"/>
    <s v="224553"/>
    <s v="Kirtibas Kapat (A.S.C.)"/>
    <s v="9064538989"/>
  </r>
  <r>
    <s v="RCF Trombay"/>
    <s v="15-15-15"/>
    <s v="WB"/>
    <x v="1"/>
    <s v="Sagar"/>
    <s v="User Not Mapped"/>
    <s v="User Not Mapped"/>
    <s v="User Not Mapped"/>
    <n v="461854"/>
    <s v="Sagar Krishi Bhander"/>
    <s v="Private Retailer"/>
    <s v="8167509434"/>
    <n v="0.45"/>
    <n v="609"/>
    <x v="7"/>
    <m/>
    <s v="2024-08-26"/>
    <s v="311219"/>
    <s v="Surendra Krishi Bhander"/>
    <s v="9434404364"/>
  </r>
  <r>
    <s v="RCF Thal"/>
    <s v="N.C.Urea(45kg)"/>
    <s v="WB"/>
    <x v="1"/>
    <s v="Sagar"/>
    <s v="User Not Mapped"/>
    <s v="User Not Mapped"/>
    <s v="User Not Mapped"/>
    <n v="461856"/>
    <s v="Madurga Krishi Bhander"/>
    <s v="Private Retailer"/>
    <s v="9732895966"/>
    <n v="0.21"/>
    <n v="244"/>
    <x v="3"/>
    <m/>
    <s v="2025-08-26"/>
    <s v="224553"/>
    <s v="Kirtibas Kapat (A.S.C.)"/>
    <s v="9064538989"/>
  </r>
  <r>
    <s v="RCF Trombay"/>
    <s v="15-15-15"/>
    <s v="WB"/>
    <x v="1"/>
    <s v="Sagar"/>
    <s v="User Not Mapped"/>
    <s v="User Not Mapped"/>
    <s v="User Not Mapped"/>
    <n v="461886"/>
    <s v="Asit Kumar Giri"/>
    <s v="Private Retailer"/>
    <s v="9932117825"/>
    <n v="0.15"/>
    <n v="21"/>
    <x v="4"/>
    <m/>
    <s v="2026-04-06"/>
    <s v="311219"/>
    <s v="Surendra Krishi Bhander"/>
    <s v="9434404364"/>
  </r>
  <r>
    <s v="RCF Trombay"/>
    <s v="15-15-15"/>
    <s v="WB"/>
    <x v="1"/>
    <s v="Sagar"/>
    <s v="User Not Mapped"/>
    <s v="User Not Mapped"/>
    <s v="User Not Mapped"/>
    <n v="461892"/>
    <s v="Matri Krishi Bhander"/>
    <s v="Private Retailer"/>
    <s v="9733625384"/>
    <n v="0.4"/>
    <n v="388"/>
    <x v="6"/>
    <m/>
    <s v="2025-04-04"/>
    <s v="311219"/>
    <s v="Surendra Krishi Bhander"/>
    <s v="9434404364"/>
  </r>
  <r>
    <s v="RCF Trombay"/>
    <s v="15-15-15"/>
    <s v="WB"/>
    <x v="1"/>
    <s v="Sagar"/>
    <s v="User Not Mapped"/>
    <s v="User Not Mapped"/>
    <s v="User Not Mapped"/>
    <n v="461902"/>
    <s v="Behula Krishi Bhander"/>
    <s v="Private Retailer"/>
    <s v="9609484954"/>
    <n v="4.4999999999999998E-2"/>
    <n v="1019"/>
    <x v="7"/>
    <m/>
    <s v="2023-07-13"/>
    <s v="269946"/>
    <s v="M/s. Janardan Parui"/>
    <s v="6290703360"/>
  </r>
  <r>
    <s v="RCF Trombay"/>
    <s v="15-15-15"/>
    <s v="WB"/>
    <x v="1"/>
    <s v="Sagar"/>
    <s v="User Not Mapped"/>
    <s v="User Not Mapped"/>
    <s v="User Not Mapped"/>
    <n v="462639"/>
    <s v="Maa Sureswari Sar Ghar"/>
    <s v="Private Retailer"/>
    <s v="8670548507"/>
    <n v="0.2"/>
    <n v="267"/>
    <x v="3"/>
    <m/>
    <s v="2025-08-03"/>
    <s v="311219"/>
    <s v="Surendra Krishi Bhander"/>
    <s v="9434404364"/>
  </r>
  <r>
    <s v="RCF Trombay"/>
    <s v="15-15-15"/>
    <s v="WB"/>
    <x v="1"/>
    <s v="Sagar"/>
    <s v="User Not Mapped"/>
    <s v="User Not Mapped"/>
    <s v="User Not Mapped"/>
    <n v="462667"/>
    <s v="Swapan Kumar Bera"/>
    <s v="Private Retailer"/>
    <s v="9732786693"/>
    <n v="0.8"/>
    <n v="104"/>
    <x v="5"/>
    <m/>
    <s v="2026-01-13"/>
    <s v="269946"/>
    <s v="M/s. Janardan Parui"/>
    <s v="6290703360"/>
  </r>
  <r>
    <s v="RCF Trombay"/>
    <s v="15-15-15"/>
    <s v="WB"/>
    <x v="1"/>
    <s v="Sagar"/>
    <s v="User Not Mapped"/>
    <s v="User Not Mapped"/>
    <s v="User Not Mapped"/>
    <n v="462667"/>
    <s v="Swapan Kumar Bera"/>
    <s v="Private Retailer"/>
    <s v="9732786693"/>
    <n v="5.5"/>
    <n v="28"/>
    <x v="4"/>
    <m/>
    <s v="2026-03-30"/>
    <s v="269946"/>
    <s v="M/s. Janardan Parui"/>
    <s v="6290703360"/>
  </r>
  <r>
    <s v="RCF Thal"/>
    <s v="N.C.Urea(45kg)"/>
    <s v="WB"/>
    <x v="1"/>
    <s v="Sagar"/>
    <s v="User Not Mapped"/>
    <s v="User Not Mapped"/>
    <s v="User Not Mapped"/>
    <n v="462673"/>
    <s v="Srima Sarada Sar Ghar"/>
    <s v="Private Retailer"/>
    <s v="8348864558"/>
    <n v="0.9"/>
    <n v="49"/>
    <x v="1"/>
    <m/>
    <s v="2026-03-09"/>
    <s v="269946"/>
    <s v="M/s. Janardan Parui"/>
    <s v="6290703360"/>
  </r>
  <r>
    <s v="RCF Trombay"/>
    <s v="15-15-15"/>
    <s v="WB"/>
    <x v="1"/>
    <s v="Sagar"/>
    <s v="User Not Mapped"/>
    <s v="User Not Mapped"/>
    <s v="User Not Mapped"/>
    <n v="462701"/>
    <s v="Masaroda Krishi Bhander"/>
    <s v="Private Retailer"/>
    <s v="8972186076"/>
    <n v="0.2"/>
    <n v="109"/>
    <x v="5"/>
    <m/>
    <s v="2026-01-08"/>
    <s v="224553"/>
    <s v="Kirtibas Kapat (A.S.C.)"/>
    <s v="9064538989"/>
  </r>
  <r>
    <s v="RCF Trombay"/>
    <s v="15-15-15"/>
    <s v="WB"/>
    <x v="1"/>
    <s v="Sagar"/>
    <s v="User Not Mapped"/>
    <s v="User Not Mapped"/>
    <s v="User Not Mapped"/>
    <n v="462727"/>
    <s v="Pradhan Krishi Bhander"/>
    <s v="Private Retailer"/>
    <s v="9733868407"/>
    <n v="0.35"/>
    <n v="121"/>
    <x v="0"/>
    <m/>
    <s v="2025-12-27"/>
    <s v="342383"/>
    <s v="Kakdip Sar Bhandar"/>
    <s v="9933502068"/>
  </r>
  <r>
    <s v="RCF Trombay"/>
    <s v="15-15-15"/>
    <s v="WB"/>
    <x v="1"/>
    <s v="Sagar"/>
    <s v="User Not Mapped"/>
    <s v="User Not Mapped"/>
    <s v="User Not Mapped"/>
    <n v="462729"/>
    <s v="Suruchi Krishi Bhander"/>
    <s v="Private Retailer"/>
    <s v="8967628888"/>
    <n v="0.28000000000000003"/>
    <n v="145"/>
    <x v="0"/>
    <m/>
    <s v="2025-12-03"/>
    <s v="311219"/>
    <s v="Surendra Krishi Bhander"/>
    <s v="9434404364"/>
  </r>
  <r>
    <s v="RCF Trombay"/>
    <s v="15-15-15"/>
    <s v="WB"/>
    <x v="1"/>
    <s v="Sagar"/>
    <s v="User Not Mapped"/>
    <s v="User Not Mapped"/>
    <s v="User Not Mapped"/>
    <n v="462739"/>
    <s v="Vibekananda Pradhan"/>
    <s v="Private Retailer"/>
    <s v="9564761868"/>
    <n v="0.9"/>
    <n v="28"/>
    <x v="4"/>
    <m/>
    <s v="2026-03-30"/>
    <s v="269946"/>
    <s v="M/s. Janardan Parui"/>
    <s v="6290703360"/>
  </r>
  <r>
    <s v="RCF Trombay"/>
    <s v="15-15-15"/>
    <s v="WB"/>
    <x v="1"/>
    <s v="Sagar"/>
    <s v="User Not Mapped"/>
    <s v="User Not Mapped"/>
    <s v="User Not Mapped"/>
    <n v="462745"/>
    <s v="Snehalata Krishi Bhander"/>
    <s v="Private Retailer"/>
    <s v="9933923696"/>
    <n v="0.5"/>
    <n v="131"/>
    <x v="0"/>
    <m/>
    <s v="2025-12-17"/>
    <s v="224553"/>
    <s v="Kirtibas Kapat (A.S.C.)"/>
    <s v="9064538989"/>
  </r>
  <r>
    <s v="RCF Thal"/>
    <s v="N.C.Urea(45kg)"/>
    <s v="WB"/>
    <x v="1"/>
    <s v="Sagar"/>
    <s v="User Not Mapped"/>
    <s v="User Not Mapped"/>
    <s v="User Not Mapped"/>
    <n v="462757"/>
    <s v="Jana Fertilisers"/>
    <s v="Private Retailer"/>
    <s v="9775590254"/>
    <n v="4.41"/>
    <n v="150"/>
    <x v="0"/>
    <m/>
    <s v="2025-11-28"/>
    <s v="280736"/>
    <s v="M/S TAPAN KUMAR KARMAKAR"/>
    <s v="7584080473"/>
  </r>
  <r>
    <s v="RCF Trombay"/>
    <s v="N.C.Urea(45kg)"/>
    <s v="WB"/>
    <x v="1"/>
    <s v="Sagar"/>
    <s v="User Not Mapped"/>
    <s v="User Not Mapped"/>
    <s v="User Not Mapped"/>
    <n v="533418"/>
    <s v="Panchami Krishi Bhander"/>
    <s v="Private Retailer"/>
    <s v="9932719887"/>
    <n v="4.4999999999999998E-2"/>
    <n v="132"/>
    <x v="0"/>
    <m/>
    <s v="2025-12-16"/>
    <s v="269946"/>
    <s v="M/s. Janardan Parui"/>
    <s v="6290703360"/>
  </r>
  <r>
    <s v="RCF Trombay"/>
    <s v="15-15-15"/>
    <s v="WB"/>
    <x v="1"/>
    <s v="Sagar"/>
    <s v="User Not Mapped"/>
    <s v="User Not Mapped"/>
    <s v="User Not Mapped"/>
    <n v="539821"/>
    <s v="Prafulla Krishi Bhandar"/>
    <s v="Private Retailer"/>
    <s v="9732758728"/>
    <n v="0.5"/>
    <n v="29"/>
    <x v="4"/>
    <m/>
    <s v="2026-03-29"/>
    <s v="224553"/>
    <s v="Kirtibas Kapat (A.S.C.)"/>
    <s v="9064538989"/>
  </r>
  <r>
    <s v="RCF Trombay"/>
    <s v="15-15-15"/>
    <s v="WB"/>
    <x v="1"/>
    <s v="Sagar"/>
    <s v="User Not Mapped"/>
    <s v="User Not Mapped"/>
    <s v="User Not Mapped"/>
    <n v="541204"/>
    <s v="Pankabati Krishi Bhander"/>
    <s v="Private Retailer"/>
    <s v="9679402702"/>
    <n v="0.5"/>
    <n v="7"/>
    <x v="4"/>
    <m/>
    <s v="2026-04-20"/>
    <s v="311219"/>
    <s v="Surendra Krishi Bhander"/>
    <s v="9434404364"/>
  </r>
  <r>
    <s v="RCF Trombay"/>
    <s v="15-15-15"/>
    <s v="WB"/>
    <x v="1"/>
    <s v="Sagar"/>
    <s v="User Not Mapped"/>
    <s v="User Not Mapped"/>
    <s v="User Not Mapped"/>
    <n v="554000"/>
    <s v="Sundarban Krishi Bhander"/>
    <s v="Private Retailer"/>
    <s v="8967441673"/>
    <n v="0.05"/>
    <n v="242"/>
    <x v="3"/>
    <m/>
    <s v="2025-08-28"/>
    <s v="342383"/>
    <s v="Kakdip Sar Bhandar"/>
    <s v="9933502068"/>
  </r>
  <r>
    <s v="RCF Trombay"/>
    <s v="15-15-15"/>
    <s v="WB"/>
    <x v="1"/>
    <s v="Sagar"/>
    <s v="User Not Mapped"/>
    <s v="User Not Mapped"/>
    <s v="User Not Mapped"/>
    <n v="554000"/>
    <s v="Sundarban Krishi Bhander"/>
    <s v="Private Retailer"/>
    <s v="8967441673"/>
    <n v="0.5"/>
    <n v="153"/>
    <x v="0"/>
    <m/>
    <s v="2025-11-25"/>
    <s v="342383"/>
    <s v="Kakdip Sar Bhandar"/>
    <s v="9933502068"/>
  </r>
  <r>
    <s v="RCF Trombay"/>
    <s v="15-15-15"/>
    <s v="WB"/>
    <x v="1"/>
    <s v="Sagar"/>
    <s v="User Not Mapped"/>
    <s v="User Not Mapped"/>
    <s v="User Not Mapped"/>
    <n v="599272"/>
    <s v="SANJIB PRAMANIK"/>
    <s v="Private Retailer"/>
    <s v="9734415642"/>
    <n v="0.5"/>
    <n v="53"/>
    <x v="1"/>
    <m/>
    <s v="2026-03-05"/>
    <s v="224553"/>
    <s v="Kirtibas Kapat (A.S.C.)"/>
    <s v="9064538989"/>
  </r>
  <r>
    <s v="RCF Trombay"/>
    <s v="15-15-15"/>
    <s v="WB"/>
    <x v="1"/>
    <s v="Sagar"/>
    <s v="User Not Mapped"/>
    <s v="User Not Mapped"/>
    <s v="User Not Mapped"/>
    <n v="624129"/>
    <s v="SUBRATA MAL"/>
    <s v="Private Retailer"/>
    <s v="9679402670"/>
    <n v="0.55000000000000004"/>
    <n v="267"/>
    <x v="3"/>
    <m/>
    <s v="2025-08-03"/>
    <s v="311219"/>
    <s v="Surendra Krishi Bhander"/>
    <s v="9434404364"/>
  </r>
  <r>
    <s v="RCF Trombay"/>
    <s v="15-15-15"/>
    <s v="WB"/>
    <x v="1"/>
    <s v="Sagar"/>
    <s v="User Not Mapped"/>
    <s v="User Not Mapped"/>
    <s v="User Not Mapped"/>
    <n v="624131"/>
    <s v="SUBOTH BALA KRISHI BHANDER"/>
    <s v="Private Retailer"/>
    <s v="9932726050"/>
    <n v="0.22"/>
    <n v="2673"/>
    <x v="7"/>
    <m/>
    <s v="2019-01-01"/>
    <s v="11"/>
    <s v="Too Old Stock"/>
    <m/>
  </r>
  <r>
    <s v="RCF Trombay"/>
    <s v="15-15-15"/>
    <s v="WB"/>
    <x v="1"/>
    <s v="Sagar"/>
    <s v="User Not Mapped"/>
    <s v="User Not Mapped"/>
    <s v="User Not Mapped"/>
    <n v="624131"/>
    <s v="SUBOTH BALA KRISHI BHANDER"/>
    <s v="Private Retailer"/>
    <s v="9932726050"/>
    <n v="1"/>
    <n v="2417"/>
    <x v="7"/>
    <m/>
    <s v="2019-09-14"/>
    <s v="342383"/>
    <s v="Kakdip Sar Bhandar"/>
    <s v="9933502068"/>
  </r>
  <r>
    <s v="RCF Trombay"/>
    <s v="15-15-15"/>
    <s v="WB"/>
    <x v="1"/>
    <s v="Sagar"/>
    <s v="User Not Mapped"/>
    <s v="User Not Mapped"/>
    <s v="User Not Mapped"/>
    <n v="639079"/>
    <s v="A.D.SARGHAR"/>
    <s v="Private Retailer"/>
    <s v="8296562458"/>
    <n v="0.5"/>
    <n v="56"/>
    <x v="1"/>
    <m/>
    <s v="2026-03-02"/>
    <s v="224553"/>
    <s v="Kirtibas Kapat (A.S.C.)"/>
    <s v="9064538989"/>
  </r>
  <r>
    <s v="RCF Trombay"/>
    <s v="15-15-15"/>
    <s v="WB"/>
    <x v="1"/>
    <s v="Sagar"/>
    <s v="User Not Mapped"/>
    <s v="User Not Mapped"/>
    <s v="User Not Mapped"/>
    <n v="662595"/>
    <s v="JAMUNA KRISHI BHANDER"/>
    <s v="Private Retailer"/>
    <s v="9932601921"/>
    <n v="0.02"/>
    <n v="1566"/>
    <x v="7"/>
    <m/>
    <s v="2022-01-12"/>
    <s v="270099"/>
    <s v="Kakdwip Krishi Bandr"/>
    <s v="9933502068"/>
  </r>
  <r>
    <s v="RCF Trombay"/>
    <s v="15-15-15"/>
    <s v="WB"/>
    <x v="1"/>
    <s v="Sagar"/>
    <s v="User Not Mapped"/>
    <s v="User Not Mapped"/>
    <s v="User Not Mapped"/>
    <n v="886514"/>
    <s v="BIKASH RANJAN MANDAL"/>
    <s v="Private Retailer"/>
    <s v="7479354055"/>
    <n v="7.5"/>
    <n v="25"/>
    <x v="4"/>
    <m/>
    <s v="2026-04-02"/>
    <s v="269946"/>
    <s v="M/s. Janardan Parui"/>
    <s v="6290703360"/>
  </r>
  <r>
    <s v="RCF Trombay"/>
    <s v="15-15-15"/>
    <s v="WB"/>
    <x v="1"/>
    <s v="Sagar"/>
    <s v="User Not Mapped"/>
    <s v="User Not Mapped"/>
    <s v="User Not Mapped"/>
    <n v="888309"/>
    <s v="SWAPAN JANA"/>
    <s v="Private Retailer"/>
    <s v="9093011834"/>
    <n v="8.5999999999999993E-2"/>
    <n v="267"/>
    <x v="3"/>
    <m/>
    <s v="2025-08-03"/>
    <s v="311219"/>
    <s v="Surendra Krishi Bhander"/>
    <s v="9434404364"/>
  </r>
  <r>
    <s v="RCF Trombay"/>
    <s v="15-15-15"/>
    <s v="WB"/>
    <x v="1"/>
    <s v="Sagar"/>
    <s v="User Not Mapped"/>
    <s v="User Not Mapped"/>
    <s v="User Not Mapped"/>
    <n v="893085"/>
    <s v="Anila Krishi Bhander"/>
    <s v="Private Retailer"/>
    <s v="7602824333"/>
    <n v="4.75"/>
    <n v="99"/>
    <x v="5"/>
    <m/>
    <s v="2026-01-18"/>
    <s v="280736"/>
    <s v="M/S TAPAN KUMAR KARMAKAR"/>
    <s v="7584080473"/>
  </r>
  <r>
    <s v="RCF Trombay"/>
    <s v="15-15-15"/>
    <s v="WB"/>
    <x v="1"/>
    <s v="Sagar"/>
    <s v="User Not Mapped"/>
    <s v="User Not Mapped"/>
    <s v="User Not Mapped"/>
    <n v="1129165"/>
    <s v="TILOTAMA KRISHI BHANDAR"/>
    <s v="Private Retailer"/>
    <s v="7003761476"/>
    <n v="0.2"/>
    <n v="156"/>
    <x v="0"/>
    <m/>
    <s v="2025-11-22"/>
    <s v="342383"/>
    <s v="Kakdip Sar Bhandar"/>
    <s v="9933502068"/>
  </r>
  <r>
    <s v="RCF Trombay"/>
    <s v="15-15-15"/>
    <s v="WB"/>
    <x v="1"/>
    <s v="Sagar"/>
    <s v="User Not Mapped"/>
    <s v="User Not Mapped"/>
    <s v="User Not Mapped"/>
    <n v="1478553"/>
    <s v="MA PANCHAMI FERTILIZER"/>
    <s v="Private Retailer"/>
    <s v="8945023387"/>
    <n v="0.3"/>
    <n v="66"/>
    <x v="2"/>
    <m/>
    <s v="2026-02-20"/>
    <s v="224553"/>
    <s v="Kirtibas Kapat (A.S.C.)"/>
    <s v="9064538989"/>
  </r>
  <r>
    <s v="RCF Trombay"/>
    <s v="15-15-15"/>
    <s v="WB"/>
    <x v="1"/>
    <s v="Sagar"/>
    <s v="User Not Mapped"/>
    <s v="User Not Mapped"/>
    <s v="User Not Mapped"/>
    <n v="1478553"/>
    <s v="MA PANCHAMI FERTILIZER"/>
    <s v="Private Retailer"/>
    <s v="8945023387"/>
    <n v="1"/>
    <n v="54"/>
    <x v="1"/>
    <m/>
    <s v="2026-03-04"/>
    <s v="224553"/>
    <s v="Kirtibas Kapat (A.S.C.)"/>
    <s v="9064538989"/>
  </r>
  <r>
    <s v="RCF Trombay"/>
    <s v="15-15-15"/>
    <s v="WB"/>
    <x v="1"/>
    <s v="Sagar"/>
    <s v="User Not Mapped"/>
    <s v="User Not Mapped"/>
    <s v="User Not Mapped"/>
    <n v="1480285"/>
    <s v="KALPANA KRISHI BHANDER"/>
    <s v="Private Retailer"/>
    <s v="8436035475"/>
    <n v="0.05"/>
    <n v="140"/>
    <x v="0"/>
    <m/>
    <s v="2025-12-08"/>
    <s v="224553"/>
    <s v="Kirtibas Kapat (A.S.C.)"/>
    <s v="9064538989"/>
  </r>
  <r>
    <s v="RCF Trombay"/>
    <s v="15-15-15"/>
    <s v="WB"/>
    <x v="1"/>
    <s v="Sagar"/>
    <s v="User Not Mapped"/>
    <s v="User Not Mapped"/>
    <s v="User Not Mapped"/>
    <n v="1480291"/>
    <s v="MAA ANJALI KRISHI BHANDER"/>
    <s v="Private Retailer"/>
    <s v="9126971036"/>
    <n v="0.5"/>
    <n v="39"/>
    <x v="1"/>
    <m/>
    <s v="2026-03-19"/>
    <s v="224553"/>
    <s v="Kirtibas Kapat (A.S.C.)"/>
    <s v="9064538989"/>
  </r>
  <r>
    <s v="RCF Trombay"/>
    <s v="15-15-15"/>
    <s v="WB"/>
    <x v="1"/>
    <s v="Sonarpur"/>
    <s v="User Not Mapped"/>
    <s v="User Not Mapped"/>
    <s v="User Not Mapped"/>
    <n v="466904"/>
    <s v="Saikat Fertilisers"/>
    <s v="Private Retailer"/>
    <s v="8981123330"/>
    <n v="0.35"/>
    <n v="18"/>
    <x v="4"/>
    <m/>
    <s v="2026-04-09"/>
    <s v="269533"/>
    <s v="Hasya Badhan Makhal"/>
    <s v="9674092010"/>
  </r>
  <r>
    <s v="RCF Trombay"/>
    <s v="15-15-15"/>
    <s v="WB"/>
    <x v="1"/>
    <s v="Sonarpur"/>
    <s v="User Not Mapped"/>
    <s v="User Not Mapped"/>
    <s v="User Not Mapped"/>
    <n v="466904"/>
    <s v="Saikat Fertilisers"/>
    <s v="Private Retailer"/>
    <s v="8981123330"/>
    <n v="0.22700000000000001"/>
    <n v="95"/>
    <x v="5"/>
    <m/>
    <s v="2026-01-22"/>
    <s v="269946"/>
    <s v="M/s. Janardan Parui"/>
    <s v="6290703360"/>
  </r>
  <r>
    <s v="RCF Import"/>
    <s v="Imp 10-26-26"/>
    <s v="WB"/>
    <x v="1"/>
    <s v="Sonarpur"/>
    <s v="User Not Mapped"/>
    <s v="User Not Mapped"/>
    <s v="User Not Mapped"/>
    <n v="466904"/>
    <s v="Saikat Fertilisers"/>
    <s v="Private Retailer"/>
    <s v="8981123330"/>
    <n v="0.25"/>
    <n v="18"/>
    <x v="4"/>
    <m/>
    <s v="2026-04-09"/>
    <s v="269533"/>
    <s v="Hasya Badhan Makhal"/>
    <s v="9674092010"/>
  </r>
  <r>
    <s v="RCF Thal"/>
    <s v="N.C.Urea(45kg)"/>
    <s v="WB"/>
    <x v="1"/>
    <s v="Sonarpur"/>
    <s v="User Not Mapped"/>
    <s v="User Not Mapped"/>
    <s v="User Not Mapped"/>
    <n v="466904"/>
    <s v="Saikat Fertilisers"/>
    <s v="Private Retailer"/>
    <s v="8981123330"/>
    <n v="0.85"/>
    <n v="169"/>
    <x v="0"/>
    <m/>
    <s v="2025-11-09"/>
    <s v="269533"/>
    <s v="Hasya Badhan Makhal"/>
    <s v="9674092010"/>
  </r>
  <r>
    <s v="RCF Trombay"/>
    <s v="15-15-15"/>
    <s v="WB"/>
    <x v="1"/>
    <s v="Sonarpur"/>
    <s v="User Not Mapped"/>
    <s v="User Not Mapped"/>
    <s v="User Not Mapped"/>
    <n v="466906"/>
    <s v="Dinmahamad Mondal"/>
    <s v="Private Retailer"/>
    <s v="9007820679"/>
    <n v="0.4"/>
    <n v="901"/>
    <x v="7"/>
    <m/>
    <s v="2023-11-08"/>
    <s v="269533"/>
    <s v="Hasya Badhan Makhal"/>
    <s v="9674092010"/>
  </r>
  <r>
    <s v="RCF Trombay"/>
    <s v="15-15-15"/>
    <s v="WB"/>
    <x v="1"/>
    <s v="Sonarpur"/>
    <s v="User Not Mapped"/>
    <s v="User Not Mapped"/>
    <s v="User Not Mapped"/>
    <n v="466914"/>
    <s v="Samser Ali Gayen"/>
    <s v="Private Retailer"/>
    <s v="7003782748"/>
    <n v="0.15"/>
    <n v="61"/>
    <x v="2"/>
    <m/>
    <s v="2026-02-25"/>
    <s v="280736"/>
    <s v="M/S TAPAN KUMAR KARMAKAR"/>
    <s v="7584080473"/>
  </r>
  <r>
    <s v="RCF Import"/>
    <s v="MOP"/>
    <s v="WB"/>
    <x v="1"/>
    <s v="Sonarpur"/>
    <s v="User Not Mapped"/>
    <s v="User Not Mapped"/>
    <s v="User Not Mapped"/>
    <n v="470892"/>
    <s v="M/S. Samanta Brothers"/>
    <s v="Private Retailer"/>
    <s v="9748664621"/>
    <n v="0.4"/>
    <n v="334"/>
    <x v="3"/>
    <m/>
    <s v="2025-05-28"/>
    <s v="269533"/>
    <s v="Hasya Badhan Makhal"/>
    <s v="9674092010"/>
  </r>
  <r>
    <s v="RCF Trombay"/>
    <s v="N.C.Urea(45kg)"/>
    <s v="WB"/>
    <x v="1"/>
    <s v="Sonarpur"/>
    <s v="User Not Mapped"/>
    <s v="User Not Mapped"/>
    <s v="User Not Mapped"/>
    <n v="470892"/>
    <s v="M/S. Samanta Brothers"/>
    <s v="Private Retailer"/>
    <s v="9748664621"/>
    <n v="0.22500000000000001"/>
    <n v="259"/>
    <x v="3"/>
    <m/>
    <s v="2025-08-11"/>
    <s v="269533"/>
    <s v="Hasya Badhan Makhal"/>
    <s v="9674092010"/>
  </r>
  <r>
    <s v="RCF Trombay"/>
    <s v="15-15-15"/>
    <s v="WB"/>
    <x v="1"/>
    <s v="Sonarpur"/>
    <s v="User Not Mapped"/>
    <s v="User Not Mapped"/>
    <s v="User Not Mapped"/>
    <n v="937966"/>
    <s v=" M/S TARA MAA FERTILISER"/>
    <s v="Private Retailer"/>
    <s v="9836912840"/>
    <n v="0.16500000000000001"/>
    <n v="2362"/>
    <x v="7"/>
    <m/>
    <s v="2019-11-08"/>
    <s v="281181"/>
    <s v="R. B. Agro Enterprise"/>
    <s v="9903110185"/>
  </r>
  <r>
    <s v="RCF Trombay"/>
    <s v="N.C.Urea(45kg)"/>
    <s v="WB"/>
    <x v="1"/>
    <s v="Sonarpur"/>
    <s v="User Not Mapped"/>
    <s v="User Not Mapped"/>
    <s v="User Not Mapped"/>
    <n v="1256864"/>
    <s v="NATUNHAT KRISHI BHANDAR"/>
    <s v="Private Retailer"/>
    <s v="6290197241"/>
    <n v="0.45"/>
    <n v="144"/>
    <x v="0"/>
    <m/>
    <s v="2025-12-04"/>
    <s v="269533"/>
    <s v="Hasya Badhan Makhal"/>
    <s v="9674092010"/>
  </r>
  <r>
    <s v="RCF Trombay"/>
    <s v="15-15-15"/>
    <s v="WB"/>
    <x v="1"/>
    <s v="Sonarpur"/>
    <s v="User Not Mapped"/>
    <s v="User Not Mapped"/>
    <s v="User Not Mapped"/>
    <n v="1256864"/>
    <s v="NATUNHAT KRISHI BHANDAR"/>
    <s v="Private Retailer"/>
    <s v="6290197241"/>
    <n v="0.2"/>
    <n v="144"/>
    <x v="0"/>
    <m/>
    <s v="2025-12-04"/>
    <s v="269533"/>
    <s v="Hasya Badhan Makhal"/>
    <s v="9674092010"/>
  </r>
  <r>
    <s v="RCF Trombay"/>
    <s v="15-15-15"/>
    <s v="WB"/>
    <x v="1"/>
    <s v="Sonarpur"/>
    <s v="User Not Mapped"/>
    <s v="User Not Mapped"/>
    <s v="User Not Mapped"/>
    <n v="1441647"/>
    <s v="M/S FERTILIZER SHOP"/>
    <s v="Private Retailer"/>
    <s v="8274847927"/>
    <n v="0.25"/>
    <n v="103"/>
    <x v="5"/>
    <m/>
    <s v="2026-01-14"/>
    <s v="269946"/>
    <s v="M/s. Janardan Parui"/>
    <s v="6290703360"/>
  </r>
  <r>
    <s v="RCF Import"/>
    <s v="Imp 10-26-26"/>
    <s v="WB"/>
    <x v="1"/>
    <s v="Thakurpukur Mahestola"/>
    <s v="User Not Mapped"/>
    <s v="User Not Mapped"/>
    <s v="User Not Mapped"/>
    <n v="281049"/>
    <s v="Bimal Chandra Sardar"/>
    <s v="Private Retailer"/>
    <s v="9123868622"/>
    <n v="0.25"/>
    <n v="49"/>
    <x v="1"/>
    <m/>
    <s v="2026-03-09"/>
    <s v="269946"/>
    <s v="M/s. Janardan Parui"/>
    <s v="6290703360"/>
  </r>
  <r>
    <s v="RCF Thal"/>
    <s v="N.C.Urea(45kg)"/>
    <s v="WB"/>
    <x v="1"/>
    <s v="Thakurpukur Mahestola"/>
    <s v="User Not Mapped"/>
    <s v="User Not Mapped"/>
    <s v="User Not Mapped"/>
    <n v="355694"/>
    <s v="Moniruzaman Krishi Bhandar"/>
    <s v="Private Retailer"/>
    <s v="9609423691"/>
    <n v="10.59"/>
    <n v="45"/>
    <x v="1"/>
    <m/>
    <s v="2026-03-13"/>
    <s v="356406"/>
    <s v="Sonali Krishi Bhander"/>
    <s v="6294305762"/>
  </r>
  <r>
    <s v="RCF Import"/>
    <s v="MOP"/>
    <s v="WB"/>
    <x v="1"/>
    <s v="Thakurpukur Mahestola"/>
    <s v="User Not Mapped"/>
    <s v="User Not Mapped"/>
    <s v="User Not Mapped"/>
    <n v="355694"/>
    <s v="Moniruzaman Krishi Bhandar"/>
    <s v="Private Retailer"/>
    <s v="9609423691"/>
    <n v="5.5"/>
    <n v="66"/>
    <x v="2"/>
    <m/>
    <s v="2026-02-20"/>
    <s v="356406"/>
    <s v="Sonali Krishi Bhander"/>
    <s v="6294305762"/>
  </r>
  <r>
    <s v="RCF Trombay"/>
    <s v="N.C.Urea(45kg)"/>
    <s v="WB"/>
    <x v="1"/>
    <s v="Thakurpukur Mahestola"/>
    <s v="User Not Mapped"/>
    <s v="User Not Mapped"/>
    <s v="User Not Mapped"/>
    <n v="355694"/>
    <s v="Moniruzaman Krishi Bhandar"/>
    <s v="Private Retailer"/>
    <s v="9609423691"/>
    <n v="2.1"/>
    <n v="589"/>
    <x v="7"/>
    <m/>
    <s v="2024-09-15"/>
    <s v="1023423"/>
    <s v="MONIRUZZAMAN KRISHI BHANDER"/>
    <s v="9609423691"/>
  </r>
  <r>
    <s v="RCF Thal"/>
    <s v="N.C.Urea(45kg)"/>
    <s v="WB"/>
    <x v="1"/>
    <s v="Thakurpukur Mahestola"/>
    <s v="User Not Mapped"/>
    <s v="User Not Mapped"/>
    <s v="User Not Mapped"/>
    <n v="385516"/>
    <s v="Bidhan Ranjan Mondal"/>
    <s v="Private Retailer"/>
    <s v="9051406692"/>
    <n v="3.07"/>
    <n v="810"/>
    <x v="7"/>
    <m/>
    <s v="2024-02-07"/>
    <s v="281181"/>
    <s v="R. B. Agro Enterprise"/>
    <s v="9903110185"/>
  </r>
  <r>
    <s v="RCF Trombay"/>
    <s v="N.C.Urea(45kg)"/>
    <s v="WB"/>
    <x v="1"/>
    <s v="Thakurpukur Mahestola"/>
    <s v="User Not Mapped"/>
    <s v="User Not Mapped"/>
    <s v="User Not Mapped"/>
    <n v="460689"/>
    <s v="Patra Fertilisers"/>
    <s v="Private Retailer"/>
    <s v="9051307752"/>
    <n v="0.40500000000000003"/>
    <n v="651"/>
    <x v="7"/>
    <m/>
    <s v="2024-07-15"/>
    <s v="269533"/>
    <s v="Hasya Badhan Makhal"/>
    <s v="9674092010"/>
  </r>
  <r>
    <s v="RCF Thal"/>
    <s v="N.C.Urea(45kg)"/>
    <s v="WB"/>
    <x v="1"/>
    <s v="Thakurpukur Mahestola"/>
    <s v="User Not Mapped"/>
    <s v="User Not Mapped"/>
    <s v="User Not Mapped"/>
    <n v="470882"/>
    <s v="Sushil Sardar"/>
    <s v="Private Retailer"/>
    <s v="9674516062"/>
    <n v="0.45"/>
    <n v="233"/>
    <x v="3"/>
    <m/>
    <s v="2025-09-06"/>
    <s v="281125"/>
    <s v="Manoda Fertilisers            "/>
    <s v="9830280488"/>
  </r>
  <r>
    <s v="RCF Trombay"/>
    <s v="15-15-15"/>
    <s v="WB"/>
    <x v="1"/>
    <m/>
    <s v="User Not Mapped"/>
    <s v="User Not Mapped"/>
    <s v="User Not Mapped"/>
    <n v="269305"/>
    <s v="Gosto Behari Naskar"/>
    <s v="State Marketing Federation"/>
    <s v="8116590922"/>
    <n v="0.3"/>
    <n v="1252"/>
    <x v="7"/>
    <m/>
    <s v="2022-11-22"/>
    <s v="269533"/>
    <s v="Hasya Badhan Makhal"/>
    <s v="9674092010"/>
  </r>
  <r>
    <s v="RCF Trombay"/>
    <s v="15-15-15"/>
    <s v="WB"/>
    <x v="1"/>
    <m/>
    <s v="User Not Mapped"/>
    <s v="User Not Mapped"/>
    <s v="User Not Mapped"/>
    <n v="281127"/>
    <s v=" Gandhari Bhander (Sukumar Hal"/>
    <s v="Private Retailer"/>
    <s v="9647141906"/>
    <n v="1"/>
    <n v="1487"/>
    <x v="7"/>
    <m/>
    <s v="2022-04-01"/>
    <s v="281125"/>
    <s v="Manoda Fertilisers            "/>
    <s v="9830280488"/>
  </r>
  <r>
    <s v="RCF Trombay"/>
    <s v="N.C.Urea(45kg)"/>
    <s v="WB"/>
    <x v="1"/>
    <m/>
    <s v="User Not Mapped"/>
    <s v="User Not Mapped"/>
    <s v="User Not Mapped"/>
    <n v="281127"/>
    <s v=" Gandhari Bhander (Sukumar Hal"/>
    <s v="Private Retailer"/>
    <s v="9647141906"/>
    <n v="1.45"/>
    <n v="2089"/>
    <x v="7"/>
    <m/>
    <s v="2020-08-07"/>
    <s v="281125"/>
    <s v="Manoda Fertilisers            "/>
    <s v="9830280488"/>
  </r>
  <r>
    <s v="RCF Trombay"/>
    <s v="15-15-15"/>
    <s v="WB"/>
    <x v="1"/>
    <m/>
    <s v="User Not Mapped"/>
    <s v="User Not Mapped"/>
    <s v="User Not Mapped"/>
    <n v="281127"/>
    <s v=" Gandhari Bhander (Sukumar Hal"/>
    <s v="Private Retailer"/>
    <s v="9647141906"/>
    <n v="0.25"/>
    <n v="1616"/>
    <x v="7"/>
    <m/>
    <s v="2021-11-23"/>
    <s v="281125"/>
    <s v="Manoda Fertilisers            "/>
    <s v="9830280488"/>
  </r>
  <r>
    <s v="RCF Thal"/>
    <s v="N.C.Urea(45kg)"/>
    <s v="WB"/>
    <x v="1"/>
    <m/>
    <s v="User Not Mapped"/>
    <s v="User Not Mapped"/>
    <s v="User Not Mapped"/>
    <n v="290783"/>
    <s v="M/S Fatema Fertiliser"/>
    <s v="Private Retailer"/>
    <s v="9733981911"/>
    <n v="0.27"/>
    <n v="2602"/>
    <x v="7"/>
    <m/>
    <s v="2019-03-13"/>
    <s v="281135"/>
    <s v="Md Alauddin Mollick"/>
    <s v="8926710497"/>
  </r>
  <r>
    <s v="RCF Trombay"/>
    <s v="15-15-15"/>
    <s v="WB"/>
    <x v="1"/>
    <m/>
    <s v="User Not Mapped"/>
    <s v="User Not Mapped"/>
    <s v="User Not Mapped"/>
    <n v="290783"/>
    <s v="M/S Fatema Fertiliser"/>
    <s v="Private Retailer"/>
    <s v="9733981911"/>
    <n v="0.3"/>
    <n v="2673"/>
    <x v="7"/>
    <m/>
    <s v="2019-01-01"/>
    <s v="11"/>
    <s v="Too Old Stock"/>
    <m/>
  </r>
  <r>
    <s v="RCF Trombay"/>
    <s v="15-15-15"/>
    <s v="WB"/>
    <x v="1"/>
    <m/>
    <s v="User Not Mapped"/>
    <s v="User Not Mapped"/>
    <s v="User Not Mapped"/>
    <n v="309239"/>
    <s v="Das Fertilizer P Pradip Kr Das"/>
    <s v="Private Retailer"/>
    <s v="9732680948"/>
    <n v="0.5"/>
    <n v="2673"/>
    <x v="7"/>
    <m/>
    <s v="2019-01-01"/>
    <s v="11"/>
    <s v="Too Old Stock"/>
    <m/>
  </r>
  <r>
    <s v="RCF Trombay"/>
    <s v="N.C.Urea(45kg)"/>
    <s v="WB"/>
    <x v="1"/>
    <m/>
    <s v="User Not Mapped"/>
    <s v="User Not Mapped"/>
    <s v="User Not Mapped"/>
    <n v="309246"/>
    <s v="M/S Ghosh Krishi Bipani"/>
    <s v="Private Retailer"/>
    <s v="9735558270"/>
    <n v="1.25"/>
    <n v="2625"/>
    <x v="7"/>
    <m/>
    <s v="2019-02-18"/>
    <s v="281181"/>
    <s v="R. B. Agro Enterprise"/>
    <s v="9903110185"/>
  </r>
  <r>
    <s v="RCF Trombay"/>
    <s v="15-15-15"/>
    <s v="WB"/>
    <x v="1"/>
    <m/>
    <s v="User Not Mapped"/>
    <s v="User Not Mapped"/>
    <s v="User Not Mapped"/>
    <n v="341747"/>
    <s v="Maa Kali Krishi Bhandar"/>
    <s v="Private Retailer"/>
    <s v="9434622055"/>
    <n v="1.4999999999999999E-2"/>
    <n v="2673"/>
    <x v="7"/>
    <m/>
    <s v="2019-01-01"/>
    <s v="11"/>
    <s v="Too Old Stock"/>
    <m/>
  </r>
  <r>
    <s v="RCF Trombay"/>
    <s v="15-15-15"/>
    <s v="WB"/>
    <x v="1"/>
    <m/>
    <s v="User Not Mapped"/>
    <s v="User Not Mapped"/>
    <s v="User Not Mapped"/>
    <n v="342378"/>
    <s v="Sundarban Agro Service"/>
    <s v="Private Retailer"/>
    <s v="8900726599"/>
    <n v="0.16500000000000001"/>
    <n v="2490"/>
    <x v="7"/>
    <m/>
    <s v="2019-07-03"/>
    <s v="342387"/>
    <s v="Sundarban Agro Service"/>
    <s v="8900726599"/>
  </r>
  <r>
    <s v="RCF Thal"/>
    <s v="N.C.Urea(45kg)"/>
    <s v="WB"/>
    <x v="1"/>
    <m/>
    <s v="User Not Mapped"/>
    <s v="User Not Mapped"/>
    <s v="User Not Mapped"/>
    <n v="342378"/>
    <s v="Sundarban Agro Service"/>
    <s v="Private Retailer"/>
    <s v="8900726599"/>
    <n v="2.2949999999999999"/>
    <n v="1406"/>
    <x v="7"/>
    <m/>
    <s v="2022-06-21"/>
    <s v="269946"/>
    <s v="M/s. Janardan Parui"/>
    <s v="6290703360"/>
  </r>
  <r>
    <s v="RCF Import"/>
    <s v="MOP"/>
    <s v="WB"/>
    <x v="1"/>
    <m/>
    <s v="User Not Mapped"/>
    <s v="User Not Mapped"/>
    <s v="User Not Mapped"/>
    <n v="355164"/>
    <s v="Kayal Fertilizer"/>
    <s v="Private Retailer"/>
    <s v="8972537587"/>
    <n v="1.75"/>
    <n v="58"/>
    <x v="1"/>
    <m/>
    <s v="2026-02-28"/>
    <s v="280736"/>
    <s v="M/S TAPAN KUMAR KARMAKAR"/>
    <s v="7584080473"/>
  </r>
  <r>
    <s v="RCF Trombay"/>
    <s v="15-15-15"/>
    <s v="WB"/>
    <x v="1"/>
    <m/>
    <s v="User Not Mapped"/>
    <s v="User Not Mapped"/>
    <s v="User Not Mapped"/>
    <n v="355354"/>
    <s v="Mayafertilzers"/>
    <s v="Private Retailer"/>
    <s v="8013352550"/>
    <n v="0.5"/>
    <n v="2673"/>
    <x v="7"/>
    <m/>
    <s v="2019-01-01"/>
    <s v="11"/>
    <s v="Too Old Stock"/>
    <m/>
  </r>
  <r>
    <s v="RCF Thal"/>
    <s v="N.C.Urea(45kg)"/>
    <s v="WB"/>
    <x v="1"/>
    <m/>
    <s v="User Not Mapped"/>
    <s v="User Not Mapped"/>
    <s v="User Not Mapped"/>
    <n v="355660"/>
    <s v="Minajkrishi Bhandar"/>
    <s v="Private Retailer"/>
    <s v="9735761405"/>
    <n v="1.98"/>
    <n v="1706"/>
    <x v="7"/>
    <m/>
    <s v="2021-08-25"/>
    <s v="290840"/>
    <s v="N C Das &amp; Company"/>
    <s v="7365868045"/>
  </r>
  <r>
    <s v="RCF Thal"/>
    <s v="N.C.Urea(45kg)"/>
    <s v="WB"/>
    <x v="1"/>
    <m/>
    <s v="User Not Mapped"/>
    <s v="User Not Mapped"/>
    <s v="User Not Mapped"/>
    <n v="355813"/>
    <s v="Nimai Das"/>
    <s v="Private Retailer"/>
    <s v="9830009416"/>
    <n v="0.34"/>
    <n v="1685"/>
    <x v="7"/>
    <m/>
    <s v="2021-09-15"/>
    <s v="269946"/>
    <s v="M/s. Janardan Parui"/>
    <s v="6290703360"/>
  </r>
  <r>
    <s v="RCF Trombay"/>
    <s v="15-15-15"/>
    <s v="WB"/>
    <x v="1"/>
    <m/>
    <s v="User Not Mapped"/>
    <s v="User Not Mapped"/>
    <s v="User Not Mapped"/>
    <n v="355983"/>
    <s v="Rahim Baksh Mistry"/>
    <s v="Private Retailer"/>
    <s v="9732607675"/>
    <n v="5.0000000000000001E-3"/>
    <n v="2329"/>
    <x v="7"/>
    <m/>
    <s v="2019-12-11"/>
    <s v="281181"/>
    <s v="R. B. Agro Enterprise"/>
    <s v="9903110185"/>
  </r>
  <r>
    <s v="RCF Thal"/>
    <s v="N.C.Urea(45kg)"/>
    <s v="WB"/>
    <x v="1"/>
    <m/>
    <s v="User Not Mapped"/>
    <s v="User Not Mapped"/>
    <s v="User Not Mapped"/>
    <n v="355983"/>
    <s v="Rahim Baksh Mistry"/>
    <s v="Private Retailer"/>
    <s v="9732607675"/>
    <n v="2.3E-2"/>
    <n v="2327"/>
    <x v="7"/>
    <m/>
    <s v="2019-12-13"/>
    <s v="281181"/>
    <s v="R. B. Agro Enterprise"/>
    <s v="9903110185"/>
  </r>
  <r>
    <s v="RCF Thal"/>
    <s v="N.C.Urea(45kg)"/>
    <s v="WB"/>
    <x v="1"/>
    <m/>
    <s v="User Not Mapped"/>
    <s v="User Not Mapped"/>
    <s v="User Not Mapped"/>
    <n v="387489"/>
    <s v="Jagat Makhal"/>
    <s v="Private Retailer"/>
    <s v="9874188178"/>
    <n v="0.4"/>
    <n v="1536"/>
    <x v="7"/>
    <m/>
    <s v="2022-02-11"/>
    <s v="269533"/>
    <s v="Hasya Badhan Makhal"/>
    <s v="9674092010"/>
  </r>
  <r>
    <s v="RCF Trombay"/>
    <s v="N.C.Urea(45kg)"/>
    <s v="WB"/>
    <x v="1"/>
    <m/>
    <s v="User Not Mapped"/>
    <s v="User Not Mapped"/>
    <s v="User Not Mapped"/>
    <n v="387489"/>
    <s v="Jagat Makhal"/>
    <s v="Private Retailer"/>
    <s v="9874188178"/>
    <n v="0.45"/>
    <n v="1239"/>
    <x v="7"/>
    <m/>
    <s v="2022-12-05"/>
    <s v="269533"/>
    <s v="Hasya Badhan Makhal"/>
    <s v="9674092010"/>
  </r>
  <r>
    <s v="RCF Trombay"/>
    <s v="15-15-15"/>
    <s v="WB"/>
    <x v="1"/>
    <m/>
    <s v="User Not Mapped"/>
    <s v="User Not Mapped"/>
    <s v="User Not Mapped"/>
    <n v="456050"/>
    <s v="Ujjir Houssen Mondal"/>
    <s v="Private Retailer"/>
    <s v="9230113589"/>
    <n v="0.15"/>
    <n v="2673"/>
    <x v="7"/>
    <m/>
    <s v="2019-01-01"/>
    <s v="11"/>
    <s v="Too Old Stock"/>
    <m/>
  </r>
  <r>
    <s v="RCF Trombay"/>
    <s v="15-15-15"/>
    <s v="WB"/>
    <x v="1"/>
    <m/>
    <s v="User Not Mapped"/>
    <s v="User Not Mapped"/>
    <s v="User Not Mapped"/>
    <n v="456584"/>
    <s v="M/S Razzaque Safui"/>
    <s v="Private Retailer"/>
    <s v="9163529362"/>
    <n v="0.1"/>
    <n v="2673"/>
    <x v="7"/>
    <m/>
    <s v="2019-01-01"/>
    <s v="11"/>
    <s v="Too Old Stock"/>
    <m/>
  </r>
  <r>
    <s v="RCF Trombay"/>
    <s v="15-15-15"/>
    <s v="WB"/>
    <x v="1"/>
    <m/>
    <s v="User Not Mapped"/>
    <s v="User Not Mapped"/>
    <s v="User Not Mapped"/>
    <n v="456864"/>
    <s v="M/S Abul Hossen Laskar"/>
    <s v="Private Retailer"/>
    <s v="8910633748"/>
    <n v="0.2"/>
    <n v="2035"/>
    <x v="7"/>
    <m/>
    <s v="2020-09-30"/>
    <s v="281135"/>
    <s v="Md Alauddin Mollick"/>
    <s v="8926710497"/>
  </r>
  <r>
    <s v="RCF Trombay"/>
    <s v="15-15-15"/>
    <s v="WB"/>
    <x v="1"/>
    <m/>
    <s v="User Not Mapped"/>
    <s v="User Not Mapped"/>
    <s v="User Not Mapped"/>
    <n v="460825"/>
    <s v="Giri Krishi Bhander"/>
    <s v="Private Retailer"/>
    <s v="8768801560"/>
    <n v="0.1"/>
    <n v="2673"/>
    <x v="7"/>
    <m/>
    <s v="2019-01-01"/>
    <s v="11"/>
    <s v="Too Old Stock"/>
    <m/>
  </r>
  <r>
    <s v="RCF Thal"/>
    <s v="N.C.Urea(45kg)"/>
    <s v="WB"/>
    <x v="1"/>
    <m/>
    <s v="User Not Mapped"/>
    <s v="User Not Mapped"/>
    <s v="User Not Mapped"/>
    <n v="461113"/>
    <s v="Paul Krishi Bhander"/>
    <s v="Private Retailer"/>
    <s v="7001336118"/>
    <n v="5.0000000000000001E-3"/>
    <n v="1186"/>
    <x v="7"/>
    <m/>
    <s v="2023-01-27"/>
    <s v="281181"/>
    <s v="R. B. Agro Enterprise"/>
    <s v="9903110185"/>
  </r>
  <r>
    <s v="RCF Import"/>
    <s v="MOP"/>
    <s v="WB"/>
    <x v="1"/>
    <m/>
    <s v="User Not Mapped"/>
    <s v="User Not Mapped"/>
    <s v="User Not Mapped"/>
    <n v="461141"/>
    <s v=" M/S Sardar Sar Bhander"/>
    <s v="Private Retailer"/>
    <s v="8609494123"/>
    <n v="0.75"/>
    <n v="58"/>
    <x v="1"/>
    <m/>
    <s v="2026-02-28"/>
    <s v="280736"/>
    <s v="M/S TAPAN KUMAR KARMAKAR"/>
    <s v="7584080473"/>
  </r>
  <r>
    <s v="RCF Trombay"/>
    <s v="15-15-15"/>
    <s v="WB"/>
    <x v="1"/>
    <m/>
    <s v="User Not Mapped"/>
    <s v="User Not Mapped"/>
    <s v="User Not Mapped"/>
    <n v="461145"/>
    <s v="Rakesh Sar Bhander"/>
    <s v="Private Retailer"/>
    <s v="8145258385"/>
    <n v="0.2"/>
    <n v="27"/>
    <x v="4"/>
    <m/>
    <s v="2026-03-31"/>
    <s v="269946"/>
    <s v="M/s. Janardan Parui"/>
    <s v="6290703360"/>
  </r>
  <r>
    <s v="RCF Trombay"/>
    <s v="15-15-15"/>
    <s v="WB"/>
    <x v="1"/>
    <m/>
    <s v="User Not Mapped"/>
    <s v="User Not Mapped"/>
    <s v="User Not Mapped"/>
    <n v="461626"/>
    <s v="Bour Fertilisers"/>
    <s v="Private Retailer"/>
    <s v="9635394780"/>
    <n v="0.9"/>
    <n v="2296"/>
    <x v="7"/>
    <m/>
    <s v="2020-01-13"/>
    <s v="268665"/>
    <s v="Bhabasindhu Halder"/>
    <s v="8926428665"/>
  </r>
  <r>
    <s v="RCF Thal"/>
    <s v="N.C.Urea(45kg)"/>
    <s v="WB"/>
    <x v="1"/>
    <m/>
    <s v="User Not Mapped"/>
    <s v="User Not Mapped"/>
    <s v="User Not Mapped"/>
    <n v="461626"/>
    <s v="Bour Fertilisers"/>
    <s v="Private Retailer"/>
    <s v="9635394780"/>
    <n v="0.97"/>
    <n v="2247"/>
    <x v="7"/>
    <m/>
    <s v="2020-03-02"/>
    <s v="268665"/>
    <s v="Bhabasindhu Halder"/>
    <s v="8926428665"/>
  </r>
  <r>
    <s v="RCF Trombay"/>
    <s v="15-15-15"/>
    <s v="WB"/>
    <x v="1"/>
    <m/>
    <s v="User Not Mapped"/>
    <s v="User Not Mapped"/>
    <s v="User Not Mapped"/>
    <n v="461638"/>
    <s v="Bishalaxmi Bhander"/>
    <s v="Private Retailer"/>
    <s v="9647456657"/>
    <n v="0.20499999999999999"/>
    <n v="2033"/>
    <x v="7"/>
    <m/>
    <s v="2020-10-02"/>
    <s v="270099"/>
    <s v="Kakdwip Krishi Bandr"/>
    <s v="9933502068"/>
  </r>
  <r>
    <s v="RCF Trombay"/>
    <s v="N.C.Urea(45kg)"/>
    <s v="WB"/>
    <x v="1"/>
    <m/>
    <s v="User Not Mapped"/>
    <s v="User Not Mapped"/>
    <s v="User Not Mapped"/>
    <n v="461648"/>
    <s v="Chasi Bandhu Sar Bhander"/>
    <s v="Private Retailer"/>
    <s v="9635465326"/>
    <n v="1.5249999999999999"/>
    <n v="1332"/>
    <x v="7"/>
    <m/>
    <s v="2022-09-03"/>
    <s v="269946"/>
    <s v="M/s. Janardan Parui"/>
    <s v="6290703360"/>
  </r>
  <r>
    <s v="RCF Trombay"/>
    <s v="15-15-15"/>
    <s v="WB"/>
    <x v="1"/>
    <m/>
    <s v="User Not Mapped"/>
    <s v="User Not Mapped"/>
    <s v="User Not Mapped"/>
    <n v="461650"/>
    <s v="M/S. Makali Krishi Bhander"/>
    <s v="Private Retailer"/>
    <s v="9733778185"/>
    <n v="0.05"/>
    <n v="2673"/>
    <x v="7"/>
    <m/>
    <s v="2019-01-01"/>
    <s v="11"/>
    <s v="Too Old Stock"/>
    <m/>
  </r>
  <r>
    <s v="RCF Trombay"/>
    <s v="15-15-15"/>
    <s v="WB"/>
    <x v="1"/>
    <m/>
    <s v="User Not Mapped"/>
    <s v="User Not Mapped"/>
    <s v="User Not Mapped"/>
    <n v="462697"/>
    <s v="Malaxmi Krishi Bhander"/>
    <s v="Private Retailer"/>
    <s v="9547142306"/>
    <n v="0.5"/>
    <n v="1897"/>
    <x v="7"/>
    <m/>
    <s v="2021-02-15"/>
    <s v="342387"/>
    <s v="Sundarban Agro Service"/>
    <s v="8900726599"/>
  </r>
  <r>
    <s v="RCF Trombay"/>
    <s v="15-15-15"/>
    <s v="WB"/>
    <x v="1"/>
    <m/>
    <s v="User Not Mapped"/>
    <s v="User Not Mapped"/>
    <s v="User Not Mapped"/>
    <n v="463315"/>
    <s v="Maatri Fertilisers"/>
    <s v="Private Retailer"/>
    <s v="7478731390"/>
    <n v="2.1000000000000001E-2"/>
    <n v="2425"/>
    <x v="7"/>
    <m/>
    <s v="2019-09-06"/>
    <s v="224553"/>
    <s v="Kirtibas Kapat (A.S.C.)"/>
    <s v="9064538989"/>
  </r>
  <r>
    <s v="RCF Trombay"/>
    <s v="15-15-15"/>
    <s v="WB"/>
    <x v="1"/>
    <m/>
    <s v="User Not Mapped"/>
    <s v="User Not Mapped"/>
    <s v="User Not Mapped"/>
    <n v="465944"/>
    <s v="Barun Samanta"/>
    <s v="Private Retailer"/>
    <s v="8944960705"/>
    <n v="0.04"/>
    <n v="2673"/>
    <x v="7"/>
    <m/>
    <s v="2019-01-01"/>
    <s v="11"/>
    <s v="Too Old Stock"/>
    <m/>
  </r>
  <r>
    <s v="RCF Trombay"/>
    <s v="15-15-15"/>
    <s v="WB"/>
    <x v="1"/>
    <m/>
    <s v="User Not Mapped"/>
    <s v="User Not Mapped"/>
    <s v="User Not Mapped"/>
    <n v="465948"/>
    <s v="Maakali Sar Bhander"/>
    <s v="Private Retailer"/>
    <s v="9735344481"/>
    <n v="0.4"/>
    <n v="1531"/>
    <x v="7"/>
    <m/>
    <s v="2022-02-16"/>
    <s v="342387"/>
    <s v="Sundarban Agro Service"/>
    <s v="8900726599"/>
  </r>
  <r>
    <s v="RCF Trombay"/>
    <s v="15-15-15"/>
    <s v="WB"/>
    <x v="1"/>
    <m/>
    <s v="User Not Mapped"/>
    <s v="User Not Mapped"/>
    <s v="User Not Mapped"/>
    <n v="465952"/>
    <s v="Kbd Krishi Bhander"/>
    <s v="Private Retailer"/>
    <s v="9733545149"/>
    <n v="0.157"/>
    <n v="2673"/>
    <x v="7"/>
    <m/>
    <s v="2019-01-01"/>
    <s v="11"/>
    <s v="Too Old Stock"/>
    <m/>
  </r>
  <r>
    <s v="RCF Thal"/>
    <s v="N.C.Urea(45kg)"/>
    <s v="WB"/>
    <x v="1"/>
    <m/>
    <s v="User Not Mapped"/>
    <s v="User Not Mapped"/>
    <s v="User Not Mapped"/>
    <n v="466831"/>
    <s v="Dadhiram Pramanik"/>
    <s v="Private Retailer"/>
    <s v="9733833395"/>
    <n v="1.335"/>
    <n v="1976"/>
    <x v="7"/>
    <m/>
    <s v="2020-11-28"/>
    <s v="775216"/>
    <s v="MA NAMITA ENTERPRISE"/>
    <s v="7699295315"/>
  </r>
  <r>
    <s v="RCF Trombay"/>
    <s v="N.C.Urea(45kg)"/>
    <s v="WB"/>
    <x v="1"/>
    <m/>
    <s v="User Not Mapped"/>
    <s v="User Not Mapped"/>
    <s v="User Not Mapped"/>
    <n v="466831"/>
    <s v="Dadhiram Pramanik"/>
    <s v="Private Retailer"/>
    <s v="9733833395"/>
    <n v="8.2750000000000004"/>
    <n v="1458"/>
    <x v="7"/>
    <m/>
    <s v="2022-04-30"/>
    <s v="281181"/>
    <s v="R. B. Agro Enterprise"/>
    <s v="9903110185"/>
  </r>
  <r>
    <s v="RCF Trombay"/>
    <s v="15-15-15"/>
    <s v="WB"/>
    <x v="1"/>
    <m/>
    <s v="User Not Mapped"/>
    <s v="User Not Mapped"/>
    <s v="User Not Mapped"/>
    <n v="469794"/>
    <s v="Dulal Das"/>
    <s v="Private Retailer"/>
    <s v="8001764709"/>
    <n v="1.9E-2"/>
    <n v="1937"/>
    <x v="7"/>
    <m/>
    <s v="2021-01-06"/>
    <s v="270099"/>
    <s v="Kakdwip Krishi Bandr"/>
    <s v="9933502068"/>
  </r>
  <r>
    <s v="RCF Trombay"/>
    <s v="15-15-15"/>
    <s v="WB"/>
    <x v="1"/>
    <m/>
    <s v="User Not Mapped"/>
    <s v="User Not Mapped"/>
    <s v="User Not Mapped"/>
    <n v="469840"/>
    <s v="Md. Mosaraf Ali"/>
    <s v="Private Retailer"/>
    <s v="9609433165"/>
    <n v="0.15"/>
    <n v="2673"/>
    <x v="7"/>
    <m/>
    <s v="2019-01-01"/>
    <s v="11"/>
    <s v="Too Old Stock"/>
    <m/>
  </r>
  <r>
    <s v="RCF Trombay"/>
    <s v="15-15-15"/>
    <s v="WB"/>
    <x v="1"/>
    <m/>
    <s v="User Not Mapped"/>
    <s v="User Not Mapped"/>
    <s v="User Not Mapped"/>
    <n v="469844"/>
    <s v="Md. Abdul Ahid Molla"/>
    <s v="Private Retailer"/>
    <s v="9734270182"/>
    <n v="1.1000000000000001"/>
    <n v="1874"/>
    <x v="7"/>
    <m/>
    <s v="2021-03-10"/>
    <s v="355645"/>
    <s v="M/s. Md Sahidul Islam"/>
    <s v="9883502324"/>
  </r>
  <r>
    <s v="RCF Thal"/>
    <s v="N.C.Urea(45kg)"/>
    <s v="WB"/>
    <x v="1"/>
    <m/>
    <s v="User Not Mapped"/>
    <s v="User Not Mapped"/>
    <s v="User Not Mapped"/>
    <n v="469844"/>
    <s v="Md. Abdul Ahid Molla"/>
    <s v="Private Retailer"/>
    <s v="9734270182"/>
    <n v="4.5449999999999999"/>
    <n v="1833"/>
    <x v="7"/>
    <m/>
    <s v="2021-04-20"/>
    <s v="506846"/>
    <s v="Adarsha Krishi fertilizer"/>
    <s v="9832639301"/>
  </r>
  <r>
    <s v="RCF Trombay"/>
    <s v="15-15-15"/>
    <s v="WB"/>
    <x v="1"/>
    <m/>
    <s v="User Not Mapped"/>
    <s v="User Not Mapped"/>
    <s v="User Not Mapped"/>
    <n v="469844"/>
    <s v="Md. Abdul Ahid Molla"/>
    <s v="Private Retailer"/>
    <s v="9734270182"/>
    <n v="2.5"/>
    <n v="1243"/>
    <x v="7"/>
    <m/>
    <s v="2022-12-01"/>
    <s v="506846"/>
    <s v="Adarsha Krishi fertilizer"/>
    <s v="9832639301"/>
  </r>
  <r>
    <s v="RCF Trombay"/>
    <s v="15-15-15"/>
    <s v="WB"/>
    <x v="1"/>
    <m/>
    <s v="User Not Mapped"/>
    <s v="User Not Mapped"/>
    <s v="User Not Mapped"/>
    <n v="483186"/>
    <s v="Radha Madhab Krishi Bhander"/>
    <s v="Private Retailer"/>
    <s v="9564489976"/>
    <n v="0.5"/>
    <n v="1999"/>
    <x v="7"/>
    <m/>
    <s v="2020-11-05"/>
    <s v="224553"/>
    <s v="Kirtibas Kapat (A.S.C.)"/>
    <s v="9064538989"/>
  </r>
  <r>
    <s v="RCF Trombay"/>
    <s v="15-15-15"/>
    <s v="WB"/>
    <x v="1"/>
    <m/>
    <s v="User Not Mapped"/>
    <s v="User Not Mapped"/>
    <s v="User Not Mapped"/>
    <n v="483186"/>
    <s v="Radha Madhab Krishi Bhander"/>
    <s v="Private Retailer"/>
    <s v="9564489976"/>
    <n v="1"/>
    <n v="2553"/>
    <x v="7"/>
    <m/>
    <s v="2019-05-01"/>
    <s v="342387"/>
    <s v="Sundarban Agro Service"/>
    <s v="8900726599"/>
  </r>
  <r>
    <s v="RCF Trombay"/>
    <s v="15-15-15"/>
    <s v="WB"/>
    <x v="1"/>
    <m/>
    <s v="User Not Mapped"/>
    <s v="User Not Mapped"/>
    <s v="User Not Mapped"/>
    <n v="483186"/>
    <s v="Radha Madhab Krishi Bhander"/>
    <s v="Private Retailer"/>
    <s v="9564489976"/>
    <n v="2.133"/>
    <n v="2673"/>
    <x v="7"/>
    <m/>
    <s v="2019-01-01"/>
    <s v="11"/>
    <s v="Too Old Stock"/>
    <m/>
  </r>
  <r>
    <s v="RCF Import"/>
    <s v="MOP"/>
    <s v="WB"/>
    <x v="1"/>
    <m/>
    <s v="User Not Mapped"/>
    <s v="User Not Mapped"/>
    <s v="User Not Mapped"/>
    <n v="488670"/>
    <s v="Gopal Sar Bhandar"/>
    <s v="Private Retailer"/>
    <s v="8609610052"/>
    <n v="1"/>
    <n v="58"/>
    <x v="1"/>
    <m/>
    <s v="2026-02-28"/>
    <s v="280736"/>
    <s v="M/S TAPAN KUMAR KARMAKAR"/>
    <s v="7584080473"/>
  </r>
  <r>
    <s v="RCF Thal"/>
    <s v="N.C.Urea(45kg)"/>
    <s v="WB"/>
    <x v="1"/>
    <m/>
    <s v="User Not Mapped"/>
    <s v="User Not Mapped"/>
    <s v="User Not Mapped"/>
    <n v="489665"/>
    <s v="M/s Biswas Krishi Bhandar"/>
    <s v="Private Retailer"/>
    <s v="9775643371"/>
    <n v="1.0349999999999999"/>
    <n v="893"/>
    <x v="7"/>
    <m/>
    <s v="2023-11-16"/>
    <s v="281181"/>
    <s v="R. B. Agro Enterprise"/>
    <s v="9903110185"/>
  </r>
  <r>
    <s v="RCF Trombay"/>
    <s v="N.C.Urea(45kg)"/>
    <s v="WB"/>
    <x v="1"/>
    <m/>
    <s v="User Not Mapped"/>
    <s v="User Not Mapped"/>
    <s v="User Not Mapped"/>
    <n v="498710"/>
    <s v="Balai Lal Bag"/>
    <s v="Private Retailer"/>
    <s v="7278167903"/>
    <n v="2.585"/>
    <n v="2673"/>
    <x v="7"/>
    <m/>
    <s v="2019-01-01"/>
    <s v="11"/>
    <s v="Too Old Stock"/>
    <m/>
  </r>
  <r>
    <s v="RCF Import"/>
    <s v="Imp DAP"/>
    <s v="WB"/>
    <x v="1"/>
    <m/>
    <s v="User Not Mapped"/>
    <s v="User Not Mapped"/>
    <s v="User Not Mapped"/>
    <n v="498710"/>
    <s v="Balai Lal Bag"/>
    <s v="Private Retailer"/>
    <s v="7278167903"/>
    <n v="0.15"/>
    <n v="2659"/>
    <x v="7"/>
    <m/>
    <s v="2019-01-15"/>
    <s v="269533"/>
    <s v="Hasya Badhan Makhal"/>
    <s v="9674092010"/>
  </r>
  <r>
    <s v="RCF Trombay"/>
    <s v="N.C.Urea(45kg)"/>
    <s v="WB"/>
    <x v="1"/>
    <m/>
    <s v="User Not Mapped"/>
    <s v="User Not Mapped"/>
    <s v="User Not Mapped"/>
    <n v="501915"/>
    <s v="Laskar Krishi Bhandar"/>
    <s v="Private Retailer"/>
    <s v="9733626754"/>
    <n v="3.96"/>
    <n v="1730"/>
    <x v="7"/>
    <m/>
    <s v="2021-08-01"/>
    <s v="643299"/>
    <s v="HAQE BUL KRISHI BHANDER"/>
    <s v="9732829089"/>
  </r>
  <r>
    <s v="RCF Thal"/>
    <s v="N.C.Urea(45kg)"/>
    <s v="WB"/>
    <x v="1"/>
    <m/>
    <s v="User Not Mapped"/>
    <s v="User Not Mapped"/>
    <s v="User Not Mapped"/>
    <n v="541022"/>
    <s v="MA BASANTI FERTILISER "/>
    <s v="Private Retailer"/>
    <s v="8617833778"/>
    <n v="1.08"/>
    <n v="71"/>
    <x v="2"/>
    <m/>
    <s v="2026-02-15"/>
    <s v="224553"/>
    <s v="Kirtibas Kapat (A.S.C.)"/>
    <s v="9064538989"/>
  </r>
  <r>
    <s v="RCF Trombay"/>
    <s v="15-15-15"/>
    <s v="WB"/>
    <x v="1"/>
    <m/>
    <s v="User Not Mapped"/>
    <s v="User Not Mapped"/>
    <s v="User Not Mapped"/>
    <n v="541022"/>
    <s v="MA BASANTI FERTILISER "/>
    <s v="Private Retailer"/>
    <s v="8617833778"/>
    <n v="1.47"/>
    <n v="71"/>
    <x v="2"/>
    <m/>
    <s v="2026-02-15"/>
    <s v="224553"/>
    <s v="Kirtibas Kapat (A.S.C.)"/>
    <s v="9064538989"/>
  </r>
  <r>
    <s v="RCF Trombay"/>
    <s v="15-15-15"/>
    <s v="WB"/>
    <x v="1"/>
    <m/>
    <s v="User Not Mapped"/>
    <s v="User Not Mapped"/>
    <s v="User Not Mapped"/>
    <n v="541206"/>
    <s v="Jana Sar Ghar"/>
    <s v="Private Retailer"/>
    <s v="9831762666"/>
    <n v="1.6E-2"/>
    <n v="2673"/>
    <x v="7"/>
    <m/>
    <s v="2019-01-01"/>
    <s v="11"/>
    <s v="Too Old Stock"/>
    <m/>
  </r>
  <r>
    <s v="RCF Trombay"/>
    <s v="N.C.Urea(45kg)"/>
    <s v="WB"/>
    <x v="1"/>
    <m/>
    <s v="User Not Mapped"/>
    <s v="User Not Mapped"/>
    <s v="User Not Mapped"/>
    <n v="541206"/>
    <s v="Jana Sar Ghar"/>
    <s v="Private Retailer"/>
    <s v="9831762666"/>
    <n v="0.62"/>
    <n v="2064"/>
    <x v="7"/>
    <m/>
    <s v="2020-09-01"/>
    <s v="342387"/>
    <s v="Sundarban Agro Service"/>
    <s v="8900726599"/>
  </r>
  <r>
    <s v="RCF Trombay"/>
    <s v="15-15-15"/>
    <s v="WB"/>
    <x v="1"/>
    <m/>
    <s v="User Not Mapped"/>
    <s v="User Not Mapped"/>
    <s v="User Not Mapped"/>
    <n v="541212"/>
    <s v="Majee Fertilizer"/>
    <s v="Private Retailer"/>
    <s v="9051565191"/>
    <n v="0.2"/>
    <n v="1690"/>
    <x v="7"/>
    <m/>
    <s v="2021-09-10"/>
    <s v="281125"/>
    <s v="Manoda Fertilisers            "/>
    <s v="9830280488"/>
  </r>
  <r>
    <s v="RCF Trombay"/>
    <s v="N.C.Urea(45kg)"/>
    <s v="WB"/>
    <x v="1"/>
    <m/>
    <s v="User Not Mapped"/>
    <s v="User Not Mapped"/>
    <s v="User Not Mapped"/>
    <n v="541212"/>
    <s v="Majee Fertilizer"/>
    <s v="Private Retailer"/>
    <s v="9051565191"/>
    <n v="4.4999999999999998E-2"/>
    <n v="1690"/>
    <x v="7"/>
    <m/>
    <s v="2021-09-10"/>
    <s v="281125"/>
    <s v="Manoda Fertilisers            "/>
    <s v="9830280488"/>
  </r>
  <r>
    <s v="RCF Trombay"/>
    <s v="N.C.Urea(45kg)"/>
    <s v="WB"/>
    <x v="1"/>
    <m/>
    <s v="User Not Mapped"/>
    <s v="User Not Mapped"/>
    <s v="User Not Mapped"/>
    <n v="541941"/>
    <s v="Sabitri Fertiliser"/>
    <s v="Private Retailer"/>
    <s v="9635892025"/>
    <n v="1.125"/>
    <n v="1951"/>
    <x v="7"/>
    <m/>
    <s v="2020-12-23"/>
    <s v="281135"/>
    <s v="Md Alauddin Mollick"/>
    <s v="8926710497"/>
  </r>
  <r>
    <s v="RCF Trombay"/>
    <s v="15-15-15"/>
    <s v="WB"/>
    <x v="1"/>
    <m/>
    <s v="User Not Mapped"/>
    <s v="User Not Mapped"/>
    <s v="User Not Mapped"/>
    <n v="546296"/>
    <s v="Sita Fertilisers"/>
    <s v="Private Retailer"/>
    <s v="9434366340"/>
    <n v="0.45500000000000002"/>
    <n v="2131"/>
    <x v="7"/>
    <m/>
    <s v="2020-06-26"/>
    <s v="414268"/>
    <s v="Subhasis Panda"/>
    <s v="7679929747"/>
  </r>
  <r>
    <s v="RCF Thal"/>
    <s v="N.C.Urea(45kg)"/>
    <s v="WB"/>
    <x v="1"/>
    <m/>
    <s v="User Not Mapped"/>
    <s v="User Not Mapped"/>
    <s v="User Not Mapped"/>
    <n v="601469"/>
    <s v="BARIK KRISHI BHANDER"/>
    <s v="Private Retailer"/>
    <s v="8609895829"/>
    <n v="5.0000000000000001E-3"/>
    <n v="1553"/>
    <x v="7"/>
    <m/>
    <s v="2022-01-25"/>
    <s v="281125"/>
    <s v="Manoda Fertilisers            "/>
    <s v="9830280488"/>
  </r>
  <r>
    <s v="RCF Trombay"/>
    <s v="15-15-15"/>
    <s v="WB"/>
    <x v="1"/>
    <m/>
    <s v="User Not Mapped"/>
    <s v="User Not Mapped"/>
    <s v="User Not Mapped"/>
    <n v="602087"/>
    <s v="BABY FERTILISERS"/>
    <s v="Private Retailer"/>
    <s v="8697293353"/>
    <n v="0.32500000000000001"/>
    <n v="2673"/>
    <x v="7"/>
    <m/>
    <s v="2019-01-01"/>
    <s v="11"/>
    <s v="Too Old Stock"/>
    <m/>
  </r>
  <r>
    <s v="RCF Trombay"/>
    <s v="N.C.Urea(45kg)"/>
    <s v="WB"/>
    <x v="1"/>
    <m/>
    <s v="User Not Mapped"/>
    <s v="User Not Mapped"/>
    <s v="User Not Mapped"/>
    <n v="613664"/>
    <s v="BASANTI DAS"/>
    <s v="Private Retailer"/>
    <s v="7407793659"/>
    <n v="5.0000000000000001E-3"/>
    <n v="2263"/>
    <x v="7"/>
    <m/>
    <s v="2020-02-15"/>
    <s v="224553"/>
    <s v="Kirtibas Kapat (A.S.C.)"/>
    <s v="9064538989"/>
  </r>
  <r>
    <s v="RCF Thal"/>
    <s v="N.C.Urea(45kg)"/>
    <s v="WB"/>
    <x v="1"/>
    <m/>
    <s v="User Not Mapped"/>
    <s v="User Not Mapped"/>
    <s v="User Not Mapped"/>
    <n v="613664"/>
    <s v="BASANTI DAS"/>
    <s v="Private Retailer"/>
    <s v="7407793659"/>
    <n v="0.9"/>
    <n v="1246"/>
    <x v="7"/>
    <m/>
    <s v="2022-11-28"/>
    <s v="280736"/>
    <s v="M/S TAPAN KUMAR KARMAKAR"/>
    <s v="7584080473"/>
  </r>
  <r>
    <s v="RCF Trombay"/>
    <s v="15-15-15"/>
    <s v="WB"/>
    <x v="1"/>
    <m/>
    <s v="User Not Mapped"/>
    <s v="User Not Mapped"/>
    <s v="User Not Mapped"/>
    <n v="613664"/>
    <s v="BASANTI DAS"/>
    <s v="Private Retailer"/>
    <s v="7407793659"/>
    <n v="0.83299999999999996"/>
    <n v="1977"/>
    <x v="7"/>
    <m/>
    <s v="2020-11-27"/>
    <s v="224553"/>
    <s v="Kirtibas Kapat (A.S.C.)"/>
    <s v="9064538989"/>
  </r>
  <r>
    <s v="RCF Trombay"/>
    <s v="15-15-15"/>
    <s v="WB"/>
    <x v="1"/>
    <m/>
    <s v="User Not Mapped"/>
    <s v="User Not Mapped"/>
    <s v="User Not Mapped"/>
    <n v="622780"/>
    <s v="SITA FERTILISER"/>
    <s v="Private Retailer"/>
    <s v="8345937068"/>
    <n v="0.39"/>
    <n v="2673"/>
    <x v="7"/>
    <m/>
    <s v="2019-01-01"/>
    <s v="11"/>
    <s v="Too Old Stock"/>
    <m/>
  </r>
  <r>
    <s v="RCF Trombay"/>
    <s v="15-15-15"/>
    <s v="WB"/>
    <x v="1"/>
    <m/>
    <s v="User Not Mapped"/>
    <s v="User Not Mapped"/>
    <s v="User Not Mapped"/>
    <n v="623971"/>
    <s v="MAA PUSHPA KRISHI BHANDAR"/>
    <s v="Private Retailer"/>
    <s v="9933066528"/>
    <n v="0.65"/>
    <n v="92"/>
    <x v="5"/>
    <m/>
    <s v="2026-01-25"/>
    <s v="270099"/>
    <s v="Kakdwip Krishi Bandr"/>
    <s v="9933502068"/>
  </r>
  <r>
    <s v="RCF Trombay"/>
    <s v="15-15-15"/>
    <s v="WB"/>
    <x v="1"/>
    <m/>
    <s v="User Not Mapped"/>
    <s v="User Not Mapped"/>
    <s v="User Not Mapped"/>
    <n v="624049"/>
    <s v="MA JAMUNA KRISHI BHANDAR"/>
    <s v="Private Retailer"/>
    <s v="9733703130"/>
    <n v="5.5E-2"/>
    <n v="2060"/>
    <x v="7"/>
    <m/>
    <s v="2020-09-05"/>
    <s v="224553"/>
    <s v="Kirtibas Kapat (A.S.C.)"/>
    <s v="9064538989"/>
  </r>
  <r>
    <s v="RCF Trombay"/>
    <s v="15-15-15"/>
    <s v="WB"/>
    <x v="1"/>
    <m/>
    <s v="User Not Mapped"/>
    <s v="User Not Mapped"/>
    <s v="User Not Mapped"/>
    <n v="624049"/>
    <s v="MA JAMUNA KRISHI BHANDAR"/>
    <s v="Private Retailer"/>
    <s v="9733703130"/>
    <n v="0.5"/>
    <n v="1748"/>
    <x v="7"/>
    <m/>
    <s v="2021-07-14"/>
    <s v="311219"/>
    <s v="Surendra Krishi Bhander"/>
    <s v="9434404364"/>
  </r>
  <r>
    <s v="RCF Trombay"/>
    <s v="15-15-15"/>
    <s v="WB"/>
    <x v="1"/>
    <m/>
    <s v="User Not Mapped"/>
    <s v="User Not Mapped"/>
    <s v="User Not Mapped"/>
    <n v="624049"/>
    <s v="MA JAMUNA KRISHI BHANDAR"/>
    <s v="Private Retailer"/>
    <s v="9733703130"/>
    <n v="0.25"/>
    <n v="1694"/>
    <x v="7"/>
    <m/>
    <s v="2021-09-06"/>
    <s v="311219"/>
    <s v="Surendra Krishi Bhander"/>
    <s v="9434404364"/>
  </r>
  <r>
    <s v="RCF Trombay"/>
    <s v="15-15-15"/>
    <s v="WB"/>
    <x v="1"/>
    <m/>
    <s v="User Not Mapped"/>
    <s v="User Not Mapped"/>
    <s v="User Not Mapped"/>
    <n v="624049"/>
    <s v="MA JAMUNA KRISHI BHANDAR"/>
    <s v="Private Retailer"/>
    <s v="9733703130"/>
    <n v="0.5"/>
    <n v="1911"/>
    <x v="7"/>
    <m/>
    <s v="2021-02-01"/>
    <s v="311219"/>
    <s v="Surendra Krishi Bhander"/>
    <s v="9434404364"/>
  </r>
  <r>
    <s v="RCF Trombay"/>
    <s v="15-15-15"/>
    <s v="WB"/>
    <x v="1"/>
    <m/>
    <s v="User Not Mapped"/>
    <s v="User Not Mapped"/>
    <s v="User Not Mapped"/>
    <n v="624049"/>
    <s v="MA JAMUNA KRISHI BHANDAR"/>
    <s v="Private Retailer"/>
    <s v="9733703130"/>
    <n v="0.5"/>
    <n v="1870"/>
    <x v="7"/>
    <m/>
    <s v="2021-03-14"/>
    <s v="224553"/>
    <s v="Kirtibas Kapat (A.S.C.)"/>
    <s v="9064538989"/>
  </r>
  <r>
    <s v="RCF Trombay"/>
    <s v="15-15-15"/>
    <s v="WB"/>
    <x v="1"/>
    <m/>
    <s v="User Not Mapped"/>
    <s v="User Not Mapped"/>
    <s v="User Not Mapped"/>
    <n v="624049"/>
    <s v="MA JAMUNA KRISHI BHANDAR"/>
    <s v="Private Retailer"/>
    <s v="9733703130"/>
    <n v="0.5"/>
    <n v="1885"/>
    <x v="7"/>
    <m/>
    <s v="2021-02-27"/>
    <s v="224553"/>
    <s v="Kirtibas Kapat (A.S.C.)"/>
    <s v="9064538989"/>
  </r>
  <r>
    <s v="RCF Trombay"/>
    <s v="15-15-15"/>
    <s v="WB"/>
    <x v="1"/>
    <m/>
    <s v="User Not Mapped"/>
    <s v="User Not Mapped"/>
    <s v="User Not Mapped"/>
    <n v="624343"/>
    <s v="MANIKJAN FERTILIZER"/>
    <s v="Private Retailer"/>
    <s v="9091361181"/>
    <n v="4.4999999999999998E-2"/>
    <n v="1931"/>
    <x v="7"/>
    <m/>
    <s v="2021-01-12"/>
    <s v="224553"/>
    <s v="Kirtibas Kapat (A.S.C.)"/>
    <s v="9064538989"/>
  </r>
  <r>
    <s v="RCF Trombay"/>
    <s v="N.C.Urea(45kg)"/>
    <s v="WB"/>
    <x v="1"/>
    <m/>
    <s v="User Not Mapped"/>
    <s v="User Not Mapped"/>
    <s v="User Not Mapped"/>
    <n v="631191"/>
    <s v="HARADHAN DAS"/>
    <s v="Private Retailer"/>
    <s v="9933842332"/>
    <n v="0.41499999999999998"/>
    <n v="2408"/>
    <x v="7"/>
    <m/>
    <s v="2019-09-23"/>
    <s v="224553"/>
    <s v="Kirtibas Kapat (A.S.C.)"/>
    <s v="9064538989"/>
  </r>
  <r>
    <s v="RCF Trombay"/>
    <s v="15-15-15"/>
    <s v="WB"/>
    <x v="1"/>
    <m/>
    <s v="User Not Mapped"/>
    <s v="User Not Mapped"/>
    <s v="User Not Mapped"/>
    <n v="631191"/>
    <s v="HARADHAN DAS"/>
    <s v="Private Retailer"/>
    <s v="9933842332"/>
    <n v="0.5"/>
    <n v="2673"/>
    <x v="7"/>
    <m/>
    <s v="2019-01-01"/>
    <s v="11"/>
    <s v="Too Old Stock"/>
    <m/>
  </r>
  <r>
    <s v="RCF Trombay"/>
    <s v="N.C.Urea(45kg)"/>
    <s v="WB"/>
    <x v="1"/>
    <m/>
    <s v="User Not Mapped"/>
    <s v="User Not Mapped"/>
    <s v="User Not Mapped"/>
    <n v="632592"/>
    <s v="Nargis Fertiliser"/>
    <s v="Private Retailer"/>
    <s v="7890210186"/>
    <n v="0.63"/>
    <n v="2024"/>
    <x v="7"/>
    <m/>
    <s v="2020-10-11"/>
    <s v="280736"/>
    <s v="M/S TAPAN KUMAR KARMAKAR"/>
    <s v="7584080473"/>
  </r>
  <r>
    <s v="RCF Trombay"/>
    <s v="15-15-15"/>
    <s v="WB"/>
    <x v="1"/>
    <m/>
    <s v="User Not Mapped"/>
    <s v="User Not Mapped"/>
    <s v="User Not Mapped"/>
    <n v="632672"/>
    <s v="MA AKIDAM FERTILISER"/>
    <s v="Private Retailer"/>
    <s v="7063847794"/>
    <n v="3.75"/>
    <n v="1586"/>
    <x v="7"/>
    <m/>
    <s v="2021-12-23"/>
    <s v="342387"/>
    <s v="Sundarban Agro Service"/>
    <s v="8900726599"/>
  </r>
  <r>
    <s v="RCF Trombay"/>
    <s v="15-15-15"/>
    <s v="WB"/>
    <x v="1"/>
    <m/>
    <s v="User Not Mapped"/>
    <s v="User Not Mapped"/>
    <s v="User Not Mapped"/>
    <n v="633090"/>
    <s v="BROJABALLAVPUR KRISH BHANDER"/>
    <s v="Private Retailer"/>
    <s v="9733731305"/>
    <n v="3.9E-2"/>
    <n v="2673"/>
    <x v="7"/>
    <m/>
    <s v="2019-01-01"/>
    <s v="11"/>
    <s v="Too Old Stock"/>
    <m/>
  </r>
  <r>
    <s v="RCF Trombay"/>
    <s v="15-15-15"/>
    <s v="WB"/>
    <x v="1"/>
    <m/>
    <s v="User Not Mapped"/>
    <s v="User Not Mapped"/>
    <s v="User Not Mapped"/>
    <n v="634807"/>
    <s v="DAS FERTILISER"/>
    <s v="Private Retailer"/>
    <s v="8944946409"/>
    <n v="3"/>
    <n v="1356"/>
    <x v="7"/>
    <m/>
    <s v="2022-08-10"/>
    <s v="281181"/>
    <s v="R. B. Agro Enterprise"/>
    <s v="9903110185"/>
  </r>
  <r>
    <s v="RCF Trombay"/>
    <s v="15-15-15"/>
    <s v="WB"/>
    <x v="1"/>
    <m/>
    <s v="User Not Mapped"/>
    <s v="User Not Mapped"/>
    <s v="User Not Mapped"/>
    <n v="634807"/>
    <s v="DAS FERTILISER"/>
    <s v="Private Retailer"/>
    <s v="8944946409"/>
    <n v="1"/>
    <n v="1400"/>
    <x v="7"/>
    <m/>
    <s v="2022-06-27"/>
    <s v="290840"/>
    <s v="N C Das &amp; Company"/>
    <s v="7365868045"/>
  </r>
  <r>
    <s v="RCF Thal"/>
    <s v="N.C.Urea(45kg)"/>
    <s v="WB"/>
    <x v="1"/>
    <m/>
    <s v="User Not Mapped"/>
    <s v="User Not Mapped"/>
    <s v="User Not Mapped"/>
    <n v="634889"/>
    <s v="HALDER FERTILISER"/>
    <s v="Private Retailer"/>
    <s v="9547554945"/>
    <n v="0.45"/>
    <n v="2673"/>
    <x v="7"/>
    <m/>
    <s v="2019-01-01"/>
    <s v="11"/>
    <s v="Too Old Stock"/>
    <m/>
  </r>
  <r>
    <s v="RCF Trombay"/>
    <s v="15-15-15"/>
    <s v="WB"/>
    <x v="1"/>
    <m/>
    <s v="User Not Mapped"/>
    <s v="User Not Mapped"/>
    <s v="User Not Mapped"/>
    <n v="634889"/>
    <s v="HALDER FERTILISER"/>
    <s v="Private Retailer"/>
    <s v="9547554945"/>
    <n v="0.35"/>
    <n v="2673"/>
    <x v="7"/>
    <m/>
    <s v="2019-01-01"/>
    <s v="11"/>
    <s v="Too Old Stock"/>
    <m/>
  </r>
  <r>
    <s v="RCF Trombay"/>
    <s v="15-15-15"/>
    <s v="WB"/>
    <x v="1"/>
    <m/>
    <s v="User Not Mapped"/>
    <s v="User Not Mapped"/>
    <s v="User Not Mapped"/>
    <n v="636283"/>
    <s v="BINAY CHANDRA SADHUKHAN"/>
    <s v="Private Retailer"/>
    <s v="9732959699"/>
    <n v="0.45"/>
    <n v="1409"/>
    <x v="7"/>
    <m/>
    <s v="2022-06-18"/>
    <s v="281125"/>
    <s v="Manoda Fertilisers            "/>
    <s v="9830280488"/>
  </r>
  <r>
    <s v="RCF Trombay"/>
    <s v="15-15-15"/>
    <s v="WB"/>
    <x v="1"/>
    <m/>
    <s v="User Not Mapped"/>
    <s v="User Not Mapped"/>
    <s v="User Not Mapped"/>
    <n v="636289"/>
    <s v="MUSA HAQUE MOLLA"/>
    <s v="Private Retailer"/>
    <s v="9734268216"/>
    <n v="1.9690000000000001"/>
    <n v="1905"/>
    <x v="7"/>
    <m/>
    <s v="2021-02-07"/>
    <s v="342299"/>
    <s v="Din Mohammad Laskar"/>
    <s v="7003318442"/>
  </r>
  <r>
    <s v="RCF Trombay"/>
    <s v="15-15-15"/>
    <s v="WB"/>
    <x v="1"/>
    <m/>
    <s v="User Not Mapped"/>
    <s v="User Not Mapped"/>
    <s v="User Not Mapped"/>
    <n v="636297"/>
    <s v="MD NAJRUL ISLAM"/>
    <s v="Private Retailer"/>
    <s v="7872402046"/>
    <n v="0.93"/>
    <n v="2325"/>
    <x v="7"/>
    <m/>
    <s v="2019-12-15"/>
    <s v="342299"/>
    <s v="Din Mohammad Laskar"/>
    <s v="7003318442"/>
  </r>
  <r>
    <s v="RCF Thal"/>
    <s v="N.C.Urea(45kg)"/>
    <s v="WB"/>
    <x v="1"/>
    <m/>
    <s v="User Not Mapped"/>
    <s v="User Not Mapped"/>
    <s v="User Not Mapped"/>
    <n v="636297"/>
    <s v="MD NAJRUL ISLAM"/>
    <s v="Private Retailer"/>
    <s v="7872402046"/>
    <n v="0.9"/>
    <n v="2465"/>
    <x v="7"/>
    <m/>
    <s v="2019-07-28"/>
    <s v="342299"/>
    <s v="Din Mohammad Laskar"/>
    <s v="7003318442"/>
  </r>
  <r>
    <s v="RCF Trombay"/>
    <s v="15-15-15"/>
    <s v="WB"/>
    <x v="1"/>
    <m/>
    <s v="User Not Mapped"/>
    <s v="User Not Mapped"/>
    <s v="User Not Mapped"/>
    <n v="637795"/>
    <s v="ABDUL HAKIM MOLLA"/>
    <s v="Private Retailer"/>
    <s v="9775790625"/>
    <n v="0.1"/>
    <n v="2673"/>
    <x v="7"/>
    <m/>
    <s v="2019-01-01"/>
    <s v="11"/>
    <s v="Too Old Stock"/>
    <m/>
  </r>
  <r>
    <s v="RCF Trombay"/>
    <s v="15-15-15"/>
    <s v="WB"/>
    <x v="1"/>
    <m/>
    <s v="User Not Mapped"/>
    <s v="User Not Mapped"/>
    <s v="User Not Mapped"/>
    <n v="637809"/>
    <s v="MA INDUBALA KRISHI BHANDER"/>
    <s v="Private Retailer"/>
    <s v="9093871917"/>
    <n v="4.3999999999999997E-2"/>
    <n v="2673"/>
    <x v="7"/>
    <m/>
    <s v="2019-01-01"/>
    <s v="11"/>
    <s v="Too Old Stock"/>
    <m/>
  </r>
  <r>
    <s v="RCF Trombay"/>
    <s v="15-15-15"/>
    <s v="WB"/>
    <x v="1"/>
    <m/>
    <s v="User Not Mapped"/>
    <s v="User Not Mapped"/>
    <s v="User Not Mapped"/>
    <n v="638001"/>
    <s v="MD HASEM ALI MOLLA"/>
    <s v="Private Retailer"/>
    <s v="7407638642"/>
    <n v="0.1"/>
    <n v="2673"/>
    <x v="7"/>
    <m/>
    <s v="2019-01-01"/>
    <s v="11"/>
    <s v="Too Old Stock"/>
    <m/>
  </r>
  <r>
    <s v="RCF Trombay"/>
    <s v="15-15-15"/>
    <s v="WB"/>
    <x v="1"/>
    <m/>
    <s v="User Not Mapped"/>
    <s v="User Not Mapped"/>
    <s v="User Not Mapped"/>
    <n v="638927"/>
    <s v="KHAN FERTILISER"/>
    <s v="Private Retailer"/>
    <s v="7890025099"/>
    <n v="0.17499999999999999"/>
    <n v="1587"/>
    <x v="7"/>
    <m/>
    <s v="2021-12-22"/>
    <s v="281135"/>
    <s v="Md Alauddin Mollick"/>
    <s v="8926710497"/>
  </r>
  <r>
    <s v="RCF Thal"/>
    <s v="N.C.Urea(45kg)"/>
    <s v="WB"/>
    <x v="1"/>
    <m/>
    <s v="User Not Mapped"/>
    <s v="User Not Mapped"/>
    <s v="User Not Mapped"/>
    <n v="638937"/>
    <s v="ABDUL HALIM MONDAL"/>
    <s v="Private Retailer"/>
    <s v="9614159759"/>
    <n v="0.45"/>
    <n v="2300"/>
    <x v="7"/>
    <m/>
    <s v="2020-01-09"/>
    <s v="639539"/>
    <s v="ABUL KALAM MONDAL"/>
    <s v="9732789800"/>
  </r>
  <r>
    <s v="RCF Trombay"/>
    <s v="N.C.Urea(45kg)"/>
    <s v="WB"/>
    <x v="1"/>
    <m/>
    <s v="User Not Mapped"/>
    <s v="User Not Mapped"/>
    <s v="User Not Mapped"/>
    <n v="639010"/>
    <s v="MISTRY FERTILIZER"/>
    <s v="Private Retailer"/>
    <s v="7980726946"/>
    <n v="0.06"/>
    <n v="1615"/>
    <x v="7"/>
    <m/>
    <s v="2021-11-24"/>
    <s v="269533"/>
    <s v="Hasya Badhan Makhal"/>
    <s v="9674092010"/>
  </r>
  <r>
    <s v="RCF Thal"/>
    <s v="N.C.Urea(45kg)"/>
    <s v="WB"/>
    <x v="1"/>
    <m/>
    <s v="User Not Mapped"/>
    <s v="User Not Mapped"/>
    <s v="User Not Mapped"/>
    <n v="639083"/>
    <s v="MA KALI KRISHI BHANDER"/>
    <s v="Private Retailer"/>
    <s v="9382348419"/>
    <n v="0.67500000000000004"/>
    <n v="1533"/>
    <x v="7"/>
    <m/>
    <s v="2022-02-14"/>
    <s v="269946"/>
    <s v="M/s. Janardan Parui"/>
    <s v="6290703360"/>
  </r>
  <r>
    <s v="RCF Thal"/>
    <s v="N.C.Urea(45kg)"/>
    <s v="WB"/>
    <x v="1"/>
    <m/>
    <s v="User Not Mapped"/>
    <s v="User Not Mapped"/>
    <s v="User Not Mapped"/>
    <n v="639083"/>
    <s v="MA KALI KRISHI BHANDER"/>
    <s v="Private Retailer"/>
    <s v="9382348419"/>
    <n v="4.4999999999999998E-2"/>
    <n v="2256"/>
    <x v="7"/>
    <m/>
    <s v="2020-02-22"/>
    <s v="269946"/>
    <s v="M/s. Janardan Parui"/>
    <s v="6290703360"/>
  </r>
  <r>
    <s v="RCF Trombay"/>
    <s v="N.C.Urea(45kg)"/>
    <s v="WB"/>
    <x v="1"/>
    <m/>
    <s v="User Not Mapped"/>
    <s v="User Not Mapped"/>
    <s v="User Not Mapped"/>
    <n v="641266"/>
    <s v="DUKHI KRISHI BHANDER"/>
    <s v="Private Retailer"/>
    <s v="8371857260"/>
    <n v="6.39"/>
    <n v="1141"/>
    <x v="7"/>
    <m/>
    <s v="2023-03-13"/>
    <s v="281181"/>
    <s v="R. B. Agro Enterprise"/>
    <s v="9903110185"/>
  </r>
  <r>
    <s v="RCF Trombay"/>
    <s v="15-15-15"/>
    <s v="WB"/>
    <x v="1"/>
    <m/>
    <s v="User Not Mapped"/>
    <s v="User Not Mapped"/>
    <s v="User Not Mapped"/>
    <n v="643017"/>
    <s v="MA KAMALA FERTILISER"/>
    <s v="Private Retailer"/>
    <s v="9932538005"/>
    <n v="3.4000000000000002E-2"/>
    <n v="2673"/>
    <x v="7"/>
    <m/>
    <s v="2019-01-01"/>
    <s v="11"/>
    <s v="Too Old Stock"/>
    <m/>
  </r>
  <r>
    <s v="RCF Thal"/>
    <s v="N.C.Urea(45kg)"/>
    <s v="WB"/>
    <x v="1"/>
    <m/>
    <s v="User Not Mapped"/>
    <s v="User Not Mapped"/>
    <s v="User Not Mapped"/>
    <n v="649681"/>
    <s v="SWAPAN PRAMANIK"/>
    <s v="Private Retailer"/>
    <s v="7797287716"/>
    <n v="4.5"/>
    <n v="1535"/>
    <x v="7"/>
    <m/>
    <s v="2022-02-12"/>
    <s v="280736"/>
    <s v="M/S TAPAN KUMAR KARMAKAR"/>
    <s v="7584080473"/>
  </r>
  <r>
    <s v="RCF Thal"/>
    <s v="N.C.Urea(45kg)"/>
    <s v="WB"/>
    <x v="1"/>
    <m/>
    <s v="User Not Mapped"/>
    <s v="User Not Mapped"/>
    <s v="User Not Mapped"/>
    <n v="655413"/>
    <s v="SARATHI KRISHI BHANDER"/>
    <s v="Private Retailer"/>
    <s v="8609970288"/>
    <n v="0.02"/>
    <n v="1497"/>
    <x v="7"/>
    <m/>
    <s v="2022-03-22"/>
    <s v="281181"/>
    <s v="R. B. Agro Enterprise"/>
    <s v="9903110185"/>
  </r>
  <r>
    <s v="RCF Thal"/>
    <s v="N.C.Urea(45kg)"/>
    <s v="WB"/>
    <x v="1"/>
    <m/>
    <s v="User Not Mapped"/>
    <s v="User Not Mapped"/>
    <s v="User Not Mapped"/>
    <n v="657752"/>
    <s v="ARRAHIM KRISHI BHANDER"/>
    <s v="Private Retailer"/>
    <s v="9564012252"/>
    <n v="4.4999999999999998E-2"/>
    <n v="1584"/>
    <x v="7"/>
    <m/>
    <s v="2021-12-25"/>
    <s v="290836"/>
    <s v="Md Nowshar Ali Molla"/>
    <s v="9143336806"/>
  </r>
  <r>
    <s v="RCF Trombay"/>
    <s v="15-15-15"/>
    <s v="WB"/>
    <x v="1"/>
    <m/>
    <s v="User Not Mapped"/>
    <s v="User Not Mapped"/>
    <s v="User Not Mapped"/>
    <n v="679357"/>
    <s v="RADHA GOBINDA SAR BHANDER"/>
    <s v="Private Retailer"/>
    <s v="9732705725"/>
    <n v="1.2E-2"/>
    <n v="2673"/>
    <x v="7"/>
    <m/>
    <s v="2019-01-01"/>
    <s v="11"/>
    <s v="Too Old Stock"/>
    <m/>
  </r>
  <r>
    <s v="RCF Trombay"/>
    <s v="15-15-15"/>
    <s v="WB"/>
    <x v="1"/>
    <m/>
    <s v="User Not Mapped"/>
    <s v="User Not Mapped"/>
    <s v="User Not Mapped"/>
    <n v="730670"/>
    <s v="KRISHI SAAR BHANDAR"/>
    <s v="Private Retailer"/>
    <s v="7478136781"/>
    <n v="0.85"/>
    <n v="2030"/>
    <x v="7"/>
    <m/>
    <s v="2020-10-05"/>
    <s v="280736"/>
    <s v="M/S TAPAN KUMAR KARMAKAR"/>
    <s v="7584080473"/>
  </r>
  <r>
    <s v="RCF Trombay"/>
    <s v="15-15-15"/>
    <s v="WB"/>
    <x v="1"/>
    <m/>
    <s v="User Not Mapped"/>
    <s v="User Not Mapped"/>
    <s v="User Not Mapped"/>
    <n v="868308"/>
    <s v="NUR ISLAM MOLLA"/>
    <s v="Private Retailer"/>
    <s v="8327287757"/>
    <n v="0.1"/>
    <n v="2673"/>
    <x v="7"/>
    <m/>
    <s v="2019-01-01"/>
    <s v="11"/>
    <s v="Too Old Stock"/>
    <m/>
  </r>
  <r>
    <s v="RCF Trombay"/>
    <s v="15-15-15"/>
    <s v="WB"/>
    <x v="1"/>
    <m/>
    <s v="User Not Mapped"/>
    <s v="User Not Mapped"/>
    <s v="User Not Mapped"/>
    <n v="892209"/>
    <s v="SARIFUL KRISHI BHANDER"/>
    <s v="Private Retailer"/>
    <s v="9735088514"/>
    <n v="0.3"/>
    <n v="2609"/>
    <x v="7"/>
    <m/>
    <s v="2019-03-06"/>
    <s v="224553"/>
    <s v="Kirtibas Kapat (A.S.C.)"/>
    <s v="9064538989"/>
  </r>
  <r>
    <s v="RCF Trombay"/>
    <s v="15-15-15"/>
    <s v="WB"/>
    <x v="1"/>
    <m/>
    <s v="User Not Mapped"/>
    <s v="User Not Mapped"/>
    <s v="User Not Mapped"/>
    <n v="893029"/>
    <s v="MAA KALPANA KRISHI BHANDER"/>
    <s v="Private Retailer"/>
    <s v="7430064003"/>
    <n v="2.1000000000000001E-2"/>
    <n v="1656"/>
    <x v="7"/>
    <m/>
    <s v="2021-10-14"/>
    <s v="342387"/>
    <s v="Sundarban Agro Service"/>
    <s v="8900726599"/>
  </r>
  <r>
    <s v="RCF Trombay"/>
    <s v="15-15-15"/>
    <s v="WB"/>
    <x v="1"/>
    <m/>
    <s v="User Not Mapped"/>
    <s v="User Not Mapped"/>
    <s v="User Not Mapped"/>
    <n v="902167"/>
    <s v="TAPAN KRISHI BHANDER"/>
    <s v="Private Retailer"/>
    <s v="9647184156"/>
    <n v="0.67500000000000004"/>
    <n v="1957"/>
    <x v="7"/>
    <m/>
    <s v="2020-12-17"/>
    <s v="270099"/>
    <s v="Kakdwip Krishi Bandr"/>
    <s v="9933502068"/>
  </r>
  <r>
    <s v="RCF Trombay"/>
    <s v="N.C.Urea(45kg)"/>
    <s v="WB"/>
    <x v="1"/>
    <m/>
    <s v="User Not Mapped"/>
    <s v="User Not Mapped"/>
    <s v="User Not Mapped"/>
    <n v="924523"/>
    <s v="HALDER FERTILIZER"/>
    <s v="Private Retailer"/>
    <s v="7908820467"/>
    <n v="3.2650000000000001"/>
    <n v="2642"/>
    <x v="7"/>
    <m/>
    <s v="2019-02-01"/>
    <s v="333128"/>
    <s v="New Krishi Bhander"/>
    <s v="9732511105"/>
  </r>
  <r>
    <s v="RCF Trombay"/>
    <s v="N.C.Urea(45kg)"/>
    <s v="WB"/>
    <x v="1"/>
    <m/>
    <s v="User Not Mapped"/>
    <s v="User Not Mapped"/>
    <s v="User Not Mapped"/>
    <n v="938957"/>
    <s v="MD SIRAJUL HAQUE"/>
    <s v="Private Retailer"/>
    <s v="9734847032"/>
    <n v="0.45"/>
    <n v="1948"/>
    <x v="7"/>
    <m/>
    <s v="2020-12-26"/>
    <s v="281135"/>
    <s v="Md Alauddin Mollick"/>
    <s v="8926710497"/>
  </r>
  <r>
    <s v="RCF Trombay"/>
    <s v="N.C.Urea(45kg)"/>
    <s v="WB"/>
    <x v="1"/>
    <m/>
    <s v="User Not Mapped"/>
    <s v="User Not Mapped"/>
    <s v="User Not Mapped"/>
    <n v="938957"/>
    <s v="MD SIRAJUL HAQUE"/>
    <s v="Private Retailer"/>
    <s v="9734847032"/>
    <n v="0.45"/>
    <n v="2341"/>
    <x v="7"/>
    <m/>
    <s v="2019-11-29"/>
    <s v="281135"/>
    <s v="Md Alauddin Mollick"/>
    <s v="8926710497"/>
  </r>
  <r>
    <s v="RCF Trombay"/>
    <s v="N.C.Urea(45kg)"/>
    <s v="WB"/>
    <x v="1"/>
    <m/>
    <s v="User Not Mapped"/>
    <s v="User Not Mapped"/>
    <s v="User Not Mapped"/>
    <n v="938957"/>
    <s v="MD SIRAJUL HAQUE"/>
    <s v="Private Retailer"/>
    <s v="9734847032"/>
    <n v="0.9"/>
    <n v="2297"/>
    <x v="7"/>
    <m/>
    <s v="2020-01-12"/>
    <s v="281135"/>
    <s v="Md Alauddin Mollick"/>
    <s v="8926710497"/>
  </r>
  <r>
    <s v="RCF Trombay"/>
    <s v="N.C.Urea(45kg)"/>
    <s v="WB"/>
    <x v="1"/>
    <m/>
    <s v="User Not Mapped"/>
    <s v="User Not Mapped"/>
    <s v="User Not Mapped"/>
    <n v="938957"/>
    <s v="MD SIRAJUL HAQUE"/>
    <s v="Private Retailer"/>
    <s v="9734847032"/>
    <n v="0.18"/>
    <n v="2089"/>
    <x v="7"/>
    <m/>
    <s v="2020-08-07"/>
    <s v="281135"/>
    <s v="Md Alauddin Mollick"/>
    <s v="8926710497"/>
  </r>
  <r>
    <s v="RCF Thal"/>
    <s v="N.C.Urea(45kg)"/>
    <s v="WB"/>
    <x v="1"/>
    <m/>
    <s v="User Not Mapped"/>
    <s v="User Not Mapped"/>
    <s v="User Not Mapped"/>
    <n v="938957"/>
    <s v="MD SIRAJUL HAQUE"/>
    <s v="Private Retailer"/>
    <s v="9734847032"/>
    <n v="0.495"/>
    <n v="2089"/>
    <x v="7"/>
    <m/>
    <s v="2020-08-07"/>
    <s v="281135"/>
    <s v="Md Alauddin Mollick"/>
    <s v="8926710497"/>
  </r>
  <r>
    <s v="RCF Thal"/>
    <s v="N.C.Urea(45kg)"/>
    <s v="WB"/>
    <x v="1"/>
    <m/>
    <s v="User Not Mapped"/>
    <s v="User Not Mapped"/>
    <s v="User Not Mapped"/>
    <n v="938957"/>
    <s v="MD SIRAJUL HAQUE"/>
    <s v="Private Retailer"/>
    <s v="9734847032"/>
    <n v="0.67500000000000004"/>
    <n v="2277"/>
    <x v="7"/>
    <m/>
    <s v="2020-02-01"/>
    <s v="281135"/>
    <s v="Md Alauddin Mollick"/>
    <s v="8926710497"/>
  </r>
  <r>
    <s v="RCF Trombay"/>
    <s v="N.C.Urea(45kg)"/>
    <s v="WB"/>
    <x v="1"/>
    <m/>
    <s v="User Not Mapped"/>
    <s v="User Not Mapped"/>
    <s v="User Not Mapped"/>
    <n v="958551"/>
    <s v="DAS FERTILIZER"/>
    <s v="Private Retailer"/>
    <s v="9593436940"/>
    <n v="1.64"/>
    <n v="2641"/>
    <x v="7"/>
    <m/>
    <s v="2019-02-02"/>
    <s v="224553"/>
    <s v="Kirtibas Kapat (A.S.C.)"/>
    <s v="9064538989"/>
  </r>
  <r>
    <s v="RCF Trombay"/>
    <s v="N.C.Urea(45kg)"/>
    <s v="WB"/>
    <x v="1"/>
    <m/>
    <s v="User Not Mapped"/>
    <s v="User Not Mapped"/>
    <s v="User Not Mapped"/>
    <n v="961126"/>
    <s v="BIJOY KRISHI BHANDAR"/>
    <s v="Private Retailer"/>
    <s v="9732570966"/>
    <n v="0.02"/>
    <n v="1193"/>
    <x v="7"/>
    <m/>
    <s v="2023-01-20"/>
    <s v="290835"/>
    <s v=" Mahamaya Krishi Bhander"/>
    <s v="9933502068"/>
  </r>
  <r>
    <s v="RCF Trombay"/>
    <s v="N.C.Urea(45kg)"/>
    <s v="WB"/>
    <x v="1"/>
    <m/>
    <s v="User Not Mapped"/>
    <s v="User Not Mapped"/>
    <s v="User Not Mapped"/>
    <n v="1019531"/>
    <s v="MALANGINI FERTILIZER"/>
    <s v="Private Retailer"/>
    <s v="7872653841"/>
    <n v="0.13"/>
    <n v="2353"/>
    <x v="7"/>
    <m/>
    <s v="2019-11-17"/>
    <s v="281115"/>
    <s v="M/s. Nirmalendu Halder"/>
    <s v="9433233606"/>
  </r>
  <r>
    <s v="RCF Trombay"/>
    <s v="15-15-15"/>
    <s v="WB"/>
    <x v="1"/>
    <m/>
    <s v="User Not Mapped"/>
    <s v="User Not Mapped"/>
    <s v="User Not Mapped"/>
    <n v="1019531"/>
    <s v="MALANGINI FERTILIZER"/>
    <s v="Private Retailer"/>
    <s v="7872653841"/>
    <n v="3.5000000000000003E-2"/>
    <n v="2353"/>
    <x v="7"/>
    <m/>
    <s v="2019-11-17"/>
    <s v="281115"/>
    <s v="M/s. Nirmalendu Halder"/>
    <s v="9433233606"/>
  </r>
  <r>
    <s v="RCF Trombay"/>
    <s v="15-15-15"/>
    <s v="WB"/>
    <x v="1"/>
    <m/>
    <s v="User Not Mapped"/>
    <s v="User Not Mapped"/>
    <s v="User Not Mapped"/>
    <n v="1037461"/>
    <s v="KAMALA KRISHI BHANDER"/>
    <s v="Private Retailer"/>
    <s v="9733708702"/>
    <n v="0.5"/>
    <n v="2343"/>
    <x v="7"/>
    <m/>
    <s v="2019-11-27"/>
    <s v="290835"/>
    <s v=" Mahamaya Krishi Bhander"/>
    <s v="9933502068"/>
  </r>
  <r>
    <s v="RCF Trombay"/>
    <s v="15-15-15"/>
    <s v="WB"/>
    <x v="1"/>
    <m/>
    <s v="User Not Mapped"/>
    <s v="User Not Mapped"/>
    <s v="User Not Mapped"/>
    <n v="1105227"/>
    <s v="SEKH KRISHI BHANDER"/>
    <s v="Private Retailer"/>
    <s v="7908621663"/>
    <n v="0.25"/>
    <n v="970"/>
    <x v="7"/>
    <m/>
    <s v="2023-08-31"/>
    <s v="281135"/>
    <s v="Md Alauddin Mollick"/>
    <s v="8926710497"/>
  </r>
  <r>
    <s v="RCF Trombay"/>
    <s v="N.C.Urea(45kg)"/>
    <s v="WB"/>
    <x v="1"/>
    <m/>
    <s v="User Not Mapped"/>
    <s v="User Not Mapped"/>
    <s v="User Not Mapped"/>
    <n v="1105227"/>
    <s v="SEKH KRISHI BHANDER"/>
    <s v="Private Retailer"/>
    <s v="7908621663"/>
    <n v="0.67500000000000004"/>
    <n v="1830"/>
    <x v="7"/>
    <m/>
    <s v="2021-04-23"/>
    <s v="356406"/>
    <s v="Sonali Krishi Bhander"/>
    <s v="6294305762"/>
  </r>
  <r>
    <s v="RCF Thal"/>
    <s v="N.C.Urea(45kg)"/>
    <s v="WB"/>
    <x v="1"/>
    <m/>
    <s v="User Not Mapped"/>
    <s v="User Not Mapped"/>
    <s v="User Not Mapped"/>
    <n v="1354340"/>
    <s v="M/S SUNDARI SAR BHANDAR"/>
    <s v="Private Retailer"/>
    <s v="7679061204"/>
    <n v="10.53"/>
    <n v="40"/>
    <x v="1"/>
    <m/>
    <s v="2026-03-18"/>
    <s v="269533"/>
    <s v="Hasya Badhan Makhal"/>
    <s v="9674092010"/>
  </r>
  <r>
    <s v="RCF Import"/>
    <s v="MOP"/>
    <s v="WB"/>
    <x v="1"/>
    <m/>
    <s v="User Not Mapped"/>
    <s v="User Not Mapped"/>
    <s v="User Not Mapped"/>
    <n v="1419867"/>
    <s v="M/S NEW KRISHI UNNYANI"/>
    <s v="Private Retailer"/>
    <s v="7866025794"/>
    <n v="2"/>
    <n v="59"/>
    <x v="1"/>
    <m/>
    <s v="2026-02-27"/>
    <s v="280736"/>
    <s v="M/S TAPAN KUMAR KARMAKAR"/>
    <s v="7584080473"/>
  </r>
  <r>
    <s v="RCF Thal"/>
    <s v="N.C.Urea(45kg)"/>
    <s v="WB"/>
    <x v="1"/>
    <m/>
    <s v="User Not Mapped"/>
    <s v="User Not Mapped"/>
    <s v="User Not Mapped"/>
    <n v="1435900"/>
    <s v="LAKSHMI ENTERPRISE"/>
    <s v="Private Retailer"/>
    <s v="8902050957"/>
    <n v="5.31"/>
    <n v="45"/>
    <x v="1"/>
    <m/>
    <s v="2026-03-13"/>
    <s v="280736"/>
    <s v="M/S TAPAN KUMAR KARMAKAR"/>
    <s v="7584080473"/>
  </r>
  <r>
    <s v="RCF Import"/>
    <s v="MOP"/>
    <s v="WB"/>
    <x v="1"/>
    <m/>
    <s v="User Not Mapped"/>
    <s v="User Not Mapped"/>
    <s v="User Not Mapped"/>
    <n v="1557358"/>
    <s v="M/S AVIJIT KUNDU"/>
    <s v="Private Retailer"/>
    <s v="9733893688"/>
    <n v="0.1"/>
    <n v="44"/>
    <x v="1"/>
    <m/>
    <s v="2026-03-14"/>
    <s v="281135"/>
    <s v="Md Alauddin Mollick"/>
    <s v="8926710497"/>
  </r>
  <r>
    <s v="RCF Import"/>
    <s v="MOP"/>
    <s v="WB"/>
    <x v="1"/>
    <m/>
    <s v="User Not Mapped"/>
    <s v="User Not Mapped"/>
    <s v="User Not Mapped"/>
    <n v="1557358"/>
    <s v="M/S AVIJIT KUNDU"/>
    <s v="Private Retailer"/>
    <s v="9733893688"/>
    <n v="0.15"/>
    <n v="58"/>
    <x v="1"/>
    <m/>
    <s v="2026-02-28"/>
    <s v="281135"/>
    <s v="Md Alauddin Mollick"/>
    <s v="8926710497"/>
  </r>
  <r>
    <s v="RCF Trombay"/>
    <s v="N.C.Urea(45kg)"/>
    <s v="WB"/>
    <x v="1"/>
    <m/>
    <s v="User Not Mapped"/>
    <s v="User Not Mapped"/>
    <s v="User Not Mapped"/>
    <n v="1598447"/>
    <s v="M/S BHABESH KAYAL"/>
    <s v="Private Retailer"/>
    <s v="7872102843"/>
    <n v="0.99"/>
    <n v="59"/>
    <x v="1"/>
    <m/>
    <s v="2026-02-27"/>
    <s v="280736"/>
    <s v="M/S TAPAN KUMAR KARMAKAR"/>
    <s v="7584080473"/>
  </r>
  <r>
    <s v="RCF Import"/>
    <s v="MOP"/>
    <s v="WB"/>
    <x v="1"/>
    <m/>
    <s v="User Not Mapped"/>
    <s v="User Not Mapped"/>
    <s v="User Not Mapped"/>
    <n v="1612714"/>
    <s v="MAA KALI KRISHI BHANDAR"/>
    <s v="Private Retailer"/>
    <s v="9883571694"/>
    <n v="1"/>
    <n v="51"/>
    <x v="1"/>
    <m/>
    <s v="2026-03-07"/>
    <s v="268665"/>
    <s v="Bhabasindhu Halder"/>
    <s v="8926428665"/>
  </r>
  <r>
    <s v="RCF Thal"/>
    <s v="N.C.Urea(45kg)"/>
    <s v="WB"/>
    <x v="2"/>
    <s v="Alipurduar - I"/>
    <s v="User Not Mapped"/>
    <s v="User Not Mapped"/>
    <s v="User Not Mapped"/>
    <n v="281067"/>
    <s v="Loke Nath Fertilizer"/>
    <s v="Private Retailer"/>
    <s v="9733327997"/>
    <n v="2.2050000000000001"/>
    <n v="53"/>
    <x v="1"/>
    <m/>
    <s v="2026-03-05"/>
    <s v="1264113"/>
    <s v="SRIKRISHNA ENTERPRISE"/>
    <s v="9614703331"/>
  </r>
  <r>
    <s v="RCF Trombay"/>
    <s v="15-15-15"/>
    <s v="WB"/>
    <x v="2"/>
    <s v="Alipurduar - I"/>
    <s v="User Not Mapped"/>
    <s v="User Not Mapped"/>
    <s v="User Not Mapped"/>
    <n v="368921"/>
    <s v="Bhubaneswari Fertilizers"/>
    <s v="Private Retailer"/>
    <s v="9733074388"/>
    <n v="0.4"/>
    <n v="143"/>
    <x v="0"/>
    <m/>
    <s v="2025-12-05"/>
    <s v="214203"/>
    <s v="Raja Fertilizer              "/>
    <s v="8370801460"/>
  </r>
  <r>
    <s v="RCF Trombay"/>
    <s v="15-15-15"/>
    <s v="WB"/>
    <x v="2"/>
    <s v="Alipurduar - I"/>
    <s v="User Not Mapped"/>
    <s v="User Not Mapped"/>
    <s v="User Not Mapped"/>
    <n v="634857"/>
    <s v="RAY FERTILIZER"/>
    <s v="Private Retailer"/>
    <s v="8509205390"/>
    <n v="0.5"/>
    <n v="59"/>
    <x v="1"/>
    <m/>
    <s v="2026-02-27"/>
    <s v="214203"/>
    <s v="Raja Fertilizer              "/>
    <s v="8370801460"/>
  </r>
  <r>
    <s v="RCF Trombay"/>
    <s v="15-15-15"/>
    <s v="WB"/>
    <x v="2"/>
    <s v="Alipurduar - I"/>
    <s v="User Not Mapped"/>
    <s v="User Not Mapped"/>
    <s v="User Not Mapped"/>
    <n v="635834"/>
    <s v="ASHIM DAS"/>
    <s v="Private Retailer"/>
    <s v="9800276528"/>
    <n v="0.25"/>
    <n v="16"/>
    <x v="4"/>
    <m/>
    <s v="2026-04-11"/>
    <s v="287777"/>
    <s v="M/s. Mathura Nath Chowdhury"/>
    <s v="7602178949"/>
  </r>
  <r>
    <s v="RCF Trombay"/>
    <s v="15-15-15"/>
    <s v="WB"/>
    <x v="2"/>
    <s v="Alipurduar - I"/>
    <s v="User Not Mapped"/>
    <s v="User Not Mapped"/>
    <s v="User Not Mapped"/>
    <n v="650910"/>
    <s v="M/S KRISHI BIPANI"/>
    <s v="Private Retailer"/>
    <s v="9002786687"/>
    <n v="1.8"/>
    <n v="34"/>
    <x v="1"/>
    <m/>
    <s v="2026-03-24"/>
    <s v="260049"/>
    <s v="Mahakal Enterprise"/>
    <s v="9674571163"/>
  </r>
  <r>
    <s v="RCF Trombay"/>
    <s v="15-15-15"/>
    <s v="WB"/>
    <x v="2"/>
    <s v="Alipurduar - I"/>
    <s v="User Not Mapped"/>
    <s v="User Not Mapped"/>
    <s v="User Not Mapped"/>
    <n v="675038"/>
    <s v="JHARNA FERTILIZER"/>
    <s v="Private Retailer"/>
    <s v="8617334740"/>
    <n v="0.35"/>
    <n v="215"/>
    <x v="3"/>
    <m/>
    <s v="2025-09-24"/>
    <s v="214203"/>
    <s v="Raja Fertilizer              "/>
    <s v="8370801460"/>
  </r>
  <r>
    <s v="RCF Trombay"/>
    <s v="15-15-15"/>
    <s v="WB"/>
    <x v="2"/>
    <s v="Alipurduar - I"/>
    <s v="User Not Mapped"/>
    <s v="User Not Mapped"/>
    <s v="User Not Mapped"/>
    <n v="735589"/>
    <s v="ROSNI FERTILIZER"/>
    <s v="Private Retailer"/>
    <s v="6294194800"/>
    <n v="11"/>
    <n v="16"/>
    <x v="4"/>
    <m/>
    <s v="2026-04-11"/>
    <s v="1264109"/>
    <s v="M/S SUNIL KUMAR KUNDU"/>
    <s v="9832028729"/>
  </r>
  <r>
    <s v="RCF Thal"/>
    <s v="N.C.Urea(45kg)"/>
    <s v="WB"/>
    <x v="2"/>
    <s v="Alipurduar - I"/>
    <s v="User Not Mapped"/>
    <s v="User Not Mapped"/>
    <s v="User Not Mapped"/>
    <n v="1133872"/>
    <s v="Laxmi Fertilizer"/>
    <s v="Private Retailer"/>
    <s v="8609390773"/>
    <n v="1.35"/>
    <n v="52"/>
    <x v="1"/>
    <m/>
    <s v="2026-03-06"/>
    <s v="1159944"/>
    <s v="Dey Banik Fertilizer and Co"/>
    <s v="9775801969"/>
  </r>
  <r>
    <s v="RCF Import"/>
    <s v="Imp 10-26-26"/>
    <s v="WB"/>
    <x v="2"/>
    <s v="Alipurduar - I"/>
    <s v="User Not Mapped"/>
    <s v="User Not Mapped"/>
    <s v="User Not Mapped"/>
    <n v="1240556"/>
    <s v="SARKAR FERTILIZER"/>
    <s v="Private Retailer"/>
    <s v="9733458546"/>
    <n v="0.35"/>
    <n v="884"/>
    <x v="7"/>
    <m/>
    <s v="2023-11-25"/>
    <s v="214203"/>
    <s v="Raja Fertilizer              "/>
    <s v="8370801460"/>
  </r>
  <r>
    <s v="RCF Thal"/>
    <s v="N.C.Urea(45kg)"/>
    <s v="WB"/>
    <x v="2"/>
    <s v="Alipurduar - II"/>
    <s v="User Not Mapped"/>
    <s v="User Not Mapped"/>
    <s v="User Not Mapped"/>
    <n v="328115"/>
    <s v="Atul Modak"/>
    <s v="Private Retailer"/>
    <s v="9002448704"/>
    <n v="2.9249999999999998"/>
    <n v="42"/>
    <x v="1"/>
    <m/>
    <s v="2026-03-16"/>
    <s v="1264113"/>
    <s v="SRIKRISHNA ENTERPRISE"/>
    <s v="9614703331"/>
  </r>
  <r>
    <s v="RCF Trombay"/>
    <s v="N.C.Urea(45kg)"/>
    <s v="WB"/>
    <x v="2"/>
    <s v="Alipurduar - II"/>
    <s v="User Not Mapped"/>
    <s v="User Not Mapped"/>
    <s v="User Not Mapped"/>
    <n v="861118"/>
    <s v="T.S ENTERPRISE"/>
    <s v="Other"/>
    <s v="9735036078"/>
    <n v="0.9"/>
    <n v="77"/>
    <x v="2"/>
    <m/>
    <s v="2026-02-09"/>
    <s v="214203"/>
    <s v="Raja Fertilizer              "/>
    <s v="8370801460"/>
  </r>
  <r>
    <s v="RCF Thal"/>
    <s v="N.C.Urea(45kg)"/>
    <s v="WB"/>
    <x v="2"/>
    <s v="Alipurduar - II"/>
    <s v="User Not Mapped"/>
    <s v="User Not Mapped"/>
    <s v="User Not Mapped"/>
    <n v="1089901"/>
    <s v="SUN FERTILISER"/>
    <s v="Private Retailer"/>
    <s v="8436093067"/>
    <n v="0.3"/>
    <n v="51"/>
    <x v="1"/>
    <m/>
    <s v="2026-03-07"/>
    <s v="1264113"/>
    <s v="SRIKRISHNA ENTERPRISE"/>
    <s v="9614703331"/>
  </r>
  <r>
    <s v="RCF Trombay"/>
    <s v="15-15-15"/>
    <s v="WB"/>
    <x v="2"/>
    <s v="Falakata"/>
    <s v="User Not Mapped"/>
    <s v="User Not Mapped"/>
    <s v="User Not Mapped"/>
    <n v="328150"/>
    <s v="Ram Saha"/>
    <s v="Private Retailer"/>
    <s v="9434413552"/>
    <n v="6"/>
    <n v="59"/>
    <x v="1"/>
    <m/>
    <s v="2026-02-27"/>
    <s v="1335785"/>
    <s v="CHAKI AGRO SCIENCE"/>
    <s v="7872827880"/>
  </r>
  <r>
    <s v="RCF Trombay"/>
    <s v="15-15-15"/>
    <s v="WB"/>
    <x v="2"/>
    <s v="Falakata"/>
    <s v="User Not Mapped"/>
    <s v="User Not Mapped"/>
    <s v="User Not Mapped"/>
    <n v="384630"/>
    <s v="Mukul Roy"/>
    <s v="Private Retailer"/>
    <s v="9564111987"/>
    <n v="0.3"/>
    <n v="13"/>
    <x v="4"/>
    <m/>
    <s v="2026-04-14"/>
    <s v="287777"/>
    <s v="M/s. Mathura Nath Chowdhury"/>
    <s v="7602178949"/>
  </r>
  <r>
    <s v="RCF Import"/>
    <s v="Imp 10-26-26"/>
    <s v="WB"/>
    <x v="2"/>
    <s v="Falakata"/>
    <s v="User Not Mapped"/>
    <s v="User Not Mapped"/>
    <s v="User Not Mapped"/>
    <n v="514513"/>
    <s v="Das Fertilizer"/>
    <s v="Private Retailer"/>
    <s v="9775892595"/>
    <n v="0.05"/>
    <n v="503"/>
    <x v="6"/>
    <m/>
    <s v="2024-12-10"/>
    <s v="214203"/>
    <s v="Raja Fertilizer              "/>
    <s v="8370801460"/>
  </r>
  <r>
    <s v="RCF Trombay"/>
    <s v="15-15-15"/>
    <s v="WB"/>
    <x v="2"/>
    <s v="Falakata"/>
    <s v="User Not Mapped"/>
    <s v="User Not Mapped"/>
    <s v="User Not Mapped"/>
    <n v="533468"/>
    <s v="Parimal Barman"/>
    <s v="Private Retailer"/>
    <s v="9734913276"/>
    <n v="3.1"/>
    <n v="20"/>
    <x v="4"/>
    <m/>
    <s v="2026-04-07"/>
    <s v="260049"/>
    <s v="Mahakal Enterprise"/>
    <s v="9674571163"/>
  </r>
  <r>
    <s v="RCF Trombay"/>
    <s v="15-15-15"/>
    <s v="WB"/>
    <x v="2"/>
    <s v="Falakata"/>
    <s v="User Not Mapped"/>
    <s v="User Not Mapped"/>
    <s v="User Not Mapped"/>
    <n v="533468"/>
    <s v="Parimal Barman"/>
    <s v="Private Retailer"/>
    <s v="9734913276"/>
    <n v="2.35"/>
    <n v="29"/>
    <x v="4"/>
    <m/>
    <s v="2026-03-29"/>
    <s v="260049"/>
    <s v="Mahakal Enterprise"/>
    <s v="9674571163"/>
  </r>
  <r>
    <s v="RCF Trombay"/>
    <s v="15-15-15"/>
    <s v="WB"/>
    <x v="2"/>
    <s v="Falakata"/>
    <s v="User Not Mapped"/>
    <s v="User Not Mapped"/>
    <s v="User Not Mapped"/>
    <n v="604044"/>
    <s v="BALARAM DAS"/>
    <s v="Private Retailer"/>
    <s v="9635889289"/>
    <n v="0.2"/>
    <n v="387"/>
    <x v="6"/>
    <m/>
    <s v="2025-04-05"/>
    <s v="214203"/>
    <s v="Raja Fertilizer              "/>
    <s v="8370801460"/>
  </r>
  <r>
    <s v="RCF Trombay"/>
    <s v="N.C.Urea(45kg)"/>
    <s v="WB"/>
    <x v="2"/>
    <s v="Falakata"/>
    <s v="User Not Mapped"/>
    <s v="User Not Mapped"/>
    <s v="User Not Mapped"/>
    <n v="1226623"/>
    <s v="KISHAN FERTILISER"/>
    <s v="Private Retailer"/>
    <s v="9932961258"/>
    <n v="0.36"/>
    <n v="66"/>
    <x v="2"/>
    <m/>
    <s v="2026-02-20"/>
    <s v="214203"/>
    <s v="Raja Fertilizer              "/>
    <s v="8370801460"/>
  </r>
  <r>
    <s v="RCF Trombay"/>
    <s v="15-15-15"/>
    <s v="WB"/>
    <x v="2"/>
    <s v="Falakata"/>
    <s v="User Not Mapped"/>
    <s v="User Not Mapped"/>
    <s v="User Not Mapped"/>
    <n v="1226623"/>
    <s v="KISHAN FERTILISER"/>
    <s v="Private Retailer"/>
    <s v="9932961258"/>
    <n v="0.15"/>
    <n v="42"/>
    <x v="1"/>
    <m/>
    <s v="2026-03-16"/>
    <s v="214203"/>
    <s v="Raja Fertilizer              "/>
    <s v="8370801460"/>
  </r>
  <r>
    <s v="RCF Trombay"/>
    <s v="15-15-15"/>
    <s v="WB"/>
    <x v="2"/>
    <s v="Falakata"/>
    <s v="User Not Mapped"/>
    <s v="User Not Mapped"/>
    <s v="User Not Mapped"/>
    <n v="1226623"/>
    <s v="KISHAN FERTILISER"/>
    <s v="Private Retailer"/>
    <s v="9932961258"/>
    <n v="0.1"/>
    <n v="24"/>
    <x v="4"/>
    <m/>
    <s v="2026-04-03"/>
    <s v="214203"/>
    <s v="Raja Fertilizer              "/>
    <s v="8370801460"/>
  </r>
  <r>
    <s v="RCF Trombay"/>
    <s v="15-15-15"/>
    <s v="WB"/>
    <x v="2"/>
    <s v="Falakata"/>
    <s v="User Not Mapped"/>
    <s v="User Not Mapped"/>
    <s v="User Not Mapped"/>
    <n v="1226623"/>
    <s v="KISHAN FERTILISER"/>
    <s v="Private Retailer"/>
    <s v="9932961258"/>
    <n v="0.15"/>
    <n v="118"/>
    <x v="5"/>
    <m/>
    <s v="2025-12-30"/>
    <s v="214203"/>
    <s v="Raja Fertilizer              "/>
    <s v="8370801460"/>
  </r>
  <r>
    <s v="RCF Trombay"/>
    <s v="15-15-15"/>
    <s v="WB"/>
    <x v="2"/>
    <s v="Falakata"/>
    <s v="User Not Mapped"/>
    <s v="User Not Mapped"/>
    <s v="User Not Mapped"/>
    <n v="1226627"/>
    <s v="NEW KRISHI SEVAYAN"/>
    <s v="Private Retailer"/>
    <s v="8436401102"/>
    <n v="0.1"/>
    <n v="11"/>
    <x v="4"/>
    <m/>
    <s v="2026-04-16"/>
    <s v="287777"/>
    <s v="M/s. Mathura Nath Chowdhury"/>
    <s v="7602178949"/>
  </r>
  <r>
    <s v="RCF Trombay"/>
    <s v="15-15-15"/>
    <s v="WB"/>
    <x v="2"/>
    <s v="Falakata"/>
    <s v="User Not Mapped"/>
    <s v="User Not Mapped"/>
    <s v="User Not Mapped"/>
    <n v="1527819"/>
    <s v="P.S FERTILISER"/>
    <s v="Private Retailer"/>
    <s v="7384360382"/>
    <n v="0.25"/>
    <n v="55"/>
    <x v="1"/>
    <m/>
    <s v="2026-03-03"/>
    <s v="260049"/>
    <s v="Mahakal Enterprise"/>
    <s v="9674571163"/>
  </r>
  <r>
    <s v="RCF Trombay"/>
    <s v="15-15-15"/>
    <s v="WB"/>
    <x v="2"/>
    <s v="Falakata"/>
    <s v="User Not Mapped"/>
    <s v="User Not Mapped"/>
    <s v="User Not Mapped"/>
    <n v="1527819"/>
    <s v="P.S FERTILISER"/>
    <s v="Private Retailer"/>
    <s v="7384360382"/>
    <n v="0.15"/>
    <n v="13"/>
    <x v="4"/>
    <m/>
    <s v="2026-04-14"/>
    <s v="214203"/>
    <s v="Raja Fertilizer              "/>
    <s v="8370801460"/>
  </r>
  <r>
    <s v="RCF Trombay"/>
    <s v="15-15-15"/>
    <s v="WB"/>
    <x v="2"/>
    <s v="Falakata"/>
    <s v="User Not Mapped"/>
    <s v="User Not Mapped"/>
    <s v="User Not Mapped"/>
    <n v="1527819"/>
    <s v="P.S FERTILISER"/>
    <s v="Private Retailer"/>
    <s v="7384360382"/>
    <n v="0.1"/>
    <n v="11"/>
    <x v="4"/>
    <m/>
    <s v="2026-04-16"/>
    <s v="214203"/>
    <s v="Raja Fertilizer              "/>
    <s v="8370801460"/>
  </r>
  <r>
    <s v="RCF Trombay"/>
    <s v="15-15-15"/>
    <s v="WB"/>
    <x v="2"/>
    <s v="Falakata"/>
    <s v="User Not Mapped"/>
    <s v="User Not Mapped"/>
    <s v="User Not Mapped"/>
    <n v="1527819"/>
    <s v="P.S FERTILISER"/>
    <s v="Private Retailer"/>
    <s v="7384360382"/>
    <n v="0.25"/>
    <n v="3"/>
    <x v="4"/>
    <m/>
    <s v="2026-04-24"/>
    <s v="214203"/>
    <s v="Raja Fertilizer              "/>
    <s v="8370801460"/>
  </r>
  <r>
    <s v="RCF Trombay"/>
    <s v="15-15-15"/>
    <s v="WB"/>
    <x v="2"/>
    <s v="Falakata"/>
    <s v="User Not Mapped"/>
    <s v="User Not Mapped"/>
    <s v="User Not Mapped"/>
    <n v="1527819"/>
    <s v="P.S FERTILISER"/>
    <s v="Private Retailer"/>
    <s v="7384360382"/>
    <n v="0.15"/>
    <n v="52"/>
    <x v="1"/>
    <m/>
    <s v="2026-03-06"/>
    <s v="214203"/>
    <s v="Raja Fertilizer              "/>
    <s v="8370801460"/>
  </r>
  <r>
    <s v="RCF Trombay"/>
    <s v="15-15-15"/>
    <s v="WB"/>
    <x v="2"/>
    <s v="Falakata"/>
    <s v="User Not Mapped"/>
    <s v="User Not Mapped"/>
    <s v="User Not Mapped"/>
    <n v="1527819"/>
    <s v="P.S FERTILISER"/>
    <s v="Private Retailer"/>
    <s v="7384360382"/>
    <n v="0.1"/>
    <n v="24"/>
    <x v="4"/>
    <m/>
    <s v="2026-04-03"/>
    <s v="214203"/>
    <s v="Raja Fertilizer              "/>
    <s v="8370801460"/>
  </r>
  <r>
    <s v="RCF Trombay"/>
    <s v="15-15-15"/>
    <s v="WB"/>
    <x v="2"/>
    <s v="Falakata"/>
    <s v="User Not Mapped"/>
    <s v="User Not Mapped"/>
    <s v="User Not Mapped"/>
    <n v="1527819"/>
    <s v="P.S FERTILISER"/>
    <s v="Private Retailer"/>
    <s v="7384360382"/>
    <n v="0.05"/>
    <n v="56"/>
    <x v="1"/>
    <m/>
    <s v="2026-03-02"/>
    <s v="214203"/>
    <s v="Raja Fertilizer              "/>
    <s v="8370801460"/>
  </r>
  <r>
    <s v="RCF Trombay"/>
    <s v="N.C.Urea(45kg)"/>
    <s v="WB"/>
    <x v="2"/>
    <s v="Kumargram"/>
    <s v="User Not Mapped"/>
    <s v="User Not Mapped"/>
    <s v="User Not Mapped"/>
    <n v="702152"/>
    <s v="NIRMAL FERTILIZER"/>
    <s v="Private Retailer"/>
    <s v="8617616250"/>
    <n v="0.9"/>
    <n v="73"/>
    <x v="2"/>
    <m/>
    <s v="2026-02-13"/>
    <s v="214203"/>
    <s v="Raja Fertilizer              "/>
    <s v="8370801460"/>
  </r>
  <r>
    <s v="RCF Thal"/>
    <s v="N.C.Urea(45kg)"/>
    <s v="WB"/>
    <x v="2"/>
    <s v="Kumargram"/>
    <s v="User Not Mapped"/>
    <s v="User Not Mapped"/>
    <s v="User Not Mapped"/>
    <n v="861130"/>
    <s v="BHUMI LAXMI"/>
    <s v="Private Retailer"/>
    <s v="7318994397"/>
    <n v="1.845"/>
    <n v="53"/>
    <x v="1"/>
    <m/>
    <s v="2026-03-05"/>
    <s v="1264113"/>
    <s v="SRIKRISHNA ENTERPRISE"/>
    <s v="9614703331"/>
  </r>
  <r>
    <s v="RCF Trombay"/>
    <s v="N.C.Urea(45kg)"/>
    <s v="WB"/>
    <x v="2"/>
    <s v="Kumargram"/>
    <s v="User Not Mapped"/>
    <s v="User Not Mapped"/>
    <s v="User Not Mapped"/>
    <n v="1226631"/>
    <s v="SUPRIYA STORE"/>
    <s v="Private Retailer"/>
    <s v="9064793090"/>
    <n v="0.01"/>
    <n v="443"/>
    <x v="6"/>
    <m/>
    <s v="2025-02-08"/>
    <s v="281165"/>
    <s v="Supriya Stores"/>
    <s v="9434808230"/>
  </r>
  <r>
    <s v="RCF Thal"/>
    <s v="N.C.Urea(45kg)"/>
    <s v="WB"/>
    <x v="2"/>
    <s v="Kumargram"/>
    <s v="User Not Mapped"/>
    <s v="User Not Mapped"/>
    <s v="User Not Mapped"/>
    <n v="1226631"/>
    <s v="SUPRIYA STORE"/>
    <s v="Private Retailer"/>
    <s v="9064793090"/>
    <n v="0.02"/>
    <n v="446"/>
    <x v="6"/>
    <m/>
    <s v="2025-02-05"/>
    <s v="281165"/>
    <s v="Supriya Stores"/>
    <s v="9434808230"/>
  </r>
  <r>
    <s v="RCF Thal"/>
    <s v="N.C.Urea(45kg)"/>
    <s v="WB"/>
    <x v="2"/>
    <s v="Kumargram"/>
    <s v="User Not Mapped"/>
    <s v="User Not Mapped"/>
    <s v="User Not Mapped"/>
    <n v="1228973"/>
    <s v="SARKAR FERTILISER"/>
    <s v="Private Retailer"/>
    <s v="9800132888"/>
    <n v="3.15"/>
    <n v="53"/>
    <x v="1"/>
    <m/>
    <s v="2026-03-05"/>
    <s v="1264113"/>
    <s v="SRIKRISHNA ENTERPRISE"/>
    <s v="9614703331"/>
  </r>
  <r>
    <s v="RCF Thal"/>
    <s v="N.C.Urea(45kg)"/>
    <s v="WB"/>
    <x v="2"/>
    <s v="Kumargram"/>
    <s v="User Not Mapped"/>
    <s v="User Not Mapped"/>
    <s v="User Not Mapped"/>
    <n v="1569525"/>
    <s v="M/S KISHOK BHANDAR"/>
    <s v="Private Retailer"/>
    <s v="8167393482"/>
    <n v="6.84"/>
    <n v="53"/>
    <x v="1"/>
    <m/>
    <s v="2026-03-05"/>
    <s v="1264109"/>
    <s v="M/S SUNIL KUMAR KUNDU"/>
    <s v="9832028729"/>
  </r>
  <r>
    <s v="RCF Thal"/>
    <s v="N.C.Urea(45kg)"/>
    <s v="WB"/>
    <x v="2"/>
    <m/>
    <s v="User Not Mapped"/>
    <s v="User Not Mapped"/>
    <s v="User Not Mapped"/>
    <n v="185237"/>
    <s v="Parimal Roy"/>
    <s v="Private Retailer"/>
    <s v="9046857579"/>
    <n v="12.195"/>
    <n v="2162"/>
    <x v="7"/>
    <m/>
    <s v="2020-05-26"/>
    <s v="457815"/>
    <s v="Mahavir Agency"/>
    <s v="9434071707"/>
  </r>
  <r>
    <s v="RCF Trombay"/>
    <s v="15-15-15"/>
    <s v="WB"/>
    <x v="2"/>
    <m/>
    <s v="User Not Mapped"/>
    <s v="User Not Mapped"/>
    <s v="User Not Mapped"/>
    <n v="287737"/>
    <s v="Ranjit Paul"/>
    <s v="Private Retailer"/>
    <s v="9932099942"/>
    <n v="0.5"/>
    <n v="13"/>
    <x v="4"/>
    <m/>
    <s v="2026-04-14"/>
    <s v="287777"/>
    <s v="M/s. Mathura Nath Chowdhury"/>
    <s v="7602178949"/>
  </r>
  <r>
    <s v="RCF Trombay"/>
    <s v="15-15-15"/>
    <s v="WB"/>
    <x v="2"/>
    <m/>
    <s v="User Not Mapped"/>
    <s v="User Not Mapped"/>
    <s v="User Not Mapped"/>
    <n v="287746"/>
    <s v="Sailen Das"/>
    <s v="Private Retailer"/>
    <s v="9593720655"/>
    <n v="1"/>
    <n v="29"/>
    <x v="4"/>
    <m/>
    <s v="2026-03-29"/>
    <s v="260049"/>
    <s v="Mahakal Enterprise"/>
    <s v="9674571163"/>
  </r>
  <r>
    <s v="RCF Trombay"/>
    <s v="15-15-15"/>
    <s v="WB"/>
    <x v="2"/>
    <m/>
    <s v="User Not Mapped"/>
    <s v="User Not Mapped"/>
    <s v="User Not Mapped"/>
    <n v="287754"/>
    <s v="Shambhu Choudhury"/>
    <s v="Private Retailer"/>
    <s v="8116069787"/>
    <n v="0.35"/>
    <n v="11"/>
    <x v="4"/>
    <m/>
    <s v="2026-04-16"/>
    <s v="214203"/>
    <s v="Raja Fertilizer              "/>
    <s v="8370801460"/>
  </r>
  <r>
    <s v="RCF Trombay"/>
    <s v="15-15-15"/>
    <s v="WB"/>
    <x v="2"/>
    <m/>
    <s v="User Not Mapped"/>
    <s v="User Not Mapped"/>
    <s v="User Not Mapped"/>
    <n v="287754"/>
    <s v="Shambhu Choudhury"/>
    <s v="Private Retailer"/>
    <s v="8116069787"/>
    <n v="0.45"/>
    <n v="28"/>
    <x v="4"/>
    <m/>
    <s v="2026-03-30"/>
    <s v="260049"/>
    <s v="Mahakal Enterprise"/>
    <s v="9674571163"/>
  </r>
  <r>
    <s v="RCF Thal"/>
    <s v="N.C.Urea(45kg)"/>
    <s v="WB"/>
    <x v="2"/>
    <m/>
    <s v="User Not Mapped"/>
    <s v="User Not Mapped"/>
    <s v="User Not Mapped"/>
    <n v="316106"/>
    <s v="Diganta Das"/>
    <s v="Private Retailer"/>
    <s v="9641460880"/>
    <n v="1.35"/>
    <n v="42"/>
    <x v="1"/>
    <m/>
    <s v="2026-03-16"/>
    <s v="1264113"/>
    <s v="SRIKRISHNA ENTERPRISE"/>
    <s v="9614703331"/>
  </r>
  <r>
    <s v="RCF Thal"/>
    <s v="N.C.Urea(45kg)"/>
    <s v="WB"/>
    <x v="2"/>
    <m/>
    <s v="User Not Mapped"/>
    <s v="User Not Mapped"/>
    <s v="User Not Mapped"/>
    <n v="328127"/>
    <s v="Krishi Swapna Fertilizer"/>
    <s v="Private Retailer"/>
    <s v="9002906735"/>
    <n v="4.4999999999999998E-2"/>
    <n v="42"/>
    <x v="1"/>
    <m/>
    <s v="2026-03-16"/>
    <s v="1264113"/>
    <s v="SRIKRISHNA ENTERPRISE"/>
    <s v="9614703331"/>
  </r>
  <r>
    <s v="RCF Trombay"/>
    <s v="15-15-15"/>
    <s v="WB"/>
    <x v="2"/>
    <m/>
    <s v="User Not Mapped"/>
    <s v="User Not Mapped"/>
    <s v="User Not Mapped"/>
    <n v="536845"/>
    <s v="Das Fertilizer"/>
    <s v="Private Retailer"/>
    <s v="9733251896"/>
    <n v="0.1"/>
    <n v="118"/>
    <x v="5"/>
    <m/>
    <s v="2025-12-30"/>
    <s v="214203"/>
    <s v="Raja Fertilizer              "/>
    <s v="8370801460"/>
  </r>
  <r>
    <s v="RCF Thal"/>
    <s v="N.C.Urea(45kg)"/>
    <s v="WB"/>
    <x v="2"/>
    <m/>
    <s v="User Not Mapped"/>
    <s v="User Not Mapped"/>
    <s v="User Not Mapped"/>
    <n v="592098"/>
    <s v="FULESWAR DEBNATH"/>
    <s v="Private Retailer"/>
    <s v="7001488634"/>
    <n v="2.88"/>
    <n v="53"/>
    <x v="1"/>
    <m/>
    <s v="2026-03-05"/>
    <s v="1264113"/>
    <s v="SRIKRISHNA ENTERPRISE"/>
    <s v="9614703331"/>
  </r>
  <r>
    <s v="RCF Trombay"/>
    <s v="15-15-15"/>
    <s v="WB"/>
    <x v="2"/>
    <m/>
    <s v="User Not Mapped"/>
    <s v="User Not Mapped"/>
    <s v="User Not Mapped"/>
    <n v="752441"/>
    <s v="CHARU FERTILIZER"/>
    <s v="Private Retailer"/>
    <s v="9002861662"/>
    <n v="0.05"/>
    <n v="189"/>
    <x v="3"/>
    <m/>
    <s v="2025-10-20"/>
    <s v="214203"/>
    <s v="Raja Fertilizer              "/>
    <s v="8370801460"/>
  </r>
  <r>
    <s v="RCF Trombay"/>
    <s v="15-15-15"/>
    <s v="WB"/>
    <x v="2"/>
    <m/>
    <s v="User Not Mapped"/>
    <s v="User Not Mapped"/>
    <s v="User Not Mapped"/>
    <n v="755037"/>
    <s v="SARKAR FERTILIZER"/>
    <s v="Private Retailer"/>
    <s v="8372009942"/>
    <n v="13"/>
    <n v="14"/>
    <x v="4"/>
    <m/>
    <s v="2026-04-13"/>
    <s v="1264109"/>
    <s v="M/S SUNIL KUMAR KUNDU"/>
    <s v="9832028729"/>
  </r>
  <r>
    <s v="RCF Trombay"/>
    <s v="15-15-15"/>
    <s v="WB"/>
    <x v="2"/>
    <m/>
    <s v="User Not Mapped"/>
    <s v="User Not Mapped"/>
    <s v="User Not Mapped"/>
    <n v="794826"/>
    <s v="KRISHI BIPANI"/>
    <s v="Private Retailer"/>
    <s v="9749848863"/>
    <n v="0.13"/>
    <n v="1306"/>
    <x v="7"/>
    <m/>
    <s v="2022-09-29"/>
    <s v="214203"/>
    <s v="Raja Fertilizer              "/>
    <s v="8370801460"/>
  </r>
  <r>
    <s v="RCF Thal"/>
    <s v="N.C.Urea(45kg)"/>
    <s v="WB"/>
    <x v="2"/>
    <m/>
    <s v="User Not Mapped"/>
    <s v="User Not Mapped"/>
    <s v="User Not Mapped"/>
    <n v="795242"/>
    <s v="DUTTA FERTILISER"/>
    <s v="Private Retailer"/>
    <s v="7586892911"/>
    <n v="11.025"/>
    <n v="53"/>
    <x v="1"/>
    <m/>
    <s v="2026-03-05"/>
    <s v="1264109"/>
    <s v="M/S SUNIL KUMAR KUNDU"/>
    <s v="9832028729"/>
  </r>
  <r>
    <s v="RCF Trombay"/>
    <s v="15-15-15"/>
    <s v="WB"/>
    <x v="2"/>
    <m/>
    <s v="User Not Mapped"/>
    <s v="User Not Mapped"/>
    <s v="User Not Mapped"/>
    <n v="845365"/>
    <s v="New Maa Tara Fertilizer"/>
    <s v="Private Retailer"/>
    <s v="6294309174"/>
    <n v="0.35"/>
    <n v="13"/>
    <x v="4"/>
    <m/>
    <s v="2026-04-14"/>
    <s v="287777"/>
    <s v="M/s. Mathura Nath Chowdhury"/>
    <s v="7602178949"/>
  </r>
  <r>
    <s v="RCF Trombay"/>
    <s v="N.C.Urea(45kg)"/>
    <s v="WB"/>
    <x v="2"/>
    <m/>
    <s v="User Not Mapped"/>
    <s v="User Not Mapped"/>
    <s v="User Not Mapped"/>
    <n v="861158"/>
    <s v="SINHA FERTILIZER"/>
    <s v="Private Retailer"/>
    <s v="8346000871"/>
    <n v="8.1000000000000003E-2"/>
    <n v="618"/>
    <x v="7"/>
    <m/>
    <s v="2024-08-17"/>
    <s v="260049"/>
    <s v="Mahakal Enterprise"/>
    <s v="9674571163"/>
  </r>
  <r>
    <s v="RCF Thal"/>
    <s v="N.C.Urea(45kg)"/>
    <s v="WB"/>
    <x v="2"/>
    <m/>
    <s v="User Not Mapped"/>
    <s v="User Not Mapped"/>
    <s v="User Not Mapped"/>
    <n v="958023"/>
    <s v="DEBRAJ DUTTA"/>
    <s v="Private Retailer"/>
    <s v="9126896651"/>
    <n v="0.40500000000000003"/>
    <n v="53"/>
    <x v="1"/>
    <m/>
    <s v="2026-03-05"/>
    <s v="1264113"/>
    <s v="SRIKRISHNA ENTERPRISE"/>
    <s v="9614703331"/>
  </r>
  <r>
    <s v="RCF Trombay"/>
    <s v="N.C.Urea(45kg)"/>
    <s v="WB"/>
    <x v="2"/>
    <m/>
    <s v="User Not Mapped"/>
    <s v="User Not Mapped"/>
    <s v="User Not Mapped"/>
    <n v="998648"/>
    <s v="GOBINDA CHANDRA DAS"/>
    <s v="Private Retailer"/>
    <s v="9832460494"/>
    <n v="3.8250000000000002"/>
    <n v="2673"/>
    <x v="7"/>
    <m/>
    <s v="2019-01-01"/>
    <s v="11"/>
    <s v="Too Old Stock"/>
    <m/>
  </r>
  <r>
    <s v="RCF Trombay"/>
    <s v="15-15-15"/>
    <s v="WB"/>
    <x v="2"/>
    <m/>
    <s v="User Not Mapped"/>
    <s v="User Not Mapped"/>
    <s v="User Not Mapped"/>
    <n v="1609248"/>
    <s v="M/S GUPI STORE"/>
    <s v="Private Retailer"/>
    <s v="9083288859"/>
    <n v="11"/>
    <n v="14"/>
    <x v="4"/>
    <m/>
    <s v="2026-04-13"/>
    <s v="1264109"/>
    <s v="M/S SUNIL KUMAR KUNDU"/>
    <s v="9832028729"/>
  </r>
  <r>
    <s v="RCF Trombay"/>
    <s v="15-15-15"/>
    <s v="WB"/>
    <x v="3"/>
    <s v="Bankura - II"/>
    <s v="User Not Mapped"/>
    <s v="User Not Mapped"/>
    <s v="User Not Mapped"/>
    <n v="456170"/>
    <s v="Jhantulal Ghosh"/>
    <s v="Private Retailer"/>
    <s v="7908387016"/>
    <n v="7.85"/>
    <n v="131"/>
    <x v="0"/>
    <m/>
    <s v="2025-12-17"/>
    <s v="261556"/>
    <s v="Bankim Chandra Makur"/>
    <s v="9434520840"/>
  </r>
  <r>
    <s v="RCF Trombay"/>
    <s v="15-15-15"/>
    <s v="WB"/>
    <x v="3"/>
    <s v="Barjora"/>
    <s v="User Not Mapped"/>
    <s v="User Not Mapped"/>
    <s v="User Not Mapped"/>
    <n v="1063939"/>
    <s v="Amit Bhui"/>
    <s v="Private Retailer"/>
    <s v="9333421372"/>
    <n v="2.85"/>
    <n v="259"/>
    <x v="3"/>
    <m/>
    <s v="2025-08-11"/>
    <s v="1404374"/>
    <s v="PRITSH KUMAR SEN"/>
    <s v="7001420238"/>
  </r>
  <r>
    <s v="RCF Trombay"/>
    <s v="N.C.Urea(45kg)"/>
    <s v="WB"/>
    <x v="3"/>
    <s v="Indpur"/>
    <s v="User Not Mapped"/>
    <s v="User Not Mapped"/>
    <s v="User Not Mapped"/>
    <n v="1028749"/>
    <s v="PRATAP MUKHERJEE"/>
    <s v="Private Retailer"/>
    <s v="8016981853"/>
    <n v="0.09"/>
    <n v="265"/>
    <x v="3"/>
    <m/>
    <s v="2025-08-05"/>
    <s v="261556"/>
    <s v="Bankim Chandra Makur"/>
    <s v="9434520840"/>
  </r>
  <r>
    <s v="RCF Import"/>
    <s v="Imp 10-26-26"/>
    <s v="WB"/>
    <x v="3"/>
    <s v="Jaypur"/>
    <s v="User Not Mapped"/>
    <s v="User Not Mapped"/>
    <s v="User Not Mapped"/>
    <n v="242672"/>
    <s v="Jagannath Samui"/>
    <s v="Private Retailer"/>
    <s v="9475064998"/>
    <n v="3.45"/>
    <n v="61"/>
    <x v="2"/>
    <m/>
    <s v="2026-02-25"/>
    <s v="261556"/>
    <s v="Bankim Chandra Makur"/>
    <s v="9434520840"/>
  </r>
  <r>
    <s v="RCF Thal"/>
    <s v="N.C.Urea(45kg)"/>
    <s v="WB"/>
    <x v="3"/>
    <s v="Jaypur"/>
    <s v="User Not Mapped"/>
    <s v="User Not Mapped"/>
    <s v="User Not Mapped"/>
    <n v="242672"/>
    <s v="Jagannath Samui"/>
    <s v="Private Retailer"/>
    <s v="9475064998"/>
    <n v="2.6549999999999998"/>
    <n v="74"/>
    <x v="2"/>
    <m/>
    <s v="2026-02-12"/>
    <s v="261556"/>
    <s v="Bankim Chandra Makur"/>
    <s v="9434520840"/>
  </r>
  <r>
    <s v="RCF Thal"/>
    <s v="N.C.Urea(45kg)"/>
    <s v="WB"/>
    <x v="3"/>
    <s v="Jaypur"/>
    <s v="User Not Mapped"/>
    <s v="User Not Mapped"/>
    <s v="User Not Mapped"/>
    <n v="398341"/>
    <s v="Banshi Gopal Mukherjee"/>
    <s v="Private Retailer"/>
    <s v="8073787312"/>
    <n v="0.36"/>
    <n v="175"/>
    <x v="0"/>
    <m/>
    <s v="2025-11-03"/>
    <s v="261556"/>
    <s v="Bankim Chandra Makur"/>
    <s v="9434520840"/>
  </r>
  <r>
    <s v="RCF Thal"/>
    <s v="N.C.Urea(45kg)"/>
    <s v="WB"/>
    <x v="3"/>
    <s v="Jaypur"/>
    <s v="User Not Mapped"/>
    <s v="User Not Mapped"/>
    <s v="User Not Mapped"/>
    <n v="452485"/>
    <s v="Amaresh Dey"/>
    <s v="Private Retailer"/>
    <s v="9564895814"/>
    <n v="0.09"/>
    <n v="175"/>
    <x v="0"/>
    <m/>
    <s v="2025-11-03"/>
    <s v="261556"/>
    <s v="Bankim Chandra Makur"/>
    <s v="9434520840"/>
  </r>
  <r>
    <s v="RCF Thal"/>
    <s v="N.C.Urea(45kg)"/>
    <s v="WB"/>
    <x v="3"/>
    <s v="Jaypur"/>
    <s v="User Not Mapped"/>
    <s v="User Not Mapped"/>
    <s v="User Not Mapped"/>
    <n v="1056693"/>
    <s v="NABAKUMAR KUNDU"/>
    <s v="Private Retailer"/>
    <s v="9732550919"/>
    <n v="0.13500000000000001"/>
    <n v="74"/>
    <x v="2"/>
    <m/>
    <s v="2026-02-12"/>
    <s v="261556"/>
    <s v="Bankim Chandra Makur"/>
    <s v="9434520840"/>
  </r>
  <r>
    <s v="RCF Import"/>
    <s v="Imp 10-26-26"/>
    <s v="WB"/>
    <x v="3"/>
    <s v="Jaypur"/>
    <s v="User Not Mapped"/>
    <s v="User Not Mapped"/>
    <s v="User Not Mapped"/>
    <n v="1056693"/>
    <s v="NABAKUMAR KUNDU"/>
    <s v="Private Retailer"/>
    <s v="9732550919"/>
    <n v="6"/>
    <n v="61"/>
    <x v="2"/>
    <m/>
    <s v="2026-02-25"/>
    <s v="261556"/>
    <s v="Bankim Chandra Makur"/>
    <s v="9434520840"/>
  </r>
  <r>
    <s v="RCF Thal"/>
    <s v="N.C.Urea(45kg)"/>
    <s v="WB"/>
    <x v="3"/>
    <s v="Kotulpur"/>
    <s v="User Not Mapped"/>
    <s v="User Not Mapped"/>
    <s v="User Not Mapped"/>
    <n v="797126"/>
    <s v="RAMA GHOSH"/>
    <s v="Private Retailer"/>
    <s v="7407495216"/>
    <n v="5.49"/>
    <n v="483"/>
    <x v="6"/>
    <m/>
    <s v="2024-12-30"/>
    <s v="261556"/>
    <s v="Bankim Chandra Makur"/>
    <s v="9434520840"/>
  </r>
  <r>
    <s v="RCF Trombay"/>
    <s v="N.C.Urea(45kg)"/>
    <s v="WB"/>
    <x v="3"/>
    <s v="Kotulpur"/>
    <s v="User Not Mapped"/>
    <s v="User Not Mapped"/>
    <s v="User Not Mapped"/>
    <n v="797126"/>
    <s v="RAMA GHOSH"/>
    <s v="Private Retailer"/>
    <s v="7407495216"/>
    <n v="3.645"/>
    <n v="470"/>
    <x v="6"/>
    <m/>
    <s v="2025-01-12"/>
    <s v="261556"/>
    <s v="Bankim Chandra Makur"/>
    <s v="9434520840"/>
  </r>
  <r>
    <s v="RCF Import"/>
    <s v="Imp 10-26-26"/>
    <s v="WB"/>
    <x v="3"/>
    <s v="Onda"/>
    <s v="User Not Mapped"/>
    <s v="User Not Mapped"/>
    <s v="User Not Mapped"/>
    <n v="242653"/>
    <s v="Dibyendu Roy"/>
    <s v="Private Retailer"/>
    <s v="8637038065"/>
    <n v="10.95"/>
    <n v="61"/>
    <x v="2"/>
    <m/>
    <s v="2026-02-25"/>
    <s v="261556"/>
    <s v="Bankim Chandra Makur"/>
    <s v="9434520840"/>
  </r>
  <r>
    <s v="RCF Trombay"/>
    <s v="N.C.Urea(45kg)"/>
    <s v="WB"/>
    <x v="3"/>
    <s v="Onda"/>
    <s v="User Not Mapped"/>
    <s v="User Not Mapped"/>
    <s v="User Not Mapped"/>
    <n v="242673"/>
    <s v="Jamini Mohan Kundu"/>
    <s v="Private Retailer"/>
    <s v="9002577800"/>
    <n v="3.51"/>
    <n v="131"/>
    <x v="0"/>
    <m/>
    <s v="2025-12-17"/>
    <s v="261556"/>
    <s v="Bankim Chandra Makur"/>
    <s v="9434520840"/>
  </r>
  <r>
    <s v="RCF Trombay"/>
    <s v="15-15-15"/>
    <s v="WB"/>
    <x v="3"/>
    <s v="Onda"/>
    <s v="User Not Mapped"/>
    <s v="User Not Mapped"/>
    <s v="User Not Mapped"/>
    <n v="242673"/>
    <s v="Jamini Mohan Kundu"/>
    <s v="Private Retailer"/>
    <s v="9002577800"/>
    <n v="1.25"/>
    <n v="131"/>
    <x v="0"/>
    <m/>
    <s v="2025-12-17"/>
    <s v="261556"/>
    <s v="Bankim Chandra Makur"/>
    <s v="9434520840"/>
  </r>
  <r>
    <s v="RCF Trombay"/>
    <s v="15-15-15"/>
    <s v="WB"/>
    <x v="3"/>
    <s v="Onda"/>
    <s v="User Not Mapped"/>
    <s v="User Not Mapped"/>
    <s v="User Not Mapped"/>
    <n v="452467"/>
    <s v="Kuruna Kali Adhikari"/>
    <s v="Private Retailer"/>
    <s v="9153664004"/>
    <n v="2.218"/>
    <n v="1281"/>
    <x v="7"/>
    <m/>
    <s v="2022-10-24"/>
    <s v="261556"/>
    <s v="Bankim Chandra Makur"/>
    <s v="9434520840"/>
  </r>
  <r>
    <s v="RCF Thal"/>
    <s v="N.C.Urea(45kg)"/>
    <s v="WB"/>
    <x v="3"/>
    <s v="Onda"/>
    <s v="User Not Mapped"/>
    <s v="User Not Mapped"/>
    <s v="User Not Mapped"/>
    <n v="487093"/>
    <s v="Balaram Khan"/>
    <s v="Private Retailer"/>
    <s v="8945599382"/>
    <n v="9"/>
    <n v="255"/>
    <x v="3"/>
    <m/>
    <s v="2025-08-15"/>
    <s v="261556"/>
    <s v="Bankim Chandra Makur"/>
    <s v="9434520840"/>
  </r>
  <r>
    <s v="RCF Thal"/>
    <s v="N.C.Urea(45kg)"/>
    <s v="WB"/>
    <x v="3"/>
    <s v="Onda"/>
    <s v="User Not Mapped"/>
    <s v="User Not Mapped"/>
    <s v="User Not Mapped"/>
    <n v="498528"/>
    <s v="Sujoy Kumar Sen"/>
    <s v="Private Retailer"/>
    <s v="9564813985"/>
    <n v="0.60299999999999998"/>
    <n v="255"/>
    <x v="3"/>
    <m/>
    <s v="2025-08-15"/>
    <s v="261556"/>
    <s v="Bankim Chandra Makur"/>
    <s v="9434520840"/>
  </r>
  <r>
    <s v="RCF Trombay"/>
    <s v="15-15-15"/>
    <s v="WB"/>
    <x v="3"/>
    <s v="Onda"/>
    <s v="User Not Mapped"/>
    <s v="User Not Mapped"/>
    <s v="User Not Mapped"/>
    <n v="530174"/>
    <s v="Ranjit Diasi"/>
    <s v="Private Retailer"/>
    <s v="9734242985"/>
    <n v="1.9"/>
    <n v="242"/>
    <x v="3"/>
    <m/>
    <s v="2025-08-28"/>
    <s v="1404374"/>
    <s v="PRITSH KUMAR SEN"/>
    <s v="7001420238"/>
  </r>
  <r>
    <s v="RCF Trombay"/>
    <s v="15-15-15"/>
    <s v="WB"/>
    <x v="3"/>
    <s v="Onda"/>
    <s v="User Not Mapped"/>
    <s v="User Not Mapped"/>
    <s v="User Not Mapped"/>
    <n v="536182"/>
    <s v="Subhendu Mondal"/>
    <s v="Private Retailer"/>
    <s v="9735227801"/>
    <n v="3.25"/>
    <n v="131"/>
    <x v="0"/>
    <m/>
    <s v="2025-12-17"/>
    <s v="261556"/>
    <s v="Bankim Chandra Makur"/>
    <s v="9434520840"/>
  </r>
  <r>
    <s v="RCF Trombay"/>
    <s v="N.C.Urea(45kg)"/>
    <s v="WB"/>
    <x v="3"/>
    <s v="Onda"/>
    <s v="User Not Mapped"/>
    <s v="User Not Mapped"/>
    <s v="User Not Mapped"/>
    <n v="536182"/>
    <s v="Subhendu Mondal"/>
    <s v="Private Retailer"/>
    <s v="9735227801"/>
    <n v="6.4349999999999996"/>
    <n v="131"/>
    <x v="0"/>
    <m/>
    <s v="2025-12-17"/>
    <s v="261556"/>
    <s v="Bankim Chandra Makur"/>
    <s v="9434520840"/>
  </r>
  <r>
    <s v="RCF Thal"/>
    <s v="N.C.Urea(45kg)"/>
    <s v="WB"/>
    <x v="3"/>
    <s v="Onda"/>
    <s v="User Not Mapped"/>
    <s v="User Not Mapped"/>
    <s v="User Not Mapped"/>
    <n v="536182"/>
    <s v="Subhendu Mondal"/>
    <s v="Private Retailer"/>
    <s v="9735227801"/>
    <n v="13.5"/>
    <n v="175"/>
    <x v="0"/>
    <m/>
    <s v="2025-11-03"/>
    <s v="261556"/>
    <s v="Bankim Chandra Makur"/>
    <s v="9434520840"/>
  </r>
  <r>
    <s v="RCF Thal"/>
    <s v="N.C.Urea(45kg)"/>
    <s v="WB"/>
    <x v="3"/>
    <s v="Onda"/>
    <s v="User Not Mapped"/>
    <s v="User Not Mapped"/>
    <s v="User Not Mapped"/>
    <n v="536182"/>
    <s v="Subhendu Mondal"/>
    <s v="Private Retailer"/>
    <s v="9735227801"/>
    <n v="3.0150000000000001"/>
    <n v="255"/>
    <x v="3"/>
    <m/>
    <s v="2025-08-15"/>
    <s v="261556"/>
    <s v="Bankim Chandra Makur"/>
    <s v="9434520840"/>
  </r>
  <r>
    <s v="RCF Thal"/>
    <s v="N.C.Urea(45kg)"/>
    <s v="WB"/>
    <x v="3"/>
    <s v="Onda"/>
    <s v="User Not Mapped"/>
    <s v="User Not Mapped"/>
    <s v="User Not Mapped"/>
    <n v="612034"/>
    <s v="SUBIR CHAKRABORTY"/>
    <s v="Private Retailer"/>
    <s v="8918970509"/>
    <n v="3.1949999999999998"/>
    <n v="255"/>
    <x v="3"/>
    <m/>
    <s v="2025-08-15"/>
    <s v="261556"/>
    <s v="Bankim Chandra Makur"/>
    <s v="9434520840"/>
  </r>
  <r>
    <s v="RCF Trombay"/>
    <s v="15-15-15"/>
    <s v="WB"/>
    <x v="3"/>
    <s v="Onda"/>
    <s v="User Not Mapped"/>
    <s v="User Not Mapped"/>
    <s v="User Not Mapped"/>
    <n v="612034"/>
    <s v="SUBIR CHAKRABORTY"/>
    <s v="Private Retailer"/>
    <s v="8918970509"/>
    <n v="0.75"/>
    <n v="265"/>
    <x v="3"/>
    <m/>
    <s v="2025-08-05"/>
    <s v="261556"/>
    <s v="Bankim Chandra Makur"/>
    <s v="9434520840"/>
  </r>
  <r>
    <s v="RCF Trombay"/>
    <s v="N.C.Urea(45kg)"/>
    <s v="WB"/>
    <x v="3"/>
    <s v="Onda"/>
    <s v="User Not Mapped"/>
    <s v="User Not Mapped"/>
    <s v="User Not Mapped"/>
    <n v="640621"/>
    <s v="NUR ALAM MANDAL"/>
    <s v="Private Retailer"/>
    <s v="7908351982"/>
    <n v="0.18"/>
    <n v="265"/>
    <x v="3"/>
    <m/>
    <s v="2025-08-05"/>
    <s v="261556"/>
    <s v="Bankim Chandra Makur"/>
    <s v="9434520840"/>
  </r>
  <r>
    <s v="RCF Thal"/>
    <s v="N.C.Urea(45kg)"/>
    <s v="WB"/>
    <x v="3"/>
    <s v="Onda"/>
    <s v="User Not Mapped"/>
    <s v="User Not Mapped"/>
    <s v="User Not Mapped"/>
    <n v="838071"/>
    <s v="Abdul RAhaman Mondal"/>
    <s v="Private Retailer"/>
    <s v="8145210990"/>
    <n v="2.97"/>
    <n v="482"/>
    <x v="6"/>
    <m/>
    <s v="2024-12-31"/>
    <s v="261556"/>
    <s v="Bankim Chandra Makur"/>
    <s v="9434520840"/>
  </r>
  <r>
    <s v="RCF Trombay"/>
    <s v="N.C.Urea(45kg)"/>
    <s v="WB"/>
    <x v="3"/>
    <s v="Onda"/>
    <s v="User Not Mapped"/>
    <s v="User Not Mapped"/>
    <s v="User Not Mapped"/>
    <n v="877230"/>
    <s v="Netai Chandra Pal"/>
    <s v="Private Retailer"/>
    <s v="9735625484"/>
    <n v="6.2549999999999999"/>
    <n v="131"/>
    <x v="0"/>
    <m/>
    <s v="2025-12-17"/>
    <s v="261556"/>
    <s v="Bankim Chandra Makur"/>
    <s v="9434520840"/>
  </r>
  <r>
    <s v="RCF Thal"/>
    <s v="N.C.Urea(45kg)"/>
    <s v="WB"/>
    <x v="3"/>
    <s v="Onda"/>
    <s v="User Not Mapped"/>
    <s v="User Not Mapped"/>
    <s v="User Not Mapped"/>
    <n v="877230"/>
    <s v="Netai Chandra Pal"/>
    <s v="Private Retailer"/>
    <s v="9735625484"/>
    <n v="0.40500000000000003"/>
    <n v="175"/>
    <x v="0"/>
    <m/>
    <s v="2025-11-03"/>
    <s v="261556"/>
    <s v="Bankim Chandra Makur"/>
    <s v="9434520840"/>
  </r>
  <r>
    <s v="RCF Trombay"/>
    <s v="15-15-15"/>
    <s v="WB"/>
    <x v="3"/>
    <s v="Saltora"/>
    <s v="User Not Mapped"/>
    <s v="User Not Mapped"/>
    <s v="User Not Mapped"/>
    <n v="393647"/>
    <s v="Chinmoy Gorain"/>
    <s v="Private Retailer"/>
    <s v="9933144865"/>
    <n v="3.45"/>
    <n v="131"/>
    <x v="0"/>
    <m/>
    <s v="2025-12-17"/>
    <s v="261556"/>
    <s v="Bankim Chandra Makur"/>
    <s v="9434520840"/>
  </r>
  <r>
    <s v="RCF Trombay"/>
    <s v="15-15-15"/>
    <s v="WB"/>
    <x v="3"/>
    <s v="Saltora"/>
    <s v="User Not Mapped"/>
    <s v="User Not Mapped"/>
    <s v="User Not Mapped"/>
    <n v="395339"/>
    <s v="Kartick Gorain"/>
    <s v="Private Retailer"/>
    <s v="8670515665"/>
    <n v="0.4"/>
    <n v="131"/>
    <x v="0"/>
    <m/>
    <s v="2025-12-17"/>
    <s v="261556"/>
    <s v="Bankim Chandra Makur"/>
    <s v="9434520840"/>
  </r>
  <r>
    <s v="RCF Trombay"/>
    <s v="15-15-15"/>
    <s v="WB"/>
    <x v="3"/>
    <s v="Saltora"/>
    <s v="User Not Mapped"/>
    <s v="User Not Mapped"/>
    <s v="User Not Mapped"/>
    <n v="475837"/>
    <s v="Mahananda Gorain"/>
    <s v="Private Retailer"/>
    <s v="9635076763"/>
    <n v="0.5"/>
    <n v="342"/>
    <x v="3"/>
    <m/>
    <s v="2025-05-20"/>
    <s v="261556"/>
    <s v="Bankim Chandra Makur"/>
    <s v="9434520840"/>
  </r>
  <r>
    <s v="RCF Trombay"/>
    <s v="15-15-15"/>
    <s v="WB"/>
    <x v="3"/>
    <s v="Saltora"/>
    <s v="User Not Mapped"/>
    <s v="User Not Mapped"/>
    <s v="User Not Mapped"/>
    <n v="839396"/>
    <s v="Kalidas Gorai"/>
    <s v="Private Retailer"/>
    <s v="9382132103"/>
    <n v="2.2000000000000002"/>
    <n v="342"/>
    <x v="3"/>
    <m/>
    <s v="2025-05-20"/>
    <s v="261556"/>
    <s v="Bankim Chandra Makur"/>
    <s v="9434520840"/>
  </r>
  <r>
    <s v="RCF Trombay"/>
    <s v="15-15-15"/>
    <s v="WB"/>
    <x v="3"/>
    <s v="Simlapal"/>
    <s v="User Not Mapped"/>
    <s v="User Not Mapped"/>
    <s v="User Not Mapped"/>
    <n v="452425"/>
    <s v="Rabindranath Laha"/>
    <s v="Private Retailer"/>
    <s v="9153471557"/>
    <n v="1.95"/>
    <n v="131"/>
    <x v="0"/>
    <m/>
    <s v="2025-12-17"/>
    <s v="261556"/>
    <s v="Bankim Chandra Makur"/>
    <s v="9434520840"/>
  </r>
  <r>
    <s v="RCF Thal"/>
    <s v="N.C.Urea(45kg)"/>
    <s v="WB"/>
    <x v="3"/>
    <s v="Simlapal"/>
    <s v="User Not Mapped"/>
    <s v="User Not Mapped"/>
    <s v="User Not Mapped"/>
    <n v="458915"/>
    <s v="Joydeb Sannigrahi"/>
    <s v="Private Retailer"/>
    <s v="9382368539"/>
    <n v="7.11"/>
    <n v="174"/>
    <x v="0"/>
    <m/>
    <s v="2025-11-04"/>
    <s v="261556"/>
    <s v="Bankim Chandra Makur"/>
    <s v="9434520840"/>
  </r>
  <r>
    <s v="RCF Thal"/>
    <s v="N.C.Urea(45kg)"/>
    <s v="WB"/>
    <x v="3"/>
    <s v="Simlapal"/>
    <s v="User Not Mapped"/>
    <s v="User Not Mapped"/>
    <s v="User Not Mapped"/>
    <n v="596285"/>
    <s v="BANAMALI DUTTA"/>
    <s v="Private Retailer"/>
    <s v="9800455531"/>
    <n v="1.395"/>
    <n v="175"/>
    <x v="0"/>
    <m/>
    <s v="2025-11-03"/>
    <s v="261556"/>
    <s v="Bankim Chandra Makur"/>
    <s v="9434520840"/>
  </r>
  <r>
    <s v="RCF Thal"/>
    <s v="N.C.Urea(45kg)"/>
    <s v="WB"/>
    <x v="3"/>
    <s v="Simlapal"/>
    <s v="User Not Mapped"/>
    <s v="User Not Mapped"/>
    <s v="User Not Mapped"/>
    <n v="837363"/>
    <s v="JOYDEB SINHAMAHAPATRA"/>
    <s v="Private Retailer"/>
    <s v="9775831936"/>
    <n v="15.57"/>
    <n v="175"/>
    <x v="0"/>
    <m/>
    <s v="2025-11-03"/>
    <s v="261556"/>
    <s v="Bankim Chandra Makur"/>
    <s v="9434520840"/>
  </r>
  <r>
    <s v="RCF Trombay"/>
    <s v="N.C.Urea(45kg)"/>
    <s v="WB"/>
    <x v="3"/>
    <s v="Simlapal"/>
    <s v="User Not Mapped"/>
    <s v="User Not Mapped"/>
    <s v="User Not Mapped"/>
    <n v="837363"/>
    <s v="JOYDEB SINHAMAHAPATRA"/>
    <s v="Private Retailer"/>
    <s v="9775831936"/>
    <n v="5.22"/>
    <n v="470"/>
    <x v="6"/>
    <m/>
    <s v="2025-01-12"/>
    <s v="261556"/>
    <s v="Bankim Chandra Makur"/>
    <s v="9434520840"/>
  </r>
  <r>
    <s v="RCF Trombay"/>
    <s v="N.C.Urea(45kg)"/>
    <s v="WB"/>
    <x v="3"/>
    <s v="Simlapal"/>
    <s v="User Not Mapped"/>
    <s v="User Not Mapped"/>
    <s v="User Not Mapped"/>
    <n v="837363"/>
    <s v="JOYDEB SINHAMAHAPATRA"/>
    <s v="Private Retailer"/>
    <s v="9775831936"/>
    <n v="5.9850000000000003"/>
    <n v="265"/>
    <x v="3"/>
    <m/>
    <s v="2025-08-05"/>
    <s v="261556"/>
    <s v="Bankim Chandra Makur"/>
    <s v="9434520840"/>
  </r>
  <r>
    <s v="RCF Thal"/>
    <s v="N.C.Urea(45kg)"/>
    <s v="WB"/>
    <x v="3"/>
    <s v="Sonamukhi"/>
    <s v="User Not Mapped"/>
    <s v="User Not Mapped"/>
    <s v="User Not Mapped"/>
    <n v="452459"/>
    <s v="Tulsi Saw"/>
    <s v="Private Retailer"/>
    <s v="6295311458"/>
    <n v="4.2300000000000004"/>
    <n v="175"/>
    <x v="0"/>
    <m/>
    <s v="2025-11-03"/>
    <s v="261556"/>
    <s v="Bankim Chandra Makur"/>
    <s v="9434520840"/>
  </r>
  <r>
    <s v="RCF Thal"/>
    <s v="N.C.Urea(45kg)"/>
    <s v="WB"/>
    <x v="3"/>
    <s v="Sonamukhi"/>
    <s v="User Not Mapped"/>
    <s v="User Not Mapped"/>
    <s v="User Not Mapped"/>
    <n v="452459"/>
    <s v="Tulsi Saw"/>
    <s v="Private Retailer"/>
    <s v="6295311458"/>
    <n v="11.97"/>
    <n v="74"/>
    <x v="2"/>
    <m/>
    <s v="2026-02-12"/>
    <s v="261556"/>
    <s v="Bankim Chandra Makur"/>
    <s v="9434520840"/>
  </r>
  <r>
    <s v="RCF Thal"/>
    <s v="N.C.Urea(45kg)"/>
    <s v="WB"/>
    <x v="3"/>
    <s v="Sonamukhi"/>
    <s v="User Not Mapped"/>
    <s v="User Not Mapped"/>
    <s v="User Not Mapped"/>
    <n v="1540571"/>
    <s v="Himangsu Bari"/>
    <s v="Private Retailer"/>
    <s v="7908014793"/>
    <n v="17.64"/>
    <n v="74"/>
    <x v="2"/>
    <m/>
    <s v="2026-02-12"/>
    <s v="261556"/>
    <s v="Bankim Chandra Makur"/>
    <s v="9434520840"/>
  </r>
  <r>
    <s v="RCF Trombay"/>
    <s v="15-15-15"/>
    <s v="WB"/>
    <x v="3"/>
    <s v="Taldangra"/>
    <s v="User Not Mapped"/>
    <s v="User Not Mapped"/>
    <s v="User Not Mapped"/>
    <n v="242785"/>
    <s v="Susanta Dey"/>
    <s v="Private Retailer"/>
    <s v="9474735576"/>
    <n v="2.25"/>
    <n v="131"/>
    <x v="0"/>
    <m/>
    <s v="2025-12-17"/>
    <s v="261556"/>
    <s v="Bankim Chandra Makur"/>
    <s v="9434520840"/>
  </r>
  <r>
    <s v="RCF Import"/>
    <s v="Imp 10-26-26"/>
    <s v="WB"/>
    <x v="3"/>
    <s v="Taldangra"/>
    <s v="User Not Mapped"/>
    <s v="User Not Mapped"/>
    <s v="User Not Mapped"/>
    <n v="393071"/>
    <s v="Uttam Kumar Nayak"/>
    <s v="Private Retailer"/>
    <s v="9735804635"/>
    <n v="4.1500000000000004"/>
    <n v="248"/>
    <x v="3"/>
    <m/>
    <s v="2025-08-22"/>
    <s v="261556"/>
    <s v="Bankim Chandra Makur"/>
    <s v="9434520840"/>
  </r>
  <r>
    <s v="RCF Trombay"/>
    <s v="15-15-15"/>
    <s v="WB"/>
    <x v="3"/>
    <s v="Taldangra"/>
    <s v="User Not Mapped"/>
    <s v="User Not Mapped"/>
    <s v="User Not Mapped"/>
    <n v="393071"/>
    <s v="Uttam Kumar Nayak"/>
    <s v="Private Retailer"/>
    <s v="9735804635"/>
    <n v="2.85"/>
    <n v="131"/>
    <x v="0"/>
    <m/>
    <s v="2025-12-17"/>
    <s v="261556"/>
    <s v="Bankim Chandra Makur"/>
    <s v="9434520840"/>
  </r>
  <r>
    <s v="RCF Trombay"/>
    <s v="N.C.Urea(45kg)"/>
    <s v="WB"/>
    <x v="3"/>
    <s v="Taldangra"/>
    <s v="User Not Mapped"/>
    <s v="User Not Mapped"/>
    <s v="User Not Mapped"/>
    <n v="398081"/>
    <s v="Ramprasad Singha Mahapatra"/>
    <s v="Private Retailer"/>
    <s v="9732081908"/>
    <n v="5.9850000000000003"/>
    <n v="217"/>
    <x v="3"/>
    <m/>
    <s v="2025-09-22"/>
    <s v="261556"/>
    <s v="Bankim Chandra Makur"/>
    <s v="9434520840"/>
  </r>
  <r>
    <s v="RCF Thal"/>
    <s v="N.C.Urea(45kg)"/>
    <s v="WB"/>
    <x v="3"/>
    <s v="Taldangra"/>
    <s v="User Not Mapped"/>
    <s v="User Not Mapped"/>
    <s v="User Not Mapped"/>
    <n v="398081"/>
    <s v="Ramprasad Singha Mahapatra"/>
    <s v="Private Retailer"/>
    <s v="9732081908"/>
    <n v="17.565000000000001"/>
    <n v="175"/>
    <x v="0"/>
    <m/>
    <s v="2025-11-03"/>
    <s v="261556"/>
    <s v="Bankim Chandra Makur"/>
    <s v="9434520840"/>
  </r>
  <r>
    <s v="RCF Trombay"/>
    <s v="N.C.Urea(45kg)"/>
    <s v="WB"/>
    <x v="3"/>
    <s v="Taldangra"/>
    <s v="User Not Mapped"/>
    <s v="User Not Mapped"/>
    <s v="User Not Mapped"/>
    <n v="398081"/>
    <s v="Ramprasad Singha Mahapatra"/>
    <s v="Private Retailer"/>
    <s v="9732081908"/>
    <n v="7.8419999999999996"/>
    <n v="265"/>
    <x v="3"/>
    <m/>
    <s v="2025-08-05"/>
    <s v="261556"/>
    <s v="Bankim Chandra Makur"/>
    <s v="9434520840"/>
  </r>
  <r>
    <s v="RCF Thal"/>
    <s v="N.C.Urea(45kg)"/>
    <s v="WB"/>
    <x v="3"/>
    <s v="Taldangra"/>
    <s v="User Not Mapped"/>
    <s v="User Not Mapped"/>
    <s v="User Not Mapped"/>
    <n v="459614"/>
    <s v="Paresh Nath Patra"/>
    <s v="Private Retailer"/>
    <s v="8250843858"/>
    <n v="4.8150000000000004"/>
    <n v="175"/>
    <x v="0"/>
    <m/>
    <s v="2025-11-03"/>
    <s v="261556"/>
    <s v="Bankim Chandra Makur"/>
    <s v="9434520840"/>
  </r>
  <r>
    <s v="RCF Trombay"/>
    <s v="15-15-15"/>
    <s v="WB"/>
    <x v="3"/>
    <s v="Taldangra"/>
    <s v="User Not Mapped"/>
    <s v="User Not Mapped"/>
    <s v="User Not Mapped"/>
    <n v="459626"/>
    <s v="Abdul Hosen Khan"/>
    <s v="Private Retailer"/>
    <s v="9735300396"/>
    <n v="1.4"/>
    <n v="131"/>
    <x v="0"/>
    <m/>
    <s v="2025-12-17"/>
    <s v="261556"/>
    <s v="Bankim Chandra Makur"/>
    <s v="9434520840"/>
  </r>
  <r>
    <s v="RCF Import"/>
    <s v="Imp 10-26-26"/>
    <s v="WB"/>
    <x v="3"/>
    <s v="Taldangra"/>
    <s v="User Not Mapped"/>
    <s v="User Not Mapped"/>
    <s v="User Not Mapped"/>
    <n v="459626"/>
    <s v="Abdul Hosen Khan"/>
    <s v="Private Retailer"/>
    <s v="9735300396"/>
    <n v="4.4000000000000004"/>
    <n v="61"/>
    <x v="2"/>
    <m/>
    <s v="2026-02-25"/>
    <s v="261556"/>
    <s v="Bankim Chandra Makur"/>
    <s v="9434520840"/>
  </r>
  <r>
    <s v="RCF Trombay"/>
    <s v="N.C.Urea(45kg)"/>
    <s v="WB"/>
    <x v="3"/>
    <s v="Taldangra"/>
    <s v="User Not Mapped"/>
    <s v="User Not Mapped"/>
    <s v="User Not Mapped"/>
    <n v="459644"/>
    <s v="Susanta Patra"/>
    <s v="Private Retailer"/>
    <s v="6296379263"/>
    <n v="4.9950000000000001"/>
    <n v="131"/>
    <x v="0"/>
    <m/>
    <s v="2025-12-17"/>
    <s v="261556"/>
    <s v="Bankim Chandra Makur"/>
    <s v="9434520840"/>
  </r>
  <r>
    <s v="RCF Thal"/>
    <s v="N.C.Urea(45kg)"/>
    <s v="WB"/>
    <x v="3"/>
    <s v="Taldangra"/>
    <s v="User Not Mapped"/>
    <s v="User Not Mapped"/>
    <s v="User Not Mapped"/>
    <n v="459644"/>
    <s v="Susanta Patra"/>
    <s v="Private Retailer"/>
    <s v="6296379263"/>
    <n v="4.7249999999999996"/>
    <n v="74"/>
    <x v="2"/>
    <m/>
    <s v="2026-02-12"/>
    <s v="261556"/>
    <s v="Bankim Chandra Makur"/>
    <s v="9434520840"/>
  </r>
  <r>
    <s v="RCF Import"/>
    <s v="Imp 10-26-26"/>
    <s v="WB"/>
    <x v="3"/>
    <s v="Taldangra"/>
    <s v="User Not Mapped"/>
    <s v="User Not Mapped"/>
    <s v="User Not Mapped"/>
    <n v="459644"/>
    <s v="Susanta Patra"/>
    <s v="Private Retailer"/>
    <s v="6296379263"/>
    <n v="3.1"/>
    <n v="248"/>
    <x v="3"/>
    <m/>
    <s v="2025-08-22"/>
    <s v="261556"/>
    <s v="Bankim Chandra Makur"/>
    <s v="9434520840"/>
  </r>
  <r>
    <s v="RCF Trombay"/>
    <s v="15-15-15"/>
    <s v="WB"/>
    <x v="3"/>
    <s v="Taldangra"/>
    <s v="User Not Mapped"/>
    <s v="User Not Mapped"/>
    <s v="User Not Mapped"/>
    <n v="459644"/>
    <s v="Susanta Patra"/>
    <s v="Private Retailer"/>
    <s v="6296379263"/>
    <n v="3.45"/>
    <n v="131"/>
    <x v="0"/>
    <m/>
    <s v="2025-12-17"/>
    <s v="261556"/>
    <s v="Bankim Chandra Makur"/>
    <s v="9434520840"/>
  </r>
  <r>
    <s v="RCF Import"/>
    <s v="Imp 10-26-26"/>
    <s v="WB"/>
    <x v="3"/>
    <s v="Taldangra"/>
    <s v="User Not Mapped"/>
    <s v="User Not Mapped"/>
    <s v="User Not Mapped"/>
    <n v="462625"/>
    <s v="Smt. Angur Pal"/>
    <s v="Private Retailer"/>
    <s v="9734278345"/>
    <n v="6"/>
    <n v="61"/>
    <x v="2"/>
    <m/>
    <s v="2026-02-25"/>
    <s v="261556"/>
    <s v="Bankim Chandra Makur"/>
    <s v="9434520840"/>
  </r>
  <r>
    <s v="RCF Trombay"/>
    <s v="N.C.Urea(45kg)"/>
    <s v="WB"/>
    <x v="3"/>
    <s v="Taldangra"/>
    <s v="User Not Mapped"/>
    <s v="User Not Mapped"/>
    <s v="User Not Mapped"/>
    <n v="462625"/>
    <s v="Smt. Angur Pal"/>
    <s v="Private Retailer"/>
    <s v="9734278345"/>
    <n v="3.915"/>
    <n v="569"/>
    <x v="7"/>
    <m/>
    <s v="2024-10-05"/>
    <s v="261556"/>
    <s v="Bankim Chandra Makur"/>
    <s v="9434520840"/>
  </r>
  <r>
    <s v="RCF Trombay"/>
    <s v="15-15-15"/>
    <s v="WB"/>
    <x v="3"/>
    <s v="Taldangra"/>
    <s v="User Not Mapped"/>
    <s v="User Not Mapped"/>
    <s v="User Not Mapped"/>
    <n v="462625"/>
    <s v="Smt. Angur Pal"/>
    <s v="Private Retailer"/>
    <s v="9734278345"/>
    <n v="4.25"/>
    <n v="131"/>
    <x v="0"/>
    <m/>
    <s v="2025-12-17"/>
    <s v="261556"/>
    <s v="Bankim Chandra Makur"/>
    <s v="9434520840"/>
  </r>
  <r>
    <s v="RCF Trombay"/>
    <s v="N.C.Urea(45kg)"/>
    <s v="WB"/>
    <x v="3"/>
    <s v="Taldangra"/>
    <s v="User Not Mapped"/>
    <s v="User Not Mapped"/>
    <s v="User Not Mapped"/>
    <n v="462625"/>
    <s v="Smt. Angur Pal"/>
    <s v="Private Retailer"/>
    <s v="9734278345"/>
    <n v="5.9850000000000003"/>
    <n v="131"/>
    <x v="0"/>
    <m/>
    <s v="2025-12-17"/>
    <s v="261556"/>
    <s v="Bankim Chandra Makur"/>
    <s v="9434520840"/>
  </r>
  <r>
    <s v="RCF Thal"/>
    <s v="N.C.Urea(45kg)"/>
    <s v="WB"/>
    <x v="3"/>
    <s v="Taldangra"/>
    <s v="User Not Mapped"/>
    <s v="User Not Mapped"/>
    <s v="User Not Mapped"/>
    <n v="462625"/>
    <s v="Smt. Angur Pal"/>
    <s v="Private Retailer"/>
    <s v="9734278345"/>
    <n v="0.04"/>
    <n v="175"/>
    <x v="0"/>
    <m/>
    <s v="2025-11-03"/>
    <s v="261556"/>
    <s v="Bankim Chandra Makur"/>
    <s v="9434520840"/>
  </r>
  <r>
    <s v="RCF Thal"/>
    <s v="N.C.Urea(45kg)"/>
    <s v="WB"/>
    <x v="3"/>
    <s v="Taldangra"/>
    <s v="User Not Mapped"/>
    <s v="User Not Mapped"/>
    <s v="User Not Mapped"/>
    <n v="463407"/>
    <s v="Yeasin Ali Mondal"/>
    <s v="Private Retailer"/>
    <s v="7864072215"/>
    <n v="2.25"/>
    <n v="482"/>
    <x v="6"/>
    <m/>
    <s v="2024-12-31"/>
    <s v="261556"/>
    <s v="Bankim Chandra Makur"/>
    <s v="9434520840"/>
  </r>
  <r>
    <s v="RCF Trombay"/>
    <s v="15-15-15"/>
    <s v="WB"/>
    <x v="3"/>
    <s v="Taldangra"/>
    <s v="User Not Mapped"/>
    <s v="User Not Mapped"/>
    <s v="User Not Mapped"/>
    <n v="463407"/>
    <s v="Yeasin Ali Mondal"/>
    <s v="Private Retailer"/>
    <s v="7864072215"/>
    <n v="0.9"/>
    <n v="131"/>
    <x v="0"/>
    <m/>
    <s v="2025-12-17"/>
    <s v="261556"/>
    <s v="Bankim Chandra Makur"/>
    <s v="9434520840"/>
  </r>
  <r>
    <s v="RCF Trombay"/>
    <s v="N.C.Urea(45kg)"/>
    <s v="WB"/>
    <x v="3"/>
    <s v="Taldangra"/>
    <s v="User Not Mapped"/>
    <s v="User Not Mapped"/>
    <s v="User Not Mapped"/>
    <n v="463407"/>
    <s v="Yeasin Ali Mondal"/>
    <s v="Private Retailer"/>
    <s v="7864072215"/>
    <n v="4.9950000000000001"/>
    <n v="131"/>
    <x v="0"/>
    <m/>
    <s v="2025-12-17"/>
    <s v="261556"/>
    <s v="Bankim Chandra Makur"/>
    <s v="9434520840"/>
  </r>
  <r>
    <s v="RCF Thal"/>
    <s v="N.C.Urea(45kg)"/>
    <s v="WB"/>
    <x v="3"/>
    <s v="Taldangra"/>
    <s v="User Not Mapped"/>
    <s v="User Not Mapped"/>
    <s v="User Not Mapped"/>
    <n v="463407"/>
    <s v="Yeasin Ali Mondal"/>
    <s v="Private Retailer"/>
    <s v="7864072215"/>
    <n v="13.005000000000001"/>
    <n v="175"/>
    <x v="0"/>
    <m/>
    <s v="2025-11-03"/>
    <s v="261556"/>
    <s v="Bankim Chandra Makur"/>
    <s v="9434520840"/>
  </r>
  <r>
    <s v="RCF Trombay"/>
    <s v="N.C.Urea(45kg)"/>
    <s v="WB"/>
    <x v="3"/>
    <s v="Taldangra"/>
    <s v="User Not Mapped"/>
    <s v="User Not Mapped"/>
    <s v="User Not Mapped"/>
    <n v="463407"/>
    <s v="Yeasin Ali Mondal"/>
    <s v="Private Retailer"/>
    <s v="7864072215"/>
    <n v="0.40500000000000003"/>
    <n v="265"/>
    <x v="3"/>
    <m/>
    <s v="2025-08-05"/>
    <s v="261556"/>
    <s v="Bankim Chandra Makur"/>
    <s v="9434520840"/>
  </r>
  <r>
    <s v="RCF Trombay"/>
    <s v="15-15-15"/>
    <s v="WB"/>
    <x v="3"/>
    <s v="Taldangra"/>
    <s v="User Not Mapped"/>
    <s v="User Not Mapped"/>
    <s v="User Not Mapped"/>
    <n v="531822"/>
    <s v="Uttam Kumar Chattopadhyay"/>
    <s v="Private Retailer"/>
    <s v="6295046448"/>
    <n v="0.25"/>
    <n v="265"/>
    <x v="3"/>
    <m/>
    <s v="2025-08-05"/>
    <s v="261556"/>
    <s v="Bankim Chandra Makur"/>
    <s v="9434520840"/>
  </r>
  <r>
    <s v="RCF Trombay"/>
    <s v="N.C.Urea(45kg)"/>
    <s v="WB"/>
    <x v="3"/>
    <s v="Taldangra"/>
    <s v="User Not Mapped"/>
    <s v="User Not Mapped"/>
    <s v="User Not Mapped"/>
    <n v="531822"/>
    <s v="Uttam Kumar Chattopadhyay"/>
    <s v="Private Retailer"/>
    <s v="6295046448"/>
    <n v="0.02"/>
    <n v="130"/>
    <x v="0"/>
    <m/>
    <s v="2025-12-18"/>
    <s v="261556"/>
    <s v="Bankim Chandra Makur"/>
    <s v="9434520840"/>
  </r>
  <r>
    <s v="RCF Trombay"/>
    <s v="N.C.Urea(45kg)"/>
    <s v="WB"/>
    <x v="3"/>
    <s v="Taldangra"/>
    <s v="User Not Mapped"/>
    <s v="User Not Mapped"/>
    <s v="User Not Mapped"/>
    <n v="896824"/>
    <s v="Amerulla Dalal"/>
    <s v="Private Retailer"/>
    <s v="8170922081"/>
    <n v="3.51"/>
    <n v="131"/>
    <x v="0"/>
    <m/>
    <s v="2025-12-17"/>
    <s v="261556"/>
    <s v="Bankim Chandra Makur"/>
    <s v="9434520840"/>
  </r>
  <r>
    <s v="RCF Trombay"/>
    <s v="15-15-15"/>
    <s v="WB"/>
    <x v="3"/>
    <s v="Taldangra"/>
    <s v="User Not Mapped"/>
    <s v="User Not Mapped"/>
    <s v="User Not Mapped"/>
    <n v="896824"/>
    <s v="Amerulla Dalal"/>
    <s v="Private Retailer"/>
    <s v="8170922081"/>
    <n v="2.2999999999999998"/>
    <n v="131"/>
    <x v="0"/>
    <m/>
    <s v="2025-12-17"/>
    <s v="261556"/>
    <s v="Bankim Chandra Makur"/>
    <s v="9434520840"/>
  </r>
  <r>
    <s v="RCF Thal"/>
    <s v="N.C.Urea(45kg)"/>
    <s v="WB"/>
    <x v="3"/>
    <s v="Taldangra"/>
    <s v="User Not Mapped"/>
    <s v="User Not Mapped"/>
    <s v="User Not Mapped"/>
    <n v="1008630"/>
    <s v="NARU GOPAL MANDAL"/>
    <s v="Private Retailer"/>
    <s v="8250734075"/>
    <n v="1.08"/>
    <n v="175"/>
    <x v="0"/>
    <m/>
    <s v="2025-11-03"/>
    <s v="261556"/>
    <s v="Bankim Chandra Makur"/>
    <s v="9434520840"/>
  </r>
  <r>
    <s v="RCF Import"/>
    <s v="Imp 10-26-26"/>
    <s v="WB"/>
    <x v="3"/>
    <s v="Taldangra"/>
    <s v="User Not Mapped"/>
    <s v="User Not Mapped"/>
    <s v="User Not Mapped"/>
    <n v="1008630"/>
    <s v="NARU GOPAL MANDAL"/>
    <s v="Private Retailer"/>
    <s v="8250734075"/>
    <n v="2.7"/>
    <n v="248"/>
    <x v="3"/>
    <m/>
    <s v="2025-08-22"/>
    <s v="261556"/>
    <s v="Bankim Chandra Makur"/>
    <s v="9434520840"/>
  </r>
  <r>
    <s v="RCF Trombay"/>
    <s v="N.C.Urea(45kg)"/>
    <s v="WB"/>
    <x v="3"/>
    <s v="Taldangra"/>
    <s v="User Not Mapped"/>
    <s v="User Not Mapped"/>
    <s v="User Not Mapped"/>
    <n v="1008630"/>
    <s v="NARU GOPAL MANDAL"/>
    <s v="Private Retailer"/>
    <s v="8250734075"/>
    <n v="2.5649999999999999"/>
    <n v="265"/>
    <x v="3"/>
    <m/>
    <s v="2025-08-05"/>
    <s v="261556"/>
    <s v="Bankim Chandra Makur"/>
    <s v="9434520840"/>
  </r>
  <r>
    <s v="RCF Trombay"/>
    <s v="15-15-15"/>
    <s v="WB"/>
    <x v="3"/>
    <s v="Taldangra"/>
    <s v="User Not Mapped"/>
    <s v="User Not Mapped"/>
    <s v="User Not Mapped"/>
    <n v="1008630"/>
    <s v="NARU GOPAL MANDAL"/>
    <s v="Private Retailer"/>
    <s v="8250734075"/>
    <n v="2.0499999999999998"/>
    <n v="264"/>
    <x v="3"/>
    <m/>
    <s v="2025-08-06"/>
    <s v="261556"/>
    <s v="Bankim Chandra Makur"/>
    <s v="9434520840"/>
  </r>
  <r>
    <s v="RCF Trombay"/>
    <s v="15-15-15"/>
    <s v="WB"/>
    <x v="3"/>
    <s v="Vishnupur"/>
    <s v="User Not Mapped"/>
    <s v="User Not Mapped"/>
    <s v="User Not Mapped"/>
    <n v="215738"/>
    <s v="Agunkumari Skus Ltd"/>
    <s v="PACS"/>
    <s v="9732233412"/>
    <n v="4.55"/>
    <n v="265"/>
    <x v="3"/>
    <m/>
    <s v="2025-08-05"/>
    <s v="261556"/>
    <s v="Bankim Chandra Makur"/>
    <s v="9434520840"/>
  </r>
  <r>
    <s v="RCF Import"/>
    <s v="Imp 10-26-26"/>
    <s v="WB"/>
    <x v="3"/>
    <s v="Vishnupur"/>
    <s v="User Not Mapped"/>
    <s v="User Not Mapped"/>
    <s v="User Not Mapped"/>
    <n v="242655"/>
    <s v="Dinabandhu Kundu"/>
    <s v="Private Retailer"/>
    <s v="9732106039"/>
    <n v="3.75"/>
    <n v="61"/>
    <x v="2"/>
    <m/>
    <s v="2026-02-25"/>
    <s v="261556"/>
    <s v="Bankim Chandra Makur"/>
    <s v="9434520840"/>
  </r>
  <r>
    <s v="RCF Import"/>
    <s v="Imp 10-26-26"/>
    <s v="WB"/>
    <x v="3"/>
    <s v="Vishnupur"/>
    <s v="User Not Mapped"/>
    <s v="User Not Mapped"/>
    <s v="User Not Mapped"/>
    <n v="242787"/>
    <s v="Swapan Sannigrahi"/>
    <s v="Private Retailer"/>
    <s v="8145902912"/>
    <n v="4.8499999999999996"/>
    <n v="61"/>
    <x v="2"/>
    <m/>
    <s v="2026-02-25"/>
    <s v="261556"/>
    <s v="Bankim Chandra Makur"/>
    <s v="9434520840"/>
  </r>
  <r>
    <s v="RCF Thal"/>
    <s v="N.C.Urea(45kg)"/>
    <s v="WB"/>
    <x v="3"/>
    <s v="Vishnupur"/>
    <s v="User Not Mapped"/>
    <s v="User Not Mapped"/>
    <s v="User Not Mapped"/>
    <n v="242787"/>
    <s v="Swapan Sannigrahi"/>
    <s v="Private Retailer"/>
    <s v="8145902912"/>
    <n v="4.2300000000000004"/>
    <n v="74"/>
    <x v="2"/>
    <m/>
    <s v="2026-02-12"/>
    <s v="261556"/>
    <s v="Bankim Chandra Makur"/>
    <s v="9434520840"/>
  </r>
  <r>
    <s v="RCF Trombay"/>
    <s v="15-15-15"/>
    <s v="WB"/>
    <x v="3"/>
    <s v="Vishnupur"/>
    <s v="User Not Mapped"/>
    <s v="User Not Mapped"/>
    <s v="User Not Mapped"/>
    <n v="242787"/>
    <s v="Swapan Sannigrahi"/>
    <s v="Private Retailer"/>
    <s v="8145902912"/>
    <n v="2.1"/>
    <n v="131"/>
    <x v="0"/>
    <m/>
    <s v="2025-12-17"/>
    <s v="261556"/>
    <s v="Bankim Chandra Makur"/>
    <s v="9434520840"/>
  </r>
  <r>
    <s v="RCF Trombay"/>
    <s v="15-15-15"/>
    <s v="WB"/>
    <x v="3"/>
    <s v="Vishnupur"/>
    <s v="User Not Mapped"/>
    <s v="User Not Mapped"/>
    <s v="User Not Mapped"/>
    <n v="353636"/>
    <s v="Kalyan Kumar Saha"/>
    <s v="Private Retailer"/>
    <s v="8436903385"/>
    <n v="6"/>
    <n v="115"/>
    <x v="5"/>
    <m/>
    <s v="2026-01-02"/>
    <s v="261556"/>
    <s v="Bankim Chandra Makur"/>
    <s v="9434520840"/>
  </r>
  <r>
    <s v="RCF Trombay"/>
    <s v="N.C.Urea(45kg)"/>
    <s v="WB"/>
    <x v="3"/>
    <s v="Vishnupur"/>
    <s v="User Not Mapped"/>
    <s v="User Not Mapped"/>
    <s v="User Not Mapped"/>
    <n v="353636"/>
    <s v="Kalyan Kumar Saha"/>
    <s v="Private Retailer"/>
    <s v="8436903385"/>
    <n v="5.2649999999999997"/>
    <n v="115"/>
    <x v="5"/>
    <m/>
    <s v="2026-01-02"/>
    <s v="261556"/>
    <s v="Bankim Chandra Makur"/>
    <s v="9434520840"/>
  </r>
  <r>
    <s v="RCF Import"/>
    <s v="Imp 10-26-26"/>
    <s v="WB"/>
    <x v="3"/>
    <s v="Vishnupur"/>
    <s v="User Not Mapped"/>
    <s v="User Not Mapped"/>
    <s v="User Not Mapped"/>
    <n v="353688"/>
    <s v="Tapan Kolay"/>
    <s v="Private Retailer"/>
    <s v="9732085120"/>
    <n v="6"/>
    <n v="61"/>
    <x v="2"/>
    <m/>
    <s v="2026-02-25"/>
    <s v="261556"/>
    <s v="Bankim Chandra Makur"/>
    <s v="9434520840"/>
  </r>
  <r>
    <s v="RCF Trombay"/>
    <s v="15-15-15"/>
    <s v="WB"/>
    <x v="3"/>
    <s v="Vishnupur"/>
    <s v="User Not Mapped"/>
    <s v="User Not Mapped"/>
    <s v="User Not Mapped"/>
    <n v="353688"/>
    <s v="Tapan Kolay"/>
    <s v="Private Retailer"/>
    <s v="9732085120"/>
    <n v="0.15"/>
    <n v="217"/>
    <x v="3"/>
    <m/>
    <s v="2025-09-22"/>
    <s v="261556"/>
    <s v="Bankim Chandra Makur"/>
    <s v="9434520840"/>
  </r>
  <r>
    <s v="RCF Trombay"/>
    <s v="N.C.Urea(45kg)"/>
    <s v="WB"/>
    <x v="3"/>
    <s v="Vishnupur"/>
    <s v="User Not Mapped"/>
    <s v="User Not Mapped"/>
    <s v="User Not Mapped"/>
    <n v="353688"/>
    <s v="Tapan Kolay"/>
    <s v="Private Retailer"/>
    <s v="9732085120"/>
    <n v="4.4999999999999998E-2"/>
    <n v="265"/>
    <x v="3"/>
    <m/>
    <s v="2025-08-05"/>
    <s v="261556"/>
    <s v="Bankim Chandra Makur"/>
    <s v="9434520840"/>
  </r>
  <r>
    <s v="RCF Thal"/>
    <s v="N.C.Urea(45kg)"/>
    <s v="WB"/>
    <x v="3"/>
    <s v="Vishnupur"/>
    <s v="User Not Mapped"/>
    <s v="User Not Mapped"/>
    <s v="User Not Mapped"/>
    <n v="353688"/>
    <s v="Tapan Kolay"/>
    <s v="Private Retailer"/>
    <s v="9732085120"/>
    <n v="3.24"/>
    <n v="175"/>
    <x v="0"/>
    <m/>
    <s v="2025-11-03"/>
    <s v="261556"/>
    <s v="Bankim Chandra Makur"/>
    <s v="9434520840"/>
  </r>
  <r>
    <s v="RCF Trombay"/>
    <s v="N.C.Urea(45kg)"/>
    <s v="WB"/>
    <x v="3"/>
    <s v="Vishnupur"/>
    <s v="User Not Mapped"/>
    <s v="User Not Mapped"/>
    <s v="User Not Mapped"/>
    <n v="452547"/>
    <s v="Sasti Giri"/>
    <s v="Private Retailer"/>
    <s v="8145114227"/>
    <n v="3.15"/>
    <n v="265"/>
    <x v="3"/>
    <m/>
    <s v="2025-08-05"/>
    <s v="261556"/>
    <s v="Bankim Chandra Makur"/>
    <s v="9434520840"/>
  </r>
  <r>
    <s v="RCF Trombay"/>
    <s v="15-15-15"/>
    <s v="WB"/>
    <x v="3"/>
    <s v="Vishnupur"/>
    <s v="User Not Mapped"/>
    <s v="User Not Mapped"/>
    <s v="User Not Mapped"/>
    <n v="452579"/>
    <s v="Ahamadulla Chowdhury"/>
    <s v="Private Retailer"/>
    <s v="9735170440"/>
    <n v="3.9"/>
    <n v="131"/>
    <x v="0"/>
    <m/>
    <s v="2025-12-17"/>
    <s v="261556"/>
    <s v="Bankim Chandra Makur"/>
    <s v="9434520840"/>
  </r>
  <r>
    <s v="RCF Trombay"/>
    <s v="15-15-15"/>
    <s v="WB"/>
    <x v="3"/>
    <s v="Vishnupur"/>
    <s v="User Not Mapped"/>
    <s v="User Not Mapped"/>
    <s v="User Not Mapped"/>
    <n v="452631"/>
    <s v="Madhusudan Mondal"/>
    <s v="Private Retailer"/>
    <s v="7797871214"/>
    <n v="7.6"/>
    <n v="131"/>
    <x v="0"/>
    <m/>
    <s v="2025-12-17"/>
    <s v="261556"/>
    <s v="Bankim Chandra Makur"/>
    <s v="9434520840"/>
  </r>
  <r>
    <s v="RCF Trombay"/>
    <s v="N.C.Urea(45kg)"/>
    <s v="WB"/>
    <x v="3"/>
    <s v="Vishnupur"/>
    <s v="User Not Mapped"/>
    <s v="User Not Mapped"/>
    <s v="User Not Mapped"/>
    <n v="602783"/>
    <s v="Lakshman Saini"/>
    <s v="Private Retailer"/>
    <s v="8436682264"/>
    <n v="0.09"/>
    <n v="1633"/>
    <x v="7"/>
    <m/>
    <s v="2021-11-06"/>
    <s v="261556"/>
    <s v="Bankim Chandra Makur"/>
    <s v="9434520840"/>
  </r>
  <r>
    <s v="RCF Thal"/>
    <s v="N.C.Urea(45kg)"/>
    <s v="WB"/>
    <x v="3"/>
    <s v="Vishnupur"/>
    <s v="User Not Mapped"/>
    <s v="User Not Mapped"/>
    <s v="User Not Mapped"/>
    <n v="602783"/>
    <s v="Lakshman Saini"/>
    <s v="Private Retailer"/>
    <s v="8436682264"/>
    <n v="1.675"/>
    <n v="753"/>
    <x v="7"/>
    <m/>
    <s v="2024-04-04"/>
    <s v="604558"/>
    <s v="MORAR KRISHI BHANDER"/>
    <s v="9434168055"/>
  </r>
  <r>
    <s v="RCF Trombay"/>
    <s v="15-15-15"/>
    <s v="WB"/>
    <x v="3"/>
    <s v="Vishnupur"/>
    <s v="User Not Mapped"/>
    <s v="User Not Mapped"/>
    <s v="User Not Mapped"/>
    <n v="602783"/>
    <s v="Lakshman Saini"/>
    <s v="Private Retailer"/>
    <s v="8436682264"/>
    <n v="0.8"/>
    <n v="753"/>
    <x v="7"/>
    <m/>
    <s v="2024-04-04"/>
    <s v="604558"/>
    <s v="MORAR KRISHI BHANDER"/>
    <s v="9434168055"/>
  </r>
  <r>
    <s v="RCF Import"/>
    <s v="Imp 10-26-26"/>
    <s v="WB"/>
    <x v="3"/>
    <s v="Vishnupur"/>
    <s v="User Not Mapped"/>
    <s v="User Not Mapped"/>
    <s v="User Not Mapped"/>
    <n v="648738"/>
    <s v="Mitali Ghosh"/>
    <s v="Private Retailer"/>
    <s v="9609646148"/>
    <n v="5.25"/>
    <n v="61"/>
    <x v="2"/>
    <m/>
    <s v="2026-02-25"/>
    <s v="261556"/>
    <s v="Bankim Chandra Makur"/>
    <s v="9434520840"/>
  </r>
  <r>
    <s v="RCF Thal"/>
    <s v="N.C.Urea(45kg)"/>
    <s v="WB"/>
    <x v="3"/>
    <s v="Vishnupur"/>
    <s v="User Not Mapped"/>
    <s v="User Not Mapped"/>
    <s v="User Not Mapped"/>
    <n v="1056763"/>
    <s v="SWARAJ BANERJEE"/>
    <s v="Private Retailer"/>
    <s v="7602718538"/>
    <n v="8.3249999999999993"/>
    <n v="74"/>
    <x v="2"/>
    <m/>
    <s v="2026-02-12"/>
    <s v="261556"/>
    <s v="Bankim Chandra Makur"/>
    <s v="9434520840"/>
  </r>
  <r>
    <s v="RCF Trombay"/>
    <s v="15-15-15"/>
    <s v="WB"/>
    <x v="3"/>
    <s v="Vishnupur"/>
    <s v="User Not Mapped"/>
    <s v="User Not Mapped"/>
    <s v="User Not Mapped"/>
    <n v="1073396"/>
    <s v="SANTINATH GHOSH"/>
    <s v="Private Retailer"/>
    <s v="9609560241"/>
    <n v="0.8"/>
    <n v="264"/>
    <x v="3"/>
    <m/>
    <s v="2025-08-06"/>
    <s v="261556"/>
    <s v="Bankim Chandra Makur"/>
    <s v="9434520840"/>
  </r>
  <r>
    <s v="RCF Thal"/>
    <s v="N.C.Urea(45kg)"/>
    <s v="WB"/>
    <x v="3"/>
    <s v="Vishnupur"/>
    <s v="User Not Mapped"/>
    <s v="User Not Mapped"/>
    <s v="User Not Mapped"/>
    <n v="1475171"/>
    <s v="AFSANA KHATUN"/>
    <s v="Private Retailer"/>
    <s v="8436682264"/>
    <n v="13.32"/>
    <n v="175"/>
    <x v="0"/>
    <m/>
    <s v="2025-11-03"/>
    <s v="261556"/>
    <s v="Bankim Chandra Makur"/>
    <s v="9434520840"/>
  </r>
  <r>
    <s v="RCF Trombay"/>
    <s v="15-15-15"/>
    <s v="WB"/>
    <x v="3"/>
    <m/>
    <s v="User Not Mapped"/>
    <s v="User Not Mapped"/>
    <s v="User Not Mapped"/>
    <n v="242662"/>
    <s v="Gopal Ch. Baul"/>
    <s v="Private Retailer"/>
    <s v="9647609369"/>
    <n v="6.8"/>
    <n v="131"/>
    <x v="0"/>
    <m/>
    <s v="2025-12-17"/>
    <s v="261556"/>
    <s v="Bankim Chandra Makur"/>
    <s v="9434520840"/>
  </r>
  <r>
    <s v="RCF Thal"/>
    <s v="N.C.Urea(45kg)"/>
    <s v="WB"/>
    <x v="3"/>
    <m/>
    <s v="User Not Mapped"/>
    <s v="User Not Mapped"/>
    <s v="User Not Mapped"/>
    <n v="242736"/>
    <s v="Pradip Sukul"/>
    <s v="Private Retailer"/>
    <s v="9800129330"/>
    <n v="0.85499999999999998"/>
    <n v="74"/>
    <x v="2"/>
    <m/>
    <s v="2026-02-12"/>
    <s v="261556"/>
    <s v="Bankim Chandra Makur"/>
    <s v="9434520840"/>
  </r>
  <r>
    <s v="RCF Trombay"/>
    <s v="15-15-15"/>
    <s v="WB"/>
    <x v="3"/>
    <m/>
    <s v="User Not Mapped"/>
    <s v="User Not Mapped"/>
    <s v="User Not Mapped"/>
    <n v="323428"/>
    <s v="Tulsi Das Konar"/>
    <s v="Private Retailer"/>
    <s v="9434528367"/>
    <n v="2"/>
    <n v="264"/>
    <x v="3"/>
    <m/>
    <s v="2025-08-06"/>
    <s v="261556"/>
    <s v="Bankim Chandra Makur"/>
    <s v="9434520840"/>
  </r>
  <r>
    <s v="RCF Import"/>
    <s v="Imp 10-26-26"/>
    <s v="WB"/>
    <x v="3"/>
    <m/>
    <s v="User Not Mapped"/>
    <s v="User Not Mapped"/>
    <s v="User Not Mapped"/>
    <n v="452501"/>
    <s v="Dinabandhu Gorai"/>
    <s v="Private Retailer"/>
    <s v="9474133071"/>
    <n v="1.75"/>
    <n v="926"/>
    <x v="7"/>
    <m/>
    <s v="2023-10-14"/>
    <s v="261599"/>
    <s v="Sital Prasad Nandi"/>
    <s v="9733383728"/>
  </r>
  <r>
    <s v="RCF Trombay"/>
    <s v="N.C.Urea(45kg)"/>
    <s v="WB"/>
    <x v="3"/>
    <m/>
    <s v="User Not Mapped"/>
    <s v="User Not Mapped"/>
    <s v="User Not Mapped"/>
    <n v="837361"/>
    <s v="PRAKASH DASH"/>
    <s v="Private Retailer"/>
    <s v="9775776914"/>
    <n v="8.2349999999999994"/>
    <n v="2090"/>
    <x v="7"/>
    <m/>
    <s v="2020-08-06"/>
    <s v="261577"/>
    <s v="Dulal Chndra Nandi"/>
    <s v="9434003144"/>
  </r>
  <r>
    <s v="RCF Trombay"/>
    <s v="15-15-15"/>
    <s v="WB"/>
    <x v="4"/>
    <s v="Ausgram - I"/>
    <s v="User Not Mapped"/>
    <s v="User Not Mapped"/>
    <s v="User Not Mapped"/>
    <n v="464908"/>
    <s v="Achintya Kumar Banerjee"/>
    <s v="Private Retailer"/>
    <s v="9153005679"/>
    <n v="0.3"/>
    <n v="124"/>
    <x v="0"/>
    <m/>
    <s v="2025-12-24"/>
    <s v="261689"/>
    <s v="M/s. Bimal Kumar Laha"/>
    <s v="9434133803"/>
  </r>
  <r>
    <s v="RCF Thal"/>
    <s v="N.C.Urea(45kg)"/>
    <s v="WB"/>
    <x v="4"/>
    <s v="Ausgram - I"/>
    <s v="User Not Mapped"/>
    <s v="User Not Mapped"/>
    <s v="User Not Mapped"/>
    <n v="836779"/>
    <s v="GOAM NABI SK"/>
    <s v="Private Retailer"/>
    <s v="9749086066"/>
    <n v="8.2799999999999994"/>
    <n v="53"/>
    <x v="1"/>
    <m/>
    <s v="2026-03-05"/>
    <s v="261685"/>
    <s v="M/s. Asok Kumar Nag"/>
    <s v="6294510597"/>
  </r>
  <r>
    <s v="RCF Trombay"/>
    <s v="N.C.Urea(45kg)"/>
    <s v="WB"/>
    <x v="4"/>
    <s v="Ausgram - II"/>
    <s v="User Not Mapped"/>
    <s v="User Not Mapped"/>
    <s v="User Not Mapped"/>
    <n v="653803"/>
    <s v="DEBABRATA ROY"/>
    <s v="Private Retailer"/>
    <s v="7478397455"/>
    <n v="2.25"/>
    <n v="98"/>
    <x v="5"/>
    <m/>
    <s v="2026-01-19"/>
    <s v="1191750"/>
    <s v="SAKTI PADA HUI"/>
    <s v="9832201350"/>
  </r>
  <r>
    <s v="RCF Thal"/>
    <s v="N.C.Urea(45kg)"/>
    <s v="WB"/>
    <x v="4"/>
    <s v="Bhatar"/>
    <s v="User Not Mapped"/>
    <s v="User Not Mapped"/>
    <s v="User Not Mapped"/>
    <n v="616007"/>
    <s v="DIGAMBAR MUKHERJEE"/>
    <s v="Private Retailer"/>
    <s v="8250495877"/>
    <n v="3.69"/>
    <n v="299"/>
    <x v="3"/>
    <m/>
    <s v="2025-07-02"/>
    <s v="261685"/>
    <s v="M/s. Asok Kumar Nag"/>
    <s v="6294510597"/>
  </r>
  <r>
    <s v="RCF Trombay"/>
    <s v="N.C.Urea(45kg)"/>
    <s v="WB"/>
    <x v="4"/>
    <s v="Bhatar"/>
    <s v="User Not Mapped"/>
    <s v="User Not Mapped"/>
    <s v="User Not Mapped"/>
    <n v="1005182"/>
    <s v="M/S KRISHI BHANDAR"/>
    <s v="Private Retailer"/>
    <s v="7063580134"/>
    <n v="7.65"/>
    <n v="233"/>
    <x v="3"/>
    <m/>
    <s v="2025-09-06"/>
    <s v="261704"/>
    <s v="M/s. Kiran Sankar Ray"/>
    <s v="8250469811"/>
  </r>
  <r>
    <s v="RCF Thal"/>
    <s v="N.C.Urea(45kg)"/>
    <s v="WB"/>
    <x v="4"/>
    <s v="Bhatar"/>
    <s v="User Not Mapped"/>
    <s v="User Not Mapped"/>
    <s v="User Not Mapped"/>
    <n v="1484127"/>
    <s v="Sk Hasanur Jaman"/>
    <s v="Private Retailer"/>
    <s v="9749246868"/>
    <n v="8.2349999999999994"/>
    <n v="432"/>
    <x v="6"/>
    <m/>
    <s v="2025-02-19"/>
    <s v="261685"/>
    <s v="M/s. Asok Kumar Nag"/>
    <s v="6294510597"/>
  </r>
  <r>
    <s v="RCF Trombay"/>
    <s v="N.C.Urea(45kg)"/>
    <s v="WB"/>
    <x v="4"/>
    <s v="Burdwan - I"/>
    <s v="User Not Mapped"/>
    <s v="User Not Mapped"/>
    <s v="User Not Mapped"/>
    <n v="285958"/>
    <s v="M/s. Asok Kumar Nag"/>
    <s v="Private Retailer"/>
    <s v="9434002076"/>
    <n v="0.13500000000000001"/>
    <n v="191"/>
    <x v="3"/>
    <m/>
    <s v="2025-10-18"/>
    <s v="261727"/>
    <s v="Sibnath Dawn"/>
    <s v="9002133663"/>
  </r>
  <r>
    <s v="RCF Thal"/>
    <s v="N.C.Urea(45kg)"/>
    <s v="WB"/>
    <x v="4"/>
    <s v="Burdwan - I"/>
    <s v="User Not Mapped"/>
    <s v="User Not Mapped"/>
    <s v="User Not Mapped"/>
    <n v="404210"/>
    <s v="Mondal Traders"/>
    <s v="Private Retailer"/>
    <s v="9732055182"/>
    <n v="6.57"/>
    <n v="363"/>
    <x v="3"/>
    <m/>
    <s v="2025-04-29"/>
    <s v="1391279"/>
    <s v="M/s. Lokenath Enterprise"/>
    <s v="9474550617"/>
  </r>
  <r>
    <s v="RCF Trombay"/>
    <s v="15-15-15"/>
    <s v="WB"/>
    <x v="4"/>
    <s v="Galsi - I"/>
    <s v="User Not Mapped"/>
    <s v="User Not Mapped"/>
    <s v="User Not Mapped"/>
    <n v="239950"/>
    <s v="Gopeswar Jash"/>
    <s v="Private Retailer"/>
    <s v="8170016410"/>
    <n v="8"/>
    <n v="3"/>
    <x v="4"/>
    <m/>
    <s v="2026-04-24"/>
    <s v="379777"/>
    <s v="Gopeswar Jash"/>
    <s v="8170016410"/>
  </r>
  <r>
    <s v="RCF Trombay"/>
    <s v="15-15-15"/>
    <s v="WB"/>
    <x v="4"/>
    <s v="Galsi - I"/>
    <s v="User Not Mapped"/>
    <s v="User Not Mapped"/>
    <s v="User Not Mapped"/>
    <n v="239950"/>
    <s v="Gopeswar Jash"/>
    <s v="Private Retailer"/>
    <s v="8170016410"/>
    <n v="5"/>
    <n v="5"/>
    <x v="4"/>
    <m/>
    <s v="2026-04-22"/>
    <s v="379777"/>
    <s v="Gopeswar Jash"/>
    <s v="8170016410"/>
  </r>
  <r>
    <s v="RCF Thal"/>
    <s v="N.C.Urea(45kg)"/>
    <s v="WB"/>
    <x v="4"/>
    <s v="Galsi - I"/>
    <s v="User Not Mapped"/>
    <s v="User Not Mapped"/>
    <s v="User Not Mapped"/>
    <n v="697681"/>
    <s v="Partha Dutta"/>
    <s v="Private Retailer"/>
    <s v="9474700026"/>
    <n v="3.6"/>
    <n v="74"/>
    <x v="2"/>
    <m/>
    <s v="2026-02-12"/>
    <s v="1191750"/>
    <s v="SAKTI PADA HUI"/>
    <s v="9832201350"/>
  </r>
  <r>
    <s v="RCF Thal"/>
    <s v="N.C.Urea(45kg)"/>
    <s v="WB"/>
    <x v="4"/>
    <s v="Galsi - I"/>
    <s v="User Not Mapped"/>
    <s v="User Not Mapped"/>
    <s v="User Not Mapped"/>
    <n v="890240"/>
    <s v="Somenath Garai"/>
    <s v="Private Retailer"/>
    <s v="8926102324"/>
    <n v="0.54"/>
    <n v="74"/>
    <x v="2"/>
    <m/>
    <s v="2026-02-12"/>
    <s v="1191750"/>
    <s v="SAKTI PADA HUI"/>
    <s v="9832201350"/>
  </r>
  <r>
    <s v="RCF Thal"/>
    <s v="N.C.Urea(45kg)"/>
    <s v="WB"/>
    <x v="4"/>
    <s v="Galsi - I"/>
    <s v="User Not Mapped"/>
    <s v="User Not Mapped"/>
    <s v="User Not Mapped"/>
    <n v="1072157"/>
    <s v="DAMODAR KRISHI BIPANI"/>
    <s v="Private Retailer"/>
    <s v="7001458893"/>
    <n v="0.85499999999999998"/>
    <n v="244"/>
    <x v="3"/>
    <m/>
    <s v="2025-08-26"/>
    <s v="1191750"/>
    <s v="SAKTI PADA HUI"/>
    <s v="9832201350"/>
  </r>
  <r>
    <s v="RCF Trombay"/>
    <s v="N.C.Urea(45kg)"/>
    <s v="WB"/>
    <x v="4"/>
    <s v="Galsi - I"/>
    <s v="User Not Mapped"/>
    <s v="User Not Mapped"/>
    <s v="User Not Mapped"/>
    <n v="1225095"/>
    <s v="MINATI PANJA"/>
    <s v="Private Retailer"/>
    <s v="9064297004"/>
    <n v="0.09"/>
    <n v="70"/>
    <x v="2"/>
    <m/>
    <s v="2026-02-16"/>
    <s v="1191750"/>
    <s v="SAKTI PADA HUI"/>
    <s v="9832201350"/>
  </r>
  <r>
    <s v="RCF Thal"/>
    <s v="N.C.Urea(45kg)"/>
    <s v="WB"/>
    <x v="4"/>
    <s v="Galsi - I"/>
    <s v="User Not Mapped"/>
    <s v="User Not Mapped"/>
    <s v="User Not Mapped"/>
    <n v="1583648"/>
    <s v="Baba Rameswar Fertilizer"/>
    <s v="Private Retailer"/>
    <s v="9609616828"/>
    <n v="9.9450000000000003"/>
    <n v="251"/>
    <x v="3"/>
    <m/>
    <s v="2025-08-19"/>
    <s v="379777"/>
    <s v="Gopeswar Jash"/>
    <s v="8170016410"/>
  </r>
  <r>
    <s v="RCF Trombay"/>
    <s v="15-15-15"/>
    <s v="WB"/>
    <x v="4"/>
    <s v="Galsi - II"/>
    <s v="User Not Mapped"/>
    <s v="User Not Mapped"/>
    <s v="User Not Mapped"/>
    <n v="340073"/>
    <s v="Baba Billeswar Krishi Udyog"/>
    <s v="Private Retailer"/>
    <s v="9832209070"/>
    <n v="2.4"/>
    <n v="250"/>
    <x v="3"/>
    <m/>
    <s v="2025-08-20"/>
    <s v="286044"/>
    <s v="P M Sales Agency"/>
    <s v="9434002276"/>
  </r>
  <r>
    <s v="RCF Thal"/>
    <s v="N.C.Urea(45kg)"/>
    <s v="WB"/>
    <x v="4"/>
    <s v="Galsi - II"/>
    <s v="User Not Mapped"/>
    <s v="User Not Mapped"/>
    <s v="User Not Mapped"/>
    <n v="617999"/>
    <s v="KURKUBA ASKARAN SKUS LTD"/>
    <s v="PACS"/>
    <s v="7001990836"/>
    <n v="18"/>
    <n v="255"/>
    <x v="3"/>
    <m/>
    <s v="2025-08-15"/>
    <s v="286044"/>
    <s v="P M Sales Agency"/>
    <s v="9434002276"/>
  </r>
  <r>
    <s v="RCF Thal"/>
    <s v="N.C.Urea(45kg)"/>
    <s v="WB"/>
    <x v="4"/>
    <s v="Galsi - II"/>
    <s v="User Not Mapped"/>
    <s v="User Not Mapped"/>
    <s v="User Not Mapped"/>
    <n v="618013"/>
    <s v="ROY ENTERPRISE"/>
    <s v="Private Retailer"/>
    <s v="7699431699"/>
    <n v="4.05"/>
    <n v="226"/>
    <x v="3"/>
    <m/>
    <s v="2025-09-13"/>
    <s v="286044"/>
    <s v="P M Sales Agency"/>
    <s v="9434002276"/>
  </r>
  <r>
    <s v="RCF Thal"/>
    <s v="N.C.Urea(45kg)"/>
    <s v="WB"/>
    <x v="4"/>
    <s v="Galsi - II"/>
    <s v="User Not Mapped"/>
    <s v="User Not Mapped"/>
    <s v="User Not Mapped"/>
    <n v="618013"/>
    <s v="ROY ENTERPRISE"/>
    <s v="Private Retailer"/>
    <s v="7699431699"/>
    <n v="0.9"/>
    <n v="166"/>
    <x v="0"/>
    <m/>
    <s v="2025-11-12"/>
    <s v="286044"/>
    <s v="P M Sales Agency"/>
    <s v="9434002276"/>
  </r>
  <r>
    <s v="RCF Thal"/>
    <s v="N.C.Urea(45kg)"/>
    <s v="WB"/>
    <x v="4"/>
    <s v="Galsi - II"/>
    <s v="User Not Mapped"/>
    <s v="User Not Mapped"/>
    <s v="User Not Mapped"/>
    <n v="622752"/>
    <s v="M/S-KRISHAK SATHI"/>
    <s v="Private Retailer"/>
    <s v="7679569300"/>
    <n v="0.40500000000000003"/>
    <n v="159"/>
    <x v="0"/>
    <m/>
    <s v="2025-11-19"/>
    <s v="286044"/>
    <s v="P M Sales Agency"/>
    <s v="9434002276"/>
  </r>
  <r>
    <s v="RCF Trombay"/>
    <s v="N.C.Urea(45kg)"/>
    <s v="WB"/>
    <x v="4"/>
    <s v="Galsi - II"/>
    <s v="User Not Mapped"/>
    <s v="User Not Mapped"/>
    <s v="User Not Mapped"/>
    <n v="622752"/>
    <s v="M/S-KRISHAK SATHI"/>
    <s v="Private Retailer"/>
    <s v="7679569300"/>
    <n v="2.4750000000000001"/>
    <n v="70"/>
    <x v="2"/>
    <m/>
    <s v="2026-02-16"/>
    <s v="1191750"/>
    <s v="SAKTI PADA HUI"/>
    <s v="9832201350"/>
  </r>
  <r>
    <s v="RCF Thal"/>
    <s v="N.C.Urea(45kg)"/>
    <s v="WB"/>
    <x v="4"/>
    <s v="Galsi - II"/>
    <s v="User Not Mapped"/>
    <s v="User Not Mapped"/>
    <s v="User Not Mapped"/>
    <n v="1426937"/>
    <s v="Maa Krishi Bhandar"/>
    <s v="Private Retailer"/>
    <s v="9749498572"/>
    <n v="0.81"/>
    <n v="88"/>
    <x v="2"/>
    <m/>
    <s v="2026-01-29"/>
    <s v="286044"/>
    <s v="P M Sales Agency"/>
    <s v="9434002276"/>
  </r>
  <r>
    <s v="RCF Thal"/>
    <s v="N.C.Urea(45kg)"/>
    <s v="WB"/>
    <x v="4"/>
    <s v="Galsi - II"/>
    <s v="User Not Mapped"/>
    <s v="User Not Mapped"/>
    <s v="User Not Mapped"/>
    <n v="1559913"/>
    <s v="Dumur F.P.C.Ltd."/>
    <s v="Private Retailer"/>
    <s v="7908857396"/>
    <n v="0.9"/>
    <n v="79"/>
    <x v="2"/>
    <m/>
    <s v="2026-02-07"/>
    <s v="286044"/>
    <s v="P M Sales Agency"/>
    <s v="9434002276"/>
  </r>
  <r>
    <s v="RCF Thal"/>
    <s v="N.C.Urea(45kg)"/>
    <s v="WB"/>
    <x v="4"/>
    <s v="Galsi - II"/>
    <s v="User Not Mapped"/>
    <s v="User Not Mapped"/>
    <s v="User Not Mapped"/>
    <n v="1630093"/>
    <s v="Swarna Agro Care"/>
    <s v="Private Retailer"/>
    <s v="9101023021"/>
    <n v="0.495"/>
    <n v="81"/>
    <x v="2"/>
    <m/>
    <s v="2026-02-05"/>
    <s v="286044"/>
    <s v="P M Sales Agency"/>
    <s v="9434002276"/>
  </r>
  <r>
    <s v="RCF Trombay"/>
    <s v="15-15-15"/>
    <s v="WB"/>
    <x v="4"/>
    <s v="Jamalpur"/>
    <s v="User Not Mapped"/>
    <s v="User Not Mapped"/>
    <s v="User Not Mapped"/>
    <n v="239965"/>
    <s v="Jamalpur TCAMS Ltd"/>
    <s v="PACS"/>
    <s v="9647992001"/>
    <n v="1.75"/>
    <n v="124"/>
    <x v="0"/>
    <m/>
    <s v="2025-12-24"/>
    <s v="261689"/>
    <s v="M/s. Bimal Kumar Laha"/>
    <s v="9434133803"/>
  </r>
  <r>
    <s v="RCF Import"/>
    <s v="Imp 10-26-26"/>
    <s v="WB"/>
    <x v="4"/>
    <s v="Jamalpur"/>
    <s v="User Not Mapped"/>
    <s v="User Not Mapped"/>
    <s v="User Not Mapped"/>
    <n v="240012"/>
    <s v="Paratal Ucacs Ltd"/>
    <s v="PACS"/>
    <s v="9775792363"/>
    <n v="12"/>
    <n v="58"/>
    <x v="1"/>
    <m/>
    <s v="2026-02-28"/>
    <s v="261689"/>
    <s v="M/s. Bimal Kumar Laha"/>
    <s v="9434133803"/>
  </r>
  <r>
    <s v="RCF Thal"/>
    <s v="N.C.Urea(45kg)"/>
    <s v="WB"/>
    <x v="4"/>
    <s v="Jamalpur"/>
    <s v="User Not Mapped"/>
    <s v="User Not Mapped"/>
    <s v="User Not Mapped"/>
    <n v="240012"/>
    <s v="Paratal Ucacs Ltd"/>
    <s v="PACS"/>
    <s v="9775792363"/>
    <n v="9.5399999999999991"/>
    <n v="74"/>
    <x v="2"/>
    <m/>
    <s v="2026-02-12"/>
    <s v="261689"/>
    <s v="M/s. Bimal Kumar Laha"/>
    <s v="9434133803"/>
  </r>
  <r>
    <s v="RCF Trombay"/>
    <s v="15-15-15"/>
    <s v="WB"/>
    <x v="4"/>
    <s v="Jamalpur"/>
    <s v="User Not Mapped"/>
    <s v="User Not Mapped"/>
    <s v="User Not Mapped"/>
    <n v="294824"/>
    <s v="Prabir Kumar Ghosh"/>
    <s v="Private Retailer"/>
    <s v="8918188932"/>
    <n v="0.65"/>
    <n v="407"/>
    <x v="6"/>
    <m/>
    <s v="2025-03-16"/>
    <s v="261689"/>
    <s v="M/s. Bimal Kumar Laha"/>
    <s v="9434133803"/>
  </r>
  <r>
    <s v="RCF Import"/>
    <s v="Imp 10-26-26"/>
    <s v="WB"/>
    <x v="4"/>
    <s v="Jamalpur"/>
    <s v="User Not Mapped"/>
    <s v="User Not Mapped"/>
    <s v="User Not Mapped"/>
    <n v="323439"/>
    <s v="Sisir Kumar Mondal"/>
    <s v="Private Retailer"/>
    <s v="9609623416"/>
    <n v="0.4"/>
    <n v="133"/>
    <x v="0"/>
    <m/>
    <s v="2025-12-15"/>
    <s v="261685"/>
    <s v="M/s. Asok Kumar Nag"/>
    <s v="6294510597"/>
  </r>
  <r>
    <s v="RCF Thal"/>
    <s v="N.C.Urea(45kg)"/>
    <s v="WB"/>
    <x v="4"/>
    <s v="Jamalpur"/>
    <s v="User Not Mapped"/>
    <s v="User Not Mapped"/>
    <s v="User Not Mapped"/>
    <n v="323439"/>
    <s v="Sisir Kumar Mondal"/>
    <s v="Private Retailer"/>
    <s v="9609623416"/>
    <n v="1.4850000000000001"/>
    <n v="133"/>
    <x v="0"/>
    <m/>
    <s v="2025-12-15"/>
    <s v="261685"/>
    <s v="M/s. Asok Kumar Nag"/>
    <s v="6294510597"/>
  </r>
  <r>
    <s v="RCF Thal"/>
    <s v="N.C.Urea(45kg)"/>
    <s v="WB"/>
    <x v="4"/>
    <s v="Jamalpur"/>
    <s v="User Not Mapped"/>
    <s v="User Not Mapped"/>
    <s v="User Not Mapped"/>
    <n v="410776"/>
    <s v="Swapan Kumar Ghosh "/>
    <s v="Private Retailer"/>
    <s v="8436338959"/>
    <n v="11.97"/>
    <n v="29"/>
    <x v="4"/>
    <m/>
    <s v="2026-03-29"/>
    <s v="261689"/>
    <s v="M/s. Bimal Kumar Laha"/>
    <s v="9434133803"/>
  </r>
  <r>
    <s v="RCF Trombay"/>
    <s v="15-15-15"/>
    <s v="WB"/>
    <x v="4"/>
    <s v="Jamalpur"/>
    <s v="User Not Mapped"/>
    <s v="User Not Mapped"/>
    <s v="User Not Mapped"/>
    <n v="410776"/>
    <s v="Swapan Kumar Ghosh "/>
    <s v="Private Retailer"/>
    <s v="8436338959"/>
    <n v="2.75"/>
    <n v="148"/>
    <x v="0"/>
    <m/>
    <s v="2025-11-30"/>
    <s v="261689"/>
    <s v="M/s. Bimal Kumar Laha"/>
    <s v="9434133803"/>
  </r>
  <r>
    <s v="RCF Trombay"/>
    <s v="15-15-15"/>
    <s v="WB"/>
    <x v="4"/>
    <s v="Jamalpur"/>
    <s v="User Not Mapped"/>
    <s v="User Not Mapped"/>
    <s v="User Not Mapped"/>
    <n v="410776"/>
    <s v="Swapan Kumar Ghosh "/>
    <s v="Private Retailer"/>
    <s v="8436338959"/>
    <n v="6"/>
    <n v="124"/>
    <x v="0"/>
    <m/>
    <s v="2025-12-24"/>
    <s v="261689"/>
    <s v="M/s. Bimal Kumar Laha"/>
    <s v="9434133803"/>
  </r>
  <r>
    <s v="RCF Thal"/>
    <s v="N.C.Urea(45kg)"/>
    <s v="WB"/>
    <x v="4"/>
    <s v="Jamalpur"/>
    <s v="User Not Mapped"/>
    <s v="User Not Mapped"/>
    <s v="User Not Mapped"/>
    <n v="410776"/>
    <s v="Swapan Kumar Ghosh "/>
    <s v="Private Retailer"/>
    <s v="8436338959"/>
    <n v="8.2799999999999994"/>
    <n v="74"/>
    <x v="2"/>
    <m/>
    <s v="2026-02-12"/>
    <s v="261689"/>
    <s v="M/s. Bimal Kumar Laha"/>
    <s v="9434133803"/>
  </r>
  <r>
    <s v="RCF Import"/>
    <s v="Imp 10-26-26"/>
    <s v="WB"/>
    <x v="4"/>
    <s v="Jamalpur"/>
    <s v="User Not Mapped"/>
    <s v="User Not Mapped"/>
    <s v="User Not Mapped"/>
    <n v="410776"/>
    <s v="Swapan Kumar Ghosh "/>
    <s v="Private Retailer"/>
    <s v="8436338959"/>
    <n v="10.65"/>
    <n v="58"/>
    <x v="1"/>
    <m/>
    <s v="2026-02-28"/>
    <s v="261689"/>
    <s v="M/s. Bimal Kumar Laha"/>
    <s v="9434133803"/>
  </r>
  <r>
    <s v="RCF Trombay"/>
    <s v="N.C.Urea(45kg)"/>
    <s v="WB"/>
    <x v="4"/>
    <s v="Jamalpur"/>
    <s v="User Not Mapped"/>
    <s v="User Not Mapped"/>
    <s v="User Not Mapped"/>
    <n v="457326"/>
    <s v="Prasanta Kumar Ghosh"/>
    <s v="Private Retailer"/>
    <s v="9474493106"/>
    <n v="2.2050000000000001"/>
    <n v="259"/>
    <x v="3"/>
    <m/>
    <s v="2025-08-11"/>
    <s v="261727"/>
    <s v="Sibnath Dawn"/>
    <s v="9002133663"/>
  </r>
  <r>
    <s v="RCF Thal"/>
    <s v="N.C.Urea(45kg)"/>
    <s v="WB"/>
    <x v="4"/>
    <s v="Jamalpur"/>
    <s v="User Not Mapped"/>
    <s v="User Not Mapped"/>
    <s v="User Not Mapped"/>
    <n v="457326"/>
    <s v="Prasanta Kumar Ghosh"/>
    <s v="Private Retailer"/>
    <s v="9474493106"/>
    <n v="8.4600000000000009"/>
    <n v="144"/>
    <x v="0"/>
    <m/>
    <s v="2025-12-04"/>
    <s v="261727"/>
    <s v="Sibnath Dawn"/>
    <s v="9002133663"/>
  </r>
  <r>
    <s v="RCF Thal"/>
    <s v="N.C.Urea(45kg)"/>
    <s v="WB"/>
    <x v="4"/>
    <s v="Jamalpur"/>
    <s v="User Not Mapped"/>
    <s v="User Not Mapped"/>
    <s v="User Not Mapped"/>
    <n v="648702"/>
    <s v="Kripa Sindhu Dey"/>
    <s v="Private Retailer"/>
    <s v="9474999985"/>
    <n v="0.315"/>
    <n v="144"/>
    <x v="0"/>
    <m/>
    <s v="2025-12-04"/>
    <s v="261727"/>
    <s v="Sibnath Dawn"/>
    <s v="9002133663"/>
  </r>
  <r>
    <s v="RCF Thal"/>
    <s v="N.C.Urea(45kg)"/>
    <s v="WB"/>
    <x v="4"/>
    <s v="Jamalpur"/>
    <s v="User Not Mapped"/>
    <s v="User Not Mapped"/>
    <s v="User Not Mapped"/>
    <n v="649455"/>
    <s v="CHANDI MATA KRISHI BHANDAR"/>
    <s v="Private Retailer"/>
    <s v="8101682011"/>
    <n v="3.33"/>
    <n v="104"/>
    <x v="5"/>
    <m/>
    <s v="2026-01-13"/>
    <s v="261689"/>
    <s v="M/s. Bimal Kumar Laha"/>
    <s v="9434133803"/>
  </r>
  <r>
    <s v="RCF Trombay"/>
    <s v="N.C.Urea(45kg)"/>
    <s v="WB"/>
    <x v="4"/>
    <s v="Jamalpur"/>
    <s v="User Not Mapped"/>
    <s v="User Not Mapped"/>
    <s v="User Not Mapped"/>
    <n v="649455"/>
    <s v="CHANDI MATA KRISHI BHANDAR"/>
    <s v="Private Retailer"/>
    <s v="8101682011"/>
    <n v="32.58"/>
    <n v="104"/>
    <x v="5"/>
    <m/>
    <s v="2026-01-13"/>
    <s v="261689"/>
    <s v="M/s. Bimal Kumar Laha"/>
    <s v="9434133803"/>
  </r>
  <r>
    <s v="RCF Trombay"/>
    <s v="N.C.Urea(45kg)"/>
    <s v="WB"/>
    <x v="4"/>
    <s v="Jamalpur"/>
    <s v="User Not Mapped"/>
    <s v="User Not Mapped"/>
    <s v="User Not Mapped"/>
    <n v="684472"/>
    <s v="Kashinath Das"/>
    <s v="Private Retailer"/>
    <s v="9093171586"/>
    <n v="11.565"/>
    <n v="179"/>
    <x v="0"/>
    <m/>
    <s v="2025-10-30"/>
    <s v="261689"/>
    <s v="M/s. Bimal Kumar Laha"/>
    <s v="9434133803"/>
  </r>
  <r>
    <s v="RCF Import"/>
    <s v="Imp 10-26-26"/>
    <s v="WB"/>
    <x v="4"/>
    <s v="Jamalpur"/>
    <s v="User Not Mapped"/>
    <s v="User Not Mapped"/>
    <s v="User Not Mapped"/>
    <n v="735581"/>
    <s v="PANCHRA U.C.A.C.S LTD"/>
    <s v="PACS"/>
    <s v="8001616465"/>
    <n v="3.85"/>
    <n v="124"/>
    <x v="0"/>
    <m/>
    <s v="2025-12-24"/>
    <s v="261689"/>
    <s v="M/s. Bimal Kumar Laha"/>
    <s v="9434133803"/>
  </r>
  <r>
    <s v="RCF Thal"/>
    <s v="N.C.Urea(45kg)"/>
    <s v="WB"/>
    <x v="4"/>
    <s v="Jamalpur"/>
    <s v="User Not Mapped"/>
    <s v="User Not Mapped"/>
    <s v="User Not Mapped"/>
    <n v="750999"/>
    <s v="SURAJIT MONDAL"/>
    <s v="Private Retailer"/>
    <s v="9733401564"/>
    <n v="0.495"/>
    <n v="132"/>
    <x v="0"/>
    <m/>
    <s v="2025-12-16"/>
    <s v="261683"/>
    <s v="Amadpur U.C.A.C.S. Ltd."/>
    <s v="8967854686"/>
  </r>
  <r>
    <s v="RCF Import"/>
    <s v="Imp 10-26-26"/>
    <s v="WB"/>
    <x v="4"/>
    <s v="Jamalpur"/>
    <s v="User Not Mapped"/>
    <s v="User Not Mapped"/>
    <s v="User Not Mapped"/>
    <n v="1019877"/>
    <s v="Nandanpur S.K.U.S. Ltd."/>
    <s v="PACS"/>
    <s v="6294068644"/>
    <n v="10.1"/>
    <n v="152"/>
    <x v="0"/>
    <m/>
    <s v="2025-11-26"/>
    <s v="261689"/>
    <s v="M/s. Bimal Kumar Laha"/>
    <s v="9434133803"/>
  </r>
  <r>
    <s v="RCF Thal"/>
    <s v="N.C.Urea(45kg)"/>
    <s v="WB"/>
    <x v="4"/>
    <s v="Jamalpur"/>
    <s v="User Not Mapped"/>
    <s v="User Not Mapped"/>
    <s v="User Not Mapped"/>
    <n v="1019877"/>
    <s v="Nandanpur S.K.U.S. Ltd."/>
    <s v="PACS"/>
    <s v="6294068644"/>
    <n v="12.465"/>
    <n v="152"/>
    <x v="0"/>
    <m/>
    <s v="2025-11-26"/>
    <s v="261689"/>
    <s v="M/s. Bimal Kumar Laha"/>
    <s v="9434133803"/>
  </r>
  <r>
    <s v="RCF Trombay"/>
    <s v="15-15-15"/>
    <s v="WB"/>
    <x v="4"/>
    <s v="Jamalpur"/>
    <s v="User Not Mapped"/>
    <s v="User Not Mapped"/>
    <s v="User Not Mapped"/>
    <n v="1024488"/>
    <s v="Jotesriram A.S.K.U.S Ltd"/>
    <s v="PACS"/>
    <s v="8900037335"/>
    <n v="1.75"/>
    <n v="223"/>
    <x v="3"/>
    <m/>
    <s v="2025-09-16"/>
    <s v="261689"/>
    <s v="M/s. Bimal Kumar Laha"/>
    <s v="9434133803"/>
  </r>
  <r>
    <s v="RCF Trombay"/>
    <s v="15-15-15"/>
    <s v="WB"/>
    <x v="4"/>
    <s v="Jamalpur"/>
    <s v="User Not Mapped"/>
    <s v="User Not Mapped"/>
    <s v="User Not Mapped"/>
    <n v="1024492"/>
    <s v="Jamalpur TCAMA Ltd."/>
    <s v="PACS"/>
    <s v="8798397673"/>
    <n v="0.25"/>
    <n v="407"/>
    <x v="6"/>
    <m/>
    <s v="2025-03-16"/>
    <s v="261689"/>
    <s v="M/s. Bimal Kumar Laha"/>
    <s v="9434133803"/>
  </r>
  <r>
    <s v="RCF Thal"/>
    <s v="N.C.Urea(45kg)"/>
    <s v="WB"/>
    <x v="4"/>
    <s v="Jamalpur"/>
    <s v="User Not Mapped"/>
    <s v="User Not Mapped"/>
    <s v="User Not Mapped"/>
    <n v="1024504"/>
    <s v="Ajoy Kumar Pal"/>
    <s v="Private Retailer"/>
    <s v="7890951345"/>
    <n v="11.744999999999999"/>
    <n v="74"/>
    <x v="2"/>
    <m/>
    <s v="2026-02-12"/>
    <s v="261689"/>
    <s v="M/s. Bimal Kumar Laha"/>
    <s v="9434133803"/>
  </r>
  <r>
    <s v="RCF Import"/>
    <s v="Imp 10-26-26"/>
    <s v="WB"/>
    <x v="4"/>
    <s v="Jamalpur"/>
    <s v="User Not Mapped"/>
    <s v="User Not Mapped"/>
    <s v="User Not Mapped"/>
    <n v="1024504"/>
    <s v="Ajoy Kumar Pal"/>
    <s v="Private Retailer"/>
    <s v="7890951345"/>
    <n v="9.5"/>
    <n v="58"/>
    <x v="1"/>
    <m/>
    <s v="2026-02-28"/>
    <s v="261689"/>
    <s v="M/s. Bimal Kumar Laha"/>
    <s v="9434133803"/>
  </r>
  <r>
    <s v="RCF Thal"/>
    <s v="N.C.Urea(45kg)"/>
    <s v="WB"/>
    <x v="4"/>
    <s v="Kalna - I"/>
    <s v="User Not Mapped"/>
    <s v="User Not Mapped"/>
    <s v="User Not Mapped"/>
    <n v="633086"/>
    <s v="HIMADRI SINGHA ROY"/>
    <s v="Private Retailer"/>
    <s v="8016812609"/>
    <n v="2.25"/>
    <n v="75"/>
    <x v="2"/>
    <m/>
    <s v="2026-02-11"/>
    <s v="1156141"/>
    <s v="PRASUN DAS"/>
    <s v="9564391014"/>
  </r>
  <r>
    <s v="RCF Thal"/>
    <s v="N.C.Urea(45kg)"/>
    <s v="WB"/>
    <x v="4"/>
    <s v="Kalna - I"/>
    <s v="User Not Mapped"/>
    <s v="User Not Mapped"/>
    <s v="User Not Mapped"/>
    <n v="1552617"/>
    <s v="M/s. Mojibar Rahaman Mondal"/>
    <s v="Private Retailer"/>
    <s v="7001377629"/>
    <n v="0.45"/>
    <n v="75"/>
    <x v="2"/>
    <m/>
    <s v="2026-02-11"/>
    <s v="1156141"/>
    <s v="PRASUN DAS"/>
    <s v="9564391014"/>
  </r>
  <r>
    <s v="RCF Thal"/>
    <s v="N.C.Urea(45kg)"/>
    <s v="WB"/>
    <x v="4"/>
    <s v="Kalna - II"/>
    <s v="User Not Mapped"/>
    <s v="User Not Mapped"/>
    <s v="User Not Mapped"/>
    <n v="239926"/>
    <s v="Chagram Noarah SKUS Ltd."/>
    <s v="PACS"/>
    <s v="9932836630"/>
    <n v="0.72"/>
    <n v="74"/>
    <x v="2"/>
    <m/>
    <s v="2026-02-12"/>
    <s v="261689"/>
    <s v="M/s. Bimal Kumar Laha"/>
    <s v="9434133803"/>
  </r>
  <r>
    <s v="RCF Import"/>
    <s v="Imp 10-26-26"/>
    <s v="WB"/>
    <x v="4"/>
    <s v="Kalna - II"/>
    <s v="User Not Mapped"/>
    <s v="User Not Mapped"/>
    <s v="User Not Mapped"/>
    <n v="239926"/>
    <s v="Chagram Noarah SKUS Ltd."/>
    <s v="PACS"/>
    <s v="9932836630"/>
    <n v="6"/>
    <n v="58"/>
    <x v="1"/>
    <m/>
    <s v="2026-02-28"/>
    <s v="261689"/>
    <s v="M/s. Bimal Kumar Laha"/>
    <s v="9434133803"/>
  </r>
  <r>
    <s v="RCF Thal"/>
    <s v="N.C.Urea(45kg)"/>
    <s v="WB"/>
    <x v="4"/>
    <s v="Kalna - II"/>
    <s v="User Not Mapped"/>
    <s v="User Not Mapped"/>
    <s v="User Not Mapped"/>
    <n v="968238"/>
    <s v="TUSHAR KANTI GHOSH"/>
    <s v="Private Retailer"/>
    <s v="9474919199"/>
    <n v="8.5050000000000008"/>
    <n v="74"/>
    <x v="2"/>
    <m/>
    <s v="2026-02-12"/>
    <s v="261689"/>
    <s v="M/s. Bimal Kumar Laha"/>
    <s v="9434133803"/>
  </r>
  <r>
    <s v="RCF Import"/>
    <s v="MOP"/>
    <s v="WB"/>
    <x v="4"/>
    <s v="Kalna - II"/>
    <s v="User Not Mapped"/>
    <s v="User Not Mapped"/>
    <s v="User Not Mapped"/>
    <n v="988222"/>
    <s v="SANJIT KUMAR DAS"/>
    <s v="Private Retailer"/>
    <s v="9564919154"/>
    <n v="0.4"/>
    <n v="435"/>
    <x v="6"/>
    <m/>
    <s v="2025-02-16"/>
    <s v="1156141"/>
    <s v="PRASUN DAS"/>
    <s v="9564391014"/>
  </r>
  <r>
    <s v="RCF Import"/>
    <s v="MOP"/>
    <s v="WB"/>
    <x v="4"/>
    <s v="Katwa - I"/>
    <s v="User Not Mapped"/>
    <s v="User Not Mapped"/>
    <s v="User Not Mapped"/>
    <n v="343957"/>
    <s v="Jiban Ghatak"/>
    <s v="Private Retailer"/>
    <s v="8250872149"/>
    <n v="4"/>
    <n v="67"/>
    <x v="2"/>
    <m/>
    <s v="2026-02-19"/>
    <s v="261730"/>
    <s v="M/s. S.Sikdar and Co."/>
    <s v="9064141714"/>
  </r>
  <r>
    <s v="RCF Thal"/>
    <s v="N.C.Urea(45kg)"/>
    <s v="WB"/>
    <x v="4"/>
    <s v="Katwa - I"/>
    <s v="User Not Mapped"/>
    <s v="User Not Mapped"/>
    <s v="User Not Mapped"/>
    <n v="343957"/>
    <s v="Jiban Ghatak"/>
    <s v="Private Retailer"/>
    <s v="8250872149"/>
    <n v="4.95"/>
    <n v="76"/>
    <x v="2"/>
    <m/>
    <s v="2026-02-10"/>
    <s v="261730"/>
    <s v="M/s. S.Sikdar and Co."/>
    <s v="9064141714"/>
  </r>
  <r>
    <s v="RCF Thal"/>
    <s v="N.C.Urea(45kg)"/>
    <s v="WB"/>
    <x v="4"/>
    <s v="Katwa - I"/>
    <s v="User Not Mapped"/>
    <s v="User Not Mapped"/>
    <s v="User Not Mapped"/>
    <n v="559345"/>
    <s v="SUVAM SAHA"/>
    <s v="Private Retailer"/>
    <s v="9126728932"/>
    <n v="0.22500000000000001"/>
    <n v="151"/>
    <x v="0"/>
    <m/>
    <s v="2025-11-27"/>
    <s v="1612392"/>
    <s v="MANIK LAL PAL"/>
    <s v="8926111645"/>
  </r>
  <r>
    <s v="RCF Trombay"/>
    <s v="15-15-15"/>
    <s v="WB"/>
    <x v="4"/>
    <s v="Katwa - I"/>
    <s v="User Not Mapped"/>
    <s v="User Not Mapped"/>
    <s v="User Not Mapped"/>
    <n v="621626"/>
    <s v="CHANDANA SAHA"/>
    <s v="Private Retailer"/>
    <s v="9735833001"/>
    <n v="0.05"/>
    <n v="62"/>
    <x v="2"/>
    <m/>
    <s v="2026-02-24"/>
    <s v="261730"/>
    <s v="M/s. S.Sikdar and Co."/>
    <s v="9064141714"/>
  </r>
  <r>
    <s v="RCF Import"/>
    <s v="MOP"/>
    <s v="WB"/>
    <x v="4"/>
    <s v="Katwa - I"/>
    <s v="User Not Mapped"/>
    <s v="User Not Mapped"/>
    <s v="User Not Mapped"/>
    <n v="622744"/>
    <s v="KRISHI MANGAL BEEJ BHABAN"/>
    <s v="Private Retailer"/>
    <s v="9647653680"/>
    <n v="0.75"/>
    <n v="411"/>
    <x v="6"/>
    <m/>
    <s v="2025-03-12"/>
    <s v="221301"/>
    <s v="M/s. Mahadeb Saha and Co."/>
    <s v="9434252325"/>
  </r>
  <r>
    <s v="RCF Import"/>
    <s v="MOP"/>
    <s v="WB"/>
    <x v="4"/>
    <s v="Katwa - I"/>
    <s v="User Not Mapped"/>
    <s v="User Not Mapped"/>
    <s v="User Not Mapped"/>
    <n v="622756"/>
    <s v="APURBA GHOSH"/>
    <s v="Private Retailer"/>
    <s v="9732134911"/>
    <n v="3.6"/>
    <n v="67"/>
    <x v="2"/>
    <m/>
    <s v="2026-02-19"/>
    <s v="261730"/>
    <s v="M/s. S.Sikdar and Co."/>
    <s v="9064141714"/>
  </r>
  <r>
    <s v="RCF Thal"/>
    <s v="N.C.Urea(45kg)"/>
    <s v="WB"/>
    <x v="4"/>
    <s v="Katwa - I"/>
    <s v="User Not Mapped"/>
    <s v="User Not Mapped"/>
    <s v="User Not Mapped"/>
    <n v="1006483"/>
    <s v="SUJOY MONDAL"/>
    <s v="Private Retailer"/>
    <s v="9002757050"/>
    <n v="1.2150000000000001"/>
    <n v="89"/>
    <x v="2"/>
    <m/>
    <s v="2026-01-28"/>
    <s v="261689"/>
    <s v="M/s. Bimal Kumar Laha"/>
    <s v="9434133803"/>
  </r>
  <r>
    <s v="RCF Import"/>
    <s v="Imp 10-26-26"/>
    <s v="WB"/>
    <x v="4"/>
    <s v="Katwa - I"/>
    <s v="User Not Mapped"/>
    <s v="User Not Mapped"/>
    <s v="User Not Mapped"/>
    <n v="1006483"/>
    <s v="SUJOY MONDAL"/>
    <s v="Private Retailer"/>
    <s v="9002757050"/>
    <n v="15.7"/>
    <n v="117"/>
    <x v="5"/>
    <m/>
    <s v="2025-12-31"/>
    <s v="261689"/>
    <s v="M/s. Bimal Kumar Laha"/>
    <s v="9434133803"/>
  </r>
  <r>
    <s v="RCF Trombay"/>
    <s v="N.C.Urea(45kg)"/>
    <s v="WB"/>
    <x v="4"/>
    <s v="Katwa - I"/>
    <s v="User Not Mapped"/>
    <s v="User Not Mapped"/>
    <s v="User Not Mapped"/>
    <n v="1006483"/>
    <s v="SUJOY MONDAL"/>
    <s v="Private Retailer"/>
    <s v="9002757050"/>
    <n v="5.67"/>
    <n v="226"/>
    <x v="3"/>
    <m/>
    <s v="2025-09-13"/>
    <s v="261689"/>
    <s v="M/s. Bimal Kumar Laha"/>
    <s v="9434133803"/>
  </r>
  <r>
    <s v="RCF Trombay"/>
    <s v="15-15-15"/>
    <s v="WB"/>
    <x v="4"/>
    <s v="Katwa - I"/>
    <s v="User Not Mapped"/>
    <s v="User Not Mapped"/>
    <s v="User Not Mapped"/>
    <n v="1006483"/>
    <s v="SUJOY MONDAL"/>
    <s v="Private Retailer"/>
    <s v="9002757050"/>
    <n v="9.15"/>
    <n v="89"/>
    <x v="2"/>
    <m/>
    <s v="2026-01-28"/>
    <s v="261689"/>
    <s v="M/s. Bimal Kumar Laha"/>
    <s v="9434133803"/>
  </r>
  <r>
    <s v="RCF Thal"/>
    <s v="N.C.Urea(45kg)"/>
    <s v="WB"/>
    <x v="4"/>
    <s v="Katwa - I"/>
    <s v="User Not Mapped"/>
    <s v="User Not Mapped"/>
    <s v="User Not Mapped"/>
    <n v="1006483"/>
    <s v="SUJOY MONDAL"/>
    <s v="Private Retailer"/>
    <s v="9002757050"/>
    <n v="11.97"/>
    <n v="74"/>
    <x v="2"/>
    <m/>
    <s v="2026-02-12"/>
    <s v="261689"/>
    <s v="M/s. Bimal Kumar Laha"/>
    <s v="9434133803"/>
  </r>
  <r>
    <s v="RCF Import"/>
    <s v="Imp 10-26-26"/>
    <s v="WB"/>
    <x v="4"/>
    <s v="Katwa - I"/>
    <s v="User Not Mapped"/>
    <s v="User Not Mapped"/>
    <s v="User Not Mapped"/>
    <n v="1463858"/>
    <s v="Saha Fertilizer"/>
    <s v="Private Retailer"/>
    <s v="9593204420"/>
    <n v="1.75"/>
    <n v="62"/>
    <x v="2"/>
    <m/>
    <s v="2026-02-24"/>
    <s v="261730"/>
    <s v="M/s. S.Sikdar and Co."/>
    <s v="9064141714"/>
  </r>
  <r>
    <s v="RCF Thal"/>
    <s v="N.C.Urea(45kg)"/>
    <s v="WB"/>
    <x v="4"/>
    <s v="Katwa - II"/>
    <s v="User Not Mapped"/>
    <s v="User Not Mapped"/>
    <s v="User Not Mapped"/>
    <n v="758584"/>
    <s v="DIPAK KUMAR HAZRA"/>
    <s v="Private Retailer"/>
    <s v="9609595482"/>
    <n v="0.76500000000000001"/>
    <n v="75"/>
    <x v="2"/>
    <m/>
    <s v="2026-02-11"/>
    <s v="261700"/>
    <s v="Katwa Thana C.A.M.S.Ltd."/>
    <s v="7001765011"/>
  </r>
  <r>
    <s v="RCF Trombay"/>
    <s v="15-15-15"/>
    <s v="WB"/>
    <x v="4"/>
    <s v="Ketugram - I"/>
    <s v="User Not Mapped"/>
    <s v="User Not Mapped"/>
    <s v="User Not Mapped"/>
    <n v="239986"/>
    <s v="Ketugram Thana A.M.C.S. Ltd."/>
    <s v="PACS"/>
    <s v="9734526524"/>
    <n v="19"/>
    <n v="574"/>
    <x v="7"/>
    <m/>
    <s v="2024-09-30"/>
    <s v="1391279"/>
    <s v="M/s. Lokenath Enterprise"/>
    <s v="9474550617"/>
  </r>
  <r>
    <s v="RCF Import"/>
    <s v="Imp 10-26-26"/>
    <s v="WB"/>
    <x v="4"/>
    <s v="Ketugram - I"/>
    <s v="User Not Mapped"/>
    <s v="User Not Mapped"/>
    <s v="User Not Mapped"/>
    <n v="343977"/>
    <s v="M/s. Mirazul Haque"/>
    <s v="Private Retailer"/>
    <s v="9734789393"/>
    <n v="8"/>
    <n v="56"/>
    <x v="1"/>
    <m/>
    <s v="2026-03-02"/>
    <s v="261727"/>
    <s v="Sibnath Dawn"/>
    <s v="9002133663"/>
  </r>
  <r>
    <s v="RCF Import"/>
    <s v="Imp 10-26-26"/>
    <s v="WB"/>
    <x v="4"/>
    <s v="Ketugram - II"/>
    <s v="User Not Mapped"/>
    <s v="User Not Mapped"/>
    <s v="User Not Mapped"/>
    <n v="353726"/>
    <s v="Buddhadeb Mondal"/>
    <s v="Private Retailer"/>
    <s v="9564284149"/>
    <n v="3.6"/>
    <n v="62"/>
    <x v="2"/>
    <m/>
    <s v="2026-02-24"/>
    <s v="261730"/>
    <s v="M/s. S.Sikdar and Co."/>
    <s v="9064141714"/>
  </r>
  <r>
    <s v="RCF Import"/>
    <s v="MOP"/>
    <s v="WB"/>
    <x v="4"/>
    <s v="Ketugram - II"/>
    <s v="User Not Mapped"/>
    <s v="User Not Mapped"/>
    <s v="User Not Mapped"/>
    <n v="353726"/>
    <s v="Buddhadeb Mondal"/>
    <s v="Private Retailer"/>
    <s v="9564284149"/>
    <n v="0.6"/>
    <n v="67"/>
    <x v="2"/>
    <m/>
    <s v="2026-02-19"/>
    <s v="261730"/>
    <s v="M/s. S.Sikdar and Co."/>
    <s v="9064141714"/>
  </r>
  <r>
    <s v="RCF Import"/>
    <s v="Imp 10-26-26"/>
    <s v="WB"/>
    <x v="4"/>
    <s v="Khandaghosh"/>
    <s v="User Not Mapped"/>
    <s v="User Not Mapped"/>
    <s v="User Not Mapped"/>
    <n v="411107"/>
    <s v="M/s Sawkat Ali Mondal"/>
    <s v="Private Retailer"/>
    <s v="9735195774"/>
    <n v="2"/>
    <n v="163"/>
    <x v="0"/>
    <m/>
    <s v="2025-11-15"/>
    <s v="1297965"/>
    <s v="M/S MONDAL ENTERPRISE"/>
    <s v="8620027376"/>
  </r>
  <r>
    <s v="RCF Trombay"/>
    <s v="15-15-15"/>
    <s v="WB"/>
    <x v="4"/>
    <s v="Khandaghosh"/>
    <s v="User Not Mapped"/>
    <s v="User Not Mapped"/>
    <s v="User Not Mapped"/>
    <n v="611422"/>
    <s v="ASROF ALI MONDAL"/>
    <s v="Private Retailer"/>
    <s v="9434839283"/>
    <n v="4"/>
    <n v="248"/>
    <x v="3"/>
    <m/>
    <s v="2025-08-22"/>
    <s v="1297965"/>
    <s v="M/S MONDAL ENTERPRISE"/>
    <s v="8620027376"/>
  </r>
  <r>
    <s v="RCF Import"/>
    <s v="MOP"/>
    <s v="WB"/>
    <x v="4"/>
    <s v="Khandaghosh"/>
    <s v="User Not Mapped"/>
    <s v="User Not Mapped"/>
    <s v="User Not Mapped"/>
    <n v="611422"/>
    <s v="ASROF ALI MONDAL"/>
    <s v="Private Retailer"/>
    <s v="9434839283"/>
    <n v="2.5"/>
    <n v="433"/>
    <x v="6"/>
    <m/>
    <s v="2025-02-18"/>
    <s v="1297965"/>
    <s v="M/S MONDAL ENTERPRISE"/>
    <s v="8620027376"/>
  </r>
  <r>
    <s v="RCF Thal"/>
    <s v="N.C.Urea(45kg)"/>
    <s v="WB"/>
    <x v="4"/>
    <s v="Khandaghosh"/>
    <s v="User Not Mapped"/>
    <s v="User Not Mapped"/>
    <s v="User Not Mapped"/>
    <n v="611428"/>
    <s v="MOLLA NIYAJUL ISLAM"/>
    <s v="Private Retailer"/>
    <s v="9734784119"/>
    <n v="2.5000000000000001E-2"/>
    <n v="215"/>
    <x v="3"/>
    <m/>
    <s v="2025-09-24"/>
    <s v="1297965"/>
    <s v="M/S MONDAL ENTERPRISE"/>
    <s v="8620027376"/>
  </r>
  <r>
    <s v="RCF Thal"/>
    <s v="N.C.Urea(45kg)"/>
    <s v="WB"/>
    <x v="4"/>
    <s v="Khandaghosh"/>
    <s v="User Not Mapped"/>
    <s v="User Not Mapped"/>
    <s v="User Not Mapped"/>
    <n v="615991"/>
    <s v="Sk Mofijul Haque"/>
    <s v="Private Retailer"/>
    <s v="7407966849"/>
    <n v="5.0000000000000001E-3"/>
    <n v="230"/>
    <x v="3"/>
    <m/>
    <s v="2025-09-09"/>
    <s v="1297965"/>
    <s v="M/S MONDAL ENTERPRISE"/>
    <s v="8620027376"/>
  </r>
  <r>
    <s v="RCF Thal"/>
    <s v="N.C.Urea(45kg)"/>
    <s v="WB"/>
    <x v="4"/>
    <s v="Khandaghosh"/>
    <s v="User Not Mapped"/>
    <s v="User Not Mapped"/>
    <s v="User Not Mapped"/>
    <n v="882161"/>
    <s v="CHIRANJIT GHOSH"/>
    <s v="Private Retailer"/>
    <s v="8001696204"/>
    <n v="2.3849999999999998"/>
    <n v="239"/>
    <x v="3"/>
    <m/>
    <s v="2025-08-31"/>
    <s v="921423"/>
    <s v="M/s. Mirza Md Manik"/>
    <s v="6297462482"/>
  </r>
  <r>
    <s v="RCF Thal"/>
    <s v="N.C.Urea(45kg)"/>
    <s v="WB"/>
    <x v="4"/>
    <s v="Khandaghosh"/>
    <s v="User Not Mapped"/>
    <s v="User Not Mapped"/>
    <s v="User Not Mapped"/>
    <n v="1502182"/>
    <s v="Ghosh Krishi Bhandar"/>
    <s v="Private Retailer"/>
    <s v="8250431736"/>
    <n v="1.35"/>
    <n v="248"/>
    <x v="3"/>
    <m/>
    <s v="2025-08-22"/>
    <s v="1297965"/>
    <s v="M/S MONDAL ENTERPRISE"/>
    <s v="8620027376"/>
  </r>
  <r>
    <s v="RCF Import"/>
    <s v="MOP"/>
    <s v="WB"/>
    <x v="4"/>
    <s v="Khandaghosh"/>
    <s v="User Not Mapped"/>
    <s v="User Not Mapped"/>
    <s v="User Not Mapped"/>
    <n v="1507105"/>
    <s v="Middya Enterprise"/>
    <s v="Private Retailer"/>
    <s v="6295728672"/>
    <n v="0.5"/>
    <n v="432"/>
    <x v="6"/>
    <m/>
    <s v="2025-02-19"/>
    <s v="1297965"/>
    <s v="M/S MONDAL ENTERPRISE"/>
    <s v="8620027376"/>
  </r>
  <r>
    <s v="RCF Thal"/>
    <s v="N.C.Urea(45kg)"/>
    <s v="WB"/>
    <x v="4"/>
    <s v="Mangolkote"/>
    <s v="User Not Mapped"/>
    <s v="User Not Mapped"/>
    <s v="User Not Mapped"/>
    <n v="343916"/>
    <s v="Asim  Mondal"/>
    <s v="Private Retailer"/>
    <s v="9474173848"/>
    <n v="5.9850000000000003"/>
    <n v="18"/>
    <x v="4"/>
    <m/>
    <s v="2026-04-09"/>
    <s v="261730"/>
    <s v="M/s. S.Sikdar and Co."/>
    <s v="9064141714"/>
  </r>
  <r>
    <s v="RCF Import"/>
    <s v="Imp 10-26-26"/>
    <s v="WB"/>
    <x v="4"/>
    <s v="Mangolkote"/>
    <s v="User Not Mapped"/>
    <s v="User Not Mapped"/>
    <s v="User Not Mapped"/>
    <n v="610719"/>
    <s v="M/s. Subhendu Kundu"/>
    <s v="Private Retailer"/>
    <s v="7908901130"/>
    <n v="6"/>
    <n v="62"/>
    <x v="2"/>
    <m/>
    <s v="2026-02-24"/>
    <s v="261730"/>
    <s v="M/s. S.Sikdar and Co."/>
    <s v="9064141714"/>
  </r>
  <r>
    <s v="RCF Trombay"/>
    <s v="N.C.Urea(45kg)"/>
    <s v="WB"/>
    <x v="4"/>
    <s v="Mangolkote"/>
    <s v="User Not Mapped"/>
    <s v="User Not Mapped"/>
    <s v="User Not Mapped"/>
    <n v="610719"/>
    <s v="M/s. Subhendu Kundu"/>
    <s v="Private Retailer"/>
    <s v="7908901130"/>
    <n v="3.33"/>
    <n v="97"/>
    <x v="5"/>
    <m/>
    <s v="2026-01-20"/>
    <s v="261730"/>
    <s v="M/s. S.Sikdar and Co."/>
    <s v="9064141714"/>
  </r>
  <r>
    <s v="RCF Thal"/>
    <s v="N.C.Urea(45kg)"/>
    <s v="WB"/>
    <x v="4"/>
    <s v="Mangolkote"/>
    <s v="User Not Mapped"/>
    <s v="User Not Mapped"/>
    <s v="User Not Mapped"/>
    <n v="610719"/>
    <s v="M/s. Subhendu Kundu"/>
    <s v="Private Retailer"/>
    <s v="7908901130"/>
    <n v="5.9850000000000003"/>
    <n v="76"/>
    <x v="2"/>
    <m/>
    <s v="2026-02-10"/>
    <s v="261730"/>
    <s v="M/s. S.Sikdar and Co."/>
    <s v="9064141714"/>
  </r>
  <r>
    <s v="RCF Import"/>
    <s v="MOP"/>
    <s v="WB"/>
    <x v="4"/>
    <s v="Mangolkote"/>
    <s v="User Not Mapped"/>
    <s v="User Not Mapped"/>
    <s v="User Not Mapped"/>
    <n v="682647"/>
    <s v="Md. Tipu Choudhury"/>
    <s v="Private Retailer"/>
    <s v="9734114332"/>
    <n v="0.75"/>
    <n v="419"/>
    <x v="6"/>
    <m/>
    <s v="2025-03-04"/>
    <s v="221301"/>
    <s v="M/s. Mahadeb Saha and Co."/>
    <s v="9434252325"/>
  </r>
  <r>
    <s v="RCF Trombay"/>
    <s v="15-15-15"/>
    <s v="WB"/>
    <x v="4"/>
    <s v="Mangolkote"/>
    <s v="User Not Mapped"/>
    <s v="User Not Mapped"/>
    <s v="User Not Mapped"/>
    <n v="1435892"/>
    <s v="SOURENDRA NATH MONDAL"/>
    <s v="Private Retailer"/>
    <s v="7872608612"/>
    <n v="5"/>
    <n v="68"/>
    <x v="2"/>
    <m/>
    <s v="2026-02-18"/>
    <s v="1024474"/>
    <s v="M/S SOUMEN LAHA"/>
    <s v="7679682894"/>
  </r>
  <r>
    <s v="RCF Import"/>
    <s v="MOP"/>
    <s v="WB"/>
    <x v="4"/>
    <s v="Mangolkote"/>
    <s v="User Not Mapped"/>
    <s v="User Not Mapped"/>
    <s v="User Not Mapped"/>
    <n v="1557374"/>
    <s v="Sri Krishna Krishi Kalyan"/>
    <s v="Private Retailer"/>
    <s v="7047227692"/>
    <n v="3"/>
    <n v="67"/>
    <x v="2"/>
    <m/>
    <s v="2026-02-19"/>
    <s v="261730"/>
    <s v="M/s. S.Sikdar and Co."/>
    <s v="9064141714"/>
  </r>
  <r>
    <s v="RCF Trombay"/>
    <s v="15-15-15"/>
    <s v="WB"/>
    <x v="4"/>
    <s v="Mangolkote"/>
    <s v="User Not Mapped"/>
    <s v="User Not Mapped"/>
    <s v="User Not Mapped"/>
    <n v="1557374"/>
    <s v="Sri Krishna Krishi Kalyan"/>
    <s v="Private Retailer"/>
    <s v="7047227692"/>
    <n v="1.5"/>
    <n v="79"/>
    <x v="2"/>
    <m/>
    <s v="2026-02-07"/>
    <s v="261730"/>
    <s v="M/s. S.Sikdar and Co."/>
    <s v="9064141714"/>
  </r>
  <r>
    <s v="RCF Trombay"/>
    <s v="15-15-15"/>
    <s v="WB"/>
    <x v="4"/>
    <s v="Mangolkote"/>
    <s v="User Not Mapped"/>
    <s v="User Not Mapped"/>
    <s v="User Not Mapped"/>
    <n v="1557374"/>
    <s v="Sri Krishna Krishi Kalyan"/>
    <s v="Private Retailer"/>
    <s v="7047227692"/>
    <n v="5"/>
    <n v="56"/>
    <x v="1"/>
    <m/>
    <s v="2026-03-02"/>
    <s v="261730"/>
    <s v="M/s. S.Sikdar and Co."/>
    <s v="9064141714"/>
  </r>
  <r>
    <s v="RCF Trombay"/>
    <s v="15-15-15"/>
    <s v="WB"/>
    <x v="4"/>
    <s v="Manteswar"/>
    <s v="User Not Mapped"/>
    <s v="User Not Mapped"/>
    <s v="User Not Mapped"/>
    <n v="304916"/>
    <s v="Susanta Kumar Mandal"/>
    <s v="Private Retailer"/>
    <s v="9735143255"/>
    <n v="12"/>
    <n v="89"/>
    <x v="2"/>
    <m/>
    <s v="2026-01-28"/>
    <s v="261689"/>
    <s v="M/s. Bimal Kumar Laha"/>
    <s v="9434133803"/>
  </r>
  <r>
    <s v="RCF Trombay"/>
    <s v="N.C.Urea(45kg)"/>
    <s v="WB"/>
    <x v="4"/>
    <s v="Manteswar"/>
    <s v="User Not Mapped"/>
    <s v="User Not Mapped"/>
    <s v="User Not Mapped"/>
    <n v="304916"/>
    <s v="Susanta Kumar Mandal"/>
    <s v="Private Retailer"/>
    <s v="9735143255"/>
    <n v="1.89"/>
    <n v="226"/>
    <x v="3"/>
    <m/>
    <s v="2025-09-13"/>
    <s v="261689"/>
    <s v="M/s. Bimal Kumar Laha"/>
    <s v="9434133803"/>
  </r>
  <r>
    <s v="RCF Thal"/>
    <s v="N.C.Urea(45kg)"/>
    <s v="WB"/>
    <x v="4"/>
    <s v="Manteswar"/>
    <s v="User Not Mapped"/>
    <s v="User Not Mapped"/>
    <s v="User Not Mapped"/>
    <n v="304916"/>
    <s v="Susanta Kumar Mandal"/>
    <s v="Private Retailer"/>
    <s v="9735143255"/>
    <n v="11.97"/>
    <n v="74"/>
    <x v="2"/>
    <m/>
    <s v="2026-02-12"/>
    <s v="261689"/>
    <s v="M/s. Bimal Kumar Laha"/>
    <s v="9434133803"/>
  </r>
  <r>
    <s v="RCF Thal"/>
    <s v="N.C.Urea(45kg)"/>
    <s v="WB"/>
    <x v="4"/>
    <s v="Manteswar"/>
    <s v="User Not Mapped"/>
    <s v="User Not Mapped"/>
    <s v="User Not Mapped"/>
    <n v="304916"/>
    <s v="Susanta Kumar Mandal"/>
    <s v="Private Retailer"/>
    <s v="9735143255"/>
    <n v="9.9"/>
    <n v="104"/>
    <x v="5"/>
    <m/>
    <s v="2026-01-13"/>
    <s v="261689"/>
    <s v="M/s. Bimal Kumar Laha"/>
    <s v="9434133803"/>
  </r>
  <r>
    <s v="RCF Thal"/>
    <s v="N.C.Urea(45kg)"/>
    <s v="WB"/>
    <x v="4"/>
    <s v="Manteswar"/>
    <s v="User Not Mapped"/>
    <s v="User Not Mapped"/>
    <s v="User Not Mapped"/>
    <n v="304916"/>
    <s v="Susanta Kumar Mandal"/>
    <s v="Private Retailer"/>
    <s v="9735143255"/>
    <n v="9.9"/>
    <n v="89"/>
    <x v="2"/>
    <m/>
    <s v="2026-01-28"/>
    <s v="261689"/>
    <s v="M/s. Bimal Kumar Laha"/>
    <s v="9434133803"/>
  </r>
  <r>
    <s v="RCF Thal"/>
    <s v="N.C.Urea(45kg)"/>
    <s v="WB"/>
    <x v="4"/>
    <s v="Manteswar"/>
    <s v="User Not Mapped"/>
    <s v="User Not Mapped"/>
    <s v="User Not Mapped"/>
    <n v="304916"/>
    <s v="Susanta Kumar Mandal"/>
    <s v="Private Retailer"/>
    <s v="9735143255"/>
    <n v="7.65"/>
    <n v="243"/>
    <x v="3"/>
    <m/>
    <s v="2025-08-27"/>
    <s v="261689"/>
    <s v="M/s. Bimal Kumar Laha"/>
    <s v="9434133803"/>
  </r>
  <r>
    <s v="RCF Thal"/>
    <s v="N.C.Urea(45kg)"/>
    <s v="WB"/>
    <x v="4"/>
    <s v="Manteswar"/>
    <s v="User Not Mapped"/>
    <s v="User Not Mapped"/>
    <s v="User Not Mapped"/>
    <n v="340145"/>
    <s v="M/s. Tarak Nath Krishi Bhandar"/>
    <s v="Private Retailer"/>
    <s v="9734710603"/>
    <n v="0.13500000000000001"/>
    <n v="75"/>
    <x v="2"/>
    <m/>
    <s v="2026-02-11"/>
    <s v="1094187"/>
    <s v="M/S SUMANTA GARAI"/>
    <s v="9647950503"/>
  </r>
  <r>
    <s v="RCF Thal"/>
    <s v="N.C.Urea(45kg)"/>
    <s v="WB"/>
    <x v="4"/>
    <s v="Manteswar"/>
    <s v="User Not Mapped"/>
    <s v="User Not Mapped"/>
    <s v="User Not Mapped"/>
    <n v="353760"/>
    <s v="M/s. Partha Ghosh"/>
    <s v="Private Retailer"/>
    <s v="9475412106"/>
    <n v="0.495"/>
    <n v="254"/>
    <x v="3"/>
    <m/>
    <s v="2025-08-16"/>
    <s v="261704"/>
    <s v="M/s. Kiran Sankar Ray"/>
    <s v="8250469811"/>
  </r>
  <r>
    <s v="RCF Trombay"/>
    <s v="N.C.Urea(45kg)"/>
    <s v="WB"/>
    <x v="4"/>
    <s v="Manteswar"/>
    <s v="User Not Mapped"/>
    <s v="User Not Mapped"/>
    <s v="User Not Mapped"/>
    <n v="642062"/>
    <s v="Mondal Fertilizer"/>
    <s v="Private Retailer"/>
    <s v="9732375975"/>
    <n v="3.8250000000000002"/>
    <n v="431"/>
    <x v="6"/>
    <m/>
    <s v="2025-02-20"/>
    <s v="261730"/>
    <s v="M/s. S.Sikdar and Co."/>
    <s v="9064141714"/>
  </r>
  <r>
    <s v="RCF Thal"/>
    <s v="N.C.Urea(45kg)"/>
    <s v="WB"/>
    <x v="4"/>
    <s v="Manteswar"/>
    <s v="User Not Mapped"/>
    <s v="User Not Mapped"/>
    <s v="User Not Mapped"/>
    <n v="642271"/>
    <s v="M/S KABIR HOSSAIN KHAN"/>
    <s v="Private Retailer"/>
    <s v="9800483413"/>
    <n v="0.68500000000000005"/>
    <n v="550"/>
    <x v="7"/>
    <m/>
    <s v="2024-10-24"/>
    <s v="893003"/>
    <s v="KABIR HOSSAIN KHAN"/>
    <s v="8159834818"/>
  </r>
  <r>
    <s v="RCF Thal"/>
    <s v="N.C.Urea(45kg)"/>
    <s v="WB"/>
    <x v="4"/>
    <s v="Manteswar"/>
    <s v="User Not Mapped"/>
    <s v="User Not Mapped"/>
    <s v="User Not Mapped"/>
    <n v="642279"/>
    <s v="M/S SAHAJAMAL MALLICK"/>
    <s v="Private Retailer"/>
    <s v="9734765479"/>
    <n v="6.39"/>
    <n v="244"/>
    <x v="3"/>
    <m/>
    <s v="2025-08-26"/>
    <s v="1297965"/>
    <s v="M/S MONDAL ENTERPRISE"/>
    <s v="8620027376"/>
  </r>
  <r>
    <s v="RCF Import"/>
    <s v="MOP"/>
    <s v="WB"/>
    <x v="4"/>
    <s v="Manteswar"/>
    <s v="User Not Mapped"/>
    <s v="User Not Mapped"/>
    <s v="User Not Mapped"/>
    <n v="642279"/>
    <s v="M/S SAHAJAMAL MALLICK"/>
    <s v="Private Retailer"/>
    <s v="9734765479"/>
    <n v="1"/>
    <n v="429"/>
    <x v="6"/>
    <m/>
    <s v="2025-02-22"/>
    <s v="1297965"/>
    <s v="M/S MONDAL ENTERPRISE"/>
    <s v="8620027376"/>
  </r>
  <r>
    <s v="RCF Thal"/>
    <s v="N.C.Urea(45kg)"/>
    <s v="WB"/>
    <x v="4"/>
    <s v="Manteswar"/>
    <s v="User Not Mapped"/>
    <s v="User Not Mapped"/>
    <s v="User Not Mapped"/>
    <n v="744021"/>
    <s v="M/S BISWARUP NANDI"/>
    <s v="Private Retailer"/>
    <s v="9933485537"/>
    <n v="3.2850000000000001"/>
    <n v="429"/>
    <x v="6"/>
    <m/>
    <s v="2025-02-22"/>
    <s v="261714"/>
    <s v="Mukherjee Krishi Bhandar"/>
    <s v="8945050207"/>
  </r>
  <r>
    <s v="RCF Thal"/>
    <s v="N.C.Urea(45kg)"/>
    <s v="WB"/>
    <x v="4"/>
    <s v="Manteswar"/>
    <s v="User Not Mapped"/>
    <s v="User Not Mapped"/>
    <s v="User Not Mapped"/>
    <n v="1419869"/>
    <s v="M/s Subrota Mukherjee"/>
    <s v="Private Retailer"/>
    <s v="8436505448"/>
    <n v="11.97"/>
    <n v="214"/>
    <x v="3"/>
    <m/>
    <s v="2025-09-25"/>
    <s v="261683"/>
    <s v="Amadpur U.C.A.C.S. Ltd."/>
    <s v="8967854686"/>
  </r>
  <r>
    <s v="RCF Thal"/>
    <s v="N.C.Urea(45kg)"/>
    <s v="WB"/>
    <x v="4"/>
    <s v="Manteswar"/>
    <s v="User Not Mapped"/>
    <s v="User Not Mapped"/>
    <s v="User Not Mapped"/>
    <n v="1419869"/>
    <s v="M/s Subrota Mukherjee"/>
    <s v="Private Retailer"/>
    <s v="8436505448"/>
    <n v="11.97"/>
    <n v="500"/>
    <x v="6"/>
    <m/>
    <s v="2024-12-13"/>
    <s v="261683"/>
    <s v="Amadpur U.C.A.C.S. Ltd."/>
    <s v="8967854686"/>
  </r>
  <r>
    <s v="RCF Thal"/>
    <s v="N.C.Urea(45kg)"/>
    <s v="WB"/>
    <x v="4"/>
    <s v="Manteswar"/>
    <s v="User Not Mapped"/>
    <s v="User Not Mapped"/>
    <s v="User Not Mapped"/>
    <n v="1501029"/>
    <s v="Sekh Ataul Haque"/>
    <s v="Private Retailer"/>
    <s v="7001464213"/>
    <n v="9.8550000000000004"/>
    <n v="75"/>
    <x v="2"/>
    <m/>
    <s v="2026-02-11"/>
    <s v="1094187"/>
    <s v="M/S SUMANTA GARAI"/>
    <s v="9647950503"/>
  </r>
  <r>
    <s v="RCF Thal"/>
    <s v="N.C.Urea(45kg)"/>
    <s v="WB"/>
    <x v="4"/>
    <s v="Manteswar"/>
    <s v="User Not Mapped"/>
    <s v="User Not Mapped"/>
    <s v="User Not Mapped"/>
    <n v="1501029"/>
    <s v="Sekh Ataul Haque"/>
    <s v="Private Retailer"/>
    <s v="7001464213"/>
    <n v="0.9"/>
    <n v="69"/>
    <x v="2"/>
    <m/>
    <s v="2026-02-17"/>
    <s v="1094187"/>
    <s v="M/S SUMANTA GARAI"/>
    <s v="9647950503"/>
  </r>
  <r>
    <s v="RCF Thal"/>
    <s v="N.C.Urea(45kg)"/>
    <s v="WB"/>
    <x v="4"/>
    <s v="Memari - I"/>
    <s v="User Not Mapped"/>
    <s v="User Not Mapped"/>
    <s v="User Not Mapped"/>
    <n v="304879"/>
    <s v="M/s. Mahadeb Kumar"/>
    <s v="Private Retailer"/>
    <s v="8391977542"/>
    <n v="0.45"/>
    <n v="148"/>
    <x v="0"/>
    <m/>
    <s v="2025-11-30"/>
    <s v="261689"/>
    <s v="M/s. Bimal Kumar Laha"/>
    <s v="9434133803"/>
  </r>
  <r>
    <s v="RCF Thal"/>
    <s v="N.C.Urea(45kg)"/>
    <s v="WB"/>
    <x v="4"/>
    <s v="Memari - I"/>
    <s v="User Not Mapped"/>
    <s v="User Not Mapped"/>
    <s v="User Not Mapped"/>
    <n v="304888"/>
    <s v="M/S Sukdev Chatterjee"/>
    <s v="Private Retailer"/>
    <s v="9732037057"/>
    <n v="7.6050000000000004"/>
    <n v="74"/>
    <x v="2"/>
    <m/>
    <s v="2026-02-12"/>
    <s v="261689"/>
    <s v="M/s. Bimal Kumar Laha"/>
    <s v="9434133803"/>
  </r>
  <r>
    <s v="RCF Import"/>
    <s v="Imp 10-26-26"/>
    <s v="WB"/>
    <x v="4"/>
    <s v="Memari - I"/>
    <s v="User Not Mapped"/>
    <s v="User Not Mapped"/>
    <s v="User Not Mapped"/>
    <n v="353737"/>
    <s v="Hira Krishi Bhandar"/>
    <s v="Private Retailer"/>
    <s v="9732161200"/>
    <n v="3"/>
    <n v="163"/>
    <x v="0"/>
    <m/>
    <s v="2025-11-15"/>
    <s v="1297965"/>
    <s v="M/S MONDAL ENTERPRISE"/>
    <s v="8620027376"/>
  </r>
  <r>
    <s v="RCF Thal"/>
    <s v="N.C.Urea(45kg)"/>
    <s v="WB"/>
    <x v="4"/>
    <s v="Memari - I"/>
    <s v="User Not Mapped"/>
    <s v="User Not Mapped"/>
    <s v="User Not Mapped"/>
    <n v="487059"/>
    <s v="Kanan Kishore De"/>
    <s v="Private Retailer"/>
    <s v="9434673762"/>
    <n v="9.7200000000000006"/>
    <n v="154"/>
    <x v="0"/>
    <m/>
    <s v="2025-11-24"/>
    <s v="1612392"/>
    <s v="MANIK LAL PAL"/>
    <s v="8926111645"/>
  </r>
  <r>
    <s v="RCF Import"/>
    <s v="Imp 10-26-26"/>
    <s v="WB"/>
    <x v="4"/>
    <s v="Memari - I"/>
    <s v="User Not Mapped"/>
    <s v="User Not Mapped"/>
    <s v="User Not Mapped"/>
    <n v="626098"/>
    <s v="SASHIBHUSAN SAMANTA"/>
    <s v="Private Retailer"/>
    <s v="8016834305"/>
    <n v="8.15"/>
    <n v="120"/>
    <x v="5"/>
    <m/>
    <s v="2025-12-28"/>
    <s v="261689"/>
    <s v="M/s. Bimal Kumar Laha"/>
    <s v="9434133803"/>
  </r>
  <r>
    <s v="RCF Thal"/>
    <s v="N.C.Urea(45kg)"/>
    <s v="WB"/>
    <x v="4"/>
    <s v="Memari - I"/>
    <s v="User Not Mapped"/>
    <s v="User Not Mapped"/>
    <s v="User Not Mapped"/>
    <n v="656064"/>
    <s v="BIJOYA GHOSH"/>
    <s v="Private Retailer"/>
    <s v="9475800828"/>
    <n v="2.1150000000000002"/>
    <n v="152"/>
    <x v="0"/>
    <m/>
    <s v="2025-11-26"/>
    <s v="261689"/>
    <s v="M/s. Bimal Kumar Laha"/>
    <s v="9434133803"/>
  </r>
  <r>
    <s v="RCF Import"/>
    <s v="Imp 10-26-26"/>
    <s v="WB"/>
    <x v="4"/>
    <s v="Memari - I"/>
    <s v="User Not Mapped"/>
    <s v="User Not Mapped"/>
    <s v="User Not Mapped"/>
    <n v="656182"/>
    <s v="M/s. Basudev Chakraborty"/>
    <s v="Private Retailer"/>
    <s v="9609644628"/>
    <n v="24"/>
    <n v="117"/>
    <x v="5"/>
    <m/>
    <s v="2025-12-31"/>
    <s v="261689"/>
    <s v="M/s. Bimal Kumar Laha"/>
    <s v="9434133803"/>
  </r>
  <r>
    <s v="RCF Import"/>
    <s v="Imp 10-26-26"/>
    <s v="WB"/>
    <x v="4"/>
    <s v="Memari - I"/>
    <s v="User Not Mapped"/>
    <s v="User Not Mapped"/>
    <s v="User Not Mapped"/>
    <n v="656182"/>
    <s v="M/s. Basudev Chakraborty"/>
    <s v="Private Retailer"/>
    <s v="9609644628"/>
    <n v="3.25"/>
    <n v="148"/>
    <x v="0"/>
    <m/>
    <s v="2025-11-30"/>
    <s v="261689"/>
    <s v="M/s. Bimal Kumar Laha"/>
    <s v="9434133803"/>
  </r>
  <r>
    <s v="RCF Import"/>
    <s v="Imp 10-26-26"/>
    <s v="WB"/>
    <x v="4"/>
    <s v="Memari - I"/>
    <s v="User Not Mapped"/>
    <s v="User Not Mapped"/>
    <s v="User Not Mapped"/>
    <n v="656182"/>
    <s v="M/s. Basudev Chakraborty"/>
    <s v="Private Retailer"/>
    <s v="9609644628"/>
    <n v="15"/>
    <n v="141"/>
    <x v="0"/>
    <m/>
    <s v="2025-12-07"/>
    <s v="261689"/>
    <s v="M/s. Bimal Kumar Laha"/>
    <s v="9434133803"/>
  </r>
  <r>
    <s v="RCF Trombay"/>
    <s v="15-15-15"/>
    <s v="WB"/>
    <x v="4"/>
    <s v="Memari - II"/>
    <s v="User Not Mapped"/>
    <s v="User Not Mapped"/>
    <s v="User Not Mapped"/>
    <n v="1435894"/>
    <s v="M/s. Krishi Pragati"/>
    <s v="Private Retailer"/>
    <s v="9735178123"/>
    <n v="0.75"/>
    <n v="251"/>
    <x v="3"/>
    <m/>
    <s v="2025-08-19"/>
    <s v="261683"/>
    <s v="Amadpur U.C.A.C.S. Ltd."/>
    <s v="8967854686"/>
  </r>
  <r>
    <s v="RCF Thal"/>
    <s v="N.C.Urea(45kg)"/>
    <s v="WB"/>
    <x v="4"/>
    <s v="Memari - II"/>
    <s v="User Not Mapped"/>
    <s v="User Not Mapped"/>
    <s v="User Not Mapped"/>
    <n v="1615180"/>
    <s v="Krishi Ghar"/>
    <s v="Private Retailer"/>
    <s v="8637378913"/>
    <n v="6.57"/>
    <n v="74"/>
    <x v="2"/>
    <m/>
    <s v="2026-02-12"/>
    <s v="1019561"/>
    <s v=" BARABAINAN U.C.A.C.S LTD"/>
    <s v="9933916095"/>
  </r>
  <r>
    <s v="RCF Trombay"/>
    <s v="15-15-15"/>
    <s v="WB"/>
    <x v="4"/>
    <s v="Purbasthali - I"/>
    <s v="User Not Mapped"/>
    <s v="User Not Mapped"/>
    <s v="User Not Mapped"/>
    <n v="261674"/>
    <s v="Nurul Islam Sk"/>
    <s v="Private Retailer"/>
    <s v="9933138715"/>
    <n v="0.05"/>
    <n v="131"/>
    <x v="0"/>
    <m/>
    <s v="2025-12-17"/>
    <s v="261689"/>
    <s v="M/s. Bimal Kumar Laha"/>
    <s v="9434133803"/>
  </r>
  <r>
    <s v="RCF Import"/>
    <s v="Imp 10-26-26"/>
    <s v="WB"/>
    <x v="4"/>
    <s v="Purbasthali - I"/>
    <s v="User Not Mapped"/>
    <s v="User Not Mapped"/>
    <s v="User Not Mapped"/>
    <n v="408086"/>
    <s v="Mahima Krishi Bhander"/>
    <s v="Private Retailer"/>
    <s v="9474739469"/>
    <n v="5"/>
    <n v="62"/>
    <x v="2"/>
    <m/>
    <s v="2026-02-24"/>
    <s v="261730"/>
    <s v="M/s. S.Sikdar and Co."/>
    <s v="9064141714"/>
  </r>
  <r>
    <s v="RCF Trombay"/>
    <s v="15-15-15"/>
    <s v="WB"/>
    <x v="4"/>
    <s v="Purbasthali - I"/>
    <s v="User Not Mapped"/>
    <s v="User Not Mapped"/>
    <s v="User Not Mapped"/>
    <n v="639000"/>
    <s v="DOLKRISHNA BHATTACHARYYA"/>
    <s v="Private Retailer"/>
    <s v="6295471968"/>
    <n v="2.5"/>
    <n v="58"/>
    <x v="1"/>
    <m/>
    <s v="2026-02-28"/>
    <s v="1094187"/>
    <s v="M/S SUMANTA GARAI"/>
    <s v="9647950503"/>
  </r>
  <r>
    <s v="RCF Thal"/>
    <s v="N.C.Urea(45kg)"/>
    <s v="WB"/>
    <x v="4"/>
    <s v="Purbasthali - I"/>
    <s v="User Not Mapped"/>
    <s v="User Not Mapped"/>
    <s v="User Not Mapped"/>
    <n v="639779"/>
    <s v="SAMIT BHANJA DEBNATH"/>
    <s v="Private Retailer"/>
    <s v="9163471051"/>
    <n v="1.845"/>
    <n v="69"/>
    <x v="2"/>
    <m/>
    <s v="2026-02-17"/>
    <s v="1094187"/>
    <s v="M/S SUMANTA GARAI"/>
    <s v="9647950503"/>
  </r>
  <r>
    <s v="RCF Import"/>
    <s v="Imp 10-26-26"/>
    <s v="WB"/>
    <x v="4"/>
    <s v="Purbasthali - I"/>
    <s v="User Not Mapped"/>
    <s v="User Not Mapped"/>
    <s v="User Not Mapped"/>
    <n v="639791"/>
    <s v="IMDADUL MALLIK"/>
    <s v="Private Retailer"/>
    <s v="9153088183"/>
    <n v="0.15"/>
    <n v="183"/>
    <x v="3"/>
    <m/>
    <s v="2025-10-26"/>
    <s v="1156141"/>
    <s v="PRASUN DAS"/>
    <s v="9564391014"/>
  </r>
  <r>
    <s v="RCF Import"/>
    <s v="Imp 10-26-26"/>
    <s v="WB"/>
    <x v="4"/>
    <s v="Purbasthali - I"/>
    <s v="User Not Mapped"/>
    <s v="User Not Mapped"/>
    <s v="User Not Mapped"/>
    <n v="639797"/>
    <s v="SURAT ALI SEIKH"/>
    <s v="Private Retailer"/>
    <s v="7430880020"/>
    <n v="1.5"/>
    <n v="241"/>
    <x v="3"/>
    <m/>
    <s v="2025-08-29"/>
    <s v="1156141"/>
    <s v="PRASUN DAS"/>
    <s v="9564391014"/>
  </r>
  <r>
    <s v="RCF Import"/>
    <s v="Imp 10-26-26"/>
    <s v="WB"/>
    <x v="4"/>
    <s v="Purbasthali - I"/>
    <s v="User Not Mapped"/>
    <s v="User Not Mapped"/>
    <s v="User Not Mapped"/>
    <n v="654099"/>
    <s v="M/S SHYMAL KUMAR GHOSH"/>
    <s v="Private Retailer"/>
    <s v="9733781881"/>
    <n v="11"/>
    <n v="62"/>
    <x v="2"/>
    <m/>
    <s v="2026-02-24"/>
    <s v="1612392"/>
    <s v="MANIK LAL PAL"/>
    <s v="8926111645"/>
  </r>
  <r>
    <s v="RCF Thal"/>
    <s v="N.C.Urea(45kg)"/>
    <s v="WB"/>
    <x v="4"/>
    <s v="Purbasthali - I"/>
    <s v="User Not Mapped"/>
    <s v="User Not Mapped"/>
    <s v="User Not Mapped"/>
    <n v="654147"/>
    <s v="SUBAL CHANDRA PAL"/>
    <s v="Private Retailer"/>
    <s v="6294222256"/>
    <n v="1.4850000000000001"/>
    <n v="194"/>
    <x v="3"/>
    <m/>
    <s v="2025-10-15"/>
    <s v="1156141"/>
    <s v="PRASUN DAS"/>
    <s v="9564391014"/>
  </r>
  <r>
    <s v="RCF Thal"/>
    <s v="N.C.Urea(45kg)"/>
    <s v="WB"/>
    <x v="4"/>
    <s v="Purbasthali - I"/>
    <s v="User Not Mapped"/>
    <s v="User Not Mapped"/>
    <s v="User Not Mapped"/>
    <n v="671347"/>
    <s v="ABHIJIT MONDAL"/>
    <s v="Private Retailer"/>
    <s v="9083617730"/>
    <n v="0.495"/>
    <n v="146"/>
    <x v="0"/>
    <m/>
    <s v="2025-12-02"/>
    <s v="1156141"/>
    <s v="PRASUN DAS"/>
    <s v="9564391014"/>
  </r>
  <r>
    <s v="RCF Thal"/>
    <s v="N.C.Urea(45kg)"/>
    <s v="WB"/>
    <x v="4"/>
    <s v="Purbasthali - I"/>
    <s v="User Not Mapped"/>
    <s v="User Not Mapped"/>
    <s v="User Not Mapped"/>
    <n v="767922"/>
    <s v="RAJIB SK"/>
    <s v="Private Retailer"/>
    <s v="9547895232"/>
    <n v="4.4999999999999998E-2"/>
    <n v="252"/>
    <x v="3"/>
    <m/>
    <s v="2025-08-18"/>
    <s v="1156141"/>
    <s v="PRASUN DAS"/>
    <s v="9564391014"/>
  </r>
  <r>
    <s v="RCF Thal"/>
    <s v="N.C.Urea(45kg)"/>
    <s v="WB"/>
    <x v="4"/>
    <s v="Purbasthali - I"/>
    <s v="User Not Mapped"/>
    <s v="User Not Mapped"/>
    <s v="User Not Mapped"/>
    <n v="1005178"/>
    <s v="MANIKMOY MONDAL"/>
    <s v="Private Retailer"/>
    <s v="8918016922"/>
    <n v="1.4999999999999999E-2"/>
    <n v="252"/>
    <x v="3"/>
    <m/>
    <s v="2025-08-18"/>
    <s v="1156141"/>
    <s v="PRASUN DAS"/>
    <s v="9564391014"/>
  </r>
  <r>
    <s v="RCF Trombay"/>
    <s v="15-15-15"/>
    <s v="WB"/>
    <x v="4"/>
    <s v="Purbasthali - I"/>
    <s v="User Not Mapped"/>
    <s v="User Not Mapped"/>
    <s v="User Not Mapped"/>
    <n v="1005178"/>
    <s v="MANIKMOY MONDAL"/>
    <s v="Private Retailer"/>
    <s v="8918016922"/>
    <n v="1.5"/>
    <n v="230"/>
    <x v="3"/>
    <m/>
    <s v="2025-09-09"/>
    <s v="1156141"/>
    <s v="PRASUN DAS"/>
    <s v="9564391014"/>
  </r>
  <r>
    <s v="RCF Thal"/>
    <s v="N.C.Urea(45kg)"/>
    <s v="WB"/>
    <x v="4"/>
    <s v="Purbasthali - I"/>
    <s v="User Not Mapped"/>
    <s v="User Not Mapped"/>
    <s v="User Not Mapped"/>
    <n v="1065104"/>
    <s v="BRINDABAN CHOWDHURY"/>
    <s v="Private Retailer"/>
    <s v="8642076176"/>
    <n v="1.0349999999999999"/>
    <n v="194"/>
    <x v="3"/>
    <m/>
    <s v="2025-10-15"/>
    <s v="1156141"/>
    <s v="PRASUN DAS"/>
    <s v="9564391014"/>
  </r>
  <r>
    <s v="RCF Trombay"/>
    <s v="N.C.Urea(45kg)"/>
    <s v="WB"/>
    <x v="4"/>
    <s v="Purbasthali - I"/>
    <s v="User Not Mapped"/>
    <s v="User Not Mapped"/>
    <s v="User Not Mapped"/>
    <n v="1065104"/>
    <s v="BRINDABAN CHOWDHURY"/>
    <s v="Private Retailer"/>
    <s v="8642076176"/>
    <n v="2.34"/>
    <n v="345"/>
    <x v="3"/>
    <m/>
    <s v="2025-05-17"/>
    <s v="1156141"/>
    <s v="PRASUN DAS"/>
    <s v="9564391014"/>
  </r>
  <r>
    <s v="RCF Trombay"/>
    <s v="15-15-15"/>
    <s v="WB"/>
    <x v="4"/>
    <s v="Purbasthali - II"/>
    <s v="User Not Mapped"/>
    <s v="User Not Mapped"/>
    <s v="User Not Mapped"/>
    <n v="353771"/>
    <s v="M/s. Ratan Chandra Ghosh"/>
    <s v="Private Retailer"/>
    <s v="9064338501"/>
    <n v="5.35"/>
    <n v="45"/>
    <x v="1"/>
    <m/>
    <s v="2026-03-13"/>
    <s v="1000531"/>
    <s v="SRI RATAN CHANDRA GHOSH"/>
    <s v="9064338501"/>
  </r>
  <r>
    <s v="RCF Thal"/>
    <s v="N.C.Urea(45kg)"/>
    <s v="WB"/>
    <x v="4"/>
    <s v="Purbasthali - II"/>
    <s v="User Not Mapped"/>
    <s v="User Not Mapped"/>
    <s v="User Not Mapped"/>
    <n v="633418"/>
    <s v="M/s. Sirajul Haque Mallick"/>
    <s v="Private Retailer"/>
    <s v="9093041014"/>
    <n v="3.87"/>
    <n v="154"/>
    <x v="0"/>
    <m/>
    <s v="2025-11-24"/>
    <s v="261730"/>
    <s v="M/s. S.Sikdar and Co."/>
    <s v="9064141714"/>
  </r>
  <r>
    <s v="RCF Trombay"/>
    <s v="15-15-15"/>
    <s v="WB"/>
    <x v="4"/>
    <s v="Purbasthali - II"/>
    <s v="User Not Mapped"/>
    <s v="User Not Mapped"/>
    <s v="User Not Mapped"/>
    <n v="638628"/>
    <s v="M/S SUSHIL DAS"/>
    <s v="Private Retailer"/>
    <s v="8617860678"/>
    <n v="0.8"/>
    <n v="122"/>
    <x v="0"/>
    <m/>
    <s v="2025-12-26"/>
    <s v="1000531"/>
    <s v="SRI RATAN CHANDRA GHOSH"/>
    <s v="9064338501"/>
  </r>
  <r>
    <s v="RCF Thal"/>
    <s v="N.C.Urea(45kg)"/>
    <s v="WB"/>
    <x v="4"/>
    <s v="Purbasthali - II"/>
    <s v="User Not Mapped"/>
    <s v="User Not Mapped"/>
    <s v="User Not Mapped"/>
    <n v="639429"/>
    <s v="M/S SUKDEB GHOSH"/>
    <s v="Private Retailer"/>
    <s v="9647994736"/>
    <n v="0.495"/>
    <n v="154"/>
    <x v="0"/>
    <m/>
    <s v="2025-11-24"/>
    <s v="261730"/>
    <s v="M/s. S.Sikdar and Co."/>
    <s v="9064141714"/>
  </r>
  <r>
    <s v="RCF Trombay"/>
    <s v="15-15-15"/>
    <s v="WB"/>
    <x v="4"/>
    <s v="Purbasthali - II"/>
    <s v="User Not Mapped"/>
    <s v="User Not Mapped"/>
    <s v="User Not Mapped"/>
    <n v="639439"/>
    <s v="M/S. GOUTAM SAHA"/>
    <s v="Private Retailer"/>
    <s v="9734779460"/>
    <n v="1.25"/>
    <n v="182"/>
    <x v="3"/>
    <m/>
    <s v="2025-10-27"/>
    <s v="261730"/>
    <s v="M/s. S.Sikdar and Co."/>
    <s v="9064141714"/>
  </r>
  <r>
    <s v="RCF Import"/>
    <s v="Imp 10-26-26"/>
    <s v="WB"/>
    <x v="4"/>
    <s v="Purbasthali - II"/>
    <s v="User Not Mapped"/>
    <s v="User Not Mapped"/>
    <s v="User Not Mapped"/>
    <n v="639439"/>
    <s v="M/S. GOUTAM SAHA"/>
    <s v="Private Retailer"/>
    <s v="9734779460"/>
    <n v="5"/>
    <n v="62"/>
    <x v="2"/>
    <m/>
    <s v="2026-02-24"/>
    <s v="261730"/>
    <s v="M/s. S.Sikdar and Co."/>
    <s v="9064141714"/>
  </r>
  <r>
    <s v="RCF Thal"/>
    <s v="N.C.Urea(45kg)"/>
    <s v="WB"/>
    <x v="4"/>
    <s v="Purbasthali - II"/>
    <s v="User Not Mapped"/>
    <s v="User Not Mapped"/>
    <s v="User Not Mapped"/>
    <n v="639451"/>
    <s v="NUR HASAN SHAIKH"/>
    <s v="Private Retailer"/>
    <s v="6294552007"/>
    <n v="1.4850000000000001"/>
    <n v="110"/>
    <x v="5"/>
    <m/>
    <s v="2026-01-07"/>
    <s v="261704"/>
    <s v="M/s. Kiran Sankar Ray"/>
    <s v="8250469811"/>
  </r>
  <r>
    <s v="RCF Thal"/>
    <s v="N.C.Urea(45kg)"/>
    <s v="WB"/>
    <x v="4"/>
    <s v="Purbasthali - II"/>
    <s v="User Not Mapped"/>
    <s v="User Not Mapped"/>
    <s v="User Not Mapped"/>
    <n v="1573301"/>
    <s v="Papri Ghosh"/>
    <s v="Private Retailer"/>
    <s v="8001537910"/>
    <n v="2.79"/>
    <n v="139"/>
    <x v="0"/>
    <m/>
    <s v="2025-12-09"/>
    <s v="261704"/>
    <s v="M/s. Kiran Sankar Ray"/>
    <s v="8250469811"/>
  </r>
  <r>
    <s v="RCF Thal"/>
    <s v="N.C.Urea(45kg)"/>
    <s v="WB"/>
    <x v="4"/>
    <s v="Purbasthali - II"/>
    <s v="User Not Mapped"/>
    <s v="User Not Mapped"/>
    <s v="User Not Mapped"/>
    <n v="1602952"/>
    <s v="M/s. Suman Debnath"/>
    <s v="Private Retailer"/>
    <s v="9093278725"/>
    <n v="2.52"/>
    <n v="129"/>
    <x v="0"/>
    <m/>
    <s v="2025-12-19"/>
    <s v="1094187"/>
    <s v="M/S SUMANTA GARAI"/>
    <s v="9647950503"/>
  </r>
  <r>
    <s v="RCF Trombay"/>
    <s v="15-15-15"/>
    <s v="WB"/>
    <x v="4"/>
    <s v="Raina - I"/>
    <s v="User Not Mapped"/>
    <s v="User Not Mapped"/>
    <s v="User Not Mapped"/>
    <n v="261669"/>
    <s v="Secretary Khemta SKUS Ltd"/>
    <s v="PACS"/>
    <s v="6294359924"/>
    <n v="11.1"/>
    <n v="107"/>
    <x v="5"/>
    <m/>
    <s v="2026-01-10"/>
    <s v="1569523"/>
    <s v="GHOSH KRISHI BHANDAR "/>
    <s v="7501551576"/>
  </r>
  <r>
    <s v="RCF Import"/>
    <s v="Imp 10-26-26"/>
    <s v="WB"/>
    <x v="4"/>
    <s v="Raina - I"/>
    <s v="User Not Mapped"/>
    <s v="User Not Mapped"/>
    <s v="User Not Mapped"/>
    <n v="464492"/>
    <s v="Shib Sankar Pal"/>
    <s v="Private Retailer"/>
    <s v="9474661022"/>
    <n v="5.45"/>
    <n v="57"/>
    <x v="1"/>
    <m/>
    <s v="2026-03-01"/>
    <s v="1019561"/>
    <s v=" BARABAINAN U.C.A.C.S LTD"/>
    <s v="9933916095"/>
  </r>
  <r>
    <s v="RCF Thal"/>
    <s v="N.C.Urea(45kg)"/>
    <s v="WB"/>
    <x v="4"/>
    <s v="Raina - I"/>
    <s v="User Not Mapped"/>
    <s v="User Not Mapped"/>
    <s v="User Not Mapped"/>
    <n v="464492"/>
    <s v="Shib Sankar Pal"/>
    <s v="Private Retailer"/>
    <s v="9474661022"/>
    <n v="4.59"/>
    <n v="74"/>
    <x v="2"/>
    <m/>
    <s v="2026-02-12"/>
    <s v="1019561"/>
    <s v=" BARABAINAN U.C.A.C.S LTD"/>
    <s v="9933916095"/>
  </r>
  <r>
    <s v="RCF Thal"/>
    <s v="N.C.Urea(45kg)"/>
    <s v="WB"/>
    <x v="4"/>
    <s v="Raina - I"/>
    <s v="User Not Mapped"/>
    <s v="User Not Mapped"/>
    <s v="User Not Mapped"/>
    <n v="611452"/>
    <s v="GOPAL NAGAR KRISHI BHANDAR"/>
    <s v="Private Retailer"/>
    <s v="9732376786"/>
    <n v="0.27"/>
    <n v="74"/>
    <x v="2"/>
    <m/>
    <s v="2026-02-12"/>
    <s v="1019561"/>
    <s v=" BARABAINAN U.C.A.C.S LTD"/>
    <s v="9933916095"/>
  </r>
  <r>
    <s v="RCF Import"/>
    <s v="Imp 10-26-26"/>
    <s v="WB"/>
    <x v="4"/>
    <s v="Raina - I"/>
    <s v="User Not Mapped"/>
    <s v="User Not Mapped"/>
    <s v="User Not Mapped"/>
    <n v="611452"/>
    <s v="GOPAL NAGAR KRISHI BHANDAR"/>
    <s v="Private Retailer"/>
    <s v="9732376786"/>
    <n v="6"/>
    <n v="57"/>
    <x v="1"/>
    <m/>
    <s v="2026-03-01"/>
    <s v="1019561"/>
    <s v=" BARABAINAN U.C.A.C.S LTD"/>
    <s v="9933916095"/>
  </r>
  <r>
    <s v="RCF Thal"/>
    <s v="N.C.Urea(45kg)"/>
    <s v="WB"/>
    <x v="4"/>
    <s v="Raina - I"/>
    <s v="User Not Mapped"/>
    <s v="User Not Mapped"/>
    <s v="User Not Mapped"/>
    <n v="641068"/>
    <s v="SK MOFAJJAL HOSSAIN"/>
    <s v="Private Retailer"/>
    <s v="9564908628"/>
    <n v="0.13500000000000001"/>
    <n v="433"/>
    <x v="6"/>
    <m/>
    <s v="2025-02-18"/>
    <s v="1297965"/>
    <s v="M/S MONDAL ENTERPRISE"/>
    <s v="8620027376"/>
  </r>
  <r>
    <s v="RCF Import"/>
    <s v="MOP"/>
    <s v="WB"/>
    <x v="4"/>
    <s v="Raina - I"/>
    <s v="User Not Mapped"/>
    <s v="User Not Mapped"/>
    <s v="User Not Mapped"/>
    <n v="641068"/>
    <s v="SK MOFAJJAL HOSSAIN"/>
    <s v="Private Retailer"/>
    <s v="9564908628"/>
    <n v="4"/>
    <n v="432"/>
    <x v="6"/>
    <m/>
    <s v="2025-02-19"/>
    <s v="1297965"/>
    <s v="M/S MONDAL ENTERPRISE"/>
    <s v="8620027376"/>
  </r>
  <r>
    <s v="RCF Thal"/>
    <s v="N.C.Urea(45kg)"/>
    <s v="WB"/>
    <x v="4"/>
    <s v="Raina - I"/>
    <s v="User Not Mapped"/>
    <s v="User Not Mapped"/>
    <s v="User Not Mapped"/>
    <n v="651896"/>
    <s v="SURAMAT ALI MALLIK"/>
    <s v="Private Retailer"/>
    <s v="8926529200"/>
    <n v="1.4999999999999999E-2"/>
    <n v="150"/>
    <x v="0"/>
    <m/>
    <s v="2025-11-28"/>
    <s v="1297965"/>
    <s v="M/S MONDAL ENTERPRISE"/>
    <s v="8620027376"/>
  </r>
  <r>
    <s v="RCF Thal"/>
    <s v="N.C.Urea(45kg)"/>
    <s v="WB"/>
    <x v="4"/>
    <s v="Raina - I"/>
    <s v="User Not Mapped"/>
    <s v="User Not Mapped"/>
    <s v="User Not Mapped"/>
    <n v="668598"/>
    <s v="CHANDI PRASAD DE"/>
    <s v="Private Retailer"/>
    <s v="9734739685"/>
    <n v="0.315"/>
    <n v="66"/>
    <x v="2"/>
    <m/>
    <s v="2026-02-20"/>
    <s v="261727"/>
    <s v="Sibnath Dawn"/>
    <s v="9002133663"/>
  </r>
  <r>
    <s v="RCF Trombay SCU"/>
    <s v="Sulphur Coated Urea(40Kg)"/>
    <s v="WB"/>
    <x v="4"/>
    <s v="Raina - I"/>
    <s v="User Not Mapped"/>
    <s v="User Not Mapped"/>
    <s v="User Not Mapped"/>
    <n v="859209"/>
    <s v="BORAKONA UJIRHATI S.K.U.S LTD."/>
    <s v="PACS"/>
    <s v="7797104151"/>
    <n v="5"/>
    <n v="765"/>
    <x v="7"/>
    <m/>
    <s v="2024-03-23"/>
    <s v="1019561"/>
    <s v=" BARABAINAN U.C.A.C.S LTD"/>
    <s v="9933916095"/>
  </r>
  <r>
    <s v="RCF Import"/>
    <s v="Imp 10-26-26"/>
    <s v="WB"/>
    <x v="4"/>
    <s v="Raina - I"/>
    <s v="User Not Mapped"/>
    <s v="User Not Mapped"/>
    <s v="User Not Mapped"/>
    <n v="1032215"/>
    <s v="MIRJA MANIRUL HAQUE"/>
    <s v="Private Retailer"/>
    <s v="9153121312"/>
    <n v="1.25"/>
    <n v="237"/>
    <x v="3"/>
    <m/>
    <s v="2025-09-02"/>
    <s v="1297965"/>
    <s v="M/S MONDAL ENTERPRISE"/>
    <s v="8620027376"/>
  </r>
  <r>
    <s v="RCF Thal"/>
    <s v="N.C.Urea(45kg)"/>
    <s v="WB"/>
    <x v="4"/>
    <s v="Raina - I"/>
    <s v="User Not Mapped"/>
    <s v="User Not Mapped"/>
    <s v="User Not Mapped"/>
    <n v="1032219"/>
    <s v="KAMAL KRISHNA KHAN"/>
    <s v="Private Retailer"/>
    <s v="7364895123"/>
    <n v="4.05"/>
    <n v="66"/>
    <x v="2"/>
    <m/>
    <s v="2026-02-20"/>
    <s v="261727"/>
    <s v="Sibnath Dawn"/>
    <s v="9002133663"/>
  </r>
  <r>
    <s v="RCF Trombay"/>
    <s v="N.C.Urea(45kg)"/>
    <s v="WB"/>
    <x v="4"/>
    <s v="Raina - I"/>
    <s v="User Not Mapped"/>
    <s v="User Not Mapped"/>
    <s v="User Not Mapped"/>
    <n v="1032219"/>
    <s v="KAMAL KRISHNA KHAN"/>
    <s v="Private Retailer"/>
    <s v="7364895123"/>
    <n v="0.36"/>
    <n v="112"/>
    <x v="5"/>
    <m/>
    <s v="2026-01-05"/>
    <s v="261727"/>
    <s v="Sibnath Dawn"/>
    <s v="9002133663"/>
  </r>
  <r>
    <s v="RCF Import"/>
    <s v="Imp 10-26-26"/>
    <s v="WB"/>
    <x v="4"/>
    <s v="Raina - I"/>
    <s v="User Not Mapped"/>
    <s v="User Not Mapped"/>
    <s v="User Not Mapped"/>
    <n v="1032219"/>
    <s v="KAMAL KRISHNA KHAN"/>
    <s v="Private Retailer"/>
    <s v="7364895123"/>
    <n v="6.45"/>
    <n v="56"/>
    <x v="1"/>
    <m/>
    <s v="2026-03-02"/>
    <s v="261727"/>
    <s v="Sibnath Dawn"/>
    <s v="9002133663"/>
  </r>
  <r>
    <s v="RCF Thal"/>
    <s v="N.C.Urea(45kg)"/>
    <s v="WB"/>
    <x v="4"/>
    <s v="Raina - I"/>
    <s v="User Not Mapped"/>
    <s v="User Not Mapped"/>
    <s v="User Not Mapped"/>
    <n v="1510050"/>
    <s v="Mondal Krishi Sebasadan"/>
    <s v="Private Retailer"/>
    <s v="8250609299"/>
    <n v="0.315"/>
    <n v="75"/>
    <x v="2"/>
    <m/>
    <s v="2026-02-11"/>
    <s v="1019561"/>
    <s v=" BARABAINAN U.C.A.C.S LTD"/>
    <s v="9933916095"/>
  </r>
  <r>
    <s v="RCF Import"/>
    <s v="Imp 10-26-26"/>
    <s v="WB"/>
    <x v="4"/>
    <s v="Raina - I"/>
    <s v="User Not Mapped"/>
    <s v="User Not Mapped"/>
    <s v="User Not Mapped"/>
    <n v="1559919"/>
    <s v="Sabujayan"/>
    <s v="Private Retailer"/>
    <s v="8116315961"/>
    <n v="0.1"/>
    <n v="237"/>
    <x v="3"/>
    <m/>
    <s v="2025-09-02"/>
    <s v="1297965"/>
    <s v="M/S MONDAL ENTERPRISE"/>
    <s v="8620027376"/>
  </r>
  <r>
    <s v="RCF Trombay SCU"/>
    <s v="Sulphur Coated Urea(40Kg)"/>
    <s v="WB"/>
    <x v="4"/>
    <s v="Raina - II"/>
    <s v="User Not Mapped"/>
    <s v="User Not Mapped"/>
    <s v="User Not Mapped"/>
    <n v="239904"/>
    <s v="Barabainan UCACS Ltd."/>
    <s v="PACS"/>
    <s v="9933916095"/>
    <n v="4.6399999999999997"/>
    <n v="765"/>
    <x v="7"/>
    <m/>
    <s v="2024-03-23"/>
    <s v="1019561"/>
    <s v=" BARABAINAN U.C.A.C.S LTD"/>
    <s v="9933916095"/>
  </r>
  <r>
    <s v="RCF Thal"/>
    <s v="N.C.Urea(45kg)"/>
    <s v="WB"/>
    <x v="4"/>
    <s v="Raina - II"/>
    <s v="User Not Mapped"/>
    <s v="User Not Mapped"/>
    <s v="User Not Mapped"/>
    <n v="343902"/>
    <s v="Abdulhabibhazari"/>
    <s v="Private Retailer"/>
    <s v="9732216220"/>
    <n v="0.54"/>
    <n v="75"/>
    <x v="2"/>
    <m/>
    <s v="2026-02-11"/>
    <s v="1612392"/>
    <s v="MANIK LAL PAL"/>
    <s v="8926111645"/>
  </r>
  <r>
    <s v="RCF Thal"/>
    <s v="N.C.Urea(45kg)"/>
    <s v="WB"/>
    <x v="4"/>
    <m/>
    <s v="User Not Mapped"/>
    <s v="User Not Mapped"/>
    <s v="User Not Mapped"/>
    <n v="344011"/>
    <s v="Sandip Ray"/>
    <s v="Private Retailer"/>
    <s v="9749284830"/>
    <n v="11.97"/>
    <n v="45"/>
    <x v="1"/>
    <m/>
    <s v="2026-03-13"/>
    <s v="261727"/>
    <s v="Sibnath Dawn"/>
    <s v="9002133663"/>
  </r>
  <r>
    <s v="RCF Trombay"/>
    <s v="N.C.Urea(45kg)"/>
    <s v="WB"/>
    <x v="4"/>
    <m/>
    <s v="User Not Mapped"/>
    <s v="User Not Mapped"/>
    <s v="User Not Mapped"/>
    <n v="411022"/>
    <s v="Bhuri Agro Service Center "/>
    <s v="Private Retailer"/>
    <s v="9609556410"/>
    <n v="0.02"/>
    <n v="1985"/>
    <x v="7"/>
    <m/>
    <s v="2020-11-19"/>
    <s v="1134684"/>
    <s v="Bimal Kumar Laha"/>
    <s v="9434003674"/>
  </r>
  <r>
    <s v="RCF Trombay"/>
    <s v="15-15-15"/>
    <s v="WB"/>
    <x v="4"/>
    <m/>
    <s v="User Not Mapped"/>
    <s v="User Not Mapped"/>
    <s v="User Not Mapped"/>
    <n v="427090"/>
    <s v="Rakia Begum"/>
    <s v="Private Retailer"/>
    <s v="9735772681"/>
    <n v="4.5"/>
    <n v="271"/>
    <x v="3"/>
    <m/>
    <s v="2025-07-30"/>
    <s v="261730"/>
    <s v="M/s. S.Sikdar and Co."/>
    <s v="9064141714"/>
  </r>
  <r>
    <s v="RCF Import"/>
    <s v="Imp 10-26-26"/>
    <s v="WB"/>
    <x v="4"/>
    <m/>
    <s v="User Not Mapped"/>
    <s v="User Not Mapped"/>
    <s v="User Not Mapped"/>
    <n v="427090"/>
    <s v="Rakia Begum"/>
    <s v="Private Retailer"/>
    <s v="9735772681"/>
    <n v="5"/>
    <n v="271"/>
    <x v="3"/>
    <m/>
    <s v="2025-07-30"/>
    <s v="261730"/>
    <s v="M/s. S.Sikdar and Co."/>
    <s v="9064141714"/>
  </r>
  <r>
    <s v="RCF Import"/>
    <s v="Imp 10-26-26"/>
    <s v="WB"/>
    <x v="5"/>
    <s v="Bolpur Sriniketan"/>
    <s v="User Not Mapped"/>
    <s v="User Not Mapped"/>
    <s v="User Not Mapped"/>
    <n v="489036"/>
    <s v="Sk Irsad"/>
    <s v="Private Retailer"/>
    <s v="9434633917"/>
    <n v="10"/>
    <n v="57"/>
    <x v="1"/>
    <m/>
    <s v="2026-03-01"/>
    <s v="262599"/>
    <s v="M/s. Kishan Fertilizer"/>
    <s v="9933896323"/>
  </r>
  <r>
    <s v="RCF Thal"/>
    <s v="N.C.Urea(45kg)"/>
    <s v="WB"/>
    <x v="5"/>
    <s v="Bolpur Sriniketan"/>
    <s v="User Not Mapped"/>
    <s v="User Not Mapped"/>
    <s v="User Not Mapped"/>
    <n v="489036"/>
    <s v="Sk Irsad"/>
    <s v="Private Retailer"/>
    <s v="9434633917"/>
    <n v="13.32"/>
    <n v="44"/>
    <x v="1"/>
    <m/>
    <s v="2026-03-14"/>
    <s v="262599"/>
    <s v="M/s. Kishan Fertilizer"/>
    <s v="9933896323"/>
  </r>
  <r>
    <s v="RCF Thal"/>
    <s v="N.C.Urea(45kg)"/>
    <s v="WB"/>
    <x v="5"/>
    <s v="Murarai - I"/>
    <s v="User Not Mapped"/>
    <s v="User Not Mapped"/>
    <s v="User Not Mapped"/>
    <n v="195718"/>
    <s v="Chandranath Sen"/>
    <s v="Private Retailer"/>
    <s v="9434949562"/>
    <n v="6.9749999999999996"/>
    <n v="119"/>
    <x v="5"/>
    <m/>
    <s v="2025-12-29"/>
    <s v="262599"/>
    <s v="M/s. Kishan Fertilizer"/>
    <s v="9933896323"/>
  </r>
  <r>
    <s v="RCF Thal"/>
    <s v="N.C.Urea(45kg)"/>
    <s v="WB"/>
    <x v="5"/>
    <s v="Murarai - I"/>
    <s v="User Not Mapped"/>
    <s v="User Not Mapped"/>
    <s v="User Not Mapped"/>
    <n v="195786"/>
    <s v="Md Kutubuddin Sk"/>
    <s v="Private Retailer"/>
    <s v="9932079306"/>
    <n v="7.6050000000000004"/>
    <n v="118"/>
    <x v="5"/>
    <m/>
    <s v="2025-12-30"/>
    <s v="221827"/>
    <s v="Sree Maa Fertilizer"/>
    <s v="7063506552"/>
  </r>
  <r>
    <s v="RCF Thal"/>
    <s v="N.C.Urea(45kg)"/>
    <s v="WB"/>
    <x v="5"/>
    <s v="Murarai - I"/>
    <s v="User Not Mapped"/>
    <s v="User Not Mapped"/>
    <s v="User Not Mapped"/>
    <n v="195786"/>
    <s v="Md Kutubuddin Sk"/>
    <s v="Private Retailer"/>
    <s v="9932079306"/>
    <n v="10"/>
    <n v="118"/>
    <x v="5"/>
    <m/>
    <s v="2025-12-30"/>
    <s v="221829"/>
    <s v="B R Datta"/>
    <s v="9434172426"/>
  </r>
  <r>
    <s v="RCF Thal"/>
    <s v="N.C.Urea(45kg)"/>
    <s v="WB"/>
    <x v="5"/>
    <s v="Murarai - I"/>
    <s v="User Not Mapped"/>
    <s v="User Not Mapped"/>
    <s v="User Not Mapped"/>
    <n v="353933"/>
    <s v="Sushil Kumar Bhakat"/>
    <s v="Private Retailer"/>
    <s v="9932305391"/>
    <n v="7.5149999999999997"/>
    <n v="118"/>
    <x v="5"/>
    <m/>
    <s v="2025-12-30"/>
    <s v="262599"/>
    <s v="M/s. Kishan Fertilizer"/>
    <s v="9933896323"/>
  </r>
  <r>
    <s v="RCF Thal"/>
    <s v="N.C.Urea(45kg)"/>
    <s v="WB"/>
    <x v="5"/>
    <s v="Murarai - I"/>
    <s v="User Not Mapped"/>
    <s v="User Not Mapped"/>
    <s v="User Not Mapped"/>
    <n v="944420"/>
    <s v="ALAM FERTILIZER"/>
    <s v="Private Retailer"/>
    <s v="8016502477"/>
    <n v="8.1000000000000003E-2"/>
    <n v="412"/>
    <x v="6"/>
    <m/>
    <s v="2025-03-11"/>
    <s v="221835"/>
    <s v="Tapas Dutta"/>
    <s v="7908147935"/>
  </r>
  <r>
    <s v="RCF Thal"/>
    <s v="N.C.Urea(45kg)"/>
    <s v="WB"/>
    <x v="5"/>
    <s v="Murarai - I"/>
    <s v="User Not Mapped"/>
    <s v="User Not Mapped"/>
    <s v="User Not Mapped"/>
    <n v="944420"/>
    <s v="ALAM FERTILIZER"/>
    <s v="Private Retailer"/>
    <s v="8016502477"/>
    <n v="9.99"/>
    <n v="118"/>
    <x v="5"/>
    <m/>
    <s v="2025-12-30"/>
    <s v="262599"/>
    <s v="M/s. Kishan Fertilizer"/>
    <s v="9933896323"/>
  </r>
  <r>
    <s v="RCF Thal"/>
    <s v="N.C.Urea(45kg)"/>
    <s v="WB"/>
    <x v="5"/>
    <s v="Murarai - I"/>
    <s v="User Not Mapped"/>
    <s v="User Not Mapped"/>
    <s v="User Not Mapped"/>
    <n v="944456"/>
    <s v="MOTALEB MOLLA"/>
    <s v="Private Retailer"/>
    <s v="9732881182"/>
    <n v="3.69"/>
    <n v="118"/>
    <x v="5"/>
    <m/>
    <s v="2025-12-30"/>
    <s v="262599"/>
    <s v="M/s. Kishan Fertilizer"/>
    <s v="9933896323"/>
  </r>
  <r>
    <s v="RCF Thal"/>
    <s v="N.C.Urea(45kg)"/>
    <s v="WB"/>
    <x v="5"/>
    <s v="Murarai - I"/>
    <s v="User Not Mapped"/>
    <s v="User Not Mapped"/>
    <s v="User Not Mapped"/>
    <n v="1057580"/>
    <s v="RUPALI MONDAL"/>
    <s v="Private Retailer"/>
    <s v="7601909653"/>
    <n v="0.22500000000000001"/>
    <n v="118"/>
    <x v="5"/>
    <m/>
    <s v="2025-12-30"/>
    <s v="262597"/>
    <s v="M/S JOY SHANKAR DUTTA AND SONS"/>
    <s v="9433002237"/>
  </r>
  <r>
    <s v="RCF Thal"/>
    <s v="N.C.Urea(45kg)"/>
    <s v="WB"/>
    <x v="5"/>
    <s v="Murarai - I"/>
    <s v="User Not Mapped"/>
    <s v="User Not Mapped"/>
    <s v="User Not Mapped"/>
    <n v="1128020"/>
    <s v="SUKANTA DUTTA"/>
    <s v="Private Retailer"/>
    <s v="8348081225"/>
    <n v="0.01"/>
    <n v="294"/>
    <x v="3"/>
    <m/>
    <s v="2025-07-07"/>
    <s v="221827"/>
    <s v="Sree Maa Fertilizer"/>
    <s v="7063506552"/>
  </r>
  <r>
    <s v="RCF Thal"/>
    <s v="N.C.Urea(45kg)"/>
    <s v="WB"/>
    <x v="5"/>
    <s v="Murarai - I"/>
    <s v="User Not Mapped"/>
    <s v="User Not Mapped"/>
    <s v="User Not Mapped"/>
    <n v="1439105"/>
    <s v="SUDIPTA MONDAL"/>
    <s v="Private Retailer"/>
    <s v="9064080789"/>
    <n v="20.324999999999999"/>
    <n v="118"/>
    <x v="5"/>
    <m/>
    <s v="2025-12-30"/>
    <s v="221829"/>
    <s v="B R Datta"/>
    <s v="9434172426"/>
  </r>
  <r>
    <s v="RCF Thal"/>
    <s v="N.C.Urea(45kg)"/>
    <s v="WB"/>
    <x v="5"/>
    <s v="Murarai - II"/>
    <s v="User Not Mapped"/>
    <s v="User Not Mapped"/>
    <s v="User Not Mapped"/>
    <n v="1490960"/>
    <s v="JASIMUDDIN SK"/>
    <s v="Private Retailer"/>
    <s v="8346061104"/>
    <n v="6.58"/>
    <n v="118"/>
    <x v="5"/>
    <m/>
    <s v="2025-12-30"/>
    <s v="221829"/>
    <s v="B R Datta"/>
    <s v="9434172426"/>
  </r>
  <r>
    <s v="RCF Thal"/>
    <s v="N.C.Urea(45kg)"/>
    <s v="WB"/>
    <x v="5"/>
    <s v="Nalhati - I"/>
    <s v="User Not Mapped"/>
    <s v="User Not Mapped"/>
    <s v="User Not Mapped"/>
    <n v="232338"/>
    <s v="Tilok Kumar Mondal"/>
    <s v="Private Retailer"/>
    <s v="9434583530"/>
    <n v="9.5399999999999991"/>
    <n v="118"/>
    <x v="5"/>
    <m/>
    <s v="2025-12-30"/>
    <s v="262599"/>
    <s v="M/s. Kishan Fertilizer"/>
    <s v="9933896323"/>
  </r>
  <r>
    <s v="RCF Trombay"/>
    <s v="N.C.Urea(45kg)"/>
    <s v="WB"/>
    <x v="5"/>
    <s v="Nalhati - I"/>
    <s v="User Not Mapped"/>
    <s v="User Not Mapped"/>
    <s v="User Not Mapped"/>
    <n v="240514"/>
    <s v="Sultanpur Skus Ltd."/>
    <s v="State Marketing Federation"/>
    <s v="7384405804"/>
    <n v="12.015000000000001"/>
    <n v="62"/>
    <x v="2"/>
    <m/>
    <s v="2026-02-24"/>
    <s v="262599"/>
    <s v="M/s. Kishan Fertilizer"/>
    <s v="9933896323"/>
  </r>
  <r>
    <s v="RCF Thal"/>
    <s v="N.C.Urea(45kg)"/>
    <s v="WB"/>
    <x v="5"/>
    <s v="Nalhati - I"/>
    <s v="User Not Mapped"/>
    <s v="User Not Mapped"/>
    <s v="User Not Mapped"/>
    <n v="340208"/>
    <s v="Kalyan Karforma"/>
    <s v="Private Retailer"/>
    <s v="9735194833"/>
    <n v="2.7749999999999999"/>
    <n v="412"/>
    <x v="6"/>
    <m/>
    <s v="2025-03-11"/>
    <s v="221827"/>
    <s v="Sree Maa Fertilizer"/>
    <s v="7063506552"/>
  </r>
  <r>
    <s v="RCF Thal"/>
    <s v="N.C.Urea(45kg)"/>
    <s v="WB"/>
    <x v="5"/>
    <s v="Nalhati - I"/>
    <s v="User Not Mapped"/>
    <s v="User Not Mapped"/>
    <s v="User Not Mapped"/>
    <n v="340253"/>
    <s v="SAKHI GOPAL DUTTA"/>
    <s v="Private Retailer"/>
    <s v="9434835171"/>
    <n v="0.09"/>
    <n v="1244"/>
    <x v="7"/>
    <m/>
    <s v="2022-11-30"/>
    <s v="262599"/>
    <s v="M/s. Kishan Fertilizer"/>
    <s v="9933896323"/>
  </r>
  <r>
    <s v="RCF Trombay"/>
    <s v="N.C.Urea(45kg)"/>
    <s v="WB"/>
    <x v="5"/>
    <s v="Nalhati - I"/>
    <s v="User Not Mapped"/>
    <s v="User Not Mapped"/>
    <s v="User Not Mapped"/>
    <n v="340253"/>
    <s v="SAKHI GOPAL DUTTA"/>
    <s v="Private Retailer"/>
    <s v="9434835171"/>
    <n v="1.26"/>
    <n v="1426"/>
    <x v="7"/>
    <m/>
    <s v="2022-06-01"/>
    <s v="221827"/>
    <s v="Sree Maa Fertilizer"/>
    <s v="7063506552"/>
  </r>
  <r>
    <s v="RCF Thal"/>
    <s v="N.C.Urea(45kg)"/>
    <s v="WB"/>
    <x v="5"/>
    <s v="Nalhati - I"/>
    <s v="User Not Mapped"/>
    <s v="User Not Mapped"/>
    <s v="User Not Mapped"/>
    <n v="961242"/>
    <s v="GOSSAINPUR SKUS LTD"/>
    <s v="PACS"/>
    <s v="8926003685"/>
    <n v="5.13"/>
    <n v="118"/>
    <x v="5"/>
    <m/>
    <s v="2025-12-30"/>
    <s v="262599"/>
    <s v="M/s. Kishan Fertilizer"/>
    <s v="9933896323"/>
  </r>
  <r>
    <s v="RCF Trombay"/>
    <s v="N.C.Urea(45kg)"/>
    <s v="WB"/>
    <x v="5"/>
    <s v="Nalhati - I"/>
    <s v="User Not Mapped"/>
    <s v="User Not Mapped"/>
    <s v="User Not Mapped"/>
    <n v="961242"/>
    <s v="GOSSAINPUR SKUS LTD"/>
    <s v="PACS"/>
    <s v="8926003685"/>
    <n v="9.99"/>
    <n v="62"/>
    <x v="2"/>
    <m/>
    <s v="2026-02-24"/>
    <s v="262599"/>
    <s v="M/s. Kishan Fertilizer"/>
    <s v="9933896323"/>
  </r>
  <r>
    <s v="RCF Import"/>
    <s v="Imp 10-26-26"/>
    <s v="WB"/>
    <x v="5"/>
    <s v="Nalhati - I"/>
    <s v="User Not Mapped"/>
    <s v="User Not Mapped"/>
    <s v="User Not Mapped"/>
    <n v="961242"/>
    <s v="GOSSAINPUR SKUS LTD"/>
    <s v="PACS"/>
    <s v="8926003685"/>
    <n v="10"/>
    <n v="62"/>
    <x v="2"/>
    <m/>
    <s v="2026-02-24"/>
    <s v="262599"/>
    <s v="M/s. Kishan Fertilizer"/>
    <s v="9933896323"/>
  </r>
  <r>
    <s v="RCF Trombay"/>
    <s v="N.C.Urea(45kg)"/>
    <s v="WB"/>
    <x v="5"/>
    <s v="Nalhati - I"/>
    <s v="User Not Mapped"/>
    <s v="User Not Mapped"/>
    <s v="User Not Mapped"/>
    <n v="961242"/>
    <s v="GOSSAINPUR SKUS LTD"/>
    <s v="PACS"/>
    <s v="8926003685"/>
    <n v="5.7149999999999999"/>
    <n v="132"/>
    <x v="0"/>
    <m/>
    <s v="2025-12-16"/>
    <s v="262599"/>
    <s v="M/s. Kishan Fertilizer"/>
    <s v="9933896323"/>
  </r>
  <r>
    <s v="RCF Thal"/>
    <s v="N.C.Urea(45kg)"/>
    <s v="WB"/>
    <x v="5"/>
    <s v="Nalhati - II"/>
    <s v="User Not Mapped"/>
    <s v="User Not Mapped"/>
    <s v="User Not Mapped"/>
    <n v="462202"/>
    <s v="Tarun Chandra Sahu"/>
    <s v="Private Retailer"/>
    <s v="9064669772"/>
    <n v="0.18"/>
    <n v="44"/>
    <x v="1"/>
    <m/>
    <s v="2026-03-14"/>
    <s v="262599"/>
    <s v="M/s. Kishan Fertilizer"/>
    <s v="9933896323"/>
  </r>
  <r>
    <s v="RCF Trombay"/>
    <s v="N.C.Urea(45kg)"/>
    <s v="WB"/>
    <x v="5"/>
    <s v="Nalhati - II"/>
    <s v="User Not Mapped"/>
    <s v="User Not Mapped"/>
    <s v="User Not Mapped"/>
    <n v="939023"/>
    <s v="NAJEMUL HAQUE"/>
    <s v="Private Retailer"/>
    <s v="9732065540"/>
    <n v="3.645"/>
    <n v="936"/>
    <x v="7"/>
    <m/>
    <s v="2023-10-04"/>
    <s v="262599"/>
    <s v="M/s. Kishan Fertilizer"/>
    <s v="9933896323"/>
  </r>
  <r>
    <s v="RCF Trombay"/>
    <s v="N.C.Urea(45kg)"/>
    <s v="WB"/>
    <x v="5"/>
    <s v="Nalhati - II"/>
    <s v="User Not Mapped"/>
    <s v="User Not Mapped"/>
    <s v="User Not Mapped"/>
    <n v="939027"/>
    <s v="ISLAM FERTILIZER"/>
    <s v="Private Retailer"/>
    <s v="7001855934"/>
    <n v="4.1849999999999996"/>
    <n v="46"/>
    <x v="1"/>
    <m/>
    <s v="2026-03-12"/>
    <s v="262597"/>
    <s v="M/S JOY SHANKAR DUTTA AND SONS"/>
    <s v="9433002237"/>
  </r>
  <r>
    <s v="RCF Import"/>
    <s v="Imp 10-26-26"/>
    <s v="WB"/>
    <x v="5"/>
    <s v="Nanoor"/>
    <s v="User Not Mapped"/>
    <s v="User Not Mapped"/>
    <s v="User Not Mapped"/>
    <n v="1068819"/>
    <s v="Fewgram SKUS"/>
    <s v="PACS"/>
    <s v="9832726762"/>
    <n v="10"/>
    <n v="57"/>
    <x v="1"/>
    <m/>
    <s v="2026-03-01"/>
    <s v="262599"/>
    <s v="M/s. Kishan Fertilizer"/>
    <s v="9933896323"/>
  </r>
  <r>
    <s v="RCF Thal"/>
    <s v="N.C.Urea(45kg)"/>
    <s v="WB"/>
    <x v="5"/>
    <s v="Nanoor"/>
    <s v="User Not Mapped"/>
    <s v="User Not Mapped"/>
    <s v="User Not Mapped"/>
    <n v="1068819"/>
    <s v="Fewgram SKUS"/>
    <s v="PACS"/>
    <s v="9832726762"/>
    <n v="12.69"/>
    <n v="44"/>
    <x v="1"/>
    <m/>
    <s v="2026-03-14"/>
    <s v="262599"/>
    <s v="M/s. Kishan Fertilizer"/>
    <s v="9933896323"/>
  </r>
  <r>
    <s v="RCF Thal"/>
    <s v="N.C.Urea(45kg)"/>
    <s v="WB"/>
    <x v="5"/>
    <s v="Rampurhat - I"/>
    <s v="User Not Mapped"/>
    <s v="User Not Mapped"/>
    <s v="User Not Mapped"/>
    <n v="340185"/>
    <s v="B.R.Datta"/>
    <s v="Private Retailer"/>
    <s v="9547773489"/>
    <n v="30"/>
    <n v="37"/>
    <x v="1"/>
    <m/>
    <s v="2026-03-21"/>
    <s v="221829"/>
    <s v="B R Datta"/>
    <s v="9434172426"/>
  </r>
  <r>
    <s v="RCF Trombay"/>
    <s v="15-15-15"/>
    <s v="WB"/>
    <x v="5"/>
    <s v="Rampurhat - I"/>
    <s v="User Not Mapped"/>
    <s v="User Not Mapped"/>
    <s v="User Not Mapped"/>
    <n v="340185"/>
    <s v="B.R.Datta"/>
    <s v="Private Retailer"/>
    <s v="9547773489"/>
    <n v="5.7"/>
    <n v="38"/>
    <x v="1"/>
    <m/>
    <s v="2026-03-20"/>
    <s v="221829"/>
    <s v="B R Datta"/>
    <s v="9434172426"/>
  </r>
  <r>
    <s v="RCF Thal"/>
    <s v="N.C.Urea(45kg)"/>
    <s v="WB"/>
    <x v="5"/>
    <s v="Rampurhat - I"/>
    <s v="User Not Mapped"/>
    <s v="User Not Mapped"/>
    <s v="User Not Mapped"/>
    <n v="340185"/>
    <s v="B.R.Datta"/>
    <s v="Private Retailer"/>
    <s v="9547773489"/>
    <n v="15.145"/>
    <n v="38"/>
    <x v="1"/>
    <m/>
    <s v="2026-03-20"/>
    <s v="221829"/>
    <s v="B R Datta"/>
    <s v="9434172426"/>
  </r>
  <r>
    <s v="RCF Thal"/>
    <s v="N.C.Urea(45kg)"/>
    <s v="WB"/>
    <x v="5"/>
    <s v="Rampurhat - I"/>
    <s v="User Not Mapped"/>
    <s v="User Not Mapped"/>
    <s v="User Not Mapped"/>
    <n v="340185"/>
    <s v="B.R.Datta"/>
    <s v="Private Retailer"/>
    <s v="9547773489"/>
    <n v="24.47"/>
    <n v="13"/>
    <x v="4"/>
    <m/>
    <s v="2026-04-14"/>
    <s v="221829"/>
    <s v="B R Datta"/>
    <s v="9434172426"/>
  </r>
  <r>
    <s v="RCF Trombay"/>
    <s v="15-15-15"/>
    <s v="WB"/>
    <x v="5"/>
    <s v="Rampurhat - I"/>
    <s v="User Not Mapped"/>
    <s v="User Not Mapped"/>
    <s v="User Not Mapped"/>
    <n v="340185"/>
    <s v="B.R.Datta"/>
    <s v="Private Retailer"/>
    <s v="9547773489"/>
    <n v="25"/>
    <n v="13"/>
    <x v="4"/>
    <m/>
    <s v="2026-04-14"/>
    <s v="221829"/>
    <s v="B R Datta"/>
    <s v="9434172426"/>
  </r>
  <r>
    <s v="RCF Import"/>
    <s v="Imp 10-26-26"/>
    <s v="WB"/>
    <x v="5"/>
    <s v="Rampurhat - I"/>
    <s v="User Not Mapped"/>
    <s v="User Not Mapped"/>
    <s v="User Not Mapped"/>
    <n v="340185"/>
    <s v="B.R.Datta"/>
    <s v="Private Retailer"/>
    <s v="9547773489"/>
    <n v="11.65"/>
    <n v="37"/>
    <x v="1"/>
    <m/>
    <s v="2026-03-21"/>
    <s v="221829"/>
    <s v="B R Datta"/>
    <s v="9434172426"/>
  </r>
  <r>
    <s v="RCF Trombay"/>
    <s v="N.C.Urea(45kg)"/>
    <s v="WB"/>
    <x v="5"/>
    <s v="Rampurhat - I"/>
    <s v="User Not Mapped"/>
    <s v="User Not Mapped"/>
    <s v="User Not Mapped"/>
    <n v="340185"/>
    <s v="B.R.Datta"/>
    <s v="Private Retailer"/>
    <s v="9547773489"/>
    <n v="27.9"/>
    <n v="13"/>
    <x v="4"/>
    <m/>
    <s v="2026-04-14"/>
    <s v="221829"/>
    <s v="B R Datta"/>
    <s v="9434172426"/>
  </r>
  <r>
    <s v="RCF Trombay"/>
    <s v="N.C.Urea(45kg)"/>
    <s v="WB"/>
    <x v="5"/>
    <s v="Rampurhat - I"/>
    <s v="User Not Mapped"/>
    <s v="User Not Mapped"/>
    <s v="User Not Mapped"/>
    <n v="340224"/>
    <s v="MAYURAKSHI FERTILIZER"/>
    <s v="Private Retailer"/>
    <s v="9434326614"/>
    <n v="0.13500000000000001"/>
    <n v="44"/>
    <x v="1"/>
    <m/>
    <s v="2026-03-14"/>
    <s v="262599"/>
    <s v="M/s. Kishan Fertilizer"/>
    <s v="9933896323"/>
  </r>
  <r>
    <s v="RCF Trombay"/>
    <s v="N.C.Urea(45kg)"/>
    <s v="WB"/>
    <x v="5"/>
    <s v="Rampurhat - I"/>
    <s v="User Not Mapped"/>
    <s v="User Not Mapped"/>
    <s v="User Not Mapped"/>
    <n v="477213"/>
    <s v="Haranath Dutta"/>
    <s v="Private Retailer"/>
    <s v="9932491362"/>
    <n v="2.7"/>
    <n v="41"/>
    <x v="1"/>
    <m/>
    <s v="2026-03-17"/>
    <s v="221827"/>
    <s v="Sree Maa Fertilizer"/>
    <s v="7063506552"/>
  </r>
  <r>
    <s v="RCF Thal"/>
    <s v="N.C.Urea(45kg)"/>
    <s v="WB"/>
    <x v="5"/>
    <s v="Rampurhat - I"/>
    <s v="User Not Mapped"/>
    <s v="User Not Mapped"/>
    <s v="User Not Mapped"/>
    <n v="477213"/>
    <s v="Haranath Dutta"/>
    <s v="Private Retailer"/>
    <s v="9932491362"/>
    <n v="0.19"/>
    <n v="41"/>
    <x v="1"/>
    <m/>
    <s v="2026-03-17"/>
    <s v="221827"/>
    <s v="Sree Maa Fertilizer"/>
    <s v="7063506552"/>
  </r>
  <r>
    <s v="RCF Thal"/>
    <s v="N.C.Urea(45kg)"/>
    <s v="WB"/>
    <x v="5"/>
    <s v="Rampurhat - I"/>
    <s v="User Not Mapped"/>
    <s v="User Not Mapped"/>
    <s v="User Not Mapped"/>
    <n v="487942"/>
    <s v="Abdul Wadood Molla"/>
    <s v="Private Retailer"/>
    <s v="8145488790"/>
    <n v="1.585"/>
    <n v="118"/>
    <x v="5"/>
    <m/>
    <s v="2025-12-30"/>
    <s v="262597"/>
    <s v="M/S JOY SHANKAR DUTTA AND SONS"/>
    <s v="9433002237"/>
  </r>
  <r>
    <s v="RCF Thal"/>
    <s v="N.C.Urea(45kg)"/>
    <s v="WB"/>
    <x v="5"/>
    <s v="Rampurhat - I"/>
    <s v="User Not Mapped"/>
    <s v="User Not Mapped"/>
    <s v="User Not Mapped"/>
    <n v="925190"/>
    <s v="Mrinal Kanti Dutta"/>
    <s v="Private Retailer"/>
    <s v="9932112525"/>
    <n v="5.0000000000000001E-3"/>
    <n v="223"/>
    <x v="3"/>
    <m/>
    <s v="2025-09-16"/>
    <s v="221829"/>
    <s v="B R Datta"/>
    <s v="9434172426"/>
  </r>
  <r>
    <s v="RCF Import"/>
    <s v="Imp 10-26-26"/>
    <s v="WB"/>
    <x v="5"/>
    <s v="Rampurhat - I"/>
    <s v="User Not Mapped"/>
    <s v="User Not Mapped"/>
    <s v="User Not Mapped"/>
    <n v="999260"/>
    <s v="SANTOSH KUMAR MONDAL"/>
    <s v="Private Retailer"/>
    <s v="6294813232"/>
    <n v="5.3"/>
    <n v="62"/>
    <x v="2"/>
    <m/>
    <s v="2026-02-24"/>
    <s v="262599"/>
    <s v="M/s. Kishan Fertilizer"/>
    <s v="9933896323"/>
  </r>
  <r>
    <s v="RCF Trombay"/>
    <s v="N.C.Urea(45kg)"/>
    <s v="WB"/>
    <x v="5"/>
    <s v="Rampurhat - I"/>
    <s v="User Not Mapped"/>
    <s v="User Not Mapped"/>
    <s v="User Not Mapped"/>
    <n v="999260"/>
    <s v="SANTOSH KUMAR MONDAL"/>
    <s v="Private Retailer"/>
    <s v="6294813232"/>
    <n v="2.52"/>
    <n v="62"/>
    <x v="2"/>
    <m/>
    <s v="2026-02-24"/>
    <s v="262599"/>
    <s v="M/s. Kishan Fertilizer"/>
    <s v="9933896323"/>
  </r>
  <r>
    <s v="RCF Trombay"/>
    <s v="N.C.Urea(45kg)"/>
    <s v="WB"/>
    <x v="5"/>
    <s v="Rampurhat - II"/>
    <s v="User Not Mapped"/>
    <s v="User Not Mapped"/>
    <s v="User Not Mapped"/>
    <n v="477217"/>
    <s v="Baikunth Bihari Dey"/>
    <s v="Private Retailer"/>
    <s v="8926561050"/>
    <n v="1.08"/>
    <n v="91"/>
    <x v="5"/>
    <m/>
    <s v="2026-01-26"/>
    <s v="262597"/>
    <s v="M/S JOY SHANKAR DUTTA AND SONS"/>
    <s v="9433002237"/>
  </r>
  <r>
    <s v="RCF Import"/>
    <s v="Imp 10-26-26"/>
    <s v="WB"/>
    <x v="5"/>
    <s v="Rampurhat - II"/>
    <s v="User Not Mapped"/>
    <s v="User Not Mapped"/>
    <s v="User Not Mapped"/>
    <n v="949984"/>
    <s v="KALUHA SKUS LTD"/>
    <s v="PACS"/>
    <s v="9800819918"/>
    <n v="10"/>
    <n v="62"/>
    <x v="2"/>
    <m/>
    <s v="2026-02-24"/>
    <s v="262599"/>
    <s v="M/s. Kishan Fertilizer"/>
    <s v="9933896323"/>
  </r>
  <r>
    <s v="RCF Trombay"/>
    <s v="N.C.Urea(45kg)"/>
    <s v="WB"/>
    <x v="5"/>
    <s v="Rampurhat - II"/>
    <s v="User Not Mapped"/>
    <s v="User Not Mapped"/>
    <s v="User Not Mapped"/>
    <n v="949984"/>
    <s v="KALUHA SKUS LTD"/>
    <s v="PACS"/>
    <s v="9800819918"/>
    <n v="8.01"/>
    <n v="62"/>
    <x v="2"/>
    <m/>
    <s v="2026-02-24"/>
    <s v="262599"/>
    <s v="M/s. Kishan Fertilizer"/>
    <s v="9933896323"/>
  </r>
  <r>
    <s v="RCF Thal"/>
    <s v="N.C.Urea(45kg)"/>
    <s v="WB"/>
    <x v="5"/>
    <s v="Rampurhat - II"/>
    <s v="User Not Mapped"/>
    <s v="User Not Mapped"/>
    <s v="User Not Mapped"/>
    <n v="1057556"/>
    <s v="ASGAR ALI"/>
    <s v="Private Retailer"/>
    <s v="7872430495"/>
    <n v="4"/>
    <n v="39"/>
    <x v="1"/>
    <m/>
    <s v="2026-03-19"/>
    <s v="221827"/>
    <s v="Sree Maa Fertilizer"/>
    <s v="7063506552"/>
  </r>
  <r>
    <s v="RCF Thal"/>
    <s v="N.C.Urea(45kg)"/>
    <s v="WB"/>
    <x v="5"/>
    <s v="Suri - I"/>
    <s v="User Not Mapped"/>
    <s v="User Not Mapped"/>
    <s v="User Not Mapped"/>
    <n v="232249"/>
    <s v="Kishan Fertiliser"/>
    <s v="Private Retailer"/>
    <s v="9933896323"/>
    <n v="3.5000000000000003E-2"/>
    <n v="131"/>
    <x v="0"/>
    <m/>
    <s v="2025-12-17"/>
    <s v="262599"/>
    <s v="M/s. Kishan Fertilizer"/>
    <s v="9933896323"/>
  </r>
  <r>
    <s v="RCF Trombay"/>
    <s v="N.C.Urea(45kg)"/>
    <s v="WB"/>
    <x v="5"/>
    <m/>
    <s v="User Not Mapped"/>
    <s v="User Not Mapped"/>
    <s v="User Not Mapped"/>
    <n v="232273"/>
    <s v="Nityananda Sadhu"/>
    <s v="Private Retailer"/>
    <s v="9800840976"/>
    <n v="1.3049999999999999"/>
    <n v="44"/>
    <x v="1"/>
    <m/>
    <s v="2026-03-14"/>
    <s v="262599"/>
    <s v="M/s. Kishan Fertilizer"/>
    <s v="9933896323"/>
  </r>
  <r>
    <s v="RCF Thal"/>
    <s v="N.C.Urea(45kg)"/>
    <s v="WB"/>
    <x v="5"/>
    <m/>
    <s v="User Not Mapped"/>
    <s v="User Not Mapped"/>
    <s v="User Not Mapped"/>
    <n v="340202"/>
    <s v="Jahangir Hossain"/>
    <s v="Private Retailer"/>
    <s v="6294885984"/>
    <n v="12.375"/>
    <n v="31"/>
    <x v="1"/>
    <m/>
    <s v="2026-03-27"/>
    <s v="262599"/>
    <s v="M/s. Kishan Fertilizer"/>
    <s v="9933896323"/>
  </r>
  <r>
    <s v="RCF Trombay"/>
    <s v="N.C.Urea(45kg)"/>
    <s v="WB"/>
    <x v="5"/>
    <m/>
    <s v="User Not Mapped"/>
    <s v="User Not Mapped"/>
    <s v="User Not Mapped"/>
    <n v="908884"/>
    <s v="RAMPURHAT LSM COOP SOCIETY LTD"/>
    <s v="PACS"/>
    <s v="9064995547"/>
    <n v="4.4999999999999998E-2"/>
    <n v="1348"/>
    <x v="7"/>
    <m/>
    <s v="2022-08-18"/>
    <s v="262599"/>
    <s v="M/s. Kishan Fertilizer"/>
    <s v="9933896323"/>
  </r>
  <r>
    <s v="RCF Import"/>
    <s v="Imp 10-26-26"/>
    <s v="WB"/>
    <x v="5"/>
    <m/>
    <s v="User Not Mapped"/>
    <s v="User Not Mapped"/>
    <s v="User Not Mapped"/>
    <n v="1409586"/>
    <s v="SUVASISH GHOSH"/>
    <s v="Private Retailer"/>
    <s v="9635196488"/>
    <n v="10"/>
    <n v="44"/>
    <x v="1"/>
    <m/>
    <s v="2026-03-14"/>
    <s v="262599"/>
    <s v="M/s. Kishan Fertilizer"/>
    <s v="9933896323"/>
  </r>
  <r>
    <s v="RCF Thal"/>
    <s v="N.C.Urea(45kg)"/>
    <s v="WB"/>
    <x v="5"/>
    <m/>
    <s v="User Not Mapped"/>
    <s v="User Not Mapped"/>
    <s v="User Not Mapped"/>
    <n v="1409586"/>
    <s v="SUVASISH GHOSH"/>
    <s v="Private Retailer"/>
    <s v="9635196488"/>
    <n v="13.23"/>
    <n v="44"/>
    <x v="1"/>
    <m/>
    <s v="2026-03-14"/>
    <s v="262599"/>
    <s v="M/s. Kishan Fertilizer"/>
    <s v="9933896323"/>
  </r>
  <r>
    <s v="RCF Thal"/>
    <s v="N.C.Urea(45kg)"/>
    <s v="WB"/>
    <x v="6"/>
    <s v="Cooch Behar - I"/>
    <s v="User Not Mapped"/>
    <s v="User Not Mapped"/>
    <s v="User Not Mapped"/>
    <n v="228607"/>
    <s v="Dawaguri Fertilizer"/>
    <s v="Private Retailer"/>
    <s v="9474061480"/>
    <n v="0.54"/>
    <n v="53"/>
    <x v="1"/>
    <m/>
    <s v="2026-03-05"/>
    <s v="214214"/>
    <s v="Dey Banik Fertiliser  Co.    "/>
    <s v="9775801969"/>
  </r>
  <r>
    <s v="RCF Trombay"/>
    <s v="15-15-15"/>
    <s v="WB"/>
    <x v="6"/>
    <s v="Cooch Behar - I"/>
    <s v="User Not Mapped"/>
    <s v="User Not Mapped"/>
    <s v="User Not Mapped"/>
    <n v="228607"/>
    <s v="Dawaguri Fertilizer"/>
    <s v="Private Retailer"/>
    <s v="9474061480"/>
    <n v="0.25"/>
    <n v="75"/>
    <x v="2"/>
    <m/>
    <s v="2026-02-11"/>
    <s v="214214"/>
    <s v="Dey Banik Fertiliser  Co.    "/>
    <s v="9775801969"/>
  </r>
  <r>
    <s v="RCF Trombay"/>
    <s v="N.C.Urea(45kg)"/>
    <s v="WB"/>
    <x v="6"/>
    <s v="Cooch Behar - I"/>
    <s v="User Not Mapped"/>
    <s v="User Not Mapped"/>
    <s v="User Not Mapped"/>
    <n v="228666"/>
    <s v="Krishi Sopan"/>
    <s v="Private Retailer"/>
    <s v="8972542745"/>
    <n v="2.0249999999999999"/>
    <n v="77"/>
    <x v="2"/>
    <m/>
    <s v="2026-02-09"/>
    <s v="214214"/>
    <s v="Dey Banik Fertiliser  Co.    "/>
    <s v="9775801969"/>
  </r>
  <r>
    <s v="RCF Trombay"/>
    <s v="15-15-15"/>
    <s v="WB"/>
    <x v="6"/>
    <s v="Cooch Behar - I"/>
    <s v="User Not Mapped"/>
    <s v="User Not Mapped"/>
    <s v="User Not Mapped"/>
    <n v="228735"/>
    <s v="MANOBENDRA DHAR"/>
    <s v="Private Retailer"/>
    <s v="9932581676"/>
    <n v="0.75"/>
    <n v="476"/>
    <x v="6"/>
    <m/>
    <s v="2025-01-06"/>
    <s v="619180"/>
    <s v="NIRMAL ENTERPRISE"/>
    <s v="9674571163"/>
  </r>
  <r>
    <s v="RCF Thal"/>
    <s v="N.C.Urea(45kg)"/>
    <s v="WB"/>
    <x v="6"/>
    <s v="Cooch Behar - I"/>
    <s v="User Not Mapped"/>
    <s v="User Not Mapped"/>
    <s v="User Not Mapped"/>
    <n v="294852"/>
    <s v="Mrinal Kanti Som"/>
    <s v="Private Retailer"/>
    <s v="9593877015"/>
    <n v="4.68"/>
    <n v="53"/>
    <x v="1"/>
    <m/>
    <s v="2026-03-05"/>
    <s v="260048"/>
    <s v="Raja Fertilizers(Cbh)"/>
    <s v="7602178949"/>
  </r>
  <r>
    <s v="RCF Thal"/>
    <s v="N.C.Urea(45kg)"/>
    <s v="WB"/>
    <x v="6"/>
    <s v="Cooch Behar - I"/>
    <s v="User Not Mapped"/>
    <s v="User Not Mapped"/>
    <s v="User Not Mapped"/>
    <n v="540829"/>
    <s v="Chandamari Fertiliser"/>
    <s v="Private Retailer"/>
    <s v="9933567985"/>
    <n v="6.21"/>
    <n v="53"/>
    <x v="1"/>
    <m/>
    <s v="2026-03-05"/>
    <s v="260048"/>
    <s v="Raja Fertilizers(Cbh)"/>
    <s v="7602178949"/>
  </r>
  <r>
    <s v="RCF Import"/>
    <s v="MOP"/>
    <s v="WB"/>
    <x v="6"/>
    <s v="Cooch Behar - I"/>
    <s v="User Not Mapped"/>
    <s v="User Not Mapped"/>
    <s v="User Not Mapped"/>
    <n v="592040"/>
    <s v="BIMAL CHANDRA DEY"/>
    <s v="Private Retailer"/>
    <s v="9749659204"/>
    <n v="0.05"/>
    <n v="509"/>
    <x v="6"/>
    <m/>
    <s v="2024-12-04"/>
    <s v="214214"/>
    <s v="Dey Banik Fertiliser  Co.    "/>
    <s v="9775801969"/>
  </r>
  <r>
    <s v="RCF Thal"/>
    <s v="N.C.Urea(45kg)"/>
    <s v="WB"/>
    <x v="6"/>
    <s v="Cooch Behar - I"/>
    <s v="User Not Mapped"/>
    <s v="User Not Mapped"/>
    <s v="User Not Mapped"/>
    <n v="877352"/>
    <s v="M/S NARAYAN FERTILIZER"/>
    <s v="Private Retailer"/>
    <s v="9735335987"/>
    <n v="0.09"/>
    <n v="1925"/>
    <x v="7"/>
    <m/>
    <s v="2021-01-18"/>
    <s v="323482"/>
    <s v="Narayan Chandra Sarkar"/>
    <s v="9647835645"/>
  </r>
  <r>
    <s v="RCF Trombay"/>
    <s v="15-15-15"/>
    <s v="WB"/>
    <x v="6"/>
    <s v="Cooch Behar - I"/>
    <s v="User Not Mapped"/>
    <s v="User Not Mapped"/>
    <s v="User Not Mapped"/>
    <n v="877352"/>
    <s v="M/S NARAYAN FERTILIZER"/>
    <s v="Private Retailer"/>
    <s v="9735335987"/>
    <n v="0.79400000000000004"/>
    <n v="878"/>
    <x v="7"/>
    <m/>
    <s v="2023-12-01"/>
    <s v="260048"/>
    <s v="Raja Fertilizers(Cbh)"/>
    <s v="7602178949"/>
  </r>
  <r>
    <s v="RCF Trombay"/>
    <s v="N.C.Urea(45kg)"/>
    <s v="WB"/>
    <x v="6"/>
    <s v="Cooch Behar - I"/>
    <s v="User Not Mapped"/>
    <s v="User Not Mapped"/>
    <s v="User Not Mapped"/>
    <n v="877352"/>
    <s v="M/S NARAYAN FERTILIZER"/>
    <s v="Private Retailer"/>
    <s v="9735335987"/>
    <n v="0.57599999999999996"/>
    <n v="1975"/>
    <x v="7"/>
    <m/>
    <s v="2020-11-29"/>
    <s v="323482"/>
    <s v="Narayan Chandra Sarkar"/>
    <s v="9647835645"/>
  </r>
  <r>
    <s v="RCF Trombay"/>
    <s v="15-15-15"/>
    <s v="WB"/>
    <x v="6"/>
    <s v="Cooch Behar - I"/>
    <s v="User Not Mapped"/>
    <s v="User Not Mapped"/>
    <s v="User Not Mapped"/>
    <n v="967274"/>
    <s v="NITYANANDA SARKAR"/>
    <s v="Private Retailer"/>
    <s v="8597633002"/>
    <n v="0.2"/>
    <n v="130"/>
    <x v="0"/>
    <m/>
    <s v="2025-12-18"/>
    <s v="260048"/>
    <s v="Raja Fertilizers(Cbh)"/>
    <s v="7602178949"/>
  </r>
  <r>
    <s v="RCF Trombay"/>
    <s v="15-15-15"/>
    <s v="WB"/>
    <x v="6"/>
    <s v="Cooch Behar - I"/>
    <s v="User Not Mapped"/>
    <s v="User Not Mapped"/>
    <s v="User Not Mapped"/>
    <n v="967274"/>
    <s v="NITYANANDA SARKAR"/>
    <s v="Private Retailer"/>
    <s v="8597633002"/>
    <n v="0.1"/>
    <n v="123"/>
    <x v="0"/>
    <m/>
    <s v="2025-12-25"/>
    <s v="260048"/>
    <s v="Raja Fertilizers(Cbh)"/>
    <s v="7602178949"/>
  </r>
  <r>
    <s v="RCF Trombay"/>
    <s v="15-15-15"/>
    <s v="WB"/>
    <x v="6"/>
    <s v="Cooch Behar - I"/>
    <s v="User Not Mapped"/>
    <s v="User Not Mapped"/>
    <s v="User Not Mapped"/>
    <n v="967274"/>
    <s v="NITYANANDA SARKAR"/>
    <s v="Private Retailer"/>
    <s v="8597633002"/>
    <n v="0.1"/>
    <n v="46"/>
    <x v="1"/>
    <m/>
    <s v="2026-03-12"/>
    <s v="260048"/>
    <s v="Raja Fertilizers(Cbh)"/>
    <s v="7602178949"/>
  </r>
  <r>
    <s v="RCF Trombay"/>
    <s v="15-15-15"/>
    <s v="WB"/>
    <x v="6"/>
    <s v="Cooch Behar - I"/>
    <s v="User Not Mapped"/>
    <s v="User Not Mapped"/>
    <s v="User Not Mapped"/>
    <n v="967274"/>
    <s v="NITYANANDA SARKAR"/>
    <s v="Private Retailer"/>
    <s v="8597633002"/>
    <n v="0.1"/>
    <n v="118"/>
    <x v="5"/>
    <m/>
    <s v="2025-12-30"/>
    <s v="260048"/>
    <s v="Raja Fertilizers(Cbh)"/>
    <s v="7602178949"/>
  </r>
  <r>
    <s v="RCF Trombay"/>
    <s v="15-15-15"/>
    <s v="WB"/>
    <x v="6"/>
    <s v="Cooch Behar - II"/>
    <s v="User Not Mapped"/>
    <s v="User Not Mapped"/>
    <s v="User Not Mapped"/>
    <n v="228604"/>
    <s v="Das Fertilizer"/>
    <s v="Private Retailer"/>
    <s v="9932352965"/>
    <n v="0.15"/>
    <n v="72"/>
    <x v="2"/>
    <m/>
    <s v="2026-02-14"/>
    <s v="214214"/>
    <s v="Dey Banik Fertiliser  Co.    "/>
    <s v="9775801969"/>
  </r>
  <r>
    <s v="RCF Trombay"/>
    <s v="15-15-15"/>
    <s v="WB"/>
    <x v="6"/>
    <s v="Cooch Behar - II"/>
    <s v="User Not Mapped"/>
    <s v="User Not Mapped"/>
    <s v="User Not Mapped"/>
    <n v="393771"/>
    <s v="M/s. Paul Fertilizer"/>
    <s v="Private Retailer"/>
    <s v="9800375721"/>
    <n v="7.2"/>
    <n v="82"/>
    <x v="2"/>
    <m/>
    <s v="2026-02-04"/>
    <s v="260160"/>
    <s v="Chanda Nursery"/>
    <s v="9641878132"/>
  </r>
  <r>
    <s v="RCF Trombay"/>
    <s v="N.C.Urea(45kg)"/>
    <s v="WB"/>
    <x v="6"/>
    <s v="Cooch Behar - II"/>
    <s v="User Not Mapped"/>
    <s v="User Not Mapped"/>
    <s v="User Not Mapped"/>
    <n v="394660"/>
    <s v="Bandana Dey"/>
    <s v="Private Retailer"/>
    <s v="8016770232"/>
    <n v="2.4750000000000001"/>
    <n v="74"/>
    <x v="2"/>
    <m/>
    <s v="2026-02-12"/>
    <s v="260048"/>
    <s v="Raja Fertilizers(Cbh)"/>
    <s v="7602178949"/>
  </r>
  <r>
    <s v="RCF Thal"/>
    <s v="N.C.Urea(45kg)"/>
    <s v="WB"/>
    <x v="6"/>
    <s v="Cooch Behar - II"/>
    <s v="User Not Mapped"/>
    <s v="User Not Mapped"/>
    <s v="User Not Mapped"/>
    <n v="505658"/>
    <s v="M/S Nirufa Fertilizer"/>
    <s v="Private Retailer"/>
    <s v="9002750030"/>
    <n v="1.98"/>
    <n v="53"/>
    <x v="1"/>
    <m/>
    <s v="2026-03-05"/>
    <s v="214214"/>
    <s v="Dey Banik Fertiliser  Co.    "/>
    <s v="9775801969"/>
  </r>
  <r>
    <s v="RCF Trombay"/>
    <s v="15-15-15"/>
    <s v="WB"/>
    <x v="6"/>
    <s v="Cooch Behar - II"/>
    <s v="User Not Mapped"/>
    <s v="User Not Mapped"/>
    <s v="User Not Mapped"/>
    <n v="517493"/>
    <s v="Niranjan Dey"/>
    <s v="Private Retailer"/>
    <s v="9002770108"/>
    <n v="0.1"/>
    <n v="64"/>
    <x v="2"/>
    <m/>
    <s v="2026-02-22"/>
    <s v="214214"/>
    <s v="Dey Banik Fertiliser  Co.    "/>
    <s v="9775801969"/>
  </r>
  <r>
    <s v="RCF Trombay"/>
    <s v="N.C.Urea(45kg)"/>
    <s v="WB"/>
    <x v="6"/>
    <s v="Cooch Behar - II"/>
    <s v="User Not Mapped"/>
    <s v="User Not Mapped"/>
    <s v="User Not Mapped"/>
    <n v="533454"/>
    <s v="Jiyarul Hoque"/>
    <s v="Private Retailer"/>
    <s v="9933804662"/>
    <n v="0.45"/>
    <n v="77"/>
    <x v="2"/>
    <m/>
    <s v="2026-02-09"/>
    <s v="214214"/>
    <s v="Dey Banik Fertiliser  Co.    "/>
    <s v="9775801969"/>
  </r>
  <r>
    <s v="RCF Thal"/>
    <s v="N.C.Urea(45kg)"/>
    <s v="WB"/>
    <x v="6"/>
    <s v="Cooch Behar - II"/>
    <s v="User Not Mapped"/>
    <s v="User Not Mapped"/>
    <s v="User Not Mapped"/>
    <n v="533454"/>
    <s v="Jiyarul Hoque"/>
    <s v="Private Retailer"/>
    <s v="9933804662"/>
    <n v="1.575"/>
    <n v="53"/>
    <x v="1"/>
    <m/>
    <s v="2026-03-05"/>
    <s v="214214"/>
    <s v="Dey Banik Fertiliser  Co.    "/>
    <s v="9775801969"/>
  </r>
  <r>
    <s v="RCF Trombay"/>
    <s v="15-15-15"/>
    <s v="WB"/>
    <x v="6"/>
    <s v="Cooch Behar - II"/>
    <s v="User Not Mapped"/>
    <s v="User Not Mapped"/>
    <s v="User Not Mapped"/>
    <n v="814767"/>
    <s v="FARUQUE AHMED"/>
    <s v="Private Retailer"/>
    <s v="9679081794"/>
    <n v="4"/>
    <n v="132"/>
    <x v="0"/>
    <m/>
    <s v="2025-12-16"/>
    <s v="260048"/>
    <s v="Raja Fertilizers(Cbh)"/>
    <s v="7602178949"/>
  </r>
  <r>
    <s v="RCF Thal"/>
    <s v="N.C.Urea(45kg)"/>
    <s v="WB"/>
    <x v="6"/>
    <s v="Cooch Behar - II"/>
    <s v="User Not Mapped"/>
    <s v="User Not Mapped"/>
    <s v="User Not Mapped"/>
    <n v="878616"/>
    <s v="M/S. BARMAN FERTILISER"/>
    <s v="Private Retailer"/>
    <s v="8101654265"/>
    <n v="0.40500000000000003"/>
    <n v="52"/>
    <x v="1"/>
    <m/>
    <s v="2026-03-06"/>
    <s v="214214"/>
    <s v="Dey Banik Fertiliser  Co.    "/>
    <s v="9775801969"/>
  </r>
  <r>
    <s v="RCF Trombay"/>
    <s v="15-15-15"/>
    <s v="WB"/>
    <x v="6"/>
    <s v="Cooch Behar - II"/>
    <s v="User Not Mapped"/>
    <s v="User Not Mapped"/>
    <s v="User Not Mapped"/>
    <n v="888209"/>
    <s v="M/S. RAHAMAN FERTILIZER"/>
    <s v="Private Retailer"/>
    <s v="8250142890"/>
    <n v="5"/>
    <n v="107"/>
    <x v="5"/>
    <m/>
    <s v="2026-01-10"/>
    <s v="260048"/>
    <s v="Raja Fertilizers(Cbh)"/>
    <s v="7602178949"/>
  </r>
  <r>
    <s v="RCF Trombay"/>
    <s v="15-15-15"/>
    <s v="WB"/>
    <x v="6"/>
    <s v="Cooch Behar - II"/>
    <s v="User Not Mapped"/>
    <s v="User Not Mapped"/>
    <s v="User Not Mapped"/>
    <n v="888209"/>
    <s v="M/S. RAHAMAN FERTILIZER"/>
    <s v="Private Retailer"/>
    <s v="8250142890"/>
    <n v="9"/>
    <n v="108"/>
    <x v="5"/>
    <m/>
    <s v="2026-01-09"/>
    <s v="260048"/>
    <s v="Raja Fertilizers(Cbh)"/>
    <s v="7602178949"/>
  </r>
  <r>
    <s v="RCF Thal"/>
    <s v="N.C.Urea(45kg)"/>
    <s v="WB"/>
    <x v="6"/>
    <s v="Cooch Behar - II"/>
    <s v="User Not Mapped"/>
    <s v="User Not Mapped"/>
    <s v="User Not Mapped"/>
    <n v="892213"/>
    <s v="M/s. Barma Krishi Bhandar"/>
    <s v="Private Retailer"/>
    <s v="7318703327"/>
    <n v="1.71"/>
    <n v="53"/>
    <x v="1"/>
    <m/>
    <s v="2026-03-05"/>
    <s v="214214"/>
    <s v="Dey Banik Fertiliser  Co.    "/>
    <s v="9775801969"/>
  </r>
  <r>
    <s v="RCF Trombay"/>
    <s v="N.C.Urea(45kg)"/>
    <s v="WB"/>
    <x v="6"/>
    <s v="Dinhata - I"/>
    <s v="User Not Mapped"/>
    <s v="User Not Mapped"/>
    <s v="User Not Mapped"/>
    <n v="228642"/>
    <s v="M/s. Hajrat Ali"/>
    <s v="Private Retailer"/>
    <s v="9933142681"/>
    <n v="0.45"/>
    <n v="77"/>
    <x v="2"/>
    <m/>
    <s v="2026-02-09"/>
    <s v="214214"/>
    <s v="Dey Banik Fertiliser  Co.    "/>
    <s v="9775801969"/>
  </r>
  <r>
    <s v="RCF Trombay"/>
    <s v="N.C.Urea(45kg)"/>
    <s v="WB"/>
    <x v="6"/>
    <s v="Dinhata - I"/>
    <s v="User Not Mapped"/>
    <s v="User Not Mapped"/>
    <s v="User Not Mapped"/>
    <n v="228669"/>
    <s v="Bipul Thakur"/>
    <s v="Private Retailer"/>
    <s v="9434367029"/>
    <n v="4.9950000000000001"/>
    <n v="70"/>
    <x v="2"/>
    <m/>
    <s v="2026-02-16"/>
    <s v="288290"/>
    <s v="M/s Ma Mahamaya Krishi Bhandar"/>
    <s v="9547002014"/>
  </r>
  <r>
    <s v="RCF Thal"/>
    <s v="N.C.Urea(45kg)"/>
    <s v="WB"/>
    <x v="6"/>
    <s v="Dinhata - I"/>
    <s v="User Not Mapped"/>
    <s v="User Not Mapped"/>
    <s v="User Not Mapped"/>
    <n v="228709"/>
    <s v="Fajlay Haque"/>
    <s v="Private Retailer"/>
    <s v="9932519471"/>
    <n v="1.35"/>
    <n v="50"/>
    <x v="1"/>
    <m/>
    <s v="2026-03-08"/>
    <s v="268849"/>
    <s v="M/s. Debashis Kundu"/>
    <s v="9641428689"/>
  </r>
  <r>
    <s v="RCF Trombay"/>
    <s v="N.C.Urea(45kg)"/>
    <s v="WB"/>
    <x v="6"/>
    <s v="Dinhata - I"/>
    <s v="User Not Mapped"/>
    <s v="User Not Mapped"/>
    <s v="User Not Mapped"/>
    <n v="228780"/>
    <s v="Ratan Chandra Das"/>
    <s v="Private Retailer"/>
    <s v="9547151686"/>
    <n v="4.59"/>
    <n v="70"/>
    <x v="2"/>
    <m/>
    <s v="2026-02-16"/>
    <s v="288290"/>
    <s v="M/s Ma Mahamaya Krishi Bhandar"/>
    <s v="9547002014"/>
  </r>
  <r>
    <s v="RCF Thal"/>
    <s v="N.C.Urea(45kg)"/>
    <s v="WB"/>
    <x v="6"/>
    <s v="Dinhata - I"/>
    <s v="User Not Mapped"/>
    <s v="User Not Mapped"/>
    <s v="User Not Mapped"/>
    <n v="251519"/>
    <s v="Amarendra Nath Barman"/>
    <s v="Private Retailer"/>
    <s v="9733280037"/>
    <n v="2.25"/>
    <n v="153"/>
    <x v="0"/>
    <m/>
    <s v="2025-11-25"/>
    <s v="272992"/>
    <s v="M/S Mohata Stores"/>
    <s v="9434256132"/>
  </r>
  <r>
    <s v="RCF Thal"/>
    <s v="N.C.Urea(45kg)"/>
    <s v="WB"/>
    <x v="6"/>
    <s v="Dinhata - I"/>
    <s v="User Not Mapped"/>
    <s v="User Not Mapped"/>
    <s v="User Not Mapped"/>
    <n v="271220"/>
    <s v="M/s. Nripendra Narayan Saha"/>
    <s v="Private Retailer"/>
    <s v="9563641234"/>
    <n v="0.45"/>
    <n v="44"/>
    <x v="1"/>
    <m/>
    <s v="2026-03-14"/>
    <s v="288290"/>
    <s v="M/s Ma Mahamaya Krishi Bhandar"/>
    <s v="9547002014"/>
  </r>
  <r>
    <s v="RCF Thal"/>
    <s v="N.C.Urea(45kg)"/>
    <s v="WB"/>
    <x v="6"/>
    <s v="Dinhata - I"/>
    <s v="User Not Mapped"/>
    <s v="User Not Mapped"/>
    <s v="User Not Mapped"/>
    <n v="480939"/>
    <s v="Samir Bhoumik"/>
    <s v="Private Retailer"/>
    <s v="9749894019"/>
    <n v="1.3049999999999999"/>
    <n v="114"/>
    <x v="5"/>
    <m/>
    <s v="2026-01-03"/>
    <s v="272992"/>
    <s v="M/S Mohata Stores"/>
    <s v="9434256132"/>
  </r>
  <r>
    <s v="RCF Import"/>
    <s v="MOP"/>
    <s v="WB"/>
    <x v="6"/>
    <s v="Dinhata - I"/>
    <s v="User Not Mapped"/>
    <s v="User Not Mapped"/>
    <s v="User Not Mapped"/>
    <n v="484231"/>
    <s v="SAGAR FERTILIZER"/>
    <s v="Private Retailer"/>
    <s v="9002203551"/>
    <n v="0.05"/>
    <n v="364"/>
    <x v="3"/>
    <m/>
    <s v="2025-04-28"/>
    <s v="1213389"/>
    <s v="MAA KALI FERTILIZER"/>
    <s v="9933179116"/>
  </r>
  <r>
    <s v="RCF Import"/>
    <s v="MOP"/>
    <s v="WB"/>
    <x v="6"/>
    <s v="Dinhata - I"/>
    <s v="User Not Mapped"/>
    <s v="User Not Mapped"/>
    <s v="User Not Mapped"/>
    <n v="489070"/>
    <s v="Sushendra Barman"/>
    <s v="Private Retailer"/>
    <s v="9547707536"/>
    <n v="0.5"/>
    <n v="364"/>
    <x v="3"/>
    <m/>
    <s v="2025-04-28"/>
    <s v="1213389"/>
    <s v="MAA KALI FERTILIZER"/>
    <s v="9933179116"/>
  </r>
  <r>
    <s v="RCF Trombay"/>
    <s v="N.C.Urea(45kg)"/>
    <s v="WB"/>
    <x v="6"/>
    <s v="Dinhata - I"/>
    <s v="User Not Mapped"/>
    <s v="User Not Mapped"/>
    <s v="User Not Mapped"/>
    <n v="500009"/>
    <s v="Hiran Sarkar"/>
    <s v="Private Retailer"/>
    <s v="9800711561"/>
    <n v="0.36"/>
    <n v="494"/>
    <x v="6"/>
    <m/>
    <s v="2024-12-19"/>
    <s v="268849"/>
    <s v="M/s. Debashis Kundu"/>
    <s v="9641428689"/>
  </r>
  <r>
    <s v="RCF Thal"/>
    <s v="N.C.Urea(45kg)"/>
    <s v="WB"/>
    <x v="6"/>
    <s v="Dinhata - I"/>
    <s v="User Not Mapped"/>
    <s v="User Not Mapped"/>
    <s v="User Not Mapped"/>
    <n v="516748"/>
    <s v="Soumitra Dutta"/>
    <s v="Private Retailer"/>
    <s v="9800178444"/>
    <n v="0.01"/>
    <n v="1901"/>
    <x v="7"/>
    <m/>
    <s v="2021-02-11"/>
    <s v="272984"/>
    <s v="M/s. Ma Mahamaya KrishiBhandar"/>
    <s v="8016059111"/>
  </r>
  <r>
    <s v="RCF Trombay"/>
    <s v="N.C.Urea(45kg)"/>
    <s v="WB"/>
    <x v="6"/>
    <s v="Dinhata - I"/>
    <s v="User Not Mapped"/>
    <s v="User Not Mapped"/>
    <s v="User Not Mapped"/>
    <n v="988504"/>
    <s v="M/S HARI PRASAD BARMAN"/>
    <s v="Private Retailer"/>
    <s v="8436234579"/>
    <n v="0.495"/>
    <n v="2069"/>
    <x v="7"/>
    <m/>
    <s v="2020-08-27"/>
    <s v="272992"/>
    <s v="M/S Mohata Stores"/>
    <s v="9434256132"/>
  </r>
  <r>
    <s v="RCF Thal"/>
    <s v="N.C.Urea(45kg)"/>
    <s v="WB"/>
    <x v="6"/>
    <s v="Dinhata - I"/>
    <s v="User Not Mapped"/>
    <s v="User Not Mapped"/>
    <s v="User Not Mapped"/>
    <n v="1021845"/>
    <s v="ABDUL MANNAN MIA"/>
    <s v="Private Retailer"/>
    <s v="6294678093"/>
    <n v="0.23499999999999999"/>
    <n v="1547"/>
    <x v="7"/>
    <m/>
    <s v="2022-01-31"/>
    <s v="548853"/>
    <s v="Sandip Kumar Rathi"/>
    <s v="6295235517"/>
  </r>
  <r>
    <s v="RCF Thal"/>
    <s v="N.C.Urea(45kg)"/>
    <s v="WB"/>
    <x v="6"/>
    <s v="Dinhata - I"/>
    <s v="User Not Mapped"/>
    <s v="User Not Mapped"/>
    <s v="User Not Mapped"/>
    <n v="1021845"/>
    <s v="ABDUL MANNAN MIA"/>
    <s v="Private Retailer"/>
    <s v="6294678093"/>
    <n v="1.125"/>
    <n v="1546"/>
    <x v="7"/>
    <m/>
    <s v="2022-02-01"/>
    <s v="548853"/>
    <s v="Sandip Kumar Rathi"/>
    <s v="6295235517"/>
  </r>
  <r>
    <s v="RCF Thal"/>
    <s v="N.C.Urea(45kg)"/>
    <s v="WB"/>
    <x v="6"/>
    <s v="Dinhata - I"/>
    <s v="User Not Mapped"/>
    <s v="User Not Mapped"/>
    <s v="User Not Mapped"/>
    <n v="1035467"/>
    <s v="M/S RAUSAN FERTILIZER"/>
    <s v="Private Retailer"/>
    <s v="9932227907"/>
    <n v="4.4999999999999998E-2"/>
    <n v="1204"/>
    <x v="7"/>
    <m/>
    <s v="2023-01-09"/>
    <s v="1213389"/>
    <s v="MAA KALI FERTILIZER"/>
    <s v="9933179116"/>
  </r>
  <r>
    <s v="RCF Import"/>
    <s v="MOP"/>
    <s v="WB"/>
    <x v="6"/>
    <s v="Dinhata - I"/>
    <s v="User Not Mapped"/>
    <s v="User Not Mapped"/>
    <s v="User Not Mapped"/>
    <n v="1035467"/>
    <s v="M/S RAUSAN FERTILIZER"/>
    <s v="Private Retailer"/>
    <s v="9932227907"/>
    <n v="0.25"/>
    <n v="490"/>
    <x v="6"/>
    <m/>
    <s v="2024-12-23"/>
    <s v="1213389"/>
    <s v="MAA KALI FERTILIZER"/>
    <s v="9933179116"/>
  </r>
  <r>
    <s v="RCF Trombay"/>
    <s v="N.C.Urea(45kg)"/>
    <s v="WB"/>
    <x v="6"/>
    <s v="Dinhata - I"/>
    <s v="User Not Mapped"/>
    <s v="User Not Mapped"/>
    <s v="User Not Mapped"/>
    <n v="1035467"/>
    <s v="M/S RAUSAN FERTILIZER"/>
    <s v="Private Retailer"/>
    <s v="9932227907"/>
    <n v="0.02"/>
    <n v="1949"/>
    <x v="7"/>
    <m/>
    <s v="2020-12-25"/>
    <s v="888409"/>
    <s v="M/S JAYANTA SARKAR"/>
    <s v="8001912826"/>
  </r>
  <r>
    <s v="RCF Trombay"/>
    <s v="N.C.Urea(45kg)"/>
    <s v="WB"/>
    <x v="6"/>
    <s v="Dinhata - I"/>
    <s v="User Not Mapped"/>
    <s v="User Not Mapped"/>
    <s v="User Not Mapped"/>
    <n v="1223488"/>
    <s v="PUJA FERTILIZER "/>
    <s v="Private Retailer"/>
    <s v="7031131294"/>
    <n v="3.24"/>
    <n v="74"/>
    <x v="2"/>
    <m/>
    <s v="2026-02-12"/>
    <s v="268849"/>
    <s v="M/s. Debashis Kundu"/>
    <s v="9641428689"/>
  </r>
  <r>
    <s v="RCF Trombay"/>
    <s v="15-15-15"/>
    <s v="WB"/>
    <x v="6"/>
    <s v="Dinhata - I"/>
    <s v="User Not Mapped"/>
    <s v="User Not Mapped"/>
    <s v="User Not Mapped"/>
    <n v="1225681"/>
    <s v="SOMNATH CHAKRABORTY"/>
    <s v="Private Retailer"/>
    <s v="9641921920"/>
    <n v="0.5"/>
    <n v="484"/>
    <x v="6"/>
    <m/>
    <s v="2024-12-29"/>
    <s v="268849"/>
    <s v="M/s. Debashis Kundu"/>
    <s v="9641428689"/>
  </r>
  <r>
    <s v="RCF Trombay"/>
    <s v="N.C.Urea(45kg)"/>
    <s v="WB"/>
    <x v="6"/>
    <s v="Dinhata - I"/>
    <s v="User Not Mapped"/>
    <s v="User Not Mapped"/>
    <s v="User Not Mapped"/>
    <n v="1225681"/>
    <s v="SOMNATH CHAKRABORTY"/>
    <s v="Private Retailer"/>
    <s v="9641921920"/>
    <n v="0.67500000000000004"/>
    <n v="451"/>
    <x v="6"/>
    <m/>
    <s v="2025-01-31"/>
    <s v="268849"/>
    <s v="M/s. Debashis Kundu"/>
    <s v="9641428689"/>
  </r>
  <r>
    <s v="RCF Thal"/>
    <s v="N.C.Urea(45kg)"/>
    <s v="WB"/>
    <x v="6"/>
    <s v="Dinhata - I"/>
    <s v="User Not Mapped"/>
    <s v="User Not Mapped"/>
    <s v="User Not Mapped"/>
    <n v="1444507"/>
    <s v="UNIQUE FERTILIZER"/>
    <s v="Private Retailer"/>
    <s v="7602577792"/>
    <n v="1.575"/>
    <n v="99"/>
    <x v="5"/>
    <m/>
    <s v="2026-01-18"/>
    <s v="272992"/>
    <s v="M/S Mohata Stores"/>
    <s v="9434256132"/>
  </r>
  <r>
    <s v="RCF Import"/>
    <s v="MOP"/>
    <s v="WB"/>
    <x v="6"/>
    <s v="Dinhata - I"/>
    <s v="User Not Mapped"/>
    <s v="User Not Mapped"/>
    <s v="User Not Mapped"/>
    <n v="1463133"/>
    <s v="Bhudeb Hisabia"/>
    <s v="Private Retailer"/>
    <s v="9775547805"/>
    <n v="0.25"/>
    <n v="448"/>
    <x v="6"/>
    <m/>
    <s v="2025-02-03"/>
    <s v="1213389"/>
    <s v="MAA KALI FERTILIZER"/>
    <s v="9933179116"/>
  </r>
  <r>
    <s v="RCF Import"/>
    <s v="MOP"/>
    <s v="WB"/>
    <x v="6"/>
    <s v="Dinhata - II"/>
    <s v="User Not Mapped"/>
    <s v="User Not Mapped"/>
    <s v="User Not Mapped"/>
    <n v="228553"/>
    <s v="Afajuddin Miya"/>
    <s v="Private Retailer"/>
    <s v="8972270251"/>
    <n v="0.15"/>
    <n v="467"/>
    <x v="6"/>
    <m/>
    <s v="2025-01-15"/>
    <s v="1213389"/>
    <s v="MAA KALI FERTILIZER"/>
    <s v="9933179116"/>
  </r>
  <r>
    <s v="RCF Import"/>
    <s v="MOP"/>
    <s v="WB"/>
    <x v="6"/>
    <s v="Dinhata - II"/>
    <s v="User Not Mapped"/>
    <s v="User Not Mapped"/>
    <s v="User Not Mapped"/>
    <n v="250888"/>
    <s v="M/s. Abdul Latif Miya"/>
    <s v="Private Retailer"/>
    <s v="9093591306"/>
    <n v="0.1"/>
    <n v="406"/>
    <x v="6"/>
    <m/>
    <s v="2025-03-17"/>
    <s v="1213389"/>
    <s v="MAA KALI FERTILIZER"/>
    <s v="9933179116"/>
  </r>
  <r>
    <s v="RCF Import"/>
    <s v="MOP"/>
    <s v="WB"/>
    <x v="6"/>
    <s v="Dinhata - II"/>
    <s v="User Not Mapped"/>
    <s v="User Not Mapped"/>
    <s v="User Not Mapped"/>
    <n v="250888"/>
    <s v="M/s. Abdul Latif Miya"/>
    <s v="Private Retailer"/>
    <s v="9093591306"/>
    <n v="0.25"/>
    <n v="398"/>
    <x v="6"/>
    <m/>
    <s v="2025-03-25"/>
    <s v="1213389"/>
    <s v="MAA KALI FERTILIZER"/>
    <s v="9933179116"/>
  </r>
  <r>
    <s v="RCF Thal"/>
    <s v="N.C.Urea(45kg)"/>
    <s v="WB"/>
    <x v="6"/>
    <s v="Dinhata - II"/>
    <s v="User Not Mapped"/>
    <s v="User Not Mapped"/>
    <s v="User Not Mapped"/>
    <n v="288172"/>
    <s v="Badsha Bapary"/>
    <s v="Private Retailer"/>
    <s v="9933673883"/>
    <n v="4.5"/>
    <n v="44"/>
    <x v="1"/>
    <m/>
    <s v="2026-03-14"/>
    <s v="288290"/>
    <s v="M/s Ma Mahamaya Krishi Bhandar"/>
    <s v="9547002014"/>
  </r>
  <r>
    <s v="RCF Thal"/>
    <s v="N.C.Urea(45kg)"/>
    <s v="WB"/>
    <x v="6"/>
    <s v="Dinhata - II"/>
    <s v="User Not Mapped"/>
    <s v="User Not Mapped"/>
    <s v="User Not Mapped"/>
    <n v="288250"/>
    <s v="JAHANGIR HOSSAIN"/>
    <s v="Private Retailer"/>
    <s v="9932315458"/>
    <n v="1.8"/>
    <n v="46"/>
    <x v="1"/>
    <m/>
    <s v="2026-03-12"/>
    <s v="1213389"/>
    <s v="MAA KALI FERTILIZER"/>
    <s v="9933179116"/>
  </r>
  <r>
    <s v="RCF Thal"/>
    <s v="N.C.Urea(45kg)"/>
    <s v="WB"/>
    <x v="6"/>
    <s v="Dinhata - II"/>
    <s v="User Not Mapped"/>
    <s v="User Not Mapped"/>
    <s v="User Not Mapped"/>
    <n v="307178"/>
    <s v="Sunil Chandra Paul"/>
    <s v="Private Retailer"/>
    <s v="8906215642"/>
    <n v="1.17"/>
    <n v="48"/>
    <x v="1"/>
    <m/>
    <s v="2026-03-10"/>
    <s v="1213389"/>
    <s v="MAA KALI FERTILIZER"/>
    <s v="9933179116"/>
  </r>
  <r>
    <s v="RCF Trombay"/>
    <s v="N.C.Urea(45kg)"/>
    <s v="WB"/>
    <x v="6"/>
    <s v="Dinhata - II"/>
    <s v="User Not Mapped"/>
    <s v="User Not Mapped"/>
    <s v="User Not Mapped"/>
    <n v="480927"/>
    <s v="Samir Sharma"/>
    <s v="Private Retailer"/>
    <s v="9851766054"/>
    <n v="0.18"/>
    <n v="70"/>
    <x v="2"/>
    <m/>
    <s v="2026-02-16"/>
    <s v="288290"/>
    <s v="M/s Ma Mahamaya Krishi Bhandar"/>
    <s v="9547002014"/>
  </r>
  <r>
    <s v="RCF Thal"/>
    <s v="N.C.Urea(45kg)"/>
    <s v="WB"/>
    <x v="6"/>
    <s v="Dinhata - II"/>
    <s v="User Not Mapped"/>
    <s v="User Not Mapped"/>
    <s v="User Not Mapped"/>
    <n v="484376"/>
    <s v="SUJIT KUMAR ROY"/>
    <s v="Private Retailer"/>
    <s v="9563775494"/>
    <n v="0.45"/>
    <n v="48"/>
    <x v="1"/>
    <m/>
    <s v="2026-03-10"/>
    <s v="260160"/>
    <s v="Chanda Nursery"/>
    <s v="9641878132"/>
  </r>
  <r>
    <s v="RCF Thal"/>
    <s v="N.C.Urea(45kg)"/>
    <s v="WB"/>
    <x v="6"/>
    <s v="Dinhata - II"/>
    <s v="User Not Mapped"/>
    <s v="User Not Mapped"/>
    <s v="User Not Mapped"/>
    <n v="489052"/>
    <s v="Abdul Gani"/>
    <s v="Private Retailer"/>
    <s v="8967891315"/>
    <n v="0.58499999999999996"/>
    <n v="53"/>
    <x v="1"/>
    <m/>
    <s v="2026-03-05"/>
    <s v="260048"/>
    <s v="Raja Fertilizers(Cbh)"/>
    <s v="7602178949"/>
  </r>
  <r>
    <s v="RCF Thal"/>
    <s v="N.C.Urea(45kg)"/>
    <s v="WB"/>
    <x v="6"/>
    <s v="Dinhata - II"/>
    <s v="User Not Mapped"/>
    <s v="User Not Mapped"/>
    <s v="User Not Mapped"/>
    <n v="489054"/>
    <s v="Eakramul Haque"/>
    <s v="Private Retailer"/>
    <s v="9547099348"/>
    <n v="2.4300000000000002"/>
    <n v="53"/>
    <x v="1"/>
    <m/>
    <s v="2026-03-05"/>
    <s v="260048"/>
    <s v="Raja Fertilizers(Cbh)"/>
    <s v="7602178949"/>
  </r>
  <r>
    <s v="RCF Import"/>
    <s v="MOP"/>
    <s v="WB"/>
    <x v="6"/>
    <s v="Dinhata - II"/>
    <s v="User Not Mapped"/>
    <s v="User Not Mapped"/>
    <s v="User Not Mapped"/>
    <n v="489064"/>
    <s v="Paresh Chandra Biswas"/>
    <s v="Private Retailer"/>
    <s v="9002462060"/>
    <n v="0.1"/>
    <n v="496"/>
    <x v="6"/>
    <m/>
    <s v="2024-12-17"/>
    <s v="1213389"/>
    <s v="MAA KALI FERTILIZER"/>
    <s v="9933179116"/>
  </r>
  <r>
    <s v="RCF Trombay"/>
    <s v="N.C.Urea(45kg)"/>
    <s v="WB"/>
    <x v="6"/>
    <s v="Dinhata - II"/>
    <s v="User Not Mapped"/>
    <s v="User Not Mapped"/>
    <s v="User Not Mapped"/>
    <n v="1029896"/>
    <s v="M/S SERAJUL HAQUE"/>
    <s v="Private Retailer"/>
    <s v="8972563151"/>
    <n v="4.0000000000000001E-3"/>
    <n v="1897"/>
    <x v="7"/>
    <m/>
    <s v="2021-02-15"/>
    <s v="269006"/>
    <s v="M/s. Dulichand Kundanmal"/>
    <s v="9679371081"/>
  </r>
  <r>
    <s v="RCF Import"/>
    <s v="MOP"/>
    <s v="WB"/>
    <x v="6"/>
    <s v="Dinhata - II"/>
    <s v="User Not Mapped"/>
    <s v="User Not Mapped"/>
    <s v="User Not Mapped"/>
    <n v="1225679"/>
    <s v="SAIDUL HAQUE"/>
    <s v="Private Retailer"/>
    <s v="9382495758"/>
    <n v="0.25"/>
    <n v="430"/>
    <x v="6"/>
    <m/>
    <s v="2025-02-21"/>
    <s v="1213389"/>
    <s v="MAA KALI FERTILIZER"/>
    <s v="9933179116"/>
  </r>
  <r>
    <s v="RCF Import"/>
    <s v="MOP"/>
    <s v="WB"/>
    <x v="6"/>
    <s v="Dinhata - II"/>
    <s v="User Not Mapped"/>
    <s v="User Not Mapped"/>
    <s v="User Not Mapped"/>
    <n v="1225679"/>
    <s v="SAIDUL HAQUE"/>
    <s v="Private Retailer"/>
    <s v="9382495758"/>
    <n v="0.5"/>
    <n v="454"/>
    <x v="6"/>
    <m/>
    <s v="2025-01-28"/>
    <s v="1213389"/>
    <s v="MAA KALI FERTILIZER"/>
    <s v="9933179116"/>
  </r>
  <r>
    <s v="RCF Trombay"/>
    <s v="N.C.Urea(45kg)"/>
    <s v="WB"/>
    <x v="6"/>
    <s v="Dinhata - II"/>
    <s v="User Not Mapped"/>
    <s v="User Not Mapped"/>
    <s v="User Not Mapped"/>
    <n v="1594943"/>
    <s v="Moumita and Sneha Fertilizer"/>
    <s v="Private Retailer"/>
    <s v="8101325981"/>
    <n v="2.0249999999999999"/>
    <n v="65"/>
    <x v="2"/>
    <m/>
    <s v="2026-02-21"/>
    <s v="260048"/>
    <s v="Raja Fertilizers(Cbh)"/>
    <s v="7602178949"/>
  </r>
  <r>
    <s v="RCF Thal"/>
    <s v="N.C.Urea(45kg)"/>
    <s v="WB"/>
    <x v="6"/>
    <s v="Haldibari"/>
    <s v="User Not Mapped"/>
    <s v="User Not Mapped"/>
    <s v="User Not Mapped"/>
    <n v="476899"/>
    <s v="M/s. Sri Barman Fertilizers"/>
    <s v="Private Retailer"/>
    <s v="9932992458"/>
    <n v="0.54"/>
    <n v="265"/>
    <x v="3"/>
    <m/>
    <s v="2025-08-05"/>
    <s v="260048"/>
    <s v="Raja Fertilizers(Cbh)"/>
    <s v="7602178949"/>
  </r>
  <r>
    <s v="RCF Import"/>
    <s v="MOP"/>
    <s v="WB"/>
    <x v="6"/>
    <s v="Haldibari"/>
    <s v="User Not Mapped"/>
    <s v="User Not Mapped"/>
    <s v="User Not Mapped"/>
    <n v="476901"/>
    <s v="M/s. Radha Krishna Fertilizer"/>
    <s v="Private Retailer"/>
    <s v="9064586698"/>
    <n v="0.75"/>
    <n v="494"/>
    <x v="6"/>
    <m/>
    <s v="2024-12-19"/>
    <s v="952445"/>
    <s v="M/S PRASANTA DAS"/>
    <s v="8670737096"/>
  </r>
  <r>
    <s v="RCF Thal"/>
    <s v="N.C.Urea(45kg)"/>
    <s v="WB"/>
    <x v="6"/>
    <s v="Haldibari"/>
    <s v="User Not Mapped"/>
    <s v="User Not Mapped"/>
    <s v="User Not Mapped"/>
    <n v="511036"/>
    <s v="M/s. Smt. Sabita Barman"/>
    <s v="Private Retailer"/>
    <s v="9749705952"/>
    <n v="4.4999999999999998E-2"/>
    <n v="1224"/>
    <x v="7"/>
    <m/>
    <s v="2022-12-20"/>
    <s v="1098527"/>
    <s v="M/S SUNIL KR.KUNDU"/>
    <s v="9832028729"/>
  </r>
  <r>
    <s v="RCF Trombay"/>
    <s v="15-15-15"/>
    <s v="WB"/>
    <x v="6"/>
    <s v="Haldibari"/>
    <s v="User Not Mapped"/>
    <s v="User Not Mapped"/>
    <s v="User Not Mapped"/>
    <n v="511036"/>
    <s v="M/s. Smt. Sabita Barman"/>
    <s v="Private Retailer"/>
    <s v="9749705952"/>
    <n v="0.75"/>
    <n v="76"/>
    <x v="2"/>
    <m/>
    <s v="2026-02-10"/>
    <s v="1098527"/>
    <s v="M/S SUNIL KR.KUNDU"/>
    <s v="9832028729"/>
  </r>
  <r>
    <s v="RCF Thal"/>
    <s v="N.C.Urea(45kg)"/>
    <s v="WB"/>
    <x v="6"/>
    <s v="Haldibari"/>
    <s v="User Not Mapped"/>
    <s v="User Not Mapped"/>
    <s v="User Not Mapped"/>
    <n v="550080"/>
    <s v="Rabindra Nath Roy"/>
    <s v="Private Retailer"/>
    <s v="9547404219"/>
    <n v="6.93"/>
    <n v="30"/>
    <x v="4"/>
    <m/>
    <s v="2026-03-28"/>
    <s v="952445"/>
    <s v="M/S PRASANTA DAS"/>
    <s v="8670737096"/>
  </r>
  <r>
    <s v="RCF Thal"/>
    <s v="N.C.Urea(45kg)"/>
    <s v="WB"/>
    <x v="6"/>
    <s v="Haldibari"/>
    <s v="User Not Mapped"/>
    <s v="User Not Mapped"/>
    <s v="User Not Mapped"/>
    <n v="679009"/>
    <s v="M/S MUKUL HOQUE SARKAR"/>
    <s v="Private Retailer"/>
    <s v="9547347920"/>
    <n v="0.03"/>
    <n v="1924"/>
    <x v="7"/>
    <m/>
    <s v="2021-01-19"/>
    <s v="876178"/>
    <s v="M/S. BARUN SARKAR"/>
    <s v="9434890811"/>
  </r>
  <r>
    <s v="RCF Thal"/>
    <s v="N.C.Urea(45kg)"/>
    <s v="WB"/>
    <x v="6"/>
    <s v="Haldibari"/>
    <s v="User Not Mapped"/>
    <s v="User Not Mapped"/>
    <s v="User Not Mapped"/>
    <n v="738038"/>
    <s v="M/s. Sarkar Beej Bhander"/>
    <s v="Private Retailer"/>
    <s v="7063300376"/>
    <n v="5.0000000000000001E-3"/>
    <n v="1916"/>
    <x v="7"/>
    <m/>
    <s v="2021-01-27"/>
    <s v="631835"/>
    <s v="SHIB SHAKTI FERTILIZER"/>
    <s v="8918662387"/>
  </r>
  <r>
    <s v="RCF Import"/>
    <s v="MOP"/>
    <s v="WB"/>
    <x v="6"/>
    <s v="Haldibari"/>
    <s v="User Not Mapped"/>
    <s v="User Not Mapped"/>
    <s v="User Not Mapped"/>
    <n v="949356"/>
    <s v="M/S JYOTIRMOY FERTILIZER "/>
    <s v="Private Retailer"/>
    <s v="7063485710"/>
    <n v="0.55000000000000004"/>
    <n v="494"/>
    <x v="6"/>
    <m/>
    <s v="2024-12-19"/>
    <s v="952445"/>
    <s v="M/S PRASANTA DAS"/>
    <s v="8670737096"/>
  </r>
  <r>
    <s v="RCF Thal"/>
    <s v="N.C.Urea(45kg)"/>
    <s v="WB"/>
    <x v="6"/>
    <s v="Haldibari"/>
    <s v="User Not Mapped"/>
    <s v="User Not Mapped"/>
    <s v="User Not Mapped"/>
    <n v="949356"/>
    <s v="M/S JYOTIRMOY FERTILIZER "/>
    <s v="Private Retailer"/>
    <s v="7063485710"/>
    <n v="0.27"/>
    <n v="1249"/>
    <x v="7"/>
    <m/>
    <s v="2022-11-25"/>
    <s v="952445"/>
    <s v="M/S PRASANTA DAS"/>
    <s v="8670737096"/>
  </r>
  <r>
    <s v="RCF Thal"/>
    <s v="N.C.Urea(45kg)"/>
    <s v="WB"/>
    <x v="6"/>
    <s v="Haldibari"/>
    <s v="User Not Mapped"/>
    <s v="User Not Mapped"/>
    <s v="User Not Mapped"/>
    <n v="973391"/>
    <s v="M/s. Girendra Chandra Barman"/>
    <s v="Private Retailer"/>
    <s v="8972481942"/>
    <n v="0.14499999999999999"/>
    <n v="2559"/>
    <x v="7"/>
    <m/>
    <s v="2019-04-25"/>
    <s v="876178"/>
    <s v="M/S. BARUN SARKAR"/>
    <s v="9434890811"/>
  </r>
  <r>
    <s v="RCF Trombay"/>
    <s v="N.C.Urea(45kg)"/>
    <s v="WB"/>
    <x v="6"/>
    <s v="Haldibari"/>
    <s v="User Not Mapped"/>
    <s v="User Not Mapped"/>
    <s v="User Not Mapped"/>
    <n v="1029894"/>
    <s v="BIPLAB ROY"/>
    <s v="Private Retailer"/>
    <s v="9933501985"/>
    <n v="0.27"/>
    <n v="1201"/>
    <x v="7"/>
    <m/>
    <s v="2023-01-12"/>
    <s v="631835"/>
    <s v="SHIB SHAKTI FERTILIZER"/>
    <s v="8918662387"/>
  </r>
  <r>
    <s v="RCF Thal"/>
    <s v="N.C.Urea(45kg)"/>
    <s v="WB"/>
    <x v="6"/>
    <s v="Haldibari"/>
    <s v="User Not Mapped"/>
    <s v="User Not Mapped"/>
    <s v="User Not Mapped"/>
    <n v="1278014"/>
    <s v="M/S. DHANI FERTILIZER"/>
    <s v="Private Retailer"/>
    <s v="9932919233"/>
    <n v="4.4999999999999998E-2"/>
    <n v="1355"/>
    <x v="7"/>
    <m/>
    <s v="2022-08-11"/>
    <s v="876178"/>
    <s v="M/S. BARUN SARKAR"/>
    <s v="9434890811"/>
  </r>
  <r>
    <s v="RCF Import"/>
    <s v="MOP"/>
    <s v="WB"/>
    <x v="6"/>
    <s v="Mathabhanga - I"/>
    <s v="User Not Mapped"/>
    <s v="User Not Mapped"/>
    <s v="User Not Mapped"/>
    <n v="228223"/>
    <s v="Abdul Gofur Rahaman"/>
    <s v="Private Retailer"/>
    <s v="9832193255"/>
    <n v="0.35"/>
    <n v="584"/>
    <x v="7"/>
    <m/>
    <s v="2024-09-20"/>
    <s v="260048"/>
    <s v="Raja Fertilizers(Cbh)"/>
    <s v="7602178949"/>
  </r>
  <r>
    <s v="RCF Trombay"/>
    <s v="N.C.Urea(45kg)"/>
    <s v="WB"/>
    <x v="6"/>
    <s v="Mathabhanga - I"/>
    <s v="User Not Mapped"/>
    <s v="User Not Mapped"/>
    <s v="User Not Mapped"/>
    <n v="228820"/>
    <s v="Subhash Chandra Barman"/>
    <s v="Private Retailer"/>
    <s v="9933948459"/>
    <n v="1.35"/>
    <n v="77"/>
    <x v="2"/>
    <m/>
    <s v="2026-02-09"/>
    <s v="260048"/>
    <s v="Raja Fertilizers(Cbh)"/>
    <s v="7602178949"/>
  </r>
  <r>
    <s v="RCF Trombay"/>
    <s v="15-15-15"/>
    <s v="WB"/>
    <x v="6"/>
    <s v="Mathabhanga - I"/>
    <s v="User Not Mapped"/>
    <s v="User Not Mapped"/>
    <s v="User Not Mapped"/>
    <n v="228820"/>
    <s v="Subhash Chandra Barman"/>
    <s v="Private Retailer"/>
    <s v="9933948459"/>
    <n v="0.15"/>
    <n v="77"/>
    <x v="2"/>
    <m/>
    <s v="2026-02-09"/>
    <s v="260048"/>
    <s v="Raja Fertilizers(Cbh)"/>
    <s v="7602178949"/>
  </r>
  <r>
    <s v="RCF Trombay"/>
    <s v="15-15-15"/>
    <s v="WB"/>
    <x v="6"/>
    <s v="Mathabhanga - I"/>
    <s v="User Not Mapped"/>
    <s v="User Not Mapped"/>
    <s v="User Not Mapped"/>
    <n v="300566"/>
    <s v="Jagadish Ghosh"/>
    <s v="Private Retailer"/>
    <s v="9800292907"/>
    <n v="5"/>
    <n v="81"/>
    <x v="2"/>
    <m/>
    <s v="2026-02-05"/>
    <s v="260048"/>
    <s v="Raja Fertilizers(Cbh)"/>
    <s v="7602178949"/>
  </r>
  <r>
    <s v="RCF Trombay"/>
    <s v="15-15-15"/>
    <s v="WB"/>
    <x v="6"/>
    <s v="Mathabhanga - I"/>
    <s v="User Not Mapped"/>
    <s v="User Not Mapped"/>
    <s v="User Not Mapped"/>
    <n v="341772"/>
    <s v="Saha Fertilizer"/>
    <s v="Private Retailer"/>
    <s v="9609307454"/>
    <n v="0.5"/>
    <n v="349"/>
    <x v="3"/>
    <m/>
    <s v="2025-05-13"/>
    <s v="260160"/>
    <s v="Chanda Nursery"/>
    <s v="9641878132"/>
  </r>
  <r>
    <s v="RCF Trombay"/>
    <s v="15-15-15"/>
    <s v="WB"/>
    <x v="6"/>
    <s v="Mathabhanga - I"/>
    <s v="User Not Mapped"/>
    <s v="User Not Mapped"/>
    <s v="User Not Mapped"/>
    <n v="415221"/>
    <s v="Maminur Hossain"/>
    <s v="Private Retailer"/>
    <s v="9641297694"/>
    <n v="0.05"/>
    <n v="464"/>
    <x v="6"/>
    <m/>
    <s v="2025-01-18"/>
    <s v="619180"/>
    <s v="NIRMAL ENTERPRISE"/>
    <s v="9674571163"/>
  </r>
  <r>
    <s v="RCF Trombay"/>
    <s v="15-15-15"/>
    <s v="WB"/>
    <x v="6"/>
    <s v="Mathabhanga - I"/>
    <s v="User Not Mapped"/>
    <s v="User Not Mapped"/>
    <s v="User Not Mapped"/>
    <n v="480957"/>
    <s v="Kishan Fertilizer"/>
    <s v="Private Retailer"/>
    <s v="7797820947"/>
    <n v="10"/>
    <n v="81"/>
    <x v="2"/>
    <m/>
    <s v="2026-02-05"/>
    <s v="260048"/>
    <s v="Raja Fertilizers(Cbh)"/>
    <s v="7602178949"/>
  </r>
  <r>
    <s v="RCF Trombay"/>
    <s v="15-15-15"/>
    <s v="WB"/>
    <x v="6"/>
    <s v="Mathabhanga - I"/>
    <s v="User Not Mapped"/>
    <s v="User Not Mapped"/>
    <s v="User Not Mapped"/>
    <n v="552162"/>
    <s v="Sanjit Chandra Barman"/>
    <s v="Private Retailer"/>
    <s v="7407625696"/>
    <n v="0.1"/>
    <n v="915"/>
    <x v="7"/>
    <m/>
    <s v="2023-10-25"/>
    <s v="260048"/>
    <s v="Raja Fertilizers(Cbh)"/>
    <s v="7602178949"/>
  </r>
  <r>
    <s v="RCF Trombay"/>
    <s v="N.C.Urea(45kg)"/>
    <s v="WB"/>
    <x v="6"/>
    <s v="Mathabhanga - I"/>
    <s v="User Not Mapped"/>
    <s v="User Not Mapped"/>
    <s v="User Not Mapped"/>
    <n v="552162"/>
    <s v="Sanjit Chandra Barman"/>
    <s v="Private Retailer"/>
    <s v="7407625696"/>
    <n v="0.02"/>
    <n v="1601"/>
    <x v="7"/>
    <m/>
    <s v="2021-12-08"/>
    <s v="260048"/>
    <s v="Raja Fertilizers(Cbh)"/>
    <s v="7602178949"/>
  </r>
  <r>
    <s v="RCF Import"/>
    <s v="MOP"/>
    <s v="WB"/>
    <x v="6"/>
    <s v="Mathabhanga - I"/>
    <s v="User Not Mapped"/>
    <s v="User Not Mapped"/>
    <s v="User Not Mapped"/>
    <n v="645874"/>
    <s v="Belayet Hossain"/>
    <s v="Private Retailer"/>
    <s v="9734033398"/>
    <n v="0.2"/>
    <n v="497"/>
    <x v="6"/>
    <m/>
    <s v="2024-12-16"/>
    <s v="273016"/>
    <s v="Tapan Kumar Singh"/>
    <s v="9932263327"/>
  </r>
  <r>
    <s v="RCF Trombay"/>
    <s v="15-15-15"/>
    <s v="WB"/>
    <x v="6"/>
    <s v="Mathabhanga - I"/>
    <s v="User Not Mapped"/>
    <s v="User Not Mapped"/>
    <s v="User Not Mapped"/>
    <n v="645874"/>
    <s v="Belayet Hossain"/>
    <s v="Private Retailer"/>
    <s v="9734033398"/>
    <n v="0.1"/>
    <n v="471"/>
    <x v="6"/>
    <m/>
    <s v="2025-01-11"/>
    <s v="273016"/>
    <s v="Tapan Kumar Singh"/>
    <s v="9932263327"/>
  </r>
  <r>
    <s v="RCF Trombay"/>
    <s v="15-15-15"/>
    <s v="WB"/>
    <x v="6"/>
    <s v="Mathabhanga - I"/>
    <s v="User Not Mapped"/>
    <s v="User Not Mapped"/>
    <s v="User Not Mapped"/>
    <n v="645874"/>
    <s v="Belayet Hossain"/>
    <s v="Private Retailer"/>
    <s v="9734033398"/>
    <n v="1"/>
    <n v="167"/>
    <x v="0"/>
    <m/>
    <s v="2025-11-11"/>
    <s v="273016"/>
    <s v="Tapan Kumar Singh"/>
    <s v="9932263327"/>
  </r>
  <r>
    <s v="RCF Trombay"/>
    <s v="15-15-15"/>
    <s v="WB"/>
    <x v="6"/>
    <s v="Mathabhanga - I"/>
    <s v="User Not Mapped"/>
    <s v="User Not Mapped"/>
    <s v="User Not Mapped"/>
    <n v="645874"/>
    <s v="Belayet Hossain"/>
    <s v="Private Retailer"/>
    <s v="9734033398"/>
    <n v="0.5"/>
    <n v="448"/>
    <x v="6"/>
    <m/>
    <s v="2025-02-03"/>
    <s v="273016"/>
    <s v="Tapan Kumar Singh"/>
    <s v="9932263327"/>
  </r>
  <r>
    <s v="RCF Trombay"/>
    <s v="15-15-15"/>
    <s v="WB"/>
    <x v="6"/>
    <s v="Mathabhanga - I"/>
    <s v="User Not Mapped"/>
    <s v="User Not Mapped"/>
    <s v="User Not Mapped"/>
    <n v="777485"/>
    <s v="Baburam Fertilizer"/>
    <s v="Private Retailer"/>
    <s v="7908651321"/>
    <n v="0.15"/>
    <n v="136"/>
    <x v="0"/>
    <m/>
    <s v="2025-12-12"/>
    <s v="273016"/>
    <s v="Tapan Kumar Singh"/>
    <s v="9932263327"/>
  </r>
  <r>
    <s v="RCF Trombay"/>
    <s v="15-15-15"/>
    <s v="WB"/>
    <x v="6"/>
    <s v="Mathabhanga - I"/>
    <s v="User Not Mapped"/>
    <s v="User Not Mapped"/>
    <s v="User Not Mapped"/>
    <n v="864201"/>
    <s v="SANJIB SAHA"/>
    <s v="Private Retailer"/>
    <s v="9800072770"/>
    <n v="2.95"/>
    <n v="288"/>
    <x v="3"/>
    <m/>
    <s v="2025-07-13"/>
    <s v="256899"/>
    <s v="Gandheswari Krishi Bhandar"/>
    <s v="6295191755"/>
  </r>
  <r>
    <s v="RCF Trombay"/>
    <s v="15-15-15"/>
    <s v="WB"/>
    <x v="6"/>
    <s v="Mathabhanga - I"/>
    <s v="User Not Mapped"/>
    <s v="User Not Mapped"/>
    <s v="User Not Mapped"/>
    <n v="902185"/>
    <s v="KRISHNA KANTA BARMAN"/>
    <s v="Private Retailer"/>
    <s v="9735900436"/>
    <n v="0.05"/>
    <n v="91"/>
    <x v="5"/>
    <m/>
    <s v="2026-01-26"/>
    <s v="273016"/>
    <s v="Tapan Kumar Singh"/>
    <s v="9932263327"/>
  </r>
  <r>
    <s v="RCF Trombay"/>
    <s v="15-15-15"/>
    <s v="WB"/>
    <x v="6"/>
    <s v="Mathabhanga - I"/>
    <s v="User Not Mapped"/>
    <s v="User Not Mapped"/>
    <s v="User Not Mapped"/>
    <n v="907409"/>
    <s v="M/s. New Kishan Fertiliser"/>
    <s v="Private Retailer"/>
    <s v="7602212689"/>
    <n v="3"/>
    <n v="456"/>
    <x v="6"/>
    <m/>
    <s v="2025-01-26"/>
    <s v="619180"/>
    <s v="NIRMAL ENTERPRISE"/>
    <s v="9674571163"/>
  </r>
  <r>
    <s v="RCF Trombay"/>
    <s v="15-15-15"/>
    <s v="WB"/>
    <x v="6"/>
    <s v="Mathabhanga - I"/>
    <s v="User Not Mapped"/>
    <s v="User Not Mapped"/>
    <s v="User Not Mapped"/>
    <n v="907409"/>
    <s v="M/s. New Kishan Fertiliser"/>
    <s v="Private Retailer"/>
    <s v="7602212689"/>
    <n v="1.5"/>
    <n v="535"/>
    <x v="6"/>
    <m/>
    <s v="2024-11-08"/>
    <s v="214214"/>
    <s v="Dey Banik Fertiliser  Co.    "/>
    <s v="9775801969"/>
  </r>
  <r>
    <s v="RCF Trombay"/>
    <s v="15-15-15"/>
    <s v="WB"/>
    <x v="6"/>
    <s v="Mathabhanga - I"/>
    <s v="User Not Mapped"/>
    <s v="User Not Mapped"/>
    <s v="User Not Mapped"/>
    <n v="907409"/>
    <s v="M/s. New Kishan Fertiliser"/>
    <s v="Private Retailer"/>
    <s v="7602212689"/>
    <n v="1.5"/>
    <n v="469"/>
    <x v="6"/>
    <m/>
    <s v="2025-01-13"/>
    <s v="619180"/>
    <s v="NIRMAL ENTERPRISE"/>
    <s v="9674571163"/>
  </r>
  <r>
    <s v="RCF Trombay"/>
    <s v="15-15-15"/>
    <s v="WB"/>
    <x v="6"/>
    <s v="Mathabhanga - I"/>
    <s v="User Not Mapped"/>
    <s v="User Not Mapped"/>
    <s v="User Not Mapped"/>
    <n v="913599"/>
    <s v="Jhantu Chandra Ray"/>
    <s v="Private Retailer"/>
    <s v="7063783246"/>
    <n v="0.25"/>
    <n v="261"/>
    <x v="3"/>
    <m/>
    <s v="2025-08-09"/>
    <s v="260048"/>
    <s v="Raja Fertilizers(Cbh)"/>
    <s v="7602178949"/>
  </r>
  <r>
    <s v="RCF Import"/>
    <s v="MOP"/>
    <s v="WB"/>
    <x v="6"/>
    <s v="Mathabhanga - I"/>
    <s v="User Not Mapped"/>
    <s v="User Not Mapped"/>
    <s v="User Not Mapped"/>
    <n v="913599"/>
    <s v="Jhantu Chandra Ray"/>
    <s v="Private Retailer"/>
    <s v="7063783246"/>
    <n v="0.45"/>
    <n v="531"/>
    <x v="6"/>
    <m/>
    <s v="2024-11-12"/>
    <s v="273000"/>
    <s v="Ramlal Roy"/>
    <s v="9933180608"/>
  </r>
  <r>
    <s v="RCF Trombay"/>
    <s v="15-15-15"/>
    <s v="WB"/>
    <x v="6"/>
    <s v="Mathabhanga - I"/>
    <s v="User Not Mapped"/>
    <s v="User Not Mapped"/>
    <s v="User Not Mapped"/>
    <n v="918169"/>
    <s v="CHHAKMAL MIAH"/>
    <s v="Private Retailer"/>
    <s v="8167850103"/>
    <n v="0.2"/>
    <n v="122"/>
    <x v="0"/>
    <m/>
    <s v="2025-12-26"/>
    <s v="273016"/>
    <s v="Tapan Kumar Singh"/>
    <s v="9932263327"/>
  </r>
  <r>
    <s v="RCF Trombay"/>
    <s v="15-15-15"/>
    <s v="WB"/>
    <x v="6"/>
    <s v="Mathabhanga - I"/>
    <s v="User Not Mapped"/>
    <s v="User Not Mapped"/>
    <s v="User Not Mapped"/>
    <n v="918169"/>
    <s v="CHHAKMAL MIAH"/>
    <s v="Private Retailer"/>
    <s v="8167850103"/>
    <n v="0.5"/>
    <n v="142"/>
    <x v="0"/>
    <m/>
    <s v="2025-12-06"/>
    <s v="273016"/>
    <s v="Tapan Kumar Singh"/>
    <s v="9932263327"/>
  </r>
  <r>
    <s v="RCF Trombay"/>
    <s v="15-15-15"/>
    <s v="WB"/>
    <x v="6"/>
    <s v="Mathabhanga - I"/>
    <s v="User Not Mapped"/>
    <s v="User Not Mapped"/>
    <s v="User Not Mapped"/>
    <n v="930693"/>
    <s v="Parimal Barman"/>
    <s v="Private Retailer"/>
    <s v="9679906930"/>
    <n v="0.15"/>
    <n v="83"/>
    <x v="2"/>
    <m/>
    <s v="2026-02-03"/>
    <s v="273016"/>
    <s v="Tapan Kumar Singh"/>
    <s v="9932263327"/>
  </r>
  <r>
    <s v="RCF Trombay"/>
    <s v="15-15-15"/>
    <s v="WB"/>
    <x v="6"/>
    <s v="Mathabhanga - I"/>
    <s v="User Not Mapped"/>
    <s v="User Not Mapped"/>
    <s v="User Not Mapped"/>
    <n v="966365"/>
    <s v="BISWAJIT BARMAN"/>
    <s v="Private Retailer"/>
    <s v="8016630674"/>
    <n v="0.45"/>
    <n v="770"/>
    <x v="7"/>
    <m/>
    <s v="2024-03-18"/>
    <s v="260048"/>
    <s v="Raja Fertilizers(Cbh)"/>
    <s v="7602178949"/>
  </r>
  <r>
    <s v="RCF Trombay"/>
    <s v="15-15-15"/>
    <s v="WB"/>
    <x v="6"/>
    <s v="Mathabhanga - I"/>
    <s v="User Not Mapped"/>
    <s v="User Not Mapped"/>
    <s v="User Not Mapped"/>
    <n v="978446"/>
    <s v="BIDYUT KUMAR PAUL"/>
    <s v="Private Retailer"/>
    <s v="9800565541"/>
    <n v="0.05"/>
    <n v="167"/>
    <x v="0"/>
    <m/>
    <s v="2025-11-11"/>
    <s v="273016"/>
    <s v="Tapan Kumar Singh"/>
    <s v="9932263327"/>
  </r>
  <r>
    <s v="RCF Thal"/>
    <s v="N.C.Urea(45kg)"/>
    <s v="WB"/>
    <x v="6"/>
    <s v="Mathabhanga - I"/>
    <s v="User Not Mapped"/>
    <s v="User Not Mapped"/>
    <s v="User Not Mapped"/>
    <n v="1035331"/>
    <s v="NIRMAL TALUKDAR"/>
    <s v="Private Retailer"/>
    <s v="6295465251"/>
    <n v="0.01"/>
    <n v="2673"/>
    <x v="7"/>
    <m/>
    <s v="2019-01-01"/>
    <s v="11"/>
    <s v="Too Old Stock"/>
    <m/>
  </r>
  <r>
    <s v="RCF Thal"/>
    <s v="N.C.Urea(45kg)"/>
    <s v="WB"/>
    <x v="6"/>
    <s v="Mathabhanga - I"/>
    <s v="User Not Mapped"/>
    <s v="User Not Mapped"/>
    <s v="User Not Mapped"/>
    <n v="1035397"/>
    <s v="Asraful Hossein"/>
    <s v="Private Retailer"/>
    <s v="9734712174"/>
    <n v="0.09"/>
    <n v="1605"/>
    <x v="7"/>
    <m/>
    <s v="2021-12-04"/>
    <s v="272984"/>
    <s v="M/s. Ma Mahamaya KrishiBhandar"/>
    <s v="8016059111"/>
  </r>
  <r>
    <s v="RCF Trombay"/>
    <s v="15-15-15"/>
    <s v="WB"/>
    <x v="6"/>
    <s v="Mathabhanga - I"/>
    <s v="User Not Mapped"/>
    <s v="User Not Mapped"/>
    <s v="User Not Mapped"/>
    <n v="1475611"/>
    <s v="Barodola F.P.C.Ltd"/>
    <s v="Private Retailer"/>
    <s v="8918110445"/>
    <n v="1.1000000000000001"/>
    <n v="476"/>
    <x v="6"/>
    <m/>
    <s v="2025-01-06"/>
    <s v="619180"/>
    <s v="NIRMAL ENTERPRISE"/>
    <s v="9674571163"/>
  </r>
  <r>
    <s v="RCF Trombay"/>
    <s v="N.C.Urea(45kg)"/>
    <s v="WB"/>
    <x v="6"/>
    <s v="Mathabhanga - I"/>
    <s v="User Not Mapped"/>
    <s v="User Not Mapped"/>
    <s v="User Not Mapped"/>
    <n v="1531016"/>
    <s v="Santosh Kumar Daftari"/>
    <s v="Private Retailer"/>
    <s v="9475306333"/>
    <n v="3.15"/>
    <n v="74"/>
    <x v="2"/>
    <m/>
    <s v="2026-02-12"/>
    <s v="260048"/>
    <s v="Raja Fertilizers(Cbh)"/>
    <s v="7602178949"/>
  </r>
  <r>
    <s v="RCF Trombay"/>
    <s v="15-15-15"/>
    <s v="WB"/>
    <x v="6"/>
    <s v="Mathabhanga - II"/>
    <s v="User Not Mapped"/>
    <s v="User Not Mapped"/>
    <s v="User Not Mapped"/>
    <n v="328185"/>
    <s v="Majumder Fertilizer"/>
    <s v="Private Retailer"/>
    <s v="9679817386"/>
    <n v="0.25"/>
    <n v="49"/>
    <x v="1"/>
    <m/>
    <s v="2026-03-09"/>
    <s v="260048"/>
    <s v="Raja Fertilizers(Cbh)"/>
    <s v="7602178949"/>
  </r>
  <r>
    <s v="RCF Trombay"/>
    <s v="N.C.Urea(45kg)"/>
    <s v="WB"/>
    <x v="6"/>
    <s v="Mathabhanga - II"/>
    <s v="User Not Mapped"/>
    <s v="User Not Mapped"/>
    <s v="User Not Mapped"/>
    <n v="328185"/>
    <s v="Majumder Fertilizer"/>
    <s v="Private Retailer"/>
    <s v="9679817386"/>
    <n v="0.18"/>
    <n v="74"/>
    <x v="2"/>
    <m/>
    <s v="2026-02-12"/>
    <s v="260048"/>
    <s v="Raja Fertilizers(Cbh)"/>
    <s v="7602178949"/>
  </r>
  <r>
    <s v="RCF Trombay"/>
    <s v="15-15-15"/>
    <s v="WB"/>
    <x v="6"/>
    <s v="Mathabhanga - II"/>
    <s v="User Not Mapped"/>
    <s v="User Not Mapped"/>
    <s v="User Not Mapped"/>
    <n v="328185"/>
    <s v="Majumder Fertilizer"/>
    <s v="Private Retailer"/>
    <s v="9679817386"/>
    <n v="0.25"/>
    <n v="19"/>
    <x v="4"/>
    <m/>
    <s v="2026-04-08"/>
    <s v="260048"/>
    <s v="Raja Fertilizers(Cbh)"/>
    <s v="7602178949"/>
  </r>
  <r>
    <s v="RCF Trombay"/>
    <s v="15-15-15"/>
    <s v="WB"/>
    <x v="6"/>
    <s v="Mathabhanga - II"/>
    <s v="User Not Mapped"/>
    <s v="User Not Mapped"/>
    <s v="User Not Mapped"/>
    <n v="328185"/>
    <s v="Majumder Fertilizer"/>
    <s v="Private Retailer"/>
    <s v="9679817386"/>
    <n v="0.25"/>
    <n v="13"/>
    <x v="4"/>
    <m/>
    <s v="2026-04-14"/>
    <s v="260048"/>
    <s v="Raja Fertilizers(Cbh)"/>
    <s v="7602178949"/>
  </r>
  <r>
    <s v="RCF Trombay"/>
    <s v="15-15-15"/>
    <s v="WB"/>
    <x v="6"/>
    <s v="Mathabhanga - II"/>
    <s v="User Not Mapped"/>
    <s v="User Not Mapped"/>
    <s v="User Not Mapped"/>
    <n v="328185"/>
    <s v="Majumder Fertilizer"/>
    <s v="Private Retailer"/>
    <s v="9679817386"/>
    <n v="0.5"/>
    <n v="214"/>
    <x v="3"/>
    <m/>
    <s v="2025-09-25"/>
    <s v="260048"/>
    <s v="Raja Fertilizers(Cbh)"/>
    <s v="7602178949"/>
  </r>
  <r>
    <s v="RCF Trombay"/>
    <s v="15-15-15"/>
    <s v="WB"/>
    <x v="6"/>
    <s v="Mathabhanga - II"/>
    <s v="User Not Mapped"/>
    <s v="User Not Mapped"/>
    <s v="User Not Mapped"/>
    <n v="344058"/>
    <s v="M/s. Kartik Barman"/>
    <s v="Private Retailer"/>
    <s v="8509199374"/>
    <n v="0.05"/>
    <n v="47"/>
    <x v="1"/>
    <m/>
    <s v="2026-03-11"/>
    <s v="260048"/>
    <s v="Raja Fertilizers(Cbh)"/>
    <s v="7602178949"/>
  </r>
  <r>
    <s v="RCF Trombay"/>
    <s v="15-15-15"/>
    <s v="WB"/>
    <x v="6"/>
    <s v="Mathabhanga - II"/>
    <s v="User Not Mapped"/>
    <s v="User Not Mapped"/>
    <s v="User Not Mapped"/>
    <n v="344058"/>
    <s v="M/s. Kartik Barman"/>
    <s v="Private Retailer"/>
    <s v="8509199374"/>
    <n v="0.1"/>
    <n v="42"/>
    <x v="1"/>
    <m/>
    <s v="2026-03-16"/>
    <s v="260048"/>
    <s v="Raja Fertilizers(Cbh)"/>
    <s v="7602178949"/>
  </r>
  <r>
    <s v="RCF Trombay"/>
    <s v="15-15-15"/>
    <s v="WB"/>
    <x v="6"/>
    <s v="Mathabhanga - II"/>
    <s v="User Not Mapped"/>
    <s v="User Not Mapped"/>
    <s v="User Not Mapped"/>
    <n v="344058"/>
    <s v="M/s. Kartik Barman"/>
    <s v="Private Retailer"/>
    <s v="8509199374"/>
    <n v="0.1"/>
    <n v="19"/>
    <x v="4"/>
    <m/>
    <s v="2026-04-08"/>
    <s v="260048"/>
    <s v="Raja Fertilizers(Cbh)"/>
    <s v="7602178949"/>
  </r>
  <r>
    <s v="RCF Trombay"/>
    <s v="15-15-15"/>
    <s v="WB"/>
    <x v="6"/>
    <s v="Mathabhanga - II"/>
    <s v="User Not Mapped"/>
    <s v="User Not Mapped"/>
    <s v="User Not Mapped"/>
    <n v="354465"/>
    <s v="Ashis Das"/>
    <s v="Private Retailer"/>
    <s v="9733214282"/>
    <n v="2"/>
    <n v="72"/>
    <x v="2"/>
    <m/>
    <s v="2026-02-14"/>
    <s v="260048"/>
    <s v="Raja Fertilizers(Cbh)"/>
    <s v="7602178949"/>
  </r>
  <r>
    <s v="RCF Trombay"/>
    <s v="15-15-15"/>
    <s v="WB"/>
    <x v="6"/>
    <s v="Mathabhanga - II"/>
    <s v="User Not Mapped"/>
    <s v="User Not Mapped"/>
    <s v="User Not Mapped"/>
    <n v="354465"/>
    <s v="Ashis Das"/>
    <s v="Private Retailer"/>
    <s v="9733214282"/>
    <n v="18.899999999999999"/>
    <n v="82"/>
    <x v="2"/>
    <m/>
    <s v="2026-02-04"/>
    <s v="260160"/>
    <s v="Chanda Nursery"/>
    <s v="9641878132"/>
  </r>
  <r>
    <s v="RCF Trombay"/>
    <s v="15-15-15"/>
    <s v="WB"/>
    <x v="6"/>
    <s v="Mathabhanga - II"/>
    <s v="User Not Mapped"/>
    <s v="User Not Mapped"/>
    <s v="User Not Mapped"/>
    <n v="354465"/>
    <s v="Ashis Das"/>
    <s v="Private Retailer"/>
    <s v="9733214282"/>
    <n v="2"/>
    <n v="74"/>
    <x v="2"/>
    <m/>
    <s v="2026-02-12"/>
    <s v="260048"/>
    <s v="Raja Fertilizers(Cbh)"/>
    <s v="7602178949"/>
  </r>
  <r>
    <s v="RCF Trombay"/>
    <s v="N.C.Urea(45kg)"/>
    <s v="WB"/>
    <x v="6"/>
    <s v="Mathabhanga - II"/>
    <s v="User Not Mapped"/>
    <s v="User Not Mapped"/>
    <s v="User Not Mapped"/>
    <n v="354465"/>
    <s v="Ashis Das"/>
    <s v="Private Retailer"/>
    <s v="9733214282"/>
    <n v="1.575"/>
    <n v="82"/>
    <x v="2"/>
    <m/>
    <s v="2026-02-04"/>
    <s v="260160"/>
    <s v="Chanda Nursery"/>
    <s v="9641878132"/>
  </r>
  <r>
    <s v="RCF Trombay"/>
    <s v="15-15-15"/>
    <s v="WB"/>
    <x v="6"/>
    <s v="Mathabhanga - II"/>
    <s v="User Not Mapped"/>
    <s v="User Not Mapped"/>
    <s v="User Not Mapped"/>
    <n v="355572"/>
    <s v="Kamal Kr. Roy"/>
    <s v="Private Retailer"/>
    <s v="9735973823"/>
    <n v="1.05"/>
    <n v="53"/>
    <x v="1"/>
    <m/>
    <s v="2026-03-05"/>
    <s v="1296616"/>
    <s v="KAMAL KR ROY "/>
    <s v="9735973823"/>
  </r>
  <r>
    <s v="RCF Trombay"/>
    <s v="15-15-15"/>
    <s v="WB"/>
    <x v="6"/>
    <s v="Mathabhanga - II"/>
    <s v="User Not Mapped"/>
    <s v="User Not Mapped"/>
    <s v="User Not Mapped"/>
    <n v="355815"/>
    <s v="M/s. Niranjan Gope"/>
    <s v="Private Retailer"/>
    <s v="9563630686"/>
    <n v="0.1"/>
    <n v="49"/>
    <x v="1"/>
    <m/>
    <s v="2026-03-09"/>
    <s v="260048"/>
    <s v="Raja Fertilizers(Cbh)"/>
    <s v="7602178949"/>
  </r>
  <r>
    <s v="RCF Trombay"/>
    <s v="15-15-15"/>
    <s v="WB"/>
    <x v="6"/>
    <s v="Mathabhanga - II"/>
    <s v="User Not Mapped"/>
    <s v="User Not Mapped"/>
    <s v="User Not Mapped"/>
    <n v="355815"/>
    <s v="M/s. Niranjan Gope"/>
    <s v="Private Retailer"/>
    <s v="9563630686"/>
    <n v="0.25"/>
    <n v="19"/>
    <x v="4"/>
    <m/>
    <s v="2026-04-08"/>
    <s v="260048"/>
    <s v="Raja Fertilizers(Cbh)"/>
    <s v="7602178949"/>
  </r>
  <r>
    <s v="RCF Trombay"/>
    <s v="15-15-15"/>
    <s v="WB"/>
    <x v="6"/>
    <s v="Mathabhanga - II"/>
    <s v="User Not Mapped"/>
    <s v="User Not Mapped"/>
    <s v="User Not Mapped"/>
    <n v="394265"/>
    <s v="Ajijul Hoque"/>
    <s v="Private Retailer"/>
    <s v="9679073362"/>
    <n v="1"/>
    <n v="40"/>
    <x v="1"/>
    <m/>
    <s v="2026-03-18"/>
    <s v="214214"/>
    <s v="Dey Banik Fertiliser  Co.    "/>
    <s v="9775801969"/>
  </r>
  <r>
    <s v="RCF Trombay"/>
    <s v="15-15-15"/>
    <s v="WB"/>
    <x v="6"/>
    <s v="Mathabhanga - II"/>
    <s v="User Not Mapped"/>
    <s v="User Not Mapped"/>
    <s v="User Not Mapped"/>
    <n v="394265"/>
    <s v="Ajijul Hoque"/>
    <s v="Private Retailer"/>
    <s v="9679073362"/>
    <n v="0.45"/>
    <n v="49"/>
    <x v="1"/>
    <m/>
    <s v="2026-03-09"/>
    <s v="214214"/>
    <s v="Dey Banik Fertiliser  Co.    "/>
    <s v="9775801969"/>
  </r>
  <r>
    <s v="RCF Trombay"/>
    <s v="15-15-15"/>
    <s v="WB"/>
    <x v="6"/>
    <s v="Mathabhanga - II"/>
    <s v="User Not Mapped"/>
    <s v="User Not Mapped"/>
    <s v="User Not Mapped"/>
    <n v="635820"/>
    <s v="BIMAL PAUL"/>
    <s v="Private Retailer"/>
    <s v="9733936505"/>
    <n v="0.5"/>
    <n v="17"/>
    <x v="4"/>
    <m/>
    <s v="2026-04-10"/>
    <s v="260048"/>
    <s v="Raja Fertilizers(Cbh)"/>
    <s v="7602178949"/>
  </r>
  <r>
    <s v="RCF Trombay"/>
    <s v="15-15-15"/>
    <s v="WB"/>
    <x v="6"/>
    <s v="Mathabhanga - II"/>
    <s v="User Not Mapped"/>
    <s v="User Not Mapped"/>
    <s v="User Not Mapped"/>
    <n v="635820"/>
    <s v="BIMAL PAUL"/>
    <s v="Private Retailer"/>
    <s v="9733936505"/>
    <n v="0.25"/>
    <n v="13"/>
    <x v="4"/>
    <m/>
    <s v="2026-04-14"/>
    <s v="260048"/>
    <s v="Raja Fertilizers(Cbh)"/>
    <s v="7602178949"/>
  </r>
  <r>
    <s v="RCF Trombay"/>
    <s v="15-15-15"/>
    <s v="WB"/>
    <x v="6"/>
    <s v="Mathabhanga - II"/>
    <s v="User Not Mapped"/>
    <s v="User Not Mapped"/>
    <s v="User Not Mapped"/>
    <n v="635820"/>
    <s v="BIMAL PAUL"/>
    <s v="Private Retailer"/>
    <s v="9733936505"/>
    <n v="0.5"/>
    <n v="5"/>
    <x v="4"/>
    <m/>
    <s v="2026-04-22"/>
    <s v="260048"/>
    <s v="Raja Fertilizers(Cbh)"/>
    <s v="7602178949"/>
  </r>
  <r>
    <s v="RCF Trombay"/>
    <s v="15-15-15"/>
    <s v="WB"/>
    <x v="6"/>
    <s v="Mathabhanga - II"/>
    <s v="User Not Mapped"/>
    <s v="User Not Mapped"/>
    <s v="User Not Mapped"/>
    <n v="635820"/>
    <s v="BIMAL PAUL"/>
    <s v="Private Retailer"/>
    <s v="9733936505"/>
    <n v="0.25"/>
    <n v="25"/>
    <x v="4"/>
    <m/>
    <s v="2026-04-02"/>
    <s v="260048"/>
    <s v="Raja Fertilizers(Cbh)"/>
    <s v="7602178949"/>
  </r>
  <r>
    <s v="RCF Trombay"/>
    <s v="15-15-15"/>
    <s v="WB"/>
    <x v="6"/>
    <s v="Mathabhanga - II"/>
    <s v="User Not Mapped"/>
    <s v="User Not Mapped"/>
    <s v="User Not Mapped"/>
    <n v="647127"/>
    <s v="JAYHARI BARMAN"/>
    <s v="Private Retailer"/>
    <s v="9564734422"/>
    <n v="0.15"/>
    <n v="13"/>
    <x v="4"/>
    <m/>
    <s v="2026-04-14"/>
    <s v="260048"/>
    <s v="Raja Fertilizers(Cbh)"/>
    <s v="7602178949"/>
  </r>
  <r>
    <s v="RCF Trombay"/>
    <s v="15-15-15"/>
    <s v="WB"/>
    <x v="6"/>
    <s v="Mathabhanga - II"/>
    <s v="User Not Mapped"/>
    <s v="User Not Mapped"/>
    <s v="User Not Mapped"/>
    <n v="657341"/>
    <s v="M/S KRISHNA KANTADAS"/>
    <s v="Private Retailer"/>
    <s v="9635367511"/>
    <n v="1.5"/>
    <n v="21"/>
    <x v="4"/>
    <m/>
    <s v="2026-04-06"/>
    <s v="619180"/>
    <s v="NIRMAL ENTERPRISE"/>
    <s v="9674571163"/>
  </r>
  <r>
    <s v="RCF Trombay"/>
    <s v="15-15-15"/>
    <s v="WB"/>
    <x v="6"/>
    <s v="Mathabhanga - II"/>
    <s v="User Not Mapped"/>
    <s v="User Not Mapped"/>
    <s v="User Not Mapped"/>
    <n v="657341"/>
    <s v="M/S KRISHNA KANTADAS"/>
    <s v="Private Retailer"/>
    <s v="9635367511"/>
    <n v="0.85"/>
    <n v="23"/>
    <x v="4"/>
    <m/>
    <s v="2026-04-04"/>
    <s v="619180"/>
    <s v="NIRMAL ENTERPRISE"/>
    <s v="9674571163"/>
  </r>
  <r>
    <s v="RCF Trombay"/>
    <s v="15-15-15"/>
    <s v="WB"/>
    <x v="6"/>
    <s v="Mathabhanga - II"/>
    <s v="User Not Mapped"/>
    <s v="User Not Mapped"/>
    <s v="User Not Mapped"/>
    <n v="838075"/>
    <s v="M/S MAA LAXMI BEEJ BHANDAR"/>
    <s v="Private Retailer"/>
    <s v="7718298372"/>
    <n v="0.2"/>
    <n v="345"/>
    <x v="3"/>
    <m/>
    <s v="2025-05-17"/>
    <s v="1296616"/>
    <s v="KAMAL KR ROY "/>
    <s v="9735973823"/>
  </r>
  <r>
    <s v="RCF Trombay"/>
    <s v="N.C.Urea(45kg)"/>
    <s v="WB"/>
    <x v="6"/>
    <s v="Mathabhanga - II"/>
    <s v="User Not Mapped"/>
    <s v="User Not Mapped"/>
    <s v="User Not Mapped"/>
    <n v="870278"/>
    <s v="M/S SHANUR ALAM"/>
    <s v="Private Retailer"/>
    <s v="9800615622"/>
    <n v="0.9"/>
    <n v="74"/>
    <x v="2"/>
    <m/>
    <s v="2026-02-12"/>
    <s v="260048"/>
    <s v="Raja Fertilizers(Cbh)"/>
    <s v="7602178949"/>
  </r>
  <r>
    <s v="RCF Trombay"/>
    <s v="15-15-15"/>
    <s v="WB"/>
    <x v="6"/>
    <s v="Mathabhanga - II"/>
    <s v="User Not Mapped"/>
    <s v="User Not Mapped"/>
    <s v="User Not Mapped"/>
    <n v="870278"/>
    <s v="M/S SHANUR ALAM"/>
    <s v="Private Retailer"/>
    <s v="9800615622"/>
    <n v="0.75"/>
    <n v="287"/>
    <x v="3"/>
    <m/>
    <s v="2025-07-14"/>
    <s v="260048"/>
    <s v="Raja Fertilizers(Cbh)"/>
    <s v="7602178949"/>
  </r>
  <r>
    <s v="RCF Trombay"/>
    <s v="N.C.Urea(45kg)"/>
    <s v="WB"/>
    <x v="6"/>
    <s v="Mathabhanga - II"/>
    <s v="User Not Mapped"/>
    <s v="User Not Mapped"/>
    <s v="User Not Mapped"/>
    <n v="870278"/>
    <s v="M/S SHANUR ALAM"/>
    <s v="Private Retailer"/>
    <s v="9800615622"/>
    <n v="2.7"/>
    <n v="77"/>
    <x v="2"/>
    <m/>
    <s v="2026-02-09"/>
    <s v="260048"/>
    <s v="Raja Fertilizers(Cbh)"/>
    <s v="7602178949"/>
  </r>
  <r>
    <s v="RCF Trombay"/>
    <s v="N.C.Urea(45kg)"/>
    <s v="WB"/>
    <x v="6"/>
    <s v="Mathabhanga - II"/>
    <s v="User Not Mapped"/>
    <s v="User Not Mapped"/>
    <s v="User Not Mapped"/>
    <n v="917296"/>
    <s v="M/S BARMAN FERTILIZER"/>
    <s v="Private Retailer"/>
    <s v="8370819580"/>
    <n v="0.495"/>
    <n v="77"/>
    <x v="2"/>
    <m/>
    <s v="2026-02-09"/>
    <s v="260048"/>
    <s v="Raja Fertilizers(Cbh)"/>
    <s v="7602178949"/>
  </r>
  <r>
    <s v="RCF Trombay"/>
    <s v="15-15-15"/>
    <s v="WB"/>
    <x v="6"/>
    <s v="Mathabhanga - II"/>
    <s v="User Not Mapped"/>
    <s v="User Not Mapped"/>
    <s v="User Not Mapped"/>
    <n v="974668"/>
    <s v="Harish Dey"/>
    <s v="Private Retailer"/>
    <s v="9932913311"/>
    <n v="0.75"/>
    <n v="200"/>
    <x v="3"/>
    <m/>
    <s v="2025-10-09"/>
    <s v="260048"/>
    <s v="Raja Fertilizers(Cbh)"/>
    <s v="7602178949"/>
  </r>
  <r>
    <s v="RCF Trombay"/>
    <s v="N.C.Urea(45kg)"/>
    <s v="WB"/>
    <x v="6"/>
    <s v="Mathabhanga - II"/>
    <s v="User Not Mapped"/>
    <s v="User Not Mapped"/>
    <s v="User Not Mapped"/>
    <n v="977580"/>
    <s v="M/S. SAMSUL ALAM"/>
    <s v="Private Retailer"/>
    <s v="9832352019"/>
    <n v="1.44"/>
    <n v="77"/>
    <x v="2"/>
    <m/>
    <s v="2026-02-09"/>
    <s v="260048"/>
    <s v="Raja Fertilizers(Cbh)"/>
    <s v="7602178949"/>
  </r>
  <r>
    <s v="RCF Trombay"/>
    <s v="N.C.Urea(45kg)"/>
    <s v="WB"/>
    <x v="6"/>
    <s v="Mathabhanga - II"/>
    <s v="User Not Mapped"/>
    <s v="User Not Mapped"/>
    <s v="User Not Mapped"/>
    <n v="983929"/>
    <s v="VIVEKANANDA BISWAS"/>
    <s v="Private Retailer"/>
    <s v="8436272973"/>
    <n v="2.0249999999999999"/>
    <n v="74"/>
    <x v="2"/>
    <m/>
    <s v="2026-02-12"/>
    <s v="260048"/>
    <s v="Raja Fertilizers(Cbh)"/>
    <s v="7602178949"/>
  </r>
  <r>
    <s v="RCF Trombay"/>
    <s v="15-15-15"/>
    <s v="WB"/>
    <x v="6"/>
    <s v="Mathabhanga - II"/>
    <s v="User Not Mapped"/>
    <s v="User Not Mapped"/>
    <s v="User Not Mapped"/>
    <n v="983929"/>
    <s v="VIVEKANANDA BISWAS"/>
    <s v="Private Retailer"/>
    <s v="8436272973"/>
    <n v="1.35"/>
    <n v="74"/>
    <x v="2"/>
    <m/>
    <s v="2026-02-12"/>
    <s v="260048"/>
    <s v="Raja Fertilizers(Cbh)"/>
    <s v="7602178949"/>
  </r>
  <r>
    <s v="RCF Trombay"/>
    <s v="N.C.Urea(45kg)"/>
    <s v="WB"/>
    <x v="6"/>
    <s v="Mathabhanga - II"/>
    <s v="User Not Mapped"/>
    <s v="User Not Mapped"/>
    <s v="User Not Mapped"/>
    <n v="983929"/>
    <s v="VIVEKANANDA BISWAS"/>
    <s v="Private Retailer"/>
    <s v="8436272973"/>
    <n v="2.25"/>
    <n v="77"/>
    <x v="2"/>
    <m/>
    <s v="2026-02-09"/>
    <s v="260048"/>
    <s v="Raja Fertilizers(Cbh)"/>
    <s v="7602178949"/>
  </r>
  <r>
    <s v="RCF Trombay"/>
    <s v="15-15-15"/>
    <s v="WB"/>
    <x v="6"/>
    <s v="Mathabhanga - II"/>
    <s v="User Not Mapped"/>
    <s v="User Not Mapped"/>
    <s v="User Not Mapped"/>
    <n v="1094012"/>
    <s v="Anoyar Hossain"/>
    <s v="Private Retailer"/>
    <s v="9832591591"/>
    <n v="0.25"/>
    <n v="28"/>
    <x v="4"/>
    <m/>
    <s v="2026-03-30"/>
    <s v="260048"/>
    <s v="Raja Fertilizers(Cbh)"/>
    <s v="7602178949"/>
  </r>
  <r>
    <s v="RCF Trombay"/>
    <s v="15-15-15"/>
    <s v="WB"/>
    <x v="6"/>
    <s v="Mathabhanga - II"/>
    <s v="User Not Mapped"/>
    <s v="User Not Mapped"/>
    <s v="User Not Mapped"/>
    <n v="1094012"/>
    <s v="Anoyar Hossain"/>
    <s v="Private Retailer"/>
    <s v="9832591591"/>
    <n v="0.35"/>
    <n v="158"/>
    <x v="0"/>
    <m/>
    <s v="2025-11-20"/>
    <s v="260048"/>
    <s v="Raja Fertilizers(Cbh)"/>
    <s v="7602178949"/>
  </r>
  <r>
    <s v="RCF Import"/>
    <s v="MOP"/>
    <s v="WB"/>
    <x v="6"/>
    <s v="Mathabhanga - II"/>
    <s v="User Not Mapped"/>
    <s v="User Not Mapped"/>
    <s v="User Not Mapped"/>
    <n v="1462062"/>
    <s v="Unishbisha Kisan Agragami FPC "/>
    <s v="Private Retailer"/>
    <s v="9641133126"/>
    <n v="0.85"/>
    <n v="508"/>
    <x v="6"/>
    <m/>
    <s v="2024-12-05"/>
    <s v="273016"/>
    <s v="Tapan Kumar Singh"/>
    <s v="9932263327"/>
  </r>
  <r>
    <s v="RCF Trombay"/>
    <s v="15-15-15"/>
    <s v="WB"/>
    <x v="6"/>
    <s v="Mathabhanga - II"/>
    <s v="User Not Mapped"/>
    <s v="User Not Mapped"/>
    <s v="User Not Mapped"/>
    <n v="1515536"/>
    <s v="Jeet Fertilizers"/>
    <s v="Private Retailer"/>
    <s v="6295329199"/>
    <n v="0.1"/>
    <n v="56"/>
    <x v="1"/>
    <m/>
    <s v="2026-03-02"/>
    <s v="260048"/>
    <s v="Raja Fertilizers(Cbh)"/>
    <s v="7602178949"/>
  </r>
  <r>
    <s v="RCF Trombay"/>
    <s v="15-15-15"/>
    <s v="WB"/>
    <x v="6"/>
    <s v="Mathabhanga - II"/>
    <s v="User Not Mapped"/>
    <s v="User Not Mapped"/>
    <s v="User Not Mapped"/>
    <n v="1549780"/>
    <s v="Bani Fertilizer"/>
    <s v="Private Retailer"/>
    <s v="9749050443"/>
    <n v="0.05"/>
    <n v="210"/>
    <x v="3"/>
    <m/>
    <s v="2025-09-29"/>
    <s v="260048"/>
    <s v="Raja Fertilizers(Cbh)"/>
    <s v="7602178949"/>
  </r>
  <r>
    <s v="RCF Trombay"/>
    <s v="15-15-15"/>
    <s v="WB"/>
    <x v="6"/>
    <s v="Mathabhanga - II"/>
    <s v="User Not Mapped"/>
    <s v="User Not Mapped"/>
    <s v="User Not Mapped"/>
    <n v="1594945"/>
    <s v="M/s. Raja Fertiliser"/>
    <s v="Private Retailer"/>
    <s v="8145856151"/>
    <n v="0.25"/>
    <n v="72"/>
    <x v="2"/>
    <m/>
    <s v="2026-02-14"/>
    <s v="260048"/>
    <s v="Raja Fertilizers(Cbh)"/>
    <s v="7602178949"/>
  </r>
  <r>
    <s v="RCF Trombay"/>
    <s v="15-15-15"/>
    <s v="WB"/>
    <x v="6"/>
    <s v="Mekliganj"/>
    <s v="User Not Mapped"/>
    <s v="User Not Mapped"/>
    <s v="User Not Mapped"/>
    <n v="228695"/>
    <s v="M/s. Mithu Saha"/>
    <s v="Private Retailer"/>
    <s v="9800491207"/>
    <n v="0.9"/>
    <n v="138"/>
    <x v="0"/>
    <m/>
    <s v="2025-12-10"/>
    <s v="1432586"/>
    <s v="M/s. Mithu Saha"/>
    <s v="9800491207"/>
  </r>
  <r>
    <s v="RCF Trombay"/>
    <s v="15-15-15"/>
    <s v="WB"/>
    <x v="6"/>
    <s v="Mekliganj"/>
    <s v="User Not Mapped"/>
    <s v="User Not Mapped"/>
    <s v="User Not Mapped"/>
    <n v="288259"/>
    <s v="M/s. Prasanta Das"/>
    <s v="Private Retailer"/>
    <s v="8670737096"/>
    <n v="4"/>
    <n v="28"/>
    <x v="4"/>
    <m/>
    <s v="2026-03-30"/>
    <s v="952445"/>
    <s v="M/S PRASANTA DAS"/>
    <s v="8670737096"/>
  </r>
  <r>
    <s v="RCF Trombay"/>
    <s v="15-15-15"/>
    <s v="WB"/>
    <x v="6"/>
    <s v="Mekliganj"/>
    <s v="User Not Mapped"/>
    <s v="User Not Mapped"/>
    <s v="User Not Mapped"/>
    <n v="415271"/>
    <s v="Santosh Roy"/>
    <s v="Private Retailer"/>
    <s v="9635366824"/>
    <n v="5.5"/>
    <n v="81"/>
    <x v="2"/>
    <m/>
    <s v="2026-02-05"/>
    <s v="260048"/>
    <s v="Raja Fertilizers(Cbh)"/>
    <s v="7602178949"/>
  </r>
  <r>
    <s v="RCF Thal"/>
    <s v="N.C.Urea(45kg)"/>
    <s v="WB"/>
    <x v="6"/>
    <s v="Mekliganj"/>
    <s v="User Not Mapped"/>
    <s v="User Not Mapped"/>
    <s v="User Not Mapped"/>
    <n v="652975"/>
    <s v="M/S SHIULI SEED and FERTILIZER"/>
    <s v="Private Retailer"/>
    <s v="9932992669"/>
    <n v="4.5"/>
    <n v="30"/>
    <x v="4"/>
    <m/>
    <s v="2026-03-28"/>
    <s v="952445"/>
    <s v="M/S PRASANTA DAS"/>
    <s v="8670737096"/>
  </r>
  <r>
    <s v="RCF Import"/>
    <s v="MOP"/>
    <s v="WB"/>
    <x v="6"/>
    <s v="Mekliganj"/>
    <s v="User Not Mapped"/>
    <s v="User Not Mapped"/>
    <s v="User Not Mapped"/>
    <n v="653558"/>
    <s v="MASRAKUL ISLAM SARKAR"/>
    <s v="Private Retailer"/>
    <s v="9641539602"/>
    <n v="1.05"/>
    <n v="494"/>
    <x v="6"/>
    <m/>
    <s v="2024-12-19"/>
    <s v="952445"/>
    <s v="M/S PRASANTA DAS"/>
    <s v="8670737096"/>
  </r>
  <r>
    <s v="RCF Thal"/>
    <s v="N.C.Urea(45kg)"/>
    <s v="WB"/>
    <x v="6"/>
    <s v="Mekliganj"/>
    <s v="User Not Mapped"/>
    <s v="User Not Mapped"/>
    <s v="User Not Mapped"/>
    <n v="661589"/>
    <s v="Krishi Kalyan Fertiliser"/>
    <s v="Private Retailer"/>
    <s v="9932222688"/>
    <n v="10.35"/>
    <n v="53"/>
    <x v="1"/>
    <m/>
    <s v="2026-03-05"/>
    <s v="1098527"/>
    <s v="M/S SUNIL KR.KUNDU"/>
    <s v="9832028729"/>
  </r>
  <r>
    <s v="RCF Import"/>
    <s v="Imp 10-26-26"/>
    <s v="WB"/>
    <x v="6"/>
    <s v="Mekliganj"/>
    <s v="User Not Mapped"/>
    <s v="User Not Mapped"/>
    <s v="User Not Mapped"/>
    <n v="746497"/>
    <s v="M/S Ikbal Nasim"/>
    <s v="Private Retailer"/>
    <s v="8016583652"/>
    <n v="0.05"/>
    <n v="862"/>
    <x v="7"/>
    <m/>
    <s v="2023-12-17"/>
    <s v="655485"/>
    <s v="ISLAM FERTILIZER"/>
    <s v="7001239531"/>
  </r>
  <r>
    <s v="RCF Import"/>
    <s v="MOP"/>
    <s v="WB"/>
    <x v="6"/>
    <s v="Mekliganj"/>
    <s v="User Not Mapped"/>
    <s v="User Not Mapped"/>
    <s v="User Not Mapped"/>
    <n v="746524"/>
    <s v="M/s. Jiyarul Islam"/>
    <s v="Private Retailer"/>
    <s v="8972761660"/>
    <n v="0.4"/>
    <n v="590"/>
    <x v="7"/>
    <m/>
    <s v="2024-09-14"/>
    <s v="1354392"/>
    <s v="Chaki Agro Science"/>
    <s v="7872900309"/>
  </r>
  <r>
    <s v="RCF Import"/>
    <s v="MOP"/>
    <s v="WB"/>
    <x v="6"/>
    <s v="Mekliganj"/>
    <s v="User Not Mapped"/>
    <s v="User Not Mapped"/>
    <s v="User Not Mapped"/>
    <n v="746526"/>
    <s v="M/s. Abiyal Haque"/>
    <s v="Private Retailer"/>
    <s v="9932189533"/>
    <n v="0.1"/>
    <n v="464"/>
    <x v="6"/>
    <m/>
    <s v="2025-01-18"/>
    <s v="1278044"/>
    <s v="M/S.RAMLAL ROY"/>
    <s v="9933180608"/>
  </r>
  <r>
    <s v="RCF Thal"/>
    <s v="N.C.Urea(45kg)"/>
    <s v="WB"/>
    <x v="6"/>
    <s v="Mekliganj"/>
    <s v="User Not Mapped"/>
    <s v="User Not Mapped"/>
    <s v="User Not Mapped"/>
    <n v="759395"/>
    <s v="M/S. KOUSHIK ENTERPRISE"/>
    <s v="Private Retailer"/>
    <s v="9932497497"/>
    <n v="4.4999999999999998E-2"/>
    <n v="138"/>
    <x v="0"/>
    <m/>
    <s v="2025-12-10"/>
    <s v="260048"/>
    <s v="Raja Fertilizers(Cbh)"/>
    <s v="7602178949"/>
  </r>
  <r>
    <s v="RCF Thal"/>
    <s v="N.C.Urea(45kg)"/>
    <s v="WB"/>
    <x v="6"/>
    <s v="Mekliganj"/>
    <s v="User Not Mapped"/>
    <s v="User Not Mapped"/>
    <s v="User Not Mapped"/>
    <n v="786867"/>
    <s v="ABIR GOSWAMI"/>
    <s v="Private Retailer"/>
    <s v="7908001683"/>
    <n v="0.01"/>
    <n v="2454"/>
    <x v="7"/>
    <m/>
    <s v="2019-08-08"/>
    <s v="258294"/>
    <s v="M/S Raju Bhowmick"/>
    <s v="7001039370"/>
  </r>
  <r>
    <s v="RCF Thal"/>
    <s v="N.C.Urea(45kg)"/>
    <s v="WB"/>
    <x v="6"/>
    <s v="Mekliganj"/>
    <s v="User Not Mapped"/>
    <s v="User Not Mapped"/>
    <s v="User Not Mapped"/>
    <n v="838103"/>
    <s v="Hemendra Nath Roy"/>
    <s v="Private Retailer"/>
    <s v="9800062446"/>
    <n v="0.18"/>
    <n v="1271"/>
    <x v="7"/>
    <m/>
    <s v="2022-11-03"/>
    <s v="1290677"/>
    <s v="M/S. RADHAKRISHNA FERTILIZER"/>
    <s v="9748553755"/>
  </r>
  <r>
    <s v="RCF Thal"/>
    <s v="N.C.Urea(45kg)"/>
    <s v="WB"/>
    <x v="6"/>
    <s v="Mekliganj"/>
    <s v="User Not Mapped"/>
    <s v="User Not Mapped"/>
    <s v="User Not Mapped"/>
    <n v="844390"/>
    <s v="M/S BIMAL BARMAN"/>
    <s v="Private Retailer"/>
    <s v="9679280617"/>
    <n v="4.4999999999999998E-2"/>
    <n v="1641"/>
    <x v="7"/>
    <m/>
    <s v="2021-10-29"/>
    <s v="1213387"/>
    <s v="JAYCHAN DAS"/>
    <s v="7076392309"/>
  </r>
  <r>
    <s v="RCF Thal"/>
    <s v="N.C.Urea(45kg)"/>
    <s v="WB"/>
    <x v="6"/>
    <s v="Mekliganj"/>
    <s v="User Not Mapped"/>
    <s v="User Not Mapped"/>
    <s v="User Not Mapped"/>
    <n v="871579"/>
    <s v="M/s. Lalchand Roy"/>
    <s v="Private Retailer"/>
    <s v="9547071713"/>
    <n v="0.69"/>
    <n v="1606"/>
    <x v="7"/>
    <m/>
    <s v="2021-12-03"/>
    <s v="258294"/>
    <s v="M/S Raju Bhowmick"/>
    <s v="7001039370"/>
  </r>
  <r>
    <s v="RCF Thal"/>
    <s v="N.C.Urea(45kg)"/>
    <s v="WB"/>
    <x v="6"/>
    <s v="Mekliganj"/>
    <s v="User Not Mapped"/>
    <s v="User Not Mapped"/>
    <s v="User Not Mapped"/>
    <n v="1037411"/>
    <s v="M/s. Parimal Roy"/>
    <s v="Private Retailer"/>
    <s v="7679536360"/>
    <n v="0.12"/>
    <n v="2446"/>
    <x v="7"/>
    <m/>
    <s v="2019-08-16"/>
    <s v="258294"/>
    <s v="M/S Raju Bhowmick"/>
    <s v="7001039370"/>
  </r>
  <r>
    <s v="RCF Trombay"/>
    <s v="N.C.Urea(45kg)"/>
    <s v="WB"/>
    <x v="6"/>
    <s v="Mekliganj"/>
    <s v="User Not Mapped"/>
    <s v="User Not Mapped"/>
    <s v="User Not Mapped"/>
    <n v="1217622"/>
    <s v="M/S. MAA LAXMI FERTILIZER"/>
    <s v="Private Retailer"/>
    <s v="8617305294"/>
    <n v="0.13500000000000001"/>
    <n v="1659"/>
    <x v="7"/>
    <m/>
    <s v="2021-10-11"/>
    <s v="1213387"/>
    <s v="JAYCHAN DAS"/>
    <s v="7076392309"/>
  </r>
  <r>
    <s v="RCF Import"/>
    <s v="Imp 10-26-26"/>
    <s v="WB"/>
    <x v="6"/>
    <s v="Mekliganj"/>
    <s v="User Not Mapped"/>
    <s v="User Not Mapped"/>
    <s v="User Not Mapped"/>
    <n v="1217622"/>
    <s v="M/S. MAA LAXMI FERTILIZER"/>
    <s v="Private Retailer"/>
    <s v="8617305294"/>
    <n v="0.5"/>
    <n v="929"/>
    <x v="7"/>
    <m/>
    <s v="2023-10-11"/>
    <s v="1213387"/>
    <s v="JAYCHAN DAS"/>
    <s v="7076392309"/>
  </r>
  <r>
    <s v="RCF Import"/>
    <s v="Imp 10-26-26"/>
    <s v="WB"/>
    <x v="6"/>
    <s v="Mekliganj"/>
    <s v="User Not Mapped"/>
    <s v="User Not Mapped"/>
    <s v="User Not Mapped"/>
    <n v="1221668"/>
    <s v="M/s. Roy Fertilizer"/>
    <s v="Private Retailer"/>
    <s v="8016181924"/>
    <n v="2.5000000000000001E-2"/>
    <n v="838"/>
    <x v="7"/>
    <m/>
    <s v="2024-01-10"/>
    <s v="952445"/>
    <s v="M/S PRASANTA DAS"/>
    <s v="8670737096"/>
  </r>
  <r>
    <s v="RCF Trombay"/>
    <s v="N.C.Urea(45kg)"/>
    <s v="WB"/>
    <x v="6"/>
    <s v="Mekliganj"/>
    <s v="User Not Mapped"/>
    <s v="User Not Mapped"/>
    <s v="User Not Mapped"/>
    <n v="1221672"/>
    <s v="M/S. SARKAR FERTILIZER"/>
    <s v="Private Retailer"/>
    <s v="9547739904"/>
    <n v="11.025"/>
    <n v="79"/>
    <x v="2"/>
    <m/>
    <s v="2026-02-07"/>
    <s v="260048"/>
    <s v="Raja Fertilizers(Cbh)"/>
    <s v="7602178949"/>
  </r>
  <r>
    <s v="RCF Thal"/>
    <s v="N.C.Urea(45kg)"/>
    <s v="WB"/>
    <x v="6"/>
    <s v="Mekliganj"/>
    <s v="User Not Mapped"/>
    <s v="User Not Mapped"/>
    <s v="User Not Mapped"/>
    <n v="1221674"/>
    <s v="M/S LOKNATH FERTILIZER"/>
    <s v="Private Retailer"/>
    <s v="8016163708"/>
    <n v="7.0000000000000001E-3"/>
    <n v="1669"/>
    <x v="7"/>
    <m/>
    <s v="2021-10-01"/>
    <s v="258294"/>
    <s v="M/S Raju Bhowmick"/>
    <s v="7001039370"/>
  </r>
  <r>
    <s v="RCF Trombay"/>
    <s v="N.C.Urea(45kg)"/>
    <s v="WB"/>
    <x v="6"/>
    <s v="Mekliganj"/>
    <s v="User Not Mapped"/>
    <s v="User Not Mapped"/>
    <s v="User Not Mapped"/>
    <n v="1221674"/>
    <s v="M/S LOKNATH FERTILIZER"/>
    <s v="Private Retailer"/>
    <s v="8016163708"/>
    <n v="0.44500000000000001"/>
    <n v="1105"/>
    <x v="7"/>
    <m/>
    <s v="2023-04-18"/>
    <s v="258294"/>
    <s v="M/S Raju Bhowmick"/>
    <s v="7001039370"/>
  </r>
  <r>
    <s v="RCF Thal"/>
    <s v="N.C.Urea(45kg)"/>
    <s v="WB"/>
    <x v="6"/>
    <s v="Mekliganj"/>
    <s v="User Not Mapped"/>
    <s v="User Not Mapped"/>
    <s v="User Not Mapped"/>
    <n v="1231919"/>
    <s v="M/S. ROY FERTILIZER"/>
    <s v="Private Retailer"/>
    <s v="9609895845"/>
    <n v="0.27"/>
    <n v="140"/>
    <x v="0"/>
    <m/>
    <s v="2025-12-08"/>
    <s v="260048"/>
    <s v="Raja Fertilizers(Cbh)"/>
    <s v="7602178949"/>
  </r>
  <r>
    <s v="RCF Trombay"/>
    <s v="N.C.Urea(45kg)"/>
    <s v="WB"/>
    <x v="6"/>
    <s v="Mekliganj"/>
    <s v="User Not Mapped"/>
    <s v="User Not Mapped"/>
    <s v="User Not Mapped"/>
    <n v="1231919"/>
    <s v="M/S. ROY FERTILIZER"/>
    <s v="Private Retailer"/>
    <s v="9609895845"/>
    <n v="2.79"/>
    <n v="77"/>
    <x v="2"/>
    <m/>
    <s v="2026-02-09"/>
    <s v="260048"/>
    <s v="Raja Fertilizers(Cbh)"/>
    <s v="7602178949"/>
  </r>
  <r>
    <s v="RCF Trombay"/>
    <s v="N.C.Urea(45kg)"/>
    <s v="WB"/>
    <x v="6"/>
    <s v="Mekliganj"/>
    <s v="User Not Mapped"/>
    <s v="User Not Mapped"/>
    <s v="User Not Mapped"/>
    <n v="1258406"/>
    <s v="M/S.PROMILA FERTILIZER"/>
    <s v="Private Retailer"/>
    <s v="7397229768"/>
    <n v="0.72"/>
    <n v="1200"/>
    <x v="7"/>
    <m/>
    <s v="2023-01-13"/>
    <s v="655485"/>
    <s v="ISLAM FERTILIZER"/>
    <s v="7001239531"/>
  </r>
  <r>
    <s v="RCF Import"/>
    <s v="MOP"/>
    <s v="WB"/>
    <x v="6"/>
    <s v="Mekliganj"/>
    <s v="User Not Mapped"/>
    <s v="User Not Mapped"/>
    <s v="User Not Mapped"/>
    <n v="1444822"/>
    <s v="M/s. Pratap Barman"/>
    <s v="Private Retailer"/>
    <s v="8637353688"/>
    <n v="0.6"/>
    <n v="505"/>
    <x v="6"/>
    <m/>
    <s v="2024-12-08"/>
    <s v="1342079"/>
    <s v="M/S. ALI FERTILIZER"/>
    <s v="6295989104"/>
  </r>
  <r>
    <s v="RCF Trombay"/>
    <s v="N.C.Urea(45kg)"/>
    <s v="WB"/>
    <x v="6"/>
    <s v="Sitai"/>
    <s v="User Not Mapped"/>
    <s v="User Not Mapped"/>
    <s v="User Not Mapped"/>
    <n v="228549"/>
    <s v="Abhijit Roy"/>
    <s v="Private Retailer"/>
    <s v="8016186189"/>
    <n v="1.53"/>
    <n v="70"/>
    <x v="2"/>
    <m/>
    <s v="2026-02-16"/>
    <s v="288290"/>
    <s v="M/s Ma Mahamaya Krishi Bhandar"/>
    <s v="9547002014"/>
  </r>
  <r>
    <s v="RCF Thal"/>
    <s v="N.C.Urea(45kg)"/>
    <s v="WB"/>
    <x v="6"/>
    <s v="Sitai"/>
    <s v="User Not Mapped"/>
    <s v="User Not Mapped"/>
    <s v="User Not Mapped"/>
    <n v="530334"/>
    <s v="M/s. Subhas Ch Barman"/>
    <s v="Private Retailer"/>
    <s v="8170073795"/>
    <n v="8.5500000000000007"/>
    <n v="53"/>
    <x v="1"/>
    <m/>
    <s v="2026-03-05"/>
    <s v="260048"/>
    <s v="Raja Fertilizers(Cbh)"/>
    <s v="7602178949"/>
  </r>
  <r>
    <s v="RCF Trombay"/>
    <s v="N.C.Urea(45kg)"/>
    <s v="WB"/>
    <x v="6"/>
    <s v="Sitai"/>
    <s v="User Not Mapped"/>
    <s v="User Not Mapped"/>
    <s v="User Not Mapped"/>
    <n v="584473"/>
    <s v="MAJIDUL MIAH"/>
    <s v="Private Retailer"/>
    <s v="7063297856"/>
    <n v="4.5"/>
    <n v="1224"/>
    <x v="7"/>
    <m/>
    <s v="2022-12-20"/>
    <s v="548853"/>
    <s v="Sandip Kumar Rathi"/>
    <s v="6295235517"/>
  </r>
  <r>
    <s v="RCF Trombay"/>
    <s v="N.C.Urea(45kg)"/>
    <s v="WB"/>
    <x v="6"/>
    <s v="Sitai"/>
    <s v="User Not Mapped"/>
    <s v="User Not Mapped"/>
    <s v="User Not Mapped"/>
    <n v="584473"/>
    <s v="MAJIDUL MIAH"/>
    <s v="Private Retailer"/>
    <s v="7063297856"/>
    <n v="0.81"/>
    <n v="1592"/>
    <x v="7"/>
    <m/>
    <s v="2021-12-17"/>
    <s v="288290"/>
    <s v="M/s Ma Mahamaya Krishi Bhandar"/>
    <s v="9547002014"/>
  </r>
  <r>
    <s v="RCF Trombay"/>
    <s v="N.C.Urea(45kg)"/>
    <s v="WB"/>
    <x v="6"/>
    <s v="Sitai"/>
    <s v="User Not Mapped"/>
    <s v="User Not Mapped"/>
    <s v="User Not Mapped"/>
    <n v="584473"/>
    <s v="MAJIDUL MIAH"/>
    <s v="Private Retailer"/>
    <s v="7063297856"/>
    <n v="0.36"/>
    <n v="1894"/>
    <x v="7"/>
    <m/>
    <s v="2021-02-18"/>
    <s v="256899"/>
    <s v="Gandheswari Krishi Bhandar"/>
    <s v="6295191755"/>
  </r>
  <r>
    <s v="RCF Trombay"/>
    <s v="N.C.Urea(45kg)"/>
    <s v="WB"/>
    <x v="6"/>
    <s v="Sitai"/>
    <s v="User Not Mapped"/>
    <s v="User Not Mapped"/>
    <s v="User Not Mapped"/>
    <n v="797250"/>
    <s v="M/S PUSPA NATH BARMAN"/>
    <s v="Private Retailer"/>
    <s v="7407357545"/>
    <n v="0.36"/>
    <n v="1202"/>
    <x v="7"/>
    <m/>
    <s v="2023-01-11"/>
    <s v="272980"/>
    <s v="Loknath Fertilizer"/>
    <s v="8170862300"/>
  </r>
  <r>
    <s v="RCF Thal"/>
    <s v="N.C.Urea(45kg)"/>
    <s v="WB"/>
    <x v="6"/>
    <s v="Sitai"/>
    <s v="User Not Mapped"/>
    <s v="User Not Mapped"/>
    <s v="User Not Mapped"/>
    <n v="797250"/>
    <s v="M/S PUSPA NATH BARMAN"/>
    <s v="Private Retailer"/>
    <s v="7407357545"/>
    <n v="0.84499999999999997"/>
    <n v="1195"/>
    <x v="7"/>
    <m/>
    <s v="2023-01-18"/>
    <s v="272980"/>
    <s v="Loknath Fertilizer"/>
    <s v="8170862300"/>
  </r>
  <r>
    <s v="RCF Trombay"/>
    <s v="N.C.Urea(45kg)"/>
    <s v="WB"/>
    <x v="6"/>
    <s v="Sitai"/>
    <s v="User Not Mapped"/>
    <s v="User Not Mapped"/>
    <s v="User Not Mapped"/>
    <n v="945135"/>
    <s v="M/S BARMAN FERTILIZER"/>
    <s v="Private Retailer"/>
    <s v="9679410379"/>
    <n v="0.54"/>
    <n v="1202"/>
    <x v="7"/>
    <m/>
    <s v="2023-01-11"/>
    <s v="272980"/>
    <s v="Loknath Fertilizer"/>
    <s v="8170862300"/>
  </r>
  <r>
    <s v="RCF Thal"/>
    <s v="N.C.Urea(45kg)"/>
    <s v="WB"/>
    <x v="6"/>
    <s v="Sitai"/>
    <s v="User Not Mapped"/>
    <s v="User Not Mapped"/>
    <s v="User Not Mapped"/>
    <n v="945135"/>
    <s v="M/S BARMAN FERTILIZER"/>
    <s v="Private Retailer"/>
    <s v="9679410379"/>
    <n v="0.58499999999999996"/>
    <n v="1195"/>
    <x v="7"/>
    <m/>
    <s v="2023-01-18"/>
    <s v="272980"/>
    <s v="Loknath Fertilizer"/>
    <s v="8170862300"/>
  </r>
  <r>
    <s v="RCF Trombay"/>
    <s v="15-15-15"/>
    <s v="WB"/>
    <x v="6"/>
    <s v="Sitai"/>
    <s v="User Not Mapped"/>
    <s v="User Not Mapped"/>
    <s v="User Not Mapped"/>
    <n v="1223569"/>
    <s v="M/S BARMAN FERTLIZER"/>
    <s v="Private Retailer"/>
    <s v="8509490794"/>
    <n v="0.45"/>
    <n v="470"/>
    <x v="6"/>
    <m/>
    <s v="2025-01-12"/>
    <s v="268849"/>
    <s v="M/s. Debashis Kundu"/>
    <s v="9641428689"/>
  </r>
  <r>
    <s v="RCF Thal"/>
    <s v="N.C.Urea(45kg)"/>
    <s v="WB"/>
    <x v="6"/>
    <s v="Sitalkuchi"/>
    <s v="User Not Mapped"/>
    <s v="User Not Mapped"/>
    <s v="User Not Mapped"/>
    <n v="271250"/>
    <s v="Sitalkuchi L/S Cams Ltd."/>
    <s v="PACS"/>
    <s v="9083063444"/>
    <n v="5.31"/>
    <n v="52"/>
    <x v="1"/>
    <m/>
    <s v="2026-03-06"/>
    <s v="260048"/>
    <s v="Raja Fertilizers(Cbh)"/>
    <s v="7602178949"/>
  </r>
  <r>
    <s v="RCF Trombay"/>
    <s v="15-15-15"/>
    <s v="WB"/>
    <x v="6"/>
    <s v="Sitalkuchi"/>
    <s v="User Not Mapped"/>
    <s v="User Not Mapped"/>
    <s v="User Not Mapped"/>
    <n v="354469"/>
    <s v="Bablu Paul"/>
    <s v="Private Retailer"/>
    <s v="9933806319"/>
    <n v="0.4"/>
    <n v="109"/>
    <x v="5"/>
    <m/>
    <s v="2026-01-08"/>
    <s v="273016"/>
    <s v="Tapan Kumar Singh"/>
    <s v="9932263327"/>
  </r>
  <r>
    <s v="RCF Trombay"/>
    <s v="15-15-15"/>
    <s v="WB"/>
    <x v="6"/>
    <s v="Sitalkuchi"/>
    <s v="User Not Mapped"/>
    <s v="User Not Mapped"/>
    <s v="User Not Mapped"/>
    <n v="533480"/>
    <s v="M/s. Subhash Barman"/>
    <s v="Private Retailer"/>
    <s v="9933990402"/>
    <n v="0.1"/>
    <n v="145"/>
    <x v="0"/>
    <m/>
    <s v="2025-12-03"/>
    <s v="273016"/>
    <s v="Tapan Kumar Singh"/>
    <s v="9932263327"/>
  </r>
  <r>
    <s v="RCF Trombay"/>
    <s v="15-15-15"/>
    <s v="WB"/>
    <x v="6"/>
    <s v="Sitalkuchi"/>
    <s v="User Not Mapped"/>
    <s v="User Not Mapped"/>
    <s v="User Not Mapped"/>
    <n v="533480"/>
    <s v="M/s. Subhash Barman"/>
    <s v="Private Retailer"/>
    <s v="9933990402"/>
    <n v="1.5"/>
    <n v="141"/>
    <x v="0"/>
    <m/>
    <s v="2025-12-07"/>
    <s v="273016"/>
    <s v="Tapan Kumar Singh"/>
    <s v="9932263327"/>
  </r>
  <r>
    <s v="RCF Import"/>
    <s v="MOP"/>
    <s v="WB"/>
    <x v="6"/>
    <s v="Sitalkuchi"/>
    <s v="User Not Mapped"/>
    <s v="User Not Mapped"/>
    <s v="User Not Mapped"/>
    <n v="550233"/>
    <s v="Gobinda Chandra Saha"/>
    <s v="Private Retailer"/>
    <s v="8967382642"/>
    <n v="0.5"/>
    <n v="504"/>
    <x v="6"/>
    <m/>
    <s v="2024-12-09"/>
    <s v="273016"/>
    <s v="Tapan Kumar Singh"/>
    <s v="9932263327"/>
  </r>
  <r>
    <s v="RCF Trombay"/>
    <s v="15-15-15"/>
    <s v="WB"/>
    <x v="6"/>
    <s v="Sitalkuchi"/>
    <s v="User Not Mapped"/>
    <s v="User Not Mapped"/>
    <s v="User Not Mapped"/>
    <n v="550233"/>
    <s v="Gobinda Chandra Saha"/>
    <s v="Private Retailer"/>
    <s v="8967382642"/>
    <n v="0.9"/>
    <n v="519"/>
    <x v="6"/>
    <m/>
    <s v="2024-11-24"/>
    <s v="273016"/>
    <s v="Tapan Kumar Singh"/>
    <s v="9932263327"/>
  </r>
  <r>
    <s v="RCF Trombay"/>
    <s v="15-15-15"/>
    <s v="WB"/>
    <x v="6"/>
    <s v="Sitalkuchi"/>
    <s v="User Not Mapped"/>
    <s v="User Not Mapped"/>
    <s v="User Not Mapped"/>
    <n v="550233"/>
    <s v="Gobinda Chandra Saha"/>
    <s v="Private Retailer"/>
    <s v="8967382642"/>
    <n v="0.5"/>
    <n v="498"/>
    <x v="6"/>
    <m/>
    <s v="2024-12-15"/>
    <s v="273016"/>
    <s v="Tapan Kumar Singh"/>
    <s v="9932263327"/>
  </r>
  <r>
    <s v="RCF Trombay"/>
    <s v="15-15-15"/>
    <s v="WB"/>
    <x v="6"/>
    <s v="Sitalkuchi"/>
    <s v="User Not Mapped"/>
    <s v="User Not Mapped"/>
    <s v="User Not Mapped"/>
    <n v="550233"/>
    <s v="Gobinda Chandra Saha"/>
    <s v="Private Retailer"/>
    <s v="8967382642"/>
    <n v="0.5"/>
    <n v="466"/>
    <x v="6"/>
    <m/>
    <s v="2025-01-16"/>
    <s v="273016"/>
    <s v="Tapan Kumar Singh"/>
    <s v="9932263327"/>
  </r>
  <r>
    <s v="RCF Trombay"/>
    <s v="15-15-15"/>
    <s v="WB"/>
    <x v="6"/>
    <s v="Sitalkuchi"/>
    <s v="User Not Mapped"/>
    <s v="User Not Mapped"/>
    <s v="User Not Mapped"/>
    <n v="625902"/>
    <s v="M/s. Nikhil Chandra Paul"/>
    <s v="Private Retailer"/>
    <s v="9547346233"/>
    <n v="0.15"/>
    <n v="165"/>
    <x v="0"/>
    <m/>
    <s v="2025-11-13"/>
    <s v="273016"/>
    <s v="Tapan Kumar Singh"/>
    <s v="9932263327"/>
  </r>
  <r>
    <s v="RCF Trombay"/>
    <s v="15-15-15"/>
    <s v="WB"/>
    <x v="6"/>
    <s v="Sitalkuchi"/>
    <s v="User Not Mapped"/>
    <s v="User Not Mapped"/>
    <s v="User Not Mapped"/>
    <n v="859106"/>
    <s v="SANTOSH KUMAR PRAMANIK"/>
    <s v="Private Retailer"/>
    <s v="7872058245"/>
    <n v="0.2"/>
    <n v="187"/>
    <x v="3"/>
    <m/>
    <s v="2025-10-22"/>
    <s v="273016"/>
    <s v="Tapan Kumar Singh"/>
    <s v="9932263327"/>
  </r>
  <r>
    <s v="RCF Thal"/>
    <s v="N.C.Urea(45kg)"/>
    <s v="WB"/>
    <x v="6"/>
    <s v="Sitalkuchi"/>
    <s v="User Not Mapped"/>
    <s v="User Not Mapped"/>
    <s v="User Not Mapped"/>
    <n v="886542"/>
    <s v="MAA KALI FERTILIZER"/>
    <s v="Private Retailer"/>
    <s v="9635357182"/>
    <n v="20.43"/>
    <n v="49"/>
    <x v="1"/>
    <m/>
    <s v="2026-03-09"/>
    <s v="268849"/>
    <s v="M/s. Debashis Kundu"/>
    <s v="9641428689"/>
  </r>
  <r>
    <s v="RCF Trombay"/>
    <s v="15-15-15"/>
    <s v="WB"/>
    <x v="6"/>
    <s v="Sitalkuchi"/>
    <s v="User Not Mapped"/>
    <s v="User Not Mapped"/>
    <s v="User Not Mapped"/>
    <n v="917294"/>
    <s v="PRASENJIT BARMAN"/>
    <s v="Private Retailer"/>
    <s v="8016552379"/>
    <n v="0.25"/>
    <n v="150"/>
    <x v="0"/>
    <m/>
    <s v="2025-11-28"/>
    <s v="268849"/>
    <s v="M/s. Debashis Kundu"/>
    <s v="9641428689"/>
  </r>
  <r>
    <s v="RCF Trombay"/>
    <s v="15-15-15"/>
    <s v="WB"/>
    <x v="6"/>
    <s v="Sitalkuchi"/>
    <s v="User Not Mapped"/>
    <s v="User Not Mapped"/>
    <s v="User Not Mapped"/>
    <n v="917294"/>
    <s v="PRASENJIT BARMAN"/>
    <s v="Private Retailer"/>
    <s v="8016552379"/>
    <n v="0.25"/>
    <n v="148"/>
    <x v="0"/>
    <m/>
    <s v="2025-11-30"/>
    <s v="268849"/>
    <s v="M/s. Debashis Kundu"/>
    <s v="9641428689"/>
  </r>
  <r>
    <s v="RCF Trombay"/>
    <s v="15-15-15"/>
    <s v="WB"/>
    <x v="6"/>
    <s v="Sitalkuchi"/>
    <s v="User Not Mapped"/>
    <s v="User Not Mapped"/>
    <s v="User Not Mapped"/>
    <n v="968164"/>
    <s v="AKAR ALI MIYA"/>
    <s v="Private Retailer"/>
    <s v="9547601909"/>
    <n v="0.5"/>
    <n v="148"/>
    <x v="0"/>
    <m/>
    <s v="2025-11-30"/>
    <s v="268849"/>
    <s v="M/s. Debashis Kundu"/>
    <s v="9641428689"/>
  </r>
  <r>
    <s v="RCF Trombay"/>
    <s v="15-15-15"/>
    <s v="WB"/>
    <x v="6"/>
    <s v="Sitalkuchi"/>
    <s v="User Not Mapped"/>
    <s v="User Not Mapped"/>
    <s v="User Not Mapped"/>
    <n v="968164"/>
    <s v="AKAR ALI MIYA"/>
    <s v="Private Retailer"/>
    <s v="9547601909"/>
    <n v="0.5"/>
    <n v="167"/>
    <x v="0"/>
    <m/>
    <s v="2025-11-11"/>
    <s v="273016"/>
    <s v="Tapan Kumar Singh"/>
    <s v="9932263327"/>
  </r>
  <r>
    <s v="RCF Trombay"/>
    <s v="15-15-15"/>
    <s v="WB"/>
    <x v="6"/>
    <s v="Sitalkuchi"/>
    <s v="User Not Mapped"/>
    <s v="User Not Mapped"/>
    <s v="User Not Mapped"/>
    <n v="969926"/>
    <s v="M/s Krishi Proyojani Kendra"/>
    <s v="Private Retailer"/>
    <s v="9851589693"/>
    <n v="1"/>
    <n v="91"/>
    <x v="5"/>
    <m/>
    <s v="2026-01-26"/>
    <s v="273016"/>
    <s v="Tapan Kumar Singh"/>
    <s v="9932263327"/>
  </r>
  <r>
    <s v="RCF Thal"/>
    <s v="N.C.Urea(45kg)"/>
    <s v="WB"/>
    <x v="6"/>
    <s v="Sitalkuchi"/>
    <s v="User Not Mapped"/>
    <s v="User Not Mapped"/>
    <s v="User Not Mapped"/>
    <n v="1029934"/>
    <s v="KAMAL PAUL"/>
    <s v="Private Retailer"/>
    <s v="9851178576"/>
    <n v="0.01"/>
    <n v="2085"/>
    <x v="7"/>
    <m/>
    <s v="2020-08-11"/>
    <s v="273016"/>
    <s v="Tapan Kumar Singh"/>
    <s v="9932263327"/>
  </r>
  <r>
    <s v="RCF Trombay"/>
    <s v="15-15-15"/>
    <s v="WB"/>
    <x v="6"/>
    <s v="Sitalkuchi"/>
    <s v="User Not Mapped"/>
    <s v="User Not Mapped"/>
    <s v="User Not Mapped"/>
    <n v="1057461"/>
    <s v="Sabujsona Fertilizer"/>
    <s v="Private Retailer"/>
    <s v="9832724328"/>
    <n v="0.05"/>
    <n v="525"/>
    <x v="6"/>
    <m/>
    <s v="2024-11-18"/>
    <s v="1478575"/>
    <s v="M/s Laxmi Narayan Fertilizer"/>
    <s v="8116546931"/>
  </r>
  <r>
    <s v="RCF Trombay"/>
    <s v="15-15-15"/>
    <s v="WB"/>
    <x v="6"/>
    <s v="Sitalkuchi"/>
    <s v="User Not Mapped"/>
    <s v="User Not Mapped"/>
    <s v="User Not Mapped"/>
    <n v="1073402"/>
    <s v="M/S. PRANESH PAUL"/>
    <s v="Private Retailer"/>
    <s v="8670854614"/>
    <n v="0.75"/>
    <n v="118"/>
    <x v="5"/>
    <m/>
    <s v="2025-12-30"/>
    <s v="273016"/>
    <s v="Tapan Kumar Singh"/>
    <s v="9932263327"/>
  </r>
  <r>
    <s v="RCF Trombay"/>
    <s v="15-15-15"/>
    <s v="WB"/>
    <x v="6"/>
    <s v="Sitalkuchi"/>
    <s v="User Not Mapped"/>
    <s v="User Not Mapped"/>
    <s v="User Not Mapped"/>
    <n v="1078082"/>
    <s v="M/S MOSTAFIZAR RAHAMAN"/>
    <s v="Private Retailer"/>
    <s v="9933198592"/>
    <n v="2.5"/>
    <n v="118"/>
    <x v="5"/>
    <m/>
    <s v="2025-12-30"/>
    <s v="273016"/>
    <s v="Tapan Kumar Singh"/>
    <s v="9932263327"/>
  </r>
  <r>
    <s v="RCF Trombay"/>
    <s v="15-15-15"/>
    <s v="WB"/>
    <x v="6"/>
    <s v="Sitalkuchi"/>
    <s v="User Not Mapped"/>
    <s v="User Not Mapped"/>
    <s v="User Not Mapped"/>
    <n v="1078082"/>
    <s v="M/S MOSTAFIZAR RAHAMAN"/>
    <s v="Private Retailer"/>
    <s v="9933198592"/>
    <n v="0.25"/>
    <n v="136"/>
    <x v="0"/>
    <m/>
    <s v="2025-12-12"/>
    <s v="273016"/>
    <s v="Tapan Kumar Singh"/>
    <s v="9932263327"/>
  </r>
  <r>
    <s v="RCF Trombay"/>
    <s v="15-15-15"/>
    <s v="WB"/>
    <x v="6"/>
    <s v="Sitalkuchi"/>
    <s v="User Not Mapped"/>
    <s v="User Not Mapped"/>
    <s v="User Not Mapped"/>
    <n v="1078082"/>
    <s v="M/S MOSTAFIZAR RAHAMAN"/>
    <s v="Private Retailer"/>
    <s v="9933198592"/>
    <n v="1"/>
    <n v="128"/>
    <x v="0"/>
    <m/>
    <s v="2025-12-20"/>
    <s v="273016"/>
    <s v="Tapan Kumar Singh"/>
    <s v="9932263327"/>
  </r>
  <r>
    <s v="RCF Trombay"/>
    <s v="15-15-15"/>
    <s v="WB"/>
    <x v="6"/>
    <s v="Sitalkuchi"/>
    <s v="User Not Mapped"/>
    <s v="User Not Mapped"/>
    <s v="User Not Mapped"/>
    <n v="1419877"/>
    <s v="M/s Prabir Guha"/>
    <s v="Private Retailer"/>
    <s v="9932175486"/>
    <n v="0.05"/>
    <n v="128"/>
    <x v="0"/>
    <m/>
    <s v="2025-12-20"/>
    <s v="268849"/>
    <s v="M/s. Debashis Kundu"/>
    <s v="9641428689"/>
  </r>
  <r>
    <s v="RCF Import"/>
    <s v="Imp 10-26-26"/>
    <s v="WB"/>
    <x v="6"/>
    <s v="Sitalkuchi"/>
    <s v="User Not Mapped"/>
    <s v="User Not Mapped"/>
    <s v="User Not Mapped"/>
    <n v="1475365"/>
    <s v="Ujjal Roy"/>
    <s v="Private Retailer"/>
    <s v="9382004535"/>
    <n v="0.25"/>
    <n v="503"/>
    <x v="6"/>
    <m/>
    <s v="2024-12-10"/>
    <s v="1478575"/>
    <s v="M/s Laxmi Narayan Fertilizer"/>
    <s v="8116546931"/>
  </r>
  <r>
    <s v="RCF Thal"/>
    <s v="N.C.Urea(45kg)"/>
    <s v="WB"/>
    <x v="6"/>
    <s v="Sitalkuchi"/>
    <s v="User Not Mapped"/>
    <s v="User Not Mapped"/>
    <s v="User Not Mapped"/>
    <n v="1520686"/>
    <s v="Jeni Fertilizer"/>
    <s v="Private Retailer"/>
    <s v="9547068771"/>
    <n v="4.4999999999999998E-2"/>
    <n v="140"/>
    <x v="0"/>
    <m/>
    <s v="2025-12-08"/>
    <s v="260048"/>
    <s v="Raja Fertilizers(Cbh)"/>
    <s v="7602178949"/>
  </r>
  <r>
    <s v="RCF Trombay"/>
    <s v="15-15-15"/>
    <s v="WB"/>
    <x v="6"/>
    <s v="Sitalkuchi"/>
    <s v="User Not Mapped"/>
    <s v="User Not Mapped"/>
    <s v="User Not Mapped"/>
    <n v="1606806"/>
    <s v="M/s. Alom Fertilizer Shop"/>
    <s v="Private Retailer"/>
    <s v="7384857581"/>
    <n v="2.0499999999999998"/>
    <n v="131"/>
    <x v="0"/>
    <m/>
    <s v="2025-12-17"/>
    <s v="268849"/>
    <s v="M/s. Debashis Kundu"/>
    <s v="9641428689"/>
  </r>
  <r>
    <s v="RCF Trombay"/>
    <s v="15-15-15"/>
    <s v="WB"/>
    <x v="6"/>
    <s v="Sitalkuchi"/>
    <s v="User Not Mapped"/>
    <s v="User Not Mapped"/>
    <s v="User Not Mapped"/>
    <n v="1615184"/>
    <s v="M/s. Ali Fertilizer"/>
    <s v="Private Retailer"/>
    <s v="8372810433"/>
    <n v="1"/>
    <n v="145"/>
    <x v="0"/>
    <m/>
    <s v="2025-12-03"/>
    <s v="273016"/>
    <s v="Tapan Kumar Singh"/>
    <s v="9932263327"/>
  </r>
  <r>
    <s v="RCF Thal"/>
    <s v="N.C.Urea(45kg)"/>
    <s v="WB"/>
    <x v="6"/>
    <s v="Tufanganj - I"/>
    <s v="User Not Mapped"/>
    <s v="User Not Mapped"/>
    <s v="User Not Mapped"/>
    <n v="228563"/>
    <s v="M/S GREEN HOME"/>
    <s v="Private Retailer"/>
    <s v="9547626773"/>
    <n v="0.9"/>
    <n v="40"/>
    <x v="1"/>
    <m/>
    <s v="2026-03-18"/>
    <s v="260048"/>
    <s v="Raja Fertilizers(Cbh)"/>
    <s v="7602178949"/>
  </r>
  <r>
    <s v="RCF Thal"/>
    <s v="N.C.Urea(45kg)"/>
    <s v="WB"/>
    <x v="6"/>
    <s v="Tufanganj - I"/>
    <s v="User Not Mapped"/>
    <s v="User Not Mapped"/>
    <s v="User Not Mapped"/>
    <n v="228596"/>
    <s v="M/S- GOPAL CHANDA"/>
    <s v="Private Retailer"/>
    <s v="9733179209"/>
    <n v="0.36"/>
    <n v="53"/>
    <x v="1"/>
    <m/>
    <s v="2026-03-05"/>
    <s v="260160"/>
    <s v="Chanda Nursery"/>
    <s v="9641878132"/>
  </r>
  <r>
    <s v="RCF Thal"/>
    <s v="N.C.Urea(45kg)"/>
    <s v="WB"/>
    <x v="6"/>
    <s v="Tufanganj - I"/>
    <s v="User Not Mapped"/>
    <s v="User Not Mapped"/>
    <s v="User Not Mapped"/>
    <n v="228752"/>
    <s v="Parbananda Roy"/>
    <s v="Private Retailer"/>
    <s v="9614373289"/>
    <n v="1.8"/>
    <n v="49"/>
    <x v="1"/>
    <m/>
    <s v="2026-03-09"/>
    <s v="260048"/>
    <s v="Raja Fertilizers(Cbh)"/>
    <s v="7602178949"/>
  </r>
  <r>
    <s v="RCF Trombay"/>
    <s v="15-15-15"/>
    <s v="WB"/>
    <x v="6"/>
    <s v="Tufanganj - I"/>
    <s v="User Not Mapped"/>
    <s v="User Not Mapped"/>
    <s v="User Not Mapped"/>
    <n v="228827"/>
    <s v="M/S- MAA KALI FERTILIZER"/>
    <s v="Private Retailer"/>
    <s v="8906559291"/>
    <n v="0.75"/>
    <n v="509"/>
    <x v="6"/>
    <m/>
    <s v="2024-12-04"/>
    <s v="260160"/>
    <s v="Chanda Nursery"/>
    <s v="9641878132"/>
  </r>
  <r>
    <s v="RCF Thal"/>
    <s v="N.C.Urea(45kg)"/>
    <s v="WB"/>
    <x v="6"/>
    <s v="Tufanganj - I"/>
    <s v="User Not Mapped"/>
    <s v="User Not Mapped"/>
    <s v="User Not Mapped"/>
    <n v="228833"/>
    <s v="M/s. Surath Saha"/>
    <s v="Private Retailer"/>
    <s v="9641019716"/>
    <n v="1.35"/>
    <n v="53"/>
    <x v="1"/>
    <m/>
    <s v="2026-03-05"/>
    <s v="260160"/>
    <s v="Chanda Nursery"/>
    <s v="9641878132"/>
  </r>
  <r>
    <s v="RCF Thal"/>
    <s v="N.C.Urea(45kg)"/>
    <s v="WB"/>
    <x v="6"/>
    <s v="Tufanganj - I"/>
    <s v="User Not Mapped"/>
    <s v="User Not Mapped"/>
    <s v="User Not Mapped"/>
    <n v="228833"/>
    <s v="M/s. Surath Saha"/>
    <s v="Private Retailer"/>
    <s v="9641019716"/>
    <n v="0.67500000000000004"/>
    <n v="45"/>
    <x v="1"/>
    <m/>
    <s v="2026-03-13"/>
    <s v="260160"/>
    <s v="Chanda Nursery"/>
    <s v="9641878132"/>
  </r>
  <r>
    <s v="RCF Import"/>
    <s v="Imp 10-26-26"/>
    <s v="WB"/>
    <x v="6"/>
    <s v="Tufanganj - I"/>
    <s v="User Not Mapped"/>
    <s v="User Not Mapped"/>
    <s v="User Not Mapped"/>
    <n v="251999"/>
    <s v="M/s. Ali Hossain"/>
    <s v="Private Retailer"/>
    <s v="9002154166"/>
    <n v="0.15"/>
    <n v="865"/>
    <x v="7"/>
    <m/>
    <s v="2023-12-14"/>
    <s v="260160"/>
    <s v="Chanda Nursery"/>
    <s v="9641878132"/>
  </r>
  <r>
    <s v="RCF Thal"/>
    <s v="N.C.Urea(45kg)"/>
    <s v="WB"/>
    <x v="6"/>
    <s v="Tufanganj - I"/>
    <s v="User Not Mapped"/>
    <s v="User Not Mapped"/>
    <s v="User Not Mapped"/>
    <n v="251999"/>
    <s v="M/s. Ali Hossain"/>
    <s v="Private Retailer"/>
    <s v="9002154166"/>
    <n v="0.45"/>
    <n v="46"/>
    <x v="1"/>
    <m/>
    <s v="2026-03-12"/>
    <s v="1214824"/>
    <s v="M/S. PRAHALLAD  DAS"/>
    <s v="9635190209"/>
  </r>
  <r>
    <s v="RCF Trombay"/>
    <s v="15-15-15"/>
    <s v="WB"/>
    <x v="6"/>
    <s v="Tufanganj - I"/>
    <s v="User Not Mapped"/>
    <s v="User Not Mapped"/>
    <s v="User Not Mapped"/>
    <n v="269571"/>
    <s v="Ibrahim Ali Bepari"/>
    <s v="Private Retailer"/>
    <s v="9733416896"/>
    <n v="0.25"/>
    <n v="500"/>
    <x v="6"/>
    <m/>
    <s v="2024-12-13"/>
    <s v="260160"/>
    <s v="Chanda Nursery"/>
    <s v="9641878132"/>
  </r>
  <r>
    <s v="RCF Thal"/>
    <s v="N.C.Urea(45kg)"/>
    <s v="WB"/>
    <x v="6"/>
    <s v="Tufanganj - I"/>
    <s v="User Not Mapped"/>
    <s v="User Not Mapped"/>
    <s v="User Not Mapped"/>
    <n v="269934"/>
    <s v="Jakir Hossain Bepari"/>
    <s v="Private Retailer"/>
    <s v="9641478070"/>
    <n v="0.45"/>
    <n v="52"/>
    <x v="1"/>
    <m/>
    <s v="2026-03-06"/>
    <s v="260160"/>
    <s v="Chanda Nursery"/>
    <s v="9641878132"/>
  </r>
  <r>
    <s v="RCF Thal"/>
    <s v="N.C.Urea(45kg)"/>
    <s v="WB"/>
    <x v="6"/>
    <s v="Tufanganj - I"/>
    <s v="User Not Mapped"/>
    <s v="User Not Mapped"/>
    <s v="User Not Mapped"/>
    <n v="270023"/>
    <s v="Jhirul Hoque Sarkar"/>
    <s v="Private Retailer"/>
    <s v="9800678453"/>
    <n v="2.88"/>
    <n v="48"/>
    <x v="1"/>
    <m/>
    <s v="2026-03-10"/>
    <s v="260160"/>
    <s v="Chanda Nursery"/>
    <s v="9641878132"/>
  </r>
  <r>
    <s v="RCF Thal"/>
    <s v="N.C.Urea(45kg)"/>
    <s v="WB"/>
    <x v="6"/>
    <s v="Tufanganj - I"/>
    <s v="User Not Mapped"/>
    <s v="User Not Mapped"/>
    <s v="User Not Mapped"/>
    <n v="271200"/>
    <s v="Krishi Bhander"/>
    <s v="Private Retailer"/>
    <s v="9932376509"/>
    <n v="0.09"/>
    <n v="48"/>
    <x v="1"/>
    <m/>
    <s v="2026-03-10"/>
    <s v="260160"/>
    <s v="Chanda Nursery"/>
    <s v="9641878132"/>
  </r>
  <r>
    <s v="RCF Thal"/>
    <s v="N.C.Urea(45kg)"/>
    <s v="WB"/>
    <x v="6"/>
    <s v="Tufanganj - I"/>
    <s v="User Not Mapped"/>
    <s v="User Not Mapped"/>
    <s v="User Not Mapped"/>
    <n v="271201"/>
    <s v="M/S-KRISHNA FERTILIZER"/>
    <s v="Private Retailer"/>
    <s v="9474433504"/>
    <n v="0.9"/>
    <n v="53"/>
    <x v="1"/>
    <m/>
    <s v="2026-03-05"/>
    <s v="260160"/>
    <s v="Chanda Nursery"/>
    <s v="9641878132"/>
  </r>
  <r>
    <s v="RCF Thal"/>
    <s v="N.C.Urea(45kg)"/>
    <s v="WB"/>
    <x v="6"/>
    <s v="Tufanganj - I"/>
    <s v="User Not Mapped"/>
    <s v="User Not Mapped"/>
    <s v="User Not Mapped"/>
    <n v="271208"/>
    <s v="M/s- Majiruddin Miah"/>
    <s v="Private Retailer"/>
    <s v="9734157387"/>
    <n v="0.27"/>
    <n v="48"/>
    <x v="1"/>
    <m/>
    <s v="2026-03-10"/>
    <s v="260160"/>
    <s v="Chanda Nursery"/>
    <s v="9641878132"/>
  </r>
  <r>
    <s v="RCF Thal"/>
    <s v="N.C.Urea(45kg)"/>
    <s v="WB"/>
    <x v="6"/>
    <s v="Tufanganj - I"/>
    <s v="User Not Mapped"/>
    <s v="User Not Mapped"/>
    <s v="User Not Mapped"/>
    <n v="271225"/>
    <s v="M/S- Nikhil Chandra Saha"/>
    <s v="Private Retailer"/>
    <s v="8967187482"/>
    <n v="0.45"/>
    <n v="42"/>
    <x v="1"/>
    <m/>
    <s v="2026-03-16"/>
    <s v="1214824"/>
    <s v="M/S. PRAHALLAD  DAS"/>
    <s v="9635190209"/>
  </r>
  <r>
    <s v="RCF Thal"/>
    <s v="N.C.Urea(45kg)"/>
    <s v="WB"/>
    <x v="6"/>
    <s v="Tufanganj - I"/>
    <s v="User Not Mapped"/>
    <s v="User Not Mapped"/>
    <s v="User Not Mapped"/>
    <n v="271232"/>
    <s v="Prashanta Debnath"/>
    <s v="Private Retailer"/>
    <s v="9475248049"/>
    <n v="0.45"/>
    <n v="47"/>
    <x v="1"/>
    <m/>
    <s v="2026-03-11"/>
    <s v="1214824"/>
    <s v="M/S. PRAHALLAD  DAS"/>
    <s v="9635190209"/>
  </r>
  <r>
    <s v="RCF Thal"/>
    <s v="N.C.Urea(45kg)"/>
    <s v="WB"/>
    <x v="6"/>
    <s v="Tufanganj - I"/>
    <s v="User Not Mapped"/>
    <s v="User Not Mapped"/>
    <s v="User Not Mapped"/>
    <n v="271232"/>
    <s v="Prashanta Debnath"/>
    <s v="Private Retailer"/>
    <s v="9475248049"/>
    <n v="0.67500000000000004"/>
    <n v="40"/>
    <x v="1"/>
    <m/>
    <s v="2026-03-18"/>
    <s v="260048"/>
    <s v="Raja Fertilizers(Cbh)"/>
    <s v="7602178949"/>
  </r>
  <r>
    <s v="RCF Thal"/>
    <s v="N.C.Urea(45kg)"/>
    <s v="WB"/>
    <x v="6"/>
    <s v="Tufanganj - I"/>
    <s v="User Not Mapped"/>
    <s v="User Not Mapped"/>
    <s v="User Not Mapped"/>
    <n v="271232"/>
    <s v="Prashanta Debnath"/>
    <s v="Private Retailer"/>
    <s v="9475248049"/>
    <n v="2.7"/>
    <n v="49"/>
    <x v="1"/>
    <m/>
    <s v="2026-03-09"/>
    <s v="260048"/>
    <s v="Raja Fertilizers(Cbh)"/>
    <s v="7602178949"/>
  </r>
  <r>
    <s v="RCF Import"/>
    <s v="Imp 10-26-26"/>
    <s v="WB"/>
    <x v="6"/>
    <s v="Tufanganj - I"/>
    <s v="User Not Mapped"/>
    <s v="User Not Mapped"/>
    <s v="User Not Mapped"/>
    <n v="271245"/>
    <s v="M/S- DULAL DAS"/>
    <s v="Private Retailer"/>
    <s v="9083234152"/>
    <n v="0.5"/>
    <n v="880"/>
    <x v="7"/>
    <m/>
    <s v="2023-11-29"/>
    <s v="1214827"/>
    <s v="BINOY DEY"/>
    <s v="9434483653"/>
  </r>
  <r>
    <s v="RCF Thal"/>
    <s v="N.C.Urea(45kg)"/>
    <s v="WB"/>
    <x v="6"/>
    <s v="Tufanganj - I"/>
    <s v="User Not Mapped"/>
    <s v="User Not Mapped"/>
    <s v="User Not Mapped"/>
    <n v="300568"/>
    <s v="M/S New Basundhara"/>
    <s v="Private Retailer"/>
    <s v="9434689887"/>
    <n v="0.09"/>
    <n v="53"/>
    <x v="1"/>
    <m/>
    <s v="2026-03-05"/>
    <s v="260160"/>
    <s v="Chanda Nursery"/>
    <s v="9641878132"/>
  </r>
  <r>
    <s v="RCF Thal"/>
    <s v="N.C.Urea(45kg)"/>
    <s v="WB"/>
    <x v="6"/>
    <s v="Tufanganj - I"/>
    <s v="User Not Mapped"/>
    <s v="User Not Mapped"/>
    <s v="User Not Mapped"/>
    <n v="403340"/>
    <s v="Roy Fertilizer"/>
    <s v="Private Retailer"/>
    <s v="9832572923"/>
    <n v="0.45"/>
    <n v="45"/>
    <x v="1"/>
    <m/>
    <s v="2026-03-13"/>
    <s v="260160"/>
    <s v="Chanda Nursery"/>
    <s v="9641878132"/>
  </r>
  <r>
    <s v="RCF Thal"/>
    <s v="N.C.Urea(45kg)"/>
    <s v="WB"/>
    <x v="6"/>
    <s v="Tufanganj - I"/>
    <s v="User Not Mapped"/>
    <s v="User Not Mapped"/>
    <s v="User Not Mapped"/>
    <n v="403340"/>
    <s v="Roy Fertilizer"/>
    <s v="Private Retailer"/>
    <s v="9832572923"/>
    <n v="0.36"/>
    <n v="48"/>
    <x v="1"/>
    <m/>
    <s v="2026-03-10"/>
    <s v="260160"/>
    <s v="Chanda Nursery"/>
    <s v="9641878132"/>
  </r>
  <r>
    <s v="RCF Thal"/>
    <s v="N.C.Urea(45kg)"/>
    <s v="WB"/>
    <x v="6"/>
    <s v="Tufanganj - I"/>
    <s v="User Not Mapped"/>
    <s v="User Not Mapped"/>
    <s v="User Not Mapped"/>
    <n v="403340"/>
    <s v="Roy Fertilizer"/>
    <s v="Private Retailer"/>
    <s v="9832572923"/>
    <n v="0.45"/>
    <n v="48"/>
    <x v="1"/>
    <m/>
    <s v="2026-03-10"/>
    <s v="1214824"/>
    <s v="M/S. PRAHALLAD  DAS"/>
    <s v="9635190209"/>
  </r>
  <r>
    <s v="RCF Thal"/>
    <s v="N.C.Urea(45kg)"/>
    <s v="WB"/>
    <x v="6"/>
    <s v="Tufanganj - I"/>
    <s v="User Not Mapped"/>
    <s v="User Not Mapped"/>
    <s v="User Not Mapped"/>
    <n v="552727"/>
    <s v="M/S Swasti Fertilizer"/>
    <s v="Private Retailer"/>
    <s v="6296701239"/>
    <n v="4.6349999999999998"/>
    <n v="51"/>
    <x v="1"/>
    <m/>
    <s v="2026-03-07"/>
    <s v="260160"/>
    <s v="Chanda Nursery"/>
    <s v="9641878132"/>
  </r>
  <r>
    <s v="RCF Import"/>
    <s v="MOP"/>
    <s v="WB"/>
    <x v="6"/>
    <s v="Tufanganj - I"/>
    <s v="User Not Mapped"/>
    <s v="User Not Mapped"/>
    <s v="User Not Mapped"/>
    <n v="589695"/>
    <s v="NARAYAN CHANDRA BARMAN"/>
    <s v="Private Retailer"/>
    <s v="9800981652"/>
    <n v="0.5"/>
    <n v="509"/>
    <x v="6"/>
    <m/>
    <s v="2024-12-04"/>
    <s v="260160"/>
    <s v="Chanda Nursery"/>
    <s v="9641878132"/>
  </r>
  <r>
    <s v="RCF Thal"/>
    <s v="N.C.Urea(45kg)"/>
    <s v="WB"/>
    <x v="6"/>
    <s v="Tufanganj - I"/>
    <s v="User Not Mapped"/>
    <s v="User Not Mapped"/>
    <s v="User Not Mapped"/>
    <n v="606343"/>
    <s v="M/S- ANIMESH RAY MANDAL"/>
    <s v="Private Retailer"/>
    <s v="9641543554"/>
    <n v="0.45"/>
    <n v="48"/>
    <x v="1"/>
    <m/>
    <s v="2026-03-10"/>
    <s v="260160"/>
    <s v="Chanda Nursery"/>
    <s v="9641878132"/>
  </r>
  <r>
    <s v="RCF Trombay"/>
    <s v="15-15-15"/>
    <s v="WB"/>
    <x v="6"/>
    <s v="Tufanganj - I"/>
    <s v="User Not Mapped"/>
    <s v="User Not Mapped"/>
    <s v="User Not Mapped"/>
    <n v="606343"/>
    <s v="M/S- ANIMESH RAY MANDAL"/>
    <s v="Private Retailer"/>
    <s v="9641543554"/>
    <n v="0.6"/>
    <n v="499"/>
    <x v="6"/>
    <m/>
    <s v="2024-12-14"/>
    <s v="260160"/>
    <s v="Chanda Nursery"/>
    <s v="9641878132"/>
  </r>
  <r>
    <s v="RCF Import"/>
    <s v="MOP"/>
    <s v="WB"/>
    <x v="6"/>
    <s v="Tufanganj - I"/>
    <s v="User Not Mapped"/>
    <s v="User Not Mapped"/>
    <s v="User Not Mapped"/>
    <n v="606343"/>
    <s v="M/S- ANIMESH RAY MANDAL"/>
    <s v="Private Retailer"/>
    <s v="9641543554"/>
    <n v="0.05"/>
    <n v="571"/>
    <x v="7"/>
    <m/>
    <s v="2024-10-03"/>
    <s v="260160"/>
    <s v="Chanda Nursery"/>
    <s v="9641878132"/>
  </r>
  <r>
    <s v="RCF Thal"/>
    <s v="N.C.Urea(45kg)"/>
    <s v="WB"/>
    <x v="6"/>
    <s v="Tufanganj - I"/>
    <s v="User Not Mapped"/>
    <s v="User Not Mapped"/>
    <s v="User Not Mapped"/>
    <n v="616525"/>
    <s v="M/S- SAIFUR RAHAMAN"/>
    <s v="Private Retailer"/>
    <s v="9749852424"/>
    <n v="1.125"/>
    <n v="979"/>
    <x v="7"/>
    <m/>
    <s v="2023-08-22"/>
    <s v="260160"/>
    <s v="Chanda Nursery"/>
    <s v="9641878132"/>
  </r>
  <r>
    <s v="RCF Trombay"/>
    <s v="15-15-15"/>
    <s v="WB"/>
    <x v="6"/>
    <s v="Tufanganj - I"/>
    <s v="User Not Mapped"/>
    <s v="User Not Mapped"/>
    <s v="User Not Mapped"/>
    <n v="616525"/>
    <s v="M/S- SAIFUR RAHAMAN"/>
    <s v="Private Retailer"/>
    <s v="9749852424"/>
    <n v="0.5"/>
    <n v="467"/>
    <x v="6"/>
    <m/>
    <s v="2025-01-15"/>
    <s v="1214824"/>
    <s v="M/S. PRAHALLAD  DAS"/>
    <s v="9635190209"/>
  </r>
  <r>
    <s v="RCF Thal"/>
    <s v="N.C.Urea(45kg)"/>
    <s v="WB"/>
    <x v="6"/>
    <s v="Tufanganj - I"/>
    <s v="User Not Mapped"/>
    <s v="User Not Mapped"/>
    <s v="User Not Mapped"/>
    <n v="620262"/>
    <s v="SUBODH CHANDRA DAS "/>
    <s v="Private Retailer"/>
    <s v="8967524690"/>
    <n v="0.09"/>
    <n v="52"/>
    <x v="1"/>
    <m/>
    <s v="2026-03-06"/>
    <s v="260160"/>
    <s v="Chanda Nursery"/>
    <s v="9641878132"/>
  </r>
  <r>
    <s v="RCF Thal"/>
    <s v="N.C.Urea(45kg)"/>
    <s v="WB"/>
    <x v="6"/>
    <s v="Tufanganj - I"/>
    <s v="User Not Mapped"/>
    <s v="User Not Mapped"/>
    <s v="User Not Mapped"/>
    <n v="631793"/>
    <s v="SAFIUL ISLAM SEKH"/>
    <s v="Private Retailer"/>
    <s v="7063157237"/>
    <n v="0.81"/>
    <n v="48"/>
    <x v="1"/>
    <m/>
    <s v="2026-03-10"/>
    <s v="260160"/>
    <s v="Chanda Nursery"/>
    <s v="9641878132"/>
  </r>
  <r>
    <s v="RCF Thal"/>
    <s v="N.C.Urea(45kg)"/>
    <s v="WB"/>
    <x v="6"/>
    <s v="Tufanganj - I"/>
    <s v="User Not Mapped"/>
    <s v="User Not Mapped"/>
    <s v="User Not Mapped"/>
    <n v="638996"/>
    <s v="M/S-CHINMAY SARKAR"/>
    <s v="Private Retailer"/>
    <s v="8759034893"/>
    <n v="1.3049999999999999"/>
    <n v="48"/>
    <x v="1"/>
    <m/>
    <s v="2026-03-10"/>
    <s v="260160"/>
    <s v="Chanda Nursery"/>
    <s v="9641878132"/>
  </r>
  <r>
    <s v="RCF Import"/>
    <s v="MOP"/>
    <s v="WB"/>
    <x v="6"/>
    <s v="Tufanganj - I"/>
    <s v="User Not Mapped"/>
    <s v="User Not Mapped"/>
    <s v="User Not Mapped"/>
    <n v="638996"/>
    <s v="M/S-CHINMAY SARKAR"/>
    <s v="Private Retailer"/>
    <s v="8759034893"/>
    <n v="0.1"/>
    <n v="593"/>
    <x v="7"/>
    <m/>
    <s v="2024-09-11"/>
    <s v="260160"/>
    <s v="Chanda Nursery"/>
    <s v="9641878132"/>
  </r>
  <r>
    <s v="RCF Thal"/>
    <s v="N.C.Urea(45kg)"/>
    <s v="WB"/>
    <x v="6"/>
    <s v="Tufanganj - I"/>
    <s v="User Not Mapped"/>
    <s v="User Not Mapped"/>
    <s v="User Not Mapped"/>
    <n v="653568"/>
    <s v="M/S SAMIM ABEDIN"/>
    <s v="Private Retailer"/>
    <s v="9563871687"/>
    <n v="8.01"/>
    <n v="48"/>
    <x v="1"/>
    <m/>
    <s v="2026-03-10"/>
    <s v="260048"/>
    <s v="Raja Fertilizers(Cbh)"/>
    <s v="7602178949"/>
  </r>
  <r>
    <s v="RCF Thal"/>
    <s v="N.C.Urea(45kg)"/>
    <s v="WB"/>
    <x v="6"/>
    <s v="Tufanganj - I"/>
    <s v="User Not Mapped"/>
    <s v="User Not Mapped"/>
    <s v="User Not Mapped"/>
    <n v="655407"/>
    <s v="M/S ASHRAFUL ALAM"/>
    <s v="Private Retailer"/>
    <s v="9002985325"/>
    <n v="0.54"/>
    <n v="52"/>
    <x v="1"/>
    <m/>
    <s v="2026-03-06"/>
    <s v="260160"/>
    <s v="Chanda Nursery"/>
    <s v="9641878132"/>
  </r>
  <r>
    <s v="RCF Import"/>
    <s v="MOP"/>
    <s v="WB"/>
    <x v="6"/>
    <s v="Tufanganj - I"/>
    <s v="User Not Mapped"/>
    <s v="User Not Mapped"/>
    <s v="User Not Mapped"/>
    <n v="655407"/>
    <s v="M/S ASHRAFUL ALAM"/>
    <s v="Private Retailer"/>
    <s v="9002985325"/>
    <n v="0.25"/>
    <n v="497"/>
    <x v="6"/>
    <m/>
    <s v="2024-12-16"/>
    <s v="260160"/>
    <s v="Chanda Nursery"/>
    <s v="9641878132"/>
  </r>
  <r>
    <s v="RCF Import"/>
    <s v="MOP"/>
    <s v="WB"/>
    <x v="6"/>
    <s v="Tufanganj - I"/>
    <s v="User Not Mapped"/>
    <s v="User Not Mapped"/>
    <s v="User Not Mapped"/>
    <n v="655407"/>
    <s v="M/S ASHRAFUL ALAM"/>
    <s v="Private Retailer"/>
    <s v="9002985325"/>
    <n v="0.25"/>
    <n v="499"/>
    <x v="6"/>
    <m/>
    <s v="2024-12-14"/>
    <s v="260160"/>
    <s v="Chanda Nursery"/>
    <s v="9641878132"/>
  </r>
  <r>
    <s v="RCF Import"/>
    <s v="MOP"/>
    <s v="WB"/>
    <x v="6"/>
    <s v="Tufanganj - I"/>
    <s v="User Not Mapped"/>
    <s v="User Not Mapped"/>
    <s v="User Not Mapped"/>
    <n v="655407"/>
    <s v="M/S ASHRAFUL ALAM"/>
    <s v="Private Retailer"/>
    <s v="9002985325"/>
    <n v="0.4"/>
    <n v="502"/>
    <x v="6"/>
    <m/>
    <s v="2024-12-11"/>
    <s v="260160"/>
    <s v="Chanda Nursery"/>
    <s v="9641878132"/>
  </r>
  <r>
    <s v="RCF Import"/>
    <s v="MOP"/>
    <s v="WB"/>
    <x v="6"/>
    <s v="Tufanganj - I"/>
    <s v="User Not Mapped"/>
    <s v="User Not Mapped"/>
    <s v="User Not Mapped"/>
    <n v="655407"/>
    <s v="M/S ASHRAFUL ALAM"/>
    <s v="Private Retailer"/>
    <s v="9002985325"/>
    <n v="0.25"/>
    <n v="504"/>
    <x v="6"/>
    <m/>
    <s v="2024-12-09"/>
    <s v="260160"/>
    <s v="Chanda Nursery"/>
    <s v="9641878132"/>
  </r>
  <r>
    <s v="RCF Thal"/>
    <s v="N.C.Urea(45kg)"/>
    <s v="WB"/>
    <x v="6"/>
    <s v="Tufanganj - I"/>
    <s v="User Not Mapped"/>
    <s v="User Not Mapped"/>
    <s v="User Not Mapped"/>
    <n v="655407"/>
    <s v="M/S ASHRAFUL ALAM"/>
    <s v="Private Retailer"/>
    <s v="9002985325"/>
    <n v="0.63"/>
    <n v="40"/>
    <x v="1"/>
    <m/>
    <s v="2026-03-18"/>
    <s v="260048"/>
    <s v="Raja Fertilizers(Cbh)"/>
    <s v="7602178949"/>
  </r>
  <r>
    <s v="RCF Import"/>
    <s v="MOP"/>
    <s v="WB"/>
    <x v="6"/>
    <s v="Tufanganj - I"/>
    <s v="User Not Mapped"/>
    <s v="User Not Mapped"/>
    <s v="User Not Mapped"/>
    <n v="655407"/>
    <s v="M/S ASHRAFUL ALAM"/>
    <s v="Private Retailer"/>
    <s v="9002985325"/>
    <n v="0.25"/>
    <n v="507"/>
    <x v="6"/>
    <m/>
    <s v="2024-12-06"/>
    <s v="260160"/>
    <s v="Chanda Nursery"/>
    <s v="9641878132"/>
  </r>
  <r>
    <s v="RCF Import"/>
    <s v="MOP"/>
    <s v="WB"/>
    <x v="6"/>
    <s v="Tufanganj - I"/>
    <s v="User Not Mapped"/>
    <s v="User Not Mapped"/>
    <s v="User Not Mapped"/>
    <n v="655407"/>
    <s v="M/S ASHRAFUL ALAM"/>
    <s v="Private Retailer"/>
    <s v="9002985325"/>
    <n v="0.25"/>
    <n v="506"/>
    <x v="6"/>
    <m/>
    <s v="2024-12-07"/>
    <s v="260160"/>
    <s v="Chanda Nursery"/>
    <s v="9641878132"/>
  </r>
  <r>
    <s v="RCF Thal"/>
    <s v="N.C.Urea(45kg)"/>
    <s v="WB"/>
    <x v="6"/>
    <s v="Tufanganj - I"/>
    <s v="User Not Mapped"/>
    <s v="User Not Mapped"/>
    <s v="User Not Mapped"/>
    <n v="655407"/>
    <s v="M/S ASHRAFUL ALAM"/>
    <s v="Private Retailer"/>
    <s v="9002985325"/>
    <n v="0.63"/>
    <n v="49"/>
    <x v="1"/>
    <m/>
    <s v="2026-03-09"/>
    <s v="260048"/>
    <s v="Raja Fertilizers(Cbh)"/>
    <s v="7602178949"/>
  </r>
  <r>
    <s v="RCF Thal"/>
    <s v="N.C.Urea(45kg)"/>
    <s v="WB"/>
    <x v="6"/>
    <s v="Tufanganj - I"/>
    <s v="User Not Mapped"/>
    <s v="User Not Mapped"/>
    <s v="User Not Mapped"/>
    <n v="852160"/>
    <s v="PRASANTA SAHA"/>
    <s v="Private Retailer"/>
    <s v="8016229738"/>
    <n v="0.67500000000000004"/>
    <n v="48"/>
    <x v="1"/>
    <m/>
    <s v="2026-03-10"/>
    <s v="260160"/>
    <s v="Chanda Nursery"/>
    <s v="9641878132"/>
  </r>
  <r>
    <s v="RCF Import"/>
    <s v="MOP"/>
    <s v="WB"/>
    <x v="6"/>
    <s v="Tufanganj - I"/>
    <s v="User Not Mapped"/>
    <s v="User Not Mapped"/>
    <s v="User Not Mapped"/>
    <n v="879513"/>
    <s v="BIDHAN CHANDRA DAS"/>
    <s v="Private Retailer"/>
    <s v="8906063534"/>
    <n v="0.1"/>
    <n v="579"/>
    <x v="7"/>
    <m/>
    <s v="2024-09-25"/>
    <s v="260160"/>
    <s v="Chanda Nursery"/>
    <s v="9641878132"/>
  </r>
  <r>
    <s v="RCF Import"/>
    <s v="MOP"/>
    <s v="WB"/>
    <x v="6"/>
    <s v="Tufanganj - I"/>
    <s v="User Not Mapped"/>
    <s v="User Not Mapped"/>
    <s v="User Not Mapped"/>
    <n v="879513"/>
    <s v="BIDHAN CHANDRA DAS"/>
    <s v="Private Retailer"/>
    <s v="8906063534"/>
    <n v="0.25"/>
    <n v="508"/>
    <x v="6"/>
    <m/>
    <s v="2024-12-05"/>
    <s v="260160"/>
    <s v="Chanda Nursery"/>
    <s v="9641878132"/>
  </r>
  <r>
    <s v="RCF Import"/>
    <s v="MOP"/>
    <s v="WB"/>
    <x v="6"/>
    <s v="Tufanganj - I"/>
    <s v="User Not Mapped"/>
    <s v="User Not Mapped"/>
    <s v="User Not Mapped"/>
    <n v="879513"/>
    <s v="BIDHAN CHANDRA DAS"/>
    <s v="Private Retailer"/>
    <s v="8906063534"/>
    <n v="0.2"/>
    <n v="556"/>
    <x v="7"/>
    <m/>
    <s v="2024-10-18"/>
    <s v="260160"/>
    <s v="Chanda Nursery"/>
    <s v="9641878132"/>
  </r>
  <r>
    <s v="RCF Thal"/>
    <s v="N.C.Urea(45kg)"/>
    <s v="WB"/>
    <x v="6"/>
    <s v="Tufanganj - I"/>
    <s v="User Not Mapped"/>
    <s v="User Not Mapped"/>
    <s v="User Not Mapped"/>
    <n v="994342"/>
    <s v="SUNIT KUMAR ROY"/>
    <s v="Private Retailer"/>
    <s v="7797987011"/>
    <n v="0.54"/>
    <n v="48"/>
    <x v="1"/>
    <m/>
    <s v="2026-03-10"/>
    <s v="260160"/>
    <s v="Chanda Nursery"/>
    <s v="9641878132"/>
  </r>
  <r>
    <s v="RCF Thal"/>
    <s v="N.C.Urea(45kg)"/>
    <s v="WB"/>
    <x v="6"/>
    <s v="Tufanganj - I"/>
    <s v="User Not Mapped"/>
    <s v="User Not Mapped"/>
    <s v="User Not Mapped"/>
    <n v="994342"/>
    <s v="SUNIT KUMAR ROY"/>
    <s v="Private Retailer"/>
    <s v="7797987011"/>
    <n v="0.495"/>
    <n v="53"/>
    <x v="1"/>
    <m/>
    <s v="2026-03-05"/>
    <s v="260160"/>
    <s v="Chanda Nursery"/>
    <s v="9641878132"/>
  </r>
  <r>
    <s v="RCF Thal"/>
    <s v="N.C.Urea(45kg)"/>
    <s v="WB"/>
    <x v="6"/>
    <s v="Tufanganj - I"/>
    <s v="User Not Mapped"/>
    <s v="User Not Mapped"/>
    <s v="User Not Mapped"/>
    <n v="1053407"/>
    <s v="M/S SANJOY KUMAR DAS"/>
    <s v="Private Retailer"/>
    <s v="9851412454"/>
    <n v="0.9"/>
    <n v="45"/>
    <x v="1"/>
    <m/>
    <s v="2026-03-13"/>
    <s v="1214824"/>
    <s v="M/S. PRAHALLAD  DAS"/>
    <s v="9635190209"/>
  </r>
  <r>
    <s v="RCF Thal"/>
    <s v="N.C.Urea(45kg)"/>
    <s v="WB"/>
    <x v="6"/>
    <s v="Tufanganj - I"/>
    <s v="User Not Mapped"/>
    <s v="User Not Mapped"/>
    <s v="User Not Mapped"/>
    <n v="1064832"/>
    <s v="M/S. GOLAM SAROYAR BYAPARI"/>
    <s v="Private Retailer"/>
    <s v="9582998363"/>
    <n v="0.67500000000000004"/>
    <n v="45"/>
    <x v="1"/>
    <m/>
    <s v="2026-03-13"/>
    <s v="260160"/>
    <s v="Chanda Nursery"/>
    <s v="9641878132"/>
  </r>
  <r>
    <s v="RCF Thal"/>
    <s v="N.C.Urea(45kg)"/>
    <s v="WB"/>
    <x v="6"/>
    <s v="Tufanganj - I"/>
    <s v="User Not Mapped"/>
    <s v="User Not Mapped"/>
    <s v="User Not Mapped"/>
    <n v="1073404"/>
    <s v="M/S RANJIT KR. DAS"/>
    <s v="Private Retailer"/>
    <s v="9614694410"/>
    <n v="0.58499999999999996"/>
    <n v="53"/>
    <x v="1"/>
    <m/>
    <s v="2026-03-05"/>
    <s v="260160"/>
    <s v="Chanda Nursery"/>
    <s v="9641878132"/>
  </r>
  <r>
    <s v="RCF Thal"/>
    <s v="N.C.Urea(45kg)"/>
    <s v="WB"/>
    <x v="6"/>
    <s v="Tufanganj - I"/>
    <s v="User Not Mapped"/>
    <s v="User Not Mapped"/>
    <s v="User Not Mapped"/>
    <n v="1073404"/>
    <s v="M/S RANJIT KR. DAS"/>
    <s v="Private Retailer"/>
    <s v="9614694410"/>
    <n v="1.0349999999999999"/>
    <n v="48"/>
    <x v="1"/>
    <m/>
    <s v="2026-03-10"/>
    <s v="260160"/>
    <s v="Chanda Nursery"/>
    <s v="9641878132"/>
  </r>
  <r>
    <s v="RCF Thal"/>
    <s v="N.C.Urea(45kg)"/>
    <s v="WB"/>
    <x v="6"/>
    <s v="Tufanganj - I"/>
    <s v="User Not Mapped"/>
    <s v="User Not Mapped"/>
    <s v="User Not Mapped"/>
    <n v="1073404"/>
    <s v="M/S RANJIT KR. DAS"/>
    <s v="Private Retailer"/>
    <s v="9614694410"/>
    <n v="1.53"/>
    <n v="45"/>
    <x v="1"/>
    <m/>
    <s v="2026-03-13"/>
    <s v="260160"/>
    <s v="Chanda Nursery"/>
    <s v="9641878132"/>
  </r>
  <r>
    <s v="RCF Thal"/>
    <s v="N.C.Urea(45kg)"/>
    <s v="WB"/>
    <x v="6"/>
    <s v="Tufanganj - I"/>
    <s v="User Not Mapped"/>
    <s v="User Not Mapped"/>
    <s v="User Not Mapped"/>
    <n v="1082792"/>
    <s v="M S. KRISHI GHAR"/>
    <s v="Private Retailer"/>
    <s v="7001617810"/>
    <n v="0.22500000000000001"/>
    <n v="42"/>
    <x v="1"/>
    <m/>
    <s v="2026-03-16"/>
    <s v="1214824"/>
    <s v="M/S. PRAHALLAD  DAS"/>
    <s v="9635190209"/>
  </r>
  <r>
    <s v="RCF Thal"/>
    <s v="N.C.Urea(45kg)"/>
    <s v="WB"/>
    <x v="6"/>
    <s v="Tufanganj - I"/>
    <s v="User Not Mapped"/>
    <s v="User Not Mapped"/>
    <s v="User Not Mapped"/>
    <n v="1082792"/>
    <s v="M S. KRISHI GHAR"/>
    <s v="Private Retailer"/>
    <s v="7001617810"/>
    <n v="0.45"/>
    <n v="30"/>
    <x v="4"/>
    <m/>
    <s v="2026-03-28"/>
    <s v="1214824"/>
    <s v="M/S. PRAHALLAD  DAS"/>
    <s v="9635190209"/>
  </r>
  <r>
    <s v="RCF Thal"/>
    <s v="N.C.Urea(45kg)"/>
    <s v="WB"/>
    <x v="6"/>
    <s v="Tufanganj - I"/>
    <s v="User Not Mapped"/>
    <s v="User Not Mapped"/>
    <s v="User Not Mapped"/>
    <n v="1321881"/>
    <s v="MOFIJUL RAHAMAN"/>
    <s v="Private Retailer"/>
    <s v="7900034230"/>
    <n v="0.9"/>
    <n v="53"/>
    <x v="1"/>
    <m/>
    <s v="2026-03-05"/>
    <s v="260160"/>
    <s v="Chanda Nursery"/>
    <s v="9641878132"/>
  </r>
  <r>
    <s v="RCF Thal"/>
    <s v="N.C.Urea(45kg)"/>
    <s v="WB"/>
    <x v="6"/>
    <s v="Tufanganj - I"/>
    <s v="User Not Mapped"/>
    <s v="User Not Mapped"/>
    <s v="User Not Mapped"/>
    <n v="1610464"/>
    <s v="M/s. Bhowmik Fertilizer"/>
    <s v="Private Retailer"/>
    <s v="9832498445"/>
    <n v="0.67500000000000004"/>
    <n v="53"/>
    <x v="1"/>
    <m/>
    <s v="2026-03-05"/>
    <s v="260160"/>
    <s v="Chanda Nursery"/>
    <s v="9641878132"/>
  </r>
  <r>
    <s v="RCF Thal"/>
    <s v="N.C.Urea(45kg)"/>
    <s v="WB"/>
    <x v="6"/>
    <s v="Tufanganj - II"/>
    <s v="User Not Mapped"/>
    <s v="User Not Mapped"/>
    <s v="User Not Mapped"/>
    <n v="228633"/>
    <s v="Gopal Sarkar"/>
    <s v="Private Retailer"/>
    <s v="7602592474"/>
    <n v="1.44"/>
    <n v="48"/>
    <x v="1"/>
    <m/>
    <s v="2026-03-10"/>
    <s v="260160"/>
    <s v="Chanda Nursery"/>
    <s v="9641878132"/>
  </r>
  <r>
    <s v="RCF Thal"/>
    <s v="N.C.Urea(45kg)"/>
    <s v="WB"/>
    <x v="6"/>
    <s v="Tufanganj - II"/>
    <s v="User Not Mapped"/>
    <s v="User Not Mapped"/>
    <s v="User Not Mapped"/>
    <n v="228680"/>
    <s v="Mahendra Kohar"/>
    <s v="Private Retailer"/>
    <s v="9933118970"/>
    <n v="3.0150000000000001"/>
    <n v="48"/>
    <x v="1"/>
    <m/>
    <s v="2026-03-10"/>
    <s v="260048"/>
    <s v="Raja Fertilizers(Cbh)"/>
    <s v="7602178949"/>
  </r>
  <r>
    <s v="RCF Thal"/>
    <s v="N.C.Urea(45kg)"/>
    <s v="WB"/>
    <x v="6"/>
    <s v="Tufanganj - II"/>
    <s v="User Not Mapped"/>
    <s v="User Not Mapped"/>
    <s v="User Not Mapped"/>
    <n v="228680"/>
    <s v="Mahendra Kohar"/>
    <s v="Private Retailer"/>
    <s v="9933118970"/>
    <n v="0.22500000000000001"/>
    <n v="30"/>
    <x v="4"/>
    <m/>
    <s v="2026-03-28"/>
    <s v="1214824"/>
    <s v="M/S. PRAHALLAD  DAS"/>
    <s v="9635190209"/>
  </r>
  <r>
    <s v="RCF Thal"/>
    <s v="N.C.Urea(45kg)"/>
    <s v="WB"/>
    <x v="6"/>
    <s v="Tufanganj - II"/>
    <s v="User Not Mapped"/>
    <s v="User Not Mapped"/>
    <s v="User Not Mapped"/>
    <n v="228736"/>
    <s v="Nikhil Chandra Saha"/>
    <s v="Private Retailer"/>
    <s v="9474061257"/>
    <n v="0.36"/>
    <n v="42"/>
    <x v="1"/>
    <m/>
    <s v="2026-03-16"/>
    <s v="1214824"/>
    <s v="M/S. PRAHALLAD  DAS"/>
    <s v="9635190209"/>
  </r>
  <r>
    <s v="RCF Thal"/>
    <s v="N.C.Urea(45kg)"/>
    <s v="WB"/>
    <x v="6"/>
    <s v="Tufanganj - II"/>
    <s v="User Not Mapped"/>
    <s v="User Not Mapped"/>
    <s v="User Not Mapped"/>
    <n v="228743"/>
    <s v="Nitish Debnath"/>
    <s v="Private Retailer"/>
    <s v="9002692068"/>
    <n v="0.18"/>
    <n v="45"/>
    <x v="1"/>
    <m/>
    <s v="2026-03-13"/>
    <s v="260160"/>
    <s v="Chanda Nursery"/>
    <s v="9641878132"/>
  </r>
  <r>
    <s v="RCF Thal"/>
    <s v="N.C.Urea(45kg)"/>
    <s v="WB"/>
    <x v="6"/>
    <s v="Tufanganj - II"/>
    <s v="User Not Mapped"/>
    <s v="User Not Mapped"/>
    <s v="User Not Mapped"/>
    <n v="252660"/>
    <s v="M/s. Barman Fertilizer"/>
    <s v="Private Retailer"/>
    <s v="9635289690"/>
    <n v="10.305"/>
    <n v="48"/>
    <x v="1"/>
    <m/>
    <s v="2026-03-10"/>
    <s v="260048"/>
    <s v="Raja Fertilizers(Cbh)"/>
    <s v="7602178949"/>
  </r>
  <r>
    <s v="RCF Thal"/>
    <s v="N.C.Urea(45kg)"/>
    <s v="WB"/>
    <x v="6"/>
    <s v="Tufanganj - II"/>
    <s v="User Not Mapped"/>
    <s v="User Not Mapped"/>
    <s v="User Not Mapped"/>
    <n v="271243"/>
    <s v="M/s. Sailen Chandra Das"/>
    <s v="Private Retailer"/>
    <s v="9734108238"/>
    <n v="0.09"/>
    <n v="53"/>
    <x v="1"/>
    <m/>
    <s v="2026-03-05"/>
    <s v="260160"/>
    <s v="Chanda Nursery"/>
    <s v="9641878132"/>
  </r>
  <r>
    <s v="RCF Thal"/>
    <s v="N.C.Urea(45kg)"/>
    <s v="WB"/>
    <x v="6"/>
    <s v="Tufanganj - II"/>
    <s v="User Not Mapped"/>
    <s v="User Not Mapped"/>
    <s v="User Not Mapped"/>
    <n v="271249"/>
    <s v="M/s. Sri Krishna Fertilizer"/>
    <s v="Private Retailer"/>
    <s v="9933482797"/>
    <n v="0.99"/>
    <n v="48"/>
    <x v="1"/>
    <m/>
    <s v="2026-03-10"/>
    <s v="260160"/>
    <s v="Chanda Nursery"/>
    <s v="9641878132"/>
  </r>
  <r>
    <s v="RCF Thal"/>
    <s v="N.C.Urea(45kg)"/>
    <s v="WB"/>
    <x v="6"/>
    <s v="Tufanganj - II"/>
    <s v="User Not Mapped"/>
    <s v="User Not Mapped"/>
    <s v="User Not Mapped"/>
    <n v="271253"/>
    <s v="M/s. Krishna Kanta Barman"/>
    <s v="Private Retailer"/>
    <s v="8016109892"/>
    <n v="0.67500000000000004"/>
    <n v="48"/>
    <x v="1"/>
    <m/>
    <s v="2026-03-10"/>
    <s v="260048"/>
    <s v="Raja Fertilizers(Cbh)"/>
    <s v="7602178949"/>
  </r>
  <r>
    <s v="RCF Thal"/>
    <s v="N.C.Urea(45kg)"/>
    <s v="WB"/>
    <x v="6"/>
    <s v="Tufanganj - II"/>
    <s v="User Not Mapped"/>
    <s v="User Not Mapped"/>
    <s v="User Not Mapped"/>
    <n v="271256"/>
    <s v="Sujal Paul"/>
    <s v="Private Retailer"/>
    <s v="9434814172"/>
    <n v="0.67500000000000004"/>
    <n v="49"/>
    <x v="1"/>
    <m/>
    <s v="2026-03-09"/>
    <s v="260048"/>
    <s v="Raja Fertilizers(Cbh)"/>
    <s v="7602178949"/>
  </r>
  <r>
    <s v="RCF Thal"/>
    <s v="N.C.Urea(45kg)"/>
    <s v="WB"/>
    <x v="6"/>
    <s v="Tufanganj - II"/>
    <s v="User Not Mapped"/>
    <s v="User Not Mapped"/>
    <s v="User Not Mapped"/>
    <n v="271256"/>
    <s v="Sujal Paul"/>
    <s v="Private Retailer"/>
    <s v="9434814172"/>
    <n v="0.67500000000000004"/>
    <n v="53"/>
    <x v="1"/>
    <m/>
    <s v="2026-03-05"/>
    <s v="260160"/>
    <s v="Chanda Nursery"/>
    <s v="9641878132"/>
  </r>
  <r>
    <s v="RCF Thal"/>
    <s v="N.C.Urea(45kg)"/>
    <s v="WB"/>
    <x v="6"/>
    <s v="Tufanganj - II"/>
    <s v="User Not Mapped"/>
    <s v="User Not Mapped"/>
    <s v="User Not Mapped"/>
    <n v="271257"/>
    <s v="Sukumar Barman"/>
    <s v="Private Retailer"/>
    <s v="9679775441"/>
    <n v="11.475"/>
    <n v="49"/>
    <x v="1"/>
    <m/>
    <s v="2026-03-09"/>
    <s v="260048"/>
    <s v="Raja Fertilizers(Cbh)"/>
    <s v="7602178949"/>
  </r>
  <r>
    <s v="RCF Thal"/>
    <s v="N.C.Urea(45kg)"/>
    <s v="WB"/>
    <x v="6"/>
    <s v="Tufanganj - II"/>
    <s v="User Not Mapped"/>
    <s v="User Not Mapped"/>
    <s v="User Not Mapped"/>
    <n v="403296"/>
    <s v="M/s. Kishor Barman"/>
    <s v="Private Retailer"/>
    <s v="9635619142"/>
    <n v="1.665"/>
    <n v="19"/>
    <x v="4"/>
    <m/>
    <s v="2026-04-08"/>
    <s v="260160"/>
    <s v="Chanda Nursery"/>
    <s v="9641878132"/>
  </r>
  <r>
    <s v="RCF Thal"/>
    <s v="N.C.Urea(45kg)"/>
    <s v="WB"/>
    <x v="6"/>
    <s v="Tufanganj - II"/>
    <s v="User Not Mapped"/>
    <s v="User Not Mapped"/>
    <s v="User Not Mapped"/>
    <n v="501706"/>
    <s v="M/s. Layek Fertilizer"/>
    <s v="Private Retailer"/>
    <s v="8972703467"/>
    <n v="0.9"/>
    <n v="48"/>
    <x v="1"/>
    <m/>
    <s v="2026-03-10"/>
    <s v="1214824"/>
    <s v="M/S. PRAHALLAD  DAS"/>
    <s v="9635190209"/>
  </r>
  <r>
    <s v="RCF Thal"/>
    <s v="N.C.Urea(45kg)"/>
    <s v="WB"/>
    <x v="6"/>
    <s v="Tufanganj - II"/>
    <s v="User Not Mapped"/>
    <s v="User Not Mapped"/>
    <s v="User Not Mapped"/>
    <n v="501706"/>
    <s v="M/s. Layek Fertilizer"/>
    <s v="Private Retailer"/>
    <s v="8972703467"/>
    <n v="0.45"/>
    <n v="46"/>
    <x v="1"/>
    <m/>
    <s v="2026-03-12"/>
    <s v="1214824"/>
    <s v="M/S. PRAHALLAD  DAS"/>
    <s v="9635190209"/>
  </r>
  <r>
    <s v="RCF Trombay"/>
    <s v="N.C.Urea(45kg)"/>
    <s v="WB"/>
    <x v="6"/>
    <s v="Tufanganj - II"/>
    <s v="User Not Mapped"/>
    <s v="User Not Mapped"/>
    <s v="User Not Mapped"/>
    <n v="505278"/>
    <s v="M/s. Narayan Saha"/>
    <s v="Private Retailer"/>
    <s v="9679607758"/>
    <n v="0.18"/>
    <n v="73"/>
    <x v="2"/>
    <m/>
    <s v="2026-02-13"/>
    <s v="1214824"/>
    <s v="M/S. PRAHALLAD  DAS"/>
    <s v="9635190209"/>
  </r>
  <r>
    <s v="RCF Thal"/>
    <s v="N.C.Urea(45kg)"/>
    <s v="WB"/>
    <x v="6"/>
    <s v="Tufanganj - II"/>
    <s v="User Not Mapped"/>
    <s v="User Not Mapped"/>
    <s v="User Not Mapped"/>
    <n v="506880"/>
    <s v="M/s. Prallad Chandra Sen"/>
    <s v="Private Retailer"/>
    <s v="8670508523"/>
    <n v="0.67500000000000004"/>
    <n v="30"/>
    <x v="4"/>
    <m/>
    <s v="2026-03-28"/>
    <s v="1214824"/>
    <s v="M/S. PRAHALLAD  DAS"/>
    <s v="9635190209"/>
  </r>
  <r>
    <s v="RCF Thal"/>
    <s v="N.C.Urea(45kg)"/>
    <s v="WB"/>
    <x v="6"/>
    <s v="Tufanganj - II"/>
    <s v="User Not Mapped"/>
    <s v="User Not Mapped"/>
    <s v="User Not Mapped"/>
    <n v="507576"/>
    <s v="Barun Chandra Arya"/>
    <s v="Private Retailer"/>
    <s v="9734971349"/>
    <n v="0.36"/>
    <n v="46"/>
    <x v="1"/>
    <m/>
    <s v="2026-03-12"/>
    <s v="1214824"/>
    <s v="M/S. PRAHALLAD  DAS"/>
    <s v="9635190209"/>
  </r>
  <r>
    <s v="RCF Thal"/>
    <s v="N.C.Urea(45kg)"/>
    <s v="WB"/>
    <x v="6"/>
    <s v="Tufanganj - II"/>
    <s v="User Not Mapped"/>
    <s v="User Not Mapped"/>
    <s v="User Not Mapped"/>
    <n v="507576"/>
    <s v="Barun Chandra Arya"/>
    <s v="Private Retailer"/>
    <s v="9734971349"/>
    <n v="0.27"/>
    <n v="48"/>
    <x v="1"/>
    <m/>
    <s v="2026-03-10"/>
    <s v="1214824"/>
    <s v="M/S. PRAHALLAD  DAS"/>
    <s v="9635190209"/>
  </r>
  <r>
    <s v="RCF Thal"/>
    <s v="N.C.Urea(45kg)"/>
    <s v="WB"/>
    <x v="6"/>
    <s v="Tufanganj - II"/>
    <s v="User Not Mapped"/>
    <s v="User Not Mapped"/>
    <s v="User Not Mapped"/>
    <n v="507576"/>
    <s v="Barun Chandra Arya"/>
    <s v="Private Retailer"/>
    <s v="9734971349"/>
    <n v="0.27"/>
    <n v="30"/>
    <x v="4"/>
    <m/>
    <s v="2026-03-28"/>
    <s v="1214824"/>
    <s v="M/S. PRAHALLAD  DAS"/>
    <s v="9635190209"/>
  </r>
  <r>
    <s v="RCF Thal"/>
    <s v="N.C.Urea(45kg)"/>
    <s v="WB"/>
    <x v="6"/>
    <s v="Tufanganj - II"/>
    <s v="User Not Mapped"/>
    <s v="User Not Mapped"/>
    <s v="User Not Mapped"/>
    <n v="507576"/>
    <s v="Barun Chandra Arya"/>
    <s v="Private Retailer"/>
    <s v="9734971349"/>
    <n v="0.36"/>
    <n v="42"/>
    <x v="1"/>
    <m/>
    <s v="2026-03-16"/>
    <s v="1214824"/>
    <s v="M/S. PRAHALLAD  DAS"/>
    <s v="9635190209"/>
  </r>
  <r>
    <s v="RCF Thal"/>
    <s v="N.C.Urea(45kg)"/>
    <s v="WB"/>
    <x v="6"/>
    <s v="Tufanganj - II"/>
    <s v="User Not Mapped"/>
    <s v="User Not Mapped"/>
    <s v="User Not Mapped"/>
    <n v="507580"/>
    <s v="M/s. Joy Ma  Krishi Bhandar"/>
    <s v="Private Retailer"/>
    <s v="9635748311"/>
    <n v="0.40500000000000003"/>
    <n v="45"/>
    <x v="1"/>
    <m/>
    <s v="2026-03-13"/>
    <s v="260160"/>
    <s v="Chanda Nursery"/>
    <s v="9641878132"/>
  </r>
  <r>
    <s v="RCF Thal"/>
    <s v="N.C.Urea(45kg)"/>
    <s v="WB"/>
    <x v="6"/>
    <s v="Tufanganj - II"/>
    <s v="User Not Mapped"/>
    <s v="User Not Mapped"/>
    <s v="User Not Mapped"/>
    <n v="544350"/>
    <s v="M/s. Ma Lakshmi Krishi Kendra"/>
    <s v="Private Retailer"/>
    <s v="9932722957"/>
    <n v="0.40500000000000003"/>
    <n v="48"/>
    <x v="1"/>
    <m/>
    <s v="2026-03-10"/>
    <s v="260160"/>
    <s v="Chanda Nursery"/>
    <s v="9641878132"/>
  </r>
  <r>
    <s v="RCF Thal"/>
    <s v="N.C.Urea(45kg)"/>
    <s v="WB"/>
    <x v="6"/>
    <s v="Tufanganj - II"/>
    <s v="User Not Mapped"/>
    <s v="User Not Mapped"/>
    <s v="User Not Mapped"/>
    <n v="620264"/>
    <s v="M/S. PRADIP KUMAR SARKAR"/>
    <s v="Private Retailer"/>
    <s v="8967298608"/>
    <n v="0.45"/>
    <n v="46"/>
    <x v="1"/>
    <m/>
    <s v="2026-03-12"/>
    <s v="1214824"/>
    <s v="M/S. PRAHALLAD  DAS"/>
    <s v="9635190209"/>
  </r>
  <r>
    <s v="RCF Thal"/>
    <s v="N.C.Urea(45kg)"/>
    <s v="WB"/>
    <x v="6"/>
    <s v="Tufanganj - II"/>
    <s v="User Not Mapped"/>
    <s v="User Not Mapped"/>
    <s v="User Not Mapped"/>
    <n v="620264"/>
    <s v="M/S. PRADIP KUMAR SARKAR"/>
    <s v="Private Retailer"/>
    <s v="8967298608"/>
    <n v="0.67500000000000004"/>
    <n v="48"/>
    <x v="1"/>
    <m/>
    <s v="2026-03-10"/>
    <s v="1214824"/>
    <s v="M/S. PRAHALLAD  DAS"/>
    <s v="9635190209"/>
  </r>
  <r>
    <s v="RCF Thal"/>
    <s v="N.C.Urea(45kg)"/>
    <s v="WB"/>
    <x v="6"/>
    <s v="Tufanganj - II"/>
    <s v="User Not Mapped"/>
    <s v="User Not Mapped"/>
    <s v="User Not Mapped"/>
    <n v="620264"/>
    <s v="M/S. PRADIP KUMAR SARKAR"/>
    <s v="Private Retailer"/>
    <s v="8967298608"/>
    <n v="1.8"/>
    <n v="45"/>
    <x v="1"/>
    <m/>
    <s v="2026-03-13"/>
    <s v="260160"/>
    <s v="Chanda Nursery"/>
    <s v="9641878132"/>
  </r>
  <r>
    <s v="RCF Import"/>
    <s v="MOP"/>
    <s v="WB"/>
    <x v="6"/>
    <s v="Tufanganj - II"/>
    <s v="User Not Mapped"/>
    <s v="User Not Mapped"/>
    <s v="User Not Mapped"/>
    <n v="655415"/>
    <s v="M/S SANTOSH DAS"/>
    <s v="Private Retailer"/>
    <s v="8967568167"/>
    <n v="1"/>
    <n v="504"/>
    <x v="6"/>
    <m/>
    <s v="2024-12-09"/>
    <s v="260160"/>
    <s v="Chanda Nursery"/>
    <s v="9641878132"/>
  </r>
  <r>
    <s v="RCF Import"/>
    <s v="MOP"/>
    <s v="WB"/>
    <x v="6"/>
    <s v="Tufanganj - II"/>
    <s v="User Not Mapped"/>
    <s v="User Not Mapped"/>
    <s v="User Not Mapped"/>
    <n v="655415"/>
    <s v="M/S SANTOSH DAS"/>
    <s v="Private Retailer"/>
    <s v="8967568167"/>
    <n v="0.5"/>
    <n v="560"/>
    <x v="7"/>
    <m/>
    <s v="2024-10-14"/>
    <s v="281089"/>
    <s v="Green Home"/>
    <s v="9547626773"/>
  </r>
  <r>
    <s v="RCF Trombay"/>
    <s v="15-15-15"/>
    <s v="WB"/>
    <x v="6"/>
    <s v="Tufanganj - II"/>
    <s v="User Not Mapped"/>
    <s v="User Not Mapped"/>
    <s v="User Not Mapped"/>
    <n v="655415"/>
    <s v="M/S SANTOSH DAS"/>
    <s v="Private Retailer"/>
    <s v="8967568167"/>
    <n v="0.55000000000000004"/>
    <n v="499"/>
    <x v="6"/>
    <m/>
    <s v="2024-12-14"/>
    <s v="260160"/>
    <s v="Chanda Nursery"/>
    <s v="9641878132"/>
  </r>
  <r>
    <s v="RCF Trombay"/>
    <s v="N.C.Urea(45kg)"/>
    <s v="WB"/>
    <x v="6"/>
    <s v="Tufanganj - II"/>
    <s v="User Not Mapped"/>
    <s v="User Not Mapped"/>
    <s v="User Not Mapped"/>
    <n v="854880"/>
    <s v="M/S. BENARASI SAHA"/>
    <s v="Private Retailer"/>
    <s v="7098300662"/>
    <n v="0.27"/>
    <n v="73"/>
    <x v="2"/>
    <m/>
    <s v="2026-02-13"/>
    <s v="1214824"/>
    <s v="M/S. PRAHALLAD  DAS"/>
    <s v="9635190209"/>
  </r>
  <r>
    <s v="RCF Thal"/>
    <s v="N.C.Urea(45kg)"/>
    <s v="WB"/>
    <x v="6"/>
    <s v="Tufanganj - II"/>
    <s v="User Not Mapped"/>
    <s v="User Not Mapped"/>
    <s v="User Not Mapped"/>
    <n v="854880"/>
    <s v="M/S. BENARASI SAHA"/>
    <s v="Private Retailer"/>
    <s v="7098300662"/>
    <n v="0.45"/>
    <n v="42"/>
    <x v="1"/>
    <m/>
    <s v="2026-03-16"/>
    <s v="1214824"/>
    <s v="M/S. PRAHALLAD  DAS"/>
    <s v="9635190209"/>
  </r>
  <r>
    <s v="RCF Thal"/>
    <s v="N.C.Urea(45kg)"/>
    <s v="WB"/>
    <x v="6"/>
    <s v="Tufanganj - II"/>
    <s v="User Not Mapped"/>
    <s v="User Not Mapped"/>
    <s v="User Not Mapped"/>
    <n v="854880"/>
    <s v="M/S. BENARASI SAHA"/>
    <s v="Private Retailer"/>
    <s v="7098300662"/>
    <n v="0.58499999999999996"/>
    <n v="30"/>
    <x v="4"/>
    <m/>
    <s v="2026-03-28"/>
    <s v="1214824"/>
    <s v="M/S. PRAHALLAD  DAS"/>
    <s v="9635190209"/>
  </r>
  <r>
    <s v="RCF Thal"/>
    <s v="N.C.Urea(45kg)"/>
    <s v="WB"/>
    <x v="6"/>
    <s v="Tufanganj - II"/>
    <s v="User Not Mapped"/>
    <s v="User Not Mapped"/>
    <s v="User Not Mapped"/>
    <n v="876742"/>
    <s v="M/S. RAJESWARI FERTILIZER"/>
    <s v="Private Retailer"/>
    <s v="9832465190"/>
    <n v="2.7"/>
    <n v="52"/>
    <x v="1"/>
    <m/>
    <s v="2026-03-06"/>
    <s v="260160"/>
    <s v="Chanda Nursery"/>
    <s v="9641878132"/>
  </r>
  <r>
    <s v="RCF Thal"/>
    <s v="N.C.Urea(45kg)"/>
    <s v="WB"/>
    <x v="6"/>
    <s v="Tufanganj - II"/>
    <s v="User Not Mapped"/>
    <s v="User Not Mapped"/>
    <s v="User Not Mapped"/>
    <n v="1065793"/>
    <s v="BISHNU BARMAN"/>
    <s v="Private Retailer"/>
    <s v="6294812250"/>
    <n v="2.0249999999999999"/>
    <n v="38"/>
    <x v="1"/>
    <m/>
    <s v="2026-03-20"/>
    <s v="260160"/>
    <s v="Chanda Nursery"/>
    <s v="9641878132"/>
  </r>
  <r>
    <s v="RCF Thal"/>
    <s v="N.C.Urea(45kg)"/>
    <s v="WB"/>
    <x v="6"/>
    <s v="Tufanganj - II"/>
    <s v="User Not Mapped"/>
    <s v="User Not Mapped"/>
    <s v="User Not Mapped"/>
    <n v="1226645"/>
    <s v="M/S ROY FERTILIZER"/>
    <s v="Private Retailer"/>
    <s v="8116572622"/>
    <n v="0.9"/>
    <n v="18"/>
    <x v="4"/>
    <m/>
    <s v="2026-04-09"/>
    <s v="1214824"/>
    <s v="M/S. PRAHALLAD  DAS"/>
    <s v="9635190209"/>
  </r>
  <r>
    <s v="RCF Thal"/>
    <s v="N.C.Urea(45kg)"/>
    <s v="WB"/>
    <x v="6"/>
    <s v="Tufanganj - II"/>
    <s v="User Not Mapped"/>
    <s v="User Not Mapped"/>
    <s v="User Not Mapped"/>
    <n v="1226645"/>
    <s v="M/S ROY FERTILIZER"/>
    <s v="Private Retailer"/>
    <s v="8116572622"/>
    <n v="0.18"/>
    <n v="47"/>
    <x v="1"/>
    <m/>
    <s v="2026-03-11"/>
    <s v="1214824"/>
    <s v="M/S. PRAHALLAD  DAS"/>
    <s v="9635190209"/>
  </r>
  <r>
    <s v="RCF Thal"/>
    <s v="N.C.Urea(45kg)"/>
    <s v="WB"/>
    <x v="6"/>
    <s v="Tufanganj - II"/>
    <s v="User Not Mapped"/>
    <s v="User Not Mapped"/>
    <s v="User Not Mapped"/>
    <n v="1226645"/>
    <s v="M/S ROY FERTILIZER"/>
    <s v="Private Retailer"/>
    <s v="8116572622"/>
    <n v="0.45"/>
    <n v="42"/>
    <x v="1"/>
    <m/>
    <s v="2026-03-16"/>
    <s v="1214824"/>
    <s v="M/S. PRAHALLAD  DAS"/>
    <s v="9635190209"/>
  </r>
  <r>
    <s v="RCF Thal"/>
    <s v="N.C.Urea(45kg)"/>
    <s v="WB"/>
    <x v="6"/>
    <m/>
    <s v="User Not Mapped"/>
    <s v="User Not Mapped"/>
    <s v="User Not Mapped"/>
    <n v="228677"/>
    <s v="Mafijul Hossain"/>
    <s v="Private Retailer"/>
    <s v="9002748852"/>
    <n v="0.45"/>
    <n v="45"/>
    <x v="1"/>
    <m/>
    <s v="2026-03-13"/>
    <s v="260160"/>
    <s v="Chanda Nursery"/>
    <s v="9641878132"/>
  </r>
  <r>
    <s v="RCF Thal"/>
    <s v="N.C.Urea(45kg)"/>
    <s v="WB"/>
    <x v="6"/>
    <m/>
    <s v="User Not Mapped"/>
    <s v="User Not Mapped"/>
    <s v="User Not Mapped"/>
    <n v="228677"/>
    <s v="Mafijul Hossain"/>
    <s v="Private Retailer"/>
    <s v="9002748852"/>
    <n v="0.54"/>
    <n v="53"/>
    <x v="1"/>
    <m/>
    <s v="2026-03-05"/>
    <s v="260160"/>
    <s v="Chanda Nursery"/>
    <s v="9641878132"/>
  </r>
  <r>
    <s v="RCF Thal"/>
    <s v="N.C.Urea(45kg)"/>
    <s v="WB"/>
    <x v="6"/>
    <m/>
    <s v="User Not Mapped"/>
    <s v="User Not Mapped"/>
    <s v="User Not Mapped"/>
    <n v="228687"/>
    <s v="Manoj Kumar Roy"/>
    <s v="Private Retailer"/>
    <s v="9593762523"/>
    <n v="0.9"/>
    <n v="1559"/>
    <x v="7"/>
    <m/>
    <s v="2022-01-19"/>
    <s v="214214"/>
    <s v="Dey Banik Fertiliser  Co.    "/>
    <s v="9775801969"/>
  </r>
  <r>
    <s v="RCF Trombay"/>
    <s v="N.C.Urea(45kg)"/>
    <s v="WB"/>
    <x v="6"/>
    <m/>
    <s v="User Not Mapped"/>
    <s v="User Not Mapped"/>
    <s v="User Not Mapped"/>
    <n v="228702"/>
    <s v="M/S. Bahi Bhai Fertlizer"/>
    <s v="Private Retailer"/>
    <s v="7908041872"/>
    <n v="4.95"/>
    <n v="70"/>
    <x v="2"/>
    <m/>
    <s v="2026-02-16"/>
    <s v="288290"/>
    <s v="M/s Ma Mahamaya Krishi Bhandar"/>
    <s v="9547002014"/>
  </r>
  <r>
    <s v="RCF Thal"/>
    <s v="N.C.Urea(45kg)"/>
    <s v="WB"/>
    <x v="6"/>
    <m/>
    <s v="User Not Mapped"/>
    <s v="User Not Mapped"/>
    <s v="User Not Mapped"/>
    <n v="228726"/>
    <s v="Nalini Kanta Barman  Koushik B"/>
    <s v="Private Retailer"/>
    <s v="9635000343"/>
    <n v="1.35"/>
    <n v="44"/>
    <x v="1"/>
    <m/>
    <s v="2026-03-14"/>
    <s v="288290"/>
    <s v="M/s Ma Mahamaya Krishi Bhandar"/>
    <s v="9547002014"/>
  </r>
  <r>
    <s v="RCF Thal"/>
    <s v="N.C.Urea(45kg)"/>
    <s v="WB"/>
    <x v="6"/>
    <m/>
    <s v="User Not Mapped"/>
    <s v="User Not Mapped"/>
    <s v="User Not Mapped"/>
    <n v="228745"/>
    <s v="Nripendra Nath Barman(Gosairh"/>
    <s v="Private Retailer"/>
    <s v="9002151684"/>
    <n v="0.72"/>
    <n v="1555"/>
    <x v="7"/>
    <m/>
    <s v="2022-01-23"/>
    <s v="1133474"/>
    <s v="M/S MAHABUL HOSSAIN"/>
    <s v="9832398568"/>
  </r>
  <r>
    <s v="RCF Thal"/>
    <s v="N.C.Urea(45kg)"/>
    <s v="WB"/>
    <x v="6"/>
    <m/>
    <s v="User Not Mapped"/>
    <s v="User Not Mapped"/>
    <s v="User Not Mapped"/>
    <n v="228839"/>
    <s v="Swapan Sarkar"/>
    <s v="Private Retailer"/>
    <s v="9635006811"/>
    <n v="0.40500000000000003"/>
    <n v="2673"/>
    <x v="7"/>
    <m/>
    <s v="2019-01-01"/>
    <s v="11"/>
    <s v="Too Old Stock"/>
    <m/>
  </r>
  <r>
    <s v="RCF Thal"/>
    <s v="N.C.Urea(45kg)"/>
    <s v="WB"/>
    <x v="6"/>
    <m/>
    <s v="User Not Mapped"/>
    <s v="User Not Mapped"/>
    <s v="User Not Mapped"/>
    <n v="252195"/>
    <s v="Azizur Pramaniic"/>
    <s v="Private Retailer"/>
    <s v="9002708721"/>
    <n v="1.35"/>
    <n v="53"/>
    <x v="1"/>
    <m/>
    <s v="2026-03-05"/>
    <s v="260160"/>
    <s v="Chanda Nursery"/>
    <s v="9641878132"/>
  </r>
  <r>
    <s v="RCF Import"/>
    <s v="MOP"/>
    <s v="WB"/>
    <x v="6"/>
    <m/>
    <s v="User Not Mapped"/>
    <s v="User Not Mapped"/>
    <s v="User Not Mapped"/>
    <n v="269940"/>
    <s v="Jamser Ali Bappari"/>
    <s v="Private Retailer"/>
    <s v="8016970616"/>
    <n v="0.5"/>
    <n v="549"/>
    <x v="7"/>
    <m/>
    <s v="2024-10-25"/>
    <s v="214214"/>
    <s v="Dey Banik Fertiliser  Co.    "/>
    <s v="9775801969"/>
  </r>
  <r>
    <s v="RCF Thal"/>
    <s v="N.C.Urea(45kg)"/>
    <s v="WB"/>
    <x v="6"/>
    <m/>
    <s v="User Not Mapped"/>
    <s v="User Not Mapped"/>
    <s v="User Not Mapped"/>
    <n v="271262"/>
    <s v="Utpel Chakraborty"/>
    <s v="Private Retailer"/>
    <s v="9933528514"/>
    <n v="1.08"/>
    <n v="53"/>
    <x v="1"/>
    <m/>
    <s v="2026-03-05"/>
    <s v="260160"/>
    <s v="Chanda Nursery"/>
    <s v="9641878132"/>
  </r>
  <r>
    <s v="RCF Thal"/>
    <s v="N.C.Urea(45kg)"/>
    <s v="WB"/>
    <x v="6"/>
    <m/>
    <s v="User Not Mapped"/>
    <s v="User Not Mapped"/>
    <s v="User Not Mapped"/>
    <n v="294848"/>
    <s v="Kuddus Ali Pramanik"/>
    <s v="Private Retailer"/>
    <s v="9679379616"/>
    <n v="2.7450000000000001"/>
    <n v="1927"/>
    <x v="7"/>
    <m/>
    <s v="2021-01-16"/>
    <s v="260162"/>
    <s v="Ram Kumar Maheshwary"/>
    <s v="9733413770"/>
  </r>
  <r>
    <s v="RCF Trombay"/>
    <s v="15-15-15"/>
    <s v="WB"/>
    <x v="6"/>
    <m/>
    <s v="User Not Mapped"/>
    <s v="User Not Mapped"/>
    <s v="User Not Mapped"/>
    <n v="354549"/>
    <s v="Pratikulmandal"/>
    <s v="Private Retailer"/>
    <s v="9749014459"/>
    <n v="0.05"/>
    <n v="1901"/>
    <x v="7"/>
    <m/>
    <s v="2021-02-11"/>
    <s v="260162"/>
    <s v="Ram Kumar Maheshwary"/>
    <s v="9733413770"/>
  </r>
  <r>
    <s v="RCF Thal"/>
    <s v="N.C.Urea(45kg)"/>
    <s v="WB"/>
    <x v="6"/>
    <m/>
    <s v="User Not Mapped"/>
    <s v="User Not Mapped"/>
    <s v="User Not Mapped"/>
    <n v="394257"/>
    <s v="Nasiruddin Miah"/>
    <s v="Private Retailer"/>
    <s v="9002700603"/>
    <n v="6.5250000000000004"/>
    <n v="48"/>
    <x v="1"/>
    <m/>
    <s v="2026-03-10"/>
    <s v="260160"/>
    <s v="Chanda Nursery"/>
    <s v="9641878132"/>
  </r>
  <r>
    <s v="RCF Thal"/>
    <s v="N.C.Urea(45kg)"/>
    <s v="WB"/>
    <x v="6"/>
    <m/>
    <s v="User Not Mapped"/>
    <s v="User Not Mapped"/>
    <s v="User Not Mapped"/>
    <n v="394257"/>
    <s v="Nasiruddin Miah"/>
    <s v="Private Retailer"/>
    <s v="9002700603"/>
    <n v="2.9249999999999998"/>
    <n v="49"/>
    <x v="1"/>
    <m/>
    <s v="2026-03-09"/>
    <s v="260048"/>
    <s v="Raja Fertilizers(Cbh)"/>
    <s v="7602178949"/>
  </r>
  <r>
    <s v="RCF Thal"/>
    <s v="N.C.Urea(45kg)"/>
    <s v="WB"/>
    <x v="6"/>
    <m/>
    <s v="User Not Mapped"/>
    <s v="User Not Mapped"/>
    <s v="User Not Mapped"/>
    <n v="479312"/>
    <s v="Bijoy Kundu"/>
    <s v="Private Retailer"/>
    <s v="9434340515"/>
    <n v="0.18"/>
    <n v="2094"/>
    <x v="7"/>
    <m/>
    <s v="2020-08-02"/>
    <s v="482946"/>
    <s v="Sunil Kumar Kundu"/>
    <s v="9434340515"/>
  </r>
  <r>
    <s v="RCF Trombay"/>
    <s v="N.C.Urea(45kg)"/>
    <s v="WB"/>
    <x v="6"/>
    <m/>
    <s v="User Not Mapped"/>
    <s v="User Not Mapped"/>
    <s v="User Not Mapped"/>
    <n v="479312"/>
    <s v="Bijoy Kundu"/>
    <s v="Private Retailer"/>
    <s v="9434340515"/>
    <n v="0.96"/>
    <n v="2094"/>
    <x v="7"/>
    <m/>
    <s v="2020-08-02"/>
    <s v="482946"/>
    <s v="Sunil Kumar Kundu"/>
    <s v="9434340515"/>
  </r>
  <r>
    <s v="RCF Thal"/>
    <s v="N.C.Urea(45kg)"/>
    <s v="WB"/>
    <x v="6"/>
    <m/>
    <s v="User Not Mapped"/>
    <s v="User Not Mapped"/>
    <s v="User Not Mapped"/>
    <n v="480973"/>
    <s v="Nitish Chandra Ghosh"/>
    <s v="Private Retailer"/>
    <s v="8116677266"/>
    <n v="0.81"/>
    <n v="2335"/>
    <x v="7"/>
    <m/>
    <s v="2019-12-05"/>
    <s v="272984"/>
    <s v="M/s. Ma Mahamaya KrishiBhandar"/>
    <s v="8016059111"/>
  </r>
  <r>
    <s v="RCF Thal"/>
    <s v="N.C.Urea(45kg)"/>
    <s v="WB"/>
    <x v="6"/>
    <m/>
    <s v="User Not Mapped"/>
    <s v="User Not Mapped"/>
    <s v="User Not Mapped"/>
    <n v="480973"/>
    <s v="Nitish Chandra Ghosh"/>
    <s v="Private Retailer"/>
    <s v="8116677266"/>
    <n v="0.67500000000000004"/>
    <n v="1546"/>
    <x v="7"/>
    <m/>
    <s v="2022-02-01"/>
    <s v="548853"/>
    <s v="Sandip Kumar Rathi"/>
    <s v="6295235517"/>
  </r>
  <r>
    <s v="RCF Thal"/>
    <s v="N.C.Urea(45kg)"/>
    <s v="WB"/>
    <x v="6"/>
    <m/>
    <s v="User Not Mapped"/>
    <s v="User Not Mapped"/>
    <s v="User Not Mapped"/>
    <n v="480973"/>
    <s v="Nitish Chandra Ghosh"/>
    <s v="Private Retailer"/>
    <s v="8116677266"/>
    <n v="0.67500000000000004"/>
    <n v="1550"/>
    <x v="7"/>
    <m/>
    <s v="2022-01-28"/>
    <s v="548853"/>
    <s v="Sandip Kumar Rathi"/>
    <s v="6295235517"/>
  </r>
  <r>
    <s v="RCF Thal"/>
    <s v="N.C.Urea(45kg)"/>
    <s v="WB"/>
    <x v="6"/>
    <m/>
    <s v="User Not Mapped"/>
    <s v="User Not Mapped"/>
    <s v="User Not Mapped"/>
    <n v="511038"/>
    <s v="M/S Dhiren Kar"/>
    <s v="Private Retailer"/>
    <s v="9735017552"/>
    <n v="0.46500000000000002"/>
    <n v="886"/>
    <x v="7"/>
    <m/>
    <s v="2023-11-23"/>
    <s v="260160"/>
    <s v="Chanda Nursery"/>
    <s v="9641878132"/>
  </r>
  <r>
    <s v="RCF Thal"/>
    <s v="N.C.Urea(45kg)"/>
    <s v="WB"/>
    <x v="6"/>
    <m/>
    <s v="User Not Mapped"/>
    <s v="User Not Mapped"/>
    <s v="User Not Mapped"/>
    <n v="539823"/>
    <s v="Pannalal Deb"/>
    <s v="Private Retailer"/>
    <s v="9609903819"/>
    <n v="0.45"/>
    <n v="2535"/>
    <x v="7"/>
    <m/>
    <s v="2019-05-19"/>
    <s v="272992"/>
    <s v="M/S Mohata Stores"/>
    <s v="9434256132"/>
  </r>
  <r>
    <s v="RCF Trombay"/>
    <s v="15-15-15"/>
    <s v="WB"/>
    <x v="6"/>
    <m/>
    <s v="User Not Mapped"/>
    <s v="User Not Mapped"/>
    <s v="User Not Mapped"/>
    <n v="539823"/>
    <s v="Pannalal Deb"/>
    <s v="Private Retailer"/>
    <s v="9609903819"/>
    <n v="0.25"/>
    <n v="2636"/>
    <x v="7"/>
    <m/>
    <s v="2019-02-07"/>
    <s v="272992"/>
    <s v="M/S Mohata Stores"/>
    <s v="9434256132"/>
  </r>
  <r>
    <s v="RCF Thal"/>
    <s v="N.C.Urea(45kg)"/>
    <s v="WB"/>
    <x v="6"/>
    <m/>
    <s v="User Not Mapped"/>
    <s v="User Not Mapped"/>
    <s v="User Not Mapped"/>
    <n v="539823"/>
    <s v="Pannalal Deb"/>
    <s v="Private Retailer"/>
    <s v="9609903819"/>
    <n v="0.13500000000000001"/>
    <n v="2628"/>
    <x v="7"/>
    <m/>
    <s v="2019-02-15"/>
    <s v="288291"/>
    <s v="M/s. Mohata Stores"/>
    <s v="9434256132"/>
  </r>
  <r>
    <s v="RCF Trombay"/>
    <s v="N.C.Urea(45kg)"/>
    <s v="WB"/>
    <x v="6"/>
    <m/>
    <s v="User Not Mapped"/>
    <s v="User Not Mapped"/>
    <s v="User Not Mapped"/>
    <n v="605585"/>
    <s v="RAHUL HOQUE"/>
    <s v="Private Retailer"/>
    <s v="9800242670"/>
    <n v="5.0049999999999999"/>
    <n v="2220"/>
    <x v="7"/>
    <m/>
    <s v="2020-03-29"/>
    <s v="888409"/>
    <s v="M/S JAYANTA SARKAR"/>
    <s v="8001912826"/>
  </r>
  <r>
    <s v="RCF Thal"/>
    <s v="N.C.Urea(45kg)"/>
    <s v="WB"/>
    <x v="6"/>
    <m/>
    <s v="User Not Mapped"/>
    <s v="User Not Mapped"/>
    <s v="User Not Mapped"/>
    <n v="621554"/>
    <s v="Mousami Fertiliser"/>
    <s v="Private Retailer"/>
    <s v="8906921788"/>
    <n v="12.15"/>
    <n v="53"/>
    <x v="1"/>
    <m/>
    <s v="2026-03-05"/>
    <s v="260048"/>
    <s v="Raja Fertilizers(Cbh)"/>
    <s v="7602178949"/>
  </r>
  <r>
    <s v="RCF Thal"/>
    <s v="N.C.Urea(45kg)"/>
    <s v="WB"/>
    <x v="6"/>
    <m/>
    <s v="User Not Mapped"/>
    <s v="User Not Mapped"/>
    <s v="User Not Mapped"/>
    <n v="621574"/>
    <s v="Sabujayan Fertiliser"/>
    <s v="Private Retailer"/>
    <s v="9563161793"/>
    <n v="0.13500000000000001"/>
    <n v="2673"/>
    <x v="7"/>
    <m/>
    <s v="2019-01-01"/>
    <s v="11"/>
    <s v="Too Old Stock"/>
    <m/>
  </r>
  <r>
    <s v="RCF Trombay"/>
    <s v="N.C.Urea(45kg)"/>
    <s v="WB"/>
    <x v="6"/>
    <m/>
    <s v="User Not Mapped"/>
    <s v="User Not Mapped"/>
    <s v="User Not Mapped"/>
    <n v="646116"/>
    <s v="Goutam Sarkar"/>
    <s v="Private Retailer"/>
    <s v="9933446249"/>
    <n v="0.03"/>
    <n v="2059"/>
    <x v="7"/>
    <m/>
    <s v="2020-09-06"/>
    <s v="876178"/>
    <s v="M/S. BARUN SARKAR"/>
    <s v="9434890811"/>
  </r>
  <r>
    <s v="RCF Thal"/>
    <s v="N.C.Urea(45kg)"/>
    <s v="WB"/>
    <x v="6"/>
    <m/>
    <s v="User Not Mapped"/>
    <s v="User Not Mapped"/>
    <s v="User Not Mapped"/>
    <n v="730444"/>
    <s v="RAFIKUL ISLAM SARKAR"/>
    <s v="Private Retailer"/>
    <s v="8972810360"/>
    <n v="1.35"/>
    <n v="1332"/>
    <x v="7"/>
    <m/>
    <s v="2022-09-03"/>
    <s v="1290677"/>
    <s v="M/S. RADHAKRISHNA FERTILIZER"/>
    <s v="9748553755"/>
  </r>
  <r>
    <s v="RCF Thal"/>
    <s v="N.C.Urea(45kg)"/>
    <s v="WB"/>
    <x v="6"/>
    <m/>
    <s v="User Not Mapped"/>
    <s v="User Not Mapped"/>
    <s v="User Not Mapped"/>
    <n v="886494"/>
    <s v="M/S. GOURANGA BISWAS"/>
    <s v="Private Retailer"/>
    <s v="9932960124"/>
    <n v="0.9"/>
    <n v="47"/>
    <x v="1"/>
    <m/>
    <s v="2026-03-11"/>
    <s v="1214824"/>
    <s v="M/S. PRAHALLAD  DAS"/>
    <s v="9635190209"/>
  </r>
  <r>
    <s v="RCF Thal"/>
    <s v="N.C.Urea(45kg)"/>
    <s v="WB"/>
    <x v="6"/>
    <m/>
    <s v="User Not Mapped"/>
    <s v="User Not Mapped"/>
    <s v="User Not Mapped"/>
    <n v="889380"/>
    <s v="M/S. SARITA SAHA"/>
    <s v="Private Retailer"/>
    <s v="9635489252"/>
    <n v="0.22500000000000001"/>
    <n v="1712"/>
    <x v="7"/>
    <m/>
    <s v="2021-08-19"/>
    <s v="952445"/>
    <s v="M/S PRASANTA DAS"/>
    <s v="8670737096"/>
  </r>
  <r>
    <s v="RCF Thal"/>
    <s v="N.C.Urea(45kg)"/>
    <s v="WB"/>
    <x v="6"/>
    <m/>
    <s v="User Not Mapped"/>
    <s v="User Not Mapped"/>
    <s v="User Not Mapped"/>
    <n v="902119"/>
    <s v="DILIP SEN"/>
    <s v="Private Retailer"/>
    <s v="9933043167"/>
    <n v="5.0000000000000001E-3"/>
    <n v="2258"/>
    <x v="7"/>
    <m/>
    <s v="2020-02-20"/>
    <s v="876178"/>
    <s v="M/S. BARUN SARKAR"/>
    <s v="9434890811"/>
  </r>
  <r>
    <s v="RCF Thal"/>
    <s v="N.C.Urea(45kg)"/>
    <s v="WB"/>
    <x v="6"/>
    <m/>
    <s v="User Not Mapped"/>
    <s v="User Not Mapped"/>
    <s v="User Not Mapped"/>
    <n v="949493"/>
    <s v="M/s. ANUSHKA FERTILISER"/>
    <s v="Private Retailer"/>
    <s v="8348628383"/>
    <n v="4.12"/>
    <n v="1615"/>
    <x v="7"/>
    <m/>
    <s v="2021-11-24"/>
    <s v="258294"/>
    <s v="M/S Raju Bhowmick"/>
    <s v="7001039370"/>
  </r>
  <r>
    <s v="RCF Thal"/>
    <s v="N.C.Urea(45kg)"/>
    <s v="WB"/>
    <x v="6"/>
    <m/>
    <s v="User Not Mapped"/>
    <s v="User Not Mapped"/>
    <s v="User Not Mapped"/>
    <n v="961218"/>
    <s v="M/s. JOGESH BARMAN"/>
    <s v="Private Retailer"/>
    <s v="9635651772"/>
    <n v="0.315"/>
    <n v="2084"/>
    <x v="7"/>
    <m/>
    <s v="2020-08-12"/>
    <s v="952445"/>
    <s v="M/S PRASANTA DAS"/>
    <s v="8670737096"/>
  </r>
  <r>
    <s v="RCF Thal"/>
    <s v="N.C.Urea(45kg)"/>
    <s v="WB"/>
    <x v="6"/>
    <m/>
    <s v="User Not Mapped"/>
    <s v="User Not Mapped"/>
    <s v="User Not Mapped"/>
    <n v="983697"/>
    <s v="MOHAMMAD ALI"/>
    <s v="Private Retailer"/>
    <s v="9933823604"/>
    <n v="1.44"/>
    <n v="2322"/>
    <x v="7"/>
    <m/>
    <s v="2019-12-18"/>
    <s v="272980"/>
    <s v="Loknath Fertilizer"/>
    <s v="8170862300"/>
  </r>
  <r>
    <s v="RCF Thal"/>
    <s v="N.C.Urea(45kg)"/>
    <s v="WB"/>
    <x v="6"/>
    <m/>
    <s v="User Not Mapped"/>
    <s v="User Not Mapped"/>
    <s v="User Not Mapped"/>
    <n v="988264"/>
    <s v="M/S LAXMI KANTA BARMAN"/>
    <s v="Private Retailer"/>
    <s v="7602805296"/>
    <n v="1.89"/>
    <n v="2432"/>
    <x v="7"/>
    <m/>
    <s v="2019-08-30"/>
    <s v="888409"/>
    <s v="M/S JAYANTA SARKAR"/>
    <s v="8001912826"/>
  </r>
  <r>
    <s v="RCF Thal"/>
    <s v="N.C.Urea(45kg)"/>
    <s v="WB"/>
    <x v="6"/>
    <m/>
    <s v="User Not Mapped"/>
    <s v="User Not Mapped"/>
    <s v="User Not Mapped"/>
    <n v="995570"/>
    <s v="RAHAMAN FERTILISER"/>
    <s v="Private Retailer"/>
    <s v="9851436467"/>
    <n v="0.40500000000000003"/>
    <n v="2673"/>
    <x v="7"/>
    <m/>
    <s v="2019-01-01"/>
    <s v="11"/>
    <s v="Too Old Stock"/>
    <m/>
  </r>
  <r>
    <s v="RCF Thal"/>
    <s v="N.C.Urea(45kg)"/>
    <s v="WB"/>
    <x v="6"/>
    <m/>
    <s v="User Not Mapped"/>
    <s v="User Not Mapped"/>
    <s v="User Not Mapped"/>
    <n v="1032295"/>
    <s v="M/S. FARIDUL HAQUE"/>
    <s v="Private Retailer"/>
    <s v="8670096457"/>
    <n v="0.27"/>
    <n v="2673"/>
    <x v="7"/>
    <m/>
    <s v="2019-01-01"/>
    <s v="11"/>
    <s v="Too Old Stock"/>
    <m/>
  </r>
  <r>
    <s v="RCF Thal"/>
    <s v="N.C.Urea(45kg)"/>
    <s v="WB"/>
    <x v="6"/>
    <m/>
    <s v="User Not Mapped"/>
    <s v="User Not Mapped"/>
    <s v="User Not Mapped"/>
    <n v="1057459"/>
    <s v="PRIYA FERTILIZER"/>
    <s v="Private Retailer"/>
    <s v="9933535670"/>
    <n v="7.29"/>
    <n v="1639"/>
    <x v="7"/>
    <m/>
    <s v="2021-10-31"/>
    <s v="876178"/>
    <s v="M/S. BARUN SARKAR"/>
    <s v="9434890811"/>
  </r>
  <r>
    <s v="RCF Thal"/>
    <s v="N.C.Urea(45kg)"/>
    <s v="WB"/>
    <x v="6"/>
    <m/>
    <s v="User Not Mapped"/>
    <s v="User Not Mapped"/>
    <s v="User Not Mapped"/>
    <n v="1208846"/>
    <s v="M/S. SUCHITRA FERTILIZER"/>
    <s v="Private Retailer"/>
    <s v="8927983298"/>
    <n v="0.36"/>
    <n v="44"/>
    <x v="1"/>
    <m/>
    <s v="2026-03-14"/>
    <s v="260160"/>
    <s v="Chanda Nursery"/>
    <s v="9641878132"/>
  </r>
  <r>
    <s v="RCF Thal"/>
    <s v="N.C.Urea(45kg)"/>
    <s v="WB"/>
    <x v="6"/>
    <m/>
    <s v="User Not Mapped"/>
    <s v="User Not Mapped"/>
    <s v="User Not Mapped"/>
    <n v="1214856"/>
    <s v="BIMAL SARKAR"/>
    <s v="Private Retailer"/>
    <s v="9002585593"/>
    <n v="2.25"/>
    <n v="53"/>
    <x v="1"/>
    <m/>
    <s v="2026-03-05"/>
    <s v="260048"/>
    <s v="Raja Fertilizers(Cbh)"/>
    <s v="7602178949"/>
  </r>
  <r>
    <s v="RCF Thal"/>
    <s v="N.C.Urea(45kg)"/>
    <s v="WB"/>
    <x v="6"/>
    <m/>
    <s v="User Not Mapped"/>
    <s v="User Not Mapped"/>
    <s v="User Not Mapped"/>
    <n v="1258394"/>
    <s v="M/S LAXMI KRISHI BHANDAR"/>
    <s v="Private Retailer"/>
    <s v="9749856393"/>
    <n v="1.35"/>
    <n v="53"/>
    <x v="1"/>
    <m/>
    <s v="2026-03-05"/>
    <s v="260160"/>
    <s v="Chanda Nursery"/>
    <s v="9641878132"/>
  </r>
  <r>
    <s v="RCF Thal"/>
    <s v="N.C.Urea(45kg)"/>
    <s v="WB"/>
    <x v="6"/>
    <m/>
    <s v="User Not Mapped"/>
    <s v="User Not Mapped"/>
    <s v="User Not Mapped"/>
    <n v="1615192"/>
    <s v="M/s Maa Fertilizer"/>
    <s v="Private Retailer"/>
    <s v="8116327935"/>
    <n v="0.22500000000000001"/>
    <n v="45"/>
    <x v="1"/>
    <m/>
    <s v="2026-03-13"/>
    <s v="260160"/>
    <s v="Chanda Nursery"/>
    <s v="9641878132"/>
  </r>
  <r>
    <s v="RCF Thal"/>
    <s v="N.C.Urea(45kg)"/>
    <s v="WB"/>
    <x v="6"/>
    <m/>
    <s v="User Not Mapped"/>
    <s v="User Not Mapped"/>
    <s v="User Not Mapped"/>
    <n v="1615192"/>
    <s v="M/s Maa Fertilizer"/>
    <s v="Private Retailer"/>
    <s v="8116327935"/>
    <n v="0.58499999999999996"/>
    <n v="52"/>
    <x v="1"/>
    <m/>
    <s v="2026-03-06"/>
    <s v="260160"/>
    <s v="Chanda Nursery"/>
    <s v="9641878132"/>
  </r>
  <r>
    <s v="RCF Thal"/>
    <s v="N.C.Urea(45kg)"/>
    <s v="WB"/>
    <x v="6"/>
    <m/>
    <s v="User Not Mapped"/>
    <s v="User Not Mapped"/>
    <s v="User Not Mapped"/>
    <n v="1622270"/>
    <s v="Ms Bhai Bhai Fertilizer Shop"/>
    <s v="Private Retailer"/>
    <s v="9933329102"/>
    <n v="0.22500000000000001"/>
    <n v="45"/>
    <x v="1"/>
    <m/>
    <s v="2026-03-13"/>
    <s v="260160"/>
    <s v="Chanda Nursery"/>
    <s v="9641878132"/>
  </r>
  <r>
    <s v="RCF Thal"/>
    <s v="N.C.Urea(45kg)"/>
    <s v="WB"/>
    <x v="6"/>
    <m/>
    <s v="User Not Mapped"/>
    <s v="User Not Mapped"/>
    <s v="User Not Mapped"/>
    <n v="1622368"/>
    <s v="Greenery Nursery"/>
    <s v="Private Retailer"/>
    <s v="8116977913"/>
    <n v="0.67500000000000004"/>
    <n v="42"/>
    <x v="1"/>
    <m/>
    <s v="2026-03-16"/>
    <s v="1214824"/>
    <s v="M/S. PRAHALLAD  DAS"/>
    <s v="9635190209"/>
  </r>
  <r>
    <s v="RCF Thal"/>
    <s v="N.C.Urea(45kg)"/>
    <s v="WB"/>
    <x v="6"/>
    <m/>
    <s v="User Not Mapped"/>
    <s v="User Not Mapped"/>
    <s v="User Not Mapped"/>
    <n v="1622368"/>
    <s v="Greenery Nursery"/>
    <s v="Private Retailer"/>
    <s v="8116977913"/>
    <n v="0.45"/>
    <n v="27"/>
    <x v="4"/>
    <m/>
    <s v="2026-03-31"/>
    <s v="1214824"/>
    <s v="M/S. PRAHALLAD  DAS"/>
    <s v="9635190209"/>
  </r>
  <r>
    <s v="RCF Thal"/>
    <s v="N.C.Urea(45kg)"/>
    <s v="WB"/>
    <x v="6"/>
    <m/>
    <s v="User Not Mapped"/>
    <s v="User Not Mapped"/>
    <s v="User Not Mapped"/>
    <n v="1622368"/>
    <s v="Greenery Nursery"/>
    <s v="Private Retailer"/>
    <s v="8116977913"/>
    <n v="1.8"/>
    <n v="46"/>
    <x v="1"/>
    <m/>
    <s v="2026-03-12"/>
    <s v="1214824"/>
    <s v="M/S. PRAHALLAD  DAS"/>
    <s v="9635190209"/>
  </r>
  <r>
    <s v="RCF Thal"/>
    <s v="N.C.Urea(45kg)"/>
    <s v="WB"/>
    <x v="16"/>
    <m/>
    <s v="User Not Mapped"/>
    <s v="User Not Mapped"/>
    <s v="User Not Mapped"/>
    <n v="1022908"/>
    <s v="M/S ASHRAFIFERTLIZER"/>
    <s v="Private Retailer"/>
    <s v="8509531993"/>
    <n v="0.01"/>
    <n v="2673"/>
    <x v="7"/>
    <m/>
    <s v="2019-01-01"/>
    <s v="11"/>
    <s v="Too Old Stock"/>
    <m/>
  </r>
  <r>
    <s v="RCF Thal"/>
    <s v="N.C.Urea(45kg)"/>
    <s v="WB"/>
    <x v="7"/>
    <s v="Balurghat"/>
    <s v="User Not Mapped"/>
    <s v="User Not Mapped"/>
    <s v="User Not Mapped"/>
    <n v="126434"/>
    <s v="Bidyut Mohanta"/>
    <s v="Private Retailer"/>
    <s v="9733030897"/>
    <n v="3.6"/>
    <n v="32"/>
    <x v="1"/>
    <m/>
    <s v="2026-03-26"/>
    <s v="263382"/>
    <s v="Tushar Kanti Agarwala"/>
    <s v="8597190846"/>
  </r>
  <r>
    <s v="RCF Trombay"/>
    <s v="N.C.Urea(45kg)"/>
    <s v="WB"/>
    <x v="7"/>
    <s v="Balurghat"/>
    <s v="User Not Mapped"/>
    <s v="User Not Mapped"/>
    <s v="User Not Mapped"/>
    <n v="126434"/>
    <s v="Bidyut Mohanta"/>
    <s v="Private Retailer"/>
    <s v="9733030897"/>
    <n v="3.5999999999999997E-2"/>
    <n v="69"/>
    <x v="2"/>
    <m/>
    <s v="2026-02-17"/>
    <s v="263382"/>
    <s v="Tushar Kanti Agarwala"/>
    <s v="8597190846"/>
  </r>
  <r>
    <s v="RCF Thal"/>
    <s v="N.C.Urea(45kg)"/>
    <s v="WB"/>
    <x v="7"/>
    <s v="Balurghat"/>
    <s v="User Not Mapped"/>
    <s v="User Not Mapped"/>
    <s v="User Not Mapped"/>
    <n v="126438"/>
    <s v="Bilas Kumar Das"/>
    <s v="Private Retailer"/>
    <s v="9933588576"/>
    <n v="20.925000000000001"/>
    <n v="171"/>
    <x v="0"/>
    <m/>
    <s v="2025-11-07"/>
    <s v="286422"/>
    <s v="Dipak Kumar Laha"/>
    <s v="6297583814"/>
  </r>
  <r>
    <s v="RCF Trombay"/>
    <s v="15-15-15"/>
    <s v="WB"/>
    <x v="7"/>
    <s v="Balurghat"/>
    <s v="User Not Mapped"/>
    <s v="User Not Mapped"/>
    <s v="User Not Mapped"/>
    <n v="126538"/>
    <s v="MADHU CH  HORE"/>
    <s v="Private Retailer"/>
    <s v="6295487970"/>
    <n v="1.5"/>
    <n v="55"/>
    <x v="1"/>
    <m/>
    <s v="2026-03-03"/>
    <s v="263382"/>
    <s v="Tushar Kanti Agarwala"/>
    <s v="8597190846"/>
  </r>
  <r>
    <s v="RCF Trombay"/>
    <s v="N.C.Urea(45kg)"/>
    <s v="WB"/>
    <x v="7"/>
    <s v="Balurghat"/>
    <s v="User Not Mapped"/>
    <s v="User Not Mapped"/>
    <s v="User Not Mapped"/>
    <n v="126538"/>
    <s v="MADHU CH  HORE"/>
    <s v="Private Retailer"/>
    <s v="6295487970"/>
    <n v="2.25"/>
    <n v="69"/>
    <x v="2"/>
    <m/>
    <s v="2026-02-17"/>
    <s v="263382"/>
    <s v="Tushar Kanti Agarwala"/>
    <s v="8597190846"/>
  </r>
  <r>
    <s v="RCF Trombay"/>
    <s v="15-15-15"/>
    <s v="WB"/>
    <x v="7"/>
    <s v="Balurghat"/>
    <s v="User Not Mapped"/>
    <s v="User Not Mapped"/>
    <s v="User Not Mapped"/>
    <n v="126538"/>
    <s v="MADHU CH  HORE"/>
    <s v="Private Retailer"/>
    <s v="6295487970"/>
    <n v="0.5"/>
    <n v="80"/>
    <x v="2"/>
    <m/>
    <s v="2026-02-06"/>
    <s v="263382"/>
    <s v="Tushar Kanti Agarwala"/>
    <s v="8597190846"/>
  </r>
  <r>
    <s v="RCF Trombay"/>
    <s v="15-15-15"/>
    <s v="WB"/>
    <x v="7"/>
    <s v="Balurghat"/>
    <s v="User Not Mapped"/>
    <s v="User Not Mapped"/>
    <s v="User Not Mapped"/>
    <n v="126538"/>
    <s v="MADHU CH  HORE"/>
    <s v="Private Retailer"/>
    <s v="6295487970"/>
    <n v="0.4"/>
    <n v="89"/>
    <x v="2"/>
    <m/>
    <s v="2026-01-28"/>
    <s v="263382"/>
    <s v="Tushar Kanti Agarwala"/>
    <s v="8597190846"/>
  </r>
  <r>
    <s v="RCF Thal"/>
    <s v="N.C.Urea(45kg)"/>
    <s v="WB"/>
    <x v="7"/>
    <s v="Balurghat"/>
    <s v="User Not Mapped"/>
    <s v="User Not Mapped"/>
    <s v="User Not Mapped"/>
    <n v="126538"/>
    <s v="MADHU CH  HORE"/>
    <s v="Private Retailer"/>
    <s v="6295487970"/>
    <n v="0.76500000000000001"/>
    <n v="391"/>
    <x v="6"/>
    <m/>
    <s v="2025-04-01"/>
    <s v="263382"/>
    <s v="Tushar Kanti Agarwala"/>
    <s v="8597190846"/>
  </r>
  <r>
    <s v="RCF Thal"/>
    <s v="N.C.Urea(45kg)"/>
    <s v="WB"/>
    <x v="7"/>
    <s v="Balurghat"/>
    <s v="User Not Mapped"/>
    <s v="User Not Mapped"/>
    <s v="User Not Mapped"/>
    <n v="126548"/>
    <s v="Jagannathbati Skus Ltd"/>
    <s v="Private Retailer"/>
    <s v="8158865585"/>
    <n v="9.8550000000000004"/>
    <n v="45"/>
    <x v="1"/>
    <m/>
    <s v="2026-03-13"/>
    <s v="263382"/>
    <s v="Tushar Kanti Agarwala"/>
    <s v="8597190846"/>
  </r>
  <r>
    <s v="RCF Trombay"/>
    <s v="15-15-15"/>
    <s v="WB"/>
    <x v="7"/>
    <s v="Balurghat"/>
    <s v="User Not Mapped"/>
    <s v="User Not Mapped"/>
    <s v="User Not Mapped"/>
    <n v="126673"/>
    <s v="Milu Das"/>
    <s v="Private Retailer"/>
    <s v="7001324524"/>
    <n v="1.5"/>
    <n v="32"/>
    <x v="1"/>
    <m/>
    <s v="2026-03-26"/>
    <s v="263382"/>
    <s v="Tushar Kanti Agarwala"/>
    <s v="8597190846"/>
  </r>
  <r>
    <s v="RCF Trombay"/>
    <s v="15-15-15"/>
    <s v="WB"/>
    <x v="7"/>
    <s v="Balurghat"/>
    <s v="User Not Mapped"/>
    <s v="User Not Mapped"/>
    <s v="User Not Mapped"/>
    <n v="126673"/>
    <s v="Milu Das"/>
    <s v="Private Retailer"/>
    <s v="7001324524"/>
    <n v="7"/>
    <n v="7"/>
    <x v="4"/>
    <m/>
    <s v="2026-04-20"/>
    <s v="263382"/>
    <s v="Tushar Kanti Agarwala"/>
    <s v="8597190846"/>
  </r>
  <r>
    <s v="RCF Trombay"/>
    <s v="15-15-15"/>
    <s v="WB"/>
    <x v="7"/>
    <s v="Balurghat"/>
    <s v="User Not Mapped"/>
    <s v="User Not Mapped"/>
    <s v="User Not Mapped"/>
    <n v="126673"/>
    <s v="Milu Das"/>
    <s v="Private Retailer"/>
    <s v="7001324524"/>
    <n v="0.2"/>
    <n v="33"/>
    <x v="1"/>
    <m/>
    <s v="2026-03-25"/>
    <s v="263382"/>
    <s v="Tushar Kanti Agarwala"/>
    <s v="8597190846"/>
  </r>
  <r>
    <s v="RCF Trombay"/>
    <s v="15-15-15"/>
    <s v="WB"/>
    <x v="7"/>
    <s v="Balurghat"/>
    <s v="User Not Mapped"/>
    <s v="User Not Mapped"/>
    <s v="User Not Mapped"/>
    <n v="126684"/>
    <s v="KAFILUDDIN MONDAL"/>
    <s v="Private Retailer"/>
    <s v="9733126674"/>
    <n v="0.05"/>
    <n v="201"/>
    <x v="3"/>
    <m/>
    <s v="2025-10-08"/>
    <s v="332079"/>
    <s v="Amcherali Mandal"/>
    <s v="9547098638"/>
  </r>
  <r>
    <s v="RCF Thal"/>
    <s v="N.C.Urea(45kg)"/>
    <s v="WB"/>
    <x v="7"/>
    <s v="Balurghat"/>
    <s v="User Not Mapped"/>
    <s v="User Not Mapped"/>
    <s v="User Not Mapped"/>
    <n v="126712"/>
    <s v="Nayan Choudhury"/>
    <s v="Private Retailer"/>
    <s v="8918895375"/>
    <n v="0.9"/>
    <n v="155"/>
    <x v="0"/>
    <m/>
    <s v="2025-11-23"/>
    <s v="263373"/>
    <s v="M/s. Kanailal Kedar Prasad"/>
    <s v="9735692523"/>
  </r>
  <r>
    <s v="RCF Thal"/>
    <s v="N.C.Urea(45kg)"/>
    <s v="WB"/>
    <x v="7"/>
    <s v="Balurghat"/>
    <s v="User Not Mapped"/>
    <s v="User Not Mapped"/>
    <s v="User Not Mapped"/>
    <n v="126720"/>
    <s v="Nirapada Das"/>
    <s v="Private Retailer"/>
    <s v="9933443009"/>
    <n v="0.18"/>
    <n v="32"/>
    <x v="1"/>
    <m/>
    <s v="2026-03-26"/>
    <s v="263382"/>
    <s v="Tushar Kanti Agarwala"/>
    <s v="8597190846"/>
  </r>
  <r>
    <s v="RCF Trombay"/>
    <s v="15-15-15"/>
    <s v="WB"/>
    <x v="7"/>
    <s v="Balurghat"/>
    <s v="User Not Mapped"/>
    <s v="User Not Mapped"/>
    <s v="User Not Mapped"/>
    <n v="126720"/>
    <s v="Nirapada Das"/>
    <s v="Private Retailer"/>
    <s v="9933443009"/>
    <n v="0.5"/>
    <n v="14"/>
    <x v="4"/>
    <m/>
    <s v="2026-04-13"/>
    <s v="263382"/>
    <s v="Tushar Kanti Agarwala"/>
    <s v="8597190846"/>
  </r>
  <r>
    <s v="RCF Thal"/>
    <s v="N.C.Urea(45kg)"/>
    <s v="WB"/>
    <x v="7"/>
    <s v="Balurghat"/>
    <s v="User Not Mapped"/>
    <s v="User Not Mapped"/>
    <s v="User Not Mapped"/>
    <n v="126720"/>
    <s v="Nirapada Das"/>
    <s v="Private Retailer"/>
    <s v="9933443009"/>
    <n v="0.22500000000000001"/>
    <n v="14"/>
    <x v="4"/>
    <m/>
    <s v="2026-04-13"/>
    <s v="263382"/>
    <s v="Tushar Kanti Agarwala"/>
    <s v="8597190846"/>
  </r>
  <r>
    <s v="RCF Import"/>
    <s v="Imp 10-26-26"/>
    <s v="WB"/>
    <x v="7"/>
    <s v="Balurghat"/>
    <s v="User Not Mapped"/>
    <s v="User Not Mapped"/>
    <s v="User Not Mapped"/>
    <n v="126720"/>
    <s v="Nirapada Das"/>
    <s v="Private Retailer"/>
    <s v="9933443009"/>
    <n v="0.05"/>
    <n v="66"/>
    <x v="2"/>
    <m/>
    <s v="2026-02-20"/>
    <s v="263382"/>
    <s v="Tushar Kanti Agarwala"/>
    <s v="8597190846"/>
  </r>
  <r>
    <s v="RCF Trombay"/>
    <s v="15-15-15"/>
    <s v="WB"/>
    <x v="7"/>
    <s v="Balurghat"/>
    <s v="User Not Mapped"/>
    <s v="User Not Mapped"/>
    <s v="User Not Mapped"/>
    <n v="126893"/>
    <s v="Subhankar Mohanta"/>
    <s v="Private Retailer"/>
    <s v="9593768634"/>
    <n v="5.5"/>
    <n v="7"/>
    <x v="4"/>
    <m/>
    <s v="2026-04-20"/>
    <s v="263382"/>
    <s v="Tushar Kanti Agarwala"/>
    <s v="8597190846"/>
  </r>
  <r>
    <s v="RCF Trombay"/>
    <s v="15-15-15"/>
    <s v="WB"/>
    <x v="7"/>
    <s v="Balurghat"/>
    <s v="User Not Mapped"/>
    <s v="User Not Mapped"/>
    <s v="User Not Mapped"/>
    <n v="126893"/>
    <s v="Subhankar Mohanta"/>
    <s v="Private Retailer"/>
    <s v="9593768634"/>
    <n v="1.55"/>
    <n v="32"/>
    <x v="1"/>
    <m/>
    <s v="2026-03-26"/>
    <s v="263382"/>
    <s v="Tushar Kanti Agarwala"/>
    <s v="8597190846"/>
  </r>
  <r>
    <s v="RCF Thal"/>
    <s v="N.C.Urea(45kg)"/>
    <s v="WB"/>
    <x v="7"/>
    <s v="Balurghat"/>
    <s v="User Not Mapped"/>
    <s v="User Not Mapped"/>
    <s v="User Not Mapped"/>
    <n v="126893"/>
    <s v="Subhankar Mohanta"/>
    <s v="Private Retailer"/>
    <s v="9593768634"/>
    <n v="17.324999999999999"/>
    <n v="69"/>
    <x v="2"/>
    <m/>
    <s v="2026-02-17"/>
    <s v="263382"/>
    <s v="Tushar Kanti Agarwala"/>
    <s v="8597190846"/>
  </r>
  <r>
    <s v="RCF Thal"/>
    <s v="N.C.Urea(45kg)"/>
    <s v="WB"/>
    <x v="7"/>
    <s v="Balurghat"/>
    <s v="User Not Mapped"/>
    <s v="User Not Mapped"/>
    <s v="User Not Mapped"/>
    <n v="126893"/>
    <s v="Subhankar Mohanta"/>
    <s v="Private Retailer"/>
    <s v="9593768634"/>
    <n v="0.67500000000000004"/>
    <n v="32"/>
    <x v="1"/>
    <m/>
    <s v="2026-03-26"/>
    <s v="263382"/>
    <s v="Tushar Kanti Agarwala"/>
    <s v="8597190846"/>
  </r>
  <r>
    <s v="RCF Trombay"/>
    <s v="N.C.Urea(45kg)"/>
    <s v="WB"/>
    <x v="7"/>
    <s v="Balurghat"/>
    <s v="User Not Mapped"/>
    <s v="User Not Mapped"/>
    <s v="User Not Mapped"/>
    <n v="126893"/>
    <s v="Subhankar Mohanta"/>
    <s v="Private Retailer"/>
    <s v="9593768634"/>
    <n v="5.625"/>
    <n v="7"/>
    <x v="4"/>
    <m/>
    <s v="2026-04-20"/>
    <s v="263382"/>
    <s v="Tushar Kanti Agarwala"/>
    <s v="8597190846"/>
  </r>
  <r>
    <s v="RCF Thal"/>
    <s v="N.C.Urea(45kg)"/>
    <s v="WB"/>
    <x v="7"/>
    <s v="Balurghat"/>
    <s v="User Not Mapped"/>
    <s v="User Not Mapped"/>
    <s v="User Not Mapped"/>
    <n v="216431"/>
    <s v="Mosaraf Mondal"/>
    <s v="Private Retailer"/>
    <s v="9474312046"/>
    <n v="0.04"/>
    <n v="267"/>
    <x v="3"/>
    <m/>
    <s v="2025-08-03"/>
    <s v="263382"/>
    <s v="Tushar Kanti Agarwala"/>
    <s v="8597190846"/>
  </r>
  <r>
    <s v="RCF Trombay"/>
    <s v="N.C.Urea(45kg)"/>
    <s v="WB"/>
    <x v="7"/>
    <s v="Balurghat"/>
    <s v="User Not Mapped"/>
    <s v="User Not Mapped"/>
    <s v="User Not Mapped"/>
    <n v="216431"/>
    <s v="Mosaraf Mondal"/>
    <s v="Private Retailer"/>
    <s v="9474312046"/>
    <n v="0.27500000000000002"/>
    <n v="267"/>
    <x v="3"/>
    <m/>
    <s v="2025-08-03"/>
    <s v="263382"/>
    <s v="Tushar Kanti Agarwala"/>
    <s v="8597190846"/>
  </r>
  <r>
    <s v="RCF Trombay"/>
    <s v="15-15-15"/>
    <s v="WB"/>
    <x v="7"/>
    <s v="Balurghat"/>
    <s v="User Not Mapped"/>
    <s v="User Not Mapped"/>
    <s v="User Not Mapped"/>
    <n v="216484"/>
    <s v="Sankar Debnath"/>
    <s v="Private Retailer"/>
    <s v="8145810411"/>
    <n v="0.65"/>
    <n v="137"/>
    <x v="0"/>
    <m/>
    <s v="2025-12-11"/>
    <s v="354029"/>
    <s v="M/s. Bhumi Laxmi"/>
    <s v="9153195790"/>
  </r>
  <r>
    <s v="RCF Trombay"/>
    <s v="15-15-15"/>
    <s v="WB"/>
    <x v="7"/>
    <s v="Balurghat"/>
    <s v="User Not Mapped"/>
    <s v="User Not Mapped"/>
    <s v="User Not Mapped"/>
    <n v="251747"/>
    <s v="Animesh Mondal"/>
    <s v="Private Retailer"/>
    <s v="9734182551"/>
    <n v="0.25"/>
    <n v="215"/>
    <x v="3"/>
    <m/>
    <s v="2025-09-24"/>
    <s v="263382"/>
    <s v="Tushar Kanti Agarwala"/>
    <s v="8597190846"/>
  </r>
  <r>
    <s v="RCF Thal"/>
    <s v="N.C.Urea(45kg)"/>
    <s v="WB"/>
    <x v="7"/>
    <s v="Balurghat"/>
    <s v="User Not Mapped"/>
    <s v="User Not Mapped"/>
    <s v="User Not Mapped"/>
    <n v="263314"/>
    <s v="Ghosh Fertilizer"/>
    <s v="Private Retailer"/>
    <s v="8972060014"/>
    <n v="4.05"/>
    <n v="32"/>
    <x v="1"/>
    <m/>
    <s v="2026-03-26"/>
    <s v="263382"/>
    <s v="Tushar Kanti Agarwala"/>
    <s v="8597190846"/>
  </r>
  <r>
    <s v="RCF Thal"/>
    <s v="N.C.Urea(45kg)"/>
    <s v="WB"/>
    <x v="7"/>
    <s v="Balurghat"/>
    <s v="User Not Mapped"/>
    <s v="User Not Mapped"/>
    <s v="User Not Mapped"/>
    <n v="263314"/>
    <s v="Ghosh Fertilizer"/>
    <s v="Private Retailer"/>
    <s v="8972060014"/>
    <n v="11.25"/>
    <n v="69"/>
    <x v="2"/>
    <m/>
    <s v="2026-02-17"/>
    <s v="263382"/>
    <s v="Tushar Kanti Agarwala"/>
    <s v="8597190846"/>
  </r>
  <r>
    <s v="RCF Thal"/>
    <s v="N.C.Urea(45kg)"/>
    <s v="WB"/>
    <x v="7"/>
    <s v="Balurghat"/>
    <s v="User Not Mapped"/>
    <s v="User Not Mapped"/>
    <s v="User Not Mapped"/>
    <n v="263314"/>
    <s v="Ghosh Fertilizer"/>
    <s v="Private Retailer"/>
    <s v="8972060014"/>
    <n v="1.35"/>
    <n v="17"/>
    <x v="4"/>
    <m/>
    <s v="2026-04-10"/>
    <s v="263382"/>
    <s v="Tushar Kanti Agarwala"/>
    <s v="8597190846"/>
  </r>
  <r>
    <s v="RCF Thal"/>
    <s v="N.C.Urea(45kg)"/>
    <s v="WB"/>
    <x v="7"/>
    <s v="Balurghat"/>
    <s v="User Not Mapped"/>
    <s v="User Not Mapped"/>
    <s v="User Not Mapped"/>
    <n v="263321"/>
    <s v="Jogen Mahato"/>
    <s v="Private Retailer"/>
    <s v="9734676323"/>
    <n v="4.04"/>
    <n v="27"/>
    <x v="4"/>
    <m/>
    <s v="2026-03-31"/>
    <s v="263373"/>
    <s v="M/s. Kanailal Kedar Prasad"/>
    <s v="9735692523"/>
  </r>
  <r>
    <s v="RCF Import"/>
    <s v="Imp 10-26-26"/>
    <s v="WB"/>
    <x v="7"/>
    <s v="Balurghat"/>
    <s v="User Not Mapped"/>
    <s v="User Not Mapped"/>
    <s v="User Not Mapped"/>
    <n v="263335"/>
    <s v="Mahanta Sar Bhandar"/>
    <s v="Private Retailer"/>
    <s v="9434409598"/>
    <n v="11"/>
    <n v="16"/>
    <x v="4"/>
    <m/>
    <s v="2026-04-11"/>
    <s v="263382"/>
    <s v="Tushar Kanti Agarwala"/>
    <s v="8597190846"/>
  </r>
  <r>
    <s v="RCF Thal"/>
    <s v="N.C.Urea(45kg)"/>
    <s v="WB"/>
    <x v="7"/>
    <s v="Balurghat"/>
    <s v="User Not Mapped"/>
    <s v="User Not Mapped"/>
    <s v="User Not Mapped"/>
    <n v="263347"/>
    <s v="Pranay Laha"/>
    <s v="Private Retailer"/>
    <s v="9647760647"/>
    <n v="4.5"/>
    <n v="124"/>
    <x v="0"/>
    <m/>
    <s v="2025-12-24"/>
    <s v="263373"/>
    <s v="M/s. Kanailal Kedar Prasad"/>
    <s v="9735692523"/>
  </r>
  <r>
    <s v="RCF Thal"/>
    <s v="N.C.Urea(45kg)"/>
    <s v="WB"/>
    <x v="7"/>
    <s v="Balurghat"/>
    <s v="User Not Mapped"/>
    <s v="User Not Mapped"/>
    <s v="User Not Mapped"/>
    <n v="263347"/>
    <s v="Pranay Laha"/>
    <s v="Private Retailer"/>
    <s v="9647760647"/>
    <n v="4.03"/>
    <n v="228"/>
    <x v="3"/>
    <m/>
    <s v="2025-09-11"/>
    <s v="263373"/>
    <s v="M/s. Kanailal Kedar Prasad"/>
    <s v="9735692523"/>
  </r>
  <r>
    <s v="RCF Thal"/>
    <s v="N.C.Urea(45kg)"/>
    <s v="WB"/>
    <x v="7"/>
    <s v="Balurghat"/>
    <s v="User Not Mapped"/>
    <s v="User Not Mapped"/>
    <s v="User Not Mapped"/>
    <n v="305690"/>
    <s v="SWAPAN PAUL"/>
    <s v="Private Retailer"/>
    <s v="9734186497"/>
    <n v="0.18"/>
    <n v="14"/>
    <x v="4"/>
    <m/>
    <s v="2026-04-13"/>
    <s v="263382"/>
    <s v="Tushar Kanti Agarwala"/>
    <s v="8597190846"/>
  </r>
  <r>
    <s v="RCF Import"/>
    <s v="Imp 10-26-26"/>
    <s v="WB"/>
    <x v="7"/>
    <s v="Balurghat"/>
    <s v="User Not Mapped"/>
    <s v="User Not Mapped"/>
    <s v="User Not Mapped"/>
    <n v="340321"/>
    <s v="Bimal Chandra  Pramanik"/>
    <s v="Private Retailer"/>
    <s v="9635880128"/>
    <n v="0.6"/>
    <n v="513"/>
    <x v="6"/>
    <m/>
    <s v="2024-11-30"/>
    <s v="263370"/>
    <s v="MS Deepak Kumar Sarkar And Son"/>
    <s v="9851529233"/>
  </r>
  <r>
    <s v="RCF Trombay"/>
    <s v="N.C.Urea(45kg)"/>
    <s v="WB"/>
    <x v="7"/>
    <s v="Balurghat"/>
    <s v="User Not Mapped"/>
    <s v="User Not Mapped"/>
    <s v="User Not Mapped"/>
    <n v="340378"/>
    <s v="Rahunath Paul"/>
    <s v="Private Retailer"/>
    <s v="9647848912"/>
    <n v="0.54"/>
    <n v="72"/>
    <x v="2"/>
    <m/>
    <s v="2026-02-14"/>
    <s v="263382"/>
    <s v="Tushar Kanti Agarwala"/>
    <s v="8597190846"/>
  </r>
  <r>
    <s v="RCF Import"/>
    <s v="Imp 10-26-26"/>
    <s v="WB"/>
    <x v="7"/>
    <s v="Balurghat"/>
    <s v="User Not Mapped"/>
    <s v="User Not Mapped"/>
    <s v="User Not Mapped"/>
    <n v="340378"/>
    <s v="Rahunath Paul"/>
    <s v="Private Retailer"/>
    <s v="9647848912"/>
    <n v="1"/>
    <n v="55"/>
    <x v="1"/>
    <m/>
    <s v="2026-03-03"/>
    <s v="263382"/>
    <s v="Tushar Kanti Agarwala"/>
    <s v="8597190846"/>
  </r>
  <r>
    <s v="RCF Trombay"/>
    <s v="15-15-15"/>
    <s v="WB"/>
    <x v="7"/>
    <s v="Balurghat"/>
    <s v="User Not Mapped"/>
    <s v="User Not Mapped"/>
    <s v="User Not Mapped"/>
    <n v="340378"/>
    <s v="Rahunath Paul"/>
    <s v="Private Retailer"/>
    <s v="9647848912"/>
    <n v="0.75"/>
    <n v="32"/>
    <x v="1"/>
    <m/>
    <s v="2026-03-26"/>
    <s v="263382"/>
    <s v="Tushar Kanti Agarwala"/>
    <s v="8597190846"/>
  </r>
  <r>
    <s v="RCF Thal"/>
    <s v="N.C.Urea(45kg)"/>
    <s v="WB"/>
    <x v="7"/>
    <s v="Balurghat"/>
    <s v="User Not Mapped"/>
    <s v="User Not Mapped"/>
    <s v="User Not Mapped"/>
    <n v="340378"/>
    <s v="Rahunath Paul"/>
    <s v="Private Retailer"/>
    <s v="9647848912"/>
    <n v="11.025"/>
    <n v="69"/>
    <x v="2"/>
    <m/>
    <s v="2026-02-17"/>
    <s v="263382"/>
    <s v="Tushar Kanti Agarwala"/>
    <s v="8597190846"/>
  </r>
  <r>
    <s v="RCF Thal"/>
    <s v="N.C.Urea(45kg)"/>
    <s v="WB"/>
    <x v="7"/>
    <s v="Balurghat"/>
    <s v="User Not Mapped"/>
    <s v="User Not Mapped"/>
    <s v="User Not Mapped"/>
    <n v="340378"/>
    <s v="Rahunath Paul"/>
    <s v="Private Retailer"/>
    <s v="9647848912"/>
    <n v="0.27"/>
    <n v="89"/>
    <x v="2"/>
    <m/>
    <s v="2026-01-28"/>
    <s v="263382"/>
    <s v="Tushar Kanti Agarwala"/>
    <s v="8597190846"/>
  </r>
  <r>
    <s v="RCF Import"/>
    <s v="Imp 10-26-26"/>
    <s v="WB"/>
    <x v="7"/>
    <s v="Balurghat"/>
    <s v="User Not Mapped"/>
    <s v="User Not Mapped"/>
    <s v="User Not Mapped"/>
    <n v="340378"/>
    <s v="Rahunath Paul"/>
    <s v="Private Retailer"/>
    <s v="9647848912"/>
    <n v="0.75"/>
    <n v="72"/>
    <x v="2"/>
    <m/>
    <s v="2026-02-14"/>
    <s v="263382"/>
    <s v="Tushar Kanti Agarwala"/>
    <s v="8597190846"/>
  </r>
  <r>
    <s v="RCF Import"/>
    <s v="Imp 10-26-26"/>
    <s v="WB"/>
    <x v="7"/>
    <s v="Balurghat"/>
    <s v="User Not Mapped"/>
    <s v="User Not Mapped"/>
    <s v="User Not Mapped"/>
    <n v="340378"/>
    <s v="Rahunath Paul"/>
    <s v="Private Retailer"/>
    <s v="9647848912"/>
    <n v="0.75"/>
    <n v="80"/>
    <x v="2"/>
    <m/>
    <s v="2026-02-06"/>
    <s v="263382"/>
    <s v="Tushar Kanti Agarwala"/>
    <s v="8597190846"/>
  </r>
  <r>
    <s v="RCF Trombay"/>
    <s v="15-15-15"/>
    <s v="WB"/>
    <x v="7"/>
    <s v="Balurghat"/>
    <s v="User Not Mapped"/>
    <s v="User Not Mapped"/>
    <s v="User Not Mapped"/>
    <n v="340378"/>
    <s v="Rahunath Paul"/>
    <s v="Private Retailer"/>
    <s v="9647848912"/>
    <n v="0.75"/>
    <n v="89"/>
    <x v="2"/>
    <m/>
    <s v="2026-01-28"/>
    <s v="263382"/>
    <s v="Tushar Kanti Agarwala"/>
    <s v="8597190846"/>
  </r>
  <r>
    <s v="RCF Thal"/>
    <s v="N.C.Urea(45kg)"/>
    <s v="WB"/>
    <x v="7"/>
    <s v="Balurghat"/>
    <s v="User Not Mapped"/>
    <s v="User Not Mapped"/>
    <s v="User Not Mapped"/>
    <n v="340411"/>
    <s v="Soumendranath Mondal"/>
    <s v="Private Retailer"/>
    <s v="9933553272"/>
    <n v="8.6850000000000005"/>
    <n v="71"/>
    <x v="2"/>
    <m/>
    <s v="2026-02-15"/>
    <s v="263373"/>
    <s v="M/s. Kanailal Kedar Prasad"/>
    <s v="9735692523"/>
  </r>
  <r>
    <s v="RCF Trombay"/>
    <s v="N.C.Urea(45kg)"/>
    <s v="WB"/>
    <x v="7"/>
    <s v="Balurghat"/>
    <s v="User Not Mapped"/>
    <s v="User Not Mapped"/>
    <s v="User Not Mapped"/>
    <n v="342526"/>
    <s v="Sunil Chandra  Das"/>
    <s v="Private Retailer"/>
    <s v="9735950106"/>
    <n v="1.8"/>
    <n v="69"/>
    <x v="2"/>
    <m/>
    <s v="2026-02-17"/>
    <s v="263382"/>
    <s v="Tushar Kanti Agarwala"/>
    <s v="8597190846"/>
  </r>
  <r>
    <s v="RCF Thal"/>
    <s v="N.C.Urea(45kg)"/>
    <s v="WB"/>
    <x v="7"/>
    <s v="Balurghat"/>
    <s v="User Not Mapped"/>
    <s v="User Not Mapped"/>
    <s v="User Not Mapped"/>
    <n v="342526"/>
    <s v="Sunil Chandra  Das"/>
    <s v="Private Retailer"/>
    <s v="9735950106"/>
    <n v="4.4999999999999998E-2"/>
    <n v="55"/>
    <x v="1"/>
    <m/>
    <s v="2026-03-03"/>
    <s v="263382"/>
    <s v="Tushar Kanti Agarwala"/>
    <s v="8597190846"/>
  </r>
  <r>
    <s v="RCF Trombay"/>
    <s v="N.C.Urea(45kg)"/>
    <s v="WB"/>
    <x v="7"/>
    <s v="Balurghat"/>
    <s v="User Not Mapped"/>
    <s v="User Not Mapped"/>
    <s v="User Not Mapped"/>
    <n v="342526"/>
    <s v="Sunil Chandra  Das"/>
    <s v="Private Retailer"/>
    <s v="9735950106"/>
    <n v="0.45"/>
    <n v="72"/>
    <x v="2"/>
    <m/>
    <s v="2026-02-14"/>
    <s v="263382"/>
    <s v="Tushar Kanti Agarwala"/>
    <s v="8597190846"/>
  </r>
  <r>
    <s v="RCF Thal"/>
    <s v="N.C.Urea(45kg)"/>
    <s v="WB"/>
    <x v="7"/>
    <s v="Balurghat"/>
    <s v="User Not Mapped"/>
    <s v="User Not Mapped"/>
    <s v="User Not Mapped"/>
    <n v="342526"/>
    <s v="Sunil Chandra  Das"/>
    <s v="Private Retailer"/>
    <s v="9735950106"/>
    <n v="1.3049999999999999"/>
    <n v="32"/>
    <x v="1"/>
    <m/>
    <s v="2026-03-26"/>
    <s v="263382"/>
    <s v="Tushar Kanti Agarwala"/>
    <s v="8597190846"/>
  </r>
  <r>
    <s v="RCF Thal"/>
    <s v="N.C.Urea(45kg)"/>
    <s v="WB"/>
    <x v="7"/>
    <s v="Balurghat"/>
    <s v="User Not Mapped"/>
    <s v="User Not Mapped"/>
    <s v="User Not Mapped"/>
    <n v="353986"/>
    <s v="Kanak Debnath"/>
    <s v="Private Retailer"/>
    <s v="9933718665"/>
    <n v="2.7"/>
    <n v="45"/>
    <x v="1"/>
    <m/>
    <s v="2026-03-13"/>
    <s v="263382"/>
    <s v="Tushar Kanti Agarwala"/>
    <s v="8597190846"/>
  </r>
  <r>
    <s v="RCF Trombay"/>
    <s v="15-15-15"/>
    <s v="WB"/>
    <x v="7"/>
    <s v="Balurghat"/>
    <s v="User Not Mapped"/>
    <s v="User Not Mapped"/>
    <s v="User Not Mapped"/>
    <n v="354004"/>
    <s v="Ranjan Paul"/>
    <s v="Private Retailer"/>
    <s v="8637544830"/>
    <n v="2.4500000000000002"/>
    <n v="138"/>
    <x v="0"/>
    <m/>
    <s v="2025-12-10"/>
    <s v="263373"/>
    <s v="M/s. Kanailal Kedar Prasad"/>
    <s v="9735692523"/>
  </r>
  <r>
    <s v="RCF Import"/>
    <s v="Imp 10-26-26"/>
    <s v="WB"/>
    <x v="7"/>
    <s v="Balurghat"/>
    <s v="User Not Mapped"/>
    <s v="User Not Mapped"/>
    <s v="User Not Mapped"/>
    <n v="354004"/>
    <s v="Ranjan Paul"/>
    <s v="Private Retailer"/>
    <s v="8637544830"/>
    <n v="9.25"/>
    <n v="72"/>
    <x v="2"/>
    <m/>
    <s v="2026-02-14"/>
    <s v="263382"/>
    <s v="Tushar Kanti Agarwala"/>
    <s v="8597190846"/>
  </r>
  <r>
    <s v="RCF Thal"/>
    <s v="N.C.Urea(45kg)"/>
    <s v="WB"/>
    <x v="7"/>
    <s v="Balurghat"/>
    <s v="User Not Mapped"/>
    <s v="User Not Mapped"/>
    <s v="User Not Mapped"/>
    <n v="390067"/>
    <s v="Bijan Mahata"/>
    <s v="Private Retailer"/>
    <s v="8670646364"/>
    <n v="3.06"/>
    <n v="94"/>
    <x v="5"/>
    <m/>
    <s v="2026-01-23"/>
    <s v="263373"/>
    <s v="M/s. Kanailal Kedar Prasad"/>
    <s v="9735692523"/>
  </r>
  <r>
    <s v="RCF Trombay"/>
    <s v="N.C.Urea(45kg)"/>
    <s v="WB"/>
    <x v="7"/>
    <s v="Balurghat"/>
    <s v="User Not Mapped"/>
    <s v="User Not Mapped"/>
    <s v="User Not Mapped"/>
    <n v="391309"/>
    <s v="SHYAMAL KUMAR ROY"/>
    <s v="Private Retailer"/>
    <s v="9474141460"/>
    <n v="1.35"/>
    <n v="67"/>
    <x v="2"/>
    <m/>
    <s v="2026-02-19"/>
    <s v="263382"/>
    <s v="Tushar Kanti Agarwala"/>
    <s v="8597190846"/>
  </r>
  <r>
    <s v="RCF Trombay"/>
    <s v="15-15-15"/>
    <s v="WB"/>
    <x v="7"/>
    <s v="Balurghat"/>
    <s v="User Not Mapped"/>
    <s v="User Not Mapped"/>
    <s v="User Not Mapped"/>
    <n v="391309"/>
    <s v="SHYAMAL KUMAR ROY"/>
    <s v="Private Retailer"/>
    <s v="9474141460"/>
    <n v="0.25"/>
    <n v="55"/>
    <x v="1"/>
    <m/>
    <s v="2026-03-03"/>
    <s v="263382"/>
    <s v="Tushar Kanti Agarwala"/>
    <s v="8597190846"/>
  </r>
  <r>
    <s v="RCF Trombay"/>
    <s v="15-15-15"/>
    <s v="WB"/>
    <x v="7"/>
    <s v="Balurghat"/>
    <s v="User Not Mapped"/>
    <s v="User Not Mapped"/>
    <s v="User Not Mapped"/>
    <n v="391309"/>
    <s v="SHYAMAL KUMAR ROY"/>
    <s v="Private Retailer"/>
    <s v="9474141460"/>
    <n v="0.15"/>
    <n v="33"/>
    <x v="1"/>
    <m/>
    <s v="2026-03-25"/>
    <s v="263382"/>
    <s v="Tushar Kanti Agarwala"/>
    <s v="8597190846"/>
  </r>
  <r>
    <s v="RCF Trombay"/>
    <s v="N.C.Urea(45kg)"/>
    <s v="WB"/>
    <x v="7"/>
    <s v="Balurghat"/>
    <s v="User Not Mapped"/>
    <s v="User Not Mapped"/>
    <s v="User Not Mapped"/>
    <n v="391313"/>
    <s v="NITYANANDA SARKAR"/>
    <s v="Private Retailer"/>
    <s v="8759422108"/>
    <n v="0.67500000000000004"/>
    <n v="69"/>
    <x v="2"/>
    <m/>
    <s v="2026-02-17"/>
    <s v="263382"/>
    <s v="Tushar Kanti Agarwala"/>
    <s v="8597190846"/>
  </r>
  <r>
    <s v="RCF Trombay"/>
    <s v="15-15-15"/>
    <s v="WB"/>
    <x v="7"/>
    <s v="Balurghat"/>
    <s v="User Not Mapped"/>
    <s v="User Not Mapped"/>
    <s v="User Not Mapped"/>
    <n v="391313"/>
    <s v="NITYANANDA SARKAR"/>
    <s v="Private Retailer"/>
    <s v="8759422108"/>
    <n v="1"/>
    <n v="32"/>
    <x v="1"/>
    <m/>
    <s v="2026-03-26"/>
    <s v="263382"/>
    <s v="Tushar Kanti Agarwala"/>
    <s v="8597190846"/>
  </r>
  <r>
    <s v="RCF Thal"/>
    <s v="N.C.Urea(45kg)"/>
    <s v="WB"/>
    <x v="7"/>
    <s v="Balurghat"/>
    <s v="User Not Mapped"/>
    <s v="User Not Mapped"/>
    <s v="User Not Mapped"/>
    <n v="391313"/>
    <s v="NITYANANDA SARKAR"/>
    <s v="Private Retailer"/>
    <s v="8759422108"/>
    <n v="3.5999999999999997E-2"/>
    <n v="165"/>
    <x v="0"/>
    <m/>
    <s v="2025-11-13"/>
    <s v="263382"/>
    <s v="Tushar Kanti Agarwala"/>
    <s v="8597190846"/>
  </r>
  <r>
    <s v="RCF Trombay"/>
    <s v="15-15-15"/>
    <s v="WB"/>
    <x v="7"/>
    <s v="Balurghat"/>
    <s v="User Not Mapped"/>
    <s v="User Not Mapped"/>
    <s v="User Not Mapped"/>
    <n v="391313"/>
    <s v="NITYANANDA SARKAR"/>
    <s v="Private Retailer"/>
    <s v="8759422108"/>
    <n v="0.35"/>
    <n v="55"/>
    <x v="1"/>
    <m/>
    <s v="2026-03-03"/>
    <s v="263382"/>
    <s v="Tushar Kanti Agarwala"/>
    <s v="8597190846"/>
  </r>
  <r>
    <s v="RCF Thal"/>
    <s v="N.C.Urea(45kg)"/>
    <s v="WB"/>
    <x v="7"/>
    <s v="Balurghat"/>
    <s v="User Not Mapped"/>
    <s v="User Not Mapped"/>
    <s v="User Not Mapped"/>
    <n v="391315"/>
    <s v="Binoy Mondol"/>
    <s v="Private Retailer"/>
    <s v="9734066642"/>
    <n v="2.0249999999999999"/>
    <n v="33"/>
    <x v="1"/>
    <m/>
    <s v="2026-03-25"/>
    <s v="263382"/>
    <s v="Tushar Kanti Agarwala"/>
    <s v="8597190846"/>
  </r>
  <r>
    <s v="RCF Import"/>
    <s v="Imp 10-26-26"/>
    <s v="WB"/>
    <x v="7"/>
    <s v="Balurghat"/>
    <s v="User Not Mapped"/>
    <s v="User Not Mapped"/>
    <s v="User Not Mapped"/>
    <n v="391315"/>
    <s v="Binoy Mondol"/>
    <s v="Private Retailer"/>
    <s v="9734066642"/>
    <n v="0.25"/>
    <n v="72"/>
    <x v="2"/>
    <m/>
    <s v="2026-02-14"/>
    <s v="263382"/>
    <s v="Tushar Kanti Agarwala"/>
    <s v="8597190846"/>
  </r>
  <r>
    <s v="RCF Import"/>
    <s v="Imp 10-26-26"/>
    <s v="WB"/>
    <x v="7"/>
    <s v="Balurghat"/>
    <s v="User Not Mapped"/>
    <s v="User Not Mapped"/>
    <s v="User Not Mapped"/>
    <n v="391315"/>
    <s v="Binoy Mondol"/>
    <s v="Private Retailer"/>
    <s v="9734066642"/>
    <n v="0.5"/>
    <n v="80"/>
    <x v="2"/>
    <m/>
    <s v="2026-02-06"/>
    <s v="263382"/>
    <s v="Tushar Kanti Agarwala"/>
    <s v="8597190846"/>
  </r>
  <r>
    <s v="RCF Thal"/>
    <s v="N.C.Urea(45kg)"/>
    <s v="WB"/>
    <x v="7"/>
    <s v="Balurghat"/>
    <s v="User Not Mapped"/>
    <s v="User Not Mapped"/>
    <s v="User Not Mapped"/>
    <n v="391315"/>
    <s v="Binoy Mondol"/>
    <s v="Private Retailer"/>
    <s v="9734066642"/>
    <n v="3.43"/>
    <n v="45"/>
    <x v="1"/>
    <m/>
    <s v="2026-03-13"/>
    <s v="263382"/>
    <s v="Tushar Kanti Agarwala"/>
    <s v="8597190846"/>
  </r>
  <r>
    <s v="RCF Import"/>
    <s v="Imp 10-26-26"/>
    <s v="WB"/>
    <x v="7"/>
    <s v="Balurghat"/>
    <s v="User Not Mapped"/>
    <s v="User Not Mapped"/>
    <s v="User Not Mapped"/>
    <n v="391315"/>
    <s v="Binoy Mondol"/>
    <s v="Private Retailer"/>
    <s v="9734066642"/>
    <n v="1"/>
    <n v="55"/>
    <x v="1"/>
    <m/>
    <s v="2026-03-03"/>
    <s v="263382"/>
    <s v="Tushar Kanti Agarwala"/>
    <s v="8597190846"/>
  </r>
  <r>
    <s v="RCF Trombay"/>
    <s v="15-15-15"/>
    <s v="WB"/>
    <x v="7"/>
    <s v="Balurghat"/>
    <s v="User Not Mapped"/>
    <s v="User Not Mapped"/>
    <s v="User Not Mapped"/>
    <n v="391315"/>
    <s v="Binoy Mondol"/>
    <s v="Private Retailer"/>
    <s v="9734066642"/>
    <n v="0.25"/>
    <n v="32"/>
    <x v="1"/>
    <m/>
    <s v="2026-03-26"/>
    <s v="263382"/>
    <s v="Tushar Kanti Agarwala"/>
    <s v="8597190846"/>
  </r>
  <r>
    <s v="RCF Trombay"/>
    <s v="15-15-15"/>
    <s v="WB"/>
    <x v="7"/>
    <s v="Balurghat"/>
    <s v="User Not Mapped"/>
    <s v="User Not Mapped"/>
    <s v="User Not Mapped"/>
    <n v="391315"/>
    <s v="Binoy Mondol"/>
    <s v="Private Retailer"/>
    <s v="9734066642"/>
    <n v="0.25"/>
    <n v="33"/>
    <x v="1"/>
    <m/>
    <s v="2026-03-25"/>
    <s v="263382"/>
    <s v="Tushar Kanti Agarwala"/>
    <s v="8597190846"/>
  </r>
  <r>
    <s v="RCF Thal"/>
    <s v="N.C.Urea(45kg)"/>
    <s v="WB"/>
    <x v="7"/>
    <s v="Balurghat"/>
    <s v="User Not Mapped"/>
    <s v="User Not Mapped"/>
    <s v="User Not Mapped"/>
    <n v="391323"/>
    <s v="SHYAMAL CHOWDHURY"/>
    <s v="Private Retailer"/>
    <s v="9775444243"/>
    <n v="0.40500000000000003"/>
    <n v="49"/>
    <x v="1"/>
    <m/>
    <s v="2026-03-09"/>
    <s v="263373"/>
    <s v="M/s. Kanailal Kedar Prasad"/>
    <s v="9735692523"/>
  </r>
  <r>
    <s v="RCF Import"/>
    <s v="Imp 10-26-26"/>
    <s v="WB"/>
    <x v="7"/>
    <s v="Balurghat"/>
    <s v="User Not Mapped"/>
    <s v="User Not Mapped"/>
    <s v="User Not Mapped"/>
    <n v="391327"/>
    <s v="M/S DEBNATH KRISHI BHANDAR"/>
    <s v="Private Retailer"/>
    <s v="8170949333"/>
    <n v="0.75"/>
    <n v="72"/>
    <x v="2"/>
    <m/>
    <s v="2026-02-14"/>
    <s v="263382"/>
    <s v="Tushar Kanti Agarwala"/>
    <s v="8597190846"/>
  </r>
  <r>
    <s v="RCF Trombay"/>
    <s v="N.C.Urea(45kg)"/>
    <s v="WB"/>
    <x v="7"/>
    <s v="Balurghat"/>
    <s v="User Not Mapped"/>
    <s v="User Not Mapped"/>
    <s v="User Not Mapped"/>
    <n v="391327"/>
    <s v="M/S DEBNATH KRISHI BHANDAR"/>
    <s v="Private Retailer"/>
    <s v="8170949333"/>
    <n v="1.2150000000000001"/>
    <n v="69"/>
    <x v="2"/>
    <m/>
    <s v="2026-02-17"/>
    <s v="263382"/>
    <s v="Tushar Kanti Agarwala"/>
    <s v="8597190846"/>
  </r>
  <r>
    <s v="RCF Import"/>
    <s v="Imp 10-26-26"/>
    <s v="WB"/>
    <x v="7"/>
    <s v="Balurghat"/>
    <s v="User Not Mapped"/>
    <s v="User Not Mapped"/>
    <s v="User Not Mapped"/>
    <n v="391327"/>
    <s v="M/S DEBNATH KRISHI BHANDAR"/>
    <s v="Private Retailer"/>
    <s v="8170949333"/>
    <n v="0.5"/>
    <n v="55"/>
    <x v="1"/>
    <m/>
    <s v="2026-03-03"/>
    <s v="263382"/>
    <s v="Tushar Kanti Agarwala"/>
    <s v="8597190846"/>
  </r>
  <r>
    <s v="RCF Thal"/>
    <s v="N.C.Urea(45kg)"/>
    <s v="WB"/>
    <x v="7"/>
    <s v="Balurghat"/>
    <s v="User Not Mapped"/>
    <s v="User Not Mapped"/>
    <s v="User Not Mapped"/>
    <n v="391327"/>
    <s v="M/S DEBNATH KRISHI BHANDAR"/>
    <s v="Private Retailer"/>
    <s v="8170949333"/>
    <n v="1.575"/>
    <n v="32"/>
    <x v="1"/>
    <m/>
    <s v="2026-03-26"/>
    <s v="263382"/>
    <s v="Tushar Kanti Agarwala"/>
    <s v="8597190846"/>
  </r>
  <r>
    <s v="RCF Thal"/>
    <s v="N.C.Urea(45kg)"/>
    <s v="WB"/>
    <x v="7"/>
    <s v="Balurghat"/>
    <s v="User Not Mapped"/>
    <s v="User Not Mapped"/>
    <s v="User Not Mapped"/>
    <n v="391327"/>
    <s v="M/S DEBNATH KRISHI BHANDAR"/>
    <s v="Private Retailer"/>
    <s v="8170949333"/>
    <n v="2.0249999999999999"/>
    <n v="14"/>
    <x v="4"/>
    <m/>
    <s v="2026-04-13"/>
    <s v="263382"/>
    <s v="Tushar Kanti Agarwala"/>
    <s v="8597190846"/>
  </r>
  <r>
    <s v="RCF Import"/>
    <s v="Imp 10-26-26"/>
    <s v="WB"/>
    <x v="7"/>
    <s v="Balurghat"/>
    <s v="User Not Mapped"/>
    <s v="User Not Mapped"/>
    <s v="User Not Mapped"/>
    <n v="391327"/>
    <s v="M/S DEBNATH KRISHI BHANDAR"/>
    <s v="Private Retailer"/>
    <s v="8170949333"/>
    <n v="0.75"/>
    <n v="69"/>
    <x v="2"/>
    <m/>
    <s v="2026-02-17"/>
    <s v="263382"/>
    <s v="Tushar Kanti Agarwala"/>
    <s v="8597190846"/>
  </r>
  <r>
    <s v="RCF Import"/>
    <s v="Imp 10-26-26"/>
    <s v="WB"/>
    <x v="7"/>
    <s v="Balurghat"/>
    <s v="User Not Mapped"/>
    <s v="User Not Mapped"/>
    <s v="User Not Mapped"/>
    <n v="391329"/>
    <s v="Bijon Chandra Pramanik"/>
    <s v="Private Retailer"/>
    <s v="9800514216"/>
    <n v="0.25"/>
    <n v="55"/>
    <x v="1"/>
    <m/>
    <s v="2026-03-03"/>
    <s v="263382"/>
    <s v="Tushar Kanti Agarwala"/>
    <s v="8597190846"/>
  </r>
  <r>
    <s v="RCF Thal"/>
    <s v="N.C.Urea(45kg)"/>
    <s v="WB"/>
    <x v="7"/>
    <s v="Balurghat"/>
    <s v="User Not Mapped"/>
    <s v="User Not Mapped"/>
    <s v="User Not Mapped"/>
    <n v="391329"/>
    <s v="Bijon Chandra Pramanik"/>
    <s v="Private Retailer"/>
    <s v="9800514216"/>
    <n v="1.35"/>
    <n v="32"/>
    <x v="1"/>
    <m/>
    <s v="2026-03-26"/>
    <s v="263382"/>
    <s v="Tushar Kanti Agarwala"/>
    <s v="8597190846"/>
  </r>
  <r>
    <s v="RCF Thal"/>
    <s v="N.C.Urea(45kg)"/>
    <s v="WB"/>
    <x v="7"/>
    <s v="Balurghat"/>
    <s v="User Not Mapped"/>
    <s v="User Not Mapped"/>
    <s v="User Not Mapped"/>
    <n v="391329"/>
    <s v="Bijon Chandra Pramanik"/>
    <s v="Private Retailer"/>
    <s v="9800514216"/>
    <n v="0.72"/>
    <n v="14"/>
    <x v="4"/>
    <m/>
    <s v="2026-04-13"/>
    <s v="263382"/>
    <s v="Tushar Kanti Agarwala"/>
    <s v="8597190846"/>
  </r>
  <r>
    <s v="RCF Thal"/>
    <s v="N.C.Urea(45kg)"/>
    <s v="WB"/>
    <x v="7"/>
    <s v="Balurghat"/>
    <s v="User Not Mapped"/>
    <s v="User Not Mapped"/>
    <s v="User Not Mapped"/>
    <n v="391333"/>
    <s v="M/S. SUJIT DAS"/>
    <s v="Private Retailer"/>
    <s v="8101420553"/>
    <n v="0.27"/>
    <n v="13"/>
    <x v="4"/>
    <m/>
    <s v="2026-04-14"/>
    <s v="263382"/>
    <s v="Tushar Kanti Agarwala"/>
    <s v="8597190846"/>
  </r>
  <r>
    <s v="RCF Thal"/>
    <s v="N.C.Urea(45kg)"/>
    <s v="WB"/>
    <x v="7"/>
    <s v="Balurghat"/>
    <s v="User Not Mapped"/>
    <s v="User Not Mapped"/>
    <s v="User Not Mapped"/>
    <n v="391457"/>
    <s v="Gokul Chandra Mondal"/>
    <s v="Private Retailer"/>
    <s v="9735981800"/>
    <n v="2.2050000000000001"/>
    <n v="71"/>
    <x v="2"/>
    <m/>
    <s v="2026-02-15"/>
    <s v="263373"/>
    <s v="M/s. Kanailal Kedar Prasad"/>
    <s v="9735692523"/>
  </r>
  <r>
    <s v="RCF Thal"/>
    <s v="N.C.Urea(45kg)"/>
    <s v="WB"/>
    <x v="7"/>
    <s v="Balurghat"/>
    <s v="User Not Mapped"/>
    <s v="User Not Mapped"/>
    <s v="User Not Mapped"/>
    <n v="391547"/>
    <s v="Sampa Choudhury(Saha)"/>
    <s v="Private Retailer"/>
    <s v="9475103455"/>
    <n v="2.4750000000000001"/>
    <n v="49"/>
    <x v="1"/>
    <m/>
    <s v="2026-03-09"/>
    <s v="263373"/>
    <s v="M/s. Kanailal Kedar Prasad"/>
    <s v="9735692523"/>
  </r>
  <r>
    <s v="RCF Import"/>
    <s v="Imp 10-26-26"/>
    <s v="WB"/>
    <x v="7"/>
    <s v="Balurghat"/>
    <s v="User Not Mapped"/>
    <s v="User Not Mapped"/>
    <s v="User Not Mapped"/>
    <n v="391547"/>
    <s v="Sampa Choudhury(Saha)"/>
    <s v="Private Retailer"/>
    <s v="9475103455"/>
    <n v="6.5"/>
    <n v="49"/>
    <x v="1"/>
    <m/>
    <s v="2026-03-09"/>
    <s v="263373"/>
    <s v="M/s. Kanailal Kedar Prasad"/>
    <s v="9735692523"/>
  </r>
  <r>
    <s v="RCF Trombay"/>
    <s v="15-15-15"/>
    <s v="WB"/>
    <x v="7"/>
    <s v="Balurghat"/>
    <s v="User Not Mapped"/>
    <s v="User Not Mapped"/>
    <s v="User Not Mapped"/>
    <n v="391551"/>
    <s v="M/S Gopal Krishna Samajder"/>
    <s v="Private Retailer"/>
    <s v="8145810280"/>
    <n v="0.3"/>
    <n v="214"/>
    <x v="3"/>
    <m/>
    <s v="2025-09-25"/>
    <s v="263373"/>
    <s v="M/s. Kanailal Kedar Prasad"/>
    <s v="9735692523"/>
  </r>
  <r>
    <s v="RCF Trombay"/>
    <s v="N.C.Urea(45kg)"/>
    <s v="WB"/>
    <x v="7"/>
    <s v="Balurghat"/>
    <s v="User Not Mapped"/>
    <s v="User Not Mapped"/>
    <s v="User Not Mapped"/>
    <n v="391551"/>
    <s v="M/S Gopal Krishna Samajder"/>
    <s v="Private Retailer"/>
    <s v="8145810280"/>
    <n v="11.025"/>
    <n v="2"/>
    <x v="4"/>
    <m/>
    <s v="2026-04-25"/>
    <s v="286422"/>
    <s v="Dipak Kumar Laha"/>
    <s v="6297583814"/>
  </r>
  <r>
    <s v="RCF Thal"/>
    <s v="N.C.Urea(45kg)"/>
    <s v="WB"/>
    <x v="7"/>
    <s v="Balurghat"/>
    <s v="User Not Mapped"/>
    <s v="User Not Mapped"/>
    <s v="User Not Mapped"/>
    <n v="391551"/>
    <s v="M/S Gopal Krishna Samajder"/>
    <s v="Private Retailer"/>
    <s v="8145810280"/>
    <n v="4.4999999999999998E-2"/>
    <n v="13"/>
    <x v="4"/>
    <m/>
    <s v="2026-04-14"/>
    <s v="263382"/>
    <s v="Tushar Kanti Agarwala"/>
    <s v="8597190846"/>
  </r>
  <r>
    <s v="RCF Import"/>
    <s v="Imp 10-26-26"/>
    <s v="WB"/>
    <x v="7"/>
    <s v="Balurghat"/>
    <s v="User Not Mapped"/>
    <s v="User Not Mapped"/>
    <s v="User Not Mapped"/>
    <n v="391551"/>
    <s v="M/S Gopal Krishna Samajder"/>
    <s v="Private Retailer"/>
    <s v="8145810280"/>
    <n v="1.45"/>
    <n v="81"/>
    <x v="2"/>
    <m/>
    <s v="2026-02-05"/>
    <s v="263373"/>
    <s v="M/s. Kanailal Kedar Prasad"/>
    <s v="9735692523"/>
  </r>
  <r>
    <s v="RCF Trombay"/>
    <s v="15-15-15"/>
    <s v="WB"/>
    <x v="7"/>
    <s v="Balurghat"/>
    <s v="User Not Mapped"/>
    <s v="User Not Mapped"/>
    <s v="User Not Mapped"/>
    <n v="391569"/>
    <s v="Sushil Ranjan Mohanta"/>
    <s v="Private Retailer"/>
    <s v="8918199989"/>
    <n v="1.25"/>
    <n v="250"/>
    <x v="3"/>
    <m/>
    <s v="2025-08-20"/>
    <s v="263382"/>
    <s v="Tushar Kanti Agarwala"/>
    <s v="8597190846"/>
  </r>
  <r>
    <s v="RCF Trombay"/>
    <s v="15-15-15"/>
    <s v="WB"/>
    <x v="7"/>
    <s v="Balurghat"/>
    <s v="User Not Mapped"/>
    <s v="User Not Mapped"/>
    <s v="User Not Mapped"/>
    <n v="391573"/>
    <s v="M/S. NAJMA BIBI"/>
    <s v="Private Retailer"/>
    <s v="9933123145"/>
    <n v="2.15"/>
    <n v="283"/>
    <x v="3"/>
    <m/>
    <s v="2025-07-18"/>
    <s v="332079"/>
    <s v="Amcherali Mandal"/>
    <s v="9547098638"/>
  </r>
  <r>
    <s v="RCF Thal"/>
    <s v="N.C.Urea(45kg)"/>
    <s v="WB"/>
    <x v="7"/>
    <s v="Balurghat"/>
    <s v="User Not Mapped"/>
    <s v="User Not Mapped"/>
    <s v="User Not Mapped"/>
    <n v="391577"/>
    <s v="M/S SURESH DEBNATH"/>
    <s v="Private Retailer"/>
    <s v="7602222620"/>
    <n v="2.34"/>
    <n v="367"/>
    <x v="6"/>
    <m/>
    <s v="2025-04-25"/>
    <s v="263373"/>
    <s v="M/s. Kanailal Kedar Prasad"/>
    <s v="9735692523"/>
  </r>
  <r>
    <s v="RCF Trombay"/>
    <s v="N.C.Urea(45kg)"/>
    <s v="WB"/>
    <x v="7"/>
    <s v="Balurghat"/>
    <s v="User Not Mapped"/>
    <s v="User Not Mapped"/>
    <s v="User Not Mapped"/>
    <n v="391577"/>
    <s v="M/S SURESH DEBNATH"/>
    <s v="Private Retailer"/>
    <s v="7602222620"/>
    <n v="5.625"/>
    <n v="140"/>
    <x v="0"/>
    <m/>
    <s v="2025-12-08"/>
    <s v="263382"/>
    <s v="Tushar Kanti Agarwala"/>
    <s v="8597190846"/>
  </r>
  <r>
    <s v="RCF Import"/>
    <s v="MOP"/>
    <s v="WB"/>
    <x v="7"/>
    <s v="Balurghat"/>
    <s v="User Not Mapped"/>
    <s v="User Not Mapped"/>
    <s v="User Not Mapped"/>
    <n v="391579"/>
    <s v="M/S Sabuj Ghar"/>
    <s v="Private Retailer"/>
    <s v="9734160651"/>
    <n v="0.45"/>
    <n v="594"/>
    <x v="7"/>
    <m/>
    <s v="2024-09-10"/>
    <s v="263373"/>
    <s v="M/s. Kanailal Kedar Prasad"/>
    <s v="9735692523"/>
  </r>
  <r>
    <s v="RCF Thal"/>
    <s v="N.C.Urea(45kg)"/>
    <s v="WB"/>
    <x v="7"/>
    <s v="Balurghat"/>
    <s v="User Not Mapped"/>
    <s v="User Not Mapped"/>
    <s v="User Not Mapped"/>
    <n v="487283"/>
    <s v="KANCHAN ROY"/>
    <s v="Private Retailer"/>
    <s v="9775417051"/>
    <n v="5.5350000000000001"/>
    <n v="71"/>
    <x v="2"/>
    <m/>
    <s v="2026-02-15"/>
    <s v="263373"/>
    <s v="M/s. Kanailal Kedar Prasad"/>
    <s v="9735692523"/>
  </r>
  <r>
    <s v="RCF Thal"/>
    <s v="N.C.Urea(45kg)"/>
    <s v="WB"/>
    <x v="7"/>
    <s v="Balurghat"/>
    <s v="User Not Mapped"/>
    <s v="User Not Mapped"/>
    <s v="User Not Mapped"/>
    <n v="487283"/>
    <s v="KANCHAN ROY"/>
    <s v="Private Retailer"/>
    <s v="9775417051"/>
    <n v="2.88"/>
    <n v="94"/>
    <x v="5"/>
    <m/>
    <s v="2026-01-23"/>
    <s v="263373"/>
    <s v="M/s. Kanailal Kedar Prasad"/>
    <s v="9735692523"/>
  </r>
  <r>
    <s v="RCF Thal"/>
    <s v="N.C.Urea(45kg)"/>
    <s v="WB"/>
    <x v="7"/>
    <s v="Balurghat"/>
    <s v="User Not Mapped"/>
    <s v="User Not Mapped"/>
    <s v="User Not Mapped"/>
    <n v="487283"/>
    <s v="KANCHAN ROY"/>
    <s v="Private Retailer"/>
    <s v="9775417051"/>
    <n v="5.49"/>
    <n v="49"/>
    <x v="1"/>
    <m/>
    <s v="2026-03-09"/>
    <s v="263373"/>
    <s v="M/s. Kanailal Kedar Prasad"/>
    <s v="9735692523"/>
  </r>
  <r>
    <s v="RCF Thal"/>
    <s v="N.C.Urea(45kg)"/>
    <s v="WB"/>
    <x v="7"/>
    <s v="Balurghat"/>
    <s v="User Not Mapped"/>
    <s v="User Not Mapped"/>
    <s v="User Not Mapped"/>
    <n v="550223"/>
    <s v="NITAI CHANDRA GHOSH"/>
    <s v="Private Retailer"/>
    <s v="7001531914"/>
    <n v="1.0349999999999999"/>
    <n v="38"/>
    <x v="1"/>
    <m/>
    <s v="2026-03-20"/>
    <s v="263382"/>
    <s v="Tushar Kanti Agarwala"/>
    <s v="8597190846"/>
  </r>
  <r>
    <s v="RCF Trombay"/>
    <s v="15-15-15"/>
    <s v="WB"/>
    <x v="7"/>
    <s v="Balurghat"/>
    <s v="User Not Mapped"/>
    <s v="User Not Mapped"/>
    <s v="User Not Mapped"/>
    <n v="550225"/>
    <s v="Ashit Kumar Paul"/>
    <s v="Private Retailer"/>
    <s v="9733146654"/>
    <n v="0.5"/>
    <n v="33"/>
    <x v="1"/>
    <m/>
    <s v="2026-03-25"/>
    <s v="263382"/>
    <s v="Tushar Kanti Agarwala"/>
    <s v="8597190846"/>
  </r>
  <r>
    <s v="RCF Thal"/>
    <s v="N.C.Urea(45kg)"/>
    <s v="WB"/>
    <x v="7"/>
    <s v="Balurghat"/>
    <s v="User Not Mapped"/>
    <s v="User Not Mapped"/>
    <s v="User Not Mapped"/>
    <n v="554211"/>
    <s v="M/S ASIT MANDAL"/>
    <s v="Private Retailer"/>
    <s v="9635513397"/>
    <n v="0.13500000000000001"/>
    <n v="32"/>
    <x v="1"/>
    <m/>
    <s v="2026-03-26"/>
    <s v="263382"/>
    <s v="Tushar Kanti Agarwala"/>
    <s v="8597190846"/>
  </r>
  <r>
    <s v="RCF Trombay"/>
    <s v="15-15-15"/>
    <s v="WB"/>
    <x v="7"/>
    <s v="Balurghat"/>
    <s v="User Not Mapped"/>
    <s v="User Not Mapped"/>
    <s v="User Not Mapped"/>
    <n v="596279"/>
    <s v="MAA MANASA FERTILIZER"/>
    <s v="Private Retailer"/>
    <s v="9851602422"/>
    <n v="7.5"/>
    <n v="128"/>
    <x v="0"/>
    <m/>
    <s v="2025-12-20"/>
    <s v="501083"/>
    <s v="M/S Raj Laxmi Sar Bhandar"/>
    <s v="9733231915"/>
  </r>
  <r>
    <s v="RCF Thal"/>
    <s v="N.C.Urea(45kg)"/>
    <s v="WB"/>
    <x v="7"/>
    <s v="Balurghat"/>
    <s v="User Not Mapped"/>
    <s v="User Not Mapped"/>
    <s v="User Not Mapped"/>
    <n v="596281"/>
    <s v="RAM GOPAL SEEDS STORE"/>
    <s v="Private Retailer"/>
    <s v="8016385858"/>
    <n v="9.9"/>
    <n v="171"/>
    <x v="0"/>
    <m/>
    <s v="2025-11-07"/>
    <s v="286422"/>
    <s v="Dipak Kumar Laha"/>
    <s v="6297583814"/>
  </r>
  <r>
    <s v="RCF Thal"/>
    <s v="N.C.Urea(45kg)"/>
    <s v="WB"/>
    <x v="7"/>
    <s v="Balurghat"/>
    <s v="User Not Mapped"/>
    <s v="User Not Mapped"/>
    <s v="User Not Mapped"/>
    <n v="596281"/>
    <s v="RAM GOPAL SEEDS STORE"/>
    <s v="Private Retailer"/>
    <s v="8016385858"/>
    <n v="11.25"/>
    <n v="97"/>
    <x v="5"/>
    <m/>
    <s v="2026-01-20"/>
    <s v="263382"/>
    <s v="Tushar Kanti Agarwala"/>
    <s v="8597190846"/>
  </r>
  <r>
    <s v="RCF Thal"/>
    <s v="N.C.Urea(45kg)"/>
    <s v="WB"/>
    <x v="7"/>
    <s v="Balurghat"/>
    <s v="User Not Mapped"/>
    <s v="User Not Mapped"/>
    <s v="User Not Mapped"/>
    <n v="596283"/>
    <s v="GOUR PADA DUTTA"/>
    <s v="Private Retailer"/>
    <s v="9002155011"/>
    <n v="9.4049999999999994"/>
    <n v="49"/>
    <x v="1"/>
    <m/>
    <s v="2026-03-09"/>
    <s v="263373"/>
    <s v="M/s. Kanailal Kedar Prasad"/>
    <s v="9735692523"/>
  </r>
  <r>
    <s v="RCF Thal"/>
    <s v="N.C.Urea(45kg)"/>
    <s v="WB"/>
    <x v="7"/>
    <s v="Balurghat"/>
    <s v="User Not Mapped"/>
    <s v="User Not Mapped"/>
    <s v="User Not Mapped"/>
    <n v="620504"/>
    <s v="CHANDAN LAHA"/>
    <s v="Private Retailer"/>
    <s v="9733348279"/>
    <n v="0.45"/>
    <n v="49"/>
    <x v="1"/>
    <m/>
    <s v="2026-03-09"/>
    <s v="263373"/>
    <s v="M/s. Kanailal Kedar Prasad"/>
    <s v="9735692523"/>
  </r>
  <r>
    <s v="RCF Import"/>
    <s v="Imp 10-26-26"/>
    <s v="WB"/>
    <x v="7"/>
    <s v="Balurghat"/>
    <s v="User Not Mapped"/>
    <s v="User Not Mapped"/>
    <s v="User Not Mapped"/>
    <n v="632332"/>
    <s v="M/S PINAKI DAS"/>
    <s v="Private Retailer"/>
    <s v="9733429799"/>
    <n v="2.4500000000000002"/>
    <n v="75"/>
    <x v="2"/>
    <m/>
    <s v="2026-02-11"/>
    <s v="286422"/>
    <s v="Dipak Kumar Laha"/>
    <s v="6297583814"/>
  </r>
  <r>
    <s v="RCF Thal"/>
    <s v="N.C.Urea(45kg)"/>
    <s v="WB"/>
    <x v="7"/>
    <s v="Balurghat"/>
    <s v="User Not Mapped"/>
    <s v="User Not Mapped"/>
    <s v="User Not Mapped"/>
    <n v="633939"/>
    <s v="SAFALI PAUL"/>
    <s v="Private Retailer"/>
    <s v="7047656280"/>
    <n v="5.5350000000000001"/>
    <n v="94"/>
    <x v="5"/>
    <m/>
    <s v="2026-01-23"/>
    <s v="263373"/>
    <s v="M/s. Kanailal Kedar Prasad"/>
    <s v="9735692523"/>
  </r>
  <r>
    <s v="RCF Thal"/>
    <s v="N.C.Urea(45kg)"/>
    <s v="WB"/>
    <x v="7"/>
    <s v="Balurghat"/>
    <s v="User Not Mapped"/>
    <s v="User Not Mapped"/>
    <s v="User Not Mapped"/>
    <n v="633939"/>
    <s v="SAFALI PAUL"/>
    <s v="Private Retailer"/>
    <s v="7047656280"/>
    <n v="1.0349999999999999"/>
    <n v="228"/>
    <x v="3"/>
    <m/>
    <s v="2025-09-11"/>
    <s v="263373"/>
    <s v="M/s. Kanailal Kedar Prasad"/>
    <s v="9735692523"/>
  </r>
  <r>
    <s v="RCF Import"/>
    <s v="Imp 10-26-26"/>
    <s v="WB"/>
    <x v="7"/>
    <s v="Balurghat"/>
    <s v="User Not Mapped"/>
    <s v="User Not Mapped"/>
    <s v="User Not Mapped"/>
    <n v="633939"/>
    <s v="SAFALI PAUL"/>
    <s v="Private Retailer"/>
    <s v="7047656280"/>
    <n v="0.25"/>
    <n v="273"/>
    <x v="3"/>
    <m/>
    <s v="2025-07-28"/>
    <s v="1223571"/>
    <s v="M/S SUBRATA KUMAR LAHA"/>
    <s v="8637363960"/>
  </r>
  <r>
    <s v="RCF Import"/>
    <s v="MOP"/>
    <s v="WB"/>
    <x v="7"/>
    <s v="Balurghat"/>
    <s v="User Not Mapped"/>
    <s v="User Not Mapped"/>
    <s v="User Not Mapped"/>
    <n v="635055"/>
    <s v="RAJU DEBNATH"/>
    <s v="Private Retailer"/>
    <s v="9933087378"/>
    <n v="0.5"/>
    <n v="509"/>
    <x v="6"/>
    <m/>
    <s v="2024-12-04"/>
    <s v="1183563"/>
    <s v="RAJU KAR"/>
    <s v="9734915998"/>
  </r>
  <r>
    <s v="RCF Trombay"/>
    <s v="15-15-15"/>
    <s v="WB"/>
    <x v="7"/>
    <s v="Balurghat"/>
    <s v="User Not Mapped"/>
    <s v="User Not Mapped"/>
    <s v="User Not Mapped"/>
    <n v="635057"/>
    <s v="HARADHAN SAHA"/>
    <s v="Private Retailer"/>
    <s v="9614161644"/>
    <n v="0.75"/>
    <n v="33"/>
    <x v="1"/>
    <m/>
    <s v="2026-03-25"/>
    <s v="263382"/>
    <s v="Tushar Kanti Agarwala"/>
    <s v="8597190846"/>
  </r>
  <r>
    <s v="RCF Thal"/>
    <s v="N.C.Urea(45kg)"/>
    <s v="WB"/>
    <x v="7"/>
    <s v="Balurghat"/>
    <s v="User Not Mapped"/>
    <s v="User Not Mapped"/>
    <s v="User Not Mapped"/>
    <n v="649421"/>
    <s v="HIRENDRANATH SARKAR"/>
    <s v="Private Retailer"/>
    <s v="9593610515"/>
    <n v="2.7"/>
    <n v="394"/>
    <x v="6"/>
    <m/>
    <s v="2025-03-29"/>
    <s v="263373"/>
    <s v="M/s. Kanailal Kedar Prasad"/>
    <s v="9735692523"/>
  </r>
  <r>
    <s v="RCF Thal"/>
    <s v="N.C.Urea(45kg)"/>
    <s v="WB"/>
    <x v="7"/>
    <s v="Balurghat"/>
    <s v="User Not Mapped"/>
    <s v="User Not Mapped"/>
    <s v="User Not Mapped"/>
    <n v="653079"/>
    <s v="M/S RANJIT MAHATO"/>
    <s v="Private Retailer"/>
    <s v="8967204007"/>
    <n v="5.5350000000000001"/>
    <n v="94"/>
    <x v="5"/>
    <m/>
    <s v="2026-01-23"/>
    <s v="263373"/>
    <s v="M/s. Kanailal Kedar Prasad"/>
    <s v="9735692523"/>
  </r>
  <r>
    <s v="RCF Import"/>
    <s v="MOP"/>
    <s v="WB"/>
    <x v="7"/>
    <s v="Balurghat"/>
    <s v="User Not Mapped"/>
    <s v="User Not Mapped"/>
    <s v="User Not Mapped"/>
    <n v="653538"/>
    <s v="M/S MOMIN MONDAL"/>
    <s v="Private Retailer"/>
    <s v="9563010434"/>
    <n v="0.5"/>
    <n v="592"/>
    <x v="7"/>
    <m/>
    <s v="2024-09-12"/>
    <s v="1183563"/>
    <s v="RAJU KAR"/>
    <s v="9734915998"/>
  </r>
  <r>
    <s v="RCF Thal"/>
    <s v="N.C.Urea(45kg)"/>
    <s v="WB"/>
    <x v="7"/>
    <s v="Balurghat"/>
    <s v="User Not Mapped"/>
    <s v="User Not Mapped"/>
    <s v="User Not Mapped"/>
    <n v="653556"/>
    <s v="PANKAJ MAHANTA"/>
    <s v="Private Retailer"/>
    <s v="9933781362"/>
    <n v="0.67500000000000004"/>
    <n v="20"/>
    <x v="4"/>
    <m/>
    <s v="2026-04-07"/>
    <s v="263382"/>
    <s v="Tushar Kanti Agarwala"/>
    <s v="8597190846"/>
  </r>
  <r>
    <s v="RCF Trombay"/>
    <s v="15-15-15"/>
    <s v="WB"/>
    <x v="7"/>
    <s v="Balurghat"/>
    <s v="User Not Mapped"/>
    <s v="User Not Mapped"/>
    <s v="User Not Mapped"/>
    <n v="653556"/>
    <s v="PANKAJ MAHANTA"/>
    <s v="Private Retailer"/>
    <s v="9933781362"/>
    <n v="0.125"/>
    <n v="116"/>
    <x v="5"/>
    <m/>
    <s v="2026-01-01"/>
    <s v="263382"/>
    <s v="Tushar Kanti Agarwala"/>
    <s v="8597190846"/>
  </r>
  <r>
    <s v="RCF Thal"/>
    <s v="N.C.Urea(45kg)"/>
    <s v="WB"/>
    <x v="7"/>
    <s v="Balurghat"/>
    <s v="User Not Mapped"/>
    <s v="User Not Mapped"/>
    <s v="User Not Mapped"/>
    <n v="659908"/>
    <s v="M/S REKHA SAR BHANDER"/>
    <s v="Private Retailer"/>
    <s v="8617507337"/>
    <n v="1.35"/>
    <n v="32"/>
    <x v="1"/>
    <m/>
    <s v="2026-03-26"/>
    <s v="263382"/>
    <s v="Tushar Kanti Agarwala"/>
    <s v="8597190846"/>
  </r>
  <r>
    <s v="RCF Trombay"/>
    <s v="N.C.Urea(45kg)"/>
    <s v="WB"/>
    <x v="7"/>
    <s v="Balurghat"/>
    <s v="User Not Mapped"/>
    <s v="User Not Mapped"/>
    <s v="User Not Mapped"/>
    <n v="659908"/>
    <s v="M/S REKHA SAR BHANDER"/>
    <s v="Private Retailer"/>
    <s v="8617507337"/>
    <n v="1.8"/>
    <n v="69"/>
    <x v="2"/>
    <m/>
    <s v="2026-02-17"/>
    <s v="263382"/>
    <s v="Tushar Kanti Agarwala"/>
    <s v="8597190846"/>
  </r>
  <r>
    <s v="RCF Thal"/>
    <s v="N.C.Urea(45kg)"/>
    <s v="WB"/>
    <x v="7"/>
    <s v="Balurghat"/>
    <s v="User Not Mapped"/>
    <s v="User Not Mapped"/>
    <s v="User Not Mapped"/>
    <n v="659908"/>
    <s v="M/S REKHA SAR BHANDER"/>
    <s v="Private Retailer"/>
    <s v="8617507337"/>
    <n v="0.67500000000000004"/>
    <n v="89"/>
    <x v="2"/>
    <m/>
    <s v="2026-01-28"/>
    <s v="263382"/>
    <s v="Tushar Kanti Agarwala"/>
    <s v="8597190846"/>
  </r>
  <r>
    <s v="RCF Trombay"/>
    <s v="N.C.Urea(45kg)"/>
    <s v="WB"/>
    <x v="7"/>
    <s v="Balurghat"/>
    <s v="User Not Mapped"/>
    <s v="User Not Mapped"/>
    <s v="User Not Mapped"/>
    <n v="659908"/>
    <s v="M/S REKHA SAR BHANDER"/>
    <s v="Private Retailer"/>
    <s v="8617507337"/>
    <n v="0.67500000000000004"/>
    <n v="72"/>
    <x v="2"/>
    <m/>
    <s v="2026-02-14"/>
    <s v="263382"/>
    <s v="Tushar Kanti Agarwala"/>
    <s v="8597190846"/>
  </r>
  <r>
    <s v="RCF Trombay"/>
    <s v="N.C.Urea(45kg)"/>
    <s v="WB"/>
    <x v="7"/>
    <s v="Balurghat"/>
    <s v="User Not Mapped"/>
    <s v="User Not Mapped"/>
    <s v="User Not Mapped"/>
    <n v="659912"/>
    <s v="M/S LAXMI NARAYAN SAR BHANDAR"/>
    <s v="Private Retailer"/>
    <s v="9734155356"/>
    <n v="10.8"/>
    <n v="6"/>
    <x v="4"/>
    <m/>
    <s v="2026-04-21"/>
    <s v="263382"/>
    <s v="Tushar Kanti Agarwala"/>
    <s v="8597190846"/>
  </r>
  <r>
    <s v="RCF Import"/>
    <s v="MOP"/>
    <s v="WB"/>
    <x v="7"/>
    <s v="Balurghat"/>
    <s v="User Not Mapped"/>
    <s v="User Not Mapped"/>
    <s v="User Not Mapped"/>
    <n v="659912"/>
    <s v="M/S LAXMI NARAYAN SAR BHANDAR"/>
    <s v="Private Retailer"/>
    <s v="9734155356"/>
    <n v="0.75"/>
    <n v="237"/>
    <x v="3"/>
    <m/>
    <s v="2025-09-02"/>
    <s v="263382"/>
    <s v="Tushar Kanti Agarwala"/>
    <s v="8597190846"/>
  </r>
  <r>
    <s v="RCF Thal"/>
    <s v="N.C.Urea(45kg)"/>
    <s v="WB"/>
    <x v="7"/>
    <s v="Balurghat"/>
    <s v="User Not Mapped"/>
    <s v="User Not Mapped"/>
    <s v="User Not Mapped"/>
    <n v="659912"/>
    <s v="M/S LAXMI NARAYAN SAR BHANDAR"/>
    <s v="Private Retailer"/>
    <s v="9734155356"/>
    <n v="0.36"/>
    <n v="69"/>
    <x v="2"/>
    <m/>
    <s v="2026-02-17"/>
    <s v="263382"/>
    <s v="Tushar Kanti Agarwala"/>
    <s v="8597190846"/>
  </r>
  <r>
    <s v="RCF Thal"/>
    <s v="N.C.Urea(45kg)"/>
    <s v="WB"/>
    <x v="7"/>
    <s v="Balurghat"/>
    <s v="User Not Mapped"/>
    <s v="User Not Mapped"/>
    <s v="User Not Mapped"/>
    <n v="659912"/>
    <s v="M/S LAXMI NARAYAN SAR BHANDAR"/>
    <s v="Private Retailer"/>
    <s v="9734155356"/>
    <n v="36.270000000000003"/>
    <n v="45"/>
    <x v="1"/>
    <m/>
    <s v="2026-03-13"/>
    <s v="263382"/>
    <s v="Tushar Kanti Agarwala"/>
    <s v="8597190846"/>
  </r>
  <r>
    <s v="RCF Thal"/>
    <s v="N.C.Urea(45kg)"/>
    <s v="WB"/>
    <x v="7"/>
    <s v="Balurghat"/>
    <s v="User Not Mapped"/>
    <s v="User Not Mapped"/>
    <s v="User Not Mapped"/>
    <n v="693367"/>
    <s v="MONDAL FERTILIZER"/>
    <s v="Private Retailer"/>
    <s v="7384244467"/>
    <n v="4.5"/>
    <n v="496"/>
    <x v="6"/>
    <m/>
    <s v="2024-12-17"/>
    <s v="263373"/>
    <s v="M/s. Kanailal Kedar Prasad"/>
    <s v="9735692523"/>
  </r>
  <r>
    <s v="RCF Thal"/>
    <s v="N.C.Urea(45kg)"/>
    <s v="WB"/>
    <x v="7"/>
    <s v="Balurghat"/>
    <s v="User Not Mapped"/>
    <s v="User Not Mapped"/>
    <s v="User Not Mapped"/>
    <n v="708167"/>
    <s v="AINUL ISLAM SARKAR"/>
    <s v="Private Retailer"/>
    <s v="9733861667"/>
    <n v="3.15"/>
    <n v="32"/>
    <x v="1"/>
    <m/>
    <s v="2026-03-26"/>
    <s v="263382"/>
    <s v="Tushar Kanti Agarwala"/>
    <s v="8597190846"/>
  </r>
  <r>
    <s v="RCF Trombay"/>
    <s v="15-15-15"/>
    <s v="WB"/>
    <x v="7"/>
    <s v="Balurghat"/>
    <s v="User Not Mapped"/>
    <s v="User Not Mapped"/>
    <s v="User Not Mapped"/>
    <n v="708167"/>
    <s v="AINUL ISLAM SARKAR"/>
    <s v="Private Retailer"/>
    <s v="9733861667"/>
    <n v="0.5"/>
    <n v="14"/>
    <x v="4"/>
    <m/>
    <s v="2026-04-13"/>
    <s v="263382"/>
    <s v="Tushar Kanti Agarwala"/>
    <s v="8597190846"/>
  </r>
  <r>
    <s v="RCF Thal"/>
    <s v="N.C.Urea(45kg)"/>
    <s v="WB"/>
    <x v="7"/>
    <s v="Balurghat"/>
    <s v="User Not Mapped"/>
    <s v="User Not Mapped"/>
    <s v="User Not Mapped"/>
    <n v="709000"/>
    <s v="SUJOY DAS"/>
    <s v="Private Retailer"/>
    <s v="9932921747"/>
    <n v="3.7149999999999999"/>
    <n v="33"/>
    <x v="1"/>
    <m/>
    <s v="2026-03-25"/>
    <s v="263382"/>
    <s v="Tushar Kanti Agarwala"/>
    <s v="8597190846"/>
  </r>
  <r>
    <s v="RCF Thal"/>
    <s v="N.C.Urea(45kg)"/>
    <s v="WB"/>
    <x v="7"/>
    <s v="Balurghat"/>
    <s v="User Not Mapped"/>
    <s v="User Not Mapped"/>
    <s v="User Not Mapped"/>
    <n v="709000"/>
    <s v="SUJOY DAS"/>
    <s v="Private Retailer"/>
    <s v="9932921747"/>
    <n v="1.35"/>
    <n v="32"/>
    <x v="1"/>
    <m/>
    <s v="2026-03-26"/>
    <s v="263382"/>
    <s v="Tushar Kanti Agarwala"/>
    <s v="8597190846"/>
  </r>
  <r>
    <s v="RCF Import"/>
    <s v="Imp 10-26-26"/>
    <s v="WB"/>
    <x v="7"/>
    <s v="Balurghat"/>
    <s v="User Not Mapped"/>
    <s v="User Not Mapped"/>
    <s v="User Not Mapped"/>
    <n v="709000"/>
    <s v="SUJOY DAS"/>
    <s v="Private Retailer"/>
    <s v="9932921747"/>
    <n v="0.4"/>
    <n v="66"/>
    <x v="2"/>
    <m/>
    <s v="2026-02-20"/>
    <s v="263382"/>
    <s v="Tushar Kanti Agarwala"/>
    <s v="8597190846"/>
  </r>
  <r>
    <s v="RCF Trombay"/>
    <s v="N.C.Urea(45kg)"/>
    <s v="WB"/>
    <x v="7"/>
    <s v="Balurghat"/>
    <s v="User Not Mapped"/>
    <s v="User Not Mapped"/>
    <s v="User Not Mapped"/>
    <n v="709000"/>
    <s v="SUJOY DAS"/>
    <s v="Private Retailer"/>
    <s v="9932921747"/>
    <n v="2.25"/>
    <n v="69"/>
    <x v="2"/>
    <m/>
    <s v="2026-02-17"/>
    <s v="263382"/>
    <s v="Tushar Kanti Agarwala"/>
    <s v="8597190846"/>
  </r>
  <r>
    <s v="RCF Trombay"/>
    <s v="N.C.Urea(45kg)"/>
    <s v="WB"/>
    <x v="7"/>
    <s v="Balurghat"/>
    <s v="User Not Mapped"/>
    <s v="User Not Mapped"/>
    <s v="User Not Mapped"/>
    <n v="709000"/>
    <s v="SUJOY DAS"/>
    <s v="Private Retailer"/>
    <s v="9932921747"/>
    <n v="0.495"/>
    <n v="72"/>
    <x v="2"/>
    <m/>
    <s v="2026-02-14"/>
    <s v="263382"/>
    <s v="Tushar Kanti Agarwala"/>
    <s v="8597190846"/>
  </r>
  <r>
    <s v="RCF Trombay"/>
    <s v="15-15-15"/>
    <s v="WB"/>
    <x v="7"/>
    <s v="Balurghat"/>
    <s v="User Not Mapped"/>
    <s v="User Not Mapped"/>
    <s v="User Not Mapped"/>
    <n v="709000"/>
    <s v="SUJOY DAS"/>
    <s v="Private Retailer"/>
    <s v="9932921747"/>
    <n v="0.25"/>
    <n v="33"/>
    <x v="1"/>
    <m/>
    <s v="2026-03-25"/>
    <s v="263382"/>
    <s v="Tushar Kanti Agarwala"/>
    <s v="8597190846"/>
  </r>
  <r>
    <s v="RCF Import"/>
    <s v="Imp 10-26-26"/>
    <s v="WB"/>
    <x v="7"/>
    <s v="Balurghat"/>
    <s v="User Not Mapped"/>
    <s v="User Not Mapped"/>
    <s v="User Not Mapped"/>
    <n v="709000"/>
    <s v="SUJOY DAS"/>
    <s v="Private Retailer"/>
    <s v="9932921747"/>
    <n v="0.75"/>
    <n v="55"/>
    <x v="1"/>
    <m/>
    <s v="2026-03-03"/>
    <s v="263382"/>
    <s v="Tushar Kanti Agarwala"/>
    <s v="8597190846"/>
  </r>
  <r>
    <s v="RCF Thal"/>
    <s v="N.C.Urea(45kg)"/>
    <s v="WB"/>
    <x v="7"/>
    <s v="Balurghat"/>
    <s v="User Not Mapped"/>
    <s v="User Not Mapped"/>
    <s v="User Not Mapped"/>
    <n v="709035"/>
    <s v="AMIT SARKAR"/>
    <s v="Private Retailer"/>
    <s v="7586055712"/>
    <n v="5.62"/>
    <n v="56"/>
    <x v="1"/>
    <m/>
    <s v="2026-03-02"/>
    <s v="263382"/>
    <s v="Tushar Kanti Agarwala"/>
    <s v="8597190846"/>
  </r>
  <r>
    <s v="RCF Thal"/>
    <s v="N.C.Urea(45kg)"/>
    <s v="WB"/>
    <x v="7"/>
    <s v="Balurghat"/>
    <s v="User Not Mapped"/>
    <s v="User Not Mapped"/>
    <s v="User Not Mapped"/>
    <n v="746505"/>
    <s v="MUKESH AGARWALA"/>
    <s v="Private Retailer"/>
    <s v="9733335514"/>
    <n v="0.67500000000000004"/>
    <n v="14"/>
    <x v="4"/>
    <m/>
    <s v="2026-04-13"/>
    <s v="263382"/>
    <s v="Tushar Kanti Agarwala"/>
    <s v="8597190846"/>
  </r>
  <r>
    <s v="RCF Thal"/>
    <s v="N.C.Urea(45kg)"/>
    <s v="WB"/>
    <x v="7"/>
    <s v="Balurghat"/>
    <s v="User Not Mapped"/>
    <s v="User Not Mapped"/>
    <s v="User Not Mapped"/>
    <n v="746505"/>
    <s v="MUKESH AGARWALA"/>
    <s v="Private Retailer"/>
    <s v="9733335514"/>
    <n v="0.13500000000000001"/>
    <n v="69"/>
    <x v="2"/>
    <m/>
    <s v="2026-02-17"/>
    <s v="263382"/>
    <s v="Tushar Kanti Agarwala"/>
    <s v="8597190846"/>
  </r>
  <r>
    <s v="RCF Thal"/>
    <s v="N.C.Urea(45kg)"/>
    <s v="WB"/>
    <x v="7"/>
    <s v="Balurghat"/>
    <s v="User Not Mapped"/>
    <s v="User Not Mapped"/>
    <s v="User Not Mapped"/>
    <n v="746505"/>
    <s v="MUKESH AGARWALA"/>
    <s v="Private Retailer"/>
    <s v="9733335514"/>
    <n v="1.35"/>
    <n v="32"/>
    <x v="1"/>
    <m/>
    <s v="2026-03-26"/>
    <s v="263382"/>
    <s v="Tushar Kanti Agarwala"/>
    <s v="8597190846"/>
  </r>
  <r>
    <s v="RCF Thal"/>
    <s v="N.C.Urea(45kg)"/>
    <s v="WB"/>
    <x v="7"/>
    <s v="Balurghat"/>
    <s v="User Not Mapped"/>
    <s v="User Not Mapped"/>
    <s v="User Not Mapped"/>
    <n v="746505"/>
    <s v="MUKESH AGARWALA"/>
    <s v="Private Retailer"/>
    <s v="9733335514"/>
    <n v="0.9"/>
    <n v="13"/>
    <x v="4"/>
    <m/>
    <s v="2026-04-14"/>
    <s v="263382"/>
    <s v="Tushar Kanti Agarwala"/>
    <s v="8597190846"/>
  </r>
  <r>
    <s v="RCF Trombay"/>
    <s v="N.C.Urea(45kg)"/>
    <s v="WB"/>
    <x v="7"/>
    <s v="Balurghat"/>
    <s v="User Not Mapped"/>
    <s v="User Not Mapped"/>
    <s v="User Not Mapped"/>
    <n v="755032"/>
    <s v="AMAL PAUL"/>
    <s v="Private Retailer"/>
    <s v="8637853791"/>
    <n v="5.625"/>
    <n v="6"/>
    <x v="4"/>
    <m/>
    <s v="2026-04-21"/>
    <s v="263382"/>
    <s v="Tushar Kanti Agarwala"/>
    <s v="8597190846"/>
  </r>
  <r>
    <s v="RCF Thal"/>
    <s v="N.C.Urea(45kg)"/>
    <s v="WB"/>
    <x v="7"/>
    <s v="Balurghat"/>
    <s v="User Not Mapped"/>
    <s v="User Not Mapped"/>
    <s v="User Not Mapped"/>
    <n v="755032"/>
    <s v="AMAL PAUL"/>
    <s v="Private Retailer"/>
    <s v="8637853791"/>
    <n v="5.4"/>
    <n v="32"/>
    <x v="1"/>
    <m/>
    <s v="2026-03-26"/>
    <s v="263382"/>
    <s v="Tushar Kanti Agarwala"/>
    <s v="8597190846"/>
  </r>
  <r>
    <s v="RCF Trombay"/>
    <s v="N.C.Urea(45kg)"/>
    <s v="WB"/>
    <x v="7"/>
    <s v="Balurghat"/>
    <s v="User Not Mapped"/>
    <s v="User Not Mapped"/>
    <s v="User Not Mapped"/>
    <n v="758140"/>
    <s v="SWAPAN DEBNATH"/>
    <s v="Private Retailer"/>
    <s v="8158969956"/>
    <n v="0.67500000000000004"/>
    <n v="165"/>
    <x v="0"/>
    <m/>
    <s v="2025-11-13"/>
    <s v="263382"/>
    <s v="Tushar Kanti Agarwala"/>
    <s v="8597190846"/>
  </r>
  <r>
    <s v="RCF Thal"/>
    <s v="N.C.Urea(45kg)"/>
    <s v="WB"/>
    <x v="7"/>
    <s v="Balurghat"/>
    <s v="User Not Mapped"/>
    <s v="User Not Mapped"/>
    <s v="User Not Mapped"/>
    <n v="758140"/>
    <s v="SWAPAN DEBNATH"/>
    <s v="Private Retailer"/>
    <s v="8158969956"/>
    <n v="1.575"/>
    <n v="32"/>
    <x v="1"/>
    <m/>
    <s v="2026-03-26"/>
    <s v="263382"/>
    <s v="Tushar Kanti Agarwala"/>
    <s v="8597190846"/>
  </r>
  <r>
    <s v="RCF Trombay"/>
    <s v="N.C.Urea(45kg)"/>
    <s v="WB"/>
    <x v="7"/>
    <s v="Balurghat"/>
    <s v="User Not Mapped"/>
    <s v="User Not Mapped"/>
    <s v="User Not Mapped"/>
    <n v="758140"/>
    <s v="SWAPAN DEBNATH"/>
    <s v="Private Retailer"/>
    <s v="8158969956"/>
    <n v="0.67500000000000004"/>
    <n v="215"/>
    <x v="3"/>
    <m/>
    <s v="2025-09-24"/>
    <s v="263382"/>
    <s v="Tushar Kanti Agarwala"/>
    <s v="8597190846"/>
  </r>
  <r>
    <s v="RCF Thal"/>
    <s v="N.C.Urea(45kg)"/>
    <s v="WB"/>
    <x v="7"/>
    <s v="Balurghat"/>
    <s v="User Not Mapped"/>
    <s v="User Not Mapped"/>
    <s v="User Not Mapped"/>
    <n v="758140"/>
    <s v="SWAPAN DEBNATH"/>
    <s v="Private Retailer"/>
    <s v="8158969956"/>
    <n v="0.45"/>
    <n v="33"/>
    <x v="1"/>
    <m/>
    <s v="2026-03-25"/>
    <s v="263382"/>
    <s v="Tushar Kanti Agarwala"/>
    <s v="8597190846"/>
  </r>
  <r>
    <s v="RCF Thal"/>
    <s v="N.C.Urea(45kg)"/>
    <s v="WB"/>
    <x v="7"/>
    <s v="Balurghat"/>
    <s v="User Not Mapped"/>
    <s v="User Not Mapped"/>
    <s v="User Not Mapped"/>
    <n v="768074"/>
    <s v="SANJIT DAS"/>
    <s v="Private Retailer"/>
    <s v="9933062877"/>
    <n v="0.67500000000000004"/>
    <n v="32"/>
    <x v="1"/>
    <m/>
    <s v="2026-03-26"/>
    <s v="263382"/>
    <s v="Tushar Kanti Agarwala"/>
    <s v="8597190846"/>
  </r>
  <r>
    <s v="RCF Trombay"/>
    <s v="15-15-15"/>
    <s v="WB"/>
    <x v="7"/>
    <s v="Balurghat"/>
    <s v="User Not Mapped"/>
    <s v="User Not Mapped"/>
    <s v="User Not Mapped"/>
    <n v="768074"/>
    <s v="SANJIT DAS"/>
    <s v="Private Retailer"/>
    <s v="9933062877"/>
    <n v="1"/>
    <n v="32"/>
    <x v="1"/>
    <m/>
    <s v="2026-03-26"/>
    <s v="263382"/>
    <s v="Tushar Kanti Agarwala"/>
    <s v="8597190846"/>
  </r>
  <r>
    <s v="RCF Thal"/>
    <s v="N.C.Urea(45kg)"/>
    <s v="WB"/>
    <x v="7"/>
    <s v="Balurghat"/>
    <s v="User Not Mapped"/>
    <s v="User Not Mapped"/>
    <s v="User Not Mapped"/>
    <n v="860917"/>
    <s v="SUDHIR CHANDRA MANDAL"/>
    <s v="Private Retailer"/>
    <s v="9733335889"/>
    <n v="1"/>
    <n v="389"/>
    <x v="6"/>
    <m/>
    <s v="2025-04-03"/>
    <s v="286422"/>
    <s v="Dipak Kumar Laha"/>
    <s v="6297583814"/>
  </r>
  <r>
    <s v="RCF Import"/>
    <s v="Imp 10-26-26"/>
    <s v="WB"/>
    <x v="7"/>
    <s v="Balurghat"/>
    <s v="User Not Mapped"/>
    <s v="User Not Mapped"/>
    <s v="User Not Mapped"/>
    <n v="925176"/>
    <s v="M/S DILIP KUMAR PAUL"/>
    <s v="Private Retailer"/>
    <s v="9593608282"/>
    <n v="2.5"/>
    <n v="80"/>
    <x v="2"/>
    <m/>
    <s v="2026-02-06"/>
    <s v="263382"/>
    <s v="Tushar Kanti Agarwala"/>
    <s v="8597190846"/>
  </r>
  <r>
    <s v="RCF Thal"/>
    <s v="N.C.Urea(45kg)"/>
    <s v="WB"/>
    <x v="7"/>
    <s v="Balurghat"/>
    <s v="User Not Mapped"/>
    <s v="User Not Mapped"/>
    <s v="User Not Mapped"/>
    <n v="925176"/>
    <s v="M/S DILIP KUMAR PAUL"/>
    <s v="Private Retailer"/>
    <s v="9593608282"/>
    <n v="1.8"/>
    <n v="14"/>
    <x v="4"/>
    <m/>
    <s v="2026-04-13"/>
    <s v="263382"/>
    <s v="Tushar Kanti Agarwala"/>
    <s v="8597190846"/>
  </r>
  <r>
    <s v="RCF Thal"/>
    <s v="N.C.Urea(45kg)"/>
    <s v="WB"/>
    <x v="7"/>
    <s v="Balurghat"/>
    <s v="User Not Mapped"/>
    <s v="User Not Mapped"/>
    <s v="User Not Mapped"/>
    <n v="925176"/>
    <s v="M/S DILIP KUMAR PAUL"/>
    <s v="Private Retailer"/>
    <s v="9593608282"/>
    <n v="0.9"/>
    <n v="13"/>
    <x v="4"/>
    <m/>
    <s v="2026-04-14"/>
    <s v="263382"/>
    <s v="Tushar Kanti Agarwala"/>
    <s v="8597190846"/>
  </r>
  <r>
    <s v="RCF Import"/>
    <s v="Imp 10-26-26"/>
    <s v="WB"/>
    <x v="7"/>
    <s v="Balurghat"/>
    <s v="User Not Mapped"/>
    <s v="User Not Mapped"/>
    <s v="User Not Mapped"/>
    <n v="925176"/>
    <s v="M/S DILIP KUMAR PAUL"/>
    <s v="Private Retailer"/>
    <s v="9593608282"/>
    <n v="1.25"/>
    <n v="69"/>
    <x v="2"/>
    <m/>
    <s v="2026-02-17"/>
    <s v="263382"/>
    <s v="Tushar Kanti Agarwala"/>
    <s v="8597190846"/>
  </r>
  <r>
    <s v="RCF Import"/>
    <s v="Imp 10-26-26"/>
    <s v="WB"/>
    <x v="7"/>
    <s v="Balurghat"/>
    <s v="User Not Mapped"/>
    <s v="User Not Mapped"/>
    <s v="User Not Mapped"/>
    <n v="925176"/>
    <s v="M/S DILIP KUMAR PAUL"/>
    <s v="Private Retailer"/>
    <s v="9593608282"/>
    <n v="1"/>
    <n v="66"/>
    <x v="2"/>
    <m/>
    <s v="2026-02-20"/>
    <s v="263382"/>
    <s v="Tushar Kanti Agarwala"/>
    <s v="8597190846"/>
  </r>
  <r>
    <s v="RCF Import"/>
    <s v="Imp 10-26-26"/>
    <s v="WB"/>
    <x v="7"/>
    <s v="Balurghat"/>
    <s v="User Not Mapped"/>
    <s v="User Not Mapped"/>
    <s v="User Not Mapped"/>
    <n v="925176"/>
    <s v="M/S DILIP KUMAR PAUL"/>
    <s v="Private Retailer"/>
    <s v="9593608282"/>
    <n v="1.5"/>
    <n v="55"/>
    <x v="1"/>
    <m/>
    <s v="2026-03-03"/>
    <s v="263382"/>
    <s v="Tushar Kanti Agarwala"/>
    <s v="8597190846"/>
  </r>
  <r>
    <s v="RCF Thal"/>
    <s v="N.C.Urea(45kg)"/>
    <s v="WB"/>
    <x v="7"/>
    <s v="Balurghat"/>
    <s v="User Not Mapped"/>
    <s v="User Not Mapped"/>
    <s v="User Not Mapped"/>
    <n v="925176"/>
    <s v="M/S DILIP KUMAR PAUL"/>
    <s v="Private Retailer"/>
    <s v="9593608282"/>
    <n v="7.65"/>
    <n v="45"/>
    <x v="1"/>
    <m/>
    <s v="2026-03-13"/>
    <s v="263382"/>
    <s v="Tushar Kanti Agarwala"/>
    <s v="8597190846"/>
  </r>
  <r>
    <s v="RCF Thal"/>
    <s v="N.C.Urea(45kg)"/>
    <s v="WB"/>
    <x v="7"/>
    <s v="Balurghat"/>
    <s v="User Not Mapped"/>
    <s v="User Not Mapped"/>
    <s v="User Not Mapped"/>
    <n v="925176"/>
    <s v="M/S DILIP KUMAR PAUL"/>
    <s v="Private Retailer"/>
    <s v="9593608282"/>
    <n v="0.67500000000000004"/>
    <n v="33"/>
    <x v="1"/>
    <m/>
    <s v="2026-03-25"/>
    <s v="263382"/>
    <s v="Tushar Kanti Agarwala"/>
    <s v="8597190846"/>
  </r>
  <r>
    <s v="RCF Thal"/>
    <s v="N.C.Urea(45kg)"/>
    <s v="WB"/>
    <x v="7"/>
    <s v="Balurghat"/>
    <s v="User Not Mapped"/>
    <s v="User Not Mapped"/>
    <s v="User Not Mapped"/>
    <n v="925176"/>
    <s v="M/S DILIP KUMAR PAUL"/>
    <s v="Private Retailer"/>
    <s v="9593608282"/>
    <n v="0.9"/>
    <n v="32"/>
    <x v="1"/>
    <m/>
    <s v="2026-03-26"/>
    <s v="263382"/>
    <s v="Tushar Kanti Agarwala"/>
    <s v="8597190846"/>
  </r>
  <r>
    <s v="RCF Import"/>
    <s v="Imp 10-26-26"/>
    <s v="WB"/>
    <x v="7"/>
    <s v="Balurghat"/>
    <s v="User Not Mapped"/>
    <s v="User Not Mapped"/>
    <s v="User Not Mapped"/>
    <n v="925176"/>
    <s v="M/S DILIP KUMAR PAUL"/>
    <s v="Private Retailer"/>
    <s v="9593608282"/>
    <n v="0.5"/>
    <n v="72"/>
    <x v="2"/>
    <m/>
    <s v="2026-02-14"/>
    <s v="263382"/>
    <s v="Tushar Kanti Agarwala"/>
    <s v="8597190846"/>
  </r>
  <r>
    <s v="RCF Thal"/>
    <s v="N.C.Urea(45kg)"/>
    <s v="WB"/>
    <x v="7"/>
    <s v="Balurghat"/>
    <s v="User Not Mapped"/>
    <s v="User Not Mapped"/>
    <s v="User Not Mapped"/>
    <n v="939847"/>
    <s v="ANIL GHOSH"/>
    <s v="Private Retailer"/>
    <s v="7063299724"/>
    <n v="0.44"/>
    <n v="1128"/>
    <x v="7"/>
    <m/>
    <s v="2023-03-26"/>
    <s v="1223571"/>
    <s v="M/S SUBRATA KUMAR LAHA"/>
    <s v="8637363960"/>
  </r>
  <r>
    <s v="RCF Thal"/>
    <s v="N.C.Urea(45kg)"/>
    <s v="WB"/>
    <x v="7"/>
    <s v="Balurghat"/>
    <s v="User Not Mapped"/>
    <s v="User Not Mapped"/>
    <s v="User Not Mapped"/>
    <n v="939923"/>
    <s v="SUKHENDU LAHA"/>
    <s v="Private Retailer"/>
    <s v="8918329749"/>
    <n v="3.15"/>
    <n v="1390"/>
    <x v="7"/>
    <m/>
    <s v="2022-07-07"/>
    <s v="1223571"/>
    <s v="M/S SUBRATA KUMAR LAHA"/>
    <s v="8637363960"/>
  </r>
  <r>
    <s v="RCF Thal"/>
    <s v="N.C.Urea(45kg)"/>
    <s v="WB"/>
    <x v="7"/>
    <s v="Balurghat"/>
    <s v="User Not Mapped"/>
    <s v="User Not Mapped"/>
    <s v="User Not Mapped"/>
    <n v="1021657"/>
    <s v="M/S. DIPANKAR ROY"/>
    <s v="Private Retailer"/>
    <s v="7063173144"/>
    <n v="29.204999999999998"/>
    <n v="49"/>
    <x v="1"/>
    <m/>
    <s v="2026-03-09"/>
    <s v="263373"/>
    <s v="M/s. Kanailal Kedar Prasad"/>
    <s v="9735692523"/>
  </r>
  <r>
    <s v="RCF Thal"/>
    <s v="N.C.Urea(45kg)"/>
    <s v="WB"/>
    <x v="7"/>
    <s v="Balurghat"/>
    <s v="User Not Mapped"/>
    <s v="User Not Mapped"/>
    <s v="User Not Mapped"/>
    <n v="1036196"/>
    <s v="M/S GOPESH CHANDRA BARMAN"/>
    <s v="Private Retailer"/>
    <s v="9800834839"/>
    <n v="1.62"/>
    <n v="69"/>
    <x v="2"/>
    <m/>
    <s v="2026-02-17"/>
    <s v="263382"/>
    <s v="Tushar Kanti Agarwala"/>
    <s v="8597190846"/>
  </r>
  <r>
    <s v="RCF Thal"/>
    <s v="N.C.Urea(45kg)"/>
    <s v="WB"/>
    <x v="7"/>
    <s v="Balurghat"/>
    <s v="User Not Mapped"/>
    <s v="User Not Mapped"/>
    <s v="User Not Mapped"/>
    <n v="1099936"/>
    <s v="M/S ALOK CHATTARJEE"/>
    <s v="Private Retailer"/>
    <s v="8158977635"/>
    <n v="9.6750000000000007"/>
    <n v="69"/>
    <x v="2"/>
    <m/>
    <s v="2026-02-17"/>
    <s v="263382"/>
    <s v="Tushar Kanti Agarwala"/>
    <s v="8597190846"/>
  </r>
  <r>
    <s v="RCF Trombay"/>
    <s v="15-15-15"/>
    <s v="WB"/>
    <x v="7"/>
    <s v="Balurghat"/>
    <s v="User Not Mapped"/>
    <s v="User Not Mapped"/>
    <s v="User Not Mapped"/>
    <n v="1099936"/>
    <s v="M/S ALOK CHATTARJEE"/>
    <s v="Private Retailer"/>
    <s v="8158977635"/>
    <n v="0.75"/>
    <n v="156"/>
    <x v="0"/>
    <m/>
    <s v="2025-11-22"/>
    <s v="263382"/>
    <s v="Tushar Kanti Agarwala"/>
    <s v="8597190846"/>
  </r>
  <r>
    <s v="RCF Thal"/>
    <s v="N.C.Urea(45kg)"/>
    <s v="WB"/>
    <x v="7"/>
    <s v="Balurghat"/>
    <s v="User Not Mapped"/>
    <s v="User Not Mapped"/>
    <s v="User Not Mapped"/>
    <n v="1201826"/>
    <s v="M/S DHANANJAY BHOWMIK"/>
    <s v="Private Retailer"/>
    <s v="8116219149"/>
    <n v="5.49"/>
    <n v="45"/>
    <x v="1"/>
    <m/>
    <s v="2026-03-13"/>
    <s v="263382"/>
    <s v="Tushar Kanti Agarwala"/>
    <s v="8597190846"/>
  </r>
  <r>
    <s v="RCF Trombay"/>
    <s v="N.C.Urea(45kg)"/>
    <s v="WB"/>
    <x v="7"/>
    <s v="Balurghat"/>
    <s v="User Not Mapped"/>
    <s v="User Not Mapped"/>
    <s v="User Not Mapped"/>
    <n v="1219883"/>
    <s v="SERAJUL ISLAM"/>
    <s v="Private Retailer"/>
    <s v="9734169185"/>
    <n v="0.27"/>
    <n v="58"/>
    <x v="1"/>
    <m/>
    <s v="2026-02-28"/>
    <s v="263382"/>
    <s v="Tushar Kanti Agarwala"/>
    <s v="8597190846"/>
  </r>
  <r>
    <s v="RCF Thal"/>
    <s v="N.C.Urea(45kg)"/>
    <s v="WB"/>
    <x v="7"/>
    <s v="Balurghat"/>
    <s v="User Not Mapped"/>
    <s v="User Not Mapped"/>
    <s v="User Not Mapped"/>
    <n v="1219883"/>
    <s v="SERAJUL ISLAM"/>
    <s v="Private Retailer"/>
    <s v="9734169185"/>
    <n v="0.36"/>
    <n v="58"/>
    <x v="1"/>
    <m/>
    <s v="2026-02-28"/>
    <s v="263382"/>
    <s v="Tushar Kanti Agarwala"/>
    <s v="8597190846"/>
  </r>
  <r>
    <s v="RCF Trombay"/>
    <s v="15-15-15"/>
    <s v="WB"/>
    <x v="7"/>
    <s v="Balurghat"/>
    <s v="User Not Mapped"/>
    <s v="User Not Mapped"/>
    <s v="User Not Mapped"/>
    <n v="1246191"/>
    <s v="M/S SUJIT BASAK  SUDEB KUMAR "/>
    <s v="Private Retailer"/>
    <s v="8918761139"/>
    <n v="3"/>
    <n v="134"/>
    <x v="0"/>
    <m/>
    <s v="2025-12-14"/>
    <s v="1223571"/>
    <s v="M/S SUBRATA KUMAR LAHA"/>
    <s v="8637363960"/>
  </r>
  <r>
    <s v="RCF Thal"/>
    <s v="N.C.Urea(45kg)"/>
    <s v="WB"/>
    <x v="7"/>
    <s v="Balurghat"/>
    <s v="User Not Mapped"/>
    <s v="User Not Mapped"/>
    <s v="User Not Mapped"/>
    <n v="1246191"/>
    <s v="M/S SUJIT BASAK  SUDEB KUMAR "/>
    <s v="Private Retailer"/>
    <s v="8918761139"/>
    <n v="11.025"/>
    <n v="49"/>
    <x v="1"/>
    <m/>
    <s v="2026-03-09"/>
    <s v="263373"/>
    <s v="M/s. Kanailal Kedar Prasad"/>
    <s v="9735692523"/>
  </r>
  <r>
    <s v="RCF Thal"/>
    <s v="N.C.Urea(45kg)"/>
    <s v="WB"/>
    <x v="7"/>
    <s v="Balurghat"/>
    <s v="User Not Mapped"/>
    <s v="User Not Mapped"/>
    <s v="User Not Mapped"/>
    <n v="1246191"/>
    <s v="M/S SUJIT BASAK  SUDEB KUMAR "/>
    <s v="Private Retailer"/>
    <s v="8918761139"/>
    <n v="8.3249999999999993"/>
    <n v="71"/>
    <x v="2"/>
    <m/>
    <s v="2026-02-15"/>
    <s v="263373"/>
    <s v="M/s. Kanailal Kedar Prasad"/>
    <s v="9735692523"/>
  </r>
  <r>
    <s v="RCF Thal"/>
    <s v="N.C.Urea(45kg)"/>
    <s v="WB"/>
    <x v="7"/>
    <s v="Balurghat"/>
    <s v="User Not Mapped"/>
    <s v="User Not Mapped"/>
    <s v="User Not Mapped"/>
    <n v="1258410"/>
    <s v="M/S ANIL CHANDRA MONDAL"/>
    <s v="Private Retailer"/>
    <s v="9593766943"/>
    <n v="8.6850000000000005"/>
    <n v="69"/>
    <x v="2"/>
    <m/>
    <s v="2026-02-17"/>
    <s v="263382"/>
    <s v="Tushar Kanti Agarwala"/>
    <s v="8597190846"/>
  </r>
  <r>
    <s v="RCF Thal"/>
    <s v="N.C.Urea(45kg)"/>
    <s v="WB"/>
    <x v="7"/>
    <s v="Balurghat"/>
    <s v="User Not Mapped"/>
    <s v="User Not Mapped"/>
    <s v="User Not Mapped"/>
    <n v="1258410"/>
    <s v="M/S ANIL CHANDRA MONDAL"/>
    <s v="Private Retailer"/>
    <s v="9593766943"/>
    <n v="0.54"/>
    <n v="14"/>
    <x v="4"/>
    <m/>
    <s v="2026-04-13"/>
    <s v="263382"/>
    <s v="Tushar Kanti Agarwala"/>
    <s v="8597190846"/>
  </r>
  <r>
    <s v="RCF Thal"/>
    <s v="N.C.Urea(45kg)"/>
    <s v="WB"/>
    <x v="7"/>
    <s v="Balurghat"/>
    <s v="User Not Mapped"/>
    <s v="User Not Mapped"/>
    <s v="User Not Mapped"/>
    <n v="1264117"/>
    <s v="M/S BIPLAB MONDAL PARIJAT GOSW"/>
    <s v="Private Retailer"/>
    <s v="9733139495"/>
    <n v="5.04"/>
    <n v="71"/>
    <x v="2"/>
    <m/>
    <s v="2026-02-15"/>
    <s v="263373"/>
    <s v="M/s. Kanailal Kedar Prasad"/>
    <s v="9735692523"/>
  </r>
  <r>
    <s v="RCF Trombay"/>
    <s v="15-15-15"/>
    <s v="WB"/>
    <x v="7"/>
    <s v="Balurghat"/>
    <s v="User Not Mapped"/>
    <s v="User Not Mapped"/>
    <s v="User Not Mapped"/>
    <n v="1264117"/>
    <s v="M/S BIPLAB MONDAL PARIJAT GOSW"/>
    <s v="Private Retailer"/>
    <s v="9733139495"/>
    <n v="0.3"/>
    <n v="130"/>
    <x v="0"/>
    <m/>
    <s v="2025-12-18"/>
    <s v="739732"/>
    <s v="RATAN KUMAR LAHA"/>
    <s v="9563078662"/>
  </r>
  <r>
    <s v="RCF Import"/>
    <s v="MOP"/>
    <s v="WB"/>
    <x v="7"/>
    <s v="Balurghat"/>
    <s v="User Not Mapped"/>
    <s v="User Not Mapped"/>
    <s v="User Not Mapped"/>
    <n v="1368098"/>
    <s v="M/S SHREE KRISHNA SAR VANDAR  "/>
    <s v="Private Retailer"/>
    <s v="8100153808"/>
    <n v="0.75"/>
    <n v="251"/>
    <x v="3"/>
    <m/>
    <s v="2025-08-19"/>
    <s v="263382"/>
    <s v="Tushar Kanti Agarwala"/>
    <s v="8597190846"/>
  </r>
  <r>
    <s v="RCF Thal"/>
    <s v="N.C.Urea(45kg)"/>
    <s v="WB"/>
    <x v="7"/>
    <s v="Balurghat"/>
    <s v="User Not Mapped"/>
    <s v="User Not Mapped"/>
    <s v="User Not Mapped"/>
    <n v="1402212"/>
    <s v="M/S. AMRIT MONDAL"/>
    <s v="Private Retailer"/>
    <s v="8972330652"/>
    <n v="0.18"/>
    <n v="14"/>
    <x v="4"/>
    <m/>
    <s v="2026-04-13"/>
    <s v="263382"/>
    <s v="Tushar Kanti Agarwala"/>
    <s v="8597190846"/>
  </r>
  <r>
    <s v="RCF Import"/>
    <s v="Imp 10-26-26"/>
    <s v="WB"/>
    <x v="7"/>
    <s v="Balurghat"/>
    <s v="User Not Mapped"/>
    <s v="User Not Mapped"/>
    <s v="User Not Mapped"/>
    <n v="1444488"/>
    <s v="M/S.SUBHENDU MAHANTA"/>
    <s v="Private Retailer"/>
    <s v="9775885204"/>
    <n v="0.5"/>
    <n v="69"/>
    <x v="2"/>
    <m/>
    <s v="2026-02-17"/>
    <s v="263382"/>
    <s v="Tushar Kanti Agarwala"/>
    <s v="8597190846"/>
  </r>
  <r>
    <s v="RCF Trombay"/>
    <s v="15-15-15"/>
    <s v="WB"/>
    <x v="7"/>
    <s v="Balurghat"/>
    <s v="User Not Mapped"/>
    <s v="User Not Mapped"/>
    <s v="User Not Mapped"/>
    <n v="1444488"/>
    <s v="M/S.SUBHENDU MAHANTA"/>
    <s v="Private Retailer"/>
    <s v="9775885204"/>
    <n v="0.5"/>
    <n v="32"/>
    <x v="1"/>
    <m/>
    <s v="2026-03-26"/>
    <s v="263382"/>
    <s v="Tushar Kanti Agarwala"/>
    <s v="8597190846"/>
  </r>
  <r>
    <s v="RCF Thal"/>
    <s v="N.C.Urea(45kg)"/>
    <s v="WB"/>
    <x v="7"/>
    <s v="Balurghat"/>
    <s v="User Not Mapped"/>
    <s v="User Not Mapped"/>
    <s v="User Not Mapped"/>
    <n v="1444488"/>
    <s v="M/S.SUBHENDU MAHANTA"/>
    <s v="Private Retailer"/>
    <s v="9775885204"/>
    <n v="1.35"/>
    <n v="32"/>
    <x v="1"/>
    <m/>
    <s v="2026-03-26"/>
    <s v="263382"/>
    <s v="Tushar Kanti Agarwala"/>
    <s v="8597190846"/>
  </r>
  <r>
    <s v="RCF Trombay"/>
    <s v="15-15-15"/>
    <s v="WB"/>
    <x v="7"/>
    <s v="Balurghat"/>
    <s v="User Not Mapped"/>
    <s v="User Not Mapped"/>
    <s v="User Not Mapped"/>
    <n v="1444488"/>
    <s v="M/S.SUBHENDU MAHANTA"/>
    <s v="Private Retailer"/>
    <s v="9775885204"/>
    <n v="0.25"/>
    <n v="69"/>
    <x v="2"/>
    <m/>
    <s v="2026-02-17"/>
    <s v="263382"/>
    <s v="Tushar Kanti Agarwala"/>
    <s v="8597190846"/>
  </r>
  <r>
    <s v="RCF Trombay"/>
    <s v="15-15-15"/>
    <s v="WB"/>
    <x v="7"/>
    <s v="Balurghat"/>
    <s v="User Not Mapped"/>
    <s v="User Not Mapped"/>
    <s v="User Not Mapped"/>
    <n v="1505055"/>
    <s v="M/S JEEN MATA FERTILIZERS"/>
    <s v="Private Retailer"/>
    <s v="8972944034"/>
    <n v="6.5"/>
    <n v="7"/>
    <x v="4"/>
    <m/>
    <s v="2026-04-20"/>
    <s v="263382"/>
    <s v="Tushar Kanti Agarwala"/>
    <s v="8597190846"/>
  </r>
  <r>
    <s v="RCF Trombay"/>
    <s v="N.C.Urea(45kg)"/>
    <s v="WB"/>
    <x v="7"/>
    <s v="Balurghat"/>
    <s v="User Not Mapped"/>
    <s v="User Not Mapped"/>
    <s v="User Not Mapped"/>
    <n v="1505055"/>
    <s v="M/S JEEN MATA FERTILIZERS"/>
    <s v="Private Retailer"/>
    <s v="8972944034"/>
    <n v="4.5"/>
    <n v="7"/>
    <x v="4"/>
    <m/>
    <s v="2026-04-20"/>
    <s v="263382"/>
    <s v="Tushar Kanti Agarwala"/>
    <s v="8597190846"/>
  </r>
  <r>
    <s v="RCF Trombay"/>
    <s v="15-15-15"/>
    <s v="WB"/>
    <x v="7"/>
    <s v="Bansihari"/>
    <s v="User Not Mapped"/>
    <s v="User Not Mapped"/>
    <s v="User Not Mapped"/>
    <n v="126532"/>
    <s v="Harekanta Sarkar"/>
    <s v="Private Retailer"/>
    <s v="9083207488"/>
    <n v="0.5"/>
    <n v="98"/>
    <x v="5"/>
    <m/>
    <s v="2026-01-19"/>
    <s v="263374"/>
    <s v="M/s. Krishi Unnayan Kendra"/>
    <s v="8759907610"/>
  </r>
  <r>
    <s v="RCF Trombay"/>
    <s v="15-15-15"/>
    <s v="WB"/>
    <x v="7"/>
    <s v="Bansihari"/>
    <s v="User Not Mapped"/>
    <s v="User Not Mapped"/>
    <s v="User Not Mapped"/>
    <n v="126532"/>
    <s v="Harekanta Sarkar"/>
    <s v="Private Retailer"/>
    <s v="9083207488"/>
    <n v="1.5"/>
    <n v="186"/>
    <x v="3"/>
    <m/>
    <s v="2025-10-23"/>
    <s v="263374"/>
    <s v="M/s. Krishi Unnayan Kendra"/>
    <s v="8759907610"/>
  </r>
  <r>
    <s v="RCF Trombay"/>
    <s v="15-15-15"/>
    <s v="WB"/>
    <x v="7"/>
    <s v="Bansihari"/>
    <s v="User Not Mapped"/>
    <s v="User Not Mapped"/>
    <s v="User Not Mapped"/>
    <n v="126532"/>
    <s v="Harekanta Sarkar"/>
    <s v="Private Retailer"/>
    <s v="9083207488"/>
    <n v="0.15"/>
    <n v="287"/>
    <x v="3"/>
    <m/>
    <s v="2025-07-14"/>
    <s v="263374"/>
    <s v="M/s. Krishi Unnayan Kendra"/>
    <s v="8759907610"/>
  </r>
  <r>
    <s v="RCF Thal"/>
    <s v="N.C.Urea(45kg)"/>
    <s v="WB"/>
    <x v="7"/>
    <s v="Bansihari"/>
    <s v="User Not Mapped"/>
    <s v="User Not Mapped"/>
    <s v="User Not Mapped"/>
    <n v="126703"/>
    <s v="M/S NAJMUL ISLAM"/>
    <s v="Private Retailer"/>
    <s v="9593729892"/>
    <n v="6.03"/>
    <n v="150"/>
    <x v="0"/>
    <m/>
    <s v="2025-11-28"/>
    <s v="263373"/>
    <s v="M/s. Kanailal Kedar Prasad"/>
    <s v="9735692523"/>
  </r>
  <r>
    <s v="RCF Thal"/>
    <s v="N.C.Urea(45kg)"/>
    <s v="WB"/>
    <x v="7"/>
    <s v="Bansihari"/>
    <s v="User Not Mapped"/>
    <s v="User Not Mapped"/>
    <s v="User Not Mapped"/>
    <n v="126733"/>
    <s v="Niyati Sarkar"/>
    <s v="Private Retailer"/>
    <s v="8348696079"/>
    <n v="7.74"/>
    <n v="49"/>
    <x v="1"/>
    <m/>
    <s v="2026-03-09"/>
    <s v="263373"/>
    <s v="M/s. Kanailal Kedar Prasad"/>
    <s v="9735692523"/>
  </r>
  <r>
    <s v="RCF Import"/>
    <s v="Imp 10-26-26"/>
    <s v="WB"/>
    <x v="7"/>
    <s v="Bansihari"/>
    <s v="User Not Mapped"/>
    <s v="User Not Mapped"/>
    <s v="User Not Mapped"/>
    <n v="126733"/>
    <s v="Niyati Sarkar"/>
    <s v="Private Retailer"/>
    <s v="8348696079"/>
    <n v="6.55"/>
    <n v="73"/>
    <x v="2"/>
    <m/>
    <s v="2026-02-13"/>
    <s v="263373"/>
    <s v="M/s. Kanailal Kedar Prasad"/>
    <s v="9735692523"/>
  </r>
  <r>
    <s v="RCF Import"/>
    <s v="Imp 10-26-26"/>
    <s v="WB"/>
    <x v="7"/>
    <s v="Bansihari"/>
    <s v="User Not Mapped"/>
    <s v="User Not Mapped"/>
    <s v="User Not Mapped"/>
    <n v="341932"/>
    <s v="Milan Chandra  Das"/>
    <s v="Private Retailer"/>
    <s v="7872956523"/>
    <n v="2.15"/>
    <n v="69"/>
    <x v="2"/>
    <m/>
    <s v="2026-02-17"/>
    <s v="281503"/>
    <s v="Krishi Ghar"/>
    <s v="7031245549"/>
  </r>
  <r>
    <s v="RCF Thal"/>
    <s v="N.C.Urea(45kg)"/>
    <s v="WB"/>
    <x v="7"/>
    <s v="Bansihari"/>
    <s v="User Not Mapped"/>
    <s v="User Not Mapped"/>
    <s v="User Not Mapped"/>
    <n v="341989"/>
    <s v="Montosh Roy"/>
    <s v="Private Retailer"/>
    <s v="9734132593"/>
    <n v="5.5350000000000001"/>
    <n v="71"/>
    <x v="2"/>
    <m/>
    <s v="2026-02-15"/>
    <s v="263373"/>
    <s v="M/s. Kanailal Kedar Prasad"/>
    <s v="9735692523"/>
  </r>
  <r>
    <s v="RCF Import"/>
    <s v="MOP"/>
    <s v="WB"/>
    <x v="7"/>
    <s v="Bansihari"/>
    <s v="User Not Mapped"/>
    <s v="User Not Mapped"/>
    <s v="User Not Mapped"/>
    <n v="341989"/>
    <s v="Montosh Roy"/>
    <s v="Private Retailer"/>
    <s v="9734132593"/>
    <n v="0.3"/>
    <n v="460"/>
    <x v="6"/>
    <m/>
    <s v="2025-01-22"/>
    <s v="281503"/>
    <s v="Krishi Ghar"/>
    <s v="7031245549"/>
  </r>
  <r>
    <s v="RCF Import"/>
    <s v="Imp 10-26-26"/>
    <s v="WB"/>
    <x v="7"/>
    <s v="Bansihari"/>
    <s v="User Not Mapped"/>
    <s v="User Not Mapped"/>
    <s v="User Not Mapped"/>
    <n v="344049"/>
    <s v="Swapan Das"/>
    <s v="Private Retailer"/>
    <s v="9734980840"/>
    <n v="1"/>
    <n v="68"/>
    <x v="2"/>
    <m/>
    <s v="2026-02-18"/>
    <s v="281503"/>
    <s v="Krishi Ghar"/>
    <s v="7031245549"/>
  </r>
  <r>
    <s v="RCF Thal"/>
    <s v="N.C.Urea(45kg)"/>
    <s v="WB"/>
    <x v="7"/>
    <s v="Bansihari"/>
    <s v="User Not Mapped"/>
    <s v="User Not Mapped"/>
    <s v="User Not Mapped"/>
    <n v="353984"/>
    <s v="KRISHI UNNAYAN KENDRA"/>
    <s v="Private Retailer"/>
    <s v="8759907610"/>
    <n v="6.12"/>
    <n v="97"/>
    <x v="5"/>
    <m/>
    <s v="2026-01-20"/>
    <s v="263373"/>
    <s v="M/s. Kanailal Kedar Prasad"/>
    <s v="9735692523"/>
  </r>
  <r>
    <s v="RCF Thal"/>
    <s v="N.C.Urea(45kg)"/>
    <s v="WB"/>
    <x v="7"/>
    <s v="Bansihari"/>
    <s v="User Not Mapped"/>
    <s v="User Not Mapped"/>
    <s v="User Not Mapped"/>
    <n v="353984"/>
    <s v="KRISHI UNNAYAN KENDRA"/>
    <s v="Private Retailer"/>
    <s v="8759907610"/>
    <n v="11.025"/>
    <n v="49"/>
    <x v="1"/>
    <m/>
    <s v="2026-03-09"/>
    <s v="263373"/>
    <s v="M/s. Kanailal Kedar Prasad"/>
    <s v="9735692523"/>
  </r>
  <r>
    <s v="RCF Trombay"/>
    <s v="15-15-15"/>
    <s v="WB"/>
    <x v="7"/>
    <s v="Bansihari"/>
    <s v="User Not Mapped"/>
    <s v="User Not Mapped"/>
    <s v="User Not Mapped"/>
    <n v="353984"/>
    <s v="KRISHI UNNAYAN KENDRA"/>
    <s v="Private Retailer"/>
    <s v="8759907610"/>
    <n v="11"/>
    <n v="6"/>
    <x v="4"/>
    <m/>
    <s v="2026-04-21"/>
    <s v="263382"/>
    <s v="Tushar Kanti Agarwala"/>
    <s v="8597190846"/>
  </r>
  <r>
    <s v="RCF Trombay"/>
    <s v="N.C.Urea(45kg)"/>
    <s v="WB"/>
    <x v="7"/>
    <s v="Bansihari"/>
    <s v="User Not Mapped"/>
    <s v="User Not Mapped"/>
    <s v="User Not Mapped"/>
    <n v="353984"/>
    <s v="KRISHI UNNAYAN KENDRA"/>
    <s v="Private Retailer"/>
    <s v="8759907610"/>
    <n v="11.25"/>
    <n v="6"/>
    <x v="4"/>
    <m/>
    <s v="2026-04-21"/>
    <s v="263382"/>
    <s v="Tushar Kanti Agarwala"/>
    <s v="8597190846"/>
  </r>
  <r>
    <s v="RCF Thal"/>
    <s v="N.C.Urea(45kg)"/>
    <s v="WB"/>
    <x v="7"/>
    <s v="Bansihari"/>
    <s v="User Not Mapped"/>
    <s v="User Not Mapped"/>
    <s v="User Not Mapped"/>
    <n v="389870"/>
    <s v="M/S. NITAI SARKAR N SATYAJIT S"/>
    <s v="Private Retailer"/>
    <s v="9635938971"/>
    <n v="3.915"/>
    <n v="151"/>
    <x v="0"/>
    <m/>
    <s v="2025-11-27"/>
    <s v="286422"/>
    <s v="Dipak Kumar Laha"/>
    <s v="6297583814"/>
  </r>
  <r>
    <s v="RCF Import"/>
    <s v="Imp 10-26-26"/>
    <s v="WB"/>
    <x v="7"/>
    <s v="Bansihari"/>
    <s v="User Not Mapped"/>
    <s v="User Not Mapped"/>
    <s v="User Not Mapped"/>
    <n v="389883"/>
    <s v="Farad Hossain"/>
    <s v="Private Retailer"/>
    <s v="9735219222"/>
    <n v="0.1"/>
    <n v="883"/>
    <x v="7"/>
    <m/>
    <s v="2023-11-26"/>
    <s v="263370"/>
    <s v="MS Deepak Kumar Sarkar And Son"/>
    <s v="9851529233"/>
  </r>
  <r>
    <s v="RCF Thal"/>
    <s v="N.C.Urea(45kg)"/>
    <s v="WB"/>
    <x v="7"/>
    <s v="Bansihari"/>
    <s v="User Not Mapped"/>
    <s v="User Not Mapped"/>
    <s v="User Not Mapped"/>
    <n v="389883"/>
    <s v="Farad Hossain"/>
    <s v="Private Retailer"/>
    <s v="9735219222"/>
    <n v="11.025"/>
    <n v="504"/>
    <x v="6"/>
    <m/>
    <s v="2024-12-09"/>
    <s v="263373"/>
    <s v="M/s. Kanailal Kedar Prasad"/>
    <s v="9735692523"/>
  </r>
  <r>
    <s v="RCF Thal"/>
    <s v="N.C.Urea(45kg)"/>
    <s v="WB"/>
    <x v="7"/>
    <s v="Bansihari"/>
    <s v="User Not Mapped"/>
    <s v="User Not Mapped"/>
    <s v="User Not Mapped"/>
    <n v="389883"/>
    <s v="Farad Hossain"/>
    <s v="Private Retailer"/>
    <s v="9735219222"/>
    <n v="6.39"/>
    <n v="533"/>
    <x v="6"/>
    <m/>
    <s v="2024-11-10"/>
    <s v="263373"/>
    <s v="M/s. Kanailal Kedar Prasad"/>
    <s v="9735692523"/>
  </r>
  <r>
    <s v="RCF Import"/>
    <s v="Imp 10-26-26"/>
    <s v="WB"/>
    <x v="7"/>
    <s v="Bansihari"/>
    <s v="User Not Mapped"/>
    <s v="User Not Mapped"/>
    <s v="User Not Mapped"/>
    <n v="538452"/>
    <s v="M/S CHANDAN SHIL"/>
    <s v="Private Retailer"/>
    <s v="9614125101"/>
    <n v="0.95"/>
    <n v="75"/>
    <x v="2"/>
    <m/>
    <s v="2026-02-11"/>
    <s v="286422"/>
    <s v="Dipak Kumar Laha"/>
    <s v="6297583814"/>
  </r>
  <r>
    <s v="RCF Thal"/>
    <s v="N.C.Urea(45kg)"/>
    <s v="WB"/>
    <x v="7"/>
    <s v="Bansihari"/>
    <s v="User Not Mapped"/>
    <s v="User Not Mapped"/>
    <s v="User Not Mapped"/>
    <n v="538452"/>
    <s v="M/S CHANDAN SHIL"/>
    <s v="Private Retailer"/>
    <s v="9614125101"/>
    <n v="5.9850000000000003"/>
    <n v="150"/>
    <x v="0"/>
    <m/>
    <s v="2025-11-28"/>
    <s v="263382"/>
    <s v="Tushar Kanti Agarwala"/>
    <s v="8597190846"/>
  </r>
  <r>
    <s v="RCF Thal"/>
    <s v="N.C.Urea(45kg)"/>
    <s v="WB"/>
    <x v="7"/>
    <s v="Bansihari"/>
    <s v="User Not Mapped"/>
    <s v="User Not Mapped"/>
    <s v="User Not Mapped"/>
    <n v="594586"/>
    <s v="ALAM SAR BHANDAR"/>
    <s v="Private Retailer"/>
    <s v="9733082480"/>
    <n v="2.52"/>
    <n v="1223"/>
    <x v="7"/>
    <m/>
    <s v="2022-12-21"/>
    <s v="263373"/>
    <s v="M/s. Kanailal Kedar Prasad"/>
    <s v="9735692523"/>
  </r>
  <r>
    <s v="RCF Trombay"/>
    <s v="N.C.Urea(45kg)"/>
    <s v="WB"/>
    <x v="7"/>
    <s v="Bansihari"/>
    <s v="User Not Mapped"/>
    <s v="User Not Mapped"/>
    <s v="User Not Mapped"/>
    <n v="594586"/>
    <s v="ALAM SAR BHANDAR"/>
    <s v="Private Retailer"/>
    <s v="9733082480"/>
    <n v="0.315"/>
    <n v="1241"/>
    <x v="7"/>
    <m/>
    <s v="2022-12-03"/>
    <s v="1150421"/>
    <s v="M/S KAMAL KUMAR DAS"/>
    <s v="7432910905"/>
  </r>
  <r>
    <s v="RCF Thal"/>
    <s v="N.C.Urea(45kg)"/>
    <s v="WB"/>
    <x v="7"/>
    <s v="Bansihari"/>
    <s v="User Not Mapped"/>
    <s v="User Not Mapped"/>
    <s v="User Not Mapped"/>
    <n v="654123"/>
    <s v="M/S EMAJUL ISLAM"/>
    <s v="Private Retailer"/>
    <s v="9733030359"/>
    <n v="0.315"/>
    <n v="155"/>
    <x v="0"/>
    <m/>
    <s v="2025-11-23"/>
    <s v="263373"/>
    <s v="M/s. Kanailal Kedar Prasad"/>
    <s v="9735692523"/>
  </r>
  <r>
    <s v="RCF Trombay"/>
    <s v="15-15-15"/>
    <s v="WB"/>
    <x v="7"/>
    <s v="Bansihari"/>
    <s v="User Not Mapped"/>
    <s v="User Not Mapped"/>
    <s v="User Not Mapped"/>
    <n v="654173"/>
    <s v="M/S SANTI NITRA"/>
    <s v="Private Retailer"/>
    <s v="9733311043"/>
    <n v="0.15"/>
    <n v="1266"/>
    <x v="7"/>
    <m/>
    <s v="2022-11-08"/>
    <s v="263374"/>
    <s v="M/s. Krishi Unnayan Kendra"/>
    <s v="8759907610"/>
  </r>
  <r>
    <s v="RCF Thal"/>
    <s v="N.C.Urea(45kg)"/>
    <s v="WB"/>
    <x v="7"/>
    <s v="Bansihari"/>
    <s v="User Not Mapped"/>
    <s v="User Not Mapped"/>
    <s v="User Not Mapped"/>
    <n v="886504"/>
    <s v="M/S SABUJ GHAR"/>
    <s v="Private Retailer"/>
    <s v="8759907610"/>
    <n v="11.025"/>
    <n v="49"/>
    <x v="1"/>
    <m/>
    <s v="2026-03-09"/>
    <s v="263373"/>
    <s v="M/s. Kanailal Kedar Prasad"/>
    <s v="9735692523"/>
  </r>
  <r>
    <s v="RCF Thal"/>
    <s v="N.C.Urea(45kg)"/>
    <s v="WB"/>
    <x v="7"/>
    <s v="Bansihari"/>
    <s v="User Not Mapped"/>
    <s v="User Not Mapped"/>
    <s v="User Not Mapped"/>
    <n v="886504"/>
    <s v="M/S SABUJ GHAR"/>
    <s v="Private Retailer"/>
    <s v="8759907610"/>
    <n v="3.1949999999999998"/>
    <n v="265"/>
    <x v="3"/>
    <m/>
    <s v="2025-08-05"/>
    <s v="263373"/>
    <s v="M/s. Kanailal Kedar Prasad"/>
    <s v="9735692523"/>
  </r>
  <r>
    <s v="RCF Thal"/>
    <s v="N.C.Urea(45kg)"/>
    <s v="WB"/>
    <x v="7"/>
    <s v="Bansihari"/>
    <s v="User Not Mapped"/>
    <s v="User Not Mapped"/>
    <s v="User Not Mapped"/>
    <n v="944444"/>
    <s v="BRAJESH ROY"/>
    <s v="Private Retailer"/>
    <s v="8158836248"/>
    <n v="6.5250000000000004"/>
    <n v="49"/>
    <x v="1"/>
    <m/>
    <s v="2026-03-09"/>
    <s v="263373"/>
    <s v="M/s. Kanailal Kedar Prasad"/>
    <s v="9735692523"/>
  </r>
  <r>
    <s v="RCF Thal"/>
    <s v="N.C.Urea(45kg)"/>
    <s v="WB"/>
    <x v="7"/>
    <s v="Bansihari"/>
    <s v="User Not Mapped"/>
    <s v="User Not Mapped"/>
    <s v="User Not Mapped"/>
    <n v="958822"/>
    <s v="ALAM SARKAR"/>
    <s v="Private Retailer"/>
    <s v="9735557797"/>
    <n v="0.01"/>
    <n v="155"/>
    <x v="0"/>
    <m/>
    <s v="2025-11-23"/>
    <s v="263373"/>
    <s v="M/s. Kanailal Kedar Prasad"/>
    <s v="9735692523"/>
  </r>
  <r>
    <s v="RCF Trombay"/>
    <s v="15-15-15"/>
    <s v="WB"/>
    <x v="7"/>
    <s v="Bansihari"/>
    <s v="User Not Mapped"/>
    <s v="User Not Mapped"/>
    <s v="User Not Mapped"/>
    <n v="978586"/>
    <s v="M/S-TAPAS SARKAR"/>
    <s v="Private Retailer"/>
    <s v="7797905230"/>
    <n v="0.05"/>
    <n v="1529"/>
    <x v="7"/>
    <m/>
    <s v="2022-02-18"/>
    <s v="1222813"/>
    <s v="M/S NIYATI SARKAR"/>
    <s v="8348696079"/>
  </r>
  <r>
    <s v="RCF Thal"/>
    <s v="N.C.Urea(45kg)"/>
    <s v="WB"/>
    <x v="7"/>
    <s v="Bansihari"/>
    <s v="User Not Mapped"/>
    <s v="User Not Mapped"/>
    <s v="User Not Mapped"/>
    <n v="1008554"/>
    <s v="SHYAMAL KARMAKAR  ROHIT KARMAK"/>
    <s v="Private Retailer"/>
    <s v="7718187136"/>
    <n v="5.04"/>
    <n v="71"/>
    <x v="2"/>
    <m/>
    <s v="2026-02-15"/>
    <s v="263373"/>
    <s v="M/s. Kanailal Kedar Prasad"/>
    <s v="9735692523"/>
  </r>
  <r>
    <s v="RCF Import"/>
    <s v="Imp 10-26-26"/>
    <s v="WB"/>
    <x v="7"/>
    <s v="Bansihari"/>
    <s v="User Not Mapped"/>
    <s v="User Not Mapped"/>
    <s v="User Not Mapped"/>
    <n v="1008554"/>
    <s v="SHYAMAL KARMAKAR  ROHIT KARMAK"/>
    <s v="Private Retailer"/>
    <s v="7718187136"/>
    <n v="6"/>
    <n v="68"/>
    <x v="2"/>
    <m/>
    <s v="2026-02-18"/>
    <s v="281503"/>
    <s v="Krishi Ghar"/>
    <s v="7031245549"/>
  </r>
  <r>
    <s v="RCF Thal"/>
    <s v="N.C.Urea(45kg)"/>
    <s v="WB"/>
    <x v="7"/>
    <s v="Bansihari"/>
    <s v="User Not Mapped"/>
    <s v="User Not Mapped"/>
    <s v="User Not Mapped"/>
    <n v="1029756"/>
    <s v="Hamidur Rahaman"/>
    <s v="Private Retailer"/>
    <s v="9733286175"/>
    <n v="5.0000000000000001E-3"/>
    <n v="2673"/>
    <x v="7"/>
    <m/>
    <s v="2019-01-01"/>
    <s v="11"/>
    <s v="Too Old Stock"/>
    <m/>
  </r>
  <r>
    <s v="RCF Thal"/>
    <s v="N.C.Urea(45kg)"/>
    <s v="WB"/>
    <x v="7"/>
    <s v="Bansihari"/>
    <s v="User Not Mapped"/>
    <s v="User Not Mapped"/>
    <s v="User Not Mapped"/>
    <n v="1037521"/>
    <s v="MOHABUL HOSSAIN"/>
    <s v="Private Retailer"/>
    <s v="9609470134"/>
    <n v="9.4049999999999994"/>
    <n v="49"/>
    <x v="1"/>
    <m/>
    <s v="2026-03-09"/>
    <s v="263373"/>
    <s v="M/s. Kanailal Kedar Prasad"/>
    <s v="9735692523"/>
  </r>
  <r>
    <s v="RCF Import"/>
    <s v="Imp 10-26-26"/>
    <s v="WB"/>
    <x v="7"/>
    <s v="Bansihari"/>
    <s v="User Not Mapped"/>
    <s v="User Not Mapped"/>
    <s v="User Not Mapped"/>
    <n v="1082768"/>
    <s v="M/S SUBRATA SARKAR"/>
    <s v="Private Retailer"/>
    <s v="8509313949"/>
    <n v="2.95"/>
    <n v="81"/>
    <x v="2"/>
    <m/>
    <s v="2026-02-05"/>
    <s v="263373"/>
    <s v="M/s. Kanailal Kedar Prasad"/>
    <s v="9735692523"/>
  </r>
  <r>
    <s v="RCF Thal"/>
    <s v="N.C.Urea(45kg)"/>
    <s v="WB"/>
    <x v="7"/>
    <s v="Bansihari"/>
    <s v="User Not Mapped"/>
    <s v="User Not Mapped"/>
    <s v="User Not Mapped"/>
    <n v="1098995"/>
    <s v="M/S NISHIT DAS"/>
    <s v="Private Retailer"/>
    <s v="8759774096"/>
    <n v="0.01"/>
    <n v="1257"/>
    <x v="7"/>
    <m/>
    <s v="2022-11-17"/>
    <s v="263374"/>
    <s v="M/s. Krishi Unnayan Kendra"/>
    <s v="8759907610"/>
  </r>
  <r>
    <s v="RCF Import"/>
    <s v="Imp 10-26-26"/>
    <s v="WB"/>
    <x v="7"/>
    <s v="Bansihari"/>
    <s v="User Not Mapped"/>
    <s v="User Not Mapped"/>
    <s v="User Not Mapped"/>
    <n v="1099001"/>
    <s v="KRISHI GHAR"/>
    <s v="Private Retailer"/>
    <s v="9733254501"/>
    <n v="5.5"/>
    <n v="75"/>
    <x v="2"/>
    <m/>
    <s v="2026-02-11"/>
    <s v="286422"/>
    <s v="Dipak Kumar Laha"/>
    <s v="6297583814"/>
  </r>
  <r>
    <s v="RCF Import"/>
    <s v="Imp 10-26-26"/>
    <s v="WB"/>
    <x v="7"/>
    <s v="Bansihari"/>
    <s v="User Not Mapped"/>
    <s v="User Not Mapped"/>
    <s v="User Not Mapped"/>
    <n v="1099001"/>
    <s v="KRISHI GHAR"/>
    <s v="Private Retailer"/>
    <s v="9733254501"/>
    <n v="6"/>
    <n v="58"/>
    <x v="1"/>
    <m/>
    <s v="2026-02-28"/>
    <s v="263373"/>
    <s v="M/s. Kanailal Kedar Prasad"/>
    <s v="9735692523"/>
  </r>
  <r>
    <s v="RCF Thal"/>
    <s v="N.C.Urea(45kg)"/>
    <s v="WB"/>
    <x v="7"/>
    <s v="Bansihari"/>
    <s v="User Not Mapped"/>
    <s v="User Not Mapped"/>
    <s v="User Not Mapped"/>
    <n v="1099001"/>
    <s v="KRISHI GHAR"/>
    <s v="Private Retailer"/>
    <s v="9733254501"/>
    <n v="10.845000000000001"/>
    <n v="62"/>
    <x v="2"/>
    <m/>
    <s v="2026-02-24"/>
    <s v="286422"/>
    <s v="Dipak Kumar Laha"/>
    <s v="6297583814"/>
  </r>
  <r>
    <s v="RCF Import"/>
    <s v="MOP"/>
    <s v="WB"/>
    <x v="7"/>
    <s v="Bansihari"/>
    <s v="User Not Mapped"/>
    <s v="User Not Mapped"/>
    <s v="User Not Mapped"/>
    <n v="1099942"/>
    <s v="JYOTISH MAHATA"/>
    <s v="Private Retailer"/>
    <s v="9593868175"/>
    <n v="0.6"/>
    <n v="554"/>
    <x v="7"/>
    <m/>
    <s v="2024-10-20"/>
    <s v="263374"/>
    <s v="M/s. Krishi Unnayan Kendra"/>
    <s v="8759907610"/>
  </r>
  <r>
    <s v="RCF Import"/>
    <s v="Imp 10-26-26"/>
    <s v="WB"/>
    <x v="7"/>
    <s v="Bansihari"/>
    <s v="User Not Mapped"/>
    <s v="User Not Mapped"/>
    <s v="User Not Mapped"/>
    <n v="1173006"/>
    <s v="M/S. JIAUL HUDA"/>
    <s v="Private Retailer"/>
    <s v="9382800240"/>
    <n v="18"/>
    <n v="69"/>
    <x v="2"/>
    <m/>
    <s v="2026-02-17"/>
    <s v="354029"/>
    <s v="M/s. Bhumi Laxmi"/>
    <s v="9153195790"/>
  </r>
  <r>
    <s v="RCF Trombay"/>
    <s v="15-15-15"/>
    <s v="WB"/>
    <x v="7"/>
    <s v="Bansihari"/>
    <s v="User Not Mapped"/>
    <s v="User Not Mapped"/>
    <s v="User Not Mapped"/>
    <n v="1187525"/>
    <s v="M/S. SAJJAT ALI"/>
    <s v="Private Retailer"/>
    <s v="7407266120"/>
    <n v="0.5"/>
    <n v="179"/>
    <x v="0"/>
    <m/>
    <s v="2025-10-30"/>
    <s v="263374"/>
    <s v="M/s. Krishi Unnayan Kendra"/>
    <s v="8759907610"/>
  </r>
  <r>
    <s v="RCF Thal"/>
    <s v="N.C.Urea(45kg)"/>
    <s v="WB"/>
    <x v="7"/>
    <s v="Bansihari"/>
    <s v="User Not Mapped"/>
    <s v="User Not Mapped"/>
    <s v="User Not Mapped"/>
    <n v="1231913"/>
    <s v="M/S MANGAL SARKAR"/>
    <s v="Private Retailer"/>
    <s v="9641963596"/>
    <n v="6.165"/>
    <n v="150"/>
    <x v="0"/>
    <m/>
    <s v="2025-11-28"/>
    <s v="263382"/>
    <s v="Tushar Kanti Agarwala"/>
    <s v="8597190846"/>
  </r>
  <r>
    <s v="RCF Trombay"/>
    <s v="15-15-15"/>
    <s v="WB"/>
    <x v="7"/>
    <s v="Bansihari"/>
    <s v="User Not Mapped"/>
    <s v="User Not Mapped"/>
    <s v="User Not Mapped"/>
    <n v="1258412"/>
    <s v="M/S-PRIYOTOSH KANTI ROY"/>
    <s v="Private Retailer"/>
    <s v="7550904375"/>
    <n v="0.375"/>
    <n v="82"/>
    <x v="2"/>
    <m/>
    <s v="2026-02-04"/>
    <s v="263374"/>
    <s v="M/s. Krishi Unnayan Kendra"/>
    <s v="8759907610"/>
  </r>
  <r>
    <s v="RCF Thal"/>
    <s v="N.C.Urea(45kg)"/>
    <s v="WB"/>
    <x v="7"/>
    <s v="Bansihari"/>
    <s v="User Not Mapped"/>
    <s v="User Not Mapped"/>
    <s v="User Not Mapped"/>
    <n v="1315486"/>
    <s v="M/S. DEY SAR BHANDAR"/>
    <s v="Private Retailer"/>
    <s v="6295156143"/>
    <n v="8.7750000000000004"/>
    <n v="412"/>
    <x v="6"/>
    <m/>
    <s v="2025-03-11"/>
    <s v="263373"/>
    <s v="M/s. Kanailal Kedar Prasad"/>
    <s v="9735692523"/>
  </r>
  <r>
    <s v="RCF Thal"/>
    <s v="N.C.Urea(45kg)"/>
    <s v="WB"/>
    <x v="7"/>
    <s v="Bansihari"/>
    <s v="User Not Mapped"/>
    <s v="User Not Mapped"/>
    <s v="User Not Mapped"/>
    <n v="1333354"/>
    <s v="M/S HIREN CHANDRA SAHA"/>
    <s v="Private Retailer"/>
    <s v="9593360344"/>
    <n v="0.45"/>
    <n v="1262"/>
    <x v="7"/>
    <m/>
    <s v="2022-11-12"/>
    <s v="263374"/>
    <s v="M/s. Krishi Unnayan Kendra"/>
    <s v="8759907610"/>
  </r>
  <r>
    <s v="RCF Trombay"/>
    <s v="15-15-15"/>
    <s v="WB"/>
    <x v="7"/>
    <s v="Bansihari"/>
    <s v="User Not Mapped"/>
    <s v="User Not Mapped"/>
    <s v="User Not Mapped"/>
    <n v="1333354"/>
    <s v="M/S HIREN CHANDRA SAHA"/>
    <s v="Private Retailer"/>
    <s v="9593360344"/>
    <n v="0.7"/>
    <n v="984"/>
    <x v="7"/>
    <m/>
    <s v="2023-08-17"/>
    <s v="263374"/>
    <s v="M/s. Krishi Unnayan Kendra"/>
    <s v="8759907610"/>
  </r>
  <r>
    <s v="RCF Thal"/>
    <s v="N.C.Urea(45kg)"/>
    <s v="WB"/>
    <x v="7"/>
    <s v="Bansihari"/>
    <s v="User Not Mapped"/>
    <s v="User Not Mapped"/>
    <s v="User Not Mapped"/>
    <n v="1403978"/>
    <s v="MS. RAJU KUMAR PRASAD A SANTO"/>
    <s v="Private Retailer"/>
    <s v="8768949773"/>
    <n v="3.87"/>
    <n v="21"/>
    <x v="4"/>
    <m/>
    <s v="2026-04-06"/>
    <s v="286422"/>
    <s v="Dipak Kumar Laha"/>
    <s v="6297583814"/>
  </r>
  <r>
    <s v="RCF Import"/>
    <s v="MOP"/>
    <s v="WB"/>
    <x v="7"/>
    <s v="Bansihari"/>
    <s v="User Not Mapped"/>
    <s v="User Not Mapped"/>
    <s v="User Not Mapped"/>
    <n v="1420901"/>
    <s v="M/S.NARAYAN FERTILIZER"/>
    <s v="Private Retailer"/>
    <s v="8250008668"/>
    <n v="0.25"/>
    <n v="230"/>
    <x v="3"/>
    <m/>
    <s v="2025-09-09"/>
    <s v="263374"/>
    <s v="M/s. Krishi Unnayan Kendra"/>
    <s v="8759907610"/>
  </r>
  <r>
    <s v="RCF Trombay"/>
    <s v="15-15-15"/>
    <s v="WB"/>
    <x v="7"/>
    <s v="Bansihari"/>
    <s v="User Not Mapped"/>
    <s v="User Not Mapped"/>
    <s v="User Not Mapped"/>
    <n v="1420901"/>
    <s v="M/S.NARAYAN FERTILIZER"/>
    <s v="Private Retailer"/>
    <s v="8250008668"/>
    <n v="0.05"/>
    <n v="266"/>
    <x v="3"/>
    <m/>
    <s v="2025-08-04"/>
    <s v="263374"/>
    <s v="M/s. Krishi Unnayan Kendra"/>
    <s v="8759907610"/>
  </r>
  <r>
    <s v="RCF Thal"/>
    <s v="N.C.Urea(45kg)"/>
    <s v="WB"/>
    <x v="7"/>
    <s v="Bansihari"/>
    <s v="User Not Mapped"/>
    <s v="User Not Mapped"/>
    <s v="User Not Mapped"/>
    <n v="1449901"/>
    <s v="JARJIS MONDAL AND NOWAJSARIF"/>
    <s v="Private Retailer"/>
    <s v="7866943974"/>
    <n v="8.1449999999999996"/>
    <n v="198"/>
    <x v="3"/>
    <m/>
    <s v="2025-10-11"/>
    <s v="263373"/>
    <s v="M/s. Kanailal Kedar Prasad"/>
    <s v="9735692523"/>
  </r>
  <r>
    <s v="RCF Thal"/>
    <s v="N.C.Urea(45kg)"/>
    <s v="WB"/>
    <x v="7"/>
    <s v="Bansihari"/>
    <s v="User Not Mapped"/>
    <s v="User Not Mapped"/>
    <s v="User Not Mapped"/>
    <n v="1449903"/>
    <s v="M/S. MANDAL FERTILIZER A PESTI"/>
    <s v="Private Retailer"/>
    <s v="7872240759"/>
    <n v="0.85499999999999998"/>
    <n v="506"/>
    <x v="6"/>
    <m/>
    <s v="2024-12-07"/>
    <s v="263382"/>
    <s v="Tushar Kanti Agarwala"/>
    <s v="8597190846"/>
  </r>
  <r>
    <s v="RCF Import"/>
    <s v="Imp 10-26-26"/>
    <s v="WB"/>
    <x v="7"/>
    <s v="Bansihari"/>
    <s v="User Not Mapped"/>
    <s v="User Not Mapped"/>
    <s v="User Not Mapped"/>
    <n v="1449903"/>
    <s v="M/S. MANDAL FERTILIZER A PESTI"/>
    <s v="Private Retailer"/>
    <s v="7872240759"/>
    <n v="0.15"/>
    <n v="513"/>
    <x v="6"/>
    <m/>
    <s v="2024-11-30"/>
    <s v="263370"/>
    <s v="MS Deepak Kumar Sarkar And Son"/>
    <s v="9851529233"/>
  </r>
  <r>
    <s v="RCF Thal"/>
    <s v="N.C.Urea(45kg)"/>
    <s v="WB"/>
    <x v="7"/>
    <s v="Bansihari"/>
    <s v="User Not Mapped"/>
    <s v="User Not Mapped"/>
    <s v="User Not Mapped"/>
    <n v="1605679"/>
    <s v="Krishan Unnyan Seba Kendra"/>
    <s v="Private Retailer"/>
    <s v="9733476251"/>
    <n v="1.17"/>
    <n v="155"/>
    <x v="0"/>
    <m/>
    <s v="2025-11-23"/>
    <s v="263373"/>
    <s v="M/s. Kanailal Kedar Prasad"/>
    <s v="9735692523"/>
  </r>
  <r>
    <s v="RCF Trombay"/>
    <s v="15-15-15"/>
    <s v="WB"/>
    <x v="7"/>
    <s v="Gangarampur"/>
    <s v="User Not Mapped"/>
    <s v="User Not Mapped"/>
    <s v="User Not Mapped"/>
    <n v="126471"/>
    <s v="Chandan Das"/>
    <s v="Private Retailer"/>
    <s v="8116831443"/>
    <n v="1.5"/>
    <n v="245"/>
    <x v="3"/>
    <m/>
    <s v="2025-08-25"/>
    <s v="1216980"/>
    <s v="PURNA CHATTAPADHAYAY"/>
    <s v="8670728284"/>
  </r>
  <r>
    <s v="RCF Thal"/>
    <s v="N.C.Urea(45kg)"/>
    <s v="WB"/>
    <x v="7"/>
    <s v="Gangarampur"/>
    <s v="User Not Mapped"/>
    <s v="User Not Mapped"/>
    <s v="User Not Mapped"/>
    <n v="126487"/>
    <s v="Dhirendra Nath Roy"/>
    <s v="Private Retailer"/>
    <s v="7001385679"/>
    <n v="11.025"/>
    <n v="68"/>
    <x v="2"/>
    <m/>
    <s v="2026-02-18"/>
    <s v="263373"/>
    <s v="M/s. Kanailal Kedar Prasad"/>
    <s v="9735692523"/>
  </r>
  <r>
    <s v="RCF Thal"/>
    <s v="N.C.Urea(45kg)"/>
    <s v="WB"/>
    <x v="7"/>
    <s v="Gangarampur"/>
    <s v="User Not Mapped"/>
    <s v="User Not Mapped"/>
    <s v="User Not Mapped"/>
    <n v="126487"/>
    <s v="Dhirendra Nath Roy"/>
    <s v="Private Retailer"/>
    <s v="7001385679"/>
    <n v="10.125"/>
    <n v="133"/>
    <x v="0"/>
    <m/>
    <s v="2025-12-15"/>
    <s v="263373"/>
    <s v="M/s. Kanailal Kedar Prasad"/>
    <s v="9735692523"/>
  </r>
  <r>
    <s v="RCF Trombay"/>
    <s v="N.C.Urea(45kg)"/>
    <s v="WB"/>
    <x v="7"/>
    <s v="Gangarampur"/>
    <s v="User Not Mapped"/>
    <s v="User Not Mapped"/>
    <s v="User Not Mapped"/>
    <n v="126546"/>
    <s v="M/S. JABED ALI SARKAR"/>
    <s v="Private Retailer"/>
    <s v="9593611330"/>
    <n v="10.755000000000001"/>
    <n v="171"/>
    <x v="0"/>
    <m/>
    <s v="2025-11-07"/>
    <s v="263373"/>
    <s v="M/s. Kanailal Kedar Prasad"/>
    <s v="9735692523"/>
  </r>
  <r>
    <s v="RCF Thal"/>
    <s v="N.C.Urea(45kg)"/>
    <s v="WB"/>
    <x v="7"/>
    <s v="Gangarampur"/>
    <s v="User Not Mapped"/>
    <s v="User Not Mapped"/>
    <s v="User Not Mapped"/>
    <n v="126546"/>
    <s v="M/S. JABED ALI SARKAR"/>
    <s v="Private Retailer"/>
    <s v="9593611330"/>
    <n v="11.025"/>
    <n v="71"/>
    <x v="2"/>
    <m/>
    <s v="2026-02-15"/>
    <s v="263373"/>
    <s v="M/s. Kanailal Kedar Prasad"/>
    <s v="9735692523"/>
  </r>
  <r>
    <s v="RCF Thal"/>
    <s v="N.C.Urea(45kg)"/>
    <s v="WB"/>
    <x v="7"/>
    <s v="Gangarampur"/>
    <s v="User Not Mapped"/>
    <s v="User Not Mapped"/>
    <s v="User Not Mapped"/>
    <n v="126546"/>
    <s v="M/S. JABED ALI SARKAR"/>
    <s v="Private Retailer"/>
    <s v="9593611330"/>
    <n v="7.7850000000000001"/>
    <n v="97"/>
    <x v="5"/>
    <m/>
    <s v="2026-01-20"/>
    <s v="263373"/>
    <s v="M/s. Kanailal Kedar Prasad"/>
    <s v="9735692523"/>
  </r>
  <r>
    <s v="RCF Thal"/>
    <s v="N.C.Urea(45kg)"/>
    <s v="WB"/>
    <x v="7"/>
    <s v="Gangarampur"/>
    <s v="User Not Mapped"/>
    <s v="User Not Mapped"/>
    <s v="User Not Mapped"/>
    <n v="126782"/>
    <s v="Purna Chattopadadhyay"/>
    <s v="Private Retailer"/>
    <s v="8670728284"/>
    <n v="11.025"/>
    <n v="71"/>
    <x v="2"/>
    <m/>
    <s v="2026-02-15"/>
    <s v="263373"/>
    <s v="M/s. Kanailal Kedar Prasad"/>
    <s v="9735692523"/>
  </r>
  <r>
    <s v="RCF Trombay"/>
    <s v="15-15-15"/>
    <s v="WB"/>
    <x v="7"/>
    <s v="Gangarampur"/>
    <s v="User Not Mapped"/>
    <s v="User Not Mapped"/>
    <s v="User Not Mapped"/>
    <n v="126782"/>
    <s v="Purna Chattopadadhyay"/>
    <s v="Private Retailer"/>
    <s v="8670728284"/>
    <n v="22.8"/>
    <n v="112"/>
    <x v="5"/>
    <m/>
    <s v="2026-01-05"/>
    <s v="1216980"/>
    <s v="PURNA CHATTAPADHAYAY"/>
    <s v="8670728284"/>
  </r>
  <r>
    <s v="RCF Import"/>
    <s v="Imp 10-26-26"/>
    <s v="WB"/>
    <x v="7"/>
    <s v="Gangarampur"/>
    <s v="User Not Mapped"/>
    <s v="User Not Mapped"/>
    <s v="User Not Mapped"/>
    <n v="126782"/>
    <s v="Purna Chattopadadhyay"/>
    <s v="Private Retailer"/>
    <s v="8670728284"/>
    <n v="9.1"/>
    <n v="112"/>
    <x v="5"/>
    <m/>
    <s v="2026-01-05"/>
    <s v="1216980"/>
    <s v="PURNA CHATTAPADHAYAY"/>
    <s v="8670728284"/>
  </r>
  <r>
    <s v="RCF Thal"/>
    <s v="N.C.Urea(45kg)"/>
    <s v="WB"/>
    <x v="7"/>
    <s v="Gangarampur"/>
    <s v="User Not Mapped"/>
    <s v="User Not Mapped"/>
    <s v="User Not Mapped"/>
    <n v="126782"/>
    <s v="Purna Chattopadadhyay"/>
    <s v="Private Retailer"/>
    <s v="8670728284"/>
    <n v="11.025"/>
    <n v="49"/>
    <x v="1"/>
    <m/>
    <s v="2026-03-09"/>
    <s v="263373"/>
    <s v="M/s. Kanailal Kedar Prasad"/>
    <s v="9735692523"/>
  </r>
  <r>
    <s v="RCF Trombay"/>
    <s v="N.C.Urea(45kg)"/>
    <s v="WB"/>
    <x v="7"/>
    <s v="Gangarampur"/>
    <s v="User Not Mapped"/>
    <s v="User Not Mapped"/>
    <s v="User Not Mapped"/>
    <n v="126782"/>
    <s v="Purna Chattopadadhyay"/>
    <s v="Private Retailer"/>
    <s v="8670728284"/>
    <n v="11.025"/>
    <n v="132"/>
    <x v="0"/>
    <m/>
    <s v="2025-12-16"/>
    <s v="263373"/>
    <s v="M/s. Kanailal Kedar Prasad"/>
    <s v="9735692523"/>
  </r>
  <r>
    <s v="RCF Thal"/>
    <s v="N.C.Urea(45kg)"/>
    <s v="WB"/>
    <x v="7"/>
    <s v="Gangarampur"/>
    <s v="User Not Mapped"/>
    <s v="User Not Mapped"/>
    <s v="User Not Mapped"/>
    <n v="126782"/>
    <s v="Purna Chattopadadhyay"/>
    <s v="Private Retailer"/>
    <s v="8670728284"/>
    <n v="6.0750000000000002"/>
    <n v="133"/>
    <x v="0"/>
    <m/>
    <s v="2025-12-15"/>
    <s v="263373"/>
    <s v="M/s. Kanailal Kedar Prasad"/>
    <s v="9735692523"/>
  </r>
  <r>
    <s v="RCF Trombay"/>
    <s v="N.C.Urea(45kg)"/>
    <s v="WB"/>
    <x v="7"/>
    <s v="Gangarampur"/>
    <s v="User Not Mapped"/>
    <s v="User Not Mapped"/>
    <s v="User Not Mapped"/>
    <n v="126782"/>
    <s v="Purna Chattopadadhyay"/>
    <s v="Private Retailer"/>
    <s v="8670728284"/>
    <n v="7.65"/>
    <n v="140"/>
    <x v="0"/>
    <m/>
    <s v="2025-12-08"/>
    <s v="286422"/>
    <s v="Dipak Kumar Laha"/>
    <s v="6297583814"/>
  </r>
  <r>
    <s v="RCF Thal"/>
    <s v="N.C.Urea(45kg)"/>
    <s v="WB"/>
    <x v="7"/>
    <s v="Gangarampur"/>
    <s v="User Not Mapped"/>
    <s v="User Not Mapped"/>
    <s v="User Not Mapped"/>
    <n v="126782"/>
    <s v="Purna Chattopadadhyay"/>
    <s v="Private Retailer"/>
    <s v="8670728284"/>
    <n v="22.5"/>
    <n v="90"/>
    <x v="2"/>
    <m/>
    <s v="2026-01-27"/>
    <s v="286422"/>
    <s v="Dipak Kumar Laha"/>
    <s v="6297583814"/>
  </r>
  <r>
    <s v="RCF Thal"/>
    <s v="N.C.Urea(45kg)"/>
    <s v="WB"/>
    <x v="7"/>
    <s v="Gangarampur"/>
    <s v="User Not Mapped"/>
    <s v="User Not Mapped"/>
    <s v="User Not Mapped"/>
    <n v="126782"/>
    <s v="Purna Chattopadadhyay"/>
    <s v="Private Retailer"/>
    <s v="8670728284"/>
    <n v="11.025"/>
    <n v="39"/>
    <x v="1"/>
    <m/>
    <s v="2026-03-19"/>
    <s v="286422"/>
    <s v="Dipak Kumar Laha"/>
    <s v="6297583814"/>
  </r>
  <r>
    <s v="RCF Trombay"/>
    <s v="N.C.Urea(45kg)"/>
    <s v="WB"/>
    <x v="7"/>
    <s v="Gangarampur"/>
    <s v="User Not Mapped"/>
    <s v="User Not Mapped"/>
    <s v="User Not Mapped"/>
    <n v="126831"/>
    <s v="Sabuj Sar Bhandar"/>
    <s v="Private Retailer"/>
    <s v="9800704751"/>
    <n v="2.1150000000000002"/>
    <n v="139"/>
    <x v="0"/>
    <m/>
    <s v="2025-12-09"/>
    <s v="263382"/>
    <s v="Tushar Kanti Agarwala"/>
    <s v="8597190846"/>
  </r>
  <r>
    <s v="RCF Trombay"/>
    <s v="N.C.Urea(45kg)"/>
    <s v="WB"/>
    <x v="7"/>
    <s v="Gangarampur"/>
    <s v="User Not Mapped"/>
    <s v="User Not Mapped"/>
    <s v="User Not Mapped"/>
    <n v="126860"/>
    <s v="M/S SANTOSH KUMAR SARKAR"/>
    <s v="Private Retailer"/>
    <s v="7478193177"/>
    <n v="0.45"/>
    <n v="876"/>
    <x v="7"/>
    <m/>
    <s v="2023-12-03"/>
    <s v="263370"/>
    <s v="MS Deepak Kumar Sarkar And Son"/>
    <s v="9851529233"/>
  </r>
  <r>
    <s v="RCF Trombay"/>
    <s v="15-15-15"/>
    <s v="WB"/>
    <x v="7"/>
    <s v="Gangarampur"/>
    <s v="User Not Mapped"/>
    <s v="User Not Mapped"/>
    <s v="User Not Mapped"/>
    <n v="126860"/>
    <s v="M/S SANTOSH KUMAR SARKAR"/>
    <s v="Private Retailer"/>
    <s v="7478193177"/>
    <n v="0.17499999999999999"/>
    <n v="1131"/>
    <x v="7"/>
    <m/>
    <s v="2023-03-23"/>
    <s v="263370"/>
    <s v="MS Deepak Kumar Sarkar And Son"/>
    <s v="9851529233"/>
  </r>
  <r>
    <s v="RCF Trombay"/>
    <s v="15-15-15"/>
    <s v="WB"/>
    <x v="7"/>
    <s v="Gangarampur"/>
    <s v="User Not Mapped"/>
    <s v="User Not Mapped"/>
    <s v="User Not Mapped"/>
    <n v="126860"/>
    <s v="M/S SANTOSH KUMAR SARKAR"/>
    <s v="Private Retailer"/>
    <s v="7478193177"/>
    <n v="0.25"/>
    <n v="778"/>
    <x v="7"/>
    <m/>
    <s v="2024-03-10"/>
    <s v="263370"/>
    <s v="MS Deepak Kumar Sarkar And Son"/>
    <s v="9851529233"/>
  </r>
  <r>
    <s v="RCF Thal"/>
    <s v="N.C.Urea(45kg)"/>
    <s v="WB"/>
    <x v="7"/>
    <s v="Gangarampur"/>
    <s v="User Not Mapped"/>
    <s v="User Not Mapped"/>
    <s v="User Not Mapped"/>
    <n v="126860"/>
    <s v="M/S SANTOSH KUMAR SARKAR"/>
    <s v="Private Retailer"/>
    <s v="7478193177"/>
    <n v="0.48599999999999999"/>
    <n v="533"/>
    <x v="6"/>
    <m/>
    <s v="2024-11-10"/>
    <s v="263373"/>
    <s v="M/s. Kanailal Kedar Prasad"/>
    <s v="9735692523"/>
  </r>
  <r>
    <s v="RCF Import"/>
    <s v="MOP"/>
    <s v="WB"/>
    <x v="7"/>
    <s v="Gangarampur"/>
    <s v="User Not Mapped"/>
    <s v="User Not Mapped"/>
    <s v="User Not Mapped"/>
    <n v="126860"/>
    <s v="M/S SANTOSH KUMAR SARKAR"/>
    <s v="Private Retailer"/>
    <s v="7478193177"/>
    <n v="0.5"/>
    <n v="535"/>
    <x v="6"/>
    <m/>
    <s v="2024-11-08"/>
    <s v="263370"/>
    <s v="MS Deepak Kumar Sarkar And Son"/>
    <s v="9851529233"/>
  </r>
  <r>
    <s v="RCF Trombay"/>
    <s v="15-15-15"/>
    <s v="WB"/>
    <x v="7"/>
    <s v="Gangarampur"/>
    <s v="User Not Mapped"/>
    <s v="User Not Mapped"/>
    <s v="User Not Mapped"/>
    <n v="126873"/>
    <s v="Sarkar Fertilizer Agency"/>
    <s v="Private Retailer"/>
    <s v="9733036117"/>
    <n v="2.15"/>
    <n v="150"/>
    <x v="0"/>
    <m/>
    <s v="2025-11-28"/>
    <s v="263377"/>
    <s v="Rahaman Fertilizer Agency"/>
    <s v="9064276670"/>
  </r>
  <r>
    <s v="RCF Thal"/>
    <s v="N.C.Urea(45kg)"/>
    <s v="WB"/>
    <x v="7"/>
    <s v="Gangarampur"/>
    <s v="User Not Mapped"/>
    <s v="User Not Mapped"/>
    <s v="User Not Mapped"/>
    <n v="126953"/>
    <s v="M/S. UJJWAL BARMAN"/>
    <s v="Private Retailer"/>
    <s v="9734957747"/>
    <n v="9.36"/>
    <n v="90"/>
    <x v="2"/>
    <m/>
    <s v="2026-01-27"/>
    <s v="286422"/>
    <s v="Dipak Kumar Laha"/>
    <s v="6297583814"/>
  </r>
  <r>
    <s v="RCF Thal"/>
    <s v="N.C.Urea(45kg)"/>
    <s v="WB"/>
    <x v="7"/>
    <s v="Gangarampur"/>
    <s v="User Not Mapped"/>
    <s v="User Not Mapped"/>
    <s v="User Not Mapped"/>
    <n v="126953"/>
    <s v="M/S. UJJWAL BARMAN"/>
    <s v="Private Retailer"/>
    <s v="9734957747"/>
    <n v="11.025"/>
    <n v="49"/>
    <x v="1"/>
    <m/>
    <s v="2026-03-09"/>
    <s v="263373"/>
    <s v="M/s. Kanailal Kedar Prasad"/>
    <s v="9735692523"/>
  </r>
  <r>
    <s v="RCF Trombay"/>
    <s v="N.C.Urea(45kg)"/>
    <s v="WB"/>
    <x v="7"/>
    <s v="Gangarampur"/>
    <s v="User Not Mapped"/>
    <s v="User Not Mapped"/>
    <s v="User Not Mapped"/>
    <n v="216422"/>
    <s v="Sukumar Saha"/>
    <s v="Private Retailer"/>
    <s v="8972583515"/>
    <n v="4.7249999999999996"/>
    <n v="198"/>
    <x v="3"/>
    <m/>
    <s v="2025-10-11"/>
    <s v="263373"/>
    <s v="M/s. Kanailal Kedar Prasad"/>
    <s v="9735692523"/>
  </r>
  <r>
    <s v="RCF Import"/>
    <s v="Imp 10-26-26"/>
    <s v="WB"/>
    <x v="7"/>
    <s v="Gangarampur"/>
    <s v="User Not Mapped"/>
    <s v="User Not Mapped"/>
    <s v="User Not Mapped"/>
    <n v="216422"/>
    <s v="Sukumar Saha"/>
    <s v="Private Retailer"/>
    <s v="8972583515"/>
    <n v="10.25"/>
    <n v="81"/>
    <x v="2"/>
    <m/>
    <s v="2026-02-05"/>
    <s v="263373"/>
    <s v="M/s. Kanailal Kedar Prasad"/>
    <s v="9735692523"/>
  </r>
  <r>
    <s v="RCF Trombay"/>
    <s v="15-15-15"/>
    <s v="WB"/>
    <x v="7"/>
    <s v="Gangarampur"/>
    <s v="User Not Mapped"/>
    <s v="User Not Mapped"/>
    <s v="User Not Mapped"/>
    <n v="305687"/>
    <s v="M/S. SAYRAPUR S.K.U.S. LTD."/>
    <s v="State Marketing Federation"/>
    <s v="8016144181"/>
    <n v="8"/>
    <n v="174"/>
    <x v="0"/>
    <m/>
    <s v="2025-11-04"/>
    <s v="263382"/>
    <s v="Tushar Kanti Agarwala"/>
    <s v="8597190846"/>
  </r>
  <r>
    <s v="RCF Thal"/>
    <s v="N.C.Urea(45kg)"/>
    <s v="WB"/>
    <x v="7"/>
    <s v="Gangarampur"/>
    <s v="User Not Mapped"/>
    <s v="User Not Mapped"/>
    <s v="User Not Mapped"/>
    <n v="331261"/>
    <s v="Gopeswar Basak"/>
    <s v="Private Retailer"/>
    <s v="9434305693"/>
    <n v="11.025"/>
    <n v="71"/>
    <x v="2"/>
    <m/>
    <s v="2026-02-15"/>
    <s v="263373"/>
    <s v="M/s. Kanailal Kedar Prasad"/>
    <s v="9735692523"/>
  </r>
  <r>
    <s v="RCF Thal"/>
    <s v="N.C.Urea(45kg)"/>
    <s v="WB"/>
    <x v="7"/>
    <s v="Gangarampur"/>
    <s v="User Not Mapped"/>
    <s v="User Not Mapped"/>
    <s v="User Not Mapped"/>
    <n v="331261"/>
    <s v="Gopeswar Basak"/>
    <s v="Private Retailer"/>
    <s v="9434305693"/>
    <n v="0.18"/>
    <n v="97"/>
    <x v="5"/>
    <m/>
    <s v="2026-01-20"/>
    <s v="263373"/>
    <s v="M/s. Kanailal Kedar Prasad"/>
    <s v="9735692523"/>
  </r>
  <r>
    <s v="RCF Thal"/>
    <s v="N.C.Urea(45kg)"/>
    <s v="WB"/>
    <x v="7"/>
    <s v="Gangarampur"/>
    <s v="User Not Mapped"/>
    <s v="User Not Mapped"/>
    <s v="User Not Mapped"/>
    <n v="340344"/>
    <s v="Kashinath Sarkar"/>
    <s v="Private Retailer"/>
    <s v="9593539627"/>
    <n v="7.47"/>
    <n v="49"/>
    <x v="1"/>
    <m/>
    <s v="2026-03-09"/>
    <s v="263373"/>
    <s v="M/s. Kanailal Kedar Prasad"/>
    <s v="9735692523"/>
  </r>
  <r>
    <s v="RCF Trombay"/>
    <s v="15-15-15"/>
    <s v="WB"/>
    <x v="7"/>
    <s v="Gangarampur"/>
    <s v="User Not Mapped"/>
    <s v="User Not Mapped"/>
    <s v="User Not Mapped"/>
    <n v="340425"/>
    <s v="Uttam Sarkar"/>
    <s v="Private Retailer"/>
    <s v="9851567801"/>
    <n v="0.75"/>
    <n v="150"/>
    <x v="0"/>
    <m/>
    <s v="2025-11-28"/>
    <s v="263374"/>
    <s v="M/s. Krishi Unnayan Kendra"/>
    <s v="8759907610"/>
  </r>
  <r>
    <s v="RCF Trombay"/>
    <s v="15-15-15"/>
    <s v="WB"/>
    <x v="7"/>
    <s v="Gangarampur"/>
    <s v="User Not Mapped"/>
    <s v="User Not Mapped"/>
    <s v="User Not Mapped"/>
    <n v="340425"/>
    <s v="Uttam Sarkar"/>
    <s v="Private Retailer"/>
    <s v="9851567801"/>
    <n v="0.75"/>
    <n v="145"/>
    <x v="0"/>
    <m/>
    <s v="2025-12-03"/>
    <s v="263374"/>
    <s v="M/s. Krishi Unnayan Kendra"/>
    <s v="8759907610"/>
  </r>
  <r>
    <s v="RCF Trombay"/>
    <s v="15-15-15"/>
    <s v="WB"/>
    <x v="7"/>
    <s v="Gangarampur"/>
    <s v="User Not Mapped"/>
    <s v="User Not Mapped"/>
    <s v="User Not Mapped"/>
    <n v="340425"/>
    <s v="Uttam Sarkar"/>
    <s v="Private Retailer"/>
    <s v="9851567801"/>
    <n v="1"/>
    <n v="148"/>
    <x v="0"/>
    <m/>
    <s v="2025-11-30"/>
    <s v="263374"/>
    <s v="M/s. Krishi Unnayan Kendra"/>
    <s v="8759907610"/>
  </r>
  <r>
    <s v="RCF Trombay"/>
    <s v="15-15-15"/>
    <s v="WB"/>
    <x v="7"/>
    <s v="Gangarampur"/>
    <s v="User Not Mapped"/>
    <s v="User Not Mapped"/>
    <s v="User Not Mapped"/>
    <n v="340425"/>
    <s v="Uttam Sarkar"/>
    <s v="Private Retailer"/>
    <s v="9851567801"/>
    <n v="0.75"/>
    <n v="146"/>
    <x v="0"/>
    <m/>
    <s v="2025-12-02"/>
    <s v="263374"/>
    <s v="M/s. Krishi Unnayan Kendra"/>
    <s v="8759907610"/>
  </r>
  <r>
    <s v="RCF Thal"/>
    <s v="N.C.Urea(45kg)"/>
    <s v="WB"/>
    <x v="7"/>
    <s v="Gangarampur"/>
    <s v="User Not Mapped"/>
    <s v="User Not Mapped"/>
    <s v="User Not Mapped"/>
    <n v="353955"/>
    <s v="Babar Ali"/>
    <s v="Private Retailer"/>
    <s v="8001673719"/>
    <n v="0.23"/>
    <n v="18"/>
    <x v="4"/>
    <m/>
    <s v="2026-04-09"/>
    <s v="286422"/>
    <s v="Dipak Kumar Laha"/>
    <s v="6297583814"/>
  </r>
  <r>
    <s v="RCF Thal"/>
    <s v="N.C.Urea(45kg)"/>
    <s v="WB"/>
    <x v="7"/>
    <s v="Gangarampur"/>
    <s v="User Not Mapped"/>
    <s v="User Not Mapped"/>
    <s v="User Not Mapped"/>
    <n v="353959"/>
    <s v="BASUDEB GHOSH"/>
    <s v="Private Retailer"/>
    <s v="9933162339"/>
    <n v="4.4550000000000001"/>
    <n v="128"/>
    <x v="0"/>
    <m/>
    <s v="2025-12-20"/>
    <s v="263373"/>
    <s v="M/s. Kanailal Kedar Prasad"/>
    <s v="9735692523"/>
  </r>
  <r>
    <s v="RCF Import"/>
    <s v="MOP"/>
    <s v="WB"/>
    <x v="7"/>
    <s v="Gangarampur"/>
    <s v="User Not Mapped"/>
    <s v="User Not Mapped"/>
    <s v="User Not Mapped"/>
    <n v="353989"/>
    <s v="Maidur Islam"/>
    <s v="Private Retailer"/>
    <s v="9733148019"/>
    <n v="2.5499999999999998"/>
    <n v="455"/>
    <x v="6"/>
    <m/>
    <s v="2025-01-27"/>
    <s v="281503"/>
    <s v="Krishi Ghar"/>
    <s v="7031245549"/>
  </r>
  <r>
    <s v="RCF Trombay"/>
    <s v="N.C.Urea(45kg)"/>
    <s v="WB"/>
    <x v="7"/>
    <s v="Gangarampur"/>
    <s v="User Not Mapped"/>
    <s v="User Not Mapped"/>
    <s v="User Not Mapped"/>
    <n v="353989"/>
    <s v="Maidur Islam"/>
    <s v="Private Retailer"/>
    <s v="9733148019"/>
    <n v="11.025"/>
    <n v="126"/>
    <x v="0"/>
    <m/>
    <s v="2025-12-22"/>
    <s v="286422"/>
    <s v="Dipak Kumar Laha"/>
    <s v="6297583814"/>
  </r>
  <r>
    <s v="RCF Trombay"/>
    <s v="N.C.Urea(45kg)"/>
    <s v="WB"/>
    <x v="7"/>
    <s v="Gangarampur"/>
    <s v="User Not Mapped"/>
    <s v="User Not Mapped"/>
    <s v="User Not Mapped"/>
    <n v="353989"/>
    <s v="Maidur Islam"/>
    <s v="Private Retailer"/>
    <s v="9733148019"/>
    <n v="11.025"/>
    <n v="131"/>
    <x v="0"/>
    <m/>
    <s v="2025-12-17"/>
    <s v="263382"/>
    <s v="Tushar Kanti Agarwala"/>
    <s v="8597190846"/>
  </r>
  <r>
    <s v="RCF Thal"/>
    <s v="N.C.Urea(45kg)"/>
    <s v="WB"/>
    <x v="7"/>
    <s v="Gangarampur"/>
    <s v="User Not Mapped"/>
    <s v="User Not Mapped"/>
    <s v="User Not Mapped"/>
    <n v="353989"/>
    <s v="Maidur Islam"/>
    <s v="Private Retailer"/>
    <s v="9733148019"/>
    <n v="6.6150000000000002"/>
    <n v="431"/>
    <x v="6"/>
    <m/>
    <s v="2025-02-20"/>
    <s v="281503"/>
    <s v="Krishi Ghar"/>
    <s v="7031245549"/>
  </r>
  <r>
    <s v="RCF Import"/>
    <s v="Imp 10-26-26"/>
    <s v="WB"/>
    <x v="7"/>
    <s v="Gangarampur"/>
    <s v="User Not Mapped"/>
    <s v="User Not Mapped"/>
    <s v="User Not Mapped"/>
    <n v="353996"/>
    <s v="Niranjan Kumar  Bose"/>
    <s v="Private Retailer"/>
    <s v="9474440469"/>
    <n v="15.65"/>
    <n v="72"/>
    <x v="2"/>
    <m/>
    <s v="2026-02-14"/>
    <s v="263382"/>
    <s v="Tushar Kanti Agarwala"/>
    <s v="8597190846"/>
  </r>
  <r>
    <s v="RCF Trombay"/>
    <s v="15-15-15"/>
    <s v="WB"/>
    <x v="7"/>
    <s v="Gangarampur"/>
    <s v="User Not Mapped"/>
    <s v="User Not Mapped"/>
    <s v="User Not Mapped"/>
    <n v="353996"/>
    <s v="Niranjan Kumar  Bose"/>
    <s v="Private Retailer"/>
    <s v="9474440469"/>
    <n v="4.75"/>
    <n v="210"/>
    <x v="3"/>
    <m/>
    <s v="2025-09-29"/>
    <s v="281503"/>
    <s v="Krishi Ghar"/>
    <s v="7031245549"/>
  </r>
  <r>
    <s v="RCF Trombay"/>
    <s v="15-15-15"/>
    <s v="WB"/>
    <x v="7"/>
    <s v="Gangarampur"/>
    <s v="User Not Mapped"/>
    <s v="User Not Mapped"/>
    <s v="User Not Mapped"/>
    <n v="377668"/>
    <s v="Prasanta Kr Biswas"/>
    <s v="Private Retailer"/>
    <s v="9733326175"/>
    <n v="0.25"/>
    <n v="1229"/>
    <x v="7"/>
    <m/>
    <s v="2022-12-15"/>
    <s v="263374"/>
    <s v="M/s. Krishi Unnayan Kendra"/>
    <s v="8759907610"/>
  </r>
  <r>
    <s v="RCF Trombay"/>
    <s v="N.C.Urea(45kg)"/>
    <s v="WB"/>
    <x v="7"/>
    <s v="Gangarampur"/>
    <s v="User Not Mapped"/>
    <s v="User Not Mapped"/>
    <s v="User Not Mapped"/>
    <n v="377668"/>
    <s v="Prasanta Kr Biswas"/>
    <s v="Private Retailer"/>
    <s v="9733326175"/>
    <n v="2.4750000000000001"/>
    <n v="1238"/>
    <x v="7"/>
    <m/>
    <s v="2022-12-06"/>
    <s v="657762"/>
    <s v="M/S SHIV DURGA ENTERPRISE"/>
    <s v="8945092494"/>
  </r>
  <r>
    <s v="RCF Import"/>
    <s v="Imp 10-26-26"/>
    <s v="WB"/>
    <x v="7"/>
    <s v="Gangarampur"/>
    <s v="User Not Mapped"/>
    <s v="User Not Mapped"/>
    <s v="User Not Mapped"/>
    <n v="390276"/>
    <s v="NAJIMUL HOQUE"/>
    <s v="Private Retailer"/>
    <s v="9775429340"/>
    <n v="2.5"/>
    <n v="9"/>
    <x v="4"/>
    <m/>
    <s v="2026-04-18"/>
    <s v="1519430"/>
    <s v="M/S Hoque Fertilizer Agency"/>
    <s v="9775429340"/>
  </r>
  <r>
    <s v="RCF Thal"/>
    <s v="N.C.Urea(45kg)"/>
    <s v="WB"/>
    <x v="7"/>
    <s v="Gangarampur"/>
    <s v="User Not Mapped"/>
    <s v="User Not Mapped"/>
    <s v="User Not Mapped"/>
    <n v="391355"/>
    <s v="Goutam Ray"/>
    <s v="Private Retailer"/>
    <s v="7407441887"/>
    <n v="2.16"/>
    <n v="154"/>
    <x v="0"/>
    <m/>
    <s v="2025-11-24"/>
    <s v="263373"/>
    <s v="M/s. Kanailal Kedar Prasad"/>
    <s v="9735692523"/>
  </r>
  <r>
    <s v="RCF Import"/>
    <s v="MOP"/>
    <s v="WB"/>
    <x v="7"/>
    <s v="Gangarampur"/>
    <s v="User Not Mapped"/>
    <s v="User Not Mapped"/>
    <s v="User Not Mapped"/>
    <n v="391359"/>
    <s v="Aminul Islam"/>
    <s v="Private Retailer"/>
    <s v="9735025516"/>
    <n v="0.85"/>
    <n v="228"/>
    <x v="3"/>
    <m/>
    <s v="2025-09-11"/>
    <s v="286427"/>
    <s v="Keshav Joshi"/>
    <s v="9475163493"/>
  </r>
  <r>
    <s v="RCF Thal"/>
    <s v="N.C.Urea(45kg)"/>
    <s v="WB"/>
    <x v="7"/>
    <s v="Gangarampur"/>
    <s v="User Not Mapped"/>
    <s v="User Not Mapped"/>
    <s v="User Not Mapped"/>
    <n v="456320"/>
    <s v="Bimal Chandra Saha"/>
    <s v="Private Retailer"/>
    <s v="9434305710"/>
    <n v="0.3"/>
    <n v="1283"/>
    <x v="7"/>
    <m/>
    <s v="2022-10-22"/>
    <s v="281503"/>
    <s v="Krishi Ghar"/>
    <s v="7031245549"/>
  </r>
  <r>
    <s v="RCF Thal"/>
    <s v="N.C.Urea(45kg)"/>
    <s v="WB"/>
    <x v="7"/>
    <s v="Gangarampur"/>
    <s v="User Not Mapped"/>
    <s v="User Not Mapped"/>
    <s v="User Not Mapped"/>
    <n v="633336"/>
    <s v="M/S IAKUB ALI SARKAR"/>
    <s v="Private Retailer"/>
    <s v="9614477052"/>
    <n v="8.64"/>
    <n v="62"/>
    <x v="2"/>
    <m/>
    <s v="2026-02-24"/>
    <s v="286422"/>
    <s v="Dipak Kumar Laha"/>
    <s v="6297583814"/>
  </r>
  <r>
    <s v="RCF Thal"/>
    <s v="N.C.Urea(45kg)"/>
    <s v="WB"/>
    <x v="7"/>
    <s v="Gangarampur"/>
    <s v="User Not Mapped"/>
    <s v="User Not Mapped"/>
    <s v="User Not Mapped"/>
    <n v="633340"/>
    <s v="HOSSAIN FERT AGENCY"/>
    <s v="Private Retailer"/>
    <s v="9733106035"/>
    <n v="11.025"/>
    <n v="132"/>
    <x v="0"/>
    <m/>
    <s v="2025-12-16"/>
    <s v="263373"/>
    <s v="M/s. Kanailal Kedar Prasad"/>
    <s v="9735692523"/>
  </r>
  <r>
    <s v="RCF Thal"/>
    <s v="N.C.Urea(45kg)"/>
    <s v="WB"/>
    <x v="7"/>
    <s v="Gangarampur"/>
    <s v="User Not Mapped"/>
    <s v="User Not Mapped"/>
    <s v="User Not Mapped"/>
    <n v="633340"/>
    <s v="HOSSAIN FERT AGENCY"/>
    <s v="Private Retailer"/>
    <s v="9733106035"/>
    <n v="2.88"/>
    <n v="240"/>
    <x v="3"/>
    <m/>
    <s v="2025-08-30"/>
    <s v="263382"/>
    <s v="Tushar Kanti Agarwala"/>
    <s v="8597190846"/>
  </r>
  <r>
    <s v="RCF Import"/>
    <s v="Imp 10-26-26"/>
    <s v="WB"/>
    <x v="7"/>
    <s v="Gangarampur"/>
    <s v="User Not Mapped"/>
    <s v="User Not Mapped"/>
    <s v="User Not Mapped"/>
    <n v="645352"/>
    <s v="M/S DEBESH ROY"/>
    <s v="Private Retailer"/>
    <s v="7797952654"/>
    <n v="5.5"/>
    <n v="81"/>
    <x v="2"/>
    <m/>
    <s v="2026-02-05"/>
    <s v="263373"/>
    <s v="M/s. Kanailal Kedar Prasad"/>
    <s v="9735692523"/>
  </r>
  <r>
    <s v="RCF Thal"/>
    <s v="N.C.Urea(45kg)"/>
    <s v="WB"/>
    <x v="7"/>
    <s v="Gangarampur"/>
    <s v="User Not Mapped"/>
    <s v="User Not Mapped"/>
    <s v="User Not Mapped"/>
    <n v="650720"/>
    <s v="PARITOSH BARMAN"/>
    <s v="Private Retailer"/>
    <s v="9609788834"/>
    <n v="0.09"/>
    <n v="131"/>
    <x v="0"/>
    <m/>
    <s v="2025-12-17"/>
    <s v="263382"/>
    <s v="Tushar Kanti Agarwala"/>
    <s v="8597190846"/>
  </r>
  <r>
    <s v="RCF Trombay"/>
    <s v="15-15-15"/>
    <s v="WB"/>
    <x v="7"/>
    <s v="Gangarampur"/>
    <s v="User Not Mapped"/>
    <s v="User Not Mapped"/>
    <s v="User Not Mapped"/>
    <n v="653530"/>
    <s v="M/S KRISHNA FERTILIZER"/>
    <s v="Private Retailer"/>
    <s v="9593760051"/>
    <n v="0.55000000000000004"/>
    <n v="241"/>
    <x v="3"/>
    <m/>
    <s v="2025-08-29"/>
    <s v="263382"/>
    <s v="Tushar Kanti Agarwala"/>
    <s v="8597190846"/>
  </r>
  <r>
    <s v="RCF Thal"/>
    <s v="N.C.Urea(45kg)"/>
    <s v="WB"/>
    <x v="7"/>
    <s v="Gangarampur"/>
    <s v="User Not Mapped"/>
    <s v="User Not Mapped"/>
    <s v="User Not Mapped"/>
    <n v="654157"/>
    <s v="M/S KALAMUL ISLAM"/>
    <s v="Private Retailer"/>
    <s v="7797246221"/>
    <n v="11.25"/>
    <n v="45"/>
    <x v="1"/>
    <m/>
    <s v="2026-03-13"/>
    <s v="263382"/>
    <s v="Tushar Kanti Agarwala"/>
    <s v="8597190846"/>
  </r>
  <r>
    <s v="RCF Thal"/>
    <s v="N.C.Urea(45kg)"/>
    <s v="WB"/>
    <x v="7"/>
    <s v="Gangarampur"/>
    <s v="User Not Mapped"/>
    <s v="User Not Mapped"/>
    <s v="User Not Mapped"/>
    <n v="654157"/>
    <s v="M/S KALAMUL ISLAM"/>
    <s v="Private Retailer"/>
    <s v="7797246221"/>
    <n v="2.4630000000000001"/>
    <n v="97"/>
    <x v="5"/>
    <m/>
    <s v="2026-01-20"/>
    <s v="263382"/>
    <s v="Tushar Kanti Agarwala"/>
    <s v="8597190846"/>
  </r>
  <r>
    <s v="RCF Trombay"/>
    <s v="N.C.Urea(45kg)"/>
    <s v="WB"/>
    <x v="7"/>
    <s v="Gangarampur"/>
    <s v="User Not Mapped"/>
    <s v="User Not Mapped"/>
    <s v="User Not Mapped"/>
    <n v="654157"/>
    <s v="M/S KALAMUL ISLAM"/>
    <s v="Private Retailer"/>
    <s v="7797246221"/>
    <n v="5.3170000000000002"/>
    <n v="156"/>
    <x v="0"/>
    <m/>
    <s v="2025-11-22"/>
    <s v="263382"/>
    <s v="Tushar Kanti Agarwala"/>
    <s v="8597190846"/>
  </r>
  <r>
    <s v="RCF Thal"/>
    <s v="N.C.Urea(45kg)"/>
    <s v="WB"/>
    <x v="7"/>
    <s v="Gangarampur"/>
    <s v="User Not Mapped"/>
    <s v="User Not Mapped"/>
    <s v="User Not Mapped"/>
    <n v="654393"/>
    <s v="MAA MANASHA FERTILIZER"/>
    <s v="Private Retailer"/>
    <s v="9547458417"/>
    <n v="10.8"/>
    <n v="97"/>
    <x v="5"/>
    <m/>
    <s v="2026-01-20"/>
    <s v="263382"/>
    <s v="Tushar Kanti Agarwala"/>
    <s v="8597190846"/>
  </r>
  <r>
    <s v="RCF Thal"/>
    <s v="N.C.Urea(45kg)"/>
    <s v="WB"/>
    <x v="7"/>
    <s v="Gangarampur"/>
    <s v="User Not Mapped"/>
    <s v="User Not Mapped"/>
    <s v="User Not Mapped"/>
    <n v="658747"/>
    <s v="SARKAR KRISHI BEEJ BHANDER AND"/>
    <s v="Private Retailer"/>
    <s v="7001706957"/>
    <n v="0.9"/>
    <n v="45"/>
    <x v="1"/>
    <m/>
    <s v="2026-03-13"/>
    <s v="263382"/>
    <s v="Tushar Kanti Agarwala"/>
    <s v="8597190846"/>
  </r>
  <r>
    <s v="RCF Thal"/>
    <s v="N.C.Urea(45kg)"/>
    <s v="WB"/>
    <x v="7"/>
    <s v="Gangarampur"/>
    <s v="User Not Mapped"/>
    <s v="User Not Mapped"/>
    <s v="User Not Mapped"/>
    <n v="693347"/>
    <s v="Sharmin Chowdhury "/>
    <s v="Private Retailer"/>
    <s v="8972517112"/>
    <n v="6.75"/>
    <n v="133"/>
    <x v="0"/>
    <m/>
    <s v="2025-12-15"/>
    <s v="263373"/>
    <s v="M/s. Kanailal Kedar Prasad"/>
    <s v="9735692523"/>
  </r>
  <r>
    <s v="RCF Import"/>
    <s v="MOP"/>
    <s v="WB"/>
    <x v="7"/>
    <s v="Gangarampur"/>
    <s v="User Not Mapped"/>
    <s v="User Not Mapped"/>
    <s v="User Not Mapped"/>
    <n v="693471"/>
    <s v="M/S HARUN FERT. AGENCY"/>
    <s v="Private Retailer"/>
    <s v="8250206373"/>
    <n v="1"/>
    <n v="490"/>
    <x v="6"/>
    <m/>
    <s v="2024-12-23"/>
    <s v="340430"/>
    <s v="JIBAN KUMAR SEN"/>
    <s v="9434144964"/>
  </r>
  <r>
    <s v="RCF Import"/>
    <s v="Imp 10-26-26"/>
    <s v="WB"/>
    <x v="7"/>
    <s v="Gangarampur"/>
    <s v="User Not Mapped"/>
    <s v="User Not Mapped"/>
    <s v="User Not Mapped"/>
    <n v="693471"/>
    <s v="M/S HARUN FERT. AGENCY"/>
    <s v="Private Retailer"/>
    <s v="8250206373"/>
    <n v="0.2"/>
    <n v="498"/>
    <x v="6"/>
    <m/>
    <s v="2024-12-15"/>
    <s v="340430"/>
    <s v="JIBAN KUMAR SEN"/>
    <s v="9434144964"/>
  </r>
  <r>
    <s v="RCF Thal"/>
    <s v="N.C.Urea(45kg)"/>
    <s v="WB"/>
    <x v="7"/>
    <s v="Gangarampur"/>
    <s v="User Not Mapped"/>
    <s v="User Not Mapped"/>
    <s v="User Not Mapped"/>
    <n v="698559"/>
    <s v="M/S SARKAR FERT. AGENCY"/>
    <s v="Private Retailer"/>
    <s v="6294541084"/>
    <n v="2.34"/>
    <n v="422"/>
    <x v="6"/>
    <m/>
    <s v="2025-03-01"/>
    <s v="1152223"/>
    <s v="M/S BISWAJIT FERTILIZER"/>
    <s v="9733156272"/>
  </r>
  <r>
    <s v="RCF Thal"/>
    <s v="N.C.Urea(45kg)"/>
    <s v="WB"/>
    <x v="7"/>
    <s v="Gangarampur"/>
    <s v="User Not Mapped"/>
    <s v="User Not Mapped"/>
    <s v="User Not Mapped"/>
    <n v="768188"/>
    <s v="MANI RATNA SAHA"/>
    <s v="Private Retailer"/>
    <s v="8927763435"/>
    <n v="10.305"/>
    <n v="90"/>
    <x v="2"/>
    <m/>
    <s v="2026-01-27"/>
    <s v="286422"/>
    <s v="Dipak Kumar Laha"/>
    <s v="6297583814"/>
  </r>
  <r>
    <s v="RCF Trombay"/>
    <s v="15-15-15"/>
    <s v="WB"/>
    <x v="7"/>
    <s v="Gangarampur"/>
    <s v="User Not Mapped"/>
    <s v="User Not Mapped"/>
    <s v="User Not Mapped"/>
    <n v="774882"/>
    <s v="JIBAN MITRA"/>
    <s v="Private Retailer"/>
    <s v="9609586277"/>
    <n v="0.25"/>
    <n v="67"/>
    <x v="2"/>
    <m/>
    <s v="2026-02-19"/>
    <s v="263374"/>
    <s v="M/s. Krishi Unnayan Kendra"/>
    <s v="8759907610"/>
  </r>
  <r>
    <s v="RCF Thal"/>
    <s v="N.C.Urea(45kg)"/>
    <s v="WB"/>
    <x v="7"/>
    <s v="Gangarampur"/>
    <s v="User Not Mapped"/>
    <s v="User Not Mapped"/>
    <s v="User Not Mapped"/>
    <n v="774882"/>
    <s v="JIBAN MITRA"/>
    <s v="Private Retailer"/>
    <s v="9609586277"/>
    <n v="0.94499999999999995"/>
    <n v="264"/>
    <x v="3"/>
    <m/>
    <s v="2025-08-06"/>
    <s v="263382"/>
    <s v="Tushar Kanti Agarwala"/>
    <s v="8597190846"/>
  </r>
  <r>
    <s v="RCF Thal"/>
    <s v="N.C.Urea(45kg)"/>
    <s v="WB"/>
    <x v="7"/>
    <s v="Gangarampur"/>
    <s v="User Not Mapped"/>
    <s v="User Not Mapped"/>
    <s v="User Not Mapped"/>
    <n v="844100"/>
    <s v="ABDUL HAI MIYNA"/>
    <s v="Private Retailer"/>
    <s v="9775941545"/>
    <n v="8.2799999999999994"/>
    <n v="879"/>
    <x v="7"/>
    <m/>
    <s v="2023-11-30"/>
    <s v="263373"/>
    <s v="M/s. Kanailal Kedar Prasad"/>
    <s v="9735692523"/>
  </r>
  <r>
    <s v="RCF Import"/>
    <s v="Imp 10-26-26"/>
    <s v="WB"/>
    <x v="7"/>
    <s v="Gangarampur"/>
    <s v="User Not Mapped"/>
    <s v="User Not Mapped"/>
    <s v="User Not Mapped"/>
    <n v="845345"/>
    <s v="M/S MAHABUB ALAM MIAH"/>
    <s v="Private Retailer"/>
    <s v="9732405720"/>
    <n v="1"/>
    <n v="36"/>
    <x v="1"/>
    <m/>
    <s v="2026-03-22"/>
    <s v="1519430"/>
    <s v="M/S Hoque Fertilizer Agency"/>
    <s v="9775429340"/>
  </r>
  <r>
    <s v="RCF Thal"/>
    <s v="N.C.Urea(45kg)"/>
    <s v="WB"/>
    <x v="7"/>
    <s v="Gangarampur"/>
    <s v="User Not Mapped"/>
    <s v="User Not Mapped"/>
    <s v="User Not Mapped"/>
    <n v="945095"/>
    <s v="SABUJ SAATHI KRISHI GHAR"/>
    <s v="Private Retailer"/>
    <s v="9933073199"/>
    <n v="2.5649999999999999"/>
    <n v="16"/>
    <x v="4"/>
    <m/>
    <s v="2026-04-11"/>
    <s v="263382"/>
    <s v="Tushar Kanti Agarwala"/>
    <s v="8597190846"/>
  </r>
  <r>
    <s v="RCF Thal"/>
    <s v="N.C.Urea(45kg)"/>
    <s v="WB"/>
    <x v="7"/>
    <s v="Gangarampur"/>
    <s v="User Not Mapped"/>
    <s v="User Not Mapped"/>
    <s v="User Not Mapped"/>
    <n v="949228"/>
    <s v="M/S. MANDAL FERTILZER"/>
    <s v="Private Retailer"/>
    <s v="7407288230"/>
    <n v="8.3249999999999993"/>
    <n v="71"/>
    <x v="2"/>
    <m/>
    <s v="2026-02-15"/>
    <s v="263373"/>
    <s v="M/s. Kanailal Kedar Prasad"/>
    <s v="9735692523"/>
  </r>
  <r>
    <s v="RCF Trombay"/>
    <s v="N.C.Urea(45kg)"/>
    <s v="WB"/>
    <x v="7"/>
    <s v="Gangarampur"/>
    <s v="User Not Mapped"/>
    <s v="User Not Mapped"/>
    <s v="User Not Mapped"/>
    <n v="950016"/>
    <s v="M/S UJJAL CHOWDHURY"/>
    <s v="Private Retailer"/>
    <s v="8670085334"/>
    <n v="4.41"/>
    <n v="2046"/>
    <x v="7"/>
    <m/>
    <s v="2020-09-19"/>
    <s v="286427"/>
    <s v="Keshav Joshi"/>
    <s v="9475163493"/>
  </r>
  <r>
    <s v="RCF Thal"/>
    <s v="N.C.Urea(45kg)"/>
    <s v="WB"/>
    <x v="7"/>
    <s v="Gangarampur"/>
    <s v="User Not Mapped"/>
    <s v="User Not Mapped"/>
    <s v="User Not Mapped"/>
    <n v="950016"/>
    <s v="M/S UJJAL CHOWDHURY"/>
    <s v="Private Retailer"/>
    <s v="8670085334"/>
    <n v="2.25"/>
    <n v="1213"/>
    <x v="7"/>
    <m/>
    <s v="2022-12-31"/>
    <s v="340430"/>
    <s v="JIBAN KUMAR SEN"/>
    <s v="9434144964"/>
  </r>
  <r>
    <s v="RCF Import"/>
    <s v="MOP"/>
    <s v="WB"/>
    <x v="7"/>
    <s v="Gangarampur"/>
    <s v="User Not Mapped"/>
    <s v="User Not Mapped"/>
    <s v="User Not Mapped"/>
    <n v="968224"/>
    <s v="MOSTAFIJUR RAHAMAN"/>
    <s v="Private Retailer"/>
    <s v="9064179862"/>
    <n v="0.25"/>
    <n v="423"/>
    <x v="6"/>
    <m/>
    <s v="2025-02-28"/>
    <s v="1216980"/>
    <s v="PURNA CHATTAPADHAYAY"/>
    <s v="8670728284"/>
  </r>
  <r>
    <s v="RCF Thal"/>
    <s v="N.C.Urea(45kg)"/>
    <s v="WB"/>
    <x v="7"/>
    <s v="Gangarampur"/>
    <s v="User Not Mapped"/>
    <s v="User Not Mapped"/>
    <s v="User Not Mapped"/>
    <n v="994790"/>
    <s v="M/S BASUDEB GHOSH"/>
    <s v="Private Retailer"/>
    <s v="6294561299"/>
    <n v="7.7850000000000001"/>
    <n v="71"/>
    <x v="2"/>
    <m/>
    <s v="2026-02-15"/>
    <s v="263373"/>
    <s v="M/s. Kanailal Kedar Prasad"/>
    <s v="9735692523"/>
  </r>
  <r>
    <s v="RCF Trombay"/>
    <s v="N.C.Urea(45kg)"/>
    <s v="WB"/>
    <x v="7"/>
    <s v="Gangarampur"/>
    <s v="User Not Mapped"/>
    <s v="User Not Mapped"/>
    <s v="User Not Mapped"/>
    <n v="994794"/>
    <s v="M/S DIPU DEB SHRMA"/>
    <s v="Private Retailer"/>
    <s v="9593872884"/>
    <n v="5.1749999999999998"/>
    <n v="122"/>
    <x v="0"/>
    <m/>
    <s v="2025-12-26"/>
    <s v="263382"/>
    <s v="Tushar Kanti Agarwala"/>
    <s v="8597190846"/>
  </r>
  <r>
    <s v="RCF Thal"/>
    <s v="N.C.Urea(45kg)"/>
    <s v="WB"/>
    <x v="7"/>
    <s v="Gangarampur"/>
    <s v="User Not Mapped"/>
    <s v="User Not Mapped"/>
    <s v="User Not Mapped"/>
    <n v="995010"/>
    <s v="M/S ISLAM FERTILIZER"/>
    <s v="Private Retailer"/>
    <s v="9733281851"/>
    <n v="7.2"/>
    <n v="168"/>
    <x v="0"/>
    <m/>
    <s v="2025-11-10"/>
    <s v="263382"/>
    <s v="Tushar Kanti Agarwala"/>
    <s v="8597190846"/>
  </r>
  <r>
    <s v="RCF Thal"/>
    <s v="N.C.Urea(45kg)"/>
    <s v="WB"/>
    <x v="7"/>
    <s v="Gangarampur"/>
    <s v="User Not Mapped"/>
    <s v="User Not Mapped"/>
    <s v="User Not Mapped"/>
    <n v="1057377"/>
    <s v="RAFIKUL ISLAM"/>
    <s v="Private Retailer"/>
    <s v="8514029631"/>
    <n v="9.7200000000000006"/>
    <n v="94"/>
    <x v="5"/>
    <m/>
    <s v="2026-01-23"/>
    <s v="263373"/>
    <s v="M/s. Kanailal Kedar Prasad"/>
    <s v="9735692523"/>
  </r>
  <r>
    <s v="RCF Thal"/>
    <s v="N.C.Urea(45kg)"/>
    <s v="WB"/>
    <x v="7"/>
    <s v="Gangarampur"/>
    <s v="User Not Mapped"/>
    <s v="User Not Mapped"/>
    <s v="User Not Mapped"/>
    <n v="1086607"/>
    <s v="RAHED ALI MIA"/>
    <s v="Private Retailer"/>
    <s v="9733407667"/>
    <n v="0.67500000000000004"/>
    <n v="367"/>
    <x v="6"/>
    <m/>
    <s v="2025-04-25"/>
    <s v="263373"/>
    <s v="M/s. Kanailal Kedar Prasad"/>
    <s v="9735692523"/>
  </r>
  <r>
    <s v="RCF Trombay"/>
    <s v="15-15-15"/>
    <s v="WB"/>
    <x v="7"/>
    <s v="Gangarampur"/>
    <s v="User Not Mapped"/>
    <s v="User Not Mapped"/>
    <s v="User Not Mapped"/>
    <n v="1296604"/>
    <s v="M/S. SASFUL HASAN"/>
    <s v="Private Retailer"/>
    <s v="8207027523"/>
    <n v="1.35"/>
    <n v="271"/>
    <x v="3"/>
    <m/>
    <s v="2025-07-30"/>
    <s v="1216980"/>
    <s v="PURNA CHATTAPADHAYAY"/>
    <s v="8670728284"/>
  </r>
  <r>
    <s v="RCF Thal"/>
    <s v="N.C.Urea(45kg)"/>
    <s v="WB"/>
    <x v="7"/>
    <s v="Gangarampur"/>
    <s v="User Not Mapped"/>
    <s v="User Not Mapped"/>
    <s v="User Not Mapped"/>
    <n v="1333350"/>
    <s v="M/S MA LAXMI KRISHI BHANDAR"/>
    <s v="Private Retailer"/>
    <s v="9734545373"/>
    <n v="10.215"/>
    <n v="152"/>
    <x v="0"/>
    <m/>
    <s v="2025-11-26"/>
    <s v="263382"/>
    <s v="Tushar Kanti Agarwala"/>
    <s v="8597190846"/>
  </r>
  <r>
    <s v="RCF Thal"/>
    <s v="N.C.Urea(45kg)"/>
    <s v="WB"/>
    <x v="7"/>
    <s v="Gangarampur"/>
    <s v="User Not Mapped"/>
    <s v="User Not Mapped"/>
    <s v="User Not Mapped"/>
    <n v="1598459"/>
    <s v="M/S Jannat Fertilizer"/>
    <s v="Private Retailer"/>
    <s v="8617076799"/>
    <n v="2.4300000000000002"/>
    <n v="132"/>
    <x v="0"/>
    <m/>
    <s v="2025-12-16"/>
    <s v="263373"/>
    <s v="M/s. Kanailal Kedar Prasad"/>
    <s v="9735692523"/>
  </r>
  <r>
    <s v="RCF Import"/>
    <s v="Imp 10-26-26"/>
    <s v="WB"/>
    <x v="7"/>
    <s v="Harirampur"/>
    <s v="User Not Mapped"/>
    <s v="User Not Mapped"/>
    <s v="User Not Mapped"/>
    <n v="126612"/>
    <s v="Krishi Ghar"/>
    <s v="Private Retailer"/>
    <s v="7797951446"/>
    <n v="1"/>
    <n v="75"/>
    <x v="2"/>
    <m/>
    <s v="2026-02-11"/>
    <s v="286422"/>
    <s v="Dipak Kumar Laha"/>
    <s v="6297583814"/>
  </r>
  <r>
    <s v="RCF Thal"/>
    <s v="N.C.Urea(45kg)"/>
    <s v="WB"/>
    <x v="7"/>
    <s v="Harirampur"/>
    <s v="User Not Mapped"/>
    <s v="User Not Mapped"/>
    <s v="User Not Mapped"/>
    <n v="126612"/>
    <s v="Krishi Ghar"/>
    <s v="Private Retailer"/>
    <s v="7797951446"/>
    <n v="33.075000000000003"/>
    <n v="155"/>
    <x v="0"/>
    <m/>
    <s v="2025-11-23"/>
    <s v="263373"/>
    <s v="M/s. Kanailal Kedar Prasad"/>
    <s v="9735692523"/>
  </r>
  <r>
    <s v="RCF Thal"/>
    <s v="N.C.Urea(45kg)"/>
    <s v="WB"/>
    <x v="7"/>
    <s v="Harirampur"/>
    <s v="User Not Mapped"/>
    <s v="User Not Mapped"/>
    <s v="User Not Mapped"/>
    <n v="126771"/>
    <s v="Prasanta Roy"/>
    <s v="Private Retailer"/>
    <s v="9775484428"/>
    <n v="5.625"/>
    <n v="69"/>
    <x v="2"/>
    <m/>
    <s v="2026-02-17"/>
    <s v="263382"/>
    <s v="Tushar Kanti Agarwala"/>
    <s v="8597190846"/>
  </r>
  <r>
    <s v="RCF Thal"/>
    <s v="N.C.Urea(45kg)"/>
    <s v="WB"/>
    <x v="7"/>
    <s v="Harirampur"/>
    <s v="User Not Mapped"/>
    <s v="User Not Mapped"/>
    <s v="User Not Mapped"/>
    <n v="263341"/>
    <s v="Mulahat Skus Ltd."/>
    <s v="State Marketing Federation"/>
    <s v="9851383280"/>
    <n v="11.25"/>
    <n v="69"/>
    <x v="2"/>
    <m/>
    <s v="2026-02-17"/>
    <s v="263382"/>
    <s v="Tushar Kanti Agarwala"/>
    <s v="8597190846"/>
  </r>
  <r>
    <s v="RCF Thal"/>
    <s v="N.C.Urea(45kg)"/>
    <s v="WB"/>
    <x v="7"/>
    <s v="Harirampur"/>
    <s v="User Not Mapped"/>
    <s v="User Not Mapped"/>
    <s v="User Not Mapped"/>
    <n v="263341"/>
    <s v="Mulahat Skus Ltd."/>
    <s v="State Marketing Federation"/>
    <s v="9851383280"/>
    <n v="7.6050000000000004"/>
    <n v="152"/>
    <x v="0"/>
    <m/>
    <s v="2025-11-26"/>
    <s v="263382"/>
    <s v="Tushar Kanti Agarwala"/>
    <s v="8597190846"/>
  </r>
  <r>
    <s v="RCF Thal"/>
    <s v="N.C.Urea(45kg)"/>
    <s v="WB"/>
    <x v="7"/>
    <s v="Harirampur"/>
    <s v="User Not Mapped"/>
    <s v="User Not Mapped"/>
    <s v="User Not Mapped"/>
    <n v="622676"/>
    <s v="M/S NABENDU KISHORE DAS"/>
    <s v="Private Retailer"/>
    <s v="9647712704"/>
    <n v="2.97"/>
    <n v="170"/>
    <x v="0"/>
    <m/>
    <s v="2025-11-08"/>
    <s v="263373"/>
    <s v="M/s. Kanailal Kedar Prasad"/>
    <s v="9735692523"/>
  </r>
  <r>
    <s v="RCF Thal"/>
    <s v="N.C.Urea(45kg)"/>
    <s v="WB"/>
    <x v="7"/>
    <s v="Harirampur"/>
    <s v="User Not Mapped"/>
    <s v="User Not Mapped"/>
    <s v="User Not Mapped"/>
    <n v="622684"/>
    <s v="M/S SUBHASISH CHAKRABORTY"/>
    <s v="Private Retailer"/>
    <s v="8250231740"/>
    <n v="5.4"/>
    <n v="95"/>
    <x v="5"/>
    <m/>
    <s v="2026-01-22"/>
    <s v="263373"/>
    <s v="M/s. Kanailal Kedar Prasad"/>
    <s v="9735692523"/>
  </r>
  <r>
    <s v="RCF Thal"/>
    <s v="N.C.Urea(45kg)"/>
    <s v="WB"/>
    <x v="7"/>
    <s v="Harirampur"/>
    <s v="User Not Mapped"/>
    <s v="User Not Mapped"/>
    <s v="User Not Mapped"/>
    <n v="622684"/>
    <s v="M/S SUBHASISH CHAKRABORTY"/>
    <s v="Private Retailer"/>
    <s v="8250231740"/>
    <n v="0.40500000000000003"/>
    <n v="170"/>
    <x v="0"/>
    <m/>
    <s v="2025-11-08"/>
    <s v="263373"/>
    <s v="M/s. Kanailal Kedar Prasad"/>
    <s v="9735692523"/>
  </r>
  <r>
    <s v="RCF Thal"/>
    <s v="N.C.Urea(45kg)"/>
    <s v="WB"/>
    <x v="7"/>
    <s v="Harirampur"/>
    <s v="User Not Mapped"/>
    <s v="User Not Mapped"/>
    <s v="User Not Mapped"/>
    <n v="637415"/>
    <s v="BANESWAR SARKAR"/>
    <s v="Private Retailer"/>
    <s v="9647894451"/>
    <n v="2.79"/>
    <n v="49"/>
    <x v="1"/>
    <m/>
    <s v="2026-03-09"/>
    <s v="263373"/>
    <s v="M/s. Kanailal Kedar Prasad"/>
    <s v="9735692523"/>
  </r>
  <r>
    <s v="RCF Thal"/>
    <s v="N.C.Urea(45kg)"/>
    <s v="WB"/>
    <x v="7"/>
    <s v="Harirampur"/>
    <s v="User Not Mapped"/>
    <s v="User Not Mapped"/>
    <s v="User Not Mapped"/>
    <n v="654385"/>
    <s v="M/S. FARUK HOSSAIN"/>
    <s v="Private Retailer"/>
    <s v="7001425100"/>
    <n v="4.5"/>
    <n v="175"/>
    <x v="0"/>
    <m/>
    <s v="2025-11-03"/>
    <s v="263382"/>
    <s v="Tushar Kanti Agarwala"/>
    <s v="8597190846"/>
  </r>
  <r>
    <s v="RCF Import"/>
    <s v="Imp 10-26-26"/>
    <s v="WB"/>
    <x v="7"/>
    <s v="Harirampur"/>
    <s v="User Not Mapped"/>
    <s v="User Not Mapped"/>
    <s v="User Not Mapped"/>
    <n v="654385"/>
    <s v="M/S. FARUK HOSSAIN"/>
    <s v="Private Retailer"/>
    <s v="7001425100"/>
    <n v="5.5"/>
    <n v="75"/>
    <x v="2"/>
    <m/>
    <s v="2026-02-11"/>
    <s v="286422"/>
    <s v="Dipak Kumar Laha"/>
    <s v="6297583814"/>
  </r>
  <r>
    <s v="RCF Thal"/>
    <s v="N.C.Urea(45kg)"/>
    <s v="WB"/>
    <x v="7"/>
    <s v="Harirampur"/>
    <s v="User Not Mapped"/>
    <s v="User Not Mapped"/>
    <s v="User Not Mapped"/>
    <n v="654385"/>
    <s v="M/S. FARUK HOSSAIN"/>
    <s v="Private Retailer"/>
    <s v="7001425100"/>
    <n v="5.625"/>
    <n v="69"/>
    <x v="2"/>
    <m/>
    <s v="2026-02-17"/>
    <s v="263382"/>
    <s v="Tushar Kanti Agarwala"/>
    <s v="8597190846"/>
  </r>
  <r>
    <s v="RCF Import"/>
    <s v="Imp 10-26-26"/>
    <s v="WB"/>
    <x v="7"/>
    <s v="Harirampur"/>
    <s v="User Not Mapped"/>
    <s v="User Not Mapped"/>
    <s v="User Not Mapped"/>
    <n v="654385"/>
    <s v="M/S. FARUK HOSSAIN"/>
    <s v="Private Retailer"/>
    <s v="7001425100"/>
    <n v="2.25"/>
    <n v="81"/>
    <x v="2"/>
    <m/>
    <s v="2026-02-05"/>
    <s v="263373"/>
    <s v="M/s. Kanailal Kedar Prasad"/>
    <s v="9735692523"/>
  </r>
  <r>
    <s v="RCF Thal"/>
    <s v="N.C.Urea(45kg)"/>
    <s v="WB"/>
    <x v="7"/>
    <s v="Harirampur"/>
    <s v="User Not Mapped"/>
    <s v="User Not Mapped"/>
    <s v="User Not Mapped"/>
    <n v="917417"/>
    <s v="M/S. FIROJ ALAM"/>
    <s v="Private Retailer"/>
    <s v="8250908282"/>
    <n v="4.5"/>
    <n v="150"/>
    <x v="0"/>
    <m/>
    <s v="2025-11-28"/>
    <s v="263382"/>
    <s v="Tushar Kanti Agarwala"/>
    <s v="8597190846"/>
  </r>
  <r>
    <s v="RCF Trombay"/>
    <s v="15-15-15"/>
    <s v="WB"/>
    <x v="7"/>
    <s v="Harirampur"/>
    <s v="User Not Mapped"/>
    <s v="User Not Mapped"/>
    <s v="User Not Mapped"/>
    <n v="952141"/>
    <s v="M/S TANMAY CHOWDHURY"/>
    <s v="Private Retailer"/>
    <s v="9733167967"/>
    <n v="0.15"/>
    <n v="367"/>
    <x v="6"/>
    <m/>
    <s v="2025-04-25"/>
    <s v="281503"/>
    <s v="Krishi Ghar"/>
    <s v="7031245549"/>
  </r>
  <r>
    <s v="RCF Trombay"/>
    <s v="N.C.Urea(45kg)"/>
    <s v="WB"/>
    <x v="7"/>
    <s v="Harirampur"/>
    <s v="User Not Mapped"/>
    <s v="User Not Mapped"/>
    <s v="User Not Mapped"/>
    <n v="952141"/>
    <s v="M/S TANMAY CHOWDHURY"/>
    <s v="Private Retailer"/>
    <s v="9733167967"/>
    <n v="0.18"/>
    <n v="367"/>
    <x v="6"/>
    <m/>
    <s v="2025-04-25"/>
    <s v="281503"/>
    <s v="Krishi Ghar"/>
    <s v="7031245549"/>
  </r>
  <r>
    <s v="RCF Thal"/>
    <s v="N.C.Urea(45kg)"/>
    <s v="WB"/>
    <x v="7"/>
    <s v="Harirampur"/>
    <s v="User Not Mapped"/>
    <s v="User Not Mapped"/>
    <s v="User Not Mapped"/>
    <n v="1187523"/>
    <s v="M/S NOUSAD ISLAM"/>
    <s v="Private Retailer"/>
    <s v="8250737835"/>
    <n v="0.315"/>
    <n v="1285"/>
    <x v="7"/>
    <m/>
    <s v="2022-10-20"/>
    <s v="263373"/>
    <s v="M/s. Kanailal Kedar Prasad"/>
    <s v="9735692523"/>
  </r>
  <r>
    <s v="RCF Trombay"/>
    <s v="15-15-15"/>
    <s v="WB"/>
    <x v="7"/>
    <s v="Harirampur"/>
    <s v="User Not Mapped"/>
    <s v="User Not Mapped"/>
    <s v="User Not Mapped"/>
    <n v="1219849"/>
    <s v="M/S. MAKSEDUR RAHAMAN"/>
    <s v="Private Retailer"/>
    <s v="9734958828"/>
    <n v="0.2"/>
    <n v="186"/>
    <x v="3"/>
    <m/>
    <s v="2025-10-23"/>
    <s v="263382"/>
    <s v="Tushar Kanti Agarwala"/>
    <s v="8597190846"/>
  </r>
  <r>
    <s v="RCF Thal"/>
    <s v="N.C.Urea(45kg)"/>
    <s v="WB"/>
    <x v="7"/>
    <s v="Harirampur"/>
    <s v="User Not Mapped"/>
    <s v="User Not Mapped"/>
    <s v="User Not Mapped"/>
    <n v="1286107"/>
    <s v="M/S. NUR FERTILIZER"/>
    <s v="Private Retailer"/>
    <s v="9339956942"/>
    <n v="0.54"/>
    <n v="482"/>
    <x v="6"/>
    <m/>
    <s v="2024-12-31"/>
    <s v="263373"/>
    <s v="M/s. Kanailal Kedar Prasad"/>
    <s v="9735692523"/>
  </r>
  <r>
    <s v="RCF Thal"/>
    <s v="N.C.Urea(45kg)"/>
    <s v="WB"/>
    <x v="7"/>
    <s v="Harirampur"/>
    <s v="User Not Mapped"/>
    <s v="User Not Mapped"/>
    <s v="User Not Mapped"/>
    <n v="1292357"/>
    <s v="M/S MASIDUR RAHAMAN"/>
    <s v="Private Retailer"/>
    <s v="7797951308"/>
    <n v="2.2949999999999999"/>
    <n v="133"/>
    <x v="0"/>
    <m/>
    <s v="2025-12-15"/>
    <s v="263373"/>
    <s v="M/s. Kanailal Kedar Prasad"/>
    <s v="9735692523"/>
  </r>
  <r>
    <s v="RCF Thal"/>
    <s v="N.C.Urea(45kg)"/>
    <s v="WB"/>
    <x v="7"/>
    <s v="Harirampur"/>
    <s v="User Not Mapped"/>
    <s v="User Not Mapped"/>
    <s v="User Not Mapped"/>
    <n v="1292357"/>
    <s v="M/S MASIDUR RAHAMAN"/>
    <s v="Private Retailer"/>
    <s v="7797951308"/>
    <n v="11.025"/>
    <n v="49"/>
    <x v="1"/>
    <m/>
    <s v="2026-03-09"/>
    <s v="263373"/>
    <s v="M/s. Kanailal Kedar Prasad"/>
    <s v="9735692523"/>
  </r>
  <r>
    <s v="RCF Trombay"/>
    <s v="N.C.Urea(45kg)"/>
    <s v="WB"/>
    <x v="7"/>
    <s v="Harirampur"/>
    <s v="User Not Mapped"/>
    <s v="User Not Mapped"/>
    <s v="User Not Mapped"/>
    <n v="1354266"/>
    <s v="SOFIKUL HOQUE"/>
    <s v="Private Retailer"/>
    <s v="7001908062"/>
    <n v="0.45"/>
    <n v="571"/>
    <x v="7"/>
    <m/>
    <s v="2024-10-03"/>
    <s v="281503"/>
    <s v="Krishi Ghar"/>
    <s v="7031245549"/>
  </r>
  <r>
    <s v="RCF Thal"/>
    <s v="N.C.Urea(45kg)"/>
    <s v="WB"/>
    <x v="7"/>
    <s v="Harirampur"/>
    <s v="User Not Mapped"/>
    <s v="User Not Mapped"/>
    <s v="User Not Mapped"/>
    <n v="1402188"/>
    <s v="M/S. MIRJA FERTILIZER"/>
    <s v="Private Retailer"/>
    <s v="9593875358"/>
    <n v="5.625"/>
    <n v="97"/>
    <x v="5"/>
    <m/>
    <s v="2026-01-20"/>
    <s v="263373"/>
    <s v="M/s. Kanailal Kedar Prasad"/>
    <s v="9735692523"/>
  </r>
  <r>
    <s v="RCF Import"/>
    <s v="Imp 10-26-26"/>
    <s v="WB"/>
    <x v="7"/>
    <s v="Harirampur"/>
    <s v="User Not Mapped"/>
    <s v="User Not Mapped"/>
    <s v="User Not Mapped"/>
    <n v="1444486"/>
    <s v="BEGUM KHALEDA RAJIYA AND SAHAN"/>
    <s v="Private Retailer"/>
    <s v="7319370915"/>
    <n v="0.25"/>
    <n v="460"/>
    <x v="6"/>
    <m/>
    <s v="2025-01-22"/>
    <s v="281503"/>
    <s v="Krishi Ghar"/>
    <s v="7031245549"/>
  </r>
  <r>
    <s v="RCF Thal"/>
    <s v="N.C.Urea(45kg)"/>
    <s v="WB"/>
    <x v="7"/>
    <s v="Harirampur"/>
    <s v="User Not Mapped"/>
    <s v="User Not Mapped"/>
    <s v="User Not Mapped"/>
    <n v="1511072"/>
    <s v="SARWAR SAR BHANDAR"/>
    <s v="Private Retailer"/>
    <s v="9064314082"/>
    <n v="3.7349999999999999"/>
    <n v="121"/>
    <x v="0"/>
    <m/>
    <s v="2025-12-27"/>
    <s v="281503"/>
    <s v="Krishi Ghar"/>
    <s v="7031245549"/>
  </r>
  <r>
    <s v="RCF Thal"/>
    <s v="N.C.Urea(45kg)"/>
    <s v="WB"/>
    <x v="7"/>
    <s v="Hilli"/>
    <s v="User Not Mapped"/>
    <s v="User Not Mapped"/>
    <s v="User Not Mapped"/>
    <n v="126360"/>
    <s v="AMAL KUMAR DAS"/>
    <s v="Private Retailer"/>
    <s v="9932581857"/>
    <n v="0.63"/>
    <n v="391"/>
    <x v="6"/>
    <m/>
    <s v="2025-04-01"/>
    <s v="263382"/>
    <s v="Tushar Kanti Agarwala"/>
    <s v="8597190846"/>
  </r>
  <r>
    <s v="RCF Thal"/>
    <s v="N.C.Urea(45kg)"/>
    <s v="WB"/>
    <x v="7"/>
    <s v="Hilli"/>
    <s v="User Not Mapped"/>
    <s v="User Not Mapped"/>
    <s v="User Not Mapped"/>
    <n v="126714"/>
    <s v="Nayan Ghosh"/>
    <s v="Private Retailer"/>
    <s v="9933683156"/>
    <n v="4.2300000000000004"/>
    <n v="45"/>
    <x v="1"/>
    <m/>
    <s v="2026-03-13"/>
    <s v="263382"/>
    <s v="Tushar Kanti Agarwala"/>
    <s v="8597190846"/>
  </r>
  <r>
    <s v="RCF Import"/>
    <s v="Imp 10-26-26"/>
    <s v="WB"/>
    <x v="7"/>
    <s v="Hilli"/>
    <s v="User Not Mapped"/>
    <s v="User Not Mapped"/>
    <s v="User Not Mapped"/>
    <n v="126714"/>
    <s v="Nayan Ghosh"/>
    <s v="Private Retailer"/>
    <s v="9933683156"/>
    <n v="4.3499999999999996"/>
    <n v="81"/>
    <x v="2"/>
    <m/>
    <s v="2026-02-05"/>
    <s v="263373"/>
    <s v="M/s. Kanailal Kedar Prasad"/>
    <s v="9735692523"/>
  </r>
  <r>
    <s v="RCF Thal"/>
    <s v="N.C.Urea(45kg)"/>
    <s v="WB"/>
    <x v="7"/>
    <s v="Hilli"/>
    <s v="User Not Mapped"/>
    <s v="User Not Mapped"/>
    <s v="User Not Mapped"/>
    <n v="126858"/>
    <s v="MS. SANTANA MAHANTA"/>
    <s v="Private Retailer"/>
    <s v="8906300314"/>
    <n v="5.0000000000000001E-3"/>
    <n v="1406"/>
    <x v="7"/>
    <m/>
    <s v="2022-06-21"/>
    <s v="1223571"/>
    <s v="M/S SUBRATA KUMAR LAHA"/>
    <s v="8637363960"/>
  </r>
  <r>
    <s v="RCF Thal"/>
    <s v="N.C.Urea(45kg)"/>
    <s v="WB"/>
    <x v="7"/>
    <s v="Hilli"/>
    <s v="User Not Mapped"/>
    <s v="User Not Mapped"/>
    <s v="User Not Mapped"/>
    <n v="126862"/>
    <s v="SANTU KUMAR LAHA"/>
    <s v="Private Retailer"/>
    <s v="7864981481"/>
    <n v="10.62"/>
    <n v="71"/>
    <x v="2"/>
    <m/>
    <s v="2026-02-15"/>
    <s v="263373"/>
    <s v="M/s. Kanailal Kedar Prasad"/>
    <s v="9735692523"/>
  </r>
  <r>
    <s v="RCF Thal"/>
    <s v="N.C.Urea(45kg)"/>
    <s v="WB"/>
    <x v="7"/>
    <s v="Hilli"/>
    <s v="User Not Mapped"/>
    <s v="User Not Mapped"/>
    <s v="User Not Mapped"/>
    <n v="126901"/>
    <s v="Subrata Kumar Laha"/>
    <s v="Private Retailer"/>
    <s v="8637363960"/>
    <n v="10.08"/>
    <n v="49"/>
    <x v="1"/>
    <m/>
    <s v="2026-03-09"/>
    <s v="263373"/>
    <s v="M/s. Kanailal Kedar Prasad"/>
    <s v="9735692523"/>
  </r>
  <r>
    <s v="RCF Trombay"/>
    <s v="N.C.Urea(45kg)"/>
    <s v="WB"/>
    <x v="7"/>
    <s v="Hilli"/>
    <s v="User Not Mapped"/>
    <s v="User Not Mapped"/>
    <s v="User Not Mapped"/>
    <n v="126901"/>
    <s v="Subrata Kumar Laha"/>
    <s v="Private Retailer"/>
    <s v="8637363960"/>
    <n v="3.87"/>
    <n v="140"/>
    <x v="0"/>
    <m/>
    <s v="2025-12-08"/>
    <s v="263373"/>
    <s v="M/s. Kanailal Kedar Prasad"/>
    <s v="9735692523"/>
  </r>
  <r>
    <s v="RCF Import"/>
    <s v="Imp 10-26-26"/>
    <s v="WB"/>
    <x v="7"/>
    <s v="Hilli"/>
    <s v="User Not Mapped"/>
    <s v="User Not Mapped"/>
    <s v="User Not Mapped"/>
    <n v="225916"/>
    <s v="Bablu Mahata"/>
    <s v="Private Retailer"/>
    <s v="8145760548"/>
    <n v="2.8"/>
    <n v="273"/>
    <x v="3"/>
    <m/>
    <s v="2025-07-28"/>
    <s v="1223571"/>
    <s v="M/S SUBRATA KUMAR LAHA"/>
    <s v="8637363960"/>
  </r>
  <r>
    <s v="RCF Thal"/>
    <s v="N.C.Urea(45kg)"/>
    <s v="WB"/>
    <x v="7"/>
    <s v="Hilli"/>
    <s v="User Not Mapped"/>
    <s v="User Not Mapped"/>
    <s v="User Not Mapped"/>
    <n v="225916"/>
    <s v="Bablu Mahata"/>
    <s v="Private Retailer"/>
    <s v="8145760548"/>
    <n v="0.36499999999999999"/>
    <n v="228"/>
    <x v="3"/>
    <m/>
    <s v="2025-09-11"/>
    <s v="263373"/>
    <s v="M/s. Kanailal Kedar Prasad"/>
    <s v="9735692523"/>
  </r>
  <r>
    <s v="RCF Thal"/>
    <s v="N.C.Urea(45kg)"/>
    <s v="WB"/>
    <x v="7"/>
    <s v="Hilli"/>
    <s v="User Not Mapped"/>
    <s v="User Not Mapped"/>
    <s v="User Not Mapped"/>
    <n v="340375"/>
    <s v="M/S SUDHIR SAR BHANDAR"/>
    <s v="Private Retailer"/>
    <s v="9339606047"/>
    <n v="9.8550000000000004"/>
    <n v="71"/>
    <x v="2"/>
    <m/>
    <s v="2026-02-15"/>
    <s v="263373"/>
    <s v="M/s. Kanailal Kedar Prasad"/>
    <s v="9735692523"/>
  </r>
  <r>
    <s v="RCF Import"/>
    <s v="Imp 10-26-26"/>
    <s v="WB"/>
    <x v="7"/>
    <s v="Hilli"/>
    <s v="User Not Mapped"/>
    <s v="User Not Mapped"/>
    <s v="User Not Mapped"/>
    <n v="354012"/>
    <s v="SHYAMALA AGENCY"/>
    <s v="Private Retailer"/>
    <s v="9932733980"/>
    <n v="6.1829999999999998"/>
    <n v="57"/>
    <x v="1"/>
    <m/>
    <s v="2026-03-01"/>
    <s v="263380"/>
    <s v="Shyamala Agency"/>
    <s v="9932733980"/>
  </r>
  <r>
    <s v="RCF Import"/>
    <s v="MOP"/>
    <s v="WB"/>
    <x v="7"/>
    <s v="Hilli"/>
    <s v="User Not Mapped"/>
    <s v="User Not Mapped"/>
    <s v="User Not Mapped"/>
    <n v="645328"/>
    <s v="JHARNA SARKAR DAS"/>
    <s v="Private Retailer"/>
    <s v="9647802084"/>
    <n v="0.9"/>
    <n v="319"/>
    <x v="3"/>
    <m/>
    <s v="2025-06-12"/>
    <s v="1223571"/>
    <s v="M/S SUBRATA KUMAR LAHA"/>
    <s v="8637363960"/>
  </r>
  <r>
    <s v="RCF Import"/>
    <s v="Imp 10-26-26"/>
    <s v="WB"/>
    <x v="7"/>
    <s v="Hilli"/>
    <s v="User Not Mapped"/>
    <s v="User Not Mapped"/>
    <s v="User Not Mapped"/>
    <n v="645328"/>
    <s v="JHARNA SARKAR DAS"/>
    <s v="Private Retailer"/>
    <s v="9647802084"/>
    <n v="2.8"/>
    <n v="273"/>
    <x v="3"/>
    <m/>
    <s v="2025-07-28"/>
    <s v="1223571"/>
    <s v="M/S SUBRATA KUMAR LAHA"/>
    <s v="8637363960"/>
  </r>
  <r>
    <s v="RCF Thal"/>
    <s v="N.C.Urea(45kg)"/>
    <s v="WB"/>
    <x v="7"/>
    <s v="Hilli"/>
    <s v="User Not Mapped"/>
    <s v="User Not Mapped"/>
    <s v="User Not Mapped"/>
    <n v="645328"/>
    <s v="JHARNA SARKAR DAS"/>
    <s v="Private Retailer"/>
    <s v="9647802084"/>
    <n v="3.1949999999999998"/>
    <n v="504"/>
    <x v="6"/>
    <m/>
    <s v="2024-12-09"/>
    <s v="263373"/>
    <s v="M/s. Kanailal Kedar Prasad"/>
    <s v="9735692523"/>
  </r>
  <r>
    <s v="RCF Thal"/>
    <s v="N.C.Urea(45kg)"/>
    <s v="WB"/>
    <x v="7"/>
    <s v="Hilli"/>
    <s v="User Not Mapped"/>
    <s v="User Not Mapped"/>
    <s v="User Not Mapped"/>
    <n v="645328"/>
    <s v="JHARNA SARKAR DAS"/>
    <s v="Private Retailer"/>
    <s v="9647802084"/>
    <n v="5.49"/>
    <n v="49"/>
    <x v="1"/>
    <m/>
    <s v="2026-03-09"/>
    <s v="263373"/>
    <s v="M/s. Kanailal Kedar Prasad"/>
    <s v="9735692523"/>
  </r>
  <r>
    <s v="RCF Import"/>
    <s v="MOP"/>
    <s v="WB"/>
    <x v="7"/>
    <s v="Hilli"/>
    <s v="User Not Mapped"/>
    <s v="User Not Mapped"/>
    <s v="User Not Mapped"/>
    <n v="653073"/>
    <s v="BHUSHAN KUMAR DAS"/>
    <s v="Private Retailer"/>
    <s v="6294926998"/>
    <n v="0.75"/>
    <n v="499"/>
    <x v="6"/>
    <m/>
    <s v="2024-12-14"/>
    <s v="1223571"/>
    <s v="M/S SUBRATA KUMAR LAHA"/>
    <s v="8637363960"/>
  </r>
  <r>
    <s v="RCF Thal"/>
    <s v="N.C.Urea(45kg)"/>
    <s v="WB"/>
    <x v="7"/>
    <s v="Hilli"/>
    <s v="User Not Mapped"/>
    <s v="User Not Mapped"/>
    <s v="User Not Mapped"/>
    <n v="658420"/>
    <s v="SAMAPTA SARKAR"/>
    <s v="Private Retailer"/>
    <s v="7602109542"/>
    <n v="3.915"/>
    <n v="49"/>
    <x v="1"/>
    <m/>
    <s v="2026-03-09"/>
    <s v="263373"/>
    <s v="M/s. Kanailal Kedar Prasad"/>
    <s v="9735692523"/>
  </r>
  <r>
    <s v="RCF Thal"/>
    <s v="N.C.Urea(45kg)"/>
    <s v="WB"/>
    <x v="7"/>
    <s v="Hilli"/>
    <s v="User Not Mapped"/>
    <s v="User Not Mapped"/>
    <s v="User Not Mapped"/>
    <n v="686282"/>
    <s v="Bimal Chandra Mondal"/>
    <s v="Private Retailer"/>
    <s v="8759908501"/>
    <n v="1"/>
    <n v="1146"/>
    <x v="7"/>
    <m/>
    <s v="2023-03-08"/>
    <s v="584539"/>
    <s v="BIJAY KUMAR AGARWALA"/>
    <s v="9434521132"/>
  </r>
  <r>
    <s v="RCF Thal"/>
    <s v="N.C.Urea(45kg)"/>
    <s v="WB"/>
    <x v="7"/>
    <s v="Hilli"/>
    <s v="User Not Mapped"/>
    <s v="User Not Mapped"/>
    <s v="User Not Mapped"/>
    <n v="706896"/>
    <s v="SABITRI SAR BHANDAR"/>
    <s v="Private Retailer"/>
    <s v="7584057212"/>
    <n v="3.24"/>
    <n v="412"/>
    <x v="6"/>
    <m/>
    <s v="2025-03-11"/>
    <s v="263373"/>
    <s v="M/s. Kanailal Kedar Prasad"/>
    <s v="9735692523"/>
  </r>
  <r>
    <s v="RCF Thal"/>
    <s v="N.C.Urea(45kg)"/>
    <s v="WB"/>
    <x v="7"/>
    <s v="Hilli"/>
    <s v="User Not Mapped"/>
    <s v="User Not Mapped"/>
    <s v="User Not Mapped"/>
    <n v="798552"/>
    <s v="SUDHANGSHU KRISHI SAMADHAR"/>
    <s v="Private Retailer"/>
    <s v="9804939404"/>
    <n v="9.9450000000000003"/>
    <n v="45"/>
    <x v="1"/>
    <m/>
    <s v="2026-03-13"/>
    <s v="263382"/>
    <s v="Tushar Kanti Agarwala"/>
    <s v="8597190846"/>
  </r>
  <r>
    <s v="RCF Trombay"/>
    <s v="15-15-15"/>
    <s v="WB"/>
    <x v="7"/>
    <s v="Hilli"/>
    <s v="User Not Mapped"/>
    <s v="User Not Mapped"/>
    <s v="User Not Mapped"/>
    <n v="798552"/>
    <s v="SUDHANGSHU KRISHI SAMADHAR"/>
    <s v="Private Retailer"/>
    <s v="9804939404"/>
    <n v="0.8"/>
    <n v="227"/>
    <x v="3"/>
    <m/>
    <s v="2025-09-12"/>
    <s v="263382"/>
    <s v="Tushar Kanti Agarwala"/>
    <s v="8597190846"/>
  </r>
  <r>
    <s v="RCF Thal"/>
    <s v="N.C.Urea(45kg)"/>
    <s v="WB"/>
    <x v="7"/>
    <s v="Hilli"/>
    <s v="User Not Mapped"/>
    <s v="User Not Mapped"/>
    <s v="User Not Mapped"/>
    <n v="1258454"/>
    <s v="M/S MINTU MONDAL"/>
    <s v="Private Retailer"/>
    <s v="7319537090"/>
    <n v="1.44"/>
    <n v="62"/>
    <x v="2"/>
    <m/>
    <s v="2026-02-24"/>
    <s v="286422"/>
    <s v="Dipak Kumar Laha"/>
    <s v="6297583814"/>
  </r>
  <r>
    <s v="RCF Thal"/>
    <s v="N.C.Urea(45kg)"/>
    <s v="WB"/>
    <x v="7"/>
    <s v="Hilli"/>
    <s v="User Not Mapped"/>
    <s v="User Not Mapped"/>
    <s v="User Not Mapped"/>
    <n v="1444480"/>
    <s v="RATAN LAHA"/>
    <s v="Private Retailer"/>
    <s v="7501713890"/>
    <n v="5.5350000000000001"/>
    <n v="27"/>
    <x v="4"/>
    <m/>
    <s v="2026-03-31"/>
    <s v="263373"/>
    <s v="M/s. Kanailal Kedar Prasad"/>
    <s v="9735692523"/>
  </r>
  <r>
    <s v="RCF Thal"/>
    <s v="N.C.Urea(45kg)"/>
    <s v="WB"/>
    <x v="7"/>
    <s v="Hilli"/>
    <s v="User Not Mapped"/>
    <s v="User Not Mapped"/>
    <s v="User Not Mapped"/>
    <n v="1444480"/>
    <s v="RATAN LAHA"/>
    <s v="Private Retailer"/>
    <s v="7501713890"/>
    <n v="5.13"/>
    <n v="49"/>
    <x v="1"/>
    <m/>
    <s v="2026-03-09"/>
    <s v="263373"/>
    <s v="M/s. Kanailal Kedar Prasad"/>
    <s v="9735692523"/>
  </r>
  <r>
    <s v="RCF Trombay"/>
    <s v="N.C.Urea(45kg)"/>
    <s v="WB"/>
    <x v="7"/>
    <s v="Hilli"/>
    <s v="User Not Mapped"/>
    <s v="User Not Mapped"/>
    <s v="User Not Mapped"/>
    <n v="1444480"/>
    <s v="RATAN LAHA"/>
    <s v="Private Retailer"/>
    <s v="7501713890"/>
    <n v="1.3049999999999999"/>
    <n v="93"/>
    <x v="5"/>
    <m/>
    <s v="2026-01-24"/>
    <s v="263373"/>
    <s v="M/s. Kanailal Kedar Prasad"/>
    <s v="9735692523"/>
  </r>
  <r>
    <s v="RCF Thal"/>
    <s v="N.C.Urea(45kg)"/>
    <s v="WB"/>
    <x v="7"/>
    <s v="Hilli"/>
    <s v="User Not Mapped"/>
    <s v="User Not Mapped"/>
    <s v="User Not Mapped"/>
    <n v="1444490"/>
    <s v="JOYDEV LAHA"/>
    <s v="Private Retailer"/>
    <s v="6294343669"/>
    <n v="4.2750000000000004"/>
    <n v="412"/>
    <x v="6"/>
    <m/>
    <s v="2025-03-11"/>
    <s v="263373"/>
    <s v="M/s. Kanailal Kedar Prasad"/>
    <s v="9735692523"/>
  </r>
  <r>
    <s v="RCF Import"/>
    <s v="Imp 10-26-26"/>
    <s v="WB"/>
    <x v="7"/>
    <s v="Hilli"/>
    <s v="User Not Mapped"/>
    <s v="User Not Mapped"/>
    <s v="User Not Mapped"/>
    <n v="1444490"/>
    <s v="JOYDEV LAHA"/>
    <s v="Private Retailer"/>
    <s v="6294343669"/>
    <n v="2.1"/>
    <n v="273"/>
    <x v="3"/>
    <m/>
    <s v="2025-07-28"/>
    <s v="1223571"/>
    <s v="M/S SUBRATA KUMAR LAHA"/>
    <s v="8637363960"/>
  </r>
  <r>
    <s v="RCF Thal"/>
    <s v="N.C.Urea(45kg)"/>
    <s v="WB"/>
    <x v="7"/>
    <s v="Kumarganj"/>
    <s v="User Not Mapped"/>
    <s v="User Not Mapped"/>
    <s v="User Not Mapped"/>
    <n v="126718"/>
    <s v="Nazrul Islam Mondal"/>
    <s v="Private Retailer"/>
    <s v="9733344599"/>
    <n v="5.0000000000000001E-3"/>
    <n v="2242"/>
    <x v="7"/>
    <m/>
    <s v="2020-03-07"/>
    <s v="1138290"/>
    <s v="RABIUL MONDAL"/>
    <s v="9733871314"/>
  </r>
  <r>
    <s v="RCF Thal"/>
    <s v="N.C.Urea(45kg)"/>
    <s v="WB"/>
    <x v="7"/>
    <s v="Kumarganj"/>
    <s v="User Not Mapped"/>
    <s v="User Not Mapped"/>
    <s v="User Not Mapped"/>
    <n v="126777"/>
    <s v="PREMANANDA BASAK"/>
    <s v="Private Retailer"/>
    <s v="9635044403"/>
    <n v="11.025"/>
    <n v="27"/>
    <x v="4"/>
    <m/>
    <s v="2026-03-31"/>
    <s v="263373"/>
    <s v="M/s. Kanailal Kedar Prasad"/>
    <s v="9735692523"/>
  </r>
  <r>
    <s v="RCF Import"/>
    <s v="MOP"/>
    <s v="WB"/>
    <x v="7"/>
    <s v="Kumarganj"/>
    <s v="User Not Mapped"/>
    <s v="User Not Mapped"/>
    <s v="User Not Mapped"/>
    <n v="126839"/>
    <s v="Sadhan Saha"/>
    <s v="Private Retailer"/>
    <s v="9434964043"/>
    <n v="0.75"/>
    <n v="466"/>
    <x v="6"/>
    <m/>
    <s v="2025-01-16"/>
    <s v="1183563"/>
    <s v="RAJU KAR"/>
    <s v="9734915998"/>
  </r>
  <r>
    <s v="RCF Thal"/>
    <s v="N.C.Urea(45kg)"/>
    <s v="WB"/>
    <x v="7"/>
    <s v="Kumarganj"/>
    <s v="User Not Mapped"/>
    <s v="User Not Mapped"/>
    <s v="User Not Mapped"/>
    <n v="126917"/>
    <s v="SUMIT KARMAKAR"/>
    <s v="Private Retailer"/>
    <s v="9932245369"/>
    <n v="11.025"/>
    <n v="94"/>
    <x v="5"/>
    <m/>
    <s v="2026-01-23"/>
    <s v="263373"/>
    <s v="M/s. Kanailal Kedar Prasad"/>
    <s v="9735692523"/>
  </r>
  <r>
    <s v="RCF Thal"/>
    <s v="N.C.Urea(45kg)"/>
    <s v="WB"/>
    <x v="7"/>
    <s v="Kumarganj"/>
    <s v="User Not Mapped"/>
    <s v="User Not Mapped"/>
    <s v="User Not Mapped"/>
    <n v="126917"/>
    <s v="SUMIT KARMAKAR"/>
    <s v="Private Retailer"/>
    <s v="9932245369"/>
    <n v="0.315"/>
    <n v="198"/>
    <x v="3"/>
    <m/>
    <s v="2025-10-11"/>
    <s v="263373"/>
    <s v="M/s. Kanailal Kedar Prasad"/>
    <s v="9735692523"/>
  </r>
  <r>
    <s v="RCF Trombay"/>
    <s v="N.C.Urea(45kg)"/>
    <s v="WB"/>
    <x v="7"/>
    <s v="Kumarganj"/>
    <s v="User Not Mapped"/>
    <s v="User Not Mapped"/>
    <s v="User Not Mapped"/>
    <n v="126917"/>
    <s v="SUMIT KARMAKAR"/>
    <s v="Private Retailer"/>
    <s v="9932245369"/>
    <n v="1.71"/>
    <n v="132"/>
    <x v="0"/>
    <m/>
    <s v="2025-12-16"/>
    <s v="263373"/>
    <s v="M/s. Kanailal Kedar Prasad"/>
    <s v="9735692523"/>
  </r>
  <r>
    <s v="RCF Thal"/>
    <s v="N.C.Urea(45kg)"/>
    <s v="WB"/>
    <x v="7"/>
    <s v="Kumarganj"/>
    <s v="User Not Mapped"/>
    <s v="User Not Mapped"/>
    <s v="User Not Mapped"/>
    <n v="126917"/>
    <s v="SUMIT KARMAKAR"/>
    <s v="Private Retailer"/>
    <s v="9932245369"/>
    <n v="11.025"/>
    <n v="133"/>
    <x v="0"/>
    <m/>
    <s v="2025-12-15"/>
    <s v="263373"/>
    <s v="M/s. Kanailal Kedar Prasad"/>
    <s v="9735692523"/>
  </r>
  <r>
    <s v="RCF Thal"/>
    <s v="N.C.Urea(45kg)"/>
    <s v="WB"/>
    <x v="7"/>
    <s v="Kumarganj"/>
    <s v="User Not Mapped"/>
    <s v="User Not Mapped"/>
    <s v="User Not Mapped"/>
    <n v="126917"/>
    <s v="SUMIT KARMAKAR"/>
    <s v="Private Retailer"/>
    <s v="9932245369"/>
    <n v="22.05"/>
    <n v="71"/>
    <x v="2"/>
    <m/>
    <s v="2026-02-15"/>
    <s v="263373"/>
    <s v="M/s. Kanailal Kedar Prasad"/>
    <s v="9735692523"/>
  </r>
  <r>
    <s v="RCF Thal"/>
    <s v="N.C.Urea(45kg)"/>
    <s v="WB"/>
    <x v="7"/>
    <s v="Kumarganj"/>
    <s v="User Not Mapped"/>
    <s v="User Not Mapped"/>
    <s v="User Not Mapped"/>
    <n v="216452"/>
    <s v="M/S. AMCHERALI MONDAL N AMAJUL"/>
    <s v="Private Retailer"/>
    <s v="9735080739"/>
    <n v="11.025"/>
    <n v="68"/>
    <x v="2"/>
    <m/>
    <s v="2026-02-18"/>
    <s v="263373"/>
    <s v="M/s. Kanailal Kedar Prasad"/>
    <s v="9735692523"/>
  </r>
  <r>
    <s v="RCF Thal"/>
    <s v="N.C.Urea(45kg)"/>
    <s v="WB"/>
    <x v="7"/>
    <s v="Kumarganj"/>
    <s v="User Not Mapped"/>
    <s v="User Not Mapped"/>
    <s v="User Not Mapped"/>
    <n v="216452"/>
    <s v="M/S. AMCHERALI MONDAL N AMAJUL"/>
    <s v="Private Retailer"/>
    <s v="9735080739"/>
    <n v="4.5449999999999999"/>
    <n v="171"/>
    <x v="0"/>
    <m/>
    <s v="2025-11-07"/>
    <s v="263382"/>
    <s v="Tushar Kanti Agarwala"/>
    <s v="8597190846"/>
  </r>
  <r>
    <s v="RCF Thal"/>
    <s v="N.C.Urea(45kg)"/>
    <s v="WB"/>
    <x v="7"/>
    <s v="Kumarganj"/>
    <s v="User Not Mapped"/>
    <s v="User Not Mapped"/>
    <s v="User Not Mapped"/>
    <n v="216452"/>
    <s v="M/S. AMCHERALI MONDAL N AMAJUL"/>
    <s v="Private Retailer"/>
    <s v="9735080739"/>
    <n v="22.05"/>
    <n v="49"/>
    <x v="1"/>
    <m/>
    <s v="2026-03-09"/>
    <s v="263373"/>
    <s v="M/s. Kanailal Kedar Prasad"/>
    <s v="9735692523"/>
  </r>
  <r>
    <s v="RCF Trombay"/>
    <s v="15-15-15"/>
    <s v="WB"/>
    <x v="7"/>
    <s v="Kumarganj"/>
    <s v="User Not Mapped"/>
    <s v="User Not Mapped"/>
    <s v="User Not Mapped"/>
    <n v="216485"/>
    <s v="M/S DIPAK KUMAR SAHA"/>
    <s v="Private Retailer"/>
    <s v="9800657320"/>
    <n v="0.8"/>
    <n v="131"/>
    <x v="0"/>
    <m/>
    <s v="2025-12-17"/>
    <s v="263382"/>
    <s v="Tushar Kanti Agarwala"/>
    <s v="8597190846"/>
  </r>
  <r>
    <s v="RCF Thal"/>
    <s v="N.C.Urea(45kg)"/>
    <s v="WB"/>
    <x v="7"/>
    <s v="Kumarganj"/>
    <s v="User Not Mapped"/>
    <s v="User Not Mapped"/>
    <s v="User Not Mapped"/>
    <n v="225920"/>
    <s v="NARAYAN CHANDRA DAS"/>
    <s v="Private Retailer"/>
    <s v="9733271205"/>
    <n v="0.495"/>
    <n v="216"/>
    <x v="3"/>
    <m/>
    <s v="2025-09-23"/>
    <s v="263382"/>
    <s v="Tushar Kanti Agarwala"/>
    <s v="8597190846"/>
  </r>
  <r>
    <s v="RCF Trombay"/>
    <s v="N.C.Urea(45kg)"/>
    <s v="WB"/>
    <x v="7"/>
    <s v="Kumarganj"/>
    <s v="User Not Mapped"/>
    <s v="User Not Mapped"/>
    <s v="User Not Mapped"/>
    <n v="251667"/>
    <s v="M/S. AMJAD MONDAL"/>
    <s v="Private Retailer"/>
    <s v="9851743854"/>
    <n v="6.75"/>
    <n v="131"/>
    <x v="0"/>
    <m/>
    <s v="2025-12-17"/>
    <s v="263382"/>
    <s v="Tushar Kanti Agarwala"/>
    <s v="8597190846"/>
  </r>
  <r>
    <s v="RCF Trombay"/>
    <s v="15-15-15"/>
    <s v="WB"/>
    <x v="7"/>
    <s v="Kumarganj"/>
    <s v="User Not Mapped"/>
    <s v="User Not Mapped"/>
    <s v="User Not Mapped"/>
    <n v="251667"/>
    <s v="M/S. AMJAD MONDAL"/>
    <s v="Private Retailer"/>
    <s v="9851743854"/>
    <n v="1.4"/>
    <n v="164"/>
    <x v="0"/>
    <m/>
    <s v="2025-11-14"/>
    <s v="263382"/>
    <s v="Tushar Kanti Agarwala"/>
    <s v="8597190846"/>
  </r>
  <r>
    <s v="RCF Thal"/>
    <s v="N.C.Urea(45kg)"/>
    <s v="WB"/>
    <x v="7"/>
    <s v="Kumarganj"/>
    <s v="User Not Mapped"/>
    <s v="User Not Mapped"/>
    <s v="User Not Mapped"/>
    <n v="253308"/>
    <s v="Biswajit Kundu"/>
    <s v="Private Retailer"/>
    <s v="8016050030"/>
    <n v="7.67"/>
    <n v="111"/>
    <x v="5"/>
    <m/>
    <s v="2026-01-06"/>
    <s v="263373"/>
    <s v="M/s. Kanailal Kedar Prasad"/>
    <s v="9735692523"/>
  </r>
  <r>
    <s v="RCF Thal"/>
    <s v="N.C.Urea(45kg)"/>
    <s v="WB"/>
    <x v="7"/>
    <s v="Kumarganj"/>
    <s v="User Not Mapped"/>
    <s v="User Not Mapped"/>
    <s v="User Not Mapped"/>
    <n v="305675"/>
    <s v="Bipul Kr Roy"/>
    <s v="Private Retailer"/>
    <s v="9734940426"/>
    <n v="3.51"/>
    <n v="49"/>
    <x v="1"/>
    <m/>
    <s v="2026-03-09"/>
    <s v="263373"/>
    <s v="M/s. Kanailal Kedar Prasad"/>
    <s v="9735692523"/>
  </r>
  <r>
    <s v="RCF Import"/>
    <s v="Imp 10-26-26"/>
    <s v="WB"/>
    <x v="7"/>
    <s v="Kumarganj"/>
    <s v="User Not Mapped"/>
    <s v="User Not Mapped"/>
    <s v="User Not Mapped"/>
    <n v="305689"/>
    <s v="Sudip Roy"/>
    <s v="Private Retailer"/>
    <s v="9932200271"/>
    <n v="1"/>
    <n v="36"/>
    <x v="1"/>
    <m/>
    <s v="2026-03-22"/>
    <s v="1519430"/>
    <s v="M/S Hoque Fertilizer Agency"/>
    <s v="9775429340"/>
  </r>
  <r>
    <s v="RCF Trombay"/>
    <s v="15-15-15"/>
    <s v="WB"/>
    <x v="7"/>
    <s v="Kumarganj"/>
    <s v="User Not Mapped"/>
    <s v="User Not Mapped"/>
    <s v="User Not Mapped"/>
    <n v="331167"/>
    <s v="Barun Kumar Mondal"/>
    <s v="Private Retailer"/>
    <s v="9474313439"/>
    <n v="8.9499999999999993"/>
    <n v="140"/>
    <x v="0"/>
    <m/>
    <s v="2025-12-08"/>
    <s v="263382"/>
    <s v="Tushar Kanti Agarwala"/>
    <s v="8597190846"/>
  </r>
  <r>
    <s v="RCF Trombay"/>
    <s v="N.C.Urea(45kg)"/>
    <s v="WB"/>
    <x v="7"/>
    <s v="Kumarganj"/>
    <s v="User Not Mapped"/>
    <s v="User Not Mapped"/>
    <s v="User Not Mapped"/>
    <n v="340300"/>
    <s v="AKTARUJ ZAMAN MONDAL"/>
    <s v="Private Retailer"/>
    <s v="9775429596"/>
    <n v="1.62"/>
    <n v="140"/>
    <x v="0"/>
    <m/>
    <s v="2025-12-08"/>
    <s v="263382"/>
    <s v="Tushar Kanti Agarwala"/>
    <s v="8597190846"/>
  </r>
  <r>
    <s v="RCF Thal"/>
    <s v="N.C.Urea(45kg)"/>
    <s v="WB"/>
    <x v="7"/>
    <s v="Kumarganj"/>
    <s v="User Not Mapped"/>
    <s v="User Not Mapped"/>
    <s v="User Not Mapped"/>
    <n v="340300"/>
    <s v="AKTARUJ ZAMAN MONDAL"/>
    <s v="Private Retailer"/>
    <s v="9775429596"/>
    <n v="5.94"/>
    <n v="97"/>
    <x v="5"/>
    <m/>
    <s v="2026-01-20"/>
    <s v="263382"/>
    <s v="Tushar Kanti Agarwala"/>
    <s v="8597190846"/>
  </r>
  <r>
    <s v="RCF Trombay"/>
    <s v="N.C.Urea(45kg)"/>
    <s v="WB"/>
    <x v="7"/>
    <s v="Kumarganj"/>
    <s v="User Not Mapped"/>
    <s v="User Not Mapped"/>
    <s v="User Not Mapped"/>
    <n v="340300"/>
    <s v="AKTARUJ ZAMAN MONDAL"/>
    <s v="Private Retailer"/>
    <s v="9775429596"/>
    <n v="11.25"/>
    <n v="131"/>
    <x v="0"/>
    <m/>
    <s v="2025-12-17"/>
    <s v="263382"/>
    <s v="Tushar Kanti Agarwala"/>
    <s v="8597190846"/>
  </r>
  <r>
    <s v="RCF Thal"/>
    <s v="N.C.Urea(45kg)"/>
    <s v="WB"/>
    <x v="7"/>
    <s v="Kumarganj"/>
    <s v="User Not Mapped"/>
    <s v="User Not Mapped"/>
    <s v="User Not Mapped"/>
    <n v="340300"/>
    <s v="AKTARUJ ZAMAN MONDAL"/>
    <s v="Private Retailer"/>
    <s v="9775429596"/>
    <n v="22.05"/>
    <n v="49"/>
    <x v="1"/>
    <m/>
    <s v="2026-03-09"/>
    <s v="263373"/>
    <s v="M/s. Kanailal Kedar Prasad"/>
    <s v="9735692523"/>
  </r>
  <r>
    <s v="RCF Trombay"/>
    <s v="N.C.Urea(45kg)"/>
    <s v="WB"/>
    <x v="7"/>
    <s v="Kumarganj"/>
    <s v="User Not Mapped"/>
    <s v="User Not Mapped"/>
    <s v="User Not Mapped"/>
    <n v="340328"/>
    <s v="Difajuddin  Mondal"/>
    <s v="Private Retailer"/>
    <s v="8967596069"/>
    <n v="11.025"/>
    <n v="107"/>
    <x v="5"/>
    <m/>
    <s v="2026-01-10"/>
    <s v="263382"/>
    <s v="Tushar Kanti Agarwala"/>
    <s v="8597190846"/>
  </r>
  <r>
    <s v="RCF Thal"/>
    <s v="N.C.Urea(45kg)"/>
    <s v="WB"/>
    <x v="7"/>
    <s v="Kumarganj"/>
    <s v="User Not Mapped"/>
    <s v="User Not Mapped"/>
    <s v="User Not Mapped"/>
    <n v="340426"/>
    <s v="Wanur Ali Sarkar"/>
    <s v="Private Retailer"/>
    <s v="8207207313"/>
    <n v="5.94"/>
    <n v="133"/>
    <x v="0"/>
    <m/>
    <s v="2025-12-15"/>
    <s v="263373"/>
    <s v="M/s. Kanailal Kedar Prasad"/>
    <s v="9735692523"/>
  </r>
  <r>
    <s v="RCF Thal"/>
    <s v="N.C.Urea(45kg)"/>
    <s v="WB"/>
    <x v="7"/>
    <s v="Kumarganj"/>
    <s v="User Not Mapped"/>
    <s v="User Not Mapped"/>
    <s v="User Not Mapped"/>
    <n v="391467"/>
    <s v="M/S MALOY GHOSH"/>
    <s v="Private Retailer"/>
    <s v="9593687590"/>
    <n v="18.405000000000001"/>
    <n v="49"/>
    <x v="1"/>
    <m/>
    <s v="2026-03-09"/>
    <s v="263373"/>
    <s v="M/s. Kanailal Kedar Prasad"/>
    <s v="9735692523"/>
  </r>
  <r>
    <s v="RCF Import"/>
    <s v="Imp 10-26-26"/>
    <s v="WB"/>
    <x v="7"/>
    <s v="Kumarganj"/>
    <s v="User Not Mapped"/>
    <s v="User Not Mapped"/>
    <s v="User Not Mapped"/>
    <n v="391481"/>
    <s v="Talebul islam mandal"/>
    <s v="Private Retailer"/>
    <s v="8670611599"/>
    <n v="1"/>
    <n v="36"/>
    <x v="1"/>
    <m/>
    <s v="2026-03-22"/>
    <s v="1519430"/>
    <s v="M/S Hoque Fertilizer Agency"/>
    <s v="9775429340"/>
  </r>
  <r>
    <s v="RCF Trombay"/>
    <s v="15-15-15"/>
    <s v="WB"/>
    <x v="7"/>
    <s v="Kumarganj"/>
    <s v="User Not Mapped"/>
    <s v="User Not Mapped"/>
    <s v="User Not Mapped"/>
    <n v="391503"/>
    <s v="Gajendranath Ghosh"/>
    <s v="Private Retailer"/>
    <s v="9735063224"/>
    <n v="3.95"/>
    <n v="163"/>
    <x v="0"/>
    <m/>
    <s v="2025-11-15"/>
    <s v="281503"/>
    <s v="Krishi Ghar"/>
    <s v="7031245549"/>
  </r>
  <r>
    <s v="RCF Thal"/>
    <s v="N.C.Urea(45kg)"/>
    <s v="WB"/>
    <x v="7"/>
    <s v="Kumarganj"/>
    <s v="User Not Mapped"/>
    <s v="User Not Mapped"/>
    <s v="User Not Mapped"/>
    <n v="504447"/>
    <s v="DIPAK MOHON DAS"/>
    <s v="Private Retailer"/>
    <s v="9046484580"/>
    <n v="6.3"/>
    <n v="49"/>
    <x v="1"/>
    <m/>
    <s v="2026-03-09"/>
    <s v="263373"/>
    <s v="M/s. Kanailal Kedar Prasad"/>
    <s v="9735692523"/>
  </r>
  <r>
    <s v="RCF Trombay"/>
    <s v="15-15-15"/>
    <s v="WB"/>
    <x v="7"/>
    <s v="Kumarganj"/>
    <s v="User Not Mapped"/>
    <s v="User Not Mapped"/>
    <s v="User Not Mapped"/>
    <n v="606125"/>
    <s v="BIJAN DAS"/>
    <s v="Private Retailer"/>
    <s v="9733054664"/>
    <n v="5.35"/>
    <n v="164"/>
    <x v="0"/>
    <m/>
    <s v="2025-11-14"/>
    <s v="263382"/>
    <s v="Tushar Kanti Agarwala"/>
    <s v="8597190846"/>
  </r>
  <r>
    <s v="RCF Thal"/>
    <s v="N.C.Urea(45kg)"/>
    <s v="WB"/>
    <x v="7"/>
    <s v="Kumarganj"/>
    <s v="User Not Mapped"/>
    <s v="User Not Mapped"/>
    <s v="User Not Mapped"/>
    <n v="698531"/>
    <s v="RAJU KAR"/>
    <s v="Private Retailer"/>
    <s v="9734915998"/>
    <n v="0.45"/>
    <n v="49"/>
    <x v="1"/>
    <m/>
    <s v="2026-03-09"/>
    <s v="263373"/>
    <s v="M/s. Kanailal Kedar Prasad"/>
    <s v="9735692523"/>
  </r>
  <r>
    <s v="RCF Trombay"/>
    <s v="15-15-15"/>
    <s v="WB"/>
    <x v="7"/>
    <s v="Kumarganj"/>
    <s v="User Not Mapped"/>
    <s v="User Not Mapped"/>
    <s v="User Not Mapped"/>
    <n v="698531"/>
    <s v="RAJU KAR"/>
    <s v="Private Retailer"/>
    <s v="9734915998"/>
    <n v="5.75"/>
    <n v="214"/>
    <x v="3"/>
    <m/>
    <s v="2025-09-25"/>
    <s v="263373"/>
    <s v="M/s. Kanailal Kedar Prasad"/>
    <s v="9735692523"/>
  </r>
  <r>
    <s v="RCF Thal"/>
    <s v="N.C.Urea(45kg)"/>
    <s v="WB"/>
    <x v="7"/>
    <s v="Kumarganj"/>
    <s v="User Not Mapped"/>
    <s v="User Not Mapped"/>
    <s v="User Not Mapped"/>
    <n v="774876"/>
    <s v="RAJIB SARKAR"/>
    <s v="Private Retailer"/>
    <s v="9775400640"/>
    <n v="0.495"/>
    <n v="71"/>
    <x v="2"/>
    <m/>
    <s v="2026-02-15"/>
    <s v="263373"/>
    <s v="M/s. Kanailal Kedar Prasad"/>
    <s v="9735692523"/>
  </r>
  <r>
    <s v="RCF Thal"/>
    <s v="N.C.Urea(45kg)"/>
    <s v="WB"/>
    <x v="7"/>
    <s v="Kumarganj"/>
    <s v="User Not Mapped"/>
    <s v="User Not Mapped"/>
    <s v="User Not Mapped"/>
    <n v="946810"/>
    <s v="M/S HOSSAIN SAR BHANDAR"/>
    <s v="Private Retailer"/>
    <s v="8906776849"/>
    <n v="1.71"/>
    <n v="879"/>
    <x v="7"/>
    <m/>
    <s v="2023-11-30"/>
    <s v="263373"/>
    <s v="M/s. Kanailal Kedar Prasad"/>
    <s v="9735692523"/>
  </r>
  <r>
    <s v="RCF Thal"/>
    <s v="N.C.Urea(45kg)"/>
    <s v="WB"/>
    <x v="7"/>
    <s v="Kumarganj"/>
    <s v="User Not Mapped"/>
    <s v="User Not Mapped"/>
    <s v="User Not Mapped"/>
    <n v="946810"/>
    <s v="M/S HOSSAIN SAR BHANDAR"/>
    <s v="Private Retailer"/>
    <s v="8906776849"/>
    <n v="11.25"/>
    <n v="131"/>
    <x v="0"/>
    <m/>
    <s v="2025-12-17"/>
    <s v="263382"/>
    <s v="Tushar Kanti Agarwala"/>
    <s v="8597190846"/>
  </r>
  <r>
    <s v="RCF Thal"/>
    <s v="N.C.Urea(45kg)"/>
    <s v="WB"/>
    <x v="7"/>
    <s v="Kumarganj"/>
    <s v="User Not Mapped"/>
    <s v="User Not Mapped"/>
    <s v="User Not Mapped"/>
    <n v="946830"/>
    <s v="BISWAJIT SARKAR"/>
    <s v="Private Retailer"/>
    <s v="7001151250"/>
    <n v="4.7249999999999996"/>
    <n v="879"/>
    <x v="7"/>
    <m/>
    <s v="2023-11-30"/>
    <s v="263373"/>
    <s v="M/s. Kanailal Kedar Prasad"/>
    <s v="9735692523"/>
  </r>
  <r>
    <s v="RCF Thal"/>
    <s v="N.C.Urea(45kg)"/>
    <s v="WB"/>
    <x v="7"/>
    <s v="Kumarganj"/>
    <s v="User Not Mapped"/>
    <s v="User Not Mapped"/>
    <s v="User Not Mapped"/>
    <n v="947632"/>
    <s v="M/S KHARAJUL MONDAL"/>
    <s v="Private Retailer"/>
    <s v="9474434079"/>
    <n v="6.8849999999999998"/>
    <n v="45"/>
    <x v="1"/>
    <m/>
    <s v="2026-03-13"/>
    <s v="263382"/>
    <s v="Tushar Kanti Agarwala"/>
    <s v="8597190846"/>
  </r>
  <r>
    <s v="RCF Trombay"/>
    <s v="15-15-15"/>
    <s v="WB"/>
    <x v="7"/>
    <s v="Kumarganj"/>
    <s v="User Not Mapped"/>
    <s v="User Not Mapped"/>
    <s v="User Not Mapped"/>
    <n v="1005176"/>
    <s v="PRADIP DAS"/>
    <s v="Private Retailer"/>
    <s v="9733422942"/>
    <n v="0.04"/>
    <n v="275"/>
    <x v="3"/>
    <m/>
    <s v="2025-07-26"/>
    <s v="332079"/>
    <s v="Amcherali Mandal"/>
    <s v="9547098638"/>
  </r>
  <r>
    <s v="RCF Thal"/>
    <s v="N.C.Urea(45kg)"/>
    <s v="WB"/>
    <x v="7"/>
    <s v="Kumarganj"/>
    <s v="User Not Mapped"/>
    <s v="User Not Mapped"/>
    <s v="User Not Mapped"/>
    <n v="1286111"/>
    <s v="M/S SAYANTA MONDAL"/>
    <s v="Private Retailer"/>
    <s v="9735559273"/>
    <n v="8.3249999999999993"/>
    <n v="49"/>
    <x v="1"/>
    <m/>
    <s v="2026-03-09"/>
    <s v="263373"/>
    <s v="M/s. Kanailal Kedar Prasad"/>
    <s v="9735692523"/>
  </r>
  <r>
    <s v="RCF Thal"/>
    <s v="N.C.Urea(45kg)"/>
    <s v="WB"/>
    <x v="7"/>
    <s v="Kumarganj"/>
    <s v="User Not Mapped"/>
    <s v="User Not Mapped"/>
    <s v="User Not Mapped"/>
    <n v="1410476"/>
    <s v="MAA MANASA SAR BHANDAR"/>
    <s v="Private Retailer"/>
    <s v="8967579940"/>
    <n v="6.5250000000000004"/>
    <n v="136"/>
    <x v="0"/>
    <m/>
    <s v="2025-12-12"/>
    <s v="263382"/>
    <s v="Tushar Kanti Agarwala"/>
    <s v="8597190846"/>
  </r>
  <r>
    <s v="RCF Thal"/>
    <s v="N.C.Urea(45kg)"/>
    <s v="WB"/>
    <x v="7"/>
    <s v="Kumarganj"/>
    <s v="User Not Mapped"/>
    <s v="User Not Mapped"/>
    <s v="User Not Mapped"/>
    <n v="1451641"/>
    <s v="Najmul Alam Mia  Majidur Mond"/>
    <s v="Private Retailer"/>
    <s v="9832721395"/>
    <n v="4.5"/>
    <n v="131"/>
    <x v="0"/>
    <m/>
    <s v="2025-12-17"/>
    <s v="263382"/>
    <s v="Tushar Kanti Agarwala"/>
    <s v="8597190846"/>
  </r>
  <r>
    <s v="RCF Thal"/>
    <s v="N.C.Urea(45kg)"/>
    <s v="WB"/>
    <x v="7"/>
    <s v="Kumarganj"/>
    <s v="User Not Mapped"/>
    <s v="User Not Mapped"/>
    <s v="User Not Mapped"/>
    <n v="1500861"/>
    <s v="M/S MONDAL FERTILZER"/>
    <s v="Private Retailer"/>
    <s v="9126635279"/>
    <n v="11.025"/>
    <n v="96"/>
    <x v="5"/>
    <m/>
    <s v="2026-01-21"/>
    <s v="263373"/>
    <s v="M/s. Kanailal Kedar Prasad"/>
    <s v="9735692523"/>
  </r>
  <r>
    <s v="RCF Thal"/>
    <s v="N.C.Urea(45kg)"/>
    <s v="WB"/>
    <x v="7"/>
    <s v="Kumarganj"/>
    <s v="User Not Mapped"/>
    <s v="User Not Mapped"/>
    <s v="User Not Mapped"/>
    <n v="1505051"/>
    <s v="M/S Gopinath Sar Bhandar"/>
    <s v="Private Retailer"/>
    <s v="8116813283"/>
    <n v="6.7050000000000001"/>
    <n v="94"/>
    <x v="5"/>
    <m/>
    <s v="2026-01-23"/>
    <s v="263373"/>
    <s v="M/s. Kanailal Kedar Prasad"/>
    <s v="9735692523"/>
  </r>
  <r>
    <s v="RCF Trombay"/>
    <s v="N.C.Urea(45kg)"/>
    <s v="WB"/>
    <x v="7"/>
    <s v="Kumarganj"/>
    <s v="User Not Mapped"/>
    <s v="User Not Mapped"/>
    <s v="User Not Mapped"/>
    <n v="1605675"/>
    <s v="Sarkar Krishi Bhandar"/>
    <s v="Private Retailer"/>
    <s v="7980816039"/>
    <n v="0.09"/>
    <n v="131"/>
    <x v="0"/>
    <m/>
    <s v="2025-12-17"/>
    <s v="263382"/>
    <s v="Tushar Kanti Agarwala"/>
    <s v="8597190846"/>
  </r>
  <r>
    <s v="RCF Thal"/>
    <s v="N.C.Urea(45kg)"/>
    <s v="WB"/>
    <x v="7"/>
    <s v="Kushmundi"/>
    <s v="User Not Mapped"/>
    <s v="User Not Mapped"/>
    <s v="User Not Mapped"/>
    <n v="126330"/>
    <s v="Abdul Hannan"/>
    <s v="Private Retailer"/>
    <s v="9733313177"/>
    <n v="1.44"/>
    <n v="263"/>
    <x v="3"/>
    <m/>
    <s v="2025-08-07"/>
    <s v="286422"/>
    <s v="Dipak Kumar Laha"/>
    <s v="6297583814"/>
  </r>
  <r>
    <s v="RCF Thal"/>
    <s v="N.C.Urea(45kg)"/>
    <s v="WB"/>
    <x v="7"/>
    <s v="Kushmundi"/>
    <s v="User Not Mapped"/>
    <s v="User Not Mapped"/>
    <s v="User Not Mapped"/>
    <n v="126330"/>
    <s v="Abdul Hannan"/>
    <s v="Private Retailer"/>
    <s v="9733313177"/>
    <n v="11.025"/>
    <n v="97"/>
    <x v="5"/>
    <m/>
    <s v="2026-01-20"/>
    <s v="263373"/>
    <s v="M/s. Kanailal Kedar Prasad"/>
    <s v="9735692523"/>
  </r>
  <r>
    <s v="RCF Thal"/>
    <s v="N.C.Urea(45kg)"/>
    <s v="WB"/>
    <x v="7"/>
    <s v="Kushmundi"/>
    <s v="User Not Mapped"/>
    <s v="User Not Mapped"/>
    <s v="User Not Mapped"/>
    <n v="126330"/>
    <s v="Abdul Hannan"/>
    <s v="Private Retailer"/>
    <s v="9733313177"/>
    <n v="11.025"/>
    <n v="133"/>
    <x v="0"/>
    <m/>
    <s v="2025-12-15"/>
    <s v="263373"/>
    <s v="M/s. Kanailal Kedar Prasad"/>
    <s v="9735692523"/>
  </r>
  <r>
    <s v="RCF Trombay"/>
    <s v="N.C.Urea(45kg)"/>
    <s v="WB"/>
    <x v="7"/>
    <s v="Kushmundi"/>
    <s v="User Not Mapped"/>
    <s v="User Not Mapped"/>
    <s v="User Not Mapped"/>
    <n v="126330"/>
    <s v="Abdul Hannan"/>
    <s v="Private Retailer"/>
    <s v="9733313177"/>
    <n v="8.91"/>
    <n v="140"/>
    <x v="0"/>
    <m/>
    <s v="2025-12-08"/>
    <s v="263373"/>
    <s v="M/s. Kanailal Kedar Prasad"/>
    <s v="9735692523"/>
  </r>
  <r>
    <s v="RCF Trombay"/>
    <s v="15-15-15"/>
    <s v="WB"/>
    <x v="7"/>
    <s v="Kushmundi"/>
    <s v="User Not Mapped"/>
    <s v="User Not Mapped"/>
    <s v="User Not Mapped"/>
    <n v="126365"/>
    <s v="HAQUE FERTILIZER"/>
    <s v="Private Retailer"/>
    <s v="9647758447"/>
    <n v="0.82"/>
    <n v="41"/>
    <x v="1"/>
    <m/>
    <s v="2026-03-17"/>
    <s v="340430"/>
    <s v="JIBAN KUMAR SEN"/>
    <s v="9434144964"/>
  </r>
  <r>
    <s v="RCF Thal"/>
    <s v="N.C.Urea(45kg)"/>
    <s v="WB"/>
    <x v="7"/>
    <s v="Kushmundi"/>
    <s v="User Not Mapped"/>
    <s v="User Not Mapped"/>
    <s v="User Not Mapped"/>
    <n v="126365"/>
    <s v="HAQUE FERTILIZER"/>
    <s v="Private Retailer"/>
    <s v="9647758447"/>
    <n v="0.05"/>
    <n v="154"/>
    <x v="0"/>
    <m/>
    <s v="2025-11-24"/>
    <s v="263373"/>
    <s v="M/s. Kanailal Kedar Prasad"/>
    <s v="9735692523"/>
  </r>
  <r>
    <s v="RCF Trombay"/>
    <s v="15-15-15"/>
    <s v="WB"/>
    <x v="7"/>
    <s v="Kushmundi"/>
    <s v="User Not Mapped"/>
    <s v="User Not Mapped"/>
    <s v="User Not Mapped"/>
    <n v="126365"/>
    <s v="HAQUE FERTILIZER"/>
    <s v="Private Retailer"/>
    <s v="9647758447"/>
    <n v="0.5"/>
    <n v="36"/>
    <x v="1"/>
    <m/>
    <s v="2026-03-22"/>
    <s v="340430"/>
    <s v="JIBAN KUMAR SEN"/>
    <s v="9434144964"/>
  </r>
  <r>
    <s v="RCF Trombay"/>
    <s v="15-15-15"/>
    <s v="WB"/>
    <x v="7"/>
    <s v="Kushmundi"/>
    <s v="User Not Mapped"/>
    <s v="User Not Mapped"/>
    <s v="User Not Mapped"/>
    <n v="126365"/>
    <s v="HAQUE FERTILIZER"/>
    <s v="Private Retailer"/>
    <s v="9647758447"/>
    <n v="1"/>
    <n v="27"/>
    <x v="4"/>
    <m/>
    <s v="2026-03-31"/>
    <s v="340430"/>
    <s v="JIBAN KUMAR SEN"/>
    <s v="9434144964"/>
  </r>
  <r>
    <s v="RCF Import"/>
    <s v="Imp 10-26-26"/>
    <s v="WB"/>
    <x v="7"/>
    <s v="Kushmundi"/>
    <s v="User Not Mapped"/>
    <s v="User Not Mapped"/>
    <s v="User Not Mapped"/>
    <n v="126375"/>
    <s v="RAHAMAN FERTILIZER AGENCY"/>
    <s v="Private Retailer"/>
    <s v="9734014603"/>
    <n v="0.25"/>
    <n v="506"/>
    <x v="6"/>
    <m/>
    <s v="2024-12-07"/>
    <s v="286427"/>
    <s v="Keshav Joshi"/>
    <s v="9475163493"/>
  </r>
  <r>
    <s v="RCF Trombay"/>
    <s v="N.C.Urea(45kg)"/>
    <s v="WB"/>
    <x v="7"/>
    <s v="Kushmundi"/>
    <s v="User Not Mapped"/>
    <s v="User Not Mapped"/>
    <s v="User Not Mapped"/>
    <n v="126390"/>
    <s v="Ashimuddin Ahammed"/>
    <s v="Private Retailer"/>
    <s v="9733848112"/>
    <n v="4.8150000000000004"/>
    <n v="131"/>
    <x v="0"/>
    <m/>
    <s v="2025-12-17"/>
    <s v="263382"/>
    <s v="Tushar Kanti Agarwala"/>
    <s v="8597190846"/>
  </r>
  <r>
    <s v="RCF Import"/>
    <s v="Imp 10-26-26"/>
    <s v="WB"/>
    <x v="7"/>
    <s v="Kushmundi"/>
    <s v="User Not Mapped"/>
    <s v="User Not Mapped"/>
    <s v="User Not Mapped"/>
    <n v="126602"/>
    <s v="Khairul Alam"/>
    <s v="Private Retailer"/>
    <s v="9733276907"/>
    <n v="0.4"/>
    <n v="883"/>
    <x v="7"/>
    <m/>
    <s v="2023-11-26"/>
    <s v="340430"/>
    <s v="JIBAN KUMAR SEN"/>
    <s v="9434144964"/>
  </r>
  <r>
    <s v="RCF Thal"/>
    <s v="N.C.Urea(45kg)"/>
    <s v="WB"/>
    <x v="7"/>
    <s v="Kushmundi"/>
    <s v="User Not Mapped"/>
    <s v="User Not Mapped"/>
    <s v="User Not Mapped"/>
    <n v="126655"/>
    <s v="Manju Krishi Ghar"/>
    <s v="Private Retailer"/>
    <s v="9733183016"/>
    <n v="5.0000000000000001E-3"/>
    <n v="2673"/>
    <x v="7"/>
    <m/>
    <s v="2019-01-01"/>
    <s v="11"/>
    <s v="Too Old Stock"/>
    <m/>
  </r>
  <r>
    <s v="RCF Thal"/>
    <s v="N.C.Urea(45kg)"/>
    <s v="WB"/>
    <x v="7"/>
    <s v="Kushmundi"/>
    <s v="User Not Mapped"/>
    <s v="User Not Mapped"/>
    <s v="User Not Mapped"/>
    <n v="126735"/>
    <s v="Nojrul Islam"/>
    <s v="Private Retailer"/>
    <s v="7407892228"/>
    <n v="4.9950000000000001"/>
    <n v="133"/>
    <x v="0"/>
    <m/>
    <s v="2025-12-15"/>
    <s v="263373"/>
    <s v="M/s. Kanailal Kedar Prasad"/>
    <s v="9735692523"/>
  </r>
  <r>
    <s v="RCF Thal"/>
    <s v="N.C.Urea(45kg)"/>
    <s v="WB"/>
    <x v="7"/>
    <s v="Kushmundi"/>
    <s v="User Not Mapped"/>
    <s v="User Not Mapped"/>
    <s v="User Not Mapped"/>
    <n v="126790"/>
    <s v="Rahaman Fertilizer Agency"/>
    <s v="Private Retailer"/>
    <s v="6296511594"/>
    <n v="8.3249999999999993"/>
    <n v="94"/>
    <x v="5"/>
    <m/>
    <s v="2026-01-23"/>
    <s v="263373"/>
    <s v="M/s. Kanailal Kedar Prasad"/>
    <s v="9735692523"/>
  </r>
  <r>
    <s v="RCF Thal"/>
    <s v="N.C.Urea(45kg)"/>
    <s v="WB"/>
    <x v="7"/>
    <s v="Kushmundi"/>
    <s v="User Not Mapped"/>
    <s v="User Not Mapped"/>
    <s v="User Not Mapped"/>
    <n v="126829"/>
    <s v="M/S AHACHAN ALI NURUL ISLAM"/>
    <s v="Private Retailer"/>
    <s v="9734125747"/>
    <n v="0.54"/>
    <n v="152"/>
    <x v="0"/>
    <m/>
    <s v="2025-11-26"/>
    <s v="263382"/>
    <s v="Tushar Kanti Agarwala"/>
    <s v="8597190846"/>
  </r>
  <r>
    <s v="RCF Trombay"/>
    <s v="N.C.Urea(45kg)"/>
    <s v="WB"/>
    <x v="7"/>
    <s v="Kushmundi"/>
    <s v="User Not Mapped"/>
    <s v="User Not Mapped"/>
    <s v="User Not Mapped"/>
    <n v="126837"/>
    <s v="Sadhan Chakraborty"/>
    <s v="Private Retailer"/>
    <s v="9734981693"/>
    <n v="1.41"/>
    <n v="140"/>
    <x v="0"/>
    <m/>
    <s v="2025-12-08"/>
    <s v="263373"/>
    <s v="M/s. Kanailal Kedar Prasad"/>
    <s v="9735692523"/>
  </r>
  <r>
    <s v="RCF Thal"/>
    <s v="N.C.Urea(45kg)"/>
    <s v="WB"/>
    <x v="7"/>
    <s v="Kushmundi"/>
    <s v="User Not Mapped"/>
    <s v="User Not Mapped"/>
    <s v="User Not Mapped"/>
    <n v="126926"/>
    <s v="Swapan Kumar Roy"/>
    <s v="Private Retailer"/>
    <s v="9734138031"/>
    <n v="2.415"/>
    <n v="263"/>
    <x v="3"/>
    <m/>
    <s v="2025-08-07"/>
    <s v="286422"/>
    <s v="Dipak Kumar Laha"/>
    <s v="6297583814"/>
  </r>
  <r>
    <s v="RCF Trombay"/>
    <s v="15-15-15"/>
    <s v="WB"/>
    <x v="7"/>
    <s v="Kushmundi"/>
    <s v="User Not Mapped"/>
    <s v="User Not Mapped"/>
    <s v="User Not Mapped"/>
    <n v="216439"/>
    <s v="ABDUL HASAN"/>
    <s v="Private Retailer"/>
    <s v="9593966838"/>
    <n v="0.05"/>
    <n v="1202"/>
    <x v="7"/>
    <m/>
    <s v="2023-01-11"/>
    <s v="263370"/>
    <s v="MS Deepak Kumar Sarkar And Son"/>
    <s v="9851529233"/>
  </r>
  <r>
    <s v="RCF Thal"/>
    <s v="N.C.Urea(45kg)"/>
    <s v="WB"/>
    <x v="7"/>
    <s v="Kushmundi"/>
    <s v="User Not Mapped"/>
    <s v="User Not Mapped"/>
    <s v="User Not Mapped"/>
    <n v="286419"/>
    <s v="Keshab Joshi"/>
    <s v="Private Retailer"/>
    <s v="9475163493"/>
    <n v="15.164999999999999"/>
    <n v="68"/>
    <x v="2"/>
    <m/>
    <s v="2026-02-18"/>
    <s v="263373"/>
    <s v="M/s. Kanailal Kedar Prasad"/>
    <s v="9735692523"/>
  </r>
  <r>
    <s v="RCF Trombay"/>
    <s v="15-15-15"/>
    <s v="WB"/>
    <x v="7"/>
    <s v="Kushmundi"/>
    <s v="User Not Mapped"/>
    <s v="User Not Mapped"/>
    <s v="User Not Mapped"/>
    <n v="286419"/>
    <s v="Keshab Joshi"/>
    <s v="Private Retailer"/>
    <s v="9475163493"/>
    <n v="2"/>
    <n v="69"/>
    <x v="2"/>
    <m/>
    <s v="2026-02-17"/>
    <s v="286427"/>
    <s v="Keshav Joshi"/>
    <s v="9475163493"/>
  </r>
  <r>
    <s v="RCF Thal"/>
    <s v="N.C.Urea(45kg)"/>
    <s v="WB"/>
    <x v="7"/>
    <s v="Kushmundi"/>
    <s v="User Not Mapped"/>
    <s v="User Not Mapped"/>
    <s v="User Not Mapped"/>
    <n v="340338"/>
    <s v="Golam Rabbani"/>
    <s v="Private Retailer"/>
    <s v="9593828018"/>
    <n v="7.4249999999999998"/>
    <n v="45"/>
    <x v="1"/>
    <m/>
    <s v="2026-03-13"/>
    <s v="263382"/>
    <s v="Tushar Kanti Agarwala"/>
    <s v="8597190846"/>
  </r>
  <r>
    <s v="RCF Thal"/>
    <s v="N.C.Urea(45kg)"/>
    <s v="WB"/>
    <x v="7"/>
    <s v="Kushmundi"/>
    <s v="User Not Mapped"/>
    <s v="User Not Mapped"/>
    <s v="User Not Mapped"/>
    <n v="391361"/>
    <s v="JIBAN KUMAR SEN"/>
    <s v="Private Retailer"/>
    <s v="9932739567"/>
    <n v="4.4550000000000001"/>
    <n v="107"/>
    <x v="5"/>
    <m/>
    <s v="2026-01-10"/>
    <s v="263373"/>
    <s v="M/s. Kanailal Kedar Prasad"/>
    <s v="9735692523"/>
  </r>
  <r>
    <s v="RCF Thal"/>
    <s v="N.C.Urea(45kg)"/>
    <s v="WB"/>
    <x v="7"/>
    <s v="Kushmundi"/>
    <s v="User Not Mapped"/>
    <s v="User Not Mapped"/>
    <s v="User Not Mapped"/>
    <n v="391377"/>
    <s v="Ali Fert. Agency"/>
    <s v="Private Retailer"/>
    <s v="8768180108"/>
    <n v="3.0150000000000001"/>
    <n v="263"/>
    <x v="3"/>
    <m/>
    <s v="2025-08-07"/>
    <s v="286422"/>
    <s v="Dipak Kumar Laha"/>
    <s v="6297583814"/>
  </r>
  <r>
    <s v="RCF Thal"/>
    <s v="N.C.Urea(45kg)"/>
    <s v="WB"/>
    <x v="7"/>
    <s v="Kushmundi"/>
    <s v="User Not Mapped"/>
    <s v="User Not Mapped"/>
    <s v="User Not Mapped"/>
    <n v="391377"/>
    <s v="Ali Fert. Agency"/>
    <s v="Private Retailer"/>
    <s v="8768180108"/>
    <n v="3.15"/>
    <n v="14"/>
    <x v="4"/>
    <m/>
    <s v="2026-04-13"/>
    <s v="263382"/>
    <s v="Tushar Kanti Agarwala"/>
    <s v="8597190846"/>
  </r>
  <r>
    <s v="RCF Import"/>
    <s v="MOP"/>
    <s v="WB"/>
    <x v="7"/>
    <s v="Kushmundi"/>
    <s v="User Not Mapped"/>
    <s v="User Not Mapped"/>
    <s v="User Not Mapped"/>
    <n v="391377"/>
    <s v="Ali Fert. Agency"/>
    <s v="Private Retailer"/>
    <s v="8768180108"/>
    <n v="1.25"/>
    <n v="246"/>
    <x v="3"/>
    <m/>
    <s v="2025-08-24"/>
    <s v="286427"/>
    <s v="Keshav Joshi"/>
    <s v="9475163493"/>
  </r>
  <r>
    <s v="RCF Trombay"/>
    <s v="N.C.Urea(45kg)"/>
    <s v="WB"/>
    <x v="7"/>
    <s v="Kushmundi"/>
    <s v="User Not Mapped"/>
    <s v="User Not Mapped"/>
    <s v="User Not Mapped"/>
    <n v="391383"/>
    <s v="Sarkar Fert. Agency"/>
    <s v="Private Retailer"/>
    <s v="9733105161"/>
    <n v="2.3849999999999998"/>
    <n v="140"/>
    <x v="0"/>
    <m/>
    <s v="2025-12-08"/>
    <s v="263373"/>
    <s v="M/s. Kanailal Kedar Prasad"/>
    <s v="9735692523"/>
  </r>
  <r>
    <s v="RCF Trombay"/>
    <s v="15-15-15"/>
    <s v="WB"/>
    <x v="7"/>
    <s v="Kushmundi"/>
    <s v="User Not Mapped"/>
    <s v="User Not Mapped"/>
    <s v="User Not Mapped"/>
    <n v="633342"/>
    <s v="ALI FERTILIZER AGENCY"/>
    <s v="Private Retailer"/>
    <s v="9733248366"/>
    <n v="1"/>
    <n v="65"/>
    <x v="2"/>
    <m/>
    <s v="2026-02-21"/>
    <s v="340430"/>
    <s v="JIBAN KUMAR SEN"/>
    <s v="9434144964"/>
  </r>
  <r>
    <s v="RCF Trombay"/>
    <s v="15-15-15"/>
    <s v="WB"/>
    <x v="7"/>
    <s v="Kushmundi"/>
    <s v="User Not Mapped"/>
    <s v="User Not Mapped"/>
    <s v="User Not Mapped"/>
    <n v="633342"/>
    <s v="ALI FERTILIZER AGENCY"/>
    <s v="Private Retailer"/>
    <s v="9733248366"/>
    <n v="1"/>
    <n v="36"/>
    <x v="1"/>
    <m/>
    <s v="2026-03-22"/>
    <s v="340430"/>
    <s v="JIBAN KUMAR SEN"/>
    <s v="9434144964"/>
  </r>
  <r>
    <s v="RCF Trombay"/>
    <s v="15-15-15"/>
    <s v="WB"/>
    <x v="7"/>
    <s v="Kushmundi"/>
    <s v="User Not Mapped"/>
    <s v="User Not Mapped"/>
    <s v="User Not Mapped"/>
    <n v="633342"/>
    <s v="ALI FERTILIZER AGENCY"/>
    <s v="Private Retailer"/>
    <s v="9733248366"/>
    <n v="2"/>
    <n v="11"/>
    <x v="4"/>
    <m/>
    <s v="2026-04-16"/>
    <s v="340430"/>
    <s v="JIBAN KUMAR SEN"/>
    <s v="9434144964"/>
  </r>
  <r>
    <s v="RCF Trombay"/>
    <s v="15-15-15"/>
    <s v="WB"/>
    <x v="7"/>
    <s v="Kushmundi"/>
    <s v="User Not Mapped"/>
    <s v="User Not Mapped"/>
    <s v="User Not Mapped"/>
    <n v="633342"/>
    <s v="ALI FERTILIZER AGENCY"/>
    <s v="Private Retailer"/>
    <s v="9733248366"/>
    <n v="0.05"/>
    <n v="241"/>
    <x v="3"/>
    <m/>
    <s v="2025-08-29"/>
    <s v="263382"/>
    <s v="Tushar Kanti Agarwala"/>
    <s v="8597190846"/>
  </r>
  <r>
    <s v="RCF Trombay"/>
    <s v="N.C.Urea(45kg)"/>
    <s v="WB"/>
    <x v="7"/>
    <s v="Kushmundi"/>
    <s v="User Not Mapped"/>
    <s v="User Not Mapped"/>
    <s v="User Not Mapped"/>
    <n v="648317"/>
    <s v="HOSSAIN FERTILIZER AGENCY"/>
    <s v="Private Retailer"/>
    <s v="6294388519"/>
    <n v="7.38"/>
    <n v="171"/>
    <x v="0"/>
    <m/>
    <s v="2025-11-07"/>
    <s v="263373"/>
    <s v="M/s. Kanailal Kedar Prasad"/>
    <s v="9735692523"/>
  </r>
  <r>
    <s v="RCF Thal"/>
    <s v="N.C.Urea(45kg)"/>
    <s v="WB"/>
    <x v="7"/>
    <s v="Kushmundi"/>
    <s v="User Not Mapped"/>
    <s v="User Not Mapped"/>
    <s v="User Not Mapped"/>
    <n v="648317"/>
    <s v="HOSSAIN FERTILIZER AGENCY"/>
    <s v="Private Retailer"/>
    <s v="6294388519"/>
    <n v="2.9249999999999998"/>
    <n v="96"/>
    <x v="5"/>
    <m/>
    <s v="2026-01-21"/>
    <s v="263373"/>
    <s v="M/s. Kanailal Kedar Prasad"/>
    <s v="9735692523"/>
  </r>
  <r>
    <s v="RCF Trombay"/>
    <s v="N.C.Urea(45kg)"/>
    <s v="WB"/>
    <x v="7"/>
    <s v="Kushmundi"/>
    <s v="User Not Mapped"/>
    <s v="User Not Mapped"/>
    <s v="User Not Mapped"/>
    <n v="653518"/>
    <s v="M/S DHANALAKSHMI KRISHI SAR BH"/>
    <s v="Private Retailer"/>
    <s v="7719244770"/>
    <n v="4.5"/>
    <n v="138"/>
    <x v="0"/>
    <m/>
    <s v="2025-12-10"/>
    <s v="263382"/>
    <s v="Tushar Kanti Agarwala"/>
    <s v="8597190846"/>
  </r>
  <r>
    <s v="RCF Import"/>
    <s v="Imp 10-26-26"/>
    <s v="WB"/>
    <x v="7"/>
    <s v="Kushmundi"/>
    <s v="User Not Mapped"/>
    <s v="User Not Mapped"/>
    <s v="User Not Mapped"/>
    <n v="653518"/>
    <s v="M/S DHANALAKSHMI KRISHI SAR BH"/>
    <s v="Private Retailer"/>
    <s v="7719244770"/>
    <n v="0.05"/>
    <n v="858"/>
    <x v="7"/>
    <m/>
    <s v="2023-12-21"/>
    <s v="340430"/>
    <s v="JIBAN KUMAR SEN"/>
    <s v="9434144964"/>
  </r>
  <r>
    <s v="RCF Trombay"/>
    <s v="15-15-15"/>
    <s v="WB"/>
    <x v="7"/>
    <s v="Kushmundi"/>
    <s v="User Not Mapped"/>
    <s v="User Not Mapped"/>
    <s v="User Not Mapped"/>
    <n v="653526"/>
    <s v="M/S ISLAM FERT. AGENCY"/>
    <s v="Private Retailer"/>
    <s v="9733424178"/>
    <n v="0.35"/>
    <n v="143"/>
    <x v="0"/>
    <m/>
    <s v="2025-12-05"/>
    <s v="263374"/>
    <s v="M/s. Krishi Unnayan Kendra"/>
    <s v="8759907610"/>
  </r>
  <r>
    <s v="RCF Trombay"/>
    <s v="N.C.Urea(45kg)"/>
    <s v="WB"/>
    <x v="7"/>
    <s v="Kushmundi"/>
    <s v="User Not Mapped"/>
    <s v="User Not Mapped"/>
    <s v="User Not Mapped"/>
    <n v="654389"/>
    <s v="M/S NAZARUL ISLAM"/>
    <s v="Private Retailer"/>
    <s v="9734980453"/>
    <n v="1.665"/>
    <n v="171"/>
    <x v="0"/>
    <m/>
    <s v="2025-11-07"/>
    <s v="263373"/>
    <s v="M/s. Kanailal Kedar Prasad"/>
    <s v="9735692523"/>
  </r>
  <r>
    <s v="RCF Trombay"/>
    <s v="15-15-15"/>
    <s v="WB"/>
    <x v="7"/>
    <s v="Kushmundi"/>
    <s v="User Not Mapped"/>
    <s v="User Not Mapped"/>
    <s v="User Not Mapped"/>
    <n v="654703"/>
    <s v="LAKSHMI FERTILIZER AGENCY"/>
    <s v="Private Retailer"/>
    <s v="9593214677"/>
    <n v="0.5"/>
    <n v="27"/>
    <x v="4"/>
    <m/>
    <s v="2026-03-31"/>
    <s v="340430"/>
    <s v="JIBAN KUMAR SEN"/>
    <s v="9434144964"/>
  </r>
  <r>
    <s v="RCF Trombay"/>
    <s v="15-15-15"/>
    <s v="WB"/>
    <x v="7"/>
    <s v="Kushmundi"/>
    <s v="User Not Mapped"/>
    <s v="User Not Mapped"/>
    <s v="User Not Mapped"/>
    <n v="655503"/>
    <s v="M/S MUNTU ROY"/>
    <s v="Private Retailer"/>
    <s v="9733363166"/>
    <n v="0.75"/>
    <n v="273"/>
    <x v="3"/>
    <m/>
    <s v="2025-07-28"/>
    <s v="263374"/>
    <s v="M/s. Krishi Unnayan Kendra"/>
    <s v="8759907610"/>
  </r>
  <r>
    <s v="RCF Import"/>
    <s v="Imp 10-26-26"/>
    <s v="WB"/>
    <x v="7"/>
    <s v="Kushmundi"/>
    <s v="User Not Mapped"/>
    <s v="User Not Mapped"/>
    <s v="User Not Mapped"/>
    <n v="655503"/>
    <s v="M/S MUNTU ROY"/>
    <s v="Private Retailer"/>
    <s v="9733363166"/>
    <n v="0.35"/>
    <n v="498"/>
    <x v="6"/>
    <m/>
    <s v="2024-12-15"/>
    <s v="340430"/>
    <s v="JIBAN KUMAR SEN"/>
    <s v="9434144964"/>
  </r>
  <r>
    <s v="RCF Trombay"/>
    <s v="15-15-15"/>
    <s v="WB"/>
    <x v="7"/>
    <s v="Kushmundi"/>
    <s v="User Not Mapped"/>
    <s v="User Not Mapped"/>
    <s v="User Not Mapped"/>
    <n v="655503"/>
    <s v="M/S MUNTU ROY"/>
    <s v="Private Retailer"/>
    <s v="9733363166"/>
    <n v="0.5"/>
    <n v="253"/>
    <x v="3"/>
    <m/>
    <s v="2025-08-17"/>
    <s v="263374"/>
    <s v="M/s. Krishi Unnayan Kendra"/>
    <s v="8759907610"/>
  </r>
  <r>
    <s v="RCF Trombay"/>
    <s v="N.C.Urea(45kg)"/>
    <s v="WB"/>
    <x v="7"/>
    <s v="Kushmundi"/>
    <s v="User Not Mapped"/>
    <s v="User Not Mapped"/>
    <s v="User Not Mapped"/>
    <n v="708179"/>
    <s v="M/S. MAJEDUR FERTILIZER"/>
    <s v="Private Retailer"/>
    <s v="8945020627"/>
    <n v="0.04"/>
    <n v="1439"/>
    <x v="7"/>
    <m/>
    <s v="2022-05-19"/>
    <s v="340430"/>
    <s v="JIBAN KUMAR SEN"/>
    <s v="9434144964"/>
  </r>
  <r>
    <s v="RCF Import"/>
    <s v="Imp 10-26-26"/>
    <s v="WB"/>
    <x v="7"/>
    <s v="Kushmundi"/>
    <s v="User Not Mapped"/>
    <s v="User Not Mapped"/>
    <s v="User Not Mapped"/>
    <n v="708179"/>
    <s v="M/S. MAJEDUR FERTILIZER"/>
    <s v="Private Retailer"/>
    <s v="8945020627"/>
    <n v="0.5"/>
    <n v="881"/>
    <x v="7"/>
    <m/>
    <s v="2023-11-28"/>
    <s v="340430"/>
    <s v="JIBAN KUMAR SEN"/>
    <s v="9434144964"/>
  </r>
  <r>
    <s v="RCF Trombay"/>
    <s v="15-15-15"/>
    <s v="WB"/>
    <x v="7"/>
    <s v="Kushmundi"/>
    <s v="User Not Mapped"/>
    <s v="User Not Mapped"/>
    <s v="User Not Mapped"/>
    <n v="708183"/>
    <s v="MAJIBUR RAHAMAN"/>
    <s v="Private Retailer"/>
    <s v="8348624384"/>
    <n v="0.3"/>
    <n v="595"/>
    <x v="7"/>
    <m/>
    <s v="2024-09-09"/>
    <s v="263377"/>
    <s v="Rahaman Fertilizer Agency"/>
    <s v="9064276670"/>
  </r>
  <r>
    <s v="RCF Trombay"/>
    <s v="N.C.Urea(45kg)"/>
    <s v="WB"/>
    <x v="7"/>
    <s v="Kushmundi"/>
    <s v="User Not Mapped"/>
    <s v="User Not Mapped"/>
    <s v="User Not Mapped"/>
    <n v="755084"/>
    <s v="BANKIM SARKAR"/>
    <s v="Private Retailer"/>
    <s v="7872956725"/>
    <n v="6.84"/>
    <n v="171"/>
    <x v="0"/>
    <m/>
    <s v="2025-11-07"/>
    <s v="263373"/>
    <s v="M/s. Kanailal Kedar Prasad"/>
    <s v="9735692523"/>
  </r>
  <r>
    <s v="RCF Trombay"/>
    <s v="N.C.Urea(45kg)"/>
    <s v="WB"/>
    <x v="7"/>
    <s v="Kushmundi"/>
    <s v="User Not Mapped"/>
    <s v="User Not Mapped"/>
    <s v="User Not Mapped"/>
    <n v="768128"/>
    <s v="M/S. JIBAN KR SEN"/>
    <s v="Private Retailer"/>
    <s v="9434144964"/>
    <n v="2.34"/>
    <n v="140"/>
    <x v="0"/>
    <m/>
    <s v="2025-12-08"/>
    <s v="263373"/>
    <s v="M/s. Kanailal Kedar Prasad"/>
    <s v="9735692523"/>
  </r>
  <r>
    <s v="RCF Thal"/>
    <s v="N.C.Urea(45kg)"/>
    <s v="WB"/>
    <x v="7"/>
    <s v="Kushmundi"/>
    <s v="User Not Mapped"/>
    <s v="User Not Mapped"/>
    <s v="User Not Mapped"/>
    <n v="768128"/>
    <s v="M/S. JIBAN KR SEN"/>
    <s v="Private Retailer"/>
    <s v="9434144964"/>
    <n v="11.25"/>
    <n v="45"/>
    <x v="1"/>
    <m/>
    <s v="2026-03-13"/>
    <s v="263382"/>
    <s v="Tushar Kanti Agarwala"/>
    <s v="8597190846"/>
  </r>
  <r>
    <s v="RCF Trombay"/>
    <s v="15-15-15"/>
    <s v="WB"/>
    <x v="7"/>
    <s v="Kushmundi"/>
    <s v="User Not Mapped"/>
    <s v="User Not Mapped"/>
    <s v="User Not Mapped"/>
    <n v="796928"/>
    <s v="M/S DADA BHAI FERTILIZER"/>
    <s v="Private Retailer"/>
    <s v="9734193351"/>
    <n v="4.2000000000000003E-2"/>
    <n v="136"/>
    <x v="0"/>
    <m/>
    <s v="2025-12-12"/>
    <s v="263377"/>
    <s v="Rahaman Fertilizer Agency"/>
    <s v="9064276670"/>
  </r>
  <r>
    <s v="RCF Thal"/>
    <s v="N.C.Urea(45kg)"/>
    <s v="WB"/>
    <x v="7"/>
    <s v="Kushmundi"/>
    <s v="User Not Mapped"/>
    <s v="User Not Mapped"/>
    <s v="User Not Mapped"/>
    <n v="796928"/>
    <s v="M/S DADA BHAI FERTILIZER"/>
    <s v="Private Retailer"/>
    <s v="9734193351"/>
    <n v="4.95"/>
    <n v="97"/>
    <x v="5"/>
    <m/>
    <s v="2026-01-20"/>
    <s v="263373"/>
    <s v="M/s. Kanailal Kedar Prasad"/>
    <s v="9735692523"/>
  </r>
  <r>
    <s v="RCF Import"/>
    <s v="Imp 10-26-26"/>
    <s v="WB"/>
    <x v="7"/>
    <s v="Kushmundi"/>
    <s v="User Not Mapped"/>
    <s v="User Not Mapped"/>
    <s v="User Not Mapped"/>
    <n v="796928"/>
    <s v="M/S DADA BHAI FERTILIZER"/>
    <s v="Private Retailer"/>
    <s v="9734193351"/>
    <n v="0.5"/>
    <n v="510"/>
    <x v="6"/>
    <m/>
    <s v="2024-12-03"/>
    <s v="263377"/>
    <s v="Rahaman Fertilizer Agency"/>
    <s v="9064276670"/>
  </r>
  <r>
    <s v="RCF Thal"/>
    <s v="N.C.Urea(45kg)"/>
    <s v="WB"/>
    <x v="7"/>
    <s v="Kushmundi"/>
    <s v="User Not Mapped"/>
    <s v="User Not Mapped"/>
    <s v="User Not Mapped"/>
    <n v="833803"/>
    <s v="MASUD ALAM"/>
    <s v="Private Retailer"/>
    <s v="7602613737"/>
    <n v="3.5000000000000003E-2"/>
    <n v="1960"/>
    <x v="7"/>
    <m/>
    <s v="2020-12-14"/>
    <s v="281503"/>
    <s v="Krishi Ghar"/>
    <s v="7031245549"/>
  </r>
  <r>
    <s v="RCF Import"/>
    <s v="Imp 10-26-26"/>
    <s v="WB"/>
    <x v="7"/>
    <s v="Kushmundi"/>
    <s v="User Not Mapped"/>
    <s v="User Not Mapped"/>
    <s v="User Not Mapped"/>
    <n v="843318"/>
    <s v="ROY FERTILIZER AGENCY"/>
    <s v="Private Retailer"/>
    <s v="9735785317"/>
    <n v="0.91"/>
    <n v="858"/>
    <x v="7"/>
    <m/>
    <s v="2023-12-21"/>
    <s v="340430"/>
    <s v="JIBAN KUMAR SEN"/>
    <s v="9434144964"/>
  </r>
  <r>
    <s v="RCF Import"/>
    <s v="MOP"/>
    <s v="WB"/>
    <x v="7"/>
    <s v="Kushmundi"/>
    <s v="User Not Mapped"/>
    <s v="User Not Mapped"/>
    <s v="User Not Mapped"/>
    <n v="848380"/>
    <s v="GOLICHAND ROY"/>
    <s v="Private Retailer"/>
    <s v="9734997525"/>
    <n v="0.5"/>
    <n v="402"/>
    <x v="6"/>
    <m/>
    <s v="2025-03-21"/>
    <s v="340430"/>
    <s v="JIBAN KUMAR SEN"/>
    <s v="9434144964"/>
  </r>
  <r>
    <s v="RCF Trombay"/>
    <s v="N.C.Urea(45kg)"/>
    <s v="WB"/>
    <x v="7"/>
    <s v="Kushmundi"/>
    <s v="User Not Mapped"/>
    <s v="User Not Mapped"/>
    <s v="User Not Mapped"/>
    <n v="872918"/>
    <s v="BHARAT MAHATO"/>
    <s v="Private Retailer"/>
    <s v="9735909925"/>
    <n v="1.98"/>
    <n v="1241"/>
    <x v="7"/>
    <m/>
    <s v="2022-12-03"/>
    <s v="1150421"/>
    <s v="M/S KAMAL KUMAR DAS"/>
    <s v="7432910905"/>
  </r>
  <r>
    <s v="RCF Trombay"/>
    <s v="15-15-15"/>
    <s v="WB"/>
    <x v="7"/>
    <s v="Kushmundi"/>
    <s v="User Not Mapped"/>
    <s v="User Not Mapped"/>
    <s v="User Not Mapped"/>
    <n v="872918"/>
    <s v="BHARAT MAHATO"/>
    <s v="Private Retailer"/>
    <s v="9735909925"/>
    <n v="2"/>
    <n v="241"/>
    <x v="3"/>
    <m/>
    <s v="2025-08-29"/>
    <s v="263382"/>
    <s v="Tushar Kanti Agarwala"/>
    <s v="8597190846"/>
  </r>
  <r>
    <s v="RCF Trombay"/>
    <s v="15-15-15"/>
    <s v="WB"/>
    <x v="7"/>
    <s v="Kushmundi"/>
    <s v="User Not Mapped"/>
    <s v="User Not Mapped"/>
    <s v="User Not Mapped"/>
    <n v="872918"/>
    <s v="BHARAT MAHATO"/>
    <s v="Private Retailer"/>
    <s v="9735909925"/>
    <n v="2"/>
    <n v="138"/>
    <x v="0"/>
    <m/>
    <s v="2025-12-10"/>
    <s v="263382"/>
    <s v="Tushar Kanti Agarwala"/>
    <s v="8597190846"/>
  </r>
  <r>
    <s v="RCF Thal"/>
    <s v="N.C.Urea(45kg)"/>
    <s v="WB"/>
    <x v="7"/>
    <s v="Kushmundi"/>
    <s v="User Not Mapped"/>
    <s v="User Not Mapped"/>
    <s v="User Not Mapped"/>
    <n v="872918"/>
    <s v="BHARAT MAHATO"/>
    <s v="Private Retailer"/>
    <s v="9735909925"/>
    <n v="0.43"/>
    <n v="1664"/>
    <x v="7"/>
    <m/>
    <s v="2021-10-06"/>
    <s v="340430"/>
    <s v="JIBAN KUMAR SEN"/>
    <s v="9434144964"/>
  </r>
  <r>
    <s v="RCF Trombay"/>
    <s v="15-15-15"/>
    <s v="WB"/>
    <x v="7"/>
    <s v="Kushmundi"/>
    <s v="User Not Mapped"/>
    <s v="User Not Mapped"/>
    <s v="User Not Mapped"/>
    <n v="944484"/>
    <s v="M/S. GALEN CHANDRA SARKAR"/>
    <s v="Private Retailer"/>
    <s v="8016232624"/>
    <n v="0.5"/>
    <n v="41"/>
    <x v="1"/>
    <m/>
    <s v="2026-03-17"/>
    <s v="340430"/>
    <s v="JIBAN KUMAR SEN"/>
    <s v="9434144964"/>
  </r>
  <r>
    <s v="RCF Thal"/>
    <s v="N.C.Urea(45kg)"/>
    <s v="WB"/>
    <x v="7"/>
    <s v="Kushmundi"/>
    <s v="User Not Mapped"/>
    <s v="User Not Mapped"/>
    <s v="User Not Mapped"/>
    <n v="944488"/>
    <s v="SABUJ SATHI FERTILIZER"/>
    <s v="Private Retailer"/>
    <s v="8145877615"/>
    <n v="0.02"/>
    <n v="1532"/>
    <x v="7"/>
    <m/>
    <s v="2022-02-15"/>
    <s v="340430"/>
    <s v="JIBAN KUMAR SEN"/>
    <s v="9434144964"/>
  </r>
  <r>
    <s v="RCF Thal"/>
    <s v="N.C.Urea(45kg)"/>
    <s v="WB"/>
    <x v="7"/>
    <s v="Kushmundi"/>
    <s v="User Not Mapped"/>
    <s v="User Not Mapped"/>
    <s v="User Not Mapped"/>
    <n v="945147"/>
    <s v="SUFALA SAR BHANDAR"/>
    <s v="Private Retailer"/>
    <s v="6295620445"/>
    <n v="11.025"/>
    <n v="45"/>
    <x v="1"/>
    <m/>
    <s v="2026-03-13"/>
    <s v="263382"/>
    <s v="Tushar Kanti Agarwala"/>
    <s v="8597190846"/>
  </r>
  <r>
    <s v="RCF Import"/>
    <s v="MOP"/>
    <s v="WB"/>
    <x v="7"/>
    <s v="Kushmundi"/>
    <s v="User Not Mapped"/>
    <s v="User Not Mapped"/>
    <s v="User Not Mapped"/>
    <n v="968220"/>
    <s v="KALIDAS ROY"/>
    <s v="Private Retailer"/>
    <s v="9735055233"/>
    <n v="0.2"/>
    <n v="405"/>
    <x v="6"/>
    <m/>
    <s v="2025-03-18"/>
    <s v="340430"/>
    <s v="JIBAN KUMAR SEN"/>
    <s v="9434144964"/>
  </r>
  <r>
    <s v="RCF Trombay"/>
    <s v="15-15-15"/>
    <s v="WB"/>
    <x v="7"/>
    <s v="Kushmundi"/>
    <s v="User Not Mapped"/>
    <s v="User Not Mapped"/>
    <s v="User Not Mapped"/>
    <n v="968230"/>
    <s v="BARMAN FERTILIZER"/>
    <s v="Private Retailer"/>
    <s v="8637576120"/>
    <n v="1"/>
    <n v="11"/>
    <x v="4"/>
    <m/>
    <s v="2026-04-16"/>
    <s v="340430"/>
    <s v="JIBAN KUMAR SEN"/>
    <s v="9434144964"/>
  </r>
  <r>
    <s v="RCF Thal"/>
    <s v="N.C.Urea(45kg)"/>
    <s v="WB"/>
    <x v="7"/>
    <s v="Kushmundi"/>
    <s v="User Not Mapped"/>
    <s v="User Not Mapped"/>
    <s v="User Not Mapped"/>
    <n v="968230"/>
    <s v="BARMAN FERTILIZER"/>
    <s v="Private Retailer"/>
    <s v="8637576120"/>
    <n v="1.3049999999999999"/>
    <n v="131"/>
    <x v="0"/>
    <m/>
    <s v="2025-12-17"/>
    <s v="263382"/>
    <s v="Tushar Kanti Agarwala"/>
    <s v="8597190846"/>
  </r>
  <r>
    <s v="RCF Thal"/>
    <s v="N.C.Urea(45kg)"/>
    <s v="WB"/>
    <x v="7"/>
    <s v="Kushmundi"/>
    <s v="User Not Mapped"/>
    <s v="User Not Mapped"/>
    <s v="User Not Mapped"/>
    <n v="968232"/>
    <s v="ANITYA SARKAR"/>
    <s v="Private Retailer"/>
    <s v="9735093630"/>
    <n v="0.85499999999999998"/>
    <n v="1908"/>
    <x v="7"/>
    <m/>
    <s v="2021-02-04"/>
    <s v="340430"/>
    <s v="JIBAN KUMAR SEN"/>
    <s v="9434144964"/>
  </r>
  <r>
    <s v="RCF Import"/>
    <s v="MOP"/>
    <s v="WB"/>
    <x v="7"/>
    <s v="Kushmundi"/>
    <s v="User Not Mapped"/>
    <s v="User Not Mapped"/>
    <s v="User Not Mapped"/>
    <n v="978518"/>
    <s v="M/S. MIRAN FERTILIZER"/>
    <s v="Private Retailer"/>
    <s v="9733310220"/>
    <n v="0.1"/>
    <n v="402"/>
    <x v="6"/>
    <m/>
    <s v="2025-03-21"/>
    <s v="340430"/>
    <s v="JIBAN KUMAR SEN"/>
    <s v="9434144964"/>
  </r>
  <r>
    <s v="RCF Thal"/>
    <s v="N.C.Urea(45kg)"/>
    <s v="WB"/>
    <x v="7"/>
    <s v="Kushmundi"/>
    <s v="User Not Mapped"/>
    <s v="User Not Mapped"/>
    <s v="User Not Mapped"/>
    <n v="1009432"/>
    <s v="HOSSAIN FERTILIZER AGENCY"/>
    <s v="Private Retailer"/>
    <s v="9609738435"/>
    <n v="1.79"/>
    <n v="1357"/>
    <x v="7"/>
    <m/>
    <s v="2022-08-09"/>
    <s v="1216980"/>
    <s v="PURNA CHATTAPADHAYAY"/>
    <s v="8670728284"/>
  </r>
  <r>
    <s v="RCF Import"/>
    <s v="Imp 10-26-26"/>
    <s v="WB"/>
    <x v="7"/>
    <s v="Kushmundi"/>
    <s v="User Not Mapped"/>
    <s v="User Not Mapped"/>
    <s v="User Not Mapped"/>
    <n v="1029764"/>
    <s v="M/S HOSSAIN FERTILIZER AGENCY"/>
    <s v="Private Retailer"/>
    <s v="8617800650"/>
    <n v="1.2"/>
    <n v="509"/>
    <x v="6"/>
    <m/>
    <s v="2024-12-04"/>
    <s v="286427"/>
    <s v="Keshav Joshi"/>
    <s v="9475163493"/>
  </r>
  <r>
    <s v="RCF Import"/>
    <s v="MOP"/>
    <s v="WB"/>
    <x v="7"/>
    <s v="Kushmundi"/>
    <s v="User Not Mapped"/>
    <s v="User Not Mapped"/>
    <s v="User Not Mapped"/>
    <n v="1029764"/>
    <s v="M/S HOSSAIN FERTILIZER AGENCY"/>
    <s v="Private Retailer"/>
    <s v="8617800650"/>
    <n v="0.5"/>
    <n v="490"/>
    <x v="6"/>
    <m/>
    <s v="2024-12-23"/>
    <s v="340430"/>
    <s v="JIBAN KUMAR SEN"/>
    <s v="9434144964"/>
  </r>
  <r>
    <s v="RCF Trombay"/>
    <s v="15-15-15"/>
    <s v="WB"/>
    <x v="7"/>
    <s v="Kushmundi"/>
    <s v="User Not Mapped"/>
    <s v="User Not Mapped"/>
    <s v="User Not Mapped"/>
    <n v="1029764"/>
    <s v="M/S HOSSAIN FERTILIZER AGENCY"/>
    <s v="Private Retailer"/>
    <s v="8617800650"/>
    <n v="0.25"/>
    <n v="1612"/>
    <x v="7"/>
    <m/>
    <s v="2021-11-27"/>
    <s v="286427"/>
    <s v="Keshav Joshi"/>
    <s v="9475163493"/>
  </r>
  <r>
    <s v="RCF Thal"/>
    <s v="N.C.Urea(45kg)"/>
    <s v="WB"/>
    <x v="7"/>
    <s v="Kushmundi"/>
    <s v="User Not Mapped"/>
    <s v="User Not Mapped"/>
    <s v="User Not Mapped"/>
    <n v="1029764"/>
    <s v="M/S HOSSAIN FERTILIZER AGENCY"/>
    <s v="Private Retailer"/>
    <s v="8617800650"/>
    <n v="10.035"/>
    <n v="533"/>
    <x v="6"/>
    <m/>
    <s v="2024-11-10"/>
    <s v="263373"/>
    <s v="M/s. Kanailal Kedar Prasad"/>
    <s v="9735692523"/>
  </r>
  <r>
    <s v="RCF Trombay"/>
    <s v="15-15-15"/>
    <s v="WB"/>
    <x v="7"/>
    <s v="Kushmundi"/>
    <s v="User Not Mapped"/>
    <s v="User Not Mapped"/>
    <s v="User Not Mapped"/>
    <n v="1029764"/>
    <s v="M/S HOSSAIN FERTILIZER AGENCY"/>
    <s v="Private Retailer"/>
    <s v="8617800650"/>
    <n v="1"/>
    <n v="1258"/>
    <x v="7"/>
    <m/>
    <s v="2022-11-16"/>
    <s v="286427"/>
    <s v="Keshav Joshi"/>
    <s v="9475163493"/>
  </r>
  <r>
    <s v="RCF Thal"/>
    <s v="N.C.Urea(45kg)"/>
    <s v="WB"/>
    <x v="7"/>
    <s v="Kushmundi"/>
    <s v="User Not Mapped"/>
    <s v="User Not Mapped"/>
    <s v="User Not Mapped"/>
    <n v="1101269"/>
    <s v="Khagendra Nath Barman and Mith"/>
    <s v="Private Retailer"/>
    <s v="8637827959"/>
    <n v="0.495"/>
    <n v="133"/>
    <x v="0"/>
    <m/>
    <s v="2025-12-15"/>
    <s v="263382"/>
    <s v="Tushar Kanti Agarwala"/>
    <s v="8597190846"/>
  </r>
  <r>
    <s v="RCF Trombay"/>
    <s v="15-15-15"/>
    <s v="WB"/>
    <x v="7"/>
    <s v="Kushmundi"/>
    <s v="User Not Mapped"/>
    <s v="User Not Mapped"/>
    <s v="User Not Mapped"/>
    <n v="1101269"/>
    <s v="Khagendra Nath Barman and Mith"/>
    <s v="Private Retailer"/>
    <s v="8637827959"/>
    <n v="0.75"/>
    <n v="256"/>
    <x v="3"/>
    <m/>
    <s v="2025-08-14"/>
    <s v="340430"/>
    <s v="JIBAN KUMAR SEN"/>
    <s v="9434144964"/>
  </r>
  <r>
    <s v="RCF Import"/>
    <s v="MOP"/>
    <s v="WB"/>
    <x v="7"/>
    <s v="Kushmundi"/>
    <s v="User Not Mapped"/>
    <s v="User Not Mapped"/>
    <s v="User Not Mapped"/>
    <n v="1102252"/>
    <s v="M/S POPULER FERT. AGENCY"/>
    <s v="Private Retailer"/>
    <s v="9609773614"/>
    <n v="0.75"/>
    <n v="257"/>
    <x v="3"/>
    <m/>
    <s v="2025-08-13"/>
    <s v="263374"/>
    <s v="M/s. Krishi Unnayan Kendra"/>
    <s v="8759907610"/>
  </r>
  <r>
    <s v="RCF Trombay"/>
    <s v="15-15-15"/>
    <s v="WB"/>
    <x v="7"/>
    <s v="Kushmundi"/>
    <s v="User Not Mapped"/>
    <s v="User Not Mapped"/>
    <s v="User Not Mapped"/>
    <n v="1102252"/>
    <s v="M/S POPULER FERT. AGENCY"/>
    <s v="Private Retailer"/>
    <s v="9609773614"/>
    <n v="0.9"/>
    <n v="1233"/>
    <x v="7"/>
    <m/>
    <s v="2022-12-11"/>
    <s v="263377"/>
    <s v="Rahaman Fertilizer Agency"/>
    <s v="9064276670"/>
  </r>
  <r>
    <s v="RCF Thal"/>
    <s v="N.C.Urea(45kg)"/>
    <s v="WB"/>
    <x v="7"/>
    <s v="Kushmundi"/>
    <s v="User Not Mapped"/>
    <s v="User Not Mapped"/>
    <s v="User Not Mapped"/>
    <n v="1102252"/>
    <s v="M/S POPULER FERT. AGENCY"/>
    <s v="Private Retailer"/>
    <s v="9609773614"/>
    <n v="0.45"/>
    <n v="410"/>
    <x v="6"/>
    <m/>
    <s v="2025-03-13"/>
    <s v="263382"/>
    <s v="Tushar Kanti Agarwala"/>
    <s v="8597190846"/>
  </r>
  <r>
    <s v="RCF Trombay"/>
    <s v="N.C.Urea(45kg)"/>
    <s v="WB"/>
    <x v="7"/>
    <s v="Kushmundi"/>
    <s v="User Not Mapped"/>
    <s v="User Not Mapped"/>
    <s v="User Not Mapped"/>
    <n v="1105451"/>
    <s v="HOSSAIN FERT. AGENCY"/>
    <s v="Private Retailer"/>
    <s v="7364903877"/>
    <n v="4.05"/>
    <n v="139"/>
    <x v="0"/>
    <m/>
    <s v="2025-12-09"/>
    <s v="263382"/>
    <s v="Tushar Kanti Agarwala"/>
    <s v="8597190846"/>
  </r>
  <r>
    <s v="RCF Thal"/>
    <s v="N.C.Urea(45kg)"/>
    <s v="WB"/>
    <x v="7"/>
    <s v="Kushmundi"/>
    <s v="User Not Mapped"/>
    <s v="User Not Mapped"/>
    <s v="User Not Mapped"/>
    <n v="1105451"/>
    <s v="HOSSAIN FERT. AGENCY"/>
    <s v="Private Retailer"/>
    <s v="7364903877"/>
    <n v="5.85"/>
    <n v="95"/>
    <x v="5"/>
    <m/>
    <s v="2026-01-22"/>
    <s v="263382"/>
    <s v="Tushar Kanti Agarwala"/>
    <s v="8597190846"/>
  </r>
  <r>
    <s v="RCF Trombay"/>
    <s v="15-15-15"/>
    <s v="WB"/>
    <x v="7"/>
    <s v="Kushmundi"/>
    <s v="User Not Mapped"/>
    <s v="User Not Mapped"/>
    <s v="User Not Mapped"/>
    <n v="1208890"/>
    <s v="M/S NAKUL CHANDRA SARKAR"/>
    <s v="Private Retailer"/>
    <s v="7679351211"/>
    <n v="1"/>
    <n v="272"/>
    <x v="3"/>
    <m/>
    <s v="2025-07-29"/>
    <s v="263374"/>
    <s v="M/s. Krishi Unnayan Kendra"/>
    <s v="8759907610"/>
  </r>
  <r>
    <s v="RCF Import"/>
    <s v="MOP"/>
    <s v="WB"/>
    <x v="7"/>
    <s v="Kushmundi"/>
    <s v="User Not Mapped"/>
    <s v="User Not Mapped"/>
    <s v="User Not Mapped"/>
    <n v="1221818"/>
    <s v="M/S  ISPANHANI AJAD FERT"/>
    <s v="Private Retailer"/>
    <s v="8777064850"/>
    <n v="0.75"/>
    <n v="228"/>
    <x v="3"/>
    <m/>
    <s v="2025-09-11"/>
    <s v="286427"/>
    <s v="Keshav Joshi"/>
    <s v="9475163493"/>
  </r>
  <r>
    <s v="RCF Trombay"/>
    <s v="15-15-15"/>
    <s v="WB"/>
    <x v="7"/>
    <s v="Kushmundi"/>
    <s v="User Not Mapped"/>
    <s v="User Not Mapped"/>
    <s v="User Not Mapped"/>
    <n v="1268895"/>
    <s v="M/S ISLAM FERTILIZER AGENCY"/>
    <s v="Private Retailer"/>
    <s v="9733333866"/>
    <n v="0.25"/>
    <n v="266"/>
    <x v="3"/>
    <m/>
    <s v="2025-08-04"/>
    <s v="263374"/>
    <s v="M/s. Krishi Unnayan Kendra"/>
    <s v="8759907610"/>
  </r>
  <r>
    <s v="RCF Trombay"/>
    <s v="15-15-15"/>
    <s v="WB"/>
    <x v="7"/>
    <s v="Kushmundi"/>
    <s v="User Not Mapped"/>
    <s v="User Not Mapped"/>
    <s v="User Not Mapped"/>
    <n v="1268895"/>
    <s v="M/S ISLAM FERTILIZER AGENCY"/>
    <s v="Private Retailer"/>
    <s v="9733333866"/>
    <n v="0.5"/>
    <n v="253"/>
    <x v="3"/>
    <m/>
    <s v="2025-08-17"/>
    <s v="263374"/>
    <s v="M/s. Krishi Unnayan Kendra"/>
    <s v="8759907610"/>
  </r>
  <r>
    <s v="RCF Trombay"/>
    <s v="15-15-15"/>
    <s v="WB"/>
    <x v="7"/>
    <s v="Kushmundi"/>
    <s v="User Not Mapped"/>
    <s v="User Not Mapped"/>
    <s v="User Not Mapped"/>
    <n v="1354264"/>
    <s v="M/S. LAL KASHEM FERTILIZER SHO"/>
    <s v="Private Retailer"/>
    <s v="8637590318"/>
    <n v="3"/>
    <n v="150"/>
    <x v="0"/>
    <m/>
    <s v="2025-11-28"/>
    <s v="263377"/>
    <s v="Rahaman Fertilizer Agency"/>
    <s v="9064276670"/>
  </r>
  <r>
    <s v="RCF Import"/>
    <s v="MOP"/>
    <s v="WB"/>
    <x v="7"/>
    <s v="Kushmundi"/>
    <s v="User Not Mapped"/>
    <s v="User Not Mapped"/>
    <s v="User Not Mapped"/>
    <n v="1446160"/>
    <s v="BARMAN FERTILIZER"/>
    <s v="Private Retailer"/>
    <s v="7001930206"/>
    <n v="3.3000000000000002E-2"/>
    <n v="397"/>
    <x v="6"/>
    <m/>
    <s v="2025-03-26"/>
    <s v="1216980"/>
    <s v="PURNA CHATTAPADHAYAY"/>
    <s v="8670728284"/>
  </r>
  <r>
    <s v="RCF Import"/>
    <s v="Imp 10-26-26"/>
    <s v="WB"/>
    <x v="7"/>
    <s v="Kushmundi"/>
    <s v="User Not Mapped"/>
    <s v="User Not Mapped"/>
    <s v="User Not Mapped"/>
    <n v="1446160"/>
    <s v="BARMAN FERTILIZER"/>
    <s v="Private Retailer"/>
    <s v="7001930206"/>
    <n v="1"/>
    <n v="181"/>
    <x v="3"/>
    <m/>
    <s v="2025-10-28"/>
    <s v="1216980"/>
    <s v="PURNA CHATTAPADHAYAY"/>
    <s v="8670728284"/>
  </r>
  <r>
    <s v="RCF Thal"/>
    <s v="N.C.Urea(45kg)"/>
    <s v="WB"/>
    <x v="7"/>
    <s v="Kushmundi"/>
    <s v="User Not Mapped"/>
    <s v="User Not Mapped"/>
    <s v="User Not Mapped"/>
    <n v="1505560"/>
    <s v="M/S Kabier Fertilizer"/>
    <s v="Private Retailer"/>
    <s v="7797252030"/>
    <n v="1.575"/>
    <n v="107"/>
    <x v="5"/>
    <m/>
    <s v="2026-01-10"/>
    <s v="263382"/>
    <s v="Tushar Kanti Agarwala"/>
    <s v="8597190846"/>
  </r>
  <r>
    <s v="RCF Trombay"/>
    <s v="N.C.Urea(45kg)"/>
    <s v="WB"/>
    <x v="7"/>
    <s v="Kushmundi"/>
    <s v="User Not Mapped"/>
    <s v="User Not Mapped"/>
    <s v="User Not Mapped"/>
    <n v="1518963"/>
    <s v="RAHUL ALAM"/>
    <s v="Private Retailer"/>
    <s v="8900045531"/>
    <n v="8.7750000000000004"/>
    <n v="126"/>
    <x v="0"/>
    <m/>
    <s v="2025-12-22"/>
    <s v="286422"/>
    <s v="Dipak Kumar Laha"/>
    <s v="6297583814"/>
  </r>
  <r>
    <s v="RCF Thal"/>
    <s v="N.C.Urea(45kg)"/>
    <s v="WB"/>
    <x v="7"/>
    <s v="Kushmundi"/>
    <s v="User Not Mapped"/>
    <s v="User Not Mapped"/>
    <s v="User Not Mapped"/>
    <n v="1518963"/>
    <s v="RAHUL ALAM"/>
    <s v="Private Retailer"/>
    <s v="8900045531"/>
    <n v="0.22500000000000001"/>
    <n v="335"/>
    <x v="3"/>
    <m/>
    <s v="2025-05-27"/>
    <s v="263373"/>
    <s v="M/s. Kanailal Kedar Prasad"/>
    <s v="9735692523"/>
  </r>
  <r>
    <s v="RCF Trombay"/>
    <s v="N.C.Urea(45kg)"/>
    <s v="WB"/>
    <x v="7"/>
    <s v="Tapan"/>
    <s v="User Not Mapped"/>
    <s v="User Not Mapped"/>
    <s v="User Not Mapped"/>
    <n v="126338"/>
    <s v="Abdul Razzak Mia"/>
    <s v="Private Retailer"/>
    <s v="9733191038"/>
    <n v="11.025"/>
    <n v="140"/>
    <x v="0"/>
    <m/>
    <s v="2025-12-08"/>
    <s v="286422"/>
    <s v="Dipak Kumar Laha"/>
    <s v="6297583814"/>
  </r>
  <r>
    <s v="RCF Import"/>
    <s v="Imp 10-26-26"/>
    <s v="WB"/>
    <x v="7"/>
    <s v="Tapan"/>
    <s v="User Not Mapped"/>
    <s v="User Not Mapped"/>
    <s v="User Not Mapped"/>
    <n v="126338"/>
    <s v="Abdul Razzak Mia"/>
    <s v="Private Retailer"/>
    <s v="9733191038"/>
    <n v="11"/>
    <n v="80"/>
    <x v="2"/>
    <m/>
    <s v="2026-02-06"/>
    <s v="739732"/>
    <s v="RATAN KUMAR LAHA"/>
    <s v="9563078662"/>
  </r>
  <r>
    <s v="RCF Trombay"/>
    <s v="N.C.Urea(45kg)"/>
    <s v="WB"/>
    <x v="7"/>
    <s v="Tapan"/>
    <s v="User Not Mapped"/>
    <s v="User Not Mapped"/>
    <s v="User Not Mapped"/>
    <n v="126338"/>
    <s v="Abdul Razzak Mia"/>
    <s v="Private Retailer"/>
    <s v="9733191038"/>
    <n v="3.915"/>
    <n v="198"/>
    <x v="3"/>
    <m/>
    <s v="2025-10-11"/>
    <s v="263373"/>
    <s v="M/s. Kanailal Kedar Prasad"/>
    <s v="9735692523"/>
  </r>
  <r>
    <s v="RCF Thal"/>
    <s v="N.C.Urea(45kg)"/>
    <s v="WB"/>
    <x v="7"/>
    <s v="Tapan"/>
    <s v="User Not Mapped"/>
    <s v="User Not Mapped"/>
    <s v="User Not Mapped"/>
    <n v="126414"/>
    <s v="Barman Fertilizer"/>
    <s v="Private Retailer"/>
    <s v="9733302516"/>
    <n v="9.81"/>
    <n v="9"/>
    <x v="4"/>
    <m/>
    <s v="2026-04-18"/>
    <s v="263382"/>
    <s v="Tushar Kanti Agarwala"/>
    <s v="8597190846"/>
  </r>
  <r>
    <s v="RCF Trombay"/>
    <s v="15-15-15"/>
    <s v="WB"/>
    <x v="7"/>
    <s v="Tapan"/>
    <s v="User Not Mapped"/>
    <s v="User Not Mapped"/>
    <s v="User Not Mapped"/>
    <n v="126414"/>
    <s v="Barman Fertilizer"/>
    <s v="Private Retailer"/>
    <s v="9733302516"/>
    <n v="0.35"/>
    <n v="161"/>
    <x v="0"/>
    <m/>
    <s v="2025-11-17"/>
    <s v="281503"/>
    <s v="Krishi Ghar"/>
    <s v="7031245549"/>
  </r>
  <r>
    <s v="RCF Trombay"/>
    <s v="N.C.Urea(45kg)"/>
    <s v="WB"/>
    <x v="7"/>
    <s v="Tapan"/>
    <s v="User Not Mapped"/>
    <s v="User Not Mapped"/>
    <s v="User Not Mapped"/>
    <n v="126414"/>
    <s v="Barman Fertilizer"/>
    <s v="Private Retailer"/>
    <s v="9733302516"/>
    <n v="5.5350000000000001"/>
    <n v="149"/>
    <x v="0"/>
    <m/>
    <s v="2025-11-29"/>
    <s v="501083"/>
    <s v="M/S Raj Laxmi Sar Bhandar"/>
    <s v="9733231915"/>
  </r>
  <r>
    <s v="RCF Thal"/>
    <s v="N.C.Urea(45kg)"/>
    <s v="WB"/>
    <x v="7"/>
    <s v="Tapan"/>
    <s v="User Not Mapped"/>
    <s v="User Not Mapped"/>
    <s v="User Not Mapped"/>
    <n v="126451"/>
    <s v="Bipul Kr. Ghosh"/>
    <s v="Private Retailer"/>
    <s v="9733290556"/>
    <n v="15.03"/>
    <n v="45"/>
    <x v="1"/>
    <m/>
    <s v="2026-03-13"/>
    <s v="286422"/>
    <s v="Dipak Kumar Laha"/>
    <s v="6297583814"/>
  </r>
  <r>
    <s v="RCF Thal"/>
    <s v="N.C.Urea(45kg)"/>
    <s v="WB"/>
    <x v="7"/>
    <s v="Tapan"/>
    <s v="User Not Mapped"/>
    <s v="User Not Mapped"/>
    <s v="User Not Mapped"/>
    <n v="126649"/>
    <s v="Mandal Fertilizer"/>
    <s v="Private Retailer"/>
    <s v="9775862537"/>
    <n v="4.4999999999999998E-2"/>
    <n v="151"/>
    <x v="0"/>
    <m/>
    <s v="2025-11-27"/>
    <s v="263373"/>
    <s v="M/s. Kanailal Kedar Prasad"/>
    <s v="9735692523"/>
  </r>
  <r>
    <s v="RCF Thal"/>
    <s v="N.C.Urea(45kg)"/>
    <s v="WB"/>
    <x v="7"/>
    <s v="Tapan"/>
    <s v="User Not Mapped"/>
    <s v="User Not Mapped"/>
    <s v="User Not Mapped"/>
    <n v="126779"/>
    <s v="M/S PRITAM KUMAR MONDAL"/>
    <s v="Private Retailer"/>
    <s v="9635044396"/>
    <n v="7.7850000000000001"/>
    <n v="155"/>
    <x v="0"/>
    <m/>
    <s v="2025-11-23"/>
    <s v="263373"/>
    <s v="M/s. Kanailal Kedar Prasad"/>
    <s v="9735692523"/>
  </r>
  <r>
    <s v="RCF Thal"/>
    <s v="N.C.Urea(45kg)"/>
    <s v="WB"/>
    <x v="7"/>
    <s v="Tapan"/>
    <s v="User Not Mapped"/>
    <s v="User Not Mapped"/>
    <s v="User Not Mapped"/>
    <n v="126779"/>
    <s v="M/S PRITAM KUMAR MONDAL"/>
    <s v="Private Retailer"/>
    <s v="9635044396"/>
    <n v="11.025"/>
    <n v="49"/>
    <x v="1"/>
    <m/>
    <s v="2026-03-09"/>
    <s v="263373"/>
    <s v="M/s. Kanailal Kedar Prasad"/>
    <s v="9735692523"/>
  </r>
  <r>
    <s v="RCF Thal"/>
    <s v="N.C.Urea(45kg)"/>
    <s v="WB"/>
    <x v="7"/>
    <s v="Tapan"/>
    <s v="User Not Mapped"/>
    <s v="User Not Mapped"/>
    <s v="User Not Mapped"/>
    <n v="126817"/>
    <s v="Rejaul Karim Mandal"/>
    <s v="Private Retailer"/>
    <s v="9733158785"/>
    <n v="2.2250000000000001"/>
    <n v="97"/>
    <x v="5"/>
    <m/>
    <s v="2026-01-20"/>
    <s v="263373"/>
    <s v="M/s. Kanailal Kedar Prasad"/>
    <s v="9735692523"/>
  </r>
  <r>
    <s v="RCF Trombay"/>
    <s v="N.C.Urea(45kg)"/>
    <s v="WB"/>
    <x v="7"/>
    <s v="Tapan"/>
    <s v="User Not Mapped"/>
    <s v="User Not Mapped"/>
    <s v="User Not Mapped"/>
    <n v="126817"/>
    <s v="Rejaul Karim Mandal"/>
    <s v="Private Retailer"/>
    <s v="9733158785"/>
    <n v="1.62"/>
    <n v="171"/>
    <x v="0"/>
    <m/>
    <s v="2025-11-07"/>
    <s v="263373"/>
    <s v="M/s. Kanailal Kedar Prasad"/>
    <s v="9735692523"/>
  </r>
  <r>
    <s v="RCF Thal"/>
    <s v="N.C.Urea(45kg)"/>
    <s v="WB"/>
    <x v="7"/>
    <s v="Tapan"/>
    <s v="User Not Mapped"/>
    <s v="User Not Mapped"/>
    <s v="User Not Mapped"/>
    <n v="126866"/>
    <s v="Sarkar Fertiliser"/>
    <s v="Private Retailer"/>
    <s v="9734133610"/>
    <n v="10.170999999999999"/>
    <n v="45"/>
    <x v="1"/>
    <m/>
    <s v="2026-03-13"/>
    <s v="286422"/>
    <s v="Dipak Kumar Laha"/>
    <s v="6297583814"/>
  </r>
  <r>
    <s v="RCF Trombay"/>
    <s v="15-15-15"/>
    <s v="WB"/>
    <x v="7"/>
    <s v="Tapan"/>
    <s v="User Not Mapped"/>
    <s v="User Not Mapped"/>
    <s v="User Not Mapped"/>
    <n v="126866"/>
    <s v="Sarkar Fertiliser"/>
    <s v="Private Retailer"/>
    <s v="9734133610"/>
    <n v="1.45"/>
    <n v="198"/>
    <x v="3"/>
    <m/>
    <s v="2025-10-11"/>
    <s v="286422"/>
    <s v="Dipak Kumar Laha"/>
    <s v="6297583814"/>
  </r>
  <r>
    <s v="RCF Import"/>
    <s v="Imp 10-26-26"/>
    <s v="WB"/>
    <x v="7"/>
    <s v="Tapan"/>
    <s v="User Not Mapped"/>
    <s v="User Not Mapped"/>
    <s v="User Not Mapped"/>
    <n v="126963"/>
    <s v="Wyether Ali Mandal"/>
    <s v="Private Retailer"/>
    <s v="9932757656"/>
    <n v="0.45"/>
    <n v="505"/>
    <x v="6"/>
    <m/>
    <s v="2024-12-08"/>
    <s v="263370"/>
    <s v="MS Deepak Kumar Sarkar And Son"/>
    <s v="9851529233"/>
  </r>
  <r>
    <s v="RCF Trombay"/>
    <s v="N.C.Urea(45kg)"/>
    <s v="WB"/>
    <x v="7"/>
    <s v="Tapan"/>
    <s v="User Not Mapped"/>
    <s v="User Not Mapped"/>
    <s v="User Not Mapped"/>
    <n v="216471"/>
    <s v="M/S Eamam Hasan Miah"/>
    <s v="Private Retailer"/>
    <s v="9733335394"/>
    <n v="16.875"/>
    <n v="6"/>
    <x v="4"/>
    <m/>
    <s v="2026-04-21"/>
    <s v="263382"/>
    <s v="Tushar Kanti Agarwala"/>
    <s v="8597190846"/>
  </r>
  <r>
    <s v="RCF Trombay"/>
    <s v="15-15-15"/>
    <s v="WB"/>
    <x v="7"/>
    <s v="Tapan"/>
    <s v="User Not Mapped"/>
    <s v="User Not Mapped"/>
    <s v="User Not Mapped"/>
    <n v="216471"/>
    <s v="M/S Eamam Hasan Miah"/>
    <s v="Private Retailer"/>
    <s v="9733335394"/>
    <n v="16.5"/>
    <n v="6"/>
    <x v="4"/>
    <m/>
    <s v="2026-04-21"/>
    <s v="263382"/>
    <s v="Tushar Kanti Agarwala"/>
    <s v="8597190846"/>
  </r>
  <r>
    <s v="RCF Thal"/>
    <s v="N.C.Urea(45kg)"/>
    <s v="WB"/>
    <x v="7"/>
    <s v="Tapan"/>
    <s v="User Not Mapped"/>
    <s v="User Not Mapped"/>
    <s v="User Not Mapped"/>
    <n v="225929"/>
    <s v="Tamijuddin Sarkar"/>
    <s v="Private Retailer"/>
    <s v="9609992098"/>
    <n v="8.5050000000000008"/>
    <n v="49"/>
    <x v="1"/>
    <m/>
    <s v="2026-03-09"/>
    <s v="263373"/>
    <s v="M/s. Kanailal Kedar Prasad"/>
    <s v="9735692523"/>
  </r>
  <r>
    <s v="RCF Thal"/>
    <s v="N.C.Urea(45kg)"/>
    <s v="WB"/>
    <x v="7"/>
    <s v="Tapan"/>
    <s v="User Not Mapped"/>
    <s v="User Not Mapped"/>
    <s v="User Not Mapped"/>
    <n v="225933"/>
    <s v="Aminul Islam"/>
    <s v="Private Retailer"/>
    <s v="8918942416"/>
    <n v="0.495"/>
    <n v="97"/>
    <x v="5"/>
    <m/>
    <s v="2026-01-20"/>
    <s v="263373"/>
    <s v="M/s. Kanailal Kedar Prasad"/>
    <s v="9735692523"/>
  </r>
  <r>
    <s v="RCF Thal"/>
    <s v="N.C.Urea(45kg)"/>
    <s v="WB"/>
    <x v="7"/>
    <s v="Tapan"/>
    <s v="User Not Mapped"/>
    <s v="User Not Mapped"/>
    <s v="User Not Mapped"/>
    <n v="251722"/>
    <s v="M/S ANICHHUR HAKIM"/>
    <s v="Private Retailer"/>
    <s v="7478305110"/>
    <n v="5.49"/>
    <n v="49"/>
    <x v="1"/>
    <m/>
    <s v="2026-03-09"/>
    <s v="263373"/>
    <s v="M/s. Kanailal Kedar Prasad"/>
    <s v="9735692523"/>
  </r>
  <r>
    <s v="RCF Thal"/>
    <s v="N.C.Urea(45kg)"/>
    <s v="WB"/>
    <x v="7"/>
    <s v="Tapan"/>
    <s v="User Not Mapped"/>
    <s v="User Not Mapped"/>
    <s v="User Not Mapped"/>
    <n v="251722"/>
    <s v="M/S ANICHHUR HAKIM"/>
    <s v="Private Retailer"/>
    <s v="7478305110"/>
    <n v="1.575"/>
    <n v="155"/>
    <x v="0"/>
    <m/>
    <s v="2025-11-23"/>
    <s v="263373"/>
    <s v="M/s. Kanailal Kedar Prasad"/>
    <s v="9735692523"/>
  </r>
  <r>
    <s v="RCF Trombay"/>
    <s v="15-15-15"/>
    <s v="WB"/>
    <x v="7"/>
    <s v="Tapan"/>
    <s v="User Not Mapped"/>
    <s v="User Not Mapped"/>
    <s v="User Not Mapped"/>
    <n v="263345"/>
    <s v="Patkola Skus Ltd."/>
    <s v="State Marketing Federation"/>
    <s v="6297938210"/>
    <n v="11"/>
    <n v="131"/>
    <x v="0"/>
    <m/>
    <s v="2025-12-17"/>
    <s v="739732"/>
    <s v="RATAN KUMAR LAHA"/>
    <s v="9563078662"/>
  </r>
  <r>
    <s v="RCF Trombay"/>
    <s v="15-15-15"/>
    <s v="WB"/>
    <x v="7"/>
    <s v="Tapan"/>
    <s v="User Not Mapped"/>
    <s v="User Not Mapped"/>
    <s v="User Not Mapped"/>
    <n v="263345"/>
    <s v="Patkola Skus Ltd."/>
    <s v="State Marketing Federation"/>
    <s v="6297938210"/>
    <n v="2.85"/>
    <n v="214"/>
    <x v="3"/>
    <m/>
    <s v="2025-09-25"/>
    <s v="263373"/>
    <s v="M/s. Kanailal Kedar Prasad"/>
    <s v="9735692523"/>
  </r>
  <r>
    <s v="RCF Thal"/>
    <s v="N.C.Urea(45kg)"/>
    <s v="WB"/>
    <x v="7"/>
    <s v="Tapan"/>
    <s v="User Not Mapped"/>
    <s v="User Not Mapped"/>
    <s v="User Not Mapped"/>
    <n v="263358"/>
    <s v="Samsul Alam Sarkar"/>
    <s v="Private Retailer"/>
    <s v="9733040519"/>
    <n v="0.01"/>
    <n v="101"/>
    <x v="5"/>
    <m/>
    <s v="2026-01-16"/>
    <s v="1258418"/>
    <s v="M/S BISWAJIT KAR"/>
    <s v="8906547307"/>
  </r>
  <r>
    <s v="RCF Trombay"/>
    <s v="N.C.Urea(45kg)"/>
    <s v="WB"/>
    <x v="7"/>
    <s v="Tapan"/>
    <s v="User Not Mapped"/>
    <s v="User Not Mapped"/>
    <s v="User Not Mapped"/>
    <n v="340302"/>
    <s v="ASHOK Kumar Saha"/>
    <s v="Private Retailer"/>
    <s v="8926449619"/>
    <n v="3.375"/>
    <n v="132"/>
    <x v="0"/>
    <m/>
    <s v="2025-12-16"/>
    <s v="263373"/>
    <s v="M/s. Kanailal Kedar Prasad"/>
    <s v="9735692523"/>
  </r>
  <r>
    <s v="RCF Thal"/>
    <s v="N.C.Urea(45kg)"/>
    <s v="WB"/>
    <x v="7"/>
    <s v="Tapan"/>
    <s v="User Not Mapped"/>
    <s v="User Not Mapped"/>
    <s v="User Not Mapped"/>
    <n v="340302"/>
    <s v="ASHOK Kumar Saha"/>
    <s v="Private Retailer"/>
    <s v="8926449619"/>
    <n v="5.4"/>
    <n v="49"/>
    <x v="1"/>
    <m/>
    <s v="2026-03-09"/>
    <s v="263373"/>
    <s v="M/s. Kanailal Kedar Prasad"/>
    <s v="9735692523"/>
  </r>
  <r>
    <s v="RCF Thal"/>
    <s v="N.C.Urea(45kg)"/>
    <s v="WB"/>
    <x v="7"/>
    <s v="Tapan"/>
    <s v="User Not Mapped"/>
    <s v="User Not Mapped"/>
    <s v="User Not Mapped"/>
    <n v="340314"/>
    <s v="Bapi Sarkar"/>
    <s v="Private Retailer"/>
    <s v="9733316026"/>
    <n v="6.5250000000000004"/>
    <n v="97"/>
    <x v="5"/>
    <m/>
    <s v="2026-01-20"/>
    <s v="263373"/>
    <s v="M/s. Kanailal Kedar Prasad"/>
    <s v="9735692523"/>
  </r>
  <r>
    <s v="RCF Thal"/>
    <s v="N.C.Urea(45kg)"/>
    <s v="WB"/>
    <x v="7"/>
    <s v="Tapan"/>
    <s v="User Not Mapped"/>
    <s v="User Not Mapped"/>
    <s v="User Not Mapped"/>
    <n v="340314"/>
    <s v="Bapi Sarkar"/>
    <s v="Private Retailer"/>
    <s v="9733316026"/>
    <n v="0.09"/>
    <n v="155"/>
    <x v="0"/>
    <m/>
    <s v="2025-11-23"/>
    <s v="263373"/>
    <s v="M/s. Kanailal Kedar Prasad"/>
    <s v="9735692523"/>
  </r>
  <r>
    <s v="RCF Trombay"/>
    <s v="N.C.Urea(45kg)"/>
    <s v="WB"/>
    <x v="7"/>
    <s v="Tapan"/>
    <s v="User Not Mapped"/>
    <s v="User Not Mapped"/>
    <s v="User Not Mapped"/>
    <n v="340314"/>
    <s v="Bapi Sarkar"/>
    <s v="Private Retailer"/>
    <s v="9733316026"/>
    <n v="5.49"/>
    <n v="140"/>
    <x v="0"/>
    <m/>
    <s v="2025-12-08"/>
    <s v="263373"/>
    <s v="M/s. Kanailal Kedar Prasad"/>
    <s v="9735692523"/>
  </r>
  <r>
    <s v="RCF Thal"/>
    <s v="N.C.Urea(45kg)"/>
    <s v="WB"/>
    <x v="7"/>
    <s v="Tapan"/>
    <s v="User Not Mapped"/>
    <s v="User Not Mapped"/>
    <s v="User Not Mapped"/>
    <n v="340342"/>
    <s v="Jiaulmolla"/>
    <s v="Private Retailer"/>
    <s v="9733342557"/>
    <n v="3.105"/>
    <n v="49"/>
    <x v="1"/>
    <m/>
    <s v="2026-03-09"/>
    <s v="263373"/>
    <s v="M/s. Kanailal Kedar Prasad"/>
    <s v="9735692523"/>
  </r>
  <r>
    <s v="RCF Trombay"/>
    <s v="15-15-15"/>
    <s v="WB"/>
    <x v="7"/>
    <s v="Tapan"/>
    <s v="User Not Mapped"/>
    <s v="User Not Mapped"/>
    <s v="User Not Mapped"/>
    <n v="340342"/>
    <s v="Jiaulmolla"/>
    <s v="Private Retailer"/>
    <s v="9733342557"/>
    <n v="0.9"/>
    <n v="81"/>
    <x v="2"/>
    <m/>
    <s v="2026-02-05"/>
    <s v="1622168"/>
    <s v="MS Mondal Fertilizer"/>
    <s v="9932723750"/>
  </r>
  <r>
    <s v="RCF Trombay"/>
    <s v="N.C.Urea(45kg)"/>
    <s v="WB"/>
    <x v="7"/>
    <s v="Tapan"/>
    <s v="User Not Mapped"/>
    <s v="User Not Mapped"/>
    <s v="User Not Mapped"/>
    <n v="340383"/>
    <s v="M/S - RATAN KR LAHA"/>
    <s v="Private Retailer"/>
    <s v="9153350469"/>
    <n v="11.025"/>
    <n v="93"/>
    <x v="5"/>
    <m/>
    <s v="2026-01-24"/>
    <s v="263373"/>
    <s v="M/s. Kanailal Kedar Prasad"/>
    <s v="9735692523"/>
  </r>
  <r>
    <s v="RCF Thal"/>
    <s v="N.C.Urea(45kg)"/>
    <s v="WB"/>
    <x v="7"/>
    <s v="Tapan"/>
    <s v="User Not Mapped"/>
    <s v="User Not Mapped"/>
    <s v="User Not Mapped"/>
    <n v="340383"/>
    <s v="M/S - RATAN KR LAHA"/>
    <s v="Private Retailer"/>
    <s v="9153350469"/>
    <n v="0.81"/>
    <n v="95"/>
    <x v="5"/>
    <m/>
    <s v="2026-01-22"/>
    <s v="263373"/>
    <s v="M/s. Kanailal Kedar Prasad"/>
    <s v="9735692523"/>
  </r>
  <r>
    <s v="RCF Trombay"/>
    <s v="N.C.Urea(45kg)"/>
    <s v="WB"/>
    <x v="7"/>
    <s v="Tapan"/>
    <s v="User Not Mapped"/>
    <s v="User Not Mapped"/>
    <s v="User Not Mapped"/>
    <n v="340383"/>
    <s v="M/S - RATAN KR LAHA"/>
    <s v="Private Retailer"/>
    <s v="9153350469"/>
    <n v="5.04"/>
    <n v="198"/>
    <x v="3"/>
    <m/>
    <s v="2025-10-11"/>
    <s v="263373"/>
    <s v="M/s. Kanailal Kedar Prasad"/>
    <s v="9735692523"/>
  </r>
  <r>
    <s v="RCF Thal"/>
    <s v="N.C.Urea(45kg)"/>
    <s v="WB"/>
    <x v="7"/>
    <s v="Tapan"/>
    <s v="User Not Mapped"/>
    <s v="User Not Mapped"/>
    <s v="User Not Mapped"/>
    <n v="340388"/>
    <s v="M/S SABUJ FERTILIZER"/>
    <s v="Private Retailer"/>
    <s v="9733137610"/>
    <n v="24.975000000000001"/>
    <n v="53"/>
    <x v="1"/>
    <m/>
    <s v="2026-03-05"/>
    <s v="263382"/>
    <s v="Tushar Kanti Agarwala"/>
    <s v="8597190846"/>
  </r>
  <r>
    <s v="RCF Thal"/>
    <s v="N.C.Urea(45kg)"/>
    <s v="WB"/>
    <x v="7"/>
    <s v="Tapan"/>
    <s v="User Not Mapped"/>
    <s v="User Not Mapped"/>
    <s v="User Not Mapped"/>
    <n v="340388"/>
    <s v="M/S SABUJ FERTILIZER"/>
    <s v="Private Retailer"/>
    <s v="9733137610"/>
    <n v="10.845000000000001"/>
    <n v="169"/>
    <x v="0"/>
    <m/>
    <s v="2025-11-09"/>
    <s v="263373"/>
    <s v="M/s. Kanailal Kedar Prasad"/>
    <s v="9735692523"/>
  </r>
  <r>
    <s v="RCF Thal"/>
    <s v="N.C.Urea(45kg)"/>
    <s v="WB"/>
    <x v="7"/>
    <s v="Tapan"/>
    <s v="User Not Mapped"/>
    <s v="User Not Mapped"/>
    <s v="User Not Mapped"/>
    <n v="340388"/>
    <s v="M/S SABUJ FERTILIZER"/>
    <s v="Private Retailer"/>
    <s v="9733137610"/>
    <n v="2.16"/>
    <n v="170"/>
    <x v="0"/>
    <m/>
    <s v="2025-11-08"/>
    <s v="263373"/>
    <s v="M/s. Kanailal Kedar Prasad"/>
    <s v="9735692523"/>
  </r>
  <r>
    <s v="RCF Trombay"/>
    <s v="N.C.Urea(45kg)"/>
    <s v="WB"/>
    <x v="7"/>
    <s v="Tapan"/>
    <s v="User Not Mapped"/>
    <s v="User Not Mapped"/>
    <s v="User Not Mapped"/>
    <n v="340388"/>
    <s v="M/S SABUJ FERTILIZER"/>
    <s v="Private Retailer"/>
    <s v="9733137610"/>
    <n v="0.18"/>
    <n v="169"/>
    <x v="0"/>
    <m/>
    <s v="2025-11-09"/>
    <s v="263373"/>
    <s v="M/s. Kanailal Kedar Prasad"/>
    <s v="9735692523"/>
  </r>
  <r>
    <s v="RCF Trombay"/>
    <s v="N.C.Urea(45kg)"/>
    <s v="WB"/>
    <x v="7"/>
    <s v="Tapan"/>
    <s v="User Not Mapped"/>
    <s v="User Not Mapped"/>
    <s v="User Not Mapped"/>
    <n v="340388"/>
    <s v="M/S SABUJ FERTILIZER"/>
    <s v="Private Retailer"/>
    <s v="9733137610"/>
    <n v="3.42"/>
    <n v="285"/>
    <x v="3"/>
    <m/>
    <s v="2025-07-16"/>
    <s v="263373"/>
    <s v="M/s. Kanailal Kedar Prasad"/>
    <s v="9735692523"/>
  </r>
  <r>
    <s v="RCF Thal"/>
    <s v="N.C.Urea(45kg)"/>
    <s v="WB"/>
    <x v="7"/>
    <s v="Tapan"/>
    <s v="User Not Mapped"/>
    <s v="User Not Mapped"/>
    <s v="User Not Mapped"/>
    <n v="340404"/>
    <s v="SEKENDAR MONDAL"/>
    <s v="Private Retailer"/>
    <s v="9734154992"/>
    <n v="8.1449999999999996"/>
    <n v="97"/>
    <x v="5"/>
    <m/>
    <s v="2026-01-20"/>
    <s v="263373"/>
    <s v="M/s. Kanailal Kedar Prasad"/>
    <s v="9735692523"/>
  </r>
  <r>
    <s v="RCF Thal"/>
    <s v="N.C.Urea(45kg)"/>
    <s v="WB"/>
    <x v="7"/>
    <s v="Tapan"/>
    <s v="User Not Mapped"/>
    <s v="User Not Mapped"/>
    <s v="User Not Mapped"/>
    <n v="390284"/>
    <s v="Hayder Sarkar"/>
    <s v="Private Retailer"/>
    <s v="9733199765"/>
    <n v="2.0249999999999999"/>
    <n v="49"/>
    <x v="1"/>
    <m/>
    <s v="2026-03-09"/>
    <s v="263373"/>
    <s v="M/s. Kanailal Kedar Prasad"/>
    <s v="9735692523"/>
  </r>
  <r>
    <s v="RCF Thal"/>
    <s v="N.C.Urea(45kg)"/>
    <s v="WB"/>
    <x v="7"/>
    <s v="Tapan"/>
    <s v="User Not Mapped"/>
    <s v="User Not Mapped"/>
    <s v="User Not Mapped"/>
    <n v="390621"/>
    <s v="M/S NIREN SENGUPTA"/>
    <s v="Private Retailer"/>
    <s v="9733467599"/>
    <n v="5.5350000000000001"/>
    <n v="49"/>
    <x v="1"/>
    <m/>
    <s v="2026-03-09"/>
    <s v="263373"/>
    <s v="M/s. Kanailal Kedar Prasad"/>
    <s v="9735692523"/>
  </r>
  <r>
    <s v="RCF Thal"/>
    <s v="N.C.Urea(45kg)"/>
    <s v="WB"/>
    <x v="7"/>
    <s v="Tapan"/>
    <s v="User Not Mapped"/>
    <s v="User Not Mapped"/>
    <s v="User Not Mapped"/>
    <n v="390621"/>
    <s v="M/S NIREN SENGUPTA"/>
    <s v="Private Retailer"/>
    <s v="9733467599"/>
    <n v="0.9"/>
    <n v="1217"/>
    <x v="7"/>
    <m/>
    <s v="2022-12-27"/>
    <s v="1258418"/>
    <s v="M/S BISWAJIT KAR"/>
    <s v="8906547307"/>
  </r>
  <r>
    <s v="RCF Trombay"/>
    <s v="15-15-15"/>
    <s v="WB"/>
    <x v="7"/>
    <s v="Tapan"/>
    <s v="User Not Mapped"/>
    <s v="User Not Mapped"/>
    <s v="User Not Mapped"/>
    <n v="390621"/>
    <s v="M/S NIREN SENGUPTA"/>
    <s v="Private Retailer"/>
    <s v="9733467599"/>
    <n v="0.5"/>
    <n v="80"/>
    <x v="2"/>
    <m/>
    <s v="2026-02-06"/>
    <s v="1622168"/>
    <s v="MS Mondal Fertilizer"/>
    <s v="9932723750"/>
  </r>
  <r>
    <s v="RCF Trombay"/>
    <s v="15-15-15"/>
    <s v="WB"/>
    <x v="7"/>
    <s v="Tapan"/>
    <s v="User Not Mapped"/>
    <s v="User Not Mapped"/>
    <s v="User Not Mapped"/>
    <n v="501292"/>
    <s v="Ma Manasa Sar Bhander"/>
    <s v="Private Retailer"/>
    <s v="9564767409"/>
    <n v="1.75"/>
    <n v="133"/>
    <x v="0"/>
    <m/>
    <s v="2025-12-15"/>
    <s v="286422"/>
    <s v="Dipak Kumar Laha"/>
    <s v="6297583814"/>
  </r>
  <r>
    <s v="RCF Thal"/>
    <s v="N.C.Urea(45kg)"/>
    <s v="WB"/>
    <x v="7"/>
    <s v="Tapan"/>
    <s v="User Not Mapped"/>
    <s v="User Not Mapped"/>
    <s v="User Not Mapped"/>
    <n v="550227"/>
    <s v="Idrish Ali Sarkar"/>
    <s v="Private Retailer"/>
    <s v="9733404666"/>
    <n v="9.6300000000000008"/>
    <n v="49"/>
    <x v="1"/>
    <m/>
    <s v="2026-03-09"/>
    <s v="263373"/>
    <s v="M/s. Kanailal Kedar Prasad"/>
    <s v="9735692523"/>
  </r>
  <r>
    <s v="RCF Trombay"/>
    <s v="15-15-15"/>
    <s v="WB"/>
    <x v="7"/>
    <s v="Tapan"/>
    <s v="User Not Mapped"/>
    <s v="User Not Mapped"/>
    <s v="User Not Mapped"/>
    <n v="601107"/>
    <s v="ARUN KR MALI"/>
    <s v="Private Retailer"/>
    <s v="9733261458"/>
    <n v="2.5000000000000001E-2"/>
    <n v="142"/>
    <x v="0"/>
    <m/>
    <s v="2025-12-06"/>
    <s v="354029"/>
    <s v="M/s. Bhumi Laxmi"/>
    <s v="9153195790"/>
  </r>
  <r>
    <s v="RCF Trombay"/>
    <s v="15-15-15"/>
    <s v="WB"/>
    <x v="7"/>
    <s v="Tapan"/>
    <s v="User Not Mapped"/>
    <s v="User Not Mapped"/>
    <s v="User Not Mapped"/>
    <n v="601109"/>
    <s v="M/S NURANI SAR BHANDER"/>
    <s v="Private Retailer"/>
    <s v="9733062047"/>
    <n v="4"/>
    <n v="180"/>
    <x v="0"/>
    <m/>
    <s v="2025-10-29"/>
    <s v="1258418"/>
    <s v="M/S BISWAJIT KAR"/>
    <s v="8906547307"/>
  </r>
  <r>
    <s v="RCF Trombay"/>
    <s v="15-15-15"/>
    <s v="WB"/>
    <x v="7"/>
    <s v="Tapan"/>
    <s v="User Not Mapped"/>
    <s v="User Not Mapped"/>
    <s v="User Not Mapped"/>
    <n v="633376"/>
    <s v="M/S SHIV DURGA ENTERPRISE"/>
    <s v="Private Retailer"/>
    <s v="9609923404"/>
    <n v="2.5000000000000001E-2"/>
    <n v="83"/>
    <x v="2"/>
    <m/>
    <s v="2026-02-03"/>
    <s v="354029"/>
    <s v="M/s. Bhumi Laxmi"/>
    <s v="9153195790"/>
  </r>
  <r>
    <s v="RCF Trombay"/>
    <s v="15-15-15"/>
    <s v="WB"/>
    <x v="7"/>
    <s v="Tapan"/>
    <s v="User Not Mapped"/>
    <s v="User Not Mapped"/>
    <s v="User Not Mapped"/>
    <n v="637879"/>
    <s v="M/S PAUL FERTILIZERS"/>
    <s v="Private Retailer"/>
    <s v="7872182335"/>
    <n v="0.4"/>
    <n v="526"/>
    <x v="6"/>
    <m/>
    <s v="2024-11-17"/>
    <s v="739732"/>
    <s v="RATAN KUMAR LAHA"/>
    <s v="9563078662"/>
  </r>
  <r>
    <s v="RCF Thal"/>
    <s v="N.C.Urea(45kg)"/>
    <s v="WB"/>
    <x v="7"/>
    <s v="Tapan"/>
    <s v="User Not Mapped"/>
    <s v="User Not Mapped"/>
    <s v="User Not Mapped"/>
    <n v="637879"/>
    <s v="M/S PAUL FERTILIZERS"/>
    <s v="Private Retailer"/>
    <s v="7872182335"/>
    <n v="5.4"/>
    <n v="228"/>
    <x v="3"/>
    <m/>
    <s v="2025-09-11"/>
    <s v="263373"/>
    <s v="M/s. Kanailal Kedar Prasad"/>
    <s v="9735692523"/>
  </r>
  <r>
    <s v="RCF Trombay"/>
    <s v="N.C.Urea(45kg)"/>
    <s v="WB"/>
    <x v="7"/>
    <s v="Tapan"/>
    <s v="User Not Mapped"/>
    <s v="User Not Mapped"/>
    <s v="User Not Mapped"/>
    <n v="642243"/>
    <s v="SATTAR ISLAM"/>
    <s v="Private Retailer"/>
    <s v="9734962632"/>
    <n v="1.62"/>
    <n v="140"/>
    <x v="0"/>
    <m/>
    <s v="2025-12-08"/>
    <s v="263373"/>
    <s v="M/s. Kanailal Kedar Prasad"/>
    <s v="9735692523"/>
  </r>
  <r>
    <s v="RCF Thal"/>
    <s v="N.C.Urea(45kg)"/>
    <s v="WB"/>
    <x v="7"/>
    <s v="Tapan"/>
    <s v="User Not Mapped"/>
    <s v="User Not Mapped"/>
    <s v="User Not Mapped"/>
    <n v="642243"/>
    <s v="SATTAR ISLAM"/>
    <s v="Private Retailer"/>
    <s v="9734962632"/>
    <n v="0.36"/>
    <n v="97"/>
    <x v="5"/>
    <m/>
    <s v="2026-01-20"/>
    <s v="263373"/>
    <s v="M/s. Kanailal Kedar Prasad"/>
    <s v="9735692523"/>
  </r>
  <r>
    <s v="RCF Thal"/>
    <s v="N.C.Urea(45kg)"/>
    <s v="WB"/>
    <x v="7"/>
    <s v="Tapan"/>
    <s v="User Not Mapped"/>
    <s v="User Not Mapped"/>
    <s v="User Not Mapped"/>
    <n v="649401"/>
    <s v="M/S. ANIRBAN SAHA"/>
    <s v="Private Retailer"/>
    <s v="9733473031"/>
    <n v="0.315"/>
    <n v="940"/>
    <x v="7"/>
    <m/>
    <s v="2023-09-30"/>
    <s v="263373"/>
    <s v="M/s. Kanailal Kedar Prasad"/>
    <s v="9735692523"/>
  </r>
  <r>
    <s v="RCF Import"/>
    <s v="Imp 10-26-26"/>
    <s v="WB"/>
    <x v="7"/>
    <s v="Tapan"/>
    <s v="User Not Mapped"/>
    <s v="User Not Mapped"/>
    <s v="User Not Mapped"/>
    <n v="657738"/>
    <s v="BASANTI BARMAN"/>
    <s v="Private Retailer"/>
    <s v="9733106394"/>
    <n v="4.05"/>
    <n v="80"/>
    <x v="2"/>
    <m/>
    <s v="2026-02-06"/>
    <s v="739732"/>
    <s v="RATAN KUMAR LAHA"/>
    <s v="9563078662"/>
  </r>
  <r>
    <s v="RCF Thal"/>
    <s v="N.C.Urea(45kg)"/>
    <s v="WB"/>
    <x v="7"/>
    <s v="Tapan"/>
    <s v="User Not Mapped"/>
    <s v="User Not Mapped"/>
    <s v="User Not Mapped"/>
    <n v="657738"/>
    <s v="BASANTI BARMAN"/>
    <s v="Private Retailer"/>
    <s v="9733106394"/>
    <n v="0.40500000000000003"/>
    <n v="152"/>
    <x v="0"/>
    <m/>
    <s v="2025-11-26"/>
    <s v="263382"/>
    <s v="Tushar Kanti Agarwala"/>
    <s v="8597190846"/>
  </r>
  <r>
    <s v="RCF Trombay"/>
    <s v="N.C.Urea(45kg)"/>
    <s v="WB"/>
    <x v="7"/>
    <s v="Tapan"/>
    <s v="User Not Mapped"/>
    <s v="User Not Mapped"/>
    <s v="User Not Mapped"/>
    <n v="657738"/>
    <s v="BASANTI BARMAN"/>
    <s v="Private Retailer"/>
    <s v="9733106394"/>
    <n v="5.625"/>
    <n v="7"/>
    <x v="4"/>
    <m/>
    <s v="2026-04-20"/>
    <s v="263382"/>
    <s v="Tushar Kanti Agarwala"/>
    <s v="8597190846"/>
  </r>
  <r>
    <s v="RCF Trombay"/>
    <s v="15-15-15"/>
    <s v="WB"/>
    <x v="7"/>
    <s v="Tapan"/>
    <s v="User Not Mapped"/>
    <s v="User Not Mapped"/>
    <s v="User Not Mapped"/>
    <n v="657738"/>
    <s v="BASANTI BARMAN"/>
    <s v="Private Retailer"/>
    <s v="9733106394"/>
    <n v="5.5"/>
    <n v="7"/>
    <x v="4"/>
    <m/>
    <s v="2026-04-20"/>
    <s v="263382"/>
    <s v="Tushar Kanti Agarwala"/>
    <s v="8597190846"/>
  </r>
  <r>
    <s v="RCF Thal"/>
    <s v="N.C.Urea(45kg)"/>
    <s v="WB"/>
    <x v="7"/>
    <s v="Tapan"/>
    <s v="User Not Mapped"/>
    <s v="User Not Mapped"/>
    <s v="User Not Mapped"/>
    <n v="657738"/>
    <s v="BASANTI BARMAN"/>
    <s v="Private Retailer"/>
    <s v="9733106394"/>
    <n v="5.4"/>
    <n v="97"/>
    <x v="5"/>
    <m/>
    <s v="2026-01-20"/>
    <s v="263373"/>
    <s v="M/s. Kanailal Kedar Prasad"/>
    <s v="9735692523"/>
  </r>
  <r>
    <s v="RCF Thal"/>
    <s v="N.C.Urea(45kg)"/>
    <s v="WB"/>
    <x v="7"/>
    <s v="Tapan"/>
    <s v="User Not Mapped"/>
    <s v="User Not Mapped"/>
    <s v="User Not Mapped"/>
    <n v="657742"/>
    <s v="SABUJ BIPLAB"/>
    <s v="Private Retailer"/>
    <s v="9734155202"/>
    <n v="6.97"/>
    <n v="145"/>
    <x v="0"/>
    <m/>
    <s v="2025-12-03"/>
    <s v="263373"/>
    <s v="M/s. Kanailal Kedar Prasad"/>
    <s v="9735692523"/>
  </r>
  <r>
    <s v="RCF Thal"/>
    <s v="N.C.Urea(45kg)"/>
    <s v="WB"/>
    <x v="7"/>
    <s v="Tapan"/>
    <s v="User Not Mapped"/>
    <s v="User Not Mapped"/>
    <s v="User Not Mapped"/>
    <n v="657742"/>
    <s v="SABUJ BIPLAB"/>
    <s v="Private Retailer"/>
    <s v="9734155202"/>
    <n v="4.5"/>
    <n v="49"/>
    <x v="1"/>
    <m/>
    <s v="2026-03-09"/>
    <s v="263373"/>
    <s v="M/s. Kanailal Kedar Prasad"/>
    <s v="9735692523"/>
  </r>
  <r>
    <s v="RCF Thal"/>
    <s v="N.C.Urea(45kg)"/>
    <s v="WB"/>
    <x v="7"/>
    <s v="Tapan"/>
    <s v="User Not Mapped"/>
    <s v="User Not Mapped"/>
    <s v="User Not Mapped"/>
    <n v="658025"/>
    <s v="M/S. MAHASIN REJA"/>
    <s v="Private Retailer"/>
    <s v="9749818124"/>
    <n v="0.03"/>
    <n v="1866"/>
    <x v="7"/>
    <m/>
    <s v="2021-03-18"/>
    <s v="281503"/>
    <s v="Krishi Ghar"/>
    <s v="7031245549"/>
  </r>
  <r>
    <s v="RCF Trombay"/>
    <s v="15-15-15"/>
    <s v="WB"/>
    <x v="7"/>
    <s v="Tapan"/>
    <s v="User Not Mapped"/>
    <s v="User Not Mapped"/>
    <s v="User Not Mapped"/>
    <n v="658029"/>
    <s v="M/S. BIPUL BARMAN"/>
    <s v="Private Retailer"/>
    <s v="9800163689"/>
    <n v="0.05"/>
    <n v="262"/>
    <x v="3"/>
    <m/>
    <s v="2025-08-08"/>
    <s v="263382"/>
    <s v="Tushar Kanti Agarwala"/>
    <s v="8597190846"/>
  </r>
  <r>
    <s v="RCF Thal"/>
    <s v="N.C.Urea(45kg)"/>
    <s v="WB"/>
    <x v="7"/>
    <s v="Tapan"/>
    <s v="User Not Mapped"/>
    <s v="User Not Mapped"/>
    <s v="User Not Mapped"/>
    <n v="658029"/>
    <s v="M/S. BIPUL BARMAN"/>
    <s v="Private Retailer"/>
    <s v="9800163689"/>
    <n v="4.6349999999999998"/>
    <n v="171"/>
    <x v="0"/>
    <m/>
    <s v="2025-11-07"/>
    <s v="263382"/>
    <s v="Tushar Kanti Agarwala"/>
    <s v="8597190846"/>
  </r>
  <r>
    <s v="RCF Thal"/>
    <s v="N.C.Urea(45kg)"/>
    <s v="WB"/>
    <x v="7"/>
    <s v="Tapan"/>
    <s v="User Not Mapped"/>
    <s v="User Not Mapped"/>
    <s v="User Not Mapped"/>
    <n v="658033"/>
    <s v="NURUL ISLAM"/>
    <s v="Private Retailer"/>
    <s v="9733360114"/>
    <n v="0.76500000000000001"/>
    <n v="171"/>
    <x v="0"/>
    <m/>
    <s v="2025-11-07"/>
    <s v="263382"/>
    <s v="Tushar Kanti Agarwala"/>
    <s v="8597190846"/>
  </r>
  <r>
    <s v="RCF Thal"/>
    <s v="N.C.Urea(45kg)"/>
    <s v="WB"/>
    <x v="7"/>
    <s v="Tapan"/>
    <s v="User Not Mapped"/>
    <s v="User Not Mapped"/>
    <s v="User Not Mapped"/>
    <n v="693807"/>
    <s v="BROJENDRA NATH ROY N NITAI ROY"/>
    <s v="Private Retailer"/>
    <s v="9933550541"/>
    <n v="8.8149999999999995"/>
    <n v="20"/>
    <x v="4"/>
    <m/>
    <s v="2026-04-07"/>
    <s v="286422"/>
    <s v="Dipak Kumar Laha"/>
    <s v="6297583814"/>
  </r>
  <r>
    <s v="RCF Import"/>
    <s v="Imp 10-26-26"/>
    <s v="WB"/>
    <x v="7"/>
    <s v="Tapan"/>
    <s v="User Not Mapped"/>
    <s v="User Not Mapped"/>
    <s v="User Not Mapped"/>
    <n v="693828"/>
    <s v="M/S. SABUJ BHANDER"/>
    <s v="Private Retailer"/>
    <s v="8617844417"/>
    <n v="1"/>
    <n v="29"/>
    <x v="4"/>
    <m/>
    <s v="2026-03-29"/>
    <s v="1598467"/>
    <s v="M/S Kishok Bazar "/>
    <s v="7479028672"/>
  </r>
  <r>
    <s v="RCF Thal"/>
    <s v="N.C.Urea(45kg)"/>
    <s v="WB"/>
    <x v="7"/>
    <s v="Tapan"/>
    <s v="User Not Mapped"/>
    <s v="User Not Mapped"/>
    <s v="User Not Mapped"/>
    <n v="693846"/>
    <s v="M/S MAA LAXMI SAR BHANDER"/>
    <s v="Private Retailer"/>
    <s v="9735976429"/>
    <n v="11.025"/>
    <n v="20"/>
    <x v="4"/>
    <m/>
    <s v="2026-04-07"/>
    <s v="286422"/>
    <s v="Dipak Kumar Laha"/>
    <s v="6297583814"/>
  </r>
  <r>
    <s v="RCF Thal"/>
    <s v="N.C.Urea(45kg)"/>
    <s v="WB"/>
    <x v="7"/>
    <s v="Tapan"/>
    <s v="User Not Mapped"/>
    <s v="User Not Mapped"/>
    <s v="User Not Mapped"/>
    <n v="693846"/>
    <s v="M/S MAA LAXMI SAR BHANDER"/>
    <s v="Private Retailer"/>
    <s v="9735976429"/>
    <n v="2.97"/>
    <n v="412"/>
    <x v="6"/>
    <m/>
    <s v="2025-03-11"/>
    <s v="263373"/>
    <s v="M/s. Kanailal Kedar Prasad"/>
    <s v="9735692523"/>
  </r>
  <r>
    <s v="RCF Thal"/>
    <s v="N.C.Urea(45kg)"/>
    <s v="WB"/>
    <x v="7"/>
    <s v="Tapan"/>
    <s v="User Not Mapped"/>
    <s v="User Not Mapped"/>
    <s v="User Not Mapped"/>
    <n v="706857"/>
    <s v="M/S RAJU BARMAN"/>
    <s v="Private Retailer"/>
    <s v="7063268698"/>
    <n v="0.09"/>
    <n v="625"/>
    <x v="7"/>
    <m/>
    <s v="2024-08-10"/>
    <s v="1258418"/>
    <s v="M/S BISWAJIT KAR"/>
    <s v="8906547307"/>
  </r>
  <r>
    <s v="RCF Thal"/>
    <s v="N.C.Urea(45kg)"/>
    <s v="WB"/>
    <x v="7"/>
    <s v="Tapan"/>
    <s v="User Not Mapped"/>
    <s v="User Not Mapped"/>
    <s v="User Not Mapped"/>
    <n v="768064"/>
    <s v="BHUMI BANDHU FERTILIZER"/>
    <s v="Private Retailer"/>
    <s v="8170862350"/>
    <n v="4.5449999999999999"/>
    <n v="38"/>
    <x v="1"/>
    <m/>
    <s v="2026-03-20"/>
    <s v="263382"/>
    <s v="Tushar Kanti Agarwala"/>
    <s v="8597190846"/>
  </r>
  <r>
    <s v="RCF Thal"/>
    <s v="N.C.Urea(45kg)"/>
    <s v="WB"/>
    <x v="7"/>
    <s v="Tapan"/>
    <s v="User Not Mapped"/>
    <s v="User Not Mapped"/>
    <s v="User Not Mapped"/>
    <n v="768082"/>
    <s v="M/S. RAKESH PAUL"/>
    <s v="Private Retailer"/>
    <s v="9609773354"/>
    <n v="1.125"/>
    <n v="2056"/>
    <x v="7"/>
    <m/>
    <s v="2020-09-09"/>
    <s v="263373"/>
    <s v="M/s. Kanailal Kedar Prasad"/>
    <s v="9735692523"/>
  </r>
  <r>
    <s v="RCF Trombay"/>
    <s v="15-15-15"/>
    <s v="WB"/>
    <x v="7"/>
    <s v="Tapan"/>
    <s v="User Not Mapped"/>
    <s v="User Not Mapped"/>
    <s v="User Not Mapped"/>
    <n v="768130"/>
    <s v="M/S NITISH KUMAR BISWAS"/>
    <s v="Private Retailer"/>
    <s v="9046625023"/>
    <n v="1.9"/>
    <n v="131"/>
    <x v="0"/>
    <m/>
    <s v="2025-12-17"/>
    <s v="739732"/>
    <s v="RATAN KUMAR LAHA"/>
    <s v="9563078662"/>
  </r>
  <r>
    <s v="RCF Import"/>
    <s v="MOP"/>
    <s v="WB"/>
    <x v="7"/>
    <s v="Tapan"/>
    <s v="User Not Mapped"/>
    <s v="User Not Mapped"/>
    <s v="User Not Mapped"/>
    <n v="768130"/>
    <s v="M/S NITISH KUMAR BISWAS"/>
    <s v="Private Retailer"/>
    <s v="9046625023"/>
    <n v="1.4"/>
    <n v="412"/>
    <x v="6"/>
    <m/>
    <s v="2025-03-11"/>
    <s v="739732"/>
    <s v="RATAN KUMAR LAHA"/>
    <s v="9563078662"/>
  </r>
  <r>
    <s v="RCF Import"/>
    <s v="Imp 10-26-26"/>
    <s v="WB"/>
    <x v="7"/>
    <s v="Tapan"/>
    <s v="User Not Mapped"/>
    <s v="User Not Mapped"/>
    <s v="User Not Mapped"/>
    <n v="777457"/>
    <s v="NURUL FERTILIZER"/>
    <s v="Private Retailer"/>
    <s v="9734984780"/>
    <n v="0.65"/>
    <n v="888"/>
    <x v="7"/>
    <m/>
    <s v="2023-11-21"/>
    <s v="263374"/>
    <s v="M/s. Krishi Unnayan Kendra"/>
    <s v="8759907610"/>
  </r>
  <r>
    <s v="RCF Trombay"/>
    <s v="N.C.Urea(45kg)"/>
    <s v="WB"/>
    <x v="7"/>
    <s v="Tapan"/>
    <s v="User Not Mapped"/>
    <s v="User Not Mapped"/>
    <s v="User Not Mapped"/>
    <n v="797122"/>
    <s v="ARIF MONDAL"/>
    <s v="Private Retailer"/>
    <s v="9775754250"/>
    <n v="5.625"/>
    <n v="6"/>
    <x v="4"/>
    <m/>
    <s v="2026-04-21"/>
    <s v="263382"/>
    <s v="Tushar Kanti Agarwala"/>
    <s v="8597190846"/>
  </r>
  <r>
    <s v="RCF Trombay"/>
    <s v="N.C.Urea(45kg)"/>
    <s v="WB"/>
    <x v="7"/>
    <s v="Tapan"/>
    <s v="User Not Mapped"/>
    <s v="User Not Mapped"/>
    <s v="User Not Mapped"/>
    <n v="797122"/>
    <s v="ARIF MONDAL"/>
    <s v="Private Retailer"/>
    <s v="9775754250"/>
    <n v="0.45"/>
    <n v="66"/>
    <x v="2"/>
    <m/>
    <s v="2026-02-20"/>
    <s v="263382"/>
    <s v="Tushar Kanti Agarwala"/>
    <s v="8597190846"/>
  </r>
  <r>
    <s v="RCF Trombay"/>
    <s v="15-15-15"/>
    <s v="WB"/>
    <x v="7"/>
    <s v="Tapan"/>
    <s v="User Not Mapped"/>
    <s v="User Not Mapped"/>
    <s v="User Not Mapped"/>
    <n v="797122"/>
    <s v="ARIF MONDAL"/>
    <s v="Private Retailer"/>
    <s v="9775754250"/>
    <n v="0.25"/>
    <n v="66"/>
    <x v="2"/>
    <m/>
    <s v="2026-02-20"/>
    <s v="263382"/>
    <s v="Tushar Kanti Agarwala"/>
    <s v="8597190846"/>
  </r>
  <r>
    <s v="RCF Thal"/>
    <s v="N.C.Urea(45kg)"/>
    <s v="WB"/>
    <x v="7"/>
    <s v="Tapan"/>
    <s v="User Not Mapped"/>
    <s v="User Not Mapped"/>
    <s v="User Not Mapped"/>
    <n v="797122"/>
    <s v="ARIF MONDAL"/>
    <s v="Private Retailer"/>
    <s v="9775754250"/>
    <n v="0.45"/>
    <n v="13"/>
    <x v="4"/>
    <m/>
    <s v="2026-04-14"/>
    <s v="263382"/>
    <s v="Tushar Kanti Agarwala"/>
    <s v="8597190846"/>
  </r>
  <r>
    <s v="RCF Thal"/>
    <s v="N.C.Urea(45kg)"/>
    <s v="WB"/>
    <x v="7"/>
    <s v="Tapan"/>
    <s v="User Not Mapped"/>
    <s v="User Not Mapped"/>
    <s v="User Not Mapped"/>
    <n v="797921"/>
    <s v="M/S MADAN BARMAN"/>
    <s v="Private Retailer"/>
    <s v="9635474895"/>
    <n v="4.41"/>
    <n v="155"/>
    <x v="0"/>
    <m/>
    <s v="2025-11-23"/>
    <s v="263373"/>
    <s v="M/s. Kanailal Kedar Prasad"/>
    <s v="9735692523"/>
  </r>
  <r>
    <s v="RCF Trombay"/>
    <s v="15-15-15"/>
    <s v="WB"/>
    <x v="7"/>
    <s v="Tapan"/>
    <s v="User Not Mapped"/>
    <s v="User Not Mapped"/>
    <s v="User Not Mapped"/>
    <n v="797925"/>
    <s v="M/S SUJIT SARKAR"/>
    <s v="Private Retailer"/>
    <s v="9002113434"/>
    <n v="4.5"/>
    <n v="35"/>
    <x v="1"/>
    <m/>
    <s v="2026-03-23"/>
    <s v="1622168"/>
    <s v="MS Mondal Fertilizer"/>
    <s v="9932723750"/>
  </r>
  <r>
    <s v="RCF Thal"/>
    <s v="N.C.Urea(45kg)"/>
    <s v="WB"/>
    <x v="7"/>
    <s v="Tapan"/>
    <s v="User Not Mapped"/>
    <s v="User Not Mapped"/>
    <s v="User Not Mapped"/>
    <n v="836650"/>
    <s v="MOJAMMEL HAQUE MAHALAT N ABDUL"/>
    <s v="Private Retailer"/>
    <s v="9734155883"/>
    <n v="0.1"/>
    <n v="253"/>
    <x v="3"/>
    <m/>
    <s v="2025-08-17"/>
    <s v="1258418"/>
    <s v="M/S BISWAJIT KAR"/>
    <s v="8906547307"/>
  </r>
  <r>
    <s v="RCF Thal"/>
    <s v="N.C.Urea(45kg)"/>
    <s v="WB"/>
    <x v="7"/>
    <s v="Tapan"/>
    <s v="User Not Mapped"/>
    <s v="User Not Mapped"/>
    <s v="User Not Mapped"/>
    <n v="848378"/>
    <s v="M/S SARKAR FERTILIZER"/>
    <s v="Private Retailer"/>
    <s v="9679420161"/>
    <n v="11.25"/>
    <n v="168"/>
    <x v="0"/>
    <m/>
    <s v="2025-11-10"/>
    <s v="263382"/>
    <s v="Tushar Kanti Agarwala"/>
    <s v="8597190846"/>
  </r>
  <r>
    <s v="RCF Thal"/>
    <s v="N.C.Urea(45kg)"/>
    <s v="WB"/>
    <x v="7"/>
    <s v="Tapan"/>
    <s v="User Not Mapped"/>
    <s v="User Not Mapped"/>
    <s v="User Not Mapped"/>
    <n v="848378"/>
    <s v="M/S SARKAR FERTILIZER"/>
    <s v="Private Retailer"/>
    <s v="9679420161"/>
    <n v="2.0249999999999999"/>
    <n v="393"/>
    <x v="6"/>
    <m/>
    <s v="2025-03-30"/>
    <s v="263373"/>
    <s v="M/s. Kanailal Kedar Prasad"/>
    <s v="9735692523"/>
  </r>
  <r>
    <s v="RCF Thal"/>
    <s v="N.C.Urea(45kg)"/>
    <s v="WB"/>
    <x v="7"/>
    <s v="Tapan"/>
    <s v="User Not Mapped"/>
    <s v="User Not Mapped"/>
    <s v="User Not Mapped"/>
    <n v="848378"/>
    <s v="M/S SARKAR FERTILIZER"/>
    <s v="Private Retailer"/>
    <s v="9679420161"/>
    <n v="11.925000000000001"/>
    <n v="90"/>
    <x v="2"/>
    <m/>
    <s v="2026-01-27"/>
    <s v="286422"/>
    <s v="Dipak Kumar Laha"/>
    <s v="6297583814"/>
  </r>
  <r>
    <s v="RCF Thal"/>
    <s v="N.C.Urea(45kg)"/>
    <s v="WB"/>
    <x v="7"/>
    <s v="Tapan"/>
    <s v="User Not Mapped"/>
    <s v="User Not Mapped"/>
    <s v="User Not Mapped"/>
    <n v="860875"/>
    <s v="M/S ABDUR RAHIM AHAMAD"/>
    <s v="Private Retailer"/>
    <s v="7001623908"/>
    <n v="5.5350000000000001"/>
    <n v="49"/>
    <x v="1"/>
    <m/>
    <s v="2026-03-09"/>
    <s v="263373"/>
    <s v="M/s. Kanailal Kedar Prasad"/>
    <s v="9735692523"/>
  </r>
  <r>
    <s v="RCF Import"/>
    <s v="Imp 10-26-26"/>
    <s v="WB"/>
    <x v="7"/>
    <s v="Tapan"/>
    <s v="User Not Mapped"/>
    <s v="User Not Mapped"/>
    <s v="User Not Mapped"/>
    <n v="860875"/>
    <s v="M/S ABDUR RAHIM AHAMAD"/>
    <s v="Private Retailer"/>
    <s v="7001623908"/>
    <n v="3"/>
    <n v="80"/>
    <x v="2"/>
    <m/>
    <s v="2026-02-06"/>
    <s v="739732"/>
    <s v="RATAN KUMAR LAHA"/>
    <s v="9563078662"/>
  </r>
  <r>
    <s v="RCF Thal"/>
    <s v="N.C.Urea(45kg)"/>
    <s v="WB"/>
    <x v="7"/>
    <s v="Tapan"/>
    <s v="User Not Mapped"/>
    <s v="User Not Mapped"/>
    <s v="User Not Mapped"/>
    <n v="861096"/>
    <s v="M/S. SAFIUDDIN SARKAR"/>
    <s v="Private Retailer"/>
    <s v="8927275009"/>
    <n v="11.25"/>
    <n v="45"/>
    <x v="1"/>
    <m/>
    <s v="2026-03-13"/>
    <s v="263382"/>
    <s v="Tushar Kanti Agarwala"/>
    <s v="8597190846"/>
  </r>
  <r>
    <s v="RCF Trombay"/>
    <s v="N.C.Urea(45kg)"/>
    <s v="WB"/>
    <x v="7"/>
    <s v="Tapan"/>
    <s v="User Not Mapped"/>
    <s v="User Not Mapped"/>
    <s v="User Not Mapped"/>
    <n v="861096"/>
    <s v="M/S. SAFIUDDIN SARKAR"/>
    <s v="Private Retailer"/>
    <s v="8927275009"/>
    <n v="11.25"/>
    <n v="6"/>
    <x v="4"/>
    <m/>
    <s v="2026-04-21"/>
    <s v="263382"/>
    <s v="Tushar Kanti Agarwala"/>
    <s v="8597190846"/>
  </r>
  <r>
    <s v="RCF Trombay"/>
    <s v="15-15-15"/>
    <s v="WB"/>
    <x v="7"/>
    <s v="Tapan"/>
    <s v="User Not Mapped"/>
    <s v="User Not Mapped"/>
    <s v="User Not Mapped"/>
    <n v="870296"/>
    <s v="M/S. SITA RANI BARMAN N KARTIK"/>
    <s v="Private Retailer"/>
    <s v="9547957367"/>
    <n v="0.15"/>
    <n v="496"/>
    <x v="6"/>
    <m/>
    <s v="2024-12-17"/>
    <s v="354029"/>
    <s v="M/s. Bhumi Laxmi"/>
    <s v="9153195790"/>
  </r>
  <r>
    <s v="RCF Thal"/>
    <s v="N.C.Urea(45kg)"/>
    <s v="WB"/>
    <x v="7"/>
    <s v="Tapan"/>
    <s v="User Not Mapped"/>
    <s v="User Not Mapped"/>
    <s v="User Not Mapped"/>
    <n v="881219"/>
    <s v="MAHABUL ISLAM"/>
    <s v="Private Retailer"/>
    <s v="8145225604"/>
    <n v="0.64"/>
    <n v="126"/>
    <x v="0"/>
    <m/>
    <s v="2025-12-22"/>
    <s v="1258418"/>
    <s v="M/S BISWAJIT KAR"/>
    <s v="8906547307"/>
  </r>
  <r>
    <s v="RCF Thal"/>
    <s v="N.C.Urea(45kg)"/>
    <s v="WB"/>
    <x v="7"/>
    <s v="Tapan"/>
    <s v="User Not Mapped"/>
    <s v="User Not Mapped"/>
    <s v="User Not Mapped"/>
    <n v="922681"/>
    <s v="SARKAR FERTILIZER"/>
    <s v="Private Retailer"/>
    <s v="9064049835"/>
    <n v="5.8949999999999996"/>
    <n v="155"/>
    <x v="0"/>
    <m/>
    <s v="2025-11-23"/>
    <s v="263373"/>
    <s v="M/s. Kanailal Kedar Prasad"/>
    <s v="9735692523"/>
  </r>
  <r>
    <s v="RCF Trombay"/>
    <s v="15-15-15"/>
    <s v="WB"/>
    <x v="7"/>
    <s v="Tapan"/>
    <s v="User Not Mapped"/>
    <s v="User Not Mapped"/>
    <s v="User Not Mapped"/>
    <n v="922681"/>
    <s v="SARKAR FERTILIZER"/>
    <s v="Private Retailer"/>
    <s v="9064049835"/>
    <n v="5.5"/>
    <n v="72"/>
    <x v="2"/>
    <m/>
    <s v="2026-02-14"/>
    <s v="1258418"/>
    <s v="M/S BISWAJIT KAR"/>
    <s v="8906547307"/>
  </r>
  <r>
    <s v="RCF Thal"/>
    <s v="N.C.Urea(45kg)"/>
    <s v="WB"/>
    <x v="7"/>
    <s v="Tapan"/>
    <s v="User Not Mapped"/>
    <s v="User Not Mapped"/>
    <s v="User Not Mapped"/>
    <n v="922681"/>
    <s v="SARKAR FERTILIZER"/>
    <s v="Private Retailer"/>
    <s v="9064049835"/>
    <n v="4.4400000000000004"/>
    <n v="127"/>
    <x v="0"/>
    <m/>
    <s v="2025-12-21"/>
    <s v="1258418"/>
    <s v="M/S BISWAJIT KAR"/>
    <s v="8906547307"/>
  </r>
  <r>
    <s v="RCF Import"/>
    <s v="Imp 10-26-26"/>
    <s v="WB"/>
    <x v="7"/>
    <s v="Tapan"/>
    <s v="User Not Mapped"/>
    <s v="User Not Mapped"/>
    <s v="User Not Mapped"/>
    <n v="922681"/>
    <s v="SARKAR FERTILIZER"/>
    <s v="Private Retailer"/>
    <s v="9064049835"/>
    <n v="6.1"/>
    <n v="80"/>
    <x v="2"/>
    <m/>
    <s v="2026-02-06"/>
    <s v="739732"/>
    <s v="RATAN KUMAR LAHA"/>
    <s v="9563078662"/>
  </r>
  <r>
    <s v="RCF Thal"/>
    <s v="N.C.Urea(45kg)"/>
    <s v="WB"/>
    <x v="7"/>
    <s v="Tapan"/>
    <s v="User Not Mapped"/>
    <s v="User Not Mapped"/>
    <s v="User Not Mapped"/>
    <n v="922681"/>
    <s v="SARKAR FERTILIZER"/>
    <s v="Private Retailer"/>
    <s v="9064049835"/>
    <n v="11.025"/>
    <n v="97"/>
    <x v="5"/>
    <m/>
    <s v="2026-01-20"/>
    <s v="263373"/>
    <s v="M/s. Kanailal Kedar Prasad"/>
    <s v="9735692523"/>
  </r>
  <r>
    <s v="RCF Thal"/>
    <s v="N.C.Urea(45kg)"/>
    <s v="WB"/>
    <x v="7"/>
    <s v="Tapan"/>
    <s v="User Not Mapped"/>
    <s v="User Not Mapped"/>
    <s v="User Not Mapped"/>
    <n v="939841"/>
    <s v="M/S. RANJIT ROY"/>
    <s v="Private Retailer"/>
    <s v="9933434628"/>
    <n v="0.09"/>
    <n v="149"/>
    <x v="0"/>
    <m/>
    <s v="2025-11-29"/>
    <s v="263373"/>
    <s v="M/s. Kanailal Kedar Prasad"/>
    <s v="9735692523"/>
  </r>
  <r>
    <s v="RCF Trombay"/>
    <s v="15-15-15"/>
    <s v="WB"/>
    <x v="7"/>
    <s v="Tapan"/>
    <s v="User Not Mapped"/>
    <s v="User Not Mapped"/>
    <s v="User Not Mapped"/>
    <n v="939841"/>
    <s v="M/S. RANJIT ROY"/>
    <s v="Private Retailer"/>
    <s v="9933434628"/>
    <n v="2"/>
    <n v="166"/>
    <x v="0"/>
    <m/>
    <s v="2025-11-12"/>
    <s v="263373"/>
    <s v="M/s. Kanailal Kedar Prasad"/>
    <s v="9735692523"/>
  </r>
  <r>
    <s v="RCF Trombay"/>
    <s v="15-15-15"/>
    <s v="WB"/>
    <x v="7"/>
    <s v="Tapan"/>
    <s v="User Not Mapped"/>
    <s v="User Not Mapped"/>
    <s v="User Not Mapped"/>
    <n v="945141"/>
    <s v="AHMED FERTILIZER"/>
    <s v="Private Retailer"/>
    <s v="9593647280"/>
    <n v="0.75"/>
    <n v="513"/>
    <x v="6"/>
    <m/>
    <s v="2024-11-30"/>
    <s v="263370"/>
    <s v="MS Deepak Kumar Sarkar And Son"/>
    <s v="9851529233"/>
  </r>
  <r>
    <s v="RCF Thal"/>
    <s v="N.C.Urea(45kg)"/>
    <s v="WB"/>
    <x v="7"/>
    <s v="Tapan"/>
    <s v="User Not Mapped"/>
    <s v="User Not Mapped"/>
    <s v="User Not Mapped"/>
    <n v="978594"/>
    <s v="RAJJATUL HOSSAIN"/>
    <s v="Private Retailer"/>
    <s v="9382948301"/>
    <n v="5.0000000000000001E-3"/>
    <n v="2347"/>
    <x v="7"/>
    <m/>
    <s v="2019-11-23"/>
    <s v="263373"/>
    <s v="M/s. Kanailal Kedar Prasad"/>
    <s v="9735692523"/>
  </r>
  <r>
    <s v="RCF Trombay"/>
    <s v="N.C.Urea(45kg)"/>
    <s v="WB"/>
    <x v="7"/>
    <s v="Tapan"/>
    <s v="User Not Mapped"/>
    <s v="User Not Mapped"/>
    <s v="User Not Mapped"/>
    <n v="1006017"/>
    <s v="M/S KALIDAS BISWAS AND AJGAR A"/>
    <s v="Private Retailer"/>
    <s v="8250584056"/>
    <n v="2.16"/>
    <n v="140"/>
    <x v="0"/>
    <m/>
    <s v="2025-12-08"/>
    <s v="263373"/>
    <s v="M/s. Kanailal Kedar Prasad"/>
    <s v="9735692523"/>
  </r>
  <r>
    <s v="RCF Thal"/>
    <s v="N.C.Urea(45kg)"/>
    <s v="WB"/>
    <x v="7"/>
    <s v="Tapan"/>
    <s v="User Not Mapped"/>
    <s v="User Not Mapped"/>
    <s v="User Not Mapped"/>
    <n v="1006017"/>
    <s v="M/S KALIDAS BISWAS AND AJGAR A"/>
    <s v="Private Retailer"/>
    <s v="8250584056"/>
    <n v="7.83"/>
    <n v="130"/>
    <x v="0"/>
    <m/>
    <s v="2025-12-18"/>
    <s v="263373"/>
    <s v="M/s. Kanailal Kedar Prasad"/>
    <s v="9735692523"/>
  </r>
  <r>
    <s v="RCF Thal"/>
    <s v="N.C.Urea(45kg)"/>
    <s v="WB"/>
    <x v="7"/>
    <s v="Tapan"/>
    <s v="User Not Mapped"/>
    <s v="User Not Mapped"/>
    <s v="User Not Mapped"/>
    <n v="1007482"/>
    <s v="M/S-NIREN ROY"/>
    <s v="Private Retailer"/>
    <s v="6294685551"/>
    <n v="0.09"/>
    <n v="71"/>
    <x v="2"/>
    <m/>
    <s v="2026-02-15"/>
    <s v="263373"/>
    <s v="M/s. Kanailal Kedar Prasad"/>
    <s v="9735692523"/>
  </r>
  <r>
    <s v="RCF Trombay"/>
    <s v="N.C.Urea(45kg)"/>
    <s v="WB"/>
    <x v="7"/>
    <s v="Tapan"/>
    <s v="User Not Mapped"/>
    <s v="User Not Mapped"/>
    <s v="User Not Mapped"/>
    <n v="1008676"/>
    <s v="MAJIBAR RAHAMAN"/>
    <s v="Private Retailer"/>
    <s v="8972633463"/>
    <n v="9.81"/>
    <n v="140"/>
    <x v="0"/>
    <m/>
    <s v="2025-12-08"/>
    <s v="263382"/>
    <s v="Tushar Kanti Agarwala"/>
    <s v="8597190846"/>
  </r>
  <r>
    <s v="RCF Thal"/>
    <s v="N.C.Urea(45kg)"/>
    <s v="WB"/>
    <x v="7"/>
    <s v="Tapan"/>
    <s v="User Not Mapped"/>
    <s v="User Not Mapped"/>
    <s v="User Not Mapped"/>
    <n v="1008676"/>
    <s v="MAJIBAR RAHAMAN"/>
    <s v="Private Retailer"/>
    <s v="8972633463"/>
    <n v="0.13500000000000001"/>
    <n v="152"/>
    <x v="0"/>
    <m/>
    <s v="2025-11-26"/>
    <s v="263382"/>
    <s v="Tushar Kanti Agarwala"/>
    <s v="8597190846"/>
  </r>
  <r>
    <s v="RCF Trombay"/>
    <s v="15-15-15"/>
    <s v="WB"/>
    <x v="7"/>
    <s v="Tapan"/>
    <s v="User Not Mapped"/>
    <s v="User Not Mapped"/>
    <s v="User Not Mapped"/>
    <n v="1008738"/>
    <s v="ROY FERTLIZERS"/>
    <s v="Private Retailer"/>
    <s v="9733147286"/>
    <n v="5"/>
    <n v="134"/>
    <x v="0"/>
    <m/>
    <s v="2025-12-14"/>
    <s v="501083"/>
    <s v="M/S Raj Laxmi Sar Bhandar"/>
    <s v="9733231915"/>
  </r>
  <r>
    <s v="RCF Trombay"/>
    <s v="N.C.Urea(45kg)"/>
    <s v="WB"/>
    <x v="7"/>
    <s v="Tapan"/>
    <s v="User Not Mapped"/>
    <s v="User Not Mapped"/>
    <s v="User Not Mapped"/>
    <n v="1286109"/>
    <s v="M/S NARAYAN CHANDRA KAR"/>
    <s v="Private Retailer"/>
    <s v="8906547307"/>
    <n v="2.97"/>
    <n v="198"/>
    <x v="3"/>
    <m/>
    <s v="2025-10-11"/>
    <s v="286422"/>
    <s v="Dipak Kumar Laha"/>
    <s v="6297583814"/>
  </r>
  <r>
    <s v="RCF Thal"/>
    <s v="N.C.Urea(45kg)"/>
    <s v="WB"/>
    <x v="7"/>
    <s v="Tapan"/>
    <s v="User Not Mapped"/>
    <s v="User Not Mapped"/>
    <s v="User Not Mapped"/>
    <n v="1286109"/>
    <s v="M/S NARAYAN CHANDRA KAR"/>
    <s v="Private Retailer"/>
    <s v="8906547307"/>
    <n v="5.4"/>
    <n v="49"/>
    <x v="1"/>
    <m/>
    <s v="2026-03-09"/>
    <s v="263373"/>
    <s v="M/s. Kanailal Kedar Prasad"/>
    <s v="9735692523"/>
  </r>
  <r>
    <s v="RCF Thal"/>
    <s v="N.C.Urea(45kg)"/>
    <s v="WB"/>
    <x v="7"/>
    <s v="Tapan"/>
    <s v="User Not Mapped"/>
    <s v="User Not Mapped"/>
    <s v="User Not Mapped"/>
    <n v="1286109"/>
    <s v="M/S NARAYAN CHANDRA KAR"/>
    <s v="Private Retailer"/>
    <s v="8906547307"/>
    <n v="6.57"/>
    <n v="151"/>
    <x v="0"/>
    <m/>
    <s v="2025-11-27"/>
    <s v="286422"/>
    <s v="Dipak Kumar Laha"/>
    <s v="6297583814"/>
  </r>
  <r>
    <s v="RCF Thal"/>
    <s v="N.C.Urea(45kg)"/>
    <s v="WB"/>
    <x v="7"/>
    <s v="Tapan"/>
    <s v="User Not Mapped"/>
    <s v="User Not Mapped"/>
    <s v="User Not Mapped"/>
    <n v="1335779"/>
    <s v="M/S ARINDAM BISWAS"/>
    <s v="Private Retailer"/>
    <s v="9593211353"/>
    <n v="5.13"/>
    <n v="155"/>
    <x v="0"/>
    <m/>
    <s v="2025-11-23"/>
    <s v="263373"/>
    <s v="M/s. Kanailal Kedar Prasad"/>
    <s v="9735692523"/>
  </r>
  <r>
    <s v="RCF Trombay"/>
    <s v="N.C.Urea(45kg)"/>
    <s v="WB"/>
    <x v="7"/>
    <s v="Tapan"/>
    <s v="User Not Mapped"/>
    <s v="User Not Mapped"/>
    <s v="User Not Mapped"/>
    <n v="1354262"/>
    <s v="M/S GAFFAR SARKAR "/>
    <s v="Private Retailer"/>
    <s v="9475677701"/>
    <n v="3.5550000000000002"/>
    <n v="140"/>
    <x v="0"/>
    <m/>
    <s v="2025-12-08"/>
    <s v="263373"/>
    <s v="M/s. Kanailal Kedar Prasad"/>
    <s v="9735692523"/>
  </r>
  <r>
    <s v="RCF Trombay"/>
    <s v="15-15-15"/>
    <s v="WB"/>
    <x v="7"/>
    <s v="Tapan"/>
    <s v="User Not Mapped"/>
    <s v="User Not Mapped"/>
    <s v="User Not Mapped"/>
    <n v="1402240"/>
    <s v="M/S ANNOPURNA FERTILISER"/>
    <s v="Private Retailer"/>
    <s v="8167049709"/>
    <n v="1"/>
    <n v="72"/>
    <x v="2"/>
    <m/>
    <s v="2026-02-14"/>
    <s v="1258418"/>
    <s v="M/S BISWAJIT KAR"/>
    <s v="8906547307"/>
  </r>
  <r>
    <s v="RCF Trombay"/>
    <s v="15-15-15"/>
    <s v="WB"/>
    <x v="7"/>
    <s v="Tapan"/>
    <s v="User Not Mapped"/>
    <s v="User Not Mapped"/>
    <s v="User Not Mapped"/>
    <n v="1451639"/>
    <s v="M/S Gita Fertiliser"/>
    <s v="Private Retailer"/>
    <s v="8167049573"/>
    <n v="0.05"/>
    <n v="226"/>
    <x v="3"/>
    <m/>
    <s v="2025-09-13"/>
    <s v="1265557"/>
    <s v="M/S MRINMOY PAUL"/>
    <s v="9933415457"/>
  </r>
  <r>
    <s v="RCF Thal"/>
    <s v="N.C.Urea(45kg)"/>
    <s v="WB"/>
    <x v="7"/>
    <s v="Tapan"/>
    <s v="User Not Mapped"/>
    <s v="User Not Mapped"/>
    <s v="User Not Mapped"/>
    <n v="1500863"/>
    <s v="M/S. RADHA KRISHNA SAR BHANDAR"/>
    <s v="Private Retailer"/>
    <s v="8172075046"/>
    <n v="0.63"/>
    <n v="24"/>
    <x v="4"/>
    <m/>
    <s v="2026-04-03"/>
    <s v="263382"/>
    <s v="Tushar Kanti Agarwala"/>
    <s v="8597190846"/>
  </r>
  <r>
    <s v="RCF Thal"/>
    <s v="N.C.Urea(45kg)"/>
    <s v="WB"/>
    <x v="7"/>
    <s v="Tapan"/>
    <s v="User Not Mapped"/>
    <s v="User Not Mapped"/>
    <s v="User Not Mapped"/>
    <n v="1505554"/>
    <s v="M/S BARMAN FERTILIZER"/>
    <s v="Private Retailer"/>
    <s v="9609988416"/>
    <n v="6.75"/>
    <n v="9"/>
    <x v="4"/>
    <m/>
    <s v="2026-04-18"/>
    <s v="1598467"/>
    <s v="M/S Kishok Bazar "/>
    <s v="7479028672"/>
  </r>
  <r>
    <s v="RCF Trombay"/>
    <s v="15-15-15"/>
    <s v="WB"/>
    <x v="7"/>
    <s v="Tapan"/>
    <s v="User Not Mapped"/>
    <s v="User Not Mapped"/>
    <s v="User Not Mapped"/>
    <n v="1519422"/>
    <s v="M/S Kazi Fertilizer"/>
    <s v="Private Retailer"/>
    <s v="9064510887"/>
    <n v="1"/>
    <n v="71"/>
    <x v="2"/>
    <m/>
    <s v="2026-02-15"/>
    <s v="1258418"/>
    <s v="M/S BISWAJIT KAR"/>
    <s v="8906547307"/>
  </r>
  <r>
    <s v="RCF Thal"/>
    <s v="N.C.Urea(45kg)"/>
    <s v="WB"/>
    <x v="7"/>
    <s v="Tapan"/>
    <s v="User Not Mapped"/>
    <s v="User Not Mapped"/>
    <s v="User Not Mapped"/>
    <n v="1519422"/>
    <s v="M/S Kazi Fertilizer"/>
    <s v="Private Retailer"/>
    <s v="9064510887"/>
    <n v="2.835"/>
    <n v="74"/>
    <x v="2"/>
    <m/>
    <s v="2026-02-12"/>
    <s v="1598467"/>
    <s v="M/S Kishok Bazar "/>
    <s v="7479028672"/>
  </r>
  <r>
    <s v="RCF Trombay"/>
    <s v="N.C.Urea(45kg)"/>
    <s v="WB"/>
    <x v="7"/>
    <s v="Tapan"/>
    <s v="User Not Mapped"/>
    <s v="User Not Mapped"/>
    <s v="User Not Mapped"/>
    <n v="1527747"/>
    <s v="M/S FAYJAN FERTILIZER"/>
    <s v="Private Retailer"/>
    <s v="8972875013"/>
    <n v="2.4750000000000001"/>
    <n v="171"/>
    <x v="0"/>
    <m/>
    <s v="2025-11-07"/>
    <s v="263373"/>
    <s v="M/s. Kanailal Kedar Prasad"/>
    <s v="9735692523"/>
  </r>
  <r>
    <s v="RCF Thal"/>
    <s v="N.C.Urea(45kg)"/>
    <s v="WB"/>
    <x v="7"/>
    <s v="Tapan"/>
    <s v="User Not Mapped"/>
    <s v="User Not Mapped"/>
    <s v="User Not Mapped"/>
    <n v="1527747"/>
    <s v="M/S FAYJAN FERTILIZER"/>
    <s v="Private Retailer"/>
    <s v="8972875013"/>
    <n v="5.5350000000000001"/>
    <n v="49"/>
    <x v="1"/>
    <m/>
    <s v="2026-03-09"/>
    <s v="263373"/>
    <s v="M/s. Kanailal Kedar Prasad"/>
    <s v="9735692523"/>
  </r>
  <r>
    <s v="RCF Thal"/>
    <s v="N.C.Urea(45kg)"/>
    <s v="WB"/>
    <x v="7"/>
    <s v="Tapan"/>
    <s v="User Not Mapped"/>
    <s v="User Not Mapped"/>
    <s v="User Not Mapped"/>
    <n v="1527747"/>
    <s v="M/S FAYJAN FERTILIZER"/>
    <s v="Private Retailer"/>
    <s v="8972875013"/>
    <n v="3.8250000000000002"/>
    <n v="95"/>
    <x v="5"/>
    <m/>
    <s v="2026-01-22"/>
    <s v="263373"/>
    <s v="M/s. Kanailal Kedar Prasad"/>
    <s v="9735692523"/>
  </r>
  <r>
    <s v="RCF Thal"/>
    <s v="N.C.Urea(45kg)"/>
    <s v="WB"/>
    <x v="7"/>
    <s v="Tapan"/>
    <s v="User Not Mapped"/>
    <s v="User Not Mapped"/>
    <s v="User Not Mapped"/>
    <n v="1527747"/>
    <s v="M/S FAYJAN FERTILIZER"/>
    <s v="Private Retailer"/>
    <s v="8972875013"/>
    <n v="5.625"/>
    <n v="149"/>
    <x v="0"/>
    <m/>
    <s v="2025-11-29"/>
    <s v="263373"/>
    <s v="M/s. Kanailal Kedar Prasad"/>
    <s v="9735692523"/>
  </r>
  <r>
    <s v="RCF Thal"/>
    <s v="N.C.Urea(45kg)"/>
    <s v="WB"/>
    <x v="7"/>
    <s v="Tapan"/>
    <s v="User Not Mapped"/>
    <s v="User Not Mapped"/>
    <s v="User Not Mapped"/>
    <n v="1527747"/>
    <s v="M/S FAYJAN FERTILIZER"/>
    <s v="Private Retailer"/>
    <s v="8972875013"/>
    <n v="3.33"/>
    <n v="155"/>
    <x v="0"/>
    <m/>
    <s v="2025-11-23"/>
    <s v="263373"/>
    <s v="M/s. Kanailal Kedar Prasad"/>
    <s v="9735692523"/>
  </r>
  <r>
    <s v="RCF Thal"/>
    <s v="N.C.Urea(45kg)"/>
    <s v="WB"/>
    <x v="7"/>
    <s v="Tapan"/>
    <s v="User Not Mapped"/>
    <s v="User Not Mapped"/>
    <s v="User Not Mapped"/>
    <n v="1579699"/>
    <s v="M/S NARJINA MANDAL"/>
    <s v="Private Retailer"/>
    <s v="9734960129"/>
    <n v="8.4600000000000009"/>
    <n v="49"/>
    <x v="1"/>
    <m/>
    <s v="2026-03-09"/>
    <s v="263373"/>
    <s v="M/s. Kanailal Kedar Prasad"/>
    <s v="9735692523"/>
  </r>
  <r>
    <s v="RCF Thal"/>
    <s v="N.C.Urea(45kg)"/>
    <s v="WB"/>
    <x v="7"/>
    <s v="Tapan"/>
    <s v="User Not Mapped"/>
    <s v="User Not Mapped"/>
    <s v="User Not Mapped"/>
    <n v="1579767"/>
    <s v="M/S MATRI BHUMI"/>
    <s v="Private Retailer"/>
    <s v="9734162180"/>
    <n v="3.6"/>
    <n v="95"/>
    <x v="5"/>
    <m/>
    <s v="2026-01-22"/>
    <s v="263373"/>
    <s v="M/s. Kanailal Kedar Prasad"/>
    <s v="9735692523"/>
  </r>
  <r>
    <s v="RCF Thal"/>
    <s v="N.C.Urea(45kg)"/>
    <s v="WB"/>
    <x v="7"/>
    <s v="Tapan"/>
    <s v="User Not Mapped"/>
    <s v="User Not Mapped"/>
    <s v="User Not Mapped"/>
    <n v="1579767"/>
    <s v="M/S MATRI BHUMI"/>
    <s v="Private Retailer"/>
    <s v="9734162180"/>
    <n v="0.91500000000000004"/>
    <n v="102"/>
    <x v="5"/>
    <m/>
    <s v="2026-01-15"/>
    <s v="1258418"/>
    <s v="M/S BISWAJIT KAR"/>
    <s v="8906547307"/>
  </r>
  <r>
    <s v="RCF Trombay"/>
    <s v="N.C.Urea(45kg)"/>
    <s v="WB"/>
    <x v="7"/>
    <s v="Tapan"/>
    <s v="User Not Mapped"/>
    <s v="User Not Mapped"/>
    <s v="User Not Mapped"/>
    <n v="1579775"/>
    <s v="MONDAL SAR BHANDAR"/>
    <s v="Private Retailer"/>
    <s v="7001618473"/>
    <n v="2.0249999999999999"/>
    <n v="99"/>
    <x v="5"/>
    <m/>
    <s v="2026-01-18"/>
    <s v="263373"/>
    <s v="M/s. Kanailal Kedar Prasad"/>
    <s v="9735692523"/>
  </r>
  <r>
    <s v="RCF Thal"/>
    <s v="N.C.Urea(45kg)"/>
    <s v="WB"/>
    <x v="7"/>
    <s v="Tapan"/>
    <s v="User Not Mapped"/>
    <s v="User Not Mapped"/>
    <s v="User Not Mapped"/>
    <n v="1598453"/>
    <s v="M/S Burima Shar Bhandar"/>
    <s v="Private Retailer"/>
    <s v="9563325589"/>
    <n v="8.5500000000000007"/>
    <n v="49"/>
    <x v="1"/>
    <m/>
    <s v="2026-03-09"/>
    <s v="263373"/>
    <s v="M/s. Kanailal Kedar Prasad"/>
    <s v="9735692523"/>
  </r>
  <r>
    <s v="RCF Thal"/>
    <s v="N.C.Urea(45kg)"/>
    <s v="WB"/>
    <x v="7"/>
    <s v="Tapan"/>
    <s v="User Not Mapped"/>
    <s v="User Not Mapped"/>
    <s v="User Not Mapped"/>
    <n v="1598457"/>
    <s v="M/S Fresh N Safe Fertilizer"/>
    <s v="Private Retailer"/>
    <s v="9733243824"/>
    <n v="4.95"/>
    <n v="49"/>
    <x v="1"/>
    <m/>
    <s v="2026-03-09"/>
    <s v="263373"/>
    <s v="M/s. Kanailal Kedar Prasad"/>
    <s v="9735692523"/>
  </r>
  <r>
    <s v="RCF Thal"/>
    <s v="N.C.Urea(45kg)"/>
    <s v="WB"/>
    <x v="7"/>
    <s v="Tapan"/>
    <s v="User Not Mapped"/>
    <s v="User Not Mapped"/>
    <s v="User Not Mapped"/>
    <n v="1610416"/>
    <s v="Rafiuddin Sarkar"/>
    <s v="Private Retailer"/>
    <s v="8145229593"/>
    <n v="4.2750000000000004"/>
    <n v="49"/>
    <x v="1"/>
    <m/>
    <s v="2026-03-09"/>
    <s v="263373"/>
    <s v="M/s. Kanailal Kedar Prasad"/>
    <s v="9735692523"/>
  </r>
  <r>
    <s v="RCF Thal"/>
    <s v="N.C.Urea(45kg)"/>
    <s v="WB"/>
    <x v="7"/>
    <m/>
    <s v="User Not Mapped"/>
    <s v="User Not Mapped"/>
    <s v="User Not Mapped"/>
    <n v="126426"/>
    <s v="Bhaktipada Das"/>
    <s v="Private Retailer"/>
    <s v="9735085035"/>
    <n v="10.845000000000001"/>
    <n v="39"/>
    <x v="1"/>
    <m/>
    <s v="2026-03-19"/>
    <s v="286422"/>
    <s v="Dipak Kumar Laha"/>
    <s v="6297583814"/>
  </r>
  <r>
    <s v="RCF Import"/>
    <s v="Imp 10-26-26"/>
    <s v="WB"/>
    <x v="7"/>
    <m/>
    <s v="User Not Mapped"/>
    <s v="User Not Mapped"/>
    <s v="User Not Mapped"/>
    <n v="126737"/>
    <s v="Nurjit Ali"/>
    <s v="Private Retailer"/>
    <s v="8250889070"/>
    <n v="7.6"/>
    <n v="509"/>
    <x v="6"/>
    <m/>
    <s v="2024-12-04"/>
    <s v="281503"/>
    <s v="Krishi Ghar"/>
    <s v="7031245549"/>
  </r>
  <r>
    <s v="RCF Thal"/>
    <s v="N.C.Urea(45kg)"/>
    <s v="WB"/>
    <x v="7"/>
    <m/>
    <s v="User Not Mapped"/>
    <s v="User Not Mapped"/>
    <s v="User Not Mapped"/>
    <n v="126737"/>
    <s v="Nurjit Ali"/>
    <s v="Private Retailer"/>
    <s v="8250889070"/>
    <n v="0.18"/>
    <n v="1218"/>
    <x v="7"/>
    <m/>
    <s v="2022-12-26"/>
    <s v="281503"/>
    <s v="Krishi Ghar"/>
    <s v="7031245549"/>
  </r>
  <r>
    <s v="RCF Thal"/>
    <s v="N.C.Urea(45kg)"/>
    <s v="WB"/>
    <x v="7"/>
    <m/>
    <s v="User Not Mapped"/>
    <s v="User Not Mapped"/>
    <s v="User Not Mapped"/>
    <n v="126911"/>
    <s v="Sukanti Sarkar"/>
    <s v="Private Retailer"/>
    <s v="9933076350"/>
    <n v="4.32"/>
    <n v="28"/>
    <x v="4"/>
    <m/>
    <s v="2026-03-30"/>
    <s v="263373"/>
    <s v="M/s. Kanailal Kedar Prasad"/>
    <s v="9735692523"/>
  </r>
  <r>
    <s v="RCF Thal"/>
    <s v="N.C.Urea(45kg)"/>
    <s v="WB"/>
    <x v="7"/>
    <m/>
    <s v="User Not Mapped"/>
    <s v="User Not Mapped"/>
    <s v="User Not Mapped"/>
    <n v="253346"/>
    <s v="Bonashiee Sar Bhandar"/>
    <s v="Private Retailer"/>
    <s v="9932175529"/>
    <n v="9.9"/>
    <n v="28"/>
    <x v="4"/>
    <m/>
    <s v="2026-03-30"/>
    <s v="263373"/>
    <s v="M/s. Kanailal Kedar Prasad"/>
    <s v="9735692523"/>
  </r>
  <r>
    <s v="RCF Thal"/>
    <s v="N.C.Urea(45kg)"/>
    <s v="WB"/>
    <x v="7"/>
    <m/>
    <s v="User Not Mapped"/>
    <s v="User Not Mapped"/>
    <s v="User Not Mapped"/>
    <n v="253346"/>
    <s v="Bonashiee Sar Bhandar"/>
    <s v="Private Retailer"/>
    <s v="9932175529"/>
    <n v="8.82"/>
    <n v="49"/>
    <x v="1"/>
    <m/>
    <s v="2026-03-09"/>
    <s v="263373"/>
    <s v="M/s. Kanailal Kedar Prasad"/>
    <s v="9735692523"/>
  </r>
  <r>
    <s v="RCF Trombay"/>
    <s v="N.C.Urea(45kg)"/>
    <s v="WB"/>
    <x v="7"/>
    <m/>
    <s v="User Not Mapped"/>
    <s v="User Not Mapped"/>
    <s v="User Not Mapped"/>
    <n v="263309"/>
    <s v="Firdus Sarkar"/>
    <s v="Private Retailer"/>
    <s v="9734993939"/>
    <n v="3.42"/>
    <n v="2288"/>
    <x v="7"/>
    <m/>
    <s v="2020-01-21"/>
    <s v="501083"/>
    <s v="M/S Raj Laxmi Sar Bhandar"/>
    <s v="9733231915"/>
  </r>
  <r>
    <s v="RCF Thal"/>
    <s v="N.C.Urea(45kg)"/>
    <s v="WB"/>
    <x v="7"/>
    <m/>
    <s v="User Not Mapped"/>
    <s v="User Not Mapped"/>
    <s v="User Not Mapped"/>
    <n v="263309"/>
    <s v="Firdus Sarkar"/>
    <s v="Private Retailer"/>
    <s v="9734993939"/>
    <n v="3.6"/>
    <n v="1860"/>
    <x v="7"/>
    <m/>
    <s v="2021-03-24"/>
    <s v="501083"/>
    <s v="M/S Raj Laxmi Sar Bhandar"/>
    <s v="9733231915"/>
  </r>
  <r>
    <s v="RCF Thal"/>
    <s v="N.C.Urea(45kg)"/>
    <s v="WB"/>
    <x v="7"/>
    <m/>
    <s v="User Not Mapped"/>
    <s v="User Not Mapped"/>
    <s v="User Not Mapped"/>
    <n v="263361"/>
    <s v="Satya Ranjan Sarkar"/>
    <s v="Private Retailer"/>
    <s v="9614554956"/>
    <n v="0.87"/>
    <n v="2417"/>
    <x v="7"/>
    <m/>
    <s v="2019-09-14"/>
    <s v="1082770"/>
    <s v="M/S DIPANKAR ROY"/>
    <s v="7063173144"/>
  </r>
  <r>
    <s v="RCF Trombay"/>
    <s v="N.C.Urea(45kg)"/>
    <s v="WB"/>
    <x v="7"/>
    <m/>
    <s v="User Not Mapped"/>
    <s v="User Not Mapped"/>
    <s v="User Not Mapped"/>
    <n v="263364"/>
    <s v="Sujit Basak"/>
    <s v="Private Retailer"/>
    <s v="9733121125"/>
    <n v="1.4850000000000001"/>
    <n v="1879"/>
    <x v="7"/>
    <m/>
    <s v="2021-03-05"/>
    <s v="286422"/>
    <s v="Dipak Kumar Laha"/>
    <s v="6297583814"/>
  </r>
  <r>
    <s v="RCF Thal"/>
    <s v="N.C.Urea(45kg)"/>
    <s v="WB"/>
    <x v="7"/>
    <m/>
    <s v="User Not Mapped"/>
    <s v="User Not Mapped"/>
    <s v="User Not Mapped"/>
    <n v="667654"/>
    <s v="MOSTAFA MONDAL SAR BHANDER"/>
    <s v="Private Retailer"/>
    <s v="7384917553"/>
    <n v="1.982"/>
    <n v="2673"/>
    <x v="7"/>
    <m/>
    <s v="2019-01-01"/>
    <s v="11"/>
    <s v="Too Old Stock"/>
    <m/>
  </r>
  <r>
    <s v="RCF Thal"/>
    <s v="N.C.Urea(45kg)"/>
    <s v="WB"/>
    <x v="7"/>
    <m/>
    <s v="User Not Mapped"/>
    <s v="User Not Mapped"/>
    <s v="User Not Mapped"/>
    <n v="693359"/>
    <s v="MOJIBAR SARKAR"/>
    <s v="Private Retailer"/>
    <s v="8016395661"/>
    <n v="0.01"/>
    <n v="2608"/>
    <x v="7"/>
    <m/>
    <s v="2019-03-07"/>
    <s v="775214"/>
    <s v="M/s. Sarkar Fertilizer"/>
    <s v="9734008321"/>
  </r>
  <r>
    <s v="RCF Thal"/>
    <s v="N.C.Urea(45kg)"/>
    <s v="WB"/>
    <x v="7"/>
    <m/>
    <s v="User Not Mapped"/>
    <s v="User Not Mapped"/>
    <s v="User Not Mapped"/>
    <n v="693811"/>
    <s v="SHAWNOAJ ALAM CHOWDHURY"/>
    <s v="Private Retailer"/>
    <s v="9635092564"/>
    <n v="0.45"/>
    <n v="1865"/>
    <x v="7"/>
    <m/>
    <s v="2021-03-19"/>
    <s v="1119058"/>
    <s v="Sarkar Krishi Beej Bhandar"/>
    <s v="7001706957"/>
  </r>
  <r>
    <s v="RCF Thal"/>
    <s v="N.C.Urea(45kg)"/>
    <s v="WB"/>
    <x v="7"/>
    <m/>
    <s v="User Not Mapped"/>
    <s v="User Not Mapped"/>
    <s v="User Not Mapped"/>
    <n v="881223"/>
    <s v="SADANANDA ROY"/>
    <s v="Private Retailer"/>
    <s v="8337842029"/>
    <n v="13.005000000000001"/>
    <n v="1980"/>
    <x v="7"/>
    <m/>
    <s v="2020-11-24"/>
    <s v="286422"/>
    <s v="Dipak Kumar Laha"/>
    <s v="6297583814"/>
  </r>
  <r>
    <s v="RCF Import"/>
    <s v="Imp 10-26-26"/>
    <s v="WB"/>
    <x v="7"/>
    <m/>
    <s v="User Not Mapped"/>
    <s v="User Not Mapped"/>
    <s v="User Not Mapped"/>
    <n v="934938"/>
    <s v="M/S WASHIM K. B. B. P-A. R. M."/>
    <s v="Private Retailer"/>
    <s v="9593223181"/>
    <n v="2.35"/>
    <n v="36"/>
    <x v="1"/>
    <m/>
    <s v="2026-03-22"/>
    <s v="1519430"/>
    <s v="M/S Hoque Fertilizer Agency"/>
    <s v="9775429340"/>
  </r>
  <r>
    <s v="RCF Trombay"/>
    <s v="15-15-15"/>
    <s v="WB"/>
    <x v="7"/>
    <m/>
    <s v="User Not Mapped"/>
    <s v="User Not Mapped"/>
    <s v="User Not Mapped"/>
    <n v="935695"/>
    <s v="M/s. JITENDRA SARKAR"/>
    <s v="Private Retailer"/>
    <s v="9775931294"/>
    <n v="0.5"/>
    <n v="347"/>
    <x v="3"/>
    <m/>
    <s v="2025-05-15"/>
    <s v="281503"/>
    <s v="Krishi Ghar"/>
    <s v="7031245549"/>
  </r>
  <r>
    <s v="RCF Thal"/>
    <s v="N.C.Urea(45kg)"/>
    <s v="WB"/>
    <x v="7"/>
    <m/>
    <s v="User Not Mapped"/>
    <s v="User Not Mapped"/>
    <s v="User Not Mapped"/>
    <n v="946016"/>
    <s v="M/S. SUKHA RANJAN DAS"/>
    <s v="Private Retailer"/>
    <s v="9593625215"/>
    <n v="21.375"/>
    <n v="32"/>
    <x v="1"/>
    <m/>
    <s v="2026-03-26"/>
    <s v="263382"/>
    <s v="Tushar Kanti Agarwala"/>
    <s v="8597190846"/>
  </r>
  <r>
    <s v="RCF Thal"/>
    <s v="N.C.Urea(45kg)"/>
    <s v="WB"/>
    <x v="7"/>
    <m/>
    <s v="User Not Mapped"/>
    <s v="User Not Mapped"/>
    <s v="User Not Mapped"/>
    <n v="953406"/>
    <s v="DULAL CHANDRA DAS"/>
    <s v="Private Retailer"/>
    <s v="9933630030"/>
    <n v="7.0000000000000001E-3"/>
    <n v="2673"/>
    <x v="7"/>
    <m/>
    <s v="2019-01-01"/>
    <s v="11"/>
    <s v="Too Old Stock"/>
    <m/>
  </r>
  <r>
    <s v="RCF Thal"/>
    <s v="N.C.Urea(45kg)"/>
    <s v="WB"/>
    <x v="7"/>
    <m/>
    <s v="User Not Mapped"/>
    <s v="User Not Mapped"/>
    <s v="User Not Mapped"/>
    <n v="968184"/>
    <s v="M/S. DALIMUDDIN SARKAR"/>
    <s v="Private Retailer"/>
    <s v="9064268586"/>
    <n v="6.5000000000000002E-2"/>
    <n v="2673"/>
    <x v="7"/>
    <m/>
    <s v="2019-01-01"/>
    <s v="11"/>
    <s v="Too Old Stock"/>
    <m/>
  </r>
  <r>
    <s v="RCF Thal"/>
    <s v="N.C.Urea(45kg)"/>
    <s v="WB"/>
    <x v="7"/>
    <m/>
    <s v="User Not Mapped"/>
    <s v="User Not Mapped"/>
    <s v="User Not Mapped"/>
    <n v="986082"/>
    <s v="M/S BARMAN FERTILIZER"/>
    <s v="Private Retailer"/>
    <s v="8170811512"/>
    <n v="5.085"/>
    <n v="1222"/>
    <x v="7"/>
    <m/>
    <s v="2022-12-22"/>
    <s v="263382"/>
    <s v="Tushar Kanti Agarwala"/>
    <s v="8597190846"/>
  </r>
  <r>
    <s v="RCF Trombay"/>
    <s v="N.C.Urea(45kg)"/>
    <s v="WB"/>
    <x v="7"/>
    <m/>
    <s v="User Not Mapped"/>
    <s v="User Not Mapped"/>
    <s v="User Not Mapped"/>
    <n v="1098989"/>
    <s v="BIREN SARKAR"/>
    <s v="Private Retailer"/>
    <s v="9563323725"/>
    <n v="0.45"/>
    <n v="1869"/>
    <x v="7"/>
    <m/>
    <s v="2021-03-15"/>
    <s v="263373"/>
    <s v="M/s. Kanailal Kedar Prasad"/>
    <s v="9735692523"/>
  </r>
  <r>
    <s v="RCF Trombay"/>
    <s v="N.C.Urea(45kg)"/>
    <s v="WB"/>
    <x v="7"/>
    <m/>
    <s v="User Not Mapped"/>
    <s v="User Not Mapped"/>
    <s v="User Not Mapped"/>
    <n v="1098999"/>
    <s v="NILIMA GHOSH"/>
    <s v="Private Retailer"/>
    <s v="7933052721"/>
    <n v="0.191"/>
    <n v="1477"/>
    <x v="7"/>
    <m/>
    <s v="2022-04-11"/>
    <s v="332079"/>
    <s v="Amcherali Mandal"/>
    <s v="9547098638"/>
  </r>
  <r>
    <s v="RCF Thal"/>
    <s v="N.C.Urea(45kg)"/>
    <s v="WB"/>
    <x v="7"/>
    <m/>
    <s v="User Not Mapped"/>
    <s v="User Not Mapped"/>
    <s v="User Not Mapped"/>
    <n v="1098999"/>
    <s v="NILIMA GHOSH"/>
    <s v="Private Retailer"/>
    <s v="7933052721"/>
    <n v="0.97"/>
    <n v="1294"/>
    <x v="7"/>
    <m/>
    <s v="2022-10-11"/>
    <s v="332079"/>
    <s v="Amcherali Mandal"/>
    <s v="9547098638"/>
  </r>
  <r>
    <s v="RCF Thal"/>
    <s v="N.C.Urea(45kg)"/>
    <s v="WB"/>
    <x v="7"/>
    <m/>
    <s v="User Not Mapped"/>
    <s v="User Not Mapped"/>
    <s v="User Not Mapped"/>
    <n v="1099956"/>
    <s v="PARTHA BASAK"/>
    <s v="Private Retailer"/>
    <s v="7797042698"/>
    <n v="2.9249999999999998"/>
    <n v="49"/>
    <x v="1"/>
    <m/>
    <s v="2026-03-09"/>
    <s v="263373"/>
    <s v="M/s. Kanailal Kedar Prasad"/>
    <s v="9735692523"/>
  </r>
  <r>
    <s v="RCF Thal"/>
    <s v="N.C.Urea(45kg)"/>
    <s v="WB"/>
    <x v="7"/>
    <m/>
    <s v="User Not Mapped"/>
    <s v="User Not Mapped"/>
    <s v="User Not Mapped"/>
    <n v="1101279"/>
    <s v="M/S ASHOK KUMAR SARK"/>
    <s v="Private Retailer"/>
    <s v="8116081917"/>
    <n v="0.85499999999999998"/>
    <n v="2244"/>
    <x v="7"/>
    <m/>
    <s v="2020-03-05"/>
    <s v="263380"/>
    <s v="Shyamala Agency"/>
    <s v="9932733980"/>
  </r>
  <r>
    <s v="RCF Thal"/>
    <s v="N.C.Urea(45kg)"/>
    <s v="WB"/>
    <x v="7"/>
    <m/>
    <s v="User Not Mapped"/>
    <s v="User Not Mapped"/>
    <s v="User Not Mapped"/>
    <n v="1278012"/>
    <s v="M/S TOFAYEL ANOWER"/>
    <s v="Private Retailer"/>
    <s v="7047133546"/>
    <n v="0.05"/>
    <n v="1507"/>
    <x v="7"/>
    <m/>
    <s v="2022-03-12"/>
    <s v="281503"/>
    <s v="Krishi Ghar"/>
    <s v="7031245549"/>
  </r>
  <r>
    <s v="RCF Thal"/>
    <s v="N.C.Urea(45kg)"/>
    <s v="WB"/>
    <x v="7"/>
    <m/>
    <s v="User Not Mapped"/>
    <s v="User Not Mapped"/>
    <s v="User Not Mapped"/>
    <n v="1402186"/>
    <s v="M/S LAXMI BHANDAR "/>
    <s v="Private Retailer"/>
    <s v="9800337589"/>
    <n v="1.35"/>
    <n v="16"/>
    <x v="4"/>
    <m/>
    <s v="2026-04-11"/>
    <s v="263382"/>
    <s v="Tushar Kanti Agarwala"/>
    <s v="8597190846"/>
  </r>
  <r>
    <s v="RCF Thal"/>
    <s v="N.C.Urea(45kg)"/>
    <s v="WB"/>
    <x v="7"/>
    <m/>
    <s v="User Not Mapped"/>
    <s v="User Not Mapped"/>
    <s v="User Not Mapped"/>
    <n v="1402186"/>
    <s v="M/S LAXMI BHANDAR "/>
    <s v="Private Retailer"/>
    <s v="9800337589"/>
    <n v="0.67500000000000004"/>
    <n v="33"/>
    <x v="1"/>
    <m/>
    <s v="2026-03-25"/>
    <s v="263382"/>
    <s v="Tushar Kanti Agarwala"/>
    <s v="8597190846"/>
  </r>
  <r>
    <s v="RCF Thal"/>
    <s v="N.C.Urea(45kg)"/>
    <s v="WB"/>
    <x v="7"/>
    <m/>
    <s v="User Not Mapped"/>
    <s v="User Not Mapped"/>
    <s v="User Not Mapped"/>
    <n v="1402186"/>
    <s v="M/S LAXMI BHANDAR "/>
    <s v="Private Retailer"/>
    <s v="9800337589"/>
    <n v="2.7"/>
    <n v="32"/>
    <x v="1"/>
    <m/>
    <s v="2026-03-26"/>
    <s v="263382"/>
    <s v="Tushar Kanti Agarwala"/>
    <s v="8597190846"/>
  </r>
  <r>
    <s v="RCF Trombay"/>
    <s v="15-15-15"/>
    <s v="WB"/>
    <x v="7"/>
    <m/>
    <s v="User Not Mapped"/>
    <s v="User Not Mapped"/>
    <s v="User Not Mapped"/>
    <n v="1488530"/>
    <s v="TOHABUR FERTILIZER AND PESTICI"/>
    <s v="Private Retailer"/>
    <s v="9609032743"/>
    <n v="0.4"/>
    <n v="27"/>
    <x v="4"/>
    <m/>
    <s v="2026-03-31"/>
    <s v="340430"/>
    <s v="JIBAN KUMAR SEN"/>
    <s v="9434144964"/>
  </r>
  <r>
    <s v="RCF Trombay"/>
    <s v="15-15-15"/>
    <s v="WB"/>
    <x v="7"/>
    <m/>
    <s v="User Not Mapped"/>
    <s v="User Not Mapped"/>
    <s v="User Not Mapped"/>
    <n v="1603920"/>
    <s v="S Alam Fertilizer"/>
    <s v="Private Retailer"/>
    <s v="7407840101"/>
    <n v="0.5"/>
    <n v="27"/>
    <x v="4"/>
    <m/>
    <s v="2026-03-31"/>
    <s v="340430"/>
    <s v="JIBAN KUMAR SEN"/>
    <s v="9434144964"/>
  </r>
  <r>
    <s v="RCF Thal"/>
    <s v="N.C.Urea(45kg)"/>
    <s v="WB"/>
    <x v="8"/>
    <s v="Chopra"/>
    <s v="User Not Mapped"/>
    <s v="User Not Mapped"/>
    <s v="User Not Mapped"/>
    <n v="233530"/>
    <s v="Gopal Chandra Das"/>
    <s v="Private Retailer"/>
    <s v="9614337186"/>
    <n v="2.4750000000000001"/>
    <n v="71"/>
    <x v="2"/>
    <m/>
    <s v="2026-02-15"/>
    <s v="342392"/>
    <s v="M/s. Kanailal Kedar Prasad"/>
    <s v="7407719515"/>
  </r>
  <r>
    <s v="RCF Trombay"/>
    <s v="15-15-15"/>
    <s v="WB"/>
    <x v="8"/>
    <s v="Chopra"/>
    <s v="User Not Mapped"/>
    <s v="User Not Mapped"/>
    <s v="User Not Mapped"/>
    <n v="294903"/>
    <s v="Noori Fertilizers"/>
    <s v="Private Retailer"/>
    <s v="9851275737"/>
    <n v="0.85"/>
    <n v="53"/>
    <x v="1"/>
    <m/>
    <s v="2026-03-05"/>
    <s v="254617"/>
    <s v="M/s. R.K.Fertilizers"/>
    <s v="9932191695"/>
  </r>
  <r>
    <s v="RCF Trombay"/>
    <s v="15-15-15"/>
    <s v="WB"/>
    <x v="8"/>
    <s v="Chopra"/>
    <s v="User Not Mapped"/>
    <s v="User Not Mapped"/>
    <s v="User Not Mapped"/>
    <n v="294903"/>
    <s v="Noori Fertilizers"/>
    <s v="Private Retailer"/>
    <s v="9851275737"/>
    <n v="0.5"/>
    <n v="52"/>
    <x v="1"/>
    <m/>
    <s v="2026-03-06"/>
    <s v="385753"/>
    <s v="Binod Kumar Baheti"/>
    <s v="9800885611"/>
  </r>
  <r>
    <s v="RCF Trombay"/>
    <s v="N.C.Urea(45kg)"/>
    <s v="WB"/>
    <x v="8"/>
    <s v="Chopra"/>
    <s v="User Not Mapped"/>
    <s v="User Not Mapped"/>
    <s v="User Not Mapped"/>
    <n v="300646"/>
    <s v="Subrata Roy"/>
    <s v="Private Retailer"/>
    <s v="9734923689"/>
    <n v="7.7750000000000004"/>
    <n v="200"/>
    <x v="3"/>
    <m/>
    <s v="2025-10-09"/>
    <s v="1132410"/>
    <s v="M/S MIRJA FERTILIZER"/>
    <s v="8016016291"/>
  </r>
  <r>
    <s v="RCF Trombay"/>
    <s v="15-15-15"/>
    <s v="WB"/>
    <x v="8"/>
    <s v="Chopra"/>
    <s v="User Not Mapped"/>
    <s v="User Not Mapped"/>
    <s v="User Not Mapped"/>
    <n v="323643"/>
    <s v="M/S ANUP KUMAR MAJUMDAR"/>
    <s v="Private Retailer"/>
    <s v="9733460020"/>
    <n v="3"/>
    <n v="45"/>
    <x v="1"/>
    <m/>
    <s v="2026-03-13"/>
    <s v="254617"/>
    <s v="M/s. R.K.Fertilizers"/>
    <s v="9932191695"/>
  </r>
  <r>
    <s v="RCF Thal"/>
    <s v="N.C.Urea(45kg)"/>
    <s v="WB"/>
    <x v="8"/>
    <s v="Chopra"/>
    <s v="User Not Mapped"/>
    <s v="User Not Mapped"/>
    <s v="User Not Mapped"/>
    <n v="341609"/>
    <s v="M/S KAMIL AKHTER"/>
    <s v="Private Retailer"/>
    <s v="9932974306"/>
    <n v="10.845000000000001"/>
    <n v="53"/>
    <x v="1"/>
    <m/>
    <s v="2026-03-05"/>
    <s v="254617"/>
    <s v="M/s. R.K.Fertilizers"/>
    <s v="9932191695"/>
  </r>
  <r>
    <s v="RCF Trombay"/>
    <s v="15-15-15"/>
    <s v="WB"/>
    <x v="8"/>
    <s v="Chopra"/>
    <s v="User Not Mapped"/>
    <s v="User Not Mapped"/>
    <s v="User Not Mapped"/>
    <n v="341829"/>
    <s v="Mangal Prasad Bhagat"/>
    <s v="Private Retailer"/>
    <s v="9735053182"/>
    <n v="0.8"/>
    <n v="198"/>
    <x v="3"/>
    <m/>
    <s v="2025-10-11"/>
    <s v="342392"/>
    <s v="M/s. Kanailal Kedar Prasad"/>
    <s v="7407719515"/>
  </r>
  <r>
    <s v="RCF Thal"/>
    <s v="N.C.Urea(45kg)"/>
    <s v="WB"/>
    <x v="8"/>
    <s v="Chopra"/>
    <s v="User Not Mapped"/>
    <s v="User Not Mapped"/>
    <s v="User Not Mapped"/>
    <n v="342204"/>
    <s v="M/S SAHA FERTILIZER"/>
    <s v="Private Retailer"/>
    <s v="9932440501"/>
    <n v="7.4249999999999998"/>
    <n v="48"/>
    <x v="1"/>
    <m/>
    <s v="2026-03-10"/>
    <s v="385753"/>
    <s v="Binod Kumar Baheti"/>
    <s v="9800885611"/>
  </r>
  <r>
    <s v="RCF Import"/>
    <s v="MOP"/>
    <s v="WB"/>
    <x v="8"/>
    <s v="Chopra"/>
    <s v="User Not Mapped"/>
    <s v="User Not Mapped"/>
    <s v="User Not Mapped"/>
    <n v="342226"/>
    <s v="Shishir Kumar Paul"/>
    <s v="Private Retailer"/>
    <s v="9851832625"/>
    <n v="0.9"/>
    <n v="522"/>
    <x v="6"/>
    <m/>
    <s v="2024-11-21"/>
    <s v="870893"/>
    <s v="M/s. Mithun Bhagat"/>
    <s v="9735950765"/>
  </r>
  <r>
    <s v="RCF Trombay"/>
    <s v="15-15-15"/>
    <s v="WB"/>
    <x v="8"/>
    <s v="Chopra"/>
    <s v="User Not Mapped"/>
    <s v="User Not Mapped"/>
    <s v="User Not Mapped"/>
    <n v="356124"/>
    <s v="Safiruddin"/>
    <s v="Private Retailer"/>
    <s v="9609456844"/>
    <n v="1"/>
    <n v="33"/>
    <x v="1"/>
    <m/>
    <s v="2026-03-25"/>
    <s v="385753"/>
    <s v="Binod Kumar Baheti"/>
    <s v="9800885611"/>
  </r>
  <r>
    <s v="RCF Trombay"/>
    <s v="15-15-15"/>
    <s v="WB"/>
    <x v="8"/>
    <s v="Chopra"/>
    <s v="User Not Mapped"/>
    <s v="User Not Mapped"/>
    <s v="User Not Mapped"/>
    <n v="494297"/>
    <s v="M/S GOUTAM SARKAR"/>
    <s v="Private Retailer"/>
    <s v="8509662290"/>
    <n v="8"/>
    <n v="44"/>
    <x v="1"/>
    <m/>
    <s v="2026-03-14"/>
    <s v="255006"/>
    <s v="M/S PAUL FERTILIZER"/>
    <s v="8617668649"/>
  </r>
  <r>
    <s v="RCF Import"/>
    <s v="MOP"/>
    <s v="WB"/>
    <x v="8"/>
    <s v="Chopra"/>
    <s v="User Not Mapped"/>
    <s v="User Not Mapped"/>
    <s v="User Not Mapped"/>
    <n v="598453"/>
    <s v="MD JAHIRUDDIHN"/>
    <s v="Private Retailer"/>
    <s v="9734931865"/>
    <n v="1"/>
    <n v="290"/>
    <x v="3"/>
    <m/>
    <s v="2025-07-11"/>
    <s v="1129415"/>
    <s v="M/S S.P ENTERPRISES"/>
    <s v="7551830155"/>
  </r>
  <r>
    <s v="RCF Trombay"/>
    <s v="15-15-15"/>
    <s v="WB"/>
    <x v="8"/>
    <s v="Chopra"/>
    <s v="User Not Mapped"/>
    <s v="User Not Mapped"/>
    <s v="User Not Mapped"/>
    <n v="599993"/>
    <s v="LOKNATH FERTILIZER"/>
    <s v="Private Retailer"/>
    <s v="9932631056"/>
    <n v="2.4"/>
    <n v="163"/>
    <x v="0"/>
    <m/>
    <s v="2025-11-15"/>
    <s v="1285645"/>
    <s v="DUTTA FERTILIZER"/>
    <s v="8250622045"/>
  </r>
  <r>
    <s v="RCF Trombay"/>
    <s v="15-15-15"/>
    <s v="WB"/>
    <x v="8"/>
    <s v="Chopra"/>
    <s v="User Not Mapped"/>
    <s v="User Not Mapped"/>
    <s v="User Not Mapped"/>
    <n v="637381"/>
    <s v="SUKDEB BISWAS"/>
    <s v="Private Retailer"/>
    <s v="7586827173"/>
    <n v="1.5"/>
    <n v="18"/>
    <x v="4"/>
    <m/>
    <s v="2026-04-09"/>
    <s v="385753"/>
    <s v="Binod Kumar Baheti"/>
    <s v="9800885611"/>
  </r>
  <r>
    <s v="RCF Trombay"/>
    <s v="15-15-15"/>
    <s v="WB"/>
    <x v="8"/>
    <s v="Chopra"/>
    <s v="User Not Mapped"/>
    <s v="User Not Mapped"/>
    <s v="User Not Mapped"/>
    <n v="643471"/>
    <s v="M/S RAJAKUL ISLAM"/>
    <s v="Private Retailer"/>
    <s v="7365998588"/>
    <n v="0.5"/>
    <n v="34"/>
    <x v="1"/>
    <m/>
    <s v="2026-03-24"/>
    <s v="385753"/>
    <s v="Binod Kumar Baheti"/>
    <s v="9800885611"/>
  </r>
  <r>
    <s v="RCF Thal"/>
    <s v="N.C.Urea(45kg)"/>
    <s v="WB"/>
    <x v="8"/>
    <s v="Chopra"/>
    <s v="User Not Mapped"/>
    <s v="User Not Mapped"/>
    <s v="User Not Mapped"/>
    <n v="643471"/>
    <s v="M/S RAJAKUL ISLAM"/>
    <s v="Private Retailer"/>
    <s v="7365998588"/>
    <n v="5.0000000000000001E-3"/>
    <n v="1335"/>
    <x v="7"/>
    <m/>
    <s v="2022-08-31"/>
    <s v="254617"/>
    <s v="M/s. R.K.Fertilizers"/>
    <s v="9932191695"/>
  </r>
  <r>
    <s v="RCF Thal"/>
    <s v="N.C.Urea(45kg)"/>
    <s v="WB"/>
    <x v="8"/>
    <s v="Chopra"/>
    <s v="User Not Mapped"/>
    <s v="User Not Mapped"/>
    <s v="User Not Mapped"/>
    <n v="706878"/>
    <s v="Mirja Ferilizers"/>
    <s v="Private Retailer"/>
    <s v="9064301967"/>
    <n v="22.05"/>
    <n v="71"/>
    <x v="2"/>
    <m/>
    <s v="2026-02-15"/>
    <s v="342392"/>
    <s v="M/s. Kanailal Kedar Prasad"/>
    <s v="7407719515"/>
  </r>
  <r>
    <s v="RCF Thal"/>
    <s v="N.C.Urea(45kg)"/>
    <s v="WB"/>
    <x v="8"/>
    <s v="Chopra"/>
    <s v="User Not Mapped"/>
    <s v="User Not Mapped"/>
    <s v="User Not Mapped"/>
    <n v="706878"/>
    <s v="Mirja Ferilizers"/>
    <s v="Private Retailer"/>
    <s v="9064301967"/>
    <n v="8.2349999999999994"/>
    <n v="132"/>
    <x v="0"/>
    <m/>
    <s v="2025-12-16"/>
    <s v="342392"/>
    <s v="M/s. Kanailal Kedar Prasad"/>
    <s v="7407719515"/>
  </r>
  <r>
    <s v="RCF Trombay"/>
    <s v="N.C.Urea(45kg)"/>
    <s v="WB"/>
    <x v="8"/>
    <s v="Chopra"/>
    <s v="User Not Mapped"/>
    <s v="User Not Mapped"/>
    <s v="User Not Mapped"/>
    <n v="706878"/>
    <s v="Mirja Ferilizers"/>
    <s v="Private Retailer"/>
    <s v="9064301967"/>
    <n v="0.315"/>
    <n v="415"/>
    <x v="6"/>
    <m/>
    <s v="2025-03-08"/>
    <s v="1132410"/>
    <s v="M/S MIRJA FERTILIZER"/>
    <s v="8016016291"/>
  </r>
  <r>
    <s v="RCF Thal"/>
    <s v="N.C.Urea(45kg)"/>
    <s v="WB"/>
    <x v="8"/>
    <s v="Chopra"/>
    <s v="User Not Mapped"/>
    <s v="User Not Mapped"/>
    <s v="User Not Mapped"/>
    <n v="853624"/>
    <s v="M/S BINOY ROY"/>
    <s v="Private Retailer"/>
    <s v="9647708485"/>
    <n v="8.91"/>
    <n v="51"/>
    <x v="1"/>
    <m/>
    <s v="2026-03-07"/>
    <s v="254617"/>
    <s v="M/s. R.K.Fertilizers"/>
    <s v="9932191695"/>
  </r>
  <r>
    <s v="RCF Thal"/>
    <s v="N.C.Urea(45kg)"/>
    <s v="WB"/>
    <x v="8"/>
    <s v="Chopra"/>
    <s v="User Not Mapped"/>
    <s v="User Not Mapped"/>
    <s v="User Not Mapped"/>
    <n v="904442"/>
    <s v="BIPLAB BHOWMIK"/>
    <s v="Private Retailer"/>
    <s v="9933497875"/>
    <n v="0.18"/>
    <n v="53"/>
    <x v="1"/>
    <m/>
    <s v="2026-03-05"/>
    <s v="254617"/>
    <s v="M/s. R.K.Fertilizers"/>
    <s v="9932191695"/>
  </r>
  <r>
    <s v="RCF Thal"/>
    <s v="N.C.Urea(45kg)"/>
    <s v="WB"/>
    <x v="8"/>
    <s v="Chopra"/>
    <s v="User Not Mapped"/>
    <s v="User Not Mapped"/>
    <s v="User Not Mapped"/>
    <n v="904448"/>
    <s v="M/S DUTTA FERTILIZER"/>
    <s v="Private Retailer"/>
    <s v="9563579507"/>
    <n v="33.075000000000003"/>
    <n v="71"/>
    <x v="2"/>
    <m/>
    <s v="2026-02-15"/>
    <s v="342392"/>
    <s v="M/s. Kanailal Kedar Prasad"/>
    <s v="7407719515"/>
  </r>
  <r>
    <s v="RCF Trombay"/>
    <s v="N.C.Urea(45kg)"/>
    <s v="WB"/>
    <x v="8"/>
    <s v="Chopra"/>
    <s v="User Not Mapped"/>
    <s v="User Not Mapped"/>
    <s v="User Not Mapped"/>
    <n v="904448"/>
    <s v="M/S DUTTA FERTILIZER"/>
    <s v="Private Retailer"/>
    <s v="9563579507"/>
    <n v="1.3049999999999999"/>
    <n v="81"/>
    <x v="2"/>
    <m/>
    <s v="2026-02-05"/>
    <s v="254617"/>
    <s v="M/s. R.K.Fertilizers"/>
    <s v="9932191695"/>
  </r>
  <r>
    <s v="RCF Thal"/>
    <s v="N.C.Urea(45kg)"/>
    <s v="WB"/>
    <x v="8"/>
    <s v="Chopra"/>
    <s v="User Not Mapped"/>
    <s v="User Not Mapped"/>
    <s v="User Not Mapped"/>
    <n v="904448"/>
    <s v="M/S DUTTA FERTILIZER"/>
    <s v="Private Retailer"/>
    <s v="9563579507"/>
    <n v="32.94"/>
    <n v="53"/>
    <x v="1"/>
    <m/>
    <s v="2026-03-05"/>
    <s v="254617"/>
    <s v="M/s. R.K.Fertilizers"/>
    <s v="9932191695"/>
  </r>
  <r>
    <s v="RCF Thal"/>
    <s v="N.C.Urea(45kg)"/>
    <s v="WB"/>
    <x v="8"/>
    <s v="Chopra"/>
    <s v="User Not Mapped"/>
    <s v="User Not Mapped"/>
    <s v="User Not Mapped"/>
    <n v="904448"/>
    <s v="M/S DUTTA FERTILIZER"/>
    <s v="Private Retailer"/>
    <s v="9563579507"/>
    <n v="9.1349999999999998"/>
    <n v="175"/>
    <x v="0"/>
    <m/>
    <s v="2025-11-03"/>
    <s v="254617"/>
    <s v="M/s. R.K.Fertilizers"/>
    <s v="9932191695"/>
  </r>
  <r>
    <s v="RCF Thal"/>
    <s v="N.C.Urea(45kg)"/>
    <s v="WB"/>
    <x v="8"/>
    <s v="Chopra"/>
    <s v="User Not Mapped"/>
    <s v="User Not Mapped"/>
    <s v="User Not Mapped"/>
    <n v="908913"/>
    <s v="SAMIM AKHTAR"/>
    <s v="Private Retailer"/>
    <s v="7679449634"/>
    <n v="1.98"/>
    <n v="95"/>
    <x v="5"/>
    <m/>
    <s v="2026-01-22"/>
    <s v="342392"/>
    <s v="M/s. Kanailal Kedar Prasad"/>
    <s v="7407719515"/>
  </r>
  <r>
    <s v="RCF Trombay"/>
    <s v="15-15-15"/>
    <s v="WB"/>
    <x v="8"/>
    <s v="Chopra"/>
    <s v="User Not Mapped"/>
    <s v="User Not Mapped"/>
    <s v="User Not Mapped"/>
    <n v="908913"/>
    <s v="SAMIM AKHTAR"/>
    <s v="Private Retailer"/>
    <s v="7679449634"/>
    <n v="8"/>
    <n v="43"/>
    <x v="1"/>
    <m/>
    <s v="2026-03-15"/>
    <s v="870893"/>
    <s v="M/s. Mithun Bhagat"/>
    <s v="9735950765"/>
  </r>
  <r>
    <s v="RCF Thal"/>
    <s v="N.C.Urea(45kg)"/>
    <s v="WB"/>
    <x v="8"/>
    <s v="Chopra"/>
    <s v="User Not Mapped"/>
    <s v="User Not Mapped"/>
    <s v="User Not Mapped"/>
    <n v="910423"/>
    <s v="M/S SHYAMAL CHANDRA BISWAS"/>
    <s v="Private Retailer"/>
    <s v="9733277914"/>
    <n v="11.025"/>
    <n v="97"/>
    <x v="5"/>
    <m/>
    <s v="2026-01-20"/>
    <s v="342392"/>
    <s v="M/s. Kanailal Kedar Prasad"/>
    <s v="7407719515"/>
  </r>
  <r>
    <s v="RCF Trombay"/>
    <s v="15-15-15"/>
    <s v="WB"/>
    <x v="8"/>
    <s v="Chopra"/>
    <s v="User Not Mapped"/>
    <s v="User Not Mapped"/>
    <s v="User Not Mapped"/>
    <n v="1377430"/>
    <s v="GOURAB KUMAR BHAGAT"/>
    <s v="Private Retailer"/>
    <s v="9614601219"/>
    <n v="0.5"/>
    <n v="34"/>
    <x v="1"/>
    <m/>
    <s v="2026-03-24"/>
    <s v="1285645"/>
    <s v="DUTTA FERTILIZER"/>
    <s v="8250622045"/>
  </r>
  <r>
    <s v="RCF Trombay"/>
    <s v="15-15-15"/>
    <s v="WB"/>
    <x v="8"/>
    <s v="Chopra"/>
    <s v="User Not Mapped"/>
    <s v="User Not Mapped"/>
    <s v="User Not Mapped"/>
    <n v="1377430"/>
    <s v="GOURAB KUMAR BHAGAT"/>
    <s v="Private Retailer"/>
    <s v="9614601219"/>
    <n v="0.5"/>
    <n v="131"/>
    <x v="0"/>
    <m/>
    <s v="2025-12-17"/>
    <s v="1285645"/>
    <s v="DUTTA FERTILIZER"/>
    <s v="8250622045"/>
  </r>
  <r>
    <s v="RCF Trombay"/>
    <s v="15-15-15"/>
    <s v="WB"/>
    <x v="8"/>
    <s v="Chopra"/>
    <s v="User Not Mapped"/>
    <s v="User Not Mapped"/>
    <s v="User Not Mapped"/>
    <n v="1377430"/>
    <s v="GOURAB KUMAR BHAGAT"/>
    <s v="Private Retailer"/>
    <s v="9614601219"/>
    <n v="0.25"/>
    <n v="193"/>
    <x v="3"/>
    <m/>
    <s v="2025-10-16"/>
    <s v="1285645"/>
    <s v="DUTTA FERTILIZER"/>
    <s v="8250622045"/>
  </r>
  <r>
    <s v="RCF Trombay"/>
    <s v="15-15-15"/>
    <s v="WB"/>
    <x v="8"/>
    <s v="Chopra"/>
    <s v="User Not Mapped"/>
    <s v="User Not Mapped"/>
    <s v="User Not Mapped"/>
    <n v="1377430"/>
    <s v="GOURAB KUMAR BHAGAT"/>
    <s v="Private Retailer"/>
    <s v="9614601219"/>
    <n v="0.25"/>
    <n v="497"/>
    <x v="6"/>
    <m/>
    <s v="2024-12-16"/>
    <s v="1285645"/>
    <s v="DUTTA FERTILIZER"/>
    <s v="8250622045"/>
  </r>
  <r>
    <s v="RCF Trombay"/>
    <s v="15-15-15"/>
    <s v="WB"/>
    <x v="8"/>
    <s v="Chopra"/>
    <s v="User Not Mapped"/>
    <s v="User Not Mapped"/>
    <s v="User Not Mapped"/>
    <n v="1400066"/>
    <s v="M/S HAQUE FERTILIZER"/>
    <s v="Private Retailer"/>
    <s v="7908749782"/>
    <n v="2"/>
    <n v="74"/>
    <x v="2"/>
    <m/>
    <s v="2026-02-12"/>
    <s v="385753"/>
    <s v="Binod Kumar Baheti"/>
    <s v="9800885611"/>
  </r>
  <r>
    <s v="RCF Thal"/>
    <s v="N.C.Urea(45kg)"/>
    <s v="WB"/>
    <x v="8"/>
    <s v="Chopra"/>
    <s v="User Not Mapped"/>
    <s v="User Not Mapped"/>
    <s v="User Not Mapped"/>
    <n v="1400066"/>
    <s v="M/S HAQUE FERTILIZER"/>
    <s v="Private Retailer"/>
    <s v="7908749782"/>
    <n v="1.665"/>
    <n v="48"/>
    <x v="1"/>
    <m/>
    <s v="2026-03-10"/>
    <s v="385753"/>
    <s v="Binod Kumar Baheti"/>
    <s v="9800885611"/>
  </r>
  <r>
    <s v="RCF Trombay"/>
    <s v="N.C.Urea(45kg)"/>
    <s v="WB"/>
    <x v="8"/>
    <s v="Chopra"/>
    <s v="User Not Mapped"/>
    <s v="User Not Mapped"/>
    <s v="User Not Mapped"/>
    <n v="1400074"/>
    <s v="M/S TAIYAB ALI"/>
    <s v="Private Retailer"/>
    <s v="7001109294"/>
    <n v="0.54"/>
    <n v="489"/>
    <x v="6"/>
    <m/>
    <s v="2024-12-24"/>
    <s v="1132410"/>
    <s v="M/S MIRJA FERTILIZER"/>
    <s v="8016016291"/>
  </r>
  <r>
    <s v="RCF Trombay"/>
    <s v="15-15-15"/>
    <s v="WB"/>
    <x v="8"/>
    <s v="Chopra"/>
    <s v="User Not Mapped"/>
    <s v="User Not Mapped"/>
    <s v="User Not Mapped"/>
    <n v="1400693"/>
    <s v="SS ENTERPRISE"/>
    <s v="Private Retailer"/>
    <s v="7908500076"/>
    <n v="6"/>
    <n v="496"/>
    <x v="6"/>
    <m/>
    <s v="2024-12-17"/>
    <s v="254617"/>
    <s v="M/s. R.K.Fertilizers"/>
    <s v="9932191695"/>
  </r>
  <r>
    <s v="RCF Trombay"/>
    <s v="N.C.Urea(45kg)"/>
    <s v="WB"/>
    <x v="8"/>
    <s v="Chopra"/>
    <s v="User Not Mapped"/>
    <s v="User Not Mapped"/>
    <s v="User Not Mapped"/>
    <n v="1400693"/>
    <s v="SS ENTERPRISE"/>
    <s v="Private Retailer"/>
    <s v="7908500076"/>
    <n v="1.665"/>
    <n v="496"/>
    <x v="6"/>
    <m/>
    <s v="2024-12-17"/>
    <s v="254617"/>
    <s v="M/s. R.K.Fertilizers"/>
    <s v="9932191695"/>
  </r>
  <r>
    <s v="RCF Trombay"/>
    <s v="15-15-15"/>
    <s v="WB"/>
    <x v="8"/>
    <s v="Goalpokhar - I"/>
    <s v="User Not Mapped"/>
    <s v="User Not Mapped"/>
    <s v="User Not Mapped"/>
    <n v="342198"/>
    <s v="Samiran Sarkar"/>
    <s v="Private Retailer"/>
    <s v="8145729493"/>
    <n v="0.25"/>
    <n v="128"/>
    <x v="0"/>
    <m/>
    <s v="2025-12-20"/>
    <s v="255006"/>
    <s v="M/S PAUL FERTILIZER"/>
    <s v="8617668649"/>
  </r>
  <r>
    <s v="RCF Trombay"/>
    <s v="N.C.Urea(45kg)"/>
    <s v="WB"/>
    <x v="8"/>
    <s v="Goalpokhar - I"/>
    <s v="User Not Mapped"/>
    <s v="User Not Mapped"/>
    <s v="User Not Mapped"/>
    <n v="355030"/>
    <s v="HARI PADA MAJUMDER"/>
    <s v="Private Retailer"/>
    <s v="8967304357"/>
    <n v="3.105"/>
    <n v="97"/>
    <x v="5"/>
    <m/>
    <s v="2026-01-20"/>
    <s v="342392"/>
    <s v="M/s. Kanailal Kedar Prasad"/>
    <s v="7407719515"/>
  </r>
  <r>
    <s v="RCF Thal"/>
    <s v="N.C.Urea(45kg)"/>
    <s v="WB"/>
    <x v="8"/>
    <s v="Goalpokhar - I"/>
    <s v="User Not Mapped"/>
    <s v="User Not Mapped"/>
    <s v="User Not Mapped"/>
    <n v="355030"/>
    <s v="HARI PADA MAJUMDER"/>
    <s v="Private Retailer"/>
    <s v="8967304357"/>
    <n v="16.11"/>
    <n v="71"/>
    <x v="2"/>
    <m/>
    <s v="2026-02-15"/>
    <s v="342392"/>
    <s v="M/s. Kanailal Kedar Prasad"/>
    <s v="7407719515"/>
  </r>
  <r>
    <s v="RCF Thal"/>
    <s v="N.C.Urea(45kg)"/>
    <s v="WB"/>
    <x v="8"/>
    <s v="Goalpokhar - I"/>
    <s v="User Not Mapped"/>
    <s v="User Not Mapped"/>
    <s v="User Not Mapped"/>
    <n v="355030"/>
    <s v="HARI PADA MAJUMDER"/>
    <s v="Private Retailer"/>
    <s v="8967304357"/>
    <n v="11.025"/>
    <n v="68"/>
    <x v="2"/>
    <m/>
    <s v="2026-02-18"/>
    <s v="342392"/>
    <s v="M/s. Kanailal Kedar Prasad"/>
    <s v="7407719515"/>
  </r>
  <r>
    <s v="RCF Thal"/>
    <s v="N.C.Urea(45kg)"/>
    <s v="WB"/>
    <x v="8"/>
    <s v="Goalpokhar - I"/>
    <s v="User Not Mapped"/>
    <s v="User Not Mapped"/>
    <s v="User Not Mapped"/>
    <n v="355030"/>
    <s v="HARI PADA MAJUMDER"/>
    <s v="Private Retailer"/>
    <s v="8967304357"/>
    <n v="27.495000000000001"/>
    <n v="95"/>
    <x v="5"/>
    <m/>
    <s v="2026-01-22"/>
    <s v="342392"/>
    <s v="M/s. Kanailal Kedar Prasad"/>
    <s v="7407719515"/>
  </r>
  <r>
    <s v="RCF Thal"/>
    <s v="N.C.Urea(45kg)"/>
    <s v="WB"/>
    <x v="8"/>
    <s v="Goalpokhar - I"/>
    <s v="User Not Mapped"/>
    <s v="User Not Mapped"/>
    <s v="User Not Mapped"/>
    <n v="391499"/>
    <s v="Bijoy Debsarma"/>
    <s v="Private Retailer"/>
    <s v="9593867703"/>
    <n v="7.6749999999999998"/>
    <n v="49"/>
    <x v="1"/>
    <m/>
    <s v="2026-03-09"/>
    <s v="342392"/>
    <s v="M/s. Kanailal Kedar Prasad"/>
    <s v="7407719515"/>
  </r>
  <r>
    <s v="RCF Thal"/>
    <s v="N.C.Urea(45kg)"/>
    <s v="WB"/>
    <x v="8"/>
    <s v="Goalpokhar - I"/>
    <s v="User Not Mapped"/>
    <s v="User Not Mapped"/>
    <s v="User Not Mapped"/>
    <n v="437960"/>
    <s v="Uttar Chunihar Skus Ltd"/>
    <s v="PACS"/>
    <s v="8250894203"/>
    <n v="19.664999999999999"/>
    <n v="133"/>
    <x v="0"/>
    <m/>
    <s v="2025-12-15"/>
    <s v="342392"/>
    <s v="M/s. Kanailal Kedar Prasad"/>
    <s v="7407719515"/>
  </r>
  <r>
    <s v="RCF Thal"/>
    <s v="N.C.Urea(45kg)"/>
    <s v="WB"/>
    <x v="8"/>
    <s v="Goalpokhar - I"/>
    <s v="User Not Mapped"/>
    <s v="User Not Mapped"/>
    <s v="User Not Mapped"/>
    <n v="460843"/>
    <s v="Md Kamaluddin"/>
    <s v="Private Retailer"/>
    <s v="9735905369"/>
    <n v="6.4349999999999996"/>
    <n v="71"/>
    <x v="2"/>
    <m/>
    <s v="2026-02-15"/>
    <s v="342392"/>
    <s v="M/s. Kanailal Kedar Prasad"/>
    <s v="7407719515"/>
  </r>
  <r>
    <s v="RCF Thal"/>
    <s v="N.C.Urea(45kg)"/>
    <s v="WB"/>
    <x v="8"/>
    <s v="Goalpokhar - I"/>
    <s v="User Not Mapped"/>
    <s v="User Not Mapped"/>
    <s v="User Not Mapped"/>
    <n v="605139"/>
    <s v="MD. SHAMMIM AKTER"/>
    <s v="Private Retailer"/>
    <s v="9932099837"/>
    <n v="8.3249999999999993"/>
    <n v="71"/>
    <x v="2"/>
    <m/>
    <s v="2026-02-15"/>
    <s v="342392"/>
    <s v="M/s. Kanailal Kedar Prasad"/>
    <s v="7407719515"/>
  </r>
  <r>
    <s v="RCF Thal"/>
    <s v="N.C.Urea(45kg)"/>
    <s v="WB"/>
    <x v="8"/>
    <s v="Goalpokhar - I"/>
    <s v="User Not Mapped"/>
    <s v="User Not Mapped"/>
    <s v="User Not Mapped"/>
    <n v="608005"/>
    <s v="M/S ABU KALAM"/>
    <s v="Private Retailer"/>
    <s v="6297082901"/>
    <n v="1.2150000000000001"/>
    <n v="94"/>
    <x v="5"/>
    <m/>
    <s v="2026-01-23"/>
    <s v="342392"/>
    <s v="M/s. Kanailal Kedar Prasad"/>
    <s v="7407719515"/>
  </r>
  <r>
    <s v="RCF Thal"/>
    <s v="N.C.Urea(45kg)"/>
    <s v="WB"/>
    <x v="8"/>
    <s v="Goalpokhar - I"/>
    <s v="User Not Mapped"/>
    <s v="User Not Mapped"/>
    <s v="User Not Mapped"/>
    <n v="653948"/>
    <s v="SAHAPUR-II BAKA DUMURIA SKUS L"/>
    <s v="PACS"/>
    <s v="7479204323"/>
    <n v="0.315"/>
    <n v="94"/>
    <x v="5"/>
    <m/>
    <s v="2026-01-23"/>
    <s v="342392"/>
    <s v="M/s. Kanailal Kedar Prasad"/>
    <s v="7407719515"/>
  </r>
  <r>
    <s v="RCF Import"/>
    <s v="MOP"/>
    <s v="WB"/>
    <x v="8"/>
    <s v="Goalpokhar - I"/>
    <s v="User Not Mapped"/>
    <s v="User Not Mapped"/>
    <s v="User Not Mapped"/>
    <n v="864350"/>
    <s v="SURMATUN KHATUN"/>
    <s v="Private Retailer"/>
    <s v="8145539043"/>
    <n v="2.0499999999999998"/>
    <n v="591"/>
    <x v="7"/>
    <m/>
    <s v="2024-09-13"/>
    <s v="255006"/>
    <s v="M/S PAUL FERTILIZER"/>
    <s v="8617668649"/>
  </r>
  <r>
    <s v="RCF Import"/>
    <s v="MOP"/>
    <s v="WB"/>
    <x v="8"/>
    <s v="Goalpokhar - I"/>
    <s v="User Not Mapped"/>
    <s v="User Not Mapped"/>
    <s v="User Not Mapped"/>
    <n v="864350"/>
    <s v="SURMATUN KHATUN"/>
    <s v="Private Retailer"/>
    <s v="8145539043"/>
    <n v="1"/>
    <n v="533"/>
    <x v="6"/>
    <m/>
    <s v="2024-11-10"/>
    <s v="255006"/>
    <s v="M/S PAUL FERTILIZER"/>
    <s v="8617668649"/>
  </r>
  <r>
    <s v="RCF Thal"/>
    <s v="N.C.Urea(45kg)"/>
    <s v="WB"/>
    <x v="8"/>
    <s v="Goalpokhar - I"/>
    <s v="User Not Mapped"/>
    <s v="User Not Mapped"/>
    <s v="User Not Mapped"/>
    <n v="900753"/>
    <s v=" MD. AKKASH ALI"/>
    <s v="Private Retailer"/>
    <s v="9775902451"/>
    <n v="10.26"/>
    <n v="133"/>
    <x v="0"/>
    <m/>
    <s v="2025-12-15"/>
    <s v="342392"/>
    <s v="M/s. Kanailal Kedar Prasad"/>
    <s v="7407719515"/>
  </r>
  <r>
    <s v="RCF Trombay"/>
    <s v="15-15-15"/>
    <s v="WB"/>
    <x v="8"/>
    <s v="Goalpokhar - I"/>
    <s v="User Not Mapped"/>
    <s v="User Not Mapped"/>
    <s v="User Not Mapped"/>
    <n v="901208"/>
    <s v="MD. IFTEKHAR ALAM"/>
    <s v="Private Retailer"/>
    <s v="9064055280"/>
    <n v="1"/>
    <n v="500"/>
    <x v="6"/>
    <m/>
    <s v="2024-12-13"/>
    <s v="897266"/>
    <s v="MD. AKHTAR HUSSAIN"/>
    <s v="7908153661"/>
  </r>
  <r>
    <s v="RCF Trombay"/>
    <s v="15-15-15"/>
    <s v="WB"/>
    <x v="8"/>
    <s v="Goalpokhar - I"/>
    <s v="User Not Mapped"/>
    <s v="User Not Mapped"/>
    <s v="User Not Mapped"/>
    <n v="1327727"/>
    <s v="M/S MD NIZAMUDDIN"/>
    <s v="Private Retailer"/>
    <s v="7602117389"/>
    <n v="1.45"/>
    <n v="533"/>
    <x v="6"/>
    <m/>
    <s v="2024-11-10"/>
    <s v="1187549"/>
    <s v="M/S MD FAZLUR RAHAMAN"/>
    <s v="9733031760"/>
  </r>
  <r>
    <s v="RCF Trombay"/>
    <s v="15-15-15"/>
    <s v="WB"/>
    <x v="8"/>
    <s v="Goalpokhar - I"/>
    <s v="User Not Mapped"/>
    <s v="User Not Mapped"/>
    <s v="User Not Mapped"/>
    <n v="1368070"/>
    <s v="M/S PROSANJIT BISWAS"/>
    <s v="Private Retailer"/>
    <s v="7797887240"/>
    <n v="0.15"/>
    <n v="877"/>
    <x v="7"/>
    <m/>
    <s v="2023-12-02"/>
    <s v="893011"/>
    <s v="AKHIL KUMAR BHOWMICK"/>
    <s v="7277816377"/>
  </r>
  <r>
    <s v="RCF Trombay"/>
    <s v="N.C.Urea(45kg)"/>
    <s v="WB"/>
    <x v="8"/>
    <s v="Goalpokhar - I"/>
    <s v="User Not Mapped"/>
    <s v="User Not Mapped"/>
    <s v="User Not Mapped"/>
    <n v="1368070"/>
    <s v="M/S PROSANJIT BISWAS"/>
    <s v="Private Retailer"/>
    <s v="7797887240"/>
    <n v="3.51"/>
    <n v="131"/>
    <x v="0"/>
    <m/>
    <s v="2025-12-17"/>
    <s v="342392"/>
    <s v="M/s. Kanailal Kedar Prasad"/>
    <s v="7407719515"/>
  </r>
  <r>
    <s v="RCF Import"/>
    <s v="Imp 10-26-26"/>
    <s v="WB"/>
    <x v="8"/>
    <s v="Goalpokhar - I"/>
    <s v="User Not Mapped"/>
    <s v="User Not Mapped"/>
    <s v="User Not Mapped"/>
    <n v="1373070"/>
    <s v="S. A. FERTILIZERS SHOP"/>
    <s v="Private Retailer"/>
    <s v="9733073293"/>
    <n v="0.05"/>
    <n v="867"/>
    <x v="7"/>
    <m/>
    <s v="2023-12-12"/>
    <s v="893011"/>
    <s v="AKHIL KUMAR BHOWMICK"/>
    <s v="7277816377"/>
  </r>
  <r>
    <s v="RCF Trombay"/>
    <s v="15-15-15"/>
    <s v="WB"/>
    <x v="8"/>
    <s v="Goalpokhar - I"/>
    <s v="User Not Mapped"/>
    <s v="User Not Mapped"/>
    <s v="User Not Mapped"/>
    <n v="1456013"/>
    <s v="JAY MAA DURGA FERTILIZER SHOP"/>
    <s v="Private Retailer"/>
    <s v="8515928862"/>
    <n v="4.4999999999999998E-2"/>
    <n v="878"/>
    <x v="7"/>
    <m/>
    <s v="2023-12-01"/>
    <s v="893011"/>
    <s v="AKHIL KUMAR BHOWMICK"/>
    <s v="7277816377"/>
  </r>
  <r>
    <s v="RCF Import"/>
    <s v="Imp 10-26-26"/>
    <s v="WB"/>
    <x v="8"/>
    <s v="Goalpokhar - II"/>
    <s v="User Not Mapped"/>
    <s v="User Not Mapped"/>
    <s v="User Not Mapped"/>
    <n v="255194"/>
    <s v="M/S SUMIT KUMAR JAIN"/>
    <s v="Private Retailer"/>
    <s v="9932267906"/>
    <n v="5.75"/>
    <n v="53"/>
    <x v="1"/>
    <m/>
    <s v="2026-03-05"/>
    <s v="1278042"/>
    <s v="M/S SUMIT KUMAR JAIN"/>
    <s v="9932267906"/>
  </r>
  <r>
    <s v="RCF Thal"/>
    <s v="N.C.Urea(45kg)"/>
    <s v="WB"/>
    <x v="8"/>
    <s v="Goalpokhar - II"/>
    <s v="User Not Mapped"/>
    <s v="User Not Mapped"/>
    <s v="User Not Mapped"/>
    <n v="477011"/>
    <s v="Agrichem Fertiliser Centre"/>
    <s v="Private Retailer"/>
    <s v="9064311900"/>
    <n v="22.05"/>
    <n v="68"/>
    <x v="2"/>
    <m/>
    <s v="2026-02-18"/>
    <s v="342392"/>
    <s v="M/s. Kanailal Kedar Prasad"/>
    <s v="7407719515"/>
  </r>
  <r>
    <s v="RCF Thal"/>
    <s v="N.C.Urea(45kg)"/>
    <s v="WB"/>
    <x v="8"/>
    <s v="Goalpokhar - II"/>
    <s v="User Not Mapped"/>
    <s v="User Not Mapped"/>
    <s v="User Not Mapped"/>
    <n v="477011"/>
    <s v="Agrichem Fertiliser Centre"/>
    <s v="Private Retailer"/>
    <s v="9064311900"/>
    <n v="0.54"/>
    <n v="71"/>
    <x v="2"/>
    <m/>
    <s v="2026-02-15"/>
    <s v="342392"/>
    <s v="M/s. Kanailal Kedar Prasad"/>
    <s v="7407719515"/>
  </r>
  <r>
    <s v="RCF Import"/>
    <s v="Imp 10-26-26"/>
    <s v="WB"/>
    <x v="8"/>
    <s v="Goalpokhar - II"/>
    <s v="User Not Mapped"/>
    <s v="User Not Mapped"/>
    <s v="User Not Mapped"/>
    <n v="477013"/>
    <s v="Md Anwar Alam"/>
    <s v="Private Retailer"/>
    <s v="9733111395"/>
    <n v="4.25"/>
    <n v="53"/>
    <x v="1"/>
    <m/>
    <s v="2026-03-05"/>
    <s v="1278042"/>
    <s v="M/S SUMIT KUMAR JAIN"/>
    <s v="9932267906"/>
  </r>
  <r>
    <s v="RCF Thal"/>
    <s v="N.C.Urea(45kg)"/>
    <s v="WB"/>
    <x v="8"/>
    <s v="Goalpokhar - II"/>
    <s v="User Not Mapped"/>
    <s v="User Not Mapped"/>
    <s v="User Not Mapped"/>
    <n v="477015"/>
    <s v="M/s Najma Khatoon"/>
    <s v="Private Retailer"/>
    <s v="9641100783"/>
    <n v="5.8949999999999996"/>
    <n v="133"/>
    <x v="0"/>
    <m/>
    <s v="2025-12-15"/>
    <s v="342392"/>
    <s v="M/s. Kanailal Kedar Prasad"/>
    <s v="7407719515"/>
  </r>
  <r>
    <s v="RCF Thal"/>
    <s v="N.C.Urea(45kg)"/>
    <s v="WB"/>
    <x v="8"/>
    <s v="Goalpokhar - II"/>
    <s v="User Not Mapped"/>
    <s v="User Not Mapped"/>
    <s v="User Not Mapped"/>
    <n v="554525"/>
    <s v="M/S Mukul Sarkar"/>
    <s v="Private Retailer"/>
    <s v="9932508690"/>
    <n v="11.744999999999999"/>
    <n v="94"/>
    <x v="5"/>
    <m/>
    <s v="2026-01-23"/>
    <s v="342392"/>
    <s v="M/s. Kanailal Kedar Prasad"/>
    <s v="7407719515"/>
  </r>
  <r>
    <s v="RCF Thal"/>
    <s v="N.C.Urea(45kg)"/>
    <s v="WB"/>
    <x v="8"/>
    <s v="Goalpokhar - II"/>
    <s v="User Not Mapped"/>
    <s v="User Not Mapped"/>
    <s v="User Not Mapped"/>
    <n v="592060"/>
    <s v="M/S JAIN FERTILIZER andAGRICULTU"/>
    <s v="Private Retailer"/>
    <s v="7001409563"/>
    <n v="4.6349999999999998"/>
    <n v="133"/>
    <x v="0"/>
    <m/>
    <s v="2025-12-15"/>
    <s v="342392"/>
    <s v="M/s. Kanailal Kedar Prasad"/>
    <s v="7407719515"/>
  </r>
  <r>
    <s v="RCF Thal"/>
    <s v="N.C.Urea(45kg)"/>
    <s v="WB"/>
    <x v="8"/>
    <s v="Goalpokhar - II"/>
    <s v="User Not Mapped"/>
    <s v="User Not Mapped"/>
    <s v="User Not Mapped"/>
    <n v="592060"/>
    <s v="M/S JAIN FERTILIZER andAGRICULTU"/>
    <s v="Private Retailer"/>
    <s v="7001409563"/>
    <n v="44.1"/>
    <n v="71"/>
    <x v="2"/>
    <m/>
    <s v="2026-02-15"/>
    <s v="342392"/>
    <s v="M/s. Kanailal Kedar Prasad"/>
    <s v="7407719515"/>
  </r>
  <r>
    <s v="RCF Trombay"/>
    <s v="N.C.Urea(45kg)"/>
    <s v="WB"/>
    <x v="8"/>
    <s v="Goalpokhar - II"/>
    <s v="User Not Mapped"/>
    <s v="User Not Mapped"/>
    <s v="User Not Mapped"/>
    <n v="592060"/>
    <s v="M/S JAIN FERTILIZER andAGRICULTU"/>
    <s v="Private Retailer"/>
    <s v="7001409563"/>
    <n v="11.025"/>
    <n v="132"/>
    <x v="0"/>
    <m/>
    <s v="2025-12-16"/>
    <s v="342392"/>
    <s v="M/s. Kanailal Kedar Prasad"/>
    <s v="7407719515"/>
  </r>
  <r>
    <s v="RCF Thal"/>
    <s v="N.C.Urea(45kg)"/>
    <s v="WB"/>
    <x v="8"/>
    <s v="Goalpokhar - II"/>
    <s v="User Not Mapped"/>
    <s v="User Not Mapped"/>
    <s v="User Not Mapped"/>
    <n v="617035"/>
    <s v="M/s Niranjan Kumar Das"/>
    <s v="Private Retailer"/>
    <s v="9547449703"/>
    <n v="2.25"/>
    <n v="133"/>
    <x v="0"/>
    <m/>
    <s v="2025-12-15"/>
    <s v="342392"/>
    <s v="M/s. Kanailal Kedar Prasad"/>
    <s v="7407719515"/>
  </r>
  <r>
    <s v="RCF Trombay"/>
    <s v="15-15-15"/>
    <s v="WB"/>
    <x v="8"/>
    <s v="Goalpokhar - II"/>
    <s v="User Not Mapped"/>
    <s v="User Not Mapped"/>
    <s v="User Not Mapped"/>
    <n v="648960"/>
    <s v="M/S PRADIP SARKAR"/>
    <s v="Private Retailer"/>
    <s v="8016097999"/>
    <n v="4.3"/>
    <n v="76"/>
    <x v="2"/>
    <m/>
    <s v="2026-02-10"/>
    <s v="254732"/>
    <s v="Binod Kumar Maskara"/>
    <s v="8250461848"/>
  </r>
  <r>
    <s v="RCF Thal"/>
    <s v="N.C.Urea(45kg)"/>
    <s v="WB"/>
    <x v="8"/>
    <s v="Goalpokhar - II"/>
    <s v="User Not Mapped"/>
    <s v="User Not Mapped"/>
    <s v="User Not Mapped"/>
    <n v="823766"/>
    <s v="M/S KOHINOOR FERTILIZER"/>
    <s v="Private Retailer"/>
    <s v="9851023252"/>
    <n v="10.53"/>
    <n v="71"/>
    <x v="2"/>
    <m/>
    <s v="2026-02-15"/>
    <s v="342392"/>
    <s v="M/s. Kanailal Kedar Prasad"/>
    <s v="7407719515"/>
  </r>
  <r>
    <s v="RCF Thal"/>
    <s v="N.C.Urea(45kg)"/>
    <s v="WB"/>
    <x v="8"/>
    <s v="Goalpokhar - II"/>
    <s v="User Not Mapped"/>
    <s v="User Not Mapped"/>
    <s v="User Not Mapped"/>
    <n v="833805"/>
    <s v="M/S SAFIQUL ALAM"/>
    <s v="Private Retailer"/>
    <s v="8371023846"/>
    <n v="0.315"/>
    <n v="241"/>
    <x v="3"/>
    <m/>
    <s v="2025-08-29"/>
    <s v="254732"/>
    <s v="Binod Kumar Maskara"/>
    <s v="8250461848"/>
  </r>
  <r>
    <s v="RCF Thal"/>
    <s v="N.C.Urea(45kg)"/>
    <s v="WB"/>
    <x v="8"/>
    <s v="Goalpokhar - II"/>
    <s v="User Not Mapped"/>
    <s v="User Not Mapped"/>
    <s v="User Not Mapped"/>
    <n v="894567"/>
    <s v="M/S. Serajul Islam"/>
    <s v="Private Retailer"/>
    <s v="9733103811"/>
    <n v="3.105"/>
    <n v="132"/>
    <x v="0"/>
    <m/>
    <s v="2025-12-16"/>
    <s v="342392"/>
    <s v="M/s. Kanailal Kedar Prasad"/>
    <s v="7407719515"/>
  </r>
  <r>
    <s v="RCF Thal"/>
    <s v="N.C.Urea(45kg)"/>
    <s v="WB"/>
    <x v="8"/>
    <s v="Goalpokhar - II"/>
    <s v="User Not Mapped"/>
    <s v="User Not Mapped"/>
    <s v="User Not Mapped"/>
    <n v="918924"/>
    <s v="MD. TAUSIF REZA"/>
    <s v="Private Retailer"/>
    <s v="9614209364"/>
    <n v="3.6"/>
    <n v="71"/>
    <x v="2"/>
    <m/>
    <s v="2026-02-15"/>
    <s v="342392"/>
    <s v="M/s. Kanailal Kedar Prasad"/>
    <s v="7407719515"/>
  </r>
  <r>
    <s v="RCF Thal"/>
    <s v="N.C.Urea(45kg)"/>
    <s v="WB"/>
    <x v="8"/>
    <s v="Goalpokhar - II"/>
    <s v="User Not Mapped"/>
    <s v="User Not Mapped"/>
    <s v="User Not Mapped"/>
    <n v="1278034"/>
    <s v="M/S. NOOR NEYAAZ"/>
    <s v="Private Retailer"/>
    <s v="9563182361"/>
    <n v="3.6"/>
    <n v="133"/>
    <x v="0"/>
    <m/>
    <s v="2025-12-15"/>
    <s v="342392"/>
    <s v="M/s. Kanailal Kedar Prasad"/>
    <s v="7407719515"/>
  </r>
  <r>
    <s v="RCF Thal"/>
    <s v="N.C.Urea(45kg)"/>
    <s v="WB"/>
    <x v="8"/>
    <s v="Goalpokhar - II"/>
    <s v="User Not Mapped"/>
    <s v="User Not Mapped"/>
    <s v="User Not Mapped"/>
    <n v="1400084"/>
    <s v="TABREZ FERTILIZER"/>
    <s v="Private Retailer"/>
    <s v="9064164697"/>
    <n v="8.3249999999999993"/>
    <n v="71"/>
    <x v="2"/>
    <m/>
    <s v="2026-02-15"/>
    <s v="342392"/>
    <s v="M/s. Kanailal Kedar Prasad"/>
    <s v="7407719515"/>
  </r>
  <r>
    <s v="RCF Thal"/>
    <s v="N.C.Urea(45kg)"/>
    <s v="WB"/>
    <x v="8"/>
    <s v="Goalpokhar - II"/>
    <s v="User Not Mapped"/>
    <s v="User Not Mapped"/>
    <s v="User Not Mapped"/>
    <n v="1457474"/>
    <s v="BHAI BHAI FERTILIZER"/>
    <s v="Private Retailer"/>
    <s v="8116447142"/>
    <n v="4.4999999999999998E-2"/>
    <n v="95"/>
    <x v="5"/>
    <m/>
    <s v="2026-01-22"/>
    <s v="342392"/>
    <s v="M/s. Kanailal Kedar Prasad"/>
    <s v="7407719515"/>
  </r>
  <r>
    <s v="RCF Trombay"/>
    <s v="15-15-15"/>
    <s v="WB"/>
    <x v="8"/>
    <s v="Goalpokhar - II"/>
    <s v="User Not Mapped"/>
    <s v="User Not Mapped"/>
    <s v="User Not Mapped"/>
    <n v="1464275"/>
    <s v="M/S PRATAP MAJUMDER"/>
    <s v="Private Retailer"/>
    <s v="8207226955"/>
    <n v="2"/>
    <n v="41"/>
    <x v="1"/>
    <m/>
    <s v="2026-03-17"/>
    <s v="255006"/>
    <s v="M/S PAUL FERTILIZER"/>
    <s v="8617668649"/>
  </r>
  <r>
    <s v="RCF Trombay"/>
    <s v="15-15-15"/>
    <s v="WB"/>
    <x v="8"/>
    <s v="Goalpokhar - II"/>
    <s v="User Not Mapped"/>
    <s v="User Not Mapped"/>
    <s v="User Not Mapped"/>
    <n v="1464275"/>
    <s v="M/S PRATAP MAJUMDER"/>
    <s v="Private Retailer"/>
    <s v="8207226955"/>
    <n v="0.85"/>
    <n v="149"/>
    <x v="0"/>
    <m/>
    <s v="2025-11-29"/>
    <s v="255006"/>
    <s v="M/S PAUL FERTILIZER"/>
    <s v="8617668649"/>
  </r>
  <r>
    <s v="RCF Thal"/>
    <s v="N.C.Urea(45kg)"/>
    <s v="WB"/>
    <x v="8"/>
    <s v="Goalpokhar - II"/>
    <s v="User Not Mapped"/>
    <s v="User Not Mapped"/>
    <s v="User Not Mapped"/>
    <n v="1574562"/>
    <s v="MS FARHAN FERTILIZER"/>
    <s v="Private Retailer"/>
    <s v="7477518355"/>
    <n v="0.13500000000000001"/>
    <n v="241"/>
    <x v="3"/>
    <m/>
    <s v="2025-08-29"/>
    <s v="254732"/>
    <s v="Binod Kumar Maskara"/>
    <s v="8250461848"/>
  </r>
  <r>
    <s v="RCF Trombay"/>
    <s v="15-15-15"/>
    <s v="WB"/>
    <x v="8"/>
    <s v="Hemtabad"/>
    <s v="User Not Mapped"/>
    <s v="User Not Mapped"/>
    <s v="User Not Mapped"/>
    <n v="340923"/>
    <s v="Ashraf Ali"/>
    <s v="Private Retailer"/>
    <s v="9733352182"/>
    <n v="0.9"/>
    <n v="23"/>
    <x v="4"/>
    <m/>
    <s v="2026-04-04"/>
    <s v="1058188"/>
    <s v="SAIDUR RAHAMAN"/>
    <s v="9734115820"/>
  </r>
  <r>
    <s v="RCF Trombay"/>
    <s v="15-15-15"/>
    <s v="WB"/>
    <x v="8"/>
    <s v="Hemtabad"/>
    <s v="User Not Mapped"/>
    <s v="User Not Mapped"/>
    <s v="User Not Mapped"/>
    <n v="341688"/>
    <s v="Krishi Biplab Sahayak"/>
    <s v="Private Retailer"/>
    <s v="8436049314"/>
    <n v="1.85"/>
    <n v="1221"/>
    <x v="7"/>
    <m/>
    <s v="2022-12-23"/>
    <s v="281226"/>
    <s v="Subuj Supply"/>
    <s v="7001971187"/>
  </r>
  <r>
    <s v="RCF Import"/>
    <s v="Imp 10-26-26"/>
    <s v="WB"/>
    <x v="8"/>
    <s v="Hemtabad"/>
    <s v="User Not Mapped"/>
    <s v="User Not Mapped"/>
    <s v="User Not Mapped"/>
    <n v="341804"/>
    <s v="Makleshur Zaman"/>
    <s v="Private Retailer"/>
    <s v="9734120722"/>
    <n v="0.25"/>
    <n v="46"/>
    <x v="1"/>
    <m/>
    <s v="2026-03-12"/>
    <s v="651626"/>
    <s v="M/S RADHA KRISHNA SAR BHANDAR"/>
    <s v="9735437617"/>
  </r>
  <r>
    <s v="RCF Import"/>
    <s v="Imp 10-26-26"/>
    <s v="WB"/>
    <x v="8"/>
    <s v="Hemtabad"/>
    <s v="User Not Mapped"/>
    <s v="User Not Mapped"/>
    <s v="User Not Mapped"/>
    <n v="341842"/>
    <s v="Manoj Kumar Deb"/>
    <s v="Private Retailer"/>
    <s v="9734925686"/>
    <n v="0.15"/>
    <n v="23"/>
    <x v="4"/>
    <m/>
    <s v="2026-04-04"/>
    <s v="651626"/>
    <s v="M/S RADHA KRISHNA SAR BHANDAR"/>
    <s v="9735437617"/>
  </r>
  <r>
    <s v="RCF Trombay"/>
    <s v="N.C.Urea(45kg)"/>
    <s v="WB"/>
    <x v="8"/>
    <s v="Hemtabad"/>
    <s v="User Not Mapped"/>
    <s v="User Not Mapped"/>
    <s v="User Not Mapped"/>
    <n v="342403"/>
    <s v="Samsul Haque"/>
    <s v="Private Retailer"/>
    <s v="9932187464"/>
    <n v="0.09"/>
    <n v="473"/>
    <x v="6"/>
    <m/>
    <s v="2025-01-09"/>
    <s v="1412930"/>
    <s v="KARNAJORA CO-OPERATIVE AGRICUL"/>
    <s v="8250457408"/>
  </r>
  <r>
    <s v="RCF Trombay"/>
    <s v="N.C.Urea(45kg)"/>
    <s v="WB"/>
    <x v="8"/>
    <s v="Hemtabad"/>
    <s v="User Not Mapped"/>
    <s v="User Not Mapped"/>
    <s v="User Not Mapped"/>
    <n v="342403"/>
    <s v="Samsul Haque"/>
    <s v="Private Retailer"/>
    <s v="9932187464"/>
    <n v="2.25"/>
    <n v="72"/>
    <x v="2"/>
    <m/>
    <s v="2026-02-14"/>
    <s v="651626"/>
    <s v="M/S RADHA KRISHNA SAR BHANDAR"/>
    <s v="9735437617"/>
  </r>
  <r>
    <s v="RCF Import"/>
    <s v="Imp 10-26-26"/>
    <s v="WB"/>
    <x v="8"/>
    <s v="Hemtabad"/>
    <s v="User Not Mapped"/>
    <s v="User Not Mapped"/>
    <s v="User Not Mapped"/>
    <n v="342403"/>
    <s v="Samsul Haque"/>
    <s v="Private Retailer"/>
    <s v="9932187464"/>
    <n v="0.25"/>
    <n v="72"/>
    <x v="2"/>
    <m/>
    <s v="2026-02-14"/>
    <s v="651626"/>
    <s v="M/S RADHA KRISHNA SAR BHANDAR"/>
    <s v="9735437617"/>
  </r>
  <r>
    <s v="RCF Import"/>
    <s v="Imp 10-26-26"/>
    <s v="WB"/>
    <x v="8"/>
    <s v="Hemtabad"/>
    <s v="User Not Mapped"/>
    <s v="User Not Mapped"/>
    <s v="User Not Mapped"/>
    <n v="342403"/>
    <s v="Samsul Haque"/>
    <s v="Private Retailer"/>
    <s v="9932187464"/>
    <n v="0.25"/>
    <n v="76"/>
    <x v="2"/>
    <m/>
    <s v="2026-02-10"/>
    <s v="651626"/>
    <s v="M/S RADHA KRISHNA SAR BHANDAR"/>
    <s v="9735437617"/>
  </r>
  <r>
    <s v="RCF Import"/>
    <s v="Imp 10-26-26"/>
    <s v="WB"/>
    <x v="8"/>
    <s v="Hemtabad"/>
    <s v="User Not Mapped"/>
    <s v="User Not Mapped"/>
    <s v="User Not Mapped"/>
    <n v="342407"/>
    <s v="Sar Bikray Kendra"/>
    <s v="Private Retailer"/>
    <s v="9775109200"/>
    <n v="0.15"/>
    <n v="31"/>
    <x v="1"/>
    <m/>
    <s v="2026-03-27"/>
    <s v="1403333"/>
    <s v="M/S LAXMI FERTILIZER "/>
    <s v="9733431740"/>
  </r>
  <r>
    <s v="RCF Trombay"/>
    <s v="N.C.Urea(45kg)"/>
    <s v="WB"/>
    <x v="8"/>
    <s v="Hemtabad"/>
    <s v="User Not Mapped"/>
    <s v="User Not Mapped"/>
    <s v="User Not Mapped"/>
    <n v="342413"/>
    <s v="Subrata Das Chowdhury"/>
    <s v="Private Retailer"/>
    <s v="8900045648"/>
    <n v="1.53"/>
    <n v="171"/>
    <x v="0"/>
    <m/>
    <s v="2025-11-07"/>
    <s v="342392"/>
    <s v="M/s. Kanailal Kedar Prasad"/>
    <s v="7407719515"/>
  </r>
  <r>
    <s v="RCF Thal"/>
    <s v="N.C.Urea(45kg)"/>
    <s v="WB"/>
    <x v="8"/>
    <s v="Hemtabad"/>
    <s v="User Not Mapped"/>
    <s v="User Not Mapped"/>
    <s v="User Not Mapped"/>
    <n v="342417"/>
    <s v="Sar Beej Bhandar"/>
    <s v="Private Retailer"/>
    <s v="7602267519"/>
    <n v="2.3849999999999998"/>
    <n v="49"/>
    <x v="1"/>
    <m/>
    <s v="2026-03-09"/>
    <s v="342392"/>
    <s v="M/s. Kanailal Kedar Prasad"/>
    <s v="7407719515"/>
  </r>
  <r>
    <s v="RCF Import"/>
    <s v="Imp 10-26-26"/>
    <s v="WB"/>
    <x v="8"/>
    <s v="Hemtabad"/>
    <s v="User Not Mapped"/>
    <s v="User Not Mapped"/>
    <s v="User Not Mapped"/>
    <n v="342417"/>
    <s v="Sar Beej Bhandar"/>
    <s v="Private Retailer"/>
    <s v="7602267519"/>
    <n v="2.7"/>
    <n v="73"/>
    <x v="2"/>
    <m/>
    <s v="2026-02-13"/>
    <s v="1403333"/>
    <s v="M/S LAXMI FERTILIZER "/>
    <s v="9733431740"/>
  </r>
  <r>
    <s v="RCF Trombay"/>
    <s v="15-15-15"/>
    <s v="WB"/>
    <x v="8"/>
    <s v="Hemtabad"/>
    <s v="User Not Mapped"/>
    <s v="User Not Mapped"/>
    <s v="User Not Mapped"/>
    <n v="342417"/>
    <s v="Sar Beej Bhandar"/>
    <s v="Private Retailer"/>
    <s v="7602267519"/>
    <n v="2.1"/>
    <n v="137"/>
    <x v="0"/>
    <m/>
    <s v="2025-12-11"/>
    <s v="876168"/>
    <s v="M/s. NEW LAXMI FERTILIZERS"/>
    <s v="8207270798"/>
  </r>
  <r>
    <s v="RCF Thal"/>
    <s v="N.C.Urea(45kg)"/>
    <s v="WB"/>
    <x v="8"/>
    <s v="Hemtabad"/>
    <s v="User Not Mapped"/>
    <s v="User Not Mapped"/>
    <s v="User Not Mapped"/>
    <n v="586734"/>
    <s v="M/S KARTIK CHANDRA BARMAN"/>
    <s v="Private Retailer"/>
    <s v="8159920683"/>
    <n v="4.5250000000000004"/>
    <n v="499"/>
    <x v="6"/>
    <m/>
    <s v="2024-12-14"/>
    <s v="281226"/>
    <s v="Subuj Supply"/>
    <s v="7001971187"/>
  </r>
  <r>
    <s v="RCF Import"/>
    <s v="MOP"/>
    <s v="WB"/>
    <x v="8"/>
    <s v="Hemtabad"/>
    <s v="User Not Mapped"/>
    <s v="User Not Mapped"/>
    <s v="User Not Mapped"/>
    <n v="586734"/>
    <s v="M/S KARTIK CHANDRA BARMAN"/>
    <s v="Private Retailer"/>
    <s v="8159920683"/>
    <n v="0.70499999999999996"/>
    <n v="527"/>
    <x v="6"/>
    <m/>
    <s v="2024-11-16"/>
    <s v="1132426"/>
    <s v="M/S KRISHI DISHA"/>
    <s v="6294430316"/>
  </r>
  <r>
    <s v="RCF Thal"/>
    <s v="N.C.Urea(45kg)"/>
    <s v="WB"/>
    <x v="8"/>
    <s v="Hemtabad"/>
    <s v="User Not Mapped"/>
    <s v="User Not Mapped"/>
    <s v="User Not Mapped"/>
    <n v="586734"/>
    <s v="M/S KARTIK CHANDRA BARMAN"/>
    <s v="Private Retailer"/>
    <s v="8159920683"/>
    <n v="11.025"/>
    <n v="133"/>
    <x v="0"/>
    <m/>
    <s v="2025-12-15"/>
    <s v="342392"/>
    <s v="M/s. Kanailal Kedar Prasad"/>
    <s v="7407719515"/>
  </r>
  <r>
    <s v="RCF Trombay"/>
    <s v="15-15-15"/>
    <s v="WB"/>
    <x v="8"/>
    <s v="Hemtabad"/>
    <s v="User Not Mapped"/>
    <s v="User Not Mapped"/>
    <s v="User Not Mapped"/>
    <n v="586734"/>
    <s v="M/S KARTIK CHANDRA BARMAN"/>
    <s v="Private Retailer"/>
    <s v="8159920683"/>
    <n v="0.75"/>
    <n v="77"/>
    <x v="2"/>
    <m/>
    <s v="2026-02-09"/>
    <s v="651626"/>
    <s v="M/S RADHA KRISHNA SAR BHANDAR"/>
    <s v="9735437617"/>
  </r>
  <r>
    <s v="RCF Import"/>
    <s v="Imp 10-26-26"/>
    <s v="WB"/>
    <x v="8"/>
    <s v="Hemtabad"/>
    <s v="User Not Mapped"/>
    <s v="User Not Mapped"/>
    <s v="User Not Mapped"/>
    <n v="586734"/>
    <s v="M/S KARTIK CHANDRA BARMAN"/>
    <s v="Private Retailer"/>
    <s v="8159920683"/>
    <n v="0.75"/>
    <n v="68"/>
    <x v="2"/>
    <m/>
    <s v="2026-02-18"/>
    <s v="651626"/>
    <s v="M/S RADHA KRISHNA SAR BHANDAR"/>
    <s v="9735437617"/>
  </r>
  <r>
    <s v="RCF Trombay"/>
    <s v="15-15-15"/>
    <s v="WB"/>
    <x v="8"/>
    <s v="Hemtabad"/>
    <s v="User Not Mapped"/>
    <s v="User Not Mapped"/>
    <s v="User Not Mapped"/>
    <n v="624333"/>
    <s v="M/S CHAND MOHAMMED"/>
    <s v="Private Retailer"/>
    <s v="9647721042"/>
    <n v="0.5"/>
    <n v="76"/>
    <x v="2"/>
    <m/>
    <s v="2026-02-10"/>
    <s v="651626"/>
    <s v="M/S RADHA KRISHNA SAR BHANDAR"/>
    <s v="9735437617"/>
  </r>
  <r>
    <s v="RCF Thal"/>
    <s v="N.C.Urea(45kg)"/>
    <s v="WB"/>
    <x v="8"/>
    <s v="Hemtabad"/>
    <s v="User Not Mapped"/>
    <s v="User Not Mapped"/>
    <s v="User Not Mapped"/>
    <n v="624337"/>
    <s v="M/S ASERA KHATUN"/>
    <s v="Private Retailer"/>
    <s v="8116295440"/>
    <n v="0.315"/>
    <n v="1375"/>
    <x v="7"/>
    <m/>
    <s v="2022-07-22"/>
    <s v="1132426"/>
    <s v="M/S KRISHI DISHA"/>
    <s v="6294430316"/>
  </r>
  <r>
    <s v="RCF Trombay"/>
    <s v="N.C.Urea(45kg)"/>
    <s v="WB"/>
    <x v="8"/>
    <s v="Hemtabad"/>
    <s v="User Not Mapped"/>
    <s v="User Not Mapped"/>
    <s v="User Not Mapped"/>
    <n v="624369"/>
    <s v="M/s AFIF FERTILIZER"/>
    <s v="Private Retailer"/>
    <s v="9851960060"/>
    <n v="0.09"/>
    <n v="285"/>
    <x v="3"/>
    <m/>
    <s v="2025-07-16"/>
    <s v="342392"/>
    <s v="M/s. Kanailal Kedar Prasad"/>
    <s v="7407719515"/>
  </r>
  <r>
    <s v="RCF Trombay"/>
    <s v="15-15-15"/>
    <s v="WB"/>
    <x v="8"/>
    <s v="Hemtabad"/>
    <s v="User Not Mapped"/>
    <s v="User Not Mapped"/>
    <s v="User Not Mapped"/>
    <n v="624369"/>
    <s v="M/s AFIF FERTILIZER"/>
    <s v="Private Retailer"/>
    <s v="9851960060"/>
    <n v="3.05"/>
    <n v="279"/>
    <x v="3"/>
    <m/>
    <s v="2025-07-22"/>
    <s v="1084859"/>
    <s v="BISWAS FERTILIZER"/>
    <s v="9635905766"/>
  </r>
  <r>
    <s v="RCF Trombay"/>
    <s v="15-15-15"/>
    <s v="WB"/>
    <x v="8"/>
    <s v="Hemtabad"/>
    <s v="User Not Mapped"/>
    <s v="User Not Mapped"/>
    <s v="User Not Mapped"/>
    <n v="635385"/>
    <s v="M/S PADMA LOCHAN ROY"/>
    <s v="Private Retailer"/>
    <s v="8250689515"/>
    <n v="0.25"/>
    <n v="91"/>
    <x v="5"/>
    <m/>
    <s v="2026-01-26"/>
    <s v="651626"/>
    <s v="M/S RADHA KRISHNA SAR BHANDAR"/>
    <s v="9735437617"/>
  </r>
  <r>
    <s v="RCF Import"/>
    <s v="Imp 10-26-26"/>
    <s v="WB"/>
    <x v="8"/>
    <s v="Hemtabad"/>
    <s v="User Not Mapped"/>
    <s v="User Not Mapped"/>
    <s v="User Not Mapped"/>
    <n v="708998"/>
    <s v="M/S SIRAJUDDIN AHAMED"/>
    <s v="Private Retailer"/>
    <s v="9733261317"/>
    <n v="0.2"/>
    <n v="51"/>
    <x v="1"/>
    <m/>
    <s v="2026-03-07"/>
    <s v="651626"/>
    <s v="M/S RADHA KRISHNA SAR BHANDAR"/>
    <s v="9735437617"/>
  </r>
  <r>
    <s v="RCF Import"/>
    <s v="Imp 10-26-26"/>
    <s v="WB"/>
    <x v="8"/>
    <s v="Hemtabad"/>
    <s v="User Not Mapped"/>
    <s v="User Not Mapped"/>
    <s v="User Not Mapped"/>
    <n v="708998"/>
    <s v="M/S SIRAJUDDIN AHAMED"/>
    <s v="Private Retailer"/>
    <s v="9733261317"/>
    <n v="0.5"/>
    <n v="46"/>
    <x v="1"/>
    <m/>
    <s v="2026-03-12"/>
    <s v="651626"/>
    <s v="M/S RADHA KRISHNA SAR BHANDAR"/>
    <s v="9735437617"/>
  </r>
  <r>
    <s v="RCF Import"/>
    <s v="Imp 10-26-26"/>
    <s v="WB"/>
    <x v="8"/>
    <s v="Hemtabad"/>
    <s v="User Not Mapped"/>
    <s v="User Not Mapped"/>
    <s v="User Not Mapped"/>
    <n v="730794"/>
    <s v="ABDUL KALAM"/>
    <s v="Private Retailer"/>
    <s v="7001557668"/>
    <n v="0.15"/>
    <n v="65"/>
    <x v="2"/>
    <m/>
    <s v="2026-02-21"/>
    <s v="651626"/>
    <s v="M/S RADHA KRISHNA SAR BHANDAR"/>
    <s v="9735437617"/>
  </r>
  <r>
    <s v="RCF Trombay"/>
    <s v="15-15-15"/>
    <s v="WB"/>
    <x v="8"/>
    <s v="Hemtabad"/>
    <s v="User Not Mapped"/>
    <s v="User Not Mapped"/>
    <s v="User Not Mapped"/>
    <n v="730993"/>
    <s v="TAJMUL ALI"/>
    <s v="Private Retailer"/>
    <s v="9064084883"/>
    <n v="1.55"/>
    <n v="133"/>
    <x v="0"/>
    <m/>
    <s v="2025-12-15"/>
    <s v="281226"/>
    <s v="Subuj Supply"/>
    <s v="7001971187"/>
  </r>
  <r>
    <s v="RCF Trombay"/>
    <s v="15-15-15"/>
    <s v="WB"/>
    <x v="8"/>
    <s v="Hemtabad"/>
    <s v="User Not Mapped"/>
    <s v="User Not Mapped"/>
    <s v="User Not Mapped"/>
    <n v="737048"/>
    <s v="SUHANA KRISHI BHANDAR"/>
    <s v="Private Retailer"/>
    <s v="8918155288"/>
    <n v="2.95"/>
    <n v="165"/>
    <x v="0"/>
    <m/>
    <s v="2025-11-13"/>
    <s v="281226"/>
    <s v="Subuj Supply"/>
    <s v="7001971187"/>
  </r>
  <r>
    <s v="RCF Trombay"/>
    <s v="15-15-15"/>
    <s v="WB"/>
    <x v="8"/>
    <s v="Hemtabad"/>
    <s v="User Not Mapped"/>
    <s v="User Not Mapped"/>
    <s v="User Not Mapped"/>
    <n v="774725"/>
    <s v="TAGIMUL HOQUE"/>
    <s v="Private Retailer"/>
    <s v="8436322550"/>
    <n v="0.1"/>
    <n v="85"/>
    <x v="2"/>
    <m/>
    <s v="2026-02-01"/>
    <s v="651626"/>
    <s v="M/S RADHA KRISHNA SAR BHANDAR"/>
    <s v="9735437617"/>
  </r>
  <r>
    <s v="RCF Trombay"/>
    <s v="15-15-15"/>
    <s v="WB"/>
    <x v="8"/>
    <s v="Hemtabad"/>
    <s v="User Not Mapped"/>
    <s v="User Not Mapped"/>
    <s v="User Not Mapped"/>
    <n v="774965"/>
    <s v="M/S. NIRENDRA NATH BARMAN"/>
    <s v="Private Retailer"/>
    <s v="9733189488"/>
    <n v="0.05"/>
    <n v="1383"/>
    <x v="7"/>
    <m/>
    <s v="2022-07-14"/>
    <s v="1058188"/>
    <s v="SAIDUR RAHAMAN"/>
    <s v="9734115820"/>
  </r>
  <r>
    <s v="RCF Import"/>
    <s v="MOP"/>
    <s v="WB"/>
    <x v="8"/>
    <s v="Hemtabad"/>
    <s v="User Not Mapped"/>
    <s v="User Not Mapped"/>
    <s v="User Not Mapped"/>
    <n v="851526"/>
    <s v="G.M. ASIK IQBAL"/>
    <s v="Private Retailer"/>
    <s v="9679065050"/>
    <n v="0.25"/>
    <n v="539"/>
    <x v="6"/>
    <m/>
    <s v="2024-11-04"/>
    <s v="651626"/>
    <s v="M/S RADHA KRISHNA SAR BHANDAR"/>
    <s v="9735437617"/>
  </r>
  <r>
    <s v="RCF Trombay"/>
    <s v="15-15-15"/>
    <s v="WB"/>
    <x v="8"/>
    <s v="Hemtabad"/>
    <s v="User Not Mapped"/>
    <s v="User Not Mapped"/>
    <s v="User Not Mapped"/>
    <n v="888179"/>
    <s v="SAMIR MAHAMAD"/>
    <s v="Private Retailer"/>
    <s v="8001893073"/>
    <n v="0.154"/>
    <n v="296"/>
    <x v="3"/>
    <m/>
    <s v="2025-07-05"/>
    <s v="1058188"/>
    <s v="SAIDUR RAHAMAN"/>
    <s v="9734115820"/>
  </r>
  <r>
    <s v="RCF Trombay"/>
    <s v="15-15-15"/>
    <s v="WB"/>
    <x v="8"/>
    <s v="Hemtabad"/>
    <s v="User Not Mapped"/>
    <s v="User Not Mapped"/>
    <s v="User Not Mapped"/>
    <n v="888179"/>
    <s v="SAMIR MAHAMAD"/>
    <s v="Private Retailer"/>
    <s v="8001893073"/>
    <n v="0.5"/>
    <n v="278"/>
    <x v="3"/>
    <m/>
    <s v="2025-07-23"/>
    <s v="1058188"/>
    <s v="SAIDUR RAHAMAN"/>
    <s v="9734115820"/>
  </r>
  <r>
    <s v="RCF Trombay"/>
    <s v="15-15-15"/>
    <s v="WB"/>
    <x v="8"/>
    <s v="Hemtabad"/>
    <s v="User Not Mapped"/>
    <s v="User Not Mapped"/>
    <s v="User Not Mapped"/>
    <n v="888185"/>
    <s v="JITENDRA NATH ROY"/>
    <s v="Private Retailer"/>
    <s v="9614331600"/>
    <n v="0.15"/>
    <n v="51"/>
    <x v="1"/>
    <m/>
    <s v="2026-03-07"/>
    <s v="651626"/>
    <s v="M/S RADHA KRISHNA SAR BHANDAR"/>
    <s v="9735437617"/>
  </r>
  <r>
    <s v="RCF Import"/>
    <s v="MOP"/>
    <s v="WB"/>
    <x v="8"/>
    <s v="Hemtabad"/>
    <s v="User Not Mapped"/>
    <s v="User Not Mapped"/>
    <s v="User Not Mapped"/>
    <n v="892277"/>
    <s v="M/S. CHOWDHURY FERTILIZER"/>
    <s v="Private Retailer"/>
    <s v="8900080201"/>
    <n v="0.25"/>
    <n v="520"/>
    <x v="6"/>
    <m/>
    <s v="2024-11-23"/>
    <s v="1132426"/>
    <s v="M/S KRISHI DISHA"/>
    <s v="6294430316"/>
  </r>
  <r>
    <s v="RCF Trombay"/>
    <s v="15-15-15"/>
    <s v="WB"/>
    <x v="8"/>
    <s v="Hemtabad"/>
    <s v="User Not Mapped"/>
    <s v="User Not Mapped"/>
    <s v="User Not Mapped"/>
    <n v="895792"/>
    <s v="B.S.K.U.S.L"/>
    <s v="Private Retailer"/>
    <s v="8348717512"/>
    <n v="1.1000000000000001"/>
    <n v="270"/>
    <x v="3"/>
    <m/>
    <s v="2025-07-31"/>
    <s v="342392"/>
    <s v="M/s. Kanailal Kedar Prasad"/>
    <s v="7407719515"/>
  </r>
  <r>
    <s v="RCF Import"/>
    <s v="MOP"/>
    <s v="WB"/>
    <x v="8"/>
    <s v="Hemtabad"/>
    <s v="User Not Mapped"/>
    <s v="User Not Mapped"/>
    <s v="User Not Mapped"/>
    <n v="924495"/>
    <s v="ABDUL KAFI"/>
    <s v="Private Retailer"/>
    <s v="7074664585"/>
    <n v="1.1499999999999999"/>
    <n v="539"/>
    <x v="6"/>
    <m/>
    <s v="2024-11-04"/>
    <s v="651626"/>
    <s v="M/S RADHA KRISHNA SAR BHANDAR"/>
    <s v="9735437617"/>
  </r>
  <r>
    <s v="RCF Trombay"/>
    <s v="15-15-15"/>
    <s v="WB"/>
    <x v="8"/>
    <s v="Hemtabad"/>
    <s v="User Not Mapped"/>
    <s v="User Not Mapped"/>
    <s v="User Not Mapped"/>
    <n v="1057335"/>
    <s v="HEM CHANDRA BHOWMIK"/>
    <s v="Private Retailer"/>
    <s v="9563756078"/>
    <n v="0.05"/>
    <n v="278"/>
    <x v="3"/>
    <m/>
    <s v="2025-07-23"/>
    <s v="1058188"/>
    <s v="SAIDUR RAHAMAN"/>
    <s v="9734115820"/>
  </r>
  <r>
    <s v="RCF Trombay"/>
    <s v="15-15-15"/>
    <s v="WB"/>
    <x v="8"/>
    <s v="Hemtabad"/>
    <s v="User Not Mapped"/>
    <s v="User Not Mapped"/>
    <s v="User Not Mapped"/>
    <n v="1368064"/>
    <s v="NAODA AGRICULTURE WELFARE SOCI"/>
    <s v="Private Retailer"/>
    <s v="7318762187"/>
    <n v="0.5"/>
    <n v="44"/>
    <x v="1"/>
    <m/>
    <s v="2026-03-14"/>
    <s v="1058188"/>
    <s v="SAIDUR RAHAMAN"/>
    <s v="9734115820"/>
  </r>
  <r>
    <s v="RCF Trombay"/>
    <s v="15-15-15"/>
    <s v="WB"/>
    <x v="8"/>
    <s v="Hemtabad"/>
    <s v="User Not Mapped"/>
    <s v="User Not Mapped"/>
    <s v="User Not Mapped"/>
    <n v="1400024"/>
    <s v="HOSSAIN FERTILIZER"/>
    <s v="Private Retailer"/>
    <s v="8918088027"/>
    <n v="0.1"/>
    <n v="39"/>
    <x v="1"/>
    <m/>
    <s v="2026-03-19"/>
    <s v="651626"/>
    <s v="M/S RADHA KRISHNA SAR BHANDAR"/>
    <s v="9735437617"/>
  </r>
  <r>
    <s v="RCF Trombay"/>
    <s v="15-15-15"/>
    <s v="WB"/>
    <x v="8"/>
    <s v="Hemtabad"/>
    <s v="User Not Mapped"/>
    <s v="User Not Mapped"/>
    <s v="User Not Mapped"/>
    <n v="1419879"/>
    <s v="ASRAFI BEEJ BHANDAR"/>
    <s v="Private Retailer"/>
    <s v="8348713582"/>
    <n v="5.5"/>
    <n v="126"/>
    <x v="0"/>
    <m/>
    <s v="2025-12-22"/>
    <s v="281226"/>
    <s v="Subuj Supply"/>
    <s v="7001971187"/>
  </r>
  <r>
    <s v="RCF Trombay"/>
    <s v="N.C.Urea(45kg)"/>
    <s v="WB"/>
    <x v="8"/>
    <s v="Hemtabad"/>
    <s v="User Not Mapped"/>
    <s v="User Not Mapped"/>
    <s v="User Not Mapped"/>
    <n v="1419879"/>
    <s v="ASRAFI BEEJ BHANDAR"/>
    <s v="Private Retailer"/>
    <s v="8348713582"/>
    <n v="0.36"/>
    <n v="131"/>
    <x v="0"/>
    <m/>
    <s v="2025-12-17"/>
    <s v="342392"/>
    <s v="M/s. Kanailal Kedar Prasad"/>
    <s v="7407719515"/>
  </r>
  <r>
    <s v="RCF Thal"/>
    <s v="N.C.Urea(45kg)"/>
    <s v="WB"/>
    <x v="8"/>
    <s v="Hemtabad"/>
    <s v="User Not Mapped"/>
    <s v="User Not Mapped"/>
    <s v="User Not Mapped"/>
    <n v="1419879"/>
    <s v="ASRAFI BEEJ BHANDAR"/>
    <s v="Private Retailer"/>
    <s v="8348713582"/>
    <n v="1.9350000000000001"/>
    <n v="94"/>
    <x v="5"/>
    <m/>
    <s v="2026-01-23"/>
    <s v="342392"/>
    <s v="M/s. Kanailal Kedar Prasad"/>
    <s v="7407719515"/>
  </r>
  <r>
    <s v="RCF Thal"/>
    <s v="N.C.Urea(45kg)"/>
    <s v="WB"/>
    <x v="8"/>
    <s v="Hemtabad"/>
    <s v="User Not Mapped"/>
    <s v="User Not Mapped"/>
    <s v="User Not Mapped"/>
    <n v="1419881"/>
    <s v="TARIKH FERTILIZER"/>
    <s v="Private Retailer"/>
    <s v="6294766982"/>
    <n v="2.5649999999999999"/>
    <n v="266"/>
    <x v="3"/>
    <m/>
    <s v="2025-08-04"/>
    <s v="342392"/>
    <s v="M/s. Kanailal Kedar Prasad"/>
    <s v="7407719515"/>
  </r>
  <r>
    <s v="RCF Trombay"/>
    <s v="N.C.Urea(45kg)"/>
    <s v="WB"/>
    <x v="8"/>
    <s v="Hemtabad"/>
    <s v="User Not Mapped"/>
    <s v="User Not Mapped"/>
    <s v="User Not Mapped"/>
    <n v="1462030"/>
    <s v="MOHAMMAD MUSA"/>
    <s v="Private Retailer"/>
    <s v="8906981089"/>
    <n v="0.27"/>
    <n v="171"/>
    <x v="0"/>
    <m/>
    <s v="2025-11-07"/>
    <s v="342392"/>
    <s v="M/s. Kanailal Kedar Prasad"/>
    <s v="7407719515"/>
  </r>
  <r>
    <s v="RCF Import"/>
    <s v="Imp 10-26-26"/>
    <s v="WB"/>
    <x v="8"/>
    <s v="Hemtabad"/>
    <s v="User Not Mapped"/>
    <s v="User Not Mapped"/>
    <s v="User Not Mapped"/>
    <n v="1483422"/>
    <s v="MD MIZANUR RAHAMAN"/>
    <s v="Private Retailer"/>
    <s v="8972604119"/>
    <n v="2.5"/>
    <n v="31"/>
    <x v="1"/>
    <m/>
    <s v="2026-03-27"/>
    <s v="1403333"/>
    <s v="M/S LAXMI FERTILIZER "/>
    <s v="9733431740"/>
  </r>
  <r>
    <s v="RCF Trombay"/>
    <s v="15-15-15"/>
    <s v="WB"/>
    <x v="8"/>
    <s v="Hemtabad"/>
    <s v="User Not Mapped"/>
    <s v="User Not Mapped"/>
    <s v="User Not Mapped"/>
    <n v="1502174"/>
    <s v="SUNRISE KRISHI BHANDAR"/>
    <s v="Private Retailer"/>
    <s v="9563971955"/>
    <n v="1.55"/>
    <n v="282"/>
    <x v="3"/>
    <m/>
    <s v="2025-07-19"/>
    <s v="281226"/>
    <s v="Subuj Supply"/>
    <s v="7001971187"/>
  </r>
  <r>
    <s v="RCF Thal"/>
    <s v="N.C.Urea(45kg)"/>
    <s v="WB"/>
    <x v="8"/>
    <s v="Hemtabad"/>
    <s v="User Not Mapped"/>
    <s v="User Not Mapped"/>
    <s v="User Not Mapped"/>
    <n v="1502174"/>
    <s v="SUNRISE KRISHI BHANDAR"/>
    <s v="Private Retailer"/>
    <s v="9563971955"/>
    <n v="4.9050000000000002"/>
    <n v="451"/>
    <x v="6"/>
    <m/>
    <s v="2025-01-31"/>
    <s v="342392"/>
    <s v="M/s. Kanailal Kedar Prasad"/>
    <s v="7407719515"/>
  </r>
  <r>
    <s v="RCF Trombay"/>
    <s v="N.C.Urea(45kg)"/>
    <s v="WB"/>
    <x v="8"/>
    <s v="Hemtabad"/>
    <s v="User Not Mapped"/>
    <s v="User Not Mapped"/>
    <s v="User Not Mapped"/>
    <n v="1502174"/>
    <s v="SUNRISE KRISHI BHANDAR"/>
    <s v="Private Retailer"/>
    <s v="9563971955"/>
    <n v="6.84"/>
    <n v="285"/>
    <x v="3"/>
    <m/>
    <s v="2025-07-16"/>
    <s v="342392"/>
    <s v="M/s. Kanailal Kedar Prasad"/>
    <s v="7407719515"/>
  </r>
  <r>
    <s v="RCF Import"/>
    <s v="Imp 10-26-26"/>
    <s v="WB"/>
    <x v="8"/>
    <s v="Hemtabad"/>
    <s v="User Not Mapped"/>
    <s v="User Not Mapped"/>
    <s v="User Not Mapped"/>
    <n v="1502174"/>
    <s v="SUNRISE KRISHI BHANDAR"/>
    <s v="Private Retailer"/>
    <s v="9563971955"/>
    <n v="0.8"/>
    <n v="500"/>
    <x v="6"/>
    <m/>
    <s v="2024-12-13"/>
    <s v="1084859"/>
    <s v="BISWAS FERTILIZER"/>
    <s v="9635905766"/>
  </r>
  <r>
    <s v="RCF Thal"/>
    <s v="N.C.Urea(45kg)"/>
    <s v="WB"/>
    <x v="8"/>
    <s v="Hemtabad"/>
    <s v="User Not Mapped"/>
    <s v="User Not Mapped"/>
    <s v="User Not Mapped"/>
    <n v="1502174"/>
    <s v="SUNRISE KRISHI BHANDAR"/>
    <s v="Private Retailer"/>
    <s v="9563971955"/>
    <n v="5.5350000000000001"/>
    <n v="264"/>
    <x v="3"/>
    <m/>
    <s v="2025-08-06"/>
    <s v="342392"/>
    <s v="M/s. Kanailal Kedar Prasad"/>
    <s v="7407719515"/>
  </r>
  <r>
    <s v="RCF Trombay"/>
    <s v="15-15-15"/>
    <s v="WB"/>
    <x v="8"/>
    <s v="Hemtabad"/>
    <s v="User Not Mapped"/>
    <s v="User Not Mapped"/>
    <s v="User Not Mapped"/>
    <n v="1562778"/>
    <s v="MIRA FERTILIZER PESTICIDES "/>
    <s v="Private Retailer"/>
    <s v="9641028528"/>
    <n v="0.25"/>
    <n v="280"/>
    <x v="3"/>
    <m/>
    <s v="2025-07-21"/>
    <s v="651626"/>
    <s v="M/S RADHA KRISHNA SAR BHANDAR"/>
    <s v="9735437617"/>
  </r>
  <r>
    <s v="RCF Trombay"/>
    <s v="15-15-15"/>
    <s v="WB"/>
    <x v="8"/>
    <s v="Islampur"/>
    <s v="User Not Mapped"/>
    <s v="User Not Mapped"/>
    <s v="User Not Mapped"/>
    <n v="233586"/>
    <s v="M/S RAMNARAYAN PRASAD GUPTA"/>
    <s v="Private Retailer"/>
    <s v="8900223459"/>
    <n v="0.25"/>
    <n v="1986"/>
    <x v="7"/>
    <m/>
    <s v="2020-11-18"/>
    <s v="1071594"/>
    <s v="BIJON BANERJEE"/>
    <s v="9609455194"/>
  </r>
  <r>
    <s v="RCF Trombay"/>
    <s v="15-15-15"/>
    <s v="WB"/>
    <x v="8"/>
    <s v="Islampur"/>
    <s v="User Not Mapped"/>
    <s v="User Not Mapped"/>
    <s v="User Not Mapped"/>
    <n v="355226"/>
    <s v="Litan Dey"/>
    <s v="Private Retailer"/>
    <s v="7001263275"/>
    <n v="0.25"/>
    <n v="69"/>
    <x v="2"/>
    <m/>
    <s v="2026-02-17"/>
    <s v="255006"/>
    <s v="M/S PAUL FERTILIZER"/>
    <s v="8617668649"/>
  </r>
  <r>
    <s v="RCF Trombay"/>
    <s v="15-15-15"/>
    <s v="WB"/>
    <x v="8"/>
    <s v="Islampur"/>
    <s v="User Not Mapped"/>
    <s v="User Not Mapped"/>
    <s v="User Not Mapped"/>
    <n v="356353"/>
    <s v="Sima Dutta (Das)"/>
    <s v="Private Retailer"/>
    <s v="9474435841"/>
    <n v="4.6500000000000004"/>
    <n v="81"/>
    <x v="2"/>
    <m/>
    <s v="2026-02-05"/>
    <s v="254617"/>
    <s v="M/s. R.K.Fertilizers"/>
    <s v="9932191695"/>
  </r>
  <r>
    <s v="RCF Trombay"/>
    <s v="15-15-15"/>
    <s v="WB"/>
    <x v="8"/>
    <s v="Islampur"/>
    <s v="User Not Mapped"/>
    <s v="User Not Mapped"/>
    <s v="User Not Mapped"/>
    <n v="389684"/>
    <s v="Bijon Banarjee"/>
    <s v="Private Retailer"/>
    <s v="9609455194"/>
    <n v="1.6"/>
    <n v="32"/>
    <x v="1"/>
    <m/>
    <s v="2026-03-26"/>
    <s v="1071594"/>
    <s v="BIJON BANERJEE"/>
    <s v="9609455194"/>
  </r>
  <r>
    <s v="RCF Trombay"/>
    <s v="N.C.Urea(45kg)"/>
    <s v="WB"/>
    <x v="8"/>
    <s v="Islampur"/>
    <s v="User Not Mapped"/>
    <s v="User Not Mapped"/>
    <s v="User Not Mapped"/>
    <n v="494357"/>
    <s v="TAFAZUL ALAM"/>
    <s v="Private Retailer"/>
    <s v="9733216759"/>
    <n v="11.025"/>
    <n v="131"/>
    <x v="0"/>
    <m/>
    <s v="2025-12-17"/>
    <s v="342392"/>
    <s v="M/s. Kanailal Kedar Prasad"/>
    <s v="7407719515"/>
  </r>
  <r>
    <s v="RCF Import"/>
    <s v="MOP"/>
    <s v="WB"/>
    <x v="8"/>
    <s v="Islampur"/>
    <s v="User Not Mapped"/>
    <s v="User Not Mapped"/>
    <s v="User Not Mapped"/>
    <n v="494357"/>
    <s v="TAFAZUL ALAM"/>
    <s v="Private Retailer"/>
    <s v="9733216759"/>
    <n v="4.25"/>
    <n v="572"/>
    <x v="7"/>
    <m/>
    <s v="2024-10-02"/>
    <s v="1265553"/>
    <s v="M/S TARA MAA BEEJ BHANDAR"/>
    <s v="8250390783"/>
  </r>
  <r>
    <s v="RCF Thal"/>
    <s v="N.C.Urea(45kg)"/>
    <s v="WB"/>
    <x v="8"/>
    <s v="Islampur"/>
    <s v="User Not Mapped"/>
    <s v="User Not Mapped"/>
    <s v="User Not Mapped"/>
    <n v="510720"/>
    <s v="Md. Nasim Ahamed"/>
    <s v="Private Retailer"/>
    <s v="9800503974"/>
    <n v="4.4999999999999998E-2"/>
    <n v="338"/>
    <x v="3"/>
    <m/>
    <s v="2025-05-24"/>
    <s v="254617"/>
    <s v="M/s. R.K.Fertilizers"/>
    <s v="9932191695"/>
  </r>
  <r>
    <s v="RCF Trombay"/>
    <s v="N.C.Urea(45kg)"/>
    <s v="WB"/>
    <x v="8"/>
    <s v="Islampur"/>
    <s v="User Not Mapped"/>
    <s v="User Not Mapped"/>
    <s v="User Not Mapped"/>
    <n v="608003"/>
    <s v="M/S GALIB HUSSAIN"/>
    <s v="Private Retailer"/>
    <s v="8348567596"/>
    <n v="0.72"/>
    <n v="72"/>
    <x v="2"/>
    <m/>
    <s v="2026-02-14"/>
    <s v="254617"/>
    <s v="M/s. R.K.Fertilizers"/>
    <s v="9932191695"/>
  </r>
  <r>
    <s v="RCF Thal"/>
    <s v="N.C.Urea(45kg)"/>
    <s v="WB"/>
    <x v="8"/>
    <s v="Islampur"/>
    <s v="User Not Mapped"/>
    <s v="User Not Mapped"/>
    <s v="User Not Mapped"/>
    <n v="620488"/>
    <s v="VIVEKANANDA SKUS LTD"/>
    <s v="PACS"/>
    <s v="9564411200"/>
    <n v="8.01"/>
    <n v="264"/>
    <x v="3"/>
    <m/>
    <s v="2025-08-06"/>
    <s v="342392"/>
    <s v="M/s. Kanailal Kedar Prasad"/>
    <s v="7407719515"/>
  </r>
  <r>
    <s v="RCF Trombay"/>
    <s v="15-15-15"/>
    <s v="WB"/>
    <x v="8"/>
    <s v="Islampur"/>
    <s v="User Not Mapped"/>
    <s v="User Not Mapped"/>
    <s v="User Not Mapped"/>
    <n v="632636"/>
    <s v="M/S S.P. ENTERPRISES"/>
    <s v="Private Retailer"/>
    <s v="7551830155"/>
    <n v="2"/>
    <n v="41"/>
    <x v="1"/>
    <m/>
    <s v="2026-03-17"/>
    <s v="254617"/>
    <s v="M/s. R.K.Fertilizers"/>
    <s v="9932191695"/>
  </r>
  <r>
    <s v="RCF Trombay"/>
    <s v="15-15-15"/>
    <s v="WB"/>
    <x v="8"/>
    <s v="Islampur"/>
    <s v="User Not Mapped"/>
    <s v="User Not Mapped"/>
    <s v="User Not Mapped"/>
    <n v="643481"/>
    <s v="M/S UJJAL DATTA"/>
    <s v="Private Retailer"/>
    <s v="8116759278"/>
    <n v="7.3"/>
    <n v="81"/>
    <x v="2"/>
    <m/>
    <s v="2026-02-05"/>
    <s v="254617"/>
    <s v="M/s. R.K.Fertilizers"/>
    <s v="9932191695"/>
  </r>
  <r>
    <s v="RCF Trombay"/>
    <s v="N.C.Urea(45kg)"/>
    <s v="WB"/>
    <x v="8"/>
    <s v="Islampur"/>
    <s v="User Not Mapped"/>
    <s v="User Not Mapped"/>
    <s v="User Not Mapped"/>
    <n v="823553"/>
    <s v="M/S BIMAL KUMAR BISWAS"/>
    <s v="Private Retailer"/>
    <s v="8637875668"/>
    <n v="4.4999999999999998E-2"/>
    <n v="1603"/>
    <x v="7"/>
    <m/>
    <s v="2021-12-06"/>
    <s v="893011"/>
    <s v="AKHIL KUMAR BHOWMICK"/>
    <s v="7277816377"/>
  </r>
  <r>
    <s v="RCF Import"/>
    <s v="MOP"/>
    <s v="WB"/>
    <x v="8"/>
    <s v="Islampur"/>
    <s v="User Not Mapped"/>
    <s v="User Not Mapped"/>
    <s v="User Not Mapped"/>
    <n v="914076"/>
    <s v="Dipak Fertilizer"/>
    <s v="Private Retailer"/>
    <s v="9851688355"/>
    <n v="9.75"/>
    <n v="450"/>
    <x v="6"/>
    <m/>
    <s v="2025-02-01"/>
    <s v="1265553"/>
    <s v="M/S TARA MAA BEEJ BHANDAR"/>
    <s v="8250390783"/>
  </r>
  <r>
    <s v="RCF Trombay"/>
    <s v="N.C.Urea(45kg)"/>
    <s v="WB"/>
    <x v="8"/>
    <s v="Islampur"/>
    <s v="User Not Mapped"/>
    <s v="User Not Mapped"/>
    <s v="User Not Mapped"/>
    <n v="1221638"/>
    <s v="M/S DITYA ENTERPRISE"/>
    <s v="Private Retailer"/>
    <s v="9932204040"/>
    <n v="0.67500000000000004"/>
    <n v="72"/>
    <x v="2"/>
    <m/>
    <s v="2026-02-14"/>
    <s v="254617"/>
    <s v="M/s. R.K.Fertilizers"/>
    <s v="9932191695"/>
  </r>
  <r>
    <s v="RCF Trombay"/>
    <s v="15-15-15"/>
    <s v="WB"/>
    <x v="8"/>
    <s v="Islampur"/>
    <s v="User Not Mapped"/>
    <s v="User Not Mapped"/>
    <s v="User Not Mapped"/>
    <n v="1327699"/>
    <s v="M/S AHAMAD RAJA "/>
    <s v="Private Retailer"/>
    <s v="8918052546"/>
    <n v="0.5"/>
    <n v="59"/>
    <x v="1"/>
    <m/>
    <s v="2026-02-27"/>
    <s v="385753"/>
    <s v="Binod Kumar Baheti"/>
    <s v="9800885611"/>
  </r>
  <r>
    <s v="RCF Trombay"/>
    <s v="15-15-15"/>
    <s v="WB"/>
    <x v="8"/>
    <s v="Islampur"/>
    <s v="User Not Mapped"/>
    <s v="User Not Mapped"/>
    <s v="User Not Mapped"/>
    <n v="1373060"/>
    <s v="M/S MOHAMMAD SHAMIM AKHTER"/>
    <s v="Private Retailer"/>
    <s v="6297896569"/>
    <n v="1"/>
    <n v="501"/>
    <x v="6"/>
    <m/>
    <s v="2024-12-12"/>
    <s v="897266"/>
    <s v="MD. AKHTAR HUSSAIN"/>
    <s v="7908153661"/>
  </r>
  <r>
    <s v="RCF Trombay"/>
    <s v="15-15-15"/>
    <s v="WB"/>
    <x v="8"/>
    <s v="Islampur"/>
    <s v="User Not Mapped"/>
    <s v="User Not Mapped"/>
    <s v="User Not Mapped"/>
    <n v="1457466"/>
    <s v="BASU ENTERPRISE"/>
    <s v="Private Retailer"/>
    <s v="9563050789"/>
    <n v="1.5"/>
    <n v="69"/>
    <x v="2"/>
    <m/>
    <s v="2026-02-17"/>
    <s v="255006"/>
    <s v="M/S PAUL FERTILIZER"/>
    <s v="8617668649"/>
  </r>
  <r>
    <s v="RCF Trombay"/>
    <s v="N.C.Urea(45kg)"/>
    <s v="WB"/>
    <x v="8"/>
    <s v="Islampur"/>
    <s v="User Not Mapped"/>
    <s v="User Not Mapped"/>
    <s v="User Not Mapped"/>
    <n v="1457484"/>
    <s v="M/S MANJUR ALAM"/>
    <s v="Private Retailer"/>
    <s v="9641290147"/>
    <n v="0.45"/>
    <n v="132"/>
    <x v="0"/>
    <m/>
    <s v="2025-12-16"/>
    <s v="342392"/>
    <s v="M/s. Kanailal Kedar Prasad"/>
    <s v="7407719515"/>
  </r>
  <r>
    <s v="RCF Trombay"/>
    <s v="N.C.Urea(45kg)"/>
    <s v="WB"/>
    <x v="8"/>
    <s v="Itahar"/>
    <s v="User Not Mapped"/>
    <s v="User Not Mapped"/>
    <s v="User Not Mapped"/>
    <n v="233502"/>
    <s v="Afijuddin Ahamed"/>
    <s v="Private Retailer"/>
    <s v="6297251857"/>
    <n v="11.025"/>
    <n v="4"/>
    <x v="4"/>
    <m/>
    <s v="2026-04-23"/>
    <s v="342392"/>
    <s v="M/s. Kanailal Kedar Prasad"/>
    <s v="7407719515"/>
  </r>
  <r>
    <s v="RCF Thal"/>
    <s v="N.C.Urea(45kg)"/>
    <s v="WB"/>
    <x v="8"/>
    <s v="Itahar"/>
    <s v="User Not Mapped"/>
    <s v="User Not Mapped"/>
    <s v="User Not Mapped"/>
    <n v="233520"/>
    <s v="M/S KARUNA SAR BHANDAR"/>
    <s v="Private Retailer"/>
    <s v="9733011308"/>
    <n v="11.025"/>
    <n v="49"/>
    <x v="1"/>
    <m/>
    <s v="2026-03-09"/>
    <s v="342392"/>
    <s v="M/s. Kanailal Kedar Prasad"/>
    <s v="7407719515"/>
  </r>
  <r>
    <s v="RCF Thal"/>
    <s v="N.C.Urea(45kg)"/>
    <s v="WB"/>
    <x v="8"/>
    <s v="Itahar"/>
    <s v="User Not Mapped"/>
    <s v="User Not Mapped"/>
    <s v="User Not Mapped"/>
    <n v="233520"/>
    <s v="M/S KARUNA SAR BHANDAR"/>
    <s v="Private Retailer"/>
    <s v="9733011308"/>
    <n v="21.69"/>
    <n v="155"/>
    <x v="0"/>
    <m/>
    <s v="2025-11-23"/>
    <s v="342392"/>
    <s v="M/s. Kanailal Kedar Prasad"/>
    <s v="7407719515"/>
  </r>
  <r>
    <s v="RCF Trombay"/>
    <s v="15-15-15"/>
    <s v="WB"/>
    <x v="8"/>
    <s v="Itahar"/>
    <s v="User Not Mapped"/>
    <s v="User Not Mapped"/>
    <s v="User Not Mapped"/>
    <n v="233526"/>
    <s v="Faijul Khan"/>
    <s v="Private Retailer"/>
    <s v="9593301618"/>
    <n v="0.81499999999999995"/>
    <n v="184"/>
    <x v="3"/>
    <m/>
    <s v="2025-10-25"/>
    <s v="1084859"/>
    <s v="BISWAS FERTILIZER"/>
    <s v="9635905766"/>
  </r>
  <r>
    <s v="RCF Trombay"/>
    <s v="15-15-15"/>
    <s v="WB"/>
    <x v="8"/>
    <s v="Itahar"/>
    <s v="User Not Mapped"/>
    <s v="User Not Mapped"/>
    <s v="User Not Mapped"/>
    <n v="233533"/>
    <s v="Haradhan Paul"/>
    <s v="Private Retailer"/>
    <s v="9002462875"/>
    <n v="5"/>
    <n v="75"/>
    <x v="2"/>
    <m/>
    <s v="2026-02-11"/>
    <s v="1084859"/>
    <s v="BISWAS FERTILIZER"/>
    <s v="9635905766"/>
  </r>
  <r>
    <s v="RCF Trombay"/>
    <s v="15-15-15"/>
    <s v="WB"/>
    <x v="8"/>
    <s v="Itahar"/>
    <s v="User Not Mapped"/>
    <s v="User Not Mapped"/>
    <s v="User Not Mapped"/>
    <n v="233537"/>
    <s v="ISMAIL HOQUE"/>
    <s v="Private Retailer"/>
    <s v="9474099134"/>
    <n v="3.25"/>
    <n v="12"/>
    <x v="4"/>
    <m/>
    <s v="2026-04-15"/>
    <s v="1086016"/>
    <s v="T. HOSSAIN &amp; SONS"/>
    <s v="9242592770"/>
  </r>
  <r>
    <s v="RCF Thal"/>
    <s v="N.C.Urea(45kg)"/>
    <s v="WB"/>
    <x v="8"/>
    <s v="Itahar"/>
    <s v="User Not Mapped"/>
    <s v="User Not Mapped"/>
    <s v="User Not Mapped"/>
    <n v="233553"/>
    <s v="MD ABDUR RASHID"/>
    <s v="Private Retailer"/>
    <s v="8972815784"/>
    <n v="4.2750000000000004"/>
    <n v="95"/>
    <x v="5"/>
    <m/>
    <s v="2026-01-22"/>
    <s v="342392"/>
    <s v="M/s. Kanailal Kedar Prasad"/>
    <s v="7407719515"/>
  </r>
  <r>
    <s v="RCF Import"/>
    <s v="MOP"/>
    <s v="WB"/>
    <x v="8"/>
    <s v="Itahar"/>
    <s v="User Not Mapped"/>
    <s v="User Not Mapped"/>
    <s v="User Not Mapped"/>
    <n v="233557"/>
    <s v="M/S SAHIL AZAD FARTILIZER SHOP"/>
    <s v="Private Retailer"/>
    <s v="8927726054"/>
    <n v="2"/>
    <n v="215"/>
    <x v="3"/>
    <m/>
    <s v="2025-09-24"/>
    <s v="281210"/>
    <s v="Monsur Alam Azad"/>
    <s v="8927726054"/>
  </r>
  <r>
    <s v="RCF Thal"/>
    <s v="N.C.Urea(45kg)"/>
    <s v="WB"/>
    <x v="8"/>
    <s v="Itahar"/>
    <s v="User Not Mapped"/>
    <s v="User Not Mapped"/>
    <s v="User Not Mapped"/>
    <n v="233557"/>
    <s v="M/S SAHIL AZAD FARTILIZER SHOP"/>
    <s v="Private Retailer"/>
    <s v="8927726054"/>
    <n v="10.574999999999999"/>
    <n v="94"/>
    <x v="5"/>
    <m/>
    <s v="2026-01-23"/>
    <s v="342392"/>
    <s v="M/s. Kanailal Kedar Prasad"/>
    <s v="7407719515"/>
  </r>
  <r>
    <s v="RCF Import"/>
    <s v="MOP"/>
    <s v="WB"/>
    <x v="8"/>
    <s v="Itahar"/>
    <s v="User Not Mapped"/>
    <s v="User Not Mapped"/>
    <s v="User Not Mapped"/>
    <n v="233557"/>
    <s v="M/S SAHIL AZAD FARTILIZER SHOP"/>
    <s v="Private Retailer"/>
    <s v="8927726054"/>
    <n v="2"/>
    <n v="186"/>
    <x v="3"/>
    <m/>
    <s v="2025-10-23"/>
    <s v="281210"/>
    <s v="Monsur Alam Azad"/>
    <s v="8927726054"/>
  </r>
  <r>
    <s v="RCF Thal"/>
    <s v="N.C.Urea(45kg)"/>
    <s v="WB"/>
    <x v="8"/>
    <s v="Itahar"/>
    <s v="User Not Mapped"/>
    <s v="User Not Mapped"/>
    <s v="User Not Mapped"/>
    <n v="291305"/>
    <s v="MUKTA DAS"/>
    <s v="Private Retailer"/>
    <s v="9614659657"/>
    <n v="0.72"/>
    <n v="49"/>
    <x v="1"/>
    <m/>
    <s v="2026-03-09"/>
    <s v="342392"/>
    <s v="M/s. Kanailal Kedar Prasad"/>
    <s v="7407719515"/>
  </r>
  <r>
    <s v="RCF Thal"/>
    <s v="N.C.Urea(45kg)"/>
    <s v="WB"/>
    <x v="8"/>
    <s v="Itahar"/>
    <s v="User Not Mapped"/>
    <s v="User Not Mapped"/>
    <s v="User Not Mapped"/>
    <n v="342435"/>
    <s v="Talebur Rahaman"/>
    <s v="Private Retailer"/>
    <s v="7001896119"/>
    <n v="5.5350000000000001"/>
    <n v="49"/>
    <x v="1"/>
    <m/>
    <s v="2026-03-09"/>
    <s v="342392"/>
    <s v="M/s. Kanailal Kedar Prasad"/>
    <s v="7407719515"/>
  </r>
  <r>
    <s v="RCF Thal"/>
    <s v="N.C.Urea(45kg)"/>
    <s v="WB"/>
    <x v="8"/>
    <s v="Itahar"/>
    <s v="User Not Mapped"/>
    <s v="User Not Mapped"/>
    <s v="User Not Mapped"/>
    <n v="342435"/>
    <s v="Talebur Rahaman"/>
    <s v="Private Retailer"/>
    <s v="7001896119"/>
    <n v="6.6150000000000002"/>
    <n v="228"/>
    <x v="3"/>
    <m/>
    <s v="2025-09-11"/>
    <s v="342392"/>
    <s v="M/s. Kanailal Kedar Prasad"/>
    <s v="7407719515"/>
  </r>
  <r>
    <s v="RCF Trombay"/>
    <s v="15-15-15"/>
    <s v="WB"/>
    <x v="8"/>
    <s v="Itahar"/>
    <s v="User Not Mapped"/>
    <s v="User Not Mapped"/>
    <s v="User Not Mapped"/>
    <n v="342435"/>
    <s v="Talebur Rahaman"/>
    <s v="Private Retailer"/>
    <s v="7001896119"/>
    <n v="4.75"/>
    <n v="75"/>
    <x v="2"/>
    <m/>
    <s v="2026-02-11"/>
    <s v="1084859"/>
    <s v="BISWAS FERTILIZER"/>
    <s v="9635905766"/>
  </r>
  <r>
    <s v="RCF Thal"/>
    <s v="N.C.Urea(45kg)"/>
    <s v="WB"/>
    <x v="8"/>
    <s v="Itahar"/>
    <s v="User Not Mapped"/>
    <s v="User Not Mapped"/>
    <s v="User Not Mapped"/>
    <n v="383979"/>
    <s v="Anil Mondal"/>
    <s v="Private Retailer"/>
    <s v="9609955256"/>
    <n v="4.32"/>
    <n v="49"/>
    <x v="1"/>
    <m/>
    <s v="2026-03-09"/>
    <s v="342392"/>
    <s v="M/s. Kanailal Kedar Prasad"/>
    <s v="7407719515"/>
  </r>
  <r>
    <s v="RCF Trombay"/>
    <s v="15-15-15"/>
    <s v="WB"/>
    <x v="8"/>
    <s v="Itahar"/>
    <s v="User Not Mapped"/>
    <s v="User Not Mapped"/>
    <s v="User Not Mapped"/>
    <n v="389840"/>
    <s v="Durgapur Skus Ltd"/>
    <s v="PACS"/>
    <s v="8293160700"/>
    <n v="0.3"/>
    <n v="1376"/>
    <x v="7"/>
    <m/>
    <s v="2022-07-21"/>
    <s v="1084859"/>
    <s v="BISWAS FERTILIZER"/>
    <s v="9635905766"/>
  </r>
  <r>
    <s v="RCF Thal"/>
    <s v="N.C.Urea(45kg)"/>
    <s v="WB"/>
    <x v="8"/>
    <s v="Itahar"/>
    <s v="User Not Mapped"/>
    <s v="User Not Mapped"/>
    <s v="User Not Mapped"/>
    <n v="389840"/>
    <s v="Durgapur Skus Ltd"/>
    <s v="PACS"/>
    <s v="8293160700"/>
    <n v="0.315"/>
    <n v="1611"/>
    <x v="7"/>
    <m/>
    <s v="2021-11-28"/>
    <s v="1161963"/>
    <s v="M/S PANDEY AND SONS"/>
    <s v="9614822447"/>
  </r>
  <r>
    <s v="RCF Thal"/>
    <s v="N.C.Urea(45kg)"/>
    <s v="WB"/>
    <x v="8"/>
    <s v="Itahar"/>
    <s v="User Not Mapped"/>
    <s v="User Not Mapped"/>
    <s v="User Not Mapped"/>
    <n v="457478"/>
    <s v="Pradyut Biswas"/>
    <s v="Private Retailer"/>
    <s v="7063862881"/>
    <n v="1.9350000000000001"/>
    <n v="394"/>
    <x v="6"/>
    <m/>
    <s v="2025-03-29"/>
    <s v="342392"/>
    <s v="M/s. Kanailal Kedar Prasad"/>
    <s v="7407719515"/>
  </r>
  <r>
    <s v="RCF Import"/>
    <s v="MOP"/>
    <s v="WB"/>
    <x v="8"/>
    <s v="Itahar"/>
    <s v="User Not Mapped"/>
    <s v="User Not Mapped"/>
    <s v="User Not Mapped"/>
    <n v="457478"/>
    <s v="Pradyut Biswas"/>
    <s v="Private Retailer"/>
    <s v="7063862881"/>
    <n v="5.5"/>
    <n v="505"/>
    <x v="6"/>
    <m/>
    <s v="2024-12-08"/>
    <s v="1086899"/>
    <s v="BANKIM CHANDRA MANDAL"/>
    <s v="7001573946"/>
  </r>
  <r>
    <s v="RCF Import"/>
    <s v="Imp 10-26-26"/>
    <s v="WB"/>
    <x v="8"/>
    <s v="Itahar"/>
    <s v="User Not Mapped"/>
    <s v="User Not Mapped"/>
    <s v="User Not Mapped"/>
    <n v="457478"/>
    <s v="Pradyut Biswas"/>
    <s v="Private Retailer"/>
    <s v="7063862881"/>
    <n v="5"/>
    <n v="510"/>
    <x v="6"/>
    <m/>
    <s v="2024-12-03"/>
    <s v="1086899"/>
    <s v="BANKIM CHANDRA MANDAL"/>
    <s v="7001573946"/>
  </r>
  <r>
    <s v="RCF Thal"/>
    <s v="N.C.Urea(45kg)"/>
    <s v="WB"/>
    <x v="8"/>
    <s v="Itahar"/>
    <s v="User Not Mapped"/>
    <s v="User Not Mapped"/>
    <s v="User Not Mapped"/>
    <n v="457478"/>
    <s v="Pradyut Biswas"/>
    <s v="Private Retailer"/>
    <s v="7063862881"/>
    <n v="11.025"/>
    <n v="49"/>
    <x v="1"/>
    <m/>
    <s v="2026-03-09"/>
    <s v="342392"/>
    <s v="M/s. Kanailal Kedar Prasad"/>
    <s v="7407719515"/>
  </r>
  <r>
    <s v="RCF Thal"/>
    <s v="N.C.Urea(45kg)"/>
    <s v="WB"/>
    <x v="8"/>
    <s v="Itahar"/>
    <s v="User Not Mapped"/>
    <s v="User Not Mapped"/>
    <s v="User Not Mapped"/>
    <n v="457478"/>
    <s v="Pradyut Biswas"/>
    <s v="Private Retailer"/>
    <s v="7063862881"/>
    <n v="5.4"/>
    <n v="155"/>
    <x v="0"/>
    <m/>
    <s v="2025-11-23"/>
    <s v="342392"/>
    <s v="M/s. Kanailal Kedar Prasad"/>
    <s v="7407719515"/>
  </r>
  <r>
    <s v="RCF Import"/>
    <s v="Imp 10-26-26"/>
    <s v="WB"/>
    <x v="8"/>
    <s v="Itahar"/>
    <s v="User Not Mapped"/>
    <s v="User Not Mapped"/>
    <s v="User Not Mapped"/>
    <n v="457478"/>
    <s v="Pradyut Biswas"/>
    <s v="Private Retailer"/>
    <s v="7063862881"/>
    <n v="3.95"/>
    <n v="512"/>
    <x v="6"/>
    <m/>
    <s v="2024-12-01"/>
    <s v="342392"/>
    <s v="M/s. Kanailal Kedar Prasad"/>
    <s v="7407719515"/>
  </r>
  <r>
    <s v="RCF Thal"/>
    <s v="N.C.Urea(45kg)"/>
    <s v="WB"/>
    <x v="8"/>
    <s v="Itahar"/>
    <s v="User Not Mapped"/>
    <s v="User Not Mapped"/>
    <s v="User Not Mapped"/>
    <n v="457478"/>
    <s v="Pradyut Biswas"/>
    <s v="Private Retailer"/>
    <s v="7063862881"/>
    <n v="7.4249999999999998"/>
    <n v="266"/>
    <x v="3"/>
    <m/>
    <s v="2025-08-04"/>
    <s v="342392"/>
    <s v="M/s. Kanailal Kedar Prasad"/>
    <s v="7407719515"/>
  </r>
  <r>
    <s v="RCF Thal"/>
    <s v="N.C.Urea(45kg)"/>
    <s v="WB"/>
    <x v="8"/>
    <s v="Itahar"/>
    <s v="User Not Mapped"/>
    <s v="User Not Mapped"/>
    <s v="User Not Mapped"/>
    <n v="457478"/>
    <s v="Pradyut Biswas"/>
    <s v="Private Retailer"/>
    <s v="7063862881"/>
    <n v="5.625"/>
    <n v="338"/>
    <x v="3"/>
    <m/>
    <s v="2025-05-24"/>
    <s v="342392"/>
    <s v="M/s. Kanailal Kedar Prasad"/>
    <s v="7407719515"/>
  </r>
  <r>
    <s v="RCF Trombay"/>
    <s v="15-15-15"/>
    <s v="WB"/>
    <x v="8"/>
    <s v="Itahar"/>
    <s v="User Not Mapped"/>
    <s v="User Not Mapped"/>
    <s v="User Not Mapped"/>
    <n v="457535"/>
    <s v="SHIB SANKAR SAHA"/>
    <s v="Private Retailer"/>
    <s v="9733314684"/>
    <n v="0.04"/>
    <n v="159"/>
    <x v="0"/>
    <m/>
    <s v="2025-11-19"/>
    <s v="1606985"/>
    <s v="M/S KRISHI GHAR"/>
    <s v="7001196936"/>
  </r>
  <r>
    <s v="RCF Trombay"/>
    <s v="15-15-15"/>
    <s v="WB"/>
    <x v="8"/>
    <s v="Itahar"/>
    <s v="User Not Mapped"/>
    <s v="User Not Mapped"/>
    <s v="User Not Mapped"/>
    <n v="457537"/>
    <s v="Romijuddin Ahammed"/>
    <s v="Private Retailer"/>
    <s v="7029120163"/>
    <n v="1"/>
    <n v="16"/>
    <x v="4"/>
    <m/>
    <s v="2026-04-11"/>
    <s v="1084859"/>
    <s v="BISWAS FERTILIZER"/>
    <s v="9635905766"/>
  </r>
  <r>
    <s v="RCF Trombay"/>
    <s v="N.C.Urea(45kg)"/>
    <s v="WB"/>
    <x v="8"/>
    <s v="Itahar"/>
    <s v="User Not Mapped"/>
    <s v="User Not Mapped"/>
    <s v="User Not Mapped"/>
    <n v="494665"/>
    <s v="Ful Mahammed"/>
    <s v="Private Retailer"/>
    <s v="9593229030"/>
    <n v="0.01"/>
    <n v="1234"/>
    <x v="7"/>
    <m/>
    <s v="2022-12-10"/>
    <s v="1088936"/>
    <s v="KARUNA SAR BHANDER"/>
    <s v="9851734399"/>
  </r>
  <r>
    <s v="RCF Thal"/>
    <s v="N.C.Urea(45kg)"/>
    <s v="WB"/>
    <x v="8"/>
    <s v="Itahar"/>
    <s v="User Not Mapped"/>
    <s v="User Not Mapped"/>
    <s v="User Not Mapped"/>
    <n v="533478"/>
    <s v="Anjali Ghosh"/>
    <s v="Private Retailer"/>
    <s v="9933177383"/>
    <n v="3.15"/>
    <n v="133"/>
    <x v="0"/>
    <m/>
    <s v="2025-12-15"/>
    <s v="342392"/>
    <s v="M/s. Kanailal Kedar Prasad"/>
    <s v="7407719515"/>
  </r>
  <r>
    <s v="RCF Thal"/>
    <s v="N.C.Urea(45kg)"/>
    <s v="WB"/>
    <x v="8"/>
    <s v="Itahar"/>
    <s v="User Not Mapped"/>
    <s v="User Not Mapped"/>
    <s v="User Not Mapped"/>
    <n v="624001"/>
    <s v="M/S NIKHIL MAHALDAR"/>
    <s v="Private Retailer"/>
    <s v="8967643865"/>
    <n v="4.68"/>
    <n v="266"/>
    <x v="3"/>
    <m/>
    <s v="2025-08-04"/>
    <s v="342392"/>
    <s v="M/s. Kanailal Kedar Prasad"/>
    <s v="7407719515"/>
  </r>
  <r>
    <s v="RCF Thal"/>
    <s v="N.C.Urea(45kg)"/>
    <s v="WB"/>
    <x v="8"/>
    <s v="Itahar"/>
    <s v="User Not Mapped"/>
    <s v="User Not Mapped"/>
    <s v="User Not Mapped"/>
    <n v="624647"/>
    <s v="SISHIR KUMAR SARKAR"/>
    <s v="Private Retailer"/>
    <s v="9932361287"/>
    <n v="3.5550000000000002"/>
    <n v="49"/>
    <x v="1"/>
    <m/>
    <s v="2026-03-09"/>
    <s v="342392"/>
    <s v="M/s. Kanailal Kedar Prasad"/>
    <s v="7407719515"/>
  </r>
  <r>
    <s v="RCF Trombay"/>
    <s v="N.C.Urea(45kg)"/>
    <s v="WB"/>
    <x v="8"/>
    <s v="Itahar"/>
    <s v="User Not Mapped"/>
    <s v="User Not Mapped"/>
    <s v="User Not Mapped"/>
    <n v="624647"/>
    <s v="SISHIR KUMAR SARKAR"/>
    <s v="Private Retailer"/>
    <s v="9932361287"/>
    <n v="0.40500000000000003"/>
    <n v="369"/>
    <x v="6"/>
    <m/>
    <s v="2025-04-23"/>
    <s v="342392"/>
    <s v="M/s. Kanailal Kedar Prasad"/>
    <s v="7407719515"/>
  </r>
  <r>
    <s v="RCF Trombay"/>
    <s v="15-15-15"/>
    <s v="WB"/>
    <x v="8"/>
    <s v="Itahar"/>
    <s v="User Not Mapped"/>
    <s v="User Not Mapped"/>
    <s v="User Not Mapped"/>
    <n v="633232"/>
    <s v="AMINUL ISLAM"/>
    <s v="Private Retailer"/>
    <s v="9851422972"/>
    <n v="2"/>
    <n v="177"/>
    <x v="0"/>
    <m/>
    <s v="2025-11-01"/>
    <s v="1086016"/>
    <s v="T. HOSSAIN &amp; SONS"/>
    <s v="9242592770"/>
  </r>
  <r>
    <s v="RCF Trombay"/>
    <s v="N.C.Urea(45kg)"/>
    <s v="WB"/>
    <x v="8"/>
    <s v="Itahar"/>
    <s v="User Not Mapped"/>
    <s v="User Not Mapped"/>
    <s v="User Not Mapped"/>
    <n v="633238"/>
    <s v="ASGAR ALI"/>
    <s v="Private Retailer"/>
    <s v="9932478466"/>
    <n v="1.3049999999999999"/>
    <n v="285"/>
    <x v="3"/>
    <m/>
    <s v="2025-07-16"/>
    <s v="342392"/>
    <s v="M/s. Kanailal Kedar Prasad"/>
    <s v="7407719515"/>
  </r>
  <r>
    <s v="RCF Trombay"/>
    <s v="15-15-15"/>
    <s v="WB"/>
    <x v="8"/>
    <s v="Itahar"/>
    <s v="User Not Mapped"/>
    <s v="User Not Mapped"/>
    <s v="User Not Mapped"/>
    <n v="633238"/>
    <s v="ASGAR ALI"/>
    <s v="Private Retailer"/>
    <s v="9932478466"/>
    <n v="2"/>
    <n v="165"/>
    <x v="0"/>
    <m/>
    <s v="2025-11-13"/>
    <s v="1086016"/>
    <s v="T. HOSSAIN &amp; SONS"/>
    <s v="9242592770"/>
  </r>
  <r>
    <s v="RCF Trombay"/>
    <s v="15-15-15"/>
    <s v="WB"/>
    <x v="8"/>
    <s v="Itahar"/>
    <s v="User Not Mapped"/>
    <s v="User Not Mapped"/>
    <s v="User Not Mapped"/>
    <n v="633238"/>
    <s v="ASGAR ALI"/>
    <s v="Private Retailer"/>
    <s v="9932478466"/>
    <n v="2"/>
    <n v="175"/>
    <x v="0"/>
    <m/>
    <s v="2025-11-03"/>
    <s v="1086016"/>
    <s v="T. HOSSAIN &amp; SONS"/>
    <s v="9242592770"/>
  </r>
  <r>
    <s v="RCF Trombay"/>
    <s v="15-15-15"/>
    <s v="WB"/>
    <x v="8"/>
    <s v="Itahar"/>
    <s v="User Not Mapped"/>
    <s v="User Not Mapped"/>
    <s v="User Not Mapped"/>
    <n v="633238"/>
    <s v="ASGAR ALI"/>
    <s v="Private Retailer"/>
    <s v="9932478466"/>
    <n v="0.45"/>
    <n v="270"/>
    <x v="3"/>
    <m/>
    <s v="2025-07-31"/>
    <s v="1086016"/>
    <s v="T. HOSSAIN &amp; SONS"/>
    <s v="9242592770"/>
  </r>
  <r>
    <s v="RCF Trombay"/>
    <s v="15-15-15"/>
    <s v="WB"/>
    <x v="8"/>
    <s v="Itahar"/>
    <s v="User Not Mapped"/>
    <s v="User Not Mapped"/>
    <s v="User Not Mapped"/>
    <n v="633238"/>
    <s v="ASGAR ALI"/>
    <s v="Private Retailer"/>
    <s v="9932478466"/>
    <n v="1"/>
    <n v="13"/>
    <x v="4"/>
    <m/>
    <s v="2026-04-14"/>
    <s v="1086016"/>
    <s v="T. HOSSAIN &amp; SONS"/>
    <s v="9242592770"/>
  </r>
  <r>
    <s v="RCF Trombay"/>
    <s v="15-15-15"/>
    <s v="WB"/>
    <x v="8"/>
    <s v="Itahar"/>
    <s v="User Not Mapped"/>
    <s v="User Not Mapped"/>
    <s v="User Not Mapped"/>
    <n v="640009"/>
    <s v="MINTU CHANDRA DAS"/>
    <s v="Private Retailer"/>
    <s v="9547423157"/>
    <n v="0.8"/>
    <n v="12"/>
    <x v="4"/>
    <m/>
    <s v="2026-04-15"/>
    <s v="1086016"/>
    <s v="T. HOSSAIN &amp; SONS"/>
    <s v="9242592770"/>
  </r>
  <r>
    <s v="RCF Trombay"/>
    <s v="15-15-15"/>
    <s v="WB"/>
    <x v="8"/>
    <s v="Itahar"/>
    <s v="User Not Mapped"/>
    <s v="User Not Mapped"/>
    <s v="User Not Mapped"/>
    <n v="640071"/>
    <s v="M/S FAJILUDDIN AHAMMAD"/>
    <s v="Private Retailer"/>
    <s v="7797841011"/>
    <n v="1.5"/>
    <n v="67"/>
    <x v="2"/>
    <m/>
    <s v="2026-02-19"/>
    <s v="1086016"/>
    <s v="T. HOSSAIN &amp; SONS"/>
    <s v="9242592770"/>
  </r>
  <r>
    <s v="RCF Thal"/>
    <s v="N.C.Urea(45kg)"/>
    <s v="WB"/>
    <x v="8"/>
    <s v="Itahar"/>
    <s v="User Not Mapped"/>
    <s v="User Not Mapped"/>
    <s v="User Not Mapped"/>
    <n v="758578"/>
    <s v="SERAJUL ISLAM"/>
    <s v="Private Retailer"/>
    <s v="6294731529"/>
    <n v="0.09"/>
    <n v="155"/>
    <x v="0"/>
    <m/>
    <s v="2025-11-23"/>
    <s v="342392"/>
    <s v="M/s. Kanailal Kedar Prasad"/>
    <s v="7407719515"/>
  </r>
  <r>
    <s v="RCF Import"/>
    <s v="Imp 10-26-26"/>
    <s v="WB"/>
    <x v="8"/>
    <s v="Itahar"/>
    <s v="User Not Mapped"/>
    <s v="User Not Mapped"/>
    <s v="User Not Mapped"/>
    <n v="758578"/>
    <s v="SERAJUL ISLAM"/>
    <s v="Private Retailer"/>
    <s v="6294731529"/>
    <n v="7"/>
    <n v="70"/>
    <x v="2"/>
    <m/>
    <s v="2026-02-16"/>
    <s v="1086899"/>
    <s v="BANKIM CHANDRA MANDAL"/>
    <s v="7001573946"/>
  </r>
  <r>
    <s v="RCF Trombay"/>
    <s v="15-15-15"/>
    <s v="WB"/>
    <x v="8"/>
    <s v="Itahar"/>
    <s v="User Not Mapped"/>
    <s v="User Not Mapped"/>
    <s v="User Not Mapped"/>
    <n v="768078"/>
    <s v="M/S. CHANDAN KR DEBNATH"/>
    <s v="Private Retailer"/>
    <s v="9851443208"/>
    <n v="0.5"/>
    <n v="44"/>
    <x v="1"/>
    <m/>
    <s v="2026-03-14"/>
    <s v="1086016"/>
    <s v="T. HOSSAIN &amp; SONS"/>
    <s v="9242592770"/>
  </r>
  <r>
    <s v="RCF Thal"/>
    <s v="N.C.Urea(45kg)"/>
    <s v="WB"/>
    <x v="8"/>
    <s v="Itahar"/>
    <s v="User Not Mapped"/>
    <s v="User Not Mapped"/>
    <s v="User Not Mapped"/>
    <n v="768078"/>
    <s v="M/S. CHANDAN KR DEBNATH"/>
    <s v="Private Retailer"/>
    <s v="9851443208"/>
    <n v="3.15"/>
    <n v="49"/>
    <x v="1"/>
    <m/>
    <s v="2026-03-09"/>
    <s v="342392"/>
    <s v="M/s. Kanailal Kedar Prasad"/>
    <s v="7407719515"/>
  </r>
  <r>
    <s v="RCF Trombay"/>
    <s v="15-15-15"/>
    <s v="WB"/>
    <x v="8"/>
    <s v="Itahar"/>
    <s v="User Not Mapped"/>
    <s v="User Not Mapped"/>
    <s v="User Not Mapped"/>
    <n v="859211"/>
    <s v="HABIBUR RAHAMAN"/>
    <s v="Private Retailer"/>
    <s v="8348441507"/>
    <n v="0.25"/>
    <n v="194"/>
    <x v="3"/>
    <m/>
    <s v="2025-10-15"/>
    <s v="1084859"/>
    <s v="BISWAS FERTILIZER"/>
    <s v="9635905766"/>
  </r>
  <r>
    <s v="RCF Thal"/>
    <s v="N.C.Urea(45kg)"/>
    <s v="WB"/>
    <x v="8"/>
    <s v="Itahar"/>
    <s v="User Not Mapped"/>
    <s v="User Not Mapped"/>
    <s v="User Not Mapped"/>
    <n v="860869"/>
    <s v="M/S. KISHAN SATHI"/>
    <s v="Private Retailer"/>
    <s v="9734344410"/>
    <n v="0.9"/>
    <n v="49"/>
    <x v="1"/>
    <m/>
    <s v="2026-03-09"/>
    <s v="342392"/>
    <s v="M/s. Kanailal Kedar Prasad"/>
    <s v="7407719515"/>
  </r>
  <r>
    <s v="RCF Trombay"/>
    <s v="15-15-15"/>
    <s v="WB"/>
    <x v="8"/>
    <s v="Itahar"/>
    <s v="User Not Mapped"/>
    <s v="User Not Mapped"/>
    <s v="User Not Mapped"/>
    <n v="860869"/>
    <s v="M/S. KISHAN SATHI"/>
    <s v="Private Retailer"/>
    <s v="9734344410"/>
    <n v="5.4"/>
    <n v="136"/>
    <x v="0"/>
    <m/>
    <s v="2025-12-12"/>
    <s v="1086899"/>
    <s v="BANKIM CHANDRA MANDAL"/>
    <s v="7001573946"/>
  </r>
  <r>
    <s v="RCF Thal"/>
    <s v="N.C.Urea(45kg)"/>
    <s v="WB"/>
    <x v="8"/>
    <s v="Itahar"/>
    <s v="User Not Mapped"/>
    <s v="User Not Mapped"/>
    <s v="User Not Mapped"/>
    <n v="873982"/>
    <s v="BAREN CHANDRA SARKAR"/>
    <s v="Private Retailer"/>
    <s v="9932979855"/>
    <n v="5.4"/>
    <n v="49"/>
    <x v="1"/>
    <m/>
    <s v="2026-03-09"/>
    <s v="342392"/>
    <s v="M/s. Kanailal Kedar Prasad"/>
    <s v="7407719515"/>
  </r>
  <r>
    <s v="RCF Thal"/>
    <s v="N.C.Urea(45kg)"/>
    <s v="WB"/>
    <x v="8"/>
    <s v="Itahar"/>
    <s v="User Not Mapped"/>
    <s v="User Not Mapped"/>
    <s v="User Not Mapped"/>
    <n v="873982"/>
    <s v="BAREN CHANDRA SARKAR"/>
    <s v="Private Retailer"/>
    <s v="9932979855"/>
    <n v="5.13"/>
    <n v="71"/>
    <x v="2"/>
    <m/>
    <s v="2026-02-15"/>
    <s v="342392"/>
    <s v="M/s. Kanailal Kedar Prasad"/>
    <s v="7407719515"/>
  </r>
  <r>
    <s v="RCF Thal"/>
    <s v="N.C.Urea(45kg)"/>
    <s v="WB"/>
    <x v="8"/>
    <s v="Itahar"/>
    <s v="User Not Mapped"/>
    <s v="User Not Mapped"/>
    <s v="User Not Mapped"/>
    <n v="873984"/>
    <s v="PABITRA BARMAN"/>
    <s v="Private Retailer"/>
    <s v="9933513145"/>
    <n v="5.13"/>
    <n v="71"/>
    <x v="2"/>
    <m/>
    <s v="2026-02-15"/>
    <s v="342392"/>
    <s v="M/s. Kanailal Kedar Prasad"/>
    <s v="7407719515"/>
  </r>
  <r>
    <s v="RCF Import"/>
    <s v="Imp 10-26-26"/>
    <s v="WB"/>
    <x v="8"/>
    <s v="Itahar"/>
    <s v="User Not Mapped"/>
    <s v="User Not Mapped"/>
    <s v="User Not Mapped"/>
    <n v="873986"/>
    <s v="RENU KHATUN"/>
    <s v="Private Retailer"/>
    <s v="9932253417"/>
    <n v="0.55000000000000004"/>
    <n v="70"/>
    <x v="2"/>
    <m/>
    <s v="2026-02-16"/>
    <s v="1086899"/>
    <s v="BANKIM CHANDRA MANDAL"/>
    <s v="7001573946"/>
  </r>
  <r>
    <s v="RCF Thal"/>
    <s v="N.C.Urea(45kg)"/>
    <s v="WB"/>
    <x v="8"/>
    <s v="Itahar"/>
    <s v="User Not Mapped"/>
    <s v="User Not Mapped"/>
    <s v="User Not Mapped"/>
    <n v="873986"/>
    <s v="RENU KHATUN"/>
    <s v="Private Retailer"/>
    <s v="9932253417"/>
    <n v="2.0699999999999998"/>
    <n v="49"/>
    <x v="1"/>
    <m/>
    <s v="2026-03-09"/>
    <s v="342392"/>
    <s v="M/s. Kanailal Kedar Prasad"/>
    <s v="7407719515"/>
  </r>
  <r>
    <s v="RCF Thal"/>
    <s v="N.C.Urea(45kg)"/>
    <s v="WB"/>
    <x v="8"/>
    <s v="Itahar"/>
    <s v="User Not Mapped"/>
    <s v="User Not Mapped"/>
    <s v="User Not Mapped"/>
    <n v="874025"/>
    <s v="ABUL KASHIM"/>
    <s v="Private Retailer"/>
    <s v="9800960430"/>
    <n v="0.18"/>
    <n v="151"/>
    <x v="0"/>
    <m/>
    <s v="2025-11-27"/>
    <s v="342392"/>
    <s v="M/s. Kanailal Kedar Prasad"/>
    <s v="7407719515"/>
  </r>
  <r>
    <s v="RCF Trombay"/>
    <s v="15-15-15"/>
    <s v="WB"/>
    <x v="8"/>
    <s v="Itahar"/>
    <s v="User Not Mapped"/>
    <s v="User Not Mapped"/>
    <s v="User Not Mapped"/>
    <n v="895736"/>
    <s v="PRADIP ROY"/>
    <s v="Private Retailer"/>
    <s v="8116934423"/>
    <n v="2.5"/>
    <n v="12"/>
    <x v="4"/>
    <m/>
    <s v="2026-04-15"/>
    <s v="1086016"/>
    <s v="T. HOSSAIN &amp; SONS"/>
    <s v="9242592770"/>
  </r>
  <r>
    <s v="RCF Trombay"/>
    <s v="15-15-15"/>
    <s v="WB"/>
    <x v="8"/>
    <s v="Itahar"/>
    <s v="User Not Mapped"/>
    <s v="User Not Mapped"/>
    <s v="User Not Mapped"/>
    <n v="897468"/>
    <s v="SUNIL CHANDRA KARMAKAR"/>
    <s v="Private Retailer"/>
    <s v="9735044906"/>
    <n v="0.14499999999999999"/>
    <n v="142"/>
    <x v="0"/>
    <m/>
    <s v="2025-12-06"/>
    <s v="1084859"/>
    <s v="BISWAS FERTILIZER"/>
    <s v="9635905766"/>
  </r>
  <r>
    <s v="RCF Trombay"/>
    <s v="15-15-15"/>
    <s v="WB"/>
    <x v="8"/>
    <s v="Itahar"/>
    <s v="User Not Mapped"/>
    <s v="User Not Mapped"/>
    <s v="User Not Mapped"/>
    <n v="900915"/>
    <s v="IMRAN HOSSAIN"/>
    <s v="Private Retailer"/>
    <s v="9933754862"/>
    <n v="2"/>
    <n v="86"/>
    <x v="2"/>
    <m/>
    <s v="2026-01-31"/>
    <s v="1086016"/>
    <s v="T. HOSSAIN &amp; SONS"/>
    <s v="9242592770"/>
  </r>
  <r>
    <s v="RCF Import"/>
    <s v="MOP"/>
    <s v="WB"/>
    <x v="8"/>
    <s v="Itahar"/>
    <s v="User Not Mapped"/>
    <s v="User Not Mapped"/>
    <s v="User Not Mapped"/>
    <n v="904818"/>
    <s v="HAMEDUR RAHAMAN"/>
    <s v="Private Retailer"/>
    <s v="8617605195"/>
    <n v="0.25"/>
    <n v="427"/>
    <x v="6"/>
    <m/>
    <s v="2025-02-24"/>
    <s v="1000521"/>
    <s v="AFIZUDDIN AHAMMED"/>
    <s v="6297251857"/>
  </r>
  <r>
    <s v="RCF Trombay"/>
    <s v="15-15-15"/>
    <s v="WB"/>
    <x v="8"/>
    <s v="Itahar"/>
    <s v="User Not Mapped"/>
    <s v="User Not Mapped"/>
    <s v="User Not Mapped"/>
    <n v="905786"/>
    <s v="SAMSUL HOQUE"/>
    <s v="Private Retailer"/>
    <s v="8967962796"/>
    <n v="1"/>
    <n v="177"/>
    <x v="0"/>
    <m/>
    <s v="2025-11-01"/>
    <s v="1086016"/>
    <s v="T. HOSSAIN &amp; SONS"/>
    <s v="9242592770"/>
  </r>
  <r>
    <s v="RCF Thal"/>
    <s v="N.C.Urea(45kg)"/>
    <s v="WB"/>
    <x v="8"/>
    <s v="Itahar"/>
    <s v="User Not Mapped"/>
    <s v="User Not Mapped"/>
    <s v="User Not Mapped"/>
    <n v="905786"/>
    <s v="SAMSUL HOQUE"/>
    <s v="Private Retailer"/>
    <s v="8967962796"/>
    <n v="3.5000000000000003E-2"/>
    <n v="1342"/>
    <x v="7"/>
    <m/>
    <s v="2022-08-24"/>
    <s v="1086016"/>
    <s v="T. HOSSAIN &amp; SONS"/>
    <s v="9242592770"/>
  </r>
  <r>
    <s v="RCF Trombay"/>
    <s v="15-15-15"/>
    <s v="WB"/>
    <x v="8"/>
    <s v="Itahar"/>
    <s v="User Not Mapped"/>
    <s v="User Not Mapped"/>
    <s v="User Not Mapped"/>
    <n v="905790"/>
    <s v="MASUD ALI"/>
    <s v="Private Retailer"/>
    <s v="9851248196"/>
    <n v="0.2"/>
    <n v="177"/>
    <x v="0"/>
    <m/>
    <s v="2025-11-01"/>
    <s v="1086016"/>
    <s v="T. HOSSAIN &amp; SONS"/>
    <s v="9242592770"/>
  </r>
  <r>
    <s v="RCF Trombay"/>
    <s v="15-15-15"/>
    <s v="WB"/>
    <x v="8"/>
    <s v="Itahar"/>
    <s v="User Not Mapped"/>
    <s v="User Not Mapped"/>
    <s v="User Not Mapped"/>
    <n v="913587"/>
    <s v="MOHD. MASUD RAJI"/>
    <s v="Private Retailer"/>
    <s v="8016063130"/>
    <n v="5.25"/>
    <n v="75"/>
    <x v="2"/>
    <m/>
    <s v="2026-02-11"/>
    <s v="1084859"/>
    <s v="BISWAS FERTILIZER"/>
    <s v="9635905766"/>
  </r>
  <r>
    <s v="RCF Thal"/>
    <s v="N.C.Urea(45kg)"/>
    <s v="WB"/>
    <x v="8"/>
    <s v="Itahar"/>
    <s v="User Not Mapped"/>
    <s v="User Not Mapped"/>
    <s v="User Not Mapped"/>
    <n v="913601"/>
    <s v="M/S HUMAYUN ALAM"/>
    <s v="Private Retailer"/>
    <s v="9547404609"/>
    <n v="4.6349999999999998"/>
    <n v="155"/>
    <x v="0"/>
    <m/>
    <s v="2025-11-23"/>
    <s v="342392"/>
    <s v="M/s. Kanailal Kedar Prasad"/>
    <s v="7407719515"/>
  </r>
  <r>
    <s v="RCF Trombay"/>
    <s v="15-15-15"/>
    <s v="WB"/>
    <x v="8"/>
    <s v="Itahar"/>
    <s v="User Not Mapped"/>
    <s v="User Not Mapped"/>
    <s v="User Not Mapped"/>
    <n v="915285"/>
    <s v="ABUL KALAM AJAD"/>
    <s v="Private Retailer"/>
    <s v="8759242450"/>
    <n v="0.25"/>
    <n v="135"/>
    <x v="0"/>
    <m/>
    <s v="2025-12-13"/>
    <s v="1086016"/>
    <s v="T. HOSSAIN &amp; SONS"/>
    <s v="9242592770"/>
  </r>
  <r>
    <s v="RCF Import"/>
    <s v="Imp 10-26-26"/>
    <s v="WB"/>
    <x v="8"/>
    <s v="Itahar"/>
    <s v="User Not Mapped"/>
    <s v="User Not Mapped"/>
    <s v="User Not Mapped"/>
    <n v="915293"/>
    <s v="M/S NIMAI ROY"/>
    <s v="Private Retailer"/>
    <s v="9002228431"/>
    <n v="0.3"/>
    <n v="509"/>
    <x v="6"/>
    <m/>
    <s v="2024-12-04"/>
    <s v="1082772"/>
    <s v="KIRAN AGRO"/>
    <s v="7001938584"/>
  </r>
  <r>
    <s v="RCF Thal"/>
    <s v="N.C.Urea(45kg)"/>
    <s v="WB"/>
    <x v="8"/>
    <s v="Itahar"/>
    <s v="User Not Mapped"/>
    <s v="User Not Mapped"/>
    <s v="User Not Mapped"/>
    <n v="915442"/>
    <s v="M/S NEPAL CHANDRA ROY"/>
    <s v="Private Retailer"/>
    <s v="8759803614"/>
    <n v="0.64"/>
    <n v="1282"/>
    <x v="7"/>
    <m/>
    <s v="2022-10-23"/>
    <s v="1082772"/>
    <s v="KIRAN AGRO"/>
    <s v="7001938584"/>
  </r>
  <r>
    <s v="RCF Trombay"/>
    <s v="15-15-15"/>
    <s v="WB"/>
    <x v="8"/>
    <s v="Itahar"/>
    <s v="User Not Mapped"/>
    <s v="User Not Mapped"/>
    <s v="User Not Mapped"/>
    <n v="915442"/>
    <s v="M/S NEPAL CHANDRA ROY"/>
    <s v="Private Retailer"/>
    <s v="8759803614"/>
    <n v="0.15"/>
    <n v="2673"/>
    <x v="7"/>
    <m/>
    <s v="2019-01-01"/>
    <s v="11"/>
    <s v="Too Old Stock"/>
    <m/>
  </r>
  <r>
    <s v="RCF Trombay"/>
    <s v="15-15-15"/>
    <s v="WB"/>
    <x v="8"/>
    <s v="Itahar"/>
    <s v="User Not Mapped"/>
    <s v="User Not Mapped"/>
    <s v="User Not Mapped"/>
    <n v="916450"/>
    <s v="ABDUL KADER"/>
    <s v="Private Retailer"/>
    <s v="9775448205"/>
    <n v="0.54800000000000004"/>
    <n v="1131"/>
    <x v="7"/>
    <m/>
    <s v="2023-03-23"/>
    <s v="1086016"/>
    <s v="T. HOSSAIN &amp; SONS"/>
    <s v="9242592770"/>
  </r>
  <r>
    <s v="RCF Trombay"/>
    <s v="N.C.Urea(45kg)"/>
    <s v="WB"/>
    <x v="8"/>
    <s v="Itahar"/>
    <s v="User Not Mapped"/>
    <s v="User Not Mapped"/>
    <s v="User Not Mapped"/>
    <n v="916450"/>
    <s v="ABDUL KADER"/>
    <s v="Private Retailer"/>
    <s v="9775448205"/>
    <n v="0.09"/>
    <n v="1276"/>
    <x v="7"/>
    <m/>
    <s v="2022-10-29"/>
    <s v="1086016"/>
    <s v="T. HOSSAIN &amp; SONS"/>
    <s v="9242592770"/>
  </r>
  <r>
    <s v="RCF Thal"/>
    <s v="N.C.Urea(45kg)"/>
    <s v="WB"/>
    <x v="8"/>
    <s v="Itahar"/>
    <s v="User Not Mapped"/>
    <s v="User Not Mapped"/>
    <s v="User Not Mapped"/>
    <n v="916450"/>
    <s v="ABDUL KADER"/>
    <s v="Private Retailer"/>
    <s v="9775448205"/>
    <n v="0.9"/>
    <n v="398"/>
    <x v="6"/>
    <m/>
    <s v="2025-03-25"/>
    <s v="1082774"/>
    <s v="PITAMBAR AGARWALA"/>
    <s v="9932496601"/>
  </r>
  <r>
    <s v="RCF Trombay"/>
    <s v="N.C.Urea(45kg)"/>
    <s v="WB"/>
    <x v="8"/>
    <s v="Itahar"/>
    <s v="User Not Mapped"/>
    <s v="User Not Mapped"/>
    <s v="User Not Mapped"/>
    <n v="917236"/>
    <s v="M/S MAHAMMAD HOSSAIN"/>
    <s v="Private Retailer"/>
    <s v="9002749871"/>
    <n v="10.755000000000001"/>
    <n v="171"/>
    <x v="0"/>
    <m/>
    <s v="2025-11-07"/>
    <s v="342392"/>
    <s v="M/s. Kanailal Kedar Prasad"/>
    <s v="7407719515"/>
  </r>
  <r>
    <s v="RCF Thal"/>
    <s v="N.C.Urea(45kg)"/>
    <s v="WB"/>
    <x v="8"/>
    <s v="Itahar"/>
    <s v="User Not Mapped"/>
    <s v="User Not Mapped"/>
    <s v="User Not Mapped"/>
    <n v="917236"/>
    <s v="M/S MAHAMMAD HOSSAIN"/>
    <s v="Private Retailer"/>
    <s v="9002749871"/>
    <n v="11.025"/>
    <n v="49"/>
    <x v="1"/>
    <m/>
    <s v="2026-03-09"/>
    <s v="342392"/>
    <s v="M/s. Kanailal Kedar Prasad"/>
    <s v="7407719515"/>
  </r>
  <r>
    <s v="RCF Thal"/>
    <s v="N.C.Urea(45kg)"/>
    <s v="WB"/>
    <x v="8"/>
    <s v="Itahar"/>
    <s v="User Not Mapped"/>
    <s v="User Not Mapped"/>
    <s v="User Not Mapped"/>
    <n v="917238"/>
    <s v="NAJMUL HOQUE"/>
    <s v="Private Retailer"/>
    <s v="9593359005"/>
    <n v="0.76500000000000001"/>
    <n v="151"/>
    <x v="0"/>
    <m/>
    <s v="2025-11-27"/>
    <s v="342392"/>
    <s v="M/s. Kanailal Kedar Prasad"/>
    <s v="7407719515"/>
  </r>
  <r>
    <s v="RCF Trombay"/>
    <s v="15-15-15"/>
    <s v="WB"/>
    <x v="8"/>
    <s v="Itahar"/>
    <s v="User Not Mapped"/>
    <s v="User Not Mapped"/>
    <s v="User Not Mapped"/>
    <n v="919828"/>
    <s v="M/S ASHADUL HAQUE"/>
    <s v="Private Retailer"/>
    <s v="9563585817"/>
    <n v="11.4"/>
    <n v="65"/>
    <x v="2"/>
    <m/>
    <s v="2026-02-21"/>
    <s v="1084859"/>
    <s v="BISWAS FERTILIZER"/>
    <s v="9635905766"/>
  </r>
  <r>
    <s v="RCF Trombay"/>
    <s v="N.C.Urea(45kg)"/>
    <s v="WB"/>
    <x v="8"/>
    <s v="Itahar"/>
    <s v="User Not Mapped"/>
    <s v="User Not Mapped"/>
    <s v="User Not Mapped"/>
    <n v="922689"/>
    <s v="M/S GOBINDA BISWAS"/>
    <s v="Private Retailer"/>
    <s v="9775411136"/>
    <n v="10.664999999999999"/>
    <n v="171"/>
    <x v="0"/>
    <m/>
    <s v="2025-11-07"/>
    <s v="342392"/>
    <s v="M/s. Kanailal Kedar Prasad"/>
    <s v="7407719515"/>
  </r>
  <r>
    <s v="RCF Thal"/>
    <s v="N.C.Urea(45kg)"/>
    <s v="WB"/>
    <x v="8"/>
    <s v="Itahar"/>
    <s v="User Not Mapped"/>
    <s v="User Not Mapped"/>
    <s v="User Not Mapped"/>
    <n v="922689"/>
    <s v="M/S GOBINDA BISWAS"/>
    <s v="Private Retailer"/>
    <s v="9775411136"/>
    <n v="3.5550000000000002"/>
    <n v="155"/>
    <x v="0"/>
    <m/>
    <s v="2025-11-23"/>
    <s v="342392"/>
    <s v="M/s. Kanailal Kedar Prasad"/>
    <s v="7407719515"/>
  </r>
  <r>
    <s v="RCF Thal"/>
    <s v="N.C.Urea(45kg)"/>
    <s v="WB"/>
    <x v="8"/>
    <s v="Itahar"/>
    <s v="User Not Mapped"/>
    <s v="User Not Mapped"/>
    <s v="User Not Mapped"/>
    <n v="922970"/>
    <s v="JIAUL HOQUE"/>
    <s v="Private Retailer"/>
    <s v="9382480003"/>
    <n v="0.40500000000000003"/>
    <n v="71"/>
    <x v="2"/>
    <m/>
    <s v="2026-02-15"/>
    <s v="342392"/>
    <s v="M/s. Kanailal Kedar Prasad"/>
    <s v="7407719515"/>
  </r>
  <r>
    <s v="RCF Trombay"/>
    <s v="15-15-15"/>
    <s v="WB"/>
    <x v="8"/>
    <s v="Itahar"/>
    <s v="User Not Mapped"/>
    <s v="User Not Mapped"/>
    <s v="User Not Mapped"/>
    <n v="932909"/>
    <s v="M/S MITHUN MANDAL"/>
    <s v="Private Retailer"/>
    <s v="7029016359"/>
    <n v="15"/>
    <n v="61"/>
    <x v="2"/>
    <m/>
    <s v="2026-02-25"/>
    <s v="1086016"/>
    <s v="T. HOSSAIN &amp; SONS"/>
    <s v="9242592770"/>
  </r>
  <r>
    <s v="RCF Thal"/>
    <s v="N.C.Urea(45kg)"/>
    <s v="WB"/>
    <x v="8"/>
    <s v="Itahar"/>
    <s v="User Not Mapped"/>
    <s v="User Not Mapped"/>
    <s v="User Not Mapped"/>
    <n v="949489"/>
    <s v="M/S NAJIBUL ISLAM"/>
    <s v="Private Retailer"/>
    <s v="9609963743"/>
    <n v="7.65"/>
    <n v="71"/>
    <x v="2"/>
    <m/>
    <s v="2026-02-15"/>
    <s v="342392"/>
    <s v="M/s. Kanailal Kedar Prasad"/>
    <s v="7407719515"/>
  </r>
  <r>
    <s v="RCF Thal"/>
    <s v="N.C.Urea(45kg)"/>
    <s v="WB"/>
    <x v="8"/>
    <s v="Itahar"/>
    <s v="User Not Mapped"/>
    <s v="User Not Mapped"/>
    <s v="User Not Mapped"/>
    <n v="963472"/>
    <s v="DEBASHISH DAS"/>
    <s v="Private Retailer"/>
    <s v="7908970587"/>
    <n v="11.025"/>
    <n v="71"/>
    <x v="2"/>
    <m/>
    <s v="2026-02-15"/>
    <s v="342392"/>
    <s v="M/s. Kanailal Kedar Prasad"/>
    <s v="7407719515"/>
  </r>
  <r>
    <s v="RCF Trombay"/>
    <s v="N.C.Urea(45kg)"/>
    <s v="WB"/>
    <x v="8"/>
    <s v="Itahar"/>
    <s v="User Not Mapped"/>
    <s v="User Not Mapped"/>
    <s v="User Not Mapped"/>
    <n v="979860"/>
    <s v="BANKIM CHANDRA MANDAL"/>
    <s v="Private Retailer"/>
    <s v="7001573946"/>
    <n v="0.36"/>
    <n v="198"/>
    <x v="3"/>
    <m/>
    <s v="2025-10-11"/>
    <s v="342392"/>
    <s v="M/s. Kanailal Kedar Prasad"/>
    <s v="7407719515"/>
  </r>
  <r>
    <s v="RCF Thal"/>
    <s v="N.C.Urea(45kg)"/>
    <s v="WB"/>
    <x v="8"/>
    <s v="Itahar"/>
    <s v="User Not Mapped"/>
    <s v="User Not Mapped"/>
    <s v="User Not Mapped"/>
    <n v="979860"/>
    <s v="BANKIM CHANDRA MANDAL"/>
    <s v="Private Retailer"/>
    <s v="7001573946"/>
    <n v="4.9050000000000002"/>
    <n v="49"/>
    <x v="1"/>
    <m/>
    <s v="2026-03-09"/>
    <s v="342392"/>
    <s v="M/s. Kanailal Kedar Prasad"/>
    <s v="7407719515"/>
  </r>
  <r>
    <s v="RCF Thal"/>
    <s v="N.C.Urea(45kg)"/>
    <s v="WB"/>
    <x v="8"/>
    <s v="Itahar"/>
    <s v="User Not Mapped"/>
    <s v="User Not Mapped"/>
    <s v="User Not Mapped"/>
    <n v="979862"/>
    <s v="TUSHAR KANTI CHOWDHURY"/>
    <s v="Private Retailer"/>
    <s v="6295535365"/>
    <n v="1.62"/>
    <n v="49"/>
    <x v="1"/>
    <m/>
    <s v="2026-03-09"/>
    <s v="342392"/>
    <s v="M/s. Kanailal Kedar Prasad"/>
    <s v="7407719515"/>
  </r>
  <r>
    <s v="RCF Thal"/>
    <s v="N.C.Urea(45kg)"/>
    <s v="WB"/>
    <x v="8"/>
    <s v="Itahar"/>
    <s v="User Not Mapped"/>
    <s v="User Not Mapped"/>
    <s v="User Not Mapped"/>
    <n v="993222"/>
    <s v="SHIBENDU PRAMANIK"/>
    <s v="Private Retailer"/>
    <s v="9851039499"/>
    <n v="4.3650000000000002"/>
    <n v="155"/>
    <x v="0"/>
    <m/>
    <s v="2025-11-23"/>
    <s v="342392"/>
    <s v="M/s. Kanailal Kedar Prasad"/>
    <s v="7407719515"/>
  </r>
  <r>
    <s v="RCF Thal"/>
    <s v="N.C.Urea(45kg)"/>
    <s v="WB"/>
    <x v="8"/>
    <s v="Itahar"/>
    <s v="User Not Mapped"/>
    <s v="User Not Mapped"/>
    <s v="User Not Mapped"/>
    <n v="993222"/>
    <s v="SHIBENDU PRAMANIK"/>
    <s v="Private Retailer"/>
    <s v="9851039499"/>
    <n v="11.025"/>
    <n v="95"/>
    <x v="5"/>
    <m/>
    <s v="2026-01-22"/>
    <s v="342392"/>
    <s v="M/s. Kanailal Kedar Prasad"/>
    <s v="7407719515"/>
  </r>
  <r>
    <s v="RCF Trombay"/>
    <s v="N.C.Urea(45kg)"/>
    <s v="WB"/>
    <x v="8"/>
    <s v="Itahar"/>
    <s v="User Not Mapped"/>
    <s v="User Not Mapped"/>
    <s v="User Not Mapped"/>
    <n v="993222"/>
    <s v="SHIBENDU PRAMANIK"/>
    <s v="Private Retailer"/>
    <s v="9851039499"/>
    <n v="4.4999999999999998E-2"/>
    <n v="285"/>
    <x v="3"/>
    <m/>
    <s v="2025-07-16"/>
    <s v="342392"/>
    <s v="M/s. Kanailal Kedar Prasad"/>
    <s v="7407719515"/>
  </r>
  <r>
    <s v="RCF Trombay"/>
    <s v="15-15-15"/>
    <s v="WB"/>
    <x v="8"/>
    <s v="Itahar"/>
    <s v="User Not Mapped"/>
    <s v="User Not Mapped"/>
    <s v="User Not Mapped"/>
    <n v="993222"/>
    <s v="SHIBENDU PRAMANIK"/>
    <s v="Private Retailer"/>
    <s v="9851039499"/>
    <n v="0.15"/>
    <n v="275"/>
    <x v="3"/>
    <m/>
    <s v="2025-07-26"/>
    <s v="1086899"/>
    <s v="BANKIM CHANDRA MANDAL"/>
    <s v="7001573946"/>
  </r>
  <r>
    <s v="RCF Trombay"/>
    <s v="N.C.Urea(45kg)"/>
    <s v="WB"/>
    <x v="8"/>
    <s v="Itahar"/>
    <s v="User Not Mapped"/>
    <s v="User Not Mapped"/>
    <s v="User Not Mapped"/>
    <n v="995562"/>
    <s v="AJIJUR RAHAMAN"/>
    <s v="Private Retailer"/>
    <s v="9733392086"/>
    <n v="5.7149999999999999"/>
    <n v="198"/>
    <x v="3"/>
    <m/>
    <s v="2025-10-11"/>
    <s v="342392"/>
    <s v="M/s. Kanailal Kedar Prasad"/>
    <s v="7407719515"/>
  </r>
  <r>
    <s v="RCF Trombay"/>
    <s v="15-15-15"/>
    <s v="WB"/>
    <x v="8"/>
    <s v="Itahar"/>
    <s v="User Not Mapped"/>
    <s v="User Not Mapped"/>
    <s v="User Not Mapped"/>
    <n v="995562"/>
    <s v="AJIJUR RAHAMAN"/>
    <s v="Private Retailer"/>
    <s v="9733392086"/>
    <n v="4.1500000000000004"/>
    <n v="198"/>
    <x v="3"/>
    <m/>
    <s v="2025-10-11"/>
    <s v="342392"/>
    <s v="M/s. Kanailal Kedar Prasad"/>
    <s v="7407719515"/>
  </r>
  <r>
    <s v="RCF Trombay"/>
    <s v="15-15-15"/>
    <s v="WB"/>
    <x v="8"/>
    <s v="Itahar"/>
    <s v="User Not Mapped"/>
    <s v="User Not Mapped"/>
    <s v="User Not Mapped"/>
    <n v="1000892"/>
    <s v="PANCHANAN PAUL"/>
    <s v="Private Retailer"/>
    <s v="9734183484"/>
    <n v="0.25"/>
    <n v="1133"/>
    <x v="7"/>
    <m/>
    <s v="2023-03-21"/>
    <s v="1082774"/>
    <s v="PITAMBAR AGARWALA"/>
    <s v="9932496601"/>
  </r>
  <r>
    <s v="RCF Trombay"/>
    <s v="15-15-15"/>
    <s v="WB"/>
    <x v="8"/>
    <s v="Itahar"/>
    <s v="User Not Mapped"/>
    <s v="User Not Mapped"/>
    <s v="User Not Mapped"/>
    <n v="1005951"/>
    <s v="M/S ABDUL OHAB"/>
    <s v="Private Retailer"/>
    <s v="7908467189"/>
    <n v="0.25"/>
    <n v="100"/>
    <x v="5"/>
    <m/>
    <s v="2026-01-17"/>
    <s v="1084859"/>
    <s v="BISWAS FERTILIZER"/>
    <s v="9635905766"/>
  </r>
  <r>
    <s v="RCF Trombay"/>
    <s v="15-15-15"/>
    <s v="WB"/>
    <x v="8"/>
    <s v="Itahar"/>
    <s v="User Not Mapped"/>
    <s v="User Not Mapped"/>
    <s v="User Not Mapped"/>
    <n v="1029772"/>
    <s v="IMRUL KAYESH"/>
    <s v="Private Retailer"/>
    <s v="7864068977"/>
    <n v="0.2"/>
    <n v="505"/>
    <x v="6"/>
    <m/>
    <s v="2024-12-08"/>
    <s v="1086016"/>
    <s v="T. HOSSAIN &amp; SONS"/>
    <s v="9242592770"/>
  </r>
  <r>
    <s v="RCF Thal"/>
    <s v="N.C.Urea(45kg)"/>
    <s v="WB"/>
    <x v="8"/>
    <s v="Itahar"/>
    <s v="User Not Mapped"/>
    <s v="User Not Mapped"/>
    <s v="User Not Mapped"/>
    <n v="1029774"/>
    <s v="KAMALUDDIN AHAMED"/>
    <s v="Private Retailer"/>
    <s v="6295191502"/>
    <n v="33.075000000000003"/>
    <n v="49"/>
    <x v="1"/>
    <m/>
    <s v="2026-03-09"/>
    <s v="342392"/>
    <s v="M/s. Kanailal Kedar Prasad"/>
    <s v="7407719515"/>
  </r>
  <r>
    <s v="RCF Thal"/>
    <s v="N.C.Urea(45kg)"/>
    <s v="WB"/>
    <x v="8"/>
    <s v="Itahar"/>
    <s v="User Not Mapped"/>
    <s v="User Not Mapped"/>
    <s v="User Not Mapped"/>
    <n v="1029774"/>
    <s v="KAMALUDDIN AHAMED"/>
    <s v="Private Retailer"/>
    <s v="6295191502"/>
    <n v="4.68"/>
    <n v="71"/>
    <x v="2"/>
    <m/>
    <s v="2026-02-15"/>
    <s v="342392"/>
    <s v="M/s. Kanailal Kedar Prasad"/>
    <s v="7407719515"/>
  </r>
  <r>
    <s v="RCF Thal"/>
    <s v="N.C.Urea(45kg)"/>
    <s v="WB"/>
    <x v="8"/>
    <s v="Itahar"/>
    <s v="User Not Mapped"/>
    <s v="User Not Mapped"/>
    <s v="User Not Mapped"/>
    <n v="1029792"/>
    <s v="ABDUL MAJID"/>
    <s v="Private Retailer"/>
    <s v="9091170934"/>
    <n v="5.49"/>
    <n v="94"/>
    <x v="5"/>
    <m/>
    <s v="2026-01-23"/>
    <s v="342392"/>
    <s v="M/s. Kanailal Kedar Prasad"/>
    <s v="7407719515"/>
  </r>
  <r>
    <s v="RCF Trombay"/>
    <s v="N.C.Urea(45kg)"/>
    <s v="WB"/>
    <x v="8"/>
    <s v="Itahar"/>
    <s v="User Not Mapped"/>
    <s v="User Not Mapped"/>
    <s v="User Not Mapped"/>
    <n v="1029792"/>
    <s v="ABDUL MAJID"/>
    <s v="Private Retailer"/>
    <s v="9091170934"/>
    <n v="0.99"/>
    <n v="567"/>
    <x v="7"/>
    <m/>
    <s v="2024-10-07"/>
    <s v="342392"/>
    <s v="M/s. Kanailal Kedar Prasad"/>
    <s v="7407719515"/>
  </r>
  <r>
    <s v="RCF Trombay"/>
    <s v="15-15-15"/>
    <s v="WB"/>
    <x v="8"/>
    <s v="Itahar"/>
    <s v="User Not Mapped"/>
    <s v="User Not Mapped"/>
    <s v="User Not Mapped"/>
    <n v="1029794"/>
    <s v="AMJADUL HAQUE"/>
    <s v="Private Retailer"/>
    <s v="9547914977"/>
    <n v="0.35"/>
    <n v="162"/>
    <x v="0"/>
    <m/>
    <s v="2025-11-16"/>
    <s v="1082774"/>
    <s v="PITAMBAR AGARWALA"/>
    <s v="9932496601"/>
  </r>
  <r>
    <s v="RCF Trombay"/>
    <s v="15-15-15"/>
    <s v="WB"/>
    <x v="8"/>
    <s v="Itahar"/>
    <s v="User Not Mapped"/>
    <s v="User Not Mapped"/>
    <s v="User Not Mapped"/>
    <n v="1029794"/>
    <s v="AMJADUL HAQUE"/>
    <s v="Private Retailer"/>
    <s v="9547914977"/>
    <n v="2"/>
    <n v="167"/>
    <x v="0"/>
    <m/>
    <s v="2025-11-11"/>
    <s v="1082774"/>
    <s v="PITAMBAR AGARWALA"/>
    <s v="9932496601"/>
  </r>
  <r>
    <s v="RCF Trombay"/>
    <s v="15-15-15"/>
    <s v="WB"/>
    <x v="8"/>
    <s v="Itahar"/>
    <s v="User Not Mapped"/>
    <s v="User Not Mapped"/>
    <s v="User Not Mapped"/>
    <n v="1029794"/>
    <s v="AMJADUL HAQUE"/>
    <s v="Private Retailer"/>
    <s v="9547914977"/>
    <n v="3"/>
    <n v="198"/>
    <x v="3"/>
    <m/>
    <s v="2025-10-11"/>
    <s v="1000521"/>
    <s v="AFIZUDDIN AHAMMED"/>
    <s v="6297251857"/>
  </r>
  <r>
    <s v="RCF Thal"/>
    <s v="N.C.Urea(45kg)"/>
    <s v="WB"/>
    <x v="8"/>
    <s v="Itahar"/>
    <s v="User Not Mapped"/>
    <s v="User Not Mapped"/>
    <s v="User Not Mapped"/>
    <n v="1029796"/>
    <s v="M/S ABUL BASAR"/>
    <s v="Private Retailer"/>
    <s v="9593231799"/>
    <n v="11.025"/>
    <n v="94"/>
    <x v="5"/>
    <m/>
    <s v="2026-01-23"/>
    <s v="342392"/>
    <s v="M/s. Kanailal Kedar Prasad"/>
    <s v="7407719515"/>
  </r>
  <r>
    <s v="RCF Thal"/>
    <s v="N.C.Urea(45kg)"/>
    <s v="WB"/>
    <x v="8"/>
    <s v="Itahar"/>
    <s v="User Not Mapped"/>
    <s v="User Not Mapped"/>
    <s v="User Not Mapped"/>
    <n v="1029796"/>
    <s v="M/S ABUL BASAR"/>
    <s v="Private Retailer"/>
    <s v="9593231799"/>
    <n v="2.4300000000000002"/>
    <n v="129"/>
    <x v="0"/>
    <m/>
    <s v="2025-12-19"/>
    <s v="342392"/>
    <s v="M/s. Kanailal Kedar Prasad"/>
    <s v="7407719515"/>
  </r>
  <r>
    <s v="RCF Trombay"/>
    <s v="15-15-15"/>
    <s v="WB"/>
    <x v="8"/>
    <s v="Itahar"/>
    <s v="User Not Mapped"/>
    <s v="User Not Mapped"/>
    <s v="User Not Mapped"/>
    <n v="1029814"/>
    <s v="AKTAR SHAR BHANDER"/>
    <s v="Private Retailer"/>
    <s v="8617032356"/>
    <n v="0.5"/>
    <n v="178"/>
    <x v="0"/>
    <m/>
    <s v="2025-10-31"/>
    <s v="1086016"/>
    <s v="T. HOSSAIN &amp; SONS"/>
    <s v="9242592770"/>
  </r>
  <r>
    <s v="RCF Trombay"/>
    <s v="15-15-15"/>
    <s v="WB"/>
    <x v="8"/>
    <s v="Itahar"/>
    <s v="User Not Mapped"/>
    <s v="User Not Mapped"/>
    <s v="User Not Mapped"/>
    <n v="1032325"/>
    <s v="M/S SAJIRUL HAQUE"/>
    <s v="Private Retailer"/>
    <s v="9734192781"/>
    <n v="2.5"/>
    <n v="198"/>
    <x v="3"/>
    <m/>
    <s v="2025-10-11"/>
    <s v="1000521"/>
    <s v="AFIZUDDIN AHAMMED"/>
    <s v="6297251857"/>
  </r>
  <r>
    <s v="RCF Trombay"/>
    <s v="15-15-15"/>
    <s v="WB"/>
    <x v="8"/>
    <s v="Itahar"/>
    <s v="User Not Mapped"/>
    <s v="User Not Mapped"/>
    <s v="User Not Mapped"/>
    <n v="1095176"/>
    <s v="ARUN DHAR"/>
    <s v="Private Retailer"/>
    <s v="6295564656"/>
    <n v="0.3"/>
    <n v="40"/>
    <x v="1"/>
    <m/>
    <s v="2026-03-18"/>
    <s v="1084859"/>
    <s v="BISWAS FERTILIZER"/>
    <s v="9635905766"/>
  </r>
  <r>
    <s v="RCF Thal"/>
    <s v="N.C.Urea(45kg)"/>
    <s v="WB"/>
    <x v="8"/>
    <s v="Itahar"/>
    <s v="User Not Mapped"/>
    <s v="User Not Mapped"/>
    <s v="User Not Mapped"/>
    <n v="1097544"/>
    <s v="M/S BIJAY SARKAR"/>
    <s v="Private Retailer"/>
    <s v="7864023962"/>
    <n v="8.01"/>
    <n v="394"/>
    <x v="6"/>
    <m/>
    <s v="2025-03-29"/>
    <s v="342392"/>
    <s v="M/s. Kanailal Kedar Prasad"/>
    <s v="7407719515"/>
  </r>
  <r>
    <s v="RCF Trombay"/>
    <s v="N.C.Urea(45kg)"/>
    <s v="WB"/>
    <x v="8"/>
    <s v="Itahar"/>
    <s v="User Not Mapped"/>
    <s v="User Not Mapped"/>
    <s v="User Not Mapped"/>
    <n v="1097556"/>
    <s v="PARIMAL BARMAN"/>
    <s v="Private Retailer"/>
    <s v="7679479388"/>
    <n v="2.0249999999999999"/>
    <n v="1234"/>
    <x v="7"/>
    <m/>
    <s v="2022-12-10"/>
    <s v="1082774"/>
    <s v="PITAMBAR AGARWALA"/>
    <s v="9932496601"/>
  </r>
  <r>
    <s v="RCF Thal"/>
    <s v="N.C.Urea(45kg)"/>
    <s v="WB"/>
    <x v="8"/>
    <s v="Itahar"/>
    <s v="User Not Mapped"/>
    <s v="User Not Mapped"/>
    <s v="User Not Mapped"/>
    <n v="1097556"/>
    <s v="PARIMAL BARMAN"/>
    <s v="Private Retailer"/>
    <s v="7679479388"/>
    <n v="0.40500000000000003"/>
    <n v="1332"/>
    <x v="7"/>
    <m/>
    <s v="2022-09-03"/>
    <s v="1082774"/>
    <s v="PITAMBAR AGARWALA"/>
    <s v="9932496601"/>
  </r>
  <r>
    <s v="RCF Trombay"/>
    <s v="15-15-15"/>
    <s v="WB"/>
    <x v="8"/>
    <s v="Itahar"/>
    <s v="User Not Mapped"/>
    <s v="User Not Mapped"/>
    <s v="User Not Mapped"/>
    <n v="1097556"/>
    <s v="PARIMAL BARMAN"/>
    <s v="Private Retailer"/>
    <s v="7679479388"/>
    <n v="1.5"/>
    <n v="1134"/>
    <x v="7"/>
    <m/>
    <s v="2023-03-20"/>
    <s v="1082774"/>
    <s v="PITAMBAR AGARWALA"/>
    <s v="9932496601"/>
  </r>
  <r>
    <s v="RCF Trombay"/>
    <s v="15-15-15"/>
    <s v="WB"/>
    <x v="8"/>
    <s v="Itahar"/>
    <s v="User Not Mapped"/>
    <s v="User Not Mapped"/>
    <s v="User Not Mapped"/>
    <n v="1138646"/>
    <s v="KALAL SAR BHANDER"/>
    <s v="Private Retailer"/>
    <s v="8016230330"/>
    <n v="2.1"/>
    <n v="572"/>
    <x v="7"/>
    <m/>
    <s v="2024-10-02"/>
    <s v="1084859"/>
    <s v="BISWAS FERTILIZER"/>
    <s v="9635905766"/>
  </r>
  <r>
    <s v="RCF Import"/>
    <s v="Imp 10-26-26"/>
    <s v="WB"/>
    <x v="8"/>
    <s v="Itahar"/>
    <s v="User Not Mapped"/>
    <s v="User Not Mapped"/>
    <s v="User Not Mapped"/>
    <n v="1259530"/>
    <s v="M/S UMA SARKAR"/>
    <s v="Private Retailer"/>
    <s v="9734311826"/>
    <n v="0.05"/>
    <n v="497"/>
    <x v="6"/>
    <m/>
    <s v="2024-12-16"/>
    <s v="1082774"/>
    <s v="PITAMBAR AGARWALA"/>
    <s v="9932496601"/>
  </r>
  <r>
    <s v="RCF Trombay"/>
    <s v="15-15-15"/>
    <s v="WB"/>
    <x v="8"/>
    <s v="Itahar"/>
    <s v="User Not Mapped"/>
    <s v="User Not Mapped"/>
    <s v="User Not Mapped"/>
    <n v="1341086"/>
    <s v="M/S NIBEDITA FERTILIER"/>
    <s v="Private Retailer"/>
    <s v="9832032428"/>
    <n v="1.7"/>
    <n v="498"/>
    <x v="6"/>
    <m/>
    <s v="2024-12-15"/>
    <s v="1265559"/>
    <s v="M/S BASAK AND SONS"/>
    <s v="9434458269"/>
  </r>
  <r>
    <s v="RCF Trombay"/>
    <s v="15-15-15"/>
    <s v="WB"/>
    <x v="8"/>
    <s v="Itahar"/>
    <s v="User Not Mapped"/>
    <s v="User Not Mapped"/>
    <s v="User Not Mapped"/>
    <n v="1432626"/>
    <s v="JOSIMUDDIN SARKAR AND TAJIRUDD"/>
    <s v="Private Retailer"/>
    <s v="6295111312"/>
    <n v="1"/>
    <n v="16"/>
    <x v="4"/>
    <m/>
    <s v="2026-04-11"/>
    <s v="1084859"/>
    <s v="BISWAS FERTILIZER"/>
    <s v="9635905766"/>
  </r>
  <r>
    <s v="RCF Thal"/>
    <s v="N.C.Urea(45kg)"/>
    <s v="WB"/>
    <x v="8"/>
    <s v="Itahar"/>
    <s v="User Not Mapped"/>
    <s v="User Not Mapped"/>
    <s v="User Not Mapped"/>
    <n v="1462020"/>
    <s v="P.K.ENTERPRISE"/>
    <s v="Private Retailer"/>
    <s v="8327311751"/>
    <n v="6.5250000000000004"/>
    <n v="71"/>
    <x v="2"/>
    <m/>
    <s v="2026-02-15"/>
    <s v="342392"/>
    <s v="M/s. Kanailal Kedar Prasad"/>
    <s v="7407719515"/>
  </r>
  <r>
    <s v="RCF Thal"/>
    <s v="N.C.Urea(45kg)"/>
    <s v="WB"/>
    <x v="8"/>
    <s v="Itahar"/>
    <s v="User Not Mapped"/>
    <s v="User Not Mapped"/>
    <s v="User Not Mapped"/>
    <n v="1464153"/>
    <s v="SARKAR BROTHERS FERTILIZER"/>
    <s v="Private Retailer"/>
    <s v="9679276967"/>
    <n v="5.4"/>
    <n v="49"/>
    <x v="1"/>
    <m/>
    <s v="2026-03-09"/>
    <s v="342392"/>
    <s v="M/s. Kanailal Kedar Prasad"/>
    <s v="7407719515"/>
  </r>
  <r>
    <s v="RCF Thal"/>
    <s v="N.C.Urea(45kg)"/>
    <s v="WB"/>
    <x v="8"/>
    <s v="Itahar"/>
    <s v="User Not Mapped"/>
    <s v="User Not Mapped"/>
    <s v="User Not Mapped"/>
    <n v="1505071"/>
    <s v="M/S NIMAI MANDAL"/>
    <s v="Private Retailer"/>
    <s v="7384351919"/>
    <n v="7.47"/>
    <n v="49"/>
    <x v="1"/>
    <m/>
    <s v="2026-03-09"/>
    <s v="342392"/>
    <s v="M/s. Kanailal Kedar Prasad"/>
    <s v="7407719515"/>
  </r>
  <r>
    <s v="RCF Thal"/>
    <s v="N.C.Urea(45kg)"/>
    <s v="WB"/>
    <x v="8"/>
    <s v="Itahar"/>
    <s v="User Not Mapped"/>
    <s v="User Not Mapped"/>
    <s v="User Not Mapped"/>
    <n v="1505099"/>
    <s v="NAJRUR SAAR BHANDAR"/>
    <s v="Private Retailer"/>
    <s v="8918884037"/>
    <n v="0.40500000000000003"/>
    <n v="170"/>
    <x v="0"/>
    <m/>
    <s v="2025-11-08"/>
    <s v="342392"/>
    <s v="M/s. Kanailal Kedar Prasad"/>
    <s v="7407719515"/>
  </r>
  <r>
    <s v="RCF Thal"/>
    <s v="N.C.Urea(45kg)"/>
    <s v="WB"/>
    <x v="8"/>
    <s v="Itahar"/>
    <s v="User Not Mapped"/>
    <s v="User Not Mapped"/>
    <s v="User Not Mapped"/>
    <n v="1505115"/>
    <s v="AHAMMED FERTILIZER"/>
    <s v="Private Retailer"/>
    <s v="8001145567"/>
    <n v="0.495"/>
    <n v="94"/>
    <x v="5"/>
    <m/>
    <s v="2026-01-23"/>
    <s v="342392"/>
    <s v="M/s. Kanailal Kedar Prasad"/>
    <s v="7407719515"/>
  </r>
  <r>
    <s v="RCF Trombay"/>
    <s v="15-15-15"/>
    <s v="WB"/>
    <x v="8"/>
    <s v="Itahar"/>
    <s v="User Not Mapped"/>
    <s v="User Not Mapped"/>
    <s v="User Not Mapped"/>
    <n v="1519103"/>
    <s v="SAHADAT FERTILIZER"/>
    <s v="Private Retailer"/>
    <s v="6294925165"/>
    <n v="0.95"/>
    <n v="77"/>
    <x v="2"/>
    <m/>
    <s v="2026-02-09"/>
    <s v="1265559"/>
    <s v="M/S BASAK AND SONS"/>
    <s v="9434458269"/>
  </r>
  <r>
    <s v="RCF Import"/>
    <s v="MOP"/>
    <s v="WB"/>
    <x v="8"/>
    <s v="Itahar"/>
    <s v="User Not Mapped"/>
    <s v="User Not Mapped"/>
    <s v="User Not Mapped"/>
    <n v="1519103"/>
    <s v="SAHADAT FERTILIZER"/>
    <s v="Private Retailer"/>
    <s v="6294925165"/>
    <n v="0.15"/>
    <n v="356"/>
    <x v="3"/>
    <m/>
    <s v="2025-05-06"/>
    <s v="1138640"/>
    <s v="SUNIL CHANDRA BISWAS"/>
    <s v="8759855029"/>
  </r>
  <r>
    <s v="RCF Trombay"/>
    <s v="N.C.Urea(45kg)"/>
    <s v="WB"/>
    <x v="8"/>
    <s v="Itahar"/>
    <s v="User Not Mapped"/>
    <s v="User Not Mapped"/>
    <s v="User Not Mapped"/>
    <n v="1629582"/>
    <s v="AJIM FERTILIZER"/>
    <s v="Private Retailer"/>
    <s v="8509867375"/>
    <n v="4.4999999999999998E-2"/>
    <n v="131"/>
    <x v="0"/>
    <m/>
    <s v="2025-12-17"/>
    <s v="342392"/>
    <s v="M/s. Kanailal Kedar Prasad"/>
    <s v="7407719515"/>
  </r>
  <r>
    <s v="RCF Trombay"/>
    <s v="15-15-15"/>
    <s v="WB"/>
    <x v="8"/>
    <s v="Kaliaganj"/>
    <s v="User Not Mapped"/>
    <s v="User Not Mapped"/>
    <s v="User Not Mapped"/>
    <n v="233517"/>
    <s v="Buddhadeb Sarkar"/>
    <s v="Private Retailer"/>
    <s v="8918680541"/>
    <n v="7.4"/>
    <n v="126"/>
    <x v="0"/>
    <m/>
    <s v="2025-12-22"/>
    <s v="281226"/>
    <s v="Subuj Supply"/>
    <s v="7001971187"/>
  </r>
  <r>
    <s v="RCF Thal"/>
    <s v="N.C.Urea(45kg)"/>
    <s v="WB"/>
    <x v="8"/>
    <s v="Kaliaganj"/>
    <s v="User Not Mapped"/>
    <s v="User Not Mapped"/>
    <s v="User Not Mapped"/>
    <n v="269057"/>
    <s v="Fatepur Skus Ltd"/>
    <s v="PACS"/>
    <s v="9153867446"/>
    <n v="7.92"/>
    <n v="53"/>
    <x v="1"/>
    <m/>
    <s v="2026-03-05"/>
    <s v="1606985"/>
    <s v="M/S KRISHI GHAR"/>
    <s v="7001196936"/>
  </r>
  <r>
    <s v="RCF Thal"/>
    <s v="N.C.Urea(45kg)"/>
    <s v="WB"/>
    <x v="8"/>
    <s v="Kaliaganj"/>
    <s v="User Not Mapped"/>
    <s v="User Not Mapped"/>
    <s v="User Not Mapped"/>
    <n v="269155"/>
    <s v="Fulatti Skus Ltd"/>
    <s v="PACS"/>
    <s v="7908780559"/>
    <n v="11.025"/>
    <n v="95"/>
    <x v="5"/>
    <m/>
    <s v="2026-01-22"/>
    <s v="342392"/>
    <s v="M/s. Kanailal Kedar Prasad"/>
    <s v="7407719515"/>
  </r>
  <r>
    <s v="RCF Thal"/>
    <s v="N.C.Urea(45kg)"/>
    <s v="WB"/>
    <x v="8"/>
    <s v="Kaliaganj"/>
    <s v="User Not Mapped"/>
    <s v="User Not Mapped"/>
    <s v="User Not Mapped"/>
    <n v="342456"/>
    <s v="Shyamal Baishya"/>
    <s v="Private Retailer"/>
    <s v="7001329038"/>
    <n v="5.31"/>
    <n v="133"/>
    <x v="0"/>
    <m/>
    <s v="2025-12-15"/>
    <s v="342392"/>
    <s v="M/s. Kanailal Kedar Prasad"/>
    <s v="7407719515"/>
  </r>
  <r>
    <s v="RCF Thal"/>
    <s v="N.C.Urea(45kg)"/>
    <s v="WB"/>
    <x v="8"/>
    <s v="Kaliaganj"/>
    <s v="User Not Mapped"/>
    <s v="User Not Mapped"/>
    <s v="User Not Mapped"/>
    <n v="342458"/>
    <s v="Soumen Kundu"/>
    <s v="Private Retailer"/>
    <s v="9564625952"/>
    <n v="5.7149999999999999"/>
    <n v="49"/>
    <x v="1"/>
    <m/>
    <s v="2026-03-09"/>
    <s v="342392"/>
    <s v="M/s. Kanailal Kedar Prasad"/>
    <s v="7407719515"/>
  </r>
  <r>
    <s v="RCF Trombay"/>
    <s v="15-15-15"/>
    <s v="WB"/>
    <x v="8"/>
    <s v="Kaliaganj"/>
    <s v="User Not Mapped"/>
    <s v="User Not Mapped"/>
    <s v="User Not Mapped"/>
    <n v="342461"/>
    <s v="Shiva Roy"/>
    <s v="Private Retailer"/>
    <s v="9064138334"/>
    <n v="3.25"/>
    <n v="126"/>
    <x v="0"/>
    <m/>
    <s v="2025-12-22"/>
    <s v="281226"/>
    <s v="Subuj Supply"/>
    <s v="7001971187"/>
  </r>
  <r>
    <s v="RCF Import"/>
    <s v="MOP"/>
    <s v="WB"/>
    <x v="8"/>
    <s v="Kaliaganj"/>
    <s v="User Not Mapped"/>
    <s v="User Not Mapped"/>
    <s v="User Not Mapped"/>
    <n v="342465"/>
    <s v="Pradip Kumar Sarkar"/>
    <s v="Private Retailer"/>
    <s v="9593636519"/>
    <n v="0.15"/>
    <n v="504"/>
    <x v="6"/>
    <m/>
    <s v="2024-12-09"/>
    <s v="1102258"/>
    <s v="KALIAGANJ KRISH GHORE"/>
    <s v="9547474206"/>
  </r>
  <r>
    <s v="RCF Trombay"/>
    <s v="15-15-15"/>
    <s v="WB"/>
    <x v="8"/>
    <s v="Kaliaganj"/>
    <s v="User Not Mapped"/>
    <s v="User Not Mapped"/>
    <s v="User Not Mapped"/>
    <n v="355181"/>
    <s v="Kobaj Ali"/>
    <s v="Private Retailer"/>
    <s v="9434962393"/>
    <n v="0.75"/>
    <n v="75"/>
    <x v="2"/>
    <m/>
    <s v="2026-02-11"/>
    <s v="1084859"/>
    <s v="BISWAS FERTILIZER"/>
    <s v="9635905766"/>
  </r>
  <r>
    <s v="RCF Thal"/>
    <s v="N.C.Urea(45kg)"/>
    <s v="WB"/>
    <x v="8"/>
    <s v="Kaliaganj"/>
    <s v="User Not Mapped"/>
    <s v="User Not Mapped"/>
    <s v="User Not Mapped"/>
    <n v="474225"/>
    <s v="Debabrata Dutt"/>
    <s v="Private Retailer"/>
    <s v="8016735579"/>
    <n v="7.65"/>
    <n v="394"/>
    <x v="6"/>
    <m/>
    <s v="2025-03-29"/>
    <s v="342392"/>
    <s v="M/s. Kanailal Kedar Prasad"/>
    <s v="7407719515"/>
  </r>
  <r>
    <s v="RCF Thal"/>
    <s v="N.C.Urea(45kg)"/>
    <s v="WB"/>
    <x v="8"/>
    <s v="Kaliaganj"/>
    <s v="User Not Mapped"/>
    <s v="User Not Mapped"/>
    <s v="User Not Mapped"/>
    <n v="519288"/>
    <s v="M/S Muktarul Islam"/>
    <s v="Private Retailer"/>
    <s v="9733354811"/>
    <n v="11.025"/>
    <n v="155"/>
    <x v="0"/>
    <m/>
    <s v="2025-11-23"/>
    <s v="342392"/>
    <s v="M/s. Kanailal Kedar Prasad"/>
    <s v="7407719515"/>
  </r>
  <r>
    <s v="RCF Thal"/>
    <s v="N.C.Urea(45kg)"/>
    <s v="WB"/>
    <x v="8"/>
    <s v="Kaliaganj"/>
    <s v="User Not Mapped"/>
    <s v="User Not Mapped"/>
    <s v="User Not Mapped"/>
    <n v="519288"/>
    <s v="M/S Muktarul Islam"/>
    <s v="Private Retailer"/>
    <s v="9733354811"/>
    <n v="6.93"/>
    <n v="264"/>
    <x v="3"/>
    <m/>
    <s v="2025-08-06"/>
    <s v="342392"/>
    <s v="M/s. Kanailal Kedar Prasad"/>
    <s v="7407719515"/>
  </r>
  <r>
    <s v="RCF Trombay"/>
    <s v="N.C.Urea(45kg)"/>
    <s v="WB"/>
    <x v="8"/>
    <s v="Kaliaganj"/>
    <s v="User Not Mapped"/>
    <s v="User Not Mapped"/>
    <s v="User Not Mapped"/>
    <n v="519288"/>
    <s v="M/S Muktarul Islam"/>
    <s v="Private Retailer"/>
    <s v="9733354811"/>
    <n v="9.9"/>
    <n v="140"/>
    <x v="0"/>
    <m/>
    <s v="2025-12-08"/>
    <s v="342392"/>
    <s v="M/s. Kanailal Kedar Prasad"/>
    <s v="7407719515"/>
  </r>
  <r>
    <s v="RCF Trombay"/>
    <s v="15-15-15"/>
    <s v="WB"/>
    <x v="8"/>
    <s v="Kaliaganj"/>
    <s v="User Not Mapped"/>
    <s v="User Not Mapped"/>
    <s v="User Not Mapped"/>
    <n v="519294"/>
    <s v="M/S Anupam Sarkar"/>
    <s v="Private Retailer"/>
    <s v="9593893978"/>
    <n v="0.4"/>
    <n v="1305"/>
    <x v="7"/>
    <m/>
    <s v="2022-09-30"/>
    <s v="281226"/>
    <s v="Subuj Supply"/>
    <s v="7001971187"/>
  </r>
  <r>
    <s v="RCF Trombay"/>
    <s v="15-15-15"/>
    <s v="WB"/>
    <x v="8"/>
    <s v="Kaliaganj"/>
    <s v="User Not Mapped"/>
    <s v="User Not Mapped"/>
    <s v="User Not Mapped"/>
    <n v="586722"/>
    <s v="JITENDRA NATH SARKAR"/>
    <s v="Private Retailer"/>
    <s v="7001533548"/>
    <n v="2"/>
    <n v="126"/>
    <x v="0"/>
    <m/>
    <s v="2025-12-22"/>
    <s v="281226"/>
    <s v="Subuj Supply"/>
    <s v="7001971187"/>
  </r>
  <r>
    <s v="RCF Trombay"/>
    <s v="15-15-15"/>
    <s v="WB"/>
    <x v="8"/>
    <s v="Kaliaganj"/>
    <s v="User Not Mapped"/>
    <s v="User Not Mapped"/>
    <s v="User Not Mapped"/>
    <n v="586724"/>
    <s v="SABUJ BIPLAB"/>
    <s v="Private Retailer"/>
    <s v="7908359820"/>
    <n v="1.5"/>
    <n v="24"/>
    <x v="4"/>
    <m/>
    <s v="2026-04-03"/>
    <s v="949278"/>
    <s v="GHOSH FERTILIZER"/>
    <s v="9434967172"/>
  </r>
  <r>
    <s v="RCF Thal"/>
    <s v="N.C.Urea(45kg)"/>
    <s v="WB"/>
    <x v="8"/>
    <s v="Kaliaganj"/>
    <s v="User Not Mapped"/>
    <s v="User Not Mapped"/>
    <s v="User Not Mapped"/>
    <n v="633484"/>
    <s v="M/S TAIMUR AHAMED"/>
    <s v="Private Retailer"/>
    <s v="9733394897"/>
    <n v="5.94"/>
    <n v="217"/>
    <x v="3"/>
    <m/>
    <s v="2025-09-22"/>
    <s v="333141"/>
    <s v="Biswjit Kundu"/>
    <s v="7001510217"/>
  </r>
  <r>
    <s v="RCF Trombay"/>
    <s v="15-15-15"/>
    <s v="WB"/>
    <x v="8"/>
    <s v="Kaliaganj"/>
    <s v="User Not Mapped"/>
    <s v="User Not Mapped"/>
    <s v="User Not Mapped"/>
    <n v="662605"/>
    <s v="M/S NAJBUL HOQUE"/>
    <s v="Private Retailer"/>
    <s v="9733187362"/>
    <n v="3.85"/>
    <n v="133"/>
    <x v="0"/>
    <m/>
    <s v="2025-12-15"/>
    <s v="281226"/>
    <s v="Subuj Supply"/>
    <s v="7001971187"/>
  </r>
  <r>
    <s v="RCF Thal"/>
    <s v="N.C.Urea(45kg)"/>
    <s v="WB"/>
    <x v="8"/>
    <s v="Kaliaganj"/>
    <s v="User Not Mapped"/>
    <s v="User Not Mapped"/>
    <s v="User Not Mapped"/>
    <n v="737088"/>
    <s v="MANGLA ROY"/>
    <s v="Private Retailer"/>
    <s v="9635161135"/>
    <n v="8.4600000000000009"/>
    <n v="49"/>
    <x v="1"/>
    <m/>
    <s v="2026-03-09"/>
    <s v="342392"/>
    <s v="M/s. Kanailal Kedar Prasad"/>
    <s v="7407719515"/>
  </r>
  <r>
    <s v="RCF Trombay"/>
    <s v="15-15-15"/>
    <s v="WB"/>
    <x v="8"/>
    <s v="Kaliaganj"/>
    <s v="User Not Mapped"/>
    <s v="User Not Mapped"/>
    <s v="User Not Mapped"/>
    <n v="768134"/>
    <s v="M/S. BISWADEB SARKAR"/>
    <s v="Private Retailer"/>
    <s v="8348265865"/>
    <n v="3.05"/>
    <n v="126"/>
    <x v="0"/>
    <m/>
    <s v="2025-12-22"/>
    <s v="281226"/>
    <s v="Subuj Supply"/>
    <s v="7001971187"/>
  </r>
  <r>
    <s v="RCF Thal"/>
    <s v="N.C.Urea(45kg)"/>
    <s v="WB"/>
    <x v="8"/>
    <s v="Kaliaganj"/>
    <s v="User Not Mapped"/>
    <s v="User Not Mapped"/>
    <s v="User Not Mapped"/>
    <n v="768134"/>
    <s v="M/S. BISWADEB SARKAR"/>
    <s v="Private Retailer"/>
    <s v="8348265865"/>
    <n v="4.4999999999999998E-2"/>
    <n v="367"/>
    <x v="6"/>
    <m/>
    <s v="2025-04-25"/>
    <s v="342392"/>
    <s v="M/s. Kanailal Kedar Prasad"/>
    <s v="7407719515"/>
  </r>
  <r>
    <s v="RCF Trombay"/>
    <s v="N.C.Urea(45kg)"/>
    <s v="WB"/>
    <x v="8"/>
    <s v="Kaliaganj"/>
    <s v="User Not Mapped"/>
    <s v="User Not Mapped"/>
    <s v="User Not Mapped"/>
    <n v="768134"/>
    <s v="M/S. BISWADEB SARKAR"/>
    <s v="Private Retailer"/>
    <s v="8348265865"/>
    <n v="5.5350000000000001"/>
    <n v="131"/>
    <x v="0"/>
    <m/>
    <s v="2025-12-17"/>
    <s v="342392"/>
    <s v="M/s. Kanailal Kedar Prasad"/>
    <s v="7407719515"/>
  </r>
  <r>
    <s v="RCF Trombay"/>
    <s v="N.C.Urea(45kg)"/>
    <s v="WB"/>
    <x v="8"/>
    <s v="Kaliaganj"/>
    <s v="User Not Mapped"/>
    <s v="User Not Mapped"/>
    <s v="User Not Mapped"/>
    <n v="768134"/>
    <s v="M/S. BISWADEB SARKAR"/>
    <s v="Private Retailer"/>
    <s v="8348265865"/>
    <n v="5.9850000000000003"/>
    <n v="171"/>
    <x v="0"/>
    <m/>
    <s v="2025-11-07"/>
    <s v="342392"/>
    <s v="M/s. Kanailal Kedar Prasad"/>
    <s v="7407719515"/>
  </r>
  <r>
    <s v="RCF Import"/>
    <s v="MOP"/>
    <s v="WB"/>
    <x v="8"/>
    <s v="Kaliaganj"/>
    <s v="User Not Mapped"/>
    <s v="User Not Mapped"/>
    <s v="User Not Mapped"/>
    <n v="888816"/>
    <s v="M/s. KRISHI BHANDER"/>
    <s v="Private Retailer"/>
    <s v="8967246487"/>
    <n v="0.05"/>
    <n v="467"/>
    <x v="6"/>
    <m/>
    <s v="2025-01-15"/>
    <s v="1102258"/>
    <s v="KALIAGANJ KRISH GHORE"/>
    <s v="9547474206"/>
  </r>
  <r>
    <s v="RCF Import"/>
    <s v="Imp 10-26-26"/>
    <s v="WB"/>
    <x v="8"/>
    <s v="Kaliaganj"/>
    <s v="User Not Mapped"/>
    <s v="User Not Mapped"/>
    <s v="User Not Mapped"/>
    <n v="908933"/>
    <s v="MIJANUR HOQUE"/>
    <s v="Private Retailer"/>
    <s v="8101636788"/>
    <n v="0.35"/>
    <n v="492"/>
    <x v="6"/>
    <m/>
    <s v="2024-12-21"/>
    <s v="333141"/>
    <s v="Biswjit Kundu"/>
    <s v="7001510217"/>
  </r>
  <r>
    <s v="RCF Import"/>
    <s v="Imp 10-26-26"/>
    <s v="WB"/>
    <x v="8"/>
    <s v="Kaliaganj"/>
    <s v="User Not Mapped"/>
    <s v="User Not Mapped"/>
    <s v="User Not Mapped"/>
    <n v="946894"/>
    <s v="AINUL HAQUE"/>
    <s v="Private Retailer"/>
    <s v="9933677149"/>
    <n v="0.1"/>
    <n v="480"/>
    <x v="6"/>
    <m/>
    <s v="2025-01-02"/>
    <s v="333141"/>
    <s v="Biswjit Kundu"/>
    <s v="7001510217"/>
  </r>
  <r>
    <s v="RCF Import"/>
    <s v="MOP"/>
    <s v="WB"/>
    <x v="8"/>
    <s v="Kaliaganj"/>
    <s v="User Not Mapped"/>
    <s v="User Not Mapped"/>
    <s v="User Not Mapped"/>
    <n v="949196"/>
    <s v="BIMAL SARKAR"/>
    <s v="Private Retailer"/>
    <s v="9547428532"/>
    <n v="0.25"/>
    <n v="504"/>
    <x v="6"/>
    <m/>
    <s v="2024-12-09"/>
    <s v="1102258"/>
    <s v="KALIAGANJ KRISH GHORE"/>
    <s v="9547474206"/>
  </r>
  <r>
    <s v="RCF Import"/>
    <s v="Imp 10-26-26"/>
    <s v="WB"/>
    <x v="8"/>
    <s v="Kaliaganj"/>
    <s v="User Not Mapped"/>
    <s v="User Not Mapped"/>
    <s v="User Not Mapped"/>
    <n v="978382"/>
    <s v="NEPAL CHANDRA SAHA"/>
    <s v="Private Retailer"/>
    <s v="9126818461"/>
    <n v="0.2"/>
    <n v="492"/>
    <x v="6"/>
    <m/>
    <s v="2024-12-21"/>
    <s v="333141"/>
    <s v="Biswjit Kundu"/>
    <s v="7001510217"/>
  </r>
  <r>
    <s v="RCF Import"/>
    <s v="Imp 10-26-26"/>
    <s v="WB"/>
    <x v="8"/>
    <s v="Kaliaganj"/>
    <s v="User Not Mapped"/>
    <s v="User Not Mapped"/>
    <s v="User Not Mapped"/>
    <n v="1021697"/>
    <s v="NIRMA DEBSARMA"/>
    <s v="Private Retailer"/>
    <s v="8016287172"/>
    <n v="0.1"/>
    <n v="492"/>
    <x v="6"/>
    <m/>
    <s v="2024-12-21"/>
    <s v="333141"/>
    <s v="Biswjit Kundu"/>
    <s v="7001510217"/>
  </r>
  <r>
    <s v="RCF Import"/>
    <s v="MOP"/>
    <s v="WB"/>
    <x v="8"/>
    <s v="Kaliaganj"/>
    <s v="User Not Mapped"/>
    <s v="User Not Mapped"/>
    <s v="User Not Mapped"/>
    <n v="1158971"/>
    <s v="KALYAGANJ KUPC LTD"/>
    <s v="Private Retailer"/>
    <s v="8116422580"/>
    <n v="0.06"/>
    <n v="486"/>
    <x v="6"/>
    <m/>
    <s v="2024-12-27"/>
    <s v="1102258"/>
    <s v="KALIAGANJ KRISH GHORE"/>
    <s v="9547474206"/>
  </r>
  <r>
    <s v="RCF Thal"/>
    <s v="N.C.Urea(45kg)"/>
    <s v="WB"/>
    <x v="8"/>
    <s v="Kaliaganj"/>
    <s v="User Not Mapped"/>
    <s v="User Not Mapped"/>
    <s v="User Not Mapped"/>
    <n v="1412273"/>
    <s v="RANI FERTILIZER"/>
    <s v="Private Retailer"/>
    <s v="9647773618"/>
    <n v="2.3849999999999998"/>
    <n v="170"/>
    <x v="0"/>
    <m/>
    <s v="2025-11-08"/>
    <s v="342392"/>
    <s v="M/s. Kanailal Kedar Prasad"/>
    <s v="7407719515"/>
  </r>
  <r>
    <s v="RCF Thal"/>
    <s v="N.C.Urea(45kg)"/>
    <s v="WB"/>
    <x v="8"/>
    <s v="Kaliaganj"/>
    <s v="User Not Mapped"/>
    <s v="User Not Mapped"/>
    <s v="User Not Mapped"/>
    <n v="1483418"/>
    <s v="AKRAM FERTILIZER"/>
    <s v="Private Retailer"/>
    <s v="9932316501"/>
    <n v="9.6300000000000008"/>
    <n v="49"/>
    <x v="1"/>
    <m/>
    <s v="2026-03-09"/>
    <s v="342392"/>
    <s v="M/s. Kanailal Kedar Prasad"/>
    <s v="7407719515"/>
  </r>
  <r>
    <s v="RCF Thal"/>
    <s v="N.C.Urea(45kg)"/>
    <s v="WB"/>
    <x v="8"/>
    <s v="Kaliaganj"/>
    <s v="User Not Mapped"/>
    <s v="User Not Mapped"/>
    <s v="User Not Mapped"/>
    <n v="1531046"/>
    <s v="WALIOR RAHAMAN"/>
    <s v="Private Retailer"/>
    <s v="7908096043"/>
    <n v="3.96"/>
    <n v="94"/>
    <x v="5"/>
    <m/>
    <s v="2026-01-23"/>
    <s v="342392"/>
    <s v="M/s. Kanailal Kedar Prasad"/>
    <s v="7407719515"/>
  </r>
  <r>
    <s v="RCF Trombay"/>
    <s v="N.C.Urea(45kg)"/>
    <s v="WB"/>
    <x v="8"/>
    <s v="Karandighi"/>
    <s v="User Not Mapped"/>
    <s v="User Not Mapped"/>
    <s v="User Not Mapped"/>
    <n v="300645"/>
    <s v="Rahman Fertilizers"/>
    <s v="Private Retailer"/>
    <s v="9434130709"/>
    <n v="11.025"/>
    <n v="4"/>
    <x v="4"/>
    <m/>
    <s v="2026-04-23"/>
    <s v="342392"/>
    <s v="M/s. Kanailal Kedar Prasad"/>
    <s v="7407719515"/>
  </r>
  <r>
    <s v="RCF Thal"/>
    <s v="N.C.Urea(45kg)"/>
    <s v="WB"/>
    <x v="8"/>
    <s v="Karandighi"/>
    <s v="User Not Mapped"/>
    <s v="User Not Mapped"/>
    <s v="User Not Mapped"/>
    <n v="384578"/>
    <s v="Santi Ranjan Singha"/>
    <s v="Private Retailer"/>
    <s v="8436043383"/>
    <n v="1.125"/>
    <n v="1220"/>
    <x v="7"/>
    <m/>
    <s v="2022-12-24"/>
    <s v="255006"/>
    <s v="M/S PAUL FERTILIZER"/>
    <s v="8617668649"/>
  </r>
  <r>
    <s v="RCF Trombay"/>
    <s v="N.C.Urea(45kg)"/>
    <s v="WB"/>
    <x v="8"/>
    <s v="Karandighi"/>
    <s v="User Not Mapped"/>
    <s v="User Not Mapped"/>
    <s v="User Not Mapped"/>
    <n v="533318"/>
    <s v="M/S. Raj Lakshmi Sar Bhander"/>
    <s v="Private Retailer"/>
    <s v="7872334757"/>
    <n v="0.54"/>
    <n v="131"/>
    <x v="0"/>
    <m/>
    <s v="2025-12-17"/>
    <s v="342392"/>
    <s v="M/s. Kanailal Kedar Prasad"/>
    <s v="7407719515"/>
  </r>
  <r>
    <s v="RCF Trombay"/>
    <s v="N.C.Urea(45kg)"/>
    <s v="WB"/>
    <x v="8"/>
    <s v="Karandighi"/>
    <s v="User Not Mapped"/>
    <s v="User Not Mapped"/>
    <s v="User Not Mapped"/>
    <n v="533350"/>
    <s v="Lakhan Maitra"/>
    <s v="Private Retailer"/>
    <s v="7908826820"/>
    <n v="22.05"/>
    <n v="42"/>
    <x v="1"/>
    <m/>
    <s v="2026-03-16"/>
    <s v="342392"/>
    <s v="M/s. Kanailal Kedar Prasad"/>
    <s v="7407719515"/>
  </r>
  <r>
    <s v="RCF Trombay"/>
    <s v="15-15-15"/>
    <s v="WB"/>
    <x v="8"/>
    <s v="Karandighi"/>
    <s v="User Not Mapped"/>
    <s v="User Not Mapped"/>
    <s v="User Not Mapped"/>
    <n v="586720"/>
    <s v="PRANAB FERTILIZER"/>
    <s v="Private Retailer"/>
    <s v="9434565654"/>
    <n v="7.5"/>
    <n v="1251"/>
    <x v="7"/>
    <m/>
    <s v="2022-11-23"/>
    <s v="1265559"/>
    <s v="M/S BASAK AND SONS"/>
    <s v="9434458269"/>
  </r>
  <r>
    <s v="RCF Trombay"/>
    <s v="15-15-15"/>
    <s v="WB"/>
    <x v="8"/>
    <s v="Karandighi"/>
    <s v="User Not Mapped"/>
    <s v="User Not Mapped"/>
    <s v="User Not Mapped"/>
    <n v="586720"/>
    <s v="PRANAB FERTILIZER"/>
    <s v="Private Retailer"/>
    <s v="9434565654"/>
    <n v="3.4"/>
    <n v="1258"/>
    <x v="7"/>
    <m/>
    <s v="2022-11-16"/>
    <s v="1084859"/>
    <s v="BISWAS FERTILIZER"/>
    <s v="9635905766"/>
  </r>
  <r>
    <s v="RCF Trombay"/>
    <s v="15-15-15"/>
    <s v="WB"/>
    <x v="8"/>
    <s v="Karandighi"/>
    <s v="User Not Mapped"/>
    <s v="User Not Mapped"/>
    <s v="User Not Mapped"/>
    <n v="647513"/>
    <s v="MANOJ AGARWALA"/>
    <s v="Private Retailer"/>
    <s v="9475673341"/>
    <n v="9.75"/>
    <n v="62"/>
    <x v="2"/>
    <m/>
    <s v="2026-02-24"/>
    <s v="254617"/>
    <s v="M/s. R.K.Fertilizers"/>
    <s v="9932191695"/>
  </r>
  <r>
    <s v="RCF Thal"/>
    <s v="N.C.Urea(45kg)"/>
    <s v="WB"/>
    <x v="8"/>
    <s v="Karandighi"/>
    <s v="User Not Mapped"/>
    <s v="User Not Mapped"/>
    <s v="User Not Mapped"/>
    <n v="655429"/>
    <s v="M/S. Md. Mafiz Alam"/>
    <s v="Private Retailer"/>
    <s v="9732347319"/>
    <n v="4.7249999999999996"/>
    <n v="123"/>
    <x v="0"/>
    <m/>
    <s v="2025-12-25"/>
    <s v="342392"/>
    <s v="M/s. Kanailal Kedar Prasad"/>
    <s v="7407719515"/>
  </r>
  <r>
    <s v="RCF Thal"/>
    <s v="N.C.Urea(45kg)"/>
    <s v="WB"/>
    <x v="8"/>
    <s v="Karandighi"/>
    <s v="User Not Mapped"/>
    <s v="User Not Mapped"/>
    <s v="User Not Mapped"/>
    <n v="730632"/>
    <s v="M/S MD.JAMIM AKHTAR"/>
    <s v="Private Retailer"/>
    <s v="9832665533"/>
    <n v="3.645"/>
    <n v="95"/>
    <x v="5"/>
    <m/>
    <s v="2026-01-22"/>
    <s v="342392"/>
    <s v="M/s. Kanailal Kedar Prasad"/>
    <s v="7407719515"/>
  </r>
  <r>
    <s v="RCF Thal"/>
    <s v="N.C.Urea(45kg)"/>
    <s v="WB"/>
    <x v="8"/>
    <s v="Karandighi"/>
    <s v="User Not Mapped"/>
    <s v="User Not Mapped"/>
    <s v="User Not Mapped"/>
    <n v="853615"/>
    <s v="M/S-BABUL KUMAR SAHA"/>
    <s v="Private Retailer"/>
    <s v="7602912132"/>
    <n v="8.3699999999999992"/>
    <n v="95"/>
    <x v="5"/>
    <m/>
    <s v="2026-01-22"/>
    <s v="342392"/>
    <s v="M/s. Kanailal Kedar Prasad"/>
    <s v="7407719515"/>
  </r>
  <r>
    <s v="RCF Trombay"/>
    <s v="N.C.Urea(45kg)"/>
    <s v="WB"/>
    <x v="8"/>
    <s v="Karandighi"/>
    <s v="User Not Mapped"/>
    <s v="User Not Mapped"/>
    <s v="User Not Mapped"/>
    <n v="919531"/>
    <s v="MD KHALID HOSSAIN"/>
    <s v="Private Retailer"/>
    <s v="9851672804"/>
    <n v="4.2750000000000004"/>
    <n v="132"/>
    <x v="0"/>
    <m/>
    <s v="2025-12-16"/>
    <s v="342392"/>
    <s v="M/s. Kanailal Kedar Prasad"/>
    <s v="7407719515"/>
  </r>
  <r>
    <s v="RCF Thal"/>
    <s v="N.C.Urea(45kg)"/>
    <s v="WB"/>
    <x v="8"/>
    <s v="Karandighi"/>
    <s v="User Not Mapped"/>
    <s v="User Not Mapped"/>
    <s v="User Not Mapped"/>
    <n v="1097550"/>
    <s v="M/S SHILA SINHA"/>
    <s v="Private Retailer"/>
    <s v="9933131045"/>
    <n v="0.13500000000000001"/>
    <n v="1376"/>
    <x v="7"/>
    <m/>
    <s v="2022-07-21"/>
    <s v="255006"/>
    <s v="M/S PAUL FERTILIZER"/>
    <s v="8617668649"/>
  </r>
  <r>
    <s v="RCF Trombay"/>
    <s v="15-15-15"/>
    <s v="WB"/>
    <x v="8"/>
    <s v="Karandighi"/>
    <s v="User Not Mapped"/>
    <s v="User Not Mapped"/>
    <s v="User Not Mapped"/>
    <n v="1296608"/>
    <s v="HAQUE FERTILIZERS"/>
    <s v="Private Retailer"/>
    <s v="9593269526"/>
    <n v="0.05"/>
    <n v="1129"/>
    <x v="7"/>
    <m/>
    <s v="2023-03-25"/>
    <s v="310820"/>
    <s v=" Balajee Agro Centre"/>
    <s v="9064874336"/>
  </r>
  <r>
    <s v="RCF Trombay"/>
    <s v="15-15-15"/>
    <s v="WB"/>
    <x v="8"/>
    <s v="Karandighi"/>
    <s v="User Not Mapped"/>
    <s v="User Not Mapped"/>
    <s v="User Not Mapped"/>
    <n v="1436302"/>
    <s v="M/S MD ANADUL HAQUE"/>
    <s v="Private Retailer"/>
    <s v="7484078279"/>
    <n v="1"/>
    <n v="31"/>
    <x v="1"/>
    <m/>
    <s v="2026-03-27"/>
    <s v="255006"/>
    <s v="M/S PAUL FERTILIZER"/>
    <s v="8617668649"/>
  </r>
  <r>
    <s v="RCF Thal"/>
    <s v="N.C.Urea(45kg)"/>
    <s v="WB"/>
    <x v="8"/>
    <s v="Karandighi"/>
    <s v="User Not Mapped"/>
    <s v="User Not Mapped"/>
    <s v="User Not Mapped"/>
    <n v="1597160"/>
    <s v="KRISHI BAHAR AGRO ENTERPRISE"/>
    <s v="Private Retailer"/>
    <s v="6295352793"/>
    <n v="8.64"/>
    <n v="264"/>
    <x v="3"/>
    <m/>
    <s v="2025-08-06"/>
    <s v="342392"/>
    <s v="M/s. Kanailal Kedar Prasad"/>
    <s v="7407719515"/>
  </r>
  <r>
    <s v="RCF Thal"/>
    <s v="N.C.Urea(45kg)"/>
    <s v="WB"/>
    <x v="8"/>
    <s v="Karandighi"/>
    <s v="User Not Mapped"/>
    <s v="User Not Mapped"/>
    <s v="User Not Mapped"/>
    <n v="1597160"/>
    <s v="KRISHI BAHAR AGRO ENTERPRISE"/>
    <s v="Private Retailer"/>
    <s v="6295352793"/>
    <n v="11.025"/>
    <n v="131"/>
    <x v="0"/>
    <m/>
    <s v="2025-12-17"/>
    <s v="342392"/>
    <s v="M/s. Kanailal Kedar Prasad"/>
    <s v="7407719515"/>
  </r>
  <r>
    <s v="RCF Trombay"/>
    <s v="N.C.Urea(45kg)"/>
    <s v="WB"/>
    <x v="8"/>
    <s v="Karandighi"/>
    <s v="User Not Mapped"/>
    <s v="User Not Mapped"/>
    <s v="User Not Mapped"/>
    <n v="1607744"/>
    <s v="M/S BAIJ NATH YADAV"/>
    <s v="Private Retailer"/>
    <s v="8918297368"/>
    <n v="10.125"/>
    <n v="132"/>
    <x v="0"/>
    <m/>
    <s v="2025-12-16"/>
    <s v="342392"/>
    <s v="M/s. Kanailal Kedar Prasad"/>
    <s v="7407719515"/>
  </r>
  <r>
    <s v="RCF Trombay"/>
    <s v="15-15-15"/>
    <s v="WB"/>
    <x v="8"/>
    <s v="Raiganj"/>
    <s v="User Not Mapped"/>
    <s v="User Not Mapped"/>
    <s v="User Not Mapped"/>
    <n v="233531"/>
    <s v="Goutam Kumar Saha"/>
    <s v="Private Retailer"/>
    <s v="9475104113"/>
    <n v="7"/>
    <n v="65"/>
    <x v="2"/>
    <m/>
    <s v="2026-02-21"/>
    <s v="1084859"/>
    <s v="BISWAS FERTILIZER"/>
    <s v="9635905766"/>
  </r>
  <r>
    <s v="RCF Trombay"/>
    <s v="15-15-15"/>
    <s v="WB"/>
    <x v="8"/>
    <s v="Raiganj"/>
    <s v="User Not Mapped"/>
    <s v="User Not Mapped"/>
    <s v="User Not Mapped"/>
    <n v="233577"/>
    <s v="Parimal Chanda Das"/>
    <s v="Private Retailer"/>
    <s v="9933392689"/>
    <n v="1"/>
    <n v="1141"/>
    <x v="7"/>
    <m/>
    <s v="2023-03-13"/>
    <s v="1265559"/>
    <s v="M/S BASAK AND SONS"/>
    <s v="9434458269"/>
  </r>
  <r>
    <s v="RCF Thal"/>
    <s v="N.C.Urea(45kg)"/>
    <s v="WB"/>
    <x v="8"/>
    <s v="Raiganj"/>
    <s v="User Not Mapped"/>
    <s v="User Not Mapped"/>
    <s v="User Not Mapped"/>
    <n v="233579"/>
    <s v="Pranab Narayan Shome"/>
    <s v="Private Retailer"/>
    <s v="7001328091"/>
    <n v="9"/>
    <n v="71"/>
    <x v="2"/>
    <m/>
    <s v="2026-02-15"/>
    <s v="342392"/>
    <s v="M/s. Kanailal Kedar Prasad"/>
    <s v="7407719515"/>
  </r>
  <r>
    <s v="RCF Trombay"/>
    <s v="N.C.Urea(45kg)"/>
    <s v="WB"/>
    <x v="8"/>
    <s v="Raiganj"/>
    <s v="User Not Mapped"/>
    <s v="User Not Mapped"/>
    <s v="User Not Mapped"/>
    <n v="233579"/>
    <s v="Pranab Narayan Shome"/>
    <s v="Private Retailer"/>
    <s v="7001328091"/>
    <n v="9.36"/>
    <n v="171"/>
    <x v="0"/>
    <m/>
    <s v="2025-11-07"/>
    <s v="342392"/>
    <s v="M/s. Kanailal Kedar Prasad"/>
    <s v="7407719515"/>
  </r>
  <r>
    <s v="RCF Trombay"/>
    <s v="15-15-15"/>
    <s v="WB"/>
    <x v="8"/>
    <s v="Raiganj"/>
    <s v="User Not Mapped"/>
    <s v="User Not Mapped"/>
    <s v="User Not Mapped"/>
    <n v="233580"/>
    <s v="Prasanta Kumar Mandal"/>
    <s v="Private Retailer"/>
    <s v="8348091821"/>
    <n v="1"/>
    <n v="129"/>
    <x v="0"/>
    <m/>
    <s v="2025-12-19"/>
    <s v="1084859"/>
    <s v="BISWAS FERTILIZER"/>
    <s v="9635905766"/>
  </r>
  <r>
    <s v="RCF Trombay"/>
    <s v="15-15-15"/>
    <s v="WB"/>
    <x v="8"/>
    <s v="Raiganj"/>
    <s v="User Not Mapped"/>
    <s v="User Not Mapped"/>
    <s v="User Not Mapped"/>
    <n v="233580"/>
    <s v="Prasanta Kumar Mandal"/>
    <s v="Private Retailer"/>
    <s v="8348091821"/>
    <n v="1.9E-2"/>
    <n v="263"/>
    <x v="3"/>
    <m/>
    <s v="2025-08-07"/>
    <s v="1084859"/>
    <s v="BISWAS FERTILIZER"/>
    <s v="9635905766"/>
  </r>
  <r>
    <s v="RCF Thal"/>
    <s v="N.C.Urea(45kg)"/>
    <s v="WB"/>
    <x v="8"/>
    <s v="Raiganj"/>
    <s v="User Not Mapped"/>
    <s v="User Not Mapped"/>
    <s v="User Not Mapped"/>
    <n v="281599"/>
    <s v="Sonabari  Uttar O Gobindapur S"/>
    <s v="PACS"/>
    <s v="9734127722"/>
    <n v="4.5449999999999999"/>
    <n v="451"/>
    <x v="6"/>
    <m/>
    <s v="2025-01-31"/>
    <s v="342392"/>
    <s v="M/s. Kanailal Kedar Prasad"/>
    <s v="7407719515"/>
  </r>
  <r>
    <s v="RCF Thal"/>
    <s v="N.C.Urea(45kg)"/>
    <s v="WB"/>
    <x v="8"/>
    <s v="Raiganj"/>
    <s v="User Not Mapped"/>
    <s v="User Not Mapped"/>
    <s v="User Not Mapped"/>
    <n v="341431"/>
    <s v="Habibur Rahaman"/>
    <s v="Private Retailer"/>
    <s v="9734104004"/>
    <n v="0.09"/>
    <n v="94"/>
    <x v="5"/>
    <m/>
    <s v="2026-01-23"/>
    <s v="342392"/>
    <s v="M/s. Kanailal Kedar Prasad"/>
    <s v="7407719515"/>
  </r>
  <r>
    <s v="RCF Thal"/>
    <s v="N.C.Urea(45kg)"/>
    <s v="WB"/>
    <x v="8"/>
    <s v="Raiganj"/>
    <s v="User Not Mapped"/>
    <s v="User Not Mapped"/>
    <s v="User Not Mapped"/>
    <n v="341479"/>
    <s v="Hekim Ali"/>
    <s v="Private Retailer"/>
    <s v="9593628482"/>
    <n v="3.24"/>
    <n v="411"/>
    <x v="6"/>
    <m/>
    <s v="2025-03-12"/>
    <s v="342392"/>
    <s v="M/s. Kanailal Kedar Prasad"/>
    <s v="7407719515"/>
  </r>
  <r>
    <s v="RCF Trombay"/>
    <s v="15-15-15"/>
    <s v="WB"/>
    <x v="8"/>
    <s v="Raiganj"/>
    <s v="User Not Mapped"/>
    <s v="User Not Mapped"/>
    <s v="User Not Mapped"/>
    <n v="341729"/>
    <s v="M/S LAXMI ENTERPRISE"/>
    <s v="Private Retailer"/>
    <s v="9474438816"/>
    <n v="8.5"/>
    <n v="126"/>
    <x v="0"/>
    <m/>
    <s v="2025-12-22"/>
    <s v="1335783"/>
    <s v="M/S LAXMI ENTERPRISE"/>
    <s v="7001660752"/>
  </r>
  <r>
    <s v="RCF Trombay"/>
    <s v="15-15-15"/>
    <s v="WB"/>
    <x v="8"/>
    <s v="Raiganj"/>
    <s v="User Not Mapped"/>
    <s v="User Not Mapped"/>
    <s v="User Not Mapped"/>
    <n v="341752"/>
    <s v="MAA LAXMI SAR BHANDER"/>
    <s v="Private Retailer"/>
    <s v="9547479591"/>
    <n v="2.25"/>
    <n v="46"/>
    <x v="1"/>
    <m/>
    <s v="2026-03-12"/>
    <s v="651626"/>
    <s v="M/S RADHA KRISHNA SAR BHANDAR"/>
    <s v="9735437617"/>
  </r>
  <r>
    <s v="RCF Trombay"/>
    <s v="15-15-15"/>
    <s v="WB"/>
    <x v="8"/>
    <s v="Raiganj"/>
    <s v="User Not Mapped"/>
    <s v="User Not Mapped"/>
    <s v="User Not Mapped"/>
    <n v="341945"/>
    <s v="Modak Sar Bhandar"/>
    <s v="Private Retailer"/>
    <s v="9593212675"/>
    <n v="0.7"/>
    <n v="632"/>
    <x v="7"/>
    <m/>
    <s v="2024-08-03"/>
    <s v="949278"/>
    <s v="GHOSH FERTILIZER"/>
    <s v="9434967172"/>
  </r>
  <r>
    <s v="RCF Trombay"/>
    <s v="15-15-15"/>
    <s v="WB"/>
    <x v="8"/>
    <s v="Raiganj"/>
    <s v="User Not Mapped"/>
    <s v="User Not Mapped"/>
    <s v="User Not Mapped"/>
    <n v="341945"/>
    <s v="Modak Sar Bhandar"/>
    <s v="Private Retailer"/>
    <s v="9593212675"/>
    <n v="0.5"/>
    <n v="358"/>
    <x v="3"/>
    <m/>
    <s v="2025-05-04"/>
    <s v="876168"/>
    <s v="M/s. NEW LAXMI FERTILIZERS"/>
    <s v="8207270798"/>
  </r>
  <r>
    <s v="RCF Thal"/>
    <s v="N.C.Urea(45kg)"/>
    <s v="WB"/>
    <x v="8"/>
    <s v="Raiganj"/>
    <s v="User Not Mapped"/>
    <s v="User Not Mapped"/>
    <s v="User Not Mapped"/>
    <n v="341945"/>
    <s v="Modak Sar Bhandar"/>
    <s v="Private Retailer"/>
    <s v="9593212675"/>
    <n v="4.0049999999999999"/>
    <n v="133"/>
    <x v="0"/>
    <m/>
    <s v="2025-12-15"/>
    <s v="342392"/>
    <s v="M/s. Kanailal Kedar Prasad"/>
    <s v="7407719515"/>
  </r>
  <r>
    <s v="RCF Trombay"/>
    <s v="15-15-15"/>
    <s v="WB"/>
    <x v="8"/>
    <s v="Raiganj"/>
    <s v="User Not Mapped"/>
    <s v="User Not Mapped"/>
    <s v="User Not Mapped"/>
    <n v="354948"/>
    <s v="Gobinda Chandra  Paul"/>
    <s v="Private Retailer"/>
    <s v="7001347202"/>
    <n v="0.4"/>
    <n v="62"/>
    <x v="2"/>
    <m/>
    <s v="2026-02-24"/>
    <s v="949278"/>
    <s v="GHOSH FERTILIZER"/>
    <s v="9434967172"/>
  </r>
  <r>
    <s v="RCF Trombay"/>
    <s v="N.C.Urea(45kg)"/>
    <s v="WB"/>
    <x v="8"/>
    <s v="Raiganj"/>
    <s v="User Not Mapped"/>
    <s v="User Not Mapped"/>
    <s v="User Not Mapped"/>
    <n v="356060"/>
    <s v="RATAN KUMAR DEB"/>
    <s v="Private Retailer"/>
    <s v="9733114040"/>
    <n v="2.1150000000000002"/>
    <n v="132"/>
    <x v="0"/>
    <m/>
    <s v="2025-12-16"/>
    <s v="342392"/>
    <s v="M/s. Kanailal Kedar Prasad"/>
    <s v="7407719515"/>
  </r>
  <r>
    <s v="RCF Trombay"/>
    <s v="15-15-15"/>
    <s v="WB"/>
    <x v="8"/>
    <s v="Raiganj"/>
    <s v="User Not Mapped"/>
    <s v="User Not Mapped"/>
    <s v="User Not Mapped"/>
    <n v="356087"/>
    <s v="Sabnam Fertiliser"/>
    <s v="Private Retailer"/>
    <s v="9933402347"/>
    <n v="0.9"/>
    <n v="82"/>
    <x v="2"/>
    <m/>
    <s v="2026-02-04"/>
    <s v="651626"/>
    <s v="M/S RADHA KRISHNA SAR BHANDAR"/>
    <s v="9735437617"/>
  </r>
  <r>
    <s v="RCF Trombay"/>
    <s v="15-15-15"/>
    <s v="WB"/>
    <x v="8"/>
    <s v="Raiganj"/>
    <s v="User Not Mapped"/>
    <s v="User Not Mapped"/>
    <s v="User Not Mapped"/>
    <n v="356087"/>
    <s v="Sabnam Fertiliser"/>
    <s v="Private Retailer"/>
    <s v="9933402347"/>
    <n v="0.75"/>
    <n v="46"/>
    <x v="1"/>
    <m/>
    <s v="2026-03-12"/>
    <s v="651626"/>
    <s v="M/S RADHA KRISHNA SAR BHANDAR"/>
    <s v="9735437617"/>
  </r>
  <r>
    <s v="RCF Trombay"/>
    <s v="15-15-15"/>
    <s v="WB"/>
    <x v="8"/>
    <s v="Raiganj"/>
    <s v="User Not Mapped"/>
    <s v="User Not Mapped"/>
    <s v="User Not Mapped"/>
    <n v="456540"/>
    <s v="SHYAMAL PAUL"/>
    <s v="Private Retailer"/>
    <s v="8250912870"/>
    <n v="0.2"/>
    <n v="1140"/>
    <x v="7"/>
    <m/>
    <s v="2023-03-14"/>
    <s v="1082772"/>
    <s v="KIRAN AGRO"/>
    <s v="7001938584"/>
  </r>
  <r>
    <s v="RCF Thal"/>
    <s v="N.C.Urea(45kg)"/>
    <s v="WB"/>
    <x v="8"/>
    <s v="Raiganj"/>
    <s v="User Not Mapped"/>
    <s v="User Not Mapped"/>
    <s v="User Not Mapped"/>
    <n v="456544"/>
    <s v="Shankar Mandal"/>
    <s v="Private Retailer"/>
    <s v="9474139854"/>
    <n v="6.48"/>
    <n v="451"/>
    <x v="6"/>
    <m/>
    <s v="2025-01-31"/>
    <s v="342392"/>
    <s v="M/s. Kanailal Kedar Prasad"/>
    <s v="7407719515"/>
  </r>
  <r>
    <s v="RCF Trombay"/>
    <s v="15-15-15"/>
    <s v="WB"/>
    <x v="8"/>
    <s v="Raiganj"/>
    <s v="User Not Mapped"/>
    <s v="User Not Mapped"/>
    <s v="User Not Mapped"/>
    <n v="456550"/>
    <s v="Maa Kali Sar Bhandar"/>
    <s v="Private Retailer"/>
    <s v="9775489507"/>
    <n v="0.25"/>
    <n v="312"/>
    <x v="3"/>
    <m/>
    <s v="2025-06-19"/>
    <s v="876168"/>
    <s v="M/s. NEW LAXMI FERTILIZERS"/>
    <s v="8207270798"/>
  </r>
  <r>
    <s v="RCF Trombay"/>
    <s v="15-15-15"/>
    <s v="WB"/>
    <x v="8"/>
    <s v="Raiganj"/>
    <s v="User Not Mapped"/>
    <s v="User Not Mapped"/>
    <s v="User Not Mapped"/>
    <n v="456550"/>
    <s v="Maa Kali Sar Bhandar"/>
    <s v="Private Retailer"/>
    <s v="9775489507"/>
    <n v="0.25"/>
    <n v="292"/>
    <x v="3"/>
    <m/>
    <s v="2025-07-09"/>
    <s v="876168"/>
    <s v="M/s. NEW LAXMI FERTILIZERS"/>
    <s v="8207270798"/>
  </r>
  <r>
    <s v="RCF Trombay"/>
    <s v="15-15-15"/>
    <s v="WB"/>
    <x v="8"/>
    <s v="Raiganj"/>
    <s v="User Not Mapped"/>
    <s v="User Not Mapped"/>
    <s v="User Not Mapped"/>
    <n v="456550"/>
    <s v="Maa Kali Sar Bhandar"/>
    <s v="Private Retailer"/>
    <s v="9775489507"/>
    <n v="0.5"/>
    <n v="770"/>
    <x v="7"/>
    <m/>
    <s v="2024-03-18"/>
    <s v="876168"/>
    <s v="M/s. NEW LAXMI FERTILIZERS"/>
    <s v="8207270798"/>
  </r>
  <r>
    <s v="RCF Trombay"/>
    <s v="15-15-15"/>
    <s v="WB"/>
    <x v="8"/>
    <s v="Raiganj"/>
    <s v="User Not Mapped"/>
    <s v="User Not Mapped"/>
    <s v="User Not Mapped"/>
    <n v="456550"/>
    <s v="Maa Kali Sar Bhandar"/>
    <s v="Private Retailer"/>
    <s v="9775489507"/>
    <n v="0.25"/>
    <n v="732"/>
    <x v="7"/>
    <m/>
    <s v="2024-04-25"/>
    <s v="876168"/>
    <s v="M/s. NEW LAXMI FERTILIZERS"/>
    <s v="8207270798"/>
  </r>
  <r>
    <s v="RCF Import"/>
    <s v="MOP"/>
    <s v="WB"/>
    <x v="8"/>
    <s v="Raiganj"/>
    <s v="User Not Mapped"/>
    <s v="User Not Mapped"/>
    <s v="User Not Mapped"/>
    <n v="456550"/>
    <s v="Maa Kali Sar Bhandar"/>
    <s v="Private Retailer"/>
    <s v="9775489507"/>
    <n v="0.25"/>
    <n v="520"/>
    <x v="6"/>
    <m/>
    <s v="2024-11-23"/>
    <s v="876168"/>
    <s v="M/s. NEW LAXMI FERTILIZERS"/>
    <s v="8207270798"/>
  </r>
  <r>
    <s v="RCF Import"/>
    <s v="MOP"/>
    <s v="WB"/>
    <x v="8"/>
    <s v="Raiganj"/>
    <s v="User Not Mapped"/>
    <s v="User Not Mapped"/>
    <s v="User Not Mapped"/>
    <n v="456550"/>
    <s v="Maa Kali Sar Bhandar"/>
    <s v="Private Retailer"/>
    <s v="9775489507"/>
    <n v="0.5"/>
    <n v="467"/>
    <x v="6"/>
    <m/>
    <s v="2025-01-15"/>
    <s v="876168"/>
    <s v="M/s. NEW LAXMI FERTILIZERS"/>
    <s v="8207270798"/>
  </r>
  <r>
    <s v="RCF Thal"/>
    <s v="N.C.Urea(45kg)"/>
    <s v="WB"/>
    <x v="8"/>
    <s v="Raiganj"/>
    <s v="User Not Mapped"/>
    <s v="User Not Mapped"/>
    <s v="User Not Mapped"/>
    <n v="456550"/>
    <s v="Maa Kali Sar Bhandar"/>
    <s v="Private Retailer"/>
    <s v="9775489507"/>
    <n v="0.40500000000000003"/>
    <n v="1137"/>
    <x v="7"/>
    <m/>
    <s v="2023-03-17"/>
    <s v="876168"/>
    <s v="M/s. NEW LAXMI FERTILIZERS"/>
    <s v="8207270798"/>
  </r>
  <r>
    <s v="RCF Import"/>
    <s v="MOP"/>
    <s v="WB"/>
    <x v="8"/>
    <s v="Raiganj"/>
    <s v="User Not Mapped"/>
    <s v="User Not Mapped"/>
    <s v="User Not Mapped"/>
    <n v="456550"/>
    <s v="Maa Kali Sar Bhandar"/>
    <s v="Private Retailer"/>
    <s v="9775489507"/>
    <n v="1.75"/>
    <n v="581"/>
    <x v="7"/>
    <m/>
    <s v="2024-09-23"/>
    <s v="651626"/>
    <s v="M/S RADHA KRISHNA SAR BHANDAR"/>
    <s v="9735437617"/>
  </r>
  <r>
    <s v="RCF Thal"/>
    <s v="N.C.Urea(45kg)"/>
    <s v="WB"/>
    <x v="8"/>
    <s v="Raiganj"/>
    <s v="User Not Mapped"/>
    <s v="User Not Mapped"/>
    <s v="User Not Mapped"/>
    <n v="457448"/>
    <s v="Sonali Sar Bhandar"/>
    <s v="Private Retailer"/>
    <s v="9734419872"/>
    <n v="1.2150000000000001"/>
    <n v="460"/>
    <x v="6"/>
    <m/>
    <s v="2025-01-22"/>
    <s v="1036451"/>
    <s v="PRANAB NARAYAN SHOME"/>
    <s v="7001328091"/>
  </r>
  <r>
    <s v="RCF Import"/>
    <s v="MOP"/>
    <s v="WB"/>
    <x v="8"/>
    <s v="Raiganj"/>
    <s v="User Not Mapped"/>
    <s v="User Not Mapped"/>
    <s v="User Not Mapped"/>
    <n v="457448"/>
    <s v="Sonali Sar Bhandar"/>
    <s v="Private Retailer"/>
    <s v="9734419872"/>
    <n v="0.95"/>
    <n v="446"/>
    <x v="6"/>
    <m/>
    <s v="2025-02-05"/>
    <s v="1036451"/>
    <s v="PRANAB NARAYAN SHOME"/>
    <s v="7001328091"/>
  </r>
  <r>
    <s v="RCF Trombay"/>
    <s v="N.C.Urea(45kg)"/>
    <s v="WB"/>
    <x v="8"/>
    <s v="Raiganj"/>
    <s v="User Not Mapped"/>
    <s v="User Not Mapped"/>
    <s v="User Not Mapped"/>
    <n v="457527"/>
    <s v="Ajit  Ghosh"/>
    <s v="Private Retailer"/>
    <s v="7001336815"/>
    <n v="0.67500000000000004"/>
    <n v="72"/>
    <x v="2"/>
    <m/>
    <s v="2026-02-14"/>
    <s v="1084859"/>
    <s v="BISWAS FERTILIZER"/>
    <s v="9635905766"/>
  </r>
  <r>
    <s v="RCF Thal"/>
    <s v="N.C.Urea(45kg)"/>
    <s v="WB"/>
    <x v="8"/>
    <s v="Raiganj"/>
    <s v="User Not Mapped"/>
    <s v="User Not Mapped"/>
    <s v="User Not Mapped"/>
    <n v="457531"/>
    <s v="New  Laxmi Fertilizers"/>
    <s v="Private Retailer"/>
    <s v="8207270798"/>
    <n v="2.3849999999999998"/>
    <n v="145"/>
    <x v="0"/>
    <m/>
    <s v="2025-12-03"/>
    <s v="342392"/>
    <s v="M/s. Kanailal Kedar Prasad"/>
    <s v="7407719515"/>
  </r>
  <r>
    <s v="RCF Thal"/>
    <s v="N.C.Urea(45kg)"/>
    <s v="WB"/>
    <x v="8"/>
    <s v="Raiganj"/>
    <s v="User Not Mapped"/>
    <s v="User Not Mapped"/>
    <s v="User Not Mapped"/>
    <n v="457531"/>
    <s v="New  Laxmi Fertilizers"/>
    <s v="Private Retailer"/>
    <s v="8207270798"/>
    <n v="11.025"/>
    <n v="71"/>
    <x v="2"/>
    <m/>
    <s v="2026-02-15"/>
    <s v="342392"/>
    <s v="M/s. Kanailal Kedar Prasad"/>
    <s v="7407719515"/>
  </r>
  <r>
    <s v="RCF Trombay"/>
    <s v="15-15-15"/>
    <s v="WB"/>
    <x v="8"/>
    <s v="Raiganj"/>
    <s v="User Not Mapped"/>
    <s v="User Not Mapped"/>
    <s v="User Not Mapped"/>
    <n v="457545"/>
    <s v="Makul  Sarkar"/>
    <s v="Private Retailer"/>
    <s v="9153917925"/>
    <n v="5.5"/>
    <n v="279"/>
    <x v="3"/>
    <m/>
    <s v="2025-07-22"/>
    <s v="1084859"/>
    <s v="BISWAS FERTILIZER"/>
    <s v="9635905766"/>
  </r>
  <r>
    <s v="RCF Trombay"/>
    <s v="15-15-15"/>
    <s v="WB"/>
    <x v="8"/>
    <s v="Raiganj"/>
    <s v="User Not Mapped"/>
    <s v="User Not Mapped"/>
    <s v="User Not Mapped"/>
    <n v="465702"/>
    <s v="M/S. MAA LAXMI SAR BHANDER"/>
    <s v="Private Retailer"/>
    <s v="9593831152"/>
    <n v="1.35"/>
    <n v="285"/>
    <x v="3"/>
    <m/>
    <s v="2025-07-16"/>
    <s v="342392"/>
    <s v="M/s. Kanailal Kedar Prasad"/>
    <s v="7407719515"/>
  </r>
  <r>
    <s v="RCF Thal"/>
    <s v="N.C.Urea(45kg)"/>
    <s v="WB"/>
    <x v="8"/>
    <s v="Raiganj"/>
    <s v="User Not Mapped"/>
    <s v="User Not Mapped"/>
    <s v="User Not Mapped"/>
    <n v="474295"/>
    <s v="NOOR ALAM"/>
    <s v="Private Retailer"/>
    <s v="9002346616"/>
    <n v="5.9850000000000003"/>
    <n v="94"/>
    <x v="5"/>
    <m/>
    <s v="2026-01-23"/>
    <s v="342392"/>
    <s v="M/s. Kanailal Kedar Prasad"/>
    <s v="7407719515"/>
  </r>
  <r>
    <s v="RCF Thal"/>
    <s v="N.C.Urea(45kg)"/>
    <s v="WB"/>
    <x v="8"/>
    <s v="Raiganj"/>
    <s v="User Not Mapped"/>
    <s v="User Not Mapped"/>
    <s v="User Not Mapped"/>
    <n v="491479"/>
    <s v="Roy Fertilizer"/>
    <s v="Private Retailer"/>
    <s v="9733337314"/>
    <n v="9.9450000000000003"/>
    <n v="264"/>
    <x v="3"/>
    <m/>
    <s v="2025-08-06"/>
    <s v="342392"/>
    <s v="M/s. Kanailal Kedar Prasad"/>
    <s v="7407719515"/>
  </r>
  <r>
    <s v="RCF Trombay"/>
    <s v="N.C.Urea(45kg)"/>
    <s v="WB"/>
    <x v="8"/>
    <s v="Raiganj"/>
    <s v="User Not Mapped"/>
    <s v="User Not Mapped"/>
    <s v="User Not Mapped"/>
    <n v="494653"/>
    <s v="Mahim Mahato"/>
    <s v="Private Retailer"/>
    <s v="9733801540"/>
    <n v="3.8250000000000002"/>
    <n v="123"/>
    <x v="0"/>
    <m/>
    <s v="2025-12-25"/>
    <s v="342392"/>
    <s v="M/s. Kanailal Kedar Prasad"/>
    <s v="7407719515"/>
  </r>
  <r>
    <s v="RCF Thal"/>
    <s v="N.C.Urea(45kg)"/>
    <s v="WB"/>
    <x v="8"/>
    <s v="Raiganj"/>
    <s v="User Not Mapped"/>
    <s v="User Not Mapped"/>
    <s v="User Not Mapped"/>
    <n v="513293"/>
    <s v="Ashim Sarkar"/>
    <s v="Private Retailer"/>
    <s v="9647721481"/>
    <n v="4.0049999999999999"/>
    <n v="153"/>
    <x v="0"/>
    <m/>
    <s v="2025-11-25"/>
    <s v="1146104"/>
    <s v="RAJA FERTILIZERS"/>
    <s v="8370801460"/>
  </r>
  <r>
    <s v="RCF Import"/>
    <s v="Imp 10-26-26"/>
    <s v="WB"/>
    <x v="8"/>
    <s v="Raiganj"/>
    <s v="User Not Mapped"/>
    <s v="User Not Mapped"/>
    <s v="User Not Mapped"/>
    <n v="538160"/>
    <s v="Sunendu Ghosh"/>
    <s v="Private Retailer"/>
    <s v="9531738344"/>
    <n v="0.25"/>
    <n v="58"/>
    <x v="1"/>
    <m/>
    <s v="2026-02-28"/>
    <s v="342392"/>
    <s v="M/s. Kanailal Kedar Prasad"/>
    <s v="7407719515"/>
  </r>
  <r>
    <s v="RCF Trombay"/>
    <s v="15-15-15"/>
    <s v="WB"/>
    <x v="8"/>
    <s v="Raiganj"/>
    <s v="User Not Mapped"/>
    <s v="User Not Mapped"/>
    <s v="User Not Mapped"/>
    <n v="538160"/>
    <s v="Sunendu Ghosh"/>
    <s v="Private Retailer"/>
    <s v="9531738344"/>
    <n v="0.85"/>
    <n v="285"/>
    <x v="3"/>
    <m/>
    <s v="2025-07-16"/>
    <s v="342392"/>
    <s v="M/s. Kanailal Kedar Prasad"/>
    <s v="7407719515"/>
  </r>
  <r>
    <s v="RCF Trombay"/>
    <s v="15-15-15"/>
    <s v="WB"/>
    <x v="8"/>
    <s v="Raiganj"/>
    <s v="User Not Mapped"/>
    <s v="User Not Mapped"/>
    <s v="User Not Mapped"/>
    <n v="540809"/>
    <s v="Sabbir Ali"/>
    <s v="Private Retailer"/>
    <s v="9733462245"/>
    <n v="0.25"/>
    <n v="44"/>
    <x v="1"/>
    <m/>
    <s v="2026-03-14"/>
    <s v="651626"/>
    <s v="M/S RADHA KRISHNA SAR BHANDAR"/>
    <s v="9735437617"/>
  </r>
  <r>
    <s v="RCF Trombay"/>
    <s v="15-15-15"/>
    <s v="WB"/>
    <x v="8"/>
    <s v="Raiganj"/>
    <s v="User Not Mapped"/>
    <s v="User Not Mapped"/>
    <s v="User Not Mapped"/>
    <n v="540809"/>
    <s v="Sabbir Ali"/>
    <s v="Private Retailer"/>
    <s v="9733462245"/>
    <n v="0.25"/>
    <n v="51"/>
    <x v="1"/>
    <m/>
    <s v="2026-03-07"/>
    <s v="651626"/>
    <s v="M/S RADHA KRISHNA SAR BHANDAR"/>
    <s v="9735437617"/>
  </r>
  <r>
    <s v="RCF Thal"/>
    <s v="N.C.Urea(45kg)"/>
    <s v="WB"/>
    <x v="8"/>
    <s v="Raiganj"/>
    <s v="User Not Mapped"/>
    <s v="User Not Mapped"/>
    <s v="User Not Mapped"/>
    <n v="545677"/>
    <s v="Osman Gani"/>
    <s v="Private Retailer"/>
    <s v="9733168865"/>
    <n v="2.6549999999999998"/>
    <n v="228"/>
    <x v="3"/>
    <m/>
    <s v="2025-09-11"/>
    <s v="342392"/>
    <s v="M/s. Kanailal Kedar Prasad"/>
    <s v="7407719515"/>
  </r>
  <r>
    <s v="RCF Thal"/>
    <s v="N.C.Urea(45kg)"/>
    <s v="WB"/>
    <x v="8"/>
    <s v="Raiganj"/>
    <s v="User Not Mapped"/>
    <s v="User Not Mapped"/>
    <s v="User Not Mapped"/>
    <n v="545677"/>
    <s v="Osman Gani"/>
    <s v="Private Retailer"/>
    <s v="9733168865"/>
    <n v="22.05"/>
    <n v="97"/>
    <x v="5"/>
    <m/>
    <s v="2026-01-20"/>
    <s v="342392"/>
    <s v="M/s. Kanailal Kedar Prasad"/>
    <s v="7407719515"/>
  </r>
  <r>
    <s v="RCF Trombay"/>
    <s v="15-15-15"/>
    <s v="WB"/>
    <x v="8"/>
    <s v="Raiganj"/>
    <s v="User Not Mapped"/>
    <s v="User Not Mapped"/>
    <s v="User Not Mapped"/>
    <n v="606361"/>
    <s v="SHEPAL BISWAS"/>
    <s v="Private Retailer"/>
    <s v="8637078174"/>
    <n v="0.7"/>
    <n v="279"/>
    <x v="3"/>
    <m/>
    <s v="2025-07-22"/>
    <s v="1084859"/>
    <s v="BISWAS FERTILIZER"/>
    <s v="9635905766"/>
  </r>
  <r>
    <s v="RCF Import"/>
    <s v="MOP"/>
    <s v="WB"/>
    <x v="8"/>
    <s v="Raiganj"/>
    <s v="User Not Mapped"/>
    <s v="User Not Mapped"/>
    <s v="User Not Mapped"/>
    <n v="624379"/>
    <s v="M/S SAMAY SARKAR"/>
    <s v="Private Retailer"/>
    <s v="7908016536"/>
    <n v="0.8"/>
    <n v="533"/>
    <x v="6"/>
    <m/>
    <s v="2024-11-10"/>
    <s v="1132426"/>
    <s v="M/S KRISHI DISHA"/>
    <s v="6294430316"/>
  </r>
  <r>
    <s v="RCF Trombay"/>
    <s v="15-15-15"/>
    <s v="WB"/>
    <x v="8"/>
    <s v="Raiganj"/>
    <s v="User Not Mapped"/>
    <s v="User Not Mapped"/>
    <s v="User Not Mapped"/>
    <n v="632990"/>
    <s v="M/S Bodirud Zamal"/>
    <s v="Private Retailer"/>
    <s v="8617096481"/>
    <n v="0.5"/>
    <n v="176"/>
    <x v="0"/>
    <m/>
    <s v="2025-11-02"/>
    <s v="1049081"/>
    <s v="ABU TAHIR"/>
    <s v="9733293920"/>
  </r>
  <r>
    <s v="RCF Trombay"/>
    <s v="N.C.Urea(45kg)"/>
    <s v="WB"/>
    <x v="8"/>
    <s v="Raiganj"/>
    <s v="User Not Mapped"/>
    <s v="User Not Mapped"/>
    <s v="User Not Mapped"/>
    <n v="632994"/>
    <s v="M/S Abul Mahammad"/>
    <s v="Private Retailer"/>
    <s v="8348923886"/>
    <n v="8.5500000000000007"/>
    <n v="131"/>
    <x v="0"/>
    <m/>
    <s v="2025-12-17"/>
    <s v="342392"/>
    <s v="M/s. Kanailal Kedar Prasad"/>
    <s v="7407719515"/>
  </r>
  <r>
    <s v="RCF Trombay"/>
    <s v="N.C.Urea(45kg)"/>
    <s v="WB"/>
    <x v="8"/>
    <s v="Raiganj"/>
    <s v="User Not Mapped"/>
    <s v="User Not Mapped"/>
    <s v="User Not Mapped"/>
    <n v="633428"/>
    <s v="MAJIBUR RAHAMAN"/>
    <s v="Private Retailer"/>
    <s v="9635044685"/>
    <n v="0.63"/>
    <n v="524"/>
    <x v="6"/>
    <m/>
    <s v="2024-11-19"/>
    <s v="1335783"/>
    <s v="M/S LAXMI ENTERPRISE"/>
    <s v="7001660752"/>
  </r>
  <r>
    <s v="RCF Import"/>
    <s v="MOP"/>
    <s v="WB"/>
    <x v="8"/>
    <s v="Raiganj"/>
    <s v="User Not Mapped"/>
    <s v="User Not Mapped"/>
    <s v="User Not Mapped"/>
    <n v="633428"/>
    <s v="MAJIBUR RAHAMAN"/>
    <s v="Private Retailer"/>
    <s v="9635044685"/>
    <n v="0.7"/>
    <n v="524"/>
    <x v="6"/>
    <m/>
    <s v="2024-11-19"/>
    <s v="1335783"/>
    <s v="M/S LAXMI ENTERPRISE"/>
    <s v="7001660752"/>
  </r>
  <r>
    <s v="RCF Trombay"/>
    <s v="15-15-15"/>
    <s v="WB"/>
    <x v="8"/>
    <s v="Raiganj"/>
    <s v="User Not Mapped"/>
    <s v="User Not Mapped"/>
    <s v="User Not Mapped"/>
    <n v="633434"/>
    <s v="M/S ASHA ENTERPRISE"/>
    <s v="Private Retailer"/>
    <s v="9733202386"/>
    <n v="0.45"/>
    <n v="1129"/>
    <x v="7"/>
    <m/>
    <s v="2023-03-25"/>
    <s v="1161963"/>
    <s v="M/S PANDEY AND SONS"/>
    <s v="9614822447"/>
  </r>
  <r>
    <s v="RCF Thal"/>
    <s v="N.C.Urea(45kg)"/>
    <s v="WB"/>
    <x v="8"/>
    <s v="Raiganj"/>
    <s v="User Not Mapped"/>
    <s v="User Not Mapped"/>
    <s v="User Not Mapped"/>
    <n v="633434"/>
    <s v="M/S ASHA ENTERPRISE"/>
    <s v="Private Retailer"/>
    <s v="9733202386"/>
    <n v="0.54"/>
    <n v="266"/>
    <x v="3"/>
    <m/>
    <s v="2025-08-04"/>
    <s v="342392"/>
    <s v="M/s. Kanailal Kedar Prasad"/>
    <s v="7407719515"/>
  </r>
  <r>
    <s v="RCF Thal"/>
    <s v="N.C.Urea(45kg)"/>
    <s v="WB"/>
    <x v="8"/>
    <s v="Raiganj"/>
    <s v="User Not Mapped"/>
    <s v="User Not Mapped"/>
    <s v="User Not Mapped"/>
    <n v="633438"/>
    <s v="M/S KRISHI BIPLAB"/>
    <s v="Private Retailer"/>
    <s v="8016779594"/>
    <n v="2.52"/>
    <n v="367"/>
    <x v="6"/>
    <m/>
    <s v="2025-04-25"/>
    <s v="342392"/>
    <s v="M/s. Kanailal Kedar Prasad"/>
    <s v="7407719515"/>
  </r>
  <r>
    <s v="RCF Thal"/>
    <s v="N.C.Urea(45kg)"/>
    <s v="WB"/>
    <x v="8"/>
    <s v="Raiganj"/>
    <s v="User Not Mapped"/>
    <s v="User Not Mapped"/>
    <s v="User Not Mapped"/>
    <n v="633438"/>
    <s v="M/S KRISHI BIPLAB"/>
    <s v="Private Retailer"/>
    <s v="8016779594"/>
    <n v="5.5350000000000001"/>
    <n v="266"/>
    <x v="3"/>
    <m/>
    <s v="2025-08-04"/>
    <s v="342392"/>
    <s v="M/s. Kanailal Kedar Prasad"/>
    <s v="7407719515"/>
  </r>
  <r>
    <s v="RCF Thal"/>
    <s v="N.C.Urea(45kg)"/>
    <s v="WB"/>
    <x v="8"/>
    <s v="Raiganj"/>
    <s v="User Not Mapped"/>
    <s v="User Not Mapped"/>
    <s v="User Not Mapped"/>
    <n v="643477"/>
    <s v="M/S MAA TARA FERTLIZER WHOLESA"/>
    <s v="Private Retailer"/>
    <s v="9733253016"/>
    <n v="1.0349999999999999"/>
    <n v="296"/>
    <x v="3"/>
    <m/>
    <s v="2025-07-05"/>
    <s v="342392"/>
    <s v="M/s. Kanailal Kedar Prasad"/>
    <s v="7407719515"/>
  </r>
  <r>
    <s v="RCF Trombay"/>
    <s v="15-15-15"/>
    <s v="WB"/>
    <x v="8"/>
    <s v="Raiganj"/>
    <s v="User Not Mapped"/>
    <s v="User Not Mapped"/>
    <s v="User Not Mapped"/>
    <n v="657147"/>
    <s v="M/S NOJRUL ISLAM"/>
    <s v="Private Retailer"/>
    <s v="9775496022"/>
    <n v="2.5"/>
    <n v="95"/>
    <x v="5"/>
    <m/>
    <s v="2026-01-22"/>
    <s v="255006"/>
    <s v="M/S PAUL FERTILIZER"/>
    <s v="8617668649"/>
  </r>
  <r>
    <s v="RCF Trombay"/>
    <s v="15-15-15"/>
    <s v="WB"/>
    <x v="8"/>
    <s v="Raiganj"/>
    <s v="User Not Mapped"/>
    <s v="User Not Mapped"/>
    <s v="User Not Mapped"/>
    <n v="659916"/>
    <s v="M/S SULTANA FERTILIZER"/>
    <s v="Private Retailer"/>
    <s v="9002669295"/>
    <n v="3.8"/>
    <n v="138"/>
    <x v="0"/>
    <m/>
    <s v="2025-12-10"/>
    <s v="1084859"/>
    <s v="BISWAS FERTILIZER"/>
    <s v="9635905766"/>
  </r>
  <r>
    <s v="RCF Thal"/>
    <s v="N.C.Urea(45kg)"/>
    <s v="WB"/>
    <x v="8"/>
    <s v="Raiganj"/>
    <s v="User Not Mapped"/>
    <s v="User Not Mapped"/>
    <s v="User Not Mapped"/>
    <n v="730617"/>
    <s v="BIJOY RAHA"/>
    <s v="Private Retailer"/>
    <s v="9832085725"/>
    <n v="7.2"/>
    <n v="95"/>
    <x v="5"/>
    <m/>
    <s v="2026-01-22"/>
    <s v="342392"/>
    <s v="M/s. Kanailal Kedar Prasad"/>
    <s v="7407719515"/>
  </r>
  <r>
    <s v="RCF Thal"/>
    <s v="N.C.Urea(45kg)"/>
    <s v="WB"/>
    <x v="8"/>
    <s v="Raiganj"/>
    <s v="User Not Mapped"/>
    <s v="User Not Mapped"/>
    <s v="User Not Mapped"/>
    <n v="730617"/>
    <s v="BIJOY RAHA"/>
    <s v="Private Retailer"/>
    <s v="9832085725"/>
    <n v="11.025"/>
    <n v="71"/>
    <x v="2"/>
    <m/>
    <s v="2026-02-15"/>
    <s v="342392"/>
    <s v="M/s. Kanailal Kedar Prasad"/>
    <s v="7407719515"/>
  </r>
  <r>
    <s v="RCF Trombay"/>
    <s v="15-15-15"/>
    <s v="WB"/>
    <x v="8"/>
    <s v="Raiganj"/>
    <s v="User Not Mapped"/>
    <s v="User Not Mapped"/>
    <s v="User Not Mapped"/>
    <n v="730672"/>
    <s v="M/S SANKAR SAR BEEJ BHANDER"/>
    <s v="Private Retailer"/>
    <s v="9800428459"/>
    <n v="0.5"/>
    <n v="78"/>
    <x v="2"/>
    <m/>
    <s v="2026-02-08"/>
    <s v="1084859"/>
    <s v="BISWAS FERTILIZER"/>
    <s v="9635905766"/>
  </r>
  <r>
    <s v="RCF Trombay"/>
    <s v="N.C.Urea(45kg)"/>
    <s v="WB"/>
    <x v="8"/>
    <s v="Raiganj"/>
    <s v="User Not Mapped"/>
    <s v="User Not Mapped"/>
    <s v="User Not Mapped"/>
    <n v="731187"/>
    <s v="R.K.FERTILIZER and SEEDS"/>
    <s v="Private Retailer"/>
    <s v="9563775342"/>
    <n v="10.35"/>
    <n v="140"/>
    <x v="0"/>
    <m/>
    <s v="2025-12-08"/>
    <s v="342392"/>
    <s v="M/s. Kanailal Kedar Prasad"/>
    <s v="7407719515"/>
  </r>
  <r>
    <s v="RCF Thal"/>
    <s v="N.C.Urea(45kg)"/>
    <s v="WB"/>
    <x v="8"/>
    <s v="Raiganj"/>
    <s v="User Not Mapped"/>
    <s v="User Not Mapped"/>
    <s v="User Not Mapped"/>
    <n v="731187"/>
    <s v="R.K.FERTILIZER and SEEDS"/>
    <s v="Private Retailer"/>
    <s v="9563775342"/>
    <n v="7.2"/>
    <n v="95"/>
    <x v="5"/>
    <m/>
    <s v="2026-01-22"/>
    <s v="342392"/>
    <s v="M/s. Kanailal Kedar Prasad"/>
    <s v="7407719515"/>
  </r>
  <r>
    <s v="RCF Trombay"/>
    <s v="15-15-15"/>
    <s v="WB"/>
    <x v="8"/>
    <s v="Raiganj"/>
    <s v="User Not Mapped"/>
    <s v="User Not Mapped"/>
    <s v="User Not Mapped"/>
    <n v="737086"/>
    <s v="UPADHAYAY FERILISER"/>
    <s v="Private Retailer"/>
    <s v="7908991298"/>
    <n v="3"/>
    <n v="2464"/>
    <x v="7"/>
    <m/>
    <s v="2019-07-29"/>
    <s v="920966"/>
    <s v="M/S. RATAN KUMAR DEB"/>
    <s v="9733114040"/>
  </r>
  <r>
    <s v="RCF Thal"/>
    <s v="N.C.Urea(45kg)"/>
    <s v="WB"/>
    <x v="8"/>
    <s v="Raiganj"/>
    <s v="User Not Mapped"/>
    <s v="User Not Mapped"/>
    <s v="User Not Mapped"/>
    <n v="737086"/>
    <s v="UPADHAYAY FERILISER"/>
    <s v="Private Retailer"/>
    <s v="7908991298"/>
    <n v="3.3250000000000002"/>
    <n v="2464"/>
    <x v="7"/>
    <m/>
    <s v="2019-07-29"/>
    <s v="920966"/>
    <s v="M/S. RATAN KUMAR DEB"/>
    <s v="9733114040"/>
  </r>
  <r>
    <s v="RCF Trombay"/>
    <s v="15-15-15"/>
    <s v="WB"/>
    <x v="8"/>
    <s v="Raiganj"/>
    <s v="User Not Mapped"/>
    <s v="User Not Mapped"/>
    <s v="User Not Mapped"/>
    <n v="737120"/>
    <s v="BISWAS SAR BHANDER"/>
    <s v="Private Retailer"/>
    <s v="9932126129"/>
    <n v="0.1"/>
    <n v="322"/>
    <x v="3"/>
    <m/>
    <s v="2025-06-09"/>
    <s v="876168"/>
    <s v="M/s. NEW LAXMI FERTILIZERS"/>
    <s v="8207270798"/>
  </r>
  <r>
    <s v="RCF Import"/>
    <s v="MOP"/>
    <s v="WB"/>
    <x v="8"/>
    <s v="Raiganj"/>
    <s v="User Not Mapped"/>
    <s v="User Not Mapped"/>
    <s v="User Not Mapped"/>
    <n v="737120"/>
    <s v="BISWAS SAR BHANDER"/>
    <s v="Private Retailer"/>
    <s v="9932126129"/>
    <n v="0.1"/>
    <n v="417"/>
    <x v="6"/>
    <m/>
    <s v="2025-03-06"/>
    <s v="876168"/>
    <s v="M/s. NEW LAXMI FERTILIZERS"/>
    <s v="8207270798"/>
  </r>
  <r>
    <s v="RCF Trombay"/>
    <s v="15-15-15"/>
    <s v="WB"/>
    <x v="8"/>
    <s v="Raiganj"/>
    <s v="User Not Mapped"/>
    <s v="User Not Mapped"/>
    <s v="User Not Mapped"/>
    <n v="737126"/>
    <s v="ANIL DABNATH"/>
    <s v="Private Retailer"/>
    <s v="9932543354"/>
    <n v="0.25"/>
    <n v="57"/>
    <x v="1"/>
    <m/>
    <s v="2026-03-01"/>
    <s v="651626"/>
    <s v="M/S RADHA KRISHNA SAR BHANDAR"/>
    <s v="9735437617"/>
  </r>
  <r>
    <s v="RCF Trombay"/>
    <s v="15-15-15"/>
    <s v="WB"/>
    <x v="8"/>
    <s v="Raiganj"/>
    <s v="User Not Mapped"/>
    <s v="User Not Mapped"/>
    <s v="User Not Mapped"/>
    <n v="737126"/>
    <s v="ANIL DABNATH"/>
    <s v="Private Retailer"/>
    <s v="9932543354"/>
    <n v="0.75"/>
    <n v="294"/>
    <x v="3"/>
    <m/>
    <s v="2025-07-07"/>
    <s v="651626"/>
    <s v="M/S RADHA KRISHNA SAR BHANDAR"/>
    <s v="9735437617"/>
  </r>
  <r>
    <s v="RCF Thal"/>
    <s v="N.C.Urea(45kg)"/>
    <s v="WB"/>
    <x v="8"/>
    <s v="Raiganj"/>
    <s v="User Not Mapped"/>
    <s v="User Not Mapped"/>
    <s v="User Not Mapped"/>
    <n v="737128"/>
    <s v="TULAN DAS"/>
    <s v="Private Retailer"/>
    <s v="9635792361"/>
    <n v="6.165"/>
    <n v="266"/>
    <x v="3"/>
    <m/>
    <s v="2025-08-04"/>
    <s v="342392"/>
    <s v="M/s. Kanailal Kedar Prasad"/>
    <s v="7407719515"/>
  </r>
  <r>
    <s v="RCF Import"/>
    <s v="MOP"/>
    <s v="WB"/>
    <x v="8"/>
    <s v="Raiganj"/>
    <s v="User Not Mapped"/>
    <s v="User Not Mapped"/>
    <s v="User Not Mapped"/>
    <n v="737128"/>
    <s v="TULAN DAS"/>
    <s v="Private Retailer"/>
    <s v="9635792361"/>
    <n v="5.5"/>
    <n v="497"/>
    <x v="6"/>
    <m/>
    <s v="2024-12-16"/>
    <s v="268536"/>
    <s v="M/s. A.Saha and Co."/>
    <s v="7908322991"/>
  </r>
  <r>
    <s v="RCF Trombay"/>
    <s v="15-15-15"/>
    <s v="WB"/>
    <x v="8"/>
    <s v="Raiganj"/>
    <s v="User Not Mapped"/>
    <s v="User Not Mapped"/>
    <s v="User Not Mapped"/>
    <n v="737130"/>
    <s v="MAHATO FERTILIZER SHOP"/>
    <s v="Private Retailer"/>
    <s v="8145760033"/>
    <n v="2.0499999999999998"/>
    <n v="183"/>
    <x v="3"/>
    <m/>
    <s v="2025-10-26"/>
    <s v="1292397"/>
    <s v="JAHAR KUMAR DAS"/>
    <s v="8250003688"/>
  </r>
  <r>
    <s v="RCF Thal"/>
    <s v="N.C.Urea(45kg)"/>
    <s v="WB"/>
    <x v="8"/>
    <s v="Raiganj"/>
    <s v="User Not Mapped"/>
    <s v="User Not Mapped"/>
    <s v="User Not Mapped"/>
    <n v="751246"/>
    <s v="JOY BABA LOKNATH SAR BHANDER"/>
    <s v="Private Retailer"/>
    <s v="7001069193"/>
    <n v="7.6050000000000004"/>
    <n v="94"/>
    <x v="5"/>
    <m/>
    <s v="2026-01-23"/>
    <s v="342392"/>
    <s v="M/s. Kanailal Kedar Prasad"/>
    <s v="7407719515"/>
  </r>
  <r>
    <s v="RCF Thal"/>
    <s v="N.C.Urea(45kg)"/>
    <s v="WB"/>
    <x v="8"/>
    <s v="Raiganj"/>
    <s v="User Not Mapped"/>
    <s v="User Not Mapped"/>
    <s v="User Not Mapped"/>
    <n v="751246"/>
    <s v="JOY BABA LOKNATH SAR BHANDER"/>
    <s v="Private Retailer"/>
    <s v="7001069193"/>
    <n v="11.025"/>
    <n v="49"/>
    <x v="1"/>
    <m/>
    <s v="2026-03-09"/>
    <s v="342392"/>
    <s v="M/s. Kanailal Kedar Prasad"/>
    <s v="7407719515"/>
  </r>
  <r>
    <s v="RCF Thal"/>
    <s v="N.C.Urea(45kg)"/>
    <s v="WB"/>
    <x v="8"/>
    <s v="Raiganj"/>
    <s v="User Not Mapped"/>
    <s v="User Not Mapped"/>
    <s v="User Not Mapped"/>
    <n v="751260"/>
    <s v="M/S HAQUE SAR BHANDAR"/>
    <s v="Private Retailer"/>
    <s v="9647847570"/>
    <n v="3.7349999999999999"/>
    <n v="296"/>
    <x v="3"/>
    <m/>
    <s v="2025-07-05"/>
    <s v="342392"/>
    <s v="M/s. Kanailal Kedar Prasad"/>
    <s v="7407719515"/>
  </r>
  <r>
    <s v="RCF Thal"/>
    <s v="N.C.Urea(45kg)"/>
    <s v="WB"/>
    <x v="8"/>
    <s v="Raiganj"/>
    <s v="User Not Mapped"/>
    <s v="User Not Mapped"/>
    <s v="User Not Mapped"/>
    <n v="751260"/>
    <s v="M/S HAQUE SAR BHANDAR"/>
    <s v="Private Retailer"/>
    <s v="9647847570"/>
    <n v="11.025"/>
    <n v="71"/>
    <x v="2"/>
    <m/>
    <s v="2026-02-15"/>
    <s v="342392"/>
    <s v="M/s. Kanailal Kedar Prasad"/>
    <s v="7407719515"/>
  </r>
  <r>
    <s v="RCF Trombay"/>
    <s v="15-15-15"/>
    <s v="WB"/>
    <x v="8"/>
    <s v="Raiganj"/>
    <s v="User Not Mapped"/>
    <s v="User Not Mapped"/>
    <s v="User Not Mapped"/>
    <n v="751636"/>
    <s v="SANKAR BARMAN"/>
    <s v="Private Retailer"/>
    <s v="8972843648"/>
    <n v="1"/>
    <n v="292"/>
    <x v="3"/>
    <m/>
    <s v="2025-07-09"/>
    <s v="1084859"/>
    <s v="BISWAS FERTILIZER"/>
    <s v="9635905766"/>
  </r>
  <r>
    <s v="RCF Thal"/>
    <s v="N.C.Urea(45kg)"/>
    <s v="WB"/>
    <x v="8"/>
    <s v="Raiganj"/>
    <s v="User Not Mapped"/>
    <s v="User Not Mapped"/>
    <s v="User Not Mapped"/>
    <n v="751636"/>
    <s v="SANKAR BARMAN"/>
    <s v="Private Retailer"/>
    <s v="8972843648"/>
    <n v="0.13500000000000001"/>
    <n v="411"/>
    <x v="6"/>
    <m/>
    <s v="2025-03-12"/>
    <s v="342392"/>
    <s v="M/s. Kanailal Kedar Prasad"/>
    <s v="7407719515"/>
  </r>
  <r>
    <s v="RCF Trombay"/>
    <s v="15-15-15"/>
    <s v="WB"/>
    <x v="8"/>
    <s v="Raiganj"/>
    <s v="User Not Mapped"/>
    <s v="User Not Mapped"/>
    <s v="User Not Mapped"/>
    <n v="751636"/>
    <s v="SANKAR BARMAN"/>
    <s v="Private Retailer"/>
    <s v="8972843648"/>
    <n v="0.7"/>
    <n v="791"/>
    <x v="7"/>
    <m/>
    <s v="2024-02-26"/>
    <s v="1265559"/>
    <s v="M/S BASAK AND SONS"/>
    <s v="9434458269"/>
  </r>
  <r>
    <s v="RCF Trombay"/>
    <s v="15-15-15"/>
    <s v="WB"/>
    <x v="8"/>
    <s v="Raiganj"/>
    <s v="User Not Mapped"/>
    <s v="User Not Mapped"/>
    <s v="User Not Mapped"/>
    <n v="751639"/>
    <s v="SABITA SAHA ROY"/>
    <s v="Private Retailer"/>
    <s v="9635112549"/>
    <n v="0.6"/>
    <n v="1693"/>
    <x v="7"/>
    <m/>
    <s v="2021-09-07"/>
    <s v="255006"/>
    <s v="M/S PAUL FERTILIZER"/>
    <s v="8617668649"/>
  </r>
  <r>
    <s v="RCF Trombay"/>
    <s v="15-15-15"/>
    <s v="WB"/>
    <x v="8"/>
    <s v="Raiganj"/>
    <s v="User Not Mapped"/>
    <s v="User Not Mapped"/>
    <s v="User Not Mapped"/>
    <n v="752295"/>
    <s v="NRIPENDRA BISWAS"/>
    <s v="Private Retailer"/>
    <s v="9382146971"/>
    <n v="0.35"/>
    <n v="658"/>
    <x v="7"/>
    <m/>
    <s v="2024-07-08"/>
    <s v="876168"/>
    <s v="M/s. NEW LAXMI FERTILIZERS"/>
    <s v="8207270798"/>
  </r>
  <r>
    <s v="RCF Thal"/>
    <s v="N.C.Urea(45kg)"/>
    <s v="WB"/>
    <x v="8"/>
    <s v="Raiganj"/>
    <s v="User Not Mapped"/>
    <s v="User Not Mapped"/>
    <s v="User Not Mapped"/>
    <n v="768080"/>
    <s v="M/S. MADHAB CH SARKAR"/>
    <s v="Private Retailer"/>
    <s v="6294896852"/>
    <n v="8.5500000000000007"/>
    <n v="155"/>
    <x v="0"/>
    <m/>
    <s v="2025-11-23"/>
    <s v="342392"/>
    <s v="M/s. Kanailal Kedar Prasad"/>
    <s v="7407719515"/>
  </r>
  <r>
    <s v="RCF Trombay"/>
    <s v="15-15-15"/>
    <s v="WB"/>
    <x v="8"/>
    <s v="Raiganj"/>
    <s v="User Not Mapped"/>
    <s v="User Not Mapped"/>
    <s v="User Not Mapped"/>
    <n v="768080"/>
    <s v="M/S. MADHAB CH SARKAR"/>
    <s v="Private Retailer"/>
    <s v="6294896852"/>
    <n v="0.7"/>
    <n v="44"/>
    <x v="1"/>
    <m/>
    <s v="2026-03-14"/>
    <s v="1086016"/>
    <s v="T. HOSSAIN &amp; SONS"/>
    <s v="9242592770"/>
  </r>
  <r>
    <s v="RCF Trombay"/>
    <s v="15-15-15"/>
    <s v="WB"/>
    <x v="8"/>
    <s v="Raiganj"/>
    <s v="User Not Mapped"/>
    <s v="User Not Mapped"/>
    <s v="User Not Mapped"/>
    <n v="768238"/>
    <s v="DEY FERTILIZER"/>
    <s v="Private Retailer"/>
    <s v="9064812370"/>
    <n v="0.05"/>
    <n v="1971"/>
    <x v="7"/>
    <m/>
    <s v="2020-12-03"/>
    <s v="1187545"/>
    <s v="M/S TUSHAR KANTI AGARWALA"/>
    <s v="8597190846"/>
  </r>
  <r>
    <s v="RCF Import"/>
    <s v="MOP"/>
    <s v="WB"/>
    <x v="8"/>
    <s v="Raiganj"/>
    <s v="User Not Mapped"/>
    <s v="User Not Mapped"/>
    <s v="User Not Mapped"/>
    <n v="768466"/>
    <s v="BAPPY SARKAR"/>
    <s v="Private Retailer"/>
    <s v="8967757282"/>
    <n v="0.5"/>
    <n v="463"/>
    <x v="6"/>
    <m/>
    <s v="2025-01-19"/>
    <s v="1132426"/>
    <s v="M/S KRISHI DISHA"/>
    <s v="6294430316"/>
  </r>
  <r>
    <s v="RCF Trombay"/>
    <s v="15-15-15"/>
    <s v="WB"/>
    <x v="8"/>
    <s v="Raiganj"/>
    <s v="User Not Mapped"/>
    <s v="User Not Mapped"/>
    <s v="User Not Mapped"/>
    <n v="768466"/>
    <s v="BAPPY SARKAR"/>
    <s v="Private Retailer"/>
    <s v="8967757282"/>
    <n v="0.745"/>
    <n v="1274"/>
    <x v="7"/>
    <m/>
    <s v="2022-10-31"/>
    <s v="625071"/>
    <s v="M/S KRISHI DISHA"/>
    <s v="9933571182"/>
  </r>
  <r>
    <s v="RCF Trombay"/>
    <s v="15-15-15"/>
    <s v="WB"/>
    <x v="8"/>
    <s v="Raiganj"/>
    <s v="User Not Mapped"/>
    <s v="User Not Mapped"/>
    <s v="User Not Mapped"/>
    <n v="768466"/>
    <s v="BAPPY SARKAR"/>
    <s v="Private Retailer"/>
    <s v="8967757282"/>
    <n v="0.25"/>
    <n v="1242"/>
    <x v="7"/>
    <m/>
    <s v="2022-12-02"/>
    <s v="651626"/>
    <s v="M/S RADHA KRISHNA SAR BHANDAR"/>
    <s v="9735437617"/>
  </r>
  <r>
    <s v="RCF Trombay"/>
    <s v="15-15-15"/>
    <s v="WB"/>
    <x v="8"/>
    <s v="Raiganj"/>
    <s v="User Not Mapped"/>
    <s v="User Not Mapped"/>
    <s v="User Not Mapped"/>
    <n v="768466"/>
    <s v="BAPPY SARKAR"/>
    <s v="Private Retailer"/>
    <s v="8967757282"/>
    <n v="0.25"/>
    <n v="1154"/>
    <x v="7"/>
    <m/>
    <s v="2023-02-28"/>
    <s v="625071"/>
    <s v="M/S KRISHI DISHA"/>
    <s v="9933571182"/>
  </r>
  <r>
    <s v="RCF Trombay"/>
    <s v="15-15-15"/>
    <s v="WB"/>
    <x v="8"/>
    <s v="Raiganj"/>
    <s v="User Not Mapped"/>
    <s v="User Not Mapped"/>
    <s v="User Not Mapped"/>
    <n v="774731"/>
    <s v="M/S. GHOSH FERTILIZER CENTRE"/>
    <s v="Private Retailer"/>
    <s v="9547348634"/>
    <n v="4.5"/>
    <n v="143"/>
    <x v="0"/>
    <m/>
    <s v="2025-12-05"/>
    <s v="291327"/>
    <s v="Nandalal Agarwala"/>
    <s v="9434106010"/>
  </r>
  <r>
    <s v="RCF Trombay"/>
    <s v="N.C.Urea(45kg)"/>
    <s v="WB"/>
    <x v="8"/>
    <s v="Raiganj"/>
    <s v="User Not Mapped"/>
    <s v="User Not Mapped"/>
    <s v="User Not Mapped"/>
    <n v="774731"/>
    <s v="M/S. GHOSH FERTILIZER CENTRE"/>
    <s v="Private Retailer"/>
    <s v="9547348634"/>
    <n v="3.0030000000000001"/>
    <n v="285"/>
    <x v="3"/>
    <m/>
    <s v="2025-07-16"/>
    <s v="342392"/>
    <s v="M/s. Kanailal Kedar Prasad"/>
    <s v="7407719515"/>
  </r>
  <r>
    <s v="RCF Trombay"/>
    <s v="15-15-15"/>
    <s v="WB"/>
    <x v="8"/>
    <s v="Raiganj"/>
    <s v="User Not Mapped"/>
    <s v="User Not Mapped"/>
    <s v="User Not Mapped"/>
    <n v="774739"/>
    <s v="DAS SAR BHANDER"/>
    <s v="Private Retailer"/>
    <s v="8637063610"/>
    <n v="0.5"/>
    <n v="51"/>
    <x v="1"/>
    <m/>
    <s v="2026-03-07"/>
    <s v="651626"/>
    <s v="M/S RADHA KRISHNA SAR BHANDAR"/>
    <s v="9735437617"/>
  </r>
  <r>
    <s v="RCF Trombay"/>
    <s v="15-15-15"/>
    <s v="WB"/>
    <x v="8"/>
    <s v="Raiganj"/>
    <s v="User Not Mapped"/>
    <s v="User Not Mapped"/>
    <s v="User Not Mapped"/>
    <n v="797118"/>
    <s v="M/s. MAHATO BEEJ BHANDER"/>
    <s v="Private Retailer"/>
    <s v="9734904423"/>
    <n v="3.65"/>
    <n v="319"/>
    <x v="3"/>
    <m/>
    <s v="2025-06-12"/>
    <s v="291329"/>
    <s v="Noor Fert Agency"/>
    <s v="9907316133"/>
  </r>
  <r>
    <s v="RCF Thal"/>
    <s v="N.C.Urea(45kg)"/>
    <s v="WB"/>
    <x v="8"/>
    <s v="Raiganj"/>
    <s v="User Not Mapped"/>
    <s v="User Not Mapped"/>
    <s v="User Not Mapped"/>
    <n v="836460"/>
    <s v="M/S NOORI FERTILIZER"/>
    <s v="Private Retailer"/>
    <s v="8637318820"/>
    <n v="8.4600000000000009"/>
    <n v="71"/>
    <x v="2"/>
    <m/>
    <s v="2026-02-15"/>
    <s v="342392"/>
    <s v="M/s. Kanailal Kedar Prasad"/>
    <s v="7407719515"/>
  </r>
  <r>
    <s v="RCF Trombay"/>
    <s v="N.C.Urea(45kg)"/>
    <s v="WB"/>
    <x v="8"/>
    <s v="Raiganj"/>
    <s v="User Not Mapped"/>
    <s v="User Not Mapped"/>
    <s v="User Not Mapped"/>
    <n v="836828"/>
    <s v="SETABUL SEKH"/>
    <s v="Private Retailer"/>
    <s v="7872817891"/>
    <n v="1.8"/>
    <n v="141"/>
    <x v="0"/>
    <m/>
    <s v="2025-12-07"/>
    <s v="342392"/>
    <s v="M/s. Kanailal Kedar Prasad"/>
    <s v="7407719515"/>
  </r>
  <r>
    <s v="RCF Trombay"/>
    <s v="15-15-15"/>
    <s v="WB"/>
    <x v="8"/>
    <s v="Raiganj"/>
    <s v="User Not Mapped"/>
    <s v="User Not Mapped"/>
    <s v="User Not Mapped"/>
    <n v="836908"/>
    <s v="M/s. UJJAL DAS"/>
    <s v="Private Retailer"/>
    <s v="8617082147"/>
    <n v="0.75"/>
    <n v="1132"/>
    <x v="7"/>
    <m/>
    <s v="2023-03-22"/>
    <s v="1258460"/>
    <s v="M/S MAA TARA FERTILIZER WHOLES"/>
    <s v="6294610027"/>
  </r>
  <r>
    <s v="RCF Trombay"/>
    <s v="15-15-15"/>
    <s v="WB"/>
    <x v="8"/>
    <s v="Raiganj"/>
    <s v="User Not Mapped"/>
    <s v="User Not Mapped"/>
    <s v="User Not Mapped"/>
    <n v="836962"/>
    <s v="M/S NAJAR MOHAMMAD"/>
    <s v="Private Retailer"/>
    <s v="8972404168"/>
    <n v="0.5"/>
    <n v="183"/>
    <x v="3"/>
    <m/>
    <s v="2025-10-26"/>
    <s v="949278"/>
    <s v="GHOSH FERTILIZER"/>
    <s v="9434967172"/>
  </r>
  <r>
    <s v="RCF Thal"/>
    <s v="N.C.Urea(45kg)"/>
    <s v="WB"/>
    <x v="8"/>
    <s v="Raiganj"/>
    <s v="User Not Mapped"/>
    <s v="User Not Mapped"/>
    <s v="User Not Mapped"/>
    <n v="837333"/>
    <s v="M/s. SUFAL SARKAR"/>
    <s v="Private Retailer"/>
    <s v="7365058351"/>
    <n v="0.04"/>
    <n v="1502"/>
    <x v="7"/>
    <m/>
    <s v="2022-03-17"/>
    <s v="651626"/>
    <s v="M/S RADHA KRISHNA SAR BHANDAR"/>
    <s v="9735437617"/>
  </r>
  <r>
    <s v="RCF Trombay"/>
    <s v="15-15-15"/>
    <s v="WB"/>
    <x v="8"/>
    <s v="Raiganj"/>
    <s v="User Not Mapped"/>
    <s v="User Not Mapped"/>
    <s v="User Not Mapped"/>
    <n v="837351"/>
    <s v="ALI SAR BHANDER"/>
    <s v="Private Retailer"/>
    <s v="8016116367"/>
    <n v="0.5"/>
    <n v="82"/>
    <x v="2"/>
    <m/>
    <s v="2026-02-04"/>
    <s v="651626"/>
    <s v="M/S RADHA KRISHNA SAR BHANDAR"/>
    <s v="9735437617"/>
  </r>
  <r>
    <s v="RCF Trombay"/>
    <s v="15-15-15"/>
    <s v="WB"/>
    <x v="8"/>
    <s v="Raiganj"/>
    <s v="User Not Mapped"/>
    <s v="User Not Mapped"/>
    <s v="User Not Mapped"/>
    <n v="837351"/>
    <s v="ALI SAR BHANDER"/>
    <s v="Private Retailer"/>
    <s v="8016116367"/>
    <n v="0.25"/>
    <n v="44"/>
    <x v="1"/>
    <m/>
    <s v="2026-03-14"/>
    <s v="651626"/>
    <s v="M/S RADHA KRISHNA SAR BHANDAR"/>
    <s v="9735437617"/>
  </r>
  <r>
    <s v="RCF Thal"/>
    <s v="N.C.Urea(45kg)"/>
    <s v="WB"/>
    <x v="8"/>
    <s v="Raiganj"/>
    <s v="User Not Mapped"/>
    <s v="User Not Mapped"/>
    <s v="User Not Mapped"/>
    <n v="839844"/>
    <s v="SHYAMLAL PRAMANIK"/>
    <s v="Private Retailer"/>
    <s v="8617576527"/>
    <n v="0.63"/>
    <n v="71"/>
    <x v="2"/>
    <m/>
    <s v="2026-02-15"/>
    <s v="342392"/>
    <s v="M/s. Kanailal Kedar Prasad"/>
    <s v="7407719515"/>
  </r>
  <r>
    <s v="RCF Thal"/>
    <s v="N.C.Urea(45kg)"/>
    <s v="WB"/>
    <x v="8"/>
    <s v="Raiganj"/>
    <s v="User Not Mapped"/>
    <s v="User Not Mapped"/>
    <s v="User Not Mapped"/>
    <n v="839844"/>
    <s v="SHYAMLAL PRAMANIK"/>
    <s v="Private Retailer"/>
    <s v="8617576527"/>
    <n v="5.625"/>
    <n v="49"/>
    <x v="1"/>
    <m/>
    <s v="2026-03-09"/>
    <s v="342392"/>
    <s v="M/s. Kanailal Kedar Prasad"/>
    <s v="7407719515"/>
  </r>
  <r>
    <s v="RCF Thal"/>
    <s v="N.C.Urea(45kg)"/>
    <s v="WB"/>
    <x v="8"/>
    <s v="Raiganj"/>
    <s v="User Not Mapped"/>
    <s v="User Not Mapped"/>
    <s v="User Not Mapped"/>
    <n v="839852"/>
    <s v="DURGA ROY"/>
    <s v="Private Retailer"/>
    <s v="9002155441"/>
    <n v="0.02"/>
    <n v="217"/>
    <x v="3"/>
    <m/>
    <s v="2025-09-22"/>
    <s v="333141"/>
    <s v="Biswjit Kundu"/>
    <s v="7001510217"/>
  </r>
  <r>
    <s v="RCF Trombay"/>
    <s v="15-15-15"/>
    <s v="WB"/>
    <x v="8"/>
    <s v="Raiganj"/>
    <s v="User Not Mapped"/>
    <s v="User Not Mapped"/>
    <s v="User Not Mapped"/>
    <n v="843280"/>
    <s v="AMIT FERTILIZER"/>
    <s v="Private Retailer"/>
    <s v="9635568286"/>
    <n v="2.35"/>
    <n v="51"/>
    <x v="1"/>
    <m/>
    <s v="2026-03-07"/>
    <s v="1084859"/>
    <s v="BISWAS FERTILIZER"/>
    <s v="9635905766"/>
  </r>
  <r>
    <s v="RCF Thal"/>
    <s v="N.C.Urea(45kg)"/>
    <s v="WB"/>
    <x v="8"/>
    <s v="Raiganj"/>
    <s v="User Not Mapped"/>
    <s v="User Not Mapped"/>
    <s v="User Not Mapped"/>
    <n v="843282"/>
    <s v="SHRIBAS DAS"/>
    <s v="Private Retailer"/>
    <s v="9647806954"/>
    <n v="0.81"/>
    <n v="266"/>
    <x v="3"/>
    <m/>
    <s v="2025-08-04"/>
    <s v="342392"/>
    <s v="M/s. Kanailal Kedar Prasad"/>
    <s v="7407719515"/>
  </r>
  <r>
    <s v="RCF Trombay"/>
    <s v="15-15-15"/>
    <s v="WB"/>
    <x v="8"/>
    <s v="Raiganj"/>
    <s v="User Not Mapped"/>
    <s v="User Not Mapped"/>
    <s v="User Not Mapped"/>
    <n v="843292"/>
    <s v="Ahammad rejaul hoque"/>
    <s v="Private Retailer"/>
    <s v="9434120669"/>
    <n v="0.45"/>
    <n v="84"/>
    <x v="2"/>
    <m/>
    <s v="2026-02-02"/>
    <s v="949278"/>
    <s v="GHOSH FERTILIZER"/>
    <s v="9434967172"/>
  </r>
  <r>
    <s v="RCF Trombay"/>
    <s v="15-15-15"/>
    <s v="WB"/>
    <x v="8"/>
    <s v="Raiganj"/>
    <s v="User Not Mapped"/>
    <s v="User Not Mapped"/>
    <s v="User Not Mapped"/>
    <n v="843292"/>
    <s v="Ahammad rejaul hoque"/>
    <s v="Private Retailer"/>
    <s v="9434120669"/>
    <n v="0.5"/>
    <n v="29"/>
    <x v="4"/>
    <m/>
    <s v="2026-03-29"/>
    <s v="949278"/>
    <s v="GHOSH FERTILIZER"/>
    <s v="9434967172"/>
  </r>
  <r>
    <s v="RCF Trombay"/>
    <s v="15-15-15"/>
    <s v="WB"/>
    <x v="8"/>
    <s v="Raiganj"/>
    <s v="User Not Mapped"/>
    <s v="User Not Mapped"/>
    <s v="User Not Mapped"/>
    <n v="843292"/>
    <s v="Ahammad rejaul hoque"/>
    <s v="Private Retailer"/>
    <s v="9434120669"/>
    <n v="0.75"/>
    <n v="57"/>
    <x v="1"/>
    <m/>
    <s v="2026-03-01"/>
    <s v="949278"/>
    <s v="GHOSH FERTILIZER"/>
    <s v="9434967172"/>
  </r>
  <r>
    <s v="RCF Thal"/>
    <s v="N.C.Urea(45kg)"/>
    <s v="WB"/>
    <x v="8"/>
    <s v="Raiganj"/>
    <s v="User Not Mapped"/>
    <s v="User Not Mapped"/>
    <s v="User Not Mapped"/>
    <n v="848368"/>
    <s v="PARESH CHANDRA ROY"/>
    <s v="Private Retailer"/>
    <s v="9775874911"/>
    <n v="0.22500000000000001"/>
    <n v="394"/>
    <x v="6"/>
    <m/>
    <s v="2025-03-29"/>
    <s v="342392"/>
    <s v="M/s. Kanailal Kedar Prasad"/>
    <s v="7407719515"/>
  </r>
  <r>
    <s v="RCF Trombay"/>
    <s v="15-15-15"/>
    <s v="WB"/>
    <x v="8"/>
    <s v="Raiganj"/>
    <s v="User Not Mapped"/>
    <s v="User Not Mapped"/>
    <s v="User Not Mapped"/>
    <n v="848368"/>
    <s v="PARESH CHANDRA ROY"/>
    <s v="Private Retailer"/>
    <s v="9775874911"/>
    <n v="0.75"/>
    <n v="225"/>
    <x v="3"/>
    <m/>
    <s v="2025-09-14"/>
    <s v="1258460"/>
    <s v="M/S MAA TARA FERTILIZER WHOLES"/>
    <s v="6294610027"/>
  </r>
  <r>
    <s v="RCF Trombay"/>
    <s v="15-15-15"/>
    <s v="WB"/>
    <x v="8"/>
    <s v="Raiganj"/>
    <s v="User Not Mapped"/>
    <s v="User Not Mapped"/>
    <s v="User Not Mapped"/>
    <n v="848368"/>
    <s v="PARESH CHANDRA ROY"/>
    <s v="Private Retailer"/>
    <s v="9775874911"/>
    <n v="1.1000000000000001"/>
    <n v="278"/>
    <x v="3"/>
    <m/>
    <s v="2025-07-23"/>
    <s v="1058188"/>
    <s v="SAIDUR RAHAMAN"/>
    <s v="9734115820"/>
  </r>
  <r>
    <s v="RCF Import"/>
    <s v="MOP"/>
    <s v="WB"/>
    <x v="8"/>
    <s v="Raiganj"/>
    <s v="User Not Mapped"/>
    <s v="User Not Mapped"/>
    <s v="User Not Mapped"/>
    <n v="853397"/>
    <s v="M/s. SABUJ SAR BHANDER"/>
    <s v="Private Retailer"/>
    <s v="9735955671"/>
    <n v="1.5"/>
    <n v="524"/>
    <x v="6"/>
    <m/>
    <s v="2024-11-19"/>
    <s v="1335783"/>
    <s v="M/S LAXMI ENTERPRISE"/>
    <s v="7001660752"/>
  </r>
  <r>
    <s v="RCF Import"/>
    <s v="Imp 10-26-26"/>
    <s v="WB"/>
    <x v="8"/>
    <s v="Raiganj"/>
    <s v="User Not Mapped"/>
    <s v="User Not Mapped"/>
    <s v="User Not Mapped"/>
    <n v="853413"/>
    <s v="M/s. RADHA KANTA SAR BHANDAR"/>
    <s v="Private Retailer"/>
    <s v="7797011050"/>
    <n v="0.25"/>
    <n v="135"/>
    <x v="0"/>
    <m/>
    <s v="2025-12-13"/>
    <s v="281603"/>
    <s v="Pulak Sarkar"/>
    <s v="9474141205"/>
  </r>
  <r>
    <s v="RCF Trombay"/>
    <s v="15-15-15"/>
    <s v="WB"/>
    <x v="8"/>
    <s v="Raiganj"/>
    <s v="User Not Mapped"/>
    <s v="User Not Mapped"/>
    <s v="User Not Mapped"/>
    <n v="853413"/>
    <s v="M/s. RADHA KANTA SAR BHANDAR"/>
    <s v="Private Retailer"/>
    <s v="7797011050"/>
    <n v="0.5"/>
    <n v="403"/>
    <x v="6"/>
    <m/>
    <s v="2025-03-20"/>
    <s v="949278"/>
    <s v="GHOSH FERTILIZER"/>
    <s v="9434967172"/>
  </r>
  <r>
    <s v="RCF Trombay"/>
    <s v="15-15-15"/>
    <s v="WB"/>
    <x v="8"/>
    <s v="Raiganj"/>
    <s v="User Not Mapped"/>
    <s v="User Not Mapped"/>
    <s v="User Not Mapped"/>
    <n v="853413"/>
    <s v="M/s. RADHA KANTA SAR BHANDAR"/>
    <s v="Private Retailer"/>
    <s v="7797011050"/>
    <n v="0.1"/>
    <n v="1091"/>
    <x v="7"/>
    <m/>
    <s v="2023-05-02"/>
    <s v="949278"/>
    <s v="GHOSH FERTILIZER"/>
    <s v="9434967172"/>
  </r>
  <r>
    <s v="RCF Trombay"/>
    <s v="15-15-15"/>
    <s v="WB"/>
    <x v="8"/>
    <s v="Raiganj"/>
    <s v="User Not Mapped"/>
    <s v="User Not Mapped"/>
    <s v="User Not Mapped"/>
    <n v="853413"/>
    <s v="M/s. RADHA KANTA SAR BHANDAR"/>
    <s v="Private Retailer"/>
    <s v="7797011050"/>
    <n v="0.5"/>
    <n v="84"/>
    <x v="2"/>
    <m/>
    <s v="2026-02-02"/>
    <s v="949278"/>
    <s v="GHOSH FERTILIZER"/>
    <s v="9434967172"/>
  </r>
  <r>
    <s v="RCF Trombay"/>
    <s v="15-15-15"/>
    <s v="WB"/>
    <x v="8"/>
    <s v="Raiganj"/>
    <s v="User Not Mapped"/>
    <s v="User Not Mapped"/>
    <s v="User Not Mapped"/>
    <n v="854172"/>
    <s v="M/S USHA FERTILISERS"/>
    <s v="Private Retailer"/>
    <s v="8759543944"/>
    <n v="0.75"/>
    <n v="72"/>
    <x v="2"/>
    <m/>
    <s v="2026-02-14"/>
    <s v="920966"/>
    <s v="M/S. RATAN KUMAR DEB"/>
    <s v="9733114040"/>
  </r>
  <r>
    <s v="RCF Trombay"/>
    <s v="15-15-15"/>
    <s v="WB"/>
    <x v="8"/>
    <s v="Raiganj"/>
    <s v="User Not Mapped"/>
    <s v="User Not Mapped"/>
    <s v="User Not Mapped"/>
    <n v="854172"/>
    <s v="M/S USHA FERTILISERS"/>
    <s v="Private Retailer"/>
    <s v="8759543944"/>
    <n v="2"/>
    <n v="55"/>
    <x v="1"/>
    <m/>
    <s v="2026-03-03"/>
    <s v="920966"/>
    <s v="M/S. RATAN KUMAR DEB"/>
    <s v="9733114040"/>
  </r>
  <r>
    <s v="RCF Thal"/>
    <s v="N.C.Urea(45kg)"/>
    <s v="WB"/>
    <x v="8"/>
    <s v="Raiganj"/>
    <s v="User Not Mapped"/>
    <s v="User Not Mapped"/>
    <s v="User Not Mapped"/>
    <n v="861758"/>
    <s v="M/S. Krishi Ghar"/>
    <s v="Private Retailer"/>
    <s v="8016574005"/>
    <n v="1.7749999999999999"/>
    <n v="1507"/>
    <x v="7"/>
    <m/>
    <s v="2022-03-12"/>
    <s v="1138638"/>
    <s v="MAHATO FERTILIZER AND SEED"/>
    <s v="8145760033"/>
  </r>
  <r>
    <s v="RCF Thal"/>
    <s v="N.C.Urea(45kg)"/>
    <s v="WB"/>
    <x v="8"/>
    <s v="Raiganj"/>
    <s v="User Not Mapped"/>
    <s v="User Not Mapped"/>
    <s v="User Not Mapped"/>
    <n v="861758"/>
    <s v="M/S. Krishi Ghar"/>
    <s v="Private Retailer"/>
    <s v="8016574005"/>
    <n v="3.6"/>
    <n v="1204"/>
    <x v="7"/>
    <m/>
    <s v="2023-01-09"/>
    <s v="1084182"/>
    <s v="KUNDU FERTILIZER"/>
    <s v="8972807161"/>
  </r>
  <r>
    <s v="RCF Trombay"/>
    <s v="N.C.Urea(45kg)"/>
    <s v="WB"/>
    <x v="8"/>
    <s v="Raiganj"/>
    <s v="User Not Mapped"/>
    <s v="User Not Mapped"/>
    <s v="User Not Mapped"/>
    <n v="861758"/>
    <s v="M/S. Krishi Ghar"/>
    <s v="Private Retailer"/>
    <s v="8016574005"/>
    <n v="1.395"/>
    <n v="1204"/>
    <x v="7"/>
    <m/>
    <s v="2023-01-09"/>
    <s v="1084182"/>
    <s v="KUNDU FERTILIZER"/>
    <s v="8972807161"/>
  </r>
  <r>
    <s v="RCF Trombay"/>
    <s v="15-15-15"/>
    <s v="WB"/>
    <x v="8"/>
    <s v="Raiganj"/>
    <s v="User Not Mapped"/>
    <s v="User Not Mapped"/>
    <s v="User Not Mapped"/>
    <n v="870667"/>
    <s v="RITU FERTILIZER"/>
    <s v="Private Retailer"/>
    <s v="9547484044"/>
    <n v="1"/>
    <n v="902"/>
    <x v="7"/>
    <m/>
    <s v="2023-11-07"/>
    <s v="1084859"/>
    <s v="BISWAS FERTILIZER"/>
    <s v="9635905766"/>
  </r>
  <r>
    <s v="RCF Trombay"/>
    <s v="15-15-15"/>
    <s v="WB"/>
    <x v="8"/>
    <s v="Raiganj"/>
    <s v="User Not Mapped"/>
    <s v="User Not Mapped"/>
    <s v="User Not Mapped"/>
    <n v="870667"/>
    <s v="RITU FERTILIZER"/>
    <s v="Private Retailer"/>
    <s v="9547484044"/>
    <n v="0.75"/>
    <n v="527"/>
    <x v="6"/>
    <m/>
    <s v="2024-11-16"/>
    <s v="1161963"/>
    <s v="M/S PANDEY AND SONS"/>
    <s v="9614822447"/>
  </r>
  <r>
    <s v="RCF Trombay"/>
    <s v="15-15-15"/>
    <s v="WB"/>
    <x v="8"/>
    <s v="Raiganj"/>
    <s v="User Not Mapped"/>
    <s v="User Not Mapped"/>
    <s v="User Not Mapped"/>
    <n v="870667"/>
    <s v="RITU FERTILIZER"/>
    <s v="Private Retailer"/>
    <s v="9547484044"/>
    <n v="1.5"/>
    <n v="549"/>
    <x v="7"/>
    <m/>
    <s v="2024-10-25"/>
    <s v="1161963"/>
    <s v="M/S PANDEY AND SONS"/>
    <s v="9614822447"/>
  </r>
  <r>
    <s v="RCF Trombay"/>
    <s v="N.C.Urea(45kg)"/>
    <s v="WB"/>
    <x v="8"/>
    <s v="Raiganj"/>
    <s v="User Not Mapped"/>
    <s v="User Not Mapped"/>
    <s v="User Not Mapped"/>
    <n v="870667"/>
    <s v="RITU FERTILIZER"/>
    <s v="Private Retailer"/>
    <s v="9547484044"/>
    <n v="0.18"/>
    <n v="1589"/>
    <x v="7"/>
    <m/>
    <s v="2021-12-20"/>
    <s v="949278"/>
    <s v="GHOSH FERTILIZER"/>
    <s v="9434967172"/>
  </r>
  <r>
    <s v="RCF Trombay"/>
    <s v="15-15-15"/>
    <s v="WB"/>
    <x v="8"/>
    <s v="Raiganj"/>
    <s v="User Not Mapped"/>
    <s v="User Not Mapped"/>
    <s v="User Not Mapped"/>
    <n v="870667"/>
    <s v="RITU FERTILIZER"/>
    <s v="Private Retailer"/>
    <s v="9547484044"/>
    <n v="0.95"/>
    <n v="1589"/>
    <x v="7"/>
    <m/>
    <s v="2021-12-20"/>
    <s v="949278"/>
    <s v="GHOSH FERTILIZER"/>
    <s v="9434967172"/>
  </r>
  <r>
    <s v="RCF Trombay"/>
    <s v="15-15-15"/>
    <s v="WB"/>
    <x v="8"/>
    <s v="Raiganj"/>
    <s v="User Not Mapped"/>
    <s v="User Not Mapped"/>
    <s v="User Not Mapped"/>
    <n v="870673"/>
    <s v="SWARUP PAUL"/>
    <s v="Private Retailer"/>
    <s v="9046490313"/>
    <n v="1.8"/>
    <n v="791"/>
    <x v="7"/>
    <m/>
    <s v="2024-02-26"/>
    <s v="1265559"/>
    <s v="M/S BASAK AND SONS"/>
    <s v="9434458269"/>
  </r>
  <r>
    <s v="RCF Import"/>
    <s v="Imp 10-26-26"/>
    <s v="WB"/>
    <x v="8"/>
    <s v="Raiganj"/>
    <s v="User Not Mapped"/>
    <s v="User Not Mapped"/>
    <s v="User Not Mapped"/>
    <n v="888871"/>
    <s v="ASRAF SAR BHANDER"/>
    <s v="Private Retailer"/>
    <s v="9734075443"/>
    <n v="0.25"/>
    <n v="61"/>
    <x v="2"/>
    <m/>
    <s v="2026-02-25"/>
    <s v="651626"/>
    <s v="M/S RADHA KRISHNA SAR BHANDAR"/>
    <s v="9735437617"/>
  </r>
  <r>
    <s v="RCF Trombay"/>
    <s v="15-15-15"/>
    <s v="WB"/>
    <x v="8"/>
    <s v="Raiganj"/>
    <s v="User Not Mapped"/>
    <s v="User Not Mapped"/>
    <s v="User Not Mapped"/>
    <n v="889514"/>
    <s v="MALEK FERTILIZER"/>
    <s v="Private Retailer"/>
    <s v="7074236967"/>
    <n v="0.5"/>
    <n v="183"/>
    <x v="3"/>
    <m/>
    <s v="2025-10-26"/>
    <s v="949278"/>
    <s v="GHOSH FERTILIZER"/>
    <s v="9434967172"/>
  </r>
  <r>
    <s v="RCF Trombay"/>
    <s v="15-15-15"/>
    <s v="WB"/>
    <x v="8"/>
    <s v="Raiganj"/>
    <s v="User Not Mapped"/>
    <s v="User Not Mapped"/>
    <s v="User Not Mapped"/>
    <n v="889514"/>
    <s v="MALEK FERTILIZER"/>
    <s v="Private Retailer"/>
    <s v="7074236967"/>
    <n v="1"/>
    <n v="57"/>
    <x v="1"/>
    <m/>
    <s v="2026-03-01"/>
    <s v="651626"/>
    <s v="M/S RADHA KRISHNA SAR BHANDAR"/>
    <s v="9735437617"/>
  </r>
  <r>
    <s v="RCF Import"/>
    <s v="MOP"/>
    <s v="WB"/>
    <x v="8"/>
    <s v="Raiganj"/>
    <s v="User Not Mapped"/>
    <s v="User Not Mapped"/>
    <s v="User Not Mapped"/>
    <n v="892191"/>
    <s v="AMRIT KR BARMAN"/>
    <s v="Private Retailer"/>
    <s v="8436213173"/>
    <n v="1"/>
    <n v="500"/>
    <x v="6"/>
    <m/>
    <s v="2024-12-13"/>
    <s v="1000525"/>
    <s v="ROY KRISHI BEEJ BHANDER"/>
    <s v="8918953747"/>
  </r>
  <r>
    <s v="RCF Thal"/>
    <s v="N.C.Urea(45kg)"/>
    <s v="WB"/>
    <x v="8"/>
    <s v="Raiganj"/>
    <s v="User Not Mapped"/>
    <s v="User Not Mapped"/>
    <s v="User Not Mapped"/>
    <n v="892211"/>
    <s v="M/s. SABUJ JYOTSNA"/>
    <s v="Private Retailer"/>
    <s v="9474141205"/>
    <n v="8.3699999999999992"/>
    <n v="71"/>
    <x v="2"/>
    <m/>
    <s v="2026-02-15"/>
    <s v="342392"/>
    <s v="M/s. Kanailal Kedar Prasad"/>
    <s v="7407719515"/>
  </r>
  <r>
    <s v="RCF Thal"/>
    <s v="N.C.Urea(45kg)"/>
    <s v="WB"/>
    <x v="8"/>
    <s v="Raiganj"/>
    <s v="User Not Mapped"/>
    <s v="User Not Mapped"/>
    <s v="User Not Mapped"/>
    <n v="893013"/>
    <s v="De and Brother Fertilizer"/>
    <s v="Private Retailer"/>
    <s v="9434486105"/>
    <n v="0.32"/>
    <n v="1181"/>
    <x v="7"/>
    <m/>
    <s v="2023-02-01"/>
    <s v="1084859"/>
    <s v="BISWAS FERTILIZER"/>
    <s v="9635905766"/>
  </r>
  <r>
    <s v="RCF Trombay"/>
    <s v="15-15-15"/>
    <s v="WB"/>
    <x v="8"/>
    <s v="Raiganj"/>
    <s v="User Not Mapped"/>
    <s v="User Not Mapped"/>
    <s v="User Not Mapped"/>
    <n v="893013"/>
    <s v="De and Brother Fertilizer"/>
    <s v="Private Retailer"/>
    <s v="9434486105"/>
    <n v="2.2599999999999998"/>
    <n v="498"/>
    <x v="6"/>
    <m/>
    <s v="2024-12-15"/>
    <s v="1265559"/>
    <s v="M/S BASAK AND SONS"/>
    <s v="9434458269"/>
  </r>
  <r>
    <s v="RCF Thal"/>
    <s v="N.C.Urea(45kg)"/>
    <s v="WB"/>
    <x v="8"/>
    <s v="Raiganj"/>
    <s v="User Not Mapped"/>
    <s v="User Not Mapped"/>
    <s v="User Not Mapped"/>
    <n v="893025"/>
    <s v="MANGLU BARMAN"/>
    <s v="Private Retailer"/>
    <s v="8371840455"/>
    <n v="9.125"/>
    <n v="71"/>
    <x v="2"/>
    <m/>
    <s v="2026-02-15"/>
    <s v="342392"/>
    <s v="M/s. Kanailal Kedar Prasad"/>
    <s v="7407719515"/>
  </r>
  <r>
    <s v="RCF Trombay"/>
    <s v="15-15-15"/>
    <s v="WB"/>
    <x v="8"/>
    <s v="Raiganj"/>
    <s v="User Not Mapped"/>
    <s v="User Not Mapped"/>
    <s v="User Not Mapped"/>
    <n v="893025"/>
    <s v="MANGLU BARMAN"/>
    <s v="Private Retailer"/>
    <s v="8371840455"/>
    <n v="0.75"/>
    <n v="51"/>
    <x v="1"/>
    <m/>
    <s v="2026-03-07"/>
    <s v="651626"/>
    <s v="M/S RADHA KRISHNA SAR BHANDAR"/>
    <s v="9735437617"/>
  </r>
  <r>
    <s v="RCF Trombay"/>
    <s v="15-15-15"/>
    <s v="WB"/>
    <x v="8"/>
    <s v="Raiganj"/>
    <s v="User Not Mapped"/>
    <s v="User Not Mapped"/>
    <s v="User Not Mapped"/>
    <n v="893025"/>
    <s v="MANGLU BARMAN"/>
    <s v="Private Retailer"/>
    <s v="8371840455"/>
    <n v="0.25"/>
    <n v="114"/>
    <x v="5"/>
    <m/>
    <s v="2026-01-03"/>
    <s v="651626"/>
    <s v="M/S RADHA KRISHNA SAR BHANDAR"/>
    <s v="9735437617"/>
  </r>
  <r>
    <s v="RCF Trombay"/>
    <s v="15-15-15"/>
    <s v="WB"/>
    <x v="8"/>
    <s v="Raiganj"/>
    <s v="User Not Mapped"/>
    <s v="User Not Mapped"/>
    <s v="User Not Mapped"/>
    <n v="909590"/>
    <s v="SIMA FERTILIZER"/>
    <s v="Private Retailer"/>
    <s v="8637045549"/>
    <n v="0.5"/>
    <n v="465"/>
    <x v="6"/>
    <m/>
    <s v="2025-01-17"/>
    <s v="949278"/>
    <s v="GHOSH FERTILIZER"/>
    <s v="9434967172"/>
  </r>
  <r>
    <s v="RCF Thal"/>
    <s v="N.C.Urea(45kg)"/>
    <s v="WB"/>
    <x v="8"/>
    <s v="Raiganj"/>
    <s v="User Not Mapped"/>
    <s v="User Not Mapped"/>
    <s v="User Not Mapped"/>
    <n v="909590"/>
    <s v="SIMA FERTILIZER"/>
    <s v="Private Retailer"/>
    <s v="8637045549"/>
    <n v="4.4999999999999998E-2"/>
    <n v="1188"/>
    <x v="7"/>
    <m/>
    <s v="2023-01-25"/>
    <s v="1258460"/>
    <s v="M/S MAA TARA FERTILIZER WHOLES"/>
    <s v="6294610027"/>
  </r>
  <r>
    <s v="RCF Trombay"/>
    <s v="15-15-15"/>
    <s v="WB"/>
    <x v="8"/>
    <s v="Raiganj"/>
    <s v="User Not Mapped"/>
    <s v="User Not Mapped"/>
    <s v="User Not Mapped"/>
    <n v="909590"/>
    <s v="SIMA FERTILIZER"/>
    <s v="Private Retailer"/>
    <s v="8637045549"/>
    <n v="0.05"/>
    <n v="1130"/>
    <x v="7"/>
    <m/>
    <s v="2023-03-24"/>
    <s v="1258460"/>
    <s v="M/S MAA TARA FERTILIZER WHOLES"/>
    <s v="6294610027"/>
  </r>
  <r>
    <s v="RCF Import"/>
    <s v="MOP"/>
    <s v="WB"/>
    <x v="8"/>
    <s v="Raiganj"/>
    <s v="User Not Mapped"/>
    <s v="User Not Mapped"/>
    <s v="User Not Mapped"/>
    <n v="909634"/>
    <s v="BHABANI BARMAN"/>
    <s v="Private Retailer"/>
    <s v="7384455814"/>
    <n v="0.05"/>
    <n v="534"/>
    <x v="6"/>
    <m/>
    <s v="2024-11-09"/>
    <s v="876168"/>
    <s v="M/s. NEW LAXMI FERTILIZERS"/>
    <s v="8207270798"/>
  </r>
  <r>
    <s v="RCF Thal"/>
    <s v="N.C.Urea(45kg)"/>
    <s v="WB"/>
    <x v="8"/>
    <s v="Raiganj"/>
    <s v="User Not Mapped"/>
    <s v="User Not Mapped"/>
    <s v="User Not Mapped"/>
    <n v="924155"/>
    <s v="REKHA SARKAR"/>
    <s v="Private Retailer"/>
    <s v="7076549881"/>
    <n v="0.63"/>
    <n v="492"/>
    <x v="6"/>
    <m/>
    <s v="2024-12-21"/>
    <s v="1036451"/>
    <s v="PRANAB NARAYAN SHOME"/>
    <s v="7001328091"/>
  </r>
  <r>
    <s v="RCF Trombay"/>
    <s v="15-15-15"/>
    <s v="WB"/>
    <x v="8"/>
    <s v="Raiganj"/>
    <s v="User Not Mapped"/>
    <s v="User Not Mapped"/>
    <s v="User Not Mapped"/>
    <n v="950928"/>
    <s v="Sujan Das"/>
    <s v="Private Retailer"/>
    <s v="8116695349"/>
    <n v="2"/>
    <n v="235"/>
    <x v="3"/>
    <m/>
    <s v="2025-09-04"/>
    <s v="1265559"/>
    <s v="M/S BASAK AND SONS"/>
    <s v="9434458269"/>
  </r>
  <r>
    <s v="RCF Import"/>
    <s v="Imp 10-26-26"/>
    <s v="WB"/>
    <x v="8"/>
    <s v="Raiganj"/>
    <s v="User Not Mapped"/>
    <s v="User Not Mapped"/>
    <s v="User Not Mapped"/>
    <n v="994886"/>
    <s v="KRISHI SAR BHANDER"/>
    <s v="Private Retailer"/>
    <s v="6295138228"/>
    <n v="0.4"/>
    <n v="152"/>
    <x v="0"/>
    <m/>
    <s v="2025-11-26"/>
    <s v="281603"/>
    <s v="Pulak Sarkar"/>
    <s v="9474141205"/>
  </r>
  <r>
    <s v="RCF Thal"/>
    <s v="N.C.Urea(45kg)"/>
    <s v="WB"/>
    <x v="8"/>
    <s v="Raiganj"/>
    <s v="User Not Mapped"/>
    <s v="User Not Mapped"/>
    <s v="User Not Mapped"/>
    <n v="995070"/>
    <s v="M/S GONI MAHAMMAD"/>
    <s v="Private Retailer"/>
    <s v="9775896735"/>
    <n v="3.5999999999999997E-2"/>
    <n v="1407"/>
    <x v="7"/>
    <m/>
    <s v="2022-06-20"/>
    <s v="1084859"/>
    <s v="BISWAS FERTILIZER"/>
    <s v="9635905766"/>
  </r>
  <r>
    <s v="RCF Thal"/>
    <s v="N.C.Urea(45kg)"/>
    <s v="WB"/>
    <x v="8"/>
    <s v="Raiganj"/>
    <s v="User Not Mapped"/>
    <s v="User Not Mapped"/>
    <s v="User Not Mapped"/>
    <n v="1098987"/>
    <s v="LOKNATH KRISHI BHANDAR"/>
    <s v="Private Retailer"/>
    <s v="7001660232"/>
    <n v="11.025"/>
    <n v="94"/>
    <x v="5"/>
    <m/>
    <s v="2026-01-23"/>
    <s v="342392"/>
    <s v="M/s. Kanailal Kedar Prasad"/>
    <s v="7407719515"/>
  </r>
  <r>
    <s v="RCF Trombay"/>
    <s v="N.C.Urea(45kg)"/>
    <s v="WB"/>
    <x v="8"/>
    <s v="Raiganj"/>
    <s v="User Not Mapped"/>
    <s v="User Not Mapped"/>
    <s v="User Not Mapped"/>
    <n v="1098987"/>
    <s v="LOKNATH KRISHI BHANDAR"/>
    <s v="Private Retailer"/>
    <s v="7001660232"/>
    <n v="1.35"/>
    <n v="426"/>
    <x v="6"/>
    <m/>
    <s v="2025-02-25"/>
    <s v="1000525"/>
    <s v="ROY KRISHI BEEJ BHANDER"/>
    <s v="8918953747"/>
  </r>
  <r>
    <s v="RCF Thal"/>
    <s v="N.C.Urea(45kg)"/>
    <s v="WB"/>
    <x v="8"/>
    <s v="Raiganj"/>
    <s v="User Not Mapped"/>
    <s v="User Not Mapped"/>
    <s v="User Not Mapped"/>
    <n v="1098987"/>
    <s v="LOKNATH KRISHI BHANDAR"/>
    <s v="Private Retailer"/>
    <s v="7001660232"/>
    <n v="22.05"/>
    <n v="49"/>
    <x v="1"/>
    <m/>
    <s v="2026-03-09"/>
    <s v="342392"/>
    <s v="M/s. Kanailal Kedar Prasad"/>
    <s v="7407719515"/>
  </r>
  <r>
    <s v="RCF Thal"/>
    <s v="N.C.Urea(45kg)"/>
    <s v="WB"/>
    <x v="8"/>
    <s v="Raiganj"/>
    <s v="User Not Mapped"/>
    <s v="User Not Mapped"/>
    <s v="User Not Mapped"/>
    <n v="1098987"/>
    <s v="LOKNATH KRISHI BHANDAR"/>
    <s v="Private Retailer"/>
    <s v="7001660232"/>
    <n v="22.05"/>
    <n v="170"/>
    <x v="0"/>
    <m/>
    <s v="2025-11-08"/>
    <s v="342392"/>
    <s v="M/s. Kanailal Kedar Prasad"/>
    <s v="7407719515"/>
  </r>
  <r>
    <s v="RCF Thal"/>
    <s v="N.C.Urea(45kg)"/>
    <s v="WB"/>
    <x v="8"/>
    <s v="Raiganj"/>
    <s v="User Not Mapped"/>
    <s v="User Not Mapped"/>
    <s v="User Not Mapped"/>
    <n v="1098987"/>
    <s v="LOKNATH KRISHI BHANDAR"/>
    <s v="Private Retailer"/>
    <s v="7001660232"/>
    <n v="3.69"/>
    <n v="296"/>
    <x v="3"/>
    <m/>
    <s v="2025-07-05"/>
    <s v="342392"/>
    <s v="M/s. Kanailal Kedar Prasad"/>
    <s v="7407719515"/>
  </r>
  <r>
    <s v="RCF Trombay"/>
    <s v="15-15-15"/>
    <s v="WB"/>
    <x v="8"/>
    <s v="Raiganj"/>
    <s v="User Not Mapped"/>
    <s v="User Not Mapped"/>
    <s v="User Not Mapped"/>
    <n v="1098987"/>
    <s v="LOKNATH KRISHI BHANDAR"/>
    <s v="Private Retailer"/>
    <s v="7001660232"/>
    <n v="11"/>
    <n v="140"/>
    <x v="0"/>
    <m/>
    <s v="2025-12-08"/>
    <s v="342392"/>
    <s v="M/s. Kanailal Kedar Prasad"/>
    <s v="7407719515"/>
  </r>
  <r>
    <s v="RCF Thal"/>
    <s v="N.C.Urea(45kg)"/>
    <s v="WB"/>
    <x v="8"/>
    <s v="Raiganj"/>
    <s v="User Not Mapped"/>
    <s v="User Not Mapped"/>
    <s v="User Not Mapped"/>
    <n v="1098987"/>
    <s v="LOKNATH KRISHI BHANDAR"/>
    <s v="Private Retailer"/>
    <s v="7001660232"/>
    <n v="10.215"/>
    <n v="68"/>
    <x v="2"/>
    <m/>
    <s v="2026-02-18"/>
    <s v="342392"/>
    <s v="M/s. Kanailal Kedar Prasad"/>
    <s v="7407719515"/>
  </r>
  <r>
    <s v="RCF Thal"/>
    <s v="N.C.Urea(45kg)"/>
    <s v="WB"/>
    <x v="8"/>
    <s v="Raiganj"/>
    <s v="User Not Mapped"/>
    <s v="User Not Mapped"/>
    <s v="User Not Mapped"/>
    <n v="1098987"/>
    <s v="LOKNATH KRISHI BHANDAR"/>
    <s v="Private Retailer"/>
    <s v="7001660232"/>
    <n v="11.025"/>
    <n v="71"/>
    <x v="2"/>
    <m/>
    <s v="2026-02-15"/>
    <s v="342392"/>
    <s v="M/s. Kanailal Kedar Prasad"/>
    <s v="7407719515"/>
  </r>
  <r>
    <s v="RCF Thal"/>
    <s v="N.C.Urea(45kg)"/>
    <s v="WB"/>
    <x v="8"/>
    <s v="Raiganj"/>
    <s v="User Not Mapped"/>
    <s v="User Not Mapped"/>
    <s v="User Not Mapped"/>
    <n v="1098987"/>
    <s v="LOKNATH KRISHI BHANDAR"/>
    <s v="Private Retailer"/>
    <s v="7001660232"/>
    <n v="22.05"/>
    <n v="198"/>
    <x v="3"/>
    <m/>
    <s v="2025-10-11"/>
    <s v="342392"/>
    <s v="M/s. Kanailal Kedar Prasad"/>
    <s v="7407719515"/>
  </r>
  <r>
    <s v="RCF Thal"/>
    <s v="N.C.Urea(45kg)"/>
    <s v="WB"/>
    <x v="8"/>
    <s v="Raiganj"/>
    <s v="User Not Mapped"/>
    <s v="User Not Mapped"/>
    <s v="User Not Mapped"/>
    <n v="1098987"/>
    <s v="LOKNATH KRISHI BHANDAR"/>
    <s v="Private Retailer"/>
    <s v="7001660232"/>
    <n v="11.025"/>
    <n v="110"/>
    <x v="5"/>
    <m/>
    <s v="2026-01-07"/>
    <s v="342392"/>
    <s v="M/s. Kanailal Kedar Prasad"/>
    <s v="7407719515"/>
  </r>
  <r>
    <s v="RCF Trombay"/>
    <s v="15-15-15"/>
    <s v="WB"/>
    <x v="8"/>
    <s v="Raiganj"/>
    <s v="User Not Mapped"/>
    <s v="User Not Mapped"/>
    <s v="User Not Mapped"/>
    <n v="1101263"/>
    <s v="SUMAN SAR BHANDER"/>
    <s v="Private Retailer"/>
    <s v="9733402375"/>
    <n v="0.25"/>
    <n v="305"/>
    <x v="3"/>
    <m/>
    <s v="2025-06-26"/>
    <s v="651626"/>
    <s v="M/S RADHA KRISHNA SAR BHANDAR"/>
    <s v="9735437617"/>
  </r>
  <r>
    <s v="RCF Trombay"/>
    <s v="N.C.Urea(45kg)"/>
    <s v="WB"/>
    <x v="8"/>
    <s v="Raiganj"/>
    <s v="User Not Mapped"/>
    <s v="User Not Mapped"/>
    <s v="User Not Mapped"/>
    <n v="1132576"/>
    <s v="M/S KALABATI AGRICULTURE"/>
    <s v="Private Retailer"/>
    <s v="9933161047"/>
    <n v="0.01"/>
    <n v="1368"/>
    <x v="7"/>
    <m/>
    <s v="2022-07-29"/>
    <s v="1258460"/>
    <s v="M/S MAA TARA FERTILIZER WHOLES"/>
    <s v="6294610027"/>
  </r>
  <r>
    <s v="RCF Trombay"/>
    <s v="N.C.Urea(45kg)"/>
    <s v="WB"/>
    <x v="8"/>
    <s v="Raiganj"/>
    <s v="User Not Mapped"/>
    <s v="User Not Mapped"/>
    <s v="User Not Mapped"/>
    <n v="1134410"/>
    <s v="M/S RAKHED ALI"/>
    <s v="Private Retailer"/>
    <s v="8389931831"/>
    <n v="0.13500000000000001"/>
    <n v="1590"/>
    <x v="7"/>
    <m/>
    <s v="2021-12-19"/>
    <s v="1161963"/>
    <s v="M/S PANDEY AND SONS"/>
    <s v="9614822447"/>
  </r>
  <r>
    <s v="RCF Trombay"/>
    <s v="15-15-15"/>
    <s v="WB"/>
    <x v="8"/>
    <s v="Raiganj"/>
    <s v="User Not Mapped"/>
    <s v="User Not Mapped"/>
    <s v="User Not Mapped"/>
    <n v="1134412"/>
    <s v="M/S SAHA SAR BHANDAR"/>
    <s v="Private Retailer"/>
    <s v="8967055799"/>
    <n v="0.4"/>
    <n v="322"/>
    <x v="3"/>
    <m/>
    <s v="2025-06-09"/>
    <s v="876168"/>
    <s v="M/s. NEW LAXMI FERTILIZERS"/>
    <s v="8207270798"/>
  </r>
  <r>
    <s v="RCF Thal"/>
    <s v="N.C.Urea(45kg)"/>
    <s v="WB"/>
    <x v="8"/>
    <s v="Raiganj"/>
    <s v="User Not Mapped"/>
    <s v="User Not Mapped"/>
    <s v="User Not Mapped"/>
    <n v="1134412"/>
    <s v="M/S SAHA SAR BHANDAR"/>
    <s v="Private Retailer"/>
    <s v="8967055799"/>
    <n v="0.09"/>
    <n v="1154"/>
    <x v="7"/>
    <m/>
    <s v="2023-02-28"/>
    <s v="876168"/>
    <s v="M/s. NEW LAXMI FERTILIZERS"/>
    <s v="8207270798"/>
  </r>
  <r>
    <s v="RCF Thal"/>
    <s v="N.C.Urea(45kg)"/>
    <s v="WB"/>
    <x v="8"/>
    <s v="Raiganj"/>
    <s v="User Not Mapped"/>
    <s v="User Not Mapped"/>
    <s v="User Not Mapped"/>
    <n v="1142181"/>
    <s v="GUNADHAR BARMAN"/>
    <s v="Private Retailer"/>
    <s v="8972587840"/>
    <n v="5.8949999999999996"/>
    <n v="133"/>
    <x v="0"/>
    <m/>
    <s v="2025-12-15"/>
    <s v="342392"/>
    <s v="M/s. Kanailal Kedar Prasad"/>
    <s v="7407719515"/>
  </r>
  <r>
    <s v="RCF Trombay"/>
    <s v="15-15-15"/>
    <s v="WB"/>
    <x v="8"/>
    <s v="Raiganj"/>
    <s v="User Not Mapped"/>
    <s v="User Not Mapped"/>
    <s v="User Not Mapped"/>
    <n v="1142185"/>
    <s v="PRITI SAR BHANDER"/>
    <s v="Private Retailer"/>
    <s v="9647726399"/>
    <n v="0.25"/>
    <n v="855"/>
    <x v="7"/>
    <m/>
    <s v="2023-12-24"/>
    <s v="651626"/>
    <s v="M/S RADHA KRISHNA SAR BHANDAR"/>
    <s v="9735437617"/>
  </r>
  <r>
    <s v="RCF Trombay"/>
    <s v="15-15-15"/>
    <s v="WB"/>
    <x v="8"/>
    <s v="Raiganj"/>
    <s v="User Not Mapped"/>
    <s v="User Not Mapped"/>
    <s v="User Not Mapped"/>
    <n v="1142185"/>
    <s v="PRITI SAR BHANDER"/>
    <s v="Private Retailer"/>
    <s v="9647726399"/>
    <n v="0.246"/>
    <n v="878"/>
    <x v="7"/>
    <m/>
    <s v="2023-12-01"/>
    <s v="651626"/>
    <s v="M/S RADHA KRISHNA SAR BHANDAR"/>
    <s v="9735437617"/>
  </r>
  <r>
    <s v="RCF Trombay"/>
    <s v="15-15-15"/>
    <s v="WB"/>
    <x v="8"/>
    <s v="Raiganj"/>
    <s v="User Not Mapped"/>
    <s v="User Not Mapped"/>
    <s v="User Not Mapped"/>
    <n v="1142185"/>
    <s v="PRITI SAR BHANDER"/>
    <s v="Private Retailer"/>
    <s v="9647726399"/>
    <n v="0.25"/>
    <n v="811"/>
    <x v="7"/>
    <m/>
    <s v="2024-02-06"/>
    <s v="651626"/>
    <s v="M/S RADHA KRISHNA SAR BHANDAR"/>
    <s v="9735437617"/>
  </r>
  <r>
    <s v="RCF Trombay"/>
    <s v="15-15-15"/>
    <s v="WB"/>
    <x v="8"/>
    <s v="Raiganj"/>
    <s v="User Not Mapped"/>
    <s v="User Not Mapped"/>
    <s v="User Not Mapped"/>
    <n v="1142185"/>
    <s v="PRITI SAR BHANDER"/>
    <s v="Private Retailer"/>
    <s v="9647726399"/>
    <n v="0.25"/>
    <n v="782"/>
    <x v="7"/>
    <m/>
    <s v="2024-03-06"/>
    <s v="651626"/>
    <s v="M/S RADHA KRISHNA SAR BHANDAR"/>
    <s v="9735437617"/>
  </r>
  <r>
    <s v="RCF Import"/>
    <s v="Imp 10-26-26"/>
    <s v="WB"/>
    <x v="8"/>
    <s v="Raiganj"/>
    <s v="User Not Mapped"/>
    <s v="User Not Mapped"/>
    <s v="User Not Mapped"/>
    <n v="1331241"/>
    <s v="SARKAR KRISHI BHANDAR"/>
    <s v="Private Retailer"/>
    <s v="9733270632"/>
    <n v="0.25"/>
    <n v="57"/>
    <x v="1"/>
    <m/>
    <s v="2026-03-01"/>
    <s v="651626"/>
    <s v="M/S RADHA KRISHNA SAR BHANDAR"/>
    <s v="9735437617"/>
  </r>
  <r>
    <s v="RCF Thal"/>
    <s v="N.C.Urea(45kg)"/>
    <s v="WB"/>
    <x v="8"/>
    <s v="Raiganj"/>
    <s v="User Not Mapped"/>
    <s v="User Not Mapped"/>
    <s v="User Not Mapped"/>
    <n v="1333346"/>
    <s v="J P FERTILIZER"/>
    <s v="Private Retailer"/>
    <s v="9002856833"/>
    <n v="9.3149999999999995"/>
    <n v="71"/>
    <x v="2"/>
    <m/>
    <s v="2026-02-15"/>
    <s v="342392"/>
    <s v="M/s. Kanailal Kedar Prasad"/>
    <s v="7407719515"/>
  </r>
  <r>
    <s v="RCF Thal"/>
    <s v="N.C.Urea(45kg)"/>
    <s v="WB"/>
    <x v="8"/>
    <s v="Raiganj"/>
    <s v="User Not Mapped"/>
    <s v="User Not Mapped"/>
    <s v="User Not Mapped"/>
    <n v="1388238"/>
    <s v="KALICHARAN SARKAR AND PABITRA "/>
    <s v="Private Retailer"/>
    <s v="6296518905"/>
    <n v="10.755000000000001"/>
    <n v="49"/>
    <x v="1"/>
    <m/>
    <s v="2026-03-09"/>
    <s v="342392"/>
    <s v="M/s. Kanailal Kedar Prasad"/>
    <s v="7407719515"/>
  </r>
  <r>
    <s v="RCF Thal"/>
    <s v="N.C.Urea(45kg)"/>
    <s v="WB"/>
    <x v="8"/>
    <s v="Raiganj"/>
    <s v="User Not Mapped"/>
    <s v="User Not Mapped"/>
    <s v="User Not Mapped"/>
    <n v="1399346"/>
    <s v="DEYS FERTILISER"/>
    <s v="Private Retailer"/>
    <s v="9749352931"/>
    <n v="2.34"/>
    <n v="133"/>
    <x v="0"/>
    <m/>
    <s v="2025-12-15"/>
    <s v="342392"/>
    <s v="M/s. Kanailal Kedar Prasad"/>
    <s v="7407719515"/>
  </r>
  <r>
    <s v="RCF Import"/>
    <s v="MOP"/>
    <s v="WB"/>
    <x v="8"/>
    <s v="Raiganj"/>
    <s v="User Not Mapped"/>
    <s v="User Not Mapped"/>
    <s v="User Not Mapped"/>
    <n v="1399346"/>
    <s v="DEYS FERTILISER"/>
    <s v="Private Retailer"/>
    <s v="9749352931"/>
    <n v="0.05"/>
    <n v="460"/>
    <x v="6"/>
    <m/>
    <s v="2025-01-22"/>
    <s v="1036451"/>
    <s v="PRANAB NARAYAN SHOME"/>
    <s v="7001328091"/>
  </r>
  <r>
    <s v="RCF Trombay"/>
    <s v="N.C.Urea(45kg)"/>
    <s v="WB"/>
    <x v="8"/>
    <s v="Raiganj"/>
    <s v="User Not Mapped"/>
    <s v="User Not Mapped"/>
    <s v="User Not Mapped"/>
    <n v="1409498"/>
    <s v="MAHATO SEEDS AND FERTILIZER"/>
    <s v="Private Retailer"/>
    <s v="6295705217"/>
    <n v="8.82"/>
    <n v="171"/>
    <x v="0"/>
    <m/>
    <s v="2025-11-07"/>
    <s v="342392"/>
    <s v="M/s. Kanailal Kedar Prasad"/>
    <s v="7407719515"/>
  </r>
  <r>
    <s v="RCF Thal"/>
    <s v="N.C.Urea(45kg)"/>
    <s v="WB"/>
    <x v="8"/>
    <s v="Raiganj"/>
    <s v="User Not Mapped"/>
    <s v="User Not Mapped"/>
    <s v="User Not Mapped"/>
    <n v="1450800"/>
    <s v="KARNAJORA CO-OPERATIVE AGRICUL"/>
    <s v="Private Retailer"/>
    <s v="9733175067"/>
    <n v="11.025"/>
    <n v="49"/>
    <x v="1"/>
    <m/>
    <s v="2026-03-09"/>
    <s v="342392"/>
    <s v="M/s. Kanailal Kedar Prasad"/>
    <s v="7407719515"/>
  </r>
  <r>
    <s v="RCF Trombay"/>
    <s v="15-15-15"/>
    <s v="WB"/>
    <x v="8"/>
    <s v="Raiganj"/>
    <s v="User Not Mapped"/>
    <s v="User Not Mapped"/>
    <s v="User Not Mapped"/>
    <n v="1461990"/>
    <s v="RADHA KRISHNA GREEN HOUSE"/>
    <s v="Private Retailer"/>
    <s v="9641099081"/>
    <n v="0.25"/>
    <n v="57"/>
    <x v="1"/>
    <m/>
    <s v="2026-03-01"/>
    <s v="651626"/>
    <s v="M/S RADHA KRISHNA SAR BHANDAR"/>
    <s v="9735437617"/>
  </r>
  <r>
    <s v="RCF Trombay"/>
    <s v="15-15-15"/>
    <s v="WB"/>
    <x v="8"/>
    <s v="Raiganj"/>
    <s v="User Not Mapped"/>
    <s v="User Not Mapped"/>
    <s v="User Not Mapped"/>
    <n v="1462022"/>
    <s v="REHAN TRADERS"/>
    <s v="Private Retailer"/>
    <s v="9932389022"/>
    <n v="0.15"/>
    <n v="667"/>
    <x v="7"/>
    <m/>
    <s v="2024-06-29"/>
    <s v="949278"/>
    <s v="GHOSH FERTILIZER"/>
    <s v="9434967172"/>
  </r>
  <r>
    <s v="RCF Trombay"/>
    <s v="N.C.Urea(45kg)"/>
    <s v="WB"/>
    <x v="8"/>
    <s v="Raiganj"/>
    <s v="User Not Mapped"/>
    <s v="User Not Mapped"/>
    <s v="User Not Mapped"/>
    <n v="1505107"/>
    <s v="M/S LOKNATH KRISHI BHANDAR"/>
    <s v="Private Retailer"/>
    <s v="8617385804"/>
    <n v="0.13500000000000001"/>
    <n v="171"/>
    <x v="0"/>
    <m/>
    <s v="2025-11-07"/>
    <s v="342392"/>
    <s v="M/s. Kanailal Kedar Prasad"/>
    <s v="7407719515"/>
  </r>
  <r>
    <s v="RCF Trombay"/>
    <s v="15-15-15"/>
    <s v="WB"/>
    <x v="8"/>
    <s v="Raiganj"/>
    <s v="User Not Mapped"/>
    <s v="User Not Mapped"/>
    <s v="User Not Mapped"/>
    <n v="1505107"/>
    <s v="M/S LOKNATH KRISHI BHANDAR"/>
    <s v="Private Retailer"/>
    <s v="8617385804"/>
    <n v="0.15"/>
    <n v="165"/>
    <x v="0"/>
    <m/>
    <s v="2025-11-13"/>
    <s v="281226"/>
    <s v="Subuj Supply"/>
    <s v="7001971187"/>
  </r>
  <r>
    <s v="RCF Trombay"/>
    <s v="15-15-15"/>
    <s v="WB"/>
    <x v="8"/>
    <s v="Raiganj"/>
    <s v="User Not Mapped"/>
    <s v="User Not Mapped"/>
    <s v="User Not Mapped"/>
    <n v="1519137"/>
    <s v="SARKAR FERTILIZER "/>
    <s v="Private Retailer"/>
    <s v="9932557970"/>
    <n v="1.75"/>
    <n v="215"/>
    <x v="3"/>
    <m/>
    <s v="2025-09-24"/>
    <s v="281210"/>
    <s v="Monsur Alam Azad"/>
    <s v="8927726054"/>
  </r>
  <r>
    <s v="RCF Thal"/>
    <s v="N.C.Urea(45kg)"/>
    <s v="WB"/>
    <x v="8"/>
    <s v="Raiganj"/>
    <s v="User Not Mapped"/>
    <s v="User Not Mapped"/>
    <s v="User Not Mapped"/>
    <n v="1519151"/>
    <s v="RAMIZ FERTILIZER "/>
    <s v="Private Retailer"/>
    <s v="9883091547"/>
    <n v="10.574999999999999"/>
    <n v="94"/>
    <x v="5"/>
    <m/>
    <s v="2026-01-23"/>
    <s v="342392"/>
    <s v="M/s. Kanailal Kedar Prasad"/>
    <s v="7407719515"/>
  </r>
  <r>
    <s v="RCF Trombay"/>
    <s v="15-15-15"/>
    <s v="WB"/>
    <x v="8"/>
    <s v="Raiganj"/>
    <s v="User Not Mapped"/>
    <s v="User Not Mapped"/>
    <s v="User Not Mapped"/>
    <n v="1527761"/>
    <s v="SABUJ BIPLAB"/>
    <s v="Private Retailer"/>
    <s v="8016617104"/>
    <n v="0.5"/>
    <n v="291"/>
    <x v="3"/>
    <m/>
    <s v="2025-07-10"/>
    <s v="1084859"/>
    <s v="BISWAS FERTILIZER"/>
    <s v="9635905766"/>
  </r>
  <r>
    <s v="RCF Trombay"/>
    <s v="15-15-15"/>
    <s v="WB"/>
    <x v="8"/>
    <s v="Raiganj"/>
    <s v="User Not Mapped"/>
    <s v="User Not Mapped"/>
    <s v="User Not Mapped"/>
    <n v="1527761"/>
    <s v="SABUJ BIPLAB"/>
    <s v="Private Retailer"/>
    <s v="8016617104"/>
    <n v="0.75"/>
    <n v="521"/>
    <x v="6"/>
    <m/>
    <s v="2024-11-22"/>
    <s v="1084859"/>
    <s v="BISWAS FERTILIZER"/>
    <s v="9635905766"/>
  </r>
  <r>
    <s v="RCF Trombay"/>
    <s v="15-15-15"/>
    <s v="WB"/>
    <x v="8"/>
    <s v="Raiganj"/>
    <s v="User Not Mapped"/>
    <s v="User Not Mapped"/>
    <s v="User Not Mapped"/>
    <n v="1527761"/>
    <s v="SABUJ BIPLAB"/>
    <s v="Private Retailer"/>
    <s v="8016617104"/>
    <n v="0.8"/>
    <n v="159"/>
    <x v="0"/>
    <m/>
    <s v="2025-11-19"/>
    <s v="1084859"/>
    <s v="BISWAS FERTILIZER"/>
    <s v="9635905766"/>
  </r>
  <r>
    <s v="RCF Trombay"/>
    <s v="15-15-15"/>
    <s v="WB"/>
    <x v="8"/>
    <s v="Raiganj"/>
    <s v="User Not Mapped"/>
    <s v="User Not Mapped"/>
    <s v="User Not Mapped"/>
    <n v="1527761"/>
    <s v="SABUJ BIPLAB"/>
    <s v="Private Retailer"/>
    <s v="8016617104"/>
    <n v="3"/>
    <n v="141"/>
    <x v="0"/>
    <m/>
    <s v="2025-12-07"/>
    <s v="1084859"/>
    <s v="BISWAS FERTILIZER"/>
    <s v="9635905766"/>
  </r>
  <r>
    <s v="RCF Thal"/>
    <s v="N.C.Urea(45kg)"/>
    <s v="WB"/>
    <x v="8"/>
    <m/>
    <s v="User Not Mapped"/>
    <s v="User Not Mapped"/>
    <s v="User Not Mapped"/>
    <n v="341074"/>
    <s v="Bikash Fertiliser"/>
    <s v="Private Retailer"/>
    <s v="9434811804"/>
    <n v="8.4600000000000009"/>
    <n v="198"/>
    <x v="3"/>
    <m/>
    <s v="2025-10-11"/>
    <s v="342392"/>
    <s v="M/s. Kanailal Kedar Prasad"/>
    <s v="7407719515"/>
  </r>
  <r>
    <s v="RCF Trombay"/>
    <s v="15-15-15"/>
    <s v="WB"/>
    <x v="8"/>
    <m/>
    <s v="User Not Mapped"/>
    <s v="User Not Mapped"/>
    <s v="User Not Mapped"/>
    <n v="342468"/>
    <s v="Tarun Kanti Ghosh"/>
    <s v="Private Retailer"/>
    <s v="9735974282"/>
    <n v="0.25"/>
    <n v="1357"/>
    <x v="7"/>
    <m/>
    <s v="2022-08-09"/>
    <s v="333141"/>
    <s v="Biswjit Kundu"/>
    <s v="7001510217"/>
  </r>
  <r>
    <s v="RCF Trombay"/>
    <s v="N.C.Urea(45kg)"/>
    <s v="WB"/>
    <x v="8"/>
    <m/>
    <s v="User Not Mapped"/>
    <s v="User Not Mapped"/>
    <s v="User Not Mapped"/>
    <n v="355056"/>
    <s v="Jahar Kumar Das"/>
    <s v="Private Retailer"/>
    <s v="8250003688"/>
    <n v="4.9050000000000002"/>
    <n v="53"/>
    <x v="1"/>
    <m/>
    <s v="2026-03-05"/>
    <s v="1606985"/>
    <s v="M/S KRISHI GHAR"/>
    <s v="7001196936"/>
  </r>
  <r>
    <s v="RCF Trombay"/>
    <s v="15-15-15"/>
    <s v="WB"/>
    <x v="8"/>
    <m/>
    <s v="User Not Mapped"/>
    <s v="User Not Mapped"/>
    <s v="User Not Mapped"/>
    <n v="355056"/>
    <s v="Jahar Kumar Das"/>
    <s v="Private Retailer"/>
    <s v="8250003688"/>
    <n v="0.85"/>
    <n v="27"/>
    <x v="4"/>
    <m/>
    <s v="2026-03-31"/>
    <s v="1292397"/>
    <s v="JAHAR KUMAR DAS"/>
    <s v="8250003688"/>
  </r>
  <r>
    <s v="RCF Trombay"/>
    <s v="15-15-15"/>
    <s v="WB"/>
    <x v="8"/>
    <m/>
    <s v="User Not Mapped"/>
    <s v="User Not Mapped"/>
    <s v="User Not Mapped"/>
    <n v="355894"/>
    <s v="Parimaldam"/>
    <s v="Private Retailer"/>
    <s v="7501157923"/>
    <n v="2"/>
    <n v="133"/>
    <x v="0"/>
    <m/>
    <s v="2025-12-15"/>
    <s v="281226"/>
    <s v="Subuj Supply"/>
    <s v="7001971187"/>
  </r>
  <r>
    <s v="RCF Thal"/>
    <s v="N.C.Urea(45kg)"/>
    <s v="WB"/>
    <x v="8"/>
    <m/>
    <s v="User Not Mapped"/>
    <s v="User Not Mapped"/>
    <s v="User Not Mapped"/>
    <n v="355894"/>
    <s v="Parimaldam"/>
    <s v="Private Retailer"/>
    <s v="7501157923"/>
    <n v="8.7750000000000004"/>
    <n v="133"/>
    <x v="0"/>
    <m/>
    <s v="2025-12-15"/>
    <s v="342392"/>
    <s v="M/s. Kanailal Kedar Prasad"/>
    <s v="7407719515"/>
  </r>
  <r>
    <s v="RCF Import"/>
    <s v="MOP"/>
    <s v="WB"/>
    <x v="8"/>
    <m/>
    <s v="User Not Mapped"/>
    <s v="User Not Mapped"/>
    <s v="User Not Mapped"/>
    <n v="356000"/>
    <s v="Ramesh Chandra   Debnath"/>
    <s v="Private Retailer"/>
    <s v="9647785225"/>
    <n v="0.15"/>
    <n v="555"/>
    <x v="7"/>
    <m/>
    <s v="2024-10-19"/>
    <s v="876168"/>
    <s v="M/s. NEW LAXMI FERTILIZERS"/>
    <s v="8207270798"/>
  </r>
  <r>
    <s v="RCF Trombay"/>
    <s v="15-15-15"/>
    <s v="WB"/>
    <x v="8"/>
    <m/>
    <s v="User Not Mapped"/>
    <s v="User Not Mapped"/>
    <s v="User Not Mapped"/>
    <n v="737134"/>
    <s v="SALIM ALI"/>
    <s v="Private Retailer"/>
    <s v="7557016573"/>
    <n v="1.86"/>
    <n v="2673"/>
    <x v="7"/>
    <m/>
    <s v="2019-01-01"/>
    <s v="11"/>
    <s v="Too Old Stock"/>
    <m/>
  </r>
  <r>
    <s v="RCF Thal"/>
    <s v="N.C.Urea(45kg)"/>
    <s v="WB"/>
    <x v="8"/>
    <m/>
    <s v="User Not Mapped"/>
    <s v="User Not Mapped"/>
    <s v="User Not Mapped"/>
    <n v="752277"/>
    <s v="M/S BAREN CHANDRA  SARKAR"/>
    <s v="Private Retailer"/>
    <s v="8016116438"/>
    <n v="1.4999999999999999E-2"/>
    <n v="2348"/>
    <x v="7"/>
    <m/>
    <s v="2019-11-22"/>
    <s v="342392"/>
    <s v="M/s. Kanailal Kedar Prasad"/>
    <s v="7407719515"/>
  </r>
  <r>
    <s v="RCF Thal"/>
    <s v="N.C.Urea(45kg)"/>
    <s v="WB"/>
    <x v="8"/>
    <m/>
    <s v="User Not Mapped"/>
    <s v="User Not Mapped"/>
    <s v="User Not Mapped"/>
    <n v="768088"/>
    <s v="M/S. NARGIS BEGAM"/>
    <s v="Private Retailer"/>
    <s v="7029854924"/>
    <n v="1.8"/>
    <n v="2234"/>
    <x v="7"/>
    <m/>
    <s v="2020-03-15"/>
    <s v="1084859"/>
    <s v="BISWAS FERTILIZER"/>
    <s v="9635905766"/>
  </r>
  <r>
    <s v="RCF Thal"/>
    <s v="N.C.Urea(45kg)"/>
    <s v="WB"/>
    <x v="8"/>
    <m/>
    <s v="User Not Mapped"/>
    <s v="User Not Mapped"/>
    <s v="User Not Mapped"/>
    <n v="768088"/>
    <s v="M/S. NARGIS BEGAM"/>
    <s v="Private Retailer"/>
    <s v="7029854924"/>
    <n v="0.77500000000000002"/>
    <n v="2310"/>
    <x v="7"/>
    <m/>
    <s v="2019-12-30"/>
    <s v="1084859"/>
    <s v="BISWAS FERTILIZER"/>
    <s v="9635905766"/>
  </r>
  <r>
    <s v="RCF Thal"/>
    <s v="N.C.Urea(45kg)"/>
    <s v="WB"/>
    <x v="8"/>
    <m/>
    <s v="User Not Mapped"/>
    <s v="User Not Mapped"/>
    <s v="User Not Mapped"/>
    <n v="888171"/>
    <s v="MAJIJUR RAHAMAN"/>
    <s v="Private Retailer"/>
    <s v="9593968964"/>
    <n v="0.45"/>
    <n v="1757"/>
    <x v="7"/>
    <m/>
    <s v="2021-07-05"/>
    <s v="651626"/>
    <s v="M/S RADHA KRISHNA SAR BHANDAR"/>
    <s v="9735437617"/>
  </r>
  <r>
    <s v="RCF Import"/>
    <s v="Imp 10-26-26"/>
    <s v="WB"/>
    <x v="8"/>
    <m/>
    <s v="User Not Mapped"/>
    <s v="User Not Mapped"/>
    <s v="User Not Mapped"/>
    <n v="946018"/>
    <s v="SAMSUDDIN AHAMMAD"/>
    <s v="Private Retailer"/>
    <s v="7047711399"/>
    <n v="2"/>
    <n v="36"/>
    <x v="1"/>
    <m/>
    <s v="2026-03-22"/>
    <s v="291329"/>
    <s v="Noor Fert Agency"/>
    <s v="9907316133"/>
  </r>
  <r>
    <s v="RCF Thal"/>
    <s v="N.C.Urea(45kg)"/>
    <s v="WB"/>
    <x v="8"/>
    <m/>
    <s v="User Not Mapped"/>
    <s v="User Not Mapped"/>
    <s v="User Not Mapped"/>
    <n v="1000477"/>
    <s v="ABDUL RAZZAK"/>
    <s v="Private Retailer"/>
    <s v="9832196396"/>
    <n v="3.15"/>
    <n v="51"/>
    <x v="1"/>
    <m/>
    <s v="2026-03-07"/>
    <s v="254617"/>
    <s v="M/s. R.K.Fertilizers"/>
    <s v="9932191695"/>
  </r>
  <r>
    <s v="RCF Trombay"/>
    <s v="15-15-15"/>
    <s v="WB"/>
    <x v="8"/>
    <m/>
    <s v="User Not Mapped"/>
    <s v="User Not Mapped"/>
    <s v="User Not Mapped"/>
    <n v="1029786"/>
    <s v="AJIMUDDIN AHAMMAD"/>
    <s v="Private Retailer"/>
    <s v="9775280542"/>
    <n v="0.09"/>
    <n v="2673"/>
    <x v="7"/>
    <m/>
    <s v="2019-01-01"/>
    <s v="11"/>
    <s v="Too Old Stock"/>
    <m/>
  </r>
  <r>
    <s v="RCF Thal"/>
    <s v="N.C.Urea(45kg)"/>
    <s v="WB"/>
    <x v="8"/>
    <m/>
    <s v="User Not Mapped"/>
    <s v="User Not Mapped"/>
    <s v="User Not Mapped"/>
    <n v="1029810"/>
    <s v="NANDALAL BARMAN"/>
    <s v="Private Retailer"/>
    <s v="9733063212"/>
    <n v="4.4999999999999998E-2"/>
    <n v="2673"/>
    <x v="7"/>
    <m/>
    <s v="2019-01-01"/>
    <s v="11"/>
    <s v="Too Old Stock"/>
    <m/>
  </r>
  <r>
    <s v="RCF Trombay"/>
    <s v="15-15-15"/>
    <s v="WB"/>
    <x v="8"/>
    <m/>
    <s v="User Not Mapped"/>
    <s v="User Not Mapped"/>
    <s v="User Not Mapped"/>
    <n v="1032531"/>
    <s v="M/S BABIB and PESTICIDES"/>
    <s v="Private Retailer"/>
    <s v="9635872888"/>
    <n v="1.85"/>
    <n v="22"/>
    <x v="4"/>
    <m/>
    <s v="2026-04-05"/>
    <s v="1132410"/>
    <s v="M/S MIRJA FERTILIZER"/>
    <s v="8016016291"/>
  </r>
  <r>
    <s v="RCF Thal"/>
    <s v="N.C.Urea(45kg)"/>
    <s v="WB"/>
    <x v="8"/>
    <m/>
    <s v="User Not Mapped"/>
    <s v="User Not Mapped"/>
    <s v="User Not Mapped"/>
    <n v="1057337"/>
    <s v="GARIB NAWAZ FERTILIZER"/>
    <s v="Private Retailer"/>
    <s v="8967971380"/>
    <n v="4.5"/>
    <n v="2673"/>
    <x v="7"/>
    <m/>
    <s v="2019-01-01"/>
    <s v="11"/>
    <s v="Too Old Stock"/>
    <m/>
  </r>
  <r>
    <s v="RCF Thal"/>
    <s v="N.C.Urea(45kg)"/>
    <s v="WB"/>
    <x v="8"/>
    <m/>
    <s v="User Not Mapped"/>
    <s v="User Not Mapped"/>
    <s v="User Not Mapped"/>
    <n v="1505109"/>
    <s v="KHUSHI FERTILIZER"/>
    <s v="Private Retailer"/>
    <s v="9002323258"/>
    <n v="8.19"/>
    <n v="48"/>
    <x v="1"/>
    <m/>
    <s v="2026-03-10"/>
    <s v="342392"/>
    <s v="M/s. Kanailal Kedar Prasad"/>
    <s v="7407719515"/>
  </r>
  <r>
    <s v="RCF Thal"/>
    <s v="N.C.Urea(45kg)"/>
    <s v="WB"/>
    <x v="9"/>
    <s v="Balagarh"/>
    <s v="User Not Mapped"/>
    <s v="User Not Mapped"/>
    <s v="User Not Mapped"/>
    <n v="498202"/>
    <s v="Samar Sandhukhan"/>
    <s v="Private Retailer"/>
    <s v="8926655586"/>
    <n v="11.97"/>
    <n v="76"/>
    <x v="2"/>
    <m/>
    <s v="2026-02-10"/>
    <s v="260241"/>
    <s v="Tapan Kumar Chel"/>
    <s v="9007410200"/>
  </r>
  <r>
    <s v="RCF Trombay"/>
    <s v="N.C.Urea(45kg)"/>
    <s v="WB"/>
    <x v="9"/>
    <s v="Balagarh"/>
    <s v="User Not Mapped"/>
    <s v="User Not Mapped"/>
    <s v="User Not Mapped"/>
    <n v="671781"/>
    <s v="M/S Dibakar Sarkar"/>
    <s v="Private Retailer"/>
    <s v="9875347407"/>
    <n v="8.91"/>
    <n v="354"/>
    <x v="3"/>
    <m/>
    <s v="2025-05-08"/>
    <s v="260249"/>
    <s v="Debi Prasad Mondal"/>
    <s v="9153032645"/>
  </r>
  <r>
    <s v="RCF Import"/>
    <s v="Imp 10-26-26"/>
    <s v="WB"/>
    <x v="9"/>
    <s v="Balagarh"/>
    <s v="User Not Mapped"/>
    <s v="User Not Mapped"/>
    <s v="User Not Mapped"/>
    <n v="671781"/>
    <s v="M/S Dibakar Sarkar"/>
    <s v="Private Retailer"/>
    <s v="9875347407"/>
    <n v="7.2"/>
    <n v="115"/>
    <x v="5"/>
    <m/>
    <s v="2026-01-02"/>
    <s v="260249"/>
    <s v="Debi Prasad Mondal"/>
    <s v="9153032645"/>
  </r>
  <r>
    <s v="RCF Trombay"/>
    <s v="15-15-15"/>
    <s v="WB"/>
    <x v="9"/>
    <s v="Balagarh"/>
    <s v="User Not Mapped"/>
    <s v="User Not Mapped"/>
    <s v="User Not Mapped"/>
    <n v="671781"/>
    <s v="M/S Dibakar Sarkar"/>
    <s v="Private Retailer"/>
    <s v="9875347407"/>
    <n v="79.3"/>
    <n v="88"/>
    <x v="2"/>
    <m/>
    <s v="2026-01-29"/>
    <s v="260249"/>
    <s v="Debi Prasad Mondal"/>
    <s v="9153032645"/>
  </r>
  <r>
    <s v="RCF Import"/>
    <s v="MOP"/>
    <s v="WB"/>
    <x v="9"/>
    <s v="Balagarh"/>
    <s v="User Not Mapped"/>
    <s v="User Not Mapped"/>
    <s v="User Not Mapped"/>
    <n v="671781"/>
    <s v="M/S Dibakar Sarkar"/>
    <s v="Private Retailer"/>
    <s v="9875347407"/>
    <n v="1.25"/>
    <n v="343"/>
    <x v="3"/>
    <m/>
    <s v="2025-05-19"/>
    <s v="260249"/>
    <s v="Debi Prasad Mondal"/>
    <s v="9153032645"/>
  </r>
  <r>
    <s v="RCF Thal"/>
    <s v="N.C.Urea(45kg)"/>
    <s v="WB"/>
    <x v="9"/>
    <s v="Balagarh"/>
    <s v="User Not Mapped"/>
    <s v="User Not Mapped"/>
    <s v="User Not Mapped"/>
    <n v="672041"/>
    <s v="M/S Swapan Kumar Ghosh"/>
    <s v="Private Retailer"/>
    <s v="7699840733"/>
    <n v="2.25"/>
    <n v="1874"/>
    <x v="7"/>
    <m/>
    <s v="2021-03-10"/>
    <s v="937806"/>
    <s v="NIRMAL KUMAR MONDAL"/>
    <s v="9474107277"/>
  </r>
  <r>
    <s v="RCF Trombay"/>
    <s v="N.C.Urea(45kg)"/>
    <s v="WB"/>
    <x v="9"/>
    <s v="Balagarh"/>
    <s v="User Not Mapped"/>
    <s v="User Not Mapped"/>
    <s v="User Not Mapped"/>
    <n v="672041"/>
    <s v="M/S Swapan Kumar Ghosh"/>
    <s v="Private Retailer"/>
    <s v="7699840733"/>
    <n v="2.4300000000000002"/>
    <n v="1800"/>
    <x v="7"/>
    <m/>
    <s v="2021-05-23"/>
    <s v="937806"/>
    <s v="NIRMAL KUMAR MONDAL"/>
    <s v="9474107277"/>
  </r>
  <r>
    <s v="RCF Thal"/>
    <s v="N.C.Urea(45kg)"/>
    <s v="WB"/>
    <x v="9"/>
    <s v="Balagarh"/>
    <s v="User Not Mapped"/>
    <s v="User Not Mapped"/>
    <s v="User Not Mapped"/>
    <n v="672049"/>
    <s v="M/S Swapan Ghosh"/>
    <s v="Private Retailer"/>
    <s v="9932140458"/>
    <n v="0.27"/>
    <n v="73"/>
    <x v="2"/>
    <m/>
    <s v="2026-02-13"/>
    <s v="937806"/>
    <s v="NIRMAL KUMAR MONDAL"/>
    <s v="9474107277"/>
  </r>
  <r>
    <s v="RCF Thal"/>
    <s v="N.C.Urea(45kg)"/>
    <s v="WB"/>
    <x v="9"/>
    <s v="Balagarh"/>
    <s v="User Not Mapped"/>
    <s v="User Not Mapped"/>
    <s v="User Not Mapped"/>
    <n v="896778"/>
    <s v="UPANANDA FERTILIZER"/>
    <s v="Private Retailer"/>
    <s v="8158009484"/>
    <n v="0.22500000000000001"/>
    <n v="294"/>
    <x v="3"/>
    <m/>
    <s v="2025-07-07"/>
    <s v="937806"/>
    <s v="NIRMAL KUMAR MONDAL"/>
    <s v="9474107277"/>
  </r>
  <r>
    <s v="RCF Trombay"/>
    <s v="N.C.Urea(45kg)"/>
    <s v="WB"/>
    <x v="9"/>
    <s v="Balagarh"/>
    <s v="User Not Mapped"/>
    <s v="User Not Mapped"/>
    <s v="User Not Mapped"/>
    <n v="896842"/>
    <s v="NARAYAN CHADRA MONDAL"/>
    <s v="Private Retailer"/>
    <s v="9933584285"/>
    <n v="1.98"/>
    <n v="125"/>
    <x v="0"/>
    <m/>
    <s v="2025-12-23"/>
    <s v="937806"/>
    <s v="NIRMAL KUMAR MONDAL"/>
    <s v="9474107277"/>
  </r>
  <r>
    <s v="RCF Thal"/>
    <s v="N.C.Urea(45kg)"/>
    <s v="WB"/>
    <x v="9"/>
    <s v="Balagarh"/>
    <s v="User Not Mapped"/>
    <s v="User Not Mapped"/>
    <s v="User Not Mapped"/>
    <n v="1056929"/>
    <s v="GHOSH BROTHERS"/>
    <s v="Private Retailer"/>
    <s v="8373809387"/>
    <n v="0.63"/>
    <n v="68"/>
    <x v="2"/>
    <m/>
    <s v="2026-02-18"/>
    <s v="607374"/>
    <s v="SUMON SADHUKHAN"/>
    <s v="7980704821"/>
  </r>
  <r>
    <s v="RCF Trombay"/>
    <s v="N.C.Urea(45kg)"/>
    <s v="WB"/>
    <x v="9"/>
    <s v="Balagarh"/>
    <s v="User Not Mapped"/>
    <s v="User Not Mapped"/>
    <s v="User Not Mapped"/>
    <n v="1056943"/>
    <s v="ASHIM SADHUKHAN"/>
    <s v="Private Retailer"/>
    <s v="7430872009"/>
    <n v="4.1000000000000002E-2"/>
    <n v="1783"/>
    <x v="7"/>
    <m/>
    <s v="2021-06-09"/>
    <s v="937806"/>
    <s v="NIRMAL KUMAR MONDAL"/>
    <s v="9474107277"/>
  </r>
  <r>
    <s v="RCF Thal"/>
    <s v="N.C.Urea(45kg)"/>
    <s v="WB"/>
    <x v="9"/>
    <s v="Balagarh"/>
    <s v="User Not Mapped"/>
    <s v="User Not Mapped"/>
    <s v="User Not Mapped"/>
    <n v="1056963"/>
    <s v="BISWAJIT HALDAR"/>
    <s v="Private Retailer"/>
    <s v="9932943618"/>
    <n v="0.58499999999999996"/>
    <n v="334"/>
    <x v="3"/>
    <m/>
    <s v="2025-05-28"/>
    <s v="937806"/>
    <s v="NIRMAL KUMAR MONDAL"/>
    <s v="9474107277"/>
  </r>
  <r>
    <s v="RCF Trombay"/>
    <s v="N.C.Urea(45kg)"/>
    <s v="WB"/>
    <x v="9"/>
    <s v="Chanditala - I"/>
    <s v="User Not Mapped"/>
    <s v="User Not Mapped"/>
    <s v="User Not Mapped"/>
    <n v="1055983"/>
    <s v="M/S SUFAL KRISHI SAMBHAR"/>
    <s v="Private Retailer"/>
    <s v="9932534979"/>
    <n v="7.4999999999999997E-2"/>
    <n v="289"/>
    <x v="3"/>
    <m/>
    <s v="2025-07-12"/>
    <s v="1292419"/>
    <s v="SRI KRISHNA FERTILISER"/>
    <s v="9875670675"/>
  </r>
  <r>
    <s v="RCF Trombay"/>
    <s v="N.C.Urea(45kg)"/>
    <s v="WB"/>
    <x v="9"/>
    <s v="Chanditala - I"/>
    <s v="User Not Mapped"/>
    <s v="User Not Mapped"/>
    <s v="User Not Mapped"/>
    <n v="1463141"/>
    <s v="PRASANTA KHAN"/>
    <s v="Private Retailer"/>
    <s v="9382926362"/>
    <n v="3.97"/>
    <n v="289"/>
    <x v="3"/>
    <m/>
    <s v="2025-07-12"/>
    <s v="1292419"/>
    <s v="SRI KRISHNA FERTILISER"/>
    <s v="9875670675"/>
  </r>
  <r>
    <s v="RCF Import"/>
    <s v="MOP"/>
    <s v="WB"/>
    <x v="9"/>
    <s v="Chanditala - II"/>
    <s v="User Not Mapped"/>
    <s v="User Not Mapped"/>
    <s v="User Not Mapped"/>
    <n v="354271"/>
    <s v="New Durgamata Fertiliser"/>
    <s v="Private Retailer"/>
    <s v="9933840911"/>
    <n v="0.7"/>
    <n v="584"/>
    <x v="7"/>
    <m/>
    <s v="2024-09-20"/>
    <s v="260241"/>
    <s v="Tapan Kumar Chel"/>
    <s v="9007410200"/>
  </r>
  <r>
    <s v="RCF Trombay"/>
    <s v="15-15-15"/>
    <s v="WB"/>
    <x v="9"/>
    <s v="Chanditala - II"/>
    <s v="User Not Mapped"/>
    <s v="User Not Mapped"/>
    <s v="User Not Mapped"/>
    <n v="514781"/>
    <s v="SANJOY KOLEY"/>
    <s v="Private Retailer"/>
    <s v="9903235320"/>
    <n v="4"/>
    <n v="131"/>
    <x v="0"/>
    <m/>
    <s v="2025-12-17"/>
    <s v="260241"/>
    <s v="Tapan Kumar Chel"/>
    <s v="9007410200"/>
  </r>
  <r>
    <s v="RCF Trombay"/>
    <s v="15-15-15"/>
    <s v="WB"/>
    <x v="9"/>
    <s v="Chanditala - II"/>
    <s v="User Not Mapped"/>
    <s v="User Not Mapped"/>
    <s v="User Not Mapped"/>
    <n v="514781"/>
    <s v="SANJOY KOLEY"/>
    <s v="Private Retailer"/>
    <s v="9903235320"/>
    <n v="1"/>
    <n v="218"/>
    <x v="3"/>
    <m/>
    <s v="2025-09-21"/>
    <s v="260241"/>
    <s v="Tapan Kumar Chel"/>
    <s v="9007410200"/>
  </r>
  <r>
    <s v="RCF Import"/>
    <s v="Imp 10-26-26"/>
    <s v="WB"/>
    <x v="9"/>
    <s v="Dhaniakhali"/>
    <s v="User Not Mapped"/>
    <s v="User Not Mapped"/>
    <s v="User Not Mapped"/>
    <n v="242537"/>
    <s v="Jerur Skus Ltd"/>
    <s v="PACS"/>
    <s v="9434415683"/>
    <n v="12.75"/>
    <n v="168"/>
    <x v="0"/>
    <m/>
    <s v="2025-11-10"/>
    <s v="1065092"/>
    <s v="JERUR SKUS LTD"/>
    <s v="9434415683"/>
  </r>
  <r>
    <s v="RCF Import"/>
    <s v="Imp 10-26-26"/>
    <s v="WB"/>
    <x v="9"/>
    <s v="Dhaniakhali"/>
    <s v="User Not Mapped"/>
    <s v="User Not Mapped"/>
    <s v="User Not Mapped"/>
    <n v="354310"/>
    <s v="Rabindra Nath Modak and Bros."/>
    <s v="Private Retailer"/>
    <s v="9474156387"/>
    <n v="3.5"/>
    <n v="244"/>
    <x v="3"/>
    <m/>
    <s v="2025-08-26"/>
    <s v="260240"/>
    <s v="KEDAR NATH BHAKAT SONS"/>
    <s v="9083620937"/>
  </r>
  <r>
    <s v="RCF Import"/>
    <s v="Imp 10-26-26"/>
    <s v="WB"/>
    <x v="9"/>
    <s v="Dhaniakhali"/>
    <s v="User Not Mapped"/>
    <s v="User Not Mapped"/>
    <s v="User Not Mapped"/>
    <n v="354388"/>
    <s v="Uday Ghosh"/>
    <s v="Private Retailer"/>
    <s v="9933848535"/>
    <n v="1.2"/>
    <n v="62"/>
    <x v="2"/>
    <m/>
    <s v="2026-02-24"/>
    <s v="260241"/>
    <s v="Tapan Kumar Chel"/>
    <s v="9007410200"/>
  </r>
  <r>
    <s v="RCF Import"/>
    <s v="MOP"/>
    <s v="WB"/>
    <x v="9"/>
    <s v="Dhaniakhali"/>
    <s v="User Not Mapped"/>
    <s v="User Not Mapped"/>
    <s v="User Not Mapped"/>
    <n v="411311"/>
    <s v="Manoranjan Krishi Bipani"/>
    <s v="Private Retailer"/>
    <s v="9474094782"/>
    <n v="3.3"/>
    <n v="584"/>
    <x v="7"/>
    <m/>
    <s v="2024-09-20"/>
    <s v="260241"/>
    <s v="Tapan Kumar Chel"/>
    <s v="9007410200"/>
  </r>
  <r>
    <s v="RCF Trombay"/>
    <s v="15-15-15"/>
    <s v="WB"/>
    <x v="9"/>
    <s v="Dhaniakhali"/>
    <s v="User Not Mapped"/>
    <s v="User Not Mapped"/>
    <s v="User Not Mapped"/>
    <n v="411311"/>
    <s v="Manoranjan Krishi Bipani"/>
    <s v="Private Retailer"/>
    <s v="9474094782"/>
    <n v="3"/>
    <n v="262"/>
    <x v="3"/>
    <m/>
    <s v="2025-08-08"/>
    <s v="260241"/>
    <s v="Tapan Kumar Chel"/>
    <s v="9007410200"/>
  </r>
  <r>
    <s v="RCF Thal"/>
    <s v="N.C.Urea(45kg)"/>
    <s v="WB"/>
    <x v="9"/>
    <s v="Dhaniakhali"/>
    <s v="User Not Mapped"/>
    <s v="User Not Mapped"/>
    <s v="User Not Mapped"/>
    <n v="472687"/>
    <s v=" Jamaluddin Molla"/>
    <s v="Private Retailer"/>
    <s v="8116411524"/>
    <n v="1.3049999999999999"/>
    <n v="73"/>
    <x v="2"/>
    <m/>
    <s v="2026-02-13"/>
    <s v="888411"/>
    <s v="M/S BIKAS CHANDRA BHANDARI"/>
    <s v="8013238945"/>
  </r>
  <r>
    <s v="RCF Import"/>
    <s v="Imp 10-26-26"/>
    <s v="WB"/>
    <x v="9"/>
    <s v="Dhaniakhali"/>
    <s v="User Not Mapped"/>
    <s v="User Not Mapped"/>
    <s v="User Not Mapped"/>
    <n v="472687"/>
    <s v=" Jamaluddin Molla"/>
    <s v="Private Retailer"/>
    <s v="8116411524"/>
    <n v="3.05"/>
    <n v="59"/>
    <x v="1"/>
    <m/>
    <s v="2026-02-27"/>
    <s v="888411"/>
    <s v="M/S BIKAS CHANDRA BHANDARI"/>
    <s v="8013238945"/>
  </r>
  <r>
    <s v="RCF Trombay"/>
    <s v="N.C.Urea(45kg)"/>
    <s v="WB"/>
    <x v="9"/>
    <s v="Dhaniakhali"/>
    <s v="User Not Mapped"/>
    <s v="User Not Mapped"/>
    <s v="User Not Mapped"/>
    <n v="907371"/>
    <s v="SUNITI KUMAR MUKHOPADHYAY"/>
    <s v="Private Retailer"/>
    <s v="9434438204"/>
    <n v="6.6150000000000002"/>
    <n v="127"/>
    <x v="0"/>
    <m/>
    <s v="2025-12-21"/>
    <s v="342343"/>
    <s v="Sri Subhas Chandra Khan"/>
    <s v="9804538127"/>
  </r>
  <r>
    <s v="RCF Import"/>
    <s v="Imp 10-26-26"/>
    <s v="WB"/>
    <x v="9"/>
    <s v="Dhaniakhali"/>
    <s v="User Not Mapped"/>
    <s v="User Not Mapped"/>
    <s v="User Not Mapped"/>
    <n v="1469409"/>
    <s v="M/S SRIKRISHNA TRADERS"/>
    <s v="Private Retailer"/>
    <s v="9733692421"/>
    <n v="1.4"/>
    <n v="62"/>
    <x v="2"/>
    <m/>
    <s v="2026-02-24"/>
    <s v="260241"/>
    <s v="Tapan Kumar Chel"/>
    <s v="9007410200"/>
  </r>
  <r>
    <s v="RCF Trombay"/>
    <s v="15-15-15"/>
    <s v="WB"/>
    <x v="9"/>
    <s v="Haripal"/>
    <s v="User Not Mapped"/>
    <s v="User Not Mapped"/>
    <s v="User Not Mapped"/>
    <n v="242522"/>
    <s v="Gopinath Das"/>
    <s v="Private Retailer"/>
    <s v="9474809901"/>
    <n v="0.05"/>
    <n v="470"/>
    <x v="6"/>
    <m/>
    <s v="2025-01-12"/>
    <s v="888411"/>
    <s v="M/S BIKAS CHANDRA BHANDARI"/>
    <s v="8013238945"/>
  </r>
  <r>
    <s v="RCF Import"/>
    <s v="Imp 10-26-26"/>
    <s v="WB"/>
    <x v="9"/>
    <s v="Haripal"/>
    <s v="User Not Mapped"/>
    <s v="User Not Mapped"/>
    <s v="User Not Mapped"/>
    <n v="272061"/>
    <s v="New Satyanarayan Krishi Bhanda"/>
    <s v="Private Retailer"/>
    <s v="9433127075"/>
    <n v="8"/>
    <n v="110"/>
    <x v="5"/>
    <m/>
    <s v="2026-01-07"/>
    <s v="260246"/>
    <s v="New Satyanarayan Krishi Bhanda"/>
    <s v="9433127075"/>
  </r>
  <r>
    <s v="RCF Trombay"/>
    <s v="15-15-15"/>
    <s v="WB"/>
    <x v="9"/>
    <s v="Haripal"/>
    <s v="User Not Mapped"/>
    <s v="User Not Mapped"/>
    <s v="User Not Mapped"/>
    <n v="354154"/>
    <s v="Bikas Chandra Bhandari"/>
    <s v="Private Retailer"/>
    <s v="8013238945"/>
    <n v="2.95"/>
    <n v="223"/>
    <x v="3"/>
    <m/>
    <s v="2025-09-16"/>
    <s v="888411"/>
    <s v="M/S BIKAS CHANDRA BHANDARI"/>
    <s v="8013238945"/>
  </r>
  <r>
    <s v="RCF Thal"/>
    <s v="N.C.Urea(45kg)"/>
    <s v="WB"/>
    <x v="9"/>
    <s v="Haripal"/>
    <s v="User Not Mapped"/>
    <s v="User Not Mapped"/>
    <s v="User Not Mapped"/>
    <n v="354154"/>
    <s v="Bikas Chandra Bhandari"/>
    <s v="Private Retailer"/>
    <s v="8013238945"/>
    <n v="2.4750000000000001"/>
    <n v="165"/>
    <x v="0"/>
    <m/>
    <s v="2025-11-13"/>
    <s v="888411"/>
    <s v="M/S BIKAS CHANDRA BHANDARI"/>
    <s v="8013238945"/>
  </r>
  <r>
    <s v="RCF Trombay"/>
    <s v="15-15-15"/>
    <s v="WB"/>
    <x v="9"/>
    <s v="Haripal"/>
    <s v="User Not Mapped"/>
    <s v="User Not Mapped"/>
    <s v="User Not Mapped"/>
    <n v="354167"/>
    <s v="Chittaranjan Dey"/>
    <s v="Private Retailer"/>
    <s v="9433222952"/>
    <n v="2.75"/>
    <n v="131"/>
    <x v="0"/>
    <m/>
    <s v="2025-12-17"/>
    <s v="260241"/>
    <s v="Tapan Kumar Chel"/>
    <s v="9007410200"/>
  </r>
  <r>
    <s v="RCF Trombay"/>
    <s v="15-15-15"/>
    <s v="WB"/>
    <x v="9"/>
    <s v="Haripal"/>
    <s v="User Not Mapped"/>
    <s v="User Not Mapped"/>
    <s v="User Not Mapped"/>
    <n v="354211"/>
    <s v="Jayata Kumar Rakshit"/>
    <s v="Private Retailer"/>
    <s v="9932231756"/>
    <n v="1.35"/>
    <n v="499"/>
    <x v="6"/>
    <m/>
    <s v="2024-12-14"/>
    <s v="260241"/>
    <s v="Tapan Kumar Chel"/>
    <s v="9007410200"/>
  </r>
  <r>
    <s v="RCF Trombay"/>
    <s v="15-15-15"/>
    <s v="WB"/>
    <x v="9"/>
    <s v="Haripal"/>
    <s v="User Not Mapped"/>
    <s v="User Not Mapped"/>
    <s v="User Not Mapped"/>
    <n v="354303"/>
    <s v="Pravat Kumar Chatterjee"/>
    <s v="Private Retailer"/>
    <s v="8240812278"/>
    <n v="0.05"/>
    <n v="868"/>
    <x v="7"/>
    <m/>
    <s v="2023-12-11"/>
    <s v="260241"/>
    <s v="Tapan Kumar Chel"/>
    <s v="9007410200"/>
  </r>
  <r>
    <s v="RCF Thal"/>
    <s v="N.C.Urea(45kg)"/>
    <s v="WB"/>
    <x v="9"/>
    <s v="Haripal"/>
    <s v="User Not Mapped"/>
    <s v="User Not Mapped"/>
    <s v="User Not Mapped"/>
    <n v="354303"/>
    <s v="Pravat Kumar Chatterjee"/>
    <s v="Private Retailer"/>
    <s v="8240812278"/>
    <n v="2.7"/>
    <n v="585"/>
    <x v="7"/>
    <m/>
    <s v="2024-09-19"/>
    <s v="260241"/>
    <s v="Tapan Kumar Chel"/>
    <s v="9007410200"/>
  </r>
  <r>
    <s v="RCF Thal"/>
    <s v="N.C.Urea(45kg)"/>
    <s v="WB"/>
    <x v="9"/>
    <s v="Haripal"/>
    <s v="User Not Mapped"/>
    <s v="User Not Mapped"/>
    <s v="User Not Mapped"/>
    <n v="502959"/>
    <s v="Md. Rafik Mondal"/>
    <s v="Private Retailer"/>
    <s v="8597352044"/>
    <n v="0.94499999999999995"/>
    <n v="151"/>
    <x v="0"/>
    <m/>
    <s v="2025-11-27"/>
    <s v="888411"/>
    <s v="M/S BIKAS CHANDRA BHANDARI"/>
    <s v="8013238945"/>
  </r>
  <r>
    <s v="RCF Thal"/>
    <s v="N.C.Urea(45kg)"/>
    <s v="WB"/>
    <x v="9"/>
    <s v="Haripal"/>
    <s v="User Not Mapped"/>
    <s v="User Not Mapped"/>
    <s v="User Not Mapped"/>
    <n v="1320506"/>
    <s v="M/S SASTI RAM GHOSH"/>
    <s v="Private Retailer"/>
    <s v="8158002288"/>
    <n v="0.99"/>
    <n v="76"/>
    <x v="2"/>
    <m/>
    <s v="2026-02-10"/>
    <s v="260241"/>
    <s v="Tapan Kumar Chel"/>
    <s v="9007410200"/>
  </r>
  <r>
    <s v="RCF Thal"/>
    <s v="N.C.Urea(45kg)"/>
    <s v="WB"/>
    <x v="9"/>
    <s v="Haripal"/>
    <s v="User Not Mapped"/>
    <s v="User Not Mapped"/>
    <s v="User Not Mapped"/>
    <n v="1354308"/>
    <s v="M/S MALLICK KRISHI BHANDAR"/>
    <s v="Private Retailer"/>
    <s v="9932583732"/>
    <n v="0.99"/>
    <n v="152"/>
    <x v="0"/>
    <m/>
    <s v="2025-11-26"/>
    <s v="260241"/>
    <s v="Tapan Kumar Chel"/>
    <s v="9007410200"/>
  </r>
  <r>
    <s v="RCF Import"/>
    <s v="Imp 10-26-26"/>
    <s v="WB"/>
    <x v="9"/>
    <s v="Haripal"/>
    <s v="User Not Mapped"/>
    <s v="User Not Mapped"/>
    <s v="User Not Mapped"/>
    <n v="1354308"/>
    <s v="M/S MALLICK KRISHI BHANDAR"/>
    <s v="Private Retailer"/>
    <s v="9932583732"/>
    <n v="0.25"/>
    <n v="511"/>
    <x v="6"/>
    <m/>
    <s v="2024-12-02"/>
    <s v="260241"/>
    <s v="Tapan Kumar Chel"/>
    <s v="9007410200"/>
  </r>
  <r>
    <s v="RCF Thal"/>
    <s v="N.C.Urea(45kg)"/>
    <s v="WB"/>
    <x v="9"/>
    <s v="Haripal"/>
    <s v="User Not Mapped"/>
    <s v="User Not Mapped"/>
    <s v="User Not Mapped"/>
    <n v="1380823"/>
    <s v="SURESH CHANDRA DAS"/>
    <s v="Private Retailer"/>
    <s v="7384212039"/>
    <n v="2.9249999999999998"/>
    <n v="223"/>
    <x v="3"/>
    <m/>
    <s v="2025-09-16"/>
    <s v="888411"/>
    <s v="M/S BIKAS CHANDRA BHANDARI"/>
    <s v="8013238945"/>
  </r>
  <r>
    <s v="RCF Thal"/>
    <s v="N.C.Urea(45kg)"/>
    <s v="WB"/>
    <x v="9"/>
    <s v="Haripal"/>
    <s v="User Not Mapped"/>
    <s v="User Not Mapped"/>
    <s v="User Not Mapped"/>
    <n v="1552627"/>
    <s v="S KRISHI BHANDAR"/>
    <s v="Private Retailer"/>
    <s v="6295703159"/>
    <n v="0.13500000000000001"/>
    <n v="318"/>
    <x v="3"/>
    <m/>
    <s v="2025-06-13"/>
    <s v="888411"/>
    <s v="M/S BIKAS CHANDRA BHANDARI"/>
    <s v="8013238945"/>
  </r>
  <r>
    <s v="RCF Thal"/>
    <s v="N.C.Urea(45kg)"/>
    <s v="WB"/>
    <x v="9"/>
    <s v="Haripal"/>
    <s v="User Not Mapped"/>
    <s v="User Not Mapped"/>
    <s v="User Not Mapped"/>
    <n v="1605701"/>
    <s v="RABINDRANATH DAS SAR SHOP"/>
    <s v="Private Retailer"/>
    <s v="9883773601"/>
    <n v="0.45"/>
    <n v="152"/>
    <x v="0"/>
    <m/>
    <s v="2025-11-26"/>
    <s v="260241"/>
    <s v="Tapan Kumar Chel"/>
    <s v="9007410200"/>
  </r>
  <r>
    <s v="RCF Thal"/>
    <s v="N.C.Urea(45kg)"/>
    <s v="WB"/>
    <x v="9"/>
    <s v="Jangipara"/>
    <s v="User Not Mapped"/>
    <s v="User Not Mapped"/>
    <s v="User Not Mapped"/>
    <n v="624283"/>
    <s v="PRADIP KUMAR SEN"/>
    <s v="Private Retailer"/>
    <s v="9775786364"/>
    <n v="2.4300000000000002"/>
    <n v="896"/>
    <x v="7"/>
    <m/>
    <s v="2023-11-13"/>
    <s v="260241"/>
    <s v="Tapan Kumar Chel"/>
    <s v="9007410200"/>
  </r>
  <r>
    <s v="RCF Thal"/>
    <s v="N.C.Urea(45kg)"/>
    <s v="WB"/>
    <x v="9"/>
    <s v="Jangipara"/>
    <s v="User Not Mapped"/>
    <s v="User Not Mapped"/>
    <s v="User Not Mapped"/>
    <n v="829779"/>
    <s v="PRODYUT CHAKRABARTY"/>
    <s v="Private Retailer"/>
    <s v="9609533346"/>
    <n v="2.97"/>
    <n v="73"/>
    <x v="2"/>
    <m/>
    <s v="2026-02-13"/>
    <s v="888411"/>
    <s v="M/S BIKAS CHANDRA BHANDARI"/>
    <s v="8013238945"/>
  </r>
  <r>
    <s v="RCF Import"/>
    <s v="Imp 10-26-26"/>
    <s v="WB"/>
    <x v="9"/>
    <s v="Jangipara"/>
    <s v="User Not Mapped"/>
    <s v="User Not Mapped"/>
    <s v="User Not Mapped"/>
    <n v="896852"/>
    <s v="SAMAR PAL"/>
    <s v="Private Retailer"/>
    <s v="8170993778"/>
    <n v="12"/>
    <n v="59"/>
    <x v="1"/>
    <m/>
    <s v="2026-02-27"/>
    <s v="888411"/>
    <s v="M/S BIKAS CHANDRA BHANDARI"/>
    <s v="8013238945"/>
  </r>
  <r>
    <s v="RCF Trombay"/>
    <s v="N.C.Urea(45kg)"/>
    <s v="WB"/>
    <x v="9"/>
    <s v="Jangipara"/>
    <s v="User Not Mapped"/>
    <s v="User Not Mapped"/>
    <s v="User Not Mapped"/>
    <n v="907359"/>
    <s v="BIPLAB SINGHA ROY"/>
    <s v="Private Retailer"/>
    <s v="9734143781"/>
    <n v="0.68"/>
    <n v="247"/>
    <x v="3"/>
    <m/>
    <s v="2025-08-23"/>
    <s v="1292419"/>
    <s v="SRI KRISHNA FERTILISER"/>
    <s v="9875670675"/>
  </r>
  <r>
    <s v="RCF Thal"/>
    <s v="N.C.Urea(45kg)"/>
    <s v="WB"/>
    <x v="9"/>
    <s v="Jangipara"/>
    <s v="User Not Mapped"/>
    <s v="User Not Mapped"/>
    <s v="User Not Mapped"/>
    <n v="943922"/>
    <s v="HARADHAN SABUI"/>
    <s v="Private Retailer"/>
    <s v="7318871164"/>
    <n v="0.72"/>
    <n v="73"/>
    <x v="2"/>
    <m/>
    <s v="2026-02-13"/>
    <s v="888411"/>
    <s v="M/S BIKAS CHANDRA BHANDARI"/>
    <s v="8013238945"/>
  </r>
  <r>
    <s v="RCF Thal"/>
    <s v="N.C.Urea(45kg)"/>
    <s v="WB"/>
    <x v="9"/>
    <s v="Jangipara"/>
    <s v="User Not Mapped"/>
    <s v="User Not Mapped"/>
    <s v="User Not Mapped"/>
    <n v="1405245"/>
    <s v="MA RAJBALLAVI KRISHI BHANDAR"/>
    <s v="Private Retailer"/>
    <s v="7001561033"/>
    <n v="3.7349999999999999"/>
    <n v="585"/>
    <x v="7"/>
    <m/>
    <s v="2024-09-19"/>
    <s v="260241"/>
    <s v="Tapan Kumar Chel"/>
    <s v="9007410200"/>
  </r>
  <r>
    <s v="RCF Thal"/>
    <s v="N.C.Urea(45kg)"/>
    <s v="WB"/>
    <x v="9"/>
    <s v="Jangipara"/>
    <s v="User Not Mapped"/>
    <s v="User Not Mapped"/>
    <s v="User Not Mapped"/>
    <n v="1527773"/>
    <s v="CHANDRANATH HAZRA"/>
    <s v="Private Retailer"/>
    <s v="9735379927"/>
    <n v="0.63"/>
    <n v="76"/>
    <x v="2"/>
    <m/>
    <s v="2026-02-10"/>
    <s v="260241"/>
    <s v="Tapan Kumar Chel"/>
    <s v="9007410200"/>
  </r>
  <r>
    <s v="RCF Import"/>
    <s v="Imp 10-26-26"/>
    <s v="WB"/>
    <x v="9"/>
    <s v="Khanakul - I"/>
    <s v="User Not Mapped"/>
    <s v="User Not Mapped"/>
    <s v="User Not Mapped"/>
    <n v="237250"/>
    <s v="Chabbispur Skus Ltd"/>
    <s v="PACS"/>
    <s v="9734255607"/>
    <n v="4.7"/>
    <n v="507"/>
    <x v="6"/>
    <m/>
    <s v="2024-12-06"/>
    <s v="269264"/>
    <s v="Goghat Thana L/S PCAMS Ltd "/>
    <s v="9563200492"/>
  </r>
  <r>
    <s v="RCF Import"/>
    <s v="Imp 10-26-26"/>
    <s v="WB"/>
    <x v="9"/>
    <s v="Khanakul - I"/>
    <s v="User Not Mapped"/>
    <s v="User Not Mapped"/>
    <s v="User Not Mapped"/>
    <n v="552170"/>
    <s v="Shyamal Khamrui"/>
    <s v="Private Retailer"/>
    <s v="9830488270"/>
    <n v="21.05"/>
    <n v="62"/>
    <x v="2"/>
    <m/>
    <s v="2026-02-24"/>
    <s v="260241"/>
    <s v="Tapan Kumar Chel"/>
    <s v="9007410200"/>
  </r>
  <r>
    <s v="RCF Thal"/>
    <s v="N.C.Urea(45kg)"/>
    <s v="WB"/>
    <x v="9"/>
    <s v="Khanakul - I"/>
    <s v="User Not Mapped"/>
    <s v="User Not Mapped"/>
    <s v="User Not Mapped"/>
    <n v="552170"/>
    <s v="Shyamal Khamrui"/>
    <s v="Private Retailer"/>
    <s v="9830488270"/>
    <n v="16.829999999999998"/>
    <n v="76"/>
    <x v="2"/>
    <m/>
    <s v="2026-02-10"/>
    <s v="260241"/>
    <s v="Tapan Kumar Chel"/>
    <s v="9007410200"/>
  </r>
  <r>
    <s v="RCF Trombay"/>
    <s v="N.C.Urea(45kg)"/>
    <s v="WB"/>
    <x v="9"/>
    <s v="Khanakul - I"/>
    <s v="User Not Mapped"/>
    <s v="User Not Mapped"/>
    <s v="User Not Mapped"/>
    <n v="1520692"/>
    <s v="SRIKANTA RANA"/>
    <s v="Private Retailer"/>
    <s v="8927452805"/>
    <n v="2.835"/>
    <n v="114"/>
    <x v="5"/>
    <m/>
    <s v="2026-01-03"/>
    <s v="260241"/>
    <s v="Tapan Kumar Chel"/>
    <s v="9007410200"/>
  </r>
  <r>
    <s v="RCF Thal"/>
    <s v="N.C.Urea(45kg)"/>
    <s v="WB"/>
    <x v="9"/>
    <s v="Khanakul - II"/>
    <s v="User Not Mapped"/>
    <s v="User Not Mapped"/>
    <s v="User Not Mapped"/>
    <n v="637454"/>
    <s v="SHATABDI SHOW"/>
    <s v="Private Retailer"/>
    <s v="9734854579"/>
    <n v="9.5000000000000001E-2"/>
    <n v="1247"/>
    <x v="7"/>
    <m/>
    <s v="2022-11-27"/>
    <s v="1083982"/>
    <s v="Kumar Fertilizer"/>
    <s v="9734379245"/>
  </r>
  <r>
    <s v="RCF Thal"/>
    <s v="N.C.Urea(45kg)"/>
    <s v="WB"/>
    <x v="9"/>
    <s v="Khanakul - II"/>
    <s v="User Not Mapped"/>
    <s v="User Not Mapped"/>
    <s v="User Not Mapped"/>
    <n v="831800"/>
    <s v="DIBYENDU BERA"/>
    <s v="Private Retailer"/>
    <s v="9732808225"/>
    <n v="3.2850000000000001"/>
    <n v="75"/>
    <x v="2"/>
    <m/>
    <s v="2026-02-11"/>
    <s v="1429116"/>
    <s v="PATRA AND SONS"/>
    <s v="8515915342"/>
  </r>
  <r>
    <s v="RCF Import"/>
    <s v="Imp 10-26-26"/>
    <s v="WB"/>
    <x v="9"/>
    <s v="Khanakul - II"/>
    <s v="User Not Mapped"/>
    <s v="User Not Mapped"/>
    <s v="User Not Mapped"/>
    <n v="831800"/>
    <s v="DIBYENDU BERA"/>
    <s v="Private Retailer"/>
    <s v="9732808225"/>
    <n v="4.8499999999999996"/>
    <n v="61"/>
    <x v="2"/>
    <m/>
    <s v="2026-02-25"/>
    <s v="1429116"/>
    <s v="PATRA AND SONS"/>
    <s v="8515915342"/>
  </r>
  <r>
    <s v="RCF Thal"/>
    <s v="N.C.Urea(45kg)"/>
    <s v="WB"/>
    <x v="9"/>
    <s v="Pandua"/>
    <s v="User Not Mapped"/>
    <s v="User Not Mapped"/>
    <s v="User Not Mapped"/>
    <n v="242609"/>
    <s v="Satinath Sarkar"/>
    <s v="Private Retailer"/>
    <s v="9434033419"/>
    <n v="2.25"/>
    <n v="63"/>
    <x v="2"/>
    <m/>
    <s v="2026-02-23"/>
    <s v="1444440"/>
    <s v="M/S SADHUKHAN TRADERS"/>
    <s v="9434301601"/>
  </r>
  <r>
    <s v="RCF Thal"/>
    <s v="N.C.Urea(45kg)"/>
    <s v="WB"/>
    <x v="9"/>
    <s v="Pandua"/>
    <s v="User Not Mapped"/>
    <s v="User Not Mapped"/>
    <s v="User Not Mapped"/>
    <n v="242609"/>
    <s v="Satinath Sarkar"/>
    <s v="Private Retailer"/>
    <s v="9434033419"/>
    <n v="0.99"/>
    <n v="126"/>
    <x v="0"/>
    <m/>
    <s v="2025-12-22"/>
    <s v="1444440"/>
    <s v="M/S SADHUKHAN TRADERS"/>
    <s v="9434301601"/>
  </r>
  <r>
    <s v="RCF Thal"/>
    <s v="N.C.Urea(45kg)"/>
    <s v="WB"/>
    <x v="9"/>
    <s v="Pandua"/>
    <s v="User Not Mapped"/>
    <s v="User Not Mapped"/>
    <s v="User Not Mapped"/>
    <n v="242609"/>
    <s v="Satinath Sarkar"/>
    <s v="Private Retailer"/>
    <s v="9434033419"/>
    <n v="1.08"/>
    <n v="107"/>
    <x v="5"/>
    <m/>
    <s v="2026-01-10"/>
    <s v="1444440"/>
    <s v="M/S SADHUKHAN TRADERS"/>
    <s v="9434301601"/>
  </r>
  <r>
    <s v="RCF Thal"/>
    <s v="N.C.Urea(45kg)"/>
    <s v="WB"/>
    <x v="9"/>
    <s v="Pandua"/>
    <s v="User Not Mapped"/>
    <s v="User Not Mapped"/>
    <s v="User Not Mapped"/>
    <n v="242609"/>
    <s v="Satinath Sarkar"/>
    <s v="Private Retailer"/>
    <s v="9434033419"/>
    <n v="1.125"/>
    <n v="121"/>
    <x v="0"/>
    <m/>
    <s v="2025-12-27"/>
    <s v="1444440"/>
    <s v="M/S SADHUKHAN TRADERS"/>
    <s v="9434301601"/>
  </r>
  <r>
    <s v="RCF Thal"/>
    <s v="N.C.Urea(45kg)"/>
    <s v="WB"/>
    <x v="9"/>
    <s v="Pandua"/>
    <s v="User Not Mapped"/>
    <s v="User Not Mapped"/>
    <s v="User Not Mapped"/>
    <n v="242609"/>
    <s v="Satinath Sarkar"/>
    <s v="Private Retailer"/>
    <s v="9434033419"/>
    <n v="1.8"/>
    <n v="145"/>
    <x v="0"/>
    <m/>
    <s v="2025-12-03"/>
    <s v="1444440"/>
    <s v="M/S SADHUKHAN TRADERS"/>
    <s v="9434301601"/>
  </r>
  <r>
    <s v="RCF Thal"/>
    <s v="N.C.Urea(45kg)"/>
    <s v="WB"/>
    <x v="9"/>
    <s v="Pandua"/>
    <s v="User Not Mapped"/>
    <s v="User Not Mapped"/>
    <s v="User Not Mapped"/>
    <n v="242609"/>
    <s v="Satinath Sarkar"/>
    <s v="Private Retailer"/>
    <s v="9434033419"/>
    <n v="2.79"/>
    <n v="240"/>
    <x v="3"/>
    <m/>
    <s v="2025-08-30"/>
    <s v="607374"/>
    <s v="SUMON SADHUKHAN"/>
    <s v="7980704821"/>
  </r>
  <r>
    <s v="RCF Thal"/>
    <s v="N.C.Urea(45kg)"/>
    <s v="WB"/>
    <x v="9"/>
    <s v="Pandua"/>
    <s v="User Not Mapped"/>
    <s v="User Not Mapped"/>
    <s v="User Not Mapped"/>
    <n v="242609"/>
    <s v="Satinath Sarkar"/>
    <s v="Private Retailer"/>
    <s v="9434033419"/>
    <n v="1.8"/>
    <n v="410"/>
    <x v="6"/>
    <m/>
    <s v="2025-03-13"/>
    <s v="607374"/>
    <s v="SUMON SADHUKHAN"/>
    <s v="7980704821"/>
  </r>
  <r>
    <s v="RCF Thal"/>
    <s v="N.C.Urea(45kg)"/>
    <s v="WB"/>
    <x v="9"/>
    <s v="Pandua"/>
    <s v="User Not Mapped"/>
    <s v="User Not Mapped"/>
    <s v="User Not Mapped"/>
    <n v="342351"/>
    <s v="Saomnath Ghosh"/>
    <s v="Private Retailer"/>
    <s v="6295952687"/>
    <n v="1.395"/>
    <n v="262"/>
    <x v="3"/>
    <m/>
    <s v="2025-08-08"/>
    <s v="342343"/>
    <s v="Sri Subhas Chandra Khan"/>
    <s v="9804538127"/>
  </r>
  <r>
    <s v="RCF Thal"/>
    <s v="N.C.Urea(45kg)"/>
    <s v="WB"/>
    <x v="9"/>
    <s v="Pandua"/>
    <s v="User Not Mapped"/>
    <s v="User Not Mapped"/>
    <s v="User Not Mapped"/>
    <n v="411307"/>
    <s v="Sankar Prosad Kumar"/>
    <s v="Private Retailer"/>
    <s v="9476195308"/>
    <n v="2.2050000000000001"/>
    <n v="163"/>
    <x v="0"/>
    <m/>
    <s v="2025-11-15"/>
    <s v="342343"/>
    <s v="Sri Subhas Chandra Khan"/>
    <s v="9804538127"/>
  </r>
  <r>
    <s v="RCF Trombay"/>
    <s v="N.C.Urea(45kg)"/>
    <s v="WB"/>
    <x v="9"/>
    <s v="Pandua"/>
    <s v="User Not Mapped"/>
    <s v="User Not Mapped"/>
    <s v="User Not Mapped"/>
    <n v="411357"/>
    <s v="Pannalal Das"/>
    <s v="Private Retailer"/>
    <s v="7699553080"/>
    <n v="5.49"/>
    <n v="1067"/>
    <x v="7"/>
    <m/>
    <s v="2023-05-26"/>
    <s v="260241"/>
    <s v="Tapan Kumar Chel"/>
    <s v="9007410200"/>
  </r>
  <r>
    <s v="RCF Thal"/>
    <s v="N.C.Urea(45kg)"/>
    <s v="WB"/>
    <x v="9"/>
    <s v="Pandua"/>
    <s v="User Not Mapped"/>
    <s v="User Not Mapped"/>
    <s v="User Not Mapped"/>
    <n v="411357"/>
    <s v="Pannalal Das"/>
    <s v="Private Retailer"/>
    <s v="7699553080"/>
    <n v="3.69"/>
    <n v="1183"/>
    <x v="7"/>
    <m/>
    <s v="2023-01-30"/>
    <s v="260241"/>
    <s v="Tapan Kumar Chel"/>
    <s v="9007410200"/>
  </r>
  <r>
    <s v="RCF Trombay"/>
    <s v="N.C.Urea(45kg)"/>
    <s v="WB"/>
    <x v="9"/>
    <s v="Pandua"/>
    <s v="User Not Mapped"/>
    <s v="User Not Mapped"/>
    <s v="User Not Mapped"/>
    <n v="411357"/>
    <s v="Pannalal Das"/>
    <s v="Private Retailer"/>
    <s v="7699553080"/>
    <n v="1.98"/>
    <n v="1284"/>
    <x v="7"/>
    <m/>
    <s v="2022-10-21"/>
    <s v="260241"/>
    <s v="Tapan Kumar Chel"/>
    <s v="9007410200"/>
  </r>
  <r>
    <s v="RCF Thal"/>
    <s v="N.C.Urea(45kg)"/>
    <s v="WB"/>
    <x v="9"/>
    <s v="Pandua"/>
    <s v="User Not Mapped"/>
    <s v="User Not Mapped"/>
    <s v="User Not Mapped"/>
    <n v="463233"/>
    <s v="Tapas Kumar Banerjee"/>
    <s v="Private Retailer"/>
    <s v="8670139347"/>
    <n v="2.61"/>
    <n v="144"/>
    <x v="0"/>
    <m/>
    <s v="2025-12-04"/>
    <s v="1095867"/>
    <s v="DINABANDHU MONDAL"/>
    <s v="8670226902"/>
  </r>
  <r>
    <s v="RCF Thal"/>
    <s v="N.C.Urea(45kg)"/>
    <s v="WB"/>
    <x v="9"/>
    <s v="Pandua"/>
    <s v="User Not Mapped"/>
    <s v="User Not Mapped"/>
    <s v="User Not Mapped"/>
    <n v="464896"/>
    <s v="M/S KRISHI DARSHAN"/>
    <s v="Private Retailer"/>
    <s v="9434568746"/>
    <n v="0.99"/>
    <n v="67"/>
    <x v="2"/>
    <m/>
    <s v="2026-02-19"/>
    <s v="1444440"/>
    <s v="M/S SADHUKHAN TRADERS"/>
    <s v="9434301601"/>
  </r>
  <r>
    <s v="RCF Import"/>
    <s v="Imp 10-26-26"/>
    <s v="WB"/>
    <x v="9"/>
    <s v="Pandua"/>
    <s v="User Not Mapped"/>
    <s v="User Not Mapped"/>
    <s v="User Not Mapped"/>
    <n v="1030275"/>
    <s v="soumen chattopadhaya"/>
    <s v="Private Retailer"/>
    <s v="9732286894"/>
    <n v="0.56999999999999995"/>
    <n v="133"/>
    <x v="0"/>
    <m/>
    <s v="2025-12-15"/>
    <s v="1095867"/>
    <s v="DINABANDHU MONDAL"/>
    <s v="8670226902"/>
  </r>
  <r>
    <s v="RCF Thal"/>
    <s v="N.C.Urea(45kg)"/>
    <s v="WB"/>
    <x v="9"/>
    <s v="Pandua"/>
    <s v="User Not Mapped"/>
    <s v="User Not Mapped"/>
    <s v="User Not Mapped"/>
    <n v="1032450"/>
    <s v="RABINDRA NATH MITRA"/>
    <s v="Private Retailer"/>
    <s v="8348769460"/>
    <n v="6.75"/>
    <n v="152"/>
    <x v="0"/>
    <m/>
    <s v="2025-11-26"/>
    <s v="1304250"/>
    <s v="KALIMATA ENTERPRISE"/>
    <s v="9333994707"/>
  </r>
  <r>
    <s v="RCF Thal"/>
    <s v="N.C.Urea(45kg)"/>
    <s v="WB"/>
    <x v="9"/>
    <s v="Pandua"/>
    <s v="User Not Mapped"/>
    <s v="User Not Mapped"/>
    <s v="User Not Mapped"/>
    <n v="1032450"/>
    <s v="RABINDRA NATH MITRA"/>
    <s v="Private Retailer"/>
    <s v="8348769460"/>
    <n v="0.45"/>
    <n v="173"/>
    <x v="0"/>
    <m/>
    <s v="2025-11-05"/>
    <s v="1304250"/>
    <s v="KALIMATA ENTERPRISE"/>
    <s v="9333994707"/>
  </r>
  <r>
    <s v="RCF Thal"/>
    <s v="N.C.Urea(45kg)"/>
    <s v="WB"/>
    <x v="9"/>
    <s v="Pandua"/>
    <s v="User Not Mapped"/>
    <s v="User Not Mapped"/>
    <s v="User Not Mapped"/>
    <n v="1032450"/>
    <s v="RABINDRA NATH MITRA"/>
    <s v="Private Retailer"/>
    <s v="8348769460"/>
    <n v="2.25"/>
    <n v="63"/>
    <x v="2"/>
    <m/>
    <s v="2026-02-23"/>
    <s v="1304250"/>
    <s v="KALIMATA ENTERPRISE"/>
    <s v="9333994707"/>
  </r>
  <r>
    <s v="RCF Thal"/>
    <s v="N.C.Urea(45kg)"/>
    <s v="WB"/>
    <x v="9"/>
    <s v="Polba - Dadpur"/>
    <s v="User Not Mapped"/>
    <s v="User Not Mapped"/>
    <s v="User Not Mapped"/>
    <n v="306406"/>
    <s v="Halder Fertilizer"/>
    <s v="Private Retailer"/>
    <s v="9434516998"/>
    <n v="0.67500000000000004"/>
    <n v="76"/>
    <x v="2"/>
    <m/>
    <s v="2026-02-10"/>
    <s v="260241"/>
    <s v="Tapan Kumar Chel"/>
    <s v="9007410200"/>
  </r>
  <r>
    <s v="RCF Import"/>
    <s v="Imp 10-26-26"/>
    <s v="WB"/>
    <x v="9"/>
    <s v="Polba - Dadpur"/>
    <s v="User Not Mapped"/>
    <s v="User Not Mapped"/>
    <s v="User Not Mapped"/>
    <n v="354315"/>
    <s v="Rajesh Ghosh"/>
    <s v="Private Retailer"/>
    <s v="8967460909"/>
    <n v="12"/>
    <n v="61"/>
    <x v="2"/>
    <m/>
    <s v="2026-02-25"/>
    <s v="342343"/>
    <s v="Sri Subhas Chandra Khan"/>
    <s v="9804538127"/>
  </r>
  <r>
    <s v="RCF Trombay"/>
    <s v="15-15-15"/>
    <s v="WB"/>
    <x v="9"/>
    <s v="Polba - Dadpur"/>
    <s v="User Not Mapped"/>
    <s v="User Not Mapped"/>
    <s v="User Not Mapped"/>
    <n v="354349"/>
    <s v="Shyamal Jana"/>
    <s v="Private Retailer"/>
    <s v="9434615220"/>
    <n v="0.7"/>
    <n v="218"/>
    <x v="3"/>
    <m/>
    <s v="2025-09-21"/>
    <s v="260241"/>
    <s v="Tapan Kumar Chel"/>
    <s v="9007410200"/>
  </r>
  <r>
    <s v="RCF Trombay"/>
    <s v="15-15-15"/>
    <s v="WB"/>
    <x v="9"/>
    <s v="Polba - Dadpur"/>
    <s v="User Not Mapped"/>
    <s v="User Not Mapped"/>
    <s v="User Not Mapped"/>
    <n v="354349"/>
    <s v="Shyamal Jana"/>
    <s v="Private Retailer"/>
    <s v="9434615220"/>
    <n v="6"/>
    <n v="131"/>
    <x v="0"/>
    <m/>
    <s v="2025-12-17"/>
    <s v="260241"/>
    <s v="Tapan Kumar Chel"/>
    <s v="9007410200"/>
  </r>
  <r>
    <s v="RCF Thal"/>
    <s v="N.C.Urea(45kg)"/>
    <s v="WB"/>
    <x v="9"/>
    <s v="Polba - Dadpur"/>
    <s v="User Not Mapped"/>
    <s v="User Not Mapped"/>
    <s v="User Not Mapped"/>
    <n v="472695"/>
    <s v="Sk.Basir Ahamed"/>
    <s v="Private Retailer"/>
    <s v="8647960839"/>
    <n v="1.125"/>
    <n v="63"/>
    <x v="2"/>
    <m/>
    <s v="2026-02-23"/>
    <s v="1304250"/>
    <s v="KALIMATA ENTERPRISE"/>
    <s v="9333994707"/>
  </r>
  <r>
    <s v="RCF Trombay"/>
    <s v="N.C.Urea(45kg)"/>
    <s v="WB"/>
    <x v="9"/>
    <s v="Polba - Dadpur"/>
    <s v="User Not Mapped"/>
    <s v="User Not Mapped"/>
    <s v="User Not Mapped"/>
    <n v="488326"/>
    <s v="Nashirul Haque Sarkar"/>
    <s v="Private Retailer"/>
    <s v="8900271947"/>
    <n v="0.13500000000000001"/>
    <n v="638"/>
    <x v="7"/>
    <m/>
    <s v="2024-07-28"/>
    <s v="260227"/>
    <s v="Krishi Bipani "/>
    <s v="9933482498"/>
  </r>
  <r>
    <s v="RCF Import"/>
    <s v="Imp 10-26-26"/>
    <s v="WB"/>
    <x v="9"/>
    <s v="Polba - Dadpur"/>
    <s v="User Not Mapped"/>
    <s v="User Not Mapped"/>
    <s v="User Not Mapped"/>
    <n v="488326"/>
    <s v="Nashirul Haque Sarkar"/>
    <s v="Private Retailer"/>
    <s v="8900271947"/>
    <n v="3.5"/>
    <n v="241"/>
    <x v="3"/>
    <m/>
    <s v="2025-08-29"/>
    <s v="342343"/>
    <s v="Sri Subhas Chandra Khan"/>
    <s v="9804538127"/>
  </r>
  <r>
    <s v="RCF Thal"/>
    <s v="N.C.Urea(45kg)"/>
    <s v="WB"/>
    <x v="9"/>
    <s v="Polba - Dadpur"/>
    <s v="User Not Mapped"/>
    <s v="User Not Mapped"/>
    <s v="User Not Mapped"/>
    <n v="488326"/>
    <s v="Nashirul Haque Sarkar"/>
    <s v="Private Retailer"/>
    <s v="8900271947"/>
    <n v="4.8150000000000004"/>
    <n v="241"/>
    <x v="3"/>
    <m/>
    <s v="2025-08-29"/>
    <s v="342343"/>
    <s v="Sri Subhas Chandra Khan"/>
    <s v="9804538127"/>
  </r>
  <r>
    <s v="RCF Trombay"/>
    <s v="N.C.Urea(45kg)"/>
    <s v="WB"/>
    <x v="9"/>
    <s v="Polba - Dadpur"/>
    <s v="User Not Mapped"/>
    <s v="User Not Mapped"/>
    <s v="User Not Mapped"/>
    <n v="488326"/>
    <s v="Nashirul Haque Sarkar"/>
    <s v="Private Retailer"/>
    <s v="8900271947"/>
    <n v="12"/>
    <n v="260"/>
    <x v="3"/>
    <m/>
    <s v="2025-08-10"/>
    <s v="342343"/>
    <s v="Sri Subhas Chandra Khan"/>
    <s v="9804538127"/>
  </r>
  <r>
    <s v="RCF Thal"/>
    <s v="N.C.Urea(45kg)"/>
    <s v="WB"/>
    <x v="9"/>
    <s v="Polba - Dadpur"/>
    <s v="User Not Mapped"/>
    <s v="User Not Mapped"/>
    <s v="User Not Mapped"/>
    <n v="488424"/>
    <s v="Krishi Sathi"/>
    <s v="Private Retailer"/>
    <s v="9474703262"/>
    <n v="9.6300000000000008"/>
    <n v="170"/>
    <x v="0"/>
    <m/>
    <s v="2025-11-08"/>
    <s v="260241"/>
    <s v="Tapan Kumar Chel"/>
    <s v="9007410200"/>
  </r>
  <r>
    <s v="RCF Thal"/>
    <s v="N.C.Urea(45kg)"/>
    <s v="WB"/>
    <x v="9"/>
    <s v="Polba - Dadpur"/>
    <s v="User Not Mapped"/>
    <s v="User Not Mapped"/>
    <s v="User Not Mapped"/>
    <n v="659280"/>
    <s v="Dayamay Ghosh"/>
    <s v="Private Retailer"/>
    <s v="9093168127"/>
    <n v="0.13500000000000001"/>
    <n v="76"/>
    <x v="2"/>
    <m/>
    <s v="2026-02-10"/>
    <s v="260241"/>
    <s v="Tapan Kumar Chel"/>
    <s v="9007410200"/>
  </r>
  <r>
    <s v="RCF Thal"/>
    <s v="N.C.Urea(45kg)"/>
    <s v="WB"/>
    <x v="9"/>
    <s v="Polba - Dadpur"/>
    <s v="User Not Mapped"/>
    <s v="User Not Mapped"/>
    <s v="User Not Mapped"/>
    <n v="659298"/>
    <s v="Bhim Chandra Ghosh"/>
    <s v="Private Retailer"/>
    <s v="8170872139"/>
    <n v="0.13500000000000001"/>
    <n v="60"/>
    <x v="1"/>
    <m/>
    <s v="2026-02-26"/>
    <s v="342343"/>
    <s v="Sri Subhas Chandra Khan"/>
    <s v="9804538127"/>
  </r>
  <r>
    <s v="RCF Trombay"/>
    <s v="15-15-15"/>
    <s v="WB"/>
    <x v="9"/>
    <s v="Polba - Dadpur"/>
    <s v="User Not Mapped"/>
    <s v="User Not Mapped"/>
    <s v="User Not Mapped"/>
    <n v="661585"/>
    <s v="Kartick Chandra Santra"/>
    <s v="Private Retailer"/>
    <s v="9674364824"/>
    <n v="0.3"/>
    <n v="467"/>
    <x v="6"/>
    <m/>
    <s v="2025-01-15"/>
    <s v="342343"/>
    <s v="Sri Subhas Chandra Khan"/>
    <s v="9804538127"/>
  </r>
  <r>
    <s v="RCF Thal"/>
    <s v="N.C.Urea(45kg)"/>
    <s v="WB"/>
    <x v="9"/>
    <s v="Polba - Dadpur"/>
    <s v="User Not Mapped"/>
    <s v="User Not Mapped"/>
    <s v="User Not Mapped"/>
    <n v="661585"/>
    <s v="Kartick Chandra Santra"/>
    <s v="Private Retailer"/>
    <s v="9674364824"/>
    <n v="0.36"/>
    <n v="262"/>
    <x v="3"/>
    <m/>
    <s v="2025-08-08"/>
    <s v="342343"/>
    <s v="Sri Subhas Chandra Khan"/>
    <s v="9804538127"/>
  </r>
  <r>
    <s v="RCF Import"/>
    <s v="Imp 10-26-26"/>
    <s v="WB"/>
    <x v="9"/>
    <s v="Polba - Dadpur"/>
    <s v="User Not Mapped"/>
    <s v="User Not Mapped"/>
    <s v="User Not Mapped"/>
    <n v="858786"/>
    <s v="BISWAJIT PAL"/>
    <s v="Private Retailer"/>
    <s v="7872560091"/>
    <n v="6"/>
    <n v="59"/>
    <x v="1"/>
    <m/>
    <s v="2026-02-27"/>
    <s v="888411"/>
    <s v="M/S BIKAS CHANDRA BHANDARI"/>
    <s v="8013238945"/>
  </r>
  <r>
    <s v="RCF Thal"/>
    <s v="N.C.Urea(45kg)"/>
    <s v="WB"/>
    <x v="9"/>
    <s v="Polba - Dadpur"/>
    <s v="User Not Mapped"/>
    <s v="User Not Mapped"/>
    <s v="User Not Mapped"/>
    <n v="858786"/>
    <s v="BISWAJIT PAL"/>
    <s v="Private Retailer"/>
    <s v="7872560091"/>
    <n v="5.9850000000000003"/>
    <n v="73"/>
    <x v="2"/>
    <m/>
    <s v="2026-02-13"/>
    <s v="888411"/>
    <s v="M/S BIKAS CHANDRA BHANDARI"/>
    <s v="8013238945"/>
  </r>
  <r>
    <s v="RCF Thal"/>
    <s v="N.C.Urea(45kg)"/>
    <s v="WB"/>
    <x v="9"/>
    <s v="Polba - Dadpur"/>
    <s v="User Not Mapped"/>
    <s v="User Not Mapped"/>
    <s v="User Not Mapped"/>
    <n v="858786"/>
    <s v="BISWAJIT PAL"/>
    <s v="Private Retailer"/>
    <s v="7872560091"/>
    <n v="11.385"/>
    <n v="230"/>
    <x v="3"/>
    <m/>
    <s v="2025-09-09"/>
    <s v="845555"/>
    <s v="BISWAJIT PAL"/>
    <s v="7872560091"/>
  </r>
  <r>
    <s v="RCF Thal"/>
    <s v="N.C.Urea(45kg)"/>
    <s v="WB"/>
    <x v="9"/>
    <s v="Polba - Dadpur"/>
    <s v="User Not Mapped"/>
    <s v="User Not Mapped"/>
    <s v="User Not Mapped"/>
    <n v="859191"/>
    <s v="APPU KOLEY"/>
    <s v="Private Retailer"/>
    <s v="9830855421"/>
    <n v="5.9850000000000003"/>
    <n v="20"/>
    <x v="4"/>
    <m/>
    <s v="2026-04-07"/>
    <s v="888411"/>
    <s v="M/S BIKAS CHANDRA BHANDARI"/>
    <s v="8013238945"/>
  </r>
  <r>
    <s v="RCF Thal"/>
    <s v="N.C.Urea(45kg)"/>
    <s v="WB"/>
    <x v="9"/>
    <s v="Polba - Dadpur"/>
    <s v="User Not Mapped"/>
    <s v="User Not Mapped"/>
    <s v="User Not Mapped"/>
    <n v="861762"/>
    <s v="HEMANTA SASMAL"/>
    <s v="Private Retailer"/>
    <s v="7063203637"/>
    <n v="5.9850000000000003"/>
    <n v="114"/>
    <x v="5"/>
    <m/>
    <s v="2026-01-03"/>
    <s v="260241"/>
    <s v="Tapan Kumar Chel"/>
    <s v="9007410200"/>
  </r>
  <r>
    <s v="RCF Import"/>
    <s v="Imp 10-26-26"/>
    <s v="WB"/>
    <x v="9"/>
    <s v="Polba - Dadpur"/>
    <s v="User Not Mapped"/>
    <s v="User Not Mapped"/>
    <s v="User Not Mapped"/>
    <n v="862763"/>
    <s v="DILIP HALDER"/>
    <s v="Private Retailer"/>
    <s v="9062373779"/>
    <n v="5"/>
    <n v="58"/>
    <x v="1"/>
    <m/>
    <s v="2026-02-28"/>
    <s v="342343"/>
    <s v="Sri Subhas Chandra Khan"/>
    <s v="9804538127"/>
  </r>
  <r>
    <s v="RCF Thal"/>
    <s v="N.C.Urea(45kg)"/>
    <s v="WB"/>
    <x v="9"/>
    <s v="Polba - Dadpur"/>
    <s v="User Not Mapped"/>
    <s v="User Not Mapped"/>
    <s v="User Not Mapped"/>
    <n v="864290"/>
    <s v="MD. FIROJE MONDAL"/>
    <s v="Private Retailer"/>
    <s v="9836695509"/>
    <n v="4.1849999999999996"/>
    <n v="1181"/>
    <x v="7"/>
    <m/>
    <s v="2023-02-01"/>
    <s v="921653"/>
    <s v="PROVAS CHAL"/>
    <s v="9635259885"/>
  </r>
  <r>
    <s v="RCF Thal"/>
    <s v="N.C.Urea(45kg)"/>
    <s v="WB"/>
    <x v="9"/>
    <s v="Polba - Dadpur"/>
    <s v="User Not Mapped"/>
    <s v="User Not Mapped"/>
    <s v="User Not Mapped"/>
    <n v="879523"/>
    <s v="SK AMINUR RAHAMAN"/>
    <s v="Private Retailer"/>
    <s v="9564966345"/>
    <n v="0.67500000000000004"/>
    <n v="94"/>
    <x v="5"/>
    <m/>
    <s v="2026-01-23"/>
    <s v="342343"/>
    <s v="Sri Subhas Chandra Khan"/>
    <s v="9804538127"/>
  </r>
  <r>
    <s v="RCF Import"/>
    <s v="Imp 10-26-26"/>
    <s v="WB"/>
    <x v="9"/>
    <s v="Polba - Dadpur"/>
    <s v="User Not Mapped"/>
    <s v="User Not Mapped"/>
    <s v="User Not Mapped"/>
    <n v="1001699"/>
    <s v="KEDAR NATH DAS"/>
    <s v="Private Retailer"/>
    <s v="9007000576"/>
    <n v="2.65"/>
    <n v="62"/>
    <x v="2"/>
    <m/>
    <s v="2026-02-24"/>
    <s v="260241"/>
    <s v="Tapan Kumar Chel"/>
    <s v="9007410200"/>
  </r>
  <r>
    <s v="RCF Trombay"/>
    <s v="15-15-15"/>
    <s v="WB"/>
    <x v="9"/>
    <s v="Polba - Dadpur"/>
    <s v="User Not Mapped"/>
    <s v="User Not Mapped"/>
    <s v="User Not Mapped"/>
    <n v="1001699"/>
    <s v="KEDAR NATH DAS"/>
    <s v="Private Retailer"/>
    <s v="9007000576"/>
    <n v="1.85"/>
    <n v="131"/>
    <x v="0"/>
    <m/>
    <s v="2025-12-17"/>
    <s v="260241"/>
    <s v="Tapan Kumar Chel"/>
    <s v="9007410200"/>
  </r>
  <r>
    <s v="RCF Thal"/>
    <s v="N.C.Urea(45kg)"/>
    <s v="WB"/>
    <x v="9"/>
    <s v="Polba - Dadpur"/>
    <s v="User Not Mapped"/>
    <s v="User Not Mapped"/>
    <s v="User Not Mapped"/>
    <n v="1328631"/>
    <s v="KUNDU FERTILISER"/>
    <s v="Private Retailer"/>
    <s v="9474465107"/>
    <n v="2.0699999999999998"/>
    <n v="163"/>
    <x v="0"/>
    <m/>
    <s v="2025-11-15"/>
    <s v="342343"/>
    <s v="Sri Subhas Chandra Khan"/>
    <s v="9804538127"/>
  </r>
  <r>
    <s v="RCF Import"/>
    <s v="MOP"/>
    <s v="WB"/>
    <x v="9"/>
    <s v="Polba - Dadpur"/>
    <s v="User Not Mapped"/>
    <s v="User Not Mapped"/>
    <s v="User Not Mapped"/>
    <n v="1328631"/>
    <s v="KUNDU FERTILISER"/>
    <s v="Private Retailer"/>
    <s v="9474465107"/>
    <n v="0.45"/>
    <n v="430"/>
    <x v="6"/>
    <m/>
    <s v="2025-02-21"/>
    <s v="342343"/>
    <s v="Sri Subhas Chandra Khan"/>
    <s v="9804538127"/>
  </r>
  <r>
    <s v="RCF Thal"/>
    <s v="N.C.Urea(45kg)"/>
    <s v="WB"/>
    <x v="9"/>
    <s v="Polba - Dadpur"/>
    <s v="User Not Mapped"/>
    <s v="User Not Mapped"/>
    <s v="User Not Mapped"/>
    <n v="1409568"/>
    <s v="MAA KALI KRISHI BHANDER"/>
    <s v="Private Retailer"/>
    <s v="9143411809"/>
    <n v="5.04"/>
    <n v="63"/>
    <x v="2"/>
    <m/>
    <s v="2026-02-23"/>
    <s v="1304250"/>
    <s v="KALIMATA ENTERPRISE"/>
    <s v="9333994707"/>
  </r>
  <r>
    <s v="RCF Trombay"/>
    <s v="N.C.Urea(45kg)"/>
    <s v="WB"/>
    <x v="9"/>
    <s v="Polba - Dadpur"/>
    <s v="User Not Mapped"/>
    <s v="User Not Mapped"/>
    <s v="User Not Mapped"/>
    <n v="1411145"/>
    <s v="SK KRISHI BHANDER"/>
    <s v="Private Retailer"/>
    <s v="8159825275"/>
    <n v="7.2"/>
    <n v="99"/>
    <x v="5"/>
    <m/>
    <s v="2026-01-18"/>
    <s v="342343"/>
    <s v="Sri Subhas Chandra Khan"/>
    <s v="9804538127"/>
  </r>
  <r>
    <s v="RCF Thal"/>
    <s v="N.C.Urea(45kg)"/>
    <s v="WB"/>
    <x v="9"/>
    <s v="Polba - Dadpur"/>
    <s v="User Not Mapped"/>
    <s v="User Not Mapped"/>
    <s v="User Not Mapped"/>
    <n v="1411145"/>
    <s v="SK KRISHI BHANDER"/>
    <s v="Private Retailer"/>
    <s v="8159825275"/>
    <n v="8.7449999999999992"/>
    <n v="154"/>
    <x v="0"/>
    <m/>
    <s v="2025-11-24"/>
    <s v="342343"/>
    <s v="Sri Subhas Chandra Khan"/>
    <s v="9804538127"/>
  </r>
  <r>
    <s v="RCF Import"/>
    <s v="Imp 10-26-26"/>
    <s v="WB"/>
    <x v="9"/>
    <s v="Polba - Dadpur"/>
    <s v="User Not Mapped"/>
    <s v="User Not Mapped"/>
    <s v="User Not Mapped"/>
    <n v="1411145"/>
    <s v="SK KRISHI BHANDER"/>
    <s v="Private Retailer"/>
    <s v="8159825275"/>
    <n v="2.6"/>
    <n v="103"/>
    <x v="5"/>
    <m/>
    <s v="2026-01-14"/>
    <s v="270282"/>
    <s v="Khan Fertilizers"/>
    <s v="7699668433"/>
  </r>
  <r>
    <s v="RCF Trombay SCU"/>
    <s v="Sulphur Coated Urea(40Kg)"/>
    <s v="WB"/>
    <x v="9"/>
    <s v="Pursura"/>
    <s v="User Not Mapped"/>
    <s v="User Not Mapped"/>
    <s v="User Not Mapped"/>
    <n v="354373"/>
    <s v="Sukhendu Ghosh"/>
    <s v="Private Retailer"/>
    <s v="9749607273"/>
    <n v="0.8"/>
    <n v="474"/>
    <x v="6"/>
    <m/>
    <s v="2025-01-08"/>
    <s v="260241"/>
    <s v="Tapan Kumar Chel"/>
    <s v="9007410200"/>
  </r>
  <r>
    <s v="RCF Trombay"/>
    <s v="N.C.Urea(45kg)"/>
    <s v="WB"/>
    <x v="9"/>
    <s v="Pursura"/>
    <s v="User Not Mapped"/>
    <s v="User Not Mapped"/>
    <s v="User Not Mapped"/>
    <n v="831780"/>
    <s v="NARAYAN MIDDE"/>
    <s v="Private Retailer"/>
    <s v="8101463210"/>
    <n v="0.09"/>
    <n v="989"/>
    <x v="7"/>
    <m/>
    <s v="2023-08-12"/>
    <s v="888411"/>
    <s v="M/S BIKAS CHANDRA BHANDARI"/>
    <s v="8013238945"/>
  </r>
  <r>
    <s v="RCF Thal"/>
    <s v="N.C.Urea(45kg)"/>
    <s v="WB"/>
    <x v="9"/>
    <s v="Serampur Uttarpara"/>
    <s v="User Not Mapped"/>
    <s v="User Not Mapped"/>
    <s v="User Not Mapped"/>
    <n v="671939"/>
    <s v="M/S Biganananda Krishi Bhandar"/>
    <s v="Private Retailer"/>
    <s v="8697585776"/>
    <n v="5.49"/>
    <n v="73"/>
    <x v="2"/>
    <m/>
    <s v="2026-02-13"/>
    <s v="937806"/>
    <s v="NIRMAL KUMAR MONDAL"/>
    <s v="9474107277"/>
  </r>
  <r>
    <s v="RCF Thal"/>
    <s v="N.C.Urea(45kg)"/>
    <s v="WB"/>
    <x v="9"/>
    <s v="Serampur Uttarpara"/>
    <s v="User Not Mapped"/>
    <s v="User Not Mapped"/>
    <s v="User Not Mapped"/>
    <n v="672055"/>
    <s v="M/S Abu Sufian Sarkar"/>
    <s v="Private Retailer"/>
    <s v="9434977866"/>
    <n v="2.5649999999999999"/>
    <n v="63"/>
    <x v="2"/>
    <m/>
    <s v="2026-02-23"/>
    <s v="1304250"/>
    <s v="KALIMATA ENTERPRISE"/>
    <s v="9333994707"/>
  </r>
  <r>
    <s v="RCF Thal"/>
    <s v="N.C.Urea(45kg)"/>
    <s v="WB"/>
    <x v="9"/>
    <s v="Serampur Uttarpara"/>
    <s v="User Not Mapped"/>
    <s v="User Not Mapped"/>
    <s v="User Not Mapped"/>
    <n v="672109"/>
    <s v="M/S Maa Monsha Fertilizer"/>
    <s v="Private Retailer"/>
    <s v="9474003699"/>
    <n v="0.18"/>
    <n v="111"/>
    <x v="5"/>
    <m/>
    <s v="2026-01-06"/>
    <s v="1304250"/>
    <s v="KALIMATA ENTERPRISE"/>
    <s v="9333994707"/>
  </r>
  <r>
    <s v="RCF Thal"/>
    <s v="N.C.Urea(45kg)"/>
    <s v="WB"/>
    <x v="9"/>
    <s v="Serampur Uttarpara"/>
    <s v="User Not Mapped"/>
    <s v="User Not Mapped"/>
    <s v="User Not Mapped"/>
    <n v="672109"/>
    <s v="M/S Maa Monsha Fertilizer"/>
    <s v="Private Retailer"/>
    <s v="9474003699"/>
    <n v="1.8"/>
    <n v="63"/>
    <x v="2"/>
    <m/>
    <s v="2026-02-23"/>
    <s v="1304250"/>
    <s v="KALIMATA ENTERPRISE"/>
    <s v="9333994707"/>
  </r>
  <r>
    <s v="RCF Thal"/>
    <s v="N.C.Urea(45kg)"/>
    <s v="WB"/>
    <x v="9"/>
    <s v="Serampur Uttarpara"/>
    <s v="User Not Mapped"/>
    <s v="User Not Mapped"/>
    <s v="User Not Mapped"/>
    <n v="672109"/>
    <s v="M/S Maa Monsha Fertilizer"/>
    <s v="Private Retailer"/>
    <s v="9474003699"/>
    <n v="1.8"/>
    <n v="36"/>
    <x v="1"/>
    <m/>
    <s v="2026-03-22"/>
    <s v="607374"/>
    <s v="SUMON SADHUKHAN"/>
    <s v="7980704821"/>
  </r>
  <r>
    <s v="RCF Trombay"/>
    <s v="N.C.Urea(45kg)"/>
    <s v="WB"/>
    <x v="9"/>
    <s v="Serampur Uttarpara"/>
    <s v="User Not Mapped"/>
    <s v="User Not Mapped"/>
    <s v="User Not Mapped"/>
    <n v="672111"/>
    <s v="M/S Krishbandhu Stores"/>
    <s v="Private Retailer"/>
    <s v="9231524013"/>
    <n v="3.15"/>
    <n v="127"/>
    <x v="0"/>
    <m/>
    <s v="2025-12-21"/>
    <s v="607374"/>
    <s v="SUMON SADHUKHAN"/>
    <s v="7980704821"/>
  </r>
  <r>
    <s v="RCF Trombay"/>
    <s v="15-15-15"/>
    <s v="WB"/>
    <x v="9"/>
    <s v="Singur"/>
    <s v="User Not Mapped"/>
    <s v="User Not Mapped"/>
    <s v="User Not Mapped"/>
    <n v="237223"/>
    <s v="Balarampur Laskarpur Skus Ltd."/>
    <s v="PACS"/>
    <s v="9007594510"/>
    <n v="4.3499999999999996"/>
    <n v="223"/>
    <x v="3"/>
    <m/>
    <s v="2025-09-16"/>
    <s v="888411"/>
    <s v="M/S BIKAS CHANDRA BHANDARI"/>
    <s v="8013238945"/>
  </r>
  <r>
    <s v="RCF Thal"/>
    <s v="N.C.Urea(45kg)"/>
    <s v="WB"/>
    <x v="9"/>
    <s v="Singur"/>
    <s v="User Not Mapped"/>
    <s v="User Not Mapped"/>
    <s v="User Not Mapped"/>
    <n v="237342"/>
    <s v="Noapara Skus Ltd."/>
    <s v="PACS"/>
    <s v="9433652135"/>
    <n v="4.46"/>
    <n v="76"/>
    <x v="2"/>
    <m/>
    <s v="2026-02-10"/>
    <s v="260241"/>
    <s v="Tapan Kumar Chel"/>
    <s v="9007410200"/>
  </r>
  <r>
    <s v="RCF Trombay"/>
    <s v="15-15-15"/>
    <s v="WB"/>
    <x v="9"/>
    <s v="Singur"/>
    <s v="User Not Mapped"/>
    <s v="User Not Mapped"/>
    <s v="User Not Mapped"/>
    <n v="237342"/>
    <s v="Noapara Skus Ltd."/>
    <s v="PACS"/>
    <s v="9433652135"/>
    <n v="0.105"/>
    <n v="131"/>
    <x v="0"/>
    <m/>
    <s v="2025-12-17"/>
    <s v="260241"/>
    <s v="Tapan Kumar Chel"/>
    <s v="9007410200"/>
  </r>
  <r>
    <s v="RCF Trombay"/>
    <s v="15-15-15"/>
    <s v="WB"/>
    <x v="9"/>
    <s v="Singur"/>
    <s v="User Not Mapped"/>
    <s v="User Not Mapped"/>
    <s v="User Not Mapped"/>
    <n v="237343"/>
    <s v="Pahalampur Skus Ltd."/>
    <s v="PACS"/>
    <s v="9748619779"/>
    <n v="14.95"/>
    <n v="127"/>
    <x v="0"/>
    <m/>
    <s v="2025-12-21"/>
    <s v="342343"/>
    <s v="Sri Subhas Chandra Khan"/>
    <s v="9804538127"/>
  </r>
  <r>
    <s v="RCF Import"/>
    <s v="Imp 10-26-26"/>
    <s v="WB"/>
    <x v="9"/>
    <s v="Singur"/>
    <s v="User Not Mapped"/>
    <s v="User Not Mapped"/>
    <s v="User Not Mapped"/>
    <n v="237343"/>
    <s v="Pahalampur Skus Ltd."/>
    <s v="PACS"/>
    <s v="9748619779"/>
    <n v="36"/>
    <n v="59"/>
    <x v="1"/>
    <m/>
    <s v="2026-02-27"/>
    <s v="888411"/>
    <s v="M/S BIKAS CHANDRA BHANDARI"/>
    <s v="8013238945"/>
  </r>
  <r>
    <s v="RCF Import"/>
    <s v="Imp 10-26-26"/>
    <s v="WB"/>
    <x v="9"/>
    <s v="Singur"/>
    <s v="User Not Mapped"/>
    <s v="User Not Mapped"/>
    <s v="User Not Mapped"/>
    <n v="237343"/>
    <s v="Pahalampur Skus Ltd."/>
    <s v="PACS"/>
    <s v="9748619779"/>
    <n v="36"/>
    <n v="58"/>
    <x v="1"/>
    <m/>
    <s v="2026-02-28"/>
    <s v="342343"/>
    <s v="Sri Subhas Chandra Khan"/>
    <s v="9804538127"/>
  </r>
  <r>
    <s v="RCF Trombay"/>
    <s v="15-15-15"/>
    <s v="WB"/>
    <x v="9"/>
    <s v="Singur"/>
    <s v="User Not Mapped"/>
    <s v="User Not Mapped"/>
    <s v="User Not Mapped"/>
    <n v="340651"/>
    <s v="Aloke Koley"/>
    <s v="Private Retailer"/>
    <s v="9143549170"/>
    <n v="2.5"/>
    <n v="130"/>
    <x v="0"/>
    <m/>
    <s v="2025-12-18"/>
    <s v="888411"/>
    <s v="M/S BIKAS CHANDRA BHANDARI"/>
    <s v="8013238945"/>
  </r>
  <r>
    <s v="RCF Thal"/>
    <s v="N.C.Urea(45kg)"/>
    <s v="WB"/>
    <x v="9"/>
    <s v="Singur"/>
    <s v="User Not Mapped"/>
    <s v="User Not Mapped"/>
    <s v="User Not Mapped"/>
    <n v="671327"/>
    <s v="M/S Pradip Kumar Das"/>
    <s v="Private Retailer"/>
    <s v="9007409745"/>
    <n v="0.18"/>
    <n v="76"/>
    <x v="2"/>
    <m/>
    <s v="2026-02-10"/>
    <s v="260241"/>
    <s v="Tapan Kumar Chel"/>
    <s v="9007410200"/>
  </r>
  <r>
    <s v="RCF Import"/>
    <s v="Imp 10-26-26"/>
    <s v="WB"/>
    <x v="9"/>
    <s v="Singur"/>
    <s v="User Not Mapped"/>
    <s v="User Not Mapped"/>
    <s v="User Not Mapped"/>
    <n v="671349"/>
    <s v="M/S Taramaa Krish Bhander"/>
    <s v="Private Retailer"/>
    <s v="9875595923"/>
    <n v="1"/>
    <n v="59"/>
    <x v="1"/>
    <m/>
    <s v="2026-02-27"/>
    <s v="888411"/>
    <s v="M/S BIKAS CHANDRA BHANDARI"/>
    <s v="8013238945"/>
  </r>
  <r>
    <s v="RCF Trombay"/>
    <s v="15-15-15"/>
    <s v="WB"/>
    <x v="9"/>
    <s v="Singur"/>
    <s v="User Not Mapped"/>
    <s v="User Not Mapped"/>
    <s v="User Not Mapped"/>
    <n v="671359"/>
    <s v="NARAYAN KOLEY"/>
    <s v="Private Retailer"/>
    <s v="9088090997"/>
    <n v="2.7"/>
    <n v="130"/>
    <x v="0"/>
    <m/>
    <s v="2025-12-18"/>
    <s v="888411"/>
    <s v="M/S BIKAS CHANDRA BHANDARI"/>
    <s v="8013238945"/>
  </r>
  <r>
    <s v="RCF Trombay"/>
    <s v="15-15-15"/>
    <s v="WB"/>
    <x v="9"/>
    <s v="Singur"/>
    <s v="User Not Mapped"/>
    <s v="User Not Mapped"/>
    <s v="User Not Mapped"/>
    <n v="671405"/>
    <s v="M/S Ranjit Kokey"/>
    <s v="Private Retailer"/>
    <s v="9007723674"/>
    <n v="3.3"/>
    <n v="125"/>
    <x v="0"/>
    <m/>
    <s v="2025-12-23"/>
    <s v="342343"/>
    <s v="Sri Subhas Chandra Khan"/>
    <s v="9804538127"/>
  </r>
  <r>
    <s v="RCF Thal"/>
    <s v="N.C.Urea(45kg)"/>
    <s v="WB"/>
    <x v="9"/>
    <s v="Singur"/>
    <s v="User Not Mapped"/>
    <s v="User Not Mapped"/>
    <s v="User Not Mapped"/>
    <n v="671405"/>
    <s v="M/S Ranjit Kokey"/>
    <s v="Private Retailer"/>
    <s v="9007723674"/>
    <n v="1.51"/>
    <n v="76"/>
    <x v="2"/>
    <m/>
    <s v="2026-02-10"/>
    <s v="260241"/>
    <s v="Tapan Kumar Chel"/>
    <s v="9007410200"/>
  </r>
  <r>
    <s v="RCF Trombay"/>
    <s v="15-15-15"/>
    <s v="WB"/>
    <x v="9"/>
    <s v="Singur"/>
    <s v="User Not Mapped"/>
    <s v="User Not Mapped"/>
    <s v="User Not Mapped"/>
    <n v="949481"/>
    <s v="M/s.Gopinath Koley"/>
    <s v="Private Retailer"/>
    <s v="6290623762"/>
    <n v="3.7"/>
    <n v="131"/>
    <x v="0"/>
    <m/>
    <s v="2025-12-17"/>
    <s v="260241"/>
    <s v="Tapan Kumar Chel"/>
    <s v="9007410200"/>
  </r>
  <r>
    <s v="RCF Trombay"/>
    <s v="15-15-15"/>
    <s v="WB"/>
    <x v="9"/>
    <s v="Singur"/>
    <s v="User Not Mapped"/>
    <s v="User Not Mapped"/>
    <s v="User Not Mapped"/>
    <n v="1053519"/>
    <s v="SOUMEN PATRA"/>
    <s v="Private Retailer"/>
    <s v="7980636709"/>
    <n v="2.2000000000000002"/>
    <n v="218"/>
    <x v="3"/>
    <m/>
    <s v="2025-09-21"/>
    <s v="260241"/>
    <s v="Tapan Kumar Chel"/>
    <s v="9007410200"/>
  </r>
  <r>
    <s v="RCF Trombay"/>
    <s v="15-15-15"/>
    <s v="WB"/>
    <x v="9"/>
    <s v="Singur"/>
    <s v="User Not Mapped"/>
    <s v="User Not Mapped"/>
    <s v="User Not Mapped"/>
    <n v="1110962"/>
    <s v="SRICHARAN DAS"/>
    <s v="Private Retailer"/>
    <s v="6296540117"/>
    <n v="2"/>
    <n v="131"/>
    <x v="0"/>
    <m/>
    <s v="2025-12-17"/>
    <s v="260241"/>
    <s v="Tapan Kumar Chel"/>
    <s v="9007410200"/>
  </r>
  <r>
    <s v="RCF Thal"/>
    <s v="N.C.Urea(45kg)"/>
    <s v="WB"/>
    <x v="9"/>
    <s v="Singur"/>
    <s v="User Not Mapped"/>
    <s v="User Not Mapped"/>
    <s v="User Not Mapped"/>
    <n v="1110962"/>
    <s v="SRICHARAN DAS"/>
    <s v="Private Retailer"/>
    <s v="6296540117"/>
    <n v="3.645"/>
    <n v="153"/>
    <x v="0"/>
    <m/>
    <s v="2025-11-25"/>
    <s v="260241"/>
    <s v="Tapan Kumar Chel"/>
    <s v="9007410200"/>
  </r>
  <r>
    <s v="RCF Thal"/>
    <s v="N.C.Urea(45kg)"/>
    <s v="WB"/>
    <x v="9"/>
    <s v="Singur"/>
    <s v="User Not Mapped"/>
    <s v="User Not Mapped"/>
    <s v="User Not Mapped"/>
    <n v="1268887"/>
    <s v="MAHAPRABHU KRISHI BHANDAR"/>
    <s v="Private Retailer"/>
    <s v="9831733780"/>
    <n v="1.35"/>
    <n v="472"/>
    <x v="6"/>
    <m/>
    <s v="2025-01-10"/>
    <s v="888411"/>
    <s v="M/S BIKAS CHANDRA BHANDARI"/>
    <s v="8013238945"/>
  </r>
  <r>
    <s v="RCF Thal"/>
    <s v="N.C.Urea(45kg)"/>
    <s v="WB"/>
    <x v="9"/>
    <s v="Singur"/>
    <s v="User Not Mapped"/>
    <s v="User Not Mapped"/>
    <s v="User Not Mapped"/>
    <n v="1406490"/>
    <s v="Dilip Kumar Mallick"/>
    <s v="Private Retailer"/>
    <s v="8013145334"/>
    <n v="0.22500000000000001"/>
    <n v="76"/>
    <x v="2"/>
    <m/>
    <s v="2026-02-10"/>
    <s v="260241"/>
    <s v="Tapan Kumar Chel"/>
    <s v="9007410200"/>
  </r>
  <r>
    <s v="RCF Import"/>
    <s v="Imp 10-26-26"/>
    <s v="WB"/>
    <x v="9"/>
    <s v="Singur"/>
    <s v="User Not Mapped"/>
    <s v="User Not Mapped"/>
    <s v="User Not Mapped"/>
    <n v="1406490"/>
    <s v="Dilip Kumar Mallick"/>
    <s v="Private Retailer"/>
    <s v="8013145334"/>
    <n v="1.3"/>
    <n v="62"/>
    <x v="2"/>
    <m/>
    <s v="2026-02-24"/>
    <s v="260241"/>
    <s v="Tapan Kumar Chel"/>
    <s v="9007410200"/>
  </r>
  <r>
    <s v="RCF Trombay"/>
    <s v="15-15-15"/>
    <s v="WB"/>
    <x v="9"/>
    <s v="Singur"/>
    <s v="User Not Mapped"/>
    <s v="User Not Mapped"/>
    <s v="User Not Mapped"/>
    <n v="1406490"/>
    <s v="Dilip Kumar Mallick"/>
    <s v="Private Retailer"/>
    <s v="8013145334"/>
    <n v="0.2"/>
    <n v="131"/>
    <x v="0"/>
    <m/>
    <s v="2025-12-17"/>
    <s v="260241"/>
    <s v="Tapan Kumar Chel"/>
    <s v="9007410200"/>
  </r>
  <r>
    <s v="RCF Trombay"/>
    <s v="N.C.Urea(45kg)"/>
    <s v="WB"/>
    <x v="9"/>
    <s v="Singur"/>
    <s v="User Not Mapped"/>
    <s v="User Not Mapped"/>
    <s v="User Not Mapped"/>
    <n v="1478571"/>
    <s v="SINGURKRISHOK KALYAN AGRO PROD"/>
    <s v="Private Retailer"/>
    <s v="8017478529"/>
    <n v="0.9"/>
    <n v="116"/>
    <x v="5"/>
    <m/>
    <s v="2026-01-01"/>
    <s v="888411"/>
    <s v="M/S BIKAS CHANDRA BHANDARI"/>
    <s v="8013238945"/>
  </r>
  <r>
    <s v="RCF Trombay"/>
    <s v="15-15-15"/>
    <s v="WB"/>
    <x v="9"/>
    <s v="Singur"/>
    <s v="User Not Mapped"/>
    <s v="User Not Mapped"/>
    <s v="User Not Mapped"/>
    <n v="1496631"/>
    <s v="GREEN FRIENDS SHOP"/>
    <s v="Private Retailer"/>
    <s v="7980692291"/>
    <n v="2.6"/>
    <n v="223"/>
    <x v="3"/>
    <m/>
    <s v="2025-09-16"/>
    <s v="888411"/>
    <s v="M/S BIKAS CHANDRA BHANDARI"/>
    <s v="8013238945"/>
  </r>
  <r>
    <s v="RCF Thal"/>
    <s v="N.C.Urea(45kg)"/>
    <s v="WB"/>
    <x v="9"/>
    <s v="Tarakeswar"/>
    <s v="User Not Mapped"/>
    <s v="User Not Mapped"/>
    <s v="User Not Mapped"/>
    <n v="242508"/>
    <s v="Dilip Chakrobortty"/>
    <s v="Private Retailer"/>
    <s v="9474493616"/>
    <n v="3.8250000000000002"/>
    <n v="153"/>
    <x v="0"/>
    <m/>
    <s v="2025-11-25"/>
    <s v="260241"/>
    <s v="Tapan Kumar Chel"/>
    <s v="9007410200"/>
  </r>
  <r>
    <s v="RCF Trombay"/>
    <s v="15-15-15"/>
    <s v="WB"/>
    <x v="9"/>
    <s v="Tarakeswar"/>
    <s v="User Not Mapped"/>
    <s v="User Not Mapped"/>
    <s v="User Not Mapped"/>
    <n v="626524"/>
    <s v="SUSANTA SAMANTA"/>
    <s v="Private Retailer"/>
    <s v="9734754939"/>
    <n v="6"/>
    <n v="497"/>
    <x v="6"/>
    <m/>
    <s v="2024-12-16"/>
    <s v="888411"/>
    <s v="M/S BIKAS CHANDRA BHANDARI"/>
    <s v="8013238945"/>
  </r>
  <r>
    <s v="RCF Import"/>
    <s v="Imp 10-26-26"/>
    <s v="WB"/>
    <x v="9"/>
    <s v="Tarakeswar"/>
    <s v="User Not Mapped"/>
    <s v="User Not Mapped"/>
    <s v="User Not Mapped"/>
    <n v="627138"/>
    <s v="HEMANTA HAZRA"/>
    <s v="Private Retailer"/>
    <s v="8670177372"/>
    <n v="0.05"/>
    <n v="510"/>
    <x v="6"/>
    <m/>
    <s v="2024-12-03"/>
    <s v="888411"/>
    <s v="M/S BIKAS CHANDRA BHANDARI"/>
    <s v="8013238945"/>
  </r>
  <r>
    <s v="RCF Import"/>
    <s v="Imp 10-26-26"/>
    <s v="WB"/>
    <x v="9"/>
    <s v="Tarakeswar"/>
    <s v="User Not Mapped"/>
    <s v="User Not Mapped"/>
    <s v="User Not Mapped"/>
    <n v="1107305"/>
    <s v="MAHAPRABHU FERTILISER"/>
    <s v="Private Retailer"/>
    <s v="9733634010"/>
    <n v="0.75"/>
    <n v="248"/>
    <x v="3"/>
    <m/>
    <s v="2025-08-22"/>
    <s v="1541649"/>
    <s v="KUMAR AGRO INPUT"/>
    <s v="6297930583"/>
  </r>
  <r>
    <s v="RCF Import"/>
    <s v="Imp 10-26-26"/>
    <s v="WB"/>
    <x v="9"/>
    <m/>
    <s v="User Not Mapped"/>
    <s v="User Not Mapped"/>
    <s v="User Not Mapped"/>
    <n v="237330"/>
    <s v="Melki Skus Ltd"/>
    <s v="PACS"/>
    <s v="9475361254"/>
    <n v="4.75"/>
    <n v="61"/>
    <x v="2"/>
    <m/>
    <s v="2026-02-25"/>
    <s v="1429116"/>
    <s v="PATRA AND SONS"/>
    <s v="8515915342"/>
  </r>
  <r>
    <s v="RCF Import"/>
    <s v="Imp 10-26-26"/>
    <s v="WB"/>
    <x v="9"/>
    <m/>
    <s v="User Not Mapped"/>
    <s v="User Not Mapped"/>
    <s v="User Not Mapped"/>
    <n v="242464"/>
    <s v="Ashok Kumar Patra"/>
    <s v="Private Retailer"/>
    <s v="9775179690"/>
    <n v="11.55"/>
    <n v="59"/>
    <x v="1"/>
    <m/>
    <s v="2026-02-27"/>
    <s v="888411"/>
    <s v="M/S BIKAS CHANDRA BHANDARI"/>
    <s v="8013238945"/>
  </r>
  <r>
    <s v="RCF Import"/>
    <s v="MOP"/>
    <s v="WB"/>
    <x v="9"/>
    <m/>
    <s v="User Not Mapped"/>
    <s v="User Not Mapped"/>
    <s v="User Not Mapped"/>
    <n v="242555"/>
    <s v="Krishi Sri"/>
    <s v="Private Retailer"/>
    <s v="9434828636"/>
    <n v="0.55000000000000004"/>
    <n v="435"/>
    <x v="6"/>
    <m/>
    <s v="2025-02-16"/>
    <s v="260241"/>
    <s v="Tapan Kumar Chel"/>
    <s v="9007410200"/>
  </r>
  <r>
    <s v="RCF Trombay"/>
    <s v="15-15-15"/>
    <s v="WB"/>
    <x v="9"/>
    <m/>
    <s v="User Not Mapped"/>
    <s v="User Not Mapped"/>
    <s v="User Not Mapped"/>
    <n v="354264"/>
    <s v="Murari Mohan Goswami"/>
    <s v="Private Retailer"/>
    <s v="7407808894"/>
    <n v="5.4"/>
    <n v="223"/>
    <x v="3"/>
    <m/>
    <s v="2025-09-16"/>
    <s v="888411"/>
    <s v="M/S BIKAS CHANDRA BHANDARI"/>
    <s v="8013238945"/>
  </r>
  <r>
    <s v="RCF Import"/>
    <s v="MOP"/>
    <s v="WB"/>
    <x v="9"/>
    <m/>
    <s v="User Not Mapped"/>
    <s v="User Not Mapped"/>
    <s v="User Not Mapped"/>
    <n v="354264"/>
    <s v="Murari Mohan Goswami"/>
    <s v="Private Retailer"/>
    <s v="7407808894"/>
    <n v="0.45"/>
    <n v="430"/>
    <x v="6"/>
    <m/>
    <s v="2025-02-21"/>
    <s v="342343"/>
    <s v="Sri Subhas Chandra Khan"/>
    <s v="9804538127"/>
  </r>
  <r>
    <s v="RCF Thal"/>
    <s v="N.C.Urea(45kg)"/>
    <s v="WB"/>
    <x v="9"/>
    <m/>
    <s v="User Not Mapped"/>
    <s v="User Not Mapped"/>
    <s v="User Not Mapped"/>
    <n v="354264"/>
    <s v="Murari Mohan Goswami"/>
    <s v="Private Retailer"/>
    <s v="7407808894"/>
    <n v="0.76500000000000001"/>
    <n v="71"/>
    <x v="2"/>
    <m/>
    <s v="2026-02-15"/>
    <s v="342343"/>
    <s v="Sri Subhas Chandra Khan"/>
    <s v="9804538127"/>
  </r>
  <r>
    <s v="RCF Trombay"/>
    <s v="15-15-15"/>
    <s v="WB"/>
    <x v="9"/>
    <m/>
    <s v="User Not Mapped"/>
    <s v="User Not Mapped"/>
    <s v="User Not Mapped"/>
    <n v="459376"/>
    <s v="Lakshman Bag"/>
    <s v="Private Retailer"/>
    <s v="9143069913"/>
    <n v="5"/>
    <n v="2673"/>
    <x v="7"/>
    <m/>
    <s v="2019-01-01"/>
    <s v="11"/>
    <s v="Too Old Stock"/>
    <m/>
  </r>
  <r>
    <s v="RCF Trombay"/>
    <s v="N.C.Urea(45kg)"/>
    <s v="WB"/>
    <x v="9"/>
    <m/>
    <s v="User Not Mapped"/>
    <s v="User Not Mapped"/>
    <s v="User Not Mapped"/>
    <n v="475855"/>
    <s v="Urbara Traders"/>
    <s v="Private Retailer"/>
    <s v="8900457437"/>
    <n v="0.19"/>
    <n v="2139"/>
    <x v="7"/>
    <m/>
    <s v="2020-06-18"/>
    <s v="294837"/>
    <s v="Dharma Das Roy"/>
    <s v="9474172444"/>
  </r>
  <r>
    <s v="RCF Thal"/>
    <s v="N.C.Urea(45kg)"/>
    <s v="WB"/>
    <x v="9"/>
    <m/>
    <s v="User Not Mapped"/>
    <s v="User Not Mapped"/>
    <s v="User Not Mapped"/>
    <n v="475855"/>
    <s v="Urbara Traders"/>
    <s v="Private Retailer"/>
    <s v="8900457437"/>
    <n v="0.06"/>
    <n v="2139"/>
    <x v="7"/>
    <m/>
    <s v="2020-06-18"/>
    <s v="294837"/>
    <s v="Dharma Das Roy"/>
    <s v="9474172444"/>
  </r>
  <r>
    <s v="RCF Thal"/>
    <s v="N.C.Urea(45kg)"/>
    <s v="WB"/>
    <x v="9"/>
    <m/>
    <s v="User Not Mapped"/>
    <s v="User Not Mapped"/>
    <s v="User Not Mapped"/>
    <n v="479745"/>
    <s v="Gopal Chandra Pal"/>
    <s v="Private Retailer"/>
    <s v="9647553939"/>
    <n v="0.27"/>
    <n v="163"/>
    <x v="0"/>
    <m/>
    <s v="2025-11-15"/>
    <s v="937806"/>
    <s v="NIRMAL KUMAR MONDAL"/>
    <s v="9474107277"/>
  </r>
  <r>
    <s v="RCF Trombay"/>
    <s v="N.C.Urea(45kg)"/>
    <s v="WB"/>
    <x v="9"/>
    <m/>
    <s v="User Not Mapped"/>
    <s v="User Not Mapped"/>
    <s v="User Not Mapped"/>
    <n v="498188"/>
    <s v="Ranjit Kumar Pan"/>
    <s v="Private Retailer"/>
    <s v="9831143479"/>
    <n v="14.67"/>
    <n v="1486"/>
    <x v="7"/>
    <m/>
    <s v="2022-04-02"/>
    <s v="260223"/>
    <s v="Ranjit Kumar Pan              "/>
    <s v="9831143479"/>
  </r>
  <r>
    <s v="RCF Trombay"/>
    <s v="N.C.Urea(45kg)"/>
    <s v="WB"/>
    <x v="9"/>
    <m/>
    <s v="User Not Mapped"/>
    <s v="User Not Mapped"/>
    <s v="User Not Mapped"/>
    <n v="609092"/>
    <s v="BISWANATH DEY"/>
    <s v="Private Retailer"/>
    <s v="9733912741"/>
    <n v="17.774999999999999"/>
    <n v="1918"/>
    <x v="7"/>
    <m/>
    <s v="2021-01-25"/>
    <s v="294837"/>
    <s v="Dharma Das Roy"/>
    <s v="9474172444"/>
  </r>
  <r>
    <s v="RCF Trombay"/>
    <s v="15-15-15"/>
    <s v="WB"/>
    <x v="9"/>
    <m/>
    <s v="User Not Mapped"/>
    <s v="User Not Mapped"/>
    <s v="User Not Mapped"/>
    <n v="609092"/>
    <s v="BISWANATH DEY"/>
    <s v="Private Retailer"/>
    <s v="9733912741"/>
    <n v="5.8"/>
    <n v="1909"/>
    <x v="7"/>
    <m/>
    <s v="2021-02-03"/>
    <s v="294837"/>
    <s v="Dharma Das Roy"/>
    <s v="9474172444"/>
  </r>
  <r>
    <s v="RCF Thal"/>
    <s v="N.C.Urea(45kg)"/>
    <s v="WB"/>
    <x v="9"/>
    <m/>
    <s v="User Not Mapped"/>
    <s v="User Not Mapped"/>
    <s v="User Not Mapped"/>
    <n v="900869"/>
    <s v="SUVRAJIT SAMANTA"/>
    <s v="Private Retailer"/>
    <s v="9735809652"/>
    <n v="3.06"/>
    <n v="2056"/>
    <x v="7"/>
    <m/>
    <s v="2020-09-09"/>
    <s v="260241"/>
    <s v="Tapan Kumar Chel"/>
    <s v="9007410200"/>
  </r>
  <r>
    <s v="RCF Thal"/>
    <s v="N.C.Urea(45kg)"/>
    <s v="WB"/>
    <x v="9"/>
    <m/>
    <s v="User Not Mapped"/>
    <s v="User Not Mapped"/>
    <s v="User Not Mapped"/>
    <n v="915091"/>
    <s v="SHYAMSUNDAR ADHIKARY"/>
    <s v="Private Retailer"/>
    <s v="9775711035"/>
    <n v="0.54"/>
    <n v="2314"/>
    <x v="7"/>
    <m/>
    <s v="2019-12-26"/>
    <s v="269333"/>
    <s v="Ma Durga Fetilizer"/>
    <s v="9733686470"/>
  </r>
  <r>
    <s v="RCF Trombay"/>
    <s v="N.C.Urea(45kg)"/>
    <s v="WB"/>
    <x v="9"/>
    <m/>
    <s v="User Not Mapped"/>
    <s v="User Not Mapped"/>
    <s v="User Not Mapped"/>
    <n v="1027256"/>
    <s v="RANAJIT DE"/>
    <s v="Private Retailer"/>
    <s v="9734457754"/>
    <n v="0.495"/>
    <n v="2656"/>
    <x v="7"/>
    <m/>
    <s v="2019-01-18"/>
    <s v="294837"/>
    <s v="Dharma Das Roy"/>
    <s v="9474172444"/>
  </r>
  <r>
    <s v="RCF Thal"/>
    <s v="N.C.Urea(45kg)"/>
    <s v="WB"/>
    <x v="9"/>
    <m/>
    <s v="User Not Mapped"/>
    <s v="User Not Mapped"/>
    <s v="User Not Mapped"/>
    <n v="1027256"/>
    <s v="RANAJIT DE"/>
    <s v="Private Retailer"/>
    <s v="9734457754"/>
    <n v="3.24"/>
    <n v="2343"/>
    <x v="7"/>
    <m/>
    <s v="2019-11-27"/>
    <s v="294837"/>
    <s v="Dharma Das Roy"/>
    <s v="9474172444"/>
  </r>
  <r>
    <s v="RCF Import"/>
    <s v="Imp 10-26-26"/>
    <s v="WB"/>
    <x v="9"/>
    <m/>
    <s v="User Not Mapped"/>
    <s v="User Not Mapped"/>
    <s v="User Not Mapped"/>
    <n v="1513764"/>
    <s v="PRANOY GHOSH"/>
    <s v="Private Retailer"/>
    <s v="9735287118"/>
    <n v="3.05"/>
    <n v="59"/>
    <x v="1"/>
    <m/>
    <s v="2026-02-27"/>
    <s v="888411"/>
    <s v="M/S BIKAS CHANDRA BHANDARI"/>
    <s v="8013238945"/>
  </r>
  <r>
    <s v="RCF Import"/>
    <s v="Imp 10-26-26"/>
    <s v="WB"/>
    <x v="9"/>
    <m/>
    <s v="User Not Mapped"/>
    <s v="User Not Mapped"/>
    <s v="User Not Mapped"/>
    <n v="1629921"/>
    <s v="VIVEKANANDA AGRO COMPLEX"/>
    <s v="Private Retailer"/>
    <s v="9474095395"/>
    <n v="2"/>
    <n v="60"/>
    <x v="1"/>
    <m/>
    <s v="2026-02-26"/>
    <s v="1429116"/>
    <s v="PATRA AND SONS"/>
    <s v="8515915342"/>
  </r>
  <r>
    <s v="RCF Import"/>
    <s v="Imp 10-26-26"/>
    <s v="WB"/>
    <x v="10"/>
    <s v="Amta - I"/>
    <s v="User Not Mapped"/>
    <s v="User Not Mapped"/>
    <s v="User Not Mapped"/>
    <n v="546830"/>
    <s v="Atanu Koley"/>
    <s v="Private Retailer"/>
    <s v="9732536726"/>
    <n v="5"/>
    <n v="61"/>
    <x v="2"/>
    <m/>
    <s v="2026-02-25"/>
    <s v="332581"/>
    <s v="M/S Patra and Sons"/>
    <s v="9434316884"/>
  </r>
  <r>
    <s v="RCF Thal"/>
    <s v="N.C.Urea(45kg)"/>
    <s v="WB"/>
    <x v="10"/>
    <s v="Amta - I"/>
    <s v="User Not Mapped"/>
    <s v="User Not Mapped"/>
    <s v="User Not Mapped"/>
    <n v="693813"/>
    <s v="TARA MAA FERTILISERS"/>
    <s v="Private Retailer"/>
    <s v="9903127339"/>
    <n v="2.61"/>
    <n v="172"/>
    <x v="0"/>
    <m/>
    <s v="2025-11-06"/>
    <s v="332581"/>
    <s v="M/S Patra and Sons"/>
    <s v="9434316884"/>
  </r>
  <r>
    <s v="RCF Import"/>
    <s v="Imp 10-26-26"/>
    <s v="WB"/>
    <x v="10"/>
    <s v="Amta - II"/>
    <s v="User Not Mapped"/>
    <s v="User Not Mapped"/>
    <s v="User Not Mapped"/>
    <n v="1288400"/>
    <s v="M/S MAHAPRABHU FERTILIZER"/>
    <s v="Private Retailer"/>
    <s v="9614666169"/>
    <n v="6"/>
    <n v="61"/>
    <x v="2"/>
    <m/>
    <s v="2026-02-25"/>
    <s v="332581"/>
    <s v="M/S Patra and Sons"/>
    <s v="9434316884"/>
  </r>
  <r>
    <s v="RCF Import"/>
    <s v="Imp 10-26-26"/>
    <s v="WB"/>
    <x v="10"/>
    <s v="Amta - II"/>
    <s v="User Not Mapped"/>
    <s v="User Not Mapped"/>
    <s v="User Not Mapped"/>
    <n v="1407599"/>
    <s v="M/S SHRIDHARNATH FARTILIZER"/>
    <s v="Private Retailer"/>
    <s v="8767407712"/>
    <n v="3"/>
    <n v="57"/>
    <x v="1"/>
    <m/>
    <s v="2026-03-01"/>
    <s v="332581"/>
    <s v="M/S Patra and Sons"/>
    <s v="9434316884"/>
  </r>
  <r>
    <s v="RCF Thal"/>
    <s v="N.C.Urea(45kg)"/>
    <s v="WB"/>
    <x v="10"/>
    <s v="Bagnan - I"/>
    <s v="User Not Mapped"/>
    <s v="User Not Mapped"/>
    <s v="User Not Mapped"/>
    <n v="340435"/>
    <s v="Adhya Sar Bikray Shop"/>
    <s v="Private Retailer"/>
    <s v="9732946292"/>
    <n v="4.4999999999999998E-2"/>
    <n v="173"/>
    <x v="0"/>
    <m/>
    <s v="2025-11-05"/>
    <s v="332581"/>
    <s v="M/S Patra and Sons"/>
    <s v="9434316884"/>
  </r>
  <r>
    <s v="RCF Trombay"/>
    <s v="N.C.Urea(45kg)"/>
    <s v="WB"/>
    <x v="10"/>
    <s v="Bagnan - II"/>
    <s v="User Not Mapped"/>
    <s v="User Not Mapped"/>
    <s v="User Not Mapped"/>
    <n v="632932"/>
    <s v="KALIMATA FERTILISER"/>
    <s v="Private Retailer"/>
    <s v="8512940502"/>
    <n v="0.18"/>
    <n v="234"/>
    <x v="3"/>
    <m/>
    <s v="2025-09-05"/>
    <s v="332581"/>
    <s v="M/S Patra and Sons"/>
    <s v="9434316884"/>
  </r>
  <r>
    <s v="RCF Trombay"/>
    <s v="N.C.Urea(45kg)"/>
    <s v="WB"/>
    <x v="10"/>
    <s v="Shyampur - II"/>
    <s v="User Not Mapped"/>
    <s v="User Not Mapped"/>
    <s v="User Not Mapped"/>
    <n v="631987"/>
    <s v=" M/S KAR FERTILISER"/>
    <s v="Private Retailer"/>
    <s v="9733711544"/>
    <n v="1.44"/>
    <n v="234"/>
    <x v="3"/>
    <m/>
    <s v="2025-09-05"/>
    <s v="332581"/>
    <s v="M/S Patra and Sons"/>
    <s v="9434316884"/>
  </r>
  <r>
    <s v="RCF Thal"/>
    <s v="N.C.Urea(45kg)"/>
    <s v="WB"/>
    <x v="10"/>
    <s v="Shyampur - II"/>
    <s v="User Not Mapped"/>
    <s v="User Not Mapped"/>
    <s v="User Not Mapped"/>
    <n v="1542377"/>
    <s v="ADAK FERTILIZERS"/>
    <s v="Private Retailer"/>
    <s v="7679113450"/>
    <n v="0.27"/>
    <n v="75"/>
    <x v="2"/>
    <m/>
    <s v="2026-02-11"/>
    <s v="332581"/>
    <s v="M/S Patra and Sons"/>
    <s v="9434316884"/>
  </r>
  <r>
    <s v="RCF Import"/>
    <s v="Imp 10-26-26"/>
    <s v="WB"/>
    <x v="10"/>
    <s v="Udaynarayanpur"/>
    <s v="User Not Mapped"/>
    <s v="User Not Mapped"/>
    <s v="User Not Mapped"/>
    <n v="306292"/>
    <s v="Krishi Bhandar"/>
    <s v="State Marketing Federation"/>
    <s v="9647467701"/>
    <n v="4.55"/>
    <n v="59"/>
    <x v="1"/>
    <m/>
    <s v="2026-02-27"/>
    <s v="332107"/>
    <s v="Kumar Fertilizer"/>
    <s v="9734379245"/>
  </r>
  <r>
    <s v="RCF Thal"/>
    <s v="N.C.Urea(45kg)"/>
    <s v="WB"/>
    <x v="10"/>
    <s v="Uluberia - I"/>
    <s v="User Not Mapped"/>
    <s v="User Not Mapped"/>
    <s v="User Not Mapped"/>
    <n v="648207"/>
    <s v="SARKAR FERTILISER"/>
    <s v="Private Retailer"/>
    <s v="9064811126"/>
    <n v="0.22500000000000001"/>
    <n v="254"/>
    <x v="3"/>
    <m/>
    <s v="2025-08-16"/>
    <s v="332581"/>
    <s v="M/S Patra and Sons"/>
    <s v="9434316884"/>
  </r>
  <r>
    <s v="RCF Import"/>
    <s v="Imp 10-26-26"/>
    <s v="WB"/>
    <x v="10"/>
    <s v="Uluberia - I"/>
    <s v="User Not Mapped"/>
    <s v="User Not Mapped"/>
    <s v="User Not Mapped"/>
    <n v="937876"/>
    <s v="SANTANU PAL"/>
    <s v="Private Retailer"/>
    <s v="9732716397"/>
    <n v="6"/>
    <n v="59"/>
    <x v="1"/>
    <m/>
    <s v="2026-02-27"/>
    <s v="332107"/>
    <s v="Kumar Fertilizer"/>
    <s v="9734379245"/>
  </r>
  <r>
    <s v="RCF Thal"/>
    <s v="N.C.Urea(45kg)"/>
    <s v="WB"/>
    <x v="10"/>
    <s v="Uluberia - I"/>
    <s v="User Not Mapped"/>
    <s v="User Not Mapped"/>
    <s v="User Not Mapped"/>
    <n v="937876"/>
    <s v="SANTANU PAL"/>
    <s v="Private Retailer"/>
    <s v="9732716397"/>
    <n v="0.76500000000000001"/>
    <n v="72"/>
    <x v="2"/>
    <m/>
    <s v="2026-02-14"/>
    <s v="332107"/>
    <s v="Kumar Fertilizer"/>
    <s v="9734379245"/>
  </r>
  <r>
    <s v="RCF Import"/>
    <s v="MOP"/>
    <s v="WB"/>
    <x v="11"/>
    <s v="Dhupguri"/>
    <s v="User Not Mapped"/>
    <s v="User Not Mapped"/>
    <s v="User Not Mapped"/>
    <n v="244993"/>
    <s v="M/S BHAI BHAI BEEJ BHANDAR"/>
    <s v="Private Retailer"/>
    <s v="9734457406"/>
    <n v="0.3"/>
    <n v="154"/>
    <x v="0"/>
    <m/>
    <s v="2025-11-24"/>
    <s v="222671"/>
    <s v="Adarsha Krishi Bhandar"/>
    <s v="7872827880"/>
  </r>
  <r>
    <s v="RCF Trombay"/>
    <s v="15-15-15"/>
    <s v="WB"/>
    <x v="11"/>
    <s v="Dhupguri"/>
    <s v="User Not Mapped"/>
    <s v="User Not Mapped"/>
    <s v="User Not Mapped"/>
    <n v="244997"/>
    <s v="Bimal Chandra Roy"/>
    <s v="Private Retailer"/>
    <s v="9832654731"/>
    <n v="0.5"/>
    <n v="110"/>
    <x v="5"/>
    <m/>
    <s v="2026-01-07"/>
    <s v="222671"/>
    <s v="Adarsha Krishi Bhandar"/>
    <s v="7872827880"/>
  </r>
  <r>
    <s v="RCF Trombay"/>
    <s v="15-15-15"/>
    <s v="WB"/>
    <x v="11"/>
    <s v="Dhupguri"/>
    <s v="User Not Mapped"/>
    <s v="User Not Mapped"/>
    <s v="User Not Mapped"/>
    <n v="245109"/>
    <s v="M/S SUJIT FERTILIZER"/>
    <s v="Private Retailer"/>
    <s v="9609923585"/>
    <n v="0.1"/>
    <n v="59"/>
    <x v="1"/>
    <m/>
    <s v="2026-02-27"/>
    <s v="214210"/>
    <s v="Raja Fertilizer"/>
    <s v="8370801459"/>
  </r>
  <r>
    <s v="RCF Import"/>
    <s v="Imp 10-26-26"/>
    <s v="WB"/>
    <x v="11"/>
    <s v="Dhupguri"/>
    <s v="User Not Mapped"/>
    <s v="User Not Mapped"/>
    <s v="User Not Mapped"/>
    <n v="597358"/>
    <s v="Maa Lakshmi Fertilisers"/>
    <s v="Private Retailer"/>
    <s v="9832488456"/>
    <n v="0.5"/>
    <n v="891"/>
    <x v="7"/>
    <m/>
    <s v="2023-11-18"/>
    <s v="1102246"/>
    <s v="MAA SARADA KRISHI BHANDAR"/>
    <s v="7001049430"/>
  </r>
  <r>
    <s v="RCF Trombay"/>
    <s v="15-15-15"/>
    <s v="WB"/>
    <x v="11"/>
    <s v="Dhupguri"/>
    <s v="User Not Mapped"/>
    <s v="User Not Mapped"/>
    <s v="User Not Mapped"/>
    <n v="650027"/>
    <s v="SABUJ MAHAL"/>
    <s v="Private Retailer"/>
    <s v="9679181239"/>
    <n v="0.15"/>
    <n v="836"/>
    <x v="7"/>
    <m/>
    <s v="2024-01-12"/>
    <s v="646084"/>
    <s v="NARAYAN CHANDRA DHAR"/>
    <s v="9832375165"/>
  </r>
  <r>
    <s v="RCF Import"/>
    <s v="MOP"/>
    <s v="WB"/>
    <x v="11"/>
    <s v="Dhupguri"/>
    <s v="User Not Mapped"/>
    <s v="User Not Mapped"/>
    <s v="User Not Mapped"/>
    <n v="650994"/>
    <s v="NIRNALA BEEJ BHANDAR"/>
    <s v="Private Retailer"/>
    <s v="9749300004"/>
    <n v="2"/>
    <n v="515"/>
    <x v="6"/>
    <m/>
    <s v="2024-11-28"/>
    <s v="646084"/>
    <s v="NARAYAN CHANDRA DHAR"/>
    <s v="9832375165"/>
  </r>
  <r>
    <s v="RCF Trombay"/>
    <s v="15-15-15"/>
    <s v="WB"/>
    <x v="11"/>
    <s v="Dhupguri"/>
    <s v="User Not Mapped"/>
    <s v="User Not Mapped"/>
    <s v="User Not Mapped"/>
    <n v="654417"/>
    <s v="Sudeb Dutta and Trading"/>
    <s v="Private Retailer"/>
    <s v="7076139130"/>
    <n v="1.55"/>
    <n v="80"/>
    <x v="2"/>
    <m/>
    <s v="2026-02-06"/>
    <s v="222671"/>
    <s v="Adarsha Krishi Bhandar"/>
    <s v="7872827880"/>
  </r>
  <r>
    <s v="RCF Import"/>
    <s v="Imp 10-26-26"/>
    <s v="WB"/>
    <x v="11"/>
    <s v="Dhupguri"/>
    <s v="User Not Mapped"/>
    <s v="User Not Mapped"/>
    <s v="User Not Mapped"/>
    <n v="658408"/>
    <s v=" M/S ALAM FERTILIZER"/>
    <s v="Private Retailer"/>
    <s v="9932866839"/>
    <n v="0.2"/>
    <n v="853"/>
    <x v="7"/>
    <m/>
    <s v="2023-12-26"/>
    <s v="646084"/>
    <s v="NARAYAN CHANDRA DHAR"/>
    <s v="9832375165"/>
  </r>
  <r>
    <s v="RCF Import"/>
    <s v="Imp 10-26-26"/>
    <s v="WB"/>
    <x v="11"/>
    <s v="Dhupguri"/>
    <s v="User Not Mapped"/>
    <s v="User Not Mapped"/>
    <s v="User Not Mapped"/>
    <n v="658408"/>
    <s v=" M/S ALAM FERTILIZER"/>
    <s v="Private Retailer"/>
    <s v="9932866839"/>
    <n v="0.4"/>
    <n v="873"/>
    <x v="7"/>
    <m/>
    <s v="2023-12-06"/>
    <s v="646084"/>
    <s v="NARAYAN CHANDRA DHAR"/>
    <s v="9832375165"/>
  </r>
  <r>
    <s v="RCF Import"/>
    <s v="Imp 10-26-26"/>
    <s v="WB"/>
    <x v="11"/>
    <s v="Dhupguri"/>
    <s v="User Not Mapped"/>
    <s v="User Not Mapped"/>
    <s v="User Not Mapped"/>
    <n v="658408"/>
    <s v=" M/S ALAM FERTILIZER"/>
    <s v="Private Retailer"/>
    <s v="9932866839"/>
    <n v="0.1"/>
    <n v="850"/>
    <x v="7"/>
    <m/>
    <s v="2023-12-29"/>
    <s v="646084"/>
    <s v="NARAYAN CHANDRA DHAR"/>
    <s v="9832375165"/>
  </r>
  <r>
    <s v="RCF Thal"/>
    <s v="N.C.Urea(45kg)"/>
    <s v="WB"/>
    <x v="11"/>
    <s v="Dhupguri"/>
    <s v="User Not Mapped"/>
    <s v="User Not Mapped"/>
    <s v="User Not Mapped"/>
    <n v="860955"/>
    <s v="M/S CHANDRA BEEJ BHANDAR"/>
    <s v="Private Retailer"/>
    <s v="6294066589"/>
    <n v="1.08"/>
    <n v="142"/>
    <x v="0"/>
    <m/>
    <s v="2025-12-06"/>
    <s v="1286098"/>
    <s v="DUTTA ENTERPRISE"/>
    <s v="9832365365"/>
  </r>
  <r>
    <s v="RCF Thal"/>
    <s v="N.C.Urea(45kg)"/>
    <s v="WB"/>
    <x v="11"/>
    <s v="Dhupguri"/>
    <s v="User Not Mapped"/>
    <s v="User Not Mapped"/>
    <s v="User Not Mapped"/>
    <n v="877346"/>
    <s v="SANTOSH BEEJ BHANDAR"/>
    <s v="Private Retailer"/>
    <s v="9800079583"/>
    <n v="0.54"/>
    <n v="1076"/>
    <x v="7"/>
    <m/>
    <s v="2023-05-17"/>
    <s v="214210"/>
    <s v="Raja Fertilizer"/>
    <s v="8370801459"/>
  </r>
  <r>
    <s v="RCF Import"/>
    <s v="MOP"/>
    <s v="WB"/>
    <x v="11"/>
    <s v="Dhupguri"/>
    <s v="User Not Mapped"/>
    <s v="User Not Mapped"/>
    <s v="User Not Mapped"/>
    <n v="1038754"/>
    <s v="HAZI FERTILIZER"/>
    <s v="Private Retailer"/>
    <s v="8597135730"/>
    <n v="0.25"/>
    <n v="496"/>
    <x v="6"/>
    <m/>
    <s v="2024-12-17"/>
    <s v="1286098"/>
    <s v="DUTTA ENTERPRISE"/>
    <s v="9832365365"/>
  </r>
  <r>
    <s v="RCF Thal"/>
    <s v="N.C.Urea(45kg)"/>
    <s v="WB"/>
    <x v="11"/>
    <s v="Dhupguri"/>
    <s v="User Not Mapped"/>
    <s v="User Not Mapped"/>
    <s v="User Not Mapped"/>
    <n v="1334061"/>
    <s v="Ankur Krishi Bhandar"/>
    <s v="Private Retailer"/>
    <s v="7384112935"/>
    <n v="0.63"/>
    <n v="143"/>
    <x v="0"/>
    <m/>
    <s v="2025-12-05"/>
    <s v="1286098"/>
    <s v="DUTTA ENTERPRISE"/>
    <s v="9832365365"/>
  </r>
  <r>
    <s v="RCF Trombay"/>
    <s v="15-15-15"/>
    <s v="WB"/>
    <x v="11"/>
    <s v="Dhupguri"/>
    <s v="User Not Mapped"/>
    <s v="User Not Mapped"/>
    <s v="User Not Mapped"/>
    <n v="1425957"/>
    <s v="HAZI KRISHI BHANDAR"/>
    <s v="Private Retailer"/>
    <s v="8250289024"/>
    <n v="1"/>
    <n v="898"/>
    <x v="7"/>
    <m/>
    <s v="2023-11-11"/>
    <s v="646084"/>
    <s v="NARAYAN CHANDRA DHAR"/>
    <s v="9832375165"/>
  </r>
  <r>
    <s v="RCF Thal"/>
    <s v="N.C.Urea(45kg)"/>
    <s v="WB"/>
    <x v="11"/>
    <s v="Jalpaiguri"/>
    <s v="User Not Mapped"/>
    <s v="User Not Mapped"/>
    <s v="User Not Mapped"/>
    <n v="185209"/>
    <s v="M/S Jagat Bandhu Fertilizers"/>
    <s v="Private Retailer"/>
    <s v="9832088562"/>
    <n v="3.8250000000000002"/>
    <n v="50"/>
    <x v="1"/>
    <m/>
    <s v="2026-03-08"/>
    <s v="939071"/>
    <s v="M/S ANNAPURNA KRISHI BHANDAR"/>
    <s v="9749004017"/>
  </r>
  <r>
    <s v="RCF Thal"/>
    <s v="N.C.Urea(45kg)"/>
    <s v="WB"/>
    <x v="11"/>
    <s v="Jalpaiguri"/>
    <s v="User Not Mapped"/>
    <s v="User Not Mapped"/>
    <s v="User Not Mapped"/>
    <n v="185245"/>
    <s v="Rana Prasad Sarkar"/>
    <s v="Private Retailer"/>
    <s v="9749897868"/>
    <n v="4.4999999999999998E-2"/>
    <n v="35"/>
    <x v="1"/>
    <m/>
    <s v="2026-03-23"/>
    <s v="1320424"/>
    <s v="Roy Beej Bhandar"/>
    <s v="9749085045"/>
  </r>
  <r>
    <s v="RCF Trombay"/>
    <s v="15-15-15"/>
    <s v="WB"/>
    <x v="11"/>
    <s v="Jalpaiguri"/>
    <s v="User Not Mapped"/>
    <s v="User Not Mapped"/>
    <s v="User Not Mapped"/>
    <n v="328132"/>
    <s v="M/S Atul Chandra Saha"/>
    <s v="Private Retailer"/>
    <s v="9434151902"/>
    <n v="4.1500000000000004"/>
    <n v="202"/>
    <x v="3"/>
    <m/>
    <s v="2025-10-07"/>
    <s v="222657"/>
    <s v="M/S Atul Chandra Saha"/>
    <s v="9434151902"/>
  </r>
  <r>
    <s v="RCF Trombay"/>
    <s v="N.C.Urea(45kg)"/>
    <s v="WB"/>
    <x v="11"/>
    <s v="Jalpaiguri"/>
    <s v="User Not Mapped"/>
    <s v="User Not Mapped"/>
    <s v="User Not Mapped"/>
    <n v="484474"/>
    <s v="Kalpana Beej Bhandar"/>
    <s v="Private Retailer"/>
    <s v="9002446562"/>
    <n v="0.22500000000000001"/>
    <n v="1995"/>
    <x v="7"/>
    <m/>
    <s v="2020-11-09"/>
    <s v="1019557"/>
    <s v="M/S NEW DEEP KRISHI BHANDAR"/>
    <s v="9434257790"/>
  </r>
  <r>
    <s v="RCF Thal"/>
    <s v="N.C.Urea(45kg)"/>
    <s v="WB"/>
    <x v="11"/>
    <s v="Jalpaiguri"/>
    <s v="User Not Mapped"/>
    <s v="User Not Mapped"/>
    <s v="User Not Mapped"/>
    <n v="484474"/>
    <s v="Kalpana Beej Bhandar"/>
    <s v="Private Retailer"/>
    <s v="9002446562"/>
    <n v="0.45"/>
    <n v="2010"/>
    <x v="7"/>
    <m/>
    <s v="2020-10-25"/>
    <s v="1019557"/>
    <s v="M/S NEW DEEP KRISHI BHANDAR"/>
    <s v="9434257790"/>
  </r>
  <r>
    <s v="RCF Trombay"/>
    <s v="N.C.Urea(45kg)"/>
    <s v="WB"/>
    <x v="11"/>
    <s v="Jalpaiguri"/>
    <s v="User Not Mapped"/>
    <s v="User Not Mapped"/>
    <s v="User Not Mapped"/>
    <n v="634567"/>
    <s v="Jyotsna Fertilizer"/>
    <s v="Private Retailer"/>
    <s v="7551032783"/>
    <n v="0.495"/>
    <n v="66"/>
    <x v="2"/>
    <m/>
    <s v="2026-02-20"/>
    <s v="222661"/>
    <s v="M/s. Dutta Krishi Bhandar"/>
    <s v="8617691998"/>
  </r>
  <r>
    <s v="RCF Import"/>
    <s v="MOP"/>
    <s v="WB"/>
    <x v="11"/>
    <s v="Jalpaiguri"/>
    <s v="User Not Mapped"/>
    <s v="User Not Mapped"/>
    <s v="User Not Mapped"/>
    <n v="735422"/>
    <s v="KISHAN BEEJ BHANDAR"/>
    <s v="Private Retailer"/>
    <s v="9733049198"/>
    <n v="1"/>
    <n v="496"/>
    <x v="6"/>
    <m/>
    <s v="2024-12-17"/>
    <s v="1286098"/>
    <s v="DUTTA ENTERPRISE"/>
    <s v="9832365365"/>
  </r>
  <r>
    <s v="RCF Thal"/>
    <s v="N.C.Urea(45kg)"/>
    <s v="WB"/>
    <x v="11"/>
    <s v="Jalpaiguri"/>
    <s v="User Not Mapped"/>
    <s v="User Not Mapped"/>
    <s v="User Not Mapped"/>
    <n v="796812"/>
    <s v="ROY and SONS"/>
    <s v="Private Retailer"/>
    <s v="8670573165"/>
    <n v="10.484999999999999"/>
    <n v="50"/>
    <x v="1"/>
    <m/>
    <s v="2026-03-08"/>
    <s v="939071"/>
    <s v="M/S ANNAPURNA KRISHI BHANDAR"/>
    <s v="9749004017"/>
  </r>
  <r>
    <s v="RCF Trombay"/>
    <s v="N.C.Urea(45kg)"/>
    <s v="WB"/>
    <x v="11"/>
    <s v="Jalpaiguri"/>
    <s v="User Not Mapped"/>
    <s v="User Not Mapped"/>
    <s v="User Not Mapped"/>
    <n v="796924"/>
    <s v="M/S JOY DURGA KRISHI BHANDAR"/>
    <s v="Private Retailer"/>
    <s v="9733482955"/>
    <n v="0.99"/>
    <n v="1459"/>
    <x v="7"/>
    <m/>
    <s v="2022-04-29"/>
    <s v="1153940"/>
    <s v="JALPAIGURI CHEMICALS"/>
    <s v="9434412443"/>
  </r>
  <r>
    <s v="RCF Trombay"/>
    <s v="N.C.Urea(45kg)"/>
    <s v="WB"/>
    <x v="11"/>
    <s v="Jalpaiguri"/>
    <s v="User Not Mapped"/>
    <s v="User Not Mapped"/>
    <s v="User Not Mapped"/>
    <n v="851475"/>
    <s v="SARKAR FERTILIZER"/>
    <s v="Private Retailer"/>
    <s v="6295529606"/>
    <n v="4.4999999999999998E-2"/>
    <n v="1560"/>
    <x v="7"/>
    <m/>
    <s v="2022-01-18"/>
    <s v="1019557"/>
    <s v="M/S NEW DEEP KRISHI BHANDAR"/>
    <s v="9434257790"/>
  </r>
  <r>
    <s v="RCF Thal"/>
    <s v="N.C.Urea(45kg)"/>
    <s v="WB"/>
    <x v="11"/>
    <s v="Jalpaiguri"/>
    <s v="User Not Mapped"/>
    <s v="User Not Mapped"/>
    <s v="User Not Mapped"/>
    <n v="851475"/>
    <s v="SARKAR FERTILIZER"/>
    <s v="Private Retailer"/>
    <s v="6295529606"/>
    <n v="0.18"/>
    <n v="1222"/>
    <x v="7"/>
    <m/>
    <s v="2022-12-22"/>
    <s v="1019557"/>
    <s v="M/S NEW DEEP KRISHI BHANDAR"/>
    <s v="9434257790"/>
  </r>
  <r>
    <s v="RCF Thal"/>
    <s v="N.C.Urea(45kg)"/>
    <s v="WB"/>
    <x v="11"/>
    <s v="Jalpaiguri"/>
    <s v="User Not Mapped"/>
    <s v="User Not Mapped"/>
    <s v="User Not Mapped"/>
    <n v="851477"/>
    <s v="BARMAN FERTLIZER"/>
    <s v="Private Retailer"/>
    <s v="9932010722"/>
    <n v="7.1999999999999995E-2"/>
    <n v="2090"/>
    <x v="7"/>
    <m/>
    <s v="2020-08-06"/>
    <s v="268535"/>
    <s v="M/S Arup Sarkar"/>
    <s v="9932209752"/>
  </r>
  <r>
    <s v="RCF Trombay"/>
    <s v="N.C.Urea(45kg)"/>
    <s v="WB"/>
    <x v="11"/>
    <s v="Jalpaiguri"/>
    <s v="User Not Mapped"/>
    <s v="User Not Mapped"/>
    <s v="User Not Mapped"/>
    <n v="851496"/>
    <s v="DAS FERTILIZER"/>
    <s v="Private Retailer"/>
    <s v="8509883078"/>
    <n v="1.08"/>
    <n v="52"/>
    <x v="1"/>
    <m/>
    <s v="2026-03-06"/>
    <s v="663873"/>
    <s v="B.G.FERTILIZER"/>
    <s v="9832049926"/>
  </r>
  <r>
    <s v="RCF Thal"/>
    <s v="N.C.Urea(45kg)"/>
    <s v="WB"/>
    <x v="11"/>
    <s v="Jalpaiguri"/>
    <s v="User Not Mapped"/>
    <s v="User Not Mapped"/>
    <s v="User Not Mapped"/>
    <n v="852494"/>
    <s v="SUKHARANJAN SARKAR"/>
    <s v="Private Retailer"/>
    <s v="9734924582"/>
    <n v="0.03"/>
    <n v="1188"/>
    <x v="7"/>
    <m/>
    <s v="2023-01-25"/>
    <s v="222656"/>
    <s v="Kallol Fertilisers"/>
    <s v="7384223335"/>
  </r>
  <r>
    <s v="RCF Thal"/>
    <s v="N.C.Urea(45kg)"/>
    <s v="WB"/>
    <x v="11"/>
    <s v="Jalpaiguri"/>
    <s v="User Not Mapped"/>
    <s v="User Not Mapped"/>
    <s v="User Not Mapped"/>
    <n v="909056"/>
    <s v="RAHAMAN KRISHI BHANDAR"/>
    <s v="Private Retailer"/>
    <s v="9933547787"/>
    <n v="0.13500000000000001"/>
    <n v="1613"/>
    <x v="7"/>
    <m/>
    <s v="2021-11-26"/>
    <s v="222656"/>
    <s v="Kallol Fertilisers"/>
    <s v="7384223335"/>
  </r>
  <r>
    <s v="RCF Trombay"/>
    <s v="15-15-15"/>
    <s v="WB"/>
    <x v="11"/>
    <s v="Jalpaiguri"/>
    <s v="User Not Mapped"/>
    <s v="User Not Mapped"/>
    <s v="User Not Mapped"/>
    <n v="947592"/>
    <s v="BINNABARI AGRO FERTILIZER"/>
    <s v="Private Retailer"/>
    <s v="7908811292"/>
    <n v="0.15"/>
    <n v="81"/>
    <x v="2"/>
    <m/>
    <s v="2026-02-05"/>
    <s v="214204"/>
    <s v="Vikas Agrochemicals"/>
    <s v="9474382706"/>
  </r>
  <r>
    <s v="RCF Trombay"/>
    <s v="15-15-15"/>
    <s v="WB"/>
    <x v="11"/>
    <s v="Jalpaiguri"/>
    <s v="User Not Mapped"/>
    <s v="User Not Mapped"/>
    <s v="User Not Mapped"/>
    <n v="947592"/>
    <s v="BINNABARI AGRO FERTILIZER"/>
    <s v="Private Retailer"/>
    <s v="7908811292"/>
    <n v="1.5"/>
    <n v="21"/>
    <x v="4"/>
    <m/>
    <s v="2026-04-06"/>
    <s v="214204"/>
    <s v="Vikas Agrochemicals"/>
    <s v="9474382706"/>
  </r>
  <r>
    <s v="RCF Trombay"/>
    <s v="N.C.Urea(45kg)"/>
    <s v="WB"/>
    <x v="11"/>
    <s v="Jalpaiguri"/>
    <s v="User Not Mapped"/>
    <s v="User Not Mapped"/>
    <s v="User Not Mapped"/>
    <n v="966186"/>
    <s v="ARUP SARKAR"/>
    <s v="Private Retailer"/>
    <s v="9932209752"/>
    <n v="0.125"/>
    <n v="1154"/>
    <x v="7"/>
    <m/>
    <s v="2023-02-28"/>
    <s v="268535"/>
    <s v="M/S Arup Sarkar"/>
    <s v="9932209752"/>
  </r>
  <r>
    <s v="RCF Trombay"/>
    <s v="15-15-15"/>
    <s v="WB"/>
    <x v="11"/>
    <s v="Jalpaiguri"/>
    <s v="User Not Mapped"/>
    <s v="User Not Mapped"/>
    <s v="User Not Mapped"/>
    <n v="983140"/>
    <s v="KRISHI BHANDAR"/>
    <s v="Private Retailer"/>
    <s v="9002412360"/>
    <n v="7"/>
    <n v="74"/>
    <x v="2"/>
    <m/>
    <s v="2026-02-12"/>
    <s v="214211"/>
    <s v="Sri Balaji Krishi Bhandar"/>
    <s v="9933393621"/>
  </r>
  <r>
    <s v="RCF Trombay"/>
    <s v="N.C.Urea(45kg)"/>
    <s v="WB"/>
    <x v="11"/>
    <s v="Jalpaiguri"/>
    <s v="User Not Mapped"/>
    <s v="User Not Mapped"/>
    <s v="User Not Mapped"/>
    <n v="1000489"/>
    <s v="The New Krishi Bhandar"/>
    <s v="Private Retailer"/>
    <s v="6294005750"/>
    <n v="8.3249999999999993"/>
    <n v="80"/>
    <x v="2"/>
    <m/>
    <s v="2026-02-06"/>
    <s v="222671"/>
    <s v="Adarsha Krishi Bhandar"/>
    <s v="7872827880"/>
  </r>
  <r>
    <s v="RCF Trombay"/>
    <s v="15-15-15"/>
    <s v="WB"/>
    <x v="11"/>
    <s v="Jalpaiguri"/>
    <s v="User Not Mapped"/>
    <s v="User Not Mapped"/>
    <s v="User Not Mapped"/>
    <n v="1002891"/>
    <s v="MUN MUN FERTILIZER"/>
    <s v="Private Retailer"/>
    <s v="9775914501"/>
    <n v="2.1999999999999999E-2"/>
    <n v="296"/>
    <x v="3"/>
    <m/>
    <s v="2025-07-05"/>
    <s v="214204"/>
    <s v="Vikas Agrochemicals"/>
    <s v="9474382706"/>
  </r>
  <r>
    <s v="RCF Trombay"/>
    <s v="15-15-15"/>
    <s v="WB"/>
    <x v="11"/>
    <s v="Jalpaiguri"/>
    <s v="User Not Mapped"/>
    <s v="User Not Mapped"/>
    <s v="User Not Mapped"/>
    <n v="1012512"/>
    <s v="RABINDRA SARKAR"/>
    <s v="Private Retailer"/>
    <s v="9800626375"/>
    <n v="4.4999999999999998E-2"/>
    <n v="1579"/>
    <x v="7"/>
    <m/>
    <s v="2021-12-30"/>
    <s v="1019557"/>
    <s v="M/S NEW DEEP KRISHI BHANDAR"/>
    <s v="9434257790"/>
  </r>
  <r>
    <s v="RCF Trombay"/>
    <s v="N.C.Urea(45kg)"/>
    <s v="WB"/>
    <x v="11"/>
    <s v="Jalpaiguri"/>
    <s v="User Not Mapped"/>
    <s v="User Not Mapped"/>
    <s v="User Not Mapped"/>
    <n v="1012516"/>
    <s v="MAA DURGA KRISHI BHANDAR"/>
    <s v="Private Retailer"/>
    <s v="9933672161"/>
    <n v="0.13"/>
    <n v="466"/>
    <x v="6"/>
    <m/>
    <s v="2025-01-16"/>
    <s v="222659"/>
    <s v="G.C. Enterprise"/>
    <s v="9749271176"/>
  </r>
  <r>
    <s v="RCF Thal"/>
    <s v="N.C.Urea(45kg)"/>
    <s v="WB"/>
    <x v="11"/>
    <s v="Jalpaiguri"/>
    <s v="User Not Mapped"/>
    <s v="User Not Mapped"/>
    <s v="User Not Mapped"/>
    <n v="1035475"/>
    <s v="RUPALI FERTILISER"/>
    <s v="Private Retailer"/>
    <s v="7076454373"/>
    <n v="0.13500000000000001"/>
    <n v="2323"/>
    <x v="7"/>
    <m/>
    <s v="2019-12-17"/>
    <s v="1144668"/>
    <s v="NEW AMIYA STORE"/>
    <s v="8250897703"/>
  </r>
  <r>
    <s v="RCF Thal"/>
    <s v="N.C.Urea(45kg)"/>
    <s v="WB"/>
    <x v="11"/>
    <s v="Jalpaiguri"/>
    <s v="User Not Mapped"/>
    <s v="User Not Mapped"/>
    <s v="User Not Mapped"/>
    <n v="1064168"/>
    <s v="MITRA FERTILIZER"/>
    <s v="Private Retailer"/>
    <s v="9851192553"/>
    <n v="0.27"/>
    <n v="139"/>
    <x v="0"/>
    <m/>
    <s v="2025-12-09"/>
    <s v="214204"/>
    <s v="Vikas Agrochemicals"/>
    <s v="9474382706"/>
  </r>
  <r>
    <s v="RCF Trombay"/>
    <s v="N.C.Urea(45kg)"/>
    <s v="WB"/>
    <x v="11"/>
    <s v="Jalpaiguri"/>
    <s v="User Not Mapped"/>
    <s v="User Not Mapped"/>
    <s v="User Not Mapped"/>
    <n v="1064168"/>
    <s v="MITRA FERTILIZER"/>
    <s v="Private Retailer"/>
    <s v="9851192553"/>
    <n v="0.40500000000000003"/>
    <n v="75"/>
    <x v="2"/>
    <m/>
    <s v="2026-02-11"/>
    <s v="214204"/>
    <s v="Vikas Agrochemicals"/>
    <s v="9474382706"/>
  </r>
  <r>
    <s v="RCF Trombay"/>
    <s v="N.C.Urea(45kg)"/>
    <s v="WB"/>
    <x v="11"/>
    <s v="Jalpaiguri"/>
    <s v="User Not Mapped"/>
    <s v="User Not Mapped"/>
    <s v="User Not Mapped"/>
    <n v="1064250"/>
    <s v="M/S SEN FERTILIZERS"/>
    <s v="Private Retailer"/>
    <s v="9064160863"/>
    <n v="0.54"/>
    <n v="339"/>
    <x v="3"/>
    <m/>
    <s v="2025-05-23"/>
    <s v="214204"/>
    <s v="Vikas Agrochemicals"/>
    <s v="9474382706"/>
  </r>
  <r>
    <s v="RCF Thal"/>
    <s v="N.C.Urea(45kg)"/>
    <s v="WB"/>
    <x v="11"/>
    <s v="Jalpaiguri"/>
    <s v="User Not Mapped"/>
    <s v="User Not Mapped"/>
    <s v="User Not Mapped"/>
    <n v="1083754"/>
    <s v="M/S PRIYA KRISHI BHANDAR"/>
    <s v="Private Retailer"/>
    <s v="8637334248"/>
    <n v="8.9999999999999993E-3"/>
    <n v="1321"/>
    <x v="7"/>
    <m/>
    <s v="2022-09-14"/>
    <s v="1097532"/>
    <s v="Puja Agro Chemicals"/>
    <s v="9734970530"/>
  </r>
  <r>
    <s v="RCF Trombay"/>
    <s v="15-15-15"/>
    <s v="WB"/>
    <x v="11"/>
    <s v="Jalpaiguri"/>
    <s v="User Not Mapped"/>
    <s v="User Not Mapped"/>
    <s v="User Not Mapped"/>
    <n v="1133856"/>
    <s v="MAGMOON KRISHI BEEJ BHANDAR"/>
    <s v="Private Retailer"/>
    <s v="7001316473"/>
    <n v="8.9499999999999993"/>
    <n v="82"/>
    <x v="2"/>
    <m/>
    <s v="2026-02-04"/>
    <s v="214210"/>
    <s v="Raja Fertilizer"/>
    <s v="8370801459"/>
  </r>
  <r>
    <s v="RCF Trombay"/>
    <s v="15-15-15"/>
    <s v="WB"/>
    <x v="11"/>
    <s v="Jalpaiguri"/>
    <s v="User Not Mapped"/>
    <s v="User Not Mapped"/>
    <s v="User Not Mapped"/>
    <n v="1146811"/>
    <s v="VIJAYA SHANKAR PRASAD"/>
    <s v="Private Retailer"/>
    <s v="9134140712"/>
    <n v="1.75"/>
    <n v="70"/>
    <x v="2"/>
    <m/>
    <s v="2026-02-16"/>
    <s v="663873"/>
    <s v="B.G.FERTILIZER"/>
    <s v="9832049926"/>
  </r>
  <r>
    <s v="RCF Thal"/>
    <s v="N.C.Urea(45kg)"/>
    <s v="WB"/>
    <x v="11"/>
    <s v="Jalpaiguri"/>
    <s v="User Not Mapped"/>
    <s v="User Not Mapped"/>
    <s v="User Not Mapped"/>
    <n v="1146821"/>
    <s v="GREEN LIFE FERTILIZER"/>
    <s v="Private Retailer"/>
    <s v="8900535919"/>
    <n v="0.495"/>
    <n v="24"/>
    <x v="4"/>
    <m/>
    <s v="2026-04-03"/>
    <s v="214210"/>
    <s v="Raja Fertilizer"/>
    <s v="8370801459"/>
  </r>
  <r>
    <s v="RCF Trombay"/>
    <s v="15-15-15"/>
    <s v="WB"/>
    <x v="11"/>
    <s v="Jalpaiguri"/>
    <s v="User Not Mapped"/>
    <s v="User Not Mapped"/>
    <s v="User Not Mapped"/>
    <n v="1146821"/>
    <s v="GREEN LIFE FERTILIZER"/>
    <s v="Private Retailer"/>
    <s v="8900535919"/>
    <n v="0.25"/>
    <n v="41"/>
    <x v="1"/>
    <m/>
    <s v="2026-03-17"/>
    <s v="214204"/>
    <s v="Vikas Agrochemicals"/>
    <s v="9474382706"/>
  </r>
  <r>
    <s v="RCF Trombay"/>
    <s v="N.C.Urea(45kg)"/>
    <s v="WB"/>
    <x v="11"/>
    <s v="Jalpaiguri"/>
    <s v="User Not Mapped"/>
    <s v="User Not Mapped"/>
    <s v="User Not Mapped"/>
    <n v="1146821"/>
    <s v="GREEN LIFE FERTILIZER"/>
    <s v="Private Retailer"/>
    <s v="8900535919"/>
    <n v="0.315"/>
    <n v="80"/>
    <x v="2"/>
    <m/>
    <s v="2026-02-06"/>
    <s v="214204"/>
    <s v="Vikas Agrochemicals"/>
    <s v="9474382706"/>
  </r>
  <r>
    <s v="RCF Import"/>
    <s v="MOP"/>
    <s v="WB"/>
    <x v="11"/>
    <s v="Jalpaiguri"/>
    <s v="User Not Mapped"/>
    <s v="User Not Mapped"/>
    <s v="User Not Mapped"/>
    <n v="1240550"/>
    <s v="SHAW FERTILIZERS"/>
    <s v="Private Retailer"/>
    <s v="9832581806"/>
    <n v="0.15"/>
    <n v="245"/>
    <x v="3"/>
    <m/>
    <s v="2025-08-25"/>
    <s v="222671"/>
    <s v="Adarsha Krishi Bhandar"/>
    <s v="7872827880"/>
  </r>
  <r>
    <s v="RCF Trombay"/>
    <s v="N.C.Urea(45kg)"/>
    <s v="WB"/>
    <x v="11"/>
    <s v="Jalpaiguri"/>
    <s v="User Not Mapped"/>
    <s v="User Not Mapped"/>
    <s v="User Not Mapped"/>
    <n v="1240550"/>
    <s v="SHAW FERTILIZERS"/>
    <s v="Private Retailer"/>
    <s v="9832581806"/>
    <n v="0.22500000000000001"/>
    <n v="279"/>
    <x v="3"/>
    <m/>
    <s v="2025-07-22"/>
    <s v="222671"/>
    <s v="Adarsha Krishi Bhandar"/>
    <s v="7872827880"/>
  </r>
  <r>
    <s v="RCF Import"/>
    <s v="MOP"/>
    <s v="WB"/>
    <x v="11"/>
    <s v="Jalpaiguri"/>
    <s v="User Not Mapped"/>
    <s v="User Not Mapped"/>
    <s v="User Not Mapped"/>
    <n v="1319931"/>
    <s v="MS Maa Tara Krishi Sandhan Ke"/>
    <s v="Private Retailer"/>
    <s v="7863945352"/>
    <n v="4.4999999999999998E-2"/>
    <n v="194"/>
    <x v="3"/>
    <m/>
    <s v="2025-10-15"/>
    <s v="222671"/>
    <s v="Adarsha Krishi Bhandar"/>
    <s v="7872827880"/>
  </r>
  <r>
    <s v="RCF Import"/>
    <s v="Imp 10-26-26"/>
    <s v="WB"/>
    <x v="11"/>
    <s v="Jalpaiguri"/>
    <s v="User Not Mapped"/>
    <s v="User Not Mapped"/>
    <s v="User Not Mapped"/>
    <n v="1415102"/>
    <s v="AVAYA AGRO"/>
    <s v="Private Retailer"/>
    <s v="6297361521"/>
    <n v="0.75"/>
    <n v="912"/>
    <x v="7"/>
    <m/>
    <s v="2023-10-28"/>
    <s v="280728"/>
    <s v="M/s. Sunil Kumar Kundu"/>
    <s v="9832028729"/>
  </r>
  <r>
    <s v="RCF Thal"/>
    <s v="N.C.Urea(45kg)"/>
    <s v="WB"/>
    <x v="11"/>
    <s v="Kharibari"/>
    <s v="User Not Mapped"/>
    <s v="User Not Mapped"/>
    <s v="User Not Mapped"/>
    <n v="328160"/>
    <s v="SARKAR KRISHI BHANDAR"/>
    <s v="Private Retailer"/>
    <s v="9002956571"/>
    <n v="0.67500000000000004"/>
    <n v="52"/>
    <x v="1"/>
    <m/>
    <s v="2026-03-06"/>
    <s v="214204"/>
    <s v="Vikas Agrochemicals"/>
    <s v="9474382706"/>
  </r>
  <r>
    <s v="RCF Thal"/>
    <s v="N.C.Urea(45kg)"/>
    <s v="WB"/>
    <x v="11"/>
    <s v="Kharibari"/>
    <s v="User Not Mapped"/>
    <s v="User Not Mapped"/>
    <s v="User Not Mapped"/>
    <n v="328161"/>
    <s v="SIKDAR KRISHI BHANDAR"/>
    <s v="Private Retailer"/>
    <s v="9002631010"/>
    <n v="0.315"/>
    <n v="53"/>
    <x v="1"/>
    <m/>
    <s v="2026-03-05"/>
    <s v="214204"/>
    <s v="Vikas Agrochemicals"/>
    <s v="9474382706"/>
  </r>
  <r>
    <s v="RCF Trombay"/>
    <s v="15-15-15"/>
    <s v="WB"/>
    <x v="11"/>
    <s v="Kharibari"/>
    <s v="User Not Mapped"/>
    <s v="User Not Mapped"/>
    <s v="User Not Mapped"/>
    <n v="328166"/>
    <s v="Teesta Fertilizer"/>
    <s v="Private Retailer"/>
    <s v="9800611191"/>
    <n v="10.5"/>
    <n v="80"/>
    <x v="2"/>
    <m/>
    <s v="2026-02-06"/>
    <s v="222671"/>
    <s v="Adarsha Krishi Bhandar"/>
    <s v="7872827880"/>
  </r>
  <r>
    <s v="RCF Trombay"/>
    <s v="15-15-15"/>
    <s v="WB"/>
    <x v="11"/>
    <s v="Kharibari"/>
    <s v="User Not Mapped"/>
    <s v="User Not Mapped"/>
    <s v="User Not Mapped"/>
    <n v="369937"/>
    <s v="New Baba Anandamurti Enterpris"/>
    <s v="Private Retailer"/>
    <s v="8016140658"/>
    <n v="2.5"/>
    <n v="74"/>
    <x v="2"/>
    <m/>
    <s v="2026-02-12"/>
    <s v="214211"/>
    <s v="Sri Balaji Krishi Bhandar"/>
    <s v="9933393621"/>
  </r>
  <r>
    <s v="RCF Trombay"/>
    <s v="15-15-15"/>
    <s v="WB"/>
    <x v="11"/>
    <s v="Kharibari"/>
    <s v="User Not Mapped"/>
    <s v="User Not Mapped"/>
    <s v="User Not Mapped"/>
    <n v="369937"/>
    <s v="New Baba Anandamurti Enterpris"/>
    <s v="Private Retailer"/>
    <s v="8016140658"/>
    <n v="11"/>
    <n v="82"/>
    <x v="2"/>
    <m/>
    <s v="2026-02-04"/>
    <s v="280728"/>
    <s v="M/s. Sunil Kumar Kundu"/>
    <s v="9832028729"/>
  </r>
  <r>
    <s v="RCF Thal"/>
    <s v="N.C.Urea(45kg)"/>
    <s v="WB"/>
    <x v="11"/>
    <s v="Kharibari"/>
    <s v="User Not Mapped"/>
    <s v="User Not Mapped"/>
    <s v="User Not Mapped"/>
    <n v="369941"/>
    <s v="Ganesh Krishi Bhandar"/>
    <s v="Private Retailer"/>
    <s v="9851548131"/>
    <n v="0.36"/>
    <n v="52"/>
    <x v="1"/>
    <m/>
    <s v="2026-03-06"/>
    <s v="214211"/>
    <s v="Sri Balaji Krishi Bhandar"/>
    <s v="9933393621"/>
  </r>
  <r>
    <s v="RCF Trombay"/>
    <s v="15-15-15"/>
    <s v="WB"/>
    <x v="11"/>
    <s v="Kharibari"/>
    <s v="User Not Mapped"/>
    <s v="User Not Mapped"/>
    <s v="User Not Mapped"/>
    <n v="385440"/>
    <s v="Dutta Krishi Udyog"/>
    <s v="Private Retailer"/>
    <s v="9733243170"/>
    <n v="1.9"/>
    <n v="81"/>
    <x v="2"/>
    <m/>
    <s v="2026-02-05"/>
    <s v="214204"/>
    <s v="Vikas Agrochemicals"/>
    <s v="9474382706"/>
  </r>
  <r>
    <s v="RCF Thal"/>
    <s v="N.C.Urea(45kg)"/>
    <s v="WB"/>
    <x v="11"/>
    <s v="Kharibari"/>
    <s v="User Not Mapped"/>
    <s v="User Not Mapped"/>
    <s v="User Not Mapped"/>
    <n v="854868"/>
    <s v="VIVEKANANDA  FERTILIZER"/>
    <s v="Private Retailer"/>
    <s v="8918898994"/>
    <n v="11.115"/>
    <n v="52"/>
    <x v="1"/>
    <m/>
    <s v="2026-03-06"/>
    <s v="214211"/>
    <s v="Sri Balaji Krishi Bhandar"/>
    <s v="9933393621"/>
  </r>
  <r>
    <s v="RCF Trombay"/>
    <s v="15-15-15"/>
    <s v="WB"/>
    <x v="11"/>
    <s v="Kharibari"/>
    <s v="User Not Mapped"/>
    <s v="User Not Mapped"/>
    <s v="User Not Mapped"/>
    <n v="1064248"/>
    <s v="ATUL FERTILIZER"/>
    <s v="Private Retailer"/>
    <s v="9800490901"/>
    <n v="31.25"/>
    <n v="63"/>
    <x v="2"/>
    <m/>
    <s v="2026-02-23"/>
    <s v="1116321"/>
    <s v="ATUL FERTILIZER"/>
    <s v="9800490901"/>
  </r>
  <r>
    <s v="RCF Trombay"/>
    <s v="N.C.Urea(45kg)"/>
    <s v="WB"/>
    <x v="11"/>
    <s v="Kharibari"/>
    <s v="User Not Mapped"/>
    <s v="User Not Mapped"/>
    <s v="User Not Mapped"/>
    <n v="1064248"/>
    <s v="ATUL FERTILIZER"/>
    <s v="Private Retailer"/>
    <s v="9800490901"/>
    <n v="19.98"/>
    <n v="63"/>
    <x v="2"/>
    <m/>
    <s v="2026-02-23"/>
    <s v="1116321"/>
    <s v="ATUL FERTILIZER"/>
    <s v="9800490901"/>
  </r>
  <r>
    <s v="RCF Import"/>
    <s v="Imp 10-26-26"/>
    <s v="WB"/>
    <x v="11"/>
    <s v="Kharibari"/>
    <s v="User Not Mapped"/>
    <s v="User Not Mapped"/>
    <s v="User Not Mapped"/>
    <n v="1073855"/>
    <s v="EVEREST FERTILIZER"/>
    <s v="Private Retailer"/>
    <s v="7076439145"/>
    <n v="0.5"/>
    <n v="870"/>
    <x v="7"/>
    <m/>
    <s v="2023-12-09"/>
    <s v="213285"/>
    <s v="M/S Prodip Kr Ghosh"/>
    <s v="9002771451"/>
  </r>
  <r>
    <s v="RCF Thal"/>
    <s v="N.C.Urea(45kg)"/>
    <s v="WB"/>
    <x v="11"/>
    <s v="Kharibari"/>
    <s v="User Not Mapped"/>
    <s v="User Not Mapped"/>
    <s v="User Not Mapped"/>
    <n v="1086887"/>
    <s v="DURGA FERTILIZER"/>
    <s v="Private Retailer"/>
    <s v="8637026575"/>
    <n v="0.67500000000000004"/>
    <n v="37"/>
    <x v="1"/>
    <m/>
    <s v="2026-03-21"/>
    <s v="1116321"/>
    <s v="ATUL FERTILIZER"/>
    <s v="9800490901"/>
  </r>
  <r>
    <s v="RCF Trombay"/>
    <s v="15-15-15"/>
    <s v="WB"/>
    <x v="11"/>
    <s v="Kharibari"/>
    <s v="User Not Mapped"/>
    <s v="User Not Mapped"/>
    <s v="User Not Mapped"/>
    <n v="1086893"/>
    <s v="PRASAD AGRO CHEMICALS"/>
    <s v="Private Retailer"/>
    <s v="8327432648"/>
    <n v="11"/>
    <n v="80"/>
    <x v="2"/>
    <m/>
    <s v="2026-02-06"/>
    <s v="222671"/>
    <s v="Adarsha Krishi Bhandar"/>
    <s v="7872827880"/>
  </r>
  <r>
    <s v="RCF Thal"/>
    <s v="N.C.Urea(45kg)"/>
    <s v="WB"/>
    <x v="11"/>
    <s v="Kharibari"/>
    <s v="User Not Mapped"/>
    <s v="User Not Mapped"/>
    <s v="User Not Mapped"/>
    <n v="1146823"/>
    <s v="BARMAN FERTILIZER"/>
    <s v="Private Retailer"/>
    <s v="9851296034"/>
    <n v="22.05"/>
    <n v="53"/>
    <x v="1"/>
    <m/>
    <s v="2026-03-05"/>
    <s v="214204"/>
    <s v="Vikas Agrochemicals"/>
    <s v="9474382706"/>
  </r>
  <r>
    <s v="RCF Thal"/>
    <s v="N.C.Urea(45kg)"/>
    <s v="WB"/>
    <x v="11"/>
    <s v="Kharibari"/>
    <s v="User Not Mapped"/>
    <s v="User Not Mapped"/>
    <s v="User Not Mapped"/>
    <n v="1146823"/>
    <s v="BARMAN FERTILIZER"/>
    <s v="Private Retailer"/>
    <s v="9851296034"/>
    <n v="1.53"/>
    <n v="95"/>
    <x v="5"/>
    <m/>
    <s v="2026-01-22"/>
    <s v="214204"/>
    <s v="Vikas Agrochemicals"/>
    <s v="9474382706"/>
  </r>
  <r>
    <s v="RCF Thal"/>
    <s v="N.C.Urea(45kg)"/>
    <s v="WB"/>
    <x v="11"/>
    <s v="Kharibari"/>
    <s v="User Not Mapped"/>
    <s v="User Not Mapped"/>
    <s v="User Not Mapped"/>
    <n v="1316868"/>
    <s v="QUADRI FERTILIZER"/>
    <s v="PACS"/>
    <s v="7585084467"/>
    <n v="3.15"/>
    <n v="31"/>
    <x v="1"/>
    <m/>
    <s v="2026-03-27"/>
    <s v="214210"/>
    <s v="Raja Fertilizer"/>
    <s v="8370801459"/>
  </r>
  <r>
    <s v="RCF Thal"/>
    <s v="N.C.Urea(45kg)"/>
    <s v="WB"/>
    <x v="11"/>
    <s v="Kharibari"/>
    <s v="User Not Mapped"/>
    <s v="User Not Mapped"/>
    <s v="User Not Mapped"/>
    <n v="1610176"/>
    <s v="JAYANTI FERTILIZER"/>
    <s v="Private Retailer"/>
    <s v="7047305375"/>
    <n v="3.375"/>
    <n v="33"/>
    <x v="1"/>
    <m/>
    <s v="2026-03-25"/>
    <s v="214210"/>
    <s v="Raja Fertilizer"/>
    <s v="8370801459"/>
  </r>
  <r>
    <s v="RCF Trombay"/>
    <s v="15-15-15"/>
    <s v="WB"/>
    <x v="11"/>
    <s v="Mal"/>
    <s v="User Not Mapped"/>
    <s v="User Not Mapped"/>
    <s v="User Not Mapped"/>
    <n v="245008"/>
    <s v="Dharmendra Singh"/>
    <s v="Private Retailer"/>
    <s v="7407107743"/>
    <n v="11"/>
    <n v="82"/>
    <x v="2"/>
    <m/>
    <s v="2026-02-04"/>
    <s v="214210"/>
    <s v="Raja Fertilizer"/>
    <s v="8370801459"/>
  </r>
  <r>
    <s v="RCF Thal"/>
    <s v="N.C.Urea(45kg)"/>
    <s v="WB"/>
    <x v="11"/>
    <s v="Mal"/>
    <s v="User Not Mapped"/>
    <s v="User Not Mapped"/>
    <s v="User Not Mapped"/>
    <n v="245045"/>
    <s v="M/S BISWAS BEEJ BHANDAR"/>
    <s v="Private Retailer"/>
    <s v="9733283902"/>
    <n v="3.4649999999999999"/>
    <n v="53"/>
    <x v="1"/>
    <m/>
    <s v="2026-03-05"/>
    <s v="214204"/>
    <s v="Vikas Agrochemicals"/>
    <s v="9474382706"/>
  </r>
  <r>
    <s v="RCF Thal"/>
    <s v="N.C.Urea(45kg)"/>
    <s v="WB"/>
    <x v="11"/>
    <s v="Mal"/>
    <s v="User Not Mapped"/>
    <s v="User Not Mapped"/>
    <s v="User Not Mapped"/>
    <n v="245111"/>
    <s v="Tapas Das"/>
    <s v="Private Retailer"/>
    <s v="9475906825"/>
    <n v="1.4999999999999999E-2"/>
    <n v="1672"/>
    <x v="7"/>
    <m/>
    <s v="2021-09-28"/>
    <s v="222671"/>
    <s v="Adarsha Krishi Bhandar"/>
    <s v="7872827880"/>
  </r>
  <r>
    <s v="RCF Trombay"/>
    <s v="15-15-15"/>
    <s v="WB"/>
    <x v="11"/>
    <s v="Mal"/>
    <s v="User Not Mapped"/>
    <s v="User Not Mapped"/>
    <s v="User Not Mapped"/>
    <n v="245111"/>
    <s v="Tapas Das"/>
    <s v="Private Retailer"/>
    <s v="9475906825"/>
    <n v="0.5"/>
    <n v="122"/>
    <x v="0"/>
    <m/>
    <s v="2025-12-26"/>
    <s v="222671"/>
    <s v="Adarsha Krishi Bhandar"/>
    <s v="7872827880"/>
  </r>
  <r>
    <s v="RCF Trombay"/>
    <s v="15-15-15"/>
    <s v="WB"/>
    <x v="11"/>
    <s v="Mal"/>
    <s v="User Not Mapped"/>
    <s v="User Not Mapped"/>
    <s v="User Not Mapped"/>
    <n v="634623"/>
    <s v="Krishi Kalyan"/>
    <s v="Private Retailer"/>
    <s v="7908807557"/>
    <n v="0.25"/>
    <n v="250"/>
    <x v="3"/>
    <m/>
    <s v="2025-08-20"/>
    <s v="222671"/>
    <s v="Adarsha Krishi Bhandar"/>
    <s v="7872827880"/>
  </r>
  <r>
    <s v="RCF Thal"/>
    <s v="N.C.Urea(45kg)"/>
    <s v="WB"/>
    <x v="11"/>
    <s v="Mal"/>
    <s v="User Not Mapped"/>
    <s v="User Not Mapped"/>
    <s v="User Not Mapped"/>
    <n v="1002883"/>
    <s v="KUMUD ROY"/>
    <s v="Private Retailer"/>
    <s v="8515009449"/>
    <n v="1.35"/>
    <n v="44"/>
    <x v="1"/>
    <m/>
    <s v="2026-03-14"/>
    <s v="663873"/>
    <s v="B.G.FERTILIZER"/>
    <s v="9832049926"/>
  </r>
  <r>
    <s v="RCF Thal"/>
    <s v="N.C.Urea(45kg)"/>
    <s v="WB"/>
    <x v="11"/>
    <s v="Mal"/>
    <s v="User Not Mapped"/>
    <s v="User Not Mapped"/>
    <s v="User Not Mapped"/>
    <n v="1002883"/>
    <s v="KUMUD ROY"/>
    <s v="Private Retailer"/>
    <s v="8515009449"/>
    <n v="10.26"/>
    <n v="49"/>
    <x v="1"/>
    <m/>
    <s v="2026-03-09"/>
    <s v="663873"/>
    <s v="B.G.FERTILIZER"/>
    <s v="9832049926"/>
  </r>
  <r>
    <s v="RCF Thal"/>
    <s v="N.C.Urea(45kg)"/>
    <s v="WB"/>
    <x v="11"/>
    <s v="Matigara"/>
    <s v="User Not Mapped"/>
    <s v="User Not Mapped"/>
    <s v="User Not Mapped"/>
    <n v="1375387"/>
    <s v="MANGALA SUPPLY  AGENCIES PVT."/>
    <s v="Private Retailer"/>
    <s v="9830049314"/>
    <n v="5.1749999999999998"/>
    <n v="13"/>
    <x v="4"/>
    <m/>
    <s v="2026-04-14"/>
    <s v="385729"/>
    <s v="Debashis Kundu"/>
    <s v="9641428689"/>
  </r>
  <r>
    <s v="RCF Trombay"/>
    <s v="15-15-15"/>
    <s v="WB"/>
    <x v="11"/>
    <s v="Maynaguri"/>
    <s v="User Not Mapped"/>
    <s v="User Not Mapped"/>
    <s v="User Not Mapped"/>
    <n v="185115"/>
    <s v="Basak Krishi Ghar"/>
    <s v="Private Retailer"/>
    <s v="9475195601"/>
    <n v="0.3"/>
    <n v="139"/>
    <x v="0"/>
    <m/>
    <s v="2025-12-09"/>
    <s v="222671"/>
    <s v="Adarsha Krishi Bhandar"/>
    <s v="7872827880"/>
  </r>
  <r>
    <s v="RCF Import"/>
    <s v="MOP"/>
    <s v="WB"/>
    <x v="11"/>
    <s v="Maynaguri"/>
    <s v="User Not Mapped"/>
    <s v="User Not Mapped"/>
    <s v="User Not Mapped"/>
    <n v="185141"/>
    <s v="Dilip Mandal"/>
    <s v="Private Retailer"/>
    <s v="9476277843"/>
    <n v="0.15"/>
    <n v="219"/>
    <x v="3"/>
    <m/>
    <s v="2025-09-20"/>
    <s v="222671"/>
    <s v="Adarsha Krishi Bhandar"/>
    <s v="7872827880"/>
  </r>
  <r>
    <s v="RCF Trombay"/>
    <s v="15-15-15"/>
    <s v="WB"/>
    <x v="11"/>
    <s v="Maynaguri"/>
    <s v="User Not Mapped"/>
    <s v="User Not Mapped"/>
    <s v="User Not Mapped"/>
    <n v="185149"/>
    <s v="Gobinda Sarkar"/>
    <s v="Private Retailer"/>
    <s v="9800262651"/>
    <n v="0.5"/>
    <n v="70"/>
    <x v="2"/>
    <m/>
    <s v="2026-02-16"/>
    <s v="222671"/>
    <s v="Adarsha Krishi Bhandar"/>
    <s v="7872827880"/>
  </r>
  <r>
    <s v="RCF Trombay"/>
    <s v="N.C.Urea(45kg)"/>
    <s v="WB"/>
    <x v="11"/>
    <s v="Maynaguri"/>
    <s v="User Not Mapped"/>
    <s v="User Not Mapped"/>
    <s v="User Not Mapped"/>
    <n v="185229"/>
    <s v=" M/S NIDHIR MANDAL"/>
    <s v="Private Retailer"/>
    <s v="9641251837"/>
    <n v="0.47499999999999998"/>
    <n v="68"/>
    <x v="2"/>
    <m/>
    <s v="2026-02-18"/>
    <s v="222661"/>
    <s v="M/s. Dutta Krishi Bhandar"/>
    <s v="8617691998"/>
  </r>
  <r>
    <s v="RCF Trombay"/>
    <s v="15-15-15"/>
    <s v="WB"/>
    <x v="11"/>
    <s v="Maynaguri"/>
    <s v="User Not Mapped"/>
    <s v="User Not Mapped"/>
    <s v="User Not Mapped"/>
    <n v="185255"/>
    <s v="Safiul Hakim"/>
    <s v="Private Retailer"/>
    <s v="9382273404"/>
    <n v="0.25"/>
    <n v="35"/>
    <x v="1"/>
    <m/>
    <s v="2026-03-23"/>
    <s v="222661"/>
    <s v="M/s. Dutta Krishi Bhandar"/>
    <s v="8617691998"/>
  </r>
  <r>
    <s v="RCF Thal"/>
    <s v="N.C.Urea(45kg)"/>
    <s v="WB"/>
    <x v="11"/>
    <s v="Maynaguri"/>
    <s v="User Not Mapped"/>
    <s v="User Not Mapped"/>
    <s v="User Not Mapped"/>
    <n v="185255"/>
    <s v="Safiul Hakim"/>
    <s v="Private Retailer"/>
    <s v="9382273404"/>
    <n v="1.8"/>
    <n v="35"/>
    <x v="1"/>
    <m/>
    <s v="2026-03-23"/>
    <s v="222661"/>
    <s v="M/s. Dutta Krishi Bhandar"/>
    <s v="8617691998"/>
  </r>
  <r>
    <s v="RCF Trombay"/>
    <s v="15-15-15"/>
    <s v="WB"/>
    <x v="11"/>
    <s v="Maynaguri"/>
    <s v="User Not Mapped"/>
    <s v="User Not Mapped"/>
    <s v="User Not Mapped"/>
    <n v="287599"/>
    <s v="M/S CHAKI KRISHI BHANDAR"/>
    <s v="Private Retailer"/>
    <s v="9733246002"/>
    <n v="0.75"/>
    <n v="63"/>
    <x v="2"/>
    <m/>
    <s v="2026-02-23"/>
    <s v="222661"/>
    <s v="M/s. Dutta Krishi Bhandar"/>
    <s v="8617691998"/>
  </r>
  <r>
    <s v="RCF Thal"/>
    <s v="N.C.Urea(45kg)"/>
    <s v="WB"/>
    <x v="11"/>
    <s v="Maynaguri"/>
    <s v="User Not Mapped"/>
    <s v="User Not Mapped"/>
    <s v="User Not Mapped"/>
    <n v="287599"/>
    <s v="M/S CHAKI KRISHI BHANDAR"/>
    <s v="Private Retailer"/>
    <s v="9733246002"/>
    <n v="0.09"/>
    <n v="40"/>
    <x v="1"/>
    <m/>
    <s v="2026-03-18"/>
    <s v="222661"/>
    <s v="M/s. Dutta Krishi Bhandar"/>
    <s v="8617691998"/>
  </r>
  <r>
    <s v="RCF Trombay"/>
    <s v="15-15-15"/>
    <s v="WB"/>
    <x v="11"/>
    <s v="Maynaguri"/>
    <s v="User Not Mapped"/>
    <s v="User Not Mapped"/>
    <s v="User Not Mapped"/>
    <n v="287599"/>
    <s v="M/S CHAKI KRISHI BHANDAR"/>
    <s v="Private Retailer"/>
    <s v="9733246002"/>
    <n v="1"/>
    <n v="21"/>
    <x v="4"/>
    <m/>
    <s v="2026-04-06"/>
    <s v="222661"/>
    <s v="M/s. Dutta Krishi Bhandar"/>
    <s v="8617691998"/>
  </r>
  <r>
    <s v="RCF Trombay"/>
    <s v="N.C.Urea(45kg)"/>
    <s v="WB"/>
    <x v="11"/>
    <s v="Maynaguri"/>
    <s v="User Not Mapped"/>
    <s v="User Not Mapped"/>
    <s v="User Not Mapped"/>
    <n v="287620"/>
    <s v="Dipendra Nath Roy"/>
    <s v="Private Retailer"/>
    <s v="9932674154"/>
    <n v="1.845"/>
    <n v="70"/>
    <x v="2"/>
    <m/>
    <s v="2026-02-16"/>
    <s v="222661"/>
    <s v="M/s. Dutta Krishi Bhandar"/>
    <s v="8617691998"/>
  </r>
  <r>
    <s v="RCF Thal"/>
    <s v="N.C.Urea(45kg)"/>
    <s v="WB"/>
    <x v="11"/>
    <s v="Maynaguri"/>
    <s v="User Not Mapped"/>
    <s v="User Not Mapped"/>
    <s v="User Not Mapped"/>
    <n v="287620"/>
    <s v="Dipendra Nath Roy"/>
    <s v="Private Retailer"/>
    <s v="9932674154"/>
    <n v="1.575"/>
    <n v="40"/>
    <x v="1"/>
    <m/>
    <s v="2026-03-18"/>
    <s v="222661"/>
    <s v="M/s. Dutta Krishi Bhandar"/>
    <s v="8617691998"/>
  </r>
  <r>
    <s v="RCF Trombay"/>
    <s v="N.C.Urea(45kg)"/>
    <s v="WB"/>
    <x v="11"/>
    <s v="Maynaguri"/>
    <s v="User Not Mapped"/>
    <s v="User Not Mapped"/>
    <s v="User Not Mapped"/>
    <n v="287620"/>
    <s v="Dipendra Nath Roy"/>
    <s v="Private Retailer"/>
    <s v="9932674154"/>
    <n v="2.25"/>
    <n v="66"/>
    <x v="2"/>
    <m/>
    <s v="2026-02-20"/>
    <s v="222661"/>
    <s v="M/s. Dutta Krishi Bhandar"/>
    <s v="8617691998"/>
  </r>
  <r>
    <s v="RCF Trombay"/>
    <s v="15-15-15"/>
    <s v="WB"/>
    <x v="11"/>
    <s v="Maynaguri"/>
    <s v="User Not Mapped"/>
    <s v="User Not Mapped"/>
    <s v="User Not Mapped"/>
    <n v="287620"/>
    <s v="Dipendra Nath Roy"/>
    <s v="Private Retailer"/>
    <s v="9932674154"/>
    <n v="0.5"/>
    <n v="118"/>
    <x v="5"/>
    <m/>
    <s v="2025-12-30"/>
    <s v="268761"/>
    <s v="Chaki Enterprise"/>
    <s v="8348285333"/>
  </r>
  <r>
    <s v="RCF Thal"/>
    <s v="N.C.Urea(45kg)"/>
    <s v="WB"/>
    <x v="11"/>
    <s v="Maynaguri"/>
    <s v="User Not Mapped"/>
    <s v="User Not Mapped"/>
    <s v="User Not Mapped"/>
    <n v="287620"/>
    <s v="Dipendra Nath Roy"/>
    <s v="Private Retailer"/>
    <s v="9932674154"/>
    <n v="0.45"/>
    <n v="51"/>
    <x v="1"/>
    <m/>
    <s v="2026-03-07"/>
    <s v="222661"/>
    <s v="M/s. Dutta Krishi Bhandar"/>
    <s v="8617691998"/>
  </r>
  <r>
    <s v="RCF Trombay"/>
    <s v="15-15-15"/>
    <s v="WB"/>
    <x v="11"/>
    <s v="Maynaguri"/>
    <s v="User Not Mapped"/>
    <s v="User Not Mapped"/>
    <s v="User Not Mapped"/>
    <n v="316112"/>
    <s v="M/S BANAMALI FERTILIZER"/>
    <s v="Private Retailer"/>
    <s v="9635718572"/>
    <n v="1.7"/>
    <n v="56"/>
    <x v="1"/>
    <m/>
    <s v="2026-03-02"/>
    <s v="268761"/>
    <s v="Chaki Enterprise"/>
    <s v="8348285333"/>
  </r>
  <r>
    <s v="RCF Trombay"/>
    <s v="15-15-15"/>
    <s v="WB"/>
    <x v="11"/>
    <s v="Maynaguri"/>
    <s v="User Not Mapped"/>
    <s v="User Not Mapped"/>
    <s v="User Not Mapped"/>
    <n v="316112"/>
    <s v="M/S BANAMALI FERTILIZER"/>
    <s v="Private Retailer"/>
    <s v="9635718572"/>
    <n v="1.5"/>
    <n v="9"/>
    <x v="4"/>
    <m/>
    <s v="2026-04-18"/>
    <s v="268761"/>
    <s v="Chaki Enterprise"/>
    <s v="8348285333"/>
  </r>
  <r>
    <s v="RCF Trombay"/>
    <s v="15-15-15"/>
    <s v="WB"/>
    <x v="11"/>
    <s v="Maynaguri"/>
    <s v="User Not Mapped"/>
    <s v="User Not Mapped"/>
    <s v="User Not Mapped"/>
    <n v="316112"/>
    <s v="M/S BANAMALI FERTILIZER"/>
    <s v="Private Retailer"/>
    <s v="9635718572"/>
    <n v="0.25"/>
    <n v="100"/>
    <x v="5"/>
    <m/>
    <s v="2026-01-17"/>
    <s v="222671"/>
    <s v="Adarsha Krishi Bhandar"/>
    <s v="7872827880"/>
  </r>
  <r>
    <s v="RCF Thal"/>
    <s v="N.C.Urea(45kg)"/>
    <s v="WB"/>
    <x v="11"/>
    <s v="Maynaguri"/>
    <s v="User Not Mapped"/>
    <s v="User Not Mapped"/>
    <s v="User Not Mapped"/>
    <n v="421204"/>
    <s v="Gitanjali Fertilizer"/>
    <s v="Private Retailer"/>
    <s v="9932223455"/>
    <n v="1E-3"/>
    <n v="1221"/>
    <x v="7"/>
    <m/>
    <s v="2022-12-23"/>
    <s v="222656"/>
    <s v="Kallol Fertilisers"/>
    <s v="7384223335"/>
  </r>
  <r>
    <s v="RCF Thal"/>
    <s v="N.C.Urea(45kg)"/>
    <s v="WB"/>
    <x v="11"/>
    <s v="Maynaguri"/>
    <s v="User Not Mapped"/>
    <s v="User Not Mapped"/>
    <s v="User Not Mapped"/>
    <n v="514793"/>
    <s v="Adarsha Beej Bhandar"/>
    <s v="Private Retailer"/>
    <s v="9093900163"/>
    <n v="4.0949999999999998"/>
    <n v="56"/>
    <x v="1"/>
    <m/>
    <s v="2026-03-02"/>
    <s v="222671"/>
    <s v="Adarsha Krishi Bhandar"/>
    <s v="7872827880"/>
  </r>
  <r>
    <s v="RCF Import"/>
    <s v="MOP"/>
    <s v="WB"/>
    <x v="11"/>
    <s v="Maynaguri"/>
    <s v="User Not Mapped"/>
    <s v="User Not Mapped"/>
    <s v="User Not Mapped"/>
    <n v="514797"/>
    <s v="Upananda Roy"/>
    <s v="Private Retailer"/>
    <s v="9679900409"/>
    <n v="0.1"/>
    <n v="553"/>
    <x v="7"/>
    <m/>
    <s v="2024-10-21"/>
    <s v="222671"/>
    <s v="Adarsha Krishi Bhandar"/>
    <s v="7872827880"/>
  </r>
  <r>
    <s v="RCF Import"/>
    <s v="MOP"/>
    <s v="WB"/>
    <x v="11"/>
    <s v="Maynaguri"/>
    <s v="User Not Mapped"/>
    <s v="User Not Mapped"/>
    <s v="User Not Mapped"/>
    <n v="514797"/>
    <s v="Upananda Roy"/>
    <s v="Private Retailer"/>
    <s v="9679900409"/>
    <n v="0.25"/>
    <n v="550"/>
    <x v="7"/>
    <m/>
    <s v="2024-10-24"/>
    <s v="222671"/>
    <s v="Adarsha Krishi Bhandar"/>
    <s v="7872827880"/>
  </r>
  <r>
    <s v="RCF Trombay"/>
    <s v="15-15-15"/>
    <s v="WB"/>
    <x v="11"/>
    <s v="Maynaguri"/>
    <s v="User Not Mapped"/>
    <s v="User Not Mapped"/>
    <s v="User Not Mapped"/>
    <n v="742552"/>
    <s v="KRISHI MAHAL"/>
    <s v="Private Retailer"/>
    <s v="6296752101"/>
    <n v="2.9"/>
    <n v="11"/>
    <x v="4"/>
    <m/>
    <s v="2026-04-16"/>
    <s v="268761"/>
    <s v="Chaki Enterprise"/>
    <s v="8348285333"/>
  </r>
  <r>
    <s v="RCF Trombay"/>
    <s v="15-15-15"/>
    <s v="WB"/>
    <x v="11"/>
    <s v="Maynaguri"/>
    <s v="User Not Mapped"/>
    <s v="User Not Mapped"/>
    <s v="User Not Mapped"/>
    <n v="845359"/>
    <s v="KRISHI UDYAG"/>
    <s v="Private Retailer"/>
    <s v="6297506125"/>
    <n v="0.15"/>
    <n v="9"/>
    <x v="4"/>
    <m/>
    <s v="2026-04-18"/>
    <s v="268761"/>
    <s v="Chaki Enterprise"/>
    <s v="8348285333"/>
  </r>
  <r>
    <s v="RCF Trombay"/>
    <s v="15-15-15"/>
    <s v="WB"/>
    <x v="11"/>
    <s v="Maynaguri"/>
    <s v="User Not Mapped"/>
    <s v="User Not Mapped"/>
    <s v="User Not Mapped"/>
    <n v="867788"/>
    <s v="SHYAM KRISHI BHANDAR"/>
    <s v="Private Retailer"/>
    <s v="9832046455"/>
    <n v="1.05"/>
    <n v="114"/>
    <x v="5"/>
    <m/>
    <s v="2026-01-03"/>
    <s v="222671"/>
    <s v="Adarsha Krishi Bhandar"/>
    <s v="7872827880"/>
  </r>
  <r>
    <s v="RCF Thal"/>
    <s v="N.C.Urea(45kg)"/>
    <s v="WB"/>
    <x v="11"/>
    <s v="Maynaguri"/>
    <s v="User Not Mapped"/>
    <s v="User Not Mapped"/>
    <s v="User Not Mapped"/>
    <n v="867788"/>
    <s v="SHYAM KRISHI BHANDAR"/>
    <s v="Private Retailer"/>
    <s v="9832046455"/>
    <n v="11.025"/>
    <n v="51"/>
    <x v="1"/>
    <m/>
    <s v="2026-03-07"/>
    <s v="268704"/>
    <s v="Bijay Agarwala"/>
    <s v="9932936450"/>
  </r>
  <r>
    <s v="RCF Trombay"/>
    <s v="15-15-15"/>
    <s v="WB"/>
    <x v="11"/>
    <s v="Maynaguri"/>
    <s v="User Not Mapped"/>
    <s v="User Not Mapped"/>
    <s v="User Not Mapped"/>
    <n v="867994"/>
    <s v="CHARU KRISHI BHANDAR"/>
    <s v="Private Retailer"/>
    <s v="6294579066"/>
    <n v="0.25"/>
    <n v="58"/>
    <x v="1"/>
    <m/>
    <s v="2026-02-28"/>
    <s v="222661"/>
    <s v="M/s. Dutta Krishi Bhandar"/>
    <s v="8617691998"/>
  </r>
  <r>
    <s v="RCF Trombay"/>
    <s v="N.C.Urea(45kg)"/>
    <s v="WB"/>
    <x v="11"/>
    <s v="Maynaguri"/>
    <s v="User Not Mapped"/>
    <s v="User Not Mapped"/>
    <s v="User Not Mapped"/>
    <n v="867994"/>
    <s v="CHARU KRISHI BHANDAR"/>
    <s v="Private Retailer"/>
    <s v="6294579066"/>
    <n v="0.58499999999999996"/>
    <n v="66"/>
    <x v="2"/>
    <m/>
    <s v="2026-02-20"/>
    <s v="222661"/>
    <s v="M/s. Dutta Krishi Bhandar"/>
    <s v="8617691998"/>
  </r>
  <r>
    <s v="RCF Thal"/>
    <s v="N.C.Urea(45kg)"/>
    <s v="WB"/>
    <x v="11"/>
    <s v="Maynaguri"/>
    <s v="User Not Mapped"/>
    <s v="User Not Mapped"/>
    <s v="User Not Mapped"/>
    <n v="868006"/>
    <s v="KALU BABA KRISHI MAHAL"/>
    <s v="Private Retailer"/>
    <s v="7872005496"/>
    <n v="5.0000000000000001E-3"/>
    <n v="1224"/>
    <x v="7"/>
    <m/>
    <s v="2022-12-20"/>
    <s v="222661"/>
    <s v="M/s. Dutta Krishi Bhandar"/>
    <s v="8617691998"/>
  </r>
  <r>
    <s v="RCF Trombay"/>
    <s v="N.C.Urea(45kg)"/>
    <s v="WB"/>
    <x v="11"/>
    <s v="Maynaguri"/>
    <s v="User Not Mapped"/>
    <s v="User Not Mapped"/>
    <s v="User Not Mapped"/>
    <n v="868006"/>
    <s v="KALU BABA KRISHI MAHAL"/>
    <s v="Private Retailer"/>
    <s v="7872005496"/>
    <n v="5.0000000000000001E-3"/>
    <n v="878"/>
    <x v="7"/>
    <m/>
    <s v="2023-12-01"/>
    <s v="222661"/>
    <s v="M/s. Dutta Krishi Bhandar"/>
    <s v="8617691998"/>
  </r>
  <r>
    <s v="RCF Trombay"/>
    <s v="N.C.Urea(45kg)"/>
    <s v="WB"/>
    <x v="11"/>
    <s v="Maynaguri"/>
    <s v="User Not Mapped"/>
    <s v="User Not Mapped"/>
    <s v="User Not Mapped"/>
    <n v="868010"/>
    <s v="JANUDDIN FERTILIZER"/>
    <s v="Private Retailer"/>
    <s v="7602864439"/>
    <n v="0.9"/>
    <n v="68"/>
    <x v="2"/>
    <m/>
    <s v="2026-02-18"/>
    <s v="222661"/>
    <s v="M/s. Dutta Krishi Bhandar"/>
    <s v="8617691998"/>
  </r>
  <r>
    <s v="RCF Trombay"/>
    <s v="N.C.Urea(45kg)"/>
    <s v="WB"/>
    <x v="11"/>
    <s v="Maynaguri"/>
    <s v="User Not Mapped"/>
    <s v="User Not Mapped"/>
    <s v="User Not Mapped"/>
    <n v="868030"/>
    <s v="SEN KRISHI BHANDAR"/>
    <s v="Private Retailer"/>
    <s v="8906162569"/>
    <n v="0.45"/>
    <n v="68"/>
    <x v="2"/>
    <m/>
    <s v="2026-02-18"/>
    <s v="222661"/>
    <s v="M/s. Dutta Krishi Bhandar"/>
    <s v="8617691998"/>
  </r>
  <r>
    <s v="RCF Thal"/>
    <s v="N.C.Urea(45kg)"/>
    <s v="WB"/>
    <x v="11"/>
    <s v="Maynaguri"/>
    <s v="User Not Mapped"/>
    <s v="User Not Mapped"/>
    <s v="User Not Mapped"/>
    <n v="868032"/>
    <s v="M/S SABITRI KRISHI BHANDAR"/>
    <s v="Private Retailer"/>
    <s v="7602342276"/>
    <n v="0.67500000000000004"/>
    <n v="34"/>
    <x v="1"/>
    <m/>
    <s v="2026-03-24"/>
    <s v="222661"/>
    <s v="M/s. Dutta Krishi Bhandar"/>
    <s v="8617691998"/>
  </r>
  <r>
    <s v="RCF Trombay"/>
    <s v="N.C.Urea(45kg)"/>
    <s v="WB"/>
    <x v="11"/>
    <s v="Maynaguri"/>
    <s v="User Not Mapped"/>
    <s v="User Not Mapped"/>
    <s v="User Not Mapped"/>
    <n v="868032"/>
    <s v="M/S SABITRI KRISHI BHANDAR"/>
    <s v="Private Retailer"/>
    <s v="7602342276"/>
    <n v="0.54"/>
    <n v="72"/>
    <x v="2"/>
    <m/>
    <s v="2026-02-14"/>
    <s v="222661"/>
    <s v="M/s. Dutta Krishi Bhandar"/>
    <s v="8617691998"/>
  </r>
  <r>
    <s v="RCF Trombay"/>
    <s v="15-15-15"/>
    <s v="WB"/>
    <x v="11"/>
    <s v="Maynaguri"/>
    <s v="User Not Mapped"/>
    <s v="User Not Mapped"/>
    <s v="User Not Mapped"/>
    <n v="868034"/>
    <s v="BAKUL MANDAL"/>
    <s v="Private Retailer"/>
    <s v="9002307838"/>
    <n v="0.1"/>
    <n v="18"/>
    <x v="4"/>
    <m/>
    <s v="2026-04-09"/>
    <s v="222661"/>
    <s v="M/s. Dutta Krishi Bhandar"/>
    <s v="8617691998"/>
  </r>
  <r>
    <s v="RCF Thal"/>
    <s v="N.C.Urea(45kg)"/>
    <s v="WB"/>
    <x v="11"/>
    <s v="Maynaguri"/>
    <s v="User Not Mapped"/>
    <s v="User Not Mapped"/>
    <s v="User Not Mapped"/>
    <n v="868034"/>
    <s v="BAKUL MANDAL"/>
    <s v="Private Retailer"/>
    <s v="9002307838"/>
    <n v="0.67500000000000004"/>
    <n v="48"/>
    <x v="1"/>
    <m/>
    <s v="2026-03-10"/>
    <s v="222661"/>
    <s v="M/s. Dutta Krishi Bhandar"/>
    <s v="8617691998"/>
  </r>
  <r>
    <s v="RCF Thal"/>
    <s v="N.C.Urea(45kg)"/>
    <s v="WB"/>
    <x v="11"/>
    <s v="Maynaguri"/>
    <s v="User Not Mapped"/>
    <s v="User Not Mapped"/>
    <s v="User Not Mapped"/>
    <n v="868034"/>
    <s v="BAKUL MANDAL"/>
    <s v="Private Retailer"/>
    <s v="9002307838"/>
    <n v="0.45"/>
    <n v="18"/>
    <x v="4"/>
    <m/>
    <s v="2026-04-09"/>
    <s v="222661"/>
    <s v="M/s. Dutta Krishi Bhandar"/>
    <s v="8617691998"/>
  </r>
  <r>
    <s v="RCF Trombay"/>
    <s v="N.C.Urea(45kg)"/>
    <s v="WB"/>
    <x v="11"/>
    <s v="Maynaguri"/>
    <s v="User Not Mapped"/>
    <s v="User Not Mapped"/>
    <s v="User Not Mapped"/>
    <n v="868038"/>
    <s v="M/S DAS BEEJ BHANDAR"/>
    <s v="Private Retailer"/>
    <s v="6294567331"/>
    <n v="0.45"/>
    <n v="18"/>
    <x v="4"/>
    <m/>
    <s v="2026-04-09"/>
    <s v="222661"/>
    <s v="M/s. Dutta Krishi Bhandar"/>
    <s v="8617691998"/>
  </r>
  <r>
    <s v="RCF Trombay"/>
    <s v="15-15-15"/>
    <s v="WB"/>
    <x v="11"/>
    <s v="Maynaguri"/>
    <s v="User Not Mapped"/>
    <s v="User Not Mapped"/>
    <s v="User Not Mapped"/>
    <n v="968160"/>
    <s v="M/S KAMAL ROY"/>
    <s v="Private Retailer"/>
    <s v="8345028558"/>
    <n v="0.1"/>
    <n v="72"/>
    <x v="2"/>
    <m/>
    <s v="2026-02-14"/>
    <s v="214213"/>
    <s v="National Industries"/>
    <s v="9641330052"/>
  </r>
  <r>
    <s v="RCF Trombay"/>
    <s v="N.C.Urea(45kg)"/>
    <s v="WB"/>
    <x v="11"/>
    <s v="Maynaguri"/>
    <s v="User Not Mapped"/>
    <s v="User Not Mapped"/>
    <s v="User Not Mapped"/>
    <n v="1064256"/>
    <s v="BARMAN KRISHI BHANDER"/>
    <s v="Private Retailer"/>
    <s v="9593313158"/>
    <n v="0.67500000000000004"/>
    <n v="68"/>
    <x v="2"/>
    <m/>
    <s v="2026-02-18"/>
    <s v="222661"/>
    <s v="M/s. Dutta Krishi Bhandar"/>
    <s v="8617691998"/>
  </r>
  <r>
    <s v="RCF Thal"/>
    <s v="N.C.Urea(45kg)"/>
    <s v="WB"/>
    <x v="11"/>
    <s v="Maynaguri"/>
    <s v="User Not Mapped"/>
    <s v="User Not Mapped"/>
    <s v="User Not Mapped"/>
    <n v="1064268"/>
    <s v="BIJOY KUMAR ROY"/>
    <s v="Private Retailer"/>
    <s v="8617539921"/>
    <n v="1.125"/>
    <n v="34"/>
    <x v="1"/>
    <m/>
    <s v="2026-03-24"/>
    <s v="222661"/>
    <s v="M/s. Dutta Krishi Bhandar"/>
    <s v="8617691998"/>
  </r>
  <r>
    <s v="RCF Trombay"/>
    <s v="15-15-15"/>
    <s v="WB"/>
    <x v="11"/>
    <s v="Maynaguri"/>
    <s v="User Not Mapped"/>
    <s v="User Not Mapped"/>
    <s v="User Not Mapped"/>
    <n v="1064268"/>
    <s v="BIJOY KUMAR ROY"/>
    <s v="Private Retailer"/>
    <s v="8617539921"/>
    <n v="0.5"/>
    <n v="48"/>
    <x v="1"/>
    <m/>
    <s v="2026-03-10"/>
    <s v="222661"/>
    <s v="M/s. Dutta Krishi Bhandar"/>
    <s v="8617691998"/>
  </r>
  <r>
    <s v="RCF Thal"/>
    <s v="N.C.Urea(45kg)"/>
    <s v="WB"/>
    <x v="11"/>
    <s v="Maynaguri"/>
    <s v="User Not Mapped"/>
    <s v="User Not Mapped"/>
    <s v="User Not Mapped"/>
    <n v="1084012"/>
    <s v="SAMBHU KRISHI BEEJ BHANDAR"/>
    <s v="Private Retailer"/>
    <s v="8637819535"/>
    <n v="0.04"/>
    <n v="1315"/>
    <x v="7"/>
    <m/>
    <s v="2022-09-20"/>
    <s v="222661"/>
    <s v="M/s. Dutta Krishi Bhandar"/>
    <s v="8617691998"/>
  </r>
  <r>
    <s v="RCF Trombay"/>
    <s v="N.C.Urea(45kg)"/>
    <s v="WB"/>
    <x v="11"/>
    <s v="Maynaguri"/>
    <s v="User Not Mapped"/>
    <s v="User Not Mapped"/>
    <s v="User Not Mapped"/>
    <n v="1246189"/>
    <s v="M/S RAM KRISHNA FERTILIZER"/>
    <s v="Private Retailer"/>
    <s v="7811852311"/>
    <n v="0.85499999999999998"/>
    <n v="1222"/>
    <x v="7"/>
    <m/>
    <s v="2022-12-22"/>
    <s v="268761"/>
    <s v="Chaki Enterprise"/>
    <s v="8348285333"/>
  </r>
  <r>
    <s v="RCF Trombay"/>
    <s v="N.C.Urea(45kg)"/>
    <s v="WB"/>
    <x v="11"/>
    <s v="Maynaguri"/>
    <s v="User Not Mapped"/>
    <s v="User Not Mapped"/>
    <s v="User Not Mapped"/>
    <n v="1519444"/>
    <s v="M/S MAHALAXMI FERTILIZER"/>
    <s v="Private Retailer"/>
    <s v="9800060450"/>
    <n v="1.0349999999999999"/>
    <n v="72"/>
    <x v="2"/>
    <m/>
    <s v="2026-02-14"/>
    <s v="222661"/>
    <s v="M/s. Dutta Krishi Bhandar"/>
    <s v="8617691998"/>
  </r>
  <r>
    <s v="RCF Import"/>
    <s v="MOP"/>
    <s v="WB"/>
    <x v="11"/>
    <s v="Maynaguri"/>
    <s v="User Not Mapped"/>
    <s v="User Not Mapped"/>
    <s v="User Not Mapped"/>
    <n v="1519450"/>
    <s v="M/S SHARMA KRISHI BHANDER"/>
    <s v="Private Retailer"/>
    <s v="6294365695"/>
    <n v="0.1"/>
    <n v="576"/>
    <x v="7"/>
    <m/>
    <s v="2024-09-28"/>
    <s v="222661"/>
    <s v="M/s. Dutta Krishi Bhandar"/>
    <s v="8617691998"/>
  </r>
  <r>
    <s v="RCF Trombay"/>
    <s v="15-15-15"/>
    <s v="WB"/>
    <x v="11"/>
    <s v="Naxalbari"/>
    <s v="User Not Mapped"/>
    <s v="User Not Mapped"/>
    <s v="User Not Mapped"/>
    <n v="385430"/>
    <s v="Manajit Pal"/>
    <s v="Private Retailer"/>
    <s v="9851546867"/>
    <n v="0.25"/>
    <n v="1210"/>
    <x v="7"/>
    <m/>
    <s v="2023-01-03"/>
    <s v="280728"/>
    <s v="M/s. Sunil Kumar Kundu"/>
    <s v="9832028729"/>
  </r>
  <r>
    <s v="RCF Trombay"/>
    <s v="15-15-15"/>
    <s v="WB"/>
    <x v="11"/>
    <s v="Naxalbari"/>
    <s v="User Not Mapped"/>
    <s v="User Not Mapped"/>
    <s v="User Not Mapped"/>
    <n v="1073843"/>
    <s v="RATNA FERTILIZER"/>
    <s v="Private Retailer"/>
    <s v="9800234884"/>
    <n v="0.45"/>
    <n v="24"/>
    <x v="4"/>
    <m/>
    <s v="2026-04-03"/>
    <s v="214204"/>
    <s v="Vikas Agrochemicals"/>
    <s v="9474382706"/>
  </r>
  <r>
    <s v="RCF Thal"/>
    <s v="N.C.Urea(45kg)"/>
    <s v="WB"/>
    <x v="11"/>
    <s v="Naxalbari"/>
    <s v="User Not Mapped"/>
    <s v="User Not Mapped"/>
    <s v="User Not Mapped"/>
    <n v="1146803"/>
    <s v="PATHAK FERTILIZER"/>
    <s v="Private Retailer"/>
    <s v="9775113217"/>
    <n v="4.68"/>
    <n v="49"/>
    <x v="1"/>
    <m/>
    <s v="2026-03-09"/>
    <s v="663873"/>
    <s v="B.G.FERTILIZER"/>
    <s v="9832049926"/>
  </r>
  <r>
    <s v="RCF Thal"/>
    <s v="N.C.Urea(45kg)"/>
    <s v="WB"/>
    <x v="11"/>
    <s v="Naxalbari"/>
    <s v="User Not Mapped"/>
    <s v="User Not Mapped"/>
    <s v="User Not Mapped"/>
    <n v="1146803"/>
    <s v="PATHAK FERTILIZER"/>
    <s v="Private Retailer"/>
    <s v="9775113217"/>
    <n v="0.36"/>
    <n v="44"/>
    <x v="1"/>
    <m/>
    <s v="2026-03-14"/>
    <s v="663873"/>
    <s v="B.G.FERTILIZER"/>
    <s v="9832049926"/>
  </r>
  <r>
    <s v="RCF Trombay"/>
    <s v="15-15-15"/>
    <s v="WB"/>
    <x v="11"/>
    <s v="Naxalbari"/>
    <s v="User Not Mapped"/>
    <s v="User Not Mapped"/>
    <s v="User Not Mapped"/>
    <n v="1146803"/>
    <s v="PATHAK FERTILIZER"/>
    <s v="Private Retailer"/>
    <s v="9775113217"/>
    <n v="1"/>
    <n v="44"/>
    <x v="1"/>
    <m/>
    <s v="2026-03-14"/>
    <s v="663873"/>
    <s v="B.G.FERTILIZER"/>
    <s v="9832049926"/>
  </r>
  <r>
    <s v="RCF Thal"/>
    <s v="N.C.Urea(45kg)"/>
    <s v="WB"/>
    <x v="11"/>
    <s v="Phansidewa"/>
    <s v="User Not Mapped"/>
    <s v="User Not Mapped"/>
    <s v="User Not Mapped"/>
    <n v="287775"/>
    <s v="Vikas Agrochemicals"/>
    <s v="Private Retailer"/>
    <s v="9474382706"/>
    <n v="0.22500000000000001"/>
    <n v="27"/>
    <x v="4"/>
    <m/>
    <s v="2026-03-31"/>
    <s v="214204"/>
    <s v="Vikas Agrochemicals"/>
    <s v="9474382706"/>
  </r>
  <r>
    <s v="RCF Trombay"/>
    <s v="15-15-15"/>
    <s v="WB"/>
    <x v="11"/>
    <s v="Phansidewa"/>
    <s v="User Not Mapped"/>
    <s v="User Not Mapped"/>
    <s v="User Not Mapped"/>
    <n v="315288"/>
    <s v="BARAI FERTILIZER"/>
    <s v="Private Retailer"/>
    <s v="9832450151"/>
    <n v="10.050000000000001"/>
    <n v="82"/>
    <x v="2"/>
    <m/>
    <s v="2026-02-04"/>
    <s v="214210"/>
    <s v="Raja Fertilizer"/>
    <s v="8370801459"/>
  </r>
  <r>
    <s v="RCF Thal"/>
    <s v="N.C.Urea(45kg)"/>
    <s v="WB"/>
    <x v="11"/>
    <s v="Phansidewa"/>
    <s v="User Not Mapped"/>
    <s v="User Not Mapped"/>
    <s v="User Not Mapped"/>
    <n v="328119"/>
    <s v="CHOUDHURY AGRO"/>
    <s v="Private Retailer"/>
    <s v="9932389090"/>
    <n v="11.025"/>
    <n v="49"/>
    <x v="1"/>
    <m/>
    <s v="2026-03-09"/>
    <s v="663873"/>
    <s v="B.G.FERTILIZER"/>
    <s v="9832049926"/>
  </r>
  <r>
    <s v="RCF Trombay"/>
    <s v="15-15-15"/>
    <s v="WB"/>
    <x v="11"/>
    <s v="Phansidewa"/>
    <s v="User Not Mapped"/>
    <s v="User Not Mapped"/>
    <s v="User Not Mapped"/>
    <n v="328144"/>
    <s v="PAUL FERTILIZER"/>
    <s v="Private Retailer"/>
    <s v="9933066690"/>
    <n v="3.4"/>
    <n v="350"/>
    <x v="3"/>
    <m/>
    <s v="2025-05-12"/>
    <s v="280728"/>
    <s v="M/s. Sunil Kumar Kundu"/>
    <s v="9832028729"/>
  </r>
  <r>
    <s v="RCF Trombay"/>
    <s v="N.C.Urea(45kg)"/>
    <s v="WB"/>
    <x v="11"/>
    <s v="Phansidewa"/>
    <s v="User Not Mapped"/>
    <s v="User Not Mapped"/>
    <s v="User Not Mapped"/>
    <n v="328153"/>
    <s v="Roy Fertilizer"/>
    <s v="Private Retailer"/>
    <s v="9933051432"/>
    <n v="0.315"/>
    <n v="70"/>
    <x v="2"/>
    <m/>
    <s v="2026-02-16"/>
    <s v="214204"/>
    <s v="Vikas Agrochemicals"/>
    <s v="9474382706"/>
  </r>
  <r>
    <s v="RCF Trombay"/>
    <s v="N.C.Urea(45kg)"/>
    <s v="WB"/>
    <x v="11"/>
    <s v="Phansidewa"/>
    <s v="User Not Mapped"/>
    <s v="User Not Mapped"/>
    <s v="User Not Mapped"/>
    <n v="328153"/>
    <s v="Roy Fertilizer"/>
    <s v="Private Retailer"/>
    <s v="9933051432"/>
    <n v="0.495"/>
    <n v="75"/>
    <x v="2"/>
    <m/>
    <s v="2026-02-11"/>
    <s v="214204"/>
    <s v="Vikas Agrochemicals"/>
    <s v="9474382706"/>
  </r>
  <r>
    <s v="RCF Thal"/>
    <s v="N.C.Urea(45kg)"/>
    <s v="WB"/>
    <x v="11"/>
    <s v="Phansidewa"/>
    <s v="User Not Mapped"/>
    <s v="User Not Mapped"/>
    <s v="User Not Mapped"/>
    <n v="328153"/>
    <s v="Roy Fertilizer"/>
    <s v="Private Retailer"/>
    <s v="9933051432"/>
    <n v="0.67500000000000004"/>
    <n v="52"/>
    <x v="1"/>
    <m/>
    <s v="2026-03-06"/>
    <s v="214204"/>
    <s v="Vikas Agrochemicals"/>
    <s v="9474382706"/>
  </r>
  <r>
    <s v="RCF Thal"/>
    <s v="N.C.Urea(45kg)"/>
    <s v="WB"/>
    <x v="11"/>
    <s v="Phansidewa"/>
    <s v="User Not Mapped"/>
    <s v="User Not Mapped"/>
    <s v="User Not Mapped"/>
    <n v="328155"/>
    <s v="SABRI FERTILIZER"/>
    <s v="Private Retailer"/>
    <s v="9851910027"/>
    <n v="0.22500000000000001"/>
    <n v="53"/>
    <x v="1"/>
    <m/>
    <s v="2026-03-05"/>
    <s v="214204"/>
    <s v="Vikas Agrochemicals"/>
    <s v="9474382706"/>
  </r>
  <r>
    <s v="RCF Thal"/>
    <s v="N.C.Urea(45kg)"/>
    <s v="WB"/>
    <x v="11"/>
    <s v="Phansidewa"/>
    <s v="User Not Mapped"/>
    <s v="User Not Mapped"/>
    <s v="User Not Mapped"/>
    <n v="328157"/>
    <s v="Sabuj Krishi Bhandar"/>
    <s v="Private Retailer"/>
    <s v="9434142820"/>
    <n v="0.85499999999999998"/>
    <n v="46"/>
    <x v="1"/>
    <m/>
    <s v="2026-03-12"/>
    <s v="214204"/>
    <s v="Vikas Agrochemicals"/>
    <s v="9474382706"/>
  </r>
  <r>
    <s v="RCF Trombay"/>
    <s v="15-15-15"/>
    <s v="WB"/>
    <x v="11"/>
    <s v="Phansidewa"/>
    <s v="User Not Mapped"/>
    <s v="User Not Mapped"/>
    <s v="User Not Mapped"/>
    <n v="328157"/>
    <s v="Sabuj Krishi Bhandar"/>
    <s v="Private Retailer"/>
    <s v="9434142820"/>
    <n v="0.5"/>
    <n v="32"/>
    <x v="1"/>
    <m/>
    <s v="2026-03-26"/>
    <s v="214204"/>
    <s v="Vikas Agrochemicals"/>
    <s v="9474382706"/>
  </r>
  <r>
    <s v="RCF Thal"/>
    <s v="N.C.Urea(45kg)"/>
    <s v="WB"/>
    <x v="11"/>
    <s v="Phansidewa"/>
    <s v="User Not Mapped"/>
    <s v="User Not Mapped"/>
    <s v="User Not Mapped"/>
    <n v="341680"/>
    <s v="Krishi Bhandar"/>
    <s v="Private Retailer"/>
    <s v="9593692811"/>
    <n v="5.58"/>
    <n v="53"/>
    <x v="1"/>
    <m/>
    <s v="2026-03-05"/>
    <s v="280728"/>
    <s v="M/s. Sunil Kumar Kundu"/>
    <s v="9832028729"/>
  </r>
  <r>
    <s v="RCF Thal"/>
    <s v="N.C.Urea(45kg)"/>
    <s v="WB"/>
    <x v="11"/>
    <s v="Phansidewa"/>
    <s v="User Not Mapped"/>
    <s v="User Not Mapped"/>
    <s v="User Not Mapped"/>
    <n v="385422"/>
    <s v="Raj Samim Enterprise"/>
    <s v="Private Retailer"/>
    <s v="9679275040"/>
    <n v="5.85"/>
    <n v="53"/>
    <x v="1"/>
    <m/>
    <s v="2026-03-05"/>
    <s v="214204"/>
    <s v="Vikas Agrochemicals"/>
    <s v="9474382706"/>
  </r>
  <r>
    <s v="RCF Thal"/>
    <s v="N.C.Urea(45kg)"/>
    <s v="WB"/>
    <x v="11"/>
    <s v="Phansidewa"/>
    <s v="User Not Mapped"/>
    <s v="User Not Mapped"/>
    <s v="User Not Mapped"/>
    <n v="385687"/>
    <s v="SUSHIL KUMAR MONDAL"/>
    <s v="Private Retailer"/>
    <s v="9434462636"/>
    <n v="1.125"/>
    <n v="48"/>
    <x v="1"/>
    <m/>
    <s v="2026-03-10"/>
    <s v="214204"/>
    <s v="Vikas Agrochemicals"/>
    <s v="9474382706"/>
  </r>
  <r>
    <s v="RCF Trombay"/>
    <s v="15-15-15"/>
    <s v="WB"/>
    <x v="11"/>
    <s v="Phansidewa"/>
    <s v="User Not Mapped"/>
    <s v="User Not Mapped"/>
    <s v="User Not Mapped"/>
    <n v="851500"/>
    <s v="MD AFSAR ALI"/>
    <s v="Private Retailer"/>
    <s v="9800660939"/>
    <n v="3"/>
    <n v="13"/>
    <x v="4"/>
    <m/>
    <s v="2026-04-14"/>
    <s v="222671"/>
    <s v="Adarsha Krishi Bhandar"/>
    <s v="7872827880"/>
  </r>
  <r>
    <s v="RCF Trombay"/>
    <s v="15-15-15"/>
    <s v="WB"/>
    <x v="11"/>
    <s v="Phansidewa"/>
    <s v="User Not Mapped"/>
    <s v="User Not Mapped"/>
    <s v="User Not Mapped"/>
    <n v="851500"/>
    <s v="MD AFSAR ALI"/>
    <s v="Private Retailer"/>
    <s v="9800660939"/>
    <n v="6.5"/>
    <n v="80"/>
    <x v="2"/>
    <m/>
    <s v="2026-02-06"/>
    <s v="222671"/>
    <s v="Adarsha Krishi Bhandar"/>
    <s v="7872827880"/>
  </r>
  <r>
    <s v="RCF Thal"/>
    <s v="N.C.Urea(45kg)"/>
    <s v="WB"/>
    <x v="11"/>
    <s v="Phansidewa"/>
    <s v="User Not Mapped"/>
    <s v="User Not Mapped"/>
    <s v="User Not Mapped"/>
    <n v="1073865"/>
    <s v="TAMIM FERTILIZER"/>
    <s v="Private Retailer"/>
    <s v="8116507919"/>
    <n v="3.375"/>
    <n v="44"/>
    <x v="1"/>
    <m/>
    <s v="2026-03-14"/>
    <s v="214204"/>
    <s v="Vikas Agrochemicals"/>
    <s v="9474382706"/>
  </r>
  <r>
    <s v="RCF Trombay"/>
    <s v="15-15-15"/>
    <s v="WB"/>
    <x v="11"/>
    <s v="Phansidewa"/>
    <s v="User Not Mapped"/>
    <s v="User Not Mapped"/>
    <s v="User Not Mapped"/>
    <n v="1146813"/>
    <s v="PAUL FERTILIZER"/>
    <s v="Private Retailer"/>
    <s v="7001940446"/>
    <n v="3"/>
    <n v="9"/>
    <x v="4"/>
    <m/>
    <s v="2026-04-18"/>
    <s v="280728"/>
    <s v="M/s. Sunil Kumar Kundu"/>
    <s v="9832028729"/>
  </r>
  <r>
    <s v="RCF Thal"/>
    <s v="N.C.Urea(45kg)"/>
    <s v="WB"/>
    <x v="11"/>
    <s v="Phansidewa"/>
    <s v="User Not Mapped"/>
    <s v="User Not Mapped"/>
    <s v="User Not Mapped"/>
    <n v="1146815"/>
    <s v="ANJALI AGRO CHEMICALS"/>
    <s v="Private Retailer"/>
    <s v="9749079864"/>
    <n v="22.05"/>
    <n v="49"/>
    <x v="1"/>
    <m/>
    <s v="2026-03-09"/>
    <s v="663873"/>
    <s v="B.G.FERTILIZER"/>
    <s v="9832049926"/>
  </r>
  <r>
    <s v="RCF Thal"/>
    <s v="N.C.Urea(45kg)"/>
    <s v="WB"/>
    <x v="11"/>
    <s v="Phansidewa"/>
    <s v="User Not Mapped"/>
    <s v="User Not Mapped"/>
    <s v="User Not Mapped"/>
    <n v="1150368"/>
    <s v="ABDUL HAKIM FERTILIZER"/>
    <s v="Private Retailer"/>
    <s v="7478191829"/>
    <n v="5.625"/>
    <n v="53"/>
    <x v="1"/>
    <m/>
    <s v="2026-03-05"/>
    <s v="214204"/>
    <s v="Vikas Agrochemicals"/>
    <s v="9474382706"/>
  </r>
  <r>
    <s v="RCF Thal"/>
    <s v="N.C.Urea(45kg)"/>
    <s v="WB"/>
    <x v="11"/>
    <s v="Phansidewa"/>
    <s v="User Not Mapped"/>
    <s v="User Not Mapped"/>
    <s v="User Not Mapped"/>
    <n v="1292823"/>
    <s v="ASHARAFI FERTILIZER "/>
    <s v="Private Retailer"/>
    <s v="6295356054"/>
    <n v="1.125"/>
    <n v="49"/>
    <x v="1"/>
    <m/>
    <s v="2026-03-09"/>
    <s v="214210"/>
    <s v="Raja Fertilizer"/>
    <s v="8370801459"/>
  </r>
  <r>
    <s v="RCF Trombay"/>
    <s v="15-15-15"/>
    <s v="WB"/>
    <x v="11"/>
    <s v="Phansidewa"/>
    <s v="User Not Mapped"/>
    <s v="User Not Mapped"/>
    <s v="User Not Mapped"/>
    <n v="1445529"/>
    <s v="SANJU AGRO ENTERPRISE"/>
    <s v="Private Retailer"/>
    <s v="8927614242"/>
    <n v="0.75"/>
    <n v="212"/>
    <x v="3"/>
    <m/>
    <s v="2025-09-27"/>
    <s v="222671"/>
    <s v="Adarsha Krishi Bhandar"/>
    <s v="7872827880"/>
  </r>
  <r>
    <s v="RCF Thal"/>
    <s v="N.C.Urea(45kg)"/>
    <s v="WB"/>
    <x v="11"/>
    <s v="Phansidewa"/>
    <s v="User Not Mapped"/>
    <s v="User Not Mapped"/>
    <s v="User Not Mapped"/>
    <n v="1445529"/>
    <s v="SANJU AGRO ENTERPRISE"/>
    <s v="Private Retailer"/>
    <s v="8927614242"/>
    <n v="5.085"/>
    <n v="175"/>
    <x v="0"/>
    <m/>
    <s v="2025-11-03"/>
    <s v="222671"/>
    <s v="Adarsha Krishi Bhandar"/>
    <s v="7872827880"/>
  </r>
  <r>
    <s v="RCF Trombay"/>
    <s v="15-15-15"/>
    <s v="WB"/>
    <x v="11"/>
    <s v="Phansidewa"/>
    <s v="User Not Mapped"/>
    <s v="User Not Mapped"/>
    <s v="User Not Mapped"/>
    <n v="1519464"/>
    <s v="M/S VERMIGRI"/>
    <s v="Private Retailer"/>
    <s v="8900326031"/>
    <n v="0.75"/>
    <n v="44"/>
    <x v="1"/>
    <m/>
    <s v="2026-03-14"/>
    <s v="663873"/>
    <s v="B.G.FERTILIZER"/>
    <s v="9832049926"/>
  </r>
  <r>
    <s v="RCF Thal"/>
    <s v="N.C.Urea(45kg)"/>
    <s v="WB"/>
    <x v="11"/>
    <s v="Phansidewa"/>
    <s v="User Not Mapped"/>
    <s v="User Not Mapped"/>
    <s v="User Not Mapped"/>
    <n v="1519464"/>
    <s v="M/S VERMIGRI"/>
    <s v="Private Retailer"/>
    <s v="8900326031"/>
    <n v="3.6"/>
    <n v="32"/>
    <x v="1"/>
    <m/>
    <s v="2026-03-26"/>
    <s v="663873"/>
    <s v="B.G.FERTILIZER"/>
    <s v="9832049926"/>
  </r>
  <r>
    <s v="RCF Thal"/>
    <s v="N.C.Urea(45kg)"/>
    <s v="WB"/>
    <x v="11"/>
    <s v="Phansidewa"/>
    <s v="User Not Mapped"/>
    <s v="User Not Mapped"/>
    <s v="User Not Mapped"/>
    <n v="1544189"/>
    <s v="AADYA SHAKTI ENTERPRISE"/>
    <s v="Private Retailer"/>
    <s v="9614556826"/>
    <n v="0.45"/>
    <n v="124"/>
    <x v="0"/>
    <m/>
    <s v="2025-12-24"/>
    <s v="214204"/>
    <s v="Vikas Agrochemicals"/>
    <s v="9474382706"/>
  </r>
  <r>
    <s v="RCF Trombay"/>
    <s v="15-15-15"/>
    <s v="WB"/>
    <x v="11"/>
    <s v="Rajganj"/>
    <s v="User Not Mapped"/>
    <s v="User Not Mapped"/>
    <s v="User Not Mapped"/>
    <n v="752959"/>
    <s v="DAS FERTILIZER"/>
    <s v="Private Retailer"/>
    <s v="9641529942"/>
    <n v="0.05"/>
    <n v="349"/>
    <x v="3"/>
    <m/>
    <s v="2025-05-13"/>
    <s v="222671"/>
    <s v="Adarsha Krishi Bhandar"/>
    <s v="7872827880"/>
  </r>
  <r>
    <s v="RCF Thal"/>
    <s v="N.C.Urea(45kg)"/>
    <s v="WB"/>
    <x v="11"/>
    <s v="Rajganj"/>
    <s v="User Not Mapped"/>
    <s v="User Not Mapped"/>
    <s v="User Not Mapped"/>
    <n v="839390"/>
    <s v="Sarkar Agrochem and fertilizer"/>
    <s v="Private Retailer"/>
    <s v="8670525655"/>
    <n v="4.4999999999999998E-2"/>
    <n v="174"/>
    <x v="0"/>
    <m/>
    <s v="2025-11-04"/>
    <s v="214204"/>
    <s v="Vikas Agrochemicals"/>
    <s v="9474382706"/>
  </r>
  <r>
    <s v="RCF Trombay"/>
    <s v="15-15-15"/>
    <s v="WB"/>
    <x v="11"/>
    <s v="Rajganj"/>
    <s v="User Not Mapped"/>
    <s v="User Not Mapped"/>
    <s v="User Not Mapped"/>
    <n v="871071"/>
    <s v="NEW SARKAR KRISHI BHANDAR"/>
    <s v="Private Retailer"/>
    <s v="9679663370"/>
    <n v="0.1"/>
    <n v="167"/>
    <x v="0"/>
    <m/>
    <s v="2025-11-11"/>
    <s v="222671"/>
    <s v="Adarsha Krishi Bhandar"/>
    <s v="7872827880"/>
  </r>
  <r>
    <s v="RCF Thal"/>
    <s v="N.C.Urea(45kg)"/>
    <s v="WB"/>
    <x v="11"/>
    <s v="Rajganj"/>
    <s v="User Not Mapped"/>
    <s v="User Not Mapped"/>
    <s v="User Not Mapped"/>
    <n v="888249"/>
    <s v="Manjina Khatun"/>
    <s v="Private Retailer"/>
    <s v="9593341461"/>
    <n v="4.1849999999999996"/>
    <n v="50"/>
    <x v="1"/>
    <m/>
    <s v="2026-03-08"/>
    <s v="939071"/>
    <s v="M/S ANNAPURNA KRISHI BHANDAR"/>
    <s v="9749004017"/>
  </r>
  <r>
    <s v="RCF Trombay"/>
    <s v="N.C.Urea(45kg)"/>
    <s v="WB"/>
    <x v="11"/>
    <s v="Rajganj"/>
    <s v="User Not Mapped"/>
    <s v="User Not Mapped"/>
    <s v="User Not Mapped"/>
    <n v="1064162"/>
    <s v="SONO FERTILIZER"/>
    <s v="Private Retailer"/>
    <s v="8972473835"/>
    <n v="2.3849999999999998"/>
    <n v="75"/>
    <x v="2"/>
    <m/>
    <s v="2026-02-11"/>
    <s v="214204"/>
    <s v="Vikas Agrochemicals"/>
    <s v="9474382706"/>
  </r>
  <r>
    <s v="RCF Trombay"/>
    <s v="15-15-15"/>
    <s v="WB"/>
    <x v="11"/>
    <s v="Rajganj"/>
    <s v="User Not Mapped"/>
    <s v="User Not Mapped"/>
    <s v="User Not Mapped"/>
    <n v="1073847"/>
    <s v="GOLAKNATH KRISHI BHANDAR"/>
    <s v="Private Retailer"/>
    <s v="9563619604"/>
    <n v="5.0000000000000001E-3"/>
    <n v="2453"/>
    <x v="7"/>
    <m/>
    <s v="2019-08-09"/>
    <s v="213285"/>
    <s v="M/S Prodip Kr Ghosh"/>
    <s v="9002771451"/>
  </r>
  <r>
    <s v="RCF Thal"/>
    <s v="N.C.Urea(45kg)"/>
    <s v="WB"/>
    <x v="11"/>
    <s v="Rajganj"/>
    <s v="User Not Mapped"/>
    <s v="User Not Mapped"/>
    <s v="User Not Mapped"/>
    <n v="1088061"/>
    <s v="MAHABOO FERTILIZER"/>
    <s v="Private Retailer"/>
    <s v="9679892989"/>
    <n v="1.125"/>
    <n v="41"/>
    <x v="1"/>
    <m/>
    <s v="2026-03-17"/>
    <s v="214204"/>
    <s v="Vikas Agrochemicals"/>
    <s v="9474382706"/>
  </r>
  <r>
    <s v="RCF Thal"/>
    <s v="N.C.Urea(45kg)"/>
    <s v="WB"/>
    <x v="11"/>
    <s v="Rajganj"/>
    <s v="User Not Mapped"/>
    <s v="User Not Mapped"/>
    <s v="User Not Mapped"/>
    <n v="1088061"/>
    <s v="MAHABOO FERTILIZER"/>
    <s v="Private Retailer"/>
    <s v="9679892989"/>
    <n v="2.4750000000000001"/>
    <n v="49"/>
    <x v="1"/>
    <m/>
    <s v="2026-03-09"/>
    <s v="663873"/>
    <s v="B.G.FERTILIZER"/>
    <s v="9832049926"/>
  </r>
  <r>
    <s v="RCF Thal"/>
    <s v="N.C.Urea(45kg)"/>
    <s v="WB"/>
    <x v="11"/>
    <m/>
    <s v="User Not Mapped"/>
    <s v="User Not Mapped"/>
    <s v="User Not Mapped"/>
    <n v="185163"/>
    <s v="Jhumki Bhowmik"/>
    <s v="Private Retailer"/>
    <s v="9932209174"/>
    <n v="2.0249999999999999"/>
    <n v="35"/>
    <x v="1"/>
    <m/>
    <s v="2026-03-23"/>
    <s v="222661"/>
    <s v="M/s. Dutta Krishi Bhandar"/>
    <s v="8617691998"/>
  </r>
  <r>
    <s v="RCF Thal"/>
    <s v="N.C.Urea(45kg)"/>
    <s v="WB"/>
    <x v="11"/>
    <m/>
    <s v="User Not Mapped"/>
    <s v="User Not Mapped"/>
    <s v="User Not Mapped"/>
    <n v="185175"/>
    <s v="Krishi Bhandar"/>
    <s v="Private Retailer"/>
    <s v="8927062138"/>
    <n v="0.22500000000000001"/>
    <n v="2673"/>
    <x v="7"/>
    <m/>
    <s v="2019-01-01"/>
    <s v="11"/>
    <s v="Too Old Stock"/>
    <m/>
  </r>
  <r>
    <s v="RCF Trombay"/>
    <s v="15-15-15"/>
    <s v="WB"/>
    <x v="11"/>
    <m/>
    <s v="User Not Mapped"/>
    <s v="User Not Mapped"/>
    <s v="User Not Mapped"/>
    <n v="185279"/>
    <s v="Swapan Sarkar"/>
    <s v="Private Retailer"/>
    <s v="9800236556"/>
    <n v="0.75"/>
    <n v="1603"/>
    <x v="7"/>
    <m/>
    <s v="2021-12-06"/>
    <s v="222656"/>
    <s v="Kallol Fertilisers"/>
    <s v="7384223335"/>
  </r>
  <r>
    <s v="RCF Trombay"/>
    <s v="15-15-15"/>
    <s v="WB"/>
    <x v="11"/>
    <m/>
    <s v="User Not Mapped"/>
    <s v="User Not Mapped"/>
    <s v="User Not Mapped"/>
    <n v="185279"/>
    <s v="Swapan Sarkar"/>
    <s v="Private Retailer"/>
    <s v="9800236556"/>
    <n v="0.85"/>
    <n v="1594"/>
    <x v="7"/>
    <m/>
    <s v="2021-12-15"/>
    <s v="222656"/>
    <s v="Kallol Fertilisers"/>
    <s v="7384223335"/>
  </r>
  <r>
    <s v="RCF Trombay"/>
    <s v="15-15-15"/>
    <s v="WB"/>
    <x v="11"/>
    <m/>
    <s v="User Not Mapped"/>
    <s v="User Not Mapped"/>
    <s v="User Not Mapped"/>
    <n v="328118"/>
    <s v="Biswas and Brothers Fertilizers"/>
    <s v="Private Retailer"/>
    <s v="9800034663"/>
    <n v="2.5"/>
    <n v="18"/>
    <x v="4"/>
    <m/>
    <s v="2026-04-09"/>
    <s v="663873"/>
    <s v="B.G.FERTILIZER"/>
    <s v="9832049926"/>
  </r>
  <r>
    <s v="RCF Trombay"/>
    <s v="15-15-15"/>
    <s v="WB"/>
    <x v="11"/>
    <m/>
    <s v="User Not Mapped"/>
    <s v="User Not Mapped"/>
    <s v="User Not Mapped"/>
    <n v="354422"/>
    <s v="Chowrasia Fertilizer"/>
    <s v="Private Retailer"/>
    <s v="7001947290"/>
    <n v="4.4000000000000004"/>
    <n v="81"/>
    <x v="2"/>
    <m/>
    <s v="2026-02-05"/>
    <s v="214204"/>
    <s v="Vikas Agrochemicals"/>
    <s v="9474382706"/>
  </r>
  <r>
    <s v="RCF Thal"/>
    <s v="N.C.Urea(45kg)"/>
    <s v="WB"/>
    <x v="11"/>
    <m/>
    <s v="User Not Mapped"/>
    <s v="User Not Mapped"/>
    <s v="User Not Mapped"/>
    <n v="354422"/>
    <s v="Chowrasia Fertilizer"/>
    <s v="Private Retailer"/>
    <s v="7001947290"/>
    <n v="2.52"/>
    <n v="53"/>
    <x v="1"/>
    <m/>
    <s v="2026-03-05"/>
    <s v="214204"/>
    <s v="Vikas Agrochemicals"/>
    <s v="9474382706"/>
  </r>
  <r>
    <s v="RCF Trombay"/>
    <s v="15-15-15"/>
    <s v="WB"/>
    <x v="11"/>
    <m/>
    <s v="User Not Mapped"/>
    <s v="User Not Mapped"/>
    <s v="User Not Mapped"/>
    <n v="369933"/>
    <s v="Ganesh Krishi Bhandar"/>
    <s v="Private Retailer"/>
    <s v="9933852064"/>
    <n v="0.1"/>
    <n v="247"/>
    <x v="3"/>
    <m/>
    <s v="2025-08-23"/>
    <s v="214213"/>
    <s v="National Industries"/>
    <s v="9641330052"/>
  </r>
  <r>
    <s v="RCF Thal"/>
    <s v="N.C.Urea(45kg)"/>
    <s v="WB"/>
    <x v="11"/>
    <m/>
    <s v="User Not Mapped"/>
    <s v="User Not Mapped"/>
    <s v="User Not Mapped"/>
    <n v="385691"/>
    <s v="Madan Mohan Roy"/>
    <s v="Private Retailer"/>
    <s v="9932284403"/>
    <n v="1.125"/>
    <n v="1312"/>
    <x v="7"/>
    <m/>
    <s v="2022-09-23"/>
    <s v="222661"/>
    <s v="M/s. Dutta Krishi Bhandar"/>
    <s v="8617691998"/>
  </r>
  <r>
    <s v="RCF Thal"/>
    <s v="N.C.Urea(45kg)"/>
    <s v="WB"/>
    <x v="11"/>
    <m/>
    <s v="User Not Mapped"/>
    <s v="User Not Mapped"/>
    <s v="User Not Mapped"/>
    <n v="385691"/>
    <s v="Madan Mohan Roy"/>
    <s v="Private Retailer"/>
    <s v="9932284403"/>
    <n v="0.45"/>
    <n v="1489"/>
    <x v="7"/>
    <m/>
    <s v="2022-03-30"/>
    <s v="222661"/>
    <s v="M/s. Dutta Krishi Bhandar"/>
    <s v="8617691998"/>
  </r>
  <r>
    <s v="RCF Thal"/>
    <s v="N.C.Urea(45kg)"/>
    <s v="WB"/>
    <x v="11"/>
    <m/>
    <s v="User Not Mapped"/>
    <s v="User Not Mapped"/>
    <s v="User Not Mapped"/>
    <n v="385691"/>
    <s v="Madan Mohan Roy"/>
    <s v="Private Retailer"/>
    <s v="9932284403"/>
    <n v="1.125"/>
    <n v="1197"/>
    <x v="7"/>
    <m/>
    <s v="2023-01-16"/>
    <s v="222656"/>
    <s v="Kallol Fertilisers"/>
    <s v="7384223335"/>
  </r>
  <r>
    <s v="RCF Trombay"/>
    <s v="15-15-15"/>
    <s v="WB"/>
    <x v="11"/>
    <m/>
    <s v="User Not Mapped"/>
    <s v="User Not Mapped"/>
    <s v="User Not Mapped"/>
    <n v="385691"/>
    <s v="Madan Mohan Roy"/>
    <s v="Private Retailer"/>
    <s v="9932284403"/>
    <n v="0.25"/>
    <n v="312"/>
    <x v="3"/>
    <m/>
    <s v="2025-06-19"/>
    <s v="222661"/>
    <s v="M/s. Dutta Krishi Bhandar"/>
    <s v="8617691998"/>
  </r>
  <r>
    <s v="RCF Trombay"/>
    <s v="15-15-15"/>
    <s v="WB"/>
    <x v="11"/>
    <m/>
    <s v="User Not Mapped"/>
    <s v="User Not Mapped"/>
    <s v="User Not Mapped"/>
    <n v="786869"/>
    <s v="ABDUL KHALEK FERTILIZER"/>
    <s v="Private Retailer"/>
    <s v="8436749383"/>
    <n v="1.5"/>
    <n v="1973"/>
    <x v="7"/>
    <m/>
    <s v="2020-12-01"/>
    <s v="222671"/>
    <s v="Adarsha Krishi Bhandar"/>
    <s v="7872827880"/>
  </r>
  <r>
    <s v="RCF Thal"/>
    <s v="N.C.Urea(45kg)"/>
    <s v="WB"/>
    <x v="11"/>
    <m/>
    <s v="User Not Mapped"/>
    <s v="User Not Mapped"/>
    <s v="User Not Mapped"/>
    <n v="871597"/>
    <s v="ASHOK SARKAR"/>
    <s v="Private Retailer"/>
    <s v="8944095738"/>
    <n v="0.40500000000000003"/>
    <n v="2532"/>
    <x v="7"/>
    <m/>
    <s v="2019-05-22"/>
    <s v="553514"/>
    <s v="Om Prakash Agarwala"/>
    <s v="9233402522"/>
  </r>
  <r>
    <s v="RCF Trombay"/>
    <s v="15-15-15"/>
    <s v="WB"/>
    <x v="11"/>
    <m/>
    <s v="User Not Mapped"/>
    <s v="User Not Mapped"/>
    <s v="User Not Mapped"/>
    <n v="871619"/>
    <s v="SWAPAN KUMAR DAS"/>
    <s v="Private Retailer"/>
    <s v="9832361142"/>
    <n v="0.65"/>
    <n v="1595"/>
    <x v="7"/>
    <m/>
    <s v="2021-12-14"/>
    <s v="553514"/>
    <s v="Om Prakash Agarwala"/>
    <s v="9233402522"/>
  </r>
  <r>
    <s v="RCF Thal"/>
    <s v="N.C.Urea(45kg)"/>
    <s v="WB"/>
    <x v="11"/>
    <m/>
    <s v="User Not Mapped"/>
    <s v="User Not Mapped"/>
    <s v="User Not Mapped"/>
    <n v="953450"/>
    <s v="M/S RUPA SAAR O BEEJ BHANDA"/>
    <s v="Private Retailer"/>
    <s v="9593222933"/>
    <n v="0.01"/>
    <n v="2574"/>
    <x v="7"/>
    <m/>
    <s v="2019-04-10"/>
    <s v="222656"/>
    <s v="Kallol Fertilisers"/>
    <s v="7384223335"/>
  </r>
  <r>
    <s v="RCF Thal"/>
    <s v="N.C.Urea(45kg)"/>
    <s v="WB"/>
    <x v="11"/>
    <m/>
    <s v="User Not Mapped"/>
    <s v="User Not Mapped"/>
    <s v="User Not Mapped"/>
    <n v="1092532"/>
    <s v="Loknath Enterprise"/>
    <s v="Private Retailer"/>
    <s v="7076645410"/>
    <n v="2.3849999999999998"/>
    <n v="2539"/>
    <x v="7"/>
    <m/>
    <s v="2019-05-15"/>
    <s v="214204"/>
    <s v="Vikas Agrochemicals"/>
    <s v="9474382706"/>
  </r>
  <r>
    <s v="RCF Thal"/>
    <s v="N.C.Urea(45kg)"/>
    <s v="WB"/>
    <x v="11"/>
    <m/>
    <s v="User Not Mapped"/>
    <s v="User Not Mapped"/>
    <s v="User Not Mapped"/>
    <n v="1094713"/>
    <s v="MD FARUQUE ALAM"/>
    <s v="Private Retailer"/>
    <s v="7602386940"/>
    <n v="3.33"/>
    <n v="53"/>
    <x v="1"/>
    <m/>
    <s v="2026-03-05"/>
    <s v="214204"/>
    <s v="Vikas Agrochemicals"/>
    <s v="9474382706"/>
  </r>
  <r>
    <s v="RCF Trombay"/>
    <s v="N.C.Urea(45kg)"/>
    <s v="WB"/>
    <x v="11"/>
    <m/>
    <s v="User Not Mapped"/>
    <s v="User Not Mapped"/>
    <s v="User Not Mapped"/>
    <n v="1151701"/>
    <s v="BABUL FERTILIZER"/>
    <s v="Private Retailer"/>
    <s v="7001367108"/>
    <n v="3.33"/>
    <n v="923"/>
    <x v="7"/>
    <m/>
    <s v="2023-10-17"/>
    <s v="663873"/>
    <s v="B.G.FERTILIZER"/>
    <s v="9832049926"/>
  </r>
  <r>
    <s v="RCF Trombay"/>
    <s v="15-15-15"/>
    <s v="WB"/>
    <x v="11"/>
    <m/>
    <s v="User Not Mapped"/>
    <s v="User Not Mapped"/>
    <s v="User Not Mapped"/>
    <n v="1578196"/>
    <s v="ROY FERTILIZER"/>
    <s v="Private Retailer"/>
    <s v="9832068505"/>
    <n v="0.05"/>
    <n v="33"/>
    <x v="1"/>
    <m/>
    <s v="2026-03-25"/>
    <s v="214213"/>
    <s v="National Industries"/>
    <s v="9641330052"/>
  </r>
  <r>
    <s v="RCF Thal"/>
    <s v="N.C.Urea(45kg)"/>
    <s v="WB"/>
    <x v="12"/>
    <s v="Bamangola"/>
    <s v="User Not Mapped"/>
    <s v="User Not Mapped"/>
    <s v="User Not Mapped"/>
    <n v="328225"/>
    <s v="M/S Kallol Banerjee"/>
    <s v="Private Retailer"/>
    <s v="9434518179"/>
    <n v="38.475000000000001"/>
    <n v="49"/>
    <x v="1"/>
    <m/>
    <s v="2026-03-09"/>
    <s v="270157"/>
    <s v="M/s. Kanailal Keder Prasad"/>
    <s v="9474075544"/>
  </r>
  <r>
    <s v="RCF Thal"/>
    <s v="N.C.Urea(45kg)"/>
    <s v="WB"/>
    <x v="12"/>
    <s v="Bamangola"/>
    <s v="User Not Mapped"/>
    <s v="User Not Mapped"/>
    <s v="User Not Mapped"/>
    <n v="328225"/>
    <s v="M/S Kallol Banerjee"/>
    <s v="Private Retailer"/>
    <s v="9434518179"/>
    <n v="4.4999999999999998E-2"/>
    <n v="76"/>
    <x v="2"/>
    <m/>
    <s v="2026-02-10"/>
    <s v="270122"/>
    <s v="Kallol Banerjee"/>
    <s v="9434518179"/>
  </r>
  <r>
    <s v="RCF Trombay"/>
    <s v="N.C.Urea(45kg)"/>
    <s v="WB"/>
    <x v="12"/>
    <s v="Bamangola"/>
    <s v="User Not Mapped"/>
    <s v="User Not Mapped"/>
    <s v="User Not Mapped"/>
    <n v="328228"/>
    <s v="M/S Maa Laxmi Sar Bhandar"/>
    <s v="Private Retailer"/>
    <s v="9733393072"/>
    <n v="2.6549999999999998"/>
    <n v="198"/>
    <x v="3"/>
    <m/>
    <s v="2025-10-11"/>
    <s v="270157"/>
    <s v="M/s. Kanailal Keder Prasad"/>
    <s v="9474075544"/>
  </r>
  <r>
    <s v="RCF Thal"/>
    <s v="N.C.Urea(45kg)"/>
    <s v="WB"/>
    <x v="12"/>
    <s v="Bamangola"/>
    <s v="User Not Mapped"/>
    <s v="User Not Mapped"/>
    <s v="User Not Mapped"/>
    <n v="328228"/>
    <s v="M/S Maa Laxmi Sar Bhandar"/>
    <s v="Private Retailer"/>
    <s v="9733393072"/>
    <n v="7.7850000000000001"/>
    <n v="156"/>
    <x v="0"/>
    <m/>
    <s v="2025-11-22"/>
    <s v="281269"/>
    <s v="M/s. Butto Krishna Paul"/>
    <s v="7908580984"/>
  </r>
  <r>
    <s v="RCF Thal"/>
    <s v="N.C.Urea(45kg)"/>
    <s v="WB"/>
    <x v="12"/>
    <s v="Bamangola"/>
    <s v="User Not Mapped"/>
    <s v="User Not Mapped"/>
    <s v="User Not Mapped"/>
    <n v="328237"/>
    <s v="M/S Nepal Mahato"/>
    <s v="Private Retailer"/>
    <s v="9933020708"/>
    <n v="4.32"/>
    <n v="171"/>
    <x v="0"/>
    <m/>
    <s v="2025-11-07"/>
    <s v="270157"/>
    <s v="M/s. Kanailal Keder Prasad"/>
    <s v="9474075544"/>
  </r>
  <r>
    <s v="RCF Thal"/>
    <s v="N.C.Urea(45kg)"/>
    <s v="WB"/>
    <x v="12"/>
    <s v="Bamangola"/>
    <s v="User Not Mapped"/>
    <s v="User Not Mapped"/>
    <s v="User Not Mapped"/>
    <n v="328237"/>
    <s v="M/S Nepal Mahato"/>
    <s v="Private Retailer"/>
    <s v="9933020708"/>
    <n v="11.025"/>
    <n v="69"/>
    <x v="2"/>
    <m/>
    <s v="2026-02-17"/>
    <s v="270157"/>
    <s v="M/s. Kanailal Keder Prasad"/>
    <s v="9474075544"/>
  </r>
  <r>
    <s v="RCF Thal"/>
    <s v="N.C.Urea(45kg)"/>
    <s v="WB"/>
    <x v="12"/>
    <s v="Bamangola"/>
    <s v="User Not Mapped"/>
    <s v="User Not Mapped"/>
    <s v="User Not Mapped"/>
    <n v="331762"/>
    <s v="Narayani Krishi Bhandar"/>
    <s v="Private Retailer"/>
    <s v="9733205004"/>
    <n v="5.85"/>
    <n v="147"/>
    <x v="0"/>
    <m/>
    <s v="2025-12-01"/>
    <s v="270157"/>
    <s v="M/s. Kanailal Keder Prasad"/>
    <s v="9474075544"/>
  </r>
  <r>
    <s v="RCF Trombay"/>
    <s v="15-15-15"/>
    <s v="WB"/>
    <x v="12"/>
    <s v="Bamangola"/>
    <s v="User Not Mapped"/>
    <s v="User Not Mapped"/>
    <s v="User Not Mapped"/>
    <n v="331762"/>
    <s v="Narayani Krishi Bhandar"/>
    <s v="Private Retailer"/>
    <s v="9733205004"/>
    <n v="5"/>
    <n v="137"/>
    <x v="0"/>
    <m/>
    <s v="2025-12-11"/>
    <s v="1268897"/>
    <s v="M/S NEPAL MAHATO"/>
    <s v="9933020708"/>
  </r>
  <r>
    <s v="RCF Thal"/>
    <s v="N.C.Urea(45kg)"/>
    <s v="WB"/>
    <x v="12"/>
    <s v="Bamangola"/>
    <s v="User Not Mapped"/>
    <s v="User Not Mapped"/>
    <s v="User Not Mapped"/>
    <n v="331762"/>
    <s v="Narayani Krishi Bhandar"/>
    <s v="Private Retailer"/>
    <s v="9733205004"/>
    <n v="11.07"/>
    <n v="49"/>
    <x v="1"/>
    <m/>
    <s v="2026-03-09"/>
    <s v="281269"/>
    <s v="M/s. Butto Krishna Paul"/>
    <s v="7908580984"/>
  </r>
  <r>
    <s v="RCF Thal"/>
    <s v="N.C.Urea(45kg)"/>
    <s v="WB"/>
    <x v="12"/>
    <s v="Bamangola"/>
    <s v="User Not Mapped"/>
    <s v="User Not Mapped"/>
    <s v="User Not Mapped"/>
    <n v="331945"/>
    <s v="Sikdar Sar Bhandar. "/>
    <s v="Private Retailer"/>
    <s v="9474473351"/>
    <n v="0.13500000000000001"/>
    <n v="147"/>
    <x v="0"/>
    <m/>
    <s v="2025-12-01"/>
    <s v="270157"/>
    <s v="M/s. Kanailal Keder Prasad"/>
    <s v="9474075544"/>
  </r>
  <r>
    <s v="RCF Thal"/>
    <s v="N.C.Urea(45kg)"/>
    <s v="WB"/>
    <x v="12"/>
    <s v="Bamangola"/>
    <s v="User Not Mapped"/>
    <s v="User Not Mapped"/>
    <s v="User Not Mapped"/>
    <n v="332025"/>
    <s v="Utpal Swarnakar"/>
    <s v="Private Retailer"/>
    <s v="9733360655"/>
    <n v="8.5050000000000008"/>
    <n v="503"/>
    <x v="6"/>
    <m/>
    <s v="2024-12-10"/>
    <s v="270157"/>
    <s v="M/s. Kanailal Keder Prasad"/>
    <s v="9474075544"/>
  </r>
  <r>
    <s v="RCF Trombay"/>
    <s v="15-15-15"/>
    <s v="WB"/>
    <x v="12"/>
    <s v="Bamangola"/>
    <s v="User Not Mapped"/>
    <s v="User Not Mapped"/>
    <s v="User Not Mapped"/>
    <n v="355727"/>
    <s v="Motilal Sar Bhandar"/>
    <s v="Private Retailer"/>
    <s v="9593755265"/>
    <n v="10.25"/>
    <n v="284"/>
    <x v="3"/>
    <m/>
    <s v="2025-07-17"/>
    <s v="270157"/>
    <s v="M/s. Kanailal Keder Prasad"/>
    <s v="9474075544"/>
  </r>
  <r>
    <s v="RCF Trombay"/>
    <s v="15-15-15"/>
    <s v="WB"/>
    <x v="12"/>
    <s v="Bamangola"/>
    <s v="User Not Mapped"/>
    <s v="User Not Mapped"/>
    <s v="User Not Mapped"/>
    <n v="460651"/>
    <s v="Joyma Santosi Sar Bhandar"/>
    <s v="Private Retailer"/>
    <s v="9735994704"/>
    <n v="0.9"/>
    <n v="216"/>
    <x v="3"/>
    <m/>
    <s v="2025-09-23"/>
    <s v="269982"/>
    <s v="M/s Jatindra Nath Saha"/>
    <s v="7431922103"/>
  </r>
  <r>
    <s v="RCF Thal"/>
    <s v="N.C.Urea(45kg)"/>
    <s v="WB"/>
    <x v="12"/>
    <s v="Bamangola"/>
    <s v="User Not Mapped"/>
    <s v="User Not Mapped"/>
    <s v="User Not Mapped"/>
    <n v="460651"/>
    <s v="Joyma Santosi Sar Bhandar"/>
    <s v="Private Retailer"/>
    <s v="9735994704"/>
    <n v="5.04"/>
    <n v="72"/>
    <x v="2"/>
    <m/>
    <s v="2026-02-14"/>
    <s v="281269"/>
    <s v="M/s. Butto Krishna Paul"/>
    <s v="7908580984"/>
  </r>
  <r>
    <s v="RCF Trombay"/>
    <s v="N.C.Urea(45kg)"/>
    <s v="WB"/>
    <x v="12"/>
    <s v="Bamangola"/>
    <s v="User Not Mapped"/>
    <s v="User Not Mapped"/>
    <s v="User Not Mapped"/>
    <n v="461087"/>
    <s v="Mondal Sar Bhandar"/>
    <s v="Private Retailer"/>
    <s v="7602956185"/>
    <n v="5.13"/>
    <n v="141"/>
    <x v="0"/>
    <m/>
    <s v="2025-12-07"/>
    <s v="270157"/>
    <s v="M/s. Kanailal Keder Prasad"/>
    <s v="9474075544"/>
  </r>
  <r>
    <s v="RCF Trombay"/>
    <s v="15-15-15"/>
    <s v="WB"/>
    <x v="12"/>
    <s v="Bamangola"/>
    <s v="User Not Mapped"/>
    <s v="User Not Mapped"/>
    <s v="User Not Mapped"/>
    <n v="461179"/>
    <s v="Mondal Sar Bhandar"/>
    <s v="Private Retailer"/>
    <s v="9734990930"/>
    <n v="0.75"/>
    <n v="166"/>
    <x v="0"/>
    <m/>
    <s v="2025-11-12"/>
    <s v="270122"/>
    <s v="Kallol Banerjee"/>
    <s v="9434518179"/>
  </r>
  <r>
    <s v="RCF Thal"/>
    <s v="N.C.Urea(45kg)"/>
    <s v="WB"/>
    <x v="12"/>
    <s v="Bamangola"/>
    <s v="User Not Mapped"/>
    <s v="User Not Mapped"/>
    <s v="User Not Mapped"/>
    <n v="461181"/>
    <s v="Maa Durga Sar Bhandar"/>
    <s v="Private Retailer"/>
    <s v="9593360814"/>
    <n v="11.07"/>
    <n v="49"/>
    <x v="1"/>
    <m/>
    <s v="2026-03-09"/>
    <s v="281269"/>
    <s v="M/s. Butto Krishna Paul"/>
    <s v="7908580984"/>
  </r>
  <r>
    <s v="RCF Trombay"/>
    <s v="N.C.Urea(45kg)"/>
    <s v="WB"/>
    <x v="12"/>
    <s v="Bamangola"/>
    <s v="User Not Mapped"/>
    <s v="User Not Mapped"/>
    <s v="User Not Mapped"/>
    <n v="461181"/>
    <s v="Maa Durga Sar Bhandar"/>
    <s v="Private Retailer"/>
    <s v="9593360814"/>
    <n v="5.22"/>
    <n v="172"/>
    <x v="0"/>
    <m/>
    <s v="2025-11-06"/>
    <s v="269982"/>
    <s v="M/s Jatindra Nath Saha"/>
    <s v="7431922103"/>
  </r>
  <r>
    <s v="RCF Thal"/>
    <s v="N.C.Urea(45kg)"/>
    <s v="WB"/>
    <x v="12"/>
    <s v="Bamangola"/>
    <s v="User Not Mapped"/>
    <s v="User Not Mapped"/>
    <s v="User Not Mapped"/>
    <n v="461181"/>
    <s v="Maa Durga Sar Bhandar"/>
    <s v="Private Retailer"/>
    <s v="9593360814"/>
    <n v="3.915"/>
    <n v="95"/>
    <x v="5"/>
    <m/>
    <s v="2026-01-22"/>
    <s v="270157"/>
    <s v="M/s. Kanailal Keder Prasad"/>
    <s v="9474075544"/>
  </r>
  <r>
    <s v="RCF Thal"/>
    <s v="N.C.Urea(45kg)"/>
    <s v="WB"/>
    <x v="12"/>
    <s v="Bamangola"/>
    <s v="User Not Mapped"/>
    <s v="User Not Mapped"/>
    <s v="User Not Mapped"/>
    <n v="466425"/>
    <s v="Mala Sar Bhandar"/>
    <s v="Private Retailer"/>
    <s v="9735935910"/>
    <n v="9.1349999999999998"/>
    <n v="133"/>
    <x v="0"/>
    <m/>
    <s v="2025-12-15"/>
    <s v="270157"/>
    <s v="M/s. Kanailal Keder Prasad"/>
    <s v="9474075544"/>
  </r>
  <r>
    <s v="RCF Thal"/>
    <s v="N.C.Urea(45kg)"/>
    <s v="WB"/>
    <x v="12"/>
    <s v="Bamangola"/>
    <s v="User Not Mapped"/>
    <s v="User Not Mapped"/>
    <s v="User Not Mapped"/>
    <n v="467193"/>
    <s v="Jagadish Sar Bhandar"/>
    <s v="Private Retailer"/>
    <s v="9733445498"/>
    <n v="4.8600000000000003"/>
    <n v="72"/>
    <x v="2"/>
    <m/>
    <s v="2026-02-14"/>
    <s v="281269"/>
    <s v="M/s. Butto Krishna Paul"/>
    <s v="7908580984"/>
  </r>
  <r>
    <s v="RCF Trombay"/>
    <s v="N.C.Urea(45kg)"/>
    <s v="WB"/>
    <x v="12"/>
    <s v="Bamangola"/>
    <s v="User Not Mapped"/>
    <s v="User Not Mapped"/>
    <s v="User Not Mapped"/>
    <n v="467195"/>
    <s v="Sonali Fasal"/>
    <s v="Private Retailer"/>
    <s v="9733233108"/>
    <n v="9.3149999999999995"/>
    <n v="141"/>
    <x v="0"/>
    <m/>
    <s v="2025-12-07"/>
    <s v="270157"/>
    <s v="M/s. Kanailal Keder Prasad"/>
    <s v="9474075544"/>
  </r>
  <r>
    <s v="RCF Import"/>
    <s v="Imp 10-26-26"/>
    <s v="WB"/>
    <x v="12"/>
    <s v="Bamangola"/>
    <s v="User Not Mapped"/>
    <s v="User Not Mapped"/>
    <s v="User Not Mapped"/>
    <n v="492351"/>
    <s v="Akash Sar Bhandar"/>
    <s v="Private Retailer"/>
    <s v="9733373567"/>
    <n v="0.35"/>
    <n v="506"/>
    <x v="6"/>
    <m/>
    <s v="2024-12-07"/>
    <s v="1000527"/>
    <s v="M/s Bhumi Laxmi"/>
    <s v="9932113924"/>
  </r>
  <r>
    <s v="RCF Thal"/>
    <s v="N.C.Urea(45kg)"/>
    <s v="WB"/>
    <x v="12"/>
    <s v="Bamangola"/>
    <s v="User Not Mapped"/>
    <s v="User Not Mapped"/>
    <s v="User Not Mapped"/>
    <n v="610266"/>
    <s v="MAA DURGA SAR BHANDAR"/>
    <s v="Private Retailer"/>
    <s v="8972666383"/>
    <n v="5.67"/>
    <n v="97"/>
    <x v="5"/>
    <m/>
    <s v="2026-01-20"/>
    <s v="270157"/>
    <s v="M/s. Kanailal Keder Prasad"/>
    <s v="9474075544"/>
  </r>
  <r>
    <s v="RCF Thal"/>
    <s v="N.C.Urea(45kg)"/>
    <s v="WB"/>
    <x v="12"/>
    <s v="Bamangola"/>
    <s v="User Not Mapped"/>
    <s v="User Not Mapped"/>
    <s v="User Not Mapped"/>
    <n v="631233"/>
    <s v=" AGRO TRADING and SEED BHANDAR"/>
    <s v="Private Retailer"/>
    <s v="7557810644"/>
    <n v="9.6750000000000007"/>
    <n v="49"/>
    <x v="1"/>
    <m/>
    <s v="2026-03-09"/>
    <s v="270157"/>
    <s v="M/s. Kanailal Keder Prasad"/>
    <s v="9474075544"/>
  </r>
  <r>
    <s v="RCF Thal"/>
    <s v="N.C.Urea(45kg)"/>
    <s v="WB"/>
    <x v="12"/>
    <s v="Bamangola"/>
    <s v="User Not Mapped"/>
    <s v="User Not Mapped"/>
    <s v="User Not Mapped"/>
    <n v="655513"/>
    <s v="MILAN DEV FERTILISERS"/>
    <s v="Private Retailer"/>
    <s v="9564989902"/>
    <n v="0.63"/>
    <n v="95"/>
    <x v="5"/>
    <m/>
    <s v="2026-01-22"/>
    <s v="269982"/>
    <s v="M/s Jatindra Nath Saha"/>
    <s v="7431922103"/>
  </r>
  <r>
    <s v="RCF Thal"/>
    <s v="N.C.Urea(45kg)"/>
    <s v="WB"/>
    <x v="12"/>
    <s v="Bamangola"/>
    <s v="User Not Mapped"/>
    <s v="User Not Mapped"/>
    <s v="User Not Mapped"/>
    <n v="655513"/>
    <s v="MILAN DEV FERTILISERS"/>
    <s v="Private Retailer"/>
    <s v="9564989902"/>
    <n v="5.625"/>
    <n v="49"/>
    <x v="1"/>
    <m/>
    <s v="2026-03-09"/>
    <s v="270157"/>
    <s v="M/s. Kanailal Keder Prasad"/>
    <s v="9474075544"/>
  </r>
  <r>
    <s v="RCF Thal"/>
    <s v="N.C.Urea(45kg)"/>
    <s v="WB"/>
    <x v="12"/>
    <s v="Bamangola"/>
    <s v="User Not Mapped"/>
    <s v="User Not Mapped"/>
    <s v="User Not Mapped"/>
    <n v="661019"/>
    <s v="BHAI BHAI SAR BHANDAR"/>
    <s v="Private Retailer"/>
    <s v="9735994083"/>
    <n v="2.0699999999999998"/>
    <n v="227"/>
    <x v="3"/>
    <m/>
    <s v="2025-09-12"/>
    <s v="270157"/>
    <s v="M/s. Kanailal Keder Prasad"/>
    <s v="9474075544"/>
  </r>
  <r>
    <s v="RCF Import"/>
    <s v="Imp 10-26-26"/>
    <s v="WB"/>
    <x v="12"/>
    <s v="Bamangola"/>
    <s v="User Not Mapped"/>
    <s v="User Not Mapped"/>
    <s v="User Not Mapped"/>
    <n v="876967"/>
    <s v="M/S BADRUDDOJA HOSSAIN"/>
    <s v="Private Retailer"/>
    <s v="9593291475"/>
    <n v="0.5"/>
    <n v="507"/>
    <x v="6"/>
    <m/>
    <s v="2024-12-06"/>
    <s v="1315537"/>
    <s v="M/S SIKDAR SAR BHANDAR"/>
    <s v="9474473351"/>
  </r>
  <r>
    <s v="RCF Trombay"/>
    <s v="15-15-15"/>
    <s v="WB"/>
    <x v="12"/>
    <s v="Bamangola"/>
    <s v="User Not Mapped"/>
    <s v="User Not Mapped"/>
    <s v="User Not Mapped"/>
    <n v="876969"/>
    <s v="M/S JAGABANDHU SAR BHANDAR"/>
    <s v="Private Retailer"/>
    <s v="9083461641"/>
    <n v="0.9"/>
    <n v="566"/>
    <x v="7"/>
    <m/>
    <s v="2024-10-08"/>
    <s v="270157"/>
    <s v="M/s. Kanailal Keder Prasad"/>
    <s v="9474075544"/>
  </r>
  <r>
    <s v="RCF Import"/>
    <s v="Imp 10-26-26"/>
    <s v="WB"/>
    <x v="12"/>
    <s v="Bamangola"/>
    <s v="User Not Mapped"/>
    <s v="User Not Mapped"/>
    <s v="User Not Mapped"/>
    <n v="876969"/>
    <s v="M/S JAGABANDHU SAR BHANDAR"/>
    <s v="Private Retailer"/>
    <s v="9083461641"/>
    <n v="2.5"/>
    <n v="507"/>
    <x v="6"/>
    <m/>
    <s v="2024-12-06"/>
    <s v="1315537"/>
    <s v="M/S SIKDAR SAR BHANDAR"/>
    <s v="9474473351"/>
  </r>
  <r>
    <s v="RCF Trombay"/>
    <s v="15-15-15"/>
    <s v="WB"/>
    <x v="12"/>
    <s v="Bamangola"/>
    <s v="User Not Mapped"/>
    <s v="User Not Mapped"/>
    <s v="User Not Mapped"/>
    <n v="876971"/>
    <s v="M/S BANOMALA FERTILIZER"/>
    <s v="Private Retailer"/>
    <s v="7797915265"/>
    <n v="0.2"/>
    <n v="459"/>
    <x v="6"/>
    <m/>
    <s v="2025-01-23"/>
    <s v="270122"/>
    <s v="Kallol Banerjee"/>
    <s v="9434518179"/>
  </r>
  <r>
    <s v="RCF Thal"/>
    <s v="N.C.Urea(45kg)"/>
    <s v="WB"/>
    <x v="12"/>
    <s v="Bamangola"/>
    <s v="User Not Mapped"/>
    <s v="User Not Mapped"/>
    <s v="User Not Mapped"/>
    <n v="876971"/>
    <s v="M/S BANOMALA FERTILIZER"/>
    <s v="Private Retailer"/>
    <s v="7797915265"/>
    <n v="0.48599999999999999"/>
    <n v="147"/>
    <x v="0"/>
    <m/>
    <s v="2025-12-01"/>
    <s v="270157"/>
    <s v="M/s. Kanailal Keder Prasad"/>
    <s v="9474075544"/>
  </r>
  <r>
    <s v="RCF Trombay"/>
    <s v="15-15-15"/>
    <s v="WB"/>
    <x v="12"/>
    <s v="Bamangola"/>
    <s v="User Not Mapped"/>
    <s v="User Not Mapped"/>
    <s v="User Not Mapped"/>
    <n v="1005246"/>
    <s v="M/S HARIPADA SARKAR"/>
    <s v="Private Retailer"/>
    <s v="9593797269"/>
    <n v="1"/>
    <n v="194"/>
    <x v="3"/>
    <m/>
    <s v="2025-10-15"/>
    <s v="1268897"/>
    <s v="M/S NEPAL MAHATO"/>
    <s v="9933020708"/>
  </r>
  <r>
    <s v="RCF Thal"/>
    <s v="N.C.Urea(45kg)"/>
    <s v="WB"/>
    <x v="12"/>
    <s v="Bamangola"/>
    <s v="User Not Mapped"/>
    <s v="User Not Mapped"/>
    <s v="User Not Mapped"/>
    <n v="1300150"/>
    <s v="SABUJ SARBHANDAR"/>
    <s v="Private Retailer"/>
    <s v="9851545981"/>
    <n v="1.7549999999999999"/>
    <n v="508"/>
    <x v="6"/>
    <m/>
    <s v="2024-12-05"/>
    <s v="268712"/>
    <s v="M/s BirendraNathSaha O Partner"/>
    <s v="9232761461"/>
  </r>
  <r>
    <s v="RCF Thal"/>
    <s v="N.C.Urea(45kg)"/>
    <s v="WB"/>
    <x v="12"/>
    <s v="Bamangola"/>
    <s v="User Not Mapped"/>
    <s v="User Not Mapped"/>
    <s v="User Not Mapped"/>
    <n v="1320538"/>
    <s v="M/S NEW BINA SAR BHANDAR"/>
    <s v="Private Retailer"/>
    <s v="9733287287"/>
    <n v="17.864999999999998"/>
    <n v="49"/>
    <x v="1"/>
    <m/>
    <s v="2026-03-09"/>
    <s v="270157"/>
    <s v="M/s. Kanailal Keder Prasad"/>
    <s v="9474075544"/>
  </r>
  <r>
    <s v="RCF Trombay"/>
    <s v="N.C.Urea(45kg)"/>
    <s v="WB"/>
    <x v="12"/>
    <s v="Bamangola"/>
    <s v="User Not Mapped"/>
    <s v="User Not Mapped"/>
    <s v="User Not Mapped"/>
    <n v="1320538"/>
    <s v="M/S NEW BINA SAR BHANDAR"/>
    <s v="Private Retailer"/>
    <s v="9733287287"/>
    <n v="3.1949999999999998"/>
    <n v="141"/>
    <x v="0"/>
    <m/>
    <s v="2025-12-07"/>
    <s v="270157"/>
    <s v="M/s. Kanailal Keder Prasad"/>
    <s v="9474075544"/>
  </r>
  <r>
    <s v="RCF Thal"/>
    <s v="N.C.Urea(45kg)"/>
    <s v="WB"/>
    <x v="12"/>
    <s v="Bamangola"/>
    <s v="User Not Mapped"/>
    <s v="User Not Mapped"/>
    <s v="User Not Mapped"/>
    <n v="1395548"/>
    <s v="M/S NUR SAR BHANDAR"/>
    <s v="Private Retailer"/>
    <s v="9732299002"/>
    <n v="1.125"/>
    <n v="95"/>
    <x v="5"/>
    <m/>
    <s v="2026-01-22"/>
    <s v="269982"/>
    <s v="M/s Jatindra Nath Saha"/>
    <s v="7431922103"/>
  </r>
  <r>
    <s v="RCF Trombay"/>
    <s v="15-15-15"/>
    <s v="WB"/>
    <x v="12"/>
    <s v="Bamangola"/>
    <s v="User Not Mapped"/>
    <s v="User Not Mapped"/>
    <s v="User Not Mapped"/>
    <n v="1395548"/>
    <s v="M/S NUR SAR BHANDAR"/>
    <s v="Private Retailer"/>
    <s v="9732299002"/>
    <n v="2.4"/>
    <n v="217"/>
    <x v="3"/>
    <m/>
    <s v="2025-09-22"/>
    <s v="281269"/>
    <s v="M/s. Butto Krishna Paul"/>
    <s v="7908580984"/>
  </r>
  <r>
    <s v="RCF Trombay"/>
    <s v="N.C.Urea(45kg)"/>
    <s v="WB"/>
    <x v="12"/>
    <s v="Bamangola"/>
    <s v="User Not Mapped"/>
    <s v="User Not Mapped"/>
    <s v="User Not Mapped"/>
    <n v="1449897"/>
    <s v="M/S MANDAL BEEJ BHANDER"/>
    <s v="Private Retailer"/>
    <s v="7864034530"/>
    <n v="0.94499999999999995"/>
    <n v="214"/>
    <x v="3"/>
    <m/>
    <s v="2025-09-25"/>
    <s v="270157"/>
    <s v="M/s. Kanailal Keder Prasad"/>
    <s v="9474075544"/>
  </r>
  <r>
    <s v="RCF Thal"/>
    <s v="N.C.Urea(45kg)"/>
    <s v="WB"/>
    <x v="12"/>
    <s v="Bamangola"/>
    <s v="User Not Mapped"/>
    <s v="User Not Mapped"/>
    <s v="User Not Mapped"/>
    <n v="1654376"/>
    <s v="MS UTTAM BHAKAT"/>
    <s v="Private Retailer"/>
    <s v="8759488093"/>
    <n v="11.025"/>
    <n v="24"/>
    <x v="4"/>
    <m/>
    <s v="2026-04-03"/>
    <s v="270157"/>
    <s v="M/s. Kanailal Keder Prasad"/>
    <s v="9474075544"/>
  </r>
  <r>
    <s v="RCF Trombay"/>
    <s v="15-15-15"/>
    <s v="WB"/>
    <x v="12"/>
    <s v="Chanchal - I"/>
    <s v="User Not Mapped"/>
    <s v="User Not Mapped"/>
    <s v="User Not Mapped"/>
    <n v="331488"/>
    <s v="Md Saju"/>
    <s v="Private Retailer"/>
    <s v="9083815172"/>
    <n v="5.4"/>
    <n v="144"/>
    <x v="0"/>
    <m/>
    <s v="2025-12-04"/>
    <s v="260350"/>
    <s v="Adarsha Krishi Bhandar"/>
    <s v="9434422447"/>
  </r>
  <r>
    <s v="RCF Thal"/>
    <s v="N.C.Urea(45kg)"/>
    <s v="WB"/>
    <x v="12"/>
    <s v="Chanchal - I"/>
    <s v="User Not Mapped"/>
    <s v="User Not Mapped"/>
    <s v="User Not Mapped"/>
    <n v="390625"/>
    <s v="M/S SONALI KRISHI GHAR"/>
    <s v="Private Retailer"/>
    <s v="8617412950"/>
    <n v="6.165"/>
    <n v="49"/>
    <x v="1"/>
    <m/>
    <s v="2026-03-09"/>
    <s v="270157"/>
    <s v="M/s. Kanailal Keder Prasad"/>
    <s v="9474075544"/>
  </r>
  <r>
    <s v="RCF Thal"/>
    <s v="N.C.Urea(45kg)"/>
    <s v="WB"/>
    <x v="12"/>
    <s v="Chanchal - I"/>
    <s v="User Not Mapped"/>
    <s v="User Not Mapped"/>
    <s v="User Not Mapped"/>
    <n v="407824"/>
    <s v="Abdul Khaleque"/>
    <s v="Private Retailer"/>
    <s v="9733061920"/>
    <n v="1.4850000000000001"/>
    <n v="68"/>
    <x v="2"/>
    <m/>
    <s v="2026-02-18"/>
    <s v="260350"/>
    <s v="Adarsha Krishi Bhandar"/>
    <s v="9434422447"/>
  </r>
  <r>
    <s v="RCF Trombay"/>
    <s v="N.C.Urea(45kg)"/>
    <s v="WB"/>
    <x v="12"/>
    <s v="Chanchal - I"/>
    <s v="User Not Mapped"/>
    <s v="User Not Mapped"/>
    <s v="User Not Mapped"/>
    <n v="411702"/>
    <s v="Anwar Ali"/>
    <s v="Private Retailer"/>
    <s v="9733270885"/>
    <n v="0.03"/>
    <n v="1537"/>
    <x v="7"/>
    <m/>
    <s v="2022-02-10"/>
    <s v="260350"/>
    <s v="Adarsha Krishi Bhandar"/>
    <s v="9434422447"/>
  </r>
  <r>
    <s v="RCF Trombay"/>
    <s v="15-15-15"/>
    <s v="WB"/>
    <x v="12"/>
    <s v="Chanchal - I"/>
    <s v="User Not Mapped"/>
    <s v="User Not Mapped"/>
    <s v="User Not Mapped"/>
    <n v="411798"/>
    <s v="SRIDAM CHANDRA SAHA"/>
    <s v="Private Retailer"/>
    <s v="9002360398"/>
    <n v="0.85"/>
    <n v="553"/>
    <x v="7"/>
    <m/>
    <s v="2024-10-21"/>
    <s v="1116231"/>
    <s v="CHAS - BAAS"/>
    <s v="9126050773"/>
  </r>
  <r>
    <s v="RCF Thal"/>
    <s v="N.C.Urea(45kg)"/>
    <s v="WB"/>
    <x v="12"/>
    <s v="Chanchal - I"/>
    <s v="User Not Mapped"/>
    <s v="User Not Mapped"/>
    <s v="User Not Mapped"/>
    <n v="488372"/>
    <s v="Soheb Sar Bhandar"/>
    <s v="Private Retailer"/>
    <s v="9733431519"/>
    <n v="4.95"/>
    <n v="93"/>
    <x v="5"/>
    <m/>
    <s v="2026-01-24"/>
    <s v="260350"/>
    <s v="Adarsha Krishi Bhandar"/>
    <s v="9434422447"/>
  </r>
  <r>
    <s v="RCF Trombay"/>
    <s v="15-15-15"/>
    <s v="WB"/>
    <x v="12"/>
    <s v="Chanchal - I"/>
    <s v="User Not Mapped"/>
    <s v="User Not Mapped"/>
    <s v="User Not Mapped"/>
    <n v="514215"/>
    <s v="Soumendra Nath Saha"/>
    <s v="Private Retailer"/>
    <s v="8436645877"/>
    <n v="0.45"/>
    <n v="214"/>
    <x v="3"/>
    <m/>
    <s v="2025-09-25"/>
    <s v="270157"/>
    <s v="M/s. Kanailal Keder Prasad"/>
    <s v="9474075544"/>
  </r>
  <r>
    <s v="RCF Thal"/>
    <s v="N.C.Urea(45kg)"/>
    <s v="WB"/>
    <x v="12"/>
    <s v="Chanchal - I"/>
    <s v="User Not Mapped"/>
    <s v="User Not Mapped"/>
    <s v="User Not Mapped"/>
    <n v="514215"/>
    <s v="Soumendra Nath Saha"/>
    <s v="Private Retailer"/>
    <s v="8436645877"/>
    <n v="3.0150000000000001"/>
    <n v="49"/>
    <x v="1"/>
    <m/>
    <s v="2026-03-09"/>
    <s v="270157"/>
    <s v="M/s. Kanailal Keder Prasad"/>
    <s v="9474075544"/>
  </r>
  <r>
    <s v="RCF Thal"/>
    <s v="N.C.Urea(45kg)"/>
    <s v="WB"/>
    <x v="12"/>
    <s v="Chanchal - I"/>
    <s v="User Not Mapped"/>
    <s v="User Not Mapped"/>
    <s v="User Not Mapped"/>
    <n v="637921"/>
    <s v="ZAKIR HOSSAIN SAR BHANDAR"/>
    <s v="Private Retailer"/>
    <s v="9735933672"/>
    <n v="9.4499999999999993"/>
    <n v="129"/>
    <x v="0"/>
    <m/>
    <s v="2025-12-19"/>
    <s v="268712"/>
    <s v="M/s BirendraNathSaha O Partner"/>
    <s v="9232761461"/>
  </r>
  <r>
    <s v="RCF Thal"/>
    <s v="N.C.Urea(45kg)"/>
    <s v="WB"/>
    <x v="12"/>
    <s v="Chanchal - I"/>
    <s v="User Not Mapped"/>
    <s v="User Not Mapped"/>
    <s v="User Not Mapped"/>
    <n v="638459"/>
    <s v="BADRUL ALAM"/>
    <s v="Private Retailer"/>
    <s v="9734124712"/>
    <n v="0.81"/>
    <n v="1344"/>
    <x v="7"/>
    <m/>
    <s v="2022-08-22"/>
    <s v="260350"/>
    <s v="Adarsha Krishi Bhandar"/>
    <s v="9434422447"/>
  </r>
  <r>
    <s v="RCF Trombay"/>
    <s v="15-15-15"/>
    <s v="WB"/>
    <x v="12"/>
    <s v="Chanchal - I"/>
    <s v="User Not Mapped"/>
    <s v="User Not Mapped"/>
    <s v="User Not Mapped"/>
    <n v="638459"/>
    <s v="BADRUL ALAM"/>
    <s v="Private Retailer"/>
    <s v="9734124712"/>
    <n v="0.1"/>
    <n v="1855"/>
    <x v="7"/>
    <m/>
    <s v="2021-03-29"/>
    <s v="260350"/>
    <s v="Adarsha Krishi Bhandar"/>
    <s v="9434422447"/>
  </r>
  <r>
    <s v="RCF Trombay"/>
    <s v="15-15-15"/>
    <s v="WB"/>
    <x v="12"/>
    <s v="Chanchal - I"/>
    <s v="User Not Mapped"/>
    <s v="User Not Mapped"/>
    <s v="User Not Mapped"/>
    <n v="639027"/>
    <s v="SHYAMAL SAHA"/>
    <s v="Private Retailer"/>
    <s v="8116751866"/>
    <n v="1.23"/>
    <n v="1123"/>
    <x v="7"/>
    <m/>
    <s v="2023-03-31"/>
    <s v="260350"/>
    <s v="Adarsha Krishi Bhandar"/>
    <s v="9434422447"/>
  </r>
  <r>
    <s v="RCF Trombay"/>
    <s v="N.C.Urea(45kg)"/>
    <s v="WB"/>
    <x v="12"/>
    <s v="Chanchal - I"/>
    <s v="User Not Mapped"/>
    <s v="User Not Mapped"/>
    <s v="User Not Mapped"/>
    <n v="639385"/>
    <s v="SAFIUL ALAM"/>
    <s v="Private Retailer"/>
    <s v="9734906440"/>
    <n v="9"/>
    <n v="131"/>
    <x v="0"/>
    <m/>
    <s v="2025-12-17"/>
    <s v="270157"/>
    <s v="M/s. Kanailal Keder Prasad"/>
    <s v="9474075544"/>
  </r>
  <r>
    <s v="RCF Trombay"/>
    <s v="15-15-15"/>
    <s v="WB"/>
    <x v="12"/>
    <s v="Chanchal - I"/>
    <s v="User Not Mapped"/>
    <s v="User Not Mapped"/>
    <s v="User Not Mapped"/>
    <n v="639391"/>
    <s v="ALI KRISHI GHAR"/>
    <s v="Private Retailer"/>
    <s v="7431823739"/>
    <n v="4.6500000000000004"/>
    <n v="1220"/>
    <x v="7"/>
    <m/>
    <s v="2022-12-24"/>
    <s v="741258"/>
    <s v="M/S SAHA FERTILIZER"/>
    <s v="8101653961"/>
  </r>
  <r>
    <s v="RCF Thal"/>
    <s v="N.C.Urea(45kg)"/>
    <s v="WB"/>
    <x v="12"/>
    <s v="Chanchal - I"/>
    <s v="User Not Mapped"/>
    <s v="User Not Mapped"/>
    <s v="User Not Mapped"/>
    <n v="649689"/>
    <s v="M/S MD. ROFIQUL ALAM"/>
    <s v="Private Retailer"/>
    <s v="9734303070"/>
    <n v="5.5350000000000001"/>
    <n v="97"/>
    <x v="5"/>
    <m/>
    <s v="2026-01-20"/>
    <s v="270157"/>
    <s v="M/s. Kanailal Keder Prasad"/>
    <s v="9474075544"/>
  </r>
  <r>
    <s v="RCF Thal"/>
    <s v="N.C.Urea(45kg)"/>
    <s v="WB"/>
    <x v="12"/>
    <s v="Chanchal - I"/>
    <s v="User Not Mapped"/>
    <s v="User Not Mapped"/>
    <s v="User Not Mapped"/>
    <n v="649689"/>
    <s v="M/S MD. ROFIQUL ALAM"/>
    <s v="Private Retailer"/>
    <s v="9734303070"/>
    <n v="10.26"/>
    <n v="198"/>
    <x v="3"/>
    <m/>
    <s v="2025-10-11"/>
    <s v="270157"/>
    <s v="M/s. Kanailal Keder Prasad"/>
    <s v="9474075544"/>
  </r>
  <r>
    <s v="RCF Trombay"/>
    <s v="N.C.Urea(45kg)"/>
    <s v="WB"/>
    <x v="12"/>
    <s v="Chanchal - I"/>
    <s v="User Not Mapped"/>
    <s v="User Not Mapped"/>
    <s v="User Not Mapped"/>
    <n v="909678"/>
    <s v="EMAJUL HOQUE"/>
    <s v="Private Retailer"/>
    <s v="7797901129"/>
    <n v="7.875"/>
    <n v="173"/>
    <x v="0"/>
    <m/>
    <s v="2025-11-05"/>
    <s v="260350"/>
    <s v="Adarsha Krishi Bhandar"/>
    <s v="9434422447"/>
  </r>
  <r>
    <s v="RCF Trombay"/>
    <s v="15-15-15"/>
    <s v="WB"/>
    <x v="12"/>
    <s v="Chanchal - I"/>
    <s v="User Not Mapped"/>
    <s v="User Not Mapped"/>
    <s v="User Not Mapped"/>
    <n v="919985"/>
    <s v="M/S NOWSAD ALI"/>
    <s v="Private Retailer"/>
    <s v="9734955750"/>
    <n v="0.04"/>
    <n v="2673"/>
    <x v="7"/>
    <m/>
    <s v="2019-01-01"/>
    <s v="11"/>
    <s v="Too Old Stock"/>
    <m/>
  </r>
  <r>
    <s v="RCF Import"/>
    <s v="Imp DAP"/>
    <s v="WB"/>
    <x v="12"/>
    <s v="Chanchal - I"/>
    <s v="User Not Mapped"/>
    <s v="User Not Mapped"/>
    <s v="User Not Mapped"/>
    <n v="924531"/>
    <s v="M/S-NURUL ISLAM"/>
    <s v="Private Retailer"/>
    <s v="9563007800"/>
    <n v="0.85"/>
    <n v="1480"/>
    <x v="7"/>
    <m/>
    <s v="2022-04-08"/>
    <s v="260350"/>
    <s v="Adarsha Krishi Bhandar"/>
    <s v="9434422447"/>
  </r>
  <r>
    <s v="RCF Thal"/>
    <s v="N.C.Urea(45kg)"/>
    <s v="WB"/>
    <x v="12"/>
    <s v="Chanchal - I"/>
    <s v="User Not Mapped"/>
    <s v="User Not Mapped"/>
    <s v="User Not Mapped"/>
    <n v="924531"/>
    <s v="M/S-NURUL ISLAM"/>
    <s v="Private Retailer"/>
    <s v="9563007800"/>
    <n v="5.8949999999999996"/>
    <n v="1510"/>
    <x v="7"/>
    <m/>
    <s v="2022-03-09"/>
    <s v="260350"/>
    <s v="Adarsha Krishi Bhandar"/>
    <s v="9434422447"/>
  </r>
  <r>
    <s v="RCF Trombay"/>
    <s v="15-15-15"/>
    <s v="WB"/>
    <x v="12"/>
    <s v="Chanchal - I"/>
    <s v="User Not Mapped"/>
    <s v="User Not Mapped"/>
    <s v="User Not Mapped"/>
    <n v="924531"/>
    <s v="M/S-NURUL ISLAM"/>
    <s v="Private Retailer"/>
    <s v="9563007800"/>
    <n v="1"/>
    <n v="1480"/>
    <x v="7"/>
    <m/>
    <s v="2022-04-08"/>
    <s v="260350"/>
    <s v="Adarsha Krishi Bhandar"/>
    <s v="9434422447"/>
  </r>
  <r>
    <s v="RCF Trombay"/>
    <s v="N.C.Urea(45kg)"/>
    <s v="WB"/>
    <x v="12"/>
    <s v="Chanchal - I"/>
    <s v="User Not Mapped"/>
    <s v="User Not Mapped"/>
    <s v="User Not Mapped"/>
    <n v="924531"/>
    <s v="M/S-NURUL ISLAM"/>
    <s v="Private Retailer"/>
    <s v="9563007800"/>
    <n v="0.72"/>
    <n v="1522"/>
    <x v="7"/>
    <m/>
    <s v="2022-02-25"/>
    <s v="260350"/>
    <s v="Adarsha Krishi Bhandar"/>
    <s v="9434422447"/>
  </r>
  <r>
    <s v="RCF Trombay"/>
    <s v="15-15-15"/>
    <s v="WB"/>
    <x v="12"/>
    <s v="Chanchal - I"/>
    <s v="User Not Mapped"/>
    <s v="User Not Mapped"/>
    <s v="User Not Mapped"/>
    <n v="924531"/>
    <s v="M/S-NURUL ISLAM"/>
    <s v="Private Retailer"/>
    <s v="9563007800"/>
    <n v="0.55000000000000004"/>
    <n v="1501"/>
    <x v="7"/>
    <m/>
    <s v="2022-03-18"/>
    <s v="260350"/>
    <s v="Adarsha Krishi Bhandar"/>
    <s v="9434422447"/>
  </r>
  <r>
    <s v="RCF Trombay"/>
    <s v="N.C.Urea(45kg)"/>
    <s v="WB"/>
    <x v="12"/>
    <s v="Chanchal - I"/>
    <s v="User Not Mapped"/>
    <s v="User Not Mapped"/>
    <s v="User Not Mapped"/>
    <n v="989678"/>
    <s v="AZMIRA SAR BHANDAR "/>
    <s v="Private Retailer"/>
    <s v="8926731825"/>
    <n v="9.9450000000000003"/>
    <n v="143"/>
    <x v="0"/>
    <m/>
    <s v="2025-12-05"/>
    <s v="269982"/>
    <s v="M/s Jatindra Nath Saha"/>
    <s v="7431922103"/>
  </r>
  <r>
    <s v="RCF Thal"/>
    <s v="N.C.Urea(45kg)"/>
    <s v="WB"/>
    <x v="12"/>
    <s v="Chanchal - I"/>
    <s v="User Not Mapped"/>
    <s v="User Not Mapped"/>
    <s v="User Not Mapped"/>
    <n v="993240"/>
    <s v="SAHABUDDIN AHAMED"/>
    <s v="Private Retailer"/>
    <s v="9635983584"/>
    <n v="2.5649999999999999"/>
    <n v="69"/>
    <x v="2"/>
    <m/>
    <s v="2026-02-17"/>
    <s v="270157"/>
    <s v="M/s. Kanailal Keder Prasad"/>
    <s v="9474075544"/>
  </r>
  <r>
    <s v="RCF Trombay"/>
    <s v="15-15-15"/>
    <s v="WB"/>
    <x v="12"/>
    <s v="Chanchal - I"/>
    <s v="User Not Mapped"/>
    <s v="User Not Mapped"/>
    <s v="User Not Mapped"/>
    <n v="994842"/>
    <s v="M/S MATIUR RAHAMAN"/>
    <s v="Private Retailer"/>
    <s v="9775546182"/>
    <n v="0.41"/>
    <n v="1525"/>
    <x v="7"/>
    <m/>
    <s v="2022-02-22"/>
    <s v="260350"/>
    <s v="Adarsha Krishi Bhandar"/>
    <s v="9434422447"/>
  </r>
  <r>
    <s v="RCF Trombay"/>
    <s v="15-15-15"/>
    <s v="WB"/>
    <x v="12"/>
    <s v="Chanchal - I"/>
    <s v="User Not Mapped"/>
    <s v="User Not Mapped"/>
    <s v="User Not Mapped"/>
    <n v="994842"/>
    <s v="M/S MATIUR RAHAMAN"/>
    <s v="Private Retailer"/>
    <s v="9775546182"/>
    <n v="0.5"/>
    <n v="759"/>
    <x v="7"/>
    <m/>
    <s v="2024-03-29"/>
    <s v="260350"/>
    <s v="Adarsha Krishi Bhandar"/>
    <s v="9434422447"/>
  </r>
  <r>
    <s v="RCF Thal"/>
    <s v="N.C.Urea(45kg)"/>
    <s v="WB"/>
    <x v="12"/>
    <s v="Chanchal - I"/>
    <s v="User Not Mapped"/>
    <s v="User Not Mapped"/>
    <s v="User Not Mapped"/>
    <n v="1395270"/>
    <s v="M/S RUBEL KRISHI BHANDAR"/>
    <s v="Private Retailer"/>
    <s v="6294184442"/>
    <n v="3.8250000000000002"/>
    <n v="69"/>
    <x v="2"/>
    <m/>
    <s v="2026-02-17"/>
    <s v="270157"/>
    <s v="M/s. Kanailal Keder Prasad"/>
    <s v="9474075544"/>
  </r>
  <r>
    <s v="RCF Thal"/>
    <s v="N.C.Urea(45kg)"/>
    <s v="WB"/>
    <x v="12"/>
    <s v="Chanchal - I"/>
    <s v="User Not Mapped"/>
    <s v="User Not Mapped"/>
    <s v="User Not Mapped"/>
    <n v="1534976"/>
    <s v="MAHBUB ALAM"/>
    <s v="Private Retailer"/>
    <s v="9775196297"/>
    <n v="5.8049999999999997"/>
    <n v="24"/>
    <x v="4"/>
    <m/>
    <s v="2026-04-03"/>
    <s v="270157"/>
    <s v="M/s. Kanailal Keder Prasad"/>
    <s v="9474075544"/>
  </r>
  <r>
    <s v="RCF Thal"/>
    <s v="N.C.Urea(45kg)"/>
    <s v="WB"/>
    <x v="12"/>
    <s v="Chanchal - II"/>
    <s v="User Not Mapped"/>
    <s v="User Not Mapped"/>
    <s v="User Not Mapped"/>
    <n v="280654"/>
    <s v="M/S Prafulla Mandal"/>
    <s v="Private Retailer"/>
    <s v="9733371601"/>
    <n v="1.2649999999999999"/>
    <n v="499"/>
    <x v="6"/>
    <m/>
    <s v="2024-12-14"/>
    <s v="1000527"/>
    <s v="M/s Bhumi Laxmi"/>
    <s v="9932113924"/>
  </r>
  <r>
    <s v="RCF Thal"/>
    <s v="N.C.Urea(45kg)"/>
    <s v="WB"/>
    <x v="12"/>
    <s v="Chanchal - II"/>
    <s v="User Not Mapped"/>
    <s v="User Not Mapped"/>
    <s v="User Not Mapped"/>
    <n v="280654"/>
    <s v="M/S Prafulla Mandal"/>
    <s v="Private Retailer"/>
    <s v="9733371601"/>
    <n v="4.05"/>
    <n v="447"/>
    <x v="6"/>
    <m/>
    <s v="2025-02-04"/>
    <s v="260350"/>
    <s v="Adarsha Krishi Bhandar"/>
    <s v="9434422447"/>
  </r>
  <r>
    <s v="RCF Thal"/>
    <s v="N.C.Urea(45kg)"/>
    <s v="WB"/>
    <x v="12"/>
    <s v="Chanchal - II"/>
    <s v="User Not Mapped"/>
    <s v="User Not Mapped"/>
    <s v="User Not Mapped"/>
    <n v="288837"/>
    <s v="Akmal Hossain"/>
    <s v="Private Retailer"/>
    <s v="9733458122"/>
    <n v="2.52"/>
    <n v="49"/>
    <x v="1"/>
    <m/>
    <s v="2026-03-09"/>
    <s v="268712"/>
    <s v="M/s BirendraNathSaha O Partner"/>
    <s v="9232761461"/>
  </r>
  <r>
    <s v="RCF Trombay"/>
    <s v="N.C.Urea(45kg)"/>
    <s v="WB"/>
    <x v="12"/>
    <s v="Chanchal - II"/>
    <s v="User Not Mapped"/>
    <s v="User Not Mapped"/>
    <s v="User Not Mapped"/>
    <n v="307700"/>
    <s v="Md. Niamataulah"/>
    <s v="Private Retailer"/>
    <s v="9775968084"/>
    <n v="9.2249999999999996"/>
    <n v="143"/>
    <x v="0"/>
    <m/>
    <s v="2025-12-05"/>
    <s v="269982"/>
    <s v="M/s Jatindra Nath Saha"/>
    <s v="7431922103"/>
  </r>
  <r>
    <s v="RCF Thal"/>
    <s v="N.C.Urea(45kg)"/>
    <s v="WB"/>
    <x v="12"/>
    <s v="Chanchal - II"/>
    <s v="User Not Mapped"/>
    <s v="User Not Mapped"/>
    <s v="User Not Mapped"/>
    <n v="307700"/>
    <s v="Md. Niamataulah"/>
    <s v="Private Retailer"/>
    <s v="9775968084"/>
    <n v="6.39"/>
    <n v="154"/>
    <x v="0"/>
    <m/>
    <s v="2025-11-24"/>
    <s v="269982"/>
    <s v="M/s Jatindra Nath Saha"/>
    <s v="7431922103"/>
  </r>
  <r>
    <s v="RCF Thal"/>
    <s v="N.C.Urea(45kg)"/>
    <s v="WB"/>
    <x v="12"/>
    <s v="Chanchal - II"/>
    <s v="User Not Mapped"/>
    <s v="User Not Mapped"/>
    <s v="User Not Mapped"/>
    <n v="307700"/>
    <s v="Md. Niamataulah"/>
    <s v="Private Retailer"/>
    <s v="9775968084"/>
    <n v="11.025"/>
    <n v="68"/>
    <x v="2"/>
    <m/>
    <s v="2026-02-18"/>
    <s v="269982"/>
    <s v="M/s Jatindra Nath Saha"/>
    <s v="7431922103"/>
  </r>
  <r>
    <s v="RCF Thal"/>
    <s v="N.C.Urea(45kg)"/>
    <s v="WB"/>
    <x v="12"/>
    <s v="Chanchal - II"/>
    <s v="User Not Mapped"/>
    <s v="User Not Mapped"/>
    <s v="User Not Mapped"/>
    <n v="354607"/>
    <s v="Asfaque Hossainchoudhury"/>
    <s v="Private Retailer"/>
    <s v="9733358066"/>
    <n v="11.025"/>
    <n v="155"/>
    <x v="0"/>
    <m/>
    <s v="2025-11-23"/>
    <s v="270157"/>
    <s v="M/s. Kanailal Keder Prasad"/>
    <s v="9474075544"/>
  </r>
  <r>
    <s v="RCF Trombay"/>
    <s v="N.C.Urea(45kg)"/>
    <s v="WB"/>
    <x v="12"/>
    <s v="Chanchal - II"/>
    <s v="User Not Mapped"/>
    <s v="User Not Mapped"/>
    <s v="User Not Mapped"/>
    <n v="411548"/>
    <s v="Abdul Halim"/>
    <s v="Private Retailer"/>
    <s v="9593604016"/>
    <n v="0.67500000000000004"/>
    <n v="172"/>
    <x v="0"/>
    <m/>
    <s v="2025-11-06"/>
    <s v="270157"/>
    <s v="M/s. Kanailal Keder Prasad"/>
    <s v="9474075544"/>
  </r>
  <r>
    <s v="RCF Thal"/>
    <s v="N.C.Urea(45kg)"/>
    <s v="WB"/>
    <x v="12"/>
    <s v="Chanchal - II"/>
    <s v="User Not Mapped"/>
    <s v="User Not Mapped"/>
    <s v="User Not Mapped"/>
    <n v="411870"/>
    <s v="Abdul Halim"/>
    <s v="Private Retailer"/>
    <s v="9735009967"/>
    <n v="6.48"/>
    <n v="292"/>
    <x v="3"/>
    <m/>
    <s v="2025-07-09"/>
    <s v="268712"/>
    <s v="M/s BirendraNathSaha O Partner"/>
    <s v="9232761461"/>
  </r>
  <r>
    <s v="RCF Thal"/>
    <s v="N.C.Urea(45kg)"/>
    <s v="WB"/>
    <x v="12"/>
    <s v="Chanchal - II"/>
    <s v="User Not Mapped"/>
    <s v="User Not Mapped"/>
    <s v="User Not Mapped"/>
    <n v="553430"/>
    <s v="Jahangir Hossain"/>
    <s v="Private Retailer"/>
    <s v="9153481569"/>
    <n v="5.13"/>
    <n v="49"/>
    <x v="1"/>
    <m/>
    <s v="2026-03-09"/>
    <s v="270157"/>
    <s v="M/s. Kanailal Keder Prasad"/>
    <s v="9474075544"/>
  </r>
  <r>
    <s v="RCF Thal"/>
    <s v="N.C.Urea(45kg)"/>
    <s v="WB"/>
    <x v="12"/>
    <s v="Chanchal - II"/>
    <s v="User Not Mapped"/>
    <s v="User Not Mapped"/>
    <s v="User Not Mapped"/>
    <n v="627919"/>
    <s v="MITHUN MANDAL"/>
    <s v="Private Retailer"/>
    <s v="8945848352"/>
    <n v="1.9350000000000001"/>
    <n v="68"/>
    <x v="2"/>
    <m/>
    <s v="2026-02-18"/>
    <s v="260350"/>
    <s v="Adarsha Krishi Bhandar"/>
    <s v="9434422447"/>
  </r>
  <r>
    <s v="RCF Trombay"/>
    <s v="N.C.Urea(45kg)"/>
    <s v="WB"/>
    <x v="12"/>
    <s v="Chanchal - II"/>
    <s v="User Not Mapped"/>
    <s v="User Not Mapped"/>
    <s v="User Not Mapped"/>
    <n v="639025"/>
    <s v="KRISHNA NATH MANDAL"/>
    <s v="Private Retailer"/>
    <s v="8768866496"/>
    <n v="5.31"/>
    <n v="2"/>
    <x v="4"/>
    <m/>
    <s v="2026-04-25"/>
    <s v="260350"/>
    <s v="Adarsha Krishi Bhandar"/>
    <s v="9434422447"/>
  </r>
  <r>
    <s v="RCF Thal"/>
    <s v="N.C.Urea(45kg)"/>
    <s v="WB"/>
    <x v="12"/>
    <s v="Chanchal - II"/>
    <s v="User Not Mapped"/>
    <s v="User Not Mapped"/>
    <s v="User Not Mapped"/>
    <n v="639389"/>
    <s v="HOBIBUR RAHAMAN"/>
    <s v="Private Retailer"/>
    <s v="9733048317"/>
    <n v="4.1399999999999997"/>
    <n v="49"/>
    <x v="1"/>
    <m/>
    <s v="2026-03-09"/>
    <s v="270157"/>
    <s v="M/s. Kanailal Keder Prasad"/>
    <s v="9474075544"/>
  </r>
  <r>
    <s v="RCF Thal"/>
    <s v="N.C.Urea(45kg)"/>
    <s v="WB"/>
    <x v="12"/>
    <s v="Chanchal - II"/>
    <s v="User Not Mapped"/>
    <s v="User Not Mapped"/>
    <s v="User Not Mapped"/>
    <n v="639431"/>
    <s v="TARIK AHAMED"/>
    <s v="Private Retailer"/>
    <s v="9647710125"/>
    <n v="3.87"/>
    <n v="49"/>
    <x v="1"/>
    <m/>
    <s v="2026-03-09"/>
    <s v="270157"/>
    <s v="M/s. Kanailal Keder Prasad"/>
    <s v="9474075544"/>
  </r>
  <r>
    <s v="RCF Thal"/>
    <s v="N.C.Urea(45kg)"/>
    <s v="WB"/>
    <x v="12"/>
    <s v="Chanchal - II"/>
    <s v="User Not Mapped"/>
    <s v="User Not Mapped"/>
    <s v="User Not Mapped"/>
    <n v="639443"/>
    <s v="RAJ KR GHOSH"/>
    <s v="Private Retailer"/>
    <s v="9733208934"/>
    <n v="0.09"/>
    <n v="1546"/>
    <x v="7"/>
    <m/>
    <s v="2022-02-01"/>
    <s v="533562"/>
    <s v="M/S Samaun Reja"/>
    <s v="9734975754"/>
  </r>
  <r>
    <s v="RCF Thal"/>
    <s v="N.C.Urea(45kg)"/>
    <s v="WB"/>
    <x v="12"/>
    <s v="Chanchal - II"/>
    <s v="User Not Mapped"/>
    <s v="User Not Mapped"/>
    <s v="User Not Mapped"/>
    <n v="888151"/>
    <s v="SWAPAN YADAB"/>
    <s v="Private Retailer"/>
    <s v="7679733246"/>
    <n v="0.40500000000000003"/>
    <n v="410"/>
    <x v="6"/>
    <m/>
    <s v="2025-03-13"/>
    <s v="269982"/>
    <s v="M/s Jatindra Nath Saha"/>
    <s v="7431922103"/>
  </r>
  <r>
    <s v="RCF Thal"/>
    <s v="N.C.Urea(45kg)"/>
    <s v="WB"/>
    <x v="12"/>
    <s v="Chanchal - II"/>
    <s v="User Not Mapped"/>
    <s v="User Not Mapped"/>
    <s v="User Not Mapped"/>
    <n v="892269"/>
    <s v="MD. JALAL"/>
    <s v="Private Retailer"/>
    <s v="9733848634"/>
    <n v="2.5000000000000001E-2"/>
    <n v="292"/>
    <x v="3"/>
    <m/>
    <s v="2025-07-09"/>
    <s v="268712"/>
    <s v="M/s BirendraNathSaha O Partner"/>
    <s v="9232761461"/>
  </r>
  <r>
    <s v="RCF Thal"/>
    <s v="N.C.Urea(45kg)"/>
    <s v="WB"/>
    <x v="12"/>
    <s v="Chanchal - II"/>
    <s v="User Not Mapped"/>
    <s v="User Not Mapped"/>
    <s v="User Not Mapped"/>
    <n v="913689"/>
    <s v="PRAKASH SARKAR"/>
    <s v="Private Retailer"/>
    <s v="7872933931"/>
    <n v="2.4750000000000001"/>
    <n v="1546"/>
    <x v="7"/>
    <m/>
    <s v="2022-02-01"/>
    <s v="533562"/>
    <s v="M/S Samaun Reja"/>
    <s v="9734975754"/>
  </r>
  <r>
    <s v="RCF Thal"/>
    <s v="N.C.Urea(45kg)"/>
    <s v="WB"/>
    <x v="12"/>
    <s v="Chanchal - II"/>
    <s v="User Not Mapped"/>
    <s v="User Not Mapped"/>
    <s v="User Not Mapped"/>
    <n v="916034"/>
    <s v="M/S RAFIKUL ALAM"/>
    <s v="Private Retailer"/>
    <s v="8348571935"/>
    <n v="0.54"/>
    <n v="49"/>
    <x v="1"/>
    <m/>
    <s v="2026-03-09"/>
    <s v="270157"/>
    <s v="M/s. Kanailal Keder Prasad"/>
    <s v="9474075544"/>
  </r>
  <r>
    <s v="RCF Thal"/>
    <s v="N.C.Urea(45kg)"/>
    <s v="WB"/>
    <x v="12"/>
    <s v="Chanchal - II"/>
    <s v="User Not Mapped"/>
    <s v="User Not Mapped"/>
    <s v="User Not Mapped"/>
    <n v="916038"/>
    <s v="M/S WAKIBUL HASSAN"/>
    <s v="Private Retailer"/>
    <s v="9851859430"/>
    <n v="5.625"/>
    <n v="69"/>
    <x v="2"/>
    <m/>
    <s v="2026-02-17"/>
    <s v="270157"/>
    <s v="M/s. Kanailal Keder Prasad"/>
    <s v="9474075544"/>
  </r>
  <r>
    <s v="RCF Thal"/>
    <s v="N.C.Urea(45kg)"/>
    <s v="WB"/>
    <x v="12"/>
    <s v="Chanchal - II"/>
    <s v="User Not Mapped"/>
    <s v="User Not Mapped"/>
    <s v="User Not Mapped"/>
    <n v="916038"/>
    <s v="M/S WAKIBUL HASSAN"/>
    <s v="Private Retailer"/>
    <s v="9851859430"/>
    <n v="0.02"/>
    <n v="1149"/>
    <x v="7"/>
    <m/>
    <s v="2023-03-05"/>
    <s v="533562"/>
    <s v="M/S Samaun Reja"/>
    <s v="9734975754"/>
  </r>
  <r>
    <s v="RCF Thal"/>
    <s v="N.C.Urea(45kg)"/>
    <s v="WB"/>
    <x v="12"/>
    <s v="Chanchal - II"/>
    <s v="User Not Mapped"/>
    <s v="User Not Mapped"/>
    <s v="User Not Mapped"/>
    <n v="916048"/>
    <s v="M/S NAUSAD ALI"/>
    <s v="Private Retailer"/>
    <s v="9735721944"/>
    <n v="4.95"/>
    <n v="49"/>
    <x v="1"/>
    <m/>
    <s v="2026-03-09"/>
    <s v="270157"/>
    <s v="M/s. Kanailal Keder Prasad"/>
    <s v="9474075544"/>
  </r>
  <r>
    <s v="RCF Trombay"/>
    <s v="N.C.Urea(45kg)"/>
    <s v="WB"/>
    <x v="12"/>
    <s v="Chanchal - II"/>
    <s v="User Not Mapped"/>
    <s v="User Not Mapped"/>
    <s v="User Not Mapped"/>
    <n v="916056"/>
    <s v="M/S NILUFA BIBI"/>
    <s v="Private Retailer"/>
    <s v="9609792379"/>
    <n v="4.6349999999999998"/>
    <n v="173"/>
    <x v="0"/>
    <m/>
    <s v="2025-11-05"/>
    <s v="260350"/>
    <s v="Adarsha Krishi Bhandar"/>
    <s v="9434422447"/>
  </r>
  <r>
    <s v="RCF Thal"/>
    <s v="N.C.Urea(45kg)"/>
    <s v="WB"/>
    <x v="12"/>
    <s v="Chanchal - II"/>
    <s v="User Not Mapped"/>
    <s v="User Not Mapped"/>
    <s v="User Not Mapped"/>
    <n v="916058"/>
    <s v="M/S ABDUL AZIZ"/>
    <s v="Private Retailer"/>
    <s v="6294429282"/>
    <n v="2.36"/>
    <n v="154"/>
    <x v="0"/>
    <m/>
    <s v="2025-11-24"/>
    <s v="269982"/>
    <s v="M/s Jatindra Nath Saha"/>
    <s v="7431922103"/>
  </r>
  <r>
    <s v="RCF Thal"/>
    <s v="N.C.Urea(45kg)"/>
    <s v="WB"/>
    <x v="12"/>
    <s v="Chanchal - II"/>
    <s v="User Not Mapped"/>
    <s v="User Not Mapped"/>
    <s v="User Not Mapped"/>
    <n v="916058"/>
    <s v="M/S ABDUL AZIZ"/>
    <s v="Private Retailer"/>
    <s v="6294429282"/>
    <n v="5.625"/>
    <n v="68"/>
    <x v="2"/>
    <m/>
    <s v="2026-02-18"/>
    <s v="269982"/>
    <s v="M/s Jatindra Nath Saha"/>
    <s v="7431922103"/>
  </r>
  <r>
    <s v="RCF Thal"/>
    <s v="N.C.Urea(45kg)"/>
    <s v="WB"/>
    <x v="12"/>
    <s v="Chanchal - II"/>
    <s v="User Not Mapped"/>
    <s v="User Not Mapped"/>
    <s v="User Not Mapped"/>
    <n v="916058"/>
    <s v="M/S ABDUL AZIZ"/>
    <s v="Private Retailer"/>
    <s v="6294429282"/>
    <n v="5.625"/>
    <n v="49"/>
    <x v="1"/>
    <m/>
    <s v="2026-03-09"/>
    <s v="270157"/>
    <s v="M/s. Kanailal Keder Prasad"/>
    <s v="9474075544"/>
  </r>
  <r>
    <s v="RCF Thal"/>
    <s v="N.C.Urea(45kg)"/>
    <s v="WB"/>
    <x v="12"/>
    <s v="Chanchal - II"/>
    <s v="User Not Mapped"/>
    <s v="User Not Mapped"/>
    <s v="User Not Mapped"/>
    <n v="917262"/>
    <s v="M/S DILUYAR HOSSAN"/>
    <s v="Private Retailer"/>
    <s v="9832724234"/>
    <n v="5.49"/>
    <n v="22"/>
    <x v="4"/>
    <m/>
    <s v="2026-04-05"/>
    <s v="270157"/>
    <s v="M/s. Kanailal Keder Prasad"/>
    <s v="9474075544"/>
  </r>
  <r>
    <s v="RCF Trombay"/>
    <s v="N.C.Urea(45kg)"/>
    <s v="WB"/>
    <x v="12"/>
    <s v="Chanchal - II"/>
    <s v="User Not Mapped"/>
    <s v="User Not Mapped"/>
    <s v="User Not Mapped"/>
    <n v="917262"/>
    <s v="M/S DILUYAR HOSSAN"/>
    <s v="Private Retailer"/>
    <s v="9832724234"/>
    <n v="4.0949999999999998"/>
    <n v="1892"/>
    <x v="7"/>
    <m/>
    <s v="2021-02-20"/>
    <s v="270157"/>
    <s v="M/s. Kanailal Keder Prasad"/>
    <s v="9474075544"/>
  </r>
  <r>
    <s v="RCF Thal"/>
    <s v="N.C.Urea(45kg)"/>
    <s v="WB"/>
    <x v="12"/>
    <s v="Chanchal - II"/>
    <s v="User Not Mapped"/>
    <s v="User Not Mapped"/>
    <s v="User Not Mapped"/>
    <n v="917264"/>
    <s v="MASREKUL ALAM"/>
    <s v="Private Retailer"/>
    <s v="8371813561"/>
    <n v="3.645"/>
    <n v="69"/>
    <x v="2"/>
    <m/>
    <s v="2026-02-17"/>
    <s v="270157"/>
    <s v="M/s. Kanailal Keder Prasad"/>
    <s v="9474075544"/>
  </r>
  <r>
    <s v="RCF Thal"/>
    <s v="N.C.Urea(45kg)"/>
    <s v="WB"/>
    <x v="12"/>
    <s v="Chanchal - II"/>
    <s v="User Not Mapped"/>
    <s v="User Not Mapped"/>
    <s v="User Not Mapped"/>
    <n v="917270"/>
    <s v="M/S RAHUL KUMAR SAHA"/>
    <s v="Private Retailer"/>
    <s v="7432825789"/>
    <n v="5.4"/>
    <n v="69"/>
    <x v="2"/>
    <m/>
    <s v="2026-02-17"/>
    <s v="270157"/>
    <s v="M/s. Kanailal Keder Prasad"/>
    <s v="9474075544"/>
  </r>
  <r>
    <s v="RCF Thal"/>
    <s v="N.C.Urea(45kg)"/>
    <s v="WB"/>
    <x v="12"/>
    <s v="Chanchal - II"/>
    <s v="User Not Mapped"/>
    <s v="User Not Mapped"/>
    <s v="User Not Mapped"/>
    <n v="986730"/>
    <s v="M/S ABDUL ALIM"/>
    <s v="Private Retailer"/>
    <s v="9593996350"/>
    <n v="1.665"/>
    <n v="49"/>
    <x v="1"/>
    <m/>
    <s v="2026-03-09"/>
    <s v="270157"/>
    <s v="M/s. Kanailal Keder Prasad"/>
    <s v="9474075544"/>
  </r>
  <r>
    <s v="RCF Trombay"/>
    <s v="15-15-15"/>
    <s v="WB"/>
    <x v="12"/>
    <s v="Chanchal - II"/>
    <s v="User Not Mapped"/>
    <s v="User Not Mapped"/>
    <s v="User Not Mapped"/>
    <n v="994768"/>
    <s v="M/S HASEBUL HOQUE"/>
    <s v="Private Retailer"/>
    <s v="9932969520"/>
    <n v="0.55000000000000004"/>
    <n v="1157"/>
    <x v="7"/>
    <m/>
    <s v="2023-02-25"/>
    <s v="288983"/>
    <s v="Naba Kumar Saha"/>
    <s v="9733139884"/>
  </r>
  <r>
    <s v="RCF Trombay"/>
    <s v="15-15-15"/>
    <s v="WB"/>
    <x v="12"/>
    <s v="Chanchal - II"/>
    <s v="User Not Mapped"/>
    <s v="User Not Mapped"/>
    <s v="User Not Mapped"/>
    <n v="1202059"/>
    <s v="BIDYANANDAPUR ABUJ BAHINI FAR "/>
    <s v="Private Retailer"/>
    <s v="7031942786"/>
    <n v="5.4"/>
    <n v="150"/>
    <x v="0"/>
    <m/>
    <s v="2025-11-28"/>
    <s v="280849"/>
    <s v="Z Haque"/>
    <s v="9733413973"/>
  </r>
  <r>
    <s v="RCF Thal"/>
    <s v="N.C.Urea(45kg)"/>
    <s v="WB"/>
    <x v="12"/>
    <s v="Chanchal - II"/>
    <s v="User Not Mapped"/>
    <s v="User Not Mapped"/>
    <s v="User Not Mapped"/>
    <n v="1461395"/>
    <s v="MD ALAUDDIN"/>
    <s v="Private Retailer"/>
    <s v="8617671015"/>
    <n v="4.9050000000000002"/>
    <n v="49"/>
    <x v="1"/>
    <m/>
    <s v="2026-03-09"/>
    <s v="270157"/>
    <s v="M/s. Kanailal Keder Prasad"/>
    <s v="9474075544"/>
  </r>
  <r>
    <s v="RCF Thal"/>
    <s v="N.C.Urea(45kg)"/>
    <s v="WB"/>
    <x v="12"/>
    <s v="English Bazar"/>
    <s v="User Not Mapped"/>
    <s v="User Not Mapped"/>
    <s v="User Not Mapped"/>
    <n v="384646"/>
    <s v="Doli Saha"/>
    <s v="Private Retailer"/>
    <s v="7797969162"/>
    <n v="3.5550000000000002"/>
    <n v="47"/>
    <x v="1"/>
    <m/>
    <s v="2026-03-11"/>
    <s v="281269"/>
    <s v="M/s. Butto Krishna Paul"/>
    <s v="7908580984"/>
  </r>
  <r>
    <s v="RCF Trombay"/>
    <s v="N.C.Urea(45kg)"/>
    <s v="WB"/>
    <x v="12"/>
    <s v="English Bazar"/>
    <s v="User Not Mapped"/>
    <s v="User Not Mapped"/>
    <s v="User Not Mapped"/>
    <n v="387285"/>
    <s v="Adarsha Krishi Sar Bhandar"/>
    <s v="Private Retailer"/>
    <s v="9609747466"/>
    <n v="11.025"/>
    <n v="3"/>
    <x v="4"/>
    <m/>
    <s v="2026-04-24"/>
    <s v="270157"/>
    <s v="M/s. Kanailal Keder Prasad"/>
    <s v="9474075544"/>
  </r>
  <r>
    <s v="RCF Thal"/>
    <s v="N.C.Urea(45kg)"/>
    <s v="WB"/>
    <x v="12"/>
    <s v="English Bazar"/>
    <s v="User Not Mapped"/>
    <s v="User Not Mapped"/>
    <s v="User Not Mapped"/>
    <n v="387285"/>
    <s v="Adarsha Krishi Sar Bhandar"/>
    <s v="Private Retailer"/>
    <s v="9609747466"/>
    <n v="1.845"/>
    <n v="49"/>
    <x v="1"/>
    <m/>
    <s v="2026-03-09"/>
    <s v="270157"/>
    <s v="M/s. Kanailal Keder Prasad"/>
    <s v="9474075544"/>
  </r>
  <r>
    <s v="RCF Thal"/>
    <s v="N.C.Urea(45kg)"/>
    <s v="WB"/>
    <x v="12"/>
    <s v="English Bazar"/>
    <s v="User Not Mapped"/>
    <s v="User Not Mapped"/>
    <s v="User Not Mapped"/>
    <n v="407802"/>
    <s v="M/S SOVANAGAR AGRO INPUTS AGEN"/>
    <s v="Private Retailer"/>
    <s v="9733250547"/>
    <n v="11.025"/>
    <n v="49"/>
    <x v="1"/>
    <m/>
    <s v="2026-03-09"/>
    <s v="270157"/>
    <s v="M/s. Kanailal Keder Prasad"/>
    <s v="9474075544"/>
  </r>
  <r>
    <s v="RCF Thal"/>
    <s v="N.C.Urea(45kg)"/>
    <s v="WB"/>
    <x v="12"/>
    <s v="English Bazar"/>
    <s v="User Not Mapped"/>
    <s v="User Not Mapped"/>
    <s v="User Not Mapped"/>
    <n v="407802"/>
    <s v="M/S SOVANAGAR AGRO INPUTS AGEN"/>
    <s v="Private Retailer"/>
    <s v="9733250547"/>
    <n v="1.17"/>
    <n v="170"/>
    <x v="0"/>
    <m/>
    <s v="2025-11-08"/>
    <s v="270157"/>
    <s v="M/s. Kanailal Keder Prasad"/>
    <s v="9474075544"/>
  </r>
  <r>
    <s v="RCF Import"/>
    <s v="Imp 10-26-26"/>
    <s v="WB"/>
    <x v="12"/>
    <s v="English Bazar"/>
    <s v="User Not Mapped"/>
    <s v="User Not Mapped"/>
    <s v="User Not Mapped"/>
    <n v="475108"/>
    <s v="Basundhara Krishi Bhandar"/>
    <s v="Private Retailer"/>
    <s v="9735048108"/>
    <n v="0.3"/>
    <n v="478"/>
    <x v="6"/>
    <m/>
    <s v="2025-01-04"/>
    <s v="281277"/>
    <s v="Krishi Bipani"/>
    <s v="9434981339"/>
  </r>
  <r>
    <s v="RCF Thal"/>
    <s v="N.C.Urea(45kg)"/>
    <s v="WB"/>
    <x v="12"/>
    <s v="English Bazar"/>
    <s v="User Not Mapped"/>
    <s v="User Not Mapped"/>
    <s v="User Not Mapped"/>
    <n v="548270"/>
    <s v="Salema Krishi Sar Bhandar"/>
    <s v="Private Retailer"/>
    <s v="9734951604"/>
    <n v="0.46500000000000002"/>
    <n v="156"/>
    <x v="0"/>
    <m/>
    <s v="2025-11-22"/>
    <s v="281269"/>
    <s v="M/s. Butto Krishna Paul"/>
    <s v="7908580984"/>
  </r>
  <r>
    <s v="RCF Thal"/>
    <s v="N.C.Urea(45kg)"/>
    <s v="WB"/>
    <x v="12"/>
    <s v="English Bazar"/>
    <s v="User Not Mapped"/>
    <s v="User Not Mapped"/>
    <s v="User Not Mapped"/>
    <n v="617043"/>
    <s v="M/S ADHUNIK SAR BHANDAR"/>
    <s v="Private Retailer"/>
    <s v="8016529652"/>
    <n v="4.95"/>
    <n v="72"/>
    <x v="2"/>
    <m/>
    <s v="2026-02-14"/>
    <s v="268712"/>
    <s v="M/s BirendraNathSaha O Partner"/>
    <s v="9232761461"/>
  </r>
  <r>
    <s v="RCF Thal"/>
    <s v="N.C.Urea(45kg)"/>
    <s v="WB"/>
    <x v="12"/>
    <s v="English Bazar"/>
    <s v="User Not Mapped"/>
    <s v="User Not Mapped"/>
    <s v="User Not Mapped"/>
    <n v="624307"/>
    <s v="M/S DIPALI SAR BHANDER"/>
    <s v="Private Retailer"/>
    <s v="9434681497"/>
    <n v="12.15"/>
    <n v="68"/>
    <x v="2"/>
    <m/>
    <s v="2026-02-18"/>
    <s v="269982"/>
    <s v="M/s Jatindra Nath Saha"/>
    <s v="7431922103"/>
  </r>
  <r>
    <s v="RCF Import"/>
    <s v="Imp 10-26-26"/>
    <s v="WB"/>
    <x v="12"/>
    <s v="Gazole"/>
    <s v="User Not Mapped"/>
    <s v="User Not Mapped"/>
    <s v="User Not Mapped"/>
    <n v="288847"/>
    <s v="Bardanga Skus Ltd"/>
    <s v="PACS"/>
    <s v="9775243276"/>
    <n v="3.45"/>
    <n v="513"/>
    <x v="6"/>
    <m/>
    <s v="2024-11-30"/>
    <s v="741258"/>
    <s v="M/S SAHA FERTILIZER"/>
    <s v="8101653961"/>
  </r>
  <r>
    <s v="RCF Import"/>
    <s v="Imp 10-26-26"/>
    <s v="WB"/>
    <x v="12"/>
    <s v="Gazole"/>
    <s v="User Not Mapped"/>
    <s v="User Not Mapped"/>
    <s v="User Not Mapped"/>
    <n v="288849"/>
    <s v="Bhabanipur Sar Bhander"/>
    <s v="Private Retailer"/>
    <s v="9434682970"/>
    <n v="2.5499999999999998"/>
    <n v="80"/>
    <x v="2"/>
    <m/>
    <s v="2026-02-06"/>
    <s v="260350"/>
    <s v="Adarsha Krishi Bhandar"/>
    <s v="9434422447"/>
  </r>
  <r>
    <s v="RCF Thal"/>
    <s v="N.C.Urea(45kg)"/>
    <s v="WB"/>
    <x v="12"/>
    <s v="Gazole"/>
    <s v="User Not Mapped"/>
    <s v="User Not Mapped"/>
    <s v="User Not Mapped"/>
    <n v="288849"/>
    <s v="Bhabanipur Sar Bhander"/>
    <s v="Private Retailer"/>
    <s v="9434682970"/>
    <n v="1.395"/>
    <n v="68"/>
    <x v="2"/>
    <m/>
    <s v="2026-02-18"/>
    <s v="260350"/>
    <s v="Adarsha Krishi Bhandar"/>
    <s v="9434422447"/>
  </r>
  <r>
    <s v="RCF Thal"/>
    <s v="N.C.Urea(45kg)"/>
    <s v="WB"/>
    <x v="12"/>
    <s v="Gazole"/>
    <s v="User Not Mapped"/>
    <s v="User Not Mapped"/>
    <s v="User Not Mapped"/>
    <n v="288863"/>
    <s v="Dipak Sarkar"/>
    <s v="Private Retailer"/>
    <s v="9932366393"/>
    <n v="3.2850000000000001"/>
    <n v="136"/>
    <x v="0"/>
    <m/>
    <s v="2025-12-12"/>
    <s v="269982"/>
    <s v="M/s Jatindra Nath Saha"/>
    <s v="7431922103"/>
  </r>
  <r>
    <s v="RCF Thal"/>
    <s v="N.C.Urea(45kg)"/>
    <s v="WB"/>
    <x v="12"/>
    <s v="Gazole"/>
    <s v="User Not Mapped"/>
    <s v="User Not Mapped"/>
    <s v="User Not Mapped"/>
    <n v="288876"/>
    <s v="Janani Sar Bhander"/>
    <s v="Private Retailer"/>
    <s v="9932497933"/>
    <n v="3.24"/>
    <n v="93"/>
    <x v="5"/>
    <m/>
    <s v="2026-01-24"/>
    <s v="260350"/>
    <s v="Adarsha Krishi Bhandar"/>
    <s v="9434422447"/>
  </r>
  <r>
    <s v="RCF Import"/>
    <s v="Imp 10-26-26"/>
    <s v="WB"/>
    <x v="12"/>
    <s v="Gazole"/>
    <s v="User Not Mapped"/>
    <s v="User Not Mapped"/>
    <s v="User Not Mapped"/>
    <n v="288893"/>
    <s v="Mandal Sar Bhandar"/>
    <s v="Private Retailer"/>
    <s v="9733174782"/>
    <n v="0.45"/>
    <n v="58"/>
    <x v="1"/>
    <m/>
    <s v="2026-02-28"/>
    <s v="270157"/>
    <s v="M/s. Kanailal Keder Prasad"/>
    <s v="9474075544"/>
  </r>
  <r>
    <s v="RCF Trombay"/>
    <s v="15-15-15"/>
    <s v="WB"/>
    <x v="12"/>
    <s v="Gazole"/>
    <s v="User Not Mapped"/>
    <s v="User Not Mapped"/>
    <s v="User Not Mapped"/>
    <n v="288893"/>
    <s v="Mandal Sar Bhandar"/>
    <s v="Private Retailer"/>
    <s v="9733174782"/>
    <n v="0.85"/>
    <n v="146"/>
    <x v="0"/>
    <m/>
    <s v="2025-12-02"/>
    <s v="652957"/>
    <s v="M/S MAITRA FERTILIZER"/>
    <s v="7908844177"/>
  </r>
  <r>
    <s v="RCF Thal"/>
    <s v="N.C.Urea(45kg)"/>
    <s v="WB"/>
    <x v="12"/>
    <s v="Gazole"/>
    <s v="User Not Mapped"/>
    <s v="User Not Mapped"/>
    <s v="User Not Mapped"/>
    <n v="288893"/>
    <s v="Mandal Sar Bhandar"/>
    <s v="Private Retailer"/>
    <s v="9733174782"/>
    <n v="10.395"/>
    <n v="49"/>
    <x v="1"/>
    <m/>
    <s v="2026-03-09"/>
    <s v="270157"/>
    <s v="M/s. Kanailal Keder Prasad"/>
    <s v="9474075544"/>
  </r>
  <r>
    <s v="RCF Thal"/>
    <s v="N.C.Urea(45kg)"/>
    <s v="WB"/>
    <x v="12"/>
    <s v="Gazole"/>
    <s v="User Not Mapped"/>
    <s v="User Not Mapped"/>
    <s v="User Not Mapped"/>
    <n v="288907"/>
    <s v="M/S Akshaya Sar Bhandar"/>
    <s v="Private Retailer"/>
    <s v="8617666761"/>
    <n v="11.025"/>
    <n v="97"/>
    <x v="5"/>
    <m/>
    <s v="2026-01-20"/>
    <s v="270157"/>
    <s v="M/s. Kanailal Keder Prasad"/>
    <s v="9474075544"/>
  </r>
  <r>
    <s v="RCF Thal"/>
    <s v="N.C.Urea(45kg)"/>
    <s v="WB"/>
    <x v="12"/>
    <s v="Gazole"/>
    <s v="User Not Mapped"/>
    <s v="User Not Mapped"/>
    <s v="User Not Mapped"/>
    <n v="288907"/>
    <s v="M/S Akshaya Sar Bhandar"/>
    <s v="Private Retailer"/>
    <s v="8617666761"/>
    <n v="8.2349999999999994"/>
    <n v="145"/>
    <x v="0"/>
    <m/>
    <s v="2025-12-03"/>
    <s v="260350"/>
    <s v="Adarsha Krishi Bhandar"/>
    <s v="9434422447"/>
  </r>
  <r>
    <s v="RCF Import"/>
    <s v="Imp 10-26-26"/>
    <s v="WB"/>
    <x v="12"/>
    <s v="Gazole"/>
    <s v="User Not Mapped"/>
    <s v="User Not Mapped"/>
    <s v="User Not Mapped"/>
    <n v="288915"/>
    <s v="M/S RAJLAXMI SAR BHANDAR"/>
    <s v="Private Retailer"/>
    <s v="9434511160"/>
    <n v="3.75"/>
    <n v="77"/>
    <x v="2"/>
    <m/>
    <s v="2026-02-09"/>
    <s v="269982"/>
    <s v="M/s Jatindra Nath Saha"/>
    <s v="7431922103"/>
  </r>
  <r>
    <s v="RCF Trombay"/>
    <s v="15-15-15"/>
    <s v="WB"/>
    <x v="12"/>
    <s v="Gazole"/>
    <s v="User Not Mapped"/>
    <s v="User Not Mapped"/>
    <s v="User Not Mapped"/>
    <n v="288915"/>
    <s v="M/S RAJLAXMI SAR BHANDAR"/>
    <s v="Private Retailer"/>
    <s v="9434511160"/>
    <n v="3.15"/>
    <n v="138"/>
    <x v="0"/>
    <m/>
    <s v="2025-12-10"/>
    <s v="1324728"/>
    <s v="RAJLAXMI SAR BHANDER"/>
    <s v="9775843959"/>
  </r>
  <r>
    <s v="RCF Thal"/>
    <s v="N.C.Urea(45kg)"/>
    <s v="WB"/>
    <x v="12"/>
    <s v="Gazole"/>
    <s v="User Not Mapped"/>
    <s v="User Not Mapped"/>
    <s v="User Not Mapped"/>
    <n v="288926"/>
    <s v="M/S Nazima Sar Bhandar"/>
    <s v="Private Retailer"/>
    <s v="9733189407"/>
    <n v="10.89"/>
    <n v="49"/>
    <x v="1"/>
    <m/>
    <s v="2026-03-09"/>
    <s v="268712"/>
    <s v="M/s BirendraNathSaha O Partner"/>
    <s v="9232761461"/>
  </r>
  <r>
    <s v="RCF Thal"/>
    <s v="N.C.Urea(45kg)"/>
    <s v="WB"/>
    <x v="12"/>
    <s v="Gazole"/>
    <s v="User Not Mapped"/>
    <s v="User Not Mapped"/>
    <s v="User Not Mapped"/>
    <n v="288930"/>
    <s v="M/S Raja Sar Bhandar"/>
    <s v="Private Retailer"/>
    <s v="9734989297"/>
    <n v="6.5250000000000004"/>
    <n v="98"/>
    <x v="5"/>
    <m/>
    <s v="2026-01-19"/>
    <s v="268712"/>
    <s v="M/s BirendraNathSaha O Partner"/>
    <s v="9232761461"/>
  </r>
  <r>
    <s v="RCF Thal"/>
    <s v="N.C.Urea(45kg)"/>
    <s v="WB"/>
    <x v="12"/>
    <s v="Gazole"/>
    <s v="User Not Mapped"/>
    <s v="User Not Mapped"/>
    <s v="User Not Mapped"/>
    <n v="288934"/>
    <s v="M/S Sabuj Krishi Sar Bhandra"/>
    <s v="Private Retailer"/>
    <s v="9732487462"/>
    <n v="5.5350000000000001"/>
    <n v="47"/>
    <x v="1"/>
    <m/>
    <s v="2026-03-11"/>
    <s v="269982"/>
    <s v="M/s Jatindra Nath Saha"/>
    <s v="7431922103"/>
  </r>
  <r>
    <s v="RCF Import"/>
    <s v="Imp 10-26-26"/>
    <s v="WB"/>
    <x v="12"/>
    <s v="Gazole"/>
    <s v="User Not Mapped"/>
    <s v="User Not Mapped"/>
    <s v="User Not Mapped"/>
    <n v="288934"/>
    <s v="M/S Sabuj Krishi Sar Bhandra"/>
    <s v="Private Retailer"/>
    <s v="9732487462"/>
    <n v="11"/>
    <n v="52"/>
    <x v="1"/>
    <m/>
    <s v="2026-03-06"/>
    <s v="1259524"/>
    <s v="M/S KRISHI GHAR"/>
    <s v="9064113554"/>
  </r>
  <r>
    <s v="RCF Import"/>
    <s v="Imp 10-26-26"/>
    <s v="WB"/>
    <x v="12"/>
    <s v="Gazole"/>
    <s v="User Not Mapped"/>
    <s v="User Not Mapped"/>
    <s v="User Not Mapped"/>
    <n v="288945"/>
    <s v="Nabaday Skus Ltd."/>
    <s v="PACS"/>
    <s v="7001269283"/>
    <n v="0.45"/>
    <n v="511"/>
    <x v="6"/>
    <m/>
    <s v="2024-12-02"/>
    <s v="741258"/>
    <s v="M/S SAHA FERTILIZER"/>
    <s v="8101653961"/>
  </r>
  <r>
    <s v="RCF Import"/>
    <s v="Imp 10-26-26"/>
    <s v="WB"/>
    <x v="12"/>
    <s v="Gazole"/>
    <s v="User Not Mapped"/>
    <s v="User Not Mapped"/>
    <s v="User Not Mapped"/>
    <n v="288955"/>
    <s v="Rasu Roy"/>
    <s v="Private Retailer"/>
    <s v="9932408990"/>
    <n v="6.2"/>
    <n v="80"/>
    <x v="2"/>
    <m/>
    <s v="2026-02-06"/>
    <s v="260350"/>
    <s v="Adarsha Krishi Bhandar"/>
    <s v="9434422447"/>
  </r>
  <r>
    <s v="RCF Thal"/>
    <s v="N.C.Urea(45kg)"/>
    <s v="WB"/>
    <x v="12"/>
    <s v="Gazole"/>
    <s v="User Not Mapped"/>
    <s v="User Not Mapped"/>
    <s v="User Not Mapped"/>
    <n v="288956"/>
    <s v="Sabuj Fasal"/>
    <s v="Private Retailer"/>
    <s v="9563182882"/>
    <n v="5.4450000000000003"/>
    <n v="61"/>
    <x v="2"/>
    <m/>
    <s v="2026-02-25"/>
    <s v="281272"/>
    <s v="M/s. Bimal Chandra Das"/>
    <s v="9734196261"/>
  </r>
  <r>
    <s v="RCF Thal"/>
    <s v="N.C.Urea(45kg)"/>
    <s v="WB"/>
    <x v="12"/>
    <s v="Gazole"/>
    <s v="User Not Mapped"/>
    <s v="User Not Mapped"/>
    <s v="User Not Mapped"/>
    <n v="288956"/>
    <s v="Sabuj Fasal"/>
    <s v="Private Retailer"/>
    <s v="9563182882"/>
    <n v="0.63"/>
    <n v="171"/>
    <x v="0"/>
    <m/>
    <s v="2025-11-07"/>
    <s v="260350"/>
    <s v="Adarsha Krishi Bhandar"/>
    <s v="9434422447"/>
  </r>
  <r>
    <s v="RCF Thal"/>
    <s v="N.C.Urea(45kg)"/>
    <s v="WB"/>
    <x v="12"/>
    <s v="Gazole"/>
    <s v="User Not Mapped"/>
    <s v="User Not Mapped"/>
    <s v="User Not Mapped"/>
    <n v="288958"/>
    <s v="Sabuj Sar Bhandar"/>
    <s v="Private Retailer"/>
    <s v="9932488382"/>
    <n v="2.6549999999999998"/>
    <n v="136"/>
    <x v="0"/>
    <m/>
    <s v="2025-12-12"/>
    <s v="260350"/>
    <s v="Adarsha Krishi Bhandar"/>
    <s v="9434422447"/>
  </r>
  <r>
    <s v="RCF Thal"/>
    <s v="N.C.Urea(45kg)"/>
    <s v="WB"/>
    <x v="12"/>
    <s v="Gazole"/>
    <s v="User Not Mapped"/>
    <s v="User Not Mapped"/>
    <s v="User Not Mapped"/>
    <n v="328206"/>
    <s v="Biswanath Jha"/>
    <s v="Private Retailer"/>
    <s v="9475702597"/>
    <n v="1.9350000000000001"/>
    <n v="228"/>
    <x v="3"/>
    <m/>
    <s v="2025-09-11"/>
    <s v="269982"/>
    <s v="M/s Jatindra Nath Saha"/>
    <s v="7431922103"/>
  </r>
  <r>
    <s v="RCF Thal"/>
    <s v="N.C.Urea(45kg)"/>
    <s v="WB"/>
    <x v="12"/>
    <s v="Gazole"/>
    <s v="User Not Mapped"/>
    <s v="User Not Mapped"/>
    <s v="User Not Mapped"/>
    <n v="328236"/>
    <s v="M/S Nepal Chandra Mondal"/>
    <s v="Private Retailer"/>
    <s v="9933346772"/>
    <n v="0.63"/>
    <n v="133"/>
    <x v="0"/>
    <m/>
    <s v="2025-12-15"/>
    <s v="270157"/>
    <s v="M/s. Kanailal Keder Prasad"/>
    <s v="9474075544"/>
  </r>
  <r>
    <s v="RCF Thal"/>
    <s v="N.C.Urea(45kg)"/>
    <s v="WB"/>
    <x v="12"/>
    <s v="Gazole"/>
    <s v="User Not Mapped"/>
    <s v="User Not Mapped"/>
    <s v="User Not Mapped"/>
    <n v="328244"/>
    <s v="M/S Sankar Chandra Saha"/>
    <s v="Private Retailer"/>
    <s v="9733150821"/>
    <n v="11.025"/>
    <n v="49"/>
    <x v="1"/>
    <m/>
    <s v="2026-03-09"/>
    <s v="270157"/>
    <s v="M/s. Kanailal Keder Prasad"/>
    <s v="9474075544"/>
  </r>
  <r>
    <s v="RCF Thal"/>
    <s v="N.C.Urea(45kg)"/>
    <s v="WB"/>
    <x v="12"/>
    <s v="Gazole"/>
    <s v="User Not Mapped"/>
    <s v="User Not Mapped"/>
    <s v="User Not Mapped"/>
    <n v="328244"/>
    <s v="M/S Sankar Chandra Saha"/>
    <s v="Private Retailer"/>
    <s v="9733150821"/>
    <n v="9.5850000000000009"/>
    <n v="93"/>
    <x v="5"/>
    <m/>
    <s v="2026-01-24"/>
    <s v="270157"/>
    <s v="M/s. Kanailal Keder Prasad"/>
    <s v="9474075544"/>
  </r>
  <r>
    <s v="RCF Thal"/>
    <s v="N.C.Urea(45kg)"/>
    <s v="WB"/>
    <x v="12"/>
    <s v="Gazole"/>
    <s v="User Not Mapped"/>
    <s v="User Not Mapped"/>
    <s v="User Not Mapped"/>
    <n v="354637"/>
    <s v="Jaimasantoshiserbhandar"/>
    <s v="Private Retailer"/>
    <s v="9733329805"/>
    <n v="1.62"/>
    <n v="172"/>
    <x v="0"/>
    <m/>
    <s v="2025-11-06"/>
    <s v="269982"/>
    <s v="M/s Jatindra Nath Saha"/>
    <s v="7431922103"/>
  </r>
  <r>
    <s v="RCF Thal"/>
    <s v="N.C.Urea(45kg)"/>
    <s v="WB"/>
    <x v="12"/>
    <s v="Gazole"/>
    <s v="User Not Mapped"/>
    <s v="User Not Mapped"/>
    <s v="User Not Mapped"/>
    <n v="354649"/>
    <s v="Maa Kali Krishi Bhandar"/>
    <s v="Private Retailer"/>
    <s v="7407813301"/>
    <n v="5.67"/>
    <n v="46"/>
    <x v="1"/>
    <m/>
    <s v="2026-03-12"/>
    <s v="269982"/>
    <s v="M/s Jatindra Nath Saha"/>
    <s v="7431922103"/>
  </r>
  <r>
    <s v="RCF Trombay"/>
    <s v="N.C.Urea(45kg)"/>
    <s v="WB"/>
    <x v="12"/>
    <s v="Gazole"/>
    <s v="User Not Mapped"/>
    <s v="User Not Mapped"/>
    <s v="User Not Mapped"/>
    <n v="411928"/>
    <s v="Kartik Choudhury"/>
    <s v="Private Retailer"/>
    <s v="9733307838"/>
    <n v="11.025"/>
    <n v="3"/>
    <x v="4"/>
    <m/>
    <s v="2026-04-24"/>
    <s v="270157"/>
    <s v="M/s. Kanailal Keder Prasad"/>
    <s v="9474075544"/>
  </r>
  <r>
    <s v="RCF Import"/>
    <s v="MOP"/>
    <s v="WB"/>
    <x v="12"/>
    <s v="Gazole"/>
    <s v="User Not Mapped"/>
    <s v="User Not Mapped"/>
    <s v="User Not Mapped"/>
    <n v="462040"/>
    <s v="M/S Sabuj Krishi Ghar"/>
    <s v="Private Retailer"/>
    <s v="8371887665"/>
    <n v="0.75"/>
    <n v="522"/>
    <x v="6"/>
    <m/>
    <s v="2024-11-21"/>
    <s v="281269"/>
    <s v="M/s. Butto Krishna Paul"/>
    <s v="7908580984"/>
  </r>
  <r>
    <s v="RCF Thal"/>
    <s v="N.C.Urea(45kg)"/>
    <s v="WB"/>
    <x v="12"/>
    <s v="Gazole"/>
    <s v="User Not Mapped"/>
    <s v="User Not Mapped"/>
    <s v="User Not Mapped"/>
    <n v="462040"/>
    <s v="M/S Sabuj Krishi Ghar"/>
    <s v="Private Retailer"/>
    <s v="8371887665"/>
    <n v="2.61"/>
    <n v="229"/>
    <x v="3"/>
    <m/>
    <s v="2025-09-10"/>
    <s v="281269"/>
    <s v="M/s. Butto Krishna Paul"/>
    <s v="7908580984"/>
  </r>
  <r>
    <s v="RCF Thal"/>
    <s v="N.C.Urea(45kg)"/>
    <s v="WB"/>
    <x v="12"/>
    <s v="Gazole"/>
    <s v="User Not Mapped"/>
    <s v="User Not Mapped"/>
    <s v="User Not Mapped"/>
    <n v="465360"/>
    <s v="Hassain Sar Bhandar"/>
    <s v="Private Retailer"/>
    <s v="9733264432"/>
    <n v="8.2349999999999994"/>
    <n v="133"/>
    <x v="0"/>
    <m/>
    <s v="2025-12-15"/>
    <s v="270157"/>
    <s v="M/s. Kanailal Keder Prasad"/>
    <s v="9474075544"/>
  </r>
  <r>
    <s v="RCF Thal"/>
    <s v="N.C.Urea(45kg)"/>
    <s v="WB"/>
    <x v="12"/>
    <s v="Gazole"/>
    <s v="User Not Mapped"/>
    <s v="User Not Mapped"/>
    <s v="User Not Mapped"/>
    <n v="465368"/>
    <s v="Joydeep Sar Bhandar"/>
    <s v="Private Retailer"/>
    <s v="8918597086"/>
    <n v="1.3049999999999999"/>
    <n v="1868"/>
    <x v="7"/>
    <m/>
    <s v="2021-03-16"/>
    <s v="281269"/>
    <s v="M/s. Butto Krishna Paul"/>
    <s v="7908580984"/>
  </r>
  <r>
    <s v="RCF Thal"/>
    <s v="N.C.Urea(45kg)"/>
    <s v="WB"/>
    <x v="12"/>
    <s v="Gazole"/>
    <s v="User Not Mapped"/>
    <s v="User Not Mapped"/>
    <s v="User Not Mapped"/>
    <n v="496307"/>
    <s v="M/S Nityananda Roy"/>
    <s v="Private Retailer"/>
    <s v="8348996693"/>
    <n v="5.0000000000000001E-3"/>
    <n v="1217"/>
    <x v="7"/>
    <m/>
    <s v="2022-12-27"/>
    <s v="1324728"/>
    <s v="RAJLAXMI SAR BHANDER"/>
    <s v="9775843959"/>
  </r>
  <r>
    <s v="RCF Trombay"/>
    <s v="N.C.Urea(45kg)"/>
    <s v="WB"/>
    <x v="12"/>
    <s v="Gazole"/>
    <s v="User Not Mapped"/>
    <s v="User Not Mapped"/>
    <s v="User Not Mapped"/>
    <n v="496307"/>
    <s v="M/S Nityananda Roy"/>
    <s v="Private Retailer"/>
    <s v="8348996693"/>
    <n v="7.4999999999999997E-2"/>
    <n v="1253"/>
    <x v="7"/>
    <m/>
    <s v="2022-11-21"/>
    <s v="1324728"/>
    <s v="RAJLAXMI SAR BHANDER"/>
    <s v="9775843959"/>
  </r>
  <r>
    <s v="RCF Thal"/>
    <s v="N.C.Urea(45kg)"/>
    <s v="WB"/>
    <x v="12"/>
    <s v="Gazole"/>
    <s v="User Not Mapped"/>
    <s v="User Not Mapped"/>
    <s v="User Not Mapped"/>
    <n v="496327"/>
    <s v="M/S SANTOSH KUMAR DEBNATH"/>
    <s v="Private Retailer"/>
    <s v="9933541474"/>
    <n v="7.0650000000000004"/>
    <n v="500"/>
    <x v="6"/>
    <m/>
    <s v="2024-12-13"/>
    <s v="281272"/>
    <s v="M/s. Bimal Chandra Das"/>
    <s v="9734196261"/>
  </r>
  <r>
    <s v="RCF Thal"/>
    <s v="N.C.Urea(45kg)"/>
    <s v="WB"/>
    <x v="12"/>
    <s v="Gazole"/>
    <s v="User Not Mapped"/>
    <s v="User Not Mapped"/>
    <s v="User Not Mapped"/>
    <n v="496331"/>
    <s v="M/S SARKAR KRISHI BIPANI"/>
    <s v="Private Retailer"/>
    <s v="7001889836"/>
    <n v="9.8550000000000004"/>
    <n v="37"/>
    <x v="1"/>
    <m/>
    <s v="2026-03-21"/>
    <s v="260350"/>
    <s v="Adarsha Krishi Bhandar"/>
    <s v="9434422447"/>
  </r>
  <r>
    <s v="RCF Import"/>
    <s v="Imp 10-26-26"/>
    <s v="WB"/>
    <x v="12"/>
    <s v="Gazole"/>
    <s v="User Not Mapped"/>
    <s v="User Not Mapped"/>
    <s v="User Not Mapped"/>
    <n v="496331"/>
    <s v="M/S SARKAR KRISHI BIPANI"/>
    <s v="Private Retailer"/>
    <s v="7001889836"/>
    <n v="11"/>
    <n v="81"/>
    <x v="2"/>
    <m/>
    <s v="2026-02-05"/>
    <s v="270157"/>
    <s v="M/s. Kanailal Keder Prasad"/>
    <s v="9474075544"/>
  </r>
  <r>
    <s v="RCF Thal"/>
    <s v="N.C.Urea(45kg)"/>
    <s v="WB"/>
    <x v="12"/>
    <s v="Gazole"/>
    <s v="User Not Mapped"/>
    <s v="User Not Mapped"/>
    <s v="User Not Mapped"/>
    <n v="496341"/>
    <s v="M/S Siraj Sar Bhandar"/>
    <s v="Private Retailer"/>
    <s v="9734135301"/>
    <n v="0.40500000000000003"/>
    <n v="263"/>
    <x v="3"/>
    <m/>
    <s v="2025-08-07"/>
    <s v="269982"/>
    <s v="M/s Jatindra Nath Saha"/>
    <s v="7431922103"/>
  </r>
  <r>
    <s v="RCF Trombay"/>
    <s v="N.C.Urea(45kg)"/>
    <s v="WB"/>
    <x v="12"/>
    <s v="Gazole"/>
    <s v="User Not Mapped"/>
    <s v="User Not Mapped"/>
    <s v="User Not Mapped"/>
    <n v="595549"/>
    <s v="M/S Maa Monosa Sar Bhandar"/>
    <s v="Private Retailer"/>
    <s v="7001038593"/>
    <n v="10.305"/>
    <n v="131"/>
    <x v="0"/>
    <m/>
    <s v="2025-12-17"/>
    <s v="270157"/>
    <s v="M/s. Kanailal Keder Prasad"/>
    <s v="9474075544"/>
  </r>
  <r>
    <s v="RCF Thal"/>
    <s v="N.C.Urea(45kg)"/>
    <s v="WB"/>
    <x v="12"/>
    <s v="Gazole"/>
    <s v="User Not Mapped"/>
    <s v="User Not Mapped"/>
    <s v="User Not Mapped"/>
    <n v="619132"/>
    <s v="M/S LASMON SAR BHANDAR"/>
    <s v="Private Retailer"/>
    <s v="9932979348"/>
    <n v="2.7450000000000001"/>
    <n v="136"/>
    <x v="0"/>
    <m/>
    <s v="2025-12-12"/>
    <s v="269982"/>
    <s v="M/s Jatindra Nath Saha"/>
    <s v="7431922103"/>
  </r>
  <r>
    <s v="RCF Trombay"/>
    <s v="N.C.Urea(45kg)"/>
    <s v="WB"/>
    <x v="12"/>
    <s v="Gazole"/>
    <s v="User Not Mapped"/>
    <s v="User Not Mapped"/>
    <s v="User Not Mapped"/>
    <n v="619138"/>
    <s v="CHITTA RANJAN SAR BHANDAR"/>
    <s v="Private Retailer"/>
    <s v="7585036315"/>
    <n v="3.2850000000000001"/>
    <n v="198"/>
    <x v="3"/>
    <m/>
    <s v="2025-10-11"/>
    <s v="270157"/>
    <s v="M/s. Kanailal Keder Prasad"/>
    <s v="9474075544"/>
  </r>
  <r>
    <s v="RCF Thal"/>
    <s v="N.C.Urea(45kg)"/>
    <s v="WB"/>
    <x v="12"/>
    <s v="Gazole"/>
    <s v="User Not Mapped"/>
    <s v="User Not Mapped"/>
    <s v="User Not Mapped"/>
    <n v="619138"/>
    <s v="CHITTA RANJAN SAR BHANDAR"/>
    <s v="Private Retailer"/>
    <s v="7585036315"/>
    <n v="2.3849999999999998"/>
    <n v="97"/>
    <x v="5"/>
    <m/>
    <s v="2026-01-20"/>
    <s v="270157"/>
    <s v="M/s. Kanailal Keder Prasad"/>
    <s v="9474075544"/>
  </r>
  <r>
    <s v="RCF Import"/>
    <s v="Imp 10-26-26"/>
    <s v="WB"/>
    <x v="12"/>
    <s v="Gazole"/>
    <s v="User Not Mapped"/>
    <s v="User Not Mapped"/>
    <s v="User Not Mapped"/>
    <n v="619288"/>
    <s v="BAIDYANATH SAR BHANDAR"/>
    <s v="Private Retailer"/>
    <s v="9735061057"/>
    <n v="3.35"/>
    <n v="80"/>
    <x v="2"/>
    <m/>
    <s v="2026-02-06"/>
    <s v="260350"/>
    <s v="Adarsha Krishi Bhandar"/>
    <s v="9434422447"/>
  </r>
  <r>
    <s v="RCF Trombay"/>
    <s v="N.C.Urea(45kg)"/>
    <s v="WB"/>
    <x v="12"/>
    <s v="Gazole"/>
    <s v="User Not Mapped"/>
    <s v="User Not Mapped"/>
    <s v="User Not Mapped"/>
    <n v="625223"/>
    <s v="M/S MAA KALI SAR BHANDAR"/>
    <s v="Private Retailer"/>
    <s v="9932752783"/>
    <n v="1.7549999999999999"/>
    <n v="143"/>
    <x v="0"/>
    <m/>
    <s v="2025-12-05"/>
    <s v="269982"/>
    <s v="M/s Jatindra Nath Saha"/>
    <s v="7431922103"/>
  </r>
  <r>
    <s v="RCF Thal"/>
    <s v="N.C.Urea(45kg)"/>
    <s v="WB"/>
    <x v="12"/>
    <s v="Gazole"/>
    <s v="User Not Mapped"/>
    <s v="User Not Mapped"/>
    <s v="User Not Mapped"/>
    <n v="625229"/>
    <s v="M/S JAHANGIR SAR BHANDAR"/>
    <s v="Private Retailer"/>
    <s v="8370931670"/>
    <n v="0.04"/>
    <n v="1217"/>
    <x v="7"/>
    <m/>
    <s v="2022-12-27"/>
    <s v="1324728"/>
    <s v="RAJLAXMI SAR BHANDER"/>
    <s v="9775843959"/>
  </r>
  <r>
    <s v="RCF Thal"/>
    <s v="N.C.Urea(45kg)"/>
    <s v="WB"/>
    <x v="12"/>
    <s v="Gazole"/>
    <s v="User Not Mapped"/>
    <s v="User Not Mapped"/>
    <s v="User Not Mapped"/>
    <n v="626046"/>
    <s v="M/S NUR AMINA HOQUE"/>
    <s v="Private Retailer"/>
    <s v="9564352143"/>
    <n v="0.36"/>
    <n v="153"/>
    <x v="0"/>
    <m/>
    <s v="2025-11-25"/>
    <s v="268712"/>
    <s v="M/s BirendraNathSaha O Partner"/>
    <s v="9232761461"/>
  </r>
  <r>
    <s v="RCF Thal"/>
    <s v="N.C.Urea(45kg)"/>
    <s v="WB"/>
    <x v="12"/>
    <s v="Gazole"/>
    <s v="User Not Mapped"/>
    <s v="User Not Mapped"/>
    <s v="User Not Mapped"/>
    <n v="626052"/>
    <s v="M/S PRAFULLA SARKAR"/>
    <s v="Private Retailer"/>
    <s v="9933474882"/>
    <n v="2.7"/>
    <n v="91"/>
    <x v="5"/>
    <m/>
    <s v="2026-01-26"/>
    <s v="288977"/>
    <s v="Golok Chandra Mondal "/>
    <s v="8016366836"/>
  </r>
  <r>
    <s v="RCF Thal"/>
    <s v="N.C.Urea(45kg)"/>
    <s v="WB"/>
    <x v="12"/>
    <s v="Gazole"/>
    <s v="User Not Mapped"/>
    <s v="User Not Mapped"/>
    <s v="User Not Mapped"/>
    <n v="626052"/>
    <s v="M/S PRAFULLA SARKAR"/>
    <s v="Private Retailer"/>
    <s v="9933474882"/>
    <n v="3.5550000000000002"/>
    <n v="97"/>
    <x v="5"/>
    <m/>
    <s v="2026-01-20"/>
    <s v="270157"/>
    <s v="M/s. Kanailal Keder Prasad"/>
    <s v="9474075544"/>
  </r>
  <r>
    <s v="RCF Thal"/>
    <s v="N.C.Urea(45kg)"/>
    <s v="WB"/>
    <x v="12"/>
    <s v="Gazole"/>
    <s v="User Not Mapped"/>
    <s v="User Not Mapped"/>
    <s v="User Not Mapped"/>
    <n v="626054"/>
    <s v="M/S NAGEN SAR BHANDAR"/>
    <s v="Private Retailer"/>
    <s v="7384420608"/>
    <n v="3.87"/>
    <n v="49"/>
    <x v="1"/>
    <m/>
    <s v="2026-03-09"/>
    <s v="270157"/>
    <s v="M/s. Kanailal Keder Prasad"/>
    <s v="9474075544"/>
  </r>
  <r>
    <s v="RCF Thal"/>
    <s v="N.C.Urea(45kg)"/>
    <s v="WB"/>
    <x v="12"/>
    <s v="Gazole"/>
    <s v="User Not Mapped"/>
    <s v="User Not Mapped"/>
    <s v="User Not Mapped"/>
    <n v="626068"/>
    <s v="M/S MAA LAXMI SAR BHANDAR"/>
    <s v="Private Retailer"/>
    <s v="9932931680"/>
    <n v="6.48"/>
    <n v="170"/>
    <x v="0"/>
    <m/>
    <s v="2025-11-08"/>
    <s v="270157"/>
    <s v="M/s. Kanailal Keder Prasad"/>
    <s v="9474075544"/>
  </r>
  <r>
    <s v="RCF Thal"/>
    <s v="N.C.Urea(45kg)"/>
    <s v="WB"/>
    <x v="12"/>
    <s v="Gazole"/>
    <s v="User Not Mapped"/>
    <s v="User Not Mapped"/>
    <s v="User Not Mapped"/>
    <n v="626082"/>
    <s v="M/S RABINDRANATH MONDAL"/>
    <s v="Private Retailer"/>
    <s v="9800397585"/>
    <n v="0.85499999999999998"/>
    <n v="133"/>
    <x v="0"/>
    <m/>
    <s v="2025-12-15"/>
    <s v="270157"/>
    <s v="M/s. Kanailal Keder Prasad"/>
    <s v="9474075544"/>
  </r>
  <r>
    <s v="RCF Thal"/>
    <s v="N.C.Urea(45kg)"/>
    <s v="WB"/>
    <x v="12"/>
    <s v="Gazole"/>
    <s v="User Not Mapped"/>
    <s v="User Not Mapped"/>
    <s v="User Not Mapped"/>
    <n v="626092"/>
    <s v="M/S SANJOY SARKAR"/>
    <s v="Private Retailer"/>
    <s v="9851424013"/>
    <n v="4.95"/>
    <n v="161"/>
    <x v="0"/>
    <m/>
    <s v="2025-11-17"/>
    <s v="1259524"/>
    <s v="M/S KRISHI GHAR"/>
    <s v="9064113554"/>
  </r>
  <r>
    <s v="RCF Trombay"/>
    <s v="N.C.Urea(45kg)"/>
    <s v="WB"/>
    <x v="12"/>
    <s v="Gazole"/>
    <s v="User Not Mapped"/>
    <s v="User Not Mapped"/>
    <s v="User Not Mapped"/>
    <n v="626092"/>
    <s v="M/S SANJOY SARKAR"/>
    <s v="Private Retailer"/>
    <s v="9851424013"/>
    <n v="4.7249999999999996"/>
    <n v="161"/>
    <x v="0"/>
    <m/>
    <s v="2025-11-17"/>
    <s v="1259524"/>
    <s v="M/S KRISHI GHAR"/>
    <s v="9064113554"/>
  </r>
  <r>
    <s v="RCF Thal"/>
    <s v="N.C.Urea(45kg)"/>
    <s v="WB"/>
    <x v="12"/>
    <s v="Gazole"/>
    <s v="User Not Mapped"/>
    <s v="User Not Mapped"/>
    <s v="User Not Mapped"/>
    <n v="626092"/>
    <s v="M/S SANJOY SARKAR"/>
    <s v="Private Retailer"/>
    <s v="9851424013"/>
    <n v="4.68"/>
    <n v="171"/>
    <x v="0"/>
    <m/>
    <s v="2025-11-07"/>
    <s v="260350"/>
    <s v="Adarsha Krishi Bhandar"/>
    <s v="9434422447"/>
  </r>
  <r>
    <s v="RCF Thal"/>
    <s v="N.C.Urea(45kg)"/>
    <s v="WB"/>
    <x v="12"/>
    <s v="Gazole"/>
    <s v="User Not Mapped"/>
    <s v="User Not Mapped"/>
    <s v="User Not Mapped"/>
    <n v="626922"/>
    <s v="SARKAR SAR BHANDAR"/>
    <s v="Private Retailer"/>
    <s v="9933454813"/>
    <n v="0.99"/>
    <n v="507"/>
    <x v="6"/>
    <m/>
    <s v="2024-12-06"/>
    <s v="288977"/>
    <s v="Golok Chandra Mondal "/>
    <s v="8016366836"/>
  </r>
  <r>
    <s v="RCF Thal"/>
    <s v="N.C.Urea(45kg)"/>
    <s v="WB"/>
    <x v="12"/>
    <s v="Gazole"/>
    <s v="User Not Mapped"/>
    <s v="User Not Mapped"/>
    <s v="User Not Mapped"/>
    <n v="626922"/>
    <s v="SARKAR SAR BHANDAR"/>
    <s v="Private Retailer"/>
    <s v="9933454813"/>
    <n v="5.4"/>
    <n v="503"/>
    <x v="6"/>
    <m/>
    <s v="2024-12-10"/>
    <s v="270157"/>
    <s v="M/s. Kanailal Keder Prasad"/>
    <s v="9474075544"/>
  </r>
  <r>
    <s v="RCF Thal"/>
    <s v="N.C.Urea(45kg)"/>
    <s v="WB"/>
    <x v="12"/>
    <s v="Gazole"/>
    <s v="User Not Mapped"/>
    <s v="User Not Mapped"/>
    <s v="User Not Mapped"/>
    <n v="626926"/>
    <s v="SUKUMAR SARKAR"/>
    <s v="Private Retailer"/>
    <s v="8768848422"/>
    <n v="8.82"/>
    <n v="133"/>
    <x v="0"/>
    <m/>
    <s v="2025-12-15"/>
    <s v="270157"/>
    <s v="M/s. Kanailal Keder Prasad"/>
    <s v="9474075544"/>
  </r>
  <r>
    <s v="RCF Thal"/>
    <s v="N.C.Urea(45kg)"/>
    <s v="WB"/>
    <x v="12"/>
    <s v="Gazole"/>
    <s v="User Not Mapped"/>
    <s v="User Not Mapped"/>
    <s v="User Not Mapped"/>
    <n v="626930"/>
    <s v="MONDAL SAR BHANDAR"/>
    <s v="Private Retailer"/>
    <s v="9800962982"/>
    <n v="4.05"/>
    <n v="136"/>
    <x v="0"/>
    <m/>
    <s v="2025-12-12"/>
    <s v="268712"/>
    <s v="M/s BirendraNathSaha O Partner"/>
    <s v="9232761461"/>
  </r>
  <r>
    <s v="RCF Thal"/>
    <s v="N.C.Urea(45kg)"/>
    <s v="WB"/>
    <x v="12"/>
    <s v="Gazole"/>
    <s v="User Not Mapped"/>
    <s v="User Not Mapped"/>
    <s v="User Not Mapped"/>
    <n v="626954"/>
    <s v="SUNIL KUMAR SARKAR"/>
    <s v="Private Retailer"/>
    <s v="9733483132"/>
    <n v="10.71"/>
    <n v="47"/>
    <x v="1"/>
    <m/>
    <s v="2026-03-11"/>
    <s v="281269"/>
    <s v="M/s. Butto Krishna Paul"/>
    <s v="7908580984"/>
  </r>
  <r>
    <s v="RCF Trombay"/>
    <s v="15-15-15"/>
    <s v="WB"/>
    <x v="12"/>
    <s v="Gazole"/>
    <s v="User Not Mapped"/>
    <s v="User Not Mapped"/>
    <s v="User Not Mapped"/>
    <n v="628503"/>
    <s v="A to Z SAR BHANDAR"/>
    <s v="Private Retailer"/>
    <s v="8967576601"/>
    <n v="4"/>
    <n v="198"/>
    <x v="3"/>
    <m/>
    <s v="2025-10-11"/>
    <s v="270157"/>
    <s v="M/s. Kanailal Keder Prasad"/>
    <s v="9474075544"/>
  </r>
  <r>
    <s v="RCF Trombay"/>
    <s v="N.C.Urea(45kg)"/>
    <s v="WB"/>
    <x v="12"/>
    <s v="Gazole"/>
    <s v="User Not Mapped"/>
    <s v="User Not Mapped"/>
    <s v="User Not Mapped"/>
    <n v="628503"/>
    <s v="A to Z SAR BHANDAR"/>
    <s v="Private Retailer"/>
    <s v="8967576601"/>
    <n v="5.31"/>
    <n v="143"/>
    <x v="0"/>
    <m/>
    <s v="2025-12-05"/>
    <s v="269982"/>
    <s v="M/s Jatindra Nath Saha"/>
    <s v="7431922103"/>
  </r>
  <r>
    <s v="RCF Thal"/>
    <s v="N.C.Urea(45kg)"/>
    <s v="WB"/>
    <x v="12"/>
    <s v="Gazole"/>
    <s v="User Not Mapped"/>
    <s v="User Not Mapped"/>
    <s v="User Not Mapped"/>
    <n v="628503"/>
    <s v="A to Z SAR BHANDAR"/>
    <s v="Private Retailer"/>
    <s v="8967576601"/>
    <n v="11.025"/>
    <n v="49"/>
    <x v="1"/>
    <m/>
    <s v="2026-03-09"/>
    <s v="270157"/>
    <s v="M/s. Kanailal Keder Prasad"/>
    <s v="9474075544"/>
  </r>
  <r>
    <s v="RCF Thal"/>
    <s v="N.C.Urea(45kg)"/>
    <s v="WB"/>
    <x v="12"/>
    <s v="Gazole"/>
    <s v="User Not Mapped"/>
    <s v="User Not Mapped"/>
    <s v="User Not Mapped"/>
    <n v="628503"/>
    <s v="A to Z SAR BHANDAR"/>
    <s v="Private Retailer"/>
    <s v="8967576601"/>
    <n v="4.3650000000000002"/>
    <n v="69"/>
    <x v="2"/>
    <m/>
    <s v="2026-02-17"/>
    <s v="270157"/>
    <s v="M/s. Kanailal Keder Prasad"/>
    <s v="9474075544"/>
  </r>
  <r>
    <s v="RCF Thal"/>
    <s v="N.C.Urea(45kg)"/>
    <s v="WB"/>
    <x v="12"/>
    <s v="Gazole"/>
    <s v="User Not Mapped"/>
    <s v="User Not Mapped"/>
    <s v="User Not Mapped"/>
    <n v="628917"/>
    <s v="KRISHNADEB MAHATO"/>
    <s v="Private Retailer"/>
    <s v="9593876974"/>
    <n v="11.025"/>
    <n v="98"/>
    <x v="5"/>
    <m/>
    <s v="2026-01-19"/>
    <s v="281269"/>
    <s v="M/s. Butto Krishna Paul"/>
    <s v="7908580984"/>
  </r>
  <r>
    <s v="RCF Import"/>
    <s v="Imp 10-26-26"/>
    <s v="WB"/>
    <x v="12"/>
    <s v="Gazole"/>
    <s v="User Not Mapped"/>
    <s v="User Not Mapped"/>
    <s v="User Not Mapped"/>
    <n v="628991"/>
    <s v="INAMUL HOQUE"/>
    <s v="Private Retailer"/>
    <s v="9733270566"/>
    <n v="0.45"/>
    <n v="80"/>
    <x v="2"/>
    <m/>
    <s v="2026-02-06"/>
    <s v="260350"/>
    <s v="Adarsha Krishi Bhandar"/>
    <s v="9434422447"/>
  </r>
  <r>
    <s v="RCF Thal"/>
    <s v="N.C.Urea(45kg)"/>
    <s v="WB"/>
    <x v="12"/>
    <s v="Gazole"/>
    <s v="User Not Mapped"/>
    <s v="User Not Mapped"/>
    <s v="User Not Mapped"/>
    <n v="630292"/>
    <s v="RAFIQUL ISLAM"/>
    <s v="Private Retailer"/>
    <s v="9382703463"/>
    <n v="11.025"/>
    <n v="39"/>
    <x v="1"/>
    <m/>
    <s v="2026-03-19"/>
    <s v="281272"/>
    <s v="M/s. Bimal Chandra Das"/>
    <s v="9734196261"/>
  </r>
  <r>
    <s v="RCF Thal"/>
    <s v="N.C.Urea(45kg)"/>
    <s v="WB"/>
    <x v="12"/>
    <s v="Gazole"/>
    <s v="User Not Mapped"/>
    <s v="User Not Mapped"/>
    <s v="User Not Mapped"/>
    <n v="630292"/>
    <s v="RAFIQUL ISLAM"/>
    <s v="Private Retailer"/>
    <s v="9382703463"/>
    <n v="1.2150000000000001"/>
    <n v="69"/>
    <x v="2"/>
    <m/>
    <s v="2026-02-17"/>
    <s v="270157"/>
    <s v="M/s. Kanailal Keder Prasad"/>
    <s v="9474075544"/>
  </r>
  <r>
    <s v="RCF Thal"/>
    <s v="N.C.Urea(45kg)"/>
    <s v="WB"/>
    <x v="12"/>
    <s v="Gazole"/>
    <s v="User Not Mapped"/>
    <s v="User Not Mapped"/>
    <s v="User Not Mapped"/>
    <n v="630298"/>
    <s v="INDRAMOHAN SAHA SAR BHANDAR"/>
    <s v="Private Retailer"/>
    <s v="9933799234"/>
    <n v="7.0000000000000007E-2"/>
    <n v="154"/>
    <x v="0"/>
    <m/>
    <s v="2025-11-24"/>
    <s v="269982"/>
    <s v="M/s Jatindra Nath Saha"/>
    <s v="7431922103"/>
  </r>
  <r>
    <s v="RCF Trombay"/>
    <s v="N.C.Urea(45kg)"/>
    <s v="WB"/>
    <x v="12"/>
    <s v="Gazole"/>
    <s v="User Not Mapped"/>
    <s v="User Not Mapped"/>
    <s v="User Not Mapped"/>
    <n v="630340"/>
    <s v="MAA LAXMI SAR BHANDAR"/>
    <s v="Private Retailer"/>
    <s v="9434981181"/>
    <n v="0.17"/>
    <n v="152"/>
    <x v="0"/>
    <m/>
    <s v="2025-11-26"/>
    <s v="281269"/>
    <s v="M/s. Butto Krishna Paul"/>
    <s v="7908580984"/>
  </r>
  <r>
    <s v="RCF Trombay"/>
    <s v="N.C.Urea(45kg)"/>
    <s v="WB"/>
    <x v="12"/>
    <s v="Gazole"/>
    <s v="User Not Mapped"/>
    <s v="User Not Mapped"/>
    <s v="User Not Mapped"/>
    <n v="630342"/>
    <s v="NABENDU KUMAR CHOUDHURY"/>
    <s v="Private Retailer"/>
    <s v="8145821110"/>
    <n v="11.025"/>
    <n v="3"/>
    <x v="4"/>
    <m/>
    <s v="2026-04-24"/>
    <s v="270157"/>
    <s v="M/s. Kanailal Keder Prasad"/>
    <s v="9474075544"/>
  </r>
  <r>
    <s v="RCF Thal"/>
    <s v="N.C.Urea(45kg)"/>
    <s v="WB"/>
    <x v="12"/>
    <s v="Gazole"/>
    <s v="User Not Mapped"/>
    <s v="User Not Mapped"/>
    <s v="User Not Mapped"/>
    <n v="918942"/>
    <s v="ALOK DSR BHSNDAR"/>
    <s v="Private Retailer"/>
    <s v="9733083860"/>
    <n v="0.45"/>
    <n v="1195"/>
    <x v="7"/>
    <m/>
    <s v="2023-01-18"/>
    <s v="861204"/>
    <s v="M/s. Shankar Chandra Saha"/>
    <s v="9002479146"/>
  </r>
  <r>
    <s v="RCF Thal"/>
    <s v="N.C.Urea(45kg)"/>
    <s v="WB"/>
    <x v="12"/>
    <s v="Gazole"/>
    <s v="User Not Mapped"/>
    <s v="User Not Mapped"/>
    <s v="User Not Mapped"/>
    <n v="918972"/>
    <s v="M/S KRISHI BANDHU SARER DOKAN"/>
    <s v="Private Retailer"/>
    <s v="9064295446"/>
    <n v="22.05"/>
    <n v="46"/>
    <x v="1"/>
    <m/>
    <s v="2026-03-12"/>
    <s v="269982"/>
    <s v="M/s Jatindra Nath Saha"/>
    <s v="7431922103"/>
  </r>
  <r>
    <s v="RCF Thal"/>
    <s v="N.C.Urea(45kg)"/>
    <s v="WB"/>
    <x v="12"/>
    <s v="Gazole"/>
    <s v="User Not Mapped"/>
    <s v="User Not Mapped"/>
    <s v="User Not Mapped"/>
    <n v="918972"/>
    <s v="M/S KRISHI BANDHU SARER DOKAN"/>
    <s v="Private Retailer"/>
    <s v="9064295446"/>
    <n v="4.8600000000000003"/>
    <n v="1220"/>
    <x v="7"/>
    <m/>
    <s v="2022-12-24"/>
    <s v="741258"/>
    <s v="M/S SAHA FERTILIZER"/>
    <s v="8101653961"/>
  </r>
  <r>
    <s v="RCF Thal"/>
    <s v="N.C.Urea(45kg)"/>
    <s v="WB"/>
    <x v="12"/>
    <s v="Gazole"/>
    <s v="User Not Mapped"/>
    <s v="User Not Mapped"/>
    <s v="User Not Mapped"/>
    <n v="919529"/>
    <s v="MONOJ SAHA"/>
    <s v="Private Retailer"/>
    <s v="9800149945"/>
    <n v="0.55000000000000004"/>
    <n v="1600"/>
    <x v="7"/>
    <m/>
    <s v="2021-12-09"/>
    <s v="861204"/>
    <s v="M/s. Shankar Chandra Saha"/>
    <s v="9002479146"/>
  </r>
  <r>
    <s v="RCF Thal"/>
    <s v="N.C.Urea(45kg)"/>
    <s v="WB"/>
    <x v="12"/>
    <s v="Gazole"/>
    <s v="User Not Mapped"/>
    <s v="User Not Mapped"/>
    <s v="User Not Mapped"/>
    <n v="919969"/>
    <s v="PALLABY FERTILIZER SHOP"/>
    <s v="Private Retailer"/>
    <s v="8670763380"/>
    <n v="2.9249999999999998"/>
    <n v="89"/>
    <x v="2"/>
    <m/>
    <s v="2026-01-28"/>
    <s v="269982"/>
    <s v="M/s Jatindra Nath Saha"/>
    <s v="7431922103"/>
  </r>
  <r>
    <s v="RCF Thal"/>
    <s v="N.C.Urea(45kg)"/>
    <s v="WB"/>
    <x v="12"/>
    <s v="Gazole"/>
    <s v="User Not Mapped"/>
    <s v="User Not Mapped"/>
    <s v="User Not Mapped"/>
    <n v="919997"/>
    <s v="M/S RADHA KRISHNA SAR BHANDAR"/>
    <s v="Private Retailer"/>
    <s v="9609940154"/>
    <n v="11.025"/>
    <n v="68"/>
    <x v="2"/>
    <m/>
    <s v="2026-02-18"/>
    <s v="260350"/>
    <s v="Adarsha Krishi Bhandar"/>
    <s v="9434422447"/>
  </r>
  <r>
    <s v="RCF Import"/>
    <s v="MOP"/>
    <s v="WB"/>
    <x v="12"/>
    <s v="Gazole"/>
    <s v="User Not Mapped"/>
    <s v="User Not Mapped"/>
    <s v="User Not Mapped"/>
    <n v="920011"/>
    <s v="M/S KIRTONIA SAR BHANDAR"/>
    <s v="Private Retailer"/>
    <s v="9775414004"/>
    <n v="0.55000000000000004"/>
    <n v="594"/>
    <x v="7"/>
    <m/>
    <s v="2024-09-10"/>
    <s v="270157"/>
    <s v="M/s. Kanailal Keder Prasad"/>
    <s v="9474075544"/>
  </r>
  <r>
    <s v="RCF Trombay"/>
    <s v="N.C.Urea(45kg)"/>
    <s v="WB"/>
    <x v="12"/>
    <s v="Gazole"/>
    <s v="User Not Mapped"/>
    <s v="User Not Mapped"/>
    <s v="User Not Mapped"/>
    <n v="931347"/>
    <s v="M/S RAJESWAR MANDAL"/>
    <s v="Private Retailer"/>
    <s v="9733070265"/>
    <n v="7.29"/>
    <n v="198"/>
    <x v="3"/>
    <m/>
    <s v="2025-10-11"/>
    <s v="270157"/>
    <s v="M/s. Kanailal Keder Prasad"/>
    <s v="9474075544"/>
  </r>
  <r>
    <s v="RCF Thal"/>
    <s v="N.C.Urea(45kg)"/>
    <s v="WB"/>
    <x v="12"/>
    <s v="Gazole"/>
    <s v="User Not Mapped"/>
    <s v="User Not Mapped"/>
    <s v="User Not Mapped"/>
    <n v="944056"/>
    <s v="M/S MAA MANASA SAR BHANDAR"/>
    <s v="Private Retailer"/>
    <s v="8116476184"/>
    <n v="5.4450000000000003"/>
    <n v="61"/>
    <x v="2"/>
    <m/>
    <s v="2026-02-25"/>
    <s v="281272"/>
    <s v="M/s. Bimal Chandra Das"/>
    <s v="9734196261"/>
  </r>
  <r>
    <s v="RCF Thal"/>
    <s v="N.C.Urea(45kg)"/>
    <s v="WB"/>
    <x v="12"/>
    <s v="Gazole"/>
    <s v="User Not Mapped"/>
    <s v="User Not Mapped"/>
    <s v="User Not Mapped"/>
    <n v="953474"/>
    <s v="M/S BISWAS SAR BHANDAR"/>
    <s v="Private Retailer"/>
    <s v="7001007048"/>
    <n v="8.3249999999999993"/>
    <n v="95"/>
    <x v="5"/>
    <m/>
    <s v="2026-01-22"/>
    <s v="269982"/>
    <s v="M/s Jatindra Nath Saha"/>
    <s v="7431922103"/>
  </r>
  <r>
    <s v="RCF Trombay"/>
    <s v="N.C.Urea(45kg)"/>
    <s v="WB"/>
    <x v="12"/>
    <s v="Gazole"/>
    <s v="User Not Mapped"/>
    <s v="User Not Mapped"/>
    <s v="User Not Mapped"/>
    <n v="974624"/>
    <s v="ALINA SAR BHANDAR"/>
    <s v="Private Retailer"/>
    <s v="9002580610"/>
    <n v="10.845000000000001"/>
    <n v="143"/>
    <x v="0"/>
    <m/>
    <s v="2025-12-05"/>
    <s v="269982"/>
    <s v="M/s Jatindra Nath Saha"/>
    <s v="7431922103"/>
  </r>
  <r>
    <s v="RCF Thal"/>
    <s v="N.C.Urea(45kg)"/>
    <s v="WB"/>
    <x v="12"/>
    <s v="Gazole"/>
    <s v="User Not Mapped"/>
    <s v="User Not Mapped"/>
    <s v="User Not Mapped"/>
    <n v="974624"/>
    <s v="ALINA SAR BHANDAR"/>
    <s v="Private Retailer"/>
    <s v="9002580610"/>
    <n v="8.1449999999999996"/>
    <n v="69"/>
    <x v="2"/>
    <m/>
    <s v="2026-02-17"/>
    <s v="270157"/>
    <s v="M/s. Kanailal Keder Prasad"/>
    <s v="9474075544"/>
  </r>
  <r>
    <s v="RCF Thal"/>
    <s v="N.C.Urea(45kg)"/>
    <s v="WB"/>
    <x v="12"/>
    <s v="Gazole"/>
    <s v="User Not Mapped"/>
    <s v="User Not Mapped"/>
    <s v="User Not Mapped"/>
    <n v="986070"/>
    <s v="RAMPROSAD MANDAL"/>
    <s v="Private Retailer"/>
    <s v="9547311031"/>
    <n v="5.31"/>
    <n v="170"/>
    <x v="0"/>
    <m/>
    <s v="2025-11-08"/>
    <s v="270157"/>
    <s v="M/s. Kanailal Keder Prasad"/>
    <s v="9474075544"/>
  </r>
  <r>
    <s v="RCF Thal"/>
    <s v="N.C.Urea(45kg)"/>
    <s v="WB"/>
    <x v="12"/>
    <s v="Gazole"/>
    <s v="User Not Mapped"/>
    <s v="User Not Mapped"/>
    <s v="User Not Mapped"/>
    <n v="1148495"/>
    <s v="M/S BHOWMIK SAR BHANDER"/>
    <s v="Private Retailer"/>
    <s v="9635107579"/>
    <n v="5.3550000000000004"/>
    <n v="72"/>
    <x v="2"/>
    <m/>
    <s v="2026-02-14"/>
    <s v="268712"/>
    <s v="M/s BirendraNathSaha O Partner"/>
    <s v="9232761461"/>
  </r>
  <r>
    <s v="RCF Trombay"/>
    <s v="N.C.Urea(45kg)"/>
    <s v="WB"/>
    <x v="12"/>
    <s v="Gazole"/>
    <s v="User Not Mapped"/>
    <s v="User Not Mapped"/>
    <s v="User Not Mapped"/>
    <n v="1236315"/>
    <s v="M/S BISWANATH MAJUMDAR"/>
    <s v="Private Retailer"/>
    <s v="9593877940"/>
    <n v="4.5"/>
    <n v="196"/>
    <x v="3"/>
    <m/>
    <s v="2025-10-13"/>
    <s v="269982"/>
    <s v="M/s Jatindra Nath Saha"/>
    <s v="7431922103"/>
  </r>
  <r>
    <s v="RCF Thal"/>
    <s v="N.C.Urea(45kg)"/>
    <s v="WB"/>
    <x v="12"/>
    <s v="Gazole"/>
    <s v="User Not Mapped"/>
    <s v="User Not Mapped"/>
    <s v="User Not Mapped"/>
    <n v="1236315"/>
    <s v="M/S BISWANATH MAJUMDAR"/>
    <s v="Private Retailer"/>
    <s v="9593877940"/>
    <n v="5.085"/>
    <n v="503"/>
    <x v="6"/>
    <m/>
    <s v="2024-12-10"/>
    <s v="270157"/>
    <s v="M/s. Kanailal Keder Prasad"/>
    <s v="9474075544"/>
  </r>
  <r>
    <s v="RCF Thal"/>
    <s v="N.C.Urea(45kg)"/>
    <s v="WB"/>
    <x v="12"/>
    <s v="Gazole"/>
    <s v="User Not Mapped"/>
    <s v="User Not Mapped"/>
    <s v="User Not Mapped"/>
    <n v="1268891"/>
    <s v="M/S SANGTA SAR BHANDAR"/>
    <s v="Private Retailer"/>
    <s v="9800734474"/>
    <n v="11.025"/>
    <n v="133"/>
    <x v="0"/>
    <m/>
    <s v="2025-12-15"/>
    <s v="269982"/>
    <s v="M/s Jatindra Nath Saha"/>
    <s v="7431922103"/>
  </r>
  <r>
    <s v="RCF Thal"/>
    <s v="N.C.Urea(45kg)"/>
    <s v="WB"/>
    <x v="12"/>
    <s v="Gazole"/>
    <s v="User Not Mapped"/>
    <s v="User Not Mapped"/>
    <s v="User Not Mapped"/>
    <n v="1269183"/>
    <s v="M/S RAJ SAR BHANDAR"/>
    <s v="Private Retailer"/>
    <s v="7098037050"/>
    <n v="0.27"/>
    <n v="367"/>
    <x v="6"/>
    <m/>
    <s v="2025-04-25"/>
    <s v="270157"/>
    <s v="M/s. Kanailal Keder Prasad"/>
    <s v="9474075544"/>
  </r>
  <r>
    <s v="RCF Thal"/>
    <s v="N.C.Urea(45kg)"/>
    <s v="WB"/>
    <x v="12"/>
    <s v="Gazole"/>
    <s v="User Not Mapped"/>
    <s v="User Not Mapped"/>
    <s v="User Not Mapped"/>
    <n v="1295898"/>
    <s v="M/S MAA DURGA BHANDAR"/>
    <s v="Private Retailer"/>
    <s v="8250235456"/>
    <n v="3.375"/>
    <n v="133"/>
    <x v="0"/>
    <m/>
    <s v="2025-12-15"/>
    <s v="270157"/>
    <s v="M/s. Kanailal Keder Prasad"/>
    <s v="9474075544"/>
  </r>
  <r>
    <s v="RCF Thal"/>
    <s v="N.C.Urea(45kg)"/>
    <s v="WB"/>
    <x v="12"/>
    <s v="Gazole"/>
    <s v="User Not Mapped"/>
    <s v="User Not Mapped"/>
    <s v="User Not Mapped"/>
    <n v="1300152"/>
    <s v="MS AROHI SAR BHANDAR"/>
    <s v="Private Retailer"/>
    <s v="9800679406"/>
    <n v="7.335"/>
    <n v="69"/>
    <x v="2"/>
    <m/>
    <s v="2026-02-17"/>
    <s v="270157"/>
    <s v="M/s. Kanailal Keder Prasad"/>
    <s v="9474075544"/>
  </r>
  <r>
    <s v="RCF Thal"/>
    <s v="N.C.Urea(45kg)"/>
    <s v="WB"/>
    <x v="12"/>
    <s v="Gazole"/>
    <s v="User Not Mapped"/>
    <s v="User Not Mapped"/>
    <s v="User Not Mapped"/>
    <n v="1300152"/>
    <s v="MS AROHI SAR BHANDAR"/>
    <s v="Private Retailer"/>
    <s v="9800679406"/>
    <n v="11.025"/>
    <n v="47"/>
    <x v="1"/>
    <m/>
    <s v="2026-03-11"/>
    <s v="269982"/>
    <s v="M/s Jatindra Nath Saha"/>
    <s v="7431922103"/>
  </r>
  <r>
    <s v="RCF Trombay"/>
    <s v="N.C.Urea(45kg)"/>
    <s v="WB"/>
    <x v="12"/>
    <s v="Gazole"/>
    <s v="User Not Mapped"/>
    <s v="User Not Mapped"/>
    <s v="User Not Mapped"/>
    <n v="1300152"/>
    <s v="MS AROHI SAR BHANDAR"/>
    <s v="Private Retailer"/>
    <s v="9800679406"/>
    <n v="11.025"/>
    <n v="131"/>
    <x v="0"/>
    <m/>
    <s v="2025-12-17"/>
    <s v="270157"/>
    <s v="M/s. Kanailal Keder Prasad"/>
    <s v="9474075544"/>
  </r>
  <r>
    <s v="RCF Thal"/>
    <s v="N.C.Urea(45kg)"/>
    <s v="WB"/>
    <x v="12"/>
    <s v="Gazole"/>
    <s v="User Not Mapped"/>
    <s v="User Not Mapped"/>
    <s v="User Not Mapped"/>
    <n v="1300154"/>
    <s v="MS HIMANGSHU KUMAR SAHA"/>
    <s v="Private Retailer"/>
    <s v="9932070100"/>
    <n v="1.3049999999999999"/>
    <n v="89"/>
    <x v="2"/>
    <m/>
    <s v="2026-01-28"/>
    <s v="269982"/>
    <s v="M/s Jatindra Nath Saha"/>
    <s v="7431922103"/>
  </r>
  <r>
    <s v="RCF Trombay"/>
    <s v="N.C.Urea(45kg)"/>
    <s v="WB"/>
    <x v="12"/>
    <s v="Gazole"/>
    <s v="User Not Mapped"/>
    <s v="User Not Mapped"/>
    <s v="User Not Mapped"/>
    <n v="1303312"/>
    <s v="M/S BANALATA SAR BHANDAR"/>
    <s v="Private Retailer"/>
    <s v="9775456497"/>
    <n v="0.9"/>
    <n v="141"/>
    <x v="0"/>
    <m/>
    <s v="2025-12-07"/>
    <s v="270157"/>
    <s v="M/s. Kanailal Keder Prasad"/>
    <s v="9474075544"/>
  </r>
  <r>
    <s v="RCF Thal"/>
    <s v="N.C.Urea(45kg)"/>
    <s v="WB"/>
    <x v="12"/>
    <s v="Gazole"/>
    <s v="User Not Mapped"/>
    <s v="User Not Mapped"/>
    <s v="User Not Mapped"/>
    <n v="1316664"/>
    <s v="MS HABIL MAHAMMAD"/>
    <s v="Private Retailer"/>
    <s v="8383850633"/>
    <n v="5.49"/>
    <n v="47"/>
    <x v="1"/>
    <m/>
    <s v="2026-03-11"/>
    <s v="269982"/>
    <s v="M/s Jatindra Nath Saha"/>
    <s v="7431922103"/>
  </r>
  <r>
    <s v="RCF Thal"/>
    <s v="N.C.Urea(45kg)"/>
    <s v="WB"/>
    <x v="12"/>
    <s v="Gazole"/>
    <s v="User Not Mapped"/>
    <s v="User Not Mapped"/>
    <s v="User Not Mapped"/>
    <n v="1395216"/>
    <s v="BISWAS KRISHI GHAR"/>
    <s v="Private Retailer"/>
    <s v="9614770266"/>
    <n v="4.2750000000000004"/>
    <n v="97"/>
    <x v="5"/>
    <m/>
    <s v="2026-01-20"/>
    <s v="270157"/>
    <s v="M/s. Kanailal Keder Prasad"/>
    <s v="9474075544"/>
  </r>
  <r>
    <s v="RCF Import"/>
    <s v="Imp 10-26-26"/>
    <s v="WB"/>
    <x v="12"/>
    <s v="Gazole"/>
    <s v="User Not Mapped"/>
    <s v="User Not Mapped"/>
    <s v="User Not Mapped"/>
    <n v="1429126"/>
    <s v="HIRA FASAL RAKSA KRISHI GHAR"/>
    <s v="Private Retailer"/>
    <s v="7602901665"/>
    <n v="0.1"/>
    <n v="56"/>
    <x v="1"/>
    <m/>
    <s v="2026-03-02"/>
    <s v="269982"/>
    <s v="M/s Jatindra Nath Saha"/>
    <s v="7431922103"/>
  </r>
  <r>
    <s v="RCF Thal"/>
    <s v="N.C.Urea(45kg)"/>
    <s v="WB"/>
    <x v="12"/>
    <s v="Gazole"/>
    <s v="User Not Mapped"/>
    <s v="User Not Mapped"/>
    <s v="User Not Mapped"/>
    <n v="1429138"/>
    <s v="MS BISHAKHA KRISHI BHANDAR"/>
    <s v="Private Retailer"/>
    <s v="9333731404"/>
    <n v="0.27"/>
    <n v="413"/>
    <x v="6"/>
    <m/>
    <s v="2025-03-10"/>
    <s v="270157"/>
    <s v="M/s. Kanailal Keder Prasad"/>
    <s v="9474075544"/>
  </r>
  <r>
    <s v="RCF Import"/>
    <s v="Imp 10-26-26"/>
    <s v="WB"/>
    <x v="12"/>
    <s v="Gazole"/>
    <s v="User Not Mapped"/>
    <s v="User Not Mapped"/>
    <s v="User Not Mapped"/>
    <n v="1429138"/>
    <s v="MS BISHAKHA KRISHI BHANDAR"/>
    <s v="Private Retailer"/>
    <s v="9333731404"/>
    <n v="0.4"/>
    <n v="511"/>
    <x v="6"/>
    <m/>
    <s v="2024-12-02"/>
    <s v="270157"/>
    <s v="M/s. Kanailal Keder Prasad"/>
    <s v="9474075544"/>
  </r>
  <r>
    <s v="RCF Thal"/>
    <s v="N.C.Urea(45kg)"/>
    <s v="WB"/>
    <x v="12"/>
    <s v="Gazole"/>
    <s v="User Not Mapped"/>
    <s v="User Not Mapped"/>
    <s v="User Not Mapped"/>
    <n v="1429146"/>
    <s v="CHIRANJIT MANDAL"/>
    <s v="Private Retailer"/>
    <s v="8617039831"/>
    <n v="3.51"/>
    <n v="49"/>
    <x v="1"/>
    <m/>
    <s v="2026-03-09"/>
    <s v="270157"/>
    <s v="M/s. Kanailal Keder Prasad"/>
    <s v="9474075544"/>
  </r>
  <r>
    <s v="RCF Thal"/>
    <s v="N.C.Urea(45kg)"/>
    <s v="WB"/>
    <x v="12"/>
    <s v="Gazole"/>
    <s v="User Not Mapped"/>
    <s v="User Not Mapped"/>
    <s v="User Not Mapped"/>
    <n v="1436246"/>
    <s v="M/S GOURANGA MANDAL"/>
    <s v="Private Retailer"/>
    <s v="9614101270"/>
    <n v="2.5649999999999999"/>
    <n v="49"/>
    <x v="1"/>
    <m/>
    <s v="2026-03-09"/>
    <s v="270157"/>
    <s v="M/s. Kanailal Keder Prasad"/>
    <s v="9474075544"/>
  </r>
  <r>
    <s v="RCF Thal"/>
    <s v="N.C.Urea(45kg)"/>
    <s v="WB"/>
    <x v="12"/>
    <s v="Gazole"/>
    <s v="User Not Mapped"/>
    <s v="User Not Mapped"/>
    <s v="User Not Mapped"/>
    <n v="1461419"/>
    <s v="M/S BISWAS SEEDS AND PESTICIDE"/>
    <s v="Private Retailer"/>
    <s v="7063858352"/>
    <n v="4.5"/>
    <n v="97"/>
    <x v="5"/>
    <m/>
    <s v="2026-01-20"/>
    <s v="270157"/>
    <s v="M/s. Kanailal Keder Prasad"/>
    <s v="9474075544"/>
  </r>
  <r>
    <s v="RCF Trombay"/>
    <s v="N.C.Urea(45kg)"/>
    <s v="WB"/>
    <x v="12"/>
    <s v="Gazole"/>
    <s v="User Not Mapped"/>
    <s v="User Not Mapped"/>
    <s v="User Not Mapped"/>
    <n v="1461441"/>
    <s v="POLADANGA MULTIPURPOSE COOPERA"/>
    <s v="PACS"/>
    <s v="6295136361"/>
    <n v="5.94"/>
    <n v="285"/>
    <x v="3"/>
    <m/>
    <s v="2025-07-16"/>
    <s v="270157"/>
    <s v="M/s. Kanailal Keder Prasad"/>
    <s v="9474075544"/>
  </r>
  <r>
    <s v="RCF Import"/>
    <s v="Imp 10-26-26"/>
    <s v="WB"/>
    <x v="12"/>
    <s v="Gazole"/>
    <s v="User Not Mapped"/>
    <s v="User Not Mapped"/>
    <s v="User Not Mapped"/>
    <n v="1475397"/>
    <s v="M/S MOJAHAR FERTILIZER"/>
    <s v="Private Retailer"/>
    <s v="8617084896"/>
    <n v="0.4"/>
    <n v="509"/>
    <x v="6"/>
    <m/>
    <s v="2024-12-04"/>
    <s v="269982"/>
    <s v="M/s Jatindra Nath Saha"/>
    <s v="7431922103"/>
  </r>
  <r>
    <s v="RCF Thal"/>
    <s v="N.C.Urea(45kg)"/>
    <s v="WB"/>
    <x v="12"/>
    <s v="Gazole"/>
    <s v="User Not Mapped"/>
    <s v="User Not Mapped"/>
    <s v="User Not Mapped"/>
    <n v="1475397"/>
    <s v="M/S MOJAHAR FERTILIZER"/>
    <s v="Private Retailer"/>
    <s v="8617084896"/>
    <n v="12.78"/>
    <n v="145"/>
    <x v="0"/>
    <m/>
    <s v="2025-12-03"/>
    <s v="260350"/>
    <s v="Adarsha Krishi Bhandar"/>
    <s v="9434422447"/>
  </r>
  <r>
    <s v="RCF Import"/>
    <s v="Imp 10-26-26"/>
    <s v="WB"/>
    <x v="12"/>
    <s v="Gazole"/>
    <s v="User Not Mapped"/>
    <s v="User Not Mapped"/>
    <s v="User Not Mapped"/>
    <n v="1475397"/>
    <s v="M/S MOJAHAR FERTILIZER"/>
    <s v="Private Retailer"/>
    <s v="8617084896"/>
    <n v="5.5"/>
    <n v="81"/>
    <x v="2"/>
    <m/>
    <s v="2026-02-05"/>
    <s v="270157"/>
    <s v="M/s. Kanailal Keder Prasad"/>
    <s v="9474075544"/>
  </r>
  <r>
    <s v="RCF Thal"/>
    <s v="N.C.Urea(45kg)"/>
    <s v="WB"/>
    <x v="12"/>
    <s v="Gazole"/>
    <s v="User Not Mapped"/>
    <s v="User Not Mapped"/>
    <s v="User Not Mapped"/>
    <n v="1475397"/>
    <s v="M/S MOJAHAR FERTILIZER"/>
    <s v="Private Retailer"/>
    <s v="8617084896"/>
    <n v="11.025"/>
    <n v="137"/>
    <x v="0"/>
    <m/>
    <s v="2025-12-11"/>
    <s v="281272"/>
    <s v="M/s. Bimal Chandra Das"/>
    <s v="9734196261"/>
  </r>
  <r>
    <s v="RCF Trombay"/>
    <s v="N.C.Urea(45kg)"/>
    <s v="WB"/>
    <x v="12"/>
    <s v="Gazole"/>
    <s v="User Not Mapped"/>
    <s v="User Not Mapped"/>
    <s v="User Not Mapped"/>
    <n v="1475397"/>
    <s v="M/S MOJAHAR FERTILIZER"/>
    <s v="Private Retailer"/>
    <s v="8617084896"/>
    <n v="6.66"/>
    <n v="202"/>
    <x v="3"/>
    <m/>
    <s v="2025-10-07"/>
    <s v="1259524"/>
    <s v="M/S KRISHI GHAR"/>
    <s v="9064113554"/>
  </r>
  <r>
    <s v="RCF Thal"/>
    <s v="N.C.Urea(45kg)"/>
    <s v="WB"/>
    <x v="12"/>
    <s v="Gazole"/>
    <s v="User Not Mapped"/>
    <s v="User Not Mapped"/>
    <s v="User Not Mapped"/>
    <n v="1475407"/>
    <s v="PABITRA KUMAR MANDAL"/>
    <s v="Private Retailer"/>
    <s v="7001915828"/>
    <n v="10.89"/>
    <n v="49"/>
    <x v="1"/>
    <m/>
    <s v="2026-03-09"/>
    <s v="268712"/>
    <s v="M/s BirendraNathSaha O Partner"/>
    <s v="9232761461"/>
  </r>
  <r>
    <s v="RCF Thal"/>
    <s v="N.C.Urea(45kg)"/>
    <s v="WB"/>
    <x v="12"/>
    <s v="Gazole"/>
    <s v="User Not Mapped"/>
    <s v="User Not Mapped"/>
    <s v="User Not Mapped"/>
    <n v="1475407"/>
    <s v="PABITRA KUMAR MANDAL"/>
    <s v="Private Retailer"/>
    <s v="7001915828"/>
    <n v="3.69"/>
    <n v="72"/>
    <x v="2"/>
    <m/>
    <s v="2026-02-14"/>
    <s v="268712"/>
    <s v="M/s BirendraNathSaha O Partner"/>
    <s v="9232761461"/>
  </r>
  <r>
    <s v="RCF Thal"/>
    <s v="N.C.Urea(45kg)"/>
    <s v="WB"/>
    <x v="12"/>
    <s v="Gazole"/>
    <s v="User Not Mapped"/>
    <s v="User Not Mapped"/>
    <s v="User Not Mapped"/>
    <n v="1515119"/>
    <s v="M/S SWAPAN KUMAR ROY"/>
    <s v="Private Retailer"/>
    <s v="9733161002"/>
    <n v="8.19"/>
    <n v="296"/>
    <x v="3"/>
    <m/>
    <s v="2025-07-05"/>
    <s v="270157"/>
    <s v="M/s. Kanailal Keder Prasad"/>
    <s v="9474075544"/>
  </r>
  <r>
    <s v="RCF Thal"/>
    <s v="N.C.Urea(45kg)"/>
    <s v="WB"/>
    <x v="12"/>
    <s v="Gazole"/>
    <s v="User Not Mapped"/>
    <s v="User Not Mapped"/>
    <s v="User Not Mapped"/>
    <n v="1515546"/>
    <s v="JOY GURU SAR BHANDAR"/>
    <s v="Private Retailer"/>
    <s v="9547321658"/>
    <n v="2.2949999999999999"/>
    <n v="136"/>
    <x v="0"/>
    <m/>
    <s v="2025-12-12"/>
    <s v="269982"/>
    <s v="M/s Jatindra Nath Saha"/>
    <s v="7431922103"/>
  </r>
  <r>
    <s v="RCF Import"/>
    <s v="Imp 10-26-26"/>
    <s v="WB"/>
    <x v="12"/>
    <s v="Gazole"/>
    <s v="User Not Mapped"/>
    <s v="User Not Mapped"/>
    <s v="User Not Mapped"/>
    <n v="1524859"/>
    <s v="M/S JAYA KRISHI BHANDAR"/>
    <s v="Private Retailer"/>
    <s v="8967776464"/>
    <n v="0.45"/>
    <n v="495"/>
    <x v="6"/>
    <m/>
    <s v="2024-12-18"/>
    <s v="281272"/>
    <s v="M/s. Bimal Chandra Das"/>
    <s v="9734196261"/>
  </r>
  <r>
    <s v="RCF Trombay"/>
    <s v="N.C.Urea(45kg)"/>
    <s v="WB"/>
    <x v="12"/>
    <s v="Gazole"/>
    <s v="User Not Mapped"/>
    <s v="User Not Mapped"/>
    <s v="User Not Mapped"/>
    <n v="1524875"/>
    <s v="M/S RIPAN SARKAR"/>
    <s v="Private Retailer"/>
    <s v="7001382274"/>
    <n v="4.9050000000000002"/>
    <n v="172"/>
    <x v="0"/>
    <m/>
    <s v="2025-11-06"/>
    <s v="269982"/>
    <s v="M/s Jatindra Nath Saha"/>
    <s v="7431922103"/>
  </r>
  <r>
    <s v="RCF Thal"/>
    <s v="N.C.Urea(45kg)"/>
    <s v="WB"/>
    <x v="12"/>
    <s v="Gazole"/>
    <s v="User Not Mapped"/>
    <s v="User Not Mapped"/>
    <s v="User Not Mapped"/>
    <n v="1534822"/>
    <s v="M/S SAMRAT MIA"/>
    <s v="Private Retailer"/>
    <s v="9609988875"/>
    <n v="3.8250000000000002"/>
    <n v="136"/>
    <x v="0"/>
    <m/>
    <s v="2025-12-12"/>
    <s v="269982"/>
    <s v="M/s Jatindra Nath Saha"/>
    <s v="7431922103"/>
  </r>
  <r>
    <s v="RCF Import"/>
    <s v="MOP"/>
    <s v="WB"/>
    <x v="12"/>
    <s v="Gazole"/>
    <s v="User Not Mapped"/>
    <s v="User Not Mapped"/>
    <s v="User Not Mapped"/>
    <n v="1534902"/>
    <s v="CHANDAN SARKAR"/>
    <s v="Private Retailer"/>
    <s v="9733447990"/>
    <n v="0.3"/>
    <n v="503"/>
    <x v="6"/>
    <m/>
    <s v="2024-12-10"/>
    <s v="1259524"/>
    <s v="M/S KRISHI GHAR"/>
    <s v="9064113554"/>
  </r>
  <r>
    <s v="RCF Thal"/>
    <s v="N.C.Urea(45kg)"/>
    <s v="WB"/>
    <x v="12"/>
    <s v="Gazole"/>
    <s v="User Not Mapped"/>
    <s v="User Not Mapped"/>
    <s v="User Not Mapped"/>
    <n v="1552292"/>
    <s v="SARADA KRISHI BHANDAR"/>
    <s v="Private Retailer"/>
    <s v="8967885772"/>
    <n v="5.31"/>
    <n v="154"/>
    <x v="0"/>
    <m/>
    <s v="2025-11-24"/>
    <s v="270157"/>
    <s v="M/s. Kanailal Keder Prasad"/>
    <s v="9474075544"/>
  </r>
  <r>
    <s v="RCF Trombay"/>
    <s v="N.C.Urea(45kg)"/>
    <s v="WB"/>
    <x v="12"/>
    <s v="Gazole"/>
    <s v="User Not Mapped"/>
    <s v="User Not Mapped"/>
    <s v="User Not Mapped"/>
    <n v="1622396"/>
    <s v="SARKAR SAR BHANDAR"/>
    <s v="Private Retailer"/>
    <s v="7001992187"/>
    <n v="3.7349999999999999"/>
    <n v="141"/>
    <x v="0"/>
    <m/>
    <s v="2025-12-07"/>
    <s v="270157"/>
    <s v="M/s. Kanailal Keder Prasad"/>
    <s v="9474075544"/>
  </r>
  <r>
    <s v="RCF Thal"/>
    <s v="N.C.Urea(45kg)"/>
    <s v="WB"/>
    <x v="12"/>
    <s v="Gazole"/>
    <s v="User Not Mapped"/>
    <s v="User Not Mapped"/>
    <s v="User Not Mapped"/>
    <n v="1622396"/>
    <s v="SARKAR SAR BHANDAR"/>
    <s v="Private Retailer"/>
    <s v="7001992187"/>
    <n v="3.06"/>
    <n v="136"/>
    <x v="0"/>
    <m/>
    <s v="2025-12-12"/>
    <s v="269982"/>
    <s v="M/s Jatindra Nath Saha"/>
    <s v="7431922103"/>
  </r>
  <r>
    <s v="RCF Thal"/>
    <s v="N.C.Urea(45kg)"/>
    <s v="WB"/>
    <x v="12"/>
    <s v="Habibpur"/>
    <s v="User Not Mapped"/>
    <s v="User Not Mapped"/>
    <s v="User Not Mapped"/>
    <n v="288835"/>
    <s v="Aiho Skus Ltd"/>
    <s v="PACS"/>
    <s v="9733018260"/>
    <n v="9.4949999999999992"/>
    <n v="69"/>
    <x v="2"/>
    <m/>
    <s v="2026-02-17"/>
    <s v="270157"/>
    <s v="M/s. Kanailal Keder Prasad"/>
    <s v="9474075544"/>
  </r>
  <r>
    <s v="RCF Trombay"/>
    <s v="15-15-15"/>
    <s v="WB"/>
    <x v="12"/>
    <s v="Habibpur"/>
    <s v="User Not Mapped"/>
    <s v="User Not Mapped"/>
    <s v="User Not Mapped"/>
    <n v="288852"/>
    <s v="Brindabanbati Skus Ltd."/>
    <s v="PACS"/>
    <s v="8116912524"/>
    <n v="0.05"/>
    <n v="172"/>
    <x v="0"/>
    <m/>
    <s v="2025-11-06"/>
    <s v="270157"/>
    <s v="M/s. Kanailal Keder Prasad"/>
    <s v="9474075544"/>
  </r>
  <r>
    <s v="RCF Thal"/>
    <s v="N.C.Urea(45kg)"/>
    <s v="WB"/>
    <x v="12"/>
    <s v="Habibpur"/>
    <s v="User Not Mapped"/>
    <s v="User Not Mapped"/>
    <s v="User Not Mapped"/>
    <n v="288852"/>
    <s v="Brindabanbati Skus Ltd."/>
    <s v="PACS"/>
    <s v="8116912524"/>
    <n v="4.9050000000000002"/>
    <n v="49"/>
    <x v="1"/>
    <m/>
    <s v="2026-03-09"/>
    <s v="270157"/>
    <s v="M/s. Kanailal Keder Prasad"/>
    <s v="9474075544"/>
  </r>
  <r>
    <s v="RCF Thal"/>
    <s v="N.C.Urea(45kg)"/>
    <s v="WB"/>
    <x v="12"/>
    <s v="Habibpur"/>
    <s v="User Not Mapped"/>
    <s v="User Not Mapped"/>
    <s v="User Not Mapped"/>
    <n v="288894"/>
    <s v="Manohar Gupta"/>
    <s v="Private Retailer"/>
    <s v="9547452811"/>
    <n v="16.47"/>
    <n v="49"/>
    <x v="1"/>
    <m/>
    <s v="2026-03-09"/>
    <s v="270157"/>
    <s v="M/s. Kanailal Keder Prasad"/>
    <s v="9474075544"/>
  </r>
  <r>
    <s v="RCF Trombay"/>
    <s v="N.C.Urea(45kg)"/>
    <s v="WB"/>
    <x v="12"/>
    <s v="Habibpur"/>
    <s v="User Not Mapped"/>
    <s v="User Not Mapped"/>
    <s v="User Not Mapped"/>
    <n v="288894"/>
    <s v="Manohar Gupta"/>
    <s v="Private Retailer"/>
    <s v="9547452811"/>
    <n v="5.31"/>
    <n v="141"/>
    <x v="0"/>
    <m/>
    <s v="2025-12-07"/>
    <s v="270157"/>
    <s v="M/s. Kanailal Keder Prasad"/>
    <s v="9474075544"/>
  </r>
  <r>
    <s v="RCF Trombay"/>
    <s v="15-15-15"/>
    <s v="WB"/>
    <x v="12"/>
    <s v="Habibpur"/>
    <s v="User Not Mapped"/>
    <s v="User Not Mapped"/>
    <s v="User Not Mapped"/>
    <n v="288894"/>
    <s v="Manohar Gupta"/>
    <s v="Private Retailer"/>
    <s v="9547452811"/>
    <n v="4"/>
    <n v="141"/>
    <x v="0"/>
    <m/>
    <s v="2025-12-07"/>
    <s v="270157"/>
    <s v="M/s. Kanailal Keder Prasad"/>
    <s v="9474075544"/>
  </r>
  <r>
    <s v="RCF Trombay"/>
    <s v="15-15-15"/>
    <s v="WB"/>
    <x v="12"/>
    <s v="Habibpur"/>
    <s v="User Not Mapped"/>
    <s v="User Not Mapped"/>
    <s v="User Not Mapped"/>
    <n v="288949"/>
    <s v="Nimbari Skus Ltd"/>
    <s v="PACS"/>
    <s v="9933501021"/>
    <n v="2.4500000000000002"/>
    <n v="284"/>
    <x v="3"/>
    <m/>
    <s v="2025-07-17"/>
    <s v="270157"/>
    <s v="M/s. Kanailal Keder Prasad"/>
    <s v="9474075544"/>
  </r>
  <r>
    <s v="RCF Trombay"/>
    <s v="N.C.Urea(45kg)"/>
    <s v="WB"/>
    <x v="12"/>
    <s v="Habibpur"/>
    <s v="User Not Mapped"/>
    <s v="User Not Mapped"/>
    <s v="User Not Mapped"/>
    <n v="288949"/>
    <s v="Nimbari Skus Ltd"/>
    <s v="PACS"/>
    <s v="9933501021"/>
    <n v="9.99"/>
    <n v="141"/>
    <x v="0"/>
    <m/>
    <s v="2025-12-07"/>
    <s v="270157"/>
    <s v="M/s. Kanailal Keder Prasad"/>
    <s v="9474075544"/>
  </r>
  <r>
    <s v="RCF Thal"/>
    <s v="N.C.Urea(45kg)"/>
    <s v="WB"/>
    <x v="12"/>
    <s v="Habibpur"/>
    <s v="User Not Mapped"/>
    <s v="User Not Mapped"/>
    <s v="User Not Mapped"/>
    <n v="288949"/>
    <s v="Nimbari Skus Ltd"/>
    <s v="PACS"/>
    <s v="9933501021"/>
    <n v="10.71"/>
    <n v="49"/>
    <x v="1"/>
    <m/>
    <s v="2026-03-09"/>
    <s v="270157"/>
    <s v="M/s. Kanailal Keder Prasad"/>
    <s v="9474075544"/>
  </r>
  <r>
    <s v="RCF Trombay"/>
    <s v="N.C.Urea(45kg)"/>
    <s v="WB"/>
    <x v="12"/>
    <s v="Habibpur"/>
    <s v="User Not Mapped"/>
    <s v="User Not Mapped"/>
    <s v="User Not Mapped"/>
    <n v="288965"/>
    <s v="Soladanga Skus Ltd."/>
    <s v="PACS"/>
    <s v="9932172867"/>
    <n v="1.4850000000000001"/>
    <n v="135"/>
    <x v="0"/>
    <m/>
    <s v="2025-12-13"/>
    <s v="270157"/>
    <s v="M/s. Kanailal Keder Prasad"/>
    <s v="9474075544"/>
  </r>
  <r>
    <s v="RCF Thal"/>
    <s v="N.C.Urea(45kg)"/>
    <s v="WB"/>
    <x v="12"/>
    <s v="Habibpur"/>
    <s v="User Not Mapped"/>
    <s v="User Not Mapped"/>
    <s v="User Not Mapped"/>
    <n v="307708"/>
    <s v="M/S Bharti Sar Bhandar"/>
    <s v="Private Retailer"/>
    <s v="9932974311"/>
    <n v="5.3949999999999996"/>
    <n v="155"/>
    <x v="0"/>
    <m/>
    <s v="2025-11-23"/>
    <s v="270157"/>
    <s v="M/s. Kanailal Keder Prasad"/>
    <s v="9474075544"/>
  </r>
  <r>
    <s v="RCF Thal"/>
    <s v="N.C.Urea(45kg)"/>
    <s v="WB"/>
    <x v="12"/>
    <s v="Habibpur"/>
    <s v="User Not Mapped"/>
    <s v="User Not Mapped"/>
    <s v="User Not Mapped"/>
    <n v="307710"/>
    <s v="M/S Chhotelal Sar Bhandar"/>
    <s v="Private Retailer"/>
    <s v="9800471722"/>
    <n v="6.3449999999999998"/>
    <n v="49"/>
    <x v="1"/>
    <m/>
    <s v="2026-03-09"/>
    <s v="270157"/>
    <s v="M/s. Kanailal Keder Prasad"/>
    <s v="9474075544"/>
  </r>
  <r>
    <s v="RCF Import"/>
    <s v="Imp 10-26-26"/>
    <s v="WB"/>
    <x v="12"/>
    <s v="Habibpur"/>
    <s v="User Not Mapped"/>
    <s v="User Not Mapped"/>
    <s v="User Not Mapped"/>
    <n v="307710"/>
    <s v="M/S Chhotelal Sar Bhandar"/>
    <s v="Private Retailer"/>
    <s v="9800471722"/>
    <n v="5.3"/>
    <n v="58"/>
    <x v="1"/>
    <m/>
    <s v="2026-02-28"/>
    <s v="270157"/>
    <s v="M/s. Kanailal Keder Prasad"/>
    <s v="9474075544"/>
  </r>
  <r>
    <s v="RCF Import"/>
    <s v="Imp 10-26-26"/>
    <s v="WB"/>
    <x v="12"/>
    <s v="Habibpur"/>
    <s v="User Not Mapped"/>
    <s v="User Not Mapped"/>
    <s v="User Not Mapped"/>
    <n v="307724"/>
    <s v="M/S Sarathi Sar Bhandar"/>
    <s v="Private Retailer"/>
    <s v="9775954040"/>
    <n v="22.95"/>
    <n v="49"/>
    <x v="1"/>
    <m/>
    <s v="2026-03-09"/>
    <s v="270157"/>
    <s v="M/s. Kanailal Keder Prasad"/>
    <s v="9474075544"/>
  </r>
  <r>
    <s v="RCF Thal"/>
    <s v="N.C.Urea(45kg)"/>
    <s v="WB"/>
    <x v="12"/>
    <s v="Habibpur"/>
    <s v="User Not Mapped"/>
    <s v="User Not Mapped"/>
    <s v="User Not Mapped"/>
    <n v="328207"/>
    <s v="Brajendra Nath Barman"/>
    <s v="Private Retailer"/>
    <s v="9775821574"/>
    <n v="8.5950000000000006"/>
    <n v="72"/>
    <x v="2"/>
    <m/>
    <s v="2026-02-14"/>
    <s v="281269"/>
    <s v="M/s. Butto Krishna Paul"/>
    <s v="7908580984"/>
  </r>
  <r>
    <s v="RCF Trombay"/>
    <s v="15-15-15"/>
    <s v="WB"/>
    <x v="12"/>
    <s v="Habibpur"/>
    <s v="User Not Mapped"/>
    <s v="User Not Mapped"/>
    <s v="User Not Mapped"/>
    <n v="328207"/>
    <s v="Brajendra Nath Barman"/>
    <s v="Private Retailer"/>
    <s v="9775821574"/>
    <n v="3.75"/>
    <n v="141"/>
    <x v="0"/>
    <m/>
    <s v="2025-12-07"/>
    <s v="270157"/>
    <s v="M/s. Kanailal Keder Prasad"/>
    <s v="9474075544"/>
  </r>
  <r>
    <s v="RCF Thal"/>
    <s v="N.C.Urea(45kg)"/>
    <s v="WB"/>
    <x v="12"/>
    <s v="Habibpur"/>
    <s v="User Not Mapped"/>
    <s v="User Not Mapped"/>
    <s v="User Not Mapped"/>
    <n v="328220"/>
    <s v="M/S Bimal Chandra Sarkar"/>
    <s v="Private Retailer"/>
    <s v="9434981194"/>
    <n v="11.025"/>
    <n v="69"/>
    <x v="2"/>
    <m/>
    <s v="2026-02-17"/>
    <s v="270157"/>
    <s v="M/s. Kanailal Keder Prasad"/>
    <s v="9474075544"/>
  </r>
  <r>
    <s v="RCF Trombay"/>
    <s v="15-15-15"/>
    <s v="WB"/>
    <x v="12"/>
    <s v="Habibpur"/>
    <s v="User Not Mapped"/>
    <s v="User Not Mapped"/>
    <s v="User Not Mapped"/>
    <n v="328220"/>
    <s v="M/S Bimal Chandra Sarkar"/>
    <s v="Private Retailer"/>
    <s v="9434981194"/>
    <n v="13"/>
    <n v="129"/>
    <x v="0"/>
    <m/>
    <s v="2025-12-19"/>
    <s v="268712"/>
    <s v="M/s BirendraNathSaha O Partner"/>
    <s v="9232761461"/>
  </r>
  <r>
    <s v="RCF Trombay"/>
    <s v="N.C.Urea(45kg)"/>
    <s v="WB"/>
    <x v="12"/>
    <s v="Habibpur"/>
    <s v="User Not Mapped"/>
    <s v="User Not Mapped"/>
    <s v="User Not Mapped"/>
    <n v="328220"/>
    <s v="M/S Bimal Chandra Sarkar"/>
    <s v="Private Retailer"/>
    <s v="9434981194"/>
    <n v="6.12"/>
    <n v="131"/>
    <x v="0"/>
    <m/>
    <s v="2025-12-17"/>
    <s v="268712"/>
    <s v="M/s BirendraNathSaha O Partner"/>
    <s v="9232761461"/>
  </r>
  <r>
    <s v="RCF Thal"/>
    <s v="N.C.Urea(45kg)"/>
    <s v="WB"/>
    <x v="12"/>
    <s v="Habibpur"/>
    <s v="User Not Mapped"/>
    <s v="User Not Mapped"/>
    <s v="User Not Mapped"/>
    <n v="328220"/>
    <s v="M/S Bimal Chandra Sarkar"/>
    <s v="Private Retailer"/>
    <s v="9434981194"/>
    <n v="5.085"/>
    <n v="153"/>
    <x v="0"/>
    <m/>
    <s v="2025-11-25"/>
    <s v="268712"/>
    <s v="M/s BirendraNathSaha O Partner"/>
    <s v="9232761461"/>
  </r>
  <r>
    <s v="RCF Thal"/>
    <s v="N.C.Urea(45kg)"/>
    <s v="WB"/>
    <x v="12"/>
    <s v="Habibpur"/>
    <s v="User Not Mapped"/>
    <s v="User Not Mapped"/>
    <s v="User Not Mapped"/>
    <n v="328220"/>
    <s v="M/S Bimal Chandra Sarkar"/>
    <s v="Private Retailer"/>
    <s v="9434981194"/>
    <n v="6.7050000000000001"/>
    <n v="97"/>
    <x v="5"/>
    <m/>
    <s v="2026-01-20"/>
    <s v="270157"/>
    <s v="M/s. Kanailal Keder Prasad"/>
    <s v="9474075544"/>
  </r>
  <r>
    <s v="RCF Trombay"/>
    <s v="N.C.Urea(45kg)"/>
    <s v="WB"/>
    <x v="12"/>
    <s v="Habibpur"/>
    <s v="User Not Mapped"/>
    <s v="User Not Mapped"/>
    <s v="User Not Mapped"/>
    <n v="328226"/>
    <s v="M/S Maa Durga Sar Bhandar"/>
    <s v="Private Retailer"/>
    <s v="9733365384"/>
    <n v="0.36"/>
    <n v="285"/>
    <x v="3"/>
    <m/>
    <s v="2025-07-16"/>
    <s v="270157"/>
    <s v="M/s. Kanailal Keder Prasad"/>
    <s v="9474075544"/>
  </r>
  <r>
    <s v="RCF Import"/>
    <s v="Imp 10-26-26"/>
    <s v="WB"/>
    <x v="12"/>
    <s v="Habibpur"/>
    <s v="User Not Mapped"/>
    <s v="User Not Mapped"/>
    <s v="User Not Mapped"/>
    <n v="328233"/>
    <s v="M/S Mondal Sar Bhandar"/>
    <s v="Private Retailer"/>
    <s v="9733266313"/>
    <n v="10.9"/>
    <n v="71"/>
    <x v="2"/>
    <m/>
    <s v="2026-02-15"/>
    <s v="268712"/>
    <s v="M/s BirendraNathSaha O Partner"/>
    <s v="9232761461"/>
  </r>
  <r>
    <s v="RCF Trombay"/>
    <s v="15-15-15"/>
    <s v="WB"/>
    <x v="12"/>
    <s v="Habibpur"/>
    <s v="User Not Mapped"/>
    <s v="User Not Mapped"/>
    <s v="User Not Mapped"/>
    <n v="331464"/>
    <s v="Manoka Sar Bhandar"/>
    <s v="Private Retailer"/>
    <s v="9932292971"/>
    <n v="10.5"/>
    <n v="133"/>
    <x v="0"/>
    <m/>
    <s v="2025-12-15"/>
    <s v="269982"/>
    <s v="M/s Jatindra Nath Saha"/>
    <s v="7431922103"/>
  </r>
  <r>
    <s v="RCF Thal"/>
    <s v="N.C.Urea(45kg)"/>
    <s v="WB"/>
    <x v="12"/>
    <s v="Habibpur"/>
    <s v="User Not Mapped"/>
    <s v="User Not Mapped"/>
    <s v="User Not Mapped"/>
    <n v="331464"/>
    <s v="Manoka Sar Bhandar"/>
    <s v="Private Retailer"/>
    <s v="9932292971"/>
    <n v="4.32"/>
    <n v="47"/>
    <x v="1"/>
    <m/>
    <s v="2026-03-11"/>
    <s v="269982"/>
    <s v="M/s Jatindra Nath Saha"/>
    <s v="7431922103"/>
  </r>
  <r>
    <s v="RCF Trombay"/>
    <s v="15-15-15"/>
    <s v="WB"/>
    <x v="12"/>
    <s v="Habibpur"/>
    <s v="User Not Mapped"/>
    <s v="User Not Mapped"/>
    <s v="User Not Mapped"/>
    <n v="331464"/>
    <s v="Manoka Sar Bhandar"/>
    <s v="Private Retailer"/>
    <s v="9932292971"/>
    <n v="11"/>
    <n v="7"/>
    <x v="4"/>
    <m/>
    <s v="2026-04-20"/>
    <s v="269982"/>
    <s v="M/s Jatindra Nath Saha"/>
    <s v="7431922103"/>
  </r>
  <r>
    <s v="RCF Import"/>
    <s v="Imp 10-26-26"/>
    <s v="WB"/>
    <x v="12"/>
    <s v="Habibpur"/>
    <s v="User Not Mapped"/>
    <s v="User Not Mapped"/>
    <s v="User Not Mapped"/>
    <n v="331464"/>
    <s v="Manoka Sar Bhandar"/>
    <s v="Private Retailer"/>
    <s v="9932292971"/>
    <n v="0.4"/>
    <n v="58"/>
    <x v="1"/>
    <m/>
    <s v="2026-02-28"/>
    <s v="270157"/>
    <s v="M/s. Kanailal Keder Prasad"/>
    <s v="9474075544"/>
  </r>
  <r>
    <s v="RCF Trombay"/>
    <s v="15-15-15"/>
    <s v="WB"/>
    <x v="12"/>
    <s v="Habibpur"/>
    <s v="User Not Mapped"/>
    <s v="User Not Mapped"/>
    <s v="User Not Mapped"/>
    <n v="407808"/>
    <s v="Asit Baran Dutta"/>
    <s v="Private Retailer"/>
    <s v="9800715363"/>
    <n v="0.05"/>
    <n v="284"/>
    <x v="3"/>
    <m/>
    <s v="2025-07-17"/>
    <s v="270157"/>
    <s v="M/s. Kanailal Keder Prasad"/>
    <s v="9474075544"/>
  </r>
  <r>
    <s v="RCF Trombay"/>
    <s v="N.C.Urea(45kg)"/>
    <s v="WB"/>
    <x v="12"/>
    <s v="Habibpur"/>
    <s v="User Not Mapped"/>
    <s v="User Not Mapped"/>
    <s v="User Not Mapped"/>
    <n v="407808"/>
    <s v="Asit Baran Dutta"/>
    <s v="Private Retailer"/>
    <s v="9800715363"/>
    <n v="1.395"/>
    <n v="285"/>
    <x v="3"/>
    <m/>
    <s v="2025-07-16"/>
    <s v="270157"/>
    <s v="M/s. Kanailal Keder Prasad"/>
    <s v="9474075544"/>
  </r>
  <r>
    <s v="RCF Trombay"/>
    <s v="15-15-15"/>
    <s v="WB"/>
    <x v="12"/>
    <s v="Habibpur"/>
    <s v="User Not Mapped"/>
    <s v="User Not Mapped"/>
    <s v="User Not Mapped"/>
    <n v="411958"/>
    <s v="Maa Durga Enterprise"/>
    <s v="Private Retailer"/>
    <s v="9932246612"/>
    <n v="11"/>
    <n v="7"/>
    <x v="4"/>
    <m/>
    <s v="2026-04-20"/>
    <s v="269982"/>
    <s v="M/s Jatindra Nath Saha"/>
    <s v="7431922103"/>
  </r>
  <r>
    <s v="RCF Trombay"/>
    <s v="N.C.Urea(45kg)"/>
    <s v="WB"/>
    <x v="12"/>
    <s v="Habibpur"/>
    <s v="User Not Mapped"/>
    <s v="User Not Mapped"/>
    <s v="User Not Mapped"/>
    <n v="411958"/>
    <s v="Maa Durga Enterprise"/>
    <s v="Private Retailer"/>
    <s v="9932246612"/>
    <n v="11.025"/>
    <n v="7"/>
    <x v="4"/>
    <m/>
    <s v="2026-04-20"/>
    <s v="269982"/>
    <s v="M/s Jatindra Nath Saha"/>
    <s v="7431922103"/>
  </r>
  <r>
    <s v="RCF Trombay"/>
    <s v="N.C.Urea(45kg)"/>
    <s v="WB"/>
    <x v="12"/>
    <s v="Habibpur"/>
    <s v="User Not Mapped"/>
    <s v="User Not Mapped"/>
    <s v="User Not Mapped"/>
    <n v="458408"/>
    <s v="Ganesh Ram Paul"/>
    <s v="Private Retailer"/>
    <s v="9932103978"/>
    <n v="10.305"/>
    <n v="172"/>
    <x v="0"/>
    <m/>
    <s v="2025-11-06"/>
    <s v="270157"/>
    <s v="M/s. Kanailal Keder Prasad"/>
    <s v="9474075544"/>
  </r>
  <r>
    <s v="RCF Thal"/>
    <s v="N.C.Urea(45kg)"/>
    <s v="WB"/>
    <x v="12"/>
    <s v="Habibpur"/>
    <s v="User Not Mapped"/>
    <s v="User Not Mapped"/>
    <s v="User Not Mapped"/>
    <n v="458408"/>
    <s v="Ganesh Ram Paul"/>
    <s v="Private Retailer"/>
    <s v="9932103978"/>
    <n v="5.94"/>
    <n v="49"/>
    <x v="1"/>
    <m/>
    <s v="2026-03-09"/>
    <s v="270157"/>
    <s v="M/s. Kanailal Keder Prasad"/>
    <s v="9474075544"/>
  </r>
  <r>
    <s v="RCF Import"/>
    <s v="Imp 10-26-26"/>
    <s v="WB"/>
    <x v="12"/>
    <s v="Habibpur"/>
    <s v="User Not Mapped"/>
    <s v="User Not Mapped"/>
    <s v="User Not Mapped"/>
    <n v="458416"/>
    <s v="Minati Sar Bhandar"/>
    <s v="Private Retailer"/>
    <s v="9735044366"/>
    <n v="0.65"/>
    <n v="58"/>
    <x v="1"/>
    <m/>
    <s v="2026-02-28"/>
    <s v="270157"/>
    <s v="M/s. Kanailal Keder Prasad"/>
    <s v="9474075544"/>
  </r>
  <r>
    <s v="RCF Thal"/>
    <s v="N.C.Urea(45kg)"/>
    <s v="WB"/>
    <x v="12"/>
    <s v="Habibpur"/>
    <s v="User Not Mapped"/>
    <s v="User Not Mapped"/>
    <s v="User Not Mapped"/>
    <n v="458416"/>
    <s v="Minati Sar Bhandar"/>
    <s v="Private Retailer"/>
    <s v="9735044366"/>
    <n v="2.4300000000000002"/>
    <n v="69"/>
    <x v="2"/>
    <m/>
    <s v="2026-02-17"/>
    <s v="270157"/>
    <s v="M/s. Kanailal Keder Prasad"/>
    <s v="9474075544"/>
  </r>
  <r>
    <s v="RCF Trombay"/>
    <s v="15-15-15"/>
    <s v="WB"/>
    <x v="12"/>
    <s v="Habibpur"/>
    <s v="User Not Mapped"/>
    <s v="User Not Mapped"/>
    <s v="User Not Mapped"/>
    <n v="461159"/>
    <s v="Bishnu Sarkar"/>
    <s v="Private Retailer"/>
    <s v="9002809742"/>
    <n v="0.35"/>
    <n v="198"/>
    <x v="3"/>
    <m/>
    <s v="2025-10-11"/>
    <s v="270157"/>
    <s v="M/s. Kanailal Keder Prasad"/>
    <s v="9474075544"/>
  </r>
  <r>
    <s v="RCF Trombay"/>
    <s v="N.C.Urea(45kg)"/>
    <s v="WB"/>
    <x v="12"/>
    <s v="Habibpur"/>
    <s v="User Not Mapped"/>
    <s v="User Not Mapped"/>
    <s v="User Not Mapped"/>
    <n v="461159"/>
    <s v="Bishnu Sarkar"/>
    <s v="Private Retailer"/>
    <s v="9002809742"/>
    <n v="1.395"/>
    <n v="172"/>
    <x v="0"/>
    <m/>
    <s v="2025-11-06"/>
    <s v="270157"/>
    <s v="M/s. Kanailal Keder Prasad"/>
    <s v="9474075544"/>
  </r>
  <r>
    <s v="RCF Thal"/>
    <s v="N.C.Urea(45kg)"/>
    <s v="WB"/>
    <x v="12"/>
    <s v="Habibpur"/>
    <s v="User Not Mapped"/>
    <s v="User Not Mapped"/>
    <s v="User Not Mapped"/>
    <n v="461159"/>
    <s v="Bishnu Sarkar"/>
    <s v="Private Retailer"/>
    <s v="9002809742"/>
    <n v="2.835"/>
    <n v="97"/>
    <x v="5"/>
    <m/>
    <s v="2026-01-20"/>
    <s v="270157"/>
    <s v="M/s. Kanailal Keder Prasad"/>
    <s v="9474075544"/>
  </r>
  <r>
    <s v="RCF Thal"/>
    <s v="N.C.Urea(45kg)"/>
    <s v="WB"/>
    <x v="12"/>
    <s v="Habibpur"/>
    <s v="User Not Mapped"/>
    <s v="User Not Mapped"/>
    <s v="User Not Mapped"/>
    <n v="461159"/>
    <s v="Bishnu Sarkar"/>
    <s v="Private Retailer"/>
    <s v="9002809742"/>
    <n v="11.025"/>
    <n v="49"/>
    <x v="1"/>
    <m/>
    <s v="2026-03-09"/>
    <s v="270157"/>
    <s v="M/s. Kanailal Keder Prasad"/>
    <s v="9474075544"/>
  </r>
  <r>
    <s v="RCF Thal"/>
    <s v="N.C.Urea(45kg)"/>
    <s v="WB"/>
    <x v="12"/>
    <s v="Habibpur"/>
    <s v="User Not Mapped"/>
    <s v="User Not Mapped"/>
    <s v="User Not Mapped"/>
    <n v="507596"/>
    <s v="M/S Phani Bhushan Mondal"/>
    <s v="Private Retailer"/>
    <s v="7583911018"/>
    <n v="7.92"/>
    <n v="49"/>
    <x v="1"/>
    <m/>
    <s v="2026-03-09"/>
    <s v="270157"/>
    <s v="M/s. Kanailal Keder Prasad"/>
    <s v="9474075544"/>
  </r>
  <r>
    <s v="RCF Trombay"/>
    <s v="N.C.Urea(45kg)"/>
    <s v="WB"/>
    <x v="12"/>
    <s v="Habibpur"/>
    <s v="User Not Mapped"/>
    <s v="User Not Mapped"/>
    <s v="User Not Mapped"/>
    <n v="507596"/>
    <s v="M/S Phani Bhushan Mondal"/>
    <s v="Private Retailer"/>
    <s v="7583911018"/>
    <n v="2.52"/>
    <n v="135"/>
    <x v="0"/>
    <m/>
    <s v="2025-12-13"/>
    <s v="270157"/>
    <s v="M/s. Kanailal Keder Prasad"/>
    <s v="9474075544"/>
  </r>
  <r>
    <s v="RCF Trombay"/>
    <s v="15-15-15"/>
    <s v="WB"/>
    <x v="12"/>
    <s v="Habibpur"/>
    <s v="User Not Mapped"/>
    <s v="User Not Mapped"/>
    <s v="User Not Mapped"/>
    <n v="507598"/>
    <s v="M/S Biswanath Sar Bhander"/>
    <s v="Private Retailer"/>
    <s v="8170819030"/>
    <n v="12"/>
    <n v="141"/>
    <x v="0"/>
    <m/>
    <s v="2025-12-07"/>
    <s v="270157"/>
    <s v="M/s. Kanailal Keder Prasad"/>
    <s v="9474075544"/>
  </r>
  <r>
    <s v="RCF Import"/>
    <s v="Imp 10-26-26"/>
    <s v="WB"/>
    <x v="12"/>
    <s v="Habibpur"/>
    <s v="User Not Mapped"/>
    <s v="User Not Mapped"/>
    <s v="User Not Mapped"/>
    <n v="507598"/>
    <s v="M/S Biswanath Sar Bhander"/>
    <s v="Private Retailer"/>
    <s v="8170819030"/>
    <n v="11"/>
    <n v="81"/>
    <x v="2"/>
    <m/>
    <s v="2026-02-05"/>
    <s v="270157"/>
    <s v="M/s. Kanailal Keder Prasad"/>
    <s v="9474075544"/>
  </r>
  <r>
    <s v="RCF Trombay"/>
    <s v="15-15-15"/>
    <s v="WB"/>
    <x v="12"/>
    <s v="Habibpur"/>
    <s v="User Not Mapped"/>
    <s v="User Not Mapped"/>
    <s v="User Not Mapped"/>
    <n v="507598"/>
    <s v="M/S Biswanath Sar Bhander"/>
    <s v="Private Retailer"/>
    <s v="8170819030"/>
    <n v="13.75"/>
    <n v="198"/>
    <x v="3"/>
    <m/>
    <s v="2025-10-11"/>
    <s v="270157"/>
    <s v="M/s. Kanailal Keder Prasad"/>
    <s v="9474075544"/>
  </r>
  <r>
    <s v="RCF Thal"/>
    <s v="N.C.Urea(45kg)"/>
    <s v="WB"/>
    <x v="12"/>
    <s v="Habibpur"/>
    <s v="User Not Mapped"/>
    <s v="User Not Mapped"/>
    <s v="User Not Mapped"/>
    <n v="507598"/>
    <s v="M/S Biswanath Sar Bhander"/>
    <s v="Private Retailer"/>
    <s v="8170819030"/>
    <n v="11.025"/>
    <n v="49"/>
    <x v="1"/>
    <m/>
    <s v="2026-03-09"/>
    <s v="270157"/>
    <s v="M/s. Kanailal Keder Prasad"/>
    <s v="9474075544"/>
  </r>
  <r>
    <s v="RCF Thal"/>
    <s v="N.C.Urea(45kg)"/>
    <s v="WB"/>
    <x v="12"/>
    <s v="Habibpur"/>
    <s v="User Not Mapped"/>
    <s v="User Not Mapped"/>
    <s v="User Not Mapped"/>
    <n v="507598"/>
    <s v="M/S Biswanath Sar Bhander"/>
    <s v="Private Retailer"/>
    <s v="8170819030"/>
    <n v="5.3550000000000004"/>
    <n v="97"/>
    <x v="5"/>
    <m/>
    <s v="2026-01-20"/>
    <s v="270157"/>
    <s v="M/s. Kanailal Keder Prasad"/>
    <s v="9474075544"/>
  </r>
  <r>
    <s v="RCF Trombay"/>
    <s v="15-15-15"/>
    <s v="WB"/>
    <x v="12"/>
    <s v="Habibpur"/>
    <s v="User Not Mapped"/>
    <s v="User Not Mapped"/>
    <s v="User Not Mapped"/>
    <n v="510732"/>
    <s v="M/S Promotho Nath Mondal"/>
    <s v="Private Retailer"/>
    <s v="9635509354"/>
    <n v="0.7"/>
    <n v="214"/>
    <x v="3"/>
    <m/>
    <s v="2025-09-25"/>
    <s v="270157"/>
    <s v="M/s. Kanailal Keder Prasad"/>
    <s v="9474075544"/>
  </r>
  <r>
    <s v="RCF Trombay"/>
    <s v="15-15-15"/>
    <s v="WB"/>
    <x v="12"/>
    <s v="Habibpur"/>
    <s v="User Not Mapped"/>
    <s v="User Not Mapped"/>
    <s v="User Not Mapped"/>
    <n v="587271"/>
    <s v="GUPTA KISHAN CENTER"/>
    <s v="Private Retailer"/>
    <s v="8348389221"/>
    <n v="8.35"/>
    <n v="140"/>
    <x v="0"/>
    <m/>
    <s v="2025-12-08"/>
    <s v="270157"/>
    <s v="M/s. Kanailal Keder Prasad"/>
    <s v="9474075544"/>
  </r>
  <r>
    <s v="RCF Trombay"/>
    <s v="15-15-15"/>
    <s v="WB"/>
    <x v="12"/>
    <s v="Habibpur"/>
    <s v="User Not Mapped"/>
    <s v="User Not Mapped"/>
    <s v="User Not Mapped"/>
    <n v="600001"/>
    <s v="BAISHNAB SAR BHANDAR"/>
    <s v="Private Retailer"/>
    <s v="9733336710"/>
    <n v="1.5"/>
    <n v="141"/>
    <x v="0"/>
    <m/>
    <s v="2025-12-07"/>
    <s v="270157"/>
    <s v="M/s. Kanailal Keder Prasad"/>
    <s v="9474075544"/>
  </r>
  <r>
    <s v="RCF Thal"/>
    <s v="N.C.Urea(45kg)"/>
    <s v="WB"/>
    <x v="12"/>
    <s v="Habibpur"/>
    <s v="User Not Mapped"/>
    <s v="User Not Mapped"/>
    <s v="User Not Mapped"/>
    <n v="600001"/>
    <s v="BAISHNAB SAR BHANDAR"/>
    <s v="Private Retailer"/>
    <s v="9733336710"/>
    <n v="5.22"/>
    <n v="49"/>
    <x v="1"/>
    <m/>
    <s v="2026-03-09"/>
    <s v="270157"/>
    <s v="M/s. Kanailal Keder Prasad"/>
    <s v="9474075544"/>
  </r>
  <r>
    <s v="RCF Thal"/>
    <s v="N.C.Urea(45kg)"/>
    <s v="WB"/>
    <x v="12"/>
    <s v="Habibpur"/>
    <s v="User Not Mapped"/>
    <s v="User Not Mapped"/>
    <s v="User Not Mapped"/>
    <n v="622627"/>
    <s v="Janaki Krishi sava kandra"/>
    <s v="Private Retailer"/>
    <s v="9775856463"/>
    <n v="11.025"/>
    <n v="49"/>
    <x v="1"/>
    <m/>
    <s v="2026-03-09"/>
    <s v="270157"/>
    <s v="M/s. Kanailal Keder Prasad"/>
    <s v="9474075544"/>
  </r>
  <r>
    <s v="RCF Trombay"/>
    <s v="N.C.Urea(45kg)"/>
    <s v="WB"/>
    <x v="12"/>
    <s v="Habibpur"/>
    <s v="User Not Mapped"/>
    <s v="User Not Mapped"/>
    <s v="User Not Mapped"/>
    <n v="622627"/>
    <s v="Janaki Krishi sava kandra"/>
    <s v="Private Retailer"/>
    <s v="9775856463"/>
    <n v="6.0570000000000004"/>
    <n v="172"/>
    <x v="0"/>
    <m/>
    <s v="2025-11-06"/>
    <s v="270157"/>
    <s v="M/s. Kanailal Keder Prasad"/>
    <s v="9474075544"/>
  </r>
  <r>
    <s v="RCF Thal"/>
    <s v="N.C.Urea(45kg)"/>
    <s v="WB"/>
    <x v="12"/>
    <s v="Habibpur"/>
    <s v="User Not Mapped"/>
    <s v="User Not Mapped"/>
    <s v="User Not Mapped"/>
    <n v="622627"/>
    <s v="Janaki Krishi sava kandra"/>
    <s v="Private Retailer"/>
    <s v="9775856463"/>
    <n v="2.52"/>
    <n v="69"/>
    <x v="2"/>
    <m/>
    <s v="2026-02-17"/>
    <s v="270157"/>
    <s v="M/s. Kanailal Keder Prasad"/>
    <s v="9474075544"/>
  </r>
  <r>
    <s v="RCF Import"/>
    <s v="Imp 10-26-26"/>
    <s v="WB"/>
    <x v="12"/>
    <s v="Habibpur"/>
    <s v="User Not Mapped"/>
    <s v="User Not Mapped"/>
    <s v="User Not Mapped"/>
    <n v="622647"/>
    <s v="Prosad fertiliser"/>
    <s v="Private Retailer"/>
    <s v="9733027900"/>
    <n v="15.35"/>
    <n v="81"/>
    <x v="2"/>
    <m/>
    <s v="2026-02-05"/>
    <s v="270157"/>
    <s v="M/s. Kanailal Keder Prasad"/>
    <s v="9474075544"/>
  </r>
  <r>
    <s v="RCF Thal"/>
    <s v="N.C.Urea(45kg)"/>
    <s v="WB"/>
    <x v="12"/>
    <s v="Habibpur"/>
    <s v="User Not Mapped"/>
    <s v="User Not Mapped"/>
    <s v="User Not Mapped"/>
    <n v="622682"/>
    <s v="Pal  Fertilizer"/>
    <s v="Private Retailer"/>
    <s v="9593433356"/>
    <n v="2.88"/>
    <n v="49"/>
    <x v="1"/>
    <m/>
    <s v="2026-03-09"/>
    <s v="270157"/>
    <s v="M/s. Kanailal Keder Prasad"/>
    <s v="9474075544"/>
  </r>
  <r>
    <s v="RCF Thal"/>
    <s v="N.C.Urea(45kg)"/>
    <s v="WB"/>
    <x v="12"/>
    <s v="Habibpur"/>
    <s v="User Not Mapped"/>
    <s v="User Not Mapped"/>
    <s v="User Not Mapped"/>
    <n v="622702"/>
    <s v="Basanta Sar Bhandar"/>
    <s v="Private Retailer"/>
    <s v="8967160512"/>
    <n v="11.025"/>
    <n v="69"/>
    <x v="2"/>
    <m/>
    <s v="2026-02-17"/>
    <s v="270157"/>
    <s v="M/s. Kanailal Keder Prasad"/>
    <s v="9474075544"/>
  </r>
  <r>
    <s v="RCF Thal"/>
    <s v="N.C.Urea(45kg)"/>
    <s v="WB"/>
    <x v="12"/>
    <s v="Habibpur"/>
    <s v="User Not Mapped"/>
    <s v="User Not Mapped"/>
    <s v="User Not Mapped"/>
    <n v="622702"/>
    <s v="Basanta Sar Bhandar"/>
    <s v="Private Retailer"/>
    <s v="8967160512"/>
    <n v="9.1349999999999998"/>
    <n v="97"/>
    <x v="5"/>
    <m/>
    <s v="2026-01-20"/>
    <s v="270157"/>
    <s v="M/s. Kanailal Keder Prasad"/>
    <s v="9474075544"/>
  </r>
  <r>
    <s v="RCF Thal"/>
    <s v="N.C.Urea(45kg)"/>
    <s v="WB"/>
    <x v="12"/>
    <s v="Habibpur"/>
    <s v="User Not Mapped"/>
    <s v="User Not Mapped"/>
    <s v="User Not Mapped"/>
    <n v="640307"/>
    <s v="GANESH SAR BHANDAR"/>
    <s v="Private Retailer"/>
    <s v="8172033713"/>
    <n v="0.81"/>
    <n v="47"/>
    <x v="1"/>
    <m/>
    <s v="2026-03-11"/>
    <s v="269982"/>
    <s v="M/s Jatindra Nath Saha"/>
    <s v="7431922103"/>
  </r>
  <r>
    <s v="RCF Thal"/>
    <s v="N.C.Urea(45kg)"/>
    <s v="WB"/>
    <x v="12"/>
    <s v="Habibpur"/>
    <s v="User Not Mapped"/>
    <s v="User Not Mapped"/>
    <s v="User Not Mapped"/>
    <n v="709121"/>
    <s v="M/S BABA LOKNATH SAR BHANDER"/>
    <s v="Private Retailer"/>
    <s v="7718380186"/>
    <n v="6.66"/>
    <n v="69"/>
    <x v="2"/>
    <m/>
    <s v="2026-02-17"/>
    <s v="270157"/>
    <s v="M/s. Kanailal Keder Prasad"/>
    <s v="9474075544"/>
  </r>
  <r>
    <s v="RCF Trombay"/>
    <s v="15-15-15"/>
    <s v="WB"/>
    <x v="12"/>
    <s v="Habibpur"/>
    <s v="User Not Mapped"/>
    <s v="User Not Mapped"/>
    <s v="User Not Mapped"/>
    <n v="731105"/>
    <s v="M/S CHAND MOHAN BARMAN"/>
    <s v="Private Retailer"/>
    <s v="9735047376"/>
    <n v="3.4"/>
    <n v="131"/>
    <x v="0"/>
    <m/>
    <s v="2025-12-17"/>
    <s v="270157"/>
    <s v="M/s. Kanailal Keder Prasad"/>
    <s v="9474075544"/>
  </r>
  <r>
    <s v="RCF Thal"/>
    <s v="N.C.Urea(45kg)"/>
    <s v="WB"/>
    <x v="12"/>
    <s v="Habibpur"/>
    <s v="User Not Mapped"/>
    <s v="User Not Mapped"/>
    <s v="User Not Mapped"/>
    <n v="768498"/>
    <s v="M/S MAA DURGA SAR BHANDER"/>
    <s v="Private Retailer"/>
    <s v="9609372769"/>
    <n v="0.36"/>
    <n v="94"/>
    <x v="5"/>
    <m/>
    <s v="2026-01-23"/>
    <s v="270157"/>
    <s v="M/s. Kanailal Keder Prasad"/>
    <s v="9474075544"/>
  </r>
  <r>
    <s v="RCF Thal"/>
    <s v="N.C.Urea(45kg)"/>
    <s v="WB"/>
    <x v="12"/>
    <s v="Habibpur"/>
    <s v="User Not Mapped"/>
    <s v="User Not Mapped"/>
    <s v="User Not Mapped"/>
    <n v="1005126"/>
    <s v="M/S LAXMI NARAYAN SAR BHANDAR"/>
    <s v="Private Retailer"/>
    <s v="7478860009"/>
    <n v="13.904999999999999"/>
    <n v="49"/>
    <x v="1"/>
    <m/>
    <s v="2026-03-09"/>
    <s v="270157"/>
    <s v="M/s. Kanailal Keder Prasad"/>
    <s v="9474075544"/>
  </r>
  <r>
    <s v="RCF Thal"/>
    <s v="N.C.Urea(45kg)"/>
    <s v="WB"/>
    <x v="12"/>
    <s v="Habibpur"/>
    <s v="User Not Mapped"/>
    <s v="User Not Mapped"/>
    <s v="User Not Mapped"/>
    <n v="1008768"/>
    <s v="M/S SOREN SAR BHANDER"/>
    <s v="Private Retailer"/>
    <s v="9547530259"/>
    <n v="8.5950000000000006"/>
    <n v="155"/>
    <x v="0"/>
    <m/>
    <s v="2025-11-23"/>
    <s v="270157"/>
    <s v="M/s. Kanailal Keder Prasad"/>
    <s v="9474075544"/>
  </r>
  <r>
    <s v="RCF Thal"/>
    <s v="N.C.Urea(45kg)"/>
    <s v="WB"/>
    <x v="12"/>
    <s v="Habibpur"/>
    <s v="User Not Mapped"/>
    <s v="User Not Mapped"/>
    <s v="User Not Mapped"/>
    <n v="1029854"/>
    <s v="M/S CHOWDHARY SAR BHANDER"/>
    <s v="Private Retailer"/>
    <s v="8337839150"/>
    <n v="11.025"/>
    <n v="69"/>
    <x v="2"/>
    <m/>
    <s v="2026-02-17"/>
    <s v="270157"/>
    <s v="M/s. Kanailal Keder Prasad"/>
    <s v="9474075544"/>
  </r>
  <r>
    <s v="RCF Thal"/>
    <s v="N.C.Urea(45kg)"/>
    <s v="WB"/>
    <x v="12"/>
    <s v="Habibpur"/>
    <s v="User Not Mapped"/>
    <s v="User Not Mapped"/>
    <s v="User Not Mapped"/>
    <n v="1029854"/>
    <s v="M/S CHOWDHARY SAR BHANDER"/>
    <s v="Private Retailer"/>
    <s v="8337839150"/>
    <n v="2.7"/>
    <n v="265"/>
    <x v="3"/>
    <m/>
    <s v="2025-08-05"/>
    <s v="270157"/>
    <s v="M/s. Kanailal Keder Prasad"/>
    <s v="9474075544"/>
  </r>
  <r>
    <s v="RCF Thal"/>
    <s v="N.C.Urea(45kg)"/>
    <s v="WB"/>
    <x v="12"/>
    <s v="Habibpur"/>
    <s v="User Not Mapped"/>
    <s v="User Not Mapped"/>
    <s v="User Not Mapped"/>
    <n v="1029854"/>
    <s v="M/S CHOWDHARY SAR BHANDER"/>
    <s v="Private Retailer"/>
    <s v="8337839150"/>
    <n v="11.025"/>
    <n v="198"/>
    <x v="3"/>
    <m/>
    <s v="2025-10-11"/>
    <s v="270157"/>
    <s v="M/s. Kanailal Keder Prasad"/>
    <s v="9474075544"/>
  </r>
  <r>
    <s v="RCF Trombay"/>
    <s v="15-15-15"/>
    <s v="WB"/>
    <x v="12"/>
    <s v="Habibpur"/>
    <s v="User Not Mapped"/>
    <s v="User Not Mapped"/>
    <s v="User Not Mapped"/>
    <n v="1204353"/>
    <s v="M/S CHOWDHURY SAR BHANDAR"/>
    <s v="Private Retailer"/>
    <s v="7872803677"/>
    <n v="0.65"/>
    <n v="108"/>
    <x v="5"/>
    <m/>
    <s v="2026-01-09"/>
    <s v="281269"/>
    <s v="M/s. Butto Krishna Paul"/>
    <s v="7908580984"/>
  </r>
  <r>
    <s v="RCF Thal"/>
    <s v="N.C.Urea(45kg)"/>
    <s v="WB"/>
    <x v="12"/>
    <s v="Habibpur"/>
    <s v="User Not Mapped"/>
    <s v="User Not Mapped"/>
    <s v="User Not Mapped"/>
    <n v="1234617"/>
    <s v="M/S REBA FERTILIZER"/>
    <s v="Private Retailer"/>
    <s v="9734011627"/>
    <n v="7.5149999999999997"/>
    <n v="49"/>
    <x v="1"/>
    <m/>
    <s v="2026-03-09"/>
    <s v="268712"/>
    <s v="M/s BirendraNathSaha O Partner"/>
    <s v="9232761461"/>
  </r>
  <r>
    <s v="RCF Thal"/>
    <s v="N.C.Urea(45kg)"/>
    <s v="WB"/>
    <x v="12"/>
    <s v="Habibpur"/>
    <s v="User Not Mapped"/>
    <s v="User Not Mapped"/>
    <s v="User Not Mapped"/>
    <n v="1260945"/>
    <s v="M/S KHIRODHAR SAR VANDAR"/>
    <s v="Private Retailer"/>
    <s v="9933127624"/>
    <n v="10.26"/>
    <n v="49"/>
    <x v="1"/>
    <m/>
    <s v="2026-03-09"/>
    <s v="270157"/>
    <s v="M/s. Kanailal Keder Prasad"/>
    <s v="9474075544"/>
  </r>
  <r>
    <s v="RCF Thal"/>
    <s v="N.C.Urea(45kg)"/>
    <s v="WB"/>
    <x v="12"/>
    <s v="Habibpur"/>
    <s v="User Not Mapped"/>
    <s v="User Not Mapped"/>
    <s v="User Not Mapped"/>
    <n v="1388240"/>
    <s v="M/S DULAL FERTILIZER A PESTICI"/>
    <s v="Private Retailer"/>
    <s v="8145268207"/>
    <n v="6.9749999999999996"/>
    <n v="68"/>
    <x v="2"/>
    <m/>
    <s v="2026-02-18"/>
    <s v="269982"/>
    <s v="M/s Jatindra Nath Saha"/>
    <s v="7431922103"/>
  </r>
  <r>
    <s v="RCF Thal"/>
    <s v="N.C.Urea(45kg)"/>
    <s v="WB"/>
    <x v="12"/>
    <s v="Habibpur"/>
    <s v="User Not Mapped"/>
    <s v="User Not Mapped"/>
    <s v="User Not Mapped"/>
    <n v="1388240"/>
    <s v="M/S DULAL FERTILIZER A PESTICI"/>
    <s v="Private Retailer"/>
    <s v="8145268207"/>
    <n v="11.025"/>
    <n v="47"/>
    <x v="1"/>
    <m/>
    <s v="2026-03-11"/>
    <s v="269982"/>
    <s v="M/s Jatindra Nath Saha"/>
    <s v="7431922103"/>
  </r>
  <r>
    <s v="RCF Thal"/>
    <s v="N.C.Urea(45kg)"/>
    <s v="WB"/>
    <x v="12"/>
    <s v="Habibpur"/>
    <s v="User Not Mapped"/>
    <s v="User Not Mapped"/>
    <s v="User Not Mapped"/>
    <n v="1391467"/>
    <s v="M/S OM FERTILIZER AND PESTICID"/>
    <s v="Private Retailer"/>
    <s v="7908227004"/>
    <n v="0.36"/>
    <n v="69"/>
    <x v="2"/>
    <m/>
    <s v="2026-02-17"/>
    <s v="270157"/>
    <s v="M/s. Kanailal Keder Prasad"/>
    <s v="9474075544"/>
  </r>
  <r>
    <s v="RCF Trombay"/>
    <s v="15-15-15"/>
    <s v="WB"/>
    <x v="12"/>
    <s v="Habibpur"/>
    <s v="User Not Mapped"/>
    <s v="User Not Mapped"/>
    <s v="User Not Mapped"/>
    <n v="1391467"/>
    <s v="M/S OM FERTILIZER AND PESTICID"/>
    <s v="Private Retailer"/>
    <s v="7908227004"/>
    <n v="0.25"/>
    <n v="214"/>
    <x v="3"/>
    <m/>
    <s v="2025-09-25"/>
    <s v="270157"/>
    <s v="M/s. Kanailal Keder Prasad"/>
    <s v="9474075544"/>
  </r>
  <r>
    <s v="RCF Thal"/>
    <s v="N.C.Urea(45kg)"/>
    <s v="WB"/>
    <x v="12"/>
    <s v="Habibpur"/>
    <s v="User Not Mapped"/>
    <s v="User Not Mapped"/>
    <s v="User Not Mapped"/>
    <n v="1391519"/>
    <s v="M/S MAA DURGA SAR VANDAR"/>
    <s v="Private Retailer"/>
    <s v="7908210052"/>
    <n v="5.4"/>
    <n v="49"/>
    <x v="1"/>
    <m/>
    <s v="2026-03-09"/>
    <s v="270157"/>
    <s v="M/s. Kanailal Keder Prasad"/>
    <s v="9474075544"/>
  </r>
  <r>
    <s v="RCF Thal"/>
    <s v="N.C.Urea(45kg)"/>
    <s v="WB"/>
    <x v="12"/>
    <s v="Habibpur"/>
    <s v="User Not Mapped"/>
    <s v="User Not Mapped"/>
    <s v="User Not Mapped"/>
    <n v="1510450"/>
    <s v="M/S BRAJENDRANATH BARMAN "/>
    <s v="Private Retailer"/>
    <s v="9851427663"/>
    <n v="5.1749999999999998"/>
    <n v="49"/>
    <x v="1"/>
    <m/>
    <s v="2026-03-09"/>
    <s v="281269"/>
    <s v="M/s. Butto Krishna Paul"/>
    <s v="7908580984"/>
  </r>
  <r>
    <s v="RCF Trombay"/>
    <s v="N.C.Urea(45kg)"/>
    <s v="WB"/>
    <x v="12"/>
    <s v="Habibpur"/>
    <s v="User Not Mapped"/>
    <s v="User Not Mapped"/>
    <s v="User Not Mapped"/>
    <n v="1534804"/>
    <s v="M/S Roy Fertilizer"/>
    <s v="Private Retailer"/>
    <s v="9932398989"/>
    <n v="4.4999999999999998E-2"/>
    <n v="97"/>
    <x v="5"/>
    <m/>
    <s v="2026-01-20"/>
    <s v="270157"/>
    <s v="M/s. Kanailal Keder Prasad"/>
    <s v="9474075544"/>
  </r>
  <r>
    <s v="RCF Import"/>
    <s v="Imp 10-26-26"/>
    <s v="WB"/>
    <x v="12"/>
    <s v="Habibpur"/>
    <s v="User Not Mapped"/>
    <s v="User Not Mapped"/>
    <s v="User Not Mapped"/>
    <n v="1534932"/>
    <s v="M/S Dhananjay Sathi Pesticides"/>
    <s v="Private Retailer"/>
    <s v="8670558624"/>
    <n v="2.7"/>
    <n v="58"/>
    <x v="1"/>
    <m/>
    <s v="2026-02-28"/>
    <s v="270157"/>
    <s v="M/s. Kanailal Keder Prasad"/>
    <s v="9474075544"/>
  </r>
  <r>
    <s v="RCF Thal"/>
    <s v="N.C.Urea(45kg)"/>
    <s v="WB"/>
    <x v="12"/>
    <s v="Habibpur"/>
    <s v="User Not Mapped"/>
    <s v="User Not Mapped"/>
    <s v="User Not Mapped"/>
    <n v="1534932"/>
    <s v="M/S Dhananjay Sathi Pesticides"/>
    <s v="Private Retailer"/>
    <s v="8670558624"/>
    <n v="0.67500000000000004"/>
    <n v="97"/>
    <x v="5"/>
    <m/>
    <s v="2026-01-20"/>
    <s v="270157"/>
    <s v="M/s. Kanailal Keder Prasad"/>
    <s v="9474075544"/>
  </r>
  <r>
    <s v="RCF Trombay"/>
    <s v="15-15-15"/>
    <s v="WB"/>
    <x v="12"/>
    <s v="Habibpur"/>
    <s v="User Not Mapped"/>
    <s v="User Not Mapped"/>
    <s v="User Not Mapped"/>
    <n v="1573237"/>
    <s v="M/S Krishi Ghar"/>
    <s v="Private Retailer"/>
    <s v="8637814147"/>
    <n v="1.5"/>
    <n v="141"/>
    <x v="0"/>
    <m/>
    <s v="2025-12-07"/>
    <s v="270157"/>
    <s v="M/s. Kanailal Keder Prasad"/>
    <s v="9474075544"/>
  </r>
  <r>
    <s v="RCF Thal"/>
    <s v="N.C.Urea(45kg)"/>
    <s v="WB"/>
    <x v="12"/>
    <s v="Harischandrapur - I"/>
    <s v="User Not Mapped"/>
    <s v="User Not Mapped"/>
    <s v="User Not Mapped"/>
    <n v="331139"/>
    <s v="Ananda Agarwal"/>
    <s v="Private Retailer"/>
    <s v="9733239104"/>
    <n v="6.93"/>
    <n v="39"/>
    <x v="1"/>
    <m/>
    <s v="2026-03-19"/>
    <s v="281272"/>
    <s v="M/s. Bimal Chandra Das"/>
    <s v="9734196261"/>
  </r>
  <r>
    <s v="RCF Trombay"/>
    <s v="15-15-15"/>
    <s v="WB"/>
    <x v="12"/>
    <s v="Harischandrapur - I"/>
    <s v="User Not Mapped"/>
    <s v="User Not Mapped"/>
    <s v="User Not Mapped"/>
    <n v="331139"/>
    <s v="Ananda Agarwal"/>
    <s v="Private Retailer"/>
    <s v="9733239104"/>
    <n v="6"/>
    <n v="2"/>
    <x v="4"/>
    <m/>
    <s v="2026-04-25"/>
    <s v="260350"/>
    <s v="Adarsha Krishi Bhandar"/>
    <s v="9434422447"/>
  </r>
  <r>
    <s v="RCF Thal"/>
    <s v="N.C.Urea(45kg)"/>
    <s v="WB"/>
    <x v="12"/>
    <s v="Harischandrapur - I"/>
    <s v="User Not Mapped"/>
    <s v="User Not Mapped"/>
    <s v="User Not Mapped"/>
    <n v="331233"/>
    <s v="Dipu Sar Bhandar"/>
    <s v="Private Retailer"/>
    <s v="7602620120"/>
    <n v="2.2050000000000001"/>
    <n v="49"/>
    <x v="1"/>
    <m/>
    <s v="2026-03-09"/>
    <s v="270157"/>
    <s v="M/s. Kanailal Keder Prasad"/>
    <s v="9474075544"/>
  </r>
  <r>
    <s v="RCF Thal"/>
    <s v="N.C.Urea(45kg)"/>
    <s v="WB"/>
    <x v="12"/>
    <s v="Harischandrapur - I"/>
    <s v="User Not Mapped"/>
    <s v="User Not Mapped"/>
    <s v="User Not Mapped"/>
    <n v="331405"/>
    <s v="Krishi Sangastha              "/>
    <s v="Private Retailer"/>
    <s v="9434040109"/>
    <n v="10.35"/>
    <n v="49"/>
    <x v="1"/>
    <m/>
    <s v="2026-03-09"/>
    <s v="270157"/>
    <s v="M/s. Kanailal Keder Prasad"/>
    <s v="9474075544"/>
  </r>
  <r>
    <s v="RCF Thal"/>
    <s v="N.C.Urea(45kg)"/>
    <s v="WB"/>
    <x v="12"/>
    <s v="Harischandrapur - I"/>
    <s v="User Not Mapped"/>
    <s v="User Not Mapped"/>
    <s v="User Not Mapped"/>
    <n v="354597"/>
    <s v="Adarsha Sar Bhandarpropsanatan Das"/>
    <s v="Private Retailer"/>
    <s v="9635554052"/>
    <n v="10.17"/>
    <n v="49"/>
    <x v="1"/>
    <m/>
    <s v="2026-03-09"/>
    <s v="270157"/>
    <s v="M/s. Kanailal Keder Prasad"/>
    <s v="9474075544"/>
  </r>
  <r>
    <s v="RCF Import"/>
    <s v="Imp 10-26-26"/>
    <s v="WB"/>
    <x v="12"/>
    <s v="Harischandrapur - I"/>
    <s v="User Not Mapped"/>
    <s v="User Not Mapped"/>
    <s v="User Not Mapped"/>
    <n v="355337"/>
    <s v="Manojram"/>
    <s v="Private Retailer"/>
    <s v="9475309044"/>
    <n v="3"/>
    <n v="12"/>
    <x v="4"/>
    <m/>
    <s v="2026-04-15"/>
    <s v="270157"/>
    <s v="M/s. Kanailal Keder Prasad"/>
    <s v="9474075544"/>
  </r>
  <r>
    <s v="RCF Thal"/>
    <s v="N.C.Urea(45kg)"/>
    <s v="WB"/>
    <x v="12"/>
    <s v="Harischandrapur - I"/>
    <s v="User Not Mapped"/>
    <s v="User Not Mapped"/>
    <s v="User Not Mapped"/>
    <n v="482098"/>
    <s v="Kamal Kanta Das"/>
    <s v="Private Retailer"/>
    <s v="9800695901"/>
    <n v="5.8049999999999997"/>
    <n v="133"/>
    <x v="0"/>
    <m/>
    <s v="2025-12-15"/>
    <s v="270157"/>
    <s v="M/s. Kanailal Keder Prasad"/>
    <s v="9474075544"/>
  </r>
  <r>
    <s v="RCF Trombay"/>
    <s v="N.C.Urea(45kg)"/>
    <s v="WB"/>
    <x v="12"/>
    <s v="Harischandrapur - I"/>
    <s v="User Not Mapped"/>
    <s v="User Not Mapped"/>
    <s v="User Not Mapped"/>
    <n v="639381"/>
    <s v="BABLU SINGHA"/>
    <s v="Private Retailer"/>
    <s v="9593417804"/>
    <n v="2.5000000000000001E-2"/>
    <n v="1237"/>
    <x v="7"/>
    <m/>
    <s v="2022-12-07"/>
    <s v="281266"/>
    <s v="Krishi Sangastha              "/>
    <s v="9434040109"/>
  </r>
  <r>
    <s v="RCF Trombay"/>
    <s v="15-15-15"/>
    <s v="WB"/>
    <x v="12"/>
    <s v="Harischandrapur - I"/>
    <s v="User Not Mapped"/>
    <s v="User Not Mapped"/>
    <s v="User Not Mapped"/>
    <n v="644192"/>
    <s v="ATAUR"/>
    <s v="Private Retailer"/>
    <s v="8617583851"/>
    <n v="2.5000000000000001E-2"/>
    <n v="1653"/>
    <x v="7"/>
    <m/>
    <s v="2021-10-17"/>
    <s v="281266"/>
    <s v="Krishi Sangastha              "/>
    <s v="9434040109"/>
  </r>
  <r>
    <s v="RCF Thal"/>
    <s v="N.C.Urea(45kg)"/>
    <s v="WB"/>
    <x v="12"/>
    <s v="Harischandrapur - I"/>
    <s v="User Not Mapped"/>
    <s v="User Not Mapped"/>
    <s v="User Not Mapped"/>
    <n v="892231"/>
    <s v="SUKRA SAHA"/>
    <s v="Private Retailer"/>
    <s v="9907051987"/>
    <n v="7.38"/>
    <n v="153"/>
    <x v="0"/>
    <m/>
    <s v="2025-11-25"/>
    <s v="269982"/>
    <s v="M/s Jatindra Nath Saha"/>
    <s v="7431922103"/>
  </r>
  <r>
    <s v="RCF Thal"/>
    <s v="N.C.Urea(45kg)"/>
    <s v="WB"/>
    <x v="12"/>
    <s v="Harischandrapur - I"/>
    <s v="User Not Mapped"/>
    <s v="User Not Mapped"/>
    <s v="User Not Mapped"/>
    <n v="938190"/>
    <s v="PINTU CH DAS"/>
    <s v="Private Retailer"/>
    <s v="8597065868"/>
    <n v="11.025"/>
    <n v="136"/>
    <x v="0"/>
    <m/>
    <s v="2025-12-12"/>
    <s v="281272"/>
    <s v="M/s. Bimal Chandra Das"/>
    <s v="9734196261"/>
  </r>
  <r>
    <s v="RCF Thal"/>
    <s v="N.C.Urea(45kg)"/>
    <s v="WB"/>
    <x v="12"/>
    <s v="Harischandrapur - I"/>
    <s v="User Not Mapped"/>
    <s v="User Not Mapped"/>
    <s v="User Not Mapped"/>
    <n v="1005965"/>
    <s v="SK. MAHEDUL ISLAM"/>
    <s v="Private Retailer"/>
    <s v="8116512969"/>
    <n v="2.7450000000000001"/>
    <n v="49"/>
    <x v="1"/>
    <m/>
    <s v="2026-03-09"/>
    <s v="270157"/>
    <s v="M/s. Kanailal Keder Prasad"/>
    <s v="9474075544"/>
  </r>
  <r>
    <s v="RCF Thal"/>
    <s v="N.C.Urea(45kg)"/>
    <s v="WB"/>
    <x v="12"/>
    <s v="Harischandrapur - I"/>
    <s v="User Not Mapped"/>
    <s v="User Not Mapped"/>
    <s v="User Not Mapped"/>
    <n v="1005965"/>
    <s v="SK. MAHEDUL ISLAM"/>
    <s v="Private Retailer"/>
    <s v="8116512969"/>
    <n v="11.025"/>
    <n v="47"/>
    <x v="1"/>
    <m/>
    <s v="2026-03-11"/>
    <s v="269982"/>
    <s v="M/s Jatindra Nath Saha"/>
    <s v="7431922103"/>
  </r>
  <r>
    <s v="RCF Thal"/>
    <s v="N.C.Urea(45kg)"/>
    <s v="WB"/>
    <x v="12"/>
    <s v="Harischandrapur - I"/>
    <s v="User Not Mapped"/>
    <s v="User Not Mapped"/>
    <s v="User Not Mapped"/>
    <n v="1324732"/>
    <s v="M/S BABLU SAHA"/>
    <s v="Private Retailer"/>
    <s v="9933019710"/>
    <n v="10.574999999999999"/>
    <n v="65"/>
    <x v="2"/>
    <m/>
    <s v="2026-02-21"/>
    <s v="269982"/>
    <s v="M/s Jatindra Nath Saha"/>
    <s v="7431922103"/>
  </r>
  <r>
    <s v="RCF Thal"/>
    <s v="N.C.Urea(45kg)"/>
    <s v="WB"/>
    <x v="12"/>
    <s v="Harischandrapur - I"/>
    <s v="User Not Mapped"/>
    <s v="User Not Mapped"/>
    <s v="User Not Mapped"/>
    <n v="1573251"/>
    <s v="M/S NOWAJ KRISHI BHANDER"/>
    <s v="Private Retailer"/>
    <s v="8145629696"/>
    <n v="0.76500000000000001"/>
    <n v="37"/>
    <x v="1"/>
    <m/>
    <s v="2026-03-21"/>
    <s v="260350"/>
    <s v="Adarsha Krishi Bhandar"/>
    <s v="9434422447"/>
  </r>
  <r>
    <s v="RCF Thal"/>
    <s v="N.C.Urea(45kg)"/>
    <s v="WB"/>
    <x v="12"/>
    <s v="Harischandrapur - II"/>
    <s v="User Not Mapped"/>
    <s v="User Not Mapped"/>
    <s v="User Not Mapped"/>
    <n v="331477"/>
    <s v="Md Akbar Ali"/>
    <s v="Private Retailer"/>
    <s v="7479120656"/>
    <n v="4.1399999999999997"/>
    <n v="49"/>
    <x v="1"/>
    <m/>
    <s v="2026-03-09"/>
    <s v="268712"/>
    <s v="M/s BirendraNathSaha O Partner"/>
    <s v="9232761461"/>
  </r>
  <r>
    <s v="RCF Thal"/>
    <s v="N.C.Urea(45kg)"/>
    <s v="WB"/>
    <x v="12"/>
    <s v="Harischandrapur - II"/>
    <s v="User Not Mapped"/>
    <s v="User Not Mapped"/>
    <s v="User Not Mapped"/>
    <n v="408710"/>
    <s v="Safiqul Alam"/>
    <s v="Private Retailer"/>
    <s v="9733261628"/>
    <n v="18.495000000000001"/>
    <n v="130"/>
    <x v="0"/>
    <m/>
    <s v="2025-12-18"/>
    <s v="268712"/>
    <s v="M/s BirendraNathSaha O Partner"/>
    <s v="9232761461"/>
  </r>
  <r>
    <s v="RCF Thal"/>
    <s v="N.C.Urea(45kg)"/>
    <s v="WB"/>
    <x v="12"/>
    <s v="Harischandrapur - II"/>
    <s v="User Not Mapped"/>
    <s v="User Not Mapped"/>
    <s v="User Not Mapped"/>
    <n v="411756"/>
    <s v="Bhai Bhai Sar Bhandar"/>
    <s v="Private Retailer"/>
    <s v="9733361210"/>
    <n v="8.4499999999999993"/>
    <n v="41"/>
    <x v="1"/>
    <m/>
    <s v="2026-03-17"/>
    <s v="1375345"/>
    <s v="M/S AGRO CARE "/>
    <s v="7908844177"/>
  </r>
  <r>
    <s v="RCF Thal"/>
    <s v="N.C.Urea(45kg)"/>
    <s v="WB"/>
    <x v="12"/>
    <s v="Harischandrapur - II"/>
    <s v="User Not Mapped"/>
    <s v="User Not Mapped"/>
    <s v="User Not Mapped"/>
    <n v="510510"/>
    <s v="Sk Mosim"/>
    <s v="Private Retailer"/>
    <s v="9593326516"/>
    <n v="2.79"/>
    <n v="47"/>
    <x v="1"/>
    <m/>
    <s v="2026-03-11"/>
    <s v="1000527"/>
    <s v="M/s Bhumi Laxmi"/>
    <s v="9932113924"/>
  </r>
  <r>
    <s v="RCF Thal"/>
    <s v="N.C.Urea(45kg)"/>
    <s v="WB"/>
    <x v="12"/>
    <s v="Harischandrapur - II"/>
    <s v="User Not Mapped"/>
    <s v="User Not Mapped"/>
    <s v="User Not Mapped"/>
    <n v="511058"/>
    <s v="Lipon Sar Bhandar"/>
    <s v="Private Retailer"/>
    <s v="9733204657"/>
    <n v="4.2750000000000004"/>
    <n v="37"/>
    <x v="1"/>
    <m/>
    <s v="2026-03-21"/>
    <s v="260350"/>
    <s v="Adarsha Krishi Bhandar"/>
    <s v="9434422447"/>
  </r>
  <r>
    <s v="RCF Thal"/>
    <s v="N.C.Urea(45kg)"/>
    <s v="WB"/>
    <x v="12"/>
    <s v="Harischandrapur - II"/>
    <s v="User Not Mapped"/>
    <s v="User Not Mapped"/>
    <s v="User Not Mapped"/>
    <n v="524856"/>
    <s v="Krishi Bhandar"/>
    <s v="Private Retailer"/>
    <s v="9932737783"/>
    <n v="0.45"/>
    <n v="150"/>
    <x v="0"/>
    <m/>
    <s v="2025-11-28"/>
    <s v="260350"/>
    <s v="Adarsha Krishi Bhandar"/>
    <s v="9434422447"/>
  </r>
  <r>
    <s v="RCF Thal"/>
    <s v="N.C.Urea(45kg)"/>
    <s v="WB"/>
    <x v="12"/>
    <s v="Harischandrapur - II"/>
    <s v="User Not Mapped"/>
    <s v="User Not Mapped"/>
    <s v="User Not Mapped"/>
    <n v="639883"/>
    <s v="MANDAL ENTERPRISE"/>
    <s v="Private Retailer"/>
    <s v="9775470102"/>
    <n v="4.4999999999999998E-2"/>
    <n v="49"/>
    <x v="1"/>
    <m/>
    <s v="2026-03-09"/>
    <s v="270157"/>
    <s v="M/s. Kanailal Keder Prasad"/>
    <s v="9474075544"/>
  </r>
  <r>
    <s v="RCF Trombay"/>
    <s v="N.C.Urea(45kg)"/>
    <s v="WB"/>
    <x v="12"/>
    <s v="Harischandrapur - II"/>
    <s v="User Not Mapped"/>
    <s v="User Not Mapped"/>
    <s v="User Not Mapped"/>
    <n v="641501"/>
    <s v="M/S IMAMUDDIN"/>
    <s v="Private Retailer"/>
    <s v="8372930692"/>
    <n v="2.52"/>
    <n v="895"/>
    <x v="7"/>
    <m/>
    <s v="2023-11-14"/>
    <s v="1259524"/>
    <s v="M/S KRISHI GHAR"/>
    <s v="9064113554"/>
  </r>
  <r>
    <s v="RCF Thal"/>
    <s v="N.C.Urea(45kg)"/>
    <s v="WB"/>
    <x v="12"/>
    <s v="Harischandrapur - II"/>
    <s v="User Not Mapped"/>
    <s v="User Not Mapped"/>
    <s v="User Not Mapped"/>
    <n v="807124"/>
    <s v="PIARUL HOQUE"/>
    <s v="Private Retailer"/>
    <s v="8926114880"/>
    <n v="1.365"/>
    <n v="49"/>
    <x v="1"/>
    <m/>
    <s v="2026-03-09"/>
    <s v="270157"/>
    <s v="M/s. Kanailal Keder Prasad"/>
    <s v="9474075544"/>
  </r>
  <r>
    <s v="RCF Trombay"/>
    <s v="N.C.Urea(45kg)"/>
    <s v="WB"/>
    <x v="12"/>
    <s v="Harischandrapur - II"/>
    <s v="User Not Mapped"/>
    <s v="User Not Mapped"/>
    <s v="User Not Mapped"/>
    <n v="973578"/>
    <s v="NASIR HOSSAIN"/>
    <s v="Private Retailer"/>
    <s v="9733977761"/>
    <n v="4.95"/>
    <n v="2"/>
    <x v="4"/>
    <m/>
    <s v="2026-04-25"/>
    <s v="260350"/>
    <s v="Adarsha Krishi Bhandar"/>
    <s v="9434422447"/>
  </r>
  <r>
    <s v="RCF Thal"/>
    <s v="N.C.Urea(45kg)"/>
    <s v="WB"/>
    <x v="12"/>
    <s v="Harischandrapur - II"/>
    <s v="User Not Mapped"/>
    <s v="User Not Mapped"/>
    <s v="User Not Mapped"/>
    <n v="973578"/>
    <s v="NASIR HOSSAIN"/>
    <s v="Private Retailer"/>
    <s v="9733977761"/>
    <n v="11.025"/>
    <n v="37"/>
    <x v="1"/>
    <m/>
    <s v="2026-03-21"/>
    <s v="260350"/>
    <s v="Adarsha Krishi Bhandar"/>
    <s v="9434422447"/>
  </r>
  <r>
    <s v="RCF Thal"/>
    <s v="N.C.Urea(45kg)"/>
    <s v="WB"/>
    <x v="12"/>
    <s v="Harischandrapur - II"/>
    <s v="User Not Mapped"/>
    <s v="User Not Mapped"/>
    <s v="User Not Mapped"/>
    <n v="1002903"/>
    <s v="FERASAT ALI"/>
    <s v="Private Retailer"/>
    <s v="8436758243"/>
    <n v="11.025"/>
    <n v="68"/>
    <x v="2"/>
    <m/>
    <s v="2026-02-18"/>
    <s v="269982"/>
    <s v="M/s Jatindra Nath Saha"/>
    <s v="7431922103"/>
  </r>
  <r>
    <s v="RCF Thal"/>
    <s v="N.C.Urea(45kg)"/>
    <s v="WB"/>
    <x v="12"/>
    <s v="Harischandrapur - II"/>
    <s v="User Not Mapped"/>
    <s v="User Not Mapped"/>
    <s v="User Not Mapped"/>
    <n v="1020257"/>
    <s v="ABDUL TAYEB"/>
    <s v="Private Retailer"/>
    <s v="8001445862"/>
    <n v="4.7699999999999996"/>
    <n v="149"/>
    <x v="0"/>
    <m/>
    <s v="2025-11-29"/>
    <s v="270157"/>
    <s v="M/s. Kanailal Keder Prasad"/>
    <s v="9474075544"/>
  </r>
  <r>
    <s v="RCF Trombay"/>
    <s v="N.C.Urea(45kg)"/>
    <s v="WB"/>
    <x v="12"/>
    <s v="Harischandrapur - II"/>
    <s v="User Not Mapped"/>
    <s v="User Not Mapped"/>
    <s v="User Not Mapped"/>
    <n v="1126081"/>
    <s v="M/S SUBASH PRAMANIK"/>
    <s v="Private Retailer"/>
    <s v="6294135245"/>
    <n v="0.18"/>
    <n v="283"/>
    <x v="3"/>
    <m/>
    <s v="2025-07-18"/>
    <s v="268712"/>
    <s v="M/s BirendraNathSaha O Partner"/>
    <s v="9232761461"/>
  </r>
  <r>
    <s v="RCF Thal"/>
    <s v="N.C.Urea(45kg)"/>
    <s v="WB"/>
    <x v="12"/>
    <s v="Harischandrapur - II"/>
    <s v="User Not Mapped"/>
    <s v="User Not Mapped"/>
    <s v="User Not Mapped"/>
    <n v="1429132"/>
    <s v="Mandal Fertilizer Shop"/>
    <s v="Private Retailer"/>
    <s v="9733437001"/>
    <n v="0.27"/>
    <n v="49"/>
    <x v="1"/>
    <m/>
    <s v="2026-03-09"/>
    <s v="270157"/>
    <s v="M/s. Kanailal Keder Prasad"/>
    <s v="9474075544"/>
  </r>
  <r>
    <s v="RCF Trombay"/>
    <s v="N.C.Urea(45kg)"/>
    <s v="WB"/>
    <x v="12"/>
    <s v="Harischandrapur - II"/>
    <s v="User Not Mapped"/>
    <s v="User Not Mapped"/>
    <s v="User Not Mapped"/>
    <n v="1461437"/>
    <s v="SK NAJIM FERTILIZER"/>
    <s v="Private Retailer"/>
    <s v="9733084192"/>
    <n v="9.9"/>
    <n v="124"/>
    <x v="0"/>
    <m/>
    <s v="2025-12-24"/>
    <s v="270157"/>
    <s v="M/s. Kanailal Keder Prasad"/>
    <s v="9474075544"/>
  </r>
  <r>
    <s v="RCF Thal"/>
    <s v="N.C.Urea(45kg)"/>
    <s v="WB"/>
    <x v="12"/>
    <s v="Harischandrapur - II"/>
    <s v="User Not Mapped"/>
    <s v="User Not Mapped"/>
    <s v="User Not Mapped"/>
    <n v="1461437"/>
    <s v="SK NAJIM FERTILIZER"/>
    <s v="Private Retailer"/>
    <s v="9733084192"/>
    <n v="0.99"/>
    <n v="68"/>
    <x v="2"/>
    <m/>
    <s v="2026-02-18"/>
    <s v="269982"/>
    <s v="M/s Jatindra Nath Saha"/>
    <s v="7431922103"/>
  </r>
  <r>
    <s v="RCF Thal"/>
    <s v="N.C.Urea(45kg)"/>
    <s v="WB"/>
    <x v="12"/>
    <s v="Kaliachak - I"/>
    <s v="User Not Mapped"/>
    <s v="User Not Mapped"/>
    <s v="User Not Mapped"/>
    <n v="331194"/>
    <s v="Birendra Nath Saha and Partner"/>
    <s v="Private Retailer"/>
    <s v="9932657204"/>
    <n v="10.664999999999999"/>
    <n v="6"/>
    <x v="4"/>
    <m/>
    <s v="2026-04-21"/>
    <s v="268712"/>
    <s v="M/s BirendraNathSaha O Partner"/>
    <s v="9232761461"/>
  </r>
  <r>
    <s v="RCF Thal"/>
    <s v="N.C.Urea(45kg)"/>
    <s v="WB"/>
    <x v="12"/>
    <s v="Kaliachak - I"/>
    <s v="User Not Mapped"/>
    <s v="User Not Mapped"/>
    <s v="User Not Mapped"/>
    <n v="387289"/>
    <s v="Kallol Kumar Saha"/>
    <s v="Private Retailer"/>
    <s v="9733080138"/>
    <n v="4.0000000000000001E-3"/>
    <n v="1811"/>
    <x v="7"/>
    <m/>
    <s v="2021-05-12"/>
    <s v="269982"/>
    <s v="M/s Jatindra Nath Saha"/>
    <s v="7431922103"/>
  </r>
  <r>
    <s v="RCF Trombay"/>
    <s v="N.C.Urea(45kg)"/>
    <s v="WB"/>
    <x v="12"/>
    <s v="Kaliachak - I"/>
    <s v="User Not Mapped"/>
    <s v="User Not Mapped"/>
    <s v="User Not Mapped"/>
    <n v="541367"/>
    <s v="Iffdc-Kbsk Jalalpur"/>
    <s v="Private Retailer"/>
    <s v="9593440116"/>
    <n v="3.2850000000000001"/>
    <n v="131"/>
    <x v="0"/>
    <m/>
    <s v="2025-12-17"/>
    <s v="269982"/>
    <s v="M/s Jatindra Nath Saha"/>
    <s v="7431922103"/>
  </r>
  <r>
    <s v="RCF Thal"/>
    <s v="N.C.Urea(45kg)"/>
    <s v="WB"/>
    <x v="12"/>
    <s v="Kaliachak - I"/>
    <s v="User Not Mapped"/>
    <s v="User Not Mapped"/>
    <s v="User Not Mapped"/>
    <n v="737040"/>
    <s v="M/S ABU AJAM"/>
    <s v="Private Retailer"/>
    <s v="7063844048"/>
    <n v="11.025"/>
    <n v="24"/>
    <x v="4"/>
    <m/>
    <s v="2026-04-03"/>
    <s v="270157"/>
    <s v="M/s. Kanailal Keder Prasad"/>
    <s v="9474075544"/>
  </r>
  <r>
    <s v="RCF Thal"/>
    <s v="N.C.Urea(45kg)"/>
    <s v="WB"/>
    <x v="12"/>
    <s v="Kaliachak - I"/>
    <s v="User Not Mapped"/>
    <s v="User Not Mapped"/>
    <s v="User Not Mapped"/>
    <n v="737040"/>
    <s v="M/S ABU AJAM"/>
    <s v="Private Retailer"/>
    <s v="7063844048"/>
    <n v="32.715000000000003"/>
    <n v="69"/>
    <x v="2"/>
    <m/>
    <s v="2026-02-17"/>
    <s v="270157"/>
    <s v="M/s. Kanailal Keder Prasad"/>
    <s v="9474075544"/>
  </r>
  <r>
    <s v="RCF Thal"/>
    <s v="N.C.Urea(45kg)"/>
    <s v="WB"/>
    <x v="12"/>
    <s v="Kaliachak - I"/>
    <s v="User Not Mapped"/>
    <s v="User Not Mapped"/>
    <s v="User Not Mapped"/>
    <n v="1461407"/>
    <s v="M/S KRISHI GHAR"/>
    <s v="Private Retailer"/>
    <s v="9851359358"/>
    <n v="9.2249999999999996"/>
    <n v="68"/>
    <x v="2"/>
    <m/>
    <s v="2026-02-18"/>
    <s v="269982"/>
    <s v="M/s Jatindra Nath Saha"/>
    <s v="7431922103"/>
  </r>
  <r>
    <s v="RCF Thal"/>
    <s v="N.C.Urea(45kg)"/>
    <s v="WB"/>
    <x v="12"/>
    <s v="Kaliachak - I"/>
    <s v="User Not Mapped"/>
    <s v="User Not Mapped"/>
    <s v="User Not Mapped"/>
    <n v="1524863"/>
    <s v="M/S LAL KRIHI SEVA KENDRA"/>
    <s v="Private Retailer"/>
    <s v="9734098420"/>
    <n v="0.01"/>
    <n v="510"/>
    <x v="6"/>
    <m/>
    <s v="2024-12-03"/>
    <s v="268712"/>
    <s v="M/s BirendraNathSaha O Partner"/>
    <s v="9232761461"/>
  </r>
  <r>
    <s v="RCF Thal"/>
    <s v="N.C.Urea(45kg)"/>
    <s v="WB"/>
    <x v="12"/>
    <s v="Kaliachak - II"/>
    <s v="User Not Mapped"/>
    <s v="User Not Mapped"/>
    <s v="User Not Mapped"/>
    <n v="307714"/>
    <s v="M/S Ganesh Ch. Saha"/>
    <s v="Private Retailer"/>
    <s v="9733307892"/>
    <n v="5.9850000000000003"/>
    <n v="6"/>
    <x v="4"/>
    <m/>
    <s v="2026-04-21"/>
    <s v="1000527"/>
    <s v="M/s Bhumi Laxmi"/>
    <s v="9932113924"/>
  </r>
  <r>
    <s v="RCF Thal"/>
    <s v="N.C.Urea(45kg)"/>
    <s v="WB"/>
    <x v="12"/>
    <s v="Kaliachak - II"/>
    <s v="User Not Mapped"/>
    <s v="User Not Mapped"/>
    <s v="User Not Mapped"/>
    <n v="354641"/>
    <s v="Juthika Sar Bhandar"/>
    <s v="Private Retailer"/>
    <s v="9609015054"/>
    <n v="2.7450000000000001"/>
    <n v="96"/>
    <x v="5"/>
    <m/>
    <s v="2026-01-21"/>
    <s v="281272"/>
    <s v="M/s. Bimal Chandra Das"/>
    <s v="9734196261"/>
  </r>
  <r>
    <s v="RCF Thal"/>
    <s v="N.C.Urea(45kg)"/>
    <s v="WB"/>
    <x v="12"/>
    <s v="Kaliachak - II"/>
    <s v="User Not Mapped"/>
    <s v="User Not Mapped"/>
    <s v="User Not Mapped"/>
    <n v="462072"/>
    <s v="Firoja Sar Bhandar"/>
    <s v="Private Retailer"/>
    <s v="8768075100"/>
    <n v="2.2949999999999999"/>
    <n v="483"/>
    <x v="6"/>
    <m/>
    <s v="2024-12-30"/>
    <s v="281269"/>
    <s v="M/s. Butto Krishna Paul"/>
    <s v="7908580984"/>
  </r>
  <r>
    <s v="RCF Thal"/>
    <s v="N.C.Urea(45kg)"/>
    <s v="WB"/>
    <x v="12"/>
    <s v="Kaliachak - II"/>
    <s v="User Not Mapped"/>
    <s v="User Not Mapped"/>
    <s v="User Not Mapped"/>
    <n v="595555"/>
    <s v="M/S Bapi Mondal"/>
    <s v="Private Retailer"/>
    <s v="9733020929"/>
    <n v="9.4049999999999994"/>
    <n v="49"/>
    <x v="1"/>
    <m/>
    <s v="2026-03-09"/>
    <s v="268712"/>
    <s v="M/s BirendraNathSaha O Partner"/>
    <s v="9232761461"/>
  </r>
  <r>
    <s v="RCF Thal"/>
    <s v="N.C.Urea(45kg)"/>
    <s v="WB"/>
    <x v="12"/>
    <s v="Kaliachak - II"/>
    <s v="User Not Mapped"/>
    <s v="User Not Mapped"/>
    <s v="User Not Mapped"/>
    <n v="631039"/>
    <s v="M/S HASANAT SAR BHANDAR"/>
    <s v="Private Retailer"/>
    <s v="9734193274"/>
    <n v="10.125"/>
    <n v="80"/>
    <x v="2"/>
    <m/>
    <s v="2026-02-06"/>
    <s v="281272"/>
    <s v="M/s. Bimal Chandra Das"/>
    <s v="9734196261"/>
  </r>
  <r>
    <s v="RCF Trombay"/>
    <s v="N.C.Urea(45kg)"/>
    <s v="WB"/>
    <x v="12"/>
    <s v="Kaliachak - II"/>
    <s v="User Not Mapped"/>
    <s v="User Not Mapped"/>
    <s v="User Not Mapped"/>
    <n v="631039"/>
    <s v="M/S HASANAT SAR BHANDAR"/>
    <s v="Private Retailer"/>
    <s v="9734193274"/>
    <n v="11.025"/>
    <n v="7"/>
    <x v="4"/>
    <m/>
    <s v="2026-04-20"/>
    <s v="269982"/>
    <s v="M/s Jatindra Nath Saha"/>
    <s v="7431922103"/>
  </r>
  <r>
    <s v="RCF Thal"/>
    <s v="N.C.Urea(45kg)"/>
    <s v="WB"/>
    <x v="12"/>
    <s v="Kaliachak - II"/>
    <s v="User Not Mapped"/>
    <s v="User Not Mapped"/>
    <s v="User Not Mapped"/>
    <n v="631039"/>
    <s v="M/S HASANAT SAR BHANDAR"/>
    <s v="Private Retailer"/>
    <s v="9734193274"/>
    <n v="3.6"/>
    <n v="98"/>
    <x v="5"/>
    <m/>
    <s v="2026-01-19"/>
    <s v="268712"/>
    <s v="M/s BirendraNathSaha O Partner"/>
    <s v="9232761461"/>
  </r>
  <r>
    <s v="RCF Trombay"/>
    <s v="N.C.Urea(45kg)"/>
    <s v="WB"/>
    <x v="12"/>
    <s v="Kaliachak - II"/>
    <s v="User Not Mapped"/>
    <s v="User Not Mapped"/>
    <s v="User Not Mapped"/>
    <n v="643479"/>
    <s v="M/S HOQUE SAR BHANDAR"/>
    <s v="Private Retailer"/>
    <s v="9733030478"/>
    <n v="8.82"/>
    <n v="143"/>
    <x v="0"/>
    <m/>
    <s v="2025-12-05"/>
    <s v="268712"/>
    <s v="M/s BirendraNathSaha O Partner"/>
    <s v="9232761461"/>
  </r>
  <r>
    <s v="RCF Thal"/>
    <s v="N.C.Urea(45kg)"/>
    <s v="WB"/>
    <x v="12"/>
    <s v="Kaliachak - II"/>
    <s v="User Not Mapped"/>
    <s v="User Not Mapped"/>
    <s v="User Not Mapped"/>
    <n v="643479"/>
    <s v="M/S HOQUE SAR BHANDAR"/>
    <s v="Private Retailer"/>
    <s v="9733030478"/>
    <n v="7.65"/>
    <n v="72"/>
    <x v="2"/>
    <m/>
    <s v="2026-02-14"/>
    <s v="268712"/>
    <s v="M/s BirendraNathSaha O Partner"/>
    <s v="9232761461"/>
  </r>
  <r>
    <s v="RCF Thal"/>
    <s v="N.C.Urea(45kg)"/>
    <s v="WB"/>
    <x v="12"/>
    <s v="Kaliachak - II"/>
    <s v="User Not Mapped"/>
    <s v="User Not Mapped"/>
    <s v="User Not Mapped"/>
    <n v="644170"/>
    <s v="M/S DIL DAR HOSSAIN"/>
    <s v="Private Retailer"/>
    <s v="8145522762"/>
    <n v="8.82"/>
    <n v="61"/>
    <x v="2"/>
    <m/>
    <s v="2026-02-25"/>
    <s v="281272"/>
    <s v="M/s. Bimal Chandra Das"/>
    <s v="9734196261"/>
  </r>
  <r>
    <s v="RCF Thal"/>
    <s v="N.C.Urea(45kg)"/>
    <s v="WB"/>
    <x v="12"/>
    <s v="Kaliachak - II"/>
    <s v="User Not Mapped"/>
    <s v="User Not Mapped"/>
    <s v="User Not Mapped"/>
    <n v="839834"/>
    <s v="RICHA SAR BHANDAR"/>
    <s v="Private Retailer"/>
    <s v="8145880721"/>
    <n v="0.315"/>
    <n v="1168"/>
    <x v="7"/>
    <m/>
    <s v="2023-02-14"/>
    <s v="1245434"/>
    <s v="M/S MD ABU AZAM "/>
    <s v="8001343778"/>
  </r>
  <r>
    <s v="RCF Trombay"/>
    <s v="N.C.Urea(45kg)"/>
    <s v="WB"/>
    <x v="12"/>
    <s v="Kaliachak - II"/>
    <s v="User Not Mapped"/>
    <s v="User Not Mapped"/>
    <s v="User Not Mapped"/>
    <n v="839834"/>
    <s v="RICHA SAR BHANDAR"/>
    <s v="Private Retailer"/>
    <s v="8145880721"/>
    <n v="0.22500000000000001"/>
    <n v="1083"/>
    <x v="7"/>
    <m/>
    <s v="2023-05-10"/>
    <s v="281272"/>
    <s v="M/s. Bimal Chandra Das"/>
    <s v="9734196261"/>
  </r>
  <r>
    <s v="RCF Trombay"/>
    <s v="N.C.Urea(45kg)"/>
    <s v="WB"/>
    <x v="12"/>
    <s v="Kaliachak - II"/>
    <s v="User Not Mapped"/>
    <s v="User Not Mapped"/>
    <s v="User Not Mapped"/>
    <n v="1002921"/>
    <s v="M/S-KRISHI SEBA SAR BHANDAR"/>
    <s v="Private Retailer"/>
    <s v="9735455454"/>
    <n v="2.0249999999999999"/>
    <n v="763"/>
    <x v="7"/>
    <m/>
    <s v="2024-03-25"/>
    <s v="268712"/>
    <s v="M/s BirendraNathSaha O Partner"/>
    <s v="9232761461"/>
  </r>
  <r>
    <s v="RCF Thal"/>
    <s v="N.C.Urea(45kg)"/>
    <s v="WB"/>
    <x v="12"/>
    <s v="Kaliachak - II"/>
    <s v="User Not Mapped"/>
    <s v="User Not Mapped"/>
    <s v="User Not Mapped"/>
    <n v="1037481"/>
    <s v="SAFIQUL ISLAM"/>
    <s v="Private Retailer"/>
    <s v="9775450876"/>
    <n v="1.65"/>
    <n v="1850"/>
    <x v="7"/>
    <m/>
    <s v="2021-04-03"/>
    <s v="739727"/>
    <s v="M/S MD SABIR ALI"/>
    <s v="8617066067"/>
  </r>
  <r>
    <s v="RCF Thal"/>
    <s v="N.C.Urea(45kg)"/>
    <s v="WB"/>
    <x v="12"/>
    <s v="Kaliachak - II"/>
    <s v="User Not Mapped"/>
    <s v="User Not Mapped"/>
    <s v="User Not Mapped"/>
    <n v="1226637"/>
    <s v="SOHAN FERTILISER"/>
    <s v="Private Retailer"/>
    <s v="8101819526"/>
    <n v="4.5"/>
    <n v="49"/>
    <x v="1"/>
    <m/>
    <s v="2026-03-09"/>
    <s v="270157"/>
    <s v="M/s. Kanailal Keder Prasad"/>
    <s v="9474075544"/>
  </r>
  <r>
    <s v="RCF Thal"/>
    <s v="N.C.Urea(45kg)"/>
    <s v="WB"/>
    <x v="12"/>
    <s v="Kaliachak - II"/>
    <s v="User Not Mapped"/>
    <s v="User Not Mapped"/>
    <s v="User Not Mapped"/>
    <n v="1226637"/>
    <s v="SOHAN FERTILISER"/>
    <s v="Private Retailer"/>
    <s v="8101819526"/>
    <n v="5.4"/>
    <n v="65"/>
    <x v="2"/>
    <m/>
    <s v="2026-02-21"/>
    <s v="269982"/>
    <s v="M/s Jatindra Nath Saha"/>
    <s v="7431922103"/>
  </r>
  <r>
    <s v="RCF Trombay"/>
    <s v="N.C.Urea(45kg)"/>
    <s v="WB"/>
    <x v="12"/>
    <s v="Kaliachak - III"/>
    <s v="User Not Mapped"/>
    <s v="User Not Mapped"/>
    <s v="User Not Mapped"/>
    <n v="288842"/>
    <s v="Baishnabnagar Acms Ltd"/>
    <s v="District Cooperative Marketing Society"/>
    <s v="9734195824"/>
    <n v="0.18"/>
    <n v="129"/>
    <x v="0"/>
    <m/>
    <s v="2025-12-19"/>
    <s v="268712"/>
    <s v="M/s BirendraNathSaha O Partner"/>
    <s v="9232761461"/>
  </r>
  <r>
    <s v="RCF Thal"/>
    <s v="N.C.Urea(45kg)"/>
    <s v="WB"/>
    <x v="12"/>
    <s v="Kaliachak - III"/>
    <s v="User Not Mapped"/>
    <s v="User Not Mapped"/>
    <s v="User Not Mapped"/>
    <n v="300589"/>
    <s v="M/S Md. Anisur Rahaman"/>
    <s v="Private Retailer"/>
    <s v="9593181716"/>
    <n v="6.3"/>
    <n v="72"/>
    <x v="2"/>
    <m/>
    <s v="2026-02-14"/>
    <s v="268712"/>
    <s v="M/s BirendraNathSaha O Partner"/>
    <s v="9232761461"/>
  </r>
  <r>
    <s v="RCF Thal"/>
    <s v="N.C.Urea(45kg)"/>
    <s v="WB"/>
    <x v="12"/>
    <s v="Kaliachak - III"/>
    <s v="User Not Mapped"/>
    <s v="User Not Mapped"/>
    <s v="User Not Mapped"/>
    <n v="411826"/>
    <s v="Sahida Sar Kendra"/>
    <s v="Private Retailer"/>
    <s v="9734989585"/>
    <n v="0.13500000000000001"/>
    <n v="2300"/>
    <x v="7"/>
    <m/>
    <s v="2020-01-09"/>
    <s v="269982"/>
    <s v="M/s Jatindra Nath Saha"/>
    <s v="7431922103"/>
  </r>
  <r>
    <s v="RCF Thal"/>
    <s v="N.C.Urea(45kg)"/>
    <s v="WB"/>
    <x v="12"/>
    <s v="Kaliachak - III"/>
    <s v="User Not Mapped"/>
    <s v="User Not Mapped"/>
    <s v="User Not Mapped"/>
    <n v="634415"/>
    <s v="M/S NASIMA SAR BHANDAR"/>
    <s v="Private Retailer"/>
    <s v="9733180161"/>
    <n v="3.42"/>
    <n v="93"/>
    <x v="5"/>
    <m/>
    <s v="2026-01-24"/>
    <s v="281272"/>
    <s v="M/s. Bimal Chandra Das"/>
    <s v="9734196261"/>
  </r>
  <r>
    <s v="RCF Thal"/>
    <s v="N.C.Urea(45kg)"/>
    <s v="WB"/>
    <x v="12"/>
    <s v="Kaliachak - III"/>
    <s v="User Not Mapped"/>
    <s v="User Not Mapped"/>
    <s v="User Not Mapped"/>
    <n v="634425"/>
    <s v="M/S HALIM KRISHI SAR BHANDER"/>
    <s v="Private Retailer"/>
    <s v="9733031514"/>
    <n v="7.0650000000000004"/>
    <n v="39"/>
    <x v="1"/>
    <m/>
    <s v="2026-03-19"/>
    <s v="281272"/>
    <s v="M/s. Bimal Chandra Das"/>
    <s v="9734196261"/>
  </r>
  <r>
    <s v="RCF Thal"/>
    <s v="N.C.Urea(45kg)"/>
    <s v="WB"/>
    <x v="12"/>
    <s v="Kaliachak - III"/>
    <s v="User Not Mapped"/>
    <s v="User Not Mapped"/>
    <s v="User Not Mapped"/>
    <n v="858766"/>
    <s v="M/S MANDAL FERTILIZER"/>
    <s v="Private Retailer"/>
    <s v="9382240788"/>
    <n v="4.4550000000000001"/>
    <n v="97"/>
    <x v="5"/>
    <m/>
    <s v="2026-01-20"/>
    <s v="270157"/>
    <s v="M/s. Kanailal Keder Prasad"/>
    <s v="9474075544"/>
  </r>
  <r>
    <s v="RCF Thal"/>
    <s v="N.C.Urea(45kg)"/>
    <s v="WB"/>
    <x v="12"/>
    <s v="Kaliachak - III"/>
    <s v="User Not Mapped"/>
    <s v="User Not Mapped"/>
    <s v="User Not Mapped"/>
    <n v="874562"/>
    <s v="M/S SAHA ENTERPRISE"/>
    <s v="Private Retailer"/>
    <s v="9732647093"/>
    <n v="22.05"/>
    <n v="69"/>
    <x v="2"/>
    <m/>
    <s v="2026-02-17"/>
    <s v="270157"/>
    <s v="M/s. Kanailal Keder Prasad"/>
    <s v="9474075544"/>
  </r>
  <r>
    <s v="RCF Thal"/>
    <s v="N.C.Urea(45kg)"/>
    <s v="WB"/>
    <x v="12"/>
    <s v="Kaliachak - III"/>
    <s v="User Not Mapped"/>
    <s v="User Not Mapped"/>
    <s v="User Not Mapped"/>
    <n v="874562"/>
    <s v="M/S SAHA ENTERPRISE"/>
    <s v="Private Retailer"/>
    <s v="9732647093"/>
    <n v="12.6"/>
    <n v="136"/>
    <x v="0"/>
    <m/>
    <s v="2025-12-12"/>
    <s v="269982"/>
    <s v="M/s Jatindra Nath Saha"/>
    <s v="7431922103"/>
  </r>
  <r>
    <s v="RCF Trombay"/>
    <s v="15-15-15"/>
    <s v="WB"/>
    <x v="12"/>
    <s v="Kaliachak - III"/>
    <s v="User Not Mapped"/>
    <s v="User Not Mapped"/>
    <s v="User Not Mapped"/>
    <n v="876106"/>
    <s v="M/S SHOVA KRISHI UNNAYANKENDRA"/>
    <s v="Private Retailer"/>
    <s v="9733296666"/>
    <n v="9.5"/>
    <n v="87"/>
    <x v="2"/>
    <m/>
    <s v="2026-01-30"/>
    <s v="1245434"/>
    <s v="M/S MD ABU AZAM "/>
    <s v="8001343778"/>
  </r>
  <r>
    <s v="RCF Thal"/>
    <s v="N.C.Urea(45kg)"/>
    <s v="WB"/>
    <x v="12"/>
    <s v="Kaliachak - III"/>
    <s v="User Not Mapped"/>
    <s v="User Not Mapped"/>
    <s v="User Not Mapped"/>
    <n v="876106"/>
    <s v="M/S SHOVA KRISHI UNNAYANKENDRA"/>
    <s v="Private Retailer"/>
    <s v="9733296666"/>
    <n v="9.5850000000000009"/>
    <n v="68"/>
    <x v="2"/>
    <m/>
    <s v="2026-02-18"/>
    <s v="269982"/>
    <s v="M/s Jatindra Nath Saha"/>
    <s v="7431922103"/>
  </r>
  <r>
    <s v="RCF Thal"/>
    <s v="N.C.Urea(45kg)"/>
    <s v="WB"/>
    <x v="12"/>
    <s v="Kaliachak - III"/>
    <s v="User Not Mapped"/>
    <s v="User Not Mapped"/>
    <s v="User Not Mapped"/>
    <n v="983699"/>
    <s v="M/S MAMLAT SK"/>
    <s v="Private Retailer"/>
    <s v="9733165070"/>
    <n v="0.09"/>
    <n v="146"/>
    <x v="0"/>
    <m/>
    <s v="2025-12-02"/>
    <s v="269982"/>
    <s v="M/s Jatindra Nath Saha"/>
    <s v="7431922103"/>
  </r>
  <r>
    <s v="RCF Thal"/>
    <s v="N.C.Urea(45kg)"/>
    <s v="WB"/>
    <x v="12"/>
    <s v="Kaliachak - III"/>
    <s v="User Not Mapped"/>
    <s v="User Not Mapped"/>
    <s v="User Not Mapped"/>
    <n v="988234"/>
    <s v="M/S MADINA FERTILIZER"/>
    <s v="Private Retailer"/>
    <s v="7602800322"/>
    <n v="7.7850000000000001"/>
    <n v="533"/>
    <x v="6"/>
    <m/>
    <s v="2024-11-10"/>
    <s v="270157"/>
    <s v="M/s. Kanailal Keder Prasad"/>
    <s v="9474075544"/>
  </r>
  <r>
    <s v="RCF Thal"/>
    <s v="N.C.Urea(45kg)"/>
    <s v="WB"/>
    <x v="12"/>
    <s v="Kaliachak - III"/>
    <s v="User Not Mapped"/>
    <s v="User Not Mapped"/>
    <s v="User Not Mapped"/>
    <n v="1391465"/>
    <s v="M/S SAHIDUL ISLAM"/>
    <s v="Private Retailer"/>
    <s v="9647759260"/>
    <n v="21.24"/>
    <n v="261"/>
    <x v="3"/>
    <m/>
    <s v="2025-08-09"/>
    <s v="269982"/>
    <s v="M/s Jatindra Nath Saha"/>
    <s v="7431922103"/>
  </r>
  <r>
    <s v="RCF Thal"/>
    <s v="N.C.Urea(45kg)"/>
    <s v="WB"/>
    <x v="12"/>
    <s v="Kaliachak - III"/>
    <s v="User Not Mapped"/>
    <s v="User Not Mapped"/>
    <s v="User Not Mapped"/>
    <n v="1534820"/>
    <s v="M/S RUNA SAR BHANDER"/>
    <s v="Private Retailer"/>
    <s v="8327363169"/>
    <n v="11.025"/>
    <n v="68"/>
    <x v="2"/>
    <m/>
    <s v="2026-02-18"/>
    <s v="269982"/>
    <s v="M/s Jatindra Nath Saha"/>
    <s v="7431922103"/>
  </r>
  <r>
    <s v="RCF Thal"/>
    <s v="N.C.Urea(45kg)"/>
    <s v="WB"/>
    <x v="12"/>
    <s v="Maldah (Old)"/>
    <s v="User Not Mapped"/>
    <s v="User Not Mapped"/>
    <s v="User Not Mapped"/>
    <n v="281276"/>
    <s v="Well Culture"/>
    <s v="Private Retailer"/>
    <s v="9775061855"/>
    <n v="6.21"/>
    <n v="69"/>
    <x v="2"/>
    <m/>
    <s v="2026-02-17"/>
    <s v="270157"/>
    <s v="M/s. Kanailal Keder Prasad"/>
    <s v="9474075544"/>
  </r>
  <r>
    <s v="RCF Thal"/>
    <s v="N.C.Urea(45kg)"/>
    <s v="WB"/>
    <x v="12"/>
    <s v="Maldah (Old)"/>
    <s v="User Not Mapped"/>
    <s v="User Not Mapped"/>
    <s v="User Not Mapped"/>
    <n v="288860"/>
    <s v="Das Sar Bhandar"/>
    <s v="Private Retailer"/>
    <s v="9775412770"/>
    <n v="7.0650000000000004"/>
    <n v="69"/>
    <x v="2"/>
    <m/>
    <s v="2026-02-17"/>
    <s v="270157"/>
    <s v="M/s. Kanailal Keder Prasad"/>
    <s v="9474075544"/>
  </r>
  <r>
    <s v="RCF Thal"/>
    <s v="N.C.Urea(45kg)"/>
    <s v="WB"/>
    <x v="12"/>
    <s v="Maldah (Old)"/>
    <s v="User Not Mapped"/>
    <s v="User Not Mapped"/>
    <s v="User Not Mapped"/>
    <n v="288888"/>
    <s v="Loknath Sar Bhandar"/>
    <s v="Private Retailer"/>
    <s v="9932184917"/>
    <n v="4.8150000000000004"/>
    <n v="69"/>
    <x v="2"/>
    <m/>
    <s v="2026-02-17"/>
    <s v="270157"/>
    <s v="M/s. Kanailal Keder Prasad"/>
    <s v="9474075544"/>
  </r>
  <r>
    <s v="RCF Thal"/>
    <s v="N.C.Urea(45kg)"/>
    <s v="WB"/>
    <x v="12"/>
    <s v="Maldah (Old)"/>
    <s v="User Not Mapped"/>
    <s v="User Not Mapped"/>
    <s v="User Not Mapped"/>
    <n v="288902"/>
    <s v="Md. Wahedur Rahaman"/>
    <s v="Private Retailer"/>
    <s v="7602267744"/>
    <n v="3.8250000000000002"/>
    <n v="94"/>
    <x v="5"/>
    <m/>
    <s v="2026-01-23"/>
    <s v="270157"/>
    <s v="M/s. Kanailal Keder Prasad"/>
    <s v="9474075544"/>
  </r>
  <r>
    <s v="RCF Thal"/>
    <s v="N.C.Urea(45kg)"/>
    <s v="WB"/>
    <x v="12"/>
    <s v="Maldah (Old)"/>
    <s v="User Not Mapped"/>
    <s v="User Not Mapped"/>
    <s v="User Not Mapped"/>
    <n v="328213"/>
    <s v="Lakshmi Sar Bhandar"/>
    <s v="Private Retailer"/>
    <s v="9474159751"/>
    <n v="9.81"/>
    <n v="49"/>
    <x v="1"/>
    <m/>
    <s v="2026-03-09"/>
    <s v="270157"/>
    <s v="M/s. Kanailal Keder Prasad"/>
    <s v="9474075544"/>
  </r>
  <r>
    <s v="RCF Thal"/>
    <s v="N.C.Urea(45kg)"/>
    <s v="WB"/>
    <x v="12"/>
    <s v="Maldah (Old)"/>
    <s v="User Not Mapped"/>
    <s v="User Not Mapped"/>
    <s v="User Not Mapped"/>
    <n v="411906"/>
    <s v="Hoque Sar Bhandar"/>
    <s v="Private Retailer"/>
    <s v="9733149280"/>
    <n v="4.32"/>
    <n v="138"/>
    <x v="0"/>
    <m/>
    <s v="2025-12-10"/>
    <s v="281269"/>
    <s v="M/s. Butto Krishna Paul"/>
    <s v="7908580984"/>
  </r>
  <r>
    <s v="RCF Thal"/>
    <s v="N.C.Urea(45kg)"/>
    <s v="WB"/>
    <x v="12"/>
    <s v="Maldah (Old)"/>
    <s v="User Not Mapped"/>
    <s v="User Not Mapped"/>
    <s v="User Not Mapped"/>
    <n v="411932"/>
    <s v="Md. Matiur Rahaman"/>
    <s v="Private Retailer"/>
    <s v="9733140002"/>
    <n v="0.36"/>
    <n v="170"/>
    <x v="0"/>
    <m/>
    <s v="2025-11-08"/>
    <s v="281269"/>
    <s v="M/s. Butto Krishna Paul"/>
    <s v="7908580984"/>
  </r>
  <r>
    <s v="RCF Thal"/>
    <s v="N.C.Urea(45kg)"/>
    <s v="WB"/>
    <x v="12"/>
    <s v="Maldah (Old)"/>
    <s v="User Not Mapped"/>
    <s v="User Not Mapped"/>
    <s v="User Not Mapped"/>
    <n v="411996"/>
    <s v="Masidur Rahaman"/>
    <s v="Private Retailer"/>
    <s v="9734951274"/>
    <n v="2.7450000000000001"/>
    <n v="69"/>
    <x v="2"/>
    <m/>
    <s v="2026-02-17"/>
    <s v="270157"/>
    <s v="M/s. Kanailal Keder Prasad"/>
    <s v="9474075544"/>
  </r>
  <r>
    <s v="RCF Thal"/>
    <s v="N.C.Urea(45kg)"/>
    <s v="WB"/>
    <x v="12"/>
    <s v="Maldah (Old)"/>
    <s v="User Not Mapped"/>
    <s v="User Not Mapped"/>
    <s v="User Not Mapped"/>
    <n v="462050"/>
    <s v="Tanushree Krishi Sar Bhandar"/>
    <s v="Private Retailer"/>
    <s v="9800877031"/>
    <n v="11.025"/>
    <n v="69"/>
    <x v="2"/>
    <m/>
    <s v="2026-02-17"/>
    <s v="270157"/>
    <s v="M/s. Kanailal Keder Prasad"/>
    <s v="9474075544"/>
  </r>
  <r>
    <s v="RCF Thal"/>
    <s v="N.C.Urea(45kg)"/>
    <s v="WB"/>
    <x v="12"/>
    <s v="Maldah (Old)"/>
    <s v="User Not Mapped"/>
    <s v="User Not Mapped"/>
    <s v="User Not Mapped"/>
    <n v="462050"/>
    <s v="Tanushree Krishi Sar Bhandar"/>
    <s v="Private Retailer"/>
    <s v="9800877031"/>
    <n v="8.3699999999999992"/>
    <n v="72"/>
    <x v="2"/>
    <m/>
    <s v="2026-02-14"/>
    <s v="281269"/>
    <s v="M/s. Butto Krishna Paul"/>
    <s v="7908580984"/>
  </r>
  <r>
    <s v="RCF Thal"/>
    <s v="N.C.Urea(45kg)"/>
    <s v="WB"/>
    <x v="12"/>
    <s v="Maldah (Old)"/>
    <s v="User Not Mapped"/>
    <s v="User Not Mapped"/>
    <s v="User Not Mapped"/>
    <n v="606123"/>
    <s v="M/S. ENAMUL HOQUE"/>
    <s v="Private Retailer"/>
    <s v="9775974397"/>
    <n v="4.6349999999999998"/>
    <n v="507"/>
    <x v="6"/>
    <m/>
    <s v="2024-12-06"/>
    <s v="281272"/>
    <s v="M/s. Bimal Chandra Das"/>
    <s v="9734196261"/>
  </r>
  <r>
    <s v="RCF Thal"/>
    <s v="N.C.Urea(45kg)"/>
    <s v="WB"/>
    <x v="12"/>
    <s v="Maldah (Old)"/>
    <s v="User Not Mapped"/>
    <s v="User Not Mapped"/>
    <s v="User Not Mapped"/>
    <n v="606123"/>
    <s v="M/S. ENAMUL HOQUE"/>
    <s v="Private Retailer"/>
    <s v="9775974397"/>
    <n v="11.25"/>
    <n v="98"/>
    <x v="5"/>
    <m/>
    <s v="2026-01-19"/>
    <s v="281269"/>
    <s v="M/s. Butto Krishna Paul"/>
    <s v="7908580984"/>
  </r>
  <r>
    <s v="RCF Import"/>
    <s v="MOP"/>
    <s v="WB"/>
    <x v="12"/>
    <s v="Maldah (Old)"/>
    <s v="User Not Mapped"/>
    <s v="User Not Mapped"/>
    <s v="User Not Mapped"/>
    <n v="617075"/>
    <s v="JOY MAA LAXMI SAR BHANDAR"/>
    <s v="Private Retailer"/>
    <s v="9002069362"/>
    <n v="0.05"/>
    <n v="524"/>
    <x v="6"/>
    <m/>
    <s v="2024-11-19"/>
    <s v="281269"/>
    <s v="M/s. Butto Krishna Paul"/>
    <s v="7908580984"/>
  </r>
  <r>
    <s v="RCF Trombay"/>
    <s v="N.C.Urea(45kg)"/>
    <s v="WB"/>
    <x v="12"/>
    <s v="Maldah (Old)"/>
    <s v="User Not Mapped"/>
    <s v="User Not Mapped"/>
    <s v="User Not Mapped"/>
    <n v="617075"/>
    <s v="JOY MAA LAXMI SAR BHANDAR"/>
    <s v="Private Retailer"/>
    <s v="9002069362"/>
    <n v="0.13500000000000001"/>
    <n v="135"/>
    <x v="0"/>
    <m/>
    <s v="2025-12-13"/>
    <s v="281269"/>
    <s v="M/s. Butto Krishna Paul"/>
    <s v="7908580984"/>
  </r>
  <r>
    <s v="RCF Thal"/>
    <s v="N.C.Urea(45kg)"/>
    <s v="WB"/>
    <x v="12"/>
    <s v="Maldah (Old)"/>
    <s v="User Not Mapped"/>
    <s v="User Not Mapped"/>
    <s v="User Not Mapped"/>
    <n v="626924"/>
    <s v="INDRAJIT SAHA"/>
    <s v="Private Retailer"/>
    <s v="9932402625"/>
    <n v="7.335"/>
    <n v="48"/>
    <x v="1"/>
    <m/>
    <s v="2026-03-10"/>
    <s v="270157"/>
    <s v="M/s. Kanailal Keder Prasad"/>
    <s v="9474075544"/>
  </r>
  <r>
    <s v="RCF Trombay"/>
    <s v="N.C.Urea(45kg)"/>
    <s v="WB"/>
    <x v="12"/>
    <s v="Maldah (Old)"/>
    <s v="User Not Mapped"/>
    <s v="User Not Mapped"/>
    <s v="User Not Mapped"/>
    <n v="631037"/>
    <s v="M/S BIMAL CHANDRA SARKAR"/>
    <s v="Private Retailer"/>
    <s v="9933828393"/>
    <n v="2.16"/>
    <n v="131"/>
    <x v="0"/>
    <m/>
    <s v="2025-12-17"/>
    <s v="270157"/>
    <s v="M/s. Kanailal Keder Prasad"/>
    <s v="9474075544"/>
  </r>
  <r>
    <s v="RCF Thal"/>
    <s v="N.C.Urea(45kg)"/>
    <s v="WB"/>
    <x v="12"/>
    <s v="Maldah (Old)"/>
    <s v="User Not Mapped"/>
    <s v="User Not Mapped"/>
    <s v="User Not Mapped"/>
    <n v="634879"/>
    <s v="M/S RADHARANI SAR BHANDAR"/>
    <s v="Private Retailer"/>
    <s v="7602527179"/>
    <n v="3.51"/>
    <n v="133"/>
    <x v="0"/>
    <m/>
    <s v="2025-12-15"/>
    <s v="270157"/>
    <s v="M/s. Kanailal Keder Prasad"/>
    <s v="9474075544"/>
  </r>
  <r>
    <s v="RCF Trombay"/>
    <s v="N.C.Urea(45kg)"/>
    <s v="WB"/>
    <x v="12"/>
    <s v="Maldah (Old)"/>
    <s v="User Not Mapped"/>
    <s v="User Not Mapped"/>
    <s v="User Not Mapped"/>
    <n v="655497"/>
    <s v="M/s NIRMAL FERTILIZER AND PEST"/>
    <s v="Private Retailer"/>
    <s v="8116355612"/>
    <n v="9.7200000000000006"/>
    <n v="3"/>
    <x v="4"/>
    <m/>
    <s v="2026-04-24"/>
    <s v="270157"/>
    <s v="M/s. Kanailal Keder Prasad"/>
    <s v="9474075544"/>
  </r>
  <r>
    <s v="RCF Thal"/>
    <s v="N.C.Urea(45kg)"/>
    <s v="WB"/>
    <x v="12"/>
    <s v="Maldah (Old)"/>
    <s v="User Not Mapped"/>
    <s v="User Not Mapped"/>
    <s v="User Not Mapped"/>
    <n v="893079"/>
    <s v="M/S-MOJAHID SAR BHANDAR"/>
    <s v="Private Retailer"/>
    <s v="8967706414"/>
    <n v="4.5"/>
    <n v="503"/>
    <x v="6"/>
    <m/>
    <s v="2024-12-10"/>
    <s v="270157"/>
    <s v="M/s. Kanailal Keder Prasad"/>
    <s v="9474075544"/>
  </r>
  <r>
    <s v="RCF Thal"/>
    <s v="N.C.Urea(45kg)"/>
    <s v="WB"/>
    <x v="12"/>
    <s v="Maldah (Old)"/>
    <s v="User Not Mapped"/>
    <s v="User Not Mapped"/>
    <s v="User Not Mapped"/>
    <n v="913619"/>
    <s v="Juli Mili Sar Bhandar"/>
    <s v="Private Retailer"/>
    <s v="9593688879"/>
    <n v="11.025"/>
    <n v="64"/>
    <x v="2"/>
    <m/>
    <s v="2026-02-22"/>
    <s v="270157"/>
    <s v="M/s. Kanailal Keder Prasad"/>
    <s v="9474075544"/>
  </r>
  <r>
    <s v="RCF Thal"/>
    <s v="N.C.Urea(45kg)"/>
    <s v="WB"/>
    <x v="12"/>
    <s v="Maldah (Old)"/>
    <s v="User Not Mapped"/>
    <s v="User Not Mapped"/>
    <s v="User Not Mapped"/>
    <n v="913619"/>
    <s v="Juli Mili Sar Bhandar"/>
    <s v="Private Retailer"/>
    <s v="9593688879"/>
    <n v="1.44"/>
    <n v="482"/>
    <x v="6"/>
    <m/>
    <s v="2024-12-31"/>
    <s v="270157"/>
    <s v="M/s. Kanailal Keder Prasad"/>
    <s v="9474075544"/>
  </r>
  <r>
    <s v="RCF Thal"/>
    <s v="N.C.Urea(45kg)"/>
    <s v="WB"/>
    <x v="12"/>
    <s v="Maldah (Old)"/>
    <s v="User Not Mapped"/>
    <s v="User Not Mapped"/>
    <s v="User Not Mapped"/>
    <n v="973387"/>
    <s v="SUSMITASAR BHANDAR"/>
    <s v="Private Retailer"/>
    <s v="9547180632"/>
    <n v="11.025"/>
    <n v="68"/>
    <x v="2"/>
    <m/>
    <s v="2026-02-18"/>
    <s v="260350"/>
    <s v="Adarsha Krishi Bhandar"/>
    <s v="9434422447"/>
  </r>
  <r>
    <s v="RCF Thal"/>
    <s v="N.C.Urea(45kg)"/>
    <s v="WB"/>
    <x v="12"/>
    <s v="Maldah (Old)"/>
    <s v="User Not Mapped"/>
    <s v="User Not Mapped"/>
    <s v="User Not Mapped"/>
    <n v="973387"/>
    <s v="SUSMITASAR BHANDAR"/>
    <s v="Private Retailer"/>
    <s v="9547180632"/>
    <n v="0.40500000000000003"/>
    <n v="138"/>
    <x v="0"/>
    <m/>
    <s v="2025-12-10"/>
    <s v="281269"/>
    <s v="M/s. Butto Krishna Paul"/>
    <s v="7908580984"/>
  </r>
  <r>
    <s v="RCF Trombay"/>
    <s v="N.C.Urea(45kg)"/>
    <s v="WB"/>
    <x v="12"/>
    <s v="Maldah (Old)"/>
    <s v="User Not Mapped"/>
    <s v="User Not Mapped"/>
    <s v="User Not Mapped"/>
    <n v="973387"/>
    <s v="SUSMITASAR BHANDAR"/>
    <s v="Private Retailer"/>
    <s v="9547180632"/>
    <n v="4.4999999999999998E-2"/>
    <n v="198"/>
    <x v="3"/>
    <m/>
    <s v="2025-10-11"/>
    <s v="270157"/>
    <s v="M/s. Kanailal Keder Prasad"/>
    <s v="9474075544"/>
  </r>
  <r>
    <s v="RCF Trombay"/>
    <s v="N.C.Urea(45kg)"/>
    <s v="WB"/>
    <x v="12"/>
    <s v="Maldah (Old)"/>
    <s v="User Not Mapped"/>
    <s v="User Not Mapped"/>
    <s v="User Not Mapped"/>
    <n v="986092"/>
    <s v="TRINATH ROY"/>
    <s v="Private Retailer"/>
    <s v="7602124603"/>
    <n v="5.49"/>
    <n v="172"/>
    <x v="0"/>
    <m/>
    <s v="2025-11-06"/>
    <s v="270157"/>
    <s v="M/s. Kanailal Keder Prasad"/>
    <s v="9474075544"/>
  </r>
  <r>
    <s v="RCF Thal"/>
    <s v="N.C.Urea(45kg)"/>
    <s v="WB"/>
    <x v="12"/>
    <s v="Maldah (Old)"/>
    <s v="User Not Mapped"/>
    <s v="User Not Mapped"/>
    <s v="User Not Mapped"/>
    <n v="986094"/>
    <s v="ROBAIT ISLAM"/>
    <s v="Private Retailer"/>
    <s v="9775714381"/>
    <n v="11.025"/>
    <n v="98"/>
    <x v="5"/>
    <m/>
    <s v="2026-01-19"/>
    <s v="281269"/>
    <s v="M/s. Butto Krishna Paul"/>
    <s v="7908580984"/>
  </r>
  <r>
    <s v="RCF Thal"/>
    <s v="N.C.Urea(45kg)"/>
    <s v="WB"/>
    <x v="12"/>
    <s v="Maldah (Old)"/>
    <s v="User Not Mapped"/>
    <s v="User Not Mapped"/>
    <s v="User Not Mapped"/>
    <n v="988085"/>
    <s v="MAA LAXMI SAR BHANDAR"/>
    <s v="Private Retailer"/>
    <s v="6297695229"/>
    <n v="10.664999999999999"/>
    <n v="98"/>
    <x v="5"/>
    <m/>
    <s v="2026-01-19"/>
    <s v="268712"/>
    <s v="M/s BirendraNathSaha O Partner"/>
    <s v="9232761461"/>
  </r>
  <r>
    <s v="RCF Trombay"/>
    <s v="15-15-15"/>
    <s v="WB"/>
    <x v="12"/>
    <s v="Maldah (Old)"/>
    <s v="User Not Mapped"/>
    <s v="User Not Mapped"/>
    <s v="User Not Mapped"/>
    <n v="1135221"/>
    <s v="M/S PRITI SAR BHANDAR"/>
    <s v="Private Retailer"/>
    <s v="9932073491"/>
    <n v="9.65"/>
    <n v="214"/>
    <x v="3"/>
    <m/>
    <s v="2025-09-25"/>
    <s v="270157"/>
    <s v="M/s. Kanailal Keder Prasad"/>
    <s v="9474075544"/>
  </r>
  <r>
    <s v="RCF Trombay"/>
    <s v="N.C.Urea(45kg)"/>
    <s v="WB"/>
    <x v="12"/>
    <s v="Maldah (Old)"/>
    <s v="User Not Mapped"/>
    <s v="User Not Mapped"/>
    <s v="User Not Mapped"/>
    <n v="1204357"/>
    <s v="M/S MEHERPUR KRISHI BHAVAN"/>
    <s v="Private Retailer"/>
    <s v="8159832946"/>
    <n v="0.34"/>
    <n v="1221"/>
    <x v="7"/>
    <m/>
    <s v="2022-12-23"/>
    <s v="861204"/>
    <s v="M/s. Shankar Chandra Saha"/>
    <s v="9002479146"/>
  </r>
  <r>
    <s v="RCF Trombay"/>
    <s v="N.C.Urea(45kg)"/>
    <s v="WB"/>
    <x v="12"/>
    <s v="Maldah (Old)"/>
    <s v="User Not Mapped"/>
    <s v="User Not Mapped"/>
    <s v="User Not Mapped"/>
    <n v="1260943"/>
    <s v="M/S J KRISHAK BANDHU"/>
    <s v="Private Retailer"/>
    <s v="8116915287"/>
    <n v="0.22500000000000001"/>
    <n v="172"/>
    <x v="0"/>
    <m/>
    <s v="2025-11-06"/>
    <s v="270157"/>
    <s v="M/s. Kanailal Keder Prasad"/>
    <s v="9474075544"/>
  </r>
  <r>
    <s v="RCF Thal"/>
    <s v="N.C.Urea(45kg)"/>
    <s v="WB"/>
    <x v="12"/>
    <s v="Maldah (Old)"/>
    <s v="User Not Mapped"/>
    <s v="User Not Mapped"/>
    <s v="User Not Mapped"/>
    <n v="1461413"/>
    <s v="M/S DHIREN KRISHI BHANDAR"/>
    <s v="Private Retailer"/>
    <s v="9800442548"/>
    <n v="6.3449999999999998"/>
    <n v="155"/>
    <x v="0"/>
    <m/>
    <s v="2025-11-23"/>
    <s v="270157"/>
    <s v="M/s. Kanailal Keder Prasad"/>
    <s v="9474075544"/>
  </r>
  <r>
    <s v="RCF Thal"/>
    <s v="N.C.Urea(45kg)"/>
    <s v="WB"/>
    <x v="12"/>
    <s v="Maldah (Old)"/>
    <s v="User Not Mapped"/>
    <s v="User Not Mapped"/>
    <s v="User Not Mapped"/>
    <n v="1573217"/>
    <s v="Jatradanga Krishighar"/>
    <s v="Private Retailer"/>
    <s v="8918149791"/>
    <n v="0.18"/>
    <n v="43"/>
    <x v="1"/>
    <m/>
    <s v="2026-03-15"/>
    <s v="288977"/>
    <s v="Golok Chandra Mondal "/>
    <s v="8016366836"/>
  </r>
  <r>
    <s v="RCF Thal"/>
    <s v="N.C.Urea(45kg)"/>
    <s v="WB"/>
    <x v="12"/>
    <s v="Maldah (Old)"/>
    <s v="User Not Mapped"/>
    <s v="User Not Mapped"/>
    <s v="User Not Mapped"/>
    <n v="1573253"/>
    <s v="M/S SABUJ KRISHI GHAR"/>
    <s v="Private Retailer"/>
    <s v="8159838115"/>
    <n v="0.54"/>
    <n v="43"/>
    <x v="1"/>
    <m/>
    <s v="2026-03-15"/>
    <s v="288977"/>
    <s v="Golok Chandra Mondal "/>
    <s v="8016366836"/>
  </r>
  <r>
    <s v="RCF Trombay"/>
    <s v="N.C.Urea(45kg)"/>
    <s v="WB"/>
    <x v="12"/>
    <s v="Manikchak"/>
    <s v="User Not Mapped"/>
    <s v="User Not Mapped"/>
    <s v="User Not Mapped"/>
    <n v="307731"/>
    <s v="Rajdeo Barui"/>
    <s v="Private Retailer"/>
    <s v="9564018666"/>
    <n v="11.025"/>
    <n v="3"/>
    <x v="4"/>
    <m/>
    <s v="2026-04-24"/>
    <s v="270157"/>
    <s v="M/s. Kanailal Keder Prasad"/>
    <s v="9474075544"/>
  </r>
  <r>
    <s v="RCF Trombay"/>
    <s v="15-15-15"/>
    <s v="WB"/>
    <x v="12"/>
    <s v="Manikchak"/>
    <s v="User Not Mapped"/>
    <s v="User Not Mapped"/>
    <s v="User Not Mapped"/>
    <n v="411912"/>
    <s v="Reja Krishi Sar Bhandar"/>
    <s v="Private Retailer"/>
    <s v="9749390224"/>
    <n v="1.4"/>
    <n v="217"/>
    <x v="3"/>
    <m/>
    <s v="2025-09-22"/>
    <s v="281269"/>
    <s v="M/s. Butto Krishna Paul"/>
    <s v="7908580984"/>
  </r>
  <r>
    <s v="RCF Trombay"/>
    <s v="N.C.Urea(45kg)"/>
    <s v="WB"/>
    <x v="12"/>
    <s v="Manikchak"/>
    <s v="User Not Mapped"/>
    <s v="User Not Mapped"/>
    <s v="User Not Mapped"/>
    <n v="475885"/>
    <s v="Amader Sar Bhandar"/>
    <s v="Private Retailer"/>
    <s v="9734127694"/>
    <n v="8.73"/>
    <n v="131"/>
    <x v="0"/>
    <m/>
    <s v="2025-12-17"/>
    <s v="270157"/>
    <s v="M/s. Kanailal Keder Prasad"/>
    <s v="9474075544"/>
  </r>
  <r>
    <s v="RCF Thal"/>
    <s v="N.C.Urea(45kg)"/>
    <s v="WB"/>
    <x v="12"/>
    <s v="Manikchak"/>
    <s v="User Not Mapped"/>
    <s v="User Not Mapped"/>
    <s v="User Not Mapped"/>
    <n v="475889"/>
    <s v="Md. Rafiqul Islam"/>
    <s v="Private Retailer"/>
    <s v="9641209433"/>
    <n v="3.6"/>
    <n v="130"/>
    <x v="0"/>
    <m/>
    <s v="2025-12-18"/>
    <s v="268712"/>
    <s v="M/s BirendraNathSaha O Partner"/>
    <s v="9232761461"/>
  </r>
  <r>
    <s v="RCF Trombay"/>
    <s v="N.C.Urea(45kg)"/>
    <s v="WB"/>
    <x v="12"/>
    <s v="Manikchak"/>
    <s v="User Not Mapped"/>
    <s v="User Not Mapped"/>
    <s v="User Not Mapped"/>
    <n v="517269"/>
    <s v="Keshab Chandra Singha"/>
    <s v="Private Retailer"/>
    <s v="9775988064"/>
    <n v="9.9"/>
    <n v="131"/>
    <x v="0"/>
    <m/>
    <s v="2025-12-17"/>
    <s v="270157"/>
    <s v="M/s. Kanailal Keder Prasad"/>
    <s v="9474075544"/>
  </r>
  <r>
    <s v="RCF Thal"/>
    <s v="N.C.Urea(45kg)"/>
    <s v="WB"/>
    <x v="12"/>
    <s v="Manikchak"/>
    <s v="User Not Mapped"/>
    <s v="User Not Mapped"/>
    <s v="User Not Mapped"/>
    <n v="617055"/>
    <s v="M/S PROTAP MONDAL"/>
    <s v="Private Retailer"/>
    <s v="9733208514"/>
    <n v="11.025"/>
    <n v="97"/>
    <x v="5"/>
    <m/>
    <s v="2026-01-20"/>
    <s v="270157"/>
    <s v="M/s. Kanailal Keder Prasad"/>
    <s v="9474075544"/>
  </r>
  <r>
    <s v="RCF Thal"/>
    <s v="N.C.Urea(45kg)"/>
    <s v="WB"/>
    <x v="12"/>
    <s v="Manikchak"/>
    <s v="User Not Mapped"/>
    <s v="User Not Mapped"/>
    <s v="User Not Mapped"/>
    <n v="617055"/>
    <s v="M/S PROTAP MONDAL"/>
    <s v="Private Retailer"/>
    <s v="9733208514"/>
    <n v="5.9850000000000003"/>
    <n v="6"/>
    <x v="4"/>
    <m/>
    <s v="2026-04-21"/>
    <s v="1000527"/>
    <s v="M/s Bhumi Laxmi"/>
    <s v="9932113924"/>
  </r>
  <r>
    <s v="RCF Thal"/>
    <s v="N.C.Urea(45kg)"/>
    <s v="WB"/>
    <x v="12"/>
    <s v="Manikchak"/>
    <s v="User Not Mapped"/>
    <s v="User Not Mapped"/>
    <s v="User Not Mapped"/>
    <n v="626036"/>
    <s v="M/S SUCHITRA SAR BHANDAR"/>
    <s v="Private Retailer"/>
    <s v="8670101611"/>
    <n v="13.5"/>
    <n v="77"/>
    <x v="2"/>
    <m/>
    <s v="2026-02-09"/>
    <s v="269982"/>
    <s v="M/s Jatindra Nath Saha"/>
    <s v="7431922103"/>
  </r>
  <r>
    <s v="RCF Thal"/>
    <s v="N.C.Urea(45kg)"/>
    <s v="WB"/>
    <x v="12"/>
    <s v="Manikchak"/>
    <s v="User Not Mapped"/>
    <s v="User Not Mapped"/>
    <s v="User Not Mapped"/>
    <n v="626050"/>
    <s v="M/S DULALI SAR BHANDAR"/>
    <s v="Private Retailer"/>
    <s v="8371939394"/>
    <n v="3.4649999999999999"/>
    <n v="97"/>
    <x v="5"/>
    <m/>
    <s v="2026-01-20"/>
    <s v="270157"/>
    <s v="M/s. Kanailal Keder Prasad"/>
    <s v="9474075544"/>
  </r>
  <r>
    <s v="RCF Thal"/>
    <s v="N.C.Urea(45kg)"/>
    <s v="WB"/>
    <x v="12"/>
    <s v="Manikchak"/>
    <s v="User Not Mapped"/>
    <s v="User Not Mapped"/>
    <s v="User Not Mapped"/>
    <n v="626050"/>
    <s v="M/S DULALI SAR BHANDAR"/>
    <s v="Private Retailer"/>
    <s v="8371939394"/>
    <n v="11.025"/>
    <n v="94"/>
    <x v="5"/>
    <m/>
    <s v="2026-01-23"/>
    <s v="270157"/>
    <s v="M/s. Kanailal Keder Prasad"/>
    <s v="9474075544"/>
  </r>
  <r>
    <s v="RCF Thal"/>
    <s v="N.C.Urea(45kg)"/>
    <s v="WB"/>
    <x v="12"/>
    <s v="Manikchak"/>
    <s v="User Not Mapped"/>
    <s v="User Not Mapped"/>
    <s v="User Not Mapped"/>
    <n v="853438"/>
    <s v="M/S KRISHI SAR BHANDER"/>
    <s v="Private Retailer"/>
    <s v="7872312122"/>
    <n v="8.01"/>
    <n v="229"/>
    <x v="3"/>
    <m/>
    <s v="2025-09-10"/>
    <s v="269982"/>
    <s v="M/s Jatindra Nath Saha"/>
    <s v="7431922103"/>
  </r>
  <r>
    <s v="RCF Trombay"/>
    <s v="N.C.Urea(45kg)"/>
    <s v="WB"/>
    <x v="12"/>
    <s v="Manikchak"/>
    <s v="User Not Mapped"/>
    <s v="User Not Mapped"/>
    <s v="User Not Mapped"/>
    <n v="870659"/>
    <s v="SADDAM SAR BHANDAR"/>
    <s v="Private Retailer"/>
    <s v="8016543791"/>
    <n v="8.3249999999999993"/>
    <n v="7"/>
    <x v="4"/>
    <m/>
    <s v="2026-04-20"/>
    <s v="269982"/>
    <s v="M/s Jatindra Nath Saha"/>
    <s v="7431922103"/>
  </r>
  <r>
    <s v="RCF Thal"/>
    <s v="N.C.Urea(45kg)"/>
    <s v="WB"/>
    <x v="12"/>
    <s v="Manikchak"/>
    <s v="User Not Mapped"/>
    <s v="User Not Mapped"/>
    <s v="User Not Mapped"/>
    <n v="880226"/>
    <s v="M/S DEBASHREE FERTILISERS"/>
    <s v="Private Retailer"/>
    <s v="7797988044"/>
    <n v="9.5850000000000009"/>
    <n v="68"/>
    <x v="2"/>
    <m/>
    <s v="2026-02-18"/>
    <s v="269982"/>
    <s v="M/s Jatindra Nath Saha"/>
    <s v="7431922103"/>
  </r>
  <r>
    <s v="RCF Thal"/>
    <s v="N.C.Urea(45kg)"/>
    <s v="WB"/>
    <x v="12"/>
    <s v="Manikchak"/>
    <s v="User Not Mapped"/>
    <s v="User Not Mapped"/>
    <s v="User Not Mapped"/>
    <n v="1338630"/>
    <s v="BISWAJIT CHOWDHURY"/>
    <s v="Private Retailer"/>
    <s v="9735096420"/>
    <n v="4.7249999999999996"/>
    <n v="97"/>
    <x v="5"/>
    <m/>
    <s v="2026-01-20"/>
    <s v="270157"/>
    <s v="M/s. Kanailal Keder Prasad"/>
    <s v="9474075544"/>
  </r>
  <r>
    <s v="RCF Trombay"/>
    <s v="N.C.Urea(45kg)"/>
    <s v="WB"/>
    <x v="12"/>
    <s v="Manikchak"/>
    <s v="User Not Mapped"/>
    <s v="User Not Mapped"/>
    <s v="User Not Mapped"/>
    <n v="1391477"/>
    <s v="BAJRANGBALI SAR BHANDAR"/>
    <s v="Private Retailer"/>
    <s v="6294636394"/>
    <n v="16.29"/>
    <n v="132"/>
    <x v="0"/>
    <m/>
    <s v="2025-12-16"/>
    <s v="269982"/>
    <s v="M/s Jatindra Nath Saha"/>
    <s v="7431922103"/>
  </r>
  <r>
    <s v="RCF Thal"/>
    <s v="N.C.Urea(45kg)"/>
    <s v="WB"/>
    <x v="12"/>
    <s v="Manikchak"/>
    <s v="User Not Mapped"/>
    <s v="User Not Mapped"/>
    <s v="User Not Mapped"/>
    <n v="1524879"/>
    <s v="M/S SONALI SAR BHANDAR"/>
    <s v="Private Retailer"/>
    <s v="8371010611"/>
    <n v="10.215"/>
    <n v="98"/>
    <x v="5"/>
    <m/>
    <s v="2026-01-19"/>
    <s v="268712"/>
    <s v="M/s BirendraNathSaha O Partner"/>
    <s v="9232761461"/>
  </r>
  <r>
    <s v="RCF Thal"/>
    <s v="N.C.Urea(45kg)"/>
    <s v="WB"/>
    <x v="12"/>
    <s v="Manikchak"/>
    <s v="User Not Mapped"/>
    <s v="User Not Mapped"/>
    <s v="User Not Mapped"/>
    <n v="1534968"/>
    <s v="M/S RAHAMAN SAR BHANDER"/>
    <s v="Private Retailer"/>
    <s v="6296269908"/>
    <n v="5.1749999999999998"/>
    <n v="133"/>
    <x v="0"/>
    <m/>
    <s v="2025-12-15"/>
    <s v="268712"/>
    <s v="M/s BirendraNathSaha O Partner"/>
    <s v="9232761461"/>
  </r>
  <r>
    <s v="RCF Trombay"/>
    <s v="N.C.Urea(45kg)"/>
    <s v="WB"/>
    <x v="12"/>
    <s v="Manikchak"/>
    <s v="User Not Mapped"/>
    <s v="User Not Mapped"/>
    <s v="User Not Mapped"/>
    <n v="1534968"/>
    <s v="M/S RAHAMAN SAR BHANDER"/>
    <s v="Private Retailer"/>
    <s v="6296269908"/>
    <n v="4.8150000000000004"/>
    <n v="131"/>
    <x v="0"/>
    <m/>
    <s v="2025-12-17"/>
    <s v="268712"/>
    <s v="M/s BirendraNathSaha O Partner"/>
    <s v="9232761461"/>
  </r>
  <r>
    <s v="RCF Trombay"/>
    <s v="N.C.Urea(45kg)"/>
    <s v="WB"/>
    <x v="12"/>
    <s v="Ratua - I"/>
    <s v="User Not Mapped"/>
    <s v="User Not Mapped"/>
    <s v="User Not Mapped"/>
    <n v="280644"/>
    <s v="Khudiram Saha"/>
    <s v="Private Retailer"/>
    <s v="9733055658"/>
    <n v="10.125"/>
    <n v="7"/>
    <x v="4"/>
    <m/>
    <s v="2026-04-20"/>
    <s v="268712"/>
    <s v="M/s BirendraNathSaha O Partner"/>
    <s v="9232761461"/>
  </r>
  <r>
    <s v="RCF Thal"/>
    <s v="N.C.Urea(45kg)"/>
    <s v="WB"/>
    <x v="12"/>
    <s v="Ratua - I"/>
    <s v="User Not Mapped"/>
    <s v="User Not Mapped"/>
    <s v="User Not Mapped"/>
    <n v="280708"/>
    <s v="Trilochan Mondal"/>
    <s v="Private Retailer"/>
    <s v="8250445054"/>
    <n v="6.5000000000000002E-2"/>
    <n v="98"/>
    <x v="5"/>
    <m/>
    <s v="2026-01-19"/>
    <s v="268712"/>
    <s v="M/s BirendraNathSaha O Partner"/>
    <s v="9232761461"/>
  </r>
  <r>
    <s v="RCF Thal"/>
    <s v="N.C.Urea(45kg)"/>
    <s v="WB"/>
    <x v="12"/>
    <s v="Ratua - I"/>
    <s v="User Not Mapped"/>
    <s v="User Not Mapped"/>
    <s v="User Not Mapped"/>
    <n v="280726"/>
    <s v="M/S Sukumar Ch. Thokdar"/>
    <s v="Private Retailer"/>
    <s v="9733093260"/>
    <n v="2.61"/>
    <n v="37"/>
    <x v="1"/>
    <m/>
    <s v="2026-03-21"/>
    <s v="260350"/>
    <s v="Adarsha Krishi Bhandar"/>
    <s v="9434422447"/>
  </r>
  <r>
    <s v="RCF Trombay"/>
    <s v="15-15-15"/>
    <s v="WB"/>
    <x v="12"/>
    <s v="Ratua - I"/>
    <s v="User Not Mapped"/>
    <s v="User Not Mapped"/>
    <s v="User Not Mapped"/>
    <n v="288895"/>
    <s v="Md. Aftabuddin Biswas"/>
    <s v="Private Retailer"/>
    <s v="9775495403"/>
    <n v="6.5"/>
    <n v="151"/>
    <x v="0"/>
    <m/>
    <s v="2025-11-27"/>
    <s v="1375345"/>
    <s v="M/S AGRO CARE "/>
    <s v="7908844177"/>
  </r>
  <r>
    <s v="RCF Thal"/>
    <s v="N.C.Urea(45kg)"/>
    <s v="WB"/>
    <x v="12"/>
    <s v="Ratua - I"/>
    <s v="User Not Mapped"/>
    <s v="User Not Mapped"/>
    <s v="User Not Mapped"/>
    <n v="411754"/>
    <s v="Paban Kumar Singh"/>
    <s v="Private Retailer"/>
    <s v="9832698558"/>
    <n v="11.025"/>
    <n v="94"/>
    <x v="5"/>
    <m/>
    <s v="2026-01-23"/>
    <s v="270157"/>
    <s v="M/s. Kanailal Keder Prasad"/>
    <s v="9474075544"/>
  </r>
  <r>
    <s v="RCF Trombay"/>
    <s v="N.C.Urea(45kg)"/>
    <s v="WB"/>
    <x v="12"/>
    <s v="Ratua - I"/>
    <s v="User Not Mapped"/>
    <s v="User Not Mapped"/>
    <s v="User Not Mapped"/>
    <n v="411754"/>
    <s v="Paban Kumar Singh"/>
    <s v="Private Retailer"/>
    <s v="9832698558"/>
    <n v="0.72"/>
    <n v="898"/>
    <x v="7"/>
    <m/>
    <s v="2023-11-11"/>
    <s v="270157"/>
    <s v="M/s. Kanailal Keder Prasad"/>
    <s v="9474075544"/>
  </r>
  <r>
    <s v="RCF Trombay"/>
    <s v="15-15-15"/>
    <s v="WB"/>
    <x v="12"/>
    <s v="Ratua - I"/>
    <s v="User Not Mapped"/>
    <s v="User Not Mapped"/>
    <s v="User Not Mapped"/>
    <n v="411754"/>
    <s v="Paban Kumar Singh"/>
    <s v="Private Retailer"/>
    <s v="9832698558"/>
    <n v="0.95"/>
    <n v="899"/>
    <x v="7"/>
    <m/>
    <s v="2023-11-10"/>
    <s v="270157"/>
    <s v="M/s. Kanailal Keder Prasad"/>
    <s v="9474075544"/>
  </r>
  <r>
    <s v="RCF Thal"/>
    <s v="N.C.Urea(45kg)"/>
    <s v="WB"/>
    <x v="12"/>
    <s v="Ratua - I"/>
    <s v="User Not Mapped"/>
    <s v="User Not Mapped"/>
    <s v="User Not Mapped"/>
    <n v="411754"/>
    <s v="Paban Kumar Singh"/>
    <s v="Private Retailer"/>
    <s v="9832698558"/>
    <n v="4.6349999999999998"/>
    <n v="227"/>
    <x v="3"/>
    <m/>
    <s v="2025-09-12"/>
    <s v="270157"/>
    <s v="M/s. Kanailal Keder Prasad"/>
    <s v="9474075544"/>
  </r>
  <r>
    <s v="RCF Thal"/>
    <s v="N.C.Urea(45kg)"/>
    <s v="WB"/>
    <x v="12"/>
    <s v="Ratua - I"/>
    <s v="User Not Mapped"/>
    <s v="User Not Mapped"/>
    <s v="User Not Mapped"/>
    <n v="411776"/>
    <s v="Ajit Saha"/>
    <s v="Private Retailer"/>
    <s v="9734989817"/>
    <n v="0.9"/>
    <n v="532"/>
    <x v="6"/>
    <m/>
    <s v="2024-11-11"/>
    <s v="269982"/>
    <s v="M/s Jatindra Nath Saha"/>
    <s v="7431922103"/>
  </r>
  <r>
    <s v="RCF Thal"/>
    <s v="N.C.Urea(45kg)"/>
    <s v="WB"/>
    <x v="12"/>
    <s v="Ratua - I"/>
    <s v="User Not Mapped"/>
    <s v="User Not Mapped"/>
    <s v="User Not Mapped"/>
    <n v="411784"/>
    <s v="Md. Sadikul Alam"/>
    <s v="Private Retailer"/>
    <s v="9775497162"/>
    <n v="11.025"/>
    <n v="49"/>
    <x v="1"/>
    <m/>
    <s v="2026-03-09"/>
    <s v="270157"/>
    <s v="M/s. Kanailal Keder Prasad"/>
    <s v="9474075544"/>
  </r>
  <r>
    <s v="RCF Thal"/>
    <s v="N.C.Urea(45kg)"/>
    <s v="WB"/>
    <x v="12"/>
    <s v="Ratua - I"/>
    <s v="User Not Mapped"/>
    <s v="User Not Mapped"/>
    <s v="User Not Mapped"/>
    <n v="411784"/>
    <s v="Md. Sadikul Alam"/>
    <s v="Private Retailer"/>
    <s v="9775497162"/>
    <n v="11.025"/>
    <n v="94"/>
    <x v="5"/>
    <m/>
    <s v="2026-01-23"/>
    <s v="270157"/>
    <s v="M/s. Kanailal Keder Prasad"/>
    <s v="9474075544"/>
  </r>
  <r>
    <s v="RCF Thal"/>
    <s v="N.C.Urea(45kg)"/>
    <s v="WB"/>
    <x v="12"/>
    <s v="Ratua - I"/>
    <s v="User Not Mapped"/>
    <s v="User Not Mapped"/>
    <s v="User Not Mapped"/>
    <n v="411784"/>
    <s v="Md. Sadikul Alam"/>
    <s v="Private Retailer"/>
    <s v="9775497162"/>
    <n v="3.69"/>
    <n v="222"/>
    <x v="3"/>
    <m/>
    <s v="2025-09-17"/>
    <s v="260350"/>
    <s v="Adarsha Krishi Bhandar"/>
    <s v="9434422447"/>
  </r>
  <r>
    <s v="RCF Thal"/>
    <s v="N.C.Urea(45kg)"/>
    <s v="WB"/>
    <x v="12"/>
    <s v="Ratua - I"/>
    <s v="User Not Mapped"/>
    <s v="User Not Mapped"/>
    <s v="User Not Mapped"/>
    <n v="627923"/>
    <s v="MD HUMAYUN REJA"/>
    <s v="Private Retailer"/>
    <s v="7872527238"/>
    <n v="5.49"/>
    <n v="49"/>
    <x v="1"/>
    <m/>
    <s v="2026-03-09"/>
    <s v="270157"/>
    <s v="M/s. Kanailal Keder Prasad"/>
    <s v="9474075544"/>
  </r>
  <r>
    <s v="RCF Thal"/>
    <s v="N.C.Urea(45kg)"/>
    <s v="WB"/>
    <x v="12"/>
    <s v="Ratua - I"/>
    <s v="User Not Mapped"/>
    <s v="User Not Mapped"/>
    <s v="User Not Mapped"/>
    <n v="637925"/>
    <s v="MD KAUSAR ALI"/>
    <s v="Private Retailer"/>
    <s v="9734324896"/>
    <n v="7.65"/>
    <n v="49"/>
    <x v="1"/>
    <m/>
    <s v="2026-03-09"/>
    <s v="270157"/>
    <s v="M/s. Kanailal Keder Prasad"/>
    <s v="9474075544"/>
  </r>
  <r>
    <s v="RCF Trombay"/>
    <s v="15-15-15"/>
    <s v="WB"/>
    <x v="12"/>
    <s v="Ratua - I"/>
    <s v="User Not Mapped"/>
    <s v="User Not Mapped"/>
    <s v="User Not Mapped"/>
    <n v="637937"/>
    <s v="MANIK CHANDRA SAHA"/>
    <s v="Private Retailer"/>
    <s v="6296995105"/>
    <n v="0.3"/>
    <n v="1171"/>
    <x v="7"/>
    <m/>
    <s v="2023-02-11"/>
    <s v="288983"/>
    <s v="Naba Kumar Saha"/>
    <s v="9733139884"/>
  </r>
  <r>
    <s v="RCF Thal"/>
    <s v="N.C.Urea(45kg)"/>
    <s v="WB"/>
    <x v="12"/>
    <s v="Ratua - I"/>
    <s v="User Not Mapped"/>
    <s v="User Not Mapped"/>
    <s v="User Not Mapped"/>
    <n v="873980"/>
    <s v="MD.BORHAN ALI"/>
    <s v="Private Retailer"/>
    <s v="9733220533"/>
    <n v="10.8"/>
    <n v="60"/>
    <x v="1"/>
    <m/>
    <s v="2026-02-26"/>
    <s v="281272"/>
    <s v="M/s. Bimal Chandra Das"/>
    <s v="9734196261"/>
  </r>
  <r>
    <s v="RCF Thal"/>
    <s v="N.C.Urea(45kg)"/>
    <s v="WB"/>
    <x v="12"/>
    <s v="Ratua - I"/>
    <s v="User Not Mapped"/>
    <s v="User Not Mapped"/>
    <s v="User Not Mapped"/>
    <n v="873980"/>
    <s v="MD.BORHAN ALI"/>
    <s v="Private Retailer"/>
    <s v="9733220533"/>
    <n v="2.2050000000000001"/>
    <n v="68"/>
    <x v="2"/>
    <m/>
    <s v="2026-02-18"/>
    <s v="269982"/>
    <s v="M/s Jatindra Nath Saha"/>
    <s v="7431922103"/>
  </r>
  <r>
    <s v="RCF Thal"/>
    <s v="N.C.Urea(45kg)"/>
    <s v="WB"/>
    <x v="12"/>
    <s v="Ratua - I"/>
    <s v="User Not Mapped"/>
    <s v="User Not Mapped"/>
    <s v="User Not Mapped"/>
    <n v="978588"/>
    <s v="MD TANJAMAL HOQUE"/>
    <s v="Private Retailer"/>
    <s v="9733204372"/>
    <n v="0.18"/>
    <n v="72"/>
    <x v="2"/>
    <m/>
    <s v="2026-02-14"/>
    <s v="281269"/>
    <s v="M/s. Butto Krishna Paul"/>
    <s v="7908580984"/>
  </r>
  <r>
    <s v="RCF Trombay"/>
    <s v="15-15-15"/>
    <s v="WB"/>
    <x v="12"/>
    <s v="Ratua - I"/>
    <s v="User Not Mapped"/>
    <s v="User Not Mapped"/>
    <s v="User Not Mapped"/>
    <n v="978588"/>
    <s v="MD TANJAMAL HOQUE"/>
    <s v="Private Retailer"/>
    <s v="9733204372"/>
    <n v="11"/>
    <n v="151"/>
    <x v="0"/>
    <m/>
    <s v="2025-11-27"/>
    <s v="1375345"/>
    <s v="M/S AGRO CARE "/>
    <s v="7908844177"/>
  </r>
  <r>
    <s v="RCF Thal"/>
    <s v="N.C.Urea(45kg)"/>
    <s v="WB"/>
    <x v="12"/>
    <s v="Ratua - I"/>
    <s v="User Not Mapped"/>
    <s v="User Not Mapped"/>
    <s v="User Not Mapped"/>
    <n v="988976"/>
    <s v="AMIT MANDAL"/>
    <s v="Private Retailer"/>
    <s v="9593863722"/>
    <n v="6.39"/>
    <n v="367"/>
    <x v="6"/>
    <m/>
    <s v="2025-04-25"/>
    <s v="270157"/>
    <s v="M/s. Kanailal Keder Prasad"/>
    <s v="9474075544"/>
  </r>
  <r>
    <s v="RCF Trombay"/>
    <s v="N.C.Urea(45kg)"/>
    <s v="WB"/>
    <x v="12"/>
    <s v="Ratua - I"/>
    <s v="User Not Mapped"/>
    <s v="User Not Mapped"/>
    <s v="User Not Mapped"/>
    <n v="1001467"/>
    <s v="M/S KHALILUR RAHAMAN"/>
    <s v="Private Retailer"/>
    <s v="9775473574"/>
    <n v="1.4999999999999999E-2"/>
    <n v="277"/>
    <x v="3"/>
    <m/>
    <s v="2025-07-24"/>
    <s v="1375345"/>
    <s v="M/S AGRO CARE "/>
    <s v="7908844177"/>
  </r>
  <r>
    <s v="RCF Thal"/>
    <s v="N.C.Urea(45kg)"/>
    <s v="WB"/>
    <x v="12"/>
    <s v="Ratua - I"/>
    <s v="User Not Mapped"/>
    <s v="User Not Mapped"/>
    <s v="User Not Mapped"/>
    <n v="1001513"/>
    <s v="MUSLEMA BIBI"/>
    <s v="Private Retailer"/>
    <s v="8016405520"/>
    <n v="8.1449999999999996"/>
    <n v="49"/>
    <x v="1"/>
    <m/>
    <s v="2026-03-09"/>
    <s v="270157"/>
    <s v="M/s. Kanailal Keder Prasad"/>
    <s v="9474075544"/>
  </r>
  <r>
    <s v="RCF Thal"/>
    <s v="N.C.Urea(45kg)"/>
    <s v="WB"/>
    <x v="12"/>
    <s v="Ratua - I"/>
    <s v="User Not Mapped"/>
    <s v="User Not Mapped"/>
    <s v="User Not Mapped"/>
    <n v="1021751"/>
    <s v="MD MUKTAR ALAM"/>
    <s v="Private Retailer"/>
    <s v="9734020352"/>
    <n v="2.7E-2"/>
    <n v="1868"/>
    <x v="7"/>
    <m/>
    <s v="2021-03-16"/>
    <s v="268712"/>
    <s v="M/s BirendraNathSaha O Partner"/>
    <s v="9232761461"/>
  </r>
  <r>
    <s v="RCF Thal"/>
    <s v="N.C.Urea(45kg)"/>
    <s v="WB"/>
    <x v="12"/>
    <s v="Ratua - I"/>
    <s v="User Not Mapped"/>
    <s v="User Not Mapped"/>
    <s v="User Not Mapped"/>
    <n v="1021773"/>
    <s v="SABUJ SAR BHANDAR"/>
    <s v="Private Retailer"/>
    <s v="7407330724"/>
    <n v="0.85499999999999998"/>
    <n v="482"/>
    <x v="6"/>
    <m/>
    <s v="2024-12-31"/>
    <s v="270157"/>
    <s v="M/s. Kanailal Keder Prasad"/>
    <s v="9474075544"/>
  </r>
  <r>
    <s v="RCF Thal"/>
    <s v="N.C.Urea(45kg)"/>
    <s v="WB"/>
    <x v="12"/>
    <s v="Ratua - I"/>
    <s v="User Not Mapped"/>
    <s v="User Not Mapped"/>
    <s v="User Not Mapped"/>
    <n v="1429136"/>
    <s v="M/S MD ASHIQUE"/>
    <s v="Private Retailer"/>
    <s v="6294025140"/>
    <n v="4.9950000000000001"/>
    <n v="196"/>
    <x v="3"/>
    <m/>
    <s v="2025-10-13"/>
    <s v="269982"/>
    <s v="M/s Jatindra Nath Saha"/>
    <s v="7431922103"/>
  </r>
  <r>
    <s v="RCF Thal"/>
    <s v="N.C.Urea(45kg)"/>
    <s v="WB"/>
    <x v="12"/>
    <s v="Ratua - I"/>
    <s v="User Not Mapped"/>
    <s v="User Not Mapped"/>
    <s v="User Not Mapped"/>
    <n v="1461431"/>
    <s v="MD JALALUDDIN"/>
    <s v="Private Retailer"/>
    <s v="9064717981"/>
    <n v="5.49"/>
    <n v="37"/>
    <x v="1"/>
    <m/>
    <s v="2026-03-21"/>
    <s v="260350"/>
    <s v="Adarsha Krishi Bhandar"/>
    <s v="9434422447"/>
  </r>
  <r>
    <s v="RCF Thal"/>
    <s v="N.C.Urea(45kg)"/>
    <s v="WB"/>
    <x v="12"/>
    <s v="Ratua - I"/>
    <s v="User Not Mapped"/>
    <s v="User Not Mapped"/>
    <s v="User Not Mapped"/>
    <n v="1461431"/>
    <s v="MD JALALUDDIN"/>
    <s v="Private Retailer"/>
    <s v="9064717981"/>
    <n v="16.155000000000001"/>
    <n v="229"/>
    <x v="3"/>
    <m/>
    <s v="2025-09-10"/>
    <s v="269982"/>
    <s v="M/s Jatindra Nath Saha"/>
    <s v="7431922103"/>
  </r>
  <r>
    <s v="RCF Trombay"/>
    <s v="N.C.Urea(45kg)"/>
    <s v="WB"/>
    <x v="12"/>
    <s v="Ratua - II"/>
    <s v="User Not Mapped"/>
    <s v="User Not Mapped"/>
    <s v="User Not Mapped"/>
    <n v="288896"/>
    <s v="Md. Emadur Rahaman"/>
    <s v="Private Retailer"/>
    <s v="9434120053"/>
    <n v="1.2150000000000001"/>
    <n v="566"/>
    <x v="7"/>
    <m/>
    <s v="2024-10-08"/>
    <s v="269982"/>
    <s v="M/s Jatindra Nath Saha"/>
    <s v="7431922103"/>
  </r>
  <r>
    <s v="RCF Thal"/>
    <s v="N.C.Urea(45kg)"/>
    <s v="WB"/>
    <x v="12"/>
    <s v="Ratua - II"/>
    <s v="User Not Mapped"/>
    <s v="User Not Mapped"/>
    <s v="User Not Mapped"/>
    <n v="355344"/>
    <s v="Masadur Rahman"/>
    <s v="Private Retailer"/>
    <s v="9734882043"/>
    <n v="3.5550000000000002"/>
    <n v="135"/>
    <x v="0"/>
    <m/>
    <s v="2025-12-13"/>
    <s v="281272"/>
    <s v="M/s. Bimal Chandra Das"/>
    <s v="9734196261"/>
  </r>
  <r>
    <s v="RCF Thal"/>
    <s v="N.C.Urea(45kg)"/>
    <s v="WB"/>
    <x v="12"/>
    <s v="Ratua - II"/>
    <s v="User Not Mapped"/>
    <s v="User Not Mapped"/>
    <s v="User Not Mapped"/>
    <n v="408728"/>
    <s v="Md. Mostufa"/>
    <s v="Private Retailer"/>
    <s v="9593916635"/>
    <n v="9.5399999999999991"/>
    <n v="48"/>
    <x v="1"/>
    <m/>
    <s v="2026-03-10"/>
    <s v="741258"/>
    <s v="M/S SAHA FERTILIZER"/>
    <s v="8101653961"/>
  </r>
  <r>
    <s v="RCF Thal"/>
    <s v="N.C.Urea(45kg)"/>
    <s v="WB"/>
    <x v="12"/>
    <s v="Ratua - II"/>
    <s v="User Not Mapped"/>
    <s v="User Not Mapped"/>
    <s v="User Not Mapped"/>
    <n v="411518"/>
    <s v="Joy Maa Durga Sar Bhandar"/>
    <s v="Private Retailer"/>
    <s v="9800717917"/>
    <n v="4.3650000000000002"/>
    <n v="49"/>
    <x v="1"/>
    <m/>
    <s v="2026-03-09"/>
    <s v="270157"/>
    <s v="M/s. Kanailal Keder Prasad"/>
    <s v="9474075544"/>
  </r>
  <r>
    <s v="RCF Trombay"/>
    <s v="N.C.Urea(45kg)"/>
    <s v="WB"/>
    <x v="12"/>
    <s v="Ratua - II"/>
    <s v="User Not Mapped"/>
    <s v="User Not Mapped"/>
    <s v="User Not Mapped"/>
    <n v="411770"/>
    <s v="S.K. Tamijuddin"/>
    <s v="Private Retailer"/>
    <s v="9800518388"/>
    <n v="0.81"/>
    <n v="1291"/>
    <x v="7"/>
    <m/>
    <s v="2022-10-14"/>
    <s v="281277"/>
    <s v="Krishi Bipani"/>
    <s v="9434981339"/>
  </r>
  <r>
    <s v="RCF Thal"/>
    <s v="N.C.Urea(45kg)"/>
    <s v="WB"/>
    <x v="12"/>
    <s v="Ratua - II"/>
    <s v="User Not Mapped"/>
    <s v="User Not Mapped"/>
    <s v="User Not Mapped"/>
    <n v="411772"/>
    <s v="Enamul Haque"/>
    <s v="Private Retailer"/>
    <s v="8768059666"/>
    <n v="0.64500000000000002"/>
    <n v="1795"/>
    <x v="7"/>
    <m/>
    <s v="2021-05-28"/>
    <s v="281277"/>
    <s v="Krishi Bipani"/>
    <s v="9434981339"/>
  </r>
  <r>
    <s v="RCF Trombay"/>
    <s v="N.C.Urea(45kg)"/>
    <s v="WB"/>
    <x v="12"/>
    <s v="Ratua - II"/>
    <s v="User Not Mapped"/>
    <s v="User Not Mapped"/>
    <s v="User Not Mapped"/>
    <n v="513939"/>
    <s v="Md.Mosarraf Hossain"/>
    <s v="Private Retailer"/>
    <s v="7584999937"/>
    <n v="6.84"/>
    <n v="141"/>
    <x v="0"/>
    <m/>
    <s v="2025-12-07"/>
    <s v="270157"/>
    <s v="M/s. Kanailal Keder Prasad"/>
    <s v="9474075544"/>
  </r>
  <r>
    <s v="RCF Thal"/>
    <s v="N.C.Urea(45kg)"/>
    <s v="WB"/>
    <x v="12"/>
    <s v="Ratua - II"/>
    <s v="User Not Mapped"/>
    <s v="User Not Mapped"/>
    <s v="User Not Mapped"/>
    <n v="513939"/>
    <s v="Md.Mosarraf Hossain"/>
    <s v="Private Retailer"/>
    <s v="7584999937"/>
    <n v="22.05"/>
    <n v="27"/>
    <x v="4"/>
    <m/>
    <s v="2026-03-31"/>
    <s v="270157"/>
    <s v="M/s. Kanailal Keder Prasad"/>
    <s v="9474075544"/>
  </r>
  <r>
    <s v="RCF Thal"/>
    <s v="N.C.Urea(45kg)"/>
    <s v="WB"/>
    <x v="12"/>
    <s v="Ratua - II"/>
    <s v="User Not Mapped"/>
    <s v="User Not Mapped"/>
    <s v="User Not Mapped"/>
    <n v="513939"/>
    <s v="Md.Mosarraf Hossain"/>
    <s v="Private Retailer"/>
    <s v="7584999937"/>
    <n v="11.025"/>
    <n v="49"/>
    <x v="1"/>
    <m/>
    <s v="2026-03-09"/>
    <s v="270157"/>
    <s v="M/s. Kanailal Keder Prasad"/>
    <s v="9474075544"/>
  </r>
  <r>
    <s v="RCF Thal"/>
    <s v="N.C.Urea(45kg)"/>
    <s v="WB"/>
    <x v="12"/>
    <s v="Ratua - II"/>
    <s v="User Not Mapped"/>
    <s v="User Not Mapped"/>
    <s v="User Not Mapped"/>
    <n v="513939"/>
    <s v="Md.Mosarraf Hossain"/>
    <s v="Private Retailer"/>
    <s v="7584999937"/>
    <n v="4.32"/>
    <n v="94"/>
    <x v="5"/>
    <m/>
    <s v="2026-01-23"/>
    <s v="270157"/>
    <s v="M/s. Kanailal Keder Prasad"/>
    <s v="9474075544"/>
  </r>
  <r>
    <s v="RCF Thal"/>
    <s v="N.C.Urea(45kg)"/>
    <s v="WB"/>
    <x v="12"/>
    <s v="Ratua - II"/>
    <s v="User Not Mapped"/>
    <s v="User Not Mapped"/>
    <s v="User Not Mapped"/>
    <n v="516354"/>
    <s v="M/S- BELIRA BIBI"/>
    <s v="Private Retailer"/>
    <s v="9153217302"/>
    <n v="11.025"/>
    <n v="49"/>
    <x v="1"/>
    <m/>
    <s v="2026-03-09"/>
    <s v="270157"/>
    <s v="M/s. Kanailal Keder Prasad"/>
    <s v="9474075544"/>
  </r>
  <r>
    <s v="RCF Thal"/>
    <s v="N.C.Urea(45kg)"/>
    <s v="WB"/>
    <x v="12"/>
    <s v="Ratua - II"/>
    <s v="User Not Mapped"/>
    <s v="User Not Mapped"/>
    <s v="User Not Mapped"/>
    <n v="595559"/>
    <s v="SAHA SAR BHANDAR"/>
    <s v="Private Retailer"/>
    <s v="9647205334"/>
    <n v="10.215"/>
    <n v="49"/>
    <x v="1"/>
    <m/>
    <s v="2026-03-09"/>
    <s v="270157"/>
    <s v="M/s. Kanailal Keder Prasad"/>
    <s v="9474075544"/>
  </r>
  <r>
    <s v="RCF Trombay"/>
    <s v="N.C.Urea(45kg)"/>
    <s v="WB"/>
    <x v="12"/>
    <s v="Ratua - II"/>
    <s v="User Not Mapped"/>
    <s v="User Not Mapped"/>
    <s v="User Not Mapped"/>
    <n v="595559"/>
    <s v="SAHA SAR BHANDAR"/>
    <s v="Private Retailer"/>
    <s v="9647205334"/>
    <n v="0.18"/>
    <n v="217"/>
    <x v="3"/>
    <m/>
    <s v="2025-09-22"/>
    <s v="268712"/>
    <s v="M/s BirendraNathSaha O Partner"/>
    <s v="9232761461"/>
  </r>
  <r>
    <s v="RCF Trombay"/>
    <s v="N.C.Urea(45kg)"/>
    <s v="WB"/>
    <x v="12"/>
    <s v="Ratua - II"/>
    <s v="User Not Mapped"/>
    <s v="User Not Mapped"/>
    <s v="User Not Mapped"/>
    <n v="874020"/>
    <s v="BARIK"/>
    <s v="Private Retailer"/>
    <s v="9735276139"/>
    <n v="5.31"/>
    <n v="144"/>
    <x v="0"/>
    <m/>
    <s v="2025-12-04"/>
    <s v="269982"/>
    <s v="M/s Jatindra Nath Saha"/>
    <s v="7431922103"/>
  </r>
  <r>
    <s v="RCF Thal"/>
    <s v="N.C.Urea(45kg)"/>
    <s v="WB"/>
    <x v="12"/>
    <s v="Ratua - II"/>
    <s v="User Not Mapped"/>
    <s v="User Not Mapped"/>
    <s v="User Not Mapped"/>
    <n v="882123"/>
    <s v="M/S AZIZUR RAHAMAN"/>
    <s v="Private Retailer"/>
    <s v="6295269051"/>
    <n v="9.9450000000000003"/>
    <n v="155"/>
    <x v="0"/>
    <m/>
    <s v="2025-11-23"/>
    <s v="270157"/>
    <s v="M/s. Kanailal Keder Prasad"/>
    <s v="9474075544"/>
  </r>
  <r>
    <s v="RCF Trombay"/>
    <s v="N.C.Urea(45kg)"/>
    <s v="WB"/>
    <x v="12"/>
    <s v="Ratua - II"/>
    <s v="User Not Mapped"/>
    <s v="User Not Mapped"/>
    <s v="User Not Mapped"/>
    <n v="882149"/>
    <s v="MD.MOHISUDDIN"/>
    <s v="Private Retailer"/>
    <s v="8116257571"/>
    <n v="9.3149999999999995"/>
    <n v="567"/>
    <x v="7"/>
    <m/>
    <s v="2024-10-07"/>
    <s v="270157"/>
    <s v="M/s. Kanailal Keder Prasad"/>
    <s v="9474075544"/>
  </r>
  <r>
    <s v="RCF Thal"/>
    <s v="N.C.Urea(45kg)"/>
    <s v="WB"/>
    <x v="12"/>
    <s v="Ratua - II"/>
    <s v="User Not Mapped"/>
    <s v="User Not Mapped"/>
    <s v="User Not Mapped"/>
    <n v="882149"/>
    <s v="MD.MOHISUDDIN"/>
    <s v="Private Retailer"/>
    <s v="8116257571"/>
    <n v="19.125"/>
    <n v="296"/>
    <x v="3"/>
    <m/>
    <s v="2025-07-05"/>
    <s v="270157"/>
    <s v="M/s. Kanailal Keder Prasad"/>
    <s v="9474075544"/>
  </r>
  <r>
    <s v="RCF Trombay"/>
    <s v="N.C.Urea(45kg)"/>
    <s v="WB"/>
    <x v="12"/>
    <s v="Ratua - II"/>
    <s v="User Not Mapped"/>
    <s v="User Not Mapped"/>
    <s v="User Not Mapped"/>
    <n v="888301"/>
    <s v="MD. NAJMUL HOQUE"/>
    <s v="Private Retailer"/>
    <s v="9932788332"/>
    <n v="11.025"/>
    <n v="233"/>
    <x v="3"/>
    <m/>
    <s v="2025-09-06"/>
    <s v="269982"/>
    <s v="M/s Jatindra Nath Saha"/>
    <s v="7431922103"/>
  </r>
  <r>
    <s v="RCF Thal"/>
    <s v="N.C.Urea(45kg)"/>
    <s v="WB"/>
    <x v="12"/>
    <s v="Ratua - II"/>
    <s v="User Not Mapped"/>
    <s v="User Not Mapped"/>
    <s v="User Not Mapped"/>
    <n v="907397"/>
    <s v="M/S RAIHAN SARBHANDAR"/>
    <s v="Private Retailer"/>
    <s v="9933613047"/>
    <n v="0.27"/>
    <n v="60"/>
    <x v="1"/>
    <m/>
    <s v="2026-02-26"/>
    <s v="281272"/>
    <s v="M/s. Bimal Chandra Das"/>
    <s v="9734196261"/>
  </r>
  <r>
    <s v="RCF Thal"/>
    <s v="N.C.Urea(45kg)"/>
    <s v="WB"/>
    <x v="12"/>
    <s v="Ratua - II"/>
    <s v="User Not Mapped"/>
    <s v="User Not Mapped"/>
    <s v="User Not Mapped"/>
    <n v="916062"/>
    <s v="M/S SAMAUN REJA"/>
    <s v="Private Retailer"/>
    <s v="8637572794"/>
    <n v="26.145"/>
    <n v="69"/>
    <x v="2"/>
    <m/>
    <s v="2026-02-17"/>
    <s v="270157"/>
    <s v="M/s. Kanailal Keder Prasad"/>
    <s v="9474075544"/>
  </r>
  <r>
    <s v="RCF Thal"/>
    <s v="N.C.Urea(45kg)"/>
    <s v="WB"/>
    <x v="12"/>
    <s v="Ratua - II"/>
    <s v="User Not Mapped"/>
    <s v="User Not Mapped"/>
    <s v="User Not Mapped"/>
    <n v="916062"/>
    <s v="M/S SAMAUN REJA"/>
    <s v="Private Retailer"/>
    <s v="8637572794"/>
    <n v="13.95"/>
    <n v="47"/>
    <x v="1"/>
    <m/>
    <s v="2026-03-11"/>
    <s v="269982"/>
    <s v="M/s Jatindra Nath Saha"/>
    <s v="7431922103"/>
  </r>
  <r>
    <s v="RCF Thal"/>
    <s v="N.C.Urea(45kg)"/>
    <s v="WB"/>
    <x v="12"/>
    <s v="Ratua - II"/>
    <s v="User Not Mapped"/>
    <s v="User Not Mapped"/>
    <s v="User Not Mapped"/>
    <n v="916062"/>
    <s v="M/S SAMAUN REJA"/>
    <s v="Private Retailer"/>
    <s v="8637572794"/>
    <n v="22.05"/>
    <n v="49"/>
    <x v="1"/>
    <m/>
    <s v="2026-03-09"/>
    <s v="270157"/>
    <s v="M/s. Kanailal Keder Prasad"/>
    <s v="9474075544"/>
  </r>
  <r>
    <s v="RCF Thal"/>
    <s v="N.C.Urea(45kg)"/>
    <s v="WB"/>
    <x v="12"/>
    <s v="Ratua - II"/>
    <s v="User Not Mapped"/>
    <s v="User Not Mapped"/>
    <s v="User Not Mapped"/>
    <n v="916062"/>
    <s v="M/S SAMAUN REJA"/>
    <s v="Private Retailer"/>
    <s v="8637572794"/>
    <n v="5.4"/>
    <n v="68"/>
    <x v="2"/>
    <m/>
    <s v="2026-02-18"/>
    <s v="269982"/>
    <s v="M/s Jatindra Nath Saha"/>
    <s v="7431922103"/>
  </r>
  <r>
    <s v="RCF Thal"/>
    <s v="N.C.Urea(45kg)"/>
    <s v="WB"/>
    <x v="12"/>
    <s v="Ratua - II"/>
    <s v="User Not Mapped"/>
    <s v="User Not Mapped"/>
    <s v="User Not Mapped"/>
    <n v="995099"/>
    <s v="SK ANISUR RAHAMAN"/>
    <s v="Private Retailer"/>
    <s v="9382506498"/>
    <n v="2.79"/>
    <n v="97"/>
    <x v="5"/>
    <m/>
    <s v="2026-01-20"/>
    <s v="270157"/>
    <s v="M/s. Kanailal Keder Prasad"/>
    <s v="9474075544"/>
  </r>
  <r>
    <s v="RCF Trombay"/>
    <s v="15-15-15"/>
    <s v="WB"/>
    <x v="12"/>
    <s v="Ratua - II"/>
    <s v="User Not Mapped"/>
    <s v="User Not Mapped"/>
    <s v="User Not Mapped"/>
    <n v="1005132"/>
    <s v="M/S SAIFUJJAMAN"/>
    <s v="Private Retailer"/>
    <s v="9593334854"/>
    <n v="0.35"/>
    <n v="156"/>
    <x v="0"/>
    <m/>
    <s v="2025-11-22"/>
    <s v="1265873"/>
    <s v="IFFDC-KBSK  PROP-AHMAD HOSSAIN"/>
    <s v="8942098019"/>
  </r>
  <r>
    <s v="RCF Thal"/>
    <s v="N.C.Urea(45kg)"/>
    <s v="WB"/>
    <x v="12"/>
    <s v="Ratua - II"/>
    <s v="User Not Mapped"/>
    <s v="User Not Mapped"/>
    <s v="User Not Mapped"/>
    <n v="1005132"/>
    <s v="M/S SAIFUJJAMAN"/>
    <s v="Private Retailer"/>
    <s v="9593334854"/>
    <n v="13.5"/>
    <n v="68"/>
    <x v="2"/>
    <m/>
    <s v="2026-02-18"/>
    <s v="269982"/>
    <s v="M/s Jatindra Nath Saha"/>
    <s v="7431922103"/>
  </r>
  <r>
    <s v="RCF Trombay"/>
    <s v="15-15-15"/>
    <s v="WB"/>
    <x v="12"/>
    <m/>
    <s v="User Not Mapped"/>
    <s v="User Not Mapped"/>
    <s v="User Not Mapped"/>
    <n v="281487"/>
    <s v="Sushmita Sar Bhandar"/>
    <s v="Private Retailer"/>
    <s v="9933375978"/>
    <n v="0.25"/>
    <n v="214"/>
    <x v="3"/>
    <m/>
    <s v="2025-09-25"/>
    <s v="270157"/>
    <s v="M/s. Kanailal Keder Prasad"/>
    <s v="9474075544"/>
  </r>
  <r>
    <s v="RCF Thal"/>
    <s v="N.C.Urea(45kg)"/>
    <s v="WB"/>
    <x v="12"/>
    <m/>
    <s v="User Not Mapped"/>
    <s v="User Not Mapped"/>
    <s v="User Not Mapped"/>
    <n v="281487"/>
    <s v="Sushmita Sar Bhandar"/>
    <s v="Private Retailer"/>
    <s v="9933375978"/>
    <n v="9.5850000000000009"/>
    <n v="49"/>
    <x v="1"/>
    <m/>
    <s v="2026-03-09"/>
    <s v="270157"/>
    <s v="M/s. Kanailal Keder Prasad"/>
    <s v="9474075544"/>
  </r>
  <r>
    <s v="RCF Thal"/>
    <s v="N.C.Urea(45kg)"/>
    <s v="WB"/>
    <x v="12"/>
    <m/>
    <s v="User Not Mapped"/>
    <s v="User Not Mapped"/>
    <s v="User Not Mapped"/>
    <n v="288969"/>
    <s v="Susama Sar Bhandar"/>
    <s v="Private Retailer"/>
    <s v="9800832746"/>
    <n v="5.49"/>
    <n v="1284"/>
    <x v="7"/>
    <m/>
    <s v="2022-10-21"/>
    <s v="260350"/>
    <s v="Adarsha Krishi Bhandar"/>
    <s v="9434422447"/>
  </r>
  <r>
    <s v="RCF Trombay"/>
    <s v="N.C.Urea(45kg)"/>
    <s v="WB"/>
    <x v="12"/>
    <m/>
    <s v="User Not Mapped"/>
    <s v="User Not Mapped"/>
    <s v="User Not Mapped"/>
    <n v="307734"/>
    <s v="Sunilchandra Barman"/>
    <s v="Private Retailer"/>
    <s v="9851307400"/>
    <n v="0.58499999999999996"/>
    <n v="1975"/>
    <x v="7"/>
    <m/>
    <s v="2020-11-29"/>
    <s v="270157"/>
    <s v="M/s. Kanailal Keder Prasad"/>
    <s v="9474075544"/>
  </r>
  <r>
    <s v="RCF Thal"/>
    <s v="N.C.Urea(45kg)"/>
    <s v="WB"/>
    <x v="12"/>
    <m/>
    <s v="User Not Mapped"/>
    <s v="User Not Mapped"/>
    <s v="User Not Mapped"/>
    <n v="307734"/>
    <s v="Sunilchandra Barman"/>
    <s v="Private Retailer"/>
    <s v="9851307400"/>
    <n v="0.09"/>
    <n v="1868"/>
    <x v="7"/>
    <m/>
    <s v="2021-03-16"/>
    <s v="270157"/>
    <s v="M/s. Kanailal Keder Prasad"/>
    <s v="9474075544"/>
  </r>
  <r>
    <s v="RCF Trombay"/>
    <s v="15-15-15"/>
    <s v="WB"/>
    <x v="12"/>
    <m/>
    <s v="User Not Mapped"/>
    <s v="User Not Mapped"/>
    <s v="User Not Mapped"/>
    <n v="307734"/>
    <s v="Sunilchandra Barman"/>
    <s v="Private Retailer"/>
    <s v="9851307400"/>
    <n v="0.45"/>
    <n v="1635"/>
    <x v="7"/>
    <m/>
    <s v="2021-11-04"/>
    <s v="270157"/>
    <s v="M/s. Kanailal Keder Prasad"/>
    <s v="9474075544"/>
  </r>
  <r>
    <s v="RCF Thal"/>
    <s v="N.C.Urea(45kg)"/>
    <s v="WB"/>
    <x v="12"/>
    <m/>
    <s v="User Not Mapped"/>
    <s v="User Not Mapped"/>
    <s v="User Not Mapped"/>
    <n v="328247"/>
    <s v="M/S Sunil Kumar Saha"/>
    <s v="Private Retailer"/>
    <s v="9733133918"/>
    <n v="1.575"/>
    <n v="1929"/>
    <x v="7"/>
    <m/>
    <s v="2021-01-14"/>
    <s v="268712"/>
    <s v="M/s BirendraNathSaha O Partner"/>
    <s v="9232761461"/>
  </r>
  <r>
    <s v="RCF Thal"/>
    <s v="N.C.Urea(45kg)"/>
    <s v="WB"/>
    <x v="12"/>
    <m/>
    <s v="User Not Mapped"/>
    <s v="User Not Mapped"/>
    <s v="User Not Mapped"/>
    <n v="354606"/>
    <s v="Ar Sara Bhandar"/>
    <s v="Private Retailer"/>
    <s v="9564772558"/>
    <n v="19.260000000000002"/>
    <n v="2440"/>
    <x v="7"/>
    <m/>
    <s v="2019-08-22"/>
    <s v="741258"/>
    <s v="M/S SAHA FERTILIZER"/>
    <s v="8101653961"/>
  </r>
  <r>
    <s v="RCF Thal"/>
    <s v="N.C.Urea(45kg)"/>
    <s v="WB"/>
    <x v="12"/>
    <m/>
    <s v="User Not Mapped"/>
    <s v="User Not Mapped"/>
    <s v="User Not Mapped"/>
    <n v="411944"/>
    <s v="Md. Manirujjaman"/>
    <s v="Private Retailer"/>
    <s v="7908174375"/>
    <n v="9.41"/>
    <n v="69"/>
    <x v="2"/>
    <m/>
    <s v="2026-02-17"/>
    <s v="270157"/>
    <s v="M/s. Kanailal Keder Prasad"/>
    <s v="9474075544"/>
  </r>
  <r>
    <s v="RCF Trombay"/>
    <s v="N.C.Urea(45kg)"/>
    <s v="WB"/>
    <x v="12"/>
    <m/>
    <s v="User Not Mapped"/>
    <s v="User Not Mapped"/>
    <s v="User Not Mapped"/>
    <n v="411944"/>
    <s v="Md. Manirujjaman"/>
    <s v="Private Retailer"/>
    <s v="7908174375"/>
    <n v="0.18"/>
    <n v="1535"/>
    <x v="7"/>
    <m/>
    <s v="2022-02-12"/>
    <s v="861204"/>
    <s v="M/s. Shankar Chandra Saha"/>
    <s v="9002479146"/>
  </r>
  <r>
    <s v="RCF Trombay"/>
    <s v="15-15-15"/>
    <s v="WB"/>
    <x v="12"/>
    <m/>
    <s v="User Not Mapped"/>
    <s v="User Not Mapped"/>
    <s v="User Not Mapped"/>
    <n v="461380"/>
    <s v="Taj Enterprise"/>
    <s v="Private Retailer"/>
    <s v="9434371721"/>
    <n v="2"/>
    <n v="1305"/>
    <x v="7"/>
    <m/>
    <s v="2022-09-30"/>
    <s v="269982"/>
    <s v="M/s Jatindra Nath Saha"/>
    <s v="7431922103"/>
  </r>
  <r>
    <s v="RCF Thal"/>
    <s v="N.C.Urea(45kg)"/>
    <s v="WB"/>
    <x v="12"/>
    <m/>
    <s v="User Not Mapped"/>
    <s v="User Not Mapped"/>
    <s v="User Not Mapped"/>
    <n v="496957"/>
    <s v="Maa Manasha Sar Bhandar"/>
    <s v="Private Retailer"/>
    <s v="6296271337"/>
    <n v="7.5149999999999997"/>
    <n v="31"/>
    <x v="1"/>
    <m/>
    <s v="2026-03-27"/>
    <s v="269982"/>
    <s v="M/s Jatindra Nath Saha"/>
    <s v="7431922103"/>
  </r>
  <r>
    <s v="RCF Thal"/>
    <s v="N.C.Urea(45kg)"/>
    <s v="WB"/>
    <x v="12"/>
    <m/>
    <s v="User Not Mapped"/>
    <s v="User Not Mapped"/>
    <s v="User Not Mapped"/>
    <n v="514449"/>
    <s v="Md Faruque"/>
    <s v="Private Retailer"/>
    <s v="9932272519"/>
    <n v="0.72"/>
    <n v="1979"/>
    <x v="7"/>
    <m/>
    <s v="2020-11-25"/>
    <s v="260350"/>
    <s v="Adarsha Krishi Bhandar"/>
    <s v="9434422447"/>
  </r>
  <r>
    <s v="RCF Thal"/>
    <s v="N.C.Urea(45kg)"/>
    <s v="WB"/>
    <x v="12"/>
    <m/>
    <s v="User Not Mapped"/>
    <s v="User Not Mapped"/>
    <s v="User Not Mapped"/>
    <n v="622655"/>
    <s v="Bijoy Laxmi krishi bhandar"/>
    <s v="Private Retailer"/>
    <s v="9609160958"/>
    <n v="11.654999999999999"/>
    <n v="2430"/>
    <x v="7"/>
    <m/>
    <s v="2019-09-01"/>
    <s v="270157"/>
    <s v="M/s. Kanailal Keder Prasad"/>
    <s v="9474075544"/>
  </r>
  <r>
    <s v="RCF Trombay"/>
    <s v="15-15-15"/>
    <s v="WB"/>
    <x v="12"/>
    <m/>
    <s v="User Not Mapped"/>
    <s v="User Not Mapped"/>
    <s v="User Not Mapped"/>
    <n v="625227"/>
    <s v="TRISHNAPROTIPPESTICIDESandFERTIL"/>
    <s v="Private Retailer"/>
    <s v="9735380187"/>
    <n v="2"/>
    <n v="1257"/>
    <x v="7"/>
    <m/>
    <s v="2022-11-17"/>
    <s v="270157"/>
    <s v="M/s. Kanailal Keder Prasad"/>
    <s v="9474075544"/>
  </r>
  <r>
    <s v="RCF Trombay"/>
    <s v="N.C.Urea(45kg)"/>
    <s v="WB"/>
    <x v="12"/>
    <m/>
    <s v="User Not Mapped"/>
    <s v="User Not Mapped"/>
    <s v="User Not Mapped"/>
    <n v="625227"/>
    <s v="TRISHNAPROTIPPESTICIDESandFERTIL"/>
    <s v="Private Retailer"/>
    <s v="9735380187"/>
    <n v="4.41"/>
    <n v="1244"/>
    <x v="7"/>
    <m/>
    <s v="2022-11-30"/>
    <s v="270157"/>
    <s v="M/s. Kanailal Keder Prasad"/>
    <s v="9474075544"/>
  </r>
  <r>
    <s v="RCF Thal"/>
    <s v="N.C.Urea(45kg)"/>
    <s v="WB"/>
    <x v="12"/>
    <m/>
    <s v="User Not Mapped"/>
    <s v="User Not Mapped"/>
    <s v="User Not Mapped"/>
    <n v="625227"/>
    <s v="TRISHNAPROTIPPESTICIDESandFERTIL"/>
    <s v="Private Retailer"/>
    <s v="9735380187"/>
    <n v="8.5050000000000008"/>
    <n v="1224"/>
    <x v="7"/>
    <m/>
    <s v="2022-12-20"/>
    <s v="270157"/>
    <s v="M/s. Kanailal Keder Prasad"/>
    <s v="9474075544"/>
  </r>
  <r>
    <s v="RCF Trombay"/>
    <s v="N.C.Urea(45kg)"/>
    <s v="WB"/>
    <x v="12"/>
    <m/>
    <s v="User Not Mapped"/>
    <s v="User Not Mapped"/>
    <s v="User Not Mapped"/>
    <n v="626078"/>
    <s v="M/S JOY SANKAR GUPTA"/>
    <s v="Private Retailer"/>
    <s v="7407062443"/>
    <n v="0.85499999999999998"/>
    <n v="1967"/>
    <x v="7"/>
    <m/>
    <s v="2020-12-07"/>
    <s v="260350"/>
    <s v="Adarsha Krishi Bhandar"/>
    <s v="9434422447"/>
  </r>
  <r>
    <s v="RCF Trombay"/>
    <s v="N.C.Urea(45kg)"/>
    <s v="WB"/>
    <x v="12"/>
    <m/>
    <s v="User Not Mapped"/>
    <s v="User Not Mapped"/>
    <s v="User Not Mapped"/>
    <n v="634873"/>
    <s v="M/S FURSHED ALI"/>
    <s v="Private Retailer"/>
    <s v="9733193188"/>
    <n v="9.4949999999999992"/>
    <n v="1458"/>
    <x v="7"/>
    <m/>
    <s v="2022-04-30"/>
    <s v="1259524"/>
    <s v="M/S KRISHI GHAR"/>
    <s v="9064113554"/>
  </r>
  <r>
    <s v="RCF Trombay"/>
    <s v="15-15-15"/>
    <s v="WB"/>
    <x v="12"/>
    <m/>
    <s v="User Not Mapped"/>
    <s v="User Not Mapped"/>
    <s v="User Not Mapped"/>
    <n v="637935"/>
    <s v="ALI STORES"/>
    <s v="Private Retailer"/>
    <s v="9733463141"/>
    <n v="1.2749999999999999"/>
    <n v="2236"/>
    <x v="7"/>
    <m/>
    <s v="2020-03-13"/>
    <s v="260350"/>
    <s v="Adarsha Krishi Bhandar"/>
    <s v="9434422447"/>
  </r>
  <r>
    <s v="RCF Thal"/>
    <s v="N.C.Urea(45kg)"/>
    <s v="WB"/>
    <x v="12"/>
    <m/>
    <s v="User Not Mapped"/>
    <s v="User Not Mapped"/>
    <s v="User Not Mapped"/>
    <n v="639405"/>
    <s v="JAGADISH SAHA"/>
    <s v="Private Retailer"/>
    <s v="9593301014"/>
    <n v="2.3090000000000002"/>
    <n v="1932"/>
    <x v="7"/>
    <m/>
    <s v="2021-01-11"/>
    <s v="223195"/>
    <s v="M/s. Tarakeswar Roy "/>
    <s v="9775858507"/>
  </r>
  <r>
    <s v="RCF Thal"/>
    <s v="N.C.Urea(45kg)"/>
    <s v="WB"/>
    <x v="12"/>
    <m/>
    <s v="User Not Mapped"/>
    <s v="User Not Mapped"/>
    <s v="User Not Mapped"/>
    <n v="649171"/>
    <s v="M/S SK. INSAN"/>
    <s v="Private Retailer"/>
    <s v="9641038628"/>
    <n v="0.54"/>
    <n v="2215"/>
    <x v="7"/>
    <m/>
    <s v="2020-04-03"/>
    <s v="281277"/>
    <s v="Krishi Bipani"/>
    <s v="9434981339"/>
  </r>
  <r>
    <s v="RCF Thal"/>
    <s v="N.C.Urea(45kg)"/>
    <s v="WB"/>
    <x v="12"/>
    <m/>
    <s v="User Not Mapped"/>
    <s v="User Not Mapped"/>
    <s v="User Not Mapped"/>
    <n v="649171"/>
    <s v="M/S SK. INSAN"/>
    <s v="Private Retailer"/>
    <s v="9641038628"/>
    <n v="1.125"/>
    <n v="2032"/>
    <x v="7"/>
    <m/>
    <s v="2020-10-03"/>
    <s v="281277"/>
    <s v="Krishi Bipani"/>
    <s v="9434981339"/>
  </r>
  <r>
    <s v="RCF Thal"/>
    <s v="N.C.Urea(45kg)"/>
    <s v="WB"/>
    <x v="12"/>
    <m/>
    <s v="User Not Mapped"/>
    <s v="User Not Mapped"/>
    <s v="User Not Mapped"/>
    <n v="858768"/>
    <s v="M/S MANJUR ALI"/>
    <s v="Private Retailer"/>
    <s v="9932582056"/>
    <n v="4.4999999999999998E-2"/>
    <n v="1735"/>
    <x v="7"/>
    <m/>
    <s v="2021-07-27"/>
    <s v="268712"/>
    <s v="M/s BirendraNathSaha O Partner"/>
    <s v="9232761461"/>
  </r>
  <r>
    <s v="RCF Thal"/>
    <s v="N.C.Urea(45kg)"/>
    <s v="WB"/>
    <x v="12"/>
    <m/>
    <s v="User Not Mapped"/>
    <s v="User Not Mapped"/>
    <s v="User Not Mapped"/>
    <n v="876740"/>
    <s v="M/S MATHATO SAR BHANDER"/>
    <s v="Private Retailer"/>
    <s v="8167458801"/>
    <n v="5.85"/>
    <n v="2108"/>
    <x v="7"/>
    <m/>
    <s v="2020-07-19"/>
    <s v="270157"/>
    <s v="M/s. Kanailal Keder Prasad"/>
    <s v="9474075544"/>
  </r>
  <r>
    <s v="RCF Trombay"/>
    <s v="N.C.Urea(45kg)"/>
    <s v="WB"/>
    <x v="12"/>
    <m/>
    <s v="User Not Mapped"/>
    <s v="User Not Mapped"/>
    <s v="User Not Mapped"/>
    <n v="876740"/>
    <s v="M/S MATHATO SAR BHANDER"/>
    <s v="Private Retailer"/>
    <s v="8167458801"/>
    <n v="0.04"/>
    <n v="2301"/>
    <x v="7"/>
    <m/>
    <s v="2020-01-08"/>
    <s v="270157"/>
    <s v="M/s. Kanailal Keder Prasad"/>
    <s v="9474075544"/>
  </r>
  <r>
    <s v="RCF Thal"/>
    <s v="N.C.Urea(45kg)"/>
    <s v="WB"/>
    <x v="12"/>
    <m/>
    <s v="User Not Mapped"/>
    <s v="User Not Mapped"/>
    <s v="User Not Mapped"/>
    <n v="876740"/>
    <s v="M/S MATHATO SAR BHANDER"/>
    <s v="Private Retailer"/>
    <s v="8167458801"/>
    <n v="9"/>
    <n v="1946"/>
    <x v="7"/>
    <m/>
    <s v="2020-12-28"/>
    <s v="270157"/>
    <s v="M/s. Kanailal Keder Prasad"/>
    <s v="9474075544"/>
  </r>
  <r>
    <s v="RCF Thal"/>
    <s v="N.C.Urea(45kg)"/>
    <s v="WB"/>
    <x v="12"/>
    <m/>
    <s v="User Not Mapped"/>
    <s v="User Not Mapped"/>
    <s v="User Not Mapped"/>
    <n v="876740"/>
    <s v="M/S MATHATO SAR BHANDER"/>
    <s v="Private Retailer"/>
    <s v="8167458801"/>
    <n v="4.5"/>
    <n v="1967"/>
    <x v="7"/>
    <m/>
    <s v="2020-12-07"/>
    <s v="270157"/>
    <s v="M/s. Kanailal Keder Prasad"/>
    <s v="9474075544"/>
  </r>
  <r>
    <s v="RCF Thal"/>
    <s v="N.C.Urea(45kg)"/>
    <s v="WB"/>
    <x v="12"/>
    <m/>
    <s v="User Not Mapped"/>
    <s v="User Not Mapped"/>
    <s v="User Not Mapped"/>
    <n v="941102"/>
    <s v="SHIB SHANKAR MANDAL"/>
    <s v="Private Retailer"/>
    <s v="9733443171"/>
    <n v="4.5"/>
    <n v="1868"/>
    <x v="7"/>
    <m/>
    <s v="2021-03-16"/>
    <s v="270157"/>
    <s v="M/s. Kanailal Keder Prasad"/>
    <s v="9474075544"/>
  </r>
  <r>
    <s v="RCF Thal"/>
    <s v="N.C.Urea(45kg)"/>
    <s v="WB"/>
    <x v="12"/>
    <m/>
    <s v="User Not Mapped"/>
    <s v="User Not Mapped"/>
    <s v="User Not Mapped"/>
    <n v="941102"/>
    <s v="SHIB SHANKAR MANDAL"/>
    <s v="Private Retailer"/>
    <s v="9733443171"/>
    <n v="1.665"/>
    <n v="2013"/>
    <x v="7"/>
    <m/>
    <s v="2020-10-22"/>
    <s v="270157"/>
    <s v="M/s. Kanailal Keder Prasad"/>
    <s v="9474075544"/>
  </r>
  <r>
    <s v="RCF Thal"/>
    <s v="N.C.Urea(45kg)"/>
    <s v="WB"/>
    <x v="12"/>
    <m/>
    <s v="User Not Mapped"/>
    <s v="User Not Mapped"/>
    <s v="User Not Mapped"/>
    <n v="983062"/>
    <s v="MAYER DOWA"/>
    <s v="Private Retailer"/>
    <s v="9933668241"/>
    <n v="3.375"/>
    <n v="2673"/>
    <x v="7"/>
    <m/>
    <s v="2019-01-01"/>
    <s v="11"/>
    <s v="Too Old Stock"/>
    <m/>
  </r>
  <r>
    <s v="RCF Thal"/>
    <s v="N.C.Urea(45kg)"/>
    <s v="WB"/>
    <x v="12"/>
    <m/>
    <s v="User Not Mapped"/>
    <s v="User Not Mapped"/>
    <s v="User Not Mapped"/>
    <n v="988244"/>
    <s v="M/S HASANUZAMMAN SAR BHANDER"/>
    <s v="Private Retailer"/>
    <s v="9735926746"/>
    <n v="0.58499999999999996"/>
    <n v="1601"/>
    <x v="7"/>
    <m/>
    <s v="2021-12-08"/>
    <s v="739727"/>
    <s v="M/S MD SABIR ALI"/>
    <s v="8617066067"/>
  </r>
  <r>
    <s v="RCF Trombay"/>
    <s v="15-15-15"/>
    <s v="WB"/>
    <x v="12"/>
    <m/>
    <s v="User Not Mapped"/>
    <s v="User Not Mapped"/>
    <s v="User Not Mapped"/>
    <n v="995307"/>
    <s v="ALAMGIR ALI"/>
    <s v="Private Retailer"/>
    <s v="8101403082"/>
    <n v="0.75"/>
    <n v="2595"/>
    <x v="7"/>
    <m/>
    <s v="2019-03-20"/>
    <s v="260350"/>
    <s v="Adarsha Krishi Bhandar"/>
    <s v="9434422447"/>
  </r>
  <r>
    <s v="RCF Trombay"/>
    <s v="N.C.Urea(45kg)"/>
    <s v="WB"/>
    <x v="12"/>
    <m/>
    <s v="User Not Mapped"/>
    <s v="User Not Mapped"/>
    <s v="User Not Mapped"/>
    <n v="1005977"/>
    <s v="MONGLI SAR BHANDAR"/>
    <s v="Private Retailer"/>
    <s v="9735974220"/>
    <n v="8.3249999999999993"/>
    <n v="2673"/>
    <x v="7"/>
    <m/>
    <s v="2019-01-01"/>
    <s v="11"/>
    <s v="Too Old Stock"/>
    <m/>
  </r>
  <r>
    <s v="RCF Thal"/>
    <s v="N.C.Urea(45kg)"/>
    <s v="WB"/>
    <x v="12"/>
    <m/>
    <s v="User Not Mapped"/>
    <s v="User Not Mapped"/>
    <s v="User Not Mapped"/>
    <n v="1021759"/>
    <s v="MD SHAFIKUL ALAM"/>
    <s v="Private Retailer"/>
    <s v="9734866131"/>
    <n v="11.025"/>
    <n v="888"/>
    <x v="7"/>
    <m/>
    <s v="2023-11-21"/>
    <s v="270157"/>
    <s v="M/s. Kanailal Keder Prasad"/>
    <s v="9474075544"/>
  </r>
  <r>
    <s v="RCF Thal"/>
    <s v="N.C.Urea(45kg)"/>
    <s v="WB"/>
    <x v="12"/>
    <m/>
    <s v="User Not Mapped"/>
    <s v="User Not Mapped"/>
    <s v="User Not Mapped"/>
    <n v="1148493"/>
    <s v="M/S KRISHAK BANDHU"/>
    <s v="Private Retailer"/>
    <s v="9635487990"/>
    <n v="0.27"/>
    <n v="893"/>
    <x v="7"/>
    <m/>
    <s v="2023-11-16"/>
    <s v="281269"/>
    <s v="M/s. Butto Krishna Paul"/>
    <s v="7908580984"/>
  </r>
  <r>
    <s v="RCF Thal"/>
    <s v="N.C.Urea(45kg)"/>
    <s v="WB"/>
    <x v="12"/>
    <m/>
    <s v="User Not Mapped"/>
    <s v="User Not Mapped"/>
    <s v="User Not Mapped"/>
    <n v="1148493"/>
    <s v="M/S KRISHAK BANDHU"/>
    <s v="Private Retailer"/>
    <s v="9635487990"/>
    <n v="1.125"/>
    <n v="866"/>
    <x v="7"/>
    <m/>
    <s v="2023-12-13"/>
    <s v="281269"/>
    <s v="M/s. Butto Krishna Paul"/>
    <s v="7908580984"/>
  </r>
  <r>
    <s v="RCF Thal"/>
    <s v="N.C.Urea(45kg)"/>
    <s v="WB"/>
    <x v="12"/>
    <m/>
    <s v="User Not Mapped"/>
    <s v="User Not Mapped"/>
    <s v="User Not Mapped"/>
    <n v="1338618"/>
    <s v="MITHUN MANDAL"/>
    <s v="Private Retailer"/>
    <s v="9734053014"/>
    <n v="3.51"/>
    <n v="19"/>
    <x v="4"/>
    <m/>
    <s v="2026-04-08"/>
    <s v="281269"/>
    <s v="M/s. Butto Krishna Paul"/>
    <s v="7908580984"/>
  </r>
  <r>
    <s v="RCF Thal"/>
    <s v="N.C.Urea(45kg)"/>
    <s v="WB"/>
    <x v="12"/>
    <m/>
    <s v="User Not Mapped"/>
    <s v="User Not Mapped"/>
    <s v="User Not Mapped"/>
    <n v="1513367"/>
    <s v="M/S AJIJUL SAR BHANDAR "/>
    <s v="Private Retailer"/>
    <s v="7550922426"/>
    <n v="4.7249999999999996"/>
    <n v="49"/>
    <x v="1"/>
    <m/>
    <s v="2026-03-09"/>
    <s v="270157"/>
    <s v="M/s. Kanailal Keder Prasad"/>
    <s v="9474075544"/>
  </r>
  <r>
    <s v="RCF Thal"/>
    <s v="N.C.Urea(45kg)"/>
    <s v="WB"/>
    <x v="12"/>
    <m/>
    <s v="User Not Mapped"/>
    <s v="User Not Mapped"/>
    <s v="User Not Mapped"/>
    <n v="1573271"/>
    <s v="NIVRITY BEEJ BHANDAR"/>
    <s v="Private Retailer"/>
    <s v="9614120703"/>
    <n v="7.7850000000000001"/>
    <n v="46"/>
    <x v="1"/>
    <m/>
    <s v="2026-03-12"/>
    <s v="269982"/>
    <s v="M/s Jatindra Nath Saha"/>
    <s v="7431922103"/>
  </r>
  <r>
    <s v="RCF Trombay"/>
    <s v="N.C.Urea(45kg)"/>
    <s v="WB"/>
    <x v="12"/>
    <m/>
    <s v="User Not Mapped"/>
    <s v="User Not Mapped"/>
    <s v="User Not Mapped"/>
    <n v="1633282"/>
    <s v="ANIMESH SARKAR"/>
    <s v="Private Retailer"/>
    <s v="9064484820"/>
    <n v="10.8"/>
    <n v="2"/>
    <x v="4"/>
    <m/>
    <s v="2026-04-25"/>
    <s v="260350"/>
    <s v="Adarsha Krishi Bhandar"/>
    <s v="9434422447"/>
  </r>
  <r>
    <s v="RCF Trombay"/>
    <s v="N.C.Urea(45kg)"/>
    <s v="WB"/>
    <x v="13"/>
    <s v="Bhagawanpur - II"/>
    <s v="User Not Mapped"/>
    <s v="User Not Mapped"/>
    <s v="User Not Mapped"/>
    <n v="487007"/>
    <s v="Tarun Kanti Bera"/>
    <s v="Private Retailer"/>
    <s v="9732723630"/>
    <n v="3.4649999999999999"/>
    <n v="131"/>
    <x v="0"/>
    <m/>
    <s v="2025-12-17"/>
    <s v="280604"/>
    <s v="Sabuj Mita"/>
    <s v="9932091544"/>
  </r>
  <r>
    <s v="RCF Thal"/>
    <s v="N.C.Urea(45kg)"/>
    <s v="WB"/>
    <x v="13"/>
    <s v="Bhagawanpur - II"/>
    <s v="User Not Mapped"/>
    <s v="User Not Mapped"/>
    <s v="User Not Mapped"/>
    <n v="487007"/>
    <s v="Tarun Kanti Bera"/>
    <s v="Private Retailer"/>
    <s v="9732723630"/>
    <n v="5.58"/>
    <n v="73"/>
    <x v="2"/>
    <m/>
    <s v="2026-02-13"/>
    <s v="280604"/>
    <s v="Sabuj Mita"/>
    <s v="9932091544"/>
  </r>
  <r>
    <s v="RCF Trombay"/>
    <s v="15-15-15"/>
    <s v="WB"/>
    <x v="13"/>
    <s v="Contai - I"/>
    <s v="User Not Mapped"/>
    <s v="User Not Mapped"/>
    <s v="User Not Mapped"/>
    <n v="399660"/>
    <s v="Bikash Manna"/>
    <s v="Private Retailer"/>
    <s v="9635325294"/>
    <n v="1.5"/>
    <n v="265"/>
    <x v="3"/>
    <m/>
    <s v="2025-08-05"/>
    <s v="281502"/>
    <s v="M/s. Mishra and Co."/>
    <s v="7602075590"/>
  </r>
  <r>
    <s v="RCF Trombay"/>
    <s v="15-15-15"/>
    <s v="WB"/>
    <x v="13"/>
    <s v="Contai - I"/>
    <s v="User Not Mapped"/>
    <s v="User Not Mapped"/>
    <s v="User Not Mapped"/>
    <n v="399660"/>
    <s v="Bikash Manna"/>
    <s v="Private Retailer"/>
    <s v="9635325294"/>
    <n v="5.5"/>
    <n v="129"/>
    <x v="0"/>
    <m/>
    <s v="2025-12-19"/>
    <s v="281502"/>
    <s v="M/s. Mishra and Co."/>
    <s v="7602075590"/>
  </r>
  <r>
    <s v="RCF Trombay"/>
    <s v="N.C.Urea(45kg)"/>
    <s v="WB"/>
    <x v="13"/>
    <s v="Contai - I"/>
    <s v="User Not Mapped"/>
    <s v="User Not Mapped"/>
    <s v="User Not Mapped"/>
    <n v="407452"/>
    <s v="Manindranath Panigrahi"/>
    <s v="Private Retailer"/>
    <s v="9933313286"/>
    <n v="5.49"/>
    <n v="129"/>
    <x v="0"/>
    <m/>
    <s v="2025-12-19"/>
    <s v="281502"/>
    <s v="M/s. Mishra and Co."/>
    <s v="7602075590"/>
  </r>
  <r>
    <s v="RCF Trombay"/>
    <s v="15-15-15"/>
    <s v="WB"/>
    <x v="13"/>
    <s v="Contai - I"/>
    <s v="User Not Mapped"/>
    <s v="User Not Mapped"/>
    <s v="User Not Mapped"/>
    <n v="407452"/>
    <s v="Manindranath Panigrahi"/>
    <s v="Private Retailer"/>
    <s v="9933313286"/>
    <n v="4.5"/>
    <n v="129"/>
    <x v="0"/>
    <m/>
    <s v="2025-12-19"/>
    <s v="281502"/>
    <s v="M/s. Mishra and Co."/>
    <s v="7602075590"/>
  </r>
  <r>
    <s v="RCF Thal"/>
    <s v="N.C.Urea(45kg)"/>
    <s v="WB"/>
    <x v="13"/>
    <s v="Contai - I"/>
    <s v="User Not Mapped"/>
    <s v="User Not Mapped"/>
    <s v="User Not Mapped"/>
    <n v="407452"/>
    <s v="Manindranath Panigrahi"/>
    <s v="Private Retailer"/>
    <s v="9933313286"/>
    <n v="3.78"/>
    <n v="75"/>
    <x v="2"/>
    <m/>
    <s v="2026-02-11"/>
    <s v="281502"/>
    <s v="M/s. Mishra and Co."/>
    <s v="7602075590"/>
  </r>
  <r>
    <s v="RCF Import"/>
    <s v="Imp 10-26-26"/>
    <s v="WB"/>
    <x v="13"/>
    <s v="Contai - I"/>
    <s v="User Not Mapped"/>
    <s v="User Not Mapped"/>
    <s v="User Not Mapped"/>
    <n v="407452"/>
    <s v="Manindranath Panigrahi"/>
    <s v="Private Retailer"/>
    <s v="9933313286"/>
    <n v="6"/>
    <n v="62"/>
    <x v="2"/>
    <m/>
    <s v="2026-02-24"/>
    <s v="281502"/>
    <s v="M/s. Mishra and Co."/>
    <s v="7602075590"/>
  </r>
  <r>
    <s v="RCF Thal"/>
    <s v="N.C.Urea(45kg)"/>
    <s v="WB"/>
    <x v="13"/>
    <s v="Contai - I"/>
    <s v="User Not Mapped"/>
    <s v="User Not Mapped"/>
    <s v="User Not Mapped"/>
    <n v="612040"/>
    <s v="RABINDRA NATH ROUTH"/>
    <s v="Private Retailer"/>
    <s v="7319169766"/>
    <n v="0.27"/>
    <n v="158"/>
    <x v="0"/>
    <m/>
    <s v="2025-11-20"/>
    <s v="281502"/>
    <s v="M/s. Mishra and Co."/>
    <s v="7602075590"/>
  </r>
  <r>
    <s v="RCF Thal"/>
    <s v="N.C.Urea(45kg)"/>
    <s v="WB"/>
    <x v="13"/>
    <s v="Contai - I"/>
    <s v="User Not Mapped"/>
    <s v="User Not Mapped"/>
    <s v="User Not Mapped"/>
    <n v="631165"/>
    <s v="NEW KAR FERTILIZER"/>
    <s v="Private Retailer"/>
    <s v="9732715711"/>
    <n v="3.8250000000000002"/>
    <n v="73"/>
    <x v="2"/>
    <m/>
    <s v="2026-02-13"/>
    <s v="280604"/>
    <s v="Sabuj Mita"/>
    <s v="9932091544"/>
  </r>
  <r>
    <s v="RCF Trombay"/>
    <s v="N.C.Urea(45kg)"/>
    <s v="WB"/>
    <x v="13"/>
    <s v="Contai - I"/>
    <s v="User Not Mapped"/>
    <s v="User Not Mapped"/>
    <s v="User Not Mapped"/>
    <n v="631165"/>
    <s v="NEW KAR FERTILIZER"/>
    <s v="Private Retailer"/>
    <s v="9732715711"/>
    <n v="0.13100000000000001"/>
    <n v="185"/>
    <x v="3"/>
    <m/>
    <s v="2025-10-24"/>
    <s v="280604"/>
    <s v="Sabuj Mita"/>
    <s v="9932091544"/>
  </r>
  <r>
    <s v="RCF Trombay"/>
    <s v="N.C.Urea(45kg)"/>
    <s v="WB"/>
    <x v="13"/>
    <s v="Contai - I"/>
    <s v="User Not Mapped"/>
    <s v="User Not Mapped"/>
    <s v="User Not Mapped"/>
    <n v="631743"/>
    <s v="PATIT PABAN JANA"/>
    <s v="Private Retailer"/>
    <s v="9732437663"/>
    <n v="6.3"/>
    <n v="131"/>
    <x v="0"/>
    <m/>
    <s v="2025-12-17"/>
    <s v="280604"/>
    <s v="Sabuj Mita"/>
    <s v="9932091544"/>
  </r>
  <r>
    <s v="RCF Thal"/>
    <s v="N.C.Urea(45kg)"/>
    <s v="WB"/>
    <x v="13"/>
    <s v="Contai - I"/>
    <s v="User Not Mapped"/>
    <s v="User Not Mapped"/>
    <s v="User Not Mapped"/>
    <n v="631743"/>
    <s v="PATIT PABAN JANA"/>
    <s v="Private Retailer"/>
    <s v="9732437663"/>
    <n v="6.57"/>
    <n v="174"/>
    <x v="0"/>
    <m/>
    <s v="2025-11-04"/>
    <s v="281502"/>
    <s v="M/s. Mishra and Co."/>
    <s v="7602075590"/>
  </r>
  <r>
    <s v="RCF Trombay"/>
    <s v="15-15-15"/>
    <s v="WB"/>
    <x v="13"/>
    <s v="Contai - I"/>
    <s v="User Not Mapped"/>
    <s v="User Not Mapped"/>
    <s v="User Not Mapped"/>
    <n v="631743"/>
    <s v="PATIT PABAN JANA"/>
    <s v="Private Retailer"/>
    <s v="9732437663"/>
    <n v="5.25"/>
    <n v="131"/>
    <x v="0"/>
    <m/>
    <s v="2025-12-17"/>
    <s v="280604"/>
    <s v="Sabuj Mita"/>
    <s v="9932091544"/>
  </r>
  <r>
    <s v="RCF Thal"/>
    <s v="N.C.Urea(45kg)"/>
    <s v="WB"/>
    <x v="13"/>
    <s v="Contai - I"/>
    <s v="User Not Mapped"/>
    <s v="User Not Mapped"/>
    <s v="User Not Mapped"/>
    <n v="649693"/>
    <s v="KANAI KAMILA"/>
    <s v="Private Retailer"/>
    <s v="8001861562"/>
    <n v="1.4850000000000001"/>
    <n v="178"/>
    <x v="0"/>
    <m/>
    <s v="2025-10-31"/>
    <s v="280604"/>
    <s v="Sabuj Mita"/>
    <s v="9932091544"/>
  </r>
  <r>
    <s v="RCF Import"/>
    <s v="Imp 10-26-26"/>
    <s v="WB"/>
    <x v="13"/>
    <s v="Contai - I"/>
    <s v="User Not Mapped"/>
    <s v="User Not Mapped"/>
    <s v="User Not Mapped"/>
    <n v="656506"/>
    <s v="GIRI FERTILISER"/>
    <s v="Private Retailer"/>
    <s v="9932972938"/>
    <n v="2.2000000000000002"/>
    <n v="62"/>
    <x v="2"/>
    <m/>
    <s v="2026-02-24"/>
    <s v="281502"/>
    <s v="M/s. Mishra and Co."/>
    <s v="7602075590"/>
  </r>
  <r>
    <s v="RCF Thal"/>
    <s v="N.C.Urea(45kg)"/>
    <s v="WB"/>
    <x v="13"/>
    <s v="Contai - I"/>
    <s v="User Not Mapped"/>
    <s v="User Not Mapped"/>
    <s v="User Not Mapped"/>
    <n v="656506"/>
    <s v="GIRI FERTILISER"/>
    <s v="Private Retailer"/>
    <s v="9932972938"/>
    <n v="0.9"/>
    <n v="75"/>
    <x v="2"/>
    <m/>
    <s v="2026-02-11"/>
    <s v="281502"/>
    <s v="M/s. Mishra and Co."/>
    <s v="7602075590"/>
  </r>
  <r>
    <s v="RCF Thal"/>
    <s v="N.C.Urea(45kg)"/>
    <s v="WB"/>
    <x v="13"/>
    <s v="Contai - I"/>
    <s v="User Not Mapped"/>
    <s v="User Not Mapped"/>
    <s v="User Not Mapped"/>
    <n v="1086708"/>
    <s v="MAA LAKHEM VANDER"/>
    <s v="Private Retailer"/>
    <s v="9933493494"/>
    <n v="6.57"/>
    <n v="75"/>
    <x v="2"/>
    <m/>
    <s v="2026-02-11"/>
    <s v="281502"/>
    <s v="M/s. Mishra and Co."/>
    <s v="7602075590"/>
  </r>
  <r>
    <s v="RCF Trombay"/>
    <s v="15-15-15"/>
    <s v="WB"/>
    <x v="13"/>
    <s v="Contai - III"/>
    <s v="User Not Mapped"/>
    <s v="User Not Mapped"/>
    <s v="User Not Mapped"/>
    <n v="555451"/>
    <s v="Pranab Kumar Das"/>
    <s v="Private Retailer"/>
    <s v="8001332504"/>
    <n v="2.5"/>
    <n v="129"/>
    <x v="0"/>
    <m/>
    <s v="2025-12-19"/>
    <s v="281502"/>
    <s v="M/s. Mishra and Co."/>
    <s v="7602075590"/>
  </r>
  <r>
    <s v="RCF Trombay"/>
    <s v="N.C.Urea(45kg)"/>
    <s v="WB"/>
    <x v="13"/>
    <s v="Contai - III"/>
    <s v="User Not Mapped"/>
    <s v="User Not Mapped"/>
    <s v="User Not Mapped"/>
    <n v="555451"/>
    <s v="Pranab Kumar Das"/>
    <s v="Private Retailer"/>
    <s v="8001332504"/>
    <n v="4.41"/>
    <n v="131"/>
    <x v="0"/>
    <m/>
    <s v="2025-12-17"/>
    <s v="280604"/>
    <s v="Sabuj Mita"/>
    <s v="9932091544"/>
  </r>
  <r>
    <s v="RCF Trombay"/>
    <s v="15-15-15"/>
    <s v="WB"/>
    <x v="13"/>
    <s v="Contai - III"/>
    <s v="User Not Mapped"/>
    <s v="User Not Mapped"/>
    <s v="User Not Mapped"/>
    <n v="768068"/>
    <s v="M/s Tapas shit"/>
    <s v="Private Retailer"/>
    <s v="9732948979"/>
    <n v="0.03"/>
    <n v="2673"/>
    <x v="7"/>
    <m/>
    <s v="2019-01-01"/>
    <s v="11"/>
    <s v="Too Old Stock"/>
    <m/>
  </r>
  <r>
    <s v="RCF Trombay"/>
    <s v="15-15-15"/>
    <s v="WB"/>
    <x v="13"/>
    <s v="Deshopran"/>
    <s v="User Not Mapped"/>
    <s v="User Not Mapped"/>
    <s v="User Not Mapped"/>
    <n v="846547"/>
    <s v="Makali fertiliser (Gurudeb)"/>
    <s v="Private Retailer"/>
    <s v="7797459018"/>
    <n v="3.5"/>
    <n v="129"/>
    <x v="0"/>
    <m/>
    <s v="2025-12-19"/>
    <s v="281502"/>
    <s v="M/s. Mishra and Co."/>
    <s v="7602075590"/>
  </r>
  <r>
    <s v="RCF Thal"/>
    <s v="N.C.Urea(45kg)"/>
    <s v="WB"/>
    <x v="13"/>
    <s v="Egra - I"/>
    <s v="User Not Mapped"/>
    <s v="User Not Mapped"/>
    <s v="User Not Mapped"/>
    <n v="406171"/>
    <s v="Saktipada Patra"/>
    <s v="Private Retailer"/>
    <s v="9800210251"/>
    <n v="0.40500000000000003"/>
    <n v="157"/>
    <x v="0"/>
    <m/>
    <s v="2025-11-21"/>
    <s v="280604"/>
    <s v="Sabuj Mita"/>
    <s v="9932091544"/>
  </r>
  <r>
    <s v="RCF Trombay"/>
    <s v="N.C.Urea(45kg)"/>
    <s v="WB"/>
    <x v="13"/>
    <s v="Egra - I"/>
    <s v="User Not Mapped"/>
    <s v="User Not Mapped"/>
    <s v="User Not Mapped"/>
    <n v="407450"/>
    <s v="Manna Enterprise"/>
    <s v="Private Retailer"/>
    <s v="7501929063"/>
    <n v="1.35"/>
    <n v="92"/>
    <x v="5"/>
    <m/>
    <s v="2026-01-25"/>
    <s v="280604"/>
    <s v="Sabuj Mita"/>
    <s v="9932091544"/>
  </r>
  <r>
    <s v="RCF Thal"/>
    <s v="N.C.Urea(45kg)"/>
    <s v="WB"/>
    <x v="13"/>
    <s v="Egra - I"/>
    <s v="User Not Mapped"/>
    <s v="User Not Mapped"/>
    <s v="User Not Mapped"/>
    <n v="407450"/>
    <s v="Manna Enterprise"/>
    <s v="Private Retailer"/>
    <s v="7501929063"/>
    <n v="0.99"/>
    <n v="87"/>
    <x v="2"/>
    <m/>
    <s v="2026-01-30"/>
    <s v="280604"/>
    <s v="Sabuj Mita"/>
    <s v="9932091544"/>
  </r>
  <r>
    <s v="RCF Thal"/>
    <s v="N.C.Urea(45kg)"/>
    <s v="WB"/>
    <x v="13"/>
    <s v="Egra - I"/>
    <s v="User Not Mapped"/>
    <s v="User Not Mapped"/>
    <s v="User Not Mapped"/>
    <n v="560707"/>
    <s v="SANKHA MAYEE KRISHI BHANDERS"/>
    <s v="Private Retailer"/>
    <s v="9732564306"/>
    <n v="12.6"/>
    <n v="951"/>
    <x v="7"/>
    <m/>
    <s v="2023-09-19"/>
    <s v="280604"/>
    <s v="Sabuj Mita"/>
    <s v="9932091544"/>
  </r>
  <r>
    <s v="RCF Import"/>
    <s v="Imp 10-26-26"/>
    <s v="WB"/>
    <x v="13"/>
    <s v="Egra - I"/>
    <s v="User Not Mapped"/>
    <s v="User Not Mapped"/>
    <s v="User Not Mapped"/>
    <n v="617093"/>
    <s v="BANKIM CHANDRA SAHOO"/>
    <s v="Private Retailer"/>
    <s v="8001943338"/>
    <n v="0.25"/>
    <n v="62"/>
    <x v="2"/>
    <m/>
    <s v="2026-02-24"/>
    <s v="281502"/>
    <s v="M/s. Mishra and Co."/>
    <s v="7602075590"/>
  </r>
  <r>
    <s v="RCF Trombay"/>
    <s v="N.C.Urea(45kg)"/>
    <s v="WB"/>
    <x v="13"/>
    <s v="Egra - I"/>
    <s v="User Not Mapped"/>
    <s v="User Not Mapped"/>
    <s v="User Not Mapped"/>
    <n v="621542"/>
    <s v="Prasenjit Mahapatra"/>
    <s v="Private Retailer"/>
    <s v="9547575393"/>
    <n v="0.94499999999999995"/>
    <n v="129"/>
    <x v="0"/>
    <m/>
    <s v="2025-12-19"/>
    <s v="281502"/>
    <s v="M/s. Mishra and Co."/>
    <s v="7602075590"/>
  </r>
  <r>
    <s v="RCF Thal"/>
    <s v="N.C.Urea(45kg)"/>
    <s v="WB"/>
    <x v="13"/>
    <s v="Egra - I"/>
    <s v="User Not Mapped"/>
    <s v="User Not Mapped"/>
    <s v="User Not Mapped"/>
    <n v="652977"/>
    <s v="BHARGABI SAR SARBARAHA KENDRA"/>
    <s v="Private Retailer"/>
    <s v="9800154079"/>
    <n v="4.4999999999999998E-2"/>
    <n v="600"/>
    <x v="7"/>
    <m/>
    <s v="2024-09-04"/>
    <s v="280604"/>
    <s v="Sabuj Mita"/>
    <s v="9932091544"/>
  </r>
  <r>
    <s v="RCF Import"/>
    <s v="MOP"/>
    <s v="WB"/>
    <x v="13"/>
    <s v="Egra - I"/>
    <s v="User Not Mapped"/>
    <s v="User Not Mapped"/>
    <s v="User Not Mapped"/>
    <n v="759282"/>
    <s v="KSHUDIRAM  JANA"/>
    <s v="Private Retailer"/>
    <s v="9735408420"/>
    <n v="0.1"/>
    <n v="387"/>
    <x v="6"/>
    <m/>
    <s v="2025-04-05"/>
    <s v="280604"/>
    <s v="Sabuj Mita"/>
    <s v="9932091544"/>
  </r>
  <r>
    <s v="RCF Thal"/>
    <s v="N.C.Urea(45kg)"/>
    <s v="WB"/>
    <x v="13"/>
    <s v="Egra - I"/>
    <s v="User Not Mapped"/>
    <s v="User Not Mapped"/>
    <s v="User Not Mapped"/>
    <n v="767640"/>
    <s v="Sri Uttam Kumar Pradhan"/>
    <s v="Private Retailer"/>
    <s v="9679056700"/>
    <n v="1.7549999999999999"/>
    <n v="75"/>
    <x v="2"/>
    <m/>
    <s v="2026-02-11"/>
    <s v="281502"/>
    <s v="M/s. Mishra and Co."/>
    <s v="7602075590"/>
  </r>
  <r>
    <s v="RCF Import"/>
    <s v="Imp 10-26-26"/>
    <s v="WB"/>
    <x v="13"/>
    <s v="Egra - I"/>
    <s v="User Not Mapped"/>
    <s v="User Not Mapped"/>
    <s v="User Not Mapped"/>
    <n v="767640"/>
    <s v="Sri Uttam Kumar Pradhan"/>
    <s v="Private Retailer"/>
    <s v="9679056700"/>
    <n v="3.8"/>
    <n v="62"/>
    <x v="2"/>
    <m/>
    <s v="2026-02-24"/>
    <s v="281502"/>
    <s v="M/s. Mishra and Co."/>
    <s v="7602075590"/>
  </r>
  <r>
    <s v="RCF Thal"/>
    <s v="N.C.Urea(45kg)"/>
    <s v="WB"/>
    <x v="13"/>
    <s v="Egra - I"/>
    <s v="User Not Mapped"/>
    <s v="User Not Mapped"/>
    <s v="User Not Mapped"/>
    <n v="846557"/>
    <s v="Nimai Pandit"/>
    <s v="Private Retailer"/>
    <s v="9933938616"/>
    <n v="1.0349999999999999"/>
    <n v="160"/>
    <x v="0"/>
    <m/>
    <s v="2025-11-18"/>
    <s v="280604"/>
    <s v="Sabuj Mita"/>
    <s v="9932091544"/>
  </r>
  <r>
    <s v="RCF Trombay"/>
    <s v="15-15-15"/>
    <s v="WB"/>
    <x v="13"/>
    <s v="Egra - I"/>
    <s v="User Not Mapped"/>
    <s v="User Not Mapped"/>
    <s v="User Not Mapped"/>
    <n v="953408"/>
    <s v="PRANAB PRADHAN"/>
    <s v="Private Retailer"/>
    <s v="8370924569"/>
    <n v="1.5"/>
    <n v="258"/>
    <x v="3"/>
    <m/>
    <s v="2025-08-12"/>
    <s v="280604"/>
    <s v="Sabuj Mita"/>
    <s v="9932091544"/>
  </r>
  <r>
    <s v="RCF Thal"/>
    <s v="N.C.Urea(45kg)"/>
    <s v="WB"/>
    <x v="13"/>
    <s v="Egra - I"/>
    <s v="User Not Mapped"/>
    <s v="User Not Mapped"/>
    <s v="User Not Mapped"/>
    <n v="1025992"/>
    <s v="SANJIB CHANDA"/>
    <s v="Private Retailer"/>
    <s v="9732861489"/>
    <n v="0.18"/>
    <n v="610"/>
    <x v="7"/>
    <m/>
    <s v="2024-08-25"/>
    <s v="280604"/>
    <s v="Sabuj Mita"/>
    <s v="9932091544"/>
  </r>
  <r>
    <s v="RCF Thal"/>
    <s v="N.C.Urea(45kg)"/>
    <s v="WB"/>
    <x v="13"/>
    <s v="Egra - I"/>
    <s v="User Not Mapped"/>
    <s v="User Not Mapped"/>
    <s v="User Not Mapped"/>
    <n v="1030015"/>
    <s v="CHANDAN KUMAR JANA"/>
    <s v="Private Retailer"/>
    <s v="9732534264"/>
    <n v="0.9"/>
    <n v="74"/>
    <x v="2"/>
    <m/>
    <s v="2026-02-12"/>
    <s v="280604"/>
    <s v="Sabuj Mita"/>
    <s v="9932091544"/>
  </r>
  <r>
    <s v="RCF Thal"/>
    <s v="N.C.Urea(45kg)"/>
    <s v="WB"/>
    <x v="13"/>
    <s v="Egra - I"/>
    <s v="User Not Mapped"/>
    <s v="User Not Mapped"/>
    <s v="User Not Mapped"/>
    <n v="1053881"/>
    <s v="PUTUL MISHRA"/>
    <s v="Private Retailer"/>
    <s v="9933033012"/>
    <n v="1.8"/>
    <n v="150"/>
    <x v="0"/>
    <m/>
    <s v="2025-11-28"/>
    <s v="280604"/>
    <s v="Sabuj Mita"/>
    <s v="9932091544"/>
  </r>
  <r>
    <s v="RCF Thal"/>
    <s v="N.C.Urea(45kg)"/>
    <s v="WB"/>
    <x v="13"/>
    <s v="Egra - I"/>
    <s v="User Not Mapped"/>
    <s v="User Not Mapped"/>
    <s v="User Not Mapped"/>
    <n v="1213363"/>
    <s v="krishi bhander"/>
    <s v="Private Retailer"/>
    <s v="9547755896"/>
    <n v="2.97"/>
    <n v="75"/>
    <x v="2"/>
    <m/>
    <s v="2026-02-11"/>
    <s v="281502"/>
    <s v="M/s. Mishra and Co."/>
    <s v="7602075590"/>
  </r>
  <r>
    <s v="RCF Thal"/>
    <s v="N.C.Urea(45kg)"/>
    <s v="WB"/>
    <x v="13"/>
    <s v="Egra - II"/>
    <s v="User Not Mapped"/>
    <s v="User Not Mapped"/>
    <s v="User Not Mapped"/>
    <n v="253386"/>
    <s v="Rebati Fertilizers Brindaban G"/>
    <s v="Private Retailer"/>
    <s v="8016925757"/>
    <n v="0.495"/>
    <n v="951"/>
    <x v="7"/>
    <m/>
    <s v="2023-09-19"/>
    <s v="281502"/>
    <s v="M/s. Mishra and Co."/>
    <s v="7602075590"/>
  </r>
  <r>
    <s v="RCF Thal"/>
    <s v="N.C.Urea(45kg)"/>
    <s v="WB"/>
    <x v="13"/>
    <s v="Egra - II"/>
    <s v="User Not Mapped"/>
    <s v="User Not Mapped"/>
    <s v="User Not Mapped"/>
    <n v="344116"/>
    <s v="Srichandan Das"/>
    <s v="Private Retailer"/>
    <s v="9733545528"/>
    <n v="3.0150000000000001"/>
    <n v="75"/>
    <x v="2"/>
    <m/>
    <s v="2026-02-11"/>
    <s v="281502"/>
    <s v="M/s. Mishra and Co."/>
    <s v="7602075590"/>
  </r>
  <r>
    <s v="RCF Thal"/>
    <s v="N.C.Urea(45kg)"/>
    <s v="WB"/>
    <x v="13"/>
    <s v="Egra - II"/>
    <s v="User Not Mapped"/>
    <s v="User Not Mapped"/>
    <s v="User Not Mapped"/>
    <n v="407734"/>
    <s v="Sukumar Patra"/>
    <s v="Private Retailer"/>
    <s v="7407170626"/>
    <n v="0.18"/>
    <n v="73"/>
    <x v="2"/>
    <m/>
    <s v="2026-02-13"/>
    <s v="280604"/>
    <s v="Sabuj Mita"/>
    <s v="9932091544"/>
  </r>
  <r>
    <s v="RCF Thal"/>
    <s v="N.C.Urea(45kg)"/>
    <s v="WB"/>
    <x v="13"/>
    <s v="Egra - II"/>
    <s v="User Not Mapped"/>
    <s v="User Not Mapped"/>
    <s v="User Not Mapped"/>
    <n v="652999"/>
    <s v="MAHALAKSHMI BHANDAR"/>
    <s v="Private Retailer"/>
    <s v="9093701719"/>
    <n v="0.27"/>
    <n v="73"/>
    <x v="2"/>
    <m/>
    <s v="2026-02-13"/>
    <s v="280604"/>
    <s v="Sabuj Mita"/>
    <s v="9932091544"/>
  </r>
  <r>
    <s v="RCF Thal"/>
    <s v="N.C.Urea(45kg)"/>
    <s v="WB"/>
    <x v="13"/>
    <s v="Khejuri - II"/>
    <s v="User Not Mapped"/>
    <s v="User Not Mapped"/>
    <s v="User Not Mapped"/>
    <n v="328586"/>
    <s v="Susanta Kumar Giri"/>
    <s v="Private Retailer"/>
    <s v="9732921329"/>
    <n v="1.0249999999999999"/>
    <n v="167"/>
    <x v="0"/>
    <m/>
    <s v="2025-11-11"/>
    <s v="281502"/>
    <s v="M/s. Mishra and Co."/>
    <s v="7602075590"/>
  </r>
  <r>
    <s v="RCF Thal"/>
    <s v="N.C.Urea(45kg)"/>
    <s v="WB"/>
    <x v="13"/>
    <s v="Khejuri - II"/>
    <s v="User Not Mapped"/>
    <s v="User Not Mapped"/>
    <s v="User Not Mapped"/>
    <n v="603176"/>
    <s v="Madhumita Jana"/>
    <s v="Private Retailer"/>
    <s v="9749738649"/>
    <n v="0.09"/>
    <n v="1864"/>
    <x v="7"/>
    <m/>
    <s v="2021-03-20"/>
    <s v="586666"/>
    <s v="MANI SANKAR SAU"/>
    <s v="9732974217"/>
  </r>
  <r>
    <s v="RCF Trombay"/>
    <s v="15-15-15"/>
    <s v="WB"/>
    <x v="13"/>
    <s v="Khejuri - II"/>
    <s v="User Not Mapped"/>
    <s v="User Not Mapped"/>
    <s v="User Not Mapped"/>
    <n v="909600"/>
    <s v="ASHOK KUMAR DOLAI"/>
    <s v="Private Retailer"/>
    <s v="8317853890"/>
    <n v="0.4"/>
    <n v="2485"/>
    <x v="7"/>
    <m/>
    <s v="2019-07-08"/>
    <s v="501379"/>
    <s v="SANGITA ENTERPRISE"/>
    <s v="9932977059"/>
  </r>
  <r>
    <s v="RCF Thal"/>
    <s v="N.C.Urea(45kg)"/>
    <s v="WB"/>
    <x v="13"/>
    <s v="Nandigram - II"/>
    <s v="User Not Mapped"/>
    <s v="User Not Mapped"/>
    <s v="User Not Mapped"/>
    <n v="875786"/>
    <s v="SUSANTA BERA"/>
    <s v="Private Retailer"/>
    <s v="8145950322"/>
    <n v="0.81"/>
    <n v="174"/>
    <x v="0"/>
    <m/>
    <s v="2025-11-04"/>
    <s v="281502"/>
    <s v="M/s. Mishra and Co."/>
    <s v="7602075590"/>
  </r>
  <r>
    <s v="RCF Thal"/>
    <s v="N.C.Urea(45kg)"/>
    <s v="WB"/>
    <x v="13"/>
    <s v="Panskura"/>
    <s v="User Not Mapped"/>
    <s v="User Not Mapped"/>
    <s v="User Not Mapped"/>
    <n v="592801"/>
    <s v=" M/S AGRO FERTILISER "/>
    <s v="Private Retailer"/>
    <s v="9933931871"/>
    <n v="4.41"/>
    <n v="254"/>
    <x v="3"/>
    <m/>
    <s v="2025-08-16"/>
    <s v="281502"/>
    <s v="M/s. Mishra and Co."/>
    <s v="7602075590"/>
  </r>
  <r>
    <s v="RCF Thal"/>
    <s v="N.C.Urea(45kg)"/>
    <s v="WB"/>
    <x v="13"/>
    <s v="Panskura"/>
    <s v="User Not Mapped"/>
    <s v="User Not Mapped"/>
    <s v="User Not Mapped"/>
    <n v="647772"/>
    <s v="KALIPADA JANA"/>
    <s v="Private Retailer"/>
    <s v="9932523671"/>
    <n v="6.84"/>
    <n v="244"/>
    <x v="3"/>
    <m/>
    <s v="2025-08-26"/>
    <s v="281502"/>
    <s v="M/s. Mishra and Co."/>
    <s v="7602075590"/>
  </r>
  <r>
    <s v="RCF Trombay"/>
    <s v="15-15-15"/>
    <s v="WB"/>
    <x v="13"/>
    <s v="Potashpur - II"/>
    <s v="User Not Mapped"/>
    <s v="User Not Mapped"/>
    <s v="User Not Mapped"/>
    <n v="270607"/>
    <s v="Pintu Das"/>
    <s v="Private Retailer"/>
    <s v="9564405168"/>
    <n v="0.85"/>
    <n v="129"/>
    <x v="0"/>
    <m/>
    <s v="2025-12-19"/>
    <s v="281502"/>
    <s v="M/s. Mishra and Co."/>
    <s v="7602075590"/>
  </r>
  <r>
    <s v="RCF Trombay"/>
    <s v="N.C.Urea(45kg)"/>
    <s v="WB"/>
    <x v="13"/>
    <s v="Potashpur - II"/>
    <s v="User Not Mapped"/>
    <s v="User Not Mapped"/>
    <s v="User Not Mapped"/>
    <n v="270607"/>
    <s v="Pintu Das"/>
    <s v="Private Retailer"/>
    <s v="9564405168"/>
    <n v="0.54"/>
    <n v="100"/>
    <x v="5"/>
    <m/>
    <s v="2026-01-17"/>
    <s v="281502"/>
    <s v="M/s. Mishra and Co."/>
    <s v="7602075590"/>
  </r>
  <r>
    <s v="RCF Trombay"/>
    <s v="15-15-15"/>
    <s v="WB"/>
    <x v="13"/>
    <s v="Potashpur - II"/>
    <s v="User Not Mapped"/>
    <s v="User Not Mapped"/>
    <s v="User Not Mapped"/>
    <n v="270607"/>
    <s v="Pintu Das"/>
    <s v="Private Retailer"/>
    <s v="9564405168"/>
    <n v="5.5"/>
    <n v="100"/>
    <x v="5"/>
    <m/>
    <s v="2026-01-17"/>
    <s v="281502"/>
    <s v="M/s. Mishra and Co."/>
    <s v="7602075590"/>
  </r>
  <r>
    <s v="RCF Thal"/>
    <s v="N.C.Urea(45kg)"/>
    <s v="WB"/>
    <x v="13"/>
    <s v="Potashpur - II"/>
    <s v="User Not Mapped"/>
    <s v="User Not Mapped"/>
    <s v="User Not Mapped"/>
    <n v="407502"/>
    <s v="Nabakumar Shee"/>
    <s v="Private Retailer"/>
    <s v="9733614848"/>
    <n v="0.94499999999999995"/>
    <n v="73"/>
    <x v="2"/>
    <m/>
    <s v="2026-02-13"/>
    <s v="280604"/>
    <s v="Sabuj Mita"/>
    <s v="9932091544"/>
  </r>
  <r>
    <s v="RCF Thal"/>
    <s v="N.C.Urea(45kg)"/>
    <s v="WB"/>
    <x v="13"/>
    <s v="Potashpur - II"/>
    <s v="User Not Mapped"/>
    <s v="User Not Mapped"/>
    <s v="User Not Mapped"/>
    <n v="953434"/>
    <s v="AMBIKESH SEN"/>
    <s v="Private Retailer"/>
    <s v="9609071208"/>
    <n v="2.0699999999999998"/>
    <n v="153"/>
    <x v="0"/>
    <m/>
    <s v="2025-11-25"/>
    <s v="280604"/>
    <s v="Sabuj Mita"/>
    <s v="9932091544"/>
  </r>
  <r>
    <s v="RCF Trombay"/>
    <s v="N.C.Urea(45kg)"/>
    <s v="WB"/>
    <x v="13"/>
    <s v="Potashpur - II"/>
    <s v="User Not Mapped"/>
    <s v="User Not Mapped"/>
    <s v="User Not Mapped"/>
    <n v="1629210"/>
    <s v="MS TILOTTAMA KRISHI BHANDER"/>
    <s v="Private Retailer"/>
    <s v="9732762126"/>
    <n v="3.84"/>
    <n v="90"/>
    <x v="2"/>
    <m/>
    <s v="2026-01-27"/>
    <s v="280604"/>
    <s v="Sabuj Mita"/>
    <s v="9932091544"/>
  </r>
  <r>
    <s v="RCF Thal"/>
    <s v="N.C.Urea(45kg)"/>
    <s v="WB"/>
    <x v="13"/>
    <s v="Tamluk"/>
    <s v="User Not Mapped"/>
    <s v="User Not Mapped"/>
    <s v="User Not Mapped"/>
    <n v="1094974"/>
    <s v="PULAK SAU"/>
    <s v="Private Retailer"/>
    <s v="8348576593"/>
    <n v="0.19500000000000001"/>
    <n v="166"/>
    <x v="0"/>
    <m/>
    <s v="2025-11-12"/>
    <s v="280604"/>
    <s v="Sabuj Mita"/>
    <s v="9932091544"/>
  </r>
  <r>
    <s v="RCF Trombay"/>
    <s v="N.C.Urea(45kg)"/>
    <s v="WB"/>
    <x v="13"/>
    <m/>
    <s v="User Not Mapped"/>
    <s v="User Not Mapped"/>
    <s v="User Not Mapped"/>
    <n v="270203"/>
    <s v="Kartic Das"/>
    <s v="Private Retailer"/>
    <s v="9932243897"/>
    <n v="1.8"/>
    <n v="1912"/>
    <x v="7"/>
    <m/>
    <s v="2021-01-31"/>
    <s v="280604"/>
    <s v="Sabuj Mita"/>
    <s v="9932091544"/>
  </r>
  <r>
    <s v="RCF Trombay"/>
    <s v="15-15-15"/>
    <s v="WB"/>
    <x v="13"/>
    <m/>
    <s v="User Not Mapped"/>
    <s v="User Not Mapped"/>
    <s v="User Not Mapped"/>
    <n v="270590"/>
    <s v="Nayaput Skus Ltd."/>
    <s v="PACS"/>
    <s v="8972547784"/>
    <n v="2.1999999999999999E-2"/>
    <n v="2673"/>
    <x v="7"/>
    <m/>
    <s v="2019-01-01"/>
    <s v="11"/>
    <s v="Too Old Stock"/>
    <m/>
  </r>
  <r>
    <s v="RCF Trombay"/>
    <s v="N.C.Urea(45kg)"/>
    <s v="WB"/>
    <x v="13"/>
    <m/>
    <s v="User Not Mapped"/>
    <s v="User Not Mapped"/>
    <s v="User Not Mapped"/>
    <n v="406119"/>
    <s v="Pradhan Fertilizer"/>
    <s v="Private Retailer"/>
    <s v="9647358436"/>
    <n v="1.8"/>
    <n v="1728"/>
    <x v="7"/>
    <m/>
    <s v="2021-08-03"/>
    <s v="280604"/>
    <s v="Sabuj Mita"/>
    <s v="9932091544"/>
  </r>
  <r>
    <s v="RCF Trombay"/>
    <s v="15-15-15"/>
    <s v="WB"/>
    <x v="13"/>
    <m/>
    <s v="User Not Mapped"/>
    <s v="User Not Mapped"/>
    <s v="User Not Mapped"/>
    <n v="593434"/>
    <s v="BALIARPUR SKUS LTD"/>
    <s v="PACS"/>
    <s v="9933038934"/>
    <n v="0.2"/>
    <n v="2673"/>
    <x v="7"/>
    <m/>
    <s v="2019-01-01"/>
    <s v="11"/>
    <s v="Too Old Stock"/>
    <m/>
  </r>
  <r>
    <s v="RCF Trombay"/>
    <s v="15-15-15"/>
    <s v="WB"/>
    <x v="13"/>
    <m/>
    <s v="User Not Mapped"/>
    <s v="User Not Mapped"/>
    <s v="User Not Mapped"/>
    <n v="630350"/>
    <s v="MANJU DAS"/>
    <s v="Private Retailer"/>
    <s v="9732598778"/>
    <n v="0.05"/>
    <n v="1744"/>
    <x v="7"/>
    <m/>
    <s v="2021-07-18"/>
    <s v="280604"/>
    <s v="Sabuj Mita"/>
    <s v="9932091544"/>
  </r>
  <r>
    <s v="RCF Thal"/>
    <s v="N.C.Urea(45kg)"/>
    <s v="WB"/>
    <x v="13"/>
    <m/>
    <s v="User Not Mapped"/>
    <s v="User Not Mapped"/>
    <s v="User Not Mapped"/>
    <n v="631759"/>
    <s v="MAITY FERTILIZERS"/>
    <s v="Private Retailer"/>
    <s v="9732360363"/>
    <n v="3.69"/>
    <n v="2471"/>
    <x v="7"/>
    <m/>
    <s v="2019-07-22"/>
    <s v="280604"/>
    <s v="Sabuj Mita"/>
    <s v="9932091544"/>
  </r>
  <r>
    <s v="RCF Trombay"/>
    <s v="N.C.Urea(45kg)"/>
    <s v="WB"/>
    <x v="13"/>
    <m/>
    <s v="User Not Mapped"/>
    <s v="User Not Mapped"/>
    <s v="User Not Mapped"/>
    <n v="1610396"/>
    <s v="NEW JYOTSNA ENTERPRISE"/>
    <s v="Private Retailer"/>
    <s v="9143164465"/>
    <n v="4.4999999999999998E-2"/>
    <n v="36"/>
    <x v="1"/>
    <m/>
    <s v="2026-03-22"/>
    <s v="281502"/>
    <s v="M/s. Mishra and Co."/>
    <s v="7602075590"/>
  </r>
  <r>
    <s v="RCF Thal"/>
    <s v="N.C.Urea(45kg)"/>
    <s v="WB"/>
    <x v="17"/>
    <s v="Daspur - II"/>
    <s v="User Not Mapped"/>
    <s v="User Not Mapped"/>
    <s v="User Not Mapped"/>
    <n v="922982"/>
    <s v="Vivekanand Banerjee"/>
    <s v="Private Retailer"/>
    <s v="9564449239"/>
    <n v="0.01"/>
    <n v="545"/>
    <x v="6"/>
    <m/>
    <s v="2024-10-29"/>
    <s v="1094193"/>
    <s v="ASHOK KUMAR NANDI"/>
    <s v="9749310530"/>
  </r>
  <r>
    <s v="RCF Trombay"/>
    <s v="N.C.Urea(45kg)"/>
    <s v="WB"/>
    <x v="17"/>
    <s v="Garbeta - III"/>
    <s v="User Not Mapped"/>
    <s v="User Not Mapped"/>
    <s v="User Not Mapped"/>
    <n v="328491"/>
    <s v="Sreema Krishi Bhandar"/>
    <s v="Private Retailer"/>
    <s v="9932274676"/>
    <n v="4.9950000000000001"/>
    <n v="856"/>
    <x v="7"/>
    <m/>
    <s v="2023-12-23"/>
    <s v="281708"/>
    <s v="Ramkayal Upadhyay             "/>
    <s v="9434138314"/>
  </r>
  <r>
    <s v="RCF Trombay"/>
    <s v="15-15-15"/>
    <s v="WB"/>
    <x v="17"/>
    <s v="Garbeta - III"/>
    <s v="User Not Mapped"/>
    <s v="User Not Mapped"/>
    <s v="User Not Mapped"/>
    <n v="328491"/>
    <s v="Sreema Krishi Bhandar"/>
    <s v="Private Retailer"/>
    <s v="9932274676"/>
    <n v="0.6"/>
    <n v="855"/>
    <x v="7"/>
    <m/>
    <s v="2023-12-24"/>
    <s v="281708"/>
    <s v="Ramkayal Upadhyay             "/>
    <s v="9434138314"/>
  </r>
  <r>
    <s v="RCF Thal"/>
    <s v="N.C.Urea(45kg)"/>
    <s v="WB"/>
    <x v="17"/>
    <s v="Garbeta - III"/>
    <s v="User Not Mapped"/>
    <s v="User Not Mapped"/>
    <s v="User Not Mapped"/>
    <n v="894569"/>
    <s v="RAJESH SAMANTA"/>
    <s v="Private Retailer"/>
    <s v="9932522935"/>
    <n v="1.575"/>
    <n v="1146"/>
    <x v="7"/>
    <m/>
    <s v="2023-03-08"/>
    <s v="281708"/>
    <s v="Ramkayal Upadhyay             "/>
    <s v="9434138314"/>
  </r>
  <r>
    <s v="RCF Thal"/>
    <s v="N.C.Urea(45kg)"/>
    <s v="WB"/>
    <x v="17"/>
    <s v="Garbeta - III"/>
    <s v="User Not Mapped"/>
    <s v="User Not Mapped"/>
    <s v="User Not Mapped"/>
    <n v="1147551"/>
    <s v="M/S SADHAN BISWAS"/>
    <s v="Private Retailer"/>
    <s v="9679499955"/>
    <n v="6.8849999999999998"/>
    <n v="196"/>
    <x v="3"/>
    <m/>
    <s v="2025-10-13"/>
    <s v="281717"/>
    <s v="Saktipada Roy"/>
    <s v="9932821183"/>
  </r>
  <r>
    <s v="RCF Trombay"/>
    <s v="N.C.Urea(45kg)"/>
    <s v="WB"/>
    <x v="17"/>
    <s v="Garbeta - III"/>
    <s v="User Not Mapped"/>
    <s v="User Not Mapped"/>
    <s v="User Not Mapped"/>
    <n v="1147551"/>
    <s v="M/S SADHAN BISWAS"/>
    <s v="Private Retailer"/>
    <s v="9679499955"/>
    <n v="0.85499999999999998"/>
    <n v="196"/>
    <x v="3"/>
    <m/>
    <s v="2025-10-13"/>
    <s v="281717"/>
    <s v="Saktipada Roy"/>
    <s v="9932821183"/>
  </r>
  <r>
    <s v="RCF Thal"/>
    <s v="N.C.Urea(45kg)"/>
    <s v="WB"/>
    <x v="17"/>
    <s v="Garbeta - III"/>
    <s v="User Not Mapped"/>
    <s v="User Not Mapped"/>
    <s v="User Not Mapped"/>
    <n v="1335655"/>
    <s v="BABA BASANTARAY KRISHI BHANDER"/>
    <s v="Private Retailer"/>
    <s v="9382081276"/>
    <n v="0.85499999999999998"/>
    <n v="163"/>
    <x v="0"/>
    <m/>
    <s v="2025-11-15"/>
    <s v="281719"/>
    <s v="M/s. Lalmohan De"/>
    <s v="9153622851"/>
  </r>
  <r>
    <s v="RCF Thal"/>
    <s v="N.C.Urea(45kg)"/>
    <s v="WB"/>
    <x v="17"/>
    <s v="Garbeta - III"/>
    <s v="User Not Mapped"/>
    <s v="User Not Mapped"/>
    <s v="User Not Mapped"/>
    <n v="1448254"/>
    <s v="M/S SATYA SAMANTA"/>
    <s v="Private Retailer"/>
    <s v="8016374171"/>
    <n v="1.9350000000000001"/>
    <n v="177"/>
    <x v="0"/>
    <m/>
    <s v="2025-11-01"/>
    <s v="281719"/>
    <s v="M/s. Lalmohan De"/>
    <s v="9153622851"/>
  </r>
  <r>
    <s v="RCF Thal"/>
    <s v="N.C.Urea(45kg)"/>
    <s v="WB"/>
    <x v="17"/>
    <s v="Garbeta - III"/>
    <s v="User Not Mapped"/>
    <s v="User Not Mapped"/>
    <s v="User Not Mapped"/>
    <n v="1575639"/>
    <s v="JAHARLAL KRISHI BHANDER"/>
    <s v="Private Retailer"/>
    <s v="9564234467"/>
    <n v="8.2349999999999994"/>
    <n v="175"/>
    <x v="0"/>
    <m/>
    <s v="2025-11-03"/>
    <s v="281717"/>
    <s v="Saktipada Roy"/>
    <s v="9932821183"/>
  </r>
  <r>
    <s v="RCF Thal"/>
    <s v="N.C.Urea(45kg)"/>
    <s v="WB"/>
    <x v="17"/>
    <s v="Ghatal"/>
    <s v="User Not Mapped"/>
    <s v="User Not Mapped"/>
    <s v="User Not Mapped"/>
    <n v="511030"/>
    <s v="Sunil Kumar Mondal"/>
    <s v="Private Retailer"/>
    <s v="7602075215"/>
    <n v="2.4300000000000002"/>
    <n v="76"/>
    <x v="2"/>
    <m/>
    <s v="2026-02-10"/>
    <s v="281719"/>
    <s v="M/s. Lalmohan De"/>
    <s v="9153622851"/>
  </r>
  <r>
    <s v="RCF Trombay"/>
    <s v="15-15-15"/>
    <s v="WB"/>
    <x v="17"/>
    <m/>
    <s v="User Not Mapped"/>
    <s v="User Not Mapped"/>
    <s v="User Not Mapped"/>
    <n v="328342"/>
    <s v="Mondal Krishi Bhander"/>
    <s v="Private Retailer"/>
    <s v="9434991808"/>
    <n v="0.55000000000000004"/>
    <n v="2585"/>
    <x v="7"/>
    <m/>
    <s v="2019-03-30"/>
    <s v="281708"/>
    <s v="Ramkayal Upadhyay             "/>
    <s v="9434138314"/>
  </r>
  <r>
    <s v="RCF Thal"/>
    <s v="N.C.Urea(45kg)"/>
    <s v="WB"/>
    <x v="17"/>
    <m/>
    <s v="User Not Mapped"/>
    <s v="User Not Mapped"/>
    <s v="User Not Mapped"/>
    <n v="328477"/>
    <s v="Sk Hafijul Rahaman"/>
    <s v="Private Retailer"/>
    <s v="8158925457"/>
    <n v="7.47"/>
    <n v="76"/>
    <x v="2"/>
    <m/>
    <s v="2026-02-10"/>
    <s v="281719"/>
    <s v="M/s. Lalmohan De"/>
    <s v="9153622851"/>
  </r>
  <r>
    <s v="RCF Thal"/>
    <s v="N.C.Urea(45kg)"/>
    <s v="WB"/>
    <x v="17"/>
    <m/>
    <s v="User Not Mapped"/>
    <s v="User Not Mapped"/>
    <s v="User Not Mapped"/>
    <n v="328477"/>
    <s v="Sk Hafijul Rahaman"/>
    <s v="Private Retailer"/>
    <s v="8158925457"/>
    <n v="0.72"/>
    <n v="254"/>
    <x v="3"/>
    <m/>
    <s v="2025-08-16"/>
    <s v="281719"/>
    <s v="M/s. Lalmohan De"/>
    <s v="9153622851"/>
  </r>
  <r>
    <s v="RCF Thal"/>
    <s v="N.C.Urea(45kg)"/>
    <s v="WB"/>
    <x v="14"/>
    <s v="Beldanga - I"/>
    <s v="User Not Mapped"/>
    <s v="User Not Mapped"/>
    <s v="User Not Mapped"/>
    <n v="289244"/>
    <s v="M/S Monoranjan Dey"/>
    <s v="District Cooperative Marketing Society"/>
    <s v="9733893312"/>
    <n v="2.25"/>
    <n v="213"/>
    <x v="3"/>
    <m/>
    <s v="2025-09-26"/>
    <s v="289315"/>
    <s v="M/S Monoranjan Dey"/>
    <s v="9733893312"/>
  </r>
  <r>
    <s v="RCF Thal"/>
    <s v="N.C.Urea(45kg)"/>
    <s v="WB"/>
    <x v="14"/>
    <s v="Beldanga - I"/>
    <s v="User Not Mapped"/>
    <s v="User Not Mapped"/>
    <s v="User Not Mapped"/>
    <n v="289244"/>
    <s v="M/S Monoranjan Dey"/>
    <s v="District Cooperative Marketing Society"/>
    <s v="9733893312"/>
    <n v="0.02"/>
    <n v="35"/>
    <x v="1"/>
    <m/>
    <s v="2026-03-23"/>
    <s v="289315"/>
    <s v="M/S Monoranjan Dey"/>
    <s v="9733893312"/>
  </r>
  <r>
    <s v="RCF Import"/>
    <s v="Imp 10-26-26"/>
    <s v="WB"/>
    <x v="14"/>
    <s v="Beldanga - I"/>
    <s v="User Not Mapped"/>
    <s v="User Not Mapped"/>
    <s v="User Not Mapped"/>
    <n v="289244"/>
    <s v="M/S Monoranjan Dey"/>
    <s v="District Cooperative Marketing Society"/>
    <s v="9733893312"/>
    <n v="10"/>
    <n v="80"/>
    <x v="2"/>
    <m/>
    <s v="2026-02-06"/>
    <s v="289315"/>
    <s v="M/S Monoranjan Dey"/>
    <s v="9733893312"/>
  </r>
  <r>
    <s v="RCF Trombay"/>
    <s v="15-15-15"/>
    <s v="WB"/>
    <x v="14"/>
    <s v="Beldanga - I"/>
    <s v="User Not Mapped"/>
    <s v="User Not Mapped"/>
    <s v="User Not Mapped"/>
    <n v="289244"/>
    <s v="M/S Monoranjan Dey"/>
    <s v="District Cooperative Marketing Society"/>
    <s v="9733893312"/>
    <n v="10.85"/>
    <n v="80"/>
    <x v="2"/>
    <m/>
    <s v="2026-02-06"/>
    <s v="289315"/>
    <s v="M/S Monoranjan Dey"/>
    <s v="9733893312"/>
  </r>
  <r>
    <s v="RCF Trombay"/>
    <s v="N.C.Urea(45kg)"/>
    <s v="WB"/>
    <x v="14"/>
    <s v="Beldanga - I"/>
    <s v="User Not Mapped"/>
    <s v="User Not Mapped"/>
    <s v="User Not Mapped"/>
    <n v="289244"/>
    <s v="M/S Monoranjan Dey"/>
    <s v="District Cooperative Marketing Society"/>
    <s v="9733893312"/>
    <n v="1.2949999999999999"/>
    <n v="279"/>
    <x v="3"/>
    <m/>
    <s v="2025-07-22"/>
    <s v="289315"/>
    <s v="M/S Monoranjan Dey"/>
    <s v="9733893312"/>
  </r>
  <r>
    <s v="RCF Thal"/>
    <s v="N.C.Urea(45kg)"/>
    <s v="WB"/>
    <x v="14"/>
    <s v="Beldanga - I"/>
    <s v="User Not Mapped"/>
    <s v="User Not Mapped"/>
    <s v="User Not Mapped"/>
    <n v="484223"/>
    <s v="Md.Sabir Ahmed"/>
    <s v="Private Retailer"/>
    <s v="9851022800"/>
    <n v="0.54"/>
    <n v="455"/>
    <x v="6"/>
    <m/>
    <s v="2025-01-27"/>
    <s v="280775"/>
    <s v="R A Kheria"/>
    <s v="9830290085"/>
  </r>
  <r>
    <s v="RCF Thal"/>
    <s v="N.C.Urea(45kg)"/>
    <s v="WB"/>
    <x v="14"/>
    <s v="Beldanga - I"/>
    <s v="User Not Mapped"/>
    <s v="User Not Mapped"/>
    <s v="User Not Mapped"/>
    <n v="484227"/>
    <s v="Amod Ali"/>
    <s v="Private Retailer"/>
    <s v="9933632966"/>
    <n v="0.18"/>
    <n v="452"/>
    <x v="6"/>
    <m/>
    <s v="2025-01-30"/>
    <s v="1111397"/>
    <s v="M/s. Urbara"/>
    <s v="9126512188"/>
  </r>
  <r>
    <s v="RCF Trombay"/>
    <s v="15-15-15"/>
    <s v="WB"/>
    <x v="14"/>
    <s v="Beldanga - I"/>
    <s v="User Not Mapped"/>
    <s v="User Not Mapped"/>
    <s v="User Not Mapped"/>
    <n v="495566"/>
    <s v="Ananda Kundu"/>
    <s v="Private Retailer"/>
    <s v="9735456222"/>
    <n v="0.35"/>
    <n v="2608"/>
    <x v="7"/>
    <m/>
    <s v="2019-03-07"/>
    <s v="1111397"/>
    <s v="M/s. Urbara"/>
    <s v="9126512188"/>
  </r>
  <r>
    <s v="RCF Trombay"/>
    <s v="N.C.Urea(45kg)"/>
    <s v="WB"/>
    <x v="14"/>
    <s v="Beldanga - I"/>
    <s v="User Not Mapped"/>
    <s v="User Not Mapped"/>
    <s v="User Not Mapped"/>
    <n v="551539"/>
    <s v="Bankim Bihari Dutta"/>
    <s v="Private Retailer"/>
    <s v="9153865879"/>
    <n v="0.67500000000000004"/>
    <n v="27"/>
    <x v="4"/>
    <m/>
    <s v="2026-03-31"/>
    <s v="281704"/>
    <s v="Maa Fertilizer"/>
    <s v="9800042039"/>
  </r>
  <r>
    <s v="RCF Trombay"/>
    <s v="15-15-15"/>
    <s v="WB"/>
    <x v="14"/>
    <s v="Beldanga - I"/>
    <s v="User Not Mapped"/>
    <s v="User Not Mapped"/>
    <s v="User Not Mapped"/>
    <n v="551539"/>
    <s v="Bankim Bihari Dutta"/>
    <s v="Private Retailer"/>
    <s v="9153865879"/>
    <n v="2.15"/>
    <n v="13"/>
    <x v="4"/>
    <m/>
    <s v="2026-04-14"/>
    <s v="281704"/>
    <s v="Maa Fertilizer"/>
    <s v="9800042039"/>
  </r>
  <r>
    <s v="RCF Import"/>
    <s v="Imp 10-26-26"/>
    <s v="WB"/>
    <x v="14"/>
    <s v="Beldanga - I"/>
    <s v="User Not Mapped"/>
    <s v="User Not Mapped"/>
    <s v="User Not Mapped"/>
    <n v="551539"/>
    <s v="Bankim Bihari Dutta"/>
    <s v="Private Retailer"/>
    <s v="9153865879"/>
    <n v="0.4"/>
    <n v="27"/>
    <x v="4"/>
    <m/>
    <s v="2026-03-31"/>
    <s v="281704"/>
    <s v="Maa Fertilizer"/>
    <s v="9800042039"/>
  </r>
  <r>
    <s v="RCF Thal"/>
    <s v="N.C.Urea(45kg)"/>
    <s v="WB"/>
    <x v="14"/>
    <s v="Beldanga - I"/>
    <s v="User Not Mapped"/>
    <s v="User Not Mapped"/>
    <s v="User Not Mapped"/>
    <n v="797120"/>
    <s v="ISLAM FERTILISER"/>
    <s v="Private Retailer"/>
    <s v="9933382218"/>
    <n v="7.02"/>
    <n v="48"/>
    <x v="1"/>
    <m/>
    <s v="2026-03-10"/>
    <s v="289315"/>
    <s v="M/S Monoranjan Dey"/>
    <s v="9733893312"/>
  </r>
  <r>
    <s v="RCF Trombay"/>
    <s v="N.C.Urea(45kg)"/>
    <s v="WB"/>
    <x v="14"/>
    <s v="Beldanga - I"/>
    <s v="User Not Mapped"/>
    <s v="User Not Mapped"/>
    <s v="User Not Mapped"/>
    <n v="797120"/>
    <s v="ISLAM FERTILISER"/>
    <s v="Private Retailer"/>
    <s v="9933382218"/>
    <n v="4.4999999999999998E-2"/>
    <n v="46"/>
    <x v="1"/>
    <m/>
    <s v="2026-03-12"/>
    <s v="289315"/>
    <s v="M/S Monoranjan Dey"/>
    <s v="9733893312"/>
  </r>
  <r>
    <s v="RCF Thal"/>
    <s v="N.C.Urea(45kg)"/>
    <s v="WB"/>
    <x v="14"/>
    <s v="Beldanga - I"/>
    <s v="User Not Mapped"/>
    <s v="User Not Mapped"/>
    <s v="User Not Mapped"/>
    <n v="951601"/>
    <s v="MAHADEB PAL"/>
    <s v="Private Retailer"/>
    <s v="9593175291"/>
    <n v="2.2050000000000001"/>
    <n v="272"/>
    <x v="3"/>
    <m/>
    <s v="2025-07-29"/>
    <s v="1118894"/>
    <s v="M/S KABIR BEEJ BHANDAR"/>
    <s v="9153171759"/>
  </r>
  <r>
    <s v="RCF Thal"/>
    <s v="N.C.Urea(45kg)"/>
    <s v="WB"/>
    <x v="14"/>
    <s v="Beldanga - I"/>
    <s v="User Not Mapped"/>
    <s v="User Not Mapped"/>
    <s v="User Not Mapped"/>
    <n v="1157827"/>
    <s v="M/S MENOKA FERTILIZER"/>
    <s v="Private Retailer"/>
    <s v="9733528547"/>
    <n v="9.99"/>
    <n v="116"/>
    <x v="5"/>
    <m/>
    <s v="2026-01-01"/>
    <s v="280775"/>
    <s v="R A Kheria"/>
    <s v="9830290085"/>
  </r>
  <r>
    <s v="RCF Trombay"/>
    <s v="N.C.Urea(45kg)"/>
    <s v="WB"/>
    <x v="14"/>
    <s v="Beldanga - I"/>
    <s v="User Not Mapped"/>
    <s v="User Not Mapped"/>
    <s v="User Not Mapped"/>
    <n v="1157827"/>
    <s v="M/S MENOKA FERTILIZER"/>
    <s v="Private Retailer"/>
    <s v="9733528547"/>
    <n v="4.99"/>
    <n v="238"/>
    <x v="3"/>
    <m/>
    <s v="2025-09-01"/>
    <s v="1101819"/>
    <s v="MENAKA FERTILIZER"/>
    <s v="9733528547"/>
  </r>
  <r>
    <s v="RCF Trombay"/>
    <s v="N.C.Urea(45kg)"/>
    <s v="WB"/>
    <x v="14"/>
    <s v="Beldanga - I"/>
    <s v="User Not Mapped"/>
    <s v="User Not Mapped"/>
    <s v="User Not Mapped"/>
    <n v="1157827"/>
    <s v="M/S MENOKA FERTILIZER"/>
    <s v="Private Retailer"/>
    <s v="9733528547"/>
    <n v="12.015000000000001"/>
    <n v="36"/>
    <x v="1"/>
    <m/>
    <s v="2026-03-22"/>
    <s v="223292"/>
    <s v="M/s. Gouri Sankar Mandal"/>
    <s v="7365965125"/>
  </r>
  <r>
    <s v="RCF Thal"/>
    <s v="N.C.Urea(45kg)"/>
    <s v="WB"/>
    <x v="14"/>
    <s v="Beldanga - I"/>
    <s v="User Not Mapped"/>
    <s v="User Not Mapped"/>
    <s v="User Not Mapped"/>
    <n v="1157827"/>
    <s v="M/S MENOKA FERTILIZER"/>
    <s v="Private Retailer"/>
    <s v="9733528547"/>
    <n v="11.61"/>
    <n v="119"/>
    <x v="5"/>
    <m/>
    <s v="2025-12-29"/>
    <s v="223285"/>
    <s v="M/s. Golam Kibria"/>
    <s v="8371889332"/>
  </r>
  <r>
    <s v="RCF Trombay"/>
    <s v="N.C.Urea(45kg)"/>
    <s v="WB"/>
    <x v="14"/>
    <s v="Beldanga - I"/>
    <s v="User Not Mapped"/>
    <s v="User Not Mapped"/>
    <s v="User Not Mapped"/>
    <n v="1220165"/>
    <s v="UTPAL MONDAL"/>
    <s v="Private Retailer"/>
    <s v="9735525746"/>
    <n v="9.99"/>
    <n v="84"/>
    <x v="2"/>
    <m/>
    <s v="2026-02-02"/>
    <s v="280775"/>
    <s v="R A Kheria"/>
    <s v="9830290085"/>
  </r>
  <r>
    <s v="RCF Thal"/>
    <s v="N.C.Urea(45kg)"/>
    <s v="WB"/>
    <x v="14"/>
    <s v="Beldanga - II"/>
    <s v="User Not Mapped"/>
    <s v="User Not Mapped"/>
    <s v="User Not Mapped"/>
    <n v="259693"/>
    <s v="Dutta Parmanik Enterprise"/>
    <s v="Private Retailer"/>
    <s v="9475520520"/>
    <n v="0.99"/>
    <n v="17"/>
    <x v="4"/>
    <m/>
    <s v="2026-04-10"/>
    <s v="223286"/>
    <s v="Dutta Pramanik Enterprise"/>
    <s v="9475520520"/>
  </r>
  <r>
    <s v="RCF Import"/>
    <s v="Imp 10-26-26"/>
    <s v="WB"/>
    <x v="14"/>
    <s v="Beldanga - II"/>
    <s v="User Not Mapped"/>
    <s v="User Not Mapped"/>
    <s v="User Not Mapped"/>
    <n v="943358"/>
    <s v="SARKAR FERTILIZER"/>
    <s v="Private Retailer"/>
    <s v="9153559191"/>
    <n v="1"/>
    <n v="263"/>
    <x v="3"/>
    <m/>
    <s v="2025-08-07"/>
    <s v="281704"/>
    <s v="Maa Fertilizer"/>
    <s v="9800042039"/>
  </r>
  <r>
    <s v="RCF Import"/>
    <s v="Imp 10-26-26"/>
    <s v="WB"/>
    <x v="14"/>
    <s v="Beldanga - II"/>
    <s v="User Not Mapped"/>
    <s v="User Not Mapped"/>
    <s v="User Not Mapped"/>
    <n v="943358"/>
    <s v="SARKAR FERTILIZER"/>
    <s v="Private Retailer"/>
    <s v="9153559191"/>
    <n v="1"/>
    <n v="153"/>
    <x v="0"/>
    <m/>
    <s v="2025-11-25"/>
    <s v="281704"/>
    <s v="Maa Fertilizer"/>
    <s v="9800042039"/>
  </r>
  <r>
    <s v="RCF Trombay"/>
    <s v="15-15-15"/>
    <s v="WB"/>
    <x v="14"/>
    <s v="Beldanga - II"/>
    <s v="User Not Mapped"/>
    <s v="User Not Mapped"/>
    <s v="User Not Mapped"/>
    <n v="943358"/>
    <s v="SARKAR FERTILIZER"/>
    <s v="Private Retailer"/>
    <s v="9153559191"/>
    <n v="1"/>
    <n v="153"/>
    <x v="0"/>
    <m/>
    <s v="2025-11-25"/>
    <s v="281704"/>
    <s v="Maa Fertilizer"/>
    <s v="9800042039"/>
  </r>
  <r>
    <s v="RCF Thal"/>
    <s v="N.C.Urea(45kg)"/>
    <s v="WB"/>
    <x v="14"/>
    <s v="Beldanga - II"/>
    <s v="User Not Mapped"/>
    <s v="User Not Mapped"/>
    <s v="User Not Mapped"/>
    <n v="943466"/>
    <s v="FAJIUR RAHAMAN MOLLA"/>
    <s v="Private Retailer"/>
    <s v="7407873843"/>
    <n v="0.495"/>
    <n v="45"/>
    <x v="1"/>
    <m/>
    <s v="2026-03-13"/>
    <s v="223286"/>
    <s v="Dutta Pramanik Enterprise"/>
    <s v="9475520520"/>
  </r>
  <r>
    <s v="RCF Thal"/>
    <s v="N.C.Urea(45kg)"/>
    <s v="WB"/>
    <x v="14"/>
    <s v="Beldanga - II"/>
    <s v="User Not Mapped"/>
    <s v="User Not Mapped"/>
    <s v="User Not Mapped"/>
    <n v="953464"/>
    <s v="ANISUR HOSSAIN MONDAL"/>
    <s v="Private Retailer"/>
    <s v="8926590832"/>
    <n v="0.495"/>
    <n v="864"/>
    <x v="7"/>
    <m/>
    <s v="2023-12-15"/>
    <s v="223285"/>
    <s v="M/s. Golam Kibria"/>
    <s v="8371889332"/>
  </r>
  <r>
    <s v="RCF Thal"/>
    <s v="N.C.Urea(45kg)"/>
    <s v="WB"/>
    <x v="14"/>
    <s v="Beldanga - II"/>
    <s v="User Not Mapped"/>
    <s v="User Not Mapped"/>
    <s v="User Not Mapped"/>
    <n v="1071432"/>
    <s v="NIKHIL KUMAR MONDAL"/>
    <s v="Private Retailer"/>
    <s v="7427963364"/>
    <n v="0.315"/>
    <n v="610"/>
    <x v="7"/>
    <m/>
    <s v="2024-08-25"/>
    <s v="223286"/>
    <s v="Dutta Pramanik Enterprise"/>
    <s v="9475520520"/>
  </r>
  <r>
    <s v="RCF Thal"/>
    <s v="N.C.Urea(45kg)"/>
    <s v="WB"/>
    <x v="14"/>
    <s v="Beldanga - II"/>
    <s v="User Not Mapped"/>
    <s v="User Not Mapped"/>
    <s v="User Not Mapped"/>
    <n v="1288396"/>
    <s v="SONALI MONDAL"/>
    <s v="Private Retailer"/>
    <s v="8926399586"/>
    <n v="1.08"/>
    <n v="116"/>
    <x v="5"/>
    <m/>
    <s v="2026-01-01"/>
    <s v="1111397"/>
    <s v="M/s. Urbara"/>
    <s v="9126512188"/>
  </r>
  <r>
    <s v="RCF Thal"/>
    <s v="N.C.Urea(45kg)"/>
    <s v="WB"/>
    <x v="14"/>
    <s v="Beldanga - II"/>
    <s v="User Not Mapped"/>
    <s v="User Not Mapped"/>
    <s v="User Not Mapped"/>
    <n v="1395252"/>
    <s v="ATAUR RAHAMAN"/>
    <s v="Private Retailer"/>
    <s v="7602651995"/>
    <n v="2.0699999999999998"/>
    <n v="45"/>
    <x v="1"/>
    <m/>
    <s v="2026-03-13"/>
    <s v="223286"/>
    <s v="Dutta Pramanik Enterprise"/>
    <s v="9475520520"/>
  </r>
  <r>
    <s v="RCF Thal"/>
    <s v="N.C.Urea(45kg)"/>
    <s v="WB"/>
    <x v="14"/>
    <s v="Beldanga - II"/>
    <s v="User Not Mapped"/>
    <s v="User Not Mapped"/>
    <s v="User Not Mapped"/>
    <n v="1403063"/>
    <s v="NAZERA BIBI"/>
    <s v="Private Retailer"/>
    <s v="9800848154"/>
    <n v="4.4550000000000001"/>
    <n v="48"/>
    <x v="1"/>
    <m/>
    <s v="2026-03-10"/>
    <s v="289315"/>
    <s v="M/S Monoranjan Dey"/>
    <s v="9733893312"/>
  </r>
  <r>
    <s v="RCF Import"/>
    <s v="Imp 10-26-26"/>
    <s v="WB"/>
    <x v="14"/>
    <s v="Beldanga - II"/>
    <s v="User Not Mapped"/>
    <s v="User Not Mapped"/>
    <s v="User Not Mapped"/>
    <n v="1403063"/>
    <s v="NAZERA BIBI"/>
    <s v="Private Retailer"/>
    <s v="9800848154"/>
    <n v="1.4"/>
    <n v="84"/>
    <x v="2"/>
    <m/>
    <s v="2026-02-02"/>
    <s v="289315"/>
    <s v="M/S Monoranjan Dey"/>
    <s v="9733893312"/>
  </r>
  <r>
    <s v="RCF Trombay"/>
    <s v="15-15-15"/>
    <s v="WB"/>
    <x v="14"/>
    <s v="Beldanga - II"/>
    <s v="User Not Mapped"/>
    <s v="User Not Mapped"/>
    <s v="User Not Mapped"/>
    <n v="1403063"/>
    <s v="NAZERA BIBI"/>
    <s v="Private Retailer"/>
    <s v="9800848154"/>
    <n v="4"/>
    <n v="46"/>
    <x v="1"/>
    <m/>
    <s v="2026-03-12"/>
    <s v="289315"/>
    <s v="M/S Monoranjan Dey"/>
    <s v="9733893312"/>
  </r>
  <r>
    <s v="RCF Trombay"/>
    <s v="N.C.Urea(45kg)"/>
    <s v="WB"/>
    <x v="14"/>
    <s v="Beldanga - II"/>
    <s v="User Not Mapped"/>
    <s v="User Not Mapped"/>
    <s v="User Not Mapped"/>
    <n v="1403063"/>
    <s v="NAZERA BIBI"/>
    <s v="Private Retailer"/>
    <s v="9800848154"/>
    <n v="3.06"/>
    <n v="46"/>
    <x v="1"/>
    <m/>
    <s v="2026-03-12"/>
    <s v="289315"/>
    <s v="M/S Monoranjan Dey"/>
    <s v="9733893312"/>
  </r>
  <r>
    <s v="RCF Thal"/>
    <s v="N.C.Urea(45kg)"/>
    <s v="WB"/>
    <x v="14"/>
    <s v="Beldanga - II"/>
    <s v="User Not Mapped"/>
    <s v="User Not Mapped"/>
    <s v="User Not Mapped"/>
    <n v="1470454"/>
    <s v="ABUHENA SK"/>
    <s v="Private Retailer"/>
    <s v="7001391093"/>
    <n v="7.29"/>
    <n v="46"/>
    <x v="1"/>
    <m/>
    <s v="2026-03-12"/>
    <s v="289309"/>
    <s v="Fatema Begam"/>
    <s v="9733510936"/>
  </r>
  <r>
    <s v="RCF Trombay"/>
    <s v="N.C.Urea(45kg)"/>
    <s v="WB"/>
    <x v="14"/>
    <s v="Berhampore"/>
    <s v="User Not Mapped"/>
    <s v="User Not Mapped"/>
    <s v="User Not Mapped"/>
    <n v="235572"/>
    <s v="Amanul Haque"/>
    <s v="Private Retailer"/>
    <s v="9800966746"/>
    <n v="4.4550000000000001"/>
    <n v="154"/>
    <x v="0"/>
    <m/>
    <s v="2025-11-24"/>
    <s v="280775"/>
    <s v="R A Kheria"/>
    <s v="9830290085"/>
  </r>
  <r>
    <s v="RCF Trombay"/>
    <s v="15-15-15"/>
    <s v="WB"/>
    <x v="14"/>
    <s v="Berhampore"/>
    <s v="User Not Mapped"/>
    <s v="User Not Mapped"/>
    <s v="User Not Mapped"/>
    <n v="235647"/>
    <s v="Firoj Ali"/>
    <s v="Private Retailer"/>
    <s v="9932787296"/>
    <n v="55"/>
    <n v="9"/>
    <x v="4"/>
    <m/>
    <s v="2026-04-18"/>
    <s v="269139"/>
    <s v="Firoj Ali"/>
    <s v="9932787296"/>
  </r>
  <r>
    <s v="RCF Import"/>
    <s v="Imp 10-26-26"/>
    <s v="WB"/>
    <x v="14"/>
    <s v="Berhampore"/>
    <s v="User Not Mapped"/>
    <s v="User Not Mapped"/>
    <s v="User Not Mapped"/>
    <n v="235647"/>
    <s v="Firoj Ali"/>
    <s v="Private Retailer"/>
    <s v="9932787296"/>
    <n v="20"/>
    <n v="9"/>
    <x v="4"/>
    <m/>
    <s v="2026-04-18"/>
    <s v="269139"/>
    <s v="Firoj Ali"/>
    <s v="9932787296"/>
  </r>
  <r>
    <s v="RCF Trombay"/>
    <s v="15-15-15"/>
    <s v="WB"/>
    <x v="14"/>
    <s v="Berhampore"/>
    <s v="User Not Mapped"/>
    <s v="User Not Mapped"/>
    <s v="User Not Mapped"/>
    <n v="235775"/>
    <s v="Rana Fertiliser Store"/>
    <s v="Private Retailer"/>
    <s v="8350079945"/>
    <n v="2.9"/>
    <n v="11"/>
    <x v="4"/>
    <m/>
    <s v="2026-04-16"/>
    <s v="596479"/>
    <s v="M/S RANA FERTILISERS STORES"/>
    <s v="8350079945"/>
  </r>
  <r>
    <s v="RCF Thal"/>
    <s v="N.C.Urea(45kg)"/>
    <s v="WB"/>
    <x v="14"/>
    <s v="Berhampore"/>
    <s v="User Not Mapped"/>
    <s v="User Not Mapped"/>
    <s v="User Not Mapped"/>
    <n v="235775"/>
    <s v="Rana Fertiliser Store"/>
    <s v="Private Retailer"/>
    <s v="8350079945"/>
    <n v="9.99"/>
    <n v="48"/>
    <x v="1"/>
    <m/>
    <s v="2026-03-10"/>
    <s v="223293"/>
    <s v="Bisanka Chandra Mondal And Son"/>
    <s v="9609521133"/>
  </r>
  <r>
    <s v="RCF Thal"/>
    <s v="N.C.Urea(45kg)"/>
    <s v="WB"/>
    <x v="14"/>
    <s v="Berhampore"/>
    <s v="User Not Mapped"/>
    <s v="User Not Mapped"/>
    <s v="User Not Mapped"/>
    <n v="235775"/>
    <s v="Rana Fertiliser Store"/>
    <s v="Private Retailer"/>
    <s v="8350079945"/>
    <n v="4.3650000000000002"/>
    <n v="116"/>
    <x v="5"/>
    <m/>
    <s v="2026-01-01"/>
    <s v="280775"/>
    <s v="R A Kheria"/>
    <s v="9830290085"/>
  </r>
  <r>
    <s v="RCF Thal"/>
    <s v="N.C.Urea(45kg)"/>
    <s v="WB"/>
    <x v="14"/>
    <s v="Berhampore"/>
    <s v="User Not Mapped"/>
    <s v="User Not Mapped"/>
    <s v="User Not Mapped"/>
    <n v="247443"/>
    <s v="Fakrul Molla"/>
    <s v="Private Retailer"/>
    <s v="9002421400"/>
    <n v="0.36"/>
    <n v="280"/>
    <x v="3"/>
    <m/>
    <s v="2025-07-21"/>
    <s v="281704"/>
    <s v="Maa Fertilizer"/>
    <s v="9800042039"/>
  </r>
  <r>
    <s v="RCF Import"/>
    <s v="Imp 10-26-26"/>
    <s v="WB"/>
    <x v="14"/>
    <s v="Berhampore"/>
    <s v="User Not Mapped"/>
    <s v="User Not Mapped"/>
    <s v="User Not Mapped"/>
    <n v="247443"/>
    <s v="Fakrul Molla"/>
    <s v="Private Retailer"/>
    <s v="9002421400"/>
    <n v="1.5"/>
    <n v="59"/>
    <x v="1"/>
    <m/>
    <s v="2026-02-27"/>
    <s v="281704"/>
    <s v="Maa Fertilizer"/>
    <s v="9800042039"/>
  </r>
  <r>
    <s v="RCF Trombay"/>
    <s v="N.C.Urea(45kg)"/>
    <s v="WB"/>
    <x v="14"/>
    <s v="Berhampore"/>
    <s v="User Not Mapped"/>
    <s v="User Not Mapped"/>
    <s v="User Not Mapped"/>
    <n v="247480"/>
    <s v="Narayan Chandra Mondal"/>
    <s v="Private Retailer"/>
    <s v="9800623787"/>
    <n v="9.99"/>
    <n v="44"/>
    <x v="1"/>
    <m/>
    <s v="2026-03-14"/>
    <s v="280775"/>
    <s v="R A Kheria"/>
    <s v="9830290085"/>
  </r>
  <r>
    <s v="RCF Thal"/>
    <s v="N.C.Urea(45kg)"/>
    <s v="WB"/>
    <x v="14"/>
    <s v="Berhampore"/>
    <s v="User Not Mapped"/>
    <s v="User Not Mapped"/>
    <s v="User Not Mapped"/>
    <n v="247480"/>
    <s v="Narayan Chandra Mondal"/>
    <s v="Private Retailer"/>
    <s v="9800623787"/>
    <n v="9.3149999999999995"/>
    <n v="41"/>
    <x v="1"/>
    <m/>
    <s v="2026-03-17"/>
    <s v="280775"/>
    <s v="R A Kheria"/>
    <s v="9830290085"/>
  </r>
  <r>
    <s v="RCF Trombay"/>
    <s v="15-15-15"/>
    <s v="WB"/>
    <x v="14"/>
    <s v="Berhampore"/>
    <s v="User Not Mapped"/>
    <s v="User Not Mapped"/>
    <s v="User Not Mapped"/>
    <n v="247487"/>
    <s v="Rajib Kar "/>
    <s v="Private Retailer"/>
    <s v="9434666978"/>
    <n v="0.75"/>
    <n v="14"/>
    <x v="4"/>
    <m/>
    <s v="2026-04-13"/>
    <s v="223283"/>
    <s v="B Mukherjee  And Company"/>
    <s v="7430990680"/>
  </r>
  <r>
    <s v="RCF Trombay"/>
    <s v="15-15-15"/>
    <s v="WB"/>
    <x v="14"/>
    <s v="Berhampore"/>
    <s v="User Not Mapped"/>
    <s v="User Not Mapped"/>
    <s v="User Not Mapped"/>
    <n v="247487"/>
    <s v="Rajib Kar "/>
    <s v="Private Retailer"/>
    <s v="9434666978"/>
    <n v="0.15"/>
    <n v="297"/>
    <x v="3"/>
    <m/>
    <s v="2025-07-04"/>
    <s v="223283"/>
    <s v="B Mukherjee  And Company"/>
    <s v="7430990680"/>
  </r>
  <r>
    <s v="RCF Trombay"/>
    <s v="15-15-15"/>
    <s v="WB"/>
    <x v="14"/>
    <s v="Berhampore"/>
    <s v="User Not Mapped"/>
    <s v="User Not Mapped"/>
    <s v="User Not Mapped"/>
    <n v="247487"/>
    <s v="Rajib Kar "/>
    <s v="Private Retailer"/>
    <s v="9434666978"/>
    <n v="3"/>
    <n v="18"/>
    <x v="4"/>
    <m/>
    <s v="2026-04-09"/>
    <s v="223283"/>
    <s v="B Mukherjee  And Company"/>
    <s v="7430990680"/>
  </r>
  <r>
    <s v="RCF Trombay"/>
    <s v="N.C.Urea(45kg)"/>
    <s v="WB"/>
    <x v="14"/>
    <s v="Berhampore"/>
    <s v="User Not Mapped"/>
    <s v="User Not Mapped"/>
    <s v="User Not Mapped"/>
    <n v="247492"/>
    <s v="Ratan Kr. Paul"/>
    <s v="Private Retailer"/>
    <s v="9749444347"/>
    <n v="4.7699999999999996"/>
    <n v="37"/>
    <x v="1"/>
    <m/>
    <s v="2026-03-21"/>
    <s v="978672"/>
    <s v="M/s. Abu Raihan Mondal"/>
    <s v="9733607656"/>
  </r>
  <r>
    <s v="RCF Thal"/>
    <s v="N.C.Urea(45kg)"/>
    <s v="WB"/>
    <x v="14"/>
    <s v="Berhampore"/>
    <s v="User Not Mapped"/>
    <s v="User Not Mapped"/>
    <s v="User Not Mapped"/>
    <n v="250925"/>
    <s v="A B Siddique"/>
    <s v="Private Retailer"/>
    <s v="8926049581"/>
    <n v="0.495"/>
    <n v="112"/>
    <x v="5"/>
    <m/>
    <s v="2026-01-05"/>
    <s v="223292"/>
    <s v="M/s. Gouri Sankar Mandal"/>
    <s v="7365965125"/>
  </r>
  <r>
    <s v="RCF Trombay"/>
    <s v="15-15-15"/>
    <s v="WB"/>
    <x v="14"/>
    <s v="Berhampore"/>
    <s v="User Not Mapped"/>
    <s v="User Not Mapped"/>
    <s v="User Not Mapped"/>
    <n v="268438"/>
    <s v="Akman Sk"/>
    <s v="Private Retailer"/>
    <s v="7872125945"/>
    <n v="3.5999999999999997E-2"/>
    <n v="196"/>
    <x v="3"/>
    <m/>
    <s v="2025-10-13"/>
    <s v="223285"/>
    <s v="M/s. Golam Kibria"/>
    <s v="8371889332"/>
  </r>
  <r>
    <s v="RCF Thal"/>
    <s v="N.C.Urea(45kg)"/>
    <s v="WB"/>
    <x v="14"/>
    <s v="Berhampore"/>
    <s v="User Not Mapped"/>
    <s v="User Not Mapped"/>
    <s v="User Not Mapped"/>
    <n v="268438"/>
    <s v="Akman Sk"/>
    <s v="Private Retailer"/>
    <s v="7872125945"/>
    <n v="6.0750000000000002"/>
    <n v="119"/>
    <x v="5"/>
    <m/>
    <s v="2025-12-29"/>
    <s v="223285"/>
    <s v="M/s. Golam Kibria"/>
    <s v="8371889332"/>
  </r>
  <r>
    <s v="RCF Trombay"/>
    <s v="N.C.Urea(45kg)"/>
    <s v="WB"/>
    <x v="14"/>
    <s v="Berhampore"/>
    <s v="User Not Mapped"/>
    <s v="User Not Mapped"/>
    <s v="User Not Mapped"/>
    <n v="280716"/>
    <s v="Majibur Rahaman"/>
    <s v="Private Retailer"/>
    <s v="9593416442"/>
    <n v="2.7"/>
    <n v="89"/>
    <x v="2"/>
    <m/>
    <s v="2026-01-28"/>
    <s v="281704"/>
    <s v="Maa Fertilizer"/>
    <s v="9800042039"/>
  </r>
  <r>
    <s v="RCF Import"/>
    <s v="Imp 10-26-26"/>
    <s v="WB"/>
    <x v="14"/>
    <s v="Berhampore"/>
    <s v="User Not Mapped"/>
    <s v="User Not Mapped"/>
    <s v="User Not Mapped"/>
    <n v="280716"/>
    <s v="Majibur Rahaman"/>
    <s v="Private Retailer"/>
    <s v="9593416442"/>
    <n v="3.5"/>
    <n v="62"/>
    <x v="2"/>
    <m/>
    <s v="2026-02-24"/>
    <s v="281704"/>
    <s v="Maa Fertilizer"/>
    <s v="9800042039"/>
  </r>
  <r>
    <s v="RCF Thal"/>
    <s v="N.C.Urea(45kg)"/>
    <s v="WB"/>
    <x v="14"/>
    <s v="Berhampore"/>
    <s v="User Not Mapped"/>
    <s v="User Not Mapped"/>
    <s v="User Not Mapped"/>
    <n v="280716"/>
    <s v="Majibur Rahaman"/>
    <s v="Private Retailer"/>
    <s v="9593416442"/>
    <n v="2.79"/>
    <n v="48"/>
    <x v="1"/>
    <m/>
    <s v="2026-03-10"/>
    <s v="281704"/>
    <s v="Maa Fertilizer"/>
    <s v="9800042039"/>
  </r>
  <r>
    <s v="RCF Trombay"/>
    <s v="N.C.Urea(45kg)"/>
    <s v="WB"/>
    <x v="14"/>
    <s v="Berhampore"/>
    <s v="User Not Mapped"/>
    <s v="User Not Mapped"/>
    <s v="User Not Mapped"/>
    <n v="289227"/>
    <s v="Mirkaram Mohd Sirajul Huda"/>
    <s v="Private Retailer"/>
    <s v="9734397731"/>
    <n v="2.5000000000000001E-2"/>
    <n v="1029"/>
    <x v="7"/>
    <m/>
    <s v="2023-07-03"/>
    <s v="596479"/>
    <s v="M/S RANA FERTILISERS STORES"/>
    <s v="8350079945"/>
  </r>
  <r>
    <s v="RCF Import"/>
    <s v="Imp 10-26-26"/>
    <s v="WB"/>
    <x v="14"/>
    <s v="Berhampore"/>
    <s v="User Not Mapped"/>
    <s v="User Not Mapped"/>
    <s v="User Not Mapped"/>
    <n v="289271"/>
    <s v="SAIFUL SK"/>
    <s v="Private Retailer"/>
    <s v="9475069898"/>
    <n v="0.65"/>
    <n v="131"/>
    <x v="0"/>
    <m/>
    <s v="2025-12-17"/>
    <s v="281704"/>
    <s v="Maa Fertilizer"/>
    <s v="9800042039"/>
  </r>
  <r>
    <s v="RCF Thal"/>
    <s v="N.C.Urea(45kg)"/>
    <s v="WB"/>
    <x v="14"/>
    <s v="Berhampore"/>
    <s v="User Not Mapped"/>
    <s v="User Not Mapped"/>
    <s v="User Not Mapped"/>
    <n v="289283"/>
    <s v="MANDAL SAR BHANDAR"/>
    <s v="Private Retailer"/>
    <s v="9475880508"/>
    <n v="0.22500000000000001"/>
    <n v="45"/>
    <x v="1"/>
    <m/>
    <s v="2026-03-13"/>
    <s v="223286"/>
    <s v="Dutta Pramanik Enterprise"/>
    <s v="9475520520"/>
  </r>
  <r>
    <s v="RCF Thal"/>
    <s v="N.C.Urea(45kg)"/>
    <s v="WB"/>
    <x v="14"/>
    <s v="Berhampore"/>
    <s v="User Not Mapped"/>
    <s v="User Not Mapped"/>
    <s v="User Not Mapped"/>
    <n v="341541"/>
    <s v="Jayanta Mondal"/>
    <s v="Private Retailer"/>
    <s v="9732987429"/>
    <n v="1.98"/>
    <n v="112"/>
    <x v="5"/>
    <m/>
    <s v="2026-01-05"/>
    <s v="269139"/>
    <s v="Firoj Ali"/>
    <s v="9932787296"/>
  </r>
  <r>
    <s v="RCF Thal"/>
    <s v="N.C.Urea(45kg)"/>
    <s v="WB"/>
    <x v="14"/>
    <s v="Berhampore"/>
    <s v="User Not Mapped"/>
    <s v="User Not Mapped"/>
    <s v="User Not Mapped"/>
    <n v="341934"/>
    <s v="Milan Kumar Ghosh"/>
    <s v="Private Retailer"/>
    <s v="9735050231"/>
    <n v="2.61"/>
    <n v="45"/>
    <x v="1"/>
    <m/>
    <s v="2026-03-13"/>
    <s v="281704"/>
    <s v="Maa Fertilizer"/>
    <s v="9800042039"/>
  </r>
  <r>
    <s v="RCF Trombay"/>
    <s v="N.C.Urea(45kg)"/>
    <s v="WB"/>
    <x v="14"/>
    <s v="Berhampore"/>
    <s v="User Not Mapped"/>
    <s v="User Not Mapped"/>
    <s v="User Not Mapped"/>
    <n v="342164"/>
    <s v="Sankar Mondal"/>
    <s v="Private Retailer"/>
    <s v="9932588231"/>
    <n v="7.0650000000000004"/>
    <n v="45"/>
    <x v="1"/>
    <m/>
    <s v="2026-03-13"/>
    <s v="223293"/>
    <s v="Bisanka Chandra Mondal And Son"/>
    <s v="9609521133"/>
  </r>
  <r>
    <s v="RCF Thal"/>
    <s v="N.C.Urea(45kg)"/>
    <s v="WB"/>
    <x v="14"/>
    <s v="Berhampore"/>
    <s v="User Not Mapped"/>
    <s v="User Not Mapped"/>
    <s v="User Not Mapped"/>
    <n v="342178"/>
    <s v="Rintu Hossain"/>
    <s v="Private Retailer"/>
    <s v="9002736109"/>
    <n v="1.2150000000000001"/>
    <n v="118"/>
    <x v="5"/>
    <m/>
    <s v="2025-12-30"/>
    <s v="281704"/>
    <s v="Maa Fertilizer"/>
    <s v="9800042039"/>
  </r>
  <r>
    <s v="RCF Trombay"/>
    <s v="15-15-15"/>
    <s v="WB"/>
    <x v="14"/>
    <s v="Berhampore"/>
    <s v="User Not Mapped"/>
    <s v="User Not Mapped"/>
    <s v="User Not Mapped"/>
    <n v="342178"/>
    <s v="Rintu Hossain"/>
    <s v="Private Retailer"/>
    <s v="9002736109"/>
    <n v="1.1499999999999999"/>
    <n v="153"/>
    <x v="0"/>
    <m/>
    <s v="2025-11-25"/>
    <s v="281704"/>
    <s v="Maa Fertilizer"/>
    <s v="9800042039"/>
  </r>
  <r>
    <s v="RCF Import"/>
    <s v="Imp 10-26-26"/>
    <s v="WB"/>
    <x v="14"/>
    <s v="Berhampore"/>
    <s v="User Not Mapped"/>
    <s v="User Not Mapped"/>
    <s v="User Not Mapped"/>
    <n v="417844"/>
    <s v="Debnarayan Baral"/>
    <s v="Private Retailer"/>
    <s v="9434315385"/>
    <n v="3.5"/>
    <n v="73"/>
    <x v="2"/>
    <m/>
    <s v="2026-02-13"/>
    <s v="1463904"/>
    <s v="DEB NARAYAN BARAL"/>
    <s v="7585040500"/>
  </r>
  <r>
    <s v="RCF Thal"/>
    <s v="N.C.Urea(45kg)"/>
    <s v="WB"/>
    <x v="14"/>
    <s v="Berhampore"/>
    <s v="User Not Mapped"/>
    <s v="User Not Mapped"/>
    <s v="User Not Mapped"/>
    <n v="436300"/>
    <s v="Muktipada Nandi"/>
    <s v="Private Retailer"/>
    <s v="9002843810"/>
    <n v="3.0150000000000001"/>
    <n v="49"/>
    <x v="1"/>
    <m/>
    <s v="2026-03-09"/>
    <s v="465152"/>
    <s v="Keshri Mal Jain"/>
    <s v="9932820672"/>
  </r>
  <r>
    <s v="RCF Import"/>
    <s v="Imp 10-26-26"/>
    <s v="WB"/>
    <x v="14"/>
    <s v="Berhampore"/>
    <s v="User Not Mapped"/>
    <s v="User Not Mapped"/>
    <s v="User Not Mapped"/>
    <n v="436300"/>
    <s v="Muktipada Nandi"/>
    <s v="Private Retailer"/>
    <s v="9002843810"/>
    <n v="1.75"/>
    <n v="84"/>
    <x v="2"/>
    <m/>
    <s v="2026-02-02"/>
    <s v="289315"/>
    <s v="M/S Monoranjan Dey"/>
    <s v="9733893312"/>
  </r>
  <r>
    <s v="RCF Thal"/>
    <s v="N.C.Urea(45kg)"/>
    <s v="WB"/>
    <x v="14"/>
    <s v="Berhampore"/>
    <s v="User Not Mapped"/>
    <s v="User Not Mapped"/>
    <s v="User Not Mapped"/>
    <n v="436300"/>
    <s v="Muktipada Nandi"/>
    <s v="Private Retailer"/>
    <s v="9002843810"/>
    <n v="5.625"/>
    <n v="119"/>
    <x v="5"/>
    <m/>
    <s v="2025-12-29"/>
    <s v="289315"/>
    <s v="M/S Monoranjan Dey"/>
    <s v="9733893312"/>
  </r>
  <r>
    <s v="RCF Trombay"/>
    <s v="N.C.Urea(45kg)"/>
    <s v="WB"/>
    <x v="14"/>
    <s v="Berhampore"/>
    <s v="User Not Mapped"/>
    <s v="User Not Mapped"/>
    <s v="User Not Mapped"/>
    <n v="436300"/>
    <s v="Muktipada Nandi"/>
    <s v="Private Retailer"/>
    <s v="9002843810"/>
    <n v="6.6150000000000002"/>
    <n v="45"/>
    <x v="1"/>
    <m/>
    <s v="2026-03-13"/>
    <s v="281704"/>
    <s v="Maa Fertilizer"/>
    <s v="9800042039"/>
  </r>
  <r>
    <s v="RCF Trombay"/>
    <s v="15-15-15"/>
    <s v="WB"/>
    <x v="14"/>
    <s v="Berhampore"/>
    <s v="User Not Mapped"/>
    <s v="User Not Mapped"/>
    <s v="User Not Mapped"/>
    <n v="459636"/>
    <s v="M/S Md Ali"/>
    <s v="Private Retailer"/>
    <s v="9775059364"/>
    <n v="1.9"/>
    <n v="44"/>
    <x v="1"/>
    <m/>
    <s v="2026-03-14"/>
    <s v="289315"/>
    <s v="M/S Monoranjan Dey"/>
    <s v="9733893312"/>
  </r>
  <r>
    <s v="RCF Trombay"/>
    <s v="N.C.Urea(45kg)"/>
    <s v="WB"/>
    <x v="14"/>
    <s v="Berhampore"/>
    <s v="User Not Mapped"/>
    <s v="User Not Mapped"/>
    <s v="User Not Mapped"/>
    <n v="459636"/>
    <s v="M/S Md Ali"/>
    <s v="Private Retailer"/>
    <s v="9775059364"/>
    <n v="0.99"/>
    <n v="44"/>
    <x v="1"/>
    <m/>
    <s v="2026-03-14"/>
    <s v="289315"/>
    <s v="M/S Monoranjan Dey"/>
    <s v="9733893312"/>
  </r>
  <r>
    <s v="RCF Trombay"/>
    <s v="15-15-15"/>
    <s v="WB"/>
    <x v="14"/>
    <s v="Berhampore"/>
    <s v="User Not Mapped"/>
    <s v="User Not Mapped"/>
    <s v="User Not Mapped"/>
    <n v="462054"/>
    <s v="Tanmoy Choudhury"/>
    <s v="Private Retailer"/>
    <s v="9547304050"/>
    <n v="8.5"/>
    <n v="20"/>
    <x v="4"/>
    <m/>
    <s v="2026-04-07"/>
    <s v="661791"/>
    <s v="KRISHI KALYAN"/>
    <s v="9434640551"/>
  </r>
  <r>
    <s v="RCF Thal"/>
    <s v="N.C.Urea(45kg)"/>
    <s v="WB"/>
    <x v="14"/>
    <s v="Berhampore"/>
    <s v="User Not Mapped"/>
    <s v="User Not Mapped"/>
    <s v="User Not Mapped"/>
    <n v="464434"/>
    <s v="Golam Martoj Ali"/>
    <s v="Private Retailer"/>
    <s v="9933722475"/>
    <n v="2.97"/>
    <n v="48"/>
    <x v="1"/>
    <m/>
    <s v="2026-03-10"/>
    <s v="223285"/>
    <s v="M/s. Golam Kibria"/>
    <s v="8371889332"/>
  </r>
  <r>
    <s v="RCF Import"/>
    <s v="Imp 10-26-26"/>
    <s v="WB"/>
    <x v="14"/>
    <s v="Berhampore"/>
    <s v="User Not Mapped"/>
    <s v="User Not Mapped"/>
    <s v="User Not Mapped"/>
    <n v="478229"/>
    <s v="Asgar Ali Seikh"/>
    <s v="Private Retailer"/>
    <s v="9733639100"/>
    <n v="0.55000000000000004"/>
    <n v="313"/>
    <x v="3"/>
    <m/>
    <s v="2025-06-18"/>
    <s v="223285"/>
    <s v="M/s. Golam Kibria"/>
    <s v="8371889332"/>
  </r>
  <r>
    <s v="RCF Trombay"/>
    <s v="15-15-15"/>
    <s v="WB"/>
    <x v="14"/>
    <s v="Berhampore"/>
    <s v="User Not Mapped"/>
    <s v="User Not Mapped"/>
    <s v="User Not Mapped"/>
    <n v="478935"/>
    <s v="Uma Rani Mondal"/>
    <s v="Private Retailer"/>
    <s v="9434638185"/>
    <n v="10"/>
    <n v="45"/>
    <x v="1"/>
    <m/>
    <s v="2026-03-13"/>
    <s v="223293"/>
    <s v="Bisanka Chandra Mondal And Son"/>
    <s v="9609521133"/>
  </r>
  <r>
    <s v="RCF Import"/>
    <s v="Imp 10-26-26"/>
    <s v="WB"/>
    <x v="14"/>
    <s v="Berhampore"/>
    <s v="User Not Mapped"/>
    <s v="User Not Mapped"/>
    <s v="User Not Mapped"/>
    <n v="482164"/>
    <s v="Gajendra Nath Das"/>
    <s v="Private Retailer"/>
    <s v="9733589158"/>
    <n v="0.5"/>
    <n v="14"/>
    <x v="4"/>
    <m/>
    <s v="2026-04-13"/>
    <s v="465152"/>
    <s v="Keshri Mal Jain"/>
    <s v="9932820672"/>
  </r>
  <r>
    <s v="RCF Trombay"/>
    <s v="15-15-15"/>
    <s v="WB"/>
    <x v="14"/>
    <s v="Berhampore"/>
    <s v="User Not Mapped"/>
    <s v="User Not Mapped"/>
    <s v="User Not Mapped"/>
    <n v="491689"/>
    <s v="Subuktigin"/>
    <s v="Private Retailer"/>
    <s v="9733633578"/>
    <n v="20"/>
    <n v="41"/>
    <x v="1"/>
    <m/>
    <s v="2026-03-17"/>
    <s v="596479"/>
    <s v="M/S RANA FERTILISERS STORES"/>
    <s v="8350079945"/>
  </r>
  <r>
    <s v="RCF Thal"/>
    <s v="N.C.Urea(45kg)"/>
    <s v="WB"/>
    <x v="14"/>
    <s v="Berhampore"/>
    <s v="User Not Mapped"/>
    <s v="User Not Mapped"/>
    <s v="User Not Mapped"/>
    <n v="491689"/>
    <s v="Subuktigin"/>
    <s v="Private Retailer"/>
    <s v="9733633578"/>
    <n v="7.79"/>
    <n v="116"/>
    <x v="5"/>
    <m/>
    <s v="2026-01-01"/>
    <s v="280775"/>
    <s v="R A Kheria"/>
    <s v="9830290085"/>
  </r>
  <r>
    <s v="RCF Thal"/>
    <s v="N.C.Urea(45kg)"/>
    <s v="WB"/>
    <x v="14"/>
    <s v="Berhampore"/>
    <s v="User Not Mapped"/>
    <s v="User Not Mapped"/>
    <s v="User Not Mapped"/>
    <n v="525360"/>
    <s v="Abdul Mannan Sekh"/>
    <s v="Private Retailer"/>
    <s v="9635399732"/>
    <n v="39.96"/>
    <n v="105"/>
    <x v="5"/>
    <m/>
    <s v="2026-01-12"/>
    <s v="269139"/>
    <s v="Firoj Ali"/>
    <s v="9932787296"/>
  </r>
  <r>
    <s v="RCF Thal"/>
    <s v="N.C.Urea(45kg)"/>
    <s v="WB"/>
    <x v="14"/>
    <s v="Berhampore"/>
    <s v="User Not Mapped"/>
    <s v="User Not Mapped"/>
    <s v="User Not Mapped"/>
    <n v="525360"/>
    <s v="Abdul Mannan Sekh"/>
    <s v="Private Retailer"/>
    <s v="9635399732"/>
    <n v="6.12"/>
    <n v="39"/>
    <x v="1"/>
    <m/>
    <s v="2026-03-19"/>
    <s v="223293"/>
    <s v="Bisanka Chandra Mondal And Son"/>
    <s v="9609521133"/>
  </r>
  <r>
    <s v="RCF Trombay"/>
    <s v="N.C.Urea(45kg)"/>
    <s v="WB"/>
    <x v="14"/>
    <s v="Berhampore"/>
    <s v="User Not Mapped"/>
    <s v="User Not Mapped"/>
    <s v="User Not Mapped"/>
    <n v="525360"/>
    <s v="Abdul Mannan Sekh"/>
    <s v="Private Retailer"/>
    <s v="9635399732"/>
    <n v="9.6050000000000004"/>
    <n v="131"/>
    <x v="0"/>
    <m/>
    <s v="2025-12-17"/>
    <s v="269139"/>
    <s v="Firoj Ali"/>
    <s v="9932787296"/>
  </r>
  <r>
    <s v="RCF Trombay"/>
    <s v="N.C.Urea(45kg)"/>
    <s v="WB"/>
    <x v="14"/>
    <s v="Berhampore"/>
    <s v="User Not Mapped"/>
    <s v="User Not Mapped"/>
    <s v="User Not Mapped"/>
    <n v="525360"/>
    <s v="Abdul Mannan Sekh"/>
    <s v="Private Retailer"/>
    <s v="9635399732"/>
    <n v="36.225000000000001"/>
    <n v="141"/>
    <x v="0"/>
    <m/>
    <s v="2025-12-07"/>
    <s v="223293"/>
    <s v="Bisanka Chandra Mondal And Son"/>
    <s v="9609521133"/>
  </r>
  <r>
    <s v="RCF Import"/>
    <s v="Imp 10-26-26"/>
    <s v="WB"/>
    <x v="14"/>
    <s v="Berhampore"/>
    <s v="User Not Mapped"/>
    <s v="User Not Mapped"/>
    <s v="User Not Mapped"/>
    <n v="548855"/>
    <s v="Maa Fertilizer"/>
    <s v="Private Retailer"/>
    <s v="9800042039"/>
    <n v="0.2"/>
    <n v="129"/>
    <x v="0"/>
    <m/>
    <s v="2025-12-19"/>
    <s v="281704"/>
    <s v="Maa Fertilizer"/>
    <s v="9800042039"/>
  </r>
  <r>
    <s v="RCF Import"/>
    <s v="Imp 10-26-26"/>
    <s v="WB"/>
    <x v="14"/>
    <s v="Berhampore"/>
    <s v="User Not Mapped"/>
    <s v="User Not Mapped"/>
    <s v="User Not Mapped"/>
    <n v="548855"/>
    <s v="Maa Fertilizer"/>
    <s v="Private Retailer"/>
    <s v="9800042039"/>
    <n v="3.05"/>
    <n v="188"/>
    <x v="3"/>
    <m/>
    <s v="2025-10-21"/>
    <s v="281704"/>
    <s v="Maa Fertilizer"/>
    <s v="9800042039"/>
  </r>
  <r>
    <s v="RCF Trombay"/>
    <s v="15-15-15"/>
    <s v="WB"/>
    <x v="14"/>
    <s v="Berhampore"/>
    <s v="User Not Mapped"/>
    <s v="User Not Mapped"/>
    <s v="User Not Mapped"/>
    <n v="548855"/>
    <s v="Maa Fertilizer"/>
    <s v="Private Retailer"/>
    <s v="9800042039"/>
    <n v="6"/>
    <n v="27"/>
    <x v="4"/>
    <m/>
    <s v="2026-03-31"/>
    <s v="281704"/>
    <s v="Maa Fertilizer"/>
    <s v="9800042039"/>
  </r>
  <r>
    <s v="RCF Thal"/>
    <s v="N.C.Urea(45kg)"/>
    <s v="WB"/>
    <x v="14"/>
    <s v="Berhampore"/>
    <s v="User Not Mapped"/>
    <s v="User Not Mapped"/>
    <s v="User Not Mapped"/>
    <n v="558331"/>
    <s v="M/S MAINUL ISLAM"/>
    <s v="Private Retailer"/>
    <s v="9679999888"/>
    <n v="16.829999999999998"/>
    <n v="71"/>
    <x v="2"/>
    <m/>
    <s v="2026-02-15"/>
    <s v="280775"/>
    <s v="R A Kheria"/>
    <s v="9830290085"/>
  </r>
  <r>
    <s v="RCF Trombay"/>
    <s v="N.C.Urea(45kg)"/>
    <s v="WB"/>
    <x v="14"/>
    <s v="Berhampore"/>
    <s v="User Not Mapped"/>
    <s v="User Not Mapped"/>
    <s v="User Not Mapped"/>
    <n v="558331"/>
    <s v="M/S MAINUL ISLAM"/>
    <s v="Private Retailer"/>
    <s v="9679999888"/>
    <n v="13.86"/>
    <n v="290"/>
    <x v="3"/>
    <m/>
    <s v="2025-07-11"/>
    <s v="269139"/>
    <s v="Firoj Ali"/>
    <s v="9932787296"/>
  </r>
  <r>
    <s v="RCF Thal"/>
    <s v="N.C.Urea(45kg)"/>
    <s v="WB"/>
    <x v="14"/>
    <s v="Berhampore"/>
    <s v="User Not Mapped"/>
    <s v="User Not Mapped"/>
    <s v="User Not Mapped"/>
    <n v="558331"/>
    <s v="M/S MAINUL ISLAM"/>
    <s v="Private Retailer"/>
    <s v="9679999888"/>
    <n v="27"/>
    <n v="105"/>
    <x v="5"/>
    <m/>
    <s v="2026-01-12"/>
    <s v="269139"/>
    <s v="Firoj Ali"/>
    <s v="9932787296"/>
  </r>
  <r>
    <s v="RCF Thal"/>
    <s v="N.C.Urea(45kg)"/>
    <s v="WB"/>
    <x v="14"/>
    <s v="Berhampore"/>
    <s v="User Not Mapped"/>
    <s v="User Not Mapped"/>
    <s v="User Not Mapped"/>
    <n v="619272"/>
    <s v="ABBAS SK"/>
    <s v="Private Retailer"/>
    <s v="9734335580"/>
    <n v="7.02"/>
    <n v="48"/>
    <x v="1"/>
    <m/>
    <s v="2026-03-10"/>
    <s v="223285"/>
    <s v="M/s. Golam Kibria"/>
    <s v="8371889332"/>
  </r>
  <r>
    <s v="RCF Trombay"/>
    <s v="15-15-15"/>
    <s v="WB"/>
    <x v="14"/>
    <s v="Berhampore"/>
    <s v="User Not Mapped"/>
    <s v="User Not Mapped"/>
    <s v="User Not Mapped"/>
    <n v="632328"/>
    <s v="Nirmal Kumar Banerjee"/>
    <s v="Private Retailer"/>
    <s v="8373818740"/>
    <n v="5.0000000000000001E-3"/>
    <n v="156"/>
    <x v="0"/>
    <m/>
    <s v="2025-11-22"/>
    <s v="211642"/>
    <s v="M/s. D.K.Dutta and Co."/>
    <s v="7797341354"/>
  </r>
  <r>
    <s v="RCF Trombay"/>
    <s v="N.C.Urea(45kg)"/>
    <s v="WB"/>
    <x v="14"/>
    <s v="Berhampore"/>
    <s v="User Not Mapped"/>
    <s v="User Not Mapped"/>
    <s v="User Not Mapped"/>
    <n v="632328"/>
    <s v="Nirmal Kumar Banerjee"/>
    <s v="Private Retailer"/>
    <s v="8373818740"/>
    <n v="4.4999999999999998E-2"/>
    <n v="156"/>
    <x v="0"/>
    <m/>
    <s v="2025-11-22"/>
    <s v="211642"/>
    <s v="M/s. D.K.Dutta and Co."/>
    <s v="7797341354"/>
  </r>
  <r>
    <s v="RCF Trombay"/>
    <s v="15-15-15"/>
    <s v="WB"/>
    <x v="14"/>
    <s v="Berhampore"/>
    <s v="User Not Mapped"/>
    <s v="User Not Mapped"/>
    <s v="User Not Mapped"/>
    <n v="641008"/>
    <s v="MONDAL FERTILIZER"/>
    <s v="Private Retailer"/>
    <s v="7797956501"/>
    <n v="3"/>
    <n v="45"/>
    <x v="1"/>
    <m/>
    <s v="2026-03-13"/>
    <s v="281704"/>
    <s v="Maa Fertilizer"/>
    <s v="9800042039"/>
  </r>
  <r>
    <s v="RCF Trombay"/>
    <s v="15-15-15"/>
    <s v="WB"/>
    <x v="14"/>
    <s v="Berhampore"/>
    <s v="User Not Mapped"/>
    <s v="User Not Mapped"/>
    <s v="User Not Mapped"/>
    <n v="654211"/>
    <s v="DEBENDRA NATH GHOSH"/>
    <s v="Private Retailer"/>
    <s v="9732958905"/>
    <n v="0.1"/>
    <n v="156"/>
    <x v="0"/>
    <m/>
    <s v="2025-11-22"/>
    <s v="211642"/>
    <s v="M/s. D.K.Dutta and Co."/>
    <s v="7797341354"/>
  </r>
  <r>
    <s v="RCF Trombay"/>
    <s v="N.C.Urea(45kg)"/>
    <s v="WB"/>
    <x v="14"/>
    <s v="Berhampore"/>
    <s v="User Not Mapped"/>
    <s v="User Not Mapped"/>
    <s v="User Not Mapped"/>
    <n v="654211"/>
    <s v="DEBENDRA NATH GHOSH"/>
    <s v="Private Retailer"/>
    <s v="9732958905"/>
    <n v="0.1"/>
    <n v="156"/>
    <x v="0"/>
    <m/>
    <s v="2025-11-22"/>
    <s v="211642"/>
    <s v="M/s. D.K.Dutta and Co."/>
    <s v="7797341354"/>
  </r>
  <r>
    <s v="RCF Trombay"/>
    <s v="N.C.Urea(45kg)"/>
    <s v="WB"/>
    <x v="14"/>
    <s v="Berhampore"/>
    <s v="User Not Mapped"/>
    <s v="User Not Mapped"/>
    <s v="User Not Mapped"/>
    <n v="797887"/>
    <s v="SUBODH MONDAL"/>
    <s v="Private Retailer"/>
    <s v="9434355017"/>
    <n v="2.5649999999999999"/>
    <n v="82"/>
    <x v="2"/>
    <m/>
    <s v="2026-02-04"/>
    <s v="223286"/>
    <s v="Dutta Pramanik Enterprise"/>
    <s v="9475520520"/>
  </r>
  <r>
    <s v="RCF Thal"/>
    <s v="N.C.Urea(45kg)"/>
    <s v="WB"/>
    <x v="14"/>
    <s v="Berhampore"/>
    <s v="User Not Mapped"/>
    <s v="User Not Mapped"/>
    <s v="User Not Mapped"/>
    <n v="797887"/>
    <s v="SUBODH MONDAL"/>
    <s v="Private Retailer"/>
    <s v="9434355017"/>
    <n v="0.27"/>
    <n v="113"/>
    <x v="5"/>
    <m/>
    <s v="2026-01-04"/>
    <s v="1463904"/>
    <s v="DEB NARAYAN BARAL"/>
    <s v="7585040500"/>
  </r>
  <r>
    <s v="RCF Trombay"/>
    <s v="15-15-15"/>
    <s v="WB"/>
    <x v="14"/>
    <s v="Berhampore"/>
    <s v="User Not Mapped"/>
    <s v="User Not Mapped"/>
    <s v="User Not Mapped"/>
    <n v="961086"/>
    <s v="N ALAM FERTILIZER"/>
    <s v="Private Retailer"/>
    <s v="8515926009"/>
    <n v="0.24299999999999999"/>
    <n v="2015"/>
    <x v="7"/>
    <m/>
    <s v="2020-10-20"/>
    <s v="223283"/>
    <s v="B Mukherjee  And Company"/>
    <s v="7430990680"/>
  </r>
  <r>
    <s v="RCF Trombay"/>
    <s v="N.C.Urea(45kg)"/>
    <s v="WB"/>
    <x v="14"/>
    <s v="Berhampore"/>
    <s v="User Not Mapped"/>
    <s v="User Not Mapped"/>
    <s v="User Not Mapped"/>
    <n v="961086"/>
    <s v="N ALAM FERTILIZER"/>
    <s v="Private Retailer"/>
    <s v="8515926009"/>
    <n v="6.3E-2"/>
    <n v="2096"/>
    <x v="7"/>
    <m/>
    <s v="2020-07-31"/>
    <s v="223283"/>
    <s v="B Mukherjee  And Company"/>
    <s v="7430990680"/>
  </r>
  <r>
    <s v="RCF Thal"/>
    <s v="N.C.Urea(45kg)"/>
    <s v="WB"/>
    <x v="14"/>
    <s v="Berhampore"/>
    <s v="User Not Mapped"/>
    <s v="User Not Mapped"/>
    <s v="User Not Mapped"/>
    <n v="961086"/>
    <s v="N ALAM FERTILIZER"/>
    <s v="Private Retailer"/>
    <s v="8515926009"/>
    <n v="3.6999999999999998E-2"/>
    <n v="2671"/>
    <x v="7"/>
    <m/>
    <s v="2019-01-03"/>
    <s v="223283"/>
    <s v="B Mukherjee  And Company"/>
    <s v="7430990680"/>
  </r>
  <r>
    <s v="RCF Thal"/>
    <s v="N.C.Urea(45kg)"/>
    <s v="WB"/>
    <x v="14"/>
    <s v="Berhampore"/>
    <s v="User Not Mapped"/>
    <s v="User Not Mapped"/>
    <s v="User Not Mapped"/>
    <n v="1029848"/>
    <s v="M/S. ROKI FERTILIZER"/>
    <s v="Private Retailer"/>
    <s v="9734531616"/>
    <n v="3.08"/>
    <n v="262"/>
    <x v="3"/>
    <m/>
    <s v="2025-08-08"/>
    <s v="269139"/>
    <s v="Firoj Ali"/>
    <s v="9932787296"/>
  </r>
  <r>
    <s v="RCF Trombay"/>
    <s v="15-15-15"/>
    <s v="WB"/>
    <x v="14"/>
    <s v="Berhampore"/>
    <s v="User Not Mapped"/>
    <s v="User Not Mapped"/>
    <s v="User Not Mapped"/>
    <n v="1096156"/>
    <s v="KRISHI ENTERPRISE"/>
    <s v="Private Retailer"/>
    <s v="9733808266"/>
    <n v="0.5"/>
    <n v="585"/>
    <x v="7"/>
    <m/>
    <s v="2024-09-19"/>
    <s v="281704"/>
    <s v="Maa Fertilizer"/>
    <s v="9800042039"/>
  </r>
  <r>
    <s v="RCF Import"/>
    <s v="Imp 10-26-26"/>
    <s v="WB"/>
    <x v="14"/>
    <s v="Berhampore"/>
    <s v="User Not Mapped"/>
    <s v="User Not Mapped"/>
    <s v="User Not Mapped"/>
    <n v="1096156"/>
    <s v="KRISHI ENTERPRISE"/>
    <s v="Private Retailer"/>
    <s v="9733808266"/>
    <n v="0.75"/>
    <n v="331"/>
    <x v="3"/>
    <m/>
    <s v="2025-05-31"/>
    <s v="281704"/>
    <s v="Maa Fertilizer"/>
    <s v="9800042039"/>
  </r>
  <r>
    <s v="RCF Trombay"/>
    <s v="15-15-15"/>
    <s v="WB"/>
    <x v="14"/>
    <s v="Berhampore"/>
    <s v="User Not Mapped"/>
    <s v="User Not Mapped"/>
    <s v="User Not Mapped"/>
    <n v="1096156"/>
    <s v="KRISHI ENTERPRISE"/>
    <s v="Private Retailer"/>
    <s v="9733808266"/>
    <n v="0.35"/>
    <n v="616"/>
    <x v="7"/>
    <m/>
    <s v="2024-08-19"/>
    <s v="281704"/>
    <s v="Maa Fertilizer"/>
    <s v="9800042039"/>
  </r>
  <r>
    <s v="RCF Trombay"/>
    <s v="15-15-15"/>
    <s v="WB"/>
    <x v="14"/>
    <s v="Berhampore"/>
    <s v="User Not Mapped"/>
    <s v="User Not Mapped"/>
    <s v="User Not Mapped"/>
    <n v="1096156"/>
    <s v="KRISHI ENTERPRISE"/>
    <s v="Private Retailer"/>
    <s v="9733808266"/>
    <n v="0.1"/>
    <n v="839"/>
    <x v="7"/>
    <m/>
    <s v="2024-01-09"/>
    <s v="281704"/>
    <s v="Maa Fertilizer"/>
    <s v="9800042039"/>
  </r>
  <r>
    <s v="RCF Trombay"/>
    <s v="N.C.Urea(45kg)"/>
    <s v="WB"/>
    <x v="14"/>
    <s v="Berhampore"/>
    <s v="User Not Mapped"/>
    <s v="User Not Mapped"/>
    <s v="User Not Mapped"/>
    <n v="1096156"/>
    <s v="KRISHI ENTERPRISE"/>
    <s v="Private Retailer"/>
    <s v="9733808266"/>
    <n v="3.0150000000000001"/>
    <n v="335"/>
    <x v="3"/>
    <m/>
    <s v="2025-05-27"/>
    <s v="281704"/>
    <s v="Maa Fertilizer"/>
    <s v="9800042039"/>
  </r>
  <r>
    <s v="RCF Trombay"/>
    <s v="15-15-15"/>
    <s v="WB"/>
    <x v="14"/>
    <s v="Berhampore"/>
    <s v="User Not Mapped"/>
    <s v="User Not Mapped"/>
    <s v="User Not Mapped"/>
    <n v="1096156"/>
    <s v="KRISHI ENTERPRISE"/>
    <s v="Private Retailer"/>
    <s v="9733808266"/>
    <n v="1.25"/>
    <n v="331"/>
    <x v="3"/>
    <m/>
    <s v="2025-05-31"/>
    <s v="281704"/>
    <s v="Maa Fertilizer"/>
    <s v="9800042039"/>
  </r>
  <r>
    <s v="RCF Trombay"/>
    <s v="15-15-15"/>
    <s v="WB"/>
    <x v="14"/>
    <s v="Berhampore"/>
    <s v="User Not Mapped"/>
    <s v="User Not Mapped"/>
    <s v="User Not Mapped"/>
    <n v="1096156"/>
    <s v="KRISHI ENTERPRISE"/>
    <s v="Private Retailer"/>
    <s v="9733808266"/>
    <n v="1"/>
    <n v="338"/>
    <x v="3"/>
    <m/>
    <s v="2025-05-24"/>
    <s v="281704"/>
    <s v="Maa Fertilizer"/>
    <s v="9800042039"/>
  </r>
  <r>
    <s v="RCF Trombay"/>
    <s v="15-15-15"/>
    <s v="WB"/>
    <x v="14"/>
    <s v="Berhampore"/>
    <s v="User Not Mapped"/>
    <s v="User Not Mapped"/>
    <s v="User Not Mapped"/>
    <n v="1096156"/>
    <s v="KRISHI ENTERPRISE"/>
    <s v="Private Retailer"/>
    <s v="9733808266"/>
    <n v="0.5"/>
    <n v="662"/>
    <x v="7"/>
    <m/>
    <s v="2024-07-04"/>
    <s v="281704"/>
    <s v="Maa Fertilizer"/>
    <s v="9800042039"/>
  </r>
  <r>
    <s v="RCF Import"/>
    <s v="Imp 10-26-26"/>
    <s v="WB"/>
    <x v="14"/>
    <s v="Berhampore"/>
    <s v="User Not Mapped"/>
    <s v="User Not Mapped"/>
    <s v="User Not Mapped"/>
    <n v="1096156"/>
    <s v="KRISHI ENTERPRISE"/>
    <s v="Private Retailer"/>
    <s v="9733808266"/>
    <n v="0.5"/>
    <n v="338"/>
    <x v="3"/>
    <m/>
    <s v="2025-05-24"/>
    <s v="281704"/>
    <s v="Maa Fertilizer"/>
    <s v="9800042039"/>
  </r>
  <r>
    <s v="RCF Import"/>
    <s v="MOP"/>
    <s v="WB"/>
    <x v="14"/>
    <s v="Berhampore"/>
    <s v="User Not Mapped"/>
    <s v="User Not Mapped"/>
    <s v="User Not Mapped"/>
    <n v="1096156"/>
    <s v="KRISHI ENTERPRISE"/>
    <s v="Private Retailer"/>
    <s v="9733808266"/>
    <n v="0.25"/>
    <n v="377"/>
    <x v="6"/>
    <m/>
    <s v="2025-04-15"/>
    <s v="281704"/>
    <s v="Maa Fertilizer"/>
    <s v="9800042039"/>
  </r>
  <r>
    <s v="RCF Trombay"/>
    <s v="15-15-15"/>
    <s v="WB"/>
    <x v="14"/>
    <s v="Berhampore"/>
    <s v="User Not Mapped"/>
    <s v="User Not Mapped"/>
    <s v="User Not Mapped"/>
    <n v="1096156"/>
    <s v="KRISHI ENTERPRISE"/>
    <s v="Private Retailer"/>
    <s v="9733808266"/>
    <n v="0.25"/>
    <n v="377"/>
    <x v="6"/>
    <m/>
    <s v="2025-04-15"/>
    <s v="281704"/>
    <s v="Maa Fertilizer"/>
    <s v="9800042039"/>
  </r>
  <r>
    <s v="RCF Trombay"/>
    <s v="15-15-15"/>
    <s v="WB"/>
    <x v="14"/>
    <s v="Berhampore"/>
    <s v="User Not Mapped"/>
    <s v="User Not Mapped"/>
    <s v="User Not Mapped"/>
    <n v="1249196"/>
    <s v="JAMILA KHATUN"/>
    <s v="Private Retailer"/>
    <s v="9382487068"/>
    <n v="1"/>
    <n v="1104"/>
    <x v="7"/>
    <m/>
    <s v="2023-04-19"/>
    <s v="1116227"/>
    <s v="KISHAN BANDHU"/>
    <s v="9732811913"/>
  </r>
  <r>
    <s v="RCF Trombay"/>
    <s v="N.C.Urea(45kg)"/>
    <s v="WB"/>
    <x v="14"/>
    <s v="Berhampore"/>
    <s v="User Not Mapped"/>
    <s v="User Not Mapped"/>
    <s v="User Not Mapped"/>
    <n v="1249818"/>
    <s v="RENTU GHOSH"/>
    <s v="Private Retailer"/>
    <s v="8768966709"/>
    <n v="7.02"/>
    <n v="45"/>
    <x v="1"/>
    <m/>
    <s v="2026-03-13"/>
    <s v="281704"/>
    <s v="Maa Fertilizer"/>
    <s v="9800042039"/>
  </r>
  <r>
    <s v="RCF Trombay"/>
    <s v="15-15-15"/>
    <s v="WB"/>
    <x v="14"/>
    <s v="Berhampore"/>
    <s v="User Not Mapped"/>
    <s v="User Not Mapped"/>
    <s v="User Not Mapped"/>
    <n v="1249818"/>
    <s v="RENTU GHOSH"/>
    <s v="Private Retailer"/>
    <s v="8768966709"/>
    <n v="2.35"/>
    <n v="89"/>
    <x v="2"/>
    <m/>
    <s v="2026-01-28"/>
    <s v="281704"/>
    <s v="Maa Fertilizer"/>
    <s v="9800042039"/>
  </r>
  <r>
    <s v="RCF Trombay"/>
    <s v="N.C.Urea(45kg)"/>
    <s v="WB"/>
    <x v="14"/>
    <s v="Berhampore"/>
    <s v="User Not Mapped"/>
    <s v="User Not Mapped"/>
    <s v="User Not Mapped"/>
    <n v="1249818"/>
    <s v="RENTU GHOSH"/>
    <s v="Private Retailer"/>
    <s v="8768966709"/>
    <n v="0.63"/>
    <n v="89"/>
    <x v="2"/>
    <m/>
    <s v="2026-01-28"/>
    <s v="281704"/>
    <s v="Maa Fertilizer"/>
    <s v="9800042039"/>
  </r>
  <r>
    <s v="RCF Import"/>
    <s v="Imp 10-26-26"/>
    <s v="WB"/>
    <x v="14"/>
    <s v="Berhampore"/>
    <s v="User Not Mapped"/>
    <s v="User Not Mapped"/>
    <s v="User Not Mapped"/>
    <n v="1249818"/>
    <s v="RENTU GHOSH"/>
    <s v="Private Retailer"/>
    <s v="8768966709"/>
    <n v="3"/>
    <n v="12"/>
    <x v="4"/>
    <m/>
    <s v="2026-04-15"/>
    <s v="281704"/>
    <s v="Maa Fertilizer"/>
    <s v="9800042039"/>
  </r>
  <r>
    <s v="RCF Thal"/>
    <s v="N.C.Urea(45kg)"/>
    <s v="WB"/>
    <x v="14"/>
    <s v="Berhampore"/>
    <s v="User Not Mapped"/>
    <s v="User Not Mapped"/>
    <s v="User Not Mapped"/>
    <n v="1249818"/>
    <s v="RENTU GHOSH"/>
    <s v="Private Retailer"/>
    <s v="8768966709"/>
    <n v="1.71"/>
    <n v="118"/>
    <x v="5"/>
    <m/>
    <s v="2025-12-30"/>
    <s v="281704"/>
    <s v="Maa Fertilizer"/>
    <s v="9800042039"/>
  </r>
  <r>
    <s v="RCF Trombay"/>
    <s v="N.C.Urea(45kg)"/>
    <s v="WB"/>
    <x v="14"/>
    <s v="Berhampore"/>
    <s v="User Not Mapped"/>
    <s v="User Not Mapped"/>
    <s v="User Not Mapped"/>
    <n v="1286912"/>
    <s v="MUKTIMOHAN MONDAL"/>
    <s v="Private Retailer"/>
    <s v="9434254700"/>
    <n v="10.484999999999999"/>
    <n v="44"/>
    <x v="1"/>
    <m/>
    <s v="2026-03-14"/>
    <s v="280775"/>
    <s v="R A Kheria"/>
    <s v="9830290085"/>
  </r>
  <r>
    <s v="RCF Thal"/>
    <s v="N.C.Urea(45kg)"/>
    <s v="WB"/>
    <x v="14"/>
    <s v="Berhampore"/>
    <s v="User Not Mapped"/>
    <s v="User Not Mapped"/>
    <s v="User Not Mapped"/>
    <n v="1298213"/>
    <s v="RAJESH SK"/>
    <s v="Private Retailer"/>
    <s v="6297187663"/>
    <n v="0.13500000000000001"/>
    <n v="186"/>
    <x v="3"/>
    <m/>
    <s v="2025-10-23"/>
    <s v="1220453"/>
    <s v="PIARUL SEIKH"/>
    <s v="9735313600"/>
  </r>
  <r>
    <s v="RCF Trombay"/>
    <s v="N.C.Urea(45kg)"/>
    <s v="WB"/>
    <x v="14"/>
    <s v="Berhampore"/>
    <s v="User Not Mapped"/>
    <s v="User Not Mapped"/>
    <s v="User Not Mapped"/>
    <n v="1377530"/>
    <s v="PROSENJIT CHANDRA"/>
    <s v="Private Retailer"/>
    <s v="9732814323"/>
    <n v="1.0349999999999999"/>
    <n v="153"/>
    <x v="0"/>
    <m/>
    <s v="2025-11-25"/>
    <s v="1463904"/>
    <s v="DEB NARAYAN BARAL"/>
    <s v="7585040500"/>
  </r>
  <r>
    <s v="RCF Thal"/>
    <s v="N.C.Urea(45kg)"/>
    <s v="WB"/>
    <x v="14"/>
    <s v="Berhampore"/>
    <s v="User Not Mapped"/>
    <s v="User Not Mapped"/>
    <s v="User Not Mapped"/>
    <n v="1377530"/>
    <s v="PROSENJIT CHANDRA"/>
    <s v="Private Retailer"/>
    <s v="9732814323"/>
    <n v="0.63"/>
    <n v="113"/>
    <x v="5"/>
    <m/>
    <s v="2026-01-04"/>
    <s v="1463904"/>
    <s v="DEB NARAYAN BARAL"/>
    <s v="7585040500"/>
  </r>
  <r>
    <s v="RCF Trombay"/>
    <s v="15-15-15"/>
    <s v="WB"/>
    <x v="14"/>
    <s v="Berhampore"/>
    <s v="User Not Mapped"/>
    <s v="User Not Mapped"/>
    <s v="User Not Mapped"/>
    <n v="1463826"/>
    <s v="NURSHIA KHATUN"/>
    <s v="Private Retailer"/>
    <s v="9734644102"/>
    <n v="0.6"/>
    <n v="89"/>
    <x v="2"/>
    <m/>
    <s v="2026-01-28"/>
    <s v="281704"/>
    <s v="Maa Fertilizer"/>
    <s v="9800042039"/>
  </r>
  <r>
    <s v="RCF Trombay"/>
    <s v="15-15-15"/>
    <s v="WB"/>
    <x v="14"/>
    <s v="Berhampore"/>
    <s v="User Not Mapped"/>
    <s v="User Not Mapped"/>
    <s v="User Not Mapped"/>
    <n v="1581034"/>
    <s v="S M GOLAM AJAD"/>
    <s v="Private Retailer"/>
    <s v="9614738778"/>
    <n v="1"/>
    <n v="12"/>
    <x v="4"/>
    <m/>
    <s v="2026-04-15"/>
    <s v="281704"/>
    <s v="Maa Fertilizer"/>
    <s v="9800042039"/>
  </r>
  <r>
    <s v="RCF Thal"/>
    <s v="N.C.Urea(45kg)"/>
    <s v="WB"/>
    <x v="14"/>
    <s v="Berhampore"/>
    <s v="User Not Mapped"/>
    <s v="User Not Mapped"/>
    <s v="User Not Mapped"/>
    <n v="1594919"/>
    <s v="DEY ENTERPRISE"/>
    <s v="Private Retailer"/>
    <s v="9153824305"/>
    <n v="3.0150000000000001"/>
    <n v="45"/>
    <x v="1"/>
    <m/>
    <s v="2026-03-13"/>
    <s v="223286"/>
    <s v="Dutta Pramanik Enterprise"/>
    <s v="9475520520"/>
  </r>
  <r>
    <s v="RCF Thal"/>
    <s v="N.C.Urea(45kg)"/>
    <s v="WB"/>
    <x v="14"/>
    <s v="Berhampore"/>
    <s v="User Not Mapped"/>
    <s v="User Not Mapped"/>
    <s v="User Not Mapped"/>
    <n v="1614749"/>
    <s v="BHIM MONDAL"/>
    <s v="Private Retailer"/>
    <s v="9474748981"/>
    <n v="0.36"/>
    <n v="117"/>
    <x v="5"/>
    <m/>
    <s v="2025-12-31"/>
    <s v="281687"/>
    <s v="Tapash  Kr Das"/>
    <s v="9064408878"/>
  </r>
  <r>
    <s v="RCF Import"/>
    <s v="Imp 10-26-26"/>
    <s v="WB"/>
    <x v="14"/>
    <s v="Bhagawangola - I"/>
    <s v="User Not Mapped"/>
    <s v="User Not Mapped"/>
    <s v="User Not Mapped"/>
    <n v="218842"/>
    <s v="Safikul Islam"/>
    <s v="Private Retailer"/>
    <s v="9153131785"/>
    <n v="0.1"/>
    <n v="143"/>
    <x v="0"/>
    <m/>
    <s v="2025-12-05"/>
    <s v="223292"/>
    <s v="M/s. Gouri Sankar Mandal"/>
    <s v="7365965125"/>
  </r>
  <r>
    <s v="RCF Trombay"/>
    <s v="N.C.Urea(45kg)"/>
    <s v="WB"/>
    <x v="14"/>
    <s v="Bhagawangola - I"/>
    <s v="User Not Mapped"/>
    <s v="User Not Mapped"/>
    <s v="User Not Mapped"/>
    <n v="235562"/>
    <s v="Abdus Samad"/>
    <s v="Private Retailer"/>
    <s v="9933117980"/>
    <n v="7.02"/>
    <n v="91"/>
    <x v="5"/>
    <m/>
    <s v="2026-01-26"/>
    <s v="223285"/>
    <s v="M/s. Golam Kibria"/>
    <s v="8371889332"/>
  </r>
  <r>
    <s v="RCF Thal"/>
    <s v="N.C.Urea(45kg)"/>
    <s v="WB"/>
    <x v="14"/>
    <s v="Bhagawangola - I"/>
    <s v="User Not Mapped"/>
    <s v="User Not Mapped"/>
    <s v="User Not Mapped"/>
    <n v="235562"/>
    <s v="Abdus Samad"/>
    <s v="Private Retailer"/>
    <s v="9933117980"/>
    <n v="11.07"/>
    <n v="46"/>
    <x v="1"/>
    <m/>
    <s v="2026-03-12"/>
    <s v="1320516"/>
    <s v="BIDHAN CHANDRA BISWAS"/>
    <s v="9732816547"/>
  </r>
  <r>
    <s v="RCF Trombay"/>
    <s v="15-15-15"/>
    <s v="WB"/>
    <x v="14"/>
    <s v="Bhagawangola - I"/>
    <s v="User Not Mapped"/>
    <s v="User Not Mapped"/>
    <s v="User Not Mapped"/>
    <n v="235562"/>
    <s v="Abdus Samad"/>
    <s v="Private Retailer"/>
    <s v="9933117980"/>
    <n v="10"/>
    <n v="88"/>
    <x v="2"/>
    <m/>
    <s v="2026-01-29"/>
    <s v="1320516"/>
    <s v="BIDHAN CHANDRA BISWAS"/>
    <s v="9732816547"/>
  </r>
  <r>
    <s v="RCF Trombay"/>
    <s v="N.C.Urea(45kg)"/>
    <s v="WB"/>
    <x v="14"/>
    <s v="Bhagawangola - I"/>
    <s v="User Not Mapped"/>
    <s v="User Not Mapped"/>
    <s v="User Not Mapped"/>
    <n v="235562"/>
    <s v="Abdus Samad"/>
    <s v="Private Retailer"/>
    <s v="9933117980"/>
    <n v="2.1150000000000002"/>
    <n v="88"/>
    <x v="2"/>
    <m/>
    <s v="2026-01-29"/>
    <s v="1320516"/>
    <s v="BIDHAN CHANDRA BISWAS"/>
    <s v="9732816547"/>
  </r>
  <r>
    <s v="RCF Import"/>
    <s v="Imp 10-26-26"/>
    <s v="WB"/>
    <x v="14"/>
    <s v="Bhagawangola - I"/>
    <s v="User Not Mapped"/>
    <s v="User Not Mapped"/>
    <s v="User Not Mapped"/>
    <n v="235562"/>
    <s v="Abdus Samad"/>
    <s v="Private Retailer"/>
    <s v="9933117980"/>
    <n v="10"/>
    <n v="82"/>
    <x v="2"/>
    <m/>
    <s v="2026-02-04"/>
    <s v="223285"/>
    <s v="M/s. Golam Kibria"/>
    <s v="8371889332"/>
  </r>
  <r>
    <s v="RCF Trombay"/>
    <s v="15-15-15"/>
    <s v="WB"/>
    <x v="14"/>
    <s v="Bhagawangola - I"/>
    <s v="User Not Mapped"/>
    <s v="User Not Mapped"/>
    <s v="User Not Mapped"/>
    <n v="235804"/>
    <s v="Subir Kumar Das"/>
    <s v="Private Retailer"/>
    <s v="8670478011"/>
    <n v="1.7"/>
    <n v="90"/>
    <x v="2"/>
    <m/>
    <s v="2026-01-27"/>
    <s v="289310"/>
    <s v="Gopal Fertilizer"/>
    <s v="8170003423"/>
  </r>
  <r>
    <s v="RCF Trombay"/>
    <s v="15-15-15"/>
    <s v="WB"/>
    <x v="14"/>
    <s v="Bhagawangola - I"/>
    <s v="User Not Mapped"/>
    <s v="User Not Mapped"/>
    <s v="User Not Mapped"/>
    <n v="235804"/>
    <s v="Subir Kumar Das"/>
    <s v="Private Retailer"/>
    <s v="8670478011"/>
    <n v="7"/>
    <n v="46"/>
    <x v="1"/>
    <m/>
    <s v="2026-03-12"/>
    <s v="289310"/>
    <s v="Gopal Fertilizer"/>
    <s v="8170003423"/>
  </r>
  <r>
    <s v="RCF Thal"/>
    <s v="N.C.Urea(45kg)"/>
    <s v="WB"/>
    <x v="14"/>
    <s v="Bhagawangola - I"/>
    <s v="User Not Mapped"/>
    <s v="User Not Mapped"/>
    <s v="User Not Mapped"/>
    <n v="247458"/>
    <s v="MAHATABUDDIN"/>
    <s v="Private Retailer"/>
    <s v="9153061838"/>
    <n v="7.02"/>
    <n v="48"/>
    <x v="1"/>
    <m/>
    <s v="2026-03-10"/>
    <s v="223293"/>
    <s v="Bisanka Chandra Mondal And Son"/>
    <s v="9609521133"/>
  </r>
  <r>
    <s v="RCF Trombay"/>
    <s v="15-15-15"/>
    <s v="WB"/>
    <x v="14"/>
    <s v="Bhagawangola - I"/>
    <s v="User Not Mapped"/>
    <s v="User Not Mapped"/>
    <s v="User Not Mapped"/>
    <n v="270490"/>
    <s v="Md Samsuzzoha"/>
    <s v="Private Retailer"/>
    <s v="9933642334"/>
    <n v="2.5"/>
    <n v="153"/>
    <x v="0"/>
    <m/>
    <s v="2025-11-25"/>
    <s v="281704"/>
    <s v="Maa Fertilizer"/>
    <s v="9800042039"/>
  </r>
  <r>
    <s v="RCF Thal"/>
    <s v="N.C.Urea(45kg)"/>
    <s v="WB"/>
    <x v="14"/>
    <s v="Bhagawangola - I"/>
    <s v="User Not Mapped"/>
    <s v="User Not Mapped"/>
    <s v="User Not Mapped"/>
    <n v="281533"/>
    <s v="Md Asraful Haque"/>
    <s v="Private Retailer"/>
    <s v="9932976822"/>
    <n v="1.98"/>
    <n v="47"/>
    <x v="1"/>
    <m/>
    <s v="2026-03-11"/>
    <s v="280775"/>
    <s v="R A Kheria"/>
    <s v="9830290085"/>
  </r>
  <r>
    <s v="RCF Trombay"/>
    <s v="15-15-15"/>
    <s v="WB"/>
    <x v="14"/>
    <s v="Bhagawangola - I"/>
    <s v="User Not Mapped"/>
    <s v="User Not Mapped"/>
    <s v="User Not Mapped"/>
    <n v="281533"/>
    <s v="Md Asraful Haque"/>
    <s v="Private Retailer"/>
    <s v="9932976822"/>
    <n v="2.15"/>
    <n v="88"/>
    <x v="2"/>
    <m/>
    <s v="2026-01-29"/>
    <s v="1320516"/>
    <s v="BIDHAN CHANDRA BISWAS"/>
    <s v="9732816547"/>
  </r>
  <r>
    <s v="RCF Thal"/>
    <s v="N.C.Urea(45kg)"/>
    <s v="WB"/>
    <x v="14"/>
    <s v="Bhagawangola - I"/>
    <s v="User Not Mapped"/>
    <s v="User Not Mapped"/>
    <s v="User Not Mapped"/>
    <n v="281533"/>
    <s v="Md Asraful Haque"/>
    <s v="Private Retailer"/>
    <s v="9932976822"/>
    <n v="1.665"/>
    <n v="108"/>
    <x v="5"/>
    <m/>
    <s v="2026-01-09"/>
    <s v="280775"/>
    <s v="R A Kheria"/>
    <s v="9830290085"/>
  </r>
  <r>
    <s v="RCF Trombay"/>
    <s v="15-15-15"/>
    <s v="WB"/>
    <x v="14"/>
    <s v="Bhagawangola - I"/>
    <s v="User Not Mapped"/>
    <s v="User Not Mapped"/>
    <s v="User Not Mapped"/>
    <n v="289276"/>
    <s v="Sanjiban Das "/>
    <s v="State Marketing Federation"/>
    <s v="9932808970"/>
    <n v="8"/>
    <n v="44"/>
    <x v="1"/>
    <m/>
    <s v="2026-03-14"/>
    <s v="223289"/>
    <s v="Parbati Shankar Nandi"/>
    <s v="8972180003"/>
  </r>
  <r>
    <s v="RCF Import"/>
    <s v="Imp 10-26-26"/>
    <s v="WB"/>
    <x v="14"/>
    <s v="Bhagawangola - I"/>
    <s v="User Not Mapped"/>
    <s v="User Not Mapped"/>
    <s v="User Not Mapped"/>
    <n v="289276"/>
    <s v="Sanjiban Das "/>
    <s v="State Marketing Federation"/>
    <s v="9932808970"/>
    <n v="3.15"/>
    <n v="46"/>
    <x v="1"/>
    <m/>
    <s v="2026-03-12"/>
    <s v="223293"/>
    <s v="Bisanka Chandra Mondal And Son"/>
    <s v="9609521133"/>
  </r>
  <r>
    <s v="RCF Thal"/>
    <s v="N.C.Urea(45kg)"/>
    <s v="WB"/>
    <x v="14"/>
    <s v="Bhagawangola - I"/>
    <s v="User Not Mapped"/>
    <s v="User Not Mapped"/>
    <s v="User Not Mapped"/>
    <n v="317723"/>
    <s v="Muktar Ali"/>
    <s v="Private Retailer"/>
    <s v="9800128705"/>
    <n v="6.3449999999999998"/>
    <n v="41"/>
    <x v="1"/>
    <m/>
    <s v="2026-03-17"/>
    <s v="223292"/>
    <s v="M/s. Gouri Sankar Mandal"/>
    <s v="7365965125"/>
  </r>
  <r>
    <s v="RCF Trombay"/>
    <s v="15-15-15"/>
    <s v="WB"/>
    <x v="14"/>
    <s v="Bhagawangola - I"/>
    <s v="User Not Mapped"/>
    <s v="User Not Mapped"/>
    <s v="User Not Mapped"/>
    <n v="457328"/>
    <s v="Md Samsul Haque"/>
    <s v="Private Retailer"/>
    <s v="9051621048"/>
    <n v="1.75"/>
    <n v="47"/>
    <x v="1"/>
    <m/>
    <s v="2026-03-11"/>
    <s v="465152"/>
    <s v="Keshri Mal Jain"/>
    <s v="9932820672"/>
  </r>
  <r>
    <s v="RCF Trombay"/>
    <s v="15-15-15"/>
    <s v="WB"/>
    <x v="14"/>
    <s v="Bhagawangola - I"/>
    <s v="User Not Mapped"/>
    <s v="User Not Mapped"/>
    <s v="User Not Mapped"/>
    <n v="476861"/>
    <s v="Rafiqul Islam"/>
    <s v="Private Retailer"/>
    <s v="9732438814"/>
    <n v="4"/>
    <n v="46"/>
    <x v="1"/>
    <m/>
    <s v="2026-03-12"/>
    <s v="223285"/>
    <s v="M/s. Golam Kibria"/>
    <s v="8371889332"/>
  </r>
  <r>
    <s v="RCF Thal"/>
    <s v="N.C.Urea(45kg)"/>
    <s v="WB"/>
    <x v="14"/>
    <s v="Bhagawangola - I"/>
    <s v="User Not Mapped"/>
    <s v="User Not Mapped"/>
    <s v="User Not Mapped"/>
    <n v="476863"/>
    <s v="Shekh Sadi"/>
    <s v="Private Retailer"/>
    <s v="9064648603"/>
    <n v="3.87"/>
    <n v="238"/>
    <x v="3"/>
    <m/>
    <s v="2025-09-01"/>
    <s v="223285"/>
    <s v="M/s. Golam Kibria"/>
    <s v="8371889332"/>
  </r>
  <r>
    <s v="RCF Trombay"/>
    <s v="N.C.Urea(45kg)"/>
    <s v="WB"/>
    <x v="14"/>
    <s v="Bhagawangola - I"/>
    <s v="User Not Mapped"/>
    <s v="User Not Mapped"/>
    <s v="User Not Mapped"/>
    <n v="552525"/>
    <s v="Alamin Sekh"/>
    <s v="Private Retailer"/>
    <s v="9800157720"/>
    <n v="0.81"/>
    <n v="1452"/>
    <x v="7"/>
    <m/>
    <s v="2022-05-06"/>
    <s v="269139"/>
    <s v="Firoj Ali"/>
    <s v="9932787296"/>
  </r>
  <r>
    <s v="RCF Trombay"/>
    <s v="15-15-15"/>
    <s v="WB"/>
    <x v="14"/>
    <s v="Bhagawangola - I"/>
    <s v="User Not Mapped"/>
    <s v="User Not Mapped"/>
    <s v="User Not Mapped"/>
    <n v="552525"/>
    <s v="Alamin Sekh"/>
    <s v="Private Retailer"/>
    <s v="9800157720"/>
    <n v="1"/>
    <n v="553"/>
    <x v="7"/>
    <m/>
    <s v="2024-10-21"/>
    <s v="1096940"/>
    <s v="MD.-SAMSUZZOHA"/>
    <s v="9933642334"/>
  </r>
  <r>
    <s v="RCF Thal"/>
    <s v="N.C.Urea(45kg)"/>
    <s v="WB"/>
    <x v="14"/>
    <s v="Bhagawangola - I"/>
    <s v="User Not Mapped"/>
    <s v="User Not Mapped"/>
    <s v="User Not Mapped"/>
    <n v="593923"/>
    <s v="GOUTAM KUMAR DAS"/>
    <s v="Private Retailer"/>
    <s v="8145053832"/>
    <n v="7.02"/>
    <n v="49"/>
    <x v="1"/>
    <m/>
    <s v="2026-03-09"/>
    <s v="289310"/>
    <s v="Gopal Fertilizer"/>
    <s v="8170003423"/>
  </r>
  <r>
    <s v="RCF Thal"/>
    <s v="N.C.Urea(45kg)"/>
    <s v="WB"/>
    <x v="14"/>
    <s v="Bhagawangola - I"/>
    <s v="User Not Mapped"/>
    <s v="User Not Mapped"/>
    <s v="User Not Mapped"/>
    <n v="596289"/>
    <s v="DULAB BIBI"/>
    <s v="Private Retailer"/>
    <s v="8158844686"/>
    <n v="6.5250000000000004"/>
    <n v="326"/>
    <x v="3"/>
    <m/>
    <s v="2025-06-05"/>
    <s v="223287"/>
    <s v="Arup Kumar Majumder           "/>
    <s v="9476172453"/>
  </r>
  <r>
    <s v="RCF Trombay"/>
    <s v="15-15-15"/>
    <s v="WB"/>
    <x v="14"/>
    <s v="Bhagawangola - I"/>
    <s v="User Not Mapped"/>
    <s v="User Not Mapped"/>
    <s v="User Not Mapped"/>
    <n v="596289"/>
    <s v="DULAB BIBI"/>
    <s v="Private Retailer"/>
    <s v="8158844686"/>
    <n v="3.25"/>
    <n v="326"/>
    <x v="3"/>
    <m/>
    <s v="2025-06-05"/>
    <s v="223287"/>
    <s v="Arup Kumar Majumder           "/>
    <s v="9476172453"/>
  </r>
  <r>
    <s v="RCF Trombay"/>
    <s v="N.C.Urea(45kg)"/>
    <s v="WB"/>
    <x v="14"/>
    <s v="Bhagawangola - I"/>
    <s v="User Not Mapped"/>
    <s v="User Not Mapped"/>
    <s v="User Not Mapped"/>
    <n v="610025"/>
    <s v="MD MILON BASAR"/>
    <s v="Private Retailer"/>
    <s v="9775544717"/>
    <n v="3.96"/>
    <n v="1108"/>
    <x v="7"/>
    <m/>
    <s v="2023-04-15"/>
    <s v="269139"/>
    <s v="Firoj Ali"/>
    <s v="9932787296"/>
  </r>
  <r>
    <s v="RCF Thal"/>
    <s v="N.C.Urea(45kg)"/>
    <s v="WB"/>
    <x v="14"/>
    <s v="Bhagawangola - I"/>
    <s v="User Not Mapped"/>
    <s v="User Not Mapped"/>
    <s v="User Not Mapped"/>
    <n v="945137"/>
    <s v="ABDUS SALAM "/>
    <s v="Private Retailer"/>
    <s v="9775102385"/>
    <n v="1.53"/>
    <n v="119"/>
    <x v="5"/>
    <m/>
    <s v="2025-12-29"/>
    <s v="289315"/>
    <s v="M/S Monoranjan Dey"/>
    <s v="9733893312"/>
  </r>
  <r>
    <s v="RCF Thal"/>
    <s v="N.C.Urea(45kg)"/>
    <s v="WB"/>
    <x v="14"/>
    <s v="Bhagawangola - I"/>
    <s v="User Not Mapped"/>
    <s v="User Not Mapped"/>
    <s v="User Not Mapped"/>
    <n v="949990"/>
    <s v="MD NABIUL SK"/>
    <s v="Private Retailer"/>
    <s v="9733812230"/>
    <n v="1.2150000000000001"/>
    <n v="41"/>
    <x v="1"/>
    <m/>
    <s v="2026-03-17"/>
    <s v="223292"/>
    <s v="M/s. Gouri Sankar Mandal"/>
    <s v="7365965125"/>
  </r>
  <r>
    <s v="RCF Trombay"/>
    <s v="15-15-15"/>
    <s v="WB"/>
    <x v="14"/>
    <s v="Bhagawangola - I"/>
    <s v="User Not Mapped"/>
    <s v="User Not Mapped"/>
    <s v="User Not Mapped"/>
    <n v="966188"/>
    <s v="SAHAJUDDIN SK"/>
    <s v="Private Retailer"/>
    <s v="9679390964"/>
    <n v="3"/>
    <n v="60"/>
    <x v="1"/>
    <m/>
    <s v="2026-02-26"/>
    <s v="223285"/>
    <s v="M/s. Golam Kibria"/>
    <s v="8371889332"/>
  </r>
  <r>
    <s v="RCF Trombay"/>
    <s v="N.C.Urea(45kg)"/>
    <s v="WB"/>
    <x v="14"/>
    <s v="Bhagawangola - I"/>
    <s v="User Not Mapped"/>
    <s v="User Not Mapped"/>
    <s v="User Not Mapped"/>
    <n v="995066"/>
    <s v="MD ASHIM AKRAM"/>
    <s v="Private Retailer"/>
    <s v="8972539980"/>
    <n v="6.21"/>
    <n v="131"/>
    <x v="0"/>
    <m/>
    <s v="2025-12-17"/>
    <s v="269139"/>
    <s v="Firoj Ali"/>
    <s v="9932787296"/>
  </r>
  <r>
    <s v="RCF Thal"/>
    <s v="N.C.Urea(45kg)"/>
    <s v="WB"/>
    <x v="14"/>
    <s v="Bhagawangola - I"/>
    <s v="User Not Mapped"/>
    <s v="User Not Mapped"/>
    <s v="User Not Mapped"/>
    <n v="996214"/>
    <s v="NEFAJUDDIN"/>
    <s v="Private Retailer"/>
    <s v="9800463074"/>
    <n v="2.5649999999999999"/>
    <n v="119"/>
    <x v="5"/>
    <m/>
    <s v="2025-12-29"/>
    <s v="289315"/>
    <s v="M/S Monoranjan Dey"/>
    <s v="9733893312"/>
  </r>
  <r>
    <s v="RCF Thal"/>
    <s v="N.C.Urea(45kg)"/>
    <s v="WB"/>
    <x v="14"/>
    <s v="Bhagawangola - I"/>
    <s v="User Not Mapped"/>
    <s v="User Not Mapped"/>
    <s v="User Not Mapped"/>
    <n v="1054083"/>
    <s v="UJJAL CHANDRA DAS"/>
    <s v="Private Retailer"/>
    <s v="9749175489"/>
    <n v="1.53"/>
    <n v="293"/>
    <x v="3"/>
    <m/>
    <s v="2025-07-08"/>
    <s v="289310"/>
    <s v="Gopal Fertilizer"/>
    <s v="8170003423"/>
  </r>
  <r>
    <s v="RCF Thal"/>
    <s v="N.C.Urea(45kg)"/>
    <s v="WB"/>
    <x v="14"/>
    <s v="Bhagawangola - I"/>
    <s v="User Not Mapped"/>
    <s v="User Not Mapped"/>
    <s v="User Not Mapped"/>
    <n v="1059372"/>
    <s v="JAYANTA SINGHA "/>
    <s v="Private Retailer"/>
    <s v="7908403768"/>
    <n v="2.52"/>
    <n v="47"/>
    <x v="1"/>
    <m/>
    <s v="2026-03-11"/>
    <s v="280775"/>
    <s v="R A Kheria"/>
    <s v="9830290085"/>
  </r>
  <r>
    <s v="RCF Trombay"/>
    <s v="15-15-15"/>
    <s v="WB"/>
    <x v="14"/>
    <s v="Bhagawangola - I"/>
    <s v="User Not Mapped"/>
    <s v="User Not Mapped"/>
    <s v="User Not Mapped"/>
    <n v="1059372"/>
    <s v="JAYANTA SINGHA "/>
    <s v="Private Retailer"/>
    <s v="7908403768"/>
    <n v="2.8"/>
    <n v="88"/>
    <x v="2"/>
    <m/>
    <s v="2026-01-29"/>
    <s v="1320516"/>
    <s v="BIDHAN CHANDRA BISWAS"/>
    <s v="9732816547"/>
  </r>
  <r>
    <s v="RCF Trombay"/>
    <s v="15-15-15"/>
    <s v="WB"/>
    <x v="14"/>
    <s v="Bhagawangola - I"/>
    <s v="User Not Mapped"/>
    <s v="User Not Mapped"/>
    <s v="User Not Mapped"/>
    <n v="1059796"/>
    <s v="ATIKUR RAHAMAN"/>
    <s v="Private Retailer"/>
    <s v="7074691226"/>
    <n v="0.1"/>
    <n v="2673"/>
    <x v="7"/>
    <m/>
    <s v="2019-01-01"/>
    <s v="11"/>
    <s v="Too Old Stock"/>
    <m/>
  </r>
  <r>
    <s v="RCF Thal"/>
    <s v="N.C.Urea(45kg)"/>
    <s v="WB"/>
    <x v="14"/>
    <s v="Bhagawangola - I"/>
    <s v="User Not Mapped"/>
    <s v="User Not Mapped"/>
    <s v="User Not Mapped"/>
    <n v="1072013"/>
    <s v="M/S MILAN CHANDRA DAS"/>
    <s v="Private Retailer"/>
    <s v="6297156471"/>
    <n v="5.31"/>
    <n v="32"/>
    <x v="1"/>
    <m/>
    <s v="2026-03-26"/>
    <s v="281704"/>
    <s v="Maa Fertilizer"/>
    <s v="9800042039"/>
  </r>
  <r>
    <s v="RCF Trombay"/>
    <s v="N.C.Urea(45kg)"/>
    <s v="WB"/>
    <x v="14"/>
    <s v="Bhagawangola - I"/>
    <s v="User Not Mapped"/>
    <s v="User Not Mapped"/>
    <s v="User Not Mapped"/>
    <n v="1086505"/>
    <s v="FERDOUSA BIBI"/>
    <s v="Private Retailer"/>
    <s v="8967559962"/>
    <n v="0.27"/>
    <n v="124"/>
    <x v="0"/>
    <m/>
    <s v="2025-12-24"/>
    <s v="269139"/>
    <s v="Firoj Ali"/>
    <s v="9932787296"/>
  </r>
  <r>
    <s v="RCF Thal"/>
    <s v="N.C.Urea(45kg)"/>
    <s v="WB"/>
    <x v="14"/>
    <s v="Bhagawangola - I"/>
    <s v="User Not Mapped"/>
    <s v="User Not Mapped"/>
    <s v="User Not Mapped"/>
    <n v="1499744"/>
    <s v="AMJAD HOSSAIN FERTILIZER"/>
    <s v="Private Retailer"/>
    <s v="7047477621"/>
    <n v="0.18"/>
    <n v="240"/>
    <x v="3"/>
    <m/>
    <s v="2025-08-30"/>
    <s v="289315"/>
    <s v="M/S Monoranjan Dey"/>
    <s v="9733893312"/>
  </r>
  <r>
    <s v="RCF Thal"/>
    <s v="N.C.Urea(45kg)"/>
    <s v="WB"/>
    <x v="14"/>
    <s v="Bhagawangola - I"/>
    <s v="User Not Mapped"/>
    <s v="User Not Mapped"/>
    <s v="User Not Mapped"/>
    <n v="1499744"/>
    <s v="AMJAD HOSSAIN FERTILIZER"/>
    <s v="Private Retailer"/>
    <s v="7047477621"/>
    <n v="12.015000000000001"/>
    <n v="118"/>
    <x v="5"/>
    <m/>
    <s v="2025-12-30"/>
    <s v="223293"/>
    <s v="Bisanka Chandra Mondal And Son"/>
    <s v="9609521133"/>
  </r>
  <r>
    <s v="RCF Trombay"/>
    <s v="N.C.Urea(45kg)"/>
    <s v="WB"/>
    <x v="14"/>
    <s v="Bhagawangola - I"/>
    <s v="User Not Mapped"/>
    <s v="User Not Mapped"/>
    <s v="User Not Mapped"/>
    <n v="1499744"/>
    <s v="AMJAD HOSSAIN FERTILIZER"/>
    <s v="Private Retailer"/>
    <s v="7047477621"/>
    <n v="7.47"/>
    <n v="249"/>
    <x v="3"/>
    <m/>
    <s v="2025-08-21"/>
    <s v="223293"/>
    <s v="Bisanka Chandra Mondal And Son"/>
    <s v="9609521133"/>
  </r>
  <r>
    <s v="RCF Import"/>
    <s v="Imp 10-26-26"/>
    <s v="WB"/>
    <x v="14"/>
    <s v="Bhagawangola - I"/>
    <s v="User Not Mapped"/>
    <s v="User Not Mapped"/>
    <s v="User Not Mapped"/>
    <n v="1541179"/>
    <s v="MST. JULEMA BIBI"/>
    <s v="Private Retailer"/>
    <s v="9832721993"/>
    <n v="3.5"/>
    <n v="243"/>
    <x v="3"/>
    <m/>
    <s v="2025-08-27"/>
    <s v="269139"/>
    <s v="Firoj Ali"/>
    <s v="9932787296"/>
  </r>
  <r>
    <s v="RCF Thal"/>
    <s v="N.C.Urea(45kg)"/>
    <s v="WB"/>
    <x v="14"/>
    <s v="Bhagawangola - I"/>
    <s v="User Not Mapped"/>
    <s v="User Not Mapped"/>
    <s v="User Not Mapped"/>
    <n v="1614729"/>
    <s v="M/S SIDDHARTHA FERTILIZER"/>
    <s v="Private Retailer"/>
    <s v="9735115763"/>
    <n v="7.02"/>
    <n v="100"/>
    <x v="5"/>
    <m/>
    <s v="2026-01-17"/>
    <s v="223293"/>
    <s v="Bisanka Chandra Mondal And Son"/>
    <s v="9609521133"/>
  </r>
  <r>
    <s v="RCF Trombay"/>
    <s v="N.C.Urea(45kg)"/>
    <s v="WB"/>
    <x v="14"/>
    <s v="Bhagawangola - II"/>
    <s v="User Not Mapped"/>
    <s v="User Not Mapped"/>
    <s v="User Not Mapped"/>
    <n v="247484"/>
    <s v="Rabiul Haque"/>
    <s v="Private Retailer"/>
    <s v="8926510164"/>
    <n v="0.9"/>
    <n v="44"/>
    <x v="1"/>
    <m/>
    <s v="2026-03-14"/>
    <s v="223279"/>
    <s v="Sudhir Ranjan Chakraborty"/>
    <s v="9434364324"/>
  </r>
  <r>
    <s v="RCF Trombay"/>
    <s v="N.C.Urea(45kg)"/>
    <s v="WB"/>
    <x v="14"/>
    <s v="Bhagawangola - II"/>
    <s v="User Not Mapped"/>
    <s v="User Not Mapped"/>
    <s v="User Not Mapped"/>
    <n v="247484"/>
    <s v="Rabiul Haque"/>
    <s v="Private Retailer"/>
    <s v="8926510164"/>
    <n v="6.165"/>
    <n v="130"/>
    <x v="0"/>
    <m/>
    <s v="2025-12-18"/>
    <s v="1098131"/>
    <s v="RABIUL-HOQUE"/>
    <s v="7477374559"/>
  </r>
  <r>
    <s v="RCF Thal"/>
    <s v="N.C.Urea(45kg)"/>
    <s v="WB"/>
    <x v="14"/>
    <s v="Bhagawangola - II"/>
    <s v="User Not Mapped"/>
    <s v="User Not Mapped"/>
    <s v="User Not Mapped"/>
    <n v="247484"/>
    <s v="Rabiul Haque"/>
    <s v="Private Retailer"/>
    <s v="8926510164"/>
    <n v="7.02"/>
    <n v="47"/>
    <x v="1"/>
    <m/>
    <s v="2026-03-11"/>
    <s v="280775"/>
    <s v="R A Kheria"/>
    <s v="9830290085"/>
  </r>
  <r>
    <s v="RCF Thal"/>
    <s v="N.C.Urea(45kg)"/>
    <s v="WB"/>
    <x v="14"/>
    <s v="Bhagawangola - II"/>
    <s v="User Not Mapped"/>
    <s v="User Not Mapped"/>
    <s v="User Not Mapped"/>
    <n v="247484"/>
    <s v="Rabiul Haque"/>
    <s v="Private Retailer"/>
    <s v="8926510164"/>
    <n v="7.02"/>
    <n v="39"/>
    <x v="1"/>
    <m/>
    <s v="2026-03-19"/>
    <s v="269139"/>
    <s v="Firoj Ali"/>
    <s v="9932787296"/>
  </r>
  <r>
    <s v="RCF Thal"/>
    <s v="N.C.Urea(45kg)"/>
    <s v="WB"/>
    <x v="14"/>
    <s v="Bhagawangola - II"/>
    <s v="User Not Mapped"/>
    <s v="User Not Mapped"/>
    <s v="User Not Mapped"/>
    <n v="289188"/>
    <s v="Gour Gopal Mondal"/>
    <s v="Private Retailer"/>
    <s v="7584986591"/>
    <n v="7.02"/>
    <n v="49"/>
    <x v="1"/>
    <m/>
    <s v="2026-03-09"/>
    <s v="289310"/>
    <s v="Gopal Fertilizer"/>
    <s v="8170003423"/>
  </r>
  <r>
    <s v="RCF Trombay"/>
    <s v="15-15-15"/>
    <s v="WB"/>
    <x v="14"/>
    <s v="Bhagawangola - II"/>
    <s v="User Not Mapped"/>
    <s v="User Not Mapped"/>
    <s v="User Not Mapped"/>
    <n v="341874"/>
    <s v="Md..Habibur Rahman"/>
    <s v="Private Retailer"/>
    <s v="9933398447"/>
    <n v="0.3"/>
    <n v="141"/>
    <x v="0"/>
    <m/>
    <s v="2025-12-07"/>
    <s v="223285"/>
    <s v="M/s. Golam Kibria"/>
    <s v="8371889332"/>
  </r>
  <r>
    <s v="RCF Import"/>
    <s v="Imp 10-26-26"/>
    <s v="WB"/>
    <x v="14"/>
    <s v="Bhagawangola - II"/>
    <s v="User Not Mapped"/>
    <s v="User Not Mapped"/>
    <s v="User Not Mapped"/>
    <n v="341874"/>
    <s v="Md..Habibur Rahman"/>
    <s v="Private Retailer"/>
    <s v="9933398447"/>
    <n v="0.4"/>
    <n v="141"/>
    <x v="0"/>
    <m/>
    <s v="2025-12-07"/>
    <s v="223285"/>
    <s v="M/s. Golam Kibria"/>
    <s v="8371889332"/>
  </r>
  <r>
    <s v="RCF Thal"/>
    <s v="N.C.Urea(45kg)"/>
    <s v="WB"/>
    <x v="14"/>
    <s v="Bhagawangola - II"/>
    <s v="User Not Mapped"/>
    <s v="User Not Mapped"/>
    <s v="User Not Mapped"/>
    <n v="342558"/>
    <s v="Saibur Ali"/>
    <s v="Private Retailer"/>
    <s v="9002223031"/>
    <n v="4.9950000000000001"/>
    <n v="45"/>
    <x v="1"/>
    <m/>
    <s v="2026-03-13"/>
    <s v="281704"/>
    <s v="Maa Fertilizer"/>
    <s v="9800042039"/>
  </r>
  <r>
    <s v="RCF Trombay"/>
    <s v="15-15-15"/>
    <s v="WB"/>
    <x v="14"/>
    <s v="Bhagawangola - II"/>
    <s v="User Not Mapped"/>
    <s v="User Not Mapped"/>
    <s v="User Not Mapped"/>
    <n v="413780"/>
    <s v="Dipti Sarkar"/>
    <s v="Private Retailer"/>
    <s v="9734398339"/>
    <n v="3"/>
    <n v="45"/>
    <x v="1"/>
    <m/>
    <s v="2026-03-13"/>
    <s v="281704"/>
    <s v="Maa Fertilizer"/>
    <s v="9800042039"/>
  </r>
  <r>
    <s v="RCF Trombay"/>
    <s v="N.C.Urea(45kg)"/>
    <s v="WB"/>
    <x v="14"/>
    <s v="Bhagawangola - II"/>
    <s v="User Not Mapped"/>
    <s v="User Not Mapped"/>
    <s v="User Not Mapped"/>
    <n v="599999"/>
    <s v="NIHARANJAN SARKAR"/>
    <s v="Private Retailer"/>
    <s v="9679853785"/>
    <n v="3"/>
    <n v="46"/>
    <x v="1"/>
    <m/>
    <s v="2026-03-12"/>
    <s v="289310"/>
    <s v="Gopal Fertilizer"/>
    <s v="8170003423"/>
  </r>
  <r>
    <s v="RCF Thal"/>
    <s v="N.C.Urea(45kg)"/>
    <s v="WB"/>
    <x v="14"/>
    <s v="Bhagawangola - II"/>
    <s v="User Not Mapped"/>
    <s v="User Not Mapped"/>
    <s v="User Not Mapped"/>
    <n v="599999"/>
    <s v="NIHARANJAN SARKAR"/>
    <s v="Private Retailer"/>
    <s v="9679853785"/>
    <n v="7.02"/>
    <n v="49"/>
    <x v="1"/>
    <m/>
    <s v="2026-03-09"/>
    <s v="289310"/>
    <s v="Gopal Fertilizer"/>
    <s v="8170003423"/>
  </r>
  <r>
    <s v="RCF Thal"/>
    <s v="N.C.Urea(45kg)"/>
    <s v="WB"/>
    <x v="14"/>
    <s v="Bhagawangola - II"/>
    <s v="User Not Mapped"/>
    <s v="User Not Mapped"/>
    <s v="User Not Mapped"/>
    <n v="599999"/>
    <s v="NIHARANJAN SARKAR"/>
    <s v="Private Retailer"/>
    <s v="9679853785"/>
    <n v="3.15"/>
    <n v="115"/>
    <x v="5"/>
    <m/>
    <s v="2026-01-02"/>
    <s v="281704"/>
    <s v="Maa Fertilizer"/>
    <s v="9800042039"/>
  </r>
  <r>
    <s v="RCF Trombay"/>
    <s v="15-15-15"/>
    <s v="WB"/>
    <x v="14"/>
    <s v="Bhagawangola - II"/>
    <s v="User Not Mapped"/>
    <s v="User Not Mapped"/>
    <s v="User Not Mapped"/>
    <n v="599999"/>
    <s v="NIHARANJAN SARKAR"/>
    <s v="Private Retailer"/>
    <s v="9679853785"/>
    <n v="7"/>
    <n v="46"/>
    <x v="1"/>
    <m/>
    <s v="2026-03-12"/>
    <s v="289310"/>
    <s v="Gopal Fertilizer"/>
    <s v="8170003423"/>
  </r>
  <r>
    <s v="RCF Trombay"/>
    <s v="N.C.Urea(45kg)"/>
    <s v="WB"/>
    <x v="14"/>
    <s v="Bhagawangola - II"/>
    <s v="User Not Mapped"/>
    <s v="User Not Mapped"/>
    <s v="User Not Mapped"/>
    <n v="599999"/>
    <s v="NIHARANJAN SARKAR"/>
    <s v="Private Retailer"/>
    <s v="9679853785"/>
    <n v="7.25"/>
    <n v="90"/>
    <x v="2"/>
    <m/>
    <s v="2026-01-27"/>
    <s v="289310"/>
    <s v="Gopal Fertilizer"/>
    <s v="8170003423"/>
  </r>
  <r>
    <s v="RCF Trombay"/>
    <s v="15-15-15"/>
    <s v="WB"/>
    <x v="14"/>
    <s v="Bhagawangola - II"/>
    <s v="User Not Mapped"/>
    <s v="User Not Mapped"/>
    <s v="User Not Mapped"/>
    <n v="599999"/>
    <s v="NIHARANJAN SARKAR"/>
    <s v="Private Retailer"/>
    <s v="9679853785"/>
    <n v="3"/>
    <n v="90"/>
    <x v="2"/>
    <m/>
    <s v="2026-01-27"/>
    <s v="289310"/>
    <s v="Gopal Fertilizer"/>
    <s v="8170003423"/>
  </r>
  <r>
    <s v="RCF Thal"/>
    <s v="N.C.Urea(45kg)"/>
    <s v="WB"/>
    <x v="14"/>
    <s v="Bhagawangola - II"/>
    <s v="User Not Mapped"/>
    <s v="User Not Mapped"/>
    <s v="User Not Mapped"/>
    <n v="606363"/>
    <s v="DILIP KUMAR MONDAL"/>
    <s v="Private Retailer"/>
    <s v="9153730230"/>
    <n v="0.08"/>
    <n v="861"/>
    <x v="7"/>
    <m/>
    <s v="2023-12-18"/>
    <s v="269139"/>
    <s v="Firoj Ali"/>
    <s v="9932787296"/>
  </r>
  <r>
    <s v="RCF Thal"/>
    <s v="N.C.Urea(45kg)"/>
    <s v="WB"/>
    <x v="14"/>
    <s v="Bhagawangola - II"/>
    <s v="User Not Mapped"/>
    <s v="User Not Mapped"/>
    <s v="User Not Mapped"/>
    <n v="623099"/>
    <s v="TIPU SULTAN FERTILISER"/>
    <s v="Private Retailer"/>
    <s v="9002087881"/>
    <n v="3.15"/>
    <n v="118"/>
    <x v="5"/>
    <m/>
    <s v="2025-12-30"/>
    <s v="289310"/>
    <s v="Gopal Fertilizer"/>
    <s v="8170003423"/>
  </r>
  <r>
    <s v="RCF Trombay"/>
    <s v="15-15-15"/>
    <s v="WB"/>
    <x v="14"/>
    <s v="Bhagawangola - II"/>
    <s v="User Not Mapped"/>
    <s v="User Not Mapped"/>
    <s v="User Not Mapped"/>
    <n v="994818"/>
    <s v="SAHO ALAM"/>
    <s v="Private Retailer"/>
    <s v="9932070173"/>
    <n v="1.5"/>
    <n v="1477"/>
    <x v="7"/>
    <m/>
    <s v="2022-04-11"/>
    <s v="223289"/>
    <s v="Parbati Shankar Nandi"/>
    <s v="8972180003"/>
  </r>
  <r>
    <s v="RCF Thal"/>
    <s v="N.C.Urea(45kg)"/>
    <s v="WB"/>
    <x v="14"/>
    <s v="Bhagawangola - II"/>
    <s v="User Not Mapped"/>
    <s v="User Not Mapped"/>
    <s v="User Not Mapped"/>
    <n v="994818"/>
    <s v="SAHO ALAM"/>
    <s v="Private Retailer"/>
    <s v="9932070173"/>
    <n v="5.0000000000000001E-3"/>
    <n v="2670"/>
    <x v="7"/>
    <m/>
    <s v="2019-01-04"/>
    <s v="281704"/>
    <s v="Maa Fertilizer"/>
    <s v="9800042039"/>
  </r>
  <r>
    <s v="RCF Thal"/>
    <s v="N.C.Urea(45kg)"/>
    <s v="WB"/>
    <x v="14"/>
    <s v="Bhagawangola - II"/>
    <s v="User Not Mapped"/>
    <s v="User Not Mapped"/>
    <s v="User Not Mapped"/>
    <n v="994830"/>
    <s v="PIARUL ISLAM"/>
    <s v="Private Retailer"/>
    <s v="8537052791"/>
    <n v="0.495"/>
    <n v="1828"/>
    <x v="7"/>
    <m/>
    <s v="2021-04-25"/>
    <s v="1159343"/>
    <s v="M/S TOHADDESH ALI"/>
    <s v="9932007562"/>
  </r>
  <r>
    <s v="RCF Trombay"/>
    <s v="15-15-15"/>
    <s v="WB"/>
    <x v="14"/>
    <s v="Bhagawangola - II"/>
    <s v="User Not Mapped"/>
    <s v="User Not Mapped"/>
    <s v="User Not Mapped"/>
    <n v="1029564"/>
    <s v="PRASANTA KUMAR MONDAL"/>
    <s v="Private Retailer"/>
    <s v="9609255278"/>
    <n v="0.27600000000000002"/>
    <n v="289"/>
    <x v="3"/>
    <m/>
    <s v="2025-07-12"/>
    <s v="281704"/>
    <s v="Maa Fertilizer"/>
    <s v="9800042039"/>
  </r>
  <r>
    <s v="RCF Trombay"/>
    <s v="N.C.Urea(45kg)"/>
    <s v="WB"/>
    <x v="14"/>
    <s v="Bhagawangola - II"/>
    <s v="User Not Mapped"/>
    <s v="User Not Mapped"/>
    <s v="User Not Mapped"/>
    <n v="1142416"/>
    <s v="M/S BELAL SK"/>
    <s v="Private Retailer"/>
    <s v="6297473535"/>
    <n v="7.02"/>
    <n v="230"/>
    <x v="3"/>
    <m/>
    <s v="2025-09-09"/>
    <s v="1225743"/>
    <s v="MS BISWAS FERTILIZER"/>
    <s v="9735978597"/>
  </r>
  <r>
    <s v="RCF Thal"/>
    <s v="N.C.Urea(45kg)"/>
    <s v="WB"/>
    <x v="14"/>
    <s v="Bhagawangola - II"/>
    <s v="User Not Mapped"/>
    <s v="User Not Mapped"/>
    <s v="User Not Mapped"/>
    <n v="1142454"/>
    <s v="FULBAS ALI"/>
    <s v="Private Retailer"/>
    <s v="8016413468"/>
    <n v="0.85499999999999998"/>
    <n v="296"/>
    <x v="3"/>
    <m/>
    <s v="2025-07-05"/>
    <s v="1320516"/>
    <s v="BIDHAN CHANDRA BISWAS"/>
    <s v="9732816547"/>
  </r>
  <r>
    <s v="RCF Trombay"/>
    <s v="N.C.Urea(45kg)"/>
    <s v="WB"/>
    <x v="14"/>
    <s v="Bhagawangola - II"/>
    <s v="User Not Mapped"/>
    <s v="User Not Mapped"/>
    <s v="User Not Mapped"/>
    <n v="1142454"/>
    <s v="FULBAS ALI"/>
    <s v="Private Retailer"/>
    <s v="8016413468"/>
    <n v="0.76500000000000001"/>
    <n v="153"/>
    <x v="0"/>
    <m/>
    <s v="2025-11-25"/>
    <s v="281704"/>
    <s v="Maa Fertilizer"/>
    <s v="9800042039"/>
  </r>
  <r>
    <s v="RCF Trombay"/>
    <s v="15-15-15"/>
    <s v="WB"/>
    <x v="14"/>
    <s v="Bhagawangola - II"/>
    <s v="User Not Mapped"/>
    <s v="User Not Mapped"/>
    <s v="User Not Mapped"/>
    <n v="1142454"/>
    <s v="FULBAS ALI"/>
    <s v="Private Retailer"/>
    <s v="8016413468"/>
    <n v="2"/>
    <n v="45"/>
    <x v="1"/>
    <m/>
    <s v="2026-03-13"/>
    <s v="281704"/>
    <s v="Maa Fertilizer"/>
    <s v="9800042039"/>
  </r>
  <r>
    <s v="RCF Trombay"/>
    <s v="N.C.Urea(45kg)"/>
    <s v="WB"/>
    <x v="14"/>
    <s v="Bhagawangola - II"/>
    <s v="User Not Mapped"/>
    <s v="User Not Mapped"/>
    <s v="User Not Mapped"/>
    <n v="1142454"/>
    <s v="FULBAS ALI"/>
    <s v="Private Retailer"/>
    <s v="8016413468"/>
    <n v="2.0249999999999999"/>
    <n v="45"/>
    <x v="1"/>
    <m/>
    <s v="2026-03-13"/>
    <s v="281704"/>
    <s v="Maa Fertilizer"/>
    <s v="9800042039"/>
  </r>
  <r>
    <s v="RCF Thal"/>
    <s v="N.C.Urea(45kg)"/>
    <s v="WB"/>
    <x v="14"/>
    <s v="Bhagawangola - II"/>
    <s v="User Not Mapped"/>
    <s v="User Not Mapped"/>
    <s v="User Not Mapped"/>
    <n v="1142454"/>
    <s v="FULBAS ALI"/>
    <s v="Private Retailer"/>
    <s v="8016413468"/>
    <n v="1.98"/>
    <n v="237"/>
    <x v="3"/>
    <m/>
    <s v="2025-09-02"/>
    <s v="281704"/>
    <s v="Maa Fertilizer"/>
    <s v="9800042039"/>
  </r>
  <r>
    <s v="RCF Trombay"/>
    <s v="15-15-15"/>
    <s v="WB"/>
    <x v="14"/>
    <s v="Bhagawangola - II"/>
    <s v="User Not Mapped"/>
    <s v="User Not Mapped"/>
    <s v="User Not Mapped"/>
    <n v="1576575"/>
    <s v="TARIKUL ISLAM"/>
    <s v="Private Retailer"/>
    <s v="9153165350"/>
    <n v="0.5"/>
    <n v="278"/>
    <x v="3"/>
    <m/>
    <s v="2025-07-23"/>
    <s v="289310"/>
    <s v="Gopal Fertilizer"/>
    <s v="8170003423"/>
  </r>
  <r>
    <s v="RCF Thal"/>
    <s v="N.C.Urea(45kg)"/>
    <s v="WB"/>
    <x v="14"/>
    <s v="Bharatpur - I"/>
    <s v="User Not Mapped"/>
    <s v="User Not Mapped"/>
    <s v="User Not Mapped"/>
    <n v="289252"/>
    <s v="Nirmal Kumar Saha"/>
    <s v="Private Retailer"/>
    <s v="9434860209"/>
    <n v="10.935"/>
    <n v="39"/>
    <x v="1"/>
    <m/>
    <s v="2026-03-19"/>
    <s v="269139"/>
    <s v="Firoj Ali"/>
    <s v="9932787296"/>
  </r>
  <r>
    <s v="RCF Thal"/>
    <s v="N.C.Urea(45kg)"/>
    <s v="WB"/>
    <x v="14"/>
    <s v="Bharatpur - I"/>
    <s v="User Not Mapped"/>
    <s v="User Not Mapped"/>
    <s v="User Not Mapped"/>
    <n v="289252"/>
    <s v="Nirmal Kumar Saha"/>
    <s v="Private Retailer"/>
    <s v="9434860209"/>
    <n v="7.02"/>
    <n v="47"/>
    <x v="1"/>
    <m/>
    <s v="2026-03-11"/>
    <s v="281704"/>
    <s v="Maa Fertilizer"/>
    <s v="9800042039"/>
  </r>
  <r>
    <s v="RCF Thal"/>
    <s v="N.C.Urea(45kg)"/>
    <s v="WB"/>
    <x v="14"/>
    <s v="Bharatpur - I"/>
    <s v="User Not Mapped"/>
    <s v="User Not Mapped"/>
    <s v="User Not Mapped"/>
    <n v="493953"/>
    <s v="Dulal Chandra Mondal"/>
    <s v="Private Retailer"/>
    <s v="9732785861"/>
    <n v="2.835"/>
    <n v="47"/>
    <x v="1"/>
    <m/>
    <s v="2026-03-11"/>
    <s v="223285"/>
    <s v="M/s. Golam Kibria"/>
    <s v="8371889332"/>
  </r>
  <r>
    <s v="RCF Trombay"/>
    <s v="N.C.Urea(45kg)"/>
    <s v="WB"/>
    <x v="14"/>
    <s v="Bharatpur - I"/>
    <s v="User Not Mapped"/>
    <s v="User Not Mapped"/>
    <s v="User Not Mapped"/>
    <n v="493953"/>
    <s v="Dulal Chandra Mondal"/>
    <s v="Private Retailer"/>
    <s v="9732785861"/>
    <n v="0.36"/>
    <n v="314"/>
    <x v="3"/>
    <m/>
    <s v="2025-06-17"/>
    <s v="1138964"/>
    <s v="RAKESH FERTILIZER"/>
    <s v="9733026828"/>
  </r>
  <r>
    <s v="RCF Thal"/>
    <s v="N.C.Urea(45kg)"/>
    <s v="WB"/>
    <x v="14"/>
    <s v="Bharatpur - I"/>
    <s v="User Not Mapped"/>
    <s v="User Not Mapped"/>
    <s v="User Not Mapped"/>
    <n v="533544"/>
    <s v="M/S Amanur Rahaman"/>
    <s v="Private Retailer"/>
    <s v="9735450777"/>
    <n v="12.24"/>
    <n v="48"/>
    <x v="1"/>
    <m/>
    <s v="2026-03-10"/>
    <s v="223285"/>
    <s v="M/s. Golam Kibria"/>
    <s v="8371889332"/>
  </r>
  <r>
    <s v="RCF Thal"/>
    <s v="N.C.Urea(45kg)"/>
    <s v="WB"/>
    <x v="14"/>
    <s v="Bharatpur - I"/>
    <s v="User Not Mapped"/>
    <s v="User Not Mapped"/>
    <s v="User Not Mapped"/>
    <n v="533544"/>
    <s v="M/S Amanur Rahaman"/>
    <s v="Private Retailer"/>
    <s v="9735450777"/>
    <n v="4.1849999999999996"/>
    <n v="48"/>
    <x v="1"/>
    <m/>
    <s v="2026-03-10"/>
    <s v="223293"/>
    <s v="Bisanka Chandra Mondal And Son"/>
    <s v="9609521133"/>
  </r>
  <r>
    <s v="RCF Thal"/>
    <s v="N.C.Urea(45kg)"/>
    <s v="WB"/>
    <x v="14"/>
    <s v="Bharatpur - I"/>
    <s v="User Not Mapped"/>
    <s v="User Not Mapped"/>
    <s v="User Not Mapped"/>
    <n v="594182"/>
    <s v="NIZAM SK"/>
    <s v="Private Retailer"/>
    <s v="9732750173"/>
    <n v="6.8849999999999998"/>
    <n v="47"/>
    <x v="1"/>
    <m/>
    <s v="2026-03-11"/>
    <s v="281704"/>
    <s v="Maa Fertilizer"/>
    <s v="9800042039"/>
  </r>
  <r>
    <s v="RCF Import"/>
    <s v="Imp 10-26-26"/>
    <s v="WB"/>
    <x v="14"/>
    <s v="Bharatpur - I"/>
    <s v="User Not Mapped"/>
    <s v="User Not Mapped"/>
    <s v="User Not Mapped"/>
    <n v="594182"/>
    <s v="NIZAM SK"/>
    <s v="Private Retailer"/>
    <s v="9732750173"/>
    <n v="0.4"/>
    <n v="44"/>
    <x v="1"/>
    <m/>
    <s v="2026-03-14"/>
    <s v="281704"/>
    <s v="Maa Fertilizer"/>
    <s v="9800042039"/>
  </r>
  <r>
    <s v="RCF Import"/>
    <s v="Imp 10-26-26"/>
    <s v="WB"/>
    <x v="14"/>
    <s v="Bharatpur - I"/>
    <s v="User Not Mapped"/>
    <s v="User Not Mapped"/>
    <s v="User Not Mapped"/>
    <n v="594182"/>
    <s v="NIZAM SK"/>
    <s v="Private Retailer"/>
    <s v="9732750173"/>
    <n v="3.4"/>
    <n v="20"/>
    <x v="4"/>
    <m/>
    <s v="2026-04-07"/>
    <s v="281704"/>
    <s v="Maa Fertilizer"/>
    <s v="9800042039"/>
  </r>
  <r>
    <s v="RCF Import"/>
    <s v="Imp 10-26-26"/>
    <s v="WB"/>
    <x v="14"/>
    <s v="Bharatpur - I"/>
    <s v="User Not Mapped"/>
    <s v="User Not Mapped"/>
    <s v="User Not Mapped"/>
    <n v="875515"/>
    <s v="SUMSUL HAQUE"/>
    <s v="Private Retailer"/>
    <s v="9734305080"/>
    <n v="1.9"/>
    <n v="336"/>
    <x v="3"/>
    <m/>
    <s v="2025-05-26"/>
    <s v="223285"/>
    <s v="M/s. Golam Kibria"/>
    <s v="8371889332"/>
  </r>
  <r>
    <s v="RCF Trombay"/>
    <s v="N.C.Urea(45kg)"/>
    <s v="WB"/>
    <x v="14"/>
    <s v="Bharatpur - I"/>
    <s v="User Not Mapped"/>
    <s v="User Not Mapped"/>
    <s v="User Not Mapped"/>
    <n v="1058845"/>
    <s v="GOLAM MUSTAFA"/>
    <s v="Private Retailer"/>
    <s v="9735001344"/>
    <n v="1.7549999999999999"/>
    <n v="45"/>
    <x v="1"/>
    <m/>
    <s v="2026-03-13"/>
    <s v="223293"/>
    <s v="Bisanka Chandra Mondal And Son"/>
    <s v="9609521133"/>
  </r>
  <r>
    <s v="RCF Thal"/>
    <s v="N.C.Urea(45kg)"/>
    <s v="WB"/>
    <x v="14"/>
    <s v="Bharatpur - II"/>
    <s v="User Not Mapped"/>
    <s v="User Not Mapped"/>
    <s v="User Not Mapped"/>
    <n v="256024"/>
    <s v="Samsul Alam Chowdhury"/>
    <s v="Private Retailer"/>
    <s v="9732100934"/>
    <n v="9.27"/>
    <n v="48"/>
    <x v="1"/>
    <m/>
    <s v="2026-03-10"/>
    <s v="223293"/>
    <s v="Bisanka Chandra Mondal And Son"/>
    <s v="9609521133"/>
  </r>
  <r>
    <s v="RCF Thal"/>
    <s v="N.C.Urea(45kg)"/>
    <s v="WB"/>
    <x v="14"/>
    <s v="Bharatpur - II"/>
    <s v="User Not Mapped"/>
    <s v="User Not Mapped"/>
    <s v="User Not Mapped"/>
    <n v="256024"/>
    <s v="Samsul Alam Chowdhury"/>
    <s v="Private Retailer"/>
    <s v="9732100934"/>
    <n v="14.04"/>
    <n v="47"/>
    <x v="1"/>
    <m/>
    <s v="2026-03-11"/>
    <s v="223292"/>
    <s v="M/s. Gouri Sankar Mandal"/>
    <s v="7365965125"/>
  </r>
  <r>
    <s v="RCF Thal"/>
    <s v="N.C.Urea(45kg)"/>
    <s v="WB"/>
    <x v="14"/>
    <s v="Bharatpur - II"/>
    <s v="User Not Mapped"/>
    <s v="User Not Mapped"/>
    <s v="User Not Mapped"/>
    <n v="1034470"/>
    <s v="MD SAIFUDDIN"/>
    <s v="Private Retailer"/>
    <s v="8327617593"/>
    <n v="1.62"/>
    <n v="284"/>
    <x v="3"/>
    <m/>
    <s v="2025-07-17"/>
    <s v="223292"/>
    <s v="M/s. Gouri Sankar Mandal"/>
    <s v="7365965125"/>
  </r>
  <r>
    <s v="RCF Thal"/>
    <s v="N.C.Urea(45kg)"/>
    <s v="WB"/>
    <x v="14"/>
    <s v="Bharatpur - II"/>
    <s v="User Not Mapped"/>
    <s v="User Not Mapped"/>
    <s v="User Not Mapped"/>
    <n v="1037982"/>
    <s v="PATKARI DE"/>
    <s v="Private Retailer"/>
    <s v="9564241218"/>
    <n v="3.0150000000000001"/>
    <n v="193"/>
    <x v="3"/>
    <m/>
    <s v="2025-10-16"/>
    <s v="281704"/>
    <s v="Maa Fertilizer"/>
    <s v="9800042039"/>
  </r>
  <r>
    <s v="RCF Thal"/>
    <s v="N.C.Urea(45kg)"/>
    <s v="WB"/>
    <x v="14"/>
    <s v="Bharatpur - II"/>
    <s v="User Not Mapped"/>
    <s v="User Not Mapped"/>
    <s v="User Not Mapped"/>
    <n v="1480300"/>
    <s v="KRISHI MELA"/>
    <s v="Private Retailer"/>
    <s v="6295816890"/>
    <n v="6.57"/>
    <n v="47"/>
    <x v="1"/>
    <m/>
    <s v="2026-03-11"/>
    <s v="223285"/>
    <s v="M/s. Golam Kibria"/>
    <s v="8371889332"/>
  </r>
  <r>
    <s v="RCF Thal"/>
    <s v="N.C.Urea(45kg)"/>
    <s v="WB"/>
    <x v="14"/>
    <s v="Bharatpur - II"/>
    <s v="User Not Mapped"/>
    <s v="User Not Mapped"/>
    <s v="User Not Mapped"/>
    <n v="1480305"/>
    <s v="MONDAL KRISHI STORE"/>
    <s v="Private Retailer"/>
    <s v="9733847014"/>
    <n v="0.40500000000000003"/>
    <n v="47"/>
    <x v="1"/>
    <m/>
    <s v="2026-03-11"/>
    <s v="223285"/>
    <s v="M/s. Golam Kibria"/>
    <s v="8371889332"/>
  </r>
  <r>
    <s v="RCF Thal"/>
    <s v="N.C.Urea(45kg)"/>
    <s v="WB"/>
    <x v="14"/>
    <s v="Burwan"/>
    <s v="User Not Mapped"/>
    <s v="User Not Mapped"/>
    <s v="User Not Mapped"/>
    <n v="235600"/>
    <s v="Bakkar Ali"/>
    <s v="Private Retailer"/>
    <s v="9434851844"/>
    <n v="3.4649999999999999"/>
    <n v="98"/>
    <x v="5"/>
    <m/>
    <s v="2026-01-19"/>
    <s v="876174"/>
    <s v="CHAND GOPAL PAUL"/>
    <s v="9732975001"/>
  </r>
  <r>
    <s v="RCF Trombay"/>
    <s v="N.C.Urea(45kg)"/>
    <s v="WB"/>
    <x v="14"/>
    <s v="Burwan"/>
    <s v="User Not Mapped"/>
    <s v="User Not Mapped"/>
    <s v="User Not Mapped"/>
    <n v="235631"/>
    <s v="Chand Gopal Paul"/>
    <s v="Private Retailer"/>
    <s v="9732975001"/>
    <n v="2.25"/>
    <n v="132"/>
    <x v="0"/>
    <m/>
    <s v="2025-12-16"/>
    <s v="223293"/>
    <s v="Bisanka Chandra Mondal And Son"/>
    <s v="9609521133"/>
  </r>
  <r>
    <s v="RCF Thal"/>
    <s v="N.C.Urea(45kg)"/>
    <s v="WB"/>
    <x v="14"/>
    <s v="Burwan"/>
    <s v="User Not Mapped"/>
    <s v="User Not Mapped"/>
    <s v="User Not Mapped"/>
    <n v="235631"/>
    <s v="Chand Gopal Paul"/>
    <s v="Private Retailer"/>
    <s v="9732975001"/>
    <n v="4.68"/>
    <n v="117"/>
    <x v="5"/>
    <m/>
    <s v="2025-12-31"/>
    <s v="281687"/>
    <s v="Tapash  Kr Das"/>
    <s v="9064408878"/>
  </r>
  <r>
    <s v="RCF Trombay"/>
    <s v="N.C.Urea(45kg)"/>
    <s v="WB"/>
    <x v="14"/>
    <s v="Burwan"/>
    <s v="User Not Mapped"/>
    <s v="User Not Mapped"/>
    <s v="User Not Mapped"/>
    <n v="235782"/>
    <s v="Royal Enterprises"/>
    <s v="Private Retailer"/>
    <s v="9734652237"/>
    <n v="5.8949999999999996"/>
    <n v="45"/>
    <x v="1"/>
    <m/>
    <s v="2026-03-13"/>
    <s v="281704"/>
    <s v="Maa Fertilizer"/>
    <s v="9800042039"/>
  </r>
  <r>
    <s v="RCF Thal"/>
    <s v="N.C.Urea(45kg)"/>
    <s v="WB"/>
    <x v="14"/>
    <s v="Burwan"/>
    <s v="User Not Mapped"/>
    <s v="User Not Mapped"/>
    <s v="User Not Mapped"/>
    <n v="247446"/>
    <s v="Firoze Shaikh"/>
    <s v="Private Retailer"/>
    <s v="9734773573"/>
    <n v="4.32"/>
    <n v="290"/>
    <x v="3"/>
    <m/>
    <s v="2025-07-11"/>
    <s v="223292"/>
    <s v="M/s. Gouri Sankar Mandal"/>
    <s v="7365965125"/>
  </r>
  <r>
    <s v="RCF Thal"/>
    <s v="N.C.Urea(45kg)"/>
    <s v="WB"/>
    <x v="14"/>
    <s v="Burwan"/>
    <s v="User Not Mapped"/>
    <s v="User Not Mapped"/>
    <s v="User Not Mapped"/>
    <n v="247467"/>
    <s v="Md Kafarul Hossain"/>
    <s v="Private Retailer"/>
    <s v="9732618645"/>
    <n v="10.215"/>
    <n v="41"/>
    <x v="1"/>
    <m/>
    <s v="2026-03-17"/>
    <s v="223292"/>
    <s v="M/s. Gouri Sankar Mandal"/>
    <s v="7365965125"/>
  </r>
  <r>
    <s v="RCF Thal"/>
    <s v="N.C.Urea(45kg)"/>
    <s v="WB"/>
    <x v="14"/>
    <s v="Burwan"/>
    <s v="User Not Mapped"/>
    <s v="User Not Mapped"/>
    <s v="User Not Mapped"/>
    <n v="247513"/>
    <s v="Shyamal Kumar Ghosh"/>
    <s v="Private Retailer"/>
    <s v="9434482160"/>
    <n v="0.09"/>
    <n v="47"/>
    <x v="1"/>
    <m/>
    <s v="2026-03-11"/>
    <s v="280775"/>
    <s v="R A Kheria"/>
    <s v="9830290085"/>
  </r>
  <r>
    <s v="RCF Import"/>
    <s v="Imp 10-26-26"/>
    <s v="WB"/>
    <x v="14"/>
    <s v="Burwan"/>
    <s v="User Not Mapped"/>
    <s v="User Not Mapped"/>
    <s v="User Not Mapped"/>
    <n v="247513"/>
    <s v="Shyamal Kumar Ghosh"/>
    <s v="Private Retailer"/>
    <s v="9434482160"/>
    <n v="3"/>
    <n v="205"/>
    <x v="3"/>
    <m/>
    <s v="2025-10-04"/>
    <s v="280775"/>
    <s v="R A Kheria"/>
    <s v="9830290085"/>
  </r>
  <r>
    <s v="RCF Trombay"/>
    <s v="N.C.Urea(45kg)"/>
    <s v="WB"/>
    <x v="14"/>
    <s v="Burwan"/>
    <s v="User Not Mapped"/>
    <s v="User Not Mapped"/>
    <s v="User Not Mapped"/>
    <n v="467919"/>
    <s v="Md. Abu Hasanat Ali"/>
    <s v="Private Retailer"/>
    <s v="9732359612"/>
    <n v="4.4999999999999998E-2"/>
    <n v="1031"/>
    <x v="7"/>
    <m/>
    <s v="2023-07-01"/>
    <s v="876174"/>
    <s v="CHAND GOPAL PAUL"/>
    <s v="9732975001"/>
  </r>
  <r>
    <s v="RCF Trombay"/>
    <s v="15-15-15"/>
    <s v="WB"/>
    <x v="14"/>
    <s v="Burwan"/>
    <s v="User Not Mapped"/>
    <s v="User Not Mapped"/>
    <s v="User Not Mapped"/>
    <n v="467919"/>
    <s v="Md. Abu Hasanat Ali"/>
    <s v="Private Retailer"/>
    <s v="9732359612"/>
    <n v="0.5"/>
    <n v="468"/>
    <x v="6"/>
    <m/>
    <s v="2025-01-14"/>
    <s v="876174"/>
    <s v="CHAND GOPAL PAUL"/>
    <s v="9732975001"/>
  </r>
  <r>
    <s v="RCF Import"/>
    <s v="MOP"/>
    <s v="WB"/>
    <x v="14"/>
    <s v="Burwan"/>
    <s v="User Not Mapped"/>
    <s v="User Not Mapped"/>
    <s v="User Not Mapped"/>
    <n v="467919"/>
    <s v="Md. Abu Hasanat Ali"/>
    <s v="Private Retailer"/>
    <s v="9732359612"/>
    <n v="0.2"/>
    <n v="253"/>
    <x v="3"/>
    <m/>
    <s v="2025-08-17"/>
    <s v="876174"/>
    <s v="CHAND GOPAL PAUL"/>
    <s v="9732975001"/>
  </r>
  <r>
    <s v="RCF Thal"/>
    <s v="N.C.Urea(45kg)"/>
    <s v="WB"/>
    <x v="14"/>
    <s v="Burwan"/>
    <s v="User Not Mapped"/>
    <s v="User Not Mapped"/>
    <s v="User Not Mapped"/>
    <n v="467919"/>
    <s v="Md. Abu Hasanat Ali"/>
    <s v="Private Retailer"/>
    <s v="9732359612"/>
    <n v="0.16500000000000001"/>
    <n v="442"/>
    <x v="6"/>
    <m/>
    <s v="2025-02-09"/>
    <s v="876174"/>
    <s v="CHAND GOPAL PAUL"/>
    <s v="9732975001"/>
  </r>
  <r>
    <s v="RCF Thal"/>
    <s v="N.C.Urea(45kg)"/>
    <s v="WB"/>
    <x v="14"/>
    <s v="Burwan"/>
    <s v="User Not Mapped"/>
    <s v="User Not Mapped"/>
    <s v="User Not Mapped"/>
    <n v="467925"/>
    <s v="Tarun Saha"/>
    <s v="Private Retailer"/>
    <s v="9775173450"/>
    <n v="0.45"/>
    <n v="98"/>
    <x v="5"/>
    <m/>
    <s v="2026-01-19"/>
    <s v="876174"/>
    <s v="CHAND GOPAL PAUL"/>
    <s v="9732975001"/>
  </r>
  <r>
    <s v="RCF Trombay"/>
    <s v="N.C.Urea(45kg)"/>
    <s v="WB"/>
    <x v="14"/>
    <s v="Burwan"/>
    <s v="User Not Mapped"/>
    <s v="User Not Mapped"/>
    <s v="User Not Mapped"/>
    <n v="470870"/>
    <s v="Nasirul Islam"/>
    <s v="Private Retailer"/>
    <s v="9647456240"/>
    <n v="0.63"/>
    <n v="91"/>
    <x v="5"/>
    <m/>
    <s v="2026-01-26"/>
    <s v="223285"/>
    <s v="M/s. Golam Kibria"/>
    <s v="8371889332"/>
  </r>
  <r>
    <s v="RCF Thal"/>
    <s v="N.C.Urea(45kg)"/>
    <s v="WB"/>
    <x v="14"/>
    <s v="Burwan"/>
    <s v="User Not Mapped"/>
    <s v="User Not Mapped"/>
    <s v="User Not Mapped"/>
    <n v="470870"/>
    <s v="Nasirul Islam"/>
    <s v="Private Retailer"/>
    <s v="9647456240"/>
    <n v="14.04"/>
    <n v="48"/>
    <x v="1"/>
    <m/>
    <s v="2026-03-10"/>
    <s v="223285"/>
    <s v="M/s. Golam Kibria"/>
    <s v="8371889332"/>
  </r>
  <r>
    <s v="RCF Trombay"/>
    <s v="N.C.Urea(45kg)"/>
    <s v="WB"/>
    <x v="14"/>
    <s v="Burwan"/>
    <s v="User Not Mapped"/>
    <s v="User Not Mapped"/>
    <s v="User Not Mapped"/>
    <n v="470870"/>
    <s v="Nasirul Islam"/>
    <s v="Private Retailer"/>
    <s v="9647456240"/>
    <n v="14.04"/>
    <n v="46"/>
    <x v="1"/>
    <m/>
    <s v="2026-03-12"/>
    <s v="223285"/>
    <s v="M/s. Golam Kibria"/>
    <s v="8371889332"/>
  </r>
  <r>
    <s v="RCF Thal"/>
    <s v="N.C.Urea(45kg)"/>
    <s v="WB"/>
    <x v="14"/>
    <s v="Burwan"/>
    <s v="User Not Mapped"/>
    <s v="User Not Mapped"/>
    <s v="User Not Mapped"/>
    <n v="470870"/>
    <s v="Nasirul Islam"/>
    <s v="Private Retailer"/>
    <s v="9647456240"/>
    <n v="4.1399999999999997"/>
    <n v="92"/>
    <x v="5"/>
    <m/>
    <s v="2026-01-25"/>
    <s v="223292"/>
    <s v="M/s. Gouri Sankar Mandal"/>
    <s v="7365965125"/>
  </r>
  <r>
    <s v="RCF Trombay"/>
    <s v="N.C.Urea(45kg)"/>
    <s v="WB"/>
    <x v="14"/>
    <s v="Burwan"/>
    <s v="User Not Mapped"/>
    <s v="User Not Mapped"/>
    <s v="User Not Mapped"/>
    <n v="473799"/>
    <s v="Harasankar Pandey"/>
    <s v="Private Retailer"/>
    <s v="9732870422"/>
    <n v="0.02"/>
    <n v="2593"/>
    <x v="7"/>
    <m/>
    <s v="2019-03-22"/>
    <s v="256526"/>
    <s v="Bankashyam Dutta"/>
    <s v="7384555867"/>
  </r>
  <r>
    <s v="RCF Import"/>
    <s v="Imp 10-26-26"/>
    <s v="WB"/>
    <x v="14"/>
    <s v="Burwan"/>
    <s v="User Not Mapped"/>
    <s v="User Not Mapped"/>
    <s v="User Not Mapped"/>
    <n v="473807"/>
    <s v="Syed Haniuzzman"/>
    <s v="Private Retailer"/>
    <s v="9732219980"/>
    <n v="0.25"/>
    <n v="282"/>
    <x v="3"/>
    <m/>
    <s v="2025-07-19"/>
    <s v="876174"/>
    <s v="CHAND GOPAL PAUL"/>
    <s v="9732975001"/>
  </r>
  <r>
    <s v="RCF Import"/>
    <s v="Imp 10-26-26"/>
    <s v="WB"/>
    <x v="14"/>
    <s v="Burwan"/>
    <s v="User Not Mapped"/>
    <s v="User Not Mapped"/>
    <s v="User Not Mapped"/>
    <n v="473807"/>
    <s v="Syed Haniuzzman"/>
    <s v="Private Retailer"/>
    <s v="9732219980"/>
    <n v="0.25"/>
    <n v="289"/>
    <x v="3"/>
    <m/>
    <s v="2025-07-12"/>
    <s v="876174"/>
    <s v="CHAND GOPAL PAUL"/>
    <s v="9732975001"/>
  </r>
  <r>
    <s v="RCF Thal"/>
    <s v="N.C.Urea(45kg)"/>
    <s v="WB"/>
    <x v="14"/>
    <s v="Burwan"/>
    <s v="User Not Mapped"/>
    <s v="User Not Mapped"/>
    <s v="User Not Mapped"/>
    <n v="489193"/>
    <s v="Mehadul Hossain"/>
    <s v="Private Retailer"/>
    <s v="7797205662"/>
    <n v="0.18"/>
    <n v="118"/>
    <x v="5"/>
    <m/>
    <s v="2025-12-30"/>
    <s v="281704"/>
    <s v="Maa Fertilizer"/>
    <s v="9800042039"/>
  </r>
  <r>
    <s v="RCF Trombay"/>
    <s v="N.C.Urea(45kg)"/>
    <s v="WB"/>
    <x v="14"/>
    <s v="Burwan"/>
    <s v="User Not Mapped"/>
    <s v="User Not Mapped"/>
    <s v="User Not Mapped"/>
    <n v="1027533"/>
    <s v="CHANDRA SEKHAR DAS"/>
    <s v="Private Retailer"/>
    <s v="9641470785"/>
    <n v="10.035"/>
    <n v="13"/>
    <x v="4"/>
    <m/>
    <s v="2026-04-14"/>
    <s v="281704"/>
    <s v="Maa Fertilizer"/>
    <s v="9800042039"/>
  </r>
  <r>
    <s v="RCF Thal"/>
    <s v="N.C.Urea(45kg)"/>
    <s v="WB"/>
    <x v="14"/>
    <s v="Burwan"/>
    <s v="User Not Mapped"/>
    <s v="User Not Mapped"/>
    <s v="User Not Mapped"/>
    <n v="1027533"/>
    <s v="CHANDRA SEKHAR DAS"/>
    <s v="Private Retailer"/>
    <s v="9641470785"/>
    <n v="0.94499999999999995"/>
    <n v="236"/>
    <x v="3"/>
    <m/>
    <s v="2025-09-03"/>
    <s v="876174"/>
    <s v="CHAND GOPAL PAUL"/>
    <s v="9732975001"/>
  </r>
  <r>
    <s v="RCF Thal"/>
    <s v="N.C.Urea(45kg)"/>
    <s v="WB"/>
    <x v="14"/>
    <s v="Burwan"/>
    <s v="User Not Mapped"/>
    <s v="User Not Mapped"/>
    <s v="User Not Mapped"/>
    <n v="1059124"/>
    <s v="TARUN KUMAR DEY"/>
    <s v="Private Retailer"/>
    <s v="8597415922"/>
    <n v="2.1150000000000002"/>
    <n v="98"/>
    <x v="5"/>
    <m/>
    <s v="2026-01-19"/>
    <s v="876174"/>
    <s v="CHAND GOPAL PAUL"/>
    <s v="9732975001"/>
  </r>
  <r>
    <s v="RCF Thal"/>
    <s v="N.C.Urea(45kg)"/>
    <s v="WB"/>
    <x v="14"/>
    <s v="Burwan"/>
    <s v="User Not Mapped"/>
    <s v="User Not Mapped"/>
    <s v="User Not Mapped"/>
    <n v="1059124"/>
    <s v="TARUN KUMAR DEY"/>
    <s v="Private Retailer"/>
    <s v="8597415922"/>
    <n v="1.665"/>
    <n v="289"/>
    <x v="3"/>
    <m/>
    <s v="2025-07-12"/>
    <s v="876174"/>
    <s v="CHAND GOPAL PAUL"/>
    <s v="9732975001"/>
  </r>
  <r>
    <s v="RCF Thal"/>
    <s v="N.C.Urea(45kg)"/>
    <s v="WB"/>
    <x v="14"/>
    <s v="Burwan"/>
    <s v="User Not Mapped"/>
    <s v="User Not Mapped"/>
    <s v="User Not Mapped"/>
    <n v="1059124"/>
    <s v="TARUN KUMAR DEY"/>
    <s v="Private Retailer"/>
    <s v="8597415922"/>
    <n v="8.01"/>
    <n v="273"/>
    <x v="3"/>
    <m/>
    <s v="2025-07-28"/>
    <s v="876174"/>
    <s v="CHAND GOPAL PAUL"/>
    <s v="9732975001"/>
  </r>
  <r>
    <s v="RCF Import"/>
    <s v="MOP"/>
    <s v="WB"/>
    <x v="14"/>
    <s v="Burwan"/>
    <s v="User Not Mapped"/>
    <s v="User Not Mapped"/>
    <s v="User Not Mapped"/>
    <n v="1059124"/>
    <s v="TARUN KUMAR DEY"/>
    <s v="Private Retailer"/>
    <s v="8597415922"/>
    <n v="1"/>
    <n v="405"/>
    <x v="6"/>
    <m/>
    <s v="2025-03-18"/>
    <s v="876174"/>
    <s v="CHAND GOPAL PAUL"/>
    <s v="9732975001"/>
  </r>
  <r>
    <s v="RCF Thal"/>
    <s v="N.C.Urea(45kg)"/>
    <s v="WB"/>
    <x v="14"/>
    <s v="Burwan"/>
    <s v="User Not Mapped"/>
    <s v="User Not Mapped"/>
    <s v="User Not Mapped"/>
    <n v="1072109"/>
    <s v="MD SABURUDDIN SK"/>
    <s v="Private Retailer"/>
    <s v="9907052361"/>
    <n v="0.67500000000000004"/>
    <n v="98"/>
    <x v="5"/>
    <m/>
    <s v="2026-01-19"/>
    <s v="876174"/>
    <s v="CHAND GOPAL PAUL"/>
    <s v="9732975001"/>
  </r>
  <r>
    <s v="RCF Trombay"/>
    <s v="N.C.Urea(45kg)"/>
    <s v="WB"/>
    <x v="14"/>
    <s v="Burwan"/>
    <s v="User Not Mapped"/>
    <s v="User Not Mapped"/>
    <s v="User Not Mapped"/>
    <n v="1072109"/>
    <s v="MD SABURUDDIN SK"/>
    <s v="Private Retailer"/>
    <s v="9907052361"/>
    <n v="4.4999999999999998E-2"/>
    <n v="418"/>
    <x v="6"/>
    <m/>
    <s v="2025-03-05"/>
    <s v="876174"/>
    <s v="CHAND GOPAL PAUL"/>
    <s v="9732975001"/>
  </r>
  <r>
    <s v="RCF Thal"/>
    <s v="N.C.Urea(45kg)"/>
    <s v="WB"/>
    <x v="14"/>
    <s v="Burwan"/>
    <s v="User Not Mapped"/>
    <s v="User Not Mapped"/>
    <s v="User Not Mapped"/>
    <n v="1072111"/>
    <s v="GOLAM MORTUZA"/>
    <s v="Private Retailer"/>
    <s v="9734678022"/>
    <n v="1.125"/>
    <n v="98"/>
    <x v="5"/>
    <m/>
    <s v="2026-01-19"/>
    <s v="876174"/>
    <s v="CHAND GOPAL PAUL"/>
    <s v="9732975001"/>
  </r>
  <r>
    <s v="RCF Thal"/>
    <s v="N.C.Urea(45kg)"/>
    <s v="WB"/>
    <x v="14"/>
    <s v="Burwan"/>
    <s v="User Not Mapped"/>
    <s v="User Not Mapped"/>
    <s v="User Not Mapped"/>
    <n v="1072111"/>
    <s v="GOLAM MORTUZA"/>
    <s v="Private Retailer"/>
    <s v="9734678022"/>
    <n v="2.25"/>
    <n v="289"/>
    <x v="3"/>
    <m/>
    <s v="2025-07-12"/>
    <s v="876174"/>
    <s v="CHAND GOPAL PAUL"/>
    <s v="9732975001"/>
  </r>
  <r>
    <s v="RCF Thal"/>
    <s v="N.C.Urea(45kg)"/>
    <s v="WB"/>
    <x v="14"/>
    <s v="Burwan"/>
    <s v="User Not Mapped"/>
    <s v="User Not Mapped"/>
    <s v="User Not Mapped"/>
    <n v="1321891"/>
    <s v="SOUMEN DAS"/>
    <s v="Private Retailer"/>
    <s v="8642010995"/>
    <n v="1.44"/>
    <n v="195"/>
    <x v="3"/>
    <m/>
    <s v="2025-10-14"/>
    <s v="1320516"/>
    <s v="BIDHAN CHANDRA BISWAS"/>
    <s v="9732816547"/>
  </r>
  <r>
    <s v="RCF Trombay"/>
    <s v="N.C.Urea(45kg)"/>
    <s v="WB"/>
    <x v="14"/>
    <s v="Burwan"/>
    <s v="User Not Mapped"/>
    <s v="User Not Mapped"/>
    <s v="User Not Mapped"/>
    <n v="1325660"/>
    <s v="SUJIT KUMAR PAL"/>
    <s v="Private Retailer"/>
    <s v="6294581873"/>
    <n v="0.04"/>
    <n v="1276"/>
    <x v="7"/>
    <m/>
    <s v="2022-10-29"/>
    <s v="223290"/>
    <s v="Joydev Paul"/>
    <s v="9474318098"/>
  </r>
  <r>
    <s v="RCF Thal"/>
    <s v="N.C.Urea(45kg)"/>
    <s v="WB"/>
    <x v="14"/>
    <s v="Burwan"/>
    <s v="User Not Mapped"/>
    <s v="User Not Mapped"/>
    <s v="User Not Mapped"/>
    <n v="1449883"/>
    <s v="GUJJHA KALI FARMER PRODUCER CO"/>
    <s v="Private Retailer"/>
    <s v="6297068815"/>
    <n v="7.02"/>
    <n v="293"/>
    <x v="3"/>
    <m/>
    <s v="2025-07-08"/>
    <s v="223285"/>
    <s v="M/s. Golam Kibria"/>
    <s v="8371889332"/>
  </r>
  <r>
    <s v="RCF Thal"/>
    <s v="N.C.Urea(45kg)"/>
    <s v="WB"/>
    <x v="14"/>
    <s v="Burwan"/>
    <s v="User Not Mapped"/>
    <s v="User Not Mapped"/>
    <s v="User Not Mapped"/>
    <n v="1470462"/>
    <s v="JALALUDDIN HOSSAIN"/>
    <s v="Private Retailer"/>
    <s v="7001592720"/>
    <n v="5.0000000000000001E-3"/>
    <n v="380"/>
    <x v="6"/>
    <m/>
    <s v="2025-04-12"/>
    <s v="876174"/>
    <s v="CHAND GOPAL PAUL"/>
    <s v="9732975001"/>
  </r>
  <r>
    <s v="RCF Thal"/>
    <s v="N.C.Urea(45kg)"/>
    <s v="WB"/>
    <x v="14"/>
    <s v="Burwan"/>
    <s v="User Not Mapped"/>
    <s v="User Not Mapped"/>
    <s v="User Not Mapped"/>
    <n v="1507071"/>
    <s v="SRIKRISHNA MONDAL"/>
    <s v="Private Retailer"/>
    <s v="9064790171"/>
    <n v="3.2850000000000001"/>
    <n v="289"/>
    <x v="3"/>
    <m/>
    <s v="2025-07-12"/>
    <s v="256526"/>
    <s v="Bankashyam Dutta"/>
    <s v="7384555867"/>
  </r>
  <r>
    <s v="RCF Thal"/>
    <s v="N.C.Urea(45kg)"/>
    <s v="WB"/>
    <x v="14"/>
    <s v="Domkal"/>
    <s v="User Not Mapped"/>
    <s v="User Not Mapped"/>
    <s v="User Not Mapped"/>
    <n v="235696"/>
    <s v="Mahabat Ali"/>
    <s v="Private Retailer"/>
    <s v="9434013573"/>
    <n v="0.45"/>
    <n v="16"/>
    <x v="4"/>
    <m/>
    <s v="2026-04-11"/>
    <s v="281705"/>
    <s v="MAHABAT ALI"/>
    <s v="9434013573"/>
  </r>
  <r>
    <s v="RCF Trombay"/>
    <s v="15-15-15"/>
    <s v="WB"/>
    <x v="14"/>
    <s v="Domkal"/>
    <s v="User Not Mapped"/>
    <s v="User Not Mapped"/>
    <s v="User Not Mapped"/>
    <n v="253196"/>
    <s v="Billal Hossain"/>
    <s v="Private Retailer"/>
    <s v="9735482065"/>
    <n v="2.35"/>
    <n v="153"/>
    <x v="0"/>
    <m/>
    <s v="2025-11-25"/>
    <s v="281704"/>
    <s v="Maa Fertilizer"/>
    <s v="9800042039"/>
  </r>
  <r>
    <s v="RCF Trombay"/>
    <s v="N.C.Urea(45kg)"/>
    <s v="WB"/>
    <x v="14"/>
    <s v="Domkal"/>
    <s v="User Not Mapped"/>
    <s v="User Not Mapped"/>
    <s v="User Not Mapped"/>
    <n v="270515"/>
    <s v="Paul Fertiliser"/>
    <s v="State Marketing Federation"/>
    <s v="8637580277"/>
    <n v="1.845"/>
    <n v="1082"/>
    <x v="7"/>
    <m/>
    <s v="2023-05-11"/>
    <s v="281704"/>
    <s v="Maa Fertilizer"/>
    <s v="9800042039"/>
  </r>
  <r>
    <s v="RCF Trombay"/>
    <s v="15-15-15"/>
    <s v="WB"/>
    <x v="14"/>
    <s v="Domkal"/>
    <s v="User Not Mapped"/>
    <s v="User Not Mapped"/>
    <s v="User Not Mapped"/>
    <n v="270515"/>
    <s v="Paul Fertiliser"/>
    <s v="State Marketing Federation"/>
    <s v="8637580277"/>
    <n v="2.75"/>
    <n v="1082"/>
    <x v="7"/>
    <m/>
    <s v="2023-05-11"/>
    <s v="281704"/>
    <s v="Maa Fertilizer"/>
    <s v="9800042039"/>
  </r>
  <r>
    <s v="RCF Import"/>
    <s v="Imp 10-26-26"/>
    <s v="WB"/>
    <x v="14"/>
    <s v="Domkal"/>
    <s v="User Not Mapped"/>
    <s v="User Not Mapped"/>
    <s v="User Not Mapped"/>
    <n v="270530"/>
    <s v="Saiful Islam"/>
    <s v="State Marketing Federation"/>
    <s v="9733591556"/>
    <n v="1"/>
    <n v="35"/>
    <x v="1"/>
    <m/>
    <s v="2026-03-23"/>
    <s v="223285"/>
    <s v="M/s. Golam Kibria"/>
    <s v="8371889332"/>
  </r>
  <r>
    <s v="RCF Thal"/>
    <s v="N.C.Urea(45kg)"/>
    <s v="WB"/>
    <x v="14"/>
    <s v="Domkal"/>
    <s v="User Not Mapped"/>
    <s v="User Not Mapped"/>
    <s v="User Not Mapped"/>
    <n v="270530"/>
    <s v="Saiful Islam"/>
    <s v="State Marketing Federation"/>
    <s v="9733591556"/>
    <n v="12.015000000000001"/>
    <n v="47"/>
    <x v="1"/>
    <m/>
    <s v="2026-03-11"/>
    <s v="223292"/>
    <s v="M/s. Gouri Sankar Mandal"/>
    <s v="7365965125"/>
  </r>
  <r>
    <s v="RCF Trombay"/>
    <s v="15-15-15"/>
    <s v="WB"/>
    <x v="14"/>
    <s v="Domkal"/>
    <s v="User Not Mapped"/>
    <s v="User Not Mapped"/>
    <s v="User Not Mapped"/>
    <n v="289161"/>
    <s v="Arjam Biswas"/>
    <s v="Private Retailer"/>
    <s v="9593052290"/>
    <n v="2.5000000000000001E-2"/>
    <n v="232"/>
    <x v="3"/>
    <m/>
    <s v="2025-09-07"/>
    <s v="1225743"/>
    <s v="MS BISWAS FERTILIZER"/>
    <s v="9735978597"/>
  </r>
  <r>
    <s v="RCF Trombay"/>
    <s v="N.C.Urea(45kg)"/>
    <s v="WB"/>
    <x v="14"/>
    <s v="Domkal"/>
    <s v="User Not Mapped"/>
    <s v="User Not Mapped"/>
    <s v="User Not Mapped"/>
    <n v="340872"/>
    <s v="Arman Ali"/>
    <s v="Private Retailer"/>
    <s v="9735282343"/>
    <n v="1.98"/>
    <n v="38"/>
    <x v="1"/>
    <m/>
    <s v="2026-03-20"/>
    <s v="223285"/>
    <s v="M/s. Golam Kibria"/>
    <s v="8371889332"/>
  </r>
  <r>
    <s v="RCF Trombay"/>
    <s v="15-15-15"/>
    <s v="WB"/>
    <x v="14"/>
    <s v="Domkal"/>
    <s v="User Not Mapped"/>
    <s v="User Not Mapped"/>
    <s v="User Not Mapped"/>
    <n v="354661"/>
    <s v="Abdus Salam"/>
    <s v="Private Retailer"/>
    <s v="7908931025"/>
    <n v="10"/>
    <n v="15"/>
    <x v="4"/>
    <m/>
    <s v="2026-04-12"/>
    <s v="978672"/>
    <s v="M/s. Abu Raihan Mondal"/>
    <s v="9733607656"/>
  </r>
  <r>
    <s v="RCF Trombay"/>
    <s v="15-15-15"/>
    <s v="WB"/>
    <x v="14"/>
    <s v="Domkal"/>
    <s v="User Not Mapped"/>
    <s v="User Not Mapped"/>
    <s v="User Not Mapped"/>
    <n v="354661"/>
    <s v="Abdus Salam"/>
    <s v="Private Retailer"/>
    <s v="7908931025"/>
    <n v="5"/>
    <n v="42"/>
    <x v="1"/>
    <m/>
    <s v="2026-03-16"/>
    <s v="223285"/>
    <s v="M/s. Golam Kibria"/>
    <s v="8371889332"/>
  </r>
  <r>
    <s v="RCF Thal"/>
    <s v="N.C.Urea(45kg)"/>
    <s v="WB"/>
    <x v="14"/>
    <s v="Domkal"/>
    <s v="User Not Mapped"/>
    <s v="User Not Mapped"/>
    <s v="User Not Mapped"/>
    <n v="354750"/>
    <s v="Asmat Ali Mondal"/>
    <s v="Private Retailer"/>
    <s v="8001195193"/>
    <n v="6.66"/>
    <n v="48"/>
    <x v="1"/>
    <m/>
    <s v="2026-03-10"/>
    <s v="223285"/>
    <s v="M/s. Golam Kibria"/>
    <s v="8371889332"/>
  </r>
  <r>
    <s v="RCF Trombay"/>
    <s v="N.C.Urea(45kg)"/>
    <s v="WB"/>
    <x v="14"/>
    <s v="Domkal"/>
    <s v="User Not Mapped"/>
    <s v="User Not Mapped"/>
    <s v="User Not Mapped"/>
    <n v="354750"/>
    <s v="Asmat Ali Mondal"/>
    <s v="Private Retailer"/>
    <s v="8001195193"/>
    <n v="0.58499999999999996"/>
    <n v="91"/>
    <x v="5"/>
    <m/>
    <s v="2026-01-26"/>
    <s v="223285"/>
    <s v="M/s. Golam Kibria"/>
    <s v="8371889332"/>
  </r>
  <r>
    <s v="RCF Trombay"/>
    <s v="15-15-15"/>
    <s v="WB"/>
    <x v="14"/>
    <s v="Domkal"/>
    <s v="User Not Mapped"/>
    <s v="User Not Mapped"/>
    <s v="User Not Mapped"/>
    <n v="354750"/>
    <s v="Asmat Ali Mondal"/>
    <s v="Private Retailer"/>
    <s v="8001195193"/>
    <n v="9.6999999999999993"/>
    <n v="46"/>
    <x v="1"/>
    <m/>
    <s v="2026-03-12"/>
    <s v="223285"/>
    <s v="M/s. Golam Kibria"/>
    <s v="8371889332"/>
  </r>
  <r>
    <s v="RCF Trombay"/>
    <s v="15-15-15"/>
    <s v="WB"/>
    <x v="14"/>
    <s v="Domkal"/>
    <s v="User Not Mapped"/>
    <s v="User Not Mapped"/>
    <s v="User Not Mapped"/>
    <n v="354757"/>
    <s v="Azizul Islam"/>
    <s v="Private Retailer"/>
    <s v="9647830460"/>
    <n v="6.05"/>
    <n v="76"/>
    <x v="2"/>
    <m/>
    <s v="2026-02-10"/>
    <s v="1557438"/>
    <s v="DEBASHIS SAHA"/>
    <s v="9732566286"/>
  </r>
  <r>
    <s v="RCF Trombay"/>
    <s v="15-15-15"/>
    <s v="WB"/>
    <x v="14"/>
    <s v="Domkal"/>
    <s v="User Not Mapped"/>
    <s v="User Not Mapped"/>
    <s v="User Not Mapped"/>
    <n v="356309"/>
    <s v="Sujahan Mondal"/>
    <s v="Private Retailer"/>
    <s v="9732889878"/>
    <n v="4.25"/>
    <n v="40"/>
    <x v="1"/>
    <m/>
    <s v="2026-03-18"/>
    <s v="1138964"/>
    <s v="RAKESH FERTILIZER"/>
    <s v="9733026828"/>
  </r>
  <r>
    <s v="RCF Trombay"/>
    <s v="N.C.Urea(45kg)"/>
    <s v="WB"/>
    <x v="14"/>
    <s v="Domkal"/>
    <s v="User Not Mapped"/>
    <s v="User Not Mapped"/>
    <s v="User Not Mapped"/>
    <n v="356309"/>
    <s v="Sujahan Mondal"/>
    <s v="Private Retailer"/>
    <s v="9732889878"/>
    <n v="0.495"/>
    <n v="40"/>
    <x v="1"/>
    <m/>
    <s v="2026-03-18"/>
    <s v="1138964"/>
    <s v="RAKESH FERTILIZER"/>
    <s v="9733026828"/>
  </r>
  <r>
    <s v="RCF Trombay"/>
    <s v="15-15-15"/>
    <s v="WB"/>
    <x v="14"/>
    <s v="Domkal"/>
    <s v="User Not Mapped"/>
    <s v="User Not Mapped"/>
    <s v="User Not Mapped"/>
    <n v="456370"/>
    <s v="Manirujjaman Biswas"/>
    <s v="Private Retailer"/>
    <s v="9734388583"/>
    <n v="5"/>
    <n v="46"/>
    <x v="1"/>
    <m/>
    <s v="2026-03-12"/>
    <s v="223293"/>
    <s v="Bisanka Chandra Mondal And Son"/>
    <s v="9609521133"/>
  </r>
  <r>
    <s v="RCF Trombay"/>
    <s v="15-15-15"/>
    <s v="WB"/>
    <x v="14"/>
    <s v="Domkal"/>
    <s v="User Not Mapped"/>
    <s v="User Not Mapped"/>
    <s v="User Not Mapped"/>
    <n v="464436"/>
    <s v="Susanta Kr.Saha"/>
    <s v="Private Retailer"/>
    <s v="9775054127"/>
    <n v="0.3"/>
    <n v="40"/>
    <x v="1"/>
    <m/>
    <s v="2026-03-18"/>
    <s v="1138964"/>
    <s v="RAKESH FERTILIZER"/>
    <s v="9733026828"/>
  </r>
  <r>
    <s v="RCF Trombay"/>
    <s v="15-15-15"/>
    <s v="WB"/>
    <x v="14"/>
    <s v="Domkal"/>
    <s v="User Not Mapped"/>
    <s v="User Not Mapped"/>
    <s v="User Not Mapped"/>
    <n v="603266"/>
    <s v="SABUR ALI"/>
    <s v="Private Retailer"/>
    <s v="9735729821"/>
    <n v="7"/>
    <n v="44"/>
    <x v="1"/>
    <m/>
    <s v="2026-03-14"/>
    <s v="289315"/>
    <s v="M/S Monoranjan Dey"/>
    <s v="9733893312"/>
  </r>
  <r>
    <s v="RCF Trombay"/>
    <s v="15-15-15"/>
    <s v="WB"/>
    <x v="14"/>
    <s v="Domkal"/>
    <s v="User Not Mapped"/>
    <s v="User Not Mapped"/>
    <s v="User Not Mapped"/>
    <n v="653546"/>
    <s v="MUKULA BIBI"/>
    <s v="Private Retailer"/>
    <s v="8637854188"/>
    <n v="7"/>
    <n v="46"/>
    <x v="1"/>
    <m/>
    <s v="2026-03-12"/>
    <s v="223293"/>
    <s v="Bisanka Chandra Mondal And Son"/>
    <s v="9609521133"/>
  </r>
  <r>
    <s v="RCF Thal"/>
    <s v="N.C.Urea(45kg)"/>
    <s v="WB"/>
    <x v="14"/>
    <s v="Domkal"/>
    <s v="User Not Mapped"/>
    <s v="User Not Mapped"/>
    <s v="User Not Mapped"/>
    <n v="730985"/>
    <s v="TARIKUL ISLAM"/>
    <s v="Private Retailer"/>
    <s v="9832405040"/>
    <n v="5.58"/>
    <n v="104"/>
    <x v="5"/>
    <m/>
    <s v="2026-01-13"/>
    <s v="1225743"/>
    <s v="MS BISWAS FERTILIZER"/>
    <s v="9735978597"/>
  </r>
  <r>
    <s v="RCF Trombay"/>
    <s v="N.C.Urea(45kg)"/>
    <s v="WB"/>
    <x v="14"/>
    <s v="Domkal"/>
    <s v="User Not Mapped"/>
    <s v="User Not Mapped"/>
    <s v="User Not Mapped"/>
    <n v="751478"/>
    <s v="BISWAJI BISWAS"/>
    <s v="Private Retailer"/>
    <s v="9733884785"/>
    <n v="3.96"/>
    <n v="40"/>
    <x v="1"/>
    <m/>
    <s v="2026-03-18"/>
    <s v="1138964"/>
    <s v="RAKESH FERTILIZER"/>
    <s v="9733026828"/>
  </r>
  <r>
    <s v="RCF Trombay"/>
    <s v="15-15-15"/>
    <s v="WB"/>
    <x v="14"/>
    <s v="Domkal"/>
    <s v="User Not Mapped"/>
    <s v="User Not Mapped"/>
    <s v="User Not Mapped"/>
    <n v="751478"/>
    <s v="BISWAJI BISWAS"/>
    <s v="Private Retailer"/>
    <s v="9733884785"/>
    <n v="3"/>
    <n v="40"/>
    <x v="1"/>
    <m/>
    <s v="2026-03-18"/>
    <s v="1138964"/>
    <s v="RAKESH FERTILIZER"/>
    <s v="9733026828"/>
  </r>
  <r>
    <s v="RCF Trombay"/>
    <s v="15-15-15"/>
    <s v="WB"/>
    <x v="14"/>
    <s v="Domkal"/>
    <s v="User Not Mapped"/>
    <s v="User Not Mapped"/>
    <s v="User Not Mapped"/>
    <n v="751486"/>
    <s v="HIRENDRANATH BISWAS"/>
    <s v="Private Retailer"/>
    <s v="9564671803"/>
    <n v="5.15"/>
    <n v="91"/>
    <x v="5"/>
    <m/>
    <s v="2026-01-26"/>
    <s v="223293"/>
    <s v="Bisanka Chandra Mondal And Son"/>
    <s v="9609521133"/>
  </r>
  <r>
    <s v="RCF Trombay"/>
    <s v="15-15-15"/>
    <s v="WB"/>
    <x v="14"/>
    <s v="Domkal"/>
    <s v="User Not Mapped"/>
    <s v="User Not Mapped"/>
    <s v="User Not Mapped"/>
    <n v="853403"/>
    <s v="SOMNATH PAL"/>
    <s v="Private Retailer"/>
    <s v="8016147944"/>
    <n v="4.5"/>
    <n v="89"/>
    <x v="2"/>
    <m/>
    <s v="2026-01-28"/>
    <s v="223292"/>
    <s v="M/s. Gouri Sankar Mandal"/>
    <s v="7365965125"/>
  </r>
  <r>
    <s v="RCF Trombay"/>
    <s v="15-15-15"/>
    <s v="WB"/>
    <x v="14"/>
    <s v="Domkal"/>
    <s v="User Not Mapped"/>
    <s v="User Not Mapped"/>
    <s v="User Not Mapped"/>
    <n v="908412"/>
    <s v="ALI HOSSAIN SHA"/>
    <s v="Private Retailer"/>
    <s v="7602311669"/>
    <n v="4.4000000000000004"/>
    <n v="46"/>
    <x v="1"/>
    <m/>
    <s v="2026-03-12"/>
    <s v="223293"/>
    <s v="Bisanka Chandra Mondal And Son"/>
    <s v="9609521133"/>
  </r>
  <r>
    <s v="RCF Trombay"/>
    <s v="N.C.Urea(45kg)"/>
    <s v="WB"/>
    <x v="14"/>
    <s v="Domkal"/>
    <s v="User Not Mapped"/>
    <s v="User Not Mapped"/>
    <s v="User Not Mapped"/>
    <n v="951609"/>
    <s v="RAKIBUL ISLAM"/>
    <s v="Private Retailer"/>
    <s v="8637358611"/>
    <n v="7.65"/>
    <n v="36"/>
    <x v="1"/>
    <m/>
    <s v="2026-03-22"/>
    <s v="1557438"/>
    <s v="DEBASHIS SAHA"/>
    <s v="9732566286"/>
  </r>
  <r>
    <s v="RCF Thal"/>
    <s v="N.C.Urea(45kg)"/>
    <s v="WB"/>
    <x v="14"/>
    <s v="Domkal"/>
    <s v="User Not Mapped"/>
    <s v="User Not Mapped"/>
    <s v="User Not Mapped"/>
    <n v="951609"/>
    <s v="RAKIBUL ISLAM"/>
    <s v="Private Retailer"/>
    <s v="8637358611"/>
    <n v="5.13"/>
    <n v="104"/>
    <x v="5"/>
    <m/>
    <s v="2026-01-13"/>
    <s v="1225743"/>
    <s v="MS BISWAS FERTILIZER"/>
    <s v="9735978597"/>
  </r>
  <r>
    <s v="RCF Trombay"/>
    <s v="N.C.Urea(45kg)"/>
    <s v="WB"/>
    <x v="14"/>
    <s v="Domkal"/>
    <s v="User Not Mapped"/>
    <s v="User Not Mapped"/>
    <s v="User Not Mapped"/>
    <n v="951609"/>
    <s v="RAKIBUL ISLAM"/>
    <s v="Private Retailer"/>
    <s v="8637358611"/>
    <n v="4.9950000000000001"/>
    <n v="77"/>
    <x v="2"/>
    <m/>
    <s v="2026-02-09"/>
    <s v="281704"/>
    <s v="Maa Fertilizer"/>
    <s v="9800042039"/>
  </r>
  <r>
    <s v="RCF Trombay"/>
    <s v="N.C.Urea(45kg)"/>
    <s v="WB"/>
    <x v="14"/>
    <s v="Domkal"/>
    <s v="User Not Mapped"/>
    <s v="User Not Mapped"/>
    <s v="User Not Mapped"/>
    <n v="951609"/>
    <s v="RAKIBUL ISLAM"/>
    <s v="Private Retailer"/>
    <s v="8637358611"/>
    <n v="4.8600000000000003"/>
    <n v="153"/>
    <x v="0"/>
    <m/>
    <s v="2025-11-25"/>
    <s v="281704"/>
    <s v="Maa Fertilizer"/>
    <s v="9800042039"/>
  </r>
  <r>
    <s v="RCF Trombay"/>
    <s v="15-15-15"/>
    <s v="WB"/>
    <x v="14"/>
    <s v="Domkal"/>
    <s v="User Not Mapped"/>
    <s v="User Not Mapped"/>
    <s v="User Not Mapped"/>
    <n v="951617"/>
    <s v="SARIFUL ISLAM"/>
    <s v="Private Retailer"/>
    <s v="9732955301"/>
    <n v="1"/>
    <n v="91"/>
    <x v="5"/>
    <m/>
    <s v="2026-01-26"/>
    <s v="223293"/>
    <s v="Bisanka Chandra Mondal And Son"/>
    <s v="9609521133"/>
  </r>
  <r>
    <s v="RCF Trombay"/>
    <s v="15-15-15"/>
    <s v="WB"/>
    <x v="14"/>
    <s v="Domkal"/>
    <s v="User Not Mapped"/>
    <s v="User Not Mapped"/>
    <s v="User Not Mapped"/>
    <n v="951625"/>
    <s v="SAHABUDDIN MONDAL"/>
    <s v="Private Retailer"/>
    <s v="8001385101"/>
    <n v="7.5"/>
    <n v="91"/>
    <x v="5"/>
    <m/>
    <s v="2026-01-26"/>
    <s v="223285"/>
    <s v="M/s. Golam Kibria"/>
    <s v="8371889332"/>
  </r>
  <r>
    <s v="RCF Trombay"/>
    <s v="15-15-15"/>
    <s v="WB"/>
    <x v="14"/>
    <s v="Domkal"/>
    <s v="User Not Mapped"/>
    <s v="User Not Mapped"/>
    <s v="User Not Mapped"/>
    <n v="951661"/>
    <s v="SUMIT BISWAS"/>
    <s v="Private Retailer"/>
    <s v="8768030152"/>
    <n v="0.5"/>
    <n v="715"/>
    <x v="7"/>
    <m/>
    <s v="2024-05-12"/>
    <s v="1116229"/>
    <s v="SAIFUL ISLAM"/>
    <s v="9733591556"/>
  </r>
  <r>
    <s v="RCF Trombay"/>
    <s v="N.C.Urea(45kg)"/>
    <s v="WB"/>
    <x v="14"/>
    <s v="Domkal"/>
    <s v="User Not Mapped"/>
    <s v="User Not Mapped"/>
    <s v="User Not Mapped"/>
    <n v="951738"/>
    <s v="SETABUDDIN BISWAS"/>
    <s v="Private Retailer"/>
    <s v="9732900553"/>
    <n v="8.1000000000000003E-2"/>
    <n v="289"/>
    <x v="3"/>
    <m/>
    <s v="2025-07-12"/>
    <s v="223292"/>
    <s v="M/s. Gouri Sankar Mandal"/>
    <s v="7365965125"/>
  </r>
  <r>
    <s v="RCF Trombay"/>
    <s v="15-15-15"/>
    <s v="WB"/>
    <x v="14"/>
    <s v="Domkal"/>
    <s v="User Not Mapped"/>
    <s v="User Not Mapped"/>
    <s v="User Not Mapped"/>
    <n v="951751"/>
    <s v="GANGADASPARA SKUS LTD"/>
    <s v="PACS"/>
    <s v="9733758482"/>
    <n v="10"/>
    <n v="41"/>
    <x v="1"/>
    <m/>
    <s v="2026-03-17"/>
    <s v="596479"/>
    <s v="M/S RANA FERTILISERS STORES"/>
    <s v="8350079945"/>
  </r>
  <r>
    <s v="RCF Thal"/>
    <s v="N.C.Urea(45kg)"/>
    <s v="WB"/>
    <x v="14"/>
    <s v="Domkal"/>
    <s v="User Not Mapped"/>
    <s v="User Not Mapped"/>
    <s v="User Not Mapped"/>
    <n v="1150970"/>
    <s v="ABDUR RASID MANDAL"/>
    <s v="Private Retailer"/>
    <s v="9641246822"/>
    <n v="0.33500000000000002"/>
    <n v="1917"/>
    <x v="7"/>
    <m/>
    <s v="2021-01-26"/>
    <s v="281705"/>
    <s v="MAHABAT ALI"/>
    <s v="9434013573"/>
  </r>
  <r>
    <s v="RCF Thal"/>
    <s v="N.C.Urea(45kg)"/>
    <s v="WB"/>
    <x v="14"/>
    <s v="Domkal"/>
    <s v="User Not Mapped"/>
    <s v="User Not Mapped"/>
    <s v="User Not Mapped"/>
    <n v="1150972"/>
    <s v="M/S BISWAS FERTILISER"/>
    <s v="Private Retailer"/>
    <s v="9775444732"/>
    <n v="0.94499999999999995"/>
    <n v="117"/>
    <x v="5"/>
    <m/>
    <s v="2025-12-31"/>
    <s v="223292"/>
    <s v="M/s. Gouri Sankar Mandal"/>
    <s v="7365965125"/>
  </r>
  <r>
    <s v="RCF Import"/>
    <s v="Imp 10-26-26"/>
    <s v="WB"/>
    <x v="14"/>
    <s v="Domkal"/>
    <s v="User Not Mapped"/>
    <s v="User Not Mapped"/>
    <s v="User Not Mapped"/>
    <n v="1157813"/>
    <s v="MS RAHAT FERTILIZER"/>
    <s v="Private Retailer"/>
    <s v="7718584390"/>
    <n v="1"/>
    <n v="153"/>
    <x v="0"/>
    <m/>
    <s v="2025-11-25"/>
    <s v="281704"/>
    <s v="Maa Fertilizer"/>
    <s v="9800042039"/>
  </r>
  <r>
    <s v="RCF Trombay"/>
    <s v="N.C.Urea(45kg)"/>
    <s v="WB"/>
    <x v="14"/>
    <s v="Domkal"/>
    <s v="User Not Mapped"/>
    <s v="User Not Mapped"/>
    <s v="User Not Mapped"/>
    <n v="1157813"/>
    <s v="MS RAHAT FERTILIZER"/>
    <s v="Private Retailer"/>
    <s v="7718584390"/>
    <n v="0.54"/>
    <n v="144"/>
    <x v="0"/>
    <m/>
    <s v="2025-12-04"/>
    <s v="281704"/>
    <s v="Maa Fertilizer"/>
    <s v="9800042039"/>
  </r>
  <r>
    <s v="RCF Trombay"/>
    <s v="15-15-15"/>
    <s v="WB"/>
    <x v="14"/>
    <s v="Domkal"/>
    <s v="User Not Mapped"/>
    <s v="User Not Mapped"/>
    <s v="User Not Mapped"/>
    <n v="1157813"/>
    <s v="MS RAHAT FERTILIZER"/>
    <s v="Private Retailer"/>
    <s v="7718584390"/>
    <n v="1.25"/>
    <n v="153"/>
    <x v="0"/>
    <m/>
    <s v="2025-11-25"/>
    <s v="281704"/>
    <s v="Maa Fertilizer"/>
    <s v="9800042039"/>
  </r>
  <r>
    <s v="RCF Thal"/>
    <s v="N.C.Urea(45kg)"/>
    <s v="WB"/>
    <x v="14"/>
    <s v="Domkal"/>
    <s v="User Not Mapped"/>
    <s v="User Not Mapped"/>
    <s v="User Not Mapped"/>
    <n v="1157813"/>
    <s v="MS RAHAT FERTILIZER"/>
    <s v="Private Retailer"/>
    <s v="7718584390"/>
    <n v="6.3449999999999998"/>
    <n v="118"/>
    <x v="5"/>
    <m/>
    <s v="2025-12-30"/>
    <s v="281704"/>
    <s v="Maa Fertilizer"/>
    <s v="9800042039"/>
  </r>
  <r>
    <s v="RCF Thal"/>
    <s v="N.C.Urea(45kg)"/>
    <s v="WB"/>
    <x v="14"/>
    <s v="Domkal"/>
    <s v="User Not Mapped"/>
    <s v="User Not Mapped"/>
    <s v="User Not Mapped"/>
    <n v="1157813"/>
    <s v="MS RAHAT FERTILIZER"/>
    <s v="Private Retailer"/>
    <s v="7718584390"/>
    <n v="3.0150000000000001"/>
    <n v="115"/>
    <x v="5"/>
    <m/>
    <s v="2026-01-02"/>
    <s v="281704"/>
    <s v="Maa Fertilizer"/>
    <s v="9800042039"/>
  </r>
  <r>
    <s v="RCF Thal"/>
    <s v="N.C.Urea(45kg)"/>
    <s v="WB"/>
    <x v="14"/>
    <s v="Domkal"/>
    <s v="User Not Mapped"/>
    <s v="User Not Mapped"/>
    <s v="User Not Mapped"/>
    <n v="1157813"/>
    <s v="MS RAHAT FERTILIZER"/>
    <s v="Private Retailer"/>
    <s v="7718584390"/>
    <n v="7.02"/>
    <n v="47"/>
    <x v="1"/>
    <m/>
    <s v="2026-03-11"/>
    <s v="281704"/>
    <s v="Maa Fertilizer"/>
    <s v="9800042039"/>
  </r>
  <r>
    <s v="RCF Trombay"/>
    <s v="15-15-15"/>
    <s v="WB"/>
    <x v="14"/>
    <s v="Domkal"/>
    <s v="User Not Mapped"/>
    <s v="User Not Mapped"/>
    <s v="User Not Mapped"/>
    <n v="1213343"/>
    <s v="AMRUL ISLAM"/>
    <s v="Private Retailer"/>
    <s v="9647338462"/>
    <n v="7"/>
    <n v="254"/>
    <x v="3"/>
    <m/>
    <s v="2025-08-16"/>
    <s v="223292"/>
    <s v="M/s. Gouri Sankar Mandal"/>
    <s v="7365965125"/>
  </r>
  <r>
    <s v="RCF Thal"/>
    <s v="N.C.Urea(45kg)"/>
    <s v="WB"/>
    <x v="14"/>
    <s v="Domkal"/>
    <s v="User Not Mapped"/>
    <s v="User Not Mapped"/>
    <s v="User Not Mapped"/>
    <n v="1289100"/>
    <s v="ENAFUL ISLAM MONDAL"/>
    <s v="Private Retailer"/>
    <s v="9733780198"/>
    <n v="0.22500000000000001"/>
    <n v="287"/>
    <x v="3"/>
    <m/>
    <s v="2025-07-14"/>
    <s v="223292"/>
    <s v="M/s. Gouri Sankar Mandal"/>
    <s v="7365965125"/>
  </r>
  <r>
    <s v="RCF Trombay"/>
    <s v="15-15-15"/>
    <s v="WB"/>
    <x v="14"/>
    <s v="Domkal"/>
    <s v="User Not Mapped"/>
    <s v="User Not Mapped"/>
    <s v="User Not Mapped"/>
    <n v="1340003"/>
    <s v="MOSTAFA SEKH"/>
    <s v="Private Retailer"/>
    <s v="9083012508"/>
    <n v="4.5"/>
    <n v="46"/>
    <x v="1"/>
    <m/>
    <s v="2026-03-12"/>
    <s v="223293"/>
    <s v="Bisanka Chandra Mondal And Son"/>
    <s v="9609521133"/>
  </r>
  <r>
    <s v="RCF Trombay"/>
    <s v="N.C.Urea(45kg)"/>
    <s v="WB"/>
    <x v="14"/>
    <s v="Domkal"/>
    <s v="User Not Mapped"/>
    <s v="User Not Mapped"/>
    <s v="User Not Mapped"/>
    <n v="1354284"/>
    <s v="HABIBUR RAHAMAN"/>
    <s v="Private Retailer"/>
    <s v="9593491424"/>
    <n v="7.02"/>
    <n v="44"/>
    <x v="1"/>
    <m/>
    <s v="2026-03-14"/>
    <s v="1225743"/>
    <s v="MS BISWAS FERTILIZER"/>
    <s v="9735978597"/>
  </r>
  <r>
    <s v="RCF Trombay"/>
    <s v="N.C.Urea(45kg)"/>
    <s v="WB"/>
    <x v="14"/>
    <s v="Domkal"/>
    <s v="User Not Mapped"/>
    <s v="User Not Mapped"/>
    <s v="User Not Mapped"/>
    <n v="1354284"/>
    <s v="HABIBUR RAHAMAN"/>
    <s v="Private Retailer"/>
    <s v="9593491424"/>
    <n v="4.5"/>
    <n v="36"/>
    <x v="1"/>
    <m/>
    <s v="2026-03-22"/>
    <s v="1557438"/>
    <s v="DEBASHIS SAHA"/>
    <s v="9732566286"/>
  </r>
  <r>
    <s v="RCF Trombay"/>
    <s v="15-15-15"/>
    <s v="WB"/>
    <x v="14"/>
    <s v="Domkal"/>
    <s v="User Not Mapped"/>
    <s v="User Not Mapped"/>
    <s v="User Not Mapped"/>
    <n v="1354284"/>
    <s v="HABIBUR RAHAMAN"/>
    <s v="Private Retailer"/>
    <s v="9593491424"/>
    <n v="5"/>
    <n v="9"/>
    <x v="4"/>
    <m/>
    <s v="2026-04-18"/>
    <s v="1557438"/>
    <s v="DEBASHIS SAHA"/>
    <s v="9732566286"/>
  </r>
  <r>
    <s v="RCF Trombay"/>
    <s v="15-15-15"/>
    <s v="WB"/>
    <x v="14"/>
    <s v="Domkal"/>
    <s v="User Not Mapped"/>
    <s v="User Not Mapped"/>
    <s v="User Not Mapped"/>
    <n v="1392337"/>
    <s v="ENAMUL HAQUE"/>
    <s v="Private Retailer"/>
    <s v="7872413509"/>
    <n v="0.75"/>
    <n v="253"/>
    <x v="3"/>
    <m/>
    <s v="2025-08-17"/>
    <s v="1557438"/>
    <s v="DEBASHIS SAHA"/>
    <s v="9732566286"/>
  </r>
  <r>
    <s v="RCF Trombay"/>
    <s v="15-15-15"/>
    <s v="WB"/>
    <x v="14"/>
    <s v="Domkal"/>
    <s v="User Not Mapped"/>
    <s v="User Not Mapped"/>
    <s v="User Not Mapped"/>
    <n v="1392337"/>
    <s v="ENAMUL HAQUE"/>
    <s v="Private Retailer"/>
    <s v="7872413509"/>
    <n v="7"/>
    <n v="91"/>
    <x v="5"/>
    <m/>
    <s v="2026-01-26"/>
    <s v="223293"/>
    <s v="Bisanka Chandra Mondal And Son"/>
    <s v="9609521133"/>
  </r>
  <r>
    <s v="RCF Thal"/>
    <s v="N.C.Urea(45kg)"/>
    <s v="WB"/>
    <x v="14"/>
    <s v="Domkal"/>
    <s v="User Not Mapped"/>
    <s v="User Not Mapped"/>
    <s v="User Not Mapped"/>
    <n v="1484101"/>
    <s v="SAJAHAN MONDAL"/>
    <s v="Private Retailer"/>
    <s v="9775631563"/>
    <n v="2.1150000000000002"/>
    <n v="117"/>
    <x v="5"/>
    <m/>
    <s v="2025-12-31"/>
    <s v="1320516"/>
    <s v="BIDHAN CHANDRA BISWAS"/>
    <s v="9732816547"/>
  </r>
  <r>
    <s v="RCF Trombay"/>
    <s v="15-15-15"/>
    <s v="WB"/>
    <x v="14"/>
    <s v="Domkal"/>
    <s v="User Not Mapped"/>
    <s v="User Not Mapped"/>
    <s v="User Not Mapped"/>
    <n v="1484101"/>
    <s v="SAJAHAN MONDAL"/>
    <s v="Private Retailer"/>
    <s v="9775631563"/>
    <n v="7"/>
    <n v="40"/>
    <x v="1"/>
    <m/>
    <s v="2026-03-18"/>
    <s v="1138964"/>
    <s v="RAKESH FERTILIZER"/>
    <s v="9733026828"/>
  </r>
  <r>
    <s v="RCF Trombay"/>
    <s v="N.C.Urea(45kg)"/>
    <s v="WB"/>
    <x v="14"/>
    <s v="Domkal"/>
    <s v="User Not Mapped"/>
    <s v="User Not Mapped"/>
    <s v="User Not Mapped"/>
    <n v="1484101"/>
    <s v="SAJAHAN MONDAL"/>
    <s v="Private Retailer"/>
    <s v="9775631563"/>
    <n v="7.02"/>
    <n v="40"/>
    <x v="1"/>
    <m/>
    <s v="2026-03-18"/>
    <s v="1138964"/>
    <s v="RAKESH FERTILIZER"/>
    <s v="9733026828"/>
  </r>
  <r>
    <s v="RCF Trombay"/>
    <s v="15-15-15"/>
    <s v="WB"/>
    <x v="14"/>
    <s v="Domkal"/>
    <s v="User Not Mapped"/>
    <s v="User Not Mapped"/>
    <s v="User Not Mapped"/>
    <n v="1519067"/>
    <s v="SOHEL RANA"/>
    <s v="Private Retailer"/>
    <s v="9735086449"/>
    <n v="15"/>
    <n v="41"/>
    <x v="1"/>
    <m/>
    <s v="2026-03-17"/>
    <s v="596479"/>
    <s v="M/S RANA FERTILISERS STORES"/>
    <s v="8350079945"/>
  </r>
  <r>
    <s v="RCF Trombay"/>
    <s v="N.C.Urea(45kg)"/>
    <s v="WB"/>
    <x v="14"/>
    <s v="Farakka"/>
    <s v="User Not Mapped"/>
    <s v="User Not Mapped"/>
    <s v="User Not Mapped"/>
    <n v="484030"/>
    <s v="Sk Samsher Ali"/>
    <s v="Private Retailer"/>
    <s v="9733018344"/>
    <n v="5.49"/>
    <n v="1478"/>
    <x v="7"/>
    <m/>
    <s v="2022-04-10"/>
    <s v="269139"/>
    <s v="Firoj Ali"/>
    <s v="9932787296"/>
  </r>
  <r>
    <s v="RCF Thal"/>
    <s v="N.C.Urea(45kg)"/>
    <s v="WB"/>
    <x v="14"/>
    <s v="Farakka"/>
    <s v="User Not Mapped"/>
    <s v="User Not Mapped"/>
    <s v="User Not Mapped"/>
    <n v="484030"/>
    <s v="Sk Samsher Ali"/>
    <s v="Private Retailer"/>
    <s v="9733018344"/>
    <n v="9.99"/>
    <n v="247"/>
    <x v="3"/>
    <m/>
    <s v="2025-08-23"/>
    <s v="269139"/>
    <s v="Firoj Ali"/>
    <s v="9932787296"/>
  </r>
  <r>
    <s v="RCF Thal"/>
    <s v="N.C.Urea(45kg)"/>
    <s v="WB"/>
    <x v="14"/>
    <s v="Farakka"/>
    <s v="User Not Mapped"/>
    <s v="User Not Mapped"/>
    <s v="User Not Mapped"/>
    <n v="946615"/>
    <s v="TINKU KRISHI GHAR"/>
    <s v="Private Retailer"/>
    <s v="9002162712"/>
    <n v="0.22500000000000001"/>
    <n v="1224"/>
    <x v="7"/>
    <m/>
    <s v="2022-12-20"/>
    <s v="289309"/>
    <s v="Fatema Begam"/>
    <s v="9733510936"/>
  </r>
  <r>
    <s v="RCF Thal"/>
    <s v="N.C.Urea(45kg)"/>
    <s v="WB"/>
    <x v="14"/>
    <s v="Farakka"/>
    <s v="User Not Mapped"/>
    <s v="User Not Mapped"/>
    <s v="User Not Mapped"/>
    <n v="1483430"/>
    <s v="PRADIP KUMAR MONDAL"/>
    <s v="Private Retailer"/>
    <s v="7001258568"/>
    <n v="0.36499999999999999"/>
    <n v="238"/>
    <x v="3"/>
    <m/>
    <s v="2025-09-01"/>
    <s v="1140145"/>
    <s v="SAMPA KRISHI GHAR"/>
    <s v="9775055288"/>
  </r>
  <r>
    <s v="RCF Thal"/>
    <s v="N.C.Urea(45kg)"/>
    <s v="WB"/>
    <x v="14"/>
    <s v="Hariharpara"/>
    <s v="User Not Mapped"/>
    <s v="User Not Mapped"/>
    <s v="User Not Mapped"/>
    <n v="247495"/>
    <s v="Sahajahan Biswas"/>
    <s v="Private Retailer"/>
    <s v="7718459645"/>
    <n v="6.6150000000000002"/>
    <n v="47"/>
    <x v="1"/>
    <m/>
    <s v="2026-03-11"/>
    <s v="280775"/>
    <s v="R A Kheria"/>
    <s v="9830290085"/>
  </r>
  <r>
    <s v="RCF Trombay"/>
    <s v="N.C.Urea(45kg)"/>
    <s v="WB"/>
    <x v="14"/>
    <s v="Hariharpara"/>
    <s v="User Not Mapped"/>
    <s v="User Not Mapped"/>
    <s v="User Not Mapped"/>
    <n v="289146"/>
    <s v="Abul Kalam"/>
    <s v="Private Retailer"/>
    <s v="9641028033"/>
    <n v="9.5850000000000009"/>
    <n v="303"/>
    <x v="3"/>
    <m/>
    <s v="2025-06-28"/>
    <s v="281704"/>
    <s v="Maa Fertilizer"/>
    <s v="9800042039"/>
  </r>
  <r>
    <s v="RCF Thal"/>
    <s v="N.C.Urea(45kg)"/>
    <s v="WB"/>
    <x v="14"/>
    <s v="Hariharpara"/>
    <s v="User Not Mapped"/>
    <s v="User Not Mapped"/>
    <s v="User Not Mapped"/>
    <n v="289146"/>
    <s v="Abul Kalam"/>
    <s v="Private Retailer"/>
    <s v="9641028033"/>
    <n v="4.1399999999999997"/>
    <n v="237"/>
    <x v="3"/>
    <m/>
    <s v="2025-09-02"/>
    <s v="281704"/>
    <s v="Maa Fertilizer"/>
    <s v="9800042039"/>
  </r>
  <r>
    <s v="RCF Thal"/>
    <s v="N.C.Urea(45kg)"/>
    <s v="WB"/>
    <x v="14"/>
    <s v="Hariharpara"/>
    <s v="User Not Mapped"/>
    <s v="User Not Mapped"/>
    <s v="User Not Mapped"/>
    <n v="289146"/>
    <s v="Abul Kalam"/>
    <s v="Private Retailer"/>
    <s v="9641028033"/>
    <n v="3.0150000000000001"/>
    <n v="115"/>
    <x v="5"/>
    <m/>
    <s v="2026-01-02"/>
    <s v="281704"/>
    <s v="Maa Fertilizer"/>
    <s v="9800042039"/>
  </r>
  <r>
    <s v="RCF Trombay"/>
    <s v="N.C.Urea(45kg)"/>
    <s v="WB"/>
    <x v="14"/>
    <s v="Hariharpara"/>
    <s v="User Not Mapped"/>
    <s v="User Not Mapped"/>
    <s v="User Not Mapped"/>
    <n v="289146"/>
    <s v="Abul Kalam"/>
    <s v="Private Retailer"/>
    <s v="9641028033"/>
    <n v="6.0750000000000002"/>
    <n v="252"/>
    <x v="3"/>
    <m/>
    <s v="2025-08-18"/>
    <s v="281704"/>
    <s v="Maa Fertilizer"/>
    <s v="9800042039"/>
  </r>
  <r>
    <s v="RCF Trombay"/>
    <s v="N.C.Urea(45kg)"/>
    <s v="WB"/>
    <x v="14"/>
    <s v="Hariharpara"/>
    <s v="User Not Mapped"/>
    <s v="User Not Mapped"/>
    <s v="User Not Mapped"/>
    <n v="289200"/>
    <s v="Khairul Hasan"/>
    <s v="Private Retailer"/>
    <s v="9434639541"/>
    <n v="12.69"/>
    <n v="36"/>
    <x v="1"/>
    <m/>
    <s v="2026-03-22"/>
    <s v="223292"/>
    <s v="M/s. Gouri Sankar Mandal"/>
    <s v="7365965125"/>
  </r>
  <r>
    <s v="RCF Thal"/>
    <s v="N.C.Urea(45kg)"/>
    <s v="WB"/>
    <x v="14"/>
    <s v="Hariharpara"/>
    <s v="User Not Mapped"/>
    <s v="User Not Mapped"/>
    <s v="User Not Mapped"/>
    <n v="341472"/>
    <s v="Hasanuzzaman"/>
    <s v="Private Retailer"/>
    <s v="8945938909"/>
    <n v="2.79"/>
    <n v="118"/>
    <x v="5"/>
    <m/>
    <s v="2025-12-30"/>
    <s v="223292"/>
    <s v="M/s. Gouri Sankar Mandal"/>
    <s v="7365965125"/>
  </r>
  <r>
    <s v="RCF Trombay"/>
    <s v="15-15-15"/>
    <s v="WB"/>
    <x v="14"/>
    <s v="Hariharpara"/>
    <s v="User Not Mapped"/>
    <s v="User Not Mapped"/>
    <s v="User Not Mapped"/>
    <n v="354754"/>
    <s v="Attab Ali Mondal"/>
    <s v="Private Retailer"/>
    <s v="9775809134"/>
    <n v="4"/>
    <n v="6"/>
    <x v="4"/>
    <m/>
    <s v="2026-04-21"/>
    <s v="1223223"/>
    <s v="AKASH SAHIN"/>
    <s v="8944813733"/>
  </r>
  <r>
    <s v="RCF Trombay"/>
    <s v="15-15-15"/>
    <s v="WB"/>
    <x v="14"/>
    <s v="Hariharpara"/>
    <s v="User Not Mapped"/>
    <s v="User Not Mapped"/>
    <s v="User Not Mapped"/>
    <n v="839504"/>
    <s v="MONDAL FERTILIZER"/>
    <s v="Private Retailer"/>
    <s v="7872179550"/>
    <n v="2.5"/>
    <n v="44"/>
    <x v="1"/>
    <m/>
    <s v="2026-03-14"/>
    <s v="223283"/>
    <s v="B Mukherjee  And Company"/>
    <s v="7430990680"/>
  </r>
  <r>
    <s v="RCF Thal"/>
    <s v="N.C.Urea(45kg)"/>
    <s v="WB"/>
    <x v="14"/>
    <s v="Hariharpara"/>
    <s v="User Not Mapped"/>
    <s v="User Not Mapped"/>
    <s v="User Not Mapped"/>
    <n v="1071576"/>
    <s v="HABIBUR RAHAMAN"/>
    <s v="Private Retailer"/>
    <s v="7908405263"/>
    <n v="6.0750000000000002"/>
    <n v="112"/>
    <x v="5"/>
    <m/>
    <s v="2026-01-05"/>
    <s v="223292"/>
    <s v="M/s. Gouri Sankar Mandal"/>
    <s v="7365965125"/>
  </r>
  <r>
    <s v="RCF Thal"/>
    <s v="N.C.Urea(45kg)"/>
    <s v="WB"/>
    <x v="14"/>
    <s v="Hariharpara"/>
    <s v="User Not Mapped"/>
    <s v="User Not Mapped"/>
    <s v="User Not Mapped"/>
    <n v="1099735"/>
    <s v="AFROJA BIBI"/>
    <s v="Private Retailer"/>
    <s v="6297448021"/>
    <n v="3.24"/>
    <n v="47"/>
    <x v="1"/>
    <m/>
    <s v="2026-03-11"/>
    <s v="223292"/>
    <s v="M/s. Gouri Sankar Mandal"/>
    <s v="7365965125"/>
  </r>
  <r>
    <s v="RCF Thal"/>
    <s v="N.C.Urea(45kg)"/>
    <s v="WB"/>
    <x v="14"/>
    <s v="Hariharpara"/>
    <s v="User Not Mapped"/>
    <s v="User Not Mapped"/>
    <s v="User Not Mapped"/>
    <n v="1249794"/>
    <s v="FARUK SAIKH"/>
    <s v="Private Retailer"/>
    <s v="9647978943"/>
    <n v="0.76500000000000001"/>
    <n v="460"/>
    <x v="6"/>
    <m/>
    <s v="2025-01-22"/>
    <s v="223292"/>
    <s v="M/s. Gouri Sankar Mandal"/>
    <s v="7365965125"/>
  </r>
  <r>
    <s v="RCF Trombay"/>
    <s v="N.C.Urea(45kg)"/>
    <s v="WB"/>
    <x v="14"/>
    <s v="Hariharpara"/>
    <s v="User Not Mapped"/>
    <s v="User Not Mapped"/>
    <s v="User Not Mapped"/>
    <n v="1286605"/>
    <s v="REKSONA KHATUN"/>
    <s v="Private Retailer"/>
    <s v="9749486216"/>
    <n v="11.71"/>
    <n v="164"/>
    <x v="0"/>
    <m/>
    <s v="2025-11-14"/>
    <s v="269139"/>
    <s v="Firoj Ali"/>
    <s v="9932787296"/>
  </r>
  <r>
    <s v="RCF Thal"/>
    <s v="N.C.Urea(45kg)"/>
    <s v="WB"/>
    <x v="14"/>
    <s v="Hariharpara"/>
    <s v="User Not Mapped"/>
    <s v="User Not Mapped"/>
    <s v="User Not Mapped"/>
    <n v="1286605"/>
    <s v="REKSONA KHATUN"/>
    <s v="Private Retailer"/>
    <s v="9749486216"/>
    <n v="7.165"/>
    <n v="164"/>
    <x v="0"/>
    <m/>
    <s v="2025-11-14"/>
    <s v="269139"/>
    <s v="Firoj Ali"/>
    <s v="9932787296"/>
  </r>
  <r>
    <s v="RCF Thal"/>
    <s v="N.C.Urea(45kg)"/>
    <s v="WB"/>
    <x v="14"/>
    <s v="Hariharpara"/>
    <s v="User Not Mapped"/>
    <s v="User Not Mapped"/>
    <s v="User Not Mapped"/>
    <n v="1288388"/>
    <s v="GOLAM MUSTAFA MONDAL"/>
    <s v="Private Retailer"/>
    <s v="6294648719"/>
    <n v="0.435"/>
    <n v="251"/>
    <x v="3"/>
    <m/>
    <s v="2025-08-19"/>
    <s v="1272718"/>
    <s v="MUKLESH BISWAS"/>
    <s v="9733941741"/>
  </r>
  <r>
    <s v="RCF Thal"/>
    <s v="N.C.Urea(45kg)"/>
    <s v="WB"/>
    <x v="14"/>
    <s v="Hariharpara"/>
    <s v="User Not Mapped"/>
    <s v="User Not Mapped"/>
    <s v="User Not Mapped"/>
    <n v="1288410"/>
    <s v="M/S MOLLA FERTILIZER"/>
    <s v="Private Retailer"/>
    <s v="6296453102"/>
    <n v="8.64"/>
    <n v="118"/>
    <x v="5"/>
    <m/>
    <s v="2025-12-30"/>
    <s v="223292"/>
    <s v="M/s. Gouri Sankar Mandal"/>
    <s v="7365965125"/>
  </r>
  <r>
    <s v="RCF Thal"/>
    <s v="N.C.Urea(45kg)"/>
    <s v="WB"/>
    <x v="14"/>
    <s v="Hariharpara"/>
    <s v="User Not Mapped"/>
    <s v="User Not Mapped"/>
    <s v="User Not Mapped"/>
    <n v="1288410"/>
    <s v="M/S MOLLA FERTILIZER"/>
    <s v="Private Retailer"/>
    <s v="6296453102"/>
    <n v="19.035"/>
    <n v="118"/>
    <x v="5"/>
    <m/>
    <s v="2025-12-30"/>
    <s v="223293"/>
    <s v="Bisanka Chandra Mondal And Son"/>
    <s v="9609521133"/>
  </r>
  <r>
    <s v="RCF Trombay"/>
    <s v="N.C.Urea(45kg)"/>
    <s v="WB"/>
    <x v="14"/>
    <s v="Hariharpara"/>
    <s v="User Not Mapped"/>
    <s v="User Not Mapped"/>
    <s v="User Not Mapped"/>
    <n v="1499768"/>
    <s v="BITTU BANERJEE"/>
    <s v="Private Retailer"/>
    <s v="8617445543"/>
    <n v="2.97"/>
    <n v="360"/>
    <x v="3"/>
    <m/>
    <s v="2025-05-02"/>
    <s v="223285"/>
    <s v="M/s. Golam Kibria"/>
    <s v="8371889332"/>
  </r>
  <r>
    <s v="RCF Trombay"/>
    <s v="15-15-15"/>
    <s v="WB"/>
    <x v="14"/>
    <s v="Hariharpara"/>
    <s v="User Not Mapped"/>
    <s v="User Not Mapped"/>
    <s v="User Not Mapped"/>
    <n v="1499768"/>
    <s v="BITTU BANERJEE"/>
    <s v="Private Retailer"/>
    <s v="8617445543"/>
    <n v="1"/>
    <n v="356"/>
    <x v="3"/>
    <m/>
    <s v="2025-05-06"/>
    <s v="223285"/>
    <s v="M/s. Golam Kibria"/>
    <s v="8371889332"/>
  </r>
  <r>
    <s v="RCF Import"/>
    <s v="Imp 10-26-26"/>
    <s v="WB"/>
    <x v="14"/>
    <s v="Hariharpara"/>
    <s v="User Not Mapped"/>
    <s v="User Not Mapped"/>
    <s v="User Not Mapped"/>
    <n v="1581064"/>
    <s v="WASHIM FERTILIZER"/>
    <s v="Private Retailer"/>
    <s v="7031325937"/>
    <n v="7"/>
    <n v="66"/>
    <x v="2"/>
    <m/>
    <s v="2026-02-20"/>
    <s v="223285"/>
    <s v="M/s. Golam Kibria"/>
    <s v="8371889332"/>
  </r>
  <r>
    <s v="RCF Trombay"/>
    <s v="15-15-15"/>
    <s v="WB"/>
    <x v="14"/>
    <s v="Jalangi"/>
    <s v="User Not Mapped"/>
    <s v="User Not Mapped"/>
    <s v="User Not Mapped"/>
    <n v="235770"/>
    <s v="Ramen Kumar Mandal"/>
    <s v="Private Retailer"/>
    <s v="8250446228"/>
    <n v="2.75"/>
    <n v="44"/>
    <x v="1"/>
    <m/>
    <s v="2026-03-14"/>
    <s v="1225743"/>
    <s v="MS BISWAS FERTILIZER"/>
    <s v="9735978597"/>
  </r>
  <r>
    <s v="RCF Thal"/>
    <s v="N.C.Urea(45kg)"/>
    <s v="WB"/>
    <x v="14"/>
    <s v="Jalangi"/>
    <s v="User Not Mapped"/>
    <s v="User Not Mapped"/>
    <s v="User Not Mapped"/>
    <n v="247440"/>
    <s v="Debabrata Saha"/>
    <s v="Private Retailer"/>
    <s v="9932064467"/>
    <n v="7.02"/>
    <n v="108"/>
    <x v="5"/>
    <m/>
    <s v="2026-01-09"/>
    <s v="223286"/>
    <s v="Dutta Pramanik Enterprise"/>
    <s v="9475520520"/>
  </r>
  <r>
    <s v="RCF Import"/>
    <s v="Imp 10-26-26"/>
    <s v="WB"/>
    <x v="14"/>
    <s v="Jalangi"/>
    <s v="User Not Mapped"/>
    <s v="User Not Mapped"/>
    <s v="User Not Mapped"/>
    <n v="247440"/>
    <s v="Debabrata Saha"/>
    <s v="Private Retailer"/>
    <s v="9932064467"/>
    <n v="3.5"/>
    <n v="62"/>
    <x v="2"/>
    <m/>
    <s v="2026-02-24"/>
    <s v="281704"/>
    <s v="Maa Fertilizer"/>
    <s v="9800042039"/>
  </r>
  <r>
    <s v="RCF Thal"/>
    <s v="N.C.Urea(45kg)"/>
    <s v="WB"/>
    <x v="14"/>
    <s v="Jalangi"/>
    <s v="User Not Mapped"/>
    <s v="User Not Mapped"/>
    <s v="User Not Mapped"/>
    <n v="247440"/>
    <s v="Debabrata Saha"/>
    <s v="Private Retailer"/>
    <s v="9932064467"/>
    <n v="7.02"/>
    <n v="47"/>
    <x v="1"/>
    <m/>
    <s v="2026-03-11"/>
    <s v="281704"/>
    <s v="Maa Fertilizer"/>
    <s v="9800042039"/>
  </r>
  <r>
    <s v="RCF Thal"/>
    <s v="N.C.Urea(45kg)"/>
    <s v="WB"/>
    <x v="14"/>
    <s v="Jalangi"/>
    <s v="User Not Mapped"/>
    <s v="User Not Mapped"/>
    <s v="User Not Mapped"/>
    <n v="247440"/>
    <s v="Debabrata Saha"/>
    <s v="Private Retailer"/>
    <s v="9932064467"/>
    <n v="3.1949999999999998"/>
    <n v="118"/>
    <x v="5"/>
    <m/>
    <s v="2025-12-30"/>
    <s v="281704"/>
    <s v="Maa Fertilizer"/>
    <s v="9800042039"/>
  </r>
  <r>
    <s v="RCF Import"/>
    <s v="Imp 10-26-26"/>
    <s v="WB"/>
    <x v="14"/>
    <s v="Jalangi"/>
    <s v="User Not Mapped"/>
    <s v="User Not Mapped"/>
    <s v="User Not Mapped"/>
    <n v="247488"/>
    <s v="Rajjak Molla"/>
    <s v="Private Retailer"/>
    <s v="9734398462"/>
    <n v="5.6"/>
    <n v="82"/>
    <x v="2"/>
    <m/>
    <s v="2026-02-04"/>
    <s v="223285"/>
    <s v="M/s. Golam Kibria"/>
    <s v="8371889332"/>
  </r>
  <r>
    <s v="RCF Trombay"/>
    <s v="15-15-15"/>
    <s v="WB"/>
    <x v="14"/>
    <s v="Jalangi"/>
    <s v="User Not Mapped"/>
    <s v="User Not Mapped"/>
    <s v="User Not Mapped"/>
    <n v="247488"/>
    <s v="Rajjak Molla"/>
    <s v="Private Retailer"/>
    <s v="9734398462"/>
    <n v="0.7"/>
    <n v="141"/>
    <x v="0"/>
    <m/>
    <s v="2025-12-07"/>
    <s v="223285"/>
    <s v="M/s. Golam Kibria"/>
    <s v="8371889332"/>
  </r>
  <r>
    <s v="RCF Thal"/>
    <s v="N.C.Urea(45kg)"/>
    <s v="WB"/>
    <x v="14"/>
    <s v="Jalangi"/>
    <s v="User Not Mapped"/>
    <s v="User Not Mapped"/>
    <s v="User Not Mapped"/>
    <n v="289194"/>
    <s v="Jnanaranjon Sarkar"/>
    <s v="Private Retailer"/>
    <s v="9732920471"/>
    <n v="2.16"/>
    <n v="47"/>
    <x v="1"/>
    <m/>
    <s v="2026-03-11"/>
    <s v="281704"/>
    <s v="Maa Fertilizer"/>
    <s v="9800042039"/>
  </r>
  <r>
    <s v="RCF Trombay"/>
    <s v="15-15-15"/>
    <s v="WB"/>
    <x v="14"/>
    <s v="Jalangi"/>
    <s v="User Not Mapped"/>
    <s v="User Not Mapped"/>
    <s v="User Not Mapped"/>
    <n v="289281"/>
    <s v="Shikha Rani Saha"/>
    <s v="Private Retailer"/>
    <s v="9800140000"/>
    <n v="1"/>
    <n v="153"/>
    <x v="0"/>
    <m/>
    <s v="2025-11-25"/>
    <s v="281704"/>
    <s v="Maa Fertilizer"/>
    <s v="9800042039"/>
  </r>
  <r>
    <s v="RCF Trombay"/>
    <s v="15-15-15"/>
    <s v="WB"/>
    <x v="14"/>
    <s v="Jalangi"/>
    <s v="User Not Mapped"/>
    <s v="User Not Mapped"/>
    <s v="User Not Mapped"/>
    <n v="342163"/>
    <s v="Pradip Joardar"/>
    <s v="Private Retailer"/>
    <s v="9734013788"/>
    <n v="7"/>
    <n v="64"/>
    <x v="2"/>
    <m/>
    <s v="2026-02-22"/>
    <s v="1225743"/>
    <s v="MS BISWAS FERTILIZER"/>
    <s v="9735978597"/>
  </r>
  <r>
    <s v="RCF Trombay"/>
    <s v="N.C.Urea(45kg)"/>
    <s v="WB"/>
    <x v="14"/>
    <s v="Jalangi"/>
    <s v="User Not Mapped"/>
    <s v="User Not Mapped"/>
    <s v="User Not Mapped"/>
    <n v="427086"/>
    <s v="Azimuddin Mandal"/>
    <s v="Private Retailer"/>
    <s v="9732568461"/>
    <n v="2.97"/>
    <n v="153"/>
    <x v="0"/>
    <m/>
    <s v="2025-11-25"/>
    <s v="281704"/>
    <s v="Maa Fertilizer"/>
    <s v="9800042039"/>
  </r>
  <r>
    <s v="RCF Trombay"/>
    <s v="15-15-15"/>
    <s v="WB"/>
    <x v="14"/>
    <s v="Jalangi"/>
    <s v="User Not Mapped"/>
    <s v="User Not Mapped"/>
    <s v="User Not Mapped"/>
    <n v="596277"/>
    <s v="Prasanta Kumar Halder"/>
    <s v="Private Retailer"/>
    <s v="9732617579"/>
    <n v="1.5"/>
    <n v="290"/>
    <x v="3"/>
    <m/>
    <s v="2025-07-11"/>
    <s v="1557438"/>
    <s v="DEBASHIS SAHA"/>
    <s v="9732566286"/>
  </r>
  <r>
    <s v="RCF Import"/>
    <s v="Imp 10-26-26"/>
    <s v="WB"/>
    <x v="14"/>
    <s v="Jalangi"/>
    <s v="User Not Mapped"/>
    <s v="User Not Mapped"/>
    <s v="User Not Mapped"/>
    <n v="862777"/>
    <s v="FARHIN AFROZ"/>
    <s v="Private Retailer"/>
    <s v="9734585698"/>
    <n v="7"/>
    <n v="82"/>
    <x v="2"/>
    <m/>
    <s v="2026-02-04"/>
    <s v="223285"/>
    <s v="M/s. Golam Kibria"/>
    <s v="8371889332"/>
  </r>
  <r>
    <s v="RCF Trombay"/>
    <s v="N.C.Urea(45kg)"/>
    <s v="WB"/>
    <x v="14"/>
    <s v="Jalangi"/>
    <s v="User Not Mapped"/>
    <s v="User Not Mapped"/>
    <s v="User Not Mapped"/>
    <n v="1008774"/>
    <s v="SAFIKUL ISLAM MONDAL"/>
    <s v="Private Retailer"/>
    <s v="9564177837"/>
    <n v="0.27"/>
    <n v="191"/>
    <x v="3"/>
    <m/>
    <s v="2025-10-18"/>
    <s v="1138964"/>
    <s v="RAKESH FERTILIZER"/>
    <s v="9733026828"/>
  </r>
  <r>
    <s v="RCF Thal"/>
    <s v="N.C.Urea(45kg)"/>
    <s v="WB"/>
    <x v="14"/>
    <s v="Jalangi"/>
    <s v="User Not Mapped"/>
    <s v="User Not Mapped"/>
    <s v="User Not Mapped"/>
    <n v="1071629"/>
    <s v="SAMIM AKHTAR"/>
    <s v="Private Retailer"/>
    <s v="9153185418"/>
    <n v="0.64800000000000002"/>
    <n v="47"/>
    <x v="1"/>
    <m/>
    <s v="2026-03-11"/>
    <s v="281704"/>
    <s v="Maa Fertilizer"/>
    <s v="9800042039"/>
  </r>
  <r>
    <s v="RCF Trombay"/>
    <s v="15-15-15"/>
    <s v="WB"/>
    <x v="14"/>
    <s v="Jalangi"/>
    <s v="User Not Mapped"/>
    <s v="User Not Mapped"/>
    <s v="User Not Mapped"/>
    <n v="1071629"/>
    <s v="SAMIM AKHTAR"/>
    <s v="Private Retailer"/>
    <s v="9153185418"/>
    <n v="7"/>
    <n v="45"/>
    <x v="1"/>
    <m/>
    <s v="2026-03-13"/>
    <s v="281704"/>
    <s v="Maa Fertilizer"/>
    <s v="9800042039"/>
  </r>
  <r>
    <s v="RCF Import"/>
    <s v="Imp 10-26-26"/>
    <s v="WB"/>
    <x v="14"/>
    <s v="Jalangi"/>
    <s v="User Not Mapped"/>
    <s v="User Not Mapped"/>
    <s v="User Not Mapped"/>
    <n v="1071629"/>
    <s v="SAMIM AKHTAR"/>
    <s v="Private Retailer"/>
    <s v="9153185418"/>
    <n v="3.5"/>
    <n v="62"/>
    <x v="2"/>
    <m/>
    <s v="2026-02-24"/>
    <s v="281704"/>
    <s v="Maa Fertilizer"/>
    <s v="9800042039"/>
  </r>
  <r>
    <s v="RCF Trombay"/>
    <s v="15-15-15"/>
    <s v="WB"/>
    <x v="14"/>
    <s v="Jalangi"/>
    <s v="User Not Mapped"/>
    <s v="User Not Mapped"/>
    <s v="User Not Mapped"/>
    <n v="1391259"/>
    <s v="BASARUL ISLAM"/>
    <s v="Private Retailer"/>
    <s v="6294876299"/>
    <n v="6"/>
    <n v="84"/>
    <x v="2"/>
    <m/>
    <s v="2026-02-02"/>
    <s v="280775"/>
    <s v="R A Kheria"/>
    <s v="9830290085"/>
  </r>
  <r>
    <s v="RCF Thal"/>
    <s v="N.C.Urea(45kg)"/>
    <s v="WB"/>
    <x v="14"/>
    <s v="Jalangi"/>
    <s v="User Not Mapped"/>
    <s v="User Not Mapped"/>
    <s v="User Not Mapped"/>
    <n v="1391259"/>
    <s v="BASARUL ISLAM"/>
    <s v="Private Retailer"/>
    <s v="6294876299"/>
    <n v="14.04"/>
    <n v="48"/>
    <x v="1"/>
    <m/>
    <s v="2026-03-10"/>
    <s v="223293"/>
    <s v="Bisanka Chandra Mondal And Son"/>
    <s v="9609521133"/>
  </r>
  <r>
    <s v="RCF Thal"/>
    <s v="N.C.Urea(45kg)"/>
    <s v="WB"/>
    <x v="14"/>
    <s v="Jalangi"/>
    <s v="User Not Mapped"/>
    <s v="User Not Mapped"/>
    <s v="User Not Mapped"/>
    <n v="1445517"/>
    <s v="HAQUE FERTILIZER"/>
    <s v="Private Retailer"/>
    <s v="9735671615"/>
    <n v="7.02"/>
    <n v="202"/>
    <x v="3"/>
    <m/>
    <s v="2025-10-07"/>
    <s v="281704"/>
    <s v="Maa Fertilizer"/>
    <s v="9800042039"/>
  </r>
  <r>
    <s v="RCF Thal"/>
    <s v="N.C.Urea(45kg)"/>
    <s v="WB"/>
    <x v="14"/>
    <s v="Kandi"/>
    <s v="User Not Mapped"/>
    <s v="User Not Mapped"/>
    <s v="User Not Mapped"/>
    <n v="270497"/>
    <s v="M/S Dinabandhu Ghosh"/>
    <s v="Private Retailer"/>
    <s v="9474308001"/>
    <n v="3.15"/>
    <n v="289"/>
    <x v="3"/>
    <m/>
    <s v="2025-07-12"/>
    <s v="876174"/>
    <s v="CHAND GOPAL PAUL"/>
    <s v="9732975001"/>
  </r>
  <r>
    <s v="RCF Import"/>
    <s v="Imp 10-26-26"/>
    <s v="WB"/>
    <x v="14"/>
    <s v="Kandi"/>
    <s v="User Not Mapped"/>
    <s v="User Not Mapped"/>
    <s v="User Not Mapped"/>
    <n v="270497"/>
    <s v="M/S Dinabandhu Ghosh"/>
    <s v="Private Retailer"/>
    <s v="9474308001"/>
    <n v="2.5"/>
    <n v="282"/>
    <x v="3"/>
    <m/>
    <s v="2025-07-19"/>
    <s v="876174"/>
    <s v="CHAND GOPAL PAUL"/>
    <s v="9732975001"/>
  </r>
  <r>
    <s v="RCF Thal"/>
    <s v="N.C.Urea(45kg)"/>
    <s v="WB"/>
    <x v="14"/>
    <s v="Kandi"/>
    <s v="User Not Mapped"/>
    <s v="User Not Mapped"/>
    <s v="User Not Mapped"/>
    <n v="270500"/>
    <s v="M/S Nirmal Krishna Ghosh"/>
    <s v="Private Retailer"/>
    <s v="9732452150"/>
    <n v="1.125"/>
    <n v="116"/>
    <x v="5"/>
    <m/>
    <s v="2026-01-01"/>
    <s v="280775"/>
    <s v="R A Kheria"/>
    <s v="9830290085"/>
  </r>
  <r>
    <s v="RCF Trombay"/>
    <s v="N.C.Urea(45kg)"/>
    <s v="WB"/>
    <x v="14"/>
    <s v="Kandi"/>
    <s v="User Not Mapped"/>
    <s v="User Not Mapped"/>
    <s v="User Not Mapped"/>
    <n v="270500"/>
    <s v="M/S Nirmal Krishna Ghosh"/>
    <s v="Private Retailer"/>
    <s v="9732452150"/>
    <n v="3.5550000000000002"/>
    <n v="89"/>
    <x v="2"/>
    <m/>
    <s v="2026-01-28"/>
    <s v="281704"/>
    <s v="Maa Fertilizer"/>
    <s v="9800042039"/>
  </r>
  <r>
    <s v="RCF Thal"/>
    <s v="N.C.Urea(45kg)"/>
    <s v="WB"/>
    <x v="14"/>
    <s v="Kandi"/>
    <s v="User Not Mapped"/>
    <s v="User Not Mapped"/>
    <s v="User Not Mapped"/>
    <n v="289245"/>
    <s v="Sukurulla Sk"/>
    <s v="Private Retailer"/>
    <s v="9733868194"/>
    <n v="7.02"/>
    <n v="47"/>
    <x v="1"/>
    <m/>
    <s v="2026-03-11"/>
    <s v="281704"/>
    <s v="Maa Fertilizer"/>
    <s v="9800042039"/>
  </r>
  <r>
    <s v="RCF Thal"/>
    <s v="N.C.Urea(45kg)"/>
    <s v="WB"/>
    <x v="14"/>
    <s v="Kandi"/>
    <s v="User Not Mapped"/>
    <s v="User Not Mapped"/>
    <s v="User Not Mapped"/>
    <n v="289245"/>
    <s v="Sukurulla Sk"/>
    <s v="Private Retailer"/>
    <s v="9733868194"/>
    <n v="0.01"/>
    <n v="115"/>
    <x v="5"/>
    <m/>
    <s v="2026-01-02"/>
    <s v="281704"/>
    <s v="Maa Fertilizer"/>
    <s v="9800042039"/>
  </r>
  <r>
    <s v="RCF Trombay"/>
    <s v="15-15-15"/>
    <s v="WB"/>
    <x v="14"/>
    <s v="Kandi"/>
    <s v="User Not Mapped"/>
    <s v="User Not Mapped"/>
    <s v="User Not Mapped"/>
    <n v="289248"/>
    <s v="Nandadulal Rajbanshi"/>
    <s v="Private Retailer"/>
    <s v="9932985846"/>
    <n v="3.3"/>
    <n v="98"/>
    <x v="5"/>
    <m/>
    <s v="2026-01-19"/>
    <s v="281704"/>
    <s v="Maa Fertilizer"/>
    <s v="9800042039"/>
  </r>
  <r>
    <s v="RCF Thal"/>
    <s v="N.C.Urea(45kg)"/>
    <s v="WB"/>
    <x v="14"/>
    <s v="Kandi"/>
    <s v="User Not Mapped"/>
    <s v="User Not Mapped"/>
    <s v="User Not Mapped"/>
    <n v="341295"/>
    <s v="Dipak Kumar Das"/>
    <s v="Private Retailer"/>
    <s v="9732094778"/>
    <n v="1.62"/>
    <n v="48"/>
    <x v="1"/>
    <m/>
    <s v="2026-03-10"/>
    <s v="223285"/>
    <s v="M/s. Golam Kibria"/>
    <s v="8371889332"/>
  </r>
  <r>
    <s v="RCF Thal"/>
    <s v="N.C.Urea(45kg)"/>
    <s v="WB"/>
    <x v="14"/>
    <s v="Kandi"/>
    <s v="User Not Mapped"/>
    <s v="User Not Mapped"/>
    <s v="User Not Mapped"/>
    <n v="342211"/>
    <s v="Samir Kumar P Alit"/>
    <s v="Private Retailer"/>
    <s v="8016519354"/>
    <n v="0.58499999999999996"/>
    <n v="238"/>
    <x v="3"/>
    <m/>
    <s v="2025-09-01"/>
    <s v="223285"/>
    <s v="M/s. Golam Kibria"/>
    <s v="8371889332"/>
  </r>
  <r>
    <s v="RCF Import"/>
    <s v="Imp 10-26-26"/>
    <s v="WB"/>
    <x v="14"/>
    <s v="Kandi"/>
    <s v="User Not Mapped"/>
    <s v="User Not Mapped"/>
    <s v="User Not Mapped"/>
    <n v="449069"/>
    <s v="Nurjamat Haque"/>
    <s v="Private Retailer"/>
    <s v="9002800582"/>
    <n v="0.7"/>
    <n v="263"/>
    <x v="3"/>
    <m/>
    <s v="2025-08-07"/>
    <s v="281704"/>
    <s v="Maa Fertilizer"/>
    <s v="9800042039"/>
  </r>
  <r>
    <s v="RCF Import"/>
    <s v="MOP"/>
    <s v="WB"/>
    <x v="14"/>
    <s v="Kandi"/>
    <s v="User Not Mapped"/>
    <s v="User Not Mapped"/>
    <s v="User Not Mapped"/>
    <n v="449069"/>
    <s v="Nurjamat Haque"/>
    <s v="Private Retailer"/>
    <s v="9002800582"/>
    <n v="0.25"/>
    <n v="263"/>
    <x v="3"/>
    <m/>
    <s v="2025-08-07"/>
    <s v="281704"/>
    <s v="Maa Fertilizer"/>
    <s v="9800042039"/>
  </r>
  <r>
    <s v="RCF Thal"/>
    <s v="N.C.Urea(45kg)"/>
    <s v="WB"/>
    <x v="14"/>
    <s v="Kandi"/>
    <s v="User Not Mapped"/>
    <s v="User Not Mapped"/>
    <s v="User Not Mapped"/>
    <n v="449069"/>
    <s v="Nurjamat Haque"/>
    <s v="Private Retailer"/>
    <s v="9002800582"/>
    <n v="2.0249999999999999"/>
    <n v="237"/>
    <x v="3"/>
    <m/>
    <s v="2025-09-02"/>
    <s v="281704"/>
    <s v="Maa Fertilizer"/>
    <s v="9800042039"/>
  </r>
  <r>
    <s v="RCF Trombay"/>
    <s v="15-15-15"/>
    <s v="WB"/>
    <x v="14"/>
    <s v="Kandi"/>
    <s v="User Not Mapped"/>
    <s v="User Not Mapped"/>
    <s v="User Not Mapped"/>
    <n v="449075"/>
    <s v="M/S Hasanur Jaman"/>
    <s v="Private Retailer"/>
    <s v="9564397848"/>
    <n v="7.35"/>
    <n v="156"/>
    <x v="0"/>
    <m/>
    <s v="2025-11-22"/>
    <s v="223283"/>
    <s v="B Mukherjee  And Company"/>
    <s v="7430990680"/>
  </r>
  <r>
    <s v="RCF Import"/>
    <s v="Imp 10-26-26"/>
    <s v="WB"/>
    <x v="14"/>
    <s v="Kandi"/>
    <s v="User Not Mapped"/>
    <s v="User Not Mapped"/>
    <s v="User Not Mapped"/>
    <n v="449075"/>
    <s v="M/S Hasanur Jaman"/>
    <s v="Private Retailer"/>
    <s v="9564397848"/>
    <n v="11"/>
    <n v="83"/>
    <x v="2"/>
    <m/>
    <s v="2026-02-03"/>
    <s v="223283"/>
    <s v="B Mukherjee  And Company"/>
    <s v="7430990680"/>
  </r>
  <r>
    <s v="RCF Trombay"/>
    <s v="15-15-15"/>
    <s v="WB"/>
    <x v="14"/>
    <s v="Kandi"/>
    <s v="User Not Mapped"/>
    <s v="User Not Mapped"/>
    <s v="User Not Mapped"/>
    <n v="449075"/>
    <s v="M/S Hasanur Jaman"/>
    <s v="Private Retailer"/>
    <s v="9564397848"/>
    <n v="10.25"/>
    <n v="38"/>
    <x v="1"/>
    <m/>
    <s v="2026-03-20"/>
    <s v="223283"/>
    <s v="B Mukherjee  And Company"/>
    <s v="7430990680"/>
  </r>
  <r>
    <s v="RCF Trombay"/>
    <s v="N.C.Urea(45kg)"/>
    <s v="WB"/>
    <x v="14"/>
    <s v="Kandi"/>
    <s v="User Not Mapped"/>
    <s v="User Not Mapped"/>
    <s v="User Not Mapped"/>
    <n v="449075"/>
    <s v="M/S Hasanur Jaman"/>
    <s v="Private Retailer"/>
    <s v="9564397848"/>
    <n v="8.2349999999999994"/>
    <n v="44"/>
    <x v="1"/>
    <m/>
    <s v="2026-03-14"/>
    <s v="223283"/>
    <s v="B Mukherjee  And Company"/>
    <s v="7430990680"/>
  </r>
  <r>
    <s v="RCF Thal"/>
    <s v="N.C.Urea(45kg)"/>
    <s v="WB"/>
    <x v="14"/>
    <s v="Kandi"/>
    <s v="User Not Mapped"/>
    <s v="User Not Mapped"/>
    <s v="User Not Mapped"/>
    <n v="449075"/>
    <s v="M/S Hasanur Jaman"/>
    <s v="Private Retailer"/>
    <s v="9564397848"/>
    <n v="4.05"/>
    <n v="44"/>
    <x v="1"/>
    <m/>
    <s v="2026-03-14"/>
    <s v="223283"/>
    <s v="B Mukherjee  And Company"/>
    <s v="7430990680"/>
  </r>
  <r>
    <s v="RCF Thal"/>
    <s v="N.C.Urea(45kg)"/>
    <s v="WB"/>
    <x v="14"/>
    <s v="Kandi"/>
    <s v="User Not Mapped"/>
    <s v="User Not Mapped"/>
    <s v="User Not Mapped"/>
    <n v="464426"/>
    <s v="M/S.Siddiqui Fertilizer"/>
    <s v="Private Retailer"/>
    <s v="9932886779"/>
    <n v="9.99"/>
    <n v="47"/>
    <x v="1"/>
    <m/>
    <s v="2026-03-11"/>
    <s v="223292"/>
    <s v="M/s. Gouri Sankar Mandal"/>
    <s v="7365965125"/>
  </r>
  <r>
    <s v="RCF Thal"/>
    <s v="N.C.Urea(45kg)"/>
    <s v="WB"/>
    <x v="14"/>
    <s v="Kandi"/>
    <s v="User Not Mapped"/>
    <s v="User Not Mapped"/>
    <s v="User Not Mapped"/>
    <n v="464426"/>
    <s v="M/S.Siddiqui Fertilizer"/>
    <s v="Private Retailer"/>
    <s v="9932886779"/>
    <n v="9.99"/>
    <n v="48"/>
    <x v="1"/>
    <m/>
    <s v="2026-03-10"/>
    <s v="223285"/>
    <s v="M/s. Golam Kibria"/>
    <s v="8371889332"/>
  </r>
  <r>
    <s v="RCF Thal"/>
    <s v="N.C.Urea(45kg)"/>
    <s v="WB"/>
    <x v="14"/>
    <s v="Kandi"/>
    <s v="User Not Mapped"/>
    <s v="User Not Mapped"/>
    <s v="User Not Mapped"/>
    <n v="477251"/>
    <s v="Bidyut Dutta"/>
    <s v="Private Retailer"/>
    <s v="9126767044"/>
    <n v="8.5050000000000008"/>
    <n v="46"/>
    <x v="1"/>
    <m/>
    <s v="2026-03-12"/>
    <s v="223285"/>
    <s v="M/s. Golam Kibria"/>
    <s v="8371889332"/>
  </r>
  <r>
    <s v="RCF Thal"/>
    <s v="N.C.Urea(45kg)"/>
    <s v="WB"/>
    <x v="14"/>
    <s v="Kandi"/>
    <s v="User Not Mapped"/>
    <s v="User Not Mapped"/>
    <s v="User Not Mapped"/>
    <n v="484756"/>
    <s v="Md.Rustam Sk."/>
    <s v="Private Retailer"/>
    <s v="9800661452"/>
    <n v="3.33"/>
    <n v="45"/>
    <x v="1"/>
    <m/>
    <s v="2026-03-13"/>
    <s v="281704"/>
    <s v="Maa Fertilizer"/>
    <s v="9800042039"/>
  </r>
  <r>
    <s v="RCF Trombay"/>
    <s v="15-15-15"/>
    <s v="WB"/>
    <x v="14"/>
    <s v="Kandi"/>
    <s v="User Not Mapped"/>
    <s v="User Not Mapped"/>
    <s v="User Not Mapped"/>
    <n v="503033"/>
    <s v="Sachidananda Dutta"/>
    <s v="Private Retailer"/>
    <s v="8900029393"/>
    <n v="1.65"/>
    <n v="221"/>
    <x v="3"/>
    <m/>
    <s v="2025-09-18"/>
    <s v="281704"/>
    <s v="Maa Fertilizer"/>
    <s v="9800042039"/>
  </r>
  <r>
    <s v="RCF Import"/>
    <s v="Imp 10-26-26"/>
    <s v="WB"/>
    <x v="14"/>
    <s v="Kandi"/>
    <s v="User Not Mapped"/>
    <s v="User Not Mapped"/>
    <s v="User Not Mapped"/>
    <n v="503033"/>
    <s v="Sachidananda Dutta"/>
    <s v="Private Retailer"/>
    <s v="8900029393"/>
    <n v="3.25"/>
    <n v="57"/>
    <x v="1"/>
    <m/>
    <s v="2026-03-01"/>
    <s v="256526"/>
    <s v="Bankashyam Dutta"/>
    <s v="7384555867"/>
  </r>
  <r>
    <s v="RCF Thal"/>
    <s v="N.C.Urea(45kg)"/>
    <s v="WB"/>
    <x v="14"/>
    <s v="Kandi"/>
    <s v="User Not Mapped"/>
    <s v="User Not Mapped"/>
    <s v="User Not Mapped"/>
    <n v="555329"/>
    <s v="Mir Sirajul Islam"/>
    <s v="Private Retailer"/>
    <s v="7872522944"/>
    <n v="7.02"/>
    <n v="119"/>
    <x v="5"/>
    <m/>
    <s v="2025-12-29"/>
    <s v="223285"/>
    <s v="M/s. Golam Kibria"/>
    <s v="8371889332"/>
  </r>
  <r>
    <s v="RCF Import"/>
    <s v="Imp 10-26-26"/>
    <s v="WB"/>
    <x v="14"/>
    <s v="Kandi"/>
    <s v="User Not Mapped"/>
    <s v="User Not Mapped"/>
    <s v="User Not Mapped"/>
    <n v="555329"/>
    <s v="Mir Sirajul Islam"/>
    <s v="Private Retailer"/>
    <s v="7872522944"/>
    <n v="3.5"/>
    <n v="66"/>
    <x v="2"/>
    <m/>
    <s v="2026-02-20"/>
    <s v="223285"/>
    <s v="M/s. Golam Kibria"/>
    <s v="8371889332"/>
  </r>
  <r>
    <s v="RCF Trombay"/>
    <s v="N.C.Urea(45kg)"/>
    <s v="WB"/>
    <x v="14"/>
    <s v="Kandi"/>
    <s v="User Not Mapped"/>
    <s v="User Not Mapped"/>
    <s v="User Not Mapped"/>
    <n v="555329"/>
    <s v="Mir Sirajul Islam"/>
    <s v="Private Retailer"/>
    <s v="7872522944"/>
    <n v="7.02"/>
    <n v="46"/>
    <x v="1"/>
    <m/>
    <s v="2026-03-12"/>
    <s v="223285"/>
    <s v="M/s. Golam Kibria"/>
    <s v="8371889332"/>
  </r>
  <r>
    <s v="RCF Thal"/>
    <s v="N.C.Urea(45kg)"/>
    <s v="WB"/>
    <x v="14"/>
    <s v="Kandi"/>
    <s v="User Not Mapped"/>
    <s v="User Not Mapped"/>
    <s v="User Not Mapped"/>
    <n v="602571"/>
    <s v="NIJAMUDDIN SK"/>
    <s v="Private Retailer"/>
    <s v="9647489312"/>
    <n v="3.51"/>
    <n v="118"/>
    <x v="5"/>
    <m/>
    <s v="2025-12-30"/>
    <s v="281704"/>
    <s v="Maa Fertilizer"/>
    <s v="9800042039"/>
  </r>
  <r>
    <s v="RCF Thal"/>
    <s v="N.C.Urea(45kg)"/>
    <s v="WB"/>
    <x v="14"/>
    <s v="Kandi"/>
    <s v="User Not Mapped"/>
    <s v="User Not Mapped"/>
    <s v="User Not Mapped"/>
    <n v="626644"/>
    <s v="ALAM ENTERPRISE"/>
    <s v="Private Retailer"/>
    <s v="9647488366"/>
    <n v="3.7349999999999999"/>
    <n v="113"/>
    <x v="5"/>
    <m/>
    <s v="2026-01-04"/>
    <s v="1463904"/>
    <s v="DEB NARAYAN BARAL"/>
    <s v="7585040500"/>
  </r>
  <r>
    <s v="RCF Thal"/>
    <s v="N.C.Urea(45kg)"/>
    <s v="WB"/>
    <x v="14"/>
    <s v="Kandi"/>
    <s v="User Not Mapped"/>
    <s v="User Not Mapped"/>
    <s v="User Not Mapped"/>
    <n v="626644"/>
    <s v="ALAM ENTERPRISE"/>
    <s v="Private Retailer"/>
    <s v="9647488366"/>
    <n v="14.04"/>
    <n v="45"/>
    <x v="1"/>
    <m/>
    <s v="2026-03-13"/>
    <s v="1463904"/>
    <s v="DEB NARAYAN BARAL"/>
    <s v="7585040500"/>
  </r>
  <r>
    <s v="RCF Trombay"/>
    <s v="15-15-15"/>
    <s v="WB"/>
    <x v="14"/>
    <s v="Kandi"/>
    <s v="User Not Mapped"/>
    <s v="User Not Mapped"/>
    <s v="User Not Mapped"/>
    <n v="937828"/>
    <s v="SABINA KHATUN"/>
    <s v="Private Retailer"/>
    <s v="8001636440"/>
    <n v="2"/>
    <n v="77"/>
    <x v="2"/>
    <m/>
    <s v="2026-02-09"/>
    <s v="223285"/>
    <s v="M/s. Golam Kibria"/>
    <s v="8371889332"/>
  </r>
  <r>
    <s v="RCF Trombay"/>
    <s v="15-15-15"/>
    <s v="WB"/>
    <x v="14"/>
    <s v="Kandi"/>
    <s v="User Not Mapped"/>
    <s v="User Not Mapped"/>
    <s v="User Not Mapped"/>
    <n v="937828"/>
    <s v="SABINA KHATUN"/>
    <s v="Private Retailer"/>
    <s v="8001636440"/>
    <n v="1"/>
    <n v="79"/>
    <x v="2"/>
    <m/>
    <s v="2026-02-07"/>
    <s v="223285"/>
    <s v="M/s. Golam Kibria"/>
    <s v="8371889332"/>
  </r>
  <r>
    <s v="RCF Thal"/>
    <s v="N.C.Urea(45kg)"/>
    <s v="WB"/>
    <x v="14"/>
    <s v="Kandi"/>
    <s v="User Not Mapped"/>
    <s v="User Not Mapped"/>
    <s v="User Not Mapped"/>
    <n v="945301"/>
    <s v="HAZARAT ALI"/>
    <s v="Private Retailer"/>
    <s v="9734586079"/>
    <n v="3.7349999999999999"/>
    <n v="113"/>
    <x v="5"/>
    <m/>
    <s v="2026-01-04"/>
    <s v="1463904"/>
    <s v="DEB NARAYAN BARAL"/>
    <s v="7585040500"/>
  </r>
  <r>
    <s v="RCF Thal"/>
    <s v="N.C.Urea(45kg)"/>
    <s v="WB"/>
    <x v="14"/>
    <s v="Kandi"/>
    <s v="User Not Mapped"/>
    <s v="User Not Mapped"/>
    <s v="User Not Mapped"/>
    <n v="945303"/>
    <s v="TAPASH SAHA"/>
    <s v="Private Retailer"/>
    <s v="7872079462"/>
    <n v="3.1949999999999998"/>
    <n v="45"/>
    <x v="1"/>
    <m/>
    <s v="2026-03-13"/>
    <s v="1463904"/>
    <s v="DEB NARAYAN BARAL"/>
    <s v="7585040500"/>
  </r>
  <r>
    <s v="RCF Import"/>
    <s v="MOP"/>
    <s v="WB"/>
    <x v="14"/>
    <s v="Kandi"/>
    <s v="User Not Mapped"/>
    <s v="User Not Mapped"/>
    <s v="User Not Mapped"/>
    <n v="945303"/>
    <s v="TAPASH SAHA"/>
    <s v="Private Retailer"/>
    <s v="7872079462"/>
    <n v="0.1"/>
    <n v="450"/>
    <x v="6"/>
    <m/>
    <s v="2025-02-01"/>
    <s v="269139"/>
    <s v="Firoj Ali"/>
    <s v="9932787296"/>
  </r>
  <r>
    <s v="RCF Import"/>
    <s v="MOP"/>
    <s v="WB"/>
    <x v="14"/>
    <s v="Kandi"/>
    <s v="User Not Mapped"/>
    <s v="User Not Mapped"/>
    <s v="User Not Mapped"/>
    <n v="945305"/>
    <s v="UDAY CHANDRA SAHA"/>
    <s v="Private Retailer"/>
    <s v="9732269768"/>
    <n v="1"/>
    <n v="228"/>
    <x v="3"/>
    <m/>
    <s v="2025-09-11"/>
    <s v="876174"/>
    <s v="CHAND GOPAL PAUL"/>
    <s v="9732975001"/>
  </r>
  <r>
    <s v="RCF Import"/>
    <s v="MOP"/>
    <s v="WB"/>
    <x v="14"/>
    <s v="Kandi"/>
    <s v="User Not Mapped"/>
    <s v="User Not Mapped"/>
    <s v="User Not Mapped"/>
    <n v="945305"/>
    <s v="UDAY CHANDRA SAHA"/>
    <s v="Private Retailer"/>
    <s v="9732269768"/>
    <n v="0.2"/>
    <n v="236"/>
    <x v="3"/>
    <m/>
    <s v="2025-09-03"/>
    <s v="876174"/>
    <s v="CHAND GOPAL PAUL"/>
    <s v="9732975001"/>
  </r>
  <r>
    <s v="RCF Import"/>
    <s v="Imp 10-26-26"/>
    <s v="WB"/>
    <x v="14"/>
    <s v="Kandi"/>
    <s v="User Not Mapped"/>
    <s v="User Not Mapped"/>
    <s v="User Not Mapped"/>
    <n v="945307"/>
    <s v="DEBASIS MONDAL"/>
    <s v="Private Retailer"/>
    <s v="9735684001"/>
    <n v="5.4"/>
    <n v="66"/>
    <x v="2"/>
    <m/>
    <s v="2026-02-20"/>
    <s v="223285"/>
    <s v="M/s. Golam Kibria"/>
    <s v="8371889332"/>
  </r>
  <r>
    <s v="RCF Trombay"/>
    <s v="15-15-15"/>
    <s v="WB"/>
    <x v="14"/>
    <s v="Kandi"/>
    <s v="User Not Mapped"/>
    <s v="User Not Mapped"/>
    <s v="User Not Mapped"/>
    <n v="945307"/>
    <s v="DEBASIS MONDAL"/>
    <s v="Private Retailer"/>
    <s v="9735684001"/>
    <n v="1"/>
    <n v="79"/>
    <x v="2"/>
    <m/>
    <s v="2026-02-07"/>
    <s v="223285"/>
    <s v="M/s. Golam Kibria"/>
    <s v="8371889332"/>
  </r>
  <r>
    <s v="RCF Trombay"/>
    <s v="N.C.Urea(45kg)"/>
    <s v="WB"/>
    <x v="14"/>
    <s v="Kandi"/>
    <s v="User Not Mapped"/>
    <s v="User Not Mapped"/>
    <s v="User Not Mapped"/>
    <n v="945307"/>
    <s v="DEBASIS MONDAL"/>
    <s v="Private Retailer"/>
    <s v="9735684001"/>
    <n v="6.3"/>
    <n v="43"/>
    <x v="1"/>
    <m/>
    <s v="2026-03-15"/>
    <s v="1463904"/>
    <s v="DEB NARAYAN BARAL"/>
    <s v="7585040500"/>
  </r>
  <r>
    <s v="RCF Thal"/>
    <s v="N.C.Urea(45kg)"/>
    <s v="WB"/>
    <x v="14"/>
    <s v="Kandi"/>
    <s v="User Not Mapped"/>
    <s v="User Not Mapped"/>
    <s v="User Not Mapped"/>
    <n v="945313"/>
    <s v="KIRONMOY CHANDRA"/>
    <s v="Private Retailer"/>
    <s v="8016288941"/>
    <n v="1.665"/>
    <n v="45"/>
    <x v="1"/>
    <m/>
    <s v="2026-03-13"/>
    <s v="281704"/>
    <s v="Maa Fertilizer"/>
    <s v="9800042039"/>
  </r>
  <r>
    <s v="RCF Trombay"/>
    <s v="N.C.Urea(45kg)"/>
    <s v="WB"/>
    <x v="14"/>
    <s v="Kandi"/>
    <s v="User Not Mapped"/>
    <s v="User Not Mapped"/>
    <s v="User Not Mapped"/>
    <n v="1019625"/>
    <s v="RAJIB LOCHAN GHOSH"/>
    <s v="Private Retailer"/>
    <s v="7797417730"/>
    <n v="7.02"/>
    <n v="81"/>
    <x v="2"/>
    <m/>
    <s v="2026-02-05"/>
    <s v="1463904"/>
    <s v="DEB NARAYAN BARAL"/>
    <s v="7585040500"/>
  </r>
  <r>
    <s v="RCF Trombay"/>
    <s v="15-15-15"/>
    <s v="WB"/>
    <x v="14"/>
    <s v="Kandi"/>
    <s v="User Not Mapped"/>
    <s v="User Not Mapped"/>
    <s v="User Not Mapped"/>
    <n v="1249200"/>
    <s v="NEW PRAMANIK FERTILIZER"/>
    <s v="Private Retailer"/>
    <s v="9732171683"/>
    <n v="0.7"/>
    <n v="156"/>
    <x v="0"/>
    <m/>
    <s v="2025-11-22"/>
    <s v="223285"/>
    <s v="M/s. Golam Kibria"/>
    <s v="8371889332"/>
  </r>
  <r>
    <s v="RCF Thal"/>
    <s v="N.C.Urea(45kg)"/>
    <s v="WB"/>
    <x v="14"/>
    <s v="Kandi"/>
    <s v="User Not Mapped"/>
    <s v="User Not Mapped"/>
    <s v="User Not Mapped"/>
    <n v="1354278"/>
    <s v="SAFIKUL ISLAM"/>
    <s v="Private Retailer"/>
    <s v="9091907350"/>
    <n v="2.97"/>
    <n v="129"/>
    <x v="0"/>
    <m/>
    <s v="2025-12-19"/>
    <s v="281704"/>
    <s v="Maa Fertilizer"/>
    <s v="9800042039"/>
  </r>
  <r>
    <s v="RCF Trombay"/>
    <s v="N.C.Urea(45kg)"/>
    <s v="WB"/>
    <x v="14"/>
    <s v="Kandi"/>
    <s v="User Not Mapped"/>
    <s v="User Not Mapped"/>
    <s v="User Not Mapped"/>
    <n v="1354278"/>
    <s v="SAFIKUL ISLAM"/>
    <s v="Private Retailer"/>
    <s v="9091907350"/>
    <n v="2.97"/>
    <n v="264"/>
    <x v="3"/>
    <m/>
    <s v="2025-08-06"/>
    <s v="281704"/>
    <s v="Maa Fertilizer"/>
    <s v="9800042039"/>
  </r>
  <r>
    <s v="RCF Import"/>
    <s v="Imp 10-26-26"/>
    <s v="WB"/>
    <x v="14"/>
    <s v="Kandi"/>
    <s v="User Not Mapped"/>
    <s v="User Not Mapped"/>
    <s v="User Not Mapped"/>
    <n v="1445525"/>
    <s v="SRI SRI RAMKRISHNA SAR GHAR"/>
    <s v="Private Retailer"/>
    <s v="6295223848"/>
    <n v="2.5499999999999998"/>
    <n v="56"/>
    <x v="1"/>
    <m/>
    <s v="2026-03-02"/>
    <s v="1320516"/>
    <s v="BIDHAN CHANDRA BISWAS"/>
    <s v="9732816547"/>
  </r>
  <r>
    <s v="RCF Thal"/>
    <s v="N.C.Urea(45kg)"/>
    <s v="WB"/>
    <x v="14"/>
    <s v="Kandi"/>
    <s v="User Not Mapped"/>
    <s v="User Not Mapped"/>
    <s v="User Not Mapped"/>
    <n v="1449877"/>
    <s v="SUN AGRO"/>
    <s v="Private Retailer"/>
    <s v="7797935269"/>
    <n v="4.59"/>
    <n v="45"/>
    <x v="1"/>
    <m/>
    <s v="2026-03-13"/>
    <s v="1463904"/>
    <s v="DEB NARAYAN BARAL"/>
    <s v="7585040500"/>
  </r>
  <r>
    <s v="RCF Thal"/>
    <s v="N.C.Urea(45kg)"/>
    <s v="WB"/>
    <x v="14"/>
    <s v="Kandi"/>
    <s v="User Not Mapped"/>
    <s v="User Not Mapped"/>
    <s v="User Not Mapped"/>
    <n v="1491316"/>
    <s v="KALIMUDDIN FERTILIZER"/>
    <s v="Private Retailer"/>
    <s v="7602224306"/>
    <n v="0.67500000000000004"/>
    <n v="238"/>
    <x v="3"/>
    <m/>
    <s v="2025-09-01"/>
    <s v="223293"/>
    <s v="Bisanka Chandra Mondal And Son"/>
    <s v="9609521133"/>
  </r>
  <r>
    <s v="RCF Thal"/>
    <s v="N.C.Urea(45kg)"/>
    <s v="WB"/>
    <x v="14"/>
    <s v="Kandi"/>
    <s v="User Not Mapped"/>
    <s v="User Not Mapped"/>
    <s v="User Not Mapped"/>
    <n v="1491316"/>
    <s v="KALIMUDDIN FERTILIZER"/>
    <s v="Private Retailer"/>
    <s v="7602224306"/>
    <n v="7.02"/>
    <n v="231"/>
    <x v="3"/>
    <m/>
    <s v="2025-09-08"/>
    <s v="1220453"/>
    <s v="PIARUL SEIKH"/>
    <s v="9735313600"/>
  </r>
  <r>
    <s v="RCF Thal"/>
    <s v="N.C.Urea(45kg)"/>
    <s v="WB"/>
    <x v="14"/>
    <s v="Kandi"/>
    <s v="User Not Mapped"/>
    <s v="User Not Mapped"/>
    <s v="User Not Mapped"/>
    <n v="1491316"/>
    <s v="KALIMUDDIN FERTILIZER"/>
    <s v="Private Retailer"/>
    <s v="7602224306"/>
    <n v="1.35"/>
    <n v="186"/>
    <x v="3"/>
    <m/>
    <s v="2025-10-23"/>
    <s v="1220453"/>
    <s v="PIARUL SEIKH"/>
    <s v="9735313600"/>
  </r>
  <r>
    <s v="RCF Thal"/>
    <s v="N.C.Urea(45kg)"/>
    <s v="WB"/>
    <x v="14"/>
    <s v="Kandi"/>
    <s v="User Not Mapped"/>
    <s v="User Not Mapped"/>
    <s v="User Not Mapped"/>
    <n v="1499772"/>
    <s v="IMRAN ALI"/>
    <s v="Private Retailer"/>
    <s v="9609049281"/>
    <n v="7.02"/>
    <n v="42"/>
    <x v="1"/>
    <m/>
    <s v="2026-03-16"/>
    <s v="281698"/>
    <s v="Krishi Mahal"/>
    <s v="8536856527"/>
  </r>
  <r>
    <s v="RCF Thal"/>
    <s v="N.C.Urea(45kg)"/>
    <s v="WB"/>
    <x v="14"/>
    <s v="Khargram"/>
    <s v="User Not Mapped"/>
    <s v="User Not Mapped"/>
    <s v="User Not Mapped"/>
    <n v="247427"/>
    <s v="Abdur Roshid"/>
    <s v="Private Retailer"/>
    <s v="9735209940"/>
    <n v="7.02"/>
    <n v="47"/>
    <x v="1"/>
    <m/>
    <s v="2026-03-11"/>
    <s v="223292"/>
    <s v="M/s. Gouri Sankar Mandal"/>
    <s v="7365965125"/>
  </r>
  <r>
    <s v="RCF Thal"/>
    <s v="N.C.Urea(45kg)"/>
    <s v="WB"/>
    <x v="14"/>
    <s v="Khargram"/>
    <s v="User Not Mapped"/>
    <s v="User Not Mapped"/>
    <s v="User Not Mapped"/>
    <n v="247481"/>
    <s v="Netai Kumar Saha"/>
    <s v="Private Retailer"/>
    <s v="9732465235"/>
    <n v="2.3849999999999998"/>
    <n v="46"/>
    <x v="1"/>
    <m/>
    <s v="2026-03-12"/>
    <s v="289315"/>
    <s v="M/S Monoranjan Dey"/>
    <s v="9733893312"/>
  </r>
  <r>
    <s v="RCF Trombay"/>
    <s v="N.C.Urea(45kg)"/>
    <s v="WB"/>
    <x v="14"/>
    <s v="Khargram"/>
    <s v="User Not Mapped"/>
    <s v="User Not Mapped"/>
    <s v="User Not Mapped"/>
    <n v="247481"/>
    <s v="Netai Kumar Saha"/>
    <s v="Private Retailer"/>
    <s v="9732465235"/>
    <n v="4.59"/>
    <n v="44"/>
    <x v="1"/>
    <m/>
    <s v="2026-03-14"/>
    <s v="280775"/>
    <s v="R A Kheria"/>
    <s v="9830290085"/>
  </r>
  <r>
    <s v="RCF Trombay"/>
    <s v="15-15-15"/>
    <s v="WB"/>
    <x v="14"/>
    <s v="Khargram"/>
    <s v="User Not Mapped"/>
    <s v="User Not Mapped"/>
    <s v="User Not Mapped"/>
    <n v="247481"/>
    <s v="Netai Kumar Saha"/>
    <s v="Private Retailer"/>
    <s v="9732465235"/>
    <n v="7"/>
    <n v="44"/>
    <x v="1"/>
    <m/>
    <s v="2026-03-14"/>
    <s v="280775"/>
    <s v="R A Kheria"/>
    <s v="9830290085"/>
  </r>
  <r>
    <s v="RCF Thal"/>
    <s v="N.C.Urea(45kg)"/>
    <s v="WB"/>
    <x v="14"/>
    <s v="Khargram"/>
    <s v="User Not Mapped"/>
    <s v="User Not Mapped"/>
    <s v="User Not Mapped"/>
    <n v="270506"/>
    <s v="Naba Kumar Pal"/>
    <s v="Private Retailer"/>
    <s v="9734851750"/>
    <n v="0.18"/>
    <n v="48"/>
    <x v="1"/>
    <m/>
    <s v="2026-03-10"/>
    <s v="223285"/>
    <s v="M/s. Golam Kibria"/>
    <s v="8371889332"/>
  </r>
  <r>
    <s v="RCF Trombay"/>
    <s v="N.C.Urea(45kg)"/>
    <s v="WB"/>
    <x v="14"/>
    <s v="Khargram"/>
    <s v="User Not Mapped"/>
    <s v="User Not Mapped"/>
    <s v="User Not Mapped"/>
    <n v="280624"/>
    <s v="Faijuddin Mondal"/>
    <s v="Private Retailer"/>
    <s v="9932618608"/>
    <n v="0.45"/>
    <n v="46"/>
    <x v="1"/>
    <m/>
    <s v="2026-03-12"/>
    <s v="223285"/>
    <s v="M/s. Golam Kibria"/>
    <s v="8371889332"/>
  </r>
  <r>
    <s v="RCF Trombay"/>
    <s v="15-15-15"/>
    <s v="WB"/>
    <x v="14"/>
    <s v="Khargram"/>
    <s v="User Not Mapped"/>
    <s v="User Not Mapped"/>
    <s v="User Not Mapped"/>
    <n v="280646"/>
    <s v="SUMIT PRAMANIK"/>
    <s v="Private Retailer"/>
    <s v="9732921396"/>
    <n v="1"/>
    <n v="315"/>
    <x v="3"/>
    <m/>
    <s v="2025-06-16"/>
    <s v="223285"/>
    <s v="M/s. Golam Kibria"/>
    <s v="8371889332"/>
  </r>
  <r>
    <s v="RCF Trombay"/>
    <s v="N.C.Urea(45kg)"/>
    <s v="WB"/>
    <x v="14"/>
    <s v="Khargram"/>
    <s v="User Not Mapped"/>
    <s v="User Not Mapped"/>
    <s v="User Not Mapped"/>
    <n v="280646"/>
    <s v="SUMIT PRAMANIK"/>
    <s v="Private Retailer"/>
    <s v="9732921396"/>
    <n v="5.8049999999999997"/>
    <n v="46"/>
    <x v="1"/>
    <m/>
    <s v="2026-03-12"/>
    <s v="223285"/>
    <s v="M/s. Golam Kibria"/>
    <s v="8371889332"/>
  </r>
  <r>
    <s v="RCF Thal"/>
    <s v="N.C.Urea(45kg)"/>
    <s v="WB"/>
    <x v="14"/>
    <s v="Khargram"/>
    <s v="User Not Mapped"/>
    <s v="User Not Mapped"/>
    <s v="User Not Mapped"/>
    <n v="461688"/>
    <s v="Rejaul Haque"/>
    <s v="Private Retailer"/>
    <s v="8900233049"/>
    <n v="6.12"/>
    <n v="41"/>
    <x v="1"/>
    <m/>
    <s v="2026-03-17"/>
    <s v="223292"/>
    <s v="M/s. Gouri Sankar Mandal"/>
    <s v="7365965125"/>
  </r>
  <r>
    <s v="RCF Thal"/>
    <s v="N.C.Urea(45kg)"/>
    <s v="WB"/>
    <x v="14"/>
    <s v="Khargram"/>
    <s v="User Not Mapped"/>
    <s v="User Not Mapped"/>
    <s v="User Not Mapped"/>
    <n v="461910"/>
    <s v="Abul Barkat"/>
    <s v="Private Retailer"/>
    <s v="9733895918"/>
    <n v="7.02"/>
    <n v="47"/>
    <x v="1"/>
    <m/>
    <s v="2026-03-11"/>
    <s v="223292"/>
    <s v="M/s. Gouri Sankar Mandal"/>
    <s v="7365965125"/>
  </r>
  <r>
    <s v="RCF Trombay"/>
    <s v="N.C.Urea(45kg)"/>
    <s v="WB"/>
    <x v="14"/>
    <s v="Khargram"/>
    <s v="User Not Mapped"/>
    <s v="User Not Mapped"/>
    <s v="User Not Mapped"/>
    <n v="599078"/>
    <s v="Nabir Ali"/>
    <s v="Private Retailer"/>
    <s v="9734468325"/>
    <n v="7.02"/>
    <n v="89"/>
    <x v="2"/>
    <m/>
    <s v="2026-01-28"/>
    <s v="223292"/>
    <s v="M/s. Gouri Sankar Mandal"/>
    <s v="7365965125"/>
  </r>
  <r>
    <s v="RCF Trombay"/>
    <s v="N.C.Urea(45kg)"/>
    <s v="WB"/>
    <x v="14"/>
    <s v="Khargram"/>
    <s v="User Not Mapped"/>
    <s v="User Not Mapped"/>
    <s v="User Not Mapped"/>
    <n v="624305"/>
    <s v="ABHIJIT GHOSH"/>
    <s v="Private Retailer"/>
    <s v="9733745026"/>
    <n v="3.69"/>
    <n v="880"/>
    <x v="7"/>
    <m/>
    <s v="2023-11-29"/>
    <s v="223285"/>
    <s v="M/s. Golam Kibria"/>
    <s v="8371889332"/>
  </r>
  <r>
    <s v="RCF Thal"/>
    <s v="N.C.Urea(45kg)"/>
    <s v="WB"/>
    <x v="14"/>
    <s v="Khargram"/>
    <s v="User Not Mapped"/>
    <s v="User Not Mapped"/>
    <s v="User Not Mapped"/>
    <n v="625892"/>
    <s v="TARAK NATH SAHA"/>
    <s v="Private Retailer"/>
    <s v="9732214919"/>
    <n v="1.7549999999999999"/>
    <n v="118"/>
    <x v="5"/>
    <m/>
    <s v="2025-12-30"/>
    <s v="223292"/>
    <s v="M/s. Gouri Sankar Mandal"/>
    <s v="7365965125"/>
  </r>
  <r>
    <s v="RCF Thal"/>
    <s v="N.C.Urea(45kg)"/>
    <s v="WB"/>
    <x v="14"/>
    <s v="Khargram"/>
    <s v="User Not Mapped"/>
    <s v="User Not Mapped"/>
    <s v="User Not Mapped"/>
    <n v="916044"/>
    <s v="SUBRATA MONDAL"/>
    <s v="Private Retailer"/>
    <s v="8170950955"/>
    <n v="8.4149999999999991"/>
    <n v="41"/>
    <x v="1"/>
    <m/>
    <s v="2026-03-17"/>
    <s v="280775"/>
    <s v="R A Kheria"/>
    <s v="9830290085"/>
  </r>
  <r>
    <s v="RCF Trombay"/>
    <s v="N.C.Urea(45kg)"/>
    <s v="WB"/>
    <x v="14"/>
    <s v="Khargram"/>
    <s v="User Not Mapped"/>
    <s v="User Not Mapped"/>
    <s v="User Not Mapped"/>
    <n v="931169"/>
    <s v="INDRANI KRISHI SEVA KENDRA"/>
    <s v="Private Retailer"/>
    <s v="8250244820"/>
    <n v="9.99"/>
    <n v="37"/>
    <x v="1"/>
    <m/>
    <s v="2026-03-21"/>
    <s v="978672"/>
    <s v="M/s. Abu Raihan Mondal"/>
    <s v="9733607656"/>
  </r>
  <r>
    <s v="RCF Trombay"/>
    <s v="N.C.Urea(45kg)"/>
    <s v="WB"/>
    <x v="14"/>
    <s v="Khargram"/>
    <s v="User Not Mapped"/>
    <s v="User Not Mapped"/>
    <s v="User Not Mapped"/>
    <n v="931169"/>
    <s v="INDRANI KRISHI SEVA KENDRA"/>
    <s v="Private Retailer"/>
    <s v="8250244820"/>
    <n v="9.99"/>
    <n v="40"/>
    <x v="1"/>
    <m/>
    <s v="2026-03-18"/>
    <s v="1138964"/>
    <s v="RAKESH FERTILIZER"/>
    <s v="9733026828"/>
  </r>
  <r>
    <s v="RCF Import"/>
    <s v="Imp 10-26-26"/>
    <s v="WB"/>
    <x v="14"/>
    <s v="Khargram"/>
    <s v="User Not Mapped"/>
    <s v="User Not Mapped"/>
    <s v="User Not Mapped"/>
    <n v="968272"/>
    <s v="Abdul Karim"/>
    <s v="Private Retailer"/>
    <s v="9064641541"/>
    <n v="7"/>
    <n v="66"/>
    <x v="2"/>
    <m/>
    <s v="2026-02-20"/>
    <s v="223285"/>
    <s v="M/s. Golam Kibria"/>
    <s v="8371889332"/>
  </r>
  <r>
    <s v="RCF Thal"/>
    <s v="N.C.Urea(45kg)"/>
    <s v="WB"/>
    <x v="14"/>
    <s v="Khargram"/>
    <s v="User Not Mapped"/>
    <s v="User Not Mapped"/>
    <s v="User Not Mapped"/>
    <n v="998684"/>
    <s v="GOUTAM KUMAR SARKAR"/>
    <s v="Other"/>
    <s v="9734867506"/>
    <n v="3.51"/>
    <n v="48"/>
    <x v="1"/>
    <m/>
    <s v="2026-03-10"/>
    <s v="281704"/>
    <s v="Maa Fertilizer"/>
    <s v="9800042039"/>
  </r>
  <r>
    <s v="RCF Import"/>
    <s v="Imp 10-26-26"/>
    <s v="WB"/>
    <x v="14"/>
    <s v="Khargram"/>
    <s v="User Not Mapped"/>
    <s v="User Not Mapped"/>
    <s v="User Not Mapped"/>
    <n v="998684"/>
    <s v="GOUTAM KUMAR SARKAR"/>
    <s v="Other"/>
    <s v="9734867506"/>
    <n v="3.5"/>
    <n v="62"/>
    <x v="2"/>
    <m/>
    <s v="2026-02-24"/>
    <s v="281704"/>
    <s v="Maa Fertilizer"/>
    <s v="9800042039"/>
  </r>
  <r>
    <s v="RCF Thal"/>
    <s v="N.C.Urea(45kg)"/>
    <s v="WB"/>
    <x v="14"/>
    <s v="Khargram"/>
    <s v="User Not Mapped"/>
    <s v="User Not Mapped"/>
    <s v="User Not Mapped"/>
    <n v="1006479"/>
    <s v="BAPAN MONDAL"/>
    <s v="Private Retailer"/>
    <s v="9775808030"/>
    <n v="1.26"/>
    <n v="119"/>
    <x v="5"/>
    <m/>
    <s v="2025-12-29"/>
    <s v="223285"/>
    <s v="M/s. Golam Kibria"/>
    <s v="8371889332"/>
  </r>
  <r>
    <s v="RCF Thal"/>
    <s v="N.C.Urea(45kg)"/>
    <s v="WB"/>
    <x v="14"/>
    <s v="Khargram"/>
    <s v="User Not Mapped"/>
    <s v="User Not Mapped"/>
    <s v="User Not Mapped"/>
    <n v="1085495"/>
    <s v="PANKAJ GHOSH"/>
    <s v="Private Retailer"/>
    <s v="9932044443"/>
    <n v="9.09"/>
    <n v="47"/>
    <x v="1"/>
    <m/>
    <s v="2026-03-11"/>
    <s v="223292"/>
    <s v="M/s. Gouri Sankar Mandal"/>
    <s v="7365965125"/>
  </r>
  <r>
    <s v="RCF Trombay"/>
    <s v="N.C.Urea(45kg)"/>
    <s v="WB"/>
    <x v="14"/>
    <s v="Khargram"/>
    <s v="User Not Mapped"/>
    <s v="User Not Mapped"/>
    <s v="User Not Mapped"/>
    <n v="1085495"/>
    <s v="PANKAJ GHOSH"/>
    <s v="Private Retailer"/>
    <s v="9932044443"/>
    <n v="4.4999999999999998E-2"/>
    <n v="136"/>
    <x v="0"/>
    <m/>
    <s v="2025-12-12"/>
    <s v="223292"/>
    <s v="M/s. Gouri Sankar Mandal"/>
    <s v="7365965125"/>
  </r>
  <r>
    <s v="RCF Trombay"/>
    <s v="N.C.Urea(45kg)"/>
    <s v="WB"/>
    <x v="14"/>
    <s v="Khargram"/>
    <s v="User Not Mapped"/>
    <s v="User Not Mapped"/>
    <s v="User Not Mapped"/>
    <n v="1085495"/>
    <s v="PANKAJ GHOSH"/>
    <s v="Private Retailer"/>
    <s v="9932044443"/>
    <n v="3.51"/>
    <n v="36"/>
    <x v="1"/>
    <m/>
    <s v="2026-03-22"/>
    <s v="223292"/>
    <s v="M/s. Gouri Sankar Mandal"/>
    <s v="7365965125"/>
  </r>
  <r>
    <s v="RCF Thal"/>
    <s v="N.C.Urea(45kg)"/>
    <s v="WB"/>
    <x v="14"/>
    <s v="Khargram"/>
    <s v="User Not Mapped"/>
    <s v="User Not Mapped"/>
    <s v="User Not Mapped"/>
    <n v="1316652"/>
    <s v="MD SAYER ALI"/>
    <s v="Private Retailer"/>
    <s v="9475881453"/>
    <n v="19.98"/>
    <n v="25"/>
    <x v="4"/>
    <m/>
    <s v="2026-04-02"/>
    <s v="1138964"/>
    <s v="RAKESH FERTILIZER"/>
    <s v="9733026828"/>
  </r>
  <r>
    <s v="RCF Thal"/>
    <s v="N.C.Urea(45kg)"/>
    <s v="WB"/>
    <x v="14"/>
    <s v="Khargram"/>
    <s v="User Not Mapped"/>
    <s v="User Not Mapped"/>
    <s v="User Not Mapped"/>
    <n v="1461449"/>
    <s v="FAIJUL KABIR SK"/>
    <s v="Private Retailer"/>
    <s v="8250688142"/>
    <n v="3.42"/>
    <n v="42"/>
    <x v="1"/>
    <m/>
    <s v="2026-03-16"/>
    <s v="289309"/>
    <s v="Fatema Begam"/>
    <s v="9733510936"/>
  </r>
  <r>
    <s v="RCF Thal"/>
    <s v="N.C.Urea(45kg)"/>
    <s v="WB"/>
    <x v="14"/>
    <s v="Khargram"/>
    <s v="User Not Mapped"/>
    <s v="User Not Mapped"/>
    <s v="User Not Mapped"/>
    <n v="1519077"/>
    <s v="BARKET MAYE KRISHI BHANDER"/>
    <s v="Private Retailer"/>
    <s v="9735255107"/>
    <n v="0.99"/>
    <n v="113"/>
    <x v="5"/>
    <m/>
    <s v="2026-01-04"/>
    <s v="1463904"/>
    <s v="DEB NARAYAN BARAL"/>
    <s v="7585040500"/>
  </r>
  <r>
    <s v="RCF Trombay"/>
    <s v="N.C.Urea(45kg)"/>
    <s v="WB"/>
    <x v="14"/>
    <s v="Khargram"/>
    <s v="User Not Mapped"/>
    <s v="User Not Mapped"/>
    <s v="User Not Mapped"/>
    <n v="1524808"/>
    <s v="M/S MAA FERTILIZER"/>
    <s v="Private Retailer"/>
    <s v="9002269237"/>
    <n v="4.41"/>
    <n v="271"/>
    <x v="3"/>
    <m/>
    <s v="2025-07-30"/>
    <s v="281697"/>
    <s v="Md Samiruddin"/>
    <s v="7550808353"/>
  </r>
  <r>
    <s v="RCF Thal"/>
    <s v="N.C.Urea(45kg)"/>
    <s v="WB"/>
    <x v="14"/>
    <s v="Khargram"/>
    <s v="User Not Mapped"/>
    <s v="User Not Mapped"/>
    <s v="User Not Mapped"/>
    <n v="1542381"/>
    <s v="PAL FERTILIZER"/>
    <s v="Private Retailer"/>
    <s v="7063374230"/>
    <n v="2.97"/>
    <n v="42"/>
    <x v="1"/>
    <m/>
    <s v="2026-03-16"/>
    <s v="281698"/>
    <s v="Krishi Mahal"/>
    <s v="8536856527"/>
  </r>
  <r>
    <s v="RCF Thal"/>
    <s v="N.C.Urea(45kg)"/>
    <s v="WB"/>
    <x v="14"/>
    <s v="Khargram"/>
    <s v="User Not Mapped"/>
    <s v="User Not Mapped"/>
    <s v="User Not Mapped"/>
    <n v="1542381"/>
    <s v="PAL FERTILIZER"/>
    <s v="Private Retailer"/>
    <s v="7063374230"/>
    <n v="4.7699999999999996"/>
    <n v="219"/>
    <x v="3"/>
    <m/>
    <s v="2025-09-20"/>
    <s v="223285"/>
    <s v="M/s. Golam Kibria"/>
    <s v="8371889332"/>
  </r>
  <r>
    <s v="RCF Trombay"/>
    <s v="N.C.Urea(45kg)"/>
    <s v="WB"/>
    <x v="14"/>
    <s v="Lalgola"/>
    <s v="User Not Mapped"/>
    <s v="User Not Mapped"/>
    <s v="User Not Mapped"/>
    <n v="235706"/>
    <s v="Md Ashraf Ali"/>
    <s v="Private Retailer"/>
    <s v="9733973220"/>
    <n v="0.04"/>
    <n v="277"/>
    <x v="3"/>
    <m/>
    <s v="2025-07-24"/>
    <s v="355437"/>
    <s v="Asraf Ali"/>
    <s v="9733973220"/>
  </r>
  <r>
    <s v="RCF Thal"/>
    <s v="N.C.Urea(45kg)"/>
    <s v="WB"/>
    <x v="14"/>
    <s v="Lalgola"/>
    <s v="User Not Mapped"/>
    <s v="User Not Mapped"/>
    <s v="User Not Mapped"/>
    <n v="235706"/>
    <s v="Md Ashraf Ali"/>
    <s v="Private Retailer"/>
    <s v="9733973220"/>
    <n v="8.52"/>
    <n v="132"/>
    <x v="0"/>
    <m/>
    <s v="2025-12-16"/>
    <s v="355437"/>
    <s v="Asraf Ali"/>
    <s v="9733973220"/>
  </r>
  <r>
    <s v="RCF Thal"/>
    <s v="N.C.Urea(45kg)"/>
    <s v="WB"/>
    <x v="14"/>
    <s v="Lalgola"/>
    <s v="User Not Mapped"/>
    <s v="User Not Mapped"/>
    <s v="User Not Mapped"/>
    <n v="235706"/>
    <s v="Md Ashraf Ali"/>
    <s v="Private Retailer"/>
    <s v="9733973220"/>
    <n v="7.02"/>
    <n v="119"/>
    <x v="5"/>
    <m/>
    <s v="2025-12-29"/>
    <s v="223285"/>
    <s v="M/s. Golam Kibria"/>
    <s v="8371889332"/>
  </r>
  <r>
    <s v="RCF Trombay"/>
    <s v="15-15-15"/>
    <s v="WB"/>
    <x v="14"/>
    <s v="Lalgola"/>
    <s v="User Not Mapped"/>
    <s v="User Not Mapped"/>
    <s v="User Not Mapped"/>
    <n v="235735"/>
    <s v="Mojibur Rahaman"/>
    <s v="Private Retailer"/>
    <s v="9735440035"/>
    <n v="2.0499999999999998"/>
    <n v="834"/>
    <x v="7"/>
    <m/>
    <s v="2024-01-14"/>
    <s v="289319"/>
    <s v="Utpal Kumar Dutta"/>
    <s v="9434173910"/>
  </r>
  <r>
    <s v="RCF Thal"/>
    <s v="N.C.Urea(45kg)"/>
    <s v="WB"/>
    <x v="14"/>
    <s v="Lalgola"/>
    <s v="User Not Mapped"/>
    <s v="User Not Mapped"/>
    <s v="User Not Mapped"/>
    <n v="235739"/>
    <s v="M/S Debasis Das"/>
    <s v="Private Retailer"/>
    <s v="9733940640"/>
    <n v="9.99"/>
    <n v="39"/>
    <x v="1"/>
    <m/>
    <s v="2026-03-19"/>
    <s v="269139"/>
    <s v="Firoj Ali"/>
    <s v="9932787296"/>
  </r>
  <r>
    <s v="RCF Trombay"/>
    <s v="15-15-15"/>
    <s v="WB"/>
    <x v="14"/>
    <s v="Lalgola"/>
    <s v="User Not Mapped"/>
    <s v="User Not Mapped"/>
    <s v="User Not Mapped"/>
    <n v="270488"/>
    <s v="Md Mirjahan Ali"/>
    <s v="Private Retailer"/>
    <s v="9851341063"/>
    <n v="6.5"/>
    <n v="45"/>
    <x v="1"/>
    <m/>
    <s v="2026-03-13"/>
    <s v="281704"/>
    <s v="Maa Fertilizer"/>
    <s v="9800042039"/>
  </r>
  <r>
    <s v="RCF Trombay"/>
    <s v="15-15-15"/>
    <s v="WB"/>
    <x v="14"/>
    <s v="Lalgola"/>
    <s v="User Not Mapped"/>
    <s v="User Not Mapped"/>
    <s v="User Not Mapped"/>
    <n v="289260"/>
    <s v="Rabindra Nath Mandal"/>
    <s v="Private Retailer"/>
    <s v="9735631803"/>
    <n v="0.05"/>
    <n v="305"/>
    <x v="3"/>
    <m/>
    <s v="2025-06-26"/>
    <s v="596479"/>
    <s v="M/S RANA FERTILISERS STORES"/>
    <s v="8350079945"/>
  </r>
  <r>
    <s v="RCF Trombay"/>
    <s v="N.C.Urea(45kg)"/>
    <s v="WB"/>
    <x v="14"/>
    <s v="Lalgola"/>
    <s v="User Not Mapped"/>
    <s v="User Not Mapped"/>
    <s v="User Not Mapped"/>
    <n v="341071"/>
    <s v="Bikash Chandra Das"/>
    <s v="Private Retailer"/>
    <s v="8926555548"/>
    <n v="0.2"/>
    <n v="90"/>
    <x v="2"/>
    <m/>
    <s v="2026-01-27"/>
    <s v="223293"/>
    <s v="Bisanka Chandra Mondal And Son"/>
    <s v="9609521133"/>
  </r>
  <r>
    <s v="RCF Trombay"/>
    <s v="15-15-15"/>
    <s v="WB"/>
    <x v="14"/>
    <s v="Lalgola"/>
    <s v="User Not Mapped"/>
    <s v="User Not Mapped"/>
    <s v="User Not Mapped"/>
    <n v="341907"/>
    <s v="Md. Nurabul Alam"/>
    <s v="Private Retailer"/>
    <s v="9732889880"/>
    <n v="3.2"/>
    <n v="47"/>
    <x v="1"/>
    <m/>
    <s v="2026-03-11"/>
    <s v="465152"/>
    <s v="Keshri Mal Jain"/>
    <s v="9932820672"/>
  </r>
  <r>
    <s v="RCF Trombay"/>
    <s v="N.C.Urea(45kg)"/>
    <s v="WB"/>
    <x v="14"/>
    <s v="Lalgola"/>
    <s v="User Not Mapped"/>
    <s v="User Not Mapped"/>
    <s v="User Not Mapped"/>
    <n v="341910"/>
    <s v="Md. Rafikul Islam"/>
    <s v="Private Retailer"/>
    <s v="9647006281"/>
    <n v="1.8"/>
    <n v="74"/>
    <x v="2"/>
    <m/>
    <s v="2026-02-12"/>
    <s v="281689"/>
    <s v="Nanda Dulal Mondal            "/>
    <s v="9153141062"/>
  </r>
  <r>
    <s v="RCF Import"/>
    <s v="Imp 10-26-26"/>
    <s v="WB"/>
    <x v="14"/>
    <s v="Lalgola"/>
    <s v="User Not Mapped"/>
    <s v="User Not Mapped"/>
    <s v="User Not Mapped"/>
    <n v="354763"/>
    <s v="Baduruddin Sarkar"/>
    <s v="Private Retailer"/>
    <s v="9732653906"/>
    <n v="5.85"/>
    <n v="79"/>
    <x v="2"/>
    <m/>
    <s v="2026-02-07"/>
    <s v="281687"/>
    <s v="Tapash  Kr Das"/>
    <s v="9064408878"/>
  </r>
  <r>
    <s v="RCF Trombay"/>
    <s v="15-15-15"/>
    <s v="WB"/>
    <x v="14"/>
    <s v="Lalgola"/>
    <s v="User Not Mapped"/>
    <s v="User Not Mapped"/>
    <s v="User Not Mapped"/>
    <n v="354763"/>
    <s v="Baduruddin Sarkar"/>
    <s v="Private Retailer"/>
    <s v="9732653906"/>
    <n v="4"/>
    <n v="91"/>
    <x v="5"/>
    <m/>
    <s v="2026-01-26"/>
    <s v="465152"/>
    <s v="Keshri Mal Jain"/>
    <s v="9932820672"/>
  </r>
  <r>
    <s v="RCF Trombay"/>
    <s v="15-15-15"/>
    <s v="WB"/>
    <x v="14"/>
    <s v="Lalgola"/>
    <s v="User Not Mapped"/>
    <s v="User Not Mapped"/>
    <s v="User Not Mapped"/>
    <n v="354763"/>
    <s v="Baduruddin Sarkar"/>
    <s v="Private Retailer"/>
    <s v="9732653906"/>
    <n v="3.5"/>
    <n v="47"/>
    <x v="1"/>
    <m/>
    <s v="2026-03-11"/>
    <s v="465152"/>
    <s v="Keshri Mal Jain"/>
    <s v="9932820672"/>
  </r>
  <r>
    <s v="RCF Import"/>
    <s v="Imp 10-26-26"/>
    <s v="WB"/>
    <x v="14"/>
    <s v="Lalgola"/>
    <s v="User Not Mapped"/>
    <s v="User Not Mapped"/>
    <s v="User Not Mapped"/>
    <n v="355392"/>
    <s v="Md. Minarul Islam "/>
    <s v="Private Retailer"/>
    <s v="9635304081"/>
    <n v="7"/>
    <n v="44"/>
    <x v="1"/>
    <m/>
    <s v="2026-03-14"/>
    <s v="281704"/>
    <s v="Maa Fertilizer"/>
    <s v="9800042039"/>
  </r>
  <r>
    <s v="RCF Thal"/>
    <s v="N.C.Urea(45kg)"/>
    <s v="WB"/>
    <x v="14"/>
    <s v="Lalgola"/>
    <s v="User Not Mapped"/>
    <s v="User Not Mapped"/>
    <s v="User Not Mapped"/>
    <n v="355392"/>
    <s v="Md. Minarul Islam "/>
    <s v="Private Retailer"/>
    <s v="9635304081"/>
    <n v="11.025"/>
    <n v="115"/>
    <x v="5"/>
    <m/>
    <s v="2026-01-02"/>
    <s v="281704"/>
    <s v="Maa Fertilizer"/>
    <s v="9800042039"/>
  </r>
  <r>
    <s v="RCF Thal"/>
    <s v="N.C.Urea(45kg)"/>
    <s v="WB"/>
    <x v="14"/>
    <s v="Lalgola"/>
    <s v="User Not Mapped"/>
    <s v="User Not Mapped"/>
    <s v="User Not Mapped"/>
    <n v="355392"/>
    <s v="Md. Minarul Islam "/>
    <s v="Private Retailer"/>
    <s v="9635304081"/>
    <n v="7.02"/>
    <n v="47"/>
    <x v="1"/>
    <m/>
    <s v="2026-03-11"/>
    <s v="281704"/>
    <s v="Maa Fertilizer"/>
    <s v="9800042039"/>
  </r>
  <r>
    <s v="RCF Trombay"/>
    <s v="15-15-15"/>
    <s v="WB"/>
    <x v="14"/>
    <s v="Lalgola"/>
    <s v="User Not Mapped"/>
    <s v="User Not Mapped"/>
    <s v="User Not Mapped"/>
    <n v="355392"/>
    <s v="Md. Minarul Islam "/>
    <s v="Private Retailer"/>
    <s v="9635304081"/>
    <n v="3"/>
    <n v="89"/>
    <x v="2"/>
    <m/>
    <s v="2026-01-28"/>
    <s v="281704"/>
    <s v="Maa Fertilizer"/>
    <s v="9800042039"/>
  </r>
  <r>
    <s v="RCF Trombay"/>
    <s v="N.C.Urea(45kg)"/>
    <s v="WB"/>
    <x v="14"/>
    <s v="Lalgola"/>
    <s v="User Not Mapped"/>
    <s v="User Not Mapped"/>
    <s v="User Not Mapped"/>
    <n v="355392"/>
    <s v="Md. Minarul Islam "/>
    <s v="Private Retailer"/>
    <s v="9635304081"/>
    <n v="7.02"/>
    <n v="89"/>
    <x v="2"/>
    <m/>
    <s v="2026-01-28"/>
    <s v="281704"/>
    <s v="Maa Fertilizer"/>
    <s v="9800042039"/>
  </r>
  <r>
    <s v="RCF Import"/>
    <s v="Imp 10-26-26"/>
    <s v="WB"/>
    <x v="14"/>
    <s v="Lalgola"/>
    <s v="User Not Mapped"/>
    <s v="User Not Mapped"/>
    <s v="User Not Mapped"/>
    <n v="355392"/>
    <s v="Md. Minarul Islam "/>
    <s v="Private Retailer"/>
    <s v="9635304081"/>
    <n v="0.4"/>
    <n v="233"/>
    <x v="3"/>
    <m/>
    <s v="2025-09-06"/>
    <s v="281704"/>
    <s v="Maa Fertilizer"/>
    <s v="9800042039"/>
  </r>
  <r>
    <s v="RCF Trombay"/>
    <s v="15-15-15"/>
    <s v="WB"/>
    <x v="14"/>
    <s v="Lalgola"/>
    <s v="User Not Mapped"/>
    <s v="User Not Mapped"/>
    <s v="User Not Mapped"/>
    <n v="469736"/>
    <s v="Md. Moyjuddin"/>
    <s v="Private Retailer"/>
    <s v="7797094059"/>
    <n v="0.25"/>
    <n v="853"/>
    <x v="7"/>
    <m/>
    <s v="2023-12-26"/>
    <s v="1255882"/>
    <s v="KRISHI MELA"/>
    <s v="9851341063"/>
  </r>
  <r>
    <s v="RCF Thal"/>
    <s v="N.C.Urea(45kg)"/>
    <s v="WB"/>
    <x v="14"/>
    <s v="Lalgola"/>
    <s v="User Not Mapped"/>
    <s v="User Not Mapped"/>
    <s v="User Not Mapped"/>
    <n v="505634"/>
    <s v="Umar Ali"/>
    <s v="Private Retailer"/>
    <s v="9732466939"/>
    <n v="5.0000000000000001E-3"/>
    <n v="910"/>
    <x v="7"/>
    <m/>
    <s v="2023-10-30"/>
    <s v="1159343"/>
    <s v="M/S TOHADDESH ALI"/>
    <s v="9932007562"/>
  </r>
  <r>
    <s v="RCF Trombay"/>
    <s v="N.C.Urea(45kg)"/>
    <s v="WB"/>
    <x v="14"/>
    <s v="Lalgola"/>
    <s v="User Not Mapped"/>
    <s v="User Not Mapped"/>
    <s v="User Not Mapped"/>
    <n v="505634"/>
    <s v="Umar Ali"/>
    <s v="Private Retailer"/>
    <s v="9732466939"/>
    <n v="0.01"/>
    <n v="911"/>
    <x v="7"/>
    <m/>
    <s v="2023-10-29"/>
    <s v="1159343"/>
    <s v="M/S TOHADDESH ALI"/>
    <s v="9932007562"/>
  </r>
  <r>
    <s v="RCF Trombay"/>
    <s v="15-15-15"/>
    <s v="WB"/>
    <x v="14"/>
    <s v="Lalgola"/>
    <s v="User Not Mapped"/>
    <s v="User Not Mapped"/>
    <s v="User Not Mapped"/>
    <n v="592805"/>
    <s v="DIPTI KUMAR DAS"/>
    <s v="Private Retailer"/>
    <s v="9775115765"/>
    <n v="7"/>
    <n v="88"/>
    <x v="2"/>
    <m/>
    <s v="2026-01-29"/>
    <s v="1320516"/>
    <s v="BIDHAN CHANDRA BISWAS"/>
    <s v="9732816547"/>
  </r>
  <r>
    <s v="RCF Trombay"/>
    <s v="15-15-15"/>
    <s v="WB"/>
    <x v="14"/>
    <s v="Lalgola"/>
    <s v="User Not Mapped"/>
    <s v="User Not Mapped"/>
    <s v="User Not Mapped"/>
    <n v="604332"/>
    <s v="SUBHAS CHANDRA DAS"/>
    <s v="Private Retailer"/>
    <s v="9732828178"/>
    <n v="4"/>
    <n v="44"/>
    <x v="1"/>
    <m/>
    <s v="2026-03-14"/>
    <s v="1159343"/>
    <s v="M/S TOHADDESH ALI"/>
    <s v="9932007562"/>
  </r>
  <r>
    <s v="RCF Trombay"/>
    <s v="15-15-15"/>
    <s v="WB"/>
    <x v="14"/>
    <s v="Lalgola"/>
    <s v="User Not Mapped"/>
    <s v="User Not Mapped"/>
    <s v="User Not Mapped"/>
    <n v="634765"/>
    <s v="MD OBAIDUR RAHOMAN"/>
    <s v="Private Retailer"/>
    <s v="9775964199"/>
    <n v="0.4"/>
    <n v="431"/>
    <x v="6"/>
    <m/>
    <s v="2025-02-20"/>
    <s v="223291"/>
    <s v="M/S Keshri Mal Jain"/>
    <s v="7718281841"/>
  </r>
  <r>
    <s v="RCF Thal"/>
    <s v="N.C.Urea(45kg)"/>
    <s v="WB"/>
    <x v="14"/>
    <s v="Lalgola"/>
    <s v="User Not Mapped"/>
    <s v="User Not Mapped"/>
    <s v="User Not Mapped"/>
    <n v="646114"/>
    <s v="MD AKMAL HOSSAIN"/>
    <s v="Private Retailer"/>
    <s v="9775172133"/>
    <n v="0.27"/>
    <n v="119"/>
    <x v="5"/>
    <m/>
    <s v="2025-12-29"/>
    <s v="289315"/>
    <s v="M/S Monoranjan Dey"/>
    <s v="9733893312"/>
  </r>
  <r>
    <s v="RCF Trombay"/>
    <s v="15-15-15"/>
    <s v="WB"/>
    <x v="14"/>
    <s v="Lalgola"/>
    <s v="User Not Mapped"/>
    <s v="User Not Mapped"/>
    <s v="User Not Mapped"/>
    <n v="647557"/>
    <s v="SADANANDA DAS"/>
    <s v="Private Retailer"/>
    <s v="9735782731"/>
    <n v="7"/>
    <n v="30"/>
    <x v="4"/>
    <m/>
    <s v="2026-03-28"/>
    <s v="289309"/>
    <s v="Fatema Begam"/>
    <s v="9733510936"/>
  </r>
  <r>
    <s v="RCF Thal"/>
    <s v="N.C.Urea(45kg)"/>
    <s v="WB"/>
    <x v="14"/>
    <s v="Lalgola"/>
    <s v="User Not Mapped"/>
    <s v="User Not Mapped"/>
    <s v="User Not Mapped"/>
    <n v="647557"/>
    <s v="SADANANDA DAS"/>
    <s v="Private Retailer"/>
    <s v="9735782731"/>
    <n v="9.99"/>
    <n v="25"/>
    <x v="4"/>
    <m/>
    <s v="2026-04-02"/>
    <s v="1138964"/>
    <s v="RAKESH FERTILIZER"/>
    <s v="9733026828"/>
  </r>
  <r>
    <s v="RCF Trombay"/>
    <s v="N.C.Urea(45kg)"/>
    <s v="WB"/>
    <x v="14"/>
    <s v="Lalgola"/>
    <s v="User Not Mapped"/>
    <s v="User Not Mapped"/>
    <s v="User Not Mapped"/>
    <n v="845401"/>
    <s v="RAMIZ HASAN"/>
    <s v="Private Retailer"/>
    <s v="9733753285"/>
    <n v="4.5449999999999999"/>
    <n v="45"/>
    <x v="1"/>
    <m/>
    <s v="2026-03-13"/>
    <s v="223293"/>
    <s v="Bisanka Chandra Mondal And Son"/>
    <s v="9609521133"/>
  </r>
  <r>
    <s v="RCF Trombay"/>
    <s v="15-15-15"/>
    <s v="WB"/>
    <x v="14"/>
    <s v="Lalgola"/>
    <s v="User Not Mapped"/>
    <s v="User Not Mapped"/>
    <s v="User Not Mapped"/>
    <n v="845401"/>
    <s v="RAMIZ HASAN"/>
    <s v="Private Retailer"/>
    <s v="9733753285"/>
    <n v="0.65"/>
    <n v="30"/>
    <x v="4"/>
    <m/>
    <s v="2026-03-28"/>
    <s v="289309"/>
    <s v="Fatema Begam"/>
    <s v="9733510936"/>
  </r>
  <r>
    <s v="RCF Trombay"/>
    <s v="N.C.Urea(45kg)"/>
    <s v="WB"/>
    <x v="14"/>
    <s v="Lalgola"/>
    <s v="User Not Mapped"/>
    <s v="User Not Mapped"/>
    <s v="User Not Mapped"/>
    <n v="845407"/>
    <s v="MD PIARUL ISLAM"/>
    <s v="Private Retailer"/>
    <s v="7585003731"/>
    <n v="5.13"/>
    <n v="518"/>
    <x v="6"/>
    <m/>
    <s v="2024-11-25"/>
    <s v="223292"/>
    <s v="M/s. Gouri Sankar Mandal"/>
    <s v="7365965125"/>
  </r>
  <r>
    <s v="RCF Trombay"/>
    <s v="15-15-15"/>
    <s v="WB"/>
    <x v="14"/>
    <s v="Lalgola"/>
    <s v="User Not Mapped"/>
    <s v="User Not Mapped"/>
    <s v="User Not Mapped"/>
    <n v="845407"/>
    <s v="MD PIARUL ISLAM"/>
    <s v="Private Retailer"/>
    <s v="7585003731"/>
    <n v="0.5"/>
    <n v="461"/>
    <x v="6"/>
    <m/>
    <s v="2025-01-21"/>
    <s v="223292"/>
    <s v="M/s. Gouri Sankar Mandal"/>
    <s v="7365965125"/>
  </r>
  <r>
    <s v="RCF Trombay"/>
    <s v="N.C.Urea(45kg)"/>
    <s v="WB"/>
    <x v="14"/>
    <s v="Lalgola"/>
    <s v="User Not Mapped"/>
    <s v="User Not Mapped"/>
    <s v="User Not Mapped"/>
    <n v="845407"/>
    <s v="MD PIARUL ISLAM"/>
    <s v="Private Retailer"/>
    <s v="7585003731"/>
    <n v="7.02"/>
    <n v="461"/>
    <x v="6"/>
    <m/>
    <s v="2025-01-21"/>
    <s v="223292"/>
    <s v="M/s. Gouri Sankar Mandal"/>
    <s v="7365965125"/>
  </r>
  <r>
    <s v="RCF Trombay"/>
    <s v="15-15-15"/>
    <s v="WB"/>
    <x v="14"/>
    <s v="Lalgola"/>
    <s v="User Not Mapped"/>
    <s v="User Not Mapped"/>
    <s v="User Not Mapped"/>
    <n v="867683"/>
    <s v="Sirifa Bibi"/>
    <s v="Private Retailer"/>
    <s v="8609489532"/>
    <n v="3"/>
    <n v="44"/>
    <x v="1"/>
    <m/>
    <s v="2026-03-14"/>
    <s v="1116227"/>
    <s v="KISHAN BANDHU"/>
    <s v="9732811913"/>
  </r>
  <r>
    <s v="RCF Trombay"/>
    <s v="15-15-15"/>
    <s v="WB"/>
    <x v="14"/>
    <s v="Lalgola"/>
    <s v="User Not Mapped"/>
    <s v="User Not Mapped"/>
    <s v="User Not Mapped"/>
    <n v="893045"/>
    <s v="MD AZIZUR RAHAMAN"/>
    <s v="Private Retailer"/>
    <s v="9932236541"/>
    <n v="9.25"/>
    <n v="82"/>
    <x v="2"/>
    <m/>
    <s v="2026-02-04"/>
    <s v="289309"/>
    <s v="Fatema Begam"/>
    <s v="9733510936"/>
  </r>
  <r>
    <s v="RCF Trombay"/>
    <s v="15-15-15"/>
    <s v="WB"/>
    <x v="14"/>
    <s v="Lalgola"/>
    <s v="User Not Mapped"/>
    <s v="User Not Mapped"/>
    <s v="User Not Mapped"/>
    <n v="893051"/>
    <s v="MD JOHARUL ISLAM"/>
    <s v="Private Retailer"/>
    <s v="8513008432"/>
    <n v="1"/>
    <n v="510"/>
    <x v="6"/>
    <m/>
    <s v="2024-12-03"/>
    <s v="658735"/>
    <s v="MD MINARUL ISLAM"/>
    <s v="9635304081"/>
  </r>
  <r>
    <s v="RCF Trombay"/>
    <s v="15-15-15"/>
    <s v="WB"/>
    <x v="14"/>
    <s v="Lalgola"/>
    <s v="User Not Mapped"/>
    <s v="User Not Mapped"/>
    <s v="User Not Mapped"/>
    <n v="988278"/>
    <s v="AMAL KR SAHA"/>
    <s v="Private Retailer"/>
    <s v="8670745723"/>
    <n v="1.5"/>
    <n v="517"/>
    <x v="6"/>
    <m/>
    <s v="2024-11-26"/>
    <s v="1096940"/>
    <s v="MD.-SAMSUZZOHA"/>
    <s v="9933642334"/>
  </r>
  <r>
    <s v="RCF Trombay"/>
    <s v="15-15-15"/>
    <s v="WB"/>
    <x v="14"/>
    <s v="Lalgola"/>
    <s v="User Not Mapped"/>
    <s v="User Not Mapped"/>
    <s v="User Not Mapped"/>
    <n v="994826"/>
    <s v="KISHAN BANDHU"/>
    <s v="Private Retailer"/>
    <s v="9733773222"/>
    <n v="4"/>
    <n v="44"/>
    <x v="1"/>
    <m/>
    <s v="2026-03-14"/>
    <s v="1116227"/>
    <s v="KISHAN BANDHU"/>
    <s v="9732811913"/>
  </r>
  <r>
    <s v="RCF Thal"/>
    <s v="N.C.Urea(45kg)"/>
    <s v="WB"/>
    <x v="14"/>
    <s v="Lalgola"/>
    <s v="User Not Mapped"/>
    <s v="User Not Mapped"/>
    <s v="User Not Mapped"/>
    <n v="994826"/>
    <s v="KISHAN BANDHU"/>
    <s v="Private Retailer"/>
    <s v="9733773222"/>
    <n v="6.6150000000000002"/>
    <n v="116"/>
    <x v="5"/>
    <m/>
    <s v="2026-01-01"/>
    <s v="280775"/>
    <s v="R A Kheria"/>
    <s v="9830290085"/>
  </r>
  <r>
    <s v="RCF Import"/>
    <s v="MOP"/>
    <s v="WB"/>
    <x v="14"/>
    <s v="Lalgola"/>
    <s v="User Not Mapped"/>
    <s v="User Not Mapped"/>
    <s v="User Not Mapped"/>
    <n v="996250"/>
    <s v="DULAL KUMAR SHIL"/>
    <s v="Private Retailer"/>
    <s v="9093969906"/>
    <n v="1.1000000000000001"/>
    <n v="441"/>
    <x v="6"/>
    <m/>
    <s v="2025-02-10"/>
    <s v="281704"/>
    <s v="Maa Fertilizer"/>
    <s v="9800042039"/>
  </r>
  <r>
    <s v="RCF Thal"/>
    <s v="N.C.Urea(45kg)"/>
    <s v="WB"/>
    <x v="14"/>
    <s v="Lalgola"/>
    <s v="User Not Mapped"/>
    <s v="User Not Mapped"/>
    <s v="User Not Mapped"/>
    <n v="1019621"/>
    <s v="MD. MILTON"/>
    <s v="Private Retailer"/>
    <s v="9735448002"/>
    <n v="3"/>
    <n v="104"/>
    <x v="5"/>
    <m/>
    <s v="2026-01-13"/>
    <s v="1159343"/>
    <s v="M/S TOHADDESH ALI"/>
    <s v="9932007562"/>
  </r>
  <r>
    <s v="RCF Thal"/>
    <s v="N.C.Urea(45kg)"/>
    <s v="WB"/>
    <x v="14"/>
    <s v="Lalgola"/>
    <s v="User Not Mapped"/>
    <s v="User Not Mapped"/>
    <s v="User Not Mapped"/>
    <n v="1035319"/>
    <s v="MUKLEMA BIBI"/>
    <s v="Private Retailer"/>
    <s v="9647089462"/>
    <n v="0.45"/>
    <n v="238"/>
    <x v="3"/>
    <m/>
    <s v="2025-09-01"/>
    <s v="223285"/>
    <s v="M/s. Golam Kibria"/>
    <s v="8371889332"/>
  </r>
  <r>
    <s v="RCF Thal"/>
    <s v="N.C.Urea(45kg)"/>
    <s v="WB"/>
    <x v="14"/>
    <s v="Lalgola"/>
    <s v="User Not Mapped"/>
    <s v="User Not Mapped"/>
    <s v="User Not Mapped"/>
    <n v="1059400"/>
    <s v="MST JAIBAN NESHA"/>
    <s v="Private Retailer"/>
    <s v="9093261036"/>
    <n v="4.5"/>
    <n v="287"/>
    <x v="3"/>
    <m/>
    <s v="2025-07-14"/>
    <s v="1116227"/>
    <s v="KISHAN BANDHU"/>
    <s v="9732811913"/>
  </r>
  <r>
    <s v="RCF Trombay"/>
    <s v="N.C.Urea(45kg)"/>
    <s v="WB"/>
    <x v="14"/>
    <s v="Lalgola"/>
    <s v="User Not Mapped"/>
    <s v="User Not Mapped"/>
    <s v="User Not Mapped"/>
    <n v="1059672"/>
    <s v="RUP CHAND DAS"/>
    <s v="Private Retailer"/>
    <s v="8768779636"/>
    <n v="0.9"/>
    <n v="5"/>
    <x v="4"/>
    <m/>
    <s v="2026-04-22"/>
    <s v="281698"/>
    <s v="Krishi Mahal"/>
    <s v="8536856527"/>
  </r>
  <r>
    <s v="RCF Trombay"/>
    <s v="N.C.Urea(45kg)"/>
    <s v="WB"/>
    <x v="14"/>
    <s v="Lalgola"/>
    <s v="User Not Mapped"/>
    <s v="User Not Mapped"/>
    <s v="User Not Mapped"/>
    <n v="1146185"/>
    <s v="TOUFIK AHMED"/>
    <s v="Private Retailer"/>
    <s v="8348697100"/>
    <n v="0.45"/>
    <n v="90"/>
    <x v="2"/>
    <m/>
    <s v="2026-01-27"/>
    <s v="223293"/>
    <s v="Bisanka Chandra Mondal And Son"/>
    <s v="9609521133"/>
  </r>
  <r>
    <s v="RCF Trombay"/>
    <s v="N.C.Urea(45kg)"/>
    <s v="WB"/>
    <x v="14"/>
    <s v="Lalgola"/>
    <s v="User Not Mapped"/>
    <s v="User Not Mapped"/>
    <s v="User Not Mapped"/>
    <n v="1391269"/>
    <s v="ASIF AGRO CHEMICALS"/>
    <s v="Private Retailer"/>
    <s v="7699153369"/>
    <n v="0.09"/>
    <n v="90"/>
    <x v="2"/>
    <m/>
    <s v="2026-01-27"/>
    <s v="223293"/>
    <s v="Bisanka Chandra Mondal And Son"/>
    <s v="9609521133"/>
  </r>
  <r>
    <s v="RCF Thal"/>
    <s v="N.C.Urea(45kg)"/>
    <s v="WB"/>
    <x v="14"/>
    <s v="Lalgola"/>
    <s v="User Not Mapped"/>
    <s v="User Not Mapped"/>
    <s v="User Not Mapped"/>
    <n v="1422202"/>
    <s v="MD SHAFI KAMAL"/>
    <s v="Private Retailer"/>
    <s v="8609080035"/>
    <n v="2.7E-2"/>
    <n v="235"/>
    <x v="3"/>
    <m/>
    <s v="2025-09-04"/>
    <s v="355437"/>
    <s v="Asraf Ali"/>
    <s v="9733973220"/>
  </r>
  <r>
    <s v="RCF Trombay"/>
    <s v="15-15-15"/>
    <s v="WB"/>
    <x v="14"/>
    <s v="Lalgola"/>
    <s v="User Not Mapped"/>
    <s v="User Not Mapped"/>
    <s v="User Not Mapped"/>
    <n v="1524790"/>
    <s v="NIRANANDA DAS"/>
    <s v="Private Retailer"/>
    <s v="9635326757"/>
    <n v="0.6"/>
    <n v="90"/>
    <x v="2"/>
    <m/>
    <s v="2026-01-27"/>
    <s v="289310"/>
    <s v="Gopal Fertilizer"/>
    <s v="8170003423"/>
  </r>
  <r>
    <s v="RCF Import"/>
    <s v="Imp 10-26-26"/>
    <s v="WB"/>
    <x v="14"/>
    <s v="Murshidabad Jiaganj"/>
    <s v="User Not Mapped"/>
    <s v="User Not Mapped"/>
    <s v="User Not Mapped"/>
    <n v="235576"/>
    <s v="Anirul Islam"/>
    <s v="Private Retailer"/>
    <s v="9734557230"/>
    <n v="4.05"/>
    <n v="84"/>
    <x v="2"/>
    <m/>
    <s v="2026-02-02"/>
    <s v="289315"/>
    <s v="M/S Monoranjan Dey"/>
    <s v="9733893312"/>
  </r>
  <r>
    <s v="RCF Trombay"/>
    <s v="15-15-15"/>
    <s v="WB"/>
    <x v="14"/>
    <s v="Murshidabad Jiaganj"/>
    <s v="User Not Mapped"/>
    <s v="User Not Mapped"/>
    <s v="User Not Mapped"/>
    <n v="235584"/>
    <s v="Ashutosh Das"/>
    <s v="Private Retailer"/>
    <s v="9434859178"/>
    <n v="0.5"/>
    <n v="91"/>
    <x v="5"/>
    <m/>
    <s v="2026-01-26"/>
    <s v="465152"/>
    <s v="Keshri Mal Jain"/>
    <s v="9932820672"/>
  </r>
  <r>
    <s v="RCF Thal"/>
    <s v="N.C.Urea(45kg)"/>
    <s v="WB"/>
    <x v="14"/>
    <s v="Murshidabad Jiaganj"/>
    <s v="User Not Mapped"/>
    <s v="User Not Mapped"/>
    <s v="User Not Mapped"/>
    <n v="235774"/>
    <s v="Ram Prasad Basak"/>
    <s v="Private Retailer"/>
    <s v="9434534523"/>
    <n v="6.57"/>
    <n v="119"/>
    <x v="5"/>
    <m/>
    <s v="2025-12-29"/>
    <s v="289315"/>
    <s v="M/S Monoranjan Dey"/>
    <s v="9733893312"/>
  </r>
  <r>
    <s v="RCF Trombay"/>
    <s v="N.C.Urea(45kg)"/>
    <s v="WB"/>
    <x v="14"/>
    <s v="Murshidabad Jiaganj"/>
    <s v="User Not Mapped"/>
    <s v="User Not Mapped"/>
    <s v="User Not Mapped"/>
    <n v="235774"/>
    <s v="Ram Prasad Basak"/>
    <s v="Private Retailer"/>
    <s v="9434534523"/>
    <n v="9.99"/>
    <n v="84"/>
    <x v="2"/>
    <m/>
    <s v="2026-02-02"/>
    <s v="280775"/>
    <s v="R A Kheria"/>
    <s v="9830290085"/>
  </r>
  <r>
    <s v="RCF Import"/>
    <s v="Imp 10-26-26"/>
    <s v="WB"/>
    <x v="14"/>
    <s v="Murshidabad Jiaganj"/>
    <s v="User Not Mapped"/>
    <s v="User Not Mapped"/>
    <s v="User Not Mapped"/>
    <n v="235774"/>
    <s v="Ram Prasad Basak"/>
    <s v="Private Retailer"/>
    <s v="9434534523"/>
    <n v="3.5"/>
    <n v="75"/>
    <x v="2"/>
    <m/>
    <s v="2026-02-11"/>
    <s v="280775"/>
    <s v="R A Kheria"/>
    <s v="9830290085"/>
  </r>
  <r>
    <s v="RCF Thal"/>
    <s v="N.C.Urea(45kg)"/>
    <s v="WB"/>
    <x v="14"/>
    <s v="Murshidabad Jiaganj"/>
    <s v="User Not Mapped"/>
    <s v="User Not Mapped"/>
    <s v="User Not Mapped"/>
    <n v="235807"/>
    <s v="Sunil Kumar Kundu"/>
    <s v="Private Retailer"/>
    <s v="9732580847"/>
    <n v="10.035"/>
    <n v="49"/>
    <x v="1"/>
    <m/>
    <s v="2026-03-09"/>
    <s v="465152"/>
    <s v="Keshri Mal Jain"/>
    <s v="9932820672"/>
  </r>
  <r>
    <s v="RCF Trombay"/>
    <s v="15-15-15"/>
    <s v="WB"/>
    <x v="14"/>
    <s v="Murshidabad Jiaganj"/>
    <s v="User Not Mapped"/>
    <s v="User Not Mapped"/>
    <s v="User Not Mapped"/>
    <n v="235807"/>
    <s v="Sunil Kumar Kundu"/>
    <s v="Private Retailer"/>
    <s v="9732580847"/>
    <n v="1.3"/>
    <n v="157"/>
    <x v="0"/>
    <m/>
    <s v="2025-11-21"/>
    <s v="465152"/>
    <s v="Keshri Mal Jain"/>
    <s v="9932820672"/>
  </r>
  <r>
    <s v="RCF Import"/>
    <s v="Imp 10-26-26"/>
    <s v="WB"/>
    <x v="14"/>
    <s v="Murshidabad Jiaganj"/>
    <s v="User Not Mapped"/>
    <s v="User Not Mapped"/>
    <s v="User Not Mapped"/>
    <n v="235807"/>
    <s v="Sunil Kumar Kundu"/>
    <s v="Private Retailer"/>
    <s v="9732580847"/>
    <n v="3.25"/>
    <n v="84"/>
    <x v="2"/>
    <m/>
    <s v="2026-02-02"/>
    <s v="465152"/>
    <s v="Keshri Mal Jain"/>
    <s v="9932820672"/>
  </r>
  <r>
    <s v="RCF Thal"/>
    <s v="N.C.Urea(45kg)"/>
    <s v="WB"/>
    <x v="14"/>
    <s v="Murshidabad Jiaganj"/>
    <s v="User Not Mapped"/>
    <s v="User Not Mapped"/>
    <s v="User Not Mapped"/>
    <n v="247429"/>
    <s v="Abdus Sattar "/>
    <s v="Private Retailer"/>
    <s v="9732585310"/>
    <n v="0.02"/>
    <n v="1243"/>
    <x v="7"/>
    <m/>
    <s v="2022-12-01"/>
    <s v="1098131"/>
    <s v="RABIUL-HOQUE"/>
    <s v="7477374559"/>
  </r>
  <r>
    <s v="RCF Trombay"/>
    <s v="N.C.Urea(45kg)"/>
    <s v="WB"/>
    <x v="14"/>
    <s v="Murshidabad Jiaganj"/>
    <s v="User Not Mapped"/>
    <s v="User Not Mapped"/>
    <s v="User Not Mapped"/>
    <n v="270537"/>
    <s v="Shyamal Kumar Mondal"/>
    <s v="Private Retailer"/>
    <s v="9734426924"/>
    <n v="0.27"/>
    <n v="47"/>
    <x v="1"/>
    <m/>
    <s v="2026-03-11"/>
    <s v="465152"/>
    <s v="Keshri Mal Jain"/>
    <s v="9932820672"/>
  </r>
  <r>
    <s v="RCF Trombay"/>
    <s v="15-15-15"/>
    <s v="WB"/>
    <x v="14"/>
    <s v="Murshidabad Jiaganj"/>
    <s v="User Not Mapped"/>
    <s v="User Not Mapped"/>
    <s v="User Not Mapped"/>
    <n v="270537"/>
    <s v="Shyamal Kumar Mondal"/>
    <s v="Private Retailer"/>
    <s v="9734426924"/>
    <n v="1.75"/>
    <n v="47"/>
    <x v="1"/>
    <m/>
    <s v="2026-03-11"/>
    <s v="465152"/>
    <s v="Keshri Mal Jain"/>
    <s v="9932820672"/>
  </r>
  <r>
    <s v="RCF Trombay"/>
    <s v="15-15-15"/>
    <s v="WB"/>
    <x v="14"/>
    <s v="Murshidabad Jiaganj"/>
    <s v="User Not Mapped"/>
    <s v="User Not Mapped"/>
    <s v="User Not Mapped"/>
    <n v="270550"/>
    <s v="Tarani Dhar Biswas"/>
    <s v="Private Retailer"/>
    <s v="8101716723"/>
    <n v="4.5"/>
    <n v="46"/>
    <x v="1"/>
    <m/>
    <s v="2026-03-12"/>
    <s v="289315"/>
    <s v="M/S Monoranjan Dey"/>
    <s v="9733893312"/>
  </r>
  <r>
    <s v="RCF Import"/>
    <s v="Imp 10-26-26"/>
    <s v="WB"/>
    <x v="14"/>
    <s v="Murshidabad Jiaganj"/>
    <s v="User Not Mapped"/>
    <s v="User Not Mapped"/>
    <s v="User Not Mapped"/>
    <n v="270550"/>
    <s v="Tarani Dhar Biswas"/>
    <s v="Private Retailer"/>
    <s v="8101716723"/>
    <n v="0.9"/>
    <n v="84"/>
    <x v="2"/>
    <m/>
    <s v="2026-02-02"/>
    <s v="289315"/>
    <s v="M/S Monoranjan Dey"/>
    <s v="9733893312"/>
  </r>
  <r>
    <s v="RCF Thal"/>
    <s v="N.C.Urea(45kg)"/>
    <s v="WB"/>
    <x v="14"/>
    <s v="Murshidabad Jiaganj"/>
    <s v="User Not Mapped"/>
    <s v="User Not Mapped"/>
    <s v="User Not Mapped"/>
    <n v="270550"/>
    <s v="Tarani Dhar Biswas"/>
    <s v="Private Retailer"/>
    <s v="8101716723"/>
    <n v="2.0249999999999999"/>
    <n v="108"/>
    <x v="5"/>
    <m/>
    <s v="2026-01-09"/>
    <s v="223292"/>
    <s v="M/s. Gouri Sankar Mandal"/>
    <s v="7365965125"/>
  </r>
  <r>
    <s v="RCF Thal"/>
    <s v="N.C.Urea(45kg)"/>
    <s v="WB"/>
    <x v="14"/>
    <s v="Murshidabad Jiaganj"/>
    <s v="User Not Mapped"/>
    <s v="User Not Mapped"/>
    <s v="User Not Mapped"/>
    <n v="270550"/>
    <s v="Tarani Dhar Biswas"/>
    <s v="Private Retailer"/>
    <s v="8101716723"/>
    <n v="7.11"/>
    <n v="48"/>
    <x v="1"/>
    <m/>
    <s v="2026-03-10"/>
    <s v="289315"/>
    <s v="M/S Monoranjan Dey"/>
    <s v="9733893312"/>
  </r>
  <r>
    <s v="RCF Trombay"/>
    <s v="N.C.Urea(45kg)"/>
    <s v="WB"/>
    <x v="14"/>
    <s v="Murshidabad Jiaganj"/>
    <s v="User Not Mapped"/>
    <s v="User Not Mapped"/>
    <s v="User Not Mapped"/>
    <n v="289267"/>
    <s v="Rejaul Hoque"/>
    <s v="Private Retailer"/>
    <s v="8926678664"/>
    <n v="4.68"/>
    <n v="230"/>
    <x v="3"/>
    <m/>
    <s v="2025-09-09"/>
    <s v="1225743"/>
    <s v="MS BISWAS FERTILIZER"/>
    <s v="9735978597"/>
  </r>
  <r>
    <s v="RCF Trombay"/>
    <s v="N.C.Urea(45kg)"/>
    <s v="WB"/>
    <x v="14"/>
    <s v="Murshidabad Jiaganj"/>
    <s v="User Not Mapped"/>
    <s v="User Not Mapped"/>
    <s v="User Not Mapped"/>
    <n v="289274"/>
    <s v="Sambhu Charan Mandal"/>
    <s v="Private Retailer"/>
    <s v="8001985916"/>
    <n v="1.0349999999999999"/>
    <n v="45"/>
    <x v="1"/>
    <m/>
    <s v="2026-03-13"/>
    <s v="281704"/>
    <s v="Maa Fertilizer"/>
    <s v="9800042039"/>
  </r>
  <r>
    <s v="RCF Thal"/>
    <s v="N.C.Urea(45kg)"/>
    <s v="WB"/>
    <x v="14"/>
    <s v="Murshidabad Jiaganj"/>
    <s v="User Not Mapped"/>
    <s v="User Not Mapped"/>
    <s v="User Not Mapped"/>
    <n v="289274"/>
    <s v="Sambhu Charan Mandal"/>
    <s v="Private Retailer"/>
    <s v="8001985916"/>
    <n v="2.25"/>
    <n v="47"/>
    <x v="1"/>
    <m/>
    <s v="2026-03-11"/>
    <s v="281704"/>
    <s v="Maa Fertilizer"/>
    <s v="9800042039"/>
  </r>
  <r>
    <s v="RCF Trombay"/>
    <s v="15-15-15"/>
    <s v="WB"/>
    <x v="14"/>
    <s v="Murshidabad Jiaganj"/>
    <s v="User Not Mapped"/>
    <s v="User Not Mapped"/>
    <s v="User Not Mapped"/>
    <n v="289274"/>
    <s v="Sambhu Charan Mandal"/>
    <s v="Private Retailer"/>
    <s v="8001985916"/>
    <n v="2"/>
    <n v="45"/>
    <x v="1"/>
    <m/>
    <s v="2026-03-13"/>
    <s v="281704"/>
    <s v="Maa Fertilizer"/>
    <s v="9800042039"/>
  </r>
  <r>
    <s v="RCF Thal"/>
    <s v="N.C.Urea(45kg)"/>
    <s v="WB"/>
    <x v="14"/>
    <s v="Murshidabad Jiaganj"/>
    <s v="User Not Mapped"/>
    <s v="User Not Mapped"/>
    <s v="User Not Mapped"/>
    <n v="289297"/>
    <s v="Sunit Kumar Mandal"/>
    <s v="Private Retailer"/>
    <s v="9333260205"/>
    <n v="0.36"/>
    <n v="44"/>
    <x v="1"/>
    <m/>
    <s v="2026-03-14"/>
    <s v="223289"/>
    <s v="Parbati Shankar Nandi"/>
    <s v="8972180003"/>
  </r>
  <r>
    <s v="RCF Thal"/>
    <s v="N.C.Urea(45kg)"/>
    <s v="WB"/>
    <x v="14"/>
    <s v="Murshidabad Jiaganj"/>
    <s v="User Not Mapped"/>
    <s v="User Not Mapped"/>
    <s v="User Not Mapped"/>
    <n v="340744"/>
    <s v="M/S AKHIL GHOSH"/>
    <s v="Private Retailer"/>
    <s v="9734424337"/>
    <n v="6.9749999999999996"/>
    <n v="18"/>
    <x v="4"/>
    <m/>
    <s v="2026-04-09"/>
    <s v="281687"/>
    <s v="Tapash  Kr Das"/>
    <s v="9064408878"/>
  </r>
  <r>
    <s v="RCF Thal"/>
    <s v="N.C.Urea(45kg)"/>
    <s v="WB"/>
    <x v="14"/>
    <s v="Murshidabad Jiaganj"/>
    <s v="User Not Mapped"/>
    <s v="User Not Mapped"/>
    <s v="User Not Mapped"/>
    <n v="340744"/>
    <s v="M/S AKHIL GHOSH"/>
    <s v="Private Retailer"/>
    <s v="9734424337"/>
    <n v="3.2850000000000001"/>
    <n v="269"/>
    <x v="3"/>
    <m/>
    <s v="2025-08-01"/>
    <s v="281687"/>
    <s v="Tapash  Kr Das"/>
    <s v="9064408878"/>
  </r>
  <r>
    <s v="RCF Trombay"/>
    <s v="N.C.Urea(45kg)"/>
    <s v="WB"/>
    <x v="14"/>
    <s v="Murshidabad Jiaganj"/>
    <s v="User Not Mapped"/>
    <s v="User Not Mapped"/>
    <s v="User Not Mapped"/>
    <n v="342034"/>
    <s v="Nandadulal  Mondal"/>
    <s v="Private Retailer"/>
    <s v="9153141062"/>
    <n v="2.6549999999999998"/>
    <n v="153"/>
    <x v="0"/>
    <m/>
    <s v="2025-11-25"/>
    <s v="281689"/>
    <s v="Nanda Dulal Mondal            "/>
    <s v="9153141062"/>
  </r>
  <r>
    <s v="RCF Thal"/>
    <s v="N.C.Urea(45kg)"/>
    <s v="WB"/>
    <x v="14"/>
    <s v="Murshidabad Jiaganj"/>
    <s v="User Not Mapped"/>
    <s v="User Not Mapped"/>
    <s v="User Not Mapped"/>
    <n v="342539"/>
    <s v="Tapas Kumar Das"/>
    <s v="Private Retailer"/>
    <s v="9434041540"/>
    <n v="5.3550000000000004"/>
    <n v="28"/>
    <x v="4"/>
    <m/>
    <s v="2026-03-30"/>
    <s v="281687"/>
    <s v="Tapash  Kr Das"/>
    <s v="9064408878"/>
  </r>
  <r>
    <s v="RCF Import"/>
    <s v="Imp 10-26-26"/>
    <s v="WB"/>
    <x v="14"/>
    <s v="Murshidabad Jiaganj"/>
    <s v="User Not Mapped"/>
    <s v="User Not Mapped"/>
    <s v="User Not Mapped"/>
    <n v="342539"/>
    <s v="Tapas Kumar Das"/>
    <s v="Private Retailer"/>
    <s v="9434041540"/>
    <n v="2.25"/>
    <n v="30"/>
    <x v="4"/>
    <m/>
    <s v="2026-03-28"/>
    <s v="281687"/>
    <s v="Tapash  Kr Das"/>
    <s v="9064408878"/>
  </r>
  <r>
    <s v="RCF Thal"/>
    <s v="N.C.Urea(45kg)"/>
    <s v="WB"/>
    <x v="14"/>
    <s v="Murshidabad Jiaganj"/>
    <s v="User Not Mapped"/>
    <s v="User Not Mapped"/>
    <s v="User Not Mapped"/>
    <n v="342552"/>
    <s v="Swapan Kumar Das"/>
    <s v="Private Retailer"/>
    <s v="9735950815"/>
    <n v="5.4450000000000003"/>
    <n v="48"/>
    <x v="1"/>
    <m/>
    <s v="2026-03-10"/>
    <s v="223293"/>
    <s v="Bisanka Chandra Mondal And Son"/>
    <s v="9609521133"/>
  </r>
  <r>
    <s v="RCF Import"/>
    <s v="Imp 10-26-26"/>
    <s v="WB"/>
    <x v="14"/>
    <s v="Murshidabad Jiaganj"/>
    <s v="User Not Mapped"/>
    <s v="User Not Mapped"/>
    <s v="User Not Mapped"/>
    <n v="342552"/>
    <s v="Swapan Kumar Das"/>
    <s v="Private Retailer"/>
    <s v="9735950815"/>
    <n v="2.5"/>
    <n v="27"/>
    <x v="4"/>
    <m/>
    <s v="2026-03-31"/>
    <s v="280775"/>
    <s v="R A Kheria"/>
    <s v="9830290085"/>
  </r>
  <r>
    <s v="RCF Trombay"/>
    <s v="15-15-15"/>
    <s v="WB"/>
    <x v="14"/>
    <s v="Murshidabad Jiaganj"/>
    <s v="User Not Mapped"/>
    <s v="User Not Mapped"/>
    <s v="User Not Mapped"/>
    <n v="354998"/>
    <s v="Gopal Fertilizer"/>
    <s v="Private Retailer"/>
    <s v="7076732185"/>
    <n v="0.7"/>
    <n v="11"/>
    <x v="4"/>
    <m/>
    <s v="2026-04-16"/>
    <s v="289310"/>
    <s v="Gopal Fertilizer"/>
    <s v="8170003423"/>
  </r>
  <r>
    <s v="RCF Trombay"/>
    <s v="N.C.Urea(45kg)"/>
    <s v="WB"/>
    <x v="14"/>
    <s v="Murshidabad Jiaganj"/>
    <s v="User Not Mapped"/>
    <s v="User Not Mapped"/>
    <s v="User Not Mapped"/>
    <n v="354998"/>
    <s v="Gopal Fertilizer"/>
    <s v="Private Retailer"/>
    <s v="7076732185"/>
    <n v="6.92"/>
    <n v="23"/>
    <x v="4"/>
    <m/>
    <s v="2026-04-04"/>
    <s v="289310"/>
    <s v="Gopal Fertilizer"/>
    <s v="8170003423"/>
  </r>
  <r>
    <s v="RCF Trombay"/>
    <s v="N.C.Urea(45kg)"/>
    <s v="WB"/>
    <x v="14"/>
    <s v="Murshidabad Jiaganj"/>
    <s v="User Not Mapped"/>
    <s v="User Not Mapped"/>
    <s v="User Not Mapped"/>
    <n v="413758"/>
    <s v="Soumabrata Mandal"/>
    <s v="Private Retailer"/>
    <s v="9907319390"/>
    <n v="3.15"/>
    <n v="87"/>
    <x v="2"/>
    <m/>
    <s v="2026-01-30"/>
    <s v="223289"/>
    <s v="Parbati Shankar Nandi"/>
    <s v="8972180003"/>
  </r>
  <r>
    <s v="RCF Thal"/>
    <s v="N.C.Urea(45kg)"/>
    <s v="WB"/>
    <x v="14"/>
    <s v="Murshidabad Jiaganj"/>
    <s v="User Not Mapped"/>
    <s v="User Not Mapped"/>
    <s v="User Not Mapped"/>
    <n v="413758"/>
    <s v="Soumabrata Mandal"/>
    <s v="Private Retailer"/>
    <s v="9907319390"/>
    <n v="7.74"/>
    <n v="116"/>
    <x v="5"/>
    <m/>
    <s v="2026-01-01"/>
    <s v="280775"/>
    <s v="R A Kheria"/>
    <s v="9830290085"/>
  </r>
  <r>
    <s v="RCF Thal"/>
    <s v="N.C.Urea(45kg)"/>
    <s v="WB"/>
    <x v="14"/>
    <s v="Murshidabad Jiaganj"/>
    <s v="User Not Mapped"/>
    <s v="User Not Mapped"/>
    <s v="User Not Mapped"/>
    <n v="455976"/>
    <s v="Shuvra Chakraborty"/>
    <s v="Private Retailer"/>
    <s v="9475548889"/>
    <n v="2.3149999999999999"/>
    <n v="115"/>
    <x v="5"/>
    <m/>
    <s v="2026-01-02"/>
    <s v="223279"/>
    <s v="Sudhir Ranjan Chakraborty"/>
    <s v="9434364324"/>
  </r>
  <r>
    <s v="RCF Thal"/>
    <s v="N.C.Urea(45kg)"/>
    <s v="WB"/>
    <x v="14"/>
    <s v="Murshidabad Jiaganj"/>
    <s v="User Not Mapped"/>
    <s v="User Not Mapped"/>
    <s v="User Not Mapped"/>
    <n v="455976"/>
    <s v="Shuvra Chakraborty"/>
    <s v="Private Retailer"/>
    <s v="9475548889"/>
    <n v="3.6"/>
    <n v="34"/>
    <x v="1"/>
    <m/>
    <s v="2026-03-24"/>
    <s v="223279"/>
    <s v="Sudhir Ranjan Chakraborty"/>
    <s v="9434364324"/>
  </r>
  <r>
    <s v="RCF Import"/>
    <s v="Imp 10-26-26"/>
    <s v="WB"/>
    <x v="14"/>
    <s v="Murshidabad Jiaganj"/>
    <s v="User Not Mapped"/>
    <s v="User Not Mapped"/>
    <s v="User Not Mapped"/>
    <n v="455976"/>
    <s v="Shuvra Chakraborty"/>
    <s v="Private Retailer"/>
    <s v="9475548889"/>
    <n v="0.85"/>
    <n v="61"/>
    <x v="2"/>
    <m/>
    <s v="2026-02-25"/>
    <s v="223279"/>
    <s v="Sudhir Ranjan Chakraborty"/>
    <s v="9434364324"/>
  </r>
  <r>
    <s v="RCF Import"/>
    <s v="Imp 10-26-26"/>
    <s v="WB"/>
    <x v="14"/>
    <s v="Murshidabad Jiaganj"/>
    <s v="User Not Mapped"/>
    <s v="User Not Mapped"/>
    <s v="User Not Mapped"/>
    <n v="462573"/>
    <s v="Sarjuma Bibi"/>
    <s v="Private Retailer"/>
    <s v="9647033819"/>
    <n v="0.5"/>
    <n v="215"/>
    <x v="3"/>
    <m/>
    <s v="2025-09-24"/>
    <s v="281704"/>
    <s v="Maa Fertilizer"/>
    <s v="9800042039"/>
  </r>
  <r>
    <s v="RCF Import"/>
    <s v="Imp 10-26-26"/>
    <s v="WB"/>
    <x v="14"/>
    <s v="Murshidabad Jiaganj"/>
    <s v="User Not Mapped"/>
    <s v="User Not Mapped"/>
    <s v="User Not Mapped"/>
    <n v="462573"/>
    <s v="Sarjuma Bibi"/>
    <s v="Private Retailer"/>
    <s v="9647033819"/>
    <n v="0.5"/>
    <n v="233"/>
    <x v="3"/>
    <m/>
    <s v="2025-09-06"/>
    <s v="281704"/>
    <s v="Maa Fertilizer"/>
    <s v="9800042039"/>
  </r>
  <r>
    <s v="RCF Thal"/>
    <s v="N.C.Urea(45kg)"/>
    <s v="WB"/>
    <x v="14"/>
    <s v="Murshidabad Jiaganj"/>
    <s v="User Not Mapped"/>
    <s v="User Not Mapped"/>
    <s v="User Not Mapped"/>
    <n v="462573"/>
    <s v="Sarjuma Bibi"/>
    <s v="Private Retailer"/>
    <s v="9647033819"/>
    <n v="1.98"/>
    <n v="20"/>
    <x v="4"/>
    <m/>
    <s v="2026-04-07"/>
    <s v="281704"/>
    <s v="Maa Fertilizer"/>
    <s v="9800042039"/>
  </r>
  <r>
    <s v="RCF Thal"/>
    <s v="N.C.Urea(45kg)"/>
    <s v="WB"/>
    <x v="14"/>
    <s v="Murshidabad Jiaganj"/>
    <s v="User Not Mapped"/>
    <s v="User Not Mapped"/>
    <s v="User Not Mapped"/>
    <n v="462573"/>
    <s v="Sarjuma Bibi"/>
    <s v="Private Retailer"/>
    <s v="9647033819"/>
    <n v="2.5649999999999999"/>
    <n v="47"/>
    <x v="1"/>
    <m/>
    <s v="2026-03-11"/>
    <s v="281704"/>
    <s v="Maa Fertilizer"/>
    <s v="9800042039"/>
  </r>
  <r>
    <s v="RCF Trombay"/>
    <s v="N.C.Urea(45kg)"/>
    <s v="WB"/>
    <x v="14"/>
    <s v="Murshidabad Jiaganj"/>
    <s v="User Not Mapped"/>
    <s v="User Not Mapped"/>
    <s v="User Not Mapped"/>
    <n v="479689"/>
    <s v="Sachin Enterprise"/>
    <s v="Private Retailer"/>
    <s v="8145187101"/>
    <n v="0.45"/>
    <n v="47"/>
    <x v="1"/>
    <m/>
    <s v="2026-03-11"/>
    <s v="465152"/>
    <s v="Keshri Mal Jain"/>
    <s v="9932820672"/>
  </r>
  <r>
    <s v="RCF Trombay"/>
    <s v="15-15-15"/>
    <s v="WB"/>
    <x v="14"/>
    <s v="Murshidabad Jiaganj"/>
    <s v="User Not Mapped"/>
    <s v="User Not Mapped"/>
    <s v="User Not Mapped"/>
    <n v="479689"/>
    <s v="Sachin Enterprise"/>
    <s v="Private Retailer"/>
    <s v="8145187101"/>
    <n v="1.45"/>
    <n v="157"/>
    <x v="0"/>
    <m/>
    <s v="2025-11-21"/>
    <s v="465152"/>
    <s v="Keshri Mal Jain"/>
    <s v="9932820672"/>
  </r>
  <r>
    <s v="RCF Trombay"/>
    <s v="15-15-15"/>
    <s v="WB"/>
    <x v="14"/>
    <s v="Murshidabad Jiaganj"/>
    <s v="User Not Mapped"/>
    <s v="User Not Mapped"/>
    <s v="User Not Mapped"/>
    <n v="479689"/>
    <s v="Sachin Enterprise"/>
    <s v="Private Retailer"/>
    <s v="8145187101"/>
    <n v="1.5"/>
    <n v="47"/>
    <x v="1"/>
    <m/>
    <s v="2026-03-11"/>
    <s v="465152"/>
    <s v="Keshri Mal Jain"/>
    <s v="9932820672"/>
  </r>
  <r>
    <s v="RCF Thal"/>
    <s v="N.C.Urea(45kg)"/>
    <s v="WB"/>
    <x v="14"/>
    <s v="Murshidabad Jiaganj"/>
    <s v="User Not Mapped"/>
    <s v="User Not Mapped"/>
    <s v="User Not Mapped"/>
    <n v="487169"/>
    <s v="Bidyut Sarkar"/>
    <s v="Private Retailer"/>
    <s v="9734329823"/>
    <n v="3.0150000000000001"/>
    <n v="111"/>
    <x v="5"/>
    <m/>
    <s v="2026-01-06"/>
    <s v="281704"/>
    <s v="Maa Fertilizer"/>
    <s v="9800042039"/>
  </r>
  <r>
    <s v="RCF Import"/>
    <s v="MOP"/>
    <s v="WB"/>
    <x v="14"/>
    <s v="Murshidabad Jiaganj"/>
    <s v="User Not Mapped"/>
    <s v="User Not Mapped"/>
    <s v="User Not Mapped"/>
    <n v="552056"/>
    <s v="Sujit Kumar Pal"/>
    <s v="Private Retailer"/>
    <s v="9933384680"/>
    <n v="1"/>
    <n v="292"/>
    <x v="3"/>
    <m/>
    <s v="2025-07-09"/>
    <s v="281704"/>
    <s v="Maa Fertilizer"/>
    <s v="9800042039"/>
  </r>
  <r>
    <s v="RCF Thal"/>
    <s v="N.C.Urea(45kg)"/>
    <s v="WB"/>
    <x v="14"/>
    <s v="Murshidabad Jiaganj"/>
    <s v="User Not Mapped"/>
    <s v="User Not Mapped"/>
    <s v="User Not Mapped"/>
    <n v="603690"/>
    <s v="DIPANKAR DAS"/>
    <s v="Private Retailer"/>
    <s v="8145348851"/>
    <n v="4.1500000000000004"/>
    <n v="49"/>
    <x v="1"/>
    <m/>
    <s v="2026-03-09"/>
    <s v="289310"/>
    <s v="Gopal Fertilizer"/>
    <s v="8170003423"/>
  </r>
  <r>
    <s v="RCF Trombay"/>
    <s v="15-15-15"/>
    <s v="WB"/>
    <x v="14"/>
    <s v="Murshidabad Jiaganj"/>
    <s v="User Not Mapped"/>
    <s v="User Not Mapped"/>
    <s v="User Not Mapped"/>
    <n v="607087"/>
    <s v="TOPIKUL ISLAM"/>
    <s v="Private Retailer"/>
    <s v="9434532762"/>
    <n v="3.15"/>
    <n v="91"/>
    <x v="5"/>
    <m/>
    <s v="2026-01-26"/>
    <s v="223293"/>
    <s v="Bisanka Chandra Mondal And Son"/>
    <s v="9609521133"/>
  </r>
  <r>
    <s v="RCF Thal"/>
    <s v="N.C.Urea(45kg)"/>
    <s v="WB"/>
    <x v="14"/>
    <s v="Murshidabad Jiaganj"/>
    <s v="User Not Mapped"/>
    <s v="User Not Mapped"/>
    <s v="User Not Mapped"/>
    <n v="623105"/>
    <s v="NAJRUL SK"/>
    <s v="Private Retailer"/>
    <s v="9002135447"/>
    <n v="0.27"/>
    <n v="232"/>
    <x v="3"/>
    <m/>
    <s v="2025-09-07"/>
    <s v="281698"/>
    <s v="Krishi Mahal"/>
    <s v="8536856527"/>
  </r>
  <r>
    <s v="RCF Trombay"/>
    <s v="15-15-15"/>
    <s v="WB"/>
    <x v="14"/>
    <s v="Murshidabad Jiaganj"/>
    <s v="User Not Mapped"/>
    <s v="User Not Mapped"/>
    <s v="User Not Mapped"/>
    <n v="631827"/>
    <s v="BISHWAJIT MONDAL "/>
    <s v="Private Retailer"/>
    <s v="9564828440"/>
    <n v="1.3049999999999999"/>
    <n v="356"/>
    <x v="3"/>
    <m/>
    <s v="2025-05-06"/>
    <s v="223287"/>
    <s v="Arup Kumar Majumder           "/>
    <s v="9476172453"/>
  </r>
  <r>
    <s v="RCF Trombay"/>
    <s v="N.C.Urea(45kg)"/>
    <s v="WB"/>
    <x v="14"/>
    <s v="Murshidabad Jiaganj"/>
    <s v="User Not Mapped"/>
    <s v="User Not Mapped"/>
    <s v="User Not Mapped"/>
    <n v="640980"/>
    <s v="MD GOLABUR RAHAMAN"/>
    <s v="Private Retailer"/>
    <s v="8918047011"/>
    <n v="3.87"/>
    <n v="154"/>
    <x v="0"/>
    <m/>
    <s v="2025-11-24"/>
    <s v="223292"/>
    <s v="M/s. Gouri Sankar Mandal"/>
    <s v="7365965125"/>
  </r>
  <r>
    <s v="RCF Thal"/>
    <s v="N.C.Urea(45kg)"/>
    <s v="WB"/>
    <x v="14"/>
    <s v="Murshidabad Jiaganj"/>
    <s v="User Not Mapped"/>
    <s v="User Not Mapped"/>
    <s v="User Not Mapped"/>
    <n v="648736"/>
    <s v="Probir Sarkar"/>
    <s v="Private Retailer"/>
    <s v="9564298276"/>
    <n v="0.54"/>
    <n v="229"/>
    <x v="3"/>
    <m/>
    <s v="2025-09-10"/>
    <s v="281689"/>
    <s v="Nanda Dulal Mondal            "/>
    <s v="9153141062"/>
  </r>
  <r>
    <s v="RCF Thal"/>
    <s v="N.C.Urea(45kg)"/>
    <s v="WB"/>
    <x v="14"/>
    <s v="Murshidabad Jiaganj"/>
    <s v="User Not Mapped"/>
    <s v="User Not Mapped"/>
    <s v="User Not Mapped"/>
    <n v="655427"/>
    <s v="MD SAZZAD ALI"/>
    <s v="Private Retailer"/>
    <s v="9775616642"/>
    <n v="0.09"/>
    <n v="42"/>
    <x v="1"/>
    <m/>
    <s v="2026-03-16"/>
    <s v="281689"/>
    <s v="Nanda Dulal Mondal            "/>
    <s v="9153141062"/>
  </r>
  <r>
    <s v="RCF Trombay"/>
    <s v="15-15-15"/>
    <s v="WB"/>
    <x v="14"/>
    <s v="Murshidabad Jiaganj"/>
    <s v="User Not Mapped"/>
    <s v="User Not Mapped"/>
    <s v="User Not Mapped"/>
    <n v="739680"/>
    <s v="TARUN GHOSH"/>
    <s v="Private Retailer"/>
    <s v="7407986344"/>
    <n v="1"/>
    <n v="153"/>
    <x v="0"/>
    <m/>
    <s v="2025-11-25"/>
    <s v="281689"/>
    <s v="Nanda Dulal Mondal            "/>
    <s v="9153141062"/>
  </r>
  <r>
    <s v="RCF Trombay"/>
    <s v="15-15-15"/>
    <s v="WB"/>
    <x v="14"/>
    <s v="Murshidabad Jiaganj"/>
    <s v="User Not Mapped"/>
    <s v="User Not Mapped"/>
    <s v="User Not Mapped"/>
    <n v="767632"/>
    <s v="RAMESH MANDAL"/>
    <s v="Private Retailer"/>
    <s v="9732854170"/>
    <n v="3"/>
    <n v="30"/>
    <x v="4"/>
    <m/>
    <s v="2026-03-28"/>
    <s v="289309"/>
    <s v="Fatema Begam"/>
    <s v="9733510936"/>
  </r>
  <r>
    <s v="RCF Trombay"/>
    <s v="15-15-15"/>
    <s v="WB"/>
    <x v="14"/>
    <s v="Murshidabad Jiaganj"/>
    <s v="User Not Mapped"/>
    <s v="User Not Mapped"/>
    <s v="User Not Mapped"/>
    <n v="767632"/>
    <s v="RAMESH MANDAL"/>
    <s v="Private Retailer"/>
    <s v="9732854170"/>
    <n v="5.5"/>
    <n v="91"/>
    <x v="5"/>
    <m/>
    <s v="2026-01-26"/>
    <s v="289315"/>
    <s v="M/S Monoranjan Dey"/>
    <s v="9733893312"/>
  </r>
  <r>
    <s v="RCF Import"/>
    <s v="MOP"/>
    <s v="WB"/>
    <x v="14"/>
    <s v="Murshidabad Jiaganj"/>
    <s v="User Not Mapped"/>
    <s v="User Not Mapped"/>
    <s v="User Not Mapped"/>
    <n v="767924"/>
    <s v="BIMAN MONDAL"/>
    <s v="Private Retailer"/>
    <s v="9732334722"/>
    <n v="0.5"/>
    <n v="265"/>
    <x v="3"/>
    <m/>
    <s v="2025-08-05"/>
    <s v="223292"/>
    <s v="M/s. Gouri Sankar Mandal"/>
    <s v="7365965125"/>
  </r>
  <r>
    <s v="RCF Thal"/>
    <s v="N.C.Urea(45kg)"/>
    <s v="WB"/>
    <x v="14"/>
    <s v="Murshidabad Jiaganj"/>
    <s v="User Not Mapped"/>
    <s v="User Not Mapped"/>
    <s v="User Not Mapped"/>
    <n v="767930"/>
    <s v="SAGAR MONDAL"/>
    <s v="Private Retailer"/>
    <s v="9126619290"/>
    <n v="1.53"/>
    <n v="199"/>
    <x v="3"/>
    <m/>
    <s v="2025-10-10"/>
    <s v="281689"/>
    <s v="Nanda Dulal Mondal            "/>
    <s v="9153141062"/>
  </r>
  <r>
    <s v="RCF Thal"/>
    <s v="N.C.Urea(45kg)"/>
    <s v="WB"/>
    <x v="14"/>
    <s v="Murshidabad Jiaganj"/>
    <s v="User Not Mapped"/>
    <s v="User Not Mapped"/>
    <s v="User Not Mapped"/>
    <n v="767930"/>
    <s v="SAGAR MONDAL"/>
    <s v="Private Retailer"/>
    <s v="9126619290"/>
    <n v="2.0699999999999998"/>
    <n v="42"/>
    <x v="1"/>
    <m/>
    <s v="2026-03-16"/>
    <s v="281689"/>
    <s v="Nanda Dulal Mondal            "/>
    <s v="9153141062"/>
  </r>
  <r>
    <s v="RCF Thal"/>
    <s v="N.C.Urea(45kg)"/>
    <s v="WB"/>
    <x v="14"/>
    <s v="Murshidabad Jiaganj"/>
    <s v="User Not Mapped"/>
    <s v="User Not Mapped"/>
    <s v="User Not Mapped"/>
    <n v="767982"/>
    <s v="SUBHAMAY MONDAL"/>
    <s v="Private Retailer"/>
    <s v="9002220406"/>
    <n v="4.9950000000000001"/>
    <n v="42"/>
    <x v="1"/>
    <m/>
    <s v="2026-03-16"/>
    <s v="281689"/>
    <s v="Nanda Dulal Mondal            "/>
    <s v="9153141062"/>
  </r>
  <r>
    <s v="RCF Thal"/>
    <s v="N.C.Urea(45kg)"/>
    <s v="WB"/>
    <x v="14"/>
    <s v="Murshidabad Jiaganj"/>
    <s v="User Not Mapped"/>
    <s v="User Not Mapped"/>
    <s v="User Not Mapped"/>
    <n v="767982"/>
    <s v="SUBHAMAY MONDAL"/>
    <s v="Private Retailer"/>
    <s v="9002220406"/>
    <n v="0.13500000000000001"/>
    <n v="234"/>
    <x v="3"/>
    <m/>
    <s v="2025-09-05"/>
    <s v="223286"/>
    <s v="Dutta Pramanik Enterprise"/>
    <s v="9475520520"/>
  </r>
  <r>
    <s v="RCF Trombay"/>
    <s v="15-15-15"/>
    <s v="WB"/>
    <x v="14"/>
    <s v="Murshidabad Jiaganj"/>
    <s v="User Not Mapped"/>
    <s v="User Not Mapped"/>
    <s v="User Not Mapped"/>
    <n v="774985"/>
    <s v="SUMANTA MANDAL"/>
    <s v="Private Retailer"/>
    <s v="9547368252"/>
    <n v="0.05"/>
    <n v="305"/>
    <x v="3"/>
    <m/>
    <s v="2025-06-26"/>
    <s v="596479"/>
    <s v="M/S RANA FERTILISERS STORES"/>
    <s v="8350079945"/>
  </r>
  <r>
    <s v="RCF Thal"/>
    <s v="N.C.Urea(45kg)"/>
    <s v="WB"/>
    <x v="14"/>
    <s v="Murshidabad Jiaganj"/>
    <s v="User Not Mapped"/>
    <s v="User Not Mapped"/>
    <s v="User Not Mapped"/>
    <n v="797129"/>
    <s v="CHARITRA CHOWDHURY"/>
    <s v="Private Retailer"/>
    <s v="7076453159"/>
    <n v="12.645"/>
    <n v="118"/>
    <x v="5"/>
    <m/>
    <s v="2025-12-30"/>
    <s v="223293"/>
    <s v="Bisanka Chandra Mondal And Son"/>
    <s v="9609521133"/>
  </r>
  <r>
    <s v="RCF Import"/>
    <s v="Imp 10-26-26"/>
    <s v="WB"/>
    <x v="14"/>
    <s v="Murshidabad Jiaganj"/>
    <s v="User Not Mapped"/>
    <s v="User Not Mapped"/>
    <s v="User Not Mapped"/>
    <n v="853393"/>
    <s v="MD MAZED RAHAMAN"/>
    <s v="Private Retailer"/>
    <s v="9564754886"/>
    <n v="3"/>
    <n v="82"/>
    <x v="2"/>
    <m/>
    <s v="2026-02-04"/>
    <s v="223285"/>
    <s v="M/s. Golam Kibria"/>
    <s v="8371889332"/>
  </r>
  <r>
    <s v="RCF Thal"/>
    <s v="N.C.Urea(45kg)"/>
    <s v="WB"/>
    <x v="14"/>
    <s v="Murshidabad Jiaganj"/>
    <s v="User Not Mapped"/>
    <s v="User Not Mapped"/>
    <s v="User Not Mapped"/>
    <n v="865253"/>
    <s v="BISWANATH PAUL"/>
    <s v="Private Retailer"/>
    <s v="8513004597"/>
    <n v="6.49"/>
    <n v="48"/>
    <x v="1"/>
    <m/>
    <s v="2026-03-10"/>
    <s v="281704"/>
    <s v="Maa Fertilizer"/>
    <s v="9800042039"/>
  </r>
  <r>
    <s v="RCF Trombay"/>
    <s v="15-15-15"/>
    <s v="WB"/>
    <x v="14"/>
    <s v="Murshidabad Jiaganj"/>
    <s v="User Not Mapped"/>
    <s v="User Not Mapped"/>
    <s v="User Not Mapped"/>
    <n v="865253"/>
    <s v="BISWANATH PAUL"/>
    <s v="Private Retailer"/>
    <s v="8513004597"/>
    <n v="0.5"/>
    <n v="12"/>
    <x v="4"/>
    <m/>
    <s v="2026-04-15"/>
    <s v="281704"/>
    <s v="Maa Fertilizer"/>
    <s v="9800042039"/>
  </r>
  <r>
    <s v="RCF Thal"/>
    <s v="N.C.Urea(45kg)"/>
    <s v="WB"/>
    <x v="14"/>
    <s v="Murshidabad Jiaganj"/>
    <s v="User Not Mapped"/>
    <s v="User Not Mapped"/>
    <s v="User Not Mapped"/>
    <n v="939915"/>
    <s v="rANJIT MONDAL"/>
    <s v="Private Retailer"/>
    <s v="9735357835"/>
    <n v="0.03"/>
    <n v="1885"/>
    <x v="7"/>
    <m/>
    <s v="2021-02-27"/>
    <s v="223279"/>
    <s v="Sudhir Ranjan Chakraborty"/>
    <s v="9434364324"/>
  </r>
  <r>
    <s v="RCF Trombay"/>
    <s v="N.C.Urea(45kg)"/>
    <s v="WB"/>
    <x v="14"/>
    <s v="Murshidabad Jiaganj"/>
    <s v="User Not Mapped"/>
    <s v="User Not Mapped"/>
    <s v="User Not Mapped"/>
    <n v="939915"/>
    <s v="rANJIT MONDAL"/>
    <s v="Private Retailer"/>
    <s v="9735357835"/>
    <n v="1.17"/>
    <n v="1901"/>
    <x v="7"/>
    <m/>
    <s v="2021-02-11"/>
    <s v="223279"/>
    <s v="Sudhir Ranjan Chakraborty"/>
    <s v="9434364324"/>
  </r>
  <r>
    <s v="RCF Trombay"/>
    <s v="N.C.Urea(45kg)"/>
    <s v="WB"/>
    <x v="14"/>
    <s v="Murshidabad Jiaganj"/>
    <s v="User Not Mapped"/>
    <s v="User Not Mapped"/>
    <s v="User Not Mapped"/>
    <n v="940292"/>
    <s v="MD SAJIBUR SHAIKH"/>
    <s v="Private Retailer"/>
    <s v="9800546933"/>
    <n v="4.32"/>
    <n v="301"/>
    <x v="3"/>
    <m/>
    <s v="2025-06-30"/>
    <s v="269139"/>
    <s v="Firoj Ali"/>
    <s v="9932787296"/>
  </r>
  <r>
    <s v="RCF Trombay"/>
    <s v="15-15-15"/>
    <s v="WB"/>
    <x v="14"/>
    <s v="Murshidabad Jiaganj"/>
    <s v="User Not Mapped"/>
    <s v="User Not Mapped"/>
    <s v="User Not Mapped"/>
    <n v="940292"/>
    <s v="MD SAJIBUR SHAIKH"/>
    <s v="Private Retailer"/>
    <s v="9800546933"/>
    <n v="0.6"/>
    <n v="301"/>
    <x v="3"/>
    <m/>
    <s v="2025-06-30"/>
    <s v="269139"/>
    <s v="Firoj Ali"/>
    <s v="9932787296"/>
  </r>
  <r>
    <s v="RCF Trombay"/>
    <s v="15-15-15"/>
    <s v="WB"/>
    <x v="14"/>
    <s v="Murshidabad Jiaganj"/>
    <s v="User Not Mapped"/>
    <s v="User Not Mapped"/>
    <s v="User Not Mapped"/>
    <n v="940302"/>
    <s v="MD JALAUDDIN SK"/>
    <s v="Private Retailer"/>
    <s v="9733844510"/>
    <n v="1"/>
    <n v="44"/>
    <x v="1"/>
    <m/>
    <s v="2026-03-14"/>
    <s v="223285"/>
    <s v="M/s. Golam Kibria"/>
    <s v="8371889332"/>
  </r>
  <r>
    <s v="RCF Thal"/>
    <s v="N.C.Urea(45kg)"/>
    <s v="WB"/>
    <x v="14"/>
    <s v="Murshidabad Jiaganj"/>
    <s v="User Not Mapped"/>
    <s v="User Not Mapped"/>
    <s v="User Not Mapped"/>
    <n v="950994"/>
    <s v="MD ABDUL KHABIR"/>
    <s v="Private Retailer"/>
    <s v="9734115502"/>
    <n v="9.99"/>
    <n v="118"/>
    <x v="5"/>
    <m/>
    <s v="2025-12-30"/>
    <s v="223293"/>
    <s v="Bisanka Chandra Mondal And Son"/>
    <s v="9609521133"/>
  </r>
  <r>
    <s v="RCF Thal"/>
    <s v="N.C.Urea(45kg)"/>
    <s v="WB"/>
    <x v="14"/>
    <s v="Murshidabad Jiaganj"/>
    <s v="User Not Mapped"/>
    <s v="User Not Mapped"/>
    <s v="User Not Mapped"/>
    <n v="950994"/>
    <s v="MD ABDUL KHABIR"/>
    <s v="Private Retailer"/>
    <s v="9734115502"/>
    <n v="11.43"/>
    <n v="119"/>
    <x v="5"/>
    <m/>
    <s v="2025-12-29"/>
    <s v="223293"/>
    <s v="Bisanka Chandra Mondal And Son"/>
    <s v="9609521133"/>
  </r>
  <r>
    <s v="RCF Trombay"/>
    <s v="15-15-15"/>
    <s v="WB"/>
    <x v="14"/>
    <s v="Murshidabad Jiaganj"/>
    <s v="User Not Mapped"/>
    <s v="User Not Mapped"/>
    <s v="User Not Mapped"/>
    <n v="1029612"/>
    <s v="MIRA KHATUN"/>
    <s v="Private Retailer"/>
    <s v="9641361946"/>
    <n v="1"/>
    <n v="90"/>
    <x v="2"/>
    <m/>
    <s v="2026-01-27"/>
    <s v="289310"/>
    <s v="Gopal Fertilizer"/>
    <s v="8170003423"/>
  </r>
  <r>
    <s v="RCF Trombay"/>
    <s v="N.C.Urea(45kg)"/>
    <s v="WB"/>
    <x v="14"/>
    <s v="Murshidabad Jiaganj"/>
    <s v="User Not Mapped"/>
    <s v="User Not Mapped"/>
    <s v="User Not Mapped"/>
    <n v="1055349"/>
    <s v="TRISHNA SINGHA"/>
    <s v="Private Retailer"/>
    <s v="8348844918"/>
    <n v="2.5649999999999999"/>
    <n v="1452"/>
    <x v="7"/>
    <m/>
    <s v="2022-05-06"/>
    <s v="281687"/>
    <s v="Tapash  Kr Das"/>
    <s v="9064408878"/>
  </r>
  <r>
    <s v="RCF Thal"/>
    <s v="N.C.Urea(45kg)"/>
    <s v="WB"/>
    <x v="14"/>
    <s v="Murshidabad Jiaganj"/>
    <s v="User Not Mapped"/>
    <s v="User Not Mapped"/>
    <s v="User Not Mapped"/>
    <n v="1059364"/>
    <s v="MARJINA BIBI"/>
    <s v="Private Retailer"/>
    <s v="7797683930"/>
    <n v="9.5850000000000009"/>
    <n v="118"/>
    <x v="5"/>
    <m/>
    <s v="2025-12-30"/>
    <s v="281704"/>
    <s v="Maa Fertilizer"/>
    <s v="9800042039"/>
  </r>
  <r>
    <s v="RCF Trombay"/>
    <s v="15-15-15"/>
    <s v="WB"/>
    <x v="14"/>
    <s v="Murshidabad Jiaganj"/>
    <s v="User Not Mapped"/>
    <s v="User Not Mapped"/>
    <s v="User Not Mapped"/>
    <n v="1059388"/>
    <s v="SADIKUL ISLAM"/>
    <s v="Private Retailer"/>
    <s v="7797058361"/>
    <n v="0.5"/>
    <n v="153"/>
    <x v="0"/>
    <m/>
    <s v="2025-11-25"/>
    <s v="281704"/>
    <s v="Maa Fertilizer"/>
    <s v="9800042039"/>
  </r>
  <r>
    <s v="RCF Trombay"/>
    <s v="N.C.Urea(45kg)"/>
    <s v="WB"/>
    <x v="14"/>
    <s v="Murshidabad Jiaganj"/>
    <s v="User Not Mapped"/>
    <s v="User Not Mapped"/>
    <s v="User Not Mapped"/>
    <n v="1059388"/>
    <s v="SADIKUL ISLAM"/>
    <s v="Private Retailer"/>
    <s v="7797058361"/>
    <n v="2.97"/>
    <n v="77"/>
    <x v="2"/>
    <m/>
    <s v="2026-02-09"/>
    <s v="281704"/>
    <s v="Maa Fertilizer"/>
    <s v="9800042039"/>
  </r>
  <r>
    <s v="RCF Thal"/>
    <s v="N.C.Urea(45kg)"/>
    <s v="WB"/>
    <x v="14"/>
    <s v="Murshidabad Jiaganj"/>
    <s v="User Not Mapped"/>
    <s v="User Not Mapped"/>
    <s v="User Not Mapped"/>
    <n v="1236311"/>
    <s v="NABIRUL ISLAM"/>
    <s v="Private Retailer"/>
    <s v="9735450676"/>
    <n v="2.7450000000000001"/>
    <n v="49"/>
    <x v="1"/>
    <m/>
    <s v="2026-03-09"/>
    <s v="289310"/>
    <s v="Gopal Fertilizer"/>
    <s v="8170003423"/>
  </r>
  <r>
    <s v="RCF Trombay"/>
    <s v="N.C.Urea(45kg)"/>
    <s v="WB"/>
    <x v="14"/>
    <s v="Murshidabad Jiaganj"/>
    <s v="User Not Mapped"/>
    <s v="User Not Mapped"/>
    <s v="User Not Mapped"/>
    <n v="1339999"/>
    <s v="DEBASHIS GHOSH"/>
    <s v="Private Retailer"/>
    <s v="9733849084"/>
    <n v="3.96"/>
    <n v="288"/>
    <x v="3"/>
    <m/>
    <s v="2025-07-13"/>
    <s v="1320516"/>
    <s v="BIDHAN CHANDRA BISWAS"/>
    <s v="9732816547"/>
  </r>
  <r>
    <s v="RCF Thal"/>
    <s v="N.C.Urea(45kg)"/>
    <s v="WB"/>
    <x v="14"/>
    <s v="Nabagram"/>
    <s v="User Not Mapped"/>
    <s v="User Not Mapped"/>
    <s v="User Not Mapped"/>
    <n v="235801"/>
    <s v="Soumen Mandal"/>
    <s v="Private Retailer"/>
    <s v="9475952050"/>
    <n v="8.5500000000000007"/>
    <n v="45"/>
    <x v="1"/>
    <m/>
    <s v="2026-03-13"/>
    <s v="281689"/>
    <s v="Nanda Dulal Mondal            "/>
    <s v="9153141062"/>
  </r>
  <r>
    <s v="RCF Thal"/>
    <s v="N.C.Urea(45kg)"/>
    <s v="WB"/>
    <x v="14"/>
    <s v="Nabagram"/>
    <s v="User Not Mapped"/>
    <s v="User Not Mapped"/>
    <s v="User Not Mapped"/>
    <n v="269974"/>
    <s v="Jasimuddin S.K."/>
    <s v="Private Retailer"/>
    <s v="9933557942"/>
    <n v="4.95"/>
    <n v="47"/>
    <x v="1"/>
    <m/>
    <s v="2026-03-11"/>
    <s v="223292"/>
    <s v="M/s. Gouri Sankar Mandal"/>
    <s v="7365965125"/>
  </r>
  <r>
    <s v="RCF Trombay"/>
    <s v="N.C.Urea(45kg)"/>
    <s v="WB"/>
    <x v="14"/>
    <s v="Nabagram"/>
    <s v="User Not Mapped"/>
    <s v="User Not Mapped"/>
    <s v="User Not Mapped"/>
    <n v="270496"/>
    <s v="M/S Adhir Singha"/>
    <s v="Private Retailer"/>
    <s v="9733653392"/>
    <n v="12.015000000000001"/>
    <n v="36"/>
    <x v="1"/>
    <m/>
    <s v="2026-03-22"/>
    <s v="223292"/>
    <s v="M/s. Gouri Sankar Mandal"/>
    <s v="7365965125"/>
  </r>
  <r>
    <s v="RCF Thal"/>
    <s v="N.C.Urea(45kg)"/>
    <s v="WB"/>
    <x v="14"/>
    <s v="Nabagram"/>
    <s v="User Not Mapped"/>
    <s v="User Not Mapped"/>
    <s v="User Not Mapped"/>
    <n v="281529"/>
    <s v="Bidhan Mitra"/>
    <s v="Private Retailer"/>
    <s v="9474748450"/>
    <n v="9.99"/>
    <n v="41"/>
    <x v="1"/>
    <m/>
    <s v="2026-03-17"/>
    <s v="223292"/>
    <s v="M/s. Gouri Sankar Mandal"/>
    <s v="7365965125"/>
  </r>
  <r>
    <s v="RCF Thal"/>
    <s v="N.C.Urea(45kg)"/>
    <s v="WB"/>
    <x v="14"/>
    <s v="Nabagram"/>
    <s v="User Not Mapped"/>
    <s v="User Not Mapped"/>
    <s v="User Not Mapped"/>
    <n v="281529"/>
    <s v="Bidhan Mitra"/>
    <s v="Private Retailer"/>
    <s v="9474748450"/>
    <n v="2.0249999999999999"/>
    <n v="165"/>
    <x v="0"/>
    <m/>
    <s v="2025-11-13"/>
    <s v="223292"/>
    <s v="M/s. Gouri Sankar Mandal"/>
    <s v="7365965125"/>
  </r>
  <r>
    <s v="RCF Thal"/>
    <s v="N.C.Urea(45kg)"/>
    <s v="WB"/>
    <x v="14"/>
    <s v="Nabagram"/>
    <s v="User Not Mapped"/>
    <s v="User Not Mapped"/>
    <s v="User Not Mapped"/>
    <n v="289211"/>
    <s v="Md Jakir Hossain"/>
    <s v="Private Retailer"/>
    <s v="9064490313"/>
    <n v="7.02"/>
    <n v="48"/>
    <x v="1"/>
    <m/>
    <s v="2026-03-10"/>
    <s v="223285"/>
    <s v="M/s. Golam Kibria"/>
    <s v="8371889332"/>
  </r>
  <r>
    <s v="RCF Trombay"/>
    <s v="N.C.Urea(45kg)"/>
    <s v="WB"/>
    <x v="14"/>
    <s v="Nabagram"/>
    <s v="User Not Mapped"/>
    <s v="User Not Mapped"/>
    <s v="User Not Mapped"/>
    <n v="289211"/>
    <s v="Md Jakir Hossain"/>
    <s v="Private Retailer"/>
    <s v="9064490313"/>
    <n v="7.02"/>
    <n v="45"/>
    <x v="1"/>
    <m/>
    <s v="2026-03-13"/>
    <s v="281704"/>
    <s v="Maa Fertilizer"/>
    <s v="9800042039"/>
  </r>
  <r>
    <s v="RCF Trombay"/>
    <s v="15-15-15"/>
    <s v="WB"/>
    <x v="14"/>
    <s v="Nabagram"/>
    <s v="User Not Mapped"/>
    <s v="User Not Mapped"/>
    <s v="User Not Mapped"/>
    <n v="289211"/>
    <s v="Md Jakir Hossain"/>
    <s v="Private Retailer"/>
    <s v="9064490313"/>
    <n v="0.25"/>
    <n v="45"/>
    <x v="1"/>
    <m/>
    <s v="2026-03-13"/>
    <s v="281704"/>
    <s v="Maa Fertilizer"/>
    <s v="9800042039"/>
  </r>
  <r>
    <s v="RCF Trombay"/>
    <s v="N.C.Urea(45kg)"/>
    <s v="WB"/>
    <x v="14"/>
    <s v="Nabagram"/>
    <s v="User Not Mapped"/>
    <s v="User Not Mapped"/>
    <s v="User Not Mapped"/>
    <n v="289211"/>
    <s v="Md Jakir Hossain"/>
    <s v="Private Retailer"/>
    <s v="9064490313"/>
    <n v="3.915"/>
    <n v="37"/>
    <x v="1"/>
    <m/>
    <s v="2026-03-21"/>
    <s v="978672"/>
    <s v="M/s. Abu Raihan Mondal"/>
    <s v="9733607656"/>
  </r>
  <r>
    <s v="RCF Trombay"/>
    <s v="N.C.Urea(45kg)"/>
    <s v="WB"/>
    <x v="14"/>
    <s v="Nabagram"/>
    <s v="User Not Mapped"/>
    <s v="User Not Mapped"/>
    <s v="User Not Mapped"/>
    <n v="289211"/>
    <s v="Md Jakir Hossain"/>
    <s v="Private Retailer"/>
    <s v="9064490313"/>
    <n v="4.1849999999999996"/>
    <n v="89"/>
    <x v="2"/>
    <m/>
    <s v="2026-01-28"/>
    <s v="281704"/>
    <s v="Maa Fertilizer"/>
    <s v="9800042039"/>
  </r>
  <r>
    <s v="RCF Thal"/>
    <s v="N.C.Urea(45kg)"/>
    <s v="WB"/>
    <x v="14"/>
    <s v="Nabagram"/>
    <s v="User Not Mapped"/>
    <s v="User Not Mapped"/>
    <s v="User Not Mapped"/>
    <n v="289211"/>
    <s v="Md Jakir Hossain"/>
    <s v="Private Retailer"/>
    <s v="9064490313"/>
    <n v="7.7850000000000001"/>
    <n v="48"/>
    <x v="1"/>
    <m/>
    <s v="2026-03-10"/>
    <s v="223293"/>
    <s v="Bisanka Chandra Mondal And Son"/>
    <s v="9609521133"/>
  </r>
  <r>
    <s v="RCF Thal"/>
    <s v="N.C.Urea(45kg)"/>
    <s v="WB"/>
    <x v="14"/>
    <s v="Nabagram"/>
    <s v="User Not Mapped"/>
    <s v="User Not Mapped"/>
    <s v="User Not Mapped"/>
    <n v="289254"/>
    <s v="M/s Ohida Bibi"/>
    <s v="Private Retailer"/>
    <s v="8972056519"/>
    <n v="9.99"/>
    <n v="48"/>
    <x v="1"/>
    <m/>
    <s v="2026-03-10"/>
    <s v="289315"/>
    <s v="M/S Monoranjan Dey"/>
    <s v="9733893312"/>
  </r>
  <r>
    <s v="RCF Trombay"/>
    <s v="15-15-15"/>
    <s v="WB"/>
    <x v="14"/>
    <s v="Nabagram"/>
    <s v="User Not Mapped"/>
    <s v="User Not Mapped"/>
    <s v="User Not Mapped"/>
    <n v="289254"/>
    <s v="M/s Ohida Bibi"/>
    <s v="Private Retailer"/>
    <s v="8972056519"/>
    <n v="5"/>
    <n v="46"/>
    <x v="1"/>
    <m/>
    <s v="2026-03-12"/>
    <s v="223285"/>
    <s v="M/s. Golam Kibria"/>
    <s v="8371889332"/>
  </r>
  <r>
    <s v="RCF Trombay"/>
    <s v="N.C.Urea(45kg)"/>
    <s v="WB"/>
    <x v="14"/>
    <s v="Nabagram"/>
    <s v="User Not Mapped"/>
    <s v="User Not Mapped"/>
    <s v="User Not Mapped"/>
    <n v="289254"/>
    <s v="M/s Ohida Bibi"/>
    <s v="Private Retailer"/>
    <s v="8972056519"/>
    <n v="6.2549999999999999"/>
    <n v="46"/>
    <x v="1"/>
    <m/>
    <s v="2026-03-12"/>
    <s v="223285"/>
    <s v="M/s. Golam Kibria"/>
    <s v="8371889332"/>
  </r>
  <r>
    <s v="RCF Thal"/>
    <s v="N.C.Urea(45kg)"/>
    <s v="WB"/>
    <x v="14"/>
    <s v="Nabagram"/>
    <s v="User Not Mapped"/>
    <s v="User Not Mapped"/>
    <s v="User Not Mapped"/>
    <n v="289254"/>
    <s v="M/s Ohida Bibi"/>
    <s v="Private Retailer"/>
    <s v="8972056519"/>
    <n v="0.72"/>
    <n v="119"/>
    <x v="5"/>
    <m/>
    <s v="2025-12-29"/>
    <s v="223285"/>
    <s v="M/s. Golam Kibria"/>
    <s v="8371889332"/>
  </r>
  <r>
    <s v="RCF Trombay"/>
    <s v="N.C.Urea(45kg)"/>
    <s v="WB"/>
    <x v="14"/>
    <s v="Nabagram"/>
    <s v="User Not Mapped"/>
    <s v="User Not Mapped"/>
    <s v="User Not Mapped"/>
    <n v="289275"/>
    <s v="Samsul Alam"/>
    <s v="Private Retailer"/>
    <s v="6294957247"/>
    <n v="0.67500000000000004"/>
    <n v="212"/>
    <x v="3"/>
    <m/>
    <s v="2025-09-27"/>
    <s v="223292"/>
    <s v="M/s. Gouri Sankar Mandal"/>
    <s v="7365965125"/>
  </r>
  <r>
    <s v="RCF Trombay"/>
    <s v="N.C.Urea(45kg)"/>
    <s v="WB"/>
    <x v="14"/>
    <s v="Nabagram"/>
    <s v="User Not Mapped"/>
    <s v="User Not Mapped"/>
    <s v="User Not Mapped"/>
    <n v="289275"/>
    <s v="Samsul Alam"/>
    <s v="Private Retailer"/>
    <s v="6294957247"/>
    <n v="4.0049999999999999"/>
    <n v="312"/>
    <x v="3"/>
    <m/>
    <s v="2025-06-19"/>
    <s v="223292"/>
    <s v="M/s. Gouri Sankar Mandal"/>
    <s v="7365965125"/>
  </r>
  <r>
    <s v="RCF Thal"/>
    <s v="N.C.Urea(45kg)"/>
    <s v="WB"/>
    <x v="14"/>
    <s v="Nabagram"/>
    <s v="User Not Mapped"/>
    <s v="User Not Mapped"/>
    <s v="User Not Mapped"/>
    <n v="289275"/>
    <s v="Samsul Alam"/>
    <s v="Private Retailer"/>
    <s v="6294957247"/>
    <n v="7.02"/>
    <n v="47"/>
    <x v="1"/>
    <m/>
    <s v="2026-03-11"/>
    <s v="223292"/>
    <s v="M/s. Gouri Sankar Mandal"/>
    <s v="7365965125"/>
  </r>
  <r>
    <s v="RCF Import"/>
    <s v="MOP"/>
    <s v="WB"/>
    <x v="14"/>
    <s v="Nabagram"/>
    <s v="User Not Mapped"/>
    <s v="User Not Mapped"/>
    <s v="User Not Mapped"/>
    <n v="289275"/>
    <s v="Samsul Alam"/>
    <s v="Private Retailer"/>
    <s v="6294957247"/>
    <n v="0.25"/>
    <n v="269"/>
    <x v="3"/>
    <m/>
    <s v="2025-08-01"/>
    <s v="223292"/>
    <s v="M/s. Gouri Sankar Mandal"/>
    <s v="7365965125"/>
  </r>
  <r>
    <s v="RCF Trombay"/>
    <s v="15-15-15"/>
    <s v="WB"/>
    <x v="14"/>
    <s v="Nabagram"/>
    <s v="User Not Mapped"/>
    <s v="User Not Mapped"/>
    <s v="User Not Mapped"/>
    <n v="289275"/>
    <s v="Samsul Alam"/>
    <s v="Private Retailer"/>
    <s v="6294957247"/>
    <n v="0.45"/>
    <n v="240"/>
    <x v="3"/>
    <m/>
    <s v="2025-08-30"/>
    <s v="223292"/>
    <s v="M/s. Gouri Sankar Mandal"/>
    <s v="7365965125"/>
  </r>
  <r>
    <s v="RCF Trombay"/>
    <s v="N.C.Urea(45kg)"/>
    <s v="WB"/>
    <x v="14"/>
    <s v="Nabagram"/>
    <s v="User Not Mapped"/>
    <s v="User Not Mapped"/>
    <s v="User Not Mapped"/>
    <n v="289275"/>
    <s v="Samsul Alam"/>
    <s v="Private Retailer"/>
    <s v="6294957247"/>
    <n v="7.02"/>
    <n v="36"/>
    <x v="1"/>
    <m/>
    <s v="2026-03-22"/>
    <s v="223292"/>
    <s v="M/s. Gouri Sankar Mandal"/>
    <s v="7365965125"/>
  </r>
  <r>
    <s v="RCF Thal"/>
    <s v="N.C.Urea(45kg)"/>
    <s v="WB"/>
    <x v="14"/>
    <s v="Nabagram"/>
    <s v="User Not Mapped"/>
    <s v="User Not Mapped"/>
    <s v="User Not Mapped"/>
    <n v="289275"/>
    <s v="Samsul Alam"/>
    <s v="Private Retailer"/>
    <s v="6294957247"/>
    <n v="0.9"/>
    <n v="413"/>
    <x v="6"/>
    <m/>
    <s v="2025-03-10"/>
    <s v="223292"/>
    <s v="M/s. Gouri Sankar Mandal"/>
    <s v="7365965125"/>
  </r>
  <r>
    <s v="RCF Trombay"/>
    <s v="N.C.Urea(45kg)"/>
    <s v="WB"/>
    <x v="14"/>
    <s v="Nabagram"/>
    <s v="User Not Mapped"/>
    <s v="User Not Mapped"/>
    <s v="User Not Mapped"/>
    <n v="289275"/>
    <s v="Samsul Alam"/>
    <s v="Private Retailer"/>
    <s v="6294957247"/>
    <n v="0.81"/>
    <n v="518"/>
    <x v="6"/>
    <m/>
    <s v="2024-11-25"/>
    <s v="223292"/>
    <s v="M/s. Gouri Sankar Mandal"/>
    <s v="7365965125"/>
  </r>
  <r>
    <s v="RCF Import"/>
    <s v="Imp 10-26-26"/>
    <s v="WB"/>
    <x v="14"/>
    <s v="Nabagram"/>
    <s v="User Not Mapped"/>
    <s v="User Not Mapped"/>
    <s v="User Not Mapped"/>
    <n v="289275"/>
    <s v="Samsul Alam"/>
    <s v="Private Retailer"/>
    <s v="6294957247"/>
    <n v="6"/>
    <n v="52"/>
    <x v="1"/>
    <m/>
    <s v="2026-03-06"/>
    <s v="223292"/>
    <s v="M/s. Gouri Sankar Mandal"/>
    <s v="7365965125"/>
  </r>
  <r>
    <s v="RCF Thal"/>
    <s v="N.C.Urea(45kg)"/>
    <s v="WB"/>
    <x v="14"/>
    <s v="Nabagram"/>
    <s v="User Not Mapped"/>
    <s v="User Not Mapped"/>
    <s v="User Not Mapped"/>
    <n v="340769"/>
    <s v="Altafur Rahaman"/>
    <s v="Private Retailer"/>
    <s v="7407912717"/>
    <n v="9.99"/>
    <n v="47"/>
    <x v="1"/>
    <m/>
    <s v="2026-03-11"/>
    <s v="223292"/>
    <s v="M/s. Gouri Sankar Mandal"/>
    <s v="7365965125"/>
  </r>
  <r>
    <s v="RCF Trombay"/>
    <s v="N.C.Urea(45kg)"/>
    <s v="WB"/>
    <x v="14"/>
    <s v="Nabagram"/>
    <s v="User Not Mapped"/>
    <s v="User Not Mapped"/>
    <s v="User Not Mapped"/>
    <n v="341326"/>
    <s v="Ekramul Houque"/>
    <s v="Private Retailer"/>
    <s v="6294152251"/>
    <n v="4.6349999999999998"/>
    <n v="42"/>
    <x v="1"/>
    <m/>
    <s v="2026-03-16"/>
    <s v="281698"/>
    <s v="Krishi Mahal"/>
    <s v="8536856527"/>
  </r>
  <r>
    <s v="RCF Trombay"/>
    <s v="N.C.Urea(45kg)"/>
    <s v="WB"/>
    <x v="14"/>
    <s v="Nabagram"/>
    <s v="User Not Mapped"/>
    <s v="User Not Mapped"/>
    <s v="User Not Mapped"/>
    <n v="342551"/>
    <s v="Sanjoy Kumar Mondal"/>
    <s v="Private Retailer"/>
    <s v="7430088741"/>
    <n v="0.03"/>
    <n v="156"/>
    <x v="0"/>
    <m/>
    <s v="2025-11-22"/>
    <s v="289310"/>
    <s v="Gopal Fertilizer"/>
    <s v="8170003423"/>
  </r>
  <r>
    <s v="RCF Thal"/>
    <s v="N.C.Urea(45kg)"/>
    <s v="WB"/>
    <x v="14"/>
    <s v="Nabagram"/>
    <s v="User Not Mapped"/>
    <s v="User Not Mapped"/>
    <s v="User Not Mapped"/>
    <n v="342551"/>
    <s v="Sanjoy Kumar Mondal"/>
    <s v="Private Retailer"/>
    <s v="7430088741"/>
    <n v="8.2799999999999994"/>
    <n v="38"/>
    <x v="1"/>
    <m/>
    <s v="2026-03-20"/>
    <s v="281687"/>
    <s v="Tapash  Kr Das"/>
    <s v="9064408878"/>
  </r>
  <r>
    <s v="RCF Thal"/>
    <s v="N.C.Urea(45kg)"/>
    <s v="WB"/>
    <x v="14"/>
    <s v="Nabagram"/>
    <s v="User Not Mapped"/>
    <s v="User Not Mapped"/>
    <s v="User Not Mapped"/>
    <n v="342551"/>
    <s v="Sanjoy Kumar Mondal"/>
    <s v="Private Retailer"/>
    <s v="7430088741"/>
    <n v="4.9950000000000001"/>
    <n v="42"/>
    <x v="1"/>
    <m/>
    <s v="2026-03-16"/>
    <s v="281689"/>
    <s v="Nanda Dulal Mondal            "/>
    <s v="9153141062"/>
  </r>
  <r>
    <s v="RCF Thal"/>
    <s v="N.C.Urea(45kg)"/>
    <s v="WB"/>
    <x v="14"/>
    <s v="Nabagram"/>
    <s v="User Not Mapped"/>
    <s v="User Not Mapped"/>
    <s v="User Not Mapped"/>
    <n v="342551"/>
    <s v="Sanjoy Kumar Mondal"/>
    <s v="Private Retailer"/>
    <s v="7430088741"/>
    <n v="4.4999999999999998E-2"/>
    <n v="228"/>
    <x v="3"/>
    <m/>
    <s v="2025-09-11"/>
    <s v="281689"/>
    <s v="Nanda Dulal Mondal            "/>
    <s v="9153141062"/>
  </r>
  <r>
    <s v="RCF Import"/>
    <s v="Imp 10-26-26"/>
    <s v="WB"/>
    <x v="14"/>
    <s v="Nabagram"/>
    <s v="User Not Mapped"/>
    <s v="User Not Mapped"/>
    <s v="User Not Mapped"/>
    <n v="342551"/>
    <s v="Sanjoy Kumar Mondal"/>
    <s v="Private Retailer"/>
    <s v="7430088741"/>
    <n v="2.5"/>
    <n v="38"/>
    <x v="1"/>
    <m/>
    <s v="2026-03-20"/>
    <s v="281687"/>
    <s v="Tapash  Kr Das"/>
    <s v="9064408878"/>
  </r>
  <r>
    <s v="RCF Trombay"/>
    <s v="15-15-15"/>
    <s v="WB"/>
    <x v="14"/>
    <s v="Nabagram"/>
    <s v="User Not Mapped"/>
    <s v="User Not Mapped"/>
    <s v="User Not Mapped"/>
    <n v="342566"/>
    <s v="Rakesul Kader"/>
    <s v="Private Retailer"/>
    <s v="9733890158"/>
    <n v="2.5000000000000001E-2"/>
    <n v="814"/>
    <x v="7"/>
    <m/>
    <s v="2024-02-03"/>
    <s v="281687"/>
    <s v="Tapash  Kr Das"/>
    <s v="9064408878"/>
  </r>
  <r>
    <s v="RCF Thal"/>
    <s v="N.C.Urea(45kg)"/>
    <s v="WB"/>
    <x v="14"/>
    <s v="Nabagram"/>
    <s v="User Not Mapped"/>
    <s v="User Not Mapped"/>
    <s v="User Not Mapped"/>
    <n v="355293"/>
    <s v="Mahadev Mondal"/>
    <s v="Private Retailer"/>
    <s v="9475194960"/>
    <n v="0.9"/>
    <n v="234"/>
    <x v="3"/>
    <m/>
    <s v="2025-09-05"/>
    <s v="223286"/>
    <s v="Dutta Pramanik Enterprise"/>
    <s v="9475520520"/>
  </r>
  <r>
    <s v="RCF Import"/>
    <s v="Imp 10-26-26"/>
    <s v="WB"/>
    <x v="14"/>
    <s v="Nabagram"/>
    <s v="User Not Mapped"/>
    <s v="User Not Mapped"/>
    <s v="User Not Mapped"/>
    <n v="355293"/>
    <s v="Mahadev Mondal"/>
    <s v="Private Retailer"/>
    <s v="9475194960"/>
    <n v="1.45"/>
    <n v="283"/>
    <x v="3"/>
    <m/>
    <s v="2025-07-18"/>
    <s v="280775"/>
    <s v="R A Kheria"/>
    <s v="9830290085"/>
  </r>
  <r>
    <s v="RCF Import"/>
    <s v="Imp 10-26-26"/>
    <s v="WB"/>
    <x v="14"/>
    <s v="Nabagram"/>
    <s v="User Not Mapped"/>
    <s v="User Not Mapped"/>
    <s v="User Not Mapped"/>
    <n v="355293"/>
    <s v="Mahadev Mondal"/>
    <s v="Private Retailer"/>
    <s v="9475194960"/>
    <n v="3.5"/>
    <n v="273"/>
    <x v="3"/>
    <m/>
    <s v="2025-07-28"/>
    <s v="280775"/>
    <s v="R A Kheria"/>
    <s v="9830290085"/>
  </r>
  <r>
    <s v="RCF Thal"/>
    <s v="N.C.Urea(45kg)"/>
    <s v="WB"/>
    <x v="14"/>
    <s v="Nabagram"/>
    <s v="User Not Mapped"/>
    <s v="User Not Mapped"/>
    <s v="User Not Mapped"/>
    <n v="356048"/>
    <s v="Ranajoy Mandal"/>
    <s v="Private Retailer"/>
    <s v="9851238769"/>
    <n v="12.015000000000001"/>
    <n v="47"/>
    <x v="1"/>
    <m/>
    <s v="2026-03-11"/>
    <s v="223292"/>
    <s v="M/s. Gouri Sankar Mandal"/>
    <s v="7365965125"/>
  </r>
  <r>
    <s v="RCF Trombay"/>
    <s v="N.C.Urea(45kg)"/>
    <s v="WB"/>
    <x v="14"/>
    <s v="Nabagram"/>
    <s v="User Not Mapped"/>
    <s v="User Not Mapped"/>
    <s v="User Not Mapped"/>
    <n v="356048"/>
    <s v="Ranajoy Mandal"/>
    <s v="Private Retailer"/>
    <s v="9851238769"/>
    <n v="8.8650000000000002"/>
    <n v="36"/>
    <x v="1"/>
    <m/>
    <s v="2026-03-22"/>
    <s v="223292"/>
    <s v="M/s. Gouri Sankar Mandal"/>
    <s v="7365965125"/>
  </r>
  <r>
    <s v="RCF Trombay"/>
    <s v="15-15-15"/>
    <s v="WB"/>
    <x v="14"/>
    <s v="Nabagram"/>
    <s v="User Not Mapped"/>
    <s v="User Not Mapped"/>
    <s v="User Not Mapped"/>
    <n v="473363"/>
    <s v="Uma Mondal"/>
    <s v="Private Retailer"/>
    <s v="9732432415"/>
    <n v="15"/>
    <n v="33"/>
    <x v="1"/>
    <m/>
    <s v="2026-03-25"/>
    <s v="223292"/>
    <s v="M/s. Gouri Sankar Mandal"/>
    <s v="7365965125"/>
  </r>
  <r>
    <s v="RCF Thal"/>
    <s v="N.C.Urea(45kg)"/>
    <s v="WB"/>
    <x v="14"/>
    <s v="Nabagram"/>
    <s v="User Not Mapped"/>
    <s v="User Not Mapped"/>
    <s v="User Not Mapped"/>
    <n v="473363"/>
    <s v="Uma Mondal"/>
    <s v="Private Retailer"/>
    <s v="9732432415"/>
    <n v="4.4999999999999998E-2"/>
    <n v="36"/>
    <x v="1"/>
    <m/>
    <s v="2026-03-22"/>
    <s v="223292"/>
    <s v="M/s. Gouri Sankar Mandal"/>
    <s v="7365965125"/>
  </r>
  <r>
    <s v="RCF Trombay"/>
    <s v="N.C.Urea(45kg)"/>
    <s v="WB"/>
    <x v="14"/>
    <s v="Nabagram"/>
    <s v="User Not Mapped"/>
    <s v="User Not Mapped"/>
    <s v="User Not Mapped"/>
    <n v="473363"/>
    <s v="Uma Mondal"/>
    <s v="Private Retailer"/>
    <s v="9732432415"/>
    <n v="0.85499999999999998"/>
    <n v="36"/>
    <x v="1"/>
    <m/>
    <s v="2026-03-22"/>
    <s v="223292"/>
    <s v="M/s. Gouri Sankar Mandal"/>
    <s v="7365965125"/>
  </r>
  <r>
    <s v="RCF Trombay"/>
    <s v="15-15-15"/>
    <s v="WB"/>
    <x v="14"/>
    <s v="Nabagram"/>
    <s v="User Not Mapped"/>
    <s v="User Not Mapped"/>
    <s v="User Not Mapped"/>
    <n v="473363"/>
    <s v="Uma Mondal"/>
    <s v="Private Retailer"/>
    <s v="9732432415"/>
    <n v="15"/>
    <n v="34"/>
    <x v="1"/>
    <m/>
    <s v="2026-03-24"/>
    <s v="223292"/>
    <s v="M/s. Gouri Sankar Mandal"/>
    <s v="7365965125"/>
  </r>
  <r>
    <s v="RCF Import"/>
    <s v="MOP"/>
    <s v="WB"/>
    <x v="14"/>
    <s v="Nabagram"/>
    <s v="User Not Mapped"/>
    <s v="User Not Mapped"/>
    <s v="User Not Mapped"/>
    <n v="473377"/>
    <s v="Nikhil Roychowdhury"/>
    <s v="Private Retailer"/>
    <s v="8900387230"/>
    <n v="0.65"/>
    <n v="258"/>
    <x v="3"/>
    <m/>
    <s v="2025-08-12"/>
    <s v="223292"/>
    <s v="M/s. Gouri Sankar Mandal"/>
    <s v="7365965125"/>
  </r>
  <r>
    <s v="RCF Thal"/>
    <s v="N.C.Urea(45kg)"/>
    <s v="WB"/>
    <x v="14"/>
    <s v="Nabagram"/>
    <s v="User Not Mapped"/>
    <s v="User Not Mapped"/>
    <s v="User Not Mapped"/>
    <n v="506864"/>
    <s v="Timir Roychoudhury"/>
    <s v="Private Retailer"/>
    <s v="8001490205"/>
    <n v="5.8049999999999997"/>
    <n v="46"/>
    <x v="1"/>
    <m/>
    <s v="2026-03-12"/>
    <s v="289315"/>
    <s v="M/S Monoranjan Dey"/>
    <s v="9733893312"/>
  </r>
  <r>
    <s v="RCF Thal"/>
    <s v="N.C.Urea(45kg)"/>
    <s v="WB"/>
    <x v="14"/>
    <s v="Nabagram"/>
    <s v="User Not Mapped"/>
    <s v="User Not Mapped"/>
    <s v="User Not Mapped"/>
    <n v="507766"/>
    <s v="Sabana Fertiliser"/>
    <s v="Private Retailer"/>
    <s v="9732835690"/>
    <n v="0.13500000000000001"/>
    <n v="42"/>
    <x v="1"/>
    <m/>
    <s v="2026-03-16"/>
    <s v="289309"/>
    <s v="Fatema Begam"/>
    <s v="9733510936"/>
  </r>
  <r>
    <s v="RCF Thal"/>
    <s v="N.C.Urea(45kg)"/>
    <s v="WB"/>
    <x v="14"/>
    <s v="Nabagram"/>
    <s v="User Not Mapped"/>
    <s v="User Not Mapped"/>
    <s v="User Not Mapped"/>
    <n v="516916"/>
    <s v="Sib Sankar Mondal"/>
    <s v="Private Retailer"/>
    <s v="9851867788"/>
    <n v="0.45"/>
    <n v="40"/>
    <x v="1"/>
    <m/>
    <s v="2026-03-18"/>
    <s v="289309"/>
    <s v="Fatema Begam"/>
    <s v="9733510936"/>
  </r>
  <r>
    <s v="RCF Trombay"/>
    <s v="15-15-15"/>
    <s v="WB"/>
    <x v="14"/>
    <s v="Nabagram"/>
    <s v="User Not Mapped"/>
    <s v="User Not Mapped"/>
    <s v="User Not Mapped"/>
    <n v="533396"/>
    <s v="CHASHI GHAR"/>
    <s v="Private Retailer"/>
    <s v="9732877862"/>
    <n v="1.5"/>
    <n v="37"/>
    <x v="1"/>
    <m/>
    <s v="2026-03-21"/>
    <s v="223292"/>
    <s v="M/s. Gouri Sankar Mandal"/>
    <s v="7365965125"/>
  </r>
  <r>
    <s v="RCF Thal"/>
    <s v="N.C.Urea(45kg)"/>
    <s v="WB"/>
    <x v="14"/>
    <s v="Nabagram"/>
    <s v="User Not Mapped"/>
    <s v="User Not Mapped"/>
    <s v="User Not Mapped"/>
    <n v="599460"/>
    <s v="Nizamuddin Seikh"/>
    <s v="Private Retailer"/>
    <s v="9733404559"/>
    <n v="1.26"/>
    <n v="42"/>
    <x v="1"/>
    <m/>
    <s v="2026-03-16"/>
    <s v="281698"/>
    <s v="Krishi Mahal"/>
    <s v="8536856527"/>
  </r>
  <r>
    <s v="RCF Trombay"/>
    <s v="N.C.Urea(45kg)"/>
    <s v="WB"/>
    <x v="14"/>
    <s v="Nabagram"/>
    <s v="User Not Mapped"/>
    <s v="User Not Mapped"/>
    <s v="User Not Mapped"/>
    <n v="599460"/>
    <s v="Nizamuddin Seikh"/>
    <s v="Private Retailer"/>
    <s v="9733404559"/>
    <n v="2.5649999999999999"/>
    <n v="42"/>
    <x v="1"/>
    <m/>
    <s v="2026-03-16"/>
    <s v="281698"/>
    <s v="Krishi Mahal"/>
    <s v="8536856527"/>
  </r>
  <r>
    <s v="RCF Thal"/>
    <s v="N.C.Urea(45kg)"/>
    <s v="WB"/>
    <x v="14"/>
    <s v="Nabagram"/>
    <s v="User Not Mapped"/>
    <s v="User Not Mapped"/>
    <s v="User Not Mapped"/>
    <n v="634761"/>
    <s v="SABANA FERTILIZER"/>
    <s v="Private Retailer"/>
    <s v="9564190124"/>
    <n v="0.99"/>
    <n v="42"/>
    <x v="1"/>
    <m/>
    <s v="2026-03-16"/>
    <s v="281698"/>
    <s v="Krishi Mahal"/>
    <s v="8536856527"/>
  </r>
  <r>
    <s v="RCF Trombay"/>
    <s v="15-15-15"/>
    <s v="WB"/>
    <x v="14"/>
    <s v="Nabagram"/>
    <s v="User Not Mapped"/>
    <s v="User Not Mapped"/>
    <s v="User Not Mapped"/>
    <n v="871583"/>
    <s v="MD AMIN ALI"/>
    <s v="Private Retailer"/>
    <s v="9800429560"/>
    <n v="0.7"/>
    <n v="89"/>
    <x v="2"/>
    <m/>
    <s v="2026-01-28"/>
    <s v="223285"/>
    <s v="M/s. Golam Kibria"/>
    <s v="8371889332"/>
  </r>
  <r>
    <s v="RCF Trombay"/>
    <s v="N.C.Urea(45kg)"/>
    <s v="WB"/>
    <x v="14"/>
    <s v="Nabagram"/>
    <s v="User Not Mapped"/>
    <s v="User Not Mapped"/>
    <s v="User Not Mapped"/>
    <n v="871583"/>
    <s v="MD AMIN ALI"/>
    <s v="Private Retailer"/>
    <s v="9800429560"/>
    <n v="3.42"/>
    <n v="156"/>
    <x v="0"/>
    <m/>
    <s v="2025-11-22"/>
    <s v="223285"/>
    <s v="M/s. Golam Kibria"/>
    <s v="8371889332"/>
  </r>
  <r>
    <s v="RCF Import"/>
    <s v="Imp 10-26-26"/>
    <s v="WB"/>
    <x v="14"/>
    <s v="Nabagram"/>
    <s v="User Not Mapped"/>
    <s v="User Not Mapped"/>
    <s v="User Not Mapped"/>
    <n v="871583"/>
    <s v="MD AMIN ALI"/>
    <s v="Private Retailer"/>
    <s v="9800429560"/>
    <n v="3"/>
    <n v="77"/>
    <x v="2"/>
    <m/>
    <s v="2026-02-09"/>
    <s v="223285"/>
    <s v="M/s. Golam Kibria"/>
    <s v="8371889332"/>
  </r>
  <r>
    <s v="RCF Trombay"/>
    <s v="15-15-15"/>
    <s v="WB"/>
    <x v="14"/>
    <s v="Nabagram"/>
    <s v="User Not Mapped"/>
    <s v="User Not Mapped"/>
    <s v="User Not Mapped"/>
    <n v="874055"/>
    <s v="SATYA KINKAR DUTTA"/>
    <s v="Private Retailer"/>
    <s v="8001888025"/>
    <n v="0.9"/>
    <n v="212"/>
    <x v="3"/>
    <m/>
    <s v="2025-09-27"/>
    <s v="281704"/>
    <s v="Maa Fertilizer"/>
    <s v="9800042039"/>
  </r>
  <r>
    <s v="RCF Thal"/>
    <s v="N.C.Urea(45kg)"/>
    <s v="WB"/>
    <x v="14"/>
    <s v="Nabagram"/>
    <s v="User Not Mapped"/>
    <s v="User Not Mapped"/>
    <s v="User Not Mapped"/>
    <n v="1036300"/>
    <s v="MOSLEM SK"/>
    <s v="Private Retailer"/>
    <s v="7430051292"/>
    <n v="8.2799999999999994"/>
    <n v="108"/>
    <x v="5"/>
    <m/>
    <s v="2026-01-09"/>
    <s v="223286"/>
    <s v="Dutta Pramanik Enterprise"/>
    <s v="9475520520"/>
  </r>
  <r>
    <s v="RCF Thal"/>
    <s v="N.C.Urea(45kg)"/>
    <s v="WB"/>
    <x v="14"/>
    <s v="Nabagram"/>
    <s v="User Not Mapped"/>
    <s v="User Not Mapped"/>
    <s v="User Not Mapped"/>
    <n v="1054075"/>
    <s v="M/S RABIUL ALAM"/>
    <s v="Private Retailer"/>
    <s v="8436080205"/>
    <n v="5.58"/>
    <n v="453"/>
    <x v="6"/>
    <m/>
    <s v="2025-01-29"/>
    <s v="223292"/>
    <s v="M/s. Gouri Sankar Mandal"/>
    <s v="7365965125"/>
  </r>
  <r>
    <s v="RCF Trombay"/>
    <s v="15-15-15"/>
    <s v="WB"/>
    <x v="14"/>
    <s v="Nabagram"/>
    <s v="User Not Mapped"/>
    <s v="User Not Mapped"/>
    <s v="User Not Mapped"/>
    <n v="1054075"/>
    <s v="M/S RABIUL ALAM"/>
    <s v="Private Retailer"/>
    <s v="8436080205"/>
    <n v="0.75"/>
    <n v="453"/>
    <x v="6"/>
    <m/>
    <s v="2025-01-29"/>
    <s v="223292"/>
    <s v="M/s. Gouri Sankar Mandal"/>
    <s v="7365965125"/>
  </r>
  <r>
    <s v="RCF Thal"/>
    <s v="N.C.Urea(45kg)"/>
    <s v="WB"/>
    <x v="14"/>
    <s v="Nabagram"/>
    <s v="User Not Mapped"/>
    <s v="User Not Mapped"/>
    <s v="User Not Mapped"/>
    <n v="1081704"/>
    <s v="SUMON MONDAL"/>
    <s v="Private Retailer"/>
    <s v="6294672895"/>
    <n v="1.53"/>
    <n v="42"/>
    <x v="1"/>
    <m/>
    <s v="2026-03-16"/>
    <s v="289309"/>
    <s v="Fatema Begam"/>
    <s v="9733510936"/>
  </r>
  <r>
    <s v="RCF Trombay"/>
    <s v="N.C.Urea(45kg)"/>
    <s v="WB"/>
    <x v="14"/>
    <s v="Nabagram"/>
    <s v="User Not Mapped"/>
    <s v="User Not Mapped"/>
    <s v="User Not Mapped"/>
    <n v="1081706"/>
    <s v="MILI KHATUN"/>
    <s v="Private Retailer"/>
    <s v="8637859409"/>
    <n v="3.51"/>
    <n v="45"/>
    <x v="1"/>
    <m/>
    <s v="2026-03-13"/>
    <s v="223293"/>
    <s v="Bisanka Chandra Mondal And Son"/>
    <s v="9609521133"/>
  </r>
  <r>
    <s v="RCF Thal"/>
    <s v="N.C.Urea(45kg)"/>
    <s v="WB"/>
    <x v="14"/>
    <s v="Nabagram"/>
    <s v="User Not Mapped"/>
    <s v="User Not Mapped"/>
    <s v="User Not Mapped"/>
    <n v="1081768"/>
    <s v="Debapriya Mandal"/>
    <s v="Private Retailer"/>
    <s v="9002557657"/>
    <n v="6.6150000000000002"/>
    <n v="46"/>
    <x v="1"/>
    <m/>
    <s v="2026-03-12"/>
    <s v="289309"/>
    <s v="Fatema Begam"/>
    <s v="9733510936"/>
  </r>
  <r>
    <s v="RCF Thal"/>
    <s v="N.C.Urea(45kg)"/>
    <s v="WB"/>
    <x v="14"/>
    <s v="Nabagram"/>
    <s v="User Not Mapped"/>
    <s v="User Not Mapped"/>
    <s v="User Not Mapped"/>
    <n v="1084833"/>
    <s v="ARFUL MONDAL"/>
    <s v="Private Retailer"/>
    <s v="7029132387"/>
    <n v="4.9050000000000002"/>
    <n v="117"/>
    <x v="5"/>
    <m/>
    <s v="2025-12-31"/>
    <s v="223292"/>
    <s v="M/s. Gouri Sankar Mandal"/>
    <s v="7365965125"/>
  </r>
  <r>
    <s v="RCF Thal"/>
    <s v="N.C.Urea(45kg)"/>
    <s v="WB"/>
    <x v="14"/>
    <s v="Nabagram"/>
    <s v="User Not Mapped"/>
    <s v="User Not Mapped"/>
    <s v="User Not Mapped"/>
    <n v="1084833"/>
    <s v="ARFUL MONDAL"/>
    <s v="Private Retailer"/>
    <s v="7029132387"/>
    <n v="7.02"/>
    <n v="47"/>
    <x v="1"/>
    <m/>
    <s v="2026-03-11"/>
    <s v="223292"/>
    <s v="M/s. Gouri Sankar Mandal"/>
    <s v="7365965125"/>
  </r>
  <r>
    <s v="RCF Trombay"/>
    <s v="15-15-15"/>
    <s v="WB"/>
    <x v="14"/>
    <s v="Nabagram"/>
    <s v="User Not Mapped"/>
    <s v="User Not Mapped"/>
    <s v="User Not Mapped"/>
    <n v="1085493"/>
    <s v="ASIF HOSSAIN"/>
    <s v="Private Retailer"/>
    <s v="7407086897"/>
    <n v="0.3"/>
    <n v="1240"/>
    <x v="7"/>
    <m/>
    <s v="2022-12-04"/>
    <s v="269139"/>
    <s v="Firoj Ali"/>
    <s v="9932787296"/>
  </r>
  <r>
    <s v="RCF Thal"/>
    <s v="N.C.Urea(45kg)"/>
    <s v="WB"/>
    <x v="14"/>
    <s v="Nabagram"/>
    <s v="User Not Mapped"/>
    <s v="User Not Mapped"/>
    <s v="User Not Mapped"/>
    <n v="1085493"/>
    <s v="ASIF HOSSAIN"/>
    <s v="Private Retailer"/>
    <s v="7407086897"/>
    <n v="1.08"/>
    <n v="1240"/>
    <x v="7"/>
    <m/>
    <s v="2022-12-04"/>
    <s v="269139"/>
    <s v="Firoj Ali"/>
    <s v="9932787296"/>
  </r>
  <r>
    <s v="RCF Thal"/>
    <s v="N.C.Urea(45kg)"/>
    <s v="WB"/>
    <x v="14"/>
    <s v="Nabagram"/>
    <s v="User Not Mapped"/>
    <s v="User Not Mapped"/>
    <s v="User Not Mapped"/>
    <n v="1085503"/>
    <s v="ROBIUL ISLAM"/>
    <s v="Private Retailer"/>
    <s v="9609203979"/>
    <n v="9.99"/>
    <n v="47"/>
    <x v="1"/>
    <m/>
    <s v="2026-03-11"/>
    <s v="223292"/>
    <s v="M/s. Gouri Sankar Mandal"/>
    <s v="7365965125"/>
  </r>
  <r>
    <s v="RCF Trombay"/>
    <s v="N.C.Urea(45kg)"/>
    <s v="WB"/>
    <x v="14"/>
    <s v="Nabagram"/>
    <s v="User Not Mapped"/>
    <s v="User Not Mapped"/>
    <s v="User Not Mapped"/>
    <n v="1085503"/>
    <s v="ROBIUL ISLAM"/>
    <s v="Private Retailer"/>
    <s v="9609203979"/>
    <n v="13.23"/>
    <n v="41"/>
    <x v="1"/>
    <m/>
    <s v="2026-03-17"/>
    <s v="223292"/>
    <s v="M/s. Gouri Sankar Mandal"/>
    <s v="7365965125"/>
  </r>
  <r>
    <s v="RCF Trombay"/>
    <s v="15-15-15"/>
    <s v="WB"/>
    <x v="14"/>
    <s v="Nabagram"/>
    <s v="User Not Mapped"/>
    <s v="User Not Mapped"/>
    <s v="User Not Mapped"/>
    <n v="1085503"/>
    <s v="ROBIUL ISLAM"/>
    <s v="Private Retailer"/>
    <s v="9609203979"/>
    <n v="0.75"/>
    <n v="431"/>
    <x v="6"/>
    <m/>
    <s v="2025-02-20"/>
    <s v="223292"/>
    <s v="M/s. Gouri Sankar Mandal"/>
    <s v="7365965125"/>
  </r>
  <r>
    <s v="RCF Thal"/>
    <s v="N.C.Urea(45kg)"/>
    <s v="WB"/>
    <x v="14"/>
    <s v="Nabagram"/>
    <s v="User Not Mapped"/>
    <s v="User Not Mapped"/>
    <s v="User Not Mapped"/>
    <n v="1086653"/>
    <s v="RABIN MONDAL"/>
    <s v="Private Retailer"/>
    <s v="8016055479"/>
    <n v="8.5950000000000006"/>
    <n v="100"/>
    <x v="5"/>
    <m/>
    <s v="2026-01-17"/>
    <s v="223293"/>
    <s v="Bisanka Chandra Mondal And Son"/>
    <s v="9609521133"/>
  </r>
  <r>
    <s v="RCF Thal"/>
    <s v="N.C.Urea(45kg)"/>
    <s v="WB"/>
    <x v="14"/>
    <s v="Nabagram"/>
    <s v="User Not Mapped"/>
    <s v="User Not Mapped"/>
    <s v="User Not Mapped"/>
    <n v="1116674"/>
    <s v="Motiur Rahaman"/>
    <s v="Private Retailer"/>
    <s v="7908069607"/>
    <n v="9.1349999999999998"/>
    <n v="47"/>
    <x v="1"/>
    <m/>
    <s v="2026-03-11"/>
    <s v="223292"/>
    <s v="M/s. Gouri Sankar Mandal"/>
    <s v="7365965125"/>
  </r>
  <r>
    <s v="RCF Thal"/>
    <s v="N.C.Urea(45kg)"/>
    <s v="WB"/>
    <x v="14"/>
    <s v="Nabagram"/>
    <s v="User Not Mapped"/>
    <s v="User Not Mapped"/>
    <s v="User Not Mapped"/>
    <n v="1338602"/>
    <s v="RAHAMAN FERTILIZER"/>
    <s v="Private Retailer"/>
    <s v="9733212353"/>
    <n v="2.0699999999999998"/>
    <n v="41"/>
    <x v="1"/>
    <m/>
    <s v="2026-03-17"/>
    <s v="223292"/>
    <s v="M/s. Gouri Sankar Mandal"/>
    <s v="7365965125"/>
  </r>
  <r>
    <s v="RCF Thal"/>
    <s v="N.C.Urea(45kg)"/>
    <s v="WB"/>
    <x v="14"/>
    <s v="Nabagram"/>
    <s v="User Not Mapped"/>
    <s v="User Not Mapped"/>
    <s v="User Not Mapped"/>
    <n v="1377498"/>
    <s v="MD FERTILIZER"/>
    <s v="Private Retailer"/>
    <s v="9732618685"/>
    <n v="1.2"/>
    <n v="563"/>
    <x v="7"/>
    <m/>
    <s v="2024-10-11"/>
    <s v="281698"/>
    <s v="Krishi Mahal"/>
    <s v="8536856527"/>
  </r>
  <r>
    <s v="RCF Thal"/>
    <s v="N.C.Urea(45kg)"/>
    <s v="WB"/>
    <x v="14"/>
    <s v="Nabagram"/>
    <s v="User Not Mapped"/>
    <s v="User Not Mapped"/>
    <s v="User Not Mapped"/>
    <n v="1377540"/>
    <s v="KOUSHIK MANDAL"/>
    <s v="Private Retailer"/>
    <s v="9679780708"/>
    <n v="2.1850000000000001"/>
    <n v="45"/>
    <x v="1"/>
    <m/>
    <s v="2026-03-13"/>
    <s v="281689"/>
    <s v="Nanda Dulal Mondal            "/>
    <s v="9153141062"/>
  </r>
  <r>
    <s v="RCF Trombay"/>
    <s v="N.C.Urea(45kg)"/>
    <s v="WB"/>
    <x v="14"/>
    <s v="Nabagram"/>
    <s v="User Not Mapped"/>
    <s v="User Not Mapped"/>
    <s v="User Not Mapped"/>
    <n v="1513341"/>
    <s v="R FERTILISER AND PESTICIDE"/>
    <s v="Private Retailer"/>
    <s v="8972781623"/>
    <n v="3.51"/>
    <n v="45"/>
    <x v="1"/>
    <m/>
    <s v="2026-03-13"/>
    <s v="223293"/>
    <s v="Bisanka Chandra Mondal And Son"/>
    <s v="9609521133"/>
  </r>
  <r>
    <s v="RCF Thal"/>
    <s v="N.C.Urea(45kg)"/>
    <s v="WB"/>
    <x v="14"/>
    <s v="Nabagram"/>
    <s v="User Not Mapped"/>
    <s v="User Not Mapped"/>
    <s v="User Not Mapped"/>
    <n v="1513341"/>
    <s v="R FERTILISER AND PESTICIDE"/>
    <s v="Private Retailer"/>
    <s v="8972781623"/>
    <n v="0.94499999999999995"/>
    <n v="46"/>
    <x v="1"/>
    <m/>
    <s v="2026-03-12"/>
    <s v="289309"/>
    <s v="Fatema Begam"/>
    <s v="9733510936"/>
  </r>
  <r>
    <s v="RCF Import"/>
    <s v="Imp 10-26-26"/>
    <s v="WB"/>
    <x v="14"/>
    <s v="Nabagram"/>
    <s v="User Not Mapped"/>
    <s v="User Not Mapped"/>
    <s v="User Not Mapped"/>
    <n v="1513341"/>
    <s v="R FERTILISER AND PESTICIDE"/>
    <s v="Private Retailer"/>
    <s v="8972781623"/>
    <n v="0.5"/>
    <n v="53"/>
    <x v="1"/>
    <m/>
    <s v="2026-03-05"/>
    <s v="289309"/>
    <s v="Fatema Begam"/>
    <s v="9733510936"/>
  </r>
  <r>
    <s v="RCF Import"/>
    <s v="MOP"/>
    <s v="WB"/>
    <x v="14"/>
    <s v="Nabagram"/>
    <s v="User Not Mapped"/>
    <s v="User Not Mapped"/>
    <s v="User Not Mapped"/>
    <n v="1542391"/>
    <s v="NUR KRISHI BHANDAR"/>
    <s v="Private Retailer"/>
    <s v="8697822932"/>
    <n v="0.4"/>
    <n v="276"/>
    <x v="3"/>
    <m/>
    <s v="2025-07-25"/>
    <s v="223292"/>
    <s v="M/s. Gouri Sankar Mandal"/>
    <s v="7365965125"/>
  </r>
  <r>
    <s v="RCF Trombay"/>
    <s v="N.C.Urea(45kg)"/>
    <s v="WB"/>
    <x v="14"/>
    <s v="Nabagram"/>
    <s v="User Not Mapped"/>
    <s v="User Not Mapped"/>
    <s v="User Not Mapped"/>
    <n v="1542391"/>
    <s v="NUR KRISHI BHANDAR"/>
    <s v="Private Retailer"/>
    <s v="8697822932"/>
    <n v="1.3049999999999999"/>
    <n v="412"/>
    <x v="6"/>
    <m/>
    <s v="2025-03-11"/>
    <s v="223292"/>
    <s v="M/s. Gouri Sankar Mandal"/>
    <s v="7365965125"/>
  </r>
  <r>
    <s v="RCF Thal"/>
    <s v="N.C.Urea(45kg)"/>
    <s v="WB"/>
    <x v="14"/>
    <s v="Nabagram"/>
    <s v="User Not Mapped"/>
    <s v="User Not Mapped"/>
    <s v="User Not Mapped"/>
    <n v="1542391"/>
    <s v="NUR KRISHI BHANDAR"/>
    <s v="Private Retailer"/>
    <s v="8697822932"/>
    <n v="6.75"/>
    <n v="27"/>
    <x v="4"/>
    <m/>
    <s v="2026-03-31"/>
    <s v="223292"/>
    <s v="M/s. Gouri Sankar Mandal"/>
    <s v="7365965125"/>
  </r>
  <r>
    <s v="RCF Trombay"/>
    <s v="N.C.Urea(45kg)"/>
    <s v="WB"/>
    <x v="14"/>
    <s v="Nabagram"/>
    <s v="User Not Mapped"/>
    <s v="User Not Mapped"/>
    <s v="User Not Mapped"/>
    <n v="1542391"/>
    <s v="NUR KRISHI BHANDAR"/>
    <s v="Private Retailer"/>
    <s v="8697822932"/>
    <n v="2.0249999999999999"/>
    <n v="143"/>
    <x v="0"/>
    <m/>
    <s v="2025-12-05"/>
    <s v="223292"/>
    <s v="M/s. Gouri Sankar Mandal"/>
    <s v="7365965125"/>
  </r>
  <r>
    <s v="RCF Thal"/>
    <s v="N.C.Urea(45kg)"/>
    <s v="WB"/>
    <x v="14"/>
    <s v="Nabagram"/>
    <s v="User Not Mapped"/>
    <s v="User Not Mapped"/>
    <s v="User Not Mapped"/>
    <n v="1552310"/>
    <s v="ANSARI KRISHIGHAR"/>
    <s v="Private Retailer"/>
    <s v="6294265618"/>
    <n v="0.18"/>
    <n v="235"/>
    <x v="3"/>
    <m/>
    <s v="2025-09-04"/>
    <s v="281687"/>
    <s v="Tapash  Kr Das"/>
    <s v="9064408878"/>
  </r>
  <r>
    <s v="RCF Thal"/>
    <s v="N.C.Urea(45kg)"/>
    <s v="WB"/>
    <x v="14"/>
    <s v="Nabagram"/>
    <s v="User Not Mapped"/>
    <s v="User Not Mapped"/>
    <s v="User Not Mapped"/>
    <n v="1614737"/>
    <s v="PRADIP MONDAL"/>
    <s v="Private Retailer"/>
    <s v="8900069180"/>
    <n v="5.8949999999999996"/>
    <n v="47"/>
    <x v="1"/>
    <m/>
    <s v="2026-03-11"/>
    <s v="223292"/>
    <s v="M/s. Gouri Sankar Mandal"/>
    <s v="7365965125"/>
  </r>
  <r>
    <s v="RCF Trombay"/>
    <s v="15-15-15"/>
    <s v="WB"/>
    <x v="14"/>
    <s v="Nabagram"/>
    <s v="User Not Mapped"/>
    <s v="User Not Mapped"/>
    <s v="User Not Mapped"/>
    <n v="1614737"/>
    <s v="PRADIP MONDAL"/>
    <s v="Private Retailer"/>
    <s v="8900069180"/>
    <n v="8.5"/>
    <n v="32"/>
    <x v="1"/>
    <m/>
    <s v="2026-03-26"/>
    <s v="223292"/>
    <s v="M/s. Gouri Sankar Mandal"/>
    <s v="7365965125"/>
  </r>
  <r>
    <s v="RCF Trombay"/>
    <s v="N.C.Urea(45kg)"/>
    <s v="WB"/>
    <x v="14"/>
    <s v="Nawda"/>
    <s v="User Not Mapped"/>
    <s v="User Not Mapped"/>
    <s v="User Not Mapped"/>
    <n v="235567"/>
    <s v="Afarid Molla"/>
    <s v="Private Retailer"/>
    <s v="9732947892"/>
    <n v="3.33"/>
    <n v="156"/>
    <x v="0"/>
    <m/>
    <s v="2025-11-22"/>
    <s v="223285"/>
    <s v="M/s. Golam Kibria"/>
    <s v="8371889332"/>
  </r>
  <r>
    <s v="RCF Trombay"/>
    <s v="15-15-15"/>
    <s v="WB"/>
    <x v="14"/>
    <s v="Nawda"/>
    <s v="User Not Mapped"/>
    <s v="User Not Mapped"/>
    <s v="User Not Mapped"/>
    <n v="235567"/>
    <s v="Afarid Molla"/>
    <s v="Private Retailer"/>
    <s v="9732947892"/>
    <n v="3"/>
    <n v="156"/>
    <x v="0"/>
    <m/>
    <s v="2025-11-22"/>
    <s v="223285"/>
    <s v="M/s. Golam Kibria"/>
    <s v="8371889332"/>
  </r>
  <r>
    <s v="RCF Thal"/>
    <s v="N.C.Urea(45kg)"/>
    <s v="WB"/>
    <x v="14"/>
    <s v="Nawda"/>
    <s v="User Not Mapped"/>
    <s v="User Not Mapped"/>
    <s v="User Not Mapped"/>
    <n v="235586"/>
    <s v="Asit Kumar Mondal"/>
    <s v="Private Retailer"/>
    <s v="9732666684"/>
    <n v="6.6150000000000002"/>
    <n v="117"/>
    <x v="5"/>
    <m/>
    <s v="2025-12-31"/>
    <s v="223292"/>
    <s v="M/s. Gouri Sankar Mandal"/>
    <s v="7365965125"/>
  </r>
  <r>
    <s v="RCF Trombay"/>
    <s v="15-15-15"/>
    <s v="WB"/>
    <x v="14"/>
    <s v="Nawda"/>
    <s v="User Not Mapped"/>
    <s v="User Not Mapped"/>
    <s v="User Not Mapped"/>
    <n v="235767"/>
    <s v="Rabindra Nath Mondal "/>
    <s v="Private Retailer"/>
    <s v="8900149235"/>
    <n v="0.5"/>
    <n v="153"/>
    <x v="0"/>
    <m/>
    <s v="2025-11-25"/>
    <s v="281704"/>
    <s v="Maa Fertilizer"/>
    <s v="9800042039"/>
  </r>
  <r>
    <s v="RCF Trombay"/>
    <s v="15-15-15"/>
    <s v="WB"/>
    <x v="14"/>
    <s v="Nawda"/>
    <s v="User Not Mapped"/>
    <s v="User Not Mapped"/>
    <s v="User Not Mapped"/>
    <n v="235767"/>
    <s v="Rabindra Nath Mondal "/>
    <s v="Private Retailer"/>
    <s v="8900149235"/>
    <n v="8"/>
    <n v="27"/>
    <x v="4"/>
    <m/>
    <s v="2026-03-31"/>
    <s v="281704"/>
    <s v="Maa Fertilizer"/>
    <s v="9800042039"/>
  </r>
  <r>
    <s v="RCF Thal"/>
    <s v="N.C.Urea(45kg)"/>
    <s v="WB"/>
    <x v="14"/>
    <s v="Nawda"/>
    <s v="User Not Mapped"/>
    <s v="User Not Mapped"/>
    <s v="User Not Mapped"/>
    <n v="235767"/>
    <s v="Rabindra Nath Mondal "/>
    <s v="Private Retailer"/>
    <s v="8900149235"/>
    <n v="1.0349999999999999"/>
    <n v="111"/>
    <x v="5"/>
    <m/>
    <s v="2026-01-06"/>
    <s v="281704"/>
    <s v="Maa Fertilizer"/>
    <s v="9800042039"/>
  </r>
  <r>
    <s v="RCF Trombay"/>
    <s v="N.C.Urea(45kg)"/>
    <s v="WB"/>
    <x v="14"/>
    <s v="Nawda"/>
    <s v="User Not Mapped"/>
    <s v="User Not Mapped"/>
    <s v="User Not Mapped"/>
    <n v="235767"/>
    <s v="Rabindra Nath Mondal "/>
    <s v="Private Retailer"/>
    <s v="8900149235"/>
    <n v="3.0150000000000001"/>
    <n v="27"/>
    <x v="4"/>
    <m/>
    <s v="2026-03-31"/>
    <s v="281704"/>
    <s v="Maa Fertilizer"/>
    <s v="9800042039"/>
  </r>
  <r>
    <s v="RCF Import"/>
    <s v="Imp 10-26-26"/>
    <s v="WB"/>
    <x v="14"/>
    <s v="Nawda"/>
    <s v="User Not Mapped"/>
    <s v="User Not Mapped"/>
    <s v="User Not Mapped"/>
    <n v="257313"/>
    <s v="Taj Ali Mondal"/>
    <s v="Private Retailer"/>
    <s v="9732688378"/>
    <n v="12"/>
    <n v="82"/>
    <x v="2"/>
    <m/>
    <s v="2026-02-04"/>
    <s v="211642"/>
    <s v="M/s. D.K.Dutta and Co."/>
    <s v="7797341354"/>
  </r>
  <r>
    <s v="RCF Trombay"/>
    <s v="N.C.Urea(45kg)"/>
    <s v="WB"/>
    <x v="14"/>
    <s v="Nawda"/>
    <s v="User Not Mapped"/>
    <s v="User Not Mapped"/>
    <s v="User Not Mapped"/>
    <n v="257313"/>
    <s v="Taj Ali Mondal"/>
    <s v="Private Retailer"/>
    <s v="9732688378"/>
    <n v="9.99"/>
    <n v="89"/>
    <x v="2"/>
    <m/>
    <s v="2026-01-28"/>
    <s v="281704"/>
    <s v="Maa Fertilizer"/>
    <s v="9800042039"/>
  </r>
  <r>
    <s v="RCF Trombay"/>
    <s v="N.C.Urea(45kg)"/>
    <s v="WB"/>
    <x v="14"/>
    <s v="Nawda"/>
    <s v="User Not Mapped"/>
    <s v="User Not Mapped"/>
    <s v="User Not Mapped"/>
    <n v="257313"/>
    <s v="Taj Ali Mondal"/>
    <s v="Private Retailer"/>
    <s v="9732688378"/>
    <n v="7.9649999999999999"/>
    <n v="43"/>
    <x v="1"/>
    <m/>
    <s v="2026-03-15"/>
    <s v="211642"/>
    <s v="M/s. D.K.Dutta and Co."/>
    <s v="7797341354"/>
  </r>
  <r>
    <s v="RCF Trombay"/>
    <s v="15-15-15"/>
    <s v="WB"/>
    <x v="14"/>
    <s v="Nawda"/>
    <s v="User Not Mapped"/>
    <s v="User Not Mapped"/>
    <s v="User Not Mapped"/>
    <n v="257313"/>
    <s v="Taj Ali Mondal"/>
    <s v="Private Retailer"/>
    <s v="9732688378"/>
    <n v="8"/>
    <n v="34"/>
    <x v="1"/>
    <m/>
    <s v="2026-03-24"/>
    <s v="281704"/>
    <s v="Maa Fertilizer"/>
    <s v="9800042039"/>
  </r>
  <r>
    <s v="RCF Trombay"/>
    <s v="15-15-15"/>
    <s v="WB"/>
    <x v="14"/>
    <s v="Nawda"/>
    <s v="User Not Mapped"/>
    <s v="User Not Mapped"/>
    <s v="User Not Mapped"/>
    <n v="257313"/>
    <s v="Taj Ali Mondal"/>
    <s v="Private Retailer"/>
    <s v="9732688378"/>
    <n v="6.25"/>
    <n v="43"/>
    <x v="1"/>
    <m/>
    <s v="2026-03-15"/>
    <s v="211642"/>
    <s v="M/s. D.K.Dutta and Co."/>
    <s v="7797341354"/>
  </r>
  <r>
    <s v="RCF Trombay"/>
    <s v="N.C.Urea(45kg)"/>
    <s v="WB"/>
    <x v="14"/>
    <s v="Nawda"/>
    <s v="User Not Mapped"/>
    <s v="User Not Mapped"/>
    <s v="User Not Mapped"/>
    <n v="257313"/>
    <s v="Taj Ali Mondal"/>
    <s v="Private Retailer"/>
    <s v="9732688378"/>
    <n v="9.0449999999999999"/>
    <n v="90"/>
    <x v="2"/>
    <m/>
    <s v="2026-01-27"/>
    <s v="211642"/>
    <s v="M/s. D.K.Dutta and Co."/>
    <s v="7797341354"/>
  </r>
  <r>
    <s v="RCF Thal"/>
    <s v="N.C.Urea(45kg)"/>
    <s v="WB"/>
    <x v="14"/>
    <s v="Nawda"/>
    <s v="User Not Mapped"/>
    <s v="User Not Mapped"/>
    <s v="User Not Mapped"/>
    <n v="257313"/>
    <s v="Taj Ali Mondal"/>
    <s v="Private Retailer"/>
    <s v="9732688378"/>
    <n v="6.7949999999999999"/>
    <n v="48"/>
    <x v="1"/>
    <m/>
    <s v="2026-03-10"/>
    <s v="281704"/>
    <s v="Maa Fertilizer"/>
    <s v="9800042039"/>
  </r>
  <r>
    <s v="RCF Import"/>
    <s v="Imp 10-26-26"/>
    <s v="WB"/>
    <x v="14"/>
    <s v="Nawda"/>
    <s v="User Not Mapped"/>
    <s v="User Not Mapped"/>
    <s v="User Not Mapped"/>
    <n v="257313"/>
    <s v="Taj Ali Mondal"/>
    <s v="Private Retailer"/>
    <s v="9732688378"/>
    <n v="10"/>
    <n v="62"/>
    <x v="2"/>
    <m/>
    <s v="2026-02-24"/>
    <s v="281704"/>
    <s v="Maa Fertilizer"/>
    <s v="9800042039"/>
  </r>
  <r>
    <s v="RCF Thal"/>
    <s v="N.C.Urea(45kg)"/>
    <s v="WB"/>
    <x v="14"/>
    <s v="Nawda"/>
    <s v="User Not Mapped"/>
    <s v="User Not Mapped"/>
    <s v="User Not Mapped"/>
    <n v="269051"/>
    <s v="Faruk Biswas"/>
    <s v="Private Retailer"/>
    <s v="9735315594"/>
    <n v="1.98"/>
    <n v="164"/>
    <x v="0"/>
    <m/>
    <s v="2025-11-14"/>
    <s v="269139"/>
    <s v="Firoj Ali"/>
    <s v="9932787296"/>
  </r>
  <r>
    <s v="RCF Thal"/>
    <s v="N.C.Urea(45kg)"/>
    <s v="WB"/>
    <x v="14"/>
    <s v="Nawda"/>
    <s v="User Not Mapped"/>
    <s v="User Not Mapped"/>
    <s v="User Not Mapped"/>
    <n v="269051"/>
    <s v="Faruk Biswas"/>
    <s v="Private Retailer"/>
    <s v="9735315594"/>
    <n v="9.99"/>
    <n v="116"/>
    <x v="5"/>
    <m/>
    <s v="2026-01-01"/>
    <s v="280775"/>
    <s v="R A Kheria"/>
    <s v="9830290085"/>
  </r>
  <r>
    <s v="RCF Trombay"/>
    <s v="N.C.Urea(45kg)"/>
    <s v="WB"/>
    <x v="14"/>
    <s v="Nawda"/>
    <s v="User Not Mapped"/>
    <s v="User Not Mapped"/>
    <s v="User Not Mapped"/>
    <n v="269051"/>
    <s v="Faruk Biswas"/>
    <s v="Private Retailer"/>
    <s v="9735315594"/>
    <n v="6.39"/>
    <n v="84"/>
    <x v="2"/>
    <m/>
    <s v="2026-02-02"/>
    <s v="280775"/>
    <s v="R A Kheria"/>
    <s v="9830290085"/>
  </r>
  <r>
    <s v="RCF Trombay"/>
    <s v="15-15-15"/>
    <s v="WB"/>
    <x v="14"/>
    <s v="Nawda"/>
    <s v="User Not Mapped"/>
    <s v="User Not Mapped"/>
    <s v="User Not Mapped"/>
    <n v="280645"/>
    <s v="Sirajul Biswas"/>
    <s v="Private Retailer"/>
    <s v="9775200133"/>
    <n v="0.2"/>
    <n v="224"/>
    <x v="3"/>
    <m/>
    <s v="2025-09-15"/>
    <s v="1272718"/>
    <s v="MUKLESH BISWAS"/>
    <s v="9733941741"/>
  </r>
  <r>
    <s v="RCF Thal"/>
    <s v="N.C.Urea(45kg)"/>
    <s v="WB"/>
    <x v="14"/>
    <s v="Nawda"/>
    <s v="User Not Mapped"/>
    <s v="User Not Mapped"/>
    <s v="User Not Mapped"/>
    <n v="280645"/>
    <s v="Sirajul Biswas"/>
    <s v="Private Retailer"/>
    <s v="9775200133"/>
    <n v="9.5000000000000001E-2"/>
    <n v="409"/>
    <x v="6"/>
    <m/>
    <s v="2025-03-14"/>
    <s v="1272718"/>
    <s v="MUKLESH BISWAS"/>
    <s v="9733941741"/>
  </r>
  <r>
    <s v="RCF Trombay"/>
    <s v="15-15-15"/>
    <s v="WB"/>
    <x v="14"/>
    <s v="Nawda"/>
    <s v="User Not Mapped"/>
    <s v="User Not Mapped"/>
    <s v="User Not Mapped"/>
    <n v="471018"/>
    <s v="Mrityunjoy Mondal"/>
    <s v="Private Retailer"/>
    <s v="9733772359"/>
    <n v="2"/>
    <n v="183"/>
    <x v="3"/>
    <m/>
    <s v="2025-10-26"/>
    <s v="1223223"/>
    <s v="AKASH SAHIN"/>
    <s v="8944813733"/>
  </r>
  <r>
    <s v="RCF Thal"/>
    <s v="N.C.Urea(45kg)"/>
    <s v="WB"/>
    <x v="14"/>
    <s v="Nawda"/>
    <s v="User Not Mapped"/>
    <s v="User Not Mapped"/>
    <s v="User Not Mapped"/>
    <n v="497614"/>
    <s v="Rajjak Malitya"/>
    <s v="Private Retailer"/>
    <s v="9647661711"/>
    <n v="3.15"/>
    <n v="251"/>
    <x v="3"/>
    <m/>
    <s v="2025-08-19"/>
    <s v="223293"/>
    <s v="Bisanka Chandra Mondal And Son"/>
    <s v="9609521133"/>
  </r>
  <r>
    <s v="RCF Trombay"/>
    <s v="15-15-15"/>
    <s v="WB"/>
    <x v="14"/>
    <s v="Nawda"/>
    <s v="User Not Mapped"/>
    <s v="User Not Mapped"/>
    <s v="User Not Mapped"/>
    <n v="828491"/>
    <s v="NURIMAN SK"/>
    <s v="Private Retailer"/>
    <s v="9775227221"/>
    <n v="2.8"/>
    <n v="487"/>
    <x v="6"/>
    <m/>
    <s v="2024-12-26"/>
    <s v="1223223"/>
    <s v="AKASH SAHIN"/>
    <s v="8944813733"/>
  </r>
  <r>
    <s v="RCF Import"/>
    <s v="Imp 10-26-26"/>
    <s v="WB"/>
    <x v="14"/>
    <s v="Nawda"/>
    <s v="User Not Mapped"/>
    <s v="User Not Mapped"/>
    <s v="User Not Mapped"/>
    <n v="828491"/>
    <s v="NURIMAN SK"/>
    <s v="Private Retailer"/>
    <s v="9775227221"/>
    <n v="2.2000000000000002"/>
    <n v="487"/>
    <x v="6"/>
    <m/>
    <s v="2024-12-26"/>
    <s v="1223223"/>
    <s v="AKASH SAHIN"/>
    <s v="8944813733"/>
  </r>
  <r>
    <s v="RCF Thal"/>
    <s v="N.C.Urea(45kg)"/>
    <s v="WB"/>
    <x v="14"/>
    <s v="Nawda"/>
    <s v="User Not Mapped"/>
    <s v="User Not Mapped"/>
    <s v="User Not Mapped"/>
    <n v="879505"/>
    <s v="Manjarul sheikh"/>
    <s v="Private Retailer"/>
    <s v="8926606163"/>
    <n v="3.87"/>
    <n v="112"/>
    <x v="5"/>
    <m/>
    <s v="2026-01-05"/>
    <s v="223292"/>
    <s v="M/s. Gouri Sankar Mandal"/>
    <s v="7365965125"/>
  </r>
  <r>
    <s v="RCF Thal"/>
    <s v="N.C.Urea(45kg)"/>
    <s v="WB"/>
    <x v="14"/>
    <s v="Nawda"/>
    <s v="User Not Mapped"/>
    <s v="User Not Mapped"/>
    <s v="User Not Mapped"/>
    <n v="940578"/>
    <s v="Afajuddin Mondal"/>
    <s v="Private Retailer"/>
    <s v="9735358708"/>
    <n v="6.3449999999999998"/>
    <n v="111"/>
    <x v="5"/>
    <m/>
    <s v="2026-01-06"/>
    <s v="281704"/>
    <s v="Maa Fertilizer"/>
    <s v="9800042039"/>
  </r>
  <r>
    <s v="RCF Trombay"/>
    <s v="15-15-15"/>
    <s v="WB"/>
    <x v="14"/>
    <s v="Nawda"/>
    <s v="User Not Mapped"/>
    <s v="User Not Mapped"/>
    <s v="User Not Mapped"/>
    <n v="941136"/>
    <s v="Dipak Kumar Das"/>
    <s v="Private Retailer"/>
    <s v="8927414136"/>
    <n v="6"/>
    <n v="91"/>
    <x v="5"/>
    <m/>
    <s v="2026-01-26"/>
    <s v="289315"/>
    <s v="M/S Monoranjan Dey"/>
    <s v="9733893312"/>
  </r>
  <r>
    <s v="RCF Thal"/>
    <s v="N.C.Urea(45kg)"/>
    <s v="WB"/>
    <x v="14"/>
    <s v="Nawda"/>
    <s v="User Not Mapped"/>
    <s v="User Not Mapped"/>
    <s v="User Not Mapped"/>
    <n v="941901"/>
    <s v="Nikhil Biswas "/>
    <s v="Private Retailer"/>
    <s v="9932180634"/>
    <n v="2.1150000000000002"/>
    <n v="113"/>
    <x v="5"/>
    <m/>
    <s v="2026-01-04"/>
    <s v="1111397"/>
    <s v="M/s. Urbara"/>
    <s v="9126512188"/>
  </r>
  <r>
    <s v="RCF Thal"/>
    <s v="N.C.Urea(45kg)"/>
    <s v="WB"/>
    <x v="14"/>
    <s v="Nawda"/>
    <s v="User Not Mapped"/>
    <s v="User Not Mapped"/>
    <s v="User Not Mapped"/>
    <n v="1027310"/>
    <s v="MATIUR RAHAMAN MANDAL"/>
    <s v="Private Retailer"/>
    <s v="9153865825"/>
    <n v="3"/>
    <n v="251"/>
    <x v="3"/>
    <m/>
    <s v="2025-08-19"/>
    <s v="1272718"/>
    <s v="MUKLESH BISWAS"/>
    <s v="9733941741"/>
  </r>
  <r>
    <s v="RCF Thal"/>
    <s v="N.C.Urea(45kg)"/>
    <s v="WB"/>
    <x v="14"/>
    <s v="Nawda"/>
    <s v="User Not Mapped"/>
    <s v="User Not Mapped"/>
    <s v="User Not Mapped"/>
    <n v="1027314"/>
    <s v="USUF ALI MALITYA"/>
    <s v="Private Retailer"/>
    <s v="7601960516"/>
    <n v="2.3250000000000002"/>
    <n v="264"/>
    <x v="3"/>
    <m/>
    <s v="2025-08-06"/>
    <s v="1272718"/>
    <s v="MUKLESH BISWAS"/>
    <s v="9733941741"/>
  </r>
  <r>
    <s v="RCF Trombay"/>
    <s v="15-15-15"/>
    <s v="WB"/>
    <x v="14"/>
    <s v="Nawda"/>
    <s v="User Not Mapped"/>
    <s v="User Not Mapped"/>
    <s v="User Not Mapped"/>
    <n v="1027314"/>
    <s v="USUF ALI MALITYA"/>
    <s v="Private Retailer"/>
    <s v="7601960516"/>
    <n v="12"/>
    <n v="91"/>
    <x v="5"/>
    <m/>
    <s v="2026-01-26"/>
    <s v="289315"/>
    <s v="M/S Monoranjan Dey"/>
    <s v="9733893312"/>
  </r>
  <r>
    <s v="RCF Trombay"/>
    <s v="N.C.Urea(45kg)"/>
    <s v="WB"/>
    <x v="14"/>
    <s v="Nawda"/>
    <s v="User Not Mapped"/>
    <s v="User Not Mapped"/>
    <s v="User Not Mapped"/>
    <n v="1027314"/>
    <s v="USUF ALI MALITYA"/>
    <s v="Private Retailer"/>
    <s v="7601960516"/>
    <n v="6.66"/>
    <n v="91"/>
    <x v="5"/>
    <m/>
    <s v="2026-01-26"/>
    <s v="289315"/>
    <s v="M/S Monoranjan Dey"/>
    <s v="9733893312"/>
  </r>
  <r>
    <s v="RCF Thal"/>
    <s v="N.C.Urea(45kg)"/>
    <s v="WB"/>
    <x v="14"/>
    <s v="Nawda"/>
    <s v="User Not Mapped"/>
    <s v="User Not Mapped"/>
    <s v="User Not Mapped"/>
    <n v="1027314"/>
    <s v="USUF ALI MALITYA"/>
    <s v="Private Retailer"/>
    <s v="7601960516"/>
    <n v="9.99"/>
    <n v="119"/>
    <x v="5"/>
    <m/>
    <s v="2025-12-29"/>
    <s v="289315"/>
    <s v="M/S Monoranjan Dey"/>
    <s v="9733893312"/>
  </r>
  <r>
    <s v="RCF Trombay"/>
    <s v="15-15-15"/>
    <s v="WB"/>
    <x v="14"/>
    <s v="Nawda"/>
    <s v="User Not Mapped"/>
    <s v="User Not Mapped"/>
    <s v="User Not Mapped"/>
    <n v="1027314"/>
    <s v="USUF ALI MALITYA"/>
    <s v="Private Retailer"/>
    <s v="7601960516"/>
    <n v="10"/>
    <n v="46"/>
    <x v="1"/>
    <m/>
    <s v="2026-03-12"/>
    <s v="289315"/>
    <s v="M/S Monoranjan Dey"/>
    <s v="9733893312"/>
  </r>
  <r>
    <s v="RCF Trombay"/>
    <s v="N.C.Urea(45kg)"/>
    <s v="WB"/>
    <x v="14"/>
    <s v="Nawda"/>
    <s v="User Not Mapped"/>
    <s v="User Not Mapped"/>
    <s v="User Not Mapped"/>
    <n v="1027314"/>
    <s v="USUF ALI MALITYA"/>
    <s v="Private Retailer"/>
    <s v="7601960516"/>
    <n v="7.02"/>
    <n v="46"/>
    <x v="1"/>
    <m/>
    <s v="2026-03-12"/>
    <s v="289315"/>
    <s v="M/S Monoranjan Dey"/>
    <s v="9733893312"/>
  </r>
  <r>
    <s v="RCF Thal"/>
    <s v="N.C.Urea(45kg)"/>
    <s v="WB"/>
    <x v="14"/>
    <s v="Nawda"/>
    <s v="User Not Mapped"/>
    <s v="User Not Mapped"/>
    <s v="User Not Mapped"/>
    <n v="1027314"/>
    <s v="USUF ALI MALITYA"/>
    <s v="Private Retailer"/>
    <s v="7601960516"/>
    <n v="19.98"/>
    <n v="48"/>
    <x v="1"/>
    <m/>
    <s v="2026-03-10"/>
    <s v="289315"/>
    <s v="M/S Monoranjan Dey"/>
    <s v="9733893312"/>
  </r>
  <r>
    <s v="RCF Thal"/>
    <s v="N.C.Urea(45kg)"/>
    <s v="WB"/>
    <x v="14"/>
    <s v="Nawda"/>
    <s v="User Not Mapped"/>
    <s v="User Not Mapped"/>
    <s v="User Not Mapped"/>
    <n v="1029327"/>
    <s v="NURIL MIL NUR ALAM"/>
    <s v="Private Retailer"/>
    <s v="9064507391"/>
    <n v="1.4999999999999999E-2"/>
    <n v="412"/>
    <x v="6"/>
    <m/>
    <s v="2025-03-11"/>
    <s v="223293"/>
    <s v="Bisanka Chandra Mondal And Son"/>
    <s v="9609521133"/>
  </r>
  <r>
    <s v="RCF Thal"/>
    <s v="N.C.Urea(45kg)"/>
    <s v="WB"/>
    <x v="14"/>
    <s v="Nawda"/>
    <s v="User Not Mapped"/>
    <s v="User Not Mapped"/>
    <s v="User Not Mapped"/>
    <n v="1032056"/>
    <s v="Dinesh Kumar Biswas"/>
    <s v="Private Retailer"/>
    <s v="9932166980"/>
    <n v="3.5000000000000003E-2"/>
    <n v="177"/>
    <x v="0"/>
    <m/>
    <s v="2025-11-01"/>
    <s v="1111397"/>
    <s v="M/s. Urbara"/>
    <s v="9126512188"/>
  </r>
  <r>
    <s v="RCF Trombay"/>
    <s v="15-15-15"/>
    <s v="WB"/>
    <x v="14"/>
    <s v="Nawda"/>
    <s v="User Not Mapped"/>
    <s v="User Not Mapped"/>
    <s v="User Not Mapped"/>
    <n v="1187804"/>
    <s v="MONDAL FERTLIZER"/>
    <s v="Private Retailer"/>
    <s v="8145537003"/>
    <n v="7"/>
    <n v="6"/>
    <x v="4"/>
    <m/>
    <s v="2026-04-21"/>
    <s v="1223223"/>
    <s v="AKASH SAHIN"/>
    <s v="8944813733"/>
  </r>
  <r>
    <s v="RCF Trombay"/>
    <s v="15-15-15"/>
    <s v="WB"/>
    <x v="14"/>
    <s v="Nawda"/>
    <s v="User Not Mapped"/>
    <s v="User Not Mapped"/>
    <s v="User Not Mapped"/>
    <n v="1187804"/>
    <s v="MONDAL FERTLIZER"/>
    <s v="Private Retailer"/>
    <s v="8145537003"/>
    <n v="1.5"/>
    <n v="165"/>
    <x v="0"/>
    <m/>
    <s v="2025-11-13"/>
    <s v="1223223"/>
    <s v="AKASH SAHIN"/>
    <s v="8944813733"/>
  </r>
  <r>
    <s v="RCF Trombay"/>
    <s v="15-15-15"/>
    <s v="WB"/>
    <x v="14"/>
    <s v="Nawda"/>
    <s v="User Not Mapped"/>
    <s v="User Not Mapped"/>
    <s v="User Not Mapped"/>
    <n v="1249772"/>
    <s v="ASIF IKBAL "/>
    <s v="Private Retailer"/>
    <s v="8373007836"/>
    <n v="3"/>
    <n v="165"/>
    <x v="0"/>
    <m/>
    <s v="2025-11-13"/>
    <s v="1223223"/>
    <s v="AKASH SAHIN"/>
    <s v="8944813733"/>
  </r>
  <r>
    <s v="RCF Trombay"/>
    <s v="15-15-15"/>
    <s v="WB"/>
    <x v="14"/>
    <s v="Nawda"/>
    <s v="User Not Mapped"/>
    <s v="User Not Mapped"/>
    <s v="User Not Mapped"/>
    <n v="1286611"/>
    <s v="NUMAN KRISHI GHAR"/>
    <s v="Private Retailer"/>
    <s v="9734562696"/>
    <n v="0.35"/>
    <n v="338"/>
    <x v="3"/>
    <m/>
    <s v="2025-05-24"/>
    <s v="223292"/>
    <s v="M/s. Gouri Sankar Mandal"/>
    <s v="7365965125"/>
  </r>
  <r>
    <s v="RCF Import"/>
    <s v="Imp 10-26-26"/>
    <s v="WB"/>
    <x v="14"/>
    <s v="Nawda"/>
    <s v="User Not Mapped"/>
    <s v="User Not Mapped"/>
    <s v="User Not Mapped"/>
    <n v="1286904"/>
    <s v="SAJAMAL SHEIKH"/>
    <s v="Private Retailer"/>
    <s v="9734106174"/>
    <n v="10"/>
    <n v="150"/>
    <x v="0"/>
    <m/>
    <s v="2025-11-28"/>
    <s v="1377494"/>
    <s v="SELIM REJA SARDAR"/>
    <s v="9647284847"/>
  </r>
  <r>
    <s v="RCF Thal"/>
    <s v="N.C.Urea(45kg)"/>
    <s v="WB"/>
    <x v="14"/>
    <s v="Nawda"/>
    <s v="User Not Mapped"/>
    <s v="User Not Mapped"/>
    <s v="User Not Mapped"/>
    <n v="1292445"/>
    <s v="RIPON SK"/>
    <s v="Private Retailer"/>
    <s v="9647428373"/>
    <n v="0.255"/>
    <n v="251"/>
    <x v="3"/>
    <m/>
    <s v="2025-08-19"/>
    <s v="1272718"/>
    <s v="MUKLESH BISWAS"/>
    <s v="9733941741"/>
  </r>
  <r>
    <s v="RCF Import"/>
    <s v="Imp 10-26-26"/>
    <s v="WB"/>
    <x v="14"/>
    <s v="Nawda"/>
    <s v="User Not Mapped"/>
    <s v="User Not Mapped"/>
    <s v="User Not Mapped"/>
    <n v="1292445"/>
    <s v="RIPON SK"/>
    <s v="Private Retailer"/>
    <s v="9647428373"/>
    <n v="0.1"/>
    <n v="456"/>
    <x v="6"/>
    <m/>
    <s v="2025-01-26"/>
    <s v="1272718"/>
    <s v="MUKLESH BISWAS"/>
    <s v="9733941741"/>
  </r>
  <r>
    <s v="RCF Thal"/>
    <s v="N.C.Urea(45kg)"/>
    <s v="WB"/>
    <x v="14"/>
    <s v="Nawda"/>
    <s v="User Not Mapped"/>
    <s v="User Not Mapped"/>
    <s v="User Not Mapped"/>
    <n v="1298221"/>
    <s v="NARGIS KHATUN"/>
    <s v="Private Retailer"/>
    <s v="9609522366"/>
    <n v="0.02"/>
    <n v="409"/>
    <x v="6"/>
    <m/>
    <s v="2025-03-14"/>
    <s v="1272718"/>
    <s v="MUKLESH BISWAS"/>
    <s v="9733941741"/>
  </r>
  <r>
    <s v="RCF Trombay"/>
    <s v="15-15-15"/>
    <s v="WB"/>
    <x v="14"/>
    <s v="Nawda"/>
    <s v="User Not Mapped"/>
    <s v="User Not Mapped"/>
    <s v="User Not Mapped"/>
    <n v="1298257"/>
    <s v="NAJBUL SK"/>
    <s v="Private Retailer"/>
    <s v="8509495368"/>
    <n v="0.05"/>
    <n v="584"/>
    <x v="7"/>
    <m/>
    <s v="2024-09-20"/>
    <s v="1272718"/>
    <s v="MUKLESH BISWAS"/>
    <s v="9733941741"/>
  </r>
  <r>
    <s v="RCF Thal"/>
    <s v="N.C.Urea(45kg)"/>
    <s v="WB"/>
    <x v="14"/>
    <s v="Nawda"/>
    <s v="User Not Mapped"/>
    <s v="User Not Mapped"/>
    <s v="User Not Mapped"/>
    <n v="1298261"/>
    <s v="JAKIA KHATUN"/>
    <s v="Private Retailer"/>
    <s v="9735465985"/>
    <n v="2.16"/>
    <n v="112"/>
    <x v="5"/>
    <m/>
    <s v="2026-01-05"/>
    <s v="223292"/>
    <s v="M/s. Gouri Sankar Mandal"/>
    <s v="7365965125"/>
  </r>
  <r>
    <s v="RCF Trombay"/>
    <s v="15-15-15"/>
    <s v="WB"/>
    <x v="14"/>
    <s v="Nawda"/>
    <s v="User Not Mapped"/>
    <s v="User Not Mapped"/>
    <s v="User Not Mapped"/>
    <n v="1463832"/>
    <s v="MEHEBUL SK"/>
    <s v="Private Retailer"/>
    <s v="9732417837"/>
    <n v="8"/>
    <n v="6"/>
    <x v="4"/>
    <m/>
    <s v="2026-04-21"/>
    <s v="1223223"/>
    <s v="AKASH SAHIN"/>
    <s v="8944813733"/>
  </r>
  <r>
    <s v="RCF Trombay"/>
    <s v="N.C.Urea(45kg)"/>
    <s v="WB"/>
    <x v="14"/>
    <s v="Raghunathganj - I"/>
    <s v="User Not Mapped"/>
    <s v="User Not Mapped"/>
    <s v="User Not Mapped"/>
    <n v="226094"/>
    <s v="Golam Mustak Ahmed"/>
    <s v="Private Retailer"/>
    <s v="9732584898"/>
    <n v="3.33"/>
    <n v="42"/>
    <x v="1"/>
    <m/>
    <s v="2026-03-16"/>
    <s v="289309"/>
    <s v="Fatema Begam"/>
    <s v="9733510936"/>
  </r>
  <r>
    <s v="RCF Trombay"/>
    <s v="N.C.Urea(45kg)"/>
    <s v="WB"/>
    <x v="14"/>
    <s v="Raghunathganj - I"/>
    <s v="User Not Mapped"/>
    <s v="User Not Mapped"/>
    <s v="User Not Mapped"/>
    <n v="342012"/>
    <s v="Murselim Sekh"/>
    <s v="Private Retailer"/>
    <s v="9734526947"/>
    <n v="0.495"/>
    <n v="79"/>
    <x v="2"/>
    <m/>
    <s v="2026-02-07"/>
    <s v="223281"/>
    <s v="M/s. Padam Chand"/>
    <s v="9434009550"/>
  </r>
  <r>
    <s v="RCF Thal"/>
    <s v="N.C.Urea(45kg)"/>
    <s v="WB"/>
    <x v="14"/>
    <s v="Raghunathganj - I"/>
    <s v="User Not Mapped"/>
    <s v="User Not Mapped"/>
    <s v="User Not Mapped"/>
    <n v="342012"/>
    <s v="Murselim Sekh"/>
    <s v="Private Retailer"/>
    <s v="9734526947"/>
    <n v="1.125"/>
    <n v="45"/>
    <x v="1"/>
    <m/>
    <s v="2026-03-13"/>
    <s v="223281"/>
    <s v="M/s. Padam Chand"/>
    <s v="9434009550"/>
  </r>
  <r>
    <s v="RCF Thal"/>
    <s v="N.C.Urea(45kg)"/>
    <s v="WB"/>
    <x v="14"/>
    <s v="Raghunathganj - I"/>
    <s v="User Not Mapped"/>
    <s v="User Not Mapped"/>
    <s v="User Not Mapped"/>
    <n v="483162"/>
    <s v="Babulal Paul"/>
    <s v="Private Retailer"/>
    <s v="7407309046"/>
    <n v="4.7699999999999996"/>
    <n v="47"/>
    <x v="1"/>
    <m/>
    <s v="2026-03-11"/>
    <s v="223292"/>
    <s v="M/s. Gouri Sankar Mandal"/>
    <s v="7365965125"/>
  </r>
  <r>
    <s v="RCF Trombay"/>
    <s v="N.C.Urea(45kg)"/>
    <s v="WB"/>
    <x v="14"/>
    <s v="Raghunathganj - I"/>
    <s v="User Not Mapped"/>
    <s v="User Not Mapped"/>
    <s v="User Not Mapped"/>
    <n v="537852"/>
    <s v="Partha Pratim Dutta"/>
    <s v="Private Retailer"/>
    <s v="9733718753"/>
    <n v="4.9950000000000001"/>
    <n v="42"/>
    <x v="1"/>
    <m/>
    <s v="2026-03-16"/>
    <s v="289309"/>
    <s v="Fatema Begam"/>
    <s v="9733510936"/>
  </r>
  <r>
    <s v="RCF Import"/>
    <s v="Imp 10-26-26"/>
    <s v="WB"/>
    <x v="14"/>
    <s v="Raghunathganj - I"/>
    <s v="User Not Mapped"/>
    <s v="User Not Mapped"/>
    <s v="User Not Mapped"/>
    <n v="587024"/>
    <s v="ANANTA MONDAL"/>
    <s v="Private Retailer"/>
    <s v="9475678724"/>
    <n v="2"/>
    <n v="143"/>
    <x v="0"/>
    <m/>
    <s v="2025-12-05"/>
    <s v="223292"/>
    <s v="M/s. Gouri Sankar Mandal"/>
    <s v="7365965125"/>
  </r>
  <r>
    <s v="RCF Import"/>
    <s v="MOP"/>
    <s v="WB"/>
    <x v="14"/>
    <s v="Raghunathganj - I"/>
    <s v="User Not Mapped"/>
    <s v="User Not Mapped"/>
    <s v="User Not Mapped"/>
    <n v="587024"/>
    <s v="ANANTA MONDAL"/>
    <s v="Private Retailer"/>
    <s v="9475678724"/>
    <n v="0.35"/>
    <n v="474"/>
    <x v="6"/>
    <m/>
    <s v="2025-01-08"/>
    <s v="223292"/>
    <s v="M/s. Gouri Sankar Mandal"/>
    <s v="7365965125"/>
  </r>
  <r>
    <s v="RCF Thal"/>
    <s v="N.C.Urea(45kg)"/>
    <s v="WB"/>
    <x v="14"/>
    <s v="Raghunathganj - I"/>
    <s v="User Not Mapped"/>
    <s v="User Not Mapped"/>
    <s v="User Not Mapped"/>
    <n v="587024"/>
    <s v="ANANTA MONDAL"/>
    <s v="Private Retailer"/>
    <s v="9475678724"/>
    <n v="7.02"/>
    <n v="47"/>
    <x v="1"/>
    <m/>
    <s v="2026-03-11"/>
    <s v="223292"/>
    <s v="M/s. Gouri Sankar Mandal"/>
    <s v="7365965125"/>
  </r>
  <r>
    <s v="RCF Thal"/>
    <s v="N.C.Urea(45kg)"/>
    <s v="WB"/>
    <x v="14"/>
    <s v="Raghunathganj - I"/>
    <s v="User Not Mapped"/>
    <s v="User Not Mapped"/>
    <s v="User Not Mapped"/>
    <n v="640295"/>
    <s v="DAS KRISHI BHANDER"/>
    <s v="Private Retailer"/>
    <s v="7432807399"/>
    <n v="0.9"/>
    <n v="235"/>
    <x v="3"/>
    <m/>
    <s v="2025-09-04"/>
    <s v="281697"/>
    <s v="Md Samiruddin"/>
    <s v="7550808353"/>
  </r>
  <r>
    <s v="RCF Thal"/>
    <s v="N.C.Urea(45kg)"/>
    <s v="WB"/>
    <x v="14"/>
    <s v="Raghunathganj - I"/>
    <s v="User Not Mapped"/>
    <s v="User Not Mapped"/>
    <s v="User Not Mapped"/>
    <n v="656510"/>
    <s v="SAJU FERTILIZER"/>
    <s v="Private Retailer"/>
    <s v="8001600893"/>
    <n v="3.15"/>
    <n v="279"/>
    <x v="3"/>
    <m/>
    <s v="2025-07-22"/>
    <s v="281697"/>
    <s v="Md Samiruddin"/>
    <s v="7550808353"/>
  </r>
  <r>
    <s v="RCF Thal"/>
    <s v="N.C.Urea(45kg)"/>
    <s v="WB"/>
    <x v="14"/>
    <s v="Raghunathganj - I"/>
    <s v="User Not Mapped"/>
    <s v="User Not Mapped"/>
    <s v="User Not Mapped"/>
    <n v="854854"/>
    <s v="RAKIBUL ISLAM"/>
    <s v="Private Retailer"/>
    <s v="7797226213"/>
    <n v="7.02"/>
    <n v="46"/>
    <x v="1"/>
    <m/>
    <s v="2026-03-12"/>
    <s v="223285"/>
    <s v="M/s. Golam Kibria"/>
    <s v="8371889332"/>
  </r>
  <r>
    <s v="RCF Thal"/>
    <s v="N.C.Urea(45kg)"/>
    <s v="WB"/>
    <x v="14"/>
    <s v="Raghunathganj - I"/>
    <s v="User Not Mapped"/>
    <s v="User Not Mapped"/>
    <s v="User Not Mapped"/>
    <n v="869187"/>
    <s v="Sk Hasanuzzaman"/>
    <s v="Private Retailer"/>
    <s v="7872104580"/>
    <n v="2.97"/>
    <n v="46"/>
    <x v="1"/>
    <m/>
    <s v="2026-03-12"/>
    <s v="223285"/>
    <s v="M/s. Golam Kibria"/>
    <s v="8371889332"/>
  </r>
  <r>
    <s v="RCF Import"/>
    <s v="Imp 10-26-26"/>
    <s v="WB"/>
    <x v="14"/>
    <s v="Raghunathganj - I"/>
    <s v="User Not Mapped"/>
    <s v="User Not Mapped"/>
    <s v="User Not Mapped"/>
    <n v="869253"/>
    <s v="JANTA KRISHI BHANDAR"/>
    <s v="Private Retailer"/>
    <s v="8348854756"/>
    <n v="0.95"/>
    <n v="240"/>
    <x v="3"/>
    <m/>
    <s v="2025-08-30"/>
    <s v="223281"/>
    <s v="M/s. Padam Chand"/>
    <s v="9434009550"/>
  </r>
  <r>
    <s v="RCF Thal"/>
    <s v="N.C.Urea(45kg)"/>
    <s v="WB"/>
    <x v="14"/>
    <s v="Raghunathganj - I"/>
    <s v="User Not Mapped"/>
    <s v="User Not Mapped"/>
    <s v="User Not Mapped"/>
    <n v="869273"/>
    <s v="JOY DUTTA"/>
    <s v="Private Retailer"/>
    <s v="9474746169"/>
    <n v="0.81"/>
    <n v="234"/>
    <x v="3"/>
    <m/>
    <s v="2025-09-05"/>
    <s v="281697"/>
    <s v="Md Samiruddin"/>
    <s v="7550808353"/>
  </r>
  <r>
    <s v="RCF Trombay"/>
    <s v="N.C.Urea(45kg)"/>
    <s v="WB"/>
    <x v="14"/>
    <s v="Raghunathganj - I"/>
    <s v="User Not Mapped"/>
    <s v="User Not Mapped"/>
    <s v="User Not Mapped"/>
    <n v="1020911"/>
    <s v="MotaharHossain"/>
    <s v="Private Retailer"/>
    <s v="8348977181"/>
    <n v="3.2850000000000001"/>
    <n v="150"/>
    <x v="0"/>
    <m/>
    <s v="2025-11-28"/>
    <s v="289315"/>
    <s v="M/S Monoranjan Dey"/>
    <s v="9733893312"/>
  </r>
  <r>
    <s v="RCF Import"/>
    <s v="Imp 10-26-26"/>
    <s v="WB"/>
    <x v="14"/>
    <s v="Raghunathganj - I"/>
    <s v="User Not Mapped"/>
    <s v="User Not Mapped"/>
    <s v="User Not Mapped"/>
    <n v="1140302"/>
    <s v="SIMA DAS"/>
    <s v="Private Retailer"/>
    <s v="8972737440"/>
    <n v="2.5"/>
    <n v="38"/>
    <x v="1"/>
    <m/>
    <s v="2026-03-20"/>
    <s v="223292"/>
    <s v="M/s. Gouri Sankar Mandal"/>
    <s v="7365965125"/>
  </r>
  <r>
    <s v="RCF Trombay"/>
    <s v="N.C.Urea(45kg)"/>
    <s v="WB"/>
    <x v="14"/>
    <s v="Raghunathganj - I"/>
    <s v="User Not Mapped"/>
    <s v="User Not Mapped"/>
    <s v="User Not Mapped"/>
    <n v="1140302"/>
    <s v="SIMA DAS"/>
    <s v="Private Retailer"/>
    <s v="8972737440"/>
    <n v="6.0750000000000002"/>
    <n v="151"/>
    <x v="0"/>
    <m/>
    <s v="2025-11-27"/>
    <s v="223292"/>
    <s v="M/s. Gouri Sankar Mandal"/>
    <s v="7365965125"/>
  </r>
  <r>
    <s v="RCF Trombay"/>
    <s v="15-15-15"/>
    <s v="WB"/>
    <x v="14"/>
    <s v="Raghunathganj - I"/>
    <s v="User Not Mapped"/>
    <s v="User Not Mapped"/>
    <s v="User Not Mapped"/>
    <n v="1140302"/>
    <s v="SIMA DAS"/>
    <s v="Private Retailer"/>
    <s v="8972737440"/>
    <n v="2.75"/>
    <n v="38"/>
    <x v="1"/>
    <m/>
    <s v="2026-03-20"/>
    <s v="223292"/>
    <s v="M/s. Gouri Sankar Mandal"/>
    <s v="7365965125"/>
  </r>
  <r>
    <s v="RCF Import"/>
    <s v="MOP"/>
    <s v="WB"/>
    <x v="14"/>
    <s v="Raghunathganj - I"/>
    <s v="User Not Mapped"/>
    <s v="User Not Mapped"/>
    <s v="User Not Mapped"/>
    <n v="1140302"/>
    <s v="SIMA DAS"/>
    <s v="Private Retailer"/>
    <s v="8972737440"/>
    <n v="1.1499999999999999"/>
    <n v="215"/>
    <x v="3"/>
    <m/>
    <s v="2025-09-24"/>
    <s v="223292"/>
    <s v="M/s. Gouri Sankar Mandal"/>
    <s v="7365965125"/>
  </r>
  <r>
    <s v="RCF Thal"/>
    <s v="N.C.Urea(45kg)"/>
    <s v="WB"/>
    <x v="14"/>
    <s v="Raghunathganj - I"/>
    <s v="User Not Mapped"/>
    <s v="User Not Mapped"/>
    <s v="User Not Mapped"/>
    <n v="1320508"/>
    <s v="MD DARBESH ALI"/>
    <s v="Private Retailer"/>
    <s v="7602360766"/>
    <n v="5.3550000000000004"/>
    <n v="47"/>
    <x v="1"/>
    <m/>
    <s v="2026-03-11"/>
    <s v="223285"/>
    <s v="M/s. Golam Kibria"/>
    <s v="8371889332"/>
  </r>
  <r>
    <s v="RCF Trombay"/>
    <s v="N.C.Urea(45kg)"/>
    <s v="WB"/>
    <x v="14"/>
    <s v="Raghunathganj - II"/>
    <s v="User Not Mapped"/>
    <s v="User Not Mapped"/>
    <s v="User Not Mapped"/>
    <n v="289226"/>
    <s v="Md Yeasuddin Sk"/>
    <s v="Private Retailer"/>
    <s v="9732953932"/>
    <n v="4.2750000000000004"/>
    <n v="45"/>
    <x v="1"/>
    <m/>
    <s v="2026-03-13"/>
    <s v="281704"/>
    <s v="Maa Fertilizer"/>
    <s v="9800042039"/>
  </r>
  <r>
    <s v="RCF Trombay"/>
    <s v="N.C.Urea(45kg)"/>
    <s v="WB"/>
    <x v="14"/>
    <s v="Raghunathganj - II"/>
    <s v="User Not Mapped"/>
    <s v="User Not Mapped"/>
    <s v="User Not Mapped"/>
    <n v="480907"/>
    <s v="Mijanur Rahaman"/>
    <s v="Private Retailer"/>
    <s v="9733744732"/>
    <n v="9.99"/>
    <n v="90"/>
    <x v="2"/>
    <m/>
    <s v="2026-01-27"/>
    <s v="223293"/>
    <s v="Bisanka Chandra Mondal And Son"/>
    <s v="9609521133"/>
  </r>
  <r>
    <s v="RCF Thal"/>
    <s v="N.C.Urea(45kg)"/>
    <s v="WB"/>
    <x v="14"/>
    <s v="Raghunathganj - II"/>
    <s v="User Not Mapped"/>
    <s v="User Not Mapped"/>
    <s v="User Not Mapped"/>
    <n v="480907"/>
    <s v="Mijanur Rahaman"/>
    <s v="Private Retailer"/>
    <s v="9733744732"/>
    <n v="6.12"/>
    <n v="236"/>
    <x v="3"/>
    <m/>
    <s v="2025-09-03"/>
    <s v="281704"/>
    <s v="Maa Fertilizer"/>
    <s v="9800042039"/>
  </r>
  <r>
    <s v="RCF Import"/>
    <s v="Imp 10-26-26"/>
    <s v="WB"/>
    <x v="14"/>
    <s v="Raghunathganj - II"/>
    <s v="User Not Mapped"/>
    <s v="User Not Mapped"/>
    <s v="User Not Mapped"/>
    <n v="517683"/>
    <s v="Saiful Khan"/>
    <s v="Private Retailer"/>
    <s v="9732586075"/>
    <n v="0.25"/>
    <n v="131"/>
    <x v="0"/>
    <m/>
    <s v="2025-12-17"/>
    <s v="281704"/>
    <s v="Maa Fertilizer"/>
    <s v="9800042039"/>
  </r>
  <r>
    <s v="RCF Thal"/>
    <s v="N.C.Urea(45kg)"/>
    <s v="WB"/>
    <x v="14"/>
    <s v="Raghunathganj - II"/>
    <s v="User Not Mapped"/>
    <s v="User Not Mapped"/>
    <s v="User Not Mapped"/>
    <n v="999068"/>
    <s v="ASMA BEEJ BHANDAR"/>
    <s v="Private Retailer"/>
    <s v="8145189697"/>
    <n v="1.365"/>
    <n v="871"/>
    <x v="7"/>
    <m/>
    <s v="2023-12-08"/>
    <s v="281697"/>
    <s v="Md Samiruddin"/>
    <s v="7550808353"/>
  </r>
  <r>
    <s v="RCF Trombay"/>
    <s v="15-15-15"/>
    <s v="WB"/>
    <x v="14"/>
    <s v="Raghunathganj - II"/>
    <s v="User Not Mapped"/>
    <s v="User Not Mapped"/>
    <s v="User Not Mapped"/>
    <n v="999186"/>
    <s v="SANTANU SARKAR"/>
    <s v="Private Retailer"/>
    <s v="7797942076"/>
    <n v="1.95"/>
    <n v="1048"/>
    <x v="7"/>
    <m/>
    <s v="2023-06-14"/>
    <s v="1288378"/>
    <s v="MD ABDUL KHABIR"/>
    <s v="9734115502"/>
  </r>
  <r>
    <s v="RCF Import"/>
    <s v="MOP"/>
    <s v="WB"/>
    <x v="14"/>
    <s v="Raghunathganj - II"/>
    <s v="User Not Mapped"/>
    <s v="User Not Mapped"/>
    <s v="User Not Mapped"/>
    <n v="1475345"/>
    <s v="FULLTUSHI KRISHI GHAR"/>
    <s v="Private Retailer"/>
    <s v="8637547308"/>
    <n v="0.55000000000000004"/>
    <n v="481"/>
    <x v="6"/>
    <m/>
    <s v="2025-01-01"/>
    <s v="289310"/>
    <s v="Gopal Fertilizer"/>
    <s v="8170003423"/>
  </r>
  <r>
    <s v="RCF Trombay"/>
    <s v="N.C.Urea(45kg)"/>
    <s v="WB"/>
    <x v="14"/>
    <s v="Raninagar - I"/>
    <s v="User Not Mapped"/>
    <s v="User Not Mapped"/>
    <s v="User Not Mapped"/>
    <n v="235571"/>
    <s v="A.K.M. Tahiduzzaman"/>
    <s v="Private Retailer"/>
    <s v="9434393944"/>
    <n v="3.5550000000000002"/>
    <n v="44"/>
    <x v="1"/>
    <m/>
    <s v="2026-03-14"/>
    <s v="289315"/>
    <s v="M/S Monoranjan Dey"/>
    <s v="9733893312"/>
  </r>
  <r>
    <s v="RCF Trombay"/>
    <s v="15-15-15"/>
    <s v="WB"/>
    <x v="14"/>
    <s v="Raninagar - I"/>
    <s v="User Not Mapped"/>
    <s v="User Not Mapped"/>
    <s v="User Not Mapped"/>
    <n v="235571"/>
    <s v="A.K.M. Tahiduzzaman"/>
    <s v="Private Retailer"/>
    <s v="9434393944"/>
    <n v="4.2"/>
    <n v="44"/>
    <x v="1"/>
    <m/>
    <s v="2026-03-14"/>
    <s v="289315"/>
    <s v="M/S Monoranjan Dey"/>
    <s v="9733893312"/>
  </r>
  <r>
    <s v="RCF Trombay"/>
    <s v="15-15-15"/>
    <s v="WB"/>
    <x v="14"/>
    <s v="Raninagar - I"/>
    <s v="User Not Mapped"/>
    <s v="User Not Mapped"/>
    <s v="User Not Mapped"/>
    <n v="247527"/>
    <s v="Utpal Kumar Dutta"/>
    <s v="Private Retailer"/>
    <s v="9434173910"/>
    <n v="15"/>
    <n v="44"/>
    <x v="1"/>
    <m/>
    <s v="2026-03-14"/>
    <s v="289315"/>
    <s v="M/S Monoranjan Dey"/>
    <s v="9733893312"/>
  </r>
  <r>
    <s v="RCF Trombay"/>
    <s v="15-15-15"/>
    <s v="WB"/>
    <x v="14"/>
    <s v="Raninagar - I"/>
    <s v="User Not Mapped"/>
    <s v="User Not Mapped"/>
    <s v="User Not Mapped"/>
    <n v="270542"/>
    <s v="Soumendra Nath Saha"/>
    <s v="Private Retailer"/>
    <s v="7699547814"/>
    <n v="25"/>
    <n v="21"/>
    <x v="4"/>
    <m/>
    <s v="2026-04-06"/>
    <s v="223285"/>
    <s v="M/s. Golam Kibria"/>
    <s v="8371889332"/>
  </r>
  <r>
    <s v="RCF Import"/>
    <s v="Imp 10-26-26"/>
    <s v="WB"/>
    <x v="14"/>
    <s v="Raninagar - I"/>
    <s v="User Not Mapped"/>
    <s v="User Not Mapped"/>
    <s v="User Not Mapped"/>
    <n v="289144"/>
    <s v="Abdur Rahaman"/>
    <s v="Private Retailer"/>
    <s v="9734311532"/>
    <n v="4"/>
    <n v="46"/>
    <x v="1"/>
    <m/>
    <s v="2026-03-12"/>
    <s v="223293"/>
    <s v="Bisanka Chandra Mondal And Son"/>
    <s v="9609521133"/>
  </r>
  <r>
    <s v="RCF Trombay"/>
    <s v="15-15-15"/>
    <s v="WB"/>
    <x v="14"/>
    <s v="Raninagar - I"/>
    <s v="User Not Mapped"/>
    <s v="User Not Mapped"/>
    <s v="User Not Mapped"/>
    <n v="341520"/>
    <s v="Jahiruddin Sk"/>
    <s v="Private Retailer"/>
    <s v="9647138309"/>
    <n v="1.9750000000000001"/>
    <n v="44"/>
    <x v="1"/>
    <m/>
    <s v="2026-03-14"/>
    <s v="289315"/>
    <s v="M/S Monoranjan Dey"/>
    <s v="9733893312"/>
  </r>
  <r>
    <s v="RCF Trombay"/>
    <s v="N.C.Urea(45kg)"/>
    <s v="WB"/>
    <x v="14"/>
    <s v="Raninagar - I"/>
    <s v="User Not Mapped"/>
    <s v="User Not Mapped"/>
    <s v="User Not Mapped"/>
    <n v="342118"/>
    <s v="Nitish Kumar  Mondal"/>
    <s v="Private Retailer"/>
    <s v="9153910792"/>
    <n v="0.28999999999999998"/>
    <n v="90"/>
    <x v="2"/>
    <m/>
    <s v="2026-01-27"/>
    <s v="289310"/>
    <s v="Gopal Fertilizer"/>
    <s v="8170003423"/>
  </r>
  <r>
    <s v="RCF Trombay"/>
    <s v="15-15-15"/>
    <s v="WB"/>
    <x v="14"/>
    <s v="Raninagar - I"/>
    <s v="User Not Mapped"/>
    <s v="User Not Mapped"/>
    <s v="User Not Mapped"/>
    <n v="342118"/>
    <s v="Nitish Kumar  Mondal"/>
    <s v="Private Retailer"/>
    <s v="9153910792"/>
    <n v="2.5"/>
    <n v="90"/>
    <x v="2"/>
    <m/>
    <s v="2026-01-27"/>
    <s v="289310"/>
    <s v="Gopal Fertilizer"/>
    <s v="8170003423"/>
  </r>
  <r>
    <s v="RCF Thal"/>
    <s v="N.C.Urea(45kg)"/>
    <s v="WB"/>
    <x v="14"/>
    <s v="Raninagar - I"/>
    <s v="User Not Mapped"/>
    <s v="User Not Mapped"/>
    <s v="User Not Mapped"/>
    <n v="459658"/>
    <s v="Harendra Nath Mondal"/>
    <s v="Private Retailer"/>
    <s v="7029969108"/>
    <n v="1.62"/>
    <n v="49"/>
    <x v="1"/>
    <m/>
    <s v="2026-03-09"/>
    <s v="289310"/>
    <s v="Gopal Fertilizer"/>
    <s v="8170003423"/>
  </r>
  <r>
    <s v="RCF Trombay"/>
    <s v="15-15-15"/>
    <s v="WB"/>
    <x v="14"/>
    <s v="Raninagar - I"/>
    <s v="User Not Mapped"/>
    <s v="User Not Mapped"/>
    <s v="User Not Mapped"/>
    <n v="491475"/>
    <s v="Sariful Islam"/>
    <s v="Private Retailer"/>
    <s v="8001097836"/>
    <n v="3"/>
    <n v="46"/>
    <x v="1"/>
    <m/>
    <s v="2026-03-12"/>
    <s v="223293"/>
    <s v="Bisanka Chandra Mondal And Son"/>
    <s v="9609521133"/>
  </r>
  <r>
    <s v="RCF Trombay"/>
    <s v="15-15-15"/>
    <s v="WB"/>
    <x v="14"/>
    <s v="Raninagar - I"/>
    <s v="User Not Mapped"/>
    <s v="User Not Mapped"/>
    <s v="User Not Mapped"/>
    <n v="499579"/>
    <s v="Merajul Islam"/>
    <s v="Private Retailer"/>
    <s v="8768362937"/>
    <n v="1.95"/>
    <n v="40"/>
    <x v="1"/>
    <m/>
    <s v="2026-03-18"/>
    <s v="289319"/>
    <s v="Utpal Kumar Dutta"/>
    <s v="9434173910"/>
  </r>
  <r>
    <s v="RCF Trombay"/>
    <s v="15-15-15"/>
    <s v="WB"/>
    <x v="14"/>
    <s v="Raninagar - I"/>
    <s v="User Not Mapped"/>
    <s v="User Not Mapped"/>
    <s v="User Not Mapped"/>
    <n v="549876"/>
    <s v="Mihir Mandal"/>
    <s v="Private Retailer"/>
    <s v="9775809486"/>
    <n v="3.8"/>
    <n v="46"/>
    <x v="1"/>
    <m/>
    <s v="2026-03-12"/>
    <s v="223293"/>
    <s v="Bisanka Chandra Mondal And Son"/>
    <s v="9609521133"/>
  </r>
  <r>
    <s v="RCF Thal"/>
    <s v="N.C.Urea(45kg)"/>
    <s v="WB"/>
    <x v="14"/>
    <s v="Raninagar - I"/>
    <s v="User Not Mapped"/>
    <s v="User Not Mapped"/>
    <s v="User Not Mapped"/>
    <n v="618196"/>
    <s v="SUDIPTO SARKAR"/>
    <s v="Private Retailer"/>
    <s v="9153928208"/>
    <n v="9.99"/>
    <n v="47"/>
    <x v="1"/>
    <m/>
    <s v="2026-03-11"/>
    <s v="281704"/>
    <s v="Maa Fertilizer"/>
    <s v="9800042039"/>
  </r>
  <r>
    <s v="RCF Trombay"/>
    <s v="15-15-15"/>
    <s v="WB"/>
    <x v="14"/>
    <s v="Raninagar - I"/>
    <s v="User Not Mapped"/>
    <s v="User Not Mapped"/>
    <s v="User Not Mapped"/>
    <n v="618196"/>
    <s v="SUDIPTO SARKAR"/>
    <s v="Private Retailer"/>
    <s v="9153928208"/>
    <n v="0.6"/>
    <n v="89"/>
    <x v="2"/>
    <m/>
    <s v="2026-01-28"/>
    <s v="223292"/>
    <s v="M/s. Gouri Sankar Mandal"/>
    <s v="7365965125"/>
  </r>
  <r>
    <s v="RCF Trombay"/>
    <s v="15-15-15"/>
    <s v="WB"/>
    <x v="14"/>
    <s v="Raninagar - I"/>
    <s v="User Not Mapped"/>
    <s v="User Not Mapped"/>
    <s v="User Not Mapped"/>
    <n v="951093"/>
    <s v="NUR ISLAM SAIKH"/>
    <s v="Private Retailer"/>
    <s v="9647396107"/>
    <n v="1"/>
    <n v="260"/>
    <x v="3"/>
    <m/>
    <s v="2025-08-10"/>
    <s v="596479"/>
    <s v="M/S RANA FERTILISERS STORES"/>
    <s v="8350079945"/>
  </r>
  <r>
    <s v="RCF Trombay"/>
    <s v="N.C.Urea(45kg)"/>
    <s v="WB"/>
    <x v="14"/>
    <s v="Raninagar - I"/>
    <s v="User Not Mapped"/>
    <s v="User Not Mapped"/>
    <s v="User Not Mapped"/>
    <n v="1059670"/>
    <s v="M/S MOMOTAZ BIBI"/>
    <s v="Private Retailer"/>
    <s v="8967674381"/>
    <n v="0.01"/>
    <n v="1070"/>
    <x v="7"/>
    <m/>
    <s v="2023-05-23"/>
    <s v="1098131"/>
    <s v="RABIUL-HOQUE"/>
    <s v="7477374559"/>
  </r>
  <r>
    <s v="RCF Thal"/>
    <s v="N.C.Urea(45kg)"/>
    <s v="WB"/>
    <x v="14"/>
    <s v="Raninagar - I"/>
    <s v="User Not Mapped"/>
    <s v="User Not Mapped"/>
    <s v="User Not Mapped"/>
    <n v="1266903"/>
    <s v="MONIENDIR FERTILIZER"/>
    <s v="Private Retailer"/>
    <s v="9775682321"/>
    <n v="0.72"/>
    <n v="104"/>
    <x v="5"/>
    <m/>
    <s v="2026-01-13"/>
    <s v="1225743"/>
    <s v="MS BISWAS FERTILIZER"/>
    <s v="9735978597"/>
  </r>
  <r>
    <s v="RCF Thal"/>
    <s v="N.C.Urea(45kg)"/>
    <s v="WB"/>
    <x v="14"/>
    <s v="Raninagar - I"/>
    <s v="User Not Mapped"/>
    <s v="User Not Mapped"/>
    <s v="User Not Mapped"/>
    <n v="1266903"/>
    <s v="MONIENDIR FERTILIZER"/>
    <s v="Private Retailer"/>
    <s v="9775682321"/>
    <n v="14.04"/>
    <n v="44"/>
    <x v="1"/>
    <m/>
    <s v="2026-03-14"/>
    <s v="1225743"/>
    <s v="MS BISWAS FERTILIZER"/>
    <s v="9735978597"/>
  </r>
  <r>
    <s v="RCF Trombay"/>
    <s v="15-15-15"/>
    <s v="WB"/>
    <x v="14"/>
    <s v="Raninagar - II"/>
    <s v="User Not Mapped"/>
    <s v="User Not Mapped"/>
    <s v="User Not Mapped"/>
    <n v="270472"/>
    <s v="Mainul Islam"/>
    <s v="Private Retailer"/>
    <s v="9735936571"/>
    <n v="4.4000000000000004"/>
    <n v="1308"/>
    <x v="7"/>
    <m/>
    <s v="2022-09-27"/>
    <s v="599997"/>
    <s v="RADHA MADHAB FERTILISER"/>
    <s v="8170003423"/>
  </r>
  <r>
    <s v="RCF Thal"/>
    <s v="N.C.Urea(45kg)"/>
    <s v="WB"/>
    <x v="14"/>
    <s v="Raninagar - II"/>
    <s v="User Not Mapped"/>
    <s v="User Not Mapped"/>
    <s v="User Not Mapped"/>
    <n v="281081"/>
    <s v="Azizur Rahaman "/>
    <s v="State Marketing Federation"/>
    <s v="9735325352"/>
    <n v="5.94"/>
    <n v="119"/>
    <x v="5"/>
    <m/>
    <s v="2025-12-29"/>
    <s v="223285"/>
    <s v="M/s. Golam Kibria"/>
    <s v="8371889332"/>
  </r>
  <r>
    <s v="RCF Trombay"/>
    <s v="15-15-15"/>
    <s v="WB"/>
    <x v="14"/>
    <s v="Raninagar - II"/>
    <s v="User Not Mapped"/>
    <s v="User Not Mapped"/>
    <s v="User Not Mapped"/>
    <n v="281081"/>
    <s v="Azizur Rahaman "/>
    <s v="State Marketing Federation"/>
    <s v="9735325352"/>
    <n v="1"/>
    <n v="91"/>
    <x v="5"/>
    <m/>
    <s v="2026-01-26"/>
    <s v="223285"/>
    <s v="M/s. Golam Kibria"/>
    <s v="8371889332"/>
  </r>
  <r>
    <s v="RCF Import"/>
    <s v="Imp 10-26-26"/>
    <s v="WB"/>
    <x v="14"/>
    <s v="Raninagar - II"/>
    <s v="User Not Mapped"/>
    <s v="User Not Mapped"/>
    <s v="User Not Mapped"/>
    <n v="281081"/>
    <s v="Azizur Rahaman "/>
    <s v="State Marketing Federation"/>
    <s v="9735325352"/>
    <n v="7"/>
    <n v="35"/>
    <x v="1"/>
    <m/>
    <s v="2026-03-23"/>
    <s v="223285"/>
    <s v="M/s. Golam Kibria"/>
    <s v="8371889332"/>
  </r>
  <r>
    <s v="RCF Trombay"/>
    <s v="15-15-15"/>
    <s v="WB"/>
    <x v="14"/>
    <s v="Raninagar - II"/>
    <s v="User Not Mapped"/>
    <s v="User Not Mapped"/>
    <s v="User Not Mapped"/>
    <n v="281081"/>
    <s v="Azizur Rahaman "/>
    <s v="State Marketing Federation"/>
    <s v="9735325352"/>
    <n v="1E-3"/>
    <n v="156"/>
    <x v="0"/>
    <m/>
    <s v="2025-11-22"/>
    <s v="223285"/>
    <s v="M/s. Golam Kibria"/>
    <s v="8371889332"/>
  </r>
  <r>
    <s v="RCF Trombay"/>
    <s v="N.C.Urea(45kg)"/>
    <s v="WB"/>
    <x v="14"/>
    <s v="Raninagar - II"/>
    <s v="User Not Mapped"/>
    <s v="User Not Mapped"/>
    <s v="User Not Mapped"/>
    <n v="281081"/>
    <s v="Azizur Rahaman "/>
    <s v="State Marketing Federation"/>
    <s v="9735325352"/>
    <n v="5.9850000000000003"/>
    <n v="91"/>
    <x v="5"/>
    <m/>
    <s v="2026-01-26"/>
    <s v="223285"/>
    <s v="M/s. Golam Kibria"/>
    <s v="8371889332"/>
  </r>
  <r>
    <s v="RCF Trombay"/>
    <s v="N.C.Urea(45kg)"/>
    <s v="WB"/>
    <x v="14"/>
    <s v="Raninagar - II"/>
    <s v="User Not Mapped"/>
    <s v="User Not Mapped"/>
    <s v="User Not Mapped"/>
    <n v="281540"/>
    <s v="Abdul Jabbar"/>
    <s v="Private Retailer"/>
    <s v="9734170950"/>
    <n v="4.8600000000000003"/>
    <n v="40"/>
    <x v="1"/>
    <m/>
    <s v="2026-03-18"/>
    <s v="1138964"/>
    <s v="RAKESH FERTILIZER"/>
    <s v="9733026828"/>
  </r>
  <r>
    <s v="RCF Trombay"/>
    <s v="15-15-15"/>
    <s v="WB"/>
    <x v="14"/>
    <s v="Raninagar - II"/>
    <s v="User Not Mapped"/>
    <s v="User Not Mapped"/>
    <s v="User Not Mapped"/>
    <n v="289185"/>
    <s v="Emdadul Hoque"/>
    <s v="Private Retailer"/>
    <s v="9434534501"/>
    <n v="6.1"/>
    <n v="40"/>
    <x v="1"/>
    <m/>
    <s v="2026-03-18"/>
    <s v="1138964"/>
    <s v="RAKESH FERTILIZER"/>
    <s v="9733026828"/>
  </r>
  <r>
    <s v="RCF Thal"/>
    <s v="N.C.Urea(45kg)"/>
    <s v="WB"/>
    <x v="14"/>
    <s v="Raninagar - II"/>
    <s v="User Not Mapped"/>
    <s v="User Not Mapped"/>
    <s v="User Not Mapped"/>
    <n v="340811"/>
    <s v="Anarul Islam"/>
    <s v="Private Retailer"/>
    <s v="9732770288"/>
    <n v="3.42"/>
    <n v="47"/>
    <x v="1"/>
    <m/>
    <s v="2026-03-11"/>
    <s v="280775"/>
    <s v="R A Kheria"/>
    <s v="9830290085"/>
  </r>
  <r>
    <s v="RCF Trombay"/>
    <s v="15-15-15"/>
    <s v="WB"/>
    <x v="14"/>
    <s v="Raninagar - II"/>
    <s v="User Not Mapped"/>
    <s v="User Not Mapped"/>
    <s v="User Not Mapped"/>
    <n v="340811"/>
    <s v="Anarul Islam"/>
    <s v="Private Retailer"/>
    <s v="9732770288"/>
    <n v="3.5"/>
    <n v="155"/>
    <x v="0"/>
    <m/>
    <s v="2025-11-23"/>
    <s v="280775"/>
    <s v="R A Kheria"/>
    <s v="9830290085"/>
  </r>
  <r>
    <s v="RCF Trombay"/>
    <s v="15-15-15"/>
    <s v="WB"/>
    <x v="14"/>
    <s v="Raninagar - II"/>
    <s v="User Not Mapped"/>
    <s v="User Not Mapped"/>
    <s v="User Not Mapped"/>
    <n v="462565"/>
    <s v="Alauddin Sk"/>
    <s v="Private Retailer"/>
    <s v="9732664445"/>
    <n v="6.3"/>
    <n v="153"/>
    <x v="0"/>
    <m/>
    <s v="2025-11-25"/>
    <s v="281704"/>
    <s v="Maa Fertilizer"/>
    <s v="9800042039"/>
  </r>
  <r>
    <s v="RCF Trombay"/>
    <s v="15-15-15"/>
    <s v="WB"/>
    <x v="14"/>
    <s v="Raninagar - II"/>
    <s v="User Not Mapped"/>
    <s v="User Not Mapped"/>
    <s v="User Not Mapped"/>
    <n v="668528"/>
    <s v="MOZAMMEL HAQUE"/>
    <s v="Private Retailer"/>
    <s v="9093601414"/>
    <n v="0.35"/>
    <n v="711"/>
    <x v="7"/>
    <m/>
    <s v="2024-05-16"/>
    <s v="223285"/>
    <s v="M/s. Golam Kibria"/>
    <s v="8371889332"/>
  </r>
  <r>
    <s v="RCF Thal"/>
    <s v="N.C.Urea(45kg)"/>
    <s v="WB"/>
    <x v="14"/>
    <s v="Raninagar - II"/>
    <s v="User Not Mapped"/>
    <s v="User Not Mapped"/>
    <s v="User Not Mapped"/>
    <n v="735494"/>
    <s v="NRIPENDRA NATH MONDAL"/>
    <s v="Private Retailer"/>
    <s v="9732917409"/>
    <n v="8.19"/>
    <n v="48"/>
    <x v="1"/>
    <m/>
    <s v="2026-03-10"/>
    <s v="223293"/>
    <s v="Bisanka Chandra Mondal And Son"/>
    <s v="9609521133"/>
  </r>
  <r>
    <s v="RCF Trombay"/>
    <s v="N.C.Urea(45kg)"/>
    <s v="WB"/>
    <x v="14"/>
    <s v="Raninagar - II"/>
    <s v="User Not Mapped"/>
    <s v="User Not Mapped"/>
    <s v="User Not Mapped"/>
    <n v="1395256"/>
    <s v="JISAN FERTILIZER"/>
    <s v="Private Retailer"/>
    <s v="7076163815"/>
    <n v="3.06"/>
    <n v="46"/>
    <x v="1"/>
    <m/>
    <s v="2026-03-12"/>
    <s v="289315"/>
    <s v="M/S Monoranjan Dey"/>
    <s v="9733893312"/>
  </r>
  <r>
    <s v="RCF Trombay"/>
    <s v="15-15-15"/>
    <s v="WB"/>
    <x v="14"/>
    <s v="Raninagar - II"/>
    <s v="User Not Mapped"/>
    <s v="User Not Mapped"/>
    <s v="User Not Mapped"/>
    <n v="1395256"/>
    <s v="JISAN FERTILIZER"/>
    <s v="Private Retailer"/>
    <s v="7076163815"/>
    <n v="0.75"/>
    <n v="91"/>
    <x v="5"/>
    <m/>
    <s v="2026-01-26"/>
    <s v="289315"/>
    <s v="M/S Monoranjan Dey"/>
    <s v="9733893312"/>
  </r>
  <r>
    <s v="RCF Trombay"/>
    <s v="N.C.Urea(45kg)"/>
    <s v="WB"/>
    <x v="14"/>
    <s v="Raninagar - II"/>
    <s v="User Not Mapped"/>
    <s v="User Not Mapped"/>
    <s v="User Not Mapped"/>
    <n v="1395256"/>
    <s v="JISAN FERTILIZER"/>
    <s v="Private Retailer"/>
    <s v="7076163815"/>
    <n v="5.22"/>
    <n v="91"/>
    <x v="5"/>
    <m/>
    <s v="2026-01-26"/>
    <s v="289315"/>
    <s v="M/S Monoranjan Dey"/>
    <s v="9733893312"/>
  </r>
  <r>
    <s v="RCF Trombay"/>
    <s v="15-15-15"/>
    <s v="WB"/>
    <x v="14"/>
    <s v="Raninagar - II"/>
    <s v="User Not Mapped"/>
    <s v="User Not Mapped"/>
    <s v="User Not Mapped"/>
    <n v="1395256"/>
    <s v="JISAN FERTILIZER"/>
    <s v="Private Retailer"/>
    <s v="7076163815"/>
    <n v="7"/>
    <n v="46"/>
    <x v="1"/>
    <m/>
    <s v="2026-03-12"/>
    <s v="289315"/>
    <s v="M/S Monoranjan Dey"/>
    <s v="9733893312"/>
  </r>
  <r>
    <s v="RCF Thal"/>
    <s v="N.C.Urea(45kg)"/>
    <s v="WB"/>
    <x v="14"/>
    <s v="Raninagar - II"/>
    <s v="User Not Mapped"/>
    <s v="User Not Mapped"/>
    <s v="User Not Mapped"/>
    <n v="1395256"/>
    <s v="JISAN FERTILIZER"/>
    <s v="Private Retailer"/>
    <s v="7076163815"/>
    <n v="3.87"/>
    <n v="48"/>
    <x v="1"/>
    <m/>
    <s v="2026-03-10"/>
    <s v="289315"/>
    <s v="M/S Monoranjan Dey"/>
    <s v="9733893312"/>
  </r>
  <r>
    <s v="RCF Trombay"/>
    <s v="15-15-15"/>
    <s v="WB"/>
    <x v="14"/>
    <s v="Raninagar - II"/>
    <s v="User Not Mapped"/>
    <s v="User Not Mapped"/>
    <s v="User Not Mapped"/>
    <n v="1445527"/>
    <s v="RAKESH FERTILIZER"/>
    <s v="Private Retailer"/>
    <s v="9733026828"/>
    <n v="72.25"/>
    <n v="12"/>
    <x v="4"/>
    <m/>
    <s v="2026-04-15"/>
    <s v="1138964"/>
    <s v="RAKESH FERTILIZER"/>
    <s v="9733026828"/>
  </r>
  <r>
    <s v="RCF Trombay"/>
    <s v="N.C.Urea(45kg)"/>
    <s v="WB"/>
    <x v="14"/>
    <s v="Raninagar - II"/>
    <s v="User Not Mapped"/>
    <s v="User Not Mapped"/>
    <s v="User Not Mapped"/>
    <n v="1445527"/>
    <s v="RAKESH FERTILIZER"/>
    <s v="Private Retailer"/>
    <s v="9733026828"/>
    <n v="19.215"/>
    <n v="23"/>
    <x v="4"/>
    <m/>
    <s v="2026-04-04"/>
    <s v="1138964"/>
    <s v="RAKESH FERTILIZER"/>
    <s v="9733026828"/>
  </r>
  <r>
    <s v="RCF Trombay"/>
    <s v="15-15-15"/>
    <s v="WB"/>
    <x v="14"/>
    <s v="Raninagar - II"/>
    <s v="User Not Mapped"/>
    <s v="User Not Mapped"/>
    <s v="User Not Mapped"/>
    <n v="1484105"/>
    <s v="A N AGRO CARE"/>
    <s v="Private Retailer"/>
    <s v="9733068802"/>
    <n v="5"/>
    <n v="154"/>
    <x v="0"/>
    <m/>
    <s v="2025-11-24"/>
    <s v="223292"/>
    <s v="M/s. Gouri Sankar Mandal"/>
    <s v="7365965125"/>
  </r>
  <r>
    <s v="RCF Thal"/>
    <s v="N.C.Urea(45kg)"/>
    <s v="WB"/>
    <x v="14"/>
    <s v="Sagardighi"/>
    <s v="User Not Mapped"/>
    <s v="User Not Mapped"/>
    <s v="User Not Mapped"/>
    <n v="235587"/>
    <s v="Asraf Ali"/>
    <s v="Private Retailer"/>
    <s v="9733694045"/>
    <n v="1.79"/>
    <n v="46"/>
    <x v="1"/>
    <m/>
    <s v="2026-03-12"/>
    <s v="289309"/>
    <s v="Fatema Begam"/>
    <s v="9733510936"/>
  </r>
  <r>
    <s v="RCF Import"/>
    <s v="Imp 10-26-26"/>
    <s v="WB"/>
    <x v="14"/>
    <s v="Sagardighi"/>
    <s v="User Not Mapped"/>
    <s v="User Not Mapped"/>
    <s v="User Not Mapped"/>
    <n v="235740"/>
    <s v="M/S Hari Kishan Bhakat"/>
    <s v="Private Retailer"/>
    <s v="8158975209"/>
    <n v="10"/>
    <n v="75"/>
    <x v="2"/>
    <m/>
    <s v="2026-02-11"/>
    <s v="289315"/>
    <s v="M/S Monoranjan Dey"/>
    <s v="9733893312"/>
  </r>
  <r>
    <s v="RCF Thal"/>
    <s v="N.C.Urea(45kg)"/>
    <s v="WB"/>
    <x v="14"/>
    <s v="Sagardighi"/>
    <s v="User Not Mapped"/>
    <s v="User Not Mapped"/>
    <s v="User Not Mapped"/>
    <n v="252249"/>
    <s v="Badaruddin Ahmed"/>
    <s v="Private Retailer"/>
    <s v="9002518466"/>
    <n v="0.27"/>
    <n v="235"/>
    <x v="3"/>
    <m/>
    <s v="2025-09-04"/>
    <s v="281687"/>
    <s v="Tapash  Kr Das"/>
    <s v="9064408878"/>
  </r>
  <r>
    <s v="RCF Trombay"/>
    <s v="N.C.Urea(45kg)"/>
    <s v="WB"/>
    <x v="14"/>
    <s v="Sagardighi"/>
    <s v="User Not Mapped"/>
    <s v="User Not Mapped"/>
    <s v="User Not Mapped"/>
    <n v="252249"/>
    <s v="Badaruddin Ahmed"/>
    <s v="Private Retailer"/>
    <s v="9002518466"/>
    <n v="0.99"/>
    <n v="152"/>
    <x v="0"/>
    <m/>
    <s v="2025-11-26"/>
    <s v="281687"/>
    <s v="Tapash  Kr Das"/>
    <s v="9064408878"/>
  </r>
  <r>
    <s v="RCF Trombay"/>
    <s v="15-15-15"/>
    <s v="WB"/>
    <x v="14"/>
    <s v="Sagardighi"/>
    <s v="User Not Mapped"/>
    <s v="User Not Mapped"/>
    <s v="User Not Mapped"/>
    <n v="252249"/>
    <s v="Badaruddin Ahmed"/>
    <s v="Private Retailer"/>
    <s v="9002518466"/>
    <n v="0.05"/>
    <n v="361"/>
    <x v="3"/>
    <m/>
    <s v="2025-05-01"/>
    <s v="465152"/>
    <s v="Keshri Mal Jain"/>
    <s v="9932820672"/>
  </r>
  <r>
    <s v="RCF Thal"/>
    <s v="N.C.Urea(45kg)"/>
    <s v="WB"/>
    <x v="14"/>
    <s v="Sagardighi"/>
    <s v="User Not Mapped"/>
    <s v="User Not Mapped"/>
    <s v="User Not Mapped"/>
    <n v="252249"/>
    <s v="Badaruddin Ahmed"/>
    <s v="Private Retailer"/>
    <s v="9002518466"/>
    <n v="3.51"/>
    <n v="46"/>
    <x v="1"/>
    <m/>
    <s v="2026-03-12"/>
    <s v="289309"/>
    <s v="Fatema Begam"/>
    <s v="9733510936"/>
  </r>
  <r>
    <s v="RCF Thal"/>
    <s v="N.C.Urea(45kg)"/>
    <s v="WB"/>
    <x v="14"/>
    <s v="Sagardighi"/>
    <s v="User Not Mapped"/>
    <s v="User Not Mapped"/>
    <s v="User Not Mapped"/>
    <n v="269055"/>
    <s v="Fatema Begum"/>
    <s v="Private Retailer"/>
    <s v="9733510936"/>
    <n v="3.15"/>
    <n v="14"/>
    <x v="4"/>
    <m/>
    <s v="2026-04-13"/>
    <s v="289309"/>
    <s v="Fatema Begam"/>
    <s v="9733510936"/>
  </r>
  <r>
    <s v="RCF Import"/>
    <s v="Imp 10-26-26"/>
    <s v="WB"/>
    <x v="14"/>
    <s v="Sagardighi"/>
    <s v="User Not Mapped"/>
    <s v="User Not Mapped"/>
    <s v="User Not Mapped"/>
    <n v="269055"/>
    <s v="Fatema Begum"/>
    <s v="Private Retailer"/>
    <s v="9733510936"/>
    <n v="12.5"/>
    <n v="39"/>
    <x v="1"/>
    <m/>
    <s v="2026-03-19"/>
    <s v="223293"/>
    <s v="Bisanka Chandra Mondal And Son"/>
    <s v="9609521133"/>
  </r>
  <r>
    <s v="RCF Import"/>
    <s v="Imp 10-26-26"/>
    <s v="WB"/>
    <x v="14"/>
    <s v="Sagardighi"/>
    <s v="User Not Mapped"/>
    <s v="User Not Mapped"/>
    <s v="User Not Mapped"/>
    <n v="269055"/>
    <s v="Fatema Begum"/>
    <s v="Private Retailer"/>
    <s v="9733510936"/>
    <n v="0.05"/>
    <n v="14"/>
    <x v="4"/>
    <m/>
    <s v="2026-04-13"/>
    <s v="289309"/>
    <s v="Fatema Begam"/>
    <s v="9733510936"/>
  </r>
  <r>
    <s v="RCF Trombay"/>
    <s v="N.C.Urea(45kg)"/>
    <s v="WB"/>
    <x v="14"/>
    <s v="Sagardighi"/>
    <s v="User Not Mapped"/>
    <s v="User Not Mapped"/>
    <s v="User Not Mapped"/>
    <n v="269480"/>
    <s v="Harhari Skus Ltd"/>
    <s v="PACS"/>
    <s v="9434394715"/>
    <n v="8.4149999999999991"/>
    <n v="36"/>
    <x v="1"/>
    <m/>
    <s v="2026-03-22"/>
    <s v="1050194"/>
    <s v="HARHARI SKUS LTD"/>
    <s v="9434394715"/>
  </r>
  <r>
    <s v="RCF Import"/>
    <s v="Imp 10-26-26"/>
    <s v="WB"/>
    <x v="14"/>
    <s v="Sagardighi"/>
    <s v="User Not Mapped"/>
    <s v="User Not Mapped"/>
    <s v="User Not Mapped"/>
    <n v="269480"/>
    <s v="Harhari Skus Ltd"/>
    <s v="PACS"/>
    <s v="9434394715"/>
    <n v="11.35"/>
    <n v="39"/>
    <x v="1"/>
    <m/>
    <s v="2026-03-19"/>
    <s v="223293"/>
    <s v="Bisanka Chandra Mondal And Son"/>
    <s v="9609521133"/>
  </r>
  <r>
    <s v="RCF Import"/>
    <s v="Imp 10-26-26"/>
    <s v="WB"/>
    <x v="14"/>
    <s v="Sagardighi"/>
    <s v="User Not Mapped"/>
    <s v="User Not Mapped"/>
    <s v="User Not Mapped"/>
    <n v="270512"/>
    <s v="Padam Chand"/>
    <s v="Private Retailer"/>
    <s v="9434009550"/>
    <n v="3.05"/>
    <n v="164"/>
    <x v="0"/>
    <m/>
    <s v="2025-11-14"/>
    <s v="223281"/>
    <s v="M/s. Padam Chand"/>
    <s v="9434009550"/>
  </r>
  <r>
    <s v="RCF Trombay"/>
    <s v="N.C.Urea(45kg)"/>
    <s v="WB"/>
    <x v="14"/>
    <s v="Sagardighi"/>
    <s v="User Not Mapped"/>
    <s v="User Not Mapped"/>
    <s v="User Not Mapped"/>
    <n v="270512"/>
    <s v="Padam Chand"/>
    <s v="Private Retailer"/>
    <s v="9434009550"/>
    <n v="2.88"/>
    <n v="30"/>
    <x v="4"/>
    <m/>
    <s v="2026-03-28"/>
    <s v="223281"/>
    <s v="M/s. Padam Chand"/>
    <s v="9434009550"/>
  </r>
  <r>
    <s v="RCF Thal"/>
    <s v="N.C.Urea(45kg)"/>
    <s v="WB"/>
    <x v="14"/>
    <s v="Sagardighi"/>
    <s v="User Not Mapped"/>
    <s v="User Not Mapped"/>
    <s v="User Not Mapped"/>
    <n v="270548"/>
    <s v="Takbir Ali"/>
    <s v="Private Retailer"/>
    <s v="9434440674"/>
    <n v="6.4349999999999996"/>
    <n v="47"/>
    <x v="1"/>
    <m/>
    <s v="2026-03-11"/>
    <s v="223292"/>
    <s v="M/s. Gouri Sankar Mandal"/>
    <s v="7365965125"/>
  </r>
  <r>
    <s v="RCF Thal"/>
    <s v="N.C.Urea(45kg)"/>
    <s v="WB"/>
    <x v="14"/>
    <s v="Sagardighi"/>
    <s v="User Not Mapped"/>
    <s v="User Not Mapped"/>
    <s v="User Not Mapped"/>
    <n v="289209"/>
    <s v="Md Ataullah"/>
    <s v="Private Retailer"/>
    <s v="7548941434"/>
    <n v="0.56499999999999995"/>
    <n v="44"/>
    <x v="1"/>
    <m/>
    <s v="2026-03-14"/>
    <s v="289315"/>
    <s v="M/S Monoranjan Dey"/>
    <s v="9733893312"/>
  </r>
  <r>
    <s v="RCF Trombay"/>
    <s v="N.C.Urea(45kg)"/>
    <s v="WB"/>
    <x v="14"/>
    <s v="Sagardighi"/>
    <s v="User Not Mapped"/>
    <s v="User Not Mapped"/>
    <s v="User Not Mapped"/>
    <n v="289209"/>
    <s v="Md Ataullah"/>
    <s v="Private Retailer"/>
    <s v="7548941434"/>
    <n v="4.68"/>
    <n v="44"/>
    <x v="1"/>
    <m/>
    <s v="2026-03-14"/>
    <s v="289315"/>
    <s v="M/S Monoranjan Dey"/>
    <s v="9733893312"/>
  </r>
  <r>
    <s v="RCF Thal"/>
    <s v="N.C.Urea(45kg)"/>
    <s v="WB"/>
    <x v="14"/>
    <s v="Sagardighi"/>
    <s v="User Not Mapped"/>
    <s v="User Not Mapped"/>
    <s v="User Not Mapped"/>
    <n v="289210"/>
    <s v="Md Ibrahim"/>
    <s v="Private Retailer"/>
    <s v="9064358844"/>
    <n v="4.4999999999999998E-2"/>
    <n v="446"/>
    <x v="6"/>
    <m/>
    <s v="2025-02-05"/>
    <s v="289309"/>
    <s v="Fatema Begam"/>
    <s v="9733510936"/>
  </r>
  <r>
    <s v="RCF Thal"/>
    <s v="N.C.Urea(45kg)"/>
    <s v="WB"/>
    <x v="14"/>
    <s v="Sagardighi"/>
    <s v="User Not Mapped"/>
    <s v="User Not Mapped"/>
    <s v="User Not Mapped"/>
    <n v="289230"/>
    <s v="Mominul Shaikh"/>
    <s v="Private Retailer"/>
    <s v="9775634052"/>
    <n v="0.13500000000000001"/>
    <n v="47"/>
    <x v="1"/>
    <m/>
    <s v="2026-03-11"/>
    <s v="223292"/>
    <s v="M/s. Gouri Sankar Mandal"/>
    <s v="7365965125"/>
  </r>
  <r>
    <s v="RCF Import"/>
    <s v="Imp 10-26-26"/>
    <s v="WB"/>
    <x v="14"/>
    <s v="Sagardighi"/>
    <s v="User Not Mapped"/>
    <s v="User Not Mapped"/>
    <s v="User Not Mapped"/>
    <n v="289263"/>
    <s v="Rajeswari Mahara"/>
    <s v="Private Retailer"/>
    <s v="9609438474"/>
    <n v="0.5"/>
    <n v="290"/>
    <x v="3"/>
    <m/>
    <s v="2025-07-11"/>
    <s v="223281"/>
    <s v="M/s. Padam Chand"/>
    <s v="9434009550"/>
  </r>
  <r>
    <s v="RCF Trombay"/>
    <s v="N.C.Urea(45kg)"/>
    <s v="WB"/>
    <x v="14"/>
    <s v="Sagardighi"/>
    <s v="User Not Mapped"/>
    <s v="User Not Mapped"/>
    <s v="User Not Mapped"/>
    <n v="289263"/>
    <s v="Rajeswari Mahara"/>
    <s v="Private Retailer"/>
    <s v="9609438474"/>
    <n v="4.4999999999999998E-2"/>
    <n v="80"/>
    <x v="2"/>
    <m/>
    <s v="2026-02-06"/>
    <s v="223281"/>
    <s v="M/s. Padam Chand"/>
    <s v="9434009550"/>
  </r>
  <r>
    <s v="RCF Import"/>
    <s v="MOP"/>
    <s v="WB"/>
    <x v="14"/>
    <s v="Sagardighi"/>
    <s v="User Not Mapped"/>
    <s v="User Not Mapped"/>
    <s v="User Not Mapped"/>
    <n v="289263"/>
    <s v="Rajeswari Mahara"/>
    <s v="Private Retailer"/>
    <s v="9609438474"/>
    <n v="0.05"/>
    <n v="296"/>
    <x v="3"/>
    <m/>
    <s v="2025-07-05"/>
    <s v="223281"/>
    <s v="M/s. Padam Chand"/>
    <s v="9434009550"/>
  </r>
  <r>
    <s v="RCF Import"/>
    <s v="MOP"/>
    <s v="WB"/>
    <x v="14"/>
    <s v="Sagardighi"/>
    <s v="User Not Mapped"/>
    <s v="User Not Mapped"/>
    <s v="User Not Mapped"/>
    <n v="289263"/>
    <s v="Rajeswari Mahara"/>
    <s v="Private Retailer"/>
    <s v="9609438474"/>
    <n v="0.5"/>
    <n v="258"/>
    <x v="3"/>
    <m/>
    <s v="2025-08-12"/>
    <s v="289309"/>
    <s v="Fatema Begam"/>
    <s v="9733510936"/>
  </r>
  <r>
    <s v="RCF Trombay"/>
    <s v="15-15-15"/>
    <s v="WB"/>
    <x v="14"/>
    <s v="Sagardighi"/>
    <s v="User Not Mapped"/>
    <s v="User Not Mapped"/>
    <s v="User Not Mapped"/>
    <n v="289282"/>
    <s v="Shyamal Krishna Chandra"/>
    <s v="Private Retailer"/>
    <s v="9474557547"/>
    <n v="0.45"/>
    <n v="147"/>
    <x v="0"/>
    <m/>
    <s v="2025-12-01"/>
    <s v="223292"/>
    <s v="M/s. Gouri Sankar Mandal"/>
    <s v="7365965125"/>
  </r>
  <r>
    <s v="RCF Trombay"/>
    <s v="N.C.Urea(45kg)"/>
    <s v="WB"/>
    <x v="14"/>
    <s v="Sagardighi"/>
    <s v="User Not Mapped"/>
    <s v="User Not Mapped"/>
    <s v="User Not Mapped"/>
    <n v="342255"/>
    <s v="Sk. Abdullah"/>
    <s v="Private Retailer"/>
    <s v="8001972353"/>
    <n v="1.0349999999999999"/>
    <n v="45"/>
    <x v="1"/>
    <m/>
    <s v="2026-03-13"/>
    <s v="223293"/>
    <s v="Bisanka Chandra Mondal And Son"/>
    <s v="9609521133"/>
  </r>
  <r>
    <s v="RCF Trombay"/>
    <s v="N.C.Urea(45kg)"/>
    <s v="WB"/>
    <x v="14"/>
    <s v="Sagardighi"/>
    <s v="User Not Mapped"/>
    <s v="User Not Mapped"/>
    <s v="User Not Mapped"/>
    <n v="473381"/>
    <s v="Utpal Debnath"/>
    <s v="Private Retailer"/>
    <s v="6295755957"/>
    <n v="2.88"/>
    <n v="45"/>
    <x v="1"/>
    <m/>
    <s v="2026-03-13"/>
    <s v="223293"/>
    <s v="Bisanka Chandra Mondal And Son"/>
    <s v="9609521133"/>
  </r>
  <r>
    <s v="RCF Trombay"/>
    <s v="15-15-15"/>
    <s v="WB"/>
    <x v="14"/>
    <s v="Sagardighi"/>
    <s v="User Not Mapped"/>
    <s v="User Not Mapped"/>
    <s v="User Not Mapped"/>
    <n v="473381"/>
    <s v="Utpal Debnath"/>
    <s v="Private Retailer"/>
    <s v="6295755957"/>
    <n v="0.1"/>
    <n v="347"/>
    <x v="3"/>
    <m/>
    <s v="2025-05-15"/>
    <s v="289309"/>
    <s v="Fatema Begam"/>
    <s v="9733510936"/>
  </r>
  <r>
    <s v="RCF Thal"/>
    <s v="N.C.Urea(45kg)"/>
    <s v="WB"/>
    <x v="14"/>
    <s v="Sagardighi"/>
    <s v="User Not Mapped"/>
    <s v="User Not Mapped"/>
    <s v="User Not Mapped"/>
    <n v="473389"/>
    <s v="Nure Alam Dewan"/>
    <s v="Private Retailer"/>
    <s v="9733510936"/>
    <n v="7.02"/>
    <n v="16"/>
    <x v="4"/>
    <m/>
    <s v="2026-04-11"/>
    <s v="223285"/>
    <s v="M/s. Golam Kibria"/>
    <s v="8371889332"/>
  </r>
  <r>
    <s v="RCF Import"/>
    <s v="Imp 10-26-26"/>
    <s v="WB"/>
    <x v="14"/>
    <s v="Sagardighi"/>
    <s v="User Not Mapped"/>
    <s v="User Not Mapped"/>
    <s v="User Not Mapped"/>
    <n v="473797"/>
    <s v="Minarul Sk"/>
    <s v="Private Retailer"/>
    <s v="8617655438"/>
    <n v="0.5"/>
    <n v="251"/>
    <x v="3"/>
    <m/>
    <s v="2025-08-19"/>
    <s v="223285"/>
    <s v="M/s. Golam Kibria"/>
    <s v="8371889332"/>
  </r>
  <r>
    <s v="RCF Trombay"/>
    <s v="15-15-15"/>
    <s v="WB"/>
    <x v="14"/>
    <s v="Sagardighi"/>
    <s v="User Not Mapped"/>
    <s v="User Not Mapped"/>
    <s v="User Not Mapped"/>
    <n v="473797"/>
    <s v="Minarul Sk"/>
    <s v="Private Retailer"/>
    <s v="8617655438"/>
    <n v="1"/>
    <n v="46"/>
    <x v="1"/>
    <m/>
    <s v="2026-03-12"/>
    <s v="223285"/>
    <s v="M/s. Golam Kibria"/>
    <s v="8371889332"/>
  </r>
  <r>
    <s v="RCF Trombay"/>
    <s v="15-15-15"/>
    <s v="WB"/>
    <x v="14"/>
    <s v="Sagardighi"/>
    <s v="User Not Mapped"/>
    <s v="User Not Mapped"/>
    <s v="User Not Mapped"/>
    <n v="473797"/>
    <s v="Minarul Sk"/>
    <s v="Private Retailer"/>
    <s v="8617655438"/>
    <n v="1"/>
    <n v="44"/>
    <x v="1"/>
    <m/>
    <s v="2026-03-14"/>
    <s v="223285"/>
    <s v="M/s. Golam Kibria"/>
    <s v="8371889332"/>
  </r>
  <r>
    <s v="RCF Thal"/>
    <s v="N.C.Urea(45kg)"/>
    <s v="WB"/>
    <x v="14"/>
    <s v="Sagardighi"/>
    <s v="User Not Mapped"/>
    <s v="User Not Mapped"/>
    <s v="User Not Mapped"/>
    <n v="473797"/>
    <s v="Minarul Sk"/>
    <s v="Private Retailer"/>
    <s v="8617655438"/>
    <n v="14.04"/>
    <n v="47"/>
    <x v="1"/>
    <m/>
    <s v="2026-03-11"/>
    <s v="280775"/>
    <s v="R A Kheria"/>
    <s v="9830290085"/>
  </r>
  <r>
    <s v="RCF Thal"/>
    <s v="N.C.Urea(45kg)"/>
    <s v="WB"/>
    <x v="14"/>
    <s v="Sagardighi"/>
    <s v="User Not Mapped"/>
    <s v="User Not Mapped"/>
    <s v="User Not Mapped"/>
    <n v="481122"/>
    <s v="Alimuddin Sk"/>
    <s v="Private Retailer"/>
    <s v="9614003151"/>
    <n v="14.04"/>
    <n v="47"/>
    <x v="1"/>
    <m/>
    <s v="2026-03-11"/>
    <s v="223292"/>
    <s v="M/s. Gouri Sankar Mandal"/>
    <s v="7365965125"/>
  </r>
  <r>
    <s v="RCF Thal"/>
    <s v="N.C.Urea(45kg)"/>
    <s v="WB"/>
    <x v="14"/>
    <s v="Sagardighi"/>
    <s v="User Not Mapped"/>
    <s v="User Not Mapped"/>
    <s v="User Not Mapped"/>
    <n v="534612"/>
    <s v="Ashis Bhakat"/>
    <s v="Private Retailer"/>
    <s v="6296349506"/>
    <n v="9.99"/>
    <n v="47"/>
    <x v="1"/>
    <m/>
    <s v="2026-03-11"/>
    <s v="223292"/>
    <s v="M/s. Gouri Sankar Mandal"/>
    <s v="7365965125"/>
  </r>
  <r>
    <s v="RCF Thal"/>
    <s v="N.C.Urea(45kg)"/>
    <s v="WB"/>
    <x v="14"/>
    <s v="Sagardighi"/>
    <s v="User Not Mapped"/>
    <s v="User Not Mapped"/>
    <s v="User Not Mapped"/>
    <n v="550100"/>
    <s v="Samim Parwaz"/>
    <s v="Private Retailer"/>
    <s v="9564683939"/>
    <n v="0.495"/>
    <n v="280"/>
    <x v="3"/>
    <m/>
    <s v="2025-07-21"/>
    <s v="289309"/>
    <s v="Fatema Begam"/>
    <s v="9733510936"/>
  </r>
  <r>
    <s v="RCF Thal"/>
    <s v="N.C.Urea(45kg)"/>
    <s v="WB"/>
    <x v="14"/>
    <s v="Sagardighi"/>
    <s v="User Not Mapped"/>
    <s v="User Not Mapped"/>
    <s v="User Not Mapped"/>
    <n v="553440"/>
    <s v="Mumtaz Begum"/>
    <s v="Private Retailer"/>
    <s v="8001009866"/>
    <n v="6.4349999999999996"/>
    <n v="47"/>
    <x v="1"/>
    <m/>
    <s v="2026-03-11"/>
    <s v="280775"/>
    <s v="R A Kheria"/>
    <s v="9830290085"/>
  </r>
  <r>
    <s v="RCF Import"/>
    <s v="Imp 10-26-26"/>
    <s v="WB"/>
    <x v="14"/>
    <s v="Sagardighi"/>
    <s v="User Not Mapped"/>
    <s v="User Not Mapped"/>
    <s v="User Not Mapped"/>
    <n v="553440"/>
    <s v="Mumtaz Begum"/>
    <s v="Private Retailer"/>
    <s v="8001009866"/>
    <n v="0.4"/>
    <n v="262"/>
    <x v="3"/>
    <m/>
    <s v="2025-08-08"/>
    <s v="269139"/>
    <s v="Firoj Ali"/>
    <s v="9932787296"/>
  </r>
  <r>
    <s v="RCF Thal"/>
    <s v="N.C.Urea(45kg)"/>
    <s v="WB"/>
    <x v="14"/>
    <s v="Sagardighi"/>
    <s v="User Not Mapped"/>
    <s v="User Not Mapped"/>
    <s v="User Not Mapped"/>
    <n v="587022"/>
    <s v="SOHEL HODA"/>
    <s v="Private Retailer"/>
    <s v="9734616979"/>
    <n v="3.69"/>
    <n v="47"/>
    <x v="1"/>
    <m/>
    <s v="2026-03-11"/>
    <s v="223285"/>
    <s v="M/s. Golam Kibria"/>
    <s v="8371889332"/>
  </r>
  <r>
    <s v="RCF Thal"/>
    <s v="N.C.Urea(45kg)"/>
    <s v="WB"/>
    <x v="14"/>
    <s v="Sagardighi"/>
    <s v="User Not Mapped"/>
    <s v="User Not Mapped"/>
    <s v="User Not Mapped"/>
    <n v="587022"/>
    <s v="SOHEL HODA"/>
    <s v="Private Retailer"/>
    <s v="9734616979"/>
    <n v="1.98"/>
    <n v="39"/>
    <x v="1"/>
    <m/>
    <s v="2026-03-19"/>
    <s v="289309"/>
    <s v="Fatema Begam"/>
    <s v="9733510936"/>
  </r>
  <r>
    <s v="RCF Thal"/>
    <s v="N.C.Urea(45kg)"/>
    <s v="WB"/>
    <x v="14"/>
    <s v="Sagardighi"/>
    <s v="User Not Mapped"/>
    <s v="User Not Mapped"/>
    <s v="User Not Mapped"/>
    <n v="587026"/>
    <s v="BISWAJIT PRAMANIK"/>
    <s v="Private Retailer"/>
    <s v="8348739303"/>
    <n v="0.09"/>
    <n v="46"/>
    <x v="1"/>
    <m/>
    <s v="2026-03-12"/>
    <s v="289309"/>
    <s v="Fatema Begam"/>
    <s v="9733510936"/>
  </r>
  <r>
    <s v="RCF Trombay"/>
    <s v="N.C.Urea(45kg)"/>
    <s v="WB"/>
    <x v="14"/>
    <s v="Sagardighi"/>
    <s v="User Not Mapped"/>
    <s v="User Not Mapped"/>
    <s v="User Not Mapped"/>
    <n v="604418"/>
    <s v="BASIR ALAM"/>
    <s v="Private Retailer"/>
    <s v="9734631024"/>
    <n v="5.67"/>
    <n v="89"/>
    <x v="2"/>
    <m/>
    <s v="2026-01-28"/>
    <s v="223292"/>
    <s v="M/s. Gouri Sankar Mandal"/>
    <s v="7365965125"/>
  </r>
  <r>
    <s v="RCF Import"/>
    <s v="Imp 10-26-26"/>
    <s v="WB"/>
    <x v="14"/>
    <s v="Sagardighi"/>
    <s v="User Not Mapped"/>
    <s v="User Not Mapped"/>
    <s v="User Not Mapped"/>
    <n v="604418"/>
    <s v="BASIR ALAM"/>
    <s v="Private Retailer"/>
    <s v="9734631024"/>
    <n v="7"/>
    <n v="74"/>
    <x v="2"/>
    <m/>
    <s v="2026-02-12"/>
    <s v="223292"/>
    <s v="M/s. Gouri Sankar Mandal"/>
    <s v="7365965125"/>
  </r>
  <r>
    <s v="RCF Thal"/>
    <s v="N.C.Urea(45kg)"/>
    <s v="WB"/>
    <x v="14"/>
    <s v="Sagardighi"/>
    <s v="User Not Mapped"/>
    <s v="User Not Mapped"/>
    <s v="User Not Mapped"/>
    <n v="604418"/>
    <s v="BASIR ALAM"/>
    <s v="Private Retailer"/>
    <s v="9734631024"/>
    <n v="14.04"/>
    <n v="47"/>
    <x v="1"/>
    <m/>
    <s v="2026-03-11"/>
    <s v="223292"/>
    <s v="M/s. Gouri Sankar Mandal"/>
    <s v="7365965125"/>
  </r>
  <r>
    <s v="RCF Trombay"/>
    <s v="N.C.Urea(45kg)"/>
    <s v="WB"/>
    <x v="14"/>
    <s v="Sagardighi"/>
    <s v="User Not Mapped"/>
    <s v="User Not Mapped"/>
    <s v="User Not Mapped"/>
    <n v="882155"/>
    <s v="BIKASH MITRA"/>
    <s v="Private Retailer"/>
    <s v="9647491795"/>
    <n v="1.4850000000000001"/>
    <n v="829"/>
    <x v="7"/>
    <m/>
    <s v="2024-01-19"/>
    <s v="223292"/>
    <s v="M/s. Gouri Sankar Mandal"/>
    <s v="7365965125"/>
  </r>
  <r>
    <s v="RCF Import"/>
    <s v="MOP"/>
    <s v="WB"/>
    <x v="14"/>
    <s v="Sagardighi"/>
    <s v="User Not Mapped"/>
    <s v="User Not Mapped"/>
    <s v="User Not Mapped"/>
    <n v="882155"/>
    <s v="BIKASH MITRA"/>
    <s v="Private Retailer"/>
    <s v="9647491795"/>
    <n v="0.5"/>
    <n v="395"/>
    <x v="6"/>
    <m/>
    <s v="2025-03-28"/>
    <s v="223292"/>
    <s v="M/s. Gouri Sankar Mandal"/>
    <s v="7365965125"/>
  </r>
  <r>
    <s v="RCF Trombay"/>
    <s v="N.C.Urea(45kg)"/>
    <s v="WB"/>
    <x v="14"/>
    <s v="Sagardighi"/>
    <s v="User Not Mapped"/>
    <s v="User Not Mapped"/>
    <s v="User Not Mapped"/>
    <n v="913571"/>
    <s v="PARESH CHANDRA MONDAL"/>
    <s v="Private Retailer"/>
    <s v="9476408894"/>
    <n v="2.25"/>
    <n v="30"/>
    <x v="4"/>
    <m/>
    <s v="2026-03-28"/>
    <s v="223292"/>
    <s v="M/s. Gouri Sankar Mandal"/>
    <s v="7365965125"/>
  </r>
  <r>
    <s v="RCF Thal"/>
    <s v="N.C.Urea(45kg)"/>
    <s v="WB"/>
    <x v="14"/>
    <s v="Sagardighi"/>
    <s v="User Not Mapped"/>
    <s v="User Not Mapped"/>
    <s v="User Not Mapped"/>
    <n v="913571"/>
    <s v="PARESH CHANDRA MONDAL"/>
    <s v="Private Retailer"/>
    <s v="9476408894"/>
    <n v="4.1399999999999997"/>
    <n v="37"/>
    <x v="1"/>
    <m/>
    <s v="2026-03-21"/>
    <s v="223292"/>
    <s v="M/s. Gouri Sankar Mandal"/>
    <s v="7365965125"/>
  </r>
  <r>
    <s v="RCF Trombay"/>
    <s v="N.C.Urea(45kg)"/>
    <s v="WB"/>
    <x v="14"/>
    <s v="Sagardighi"/>
    <s v="User Not Mapped"/>
    <s v="User Not Mapped"/>
    <s v="User Not Mapped"/>
    <n v="913577"/>
    <s v="KAMALA KANTA MONDAL"/>
    <s v="Private Retailer"/>
    <s v="9002117192"/>
    <n v="0.72"/>
    <n v="44"/>
    <x v="1"/>
    <m/>
    <s v="2026-03-14"/>
    <s v="289309"/>
    <s v="Fatema Begam"/>
    <s v="9733510936"/>
  </r>
  <r>
    <s v="RCF Thal"/>
    <s v="N.C.Urea(45kg)"/>
    <s v="WB"/>
    <x v="14"/>
    <s v="Sagardighi"/>
    <s v="User Not Mapped"/>
    <s v="User Not Mapped"/>
    <s v="User Not Mapped"/>
    <n v="913579"/>
    <s v="MD ZINARUL SEKH"/>
    <s v="Private Retailer"/>
    <s v="6297394266"/>
    <n v="3.06"/>
    <n v="47"/>
    <x v="1"/>
    <m/>
    <s v="2026-03-11"/>
    <s v="223292"/>
    <s v="M/s. Gouri Sankar Mandal"/>
    <s v="7365965125"/>
  </r>
  <r>
    <s v="RCF Import"/>
    <s v="MOP"/>
    <s v="WB"/>
    <x v="14"/>
    <s v="Sagardighi"/>
    <s v="User Not Mapped"/>
    <s v="User Not Mapped"/>
    <s v="User Not Mapped"/>
    <n v="913579"/>
    <s v="MD ZINARUL SEKH"/>
    <s v="Private Retailer"/>
    <s v="6297394266"/>
    <n v="0.25"/>
    <n v="215"/>
    <x v="3"/>
    <m/>
    <s v="2025-09-24"/>
    <s v="223292"/>
    <s v="M/s. Gouri Sankar Mandal"/>
    <s v="7365965125"/>
  </r>
  <r>
    <s v="RCF Trombay"/>
    <s v="N.C.Urea(45kg)"/>
    <s v="WB"/>
    <x v="14"/>
    <s v="Sagardighi"/>
    <s v="User Not Mapped"/>
    <s v="User Not Mapped"/>
    <s v="User Not Mapped"/>
    <n v="913579"/>
    <s v="MD ZINARUL SEKH"/>
    <s v="Private Retailer"/>
    <s v="6297394266"/>
    <n v="1.89"/>
    <n v="125"/>
    <x v="0"/>
    <m/>
    <s v="2025-12-23"/>
    <s v="223292"/>
    <s v="M/s. Gouri Sankar Mandal"/>
    <s v="7365965125"/>
  </r>
  <r>
    <s v="RCF Thal"/>
    <s v="N.C.Urea(45kg)"/>
    <s v="WB"/>
    <x v="14"/>
    <s v="Sagardighi"/>
    <s v="User Not Mapped"/>
    <s v="User Not Mapped"/>
    <s v="User Not Mapped"/>
    <n v="913635"/>
    <s v="MD RABIUL ALAM DEWAN"/>
    <s v="Private Retailer"/>
    <s v="8637031245"/>
    <n v="2.25"/>
    <n v="42"/>
    <x v="1"/>
    <m/>
    <s v="2026-03-16"/>
    <s v="289309"/>
    <s v="Fatema Begam"/>
    <s v="9733510936"/>
  </r>
  <r>
    <s v="RCF Thal"/>
    <s v="N.C.Urea(45kg)"/>
    <s v="WB"/>
    <x v="14"/>
    <s v="Sagardighi"/>
    <s v="User Not Mapped"/>
    <s v="User Not Mapped"/>
    <s v="User Not Mapped"/>
    <n v="913635"/>
    <s v="MD RABIUL ALAM DEWAN"/>
    <s v="Private Retailer"/>
    <s v="8637031245"/>
    <n v="0.9"/>
    <n v="39"/>
    <x v="1"/>
    <m/>
    <s v="2026-03-19"/>
    <s v="289309"/>
    <s v="Fatema Begam"/>
    <s v="9733510936"/>
  </r>
  <r>
    <s v="RCF Trombay"/>
    <s v="N.C.Urea(45kg)"/>
    <s v="WB"/>
    <x v="14"/>
    <s v="Sagardighi"/>
    <s v="User Not Mapped"/>
    <s v="User Not Mapped"/>
    <s v="User Not Mapped"/>
    <n v="913639"/>
    <s v="ALAMGIR SK"/>
    <s v="Private Retailer"/>
    <s v="9932360442"/>
    <n v="1.71"/>
    <n v="44"/>
    <x v="1"/>
    <m/>
    <s v="2026-03-14"/>
    <s v="289309"/>
    <s v="Fatema Begam"/>
    <s v="9733510936"/>
  </r>
  <r>
    <s v="RCF Trombay"/>
    <s v="N.C.Urea(45kg)"/>
    <s v="WB"/>
    <x v="14"/>
    <s v="Sagardighi"/>
    <s v="User Not Mapped"/>
    <s v="User Not Mapped"/>
    <s v="User Not Mapped"/>
    <n v="913641"/>
    <s v="HELALUDDIN SEIKH"/>
    <s v="Private Retailer"/>
    <s v="9563963457"/>
    <n v="0.58499999999999996"/>
    <n v="156"/>
    <x v="0"/>
    <m/>
    <s v="2025-11-22"/>
    <s v="223281"/>
    <s v="M/s. Padam Chand"/>
    <s v="9434009550"/>
  </r>
  <r>
    <s v="RCF Trombay"/>
    <s v="N.C.Urea(45kg)"/>
    <s v="WB"/>
    <x v="14"/>
    <s v="Sagardighi"/>
    <s v="User Not Mapped"/>
    <s v="User Not Mapped"/>
    <s v="User Not Mapped"/>
    <n v="913641"/>
    <s v="HELALUDDIN SEIKH"/>
    <s v="Private Retailer"/>
    <s v="9563963457"/>
    <n v="2.79"/>
    <n v="79"/>
    <x v="2"/>
    <m/>
    <s v="2026-02-07"/>
    <s v="223281"/>
    <s v="M/s. Padam Chand"/>
    <s v="9434009550"/>
  </r>
  <r>
    <s v="RCF Thal"/>
    <s v="N.C.Urea(45kg)"/>
    <s v="WB"/>
    <x v="14"/>
    <s v="Sagardighi"/>
    <s v="User Not Mapped"/>
    <s v="User Not Mapped"/>
    <s v="User Not Mapped"/>
    <n v="913643"/>
    <s v="KARID HASAN"/>
    <s v="Private Retailer"/>
    <s v="9647379894"/>
    <n v="6.93"/>
    <n v="46"/>
    <x v="1"/>
    <m/>
    <s v="2026-03-12"/>
    <s v="223285"/>
    <s v="M/s. Golam Kibria"/>
    <s v="8371889332"/>
  </r>
  <r>
    <s v="RCF Trombay"/>
    <s v="15-15-15"/>
    <s v="WB"/>
    <x v="14"/>
    <s v="Sagardighi"/>
    <s v="User Not Mapped"/>
    <s v="User Not Mapped"/>
    <s v="User Not Mapped"/>
    <n v="915313"/>
    <s v="SK SAFAR ALI"/>
    <s v="Private Retailer"/>
    <s v="9679012749"/>
    <n v="0.75"/>
    <n v="68"/>
    <x v="2"/>
    <m/>
    <s v="2026-02-18"/>
    <s v="289309"/>
    <s v="Fatema Begam"/>
    <s v="9733510936"/>
  </r>
  <r>
    <s v="RCF Trombay"/>
    <s v="N.C.Urea(45kg)"/>
    <s v="WB"/>
    <x v="14"/>
    <s v="Sagardighi"/>
    <s v="User Not Mapped"/>
    <s v="User Not Mapped"/>
    <s v="User Not Mapped"/>
    <n v="915313"/>
    <s v="SK SAFAR ALI"/>
    <s v="Private Retailer"/>
    <s v="9679012749"/>
    <n v="2.25"/>
    <n v="42"/>
    <x v="1"/>
    <m/>
    <s v="2026-03-16"/>
    <s v="289309"/>
    <s v="Fatema Begam"/>
    <s v="9733510936"/>
  </r>
  <r>
    <s v="RCF Thal"/>
    <s v="N.C.Urea(45kg)"/>
    <s v="WB"/>
    <x v="14"/>
    <s v="Sagardighi"/>
    <s v="User Not Mapped"/>
    <s v="User Not Mapped"/>
    <s v="User Not Mapped"/>
    <n v="915327"/>
    <s v="JOY KRISHNA DUTTA"/>
    <s v="Private Retailer"/>
    <s v="6294896190"/>
    <n v="0.45"/>
    <n v="33"/>
    <x v="1"/>
    <m/>
    <s v="2026-03-25"/>
    <s v="289309"/>
    <s v="Fatema Begam"/>
    <s v="9733510936"/>
  </r>
  <r>
    <s v="RCF Trombay"/>
    <s v="N.C.Urea(45kg)"/>
    <s v="WB"/>
    <x v="14"/>
    <s v="Sagardighi"/>
    <s v="User Not Mapped"/>
    <s v="User Not Mapped"/>
    <s v="User Not Mapped"/>
    <n v="915327"/>
    <s v="JOY KRISHNA DUTTA"/>
    <s v="Private Retailer"/>
    <s v="6294896190"/>
    <n v="1.125"/>
    <n v="42"/>
    <x v="1"/>
    <m/>
    <s v="2026-03-16"/>
    <s v="289309"/>
    <s v="Fatema Begam"/>
    <s v="9733510936"/>
  </r>
  <r>
    <s v="RCF Import"/>
    <s v="Imp 10-26-26"/>
    <s v="WB"/>
    <x v="14"/>
    <s v="Sagardighi"/>
    <s v="User Not Mapped"/>
    <s v="User Not Mapped"/>
    <s v="User Not Mapped"/>
    <n v="915347"/>
    <s v="SADER ALI"/>
    <s v="Private Retailer"/>
    <s v="7583925523"/>
    <n v="0.5"/>
    <n v="258"/>
    <x v="3"/>
    <m/>
    <s v="2025-08-12"/>
    <s v="289309"/>
    <s v="Fatema Begam"/>
    <s v="9733510936"/>
  </r>
  <r>
    <s v="RCF Trombay"/>
    <s v="N.C.Urea(45kg)"/>
    <s v="WB"/>
    <x v="14"/>
    <s v="Sagardighi"/>
    <s v="User Not Mapped"/>
    <s v="User Not Mapped"/>
    <s v="User Not Mapped"/>
    <n v="915347"/>
    <s v="SADER ALI"/>
    <s v="Private Retailer"/>
    <s v="7583925523"/>
    <n v="0.96499999999999997"/>
    <n v="45"/>
    <x v="1"/>
    <m/>
    <s v="2026-03-13"/>
    <s v="223285"/>
    <s v="M/s. Golam Kibria"/>
    <s v="8371889332"/>
  </r>
  <r>
    <s v="RCF Import"/>
    <s v="Imp 10-26-26"/>
    <s v="WB"/>
    <x v="14"/>
    <s v="Sagardighi"/>
    <s v="User Not Mapped"/>
    <s v="User Not Mapped"/>
    <s v="User Not Mapped"/>
    <n v="915347"/>
    <s v="SADER ALI"/>
    <s v="Private Retailer"/>
    <s v="7583925523"/>
    <n v="0.75"/>
    <n v="59"/>
    <x v="1"/>
    <m/>
    <s v="2026-02-27"/>
    <s v="289309"/>
    <s v="Fatema Begam"/>
    <s v="9733510936"/>
  </r>
  <r>
    <s v="RCF Thal"/>
    <s v="N.C.Urea(45kg)"/>
    <s v="WB"/>
    <x v="14"/>
    <s v="Sagardighi"/>
    <s v="User Not Mapped"/>
    <s v="User Not Mapped"/>
    <s v="User Not Mapped"/>
    <n v="915347"/>
    <s v="SADER ALI"/>
    <s v="Private Retailer"/>
    <s v="7583925523"/>
    <n v="1.26"/>
    <n v="46"/>
    <x v="1"/>
    <m/>
    <s v="2026-03-12"/>
    <s v="289309"/>
    <s v="Fatema Begam"/>
    <s v="9733510936"/>
  </r>
  <r>
    <s v="RCF Import"/>
    <s v="Imp 10-26-26"/>
    <s v="WB"/>
    <x v="14"/>
    <s v="Sagardighi"/>
    <s v="User Not Mapped"/>
    <s v="User Not Mapped"/>
    <s v="User Not Mapped"/>
    <n v="915347"/>
    <s v="SADER ALI"/>
    <s v="Private Retailer"/>
    <s v="7583925523"/>
    <n v="0.5"/>
    <n v="254"/>
    <x v="3"/>
    <m/>
    <s v="2025-08-16"/>
    <s v="289309"/>
    <s v="Fatema Begam"/>
    <s v="9733510936"/>
  </r>
  <r>
    <s v="RCF Import"/>
    <s v="Imp 10-26-26"/>
    <s v="WB"/>
    <x v="14"/>
    <s v="Sagardighi"/>
    <s v="User Not Mapped"/>
    <s v="User Not Mapped"/>
    <s v="User Not Mapped"/>
    <n v="915347"/>
    <s v="SADER ALI"/>
    <s v="Private Retailer"/>
    <s v="7583925523"/>
    <n v="0.5"/>
    <n v="256"/>
    <x v="3"/>
    <m/>
    <s v="2025-08-14"/>
    <s v="289309"/>
    <s v="Fatema Begam"/>
    <s v="9733510936"/>
  </r>
  <r>
    <s v="RCF Import"/>
    <s v="Imp 10-26-26"/>
    <s v="WB"/>
    <x v="14"/>
    <s v="Sagardighi"/>
    <s v="User Not Mapped"/>
    <s v="User Not Mapped"/>
    <s v="User Not Mapped"/>
    <n v="915347"/>
    <s v="SADER ALI"/>
    <s v="Private Retailer"/>
    <s v="7583925523"/>
    <n v="1"/>
    <n v="53"/>
    <x v="1"/>
    <m/>
    <s v="2026-03-05"/>
    <s v="289309"/>
    <s v="Fatema Begam"/>
    <s v="9733510936"/>
  </r>
  <r>
    <s v="RCF Trombay"/>
    <s v="N.C.Urea(45kg)"/>
    <s v="WB"/>
    <x v="14"/>
    <s v="Sagardighi"/>
    <s v="User Not Mapped"/>
    <s v="User Not Mapped"/>
    <s v="User Not Mapped"/>
    <n v="915379"/>
    <s v="NASIRA BIBI"/>
    <s v="Private Retailer"/>
    <s v="7001186591"/>
    <n v="4.59"/>
    <n v="42"/>
    <x v="1"/>
    <m/>
    <s v="2026-03-16"/>
    <s v="289309"/>
    <s v="Fatema Begam"/>
    <s v="9733510936"/>
  </r>
  <r>
    <s v="RCF Trombay"/>
    <s v="N.C.Urea(45kg)"/>
    <s v="WB"/>
    <x v="14"/>
    <s v="Sagardighi"/>
    <s v="User Not Mapped"/>
    <s v="User Not Mapped"/>
    <s v="User Not Mapped"/>
    <n v="915383"/>
    <s v="MEHEDI HASAN"/>
    <s v="Private Retailer"/>
    <s v="7076654340"/>
    <n v="4.5"/>
    <n v="45"/>
    <x v="1"/>
    <m/>
    <s v="2026-03-13"/>
    <s v="223293"/>
    <s v="Bisanka Chandra Mondal And Son"/>
    <s v="9609521133"/>
  </r>
  <r>
    <s v="RCF Thal"/>
    <s v="N.C.Urea(45kg)"/>
    <s v="WB"/>
    <x v="14"/>
    <s v="Sagardighi"/>
    <s v="User Not Mapped"/>
    <s v="User Not Mapped"/>
    <s v="User Not Mapped"/>
    <n v="915383"/>
    <s v="MEHEDI HASAN"/>
    <s v="Private Retailer"/>
    <s v="7076654340"/>
    <n v="4.5"/>
    <n v="46"/>
    <x v="1"/>
    <m/>
    <s v="2026-03-12"/>
    <s v="289309"/>
    <s v="Fatema Begam"/>
    <s v="9733510936"/>
  </r>
  <r>
    <s v="RCF Trombay"/>
    <s v="N.C.Urea(45kg)"/>
    <s v="WB"/>
    <x v="14"/>
    <s v="Sagardighi"/>
    <s v="User Not Mapped"/>
    <s v="User Not Mapped"/>
    <s v="User Not Mapped"/>
    <n v="915387"/>
    <s v="SUKHEN KUMAR MANDAL"/>
    <s v="Private Retailer"/>
    <s v="9563809720"/>
    <n v="1.845"/>
    <n v="45"/>
    <x v="1"/>
    <m/>
    <s v="2026-03-13"/>
    <s v="223293"/>
    <s v="Bisanka Chandra Mondal And Son"/>
    <s v="9609521133"/>
  </r>
  <r>
    <s v="RCF Thal"/>
    <s v="N.C.Urea(45kg)"/>
    <s v="WB"/>
    <x v="14"/>
    <s v="Sagardighi"/>
    <s v="User Not Mapped"/>
    <s v="User Not Mapped"/>
    <s v="User Not Mapped"/>
    <n v="915389"/>
    <s v="SURENDRA NATHY MONDAL"/>
    <s v="Private Retailer"/>
    <s v="9593955615"/>
    <n v="1.8"/>
    <n v="46"/>
    <x v="1"/>
    <m/>
    <s v="2026-03-12"/>
    <s v="289309"/>
    <s v="Fatema Begam"/>
    <s v="9733510936"/>
  </r>
  <r>
    <s v="RCF Thal"/>
    <s v="N.C.Urea(45kg)"/>
    <s v="WB"/>
    <x v="14"/>
    <s v="Sagardighi"/>
    <s v="User Not Mapped"/>
    <s v="User Not Mapped"/>
    <s v="User Not Mapped"/>
    <n v="915397"/>
    <s v="NAZIR HOSSAIN"/>
    <s v="Private Retailer"/>
    <s v="9735048007"/>
    <n v="0.9"/>
    <n v="44"/>
    <x v="1"/>
    <m/>
    <s v="2026-03-14"/>
    <s v="289315"/>
    <s v="M/S Monoranjan Dey"/>
    <s v="9733893312"/>
  </r>
  <r>
    <s v="RCF Trombay"/>
    <s v="N.C.Urea(45kg)"/>
    <s v="WB"/>
    <x v="14"/>
    <s v="Sagardighi"/>
    <s v="User Not Mapped"/>
    <s v="User Not Mapped"/>
    <s v="User Not Mapped"/>
    <n v="953494"/>
    <s v="BAHAL DEWAN"/>
    <s v="Private Retailer"/>
    <s v="9609474035"/>
    <n v="0.22500000000000001"/>
    <n v="45"/>
    <x v="1"/>
    <m/>
    <s v="2026-03-13"/>
    <s v="223293"/>
    <s v="Bisanka Chandra Mondal And Son"/>
    <s v="9609521133"/>
  </r>
  <r>
    <s v="RCF Thal"/>
    <s v="N.C.Urea(45kg)"/>
    <s v="WB"/>
    <x v="14"/>
    <s v="Sagardighi"/>
    <s v="User Not Mapped"/>
    <s v="User Not Mapped"/>
    <s v="User Not Mapped"/>
    <n v="1403067"/>
    <s v="JYOTSNA KHATUN BIBI"/>
    <s v="Private Retailer"/>
    <s v="9734746331"/>
    <n v="1.17"/>
    <n v="109"/>
    <x v="5"/>
    <m/>
    <s v="2026-01-08"/>
    <s v="289309"/>
    <s v="Fatema Begam"/>
    <s v="9733510936"/>
  </r>
  <r>
    <s v="RCF Trombay"/>
    <s v="N.C.Urea(45kg)"/>
    <s v="WB"/>
    <x v="14"/>
    <s v="Sagardighi"/>
    <s v="User Not Mapped"/>
    <s v="User Not Mapped"/>
    <s v="User Not Mapped"/>
    <n v="1403067"/>
    <s v="JYOTSNA KHATUN BIBI"/>
    <s v="Private Retailer"/>
    <s v="9734746331"/>
    <n v="7.02"/>
    <n v="44"/>
    <x v="1"/>
    <m/>
    <s v="2026-03-14"/>
    <s v="289309"/>
    <s v="Fatema Begam"/>
    <s v="9733510936"/>
  </r>
  <r>
    <s v="RCF Thal"/>
    <s v="N.C.Urea(45kg)"/>
    <s v="WB"/>
    <x v="14"/>
    <s v="Sagardighi"/>
    <s v="User Not Mapped"/>
    <s v="User Not Mapped"/>
    <s v="User Not Mapped"/>
    <n v="1444442"/>
    <s v="KUDROT ALI"/>
    <s v="Private Retailer"/>
    <s v="8768221628"/>
    <n v="4.6349999999999998"/>
    <n v="42"/>
    <x v="1"/>
    <m/>
    <s v="2026-03-16"/>
    <s v="289309"/>
    <s v="Fatema Begam"/>
    <s v="9733510936"/>
  </r>
  <r>
    <s v="RCF Trombay"/>
    <s v="N.C.Urea(45kg)"/>
    <s v="WB"/>
    <x v="14"/>
    <s v="Sagardighi"/>
    <s v="User Not Mapped"/>
    <s v="User Not Mapped"/>
    <s v="User Not Mapped"/>
    <n v="1449905"/>
    <s v="MOTAHAR HOSSAIN"/>
    <s v="Private Retailer"/>
    <s v="7908716018"/>
    <n v="21.33"/>
    <n v="45"/>
    <x v="1"/>
    <m/>
    <s v="2026-03-13"/>
    <s v="281704"/>
    <s v="Maa Fertilizer"/>
    <s v="9800042039"/>
  </r>
  <r>
    <s v="RCF Thal"/>
    <s v="N.C.Urea(45kg)"/>
    <s v="WB"/>
    <x v="14"/>
    <s v="Sagardighi"/>
    <s v="User Not Mapped"/>
    <s v="User Not Mapped"/>
    <s v="User Not Mapped"/>
    <n v="1449905"/>
    <s v="MOTAHAR HOSSAIN"/>
    <s v="Private Retailer"/>
    <s v="7908716018"/>
    <n v="15.615"/>
    <n v="45"/>
    <x v="1"/>
    <m/>
    <s v="2026-03-13"/>
    <s v="281704"/>
    <s v="Maa Fertilizer"/>
    <s v="9800042039"/>
  </r>
  <r>
    <s v="RCF Trombay"/>
    <s v="N.C.Urea(45kg)"/>
    <s v="WB"/>
    <x v="14"/>
    <s v="Sagardighi"/>
    <s v="User Not Mapped"/>
    <s v="User Not Mapped"/>
    <s v="User Not Mapped"/>
    <n v="1461443"/>
    <s v="ALAMGIR SK"/>
    <s v="Private Retailer"/>
    <s v="7699945296"/>
    <n v="1.35"/>
    <n v="88"/>
    <x v="2"/>
    <m/>
    <s v="2026-01-29"/>
    <s v="281687"/>
    <s v="Tapash  Kr Das"/>
    <s v="9064408878"/>
  </r>
  <r>
    <s v="RCF Thal"/>
    <s v="N.C.Urea(45kg)"/>
    <s v="WB"/>
    <x v="14"/>
    <s v="Sagardighi"/>
    <s v="User Not Mapped"/>
    <s v="User Not Mapped"/>
    <s v="User Not Mapped"/>
    <n v="1461443"/>
    <s v="ALAMGIR SK"/>
    <s v="Private Retailer"/>
    <s v="7699945296"/>
    <n v="0.72"/>
    <n v="46"/>
    <x v="1"/>
    <m/>
    <s v="2026-03-12"/>
    <s v="289309"/>
    <s v="Fatema Begam"/>
    <s v="9733510936"/>
  </r>
  <r>
    <s v="RCF Trombay"/>
    <s v="N.C.Urea(45kg)"/>
    <s v="WB"/>
    <x v="14"/>
    <s v="Sagardighi"/>
    <s v="User Not Mapped"/>
    <s v="User Not Mapped"/>
    <s v="User Not Mapped"/>
    <n v="1463830"/>
    <s v="DEBASHIS PRAMANIK"/>
    <s v="Private Retailer"/>
    <s v="9641748879"/>
    <n v="0.45"/>
    <n v="42"/>
    <x v="1"/>
    <m/>
    <s v="2026-03-16"/>
    <s v="289309"/>
    <s v="Fatema Begam"/>
    <s v="9733510936"/>
  </r>
  <r>
    <s v="RCF Trombay"/>
    <s v="N.C.Urea(45kg)"/>
    <s v="WB"/>
    <x v="14"/>
    <s v="Sagardighi"/>
    <s v="User Not Mapped"/>
    <s v="User Not Mapped"/>
    <s v="User Not Mapped"/>
    <n v="1506618"/>
    <s v="MUNTAJ ALI"/>
    <s v="Private Retailer"/>
    <s v="9641325732"/>
    <n v="4.9950000000000001"/>
    <n v="44"/>
    <x v="1"/>
    <m/>
    <s v="2026-03-14"/>
    <s v="289309"/>
    <s v="Fatema Begam"/>
    <s v="9733510936"/>
  </r>
  <r>
    <s v="RCF Import"/>
    <s v="Imp 10-26-26"/>
    <s v="WB"/>
    <x v="14"/>
    <s v="Sagardighi"/>
    <s v="User Not Mapped"/>
    <s v="User Not Mapped"/>
    <s v="User Not Mapped"/>
    <n v="1506618"/>
    <s v="MUNTAJ ALI"/>
    <s v="Private Retailer"/>
    <s v="9641325732"/>
    <n v="1"/>
    <n v="44"/>
    <x v="1"/>
    <m/>
    <s v="2026-03-14"/>
    <s v="289309"/>
    <s v="Fatema Begam"/>
    <s v="9733510936"/>
  </r>
  <r>
    <s v="RCF Import"/>
    <s v="Imp 10-26-26"/>
    <s v="WB"/>
    <x v="14"/>
    <s v="Sagardighi"/>
    <s v="User Not Mapped"/>
    <s v="User Not Mapped"/>
    <s v="User Not Mapped"/>
    <n v="1506618"/>
    <s v="MUNTAJ ALI"/>
    <s v="Private Retailer"/>
    <s v="9641325732"/>
    <n v="0.5"/>
    <n v="59"/>
    <x v="1"/>
    <m/>
    <s v="2026-02-27"/>
    <s v="289309"/>
    <s v="Fatema Begam"/>
    <s v="9733510936"/>
  </r>
  <r>
    <s v="RCF Trombay"/>
    <s v="N.C.Urea(45kg)"/>
    <s v="WB"/>
    <x v="14"/>
    <s v="Sagardighi"/>
    <s v="User Not Mapped"/>
    <s v="User Not Mapped"/>
    <s v="User Not Mapped"/>
    <n v="1506618"/>
    <s v="MUNTAJ ALI"/>
    <s v="Private Retailer"/>
    <s v="9641325732"/>
    <n v="3.42"/>
    <n v="45"/>
    <x v="1"/>
    <m/>
    <s v="2026-03-13"/>
    <s v="223293"/>
    <s v="Bisanka Chandra Mondal And Son"/>
    <s v="9609521133"/>
  </r>
  <r>
    <s v="RCF Thal"/>
    <s v="N.C.Urea(45kg)"/>
    <s v="WB"/>
    <x v="14"/>
    <s v="Sagardighi"/>
    <s v="User Not Mapped"/>
    <s v="User Not Mapped"/>
    <s v="User Not Mapped"/>
    <n v="1510470"/>
    <s v="SAMEYA ZAMAN NURI"/>
    <s v="Private Retailer"/>
    <s v="9775248211"/>
    <n v="2.97"/>
    <n v="46"/>
    <x v="1"/>
    <m/>
    <s v="2026-03-12"/>
    <s v="289309"/>
    <s v="Fatema Begam"/>
    <s v="9733510936"/>
  </r>
  <r>
    <s v="RCF Import"/>
    <s v="MOP"/>
    <s v="WB"/>
    <x v="14"/>
    <s v="Sagardighi"/>
    <s v="User Not Mapped"/>
    <s v="User Not Mapped"/>
    <s v="User Not Mapped"/>
    <n v="1560568"/>
    <s v="SONALI GHOSH MONDAL"/>
    <s v="Private Retailer"/>
    <s v="8145661513"/>
    <n v="0.5"/>
    <n v="247"/>
    <x v="3"/>
    <m/>
    <s v="2025-08-23"/>
    <s v="223292"/>
    <s v="M/s. Gouri Sankar Mandal"/>
    <s v="7365965125"/>
  </r>
  <r>
    <s v="RCF Thal"/>
    <s v="N.C.Urea(45kg)"/>
    <s v="WB"/>
    <x v="14"/>
    <s v="Sagardighi"/>
    <s v="User Not Mapped"/>
    <s v="User Not Mapped"/>
    <s v="User Not Mapped"/>
    <n v="1560568"/>
    <s v="SONALI GHOSH MONDAL"/>
    <s v="Private Retailer"/>
    <s v="8145661513"/>
    <n v="2.25"/>
    <n v="36"/>
    <x v="1"/>
    <m/>
    <s v="2026-03-22"/>
    <s v="223292"/>
    <s v="M/s. Gouri Sankar Mandal"/>
    <s v="7365965125"/>
  </r>
  <r>
    <s v="RCF Import"/>
    <s v="MOP"/>
    <s v="WB"/>
    <x v="14"/>
    <s v="Sagardighi"/>
    <s v="User Not Mapped"/>
    <s v="User Not Mapped"/>
    <s v="User Not Mapped"/>
    <n v="1560568"/>
    <s v="SONALI GHOSH MONDAL"/>
    <s v="Private Retailer"/>
    <s v="8145661513"/>
    <n v="0.35"/>
    <n v="262"/>
    <x v="3"/>
    <m/>
    <s v="2025-08-08"/>
    <s v="223292"/>
    <s v="M/s. Gouri Sankar Mandal"/>
    <s v="7365965125"/>
  </r>
  <r>
    <s v="RCF Trombay"/>
    <s v="N.C.Urea(45kg)"/>
    <s v="WB"/>
    <x v="14"/>
    <s v="Sagardighi"/>
    <s v="User Not Mapped"/>
    <s v="User Not Mapped"/>
    <s v="User Not Mapped"/>
    <n v="1576569"/>
    <s v="TOTAN MONDAL"/>
    <s v="Private Retailer"/>
    <s v="7319441699"/>
    <n v="0.495"/>
    <n v="79"/>
    <x v="2"/>
    <m/>
    <s v="2026-02-07"/>
    <s v="223281"/>
    <s v="M/s. Padam Chand"/>
    <s v="9434009550"/>
  </r>
  <r>
    <s v="RCF Thal"/>
    <s v="N.C.Urea(45kg)"/>
    <s v="WB"/>
    <x v="14"/>
    <s v="Sagardighi"/>
    <s v="User Not Mapped"/>
    <s v="User Not Mapped"/>
    <s v="User Not Mapped"/>
    <n v="1576583"/>
    <s v="MANIRUL ISLAM"/>
    <s v="Private Retailer"/>
    <s v="7864065409"/>
    <n v="4.4999999999999998E-2"/>
    <n v="94"/>
    <x v="5"/>
    <m/>
    <s v="2026-01-23"/>
    <s v="280775"/>
    <s v="R A Kheria"/>
    <s v="9830290085"/>
  </r>
  <r>
    <s v="RCF Thal"/>
    <s v="N.C.Urea(45kg)"/>
    <s v="WB"/>
    <x v="14"/>
    <s v="Sagardighi"/>
    <s v="User Not Mapped"/>
    <s v="User Not Mapped"/>
    <s v="User Not Mapped"/>
    <n v="1581044"/>
    <s v="RUMI MAL"/>
    <s v="Private Retailer"/>
    <s v="8927377124"/>
    <n v="3.42"/>
    <n v="47"/>
    <x v="1"/>
    <m/>
    <s v="2026-03-11"/>
    <s v="223292"/>
    <s v="M/s. Gouri Sankar Mandal"/>
    <s v="7365965125"/>
  </r>
  <r>
    <s v="RCF Trombay"/>
    <s v="N.C.Urea(45kg)"/>
    <s v="WB"/>
    <x v="14"/>
    <s v="Sagardighi"/>
    <s v="User Not Mapped"/>
    <s v="User Not Mapped"/>
    <s v="User Not Mapped"/>
    <n v="1594915"/>
    <s v="KRISHI GHAR"/>
    <s v="Private Retailer"/>
    <s v="8016412410"/>
    <n v="6.84"/>
    <n v="36"/>
    <x v="1"/>
    <m/>
    <s v="2026-03-22"/>
    <s v="223292"/>
    <s v="M/s. Gouri Sankar Mandal"/>
    <s v="7365965125"/>
  </r>
  <r>
    <s v="RCF Trombay"/>
    <s v="N.C.Urea(45kg)"/>
    <s v="WB"/>
    <x v="14"/>
    <s v="Samserganj"/>
    <s v="User Not Mapped"/>
    <s v="User Not Mapped"/>
    <s v="User Not Mapped"/>
    <n v="643069"/>
    <s v="HAZIBUL RAHMAN"/>
    <s v="Private Retailer"/>
    <s v="9734874290"/>
    <n v="0.495"/>
    <n v="357"/>
    <x v="3"/>
    <m/>
    <s v="2025-05-05"/>
    <s v="289309"/>
    <s v="Fatema Begam"/>
    <s v="9733510936"/>
  </r>
  <r>
    <s v="RCF Thal"/>
    <s v="N.C.Urea(45kg)"/>
    <s v="WB"/>
    <x v="14"/>
    <s v="Suti - I"/>
    <s v="User Not Mapped"/>
    <s v="User Not Mapped"/>
    <s v="User Not Mapped"/>
    <n v="478967"/>
    <s v="Rajib Khamaru"/>
    <s v="Private Retailer"/>
    <s v="7908900539"/>
    <n v="9.4499999999999993"/>
    <n v="47"/>
    <x v="1"/>
    <m/>
    <s v="2026-03-11"/>
    <s v="223292"/>
    <s v="M/s. Gouri Sankar Mandal"/>
    <s v="7365965125"/>
  </r>
  <r>
    <s v="RCF Thal"/>
    <s v="N.C.Urea(45kg)"/>
    <s v="WB"/>
    <x v="14"/>
    <s v="Suti - I"/>
    <s v="User Not Mapped"/>
    <s v="User Not Mapped"/>
    <s v="User Not Mapped"/>
    <n v="479687"/>
    <s v="Abu Bakkar"/>
    <s v="Private Retailer"/>
    <s v="7384512531"/>
    <n v="1.4850000000000001"/>
    <n v="37"/>
    <x v="1"/>
    <m/>
    <s v="2026-03-21"/>
    <s v="223292"/>
    <s v="M/s. Gouri Sankar Mandal"/>
    <s v="7365965125"/>
  </r>
  <r>
    <s v="RCF Thal"/>
    <s v="N.C.Urea(45kg)"/>
    <s v="WB"/>
    <x v="14"/>
    <s v="Suti - I"/>
    <s v="User Not Mapped"/>
    <s v="User Not Mapped"/>
    <s v="User Not Mapped"/>
    <n v="553428"/>
    <s v="Dutta Fertilizer"/>
    <s v="Private Retailer"/>
    <s v="9002990776"/>
    <n v="3.2850000000000001"/>
    <n v="118"/>
    <x v="5"/>
    <m/>
    <s v="2025-12-30"/>
    <s v="223293"/>
    <s v="Bisanka Chandra Mondal And Son"/>
    <s v="9609521133"/>
  </r>
  <r>
    <s v="RCF Thal"/>
    <s v="N.C.Urea(45kg)"/>
    <s v="WB"/>
    <x v="14"/>
    <s v="Suti - I"/>
    <s v="User Not Mapped"/>
    <s v="User Not Mapped"/>
    <s v="User Not Mapped"/>
    <n v="915395"/>
    <s v="MD BABUL SAIKH"/>
    <s v="Private Retailer"/>
    <s v="9735480644"/>
    <n v="7.335"/>
    <n v="201"/>
    <x v="3"/>
    <m/>
    <s v="2025-10-08"/>
    <s v="1138964"/>
    <s v="RAKESH FERTILIZER"/>
    <s v="9733026828"/>
  </r>
  <r>
    <s v="RCF Thal"/>
    <s v="N.C.Urea(45kg)"/>
    <s v="WB"/>
    <x v="14"/>
    <s v="Suti - I"/>
    <s v="User Not Mapped"/>
    <s v="User Not Mapped"/>
    <s v="User Not Mapped"/>
    <n v="946050"/>
    <s v="KISHORE KANTI DAS "/>
    <s v="Private Retailer"/>
    <s v="8001560150"/>
    <n v="4.95"/>
    <n v="16"/>
    <x v="4"/>
    <m/>
    <s v="2026-04-11"/>
    <s v="223293"/>
    <s v="Bisanka Chandra Mondal And Son"/>
    <s v="9609521133"/>
  </r>
  <r>
    <s v="RCF Thal"/>
    <s v="N.C.Urea(45kg)"/>
    <s v="WB"/>
    <x v="14"/>
    <s v="Suti - I"/>
    <s v="User Not Mapped"/>
    <s v="User Not Mapped"/>
    <s v="User Not Mapped"/>
    <n v="946103"/>
    <s v="ANJALI KRISHI GHAR"/>
    <s v="Private Retailer"/>
    <s v="9635535630"/>
    <n v="4.2000000000000003E-2"/>
    <n v="723"/>
    <x v="7"/>
    <m/>
    <s v="2024-05-04"/>
    <s v="1140145"/>
    <s v="SAMPA KRISHI GHAR"/>
    <s v="9775055288"/>
  </r>
  <r>
    <s v="RCF Thal"/>
    <s v="N.C.Urea(45kg)"/>
    <s v="WB"/>
    <x v="14"/>
    <s v="Suti - I"/>
    <s v="User Not Mapped"/>
    <s v="User Not Mapped"/>
    <s v="User Not Mapped"/>
    <n v="1043454"/>
    <s v="DIPANKAR GHOSH"/>
    <s v="Private Retailer"/>
    <s v="8116027505"/>
    <n v="16.515000000000001"/>
    <n v="41"/>
    <x v="1"/>
    <m/>
    <s v="2026-03-17"/>
    <s v="280775"/>
    <s v="R A Kheria"/>
    <s v="9830290085"/>
  </r>
  <r>
    <s v="RCF Thal"/>
    <s v="N.C.Urea(45kg)"/>
    <s v="WB"/>
    <x v="14"/>
    <s v="Suti - I"/>
    <s v="User Not Mapped"/>
    <s v="User Not Mapped"/>
    <s v="User Not Mapped"/>
    <n v="1375361"/>
    <s v="PRONAB MAJHI"/>
    <s v="Private Retailer"/>
    <s v="9735346695"/>
    <n v="7.02"/>
    <n v="38"/>
    <x v="1"/>
    <m/>
    <s v="2026-03-20"/>
    <s v="289309"/>
    <s v="Fatema Begam"/>
    <s v="9733510936"/>
  </r>
  <r>
    <s v="RCF Thal"/>
    <s v="N.C.Urea(45kg)"/>
    <s v="WB"/>
    <x v="14"/>
    <s v="Suti - I"/>
    <s v="User Not Mapped"/>
    <s v="User Not Mapped"/>
    <s v="User Not Mapped"/>
    <n v="1524792"/>
    <s v="SOHIDUL ISLAM"/>
    <s v="Private Retailer"/>
    <s v="8637011788"/>
    <n v="14.984999999999999"/>
    <n v="45"/>
    <x v="1"/>
    <m/>
    <s v="2026-03-13"/>
    <s v="281697"/>
    <s v="Md Samiruddin"/>
    <s v="7550808353"/>
  </r>
  <r>
    <s v="RCF Import"/>
    <s v="Imp 10-26-26"/>
    <s v="WB"/>
    <x v="14"/>
    <s v="Suti - II"/>
    <s v="User Not Mapped"/>
    <s v="User Not Mapped"/>
    <s v="User Not Mapped"/>
    <n v="587273"/>
    <s v="S P M FERTILIZER SHOP"/>
    <s v="Private Retailer"/>
    <s v="9734858104"/>
    <n v="0.5"/>
    <n v="147"/>
    <x v="0"/>
    <m/>
    <s v="2025-12-01"/>
    <s v="223292"/>
    <s v="M/s. Gouri Sankar Mandal"/>
    <s v="7365965125"/>
  </r>
  <r>
    <s v="RCF Trombay"/>
    <s v="N.C.Urea(45kg)"/>
    <s v="WB"/>
    <x v="14"/>
    <s v="Suti - II"/>
    <s v="User Not Mapped"/>
    <s v="User Not Mapped"/>
    <s v="User Not Mapped"/>
    <n v="600141"/>
    <s v="Apurba Das"/>
    <s v="Private Retailer"/>
    <s v="9564185880"/>
    <n v="0.54"/>
    <n v="90"/>
    <x v="2"/>
    <m/>
    <s v="2026-01-27"/>
    <s v="223293"/>
    <s v="Bisanka Chandra Mondal And Son"/>
    <s v="9609521133"/>
  </r>
  <r>
    <s v="RCF Thal"/>
    <s v="N.C.Urea(45kg)"/>
    <s v="WB"/>
    <x v="14"/>
    <s v="Suti - II"/>
    <s v="User Not Mapped"/>
    <s v="User Not Mapped"/>
    <s v="User Not Mapped"/>
    <n v="998698"/>
    <s v="MITHUN DAS"/>
    <s v="Private Retailer"/>
    <s v="7430956957"/>
    <n v="5.085"/>
    <n v="105"/>
    <x v="5"/>
    <m/>
    <s v="2026-01-12"/>
    <s v="223292"/>
    <s v="M/s. Gouri Sankar Mandal"/>
    <s v="7365965125"/>
  </r>
  <r>
    <s v="RCF Thal"/>
    <s v="N.C.Urea(45kg)"/>
    <s v="WB"/>
    <x v="14"/>
    <s v="Suti - II"/>
    <s v="User Not Mapped"/>
    <s v="User Not Mapped"/>
    <s v="User Not Mapped"/>
    <n v="998712"/>
    <s v="PRAGATI KRISHI VANDAR"/>
    <s v="Private Retailer"/>
    <s v="9733919391"/>
    <n v="5.49"/>
    <n v="8"/>
    <x v="4"/>
    <m/>
    <s v="2026-04-19"/>
    <s v="280775"/>
    <s v="R A Kheria"/>
    <s v="9830290085"/>
  </r>
  <r>
    <s v="RCF Thal"/>
    <s v="N.C.Urea(45kg)"/>
    <s v="WB"/>
    <x v="14"/>
    <s v="Suti - II"/>
    <s v="User Not Mapped"/>
    <s v="User Not Mapped"/>
    <s v="User Not Mapped"/>
    <n v="999046"/>
    <s v="BHAGBAT MONDAL"/>
    <s v="Private Retailer"/>
    <s v="7908949169"/>
    <n v="0.58499999999999996"/>
    <n v="119"/>
    <x v="5"/>
    <m/>
    <s v="2025-12-29"/>
    <s v="223293"/>
    <s v="Bisanka Chandra Mondal And Son"/>
    <s v="9609521133"/>
  </r>
  <r>
    <s v="RCF Thal"/>
    <s v="N.C.Urea(45kg)"/>
    <s v="WB"/>
    <x v="14"/>
    <s v="Suti - II"/>
    <s v="User Not Mapped"/>
    <s v="User Not Mapped"/>
    <s v="User Not Mapped"/>
    <n v="1581060"/>
    <s v="UTTAM ROY"/>
    <s v="Private Retailer"/>
    <s v="7384755446"/>
    <n v="7.02"/>
    <n v="46"/>
    <x v="1"/>
    <m/>
    <s v="2026-03-12"/>
    <s v="223285"/>
    <s v="M/s. Golam Kibria"/>
    <s v="8371889332"/>
  </r>
  <r>
    <s v="RCF Trombay"/>
    <s v="N.C.Urea(45kg)"/>
    <s v="WB"/>
    <x v="14"/>
    <s v="Suti - II"/>
    <s v="User Not Mapped"/>
    <s v="User Not Mapped"/>
    <s v="User Not Mapped"/>
    <n v="1581060"/>
    <s v="UTTAM ROY"/>
    <s v="Private Retailer"/>
    <s v="7384755446"/>
    <n v="9.99"/>
    <n v="90"/>
    <x v="2"/>
    <m/>
    <s v="2026-01-27"/>
    <s v="223293"/>
    <s v="Bisanka Chandra Mondal And Son"/>
    <s v="9609521133"/>
  </r>
  <r>
    <s v="RCF Trombay"/>
    <s v="N.C.Urea(45kg)"/>
    <s v="WB"/>
    <x v="14"/>
    <m/>
    <s v="User Not Mapped"/>
    <s v="User Not Mapped"/>
    <s v="User Not Mapped"/>
    <n v="235558"/>
    <s v="Abdul Khalil"/>
    <s v="District Cooperative Marketing Society"/>
    <s v="9002834095"/>
    <n v="2.16"/>
    <n v="45"/>
    <x v="1"/>
    <m/>
    <s v="2026-03-13"/>
    <s v="281704"/>
    <s v="Maa Fertilizer"/>
    <s v="9800042039"/>
  </r>
  <r>
    <s v="RCF Import"/>
    <s v="Imp 10-26-26"/>
    <s v="WB"/>
    <x v="14"/>
    <m/>
    <s v="User Not Mapped"/>
    <s v="User Not Mapped"/>
    <s v="User Not Mapped"/>
    <n v="235558"/>
    <s v="Abdul Khalil"/>
    <s v="District Cooperative Marketing Society"/>
    <s v="9002834095"/>
    <n v="0.5"/>
    <n v="60"/>
    <x v="1"/>
    <m/>
    <s v="2026-02-26"/>
    <s v="281704"/>
    <s v="Maa Fertilizer"/>
    <s v="9800042039"/>
  </r>
  <r>
    <s v="RCF Trombay"/>
    <s v="N.C.Urea(45kg)"/>
    <s v="WB"/>
    <x v="14"/>
    <m/>
    <s v="User Not Mapped"/>
    <s v="User Not Mapped"/>
    <s v="User Not Mapped"/>
    <n v="235558"/>
    <s v="Abdul Khalil"/>
    <s v="District Cooperative Marketing Society"/>
    <s v="9002834095"/>
    <n v="2.0249999999999999"/>
    <n v="37"/>
    <x v="1"/>
    <m/>
    <s v="2026-03-21"/>
    <s v="978672"/>
    <s v="M/s. Abu Raihan Mondal"/>
    <s v="9733607656"/>
  </r>
  <r>
    <s v="RCF Trombay"/>
    <s v="15-15-15"/>
    <s v="WB"/>
    <x v="14"/>
    <m/>
    <s v="User Not Mapped"/>
    <s v="User Not Mapped"/>
    <s v="User Not Mapped"/>
    <n v="235558"/>
    <s v="Abdul Khalil"/>
    <s v="District Cooperative Marketing Society"/>
    <s v="9002834095"/>
    <n v="2.75"/>
    <n v="45"/>
    <x v="1"/>
    <m/>
    <s v="2026-03-13"/>
    <s v="281704"/>
    <s v="Maa Fertilizer"/>
    <s v="9800042039"/>
  </r>
  <r>
    <s v="RCF Thal"/>
    <s v="N.C.Urea(45kg)"/>
    <s v="WB"/>
    <x v="14"/>
    <m/>
    <s v="User Not Mapped"/>
    <s v="User Not Mapped"/>
    <s v="User Not Mapped"/>
    <n v="235559"/>
    <s v="Abdul Latif"/>
    <s v="Private Retailer"/>
    <s v="9647289560"/>
    <n v="0.02"/>
    <n v="2417"/>
    <x v="7"/>
    <m/>
    <s v="2019-09-14"/>
    <s v="281704"/>
    <s v="Maa Fertilizer"/>
    <s v="9800042039"/>
  </r>
  <r>
    <s v="RCF Trombay"/>
    <s v="15-15-15"/>
    <s v="WB"/>
    <x v="14"/>
    <m/>
    <s v="User Not Mapped"/>
    <s v="User Not Mapped"/>
    <s v="User Not Mapped"/>
    <n v="235616"/>
    <s v="Bikash Mandal"/>
    <s v="Private Retailer"/>
    <s v="9153940481"/>
    <n v="2.5000000000000001E-2"/>
    <n v="2673"/>
    <x v="7"/>
    <m/>
    <s v="2019-01-01"/>
    <s v="11"/>
    <s v="Too Old Stock"/>
    <m/>
  </r>
  <r>
    <s v="RCF Thal"/>
    <s v="N.C.Urea(45kg)"/>
    <s v="WB"/>
    <x v="14"/>
    <m/>
    <s v="User Not Mapped"/>
    <s v="User Not Mapped"/>
    <s v="User Not Mapped"/>
    <n v="235616"/>
    <s v="Bikash Mandal"/>
    <s v="Private Retailer"/>
    <s v="9153940481"/>
    <n v="0.214"/>
    <n v="2490"/>
    <x v="7"/>
    <m/>
    <s v="2019-07-03"/>
    <s v="223283"/>
    <s v="B Mukherjee  And Company"/>
    <s v="7430990680"/>
  </r>
  <r>
    <s v="RCF Thal"/>
    <s v="N.C.Urea(45kg)"/>
    <s v="WB"/>
    <x v="14"/>
    <m/>
    <s v="User Not Mapped"/>
    <s v="User Not Mapped"/>
    <s v="User Not Mapped"/>
    <n v="235688"/>
    <s v="Kashi Nath Saha"/>
    <s v="Private Retailer"/>
    <s v="9474322438"/>
    <n v="0.315"/>
    <n v="119"/>
    <x v="5"/>
    <m/>
    <s v="2025-12-29"/>
    <s v="223285"/>
    <s v="M/s. Golam Kibria"/>
    <s v="8371889332"/>
  </r>
  <r>
    <s v="RCF Import"/>
    <s v="Imp 10-26-26"/>
    <s v="WB"/>
    <x v="14"/>
    <m/>
    <s v="User Not Mapped"/>
    <s v="User Not Mapped"/>
    <s v="User Not Mapped"/>
    <n v="235688"/>
    <s v="Kashi Nath Saha"/>
    <s v="Private Retailer"/>
    <s v="9474322438"/>
    <n v="4.4000000000000004"/>
    <n v="75"/>
    <x v="2"/>
    <m/>
    <s v="2026-02-11"/>
    <s v="281704"/>
    <s v="Maa Fertilizer"/>
    <s v="9800042039"/>
  </r>
  <r>
    <s v="RCF Trombay"/>
    <s v="N.C.Urea(45kg)"/>
    <s v="WB"/>
    <x v="14"/>
    <m/>
    <s v="User Not Mapped"/>
    <s v="User Not Mapped"/>
    <s v="User Not Mapped"/>
    <n v="235812"/>
    <s v="Umapada Pal "/>
    <s v="Private Retailer"/>
    <s v="9932497810"/>
    <n v="0.45"/>
    <n v="2673"/>
    <x v="7"/>
    <m/>
    <s v="2019-01-01"/>
    <s v="11"/>
    <s v="Too Old Stock"/>
    <m/>
  </r>
  <r>
    <s v="RCF Trombay"/>
    <s v="15-15-15"/>
    <s v="WB"/>
    <x v="14"/>
    <m/>
    <s v="User Not Mapped"/>
    <s v="User Not Mapped"/>
    <s v="User Not Mapped"/>
    <n v="235812"/>
    <s v="Umapada Pal "/>
    <s v="Private Retailer"/>
    <s v="9932497810"/>
    <n v="0.3"/>
    <n v="2673"/>
    <x v="7"/>
    <m/>
    <s v="2019-01-01"/>
    <s v="11"/>
    <s v="Too Old Stock"/>
    <m/>
  </r>
  <r>
    <s v="RCF Trombay"/>
    <s v="15-15-15"/>
    <s v="WB"/>
    <x v="14"/>
    <m/>
    <s v="User Not Mapped"/>
    <s v="User Not Mapped"/>
    <s v="User Not Mapped"/>
    <n v="235812"/>
    <s v="Umapada Pal "/>
    <s v="Private Retailer"/>
    <s v="9932497810"/>
    <n v="0.25"/>
    <n v="2673"/>
    <x v="7"/>
    <m/>
    <s v="2019-01-01"/>
    <s v="223283"/>
    <s v="B Mukherjee  And Company"/>
    <s v="7430990680"/>
  </r>
  <r>
    <s v="RCF Trombay"/>
    <s v="15-15-15"/>
    <s v="WB"/>
    <x v="14"/>
    <m/>
    <s v="User Not Mapped"/>
    <s v="User Not Mapped"/>
    <s v="User Not Mapped"/>
    <n v="235812"/>
    <s v="Umapada Pal "/>
    <s v="Private Retailer"/>
    <s v="9932497810"/>
    <n v="0.5"/>
    <n v="2581"/>
    <x v="7"/>
    <m/>
    <s v="2019-04-03"/>
    <s v="223283"/>
    <s v="B Mukherjee  And Company"/>
    <s v="7430990680"/>
  </r>
  <r>
    <s v="RCF Trombay"/>
    <s v="15-15-15"/>
    <s v="WB"/>
    <x v="14"/>
    <m/>
    <s v="User Not Mapped"/>
    <s v="User Not Mapped"/>
    <s v="User Not Mapped"/>
    <n v="270153"/>
    <s v="Kamrujjman"/>
    <s v="Private Retailer"/>
    <s v="9800102017"/>
    <n v="0.3"/>
    <n v="368"/>
    <x v="6"/>
    <m/>
    <s v="2025-04-24"/>
    <s v="465152"/>
    <s v="Keshri Mal Jain"/>
    <s v="9932820672"/>
  </r>
  <r>
    <s v="RCF Trombay"/>
    <s v="15-15-15"/>
    <s v="WB"/>
    <x v="14"/>
    <m/>
    <s v="User Not Mapped"/>
    <s v="User Not Mapped"/>
    <s v="User Not Mapped"/>
    <n v="270483"/>
    <s v="Md. Jamal Uddin"/>
    <s v="Private Retailer"/>
    <s v="9732873078"/>
    <n v="2"/>
    <n v="1327"/>
    <x v="7"/>
    <m/>
    <s v="2022-09-08"/>
    <s v="599997"/>
    <s v="RADHA MADHAB FERTILISER"/>
    <s v="8170003423"/>
  </r>
  <r>
    <s v="RCF Trombay"/>
    <s v="15-15-15"/>
    <s v="WB"/>
    <x v="14"/>
    <m/>
    <s v="User Not Mapped"/>
    <s v="User Not Mapped"/>
    <s v="User Not Mapped"/>
    <n v="270483"/>
    <s v="Md. Jamal Uddin"/>
    <s v="Private Retailer"/>
    <s v="9732873078"/>
    <n v="0.80900000000000005"/>
    <n v="1359"/>
    <x v="7"/>
    <m/>
    <s v="2022-08-07"/>
    <s v="599997"/>
    <s v="RADHA MADHAB FERTILISER"/>
    <s v="8170003423"/>
  </r>
  <r>
    <s v="RCF Trombay"/>
    <s v="N.C.Urea(45kg)"/>
    <s v="WB"/>
    <x v="14"/>
    <m/>
    <s v="User Not Mapped"/>
    <s v="User Not Mapped"/>
    <s v="User Not Mapped"/>
    <n v="270546"/>
    <s v="Swapan Kumar Roy"/>
    <s v="Private Retailer"/>
    <s v="9732949896"/>
    <n v="4.4999999999999998E-2"/>
    <n v="1246"/>
    <x v="7"/>
    <m/>
    <s v="2022-11-28"/>
    <s v="223291"/>
    <s v="M/S Keshri Mal Jain"/>
    <s v="7718281841"/>
  </r>
  <r>
    <s v="RCF Thal"/>
    <s v="N.C.Urea(45kg)"/>
    <s v="WB"/>
    <x v="14"/>
    <m/>
    <s v="User Not Mapped"/>
    <s v="User Not Mapped"/>
    <s v="User Not Mapped"/>
    <n v="289246"/>
    <s v="Muklesh Biswas"/>
    <s v="State Marketing Federation"/>
    <s v="9733941741"/>
    <n v="7.02"/>
    <n v="48"/>
    <x v="1"/>
    <m/>
    <s v="2026-03-10"/>
    <s v="223293"/>
    <s v="Bisanka Chandra Mondal And Son"/>
    <s v="9609521133"/>
  </r>
  <r>
    <s v="RCF Thal"/>
    <s v="N.C.Urea(45kg)"/>
    <s v="WB"/>
    <x v="14"/>
    <m/>
    <s v="User Not Mapped"/>
    <s v="User Not Mapped"/>
    <s v="User Not Mapped"/>
    <n v="289246"/>
    <s v="Muklesh Biswas"/>
    <s v="State Marketing Federation"/>
    <s v="9733941741"/>
    <n v="9.99"/>
    <n v="47"/>
    <x v="1"/>
    <m/>
    <s v="2026-03-11"/>
    <s v="223292"/>
    <s v="M/s. Gouri Sankar Mandal"/>
    <s v="7365965125"/>
  </r>
  <r>
    <s v="RCF Thal"/>
    <s v="N.C.Urea(45kg)"/>
    <s v="WB"/>
    <x v="14"/>
    <m/>
    <s v="User Not Mapped"/>
    <s v="User Not Mapped"/>
    <s v="User Not Mapped"/>
    <n v="355050"/>
    <s v="Jadupati Sarkar"/>
    <s v="Private Retailer"/>
    <s v="9474927312"/>
    <n v="6.7949999999999999"/>
    <n v="48"/>
    <x v="1"/>
    <m/>
    <s v="2026-03-10"/>
    <s v="223285"/>
    <s v="M/s. Golam Kibria"/>
    <s v="8371889332"/>
  </r>
  <r>
    <s v="RCF Import"/>
    <s v="Imp 10-26-26"/>
    <s v="WB"/>
    <x v="14"/>
    <m/>
    <s v="User Not Mapped"/>
    <s v="User Not Mapped"/>
    <s v="User Not Mapped"/>
    <n v="355050"/>
    <s v="Jadupati Sarkar"/>
    <s v="Private Retailer"/>
    <s v="9474927312"/>
    <n v="2.1"/>
    <n v="66"/>
    <x v="2"/>
    <m/>
    <s v="2026-02-20"/>
    <s v="223285"/>
    <s v="M/s. Golam Kibria"/>
    <s v="8371889332"/>
  </r>
  <r>
    <s v="RCF Thal"/>
    <s v="N.C.Urea(45kg)"/>
    <s v="WB"/>
    <x v="14"/>
    <m/>
    <s v="User Not Mapped"/>
    <s v="User Not Mapped"/>
    <s v="User Not Mapped"/>
    <n v="473801"/>
    <s v="Afroj Hossain"/>
    <s v="Private Retailer"/>
    <s v="7797423955"/>
    <n v="4.0000000000000001E-3"/>
    <n v="2673"/>
    <x v="7"/>
    <m/>
    <s v="2019-01-01"/>
    <s v="11"/>
    <s v="Too Old Stock"/>
    <m/>
  </r>
  <r>
    <s v="RCF Trombay"/>
    <s v="N.C.Urea(45kg)"/>
    <s v="WB"/>
    <x v="14"/>
    <m/>
    <s v="User Not Mapped"/>
    <s v="User Not Mapped"/>
    <s v="User Not Mapped"/>
    <n v="489647"/>
    <s v="Shyamal Kumar Ghosh"/>
    <s v="Private Retailer"/>
    <s v="9733507660"/>
    <n v="5.0000000000000001E-3"/>
    <n v="619"/>
    <x v="7"/>
    <m/>
    <s v="2024-08-16"/>
    <s v="1141448"/>
    <s v="Shyamal Kumar Ghosh"/>
    <s v="9733507660"/>
  </r>
  <r>
    <s v="RCF Trombay"/>
    <s v="15-15-15"/>
    <s v="WB"/>
    <x v="14"/>
    <m/>
    <s v="User Not Mapped"/>
    <s v="User Not Mapped"/>
    <s v="User Not Mapped"/>
    <n v="590453"/>
    <s v="Sumanta Kumar Saha"/>
    <s v="Private Retailer"/>
    <s v="9641198469"/>
    <n v="0.85"/>
    <n v="40"/>
    <x v="1"/>
    <m/>
    <s v="2026-03-18"/>
    <s v="1138964"/>
    <s v="RAKESH FERTILIZER"/>
    <s v="9733026828"/>
  </r>
  <r>
    <s v="RCF Thal"/>
    <s v="N.C.Urea(45kg)"/>
    <s v="WB"/>
    <x v="14"/>
    <m/>
    <s v="User Not Mapped"/>
    <s v="User Not Mapped"/>
    <s v="User Not Mapped"/>
    <n v="597370"/>
    <s v="MINTU SEKH"/>
    <s v="Private Retailer"/>
    <s v="8001816012"/>
    <n v="4.4999999999999998E-2"/>
    <n v="2555"/>
    <x v="7"/>
    <m/>
    <s v="2019-04-29"/>
    <s v="269139"/>
    <s v="Firoj Ali"/>
    <s v="9932787296"/>
  </r>
  <r>
    <s v="RCF Trombay"/>
    <s v="15-15-15"/>
    <s v="WB"/>
    <x v="14"/>
    <m/>
    <s v="User Not Mapped"/>
    <s v="User Not Mapped"/>
    <s v="User Not Mapped"/>
    <n v="597370"/>
    <s v="MINTU SEKH"/>
    <s v="Private Retailer"/>
    <s v="8001816012"/>
    <n v="0.15"/>
    <n v="2555"/>
    <x v="7"/>
    <m/>
    <s v="2019-04-29"/>
    <s v="269139"/>
    <s v="Firoj Ali"/>
    <s v="9932787296"/>
  </r>
  <r>
    <s v="RCF Thal"/>
    <s v="N.C.Urea(45kg)"/>
    <s v="WB"/>
    <x v="14"/>
    <m/>
    <s v="User Not Mapped"/>
    <s v="User Not Mapped"/>
    <s v="User Not Mapped"/>
    <n v="600957"/>
    <s v="Md. Hamidul Sk."/>
    <s v="Private Retailer"/>
    <s v="9749156253"/>
    <n v="5.2649999999999997"/>
    <n v="2342"/>
    <x v="7"/>
    <m/>
    <s v="2019-11-28"/>
    <s v="1098674"/>
    <s v="SOUMENDRA NATH SAHA"/>
    <s v="7699547814"/>
  </r>
  <r>
    <s v="RCF Trombay"/>
    <s v="N.C.Urea(45kg)"/>
    <s v="WB"/>
    <x v="14"/>
    <m/>
    <s v="User Not Mapped"/>
    <s v="User Not Mapped"/>
    <s v="User Not Mapped"/>
    <n v="600957"/>
    <s v="Md. Hamidul Sk."/>
    <s v="Private Retailer"/>
    <s v="9749156253"/>
    <n v="0.03"/>
    <n v="2673"/>
    <x v="7"/>
    <m/>
    <s v="2019-01-01"/>
    <s v="11"/>
    <s v="Too Old Stock"/>
    <m/>
  </r>
  <r>
    <s v="RCF Thal"/>
    <s v="N.C.Urea(45kg)"/>
    <s v="WB"/>
    <x v="14"/>
    <m/>
    <s v="User Not Mapped"/>
    <s v="User Not Mapped"/>
    <s v="User Not Mapped"/>
    <n v="622621"/>
    <s v="M/S PRASANTA KUMAR MONDAL"/>
    <s v="Private Retailer"/>
    <s v="9647829862"/>
    <n v="2.0099999999999998"/>
    <n v="1885"/>
    <x v="7"/>
    <m/>
    <s v="2021-02-27"/>
    <s v="281705"/>
    <s v="MAHABAT ALI"/>
    <s v="9434013573"/>
  </r>
  <r>
    <s v="RCF Thal"/>
    <s v="N.C.Urea(45kg)"/>
    <s v="WB"/>
    <x v="14"/>
    <m/>
    <s v="User Not Mapped"/>
    <s v="User Not Mapped"/>
    <s v="User Not Mapped"/>
    <n v="648127"/>
    <s v="Krishi Fertilizer"/>
    <s v="Private Retailer"/>
    <s v="9732445110"/>
    <n v="0.51"/>
    <n v="1951"/>
    <x v="7"/>
    <m/>
    <s v="2020-12-23"/>
    <s v="223293"/>
    <s v="Bisanka Chandra Mondal And Son"/>
    <s v="9609521133"/>
  </r>
  <r>
    <s v="RCF Trombay"/>
    <s v="N.C.Urea(45kg)"/>
    <s v="WB"/>
    <x v="14"/>
    <m/>
    <s v="User Not Mapped"/>
    <s v="User Not Mapped"/>
    <s v="User Not Mapped"/>
    <n v="648127"/>
    <s v="Krishi Fertilizer"/>
    <s v="Private Retailer"/>
    <s v="9732445110"/>
    <n v="6.165"/>
    <n v="1274"/>
    <x v="7"/>
    <m/>
    <s v="2022-10-31"/>
    <s v="1320516"/>
    <s v="BIDHAN CHANDRA BISWAS"/>
    <s v="9732816547"/>
  </r>
  <r>
    <s v="RCF Thal"/>
    <s v="N.C.Urea(45kg)"/>
    <s v="WB"/>
    <x v="14"/>
    <m/>
    <s v="User Not Mapped"/>
    <s v="User Not Mapped"/>
    <s v="User Not Mapped"/>
    <n v="730628"/>
    <s v="TINKU FERTILIZER"/>
    <s v="Private Retailer"/>
    <s v="9734831186"/>
    <n v="7.02"/>
    <n v="1188"/>
    <x v="7"/>
    <m/>
    <s v="2023-01-25"/>
    <s v="281704"/>
    <s v="Maa Fertilizer"/>
    <s v="9800042039"/>
  </r>
  <r>
    <s v="RCF Compost"/>
    <s v="City Compost"/>
    <s v="WB"/>
    <x v="14"/>
    <m/>
    <s v="User Not Mapped"/>
    <s v="User Not Mapped"/>
    <s v="User Not Mapped"/>
    <n v="843306"/>
    <s v="HASANUJJAMAN MONDAL"/>
    <s v="Private Retailer"/>
    <s v="9647044012"/>
    <n v="0.5"/>
    <n v="2286"/>
    <x v="7"/>
    <m/>
    <s v="2020-01-23"/>
    <s v="223283"/>
    <s v="B Mukherjee  And Company"/>
    <s v="7430990680"/>
  </r>
  <r>
    <s v="RCF Thal"/>
    <s v="N.C.Urea(45kg)"/>
    <s v="WB"/>
    <x v="14"/>
    <m/>
    <s v="User Not Mapped"/>
    <s v="User Not Mapped"/>
    <s v="User Not Mapped"/>
    <n v="868304"/>
    <s v="BIJALI ENTERPRISE"/>
    <s v="Private Retailer"/>
    <s v="9732677911"/>
    <n v="6.93"/>
    <n v="2008"/>
    <x v="7"/>
    <m/>
    <s v="2020-10-27"/>
    <s v="280775"/>
    <s v="R A Kheria"/>
    <s v="9830290085"/>
  </r>
  <r>
    <s v="RCF Thal"/>
    <s v="N.C.Urea(45kg)"/>
    <s v="WB"/>
    <x v="14"/>
    <m/>
    <s v="User Not Mapped"/>
    <s v="User Not Mapped"/>
    <s v="User Not Mapped"/>
    <n v="873912"/>
    <s v="MD SABIR AKBAR AMED"/>
    <s v="Private Retailer"/>
    <s v="9775294127"/>
    <n v="7.02"/>
    <n v="47"/>
    <x v="1"/>
    <m/>
    <s v="2026-03-11"/>
    <s v="589743"/>
    <s v="JOY SHANKAR DUTTA &amp; SONS FERTI"/>
    <s v="7699039330"/>
  </r>
  <r>
    <s v="RCF Thal"/>
    <s v="N.C.Urea(45kg)"/>
    <s v="WB"/>
    <x v="14"/>
    <m/>
    <s v="User Not Mapped"/>
    <s v="User Not Mapped"/>
    <s v="User Not Mapped"/>
    <n v="874429"/>
    <s v="RAINBOW FERTILIZER"/>
    <s v="Private Retailer"/>
    <s v="8373888180"/>
    <n v="0.01"/>
    <n v="1761"/>
    <x v="7"/>
    <m/>
    <s v="2021-07-01"/>
    <s v="281698"/>
    <s v="Krishi Mahal"/>
    <s v="8536856527"/>
  </r>
  <r>
    <s v="RCF Trombay"/>
    <s v="N.C.Urea(45kg)"/>
    <s v="WB"/>
    <x v="14"/>
    <m/>
    <s v="User Not Mapped"/>
    <s v="User Not Mapped"/>
    <s v="User Not Mapped"/>
    <n v="876502"/>
    <s v="MONDAL FERTILISER"/>
    <s v="Private Retailer"/>
    <s v="9475259698"/>
    <n v="0.45"/>
    <n v="2417"/>
    <x v="7"/>
    <m/>
    <s v="2019-09-14"/>
    <s v="269139"/>
    <s v="Firoj Ali"/>
    <s v="9932787296"/>
  </r>
  <r>
    <s v="RCF Thal"/>
    <s v="N.C.Urea(45kg)"/>
    <s v="WB"/>
    <x v="14"/>
    <m/>
    <s v="User Not Mapped"/>
    <s v="User Not Mapped"/>
    <s v="User Not Mapped"/>
    <n v="913569"/>
    <s v="BIPLAB CHAKRABORTY"/>
    <s v="Private Retailer"/>
    <s v="8207248058"/>
    <n v="1.575"/>
    <n v="2673"/>
    <x v="7"/>
    <m/>
    <s v="2019-01-01"/>
    <s v="11"/>
    <s v="Too Old Stock"/>
    <m/>
  </r>
  <r>
    <s v="RCF Trombay"/>
    <s v="N.C.Urea(45kg)"/>
    <s v="WB"/>
    <x v="14"/>
    <m/>
    <s v="User Not Mapped"/>
    <s v="User Not Mapped"/>
    <s v="User Not Mapped"/>
    <n v="940005"/>
    <s v="MD NAKSAR ALI"/>
    <s v="Private Retailer"/>
    <s v="9775575745"/>
    <n v="0.51500000000000001"/>
    <n v="1446"/>
    <x v="7"/>
    <m/>
    <s v="2022-05-12"/>
    <s v="599997"/>
    <s v="RADHA MADHAB FERTILISER"/>
    <s v="8170003423"/>
  </r>
  <r>
    <s v="RCF Trombay"/>
    <s v="15-15-15"/>
    <s v="WB"/>
    <x v="14"/>
    <m/>
    <s v="User Not Mapped"/>
    <s v="User Not Mapped"/>
    <s v="User Not Mapped"/>
    <n v="940005"/>
    <s v="MD NAKSAR ALI"/>
    <s v="Private Retailer"/>
    <s v="9775575745"/>
    <n v="0.7"/>
    <n v="1446"/>
    <x v="7"/>
    <m/>
    <s v="2022-05-12"/>
    <s v="599997"/>
    <s v="RADHA MADHAB FERTILISER"/>
    <s v="8170003423"/>
  </r>
  <r>
    <s v="RCF Thal"/>
    <s v="N.C.Urea(45kg)"/>
    <s v="WB"/>
    <x v="14"/>
    <m/>
    <s v="User Not Mapped"/>
    <s v="User Not Mapped"/>
    <s v="User Not Mapped"/>
    <n v="946115"/>
    <s v="AKBOR SK"/>
    <s v="Private Retailer"/>
    <s v="8971085856"/>
    <n v="0.22500000000000001"/>
    <n v="2291"/>
    <x v="7"/>
    <m/>
    <s v="2020-01-18"/>
    <s v="223292"/>
    <s v="M/s. Gouri Sankar Mandal"/>
    <s v="7365965125"/>
  </r>
  <r>
    <s v="RCF Trombay"/>
    <s v="15-15-15"/>
    <s v="WB"/>
    <x v="14"/>
    <m/>
    <s v="User Not Mapped"/>
    <s v="User Not Mapped"/>
    <s v="User Not Mapped"/>
    <n v="947604"/>
    <s v="SAIMAN ALI"/>
    <s v="Private Retailer"/>
    <s v="8001956608"/>
    <n v="0.25"/>
    <n v="2673"/>
    <x v="7"/>
    <m/>
    <s v="2019-01-01"/>
    <s v="11"/>
    <s v="Too Old Stock"/>
    <m/>
  </r>
  <r>
    <s v="RCF Trombay"/>
    <s v="15-15-15"/>
    <s v="WB"/>
    <x v="14"/>
    <m/>
    <s v="User Not Mapped"/>
    <s v="User Not Mapped"/>
    <s v="User Not Mapped"/>
    <n v="947606"/>
    <s v="NARAYAN PAUL"/>
    <s v="Private Retailer"/>
    <s v="8768222943"/>
    <n v="0.05"/>
    <n v="2673"/>
    <x v="7"/>
    <m/>
    <s v="2019-01-01"/>
    <s v="11"/>
    <s v="Too Old Stock"/>
    <m/>
  </r>
  <r>
    <s v="RCF Thal"/>
    <s v="N.C.Urea(45kg)"/>
    <s v="WB"/>
    <x v="14"/>
    <m/>
    <s v="User Not Mapped"/>
    <s v="User Not Mapped"/>
    <s v="User Not Mapped"/>
    <n v="983691"/>
    <s v="MD SORIFUL ISLAM"/>
    <s v="Private Retailer"/>
    <s v="9732640157"/>
    <n v="0.72"/>
    <n v="1951"/>
    <x v="7"/>
    <m/>
    <s v="2020-12-23"/>
    <s v="280775"/>
    <s v="R A Kheria"/>
    <s v="9830290085"/>
  </r>
  <r>
    <s v="RCF Thal"/>
    <s v="N.C.Urea(45kg)"/>
    <s v="WB"/>
    <x v="14"/>
    <m/>
    <s v="User Not Mapped"/>
    <s v="User Not Mapped"/>
    <s v="User Not Mapped"/>
    <n v="994824"/>
    <s v="HABIBUR RAHAMAN"/>
    <s v="Private Retailer"/>
    <s v="7407282526"/>
    <n v="6.11"/>
    <n v="1344"/>
    <x v="7"/>
    <m/>
    <s v="2022-08-22"/>
    <s v="1225739"/>
    <s v="BAHARUL ISLAM"/>
    <s v="9932460909"/>
  </r>
  <r>
    <s v="RCF Trombay"/>
    <s v="15-15-15"/>
    <s v="WB"/>
    <x v="14"/>
    <m/>
    <s v="User Not Mapped"/>
    <s v="User Not Mapped"/>
    <s v="User Not Mapped"/>
    <n v="1012492"/>
    <s v="ANOWAR HOSSAIN"/>
    <s v="Private Retailer"/>
    <s v="9732575558"/>
    <n v="1.4"/>
    <n v="2119"/>
    <x v="7"/>
    <m/>
    <s v="2020-07-08"/>
    <s v="223292"/>
    <s v="M/s. Gouri Sankar Mandal"/>
    <s v="7365965125"/>
  </r>
  <r>
    <s v="RCF Trombay"/>
    <s v="15-15-15"/>
    <s v="WB"/>
    <x v="14"/>
    <m/>
    <s v="User Not Mapped"/>
    <s v="User Not Mapped"/>
    <s v="User Not Mapped"/>
    <n v="1019619"/>
    <s v="MD KUDRATULLAH"/>
    <s v="Private Retailer"/>
    <s v="9800004585"/>
    <n v="0.01"/>
    <n v="2586"/>
    <x v="7"/>
    <m/>
    <s v="2019-03-29"/>
    <s v="223285"/>
    <s v="M/s. Golam Kibria"/>
    <s v="8371889332"/>
  </r>
  <r>
    <s v="RCF Trombay"/>
    <s v="15-15-15"/>
    <s v="WB"/>
    <x v="14"/>
    <m/>
    <s v="User Not Mapped"/>
    <s v="User Not Mapped"/>
    <s v="User Not Mapped"/>
    <n v="1029842"/>
    <s v="FULKUMARI MONDAL"/>
    <s v="Private Retailer"/>
    <s v="9775025354"/>
    <n v="0.2"/>
    <n v="1701"/>
    <x v="7"/>
    <m/>
    <s v="2021-08-30"/>
    <s v="1116229"/>
    <s v="SAIFUL ISLAM"/>
    <s v="9733591556"/>
  </r>
  <r>
    <s v="RCF Trombay"/>
    <s v="N.C.Urea(45kg)"/>
    <s v="WB"/>
    <x v="14"/>
    <m/>
    <s v="User Not Mapped"/>
    <s v="User Not Mapped"/>
    <s v="User Not Mapped"/>
    <n v="1059358"/>
    <s v="MD NAJRUL ISLAM"/>
    <s v="Private Retailer"/>
    <s v="8972072730"/>
    <n v="0.04"/>
    <n v="2286"/>
    <x v="7"/>
    <m/>
    <s v="2020-01-23"/>
    <s v="223287"/>
    <s v="Arup Kumar Majumder           "/>
    <s v="9476172453"/>
  </r>
  <r>
    <s v="RCF Trombay"/>
    <s v="15-15-15"/>
    <s v="WB"/>
    <x v="14"/>
    <m/>
    <s v="User Not Mapped"/>
    <s v="User Not Mapped"/>
    <s v="User Not Mapped"/>
    <n v="1059358"/>
    <s v="MD NAJRUL ISLAM"/>
    <s v="Private Retailer"/>
    <s v="8972072730"/>
    <n v="0.1"/>
    <n v="2286"/>
    <x v="7"/>
    <m/>
    <s v="2020-01-23"/>
    <s v="223287"/>
    <s v="Arup Kumar Majumder           "/>
    <s v="9476172453"/>
  </r>
  <r>
    <s v="RCF Trombay"/>
    <s v="15-15-15"/>
    <s v="WB"/>
    <x v="14"/>
    <m/>
    <s v="User Not Mapped"/>
    <s v="User Not Mapped"/>
    <s v="User Not Mapped"/>
    <n v="1059374"/>
    <s v="BISWAS FERTILIZER"/>
    <s v="Private Retailer"/>
    <s v="8640971120"/>
    <n v="2.25"/>
    <n v="1403"/>
    <x v="7"/>
    <m/>
    <s v="2022-06-24"/>
    <s v="1116227"/>
    <s v="KISHAN BANDHU"/>
    <s v="9732811913"/>
  </r>
  <r>
    <s v="RCF Trombay"/>
    <s v="N.C.Urea(45kg)"/>
    <s v="WB"/>
    <x v="14"/>
    <m/>
    <s v="User Not Mapped"/>
    <s v="User Not Mapped"/>
    <s v="User Not Mapped"/>
    <n v="1059374"/>
    <s v="BISWAS FERTILIZER"/>
    <s v="Private Retailer"/>
    <s v="8640971120"/>
    <n v="6.12"/>
    <n v="1403"/>
    <x v="7"/>
    <m/>
    <s v="2022-06-24"/>
    <s v="1116227"/>
    <s v="KISHAN BANDHU"/>
    <s v="9732811913"/>
  </r>
  <r>
    <s v="RCF Trombay"/>
    <s v="N.C.Urea(45kg)"/>
    <s v="WB"/>
    <x v="14"/>
    <m/>
    <s v="User Not Mapped"/>
    <s v="User Not Mapped"/>
    <s v="User Not Mapped"/>
    <n v="1071480"/>
    <s v="TAPAS JOWARDAR"/>
    <s v="Private Retailer"/>
    <s v="8906269371"/>
    <n v="9.5399999999999991"/>
    <n v="846"/>
    <x v="7"/>
    <m/>
    <s v="2024-01-02"/>
    <s v="223285"/>
    <s v="M/s. Golam Kibria"/>
    <s v="8371889332"/>
  </r>
  <r>
    <s v="RCF Thal"/>
    <s v="N.C.Urea(45kg)"/>
    <s v="WB"/>
    <x v="14"/>
    <m/>
    <s v="User Not Mapped"/>
    <s v="User Not Mapped"/>
    <s v="User Not Mapped"/>
    <n v="1140310"/>
    <s v="SURAYA YEASMIN"/>
    <s v="Private Retailer"/>
    <s v="9073393149"/>
    <n v="1.35"/>
    <n v="856"/>
    <x v="7"/>
    <m/>
    <s v="2023-12-23"/>
    <s v="1140145"/>
    <s v="SAMPA KRISHI GHAR"/>
    <s v="9775055288"/>
  </r>
  <r>
    <s v="RCF Thal"/>
    <s v="N.C.Urea(45kg)"/>
    <s v="WB"/>
    <x v="14"/>
    <m/>
    <s v="User Not Mapped"/>
    <s v="User Not Mapped"/>
    <s v="User Not Mapped"/>
    <n v="1414120"/>
    <s v="JAMAL SK"/>
    <s v="Private Retailer"/>
    <s v="8617564882"/>
    <n v="7.02"/>
    <n v="46"/>
    <x v="1"/>
    <m/>
    <s v="2026-03-12"/>
    <s v="223285"/>
    <s v="M/s. Golam Kibria"/>
    <s v="8371889332"/>
  </r>
  <r>
    <s v="RCF Thal"/>
    <s v="N.C.Urea(45kg)"/>
    <s v="WB"/>
    <x v="14"/>
    <m/>
    <s v="User Not Mapped"/>
    <s v="User Not Mapped"/>
    <s v="User Not Mapped"/>
    <n v="1463824"/>
    <s v="MATLEB ALI"/>
    <s v="Private Retailer"/>
    <s v="9735340126"/>
    <n v="3.96"/>
    <n v="45"/>
    <x v="1"/>
    <m/>
    <s v="2026-03-13"/>
    <s v="281704"/>
    <s v="Maa Fertilizer"/>
    <s v="9800042039"/>
  </r>
  <r>
    <s v="RCF Thal"/>
    <s v="N.C.Urea(45kg)"/>
    <s v="WB"/>
    <x v="14"/>
    <m/>
    <s v="User Not Mapped"/>
    <s v="User Not Mapped"/>
    <s v="User Not Mapped"/>
    <n v="1507063"/>
    <s v="BRAJA KUMAR MANDAL"/>
    <s v="Private Retailer"/>
    <s v="9614602677"/>
    <n v="0.09"/>
    <n v="33"/>
    <x v="1"/>
    <m/>
    <s v="2026-03-25"/>
    <s v="281697"/>
    <s v="Md Samiruddin"/>
    <s v="7550808353"/>
  </r>
  <r>
    <s v="RCF Thal"/>
    <s v="N.C.Urea(45kg)"/>
    <s v="WB"/>
    <x v="14"/>
    <m/>
    <s v="User Not Mapped"/>
    <s v="User Not Mapped"/>
    <s v="User Not Mapped"/>
    <n v="1510472"/>
    <s v="SARKAR FERTILIZER"/>
    <s v="Private Retailer"/>
    <s v="9733980109"/>
    <n v="6.6150000000000002"/>
    <n v="42"/>
    <x v="1"/>
    <m/>
    <s v="2026-03-16"/>
    <s v="281698"/>
    <s v="Krishi Mahal"/>
    <s v="8536856527"/>
  </r>
  <r>
    <s v="RCF Thal"/>
    <s v="N.C.Urea(45kg)"/>
    <s v="WB"/>
    <x v="14"/>
    <m/>
    <s v="User Not Mapped"/>
    <s v="User Not Mapped"/>
    <s v="User Not Mapped"/>
    <n v="1519075"/>
    <s v="KABIR FERTILIZER"/>
    <s v="Private Retailer"/>
    <s v="9647434057"/>
    <n v="1.89"/>
    <n v="46"/>
    <x v="1"/>
    <m/>
    <s v="2026-03-12"/>
    <s v="289309"/>
    <s v="Fatema Begam"/>
    <s v="9733510936"/>
  </r>
  <r>
    <s v="RCF Thal"/>
    <s v="N.C.Urea(45kg)"/>
    <s v="WB"/>
    <x v="14"/>
    <m/>
    <s v="User Not Mapped"/>
    <s v="User Not Mapped"/>
    <s v="User Not Mapped"/>
    <n v="1534850"/>
    <s v="NAJIRA KHATUN"/>
    <s v="Private Retailer"/>
    <s v="9382198195"/>
    <n v="0.45"/>
    <n v="46"/>
    <x v="1"/>
    <m/>
    <s v="2026-03-12"/>
    <s v="289309"/>
    <s v="Fatema Begam"/>
    <s v="9733510936"/>
  </r>
  <r>
    <s v="RCF Thal"/>
    <s v="N.C.Urea(45kg)"/>
    <s v="WB"/>
    <x v="14"/>
    <m/>
    <s v="User Not Mapped"/>
    <s v="User Not Mapped"/>
    <s v="User Not Mapped"/>
    <n v="1581062"/>
    <s v="GHOSH FERTILIZER SEED"/>
    <s v="Private Retailer"/>
    <s v="9153432828"/>
    <n v="2.97"/>
    <n v="47"/>
    <x v="1"/>
    <m/>
    <s v="2026-03-11"/>
    <s v="223285"/>
    <s v="M/s. Golam Kibria"/>
    <s v="8371889332"/>
  </r>
  <r>
    <s v="RCF Thal"/>
    <s v="N.C.Urea(45kg)"/>
    <s v="WB"/>
    <x v="14"/>
    <m/>
    <s v="User Not Mapped"/>
    <s v="User Not Mapped"/>
    <s v="User Not Mapped"/>
    <n v="1589369"/>
    <s v="SAMIM FERTILIZER"/>
    <s v="Private Retailer"/>
    <s v="8972973494"/>
    <n v="0.53"/>
    <n v="44"/>
    <x v="1"/>
    <m/>
    <s v="2026-03-14"/>
    <s v="1159343"/>
    <s v="M/S TOHADDESH ALI"/>
    <s v="9932007562"/>
  </r>
  <r>
    <s v="RCF Thal"/>
    <s v="N.C.Urea(45kg)"/>
    <s v="WB"/>
    <x v="14"/>
    <m/>
    <s v="User Not Mapped"/>
    <s v="User Not Mapped"/>
    <s v="User Not Mapped"/>
    <n v="1598594"/>
    <s v="KIRTIPUR MATIR GOLPO FPC LTD"/>
    <s v="Private Retailer"/>
    <s v="7407137103"/>
    <n v="7.02"/>
    <n v="40"/>
    <x v="1"/>
    <m/>
    <s v="2026-03-18"/>
    <s v="281698"/>
    <s v="Krishi Mahal"/>
    <s v="8536856527"/>
  </r>
  <r>
    <s v="RCF Thal"/>
    <s v="N.C.Urea(45kg)"/>
    <s v="WB"/>
    <x v="14"/>
    <m/>
    <s v="User Not Mapped"/>
    <s v="User Not Mapped"/>
    <s v="User Not Mapped"/>
    <n v="1598594"/>
    <s v="KIRTIPUR MATIR GOLPO FPC LTD"/>
    <s v="Private Retailer"/>
    <s v="7407137103"/>
    <n v="7.02"/>
    <n v="9"/>
    <x v="4"/>
    <m/>
    <s v="2026-04-18"/>
    <s v="1463904"/>
    <s v="DEB NARAYAN BARAL"/>
    <s v="7585040500"/>
  </r>
  <r>
    <s v="RCF Trombay"/>
    <s v="N.C.Urea(45kg)"/>
    <s v="WB"/>
    <x v="15"/>
    <s v="Chakdah"/>
    <s v="User Not Mapped"/>
    <s v="User Not Mapped"/>
    <s v="User Not Mapped"/>
    <n v="243901"/>
    <s v="Paresh Nath Singha"/>
    <s v="District Cooperative Marketing Society"/>
    <s v="9126000006"/>
    <n v="4.8949999999999996"/>
    <n v="243"/>
    <x v="3"/>
    <m/>
    <s v="2025-08-27"/>
    <s v="214222"/>
    <s v="Mahamaya Enterprise"/>
    <s v="8348217174"/>
  </r>
  <r>
    <s v="RCF Trombay"/>
    <s v="N.C.Urea(45kg)"/>
    <s v="WB"/>
    <x v="15"/>
    <s v="Chakdah"/>
    <s v="User Not Mapped"/>
    <s v="User Not Mapped"/>
    <s v="User Not Mapped"/>
    <n v="340674"/>
    <s v="Abdul Ohab Gharami"/>
    <s v="Private Retailer"/>
    <s v="7872001104"/>
    <n v="1.8"/>
    <n v="49"/>
    <x v="1"/>
    <m/>
    <s v="2026-03-09"/>
    <s v="260209"/>
    <s v="M/S SUNIL KUMAR SAHA       "/>
    <s v="9434110995"/>
  </r>
  <r>
    <s v="RCF Thal"/>
    <s v="N.C.Urea(45kg)"/>
    <s v="WB"/>
    <x v="15"/>
    <s v="Chakdah"/>
    <s v="User Not Mapped"/>
    <s v="User Not Mapped"/>
    <s v="User Not Mapped"/>
    <n v="340674"/>
    <s v="Abdul Ohab Gharami"/>
    <s v="Private Retailer"/>
    <s v="7872001104"/>
    <n v="4.8600000000000003"/>
    <n v="214"/>
    <x v="3"/>
    <m/>
    <s v="2025-09-25"/>
    <s v="260209"/>
    <s v="M/S SUNIL KUMAR SAHA       "/>
    <s v="9434110995"/>
  </r>
  <r>
    <s v="RCF Thal"/>
    <s v="N.C.Urea(45kg)"/>
    <s v="WB"/>
    <x v="15"/>
    <s v="Chakdah"/>
    <s v="User Not Mapped"/>
    <s v="User Not Mapped"/>
    <s v="User Not Mapped"/>
    <n v="340674"/>
    <s v="Abdul Ohab Gharami"/>
    <s v="Private Retailer"/>
    <s v="7872001104"/>
    <n v="1.35"/>
    <n v="43"/>
    <x v="1"/>
    <m/>
    <s v="2026-03-15"/>
    <s v="260209"/>
    <s v="M/S SUNIL KUMAR SAHA       "/>
    <s v="9434110995"/>
  </r>
  <r>
    <s v="RCF Trombay"/>
    <s v="15-15-15"/>
    <s v="WB"/>
    <x v="15"/>
    <s v="Chakdah"/>
    <s v="User Not Mapped"/>
    <s v="User Not Mapped"/>
    <s v="User Not Mapped"/>
    <n v="340674"/>
    <s v="Abdul Ohab Gharami"/>
    <s v="Private Retailer"/>
    <s v="7872001104"/>
    <n v="0.43"/>
    <n v="74"/>
    <x v="2"/>
    <m/>
    <s v="2026-02-12"/>
    <s v="260209"/>
    <s v="M/S SUNIL KUMAR SAHA       "/>
    <s v="9434110995"/>
  </r>
  <r>
    <s v="RCF Import"/>
    <s v="Imp 10-26-26"/>
    <s v="WB"/>
    <x v="15"/>
    <s v="Chakdah"/>
    <s v="User Not Mapped"/>
    <s v="User Not Mapped"/>
    <s v="User Not Mapped"/>
    <n v="340674"/>
    <s v="Abdul Ohab Gharami"/>
    <s v="Private Retailer"/>
    <s v="7872001104"/>
    <n v="0.5"/>
    <n v="20"/>
    <x v="4"/>
    <m/>
    <s v="2026-04-07"/>
    <s v="260209"/>
    <s v="M/S SUNIL KUMAR SAHA       "/>
    <s v="9434110995"/>
  </r>
  <r>
    <s v="RCF Thal"/>
    <s v="N.C.Urea(45kg)"/>
    <s v="WB"/>
    <x v="15"/>
    <s v="Chakdah"/>
    <s v="User Not Mapped"/>
    <s v="User Not Mapped"/>
    <s v="User Not Mapped"/>
    <n v="340674"/>
    <s v="Abdul Ohab Gharami"/>
    <s v="Private Retailer"/>
    <s v="7872001104"/>
    <n v="9.99"/>
    <n v="20"/>
    <x v="4"/>
    <m/>
    <s v="2026-04-07"/>
    <s v="260209"/>
    <s v="M/S SUNIL KUMAR SAHA       "/>
    <s v="9434110995"/>
  </r>
  <r>
    <s v="RCF Trombay"/>
    <s v="N.C.Urea(45kg)"/>
    <s v="WB"/>
    <x v="15"/>
    <s v="Chakdah"/>
    <s v="User Not Mapped"/>
    <s v="User Not Mapped"/>
    <s v="User Not Mapped"/>
    <n v="340674"/>
    <s v="Abdul Ohab Gharami"/>
    <s v="Private Retailer"/>
    <s v="7872001104"/>
    <n v="1.2150000000000001"/>
    <n v="62"/>
    <x v="2"/>
    <m/>
    <s v="2026-02-24"/>
    <s v="260209"/>
    <s v="M/S SUNIL KUMAR SAHA       "/>
    <s v="9434110995"/>
  </r>
  <r>
    <s v="RCF Trombay"/>
    <s v="15-15-15"/>
    <s v="WB"/>
    <x v="15"/>
    <s v="Chakdah"/>
    <s v="User Not Mapped"/>
    <s v="User Not Mapped"/>
    <s v="User Not Mapped"/>
    <n v="340675"/>
    <s v="Abdul Ohab Mondal"/>
    <s v="Private Retailer"/>
    <s v="9126211877"/>
    <n v="0.2"/>
    <n v="60"/>
    <x v="1"/>
    <m/>
    <s v="2026-02-26"/>
    <s v="260177"/>
    <s v="SatyaRanjan Kundu and Brothers"/>
    <s v="7908186730"/>
  </r>
  <r>
    <s v="RCF Import"/>
    <s v="MOP"/>
    <s v="WB"/>
    <x v="15"/>
    <s v="Chakdah"/>
    <s v="User Not Mapped"/>
    <s v="User Not Mapped"/>
    <s v="User Not Mapped"/>
    <n v="340675"/>
    <s v="Abdul Ohab Mondal"/>
    <s v="Private Retailer"/>
    <s v="9126211877"/>
    <n v="5"/>
    <n v="28"/>
    <x v="4"/>
    <m/>
    <s v="2026-03-30"/>
    <s v="260177"/>
    <s v="SatyaRanjan Kundu and Brothers"/>
    <s v="7908186730"/>
  </r>
  <r>
    <s v="RCF Thal"/>
    <s v="N.C.Urea(45kg)"/>
    <s v="WB"/>
    <x v="15"/>
    <s v="Chakdah"/>
    <s v="User Not Mapped"/>
    <s v="User Not Mapped"/>
    <s v="User Not Mapped"/>
    <n v="340675"/>
    <s v="Abdul Ohab Mondal"/>
    <s v="Private Retailer"/>
    <s v="9126211877"/>
    <n v="9.98"/>
    <n v="45"/>
    <x v="1"/>
    <m/>
    <s v="2026-03-13"/>
    <s v="260177"/>
    <s v="SatyaRanjan Kundu and Brothers"/>
    <s v="7908186730"/>
  </r>
  <r>
    <s v="RCF Import"/>
    <s v="MOP"/>
    <s v="WB"/>
    <x v="15"/>
    <s v="Chakdah"/>
    <s v="User Not Mapped"/>
    <s v="User Not Mapped"/>
    <s v="User Not Mapped"/>
    <n v="340675"/>
    <s v="Abdul Ohab Mondal"/>
    <s v="Private Retailer"/>
    <s v="9126211877"/>
    <n v="3.2"/>
    <n v="62"/>
    <x v="2"/>
    <m/>
    <s v="2026-02-24"/>
    <s v="260177"/>
    <s v="SatyaRanjan Kundu and Brothers"/>
    <s v="7908186730"/>
  </r>
  <r>
    <s v="RCF Trombay"/>
    <s v="15-15-15"/>
    <s v="WB"/>
    <x v="15"/>
    <s v="Chakdah"/>
    <s v="User Not Mapped"/>
    <s v="User Not Mapped"/>
    <s v="User Not Mapped"/>
    <n v="340708"/>
    <s v="M/S Achinta Kr Das"/>
    <s v="Private Retailer"/>
    <s v="7432976986"/>
    <n v="0.1"/>
    <n v="252"/>
    <x v="3"/>
    <m/>
    <s v="2025-08-18"/>
    <s v="260177"/>
    <s v="SatyaRanjan Kundu and Brothers"/>
    <s v="7908186730"/>
  </r>
  <r>
    <s v="RCF Import"/>
    <s v="MOP"/>
    <s v="WB"/>
    <x v="15"/>
    <s v="Chakdah"/>
    <s v="User Not Mapped"/>
    <s v="User Not Mapped"/>
    <s v="User Not Mapped"/>
    <n v="340708"/>
    <s v="M/S Achinta Kr Das"/>
    <s v="Private Retailer"/>
    <s v="7432976986"/>
    <n v="0.6"/>
    <n v="59"/>
    <x v="1"/>
    <m/>
    <s v="2026-02-27"/>
    <s v="441419"/>
    <s v="M/S Namita Chanda"/>
    <s v="9775677020"/>
  </r>
  <r>
    <s v="RCF Import"/>
    <s v="Imp 10-26-26"/>
    <s v="WB"/>
    <x v="15"/>
    <s v="Chakdah"/>
    <s v="User Not Mapped"/>
    <s v="User Not Mapped"/>
    <s v="User Not Mapped"/>
    <n v="340739"/>
    <s v="M/S Ajoy Ghosh"/>
    <s v="Private Retailer"/>
    <s v="9002018117"/>
    <n v="0.5"/>
    <n v="20"/>
    <x v="4"/>
    <m/>
    <s v="2026-04-07"/>
    <s v="260209"/>
    <s v="M/S SUNIL KUMAR SAHA       "/>
    <s v="9434110995"/>
  </r>
  <r>
    <s v="RCF Thal"/>
    <s v="N.C.Urea(45kg)"/>
    <s v="WB"/>
    <x v="15"/>
    <s v="Chakdah"/>
    <s v="User Not Mapped"/>
    <s v="User Not Mapped"/>
    <s v="User Not Mapped"/>
    <n v="340739"/>
    <s v="M/S Ajoy Ghosh"/>
    <s v="Private Retailer"/>
    <s v="9002018117"/>
    <n v="5.085"/>
    <n v="42"/>
    <x v="1"/>
    <m/>
    <s v="2026-03-16"/>
    <s v="280729"/>
    <s v="M/s. Naresh Chandra Das"/>
    <s v="7365868045"/>
  </r>
  <r>
    <s v="RCF Trombay"/>
    <s v="15-15-15"/>
    <s v="WB"/>
    <x v="15"/>
    <s v="Chakdah"/>
    <s v="User Not Mapped"/>
    <s v="User Not Mapped"/>
    <s v="User Not Mapped"/>
    <n v="340739"/>
    <s v="M/S Ajoy Ghosh"/>
    <s v="Private Retailer"/>
    <s v="9002018117"/>
    <n v="0.05"/>
    <n v="59"/>
    <x v="1"/>
    <m/>
    <s v="2026-02-27"/>
    <s v="260209"/>
    <s v="M/S SUNIL KUMAR SAHA       "/>
    <s v="9434110995"/>
  </r>
  <r>
    <s v="RCF Trombay"/>
    <s v="15-15-15"/>
    <s v="WB"/>
    <x v="15"/>
    <s v="Chakdah"/>
    <s v="User Not Mapped"/>
    <s v="User Not Mapped"/>
    <s v="User Not Mapped"/>
    <n v="340739"/>
    <s v="M/S Ajoy Ghosh"/>
    <s v="Private Retailer"/>
    <s v="9002018117"/>
    <n v="0.5"/>
    <n v="49"/>
    <x v="1"/>
    <m/>
    <s v="2026-03-09"/>
    <s v="260209"/>
    <s v="M/S SUNIL KUMAR SAHA       "/>
    <s v="9434110995"/>
  </r>
  <r>
    <s v="RCF Thal"/>
    <s v="N.C.Urea(45kg)"/>
    <s v="WB"/>
    <x v="15"/>
    <s v="Chakdah"/>
    <s v="User Not Mapped"/>
    <s v="User Not Mapped"/>
    <s v="User Not Mapped"/>
    <n v="340767"/>
    <s v="Altab Mondal"/>
    <s v="Private Retailer"/>
    <s v="9874521784"/>
    <n v="3.2850000000000001"/>
    <n v="4"/>
    <x v="4"/>
    <m/>
    <s v="2026-04-23"/>
    <s v="214222"/>
    <s v="Mahamaya Enterprise"/>
    <s v="8348217174"/>
  </r>
  <r>
    <s v="RCF Trombay"/>
    <s v="15-15-15"/>
    <s v="WB"/>
    <x v="15"/>
    <s v="Chakdah"/>
    <s v="User Not Mapped"/>
    <s v="User Not Mapped"/>
    <s v="User Not Mapped"/>
    <n v="340767"/>
    <s v="Altab Mondal"/>
    <s v="Private Retailer"/>
    <s v="9874521784"/>
    <n v="0.65"/>
    <n v="88"/>
    <x v="2"/>
    <m/>
    <s v="2026-01-29"/>
    <s v="1043444"/>
    <s v="UMA RANI SAHA"/>
    <s v="9775414001"/>
  </r>
  <r>
    <s v="RCF Trombay"/>
    <s v="15-15-15"/>
    <s v="WB"/>
    <x v="15"/>
    <s v="Chakdah"/>
    <s v="User Not Mapped"/>
    <s v="User Not Mapped"/>
    <s v="User Not Mapped"/>
    <n v="340774"/>
    <s v="Amal Mondal"/>
    <s v="Private Retailer"/>
    <s v="9733620254"/>
    <n v="0.25"/>
    <n v="68"/>
    <x v="2"/>
    <m/>
    <s v="2026-02-18"/>
    <s v="260210"/>
    <s v="Gouri Sankar Kundu            "/>
    <s v="9064539774"/>
  </r>
  <r>
    <s v="RCF Trombay"/>
    <s v="N.C.Urea(45kg)"/>
    <s v="WB"/>
    <x v="15"/>
    <s v="Chakdah"/>
    <s v="User Not Mapped"/>
    <s v="User Not Mapped"/>
    <s v="User Not Mapped"/>
    <n v="340774"/>
    <s v="Amal Mondal"/>
    <s v="Private Retailer"/>
    <s v="9733620254"/>
    <n v="0.58499999999999996"/>
    <n v="60"/>
    <x v="1"/>
    <m/>
    <s v="2026-02-26"/>
    <s v="260210"/>
    <s v="Gouri Sankar Kundu            "/>
    <s v="9064539774"/>
  </r>
  <r>
    <s v="RCF Import"/>
    <s v="MOP"/>
    <s v="WB"/>
    <x v="15"/>
    <s v="Chakdah"/>
    <s v="User Not Mapped"/>
    <s v="User Not Mapped"/>
    <s v="User Not Mapped"/>
    <n v="340774"/>
    <s v="Amal Mondal"/>
    <s v="Private Retailer"/>
    <s v="9733620254"/>
    <n v="0.85"/>
    <n v="44"/>
    <x v="1"/>
    <m/>
    <s v="2026-03-14"/>
    <s v="260210"/>
    <s v="Gouri Sankar Kundu            "/>
    <s v="9064539774"/>
  </r>
  <r>
    <s v="RCF Trombay"/>
    <s v="15-15-15"/>
    <s v="WB"/>
    <x v="15"/>
    <s v="Chakdah"/>
    <s v="User Not Mapped"/>
    <s v="User Not Mapped"/>
    <s v="User Not Mapped"/>
    <n v="340774"/>
    <s v="Amal Mondal"/>
    <s v="Private Retailer"/>
    <s v="9733620254"/>
    <n v="0.25"/>
    <n v="75"/>
    <x v="2"/>
    <m/>
    <s v="2026-02-11"/>
    <s v="281285"/>
    <s v="Bhabani Prosad Chattopadhy"/>
    <s v="7548026544"/>
  </r>
  <r>
    <s v="RCF Trombay"/>
    <s v="15-15-15"/>
    <s v="WB"/>
    <x v="15"/>
    <s v="Chakdah"/>
    <s v="User Not Mapped"/>
    <s v="User Not Mapped"/>
    <s v="User Not Mapped"/>
    <n v="340774"/>
    <s v="Amal Mondal"/>
    <s v="Private Retailer"/>
    <s v="9733620254"/>
    <n v="0.5"/>
    <n v="64"/>
    <x v="2"/>
    <m/>
    <s v="2026-02-22"/>
    <s v="281285"/>
    <s v="Bhabani Prosad Chattopadhy"/>
    <s v="7548026544"/>
  </r>
  <r>
    <s v="RCF Import"/>
    <s v="MOP"/>
    <s v="WB"/>
    <x v="15"/>
    <s v="Chakdah"/>
    <s v="User Not Mapped"/>
    <s v="User Not Mapped"/>
    <s v="User Not Mapped"/>
    <n v="340774"/>
    <s v="Amal Mondal"/>
    <s v="Private Retailer"/>
    <s v="9733620254"/>
    <n v="0.5"/>
    <n v="30"/>
    <x v="4"/>
    <m/>
    <s v="2026-03-28"/>
    <s v="260210"/>
    <s v="Gouri Sankar Kundu            "/>
    <s v="9064539774"/>
  </r>
  <r>
    <s v="RCF Trombay"/>
    <s v="15-15-15"/>
    <s v="WB"/>
    <x v="15"/>
    <s v="Chakdah"/>
    <s v="User Not Mapped"/>
    <s v="User Not Mapped"/>
    <s v="User Not Mapped"/>
    <n v="340774"/>
    <s v="Amal Mondal"/>
    <s v="Private Retailer"/>
    <s v="9733620254"/>
    <n v="0.5"/>
    <n v="22"/>
    <x v="4"/>
    <m/>
    <s v="2026-04-05"/>
    <s v="281285"/>
    <s v="Bhabani Prosad Chattopadhy"/>
    <s v="7548026544"/>
  </r>
  <r>
    <s v="RCF Trombay"/>
    <s v="15-15-15"/>
    <s v="WB"/>
    <x v="15"/>
    <s v="Chakdah"/>
    <s v="User Not Mapped"/>
    <s v="User Not Mapped"/>
    <s v="User Not Mapped"/>
    <n v="340774"/>
    <s v="Amal Mondal"/>
    <s v="Private Retailer"/>
    <s v="9733620254"/>
    <n v="0.1"/>
    <n v="84"/>
    <x v="2"/>
    <m/>
    <s v="2026-02-02"/>
    <s v="281285"/>
    <s v="Bhabani Prosad Chattopadhy"/>
    <s v="7548026544"/>
  </r>
  <r>
    <s v="RCF Thal"/>
    <s v="N.C.Urea(45kg)"/>
    <s v="WB"/>
    <x v="15"/>
    <s v="Chakdah"/>
    <s v="User Not Mapped"/>
    <s v="User Not Mapped"/>
    <s v="User Not Mapped"/>
    <n v="340785"/>
    <s v="Amit Biswas"/>
    <s v="Private Retailer"/>
    <s v="9800702675"/>
    <n v="3.8250000000000002"/>
    <n v="43"/>
    <x v="1"/>
    <m/>
    <s v="2026-03-15"/>
    <s v="281284"/>
    <s v="Sadhan Kumar Ghosh"/>
    <s v="7602136568"/>
  </r>
  <r>
    <s v="RCF Import"/>
    <s v="Imp 10-26-26"/>
    <s v="WB"/>
    <x v="15"/>
    <s v="Chakdah"/>
    <s v="User Not Mapped"/>
    <s v="User Not Mapped"/>
    <s v="User Not Mapped"/>
    <n v="340808"/>
    <s v="Ananda Tarafder"/>
    <s v="Private Retailer"/>
    <s v="9609366643"/>
    <n v="8.9999999999999993E-3"/>
    <n v="45"/>
    <x v="1"/>
    <m/>
    <s v="2026-03-13"/>
    <s v="281285"/>
    <s v="Bhabani Prosad Chattopadhy"/>
    <s v="7548026544"/>
  </r>
  <r>
    <s v="RCF Trombay"/>
    <s v="N.C.Urea(45kg)"/>
    <s v="WB"/>
    <x v="15"/>
    <s v="Chakdah"/>
    <s v="User Not Mapped"/>
    <s v="User Not Mapped"/>
    <s v="User Not Mapped"/>
    <n v="340808"/>
    <s v="Ananda Tarafder"/>
    <s v="Private Retailer"/>
    <s v="9609366643"/>
    <n v="9.7000000000000003E-2"/>
    <n v="84"/>
    <x v="2"/>
    <m/>
    <s v="2026-02-02"/>
    <s v="281285"/>
    <s v="Bhabani Prosad Chattopadhy"/>
    <s v="7548026544"/>
  </r>
  <r>
    <s v="RCF Thal"/>
    <s v="N.C.Urea(45kg)"/>
    <s v="WB"/>
    <x v="15"/>
    <s v="Chakdah"/>
    <s v="User Not Mapped"/>
    <s v="User Not Mapped"/>
    <s v="User Not Mapped"/>
    <n v="340808"/>
    <s v="Ananda Tarafder"/>
    <s v="Private Retailer"/>
    <s v="9609366643"/>
    <n v="0.21199999999999999"/>
    <n v="43"/>
    <x v="1"/>
    <m/>
    <s v="2026-03-15"/>
    <s v="281285"/>
    <s v="Bhabani Prosad Chattopadhy"/>
    <s v="7548026544"/>
  </r>
  <r>
    <s v="RCF Import"/>
    <s v="MOP"/>
    <s v="WB"/>
    <x v="15"/>
    <s v="Chakdah"/>
    <s v="User Not Mapped"/>
    <s v="User Not Mapped"/>
    <s v="User Not Mapped"/>
    <n v="340913"/>
    <s v="Ashoke Kr. Ghosh"/>
    <s v="Private Retailer"/>
    <s v="9002479294"/>
    <n v="0.05"/>
    <n v="43"/>
    <x v="1"/>
    <m/>
    <s v="2026-03-15"/>
    <s v="281285"/>
    <s v="Bhabani Prosad Chattopadhy"/>
    <s v="7548026544"/>
  </r>
  <r>
    <s v="RCF Import"/>
    <s v="Imp 10-26-26"/>
    <s v="WB"/>
    <x v="15"/>
    <s v="Chakdah"/>
    <s v="User Not Mapped"/>
    <s v="User Not Mapped"/>
    <s v="User Not Mapped"/>
    <n v="340913"/>
    <s v="Ashoke Kr. Ghosh"/>
    <s v="Private Retailer"/>
    <s v="9002479294"/>
    <n v="1.5"/>
    <n v="20"/>
    <x v="4"/>
    <m/>
    <s v="2026-04-07"/>
    <s v="260209"/>
    <s v="M/S SUNIL KUMAR SAHA       "/>
    <s v="9434110995"/>
  </r>
  <r>
    <s v="RCF Thal"/>
    <s v="N.C.Urea(45kg)"/>
    <s v="WB"/>
    <x v="15"/>
    <s v="Chakdah"/>
    <s v="User Not Mapped"/>
    <s v="User Not Mapped"/>
    <s v="User Not Mapped"/>
    <n v="340963"/>
    <s v="M/S Ayub Hossain"/>
    <s v="Private Retailer"/>
    <s v="8101160879"/>
    <n v="3.5000000000000003E-2"/>
    <n v="1201"/>
    <x v="7"/>
    <m/>
    <s v="2023-01-12"/>
    <s v="260209"/>
    <s v="M/S SUNIL KUMAR SAHA       "/>
    <s v="9434110995"/>
  </r>
  <r>
    <s v="RCF Trombay"/>
    <s v="N.C.Urea(45kg)"/>
    <s v="WB"/>
    <x v="15"/>
    <s v="Chakdah"/>
    <s v="User Not Mapped"/>
    <s v="User Not Mapped"/>
    <s v="User Not Mapped"/>
    <n v="340963"/>
    <s v="M/S Ayub Hossain"/>
    <s v="Private Retailer"/>
    <s v="8101160879"/>
    <n v="0.13500000000000001"/>
    <n v="771"/>
    <x v="7"/>
    <m/>
    <s v="2024-03-17"/>
    <s v="260209"/>
    <s v="M/S SUNIL KUMAR SAHA       "/>
    <s v="9434110995"/>
  </r>
  <r>
    <s v="RCF Thal"/>
    <s v="N.C.Urea(45kg)"/>
    <s v="WB"/>
    <x v="15"/>
    <s v="Chakdah"/>
    <s v="User Not Mapped"/>
    <s v="User Not Mapped"/>
    <s v="User Not Mapped"/>
    <n v="340975"/>
    <s v="Babul Ch. Bala"/>
    <s v="Private Retailer"/>
    <s v="9831441598"/>
    <n v="4.4999999999999998E-2"/>
    <n v="21"/>
    <x v="4"/>
    <m/>
    <s v="2026-04-06"/>
    <s v="260210"/>
    <s v="Gouri Sankar Kundu            "/>
    <s v="9064539774"/>
  </r>
  <r>
    <s v="RCF Trombay"/>
    <s v="N.C.Urea(45kg)"/>
    <s v="WB"/>
    <x v="15"/>
    <s v="Chakdah"/>
    <s v="User Not Mapped"/>
    <s v="User Not Mapped"/>
    <s v="User Not Mapped"/>
    <n v="340975"/>
    <s v="Babul Ch. Bala"/>
    <s v="Private Retailer"/>
    <s v="9831441598"/>
    <n v="0.12"/>
    <n v="60"/>
    <x v="1"/>
    <m/>
    <s v="2026-02-26"/>
    <s v="260209"/>
    <s v="M/S SUNIL KUMAR SAHA       "/>
    <s v="9434110995"/>
  </r>
  <r>
    <s v="RCF Trombay"/>
    <s v="15-15-15"/>
    <s v="WB"/>
    <x v="15"/>
    <s v="Chakdah"/>
    <s v="User Not Mapped"/>
    <s v="User Not Mapped"/>
    <s v="User Not Mapped"/>
    <n v="340975"/>
    <s v="Babul Ch. Bala"/>
    <s v="Private Retailer"/>
    <s v="9831441598"/>
    <n v="0.5"/>
    <n v="81"/>
    <x v="2"/>
    <m/>
    <s v="2026-02-05"/>
    <s v="260210"/>
    <s v="Gouri Sankar Kundu            "/>
    <s v="9064539774"/>
  </r>
  <r>
    <s v="RCF Trombay"/>
    <s v="15-15-15"/>
    <s v="WB"/>
    <x v="15"/>
    <s v="Chakdah"/>
    <s v="User Not Mapped"/>
    <s v="User Not Mapped"/>
    <s v="User Not Mapped"/>
    <n v="340975"/>
    <s v="Babul Ch. Bala"/>
    <s v="Private Retailer"/>
    <s v="9831441598"/>
    <n v="0.53500000000000003"/>
    <n v="142"/>
    <x v="0"/>
    <m/>
    <s v="2025-12-06"/>
    <s v="260210"/>
    <s v="Gouri Sankar Kundu            "/>
    <s v="9064539774"/>
  </r>
  <r>
    <s v="RCF Trombay"/>
    <s v="15-15-15"/>
    <s v="WB"/>
    <x v="15"/>
    <s v="Chakdah"/>
    <s v="User Not Mapped"/>
    <s v="User Not Mapped"/>
    <s v="User Not Mapped"/>
    <n v="340998"/>
    <s v="Bapi Biswas"/>
    <s v="Private Retailer"/>
    <s v="9332939212"/>
    <n v="0.15"/>
    <n v="56"/>
    <x v="1"/>
    <m/>
    <s v="2026-03-02"/>
    <s v="260210"/>
    <s v="Gouri Sankar Kundu            "/>
    <s v="9064539774"/>
  </r>
  <r>
    <s v="RCF Thal"/>
    <s v="N.C.Urea(45kg)"/>
    <s v="WB"/>
    <x v="15"/>
    <s v="Chakdah"/>
    <s v="User Not Mapped"/>
    <s v="User Not Mapped"/>
    <s v="User Not Mapped"/>
    <n v="340998"/>
    <s v="Bapi Biswas"/>
    <s v="Private Retailer"/>
    <s v="9332939212"/>
    <n v="0.13500000000000001"/>
    <n v="11"/>
    <x v="4"/>
    <m/>
    <s v="2026-04-16"/>
    <s v="260210"/>
    <s v="Gouri Sankar Kundu            "/>
    <s v="9064539774"/>
  </r>
  <r>
    <s v="RCF Import"/>
    <s v="MOP"/>
    <s v="WB"/>
    <x v="15"/>
    <s v="Chakdah"/>
    <s v="User Not Mapped"/>
    <s v="User Not Mapped"/>
    <s v="User Not Mapped"/>
    <n v="340998"/>
    <s v="Bapi Biswas"/>
    <s v="Private Retailer"/>
    <s v="9332939212"/>
    <n v="0.14000000000000001"/>
    <n v="44"/>
    <x v="1"/>
    <m/>
    <s v="2026-03-14"/>
    <s v="260210"/>
    <s v="Gouri Sankar Kundu            "/>
    <s v="9064539774"/>
  </r>
  <r>
    <s v="RCF Import"/>
    <s v="MOP"/>
    <s v="WB"/>
    <x v="15"/>
    <s v="Chakdah"/>
    <s v="User Not Mapped"/>
    <s v="User Not Mapped"/>
    <s v="User Not Mapped"/>
    <n v="340998"/>
    <s v="Bapi Biswas"/>
    <s v="Private Retailer"/>
    <s v="9332939212"/>
    <n v="0.15"/>
    <n v="39"/>
    <x v="1"/>
    <m/>
    <s v="2026-03-19"/>
    <s v="260210"/>
    <s v="Gouri Sankar Kundu            "/>
    <s v="9064539774"/>
  </r>
  <r>
    <s v="RCF Import"/>
    <s v="MOP"/>
    <s v="WB"/>
    <x v="15"/>
    <s v="Chakdah"/>
    <s v="User Not Mapped"/>
    <s v="User Not Mapped"/>
    <s v="User Not Mapped"/>
    <n v="340998"/>
    <s v="Bapi Biswas"/>
    <s v="Private Retailer"/>
    <s v="9332939212"/>
    <n v="0.3"/>
    <n v="37"/>
    <x v="1"/>
    <m/>
    <s v="2026-03-21"/>
    <s v="260210"/>
    <s v="Gouri Sankar Kundu            "/>
    <s v="9064539774"/>
  </r>
  <r>
    <s v="RCF Thal"/>
    <s v="N.C.Urea(45kg)"/>
    <s v="WB"/>
    <x v="15"/>
    <s v="Chakdah"/>
    <s v="User Not Mapped"/>
    <s v="User Not Mapped"/>
    <s v="User Not Mapped"/>
    <n v="340998"/>
    <s v="Bapi Biswas"/>
    <s v="Private Retailer"/>
    <s v="9332939212"/>
    <n v="0.63"/>
    <n v="37"/>
    <x v="1"/>
    <m/>
    <s v="2026-03-21"/>
    <s v="260210"/>
    <s v="Gouri Sankar Kundu            "/>
    <s v="9064539774"/>
  </r>
  <r>
    <s v="RCF Trombay"/>
    <s v="15-15-15"/>
    <s v="WB"/>
    <x v="15"/>
    <s v="Chakdah"/>
    <s v="User Not Mapped"/>
    <s v="User Not Mapped"/>
    <s v="User Not Mapped"/>
    <n v="340998"/>
    <s v="Bapi Biswas"/>
    <s v="Private Retailer"/>
    <s v="9332939212"/>
    <n v="0.1"/>
    <n v="44"/>
    <x v="1"/>
    <m/>
    <s v="2026-03-14"/>
    <s v="260210"/>
    <s v="Gouri Sankar Kundu            "/>
    <s v="9064539774"/>
  </r>
  <r>
    <s v="RCF Trombay"/>
    <s v="15-15-15"/>
    <s v="WB"/>
    <x v="15"/>
    <s v="Chakdah"/>
    <s v="User Not Mapped"/>
    <s v="User Not Mapped"/>
    <s v="User Not Mapped"/>
    <n v="340998"/>
    <s v="Bapi Biswas"/>
    <s v="Private Retailer"/>
    <s v="9332939212"/>
    <n v="0.105"/>
    <n v="71"/>
    <x v="2"/>
    <m/>
    <s v="2026-02-15"/>
    <s v="260210"/>
    <s v="Gouri Sankar Kundu            "/>
    <s v="9064539774"/>
  </r>
  <r>
    <s v="RCF Import"/>
    <s v="MOP"/>
    <s v="WB"/>
    <x v="15"/>
    <s v="Chakdah"/>
    <s v="User Not Mapped"/>
    <s v="User Not Mapped"/>
    <s v="User Not Mapped"/>
    <n v="340998"/>
    <s v="Bapi Biswas"/>
    <s v="Private Retailer"/>
    <s v="9332939212"/>
    <n v="0.25"/>
    <n v="27"/>
    <x v="4"/>
    <m/>
    <s v="2026-03-31"/>
    <s v="260210"/>
    <s v="Gouri Sankar Kundu            "/>
    <s v="9064539774"/>
  </r>
  <r>
    <s v="RCF Thal"/>
    <s v="N.C.Urea(45kg)"/>
    <s v="WB"/>
    <x v="15"/>
    <s v="Chakdah"/>
    <s v="User Not Mapped"/>
    <s v="User Not Mapped"/>
    <s v="User Not Mapped"/>
    <n v="340998"/>
    <s v="Bapi Biswas"/>
    <s v="Private Retailer"/>
    <s v="9332939212"/>
    <n v="0.36"/>
    <n v="21"/>
    <x v="4"/>
    <m/>
    <s v="2026-04-06"/>
    <s v="260210"/>
    <s v="Gouri Sankar Kundu            "/>
    <s v="9064539774"/>
  </r>
  <r>
    <s v="RCF Trombay"/>
    <s v="15-15-15"/>
    <s v="WB"/>
    <x v="15"/>
    <s v="Chakdah"/>
    <s v="User Not Mapped"/>
    <s v="User Not Mapped"/>
    <s v="User Not Mapped"/>
    <n v="341084"/>
    <s v="M/S BIMAL KUMAR PAUL"/>
    <s v="Private Retailer"/>
    <s v="7699566571"/>
    <n v="0.25"/>
    <n v="44"/>
    <x v="1"/>
    <m/>
    <s v="2026-03-14"/>
    <s v="260209"/>
    <s v="M/S SUNIL KUMAR SAHA       "/>
    <s v="9434110995"/>
  </r>
  <r>
    <s v="RCF Trombay"/>
    <s v="15-15-15"/>
    <s v="WB"/>
    <x v="15"/>
    <s v="Chakdah"/>
    <s v="User Not Mapped"/>
    <s v="User Not Mapped"/>
    <s v="User Not Mapped"/>
    <n v="341120"/>
    <s v="Bishnupada Sarkar"/>
    <s v="Private Retailer"/>
    <s v="9775078840"/>
    <n v="0.4"/>
    <n v="426"/>
    <x v="6"/>
    <m/>
    <s v="2025-02-25"/>
    <s v="260177"/>
    <s v="SatyaRanjan Kundu and Brothers"/>
    <s v="7908186730"/>
  </r>
  <r>
    <s v="RCF Thal"/>
    <s v="N.C.Urea(45kg)"/>
    <s v="WB"/>
    <x v="15"/>
    <s v="Chakdah"/>
    <s v="User Not Mapped"/>
    <s v="User Not Mapped"/>
    <s v="User Not Mapped"/>
    <n v="341236"/>
    <s v="Debasish Ghosh"/>
    <s v="Private Retailer"/>
    <s v="9832266306"/>
    <n v="1.8"/>
    <n v="36"/>
    <x v="1"/>
    <m/>
    <s v="2026-03-22"/>
    <s v="260209"/>
    <s v="M/S SUNIL KUMAR SAHA       "/>
    <s v="9434110995"/>
  </r>
  <r>
    <s v="RCF Trombay SCU"/>
    <s v="Sulphur Coated Urea(40Kg)"/>
    <s v="WB"/>
    <x v="15"/>
    <s v="Chakdah"/>
    <s v="User Not Mapped"/>
    <s v="User Not Mapped"/>
    <s v="User Not Mapped"/>
    <n v="341236"/>
    <s v="Debasish Ghosh"/>
    <s v="Private Retailer"/>
    <s v="9832266306"/>
    <n v="0.03"/>
    <n v="511"/>
    <x v="6"/>
    <m/>
    <s v="2024-12-02"/>
    <s v="260209"/>
    <s v="M/S SUNIL KUMAR SAHA       "/>
    <s v="9434110995"/>
  </r>
  <r>
    <s v="RCF Thal"/>
    <s v="N.C.Urea(45kg)"/>
    <s v="WB"/>
    <x v="15"/>
    <s v="Chakdah"/>
    <s v="User Not Mapped"/>
    <s v="User Not Mapped"/>
    <s v="User Not Mapped"/>
    <n v="341236"/>
    <s v="Debasish Ghosh"/>
    <s v="Private Retailer"/>
    <s v="9832266306"/>
    <n v="0.45"/>
    <n v="45"/>
    <x v="1"/>
    <m/>
    <s v="2026-03-13"/>
    <s v="260209"/>
    <s v="M/S SUNIL KUMAR SAHA       "/>
    <s v="9434110995"/>
  </r>
  <r>
    <s v="RCF Thal"/>
    <s v="N.C.Urea(45kg)"/>
    <s v="WB"/>
    <x v="15"/>
    <s v="Chakdah"/>
    <s v="User Not Mapped"/>
    <s v="User Not Mapped"/>
    <s v="User Not Mapped"/>
    <n v="341236"/>
    <s v="Debasish Ghosh"/>
    <s v="Private Retailer"/>
    <s v="9832266306"/>
    <n v="1.125"/>
    <n v="42"/>
    <x v="1"/>
    <m/>
    <s v="2026-03-16"/>
    <s v="260209"/>
    <s v="M/S SUNIL KUMAR SAHA       "/>
    <s v="9434110995"/>
  </r>
  <r>
    <s v="RCF Thal"/>
    <s v="N.C.Urea(45kg)"/>
    <s v="WB"/>
    <x v="15"/>
    <s v="Chakdah"/>
    <s v="User Not Mapped"/>
    <s v="User Not Mapped"/>
    <s v="User Not Mapped"/>
    <n v="341236"/>
    <s v="Debasish Ghosh"/>
    <s v="Private Retailer"/>
    <s v="9832266306"/>
    <n v="0.22500000000000001"/>
    <n v="38"/>
    <x v="1"/>
    <m/>
    <s v="2026-03-20"/>
    <s v="260209"/>
    <s v="M/S SUNIL KUMAR SAHA       "/>
    <s v="9434110995"/>
  </r>
  <r>
    <s v="RCF Thal"/>
    <s v="N.C.Urea(45kg)"/>
    <s v="WB"/>
    <x v="15"/>
    <s v="Chakdah"/>
    <s v="User Not Mapped"/>
    <s v="User Not Mapped"/>
    <s v="User Not Mapped"/>
    <n v="341266"/>
    <s v="Dhirendra Nath Biswas"/>
    <s v="Private Retailer"/>
    <s v="8145194166"/>
    <n v="2.0249999999999999"/>
    <n v="21"/>
    <x v="4"/>
    <m/>
    <s v="2026-04-06"/>
    <s v="260177"/>
    <s v="SatyaRanjan Kundu and Brothers"/>
    <s v="7908186730"/>
  </r>
  <r>
    <s v="RCF Trombay"/>
    <s v="N.C.Urea(45kg)"/>
    <s v="WB"/>
    <x v="15"/>
    <s v="Chakdah"/>
    <s v="User Not Mapped"/>
    <s v="User Not Mapped"/>
    <s v="User Not Mapped"/>
    <n v="341273"/>
    <s v="M/S DILIP KUMAR BALA"/>
    <s v="Private Retailer"/>
    <s v="8250938260"/>
    <n v="2.25"/>
    <n v="91"/>
    <x v="5"/>
    <m/>
    <s v="2026-01-26"/>
    <s v="260209"/>
    <s v="M/S SUNIL KUMAR SAHA       "/>
    <s v="9434110995"/>
  </r>
  <r>
    <s v="RCF Thal"/>
    <s v="N.C.Urea(45kg)"/>
    <s v="WB"/>
    <x v="15"/>
    <s v="Chakdah"/>
    <s v="User Not Mapped"/>
    <s v="User Not Mapped"/>
    <s v="User Not Mapped"/>
    <n v="341273"/>
    <s v="M/S DILIP KUMAR BALA"/>
    <s v="Private Retailer"/>
    <s v="8250938260"/>
    <n v="19.98"/>
    <n v="20"/>
    <x v="4"/>
    <m/>
    <s v="2026-04-07"/>
    <s v="260209"/>
    <s v="M/S SUNIL KUMAR SAHA       "/>
    <s v="9434110995"/>
  </r>
  <r>
    <s v="RCF Import"/>
    <s v="Imp 10-26-26"/>
    <s v="WB"/>
    <x v="15"/>
    <s v="Chakdah"/>
    <s v="User Not Mapped"/>
    <s v="User Not Mapped"/>
    <s v="User Not Mapped"/>
    <n v="341273"/>
    <s v="M/S DILIP KUMAR BALA"/>
    <s v="Private Retailer"/>
    <s v="8250938260"/>
    <n v="1"/>
    <n v="20"/>
    <x v="4"/>
    <m/>
    <s v="2026-04-07"/>
    <s v="260209"/>
    <s v="M/S SUNIL KUMAR SAHA       "/>
    <s v="9434110995"/>
  </r>
  <r>
    <s v="RCF Thal"/>
    <s v="N.C.Urea(45kg)"/>
    <s v="WB"/>
    <x v="15"/>
    <s v="Chakdah"/>
    <s v="User Not Mapped"/>
    <s v="User Not Mapped"/>
    <s v="User Not Mapped"/>
    <n v="341273"/>
    <s v="M/S DILIP KUMAR BALA"/>
    <s v="Private Retailer"/>
    <s v="8250938260"/>
    <n v="0.40500000000000003"/>
    <n v="30"/>
    <x v="4"/>
    <m/>
    <s v="2026-03-28"/>
    <s v="260210"/>
    <s v="Gouri Sankar Kundu            "/>
    <s v="9064539774"/>
  </r>
  <r>
    <s v="RCF Import"/>
    <s v="MOP"/>
    <s v="WB"/>
    <x v="15"/>
    <s v="Chakdah"/>
    <s v="User Not Mapped"/>
    <s v="User Not Mapped"/>
    <s v="User Not Mapped"/>
    <n v="341273"/>
    <s v="M/S DILIP KUMAR BALA"/>
    <s v="Private Retailer"/>
    <s v="8250938260"/>
    <n v="0.3"/>
    <n v="30"/>
    <x v="4"/>
    <m/>
    <s v="2026-03-28"/>
    <s v="260210"/>
    <s v="Gouri Sankar Kundu            "/>
    <s v="9064539774"/>
  </r>
  <r>
    <s v="RCF Import"/>
    <s v="MOP"/>
    <s v="WB"/>
    <x v="15"/>
    <s v="Chakdah"/>
    <s v="User Not Mapped"/>
    <s v="User Not Mapped"/>
    <s v="User Not Mapped"/>
    <n v="341303"/>
    <s v="M/S Dipankar Sen"/>
    <s v="Private Retailer"/>
    <s v="9153546074"/>
    <n v="0.25"/>
    <n v="60"/>
    <x v="1"/>
    <m/>
    <s v="2026-02-26"/>
    <s v="260210"/>
    <s v="Gouri Sankar Kundu            "/>
    <s v="9064539774"/>
  </r>
  <r>
    <s v="RCF Import"/>
    <s v="Imp 10-26-26"/>
    <s v="WB"/>
    <x v="15"/>
    <s v="Chakdah"/>
    <s v="User Not Mapped"/>
    <s v="User Not Mapped"/>
    <s v="User Not Mapped"/>
    <n v="341303"/>
    <s v="M/S Dipankar Sen"/>
    <s v="Private Retailer"/>
    <s v="9153546074"/>
    <n v="0.35"/>
    <n v="28"/>
    <x v="4"/>
    <m/>
    <s v="2026-03-30"/>
    <s v="260209"/>
    <s v="M/S SUNIL KUMAR SAHA       "/>
    <s v="9434110995"/>
  </r>
  <r>
    <s v="RCF Thal"/>
    <s v="N.C.Urea(45kg)"/>
    <s v="WB"/>
    <x v="15"/>
    <s v="Chakdah"/>
    <s v="User Not Mapped"/>
    <s v="User Not Mapped"/>
    <s v="User Not Mapped"/>
    <n v="341303"/>
    <s v="M/S Dipankar Sen"/>
    <s v="Private Retailer"/>
    <s v="9153546074"/>
    <n v="1.35"/>
    <n v="21"/>
    <x v="4"/>
    <m/>
    <s v="2026-04-06"/>
    <s v="260210"/>
    <s v="Gouri Sankar Kundu            "/>
    <s v="9064539774"/>
  </r>
  <r>
    <s v="RCF Import"/>
    <s v="MOP"/>
    <s v="WB"/>
    <x v="15"/>
    <s v="Chakdah"/>
    <s v="User Not Mapped"/>
    <s v="User Not Mapped"/>
    <s v="User Not Mapped"/>
    <n v="341303"/>
    <s v="M/S Dipankar Sen"/>
    <s v="Private Retailer"/>
    <s v="9153546074"/>
    <n v="0.25"/>
    <n v="64"/>
    <x v="2"/>
    <m/>
    <s v="2026-02-22"/>
    <s v="260210"/>
    <s v="Gouri Sankar Kundu            "/>
    <s v="9064539774"/>
  </r>
  <r>
    <s v="RCF Import"/>
    <s v="MOP"/>
    <s v="WB"/>
    <x v="15"/>
    <s v="Chakdah"/>
    <s v="User Not Mapped"/>
    <s v="User Not Mapped"/>
    <s v="User Not Mapped"/>
    <n v="341303"/>
    <s v="M/S Dipankar Sen"/>
    <s v="Private Retailer"/>
    <s v="9153546074"/>
    <n v="0.25"/>
    <n v="65"/>
    <x v="2"/>
    <m/>
    <s v="2026-02-21"/>
    <s v="260210"/>
    <s v="Gouri Sankar Kundu            "/>
    <s v="9064539774"/>
  </r>
  <r>
    <s v="RCF Import"/>
    <s v="MOP"/>
    <s v="WB"/>
    <x v="15"/>
    <s v="Chakdah"/>
    <s v="User Not Mapped"/>
    <s v="User Not Mapped"/>
    <s v="User Not Mapped"/>
    <n v="341303"/>
    <s v="M/S Dipankar Sen"/>
    <s v="Private Retailer"/>
    <s v="9153546074"/>
    <n v="2.5"/>
    <n v="39"/>
    <x v="1"/>
    <m/>
    <s v="2026-03-19"/>
    <s v="260210"/>
    <s v="Gouri Sankar Kundu            "/>
    <s v="9064539774"/>
  </r>
  <r>
    <s v="RCF Import"/>
    <s v="MOP"/>
    <s v="WB"/>
    <x v="15"/>
    <s v="Chakdah"/>
    <s v="User Not Mapped"/>
    <s v="User Not Mapped"/>
    <s v="User Not Mapped"/>
    <n v="341303"/>
    <s v="M/S Dipankar Sen"/>
    <s v="Private Retailer"/>
    <s v="9153546074"/>
    <n v="0.75"/>
    <n v="49"/>
    <x v="1"/>
    <m/>
    <s v="2026-03-09"/>
    <s v="260210"/>
    <s v="Gouri Sankar Kundu            "/>
    <s v="9064539774"/>
  </r>
  <r>
    <s v="RCF Import"/>
    <s v="MOP"/>
    <s v="WB"/>
    <x v="15"/>
    <s v="Chakdah"/>
    <s v="User Not Mapped"/>
    <s v="User Not Mapped"/>
    <s v="User Not Mapped"/>
    <n v="341303"/>
    <s v="M/S Dipankar Sen"/>
    <s v="Private Retailer"/>
    <s v="9153546074"/>
    <n v="0.25"/>
    <n v="52"/>
    <x v="1"/>
    <m/>
    <s v="2026-03-06"/>
    <s v="260210"/>
    <s v="Gouri Sankar Kundu            "/>
    <s v="9064539774"/>
  </r>
  <r>
    <s v="RCF Import"/>
    <s v="MOP"/>
    <s v="WB"/>
    <x v="15"/>
    <s v="Chakdah"/>
    <s v="User Not Mapped"/>
    <s v="User Not Mapped"/>
    <s v="User Not Mapped"/>
    <n v="341303"/>
    <s v="M/S Dipankar Sen"/>
    <s v="Private Retailer"/>
    <s v="9153546074"/>
    <n v="0.25"/>
    <n v="56"/>
    <x v="1"/>
    <m/>
    <s v="2026-03-02"/>
    <s v="260210"/>
    <s v="Gouri Sankar Kundu            "/>
    <s v="9064539774"/>
  </r>
  <r>
    <s v="RCF Trombay"/>
    <s v="15-15-15"/>
    <s v="WB"/>
    <x v="15"/>
    <s v="Chakdah"/>
    <s v="User Not Mapped"/>
    <s v="User Not Mapped"/>
    <s v="User Not Mapped"/>
    <n v="341342"/>
    <s v="Firoj Ali Mondal"/>
    <s v="Private Retailer"/>
    <s v="9153754765"/>
    <n v="1.5"/>
    <n v="60"/>
    <x v="1"/>
    <m/>
    <s v="2026-02-26"/>
    <s v="260210"/>
    <s v="Gouri Sankar Kundu            "/>
    <s v="9064539774"/>
  </r>
  <r>
    <s v="RCF Trombay"/>
    <s v="N.C.Urea(45kg)"/>
    <s v="WB"/>
    <x v="15"/>
    <s v="Chakdah"/>
    <s v="User Not Mapped"/>
    <s v="User Not Mapped"/>
    <s v="User Not Mapped"/>
    <n v="341342"/>
    <s v="Firoj Ali Mondal"/>
    <s v="Private Retailer"/>
    <s v="9153754765"/>
    <n v="0.22500000000000001"/>
    <n v="90"/>
    <x v="2"/>
    <m/>
    <s v="2026-01-27"/>
    <s v="260210"/>
    <s v="Gouri Sankar Kundu            "/>
    <s v="9064539774"/>
  </r>
  <r>
    <s v="RCF Trombay"/>
    <s v="15-15-15"/>
    <s v="WB"/>
    <x v="15"/>
    <s v="Chakdah"/>
    <s v="User Not Mapped"/>
    <s v="User Not Mapped"/>
    <s v="User Not Mapped"/>
    <n v="341342"/>
    <s v="Firoj Ali Mondal"/>
    <s v="Private Retailer"/>
    <s v="9153754765"/>
    <n v="0.3"/>
    <n v="77"/>
    <x v="2"/>
    <m/>
    <s v="2026-02-09"/>
    <s v="260210"/>
    <s v="Gouri Sankar Kundu            "/>
    <s v="9064539774"/>
  </r>
  <r>
    <s v="RCF Trombay"/>
    <s v="N.C.Urea(45kg)"/>
    <s v="WB"/>
    <x v="15"/>
    <s v="Chakdah"/>
    <s v="User Not Mapped"/>
    <s v="User Not Mapped"/>
    <s v="User Not Mapped"/>
    <n v="341342"/>
    <s v="Firoj Ali Mondal"/>
    <s v="Private Retailer"/>
    <s v="9153754765"/>
    <n v="0.45"/>
    <n v="60"/>
    <x v="1"/>
    <m/>
    <s v="2026-02-26"/>
    <s v="260210"/>
    <s v="Gouri Sankar Kundu            "/>
    <s v="9064539774"/>
  </r>
  <r>
    <s v="RCF Trombay"/>
    <s v="15-15-15"/>
    <s v="WB"/>
    <x v="15"/>
    <s v="Chakdah"/>
    <s v="User Not Mapped"/>
    <s v="User Not Mapped"/>
    <s v="User Not Mapped"/>
    <n v="341477"/>
    <s v="Hayder Ali Mondal"/>
    <s v="Private Retailer"/>
    <s v="9735761621"/>
    <n v="0.3"/>
    <n v="37"/>
    <x v="1"/>
    <m/>
    <s v="2026-03-21"/>
    <s v="260210"/>
    <s v="Gouri Sankar Kundu            "/>
    <s v="9064539774"/>
  </r>
  <r>
    <s v="RCF Thal"/>
    <s v="N.C.Urea(45kg)"/>
    <s v="WB"/>
    <x v="15"/>
    <s v="Chakdah"/>
    <s v="User Not Mapped"/>
    <s v="User Not Mapped"/>
    <s v="User Not Mapped"/>
    <n v="341477"/>
    <s v="Hayder Ali Mondal"/>
    <s v="Private Retailer"/>
    <s v="9735761621"/>
    <n v="0.45"/>
    <n v="6"/>
    <x v="4"/>
    <m/>
    <s v="2026-04-21"/>
    <s v="260210"/>
    <s v="Gouri Sankar Kundu            "/>
    <s v="9064539774"/>
  </r>
  <r>
    <s v="RCF Thal"/>
    <s v="N.C.Urea(45kg)"/>
    <s v="WB"/>
    <x v="15"/>
    <s v="Chakdah"/>
    <s v="User Not Mapped"/>
    <s v="User Not Mapped"/>
    <s v="User Not Mapped"/>
    <n v="341477"/>
    <s v="Hayder Ali Mondal"/>
    <s v="Private Retailer"/>
    <s v="9735761621"/>
    <n v="0.67500000000000004"/>
    <n v="16"/>
    <x v="4"/>
    <m/>
    <s v="2026-04-11"/>
    <s v="260210"/>
    <s v="Gouri Sankar Kundu            "/>
    <s v="9064539774"/>
  </r>
  <r>
    <s v="RCF Thal"/>
    <s v="N.C.Urea(45kg)"/>
    <s v="WB"/>
    <x v="15"/>
    <s v="Chakdah"/>
    <s v="User Not Mapped"/>
    <s v="User Not Mapped"/>
    <s v="User Not Mapped"/>
    <n v="341477"/>
    <s v="Hayder Ali Mondal"/>
    <s v="Private Retailer"/>
    <s v="9735761621"/>
    <n v="0.45"/>
    <n v="19"/>
    <x v="4"/>
    <m/>
    <s v="2026-04-08"/>
    <s v="260210"/>
    <s v="Gouri Sankar Kundu            "/>
    <s v="9064539774"/>
  </r>
  <r>
    <s v="RCF Thal"/>
    <s v="N.C.Urea(45kg)"/>
    <s v="WB"/>
    <x v="15"/>
    <s v="Chakdah"/>
    <s v="User Not Mapped"/>
    <s v="User Not Mapped"/>
    <s v="User Not Mapped"/>
    <n v="341477"/>
    <s v="Hayder Ali Mondal"/>
    <s v="Private Retailer"/>
    <s v="9735761621"/>
    <n v="0.67500000000000004"/>
    <n v="21"/>
    <x v="4"/>
    <m/>
    <s v="2026-04-06"/>
    <s v="260210"/>
    <s v="Gouri Sankar Kundu            "/>
    <s v="9064539774"/>
  </r>
  <r>
    <s v="RCF Trombay"/>
    <s v="15-15-15"/>
    <s v="WB"/>
    <x v="15"/>
    <s v="Chakdah"/>
    <s v="User Not Mapped"/>
    <s v="User Not Mapped"/>
    <s v="User Not Mapped"/>
    <n v="341477"/>
    <s v="Hayder Ali Mondal"/>
    <s v="Private Retailer"/>
    <s v="9735761621"/>
    <n v="0.45"/>
    <n v="29"/>
    <x v="4"/>
    <m/>
    <s v="2026-03-29"/>
    <s v="260210"/>
    <s v="Gouri Sankar Kundu            "/>
    <s v="9064539774"/>
  </r>
  <r>
    <s v="RCF Thal"/>
    <s v="N.C.Urea(45kg)"/>
    <s v="WB"/>
    <x v="15"/>
    <s v="Chakdah"/>
    <s v="User Not Mapped"/>
    <s v="User Not Mapped"/>
    <s v="User Not Mapped"/>
    <n v="341602"/>
    <s v="M/S KAMAL BISWAS"/>
    <s v="Private Retailer"/>
    <s v="9733645039"/>
    <n v="4.3650000000000002"/>
    <n v="44"/>
    <x v="1"/>
    <m/>
    <s v="2026-03-14"/>
    <s v="259034"/>
    <s v="MS Guha And Co"/>
    <s v="8695359505"/>
  </r>
  <r>
    <s v="RCF Trombay"/>
    <s v="N.C.Urea(45kg)"/>
    <s v="WB"/>
    <x v="15"/>
    <s v="Chakdah"/>
    <s v="User Not Mapped"/>
    <s v="User Not Mapped"/>
    <s v="User Not Mapped"/>
    <n v="341602"/>
    <s v="M/S KAMAL BISWAS"/>
    <s v="Private Retailer"/>
    <s v="9733645039"/>
    <n v="8.91"/>
    <n v="58"/>
    <x v="1"/>
    <m/>
    <s v="2026-02-28"/>
    <s v="281284"/>
    <s v="Sadhan Kumar Ghosh"/>
    <s v="7602136568"/>
  </r>
  <r>
    <s v="RCF Trombay"/>
    <s v="N.C.Urea(45kg)"/>
    <s v="WB"/>
    <x v="15"/>
    <s v="Chakdah"/>
    <s v="User Not Mapped"/>
    <s v="User Not Mapped"/>
    <s v="User Not Mapped"/>
    <n v="341624"/>
    <s v="Karabina Mondal"/>
    <s v="Private Retailer"/>
    <s v="9073508177"/>
    <n v="3.78"/>
    <n v="177"/>
    <x v="0"/>
    <m/>
    <s v="2025-11-01"/>
    <s v="260209"/>
    <s v="M/S SUNIL KUMAR SAHA       "/>
    <s v="9434110995"/>
  </r>
  <r>
    <s v="RCF Trombay"/>
    <s v="15-15-15"/>
    <s v="WB"/>
    <x v="15"/>
    <s v="Chakdah"/>
    <s v="User Not Mapped"/>
    <s v="User Not Mapped"/>
    <s v="User Not Mapped"/>
    <n v="341624"/>
    <s v="Karabina Mondal"/>
    <s v="Private Retailer"/>
    <s v="9073508177"/>
    <n v="5.2"/>
    <n v="92"/>
    <x v="5"/>
    <m/>
    <s v="2026-01-25"/>
    <s v="281285"/>
    <s v="Bhabani Prosad Chattopadhy"/>
    <s v="7548026544"/>
  </r>
  <r>
    <s v="RCF Trombay"/>
    <s v="N.C.Urea(45kg)"/>
    <s v="WB"/>
    <x v="15"/>
    <s v="Chakdah"/>
    <s v="User Not Mapped"/>
    <s v="User Not Mapped"/>
    <s v="User Not Mapped"/>
    <n v="341624"/>
    <s v="Karabina Mondal"/>
    <s v="Private Retailer"/>
    <s v="9073508177"/>
    <n v="0.9"/>
    <n v="151"/>
    <x v="0"/>
    <m/>
    <s v="2025-11-27"/>
    <s v="260209"/>
    <s v="M/S SUNIL KUMAR SAHA       "/>
    <s v="9434110995"/>
  </r>
  <r>
    <s v="RCF Trombay"/>
    <s v="N.C.Urea(45kg)"/>
    <s v="WB"/>
    <x v="15"/>
    <s v="Chakdah"/>
    <s v="User Not Mapped"/>
    <s v="User Not Mapped"/>
    <s v="User Not Mapped"/>
    <n v="341624"/>
    <s v="Karabina Mondal"/>
    <s v="Private Retailer"/>
    <s v="9073508177"/>
    <n v="4.9950000000000001"/>
    <n v="149"/>
    <x v="0"/>
    <m/>
    <s v="2025-11-29"/>
    <s v="260209"/>
    <s v="M/S SUNIL KUMAR SAHA       "/>
    <s v="9434110995"/>
  </r>
  <r>
    <s v="RCF Trombay"/>
    <s v="15-15-15"/>
    <s v="WB"/>
    <x v="15"/>
    <s v="Chakdah"/>
    <s v="User Not Mapped"/>
    <s v="User Not Mapped"/>
    <s v="User Not Mapped"/>
    <n v="341633"/>
    <s v="Kawcher Ali Mondal"/>
    <s v="Private Retailer"/>
    <s v="9734321237"/>
    <n v="0.2"/>
    <n v="39"/>
    <x v="1"/>
    <m/>
    <s v="2026-03-19"/>
    <s v="260210"/>
    <s v="Gouri Sankar Kundu            "/>
    <s v="9064539774"/>
  </r>
  <r>
    <s v="RCF Trombay"/>
    <s v="15-15-15"/>
    <s v="WB"/>
    <x v="15"/>
    <s v="Chakdah"/>
    <s v="User Not Mapped"/>
    <s v="User Not Mapped"/>
    <s v="User Not Mapped"/>
    <n v="341633"/>
    <s v="Kawcher Ali Mondal"/>
    <s v="Private Retailer"/>
    <s v="9734321237"/>
    <n v="0.1"/>
    <n v="60"/>
    <x v="1"/>
    <m/>
    <s v="2026-02-26"/>
    <s v="260210"/>
    <s v="Gouri Sankar Kundu            "/>
    <s v="9064539774"/>
  </r>
  <r>
    <s v="RCF Trombay"/>
    <s v="15-15-15"/>
    <s v="WB"/>
    <x v="15"/>
    <s v="Chakdah"/>
    <s v="User Not Mapped"/>
    <s v="User Not Mapped"/>
    <s v="User Not Mapped"/>
    <n v="341766"/>
    <s v="Madan Mohan Biswas"/>
    <s v="Private Retailer"/>
    <s v="9800014353"/>
    <n v="0.05"/>
    <n v="130"/>
    <x v="0"/>
    <m/>
    <s v="2025-12-18"/>
    <s v="1222703"/>
    <s v="SANDIP CHANDA"/>
    <s v="9232773990"/>
  </r>
  <r>
    <s v="RCF Trombay"/>
    <s v="15-15-15"/>
    <s v="WB"/>
    <x v="15"/>
    <s v="Chakdah"/>
    <s v="User Not Mapped"/>
    <s v="User Not Mapped"/>
    <s v="User Not Mapped"/>
    <n v="341766"/>
    <s v="Madan Mohan Biswas"/>
    <s v="Private Retailer"/>
    <s v="9800014353"/>
    <n v="0.1"/>
    <n v="102"/>
    <x v="5"/>
    <m/>
    <s v="2026-01-15"/>
    <s v="1222703"/>
    <s v="SANDIP CHANDA"/>
    <s v="9232773990"/>
  </r>
  <r>
    <s v="RCF Trombay"/>
    <s v="15-15-15"/>
    <s v="WB"/>
    <x v="15"/>
    <s v="Chakdah"/>
    <s v="User Not Mapped"/>
    <s v="User Not Mapped"/>
    <s v="User Not Mapped"/>
    <n v="341779"/>
    <s v="M/S MADHU SUDAN GHOSH"/>
    <s v="Private Retailer"/>
    <s v="9434418179"/>
    <n v="0.1"/>
    <n v="175"/>
    <x v="0"/>
    <m/>
    <s v="2025-11-03"/>
    <s v="260209"/>
    <s v="M/S SUNIL KUMAR SAHA       "/>
    <s v="9434110995"/>
  </r>
  <r>
    <s v="RCF Import"/>
    <s v="Imp 10-26-26"/>
    <s v="WB"/>
    <x v="15"/>
    <s v="Chakdah"/>
    <s v="User Not Mapped"/>
    <s v="User Not Mapped"/>
    <s v="User Not Mapped"/>
    <n v="341779"/>
    <s v="M/S MADHU SUDAN GHOSH"/>
    <s v="Private Retailer"/>
    <s v="9434418179"/>
    <n v="2"/>
    <n v="20"/>
    <x v="4"/>
    <m/>
    <s v="2026-04-07"/>
    <s v="260209"/>
    <s v="M/S SUNIL KUMAR SAHA       "/>
    <s v="9434110995"/>
  </r>
  <r>
    <s v="RCF Thal"/>
    <s v="N.C.Urea(45kg)"/>
    <s v="WB"/>
    <x v="15"/>
    <s v="Chakdah"/>
    <s v="User Not Mapped"/>
    <s v="User Not Mapped"/>
    <s v="User Not Mapped"/>
    <n v="341779"/>
    <s v="M/S MADHU SUDAN GHOSH"/>
    <s v="Private Retailer"/>
    <s v="9434418179"/>
    <n v="0.85499999999999998"/>
    <n v="33"/>
    <x v="1"/>
    <m/>
    <s v="2026-03-25"/>
    <s v="260209"/>
    <s v="M/S SUNIL KUMAR SAHA       "/>
    <s v="9434110995"/>
  </r>
  <r>
    <s v="RCF Import"/>
    <s v="Imp 10-26-26"/>
    <s v="WB"/>
    <x v="15"/>
    <s v="Chakdah"/>
    <s v="User Not Mapped"/>
    <s v="User Not Mapped"/>
    <s v="User Not Mapped"/>
    <n v="341788"/>
    <s v="Mahadeb Santra"/>
    <s v="Private Retailer"/>
    <s v="9735617186"/>
    <n v="0.1"/>
    <n v="495"/>
    <x v="6"/>
    <m/>
    <s v="2024-12-18"/>
    <s v="260210"/>
    <s v="Gouri Sankar Kundu            "/>
    <s v="9064539774"/>
  </r>
  <r>
    <s v="RCF Trombay"/>
    <s v="15-15-15"/>
    <s v="WB"/>
    <x v="15"/>
    <s v="Chakdah"/>
    <s v="User Not Mapped"/>
    <s v="User Not Mapped"/>
    <s v="User Not Mapped"/>
    <n v="341788"/>
    <s v="Mahadeb Santra"/>
    <s v="Private Retailer"/>
    <s v="9735617186"/>
    <n v="0.25"/>
    <n v="44"/>
    <x v="1"/>
    <m/>
    <s v="2026-03-14"/>
    <s v="260210"/>
    <s v="Gouri Sankar Kundu            "/>
    <s v="9064539774"/>
  </r>
  <r>
    <s v="RCF Thal"/>
    <s v="N.C.Urea(45kg)"/>
    <s v="WB"/>
    <x v="15"/>
    <s v="Chakdah"/>
    <s v="User Not Mapped"/>
    <s v="User Not Mapped"/>
    <s v="User Not Mapped"/>
    <n v="341788"/>
    <s v="Mahadeb Santra"/>
    <s v="Private Retailer"/>
    <s v="9735617186"/>
    <n v="0.9"/>
    <n v="39"/>
    <x v="1"/>
    <m/>
    <s v="2026-03-19"/>
    <s v="260210"/>
    <s v="Gouri Sankar Kundu            "/>
    <s v="9064539774"/>
  </r>
  <r>
    <s v="RCF Thal"/>
    <s v="N.C.Urea(45kg)"/>
    <s v="WB"/>
    <x v="15"/>
    <s v="Chakdah"/>
    <s v="User Not Mapped"/>
    <s v="User Not Mapped"/>
    <s v="User Not Mapped"/>
    <n v="341788"/>
    <s v="Mahadeb Santra"/>
    <s v="Private Retailer"/>
    <s v="9735617186"/>
    <n v="0.45"/>
    <n v="44"/>
    <x v="1"/>
    <m/>
    <s v="2026-03-14"/>
    <s v="260210"/>
    <s v="Gouri Sankar Kundu            "/>
    <s v="9064539774"/>
  </r>
  <r>
    <s v="RCF Import"/>
    <s v="Imp 10-26-26"/>
    <s v="WB"/>
    <x v="15"/>
    <s v="Chakdah"/>
    <s v="User Not Mapped"/>
    <s v="User Not Mapped"/>
    <s v="User Not Mapped"/>
    <n v="341788"/>
    <s v="Mahadeb Santra"/>
    <s v="Private Retailer"/>
    <s v="9735617186"/>
    <n v="0.1"/>
    <n v="44"/>
    <x v="1"/>
    <m/>
    <s v="2026-03-14"/>
    <s v="260210"/>
    <s v="Gouri Sankar Kundu            "/>
    <s v="9064539774"/>
  </r>
  <r>
    <s v="RCF Import"/>
    <s v="MOP"/>
    <s v="WB"/>
    <x v="15"/>
    <s v="Chakdah"/>
    <s v="User Not Mapped"/>
    <s v="User Not Mapped"/>
    <s v="User Not Mapped"/>
    <n v="341788"/>
    <s v="Mahadeb Santra"/>
    <s v="Private Retailer"/>
    <s v="9735617186"/>
    <n v="0.15"/>
    <n v="44"/>
    <x v="1"/>
    <m/>
    <s v="2026-03-14"/>
    <s v="260210"/>
    <s v="Gouri Sankar Kundu            "/>
    <s v="9064539774"/>
  </r>
  <r>
    <s v="RCF Import"/>
    <s v="MOP"/>
    <s v="WB"/>
    <x v="15"/>
    <s v="Chakdah"/>
    <s v="User Not Mapped"/>
    <s v="User Not Mapped"/>
    <s v="User Not Mapped"/>
    <n v="341788"/>
    <s v="Mahadeb Santra"/>
    <s v="Private Retailer"/>
    <s v="9735617186"/>
    <n v="0.25"/>
    <n v="11"/>
    <x v="4"/>
    <m/>
    <s v="2026-04-16"/>
    <s v="260210"/>
    <s v="Gouri Sankar Kundu            "/>
    <s v="9064539774"/>
  </r>
  <r>
    <s v="RCF Trombay"/>
    <s v="15-15-15"/>
    <s v="WB"/>
    <x v="15"/>
    <s v="Chakdah"/>
    <s v="User Not Mapped"/>
    <s v="User Not Mapped"/>
    <s v="User Not Mapped"/>
    <n v="341788"/>
    <s v="Mahadeb Santra"/>
    <s v="Private Retailer"/>
    <s v="9735617186"/>
    <n v="0.2"/>
    <n v="56"/>
    <x v="1"/>
    <m/>
    <s v="2026-03-02"/>
    <s v="260210"/>
    <s v="Gouri Sankar Kundu            "/>
    <s v="9064539774"/>
  </r>
  <r>
    <s v="RCF Trombay"/>
    <s v="N.C.Urea(45kg)"/>
    <s v="WB"/>
    <x v="15"/>
    <s v="Chakdah"/>
    <s v="User Not Mapped"/>
    <s v="User Not Mapped"/>
    <s v="User Not Mapped"/>
    <n v="341796"/>
    <s v="Mainul Haque"/>
    <s v="Private Retailer"/>
    <s v="9153744930"/>
    <n v="0.45"/>
    <n v="87"/>
    <x v="2"/>
    <m/>
    <s v="2026-01-30"/>
    <s v="260210"/>
    <s v="Gouri Sankar Kundu            "/>
    <s v="9064539774"/>
  </r>
  <r>
    <s v="RCF Trombay"/>
    <s v="15-15-15"/>
    <s v="WB"/>
    <x v="15"/>
    <s v="Chakdah"/>
    <s v="User Not Mapped"/>
    <s v="User Not Mapped"/>
    <s v="User Not Mapped"/>
    <n v="341796"/>
    <s v="Mainul Haque"/>
    <s v="Private Retailer"/>
    <s v="9153744930"/>
    <n v="5"/>
    <n v="91"/>
    <x v="5"/>
    <m/>
    <s v="2026-01-26"/>
    <s v="280729"/>
    <s v="M/s. Naresh Chandra Das"/>
    <s v="7365868045"/>
  </r>
  <r>
    <s v="RCF Trombay"/>
    <s v="15-15-15"/>
    <s v="WB"/>
    <x v="15"/>
    <s v="Chakdah"/>
    <s v="User Not Mapped"/>
    <s v="User Not Mapped"/>
    <s v="User Not Mapped"/>
    <n v="341796"/>
    <s v="Mainul Haque"/>
    <s v="Private Retailer"/>
    <s v="9153744930"/>
    <n v="0.25"/>
    <n v="46"/>
    <x v="1"/>
    <m/>
    <s v="2026-03-12"/>
    <s v="260210"/>
    <s v="Gouri Sankar Kundu            "/>
    <s v="9064539774"/>
  </r>
  <r>
    <s v="RCF Trombay"/>
    <s v="N.C.Urea(45kg)"/>
    <s v="WB"/>
    <x v="15"/>
    <s v="Chakdah"/>
    <s v="User Not Mapped"/>
    <s v="User Not Mapped"/>
    <s v="User Not Mapped"/>
    <n v="341796"/>
    <s v="Mainul Haque"/>
    <s v="Private Retailer"/>
    <s v="9153744930"/>
    <n v="1.08"/>
    <n v="142"/>
    <x v="0"/>
    <m/>
    <s v="2025-12-06"/>
    <s v="260210"/>
    <s v="Gouri Sankar Kundu            "/>
    <s v="9064539774"/>
  </r>
  <r>
    <s v="RCF Trombay"/>
    <s v="N.C.Urea(45kg)"/>
    <s v="WB"/>
    <x v="15"/>
    <s v="Chakdah"/>
    <s v="User Not Mapped"/>
    <s v="User Not Mapped"/>
    <s v="User Not Mapped"/>
    <n v="341796"/>
    <s v="Mainul Haque"/>
    <s v="Private Retailer"/>
    <s v="9153744930"/>
    <n v="0.45"/>
    <n v="92"/>
    <x v="5"/>
    <m/>
    <s v="2026-01-25"/>
    <s v="260210"/>
    <s v="Gouri Sankar Kundu            "/>
    <s v="9064539774"/>
  </r>
  <r>
    <s v="RCF Import"/>
    <s v="Imp 10-26-26"/>
    <s v="WB"/>
    <x v="15"/>
    <s v="Chakdah"/>
    <s v="User Not Mapped"/>
    <s v="User Not Mapped"/>
    <s v="User Not Mapped"/>
    <n v="341796"/>
    <s v="Mainul Haque"/>
    <s v="Private Retailer"/>
    <s v="9153744930"/>
    <n v="0.5"/>
    <n v="239"/>
    <x v="3"/>
    <m/>
    <s v="2025-08-31"/>
    <s v="260210"/>
    <s v="Gouri Sankar Kundu            "/>
    <s v="9064539774"/>
  </r>
  <r>
    <s v="RCF Thal"/>
    <s v="N.C.Urea(45kg)"/>
    <s v="WB"/>
    <x v="15"/>
    <s v="Chakdah"/>
    <s v="User Not Mapped"/>
    <s v="User Not Mapped"/>
    <s v="User Not Mapped"/>
    <n v="341796"/>
    <s v="Mainul Haque"/>
    <s v="Private Retailer"/>
    <s v="9153744930"/>
    <n v="0.9"/>
    <n v="44"/>
    <x v="1"/>
    <m/>
    <s v="2026-03-14"/>
    <s v="260210"/>
    <s v="Gouri Sankar Kundu            "/>
    <s v="9064539774"/>
  </r>
  <r>
    <s v="RCF Import"/>
    <s v="Imp 10-26-26"/>
    <s v="WB"/>
    <x v="15"/>
    <s v="Chakdah"/>
    <s v="User Not Mapped"/>
    <s v="User Not Mapped"/>
    <s v="User Not Mapped"/>
    <n v="341796"/>
    <s v="Mainul Haque"/>
    <s v="Private Retailer"/>
    <s v="9153744930"/>
    <n v="0.25"/>
    <n v="506"/>
    <x v="6"/>
    <m/>
    <s v="2024-12-07"/>
    <s v="260210"/>
    <s v="Gouri Sankar Kundu            "/>
    <s v="9064539774"/>
  </r>
  <r>
    <s v="RCF Import"/>
    <s v="Imp 10-26-26"/>
    <s v="WB"/>
    <x v="15"/>
    <s v="Chakdah"/>
    <s v="User Not Mapped"/>
    <s v="User Not Mapped"/>
    <s v="User Not Mapped"/>
    <n v="341796"/>
    <s v="Mainul Haque"/>
    <s v="Private Retailer"/>
    <s v="9153744930"/>
    <n v="0.25"/>
    <n v="495"/>
    <x v="6"/>
    <m/>
    <s v="2024-12-18"/>
    <s v="260210"/>
    <s v="Gouri Sankar Kundu            "/>
    <s v="9064539774"/>
  </r>
  <r>
    <s v="RCF Import"/>
    <s v="Imp 10-26-26"/>
    <s v="WB"/>
    <x v="15"/>
    <s v="Chakdah"/>
    <s v="User Not Mapped"/>
    <s v="User Not Mapped"/>
    <s v="User Not Mapped"/>
    <n v="341796"/>
    <s v="Mainul Haque"/>
    <s v="Private Retailer"/>
    <s v="9153744930"/>
    <n v="2"/>
    <n v="492"/>
    <x v="6"/>
    <m/>
    <s v="2024-12-21"/>
    <s v="260210"/>
    <s v="Gouri Sankar Kundu            "/>
    <s v="9064539774"/>
  </r>
  <r>
    <s v="RCF Import"/>
    <s v="Imp 10-26-26"/>
    <s v="WB"/>
    <x v="15"/>
    <s v="Chakdah"/>
    <s v="User Not Mapped"/>
    <s v="User Not Mapped"/>
    <s v="User Not Mapped"/>
    <n v="341796"/>
    <s v="Mainul Haque"/>
    <s v="Private Retailer"/>
    <s v="9153744930"/>
    <n v="0.5"/>
    <n v="477"/>
    <x v="6"/>
    <m/>
    <s v="2025-01-05"/>
    <s v="260210"/>
    <s v="Gouri Sankar Kundu            "/>
    <s v="9064539774"/>
  </r>
  <r>
    <s v="RCF Import"/>
    <s v="MOP"/>
    <s v="WB"/>
    <x v="15"/>
    <s v="Chakdah"/>
    <s v="User Not Mapped"/>
    <s v="User Not Mapped"/>
    <s v="User Not Mapped"/>
    <n v="341796"/>
    <s v="Mainul Haque"/>
    <s v="Private Retailer"/>
    <s v="9153744930"/>
    <n v="0.15"/>
    <n v="444"/>
    <x v="6"/>
    <m/>
    <s v="2025-02-07"/>
    <s v="260210"/>
    <s v="Gouri Sankar Kundu            "/>
    <s v="9064539774"/>
  </r>
  <r>
    <s v="RCF Import"/>
    <s v="MOP"/>
    <s v="WB"/>
    <x v="15"/>
    <s v="Chakdah"/>
    <s v="User Not Mapped"/>
    <s v="User Not Mapped"/>
    <s v="User Not Mapped"/>
    <n v="341796"/>
    <s v="Mainul Haque"/>
    <s v="Private Retailer"/>
    <s v="9153744930"/>
    <n v="0.25"/>
    <n v="423"/>
    <x v="6"/>
    <m/>
    <s v="2025-02-28"/>
    <s v="260210"/>
    <s v="Gouri Sankar Kundu            "/>
    <s v="9064539774"/>
  </r>
  <r>
    <s v="RCF Import"/>
    <s v="Imp 10-26-26"/>
    <s v="WB"/>
    <x v="15"/>
    <s v="Chakdah"/>
    <s v="User Not Mapped"/>
    <s v="User Not Mapped"/>
    <s v="User Not Mapped"/>
    <n v="341796"/>
    <s v="Mainul Haque"/>
    <s v="Private Retailer"/>
    <s v="9153744930"/>
    <n v="0.15"/>
    <n v="270"/>
    <x v="3"/>
    <m/>
    <s v="2025-07-31"/>
    <s v="260210"/>
    <s v="Gouri Sankar Kundu            "/>
    <s v="9064539774"/>
  </r>
  <r>
    <s v="RCF Import"/>
    <s v="Imp 10-26-26"/>
    <s v="WB"/>
    <x v="15"/>
    <s v="Chakdah"/>
    <s v="User Not Mapped"/>
    <s v="User Not Mapped"/>
    <s v="User Not Mapped"/>
    <n v="341796"/>
    <s v="Mainul Haque"/>
    <s v="Private Retailer"/>
    <s v="9153744930"/>
    <n v="0.35"/>
    <n v="165"/>
    <x v="0"/>
    <m/>
    <s v="2025-11-13"/>
    <s v="260210"/>
    <s v="Gouri Sankar Kundu            "/>
    <s v="9064539774"/>
  </r>
  <r>
    <s v="RCF Import"/>
    <s v="Imp 10-26-26"/>
    <s v="WB"/>
    <x v="15"/>
    <s v="Chakdah"/>
    <s v="User Not Mapped"/>
    <s v="User Not Mapped"/>
    <s v="User Not Mapped"/>
    <n v="341796"/>
    <s v="Mainul Haque"/>
    <s v="Private Retailer"/>
    <s v="9153744930"/>
    <n v="0.25"/>
    <n v="157"/>
    <x v="0"/>
    <m/>
    <s v="2025-11-21"/>
    <s v="260210"/>
    <s v="Gouri Sankar Kundu            "/>
    <s v="9064539774"/>
  </r>
  <r>
    <s v="RCF Thal"/>
    <s v="N.C.Urea(45kg)"/>
    <s v="WB"/>
    <x v="15"/>
    <s v="Chakdah"/>
    <s v="User Not Mapped"/>
    <s v="User Not Mapped"/>
    <s v="User Not Mapped"/>
    <n v="341906"/>
    <s v="Md. Nazrul Islam"/>
    <s v="Private Retailer"/>
    <s v="9733946322"/>
    <n v="3.105"/>
    <n v="47"/>
    <x v="1"/>
    <m/>
    <s v="2026-03-11"/>
    <s v="270129"/>
    <s v="Kalyan Kr. Nandi"/>
    <s v="8250914797"/>
  </r>
  <r>
    <s v="RCF Import"/>
    <s v="Imp 10-26-26"/>
    <s v="WB"/>
    <x v="15"/>
    <s v="Chakdah"/>
    <s v="User Not Mapped"/>
    <s v="User Not Mapped"/>
    <s v="User Not Mapped"/>
    <n v="341906"/>
    <s v="Md. Nazrul Islam"/>
    <s v="Private Retailer"/>
    <s v="9733946322"/>
    <n v="0.45"/>
    <n v="228"/>
    <x v="3"/>
    <m/>
    <s v="2025-09-11"/>
    <s v="260209"/>
    <s v="M/S SUNIL KUMAR SAHA       "/>
    <s v="9434110995"/>
  </r>
  <r>
    <s v="RCF Import"/>
    <s v="Imp 10-26-26"/>
    <s v="WB"/>
    <x v="15"/>
    <s v="Chakdah"/>
    <s v="User Not Mapped"/>
    <s v="User Not Mapped"/>
    <s v="User Not Mapped"/>
    <n v="341906"/>
    <s v="Md. Nazrul Islam"/>
    <s v="Private Retailer"/>
    <s v="9733946322"/>
    <n v="1.25"/>
    <n v="20"/>
    <x v="4"/>
    <m/>
    <s v="2026-04-07"/>
    <s v="260209"/>
    <s v="M/S SUNIL KUMAR SAHA       "/>
    <s v="9434110995"/>
  </r>
  <r>
    <s v="RCF Trombay"/>
    <s v="15-15-15"/>
    <s v="WB"/>
    <x v="15"/>
    <s v="Chakdah"/>
    <s v="User Not Mapped"/>
    <s v="User Not Mapped"/>
    <s v="User Not Mapped"/>
    <n v="341906"/>
    <s v="Md. Nazrul Islam"/>
    <s v="Private Retailer"/>
    <s v="9733946322"/>
    <n v="1.6"/>
    <n v="361"/>
    <x v="3"/>
    <m/>
    <s v="2025-05-01"/>
    <s v="260209"/>
    <s v="M/S SUNIL KUMAR SAHA       "/>
    <s v="9434110995"/>
  </r>
  <r>
    <s v="RCF Import"/>
    <s v="Imp 10-26-26"/>
    <s v="WB"/>
    <x v="15"/>
    <s v="Chakdah"/>
    <s v="User Not Mapped"/>
    <s v="User Not Mapped"/>
    <s v="User Not Mapped"/>
    <n v="341947"/>
    <s v="Mofijul Haque"/>
    <s v="Private Retailer"/>
    <s v="9674001278"/>
    <n v="0.25"/>
    <n v="299"/>
    <x v="3"/>
    <m/>
    <s v="2025-07-02"/>
    <s v="441419"/>
    <s v="M/S Namita Chanda"/>
    <s v="9775677020"/>
  </r>
  <r>
    <s v="RCF Trombay"/>
    <s v="15-15-15"/>
    <s v="WB"/>
    <x v="15"/>
    <s v="Chakdah"/>
    <s v="User Not Mapped"/>
    <s v="User Not Mapped"/>
    <s v="User Not Mapped"/>
    <n v="341947"/>
    <s v="Mofijul Haque"/>
    <s v="Private Retailer"/>
    <s v="9674001278"/>
    <n v="8.0000000000000002E-3"/>
    <n v="299"/>
    <x v="3"/>
    <m/>
    <s v="2025-07-02"/>
    <s v="441419"/>
    <s v="M/S Namita Chanda"/>
    <s v="9775677020"/>
  </r>
  <r>
    <s v="RCF Thal"/>
    <s v="N.C.Urea(45kg)"/>
    <s v="WB"/>
    <x v="15"/>
    <s v="Chakdah"/>
    <s v="User Not Mapped"/>
    <s v="User Not Mapped"/>
    <s v="User Not Mapped"/>
    <n v="342077"/>
    <s v="M/s Nihar Ranjan Das"/>
    <s v="Private Retailer"/>
    <s v="9564345480"/>
    <n v="0.13500000000000001"/>
    <n v="16"/>
    <x v="4"/>
    <m/>
    <s v="2026-04-11"/>
    <s v="260209"/>
    <s v="M/S SUNIL KUMAR SAHA       "/>
    <s v="9434110995"/>
  </r>
  <r>
    <s v="RCF Thal"/>
    <s v="N.C.Urea(45kg)"/>
    <s v="WB"/>
    <x v="15"/>
    <s v="Chakdah"/>
    <s v="User Not Mapped"/>
    <s v="User Not Mapped"/>
    <s v="User Not Mapped"/>
    <n v="342077"/>
    <s v="M/s Nihar Ranjan Das"/>
    <s v="Private Retailer"/>
    <s v="9564345480"/>
    <n v="0.58499999999999996"/>
    <n v="21"/>
    <x v="4"/>
    <m/>
    <s v="2026-04-06"/>
    <s v="260210"/>
    <s v="Gouri Sankar Kundu            "/>
    <s v="9064539774"/>
  </r>
  <r>
    <s v="RCF Import"/>
    <s v="MOP"/>
    <s v="WB"/>
    <x v="15"/>
    <s v="Chakdah"/>
    <s v="User Not Mapped"/>
    <s v="User Not Mapped"/>
    <s v="User Not Mapped"/>
    <n v="342104"/>
    <s v="Nirmal Kr. Ghosh"/>
    <s v="Private Retailer"/>
    <s v="7699015408"/>
    <n v="0.24299999999999999"/>
    <n v="45"/>
    <x v="1"/>
    <m/>
    <s v="2026-03-13"/>
    <s v="281285"/>
    <s v="Bhabani Prosad Chattopadhy"/>
    <s v="7548026544"/>
  </r>
  <r>
    <s v="RCF Import"/>
    <s v="Imp 10-26-26"/>
    <s v="WB"/>
    <x v="15"/>
    <s v="Chakdah"/>
    <s v="User Not Mapped"/>
    <s v="User Not Mapped"/>
    <s v="User Not Mapped"/>
    <n v="342104"/>
    <s v="Nirmal Kr. Ghosh"/>
    <s v="Private Retailer"/>
    <s v="7699015408"/>
    <n v="0.25"/>
    <n v="45"/>
    <x v="1"/>
    <m/>
    <s v="2026-03-13"/>
    <s v="281285"/>
    <s v="Bhabani Prosad Chattopadhy"/>
    <s v="7548026544"/>
  </r>
  <r>
    <s v="RCF Trombay"/>
    <s v="15-15-15"/>
    <s v="WB"/>
    <x v="15"/>
    <s v="Chakdah"/>
    <s v="User Not Mapped"/>
    <s v="User Not Mapped"/>
    <s v="User Not Mapped"/>
    <n v="342104"/>
    <s v="Nirmal Kr. Ghosh"/>
    <s v="Private Retailer"/>
    <s v="7699015408"/>
    <n v="9.5000000000000001E-2"/>
    <n v="45"/>
    <x v="1"/>
    <m/>
    <s v="2026-03-13"/>
    <s v="281285"/>
    <s v="Bhabani Prosad Chattopadhy"/>
    <s v="7548026544"/>
  </r>
  <r>
    <s v="RCF Thal"/>
    <s v="N.C.Urea(45kg)"/>
    <s v="WB"/>
    <x v="15"/>
    <s v="Chakdah"/>
    <s v="User Not Mapped"/>
    <s v="User Not Mapped"/>
    <s v="User Not Mapped"/>
    <n v="342119"/>
    <s v="M/s Nityagopal Paul"/>
    <s v="Private Retailer"/>
    <s v="9232611517"/>
    <n v="0.72"/>
    <n v="33"/>
    <x v="1"/>
    <m/>
    <s v="2026-03-25"/>
    <s v="260209"/>
    <s v="M/S SUNIL KUMAR SAHA       "/>
    <s v="9434110995"/>
  </r>
  <r>
    <s v="RCF Trombay"/>
    <s v="15-15-15"/>
    <s v="WB"/>
    <x v="15"/>
    <s v="Chakdah"/>
    <s v="User Not Mapped"/>
    <s v="User Not Mapped"/>
    <s v="User Not Mapped"/>
    <n v="342119"/>
    <s v="M/s Nityagopal Paul"/>
    <s v="Private Retailer"/>
    <s v="9232611517"/>
    <n v="0.15"/>
    <n v="49"/>
    <x v="1"/>
    <m/>
    <s v="2026-03-09"/>
    <s v="260209"/>
    <s v="M/S SUNIL KUMAR SAHA       "/>
    <s v="9434110995"/>
  </r>
  <r>
    <s v="RCF Thal"/>
    <s v="N.C.Urea(45kg)"/>
    <s v="WB"/>
    <x v="15"/>
    <s v="Chakdah"/>
    <s v="User Not Mapped"/>
    <s v="User Not Mapped"/>
    <s v="User Not Mapped"/>
    <n v="342592"/>
    <s v="M/S PROBODH KIJMAR CHANDA"/>
    <s v="Private Retailer"/>
    <s v="9333386196"/>
    <n v="0.9"/>
    <n v="4"/>
    <x v="4"/>
    <m/>
    <s v="2026-04-23"/>
    <s v="214222"/>
    <s v="Mahamaya Enterprise"/>
    <s v="8348217174"/>
  </r>
  <r>
    <s v="RCF Import"/>
    <s v="MOP"/>
    <s v="WB"/>
    <x v="15"/>
    <s v="Chakdah"/>
    <s v="User Not Mapped"/>
    <s v="User Not Mapped"/>
    <s v="User Not Mapped"/>
    <n v="342592"/>
    <s v="M/S PROBODH KIJMAR CHANDA"/>
    <s v="Private Retailer"/>
    <s v="9333386196"/>
    <n v="1"/>
    <n v="59"/>
    <x v="1"/>
    <m/>
    <s v="2026-02-27"/>
    <s v="441419"/>
    <s v="M/S Namita Chanda"/>
    <s v="9775677020"/>
  </r>
  <r>
    <s v="RCF Import"/>
    <s v="Imp 10-26-26"/>
    <s v="WB"/>
    <x v="15"/>
    <s v="Chakdah"/>
    <s v="User Not Mapped"/>
    <s v="User Not Mapped"/>
    <s v="User Not Mapped"/>
    <n v="342592"/>
    <s v="M/S PROBODH KIJMAR CHANDA"/>
    <s v="Private Retailer"/>
    <s v="9333386196"/>
    <n v="2.5"/>
    <n v="13"/>
    <x v="4"/>
    <m/>
    <s v="2026-04-14"/>
    <s v="280729"/>
    <s v="M/s. Naresh Chandra Das"/>
    <s v="7365868045"/>
  </r>
  <r>
    <s v="RCF Trombay"/>
    <s v="N.C.Urea(45kg)"/>
    <s v="WB"/>
    <x v="15"/>
    <s v="Chakdah"/>
    <s v="User Not Mapped"/>
    <s v="User Not Mapped"/>
    <s v="User Not Mapped"/>
    <n v="342634"/>
    <s v="MIS HABINOHA NATH GHOSH"/>
    <s v="Private Retailer"/>
    <s v="8926945029"/>
    <n v="3.3000000000000002E-2"/>
    <n v="544"/>
    <x v="6"/>
    <m/>
    <s v="2024-10-30"/>
    <s v="1214830"/>
    <s v="MS AJOY KRISHNA SEAL"/>
    <s v="9932127372"/>
  </r>
  <r>
    <s v="RCF Import"/>
    <s v="MOP"/>
    <s v="WB"/>
    <x v="15"/>
    <s v="Chakdah"/>
    <s v="User Not Mapped"/>
    <s v="User Not Mapped"/>
    <s v="User Not Mapped"/>
    <n v="342637"/>
    <s v="Ranjan Sadhukhan"/>
    <s v="Private Retailer"/>
    <s v="7001181876"/>
    <n v="0.25"/>
    <n v="52"/>
    <x v="1"/>
    <m/>
    <s v="2026-03-06"/>
    <s v="260210"/>
    <s v="Gouri Sankar Kundu            "/>
    <s v="9064539774"/>
  </r>
  <r>
    <s v="RCF Import"/>
    <s v="MOP"/>
    <s v="WB"/>
    <x v="15"/>
    <s v="Chakdah"/>
    <s v="User Not Mapped"/>
    <s v="User Not Mapped"/>
    <s v="User Not Mapped"/>
    <n v="342637"/>
    <s v="Ranjan Sadhukhan"/>
    <s v="Private Retailer"/>
    <s v="7001181876"/>
    <n v="0.15"/>
    <n v="44"/>
    <x v="1"/>
    <m/>
    <s v="2026-03-14"/>
    <s v="260210"/>
    <s v="Gouri Sankar Kundu            "/>
    <s v="9064539774"/>
  </r>
  <r>
    <s v="RCF Thal"/>
    <s v="N.C.Urea(45kg)"/>
    <s v="WB"/>
    <x v="15"/>
    <s v="Chakdah"/>
    <s v="User Not Mapped"/>
    <s v="User Not Mapped"/>
    <s v="User Not Mapped"/>
    <n v="342637"/>
    <s v="Ranjan Sadhukhan"/>
    <s v="Private Retailer"/>
    <s v="7001181876"/>
    <n v="0.09"/>
    <n v="11"/>
    <x v="4"/>
    <m/>
    <s v="2026-04-16"/>
    <s v="260210"/>
    <s v="Gouri Sankar Kundu            "/>
    <s v="9064539774"/>
  </r>
  <r>
    <s v="RCF Thal"/>
    <s v="N.C.Urea(45kg)"/>
    <s v="WB"/>
    <x v="15"/>
    <s v="Chakdah"/>
    <s v="User Not Mapped"/>
    <s v="User Not Mapped"/>
    <s v="User Not Mapped"/>
    <n v="342637"/>
    <s v="Ranjan Sadhukhan"/>
    <s v="Private Retailer"/>
    <s v="7001181876"/>
    <n v="0.99"/>
    <n v="44"/>
    <x v="1"/>
    <m/>
    <s v="2026-03-14"/>
    <s v="260210"/>
    <s v="Gouri Sankar Kundu            "/>
    <s v="9064539774"/>
  </r>
  <r>
    <s v="RCF Import"/>
    <s v="Imp 10-26-26"/>
    <s v="WB"/>
    <x v="15"/>
    <s v="Chakdah"/>
    <s v="User Not Mapped"/>
    <s v="User Not Mapped"/>
    <s v="User Not Mapped"/>
    <n v="342637"/>
    <s v="Ranjan Sadhukhan"/>
    <s v="Private Retailer"/>
    <s v="7001181876"/>
    <n v="0.15"/>
    <n v="52"/>
    <x v="1"/>
    <m/>
    <s v="2026-03-06"/>
    <s v="260210"/>
    <s v="Gouri Sankar Kundu            "/>
    <s v="9064539774"/>
  </r>
  <r>
    <s v="RCF Trombay"/>
    <s v="15-15-15"/>
    <s v="WB"/>
    <x v="15"/>
    <s v="Chakdah"/>
    <s v="User Not Mapped"/>
    <s v="User Not Mapped"/>
    <s v="User Not Mapped"/>
    <n v="342637"/>
    <s v="Ranjan Sadhukhan"/>
    <s v="Private Retailer"/>
    <s v="7001181876"/>
    <n v="0.4"/>
    <n v="52"/>
    <x v="1"/>
    <m/>
    <s v="2026-03-06"/>
    <s v="260210"/>
    <s v="Gouri Sankar Kundu            "/>
    <s v="9064539774"/>
  </r>
  <r>
    <s v="RCF Trombay"/>
    <s v="15-15-15"/>
    <s v="WB"/>
    <x v="15"/>
    <s v="Chakdah"/>
    <s v="User Not Mapped"/>
    <s v="User Not Mapped"/>
    <s v="User Not Mapped"/>
    <n v="342637"/>
    <s v="Ranjan Sadhukhan"/>
    <s v="Private Retailer"/>
    <s v="7001181876"/>
    <n v="0.05"/>
    <n v="181"/>
    <x v="3"/>
    <m/>
    <s v="2025-10-28"/>
    <s v="260210"/>
    <s v="Gouri Sankar Kundu            "/>
    <s v="9064539774"/>
  </r>
  <r>
    <s v="RCF Trombay"/>
    <s v="15-15-15"/>
    <s v="WB"/>
    <x v="15"/>
    <s v="Chakdah"/>
    <s v="User Not Mapped"/>
    <s v="User Not Mapped"/>
    <s v="User Not Mapped"/>
    <n v="342637"/>
    <s v="Ranjan Sadhukhan"/>
    <s v="Private Retailer"/>
    <s v="7001181876"/>
    <n v="0.15"/>
    <n v="140"/>
    <x v="0"/>
    <m/>
    <s v="2025-12-08"/>
    <s v="260210"/>
    <s v="Gouri Sankar Kundu            "/>
    <s v="9064539774"/>
  </r>
  <r>
    <s v="RCF Import"/>
    <s v="Imp 10-26-26"/>
    <s v="WB"/>
    <x v="15"/>
    <s v="Chakdah"/>
    <s v="User Not Mapped"/>
    <s v="User Not Mapped"/>
    <s v="User Not Mapped"/>
    <n v="342637"/>
    <s v="Ranjan Sadhukhan"/>
    <s v="Private Retailer"/>
    <s v="7001181876"/>
    <n v="0.25"/>
    <n v="29"/>
    <x v="4"/>
    <m/>
    <s v="2026-03-29"/>
    <s v="260210"/>
    <s v="Gouri Sankar Kundu            "/>
    <s v="9064539774"/>
  </r>
  <r>
    <s v="RCF Import"/>
    <s v="Imp 10-26-26"/>
    <s v="WB"/>
    <x v="15"/>
    <s v="Chakdah"/>
    <s v="User Not Mapped"/>
    <s v="User Not Mapped"/>
    <s v="User Not Mapped"/>
    <n v="342638"/>
    <s v="Pijush Kanti Das"/>
    <s v="Private Retailer"/>
    <s v="9733894146"/>
    <n v="0.5"/>
    <n v="14"/>
    <x v="4"/>
    <m/>
    <s v="2026-04-13"/>
    <s v="260209"/>
    <s v="M/S SUNIL KUMAR SAHA       "/>
    <s v="9434110995"/>
  </r>
  <r>
    <s v="RCF Import"/>
    <s v="Imp 10-26-26"/>
    <s v="WB"/>
    <x v="15"/>
    <s v="Chakdah"/>
    <s v="User Not Mapped"/>
    <s v="User Not Mapped"/>
    <s v="User Not Mapped"/>
    <n v="342638"/>
    <s v="Pijush Kanti Das"/>
    <s v="Private Retailer"/>
    <s v="9733894146"/>
    <n v="0.45"/>
    <n v="20"/>
    <x v="4"/>
    <m/>
    <s v="2026-04-07"/>
    <s v="260209"/>
    <s v="M/S SUNIL KUMAR SAHA       "/>
    <s v="9434110995"/>
  </r>
  <r>
    <s v="RCF Thal"/>
    <s v="N.C.Urea(45kg)"/>
    <s v="WB"/>
    <x v="15"/>
    <s v="Chakdah"/>
    <s v="User Not Mapped"/>
    <s v="User Not Mapped"/>
    <s v="User Not Mapped"/>
    <n v="342640"/>
    <s v="Pranab Sarkar"/>
    <s v="Private Retailer"/>
    <s v="9733825342"/>
    <n v="6.75"/>
    <n v="21"/>
    <x v="4"/>
    <m/>
    <s v="2026-04-06"/>
    <s v="260177"/>
    <s v="SatyaRanjan Kundu and Brothers"/>
    <s v="7908186730"/>
  </r>
  <r>
    <s v="RCF Thal"/>
    <s v="N.C.Urea(45kg)"/>
    <s v="WB"/>
    <x v="15"/>
    <s v="Chakdah"/>
    <s v="User Not Mapped"/>
    <s v="User Not Mapped"/>
    <s v="User Not Mapped"/>
    <n v="342640"/>
    <s v="Pranab Sarkar"/>
    <s v="Private Retailer"/>
    <s v="9733825342"/>
    <n v="6.75"/>
    <n v="7"/>
    <x v="4"/>
    <m/>
    <s v="2026-04-20"/>
    <s v="260177"/>
    <s v="SatyaRanjan Kundu and Brothers"/>
    <s v="7908186730"/>
  </r>
  <r>
    <s v="RCF Thal"/>
    <s v="N.C.Urea(45kg)"/>
    <s v="WB"/>
    <x v="15"/>
    <s v="Chakdah"/>
    <s v="User Not Mapped"/>
    <s v="User Not Mapped"/>
    <s v="User Not Mapped"/>
    <n v="342642"/>
    <s v="Ranjan Biswas"/>
    <s v="Private Retailer"/>
    <s v="8918323240"/>
    <n v="1.08"/>
    <n v="16"/>
    <x v="4"/>
    <m/>
    <s v="2026-04-11"/>
    <s v="260209"/>
    <s v="M/S SUNIL KUMAR SAHA       "/>
    <s v="9434110995"/>
  </r>
  <r>
    <s v="RCF Trombay"/>
    <s v="15-15-15"/>
    <s v="WB"/>
    <x v="15"/>
    <s v="Chakdah"/>
    <s v="User Not Mapped"/>
    <s v="User Not Mapped"/>
    <s v="User Not Mapped"/>
    <n v="342642"/>
    <s v="Ranjan Biswas"/>
    <s v="Private Retailer"/>
    <s v="8918323240"/>
    <n v="0.27500000000000002"/>
    <n v="49"/>
    <x v="1"/>
    <m/>
    <s v="2026-03-09"/>
    <s v="260209"/>
    <s v="M/S SUNIL KUMAR SAHA       "/>
    <s v="9434110995"/>
  </r>
  <r>
    <s v="RCF Import"/>
    <s v="Imp 10-26-26"/>
    <s v="WB"/>
    <x v="15"/>
    <s v="Chakdah"/>
    <s v="User Not Mapped"/>
    <s v="User Not Mapped"/>
    <s v="User Not Mapped"/>
    <n v="342642"/>
    <s v="Ranjan Biswas"/>
    <s v="Private Retailer"/>
    <s v="8918323240"/>
    <n v="0.25"/>
    <n v="16"/>
    <x v="4"/>
    <m/>
    <s v="2026-04-11"/>
    <s v="260209"/>
    <s v="M/S SUNIL KUMAR SAHA       "/>
    <s v="9434110995"/>
  </r>
  <r>
    <s v="RCF Trombay"/>
    <s v="15-15-15"/>
    <s v="WB"/>
    <x v="15"/>
    <s v="Chakdah"/>
    <s v="User Not Mapped"/>
    <s v="User Not Mapped"/>
    <s v="User Not Mapped"/>
    <n v="354890"/>
    <s v="M/S Debnath Enterprise"/>
    <s v="Private Retailer"/>
    <s v="9735565304"/>
    <n v="1.25"/>
    <n v="60"/>
    <x v="1"/>
    <m/>
    <s v="2026-02-26"/>
    <s v="214222"/>
    <s v="Mahamaya Enterprise"/>
    <s v="8348217174"/>
  </r>
  <r>
    <s v="RCF Trombay"/>
    <s v="N.C.Urea(45kg)"/>
    <s v="WB"/>
    <x v="15"/>
    <s v="Chakdah"/>
    <s v="User Not Mapped"/>
    <s v="User Not Mapped"/>
    <s v="User Not Mapped"/>
    <n v="354890"/>
    <s v="M/S Debnath Enterprise"/>
    <s v="Private Retailer"/>
    <s v="9735565304"/>
    <n v="9.99"/>
    <n v="60"/>
    <x v="1"/>
    <m/>
    <s v="2026-02-26"/>
    <s v="214222"/>
    <s v="Mahamaya Enterprise"/>
    <s v="8348217174"/>
  </r>
  <r>
    <s v="RCF Trombay"/>
    <s v="N.C.Urea(45kg)"/>
    <s v="WB"/>
    <x v="15"/>
    <s v="Chakdah"/>
    <s v="User Not Mapped"/>
    <s v="User Not Mapped"/>
    <s v="User Not Mapped"/>
    <n v="354890"/>
    <s v="M/S Debnath Enterprise"/>
    <s v="Private Retailer"/>
    <s v="9735565304"/>
    <n v="6.8849999999999998"/>
    <n v="90"/>
    <x v="2"/>
    <m/>
    <s v="2026-01-27"/>
    <s v="214222"/>
    <s v="Mahamaya Enterprise"/>
    <s v="8348217174"/>
  </r>
  <r>
    <s v="RCF Trombay"/>
    <s v="15-15-15"/>
    <s v="WB"/>
    <x v="15"/>
    <s v="Chakdah"/>
    <s v="User Not Mapped"/>
    <s v="User Not Mapped"/>
    <s v="User Not Mapped"/>
    <n v="355770"/>
    <s v="Najibuddin Mondal"/>
    <s v="Private Retailer"/>
    <s v="9836729512"/>
    <n v="0.05"/>
    <n v="142"/>
    <x v="0"/>
    <m/>
    <s v="2025-12-06"/>
    <s v="260210"/>
    <s v="Gouri Sankar Kundu            "/>
    <s v="9064539774"/>
  </r>
  <r>
    <s v="RCF Thal"/>
    <s v="N.C.Urea(45kg)"/>
    <s v="WB"/>
    <x v="15"/>
    <s v="Chakdah"/>
    <s v="User Not Mapped"/>
    <s v="User Not Mapped"/>
    <s v="User Not Mapped"/>
    <n v="355770"/>
    <s v="Najibuddin Mondal"/>
    <s v="Private Retailer"/>
    <s v="9836729512"/>
    <n v="0.54"/>
    <n v="21"/>
    <x v="4"/>
    <m/>
    <s v="2026-04-06"/>
    <s v="260210"/>
    <s v="Gouri Sankar Kundu            "/>
    <s v="9064539774"/>
  </r>
  <r>
    <s v="RCF Trombay"/>
    <s v="15-15-15"/>
    <s v="WB"/>
    <x v="15"/>
    <s v="Chakdah"/>
    <s v="User Not Mapped"/>
    <s v="User Not Mapped"/>
    <s v="User Not Mapped"/>
    <n v="355770"/>
    <s v="Najibuddin Mondal"/>
    <s v="Private Retailer"/>
    <s v="9836729512"/>
    <n v="1"/>
    <n v="81"/>
    <x v="2"/>
    <m/>
    <s v="2026-02-05"/>
    <s v="260210"/>
    <s v="Gouri Sankar Kundu            "/>
    <s v="9064539774"/>
  </r>
  <r>
    <s v="RCF Thal"/>
    <s v="N.C.Urea(45kg)"/>
    <s v="WB"/>
    <x v="15"/>
    <s v="Chakdah"/>
    <s v="User Not Mapped"/>
    <s v="User Not Mapped"/>
    <s v="User Not Mapped"/>
    <n v="356046"/>
    <s v="Ram Prasad Mandal"/>
    <s v="Private Retailer"/>
    <s v="9735923820"/>
    <n v="0.81"/>
    <n v="2"/>
    <x v="4"/>
    <m/>
    <s v="2026-04-25"/>
    <s v="260210"/>
    <s v="Gouri Sankar Kundu            "/>
    <s v="9064539774"/>
  </r>
  <r>
    <s v="RCF Trombay"/>
    <s v="15-15-15"/>
    <s v="WB"/>
    <x v="15"/>
    <s v="Chakdah"/>
    <s v="User Not Mapped"/>
    <s v="User Not Mapped"/>
    <s v="User Not Mapped"/>
    <n v="356046"/>
    <s v="Ram Prasad Mandal"/>
    <s v="Private Retailer"/>
    <s v="9735923820"/>
    <n v="0.3"/>
    <n v="52"/>
    <x v="1"/>
    <m/>
    <s v="2026-03-06"/>
    <s v="260210"/>
    <s v="Gouri Sankar Kundu            "/>
    <s v="9064539774"/>
  </r>
  <r>
    <s v="RCF Import"/>
    <s v="Imp 10-26-26"/>
    <s v="WB"/>
    <x v="15"/>
    <s v="Chakdah"/>
    <s v="User Not Mapped"/>
    <s v="User Not Mapped"/>
    <s v="User Not Mapped"/>
    <n v="356046"/>
    <s v="Ram Prasad Mandal"/>
    <s v="Private Retailer"/>
    <s v="9735923820"/>
    <n v="0.5"/>
    <n v="159"/>
    <x v="0"/>
    <m/>
    <s v="2025-11-19"/>
    <s v="441419"/>
    <s v="M/S Namita Chanda"/>
    <s v="9775677020"/>
  </r>
  <r>
    <s v="RCF Trombay"/>
    <s v="15-15-15"/>
    <s v="WB"/>
    <x v="15"/>
    <s v="Chakdah"/>
    <s v="User Not Mapped"/>
    <s v="User Not Mapped"/>
    <s v="User Not Mapped"/>
    <n v="356198"/>
    <s v="Sailesh Chandra Basu"/>
    <s v="Private Retailer"/>
    <s v="9434302639"/>
    <n v="0.3"/>
    <n v="92"/>
    <x v="5"/>
    <m/>
    <s v="2026-01-25"/>
    <s v="260209"/>
    <s v="M/S SUNIL KUMAR SAHA       "/>
    <s v="9434110995"/>
  </r>
  <r>
    <s v="RCF Import"/>
    <s v="Imp 10-26-26"/>
    <s v="WB"/>
    <x v="15"/>
    <s v="Chakdah"/>
    <s v="User Not Mapped"/>
    <s v="User Not Mapped"/>
    <s v="User Not Mapped"/>
    <n v="356198"/>
    <s v="Sailesh Chandra Basu"/>
    <s v="Private Retailer"/>
    <s v="9434302639"/>
    <n v="0.5"/>
    <n v="16"/>
    <x v="4"/>
    <m/>
    <s v="2026-04-11"/>
    <s v="260209"/>
    <s v="M/S SUNIL KUMAR SAHA       "/>
    <s v="9434110995"/>
  </r>
  <r>
    <s v="RCF Trombay"/>
    <s v="N.C.Urea(45kg)"/>
    <s v="WB"/>
    <x v="15"/>
    <s v="Chakdah"/>
    <s v="User Not Mapped"/>
    <s v="User Not Mapped"/>
    <s v="User Not Mapped"/>
    <n v="356198"/>
    <s v="Sailesh Chandra Basu"/>
    <s v="Private Retailer"/>
    <s v="9434302639"/>
    <n v="0.315"/>
    <n v="151"/>
    <x v="0"/>
    <m/>
    <s v="2025-11-27"/>
    <s v="260209"/>
    <s v="M/S SUNIL KUMAR SAHA       "/>
    <s v="9434110995"/>
  </r>
  <r>
    <s v="RCF Trombay"/>
    <s v="15-15-15"/>
    <s v="WB"/>
    <x v="15"/>
    <s v="Chakdah"/>
    <s v="User Not Mapped"/>
    <s v="User Not Mapped"/>
    <s v="User Not Mapped"/>
    <n v="356243"/>
    <s v="Sanjib Kumar Ghosh"/>
    <s v="Private Retailer"/>
    <s v="9733351600"/>
    <n v="1.05"/>
    <n v="13"/>
    <x v="4"/>
    <m/>
    <s v="2026-04-14"/>
    <s v="280729"/>
    <s v="M/s. Naresh Chandra Das"/>
    <s v="7365868045"/>
  </r>
  <r>
    <s v="RCF Import"/>
    <s v="Imp 10-26-26"/>
    <s v="WB"/>
    <x v="15"/>
    <s v="Chakdah"/>
    <s v="User Not Mapped"/>
    <s v="User Not Mapped"/>
    <s v="User Not Mapped"/>
    <n v="356243"/>
    <s v="Sanjib Kumar Ghosh"/>
    <s v="Private Retailer"/>
    <s v="9733351600"/>
    <n v="1.5"/>
    <n v="13"/>
    <x v="4"/>
    <m/>
    <s v="2026-04-14"/>
    <s v="280729"/>
    <s v="M/s. Naresh Chandra Das"/>
    <s v="7365868045"/>
  </r>
  <r>
    <s v="RCF Thal"/>
    <s v="N.C.Urea(45kg)"/>
    <s v="WB"/>
    <x v="15"/>
    <s v="Chakdah"/>
    <s v="User Not Mapped"/>
    <s v="User Not Mapped"/>
    <s v="User Not Mapped"/>
    <n v="356243"/>
    <s v="Sanjib Kumar Ghosh"/>
    <s v="Private Retailer"/>
    <s v="9733351600"/>
    <n v="4.9950000000000001"/>
    <n v="4"/>
    <x v="4"/>
    <m/>
    <s v="2026-04-23"/>
    <s v="214222"/>
    <s v="Mahamaya Enterprise"/>
    <s v="8348217174"/>
  </r>
  <r>
    <s v="RCF Trombay"/>
    <s v="N.C.Urea(45kg)"/>
    <s v="WB"/>
    <x v="15"/>
    <s v="Chakdah"/>
    <s v="User Not Mapped"/>
    <s v="User Not Mapped"/>
    <s v="User Not Mapped"/>
    <n v="356267"/>
    <s v="Sankar Sarkar"/>
    <s v="Private Retailer"/>
    <s v="9733997844"/>
    <n v="1.35"/>
    <n v="511"/>
    <x v="6"/>
    <m/>
    <s v="2024-12-02"/>
    <s v="260209"/>
    <s v="M/S SUNIL KUMAR SAHA       "/>
    <s v="9434110995"/>
  </r>
  <r>
    <s v="RCF Trombay"/>
    <s v="15-15-15"/>
    <s v="WB"/>
    <x v="15"/>
    <s v="Chakdah"/>
    <s v="User Not Mapped"/>
    <s v="User Not Mapped"/>
    <s v="User Not Mapped"/>
    <n v="356267"/>
    <s v="Sankar Sarkar"/>
    <s v="Private Retailer"/>
    <s v="9733997844"/>
    <n v="0.5"/>
    <n v="56"/>
    <x v="1"/>
    <m/>
    <s v="2026-03-02"/>
    <s v="1043444"/>
    <s v="UMA RANI SAHA"/>
    <s v="9775414001"/>
  </r>
  <r>
    <s v="RCF Trombay"/>
    <s v="N.C.Urea(45kg)"/>
    <s v="WB"/>
    <x v="15"/>
    <s v="Chakdah"/>
    <s v="User Not Mapped"/>
    <s v="User Not Mapped"/>
    <s v="User Not Mapped"/>
    <n v="356267"/>
    <s v="Sankar Sarkar"/>
    <s v="Private Retailer"/>
    <s v="9733997844"/>
    <n v="0.9"/>
    <n v="92"/>
    <x v="5"/>
    <m/>
    <s v="2026-01-25"/>
    <s v="260209"/>
    <s v="M/S SUNIL KUMAR SAHA       "/>
    <s v="9434110995"/>
  </r>
  <r>
    <s v="RCF Import"/>
    <s v="MOP"/>
    <s v="WB"/>
    <x v="15"/>
    <s v="Chakdah"/>
    <s v="User Not Mapped"/>
    <s v="User Not Mapped"/>
    <s v="User Not Mapped"/>
    <n v="356267"/>
    <s v="Sankar Sarkar"/>
    <s v="Private Retailer"/>
    <s v="9733997844"/>
    <n v="1"/>
    <n v="56"/>
    <x v="1"/>
    <m/>
    <s v="2026-03-02"/>
    <s v="1043444"/>
    <s v="UMA RANI SAHA"/>
    <s v="9775414001"/>
  </r>
  <r>
    <s v="RCF Trombay"/>
    <s v="N.C.Urea(45kg)"/>
    <s v="WB"/>
    <x v="15"/>
    <s v="Chakdah"/>
    <s v="User Not Mapped"/>
    <s v="User Not Mapped"/>
    <s v="User Not Mapped"/>
    <n v="356267"/>
    <s v="Sankar Sarkar"/>
    <s v="Private Retailer"/>
    <s v="9733997844"/>
    <n v="2.25"/>
    <n v="56"/>
    <x v="1"/>
    <m/>
    <s v="2026-03-02"/>
    <s v="1043444"/>
    <s v="UMA RANI SAHA"/>
    <s v="9775414001"/>
  </r>
  <r>
    <s v="RCF Trombay"/>
    <s v="N.C.Urea(45kg)"/>
    <s v="WB"/>
    <x v="15"/>
    <s v="Chakdah"/>
    <s v="User Not Mapped"/>
    <s v="User Not Mapped"/>
    <s v="User Not Mapped"/>
    <n v="356267"/>
    <s v="Sankar Sarkar"/>
    <s v="Private Retailer"/>
    <s v="9733997844"/>
    <n v="0.9"/>
    <n v="434"/>
    <x v="6"/>
    <m/>
    <s v="2025-02-17"/>
    <s v="260209"/>
    <s v="M/S SUNIL KUMAR SAHA       "/>
    <s v="9434110995"/>
  </r>
  <r>
    <s v="RCF Trombay"/>
    <s v="N.C.Urea(45kg)"/>
    <s v="WB"/>
    <x v="15"/>
    <s v="Chakdah"/>
    <s v="User Not Mapped"/>
    <s v="User Not Mapped"/>
    <s v="User Not Mapped"/>
    <n v="356267"/>
    <s v="Sankar Sarkar"/>
    <s v="Private Retailer"/>
    <s v="9733997844"/>
    <n v="0.9"/>
    <n v="59"/>
    <x v="1"/>
    <m/>
    <s v="2026-02-27"/>
    <s v="260209"/>
    <s v="M/S SUNIL KUMAR SAHA       "/>
    <s v="9434110995"/>
  </r>
  <r>
    <s v="RCF Trombay"/>
    <s v="N.C.Urea(45kg)"/>
    <s v="WB"/>
    <x v="15"/>
    <s v="Chakdah"/>
    <s v="User Not Mapped"/>
    <s v="User Not Mapped"/>
    <s v="User Not Mapped"/>
    <n v="356267"/>
    <s v="Sankar Sarkar"/>
    <s v="Private Retailer"/>
    <s v="9733997844"/>
    <n v="0.27"/>
    <n v="575"/>
    <x v="7"/>
    <m/>
    <s v="2024-09-29"/>
    <s v="260209"/>
    <s v="M/S SUNIL KUMAR SAHA       "/>
    <s v="9434110995"/>
  </r>
  <r>
    <s v="RCF Thal"/>
    <s v="N.C.Urea(45kg)"/>
    <s v="WB"/>
    <x v="15"/>
    <s v="Chakdah"/>
    <s v="User Not Mapped"/>
    <s v="User Not Mapped"/>
    <s v="User Not Mapped"/>
    <n v="356356"/>
    <s v="Sujit Dutta"/>
    <s v="Private Retailer"/>
    <s v="9732783803"/>
    <n v="1.35"/>
    <n v="9"/>
    <x v="4"/>
    <m/>
    <s v="2026-04-18"/>
    <s v="260210"/>
    <s v="Gouri Sankar Kundu            "/>
    <s v="9064539774"/>
  </r>
  <r>
    <s v="RCF Thal"/>
    <s v="N.C.Urea(45kg)"/>
    <s v="WB"/>
    <x v="15"/>
    <s v="Chakdah"/>
    <s v="User Not Mapped"/>
    <s v="User Not Mapped"/>
    <s v="User Not Mapped"/>
    <n v="356356"/>
    <s v="Sujit Dutta"/>
    <s v="Private Retailer"/>
    <s v="9732783803"/>
    <n v="7.29"/>
    <n v="20"/>
    <x v="4"/>
    <m/>
    <s v="2026-04-07"/>
    <s v="260209"/>
    <s v="M/S SUNIL KUMAR SAHA       "/>
    <s v="9434110995"/>
  </r>
  <r>
    <s v="RCF Thal"/>
    <s v="N.C.Urea(45kg)"/>
    <s v="WB"/>
    <x v="15"/>
    <s v="Chakdah"/>
    <s v="User Not Mapped"/>
    <s v="User Not Mapped"/>
    <s v="User Not Mapped"/>
    <n v="356356"/>
    <s v="Sujit Dutta"/>
    <s v="Private Retailer"/>
    <s v="9732783803"/>
    <n v="1.8"/>
    <n v="11"/>
    <x v="4"/>
    <m/>
    <s v="2026-04-16"/>
    <s v="260210"/>
    <s v="Gouri Sankar Kundu            "/>
    <s v="9064539774"/>
  </r>
  <r>
    <s v="RCF Import"/>
    <s v="Imp 10-26-26"/>
    <s v="WB"/>
    <x v="15"/>
    <s v="Chakdah"/>
    <s v="User Not Mapped"/>
    <s v="User Not Mapped"/>
    <s v="User Not Mapped"/>
    <n v="387453"/>
    <s v="M/S Talab Bari Mondal "/>
    <s v="Private Retailer"/>
    <s v="9434954297"/>
    <n v="0.1"/>
    <n v="184"/>
    <x v="3"/>
    <m/>
    <s v="2025-10-25"/>
    <s v="260210"/>
    <s v="Gouri Sankar Kundu            "/>
    <s v="9064539774"/>
  </r>
  <r>
    <s v="RCF Import"/>
    <s v="MOP"/>
    <s v="WB"/>
    <x v="15"/>
    <s v="Chakdah"/>
    <s v="User Not Mapped"/>
    <s v="User Not Mapped"/>
    <s v="User Not Mapped"/>
    <n v="387453"/>
    <s v="M/S Talab Bari Mondal "/>
    <s v="Private Retailer"/>
    <s v="9434954297"/>
    <n v="0.25"/>
    <n v="60"/>
    <x v="1"/>
    <m/>
    <s v="2026-02-26"/>
    <s v="260210"/>
    <s v="Gouri Sankar Kundu            "/>
    <s v="9064539774"/>
  </r>
  <r>
    <s v="RCF Thal"/>
    <s v="N.C.Urea(45kg)"/>
    <s v="WB"/>
    <x v="15"/>
    <s v="Chakdah"/>
    <s v="User Not Mapped"/>
    <s v="User Not Mapped"/>
    <s v="User Not Mapped"/>
    <n v="387453"/>
    <s v="M/S Talab Bari Mondal "/>
    <s v="Private Retailer"/>
    <s v="9434954297"/>
    <n v="0.36"/>
    <n v="16"/>
    <x v="4"/>
    <m/>
    <s v="2026-04-11"/>
    <s v="260210"/>
    <s v="Gouri Sankar Kundu            "/>
    <s v="9064539774"/>
  </r>
  <r>
    <s v="RCF Import"/>
    <s v="MOP"/>
    <s v="WB"/>
    <x v="15"/>
    <s v="Chakdah"/>
    <s v="User Not Mapped"/>
    <s v="User Not Mapped"/>
    <s v="User Not Mapped"/>
    <n v="387453"/>
    <s v="M/S Talab Bari Mondal "/>
    <s v="Private Retailer"/>
    <s v="9434954297"/>
    <n v="0.05"/>
    <n v="417"/>
    <x v="6"/>
    <m/>
    <s v="2025-03-06"/>
    <s v="260210"/>
    <s v="Gouri Sankar Kundu            "/>
    <s v="9064539774"/>
  </r>
  <r>
    <s v="RCF Thal"/>
    <s v="N.C.Urea(45kg)"/>
    <s v="WB"/>
    <x v="15"/>
    <s v="Chakdah"/>
    <s v="User Not Mapped"/>
    <s v="User Not Mapped"/>
    <s v="User Not Mapped"/>
    <n v="388060"/>
    <s v="M/S Subhash Majumder"/>
    <s v="Private Retailer"/>
    <s v="9733902845"/>
    <n v="0.09"/>
    <n v="46"/>
    <x v="1"/>
    <m/>
    <s v="2026-03-12"/>
    <s v="260209"/>
    <s v="M/S SUNIL KUMAR SAHA       "/>
    <s v="9434110995"/>
  </r>
  <r>
    <s v="RCF Trombay"/>
    <s v="15-15-15"/>
    <s v="WB"/>
    <x v="15"/>
    <s v="Chakdah"/>
    <s v="User Not Mapped"/>
    <s v="User Not Mapped"/>
    <s v="User Not Mapped"/>
    <n v="388060"/>
    <s v="M/S Subhash Majumder"/>
    <s v="Private Retailer"/>
    <s v="9733902845"/>
    <n v="0.4"/>
    <n v="77"/>
    <x v="2"/>
    <m/>
    <s v="2026-02-09"/>
    <s v="260209"/>
    <s v="M/S SUNIL KUMAR SAHA       "/>
    <s v="9434110995"/>
  </r>
  <r>
    <s v="RCF Trombay"/>
    <s v="N.C.Urea(45kg)"/>
    <s v="WB"/>
    <x v="15"/>
    <s v="Chakdah"/>
    <s v="User Not Mapped"/>
    <s v="User Not Mapped"/>
    <s v="User Not Mapped"/>
    <n v="388060"/>
    <s v="M/S Subhash Majumder"/>
    <s v="Private Retailer"/>
    <s v="9733902845"/>
    <n v="0.13500000000000001"/>
    <n v="60"/>
    <x v="1"/>
    <m/>
    <s v="2026-02-26"/>
    <s v="260209"/>
    <s v="M/S SUNIL KUMAR SAHA       "/>
    <s v="9434110995"/>
  </r>
  <r>
    <s v="RCF Trombay"/>
    <s v="15-15-15"/>
    <s v="WB"/>
    <x v="15"/>
    <s v="Chakdah"/>
    <s v="User Not Mapped"/>
    <s v="User Not Mapped"/>
    <s v="User Not Mapped"/>
    <n v="389764"/>
    <s v="M/S Swapan Kumar Saha"/>
    <s v="Private Retailer"/>
    <s v="9593820668"/>
    <n v="0.5"/>
    <n v="61"/>
    <x v="2"/>
    <m/>
    <s v="2026-02-25"/>
    <s v="260209"/>
    <s v="M/S SUNIL KUMAR SAHA       "/>
    <s v="9434110995"/>
  </r>
  <r>
    <s v="RCF Import"/>
    <s v="Imp 10-26-26"/>
    <s v="WB"/>
    <x v="15"/>
    <s v="Chakdah"/>
    <s v="User Not Mapped"/>
    <s v="User Not Mapped"/>
    <s v="User Not Mapped"/>
    <n v="389764"/>
    <s v="M/S Swapan Kumar Saha"/>
    <s v="Private Retailer"/>
    <s v="9593820668"/>
    <n v="0.75"/>
    <n v="20"/>
    <x v="4"/>
    <m/>
    <s v="2026-04-07"/>
    <s v="260209"/>
    <s v="M/S SUNIL KUMAR SAHA       "/>
    <s v="9434110995"/>
  </r>
  <r>
    <s v="RCF Trombay"/>
    <s v="15-15-15"/>
    <s v="WB"/>
    <x v="15"/>
    <s v="Chakdah"/>
    <s v="User Not Mapped"/>
    <s v="User Not Mapped"/>
    <s v="User Not Mapped"/>
    <n v="389764"/>
    <s v="M/S Swapan Kumar Saha"/>
    <s v="Private Retailer"/>
    <s v="9593820668"/>
    <n v="0.93"/>
    <n v="88"/>
    <x v="2"/>
    <m/>
    <s v="2026-01-29"/>
    <s v="260209"/>
    <s v="M/S SUNIL KUMAR SAHA       "/>
    <s v="9434110995"/>
  </r>
  <r>
    <s v="RCF Trombay"/>
    <s v="15-15-15"/>
    <s v="WB"/>
    <x v="15"/>
    <s v="Chakdah"/>
    <s v="User Not Mapped"/>
    <s v="User Not Mapped"/>
    <s v="User Not Mapped"/>
    <n v="389772"/>
    <s v="M/S Nasarat Ali Mondal"/>
    <s v="Private Retailer"/>
    <s v="7001181704"/>
    <n v="1"/>
    <n v="57"/>
    <x v="1"/>
    <m/>
    <s v="2026-03-01"/>
    <s v="281285"/>
    <s v="Bhabani Prosad Chattopadhy"/>
    <s v="7548026544"/>
  </r>
  <r>
    <s v="RCF Trombay"/>
    <s v="15-15-15"/>
    <s v="WB"/>
    <x v="15"/>
    <s v="Chakdah"/>
    <s v="User Not Mapped"/>
    <s v="User Not Mapped"/>
    <s v="User Not Mapped"/>
    <n v="389772"/>
    <s v="M/S Nasarat Ali Mondal"/>
    <s v="Private Retailer"/>
    <s v="7001181704"/>
    <n v="0.5"/>
    <n v="75"/>
    <x v="2"/>
    <m/>
    <s v="2026-02-11"/>
    <s v="281285"/>
    <s v="Bhabani Prosad Chattopadhy"/>
    <s v="7548026544"/>
  </r>
  <r>
    <s v="RCF Trombay"/>
    <s v="15-15-15"/>
    <s v="WB"/>
    <x v="15"/>
    <s v="Chakdah"/>
    <s v="User Not Mapped"/>
    <s v="User Not Mapped"/>
    <s v="User Not Mapped"/>
    <n v="389772"/>
    <s v="M/S Nasarat Ali Mondal"/>
    <s v="Private Retailer"/>
    <s v="7001181704"/>
    <n v="1.25"/>
    <n v="92"/>
    <x v="5"/>
    <m/>
    <s v="2026-01-25"/>
    <s v="281285"/>
    <s v="Bhabani Prosad Chattopadhy"/>
    <s v="7548026544"/>
  </r>
  <r>
    <s v="RCF Trombay"/>
    <s v="15-15-15"/>
    <s v="WB"/>
    <x v="15"/>
    <s v="Chakdah"/>
    <s v="User Not Mapped"/>
    <s v="User Not Mapped"/>
    <s v="User Not Mapped"/>
    <n v="389772"/>
    <s v="M/S Nasarat Ali Mondal"/>
    <s v="Private Retailer"/>
    <s v="7001181704"/>
    <n v="1"/>
    <n v="113"/>
    <x v="5"/>
    <m/>
    <s v="2026-01-04"/>
    <s v="281285"/>
    <s v="Bhabani Prosad Chattopadhy"/>
    <s v="7548026544"/>
  </r>
  <r>
    <s v="RCF Trombay"/>
    <s v="15-15-15"/>
    <s v="WB"/>
    <x v="15"/>
    <s v="Chakdah"/>
    <s v="User Not Mapped"/>
    <s v="User Not Mapped"/>
    <s v="User Not Mapped"/>
    <n v="389772"/>
    <s v="M/S Nasarat Ali Mondal"/>
    <s v="Private Retailer"/>
    <s v="7001181704"/>
    <n v="2"/>
    <n v="145"/>
    <x v="0"/>
    <m/>
    <s v="2025-12-03"/>
    <s v="281285"/>
    <s v="Bhabani Prosad Chattopadhy"/>
    <s v="7548026544"/>
  </r>
  <r>
    <s v="RCF Trombay"/>
    <s v="15-15-15"/>
    <s v="WB"/>
    <x v="15"/>
    <s v="Chakdah"/>
    <s v="User Not Mapped"/>
    <s v="User Not Mapped"/>
    <s v="User Not Mapped"/>
    <n v="389772"/>
    <s v="M/S Nasarat Ali Mondal"/>
    <s v="Private Retailer"/>
    <s v="7001181704"/>
    <n v="2.5"/>
    <n v="173"/>
    <x v="0"/>
    <m/>
    <s v="2025-11-05"/>
    <s v="281285"/>
    <s v="Bhabani Prosad Chattopadhy"/>
    <s v="7548026544"/>
  </r>
  <r>
    <s v="RCF Trombay"/>
    <s v="N.C.Urea(45kg)"/>
    <s v="WB"/>
    <x v="15"/>
    <s v="Chakdah"/>
    <s v="User Not Mapped"/>
    <s v="User Not Mapped"/>
    <s v="User Not Mapped"/>
    <n v="389772"/>
    <s v="M/S Nasarat Ali Mondal"/>
    <s v="Private Retailer"/>
    <s v="7001181704"/>
    <n v="0.85499999999999998"/>
    <n v="92"/>
    <x v="5"/>
    <m/>
    <s v="2026-01-25"/>
    <s v="281285"/>
    <s v="Bhabani Prosad Chattopadhy"/>
    <s v="7548026544"/>
  </r>
  <r>
    <s v="RCF Trombay"/>
    <s v="15-15-15"/>
    <s v="WB"/>
    <x v="15"/>
    <s v="Chakdah"/>
    <s v="User Not Mapped"/>
    <s v="User Not Mapped"/>
    <s v="User Not Mapped"/>
    <n v="389802"/>
    <s v="M/S Subrata Mondal"/>
    <s v="Private Retailer"/>
    <s v="9748872388"/>
    <n v="0.25"/>
    <n v="86"/>
    <x v="2"/>
    <m/>
    <s v="2026-01-31"/>
    <s v="260210"/>
    <s v="Gouri Sankar Kundu            "/>
    <s v="9064539774"/>
  </r>
  <r>
    <s v="RCF Import"/>
    <s v="Imp 10-26-26"/>
    <s v="WB"/>
    <x v="15"/>
    <s v="Chakdah"/>
    <s v="User Not Mapped"/>
    <s v="User Not Mapped"/>
    <s v="User Not Mapped"/>
    <n v="413914"/>
    <s v="Dinabandhu Sadhukha"/>
    <s v="Private Retailer"/>
    <s v="9932809427"/>
    <n v="0.75"/>
    <n v="323"/>
    <x v="3"/>
    <m/>
    <s v="2025-06-08"/>
    <s v="281285"/>
    <s v="Bhabani Prosad Chattopadhy"/>
    <s v="7548026544"/>
  </r>
  <r>
    <s v="RCF Trombay"/>
    <s v="15-15-15"/>
    <s v="WB"/>
    <x v="15"/>
    <s v="Chakdah"/>
    <s v="User Not Mapped"/>
    <s v="User Not Mapped"/>
    <s v="User Not Mapped"/>
    <n v="413914"/>
    <s v="Dinabandhu Sadhukha"/>
    <s v="Private Retailer"/>
    <s v="9932809427"/>
    <n v="0.25"/>
    <n v="402"/>
    <x v="6"/>
    <m/>
    <s v="2025-03-21"/>
    <s v="260210"/>
    <s v="Gouri Sankar Kundu            "/>
    <s v="9064539774"/>
  </r>
  <r>
    <s v="RCF Trombay"/>
    <s v="15-15-15"/>
    <s v="WB"/>
    <x v="15"/>
    <s v="Chakdah"/>
    <s v="User Not Mapped"/>
    <s v="User Not Mapped"/>
    <s v="User Not Mapped"/>
    <n v="413914"/>
    <s v="Dinabandhu Sadhukha"/>
    <s v="Private Retailer"/>
    <s v="9932809427"/>
    <n v="0.25"/>
    <n v="323"/>
    <x v="3"/>
    <m/>
    <s v="2025-06-08"/>
    <s v="281285"/>
    <s v="Bhabani Prosad Chattopadhy"/>
    <s v="7548026544"/>
  </r>
  <r>
    <s v="RCF Import"/>
    <s v="MOP"/>
    <s v="WB"/>
    <x v="15"/>
    <s v="Chakdah"/>
    <s v="User Not Mapped"/>
    <s v="User Not Mapped"/>
    <s v="User Not Mapped"/>
    <n v="413924"/>
    <s v="Subhash Ch Dey"/>
    <s v="Private Retailer"/>
    <s v="9734061348"/>
    <n v="0.25"/>
    <n v="64"/>
    <x v="2"/>
    <m/>
    <s v="2026-02-22"/>
    <s v="260210"/>
    <s v="Gouri Sankar Kundu            "/>
    <s v="9064539774"/>
  </r>
  <r>
    <s v="RCF Trombay"/>
    <s v="15-15-15"/>
    <s v="WB"/>
    <x v="15"/>
    <s v="Chakdah"/>
    <s v="User Not Mapped"/>
    <s v="User Not Mapped"/>
    <s v="User Not Mapped"/>
    <n v="413924"/>
    <s v="Subhash Ch Dey"/>
    <s v="Private Retailer"/>
    <s v="9734061348"/>
    <n v="2.2999999999999998"/>
    <n v="56"/>
    <x v="1"/>
    <m/>
    <s v="2026-03-02"/>
    <s v="1043444"/>
    <s v="UMA RANI SAHA"/>
    <s v="9775414001"/>
  </r>
  <r>
    <s v="RCF Import"/>
    <s v="Imp 10-26-26"/>
    <s v="WB"/>
    <x v="15"/>
    <s v="Chakdah"/>
    <s v="User Not Mapped"/>
    <s v="User Not Mapped"/>
    <s v="User Not Mapped"/>
    <n v="413924"/>
    <s v="Subhash Ch Dey"/>
    <s v="Private Retailer"/>
    <s v="9734061348"/>
    <n v="0.6"/>
    <n v="56"/>
    <x v="1"/>
    <m/>
    <s v="2026-03-02"/>
    <s v="1043444"/>
    <s v="UMA RANI SAHA"/>
    <s v="9775414001"/>
  </r>
  <r>
    <s v="RCF Import"/>
    <s v="MOP"/>
    <s v="WB"/>
    <x v="15"/>
    <s v="Chakdah"/>
    <s v="User Not Mapped"/>
    <s v="User Not Mapped"/>
    <s v="User Not Mapped"/>
    <n v="413924"/>
    <s v="Subhash Ch Dey"/>
    <s v="Private Retailer"/>
    <s v="9734061348"/>
    <n v="1"/>
    <n v="56"/>
    <x v="1"/>
    <m/>
    <s v="2026-03-02"/>
    <s v="1043444"/>
    <s v="UMA RANI SAHA"/>
    <s v="9775414001"/>
  </r>
  <r>
    <s v="RCF Thal"/>
    <s v="N.C.Urea(45kg)"/>
    <s v="WB"/>
    <x v="15"/>
    <s v="Chakdah"/>
    <s v="User Not Mapped"/>
    <s v="User Not Mapped"/>
    <s v="User Not Mapped"/>
    <n v="413924"/>
    <s v="Subhash Ch Dey"/>
    <s v="Private Retailer"/>
    <s v="9734061348"/>
    <n v="0.27"/>
    <n v="281"/>
    <x v="3"/>
    <m/>
    <s v="2025-07-20"/>
    <s v="260210"/>
    <s v="Gouri Sankar Kundu            "/>
    <s v="9064539774"/>
  </r>
  <r>
    <s v="RCF Import"/>
    <s v="MOP"/>
    <s v="WB"/>
    <x v="15"/>
    <s v="Chakdah"/>
    <s v="User Not Mapped"/>
    <s v="User Not Mapped"/>
    <s v="User Not Mapped"/>
    <n v="440622"/>
    <s v="M/S Umesh Chandra  Mallick"/>
    <s v="Private Retailer"/>
    <s v="8670464285"/>
    <n v="0.25"/>
    <n v="52"/>
    <x v="1"/>
    <m/>
    <s v="2026-03-06"/>
    <s v="260210"/>
    <s v="Gouri Sankar Kundu            "/>
    <s v="9064539774"/>
  </r>
  <r>
    <s v="RCF Import"/>
    <s v="MOP"/>
    <s v="WB"/>
    <x v="15"/>
    <s v="Chakdah"/>
    <s v="User Not Mapped"/>
    <s v="User Not Mapped"/>
    <s v="User Not Mapped"/>
    <n v="440622"/>
    <s v="M/S Umesh Chandra  Mallick"/>
    <s v="Private Retailer"/>
    <s v="8670464285"/>
    <n v="0.05"/>
    <n v="65"/>
    <x v="2"/>
    <m/>
    <s v="2026-02-21"/>
    <s v="260210"/>
    <s v="Gouri Sankar Kundu            "/>
    <s v="9064539774"/>
  </r>
  <r>
    <s v="RCF Import"/>
    <s v="MOP"/>
    <s v="WB"/>
    <x v="15"/>
    <s v="Chakdah"/>
    <s v="User Not Mapped"/>
    <s v="User Not Mapped"/>
    <s v="User Not Mapped"/>
    <n v="440622"/>
    <s v="M/S Umesh Chandra  Mallick"/>
    <s v="Private Retailer"/>
    <s v="8670464285"/>
    <n v="0.25"/>
    <n v="60"/>
    <x v="1"/>
    <m/>
    <s v="2026-02-26"/>
    <s v="260210"/>
    <s v="Gouri Sankar Kundu            "/>
    <s v="9064539774"/>
  </r>
  <r>
    <s v="RCF Import"/>
    <s v="MOP"/>
    <s v="WB"/>
    <x v="15"/>
    <s v="Chakdah"/>
    <s v="User Not Mapped"/>
    <s v="User Not Mapped"/>
    <s v="User Not Mapped"/>
    <n v="440622"/>
    <s v="M/S Umesh Chandra  Mallick"/>
    <s v="Private Retailer"/>
    <s v="8670464285"/>
    <n v="0.25"/>
    <n v="44"/>
    <x v="1"/>
    <m/>
    <s v="2026-03-14"/>
    <s v="260210"/>
    <s v="Gouri Sankar Kundu            "/>
    <s v="9064539774"/>
  </r>
  <r>
    <s v="RCF Trombay"/>
    <s v="15-15-15"/>
    <s v="WB"/>
    <x v="15"/>
    <s v="Chakdah"/>
    <s v="User Not Mapped"/>
    <s v="User Not Mapped"/>
    <s v="User Not Mapped"/>
    <n v="440622"/>
    <s v="M/S Umesh Chandra  Mallick"/>
    <s v="Private Retailer"/>
    <s v="8670464285"/>
    <n v="0.05"/>
    <n v="84"/>
    <x v="2"/>
    <m/>
    <s v="2026-02-02"/>
    <s v="260209"/>
    <s v="M/S SUNIL KUMAR SAHA       "/>
    <s v="9434110995"/>
  </r>
  <r>
    <s v="RCF Trombay"/>
    <s v="15-15-15"/>
    <s v="WB"/>
    <x v="15"/>
    <s v="Chakdah"/>
    <s v="User Not Mapped"/>
    <s v="User Not Mapped"/>
    <s v="User Not Mapped"/>
    <n v="440622"/>
    <s v="M/S Umesh Chandra  Mallick"/>
    <s v="Private Retailer"/>
    <s v="8670464285"/>
    <n v="0.5"/>
    <n v="48"/>
    <x v="1"/>
    <m/>
    <s v="2026-03-10"/>
    <s v="260209"/>
    <s v="M/S SUNIL KUMAR SAHA       "/>
    <s v="9434110995"/>
  </r>
  <r>
    <s v="RCF Trombay"/>
    <s v="15-15-15"/>
    <s v="WB"/>
    <x v="15"/>
    <s v="Chakdah"/>
    <s v="User Not Mapped"/>
    <s v="User Not Mapped"/>
    <s v="User Not Mapped"/>
    <n v="440624"/>
    <s v="M/S Ramesh Debnath"/>
    <s v="Private Retailer"/>
    <s v="8159974692"/>
    <n v="2.3E-2"/>
    <n v="60"/>
    <x v="1"/>
    <m/>
    <s v="2026-02-26"/>
    <s v="214222"/>
    <s v="Mahamaya Enterprise"/>
    <s v="8348217174"/>
  </r>
  <r>
    <s v="RCF Thal"/>
    <s v="N.C.Urea(45kg)"/>
    <s v="WB"/>
    <x v="15"/>
    <s v="Chakdah"/>
    <s v="User Not Mapped"/>
    <s v="User Not Mapped"/>
    <s v="User Not Mapped"/>
    <n v="440624"/>
    <s v="M/S Ramesh Debnath"/>
    <s v="Private Retailer"/>
    <s v="8159974692"/>
    <n v="7.2"/>
    <n v="4"/>
    <x v="4"/>
    <m/>
    <s v="2026-04-23"/>
    <s v="214222"/>
    <s v="Mahamaya Enterprise"/>
    <s v="8348217174"/>
  </r>
  <r>
    <s v="RCF Import"/>
    <s v="MOP"/>
    <s v="WB"/>
    <x v="15"/>
    <s v="Chakdah"/>
    <s v="User Not Mapped"/>
    <s v="User Not Mapped"/>
    <s v="User Not Mapped"/>
    <n v="440624"/>
    <s v="M/S Ramesh Debnath"/>
    <s v="Private Retailer"/>
    <s v="8159974692"/>
    <n v="4.6500000000000004"/>
    <n v="59"/>
    <x v="1"/>
    <m/>
    <s v="2026-02-27"/>
    <s v="441419"/>
    <s v="M/S Namita Chanda"/>
    <s v="9775677020"/>
  </r>
  <r>
    <s v="RCF Trombay"/>
    <s v="15-15-15"/>
    <s v="WB"/>
    <x v="15"/>
    <s v="Chakdah"/>
    <s v="User Not Mapped"/>
    <s v="User Not Mapped"/>
    <s v="User Not Mapped"/>
    <n v="440636"/>
    <s v="M/S. Sura Bala Mondal"/>
    <s v="Private Retailer"/>
    <s v="9679288403"/>
    <n v="0.5"/>
    <n v="374"/>
    <x v="6"/>
    <m/>
    <s v="2025-04-18"/>
    <s v="260209"/>
    <s v="M/S SUNIL KUMAR SAHA       "/>
    <s v="9434110995"/>
  </r>
  <r>
    <s v="RCF Trombay"/>
    <s v="15-15-15"/>
    <s v="WB"/>
    <x v="15"/>
    <s v="Chakdah"/>
    <s v="User Not Mapped"/>
    <s v="User Not Mapped"/>
    <s v="User Not Mapped"/>
    <n v="440636"/>
    <s v="M/S. Sura Bala Mondal"/>
    <s v="Private Retailer"/>
    <s v="9679288403"/>
    <n v="0.05"/>
    <n v="399"/>
    <x v="6"/>
    <m/>
    <s v="2025-03-24"/>
    <s v="260209"/>
    <s v="M/S SUNIL KUMAR SAHA       "/>
    <s v="9434110995"/>
  </r>
  <r>
    <s v="RCF Trombay"/>
    <s v="15-15-15"/>
    <s v="WB"/>
    <x v="15"/>
    <s v="Chakdah"/>
    <s v="User Not Mapped"/>
    <s v="User Not Mapped"/>
    <s v="User Not Mapped"/>
    <n v="440702"/>
    <s v="Minajul Mondal"/>
    <s v="Private Retailer"/>
    <s v="9830689042"/>
    <n v="0.1"/>
    <n v="49"/>
    <x v="1"/>
    <m/>
    <s v="2026-03-09"/>
    <s v="260209"/>
    <s v="M/S SUNIL KUMAR SAHA       "/>
    <s v="9434110995"/>
  </r>
  <r>
    <s v="RCF Import"/>
    <s v="Imp 10-26-26"/>
    <s v="WB"/>
    <x v="15"/>
    <s v="Chakdah"/>
    <s v="User Not Mapped"/>
    <s v="User Not Mapped"/>
    <s v="User Not Mapped"/>
    <n v="440702"/>
    <s v="Minajul Mondal"/>
    <s v="Private Retailer"/>
    <s v="9830689042"/>
    <n v="1"/>
    <n v="16"/>
    <x v="4"/>
    <m/>
    <s v="2026-04-11"/>
    <s v="260209"/>
    <s v="M/S SUNIL KUMAR SAHA       "/>
    <s v="9434110995"/>
  </r>
  <r>
    <s v="RCF Import"/>
    <s v="Imp 10-26-26"/>
    <s v="WB"/>
    <x v="15"/>
    <s v="Chakdah"/>
    <s v="User Not Mapped"/>
    <s v="User Not Mapped"/>
    <s v="User Not Mapped"/>
    <n v="440702"/>
    <s v="Minajul Mondal"/>
    <s v="Private Retailer"/>
    <s v="9830689042"/>
    <n v="0.8"/>
    <n v="20"/>
    <x v="4"/>
    <m/>
    <s v="2026-04-07"/>
    <s v="260209"/>
    <s v="M/S SUNIL KUMAR SAHA       "/>
    <s v="9434110995"/>
  </r>
  <r>
    <s v="RCF Import"/>
    <s v="MOP"/>
    <s v="WB"/>
    <x v="15"/>
    <s v="Chakdah"/>
    <s v="User Not Mapped"/>
    <s v="User Not Mapped"/>
    <s v="User Not Mapped"/>
    <n v="487039"/>
    <s v="Shayam Sundar"/>
    <s v="Private Retailer"/>
    <s v="9732934585"/>
    <n v="0.25"/>
    <n v="43"/>
    <x v="1"/>
    <m/>
    <s v="2026-03-15"/>
    <s v="281285"/>
    <s v="Bhabani Prosad Chattopadhy"/>
    <s v="7548026544"/>
  </r>
  <r>
    <s v="RCF Trombay"/>
    <s v="15-15-15"/>
    <s v="WB"/>
    <x v="15"/>
    <s v="Chakdah"/>
    <s v="User Not Mapped"/>
    <s v="User Not Mapped"/>
    <s v="User Not Mapped"/>
    <n v="487039"/>
    <s v="Shayam Sundar"/>
    <s v="Private Retailer"/>
    <s v="9732934585"/>
    <n v="0.15"/>
    <n v="43"/>
    <x v="1"/>
    <m/>
    <s v="2026-03-15"/>
    <s v="281285"/>
    <s v="Bhabani Prosad Chattopadhy"/>
    <s v="7548026544"/>
  </r>
  <r>
    <s v="RCF Trombay"/>
    <s v="15-15-15"/>
    <s v="WB"/>
    <x v="15"/>
    <s v="Chakdah"/>
    <s v="User Not Mapped"/>
    <s v="User Not Mapped"/>
    <s v="User Not Mapped"/>
    <n v="487039"/>
    <s v="Shayam Sundar"/>
    <s v="Private Retailer"/>
    <s v="9732934585"/>
    <n v="0.15"/>
    <n v="75"/>
    <x v="2"/>
    <m/>
    <s v="2026-02-11"/>
    <s v="281285"/>
    <s v="Bhabani Prosad Chattopadhy"/>
    <s v="7548026544"/>
  </r>
  <r>
    <s v="RCF Trombay"/>
    <s v="N.C.Urea(45kg)"/>
    <s v="WB"/>
    <x v="15"/>
    <s v="Chakdah"/>
    <s v="User Not Mapped"/>
    <s v="User Not Mapped"/>
    <s v="User Not Mapped"/>
    <n v="487588"/>
    <s v="Shib  Prosad Dutta"/>
    <s v="Private Retailer"/>
    <s v="9832701729"/>
    <n v="1.35"/>
    <n v="56"/>
    <x v="1"/>
    <m/>
    <s v="2026-03-02"/>
    <s v="260209"/>
    <s v="M/S SUNIL KUMAR SAHA       "/>
    <s v="9434110995"/>
  </r>
  <r>
    <s v="RCF Trombay"/>
    <s v="15-15-15"/>
    <s v="WB"/>
    <x v="15"/>
    <s v="Chakdah"/>
    <s v="User Not Mapped"/>
    <s v="User Not Mapped"/>
    <s v="User Not Mapped"/>
    <n v="487588"/>
    <s v="Shib  Prosad Dutta"/>
    <s v="Private Retailer"/>
    <s v="9832701729"/>
    <n v="0.86499999999999999"/>
    <n v="145"/>
    <x v="0"/>
    <m/>
    <s v="2025-12-03"/>
    <s v="260209"/>
    <s v="M/S SUNIL KUMAR SAHA       "/>
    <s v="9434110995"/>
  </r>
  <r>
    <s v="RCF Trombay"/>
    <s v="N.C.Urea(45kg)"/>
    <s v="WB"/>
    <x v="15"/>
    <s v="Chakdah"/>
    <s v="User Not Mapped"/>
    <s v="User Not Mapped"/>
    <s v="User Not Mapped"/>
    <n v="488402"/>
    <s v="MS Sasti Biswas"/>
    <s v="Private Retailer"/>
    <s v="9153512595"/>
    <n v="0.95"/>
    <n v="146"/>
    <x v="0"/>
    <m/>
    <s v="2025-12-02"/>
    <s v="260177"/>
    <s v="SatyaRanjan Kundu and Brothers"/>
    <s v="7908186730"/>
  </r>
  <r>
    <s v="RCF Trombay"/>
    <s v="15-15-15"/>
    <s v="WB"/>
    <x v="15"/>
    <s v="Chakdah"/>
    <s v="User Not Mapped"/>
    <s v="User Not Mapped"/>
    <s v="User Not Mapped"/>
    <n v="488402"/>
    <s v="MS Sasti Biswas"/>
    <s v="Private Retailer"/>
    <s v="9153512595"/>
    <n v="0.08"/>
    <n v="436"/>
    <x v="6"/>
    <m/>
    <s v="2025-02-15"/>
    <s v="1222703"/>
    <s v="SANDIP CHANDA"/>
    <s v="9232773990"/>
  </r>
  <r>
    <s v="RCF Trombay"/>
    <s v="15-15-15"/>
    <s v="WB"/>
    <x v="15"/>
    <s v="Chakdah"/>
    <s v="User Not Mapped"/>
    <s v="User Not Mapped"/>
    <s v="User Not Mapped"/>
    <n v="498174"/>
    <s v="Rajesh Mondal"/>
    <s v="Private Retailer"/>
    <s v="8116832836"/>
    <n v="5"/>
    <n v="64"/>
    <x v="2"/>
    <m/>
    <s v="2026-02-22"/>
    <s v="260209"/>
    <s v="M/S SUNIL KUMAR SAHA       "/>
    <s v="9434110995"/>
  </r>
  <r>
    <s v="RCF Import"/>
    <s v="MOP"/>
    <s v="WB"/>
    <x v="15"/>
    <s v="Chakdah"/>
    <s v="User Not Mapped"/>
    <s v="User Not Mapped"/>
    <s v="User Not Mapped"/>
    <n v="498174"/>
    <s v="Rajesh Mondal"/>
    <s v="Private Retailer"/>
    <s v="8116832836"/>
    <n v="0.45"/>
    <n v="460"/>
    <x v="6"/>
    <m/>
    <s v="2025-01-22"/>
    <s v="260209"/>
    <s v="M/S SUNIL KUMAR SAHA       "/>
    <s v="9434110995"/>
  </r>
  <r>
    <s v="RCF Trombay"/>
    <s v="15-15-15"/>
    <s v="WB"/>
    <x v="15"/>
    <s v="Chakdah"/>
    <s v="User Not Mapped"/>
    <s v="User Not Mapped"/>
    <s v="User Not Mapped"/>
    <n v="498174"/>
    <s v="Rajesh Mondal"/>
    <s v="Private Retailer"/>
    <s v="8116832836"/>
    <n v="1"/>
    <n v="86"/>
    <x v="2"/>
    <m/>
    <s v="2026-01-31"/>
    <s v="260209"/>
    <s v="M/S SUNIL KUMAR SAHA       "/>
    <s v="9434110995"/>
  </r>
  <r>
    <s v="RCF Trombay"/>
    <s v="15-15-15"/>
    <s v="WB"/>
    <x v="15"/>
    <s v="Chakdah"/>
    <s v="User Not Mapped"/>
    <s v="User Not Mapped"/>
    <s v="User Not Mapped"/>
    <n v="504034"/>
    <s v="Eliash Uddin Mondal"/>
    <s v="Private Retailer"/>
    <s v="9093662652"/>
    <n v="0.1"/>
    <n v="84"/>
    <x v="2"/>
    <m/>
    <s v="2026-02-02"/>
    <s v="281285"/>
    <s v="Bhabani Prosad Chattopadhy"/>
    <s v="7548026544"/>
  </r>
  <r>
    <s v="RCF Import"/>
    <s v="MOP"/>
    <s v="WB"/>
    <x v="15"/>
    <s v="Chakdah"/>
    <s v="User Not Mapped"/>
    <s v="User Not Mapped"/>
    <s v="User Not Mapped"/>
    <n v="504034"/>
    <s v="Eliash Uddin Mondal"/>
    <s v="Private Retailer"/>
    <s v="9093662652"/>
    <n v="0.1"/>
    <n v="480"/>
    <x v="6"/>
    <m/>
    <s v="2025-01-02"/>
    <s v="281285"/>
    <s v="Bhabani Prosad Chattopadhy"/>
    <s v="7548026544"/>
  </r>
  <r>
    <s v="RCF Import"/>
    <s v="MOP"/>
    <s v="WB"/>
    <x v="15"/>
    <s v="Chakdah"/>
    <s v="User Not Mapped"/>
    <s v="User Not Mapped"/>
    <s v="User Not Mapped"/>
    <n v="504034"/>
    <s v="Eliash Uddin Mondal"/>
    <s v="Private Retailer"/>
    <s v="9093662652"/>
    <n v="0.1"/>
    <n v="469"/>
    <x v="6"/>
    <m/>
    <s v="2025-01-13"/>
    <s v="281285"/>
    <s v="Bhabani Prosad Chattopadhy"/>
    <s v="7548026544"/>
  </r>
  <r>
    <s v="RCF Trombay"/>
    <s v="15-15-15"/>
    <s v="WB"/>
    <x v="15"/>
    <s v="Chakdah"/>
    <s v="User Not Mapped"/>
    <s v="User Not Mapped"/>
    <s v="User Not Mapped"/>
    <n v="504034"/>
    <s v="Eliash Uddin Mondal"/>
    <s v="Private Retailer"/>
    <s v="9093662652"/>
    <n v="0.25"/>
    <n v="43"/>
    <x v="1"/>
    <m/>
    <s v="2026-03-15"/>
    <s v="281285"/>
    <s v="Bhabani Prosad Chattopadhy"/>
    <s v="7548026544"/>
  </r>
  <r>
    <s v="RCF Import"/>
    <s v="Imp 10-26-26"/>
    <s v="WB"/>
    <x v="15"/>
    <s v="Chakdah"/>
    <s v="User Not Mapped"/>
    <s v="User Not Mapped"/>
    <s v="User Not Mapped"/>
    <n v="504034"/>
    <s v="Eliash Uddin Mondal"/>
    <s v="Private Retailer"/>
    <s v="9093662652"/>
    <n v="0.1"/>
    <n v="57"/>
    <x v="1"/>
    <m/>
    <s v="2026-03-01"/>
    <s v="281285"/>
    <s v="Bhabani Prosad Chattopadhy"/>
    <s v="7548026544"/>
  </r>
  <r>
    <s v="RCF Import"/>
    <s v="Imp 10-26-26"/>
    <s v="WB"/>
    <x v="15"/>
    <s v="Chakdah"/>
    <s v="User Not Mapped"/>
    <s v="User Not Mapped"/>
    <s v="User Not Mapped"/>
    <n v="504034"/>
    <s v="Eliash Uddin Mondal"/>
    <s v="Private Retailer"/>
    <s v="9093662652"/>
    <n v="0.5"/>
    <n v="45"/>
    <x v="1"/>
    <m/>
    <s v="2026-03-13"/>
    <s v="281285"/>
    <s v="Bhabani Prosad Chattopadhy"/>
    <s v="7548026544"/>
  </r>
  <r>
    <s v="RCF Import"/>
    <s v="Imp 10-26-26"/>
    <s v="WB"/>
    <x v="15"/>
    <s v="Chakdah"/>
    <s v="User Not Mapped"/>
    <s v="User Not Mapped"/>
    <s v="User Not Mapped"/>
    <n v="504034"/>
    <s v="Eliash Uddin Mondal"/>
    <s v="Private Retailer"/>
    <s v="9093662652"/>
    <n v="0.05"/>
    <n v="43"/>
    <x v="1"/>
    <m/>
    <s v="2026-03-15"/>
    <s v="281285"/>
    <s v="Bhabani Prosad Chattopadhy"/>
    <s v="7548026544"/>
  </r>
  <r>
    <s v="RCF Import"/>
    <s v="MOP"/>
    <s v="WB"/>
    <x v="15"/>
    <s v="Chakdah"/>
    <s v="User Not Mapped"/>
    <s v="User Not Mapped"/>
    <s v="User Not Mapped"/>
    <n v="504034"/>
    <s v="Eliash Uddin Mondal"/>
    <s v="Private Retailer"/>
    <s v="9093662652"/>
    <n v="0.05"/>
    <n v="43"/>
    <x v="1"/>
    <m/>
    <s v="2026-03-15"/>
    <s v="281285"/>
    <s v="Bhabani Prosad Chattopadhy"/>
    <s v="7548026544"/>
  </r>
  <r>
    <s v="RCF Thal"/>
    <s v="N.C.Urea(45kg)"/>
    <s v="WB"/>
    <x v="15"/>
    <s v="Chakdah"/>
    <s v="User Not Mapped"/>
    <s v="User Not Mapped"/>
    <s v="User Not Mapped"/>
    <n v="504034"/>
    <s v="Eliash Uddin Mondal"/>
    <s v="Private Retailer"/>
    <s v="9093662652"/>
    <n v="0.45"/>
    <n v="43"/>
    <x v="1"/>
    <m/>
    <s v="2026-03-15"/>
    <s v="281285"/>
    <s v="Bhabani Prosad Chattopadhy"/>
    <s v="7548026544"/>
  </r>
  <r>
    <s v="RCF Import"/>
    <s v="Imp 10-26-26"/>
    <s v="WB"/>
    <x v="15"/>
    <s v="Chakdah"/>
    <s v="User Not Mapped"/>
    <s v="User Not Mapped"/>
    <s v="User Not Mapped"/>
    <n v="514417"/>
    <s v="M/S Mahidul Mondal"/>
    <s v="Private Retailer"/>
    <s v="9231973068"/>
    <n v="0.3"/>
    <n v="22"/>
    <x v="4"/>
    <m/>
    <s v="2026-04-05"/>
    <s v="1043444"/>
    <s v="UMA RANI SAHA"/>
    <s v="9775414001"/>
  </r>
  <r>
    <s v="RCF Import"/>
    <s v="MOP"/>
    <s v="WB"/>
    <x v="15"/>
    <s v="Chakdah"/>
    <s v="User Not Mapped"/>
    <s v="User Not Mapped"/>
    <s v="User Not Mapped"/>
    <n v="514417"/>
    <s v="M/S Mahidul Mondal"/>
    <s v="Private Retailer"/>
    <s v="9231973068"/>
    <n v="0.5"/>
    <n v="22"/>
    <x v="4"/>
    <m/>
    <s v="2026-04-05"/>
    <s v="1043444"/>
    <s v="UMA RANI SAHA"/>
    <s v="9775414001"/>
  </r>
  <r>
    <s v="RCF Trombay"/>
    <s v="15-15-15"/>
    <s v="WB"/>
    <x v="15"/>
    <s v="Chakdah"/>
    <s v="User Not Mapped"/>
    <s v="User Not Mapped"/>
    <s v="User Not Mapped"/>
    <n v="514417"/>
    <s v="M/S Mahidul Mondal"/>
    <s v="Private Retailer"/>
    <s v="9231973068"/>
    <n v="0.35"/>
    <n v="168"/>
    <x v="0"/>
    <m/>
    <s v="2025-11-10"/>
    <s v="1043444"/>
    <s v="UMA RANI SAHA"/>
    <s v="9775414001"/>
  </r>
  <r>
    <s v="RCF Thal"/>
    <s v="N.C.Urea(45kg)"/>
    <s v="WB"/>
    <x v="15"/>
    <s v="Chakdah"/>
    <s v="User Not Mapped"/>
    <s v="User Not Mapped"/>
    <s v="User Not Mapped"/>
    <n v="514417"/>
    <s v="M/S Mahidul Mondal"/>
    <s v="Private Retailer"/>
    <s v="9231973068"/>
    <n v="1.125"/>
    <n v="22"/>
    <x v="4"/>
    <m/>
    <s v="2026-04-05"/>
    <s v="1043444"/>
    <s v="UMA RANI SAHA"/>
    <s v="9775414001"/>
  </r>
  <r>
    <s v="RCF Trombay"/>
    <s v="15-15-15"/>
    <s v="WB"/>
    <x v="15"/>
    <s v="Chakdah"/>
    <s v="User Not Mapped"/>
    <s v="User Not Mapped"/>
    <s v="User Not Mapped"/>
    <n v="515298"/>
    <s v="M/S Narayan Ch Biswas"/>
    <s v="Private Retailer"/>
    <s v="7797107220"/>
    <n v="0.1"/>
    <n v="44"/>
    <x v="1"/>
    <m/>
    <s v="2026-03-14"/>
    <s v="260210"/>
    <s v="Gouri Sankar Kundu            "/>
    <s v="9064539774"/>
  </r>
  <r>
    <s v="RCF Thal"/>
    <s v="N.C.Urea(45kg)"/>
    <s v="WB"/>
    <x v="15"/>
    <s v="Chakdah"/>
    <s v="User Not Mapped"/>
    <s v="User Not Mapped"/>
    <s v="User Not Mapped"/>
    <n v="515298"/>
    <s v="M/S Narayan Ch Biswas"/>
    <s v="Private Retailer"/>
    <s v="7797107220"/>
    <n v="0.40500000000000003"/>
    <n v="16"/>
    <x v="4"/>
    <m/>
    <s v="2026-04-11"/>
    <s v="260210"/>
    <s v="Gouri Sankar Kundu            "/>
    <s v="9064539774"/>
  </r>
  <r>
    <s v="RCF Import"/>
    <s v="MOP"/>
    <s v="WB"/>
    <x v="15"/>
    <s v="Chakdah"/>
    <s v="User Not Mapped"/>
    <s v="User Not Mapped"/>
    <s v="User Not Mapped"/>
    <n v="515298"/>
    <s v="M/S Narayan Ch Biswas"/>
    <s v="Private Retailer"/>
    <s v="7797107220"/>
    <n v="0.1"/>
    <n v="44"/>
    <x v="1"/>
    <m/>
    <s v="2026-03-14"/>
    <s v="260210"/>
    <s v="Gouri Sankar Kundu            "/>
    <s v="9064539774"/>
  </r>
  <r>
    <s v="RCF Trombay"/>
    <s v="15-15-15"/>
    <s v="WB"/>
    <x v="15"/>
    <s v="Chakdah"/>
    <s v="User Not Mapped"/>
    <s v="User Not Mapped"/>
    <s v="User Not Mapped"/>
    <n v="593290"/>
    <s v="SAHADAT MONDAL"/>
    <s v="Private Retailer"/>
    <s v="6296565441"/>
    <n v="0.5"/>
    <n v="48"/>
    <x v="1"/>
    <m/>
    <s v="2026-03-10"/>
    <s v="260209"/>
    <s v="M/S SUNIL KUMAR SAHA       "/>
    <s v="9434110995"/>
  </r>
  <r>
    <s v="RCF Trombay"/>
    <s v="15-15-15"/>
    <s v="WB"/>
    <x v="15"/>
    <s v="Chakdah"/>
    <s v="User Not Mapped"/>
    <s v="User Not Mapped"/>
    <s v="User Not Mapped"/>
    <n v="593290"/>
    <s v="SAHADAT MONDAL"/>
    <s v="Private Retailer"/>
    <s v="6296565441"/>
    <n v="0.5"/>
    <n v="65"/>
    <x v="2"/>
    <m/>
    <s v="2026-02-21"/>
    <s v="260209"/>
    <s v="M/S SUNIL KUMAR SAHA       "/>
    <s v="9434110995"/>
  </r>
  <r>
    <s v="RCF Thal"/>
    <s v="N.C.Urea(45kg)"/>
    <s v="WB"/>
    <x v="15"/>
    <s v="Chakdah"/>
    <s v="User Not Mapped"/>
    <s v="User Not Mapped"/>
    <s v="User Not Mapped"/>
    <n v="593290"/>
    <s v="SAHADAT MONDAL"/>
    <s v="Private Retailer"/>
    <s v="6296565441"/>
    <n v="3.6"/>
    <n v="43"/>
    <x v="1"/>
    <m/>
    <s v="2026-03-15"/>
    <s v="260209"/>
    <s v="M/S SUNIL KUMAR SAHA       "/>
    <s v="9434110995"/>
  </r>
  <r>
    <s v="RCF Trombay"/>
    <s v="N.C.Urea(45kg)"/>
    <s v="WB"/>
    <x v="15"/>
    <s v="Chakdah"/>
    <s v="User Not Mapped"/>
    <s v="User Not Mapped"/>
    <s v="User Not Mapped"/>
    <n v="593290"/>
    <s v="SAHADAT MONDAL"/>
    <s v="Private Retailer"/>
    <s v="6296565441"/>
    <n v="1.71"/>
    <n v="56"/>
    <x v="1"/>
    <m/>
    <s v="2026-03-02"/>
    <s v="260209"/>
    <s v="M/S SUNIL KUMAR SAHA       "/>
    <s v="9434110995"/>
  </r>
  <r>
    <s v="RCF Thal"/>
    <s v="N.C.Urea(45kg)"/>
    <s v="WB"/>
    <x v="15"/>
    <s v="Chakdah"/>
    <s v="User Not Mapped"/>
    <s v="User Not Mapped"/>
    <s v="User Not Mapped"/>
    <n v="593294"/>
    <s v="PARITOSH BISWAS"/>
    <s v="Private Retailer"/>
    <s v="8348243306"/>
    <n v="0.315"/>
    <n v="19"/>
    <x v="4"/>
    <m/>
    <s v="2026-04-08"/>
    <s v="260210"/>
    <s v="Gouri Sankar Kundu            "/>
    <s v="9064539774"/>
  </r>
  <r>
    <s v="RCF Thal"/>
    <s v="N.C.Urea(45kg)"/>
    <s v="WB"/>
    <x v="15"/>
    <s v="Chakdah"/>
    <s v="User Not Mapped"/>
    <s v="User Not Mapped"/>
    <s v="User Not Mapped"/>
    <n v="593294"/>
    <s v="PARITOSH BISWAS"/>
    <s v="Private Retailer"/>
    <s v="8348243306"/>
    <n v="0.45"/>
    <n v="44"/>
    <x v="1"/>
    <m/>
    <s v="2026-03-14"/>
    <s v="260210"/>
    <s v="Gouri Sankar Kundu            "/>
    <s v="9064539774"/>
  </r>
  <r>
    <s v="RCF Trombay"/>
    <s v="N.C.Urea(45kg)"/>
    <s v="WB"/>
    <x v="15"/>
    <s v="Chakdah"/>
    <s v="User Not Mapped"/>
    <s v="User Not Mapped"/>
    <s v="User Not Mapped"/>
    <n v="593294"/>
    <s v="PARITOSH BISWAS"/>
    <s v="Private Retailer"/>
    <s v="8348243306"/>
    <n v="0.45"/>
    <n v="92"/>
    <x v="5"/>
    <m/>
    <s v="2026-01-25"/>
    <s v="260210"/>
    <s v="Gouri Sankar Kundu            "/>
    <s v="9064539774"/>
  </r>
  <r>
    <s v="RCF Trombay"/>
    <s v="N.C.Urea(45kg)"/>
    <s v="WB"/>
    <x v="15"/>
    <s v="Chakdah"/>
    <s v="User Not Mapped"/>
    <s v="User Not Mapped"/>
    <s v="User Not Mapped"/>
    <n v="593294"/>
    <s v="PARITOSH BISWAS"/>
    <s v="Private Retailer"/>
    <s v="8348243306"/>
    <n v="0.36"/>
    <n v="351"/>
    <x v="3"/>
    <m/>
    <s v="2025-05-11"/>
    <s v="260210"/>
    <s v="Gouri Sankar Kundu            "/>
    <s v="9064539774"/>
  </r>
  <r>
    <s v="RCF Trombay"/>
    <s v="15-15-15"/>
    <s v="WB"/>
    <x v="15"/>
    <s v="Chakdah"/>
    <s v="User Not Mapped"/>
    <s v="User Not Mapped"/>
    <s v="User Not Mapped"/>
    <n v="593294"/>
    <s v="PARITOSH BISWAS"/>
    <s v="Private Retailer"/>
    <s v="8348243306"/>
    <n v="0.4"/>
    <n v="92"/>
    <x v="5"/>
    <m/>
    <s v="2026-01-25"/>
    <s v="260210"/>
    <s v="Gouri Sankar Kundu            "/>
    <s v="9064539774"/>
  </r>
  <r>
    <s v="RCF Trombay"/>
    <s v="15-15-15"/>
    <s v="WB"/>
    <x v="15"/>
    <s v="Chakdah"/>
    <s v="User Not Mapped"/>
    <s v="User Not Mapped"/>
    <s v="User Not Mapped"/>
    <n v="599875"/>
    <s v="Palash Mondal"/>
    <s v="Private Retailer"/>
    <s v="8515012648"/>
    <n v="0.02"/>
    <n v="360"/>
    <x v="3"/>
    <m/>
    <s v="2025-05-02"/>
    <s v="260177"/>
    <s v="SatyaRanjan Kundu and Brothers"/>
    <s v="7908186730"/>
  </r>
  <r>
    <s v="RCF Thal"/>
    <s v="N.C.Urea(45kg)"/>
    <s v="WB"/>
    <x v="15"/>
    <s v="Chakdah"/>
    <s v="User Not Mapped"/>
    <s v="User Not Mapped"/>
    <s v="User Not Mapped"/>
    <n v="599877"/>
    <s v="Soumen Mandal"/>
    <s v="Private Retailer"/>
    <s v="9614804881"/>
    <n v="0.67500000000000004"/>
    <n v="20"/>
    <x v="4"/>
    <m/>
    <s v="2026-04-07"/>
    <s v="260209"/>
    <s v="M/S SUNIL KUMAR SAHA       "/>
    <s v="9434110995"/>
  </r>
  <r>
    <s v="RCF Trombay"/>
    <s v="N.C.Urea(45kg)"/>
    <s v="WB"/>
    <x v="15"/>
    <s v="Chakdah"/>
    <s v="User Not Mapped"/>
    <s v="User Not Mapped"/>
    <s v="User Not Mapped"/>
    <n v="599877"/>
    <s v="Soumen Mandal"/>
    <s v="Private Retailer"/>
    <s v="9614804881"/>
    <n v="0.45"/>
    <n v="85"/>
    <x v="2"/>
    <m/>
    <s v="2026-02-01"/>
    <s v="260209"/>
    <s v="M/S SUNIL KUMAR SAHA       "/>
    <s v="9434110995"/>
  </r>
  <r>
    <s v="RCF Thal"/>
    <s v="N.C.Urea(45kg)"/>
    <s v="WB"/>
    <x v="15"/>
    <s v="Chakdah"/>
    <s v="User Not Mapped"/>
    <s v="User Not Mapped"/>
    <s v="User Not Mapped"/>
    <n v="599877"/>
    <s v="Soumen Mandal"/>
    <s v="Private Retailer"/>
    <s v="9614804881"/>
    <n v="0.9"/>
    <n v="16"/>
    <x v="4"/>
    <m/>
    <s v="2026-04-11"/>
    <s v="260210"/>
    <s v="Gouri Sankar Kundu            "/>
    <s v="9064539774"/>
  </r>
  <r>
    <s v="RCF Thal"/>
    <s v="N.C.Urea(45kg)"/>
    <s v="WB"/>
    <x v="15"/>
    <s v="Chakdah"/>
    <s v="User Not Mapped"/>
    <s v="User Not Mapped"/>
    <s v="User Not Mapped"/>
    <n v="599877"/>
    <s v="Soumen Mandal"/>
    <s v="Private Retailer"/>
    <s v="9614804881"/>
    <n v="0.67500000000000004"/>
    <n v="11"/>
    <x v="4"/>
    <m/>
    <s v="2026-04-16"/>
    <s v="260210"/>
    <s v="Gouri Sankar Kundu            "/>
    <s v="9064539774"/>
  </r>
  <r>
    <s v="RCF Thal"/>
    <s v="N.C.Urea(45kg)"/>
    <s v="WB"/>
    <x v="15"/>
    <s v="Chakdah"/>
    <s v="User Not Mapped"/>
    <s v="User Not Mapped"/>
    <s v="User Not Mapped"/>
    <n v="599877"/>
    <s v="Soumen Mandal"/>
    <s v="Private Retailer"/>
    <s v="9614804881"/>
    <n v="0.76500000000000001"/>
    <n v="6"/>
    <x v="4"/>
    <m/>
    <s v="2026-04-21"/>
    <s v="260210"/>
    <s v="Gouri Sankar Kundu            "/>
    <s v="9064539774"/>
  </r>
  <r>
    <s v="RCF Trombay"/>
    <s v="15-15-15"/>
    <s v="WB"/>
    <x v="15"/>
    <s v="Chakdah"/>
    <s v="User Not Mapped"/>
    <s v="User Not Mapped"/>
    <s v="User Not Mapped"/>
    <n v="599877"/>
    <s v="Soumen Mandal"/>
    <s v="Private Retailer"/>
    <s v="9614804881"/>
    <n v="0.5"/>
    <n v="44"/>
    <x v="1"/>
    <m/>
    <s v="2026-03-14"/>
    <s v="260210"/>
    <s v="Gouri Sankar Kundu            "/>
    <s v="9064539774"/>
  </r>
  <r>
    <s v="RCF Trombay"/>
    <s v="N.C.Urea(45kg)"/>
    <s v="WB"/>
    <x v="15"/>
    <s v="Chakdah"/>
    <s v="User Not Mapped"/>
    <s v="User Not Mapped"/>
    <s v="User Not Mapped"/>
    <n v="599877"/>
    <s v="Soumen Mandal"/>
    <s v="Private Retailer"/>
    <s v="9614804881"/>
    <n v="0.13500000000000001"/>
    <n v="86"/>
    <x v="2"/>
    <m/>
    <s v="2026-01-31"/>
    <s v="260209"/>
    <s v="M/S SUNIL KUMAR SAHA       "/>
    <s v="9434110995"/>
  </r>
  <r>
    <s v="RCF Trombay"/>
    <s v="15-15-15"/>
    <s v="WB"/>
    <x v="15"/>
    <s v="Chakdah"/>
    <s v="User Not Mapped"/>
    <s v="User Not Mapped"/>
    <s v="User Not Mapped"/>
    <n v="599879"/>
    <s v="Abulkalam Azad Khan"/>
    <s v="Private Retailer"/>
    <s v="9800215835"/>
    <n v="1.5"/>
    <n v="30"/>
    <x v="4"/>
    <m/>
    <s v="2026-03-28"/>
    <s v="260210"/>
    <s v="Gouri Sankar Kundu            "/>
    <s v="9064539774"/>
  </r>
  <r>
    <s v="RCF Thal"/>
    <s v="N.C.Urea(45kg)"/>
    <s v="WB"/>
    <x v="15"/>
    <s v="Chakdah"/>
    <s v="User Not Mapped"/>
    <s v="User Not Mapped"/>
    <s v="User Not Mapped"/>
    <n v="599879"/>
    <s v="Abulkalam Azad Khan"/>
    <s v="Private Retailer"/>
    <s v="9800215835"/>
    <n v="0.94499999999999995"/>
    <n v="21"/>
    <x v="4"/>
    <m/>
    <s v="2026-04-06"/>
    <s v="260210"/>
    <s v="Gouri Sankar Kundu            "/>
    <s v="9064539774"/>
  </r>
  <r>
    <s v="RCF Import"/>
    <s v="MOP"/>
    <s v="WB"/>
    <x v="15"/>
    <s v="Chakdah"/>
    <s v="User Not Mapped"/>
    <s v="User Not Mapped"/>
    <s v="User Not Mapped"/>
    <n v="599879"/>
    <s v="Abulkalam Azad Khan"/>
    <s v="Private Retailer"/>
    <s v="9800215835"/>
    <n v="0.4"/>
    <n v="30"/>
    <x v="4"/>
    <m/>
    <s v="2026-03-28"/>
    <s v="260210"/>
    <s v="Gouri Sankar Kundu            "/>
    <s v="9064539774"/>
  </r>
  <r>
    <s v="RCF Import"/>
    <s v="MOP"/>
    <s v="WB"/>
    <x v="15"/>
    <s v="Chakdah"/>
    <s v="User Not Mapped"/>
    <s v="User Not Mapped"/>
    <s v="User Not Mapped"/>
    <n v="631185"/>
    <s v="Amit Sarkar"/>
    <s v="Private Retailer"/>
    <s v="9836461215"/>
    <n v="0.1"/>
    <n v="65"/>
    <x v="2"/>
    <m/>
    <s v="2026-02-21"/>
    <s v="260210"/>
    <s v="Gouri Sankar Kundu            "/>
    <s v="9064539774"/>
  </r>
  <r>
    <s v="RCF Trombay"/>
    <s v="15-15-15"/>
    <s v="WB"/>
    <x v="15"/>
    <s v="Chakdah"/>
    <s v="User Not Mapped"/>
    <s v="User Not Mapped"/>
    <s v="User Not Mapped"/>
    <n v="631185"/>
    <s v="Amit Sarkar"/>
    <s v="Private Retailer"/>
    <s v="9836461215"/>
    <n v="0.4"/>
    <n v="77"/>
    <x v="2"/>
    <m/>
    <s v="2026-02-09"/>
    <s v="260210"/>
    <s v="Gouri Sankar Kundu            "/>
    <s v="9064539774"/>
  </r>
  <r>
    <s v="RCF Trombay"/>
    <s v="15-15-15"/>
    <s v="WB"/>
    <x v="15"/>
    <s v="Chakdah"/>
    <s v="User Not Mapped"/>
    <s v="User Not Mapped"/>
    <s v="User Not Mapped"/>
    <n v="631185"/>
    <s v="Amit Sarkar"/>
    <s v="Private Retailer"/>
    <s v="9836461215"/>
    <n v="0.75"/>
    <n v="52"/>
    <x v="1"/>
    <m/>
    <s v="2026-03-06"/>
    <s v="260210"/>
    <s v="Gouri Sankar Kundu            "/>
    <s v="9064539774"/>
  </r>
  <r>
    <s v="RCF Thal"/>
    <s v="N.C.Urea(45kg)"/>
    <s v="WB"/>
    <x v="15"/>
    <s v="Chakdah"/>
    <s v="User Not Mapped"/>
    <s v="User Not Mapped"/>
    <s v="User Not Mapped"/>
    <n v="631185"/>
    <s v="Amit Sarkar"/>
    <s v="Private Retailer"/>
    <s v="9836461215"/>
    <n v="1.35"/>
    <n v="21"/>
    <x v="4"/>
    <m/>
    <s v="2026-04-06"/>
    <s v="260210"/>
    <s v="Gouri Sankar Kundu            "/>
    <s v="9064539774"/>
  </r>
  <r>
    <s v="RCF Import"/>
    <s v="Imp 10-26-26"/>
    <s v="WB"/>
    <x v="15"/>
    <s v="Chakdah"/>
    <s v="User Not Mapped"/>
    <s v="User Not Mapped"/>
    <s v="User Not Mapped"/>
    <n v="653554"/>
    <s v="ETI BISWAS"/>
    <s v="Private Retailer"/>
    <s v="8972595641"/>
    <n v="1"/>
    <n v="216"/>
    <x v="3"/>
    <m/>
    <s v="2025-09-23"/>
    <s v="441419"/>
    <s v="M/S Namita Chanda"/>
    <s v="9775677020"/>
  </r>
  <r>
    <s v="RCF Import"/>
    <s v="Imp 10-26-26"/>
    <s v="WB"/>
    <x v="15"/>
    <s v="Chakdah"/>
    <s v="User Not Mapped"/>
    <s v="User Not Mapped"/>
    <s v="User Not Mapped"/>
    <n v="653554"/>
    <s v="ETI BISWAS"/>
    <s v="Private Retailer"/>
    <s v="8972595641"/>
    <n v="0.75"/>
    <n v="193"/>
    <x v="3"/>
    <m/>
    <s v="2025-10-16"/>
    <s v="441419"/>
    <s v="M/S Namita Chanda"/>
    <s v="9775677020"/>
  </r>
  <r>
    <s v="RCF Trombay"/>
    <s v="N.C.Urea(45kg)"/>
    <s v="WB"/>
    <x v="15"/>
    <s v="Chakdah"/>
    <s v="User Not Mapped"/>
    <s v="User Not Mapped"/>
    <s v="User Not Mapped"/>
    <n v="843286"/>
    <s v="UJJWAL MONDAL"/>
    <s v="Private Retailer"/>
    <s v="9748333061"/>
    <n v="0.435"/>
    <n v="86"/>
    <x v="2"/>
    <m/>
    <s v="2026-01-31"/>
    <s v="260209"/>
    <s v="M/S SUNIL KUMAR SAHA       "/>
    <s v="9434110995"/>
  </r>
  <r>
    <s v="RCF Trombay"/>
    <s v="15-15-15"/>
    <s v="WB"/>
    <x v="15"/>
    <s v="Chakdah"/>
    <s v="User Not Mapped"/>
    <s v="User Not Mapped"/>
    <s v="User Not Mapped"/>
    <n v="843286"/>
    <s v="UJJWAL MONDAL"/>
    <s v="Private Retailer"/>
    <s v="9748333061"/>
    <n v="0.36"/>
    <n v="86"/>
    <x v="2"/>
    <m/>
    <s v="2026-01-31"/>
    <s v="260209"/>
    <s v="M/S SUNIL KUMAR SAHA       "/>
    <s v="9434110995"/>
  </r>
  <r>
    <s v="RCF Trombay"/>
    <s v="15-15-15"/>
    <s v="WB"/>
    <x v="15"/>
    <s v="Chakdah"/>
    <s v="User Not Mapped"/>
    <s v="User Not Mapped"/>
    <s v="User Not Mapped"/>
    <n v="852174"/>
    <s v="GIYARUL MONDAL"/>
    <s v="Private Retailer"/>
    <s v="7003064629"/>
    <n v="0.69"/>
    <n v="474"/>
    <x v="6"/>
    <m/>
    <s v="2025-01-08"/>
    <s v="441419"/>
    <s v="M/S Namita Chanda"/>
    <s v="9775677020"/>
  </r>
  <r>
    <s v="RCF Trombay"/>
    <s v="15-15-15"/>
    <s v="WB"/>
    <x v="15"/>
    <s v="Chakdah"/>
    <s v="User Not Mapped"/>
    <s v="User Not Mapped"/>
    <s v="User Not Mapped"/>
    <n v="852174"/>
    <s v="GIYARUL MONDAL"/>
    <s v="Private Retailer"/>
    <s v="7003064629"/>
    <n v="1"/>
    <n v="246"/>
    <x v="3"/>
    <m/>
    <s v="2025-08-24"/>
    <s v="1043444"/>
    <s v="UMA RANI SAHA"/>
    <s v="9775414001"/>
  </r>
  <r>
    <s v="RCF Trombay"/>
    <s v="15-15-15"/>
    <s v="WB"/>
    <x v="15"/>
    <s v="Chakdah"/>
    <s v="User Not Mapped"/>
    <s v="User Not Mapped"/>
    <s v="User Not Mapped"/>
    <n v="852560"/>
    <s v="PRASANTA BISWAS"/>
    <s v="Private Retailer"/>
    <s v="9002147302"/>
    <n v="0.2"/>
    <n v="938"/>
    <x v="7"/>
    <m/>
    <s v="2023-10-02"/>
    <s v="1043444"/>
    <s v="UMA RANI SAHA"/>
    <s v="9775414001"/>
  </r>
  <r>
    <s v="RCF Trombay"/>
    <s v="15-15-15"/>
    <s v="WB"/>
    <x v="15"/>
    <s v="Chakdah"/>
    <s v="User Not Mapped"/>
    <s v="User Not Mapped"/>
    <s v="User Not Mapped"/>
    <n v="938953"/>
    <s v="HARIDAS SADHUKHAN"/>
    <s v="Private Retailer"/>
    <s v="9083388490"/>
    <n v="1.1499999999999999"/>
    <n v="45"/>
    <x v="1"/>
    <m/>
    <s v="2026-03-13"/>
    <s v="281285"/>
    <s v="Bhabani Prosad Chattopadhy"/>
    <s v="7548026544"/>
  </r>
  <r>
    <s v="RCF Trombay"/>
    <s v="15-15-15"/>
    <s v="WB"/>
    <x v="15"/>
    <s v="Chakdah"/>
    <s v="User Not Mapped"/>
    <s v="User Not Mapped"/>
    <s v="User Not Mapped"/>
    <n v="938953"/>
    <s v="HARIDAS SADHUKHAN"/>
    <s v="Private Retailer"/>
    <s v="9083388490"/>
    <n v="1"/>
    <n v="22"/>
    <x v="4"/>
    <m/>
    <s v="2026-04-05"/>
    <s v="281285"/>
    <s v="Bhabani Prosad Chattopadhy"/>
    <s v="7548026544"/>
  </r>
  <r>
    <s v="RCF Thal"/>
    <s v="N.C.Urea(45kg)"/>
    <s v="WB"/>
    <x v="15"/>
    <s v="Chakdah"/>
    <s v="User Not Mapped"/>
    <s v="User Not Mapped"/>
    <s v="User Not Mapped"/>
    <n v="938963"/>
    <s v="SHIKHA BISWAS"/>
    <s v="Private Retailer"/>
    <s v="8926870552"/>
    <n v="0.9"/>
    <n v="800"/>
    <x v="7"/>
    <m/>
    <s v="2024-02-17"/>
    <s v="549643"/>
    <s v="M/S RATAN BISWAS"/>
    <s v="8617364808"/>
  </r>
  <r>
    <s v="RCF Thal"/>
    <s v="N.C.Urea(45kg)"/>
    <s v="WB"/>
    <x v="15"/>
    <s v="Chakdah"/>
    <s v="User Not Mapped"/>
    <s v="User Not Mapped"/>
    <s v="User Not Mapped"/>
    <n v="938967"/>
    <s v="TAPAN KUMAR MONDAL"/>
    <s v="Private Retailer"/>
    <s v="9477621426"/>
    <n v="4.4999999999999998E-2"/>
    <n v="29"/>
    <x v="4"/>
    <m/>
    <s v="2026-03-29"/>
    <s v="1043444"/>
    <s v="UMA RANI SAHA"/>
    <s v="9775414001"/>
  </r>
  <r>
    <s v="RCF Trombay"/>
    <s v="15-15-15"/>
    <s v="WB"/>
    <x v="15"/>
    <s v="Chakdah"/>
    <s v="User Not Mapped"/>
    <s v="User Not Mapped"/>
    <s v="User Not Mapped"/>
    <n v="938967"/>
    <s v="TAPAN KUMAR MONDAL"/>
    <s v="Private Retailer"/>
    <s v="9477621426"/>
    <n v="0.8"/>
    <n v="28"/>
    <x v="4"/>
    <m/>
    <s v="2026-03-30"/>
    <s v="1043444"/>
    <s v="UMA RANI SAHA"/>
    <s v="9775414001"/>
  </r>
  <r>
    <s v="RCF Thal"/>
    <s v="N.C.Urea(45kg)"/>
    <s v="WB"/>
    <x v="15"/>
    <s v="Chakdah"/>
    <s v="User Not Mapped"/>
    <s v="User Not Mapped"/>
    <s v="User Not Mapped"/>
    <n v="938971"/>
    <s v="BHAKTI PRASANTA DEY"/>
    <s v="Private Retailer"/>
    <s v="9593271950"/>
    <n v="0.45"/>
    <n v="457"/>
    <x v="6"/>
    <m/>
    <s v="2025-01-25"/>
    <s v="260210"/>
    <s v="Gouri Sankar Kundu            "/>
    <s v="9064539774"/>
  </r>
  <r>
    <s v="RCF Trombay"/>
    <s v="15-15-15"/>
    <s v="WB"/>
    <x v="15"/>
    <s v="Chakdah"/>
    <s v="User Not Mapped"/>
    <s v="User Not Mapped"/>
    <s v="User Not Mapped"/>
    <n v="938971"/>
    <s v="BHAKTI PRASANTA DEY"/>
    <s v="Private Retailer"/>
    <s v="9593271950"/>
    <n v="0.15"/>
    <n v="599"/>
    <x v="7"/>
    <m/>
    <s v="2024-09-05"/>
    <s v="260210"/>
    <s v="Gouri Sankar Kundu            "/>
    <s v="9064539774"/>
  </r>
  <r>
    <s v="RCF Trombay"/>
    <s v="N.C.Urea(45kg)"/>
    <s v="WB"/>
    <x v="15"/>
    <s v="Chakdah"/>
    <s v="User Not Mapped"/>
    <s v="User Not Mapped"/>
    <s v="User Not Mapped"/>
    <n v="938971"/>
    <s v="BHAKTI PRASANTA DEY"/>
    <s v="Private Retailer"/>
    <s v="9593271950"/>
    <n v="0.22500000000000001"/>
    <n v="979"/>
    <x v="7"/>
    <m/>
    <s v="2023-08-22"/>
    <s v="260210"/>
    <s v="Gouri Sankar Kundu            "/>
    <s v="9064539774"/>
  </r>
  <r>
    <s v="RCF Trombay"/>
    <s v="15-15-15"/>
    <s v="WB"/>
    <x v="15"/>
    <s v="Chakdah"/>
    <s v="User Not Mapped"/>
    <s v="User Not Mapped"/>
    <s v="User Not Mapped"/>
    <n v="938971"/>
    <s v="BHAKTI PRASANTA DEY"/>
    <s v="Private Retailer"/>
    <s v="9593271950"/>
    <n v="0.15"/>
    <n v="623"/>
    <x v="7"/>
    <m/>
    <s v="2024-08-12"/>
    <s v="260210"/>
    <s v="Gouri Sankar Kundu            "/>
    <s v="9064539774"/>
  </r>
  <r>
    <s v="RCF Import"/>
    <s v="MOP"/>
    <s v="WB"/>
    <x v="15"/>
    <s v="Chakdah"/>
    <s v="User Not Mapped"/>
    <s v="User Not Mapped"/>
    <s v="User Not Mapped"/>
    <n v="938971"/>
    <s v="BHAKTI PRASANTA DEY"/>
    <s v="Private Retailer"/>
    <s v="9593271950"/>
    <n v="0.2"/>
    <n v="457"/>
    <x v="6"/>
    <m/>
    <s v="2025-01-25"/>
    <s v="260210"/>
    <s v="Gouri Sankar Kundu            "/>
    <s v="9064539774"/>
  </r>
  <r>
    <s v="RCF Trombay"/>
    <s v="15-15-15"/>
    <s v="WB"/>
    <x v="15"/>
    <s v="Chakdah"/>
    <s v="User Not Mapped"/>
    <s v="User Not Mapped"/>
    <s v="User Not Mapped"/>
    <n v="938971"/>
    <s v="BHAKTI PRASANTA DEY"/>
    <s v="Private Retailer"/>
    <s v="9593271950"/>
    <n v="0.25"/>
    <n v="457"/>
    <x v="6"/>
    <m/>
    <s v="2025-01-25"/>
    <s v="260210"/>
    <s v="Gouri Sankar Kundu            "/>
    <s v="9064539774"/>
  </r>
  <r>
    <s v="RCF Import"/>
    <s v="MOP"/>
    <s v="WB"/>
    <x v="15"/>
    <s v="Chakdah"/>
    <s v="User Not Mapped"/>
    <s v="User Not Mapped"/>
    <s v="User Not Mapped"/>
    <n v="938971"/>
    <s v="BHAKTI PRASANTA DEY"/>
    <s v="Private Retailer"/>
    <s v="9593271950"/>
    <n v="0.05"/>
    <n v="438"/>
    <x v="6"/>
    <m/>
    <s v="2025-02-13"/>
    <s v="260210"/>
    <s v="Gouri Sankar Kundu            "/>
    <s v="9064539774"/>
  </r>
  <r>
    <s v="RCF Trombay"/>
    <s v="15-15-15"/>
    <s v="WB"/>
    <x v="15"/>
    <s v="Chakdah"/>
    <s v="User Not Mapped"/>
    <s v="User Not Mapped"/>
    <s v="User Not Mapped"/>
    <n v="938971"/>
    <s v="BHAKTI PRASANTA DEY"/>
    <s v="Private Retailer"/>
    <s v="9593271950"/>
    <n v="7.4999999999999997E-2"/>
    <n v="668"/>
    <x v="7"/>
    <m/>
    <s v="2024-06-28"/>
    <s v="260210"/>
    <s v="Gouri Sankar Kundu            "/>
    <s v="9064539774"/>
  </r>
  <r>
    <s v="RCF Trombay"/>
    <s v="15-15-15"/>
    <s v="WB"/>
    <x v="15"/>
    <s v="Chakdah"/>
    <s v="User Not Mapped"/>
    <s v="User Not Mapped"/>
    <s v="User Not Mapped"/>
    <n v="938971"/>
    <s v="BHAKTI PRASANTA DEY"/>
    <s v="Private Retailer"/>
    <s v="9593271950"/>
    <n v="0.15"/>
    <n v="253"/>
    <x v="3"/>
    <m/>
    <s v="2025-08-17"/>
    <s v="260210"/>
    <s v="Gouri Sankar Kundu            "/>
    <s v="9064539774"/>
  </r>
  <r>
    <s v="RCF Trombay"/>
    <s v="15-15-15"/>
    <s v="WB"/>
    <x v="15"/>
    <s v="Chakdah"/>
    <s v="User Not Mapped"/>
    <s v="User Not Mapped"/>
    <s v="User Not Mapped"/>
    <n v="938973"/>
    <s v="BHARAT BISWAS"/>
    <s v="Private Retailer"/>
    <s v="9153360143"/>
    <n v="5.0000000000000001E-3"/>
    <n v="44"/>
    <x v="1"/>
    <m/>
    <s v="2026-03-14"/>
    <s v="260210"/>
    <s v="Gouri Sankar Kundu            "/>
    <s v="9064539774"/>
  </r>
  <r>
    <s v="RCF Import"/>
    <s v="Imp 10-26-26"/>
    <s v="WB"/>
    <x v="15"/>
    <s v="Chakdah"/>
    <s v="User Not Mapped"/>
    <s v="User Not Mapped"/>
    <s v="User Not Mapped"/>
    <n v="938973"/>
    <s v="BHARAT BISWAS"/>
    <s v="Private Retailer"/>
    <s v="9153360143"/>
    <n v="0.05"/>
    <n v="159"/>
    <x v="0"/>
    <m/>
    <s v="2025-11-19"/>
    <s v="260210"/>
    <s v="Gouri Sankar Kundu            "/>
    <s v="9064539774"/>
  </r>
  <r>
    <s v="RCF Import"/>
    <s v="Imp 10-26-26"/>
    <s v="WB"/>
    <x v="15"/>
    <s v="Chakdah"/>
    <s v="User Not Mapped"/>
    <s v="User Not Mapped"/>
    <s v="User Not Mapped"/>
    <n v="938973"/>
    <s v="BHARAT BISWAS"/>
    <s v="Private Retailer"/>
    <s v="9153360143"/>
    <n v="0.05"/>
    <n v="37"/>
    <x v="1"/>
    <m/>
    <s v="2026-03-21"/>
    <s v="260210"/>
    <s v="Gouri Sankar Kundu            "/>
    <s v="9064539774"/>
  </r>
  <r>
    <s v="RCF Thal"/>
    <s v="N.C.Urea(45kg)"/>
    <s v="WB"/>
    <x v="15"/>
    <s v="Chakdah"/>
    <s v="User Not Mapped"/>
    <s v="User Not Mapped"/>
    <s v="User Not Mapped"/>
    <n v="938973"/>
    <s v="BHARAT BISWAS"/>
    <s v="Private Retailer"/>
    <s v="9153360143"/>
    <n v="0.27"/>
    <n v="44"/>
    <x v="1"/>
    <m/>
    <s v="2026-03-14"/>
    <s v="260210"/>
    <s v="Gouri Sankar Kundu            "/>
    <s v="9064539774"/>
  </r>
  <r>
    <s v="RCF Thal"/>
    <s v="N.C.Urea(45kg)"/>
    <s v="WB"/>
    <x v="15"/>
    <s v="Chakdah"/>
    <s v="User Not Mapped"/>
    <s v="User Not Mapped"/>
    <s v="User Not Mapped"/>
    <n v="938973"/>
    <s v="BHARAT BISWAS"/>
    <s v="Private Retailer"/>
    <s v="9153360143"/>
    <n v="0.09"/>
    <n v="37"/>
    <x v="1"/>
    <m/>
    <s v="2026-03-21"/>
    <s v="260210"/>
    <s v="Gouri Sankar Kundu            "/>
    <s v="9064539774"/>
  </r>
  <r>
    <s v="RCF Thal"/>
    <s v="N.C.Urea(45kg)"/>
    <s v="WB"/>
    <x v="15"/>
    <s v="Chakdah"/>
    <s v="User Not Mapped"/>
    <s v="User Not Mapped"/>
    <s v="User Not Mapped"/>
    <n v="938973"/>
    <s v="BHARAT BISWAS"/>
    <s v="Private Retailer"/>
    <s v="9153360143"/>
    <n v="0.45"/>
    <n v="21"/>
    <x v="4"/>
    <m/>
    <s v="2026-04-06"/>
    <s v="260210"/>
    <s v="Gouri Sankar Kundu            "/>
    <s v="9064539774"/>
  </r>
  <r>
    <s v="RCF Trombay"/>
    <s v="N.C.Urea(45kg)"/>
    <s v="WB"/>
    <x v="15"/>
    <s v="Chakdah"/>
    <s v="User Not Mapped"/>
    <s v="User Not Mapped"/>
    <s v="User Not Mapped"/>
    <n v="938973"/>
    <s v="BHARAT BISWAS"/>
    <s v="Private Retailer"/>
    <s v="9153360143"/>
    <n v="0.09"/>
    <n v="88"/>
    <x v="2"/>
    <m/>
    <s v="2026-01-29"/>
    <s v="260210"/>
    <s v="Gouri Sankar Kundu            "/>
    <s v="9064539774"/>
  </r>
  <r>
    <s v="RCF Trombay"/>
    <s v="15-15-15"/>
    <s v="WB"/>
    <x v="15"/>
    <s v="Chakdah"/>
    <s v="User Not Mapped"/>
    <s v="User Not Mapped"/>
    <s v="User Not Mapped"/>
    <n v="938975"/>
    <s v="SHYAMA PADA BISWAS"/>
    <s v="Private Retailer"/>
    <s v="8617635873"/>
    <n v="0.5"/>
    <n v="142"/>
    <x v="0"/>
    <m/>
    <s v="2025-12-06"/>
    <s v="260210"/>
    <s v="Gouri Sankar Kundu            "/>
    <s v="9064539774"/>
  </r>
  <r>
    <s v="RCF Trombay"/>
    <s v="15-15-15"/>
    <s v="WB"/>
    <x v="15"/>
    <s v="Chakdah"/>
    <s v="User Not Mapped"/>
    <s v="User Not Mapped"/>
    <s v="User Not Mapped"/>
    <n v="938975"/>
    <s v="SHYAMA PADA BISWAS"/>
    <s v="Private Retailer"/>
    <s v="8617635873"/>
    <n v="0.75"/>
    <n v="169"/>
    <x v="0"/>
    <m/>
    <s v="2025-11-09"/>
    <s v="260209"/>
    <s v="M/S SUNIL KUMAR SAHA       "/>
    <s v="9434110995"/>
  </r>
  <r>
    <s v="RCF Thal"/>
    <s v="N.C.Urea(45kg)"/>
    <s v="WB"/>
    <x v="15"/>
    <s v="Chakdah"/>
    <s v="User Not Mapped"/>
    <s v="User Not Mapped"/>
    <s v="User Not Mapped"/>
    <n v="938975"/>
    <s v="SHYAMA PADA BISWAS"/>
    <s v="Private Retailer"/>
    <s v="8617635873"/>
    <n v="0.22500000000000001"/>
    <n v="16"/>
    <x v="4"/>
    <m/>
    <s v="2026-04-11"/>
    <s v="260209"/>
    <s v="M/S SUNIL KUMAR SAHA       "/>
    <s v="9434110995"/>
  </r>
  <r>
    <s v="RCF Import"/>
    <s v="Imp 10-26-26"/>
    <s v="WB"/>
    <x v="15"/>
    <s v="Chakdah"/>
    <s v="User Not Mapped"/>
    <s v="User Not Mapped"/>
    <s v="User Not Mapped"/>
    <n v="938975"/>
    <s v="SHYAMA PADA BISWAS"/>
    <s v="Private Retailer"/>
    <s v="8617635873"/>
    <n v="0.5"/>
    <n v="20"/>
    <x v="4"/>
    <m/>
    <s v="2026-04-07"/>
    <s v="260209"/>
    <s v="M/S SUNIL KUMAR SAHA       "/>
    <s v="9434110995"/>
  </r>
  <r>
    <s v="RCF Trombay"/>
    <s v="N.C.Urea(45kg)"/>
    <s v="WB"/>
    <x v="15"/>
    <s v="Chakdah"/>
    <s v="User Not Mapped"/>
    <s v="User Not Mapped"/>
    <s v="User Not Mapped"/>
    <n v="938975"/>
    <s v="SHYAMA PADA BISWAS"/>
    <s v="Private Retailer"/>
    <s v="8617635873"/>
    <n v="1.575"/>
    <n v="151"/>
    <x v="0"/>
    <m/>
    <s v="2025-11-27"/>
    <s v="260209"/>
    <s v="M/S SUNIL KUMAR SAHA       "/>
    <s v="9434110995"/>
  </r>
  <r>
    <s v="RCF Trombay"/>
    <s v="15-15-15"/>
    <s v="WB"/>
    <x v="15"/>
    <s v="Chakdah"/>
    <s v="User Not Mapped"/>
    <s v="User Not Mapped"/>
    <s v="User Not Mapped"/>
    <n v="938975"/>
    <s v="SHYAMA PADA BISWAS"/>
    <s v="Private Retailer"/>
    <s v="8617635873"/>
    <n v="0.25"/>
    <n v="85"/>
    <x v="2"/>
    <m/>
    <s v="2026-02-01"/>
    <s v="260209"/>
    <s v="M/S SUNIL KUMAR SAHA       "/>
    <s v="9434110995"/>
  </r>
  <r>
    <s v="RCF Trombay"/>
    <s v="15-15-15"/>
    <s v="WB"/>
    <x v="15"/>
    <s v="Chakdah"/>
    <s v="User Not Mapped"/>
    <s v="User Not Mapped"/>
    <s v="User Not Mapped"/>
    <n v="938975"/>
    <s v="SHYAMA PADA BISWAS"/>
    <s v="Private Retailer"/>
    <s v="8617635873"/>
    <n v="0.45"/>
    <n v="177"/>
    <x v="0"/>
    <m/>
    <s v="2025-11-01"/>
    <s v="260209"/>
    <s v="M/S SUNIL KUMAR SAHA       "/>
    <s v="9434110995"/>
  </r>
  <r>
    <s v="RCF Trombay"/>
    <s v="15-15-15"/>
    <s v="WB"/>
    <x v="15"/>
    <s v="Chakdah"/>
    <s v="User Not Mapped"/>
    <s v="User Not Mapped"/>
    <s v="User Not Mapped"/>
    <n v="938975"/>
    <s v="SHYAMA PADA BISWAS"/>
    <s v="Private Retailer"/>
    <s v="8617635873"/>
    <n v="0.5"/>
    <n v="140"/>
    <x v="0"/>
    <m/>
    <s v="2025-12-08"/>
    <s v="260210"/>
    <s v="Gouri Sankar Kundu            "/>
    <s v="9064539774"/>
  </r>
  <r>
    <s v="RCF Trombay"/>
    <s v="N.C.Urea(45kg)"/>
    <s v="WB"/>
    <x v="15"/>
    <s v="Chakdah"/>
    <s v="User Not Mapped"/>
    <s v="User Not Mapped"/>
    <s v="User Not Mapped"/>
    <n v="938979"/>
    <s v="KARTICK DEBNATH"/>
    <s v="Private Retailer"/>
    <s v="9088865680"/>
    <n v="0.495"/>
    <n v="64"/>
    <x v="2"/>
    <m/>
    <s v="2026-02-22"/>
    <s v="260210"/>
    <s v="Gouri Sankar Kundu            "/>
    <s v="9064539774"/>
  </r>
  <r>
    <s v="RCF Trombay"/>
    <s v="15-15-15"/>
    <s v="WB"/>
    <x v="15"/>
    <s v="Chakdah"/>
    <s v="User Not Mapped"/>
    <s v="User Not Mapped"/>
    <s v="User Not Mapped"/>
    <n v="938979"/>
    <s v="KARTICK DEBNATH"/>
    <s v="Private Retailer"/>
    <s v="9088865680"/>
    <n v="1"/>
    <n v="64"/>
    <x v="2"/>
    <m/>
    <s v="2026-02-22"/>
    <s v="260210"/>
    <s v="Gouri Sankar Kundu            "/>
    <s v="9064539774"/>
  </r>
  <r>
    <s v="RCF Trombay"/>
    <s v="15-15-15"/>
    <s v="WB"/>
    <x v="15"/>
    <s v="Chakdah"/>
    <s v="User Not Mapped"/>
    <s v="User Not Mapped"/>
    <s v="User Not Mapped"/>
    <n v="938979"/>
    <s v="KARTICK DEBNATH"/>
    <s v="Private Retailer"/>
    <s v="9088865680"/>
    <n v="0.4"/>
    <n v="140"/>
    <x v="0"/>
    <m/>
    <s v="2025-12-08"/>
    <s v="260210"/>
    <s v="Gouri Sankar Kundu            "/>
    <s v="9064539774"/>
  </r>
  <r>
    <s v="RCF Trombay"/>
    <s v="15-15-15"/>
    <s v="WB"/>
    <x v="15"/>
    <s v="Chakdah"/>
    <s v="User Not Mapped"/>
    <s v="User Not Mapped"/>
    <s v="User Not Mapped"/>
    <n v="938981"/>
    <s v="BABLU PAUL"/>
    <s v="Private Retailer"/>
    <s v="6296565256"/>
    <n v="0.55000000000000004"/>
    <n v="62"/>
    <x v="2"/>
    <m/>
    <s v="2026-02-24"/>
    <s v="270129"/>
    <s v="Kalyan Kr. Nandi"/>
    <s v="8250914797"/>
  </r>
  <r>
    <s v="RCF Trombay"/>
    <s v="15-15-15"/>
    <s v="WB"/>
    <x v="15"/>
    <s v="Chakdah"/>
    <s v="User Not Mapped"/>
    <s v="User Not Mapped"/>
    <s v="User Not Mapped"/>
    <n v="938985"/>
    <s v="M/s BISWAJIT MONDAL"/>
    <s v="Private Retailer"/>
    <s v="7548032450"/>
    <n v="7.5999999999999998E-2"/>
    <n v="331"/>
    <x v="3"/>
    <m/>
    <s v="2025-05-31"/>
    <s v="280729"/>
    <s v="M/s. Naresh Chandra Das"/>
    <s v="7365868045"/>
  </r>
  <r>
    <s v="RCF Trombay"/>
    <s v="15-15-15"/>
    <s v="WB"/>
    <x v="15"/>
    <s v="Chakdah"/>
    <s v="User Not Mapped"/>
    <s v="User Not Mapped"/>
    <s v="User Not Mapped"/>
    <n v="938993"/>
    <s v="M/S ILIYAS KHAN"/>
    <s v="Private Retailer"/>
    <s v="9153827362"/>
    <n v="0.4"/>
    <n v="76"/>
    <x v="2"/>
    <m/>
    <s v="2026-02-10"/>
    <s v="260209"/>
    <s v="M/S SUNIL KUMAR SAHA       "/>
    <s v="9434110995"/>
  </r>
  <r>
    <s v="RCF Trombay"/>
    <s v="15-15-15"/>
    <s v="WB"/>
    <x v="15"/>
    <s v="Chakdah"/>
    <s v="User Not Mapped"/>
    <s v="User Not Mapped"/>
    <s v="User Not Mapped"/>
    <n v="938993"/>
    <s v="M/S ILIYAS KHAN"/>
    <s v="Private Retailer"/>
    <s v="9153827362"/>
    <n v="0.35"/>
    <n v="65"/>
    <x v="2"/>
    <m/>
    <s v="2026-02-21"/>
    <s v="260209"/>
    <s v="M/S SUNIL KUMAR SAHA       "/>
    <s v="9434110995"/>
  </r>
  <r>
    <s v="RCF Trombay"/>
    <s v="N.C.Urea(45kg)"/>
    <s v="WB"/>
    <x v="15"/>
    <s v="Chakdah"/>
    <s v="User Not Mapped"/>
    <s v="User Not Mapped"/>
    <s v="User Not Mapped"/>
    <n v="938993"/>
    <s v="M/S ILIYAS KHAN"/>
    <s v="Private Retailer"/>
    <s v="9153827362"/>
    <n v="0.22500000000000001"/>
    <n v="49"/>
    <x v="1"/>
    <m/>
    <s v="2026-03-09"/>
    <s v="260209"/>
    <s v="M/S SUNIL KUMAR SAHA       "/>
    <s v="9434110995"/>
  </r>
  <r>
    <s v="RCF Trombay"/>
    <s v="15-15-15"/>
    <s v="WB"/>
    <x v="15"/>
    <s v="Chakdah"/>
    <s v="User Not Mapped"/>
    <s v="User Not Mapped"/>
    <s v="User Not Mapped"/>
    <n v="938993"/>
    <s v="M/S ILIYAS KHAN"/>
    <s v="Private Retailer"/>
    <s v="9153827362"/>
    <n v="0.35"/>
    <n v="49"/>
    <x v="1"/>
    <m/>
    <s v="2026-03-09"/>
    <s v="260209"/>
    <s v="M/S SUNIL KUMAR SAHA       "/>
    <s v="9434110995"/>
  </r>
  <r>
    <s v="RCF Trombay"/>
    <s v="15-15-15"/>
    <s v="WB"/>
    <x v="15"/>
    <s v="Chakdah"/>
    <s v="User Not Mapped"/>
    <s v="User Not Mapped"/>
    <s v="User Not Mapped"/>
    <n v="938993"/>
    <s v="M/S ILIYAS KHAN"/>
    <s v="Private Retailer"/>
    <s v="9153827362"/>
    <n v="0.1"/>
    <n v="82"/>
    <x v="2"/>
    <m/>
    <s v="2026-02-04"/>
    <s v="260209"/>
    <s v="M/S SUNIL KUMAR SAHA       "/>
    <s v="9434110995"/>
  </r>
  <r>
    <s v="RCF Import"/>
    <s v="Imp 10-26-26"/>
    <s v="WB"/>
    <x v="15"/>
    <s v="Chakdah"/>
    <s v="User Not Mapped"/>
    <s v="User Not Mapped"/>
    <s v="User Not Mapped"/>
    <n v="939007"/>
    <s v="M/S HIMANGSHU ROY"/>
    <s v="Private Retailer"/>
    <s v="9732103738"/>
    <n v="1.25"/>
    <n v="56"/>
    <x v="1"/>
    <m/>
    <s v="2026-03-02"/>
    <s v="1043444"/>
    <s v="UMA RANI SAHA"/>
    <s v="9775414001"/>
  </r>
  <r>
    <s v="RCF Trombay"/>
    <s v="15-15-15"/>
    <s v="WB"/>
    <x v="15"/>
    <s v="Chakdah"/>
    <s v="User Not Mapped"/>
    <s v="User Not Mapped"/>
    <s v="User Not Mapped"/>
    <n v="939007"/>
    <s v="M/S HIMANGSHU ROY"/>
    <s v="Private Retailer"/>
    <s v="9732103738"/>
    <n v="2.4950000000000001"/>
    <n v="60"/>
    <x v="1"/>
    <m/>
    <s v="2026-02-26"/>
    <s v="1043444"/>
    <s v="UMA RANI SAHA"/>
    <s v="9775414001"/>
  </r>
  <r>
    <s v="RCF Import"/>
    <s v="MOP"/>
    <s v="WB"/>
    <x v="15"/>
    <s v="Chakdah"/>
    <s v="User Not Mapped"/>
    <s v="User Not Mapped"/>
    <s v="User Not Mapped"/>
    <n v="939007"/>
    <s v="M/S HIMANGSHU ROY"/>
    <s v="Private Retailer"/>
    <s v="9732103738"/>
    <n v="1.5"/>
    <n v="60"/>
    <x v="1"/>
    <m/>
    <s v="2026-02-26"/>
    <s v="1043444"/>
    <s v="UMA RANI SAHA"/>
    <s v="9775414001"/>
  </r>
  <r>
    <s v="RCF Import"/>
    <s v="MOP"/>
    <s v="WB"/>
    <x v="15"/>
    <s v="Chakdah"/>
    <s v="User Not Mapped"/>
    <s v="User Not Mapped"/>
    <s v="User Not Mapped"/>
    <n v="939013"/>
    <s v="MANORANJAN MONDAL"/>
    <s v="Private Retailer"/>
    <s v="9434129505"/>
    <n v="0.25"/>
    <n v="59"/>
    <x v="1"/>
    <m/>
    <s v="2026-02-27"/>
    <s v="441419"/>
    <s v="M/S Namita Chanda"/>
    <s v="9775677020"/>
  </r>
  <r>
    <s v="RCF Import"/>
    <s v="MOP"/>
    <s v="WB"/>
    <x v="15"/>
    <s v="Chakdah"/>
    <s v="User Not Mapped"/>
    <s v="User Not Mapped"/>
    <s v="User Not Mapped"/>
    <n v="940794"/>
    <s v="M/S ANUP SINGHARAY"/>
    <s v="Private Retailer"/>
    <s v="9647727317"/>
    <n v="0.15"/>
    <n v="56"/>
    <x v="1"/>
    <m/>
    <s v="2026-03-02"/>
    <s v="260210"/>
    <s v="Gouri Sankar Kundu            "/>
    <s v="9064539774"/>
  </r>
  <r>
    <s v="RCF Thal"/>
    <s v="N.C.Urea(45kg)"/>
    <s v="WB"/>
    <x v="15"/>
    <s v="Chakdah"/>
    <s v="User Not Mapped"/>
    <s v="User Not Mapped"/>
    <s v="User Not Mapped"/>
    <n v="940794"/>
    <s v="M/S ANUP SINGHARAY"/>
    <s v="Private Retailer"/>
    <s v="9647727317"/>
    <n v="1.0349999999999999"/>
    <n v="44"/>
    <x v="1"/>
    <m/>
    <s v="2026-03-14"/>
    <s v="260210"/>
    <s v="Gouri Sankar Kundu            "/>
    <s v="9064539774"/>
  </r>
  <r>
    <s v="RCF Thal"/>
    <s v="N.C.Urea(45kg)"/>
    <s v="WB"/>
    <x v="15"/>
    <s v="Chakdah"/>
    <s v="User Not Mapped"/>
    <s v="User Not Mapped"/>
    <s v="User Not Mapped"/>
    <n v="940794"/>
    <s v="M/S ANUP SINGHARAY"/>
    <s v="Private Retailer"/>
    <s v="9647727317"/>
    <n v="0.63"/>
    <n v="39"/>
    <x v="1"/>
    <m/>
    <s v="2026-03-19"/>
    <s v="260210"/>
    <s v="Gouri Sankar Kundu            "/>
    <s v="9064539774"/>
  </r>
  <r>
    <s v="RCF Import"/>
    <s v="Imp 10-26-26"/>
    <s v="WB"/>
    <x v="15"/>
    <s v="Chakdah"/>
    <s v="User Not Mapped"/>
    <s v="User Not Mapped"/>
    <s v="User Not Mapped"/>
    <n v="940794"/>
    <s v="M/S ANUP SINGHARAY"/>
    <s v="Private Retailer"/>
    <s v="9647727317"/>
    <n v="0.1"/>
    <n v="30"/>
    <x v="4"/>
    <m/>
    <s v="2026-03-28"/>
    <s v="260210"/>
    <s v="Gouri Sankar Kundu            "/>
    <s v="9064539774"/>
  </r>
  <r>
    <s v="RCF Import"/>
    <s v="Imp 10-26-26"/>
    <s v="WB"/>
    <x v="15"/>
    <s v="Chakdah"/>
    <s v="User Not Mapped"/>
    <s v="User Not Mapped"/>
    <s v="User Not Mapped"/>
    <n v="940794"/>
    <s v="M/S ANUP SINGHARAY"/>
    <s v="Private Retailer"/>
    <s v="9647727317"/>
    <n v="0.1"/>
    <n v="19"/>
    <x v="4"/>
    <m/>
    <s v="2026-04-08"/>
    <s v="260210"/>
    <s v="Gouri Sankar Kundu            "/>
    <s v="9064539774"/>
  </r>
  <r>
    <s v="RCF Import"/>
    <s v="MOP"/>
    <s v="WB"/>
    <x v="15"/>
    <s v="Chakdah"/>
    <s v="User Not Mapped"/>
    <s v="User Not Mapped"/>
    <s v="User Not Mapped"/>
    <n v="940794"/>
    <s v="M/S ANUP SINGHARAY"/>
    <s v="Private Retailer"/>
    <s v="9647727317"/>
    <n v="0.25"/>
    <n v="30"/>
    <x v="4"/>
    <m/>
    <s v="2026-03-28"/>
    <s v="260210"/>
    <s v="Gouri Sankar Kundu            "/>
    <s v="9064539774"/>
  </r>
  <r>
    <s v="RCF Import"/>
    <s v="MOP"/>
    <s v="WB"/>
    <x v="15"/>
    <s v="Chakdah"/>
    <s v="User Not Mapped"/>
    <s v="User Not Mapped"/>
    <s v="User Not Mapped"/>
    <n v="940794"/>
    <s v="M/S ANUP SINGHARAY"/>
    <s v="Private Retailer"/>
    <s v="9647727317"/>
    <n v="0.1"/>
    <n v="27"/>
    <x v="4"/>
    <m/>
    <s v="2026-03-31"/>
    <s v="260210"/>
    <s v="Gouri Sankar Kundu            "/>
    <s v="9064539774"/>
  </r>
  <r>
    <s v="RCF Thal"/>
    <s v="N.C.Urea(45kg)"/>
    <s v="WB"/>
    <x v="15"/>
    <s v="Chakdah"/>
    <s v="User Not Mapped"/>
    <s v="User Not Mapped"/>
    <s v="User Not Mapped"/>
    <n v="940794"/>
    <s v="M/S ANUP SINGHARAY"/>
    <s v="Private Retailer"/>
    <s v="9647727317"/>
    <n v="0.58499999999999996"/>
    <n v="30"/>
    <x v="4"/>
    <m/>
    <s v="2026-03-28"/>
    <s v="260210"/>
    <s v="Gouri Sankar Kundu            "/>
    <s v="9064539774"/>
  </r>
  <r>
    <s v="RCF Thal"/>
    <s v="N.C.Urea(45kg)"/>
    <s v="WB"/>
    <x v="15"/>
    <s v="Chakdah"/>
    <s v="User Not Mapped"/>
    <s v="User Not Mapped"/>
    <s v="User Not Mapped"/>
    <n v="940794"/>
    <s v="M/S ANUP SINGHARAY"/>
    <s v="Private Retailer"/>
    <s v="9647727317"/>
    <n v="0.315"/>
    <n v="21"/>
    <x v="4"/>
    <m/>
    <s v="2026-04-06"/>
    <s v="260210"/>
    <s v="Gouri Sankar Kundu            "/>
    <s v="9064539774"/>
  </r>
  <r>
    <s v="RCF Trombay"/>
    <s v="N.C.Urea(45kg)"/>
    <s v="WB"/>
    <x v="15"/>
    <s v="Chakdah"/>
    <s v="User Not Mapped"/>
    <s v="User Not Mapped"/>
    <s v="User Not Mapped"/>
    <n v="940794"/>
    <s v="M/S ANUP SINGHARAY"/>
    <s v="Private Retailer"/>
    <s v="9647727317"/>
    <n v="0.22500000000000001"/>
    <n v="64"/>
    <x v="2"/>
    <m/>
    <s v="2026-02-22"/>
    <s v="260210"/>
    <s v="Gouri Sankar Kundu            "/>
    <s v="9064539774"/>
  </r>
  <r>
    <s v="RCF Import"/>
    <s v="MOP"/>
    <s v="WB"/>
    <x v="15"/>
    <s v="Chakdah"/>
    <s v="User Not Mapped"/>
    <s v="User Not Mapped"/>
    <s v="User Not Mapped"/>
    <n v="940794"/>
    <s v="M/S ANUP SINGHARAY"/>
    <s v="Private Retailer"/>
    <s v="9647727317"/>
    <n v="0.15"/>
    <n v="37"/>
    <x v="1"/>
    <m/>
    <s v="2026-03-21"/>
    <s v="260210"/>
    <s v="Gouri Sankar Kundu            "/>
    <s v="9064539774"/>
  </r>
  <r>
    <s v="RCF Import"/>
    <s v="MOP"/>
    <s v="WB"/>
    <x v="15"/>
    <s v="Chakdah"/>
    <s v="User Not Mapped"/>
    <s v="User Not Mapped"/>
    <s v="User Not Mapped"/>
    <n v="940794"/>
    <s v="M/S ANUP SINGHARAY"/>
    <s v="Private Retailer"/>
    <s v="9647727317"/>
    <n v="0.1"/>
    <n v="39"/>
    <x v="1"/>
    <m/>
    <s v="2026-03-19"/>
    <s v="260210"/>
    <s v="Gouri Sankar Kundu            "/>
    <s v="9064539774"/>
  </r>
  <r>
    <s v="RCF Import"/>
    <s v="MOP"/>
    <s v="WB"/>
    <x v="15"/>
    <s v="Chakdah"/>
    <s v="User Not Mapped"/>
    <s v="User Not Mapped"/>
    <s v="User Not Mapped"/>
    <n v="940794"/>
    <s v="M/S ANUP SINGHARAY"/>
    <s v="Private Retailer"/>
    <s v="9647727317"/>
    <n v="0.5"/>
    <n v="44"/>
    <x v="1"/>
    <m/>
    <s v="2026-03-14"/>
    <s v="260210"/>
    <s v="Gouri Sankar Kundu            "/>
    <s v="9064539774"/>
  </r>
  <r>
    <s v="RCF Import"/>
    <s v="MOP"/>
    <s v="WB"/>
    <x v="15"/>
    <s v="Chakdah"/>
    <s v="User Not Mapped"/>
    <s v="User Not Mapped"/>
    <s v="User Not Mapped"/>
    <n v="940794"/>
    <s v="M/S ANUP SINGHARAY"/>
    <s v="Private Retailer"/>
    <s v="9647727317"/>
    <n v="0.2"/>
    <n v="46"/>
    <x v="1"/>
    <m/>
    <s v="2026-03-12"/>
    <s v="260210"/>
    <s v="Gouri Sankar Kundu            "/>
    <s v="9064539774"/>
  </r>
  <r>
    <s v="RCF Import"/>
    <s v="MOP"/>
    <s v="WB"/>
    <x v="15"/>
    <s v="Chakdah"/>
    <s v="User Not Mapped"/>
    <s v="User Not Mapped"/>
    <s v="User Not Mapped"/>
    <n v="940794"/>
    <s v="M/S ANUP SINGHARAY"/>
    <s v="Private Retailer"/>
    <s v="9647727317"/>
    <n v="0.3"/>
    <n v="49"/>
    <x v="1"/>
    <m/>
    <s v="2026-03-09"/>
    <s v="260210"/>
    <s v="Gouri Sankar Kundu            "/>
    <s v="9064539774"/>
  </r>
  <r>
    <s v="RCF Import"/>
    <s v="MOP"/>
    <s v="WB"/>
    <x v="15"/>
    <s v="Chakdah"/>
    <s v="User Not Mapped"/>
    <s v="User Not Mapped"/>
    <s v="User Not Mapped"/>
    <n v="940794"/>
    <s v="M/S ANUP SINGHARAY"/>
    <s v="Private Retailer"/>
    <s v="9647727317"/>
    <n v="0.45"/>
    <n v="52"/>
    <x v="1"/>
    <m/>
    <s v="2026-03-06"/>
    <s v="260210"/>
    <s v="Gouri Sankar Kundu            "/>
    <s v="9064539774"/>
  </r>
  <r>
    <s v="RCF Trombay"/>
    <s v="N.C.Urea(45kg)"/>
    <s v="WB"/>
    <x v="15"/>
    <s v="Chakdah"/>
    <s v="User Not Mapped"/>
    <s v="User Not Mapped"/>
    <s v="User Not Mapped"/>
    <n v="940794"/>
    <s v="M/S ANUP SINGHARAY"/>
    <s v="Private Retailer"/>
    <s v="9647727317"/>
    <n v="0.67500000000000004"/>
    <n v="60"/>
    <x v="1"/>
    <m/>
    <s v="2026-02-26"/>
    <s v="260210"/>
    <s v="Gouri Sankar Kundu            "/>
    <s v="9064539774"/>
  </r>
  <r>
    <s v="RCF Import"/>
    <s v="MOP"/>
    <s v="WB"/>
    <x v="15"/>
    <s v="Chakdah"/>
    <s v="User Not Mapped"/>
    <s v="User Not Mapped"/>
    <s v="User Not Mapped"/>
    <n v="940794"/>
    <s v="M/S ANUP SINGHARAY"/>
    <s v="Private Retailer"/>
    <s v="9647727317"/>
    <n v="0.05"/>
    <n v="58"/>
    <x v="1"/>
    <m/>
    <s v="2026-02-28"/>
    <s v="260210"/>
    <s v="Gouri Sankar Kundu            "/>
    <s v="9064539774"/>
  </r>
  <r>
    <s v="RCF Import"/>
    <s v="Imp 10-26-26"/>
    <s v="WB"/>
    <x v="15"/>
    <s v="Chakdah"/>
    <s v="User Not Mapped"/>
    <s v="User Not Mapped"/>
    <s v="User Not Mapped"/>
    <n v="940794"/>
    <s v="M/S ANUP SINGHARAY"/>
    <s v="Private Retailer"/>
    <s v="9647727317"/>
    <n v="0.05"/>
    <n v="197"/>
    <x v="3"/>
    <m/>
    <s v="2025-10-12"/>
    <s v="260210"/>
    <s v="Gouri Sankar Kundu            "/>
    <s v="9064539774"/>
  </r>
  <r>
    <s v="RCF Import"/>
    <s v="MOP"/>
    <s v="WB"/>
    <x v="15"/>
    <s v="Chakdah"/>
    <s v="User Not Mapped"/>
    <s v="User Not Mapped"/>
    <s v="User Not Mapped"/>
    <n v="940796"/>
    <s v="BIJIT DAS"/>
    <s v="Private Retailer"/>
    <s v="8389982870"/>
    <n v="0.05"/>
    <n v="39"/>
    <x v="1"/>
    <m/>
    <s v="2026-03-19"/>
    <s v="260210"/>
    <s v="Gouri Sankar Kundu            "/>
    <s v="9064539774"/>
  </r>
  <r>
    <s v="RCF Import"/>
    <s v="MOP"/>
    <s v="WB"/>
    <x v="15"/>
    <s v="Chakdah"/>
    <s v="User Not Mapped"/>
    <s v="User Not Mapped"/>
    <s v="User Not Mapped"/>
    <n v="940796"/>
    <s v="BIJIT DAS"/>
    <s v="Private Retailer"/>
    <s v="8389982870"/>
    <n v="0.05"/>
    <n v="30"/>
    <x v="4"/>
    <m/>
    <s v="2026-03-28"/>
    <s v="260210"/>
    <s v="Gouri Sankar Kundu            "/>
    <s v="9064539774"/>
  </r>
  <r>
    <s v="RCF Thal"/>
    <s v="N.C.Urea(45kg)"/>
    <s v="WB"/>
    <x v="15"/>
    <s v="Chakdah"/>
    <s v="User Not Mapped"/>
    <s v="User Not Mapped"/>
    <s v="User Not Mapped"/>
    <n v="940796"/>
    <s v="BIJIT DAS"/>
    <s v="Private Retailer"/>
    <s v="8389982870"/>
    <n v="0.495"/>
    <n v="37"/>
    <x v="1"/>
    <m/>
    <s v="2026-03-21"/>
    <s v="260210"/>
    <s v="Gouri Sankar Kundu            "/>
    <s v="9064539774"/>
  </r>
  <r>
    <s v="RCF Thal"/>
    <s v="N.C.Urea(45kg)"/>
    <s v="WB"/>
    <x v="15"/>
    <s v="Chakdah"/>
    <s v="User Not Mapped"/>
    <s v="User Not Mapped"/>
    <s v="User Not Mapped"/>
    <n v="940796"/>
    <s v="BIJIT DAS"/>
    <s v="Private Retailer"/>
    <s v="8389982870"/>
    <n v="0.09"/>
    <n v="39"/>
    <x v="1"/>
    <m/>
    <s v="2026-03-19"/>
    <s v="260210"/>
    <s v="Gouri Sankar Kundu            "/>
    <s v="9064539774"/>
  </r>
  <r>
    <s v="RCF Import"/>
    <s v="MOP"/>
    <s v="WB"/>
    <x v="15"/>
    <s v="Chakdah"/>
    <s v="User Not Mapped"/>
    <s v="User Not Mapped"/>
    <s v="User Not Mapped"/>
    <n v="940796"/>
    <s v="BIJIT DAS"/>
    <s v="Private Retailer"/>
    <s v="8389982870"/>
    <n v="0.05"/>
    <n v="37"/>
    <x v="1"/>
    <m/>
    <s v="2026-03-21"/>
    <s v="260210"/>
    <s v="Gouri Sankar Kundu            "/>
    <s v="9064539774"/>
  </r>
  <r>
    <s v="RCF Trombay"/>
    <s v="15-15-15"/>
    <s v="WB"/>
    <x v="15"/>
    <s v="Chakdah"/>
    <s v="User Not Mapped"/>
    <s v="User Not Mapped"/>
    <s v="User Not Mapped"/>
    <n v="940796"/>
    <s v="BIJIT DAS"/>
    <s v="Private Retailer"/>
    <s v="8389982870"/>
    <n v="0.05"/>
    <n v="64"/>
    <x v="2"/>
    <m/>
    <s v="2026-02-22"/>
    <s v="260210"/>
    <s v="Gouri Sankar Kundu            "/>
    <s v="9064539774"/>
  </r>
  <r>
    <s v="RCF Trombay"/>
    <s v="15-15-15"/>
    <s v="WB"/>
    <x v="15"/>
    <s v="Chakdah"/>
    <s v="User Not Mapped"/>
    <s v="User Not Mapped"/>
    <s v="User Not Mapped"/>
    <n v="940796"/>
    <s v="BIJIT DAS"/>
    <s v="Private Retailer"/>
    <s v="8389982870"/>
    <n v="0.05"/>
    <n v="68"/>
    <x v="2"/>
    <m/>
    <s v="2026-02-18"/>
    <s v="260210"/>
    <s v="Gouri Sankar Kundu            "/>
    <s v="9064539774"/>
  </r>
  <r>
    <s v="RCF Trombay"/>
    <s v="15-15-15"/>
    <s v="WB"/>
    <x v="15"/>
    <s v="Chakdah"/>
    <s v="User Not Mapped"/>
    <s v="User Not Mapped"/>
    <s v="User Not Mapped"/>
    <n v="940796"/>
    <s v="BIJIT DAS"/>
    <s v="Private Retailer"/>
    <s v="8389982870"/>
    <n v="0.05"/>
    <n v="75"/>
    <x v="2"/>
    <m/>
    <s v="2026-02-11"/>
    <s v="260210"/>
    <s v="Gouri Sankar Kundu            "/>
    <s v="9064539774"/>
  </r>
  <r>
    <s v="RCF Thal"/>
    <s v="N.C.Urea(45kg)"/>
    <s v="WB"/>
    <x v="15"/>
    <s v="Chakdah"/>
    <s v="User Not Mapped"/>
    <s v="User Not Mapped"/>
    <s v="User Not Mapped"/>
    <n v="940796"/>
    <s v="BIJIT DAS"/>
    <s v="Private Retailer"/>
    <s v="8389982870"/>
    <n v="0.09"/>
    <n v="30"/>
    <x v="4"/>
    <m/>
    <s v="2026-03-28"/>
    <s v="260210"/>
    <s v="Gouri Sankar Kundu            "/>
    <s v="9064539774"/>
  </r>
  <r>
    <s v="RCF Trombay"/>
    <s v="15-15-15"/>
    <s v="WB"/>
    <x v="15"/>
    <s v="Chakdah"/>
    <s v="User Not Mapped"/>
    <s v="User Not Mapped"/>
    <s v="User Not Mapped"/>
    <n v="940796"/>
    <s v="BIJIT DAS"/>
    <s v="Private Retailer"/>
    <s v="8389982870"/>
    <n v="0.05"/>
    <n v="58"/>
    <x v="1"/>
    <m/>
    <s v="2026-02-28"/>
    <s v="260210"/>
    <s v="Gouri Sankar Kundu            "/>
    <s v="9064539774"/>
  </r>
  <r>
    <s v="RCF Trombay"/>
    <s v="15-15-15"/>
    <s v="WB"/>
    <x v="15"/>
    <s v="Chakdah"/>
    <s v="User Not Mapped"/>
    <s v="User Not Mapped"/>
    <s v="User Not Mapped"/>
    <n v="940796"/>
    <s v="BIJIT DAS"/>
    <s v="Private Retailer"/>
    <s v="8389982870"/>
    <n v="0.05"/>
    <n v="52"/>
    <x v="1"/>
    <m/>
    <s v="2026-03-06"/>
    <s v="260210"/>
    <s v="Gouri Sankar Kundu            "/>
    <s v="9064539774"/>
  </r>
  <r>
    <s v="RCF Import"/>
    <s v="MOP"/>
    <s v="WB"/>
    <x v="15"/>
    <s v="Chakdah"/>
    <s v="User Not Mapped"/>
    <s v="User Not Mapped"/>
    <s v="User Not Mapped"/>
    <n v="940796"/>
    <s v="BIJIT DAS"/>
    <s v="Private Retailer"/>
    <s v="8389982870"/>
    <n v="0.05"/>
    <n v="41"/>
    <x v="1"/>
    <m/>
    <s v="2026-03-17"/>
    <s v="260210"/>
    <s v="Gouri Sankar Kundu            "/>
    <s v="9064539774"/>
  </r>
  <r>
    <s v="RCF Trombay"/>
    <s v="15-15-15"/>
    <s v="WB"/>
    <x v="15"/>
    <s v="Chakdah"/>
    <s v="User Not Mapped"/>
    <s v="User Not Mapped"/>
    <s v="User Not Mapped"/>
    <n v="940796"/>
    <s v="BIJIT DAS"/>
    <s v="Private Retailer"/>
    <s v="8389982870"/>
    <n v="0.05"/>
    <n v="222"/>
    <x v="3"/>
    <m/>
    <s v="2025-09-17"/>
    <s v="260210"/>
    <s v="Gouri Sankar Kundu            "/>
    <s v="9064539774"/>
  </r>
  <r>
    <s v="RCF Trombay"/>
    <s v="15-15-15"/>
    <s v="WB"/>
    <x v="15"/>
    <s v="Chakdah"/>
    <s v="User Not Mapped"/>
    <s v="User Not Mapped"/>
    <s v="User Not Mapped"/>
    <n v="941166"/>
    <s v="PRABHAT KUMAR BISWAS"/>
    <s v="Private Retailer"/>
    <s v="9091402471"/>
    <n v="1"/>
    <n v="455"/>
    <x v="6"/>
    <m/>
    <s v="2025-01-27"/>
    <s v="441419"/>
    <s v="M/S Namita Chanda"/>
    <s v="9775677020"/>
  </r>
  <r>
    <s v="RCF Import"/>
    <s v="MOP"/>
    <s v="WB"/>
    <x v="15"/>
    <s v="Chakdah"/>
    <s v="User Not Mapped"/>
    <s v="User Not Mapped"/>
    <s v="User Not Mapped"/>
    <n v="941166"/>
    <s v="PRABHAT KUMAR BISWAS"/>
    <s v="Private Retailer"/>
    <s v="9091402471"/>
    <n v="0.75"/>
    <n v="424"/>
    <x v="6"/>
    <m/>
    <s v="2025-02-27"/>
    <s v="441419"/>
    <s v="M/S Namita Chanda"/>
    <s v="9775677020"/>
  </r>
  <r>
    <s v="RCF Trombay"/>
    <s v="15-15-15"/>
    <s v="WB"/>
    <x v="15"/>
    <s v="Chakdah"/>
    <s v="User Not Mapped"/>
    <s v="User Not Mapped"/>
    <s v="User Not Mapped"/>
    <n v="941272"/>
    <s v="SANKAR BISWAS"/>
    <s v="Private Retailer"/>
    <s v="9832244658"/>
    <n v="0.21"/>
    <n v="605"/>
    <x v="7"/>
    <m/>
    <s v="2024-08-30"/>
    <s v="281284"/>
    <s v="Sadhan Kumar Ghosh"/>
    <s v="7602136568"/>
  </r>
  <r>
    <s v="RCF Trombay"/>
    <s v="15-15-15"/>
    <s v="WB"/>
    <x v="15"/>
    <s v="Chakdah"/>
    <s v="User Not Mapped"/>
    <s v="User Not Mapped"/>
    <s v="User Not Mapped"/>
    <n v="941280"/>
    <s v="JAYANTI DAS"/>
    <s v="Private Retailer"/>
    <s v="8101139960"/>
    <n v="0.25"/>
    <n v="239"/>
    <x v="3"/>
    <m/>
    <s v="2025-08-31"/>
    <s v="260209"/>
    <s v="M/S SUNIL KUMAR SAHA       "/>
    <s v="9434110995"/>
  </r>
  <r>
    <s v="RCF Import"/>
    <s v="Imp 10-26-26"/>
    <s v="WB"/>
    <x v="15"/>
    <s v="Chakdah"/>
    <s v="User Not Mapped"/>
    <s v="User Not Mapped"/>
    <s v="User Not Mapped"/>
    <n v="941280"/>
    <s v="JAYANTI DAS"/>
    <s v="Private Retailer"/>
    <s v="8101139960"/>
    <n v="0.44600000000000001"/>
    <n v="239"/>
    <x v="3"/>
    <m/>
    <s v="2025-08-31"/>
    <s v="260209"/>
    <s v="M/S SUNIL KUMAR SAHA       "/>
    <s v="9434110995"/>
  </r>
  <r>
    <s v="RCF Trombay"/>
    <s v="N.C.Urea(45kg)"/>
    <s v="WB"/>
    <x v="15"/>
    <s v="Chakdah"/>
    <s v="User Not Mapped"/>
    <s v="User Not Mapped"/>
    <s v="User Not Mapped"/>
    <n v="941280"/>
    <s v="JAYANTI DAS"/>
    <s v="Private Retailer"/>
    <s v="8101139960"/>
    <n v="0.9"/>
    <n v="89"/>
    <x v="2"/>
    <m/>
    <s v="2026-01-28"/>
    <s v="260209"/>
    <s v="M/S SUNIL KUMAR SAHA       "/>
    <s v="9434110995"/>
  </r>
  <r>
    <s v="RCF Trombay"/>
    <s v="15-15-15"/>
    <s v="WB"/>
    <x v="15"/>
    <s v="Chakdah"/>
    <s v="User Not Mapped"/>
    <s v="User Not Mapped"/>
    <s v="User Not Mapped"/>
    <n v="941280"/>
    <s v="JAYANTI DAS"/>
    <s v="Private Retailer"/>
    <s v="8101139960"/>
    <n v="1"/>
    <n v="77"/>
    <x v="2"/>
    <m/>
    <s v="2026-02-09"/>
    <s v="260209"/>
    <s v="M/S SUNIL KUMAR SAHA       "/>
    <s v="9434110995"/>
  </r>
  <r>
    <s v="RCF Trombay"/>
    <s v="N.C.Urea(45kg)"/>
    <s v="WB"/>
    <x v="15"/>
    <s v="Chakdah"/>
    <s v="User Not Mapped"/>
    <s v="User Not Mapped"/>
    <s v="User Not Mapped"/>
    <n v="941280"/>
    <s v="JAYANTI DAS"/>
    <s v="Private Retailer"/>
    <s v="8101139960"/>
    <n v="0.46500000000000002"/>
    <n v="220"/>
    <x v="3"/>
    <m/>
    <s v="2025-09-19"/>
    <s v="260209"/>
    <s v="M/S SUNIL KUMAR SAHA       "/>
    <s v="9434110995"/>
  </r>
  <r>
    <s v="RCF Trombay"/>
    <s v="15-15-15"/>
    <s v="WB"/>
    <x v="15"/>
    <s v="Chakdah"/>
    <s v="User Not Mapped"/>
    <s v="User Not Mapped"/>
    <s v="User Not Mapped"/>
    <n v="941280"/>
    <s v="JAYANTI DAS"/>
    <s v="Private Retailer"/>
    <s v="8101139960"/>
    <n v="0.26500000000000001"/>
    <n v="263"/>
    <x v="3"/>
    <m/>
    <s v="2025-08-07"/>
    <s v="260209"/>
    <s v="M/S SUNIL KUMAR SAHA       "/>
    <s v="9434110995"/>
  </r>
  <r>
    <s v="RCF Import"/>
    <s v="Imp 10-26-26"/>
    <s v="WB"/>
    <x v="15"/>
    <s v="Chakdah"/>
    <s v="User Not Mapped"/>
    <s v="User Not Mapped"/>
    <s v="User Not Mapped"/>
    <n v="941498"/>
    <s v="AJIT KUMAR SARKAR"/>
    <s v="Private Retailer"/>
    <s v="9775668237"/>
    <n v="0.85"/>
    <n v="299"/>
    <x v="3"/>
    <m/>
    <s v="2025-07-02"/>
    <s v="441419"/>
    <s v="M/S Namita Chanda"/>
    <s v="9775677020"/>
  </r>
  <r>
    <s v="RCF Import"/>
    <s v="Imp 10-26-26"/>
    <s v="WB"/>
    <x v="15"/>
    <s v="Chakdah"/>
    <s v="User Not Mapped"/>
    <s v="User Not Mapped"/>
    <s v="User Not Mapped"/>
    <n v="941498"/>
    <s v="AJIT KUMAR SARKAR"/>
    <s v="Private Retailer"/>
    <s v="9775668237"/>
    <n v="0.15"/>
    <n v="200"/>
    <x v="3"/>
    <m/>
    <s v="2025-10-09"/>
    <s v="260210"/>
    <s v="Gouri Sankar Kundu            "/>
    <s v="9064539774"/>
  </r>
  <r>
    <s v="RCF Trombay"/>
    <s v="N.C.Urea(45kg)"/>
    <s v="WB"/>
    <x v="15"/>
    <s v="Chakdah"/>
    <s v="User Not Mapped"/>
    <s v="User Not Mapped"/>
    <s v="User Not Mapped"/>
    <n v="941626"/>
    <s v="PRADIP KUMAR DAS"/>
    <s v="Private Retailer"/>
    <s v="8317855607"/>
    <n v="0.05"/>
    <n v="792"/>
    <x v="7"/>
    <m/>
    <s v="2024-02-25"/>
    <s v="281285"/>
    <s v="Bhabani Prosad Chattopadhy"/>
    <s v="7548026544"/>
  </r>
  <r>
    <s v="RCF Import"/>
    <s v="MOP"/>
    <s v="WB"/>
    <x v="15"/>
    <s v="Chakdah"/>
    <s v="User Not Mapped"/>
    <s v="User Not Mapped"/>
    <s v="User Not Mapped"/>
    <n v="941628"/>
    <s v="FAJU MONDAL"/>
    <s v="Private Retailer"/>
    <s v="9126436512"/>
    <n v="0.15"/>
    <n v="37"/>
    <x v="1"/>
    <m/>
    <s v="2026-03-21"/>
    <s v="260210"/>
    <s v="Gouri Sankar Kundu            "/>
    <s v="9064539774"/>
  </r>
  <r>
    <s v="RCF Thal"/>
    <s v="N.C.Urea(45kg)"/>
    <s v="WB"/>
    <x v="15"/>
    <s v="Chakdah"/>
    <s v="User Not Mapped"/>
    <s v="User Not Mapped"/>
    <s v="User Not Mapped"/>
    <n v="941628"/>
    <s v="FAJU MONDAL"/>
    <s v="Private Retailer"/>
    <s v="9126436512"/>
    <n v="0.27"/>
    <n v="21"/>
    <x v="4"/>
    <m/>
    <s v="2026-04-06"/>
    <s v="260210"/>
    <s v="Gouri Sankar Kundu            "/>
    <s v="9064539774"/>
  </r>
  <r>
    <s v="RCF Trombay"/>
    <s v="15-15-15"/>
    <s v="WB"/>
    <x v="15"/>
    <s v="Chakdah"/>
    <s v="User Not Mapped"/>
    <s v="User Not Mapped"/>
    <s v="User Not Mapped"/>
    <n v="941634"/>
    <s v="RASID ALAM GHARAMI"/>
    <s v="Private Retailer"/>
    <s v="9153081266"/>
    <n v="3.45"/>
    <n v="54"/>
    <x v="1"/>
    <m/>
    <s v="2026-03-04"/>
    <s v="1214830"/>
    <s v="MS AJOY KRISHNA SEAL"/>
    <s v="9932127372"/>
  </r>
  <r>
    <s v="RCF Trombay"/>
    <s v="N.C.Urea(45kg)"/>
    <s v="WB"/>
    <x v="15"/>
    <s v="Chakdah"/>
    <s v="User Not Mapped"/>
    <s v="User Not Mapped"/>
    <s v="User Not Mapped"/>
    <n v="941650"/>
    <s v="DIDAR BOX MONDAL"/>
    <s v="Private Retailer"/>
    <s v="8017613180"/>
    <n v="4.4999999999999998E-2"/>
    <n v="56"/>
    <x v="1"/>
    <m/>
    <s v="2026-03-02"/>
    <s v="260209"/>
    <s v="M/S SUNIL KUMAR SAHA       "/>
    <s v="9434110995"/>
  </r>
  <r>
    <s v="RCF Import"/>
    <s v="Imp 10-26-26"/>
    <s v="WB"/>
    <x v="15"/>
    <s v="Chakdah"/>
    <s v="User Not Mapped"/>
    <s v="User Not Mapped"/>
    <s v="User Not Mapped"/>
    <n v="941650"/>
    <s v="DIDAR BOX MONDAL"/>
    <s v="Private Retailer"/>
    <s v="8017613180"/>
    <n v="0.25"/>
    <n v="316"/>
    <x v="3"/>
    <m/>
    <s v="2025-06-15"/>
    <s v="1222703"/>
    <s v="SANDIP CHANDA"/>
    <s v="9232773990"/>
  </r>
  <r>
    <s v="RCF Trombay"/>
    <s v="15-15-15"/>
    <s v="WB"/>
    <x v="15"/>
    <s v="Chakdah"/>
    <s v="User Not Mapped"/>
    <s v="User Not Mapped"/>
    <s v="User Not Mapped"/>
    <n v="941650"/>
    <s v="DIDAR BOX MONDAL"/>
    <s v="Private Retailer"/>
    <s v="8017613180"/>
    <n v="0.2"/>
    <n v="240"/>
    <x v="3"/>
    <m/>
    <s v="2025-08-30"/>
    <s v="260209"/>
    <s v="M/S SUNIL KUMAR SAHA       "/>
    <s v="9434110995"/>
  </r>
  <r>
    <s v="RCF Import"/>
    <s v="Imp 10-26-26"/>
    <s v="WB"/>
    <x v="15"/>
    <s v="Chakdah"/>
    <s v="User Not Mapped"/>
    <s v="User Not Mapped"/>
    <s v="User Not Mapped"/>
    <n v="941650"/>
    <s v="DIDAR BOX MONDAL"/>
    <s v="Private Retailer"/>
    <s v="8017613180"/>
    <n v="0.1"/>
    <n v="240"/>
    <x v="3"/>
    <m/>
    <s v="2025-08-30"/>
    <s v="260209"/>
    <s v="M/S SUNIL KUMAR SAHA       "/>
    <s v="9434110995"/>
  </r>
  <r>
    <s v="RCF Trombay"/>
    <s v="15-15-15"/>
    <s v="WB"/>
    <x v="15"/>
    <s v="Chakdah"/>
    <s v="User Not Mapped"/>
    <s v="User Not Mapped"/>
    <s v="User Not Mapped"/>
    <n v="941650"/>
    <s v="DIDAR BOX MONDAL"/>
    <s v="Private Retailer"/>
    <s v="8017613180"/>
    <n v="0.35"/>
    <n v="56"/>
    <x v="1"/>
    <m/>
    <s v="2026-03-02"/>
    <s v="260209"/>
    <s v="M/S SUNIL KUMAR SAHA       "/>
    <s v="9434110995"/>
  </r>
  <r>
    <s v="RCF Trombay"/>
    <s v="15-15-15"/>
    <s v="WB"/>
    <x v="15"/>
    <s v="Chakdah"/>
    <s v="User Not Mapped"/>
    <s v="User Not Mapped"/>
    <s v="User Not Mapped"/>
    <n v="941652"/>
    <s v="SUSHANTA KUMAR DAS"/>
    <s v="Private Retailer"/>
    <s v="9332629649"/>
    <n v="4.2000000000000003E-2"/>
    <n v="731"/>
    <x v="7"/>
    <m/>
    <s v="2024-04-26"/>
    <s v="662593"/>
    <s v="M/S. BISWAS KRISHI BHANDER"/>
    <s v="9733645039"/>
  </r>
  <r>
    <s v="RCF Trombay"/>
    <s v="15-15-15"/>
    <s v="WB"/>
    <x v="15"/>
    <s v="Chakdah"/>
    <s v="User Not Mapped"/>
    <s v="User Not Mapped"/>
    <s v="User Not Mapped"/>
    <n v="941654"/>
    <s v="FAIJUL HAQUE MONDAL"/>
    <s v="Private Retailer"/>
    <s v="9775472001"/>
    <n v="0.25"/>
    <n v="77"/>
    <x v="2"/>
    <m/>
    <s v="2026-02-09"/>
    <s v="260210"/>
    <s v="Gouri Sankar Kundu            "/>
    <s v="9064539774"/>
  </r>
  <r>
    <s v="RCF Import"/>
    <s v="Imp 10-26-26"/>
    <s v="WB"/>
    <x v="15"/>
    <s v="Chakdah"/>
    <s v="User Not Mapped"/>
    <s v="User Not Mapped"/>
    <s v="User Not Mapped"/>
    <n v="941654"/>
    <s v="FAIJUL HAQUE MONDAL"/>
    <s v="Private Retailer"/>
    <s v="9775472001"/>
    <n v="0.25"/>
    <n v="58"/>
    <x v="1"/>
    <m/>
    <s v="2026-02-28"/>
    <s v="260210"/>
    <s v="Gouri Sankar Kundu            "/>
    <s v="9064539774"/>
  </r>
  <r>
    <s v="RCF Trombay"/>
    <s v="15-15-15"/>
    <s v="WB"/>
    <x v="15"/>
    <s v="Chakdah"/>
    <s v="User Not Mapped"/>
    <s v="User Not Mapped"/>
    <s v="User Not Mapped"/>
    <n v="941654"/>
    <s v="FAIJUL HAQUE MONDAL"/>
    <s v="Private Retailer"/>
    <s v="9775472001"/>
    <n v="0.25"/>
    <n v="90"/>
    <x v="2"/>
    <m/>
    <s v="2026-01-27"/>
    <s v="260210"/>
    <s v="Gouri Sankar Kundu            "/>
    <s v="9064539774"/>
  </r>
  <r>
    <s v="RCF Thal"/>
    <s v="N.C.Urea(45kg)"/>
    <s v="WB"/>
    <x v="15"/>
    <s v="Chakdah"/>
    <s v="User Not Mapped"/>
    <s v="User Not Mapped"/>
    <s v="User Not Mapped"/>
    <n v="941654"/>
    <s v="FAIJUL HAQUE MONDAL"/>
    <s v="Private Retailer"/>
    <s v="9775472001"/>
    <n v="0.67500000000000004"/>
    <n v="39"/>
    <x v="1"/>
    <m/>
    <s v="2026-03-19"/>
    <s v="260210"/>
    <s v="Gouri Sankar Kundu            "/>
    <s v="9064539774"/>
  </r>
  <r>
    <s v="RCF Trombay"/>
    <s v="15-15-15"/>
    <s v="WB"/>
    <x v="15"/>
    <s v="Chakdah"/>
    <s v="User Not Mapped"/>
    <s v="User Not Mapped"/>
    <s v="User Not Mapped"/>
    <n v="941654"/>
    <s v="FAIJUL HAQUE MONDAL"/>
    <s v="Private Retailer"/>
    <s v="9775472001"/>
    <n v="0.25"/>
    <n v="29"/>
    <x v="4"/>
    <m/>
    <s v="2026-03-29"/>
    <s v="260210"/>
    <s v="Gouri Sankar Kundu            "/>
    <s v="9064539774"/>
  </r>
  <r>
    <s v="RCF Import"/>
    <s v="Imp 10-26-26"/>
    <s v="WB"/>
    <x v="15"/>
    <s v="Chakdah"/>
    <s v="User Not Mapped"/>
    <s v="User Not Mapped"/>
    <s v="User Not Mapped"/>
    <n v="941654"/>
    <s v="FAIJUL HAQUE MONDAL"/>
    <s v="Private Retailer"/>
    <s v="9775472001"/>
    <n v="0.25"/>
    <n v="29"/>
    <x v="4"/>
    <m/>
    <s v="2026-03-29"/>
    <s v="260210"/>
    <s v="Gouri Sankar Kundu            "/>
    <s v="9064539774"/>
  </r>
  <r>
    <s v="RCF Import"/>
    <s v="Imp 10-26-26"/>
    <s v="WB"/>
    <x v="15"/>
    <s v="Chakdah"/>
    <s v="User Not Mapped"/>
    <s v="User Not Mapped"/>
    <s v="User Not Mapped"/>
    <n v="941654"/>
    <s v="FAIJUL HAQUE MONDAL"/>
    <s v="Private Retailer"/>
    <s v="9775472001"/>
    <n v="0.25"/>
    <n v="21"/>
    <x v="4"/>
    <m/>
    <s v="2026-04-06"/>
    <s v="260210"/>
    <s v="Gouri Sankar Kundu            "/>
    <s v="9064539774"/>
  </r>
  <r>
    <s v="RCF Thal"/>
    <s v="N.C.Urea(45kg)"/>
    <s v="WB"/>
    <x v="15"/>
    <s v="Chakdah"/>
    <s v="User Not Mapped"/>
    <s v="User Not Mapped"/>
    <s v="User Not Mapped"/>
    <n v="941654"/>
    <s v="FAIJUL HAQUE MONDAL"/>
    <s v="Private Retailer"/>
    <s v="9775472001"/>
    <n v="0.67500000000000004"/>
    <n v="11"/>
    <x v="4"/>
    <m/>
    <s v="2026-04-16"/>
    <s v="260210"/>
    <s v="Gouri Sankar Kundu            "/>
    <s v="9064539774"/>
  </r>
  <r>
    <s v="RCF Thal"/>
    <s v="N.C.Urea(45kg)"/>
    <s v="WB"/>
    <x v="15"/>
    <s v="Chakdah"/>
    <s v="User Not Mapped"/>
    <s v="User Not Mapped"/>
    <s v="User Not Mapped"/>
    <n v="941654"/>
    <s v="FAIJUL HAQUE MONDAL"/>
    <s v="Private Retailer"/>
    <s v="9775472001"/>
    <n v="0.9"/>
    <n v="21"/>
    <x v="4"/>
    <m/>
    <s v="2026-04-06"/>
    <s v="260210"/>
    <s v="Gouri Sankar Kundu            "/>
    <s v="9064539774"/>
  </r>
  <r>
    <s v="RCF Trombay"/>
    <s v="15-15-15"/>
    <s v="WB"/>
    <x v="15"/>
    <s v="Chakdah"/>
    <s v="User Not Mapped"/>
    <s v="User Not Mapped"/>
    <s v="User Not Mapped"/>
    <n v="941654"/>
    <s v="FAIJUL HAQUE MONDAL"/>
    <s v="Private Retailer"/>
    <s v="9775472001"/>
    <n v="0.25"/>
    <n v="52"/>
    <x v="1"/>
    <m/>
    <s v="2026-03-06"/>
    <s v="260210"/>
    <s v="Gouri Sankar Kundu            "/>
    <s v="9064539774"/>
  </r>
  <r>
    <s v="RCF Trombay"/>
    <s v="15-15-15"/>
    <s v="WB"/>
    <x v="15"/>
    <s v="Chakdah"/>
    <s v="User Not Mapped"/>
    <s v="User Not Mapped"/>
    <s v="User Not Mapped"/>
    <n v="941654"/>
    <s v="FAIJUL HAQUE MONDAL"/>
    <s v="Private Retailer"/>
    <s v="9775472001"/>
    <n v="0.5"/>
    <n v="37"/>
    <x v="1"/>
    <m/>
    <s v="2026-03-21"/>
    <s v="260210"/>
    <s v="Gouri Sankar Kundu            "/>
    <s v="9064539774"/>
  </r>
  <r>
    <s v="RCF Trombay"/>
    <s v="15-15-15"/>
    <s v="WB"/>
    <x v="15"/>
    <s v="Chakdah"/>
    <s v="User Not Mapped"/>
    <s v="User Not Mapped"/>
    <s v="User Not Mapped"/>
    <n v="941654"/>
    <s v="FAIJUL HAQUE MONDAL"/>
    <s v="Private Retailer"/>
    <s v="9775472001"/>
    <n v="0.25"/>
    <n v="64"/>
    <x v="2"/>
    <m/>
    <s v="2026-02-22"/>
    <s v="260210"/>
    <s v="Gouri Sankar Kundu            "/>
    <s v="9064539774"/>
  </r>
  <r>
    <s v="RCF Trombay"/>
    <s v="15-15-15"/>
    <s v="WB"/>
    <x v="15"/>
    <s v="Chakdah"/>
    <s v="User Not Mapped"/>
    <s v="User Not Mapped"/>
    <s v="User Not Mapped"/>
    <n v="941656"/>
    <s v="JAYDEB DEBNATH"/>
    <s v="Private Retailer"/>
    <s v="9883196894"/>
    <n v="0.4"/>
    <n v="30"/>
    <x v="4"/>
    <m/>
    <s v="2026-03-28"/>
    <s v="260210"/>
    <s v="Gouri Sankar Kundu            "/>
    <s v="9064539774"/>
  </r>
  <r>
    <s v="RCF Import"/>
    <s v="MOP"/>
    <s v="WB"/>
    <x v="15"/>
    <s v="Chakdah"/>
    <s v="User Not Mapped"/>
    <s v="User Not Mapped"/>
    <s v="User Not Mapped"/>
    <n v="941656"/>
    <s v="JAYDEB DEBNATH"/>
    <s v="Private Retailer"/>
    <s v="9883196894"/>
    <n v="0.25"/>
    <n v="30"/>
    <x v="4"/>
    <m/>
    <s v="2026-03-28"/>
    <s v="260210"/>
    <s v="Gouri Sankar Kundu            "/>
    <s v="9064539774"/>
  </r>
  <r>
    <s v="RCF Trombay"/>
    <s v="15-15-15"/>
    <s v="WB"/>
    <x v="15"/>
    <s v="Chakdah"/>
    <s v="User Not Mapped"/>
    <s v="User Not Mapped"/>
    <s v="User Not Mapped"/>
    <n v="941658"/>
    <s v="MIHIR DAS"/>
    <s v="Private Retailer"/>
    <s v="9734316641"/>
    <n v="0.45"/>
    <n v="52"/>
    <x v="1"/>
    <m/>
    <s v="2026-03-06"/>
    <s v="260210"/>
    <s v="Gouri Sankar Kundu            "/>
    <s v="9064539774"/>
  </r>
  <r>
    <s v="RCF Trombay"/>
    <s v="15-15-15"/>
    <s v="WB"/>
    <x v="15"/>
    <s v="Chakdah"/>
    <s v="User Not Mapped"/>
    <s v="User Not Mapped"/>
    <s v="User Not Mapped"/>
    <n v="941658"/>
    <s v="MIHIR DAS"/>
    <s v="Private Retailer"/>
    <s v="9734316641"/>
    <n v="0.1"/>
    <n v="46"/>
    <x v="1"/>
    <m/>
    <s v="2026-03-12"/>
    <s v="260210"/>
    <s v="Gouri Sankar Kundu            "/>
    <s v="9064539774"/>
  </r>
  <r>
    <s v="RCF Import"/>
    <s v="MOP"/>
    <s v="WB"/>
    <x v="15"/>
    <s v="Chakdah"/>
    <s v="User Not Mapped"/>
    <s v="User Not Mapped"/>
    <s v="User Not Mapped"/>
    <n v="941658"/>
    <s v="MIHIR DAS"/>
    <s v="Private Retailer"/>
    <s v="9734316641"/>
    <n v="0.15"/>
    <n v="37"/>
    <x v="1"/>
    <m/>
    <s v="2026-03-21"/>
    <s v="260210"/>
    <s v="Gouri Sankar Kundu            "/>
    <s v="9064539774"/>
  </r>
  <r>
    <s v="RCF Trombay"/>
    <s v="15-15-15"/>
    <s v="WB"/>
    <x v="15"/>
    <s v="Chakdah"/>
    <s v="User Not Mapped"/>
    <s v="User Not Mapped"/>
    <s v="User Not Mapped"/>
    <n v="941658"/>
    <s v="MIHIR DAS"/>
    <s v="Private Retailer"/>
    <s v="9734316641"/>
    <n v="0.1"/>
    <n v="30"/>
    <x v="4"/>
    <m/>
    <s v="2026-03-28"/>
    <s v="260210"/>
    <s v="Gouri Sankar Kundu            "/>
    <s v="9064539774"/>
  </r>
  <r>
    <s v="RCF Trombay"/>
    <s v="15-15-15"/>
    <s v="WB"/>
    <x v="15"/>
    <s v="Chakdah"/>
    <s v="User Not Mapped"/>
    <s v="User Not Mapped"/>
    <s v="User Not Mapped"/>
    <n v="941658"/>
    <s v="MIHIR DAS"/>
    <s v="Private Retailer"/>
    <s v="9734316641"/>
    <n v="0.05"/>
    <n v="48"/>
    <x v="1"/>
    <m/>
    <s v="2026-03-10"/>
    <s v="260210"/>
    <s v="Gouri Sankar Kundu            "/>
    <s v="9064539774"/>
  </r>
  <r>
    <s v="RCF Import"/>
    <s v="MOP"/>
    <s v="WB"/>
    <x v="15"/>
    <s v="Chakdah"/>
    <s v="User Not Mapped"/>
    <s v="User Not Mapped"/>
    <s v="User Not Mapped"/>
    <n v="941658"/>
    <s v="MIHIR DAS"/>
    <s v="Private Retailer"/>
    <s v="9734316641"/>
    <n v="0.4"/>
    <n v="39"/>
    <x v="1"/>
    <m/>
    <s v="2026-03-19"/>
    <s v="260210"/>
    <s v="Gouri Sankar Kundu            "/>
    <s v="9064539774"/>
  </r>
  <r>
    <s v="RCF Import"/>
    <s v="MOP"/>
    <s v="WB"/>
    <x v="15"/>
    <s v="Chakdah"/>
    <s v="User Not Mapped"/>
    <s v="User Not Mapped"/>
    <s v="User Not Mapped"/>
    <n v="941658"/>
    <s v="MIHIR DAS"/>
    <s v="Private Retailer"/>
    <s v="9734316641"/>
    <n v="0.25"/>
    <n v="30"/>
    <x v="4"/>
    <m/>
    <s v="2026-03-28"/>
    <s v="260210"/>
    <s v="Gouri Sankar Kundu            "/>
    <s v="9064539774"/>
  </r>
  <r>
    <s v="RCF Trombay"/>
    <s v="15-15-15"/>
    <s v="WB"/>
    <x v="15"/>
    <s v="Chakdah"/>
    <s v="User Not Mapped"/>
    <s v="User Not Mapped"/>
    <s v="User Not Mapped"/>
    <n v="941658"/>
    <s v="MIHIR DAS"/>
    <s v="Private Retailer"/>
    <s v="9734316641"/>
    <n v="0.2"/>
    <n v="56"/>
    <x v="1"/>
    <m/>
    <s v="2026-03-02"/>
    <s v="260210"/>
    <s v="Gouri Sankar Kundu            "/>
    <s v="9064539774"/>
  </r>
  <r>
    <s v="RCF Trombay"/>
    <s v="15-15-15"/>
    <s v="WB"/>
    <x v="15"/>
    <s v="Chakdah"/>
    <s v="User Not Mapped"/>
    <s v="User Not Mapped"/>
    <s v="User Not Mapped"/>
    <n v="941658"/>
    <s v="MIHIR DAS"/>
    <s v="Private Retailer"/>
    <s v="9734316641"/>
    <n v="0.05"/>
    <n v="60"/>
    <x v="1"/>
    <m/>
    <s v="2026-02-26"/>
    <s v="260210"/>
    <s v="Gouri Sankar Kundu            "/>
    <s v="9064539774"/>
  </r>
  <r>
    <s v="RCF Trombay"/>
    <s v="15-15-15"/>
    <s v="WB"/>
    <x v="15"/>
    <s v="Chakdah"/>
    <s v="User Not Mapped"/>
    <s v="User Not Mapped"/>
    <s v="User Not Mapped"/>
    <n v="941658"/>
    <s v="MIHIR DAS"/>
    <s v="Private Retailer"/>
    <s v="9734316641"/>
    <n v="0.2"/>
    <n v="61"/>
    <x v="2"/>
    <m/>
    <s v="2026-02-25"/>
    <s v="260210"/>
    <s v="Gouri Sankar Kundu            "/>
    <s v="9064539774"/>
  </r>
  <r>
    <s v="RCF Import"/>
    <s v="MOP"/>
    <s v="WB"/>
    <x v="15"/>
    <s v="Chakdah"/>
    <s v="User Not Mapped"/>
    <s v="User Not Mapped"/>
    <s v="User Not Mapped"/>
    <n v="941658"/>
    <s v="MIHIR DAS"/>
    <s v="Private Retailer"/>
    <s v="9734316641"/>
    <n v="0.6"/>
    <n v="44"/>
    <x v="1"/>
    <m/>
    <s v="2026-03-14"/>
    <s v="260210"/>
    <s v="Gouri Sankar Kundu            "/>
    <s v="9064539774"/>
  </r>
  <r>
    <s v="RCF Trombay"/>
    <s v="15-15-15"/>
    <s v="WB"/>
    <x v="15"/>
    <s v="Chakdah"/>
    <s v="User Not Mapped"/>
    <s v="User Not Mapped"/>
    <s v="User Not Mapped"/>
    <n v="941658"/>
    <s v="MIHIR DAS"/>
    <s v="Private Retailer"/>
    <s v="9734316641"/>
    <n v="0.1"/>
    <n v="37"/>
    <x v="1"/>
    <m/>
    <s v="2026-03-21"/>
    <s v="260210"/>
    <s v="Gouri Sankar Kundu            "/>
    <s v="9064539774"/>
  </r>
  <r>
    <s v="RCF Trombay"/>
    <s v="15-15-15"/>
    <s v="WB"/>
    <x v="15"/>
    <s v="Chakdah"/>
    <s v="User Not Mapped"/>
    <s v="User Not Mapped"/>
    <s v="User Not Mapped"/>
    <n v="941658"/>
    <s v="MIHIR DAS"/>
    <s v="Private Retailer"/>
    <s v="9734316641"/>
    <n v="0.2"/>
    <n v="39"/>
    <x v="1"/>
    <m/>
    <s v="2026-03-19"/>
    <s v="260210"/>
    <s v="Gouri Sankar Kundu            "/>
    <s v="9064539774"/>
  </r>
  <r>
    <s v="RCF Trombay"/>
    <s v="15-15-15"/>
    <s v="WB"/>
    <x v="15"/>
    <s v="Chakdah"/>
    <s v="User Not Mapped"/>
    <s v="User Not Mapped"/>
    <s v="User Not Mapped"/>
    <n v="941658"/>
    <s v="MIHIR DAS"/>
    <s v="Private Retailer"/>
    <s v="9734316641"/>
    <n v="0.2"/>
    <n v="44"/>
    <x v="1"/>
    <m/>
    <s v="2026-03-14"/>
    <s v="260210"/>
    <s v="Gouri Sankar Kundu            "/>
    <s v="9064539774"/>
  </r>
  <r>
    <s v="RCF Import"/>
    <s v="Imp 10-26-26"/>
    <s v="WB"/>
    <x v="15"/>
    <s v="Chakdah"/>
    <s v="User Not Mapped"/>
    <s v="User Not Mapped"/>
    <s v="User Not Mapped"/>
    <n v="941688"/>
    <s v="M/S KRISHI GHAR"/>
    <s v="Private Retailer"/>
    <s v="7872124739"/>
    <n v="0.2"/>
    <n v="175"/>
    <x v="0"/>
    <m/>
    <s v="2025-11-03"/>
    <s v="441419"/>
    <s v="M/S Namita Chanda"/>
    <s v="9775677020"/>
  </r>
  <r>
    <s v="RCF Trombay"/>
    <s v="15-15-15"/>
    <s v="WB"/>
    <x v="15"/>
    <s v="Chakdah"/>
    <s v="User Not Mapped"/>
    <s v="User Not Mapped"/>
    <s v="User Not Mapped"/>
    <n v="941688"/>
    <s v="M/S KRISHI GHAR"/>
    <s v="Private Retailer"/>
    <s v="7872124739"/>
    <n v="0.1"/>
    <n v="327"/>
    <x v="3"/>
    <m/>
    <s v="2025-06-04"/>
    <s v="441419"/>
    <s v="M/S Namita Chanda"/>
    <s v="9775677020"/>
  </r>
  <r>
    <s v="RCF Trombay"/>
    <s v="15-15-15"/>
    <s v="WB"/>
    <x v="15"/>
    <s v="Chakdah"/>
    <s v="User Not Mapped"/>
    <s v="User Not Mapped"/>
    <s v="User Not Mapped"/>
    <n v="941852"/>
    <s v="MALAY KUMAR SAHA"/>
    <s v="Private Retailer"/>
    <s v="9733623635"/>
    <n v="0.04"/>
    <n v="552"/>
    <x v="7"/>
    <m/>
    <s v="2024-10-22"/>
    <s v="441419"/>
    <s v="M/S Namita Chanda"/>
    <s v="9775677020"/>
  </r>
  <r>
    <s v="RCF Import"/>
    <s v="Imp 10-26-26"/>
    <s v="WB"/>
    <x v="15"/>
    <s v="Chakdah"/>
    <s v="User Not Mapped"/>
    <s v="User Not Mapped"/>
    <s v="User Not Mapped"/>
    <n v="941860"/>
    <s v="SWAPN MONDAL"/>
    <s v="Private Retailer"/>
    <s v="9333167102"/>
    <n v="0.25"/>
    <n v="182"/>
    <x v="3"/>
    <m/>
    <s v="2025-10-27"/>
    <s v="260210"/>
    <s v="Gouri Sankar Kundu            "/>
    <s v="9064539774"/>
  </r>
  <r>
    <s v="RCF Import"/>
    <s v="Imp 10-26-26"/>
    <s v="WB"/>
    <x v="15"/>
    <s v="Chakdah"/>
    <s v="User Not Mapped"/>
    <s v="User Not Mapped"/>
    <s v="User Not Mapped"/>
    <n v="941860"/>
    <s v="SWAPN MONDAL"/>
    <s v="Private Retailer"/>
    <s v="9333167102"/>
    <n v="0.1"/>
    <n v="228"/>
    <x v="3"/>
    <m/>
    <s v="2025-09-11"/>
    <s v="260210"/>
    <s v="Gouri Sankar Kundu            "/>
    <s v="9064539774"/>
  </r>
  <r>
    <s v="RCF Thal"/>
    <s v="N.C.Urea(45kg)"/>
    <s v="WB"/>
    <x v="15"/>
    <s v="Chakdah"/>
    <s v="User Not Mapped"/>
    <s v="User Not Mapped"/>
    <s v="User Not Mapped"/>
    <n v="941860"/>
    <s v="SWAPN MONDAL"/>
    <s v="Private Retailer"/>
    <s v="9333167102"/>
    <n v="0.45"/>
    <n v="19"/>
    <x v="4"/>
    <m/>
    <s v="2026-04-08"/>
    <s v="260210"/>
    <s v="Gouri Sankar Kundu            "/>
    <s v="9064539774"/>
  </r>
  <r>
    <s v="RCF Trombay"/>
    <s v="N.C.Urea(45kg)"/>
    <s v="WB"/>
    <x v="15"/>
    <s v="Chakdah"/>
    <s v="User Not Mapped"/>
    <s v="User Not Mapped"/>
    <s v="User Not Mapped"/>
    <n v="941860"/>
    <s v="SWAPN MONDAL"/>
    <s v="Private Retailer"/>
    <s v="9333167102"/>
    <n v="0.13500000000000001"/>
    <n v="30"/>
    <x v="4"/>
    <m/>
    <s v="2026-03-28"/>
    <s v="260210"/>
    <s v="Gouri Sankar Kundu            "/>
    <s v="9064539774"/>
  </r>
  <r>
    <s v="RCF Import"/>
    <s v="MOP"/>
    <s v="WB"/>
    <x v="15"/>
    <s v="Chakdah"/>
    <s v="User Not Mapped"/>
    <s v="User Not Mapped"/>
    <s v="User Not Mapped"/>
    <n v="941860"/>
    <s v="SWAPN MONDAL"/>
    <s v="Private Retailer"/>
    <s v="9333167102"/>
    <n v="0.15"/>
    <n v="2"/>
    <x v="4"/>
    <m/>
    <s v="2026-04-25"/>
    <s v="260210"/>
    <s v="Gouri Sankar Kundu            "/>
    <s v="9064539774"/>
  </r>
  <r>
    <s v="RCF Trombay"/>
    <s v="15-15-15"/>
    <s v="WB"/>
    <x v="15"/>
    <s v="Chakdah"/>
    <s v="User Not Mapped"/>
    <s v="User Not Mapped"/>
    <s v="User Not Mapped"/>
    <n v="941860"/>
    <s v="SWAPN MONDAL"/>
    <s v="Private Retailer"/>
    <s v="9333167102"/>
    <n v="0.35"/>
    <n v="90"/>
    <x v="2"/>
    <m/>
    <s v="2026-01-27"/>
    <s v="260210"/>
    <s v="Gouri Sankar Kundu            "/>
    <s v="9064539774"/>
  </r>
  <r>
    <s v="RCF Trombay"/>
    <s v="15-15-15"/>
    <s v="WB"/>
    <x v="15"/>
    <s v="Chakdah"/>
    <s v="User Not Mapped"/>
    <s v="User Not Mapped"/>
    <s v="User Not Mapped"/>
    <n v="941875"/>
    <s v="ARJUN KUMAR GHOSH"/>
    <s v="Private Retailer"/>
    <s v="9733885869"/>
    <n v="1.2949999999999999"/>
    <n v="163"/>
    <x v="0"/>
    <m/>
    <s v="2025-11-15"/>
    <s v="260178"/>
    <s v="M/s. Uttamendu Sarkar"/>
    <s v="9002483836"/>
  </r>
  <r>
    <s v="RCF Thal"/>
    <s v="N.C.Urea(45kg)"/>
    <s v="WB"/>
    <x v="15"/>
    <s v="Chakdah"/>
    <s v="User Not Mapped"/>
    <s v="User Not Mapped"/>
    <s v="User Not Mapped"/>
    <n v="941875"/>
    <s v="ARJUN KUMAR GHOSH"/>
    <s v="Private Retailer"/>
    <s v="9733885869"/>
    <n v="5.04"/>
    <n v="139"/>
    <x v="0"/>
    <m/>
    <s v="2025-12-09"/>
    <s v="280729"/>
    <s v="M/s. Naresh Chandra Das"/>
    <s v="7365868045"/>
  </r>
  <r>
    <s v="RCF Thal"/>
    <s v="N.C.Urea(45kg)"/>
    <s v="WB"/>
    <x v="15"/>
    <s v="Chakdah"/>
    <s v="User Not Mapped"/>
    <s v="User Not Mapped"/>
    <s v="User Not Mapped"/>
    <n v="941875"/>
    <s v="ARJUN KUMAR GHOSH"/>
    <s v="Private Retailer"/>
    <s v="9733885869"/>
    <n v="49.95"/>
    <n v="20"/>
    <x v="4"/>
    <m/>
    <s v="2026-04-07"/>
    <s v="260178"/>
    <s v="M/s. Uttamendu Sarkar"/>
    <s v="9002483836"/>
  </r>
  <r>
    <s v="RCF Trombay"/>
    <s v="N.C.Urea(45kg)"/>
    <s v="WB"/>
    <x v="15"/>
    <s v="Chakdah"/>
    <s v="User Not Mapped"/>
    <s v="User Not Mapped"/>
    <s v="User Not Mapped"/>
    <n v="941891"/>
    <s v="DEBNARAYAN DAS"/>
    <s v="Private Retailer"/>
    <s v="7908281170"/>
    <n v="4.4999999999999998E-2"/>
    <n v="168"/>
    <x v="0"/>
    <m/>
    <s v="2025-11-10"/>
    <s v="1043444"/>
    <s v="UMA RANI SAHA"/>
    <s v="9775414001"/>
  </r>
  <r>
    <s v="RCF Trombay"/>
    <s v="15-15-15"/>
    <s v="WB"/>
    <x v="15"/>
    <s v="Chakdah"/>
    <s v="User Not Mapped"/>
    <s v="User Not Mapped"/>
    <s v="User Not Mapped"/>
    <n v="941891"/>
    <s v="DEBNARAYAN DAS"/>
    <s v="Private Retailer"/>
    <s v="7908281170"/>
    <n v="1.048"/>
    <n v="88"/>
    <x v="2"/>
    <m/>
    <s v="2026-01-29"/>
    <s v="1043444"/>
    <s v="UMA RANI SAHA"/>
    <s v="9775414001"/>
  </r>
  <r>
    <s v="RCF Trombay"/>
    <s v="N.C.Urea(45kg)"/>
    <s v="WB"/>
    <x v="15"/>
    <s v="Chakdah"/>
    <s v="User Not Mapped"/>
    <s v="User Not Mapped"/>
    <s v="User Not Mapped"/>
    <n v="941903"/>
    <s v="CHAKRABORTY FERTILIZER"/>
    <s v="Private Retailer"/>
    <s v="8371809183"/>
    <n v="10.574999999999999"/>
    <n v="45"/>
    <x v="1"/>
    <m/>
    <s v="2026-03-13"/>
    <s v="260177"/>
    <s v="SatyaRanjan Kundu and Brothers"/>
    <s v="7908186730"/>
  </r>
  <r>
    <s v="RCF Import"/>
    <s v="MOP"/>
    <s v="WB"/>
    <x v="15"/>
    <s v="Chakdah"/>
    <s v="User Not Mapped"/>
    <s v="User Not Mapped"/>
    <s v="User Not Mapped"/>
    <n v="941905"/>
    <s v="FAIJUL HAQUE"/>
    <s v="Private Retailer"/>
    <s v="9614369129"/>
    <n v="0.5"/>
    <n v="17"/>
    <x v="4"/>
    <m/>
    <s v="2026-04-10"/>
    <s v="1214830"/>
    <s v="MS AJOY KRISHNA SEAL"/>
    <s v="9932127372"/>
  </r>
  <r>
    <s v="RCF Trombay"/>
    <s v="N.C.Urea(45kg)"/>
    <s v="WB"/>
    <x v="15"/>
    <s v="Chakdah"/>
    <s v="User Not Mapped"/>
    <s v="User Not Mapped"/>
    <s v="User Not Mapped"/>
    <n v="941905"/>
    <s v="FAIJUL HAQUE"/>
    <s v="Private Retailer"/>
    <s v="9614369129"/>
    <n v="0.57999999999999996"/>
    <n v="280"/>
    <x v="3"/>
    <m/>
    <s v="2025-07-21"/>
    <s v="1214830"/>
    <s v="MS AJOY KRISHNA SEAL"/>
    <s v="9932127372"/>
  </r>
  <r>
    <s v="RCF Import"/>
    <s v="Imp 10-26-26"/>
    <s v="WB"/>
    <x v="15"/>
    <s v="Chakdah"/>
    <s v="User Not Mapped"/>
    <s v="User Not Mapped"/>
    <s v="User Not Mapped"/>
    <n v="941905"/>
    <s v="FAIJUL HAQUE"/>
    <s v="Private Retailer"/>
    <s v="9614369129"/>
    <n v="0.5"/>
    <n v="17"/>
    <x v="4"/>
    <m/>
    <s v="2026-04-10"/>
    <s v="1214830"/>
    <s v="MS AJOY KRISHNA SEAL"/>
    <s v="9932127372"/>
  </r>
  <r>
    <s v="RCF Trombay"/>
    <s v="N.C.Urea(45kg)"/>
    <s v="WB"/>
    <x v="15"/>
    <s v="Chakdah"/>
    <s v="User Not Mapped"/>
    <s v="User Not Mapped"/>
    <s v="User Not Mapped"/>
    <n v="941905"/>
    <s v="FAIJUL HAQUE"/>
    <s v="Private Retailer"/>
    <s v="9614369129"/>
    <n v="0.9"/>
    <n v="17"/>
    <x v="4"/>
    <m/>
    <s v="2026-04-10"/>
    <s v="1214830"/>
    <s v="MS AJOY KRISHNA SEAL"/>
    <s v="9932127372"/>
  </r>
  <r>
    <s v="RCF Trombay"/>
    <s v="15-15-15"/>
    <s v="WB"/>
    <x v="15"/>
    <s v="Chakdah"/>
    <s v="User Not Mapped"/>
    <s v="User Not Mapped"/>
    <s v="User Not Mapped"/>
    <n v="941905"/>
    <s v="FAIJUL HAQUE"/>
    <s v="Private Retailer"/>
    <s v="9614369129"/>
    <n v="0.7"/>
    <n v="242"/>
    <x v="3"/>
    <m/>
    <s v="2025-08-28"/>
    <s v="260209"/>
    <s v="M/S SUNIL KUMAR SAHA       "/>
    <s v="9434110995"/>
  </r>
  <r>
    <s v="RCF Trombay"/>
    <s v="15-15-15"/>
    <s v="WB"/>
    <x v="15"/>
    <s v="Chakdah"/>
    <s v="User Not Mapped"/>
    <s v="User Not Mapped"/>
    <s v="User Not Mapped"/>
    <n v="941909"/>
    <s v="SHYAMRAM DAS"/>
    <s v="Private Retailer"/>
    <s v="8509318887"/>
    <n v="2"/>
    <n v="62"/>
    <x v="2"/>
    <m/>
    <s v="2026-02-24"/>
    <s v="270129"/>
    <s v="Kalyan Kr. Nandi"/>
    <s v="8250914797"/>
  </r>
  <r>
    <s v="RCF Thal"/>
    <s v="N.C.Urea(45kg)"/>
    <s v="WB"/>
    <x v="15"/>
    <s v="Chakdah"/>
    <s v="User Not Mapped"/>
    <s v="User Not Mapped"/>
    <s v="User Not Mapped"/>
    <n v="941921"/>
    <s v="RABIYAL HOSSAIN"/>
    <s v="Private Retailer"/>
    <s v="8250672496"/>
    <n v="1.575"/>
    <n v="43"/>
    <x v="1"/>
    <m/>
    <s v="2026-03-15"/>
    <s v="281285"/>
    <s v="Bhabani Prosad Chattopadhy"/>
    <s v="7548026544"/>
  </r>
  <r>
    <s v="RCF Trombay"/>
    <s v="15-15-15"/>
    <s v="WB"/>
    <x v="15"/>
    <s v="Chakdah"/>
    <s v="User Not Mapped"/>
    <s v="User Not Mapped"/>
    <s v="User Not Mapped"/>
    <n v="941921"/>
    <s v="RABIYAL HOSSAIN"/>
    <s v="Private Retailer"/>
    <s v="8250672496"/>
    <n v="2.5499999999999998"/>
    <n v="145"/>
    <x v="0"/>
    <m/>
    <s v="2025-12-03"/>
    <s v="281285"/>
    <s v="Bhabani Prosad Chattopadhy"/>
    <s v="7548026544"/>
  </r>
  <r>
    <s v="RCF Import"/>
    <s v="MOP"/>
    <s v="WB"/>
    <x v="15"/>
    <s v="Chakdah"/>
    <s v="User Not Mapped"/>
    <s v="User Not Mapped"/>
    <s v="User Not Mapped"/>
    <n v="941921"/>
    <s v="RABIYAL HOSSAIN"/>
    <s v="Private Retailer"/>
    <s v="8250672496"/>
    <n v="1.4"/>
    <n v="469"/>
    <x v="6"/>
    <m/>
    <s v="2025-01-13"/>
    <s v="281285"/>
    <s v="Bhabani Prosad Chattopadhy"/>
    <s v="7548026544"/>
  </r>
  <r>
    <s v="RCF Trombay"/>
    <s v="15-15-15"/>
    <s v="WB"/>
    <x v="15"/>
    <s v="Chakdah"/>
    <s v="User Not Mapped"/>
    <s v="User Not Mapped"/>
    <s v="User Not Mapped"/>
    <n v="941947"/>
    <s v="M/s SAHIDUL MONDAL"/>
    <s v="Private Retailer"/>
    <s v="9083370528"/>
    <n v="0.25"/>
    <n v="36"/>
    <x v="1"/>
    <m/>
    <s v="2026-03-22"/>
    <s v="281285"/>
    <s v="Bhabani Prosad Chattopadhy"/>
    <s v="7548026544"/>
  </r>
  <r>
    <s v="RCF Thal"/>
    <s v="N.C.Urea(45kg)"/>
    <s v="WB"/>
    <x v="15"/>
    <s v="Chakdah"/>
    <s v="User Not Mapped"/>
    <s v="User Not Mapped"/>
    <s v="User Not Mapped"/>
    <n v="941947"/>
    <s v="M/s SAHIDUL MONDAL"/>
    <s v="Private Retailer"/>
    <s v="9083370528"/>
    <n v="0.40500000000000003"/>
    <n v="16"/>
    <x v="4"/>
    <m/>
    <s v="2026-04-11"/>
    <s v="260210"/>
    <s v="Gouri Sankar Kundu            "/>
    <s v="9064539774"/>
  </r>
  <r>
    <s v="RCF Trombay"/>
    <s v="15-15-15"/>
    <s v="WB"/>
    <x v="15"/>
    <s v="Chakdah"/>
    <s v="User Not Mapped"/>
    <s v="User Not Mapped"/>
    <s v="User Not Mapped"/>
    <n v="941947"/>
    <s v="M/s SAHIDUL MONDAL"/>
    <s v="Private Retailer"/>
    <s v="9083370528"/>
    <n v="0.01"/>
    <n v="43"/>
    <x v="1"/>
    <m/>
    <s v="2026-03-15"/>
    <s v="281285"/>
    <s v="Bhabani Prosad Chattopadhy"/>
    <s v="7548026544"/>
  </r>
  <r>
    <s v="RCF Import"/>
    <s v="MOP"/>
    <s v="WB"/>
    <x v="15"/>
    <s v="Chakdah"/>
    <s v="User Not Mapped"/>
    <s v="User Not Mapped"/>
    <s v="User Not Mapped"/>
    <n v="941947"/>
    <s v="M/s SAHIDUL MONDAL"/>
    <s v="Private Retailer"/>
    <s v="9083370528"/>
    <n v="0.15"/>
    <n v="23"/>
    <x v="4"/>
    <m/>
    <s v="2026-04-04"/>
    <s v="281285"/>
    <s v="Bhabani Prosad Chattopadhy"/>
    <s v="7548026544"/>
  </r>
  <r>
    <s v="RCF Trombay"/>
    <s v="N.C.Urea(45kg)"/>
    <s v="WB"/>
    <x v="15"/>
    <s v="Chakdah"/>
    <s v="User Not Mapped"/>
    <s v="User Not Mapped"/>
    <s v="User Not Mapped"/>
    <n v="941947"/>
    <s v="M/s SAHIDUL MONDAL"/>
    <s v="Private Retailer"/>
    <s v="9083370528"/>
    <n v="0.495"/>
    <n v="57"/>
    <x v="1"/>
    <m/>
    <s v="2026-03-01"/>
    <s v="281285"/>
    <s v="Bhabani Prosad Chattopadhy"/>
    <s v="7548026544"/>
  </r>
  <r>
    <s v="RCF Trombay"/>
    <s v="N.C.Urea(45kg)"/>
    <s v="WB"/>
    <x v="15"/>
    <s v="Chakdah"/>
    <s v="User Not Mapped"/>
    <s v="User Not Mapped"/>
    <s v="User Not Mapped"/>
    <n v="941955"/>
    <s v="BARUN HALDER"/>
    <s v="Private Retailer"/>
    <s v="9123333751"/>
    <n v="1.8"/>
    <n v="56"/>
    <x v="1"/>
    <m/>
    <s v="2026-03-02"/>
    <s v="260209"/>
    <s v="M/S SUNIL KUMAR SAHA       "/>
    <s v="9434110995"/>
  </r>
  <r>
    <s v="RCF Trombay"/>
    <s v="N.C.Urea(45kg)"/>
    <s v="WB"/>
    <x v="15"/>
    <s v="Chakdah"/>
    <s v="User Not Mapped"/>
    <s v="User Not Mapped"/>
    <s v="User Not Mapped"/>
    <n v="941955"/>
    <s v="BARUN HALDER"/>
    <s v="Private Retailer"/>
    <s v="9123333751"/>
    <n v="0.18"/>
    <n v="57"/>
    <x v="1"/>
    <m/>
    <s v="2026-03-01"/>
    <s v="260209"/>
    <s v="M/S SUNIL KUMAR SAHA       "/>
    <s v="9434110995"/>
  </r>
  <r>
    <s v="RCF Thal"/>
    <s v="N.C.Urea(45kg)"/>
    <s v="WB"/>
    <x v="15"/>
    <s v="Chakdah"/>
    <s v="User Not Mapped"/>
    <s v="User Not Mapped"/>
    <s v="User Not Mapped"/>
    <n v="1061892"/>
    <s v="RABINDRA MONDAL"/>
    <s v="Private Retailer"/>
    <s v="7908527443"/>
    <n v="0.45"/>
    <n v="2"/>
    <x v="4"/>
    <m/>
    <s v="2026-04-25"/>
    <s v="260210"/>
    <s v="Gouri Sankar Kundu            "/>
    <s v="9064539774"/>
  </r>
  <r>
    <s v="RCF Thal"/>
    <s v="N.C.Urea(45kg)"/>
    <s v="WB"/>
    <x v="15"/>
    <s v="Chakdah"/>
    <s v="User Not Mapped"/>
    <s v="User Not Mapped"/>
    <s v="User Not Mapped"/>
    <n v="1061892"/>
    <s v="RABINDRA MONDAL"/>
    <s v="Private Retailer"/>
    <s v="7908527443"/>
    <n v="0.45"/>
    <n v="6"/>
    <x v="4"/>
    <m/>
    <s v="2026-04-21"/>
    <s v="260210"/>
    <s v="Gouri Sankar Kundu            "/>
    <s v="9064539774"/>
  </r>
  <r>
    <s v="RCF Thal"/>
    <s v="N.C.Urea(45kg)"/>
    <s v="WB"/>
    <x v="15"/>
    <s v="Chakdah"/>
    <s v="User Not Mapped"/>
    <s v="User Not Mapped"/>
    <s v="User Not Mapped"/>
    <n v="1061892"/>
    <s v="RABINDRA MONDAL"/>
    <s v="Private Retailer"/>
    <s v="7908527443"/>
    <n v="0.18"/>
    <n v="11"/>
    <x v="4"/>
    <m/>
    <s v="2026-04-16"/>
    <s v="260210"/>
    <s v="Gouri Sankar Kundu            "/>
    <s v="9064539774"/>
  </r>
  <r>
    <s v="RCF Import"/>
    <s v="MOP"/>
    <s v="WB"/>
    <x v="15"/>
    <s v="Chakdah"/>
    <s v="User Not Mapped"/>
    <s v="User Not Mapped"/>
    <s v="User Not Mapped"/>
    <n v="1061892"/>
    <s v="RABINDRA MONDAL"/>
    <s v="Private Retailer"/>
    <s v="7908527443"/>
    <n v="0.05"/>
    <n v="11"/>
    <x v="4"/>
    <m/>
    <s v="2026-04-16"/>
    <s v="260210"/>
    <s v="Gouri Sankar Kundu            "/>
    <s v="9064539774"/>
  </r>
  <r>
    <s v="RCF Import"/>
    <s v="Imp 10-26-26"/>
    <s v="WB"/>
    <x v="15"/>
    <s v="Chakdah"/>
    <s v="User Not Mapped"/>
    <s v="User Not Mapped"/>
    <s v="User Not Mapped"/>
    <n v="1061892"/>
    <s v="RABINDRA MONDAL"/>
    <s v="Private Retailer"/>
    <s v="7908527443"/>
    <n v="0.1"/>
    <n v="6"/>
    <x v="4"/>
    <m/>
    <s v="2026-04-21"/>
    <s v="260210"/>
    <s v="Gouri Sankar Kundu            "/>
    <s v="9064539774"/>
  </r>
  <r>
    <s v="RCF Import"/>
    <s v="Imp 10-26-26"/>
    <s v="WB"/>
    <x v="15"/>
    <s v="Chakdah"/>
    <s v="User Not Mapped"/>
    <s v="User Not Mapped"/>
    <s v="User Not Mapped"/>
    <n v="1061892"/>
    <s v="RABINDRA MONDAL"/>
    <s v="Private Retailer"/>
    <s v="7908527443"/>
    <n v="0.05"/>
    <n v="21"/>
    <x v="4"/>
    <m/>
    <s v="2026-04-06"/>
    <s v="260210"/>
    <s v="Gouri Sankar Kundu            "/>
    <s v="9064539774"/>
  </r>
  <r>
    <s v="RCF Trombay"/>
    <s v="15-15-15"/>
    <s v="WB"/>
    <x v="15"/>
    <s v="Chakdah"/>
    <s v="User Not Mapped"/>
    <s v="User Not Mapped"/>
    <s v="User Not Mapped"/>
    <n v="1061912"/>
    <s v="SUSHIL CHANDRA CHANDA"/>
    <s v="Private Retailer"/>
    <s v="9153696476"/>
    <n v="1"/>
    <n v="66"/>
    <x v="2"/>
    <m/>
    <s v="2026-02-20"/>
    <s v="260210"/>
    <s v="Gouri Sankar Kundu            "/>
    <s v="9064539774"/>
  </r>
  <r>
    <s v="RCF Trombay"/>
    <s v="N.C.Urea(45kg)"/>
    <s v="WB"/>
    <x v="15"/>
    <s v="Chakdah"/>
    <s v="User Not Mapped"/>
    <s v="User Not Mapped"/>
    <s v="User Not Mapped"/>
    <n v="1061912"/>
    <s v="SUSHIL CHANDRA CHANDA"/>
    <s v="Private Retailer"/>
    <s v="9153696476"/>
    <n v="1.35"/>
    <n v="142"/>
    <x v="0"/>
    <m/>
    <s v="2025-12-06"/>
    <s v="260210"/>
    <s v="Gouri Sankar Kundu            "/>
    <s v="9064539774"/>
  </r>
  <r>
    <s v="RCF Trombay"/>
    <s v="N.C.Urea(45kg)"/>
    <s v="WB"/>
    <x v="15"/>
    <s v="Chakdah"/>
    <s v="User Not Mapped"/>
    <s v="User Not Mapped"/>
    <s v="User Not Mapped"/>
    <n v="1061912"/>
    <s v="SUSHIL CHANDRA CHANDA"/>
    <s v="Private Retailer"/>
    <s v="9153696476"/>
    <n v="4.5"/>
    <n v="68"/>
    <x v="2"/>
    <m/>
    <s v="2026-02-18"/>
    <s v="1043444"/>
    <s v="UMA RANI SAHA"/>
    <s v="9775414001"/>
  </r>
  <r>
    <s v="RCF Trombay"/>
    <s v="15-15-15"/>
    <s v="WB"/>
    <x v="15"/>
    <s v="Chakdah"/>
    <s v="User Not Mapped"/>
    <s v="User Not Mapped"/>
    <s v="User Not Mapped"/>
    <n v="1061912"/>
    <s v="SUSHIL CHANDRA CHANDA"/>
    <s v="Private Retailer"/>
    <s v="9153696476"/>
    <n v="2.1440000000000001"/>
    <n v="108"/>
    <x v="5"/>
    <m/>
    <s v="2026-01-09"/>
    <s v="1222703"/>
    <s v="SANDIP CHANDA"/>
    <s v="9232773990"/>
  </r>
  <r>
    <s v="RCF Trombay"/>
    <s v="N.C.Urea(45kg)"/>
    <s v="WB"/>
    <x v="15"/>
    <s v="Chakdah"/>
    <s v="User Not Mapped"/>
    <s v="User Not Mapped"/>
    <s v="User Not Mapped"/>
    <n v="1061912"/>
    <s v="SUSHIL CHANDRA CHANDA"/>
    <s v="Private Retailer"/>
    <s v="9153696476"/>
    <n v="4.5"/>
    <n v="146"/>
    <x v="0"/>
    <m/>
    <s v="2025-12-02"/>
    <s v="260177"/>
    <s v="SatyaRanjan Kundu and Brothers"/>
    <s v="7908186730"/>
  </r>
  <r>
    <s v="RCF Trombay"/>
    <s v="15-15-15"/>
    <s v="WB"/>
    <x v="15"/>
    <s v="Chakdah"/>
    <s v="User Not Mapped"/>
    <s v="User Not Mapped"/>
    <s v="User Not Mapped"/>
    <n v="1061912"/>
    <s v="SUSHIL CHANDRA CHANDA"/>
    <s v="Private Retailer"/>
    <s v="9153696476"/>
    <n v="5"/>
    <n v="60"/>
    <x v="1"/>
    <m/>
    <s v="2026-02-26"/>
    <s v="260210"/>
    <s v="Gouri Sankar Kundu            "/>
    <s v="9064539774"/>
  </r>
  <r>
    <s v="RCF Trombay"/>
    <s v="N.C.Urea(45kg)"/>
    <s v="WB"/>
    <x v="15"/>
    <s v="Chakdah"/>
    <s v="User Not Mapped"/>
    <s v="User Not Mapped"/>
    <s v="User Not Mapped"/>
    <n v="1061912"/>
    <s v="SUSHIL CHANDRA CHANDA"/>
    <s v="Private Retailer"/>
    <s v="9153696476"/>
    <n v="4.9950000000000001"/>
    <n v="60"/>
    <x v="1"/>
    <m/>
    <s v="2026-02-26"/>
    <s v="260210"/>
    <s v="Gouri Sankar Kundu            "/>
    <s v="9064539774"/>
  </r>
  <r>
    <s v="RCF Thal"/>
    <s v="N.C.Urea(45kg)"/>
    <s v="WB"/>
    <x v="15"/>
    <s v="Chakdah"/>
    <s v="User Not Mapped"/>
    <s v="User Not Mapped"/>
    <s v="User Not Mapped"/>
    <n v="1061912"/>
    <s v="SUSHIL CHANDRA CHANDA"/>
    <s v="Private Retailer"/>
    <s v="9153696476"/>
    <n v="2.2949999999999999"/>
    <n v="37"/>
    <x v="1"/>
    <m/>
    <s v="2026-03-21"/>
    <s v="260210"/>
    <s v="Gouri Sankar Kundu            "/>
    <s v="9064539774"/>
  </r>
  <r>
    <s v="RCF Thal"/>
    <s v="N.C.Urea(45kg)"/>
    <s v="WB"/>
    <x v="15"/>
    <s v="Chakdah"/>
    <s v="User Not Mapped"/>
    <s v="User Not Mapped"/>
    <s v="User Not Mapped"/>
    <n v="1061944"/>
    <s v="AVJIT HAZRA"/>
    <s v="Private Retailer"/>
    <s v="9732722270"/>
    <n v="6.39"/>
    <n v="22"/>
    <x v="4"/>
    <m/>
    <s v="2026-04-05"/>
    <s v="1043444"/>
    <s v="UMA RANI SAHA"/>
    <s v="9775414001"/>
  </r>
  <r>
    <s v="RCF Import"/>
    <s v="Imp 10-26-26"/>
    <s v="WB"/>
    <x v="15"/>
    <s v="Chakdah"/>
    <s v="User Not Mapped"/>
    <s v="User Not Mapped"/>
    <s v="User Not Mapped"/>
    <n v="1062054"/>
    <s v="BARKAT ALI MISTRI"/>
    <s v="Private Retailer"/>
    <s v="7319225021"/>
    <n v="0.05"/>
    <n v="11"/>
    <x v="4"/>
    <m/>
    <s v="2026-04-16"/>
    <s v="260210"/>
    <s v="Gouri Sankar Kundu            "/>
    <s v="9064539774"/>
  </r>
  <r>
    <s v="RCF Trombay"/>
    <s v="15-15-15"/>
    <s v="WB"/>
    <x v="15"/>
    <s v="Chakdah"/>
    <s v="User Not Mapped"/>
    <s v="User Not Mapped"/>
    <s v="User Not Mapped"/>
    <n v="1062054"/>
    <s v="BARKAT ALI MISTRI"/>
    <s v="Private Retailer"/>
    <s v="7319225021"/>
    <n v="0.15"/>
    <n v="44"/>
    <x v="1"/>
    <m/>
    <s v="2026-03-14"/>
    <s v="260210"/>
    <s v="Gouri Sankar Kundu            "/>
    <s v="9064539774"/>
  </r>
  <r>
    <s v="RCF Thal"/>
    <s v="N.C.Urea(45kg)"/>
    <s v="WB"/>
    <x v="15"/>
    <s v="Chakdah"/>
    <s v="User Not Mapped"/>
    <s v="User Not Mapped"/>
    <s v="User Not Mapped"/>
    <n v="1062054"/>
    <s v="BARKAT ALI MISTRI"/>
    <s v="Private Retailer"/>
    <s v="7319225021"/>
    <n v="0.67500000000000004"/>
    <n v="44"/>
    <x v="1"/>
    <m/>
    <s v="2026-03-14"/>
    <s v="260210"/>
    <s v="Gouri Sankar Kundu            "/>
    <s v="9064539774"/>
  </r>
  <r>
    <s v="RCF Thal"/>
    <s v="N.C.Urea(45kg)"/>
    <s v="WB"/>
    <x v="15"/>
    <s v="Chakdah"/>
    <s v="User Not Mapped"/>
    <s v="User Not Mapped"/>
    <s v="User Not Mapped"/>
    <n v="1086767"/>
    <s v="M/S DINESH CHANDRA MAJJUMDER"/>
    <s v="Private Retailer"/>
    <s v="7001446262"/>
    <n v="0.45"/>
    <n v="37"/>
    <x v="1"/>
    <m/>
    <s v="2026-03-21"/>
    <s v="260210"/>
    <s v="Gouri Sankar Kundu            "/>
    <s v="9064539774"/>
  </r>
  <r>
    <s v="RCF Import"/>
    <s v="MOP"/>
    <s v="WB"/>
    <x v="15"/>
    <s v="Chakdah"/>
    <s v="User Not Mapped"/>
    <s v="User Not Mapped"/>
    <s v="User Not Mapped"/>
    <n v="1086767"/>
    <s v="M/S DINESH CHANDRA MAJJUMDER"/>
    <s v="Private Retailer"/>
    <s v="7001446262"/>
    <n v="0.25"/>
    <n v="29"/>
    <x v="4"/>
    <m/>
    <s v="2026-03-29"/>
    <s v="260210"/>
    <s v="Gouri Sankar Kundu            "/>
    <s v="9064539774"/>
  </r>
  <r>
    <s v="RCF Thal"/>
    <s v="N.C.Urea(45kg)"/>
    <s v="WB"/>
    <x v="15"/>
    <s v="Chakdah"/>
    <s v="User Not Mapped"/>
    <s v="User Not Mapped"/>
    <s v="User Not Mapped"/>
    <n v="1086767"/>
    <s v="M/S DINESH CHANDRA MAJJUMDER"/>
    <s v="Private Retailer"/>
    <s v="7001446262"/>
    <n v="0.9"/>
    <n v="44"/>
    <x v="1"/>
    <m/>
    <s v="2026-03-14"/>
    <s v="260210"/>
    <s v="Gouri Sankar Kundu            "/>
    <s v="9064539774"/>
  </r>
  <r>
    <s v="RCF Thal"/>
    <s v="N.C.Urea(45kg)"/>
    <s v="WB"/>
    <x v="15"/>
    <s v="Chakdah"/>
    <s v="User Not Mapped"/>
    <s v="User Not Mapped"/>
    <s v="User Not Mapped"/>
    <n v="1086767"/>
    <s v="M/S DINESH CHANDRA MAJJUMDER"/>
    <s v="Private Retailer"/>
    <s v="7001446262"/>
    <n v="0.45"/>
    <n v="30"/>
    <x v="4"/>
    <m/>
    <s v="2026-03-28"/>
    <s v="260210"/>
    <s v="Gouri Sankar Kundu            "/>
    <s v="9064539774"/>
  </r>
  <r>
    <s v="RCF Trombay"/>
    <s v="15-15-15"/>
    <s v="WB"/>
    <x v="15"/>
    <s v="Chakdah"/>
    <s v="User Not Mapped"/>
    <s v="User Not Mapped"/>
    <s v="User Not Mapped"/>
    <n v="1086767"/>
    <s v="M/S DINESH CHANDRA MAJJUMDER"/>
    <s v="Private Retailer"/>
    <s v="7001446262"/>
    <n v="0.25"/>
    <n v="52"/>
    <x v="1"/>
    <m/>
    <s v="2026-03-06"/>
    <s v="260210"/>
    <s v="Gouri Sankar Kundu            "/>
    <s v="9064539774"/>
  </r>
  <r>
    <s v="RCF Import"/>
    <s v="MOP"/>
    <s v="WB"/>
    <x v="15"/>
    <s v="Chakdah"/>
    <s v="User Not Mapped"/>
    <s v="User Not Mapped"/>
    <s v="User Not Mapped"/>
    <n v="1086767"/>
    <s v="M/S DINESH CHANDRA MAJJUMDER"/>
    <s v="Private Retailer"/>
    <s v="7001446262"/>
    <n v="0.25"/>
    <n v="37"/>
    <x v="1"/>
    <m/>
    <s v="2026-03-21"/>
    <s v="260210"/>
    <s v="Gouri Sankar Kundu            "/>
    <s v="9064539774"/>
  </r>
  <r>
    <s v="RCF Import"/>
    <s v="MOP"/>
    <s v="WB"/>
    <x v="15"/>
    <s v="Chakdah"/>
    <s v="User Not Mapped"/>
    <s v="User Not Mapped"/>
    <s v="User Not Mapped"/>
    <n v="1086767"/>
    <s v="M/S DINESH CHANDRA MAJJUMDER"/>
    <s v="Private Retailer"/>
    <s v="7001446262"/>
    <n v="0.1"/>
    <n v="44"/>
    <x v="1"/>
    <m/>
    <s v="2026-03-14"/>
    <s v="260210"/>
    <s v="Gouri Sankar Kundu            "/>
    <s v="9064539774"/>
  </r>
  <r>
    <s v="RCF Import"/>
    <s v="MOP"/>
    <s v="WB"/>
    <x v="15"/>
    <s v="Chakdah"/>
    <s v="User Not Mapped"/>
    <s v="User Not Mapped"/>
    <s v="User Not Mapped"/>
    <n v="1086767"/>
    <s v="M/S DINESH CHANDRA MAJJUMDER"/>
    <s v="Private Retailer"/>
    <s v="7001446262"/>
    <n v="0.2"/>
    <n v="46"/>
    <x v="1"/>
    <m/>
    <s v="2026-03-12"/>
    <s v="260210"/>
    <s v="Gouri Sankar Kundu            "/>
    <s v="9064539774"/>
  </r>
  <r>
    <s v="RCF Trombay"/>
    <s v="15-15-15"/>
    <s v="WB"/>
    <x v="15"/>
    <s v="Chakdah"/>
    <s v="User Not Mapped"/>
    <s v="User Not Mapped"/>
    <s v="User Not Mapped"/>
    <n v="1086767"/>
    <s v="M/S DINESH CHANDRA MAJJUMDER"/>
    <s v="Private Retailer"/>
    <s v="7001446262"/>
    <n v="0.25"/>
    <n v="37"/>
    <x v="1"/>
    <m/>
    <s v="2026-03-21"/>
    <s v="260210"/>
    <s v="Gouri Sankar Kundu            "/>
    <s v="9064539774"/>
  </r>
  <r>
    <s v="RCF Trombay"/>
    <s v="15-15-15"/>
    <s v="WB"/>
    <x v="15"/>
    <s v="Chakdah"/>
    <s v="User Not Mapped"/>
    <s v="User Not Mapped"/>
    <s v="User Not Mapped"/>
    <n v="1086767"/>
    <s v="M/S DINESH CHANDRA MAJJUMDER"/>
    <s v="Private Retailer"/>
    <s v="7001446262"/>
    <n v="0.25"/>
    <n v="46"/>
    <x v="1"/>
    <m/>
    <s v="2026-03-12"/>
    <s v="260210"/>
    <s v="Gouri Sankar Kundu            "/>
    <s v="9064539774"/>
  </r>
  <r>
    <s v="RCF Thal"/>
    <s v="N.C.Urea(45kg)"/>
    <s v="WB"/>
    <x v="15"/>
    <s v="Chakdah"/>
    <s v="User Not Mapped"/>
    <s v="User Not Mapped"/>
    <s v="User Not Mapped"/>
    <n v="1242455"/>
    <s v="M/S SONA FERTILIZER"/>
    <s v="Private Retailer"/>
    <s v="9153423472"/>
    <n v="3.87"/>
    <n v="20"/>
    <x v="4"/>
    <m/>
    <s v="2026-04-07"/>
    <s v="260209"/>
    <s v="M/S SUNIL KUMAR SAHA       "/>
    <s v="9434110995"/>
  </r>
  <r>
    <s v="RCF Trombay"/>
    <s v="15-15-15"/>
    <s v="WB"/>
    <x v="15"/>
    <s v="Chakdah"/>
    <s v="User Not Mapped"/>
    <s v="User Not Mapped"/>
    <s v="User Not Mapped"/>
    <n v="1242455"/>
    <s v="M/S SONA FERTILIZER"/>
    <s v="Private Retailer"/>
    <s v="9153423472"/>
    <n v="0.75"/>
    <n v="64"/>
    <x v="2"/>
    <m/>
    <s v="2026-02-22"/>
    <s v="260209"/>
    <s v="M/S SUNIL KUMAR SAHA       "/>
    <s v="9434110995"/>
  </r>
  <r>
    <s v="RCF Import"/>
    <s v="Imp 10-26-26"/>
    <s v="WB"/>
    <x v="15"/>
    <s v="Chakdah"/>
    <s v="User Not Mapped"/>
    <s v="User Not Mapped"/>
    <s v="User Not Mapped"/>
    <n v="1242455"/>
    <s v="M/S SONA FERTILIZER"/>
    <s v="Private Retailer"/>
    <s v="9153423472"/>
    <n v="1.25"/>
    <n v="20"/>
    <x v="4"/>
    <m/>
    <s v="2026-04-07"/>
    <s v="260209"/>
    <s v="M/S SUNIL KUMAR SAHA       "/>
    <s v="9434110995"/>
  </r>
  <r>
    <s v="RCF Import"/>
    <s v="Imp 10-26-26"/>
    <s v="WB"/>
    <x v="15"/>
    <s v="Chakdah"/>
    <s v="User Not Mapped"/>
    <s v="User Not Mapped"/>
    <s v="User Not Mapped"/>
    <n v="1249454"/>
    <s v="M/S SUKANTA ACHARYA"/>
    <s v="Private Retailer"/>
    <s v="9330418353"/>
    <n v="0.5"/>
    <n v="302"/>
    <x v="3"/>
    <m/>
    <s v="2025-06-29"/>
    <s v="260210"/>
    <s v="Gouri Sankar Kundu            "/>
    <s v="9064539774"/>
  </r>
  <r>
    <s v="RCF Trombay"/>
    <s v="15-15-15"/>
    <s v="WB"/>
    <x v="15"/>
    <s v="Chakdah"/>
    <s v="User Not Mapped"/>
    <s v="User Not Mapped"/>
    <s v="User Not Mapped"/>
    <n v="1249454"/>
    <s v="M/S SUKANTA ACHARYA"/>
    <s v="Private Retailer"/>
    <s v="9330418353"/>
    <n v="0.8"/>
    <n v="90"/>
    <x v="2"/>
    <m/>
    <s v="2026-01-27"/>
    <s v="260210"/>
    <s v="Gouri Sankar Kundu            "/>
    <s v="9064539774"/>
  </r>
  <r>
    <s v="RCF Import"/>
    <s v="MOP"/>
    <s v="WB"/>
    <x v="15"/>
    <s v="Chakdah"/>
    <s v="User Not Mapped"/>
    <s v="User Not Mapped"/>
    <s v="User Not Mapped"/>
    <n v="1249454"/>
    <s v="M/S SUKANTA ACHARYA"/>
    <s v="Private Retailer"/>
    <s v="9330418353"/>
    <n v="0.5"/>
    <n v="66"/>
    <x v="2"/>
    <m/>
    <s v="2026-02-20"/>
    <s v="260210"/>
    <s v="Gouri Sankar Kundu            "/>
    <s v="9064539774"/>
  </r>
  <r>
    <s v="RCF Trombay"/>
    <s v="N.C.Urea(45kg)"/>
    <s v="WB"/>
    <x v="15"/>
    <s v="Chakdah"/>
    <s v="User Not Mapped"/>
    <s v="User Not Mapped"/>
    <s v="User Not Mapped"/>
    <n v="1249454"/>
    <s v="M/S SUKANTA ACHARYA"/>
    <s v="Private Retailer"/>
    <s v="9330418353"/>
    <n v="0.45"/>
    <n v="90"/>
    <x v="2"/>
    <m/>
    <s v="2026-01-27"/>
    <s v="260210"/>
    <s v="Gouri Sankar Kundu            "/>
    <s v="9064539774"/>
  </r>
  <r>
    <s v="RCF Trombay"/>
    <s v="15-15-15"/>
    <s v="WB"/>
    <x v="15"/>
    <s v="Chakdah"/>
    <s v="User Not Mapped"/>
    <s v="User Not Mapped"/>
    <s v="User Not Mapped"/>
    <n v="1249454"/>
    <s v="M/S SUKANTA ACHARYA"/>
    <s v="Private Retailer"/>
    <s v="9330418353"/>
    <n v="0.75"/>
    <n v="30"/>
    <x v="4"/>
    <m/>
    <s v="2026-03-28"/>
    <s v="260210"/>
    <s v="Gouri Sankar Kundu            "/>
    <s v="9064539774"/>
  </r>
  <r>
    <s v="RCF Import"/>
    <s v="MOP"/>
    <s v="WB"/>
    <x v="15"/>
    <s v="Chakdah"/>
    <s v="User Not Mapped"/>
    <s v="User Not Mapped"/>
    <s v="User Not Mapped"/>
    <n v="1249454"/>
    <s v="M/S SUKANTA ACHARYA"/>
    <s v="Private Retailer"/>
    <s v="9330418353"/>
    <n v="0.55000000000000004"/>
    <n v="30"/>
    <x v="4"/>
    <m/>
    <s v="2026-03-28"/>
    <s v="260210"/>
    <s v="Gouri Sankar Kundu            "/>
    <s v="9064539774"/>
  </r>
  <r>
    <s v="RCF Import"/>
    <s v="MOP"/>
    <s v="WB"/>
    <x v="15"/>
    <s v="Chakdah"/>
    <s v="User Not Mapped"/>
    <s v="User Not Mapped"/>
    <s v="User Not Mapped"/>
    <n v="1249454"/>
    <s v="M/S SUKANTA ACHARYA"/>
    <s v="Private Retailer"/>
    <s v="9330418353"/>
    <n v="0.25"/>
    <n v="417"/>
    <x v="6"/>
    <m/>
    <s v="2025-03-06"/>
    <s v="260210"/>
    <s v="Gouri Sankar Kundu            "/>
    <s v="9064539774"/>
  </r>
  <r>
    <s v="RCF Trombay"/>
    <s v="15-15-15"/>
    <s v="WB"/>
    <x v="15"/>
    <s v="Chakdah"/>
    <s v="User Not Mapped"/>
    <s v="User Not Mapped"/>
    <s v="User Not Mapped"/>
    <n v="1249454"/>
    <s v="M/S SUKANTA ACHARYA"/>
    <s v="Private Retailer"/>
    <s v="9330418353"/>
    <n v="1.5"/>
    <n v="52"/>
    <x v="1"/>
    <m/>
    <s v="2026-03-06"/>
    <s v="260210"/>
    <s v="Gouri Sankar Kundu            "/>
    <s v="9064539774"/>
  </r>
  <r>
    <s v="RCF Trombay"/>
    <s v="15-15-15"/>
    <s v="WB"/>
    <x v="15"/>
    <s v="Chakdah"/>
    <s v="User Not Mapped"/>
    <s v="User Not Mapped"/>
    <s v="User Not Mapped"/>
    <n v="1249454"/>
    <s v="M/S SUKANTA ACHARYA"/>
    <s v="Private Retailer"/>
    <s v="9330418353"/>
    <n v="0.25"/>
    <n v="58"/>
    <x v="1"/>
    <m/>
    <s v="2026-02-28"/>
    <s v="260210"/>
    <s v="Gouri Sankar Kundu            "/>
    <s v="9064539774"/>
  </r>
  <r>
    <s v="RCF Import"/>
    <s v="MOP"/>
    <s v="WB"/>
    <x v="15"/>
    <s v="Chakdah"/>
    <s v="User Not Mapped"/>
    <s v="User Not Mapped"/>
    <s v="User Not Mapped"/>
    <n v="1249454"/>
    <s v="M/S SUKANTA ACHARYA"/>
    <s v="Private Retailer"/>
    <s v="9330418353"/>
    <n v="1.35"/>
    <n v="44"/>
    <x v="1"/>
    <m/>
    <s v="2026-03-14"/>
    <s v="260210"/>
    <s v="Gouri Sankar Kundu            "/>
    <s v="9064539774"/>
  </r>
  <r>
    <s v="RCF Import"/>
    <s v="MOP"/>
    <s v="WB"/>
    <x v="15"/>
    <s v="Chakdah"/>
    <s v="User Not Mapped"/>
    <s v="User Not Mapped"/>
    <s v="User Not Mapped"/>
    <n v="1249454"/>
    <s v="M/S SUKANTA ACHARYA"/>
    <s v="Private Retailer"/>
    <s v="9330418353"/>
    <n v="0.5"/>
    <n v="58"/>
    <x v="1"/>
    <m/>
    <s v="2026-02-28"/>
    <s v="260210"/>
    <s v="Gouri Sankar Kundu            "/>
    <s v="9064539774"/>
  </r>
  <r>
    <s v="RCF Trombay"/>
    <s v="15-15-15"/>
    <s v="WB"/>
    <x v="15"/>
    <s v="Chakdah"/>
    <s v="User Not Mapped"/>
    <s v="User Not Mapped"/>
    <s v="User Not Mapped"/>
    <n v="1249454"/>
    <s v="M/S SUKANTA ACHARYA"/>
    <s v="Private Retailer"/>
    <s v="9330418353"/>
    <n v="1.25"/>
    <n v="37"/>
    <x v="1"/>
    <m/>
    <s v="2026-03-21"/>
    <s v="260210"/>
    <s v="Gouri Sankar Kundu            "/>
    <s v="9064539774"/>
  </r>
  <r>
    <s v="RCF Thal"/>
    <s v="N.C.Urea(45kg)"/>
    <s v="WB"/>
    <x v="15"/>
    <s v="Chakdah"/>
    <s v="User Not Mapped"/>
    <s v="User Not Mapped"/>
    <s v="User Not Mapped"/>
    <n v="1249454"/>
    <s v="M/S SUKANTA ACHARYA"/>
    <s v="Private Retailer"/>
    <s v="9330418353"/>
    <n v="4.4999999999999998E-2"/>
    <n v="37"/>
    <x v="1"/>
    <m/>
    <s v="2026-03-21"/>
    <s v="260210"/>
    <s v="Gouri Sankar Kundu            "/>
    <s v="9064539774"/>
  </r>
  <r>
    <s v="RCF Import"/>
    <s v="Imp 10-26-26"/>
    <s v="WB"/>
    <x v="15"/>
    <s v="Chakdah"/>
    <s v="User Not Mapped"/>
    <s v="User Not Mapped"/>
    <s v="User Not Mapped"/>
    <n v="1249454"/>
    <s v="M/S SUKANTA ACHARYA"/>
    <s v="Private Retailer"/>
    <s v="9330418353"/>
    <n v="0.05"/>
    <n v="470"/>
    <x v="6"/>
    <m/>
    <s v="2025-01-12"/>
    <s v="260210"/>
    <s v="Gouri Sankar Kundu            "/>
    <s v="9064539774"/>
  </r>
  <r>
    <s v="RCF Trombay"/>
    <s v="N.C.Urea(45kg)"/>
    <s v="WB"/>
    <x v="15"/>
    <s v="Chakdah"/>
    <s v="User Not Mapped"/>
    <s v="User Not Mapped"/>
    <s v="User Not Mapped"/>
    <n v="1249454"/>
    <s v="M/S SUKANTA ACHARYA"/>
    <s v="Private Retailer"/>
    <s v="9330418353"/>
    <n v="0.45"/>
    <n v="142"/>
    <x v="0"/>
    <m/>
    <s v="2025-12-06"/>
    <s v="260210"/>
    <s v="Gouri Sankar Kundu            "/>
    <s v="9064539774"/>
  </r>
  <r>
    <s v="RCF Thal"/>
    <s v="N.C.Urea(45kg)"/>
    <s v="WB"/>
    <x v="15"/>
    <s v="Chakdah"/>
    <s v="User Not Mapped"/>
    <s v="User Not Mapped"/>
    <s v="User Not Mapped"/>
    <n v="1258432"/>
    <s v="M/S TARA MAA FERTILIZER"/>
    <s v="Private Retailer"/>
    <s v="7003791831"/>
    <n v="1.8"/>
    <n v="27"/>
    <x v="4"/>
    <m/>
    <s v="2026-03-31"/>
    <s v="1043444"/>
    <s v="UMA RANI SAHA"/>
    <s v="9775414001"/>
  </r>
  <r>
    <s v="RCF Import"/>
    <s v="Imp 10-26-26"/>
    <s v="WB"/>
    <x v="15"/>
    <s v="Chakdah"/>
    <s v="User Not Mapped"/>
    <s v="User Not Mapped"/>
    <s v="User Not Mapped"/>
    <n v="1274575"/>
    <s v="MS NATAKISHORE SARKAR"/>
    <s v="Private Retailer"/>
    <s v="7076800478"/>
    <n v="0.75"/>
    <n v="20"/>
    <x v="4"/>
    <m/>
    <s v="2026-04-07"/>
    <s v="260211"/>
    <s v="M/s. Jaiswal Enterprise "/>
    <s v="8116105006"/>
  </r>
  <r>
    <s v="RCF Import"/>
    <s v="Imp 10-26-26"/>
    <s v="WB"/>
    <x v="15"/>
    <s v="Chakdah"/>
    <s v="User Not Mapped"/>
    <s v="User Not Mapped"/>
    <s v="User Not Mapped"/>
    <n v="1274575"/>
    <s v="MS NATAKISHORE SARKAR"/>
    <s v="Private Retailer"/>
    <s v="7076800478"/>
    <n v="0.49"/>
    <n v="27"/>
    <x v="4"/>
    <m/>
    <s v="2026-03-31"/>
    <s v="260211"/>
    <s v="M/s. Jaiswal Enterprise "/>
    <s v="8116105006"/>
  </r>
  <r>
    <s v="RCF Trombay"/>
    <s v="15-15-15"/>
    <s v="WB"/>
    <x v="15"/>
    <s v="Chakdah"/>
    <s v="User Not Mapped"/>
    <s v="User Not Mapped"/>
    <s v="User Not Mapped"/>
    <n v="1274577"/>
    <s v="MS RABIUL MONDAL"/>
    <s v="Private Retailer"/>
    <s v="9064793495"/>
    <n v="0.25"/>
    <n v="36"/>
    <x v="1"/>
    <m/>
    <s v="2026-03-22"/>
    <s v="281285"/>
    <s v="Bhabani Prosad Chattopadhy"/>
    <s v="7548026544"/>
  </r>
  <r>
    <s v="RCF Trombay"/>
    <s v="15-15-15"/>
    <s v="WB"/>
    <x v="15"/>
    <s v="Chakdah"/>
    <s v="User Not Mapped"/>
    <s v="User Not Mapped"/>
    <s v="User Not Mapped"/>
    <n v="1274577"/>
    <s v="MS RABIUL MONDAL"/>
    <s v="Private Retailer"/>
    <s v="9064793495"/>
    <n v="0.5"/>
    <n v="57"/>
    <x v="1"/>
    <m/>
    <s v="2026-03-01"/>
    <s v="281285"/>
    <s v="Bhabani Prosad Chattopadhy"/>
    <s v="7548026544"/>
  </r>
  <r>
    <s v="RCF Trombay"/>
    <s v="15-15-15"/>
    <s v="WB"/>
    <x v="15"/>
    <s v="Chakdah"/>
    <s v="User Not Mapped"/>
    <s v="User Not Mapped"/>
    <s v="User Not Mapped"/>
    <n v="1274577"/>
    <s v="MS RABIUL MONDAL"/>
    <s v="Private Retailer"/>
    <s v="9064793495"/>
    <n v="0.25"/>
    <n v="75"/>
    <x v="2"/>
    <m/>
    <s v="2026-02-11"/>
    <s v="281285"/>
    <s v="Bhabani Prosad Chattopadhy"/>
    <s v="7548026544"/>
  </r>
  <r>
    <s v="RCF Trombay"/>
    <s v="15-15-15"/>
    <s v="WB"/>
    <x v="15"/>
    <s v="Chakdah"/>
    <s v="User Not Mapped"/>
    <s v="User Not Mapped"/>
    <s v="User Not Mapped"/>
    <n v="1274577"/>
    <s v="MS RABIUL MONDAL"/>
    <s v="Private Retailer"/>
    <s v="9064793495"/>
    <n v="7.4999999999999997E-2"/>
    <n v="92"/>
    <x v="5"/>
    <m/>
    <s v="2026-01-25"/>
    <s v="281285"/>
    <s v="Bhabani Prosad Chattopadhy"/>
    <s v="7548026544"/>
  </r>
  <r>
    <s v="RCF Trombay"/>
    <s v="15-15-15"/>
    <s v="WB"/>
    <x v="15"/>
    <s v="Chakdah"/>
    <s v="User Not Mapped"/>
    <s v="User Not Mapped"/>
    <s v="User Not Mapped"/>
    <n v="1274577"/>
    <s v="MS RABIUL MONDAL"/>
    <s v="Private Retailer"/>
    <s v="9064793495"/>
    <n v="0.25"/>
    <n v="39"/>
    <x v="1"/>
    <m/>
    <s v="2026-03-19"/>
    <s v="260210"/>
    <s v="Gouri Sankar Kundu            "/>
    <s v="9064539774"/>
  </r>
  <r>
    <s v="RCF Import"/>
    <s v="MOP"/>
    <s v="WB"/>
    <x v="15"/>
    <s v="Chakdah"/>
    <s v="User Not Mapped"/>
    <s v="User Not Mapped"/>
    <s v="User Not Mapped"/>
    <n v="1274577"/>
    <s v="MS RABIUL MONDAL"/>
    <s v="Private Retailer"/>
    <s v="9064793495"/>
    <n v="7.0000000000000007E-2"/>
    <n v="43"/>
    <x v="1"/>
    <m/>
    <s v="2026-03-15"/>
    <s v="281285"/>
    <s v="Bhabani Prosad Chattopadhy"/>
    <s v="7548026544"/>
  </r>
  <r>
    <s v="RCF Import"/>
    <s v="Imp 10-26-26"/>
    <s v="WB"/>
    <x v="15"/>
    <s v="Chakdah"/>
    <s v="User Not Mapped"/>
    <s v="User Not Mapped"/>
    <s v="User Not Mapped"/>
    <n v="1274577"/>
    <s v="MS RABIUL MONDAL"/>
    <s v="Private Retailer"/>
    <s v="9064793495"/>
    <n v="0.15"/>
    <n v="43"/>
    <x v="1"/>
    <m/>
    <s v="2026-03-15"/>
    <s v="281285"/>
    <s v="Bhabani Prosad Chattopadhy"/>
    <s v="7548026544"/>
  </r>
  <r>
    <s v="RCF Trombay"/>
    <s v="15-15-15"/>
    <s v="WB"/>
    <x v="15"/>
    <s v="Chakdah"/>
    <s v="User Not Mapped"/>
    <s v="User Not Mapped"/>
    <s v="User Not Mapped"/>
    <n v="1274577"/>
    <s v="MS RABIUL MONDAL"/>
    <s v="Private Retailer"/>
    <s v="9064793495"/>
    <n v="0.25"/>
    <n v="43"/>
    <x v="1"/>
    <m/>
    <s v="2026-03-15"/>
    <s v="281285"/>
    <s v="Bhabani Prosad Chattopadhy"/>
    <s v="7548026544"/>
  </r>
  <r>
    <s v="RCF Import"/>
    <s v="MOP"/>
    <s v="WB"/>
    <x v="15"/>
    <s v="Chakdah"/>
    <s v="User Not Mapped"/>
    <s v="User Not Mapped"/>
    <s v="User Not Mapped"/>
    <n v="1325664"/>
    <s v="M/S MONDAL FERTILIZER AND PEST"/>
    <s v="Private Retailer"/>
    <s v="9064069522"/>
    <n v="1"/>
    <n v="59"/>
    <x v="1"/>
    <m/>
    <s v="2026-02-27"/>
    <s v="441419"/>
    <s v="M/S Namita Chanda"/>
    <s v="9775677020"/>
  </r>
  <r>
    <s v="RCF Trombay"/>
    <s v="15-15-15"/>
    <s v="WB"/>
    <x v="15"/>
    <s v="Chakdah"/>
    <s v="User Not Mapped"/>
    <s v="User Not Mapped"/>
    <s v="User Not Mapped"/>
    <n v="1396114"/>
    <s v="AMIT SAHA"/>
    <s v="Private Retailer"/>
    <s v="8617089224"/>
    <n v="3.6"/>
    <n v="60"/>
    <x v="1"/>
    <m/>
    <s v="2026-02-26"/>
    <s v="260177"/>
    <s v="SatyaRanjan Kundu and Brothers"/>
    <s v="7908186730"/>
  </r>
  <r>
    <s v="RCF Trombay"/>
    <s v="N.C.Urea(45kg)"/>
    <s v="WB"/>
    <x v="15"/>
    <s v="Chakdah"/>
    <s v="User Not Mapped"/>
    <s v="User Not Mapped"/>
    <s v="User Not Mapped"/>
    <n v="1396114"/>
    <s v="AMIT SAHA"/>
    <s v="Private Retailer"/>
    <s v="8617089224"/>
    <n v="0.40500000000000003"/>
    <n v="60"/>
    <x v="1"/>
    <m/>
    <s v="2026-02-26"/>
    <s v="260177"/>
    <s v="SatyaRanjan Kundu and Brothers"/>
    <s v="7908186730"/>
  </r>
  <r>
    <s v="RCF Import"/>
    <s v="MOP"/>
    <s v="WB"/>
    <x v="15"/>
    <s v="Chakdah"/>
    <s v="User Not Mapped"/>
    <s v="User Not Mapped"/>
    <s v="User Not Mapped"/>
    <n v="1396114"/>
    <s v="AMIT SAHA"/>
    <s v="Private Retailer"/>
    <s v="8617089224"/>
    <n v="4.6500000000000004"/>
    <n v="62"/>
    <x v="2"/>
    <m/>
    <s v="2026-02-24"/>
    <s v="260177"/>
    <s v="SatyaRanjan Kundu and Brothers"/>
    <s v="7908186730"/>
  </r>
  <r>
    <s v="RCF Trombay"/>
    <s v="15-15-15"/>
    <s v="WB"/>
    <x v="15"/>
    <s v="Chakdah"/>
    <s v="User Not Mapped"/>
    <s v="User Not Mapped"/>
    <s v="User Not Mapped"/>
    <n v="1444452"/>
    <s v="FERDOUSI FERTILIZER"/>
    <s v="Private Retailer"/>
    <s v="7866057055"/>
    <n v="0.1"/>
    <n v="145"/>
    <x v="0"/>
    <m/>
    <s v="2025-12-03"/>
    <s v="281285"/>
    <s v="Bhabani Prosad Chattopadhy"/>
    <s v="7548026544"/>
  </r>
  <r>
    <s v="RCF Trombay"/>
    <s v="15-15-15"/>
    <s v="WB"/>
    <x v="15"/>
    <s v="Chakdah"/>
    <s v="User Not Mapped"/>
    <s v="User Not Mapped"/>
    <s v="User Not Mapped"/>
    <n v="1444452"/>
    <s v="FERDOUSI FERTILIZER"/>
    <s v="Private Retailer"/>
    <s v="7866057055"/>
    <n v="0.15"/>
    <n v="173"/>
    <x v="0"/>
    <m/>
    <s v="2025-11-05"/>
    <s v="281285"/>
    <s v="Bhabani Prosad Chattopadhy"/>
    <s v="7548026544"/>
  </r>
  <r>
    <s v="RCF Import"/>
    <s v="MOP"/>
    <s v="WB"/>
    <x v="15"/>
    <s v="Chakdah"/>
    <s v="User Not Mapped"/>
    <s v="User Not Mapped"/>
    <s v="User Not Mapped"/>
    <n v="1444452"/>
    <s v="FERDOUSI FERTILIZER"/>
    <s v="Private Retailer"/>
    <s v="7866057055"/>
    <n v="0.1"/>
    <n v="43"/>
    <x v="1"/>
    <m/>
    <s v="2026-03-15"/>
    <s v="281285"/>
    <s v="Bhabani Prosad Chattopadhy"/>
    <s v="7548026544"/>
  </r>
  <r>
    <s v="RCF Trombay"/>
    <s v="N.C.Urea(45kg)"/>
    <s v="WB"/>
    <x v="15"/>
    <s v="Chakdah"/>
    <s v="User Not Mapped"/>
    <s v="User Not Mapped"/>
    <s v="User Not Mapped"/>
    <n v="1444452"/>
    <s v="FERDOUSI FERTILIZER"/>
    <s v="Private Retailer"/>
    <s v="7866057055"/>
    <n v="0.19"/>
    <n v="145"/>
    <x v="0"/>
    <m/>
    <s v="2025-12-03"/>
    <s v="281285"/>
    <s v="Bhabani Prosad Chattopadhy"/>
    <s v="7548026544"/>
  </r>
  <r>
    <s v="RCF Trombay"/>
    <s v="15-15-15"/>
    <s v="WB"/>
    <x v="15"/>
    <s v="Chakdah"/>
    <s v="User Not Mapped"/>
    <s v="User Not Mapped"/>
    <s v="User Not Mapped"/>
    <n v="1444452"/>
    <s v="FERDOUSI FERTILIZER"/>
    <s v="Private Retailer"/>
    <s v="7866057055"/>
    <n v="0.6"/>
    <n v="198"/>
    <x v="3"/>
    <m/>
    <s v="2025-10-11"/>
    <s v="281285"/>
    <s v="Bhabani Prosad Chattopadhy"/>
    <s v="7548026544"/>
  </r>
  <r>
    <s v="RCF Import"/>
    <s v="MOP"/>
    <s v="WB"/>
    <x v="15"/>
    <s v="Chakdah"/>
    <s v="User Not Mapped"/>
    <s v="User Not Mapped"/>
    <s v="User Not Mapped"/>
    <n v="1444452"/>
    <s v="FERDOUSI FERTILIZER"/>
    <s v="Private Retailer"/>
    <s v="7866057055"/>
    <n v="0.05"/>
    <n v="45"/>
    <x v="1"/>
    <m/>
    <s v="2026-03-13"/>
    <s v="281285"/>
    <s v="Bhabani Prosad Chattopadhy"/>
    <s v="7548026544"/>
  </r>
  <r>
    <s v="RCF Thal"/>
    <s v="N.C.Urea(45kg)"/>
    <s v="WB"/>
    <x v="15"/>
    <s v="Chakdah"/>
    <s v="User Not Mapped"/>
    <s v="User Not Mapped"/>
    <s v="User Not Mapped"/>
    <n v="1444452"/>
    <s v="FERDOUSI FERTILIZER"/>
    <s v="Private Retailer"/>
    <s v="7866057055"/>
    <n v="4.4999999999999998E-2"/>
    <n v="43"/>
    <x v="1"/>
    <m/>
    <s v="2026-03-15"/>
    <s v="281285"/>
    <s v="Bhabani Prosad Chattopadhy"/>
    <s v="7548026544"/>
  </r>
  <r>
    <s v="RCF Trombay"/>
    <s v="15-15-15"/>
    <s v="WB"/>
    <x v="15"/>
    <s v="Chakdah"/>
    <s v="User Not Mapped"/>
    <s v="User Not Mapped"/>
    <s v="User Not Mapped"/>
    <n v="1444452"/>
    <s v="FERDOUSI FERTILIZER"/>
    <s v="Private Retailer"/>
    <s v="7866057055"/>
    <n v="0.1"/>
    <n v="43"/>
    <x v="1"/>
    <m/>
    <s v="2026-03-15"/>
    <s v="281285"/>
    <s v="Bhabani Prosad Chattopadhy"/>
    <s v="7548026544"/>
  </r>
  <r>
    <s v="RCF Trombay"/>
    <s v="15-15-15"/>
    <s v="WB"/>
    <x v="15"/>
    <s v="Chakdah"/>
    <s v="User Not Mapped"/>
    <s v="User Not Mapped"/>
    <s v="User Not Mapped"/>
    <n v="1444452"/>
    <s v="FERDOUSI FERTILIZER"/>
    <s v="Private Retailer"/>
    <s v="7866057055"/>
    <n v="0.1"/>
    <n v="45"/>
    <x v="1"/>
    <m/>
    <s v="2026-03-13"/>
    <s v="281285"/>
    <s v="Bhabani Prosad Chattopadhy"/>
    <s v="7548026544"/>
  </r>
  <r>
    <s v="RCF Trombay"/>
    <s v="N.C.Urea(45kg)"/>
    <s v="WB"/>
    <x v="15"/>
    <s v="Chakdah"/>
    <s v="User Not Mapped"/>
    <s v="User Not Mapped"/>
    <s v="User Not Mapped"/>
    <n v="1480315"/>
    <s v="M/S ARIF FERTILIZER"/>
    <s v="Private Retailer"/>
    <s v="6294406409"/>
    <n v="0.18"/>
    <n v="222"/>
    <x v="3"/>
    <m/>
    <s v="2025-09-17"/>
    <s v="1043444"/>
    <s v="UMA RANI SAHA"/>
    <s v="9775414001"/>
  </r>
  <r>
    <s v="RCF Import"/>
    <s v="MOP"/>
    <s v="WB"/>
    <x v="15"/>
    <s v="Chakdah"/>
    <s v="User Not Mapped"/>
    <s v="User Not Mapped"/>
    <s v="User Not Mapped"/>
    <n v="1519462"/>
    <s v="SUJIT BISWAS"/>
    <s v="Private Retailer"/>
    <s v="9378350457"/>
    <n v="0.25"/>
    <n v="52"/>
    <x v="1"/>
    <m/>
    <s v="2026-03-06"/>
    <s v="260210"/>
    <s v="Gouri Sankar Kundu            "/>
    <s v="9064539774"/>
  </r>
  <r>
    <s v="RCF Import"/>
    <s v="Imp 10-26-26"/>
    <s v="WB"/>
    <x v="15"/>
    <s v="Chakdah"/>
    <s v="User Not Mapped"/>
    <s v="User Not Mapped"/>
    <s v="User Not Mapped"/>
    <n v="1519462"/>
    <s v="SUJIT BISWAS"/>
    <s v="Private Retailer"/>
    <s v="9378350457"/>
    <n v="0.25"/>
    <n v="292"/>
    <x v="3"/>
    <m/>
    <s v="2025-07-09"/>
    <s v="260210"/>
    <s v="Gouri Sankar Kundu            "/>
    <s v="9064539774"/>
  </r>
  <r>
    <s v="RCF Import"/>
    <s v="MOP"/>
    <s v="WB"/>
    <x v="15"/>
    <s v="Chakdah"/>
    <s v="User Not Mapped"/>
    <s v="User Not Mapped"/>
    <s v="User Not Mapped"/>
    <n v="1519462"/>
    <s v="SUJIT BISWAS"/>
    <s v="Private Retailer"/>
    <s v="9378350457"/>
    <n v="1"/>
    <n v="30"/>
    <x v="4"/>
    <m/>
    <s v="2026-03-28"/>
    <s v="260210"/>
    <s v="Gouri Sankar Kundu            "/>
    <s v="9064539774"/>
  </r>
  <r>
    <s v="RCF Import"/>
    <s v="Imp 10-26-26"/>
    <s v="WB"/>
    <x v="15"/>
    <s v="Chakdah"/>
    <s v="User Not Mapped"/>
    <s v="User Not Mapped"/>
    <s v="User Not Mapped"/>
    <n v="1519462"/>
    <s v="SUJIT BISWAS"/>
    <s v="Private Retailer"/>
    <s v="9378350457"/>
    <n v="0.25"/>
    <n v="21"/>
    <x v="4"/>
    <m/>
    <s v="2026-04-06"/>
    <s v="260210"/>
    <s v="Gouri Sankar Kundu            "/>
    <s v="9064539774"/>
  </r>
  <r>
    <s v="RCF Thal"/>
    <s v="N.C.Urea(45kg)"/>
    <s v="WB"/>
    <x v="15"/>
    <s v="Chakdah"/>
    <s v="User Not Mapped"/>
    <s v="User Not Mapped"/>
    <s v="User Not Mapped"/>
    <n v="1519462"/>
    <s v="SUJIT BISWAS"/>
    <s v="Private Retailer"/>
    <s v="9378350457"/>
    <n v="1.35"/>
    <n v="46"/>
    <x v="1"/>
    <m/>
    <s v="2026-03-12"/>
    <s v="260210"/>
    <s v="Gouri Sankar Kundu            "/>
    <s v="9064539774"/>
  </r>
  <r>
    <s v="RCF Import"/>
    <s v="MOP"/>
    <s v="WB"/>
    <x v="15"/>
    <s v="Chakdah"/>
    <s v="User Not Mapped"/>
    <s v="User Not Mapped"/>
    <s v="User Not Mapped"/>
    <n v="1519462"/>
    <s v="SUJIT BISWAS"/>
    <s v="Private Retailer"/>
    <s v="9378350457"/>
    <n v="1"/>
    <n v="44"/>
    <x v="1"/>
    <m/>
    <s v="2026-03-14"/>
    <s v="260210"/>
    <s v="Gouri Sankar Kundu            "/>
    <s v="9064539774"/>
  </r>
  <r>
    <s v="RCF Import"/>
    <s v="MOP"/>
    <s v="WB"/>
    <x v="15"/>
    <s v="Chakdah"/>
    <s v="User Not Mapped"/>
    <s v="User Not Mapped"/>
    <s v="User Not Mapped"/>
    <n v="1519462"/>
    <s v="SUJIT BISWAS"/>
    <s v="Private Retailer"/>
    <s v="9378350457"/>
    <n v="0.5"/>
    <n v="56"/>
    <x v="1"/>
    <m/>
    <s v="2026-03-02"/>
    <s v="260210"/>
    <s v="Gouri Sankar Kundu            "/>
    <s v="9064539774"/>
  </r>
  <r>
    <s v="RCF Trombay"/>
    <s v="N.C.Urea(45kg)"/>
    <s v="WB"/>
    <x v="15"/>
    <s v="Chakdah"/>
    <s v="User Not Mapped"/>
    <s v="User Not Mapped"/>
    <s v="User Not Mapped"/>
    <n v="1519462"/>
    <s v="SUJIT BISWAS"/>
    <s v="Private Retailer"/>
    <s v="9378350457"/>
    <n v="0.09"/>
    <n v="254"/>
    <x v="3"/>
    <m/>
    <s v="2025-08-16"/>
    <s v="1043444"/>
    <s v="UMA RANI SAHA"/>
    <s v="9775414001"/>
  </r>
  <r>
    <s v="RCF Trombay"/>
    <s v="15-15-15"/>
    <s v="WB"/>
    <x v="15"/>
    <s v="Chakdah"/>
    <s v="User Not Mapped"/>
    <s v="User Not Mapped"/>
    <s v="User Not Mapped"/>
    <n v="1519462"/>
    <s v="SUJIT BISWAS"/>
    <s v="Private Retailer"/>
    <s v="9378350457"/>
    <n v="1"/>
    <n v="254"/>
    <x v="3"/>
    <m/>
    <s v="2025-08-16"/>
    <s v="1043444"/>
    <s v="UMA RANI SAHA"/>
    <s v="9775414001"/>
  </r>
  <r>
    <s v="RCF Trombay"/>
    <s v="N.C.Urea(45kg)"/>
    <s v="WB"/>
    <x v="15"/>
    <s v="Chakdah"/>
    <s v="User Not Mapped"/>
    <s v="User Not Mapped"/>
    <s v="User Not Mapped"/>
    <n v="1538244"/>
    <s v="M/S SAFAR HOSSAIN"/>
    <s v="Private Retailer"/>
    <s v="9734860849"/>
    <n v="7.47"/>
    <n v="45"/>
    <x v="1"/>
    <m/>
    <s v="2026-03-13"/>
    <s v="260177"/>
    <s v="SatyaRanjan Kundu and Brothers"/>
    <s v="7908186730"/>
  </r>
  <r>
    <s v="RCF Trombay"/>
    <s v="15-15-15"/>
    <s v="WB"/>
    <x v="15"/>
    <s v="Chakdah"/>
    <s v="User Not Mapped"/>
    <s v="User Not Mapped"/>
    <s v="User Not Mapped"/>
    <n v="1538248"/>
    <s v="PURNIMA KRISHI BHANDAR"/>
    <s v="Private Retailer"/>
    <s v="7001095033"/>
    <n v="0.2"/>
    <n v="297"/>
    <x v="3"/>
    <m/>
    <s v="2025-07-04"/>
    <s v="260209"/>
    <s v="M/S SUNIL KUMAR SAHA       "/>
    <s v="9434110995"/>
  </r>
  <r>
    <s v="RCF Trombay"/>
    <s v="N.C.Urea(45kg)"/>
    <s v="WB"/>
    <x v="15"/>
    <s v="Chakdah"/>
    <s v="User Not Mapped"/>
    <s v="User Not Mapped"/>
    <s v="User Not Mapped"/>
    <n v="1538248"/>
    <s v="PURNIMA KRISHI BHANDAR"/>
    <s v="Private Retailer"/>
    <s v="7001095033"/>
    <n v="0.22500000000000001"/>
    <n v="226"/>
    <x v="3"/>
    <m/>
    <s v="2025-09-13"/>
    <s v="260209"/>
    <s v="M/S SUNIL KUMAR SAHA       "/>
    <s v="9434110995"/>
  </r>
  <r>
    <s v="RCF Trombay"/>
    <s v="15-15-15"/>
    <s v="WB"/>
    <x v="15"/>
    <s v="Chakdah"/>
    <s v="User Not Mapped"/>
    <s v="User Not Mapped"/>
    <s v="User Not Mapped"/>
    <n v="1538248"/>
    <s v="PURNIMA KRISHI BHANDAR"/>
    <s v="Private Retailer"/>
    <s v="7001095033"/>
    <n v="0.25"/>
    <n v="144"/>
    <x v="0"/>
    <m/>
    <s v="2025-12-04"/>
    <s v="260209"/>
    <s v="M/S SUNIL KUMAR SAHA       "/>
    <s v="9434110995"/>
  </r>
  <r>
    <s v="RCF Thal"/>
    <s v="N.C.Urea(45kg)"/>
    <s v="WB"/>
    <x v="15"/>
    <s v="Chakdah"/>
    <s v="User Not Mapped"/>
    <s v="User Not Mapped"/>
    <s v="User Not Mapped"/>
    <n v="1540539"/>
    <s v="M/S SUNIL KUMAR SAHA"/>
    <s v="Private Retailer"/>
    <s v="9434110995"/>
    <n v="1.35"/>
    <n v="10"/>
    <x v="4"/>
    <m/>
    <s v="2026-04-17"/>
    <s v="260209"/>
    <s v="M/S SUNIL KUMAR SAHA       "/>
    <s v="9434110995"/>
  </r>
  <r>
    <s v="RCF Import"/>
    <s v="Imp 10-26-26"/>
    <s v="WB"/>
    <x v="15"/>
    <s v="Chakdah"/>
    <s v="User Not Mapped"/>
    <s v="User Not Mapped"/>
    <s v="User Not Mapped"/>
    <n v="1540539"/>
    <s v="M/S SUNIL KUMAR SAHA"/>
    <s v="Private Retailer"/>
    <s v="9434110995"/>
    <n v="0.5"/>
    <n v="10"/>
    <x v="4"/>
    <m/>
    <s v="2026-04-17"/>
    <s v="260209"/>
    <s v="M/S SUNIL KUMAR SAHA       "/>
    <s v="9434110995"/>
  </r>
  <r>
    <s v="RCF Trombay"/>
    <s v="15-15-15"/>
    <s v="WB"/>
    <x v="15"/>
    <s v="Chakdah"/>
    <s v="User Not Mapped"/>
    <s v="User Not Mapped"/>
    <s v="User Not Mapped"/>
    <n v="1541139"/>
    <s v="MS REHAN FERTILIZER AN PESTICI"/>
    <s v="Private Retailer"/>
    <s v="7076117902"/>
    <n v="0.25"/>
    <n v="64"/>
    <x v="2"/>
    <m/>
    <s v="2026-02-22"/>
    <s v="260210"/>
    <s v="Gouri Sankar Kundu            "/>
    <s v="9064539774"/>
  </r>
  <r>
    <s v="RCF Thal"/>
    <s v="N.C.Urea(45kg)"/>
    <s v="WB"/>
    <x v="15"/>
    <s v="Chakdah"/>
    <s v="User Not Mapped"/>
    <s v="User Not Mapped"/>
    <s v="User Not Mapped"/>
    <n v="1541139"/>
    <s v="MS REHAN FERTILIZER AN PESTICI"/>
    <s v="Private Retailer"/>
    <s v="7076117902"/>
    <n v="0.67500000000000004"/>
    <n v="16"/>
    <x v="4"/>
    <m/>
    <s v="2026-04-11"/>
    <s v="260210"/>
    <s v="Gouri Sankar Kundu            "/>
    <s v="9064539774"/>
  </r>
  <r>
    <s v="RCF Import"/>
    <s v="Imp 10-26-26"/>
    <s v="WB"/>
    <x v="15"/>
    <s v="Chakdah"/>
    <s v="User Not Mapped"/>
    <s v="User Not Mapped"/>
    <s v="User Not Mapped"/>
    <n v="1541139"/>
    <s v="MS REHAN FERTILIZER AN PESTICI"/>
    <s v="Private Retailer"/>
    <s v="7076117902"/>
    <n v="0.15"/>
    <n v="16"/>
    <x v="4"/>
    <m/>
    <s v="2026-04-11"/>
    <s v="260210"/>
    <s v="Gouri Sankar Kundu            "/>
    <s v="9064539774"/>
  </r>
  <r>
    <s v="RCF Trombay"/>
    <s v="N.C.Urea(45kg)"/>
    <s v="WB"/>
    <x v="15"/>
    <s v="Chakdah"/>
    <s v="User Not Mapped"/>
    <s v="User Not Mapped"/>
    <s v="User Not Mapped"/>
    <n v="1541139"/>
    <s v="MS REHAN FERTILIZER AN PESTICI"/>
    <s v="Private Retailer"/>
    <s v="7076117902"/>
    <n v="0.45"/>
    <n v="64"/>
    <x v="2"/>
    <m/>
    <s v="2026-02-22"/>
    <s v="260210"/>
    <s v="Gouri Sankar Kundu            "/>
    <s v="9064539774"/>
  </r>
  <r>
    <s v="RCF Import"/>
    <s v="MOP"/>
    <s v="WB"/>
    <x v="15"/>
    <s v="Chakdah"/>
    <s v="User Not Mapped"/>
    <s v="User Not Mapped"/>
    <s v="User Not Mapped"/>
    <n v="1541139"/>
    <s v="MS REHAN FERTILIZER AN PESTICI"/>
    <s v="Private Retailer"/>
    <s v="7076117902"/>
    <n v="0.1"/>
    <n v="64"/>
    <x v="2"/>
    <m/>
    <s v="2026-02-22"/>
    <s v="260210"/>
    <s v="Gouri Sankar Kundu            "/>
    <s v="9064539774"/>
  </r>
  <r>
    <s v="RCF Import"/>
    <s v="Imp 10-26-26"/>
    <s v="WB"/>
    <x v="15"/>
    <s v="Chakdah"/>
    <s v="User Not Mapped"/>
    <s v="User Not Mapped"/>
    <s v="User Not Mapped"/>
    <n v="1541139"/>
    <s v="MS REHAN FERTILIZER AN PESTICI"/>
    <s v="Private Retailer"/>
    <s v="7076117902"/>
    <n v="0.15"/>
    <n v="184"/>
    <x v="3"/>
    <m/>
    <s v="2025-10-25"/>
    <s v="260210"/>
    <s v="Gouri Sankar Kundu            "/>
    <s v="9064539774"/>
  </r>
  <r>
    <s v="RCF Thal"/>
    <s v="N.C.Urea(45kg)"/>
    <s v="WB"/>
    <x v="15"/>
    <s v="Chakdah"/>
    <s v="User Not Mapped"/>
    <s v="User Not Mapped"/>
    <s v="User Not Mapped"/>
    <n v="1553884"/>
    <s v="M/S SHANKU MONDAL"/>
    <s v="Private Retailer"/>
    <s v="7872333513"/>
    <n v="2.97"/>
    <n v="202"/>
    <x v="3"/>
    <m/>
    <s v="2025-10-07"/>
    <s v="280729"/>
    <s v="M/s. Naresh Chandra Das"/>
    <s v="7365868045"/>
  </r>
  <r>
    <s v="RCF Thal"/>
    <s v="N.C.Urea(45kg)"/>
    <s v="WB"/>
    <x v="15"/>
    <s v="Chakdah"/>
    <s v="User Not Mapped"/>
    <s v="User Not Mapped"/>
    <s v="User Not Mapped"/>
    <n v="1553884"/>
    <s v="M/S SHANKU MONDAL"/>
    <s v="Private Retailer"/>
    <s v="7872333513"/>
    <n v="10.98"/>
    <n v="41"/>
    <x v="1"/>
    <m/>
    <s v="2026-03-17"/>
    <s v="260179"/>
    <s v="Tarun Kumar Saha"/>
    <s v="8116312974"/>
  </r>
  <r>
    <s v="RCF Thal"/>
    <s v="N.C.Urea(45kg)"/>
    <s v="WB"/>
    <x v="15"/>
    <s v="Chapra"/>
    <s v="User Not Mapped"/>
    <s v="User Not Mapped"/>
    <s v="User Not Mapped"/>
    <n v="225460"/>
    <s v="Nur Islam Molla"/>
    <s v="Private Retailer"/>
    <s v="7407364017"/>
    <n v="9.8000000000000007"/>
    <n v="23"/>
    <x v="4"/>
    <m/>
    <s v="2026-04-04"/>
    <s v="259034"/>
    <s v="MS Guha And Co"/>
    <s v="8695359505"/>
  </r>
  <r>
    <s v="RCF Thal"/>
    <s v="N.C.Urea(45kg)"/>
    <s v="WB"/>
    <x v="15"/>
    <s v="Chapra"/>
    <s v="User Not Mapped"/>
    <s v="User Not Mapped"/>
    <s v="User Not Mapped"/>
    <n v="243822"/>
    <s v="Bimal Kumar Kundu"/>
    <s v="Private Retailer"/>
    <s v="9732685190"/>
    <n v="1.8"/>
    <n v="18"/>
    <x v="4"/>
    <m/>
    <s v="2026-04-09"/>
    <s v="260177"/>
    <s v="SatyaRanjan Kundu and Brothers"/>
    <s v="7908186730"/>
  </r>
  <r>
    <s v="RCF Trombay"/>
    <s v="15-15-15"/>
    <s v="WB"/>
    <x v="15"/>
    <s v="Chapra"/>
    <s v="User Not Mapped"/>
    <s v="User Not Mapped"/>
    <s v="User Not Mapped"/>
    <n v="243822"/>
    <s v="Bimal Kumar Kundu"/>
    <s v="Private Retailer"/>
    <s v="9732685190"/>
    <n v="0.3"/>
    <n v="146"/>
    <x v="0"/>
    <m/>
    <s v="2025-12-02"/>
    <s v="260177"/>
    <s v="SatyaRanjan Kundu and Brothers"/>
    <s v="7908186730"/>
  </r>
  <r>
    <s v="RCF Trombay"/>
    <s v="15-15-15"/>
    <s v="WB"/>
    <x v="15"/>
    <s v="Chapra"/>
    <s v="User Not Mapped"/>
    <s v="User Not Mapped"/>
    <s v="User Not Mapped"/>
    <n v="323514"/>
    <s v="Naresh Das Sar Bhandar"/>
    <s v="Private Retailer"/>
    <s v="9002440769"/>
    <n v="0.1"/>
    <n v="178"/>
    <x v="0"/>
    <m/>
    <s v="2025-10-31"/>
    <s v="260177"/>
    <s v="SatyaRanjan Kundu and Brothers"/>
    <s v="7908186730"/>
  </r>
  <r>
    <s v="RCF Trombay"/>
    <s v="15-15-15"/>
    <s v="WB"/>
    <x v="15"/>
    <s v="Chapra"/>
    <s v="User Not Mapped"/>
    <s v="User Not Mapped"/>
    <s v="User Not Mapped"/>
    <n v="323514"/>
    <s v="Naresh Das Sar Bhandar"/>
    <s v="Private Retailer"/>
    <s v="9002440769"/>
    <n v="1.5"/>
    <n v="65"/>
    <x v="2"/>
    <m/>
    <s v="2026-02-21"/>
    <s v="260177"/>
    <s v="SatyaRanjan Kundu and Brothers"/>
    <s v="7908186730"/>
  </r>
  <r>
    <s v="RCF Thal"/>
    <s v="N.C.Urea(45kg)"/>
    <s v="WB"/>
    <x v="15"/>
    <s v="Chapra"/>
    <s v="User Not Mapped"/>
    <s v="User Not Mapped"/>
    <s v="User Not Mapped"/>
    <n v="323549"/>
    <s v="MS MONDAL FERTILIZER"/>
    <s v="Private Retailer"/>
    <s v="9732775277"/>
    <n v="9"/>
    <n v="21"/>
    <x v="4"/>
    <m/>
    <s v="2026-04-06"/>
    <s v="214222"/>
    <s v="Mahamaya Enterprise"/>
    <s v="8348217174"/>
  </r>
  <r>
    <s v="RCF Trombay"/>
    <s v="15-15-15"/>
    <s v="WB"/>
    <x v="15"/>
    <s v="Chapra"/>
    <s v="User Not Mapped"/>
    <s v="User Not Mapped"/>
    <s v="User Not Mapped"/>
    <n v="323580"/>
    <s v="BURIMA FERTILIZER"/>
    <s v="Private Retailer"/>
    <s v="9733722097"/>
    <n v="1.53"/>
    <n v="65"/>
    <x v="2"/>
    <m/>
    <s v="2026-02-21"/>
    <s v="260177"/>
    <s v="SatyaRanjan Kundu and Brothers"/>
    <s v="7908186730"/>
  </r>
  <r>
    <s v="RCF Trombay"/>
    <s v="15-15-15"/>
    <s v="WB"/>
    <x v="15"/>
    <s v="Chapra"/>
    <s v="User Not Mapped"/>
    <s v="User Not Mapped"/>
    <s v="User Not Mapped"/>
    <n v="341215"/>
    <s v="MS MA KALI FERTILIZER"/>
    <s v="Private Retailer"/>
    <s v="7585871157"/>
    <n v="0.5"/>
    <n v="39"/>
    <x v="1"/>
    <m/>
    <s v="2026-03-19"/>
    <s v="280729"/>
    <s v="M/s. Naresh Chandra Das"/>
    <s v="7365868045"/>
  </r>
  <r>
    <s v="RCF Import"/>
    <s v="MOP"/>
    <s v="WB"/>
    <x v="15"/>
    <s v="Chapra"/>
    <s v="User Not Mapped"/>
    <s v="User Not Mapped"/>
    <s v="User Not Mapped"/>
    <n v="341215"/>
    <s v="MS MA KALI FERTILIZER"/>
    <s v="Private Retailer"/>
    <s v="7585871157"/>
    <n v="0.75"/>
    <n v="39"/>
    <x v="1"/>
    <m/>
    <s v="2026-03-19"/>
    <s v="280729"/>
    <s v="M/s. Naresh Chandra Das"/>
    <s v="7365868045"/>
  </r>
  <r>
    <s v="RCF Trombay"/>
    <s v="N.C.Urea(45kg)"/>
    <s v="WB"/>
    <x v="15"/>
    <s v="Chapra"/>
    <s v="User Not Mapped"/>
    <s v="User Not Mapped"/>
    <s v="User Not Mapped"/>
    <n v="341215"/>
    <s v="MS MA KALI FERTILIZER"/>
    <s v="Private Retailer"/>
    <s v="7585871157"/>
    <n v="4.9950000000000001"/>
    <n v="39"/>
    <x v="1"/>
    <m/>
    <s v="2026-03-19"/>
    <s v="280729"/>
    <s v="M/s. Naresh Chandra Das"/>
    <s v="7365868045"/>
  </r>
  <r>
    <s v="RCF Trombay"/>
    <s v="N.C.Urea(45kg)"/>
    <s v="WB"/>
    <x v="15"/>
    <s v="Chapra"/>
    <s v="User Not Mapped"/>
    <s v="User Not Mapped"/>
    <s v="User Not Mapped"/>
    <n v="341215"/>
    <s v="MS MA KALI FERTILIZER"/>
    <s v="Private Retailer"/>
    <s v="7585871157"/>
    <n v="2.7"/>
    <n v="89"/>
    <x v="2"/>
    <m/>
    <s v="2026-01-28"/>
    <s v="280729"/>
    <s v="M/s. Naresh Chandra Das"/>
    <s v="7365868045"/>
  </r>
  <r>
    <s v="RCF Trombay"/>
    <s v="15-15-15"/>
    <s v="WB"/>
    <x v="15"/>
    <s v="Chapra"/>
    <s v="User Not Mapped"/>
    <s v="User Not Mapped"/>
    <s v="User Not Mapped"/>
    <n v="341371"/>
    <s v="MONDAL FERTILIZER"/>
    <s v="Private Retailer"/>
    <s v="9093964409"/>
    <n v="0.05"/>
    <n v="694"/>
    <x v="7"/>
    <m/>
    <s v="2024-06-02"/>
    <s v="260184"/>
    <s v="Bimal Kumar Kundu"/>
    <s v="9732685190"/>
  </r>
  <r>
    <s v="RCF Import"/>
    <s v="Imp 10-26-26"/>
    <s v="WB"/>
    <x v="15"/>
    <s v="Chapra"/>
    <s v="User Not Mapped"/>
    <s v="User Not Mapped"/>
    <s v="User Not Mapped"/>
    <n v="341686"/>
    <s v="Krishi Bhander"/>
    <s v="Private Retailer"/>
    <s v="9093735464"/>
    <n v="1"/>
    <n v="236"/>
    <x v="3"/>
    <m/>
    <s v="2025-09-03"/>
    <s v="260202"/>
    <s v="MS S K DUTTA"/>
    <s v="9832802581"/>
  </r>
  <r>
    <s v="RCF Trombay"/>
    <s v="15-15-15"/>
    <s v="WB"/>
    <x v="15"/>
    <s v="Chapra"/>
    <s v="User Not Mapped"/>
    <s v="User Not Mapped"/>
    <s v="User Not Mapped"/>
    <n v="341813"/>
    <s v="Mallick Fetilizer"/>
    <s v="Private Retailer"/>
    <s v="9153204422"/>
    <n v="0.8"/>
    <n v="63"/>
    <x v="2"/>
    <m/>
    <s v="2026-02-23"/>
    <s v="281284"/>
    <s v="Sadhan Kumar Ghosh"/>
    <s v="7602136568"/>
  </r>
  <r>
    <s v="RCF Import"/>
    <s v="MOP"/>
    <s v="WB"/>
    <x v="15"/>
    <s v="Chapra"/>
    <s v="User Not Mapped"/>
    <s v="User Not Mapped"/>
    <s v="User Not Mapped"/>
    <n v="341813"/>
    <s v="Mallick Fetilizer"/>
    <s v="Private Retailer"/>
    <s v="9153204422"/>
    <n v="4.6500000000000004"/>
    <n v="69"/>
    <x v="2"/>
    <m/>
    <s v="2026-02-17"/>
    <s v="281284"/>
    <s v="Sadhan Kumar Ghosh"/>
    <s v="7602136568"/>
  </r>
  <r>
    <s v="RCF Import"/>
    <s v="Imp 10-26-26"/>
    <s v="WB"/>
    <x v="15"/>
    <s v="Chapra"/>
    <s v="User Not Mapped"/>
    <s v="User Not Mapped"/>
    <s v="User Not Mapped"/>
    <n v="341813"/>
    <s v="Mallick Fetilizer"/>
    <s v="Private Retailer"/>
    <s v="9153204422"/>
    <n v="1.1499999999999999"/>
    <n v="53"/>
    <x v="1"/>
    <m/>
    <s v="2026-03-05"/>
    <s v="281284"/>
    <s v="Sadhan Kumar Ghosh"/>
    <s v="7602136568"/>
  </r>
  <r>
    <s v="RCF Thal"/>
    <s v="N.C.Urea(45kg)"/>
    <s v="WB"/>
    <x v="15"/>
    <s v="Chapra"/>
    <s v="User Not Mapped"/>
    <s v="User Not Mapped"/>
    <s v="User Not Mapped"/>
    <n v="356129"/>
    <s v="Sekh and Sons"/>
    <s v="Private Retailer"/>
    <s v="8509836692"/>
    <n v="2.2949999999999999"/>
    <n v="20"/>
    <x v="4"/>
    <m/>
    <s v="2026-04-07"/>
    <s v="281284"/>
    <s v="Sadhan Kumar Ghosh"/>
    <s v="7602136568"/>
  </r>
  <r>
    <s v="RCF Trombay"/>
    <s v="15-15-15"/>
    <s v="WB"/>
    <x v="15"/>
    <s v="Chapra"/>
    <s v="User Not Mapped"/>
    <s v="User Not Mapped"/>
    <s v="User Not Mapped"/>
    <n v="387423"/>
    <s v="Krishi Laxmi"/>
    <s v="Private Retailer"/>
    <s v="6294521849"/>
    <n v="3.25"/>
    <n v="143"/>
    <x v="0"/>
    <m/>
    <s v="2025-12-05"/>
    <s v="280729"/>
    <s v="M/s. Naresh Chandra Das"/>
    <s v="7365868045"/>
  </r>
  <r>
    <s v="RCF Trombay"/>
    <s v="15-15-15"/>
    <s v="WB"/>
    <x v="15"/>
    <s v="Chapra"/>
    <s v="User Not Mapped"/>
    <s v="User Not Mapped"/>
    <s v="User Not Mapped"/>
    <n v="417896"/>
    <s v="Shefali Sarkar"/>
    <s v="Private Retailer"/>
    <s v="9775546437"/>
    <n v="0.05"/>
    <n v="196"/>
    <x v="3"/>
    <m/>
    <s v="2025-10-13"/>
    <s v="549643"/>
    <s v="M/S RATAN BISWAS"/>
    <s v="8617364808"/>
  </r>
  <r>
    <s v="RCF Thal"/>
    <s v="N.C.Urea(45kg)"/>
    <s v="WB"/>
    <x v="15"/>
    <s v="Chapra"/>
    <s v="User Not Mapped"/>
    <s v="User Not Mapped"/>
    <s v="User Not Mapped"/>
    <n v="427118"/>
    <s v="Tapas Kumar Saha"/>
    <s v="Private Retailer"/>
    <s v="9735473804"/>
    <n v="9.7200000000000006"/>
    <n v="24"/>
    <x v="4"/>
    <m/>
    <s v="2026-04-03"/>
    <s v="280913"/>
    <s v="S.S.P Enterprise"/>
    <s v="9732669190"/>
  </r>
  <r>
    <s v="RCF Trombay"/>
    <s v="15-15-15"/>
    <s v="WB"/>
    <x v="15"/>
    <s v="Chapra"/>
    <s v="User Not Mapped"/>
    <s v="User Not Mapped"/>
    <s v="User Not Mapped"/>
    <n v="427118"/>
    <s v="Tapas Kumar Saha"/>
    <s v="Private Retailer"/>
    <s v="9735473804"/>
    <n v="0.75"/>
    <n v="220"/>
    <x v="3"/>
    <m/>
    <s v="2025-09-19"/>
    <s v="280913"/>
    <s v="S.S.P Enterprise"/>
    <s v="9732669190"/>
  </r>
  <r>
    <s v="RCF Trombay"/>
    <s v="N.C.Urea(45kg)"/>
    <s v="WB"/>
    <x v="15"/>
    <s v="Chapra"/>
    <s v="User Not Mapped"/>
    <s v="User Not Mapped"/>
    <s v="User Not Mapped"/>
    <n v="427118"/>
    <s v="Tapas Kumar Saha"/>
    <s v="Private Retailer"/>
    <s v="9735473804"/>
    <n v="0.67500000000000004"/>
    <n v="90"/>
    <x v="2"/>
    <m/>
    <s v="2026-01-27"/>
    <s v="259034"/>
    <s v="MS Guha And Co"/>
    <s v="8695359505"/>
  </r>
  <r>
    <s v="RCF Import"/>
    <s v="Imp 10-26-26"/>
    <s v="WB"/>
    <x v="15"/>
    <s v="Chapra"/>
    <s v="User Not Mapped"/>
    <s v="User Not Mapped"/>
    <s v="User Not Mapped"/>
    <n v="427120"/>
    <s v="Bishal Fertilizer"/>
    <s v="Private Retailer"/>
    <s v="8768165918"/>
    <n v="0.6"/>
    <n v="61"/>
    <x v="2"/>
    <m/>
    <s v="2026-02-25"/>
    <s v="269287"/>
    <s v="Gopal Krishna Kundu"/>
    <s v="9732644921"/>
  </r>
  <r>
    <s v="RCF Trombay"/>
    <s v="N.C.Urea(45kg)"/>
    <s v="WB"/>
    <x v="15"/>
    <s v="Chapra"/>
    <s v="User Not Mapped"/>
    <s v="User Not Mapped"/>
    <s v="User Not Mapped"/>
    <n v="437950"/>
    <s v="Mahaldar Fertilizer"/>
    <s v="Private Retailer"/>
    <s v="7699767343"/>
    <n v="2.835"/>
    <n v="62"/>
    <x v="2"/>
    <m/>
    <s v="2026-02-24"/>
    <s v="260178"/>
    <s v="M/s. Uttamendu Sarkar"/>
    <s v="9002483836"/>
  </r>
  <r>
    <s v="RCF Trombay"/>
    <s v="15-15-15"/>
    <s v="WB"/>
    <x v="15"/>
    <s v="Chapra"/>
    <s v="User Not Mapped"/>
    <s v="User Not Mapped"/>
    <s v="User Not Mapped"/>
    <n v="437962"/>
    <s v="SRI DURGA FERTILIZER"/>
    <s v="Private Retailer"/>
    <s v="9732988082"/>
    <n v="2.5"/>
    <n v="59"/>
    <x v="1"/>
    <m/>
    <s v="2026-02-27"/>
    <s v="260177"/>
    <s v="SatyaRanjan Kundu and Brothers"/>
    <s v="7908186730"/>
  </r>
  <r>
    <s v="RCF Trombay"/>
    <s v="15-15-15"/>
    <s v="WB"/>
    <x v="15"/>
    <s v="Chapra"/>
    <s v="User Not Mapped"/>
    <s v="User Not Mapped"/>
    <s v="User Not Mapped"/>
    <n v="438032"/>
    <s v="MS MONDAL FERTILIZER"/>
    <s v="Private Retailer"/>
    <s v="8001385486"/>
    <n v="2.5499999999999998"/>
    <n v="150"/>
    <x v="0"/>
    <m/>
    <s v="2025-11-28"/>
    <s v="280913"/>
    <s v="S.S.P Enterprise"/>
    <s v="9732669190"/>
  </r>
  <r>
    <s v="RCF Trombay"/>
    <s v="15-15-15"/>
    <s v="WB"/>
    <x v="15"/>
    <s v="Chapra"/>
    <s v="User Not Mapped"/>
    <s v="User Not Mapped"/>
    <s v="User Not Mapped"/>
    <n v="438032"/>
    <s v="MS MONDAL FERTILIZER"/>
    <s v="Private Retailer"/>
    <s v="8001385486"/>
    <n v="5"/>
    <n v="49"/>
    <x v="1"/>
    <m/>
    <s v="2026-03-09"/>
    <s v="342772"/>
    <s v="Subir Kumar Biswas"/>
    <s v="9932631270"/>
  </r>
  <r>
    <s v="RCF Trombay"/>
    <s v="15-15-15"/>
    <s v="WB"/>
    <x v="15"/>
    <s v="Chapra"/>
    <s v="User Not Mapped"/>
    <s v="User Not Mapped"/>
    <s v="User Not Mapped"/>
    <n v="438054"/>
    <s v="MS Halsana Fertilizer"/>
    <s v="Private Retailer"/>
    <s v="7602442045"/>
    <n v="1.75"/>
    <n v="90"/>
    <x v="2"/>
    <m/>
    <s v="2026-01-27"/>
    <s v="260179"/>
    <s v="Tarun Kumar Saha"/>
    <s v="8116312974"/>
  </r>
  <r>
    <s v="RCF Trombay"/>
    <s v="N.C.Urea(45kg)"/>
    <s v="WB"/>
    <x v="15"/>
    <s v="Chapra"/>
    <s v="User Not Mapped"/>
    <s v="User Not Mapped"/>
    <s v="User Not Mapped"/>
    <n v="439034"/>
    <s v="Mondal Fertilizer"/>
    <s v="Private Retailer"/>
    <s v="9547802484"/>
    <n v="1.2849999999999999"/>
    <n v="472"/>
    <x v="6"/>
    <m/>
    <s v="2025-01-10"/>
    <s v="260177"/>
    <s v="SatyaRanjan Kundu and Brothers"/>
    <s v="7908186730"/>
  </r>
  <r>
    <s v="RCF Import"/>
    <s v="MOP"/>
    <s v="WB"/>
    <x v="15"/>
    <s v="Chapra"/>
    <s v="User Not Mapped"/>
    <s v="User Not Mapped"/>
    <s v="User Not Mapped"/>
    <n v="439050"/>
    <s v="GARAI FERTILIZER"/>
    <s v="Private Retailer"/>
    <s v="9734467920"/>
    <n v="2.1"/>
    <n v="62"/>
    <x v="2"/>
    <m/>
    <s v="2026-02-24"/>
    <s v="260177"/>
    <s v="SatyaRanjan Kundu and Brothers"/>
    <s v="7908186730"/>
  </r>
  <r>
    <s v="RCF Trombay"/>
    <s v="15-15-15"/>
    <s v="WB"/>
    <x v="15"/>
    <s v="Chapra"/>
    <s v="User Not Mapped"/>
    <s v="User Not Mapped"/>
    <s v="User Not Mapped"/>
    <n v="439050"/>
    <s v="GARAI FERTILIZER"/>
    <s v="Private Retailer"/>
    <s v="9734467920"/>
    <n v="2.42"/>
    <n v="59"/>
    <x v="1"/>
    <m/>
    <s v="2026-02-27"/>
    <s v="260177"/>
    <s v="SatyaRanjan Kundu and Brothers"/>
    <s v="7908186730"/>
  </r>
  <r>
    <s v="RCF Trombay"/>
    <s v="N.C.Urea(45kg)"/>
    <s v="WB"/>
    <x v="15"/>
    <s v="Chapra"/>
    <s v="User Not Mapped"/>
    <s v="User Not Mapped"/>
    <s v="User Not Mapped"/>
    <n v="439360"/>
    <s v="MONDAL FERTILIZERS"/>
    <s v="Private Retailer"/>
    <s v="9832312899"/>
    <n v="1.62"/>
    <n v="93"/>
    <x v="5"/>
    <m/>
    <s v="2026-01-24"/>
    <s v="259034"/>
    <s v="MS Guha And Co"/>
    <s v="8695359505"/>
  </r>
  <r>
    <s v="RCF Trombay"/>
    <s v="N.C.Urea(45kg)"/>
    <s v="WB"/>
    <x v="15"/>
    <s v="Chapra"/>
    <s v="User Not Mapped"/>
    <s v="User Not Mapped"/>
    <s v="User Not Mapped"/>
    <n v="439374"/>
    <s v="Shaikh Fertilizer"/>
    <s v="Private Retailer"/>
    <s v="9932678483"/>
    <n v="0.72"/>
    <n v="364"/>
    <x v="3"/>
    <m/>
    <s v="2025-04-28"/>
    <s v="270129"/>
    <s v="Kalyan Kr. Nandi"/>
    <s v="8250914797"/>
  </r>
  <r>
    <s v="RCF Trombay"/>
    <s v="15-15-15"/>
    <s v="WB"/>
    <x v="15"/>
    <s v="Chapra"/>
    <s v="User Not Mapped"/>
    <s v="User Not Mapped"/>
    <s v="User Not Mapped"/>
    <n v="440446"/>
    <s v="Halder Fertilizer"/>
    <s v="Private Retailer"/>
    <s v="9734668006"/>
    <n v="4"/>
    <n v="59"/>
    <x v="1"/>
    <m/>
    <s v="2026-02-27"/>
    <s v="280729"/>
    <s v="M/s. Naresh Chandra Das"/>
    <s v="7365868045"/>
  </r>
  <r>
    <s v="RCF Trombay"/>
    <s v="15-15-15"/>
    <s v="WB"/>
    <x v="15"/>
    <s v="Chapra"/>
    <s v="User Not Mapped"/>
    <s v="User Not Mapped"/>
    <s v="User Not Mapped"/>
    <n v="440506"/>
    <s v="MS BHUMI LAXMI FERTILIZERS"/>
    <s v="Private Retailer"/>
    <s v="9382703922"/>
    <n v="0.65"/>
    <n v="72"/>
    <x v="2"/>
    <m/>
    <s v="2026-02-14"/>
    <s v="280729"/>
    <s v="M/s. Naresh Chandra Das"/>
    <s v="7365868045"/>
  </r>
  <r>
    <s v="RCF Trombay"/>
    <s v="N.C.Urea(45kg)"/>
    <s v="WB"/>
    <x v="15"/>
    <s v="Chapra"/>
    <s v="User Not Mapped"/>
    <s v="User Not Mapped"/>
    <s v="User Not Mapped"/>
    <n v="440506"/>
    <s v="MS BHUMI LAXMI FERTILIZERS"/>
    <s v="Private Retailer"/>
    <s v="9382703922"/>
    <n v="1.26"/>
    <n v="244"/>
    <x v="3"/>
    <m/>
    <s v="2025-08-26"/>
    <s v="260177"/>
    <s v="SatyaRanjan Kundu and Brothers"/>
    <s v="7908186730"/>
  </r>
  <r>
    <s v="RCF Thal"/>
    <s v="N.C.Urea(45kg)"/>
    <s v="WB"/>
    <x v="15"/>
    <s v="Chapra"/>
    <s v="User Not Mapped"/>
    <s v="User Not Mapped"/>
    <s v="User Not Mapped"/>
    <n v="440524"/>
    <s v="MAHATPUR FERTILIZER"/>
    <s v="Private Retailer"/>
    <s v="8972404740"/>
    <n v="6.6150000000000002"/>
    <n v="23"/>
    <x v="4"/>
    <m/>
    <s v="2026-04-04"/>
    <s v="270129"/>
    <s v="Kalyan Kr. Nandi"/>
    <s v="8250914797"/>
  </r>
  <r>
    <s v="RCF Import"/>
    <s v="MOP"/>
    <s v="WB"/>
    <x v="15"/>
    <s v="Chapra"/>
    <s v="User Not Mapped"/>
    <s v="User Not Mapped"/>
    <s v="User Not Mapped"/>
    <n v="440530"/>
    <s v="MS Garai Fertilizer"/>
    <s v="Private Retailer"/>
    <s v="9647082502"/>
    <n v="4.75"/>
    <n v="62"/>
    <x v="2"/>
    <m/>
    <s v="2026-02-24"/>
    <s v="260177"/>
    <s v="SatyaRanjan Kundu and Brothers"/>
    <s v="7908186730"/>
  </r>
  <r>
    <s v="RCF Trombay"/>
    <s v="N.C.Urea(45kg)"/>
    <s v="WB"/>
    <x v="15"/>
    <s v="Chapra"/>
    <s v="User Not Mapped"/>
    <s v="User Not Mapped"/>
    <s v="User Not Mapped"/>
    <n v="440530"/>
    <s v="MS Garai Fertilizer"/>
    <s v="Private Retailer"/>
    <s v="9647082502"/>
    <n v="4.9950000000000001"/>
    <n v="60"/>
    <x v="1"/>
    <m/>
    <s v="2026-02-26"/>
    <s v="260177"/>
    <s v="SatyaRanjan Kundu and Brothers"/>
    <s v="7908186730"/>
  </r>
  <r>
    <s v="RCF Trombay"/>
    <s v="15-15-15"/>
    <s v="WB"/>
    <x v="15"/>
    <s v="Chapra"/>
    <s v="User Not Mapped"/>
    <s v="User Not Mapped"/>
    <s v="User Not Mapped"/>
    <n v="440530"/>
    <s v="MS Garai Fertilizer"/>
    <s v="Private Retailer"/>
    <s v="9647082502"/>
    <n v="1.7"/>
    <n v="60"/>
    <x v="1"/>
    <m/>
    <s v="2026-02-26"/>
    <s v="260177"/>
    <s v="SatyaRanjan Kundu and Brothers"/>
    <s v="7908186730"/>
  </r>
  <r>
    <s v="RCF Trombay"/>
    <s v="15-15-15"/>
    <s v="WB"/>
    <x v="15"/>
    <s v="Chapra"/>
    <s v="User Not Mapped"/>
    <s v="User Not Mapped"/>
    <s v="User Not Mapped"/>
    <n v="440546"/>
    <s v="MAA LAXMI FERTILIZERS"/>
    <s v="Private Retailer"/>
    <s v="8101816052"/>
    <n v="0.8"/>
    <n v="170"/>
    <x v="0"/>
    <m/>
    <s v="2025-11-08"/>
    <s v="260177"/>
    <s v="SatyaRanjan Kundu and Brothers"/>
    <s v="7908186730"/>
  </r>
  <r>
    <s v="RCF Trombay"/>
    <s v="15-15-15"/>
    <s v="WB"/>
    <x v="15"/>
    <s v="Chapra"/>
    <s v="User Not Mapped"/>
    <s v="User Not Mapped"/>
    <s v="User Not Mapped"/>
    <n v="440590"/>
    <s v="Sujoy Ghosh"/>
    <s v="Private Retailer"/>
    <s v="9733763732"/>
    <n v="7.0000000000000007E-2"/>
    <n v="245"/>
    <x v="3"/>
    <m/>
    <s v="2025-08-25"/>
    <s v="260177"/>
    <s v="SatyaRanjan Kundu and Brothers"/>
    <s v="7908186730"/>
  </r>
  <r>
    <s v="RCF Thal"/>
    <s v="N.C.Urea(45kg)"/>
    <s v="WB"/>
    <x v="15"/>
    <s v="Chapra"/>
    <s v="User Not Mapped"/>
    <s v="User Not Mapped"/>
    <s v="User Not Mapped"/>
    <n v="440658"/>
    <s v="Abdul Mannan Shaikh"/>
    <s v="Private Retailer"/>
    <s v="8116281116"/>
    <n v="2.25"/>
    <n v="18"/>
    <x v="4"/>
    <m/>
    <s v="2026-04-09"/>
    <s v="260177"/>
    <s v="SatyaRanjan Kundu and Brothers"/>
    <s v="7908186730"/>
  </r>
  <r>
    <s v="RCF Thal"/>
    <s v="N.C.Urea(45kg)"/>
    <s v="WB"/>
    <x v="15"/>
    <s v="Chapra"/>
    <s v="User Not Mapped"/>
    <s v="User Not Mapped"/>
    <s v="User Not Mapped"/>
    <n v="440658"/>
    <s v="Abdul Mannan Shaikh"/>
    <s v="Private Retailer"/>
    <s v="8116281116"/>
    <n v="5.1749999999999998"/>
    <n v="20"/>
    <x v="4"/>
    <m/>
    <s v="2026-04-07"/>
    <s v="281284"/>
    <s v="Sadhan Kumar Ghosh"/>
    <s v="7602136568"/>
  </r>
  <r>
    <s v="RCF Import"/>
    <s v="Imp 10-26-26"/>
    <s v="WB"/>
    <x v="15"/>
    <s v="Chapra"/>
    <s v="User Not Mapped"/>
    <s v="User Not Mapped"/>
    <s v="User Not Mapped"/>
    <n v="440927"/>
    <s v="Sankar Kr Biswas"/>
    <s v="Private Retailer"/>
    <s v="9800154829"/>
    <n v="0.8"/>
    <n v="61"/>
    <x v="2"/>
    <m/>
    <s v="2026-02-25"/>
    <s v="269287"/>
    <s v="Gopal Krishna Kundu"/>
    <s v="9732644921"/>
  </r>
  <r>
    <s v="RCF Trombay"/>
    <s v="15-15-15"/>
    <s v="WB"/>
    <x v="15"/>
    <s v="Chapra"/>
    <s v="User Not Mapped"/>
    <s v="User Not Mapped"/>
    <s v="User Not Mapped"/>
    <n v="440927"/>
    <s v="Sankar Kr Biswas"/>
    <s v="Private Retailer"/>
    <s v="9800154829"/>
    <n v="1.75"/>
    <n v="93"/>
    <x v="5"/>
    <m/>
    <s v="2026-01-24"/>
    <s v="270129"/>
    <s v="Kalyan Kr. Nandi"/>
    <s v="8250914797"/>
  </r>
  <r>
    <s v="RCF Trombay"/>
    <s v="N.C.Urea(45kg)"/>
    <s v="WB"/>
    <x v="15"/>
    <s v="Chapra"/>
    <s v="User Not Mapped"/>
    <s v="User Not Mapped"/>
    <s v="User Not Mapped"/>
    <n v="440937"/>
    <s v="Rima Fertilizer"/>
    <s v="Private Retailer"/>
    <s v="9933090609"/>
    <n v="0.22500000000000001"/>
    <n v="146"/>
    <x v="0"/>
    <m/>
    <s v="2025-12-02"/>
    <s v="260177"/>
    <s v="SatyaRanjan Kundu and Brothers"/>
    <s v="7908186730"/>
  </r>
  <r>
    <s v="RCF Thal"/>
    <s v="N.C.Urea(45kg)"/>
    <s v="WB"/>
    <x v="15"/>
    <s v="Chapra"/>
    <s v="User Not Mapped"/>
    <s v="User Not Mapped"/>
    <s v="User Not Mapped"/>
    <n v="440943"/>
    <s v="Mosahab Kakka"/>
    <s v="Private Retailer"/>
    <s v="9635830363"/>
    <n v="2.25"/>
    <n v="18"/>
    <x v="4"/>
    <m/>
    <s v="2026-04-09"/>
    <s v="260177"/>
    <s v="SatyaRanjan Kundu and Brothers"/>
    <s v="7908186730"/>
  </r>
  <r>
    <s v="RCF Trombay"/>
    <s v="15-15-15"/>
    <s v="WB"/>
    <x v="15"/>
    <s v="Chapra"/>
    <s v="User Not Mapped"/>
    <s v="User Not Mapped"/>
    <s v="User Not Mapped"/>
    <n v="440963"/>
    <s v="MS MARUF FERTILIZER"/>
    <s v="Private Retailer"/>
    <s v="7029928848"/>
    <n v="0.95"/>
    <n v="166"/>
    <x v="0"/>
    <m/>
    <s v="2025-11-12"/>
    <s v="280729"/>
    <s v="M/s. Naresh Chandra Das"/>
    <s v="7365868045"/>
  </r>
  <r>
    <s v="RCF Trombay"/>
    <s v="N.C.Urea(45kg)"/>
    <s v="WB"/>
    <x v="15"/>
    <s v="Chapra"/>
    <s v="User Not Mapped"/>
    <s v="User Not Mapped"/>
    <s v="User Not Mapped"/>
    <n v="441477"/>
    <s v="MS KABIRUL FERTILIZERS"/>
    <s v="Private Retailer"/>
    <s v="9800892511"/>
    <n v="2.7"/>
    <n v="90"/>
    <x v="2"/>
    <m/>
    <s v="2026-01-27"/>
    <s v="260210"/>
    <s v="Gouri Sankar Kundu            "/>
    <s v="9064539774"/>
  </r>
  <r>
    <s v="RCF Trombay"/>
    <s v="15-15-15"/>
    <s v="WB"/>
    <x v="15"/>
    <s v="Chapra"/>
    <s v="User Not Mapped"/>
    <s v="User Not Mapped"/>
    <s v="User Not Mapped"/>
    <n v="441477"/>
    <s v="MS KABIRUL FERTILIZERS"/>
    <s v="Private Retailer"/>
    <s v="9800892511"/>
    <n v="8"/>
    <n v="199"/>
    <x v="3"/>
    <m/>
    <s v="2025-10-10"/>
    <s v="549643"/>
    <s v="M/S RATAN BISWAS"/>
    <s v="8617364808"/>
  </r>
  <r>
    <s v="RCF Trombay"/>
    <s v="15-15-15"/>
    <s v="WB"/>
    <x v="15"/>
    <s v="Chapra"/>
    <s v="User Not Mapped"/>
    <s v="User Not Mapped"/>
    <s v="User Not Mapped"/>
    <n v="441479"/>
    <s v="MS Debrata Biswas"/>
    <s v="Private Retailer"/>
    <s v="9735726465"/>
    <n v="1"/>
    <n v="67"/>
    <x v="2"/>
    <m/>
    <s v="2026-02-19"/>
    <s v="280729"/>
    <s v="M/s. Naresh Chandra Das"/>
    <s v="7365868045"/>
  </r>
  <r>
    <s v="RCF Trombay"/>
    <s v="15-15-15"/>
    <s v="WB"/>
    <x v="15"/>
    <s v="Chapra"/>
    <s v="User Not Mapped"/>
    <s v="User Not Mapped"/>
    <s v="User Not Mapped"/>
    <n v="441479"/>
    <s v="MS Debrata Biswas"/>
    <s v="Private Retailer"/>
    <s v="9735726465"/>
    <n v="5"/>
    <n v="59"/>
    <x v="1"/>
    <m/>
    <s v="2026-02-27"/>
    <s v="260177"/>
    <s v="SatyaRanjan Kundu and Brothers"/>
    <s v="7908186730"/>
  </r>
  <r>
    <s v="RCF Trombay"/>
    <s v="N.C.Urea(45kg)"/>
    <s v="WB"/>
    <x v="15"/>
    <s v="Chapra"/>
    <s v="User Not Mapped"/>
    <s v="User Not Mapped"/>
    <s v="User Not Mapped"/>
    <n v="441487"/>
    <s v="MS Rakhal Ch. Das"/>
    <s v="Private Retailer"/>
    <s v="8617445140"/>
    <n v="1.8"/>
    <n v="54"/>
    <x v="1"/>
    <m/>
    <s v="2026-03-04"/>
    <s v="260178"/>
    <s v="M/s. Uttamendu Sarkar"/>
    <s v="9002483836"/>
  </r>
  <r>
    <s v="RCF Import"/>
    <s v="MOP"/>
    <s v="WB"/>
    <x v="15"/>
    <s v="Chapra"/>
    <s v="User Not Mapped"/>
    <s v="User Not Mapped"/>
    <s v="User Not Mapped"/>
    <n v="488430"/>
    <s v="Shaikh Fertilizer"/>
    <s v="Private Retailer"/>
    <s v="9153018011"/>
    <n v="0.25"/>
    <n v="489"/>
    <x v="6"/>
    <m/>
    <s v="2024-12-24"/>
    <s v="1132412"/>
    <s v="M/S MLLICK FERTILIZER"/>
    <s v="9775925747"/>
  </r>
  <r>
    <s v="RCF Trombay"/>
    <s v="15-15-15"/>
    <s v="WB"/>
    <x v="15"/>
    <s v="Chapra"/>
    <s v="User Not Mapped"/>
    <s v="User Not Mapped"/>
    <s v="User Not Mapped"/>
    <n v="491717"/>
    <s v="Giyasuddin Sk"/>
    <s v="Private Retailer"/>
    <s v="8926920868"/>
    <n v="4.7"/>
    <n v="65"/>
    <x v="2"/>
    <m/>
    <s v="2026-02-21"/>
    <s v="259034"/>
    <s v="MS Guha And Co"/>
    <s v="8695359505"/>
  </r>
  <r>
    <s v="RCF Import"/>
    <s v="MOP"/>
    <s v="WB"/>
    <x v="15"/>
    <s v="Chapra"/>
    <s v="User Not Mapped"/>
    <s v="User Not Mapped"/>
    <s v="User Not Mapped"/>
    <n v="495570"/>
    <s v="Sobedar Hossain Mondal"/>
    <s v="Private Retailer"/>
    <s v="9563662543"/>
    <n v="0.5"/>
    <n v="61"/>
    <x v="2"/>
    <m/>
    <s v="2026-02-25"/>
    <s v="260178"/>
    <s v="M/s. Uttamendu Sarkar"/>
    <s v="9002483836"/>
  </r>
  <r>
    <s v="RCF Trombay"/>
    <s v="15-15-15"/>
    <s v="WB"/>
    <x v="15"/>
    <s v="Chapra"/>
    <s v="User Not Mapped"/>
    <s v="User Not Mapped"/>
    <s v="User Not Mapped"/>
    <n v="495570"/>
    <s v="Sobedar Hossain Mondal"/>
    <s v="Private Retailer"/>
    <s v="9563662543"/>
    <n v="1"/>
    <n v="76"/>
    <x v="2"/>
    <m/>
    <s v="2026-02-10"/>
    <s v="260178"/>
    <s v="M/s. Uttamendu Sarkar"/>
    <s v="9002483836"/>
  </r>
  <r>
    <s v="RCF Trombay"/>
    <s v="15-15-15"/>
    <s v="WB"/>
    <x v="15"/>
    <s v="Chapra"/>
    <s v="User Not Mapped"/>
    <s v="User Not Mapped"/>
    <s v="User Not Mapped"/>
    <n v="495570"/>
    <s v="Sobedar Hossain Mondal"/>
    <s v="Private Retailer"/>
    <s v="9563662543"/>
    <n v="0.65"/>
    <n v="175"/>
    <x v="0"/>
    <m/>
    <s v="2025-11-03"/>
    <s v="260178"/>
    <s v="M/s. Uttamendu Sarkar"/>
    <s v="9002483836"/>
  </r>
  <r>
    <s v="RCF Trombay"/>
    <s v="15-15-15"/>
    <s v="WB"/>
    <x v="15"/>
    <s v="Chapra"/>
    <s v="User Not Mapped"/>
    <s v="User Not Mapped"/>
    <s v="User Not Mapped"/>
    <n v="495570"/>
    <s v="Sobedar Hossain Mondal"/>
    <s v="Private Retailer"/>
    <s v="9563662543"/>
    <n v="0.5"/>
    <n v="61"/>
    <x v="2"/>
    <m/>
    <s v="2026-02-25"/>
    <s v="260178"/>
    <s v="M/s. Uttamendu Sarkar"/>
    <s v="9002483836"/>
  </r>
  <r>
    <s v="RCF Import"/>
    <s v="MOP"/>
    <s v="WB"/>
    <x v="15"/>
    <s v="Chapra"/>
    <s v="User Not Mapped"/>
    <s v="User Not Mapped"/>
    <s v="User Not Mapped"/>
    <n v="620244"/>
    <s v="SAHAR UDDIN MONDAL"/>
    <s v="Private Retailer"/>
    <s v="8159875454"/>
    <n v="0.05"/>
    <n v="481"/>
    <x v="6"/>
    <m/>
    <s v="2025-01-01"/>
    <s v="1132412"/>
    <s v="M/S MLLICK FERTILIZER"/>
    <s v="9775925747"/>
  </r>
  <r>
    <s v="RCF Thal"/>
    <s v="N.C.Urea(45kg)"/>
    <s v="WB"/>
    <x v="15"/>
    <s v="Chapra"/>
    <s v="User Not Mapped"/>
    <s v="User Not Mapped"/>
    <s v="User Not Mapped"/>
    <n v="630276"/>
    <s v="M/S ANISUR MAHALDER"/>
    <s v="Private Retailer"/>
    <s v="9641382332"/>
    <n v="0.94499999999999995"/>
    <n v="206"/>
    <x v="3"/>
    <m/>
    <s v="2025-10-03"/>
    <s v="260178"/>
    <s v="M/s. Uttamendu Sarkar"/>
    <s v="9002483836"/>
  </r>
  <r>
    <s v="RCF Thal"/>
    <s v="N.C.Urea(45kg)"/>
    <s v="WB"/>
    <x v="15"/>
    <s v="Chapra"/>
    <s v="User Not Mapped"/>
    <s v="User Not Mapped"/>
    <s v="User Not Mapped"/>
    <n v="630276"/>
    <s v="M/S ANISUR MAHALDER"/>
    <s v="Private Retailer"/>
    <s v="9641382332"/>
    <n v="5.49"/>
    <n v="48"/>
    <x v="1"/>
    <m/>
    <s v="2026-03-10"/>
    <s v="260178"/>
    <s v="M/s. Uttamendu Sarkar"/>
    <s v="9002483836"/>
  </r>
  <r>
    <s v="RCF Thal"/>
    <s v="N.C.Urea(45kg)"/>
    <s v="WB"/>
    <x v="15"/>
    <s v="Chapra"/>
    <s v="User Not Mapped"/>
    <s v="User Not Mapped"/>
    <s v="User Not Mapped"/>
    <n v="630276"/>
    <s v="M/S ANISUR MAHALDER"/>
    <s v="Private Retailer"/>
    <s v="9641382332"/>
    <n v="5.49"/>
    <n v="34"/>
    <x v="1"/>
    <m/>
    <s v="2026-03-24"/>
    <s v="260178"/>
    <s v="M/s. Uttamendu Sarkar"/>
    <s v="9002483836"/>
  </r>
  <r>
    <s v="RCF Trombay"/>
    <s v="N.C.Urea(45kg)"/>
    <s v="WB"/>
    <x v="15"/>
    <s v="Chapra"/>
    <s v="User Not Mapped"/>
    <s v="User Not Mapped"/>
    <s v="User Not Mapped"/>
    <n v="630276"/>
    <s v="M/S ANISUR MAHALDER"/>
    <s v="Private Retailer"/>
    <s v="9641382332"/>
    <n v="4.9950000000000001"/>
    <n v="62"/>
    <x v="2"/>
    <m/>
    <s v="2026-02-24"/>
    <s v="260178"/>
    <s v="M/s. Uttamendu Sarkar"/>
    <s v="9002483836"/>
  </r>
  <r>
    <s v="RCF Import"/>
    <s v="MOP"/>
    <s v="WB"/>
    <x v="15"/>
    <s v="Chapra"/>
    <s v="User Not Mapped"/>
    <s v="User Not Mapped"/>
    <s v="User Not Mapped"/>
    <n v="630276"/>
    <s v="M/S ANISUR MAHALDER"/>
    <s v="Private Retailer"/>
    <s v="9641382332"/>
    <n v="0.5"/>
    <n v="245"/>
    <x v="3"/>
    <m/>
    <s v="2025-08-25"/>
    <s v="260202"/>
    <s v="MS S K DUTTA"/>
    <s v="9832802581"/>
  </r>
  <r>
    <s v="RCF Trombay"/>
    <s v="15-15-15"/>
    <s v="WB"/>
    <x v="15"/>
    <s v="Chapra"/>
    <s v="User Not Mapped"/>
    <s v="User Not Mapped"/>
    <s v="User Not Mapped"/>
    <n v="759264"/>
    <s v="SHAIKH FERTILIZER"/>
    <s v="Private Retailer"/>
    <s v="7699494900"/>
    <n v="0.45"/>
    <n v="250"/>
    <x v="3"/>
    <m/>
    <s v="2025-08-20"/>
    <s v="280729"/>
    <s v="M/s. Naresh Chandra Das"/>
    <s v="7365868045"/>
  </r>
  <r>
    <s v="RCF Trombay"/>
    <s v="15-15-15"/>
    <s v="WB"/>
    <x v="15"/>
    <s v="Chapra"/>
    <s v="User Not Mapped"/>
    <s v="User Not Mapped"/>
    <s v="User Not Mapped"/>
    <n v="807122"/>
    <s v="LALTU FERTILIZER"/>
    <s v="Private Retailer"/>
    <s v="8343836925"/>
    <n v="0.05"/>
    <n v="2529"/>
    <x v="7"/>
    <m/>
    <s v="2019-05-25"/>
    <s v="389660"/>
    <s v="Sirajuddin Biswas"/>
    <s v="8641979947"/>
  </r>
  <r>
    <s v="RCF Trombay"/>
    <s v="15-15-15"/>
    <s v="WB"/>
    <x v="15"/>
    <s v="Chapra"/>
    <s v="User Not Mapped"/>
    <s v="User Not Mapped"/>
    <s v="User Not Mapped"/>
    <n v="836729"/>
    <s v="MONDAL FERTILIZER"/>
    <s v="Private Retailer"/>
    <s v="8768714218"/>
    <n v="0.25"/>
    <n v="585"/>
    <x v="7"/>
    <m/>
    <s v="2024-09-19"/>
    <s v="260184"/>
    <s v="Bimal Kumar Kundu"/>
    <s v="9732685190"/>
  </r>
  <r>
    <s v="RCF Trombay"/>
    <s v="15-15-15"/>
    <s v="WB"/>
    <x v="15"/>
    <s v="Chapra"/>
    <s v="User Not Mapped"/>
    <s v="User Not Mapped"/>
    <s v="User Not Mapped"/>
    <n v="836729"/>
    <s v="MONDAL FERTILIZER"/>
    <s v="Private Retailer"/>
    <s v="8768714218"/>
    <n v="1"/>
    <n v="576"/>
    <x v="7"/>
    <m/>
    <s v="2024-09-28"/>
    <s v="260184"/>
    <s v="Bimal Kumar Kundu"/>
    <s v="9732685190"/>
  </r>
  <r>
    <s v="RCF Trombay"/>
    <s v="15-15-15"/>
    <s v="WB"/>
    <x v="15"/>
    <s v="Chapra"/>
    <s v="User Not Mapped"/>
    <s v="User Not Mapped"/>
    <s v="User Not Mapped"/>
    <n v="836729"/>
    <s v="MONDAL FERTILIZER"/>
    <s v="Private Retailer"/>
    <s v="8768714218"/>
    <n v="0.3"/>
    <n v="604"/>
    <x v="7"/>
    <m/>
    <s v="2024-08-31"/>
    <s v="260184"/>
    <s v="Bimal Kumar Kundu"/>
    <s v="9732685190"/>
  </r>
  <r>
    <s v="RCF Trombay"/>
    <s v="15-15-15"/>
    <s v="WB"/>
    <x v="15"/>
    <s v="Chapra"/>
    <s v="User Not Mapped"/>
    <s v="User Not Mapped"/>
    <s v="User Not Mapped"/>
    <n v="888818"/>
    <s v="BISWAS FERTILIZER"/>
    <s v="Private Retailer"/>
    <s v="7318812133"/>
    <n v="1.7"/>
    <n v="181"/>
    <x v="3"/>
    <m/>
    <s v="2025-10-28"/>
    <s v="259034"/>
    <s v="MS Guha And Co"/>
    <s v="8695359505"/>
  </r>
  <r>
    <s v="RCF Trombay"/>
    <s v="N.C.Urea(45kg)"/>
    <s v="WB"/>
    <x v="15"/>
    <s v="Chapra"/>
    <s v="User Not Mapped"/>
    <s v="User Not Mapped"/>
    <s v="User Not Mapped"/>
    <n v="892265"/>
    <s v="SIDHARTHA BISWAS"/>
    <s v="Private Retailer"/>
    <s v="9153084316"/>
    <n v="4.9950000000000001"/>
    <n v="60"/>
    <x v="1"/>
    <m/>
    <s v="2026-02-26"/>
    <s v="260210"/>
    <s v="Gouri Sankar Kundu            "/>
    <s v="9064539774"/>
  </r>
  <r>
    <s v="RCF Trombay"/>
    <s v="15-15-15"/>
    <s v="WB"/>
    <x v="15"/>
    <s v="Chapra"/>
    <s v="User Not Mapped"/>
    <s v="User Not Mapped"/>
    <s v="User Not Mapped"/>
    <n v="892265"/>
    <s v="SIDHARTHA BISWAS"/>
    <s v="Private Retailer"/>
    <s v="9153084316"/>
    <n v="5"/>
    <n v="60"/>
    <x v="1"/>
    <m/>
    <s v="2026-02-26"/>
    <s v="260210"/>
    <s v="Gouri Sankar Kundu            "/>
    <s v="9064539774"/>
  </r>
  <r>
    <s v="RCF Thal"/>
    <s v="N.C.Urea(45kg)"/>
    <s v="WB"/>
    <x v="15"/>
    <s v="Chapra"/>
    <s v="User Not Mapped"/>
    <s v="User Not Mapped"/>
    <s v="User Not Mapped"/>
    <n v="892265"/>
    <s v="SIDHARTHA BISWAS"/>
    <s v="Private Retailer"/>
    <s v="9153084316"/>
    <n v="9.99"/>
    <n v="21"/>
    <x v="4"/>
    <m/>
    <s v="2026-04-06"/>
    <s v="260210"/>
    <s v="Gouri Sankar Kundu            "/>
    <s v="9064539774"/>
  </r>
  <r>
    <s v="RCF Trombay"/>
    <s v="15-15-15"/>
    <s v="WB"/>
    <x v="15"/>
    <s v="Chapra"/>
    <s v="User Not Mapped"/>
    <s v="User Not Mapped"/>
    <s v="User Not Mapped"/>
    <n v="892265"/>
    <s v="SIDHARTHA BISWAS"/>
    <s v="Private Retailer"/>
    <s v="9153084316"/>
    <n v="3.7"/>
    <n v="89"/>
    <x v="2"/>
    <m/>
    <s v="2026-01-28"/>
    <s v="260210"/>
    <s v="Gouri Sankar Kundu            "/>
    <s v="9064539774"/>
  </r>
  <r>
    <s v="RCF Thal"/>
    <s v="N.C.Urea(45kg)"/>
    <s v="WB"/>
    <x v="15"/>
    <s v="Chapra"/>
    <s v="User Not Mapped"/>
    <s v="User Not Mapped"/>
    <s v="User Not Mapped"/>
    <n v="892265"/>
    <s v="SIDHARTHA BISWAS"/>
    <s v="Private Retailer"/>
    <s v="9153084316"/>
    <n v="4.1849999999999996"/>
    <n v="213"/>
    <x v="3"/>
    <m/>
    <s v="2025-09-26"/>
    <s v="260210"/>
    <s v="Gouri Sankar Kundu            "/>
    <s v="9064539774"/>
  </r>
  <r>
    <s v="RCF Trombay"/>
    <s v="N.C.Urea(45kg)"/>
    <s v="WB"/>
    <x v="15"/>
    <s v="Chapra"/>
    <s v="User Not Mapped"/>
    <s v="User Not Mapped"/>
    <s v="User Not Mapped"/>
    <n v="892265"/>
    <s v="SIDHARTHA BISWAS"/>
    <s v="Private Retailer"/>
    <s v="9153084316"/>
    <n v="0.44500000000000001"/>
    <n v="90"/>
    <x v="2"/>
    <m/>
    <s v="2026-01-27"/>
    <s v="260210"/>
    <s v="Gouri Sankar Kundu            "/>
    <s v="9064539774"/>
  </r>
  <r>
    <s v="RCF Trombay"/>
    <s v="15-15-15"/>
    <s v="WB"/>
    <x v="15"/>
    <s v="Chapra"/>
    <s v="User Not Mapped"/>
    <s v="User Not Mapped"/>
    <s v="User Not Mapped"/>
    <n v="918260"/>
    <s v="MONDAL FERTILIZER"/>
    <s v="Private Retailer"/>
    <s v="7318761849"/>
    <n v="1.25"/>
    <n v="59"/>
    <x v="1"/>
    <m/>
    <s v="2026-02-27"/>
    <s v="260177"/>
    <s v="SatyaRanjan Kundu and Brothers"/>
    <s v="7908186730"/>
  </r>
  <r>
    <s v="RCF Trombay"/>
    <s v="15-15-15"/>
    <s v="WB"/>
    <x v="15"/>
    <s v="Chapra"/>
    <s v="User Not Mapped"/>
    <s v="User Not Mapped"/>
    <s v="User Not Mapped"/>
    <n v="918662"/>
    <s v="GHOSH FERTILIZER"/>
    <s v="Private Retailer"/>
    <s v="6295153079"/>
    <n v="9.5"/>
    <n v="62"/>
    <x v="2"/>
    <m/>
    <s v="2026-02-24"/>
    <s v="270129"/>
    <s v="Kalyan Kr. Nandi"/>
    <s v="8250914797"/>
  </r>
  <r>
    <s v="RCF Trombay"/>
    <s v="N.C.Urea(45kg)"/>
    <s v="WB"/>
    <x v="15"/>
    <s v="Chapra"/>
    <s v="User Not Mapped"/>
    <s v="User Not Mapped"/>
    <s v="User Not Mapped"/>
    <n v="919474"/>
    <s v="MANDAL FERTILIZER"/>
    <s v="Private Retailer"/>
    <s v="9932142435"/>
    <n v="1.44"/>
    <n v="240"/>
    <x v="3"/>
    <m/>
    <s v="2025-08-30"/>
    <s v="260202"/>
    <s v="MS S K DUTTA"/>
    <s v="9832802581"/>
  </r>
  <r>
    <s v="RCF Trombay"/>
    <s v="15-15-15"/>
    <s v="WB"/>
    <x v="15"/>
    <s v="Chapra"/>
    <s v="User Not Mapped"/>
    <s v="User Not Mapped"/>
    <s v="User Not Mapped"/>
    <n v="919844"/>
    <s v="M/S SUFAL KUMAR BISWAS"/>
    <s v="Private Retailer"/>
    <s v="9679719029"/>
    <n v="7.05"/>
    <n v="138"/>
    <x v="0"/>
    <m/>
    <s v="2025-12-10"/>
    <s v="260177"/>
    <s v="SatyaRanjan Kundu and Brothers"/>
    <s v="7908186730"/>
  </r>
  <r>
    <s v="RCF Trombay"/>
    <s v="15-15-15"/>
    <s v="WB"/>
    <x v="15"/>
    <s v="Chapra"/>
    <s v="User Not Mapped"/>
    <s v="User Not Mapped"/>
    <s v="User Not Mapped"/>
    <n v="930777"/>
    <s v="M/S ANANDAMAY GHOSH"/>
    <s v="Private Retailer"/>
    <s v="9064360639"/>
    <n v="12"/>
    <n v="27"/>
    <x v="4"/>
    <m/>
    <s v="2026-03-31"/>
    <s v="280732"/>
    <s v="M/S-MADHUSUDAN GHOSH"/>
    <s v="9434823432"/>
  </r>
  <r>
    <s v="RCF Trombay"/>
    <s v="15-15-15"/>
    <s v="WB"/>
    <x v="15"/>
    <s v="Chapra"/>
    <s v="User Not Mapped"/>
    <s v="User Not Mapped"/>
    <s v="User Not Mapped"/>
    <n v="930777"/>
    <s v="M/S ANANDAMAY GHOSH"/>
    <s v="Private Retailer"/>
    <s v="9064360639"/>
    <n v="11.2"/>
    <n v="79"/>
    <x v="2"/>
    <m/>
    <s v="2026-02-07"/>
    <s v="280732"/>
    <s v="M/S-MADHUSUDAN GHOSH"/>
    <s v="9434823432"/>
  </r>
  <r>
    <s v="RCF Thal"/>
    <s v="N.C.Urea(45kg)"/>
    <s v="WB"/>
    <x v="15"/>
    <s v="Chapra"/>
    <s v="User Not Mapped"/>
    <s v="User Not Mapped"/>
    <s v="User Not Mapped"/>
    <n v="940916"/>
    <s v="MONDAL FERTILIZER"/>
    <s v="Private Retailer"/>
    <s v="7364096939"/>
    <n v="4.7249999999999996"/>
    <n v="20"/>
    <x v="4"/>
    <m/>
    <s v="2026-04-07"/>
    <s v="281284"/>
    <s v="Sadhan Kumar Ghosh"/>
    <s v="7602136568"/>
  </r>
  <r>
    <s v="RCF Trombay"/>
    <s v="15-15-15"/>
    <s v="WB"/>
    <x v="15"/>
    <s v="Chapra"/>
    <s v="User Not Mapped"/>
    <s v="User Not Mapped"/>
    <s v="User Not Mapped"/>
    <n v="940924"/>
    <s v="MS DAYAL FERTILIZER"/>
    <s v="Private Retailer"/>
    <s v="8597071021"/>
    <n v="2"/>
    <n v="86"/>
    <x v="2"/>
    <m/>
    <s v="2026-01-31"/>
    <s v="280729"/>
    <s v="M/s. Naresh Chandra Das"/>
    <s v="7365868045"/>
  </r>
  <r>
    <s v="RCF Trombay"/>
    <s v="15-15-15"/>
    <s v="WB"/>
    <x v="15"/>
    <s v="Chapra"/>
    <s v="User Not Mapped"/>
    <s v="User Not Mapped"/>
    <s v="User Not Mapped"/>
    <n v="940924"/>
    <s v="MS DAYAL FERTILIZER"/>
    <s v="Private Retailer"/>
    <s v="8597071021"/>
    <n v="5.6"/>
    <n v="91"/>
    <x v="5"/>
    <m/>
    <s v="2026-01-26"/>
    <s v="549643"/>
    <s v="M/S RATAN BISWAS"/>
    <s v="8617364808"/>
  </r>
  <r>
    <s v="RCF Trombay"/>
    <s v="N.C.Urea(45kg)"/>
    <s v="WB"/>
    <x v="15"/>
    <s v="Chapra"/>
    <s v="User Not Mapped"/>
    <s v="User Not Mapped"/>
    <s v="User Not Mapped"/>
    <n v="940928"/>
    <s v="APON FERTILIZER"/>
    <s v="Private Retailer"/>
    <s v="9800238742"/>
    <n v="2.0150000000000001"/>
    <n v="206"/>
    <x v="3"/>
    <m/>
    <s v="2025-10-03"/>
    <s v="260177"/>
    <s v="SatyaRanjan Kundu and Brothers"/>
    <s v="7908186730"/>
  </r>
  <r>
    <s v="RCF Trombay"/>
    <s v="15-15-15"/>
    <s v="WB"/>
    <x v="15"/>
    <s v="Chapra"/>
    <s v="User Not Mapped"/>
    <s v="User Not Mapped"/>
    <s v="User Not Mapped"/>
    <n v="941032"/>
    <s v="BISWAS FERTILIZER"/>
    <s v="Private Retailer"/>
    <s v="9564288096"/>
    <n v="5"/>
    <n v="91"/>
    <x v="5"/>
    <m/>
    <s v="2026-01-26"/>
    <s v="280729"/>
    <s v="M/s. Naresh Chandra Das"/>
    <s v="7365868045"/>
  </r>
  <r>
    <s v="RCF Trombay"/>
    <s v="N.C.Urea(45kg)"/>
    <s v="WB"/>
    <x v="15"/>
    <s v="Chapra"/>
    <s v="User Not Mapped"/>
    <s v="User Not Mapped"/>
    <s v="User Not Mapped"/>
    <n v="941032"/>
    <s v="BISWAS FERTILIZER"/>
    <s v="Private Retailer"/>
    <s v="9564288096"/>
    <n v="9.99"/>
    <n v="62"/>
    <x v="2"/>
    <m/>
    <s v="2026-02-24"/>
    <s v="270129"/>
    <s v="Kalyan Kr. Nandi"/>
    <s v="8250914797"/>
  </r>
  <r>
    <s v="RCF Import"/>
    <s v="Imp 10-26-26"/>
    <s v="WB"/>
    <x v="15"/>
    <s v="Chapra"/>
    <s v="User Not Mapped"/>
    <s v="User Not Mapped"/>
    <s v="User Not Mapped"/>
    <n v="941032"/>
    <s v="BISWAS FERTILIZER"/>
    <s v="Private Retailer"/>
    <s v="9564288096"/>
    <n v="4.7"/>
    <n v="27"/>
    <x v="4"/>
    <m/>
    <s v="2026-03-31"/>
    <s v="259034"/>
    <s v="MS Guha And Co"/>
    <s v="8695359505"/>
  </r>
  <r>
    <s v="RCF Trombay"/>
    <s v="15-15-15"/>
    <s v="WB"/>
    <x v="15"/>
    <s v="Chapra"/>
    <s v="User Not Mapped"/>
    <s v="User Not Mapped"/>
    <s v="User Not Mapped"/>
    <n v="941032"/>
    <s v="BISWAS FERTILIZER"/>
    <s v="Private Retailer"/>
    <s v="9564288096"/>
    <n v="1.1000000000000001"/>
    <n v="181"/>
    <x v="3"/>
    <m/>
    <s v="2025-10-28"/>
    <s v="259034"/>
    <s v="MS Guha And Co"/>
    <s v="8695359505"/>
  </r>
  <r>
    <s v="RCF Trombay"/>
    <s v="N.C.Urea(45kg)"/>
    <s v="WB"/>
    <x v="15"/>
    <s v="Chapra"/>
    <s v="User Not Mapped"/>
    <s v="User Not Mapped"/>
    <s v="User Not Mapped"/>
    <n v="941032"/>
    <s v="BISWAS FERTILIZER"/>
    <s v="Private Retailer"/>
    <s v="9564288096"/>
    <n v="3.5550000000000002"/>
    <n v="91"/>
    <x v="5"/>
    <m/>
    <s v="2026-01-26"/>
    <s v="280729"/>
    <s v="M/s. Naresh Chandra Das"/>
    <s v="7365868045"/>
  </r>
  <r>
    <s v="RCF Trombay"/>
    <s v="15-15-15"/>
    <s v="WB"/>
    <x v="15"/>
    <s v="Chapra"/>
    <s v="User Not Mapped"/>
    <s v="User Not Mapped"/>
    <s v="User Not Mapped"/>
    <n v="941144"/>
    <s v="DEBNATH PAL"/>
    <s v="Private Retailer"/>
    <s v="8642047532"/>
    <n v="0.25"/>
    <n v="172"/>
    <x v="0"/>
    <m/>
    <s v="2025-11-06"/>
    <s v="549643"/>
    <s v="M/S RATAN BISWAS"/>
    <s v="8617364808"/>
  </r>
  <r>
    <s v="RCF Trombay"/>
    <s v="15-15-15"/>
    <s v="WB"/>
    <x v="15"/>
    <s v="Chapra"/>
    <s v="User Not Mapped"/>
    <s v="User Not Mapped"/>
    <s v="User Not Mapped"/>
    <n v="941260"/>
    <s v="ETI GHOSH"/>
    <s v="Private Retailer"/>
    <s v="6297538359"/>
    <n v="3"/>
    <n v="49"/>
    <x v="1"/>
    <m/>
    <s v="2026-03-09"/>
    <s v="280729"/>
    <s v="M/s. Naresh Chandra Das"/>
    <s v="7365868045"/>
  </r>
  <r>
    <s v="RCF Trombay"/>
    <s v="15-15-15"/>
    <s v="WB"/>
    <x v="15"/>
    <s v="Chapra"/>
    <s v="User Not Mapped"/>
    <s v="User Not Mapped"/>
    <s v="User Not Mapped"/>
    <n v="941274"/>
    <s v="SONALI FASAL "/>
    <s v="Private Retailer"/>
    <s v="9732853194"/>
    <n v="0.05"/>
    <n v="525"/>
    <x v="6"/>
    <m/>
    <s v="2024-11-18"/>
    <s v="260177"/>
    <s v="SatyaRanjan Kundu and Brothers"/>
    <s v="7908186730"/>
  </r>
  <r>
    <s v="RCF Trombay"/>
    <s v="15-15-15"/>
    <s v="WB"/>
    <x v="15"/>
    <s v="Chapra"/>
    <s v="User Not Mapped"/>
    <s v="User Not Mapped"/>
    <s v="User Not Mapped"/>
    <n v="941276"/>
    <s v="MS BISWAS FERTILIZER"/>
    <s v="Private Retailer"/>
    <s v="7364931499"/>
    <n v="0.45"/>
    <n v="178"/>
    <x v="0"/>
    <m/>
    <s v="2025-10-31"/>
    <s v="260177"/>
    <s v="SatyaRanjan Kundu and Brothers"/>
    <s v="7908186730"/>
  </r>
  <r>
    <s v="RCF Trombay"/>
    <s v="15-15-15"/>
    <s v="WB"/>
    <x v="15"/>
    <s v="Chapra"/>
    <s v="User Not Mapped"/>
    <s v="User Not Mapped"/>
    <s v="User Not Mapped"/>
    <n v="941276"/>
    <s v="MS BISWAS FERTILIZER"/>
    <s v="Private Retailer"/>
    <s v="7364931499"/>
    <n v="1.5"/>
    <n v="65"/>
    <x v="2"/>
    <m/>
    <s v="2026-02-21"/>
    <s v="260177"/>
    <s v="SatyaRanjan Kundu and Brothers"/>
    <s v="7908186730"/>
  </r>
  <r>
    <s v="RCF Trombay"/>
    <s v="N.C.Urea(45kg)"/>
    <s v="WB"/>
    <x v="15"/>
    <s v="Chapra"/>
    <s v="User Not Mapped"/>
    <s v="User Not Mapped"/>
    <s v="User Not Mapped"/>
    <n v="941440"/>
    <s v="MS TARA MA FERTILIZER"/>
    <s v="Private Retailer"/>
    <s v="9933571560"/>
    <n v="1.39"/>
    <n v="752"/>
    <x v="7"/>
    <m/>
    <s v="2024-04-05"/>
    <s v="260178"/>
    <s v="M/s. Uttamendu Sarkar"/>
    <s v="9002483836"/>
  </r>
  <r>
    <s v="RCF Thal"/>
    <s v="N.C.Urea(45kg)"/>
    <s v="WB"/>
    <x v="15"/>
    <s v="Chapra"/>
    <s v="User Not Mapped"/>
    <s v="User Not Mapped"/>
    <s v="User Not Mapped"/>
    <n v="941448"/>
    <s v="BILTU FERTILIZER"/>
    <s v="Private Retailer"/>
    <s v="8509111348"/>
    <n v="0.81"/>
    <n v="206"/>
    <x v="3"/>
    <m/>
    <s v="2025-10-03"/>
    <s v="260177"/>
    <s v="SatyaRanjan Kundu and Brothers"/>
    <s v="7908186730"/>
  </r>
  <r>
    <s v="RCF Trombay"/>
    <s v="15-15-15"/>
    <s v="WB"/>
    <x v="15"/>
    <s v="Chapra"/>
    <s v="User Not Mapped"/>
    <s v="User Not Mapped"/>
    <s v="User Not Mapped"/>
    <n v="942007"/>
    <s v="MONDAL FERTILIZER"/>
    <s v="Private Retailer"/>
    <s v="9734087491"/>
    <n v="0.3"/>
    <n v="1234"/>
    <x v="7"/>
    <m/>
    <s v="2022-12-10"/>
    <s v="1132412"/>
    <s v="M/S MLLICK FERTILIZER"/>
    <s v="9775925747"/>
  </r>
  <r>
    <s v="RCF Trombay"/>
    <s v="N.C.Urea(45kg)"/>
    <s v="WB"/>
    <x v="15"/>
    <s v="Chapra"/>
    <s v="User Not Mapped"/>
    <s v="User Not Mapped"/>
    <s v="User Not Mapped"/>
    <n v="1008772"/>
    <s v="MS SADHUKHAN FERTILIZER"/>
    <s v="Private Retailer"/>
    <s v="9064141107"/>
    <n v="2.25"/>
    <n v="54"/>
    <x v="1"/>
    <m/>
    <s v="2026-03-04"/>
    <s v="260177"/>
    <s v="SatyaRanjan Kundu and Brothers"/>
    <s v="7908186730"/>
  </r>
  <r>
    <s v="RCF Import"/>
    <s v="Imp 10-26-26"/>
    <s v="WB"/>
    <x v="15"/>
    <s v="Chapra"/>
    <s v="User Not Mapped"/>
    <s v="User Not Mapped"/>
    <s v="User Not Mapped"/>
    <n v="1022868"/>
    <s v="MADON MOHAN GARAI"/>
    <s v="Private Retailer"/>
    <s v="9233043453"/>
    <n v="0.9"/>
    <n v="61"/>
    <x v="2"/>
    <m/>
    <s v="2026-02-25"/>
    <s v="269287"/>
    <s v="Gopal Krishna Kundu"/>
    <s v="9732644921"/>
  </r>
  <r>
    <s v="RCF Thal"/>
    <s v="N.C.Urea(45kg)"/>
    <s v="WB"/>
    <x v="15"/>
    <s v="Chapra"/>
    <s v="User Not Mapped"/>
    <s v="User Not Mapped"/>
    <s v="User Not Mapped"/>
    <n v="1022868"/>
    <s v="MADON MOHAN GARAI"/>
    <s v="Private Retailer"/>
    <s v="9233043453"/>
    <n v="2.4750000000000001"/>
    <n v="20"/>
    <x v="4"/>
    <m/>
    <s v="2026-04-07"/>
    <s v="281284"/>
    <s v="Sadhan Kumar Ghosh"/>
    <s v="7602136568"/>
  </r>
  <r>
    <s v="RCF Trombay"/>
    <s v="15-15-15"/>
    <s v="WB"/>
    <x v="15"/>
    <s v="Chapra"/>
    <s v="User Not Mapped"/>
    <s v="User Not Mapped"/>
    <s v="User Not Mapped"/>
    <n v="1022868"/>
    <s v="MADON MOHAN GARAI"/>
    <s v="Private Retailer"/>
    <s v="9233043453"/>
    <n v="1.5"/>
    <n v="90"/>
    <x v="2"/>
    <m/>
    <s v="2026-01-27"/>
    <s v="260179"/>
    <s v="Tarun Kumar Saha"/>
    <s v="8116312974"/>
  </r>
  <r>
    <s v="RCF Trombay"/>
    <s v="15-15-15"/>
    <s v="WB"/>
    <x v="15"/>
    <s v="Chapra"/>
    <s v="User Not Mapped"/>
    <s v="User Not Mapped"/>
    <s v="User Not Mapped"/>
    <n v="1051205"/>
    <s v="Shaikh fertilizer"/>
    <s v="Private Retailer"/>
    <s v="9735341891"/>
    <n v="2.65"/>
    <n v="93"/>
    <x v="5"/>
    <m/>
    <s v="2026-01-24"/>
    <s v="259034"/>
    <s v="MS Guha And Co"/>
    <s v="8695359505"/>
  </r>
  <r>
    <s v="RCF Trombay"/>
    <s v="15-15-15"/>
    <s v="WB"/>
    <x v="15"/>
    <s v="Chapra"/>
    <s v="User Not Mapped"/>
    <s v="User Not Mapped"/>
    <s v="User Not Mapped"/>
    <n v="1051585"/>
    <s v="MONDAL FERTILIZER"/>
    <s v="Private Retailer"/>
    <s v="8597432313"/>
    <n v="9.6"/>
    <n v="72"/>
    <x v="2"/>
    <m/>
    <s v="2026-02-14"/>
    <s v="549643"/>
    <s v="M/S RATAN BISWAS"/>
    <s v="8617364808"/>
  </r>
  <r>
    <s v="RCF Thal"/>
    <s v="N.C.Urea(45kg)"/>
    <s v="WB"/>
    <x v="15"/>
    <s v="Chapra"/>
    <s v="User Not Mapped"/>
    <s v="User Not Mapped"/>
    <s v="User Not Mapped"/>
    <n v="1051585"/>
    <s v="MONDAL FERTILIZER"/>
    <s v="Private Retailer"/>
    <s v="8597432313"/>
    <n v="9.8149999999999995"/>
    <n v="20"/>
    <x v="4"/>
    <m/>
    <s v="2026-04-07"/>
    <s v="260178"/>
    <s v="M/s. Uttamendu Sarkar"/>
    <s v="9002483836"/>
  </r>
  <r>
    <s v="RCF Trombay"/>
    <s v="N.C.Urea(45kg)"/>
    <s v="WB"/>
    <x v="15"/>
    <s v="Chapra"/>
    <s v="User Not Mapped"/>
    <s v="User Not Mapped"/>
    <s v="User Not Mapped"/>
    <n v="1059602"/>
    <s v="MONDAL FERTILIZER PROP SADAR A"/>
    <s v="Private Retailer"/>
    <s v="6294254573"/>
    <n v="4.5"/>
    <n v="515"/>
    <x v="6"/>
    <m/>
    <s v="2024-11-28"/>
    <s v="280729"/>
    <s v="M/s. Naresh Chandra Das"/>
    <s v="7365868045"/>
  </r>
  <r>
    <s v="RCF Trombay"/>
    <s v="15-15-15"/>
    <s v="WB"/>
    <x v="15"/>
    <s v="Chapra"/>
    <s v="User Not Mapped"/>
    <s v="User Not Mapped"/>
    <s v="User Not Mapped"/>
    <n v="1059602"/>
    <s v="MONDAL FERTILIZER PROP SADAR A"/>
    <s v="Private Retailer"/>
    <s v="6294254573"/>
    <n v="1.65"/>
    <n v="515"/>
    <x v="6"/>
    <m/>
    <s v="2024-11-28"/>
    <s v="280729"/>
    <s v="M/s. Naresh Chandra Das"/>
    <s v="7365868045"/>
  </r>
  <r>
    <s v="RCF Trombay"/>
    <s v="N.C.Urea(45kg)"/>
    <s v="WB"/>
    <x v="15"/>
    <s v="Chapra"/>
    <s v="User Not Mapped"/>
    <s v="User Not Mapped"/>
    <s v="User Not Mapped"/>
    <n v="1062933"/>
    <s v="SOHANA FERTILIZER"/>
    <s v="Private Retailer"/>
    <s v="7076115427"/>
    <n v="1.35"/>
    <n v="636"/>
    <x v="7"/>
    <m/>
    <s v="2024-07-30"/>
    <s v="280729"/>
    <s v="M/s. Naresh Chandra Das"/>
    <s v="7365868045"/>
  </r>
  <r>
    <s v="RCF Trombay"/>
    <s v="15-15-15"/>
    <s v="WB"/>
    <x v="15"/>
    <s v="Chapra"/>
    <s v="User Not Mapped"/>
    <s v="User Not Mapped"/>
    <s v="User Not Mapped"/>
    <n v="1062935"/>
    <s v="GHOSH FERTILIZER"/>
    <s v="Private Retailer"/>
    <s v="8972507624"/>
    <n v="1.35"/>
    <n v="59"/>
    <x v="1"/>
    <m/>
    <s v="2026-02-27"/>
    <s v="280729"/>
    <s v="M/s. Naresh Chandra Das"/>
    <s v="7365868045"/>
  </r>
  <r>
    <s v="RCF Trombay"/>
    <s v="N.C.Urea(45kg)"/>
    <s v="WB"/>
    <x v="15"/>
    <s v="Chapra"/>
    <s v="User Not Mapped"/>
    <s v="User Not Mapped"/>
    <s v="User Not Mapped"/>
    <n v="1062935"/>
    <s v="GHOSH FERTILIZER"/>
    <s v="Private Retailer"/>
    <s v="8972507624"/>
    <n v="0.13500000000000001"/>
    <n v="65"/>
    <x v="2"/>
    <m/>
    <s v="2026-02-21"/>
    <s v="260177"/>
    <s v="SatyaRanjan Kundu and Brothers"/>
    <s v="7908186730"/>
  </r>
  <r>
    <s v="RCF Trombay"/>
    <s v="15-15-15"/>
    <s v="WB"/>
    <x v="15"/>
    <s v="Chapra"/>
    <s v="User Not Mapped"/>
    <s v="User Not Mapped"/>
    <s v="User Not Mapped"/>
    <n v="1062955"/>
    <s v="Biswas Fertilizer"/>
    <s v="Private Retailer"/>
    <s v="9800199336"/>
    <n v="3.5"/>
    <n v="93"/>
    <x v="5"/>
    <m/>
    <s v="2026-01-24"/>
    <s v="259034"/>
    <s v="MS Guha And Co"/>
    <s v="8695359505"/>
  </r>
  <r>
    <s v="RCF Trombay"/>
    <s v="15-15-15"/>
    <s v="WB"/>
    <x v="15"/>
    <s v="Chapra"/>
    <s v="User Not Mapped"/>
    <s v="User Not Mapped"/>
    <s v="User Not Mapped"/>
    <n v="1062967"/>
    <s v="MONDAL FERTILIZER"/>
    <s v="Private Retailer"/>
    <s v="9734584828"/>
    <n v="0.35"/>
    <n v="242"/>
    <x v="3"/>
    <m/>
    <s v="2025-08-28"/>
    <s v="281284"/>
    <s v="Sadhan Kumar Ghosh"/>
    <s v="7602136568"/>
  </r>
  <r>
    <s v="RCF Import"/>
    <s v="MOP"/>
    <s v="WB"/>
    <x v="15"/>
    <s v="Chapra"/>
    <s v="User Not Mapped"/>
    <s v="User Not Mapped"/>
    <s v="User Not Mapped"/>
    <n v="1063015"/>
    <s v="MANOJ KUMAR MONDAL"/>
    <s v="Private Retailer"/>
    <s v="7797475920"/>
    <n v="7.3"/>
    <n v="40"/>
    <x v="1"/>
    <m/>
    <s v="2026-03-18"/>
    <s v="280729"/>
    <s v="M/s. Naresh Chandra Das"/>
    <s v="7365868045"/>
  </r>
  <r>
    <s v="RCF Trombay"/>
    <s v="15-15-15"/>
    <s v="WB"/>
    <x v="15"/>
    <s v="Chapra"/>
    <s v="User Not Mapped"/>
    <s v="User Not Mapped"/>
    <s v="User Not Mapped"/>
    <n v="1063021"/>
    <s v="BISWAS FERTILIZER"/>
    <s v="Private Retailer"/>
    <s v="9733075231"/>
    <n v="1.4999999999999999E-2"/>
    <n v="1249"/>
    <x v="7"/>
    <m/>
    <s v="2022-11-25"/>
    <s v="280729"/>
    <s v="M/s. Naresh Chandra Das"/>
    <s v="7365868045"/>
  </r>
  <r>
    <s v="RCF Thal"/>
    <s v="N.C.Urea(45kg)"/>
    <s v="WB"/>
    <x v="15"/>
    <s v="Chapra"/>
    <s v="User Not Mapped"/>
    <s v="User Not Mapped"/>
    <s v="User Not Mapped"/>
    <n v="1063021"/>
    <s v="BISWAS FERTILIZER"/>
    <s v="Private Retailer"/>
    <s v="9733075231"/>
    <n v="5.0000000000000001E-3"/>
    <n v="1249"/>
    <x v="7"/>
    <m/>
    <s v="2022-11-25"/>
    <s v="280729"/>
    <s v="M/s. Naresh Chandra Das"/>
    <s v="7365868045"/>
  </r>
  <r>
    <s v="RCF Trombay"/>
    <s v="15-15-15"/>
    <s v="WB"/>
    <x v="15"/>
    <s v="Chapra"/>
    <s v="User Not Mapped"/>
    <s v="User Not Mapped"/>
    <s v="User Not Mapped"/>
    <n v="1063021"/>
    <s v="BISWAS FERTILIZER"/>
    <s v="Private Retailer"/>
    <s v="9733075231"/>
    <n v="1.5"/>
    <n v="223"/>
    <x v="3"/>
    <m/>
    <s v="2025-09-16"/>
    <s v="280729"/>
    <s v="M/s. Naresh Chandra Das"/>
    <s v="7365868045"/>
  </r>
  <r>
    <s v="RCF Thal"/>
    <s v="N.C.Urea(45kg)"/>
    <s v="WB"/>
    <x v="15"/>
    <s v="Chapra"/>
    <s v="User Not Mapped"/>
    <s v="User Not Mapped"/>
    <s v="User Not Mapped"/>
    <n v="1063032"/>
    <s v="BIJALI FERTILIZER"/>
    <s v="Private Retailer"/>
    <s v="9732531884"/>
    <n v="0.122"/>
    <n v="206"/>
    <x v="3"/>
    <m/>
    <s v="2025-10-03"/>
    <s v="260177"/>
    <s v="SatyaRanjan Kundu and Brothers"/>
    <s v="7908186730"/>
  </r>
  <r>
    <s v="RCF Thal"/>
    <s v="N.C.Urea(45kg)"/>
    <s v="WB"/>
    <x v="15"/>
    <s v="Chapra"/>
    <s v="User Not Mapped"/>
    <s v="User Not Mapped"/>
    <s v="User Not Mapped"/>
    <n v="1063040"/>
    <s v="MOLLA FERTILIZER"/>
    <s v="Private Retailer"/>
    <s v="8609229046"/>
    <n v="0.18"/>
    <n v="202"/>
    <x v="3"/>
    <m/>
    <s v="2025-10-07"/>
    <s v="260177"/>
    <s v="SatyaRanjan Kundu and Brothers"/>
    <s v="7908186730"/>
  </r>
  <r>
    <s v="RCF Trombay"/>
    <s v="15-15-15"/>
    <s v="WB"/>
    <x v="15"/>
    <s v="Chapra"/>
    <s v="User Not Mapped"/>
    <s v="User Not Mapped"/>
    <s v="User Not Mapped"/>
    <n v="1063042"/>
    <s v="SARASWATI FERTILIZER"/>
    <s v="Private Retailer"/>
    <s v="7063250336"/>
    <n v="2"/>
    <n v="248"/>
    <x v="3"/>
    <m/>
    <s v="2025-08-22"/>
    <s v="280729"/>
    <s v="M/s. Naresh Chandra Das"/>
    <s v="7365868045"/>
  </r>
  <r>
    <s v="RCF Trombay"/>
    <s v="15-15-15"/>
    <s v="WB"/>
    <x v="15"/>
    <s v="Chapra"/>
    <s v="User Not Mapped"/>
    <s v="User Not Mapped"/>
    <s v="User Not Mapped"/>
    <n v="1063042"/>
    <s v="SARASWATI FERTILIZER"/>
    <s v="Private Retailer"/>
    <s v="7063250336"/>
    <n v="2.5"/>
    <n v="90"/>
    <x v="2"/>
    <m/>
    <s v="2026-01-27"/>
    <s v="280729"/>
    <s v="M/s. Naresh Chandra Das"/>
    <s v="7365868045"/>
  </r>
  <r>
    <s v="RCF Trombay"/>
    <s v="15-15-15"/>
    <s v="WB"/>
    <x v="15"/>
    <s v="Chapra"/>
    <s v="User Not Mapped"/>
    <s v="User Not Mapped"/>
    <s v="User Not Mapped"/>
    <n v="1063084"/>
    <s v="MS GHOSH FERTILIZER "/>
    <s v="Private Retailer"/>
    <s v="7076819112"/>
    <n v="0.1"/>
    <n v="139"/>
    <x v="0"/>
    <m/>
    <s v="2025-12-09"/>
    <s v="260177"/>
    <s v="SatyaRanjan Kundu and Brothers"/>
    <s v="7908186730"/>
  </r>
  <r>
    <s v="RCF Thal"/>
    <s v="N.C.Urea(45kg)"/>
    <s v="WB"/>
    <x v="15"/>
    <s v="Chapra"/>
    <s v="User Not Mapped"/>
    <s v="User Not Mapped"/>
    <s v="User Not Mapped"/>
    <n v="1063110"/>
    <s v="SHAIK FERTILIZER"/>
    <s v="Private Retailer"/>
    <s v="8670813935"/>
    <n v="0.13500000000000001"/>
    <n v="203"/>
    <x v="3"/>
    <m/>
    <s v="2025-10-06"/>
    <s v="260177"/>
    <s v="SatyaRanjan Kundu and Brothers"/>
    <s v="7908186730"/>
  </r>
  <r>
    <s v="RCF Trombay"/>
    <s v="15-15-15"/>
    <s v="WB"/>
    <x v="15"/>
    <s v="Chapra"/>
    <s v="User Not Mapped"/>
    <s v="User Not Mapped"/>
    <s v="User Not Mapped"/>
    <n v="1063114"/>
    <s v="MONORANJAN GHOSH FERTILIZER"/>
    <s v="Private Retailer"/>
    <s v="6295578212"/>
    <n v="0.25"/>
    <n v="1172"/>
    <x v="7"/>
    <m/>
    <s v="2023-02-10"/>
    <s v="281284"/>
    <s v="Sadhan Kumar Ghosh"/>
    <s v="7602136568"/>
  </r>
  <r>
    <s v="RCF Trombay"/>
    <s v="15-15-15"/>
    <s v="WB"/>
    <x v="15"/>
    <s v="Chapra"/>
    <s v="User Not Mapped"/>
    <s v="User Not Mapped"/>
    <s v="User Not Mapped"/>
    <n v="1105868"/>
    <s v="MAA KALI FERTILIZER           "/>
    <s v="Private Retailer"/>
    <s v="9734878327"/>
    <n v="2.4500000000000002"/>
    <n v="65"/>
    <x v="2"/>
    <m/>
    <s v="2026-02-21"/>
    <s v="1063524"/>
    <s v="SOURAV GUPTA"/>
    <s v="7001896546"/>
  </r>
  <r>
    <s v="RCF Trombay"/>
    <s v="15-15-15"/>
    <s v="WB"/>
    <x v="15"/>
    <s v="Chapra"/>
    <s v="User Not Mapped"/>
    <s v="User Not Mapped"/>
    <s v="User Not Mapped"/>
    <n v="1107818"/>
    <s v="M/S GOUTAM BAG"/>
    <s v="Private Retailer"/>
    <s v="8327615200"/>
    <n v="0.45"/>
    <n v="60"/>
    <x v="1"/>
    <m/>
    <s v="2026-02-26"/>
    <s v="280729"/>
    <s v="M/s. Naresh Chandra Das"/>
    <s v="7365868045"/>
  </r>
  <r>
    <s v="RCF Trombay"/>
    <s v="N.C.Urea(45kg)"/>
    <s v="WB"/>
    <x v="15"/>
    <s v="Chapra"/>
    <s v="User Not Mapped"/>
    <s v="User Not Mapped"/>
    <s v="User Not Mapped"/>
    <n v="1107825"/>
    <s v="ASHA FERTILIZER"/>
    <s v="Private Retailer"/>
    <s v="7679021159"/>
    <n v="3.33"/>
    <n v="244"/>
    <x v="3"/>
    <m/>
    <s v="2025-08-26"/>
    <s v="260178"/>
    <s v="M/s. Uttamendu Sarkar"/>
    <s v="9002483836"/>
  </r>
  <r>
    <s v="RCF Trombay"/>
    <s v="15-15-15"/>
    <s v="WB"/>
    <x v="15"/>
    <s v="Chapra"/>
    <s v="User Not Mapped"/>
    <s v="User Not Mapped"/>
    <s v="User Not Mapped"/>
    <n v="1391273"/>
    <s v="M/S BISWAJIT GHOSH"/>
    <s v="Private Retailer"/>
    <s v="9732638487"/>
    <n v="8.1"/>
    <n v="48"/>
    <x v="1"/>
    <m/>
    <s v="2026-03-10"/>
    <s v="280732"/>
    <s v="M/S-MADHUSUDAN GHOSH"/>
    <s v="9434823432"/>
  </r>
  <r>
    <s v="RCF Trombay"/>
    <s v="15-15-15"/>
    <s v="WB"/>
    <x v="15"/>
    <s v="Chapra"/>
    <s v="User Not Mapped"/>
    <s v="User Not Mapped"/>
    <s v="User Not Mapped"/>
    <n v="1391275"/>
    <s v="M/S AYAN FERTILIZER(PROP.AZHAR"/>
    <s v="Private Retailer"/>
    <s v="8945893815"/>
    <n v="0.16500000000000001"/>
    <n v="166"/>
    <x v="0"/>
    <m/>
    <s v="2025-11-12"/>
    <s v="280729"/>
    <s v="M/s. Naresh Chandra Das"/>
    <s v="7365868045"/>
  </r>
  <r>
    <s v="RCF Trombay"/>
    <s v="15-15-15"/>
    <s v="WB"/>
    <x v="15"/>
    <s v="Chapra"/>
    <s v="User Not Mapped"/>
    <s v="User Not Mapped"/>
    <s v="User Not Mapped"/>
    <n v="1480322"/>
    <s v="M/S MONDAL FERTILIZER"/>
    <s v="Private Retailer"/>
    <s v="7003398751"/>
    <n v="2"/>
    <n v="72"/>
    <x v="2"/>
    <m/>
    <s v="2026-02-14"/>
    <s v="280729"/>
    <s v="M/s. Naresh Chandra Das"/>
    <s v="7365868045"/>
  </r>
  <r>
    <s v="RCF Trombay"/>
    <s v="15-15-15"/>
    <s v="WB"/>
    <x v="15"/>
    <s v="Chapra"/>
    <s v="User Not Mapped"/>
    <s v="User Not Mapped"/>
    <s v="User Not Mapped"/>
    <n v="1480322"/>
    <s v="M/S MONDAL FERTILIZER"/>
    <s v="Private Retailer"/>
    <s v="7003398751"/>
    <n v="1.2"/>
    <n v="235"/>
    <x v="3"/>
    <m/>
    <s v="2025-09-04"/>
    <s v="280729"/>
    <s v="M/s. Naresh Chandra Das"/>
    <s v="7365868045"/>
  </r>
  <r>
    <s v="RCF Trombay"/>
    <s v="N.C.Urea(45kg)"/>
    <s v="WB"/>
    <x v="15"/>
    <s v="Chapra"/>
    <s v="User Not Mapped"/>
    <s v="User Not Mapped"/>
    <s v="User Not Mapped"/>
    <n v="1510492"/>
    <s v="M/S HALSANA FERTILIZER"/>
    <s v="Private Retailer"/>
    <s v="8617454248"/>
    <n v="1.71"/>
    <n v="62"/>
    <x v="2"/>
    <m/>
    <s v="2026-02-24"/>
    <s v="260178"/>
    <s v="M/s. Uttamendu Sarkar"/>
    <s v="9002483836"/>
  </r>
  <r>
    <s v="RCF Import"/>
    <s v="MOP"/>
    <s v="WB"/>
    <x v="15"/>
    <s v="Chapra"/>
    <s v="User Not Mapped"/>
    <s v="User Not Mapped"/>
    <s v="User Not Mapped"/>
    <n v="1538175"/>
    <s v="M/S BISWAS FERTILIZER PROP MOS"/>
    <s v="Private Retailer"/>
    <s v="7507942072"/>
    <n v="0.45"/>
    <n v="42"/>
    <x v="1"/>
    <m/>
    <s v="2026-03-16"/>
    <s v="549643"/>
    <s v="M/S RATAN BISWAS"/>
    <s v="8617364808"/>
  </r>
  <r>
    <s v="RCF Trombay"/>
    <s v="15-15-15"/>
    <s v="WB"/>
    <x v="15"/>
    <s v="Chapra"/>
    <s v="User Not Mapped"/>
    <s v="User Not Mapped"/>
    <s v="User Not Mapped"/>
    <n v="1538175"/>
    <s v="M/S BISWAS FERTILIZER PROP MOS"/>
    <s v="Private Retailer"/>
    <s v="7507942072"/>
    <n v="0.35"/>
    <n v="150"/>
    <x v="0"/>
    <m/>
    <s v="2025-11-28"/>
    <s v="280729"/>
    <s v="M/s. Naresh Chandra Das"/>
    <s v="7365868045"/>
  </r>
  <r>
    <s v="RCF Trombay"/>
    <s v="15-15-15"/>
    <s v="WB"/>
    <x v="15"/>
    <s v="Hanskhali"/>
    <s v="User Not Mapped"/>
    <s v="User Not Mapped"/>
    <s v="User Not Mapped"/>
    <n v="243889"/>
    <s v="MS NABAYUG LS CO OP AGRIL CR S"/>
    <s v="PACS"/>
    <s v="9475236410"/>
    <n v="9.1"/>
    <n v="91"/>
    <x v="5"/>
    <m/>
    <s v="2026-01-26"/>
    <s v="280729"/>
    <s v="M/s. Naresh Chandra Das"/>
    <s v="7365868045"/>
  </r>
  <r>
    <s v="RCF Import"/>
    <s v="MOP"/>
    <s v="WB"/>
    <x v="15"/>
    <s v="Hanskhali"/>
    <s v="User Not Mapped"/>
    <s v="User Not Mapped"/>
    <s v="User Not Mapped"/>
    <n v="243906"/>
    <s v="Pradip Kr.Saha"/>
    <s v="Private Retailer"/>
    <s v="9647566676"/>
    <n v="0.75"/>
    <n v="175"/>
    <x v="0"/>
    <m/>
    <s v="2025-11-03"/>
    <s v="260177"/>
    <s v="SatyaRanjan Kundu and Brothers"/>
    <s v="7908186730"/>
  </r>
  <r>
    <s v="RCF Import"/>
    <s v="MOP"/>
    <s v="WB"/>
    <x v="15"/>
    <s v="Hanskhali"/>
    <s v="User Not Mapped"/>
    <s v="User Not Mapped"/>
    <s v="User Not Mapped"/>
    <n v="243906"/>
    <s v="Pradip Kr.Saha"/>
    <s v="Private Retailer"/>
    <s v="9647566676"/>
    <n v="2.5"/>
    <n v="62"/>
    <x v="2"/>
    <m/>
    <s v="2026-02-24"/>
    <s v="260177"/>
    <s v="SatyaRanjan Kundu and Brothers"/>
    <s v="7908186730"/>
  </r>
  <r>
    <s v="RCF Trombay"/>
    <s v="15-15-15"/>
    <s v="WB"/>
    <x v="15"/>
    <s v="Hanskhali"/>
    <s v="User Not Mapped"/>
    <s v="User Not Mapped"/>
    <s v="User Not Mapped"/>
    <n v="243906"/>
    <s v="Pradip Kr.Saha"/>
    <s v="Private Retailer"/>
    <s v="9647566676"/>
    <n v="0.05"/>
    <n v="59"/>
    <x v="1"/>
    <m/>
    <s v="2026-02-27"/>
    <s v="260177"/>
    <s v="SatyaRanjan Kundu and Brothers"/>
    <s v="7908186730"/>
  </r>
  <r>
    <s v="RCF Trombay"/>
    <s v="15-15-15"/>
    <s v="WB"/>
    <x v="15"/>
    <s v="Hanskhali"/>
    <s v="User Not Mapped"/>
    <s v="User Not Mapped"/>
    <s v="User Not Mapped"/>
    <n v="272859"/>
    <s v="MS Ajoy Biswas"/>
    <s v="Private Retailer"/>
    <s v="9933834237"/>
    <n v="2.5"/>
    <n v="59"/>
    <x v="1"/>
    <m/>
    <s v="2026-02-27"/>
    <s v="260177"/>
    <s v="SatyaRanjan Kundu and Brothers"/>
    <s v="7908186730"/>
  </r>
  <r>
    <s v="RCF Import"/>
    <s v="MOP"/>
    <s v="WB"/>
    <x v="15"/>
    <s v="Hanskhali"/>
    <s v="User Not Mapped"/>
    <s v="User Not Mapped"/>
    <s v="User Not Mapped"/>
    <n v="272859"/>
    <s v="MS Ajoy Biswas"/>
    <s v="Private Retailer"/>
    <s v="9933834237"/>
    <n v="2.5"/>
    <n v="62"/>
    <x v="2"/>
    <m/>
    <s v="2026-02-24"/>
    <s v="260177"/>
    <s v="SatyaRanjan Kundu and Brothers"/>
    <s v="7908186730"/>
  </r>
  <r>
    <s v="RCF Trombay"/>
    <s v="N.C.Urea(45kg)"/>
    <s v="WB"/>
    <x v="15"/>
    <s v="Hanskhali"/>
    <s v="User Not Mapped"/>
    <s v="User Not Mapped"/>
    <s v="User Not Mapped"/>
    <n v="272859"/>
    <s v="MS Ajoy Biswas"/>
    <s v="Private Retailer"/>
    <s v="9933834237"/>
    <n v="4.3999999999999997E-2"/>
    <n v="234"/>
    <x v="3"/>
    <m/>
    <s v="2025-09-05"/>
    <s v="260177"/>
    <s v="SatyaRanjan Kundu and Brothers"/>
    <s v="7908186730"/>
  </r>
  <r>
    <s v="RCF Trombay"/>
    <s v="15-15-15"/>
    <s v="WB"/>
    <x v="15"/>
    <s v="Hanskhali"/>
    <s v="User Not Mapped"/>
    <s v="User Not Mapped"/>
    <s v="User Not Mapped"/>
    <n v="272859"/>
    <s v="MS Ajoy Biswas"/>
    <s v="Private Retailer"/>
    <s v="9933834237"/>
    <n v="2"/>
    <n v="91"/>
    <x v="5"/>
    <m/>
    <s v="2026-01-26"/>
    <s v="260177"/>
    <s v="SatyaRanjan Kundu and Brothers"/>
    <s v="7908186730"/>
  </r>
  <r>
    <s v="RCF Trombay"/>
    <s v="15-15-15"/>
    <s v="WB"/>
    <x v="15"/>
    <s v="Hanskhali"/>
    <s v="User Not Mapped"/>
    <s v="User Not Mapped"/>
    <s v="User Not Mapped"/>
    <n v="272879"/>
    <s v="Balaram Biswas"/>
    <s v="Private Retailer"/>
    <s v="8926295204"/>
    <n v="0.625"/>
    <n v="59"/>
    <x v="1"/>
    <m/>
    <s v="2026-02-27"/>
    <s v="260177"/>
    <s v="SatyaRanjan Kundu and Brothers"/>
    <s v="7908186730"/>
  </r>
  <r>
    <s v="RCF Trombay"/>
    <s v="N.C.Urea(45kg)"/>
    <s v="WB"/>
    <x v="15"/>
    <s v="Hanskhali"/>
    <s v="User Not Mapped"/>
    <s v="User Not Mapped"/>
    <s v="User Not Mapped"/>
    <n v="272879"/>
    <s v="Balaram Biswas"/>
    <s v="Private Retailer"/>
    <s v="8926295204"/>
    <n v="0.13500000000000001"/>
    <n v="244"/>
    <x v="3"/>
    <m/>
    <s v="2025-08-26"/>
    <s v="260177"/>
    <s v="SatyaRanjan Kundu and Brothers"/>
    <s v="7908186730"/>
  </r>
  <r>
    <s v="RCF Trombay"/>
    <s v="N.C.Urea(45kg)"/>
    <s v="WB"/>
    <x v="15"/>
    <s v="Hanskhali"/>
    <s v="User Not Mapped"/>
    <s v="User Not Mapped"/>
    <s v="User Not Mapped"/>
    <n v="272879"/>
    <s v="Balaram Biswas"/>
    <s v="Private Retailer"/>
    <s v="8926295204"/>
    <n v="1.4850000000000001"/>
    <n v="234"/>
    <x v="3"/>
    <m/>
    <s v="2025-09-05"/>
    <s v="260177"/>
    <s v="SatyaRanjan Kundu and Brothers"/>
    <s v="7908186730"/>
  </r>
  <r>
    <s v="RCF Import"/>
    <s v="MOP"/>
    <s v="WB"/>
    <x v="15"/>
    <s v="Hanskhali"/>
    <s v="User Not Mapped"/>
    <s v="User Not Mapped"/>
    <s v="User Not Mapped"/>
    <n v="272879"/>
    <s v="Balaram Biswas"/>
    <s v="Private Retailer"/>
    <s v="8926295204"/>
    <n v="2.5"/>
    <n v="62"/>
    <x v="2"/>
    <m/>
    <s v="2026-02-24"/>
    <s v="260177"/>
    <s v="SatyaRanjan Kundu and Brothers"/>
    <s v="7908186730"/>
  </r>
  <r>
    <s v="RCF Import"/>
    <s v="MOP"/>
    <s v="WB"/>
    <x v="15"/>
    <s v="Hanskhali"/>
    <s v="User Not Mapped"/>
    <s v="User Not Mapped"/>
    <s v="User Not Mapped"/>
    <n v="289383"/>
    <s v="Subhas Ch. Biswas"/>
    <s v="Private Retailer"/>
    <s v="9883788350"/>
    <n v="4.6500000000000004"/>
    <n v="62"/>
    <x v="2"/>
    <m/>
    <s v="2026-02-24"/>
    <s v="260177"/>
    <s v="SatyaRanjan Kundu and Brothers"/>
    <s v="7908186730"/>
  </r>
  <r>
    <s v="RCF Trombay"/>
    <s v="N.C.Urea(45kg)"/>
    <s v="WB"/>
    <x v="15"/>
    <s v="Hanskhali"/>
    <s v="User Not Mapped"/>
    <s v="User Not Mapped"/>
    <s v="User Not Mapped"/>
    <n v="289383"/>
    <s v="Subhas Ch. Biswas"/>
    <s v="Private Retailer"/>
    <s v="9883788350"/>
    <n v="2.52"/>
    <n v="60"/>
    <x v="1"/>
    <m/>
    <s v="2026-02-26"/>
    <s v="260177"/>
    <s v="SatyaRanjan Kundu and Brothers"/>
    <s v="7908186730"/>
  </r>
  <r>
    <s v="RCF Import"/>
    <s v="Imp 10-26-26"/>
    <s v="WB"/>
    <x v="15"/>
    <s v="Hanskhali"/>
    <s v="User Not Mapped"/>
    <s v="User Not Mapped"/>
    <s v="User Not Mapped"/>
    <n v="289383"/>
    <s v="Subhas Ch. Biswas"/>
    <s v="Private Retailer"/>
    <s v="9883788350"/>
    <n v="0.95"/>
    <n v="345"/>
    <x v="3"/>
    <m/>
    <s v="2025-05-17"/>
    <s v="260179"/>
    <s v="Tarun Kumar Saha"/>
    <s v="8116312974"/>
  </r>
  <r>
    <s v="RCF Trombay"/>
    <s v="15-15-15"/>
    <s v="WB"/>
    <x v="15"/>
    <s v="Hanskhali"/>
    <s v="User Not Mapped"/>
    <s v="User Not Mapped"/>
    <s v="User Not Mapped"/>
    <n v="340710"/>
    <s v="Adhir Ch Ghosh"/>
    <s v="Private Retailer"/>
    <s v="9564081569"/>
    <n v="3.3"/>
    <n v="177"/>
    <x v="0"/>
    <m/>
    <s v="2025-11-01"/>
    <s v="280913"/>
    <s v="S.S.P Enterprise"/>
    <s v="9732669190"/>
  </r>
  <r>
    <s v="RCF Trombay"/>
    <s v="15-15-15"/>
    <s v="WB"/>
    <x v="15"/>
    <s v="Hanskhali"/>
    <s v="User Not Mapped"/>
    <s v="User Not Mapped"/>
    <s v="User Not Mapped"/>
    <n v="340779"/>
    <s v="Amaresh Sadhukhan"/>
    <s v="Private Retailer"/>
    <s v="9434955670"/>
    <n v="3.75"/>
    <n v="110"/>
    <x v="5"/>
    <m/>
    <s v="2026-01-07"/>
    <s v="259034"/>
    <s v="MS Guha And Co"/>
    <s v="8695359505"/>
  </r>
  <r>
    <s v="RCF Trombay"/>
    <s v="15-15-15"/>
    <s v="WB"/>
    <x v="15"/>
    <s v="Hanskhali"/>
    <s v="User Not Mapped"/>
    <s v="User Not Mapped"/>
    <s v="User Not Mapped"/>
    <n v="340918"/>
    <s v="Ashok Kumar Biswas"/>
    <s v="Private Retailer"/>
    <s v="8967346265"/>
    <n v="0.60299999999999998"/>
    <n v="91"/>
    <x v="5"/>
    <m/>
    <s v="2026-01-26"/>
    <s v="260177"/>
    <s v="SatyaRanjan Kundu and Brothers"/>
    <s v="7908186730"/>
  </r>
  <r>
    <s v="RCF Trombay"/>
    <s v="N.C.Urea(45kg)"/>
    <s v="WB"/>
    <x v="15"/>
    <s v="Hanskhali"/>
    <s v="User Not Mapped"/>
    <s v="User Not Mapped"/>
    <s v="User Not Mapped"/>
    <n v="340918"/>
    <s v="Ashok Kumar Biswas"/>
    <s v="Private Retailer"/>
    <s v="8967346265"/>
    <n v="1.28"/>
    <n v="91"/>
    <x v="5"/>
    <m/>
    <s v="2026-01-26"/>
    <s v="260177"/>
    <s v="SatyaRanjan Kundu and Brothers"/>
    <s v="7908186730"/>
  </r>
  <r>
    <s v="RCF Thal"/>
    <s v="N.C.Urea(45kg)"/>
    <s v="WB"/>
    <x v="15"/>
    <s v="Hanskhali"/>
    <s v="User Not Mapped"/>
    <s v="User Not Mapped"/>
    <s v="User Not Mapped"/>
    <n v="340918"/>
    <s v="Ashok Kumar Biswas"/>
    <s v="Private Retailer"/>
    <s v="8967346265"/>
    <n v="2.3849999999999998"/>
    <n v="35"/>
    <x v="1"/>
    <m/>
    <s v="2026-03-23"/>
    <s v="269287"/>
    <s v="Gopal Krishna Kundu"/>
    <s v="9732644921"/>
  </r>
  <r>
    <s v="RCF Trombay"/>
    <s v="15-15-15"/>
    <s v="WB"/>
    <x v="15"/>
    <s v="Hanskhali"/>
    <s v="User Not Mapped"/>
    <s v="User Not Mapped"/>
    <s v="User Not Mapped"/>
    <n v="341011"/>
    <s v="Basudeb Majumder"/>
    <s v="Private Retailer"/>
    <s v="6296478831"/>
    <n v="0.2"/>
    <n v="180"/>
    <x v="0"/>
    <m/>
    <s v="2025-10-29"/>
    <s v="260178"/>
    <s v="M/s. Uttamendu Sarkar"/>
    <s v="9002483836"/>
  </r>
  <r>
    <s v="RCF Trombay"/>
    <s v="15-15-15"/>
    <s v="WB"/>
    <x v="15"/>
    <s v="Hanskhali"/>
    <s v="User Not Mapped"/>
    <s v="User Not Mapped"/>
    <s v="User Not Mapped"/>
    <n v="341108"/>
    <s v="Bipul Biswas"/>
    <s v="Private Retailer"/>
    <s v="9800441016"/>
    <n v="5"/>
    <n v="63"/>
    <x v="2"/>
    <m/>
    <s v="2026-02-23"/>
    <s v="260179"/>
    <s v="Tarun Kumar Saha"/>
    <s v="8116312974"/>
  </r>
  <r>
    <s v="RCF Trombay"/>
    <s v="N.C.Urea(45kg)"/>
    <s v="WB"/>
    <x v="15"/>
    <s v="Hanskhali"/>
    <s v="User Not Mapped"/>
    <s v="User Not Mapped"/>
    <s v="User Not Mapped"/>
    <n v="341108"/>
    <s v="Bipul Biswas"/>
    <s v="Private Retailer"/>
    <s v="9800441016"/>
    <n v="4.9950000000000001"/>
    <n v="63"/>
    <x v="2"/>
    <m/>
    <s v="2026-02-23"/>
    <s v="260179"/>
    <s v="Tarun Kumar Saha"/>
    <s v="8116312974"/>
  </r>
  <r>
    <s v="RCF Trombay"/>
    <s v="15-15-15"/>
    <s v="WB"/>
    <x v="15"/>
    <s v="Hanskhali"/>
    <s v="User Not Mapped"/>
    <s v="User Not Mapped"/>
    <s v="User Not Mapped"/>
    <n v="341108"/>
    <s v="Bipul Biswas"/>
    <s v="Private Retailer"/>
    <s v="9800441016"/>
    <n v="4.2"/>
    <n v="243"/>
    <x v="3"/>
    <m/>
    <s v="2025-08-27"/>
    <s v="214222"/>
    <s v="Mahamaya Enterprise"/>
    <s v="8348217174"/>
  </r>
  <r>
    <s v="RCF Trombay"/>
    <s v="N.C.Urea(45kg)"/>
    <s v="WB"/>
    <x v="15"/>
    <s v="Hanskhali"/>
    <s v="User Not Mapped"/>
    <s v="User Not Mapped"/>
    <s v="User Not Mapped"/>
    <n v="341108"/>
    <s v="Bipul Biswas"/>
    <s v="Private Retailer"/>
    <s v="9800441016"/>
    <n v="4.9950000000000001"/>
    <n v="243"/>
    <x v="3"/>
    <m/>
    <s v="2025-08-27"/>
    <s v="214222"/>
    <s v="Mahamaya Enterprise"/>
    <s v="8348217174"/>
  </r>
  <r>
    <s v="RCF Trombay"/>
    <s v="15-15-15"/>
    <s v="WB"/>
    <x v="15"/>
    <s v="Hanskhali"/>
    <s v="User Not Mapped"/>
    <s v="User Not Mapped"/>
    <s v="User Not Mapped"/>
    <n v="341115"/>
    <s v="Birendra Nath Mondal"/>
    <s v="Private Retailer"/>
    <s v="9474337972"/>
    <n v="5"/>
    <n v="62"/>
    <x v="2"/>
    <m/>
    <s v="2026-02-24"/>
    <s v="270129"/>
    <s v="Kalyan Kr. Nandi"/>
    <s v="8250914797"/>
  </r>
  <r>
    <s v="RCF Trombay"/>
    <s v="15-15-15"/>
    <s v="WB"/>
    <x v="15"/>
    <s v="Hanskhali"/>
    <s v="User Not Mapped"/>
    <s v="User Not Mapped"/>
    <s v="User Not Mapped"/>
    <n v="341115"/>
    <s v="Birendra Nath Mondal"/>
    <s v="Private Retailer"/>
    <s v="9474337972"/>
    <n v="6"/>
    <n v="93"/>
    <x v="5"/>
    <m/>
    <s v="2026-01-24"/>
    <s v="270129"/>
    <s v="Kalyan Kr. Nandi"/>
    <s v="8250914797"/>
  </r>
  <r>
    <s v="RCF Thal"/>
    <s v="N.C.Urea(45kg)"/>
    <s v="WB"/>
    <x v="15"/>
    <s v="Hanskhali"/>
    <s v="User Not Mapped"/>
    <s v="User Not Mapped"/>
    <s v="User Not Mapped"/>
    <n v="341132"/>
    <s v="Biswajit Saha"/>
    <s v="Private Retailer"/>
    <s v="9434452018"/>
    <n v="1.62"/>
    <n v="280"/>
    <x v="3"/>
    <m/>
    <s v="2025-07-21"/>
    <s v="270129"/>
    <s v="Kalyan Kr. Nandi"/>
    <s v="8250914797"/>
  </r>
  <r>
    <s v="RCF Trombay"/>
    <s v="15-15-15"/>
    <s v="WB"/>
    <x v="15"/>
    <s v="Hanskhali"/>
    <s v="User Not Mapped"/>
    <s v="User Not Mapped"/>
    <s v="User Not Mapped"/>
    <n v="341383"/>
    <s v="MS Gokul Chandra Mandal"/>
    <s v="Private Retailer"/>
    <s v="6297219564"/>
    <n v="0.25"/>
    <n v="844"/>
    <x v="7"/>
    <m/>
    <s v="2024-01-04"/>
    <s v="260178"/>
    <s v="M/s. Uttamendu Sarkar"/>
    <s v="9002483836"/>
  </r>
  <r>
    <s v="RCF Trombay"/>
    <s v="N.C.Urea(45kg)"/>
    <s v="WB"/>
    <x v="15"/>
    <s v="Hanskhali"/>
    <s v="User Not Mapped"/>
    <s v="User Not Mapped"/>
    <s v="User Not Mapped"/>
    <n v="341416"/>
    <s v="Goutam Ghosh"/>
    <s v="Private Retailer"/>
    <s v="7001242653"/>
    <n v="4.5449999999999999"/>
    <n v="54"/>
    <x v="1"/>
    <m/>
    <s v="2026-03-04"/>
    <s v="260178"/>
    <s v="M/s. Uttamendu Sarkar"/>
    <s v="9002483836"/>
  </r>
  <r>
    <s v="RCF Trombay"/>
    <s v="15-15-15"/>
    <s v="WB"/>
    <x v="15"/>
    <s v="Hanskhali"/>
    <s v="User Not Mapped"/>
    <s v="User Not Mapped"/>
    <s v="User Not Mapped"/>
    <n v="341502"/>
    <s v="Jadugopal Ray"/>
    <s v="Private Retailer"/>
    <s v="9547202753"/>
    <n v="0.16"/>
    <n v="2673"/>
    <x v="7"/>
    <m/>
    <s v="2019-01-01"/>
    <s v="11"/>
    <s v="Too Old Stock"/>
    <m/>
  </r>
  <r>
    <s v="RCF Thal"/>
    <s v="N.C.Urea(45kg)"/>
    <s v="WB"/>
    <x v="15"/>
    <s v="Hanskhali"/>
    <s v="User Not Mapped"/>
    <s v="User Not Mapped"/>
    <s v="User Not Mapped"/>
    <n v="341502"/>
    <s v="Jadugopal Ray"/>
    <s v="Private Retailer"/>
    <s v="9547202753"/>
    <n v="2.25"/>
    <n v="2673"/>
    <x v="7"/>
    <m/>
    <s v="2019-01-01"/>
    <s v="11"/>
    <s v="Too Old Stock"/>
    <m/>
  </r>
  <r>
    <s v="RCF Trombay"/>
    <s v="N.C.Urea(45kg)"/>
    <s v="WB"/>
    <x v="15"/>
    <s v="Hanskhali"/>
    <s v="User Not Mapped"/>
    <s v="User Not Mapped"/>
    <s v="User Not Mapped"/>
    <n v="341502"/>
    <s v="Jadugopal Ray"/>
    <s v="Private Retailer"/>
    <s v="9547202753"/>
    <n v="0.9"/>
    <n v="2303"/>
    <x v="7"/>
    <m/>
    <s v="2020-01-06"/>
    <s v="280729"/>
    <s v="M/s. Naresh Chandra Das"/>
    <s v="7365868045"/>
  </r>
  <r>
    <s v="RCF Thal"/>
    <s v="N.C.Urea(45kg)"/>
    <s v="WB"/>
    <x v="15"/>
    <s v="Hanskhali"/>
    <s v="User Not Mapped"/>
    <s v="User Not Mapped"/>
    <s v="User Not Mapped"/>
    <n v="341553"/>
    <s v="Joyanta Sarkar"/>
    <s v="Private Retailer"/>
    <s v="9800102524"/>
    <n v="2.9249999999999998"/>
    <n v="196"/>
    <x v="3"/>
    <m/>
    <s v="2025-10-13"/>
    <s v="280729"/>
    <s v="M/s. Naresh Chandra Das"/>
    <s v="7365868045"/>
  </r>
  <r>
    <s v="RCF Import"/>
    <s v="MOP"/>
    <s v="WB"/>
    <x v="15"/>
    <s v="Hanskhali"/>
    <s v="User Not Mapped"/>
    <s v="User Not Mapped"/>
    <s v="User Not Mapped"/>
    <n v="341553"/>
    <s v="Joyanta Sarkar"/>
    <s v="Private Retailer"/>
    <s v="9800102524"/>
    <n v="5"/>
    <n v="65"/>
    <x v="2"/>
    <m/>
    <s v="2026-02-21"/>
    <s v="259034"/>
    <s v="MS Guha And Co"/>
    <s v="8695359505"/>
  </r>
  <r>
    <s v="RCF Trombay"/>
    <s v="15-15-15"/>
    <s v="WB"/>
    <x v="15"/>
    <s v="Hanskhali"/>
    <s v="User Not Mapped"/>
    <s v="User Not Mapped"/>
    <s v="User Not Mapped"/>
    <n v="341553"/>
    <s v="Joyanta Sarkar"/>
    <s v="Private Retailer"/>
    <s v="9800102524"/>
    <n v="5"/>
    <n v="93"/>
    <x v="5"/>
    <m/>
    <s v="2026-01-24"/>
    <s v="259034"/>
    <s v="MS Guha And Co"/>
    <s v="8695359505"/>
  </r>
  <r>
    <s v="RCF Trombay"/>
    <s v="N.C.Urea(45kg)"/>
    <s v="WB"/>
    <x v="15"/>
    <s v="Hanskhali"/>
    <s v="User Not Mapped"/>
    <s v="User Not Mapped"/>
    <s v="User Not Mapped"/>
    <n v="341588"/>
    <s v="MS Kalipada Biswas"/>
    <s v="Private Retailer"/>
    <s v="9474811990"/>
    <n v="3.915"/>
    <n v="61"/>
    <x v="2"/>
    <m/>
    <s v="2026-02-25"/>
    <s v="260177"/>
    <s v="SatyaRanjan Kundu and Brothers"/>
    <s v="7908186730"/>
  </r>
  <r>
    <s v="RCF Import"/>
    <s v="MOP"/>
    <s v="WB"/>
    <x v="15"/>
    <s v="Hanskhali"/>
    <s v="User Not Mapped"/>
    <s v="User Not Mapped"/>
    <s v="User Not Mapped"/>
    <n v="341588"/>
    <s v="MS Kalipada Biswas"/>
    <s v="Private Retailer"/>
    <s v="9474811990"/>
    <n v="5"/>
    <n v="62"/>
    <x v="2"/>
    <m/>
    <s v="2026-02-24"/>
    <s v="260177"/>
    <s v="SatyaRanjan Kundu and Brothers"/>
    <s v="7908186730"/>
  </r>
  <r>
    <s v="RCF Trombay"/>
    <s v="15-15-15"/>
    <s v="WB"/>
    <x v="15"/>
    <s v="Hanskhali"/>
    <s v="User Not Mapped"/>
    <s v="User Not Mapped"/>
    <s v="User Not Mapped"/>
    <n v="341588"/>
    <s v="MS Kalipada Biswas"/>
    <s v="Private Retailer"/>
    <s v="9474811990"/>
    <n v="5"/>
    <n v="61"/>
    <x v="2"/>
    <m/>
    <s v="2026-02-25"/>
    <s v="260177"/>
    <s v="SatyaRanjan Kundu and Brothers"/>
    <s v="7908186730"/>
  </r>
  <r>
    <s v="RCF Trombay"/>
    <s v="15-15-15"/>
    <s v="WB"/>
    <x v="15"/>
    <s v="Hanskhali"/>
    <s v="User Not Mapped"/>
    <s v="User Not Mapped"/>
    <s v="User Not Mapped"/>
    <n v="341588"/>
    <s v="MS Kalipada Biswas"/>
    <s v="Private Retailer"/>
    <s v="9474811990"/>
    <n v="3.4"/>
    <n v="91"/>
    <x v="5"/>
    <m/>
    <s v="2026-01-26"/>
    <s v="260177"/>
    <s v="SatyaRanjan Kundu and Brothers"/>
    <s v="7908186730"/>
  </r>
  <r>
    <s v="RCF Import"/>
    <s v="MOP"/>
    <s v="WB"/>
    <x v="15"/>
    <s v="Hanskhali"/>
    <s v="User Not Mapped"/>
    <s v="User Not Mapped"/>
    <s v="User Not Mapped"/>
    <n v="341651"/>
    <s v="Koushik Saha"/>
    <s v="Private Retailer"/>
    <s v="9477061116"/>
    <n v="5"/>
    <n v="62"/>
    <x v="2"/>
    <m/>
    <s v="2026-02-24"/>
    <s v="260177"/>
    <s v="SatyaRanjan Kundu and Brothers"/>
    <s v="7908186730"/>
  </r>
  <r>
    <s v="RCF Trombay"/>
    <s v="N.C.Urea(45kg)"/>
    <s v="WB"/>
    <x v="15"/>
    <s v="Hanskhali"/>
    <s v="User Not Mapped"/>
    <s v="User Not Mapped"/>
    <s v="User Not Mapped"/>
    <n v="341651"/>
    <s v="Koushik Saha"/>
    <s v="Private Retailer"/>
    <s v="9477061116"/>
    <n v="2.4750000000000001"/>
    <n v="60"/>
    <x v="1"/>
    <m/>
    <s v="2026-02-26"/>
    <s v="260177"/>
    <s v="SatyaRanjan Kundu and Brothers"/>
    <s v="7908186730"/>
  </r>
  <r>
    <s v="RCF Trombay"/>
    <s v="15-15-15"/>
    <s v="WB"/>
    <x v="15"/>
    <s v="Hanskhali"/>
    <s v="User Not Mapped"/>
    <s v="User Not Mapped"/>
    <s v="User Not Mapped"/>
    <n v="341651"/>
    <s v="Koushik Saha"/>
    <s v="Private Retailer"/>
    <s v="9477061116"/>
    <n v="5"/>
    <n v="60"/>
    <x v="1"/>
    <m/>
    <s v="2026-02-26"/>
    <s v="260177"/>
    <s v="SatyaRanjan Kundu and Brothers"/>
    <s v="7908186730"/>
  </r>
  <r>
    <s v="RCF Trombay"/>
    <s v="15-15-15"/>
    <s v="WB"/>
    <x v="15"/>
    <s v="Hanskhali"/>
    <s v="User Not Mapped"/>
    <s v="User Not Mapped"/>
    <s v="User Not Mapped"/>
    <n v="341651"/>
    <s v="Koushik Saha"/>
    <s v="Private Retailer"/>
    <s v="9477061116"/>
    <n v="1"/>
    <n v="54"/>
    <x v="1"/>
    <m/>
    <s v="2026-03-04"/>
    <s v="260177"/>
    <s v="SatyaRanjan Kundu and Brothers"/>
    <s v="7908186730"/>
  </r>
  <r>
    <s v="RCF Trombay"/>
    <s v="15-15-15"/>
    <s v="WB"/>
    <x v="15"/>
    <s v="Hanskhali"/>
    <s v="User Not Mapped"/>
    <s v="User Not Mapped"/>
    <s v="User Not Mapped"/>
    <n v="341651"/>
    <s v="Koushik Saha"/>
    <s v="Private Retailer"/>
    <s v="9477061116"/>
    <n v="2"/>
    <n v="79"/>
    <x v="2"/>
    <m/>
    <s v="2026-02-07"/>
    <s v="260177"/>
    <s v="SatyaRanjan Kundu and Brothers"/>
    <s v="7908186730"/>
  </r>
  <r>
    <s v="RCF Trombay"/>
    <s v="15-15-15"/>
    <s v="WB"/>
    <x v="15"/>
    <s v="Hanskhali"/>
    <s v="User Not Mapped"/>
    <s v="User Not Mapped"/>
    <s v="User Not Mapped"/>
    <n v="341721"/>
    <s v="Lakshmi Kanta Biswas"/>
    <s v="Private Retailer"/>
    <s v="9732686452"/>
    <n v="0.55000000000000004"/>
    <n v="62"/>
    <x v="2"/>
    <m/>
    <s v="2026-02-24"/>
    <s v="260178"/>
    <s v="M/s. Uttamendu Sarkar"/>
    <s v="9002483836"/>
  </r>
  <r>
    <s v="RCF Import"/>
    <s v="MOP"/>
    <s v="WB"/>
    <x v="15"/>
    <s v="Hanskhali"/>
    <s v="User Not Mapped"/>
    <s v="User Not Mapped"/>
    <s v="User Not Mapped"/>
    <n v="341721"/>
    <s v="Lakshmi Kanta Biswas"/>
    <s v="Private Retailer"/>
    <s v="9732686452"/>
    <n v="3.45"/>
    <n v="65"/>
    <x v="2"/>
    <m/>
    <s v="2026-02-21"/>
    <s v="260178"/>
    <s v="M/s. Uttamendu Sarkar"/>
    <s v="9002483836"/>
  </r>
  <r>
    <s v="RCF Trombay"/>
    <s v="15-15-15"/>
    <s v="WB"/>
    <x v="15"/>
    <s v="Hanskhali"/>
    <s v="User Not Mapped"/>
    <s v="User Not Mapped"/>
    <s v="User Not Mapped"/>
    <n v="341780"/>
    <s v="Madhusudan Karmakar"/>
    <s v="Private Retailer"/>
    <s v="7866968971"/>
    <n v="0.65"/>
    <n v="155"/>
    <x v="0"/>
    <m/>
    <s v="2025-11-23"/>
    <s v="280732"/>
    <s v="M/S-MADHUSUDAN GHOSH"/>
    <s v="9434823432"/>
  </r>
  <r>
    <s v="RCF Thal"/>
    <s v="N.C.Urea(45kg)"/>
    <s v="WB"/>
    <x v="15"/>
    <s v="Hanskhali"/>
    <s v="User Not Mapped"/>
    <s v="User Not Mapped"/>
    <s v="User Not Mapped"/>
    <n v="341780"/>
    <s v="Madhusudan Karmakar"/>
    <s v="Private Retailer"/>
    <s v="7866968971"/>
    <n v="0.18"/>
    <n v="200"/>
    <x v="3"/>
    <m/>
    <s v="2025-10-09"/>
    <s v="280732"/>
    <s v="M/S-MADHUSUDAN GHOSH"/>
    <s v="9434823432"/>
  </r>
  <r>
    <s v="RCF Trombay"/>
    <s v="15-15-15"/>
    <s v="WB"/>
    <x v="15"/>
    <s v="Hanskhali"/>
    <s v="User Not Mapped"/>
    <s v="User Not Mapped"/>
    <s v="User Not Mapped"/>
    <n v="341783"/>
    <s v="MS MAFUJA KHATUN MONDAL"/>
    <s v="Private Retailer"/>
    <s v="6294388460"/>
    <n v="2.2999999999999998"/>
    <n v="27"/>
    <x v="4"/>
    <m/>
    <s v="2026-03-31"/>
    <s v="280732"/>
    <s v="M/S-MADHUSUDAN GHOSH"/>
    <s v="9434823432"/>
  </r>
  <r>
    <s v="RCF Import"/>
    <s v="MOP"/>
    <s v="WB"/>
    <x v="15"/>
    <s v="Hanskhali"/>
    <s v="User Not Mapped"/>
    <s v="User Not Mapped"/>
    <s v="User Not Mapped"/>
    <n v="341783"/>
    <s v="MS MAFUJA KHATUN MONDAL"/>
    <s v="Private Retailer"/>
    <s v="6294388460"/>
    <n v="5"/>
    <n v="62"/>
    <x v="2"/>
    <m/>
    <s v="2026-02-24"/>
    <s v="260177"/>
    <s v="SatyaRanjan Kundu and Brothers"/>
    <s v="7908186730"/>
  </r>
  <r>
    <s v="RCF Thal"/>
    <s v="N.C.Urea(45kg)"/>
    <s v="WB"/>
    <x v="15"/>
    <s v="Hanskhali"/>
    <s v="User Not Mapped"/>
    <s v="User Not Mapped"/>
    <s v="User Not Mapped"/>
    <n v="341783"/>
    <s v="MS MAFUJA KHATUN MONDAL"/>
    <s v="Private Retailer"/>
    <s v="6294388460"/>
    <n v="0.27"/>
    <n v="200"/>
    <x v="3"/>
    <m/>
    <s v="2025-10-09"/>
    <s v="280732"/>
    <s v="M/S-MADHUSUDAN GHOSH"/>
    <s v="9434823432"/>
  </r>
  <r>
    <s v="RCF Trombay"/>
    <s v="15-15-15"/>
    <s v="WB"/>
    <x v="15"/>
    <s v="Hanskhali"/>
    <s v="User Not Mapped"/>
    <s v="User Not Mapped"/>
    <s v="User Not Mapped"/>
    <n v="342009"/>
    <s v="Mukul Mallick"/>
    <s v="Private Retailer"/>
    <s v="9475921582"/>
    <n v="0.1"/>
    <n v="178"/>
    <x v="0"/>
    <m/>
    <s v="2025-10-31"/>
    <s v="280732"/>
    <s v="M/S-MADHUSUDAN GHOSH"/>
    <s v="9434823432"/>
  </r>
  <r>
    <s v="RCF Trombay"/>
    <s v="15-15-15"/>
    <s v="WB"/>
    <x v="15"/>
    <s v="Hanskhali"/>
    <s v="User Not Mapped"/>
    <s v="User Not Mapped"/>
    <s v="User Not Mapped"/>
    <n v="342028"/>
    <s v="MS Nadiram Sarkar"/>
    <s v="Private Retailer"/>
    <s v="8250333873"/>
    <n v="0.25"/>
    <n v="167"/>
    <x v="0"/>
    <m/>
    <s v="2025-11-11"/>
    <s v="280729"/>
    <s v="M/s. Naresh Chandra Das"/>
    <s v="7365868045"/>
  </r>
  <r>
    <s v="RCF Trombay"/>
    <s v="15-15-15"/>
    <s v="WB"/>
    <x v="15"/>
    <s v="Hanskhali"/>
    <s v="User Not Mapped"/>
    <s v="User Not Mapped"/>
    <s v="User Not Mapped"/>
    <n v="342028"/>
    <s v="MS Nadiram Sarkar"/>
    <s v="Private Retailer"/>
    <s v="8250333873"/>
    <n v="0.5"/>
    <n v="91"/>
    <x v="5"/>
    <m/>
    <s v="2026-01-26"/>
    <s v="280729"/>
    <s v="M/s. Naresh Chandra Das"/>
    <s v="7365868045"/>
  </r>
  <r>
    <s v="RCF Import"/>
    <s v="MOP"/>
    <s v="WB"/>
    <x v="15"/>
    <s v="Hanskhali"/>
    <s v="User Not Mapped"/>
    <s v="User Not Mapped"/>
    <s v="User Not Mapped"/>
    <n v="342028"/>
    <s v="MS Nadiram Sarkar"/>
    <s v="Private Retailer"/>
    <s v="8250333873"/>
    <n v="0.25"/>
    <n v="32"/>
    <x v="1"/>
    <m/>
    <s v="2026-03-26"/>
    <s v="280729"/>
    <s v="M/s. Naresh Chandra Das"/>
    <s v="7365868045"/>
  </r>
  <r>
    <s v="RCF Trombay"/>
    <s v="15-15-15"/>
    <s v="WB"/>
    <x v="15"/>
    <s v="Hanskhali"/>
    <s v="User Not Mapped"/>
    <s v="User Not Mapped"/>
    <s v="User Not Mapped"/>
    <n v="342042"/>
    <s v="Narayan Ch. Biswas"/>
    <s v="Private Retailer"/>
    <s v="9732971230"/>
    <n v="2.25"/>
    <n v="91"/>
    <x v="5"/>
    <m/>
    <s v="2026-01-26"/>
    <s v="260177"/>
    <s v="SatyaRanjan Kundu and Brothers"/>
    <s v="7908186730"/>
  </r>
  <r>
    <s v="RCF Thal"/>
    <s v="N.C.Urea(45kg)"/>
    <s v="WB"/>
    <x v="15"/>
    <s v="Hanskhali"/>
    <s v="User Not Mapped"/>
    <s v="User Not Mapped"/>
    <s v="User Not Mapped"/>
    <n v="342042"/>
    <s v="Narayan Ch. Biswas"/>
    <s v="Private Retailer"/>
    <s v="9732971230"/>
    <n v="9.3149999999999995"/>
    <n v="21"/>
    <x v="4"/>
    <m/>
    <s v="2026-04-06"/>
    <s v="260210"/>
    <s v="Gouri Sankar Kundu            "/>
    <s v="9064539774"/>
  </r>
  <r>
    <s v="RCF Trombay"/>
    <s v="15-15-15"/>
    <s v="WB"/>
    <x v="15"/>
    <s v="Hanskhali"/>
    <s v="User Not Mapped"/>
    <s v="User Not Mapped"/>
    <s v="User Not Mapped"/>
    <n v="342081"/>
    <s v="Nikhil Ch. Majumder"/>
    <s v="Private Retailer"/>
    <s v="7478899401"/>
    <n v="6"/>
    <n v="27"/>
    <x v="4"/>
    <m/>
    <s v="2026-03-31"/>
    <s v="280732"/>
    <s v="M/S-MADHUSUDAN GHOSH"/>
    <s v="9434823432"/>
  </r>
  <r>
    <s v="RCF Import"/>
    <s v="MOP"/>
    <s v="WB"/>
    <x v="15"/>
    <s v="Hanskhali"/>
    <s v="User Not Mapped"/>
    <s v="User Not Mapped"/>
    <s v="User Not Mapped"/>
    <n v="342081"/>
    <s v="Nikhil Ch. Majumder"/>
    <s v="Private Retailer"/>
    <s v="7478899401"/>
    <n v="0.05"/>
    <n v="401"/>
    <x v="6"/>
    <m/>
    <s v="2025-03-22"/>
    <s v="280732"/>
    <s v="M/S-MADHUSUDAN GHOSH"/>
    <s v="9434823432"/>
  </r>
  <r>
    <s v="RCF Trombay"/>
    <s v="15-15-15"/>
    <s v="WB"/>
    <x v="15"/>
    <s v="Hanskhali"/>
    <s v="User Not Mapped"/>
    <s v="User Not Mapped"/>
    <s v="User Not Mapped"/>
    <n v="342081"/>
    <s v="Nikhil Ch. Majumder"/>
    <s v="Private Retailer"/>
    <s v="7478899401"/>
    <n v="0.2"/>
    <n v="78"/>
    <x v="2"/>
    <m/>
    <s v="2026-02-08"/>
    <s v="280732"/>
    <s v="M/S-MADHUSUDAN GHOSH"/>
    <s v="9434823432"/>
  </r>
  <r>
    <s v="RCF Import"/>
    <s v="MOP"/>
    <s v="WB"/>
    <x v="15"/>
    <s v="Hanskhali"/>
    <s v="User Not Mapped"/>
    <s v="User Not Mapped"/>
    <s v="User Not Mapped"/>
    <n v="342574"/>
    <s v="Purna Chandra Ray"/>
    <s v="Private Retailer"/>
    <s v="8101963398"/>
    <n v="5"/>
    <n v="62"/>
    <x v="2"/>
    <m/>
    <s v="2026-02-24"/>
    <s v="260177"/>
    <s v="SatyaRanjan Kundu and Brothers"/>
    <s v="7908186730"/>
  </r>
  <r>
    <s v="RCF Trombay"/>
    <s v="15-15-15"/>
    <s v="WB"/>
    <x v="15"/>
    <s v="Hanskhali"/>
    <s v="User Not Mapped"/>
    <s v="User Not Mapped"/>
    <s v="User Not Mapped"/>
    <n v="342582"/>
    <s v="Prodyut Joarder"/>
    <s v="Private Retailer"/>
    <s v="9144068324"/>
    <n v="2.9"/>
    <n v="59"/>
    <x v="1"/>
    <m/>
    <s v="2026-02-27"/>
    <s v="260177"/>
    <s v="SatyaRanjan Kundu and Brothers"/>
    <s v="7908186730"/>
  </r>
  <r>
    <s v="RCF Thal"/>
    <s v="N.C.Urea(45kg)"/>
    <s v="WB"/>
    <x v="15"/>
    <s v="Hanskhali"/>
    <s v="User Not Mapped"/>
    <s v="User Not Mapped"/>
    <s v="User Not Mapped"/>
    <n v="342582"/>
    <s v="Prodyut Joarder"/>
    <s v="Private Retailer"/>
    <s v="9144068324"/>
    <n v="9.2249999999999996"/>
    <n v="21"/>
    <x v="4"/>
    <m/>
    <s v="2026-04-06"/>
    <s v="260210"/>
    <s v="Gouri Sankar Kundu            "/>
    <s v="9064539774"/>
  </r>
  <r>
    <s v="RCF Import"/>
    <s v="MOP"/>
    <s v="WB"/>
    <x v="15"/>
    <s v="Hanskhali"/>
    <s v="User Not Mapped"/>
    <s v="User Not Mapped"/>
    <s v="User Not Mapped"/>
    <n v="342582"/>
    <s v="Prodyut Joarder"/>
    <s v="Private Retailer"/>
    <s v="9144068324"/>
    <n v="4.8"/>
    <n v="62"/>
    <x v="2"/>
    <m/>
    <s v="2026-02-24"/>
    <s v="260177"/>
    <s v="SatyaRanjan Kundu and Brothers"/>
    <s v="7908186730"/>
  </r>
  <r>
    <s v="RCF Trombay"/>
    <s v="15-15-15"/>
    <s v="WB"/>
    <x v="15"/>
    <s v="Hanskhali"/>
    <s v="User Not Mapped"/>
    <s v="User Not Mapped"/>
    <s v="User Not Mapped"/>
    <n v="342653"/>
    <s v="Ramesh Chandra Biswas"/>
    <s v="Private Retailer"/>
    <s v="9735356176"/>
    <n v="1.048"/>
    <n v="244"/>
    <x v="3"/>
    <m/>
    <s v="2025-08-26"/>
    <s v="260177"/>
    <s v="SatyaRanjan Kundu and Brothers"/>
    <s v="7908186730"/>
  </r>
  <r>
    <s v="RCF Import"/>
    <s v="MOP"/>
    <s v="WB"/>
    <x v="15"/>
    <s v="Hanskhali"/>
    <s v="User Not Mapped"/>
    <s v="User Not Mapped"/>
    <s v="User Not Mapped"/>
    <n v="342681"/>
    <s v="Prosanta Biswas"/>
    <s v="Private Retailer"/>
    <s v="8944830617"/>
    <n v="3"/>
    <n v="34"/>
    <x v="1"/>
    <m/>
    <s v="2026-03-24"/>
    <s v="280913"/>
    <s v="S.S.P Enterprise"/>
    <s v="9732669190"/>
  </r>
  <r>
    <s v="RCF Thal"/>
    <s v="N.C.Urea(45kg)"/>
    <s v="WB"/>
    <x v="15"/>
    <s v="Hanskhali"/>
    <s v="User Not Mapped"/>
    <s v="User Not Mapped"/>
    <s v="User Not Mapped"/>
    <n v="356225"/>
    <s v="Samir Kumar Pal"/>
    <s v="Private Retailer"/>
    <s v="7908516829"/>
    <n v="2.9249999999999998"/>
    <n v="20"/>
    <x v="4"/>
    <m/>
    <s v="2026-04-07"/>
    <s v="260178"/>
    <s v="M/s. Uttamendu Sarkar"/>
    <s v="9002483836"/>
  </r>
  <r>
    <s v="RCF Trombay"/>
    <s v="15-15-15"/>
    <s v="WB"/>
    <x v="15"/>
    <s v="Hanskhali"/>
    <s v="User Not Mapped"/>
    <s v="User Not Mapped"/>
    <s v="User Not Mapped"/>
    <n v="385727"/>
    <s v="Bibekanandamondal"/>
    <s v="Private Retailer"/>
    <s v="8509832096"/>
    <n v="1.35"/>
    <n v="1015"/>
    <x v="7"/>
    <m/>
    <s v="2023-07-17"/>
    <s v="214222"/>
    <s v="Mahamaya Enterprise"/>
    <s v="8348217174"/>
  </r>
  <r>
    <s v="RCF Trombay"/>
    <s v="15-15-15"/>
    <s v="WB"/>
    <x v="15"/>
    <s v="Hanskhali"/>
    <s v="User Not Mapped"/>
    <s v="User Not Mapped"/>
    <s v="User Not Mapped"/>
    <n v="387986"/>
    <s v="M/S Rabindranath Majumder"/>
    <s v="Private Retailer"/>
    <s v="9832606732"/>
    <n v="8.75"/>
    <n v="91"/>
    <x v="5"/>
    <m/>
    <s v="2026-01-26"/>
    <s v="280729"/>
    <s v="M/s. Naresh Chandra Das"/>
    <s v="7365868045"/>
  </r>
  <r>
    <s v="RCF Trombay"/>
    <s v="15-15-15"/>
    <s v="WB"/>
    <x v="15"/>
    <s v="Hanskhali"/>
    <s v="User Not Mapped"/>
    <s v="User Not Mapped"/>
    <s v="User Not Mapped"/>
    <n v="387998"/>
    <s v="M/S Reboti Mohon Saha"/>
    <s v="Private Retailer"/>
    <s v="9153149461"/>
    <n v="5"/>
    <n v="86"/>
    <x v="2"/>
    <m/>
    <s v="2026-01-31"/>
    <s v="280729"/>
    <s v="M/s. Naresh Chandra Das"/>
    <s v="7365868045"/>
  </r>
  <r>
    <s v="RCF Import"/>
    <s v="MOP"/>
    <s v="WB"/>
    <x v="15"/>
    <s v="Hanskhali"/>
    <s v="User Not Mapped"/>
    <s v="User Not Mapped"/>
    <s v="User Not Mapped"/>
    <n v="412318"/>
    <s v="Sanjib Kumar Dey"/>
    <s v="Private Retailer"/>
    <s v="9474612015"/>
    <n v="5"/>
    <n v="62"/>
    <x v="2"/>
    <m/>
    <s v="2026-02-24"/>
    <s v="260177"/>
    <s v="SatyaRanjan Kundu and Brothers"/>
    <s v="7908186730"/>
  </r>
  <r>
    <s v="RCF Trombay"/>
    <s v="N.C.Urea(45kg)"/>
    <s v="WB"/>
    <x v="15"/>
    <s v="Hanskhali"/>
    <s v="User Not Mapped"/>
    <s v="User Not Mapped"/>
    <s v="User Not Mapped"/>
    <n v="412318"/>
    <s v="Sanjib Kumar Dey"/>
    <s v="Private Retailer"/>
    <s v="9474612015"/>
    <n v="1.8"/>
    <n v="59"/>
    <x v="1"/>
    <m/>
    <s v="2026-02-27"/>
    <s v="260177"/>
    <s v="SatyaRanjan Kundu and Brothers"/>
    <s v="7908186730"/>
  </r>
  <r>
    <s v="RCF Import"/>
    <s v="MOP"/>
    <s v="WB"/>
    <x v="15"/>
    <s v="Hanskhali"/>
    <s v="User Not Mapped"/>
    <s v="User Not Mapped"/>
    <s v="User Not Mapped"/>
    <n v="438094"/>
    <s v="Sidhartha Panday"/>
    <s v="Private Retailer"/>
    <s v="9932987678"/>
    <n v="9"/>
    <n v="58"/>
    <x v="1"/>
    <m/>
    <s v="2026-02-28"/>
    <s v="214222"/>
    <s v="Mahamaya Enterprise"/>
    <s v="8348217174"/>
  </r>
  <r>
    <s v="RCF Trombay"/>
    <s v="15-15-15"/>
    <s v="WB"/>
    <x v="15"/>
    <s v="Hanskhali"/>
    <s v="User Not Mapped"/>
    <s v="User Not Mapped"/>
    <s v="User Not Mapped"/>
    <n v="438104"/>
    <s v="M/S Shaymol Kr. Saha"/>
    <s v="Private Retailer"/>
    <s v="9734265795"/>
    <n v="0.4"/>
    <n v="850"/>
    <x v="7"/>
    <m/>
    <s v="2023-12-29"/>
    <s v="260178"/>
    <s v="M/s. Uttamendu Sarkar"/>
    <s v="9002483836"/>
  </r>
  <r>
    <s v="RCF Trombay"/>
    <s v="15-15-15"/>
    <s v="WB"/>
    <x v="15"/>
    <s v="Hanskhali"/>
    <s v="User Not Mapped"/>
    <s v="User Not Mapped"/>
    <s v="User Not Mapped"/>
    <n v="438104"/>
    <s v="M/S Shaymol Kr. Saha"/>
    <s v="Private Retailer"/>
    <s v="9734265795"/>
    <n v="0.75"/>
    <n v="647"/>
    <x v="7"/>
    <m/>
    <s v="2024-07-19"/>
    <s v="260178"/>
    <s v="M/s. Uttamendu Sarkar"/>
    <s v="9002483836"/>
  </r>
  <r>
    <s v="RCF Thal"/>
    <s v="N.C.Urea(45kg)"/>
    <s v="WB"/>
    <x v="15"/>
    <s v="Hanskhali"/>
    <s v="User Not Mapped"/>
    <s v="User Not Mapped"/>
    <s v="User Not Mapped"/>
    <n v="438104"/>
    <s v="M/S Shaymol Kr. Saha"/>
    <s v="Private Retailer"/>
    <s v="9734265795"/>
    <n v="0.5"/>
    <n v="1067"/>
    <x v="7"/>
    <m/>
    <s v="2023-05-26"/>
    <s v="260178"/>
    <s v="M/s. Uttamendu Sarkar"/>
    <s v="9002483836"/>
  </r>
  <r>
    <s v="RCF Thal"/>
    <s v="N.C.Urea(45kg)"/>
    <s v="WB"/>
    <x v="15"/>
    <s v="Hanskhali"/>
    <s v="User Not Mapped"/>
    <s v="User Not Mapped"/>
    <s v="User Not Mapped"/>
    <n v="438802"/>
    <s v="Binoy Krishna Ghosh"/>
    <s v="Private Retailer"/>
    <s v="8001983122"/>
    <n v="0.15"/>
    <n v="213"/>
    <x v="3"/>
    <m/>
    <s v="2025-09-26"/>
    <s v="260178"/>
    <s v="M/s. Uttamendu Sarkar"/>
    <s v="9002483836"/>
  </r>
  <r>
    <s v="RCF Trombay"/>
    <s v="15-15-15"/>
    <s v="WB"/>
    <x v="15"/>
    <s v="Hanskhali"/>
    <s v="User Not Mapped"/>
    <s v="User Not Mapped"/>
    <s v="User Not Mapped"/>
    <n v="438802"/>
    <s v="Binoy Krishna Ghosh"/>
    <s v="Private Retailer"/>
    <s v="8001983122"/>
    <n v="0.15"/>
    <n v="150"/>
    <x v="0"/>
    <m/>
    <s v="2025-11-28"/>
    <s v="260178"/>
    <s v="M/s. Uttamendu Sarkar"/>
    <s v="9002483836"/>
  </r>
  <r>
    <s v="RCF Trombay"/>
    <s v="N.C.Urea(45kg)"/>
    <s v="WB"/>
    <x v="15"/>
    <s v="Hanskhali"/>
    <s v="User Not Mapped"/>
    <s v="User Not Mapped"/>
    <s v="User Not Mapped"/>
    <n v="438802"/>
    <s v="Binoy Krishna Ghosh"/>
    <s v="Private Retailer"/>
    <s v="8001983122"/>
    <n v="7.4999999999999997E-2"/>
    <n v="142"/>
    <x v="0"/>
    <m/>
    <s v="2025-12-06"/>
    <s v="260178"/>
    <s v="M/s. Uttamendu Sarkar"/>
    <s v="9002483836"/>
  </r>
  <r>
    <s v="RCF Thal"/>
    <s v="N.C.Urea(45kg)"/>
    <s v="WB"/>
    <x v="15"/>
    <s v="Hanskhali"/>
    <s v="User Not Mapped"/>
    <s v="User Not Mapped"/>
    <s v="User Not Mapped"/>
    <n v="438822"/>
    <s v="Monimohan Samajpati"/>
    <s v="Private Retailer"/>
    <s v="8537091720"/>
    <n v="15.93"/>
    <n v="397"/>
    <x v="6"/>
    <m/>
    <s v="2025-03-26"/>
    <s v="280729"/>
    <s v="M/s. Naresh Chandra Das"/>
    <s v="7365868045"/>
  </r>
  <r>
    <s v="RCF Trombay"/>
    <s v="15-15-15"/>
    <s v="WB"/>
    <x v="15"/>
    <s v="Hanskhali"/>
    <s v="User Not Mapped"/>
    <s v="User Not Mapped"/>
    <s v="User Not Mapped"/>
    <n v="440280"/>
    <s v="M/S Tilok Das"/>
    <s v="Private Retailer"/>
    <s v="8371888851"/>
    <n v="1.4"/>
    <n v="91"/>
    <x v="5"/>
    <m/>
    <s v="2026-01-26"/>
    <s v="280729"/>
    <s v="M/s. Naresh Chandra Das"/>
    <s v="7365868045"/>
  </r>
  <r>
    <s v="RCF Trombay"/>
    <s v="15-15-15"/>
    <s v="WB"/>
    <x v="15"/>
    <s v="Hanskhali"/>
    <s v="User Not Mapped"/>
    <s v="User Not Mapped"/>
    <s v="User Not Mapped"/>
    <n v="440280"/>
    <s v="M/S Tilok Das"/>
    <s v="Private Retailer"/>
    <s v="8371888851"/>
    <n v="5"/>
    <n v="59"/>
    <x v="1"/>
    <m/>
    <s v="2026-02-27"/>
    <s v="280729"/>
    <s v="M/s. Naresh Chandra Das"/>
    <s v="7365868045"/>
  </r>
  <r>
    <s v="RCF Trombay"/>
    <s v="15-15-15"/>
    <s v="WB"/>
    <x v="15"/>
    <s v="Hanskhali"/>
    <s v="User Not Mapped"/>
    <s v="User Not Mapped"/>
    <s v="User Not Mapped"/>
    <n v="440430"/>
    <s v="Subal Chandra Biswas"/>
    <s v="Private Retailer"/>
    <s v="8768179585"/>
    <n v="3.3"/>
    <n v="65"/>
    <x v="2"/>
    <m/>
    <s v="2026-02-21"/>
    <s v="259034"/>
    <s v="MS Guha And Co"/>
    <s v="8695359505"/>
  </r>
  <r>
    <s v="RCF Thal"/>
    <s v="N.C.Urea(45kg)"/>
    <s v="WB"/>
    <x v="15"/>
    <s v="Hanskhali"/>
    <s v="User Not Mapped"/>
    <s v="User Not Mapped"/>
    <s v="User Not Mapped"/>
    <n v="440430"/>
    <s v="Subal Chandra Biswas"/>
    <s v="Private Retailer"/>
    <s v="8768179585"/>
    <n v="9.99"/>
    <n v="23"/>
    <x v="4"/>
    <m/>
    <s v="2026-04-04"/>
    <s v="259034"/>
    <s v="MS Guha And Co"/>
    <s v="8695359505"/>
  </r>
  <r>
    <s v="RCF Import"/>
    <s v="MOP"/>
    <s v="WB"/>
    <x v="15"/>
    <s v="Hanskhali"/>
    <s v="User Not Mapped"/>
    <s v="User Not Mapped"/>
    <s v="User Not Mapped"/>
    <n v="440430"/>
    <s v="Subal Chandra Biswas"/>
    <s v="Private Retailer"/>
    <s v="8768179585"/>
    <n v="3.3"/>
    <n v="69"/>
    <x v="2"/>
    <m/>
    <s v="2026-02-17"/>
    <s v="259034"/>
    <s v="MS Guha And Co"/>
    <s v="8695359505"/>
  </r>
  <r>
    <s v="RCF Trombay"/>
    <s v="N.C.Urea(45kg)"/>
    <s v="WB"/>
    <x v="15"/>
    <s v="Hanskhali"/>
    <s v="User Not Mapped"/>
    <s v="User Not Mapped"/>
    <s v="User Not Mapped"/>
    <n v="440430"/>
    <s v="Subal Chandra Biswas"/>
    <s v="Private Retailer"/>
    <s v="8768179585"/>
    <n v="1.17"/>
    <n v="65"/>
    <x v="2"/>
    <m/>
    <s v="2026-02-21"/>
    <s v="259034"/>
    <s v="MS Guha And Co"/>
    <s v="8695359505"/>
  </r>
  <r>
    <s v="RCF Trombay"/>
    <s v="15-15-15"/>
    <s v="WB"/>
    <x v="15"/>
    <s v="Hanskhali"/>
    <s v="User Not Mapped"/>
    <s v="User Not Mapped"/>
    <s v="User Not Mapped"/>
    <n v="441489"/>
    <s v="M/S Sukdev Dey"/>
    <s v="Private Retailer"/>
    <s v="7797394350"/>
    <n v="0.5"/>
    <n v="91"/>
    <x v="5"/>
    <m/>
    <s v="2026-01-26"/>
    <s v="260177"/>
    <s v="SatyaRanjan Kundu and Brothers"/>
    <s v="7908186730"/>
  </r>
  <r>
    <s v="RCF Trombay"/>
    <s v="15-15-15"/>
    <s v="WB"/>
    <x v="15"/>
    <s v="Hanskhali"/>
    <s v="User Not Mapped"/>
    <s v="User Not Mapped"/>
    <s v="User Not Mapped"/>
    <n v="441489"/>
    <s v="M/S Sukdev Dey"/>
    <s v="Private Retailer"/>
    <s v="7797394350"/>
    <n v="1.5"/>
    <n v="79"/>
    <x v="2"/>
    <m/>
    <s v="2026-02-07"/>
    <s v="260177"/>
    <s v="SatyaRanjan Kundu and Brothers"/>
    <s v="7908186730"/>
  </r>
  <r>
    <s v="RCF Import"/>
    <s v="MOP"/>
    <s v="WB"/>
    <x v="15"/>
    <s v="Hanskhali"/>
    <s v="User Not Mapped"/>
    <s v="User Not Mapped"/>
    <s v="User Not Mapped"/>
    <n v="441489"/>
    <s v="M/S Sukdev Dey"/>
    <s v="Private Retailer"/>
    <s v="7797394350"/>
    <n v="5"/>
    <n v="62"/>
    <x v="2"/>
    <m/>
    <s v="2026-02-24"/>
    <s v="260177"/>
    <s v="SatyaRanjan Kundu and Brothers"/>
    <s v="7908186730"/>
  </r>
  <r>
    <s v="RCF Import"/>
    <s v="MOP"/>
    <s v="WB"/>
    <x v="15"/>
    <s v="Hanskhali"/>
    <s v="User Not Mapped"/>
    <s v="User Not Mapped"/>
    <s v="User Not Mapped"/>
    <n v="441509"/>
    <s v="MS Sukumar Biswas"/>
    <s v="Private Retailer"/>
    <s v="9002622210"/>
    <n v="0.25"/>
    <n v="25"/>
    <x v="4"/>
    <m/>
    <s v="2026-04-02"/>
    <s v="280729"/>
    <s v="M/s. Naresh Chandra Das"/>
    <s v="7365868045"/>
  </r>
  <r>
    <s v="RCF Trombay"/>
    <s v="15-15-15"/>
    <s v="WB"/>
    <x v="15"/>
    <s v="Hanskhali"/>
    <s v="User Not Mapped"/>
    <s v="User Not Mapped"/>
    <s v="User Not Mapped"/>
    <n v="441509"/>
    <s v="MS Sukumar Biswas"/>
    <s v="Private Retailer"/>
    <s v="9002622210"/>
    <n v="0.25"/>
    <n v="25"/>
    <x v="4"/>
    <m/>
    <s v="2026-04-02"/>
    <s v="280729"/>
    <s v="M/s. Naresh Chandra Das"/>
    <s v="7365868045"/>
  </r>
  <r>
    <s v="RCF Trombay"/>
    <s v="15-15-15"/>
    <s v="WB"/>
    <x v="15"/>
    <s v="Hanskhali"/>
    <s v="User Not Mapped"/>
    <s v="User Not Mapped"/>
    <s v="User Not Mapped"/>
    <n v="441509"/>
    <s v="MS Sukumar Biswas"/>
    <s v="Private Retailer"/>
    <s v="9002622210"/>
    <n v="0.8"/>
    <n v="49"/>
    <x v="1"/>
    <m/>
    <s v="2026-03-09"/>
    <s v="280729"/>
    <s v="M/s. Naresh Chandra Das"/>
    <s v="7365868045"/>
  </r>
  <r>
    <s v="RCF Import"/>
    <s v="MOP"/>
    <s v="WB"/>
    <x v="15"/>
    <s v="Hanskhali"/>
    <s v="User Not Mapped"/>
    <s v="User Not Mapped"/>
    <s v="User Not Mapped"/>
    <n v="441531"/>
    <s v="SANJAY SAHA"/>
    <s v="Private Retailer"/>
    <s v="9474341221"/>
    <n v="10"/>
    <n v="59"/>
    <x v="1"/>
    <m/>
    <s v="2026-02-27"/>
    <s v="260177"/>
    <s v="SatyaRanjan Kundu and Brothers"/>
    <s v="7908186730"/>
  </r>
  <r>
    <s v="RCF Trombay"/>
    <s v="N.C.Urea(45kg)"/>
    <s v="WB"/>
    <x v="15"/>
    <s v="Hanskhali"/>
    <s v="User Not Mapped"/>
    <s v="User Not Mapped"/>
    <s v="User Not Mapped"/>
    <n v="441531"/>
    <s v="SANJAY SAHA"/>
    <s v="Private Retailer"/>
    <s v="9474341221"/>
    <n v="4.9950000000000001"/>
    <n v="91"/>
    <x v="5"/>
    <m/>
    <s v="2026-01-26"/>
    <s v="269287"/>
    <s v="Gopal Krishna Kundu"/>
    <s v="9732644921"/>
  </r>
  <r>
    <s v="RCF Trombay"/>
    <s v="N.C.Urea(45kg)"/>
    <s v="WB"/>
    <x v="15"/>
    <s v="Hanskhali"/>
    <s v="User Not Mapped"/>
    <s v="User Not Mapped"/>
    <s v="User Not Mapped"/>
    <n v="441531"/>
    <s v="SANJAY SAHA"/>
    <s v="Private Retailer"/>
    <s v="9474341221"/>
    <n v="9.99"/>
    <n v="89"/>
    <x v="2"/>
    <m/>
    <s v="2026-01-28"/>
    <s v="270129"/>
    <s v="Kalyan Kr. Nandi"/>
    <s v="8250914797"/>
  </r>
  <r>
    <s v="RCF Trombay"/>
    <s v="15-15-15"/>
    <s v="WB"/>
    <x v="15"/>
    <s v="Hanskhali"/>
    <s v="User Not Mapped"/>
    <s v="User Not Mapped"/>
    <s v="User Not Mapped"/>
    <n v="441531"/>
    <s v="SANJAY SAHA"/>
    <s v="Private Retailer"/>
    <s v="9474341221"/>
    <n v="3.6"/>
    <n v="59"/>
    <x v="1"/>
    <m/>
    <s v="2026-02-27"/>
    <s v="260177"/>
    <s v="SatyaRanjan Kundu and Brothers"/>
    <s v="7908186730"/>
  </r>
  <r>
    <s v="RCF Thal"/>
    <s v="N.C.Urea(45kg)"/>
    <s v="WB"/>
    <x v="15"/>
    <s v="Hanskhali"/>
    <s v="User Not Mapped"/>
    <s v="User Not Mapped"/>
    <s v="User Not Mapped"/>
    <n v="441531"/>
    <s v="SANJAY SAHA"/>
    <s v="Private Retailer"/>
    <s v="9474341221"/>
    <n v="9.99"/>
    <n v="20"/>
    <x v="4"/>
    <m/>
    <s v="2026-04-07"/>
    <s v="280729"/>
    <s v="M/s. Naresh Chandra Das"/>
    <s v="7365868045"/>
  </r>
  <r>
    <s v="RCF Import"/>
    <s v="MOP"/>
    <s v="WB"/>
    <x v="15"/>
    <s v="Hanskhali"/>
    <s v="User Not Mapped"/>
    <s v="User Not Mapped"/>
    <s v="User Not Mapped"/>
    <n v="441531"/>
    <s v="SANJAY SAHA"/>
    <s v="Private Retailer"/>
    <s v="9474341221"/>
    <n v="1"/>
    <n v="25"/>
    <x v="4"/>
    <m/>
    <s v="2026-04-02"/>
    <s v="280729"/>
    <s v="M/s. Naresh Chandra Das"/>
    <s v="7365868045"/>
  </r>
  <r>
    <s v="RCF Trombay"/>
    <s v="15-15-15"/>
    <s v="WB"/>
    <x v="15"/>
    <s v="Hanskhali"/>
    <s v="User Not Mapped"/>
    <s v="User Not Mapped"/>
    <s v="User Not Mapped"/>
    <n v="441531"/>
    <s v="SANJAY SAHA"/>
    <s v="Private Retailer"/>
    <s v="9474341221"/>
    <n v="1.6"/>
    <n v="10"/>
    <x v="4"/>
    <m/>
    <s v="2026-04-17"/>
    <s v="280729"/>
    <s v="M/s. Naresh Chandra Das"/>
    <s v="7365868045"/>
  </r>
  <r>
    <s v="RCF Trombay"/>
    <s v="15-15-15"/>
    <s v="WB"/>
    <x v="15"/>
    <s v="Hanskhali"/>
    <s v="User Not Mapped"/>
    <s v="User Not Mapped"/>
    <s v="User Not Mapped"/>
    <n v="441531"/>
    <s v="SANJAY SAHA"/>
    <s v="Private Retailer"/>
    <s v="9474341221"/>
    <n v="0.75"/>
    <n v="25"/>
    <x v="4"/>
    <m/>
    <s v="2026-04-02"/>
    <s v="280729"/>
    <s v="M/s. Naresh Chandra Das"/>
    <s v="7365868045"/>
  </r>
  <r>
    <s v="RCF Thal"/>
    <s v="N.C.Urea(45kg)"/>
    <s v="WB"/>
    <x v="15"/>
    <s v="Hanskhali"/>
    <s v="User Not Mapped"/>
    <s v="User Not Mapped"/>
    <s v="User Not Mapped"/>
    <n v="441531"/>
    <s v="SANJAY SAHA"/>
    <s v="Private Retailer"/>
    <s v="9474341221"/>
    <n v="1.575"/>
    <n v="49"/>
    <x v="1"/>
    <m/>
    <s v="2026-03-09"/>
    <s v="280729"/>
    <s v="M/s. Naresh Chandra Das"/>
    <s v="7365868045"/>
  </r>
  <r>
    <s v="RCF Trombay"/>
    <s v="15-15-15"/>
    <s v="WB"/>
    <x v="15"/>
    <s v="Hanskhali"/>
    <s v="User Not Mapped"/>
    <s v="User Not Mapped"/>
    <s v="User Not Mapped"/>
    <n v="441531"/>
    <s v="SANJAY SAHA"/>
    <s v="Private Retailer"/>
    <s v="9474341221"/>
    <n v="0.25"/>
    <n v="49"/>
    <x v="1"/>
    <m/>
    <s v="2026-03-09"/>
    <s v="280729"/>
    <s v="M/s. Naresh Chandra Das"/>
    <s v="7365868045"/>
  </r>
  <r>
    <s v="RCF Trombay"/>
    <s v="N.C.Urea(45kg)"/>
    <s v="WB"/>
    <x v="15"/>
    <s v="Hanskhali"/>
    <s v="User Not Mapped"/>
    <s v="User Not Mapped"/>
    <s v="User Not Mapped"/>
    <n v="441531"/>
    <s v="SANJAY SAHA"/>
    <s v="Private Retailer"/>
    <s v="9474341221"/>
    <n v="4.1849999999999996"/>
    <n v="143"/>
    <x v="0"/>
    <m/>
    <s v="2025-12-05"/>
    <s v="280729"/>
    <s v="M/s. Naresh Chandra Das"/>
    <s v="7365868045"/>
  </r>
  <r>
    <s v="RCF Thal"/>
    <s v="N.C.Urea(45kg)"/>
    <s v="WB"/>
    <x v="15"/>
    <s v="Hanskhali"/>
    <s v="User Not Mapped"/>
    <s v="User Not Mapped"/>
    <s v="User Not Mapped"/>
    <n v="441531"/>
    <s v="SANJAY SAHA"/>
    <s v="Private Retailer"/>
    <s v="9474341221"/>
    <n v="1.05"/>
    <n v="257"/>
    <x v="3"/>
    <m/>
    <s v="2025-08-13"/>
    <s v="280729"/>
    <s v="M/s. Naresh Chandra Das"/>
    <s v="7365868045"/>
  </r>
  <r>
    <s v="RCF Thal"/>
    <s v="N.C.Urea(45kg)"/>
    <s v="WB"/>
    <x v="15"/>
    <s v="Hanskhali"/>
    <s v="User Not Mapped"/>
    <s v="User Not Mapped"/>
    <s v="User Not Mapped"/>
    <n v="441531"/>
    <s v="SANJAY SAHA"/>
    <s v="Private Retailer"/>
    <s v="9474341221"/>
    <n v="6.3"/>
    <n v="230"/>
    <x v="3"/>
    <m/>
    <s v="2025-09-09"/>
    <s v="280729"/>
    <s v="M/s. Naresh Chandra Das"/>
    <s v="7365868045"/>
  </r>
  <r>
    <s v="RCF Trombay"/>
    <s v="N.C.Urea(45kg)"/>
    <s v="WB"/>
    <x v="15"/>
    <s v="Hanskhali"/>
    <s v="User Not Mapped"/>
    <s v="User Not Mapped"/>
    <s v="User Not Mapped"/>
    <n v="441533"/>
    <s v="SHIBKINKAR SARKAR"/>
    <s v="Private Retailer"/>
    <s v="9679389753"/>
    <n v="2.25"/>
    <n v="466"/>
    <x v="6"/>
    <m/>
    <s v="2025-01-16"/>
    <s v="280729"/>
    <s v="M/s. Naresh Chandra Das"/>
    <s v="7365868045"/>
  </r>
  <r>
    <s v="RCF Trombay"/>
    <s v="15-15-15"/>
    <s v="WB"/>
    <x v="15"/>
    <s v="Hanskhali"/>
    <s v="User Not Mapped"/>
    <s v="User Not Mapped"/>
    <s v="User Not Mapped"/>
    <n v="441535"/>
    <s v="Nirmal Kr. Biswas"/>
    <s v="Private Retailer"/>
    <s v="8016266445"/>
    <n v="1"/>
    <n v="31"/>
    <x v="1"/>
    <m/>
    <s v="2026-03-27"/>
    <s v="280729"/>
    <s v="M/s. Naresh Chandra Das"/>
    <s v="7365868045"/>
  </r>
  <r>
    <s v="RCF Import"/>
    <s v="MOP"/>
    <s v="WB"/>
    <x v="15"/>
    <s v="Hanskhali"/>
    <s v="User Not Mapped"/>
    <s v="User Not Mapped"/>
    <s v="User Not Mapped"/>
    <n v="441535"/>
    <s v="Nirmal Kr. Biswas"/>
    <s v="Private Retailer"/>
    <s v="8016266445"/>
    <n v="0.5"/>
    <n v="31"/>
    <x v="1"/>
    <m/>
    <s v="2026-03-27"/>
    <s v="280729"/>
    <s v="M/s. Naresh Chandra Das"/>
    <s v="7365868045"/>
  </r>
  <r>
    <s v="RCF Import"/>
    <s v="MOP"/>
    <s v="WB"/>
    <x v="15"/>
    <s v="Hanskhali"/>
    <s v="User Not Mapped"/>
    <s v="User Not Mapped"/>
    <s v="User Not Mapped"/>
    <n v="441535"/>
    <s v="Nirmal Kr. Biswas"/>
    <s v="Private Retailer"/>
    <s v="8016266445"/>
    <n v="0.5"/>
    <n v="26"/>
    <x v="4"/>
    <m/>
    <s v="2026-04-01"/>
    <s v="280729"/>
    <s v="M/s. Naresh Chandra Das"/>
    <s v="7365868045"/>
  </r>
  <r>
    <s v="RCF Trombay"/>
    <s v="15-15-15"/>
    <s v="WB"/>
    <x v="15"/>
    <s v="Hanskhali"/>
    <s v="User Not Mapped"/>
    <s v="User Not Mapped"/>
    <s v="User Not Mapped"/>
    <n v="444125"/>
    <s v="Ms Sankar Prosad Ghosh"/>
    <s v="Private Retailer"/>
    <s v="9531516675"/>
    <n v="2"/>
    <n v="177"/>
    <x v="0"/>
    <m/>
    <s v="2025-11-01"/>
    <s v="260177"/>
    <s v="SatyaRanjan Kundu and Brothers"/>
    <s v="7908186730"/>
  </r>
  <r>
    <s v="RCF Trombay"/>
    <s v="15-15-15"/>
    <s v="WB"/>
    <x v="15"/>
    <s v="Hanskhali"/>
    <s v="User Not Mapped"/>
    <s v="User Not Mapped"/>
    <s v="User Not Mapped"/>
    <n v="482600"/>
    <s v="MS SHYAMAPADA GHOSH"/>
    <s v="Private Retailer"/>
    <s v="8250168235"/>
    <n v="0.01"/>
    <n v="137"/>
    <x v="0"/>
    <m/>
    <s v="2025-12-11"/>
    <s v="280732"/>
    <s v="M/S-MADHUSUDAN GHOSH"/>
    <s v="9434823432"/>
  </r>
  <r>
    <s v="RCF Thal"/>
    <s v="N.C.Urea(45kg)"/>
    <s v="WB"/>
    <x v="15"/>
    <s v="Hanskhali"/>
    <s v="User Not Mapped"/>
    <s v="User Not Mapped"/>
    <s v="User Not Mapped"/>
    <n v="482600"/>
    <s v="MS SHYAMAPADA GHOSH"/>
    <s v="Private Retailer"/>
    <s v="8250168235"/>
    <n v="3.96"/>
    <n v="200"/>
    <x v="3"/>
    <m/>
    <s v="2025-10-09"/>
    <s v="280732"/>
    <s v="M/S-MADHUSUDAN GHOSH"/>
    <s v="9434823432"/>
  </r>
  <r>
    <s v="RCF Import"/>
    <s v="MOP"/>
    <s v="WB"/>
    <x v="15"/>
    <s v="Hanskhali"/>
    <s v="User Not Mapped"/>
    <s v="User Not Mapped"/>
    <s v="User Not Mapped"/>
    <n v="482600"/>
    <s v="MS SHYAMAPADA GHOSH"/>
    <s v="Private Retailer"/>
    <s v="8250168235"/>
    <n v="4.5999999999999996"/>
    <n v="401"/>
    <x v="6"/>
    <m/>
    <s v="2025-03-22"/>
    <s v="280732"/>
    <s v="M/S-MADHUSUDAN GHOSH"/>
    <s v="9434823432"/>
  </r>
  <r>
    <s v="RCF Trombay"/>
    <s v="N.C.Urea(45kg)"/>
    <s v="WB"/>
    <x v="15"/>
    <s v="Hanskhali"/>
    <s v="User Not Mapped"/>
    <s v="User Not Mapped"/>
    <s v="User Not Mapped"/>
    <n v="509952"/>
    <s v="MS SUSANTA PAUL"/>
    <s v="Private Retailer"/>
    <s v="7699390533"/>
    <n v="4.4999999999999998E-2"/>
    <n v="592"/>
    <x v="7"/>
    <m/>
    <s v="2024-09-12"/>
    <s v="280732"/>
    <s v="M/S-MADHUSUDAN GHOSH"/>
    <s v="9434823432"/>
  </r>
  <r>
    <s v="RCF Thal"/>
    <s v="N.C.Urea(45kg)"/>
    <s v="WB"/>
    <x v="15"/>
    <s v="Hanskhali"/>
    <s v="User Not Mapped"/>
    <s v="User Not Mapped"/>
    <s v="User Not Mapped"/>
    <n v="550846"/>
    <s v="Ashim Ghosh"/>
    <s v="Private Retailer"/>
    <s v="7865906921"/>
    <n v="3.15"/>
    <n v="20"/>
    <x v="4"/>
    <m/>
    <s v="2026-04-07"/>
    <s v="260178"/>
    <s v="M/s. Uttamendu Sarkar"/>
    <s v="9002483836"/>
  </r>
  <r>
    <s v="RCF Import"/>
    <s v="MOP"/>
    <s v="WB"/>
    <x v="15"/>
    <s v="Hanskhali"/>
    <s v="User Not Mapped"/>
    <s v="User Not Mapped"/>
    <s v="User Not Mapped"/>
    <n v="550846"/>
    <s v="Ashim Ghosh"/>
    <s v="Private Retailer"/>
    <s v="7865906921"/>
    <n v="0.5"/>
    <n v="33"/>
    <x v="1"/>
    <m/>
    <s v="2026-03-25"/>
    <s v="260178"/>
    <s v="M/s. Uttamendu Sarkar"/>
    <s v="9002483836"/>
  </r>
  <r>
    <s v="RCF Trombay"/>
    <s v="15-15-15"/>
    <s v="WB"/>
    <x v="15"/>
    <s v="Hanskhali"/>
    <s v="User Not Mapped"/>
    <s v="User Not Mapped"/>
    <s v="User Not Mapped"/>
    <n v="589071"/>
    <s v="SHRINIBAS BISWAS"/>
    <s v="Private Retailer"/>
    <s v="7699032468"/>
    <n v="2.1"/>
    <n v="80"/>
    <x v="2"/>
    <m/>
    <s v="2026-02-06"/>
    <s v="280913"/>
    <s v="S.S.P Enterprise"/>
    <s v="9732669190"/>
  </r>
  <r>
    <s v="RCF Trombay"/>
    <s v="15-15-15"/>
    <s v="WB"/>
    <x v="15"/>
    <s v="Hanskhali"/>
    <s v="User Not Mapped"/>
    <s v="User Not Mapped"/>
    <s v="User Not Mapped"/>
    <n v="616475"/>
    <s v="DILIP KUMAR ROY"/>
    <s v="Private Retailer"/>
    <s v="9932765300"/>
    <n v="6.9"/>
    <n v="90"/>
    <x v="2"/>
    <m/>
    <s v="2026-01-27"/>
    <s v="214222"/>
    <s v="Mahamaya Enterprise"/>
    <s v="8348217174"/>
  </r>
  <r>
    <s v="RCF Trombay"/>
    <s v="N.C.Urea(45kg)"/>
    <s v="WB"/>
    <x v="15"/>
    <s v="Hanskhali"/>
    <s v="User Not Mapped"/>
    <s v="User Not Mapped"/>
    <s v="User Not Mapped"/>
    <n v="616475"/>
    <s v="DILIP KUMAR ROY"/>
    <s v="Private Retailer"/>
    <s v="9932765300"/>
    <n v="9.5399999999999991"/>
    <n v="65"/>
    <x v="2"/>
    <m/>
    <s v="2026-02-21"/>
    <s v="280913"/>
    <s v="S.S.P Enterprise"/>
    <s v="9732669190"/>
  </r>
  <r>
    <s v="RCF Import"/>
    <s v="MOP"/>
    <s v="WB"/>
    <x v="15"/>
    <s v="Hanskhali"/>
    <s v="User Not Mapped"/>
    <s v="User Not Mapped"/>
    <s v="User Not Mapped"/>
    <n v="616475"/>
    <s v="DILIP KUMAR ROY"/>
    <s v="Private Retailer"/>
    <s v="9932765300"/>
    <n v="5"/>
    <n v="7"/>
    <x v="4"/>
    <m/>
    <s v="2026-04-20"/>
    <s v="270129"/>
    <s v="Kalyan Kr. Nandi"/>
    <s v="8250914797"/>
  </r>
  <r>
    <s v="RCF Trombay"/>
    <s v="15-15-15"/>
    <s v="WB"/>
    <x v="15"/>
    <s v="Hanskhali"/>
    <s v="User Not Mapped"/>
    <s v="User Not Mapped"/>
    <s v="User Not Mapped"/>
    <n v="624153"/>
    <s v="HARASHIT BISWAS"/>
    <s v="Private Retailer"/>
    <s v="9775243670"/>
    <n v="4.6500000000000004"/>
    <n v="60"/>
    <x v="1"/>
    <m/>
    <s v="2026-02-26"/>
    <s v="260177"/>
    <s v="SatyaRanjan Kundu and Brothers"/>
    <s v="7908186730"/>
  </r>
  <r>
    <s v="RCF Thal"/>
    <s v="N.C.Urea(45kg)"/>
    <s v="WB"/>
    <x v="15"/>
    <s v="Hanskhali"/>
    <s v="User Not Mapped"/>
    <s v="User Not Mapped"/>
    <s v="User Not Mapped"/>
    <n v="750348"/>
    <s v="PRAMANICK FERTILIZER"/>
    <s v="Private Retailer"/>
    <s v="8597750555"/>
    <n v="10.98"/>
    <n v="15"/>
    <x v="4"/>
    <m/>
    <s v="2026-04-12"/>
    <s v="280732"/>
    <s v="M/S-MADHUSUDAN GHOSH"/>
    <s v="9434823432"/>
  </r>
  <r>
    <s v="RCF Thal"/>
    <s v="N.C.Urea(45kg)"/>
    <s v="WB"/>
    <x v="15"/>
    <s v="Hanskhali"/>
    <s v="User Not Mapped"/>
    <s v="User Not Mapped"/>
    <s v="User Not Mapped"/>
    <n v="750348"/>
    <s v="PRAMANICK FERTILIZER"/>
    <s v="Private Retailer"/>
    <s v="8597750555"/>
    <n v="0.18"/>
    <n v="455"/>
    <x v="6"/>
    <m/>
    <s v="2025-01-27"/>
    <s v="268776"/>
    <s v="Chandra Kanta Das"/>
    <s v="9830307100"/>
  </r>
  <r>
    <s v="RCF Trombay"/>
    <s v="N.C.Urea(45kg)"/>
    <s v="WB"/>
    <x v="15"/>
    <s v="Hanskhali"/>
    <s v="User Not Mapped"/>
    <s v="User Not Mapped"/>
    <s v="User Not Mapped"/>
    <n v="750348"/>
    <s v="PRAMANICK FERTILIZER"/>
    <s v="Private Retailer"/>
    <s v="8597750555"/>
    <n v="4.9950000000000001"/>
    <n v="149"/>
    <x v="0"/>
    <m/>
    <s v="2025-11-29"/>
    <s v="259034"/>
    <s v="MS Guha And Co"/>
    <s v="8695359505"/>
  </r>
  <r>
    <s v="RCF Trombay"/>
    <s v="N.C.Urea(45kg)"/>
    <s v="WB"/>
    <x v="15"/>
    <s v="Hanskhali"/>
    <s v="User Not Mapped"/>
    <s v="User Not Mapped"/>
    <s v="User Not Mapped"/>
    <n v="750348"/>
    <s v="PRAMANICK FERTILIZER"/>
    <s v="Private Retailer"/>
    <s v="8597750555"/>
    <n v="3.8250000000000002"/>
    <n v="180"/>
    <x v="0"/>
    <m/>
    <s v="2025-10-29"/>
    <s v="260177"/>
    <s v="SatyaRanjan Kundu and Brothers"/>
    <s v="7908186730"/>
  </r>
  <r>
    <s v="RCF Trombay"/>
    <s v="N.C.Urea(45kg)"/>
    <s v="WB"/>
    <x v="15"/>
    <s v="Hanskhali"/>
    <s v="User Not Mapped"/>
    <s v="User Not Mapped"/>
    <s v="User Not Mapped"/>
    <n v="750368"/>
    <s v="BISWAJIT DAS"/>
    <s v="Private Retailer"/>
    <s v="8967427205"/>
    <n v="3.4649999999999999"/>
    <n v="244"/>
    <x v="3"/>
    <m/>
    <s v="2025-08-26"/>
    <s v="259034"/>
    <s v="MS Guha And Co"/>
    <s v="8695359505"/>
  </r>
  <r>
    <s v="RCF Thal"/>
    <s v="N.C.Urea(45kg)"/>
    <s v="WB"/>
    <x v="15"/>
    <s v="Hanskhali"/>
    <s v="User Not Mapped"/>
    <s v="User Not Mapped"/>
    <s v="User Not Mapped"/>
    <n v="872968"/>
    <s v="KUMARESH BISWAS"/>
    <s v="Private Retailer"/>
    <s v="9002918641"/>
    <n v="9.99"/>
    <n v="19"/>
    <x v="4"/>
    <m/>
    <s v="2026-04-08"/>
    <s v="260177"/>
    <s v="SatyaRanjan Kundu and Brothers"/>
    <s v="7908186730"/>
  </r>
  <r>
    <s v="RCF Trombay"/>
    <s v="15-15-15"/>
    <s v="WB"/>
    <x v="15"/>
    <s v="Hanskhali"/>
    <s v="User Not Mapped"/>
    <s v="User Not Mapped"/>
    <s v="User Not Mapped"/>
    <n v="937872"/>
    <s v="CHUPRIA O PANDITPUR GPSKUS LTD"/>
    <s v="Other"/>
    <s v="8509273490"/>
    <n v="1"/>
    <n v="178"/>
    <x v="0"/>
    <m/>
    <s v="2025-10-31"/>
    <s v="280732"/>
    <s v="M/S-MADHUSUDAN GHOSH"/>
    <s v="9434823432"/>
  </r>
  <r>
    <s v="RCF Thal"/>
    <s v="N.C.Urea(45kg)"/>
    <s v="WB"/>
    <x v="15"/>
    <s v="Hanskhali"/>
    <s v="User Not Mapped"/>
    <s v="User Not Mapped"/>
    <s v="User Not Mapped"/>
    <n v="937872"/>
    <s v="CHUPRIA O PANDITPUR GPSKUS LTD"/>
    <s v="Other"/>
    <s v="8509273490"/>
    <n v="16.38"/>
    <n v="277"/>
    <x v="3"/>
    <m/>
    <s v="2025-07-24"/>
    <s v="260177"/>
    <s v="SatyaRanjan Kundu and Brothers"/>
    <s v="7908186730"/>
  </r>
  <r>
    <s v="RCF Trombay"/>
    <s v="15-15-15"/>
    <s v="WB"/>
    <x v="15"/>
    <s v="Hanskhali"/>
    <s v="User Not Mapped"/>
    <s v="User Not Mapped"/>
    <s v="User Not Mapped"/>
    <n v="938140"/>
    <s v="KUDDUS ALI SARDAR"/>
    <s v="Private Retailer"/>
    <s v="7797183877"/>
    <n v="10"/>
    <n v="133"/>
    <x v="0"/>
    <m/>
    <s v="2025-12-15"/>
    <s v="280913"/>
    <s v="S.S.P Enterprise"/>
    <s v="9732669190"/>
  </r>
  <r>
    <s v="RCF Import"/>
    <s v="MOP"/>
    <s v="WB"/>
    <x v="15"/>
    <s v="Hanskhali"/>
    <s v="User Not Mapped"/>
    <s v="User Not Mapped"/>
    <s v="User Not Mapped"/>
    <n v="938156"/>
    <s v="NIRMAL KUMAR GHOSH"/>
    <s v="Private Retailer"/>
    <s v="9932931058"/>
    <n v="5"/>
    <n v="66"/>
    <x v="2"/>
    <m/>
    <s v="2026-02-20"/>
    <s v="260179"/>
    <s v="Tarun Kumar Saha"/>
    <s v="8116312974"/>
  </r>
  <r>
    <s v="RCF Thal"/>
    <s v="N.C.Urea(45kg)"/>
    <s v="WB"/>
    <x v="15"/>
    <s v="Hanskhali"/>
    <s v="User Not Mapped"/>
    <s v="User Not Mapped"/>
    <s v="User Not Mapped"/>
    <n v="938160"/>
    <s v="MS MADHU SUDAN BISWAS"/>
    <s v="Private Retailer"/>
    <s v="8927432183"/>
    <n v="0.58499999999999996"/>
    <n v="277"/>
    <x v="3"/>
    <m/>
    <s v="2025-07-24"/>
    <s v="260177"/>
    <s v="SatyaRanjan Kundu and Brothers"/>
    <s v="7908186730"/>
  </r>
  <r>
    <s v="RCF Trombay"/>
    <s v="15-15-15"/>
    <s v="WB"/>
    <x v="15"/>
    <s v="Hanskhali"/>
    <s v="User Not Mapped"/>
    <s v="User Not Mapped"/>
    <s v="User Not Mapped"/>
    <n v="938160"/>
    <s v="MS MADHU SUDAN BISWAS"/>
    <s v="Private Retailer"/>
    <s v="8927432183"/>
    <n v="2.5"/>
    <n v="52"/>
    <x v="1"/>
    <m/>
    <s v="2026-03-06"/>
    <s v="260177"/>
    <s v="SatyaRanjan Kundu and Brothers"/>
    <s v="7908186730"/>
  </r>
  <r>
    <s v="RCF Trombay"/>
    <s v="15-15-15"/>
    <s v="WB"/>
    <x v="15"/>
    <s v="Hanskhali"/>
    <s v="User Not Mapped"/>
    <s v="User Not Mapped"/>
    <s v="User Not Mapped"/>
    <n v="938162"/>
    <s v="JAGANNATH BISWAS"/>
    <s v="Private Retailer"/>
    <s v="9932233429"/>
    <n v="0.86199999999999999"/>
    <n v="91"/>
    <x v="5"/>
    <m/>
    <s v="2026-01-26"/>
    <s v="269287"/>
    <s v="Gopal Krishna Kundu"/>
    <s v="9732644921"/>
  </r>
  <r>
    <s v="RCF Thal"/>
    <s v="N.C.Urea(45kg)"/>
    <s v="WB"/>
    <x v="15"/>
    <s v="Hanskhali"/>
    <s v="User Not Mapped"/>
    <s v="User Not Mapped"/>
    <s v="User Not Mapped"/>
    <n v="938162"/>
    <s v="JAGANNATH BISWAS"/>
    <s v="Private Retailer"/>
    <s v="9932233429"/>
    <n v="2.5649999999999999"/>
    <n v="201"/>
    <x v="3"/>
    <m/>
    <s v="2025-10-08"/>
    <s v="260177"/>
    <s v="SatyaRanjan Kundu and Brothers"/>
    <s v="7908186730"/>
  </r>
  <r>
    <s v="RCF Trombay"/>
    <s v="15-15-15"/>
    <s v="WB"/>
    <x v="15"/>
    <s v="Hanskhali"/>
    <s v="User Not Mapped"/>
    <s v="User Not Mapped"/>
    <s v="User Not Mapped"/>
    <n v="938166"/>
    <s v="MS SHASHTI CHARAN MANDAL"/>
    <s v="Private Retailer"/>
    <s v="9679712777"/>
    <n v="1.2"/>
    <n v="143"/>
    <x v="0"/>
    <m/>
    <s v="2025-12-05"/>
    <s v="280729"/>
    <s v="M/s. Naresh Chandra Das"/>
    <s v="7365868045"/>
  </r>
  <r>
    <s v="RCF Trombay"/>
    <s v="15-15-15"/>
    <s v="WB"/>
    <x v="15"/>
    <s v="Hanskhali"/>
    <s v="User Not Mapped"/>
    <s v="User Not Mapped"/>
    <s v="User Not Mapped"/>
    <n v="938166"/>
    <s v="MS SHASHTI CHARAN MANDAL"/>
    <s v="Private Retailer"/>
    <s v="9679712777"/>
    <n v="4"/>
    <n v="91"/>
    <x v="5"/>
    <m/>
    <s v="2026-01-26"/>
    <s v="280729"/>
    <s v="M/s. Naresh Chandra Das"/>
    <s v="7365868045"/>
  </r>
  <r>
    <s v="RCF Import"/>
    <s v="MOP"/>
    <s v="WB"/>
    <x v="15"/>
    <s v="Hanskhali"/>
    <s v="User Not Mapped"/>
    <s v="User Not Mapped"/>
    <s v="User Not Mapped"/>
    <n v="938188"/>
    <s v="RANJIT KUMAR BISWAS"/>
    <s v="Private Retailer"/>
    <s v="9635289467"/>
    <n v="5.4"/>
    <n v="69"/>
    <x v="2"/>
    <m/>
    <s v="2026-02-17"/>
    <s v="259034"/>
    <s v="MS Guha And Co"/>
    <s v="8695359505"/>
  </r>
  <r>
    <s v="RCF Trombay"/>
    <s v="15-15-15"/>
    <s v="WB"/>
    <x v="15"/>
    <s v="Hanskhali"/>
    <s v="User Not Mapped"/>
    <s v="User Not Mapped"/>
    <s v="User Not Mapped"/>
    <n v="938188"/>
    <s v="RANJIT KUMAR BISWAS"/>
    <s v="Private Retailer"/>
    <s v="9635289467"/>
    <n v="1.75"/>
    <n v="65"/>
    <x v="2"/>
    <m/>
    <s v="2026-02-21"/>
    <s v="259034"/>
    <s v="MS Guha And Co"/>
    <s v="8695359505"/>
  </r>
  <r>
    <s v="RCF Import"/>
    <s v="MOP"/>
    <s v="WB"/>
    <x v="15"/>
    <s v="Hanskhali"/>
    <s v="User Not Mapped"/>
    <s v="User Not Mapped"/>
    <s v="User Not Mapped"/>
    <n v="938192"/>
    <s v="SUBHASH CHANDRA KHAN"/>
    <s v="Private Retailer"/>
    <s v="8116999920"/>
    <n v="0.75"/>
    <n v="17"/>
    <x v="4"/>
    <m/>
    <s v="2026-04-10"/>
    <s v="280729"/>
    <s v="M/s. Naresh Chandra Das"/>
    <s v="7365868045"/>
  </r>
  <r>
    <s v="RCF Trombay"/>
    <s v="15-15-15"/>
    <s v="WB"/>
    <x v="15"/>
    <s v="Hanskhali"/>
    <s v="User Not Mapped"/>
    <s v="User Not Mapped"/>
    <s v="User Not Mapped"/>
    <n v="938192"/>
    <s v="SUBHASH CHANDRA KHAN"/>
    <s v="Private Retailer"/>
    <s v="8116999920"/>
    <n v="0.5"/>
    <n v="49"/>
    <x v="1"/>
    <m/>
    <s v="2026-03-09"/>
    <s v="280729"/>
    <s v="M/s. Naresh Chandra Das"/>
    <s v="7365868045"/>
  </r>
  <r>
    <s v="RCF Trombay"/>
    <s v="N.C.Urea(45kg)"/>
    <s v="WB"/>
    <x v="15"/>
    <s v="Hanskhali"/>
    <s v="User Not Mapped"/>
    <s v="User Not Mapped"/>
    <s v="User Not Mapped"/>
    <n v="938194"/>
    <s v="AROBINDA SARKAR"/>
    <s v="Private Retailer"/>
    <s v="9932834504"/>
    <n v="4.5449999999999999"/>
    <n v="244"/>
    <x v="3"/>
    <m/>
    <s v="2025-08-26"/>
    <s v="260177"/>
    <s v="SatyaRanjan Kundu and Brothers"/>
    <s v="7908186730"/>
  </r>
  <r>
    <s v="RCF Trombay"/>
    <s v="15-15-15"/>
    <s v="WB"/>
    <x v="15"/>
    <s v="Hanskhali"/>
    <s v="User Not Mapped"/>
    <s v="User Not Mapped"/>
    <s v="User Not Mapped"/>
    <n v="938194"/>
    <s v="AROBINDA SARKAR"/>
    <s v="Private Retailer"/>
    <s v="9932834504"/>
    <n v="2.5"/>
    <n v="244"/>
    <x v="3"/>
    <m/>
    <s v="2025-08-26"/>
    <s v="260177"/>
    <s v="SatyaRanjan Kundu and Brothers"/>
    <s v="7908186730"/>
  </r>
  <r>
    <s v="RCF Trombay"/>
    <s v="N.C.Urea(45kg)"/>
    <s v="WB"/>
    <x v="15"/>
    <s v="Hanskhali"/>
    <s v="User Not Mapped"/>
    <s v="User Not Mapped"/>
    <s v="User Not Mapped"/>
    <n v="939911"/>
    <s v="PRONOTI SARKAR"/>
    <s v="Private Retailer"/>
    <s v="8609032314"/>
    <n v="0.09"/>
    <n v="360"/>
    <x v="3"/>
    <m/>
    <s v="2025-05-02"/>
    <s v="260179"/>
    <s v="Tarun Kumar Saha"/>
    <s v="8116312974"/>
  </r>
  <r>
    <s v="RCF Thal"/>
    <s v="N.C.Urea(45kg)"/>
    <s v="WB"/>
    <x v="15"/>
    <s v="Hanskhali"/>
    <s v="User Not Mapped"/>
    <s v="User Not Mapped"/>
    <s v="User Not Mapped"/>
    <n v="939911"/>
    <s v="PRONOTI SARKAR"/>
    <s v="Private Retailer"/>
    <s v="8609032314"/>
    <n v="9.99"/>
    <n v="22"/>
    <x v="4"/>
    <m/>
    <s v="2026-04-05"/>
    <s v="281284"/>
    <s v="Sadhan Kumar Ghosh"/>
    <s v="7602136568"/>
  </r>
  <r>
    <s v="RCF Import"/>
    <s v="MOP"/>
    <s v="WB"/>
    <x v="15"/>
    <s v="Hanskhali"/>
    <s v="User Not Mapped"/>
    <s v="User Not Mapped"/>
    <s v="User Not Mapped"/>
    <n v="939911"/>
    <s v="PRONOTI SARKAR"/>
    <s v="Private Retailer"/>
    <s v="8609032314"/>
    <n v="0.6"/>
    <n v="59"/>
    <x v="1"/>
    <m/>
    <s v="2026-02-27"/>
    <s v="280729"/>
    <s v="M/s. Naresh Chandra Das"/>
    <s v="7365868045"/>
  </r>
  <r>
    <s v="RCF Trombay"/>
    <s v="15-15-15"/>
    <s v="WB"/>
    <x v="15"/>
    <s v="Hanskhali"/>
    <s v="User Not Mapped"/>
    <s v="User Not Mapped"/>
    <s v="User Not Mapped"/>
    <n v="939911"/>
    <s v="PRONOTI SARKAR"/>
    <s v="Private Retailer"/>
    <s v="8609032314"/>
    <n v="0.25"/>
    <n v="59"/>
    <x v="1"/>
    <m/>
    <s v="2026-02-27"/>
    <s v="280729"/>
    <s v="M/s. Naresh Chandra Das"/>
    <s v="7365868045"/>
  </r>
  <r>
    <s v="RCF Trombay"/>
    <s v="15-15-15"/>
    <s v="WB"/>
    <x v="15"/>
    <s v="Hanskhali"/>
    <s v="User Not Mapped"/>
    <s v="User Not Mapped"/>
    <s v="User Not Mapped"/>
    <n v="940170"/>
    <s v="NABADWIP CHANDRA SARKAR"/>
    <s v="Private Retailer"/>
    <s v="9748016081"/>
    <n v="1"/>
    <n v="174"/>
    <x v="0"/>
    <m/>
    <s v="2025-11-04"/>
    <s v="260179"/>
    <s v="Tarun Kumar Saha"/>
    <s v="8116312974"/>
  </r>
  <r>
    <s v="RCF Import"/>
    <s v="MOP"/>
    <s v="WB"/>
    <x v="15"/>
    <s v="Hanskhali"/>
    <s v="User Not Mapped"/>
    <s v="User Not Mapped"/>
    <s v="User Not Mapped"/>
    <n v="940240"/>
    <s v="MS ASIT KUMAR BAIDYA"/>
    <s v="Private Retailer"/>
    <s v="9932032662"/>
    <n v="0.25"/>
    <n v="14"/>
    <x v="4"/>
    <m/>
    <s v="2026-04-13"/>
    <s v="280729"/>
    <s v="M/s. Naresh Chandra Das"/>
    <s v="7365868045"/>
  </r>
  <r>
    <s v="RCF Import"/>
    <s v="MOP"/>
    <s v="WB"/>
    <x v="15"/>
    <s v="Hanskhali"/>
    <s v="User Not Mapped"/>
    <s v="User Not Mapped"/>
    <s v="User Not Mapped"/>
    <n v="940240"/>
    <s v="MS ASIT KUMAR BAIDYA"/>
    <s v="Private Retailer"/>
    <s v="9932032662"/>
    <n v="0.75"/>
    <n v="32"/>
    <x v="1"/>
    <m/>
    <s v="2026-03-26"/>
    <s v="280729"/>
    <s v="M/s. Naresh Chandra Das"/>
    <s v="7365868045"/>
  </r>
  <r>
    <s v="RCF Trombay"/>
    <s v="15-15-15"/>
    <s v="WB"/>
    <x v="15"/>
    <s v="Hanskhali"/>
    <s v="User Not Mapped"/>
    <s v="User Not Mapped"/>
    <s v="User Not Mapped"/>
    <n v="940240"/>
    <s v="MS ASIT KUMAR BAIDYA"/>
    <s v="Private Retailer"/>
    <s v="9932032662"/>
    <n v="1.75"/>
    <n v="91"/>
    <x v="5"/>
    <m/>
    <s v="2026-01-26"/>
    <s v="280729"/>
    <s v="M/s. Naresh Chandra Das"/>
    <s v="7365868045"/>
  </r>
  <r>
    <s v="RCF Import"/>
    <s v="MOP"/>
    <s v="WB"/>
    <x v="15"/>
    <s v="Hanskhali"/>
    <s v="User Not Mapped"/>
    <s v="User Not Mapped"/>
    <s v="User Not Mapped"/>
    <n v="1057745"/>
    <s v="MS BISHNU PADA DEWAN"/>
    <s v="Private Retailer"/>
    <s v="9932619266"/>
    <n v="3.2"/>
    <n v="53"/>
    <x v="1"/>
    <m/>
    <s v="2026-03-05"/>
    <s v="281284"/>
    <s v="Sadhan Kumar Ghosh"/>
    <s v="7602136568"/>
  </r>
  <r>
    <s v="RCF Thal"/>
    <s v="N.C.Urea(45kg)"/>
    <s v="WB"/>
    <x v="15"/>
    <s v="Hanskhali"/>
    <s v="User Not Mapped"/>
    <s v="User Not Mapped"/>
    <s v="User Not Mapped"/>
    <n v="1057745"/>
    <s v="MS BISHNU PADA DEWAN"/>
    <s v="Private Retailer"/>
    <s v="9932619266"/>
    <n v="5.76"/>
    <n v="44"/>
    <x v="1"/>
    <m/>
    <s v="2026-03-14"/>
    <s v="281284"/>
    <s v="Sadhan Kumar Ghosh"/>
    <s v="7602136568"/>
  </r>
  <r>
    <s v="RCF Thal"/>
    <s v="N.C.Urea(45kg)"/>
    <s v="WB"/>
    <x v="15"/>
    <s v="Hanskhali"/>
    <s v="User Not Mapped"/>
    <s v="User Not Mapped"/>
    <s v="User Not Mapped"/>
    <n v="1061906"/>
    <s v="AMALESH CHANDRA BASAK"/>
    <s v="Private Retailer"/>
    <s v="8967757120"/>
    <n v="3.4649999999999999"/>
    <n v="23"/>
    <x v="4"/>
    <m/>
    <s v="2026-04-04"/>
    <s v="269287"/>
    <s v="Gopal Krishna Kundu"/>
    <s v="9732644921"/>
  </r>
  <r>
    <s v="RCF Trombay"/>
    <s v="15-15-15"/>
    <s v="WB"/>
    <x v="15"/>
    <s v="Hanskhali"/>
    <s v="User Not Mapped"/>
    <s v="User Not Mapped"/>
    <s v="User Not Mapped"/>
    <n v="1061906"/>
    <s v="AMALESH CHANDRA BASAK"/>
    <s v="Private Retailer"/>
    <s v="8967757120"/>
    <n v="1.4"/>
    <n v="59"/>
    <x v="1"/>
    <m/>
    <s v="2026-02-27"/>
    <s v="260177"/>
    <s v="SatyaRanjan Kundu and Brothers"/>
    <s v="7908186730"/>
  </r>
  <r>
    <s v="RCF Trombay"/>
    <s v="15-15-15"/>
    <s v="WB"/>
    <x v="15"/>
    <s v="Hanskhali"/>
    <s v="User Not Mapped"/>
    <s v="User Not Mapped"/>
    <s v="User Not Mapped"/>
    <n v="1061964"/>
    <s v="AMIR HOSSAIN MONDAL"/>
    <s v="Private Retailer"/>
    <s v="7718709385"/>
    <n v="0.5"/>
    <n v="78"/>
    <x v="2"/>
    <m/>
    <s v="2026-02-08"/>
    <s v="280732"/>
    <s v="M/S-MADHUSUDAN GHOSH"/>
    <s v="9434823432"/>
  </r>
  <r>
    <s v="RCF Trombay"/>
    <s v="15-15-15"/>
    <s v="WB"/>
    <x v="15"/>
    <s v="Hanskhali"/>
    <s v="User Not Mapped"/>
    <s v="User Not Mapped"/>
    <s v="User Not Mapped"/>
    <n v="1061999"/>
    <s v="SAMIR SARKAR"/>
    <s v="Private Retailer"/>
    <s v="8944898501"/>
    <n v="12.2"/>
    <n v="61"/>
    <x v="2"/>
    <m/>
    <s v="2026-02-25"/>
    <s v="269287"/>
    <s v="Gopal Krishna Kundu"/>
    <s v="9732644921"/>
  </r>
  <r>
    <s v="RCF Thal"/>
    <s v="N.C.Urea(45kg)"/>
    <s v="WB"/>
    <x v="15"/>
    <s v="Hanskhali"/>
    <s v="User Not Mapped"/>
    <s v="User Not Mapped"/>
    <s v="User Not Mapped"/>
    <n v="1061999"/>
    <s v="SAMIR SARKAR"/>
    <s v="Private Retailer"/>
    <s v="8944898501"/>
    <n v="4.9950000000000001"/>
    <n v="18"/>
    <x v="4"/>
    <m/>
    <s v="2026-04-09"/>
    <s v="269287"/>
    <s v="Gopal Krishna Kundu"/>
    <s v="9732644921"/>
  </r>
  <r>
    <s v="RCF Trombay"/>
    <s v="N.C.Urea(45kg)"/>
    <s v="WB"/>
    <x v="15"/>
    <s v="Hanskhali"/>
    <s v="User Not Mapped"/>
    <s v="User Not Mapped"/>
    <s v="User Not Mapped"/>
    <n v="1061999"/>
    <s v="SAMIR SARKAR"/>
    <s v="Private Retailer"/>
    <s v="8944898501"/>
    <n v="1.575"/>
    <n v="61"/>
    <x v="2"/>
    <m/>
    <s v="2026-02-25"/>
    <s v="269287"/>
    <s v="Gopal Krishna Kundu"/>
    <s v="9732644921"/>
  </r>
  <r>
    <s v="RCF Thal"/>
    <s v="N.C.Urea(45kg)"/>
    <s v="WB"/>
    <x v="15"/>
    <s v="Hanskhali"/>
    <s v="User Not Mapped"/>
    <s v="User Not Mapped"/>
    <s v="User Not Mapped"/>
    <n v="1062021"/>
    <s v="PIJUSH KANTI KUNDU"/>
    <s v="Private Retailer"/>
    <s v="8514886640"/>
    <n v="0.09"/>
    <n v="1199"/>
    <x v="7"/>
    <m/>
    <s v="2023-01-14"/>
    <s v="280729"/>
    <s v="M/s. Naresh Chandra Das"/>
    <s v="7365868045"/>
  </r>
  <r>
    <s v="RCF Trombay"/>
    <s v="N.C.Urea(45kg)"/>
    <s v="WB"/>
    <x v="15"/>
    <s v="Hanskhali"/>
    <s v="User Not Mapped"/>
    <s v="User Not Mapped"/>
    <s v="User Not Mapped"/>
    <n v="1062021"/>
    <s v="PIJUSH KANTI KUNDU"/>
    <s v="Private Retailer"/>
    <s v="8514886640"/>
    <n v="0.18"/>
    <n v="1384"/>
    <x v="7"/>
    <m/>
    <s v="2022-07-13"/>
    <s v="280729"/>
    <s v="M/s. Naresh Chandra Das"/>
    <s v="7365868045"/>
  </r>
  <r>
    <s v="RCF Trombay"/>
    <s v="15-15-15"/>
    <s v="WB"/>
    <x v="15"/>
    <s v="Hanskhali"/>
    <s v="User Not Mapped"/>
    <s v="User Not Mapped"/>
    <s v="User Not Mapped"/>
    <n v="1062021"/>
    <s v="PIJUSH KANTI KUNDU"/>
    <s v="Private Retailer"/>
    <s v="8514886640"/>
    <n v="0.15"/>
    <n v="1384"/>
    <x v="7"/>
    <m/>
    <s v="2022-07-13"/>
    <s v="280729"/>
    <s v="M/s. Naresh Chandra Das"/>
    <s v="7365868045"/>
  </r>
  <r>
    <s v="RCF Thal"/>
    <s v="N.C.Urea(45kg)"/>
    <s v="WB"/>
    <x v="15"/>
    <s v="Hanskhali"/>
    <s v="User Not Mapped"/>
    <s v="User Not Mapped"/>
    <s v="User Not Mapped"/>
    <n v="1062027"/>
    <s v="NAKUMUDDIN MONDAL"/>
    <s v="Private Retailer"/>
    <s v="9732525558"/>
    <n v="0.13500000000000001"/>
    <n v="35"/>
    <x v="1"/>
    <m/>
    <s v="2026-03-23"/>
    <s v="269287"/>
    <s v="Gopal Krishna Kundu"/>
    <s v="9732644921"/>
  </r>
  <r>
    <s v="RCF Trombay"/>
    <s v="N.C.Urea(45kg)"/>
    <s v="WB"/>
    <x v="15"/>
    <s v="Hanskhali"/>
    <s v="User Not Mapped"/>
    <s v="User Not Mapped"/>
    <s v="User Not Mapped"/>
    <n v="1062052"/>
    <s v="SUDHENDU SAHA"/>
    <s v="Private Retailer"/>
    <s v="6294824935"/>
    <n v="3.06"/>
    <n v="362"/>
    <x v="3"/>
    <m/>
    <s v="2025-04-30"/>
    <s v="280729"/>
    <s v="M/s. Naresh Chandra Das"/>
    <s v="7365868045"/>
  </r>
  <r>
    <s v="RCF Thal"/>
    <s v="N.C.Urea(45kg)"/>
    <s v="WB"/>
    <x v="15"/>
    <s v="Hanskhali"/>
    <s v="User Not Mapped"/>
    <s v="User Not Mapped"/>
    <s v="User Not Mapped"/>
    <n v="1062052"/>
    <s v="SUDHENDU SAHA"/>
    <s v="Private Retailer"/>
    <s v="6294824935"/>
    <n v="5.13"/>
    <n v="212"/>
    <x v="3"/>
    <m/>
    <s v="2025-09-27"/>
    <s v="280729"/>
    <s v="M/s. Naresh Chandra Das"/>
    <s v="7365868045"/>
  </r>
  <r>
    <s v="RCF Import"/>
    <s v="MOP"/>
    <s v="WB"/>
    <x v="15"/>
    <s v="Hanskhali"/>
    <s v="User Not Mapped"/>
    <s v="User Not Mapped"/>
    <s v="User Not Mapped"/>
    <n v="1062052"/>
    <s v="SUDHENDU SAHA"/>
    <s v="Private Retailer"/>
    <s v="6294824935"/>
    <n v="1.35"/>
    <n v="65"/>
    <x v="2"/>
    <m/>
    <s v="2026-02-21"/>
    <s v="280729"/>
    <s v="M/s. Naresh Chandra Das"/>
    <s v="7365868045"/>
  </r>
  <r>
    <s v="RCF Thal"/>
    <s v="N.C.Urea(45kg)"/>
    <s v="WB"/>
    <x v="15"/>
    <s v="Hanskhali"/>
    <s v="User Not Mapped"/>
    <s v="User Not Mapped"/>
    <s v="User Not Mapped"/>
    <n v="1062052"/>
    <s v="SUDHENDU SAHA"/>
    <s v="Private Retailer"/>
    <s v="6294824935"/>
    <n v="4.9950000000000001"/>
    <n v="23"/>
    <x v="4"/>
    <m/>
    <s v="2026-04-04"/>
    <s v="269287"/>
    <s v="Gopal Krishna Kundu"/>
    <s v="9732644921"/>
  </r>
  <r>
    <s v="RCF Trombay"/>
    <s v="15-15-15"/>
    <s v="WB"/>
    <x v="15"/>
    <s v="Hanskhali"/>
    <s v="User Not Mapped"/>
    <s v="User Not Mapped"/>
    <s v="User Not Mapped"/>
    <n v="1062052"/>
    <s v="SUDHENDU SAHA"/>
    <s v="Private Retailer"/>
    <s v="6294824935"/>
    <n v="3.65"/>
    <n v="59"/>
    <x v="1"/>
    <m/>
    <s v="2026-02-27"/>
    <s v="280729"/>
    <s v="M/s. Naresh Chandra Das"/>
    <s v="7365868045"/>
  </r>
  <r>
    <s v="RCF Trombay"/>
    <s v="N.C.Urea(45kg)"/>
    <s v="WB"/>
    <x v="15"/>
    <s v="Hanskhali"/>
    <s v="User Not Mapped"/>
    <s v="User Not Mapped"/>
    <s v="User Not Mapped"/>
    <n v="1062052"/>
    <s v="SUDHENDU SAHA"/>
    <s v="Private Retailer"/>
    <s v="6294824935"/>
    <n v="9.99"/>
    <n v="59"/>
    <x v="1"/>
    <m/>
    <s v="2026-02-27"/>
    <s v="280729"/>
    <s v="M/s. Naresh Chandra Das"/>
    <s v="7365868045"/>
  </r>
  <r>
    <s v="RCF Trombay"/>
    <s v="15-15-15"/>
    <s v="WB"/>
    <x v="15"/>
    <s v="Hanskhali"/>
    <s v="User Not Mapped"/>
    <s v="User Not Mapped"/>
    <s v="User Not Mapped"/>
    <n v="1062052"/>
    <s v="SUDHENDU SAHA"/>
    <s v="Private Retailer"/>
    <s v="6294824935"/>
    <n v="5"/>
    <n v="42"/>
    <x v="1"/>
    <m/>
    <s v="2026-03-16"/>
    <s v="280729"/>
    <s v="M/s. Naresh Chandra Das"/>
    <s v="7365868045"/>
  </r>
  <r>
    <s v="RCF Trombay"/>
    <s v="N.C.Urea(45kg)"/>
    <s v="WB"/>
    <x v="15"/>
    <s v="Hanskhali"/>
    <s v="User Not Mapped"/>
    <s v="User Not Mapped"/>
    <s v="User Not Mapped"/>
    <n v="1062070"/>
    <s v="MONGAL CHANDRA MONDAL"/>
    <s v="Private Retailer"/>
    <s v="8158896785"/>
    <n v="2.4300000000000002"/>
    <n v="1305"/>
    <x v="7"/>
    <m/>
    <s v="2022-09-30"/>
    <s v="280729"/>
    <s v="M/s. Naresh Chandra Das"/>
    <s v="7365868045"/>
  </r>
  <r>
    <s v="RCF Trombay"/>
    <s v="15-15-15"/>
    <s v="WB"/>
    <x v="15"/>
    <s v="Hanskhali"/>
    <s v="User Not Mapped"/>
    <s v="User Not Mapped"/>
    <s v="User Not Mapped"/>
    <n v="1062070"/>
    <s v="MONGAL CHANDRA MONDAL"/>
    <s v="Private Retailer"/>
    <s v="8158896785"/>
    <n v="7.25"/>
    <n v="1305"/>
    <x v="7"/>
    <m/>
    <s v="2022-09-30"/>
    <s v="280729"/>
    <s v="M/s. Naresh Chandra Das"/>
    <s v="7365868045"/>
  </r>
  <r>
    <s v="RCF Trombay"/>
    <s v="15-15-15"/>
    <s v="WB"/>
    <x v="15"/>
    <s v="Hanskhali"/>
    <s v="User Not Mapped"/>
    <s v="User Not Mapped"/>
    <s v="User Not Mapped"/>
    <n v="1370989"/>
    <s v="BISWAS FERTILIZER"/>
    <s v="Private Retailer"/>
    <s v="9732452183"/>
    <n v="4.75"/>
    <n v="78"/>
    <x v="2"/>
    <m/>
    <s v="2026-02-08"/>
    <s v="280732"/>
    <s v="M/S-MADHUSUDAN GHOSH"/>
    <s v="9434823432"/>
  </r>
  <r>
    <s v="RCF Trombay"/>
    <s v="15-15-15"/>
    <s v="WB"/>
    <x v="15"/>
    <s v="Hanskhali"/>
    <s v="User Not Mapped"/>
    <s v="User Not Mapped"/>
    <s v="User Not Mapped"/>
    <n v="1370989"/>
    <s v="BISWAS FERTILIZER"/>
    <s v="Private Retailer"/>
    <s v="9732452183"/>
    <n v="6"/>
    <n v="27"/>
    <x v="4"/>
    <m/>
    <s v="2026-03-31"/>
    <s v="280732"/>
    <s v="M/S-MADHUSUDAN GHOSH"/>
    <s v="9434823432"/>
  </r>
  <r>
    <s v="RCF Import"/>
    <s v="MOP"/>
    <s v="WB"/>
    <x v="15"/>
    <s v="Hanskhali"/>
    <s v="User Not Mapped"/>
    <s v="User Not Mapped"/>
    <s v="User Not Mapped"/>
    <n v="1370989"/>
    <s v="BISWAS FERTILIZER"/>
    <s v="Private Retailer"/>
    <s v="9732452183"/>
    <n v="5"/>
    <n v="24"/>
    <x v="4"/>
    <m/>
    <s v="2026-04-03"/>
    <s v="1005236"/>
    <s v="SASANKA SEKHAR KUNDU"/>
    <s v="8250640930"/>
  </r>
  <r>
    <s v="RCF Thal"/>
    <s v="N.C.Urea(45kg)"/>
    <s v="WB"/>
    <x v="15"/>
    <s v="Hanskhali"/>
    <s v="User Not Mapped"/>
    <s v="User Not Mapped"/>
    <s v="User Not Mapped"/>
    <n v="1370989"/>
    <s v="BISWAS FERTILIZER"/>
    <s v="Private Retailer"/>
    <s v="9732452183"/>
    <n v="4.0949999999999998"/>
    <n v="35"/>
    <x v="1"/>
    <m/>
    <s v="2026-03-23"/>
    <s v="269287"/>
    <s v="Gopal Krishna Kundu"/>
    <s v="9732644921"/>
  </r>
  <r>
    <s v="RCF Trombay"/>
    <s v="15-15-15"/>
    <s v="WB"/>
    <x v="15"/>
    <s v="Hanskhali"/>
    <s v="User Not Mapped"/>
    <s v="User Not Mapped"/>
    <s v="User Not Mapped"/>
    <n v="1445513"/>
    <s v="DINESH PAL"/>
    <s v="Private Retailer"/>
    <s v="9153360110"/>
    <n v="5"/>
    <n v="51"/>
    <x v="1"/>
    <m/>
    <s v="2026-03-07"/>
    <s v="214222"/>
    <s v="Mahamaya Enterprise"/>
    <s v="8348217174"/>
  </r>
  <r>
    <s v="RCF Trombay"/>
    <s v="N.C.Urea(45kg)"/>
    <s v="WB"/>
    <x v="15"/>
    <s v="Hanskhali"/>
    <s v="User Not Mapped"/>
    <s v="User Not Mapped"/>
    <s v="User Not Mapped"/>
    <n v="1445513"/>
    <s v="DINESH PAL"/>
    <s v="Private Retailer"/>
    <s v="9153360110"/>
    <n v="0.94499999999999995"/>
    <n v="90"/>
    <x v="2"/>
    <m/>
    <s v="2026-01-27"/>
    <s v="214222"/>
    <s v="Mahamaya Enterprise"/>
    <s v="8348217174"/>
  </r>
  <r>
    <s v="RCF Trombay"/>
    <s v="15-15-15"/>
    <s v="WB"/>
    <x v="15"/>
    <s v="Hanskhali"/>
    <s v="User Not Mapped"/>
    <s v="User Not Mapped"/>
    <s v="User Not Mapped"/>
    <n v="1445513"/>
    <s v="DINESH PAL"/>
    <s v="Private Retailer"/>
    <s v="9153360110"/>
    <n v="0.15"/>
    <n v="90"/>
    <x v="2"/>
    <m/>
    <s v="2026-01-27"/>
    <s v="214222"/>
    <s v="Mahamaya Enterprise"/>
    <s v="8348217174"/>
  </r>
  <r>
    <s v="RCF Trombay"/>
    <s v="N.C.Urea(45kg)"/>
    <s v="WB"/>
    <x v="15"/>
    <s v="Hanskhali"/>
    <s v="User Not Mapped"/>
    <s v="User Not Mapped"/>
    <s v="User Not Mapped"/>
    <n v="1445513"/>
    <s v="DINESH PAL"/>
    <s v="Private Retailer"/>
    <s v="9153360110"/>
    <n v="4.9950000000000001"/>
    <n v="51"/>
    <x v="1"/>
    <m/>
    <s v="2026-03-07"/>
    <s v="214222"/>
    <s v="Mahamaya Enterprise"/>
    <s v="8348217174"/>
  </r>
  <r>
    <s v="RCF Trombay"/>
    <s v="N.C.Urea(45kg)"/>
    <s v="WB"/>
    <x v="15"/>
    <s v="Hanskhali"/>
    <s v="User Not Mapped"/>
    <s v="User Not Mapped"/>
    <s v="User Not Mapped"/>
    <n v="1510484"/>
    <s v="SUDIPTA DEY"/>
    <s v="Private Retailer"/>
    <s v="9641181615"/>
    <n v="4.2750000000000004"/>
    <n v="59"/>
    <x v="1"/>
    <m/>
    <s v="2026-02-27"/>
    <s v="260177"/>
    <s v="SatyaRanjan Kundu and Brothers"/>
    <s v="7908186730"/>
  </r>
  <r>
    <s v="RCF Trombay"/>
    <s v="15-15-15"/>
    <s v="WB"/>
    <x v="15"/>
    <s v="Hanskhali"/>
    <s v="User Not Mapped"/>
    <s v="User Not Mapped"/>
    <s v="User Not Mapped"/>
    <n v="1510484"/>
    <s v="SUDIPTA DEY"/>
    <s v="Private Retailer"/>
    <s v="9641181615"/>
    <n v="9.1999999999999993"/>
    <n v="59"/>
    <x v="1"/>
    <m/>
    <s v="2026-02-27"/>
    <s v="260177"/>
    <s v="SatyaRanjan Kundu and Brothers"/>
    <s v="7908186730"/>
  </r>
  <r>
    <s v="RCF Trombay"/>
    <s v="15-15-15"/>
    <s v="WB"/>
    <x v="15"/>
    <s v="Hanskhali"/>
    <s v="User Not Mapped"/>
    <s v="User Not Mapped"/>
    <s v="User Not Mapped"/>
    <n v="1577414"/>
    <s v="M/S UTTAM MONDAL"/>
    <s v="Private Retailer"/>
    <s v="8967159722"/>
    <n v="0.75"/>
    <n v="167"/>
    <x v="0"/>
    <m/>
    <s v="2025-11-11"/>
    <s v="280729"/>
    <s v="M/s. Naresh Chandra Das"/>
    <s v="7365868045"/>
  </r>
  <r>
    <s v="RCF Trombay"/>
    <s v="N.C.Urea(45kg)"/>
    <s v="WB"/>
    <x v="15"/>
    <s v="Hanskhali"/>
    <s v="User Not Mapped"/>
    <s v="User Not Mapped"/>
    <s v="User Not Mapped"/>
    <n v="1577416"/>
    <s v="BISWAS PESTICIDE"/>
    <s v="Private Retailer"/>
    <s v="9641945886"/>
    <n v="2.88"/>
    <n v="36"/>
    <x v="1"/>
    <m/>
    <s v="2026-03-22"/>
    <s v="280732"/>
    <s v="M/S-MADHUSUDAN GHOSH"/>
    <s v="9434823432"/>
  </r>
  <r>
    <s v="RCF Thal"/>
    <s v="N.C.Urea(45kg)"/>
    <s v="WB"/>
    <x v="15"/>
    <s v="Hanskhali"/>
    <s v="User Not Mapped"/>
    <s v="User Not Mapped"/>
    <s v="User Not Mapped"/>
    <n v="1577416"/>
    <s v="BISWAS PESTICIDE"/>
    <s v="Private Retailer"/>
    <s v="9641945886"/>
    <n v="4.0949999999999998"/>
    <n v="9"/>
    <x v="4"/>
    <m/>
    <s v="2026-04-18"/>
    <s v="280732"/>
    <s v="M/S-MADHUSUDAN GHOSH"/>
    <s v="9434823432"/>
  </r>
  <r>
    <s v="RCF Trombay"/>
    <s v="15-15-15"/>
    <s v="WB"/>
    <x v="15"/>
    <s v="Hanskhali"/>
    <s v="User Not Mapped"/>
    <s v="User Not Mapped"/>
    <s v="User Not Mapped"/>
    <n v="1604314"/>
    <s v="M/S TAPASH PAUL "/>
    <s v="Private Retailer"/>
    <s v="8101903482"/>
    <n v="5"/>
    <n v="27"/>
    <x v="4"/>
    <m/>
    <s v="2026-03-31"/>
    <s v="280732"/>
    <s v="M/S-MADHUSUDAN GHOSH"/>
    <s v="9434823432"/>
  </r>
  <r>
    <s v="RCF Trombay"/>
    <s v="15-15-15"/>
    <s v="WB"/>
    <x v="15"/>
    <s v="Hanskhali"/>
    <s v="User Not Mapped"/>
    <s v="User Not Mapped"/>
    <s v="User Not Mapped"/>
    <n v="1604314"/>
    <s v="M/S TAPASH PAUL "/>
    <s v="Private Retailer"/>
    <s v="8101903482"/>
    <n v="2.6"/>
    <n v="155"/>
    <x v="0"/>
    <m/>
    <s v="2025-11-23"/>
    <s v="280732"/>
    <s v="M/S-MADHUSUDAN GHOSH"/>
    <s v="9434823432"/>
  </r>
  <r>
    <s v="RCF Trombay"/>
    <s v="N.C.Urea(45kg)"/>
    <s v="WB"/>
    <x v="15"/>
    <s v="Hanskhali"/>
    <s v="User Not Mapped"/>
    <s v="User Not Mapped"/>
    <s v="User Not Mapped"/>
    <n v="1604314"/>
    <s v="M/S TAPASH PAUL "/>
    <s v="Private Retailer"/>
    <s v="8101903482"/>
    <n v="4.9950000000000001"/>
    <n v="178"/>
    <x v="0"/>
    <m/>
    <s v="2025-10-31"/>
    <s v="280732"/>
    <s v="M/S-MADHUSUDAN GHOSH"/>
    <s v="9434823432"/>
  </r>
  <r>
    <s v="RCF Trombay"/>
    <s v="15-15-15"/>
    <s v="WB"/>
    <x v="15"/>
    <s v="Haringhata"/>
    <s v="User Not Mapped"/>
    <s v="User Not Mapped"/>
    <s v="User Not Mapped"/>
    <n v="218868"/>
    <s v="Biswajit Ganguli"/>
    <s v="Private Retailer"/>
    <s v="9564257897"/>
    <n v="3.15"/>
    <n v="97"/>
    <x v="5"/>
    <m/>
    <s v="2026-01-20"/>
    <s v="1354434"/>
    <s v="CHANCHAL KUMAR DEY"/>
    <s v="7908362192"/>
  </r>
  <r>
    <s v="RCF Thal"/>
    <s v="N.C.Urea(45kg)"/>
    <s v="WB"/>
    <x v="15"/>
    <s v="Haringhata"/>
    <s v="User Not Mapped"/>
    <s v="User Not Mapped"/>
    <s v="User Not Mapped"/>
    <n v="218868"/>
    <s v="Biswajit Ganguli"/>
    <s v="Private Retailer"/>
    <s v="9564257897"/>
    <n v="5.49"/>
    <n v="42"/>
    <x v="1"/>
    <m/>
    <s v="2026-03-16"/>
    <s v="260177"/>
    <s v="SatyaRanjan Kundu and Brothers"/>
    <s v="7908186730"/>
  </r>
  <r>
    <s v="RCF Trombay"/>
    <s v="15-15-15"/>
    <s v="WB"/>
    <x v="15"/>
    <s v="Haringhata"/>
    <s v="User Not Mapped"/>
    <s v="User Not Mapped"/>
    <s v="User Not Mapped"/>
    <n v="218868"/>
    <s v="Biswajit Ganguli"/>
    <s v="Private Retailer"/>
    <s v="9564257897"/>
    <n v="5"/>
    <n v="62"/>
    <x v="2"/>
    <m/>
    <s v="2026-02-24"/>
    <s v="214222"/>
    <s v="Mahamaya Enterprise"/>
    <s v="8348217174"/>
  </r>
  <r>
    <s v="RCF Trombay"/>
    <s v="15-15-15"/>
    <s v="WB"/>
    <x v="15"/>
    <s v="Haringhata"/>
    <s v="User Not Mapped"/>
    <s v="User Not Mapped"/>
    <s v="User Not Mapped"/>
    <n v="218876"/>
    <s v="Krishi Bhavan Agro  Service Ce"/>
    <s v="Private Retailer"/>
    <s v="9733815797"/>
    <n v="0.6"/>
    <n v="73"/>
    <x v="2"/>
    <m/>
    <s v="2026-02-13"/>
    <s v="214222"/>
    <s v="Mahamaya Enterprise"/>
    <s v="8348217174"/>
  </r>
  <r>
    <s v="RCF Thal"/>
    <s v="N.C.Urea(45kg)"/>
    <s v="WB"/>
    <x v="15"/>
    <s v="Haringhata"/>
    <s v="User Not Mapped"/>
    <s v="User Not Mapped"/>
    <s v="User Not Mapped"/>
    <n v="218876"/>
    <s v="Krishi Bhavan Agro  Service Ce"/>
    <s v="Private Retailer"/>
    <s v="9733815797"/>
    <n v="4.59"/>
    <n v="48"/>
    <x v="1"/>
    <m/>
    <s v="2026-03-10"/>
    <s v="214222"/>
    <s v="Mahamaya Enterprise"/>
    <s v="8348217174"/>
  </r>
  <r>
    <s v="RCF Import"/>
    <s v="Imp 10-26-26"/>
    <s v="WB"/>
    <x v="15"/>
    <s v="Haringhata"/>
    <s v="User Not Mapped"/>
    <s v="User Not Mapped"/>
    <s v="User Not Mapped"/>
    <n v="218876"/>
    <s v="Krishi Bhavan Agro  Service Ce"/>
    <s v="Private Retailer"/>
    <s v="9733815797"/>
    <n v="4.7"/>
    <n v="59"/>
    <x v="1"/>
    <m/>
    <s v="2026-02-27"/>
    <s v="214222"/>
    <s v="Mahamaya Enterprise"/>
    <s v="8348217174"/>
  </r>
  <r>
    <s v="RCF Import"/>
    <s v="MOP"/>
    <s v="WB"/>
    <x v="15"/>
    <s v="Haringhata"/>
    <s v="User Not Mapped"/>
    <s v="User Not Mapped"/>
    <s v="User Not Mapped"/>
    <n v="218876"/>
    <s v="Krishi Bhavan Agro  Service Ce"/>
    <s v="Private Retailer"/>
    <s v="9733815797"/>
    <n v="1.5"/>
    <n v="60"/>
    <x v="1"/>
    <m/>
    <s v="2026-02-26"/>
    <s v="214222"/>
    <s v="Mahamaya Enterprise"/>
    <s v="8348217174"/>
  </r>
  <r>
    <s v="RCF Trombay"/>
    <s v="15-15-15"/>
    <s v="WB"/>
    <x v="15"/>
    <s v="Haringhata"/>
    <s v="User Not Mapped"/>
    <s v="User Not Mapped"/>
    <s v="User Not Mapped"/>
    <n v="218900"/>
    <s v="MONDAL KRISHI BHANDAR"/>
    <s v="Private Retailer"/>
    <s v="9735422115"/>
    <n v="0.4"/>
    <n v="75"/>
    <x v="2"/>
    <m/>
    <s v="2026-02-11"/>
    <s v="281285"/>
    <s v="Bhabani Prosad Chattopadhy"/>
    <s v="7548026544"/>
  </r>
  <r>
    <s v="RCF Trombay"/>
    <s v="15-15-15"/>
    <s v="WB"/>
    <x v="15"/>
    <s v="Haringhata"/>
    <s v="User Not Mapped"/>
    <s v="User Not Mapped"/>
    <s v="User Not Mapped"/>
    <n v="218901"/>
    <s v="Ajijul Haque"/>
    <s v="Private Retailer"/>
    <s v="9933910657"/>
    <n v="2.5449999999999999"/>
    <n v="1610"/>
    <x v="7"/>
    <m/>
    <s v="2021-11-29"/>
    <s v="280729"/>
    <s v="M/s. Naresh Chandra Das"/>
    <s v="7365868045"/>
  </r>
  <r>
    <s v="RCF Thal"/>
    <s v="N.C.Urea(45kg)"/>
    <s v="WB"/>
    <x v="15"/>
    <s v="Haringhata"/>
    <s v="User Not Mapped"/>
    <s v="User Not Mapped"/>
    <s v="User Not Mapped"/>
    <n v="226095"/>
    <s v="Adhir Chandra Das"/>
    <s v="Private Retailer"/>
    <s v="8116877031"/>
    <n v="9.7200000000000006"/>
    <n v="21"/>
    <x v="4"/>
    <m/>
    <s v="2026-04-06"/>
    <s v="260177"/>
    <s v="SatyaRanjan Kundu and Brothers"/>
    <s v="7908186730"/>
  </r>
  <r>
    <s v="RCF Trombay"/>
    <s v="15-15-15"/>
    <s v="WB"/>
    <x v="15"/>
    <s v="Haringhata"/>
    <s v="User Not Mapped"/>
    <s v="User Not Mapped"/>
    <s v="User Not Mapped"/>
    <n v="226095"/>
    <s v="Adhir Chandra Das"/>
    <s v="Private Retailer"/>
    <s v="8116877031"/>
    <n v="9.65"/>
    <n v="59"/>
    <x v="1"/>
    <m/>
    <s v="2026-02-27"/>
    <s v="260177"/>
    <s v="SatyaRanjan Kundu and Brothers"/>
    <s v="7908186730"/>
  </r>
  <r>
    <s v="RCF Trombay"/>
    <s v="15-15-15"/>
    <s v="WB"/>
    <x v="15"/>
    <s v="Haringhata"/>
    <s v="User Not Mapped"/>
    <s v="User Not Mapped"/>
    <s v="User Not Mapped"/>
    <n v="226096"/>
    <s v="M/S Hamedul Mandal"/>
    <s v="Private Retailer"/>
    <s v="8972155036"/>
    <n v="0.25"/>
    <n v="60"/>
    <x v="1"/>
    <m/>
    <s v="2026-02-26"/>
    <s v="260209"/>
    <s v="M/S SUNIL KUMAR SAHA       "/>
    <s v="9434110995"/>
  </r>
  <r>
    <s v="RCF Thal"/>
    <s v="N.C.Urea(45kg)"/>
    <s v="WB"/>
    <x v="15"/>
    <s v="Haringhata"/>
    <s v="User Not Mapped"/>
    <s v="User Not Mapped"/>
    <s v="User Not Mapped"/>
    <n v="243864"/>
    <s v="Jaiswal Enterprise "/>
    <s v="Private Retailer"/>
    <s v="8116105006"/>
    <n v="8.73"/>
    <n v="21"/>
    <x v="4"/>
    <m/>
    <s v="2026-04-06"/>
    <s v="214222"/>
    <s v="Mahamaya Enterprise"/>
    <s v="8348217174"/>
  </r>
  <r>
    <s v="RCF Import"/>
    <s v="Imp 10-26-26"/>
    <s v="WB"/>
    <x v="15"/>
    <s v="Haringhata"/>
    <s v="User Not Mapped"/>
    <s v="User Not Mapped"/>
    <s v="User Not Mapped"/>
    <n v="243864"/>
    <s v="Jaiswal Enterprise "/>
    <s v="Private Retailer"/>
    <s v="8116105006"/>
    <n v="1"/>
    <n v="9"/>
    <x v="4"/>
    <m/>
    <s v="2026-04-18"/>
    <s v="260211"/>
    <s v="M/s. Jaiswal Enterprise "/>
    <s v="8116105006"/>
  </r>
  <r>
    <s v="RCF Trombay"/>
    <s v="15-15-15"/>
    <s v="WB"/>
    <x v="15"/>
    <s v="Haringhata"/>
    <s v="User Not Mapped"/>
    <s v="User Not Mapped"/>
    <s v="User Not Mapped"/>
    <n v="272878"/>
    <s v="Badal Mallick"/>
    <s v="Private Retailer"/>
    <s v="9153453448"/>
    <n v="0.25"/>
    <n v="181"/>
    <x v="3"/>
    <m/>
    <s v="2025-10-28"/>
    <s v="1420181"/>
    <s v="M/S BINAY DAS"/>
    <s v="7797613134"/>
  </r>
  <r>
    <s v="RCF Import"/>
    <s v="Imp 10-26-26"/>
    <s v="WB"/>
    <x v="15"/>
    <s v="Haringhata"/>
    <s v="User Not Mapped"/>
    <s v="User Not Mapped"/>
    <s v="User Not Mapped"/>
    <n v="340723"/>
    <s v="M/S Ajay Chaube"/>
    <s v="Private Retailer"/>
    <s v="8768295846"/>
    <n v="0.3"/>
    <n v="34"/>
    <x v="1"/>
    <m/>
    <s v="2026-03-24"/>
    <s v="260211"/>
    <s v="M/s. Jaiswal Enterprise "/>
    <s v="8116105006"/>
  </r>
  <r>
    <s v="RCF Import"/>
    <s v="Imp 10-26-26"/>
    <s v="WB"/>
    <x v="15"/>
    <s v="Haringhata"/>
    <s v="User Not Mapped"/>
    <s v="User Not Mapped"/>
    <s v="User Not Mapped"/>
    <n v="340731"/>
    <s v="Ajit Kr. Mondal"/>
    <s v="Private Retailer"/>
    <s v="9647340142"/>
    <n v="0.55000000000000004"/>
    <n v="45"/>
    <x v="1"/>
    <m/>
    <s v="2026-03-13"/>
    <s v="260211"/>
    <s v="M/s. Jaiswal Enterprise "/>
    <s v="8116105006"/>
  </r>
  <r>
    <s v="RCF Trombay"/>
    <s v="15-15-15"/>
    <s v="WB"/>
    <x v="15"/>
    <s v="Haringhata"/>
    <s v="User Not Mapped"/>
    <s v="User Not Mapped"/>
    <s v="User Not Mapped"/>
    <n v="340731"/>
    <s v="Ajit Kr. Mondal"/>
    <s v="Private Retailer"/>
    <s v="9647340142"/>
    <n v="4.0999999999999996"/>
    <n v="60"/>
    <x v="1"/>
    <m/>
    <s v="2026-02-26"/>
    <s v="280729"/>
    <s v="M/s. Naresh Chandra Das"/>
    <s v="7365868045"/>
  </r>
  <r>
    <s v="RCF Trombay"/>
    <s v="N.C.Urea(45kg)"/>
    <s v="WB"/>
    <x v="15"/>
    <s v="Haringhata"/>
    <s v="User Not Mapped"/>
    <s v="User Not Mapped"/>
    <s v="User Not Mapped"/>
    <n v="340731"/>
    <s v="Ajit Kr. Mondal"/>
    <s v="Private Retailer"/>
    <s v="9647340142"/>
    <n v="0.45"/>
    <n v="60"/>
    <x v="1"/>
    <m/>
    <s v="2026-02-26"/>
    <s v="280729"/>
    <s v="M/s. Naresh Chandra Das"/>
    <s v="7365868045"/>
  </r>
  <r>
    <s v="RCF Import"/>
    <s v="Imp 10-26-26"/>
    <s v="WB"/>
    <x v="15"/>
    <s v="Haringhata"/>
    <s v="User Not Mapped"/>
    <s v="User Not Mapped"/>
    <s v="User Not Mapped"/>
    <n v="340734"/>
    <s v="Ajit Kr. Sarkar"/>
    <s v="Private Retailer"/>
    <s v="9732951201"/>
    <n v="0.5"/>
    <n v="20"/>
    <x v="4"/>
    <m/>
    <s v="2026-04-07"/>
    <s v="260211"/>
    <s v="M/s. Jaiswal Enterprise "/>
    <s v="8116105006"/>
  </r>
  <r>
    <s v="RCF Trombay"/>
    <s v="N.C.Urea(45kg)"/>
    <s v="WB"/>
    <x v="15"/>
    <s v="Haringhata"/>
    <s v="User Not Mapped"/>
    <s v="User Not Mapped"/>
    <s v="User Not Mapped"/>
    <n v="340765"/>
    <s v="Alok Kr. Ghosh"/>
    <s v="Private Retailer"/>
    <s v="9735567838"/>
    <n v="3.51"/>
    <n v="73"/>
    <x v="2"/>
    <m/>
    <s v="2026-02-13"/>
    <s v="214222"/>
    <s v="Mahamaya Enterprise"/>
    <s v="8348217174"/>
  </r>
  <r>
    <s v="RCF Trombay"/>
    <s v="N.C.Urea(45kg)"/>
    <s v="WB"/>
    <x v="15"/>
    <s v="Haringhata"/>
    <s v="User Not Mapped"/>
    <s v="User Not Mapped"/>
    <s v="User Not Mapped"/>
    <n v="340765"/>
    <s v="Alok Kr. Ghosh"/>
    <s v="Private Retailer"/>
    <s v="9735567838"/>
    <n v="3.0150000000000001"/>
    <n v="62"/>
    <x v="2"/>
    <m/>
    <s v="2026-02-24"/>
    <s v="214222"/>
    <s v="Mahamaya Enterprise"/>
    <s v="8348217174"/>
  </r>
  <r>
    <s v="RCF Trombay"/>
    <s v="15-15-15"/>
    <s v="WB"/>
    <x v="15"/>
    <s v="Haringhata"/>
    <s v="User Not Mapped"/>
    <s v="User Not Mapped"/>
    <s v="User Not Mapped"/>
    <n v="340765"/>
    <s v="Alok Kr. Ghosh"/>
    <s v="Private Retailer"/>
    <s v="9735567838"/>
    <n v="2.75"/>
    <n v="73"/>
    <x v="2"/>
    <m/>
    <s v="2026-02-13"/>
    <s v="214222"/>
    <s v="Mahamaya Enterprise"/>
    <s v="8348217174"/>
  </r>
  <r>
    <s v="RCF Trombay"/>
    <s v="15-15-15"/>
    <s v="WB"/>
    <x v="15"/>
    <s v="Haringhata"/>
    <s v="User Not Mapped"/>
    <s v="User Not Mapped"/>
    <s v="User Not Mapped"/>
    <n v="340765"/>
    <s v="Alok Kr. Ghosh"/>
    <s v="Private Retailer"/>
    <s v="9735567838"/>
    <n v="2"/>
    <n v="62"/>
    <x v="2"/>
    <m/>
    <s v="2026-02-24"/>
    <s v="214222"/>
    <s v="Mahamaya Enterprise"/>
    <s v="8348217174"/>
  </r>
  <r>
    <s v="RCF Trombay"/>
    <s v="N.C.Urea(45kg)"/>
    <s v="WB"/>
    <x v="15"/>
    <s v="Haringhata"/>
    <s v="User Not Mapped"/>
    <s v="User Not Mapped"/>
    <s v="User Not Mapped"/>
    <n v="340765"/>
    <s v="Alok Kr. Ghosh"/>
    <s v="Private Retailer"/>
    <s v="9735567838"/>
    <n v="2.4750000000000001"/>
    <n v="100"/>
    <x v="5"/>
    <m/>
    <s v="2026-01-17"/>
    <s v="214222"/>
    <s v="Mahamaya Enterprise"/>
    <s v="8348217174"/>
  </r>
  <r>
    <s v="RCF Import"/>
    <s v="Imp 10-26-26"/>
    <s v="WB"/>
    <x v="15"/>
    <s v="Haringhata"/>
    <s v="User Not Mapped"/>
    <s v="User Not Mapped"/>
    <s v="User Not Mapped"/>
    <n v="340800"/>
    <s v="Ananda Chakraborty"/>
    <s v="Private Retailer"/>
    <s v="9733503247"/>
    <n v="0.75"/>
    <n v="23"/>
    <x v="4"/>
    <m/>
    <s v="2026-04-04"/>
    <s v="260211"/>
    <s v="M/s. Jaiswal Enterprise "/>
    <s v="8116105006"/>
  </r>
  <r>
    <s v="RCF Thal"/>
    <s v="N.C.Urea(45kg)"/>
    <s v="WB"/>
    <x v="15"/>
    <s v="Haringhata"/>
    <s v="User Not Mapped"/>
    <s v="User Not Mapped"/>
    <s v="User Not Mapped"/>
    <n v="340800"/>
    <s v="Ananda Chakraborty"/>
    <s v="Private Retailer"/>
    <s v="9733503247"/>
    <n v="4.7699999999999996"/>
    <n v="47"/>
    <x v="1"/>
    <m/>
    <s v="2026-03-11"/>
    <s v="270129"/>
    <s v="Kalyan Kr. Nandi"/>
    <s v="8250914797"/>
  </r>
  <r>
    <s v="RCF Trombay"/>
    <s v="15-15-15"/>
    <s v="WB"/>
    <x v="15"/>
    <s v="Haringhata"/>
    <s v="User Not Mapped"/>
    <s v="User Not Mapped"/>
    <s v="User Not Mapped"/>
    <n v="340960"/>
    <s v="Avijit Mandal"/>
    <s v="Private Retailer"/>
    <s v="9564257706"/>
    <n v="3.2"/>
    <n v="100"/>
    <x v="5"/>
    <m/>
    <s v="2026-01-17"/>
    <s v="214222"/>
    <s v="Mahamaya Enterprise"/>
    <s v="8348217174"/>
  </r>
  <r>
    <s v="RCF Thal"/>
    <s v="N.C.Urea(45kg)"/>
    <s v="WB"/>
    <x v="15"/>
    <s v="Haringhata"/>
    <s v="User Not Mapped"/>
    <s v="User Not Mapped"/>
    <s v="User Not Mapped"/>
    <n v="340960"/>
    <s v="Avijit Mandal"/>
    <s v="Private Retailer"/>
    <s v="9564257706"/>
    <n v="9.99"/>
    <n v="25"/>
    <x v="4"/>
    <m/>
    <s v="2026-04-02"/>
    <s v="214222"/>
    <s v="Mahamaya Enterprise"/>
    <s v="8348217174"/>
  </r>
  <r>
    <s v="RCF Trombay"/>
    <s v="N.C.Urea(45kg)"/>
    <s v="WB"/>
    <x v="15"/>
    <s v="Haringhata"/>
    <s v="User Not Mapped"/>
    <s v="User Not Mapped"/>
    <s v="User Not Mapped"/>
    <n v="340960"/>
    <s v="Avijit Mandal"/>
    <s v="Private Retailer"/>
    <s v="9564257706"/>
    <n v="5.49"/>
    <n v="100"/>
    <x v="5"/>
    <m/>
    <s v="2026-01-17"/>
    <s v="214222"/>
    <s v="Mahamaya Enterprise"/>
    <s v="8348217174"/>
  </r>
  <r>
    <s v="RCF Trombay"/>
    <s v="N.C.Urea(45kg)"/>
    <s v="WB"/>
    <x v="15"/>
    <s v="Haringhata"/>
    <s v="User Not Mapped"/>
    <s v="User Not Mapped"/>
    <s v="User Not Mapped"/>
    <n v="340960"/>
    <s v="Avijit Mandal"/>
    <s v="Private Retailer"/>
    <s v="9564257706"/>
    <n v="1.395"/>
    <n v="146"/>
    <x v="0"/>
    <m/>
    <s v="2025-12-02"/>
    <s v="214222"/>
    <s v="Mahamaya Enterprise"/>
    <s v="8348217174"/>
  </r>
  <r>
    <s v="RCF Trombay"/>
    <s v="15-15-15"/>
    <s v="WB"/>
    <x v="15"/>
    <s v="Haringhata"/>
    <s v="User Not Mapped"/>
    <s v="User Not Mapped"/>
    <s v="User Not Mapped"/>
    <n v="341044"/>
    <s v="Bholanath Ghosh"/>
    <s v="Private Retailer"/>
    <s v="9609372146"/>
    <n v="0.75"/>
    <n v="22"/>
    <x v="4"/>
    <m/>
    <s v="2026-04-05"/>
    <s v="281285"/>
    <s v="Bhabani Prosad Chattopadhy"/>
    <s v="7548026544"/>
  </r>
  <r>
    <s v="RCF Trombay"/>
    <s v="15-15-15"/>
    <s v="WB"/>
    <x v="15"/>
    <s v="Haringhata"/>
    <s v="User Not Mapped"/>
    <s v="User Not Mapped"/>
    <s v="User Not Mapped"/>
    <n v="341044"/>
    <s v="Bholanath Ghosh"/>
    <s v="Private Retailer"/>
    <s v="9609372146"/>
    <n v="0.3"/>
    <n v="24"/>
    <x v="4"/>
    <m/>
    <s v="2026-04-03"/>
    <s v="281285"/>
    <s v="Bhabani Prosad Chattopadhy"/>
    <s v="7548026544"/>
  </r>
  <r>
    <s v="RCF Import"/>
    <s v="Imp 10-26-26"/>
    <s v="WB"/>
    <x v="15"/>
    <s v="Haringhata"/>
    <s v="User Not Mapped"/>
    <s v="User Not Mapped"/>
    <s v="User Not Mapped"/>
    <n v="341044"/>
    <s v="Bholanath Ghosh"/>
    <s v="Private Retailer"/>
    <s v="9609372146"/>
    <n v="0.25"/>
    <n v="43"/>
    <x v="1"/>
    <m/>
    <s v="2026-03-15"/>
    <s v="281285"/>
    <s v="Bhabani Prosad Chattopadhy"/>
    <s v="7548026544"/>
  </r>
  <r>
    <s v="RCF Import"/>
    <s v="MOP"/>
    <s v="WB"/>
    <x v="15"/>
    <s v="Haringhata"/>
    <s v="User Not Mapped"/>
    <s v="User Not Mapped"/>
    <s v="User Not Mapped"/>
    <n v="341044"/>
    <s v="Bholanath Ghosh"/>
    <s v="Private Retailer"/>
    <s v="9609372146"/>
    <n v="0.65"/>
    <n v="57"/>
    <x v="1"/>
    <m/>
    <s v="2026-03-01"/>
    <s v="281285"/>
    <s v="Bhabani Prosad Chattopadhy"/>
    <s v="7548026544"/>
  </r>
  <r>
    <s v="RCF Import"/>
    <s v="Imp 10-26-26"/>
    <s v="WB"/>
    <x v="15"/>
    <s v="Haringhata"/>
    <s v="User Not Mapped"/>
    <s v="User Not Mapped"/>
    <s v="User Not Mapped"/>
    <n v="341044"/>
    <s v="Bholanath Ghosh"/>
    <s v="Private Retailer"/>
    <s v="9609372146"/>
    <n v="2.5"/>
    <n v="13"/>
    <x v="4"/>
    <m/>
    <s v="2026-04-14"/>
    <s v="280729"/>
    <s v="M/s. Naresh Chandra Das"/>
    <s v="7365868045"/>
  </r>
  <r>
    <s v="RCF Import"/>
    <s v="MOP"/>
    <s v="WB"/>
    <x v="15"/>
    <s v="Haringhata"/>
    <s v="User Not Mapped"/>
    <s v="User Not Mapped"/>
    <s v="User Not Mapped"/>
    <n v="341044"/>
    <s v="Bholanath Ghosh"/>
    <s v="Private Retailer"/>
    <s v="9609372146"/>
    <n v="0.5"/>
    <n v="64"/>
    <x v="2"/>
    <m/>
    <s v="2026-02-22"/>
    <s v="281285"/>
    <s v="Bhabani Prosad Chattopadhy"/>
    <s v="7548026544"/>
  </r>
  <r>
    <s v="RCF Import"/>
    <s v="MOP"/>
    <s v="WB"/>
    <x v="15"/>
    <s v="Haringhata"/>
    <s v="User Not Mapped"/>
    <s v="User Not Mapped"/>
    <s v="User Not Mapped"/>
    <n v="341044"/>
    <s v="Bholanath Ghosh"/>
    <s v="Private Retailer"/>
    <s v="9609372146"/>
    <n v="0.4"/>
    <n v="24"/>
    <x v="4"/>
    <m/>
    <s v="2026-04-03"/>
    <s v="281285"/>
    <s v="Bhabani Prosad Chattopadhy"/>
    <s v="7548026544"/>
  </r>
  <r>
    <s v="RCF Import"/>
    <s v="MOP"/>
    <s v="WB"/>
    <x v="15"/>
    <s v="Haringhata"/>
    <s v="User Not Mapped"/>
    <s v="User Not Mapped"/>
    <s v="User Not Mapped"/>
    <n v="341044"/>
    <s v="Bholanath Ghosh"/>
    <s v="Private Retailer"/>
    <s v="9609372146"/>
    <n v="1.25"/>
    <n v="43"/>
    <x v="1"/>
    <m/>
    <s v="2026-03-15"/>
    <s v="281285"/>
    <s v="Bhabani Prosad Chattopadhy"/>
    <s v="7548026544"/>
  </r>
  <r>
    <s v="RCF Import"/>
    <s v="Imp 10-26-26"/>
    <s v="WB"/>
    <x v="15"/>
    <s v="Haringhata"/>
    <s v="User Not Mapped"/>
    <s v="User Not Mapped"/>
    <s v="User Not Mapped"/>
    <n v="341044"/>
    <s v="Bholanath Ghosh"/>
    <s v="Private Retailer"/>
    <s v="9609372146"/>
    <n v="0.25"/>
    <n v="57"/>
    <x v="1"/>
    <m/>
    <s v="2026-03-01"/>
    <s v="281285"/>
    <s v="Bhabani Prosad Chattopadhy"/>
    <s v="7548026544"/>
  </r>
  <r>
    <s v="RCF Import"/>
    <s v="MOP"/>
    <s v="WB"/>
    <x v="15"/>
    <s v="Haringhata"/>
    <s v="User Not Mapped"/>
    <s v="User Not Mapped"/>
    <s v="User Not Mapped"/>
    <n v="341094"/>
    <s v="Binay Das"/>
    <s v="Private Retailer"/>
    <s v="9775787102"/>
    <n v="4"/>
    <n v="62"/>
    <x v="2"/>
    <m/>
    <s v="2026-02-24"/>
    <s v="260177"/>
    <s v="SatyaRanjan Kundu and Brothers"/>
    <s v="7908186730"/>
  </r>
  <r>
    <s v="RCF Trombay"/>
    <s v="N.C.Urea(45kg)"/>
    <s v="WB"/>
    <x v="15"/>
    <s v="Haringhata"/>
    <s v="User Not Mapped"/>
    <s v="User Not Mapped"/>
    <s v="User Not Mapped"/>
    <n v="341094"/>
    <s v="Binay Das"/>
    <s v="Private Retailer"/>
    <s v="9775787102"/>
    <n v="8.01"/>
    <n v="140"/>
    <x v="0"/>
    <m/>
    <s v="2025-12-08"/>
    <s v="280729"/>
    <s v="M/s. Naresh Chandra Das"/>
    <s v="7365868045"/>
  </r>
  <r>
    <s v="RCF Thal"/>
    <s v="N.C.Urea(45kg)"/>
    <s v="WB"/>
    <x v="15"/>
    <s v="Haringhata"/>
    <s v="User Not Mapped"/>
    <s v="User Not Mapped"/>
    <s v="User Not Mapped"/>
    <n v="341094"/>
    <s v="Binay Das"/>
    <s v="Private Retailer"/>
    <s v="9775787102"/>
    <n v="5.49"/>
    <n v="45"/>
    <x v="1"/>
    <m/>
    <s v="2026-03-13"/>
    <s v="260177"/>
    <s v="SatyaRanjan Kundu and Brothers"/>
    <s v="7908186730"/>
  </r>
  <r>
    <s v="RCF Trombay"/>
    <s v="15-15-15"/>
    <s v="WB"/>
    <x v="15"/>
    <s v="Haringhata"/>
    <s v="User Not Mapped"/>
    <s v="User Not Mapped"/>
    <s v="User Not Mapped"/>
    <n v="341094"/>
    <s v="Binay Das"/>
    <s v="Private Retailer"/>
    <s v="9775787102"/>
    <n v="0.85"/>
    <n v="60"/>
    <x v="1"/>
    <m/>
    <s v="2026-02-26"/>
    <s v="260177"/>
    <s v="SatyaRanjan Kundu and Brothers"/>
    <s v="7908186730"/>
  </r>
  <r>
    <s v="RCF Thal"/>
    <s v="N.C.Urea(45kg)"/>
    <s v="WB"/>
    <x v="15"/>
    <s v="Haringhata"/>
    <s v="User Not Mapped"/>
    <s v="User Not Mapped"/>
    <s v="User Not Mapped"/>
    <n v="341102"/>
    <s v="Biplab Debnath"/>
    <s v="Private Retailer"/>
    <s v="9903465745"/>
    <n v="4.5449999999999999"/>
    <n v="47"/>
    <x v="1"/>
    <m/>
    <s v="2026-03-11"/>
    <s v="270129"/>
    <s v="Kalyan Kr. Nandi"/>
    <s v="8250914797"/>
  </r>
  <r>
    <s v="RCF Trombay"/>
    <s v="15-15-15"/>
    <s v="WB"/>
    <x v="15"/>
    <s v="Haringhata"/>
    <s v="User Not Mapped"/>
    <s v="User Not Mapped"/>
    <s v="User Not Mapped"/>
    <n v="341102"/>
    <s v="Biplab Debnath"/>
    <s v="Private Retailer"/>
    <s v="9903465745"/>
    <n v="2.2999999999999998"/>
    <n v="73"/>
    <x v="2"/>
    <m/>
    <s v="2026-02-13"/>
    <s v="214222"/>
    <s v="Mahamaya Enterprise"/>
    <s v="8348217174"/>
  </r>
  <r>
    <s v="RCF Thal"/>
    <s v="N.C.Urea(45kg)"/>
    <s v="WB"/>
    <x v="15"/>
    <s v="Haringhata"/>
    <s v="User Not Mapped"/>
    <s v="User Not Mapped"/>
    <s v="User Not Mapped"/>
    <n v="341124"/>
    <s v="Biswajit Ghosh"/>
    <s v="Private Retailer"/>
    <s v="9733815798"/>
    <n v="7.6"/>
    <n v="25"/>
    <x v="4"/>
    <m/>
    <s v="2026-04-02"/>
    <s v="270129"/>
    <s v="Kalyan Kr. Nandi"/>
    <s v="8250914797"/>
  </r>
  <r>
    <s v="RCF Trombay"/>
    <s v="15-15-15"/>
    <s v="WB"/>
    <x v="15"/>
    <s v="Haringhata"/>
    <s v="User Not Mapped"/>
    <s v="User Not Mapped"/>
    <s v="User Not Mapped"/>
    <n v="341124"/>
    <s v="Biswajit Ghosh"/>
    <s v="Private Retailer"/>
    <s v="9733815798"/>
    <n v="11.3"/>
    <n v="93"/>
    <x v="5"/>
    <m/>
    <s v="2026-01-24"/>
    <s v="270129"/>
    <s v="Kalyan Kr. Nandi"/>
    <s v="8250914797"/>
  </r>
  <r>
    <s v="RCF Trombay"/>
    <s v="15-15-15"/>
    <s v="WB"/>
    <x v="15"/>
    <s v="Haringhata"/>
    <s v="User Not Mapped"/>
    <s v="User Not Mapped"/>
    <s v="User Not Mapped"/>
    <n v="341324"/>
    <s v="Ebadat Hoque Mondal"/>
    <s v="Private Retailer"/>
    <s v="9800596419"/>
    <n v="0.81"/>
    <n v="91"/>
    <x v="5"/>
    <m/>
    <s v="2026-01-26"/>
    <s v="260209"/>
    <s v="M/S SUNIL KUMAR SAHA       "/>
    <s v="9434110995"/>
  </r>
  <r>
    <s v="RCF Import"/>
    <s v="Imp 10-26-26"/>
    <s v="WB"/>
    <x v="15"/>
    <s v="Haringhata"/>
    <s v="User Not Mapped"/>
    <s v="User Not Mapped"/>
    <s v="User Not Mapped"/>
    <n v="341324"/>
    <s v="Ebadat Hoque Mondal"/>
    <s v="Private Retailer"/>
    <s v="9800596419"/>
    <n v="0.35"/>
    <n v="20"/>
    <x v="4"/>
    <m/>
    <s v="2026-04-07"/>
    <s v="260209"/>
    <s v="M/S SUNIL KUMAR SAHA       "/>
    <s v="9434110995"/>
  </r>
  <r>
    <s v="RCF Thal"/>
    <s v="N.C.Urea(45kg)"/>
    <s v="WB"/>
    <x v="15"/>
    <s v="Haringhata"/>
    <s v="User Not Mapped"/>
    <s v="User Not Mapped"/>
    <s v="User Not Mapped"/>
    <n v="341324"/>
    <s v="Ebadat Hoque Mondal"/>
    <s v="Private Retailer"/>
    <s v="9800596419"/>
    <n v="4.9950000000000001"/>
    <n v="20"/>
    <x v="4"/>
    <m/>
    <s v="2026-04-07"/>
    <s v="260209"/>
    <s v="M/S SUNIL KUMAR SAHA       "/>
    <s v="9434110995"/>
  </r>
  <r>
    <s v="RCF Import"/>
    <s v="Imp 10-26-26"/>
    <s v="WB"/>
    <x v="15"/>
    <s v="Haringhata"/>
    <s v="User Not Mapped"/>
    <s v="User Not Mapped"/>
    <s v="User Not Mapped"/>
    <n v="341328"/>
    <s v="M/S Emanuddin Mondal"/>
    <s v="Private Retailer"/>
    <s v="9734578192"/>
    <n v="0.35"/>
    <n v="32"/>
    <x v="1"/>
    <m/>
    <s v="2026-03-26"/>
    <s v="260211"/>
    <s v="M/s. Jaiswal Enterprise "/>
    <s v="8116105006"/>
  </r>
  <r>
    <s v="RCF Trombay"/>
    <s v="15-15-15"/>
    <s v="WB"/>
    <x v="15"/>
    <s v="Haringhata"/>
    <s v="User Not Mapped"/>
    <s v="User Not Mapped"/>
    <s v="User Not Mapped"/>
    <n v="341495"/>
    <s v="Indrajit Golder And Brothers"/>
    <s v="Private Retailer"/>
    <s v="9734819271"/>
    <n v="0.25"/>
    <n v="89"/>
    <x v="2"/>
    <m/>
    <s v="2026-01-28"/>
    <s v="281285"/>
    <s v="Bhabani Prosad Chattopadhy"/>
    <s v="7548026544"/>
  </r>
  <r>
    <s v="RCF Trombay"/>
    <s v="15-15-15"/>
    <s v="WB"/>
    <x v="15"/>
    <s v="Haringhata"/>
    <s v="User Not Mapped"/>
    <s v="User Not Mapped"/>
    <s v="User Not Mapped"/>
    <n v="341495"/>
    <s v="Indrajit Golder And Brothers"/>
    <s v="Private Retailer"/>
    <s v="9734819271"/>
    <n v="0.15"/>
    <n v="75"/>
    <x v="2"/>
    <m/>
    <s v="2026-02-11"/>
    <s v="281285"/>
    <s v="Bhabani Prosad Chattopadhy"/>
    <s v="7548026544"/>
  </r>
  <r>
    <s v="RCF Trombay"/>
    <s v="15-15-15"/>
    <s v="WB"/>
    <x v="15"/>
    <s v="Haringhata"/>
    <s v="User Not Mapped"/>
    <s v="User Not Mapped"/>
    <s v="User Not Mapped"/>
    <n v="341495"/>
    <s v="Indrajit Golder And Brothers"/>
    <s v="Private Retailer"/>
    <s v="9734819271"/>
    <n v="0.25"/>
    <n v="64"/>
    <x v="2"/>
    <m/>
    <s v="2026-02-22"/>
    <s v="281285"/>
    <s v="Bhabani Prosad Chattopadhy"/>
    <s v="7548026544"/>
  </r>
  <r>
    <s v="RCF Import"/>
    <s v="MOP"/>
    <s v="WB"/>
    <x v="15"/>
    <s v="Haringhata"/>
    <s v="User Not Mapped"/>
    <s v="User Not Mapped"/>
    <s v="User Not Mapped"/>
    <n v="341495"/>
    <s v="Indrajit Golder And Brothers"/>
    <s v="Private Retailer"/>
    <s v="9734819271"/>
    <n v="0.2"/>
    <n v="64"/>
    <x v="2"/>
    <m/>
    <s v="2026-02-22"/>
    <s v="281285"/>
    <s v="Bhabani Prosad Chattopadhy"/>
    <s v="7548026544"/>
  </r>
  <r>
    <s v="RCF Trombay"/>
    <s v="N.C.Urea(45kg)"/>
    <s v="WB"/>
    <x v="15"/>
    <s v="Haringhata"/>
    <s v="User Not Mapped"/>
    <s v="User Not Mapped"/>
    <s v="User Not Mapped"/>
    <n v="341495"/>
    <s v="Indrajit Golder And Brothers"/>
    <s v="Private Retailer"/>
    <s v="9734819271"/>
    <n v="0.67500000000000004"/>
    <n v="89"/>
    <x v="2"/>
    <m/>
    <s v="2026-01-28"/>
    <s v="281285"/>
    <s v="Bhabani Prosad Chattopadhy"/>
    <s v="7548026544"/>
  </r>
  <r>
    <s v="RCF Trombay"/>
    <s v="N.C.Urea(45kg)"/>
    <s v="WB"/>
    <x v="15"/>
    <s v="Haringhata"/>
    <s v="User Not Mapped"/>
    <s v="User Not Mapped"/>
    <s v="User Not Mapped"/>
    <n v="341495"/>
    <s v="Indrajit Golder And Brothers"/>
    <s v="Private Retailer"/>
    <s v="9734819271"/>
    <n v="0.495"/>
    <n v="64"/>
    <x v="2"/>
    <m/>
    <s v="2026-02-22"/>
    <s v="281285"/>
    <s v="Bhabani Prosad Chattopadhy"/>
    <s v="7548026544"/>
  </r>
  <r>
    <s v="RCF Trombay"/>
    <s v="15-15-15"/>
    <s v="WB"/>
    <x v="15"/>
    <s v="Haringhata"/>
    <s v="User Not Mapped"/>
    <s v="User Not Mapped"/>
    <s v="User Not Mapped"/>
    <n v="341495"/>
    <s v="Indrajit Golder And Brothers"/>
    <s v="Private Retailer"/>
    <s v="9734819271"/>
    <n v="0.25"/>
    <n v="197"/>
    <x v="3"/>
    <m/>
    <s v="2025-10-12"/>
    <s v="281285"/>
    <s v="Bhabani Prosad Chattopadhy"/>
    <s v="7548026544"/>
  </r>
  <r>
    <s v="RCF Thal"/>
    <s v="N.C.Urea(45kg)"/>
    <s v="WB"/>
    <x v="15"/>
    <s v="Haringhata"/>
    <s v="User Not Mapped"/>
    <s v="User Not Mapped"/>
    <s v="User Not Mapped"/>
    <n v="341495"/>
    <s v="Indrajit Golder And Brothers"/>
    <s v="Private Retailer"/>
    <s v="9734819271"/>
    <n v="0.67500000000000004"/>
    <n v="125"/>
    <x v="0"/>
    <m/>
    <s v="2025-12-23"/>
    <s v="281285"/>
    <s v="Bhabani Prosad Chattopadhy"/>
    <s v="7548026544"/>
  </r>
  <r>
    <s v="RCF Trombay"/>
    <s v="15-15-15"/>
    <s v="WB"/>
    <x v="15"/>
    <s v="Haringhata"/>
    <s v="User Not Mapped"/>
    <s v="User Not Mapped"/>
    <s v="User Not Mapped"/>
    <n v="341495"/>
    <s v="Indrajit Golder And Brothers"/>
    <s v="Private Retailer"/>
    <s v="9734819271"/>
    <n v="0.2"/>
    <n v="43"/>
    <x v="1"/>
    <m/>
    <s v="2026-03-15"/>
    <s v="281285"/>
    <s v="Bhabani Prosad Chattopadhy"/>
    <s v="7548026544"/>
  </r>
  <r>
    <s v="RCF Import"/>
    <s v="Imp 10-26-26"/>
    <s v="WB"/>
    <x v="15"/>
    <s v="Haringhata"/>
    <s v="User Not Mapped"/>
    <s v="User Not Mapped"/>
    <s v="User Not Mapped"/>
    <n v="341495"/>
    <s v="Indrajit Golder And Brothers"/>
    <s v="Private Retailer"/>
    <s v="9734819271"/>
    <n v="0.2"/>
    <n v="43"/>
    <x v="1"/>
    <m/>
    <s v="2026-03-15"/>
    <s v="281285"/>
    <s v="Bhabani Prosad Chattopadhy"/>
    <s v="7548026544"/>
  </r>
  <r>
    <s v="RCF Import"/>
    <s v="MOP"/>
    <s v="WB"/>
    <x v="15"/>
    <s v="Haringhata"/>
    <s v="User Not Mapped"/>
    <s v="User Not Mapped"/>
    <s v="User Not Mapped"/>
    <n v="341495"/>
    <s v="Indrajit Golder And Brothers"/>
    <s v="Private Retailer"/>
    <s v="9734819271"/>
    <n v="0.3"/>
    <n v="45"/>
    <x v="1"/>
    <m/>
    <s v="2026-03-13"/>
    <s v="281285"/>
    <s v="Bhabani Prosad Chattopadhy"/>
    <s v="7548026544"/>
  </r>
  <r>
    <s v="RCF Thal"/>
    <s v="N.C.Urea(45kg)"/>
    <s v="WB"/>
    <x v="15"/>
    <s v="Haringhata"/>
    <s v="User Not Mapped"/>
    <s v="User Not Mapped"/>
    <s v="User Not Mapped"/>
    <n v="341495"/>
    <s v="Indrajit Golder And Brothers"/>
    <s v="Private Retailer"/>
    <s v="9734819271"/>
    <n v="0.36"/>
    <n v="43"/>
    <x v="1"/>
    <m/>
    <s v="2026-03-15"/>
    <s v="281285"/>
    <s v="Bhabani Prosad Chattopadhy"/>
    <s v="7548026544"/>
  </r>
  <r>
    <s v="RCF Trombay"/>
    <s v="15-15-15"/>
    <s v="WB"/>
    <x v="15"/>
    <s v="Haringhata"/>
    <s v="User Not Mapped"/>
    <s v="User Not Mapped"/>
    <s v="User Not Mapped"/>
    <n v="341495"/>
    <s v="Indrajit Golder And Brothers"/>
    <s v="Private Retailer"/>
    <s v="9734819271"/>
    <n v="0.25"/>
    <n v="113"/>
    <x v="5"/>
    <m/>
    <s v="2026-01-04"/>
    <s v="281285"/>
    <s v="Bhabani Prosad Chattopadhy"/>
    <s v="7548026544"/>
  </r>
  <r>
    <s v="RCF Trombay"/>
    <s v="15-15-15"/>
    <s v="WB"/>
    <x v="15"/>
    <s v="Haringhata"/>
    <s v="User Not Mapped"/>
    <s v="User Not Mapped"/>
    <s v="User Not Mapped"/>
    <n v="341495"/>
    <s v="Indrajit Golder And Brothers"/>
    <s v="Private Retailer"/>
    <s v="9734819271"/>
    <n v="0.25"/>
    <n v="141"/>
    <x v="0"/>
    <m/>
    <s v="2025-12-07"/>
    <s v="281285"/>
    <s v="Bhabani Prosad Chattopadhy"/>
    <s v="7548026544"/>
  </r>
  <r>
    <s v="RCF Trombay"/>
    <s v="15-15-15"/>
    <s v="WB"/>
    <x v="15"/>
    <s v="Haringhata"/>
    <s v="User Not Mapped"/>
    <s v="User Not Mapped"/>
    <s v="User Not Mapped"/>
    <n v="341495"/>
    <s v="Indrajit Golder And Brothers"/>
    <s v="Private Retailer"/>
    <s v="9734819271"/>
    <n v="0.1"/>
    <n v="155"/>
    <x v="0"/>
    <m/>
    <s v="2025-11-23"/>
    <s v="281285"/>
    <s v="Bhabani Prosad Chattopadhy"/>
    <s v="7548026544"/>
  </r>
  <r>
    <s v="RCF Trombay"/>
    <s v="15-15-15"/>
    <s v="WB"/>
    <x v="15"/>
    <s v="Haringhata"/>
    <s v="User Not Mapped"/>
    <s v="User Not Mapped"/>
    <s v="User Not Mapped"/>
    <n v="341495"/>
    <s v="Indrajit Golder And Brothers"/>
    <s v="Private Retailer"/>
    <s v="9734819271"/>
    <n v="0.25"/>
    <n v="160"/>
    <x v="0"/>
    <m/>
    <s v="2025-11-18"/>
    <s v="281285"/>
    <s v="Bhabani Prosad Chattopadhy"/>
    <s v="7548026544"/>
  </r>
  <r>
    <s v="RCF Trombay"/>
    <s v="15-15-15"/>
    <s v="WB"/>
    <x v="15"/>
    <s v="Haringhata"/>
    <s v="User Not Mapped"/>
    <s v="User Not Mapped"/>
    <s v="User Not Mapped"/>
    <n v="341495"/>
    <s v="Indrajit Golder And Brothers"/>
    <s v="Private Retailer"/>
    <s v="9734819271"/>
    <n v="0.25"/>
    <n v="161"/>
    <x v="0"/>
    <m/>
    <s v="2025-11-17"/>
    <s v="281285"/>
    <s v="Bhabani Prosad Chattopadhy"/>
    <s v="7548026544"/>
  </r>
  <r>
    <s v="RCF Trombay"/>
    <s v="N.C.Urea(45kg)"/>
    <s v="WB"/>
    <x v="15"/>
    <s v="Haringhata"/>
    <s v="User Not Mapped"/>
    <s v="User Not Mapped"/>
    <s v="User Not Mapped"/>
    <n v="341495"/>
    <s v="Indrajit Golder And Brothers"/>
    <s v="Private Retailer"/>
    <s v="9734819271"/>
    <n v="0.25"/>
    <n v="141"/>
    <x v="0"/>
    <m/>
    <s v="2025-12-07"/>
    <s v="281285"/>
    <s v="Bhabani Prosad Chattopadhy"/>
    <s v="7548026544"/>
  </r>
  <r>
    <s v="RCF Trombay"/>
    <s v="15-15-15"/>
    <s v="WB"/>
    <x v="15"/>
    <s v="Haringhata"/>
    <s v="User Not Mapped"/>
    <s v="User Not Mapped"/>
    <s v="User Not Mapped"/>
    <n v="341499"/>
    <s v="Jadab Chandra Gain"/>
    <s v="Private Retailer"/>
    <s v="8016521001"/>
    <n v="0.15"/>
    <n v="52"/>
    <x v="1"/>
    <m/>
    <s v="2026-03-06"/>
    <s v="260211"/>
    <s v="M/s. Jaiswal Enterprise "/>
    <s v="8116105006"/>
  </r>
  <r>
    <s v="RCF Import"/>
    <s v="MOP"/>
    <s v="WB"/>
    <x v="15"/>
    <s v="Haringhata"/>
    <s v="User Not Mapped"/>
    <s v="User Not Mapped"/>
    <s v="User Not Mapped"/>
    <n v="341537"/>
    <s v="Jasimuddin Mia"/>
    <s v="Private Retailer"/>
    <s v="9775613896"/>
    <n v="0.25"/>
    <n v="59"/>
    <x v="1"/>
    <m/>
    <s v="2026-02-27"/>
    <s v="441419"/>
    <s v="M/S Namita Chanda"/>
    <s v="9775677020"/>
  </r>
  <r>
    <s v="RCF Import"/>
    <s v="MOP"/>
    <s v="WB"/>
    <x v="15"/>
    <s v="Haringhata"/>
    <s v="User Not Mapped"/>
    <s v="User Not Mapped"/>
    <s v="User Not Mapped"/>
    <n v="341537"/>
    <s v="Jasimuddin Mia"/>
    <s v="Private Retailer"/>
    <s v="9775613896"/>
    <n v="0.25"/>
    <n v="56"/>
    <x v="1"/>
    <m/>
    <s v="2026-03-02"/>
    <s v="260210"/>
    <s v="Gouri Sankar Kundu            "/>
    <s v="9064539774"/>
  </r>
  <r>
    <s v="RCF Trombay"/>
    <s v="15-15-15"/>
    <s v="WB"/>
    <x v="15"/>
    <s v="Haringhata"/>
    <s v="User Not Mapped"/>
    <s v="User Not Mapped"/>
    <s v="User Not Mapped"/>
    <n v="341537"/>
    <s v="Jasimuddin Mia"/>
    <s v="Private Retailer"/>
    <s v="9775613896"/>
    <n v="0.2"/>
    <n v="136"/>
    <x v="0"/>
    <m/>
    <s v="2025-12-12"/>
    <s v="260210"/>
    <s v="Gouri Sankar Kundu            "/>
    <s v="9064539774"/>
  </r>
  <r>
    <s v="RCF Import"/>
    <s v="MOP"/>
    <s v="WB"/>
    <x v="15"/>
    <s v="Haringhata"/>
    <s v="User Not Mapped"/>
    <s v="User Not Mapped"/>
    <s v="User Not Mapped"/>
    <n v="341537"/>
    <s v="Jasimuddin Mia"/>
    <s v="Private Retailer"/>
    <s v="9775613896"/>
    <n v="0.15"/>
    <n v="44"/>
    <x v="1"/>
    <m/>
    <s v="2026-03-14"/>
    <s v="260210"/>
    <s v="Gouri Sankar Kundu            "/>
    <s v="9064539774"/>
  </r>
  <r>
    <s v="RCF Trombay"/>
    <s v="N.C.Urea(45kg)"/>
    <s v="WB"/>
    <x v="15"/>
    <s v="Haringhata"/>
    <s v="User Not Mapped"/>
    <s v="User Not Mapped"/>
    <s v="User Not Mapped"/>
    <n v="341558"/>
    <s v="Joydeb Sadhukha"/>
    <s v="Private Retailer"/>
    <s v="7551070518"/>
    <n v="0.22500000000000001"/>
    <n v="60"/>
    <x v="1"/>
    <m/>
    <s v="2026-02-26"/>
    <s v="260210"/>
    <s v="Gouri Sankar Kundu            "/>
    <s v="9064539774"/>
  </r>
  <r>
    <s v="RCF Trombay"/>
    <s v="N.C.Urea(45kg)"/>
    <s v="WB"/>
    <x v="15"/>
    <s v="Haringhata"/>
    <s v="User Not Mapped"/>
    <s v="User Not Mapped"/>
    <s v="User Not Mapped"/>
    <n v="341558"/>
    <s v="Joydeb Sadhukha"/>
    <s v="Private Retailer"/>
    <s v="7551070518"/>
    <n v="0.67500000000000004"/>
    <n v="63"/>
    <x v="2"/>
    <m/>
    <s v="2026-02-23"/>
    <s v="260209"/>
    <s v="M/S SUNIL KUMAR SAHA       "/>
    <s v="9434110995"/>
  </r>
  <r>
    <s v="RCF Trombay"/>
    <s v="N.C.Urea(45kg)"/>
    <s v="WB"/>
    <x v="15"/>
    <s v="Haringhata"/>
    <s v="User Not Mapped"/>
    <s v="User Not Mapped"/>
    <s v="User Not Mapped"/>
    <n v="341558"/>
    <s v="Joydeb Sadhukha"/>
    <s v="Private Retailer"/>
    <s v="7551070518"/>
    <n v="0.18"/>
    <n v="86"/>
    <x v="2"/>
    <m/>
    <s v="2026-01-31"/>
    <s v="260209"/>
    <s v="M/S SUNIL KUMAR SAHA       "/>
    <s v="9434110995"/>
  </r>
  <r>
    <s v="RCF Thal"/>
    <s v="N.C.Urea(45kg)"/>
    <s v="WB"/>
    <x v="15"/>
    <s v="Haringhata"/>
    <s v="User Not Mapped"/>
    <s v="User Not Mapped"/>
    <s v="User Not Mapped"/>
    <n v="341558"/>
    <s v="Joydeb Sadhukha"/>
    <s v="Private Retailer"/>
    <s v="7551070518"/>
    <n v="1.2150000000000001"/>
    <n v="40"/>
    <x v="1"/>
    <m/>
    <s v="2026-03-18"/>
    <s v="260209"/>
    <s v="M/S SUNIL KUMAR SAHA       "/>
    <s v="9434110995"/>
  </r>
  <r>
    <s v="RCF Thal"/>
    <s v="N.C.Urea(45kg)"/>
    <s v="WB"/>
    <x v="15"/>
    <s v="Haringhata"/>
    <s v="User Not Mapped"/>
    <s v="User Not Mapped"/>
    <s v="User Not Mapped"/>
    <n v="341558"/>
    <s v="Joydeb Sadhukha"/>
    <s v="Private Retailer"/>
    <s v="7551070518"/>
    <n v="0.45"/>
    <n v="37"/>
    <x v="1"/>
    <m/>
    <s v="2026-03-21"/>
    <s v="260210"/>
    <s v="Gouri Sankar Kundu            "/>
    <s v="9064539774"/>
  </r>
  <r>
    <s v="RCF Import"/>
    <s v="MOP"/>
    <s v="WB"/>
    <x v="15"/>
    <s v="Haringhata"/>
    <s v="User Not Mapped"/>
    <s v="User Not Mapped"/>
    <s v="User Not Mapped"/>
    <n v="341558"/>
    <s v="Joydeb Sadhukha"/>
    <s v="Private Retailer"/>
    <s v="7551070518"/>
    <n v="0.5"/>
    <n v="44"/>
    <x v="1"/>
    <m/>
    <s v="2026-03-14"/>
    <s v="260210"/>
    <s v="Gouri Sankar Kundu            "/>
    <s v="9064539774"/>
  </r>
  <r>
    <s v="RCF Import"/>
    <s v="MOP"/>
    <s v="WB"/>
    <x v="15"/>
    <s v="Haringhata"/>
    <s v="User Not Mapped"/>
    <s v="User Not Mapped"/>
    <s v="User Not Mapped"/>
    <n v="341558"/>
    <s v="Joydeb Sadhukha"/>
    <s v="Private Retailer"/>
    <s v="7551070518"/>
    <n v="0.5"/>
    <n v="56"/>
    <x v="1"/>
    <m/>
    <s v="2026-03-02"/>
    <s v="260210"/>
    <s v="Gouri Sankar Kundu            "/>
    <s v="9064539774"/>
  </r>
  <r>
    <s v="RCF Thal"/>
    <s v="N.C.Urea(45kg)"/>
    <s v="WB"/>
    <x v="15"/>
    <s v="Haringhata"/>
    <s v="User Not Mapped"/>
    <s v="User Not Mapped"/>
    <s v="User Not Mapped"/>
    <n v="341558"/>
    <s v="Joydeb Sadhukha"/>
    <s v="Private Retailer"/>
    <s v="7551070518"/>
    <n v="0.18"/>
    <n v="30"/>
    <x v="4"/>
    <m/>
    <s v="2026-03-28"/>
    <s v="260210"/>
    <s v="Gouri Sankar Kundu            "/>
    <s v="9064539774"/>
  </r>
  <r>
    <s v="RCF Import"/>
    <s v="MOP"/>
    <s v="WB"/>
    <x v="15"/>
    <s v="Haringhata"/>
    <s v="User Not Mapped"/>
    <s v="User Not Mapped"/>
    <s v="User Not Mapped"/>
    <n v="341558"/>
    <s v="Joydeb Sadhukha"/>
    <s v="Private Retailer"/>
    <s v="7551070518"/>
    <n v="0.25"/>
    <n v="30"/>
    <x v="4"/>
    <m/>
    <s v="2026-03-28"/>
    <s v="260210"/>
    <s v="Gouri Sankar Kundu            "/>
    <s v="9064539774"/>
  </r>
  <r>
    <s v="RCF Import"/>
    <s v="Imp 10-26-26"/>
    <s v="WB"/>
    <x v="15"/>
    <s v="Haringhata"/>
    <s v="User Not Mapped"/>
    <s v="User Not Mapped"/>
    <s v="User Not Mapped"/>
    <n v="341574"/>
    <s v="Julfikkar Mandal"/>
    <s v="Private Retailer"/>
    <s v="9733524101"/>
    <n v="0.8"/>
    <n v="32"/>
    <x v="1"/>
    <m/>
    <s v="2026-03-26"/>
    <s v="260211"/>
    <s v="M/s. Jaiswal Enterprise "/>
    <s v="8116105006"/>
  </r>
  <r>
    <s v="RCF Trombay"/>
    <s v="15-15-15"/>
    <s v="WB"/>
    <x v="15"/>
    <s v="Haringhata"/>
    <s v="User Not Mapped"/>
    <s v="User Not Mapped"/>
    <s v="User Not Mapped"/>
    <n v="341607"/>
    <s v="Kamaluddin Mondal"/>
    <s v="Private Retailer"/>
    <s v="7908503138"/>
    <n v="0.65"/>
    <n v="776"/>
    <x v="7"/>
    <m/>
    <s v="2024-03-12"/>
    <s v="260177"/>
    <s v="SatyaRanjan Kundu and Brothers"/>
    <s v="7908186730"/>
  </r>
  <r>
    <s v="RCF Trombay"/>
    <s v="N.C.Urea(45kg)"/>
    <s v="WB"/>
    <x v="15"/>
    <s v="Haringhata"/>
    <s v="User Not Mapped"/>
    <s v="User Not Mapped"/>
    <s v="User Not Mapped"/>
    <n v="341720"/>
    <s v="Lakshaman Das"/>
    <s v="Private Retailer"/>
    <s v="9733782416"/>
    <n v="1.44"/>
    <n v="107"/>
    <x v="5"/>
    <m/>
    <s v="2026-01-10"/>
    <s v="260177"/>
    <s v="SatyaRanjan Kundu and Brothers"/>
    <s v="7908186730"/>
  </r>
  <r>
    <s v="RCF Trombay"/>
    <s v="N.C.Urea(45kg)"/>
    <s v="WB"/>
    <x v="15"/>
    <s v="Haringhata"/>
    <s v="User Not Mapped"/>
    <s v="User Not Mapped"/>
    <s v="User Not Mapped"/>
    <n v="341720"/>
    <s v="Lakshaman Das"/>
    <s v="Private Retailer"/>
    <s v="9733782416"/>
    <n v="5.49"/>
    <n v="73"/>
    <x v="2"/>
    <m/>
    <s v="2026-02-13"/>
    <s v="214222"/>
    <s v="Mahamaya Enterprise"/>
    <s v="8348217174"/>
  </r>
  <r>
    <s v="RCF Trombay"/>
    <s v="15-15-15"/>
    <s v="WB"/>
    <x v="15"/>
    <s v="Haringhata"/>
    <s v="User Not Mapped"/>
    <s v="User Not Mapped"/>
    <s v="User Not Mapped"/>
    <n v="341720"/>
    <s v="Lakshaman Das"/>
    <s v="Private Retailer"/>
    <s v="9733782416"/>
    <n v="0.5"/>
    <n v="73"/>
    <x v="2"/>
    <m/>
    <s v="2026-02-13"/>
    <s v="214222"/>
    <s v="Mahamaya Enterprise"/>
    <s v="8348217174"/>
  </r>
  <r>
    <s v="RCF Trombay"/>
    <s v="15-15-15"/>
    <s v="WB"/>
    <x v="15"/>
    <s v="Haringhata"/>
    <s v="User Not Mapped"/>
    <s v="User Not Mapped"/>
    <s v="User Not Mapped"/>
    <n v="341797"/>
    <s v="Mainul Hossain"/>
    <s v="Private Retailer"/>
    <s v="9735237015"/>
    <n v="0.25"/>
    <n v="53"/>
    <x v="1"/>
    <m/>
    <s v="2026-03-05"/>
    <s v="260211"/>
    <s v="M/s. Jaiswal Enterprise "/>
    <s v="8116105006"/>
  </r>
  <r>
    <s v="RCF Import"/>
    <s v="Imp 10-26-26"/>
    <s v="WB"/>
    <x v="15"/>
    <s v="Haringhata"/>
    <s v="User Not Mapped"/>
    <s v="User Not Mapped"/>
    <s v="User Not Mapped"/>
    <n v="341797"/>
    <s v="Mainul Hossain"/>
    <s v="Private Retailer"/>
    <s v="9735237015"/>
    <n v="0.5"/>
    <n v="28"/>
    <x v="4"/>
    <m/>
    <s v="2026-03-30"/>
    <s v="260211"/>
    <s v="M/s. Jaiswal Enterprise "/>
    <s v="8116105006"/>
  </r>
  <r>
    <s v="RCF Trombay"/>
    <s v="15-15-15"/>
    <s v="WB"/>
    <x v="15"/>
    <s v="Haringhata"/>
    <s v="User Not Mapped"/>
    <s v="User Not Mapped"/>
    <s v="User Not Mapped"/>
    <n v="341807"/>
    <s v="Malay Kumar Debnath"/>
    <s v="Private Retailer"/>
    <s v="9775055073"/>
    <n v="0.15"/>
    <n v="45"/>
    <x v="1"/>
    <m/>
    <s v="2026-03-13"/>
    <s v="260211"/>
    <s v="M/s. Jaiswal Enterprise "/>
    <s v="8116105006"/>
  </r>
  <r>
    <s v="RCF Import"/>
    <s v="Imp 10-26-26"/>
    <s v="WB"/>
    <x v="15"/>
    <s v="Haringhata"/>
    <s v="User Not Mapped"/>
    <s v="User Not Mapped"/>
    <s v="User Not Mapped"/>
    <n v="341807"/>
    <s v="Malay Kumar Debnath"/>
    <s v="Private Retailer"/>
    <s v="9775055073"/>
    <n v="0.1"/>
    <n v="24"/>
    <x v="4"/>
    <m/>
    <s v="2026-04-03"/>
    <s v="260211"/>
    <s v="M/s. Jaiswal Enterprise "/>
    <s v="8116105006"/>
  </r>
  <r>
    <s v="RCF Import"/>
    <s v="Imp 10-26-26"/>
    <s v="WB"/>
    <x v="15"/>
    <s v="Haringhata"/>
    <s v="User Not Mapped"/>
    <s v="User Not Mapped"/>
    <s v="User Not Mapped"/>
    <n v="341881"/>
    <s v="Md. Jalauddin Mia"/>
    <s v="Private Retailer"/>
    <s v="9732763411"/>
    <n v="0.5"/>
    <n v="20"/>
    <x v="4"/>
    <m/>
    <s v="2026-04-07"/>
    <s v="260211"/>
    <s v="M/s. Jaiswal Enterprise "/>
    <s v="8116105006"/>
  </r>
  <r>
    <s v="RCF Trombay"/>
    <s v="N.C.Urea(45kg)"/>
    <s v="WB"/>
    <x v="15"/>
    <s v="Haringhata"/>
    <s v="User Not Mapped"/>
    <s v="User Not Mapped"/>
    <s v="User Not Mapped"/>
    <n v="341881"/>
    <s v="Md. Jalauddin Mia"/>
    <s v="Private Retailer"/>
    <s v="9732763411"/>
    <n v="1.35"/>
    <n v="100"/>
    <x v="5"/>
    <m/>
    <s v="2026-01-17"/>
    <s v="214222"/>
    <s v="Mahamaya Enterprise"/>
    <s v="8348217174"/>
  </r>
  <r>
    <s v="RCF Trombay"/>
    <s v="15-15-15"/>
    <s v="WB"/>
    <x v="15"/>
    <s v="Haringhata"/>
    <s v="User Not Mapped"/>
    <s v="User Not Mapped"/>
    <s v="User Not Mapped"/>
    <n v="341881"/>
    <s v="Md. Jalauddin Mia"/>
    <s v="Private Retailer"/>
    <s v="9732763411"/>
    <n v="3.3"/>
    <n v="73"/>
    <x v="2"/>
    <m/>
    <s v="2026-02-13"/>
    <s v="214222"/>
    <s v="Mahamaya Enterprise"/>
    <s v="8348217174"/>
  </r>
  <r>
    <s v="RCF Trombay"/>
    <s v="15-15-15"/>
    <s v="WB"/>
    <x v="15"/>
    <s v="Haringhata"/>
    <s v="User Not Mapped"/>
    <s v="User Not Mapped"/>
    <s v="User Not Mapped"/>
    <n v="341881"/>
    <s v="Md. Jalauddin Mia"/>
    <s v="Private Retailer"/>
    <s v="9732763411"/>
    <n v="2"/>
    <n v="62"/>
    <x v="2"/>
    <m/>
    <s v="2026-02-24"/>
    <s v="214222"/>
    <s v="Mahamaya Enterprise"/>
    <s v="8348217174"/>
  </r>
  <r>
    <s v="RCF Thal"/>
    <s v="N.C.Urea(45kg)"/>
    <s v="WB"/>
    <x v="15"/>
    <s v="Haringhata"/>
    <s v="User Not Mapped"/>
    <s v="User Not Mapped"/>
    <s v="User Not Mapped"/>
    <n v="341901"/>
    <s v="Md. Mozaffar Hossain"/>
    <s v="Private Retailer"/>
    <s v="9732709161"/>
    <n v="1.575"/>
    <n v="48"/>
    <x v="1"/>
    <m/>
    <s v="2026-03-10"/>
    <s v="214222"/>
    <s v="Mahamaya Enterprise"/>
    <s v="8348217174"/>
  </r>
  <r>
    <s v="RCF Trombay"/>
    <s v="15-15-15"/>
    <s v="WB"/>
    <x v="15"/>
    <s v="Haringhata"/>
    <s v="User Not Mapped"/>
    <s v="User Not Mapped"/>
    <s v="User Not Mapped"/>
    <n v="341901"/>
    <s v="Md. Mozaffar Hossain"/>
    <s v="Private Retailer"/>
    <s v="9732709161"/>
    <n v="0.5"/>
    <n v="34"/>
    <x v="1"/>
    <m/>
    <s v="2026-03-24"/>
    <s v="260211"/>
    <s v="M/s. Jaiswal Enterprise "/>
    <s v="8116105006"/>
  </r>
  <r>
    <s v="RCF Trombay"/>
    <s v="15-15-15"/>
    <s v="WB"/>
    <x v="15"/>
    <s v="Haringhata"/>
    <s v="User Not Mapped"/>
    <s v="User Not Mapped"/>
    <s v="User Not Mapped"/>
    <n v="341901"/>
    <s v="Md. Mozaffar Hossain"/>
    <s v="Private Retailer"/>
    <s v="9732709161"/>
    <n v="0.4"/>
    <n v="90"/>
    <x v="2"/>
    <m/>
    <s v="2026-01-27"/>
    <s v="214222"/>
    <s v="Mahamaya Enterprise"/>
    <s v="8348217174"/>
  </r>
  <r>
    <s v="RCF Import"/>
    <s v="Imp 10-26-26"/>
    <s v="WB"/>
    <x v="15"/>
    <s v="Haringhata"/>
    <s v="User Not Mapped"/>
    <s v="User Not Mapped"/>
    <s v="User Not Mapped"/>
    <n v="341901"/>
    <s v="Md. Mozaffar Hossain"/>
    <s v="Private Retailer"/>
    <s v="9732709161"/>
    <n v="3.45"/>
    <n v="59"/>
    <x v="1"/>
    <m/>
    <s v="2026-02-27"/>
    <s v="214222"/>
    <s v="Mahamaya Enterprise"/>
    <s v="8348217174"/>
  </r>
  <r>
    <s v="RCF Trombay"/>
    <s v="15-15-15"/>
    <s v="WB"/>
    <x v="15"/>
    <s v="Haringhata"/>
    <s v="User Not Mapped"/>
    <s v="User Not Mapped"/>
    <s v="User Not Mapped"/>
    <n v="341930"/>
    <s v="Mijanur Rahaman Mondal"/>
    <s v="Private Retailer"/>
    <s v="7407525078"/>
    <n v="0.3"/>
    <n v="181"/>
    <x v="3"/>
    <m/>
    <s v="2025-10-28"/>
    <s v="1420181"/>
    <s v="M/S BINAY DAS"/>
    <s v="7797613134"/>
  </r>
  <r>
    <s v="RCF Trombay"/>
    <s v="15-15-15"/>
    <s v="WB"/>
    <x v="15"/>
    <s v="Haringhata"/>
    <s v="User Not Mapped"/>
    <s v="User Not Mapped"/>
    <s v="User Not Mapped"/>
    <n v="341931"/>
    <s v="Mikail Mondal"/>
    <s v="Private Retailer"/>
    <s v="8001582562"/>
    <n v="0.5"/>
    <n v="181"/>
    <x v="3"/>
    <m/>
    <s v="2025-10-28"/>
    <s v="1420181"/>
    <s v="M/S BINAY DAS"/>
    <s v="7797613134"/>
  </r>
  <r>
    <s v="RCF Trombay"/>
    <s v="N.C.Urea(45kg)"/>
    <s v="WB"/>
    <x v="15"/>
    <s v="Haringhata"/>
    <s v="User Not Mapped"/>
    <s v="User Not Mapped"/>
    <s v="User Not Mapped"/>
    <n v="341931"/>
    <s v="Mikail Mondal"/>
    <s v="Private Retailer"/>
    <s v="8001582562"/>
    <n v="0.01"/>
    <n v="804"/>
    <x v="7"/>
    <m/>
    <s v="2024-02-13"/>
    <s v="280729"/>
    <s v="M/s. Naresh Chandra Das"/>
    <s v="7365868045"/>
  </r>
  <r>
    <s v="RCF Import"/>
    <s v="MOP"/>
    <s v="WB"/>
    <x v="15"/>
    <s v="Haringhata"/>
    <s v="User Not Mapped"/>
    <s v="User Not Mapped"/>
    <s v="User Not Mapped"/>
    <n v="341981"/>
    <s v="Monirul Mondal"/>
    <s v="Private Retailer"/>
    <s v="9647351779"/>
    <n v="5.5"/>
    <n v="59"/>
    <x v="1"/>
    <m/>
    <s v="2026-02-27"/>
    <s v="280729"/>
    <s v="M/s. Naresh Chandra Das"/>
    <s v="7365868045"/>
  </r>
  <r>
    <s v="RCF Trombay"/>
    <s v="15-15-15"/>
    <s v="WB"/>
    <x v="15"/>
    <s v="Haringhata"/>
    <s v="User Not Mapped"/>
    <s v="User Not Mapped"/>
    <s v="User Not Mapped"/>
    <n v="341981"/>
    <s v="Monirul Mondal"/>
    <s v="Private Retailer"/>
    <s v="9647351779"/>
    <n v="2.355"/>
    <n v="58"/>
    <x v="1"/>
    <m/>
    <s v="2026-02-28"/>
    <s v="280729"/>
    <s v="M/s. Naresh Chandra Das"/>
    <s v="7365868045"/>
  </r>
  <r>
    <s v="RCF Import"/>
    <s v="Imp 10-26-26"/>
    <s v="WB"/>
    <x v="15"/>
    <s v="Haringhata"/>
    <s v="User Not Mapped"/>
    <s v="User Not Mapped"/>
    <s v="User Not Mapped"/>
    <n v="341981"/>
    <s v="Monirul Mondal"/>
    <s v="Private Retailer"/>
    <s v="9647351779"/>
    <n v="1.4"/>
    <n v="51"/>
    <x v="1"/>
    <m/>
    <s v="2026-03-07"/>
    <s v="280729"/>
    <s v="M/s. Naresh Chandra Das"/>
    <s v="7365868045"/>
  </r>
  <r>
    <s v="RCF Thal"/>
    <s v="N.C.Urea(45kg)"/>
    <s v="WB"/>
    <x v="15"/>
    <s v="Haringhata"/>
    <s v="User Not Mapped"/>
    <s v="User Not Mapped"/>
    <s v="User Not Mapped"/>
    <n v="341988"/>
    <s v="Monoranjan Sarkar"/>
    <s v="Private Retailer"/>
    <s v="8906443651"/>
    <n v="1.53"/>
    <n v="48"/>
    <x v="1"/>
    <m/>
    <s v="2026-03-10"/>
    <s v="214222"/>
    <s v="Mahamaya Enterprise"/>
    <s v="8348217174"/>
  </r>
  <r>
    <s v="RCF Import"/>
    <s v="MOP"/>
    <s v="WB"/>
    <x v="15"/>
    <s v="Haringhata"/>
    <s v="User Not Mapped"/>
    <s v="User Not Mapped"/>
    <s v="User Not Mapped"/>
    <n v="341988"/>
    <s v="Monoranjan Sarkar"/>
    <s v="Private Retailer"/>
    <s v="8906443651"/>
    <n v="2.2000000000000002"/>
    <n v="69"/>
    <x v="2"/>
    <m/>
    <s v="2026-02-17"/>
    <s v="214222"/>
    <s v="Mahamaya Enterprise"/>
    <s v="8348217174"/>
  </r>
  <r>
    <s v="RCF Trombay"/>
    <s v="15-15-15"/>
    <s v="WB"/>
    <x v="15"/>
    <s v="Haringhata"/>
    <s v="User Not Mapped"/>
    <s v="User Not Mapped"/>
    <s v="User Not Mapped"/>
    <n v="342027"/>
    <s v="Nabyendu Pathak"/>
    <s v="Private Retailer"/>
    <s v="7003717016"/>
    <n v="0.3"/>
    <n v="45"/>
    <x v="1"/>
    <m/>
    <s v="2026-03-13"/>
    <s v="260211"/>
    <s v="M/s. Jaiswal Enterprise "/>
    <s v="8116105006"/>
  </r>
  <r>
    <s v="RCF Trombay"/>
    <s v="15-15-15"/>
    <s v="WB"/>
    <x v="15"/>
    <s v="Haringhata"/>
    <s v="User Not Mapped"/>
    <s v="User Not Mapped"/>
    <s v="User Not Mapped"/>
    <n v="342048"/>
    <s v="Narendra Nath Das"/>
    <s v="Private Retailer"/>
    <s v="9735664569"/>
    <n v="0.1"/>
    <n v="181"/>
    <x v="3"/>
    <m/>
    <s v="2025-10-28"/>
    <s v="1420181"/>
    <s v="M/S BINAY DAS"/>
    <s v="7797613134"/>
  </r>
  <r>
    <s v="RCF Import"/>
    <s v="Imp 10-26-26"/>
    <s v="WB"/>
    <x v="15"/>
    <s v="Haringhata"/>
    <s v="User Not Mapped"/>
    <s v="User Not Mapped"/>
    <s v="User Not Mapped"/>
    <n v="342058"/>
    <s v="Nasiruddin Mia"/>
    <s v="Private Retailer"/>
    <s v="9732819248"/>
    <n v="1"/>
    <n v="30"/>
    <x v="4"/>
    <m/>
    <s v="2026-03-28"/>
    <s v="260211"/>
    <s v="M/s. Jaiswal Enterprise "/>
    <s v="8116105006"/>
  </r>
  <r>
    <s v="RCF Trombay"/>
    <s v="N.C.Urea(45kg)"/>
    <s v="WB"/>
    <x v="15"/>
    <s v="Haringhata"/>
    <s v="User Not Mapped"/>
    <s v="User Not Mapped"/>
    <s v="User Not Mapped"/>
    <n v="342120"/>
    <s v="M/S ROY FERTILIZERS"/>
    <s v="Private Retailer"/>
    <s v="9564130524"/>
    <n v="0.63500000000000001"/>
    <n v="54"/>
    <x v="1"/>
    <m/>
    <s v="2026-03-04"/>
    <s v="1214830"/>
    <s v="MS AJOY KRISHNA SEAL"/>
    <s v="9932127372"/>
  </r>
  <r>
    <s v="RCF Import"/>
    <s v="MOP"/>
    <s v="WB"/>
    <x v="15"/>
    <s v="Haringhata"/>
    <s v="User Not Mapped"/>
    <s v="User Not Mapped"/>
    <s v="User Not Mapped"/>
    <n v="342120"/>
    <s v="M/S ROY FERTILIZERS"/>
    <s v="Private Retailer"/>
    <s v="9564130524"/>
    <n v="0.05"/>
    <n v="54"/>
    <x v="1"/>
    <m/>
    <s v="2026-03-04"/>
    <s v="1214830"/>
    <s v="MS AJOY KRISHNA SEAL"/>
    <s v="9932127372"/>
  </r>
  <r>
    <s v="RCF Import"/>
    <s v="Imp 10-26-26"/>
    <s v="WB"/>
    <x v="15"/>
    <s v="Haringhata"/>
    <s v="User Not Mapped"/>
    <s v="User Not Mapped"/>
    <s v="User Not Mapped"/>
    <n v="342650"/>
    <s v="Saifuddin Mandal"/>
    <s v="Private Retailer"/>
    <s v="9064438628"/>
    <n v="0.5"/>
    <n v="19"/>
    <x v="4"/>
    <m/>
    <s v="2026-04-08"/>
    <s v="260211"/>
    <s v="M/s. Jaiswal Enterprise "/>
    <s v="8116105006"/>
  </r>
  <r>
    <s v="RCF Import"/>
    <s v="Imp 10-26-26"/>
    <s v="WB"/>
    <x v="15"/>
    <s v="Haringhata"/>
    <s v="User Not Mapped"/>
    <s v="User Not Mapped"/>
    <s v="User Not Mapped"/>
    <n v="342650"/>
    <s v="Saifuddin Mandal"/>
    <s v="Private Retailer"/>
    <s v="9064438628"/>
    <n v="0.5"/>
    <n v="231"/>
    <x v="3"/>
    <m/>
    <s v="2025-09-08"/>
    <s v="260211"/>
    <s v="M/s. Jaiswal Enterprise "/>
    <s v="8116105006"/>
  </r>
  <r>
    <s v="RCF Trombay"/>
    <s v="N.C.Urea(45kg)"/>
    <s v="WB"/>
    <x v="15"/>
    <s v="Haringhata"/>
    <s v="User Not Mapped"/>
    <s v="User Not Mapped"/>
    <s v="User Not Mapped"/>
    <n v="342650"/>
    <s v="Saifuddin Mandal"/>
    <s v="Private Retailer"/>
    <s v="9064438628"/>
    <n v="3.96"/>
    <n v="62"/>
    <x v="2"/>
    <m/>
    <s v="2026-02-24"/>
    <s v="214222"/>
    <s v="Mahamaya Enterprise"/>
    <s v="8348217174"/>
  </r>
  <r>
    <s v="RCF Import"/>
    <s v="Imp 10-26-26"/>
    <s v="WB"/>
    <x v="15"/>
    <s v="Haringhata"/>
    <s v="User Not Mapped"/>
    <s v="User Not Mapped"/>
    <s v="User Not Mapped"/>
    <n v="342651"/>
    <s v="M/s Prangopal Nandi"/>
    <s v="Private Retailer"/>
    <s v="9475343946"/>
    <n v="0.7"/>
    <n v="20"/>
    <x v="4"/>
    <m/>
    <s v="2026-04-07"/>
    <s v="260209"/>
    <s v="M/S SUNIL KUMAR SAHA       "/>
    <s v="9434110995"/>
  </r>
  <r>
    <s v="RCF Thal"/>
    <s v="N.C.Urea(45kg)"/>
    <s v="WB"/>
    <x v="15"/>
    <s v="Haringhata"/>
    <s v="User Not Mapped"/>
    <s v="User Not Mapped"/>
    <s v="User Not Mapped"/>
    <n v="342672"/>
    <s v="Rekha Roy"/>
    <s v="Private Retailer"/>
    <s v="9609294434"/>
    <n v="10.98"/>
    <n v="48"/>
    <x v="1"/>
    <m/>
    <s v="2026-03-10"/>
    <s v="214222"/>
    <s v="Mahamaya Enterprise"/>
    <s v="8348217174"/>
  </r>
  <r>
    <s v="RCF Thal"/>
    <s v="N.C.Urea(45kg)"/>
    <s v="WB"/>
    <x v="15"/>
    <s v="Haringhata"/>
    <s v="User Not Mapped"/>
    <s v="User Not Mapped"/>
    <s v="User Not Mapped"/>
    <n v="342672"/>
    <s v="Rekha Roy"/>
    <s v="Private Retailer"/>
    <s v="9609294434"/>
    <n v="4.2750000000000004"/>
    <n v="77"/>
    <x v="2"/>
    <m/>
    <s v="2026-02-09"/>
    <s v="214222"/>
    <s v="Mahamaya Enterprise"/>
    <s v="8348217174"/>
  </r>
  <r>
    <s v="RCF Import"/>
    <s v="MOP"/>
    <s v="WB"/>
    <x v="15"/>
    <s v="Haringhata"/>
    <s v="User Not Mapped"/>
    <s v="User Not Mapped"/>
    <s v="User Not Mapped"/>
    <n v="342672"/>
    <s v="Rekha Roy"/>
    <s v="Private Retailer"/>
    <s v="9609294434"/>
    <n v="3"/>
    <n v="69"/>
    <x v="2"/>
    <m/>
    <s v="2026-02-17"/>
    <s v="214222"/>
    <s v="Mahamaya Enterprise"/>
    <s v="8348217174"/>
  </r>
  <r>
    <s v="RCF Trombay"/>
    <s v="15-15-15"/>
    <s v="WB"/>
    <x v="15"/>
    <s v="Haringhata"/>
    <s v="User Not Mapped"/>
    <s v="User Not Mapped"/>
    <s v="User Not Mapped"/>
    <n v="342672"/>
    <s v="Rekha Roy"/>
    <s v="Private Retailer"/>
    <s v="9609294434"/>
    <n v="3.3"/>
    <n v="73"/>
    <x v="2"/>
    <m/>
    <s v="2026-02-13"/>
    <s v="214222"/>
    <s v="Mahamaya Enterprise"/>
    <s v="8348217174"/>
  </r>
  <r>
    <s v="RCF Thal"/>
    <s v="N.C.Urea(45kg)"/>
    <s v="WB"/>
    <x v="15"/>
    <s v="Haringhata"/>
    <s v="User Not Mapped"/>
    <s v="User Not Mapped"/>
    <s v="User Not Mapped"/>
    <n v="342672"/>
    <s v="Rekha Roy"/>
    <s v="Private Retailer"/>
    <s v="9609294434"/>
    <n v="10.98"/>
    <n v="46"/>
    <x v="1"/>
    <m/>
    <s v="2026-03-12"/>
    <s v="280729"/>
    <s v="M/s. Naresh Chandra Das"/>
    <s v="7365868045"/>
  </r>
  <r>
    <s v="RCF Import"/>
    <s v="Imp 10-26-26"/>
    <s v="WB"/>
    <x v="15"/>
    <s v="Haringhata"/>
    <s v="User Not Mapped"/>
    <s v="User Not Mapped"/>
    <s v="User Not Mapped"/>
    <n v="342672"/>
    <s v="Rekha Roy"/>
    <s v="Private Retailer"/>
    <s v="9609294434"/>
    <n v="11"/>
    <n v="59"/>
    <x v="1"/>
    <m/>
    <s v="2026-02-27"/>
    <s v="214222"/>
    <s v="Mahamaya Enterprise"/>
    <s v="8348217174"/>
  </r>
  <r>
    <s v="RCF Trombay"/>
    <s v="N.C.Urea(45kg)"/>
    <s v="WB"/>
    <x v="15"/>
    <s v="Haringhata"/>
    <s v="User Not Mapped"/>
    <s v="User Not Mapped"/>
    <s v="User Not Mapped"/>
    <n v="342675"/>
    <s v="Ranjit Mondal"/>
    <s v="Private Retailer"/>
    <s v="9735527921"/>
    <n v="1.62"/>
    <n v="73"/>
    <x v="2"/>
    <m/>
    <s v="2026-02-13"/>
    <s v="214222"/>
    <s v="Mahamaya Enterprise"/>
    <s v="8348217174"/>
  </r>
  <r>
    <s v="RCF Import"/>
    <s v="Imp 10-26-26"/>
    <s v="WB"/>
    <x v="15"/>
    <s v="Haringhata"/>
    <s v="User Not Mapped"/>
    <s v="User Not Mapped"/>
    <s v="User Not Mapped"/>
    <n v="342675"/>
    <s v="Ranjit Mondal"/>
    <s v="Private Retailer"/>
    <s v="9735527921"/>
    <n v="0.5"/>
    <n v="19"/>
    <x v="4"/>
    <m/>
    <s v="2026-04-08"/>
    <s v="260211"/>
    <s v="M/s. Jaiswal Enterprise "/>
    <s v="8116105006"/>
  </r>
  <r>
    <s v="RCF Trombay"/>
    <s v="15-15-15"/>
    <s v="WB"/>
    <x v="15"/>
    <s v="Haringhata"/>
    <s v="User Not Mapped"/>
    <s v="User Not Mapped"/>
    <s v="User Not Mapped"/>
    <n v="342675"/>
    <s v="Ranjit Mondal"/>
    <s v="Private Retailer"/>
    <s v="9735527921"/>
    <n v="1.8"/>
    <n v="62"/>
    <x v="2"/>
    <m/>
    <s v="2026-02-24"/>
    <s v="214222"/>
    <s v="Mahamaya Enterprise"/>
    <s v="8348217174"/>
  </r>
  <r>
    <s v="RCF Trombay"/>
    <s v="N.C.Urea(45kg)"/>
    <s v="WB"/>
    <x v="15"/>
    <s v="Haringhata"/>
    <s v="User Not Mapped"/>
    <s v="User Not Mapped"/>
    <s v="User Not Mapped"/>
    <n v="342675"/>
    <s v="Ranjit Mondal"/>
    <s v="Private Retailer"/>
    <s v="9735527921"/>
    <n v="3.0150000000000001"/>
    <n v="62"/>
    <x v="2"/>
    <m/>
    <s v="2026-02-24"/>
    <s v="214222"/>
    <s v="Mahamaya Enterprise"/>
    <s v="8348217174"/>
  </r>
  <r>
    <s v="RCF Import"/>
    <s v="MOP"/>
    <s v="WB"/>
    <x v="15"/>
    <s v="Haringhata"/>
    <s v="User Not Mapped"/>
    <s v="User Not Mapped"/>
    <s v="User Not Mapped"/>
    <n v="342678"/>
    <s v="Prodip Pal"/>
    <s v="Private Retailer"/>
    <s v="8768550450"/>
    <n v="1.5"/>
    <n v="2"/>
    <x v="4"/>
    <m/>
    <s v="2026-04-25"/>
    <s v="1214830"/>
    <s v="MS AJOY KRISHNA SEAL"/>
    <s v="9932127372"/>
  </r>
  <r>
    <s v="RCF Thal"/>
    <s v="N.C.Urea(45kg)"/>
    <s v="WB"/>
    <x v="15"/>
    <s v="Haringhata"/>
    <s v="User Not Mapped"/>
    <s v="User Not Mapped"/>
    <s v="User Not Mapped"/>
    <n v="342679"/>
    <s v="Rajat Kumar Ghosh"/>
    <s v="Private Retailer"/>
    <s v="9734546934"/>
    <n v="4.9050000000000002"/>
    <n v="48"/>
    <x v="1"/>
    <m/>
    <s v="2026-03-10"/>
    <s v="214222"/>
    <s v="Mahamaya Enterprise"/>
    <s v="8348217174"/>
  </r>
  <r>
    <s v="RCF Import"/>
    <s v="Imp 10-26-26"/>
    <s v="WB"/>
    <x v="15"/>
    <s v="Haringhata"/>
    <s v="User Not Mapped"/>
    <s v="User Not Mapped"/>
    <s v="User Not Mapped"/>
    <n v="342679"/>
    <s v="Rajat Kumar Ghosh"/>
    <s v="Private Retailer"/>
    <s v="9734546934"/>
    <n v="5"/>
    <n v="59"/>
    <x v="1"/>
    <m/>
    <s v="2026-02-27"/>
    <s v="214222"/>
    <s v="Mahamaya Enterprise"/>
    <s v="8348217174"/>
  </r>
  <r>
    <s v="RCF Import"/>
    <s v="MOP"/>
    <s v="WB"/>
    <x v="15"/>
    <s v="Haringhata"/>
    <s v="User Not Mapped"/>
    <s v="User Not Mapped"/>
    <s v="User Not Mapped"/>
    <n v="342679"/>
    <s v="Rajat Kumar Ghosh"/>
    <s v="Private Retailer"/>
    <s v="9734546934"/>
    <n v="4.75"/>
    <n v="60"/>
    <x v="1"/>
    <m/>
    <s v="2026-02-26"/>
    <s v="214222"/>
    <s v="Mahamaya Enterprise"/>
    <s v="8348217174"/>
  </r>
  <r>
    <s v="RCF Thal"/>
    <s v="N.C.Urea(45kg)"/>
    <s v="WB"/>
    <x v="15"/>
    <s v="Haringhata"/>
    <s v="User Not Mapped"/>
    <s v="User Not Mapped"/>
    <s v="User Not Mapped"/>
    <n v="354777"/>
    <s v="M/s Asim Kanti Basak"/>
    <s v="Private Retailer"/>
    <s v="9434554554"/>
    <n v="3.6"/>
    <n v="47"/>
    <x v="1"/>
    <m/>
    <s v="2026-03-11"/>
    <s v="270129"/>
    <s v="Kalyan Kr. Nandi"/>
    <s v="8250914797"/>
  </r>
  <r>
    <s v="RCF Trombay"/>
    <s v="15-15-15"/>
    <s v="WB"/>
    <x v="15"/>
    <s v="Haringhata"/>
    <s v="User Not Mapped"/>
    <s v="User Not Mapped"/>
    <s v="User Not Mapped"/>
    <n v="354777"/>
    <s v="M/s Asim Kanti Basak"/>
    <s v="Private Retailer"/>
    <s v="9434554554"/>
    <n v="3.9"/>
    <n v="60"/>
    <x v="1"/>
    <m/>
    <s v="2026-02-26"/>
    <s v="280729"/>
    <s v="M/s. Naresh Chandra Das"/>
    <s v="7365868045"/>
  </r>
  <r>
    <s v="RCF Trombay"/>
    <s v="15-15-15"/>
    <s v="WB"/>
    <x v="15"/>
    <s v="Haringhata"/>
    <s v="User Not Mapped"/>
    <s v="User Not Mapped"/>
    <s v="User Not Mapped"/>
    <n v="355799"/>
    <s v="NITYA NANDA GHOSH"/>
    <s v="Private Retailer"/>
    <s v="9775544109"/>
    <n v="0.248"/>
    <n v="51"/>
    <x v="1"/>
    <m/>
    <s v="2026-03-07"/>
    <s v="260211"/>
    <s v="M/s. Jaiswal Enterprise "/>
    <s v="8116105006"/>
  </r>
  <r>
    <s v="RCF Trombay"/>
    <s v="15-15-15"/>
    <s v="WB"/>
    <x v="15"/>
    <s v="Haringhata"/>
    <s v="User Not Mapped"/>
    <s v="User Not Mapped"/>
    <s v="User Not Mapped"/>
    <n v="355799"/>
    <s v="NITYA NANDA GHOSH"/>
    <s v="Private Retailer"/>
    <s v="9775544109"/>
    <n v="0.25"/>
    <n v="41"/>
    <x v="1"/>
    <m/>
    <s v="2026-03-17"/>
    <s v="260211"/>
    <s v="M/s. Jaiswal Enterprise "/>
    <s v="8116105006"/>
  </r>
  <r>
    <s v="RCF Trombay"/>
    <s v="N.C.Urea(45kg)"/>
    <s v="WB"/>
    <x v="15"/>
    <s v="Haringhata"/>
    <s v="User Not Mapped"/>
    <s v="User Not Mapped"/>
    <s v="User Not Mapped"/>
    <n v="356077"/>
    <s v="Robiyal Hossain"/>
    <s v="Private Retailer"/>
    <s v="9434554536"/>
    <n v="0.01"/>
    <n v="868"/>
    <x v="7"/>
    <m/>
    <s v="2023-12-11"/>
    <s v="281285"/>
    <s v="Bhabani Prosad Chattopadhy"/>
    <s v="7548026544"/>
  </r>
  <r>
    <s v="RCF Trombay"/>
    <s v="15-15-15"/>
    <s v="WB"/>
    <x v="15"/>
    <s v="Haringhata"/>
    <s v="User Not Mapped"/>
    <s v="User Not Mapped"/>
    <s v="User Not Mapped"/>
    <n v="356077"/>
    <s v="Robiyal Hossain"/>
    <s v="Private Retailer"/>
    <s v="9434554536"/>
    <n v="0.75"/>
    <n v="720"/>
    <x v="7"/>
    <m/>
    <s v="2024-05-07"/>
    <s v="281285"/>
    <s v="Bhabani Prosad Chattopadhy"/>
    <s v="7548026544"/>
  </r>
  <r>
    <s v="RCF Thal"/>
    <s v="N.C.Urea(45kg)"/>
    <s v="WB"/>
    <x v="15"/>
    <s v="Haringhata"/>
    <s v="User Not Mapped"/>
    <s v="User Not Mapped"/>
    <s v="User Not Mapped"/>
    <n v="356261"/>
    <s v="Sankar Kr. Ghosh"/>
    <s v="Private Retailer"/>
    <s v="9800999930"/>
    <n v="4.8150000000000004"/>
    <n v="45"/>
    <x v="1"/>
    <m/>
    <s v="2026-03-13"/>
    <s v="260177"/>
    <s v="SatyaRanjan Kundu and Brothers"/>
    <s v="7908186730"/>
  </r>
  <r>
    <s v="RCF Trombay"/>
    <s v="15-15-15"/>
    <s v="WB"/>
    <x v="15"/>
    <s v="Haringhata"/>
    <s v="User Not Mapped"/>
    <s v="User Not Mapped"/>
    <s v="User Not Mapped"/>
    <n v="356261"/>
    <s v="Sankar Kr. Ghosh"/>
    <s v="Private Retailer"/>
    <s v="9800999930"/>
    <n v="0.25"/>
    <n v="721"/>
    <x v="7"/>
    <m/>
    <s v="2024-05-06"/>
    <s v="280729"/>
    <s v="M/s. Naresh Chandra Das"/>
    <s v="7365868045"/>
  </r>
  <r>
    <s v="RCF Import"/>
    <s v="Imp 10-26-26"/>
    <s v="WB"/>
    <x v="15"/>
    <s v="Haringhata"/>
    <s v="User Not Mapped"/>
    <s v="User Not Mapped"/>
    <s v="User Not Mapped"/>
    <n v="388044"/>
    <s v="Ghosh Krishi Bhander"/>
    <s v="Private Retailer"/>
    <s v="9735327235"/>
    <n v="0.25"/>
    <n v="23"/>
    <x v="4"/>
    <m/>
    <s v="2026-04-04"/>
    <s v="260211"/>
    <s v="M/s. Jaiswal Enterprise "/>
    <s v="8116105006"/>
  </r>
  <r>
    <s v="RCF Thal"/>
    <s v="N.C.Urea(45kg)"/>
    <s v="WB"/>
    <x v="15"/>
    <s v="Haringhata"/>
    <s v="User Not Mapped"/>
    <s v="User Not Mapped"/>
    <s v="User Not Mapped"/>
    <n v="388046"/>
    <s v=" Banerjee Fertilisers"/>
    <s v="Private Retailer"/>
    <s v="7872086892"/>
    <n v="0.315"/>
    <n v="16"/>
    <x v="4"/>
    <m/>
    <s v="2026-04-11"/>
    <s v="260210"/>
    <s v="Gouri Sankar Kundu            "/>
    <s v="9064539774"/>
  </r>
  <r>
    <s v="RCF Trombay"/>
    <s v="15-15-15"/>
    <s v="WB"/>
    <x v="15"/>
    <s v="Haringhata"/>
    <s v="User Not Mapped"/>
    <s v="User Not Mapped"/>
    <s v="User Not Mapped"/>
    <n v="388046"/>
    <s v=" Banerjee Fertilisers"/>
    <s v="Private Retailer"/>
    <s v="7872086892"/>
    <n v="0.05"/>
    <n v="30"/>
    <x v="4"/>
    <m/>
    <s v="2026-03-28"/>
    <s v="260210"/>
    <s v="Gouri Sankar Kundu            "/>
    <s v="9064539774"/>
  </r>
  <r>
    <s v="RCF Import"/>
    <s v="Imp 10-26-26"/>
    <s v="WB"/>
    <x v="15"/>
    <s v="Haringhata"/>
    <s v="User Not Mapped"/>
    <s v="User Not Mapped"/>
    <s v="User Not Mapped"/>
    <n v="413932"/>
    <s v="Rafique Mondal"/>
    <s v="Private Retailer"/>
    <s v="9775182620"/>
    <n v="5.5"/>
    <n v="41"/>
    <x v="1"/>
    <m/>
    <s v="2026-03-17"/>
    <s v="260211"/>
    <s v="M/s. Jaiswal Enterprise "/>
    <s v="8116105006"/>
  </r>
  <r>
    <s v="RCF Trombay"/>
    <s v="N.C.Urea(45kg)"/>
    <s v="WB"/>
    <x v="15"/>
    <s v="Haringhata"/>
    <s v="User Not Mapped"/>
    <s v="User Not Mapped"/>
    <s v="User Not Mapped"/>
    <n v="413932"/>
    <s v="Rafique Mondal"/>
    <s v="Private Retailer"/>
    <s v="9775182620"/>
    <n v="5.49"/>
    <n v="73"/>
    <x v="2"/>
    <m/>
    <s v="2026-02-13"/>
    <s v="214222"/>
    <s v="Mahamaya Enterprise"/>
    <s v="8348217174"/>
  </r>
  <r>
    <s v="RCF Import"/>
    <s v="MOP"/>
    <s v="WB"/>
    <x v="15"/>
    <s v="Haringhata"/>
    <s v="User Not Mapped"/>
    <s v="User Not Mapped"/>
    <s v="User Not Mapped"/>
    <n v="413932"/>
    <s v="Rafique Mondal"/>
    <s v="Private Retailer"/>
    <s v="9775182620"/>
    <n v="5.5"/>
    <n v="69"/>
    <x v="2"/>
    <m/>
    <s v="2026-02-17"/>
    <s v="214222"/>
    <s v="Mahamaya Enterprise"/>
    <s v="8348217174"/>
  </r>
  <r>
    <s v="RCF Trombay"/>
    <s v="15-15-15"/>
    <s v="WB"/>
    <x v="15"/>
    <s v="Haringhata"/>
    <s v="User Not Mapped"/>
    <s v="User Not Mapped"/>
    <s v="User Not Mapped"/>
    <n v="413932"/>
    <s v="Rafique Mondal"/>
    <s v="Private Retailer"/>
    <s v="9775182620"/>
    <n v="5.5"/>
    <n v="73"/>
    <x v="2"/>
    <m/>
    <s v="2026-02-13"/>
    <s v="214222"/>
    <s v="Mahamaya Enterprise"/>
    <s v="8348217174"/>
  </r>
  <r>
    <s v="RCF Trombay"/>
    <s v="N.C.Urea(45kg)"/>
    <s v="WB"/>
    <x v="15"/>
    <s v="Haringhata"/>
    <s v="User Not Mapped"/>
    <s v="User Not Mapped"/>
    <s v="User Not Mapped"/>
    <n v="413932"/>
    <s v="Rafique Mondal"/>
    <s v="Private Retailer"/>
    <s v="9775182620"/>
    <n v="4.41"/>
    <n v="100"/>
    <x v="5"/>
    <m/>
    <s v="2026-01-17"/>
    <s v="214222"/>
    <s v="Mahamaya Enterprise"/>
    <s v="8348217174"/>
  </r>
  <r>
    <s v="RCF Trombay"/>
    <s v="15-15-15"/>
    <s v="WB"/>
    <x v="15"/>
    <s v="Haringhata"/>
    <s v="User Not Mapped"/>
    <s v="User Not Mapped"/>
    <s v="User Not Mapped"/>
    <n v="413932"/>
    <s v="Rafique Mondal"/>
    <s v="Private Retailer"/>
    <s v="9775182620"/>
    <n v="0.25"/>
    <n v="100"/>
    <x v="5"/>
    <m/>
    <s v="2026-01-17"/>
    <s v="214222"/>
    <s v="Mahamaya Enterprise"/>
    <s v="8348217174"/>
  </r>
  <r>
    <s v="RCF Thal"/>
    <s v="N.C.Urea(45kg)"/>
    <s v="WB"/>
    <x v="15"/>
    <s v="Haringhata"/>
    <s v="User Not Mapped"/>
    <s v="User Not Mapped"/>
    <s v="User Not Mapped"/>
    <n v="413932"/>
    <s v="Rafique Mondal"/>
    <s v="Private Retailer"/>
    <s v="9775182620"/>
    <n v="10.62"/>
    <n v="48"/>
    <x v="1"/>
    <m/>
    <s v="2026-03-10"/>
    <s v="214222"/>
    <s v="Mahamaya Enterprise"/>
    <s v="8348217174"/>
  </r>
  <r>
    <s v="RCF Import"/>
    <s v="Imp 10-26-26"/>
    <s v="WB"/>
    <x v="15"/>
    <s v="Haringhata"/>
    <s v="User Not Mapped"/>
    <s v="User Not Mapped"/>
    <s v="User Not Mapped"/>
    <n v="413932"/>
    <s v="Rafique Mondal"/>
    <s v="Private Retailer"/>
    <s v="9775182620"/>
    <n v="5.5"/>
    <n v="59"/>
    <x v="1"/>
    <m/>
    <s v="2026-02-27"/>
    <s v="214222"/>
    <s v="Mahamaya Enterprise"/>
    <s v="8348217174"/>
  </r>
  <r>
    <s v="RCF Thal"/>
    <s v="N.C.Urea(45kg)"/>
    <s v="WB"/>
    <x v="15"/>
    <s v="Haringhata"/>
    <s v="User Not Mapped"/>
    <s v="User Not Mapped"/>
    <s v="User Not Mapped"/>
    <n v="440438"/>
    <s v="Md. Sirajul Haq"/>
    <s v="Private Retailer"/>
    <s v="7001266140"/>
    <n v="4.68"/>
    <n v="47"/>
    <x v="1"/>
    <m/>
    <s v="2026-03-11"/>
    <s v="270129"/>
    <s v="Kalyan Kr. Nandi"/>
    <s v="8250914797"/>
  </r>
  <r>
    <s v="RCF Trombay"/>
    <s v="15-15-15"/>
    <s v="WB"/>
    <x v="15"/>
    <s v="Haringhata"/>
    <s v="User Not Mapped"/>
    <s v="User Not Mapped"/>
    <s v="User Not Mapped"/>
    <n v="440438"/>
    <s v="Md. Sirajul Haq"/>
    <s v="Private Retailer"/>
    <s v="7001266140"/>
    <n v="0.2"/>
    <n v="52"/>
    <x v="1"/>
    <m/>
    <s v="2026-03-06"/>
    <s v="260211"/>
    <s v="M/s. Jaiswal Enterprise "/>
    <s v="8116105006"/>
  </r>
  <r>
    <s v="RCF Import"/>
    <s v="Imp 10-26-26"/>
    <s v="WB"/>
    <x v="15"/>
    <s v="Haringhata"/>
    <s v="User Not Mapped"/>
    <s v="User Not Mapped"/>
    <s v="User Not Mapped"/>
    <n v="440438"/>
    <s v="Md. Sirajul Haq"/>
    <s v="Private Retailer"/>
    <s v="7001266140"/>
    <n v="1.25"/>
    <n v="25"/>
    <x v="4"/>
    <m/>
    <s v="2026-04-02"/>
    <s v="260211"/>
    <s v="M/s. Jaiswal Enterprise "/>
    <s v="8116105006"/>
  </r>
  <r>
    <s v="RCF Trombay"/>
    <s v="15-15-15"/>
    <s v="WB"/>
    <x v="15"/>
    <s v="Haringhata"/>
    <s v="User Not Mapped"/>
    <s v="User Not Mapped"/>
    <s v="User Not Mapped"/>
    <n v="441495"/>
    <s v="Swapna Das"/>
    <s v="Private Retailer"/>
    <s v="9733758968"/>
    <n v="5.5"/>
    <n v="75"/>
    <x v="2"/>
    <m/>
    <s v="2026-02-11"/>
    <s v="1354434"/>
    <s v="CHANCHAL KUMAR DEY"/>
    <s v="7908362192"/>
  </r>
  <r>
    <s v="RCF Trombay"/>
    <s v="15-15-15"/>
    <s v="WB"/>
    <x v="15"/>
    <s v="Haringhata"/>
    <s v="User Not Mapped"/>
    <s v="User Not Mapped"/>
    <s v="User Not Mapped"/>
    <n v="441495"/>
    <s v="Swapna Das"/>
    <s v="Private Retailer"/>
    <s v="9733758968"/>
    <n v="8.75"/>
    <n v="131"/>
    <x v="0"/>
    <m/>
    <s v="2025-12-17"/>
    <s v="549643"/>
    <s v="M/S RATAN BISWAS"/>
    <s v="8617364808"/>
  </r>
  <r>
    <s v="RCF Thal"/>
    <s v="N.C.Urea(45kg)"/>
    <s v="WB"/>
    <x v="15"/>
    <s v="Haringhata"/>
    <s v="User Not Mapped"/>
    <s v="User Not Mapped"/>
    <s v="User Not Mapped"/>
    <n v="441505"/>
    <s v="Sarkar Krishi Bhander"/>
    <s v="Private Retailer"/>
    <s v="9732629523"/>
    <n v="4.5"/>
    <n v="48"/>
    <x v="1"/>
    <m/>
    <s v="2026-03-10"/>
    <s v="214222"/>
    <s v="Mahamaya Enterprise"/>
    <s v="8348217174"/>
  </r>
  <r>
    <s v="RCF Import"/>
    <s v="MOP"/>
    <s v="WB"/>
    <x v="15"/>
    <s v="Haringhata"/>
    <s v="User Not Mapped"/>
    <s v="User Not Mapped"/>
    <s v="User Not Mapped"/>
    <n v="441505"/>
    <s v="Sarkar Krishi Bhander"/>
    <s v="Private Retailer"/>
    <s v="9732629523"/>
    <n v="4.5999999999999996"/>
    <n v="63"/>
    <x v="2"/>
    <m/>
    <s v="2026-02-23"/>
    <s v="280729"/>
    <s v="M/s. Naresh Chandra Das"/>
    <s v="7365868045"/>
  </r>
  <r>
    <s v="RCF Import"/>
    <s v="Imp 10-26-26"/>
    <s v="WB"/>
    <x v="15"/>
    <s v="Haringhata"/>
    <s v="User Not Mapped"/>
    <s v="User Not Mapped"/>
    <s v="User Not Mapped"/>
    <n v="441505"/>
    <s v="Sarkar Krishi Bhander"/>
    <s v="Private Retailer"/>
    <s v="9732629523"/>
    <n v="3.7"/>
    <n v="59"/>
    <x v="1"/>
    <m/>
    <s v="2026-02-27"/>
    <s v="214222"/>
    <s v="Mahamaya Enterprise"/>
    <s v="8348217174"/>
  </r>
  <r>
    <s v="RCF Trombay"/>
    <s v="15-15-15"/>
    <s v="WB"/>
    <x v="15"/>
    <s v="Haringhata"/>
    <s v="User Not Mapped"/>
    <s v="User Not Mapped"/>
    <s v="User Not Mapped"/>
    <n v="441505"/>
    <s v="Sarkar Krishi Bhander"/>
    <s v="Private Retailer"/>
    <s v="9732629523"/>
    <n v="0.7"/>
    <n v="73"/>
    <x v="2"/>
    <m/>
    <s v="2026-02-13"/>
    <s v="214222"/>
    <s v="Mahamaya Enterprise"/>
    <s v="8348217174"/>
  </r>
  <r>
    <s v="RCF Trombay"/>
    <s v="N.C.Urea(45kg)"/>
    <s v="WB"/>
    <x v="15"/>
    <s v="Haringhata"/>
    <s v="User Not Mapped"/>
    <s v="User Not Mapped"/>
    <s v="User Not Mapped"/>
    <n v="444067"/>
    <s v="Wajedul Islam"/>
    <s v="Private Retailer"/>
    <s v="7003465160"/>
    <n v="0.27"/>
    <n v="457"/>
    <x v="6"/>
    <m/>
    <s v="2025-01-25"/>
    <s v="260210"/>
    <s v="Gouri Sankar Kundu            "/>
    <s v="9064539774"/>
  </r>
  <r>
    <s v="RCF Trombay"/>
    <s v="15-15-15"/>
    <s v="WB"/>
    <x v="15"/>
    <s v="Haringhata"/>
    <s v="User Not Mapped"/>
    <s v="User Not Mapped"/>
    <s v="User Not Mapped"/>
    <n v="444067"/>
    <s v="Wajedul Islam"/>
    <s v="Private Retailer"/>
    <s v="7003465160"/>
    <n v="0.5"/>
    <n v="253"/>
    <x v="3"/>
    <m/>
    <s v="2025-08-17"/>
    <s v="260210"/>
    <s v="Gouri Sankar Kundu            "/>
    <s v="9064539774"/>
  </r>
  <r>
    <s v="RCF Trombay"/>
    <s v="N.C.Urea(45kg)"/>
    <s v="WB"/>
    <x v="15"/>
    <s v="Haringhata"/>
    <s v="User Not Mapped"/>
    <s v="User Not Mapped"/>
    <s v="User Not Mapped"/>
    <n v="444067"/>
    <s v="Wajedul Islam"/>
    <s v="Private Retailer"/>
    <s v="7003465160"/>
    <n v="2.5000000000000001E-2"/>
    <n v="514"/>
    <x v="6"/>
    <m/>
    <s v="2024-11-29"/>
    <s v="260210"/>
    <s v="Gouri Sankar Kundu            "/>
    <s v="9064539774"/>
  </r>
  <r>
    <s v="RCF Trombay"/>
    <s v="N.C.Urea(45kg)"/>
    <s v="WB"/>
    <x v="15"/>
    <s v="Haringhata"/>
    <s v="User Not Mapped"/>
    <s v="User Not Mapped"/>
    <s v="User Not Mapped"/>
    <n v="444067"/>
    <s v="Wajedul Islam"/>
    <s v="Private Retailer"/>
    <s v="7003465160"/>
    <n v="0.40500000000000003"/>
    <n v="512"/>
    <x v="6"/>
    <m/>
    <s v="2024-12-01"/>
    <s v="260210"/>
    <s v="Gouri Sankar Kundu            "/>
    <s v="9064539774"/>
  </r>
  <r>
    <s v="RCF Trombay"/>
    <s v="N.C.Urea(45kg)"/>
    <s v="WB"/>
    <x v="15"/>
    <s v="Haringhata"/>
    <s v="User Not Mapped"/>
    <s v="User Not Mapped"/>
    <s v="User Not Mapped"/>
    <n v="444067"/>
    <s v="Wajedul Islam"/>
    <s v="Private Retailer"/>
    <s v="7003465160"/>
    <n v="0.13500000000000001"/>
    <n v="477"/>
    <x v="6"/>
    <m/>
    <s v="2025-01-05"/>
    <s v="260210"/>
    <s v="Gouri Sankar Kundu            "/>
    <s v="9064539774"/>
  </r>
  <r>
    <s v="RCF Trombay"/>
    <s v="15-15-15"/>
    <s v="WB"/>
    <x v="15"/>
    <s v="Haringhata"/>
    <s v="User Not Mapped"/>
    <s v="User Not Mapped"/>
    <s v="User Not Mapped"/>
    <n v="444067"/>
    <s v="Wajedul Islam"/>
    <s v="Private Retailer"/>
    <s v="7003465160"/>
    <n v="0.14299999999999999"/>
    <n v="292"/>
    <x v="3"/>
    <m/>
    <s v="2025-07-09"/>
    <s v="260210"/>
    <s v="Gouri Sankar Kundu            "/>
    <s v="9064539774"/>
  </r>
  <r>
    <s v="RCF Trombay"/>
    <s v="N.C.Urea(45kg)"/>
    <s v="WB"/>
    <x v="15"/>
    <s v="Haringhata"/>
    <s v="User Not Mapped"/>
    <s v="User Not Mapped"/>
    <s v="User Not Mapped"/>
    <n v="449049"/>
    <s v="Apurba Mondal"/>
    <s v="Private Retailer"/>
    <s v="8509388700"/>
    <n v="7.1550000000000002"/>
    <n v="67"/>
    <x v="2"/>
    <m/>
    <s v="2026-02-19"/>
    <s v="280729"/>
    <s v="M/s. Naresh Chandra Das"/>
    <s v="7365868045"/>
  </r>
  <r>
    <s v="RCF Trombay"/>
    <s v="15-15-15"/>
    <s v="WB"/>
    <x v="15"/>
    <s v="Haringhata"/>
    <s v="User Not Mapped"/>
    <s v="User Not Mapped"/>
    <s v="User Not Mapped"/>
    <n v="449049"/>
    <s v="Apurba Mondal"/>
    <s v="Private Retailer"/>
    <s v="8509388700"/>
    <n v="4.0999999999999996"/>
    <n v="58"/>
    <x v="1"/>
    <m/>
    <s v="2026-02-28"/>
    <s v="280729"/>
    <s v="M/s. Naresh Chandra Das"/>
    <s v="7365868045"/>
  </r>
  <r>
    <s v="RCF Import"/>
    <s v="Imp 10-26-26"/>
    <s v="WB"/>
    <x v="15"/>
    <s v="Haringhata"/>
    <s v="User Not Mapped"/>
    <s v="User Not Mapped"/>
    <s v="User Not Mapped"/>
    <n v="449049"/>
    <s v="Apurba Mondal"/>
    <s v="Private Retailer"/>
    <s v="8509388700"/>
    <n v="3.75"/>
    <n v="51"/>
    <x v="1"/>
    <m/>
    <s v="2026-03-07"/>
    <s v="280729"/>
    <s v="M/s. Naresh Chandra Das"/>
    <s v="7365868045"/>
  </r>
  <r>
    <s v="RCF Import"/>
    <s v="MOP"/>
    <s v="WB"/>
    <x v="15"/>
    <s v="Haringhata"/>
    <s v="User Not Mapped"/>
    <s v="User Not Mapped"/>
    <s v="User Not Mapped"/>
    <n v="449049"/>
    <s v="Apurba Mondal"/>
    <s v="Private Retailer"/>
    <s v="8509388700"/>
    <n v="4.75"/>
    <n v="59"/>
    <x v="1"/>
    <m/>
    <s v="2026-02-27"/>
    <s v="280729"/>
    <s v="M/s. Naresh Chandra Das"/>
    <s v="7365868045"/>
  </r>
  <r>
    <s v="RCF Thal"/>
    <s v="N.C.Urea(45kg)"/>
    <s v="WB"/>
    <x v="15"/>
    <s v="Haringhata"/>
    <s v="User Not Mapped"/>
    <s v="User Not Mapped"/>
    <s v="User Not Mapped"/>
    <n v="449049"/>
    <s v="Apurba Mondal"/>
    <s v="Private Retailer"/>
    <s v="8509388700"/>
    <n v="1.44"/>
    <n v="47"/>
    <x v="1"/>
    <m/>
    <s v="2026-03-11"/>
    <s v="270129"/>
    <s v="Kalyan Kr. Nandi"/>
    <s v="8250914797"/>
  </r>
  <r>
    <s v="RCF Thal"/>
    <s v="N.C.Urea(45kg)"/>
    <s v="WB"/>
    <x v="15"/>
    <s v="Haringhata"/>
    <s v="User Not Mapped"/>
    <s v="User Not Mapped"/>
    <s v="User Not Mapped"/>
    <n v="452373"/>
    <s v="Suprabir Biswas"/>
    <s v="Private Retailer"/>
    <s v="9800401289"/>
    <n v="3.2850000000000001"/>
    <n v="16"/>
    <x v="4"/>
    <m/>
    <s v="2026-04-11"/>
    <s v="280729"/>
    <s v="M/s. Naresh Chandra Das"/>
    <s v="7365868045"/>
  </r>
  <r>
    <s v="RCF Import"/>
    <s v="Imp 10-26-26"/>
    <s v="WB"/>
    <x v="15"/>
    <s v="Haringhata"/>
    <s v="User Not Mapped"/>
    <s v="User Not Mapped"/>
    <s v="User Not Mapped"/>
    <n v="452373"/>
    <s v="Suprabir Biswas"/>
    <s v="Private Retailer"/>
    <s v="9800401289"/>
    <n v="0.4"/>
    <n v="30"/>
    <x v="4"/>
    <m/>
    <s v="2026-03-28"/>
    <s v="260210"/>
    <s v="Gouri Sankar Kundu            "/>
    <s v="9064539774"/>
  </r>
  <r>
    <s v="RCF Trombay"/>
    <s v="15-15-15"/>
    <s v="WB"/>
    <x v="15"/>
    <s v="Haringhata"/>
    <s v="User Not Mapped"/>
    <s v="User Not Mapped"/>
    <s v="User Not Mapped"/>
    <n v="452373"/>
    <s v="Suprabir Biswas"/>
    <s v="Private Retailer"/>
    <s v="9800401289"/>
    <n v="0.05"/>
    <n v="48"/>
    <x v="1"/>
    <m/>
    <s v="2026-03-10"/>
    <s v="260210"/>
    <s v="Gouri Sankar Kundu            "/>
    <s v="9064539774"/>
  </r>
  <r>
    <s v="RCF Trombay"/>
    <s v="15-15-15"/>
    <s v="WB"/>
    <x v="15"/>
    <s v="Haringhata"/>
    <s v="User Not Mapped"/>
    <s v="User Not Mapped"/>
    <s v="User Not Mapped"/>
    <n v="452373"/>
    <s v="Suprabir Biswas"/>
    <s v="Private Retailer"/>
    <s v="9800401289"/>
    <n v="0.5"/>
    <n v="68"/>
    <x v="2"/>
    <m/>
    <s v="2026-02-18"/>
    <s v="260210"/>
    <s v="Gouri Sankar Kundu            "/>
    <s v="9064539774"/>
  </r>
  <r>
    <s v="RCF Trombay"/>
    <s v="N.C.Urea(45kg)"/>
    <s v="WB"/>
    <x v="15"/>
    <s v="Haringhata"/>
    <s v="User Not Mapped"/>
    <s v="User Not Mapped"/>
    <s v="User Not Mapped"/>
    <n v="452373"/>
    <s v="Suprabir Biswas"/>
    <s v="Private Retailer"/>
    <s v="9800401289"/>
    <n v="0.36"/>
    <n v="92"/>
    <x v="5"/>
    <m/>
    <s v="2026-01-25"/>
    <s v="260210"/>
    <s v="Gouri Sankar Kundu            "/>
    <s v="9064539774"/>
  </r>
  <r>
    <s v="RCF Import"/>
    <s v="MOP"/>
    <s v="WB"/>
    <x v="15"/>
    <s v="Haringhata"/>
    <s v="User Not Mapped"/>
    <s v="User Not Mapped"/>
    <s v="User Not Mapped"/>
    <n v="452373"/>
    <s v="Suprabir Biswas"/>
    <s v="Private Retailer"/>
    <s v="9800401289"/>
    <n v="0.25"/>
    <n v="48"/>
    <x v="1"/>
    <m/>
    <s v="2026-03-10"/>
    <s v="260210"/>
    <s v="Gouri Sankar Kundu            "/>
    <s v="9064539774"/>
  </r>
  <r>
    <s v="RCF Import"/>
    <s v="Imp 10-26-26"/>
    <s v="WB"/>
    <x v="15"/>
    <s v="Haringhata"/>
    <s v="User Not Mapped"/>
    <s v="User Not Mapped"/>
    <s v="User Not Mapped"/>
    <n v="452373"/>
    <s v="Suprabir Biswas"/>
    <s v="Private Retailer"/>
    <s v="9800401289"/>
    <n v="0.15"/>
    <n v="16"/>
    <x v="4"/>
    <m/>
    <s v="2026-04-11"/>
    <s v="260210"/>
    <s v="Gouri Sankar Kundu            "/>
    <s v="9064539774"/>
  </r>
  <r>
    <s v="RCF Trombay"/>
    <s v="15-15-15"/>
    <s v="WB"/>
    <x v="15"/>
    <s v="Haringhata"/>
    <s v="User Not Mapped"/>
    <s v="User Not Mapped"/>
    <s v="User Not Mapped"/>
    <n v="463329"/>
    <s v="M/S Subrata Biswas"/>
    <s v="Private Retailer"/>
    <s v="9434956763"/>
    <n v="0.35"/>
    <n v="143"/>
    <x v="0"/>
    <m/>
    <s v="2025-12-05"/>
    <s v="260209"/>
    <s v="M/S SUNIL KUMAR SAHA       "/>
    <s v="9434110995"/>
  </r>
  <r>
    <s v="RCF Trombay"/>
    <s v="15-15-15"/>
    <s v="WB"/>
    <x v="15"/>
    <s v="Haringhata"/>
    <s v="User Not Mapped"/>
    <s v="User Not Mapped"/>
    <s v="User Not Mapped"/>
    <n v="484478"/>
    <s v="Samar Nath Singha Roy"/>
    <s v="Private Retailer"/>
    <s v="9734432762"/>
    <n v="0.1"/>
    <n v="59"/>
    <x v="1"/>
    <m/>
    <s v="2026-02-27"/>
    <s v="260211"/>
    <s v="M/s. Jaiswal Enterprise "/>
    <s v="8116105006"/>
  </r>
  <r>
    <s v="RCF Import"/>
    <s v="Imp 10-26-26"/>
    <s v="WB"/>
    <x v="15"/>
    <s v="Haringhata"/>
    <s v="User Not Mapped"/>
    <s v="User Not Mapped"/>
    <s v="User Not Mapped"/>
    <n v="517095"/>
    <s v="Kadura Khatun Bibi"/>
    <s v="Private Retailer"/>
    <s v="9339222799"/>
    <n v="1"/>
    <n v="54"/>
    <x v="1"/>
    <m/>
    <s v="2026-03-04"/>
    <s v="1214830"/>
    <s v="MS AJOY KRISHNA SEAL"/>
    <s v="9932127372"/>
  </r>
  <r>
    <s v="RCF Trombay"/>
    <s v="N.C.Urea(45kg)"/>
    <s v="WB"/>
    <x v="15"/>
    <s v="Haringhata"/>
    <s v="User Not Mapped"/>
    <s v="User Not Mapped"/>
    <s v="User Not Mapped"/>
    <n v="517095"/>
    <s v="Kadura Khatun Bibi"/>
    <s v="Private Retailer"/>
    <s v="9339222799"/>
    <n v="1"/>
    <n v="54"/>
    <x v="1"/>
    <m/>
    <s v="2026-03-04"/>
    <s v="1214830"/>
    <s v="MS AJOY KRISHNA SEAL"/>
    <s v="9932127372"/>
  </r>
  <r>
    <s v="RCF Import"/>
    <s v="MOP"/>
    <s v="WB"/>
    <x v="15"/>
    <s v="Haringhata"/>
    <s v="User Not Mapped"/>
    <s v="User Not Mapped"/>
    <s v="User Not Mapped"/>
    <n v="517095"/>
    <s v="Kadura Khatun Bibi"/>
    <s v="Private Retailer"/>
    <s v="9339222799"/>
    <n v="1"/>
    <n v="54"/>
    <x v="1"/>
    <m/>
    <s v="2026-03-04"/>
    <s v="1214830"/>
    <s v="MS AJOY KRISHNA SEAL"/>
    <s v="9932127372"/>
  </r>
  <r>
    <s v="RCF Trombay"/>
    <s v="15-15-15"/>
    <s v="WB"/>
    <x v="15"/>
    <s v="Haringhata"/>
    <s v="User Not Mapped"/>
    <s v="User Not Mapped"/>
    <s v="User Not Mapped"/>
    <n v="517095"/>
    <s v="Kadura Khatun Bibi"/>
    <s v="Private Retailer"/>
    <s v="9339222799"/>
    <n v="0.25"/>
    <n v="411"/>
    <x v="6"/>
    <m/>
    <s v="2025-03-12"/>
    <s v="260209"/>
    <s v="M/S SUNIL KUMAR SAHA       "/>
    <s v="9434110995"/>
  </r>
  <r>
    <s v="RCF Trombay"/>
    <s v="N.C.Urea(45kg)"/>
    <s v="WB"/>
    <x v="15"/>
    <s v="Haringhata"/>
    <s v="User Not Mapped"/>
    <s v="User Not Mapped"/>
    <s v="User Not Mapped"/>
    <n v="517095"/>
    <s v="Kadura Khatun Bibi"/>
    <s v="Private Retailer"/>
    <s v="9339222799"/>
    <n v="0.315"/>
    <n v="380"/>
    <x v="6"/>
    <m/>
    <s v="2025-04-12"/>
    <s v="260209"/>
    <s v="M/S SUNIL KUMAR SAHA       "/>
    <s v="9434110995"/>
  </r>
  <r>
    <s v="RCF Trombay"/>
    <s v="N.C.Urea(45kg)"/>
    <s v="WB"/>
    <x v="15"/>
    <s v="Haringhata"/>
    <s v="User Not Mapped"/>
    <s v="User Not Mapped"/>
    <s v="User Not Mapped"/>
    <n v="517095"/>
    <s v="Kadura Khatun Bibi"/>
    <s v="Private Retailer"/>
    <s v="9339222799"/>
    <n v="1.8"/>
    <n v="92"/>
    <x v="5"/>
    <m/>
    <s v="2026-01-25"/>
    <s v="1214830"/>
    <s v="MS AJOY KRISHNA SEAL"/>
    <s v="9932127372"/>
  </r>
  <r>
    <s v="RCF Thal"/>
    <s v="N.C.Urea(45kg)"/>
    <s v="WB"/>
    <x v="15"/>
    <s v="Haringhata"/>
    <s v="User Not Mapped"/>
    <s v="User Not Mapped"/>
    <s v="User Not Mapped"/>
    <n v="545710"/>
    <s v="M/S Azim Mondal"/>
    <s v="Private Retailer"/>
    <s v="9083443252"/>
    <n v="5.49"/>
    <n v="42"/>
    <x v="1"/>
    <m/>
    <s v="2026-03-16"/>
    <s v="260177"/>
    <s v="SatyaRanjan Kundu and Brothers"/>
    <s v="7908186730"/>
  </r>
  <r>
    <s v="RCF Thal"/>
    <s v="N.C.Urea(45kg)"/>
    <s v="WB"/>
    <x v="15"/>
    <s v="Haringhata"/>
    <s v="User Not Mapped"/>
    <s v="User Not Mapped"/>
    <s v="User Not Mapped"/>
    <n v="545710"/>
    <s v="M/S Azim Mondal"/>
    <s v="Private Retailer"/>
    <s v="9083443252"/>
    <n v="4.2300000000000004"/>
    <n v="47"/>
    <x v="1"/>
    <m/>
    <s v="2026-03-11"/>
    <s v="270129"/>
    <s v="Kalyan Kr. Nandi"/>
    <s v="8250914797"/>
  </r>
  <r>
    <s v="RCF Import"/>
    <s v="Imp 10-26-26"/>
    <s v="WB"/>
    <x v="15"/>
    <s v="Haringhata"/>
    <s v="User Not Mapped"/>
    <s v="User Not Mapped"/>
    <s v="User Not Mapped"/>
    <n v="560219"/>
    <s v="M/S PANCHUGOPAL SARKAR"/>
    <s v="Private Retailer"/>
    <s v="7797120773"/>
    <n v="0.5"/>
    <n v="24"/>
    <x v="4"/>
    <m/>
    <s v="2026-04-03"/>
    <s v="260211"/>
    <s v="M/s. Jaiswal Enterprise "/>
    <s v="8116105006"/>
  </r>
  <r>
    <s v="RCF Import"/>
    <s v="Imp 10-26-26"/>
    <s v="WB"/>
    <x v="15"/>
    <s v="Haringhata"/>
    <s v="User Not Mapped"/>
    <s v="User Not Mapped"/>
    <s v="User Not Mapped"/>
    <n v="560219"/>
    <s v="M/S PANCHUGOPAL SARKAR"/>
    <s v="Private Retailer"/>
    <s v="7797120773"/>
    <n v="1.7"/>
    <n v="33"/>
    <x v="1"/>
    <m/>
    <s v="2026-03-25"/>
    <s v="260211"/>
    <s v="M/s. Jaiswal Enterprise "/>
    <s v="8116105006"/>
  </r>
  <r>
    <s v="RCF Thal"/>
    <s v="N.C.Urea(45kg)"/>
    <s v="WB"/>
    <x v="15"/>
    <s v="Haringhata"/>
    <s v="User Not Mapped"/>
    <s v="User Not Mapped"/>
    <s v="User Not Mapped"/>
    <n v="560219"/>
    <s v="M/S PANCHUGOPAL SARKAR"/>
    <s v="Private Retailer"/>
    <s v="7797120773"/>
    <n v="0.45"/>
    <n v="47"/>
    <x v="1"/>
    <m/>
    <s v="2026-03-11"/>
    <s v="270129"/>
    <s v="Kalyan Kr. Nandi"/>
    <s v="8250914797"/>
  </r>
  <r>
    <s v="RCF Import"/>
    <s v="Imp 10-26-26"/>
    <s v="WB"/>
    <x v="15"/>
    <s v="Haringhata"/>
    <s v="User Not Mapped"/>
    <s v="User Not Mapped"/>
    <s v="User Not Mapped"/>
    <n v="597366"/>
    <s v="M/S CHIDDIKI-RH-KRISHI BHANDER"/>
    <s v="Private Retailer"/>
    <s v="8159975890"/>
    <n v="4.4000000000000004"/>
    <n v="51"/>
    <x v="1"/>
    <m/>
    <s v="2026-03-07"/>
    <s v="260211"/>
    <s v="M/s. Jaiswal Enterprise "/>
    <s v="8116105006"/>
  </r>
  <r>
    <s v="RCF Trombay"/>
    <s v="15-15-15"/>
    <s v="WB"/>
    <x v="15"/>
    <s v="Haringhata"/>
    <s v="User Not Mapped"/>
    <s v="User Not Mapped"/>
    <s v="User Not Mapped"/>
    <n v="597366"/>
    <s v="M/S CHIDDIKI-RH-KRISHI BHANDER"/>
    <s v="Private Retailer"/>
    <s v="8159975890"/>
    <n v="3.05"/>
    <n v="58"/>
    <x v="1"/>
    <m/>
    <s v="2026-02-28"/>
    <s v="280729"/>
    <s v="M/s. Naresh Chandra Das"/>
    <s v="7365868045"/>
  </r>
  <r>
    <s v="RCF Thal"/>
    <s v="N.C.Urea(45kg)"/>
    <s v="WB"/>
    <x v="15"/>
    <s v="Haringhata"/>
    <s v="User Not Mapped"/>
    <s v="User Not Mapped"/>
    <s v="User Not Mapped"/>
    <n v="597366"/>
    <s v="M/S CHIDDIKI-RH-KRISHI BHANDER"/>
    <s v="Private Retailer"/>
    <s v="8159975890"/>
    <n v="4.9950000000000001"/>
    <n v="21"/>
    <x v="4"/>
    <m/>
    <s v="2026-04-06"/>
    <s v="214222"/>
    <s v="Mahamaya Enterprise"/>
    <s v="8348217174"/>
  </r>
  <r>
    <s v="RCF Thal"/>
    <s v="N.C.Urea(45kg)"/>
    <s v="WB"/>
    <x v="15"/>
    <s v="Haringhata"/>
    <s v="User Not Mapped"/>
    <s v="User Not Mapped"/>
    <s v="User Not Mapped"/>
    <n v="598611"/>
    <s v="M/S MAULA BOX KRISHI BHANDER"/>
    <s v="Private Retailer"/>
    <s v="9884175890"/>
    <n v="4.6349999999999998"/>
    <n v="21"/>
    <x v="4"/>
    <m/>
    <s v="2026-04-06"/>
    <s v="214222"/>
    <s v="Mahamaya Enterprise"/>
    <s v="8348217174"/>
  </r>
  <r>
    <s v="RCF Trombay"/>
    <s v="15-15-15"/>
    <s v="WB"/>
    <x v="15"/>
    <s v="Haringhata"/>
    <s v="User Not Mapped"/>
    <s v="User Not Mapped"/>
    <s v="User Not Mapped"/>
    <n v="598611"/>
    <s v="M/S MAULA BOX KRISHI BHANDER"/>
    <s v="Private Retailer"/>
    <s v="9884175890"/>
    <n v="0.5"/>
    <n v="62"/>
    <x v="2"/>
    <m/>
    <s v="2026-02-24"/>
    <s v="260211"/>
    <s v="M/s. Jaiswal Enterprise "/>
    <s v="8116105006"/>
  </r>
  <r>
    <s v="RCF Trombay"/>
    <s v="15-15-15"/>
    <s v="WB"/>
    <x v="15"/>
    <s v="Haringhata"/>
    <s v="User Not Mapped"/>
    <s v="User Not Mapped"/>
    <s v="User Not Mapped"/>
    <n v="598611"/>
    <s v="M/S MAULA BOX KRISHI BHANDER"/>
    <s v="Private Retailer"/>
    <s v="9884175890"/>
    <n v="3"/>
    <n v="58"/>
    <x v="1"/>
    <m/>
    <s v="2026-02-28"/>
    <s v="280729"/>
    <s v="M/s. Naresh Chandra Das"/>
    <s v="7365868045"/>
  </r>
  <r>
    <s v="RCF Import"/>
    <s v="Imp 10-26-26"/>
    <s v="WB"/>
    <x v="15"/>
    <s v="Haringhata"/>
    <s v="User Not Mapped"/>
    <s v="User Not Mapped"/>
    <s v="User Not Mapped"/>
    <n v="637799"/>
    <s v="Sannyasi Mandal"/>
    <s v="Private Retailer"/>
    <s v="9883970857"/>
    <n v="0.25"/>
    <n v="23"/>
    <x v="4"/>
    <m/>
    <s v="2026-04-04"/>
    <s v="260211"/>
    <s v="M/s. Jaiswal Enterprise "/>
    <s v="8116105006"/>
  </r>
  <r>
    <s v="RCF Trombay"/>
    <s v="15-15-15"/>
    <s v="WB"/>
    <x v="15"/>
    <s v="Haringhata"/>
    <s v="User Not Mapped"/>
    <s v="User Not Mapped"/>
    <s v="User Not Mapped"/>
    <n v="637799"/>
    <s v="Sannyasi Mandal"/>
    <s v="Private Retailer"/>
    <s v="9883970857"/>
    <n v="0.03"/>
    <n v="250"/>
    <x v="3"/>
    <m/>
    <s v="2025-08-20"/>
    <s v="260211"/>
    <s v="M/s. Jaiswal Enterprise "/>
    <s v="8116105006"/>
  </r>
  <r>
    <s v="RCF Trombay"/>
    <s v="15-15-15"/>
    <s v="WB"/>
    <x v="15"/>
    <s v="Haringhata"/>
    <s v="User Not Mapped"/>
    <s v="User Not Mapped"/>
    <s v="User Not Mapped"/>
    <n v="637799"/>
    <s v="Sannyasi Mandal"/>
    <s v="Private Retailer"/>
    <s v="9883970857"/>
    <n v="0.2"/>
    <n v="47"/>
    <x v="1"/>
    <m/>
    <s v="2026-03-11"/>
    <s v="260211"/>
    <s v="M/s. Jaiswal Enterprise "/>
    <s v="8116105006"/>
  </r>
  <r>
    <s v="RCF Trombay"/>
    <s v="15-15-15"/>
    <s v="WB"/>
    <x v="15"/>
    <s v="Haringhata"/>
    <s v="User Not Mapped"/>
    <s v="User Not Mapped"/>
    <s v="User Not Mapped"/>
    <n v="637801"/>
    <s v="Avijit Debnath"/>
    <s v="Private Retailer"/>
    <s v="9732663117"/>
    <n v="0.745"/>
    <n v="510"/>
    <x v="6"/>
    <m/>
    <s v="2024-12-03"/>
    <s v="260177"/>
    <s v="SatyaRanjan Kundu and Brothers"/>
    <s v="7908186730"/>
  </r>
  <r>
    <s v="RCF Trombay"/>
    <s v="15-15-15"/>
    <s v="WB"/>
    <x v="15"/>
    <s v="Haringhata"/>
    <s v="User Not Mapped"/>
    <s v="User Not Mapped"/>
    <s v="User Not Mapped"/>
    <n v="637803"/>
    <s v="Abdul Rajjak"/>
    <s v="Private Retailer"/>
    <s v="9635284538"/>
    <n v="1.75"/>
    <n v="54"/>
    <x v="1"/>
    <m/>
    <s v="2026-03-04"/>
    <s v="1214830"/>
    <s v="MS AJOY KRISHNA SEAL"/>
    <s v="9932127372"/>
  </r>
  <r>
    <s v="RCF Import"/>
    <s v="MOP"/>
    <s v="WB"/>
    <x v="15"/>
    <s v="Haringhata"/>
    <s v="User Not Mapped"/>
    <s v="User Not Mapped"/>
    <s v="User Not Mapped"/>
    <n v="637803"/>
    <s v="Abdul Rajjak"/>
    <s v="Private Retailer"/>
    <s v="9635284538"/>
    <n v="2"/>
    <n v="54"/>
    <x v="1"/>
    <m/>
    <s v="2026-03-04"/>
    <s v="1214830"/>
    <s v="MS AJOY KRISHNA SEAL"/>
    <s v="9932127372"/>
  </r>
  <r>
    <s v="RCF Import"/>
    <s v="Imp 10-26-26"/>
    <s v="WB"/>
    <x v="15"/>
    <s v="Haringhata"/>
    <s v="User Not Mapped"/>
    <s v="User Not Mapped"/>
    <s v="User Not Mapped"/>
    <n v="637803"/>
    <s v="Abdul Rajjak"/>
    <s v="Private Retailer"/>
    <s v="9635284538"/>
    <n v="1.5"/>
    <n v="54"/>
    <x v="1"/>
    <m/>
    <s v="2026-03-04"/>
    <s v="1214830"/>
    <s v="MS AJOY KRISHNA SEAL"/>
    <s v="9932127372"/>
  </r>
  <r>
    <s v="RCF Trombay"/>
    <s v="N.C.Urea(45kg)"/>
    <s v="WB"/>
    <x v="15"/>
    <s v="Haringhata"/>
    <s v="User Not Mapped"/>
    <s v="User Not Mapped"/>
    <s v="User Not Mapped"/>
    <n v="637803"/>
    <s v="Abdul Rajjak"/>
    <s v="Private Retailer"/>
    <s v="9635284538"/>
    <n v="1.4850000000000001"/>
    <n v="54"/>
    <x v="1"/>
    <m/>
    <s v="2026-03-04"/>
    <s v="1214830"/>
    <s v="MS AJOY KRISHNA SEAL"/>
    <s v="9932127372"/>
  </r>
  <r>
    <s v="RCF Trombay"/>
    <s v="15-15-15"/>
    <s v="WB"/>
    <x v="15"/>
    <s v="Haringhata"/>
    <s v="User Not Mapped"/>
    <s v="User Not Mapped"/>
    <s v="User Not Mapped"/>
    <n v="637803"/>
    <s v="Abdul Rajjak"/>
    <s v="Private Retailer"/>
    <s v="9635284538"/>
    <n v="0.4"/>
    <n v="151"/>
    <x v="0"/>
    <m/>
    <s v="2025-11-27"/>
    <s v="1214830"/>
    <s v="MS AJOY KRISHNA SEAL"/>
    <s v="9932127372"/>
  </r>
  <r>
    <s v="RCF Import"/>
    <s v="Imp 10-26-26"/>
    <s v="WB"/>
    <x v="15"/>
    <s v="Haringhata"/>
    <s v="User Not Mapped"/>
    <s v="User Not Mapped"/>
    <s v="User Not Mapped"/>
    <n v="637939"/>
    <s v="M/S BASIRUL MANDAL"/>
    <s v="Private Retailer"/>
    <s v="7407412841"/>
    <n v="1.65"/>
    <n v="51"/>
    <x v="1"/>
    <m/>
    <s v="2026-03-07"/>
    <s v="280729"/>
    <s v="M/s. Naresh Chandra Das"/>
    <s v="7365868045"/>
  </r>
  <r>
    <s v="RCF Trombay"/>
    <s v="15-15-15"/>
    <s v="WB"/>
    <x v="15"/>
    <s v="Haringhata"/>
    <s v="User Not Mapped"/>
    <s v="User Not Mapped"/>
    <s v="User Not Mapped"/>
    <n v="637939"/>
    <s v="M/S BASIRUL MANDAL"/>
    <s v="Private Retailer"/>
    <s v="7407412841"/>
    <n v="0.4"/>
    <n v="58"/>
    <x v="1"/>
    <m/>
    <s v="2026-02-28"/>
    <s v="280729"/>
    <s v="M/s. Naresh Chandra Das"/>
    <s v="7365868045"/>
  </r>
  <r>
    <s v="RCF Import"/>
    <s v="MOP"/>
    <s v="WB"/>
    <x v="15"/>
    <s v="Haringhata"/>
    <s v="User Not Mapped"/>
    <s v="User Not Mapped"/>
    <s v="User Not Mapped"/>
    <n v="637939"/>
    <s v="M/S BASIRUL MANDAL"/>
    <s v="Private Retailer"/>
    <s v="7407412841"/>
    <n v="10.75"/>
    <n v="59"/>
    <x v="1"/>
    <m/>
    <s v="2026-02-27"/>
    <s v="280729"/>
    <s v="M/s. Naresh Chandra Das"/>
    <s v="7365868045"/>
  </r>
  <r>
    <s v="RCF Trombay"/>
    <s v="15-15-15"/>
    <s v="WB"/>
    <x v="15"/>
    <s v="Haringhata"/>
    <s v="User Not Mapped"/>
    <s v="User Not Mapped"/>
    <s v="User Not Mapped"/>
    <n v="641776"/>
    <s v="Subrata Sau"/>
    <s v="Private Retailer"/>
    <s v="9734063042"/>
    <n v="0.15"/>
    <n v="249"/>
    <x v="3"/>
    <m/>
    <s v="2025-08-21"/>
    <s v="260211"/>
    <s v="M/s. Jaiswal Enterprise "/>
    <s v="8116105006"/>
  </r>
  <r>
    <s v="RCF Trombay"/>
    <s v="15-15-15"/>
    <s v="WB"/>
    <x v="15"/>
    <s v="Haringhata"/>
    <s v="User Not Mapped"/>
    <s v="User Not Mapped"/>
    <s v="User Not Mapped"/>
    <n v="641776"/>
    <s v="Subrata Sau"/>
    <s v="Private Retailer"/>
    <s v="9734063042"/>
    <n v="0.15"/>
    <n v="282"/>
    <x v="3"/>
    <m/>
    <s v="2025-07-19"/>
    <s v="260211"/>
    <s v="M/s. Jaiswal Enterprise "/>
    <s v="8116105006"/>
  </r>
  <r>
    <s v="RCF Trombay"/>
    <s v="15-15-15"/>
    <s v="WB"/>
    <x v="15"/>
    <s v="Haringhata"/>
    <s v="User Not Mapped"/>
    <s v="User Not Mapped"/>
    <s v="User Not Mapped"/>
    <n v="641776"/>
    <s v="Subrata Sau"/>
    <s v="Private Retailer"/>
    <s v="9734063042"/>
    <n v="0.1"/>
    <n v="255"/>
    <x v="3"/>
    <m/>
    <s v="2025-08-15"/>
    <s v="260211"/>
    <s v="M/s. Jaiswal Enterprise "/>
    <s v="8116105006"/>
  </r>
  <r>
    <s v="RCF Trombay"/>
    <s v="15-15-15"/>
    <s v="WB"/>
    <x v="15"/>
    <s v="Haringhata"/>
    <s v="User Not Mapped"/>
    <s v="User Not Mapped"/>
    <s v="User Not Mapped"/>
    <n v="641776"/>
    <s v="Subrata Sau"/>
    <s v="Private Retailer"/>
    <s v="9734063042"/>
    <n v="0.25"/>
    <n v="34"/>
    <x v="1"/>
    <m/>
    <s v="2026-03-24"/>
    <s v="260211"/>
    <s v="M/s. Jaiswal Enterprise "/>
    <s v="8116105006"/>
  </r>
  <r>
    <s v="RCF Trombay"/>
    <s v="15-15-15"/>
    <s v="WB"/>
    <x v="15"/>
    <s v="Haringhata"/>
    <s v="User Not Mapped"/>
    <s v="User Not Mapped"/>
    <s v="User Not Mapped"/>
    <n v="641776"/>
    <s v="Subrata Sau"/>
    <s v="Private Retailer"/>
    <s v="9734063042"/>
    <n v="0.25"/>
    <n v="61"/>
    <x v="2"/>
    <m/>
    <s v="2026-02-25"/>
    <s v="260211"/>
    <s v="M/s. Jaiswal Enterprise "/>
    <s v="8116105006"/>
  </r>
  <r>
    <s v="RCF Trombay"/>
    <s v="15-15-15"/>
    <s v="WB"/>
    <x v="15"/>
    <s v="Haringhata"/>
    <s v="User Not Mapped"/>
    <s v="User Not Mapped"/>
    <s v="User Not Mapped"/>
    <n v="641776"/>
    <s v="Subrata Sau"/>
    <s v="Private Retailer"/>
    <s v="9734063042"/>
    <n v="0.35"/>
    <n v="222"/>
    <x v="3"/>
    <m/>
    <s v="2025-09-17"/>
    <s v="260211"/>
    <s v="M/s. Jaiswal Enterprise "/>
    <s v="8116105006"/>
  </r>
  <r>
    <s v="RCF Trombay"/>
    <s v="15-15-15"/>
    <s v="WB"/>
    <x v="15"/>
    <s v="Haringhata"/>
    <s v="User Not Mapped"/>
    <s v="User Not Mapped"/>
    <s v="User Not Mapped"/>
    <n v="853417"/>
    <s v="MANDAL KRISHI BHANDER"/>
    <s v="Private Retailer"/>
    <s v="9564381102"/>
    <n v="1"/>
    <n v="53"/>
    <x v="1"/>
    <m/>
    <s v="2026-03-05"/>
    <s v="260211"/>
    <s v="M/s. Jaiswal Enterprise "/>
    <s v="8116105006"/>
  </r>
  <r>
    <s v="RCF Trombay"/>
    <s v="15-15-15"/>
    <s v="WB"/>
    <x v="15"/>
    <s v="Haringhata"/>
    <s v="User Not Mapped"/>
    <s v="User Not Mapped"/>
    <s v="User Not Mapped"/>
    <n v="853417"/>
    <s v="MANDAL KRISHI BHANDER"/>
    <s v="Private Retailer"/>
    <s v="9564381102"/>
    <n v="0.5"/>
    <n v="254"/>
    <x v="3"/>
    <m/>
    <s v="2025-08-16"/>
    <s v="260211"/>
    <s v="M/s. Jaiswal Enterprise "/>
    <s v="8116105006"/>
  </r>
  <r>
    <s v="RCF Trombay"/>
    <s v="N.C.Urea(45kg)"/>
    <s v="WB"/>
    <x v="15"/>
    <s v="Haringhata"/>
    <s v="User Not Mapped"/>
    <s v="User Not Mapped"/>
    <s v="User Not Mapped"/>
    <n v="870284"/>
    <s v="M/S SAHIDUL HOQUE MONDAL"/>
    <s v="Private Retailer"/>
    <s v="8101881454"/>
    <n v="1.9350000000000001"/>
    <n v="399"/>
    <x v="6"/>
    <m/>
    <s v="2025-03-24"/>
    <s v="280729"/>
    <s v="M/s. Naresh Chandra Das"/>
    <s v="7365868045"/>
  </r>
  <r>
    <s v="RCF Import"/>
    <s v="Imp 10-26-26"/>
    <s v="WB"/>
    <x v="15"/>
    <s v="Haringhata"/>
    <s v="User Not Mapped"/>
    <s v="User Not Mapped"/>
    <s v="User Not Mapped"/>
    <n v="872908"/>
    <s v="SURJA SARKAR"/>
    <s v="Private Retailer"/>
    <s v="7407790051"/>
    <n v="0.25"/>
    <n v="20"/>
    <x v="4"/>
    <m/>
    <s v="2026-04-07"/>
    <s v="260211"/>
    <s v="M/s. Jaiswal Enterprise "/>
    <s v="8116105006"/>
  </r>
  <r>
    <s v="RCF Thal"/>
    <s v="N.C.Urea(45kg)"/>
    <s v="WB"/>
    <x v="15"/>
    <s v="Haringhata"/>
    <s v="User Not Mapped"/>
    <s v="User Not Mapped"/>
    <s v="User Not Mapped"/>
    <n v="943334"/>
    <s v="NITAI GHOSH"/>
    <s v="Private Retailer"/>
    <s v="9474194341"/>
    <n v="0.94499999999999995"/>
    <n v="47"/>
    <x v="1"/>
    <m/>
    <s v="2026-03-11"/>
    <s v="270129"/>
    <s v="Kalyan Kr. Nandi"/>
    <s v="8250914797"/>
  </r>
  <r>
    <s v="RCF Import"/>
    <s v="Imp 10-26-26"/>
    <s v="WB"/>
    <x v="15"/>
    <s v="Haringhata"/>
    <s v="User Not Mapped"/>
    <s v="User Not Mapped"/>
    <s v="User Not Mapped"/>
    <n v="943334"/>
    <s v="NITAI GHOSH"/>
    <s v="Private Retailer"/>
    <s v="9474194341"/>
    <n v="0.05"/>
    <n v="24"/>
    <x v="4"/>
    <m/>
    <s v="2026-04-03"/>
    <s v="260211"/>
    <s v="M/s. Jaiswal Enterprise "/>
    <s v="8116105006"/>
  </r>
  <r>
    <s v="RCF Trombay"/>
    <s v="15-15-15"/>
    <s v="WB"/>
    <x v="15"/>
    <s v="Haringhata"/>
    <s v="User Not Mapped"/>
    <s v="User Not Mapped"/>
    <s v="User Not Mapped"/>
    <n v="943334"/>
    <s v="NITAI GHOSH"/>
    <s v="Private Retailer"/>
    <s v="9474194341"/>
    <n v="2.13"/>
    <n v="62"/>
    <x v="2"/>
    <m/>
    <s v="2026-02-24"/>
    <s v="214222"/>
    <s v="Mahamaya Enterprise"/>
    <s v="8348217174"/>
  </r>
  <r>
    <s v="RCF Trombay"/>
    <s v="N.C.Urea(45kg)"/>
    <s v="WB"/>
    <x v="15"/>
    <s v="Haringhata"/>
    <s v="User Not Mapped"/>
    <s v="User Not Mapped"/>
    <s v="User Not Mapped"/>
    <n v="943768"/>
    <s v="DASTOGIR FERTILIZER"/>
    <s v="Private Retailer"/>
    <s v="9732722260"/>
    <n v="3.78"/>
    <n v="90"/>
    <x v="2"/>
    <m/>
    <s v="2026-01-27"/>
    <s v="260177"/>
    <s v="SatyaRanjan Kundu and Brothers"/>
    <s v="7908186730"/>
  </r>
  <r>
    <s v="RCF Thal"/>
    <s v="N.C.Urea(45kg)"/>
    <s v="WB"/>
    <x v="15"/>
    <s v="Haringhata"/>
    <s v="User Not Mapped"/>
    <s v="User Not Mapped"/>
    <s v="User Not Mapped"/>
    <n v="943770"/>
    <s v="M/S MINHASUDDIN HAQUE"/>
    <s v="Private Retailer"/>
    <s v="8001180400"/>
    <n v="4.9050000000000002"/>
    <n v="282"/>
    <x v="3"/>
    <m/>
    <s v="2025-07-19"/>
    <s v="214222"/>
    <s v="Mahamaya Enterprise"/>
    <s v="8348217174"/>
  </r>
  <r>
    <s v="RCF Thal"/>
    <s v="N.C.Urea(45kg)"/>
    <s v="WB"/>
    <x v="15"/>
    <s v="Haringhata"/>
    <s v="User Not Mapped"/>
    <s v="User Not Mapped"/>
    <s v="User Not Mapped"/>
    <n v="943770"/>
    <s v="M/S MINHASUDDIN HAQUE"/>
    <s v="Private Retailer"/>
    <s v="8001180400"/>
    <n v="5.49"/>
    <n v="48"/>
    <x v="1"/>
    <m/>
    <s v="2026-03-10"/>
    <s v="214222"/>
    <s v="Mahamaya Enterprise"/>
    <s v="8348217174"/>
  </r>
  <r>
    <s v="RCF Trombay"/>
    <s v="15-15-15"/>
    <s v="WB"/>
    <x v="15"/>
    <s v="Haringhata"/>
    <s v="User Not Mapped"/>
    <s v="User Not Mapped"/>
    <s v="User Not Mapped"/>
    <n v="943770"/>
    <s v="M/S MINHASUDDIN HAQUE"/>
    <s v="Private Retailer"/>
    <s v="8001180400"/>
    <n v="0.25"/>
    <n v="45"/>
    <x v="1"/>
    <m/>
    <s v="2026-03-13"/>
    <s v="260211"/>
    <s v="M/s. Jaiswal Enterprise "/>
    <s v="8116105006"/>
  </r>
  <r>
    <s v="RCF Import"/>
    <s v="Imp 10-26-26"/>
    <s v="WB"/>
    <x v="15"/>
    <s v="Haringhata"/>
    <s v="User Not Mapped"/>
    <s v="User Not Mapped"/>
    <s v="User Not Mapped"/>
    <n v="943770"/>
    <s v="M/S MINHASUDDIN HAQUE"/>
    <s v="Private Retailer"/>
    <s v="8001180400"/>
    <n v="0.4"/>
    <n v="17"/>
    <x v="4"/>
    <m/>
    <s v="2026-04-10"/>
    <s v="260211"/>
    <s v="M/s. Jaiswal Enterprise "/>
    <s v="8116105006"/>
  </r>
  <r>
    <s v="RCF Import"/>
    <s v="Imp 10-26-26"/>
    <s v="WB"/>
    <x v="15"/>
    <s v="Haringhata"/>
    <s v="User Not Mapped"/>
    <s v="User Not Mapped"/>
    <s v="User Not Mapped"/>
    <n v="943770"/>
    <s v="M/S MINHASUDDIN HAQUE"/>
    <s v="Private Retailer"/>
    <s v="8001180400"/>
    <n v="0.25"/>
    <n v="27"/>
    <x v="4"/>
    <m/>
    <s v="2026-03-31"/>
    <s v="260211"/>
    <s v="M/s. Jaiswal Enterprise "/>
    <s v="8116105006"/>
  </r>
  <r>
    <s v="RCF Import"/>
    <s v="Imp 10-26-26"/>
    <s v="WB"/>
    <x v="15"/>
    <s v="Haringhata"/>
    <s v="User Not Mapped"/>
    <s v="User Not Mapped"/>
    <s v="User Not Mapped"/>
    <n v="943774"/>
    <s v="SHIBU SAHA"/>
    <s v="Private Retailer"/>
    <s v="9064287297"/>
    <n v="0.75"/>
    <n v="30"/>
    <x v="4"/>
    <m/>
    <s v="2026-03-28"/>
    <s v="260211"/>
    <s v="M/s. Jaiswal Enterprise "/>
    <s v="8116105006"/>
  </r>
  <r>
    <s v="RCF Trombay"/>
    <s v="N.C.Urea(45kg)"/>
    <s v="WB"/>
    <x v="15"/>
    <s v="Haringhata"/>
    <s v="User Not Mapped"/>
    <s v="User Not Mapped"/>
    <s v="User Not Mapped"/>
    <n v="943788"/>
    <s v="M/S JAFIUDDIN KAYAL"/>
    <s v="Private Retailer"/>
    <s v="9064907382"/>
    <n v="0.03"/>
    <n v="2673"/>
    <x v="7"/>
    <m/>
    <s v="2019-01-01"/>
    <s v="11"/>
    <s v="Too Old Stock"/>
    <m/>
  </r>
  <r>
    <s v="RCF Trombay"/>
    <s v="15-15-15"/>
    <s v="WB"/>
    <x v="15"/>
    <s v="Haringhata"/>
    <s v="User Not Mapped"/>
    <s v="User Not Mapped"/>
    <s v="User Not Mapped"/>
    <n v="943796"/>
    <s v="KETAB ALI MONDAL"/>
    <s v="Private Retailer"/>
    <s v="7478526480"/>
    <n v="0.4"/>
    <n v="132"/>
    <x v="0"/>
    <m/>
    <s v="2025-12-16"/>
    <s v="260209"/>
    <s v="M/S SUNIL KUMAR SAHA       "/>
    <s v="9434110995"/>
  </r>
  <r>
    <s v="RCF Trombay"/>
    <s v="15-15-15"/>
    <s v="WB"/>
    <x v="15"/>
    <s v="Haringhata"/>
    <s v="User Not Mapped"/>
    <s v="User Not Mapped"/>
    <s v="User Not Mapped"/>
    <n v="943796"/>
    <s v="KETAB ALI MONDAL"/>
    <s v="Private Retailer"/>
    <s v="7478526480"/>
    <n v="0.1"/>
    <n v="142"/>
    <x v="0"/>
    <m/>
    <s v="2025-12-06"/>
    <s v="260209"/>
    <s v="M/S SUNIL KUMAR SAHA       "/>
    <s v="9434110995"/>
  </r>
  <r>
    <s v="RCF Thal"/>
    <s v="N.C.Urea(45kg)"/>
    <s v="WB"/>
    <x v="15"/>
    <s v="Haringhata"/>
    <s v="User Not Mapped"/>
    <s v="User Not Mapped"/>
    <s v="User Not Mapped"/>
    <n v="943798"/>
    <s v="ASHIT DAS"/>
    <s v="Private Retailer"/>
    <s v="9593197519"/>
    <n v="0.39500000000000002"/>
    <n v="1064"/>
    <x v="7"/>
    <m/>
    <s v="2023-05-29"/>
    <s v="280729"/>
    <s v="M/s. Naresh Chandra Das"/>
    <s v="7365868045"/>
  </r>
  <r>
    <s v="RCF Import"/>
    <s v="MOP"/>
    <s v="WB"/>
    <x v="15"/>
    <s v="Haringhata"/>
    <s v="User Not Mapped"/>
    <s v="User Not Mapped"/>
    <s v="User Not Mapped"/>
    <n v="943822"/>
    <s v="SARAPHUDDIN MANDAL"/>
    <s v="Private Retailer"/>
    <s v="9775172258"/>
    <n v="0.35"/>
    <n v="36"/>
    <x v="1"/>
    <m/>
    <s v="2026-03-22"/>
    <s v="281285"/>
    <s v="Bhabani Prosad Chattopadhy"/>
    <s v="7548026544"/>
  </r>
  <r>
    <s v="RCF Trombay"/>
    <s v="N.C.Urea(45kg)"/>
    <s v="WB"/>
    <x v="15"/>
    <s v="Haringhata"/>
    <s v="User Not Mapped"/>
    <s v="User Not Mapped"/>
    <s v="User Not Mapped"/>
    <n v="951407"/>
    <s v="MONTU MONDAL"/>
    <s v="Private Retailer"/>
    <s v="9593285638"/>
    <n v="5.0049999999999999"/>
    <n v="804"/>
    <x v="7"/>
    <m/>
    <s v="2024-02-13"/>
    <s v="280729"/>
    <s v="M/s. Naresh Chandra Das"/>
    <s v="7365868045"/>
  </r>
  <r>
    <s v="RCF Thal"/>
    <s v="N.C.Urea(45kg)"/>
    <s v="WB"/>
    <x v="15"/>
    <s v="Haringhata"/>
    <s v="User Not Mapped"/>
    <s v="User Not Mapped"/>
    <s v="User Not Mapped"/>
    <n v="951407"/>
    <s v="MONTU MONDAL"/>
    <s v="Private Retailer"/>
    <s v="9593285638"/>
    <n v="2.0699999999999998"/>
    <n v="1064"/>
    <x v="7"/>
    <m/>
    <s v="2023-05-29"/>
    <s v="280729"/>
    <s v="M/s. Naresh Chandra Das"/>
    <s v="7365868045"/>
  </r>
  <r>
    <s v="RCF Thal"/>
    <s v="N.C.Urea(45kg)"/>
    <s v="WB"/>
    <x v="15"/>
    <s v="Haringhata"/>
    <s v="User Not Mapped"/>
    <s v="User Not Mapped"/>
    <s v="User Not Mapped"/>
    <n v="1029832"/>
    <s v="Sahabuddin Mondal"/>
    <s v="Private Retailer"/>
    <s v="9749267628"/>
    <n v="4.4999999999999998E-2"/>
    <n v="2015"/>
    <x v="7"/>
    <m/>
    <s v="2020-10-20"/>
    <s v="441419"/>
    <s v="M/S Namita Chanda"/>
    <s v="9775677020"/>
  </r>
  <r>
    <s v="RCF Import"/>
    <s v="Imp 10-26-26"/>
    <s v="WB"/>
    <x v="15"/>
    <s v="Haringhata"/>
    <s v="User Not Mapped"/>
    <s v="User Not Mapped"/>
    <s v="User Not Mapped"/>
    <n v="1031345"/>
    <s v="JAYNUL MOLLA"/>
    <s v="Private Retailer"/>
    <s v="8016892344"/>
    <n v="0.25"/>
    <n v="244"/>
    <x v="3"/>
    <m/>
    <s v="2025-08-26"/>
    <s v="260211"/>
    <s v="M/s. Jaiswal Enterprise "/>
    <s v="8116105006"/>
  </r>
  <r>
    <s v="RCF Trombay"/>
    <s v="N.C.Urea(45kg)"/>
    <s v="WB"/>
    <x v="15"/>
    <s v="Haringhata"/>
    <s v="User Not Mapped"/>
    <s v="User Not Mapped"/>
    <s v="User Not Mapped"/>
    <n v="1031345"/>
    <s v="JAYNUL MOLLA"/>
    <s v="Private Retailer"/>
    <s v="8016892344"/>
    <n v="1.4999999999999999E-2"/>
    <n v="628"/>
    <x v="7"/>
    <m/>
    <s v="2024-08-07"/>
    <s v="1214830"/>
    <s v="MS AJOY KRISHNA SEAL"/>
    <s v="9932127372"/>
  </r>
  <r>
    <s v="RCF Trombay"/>
    <s v="15-15-15"/>
    <s v="WB"/>
    <x v="15"/>
    <s v="Haringhata"/>
    <s v="User Not Mapped"/>
    <s v="User Not Mapped"/>
    <s v="User Not Mapped"/>
    <n v="1031345"/>
    <s v="JAYNUL MOLLA"/>
    <s v="Private Retailer"/>
    <s v="8016892344"/>
    <n v="0.1"/>
    <n v="219"/>
    <x v="3"/>
    <m/>
    <s v="2025-09-20"/>
    <s v="260211"/>
    <s v="M/s. Jaiswal Enterprise "/>
    <s v="8116105006"/>
  </r>
  <r>
    <s v="RCF Trombay"/>
    <s v="15-15-15"/>
    <s v="WB"/>
    <x v="15"/>
    <s v="Haringhata"/>
    <s v="User Not Mapped"/>
    <s v="User Not Mapped"/>
    <s v="User Not Mapped"/>
    <n v="1031345"/>
    <s v="JAYNUL MOLLA"/>
    <s v="Private Retailer"/>
    <s v="8016892344"/>
    <n v="0.25"/>
    <n v="41"/>
    <x v="1"/>
    <m/>
    <s v="2026-03-17"/>
    <s v="260211"/>
    <s v="M/s. Jaiswal Enterprise "/>
    <s v="8116105006"/>
  </r>
  <r>
    <s v="RCF Import"/>
    <s v="Imp 10-26-26"/>
    <s v="WB"/>
    <x v="15"/>
    <s v="Haringhata"/>
    <s v="User Not Mapped"/>
    <s v="User Not Mapped"/>
    <s v="User Not Mapped"/>
    <n v="1061918"/>
    <s v="MOMINUL MONDAL"/>
    <s v="Private Retailer"/>
    <s v="9233650162"/>
    <n v="0.5"/>
    <n v="26"/>
    <x v="4"/>
    <m/>
    <s v="2026-04-01"/>
    <s v="260211"/>
    <s v="M/s. Jaiswal Enterprise "/>
    <s v="8116105006"/>
  </r>
  <r>
    <s v="RCF Import"/>
    <s v="Imp 10-26-26"/>
    <s v="WB"/>
    <x v="15"/>
    <s v="Haringhata"/>
    <s v="User Not Mapped"/>
    <s v="User Not Mapped"/>
    <s v="User Not Mapped"/>
    <n v="1061918"/>
    <s v="MOMINUL MONDAL"/>
    <s v="Private Retailer"/>
    <s v="9233650162"/>
    <n v="0.25"/>
    <n v="41"/>
    <x v="1"/>
    <m/>
    <s v="2026-03-17"/>
    <s v="260211"/>
    <s v="M/s. Jaiswal Enterprise "/>
    <s v="8116105006"/>
  </r>
  <r>
    <s v="RCF Trombay"/>
    <s v="15-15-15"/>
    <s v="WB"/>
    <x v="15"/>
    <s v="Haringhata"/>
    <s v="User Not Mapped"/>
    <s v="User Not Mapped"/>
    <s v="User Not Mapped"/>
    <n v="1061918"/>
    <s v="MOMINUL MONDAL"/>
    <s v="Private Retailer"/>
    <s v="9233650162"/>
    <n v="0.5"/>
    <n v="41"/>
    <x v="1"/>
    <m/>
    <s v="2026-03-17"/>
    <s v="260211"/>
    <s v="M/s. Jaiswal Enterprise "/>
    <s v="8116105006"/>
  </r>
  <r>
    <s v="RCF Trombay"/>
    <s v="15-15-15"/>
    <s v="WB"/>
    <x v="15"/>
    <s v="Haringhata"/>
    <s v="User Not Mapped"/>
    <s v="User Not Mapped"/>
    <s v="User Not Mapped"/>
    <n v="1061918"/>
    <s v="MOMINUL MONDAL"/>
    <s v="Private Retailer"/>
    <s v="9233650162"/>
    <n v="0.2"/>
    <n v="63"/>
    <x v="2"/>
    <m/>
    <s v="2026-02-23"/>
    <s v="260211"/>
    <s v="M/s. Jaiswal Enterprise "/>
    <s v="8116105006"/>
  </r>
  <r>
    <s v="RCF Import"/>
    <s v="Imp 10-26-26"/>
    <s v="WB"/>
    <x v="15"/>
    <s v="Haringhata"/>
    <s v="User Not Mapped"/>
    <s v="User Not Mapped"/>
    <s v="User Not Mapped"/>
    <n v="1061966"/>
    <s v="SUSANTI MONDAL GOLDAR"/>
    <s v="Private Retailer"/>
    <s v="8167369776"/>
    <n v="0.2"/>
    <n v="24"/>
    <x v="4"/>
    <m/>
    <s v="2026-04-03"/>
    <s v="260211"/>
    <s v="M/s. Jaiswal Enterprise "/>
    <s v="8116105006"/>
  </r>
  <r>
    <s v="RCF Trombay"/>
    <s v="15-15-15"/>
    <s v="WB"/>
    <x v="15"/>
    <s v="Haringhata"/>
    <s v="User Not Mapped"/>
    <s v="User Not Mapped"/>
    <s v="User Not Mapped"/>
    <n v="1061966"/>
    <s v="SUSANTI MONDAL GOLDAR"/>
    <s v="Private Retailer"/>
    <s v="8167369776"/>
    <n v="0.10299999999999999"/>
    <n v="58"/>
    <x v="1"/>
    <m/>
    <s v="2026-02-28"/>
    <s v="260211"/>
    <s v="M/s. Jaiswal Enterprise "/>
    <s v="8116105006"/>
  </r>
  <r>
    <s v="RCF Import"/>
    <s v="Imp 10-26-26"/>
    <s v="WB"/>
    <x v="15"/>
    <s v="Haringhata"/>
    <s v="User Not Mapped"/>
    <s v="User Not Mapped"/>
    <s v="User Not Mapped"/>
    <n v="1222807"/>
    <s v="SHREE MA LAXMI KRISHI BHNADER"/>
    <s v="Private Retailer"/>
    <s v="9734482877"/>
    <n v="6.5"/>
    <n v="59"/>
    <x v="1"/>
    <m/>
    <s v="2026-02-27"/>
    <s v="214222"/>
    <s v="Mahamaya Enterprise"/>
    <s v="8348217174"/>
  </r>
  <r>
    <s v="RCF Thal"/>
    <s v="N.C.Urea(45kg)"/>
    <s v="WB"/>
    <x v="15"/>
    <s v="Haringhata"/>
    <s v="User Not Mapped"/>
    <s v="User Not Mapped"/>
    <s v="User Not Mapped"/>
    <n v="1222807"/>
    <s v="SHREE MA LAXMI KRISHI BHNADER"/>
    <s v="Private Retailer"/>
    <s v="9734482877"/>
    <n v="4.32"/>
    <n v="25"/>
    <x v="4"/>
    <m/>
    <s v="2026-04-02"/>
    <s v="214222"/>
    <s v="Mahamaya Enterprise"/>
    <s v="8348217174"/>
  </r>
  <r>
    <s v="RCF Trombay"/>
    <s v="15-15-15"/>
    <s v="WB"/>
    <x v="15"/>
    <s v="Haringhata"/>
    <s v="User Not Mapped"/>
    <s v="User Not Mapped"/>
    <s v="User Not Mapped"/>
    <n v="1222807"/>
    <s v="SHREE MA LAXMI KRISHI BHNADER"/>
    <s v="Private Retailer"/>
    <s v="9734482877"/>
    <n v="0.5"/>
    <n v="100"/>
    <x v="5"/>
    <m/>
    <s v="2026-01-17"/>
    <s v="214222"/>
    <s v="Mahamaya Enterprise"/>
    <s v="8348217174"/>
  </r>
  <r>
    <s v="RCF Import"/>
    <s v="MOP"/>
    <s v="WB"/>
    <x v="15"/>
    <s v="Haringhata"/>
    <s v="User Not Mapped"/>
    <s v="User Not Mapped"/>
    <s v="User Not Mapped"/>
    <n v="1445511"/>
    <s v="MAA TARA KRISHI BHANDER"/>
    <s v="Private Retailer"/>
    <s v="9734614362"/>
    <n v="0.2"/>
    <n v="423"/>
    <x v="6"/>
    <m/>
    <s v="2025-02-28"/>
    <s v="441419"/>
    <s v="M/S Namita Chanda"/>
    <s v="9775677020"/>
  </r>
  <r>
    <s v="RCF Trombay"/>
    <s v="15-15-15"/>
    <s v="WB"/>
    <x v="15"/>
    <s v="Haringhata"/>
    <s v="User Not Mapped"/>
    <s v="User Not Mapped"/>
    <s v="User Not Mapped"/>
    <n v="1445511"/>
    <s v="MAA TARA KRISHI BHANDER"/>
    <s v="Private Retailer"/>
    <s v="9734614362"/>
    <n v="0.1"/>
    <n v="251"/>
    <x v="3"/>
    <m/>
    <s v="2025-08-19"/>
    <s v="214222"/>
    <s v="Mahamaya Enterprise"/>
    <s v="8348217174"/>
  </r>
  <r>
    <s v="RCF Trombay"/>
    <s v="15-15-15"/>
    <s v="WB"/>
    <x v="15"/>
    <s v="Haringhata"/>
    <s v="User Not Mapped"/>
    <s v="User Not Mapped"/>
    <s v="User Not Mapped"/>
    <n v="1506616"/>
    <s v="AMMA CHASHI GHAR"/>
    <s v="Private Retailer"/>
    <s v="9002018084"/>
    <n v="0.1"/>
    <n v="309"/>
    <x v="3"/>
    <m/>
    <s v="2025-06-22"/>
    <s v="441419"/>
    <s v="M/S Namita Chanda"/>
    <s v="9775677020"/>
  </r>
  <r>
    <s v="RCF Trombay"/>
    <s v="15-15-15"/>
    <s v="WB"/>
    <x v="15"/>
    <s v="Haringhata"/>
    <s v="User Not Mapped"/>
    <s v="User Not Mapped"/>
    <s v="User Not Mapped"/>
    <n v="1537831"/>
    <s v="M/s TARAFDER ENTERPRISE"/>
    <s v="Private Retailer"/>
    <s v="9064110296"/>
    <n v="0.75"/>
    <n v="13"/>
    <x v="4"/>
    <m/>
    <s v="2026-04-14"/>
    <s v="280729"/>
    <s v="M/s. Naresh Chandra Das"/>
    <s v="7365868045"/>
  </r>
  <r>
    <s v="RCF Trombay"/>
    <s v="N.C.Urea(45kg)"/>
    <s v="WB"/>
    <x v="15"/>
    <s v="Haringhata"/>
    <s v="User Not Mapped"/>
    <s v="User Not Mapped"/>
    <s v="User Not Mapped"/>
    <n v="1537831"/>
    <s v="M/s TARAFDER ENTERPRISE"/>
    <s v="Private Retailer"/>
    <s v="9064110296"/>
    <n v="8.5000000000000006E-2"/>
    <n v="141"/>
    <x v="0"/>
    <m/>
    <s v="2025-12-07"/>
    <s v="1214830"/>
    <s v="MS AJOY KRISHNA SEAL"/>
    <s v="9932127372"/>
  </r>
  <r>
    <s v="RCF Thal"/>
    <s v="N.C.Urea(45kg)"/>
    <s v="WB"/>
    <x v="15"/>
    <s v="Kaliganj"/>
    <s v="User Not Mapped"/>
    <s v="User Not Mapped"/>
    <s v="User Not Mapped"/>
    <n v="323516"/>
    <s v="Nefaj Molla"/>
    <s v="Private Retailer"/>
    <s v="9800761089"/>
    <n v="0.40500000000000003"/>
    <n v="454"/>
    <x v="6"/>
    <m/>
    <s v="2025-01-28"/>
    <s v="260177"/>
    <s v="SatyaRanjan Kundu and Brothers"/>
    <s v="7908186730"/>
  </r>
  <r>
    <s v="RCF Thal"/>
    <s v="N.C.Urea(45kg)"/>
    <s v="WB"/>
    <x v="15"/>
    <s v="Kaliganj"/>
    <s v="User Not Mapped"/>
    <s v="User Not Mapped"/>
    <s v="User Not Mapped"/>
    <n v="323516"/>
    <s v="Nefaj Molla"/>
    <s v="Private Retailer"/>
    <s v="9800761089"/>
    <n v="9.99"/>
    <n v="160"/>
    <x v="0"/>
    <m/>
    <s v="2025-11-18"/>
    <s v="260177"/>
    <s v="SatyaRanjan Kundu and Brothers"/>
    <s v="7908186730"/>
  </r>
  <r>
    <s v="RCF Trombay"/>
    <s v="N.C.Urea(45kg)"/>
    <s v="WB"/>
    <x v="15"/>
    <s v="Kaliganj"/>
    <s v="User Not Mapped"/>
    <s v="User Not Mapped"/>
    <s v="User Not Mapped"/>
    <n v="342132"/>
    <s v="Nurul Fertilizer"/>
    <s v="Private Retailer"/>
    <s v="9434945164"/>
    <n v="7.47"/>
    <n v="542"/>
    <x v="6"/>
    <m/>
    <s v="2024-11-01"/>
    <s v="270129"/>
    <s v="Kalyan Kr. Nandi"/>
    <s v="8250914797"/>
  </r>
  <r>
    <s v="RCF Thal"/>
    <s v="N.C.Urea(45kg)"/>
    <s v="WB"/>
    <x v="15"/>
    <s v="Kaliganj"/>
    <s v="User Not Mapped"/>
    <s v="User Not Mapped"/>
    <s v="User Not Mapped"/>
    <n v="342132"/>
    <s v="Nurul Fertilizer"/>
    <s v="Private Retailer"/>
    <s v="9434945164"/>
    <n v="2.31"/>
    <n v="1253"/>
    <x v="7"/>
    <m/>
    <s v="2022-11-21"/>
    <s v="214222"/>
    <s v="Mahamaya Enterprise"/>
    <s v="8348217174"/>
  </r>
  <r>
    <s v="RCF Thal"/>
    <s v="N.C.Urea(45kg)"/>
    <s v="WB"/>
    <x v="15"/>
    <s v="Kaliganj"/>
    <s v="User Not Mapped"/>
    <s v="User Not Mapped"/>
    <s v="User Not Mapped"/>
    <n v="387974"/>
    <s v="Ramprasad Dutta"/>
    <s v="Private Retailer"/>
    <s v="8436512151"/>
    <n v="2.0249999999999999"/>
    <n v="20"/>
    <x v="4"/>
    <m/>
    <s v="2026-04-07"/>
    <s v="280729"/>
    <s v="M/s. Naresh Chandra Das"/>
    <s v="7365868045"/>
  </r>
  <r>
    <s v="RCF Trombay"/>
    <s v="N.C.Urea(45kg)"/>
    <s v="WB"/>
    <x v="15"/>
    <s v="Kaliganj"/>
    <s v="User Not Mapped"/>
    <s v="User Not Mapped"/>
    <s v="User Not Mapped"/>
    <n v="437988"/>
    <s v="Md Kamal Sekh"/>
    <s v="Private Retailer"/>
    <s v="7029542360"/>
    <n v="2.5649999999999999"/>
    <n v="286"/>
    <x v="3"/>
    <m/>
    <s v="2025-07-15"/>
    <s v="260177"/>
    <s v="SatyaRanjan Kundu and Brothers"/>
    <s v="7908186730"/>
  </r>
  <r>
    <s v="RCF Thal"/>
    <s v="N.C.Urea(45kg)"/>
    <s v="WB"/>
    <x v="15"/>
    <s v="Kaliganj"/>
    <s v="User Not Mapped"/>
    <s v="User Not Mapped"/>
    <s v="User Not Mapped"/>
    <n v="437988"/>
    <s v="Md Kamal Sekh"/>
    <s v="Private Retailer"/>
    <s v="7029542360"/>
    <n v="0.58499999999999996"/>
    <n v="272"/>
    <x v="3"/>
    <m/>
    <s v="2025-07-29"/>
    <s v="260178"/>
    <s v="M/s. Uttamendu Sarkar"/>
    <s v="9002483836"/>
  </r>
  <r>
    <s v="RCF Thal"/>
    <s v="N.C.Urea(45kg)"/>
    <s v="WB"/>
    <x v="15"/>
    <s v="Kaliganj"/>
    <s v="User Not Mapped"/>
    <s v="User Not Mapped"/>
    <s v="User Not Mapped"/>
    <n v="439308"/>
    <s v="Shikh Brothers"/>
    <s v="Private Retailer"/>
    <s v="8436141877"/>
    <n v="0.315"/>
    <n v="272"/>
    <x v="3"/>
    <m/>
    <s v="2025-07-29"/>
    <s v="441017"/>
    <s v="M/S S M. Abdul Matin"/>
    <s v="7501569288"/>
  </r>
  <r>
    <s v="RCF Import"/>
    <s v="MOP"/>
    <s v="WB"/>
    <x v="15"/>
    <s v="Kaliganj"/>
    <s v="User Not Mapped"/>
    <s v="User Not Mapped"/>
    <s v="User Not Mapped"/>
    <n v="441473"/>
    <s v="Safikul Islam"/>
    <s v="Private Retailer"/>
    <s v="7797378464"/>
    <n v="1.5"/>
    <n v="247"/>
    <x v="3"/>
    <m/>
    <s v="2025-08-23"/>
    <s v="260202"/>
    <s v="MS S K DUTTA"/>
    <s v="9832802581"/>
  </r>
  <r>
    <s v="RCF Trombay"/>
    <s v="15-15-15"/>
    <s v="WB"/>
    <x v="15"/>
    <s v="Kaliganj"/>
    <s v="User Not Mapped"/>
    <s v="User Not Mapped"/>
    <s v="User Not Mapped"/>
    <n v="441473"/>
    <s v="Safikul Islam"/>
    <s v="Private Retailer"/>
    <s v="7797378464"/>
    <n v="5"/>
    <n v="74"/>
    <x v="2"/>
    <m/>
    <s v="2026-02-12"/>
    <s v="1063524"/>
    <s v="SOURAV GUPTA"/>
    <s v="7001896546"/>
  </r>
  <r>
    <s v="RCF Trombay"/>
    <s v="N.C.Urea(45kg)"/>
    <s v="WB"/>
    <x v="15"/>
    <s v="Kaliganj"/>
    <s v="User Not Mapped"/>
    <s v="User Not Mapped"/>
    <s v="User Not Mapped"/>
    <n v="900875"/>
    <s v="HARERAM DAS"/>
    <s v="Private Retailer"/>
    <s v="8101196889"/>
    <n v="9.99"/>
    <n v="84"/>
    <x v="2"/>
    <m/>
    <s v="2026-02-02"/>
    <s v="280913"/>
    <s v="S.S.P Enterprise"/>
    <s v="9732669190"/>
  </r>
  <r>
    <s v="RCF Trombay"/>
    <s v="N.C.Urea(45kg)"/>
    <s v="WB"/>
    <x v="15"/>
    <s v="Kaliganj"/>
    <s v="User Not Mapped"/>
    <s v="User Not Mapped"/>
    <s v="User Not Mapped"/>
    <n v="900875"/>
    <s v="HARERAM DAS"/>
    <s v="Private Retailer"/>
    <s v="8101196889"/>
    <n v="9.99"/>
    <n v="65"/>
    <x v="2"/>
    <m/>
    <s v="2026-02-21"/>
    <s v="259034"/>
    <s v="MS Guha And Co"/>
    <s v="8695359505"/>
  </r>
  <r>
    <s v="RCF Trombay"/>
    <s v="15-15-15"/>
    <s v="WB"/>
    <x v="15"/>
    <s v="Kaliganj"/>
    <s v="User Not Mapped"/>
    <s v="User Not Mapped"/>
    <s v="User Not Mapped"/>
    <n v="998800"/>
    <s v="MOSARAF HOSSAIN MONDAL"/>
    <s v="Private Retailer"/>
    <s v="9679845217"/>
    <n v="1"/>
    <n v="194"/>
    <x v="3"/>
    <m/>
    <s v="2025-10-15"/>
    <s v="260177"/>
    <s v="SatyaRanjan Kundu and Brothers"/>
    <s v="7908186730"/>
  </r>
  <r>
    <s v="RCF Thal"/>
    <s v="N.C.Urea(45kg)"/>
    <s v="WB"/>
    <x v="15"/>
    <s v="Kaliganj"/>
    <s v="User Not Mapped"/>
    <s v="User Not Mapped"/>
    <s v="User Not Mapped"/>
    <n v="1020867"/>
    <s v="FULBAS SK"/>
    <s v="Private Retailer"/>
    <s v="7063554231"/>
    <n v="3.5999999999999997E-2"/>
    <n v="1187"/>
    <x v="7"/>
    <m/>
    <s v="2023-01-26"/>
    <s v="260177"/>
    <s v="SatyaRanjan Kundu and Brothers"/>
    <s v="7908186730"/>
  </r>
  <r>
    <s v="RCF Trombay"/>
    <s v="N.C.Urea(45kg)"/>
    <s v="WB"/>
    <x v="15"/>
    <s v="Kaliganj"/>
    <s v="User Not Mapped"/>
    <s v="User Not Mapped"/>
    <s v="User Not Mapped"/>
    <n v="1020867"/>
    <s v="FULBAS SK"/>
    <s v="Private Retailer"/>
    <s v="7063554231"/>
    <n v="0.13500000000000001"/>
    <n v="531"/>
    <x v="6"/>
    <m/>
    <s v="2024-11-12"/>
    <s v="281284"/>
    <s v="Sadhan Kumar Ghosh"/>
    <s v="7602136568"/>
  </r>
  <r>
    <s v="RCF Trombay"/>
    <s v="N.C.Urea(45kg)"/>
    <s v="WB"/>
    <x v="15"/>
    <s v="Kalyani"/>
    <s v="User Not Mapped"/>
    <s v="User Not Mapped"/>
    <s v="User Not Mapped"/>
    <n v="1572408"/>
    <s v="MS TASLIMA MONDAL"/>
    <s v="Private Retailer"/>
    <s v="7864853034"/>
    <n v="0.09"/>
    <n v="49"/>
    <x v="1"/>
    <m/>
    <s v="2026-03-09"/>
    <s v="260209"/>
    <s v="M/S SUNIL KUMAR SAHA       "/>
    <s v="9434110995"/>
  </r>
  <r>
    <s v="RCF Thal"/>
    <s v="N.C.Urea(45kg)"/>
    <s v="WB"/>
    <x v="15"/>
    <s v="Kalyani"/>
    <s v="User Not Mapped"/>
    <s v="User Not Mapped"/>
    <s v="User Not Mapped"/>
    <n v="1572408"/>
    <s v="MS TASLIMA MONDAL"/>
    <s v="Private Retailer"/>
    <s v="7864853034"/>
    <n v="1.8"/>
    <n v="9"/>
    <x v="4"/>
    <m/>
    <s v="2026-04-18"/>
    <s v="260209"/>
    <s v="M/S SUNIL KUMAR SAHA       "/>
    <s v="9434110995"/>
  </r>
  <r>
    <s v="RCF Import"/>
    <s v="Imp 10-26-26"/>
    <s v="WB"/>
    <x v="15"/>
    <s v="Kalyani"/>
    <s v="User Not Mapped"/>
    <s v="User Not Mapped"/>
    <s v="User Not Mapped"/>
    <n v="1572410"/>
    <s v="GHOSH FERTILIZER AND PESTICIDE"/>
    <s v="Private Retailer"/>
    <s v="9163871215"/>
    <n v="1"/>
    <n v="15"/>
    <x v="4"/>
    <m/>
    <s v="2026-04-12"/>
    <s v="1214830"/>
    <s v="MS AJOY KRISHNA SEAL"/>
    <s v="9932127372"/>
  </r>
  <r>
    <s v="RCF Trombay"/>
    <s v="15-15-15"/>
    <s v="WB"/>
    <x v="15"/>
    <s v="Kalyani"/>
    <s v="User Not Mapped"/>
    <s v="User Not Mapped"/>
    <s v="User Not Mapped"/>
    <n v="1572410"/>
    <s v="GHOSH FERTILIZER AND PESTICIDE"/>
    <s v="Private Retailer"/>
    <s v="9163871215"/>
    <n v="0.13400000000000001"/>
    <n v="180"/>
    <x v="0"/>
    <m/>
    <s v="2025-10-29"/>
    <s v="1214830"/>
    <s v="MS AJOY KRISHNA SEAL"/>
    <s v="9932127372"/>
  </r>
  <r>
    <s v="RCF Import"/>
    <s v="MOP"/>
    <s v="WB"/>
    <x v="15"/>
    <s v="Kalyani"/>
    <s v="User Not Mapped"/>
    <s v="User Not Mapped"/>
    <s v="User Not Mapped"/>
    <n v="1572410"/>
    <s v="GHOSH FERTILIZER AND PESTICIDE"/>
    <s v="Private Retailer"/>
    <s v="9163871215"/>
    <n v="1"/>
    <n v="15"/>
    <x v="4"/>
    <m/>
    <s v="2026-04-12"/>
    <s v="1214830"/>
    <s v="MS AJOY KRISHNA SEAL"/>
    <s v="9932127372"/>
  </r>
  <r>
    <s v="RCF Thal"/>
    <s v="N.C.Urea(45kg)"/>
    <s v="WB"/>
    <x v="15"/>
    <s v="Kalyani"/>
    <s v="User Not Mapped"/>
    <s v="User Not Mapped"/>
    <s v="User Not Mapped"/>
    <n v="1572410"/>
    <s v="GHOSH FERTILIZER AND PESTICIDE"/>
    <s v="Private Retailer"/>
    <s v="9163871215"/>
    <n v="0.68500000000000005"/>
    <n v="15"/>
    <x v="4"/>
    <m/>
    <s v="2026-04-12"/>
    <s v="1214830"/>
    <s v="MS AJOY KRISHNA SEAL"/>
    <s v="9932127372"/>
  </r>
  <r>
    <s v="RCF Import"/>
    <s v="Imp 10-26-26"/>
    <s v="WB"/>
    <x v="15"/>
    <s v="Kalyani"/>
    <s v="User Not Mapped"/>
    <s v="User Not Mapped"/>
    <s v="User Not Mapped"/>
    <n v="1572410"/>
    <s v="GHOSH FERTILIZER AND PESTICIDE"/>
    <s v="Private Retailer"/>
    <s v="9163871215"/>
    <n v="0.59199999999999997"/>
    <n v="54"/>
    <x v="1"/>
    <m/>
    <s v="2026-03-04"/>
    <s v="1214830"/>
    <s v="MS AJOY KRISHNA SEAL"/>
    <s v="9932127372"/>
  </r>
  <r>
    <s v="RCF Import"/>
    <s v="MOP"/>
    <s v="WB"/>
    <x v="15"/>
    <s v="Kalyani"/>
    <s v="User Not Mapped"/>
    <s v="User Not Mapped"/>
    <s v="User Not Mapped"/>
    <n v="1572410"/>
    <s v="GHOSH FERTILIZER AND PESTICIDE"/>
    <s v="Private Retailer"/>
    <s v="9163871215"/>
    <n v="0.79400000000000004"/>
    <n v="54"/>
    <x v="1"/>
    <m/>
    <s v="2026-03-04"/>
    <s v="1214830"/>
    <s v="MS AJOY KRISHNA SEAL"/>
    <s v="9932127372"/>
  </r>
  <r>
    <s v="RCF Trombay"/>
    <s v="N.C.Urea(45kg)"/>
    <s v="WB"/>
    <x v="15"/>
    <s v="Kalyani"/>
    <s v="User Not Mapped"/>
    <s v="User Not Mapped"/>
    <s v="User Not Mapped"/>
    <n v="1572410"/>
    <s v="GHOSH FERTILIZER AND PESTICIDE"/>
    <s v="Private Retailer"/>
    <s v="9163871215"/>
    <n v="1.659"/>
    <n v="54"/>
    <x v="1"/>
    <m/>
    <s v="2026-03-04"/>
    <s v="1214830"/>
    <s v="MS AJOY KRISHNA SEAL"/>
    <s v="9932127372"/>
  </r>
  <r>
    <s v="RCF Import"/>
    <s v="Imp 10-26-26"/>
    <s v="WB"/>
    <x v="15"/>
    <s v="Kalyani"/>
    <s v="User Not Mapped"/>
    <s v="User Not Mapped"/>
    <s v="User Not Mapped"/>
    <n v="1572412"/>
    <s v="GHOSH FERTILIZER "/>
    <s v="Private Retailer"/>
    <s v="8328772283"/>
    <n v="3.6999999999999998E-2"/>
    <n v="342"/>
    <x v="3"/>
    <m/>
    <s v="2025-05-20"/>
    <s v="281285"/>
    <s v="Bhabani Prosad Chattopadhy"/>
    <s v="7548026544"/>
  </r>
  <r>
    <s v="RCF Import"/>
    <s v="MOP"/>
    <s v="WB"/>
    <x v="15"/>
    <s v="Kalyani"/>
    <s v="User Not Mapped"/>
    <s v="User Not Mapped"/>
    <s v="User Not Mapped"/>
    <n v="1572412"/>
    <s v="GHOSH FERTILIZER "/>
    <s v="Private Retailer"/>
    <s v="8328772283"/>
    <n v="0.5"/>
    <n v="24"/>
    <x v="4"/>
    <m/>
    <s v="2026-04-03"/>
    <s v="281285"/>
    <s v="Bhabani Prosad Chattopadhy"/>
    <s v="7548026544"/>
  </r>
  <r>
    <s v="RCF Trombay"/>
    <s v="15-15-15"/>
    <s v="WB"/>
    <x v="15"/>
    <s v="Kalyani"/>
    <s v="User Not Mapped"/>
    <s v="User Not Mapped"/>
    <s v="User Not Mapped"/>
    <n v="1572412"/>
    <s v="GHOSH FERTILIZER "/>
    <s v="Private Retailer"/>
    <s v="8328772283"/>
    <n v="1.1000000000000001"/>
    <n v="24"/>
    <x v="4"/>
    <m/>
    <s v="2026-04-03"/>
    <s v="281285"/>
    <s v="Bhabani Prosad Chattopadhy"/>
    <s v="7548026544"/>
  </r>
  <r>
    <s v="RCF Trombay"/>
    <s v="N.C.Urea(45kg)"/>
    <s v="WB"/>
    <x v="15"/>
    <s v="Kalyani"/>
    <s v="User Not Mapped"/>
    <s v="User Not Mapped"/>
    <s v="User Not Mapped"/>
    <n v="1572412"/>
    <s v="GHOSH FERTILIZER "/>
    <s v="Private Retailer"/>
    <s v="8328772283"/>
    <n v="0.67500000000000004"/>
    <n v="92"/>
    <x v="5"/>
    <m/>
    <s v="2026-01-25"/>
    <s v="281285"/>
    <s v="Bhabani Prosad Chattopadhy"/>
    <s v="7548026544"/>
  </r>
  <r>
    <s v="RCF Thal"/>
    <s v="N.C.Urea(45kg)"/>
    <s v="WB"/>
    <x v="15"/>
    <s v="Kalyani"/>
    <s v="User Not Mapped"/>
    <s v="User Not Mapped"/>
    <s v="User Not Mapped"/>
    <n v="1572412"/>
    <s v="GHOSH FERTILIZER "/>
    <s v="Private Retailer"/>
    <s v="8328772283"/>
    <n v="0.13500000000000001"/>
    <n v="198"/>
    <x v="3"/>
    <m/>
    <s v="2025-10-11"/>
    <s v="281285"/>
    <s v="Bhabani Prosad Chattopadhy"/>
    <s v="7548026544"/>
  </r>
  <r>
    <s v="RCF Import"/>
    <s v="Imp 10-26-26"/>
    <s v="WB"/>
    <x v="15"/>
    <s v="Kalyani"/>
    <s v="User Not Mapped"/>
    <s v="User Not Mapped"/>
    <s v="User Not Mapped"/>
    <n v="1572412"/>
    <s v="GHOSH FERTILIZER "/>
    <s v="Private Retailer"/>
    <s v="8328772283"/>
    <n v="0.25"/>
    <n v="57"/>
    <x v="1"/>
    <m/>
    <s v="2026-03-01"/>
    <s v="281285"/>
    <s v="Bhabani Prosad Chattopadhy"/>
    <s v="7548026544"/>
  </r>
  <r>
    <s v="RCF Trombay"/>
    <s v="N.C.Urea(45kg)"/>
    <s v="WB"/>
    <x v="15"/>
    <s v="Kalyani"/>
    <s v="User Not Mapped"/>
    <s v="User Not Mapped"/>
    <s v="User Not Mapped"/>
    <n v="1572412"/>
    <s v="GHOSH FERTILIZER "/>
    <s v="Private Retailer"/>
    <s v="8328772283"/>
    <n v="4.4999999999999998E-2"/>
    <n v="145"/>
    <x v="0"/>
    <m/>
    <s v="2025-12-03"/>
    <s v="281285"/>
    <s v="Bhabani Prosad Chattopadhy"/>
    <s v="7548026544"/>
  </r>
  <r>
    <s v="RCF Trombay"/>
    <s v="N.C.Urea(45kg)"/>
    <s v="WB"/>
    <x v="15"/>
    <s v="Kalyani"/>
    <s v="User Not Mapped"/>
    <s v="User Not Mapped"/>
    <s v="User Not Mapped"/>
    <n v="1572412"/>
    <s v="GHOSH FERTILIZER "/>
    <s v="Private Retailer"/>
    <s v="8328772283"/>
    <n v="0.9"/>
    <n v="71"/>
    <x v="2"/>
    <m/>
    <s v="2026-02-15"/>
    <s v="281285"/>
    <s v="Bhabani Prosad Chattopadhy"/>
    <s v="7548026544"/>
  </r>
  <r>
    <s v="RCF Import"/>
    <s v="MOP"/>
    <s v="WB"/>
    <x v="15"/>
    <s v="Kalyani"/>
    <s v="User Not Mapped"/>
    <s v="User Not Mapped"/>
    <s v="User Not Mapped"/>
    <n v="1572412"/>
    <s v="GHOSH FERTILIZER "/>
    <s v="Private Retailer"/>
    <s v="8328772283"/>
    <n v="0.5"/>
    <n v="57"/>
    <x v="1"/>
    <m/>
    <s v="2026-03-01"/>
    <s v="281285"/>
    <s v="Bhabani Prosad Chattopadhy"/>
    <s v="7548026544"/>
  </r>
  <r>
    <s v="RCF Trombay"/>
    <s v="15-15-15"/>
    <s v="WB"/>
    <x v="15"/>
    <s v="Kalyani"/>
    <s v="User Not Mapped"/>
    <s v="User Not Mapped"/>
    <s v="User Not Mapped"/>
    <n v="1613095"/>
    <s v="GREEN ENTERPRISE"/>
    <s v="Private Retailer"/>
    <s v="9547777017"/>
    <n v="0.95"/>
    <n v="87"/>
    <x v="2"/>
    <m/>
    <s v="2026-01-30"/>
    <s v="260209"/>
    <s v="M/S SUNIL KUMAR SAHA       "/>
    <s v="9434110995"/>
  </r>
  <r>
    <s v="RCF Trombay"/>
    <s v="15-15-15"/>
    <s v="WB"/>
    <x v="15"/>
    <s v="Kalyani"/>
    <s v="User Not Mapped"/>
    <s v="User Not Mapped"/>
    <s v="User Not Mapped"/>
    <n v="1613095"/>
    <s v="GREEN ENTERPRISE"/>
    <s v="Private Retailer"/>
    <s v="9547777017"/>
    <n v="0.25"/>
    <n v="81"/>
    <x v="2"/>
    <m/>
    <s v="2026-02-05"/>
    <s v="260209"/>
    <s v="M/S SUNIL KUMAR SAHA       "/>
    <s v="9434110995"/>
  </r>
  <r>
    <s v="RCF Trombay"/>
    <s v="15-15-15"/>
    <s v="WB"/>
    <x v="15"/>
    <s v="Karimpur - I"/>
    <s v="User Not Mapped"/>
    <s v="User Not Mapped"/>
    <s v="User Not Mapped"/>
    <n v="224367"/>
    <s v="Abdul Hannan Shaikh"/>
    <s v="Private Retailer"/>
    <s v="9635560297"/>
    <n v="0.5"/>
    <n v="150"/>
    <x v="0"/>
    <m/>
    <s v="2025-11-28"/>
    <s v="342772"/>
    <s v="Subir Kumar Biswas"/>
    <s v="9932631270"/>
  </r>
  <r>
    <s v="RCF Trombay"/>
    <s v="15-15-15"/>
    <s v="WB"/>
    <x v="15"/>
    <s v="Karimpur - I"/>
    <s v="User Not Mapped"/>
    <s v="User Not Mapped"/>
    <s v="User Not Mapped"/>
    <n v="243928"/>
    <s v="Tarapur Skus Ltd"/>
    <s v="PACS"/>
    <s v="9733143363"/>
    <n v="7"/>
    <n v="144"/>
    <x v="0"/>
    <m/>
    <s v="2025-12-04"/>
    <s v="888407"/>
    <s v="MAA FERTILIZER"/>
    <s v="9800042039"/>
  </r>
  <r>
    <s v="RCF Trombay"/>
    <s v="15-15-15"/>
    <s v="WB"/>
    <x v="15"/>
    <s v="Karimpur - I"/>
    <s v="User Not Mapped"/>
    <s v="User Not Mapped"/>
    <s v="User Not Mapped"/>
    <n v="340738"/>
    <s v="Ajoy Das Bairagya"/>
    <s v="Private Retailer"/>
    <s v="9593147058"/>
    <n v="0.55000000000000004"/>
    <n v="709"/>
    <x v="7"/>
    <m/>
    <s v="2024-05-18"/>
    <s v="888407"/>
    <s v="MAA FERTILIZER"/>
    <s v="9800042039"/>
  </r>
  <r>
    <s v="RCF Trombay"/>
    <s v="15-15-15"/>
    <s v="WB"/>
    <x v="15"/>
    <s v="Karimpur - I"/>
    <s v="User Not Mapped"/>
    <s v="User Not Mapped"/>
    <s v="User Not Mapped"/>
    <n v="340788"/>
    <s v="Amit  Mondal"/>
    <s v="Private Retailer"/>
    <s v="9564383858"/>
    <n v="1.4"/>
    <n v="86"/>
    <x v="2"/>
    <m/>
    <s v="2026-01-31"/>
    <s v="888407"/>
    <s v="MAA FERTILIZER"/>
    <s v="9800042039"/>
  </r>
  <r>
    <s v="RCF Trombay"/>
    <s v="15-15-15"/>
    <s v="WB"/>
    <x v="15"/>
    <s v="Karimpur - I"/>
    <s v="User Not Mapped"/>
    <s v="User Not Mapped"/>
    <s v="User Not Mapped"/>
    <n v="341530"/>
    <s v="Janadev Kundu"/>
    <s v="Private Retailer"/>
    <s v="9775234966"/>
    <n v="0.05"/>
    <n v="150"/>
    <x v="0"/>
    <m/>
    <s v="2025-11-28"/>
    <s v="342772"/>
    <s v="Subir Kumar Biswas"/>
    <s v="9932631270"/>
  </r>
  <r>
    <s v="RCF Trombay"/>
    <s v="15-15-15"/>
    <s v="WB"/>
    <x v="15"/>
    <s v="Karimpur - I"/>
    <s v="User Not Mapped"/>
    <s v="User Not Mapped"/>
    <s v="User Not Mapped"/>
    <n v="341530"/>
    <s v="Janadev Kundu"/>
    <s v="Private Retailer"/>
    <s v="9775234966"/>
    <n v="1.75"/>
    <n v="45"/>
    <x v="1"/>
    <m/>
    <s v="2026-03-13"/>
    <s v="342772"/>
    <s v="Subir Kumar Biswas"/>
    <s v="9932631270"/>
  </r>
  <r>
    <s v="RCF Import"/>
    <s v="Imp 10-26-26"/>
    <s v="WB"/>
    <x v="15"/>
    <s v="Karimpur - I"/>
    <s v="User Not Mapped"/>
    <s v="User Not Mapped"/>
    <s v="User Not Mapped"/>
    <n v="342776"/>
    <s v="Uttam  Kumar  Das"/>
    <s v="Private Retailer"/>
    <s v="9733656210"/>
    <n v="0.6"/>
    <n v="300"/>
    <x v="3"/>
    <m/>
    <s v="2025-07-01"/>
    <s v="888407"/>
    <s v="MAA FERTILIZER"/>
    <s v="9800042039"/>
  </r>
  <r>
    <s v="RCF Import"/>
    <s v="Imp 10-26-26"/>
    <s v="WB"/>
    <x v="15"/>
    <s v="Karimpur - I"/>
    <s v="User Not Mapped"/>
    <s v="User Not Mapped"/>
    <s v="User Not Mapped"/>
    <n v="342776"/>
    <s v="Uttam  Kumar  Das"/>
    <s v="Private Retailer"/>
    <s v="9733656210"/>
    <n v="3"/>
    <n v="44"/>
    <x v="1"/>
    <m/>
    <s v="2026-03-14"/>
    <s v="888407"/>
    <s v="MAA FERTILIZER"/>
    <s v="9800042039"/>
  </r>
  <r>
    <s v="RCF Trombay"/>
    <s v="15-15-15"/>
    <s v="WB"/>
    <x v="15"/>
    <s v="Karimpur - I"/>
    <s v="User Not Mapped"/>
    <s v="User Not Mapped"/>
    <s v="User Not Mapped"/>
    <n v="356372"/>
    <s v="Sonatan Mondal "/>
    <s v="Private Retailer"/>
    <s v="9679322287"/>
    <n v="0.5"/>
    <n v="180"/>
    <x v="0"/>
    <m/>
    <s v="2025-10-29"/>
    <s v="888407"/>
    <s v="MAA FERTILIZER"/>
    <s v="9800042039"/>
  </r>
  <r>
    <s v="RCF Trombay"/>
    <s v="15-15-15"/>
    <s v="WB"/>
    <x v="15"/>
    <s v="Karimpur - I"/>
    <s v="User Not Mapped"/>
    <s v="User Not Mapped"/>
    <s v="User Not Mapped"/>
    <n v="356386"/>
    <s v="Suresh Ch. Mondal and Sons"/>
    <s v="Private Retailer"/>
    <s v="9732557103"/>
    <n v="1.6"/>
    <n v="212"/>
    <x v="3"/>
    <m/>
    <s v="2025-09-27"/>
    <s v="888407"/>
    <s v="MAA FERTILIZER"/>
    <s v="9800042039"/>
  </r>
  <r>
    <s v="RCF Trombay"/>
    <s v="15-15-15"/>
    <s v="WB"/>
    <x v="15"/>
    <s v="Karimpur - I"/>
    <s v="User Not Mapped"/>
    <s v="User Not Mapped"/>
    <s v="User Not Mapped"/>
    <n v="356386"/>
    <s v="Suresh Ch. Mondal and Sons"/>
    <s v="Private Retailer"/>
    <s v="9732557103"/>
    <n v="5"/>
    <n v="86"/>
    <x v="2"/>
    <m/>
    <s v="2026-01-31"/>
    <s v="888407"/>
    <s v="MAA FERTILIZER"/>
    <s v="9800042039"/>
  </r>
  <r>
    <s v="RCF Thal"/>
    <s v="N.C.Urea(45kg)"/>
    <s v="WB"/>
    <x v="15"/>
    <s v="Karimpur - I"/>
    <s v="User Not Mapped"/>
    <s v="User Not Mapped"/>
    <s v="User Not Mapped"/>
    <n v="387455"/>
    <s v="Niharendu Saha"/>
    <s v="Private Retailer"/>
    <s v="8918645244"/>
    <n v="8.91"/>
    <n v="23"/>
    <x v="4"/>
    <m/>
    <s v="2026-04-04"/>
    <s v="260179"/>
    <s v="Tarun Kumar Saha"/>
    <s v="8116312974"/>
  </r>
  <r>
    <s v="RCF Trombay"/>
    <s v="15-15-15"/>
    <s v="WB"/>
    <x v="15"/>
    <s v="Karimpur - I"/>
    <s v="User Not Mapped"/>
    <s v="User Not Mapped"/>
    <s v="User Not Mapped"/>
    <n v="387455"/>
    <s v="Niharendu Saha"/>
    <s v="Private Retailer"/>
    <s v="8918645244"/>
    <n v="9.8000000000000007"/>
    <n v="110"/>
    <x v="5"/>
    <m/>
    <s v="2026-01-07"/>
    <s v="888407"/>
    <s v="MAA FERTILIZER"/>
    <s v="9800042039"/>
  </r>
  <r>
    <s v="RCF Thal"/>
    <s v="N.C.Urea(45kg)"/>
    <s v="WB"/>
    <x v="15"/>
    <s v="Karimpur - I"/>
    <s v="User Not Mapped"/>
    <s v="User Not Mapped"/>
    <s v="User Not Mapped"/>
    <n v="387455"/>
    <s v="Niharendu Saha"/>
    <s v="Private Retailer"/>
    <s v="8918645244"/>
    <n v="9.99"/>
    <n v="23"/>
    <x v="4"/>
    <m/>
    <s v="2026-04-04"/>
    <s v="259034"/>
    <s v="MS Guha And Co"/>
    <s v="8695359505"/>
  </r>
  <r>
    <s v="RCF Trombay"/>
    <s v="15-15-15"/>
    <s v="WB"/>
    <x v="15"/>
    <s v="Karimpur - I"/>
    <s v="User Not Mapped"/>
    <s v="User Not Mapped"/>
    <s v="User Not Mapped"/>
    <n v="387479"/>
    <s v="Swapan Kr Mondal"/>
    <s v="Private Retailer"/>
    <s v="9732628673"/>
    <n v="2.35"/>
    <n v="212"/>
    <x v="3"/>
    <m/>
    <s v="2025-09-27"/>
    <s v="888407"/>
    <s v="MAA FERTILIZER"/>
    <s v="9800042039"/>
  </r>
  <r>
    <s v="RCF Trombay"/>
    <s v="15-15-15"/>
    <s v="WB"/>
    <x v="15"/>
    <s v="Karimpur - I"/>
    <s v="User Not Mapped"/>
    <s v="User Not Mapped"/>
    <s v="User Not Mapped"/>
    <n v="411638"/>
    <s v="Manotosh Biswas"/>
    <s v="Private Retailer"/>
    <s v="9775159802"/>
    <n v="0.65"/>
    <n v="212"/>
    <x v="3"/>
    <m/>
    <s v="2025-09-27"/>
    <s v="888407"/>
    <s v="MAA FERTILIZER"/>
    <s v="9800042039"/>
  </r>
  <r>
    <s v="RCF Trombay"/>
    <s v="N.C.Urea(45kg)"/>
    <s v="WB"/>
    <x v="15"/>
    <s v="Karimpur - I"/>
    <s v="User Not Mapped"/>
    <s v="User Not Mapped"/>
    <s v="User Not Mapped"/>
    <n v="464412"/>
    <s v="Dokari Mondol"/>
    <s v="Private Retailer"/>
    <s v="8670487768"/>
    <n v="0.81"/>
    <n v="1213"/>
    <x v="7"/>
    <m/>
    <s v="2022-12-31"/>
    <s v="1258420"/>
    <s v="M.A.C COMPANY"/>
    <s v="9433152053"/>
  </r>
  <r>
    <s v="RCF Trombay"/>
    <s v="15-15-15"/>
    <s v="WB"/>
    <x v="15"/>
    <s v="Karimpur - I"/>
    <s v="User Not Mapped"/>
    <s v="User Not Mapped"/>
    <s v="User Not Mapped"/>
    <n v="464412"/>
    <s v="Dokari Mondol"/>
    <s v="Private Retailer"/>
    <s v="8670487768"/>
    <n v="1.5"/>
    <n v="880"/>
    <x v="7"/>
    <m/>
    <s v="2023-11-29"/>
    <s v="549643"/>
    <s v="M/S RATAN BISWAS"/>
    <s v="8617364808"/>
  </r>
  <r>
    <s v="RCF Trombay"/>
    <s v="15-15-15"/>
    <s v="WB"/>
    <x v="15"/>
    <s v="Karimpur - I"/>
    <s v="User Not Mapped"/>
    <s v="User Not Mapped"/>
    <s v="User Not Mapped"/>
    <n v="464412"/>
    <s v="Dokari Mondol"/>
    <s v="Private Retailer"/>
    <s v="8670487768"/>
    <n v="1"/>
    <n v="869"/>
    <x v="7"/>
    <m/>
    <s v="2023-12-10"/>
    <s v="281284"/>
    <s v="Sadhan Kumar Ghosh"/>
    <s v="7602136568"/>
  </r>
  <r>
    <s v="RCF Trombay"/>
    <s v="15-15-15"/>
    <s v="WB"/>
    <x v="15"/>
    <s v="Karimpur - I"/>
    <s v="User Not Mapped"/>
    <s v="User Not Mapped"/>
    <s v="User Not Mapped"/>
    <n v="464412"/>
    <s v="Dokari Mondol"/>
    <s v="Private Retailer"/>
    <s v="8670487768"/>
    <n v="4.8499999999999996"/>
    <n v="912"/>
    <x v="7"/>
    <m/>
    <s v="2023-10-28"/>
    <s v="260177"/>
    <s v="SatyaRanjan Kundu and Brothers"/>
    <s v="7908186730"/>
  </r>
  <r>
    <s v="RCF Trombay"/>
    <s v="15-15-15"/>
    <s v="WB"/>
    <x v="15"/>
    <s v="Karimpur - I"/>
    <s v="User Not Mapped"/>
    <s v="User Not Mapped"/>
    <s v="User Not Mapped"/>
    <n v="482924"/>
    <s v="Jahurul Biswas"/>
    <s v="Private Retailer"/>
    <s v="9735254501"/>
    <n v="1.5"/>
    <n v="155"/>
    <x v="0"/>
    <m/>
    <s v="2025-11-23"/>
    <s v="342772"/>
    <s v="Subir Kumar Biswas"/>
    <s v="9932631270"/>
  </r>
  <r>
    <s v="RCF Trombay"/>
    <s v="15-15-15"/>
    <s v="WB"/>
    <x v="15"/>
    <s v="Karimpur - I"/>
    <s v="User Not Mapped"/>
    <s v="User Not Mapped"/>
    <s v="User Not Mapped"/>
    <n v="490675"/>
    <s v="RAJU BISWAS"/>
    <s v="Private Retailer"/>
    <s v="7797876252"/>
    <n v="1"/>
    <n v="68"/>
    <x v="2"/>
    <m/>
    <s v="2026-02-18"/>
    <s v="260202"/>
    <s v="MS S K DUTTA"/>
    <s v="9832802581"/>
  </r>
  <r>
    <s v="RCF Thal"/>
    <s v="N.C.Urea(45kg)"/>
    <s v="WB"/>
    <x v="15"/>
    <s v="Karimpur - I"/>
    <s v="User Not Mapped"/>
    <s v="User Not Mapped"/>
    <s v="User Not Mapped"/>
    <n v="490675"/>
    <s v="RAJU BISWAS"/>
    <s v="Private Retailer"/>
    <s v="7797876252"/>
    <n v="0.45"/>
    <n v="7"/>
    <x v="4"/>
    <m/>
    <s v="2026-04-20"/>
    <s v="260202"/>
    <s v="MS S K DUTTA"/>
    <s v="9832802581"/>
  </r>
  <r>
    <s v="RCF Thal"/>
    <s v="N.C.Urea(45kg)"/>
    <s v="WB"/>
    <x v="15"/>
    <s v="Karimpur - I"/>
    <s v="User Not Mapped"/>
    <s v="User Not Mapped"/>
    <s v="User Not Mapped"/>
    <n v="490675"/>
    <s v="RAJU BISWAS"/>
    <s v="Private Retailer"/>
    <s v="7797876252"/>
    <n v="0.45"/>
    <n v="18"/>
    <x v="4"/>
    <m/>
    <s v="2026-04-09"/>
    <s v="260202"/>
    <s v="MS S K DUTTA"/>
    <s v="9832802581"/>
  </r>
  <r>
    <s v="RCF Thal"/>
    <s v="N.C.Urea(45kg)"/>
    <s v="WB"/>
    <x v="15"/>
    <s v="Karimpur - I"/>
    <s v="User Not Mapped"/>
    <s v="User Not Mapped"/>
    <s v="User Not Mapped"/>
    <n v="517561"/>
    <s v="BISWAJIT SAHA"/>
    <s v="Private Retailer"/>
    <s v="7074375038"/>
    <n v="1.44"/>
    <n v="14"/>
    <x v="4"/>
    <m/>
    <s v="2026-04-13"/>
    <s v="939069"/>
    <s v="BIRENDRA NATH SAHA AND  SON"/>
    <s v="7074375038"/>
  </r>
  <r>
    <s v="RCF Trombay"/>
    <s v="15-15-15"/>
    <s v="WB"/>
    <x v="15"/>
    <s v="Karimpur - I"/>
    <s v="User Not Mapped"/>
    <s v="User Not Mapped"/>
    <s v="User Not Mapped"/>
    <n v="517972"/>
    <s v="M/S Sanjoy Dey"/>
    <s v="Private Retailer"/>
    <s v="9734760437"/>
    <n v="0.7"/>
    <n v="696"/>
    <x v="7"/>
    <m/>
    <s v="2024-05-31"/>
    <s v="888407"/>
    <s v="MAA FERTILIZER"/>
    <s v="9800042039"/>
  </r>
  <r>
    <s v="RCF Trombay"/>
    <s v="15-15-15"/>
    <s v="WB"/>
    <x v="15"/>
    <s v="Karimpur - I"/>
    <s v="User Not Mapped"/>
    <s v="User Not Mapped"/>
    <s v="User Not Mapped"/>
    <n v="531884"/>
    <s v="Avijit Biswas"/>
    <s v="Private Retailer"/>
    <s v="9732735921"/>
    <n v="2.5"/>
    <n v="86"/>
    <x v="2"/>
    <m/>
    <s v="2026-01-31"/>
    <s v="888407"/>
    <s v="MAA FERTILIZER"/>
    <s v="9800042039"/>
  </r>
  <r>
    <s v="RCF Trombay"/>
    <s v="15-15-15"/>
    <s v="WB"/>
    <x v="15"/>
    <s v="Karimpur - I"/>
    <s v="User Not Mapped"/>
    <s v="User Not Mapped"/>
    <s v="User Not Mapped"/>
    <n v="531892"/>
    <s v="Utpal Joarder "/>
    <s v="Private Retailer"/>
    <s v="9732980642"/>
    <n v="0.3"/>
    <n v="696"/>
    <x v="7"/>
    <m/>
    <s v="2024-05-31"/>
    <s v="888407"/>
    <s v="MAA FERTILIZER"/>
    <s v="9800042039"/>
  </r>
  <r>
    <s v="RCF Trombay"/>
    <s v="15-15-15"/>
    <s v="WB"/>
    <x v="15"/>
    <s v="Karimpur - I"/>
    <s v="User Not Mapped"/>
    <s v="User Not Mapped"/>
    <s v="User Not Mapped"/>
    <n v="531892"/>
    <s v="Utpal Joarder "/>
    <s v="Private Retailer"/>
    <s v="9732980642"/>
    <n v="5"/>
    <n v="144"/>
    <x v="0"/>
    <m/>
    <s v="2025-12-04"/>
    <s v="888407"/>
    <s v="MAA FERTILIZER"/>
    <s v="9800042039"/>
  </r>
  <r>
    <s v="RCF Thal"/>
    <s v="N.C.Urea(45kg)"/>
    <s v="WB"/>
    <x v="15"/>
    <s v="Karimpur - I"/>
    <s v="User Not Mapped"/>
    <s v="User Not Mapped"/>
    <s v="User Not Mapped"/>
    <n v="549657"/>
    <s v="Brojo Gopal Nath"/>
    <s v="Private Retailer"/>
    <s v="9002728328"/>
    <n v="4.3650000000000002"/>
    <n v="1255"/>
    <x v="7"/>
    <m/>
    <s v="2022-11-19"/>
    <s v="260178"/>
    <s v="M/s. Uttamendu Sarkar"/>
    <s v="9002483836"/>
  </r>
  <r>
    <s v="RCF Import"/>
    <s v="Imp 10-26-26"/>
    <s v="WB"/>
    <x v="15"/>
    <s v="Karimpur - I"/>
    <s v="User Not Mapped"/>
    <s v="User Not Mapped"/>
    <s v="User Not Mapped"/>
    <n v="635295"/>
    <s v="ASRAFUL KHAN"/>
    <s v="Private Retailer"/>
    <s v="9732551119"/>
    <n v="1"/>
    <n v="44"/>
    <x v="1"/>
    <m/>
    <s v="2026-03-14"/>
    <s v="888407"/>
    <s v="MAA FERTILIZER"/>
    <s v="9800042039"/>
  </r>
  <r>
    <s v="RCF Trombay"/>
    <s v="15-15-15"/>
    <s v="WB"/>
    <x v="15"/>
    <s v="Karimpur - I"/>
    <s v="User Not Mapped"/>
    <s v="User Not Mapped"/>
    <s v="User Not Mapped"/>
    <n v="635325"/>
    <s v="HIMANGSHU GHOSH"/>
    <s v="Private Retailer"/>
    <s v="9564535998"/>
    <n v="0.2"/>
    <n v="212"/>
    <x v="3"/>
    <m/>
    <s v="2025-09-27"/>
    <s v="888407"/>
    <s v="MAA FERTILIZER"/>
    <s v="9800042039"/>
  </r>
  <r>
    <s v="RCF Trombay"/>
    <s v="15-15-15"/>
    <s v="WB"/>
    <x v="15"/>
    <s v="Karimpur - I"/>
    <s v="User Not Mapped"/>
    <s v="User Not Mapped"/>
    <s v="User Not Mapped"/>
    <n v="759575"/>
    <s v="BIKASH MISTRY"/>
    <s v="Private Retailer"/>
    <s v="9732825875"/>
    <n v="0.05"/>
    <n v="180"/>
    <x v="0"/>
    <m/>
    <s v="2025-10-29"/>
    <s v="888407"/>
    <s v="MAA FERTILIZER"/>
    <s v="9800042039"/>
  </r>
  <r>
    <s v="RCF Trombay"/>
    <s v="15-15-15"/>
    <s v="WB"/>
    <x v="15"/>
    <s v="Karimpur - I"/>
    <s v="User Not Mapped"/>
    <s v="User Not Mapped"/>
    <s v="User Not Mapped"/>
    <n v="774805"/>
    <s v="ANARUL SEKH"/>
    <s v="Private Retailer"/>
    <s v="9734635098"/>
    <n v="0.75"/>
    <n v="311"/>
    <x v="3"/>
    <m/>
    <s v="2025-06-20"/>
    <s v="342772"/>
    <s v="Subir Kumar Biswas"/>
    <s v="9932631270"/>
  </r>
  <r>
    <s v="RCF Thal"/>
    <s v="N.C.Urea(45kg)"/>
    <s v="WB"/>
    <x v="15"/>
    <s v="Karimpur - I"/>
    <s v="User Not Mapped"/>
    <s v="User Not Mapped"/>
    <s v="User Not Mapped"/>
    <n v="774864"/>
    <s v="MANIRUL MANDAL"/>
    <s v="Private Retailer"/>
    <s v="8145235383"/>
    <n v="8.8650000000000002"/>
    <n v="278"/>
    <x v="3"/>
    <m/>
    <s v="2025-07-23"/>
    <s v="260177"/>
    <s v="SatyaRanjan Kundu and Brothers"/>
    <s v="7908186730"/>
  </r>
  <r>
    <s v="RCF Trombay"/>
    <s v="15-15-15"/>
    <s v="WB"/>
    <x v="15"/>
    <s v="Karimpur - I"/>
    <s v="User Not Mapped"/>
    <s v="User Not Mapped"/>
    <s v="User Not Mapped"/>
    <n v="920027"/>
    <s v="ANIMESH BISWAS"/>
    <s v="Private Retailer"/>
    <s v="7585999027"/>
    <n v="1.75"/>
    <n v="180"/>
    <x v="0"/>
    <m/>
    <s v="2025-10-29"/>
    <s v="888407"/>
    <s v="MAA FERTILIZER"/>
    <s v="9800042039"/>
  </r>
  <r>
    <s v="RCF Trombay"/>
    <s v="15-15-15"/>
    <s v="WB"/>
    <x v="15"/>
    <s v="Karimpur - I"/>
    <s v="User Not Mapped"/>
    <s v="User Not Mapped"/>
    <s v="User Not Mapped"/>
    <n v="920958"/>
    <s v="RAKESH SAHA"/>
    <s v="Private Retailer"/>
    <s v="9647155067"/>
    <n v="0.6"/>
    <n v="532"/>
    <x v="6"/>
    <m/>
    <s v="2024-11-11"/>
    <s v="888407"/>
    <s v="MAA FERTILIZER"/>
    <s v="9800042039"/>
  </r>
  <r>
    <s v="RCF Trombay"/>
    <s v="15-15-15"/>
    <s v="WB"/>
    <x v="15"/>
    <s v="Karimpur - I"/>
    <s v="User Not Mapped"/>
    <s v="User Not Mapped"/>
    <s v="User Not Mapped"/>
    <n v="1004353"/>
    <s v="KIRITI ROY"/>
    <s v="Private Retailer"/>
    <s v="9647333552"/>
    <n v="0.21"/>
    <n v="212"/>
    <x v="3"/>
    <m/>
    <s v="2025-09-27"/>
    <s v="888407"/>
    <s v="MAA FERTILIZER"/>
    <s v="9800042039"/>
  </r>
  <r>
    <s v="RCF Thal"/>
    <s v="N.C.Urea(45kg)"/>
    <s v="WB"/>
    <x v="15"/>
    <s v="Karimpur - I"/>
    <s v="User Not Mapped"/>
    <s v="User Not Mapped"/>
    <s v="User Not Mapped"/>
    <n v="1004353"/>
    <s v="KIRITI ROY"/>
    <s v="Private Retailer"/>
    <s v="9647333552"/>
    <n v="2.7450000000000001"/>
    <n v="2"/>
    <x v="4"/>
    <m/>
    <s v="2026-04-25"/>
    <s v="280729"/>
    <s v="M/s. Naresh Chandra Das"/>
    <s v="7365868045"/>
  </r>
  <r>
    <s v="RCF Trombay"/>
    <s v="15-15-15"/>
    <s v="WB"/>
    <x v="15"/>
    <s v="Karimpur - I"/>
    <s v="User Not Mapped"/>
    <s v="User Not Mapped"/>
    <s v="User Not Mapped"/>
    <n v="1004369"/>
    <s v="PRAKASH MONDAL"/>
    <s v="Private Retailer"/>
    <s v="7364029921"/>
    <n v="0.5"/>
    <n v="251"/>
    <x v="3"/>
    <m/>
    <s v="2025-08-19"/>
    <s v="260202"/>
    <s v="MS S K DUTTA"/>
    <s v="9832802581"/>
  </r>
  <r>
    <s v="RCF Trombay"/>
    <s v="15-15-15"/>
    <s v="WB"/>
    <x v="15"/>
    <s v="Karimpur - I"/>
    <s v="User Not Mapped"/>
    <s v="User Not Mapped"/>
    <s v="User Not Mapped"/>
    <n v="1004369"/>
    <s v="PRAKASH MONDAL"/>
    <s v="Private Retailer"/>
    <s v="7364029921"/>
    <n v="0.05"/>
    <n v="445"/>
    <x v="6"/>
    <m/>
    <s v="2025-02-06"/>
    <s v="260202"/>
    <s v="MS S K DUTTA"/>
    <s v="9832802581"/>
  </r>
  <r>
    <s v="RCF Trombay"/>
    <s v="15-15-15"/>
    <s v="WB"/>
    <x v="15"/>
    <s v="Karimpur - I"/>
    <s v="User Not Mapped"/>
    <s v="User Not Mapped"/>
    <s v="User Not Mapped"/>
    <n v="1004373"/>
    <s v="BIKASH PRAMANIK"/>
    <s v="Private Retailer"/>
    <s v="9735632610"/>
    <n v="0.3"/>
    <n v="180"/>
    <x v="0"/>
    <m/>
    <s v="2025-10-29"/>
    <s v="888407"/>
    <s v="MAA FERTILIZER"/>
    <s v="9800042039"/>
  </r>
  <r>
    <s v="RCF Thal"/>
    <s v="N.C.Urea(45kg)"/>
    <s v="WB"/>
    <x v="15"/>
    <s v="Karimpur - I"/>
    <s v="User Not Mapped"/>
    <s v="User Not Mapped"/>
    <s v="User Not Mapped"/>
    <n v="1004420"/>
    <s v="SWAPAN KUMAR BISWAS"/>
    <s v="Private Retailer"/>
    <s v="8944003666"/>
    <n v="1.125"/>
    <n v="92"/>
    <x v="5"/>
    <m/>
    <s v="2026-01-25"/>
    <s v="939069"/>
    <s v="BIRENDRA NATH SAHA AND  SON"/>
    <s v="7074375038"/>
  </r>
  <r>
    <s v="RCF Thal"/>
    <s v="N.C.Urea(45kg)"/>
    <s v="WB"/>
    <x v="15"/>
    <s v="Karimpur - I"/>
    <s v="User Not Mapped"/>
    <s v="User Not Mapped"/>
    <s v="User Not Mapped"/>
    <n v="1004426"/>
    <s v="SAJAHAN SHAIKH"/>
    <s v="Private Retailer"/>
    <s v="9564396922"/>
    <n v="1.125"/>
    <n v="92"/>
    <x v="5"/>
    <m/>
    <s v="2026-01-25"/>
    <s v="939069"/>
    <s v="BIRENDRA NATH SAHA AND  SON"/>
    <s v="7074375038"/>
  </r>
  <r>
    <s v="RCF Trombay"/>
    <s v="15-15-15"/>
    <s v="WB"/>
    <x v="15"/>
    <s v="Karimpur - I"/>
    <s v="User Not Mapped"/>
    <s v="User Not Mapped"/>
    <s v="User Not Mapped"/>
    <n v="1062181"/>
    <s v="BAPPADITYA BISWAS"/>
    <s v="Private Retailer"/>
    <s v="9734557826"/>
    <n v="0.1"/>
    <n v="33"/>
    <x v="1"/>
    <m/>
    <s v="2026-03-25"/>
    <s v="342772"/>
    <s v="Subir Kumar Biswas"/>
    <s v="9932631270"/>
  </r>
  <r>
    <s v="RCF Trombay"/>
    <s v="15-15-15"/>
    <s v="WB"/>
    <x v="15"/>
    <s v="Karimpur - I"/>
    <s v="User Not Mapped"/>
    <s v="User Not Mapped"/>
    <s v="User Not Mapped"/>
    <n v="1062181"/>
    <s v="BAPPADITYA BISWAS"/>
    <s v="Private Retailer"/>
    <s v="9734557826"/>
    <n v="0.5"/>
    <n v="44"/>
    <x v="1"/>
    <m/>
    <s v="2026-03-14"/>
    <s v="342772"/>
    <s v="Subir Kumar Biswas"/>
    <s v="9932631270"/>
  </r>
  <r>
    <s v="RCF Trombay"/>
    <s v="15-15-15"/>
    <s v="WB"/>
    <x v="15"/>
    <s v="Karimpur - I"/>
    <s v="User Not Mapped"/>
    <s v="User Not Mapped"/>
    <s v="User Not Mapped"/>
    <n v="1062181"/>
    <s v="BAPPADITYA BISWAS"/>
    <s v="Private Retailer"/>
    <s v="9734557826"/>
    <n v="0.4"/>
    <n v="151"/>
    <x v="0"/>
    <m/>
    <s v="2025-11-27"/>
    <s v="342772"/>
    <s v="Subir Kumar Biswas"/>
    <s v="9932631270"/>
  </r>
  <r>
    <s v="RCF Trombay"/>
    <s v="15-15-15"/>
    <s v="WB"/>
    <x v="15"/>
    <s v="Karimpur - I"/>
    <s v="User Not Mapped"/>
    <s v="User Not Mapped"/>
    <s v="User Not Mapped"/>
    <n v="1062376"/>
    <s v="ASRAFUL MONDAL"/>
    <s v="Private Retailer"/>
    <s v="8371042708"/>
    <n v="0.3"/>
    <n v="357"/>
    <x v="3"/>
    <m/>
    <s v="2025-05-05"/>
    <s v="342772"/>
    <s v="Subir Kumar Biswas"/>
    <s v="9932631270"/>
  </r>
  <r>
    <s v="RCF Trombay"/>
    <s v="15-15-15"/>
    <s v="WB"/>
    <x v="15"/>
    <s v="Karimpur - I"/>
    <s v="User Not Mapped"/>
    <s v="User Not Mapped"/>
    <s v="User Not Mapped"/>
    <n v="1062430"/>
    <s v="NABA KUMAR GHOSH"/>
    <s v="Private Retailer"/>
    <s v="9735299354"/>
    <n v="0.2"/>
    <n v="532"/>
    <x v="6"/>
    <m/>
    <s v="2024-11-11"/>
    <s v="888407"/>
    <s v="MAA FERTILIZER"/>
    <s v="9800042039"/>
  </r>
  <r>
    <s v="RCF Thal"/>
    <s v="N.C.Urea(45kg)"/>
    <s v="WB"/>
    <x v="15"/>
    <s v="Karimpur - I"/>
    <s v="User Not Mapped"/>
    <s v="User Not Mapped"/>
    <s v="User Not Mapped"/>
    <n v="1132991"/>
    <s v="MANAJ MANDAL"/>
    <s v="Private Retailer"/>
    <s v="9609959787"/>
    <n v="0.09"/>
    <n v="1249"/>
    <x v="7"/>
    <m/>
    <s v="2022-11-25"/>
    <s v="260177"/>
    <s v="SatyaRanjan Kundu and Brothers"/>
    <s v="7908186730"/>
  </r>
  <r>
    <s v="RCF Thal"/>
    <s v="N.C.Urea(45kg)"/>
    <s v="WB"/>
    <x v="15"/>
    <s v="Karimpur - I"/>
    <s v="User Not Mapped"/>
    <s v="User Not Mapped"/>
    <s v="User Not Mapped"/>
    <n v="1132999"/>
    <s v="SALIMUDDIN SHAIKH"/>
    <s v="Private Retailer"/>
    <s v="9593153849"/>
    <n v="0.9"/>
    <n v="20"/>
    <x v="4"/>
    <m/>
    <s v="2026-04-07"/>
    <s v="280729"/>
    <s v="M/s. Naresh Chandra Das"/>
    <s v="7365868045"/>
  </r>
  <r>
    <s v="RCF Trombay"/>
    <s v="15-15-15"/>
    <s v="WB"/>
    <x v="15"/>
    <s v="Karimpur - I"/>
    <s v="User Not Mapped"/>
    <s v="User Not Mapped"/>
    <s v="User Not Mapped"/>
    <n v="1368110"/>
    <s v="SUMAN MANDAL"/>
    <s v="Private Retailer"/>
    <s v="7699402273"/>
    <n v="0.05"/>
    <n v="270"/>
    <x v="3"/>
    <m/>
    <s v="2025-07-31"/>
    <s v="888407"/>
    <s v="MAA FERTILIZER"/>
    <s v="9800042039"/>
  </r>
  <r>
    <s v="RCF Trombay"/>
    <s v="15-15-15"/>
    <s v="WB"/>
    <x v="15"/>
    <s v="Karimpur - I"/>
    <s v="User Not Mapped"/>
    <s v="User Not Mapped"/>
    <s v="User Not Mapped"/>
    <n v="1368110"/>
    <s v="SUMAN MANDAL"/>
    <s v="Private Retailer"/>
    <s v="7699402273"/>
    <n v="0.75"/>
    <n v="74"/>
    <x v="2"/>
    <m/>
    <s v="2026-02-12"/>
    <s v="342772"/>
    <s v="Subir Kumar Biswas"/>
    <s v="9932631270"/>
  </r>
  <r>
    <s v="RCF Trombay"/>
    <s v="15-15-15"/>
    <s v="WB"/>
    <x v="15"/>
    <s v="Karimpur - I"/>
    <s v="User Not Mapped"/>
    <s v="User Not Mapped"/>
    <s v="User Not Mapped"/>
    <n v="1368110"/>
    <s v="SUMAN MANDAL"/>
    <s v="Private Retailer"/>
    <s v="7699402273"/>
    <n v="0.5"/>
    <n v="33"/>
    <x v="1"/>
    <m/>
    <s v="2026-03-25"/>
    <s v="342772"/>
    <s v="Subir Kumar Biswas"/>
    <s v="9932631270"/>
  </r>
  <r>
    <s v="RCF Trombay"/>
    <s v="15-15-15"/>
    <s v="WB"/>
    <x v="15"/>
    <s v="Karimpur - I"/>
    <s v="User Not Mapped"/>
    <s v="User Not Mapped"/>
    <s v="User Not Mapped"/>
    <n v="1368110"/>
    <s v="SUMAN MANDAL"/>
    <s v="Private Retailer"/>
    <s v="7699402273"/>
    <n v="0.5"/>
    <n v="64"/>
    <x v="2"/>
    <m/>
    <s v="2026-02-22"/>
    <s v="342772"/>
    <s v="Subir Kumar Biswas"/>
    <s v="9932631270"/>
  </r>
  <r>
    <s v="RCF Trombay"/>
    <s v="15-15-15"/>
    <s v="WB"/>
    <x v="15"/>
    <s v="Karimpur - II"/>
    <s v="User Not Mapped"/>
    <s v="User Not Mapped"/>
    <s v="User Not Mapped"/>
    <n v="323511"/>
    <s v="Nabadwip Mandal"/>
    <s v="Private Retailer"/>
    <s v="9932714491"/>
    <n v="0.9"/>
    <n v="194"/>
    <x v="3"/>
    <m/>
    <s v="2025-10-15"/>
    <s v="260177"/>
    <s v="SatyaRanjan Kundu and Brothers"/>
    <s v="7908186730"/>
  </r>
  <r>
    <s v="RCF Trombay"/>
    <s v="N.C.Urea(45kg)"/>
    <s v="WB"/>
    <x v="15"/>
    <s v="Karimpur - II"/>
    <s v="User Not Mapped"/>
    <s v="User Not Mapped"/>
    <s v="User Not Mapped"/>
    <n v="328259"/>
    <s v="Year Ali Sk"/>
    <s v="Private Retailer"/>
    <s v="9434821993"/>
    <n v="12.28"/>
    <n v="61"/>
    <x v="2"/>
    <m/>
    <s v="2026-02-25"/>
    <s v="260178"/>
    <s v="M/s. Uttamendu Sarkar"/>
    <s v="9002483836"/>
  </r>
  <r>
    <s v="RCF Trombay"/>
    <s v="15-15-15"/>
    <s v="WB"/>
    <x v="15"/>
    <s v="Karimpur - II"/>
    <s v="User Not Mapped"/>
    <s v="User Not Mapped"/>
    <s v="User Not Mapped"/>
    <n v="328259"/>
    <s v="Year Ali Sk"/>
    <s v="Private Retailer"/>
    <s v="9434821993"/>
    <n v="0.01"/>
    <n v="49"/>
    <x v="1"/>
    <m/>
    <s v="2026-03-09"/>
    <s v="260178"/>
    <s v="M/s. Uttamendu Sarkar"/>
    <s v="9002483836"/>
  </r>
  <r>
    <s v="RCF Thal"/>
    <s v="N.C.Urea(45kg)"/>
    <s v="WB"/>
    <x v="15"/>
    <s v="Karimpur - II"/>
    <s v="User Not Mapped"/>
    <s v="User Not Mapped"/>
    <s v="User Not Mapped"/>
    <n v="328259"/>
    <s v="Year Ali Sk"/>
    <s v="Private Retailer"/>
    <s v="9434821993"/>
    <n v="20.25"/>
    <n v="48"/>
    <x v="1"/>
    <m/>
    <s v="2026-03-10"/>
    <s v="260178"/>
    <s v="M/s. Uttamendu Sarkar"/>
    <s v="9002483836"/>
  </r>
  <r>
    <s v="RCF Trombay"/>
    <s v="15-15-15"/>
    <s v="WB"/>
    <x v="15"/>
    <s v="Karimpur - II"/>
    <s v="User Not Mapped"/>
    <s v="User Not Mapped"/>
    <s v="User Not Mapped"/>
    <n v="340812"/>
    <s v="Anarul Islam Halsana"/>
    <s v="Private Retailer"/>
    <s v="9775547904"/>
    <n v="2.8"/>
    <n v="86"/>
    <x v="2"/>
    <m/>
    <s v="2026-01-31"/>
    <s v="888407"/>
    <s v="MAA FERTILIZER"/>
    <s v="9800042039"/>
  </r>
  <r>
    <s v="RCF Trombay"/>
    <s v="15-15-15"/>
    <s v="WB"/>
    <x v="15"/>
    <s v="Karimpur - II"/>
    <s v="User Not Mapped"/>
    <s v="User Not Mapped"/>
    <s v="User Not Mapped"/>
    <n v="340934"/>
    <s v="Asit  Kumar  Biswas"/>
    <s v="Private Retailer"/>
    <s v="9647086520"/>
    <n v="0.5"/>
    <n v="325"/>
    <x v="3"/>
    <m/>
    <s v="2025-06-06"/>
    <s v="342772"/>
    <s v="Subir Kumar Biswas"/>
    <s v="9932631270"/>
  </r>
  <r>
    <s v="RCF Trombay"/>
    <s v="15-15-15"/>
    <s v="WB"/>
    <x v="15"/>
    <s v="Karimpur - II"/>
    <s v="User Not Mapped"/>
    <s v="User Not Mapped"/>
    <s v="User Not Mapped"/>
    <n v="340934"/>
    <s v="Asit  Kumar  Biswas"/>
    <s v="Private Retailer"/>
    <s v="9647086520"/>
    <n v="0.5"/>
    <n v="140"/>
    <x v="0"/>
    <m/>
    <s v="2025-12-08"/>
    <s v="342772"/>
    <s v="Subir Kumar Biswas"/>
    <s v="9932631270"/>
  </r>
  <r>
    <s v="RCF Trombay"/>
    <s v="15-15-15"/>
    <s v="WB"/>
    <x v="15"/>
    <s v="Karimpur - II"/>
    <s v="User Not Mapped"/>
    <s v="User Not Mapped"/>
    <s v="User Not Mapped"/>
    <n v="341331"/>
    <s v="Engraj Mondal"/>
    <s v="Private Retailer"/>
    <s v="9775046067"/>
    <n v="0.1"/>
    <n v="140"/>
    <x v="0"/>
    <m/>
    <s v="2025-12-08"/>
    <s v="342772"/>
    <s v="Subir Kumar Biswas"/>
    <s v="9932631270"/>
  </r>
  <r>
    <s v="RCF Trombay"/>
    <s v="15-15-15"/>
    <s v="WB"/>
    <x v="15"/>
    <s v="Karimpur - II"/>
    <s v="User Not Mapped"/>
    <s v="User Not Mapped"/>
    <s v="User Not Mapped"/>
    <n v="341543"/>
    <s v="Jaydaeb  Biswas"/>
    <s v="Private Retailer"/>
    <s v="9732905091"/>
    <n v="1.55"/>
    <n v="68"/>
    <x v="2"/>
    <m/>
    <s v="2026-02-18"/>
    <s v="342772"/>
    <s v="Subir Kumar Biswas"/>
    <s v="9932631270"/>
  </r>
  <r>
    <s v="RCF Thal"/>
    <s v="N.C.Urea(45kg)"/>
    <s v="WB"/>
    <x v="15"/>
    <s v="Karimpur - II"/>
    <s v="User Not Mapped"/>
    <s v="User Not Mapped"/>
    <s v="User Not Mapped"/>
    <n v="341543"/>
    <s v="Jaydaeb  Biswas"/>
    <s v="Private Retailer"/>
    <s v="9732905091"/>
    <n v="3.78"/>
    <n v="24"/>
    <x v="4"/>
    <m/>
    <s v="2026-04-03"/>
    <s v="280913"/>
    <s v="S.S.P Enterprise"/>
    <s v="9732669190"/>
  </r>
  <r>
    <s v="RCF Trombay"/>
    <s v="15-15-15"/>
    <s v="WB"/>
    <x v="15"/>
    <s v="Karimpur - II"/>
    <s v="User Not Mapped"/>
    <s v="User Not Mapped"/>
    <s v="User Not Mapped"/>
    <n v="341774"/>
    <s v="Madhab Chandra Sarkar"/>
    <s v="Private Retailer"/>
    <s v="9734826577"/>
    <n v="0.85"/>
    <n v="140"/>
    <x v="0"/>
    <m/>
    <s v="2025-12-08"/>
    <s v="342772"/>
    <s v="Subir Kumar Biswas"/>
    <s v="9932631270"/>
  </r>
  <r>
    <s v="RCF Trombay"/>
    <s v="15-15-15"/>
    <s v="WB"/>
    <x v="15"/>
    <s v="Karimpur - II"/>
    <s v="User Not Mapped"/>
    <s v="User Not Mapped"/>
    <s v="User Not Mapped"/>
    <n v="341774"/>
    <s v="Madhab Chandra Sarkar"/>
    <s v="Private Retailer"/>
    <s v="9734826577"/>
    <n v="0.5"/>
    <n v="130"/>
    <x v="0"/>
    <m/>
    <s v="2025-12-18"/>
    <s v="342772"/>
    <s v="Subir Kumar Biswas"/>
    <s v="9932631270"/>
  </r>
  <r>
    <s v="RCF Trombay"/>
    <s v="15-15-15"/>
    <s v="WB"/>
    <x v="15"/>
    <s v="Karimpur - II"/>
    <s v="User Not Mapped"/>
    <s v="User Not Mapped"/>
    <s v="User Not Mapped"/>
    <n v="342455"/>
    <s v="Ramesh Pramanick"/>
    <s v="Private Retailer"/>
    <s v="9064885456"/>
    <n v="1.3"/>
    <n v="257"/>
    <x v="3"/>
    <m/>
    <s v="2025-08-13"/>
    <s v="260177"/>
    <s v="SatyaRanjan Kundu and Brothers"/>
    <s v="7908186730"/>
  </r>
  <r>
    <s v="RCF Trombay"/>
    <s v="15-15-15"/>
    <s v="WB"/>
    <x v="15"/>
    <s v="Karimpur - II"/>
    <s v="User Not Mapped"/>
    <s v="User Not Mapped"/>
    <s v="User Not Mapped"/>
    <n v="356106"/>
    <s v="Sada Nanda Mandal"/>
    <s v="Private Retailer"/>
    <s v="9735242237"/>
    <n v="0.5"/>
    <n v="64"/>
    <x v="2"/>
    <m/>
    <s v="2026-02-22"/>
    <s v="342772"/>
    <s v="Subir Kumar Biswas"/>
    <s v="9932631270"/>
  </r>
  <r>
    <s v="RCF Trombay"/>
    <s v="15-15-15"/>
    <s v="WB"/>
    <x v="15"/>
    <s v="Karimpur - II"/>
    <s v="User Not Mapped"/>
    <s v="User Not Mapped"/>
    <s v="User Not Mapped"/>
    <n v="410990"/>
    <s v="Pabitra Kumar Biswas"/>
    <s v="Private Retailer"/>
    <s v="9735420907"/>
    <n v="2.5"/>
    <n v="709"/>
    <x v="7"/>
    <m/>
    <s v="2024-05-18"/>
    <s v="888407"/>
    <s v="MAA FERTILIZER"/>
    <s v="9800042039"/>
  </r>
  <r>
    <s v="RCF Trombay"/>
    <s v="15-15-15"/>
    <s v="WB"/>
    <x v="15"/>
    <s v="Karimpur - II"/>
    <s v="User Not Mapped"/>
    <s v="User Not Mapped"/>
    <s v="User Not Mapped"/>
    <n v="410990"/>
    <s v="Pabitra Kumar Biswas"/>
    <s v="Private Retailer"/>
    <s v="9735420907"/>
    <n v="9"/>
    <n v="7"/>
    <x v="4"/>
    <m/>
    <s v="2026-04-20"/>
    <s v="888407"/>
    <s v="MAA FERTILIZER"/>
    <s v="9800042039"/>
  </r>
  <r>
    <s v="RCF Trombay"/>
    <s v="15-15-15"/>
    <s v="WB"/>
    <x v="15"/>
    <s v="Karimpur - II"/>
    <s v="User Not Mapped"/>
    <s v="User Not Mapped"/>
    <s v="User Not Mapped"/>
    <n v="490679"/>
    <s v="BISWAJIT GHOSH"/>
    <s v="Private Retailer"/>
    <s v="8768283501"/>
    <n v="1"/>
    <n v="52"/>
    <x v="1"/>
    <m/>
    <s v="2026-03-06"/>
    <s v="342772"/>
    <s v="Subir Kumar Biswas"/>
    <s v="9932631270"/>
  </r>
  <r>
    <s v="RCF Trombay"/>
    <s v="15-15-15"/>
    <s v="WB"/>
    <x v="15"/>
    <s v="Karimpur - II"/>
    <s v="User Not Mapped"/>
    <s v="User Not Mapped"/>
    <s v="User Not Mapped"/>
    <n v="490679"/>
    <s v="BISWAJIT GHOSH"/>
    <s v="Private Retailer"/>
    <s v="8768283501"/>
    <n v="1.5"/>
    <n v="33"/>
    <x v="1"/>
    <m/>
    <s v="2026-03-25"/>
    <s v="342772"/>
    <s v="Subir Kumar Biswas"/>
    <s v="9932631270"/>
  </r>
  <r>
    <s v="RCF Trombay"/>
    <s v="15-15-15"/>
    <s v="WB"/>
    <x v="15"/>
    <s v="Karimpur - II"/>
    <s v="User Not Mapped"/>
    <s v="User Not Mapped"/>
    <s v="User Not Mapped"/>
    <n v="490679"/>
    <s v="BISWAJIT GHOSH"/>
    <s v="Private Retailer"/>
    <s v="8768283501"/>
    <n v="1.5"/>
    <n v="36"/>
    <x v="1"/>
    <m/>
    <s v="2026-03-22"/>
    <s v="342772"/>
    <s v="Subir Kumar Biswas"/>
    <s v="9932631270"/>
  </r>
  <r>
    <s v="RCF Trombay"/>
    <s v="15-15-15"/>
    <s v="WB"/>
    <x v="15"/>
    <s v="Karimpur - II"/>
    <s v="User Not Mapped"/>
    <s v="User Not Mapped"/>
    <s v="User Not Mapped"/>
    <n v="490679"/>
    <s v="BISWAJIT GHOSH"/>
    <s v="Private Retailer"/>
    <s v="8768283501"/>
    <n v="0.75"/>
    <n v="64"/>
    <x v="2"/>
    <m/>
    <s v="2026-02-22"/>
    <s v="342772"/>
    <s v="Subir Kumar Biswas"/>
    <s v="9932631270"/>
  </r>
  <r>
    <s v="RCF Trombay"/>
    <s v="15-15-15"/>
    <s v="WB"/>
    <x v="15"/>
    <s v="Karimpur - II"/>
    <s v="User Not Mapped"/>
    <s v="User Not Mapped"/>
    <s v="User Not Mapped"/>
    <n v="490679"/>
    <s v="BISWAJIT GHOSH"/>
    <s v="Private Retailer"/>
    <s v="8768283501"/>
    <n v="0.55000000000000004"/>
    <n v="74"/>
    <x v="2"/>
    <m/>
    <s v="2026-02-12"/>
    <s v="342772"/>
    <s v="Subir Kumar Biswas"/>
    <s v="9932631270"/>
  </r>
  <r>
    <s v="RCF Trombay"/>
    <s v="15-15-15"/>
    <s v="WB"/>
    <x v="15"/>
    <s v="Karimpur - II"/>
    <s v="User Not Mapped"/>
    <s v="User Not Mapped"/>
    <s v="User Not Mapped"/>
    <n v="490679"/>
    <s v="BISWAJIT GHOSH"/>
    <s v="Private Retailer"/>
    <s v="8768283501"/>
    <n v="2"/>
    <n v="60"/>
    <x v="1"/>
    <m/>
    <s v="2026-02-26"/>
    <s v="342772"/>
    <s v="Subir Kumar Biswas"/>
    <s v="9932631270"/>
  </r>
  <r>
    <s v="RCF Trombay"/>
    <s v="15-15-15"/>
    <s v="WB"/>
    <x v="15"/>
    <s v="Karimpur - II"/>
    <s v="User Not Mapped"/>
    <s v="User Not Mapped"/>
    <s v="User Not Mapped"/>
    <n v="514425"/>
    <s v="M/S Sajahan Halsana"/>
    <s v="Private Retailer"/>
    <s v="8535949539"/>
    <n v="1.6"/>
    <n v="155"/>
    <x v="0"/>
    <m/>
    <s v="2025-11-23"/>
    <s v="342772"/>
    <s v="Subir Kumar Biswas"/>
    <s v="9932631270"/>
  </r>
  <r>
    <s v="RCF Trombay"/>
    <s v="15-15-15"/>
    <s v="WB"/>
    <x v="15"/>
    <s v="Karimpur - II"/>
    <s v="User Not Mapped"/>
    <s v="User Not Mapped"/>
    <s v="User Not Mapped"/>
    <n v="514425"/>
    <s v="M/S Sajahan Halsana"/>
    <s v="Private Retailer"/>
    <s v="8535949539"/>
    <n v="8.85"/>
    <n v="121"/>
    <x v="0"/>
    <m/>
    <s v="2025-12-27"/>
    <s v="342772"/>
    <s v="Subir Kumar Biswas"/>
    <s v="9932631270"/>
  </r>
  <r>
    <s v="RCF Trombay"/>
    <s v="15-15-15"/>
    <s v="WB"/>
    <x v="15"/>
    <s v="Karimpur - II"/>
    <s v="User Not Mapped"/>
    <s v="User Not Mapped"/>
    <s v="User Not Mapped"/>
    <n v="589079"/>
    <s v="ASRAFUL SEKH"/>
    <s v="Private Retailer"/>
    <s v="7797020543"/>
    <n v="7.6"/>
    <n v="121"/>
    <x v="0"/>
    <m/>
    <s v="2025-12-27"/>
    <s v="888407"/>
    <s v="MAA FERTILIZER"/>
    <s v="9800042039"/>
  </r>
  <r>
    <s v="RCF Trombay"/>
    <s v="15-15-15"/>
    <s v="WB"/>
    <x v="15"/>
    <s v="Karimpur - II"/>
    <s v="User Not Mapped"/>
    <s v="User Not Mapped"/>
    <s v="User Not Mapped"/>
    <n v="610282"/>
    <s v="ALAMGIR MANDAL"/>
    <s v="Private Retailer"/>
    <s v="9735442849"/>
    <n v="0.3"/>
    <n v="218"/>
    <x v="3"/>
    <m/>
    <s v="2025-09-21"/>
    <s v="260202"/>
    <s v="MS S K DUTTA"/>
    <s v="9832802581"/>
  </r>
  <r>
    <s v="RCF Trombay"/>
    <s v="15-15-15"/>
    <s v="WB"/>
    <x v="15"/>
    <s v="Karimpur - II"/>
    <s v="User Not Mapped"/>
    <s v="User Not Mapped"/>
    <s v="User Not Mapped"/>
    <n v="635293"/>
    <s v="APURBA DAS"/>
    <s v="Private Retailer"/>
    <s v="7797208324"/>
    <n v="0.2"/>
    <n v="1642"/>
    <x v="7"/>
    <m/>
    <s v="2021-10-28"/>
    <s v="260202"/>
    <s v="MS S K DUTTA"/>
    <s v="9832802581"/>
  </r>
  <r>
    <s v="RCF Trombay"/>
    <s v="15-15-15"/>
    <s v="WB"/>
    <x v="15"/>
    <s v="Karimpur - II"/>
    <s v="User Not Mapped"/>
    <s v="User Not Mapped"/>
    <s v="User Not Mapped"/>
    <n v="635359"/>
    <s v="TOTON BISWAS"/>
    <s v="Private Retailer"/>
    <s v="9563706577"/>
    <n v="2"/>
    <n v="63"/>
    <x v="2"/>
    <m/>
    <s v="2026-02-23"/>
    <s v="260202"/>
    <s v="MS S K DUTTA"/>
    <s v="9832802581"/>
  </r>
  <r>
    <s v="RCF Trombay"/>
    <s v="15-15-15"/>
    <s v="WB"/>
    <x v="15"/>
    <s v="Karimpur - II"/>
    <s v="User Not Mapped"/>
    <s v="User Not Mapped"/>
    <s v="User Not Mapped"/>
    <n v="635359"/>
    <s v="TOTON BISWAS"/>
    <s v="Private Retailer"/>
    <s v="9563706577"/>
    <n v="1.5"/>
    <n v="39"/>
    <x v="1"/>
    <m/>
    <s v="2026-03-19"/>
    <s v="260202"/>
    <s v="MS S K DUTTA"/>
    <s v="9832802581"/>
  </r>
  <r>
    <s v="RCF Trombay"/>
    <s v="15-15-15"/>
    <s v="WB"/>
    <x v="15"/>
    <s v="Karimpur - II"/>
    <s v="User Not Mapped"/>
    <s v="User Not Mapped"/>
    <s v="User Not Mapped"/>
    <n v="635359"/>
    <s v="TOTON BISWAS"/>
    <s v="Private Retailer"/>
    <s v="9563706577"/>
    <n v="4"/>
    <n v="86"/>
    <x v="2"/>
    <m/>
    <s v="2026-01-31"/>
    <s v="888407"/>
    <s v="MAA FERTILIZER"/>
    <s v="9800042039"/>
  </r>
  <r>
    <s v="RCF Trombay"/>
    <s v="N.C.Urea(45kg)"/>
    <s v="WB"/>
    <x v="15"/>
    <s v="Karimpur - II"/>
    <s v="User Not Mapped"/>
    <s v="User Not Mapped"/>
    <s v="User Not Mapped"/>
    <n v="650195"/>
    <s v="JULFIKAR SEKH"/>
    <s v="Private Retailer"/>
    <s v="9732414754"/>
    <n v="9.99"/>
    <n v="77"/>
    <x v="2"/>
    <m/>
    <s v="2026-02-09"/>
    <s v="260179"/>
    <s v="Tarun Kumar Saha"/>
    <s v="8116312974"/>
  </r>
  <r>
    <s v="RCF Trombay"/>
    <s v="N.C.Urea(45kg)"/>
    <s v="WB"/>
    <x v="15"/>
    <s v="Karimpur - II"/>
    <s v="User Not Mapped"/>
    <s v="User Not Mapped"/>
    <s v="User Not Mapped"/>
    <n v="659928"/>
    <s v="ACHINTYA SAHA"/>
    <s v="Private Retailer"/>
    <s v="9734865465"/>
    <n v="0.315"/>
    <n v="173"/>
    <x v="0"/>
    <m/>
    <s v="2025-11-05"/>
    <s v="260202"/>
    <s v="MS S K DUTTA"/>
    <s v="9832802581"/>
  </r>
  <r>
    <s v="RCF Trombay"/>
    <s v="15-15-15"/>
    <s v="WB"/>
    <x v="15"/>
    <s v="Karimpur - II"/>
    <s v="User Not Mapped"/>
    <s v="User Not Mapped"/>
    <s v="User Not Mapped"/>
    <n v="659928"/>
    <s v="ACHINTYA SAHA"/>
    <s v="Private Retailer"/>
    <s v="9734865465"/>
    <n v="0.5"/>
    <n v="134"/>
    <x v="0"/>
    <m/>
    <s v="2025-12-14"/>
    <s v="260202"/>
    <s v="MS S K DUTTA"/>
    <s v="9832802581"/>
  </r>
  <r>
    <s v="RCF Trombay"/>
    <s v="15-15-15"/>
    <s v="WB"/>
    <x v="15"/>
    <s v="Karimpur - II"/>
    <s v="User Not Mapped"/>
    <s v="User Not Mapped"/>
    <s v="User Not Mapped"/>
    <n v="659928"/>
    <s v="ACHINTYA SAHA"/>
    <s v="Private Retailer"/>
    <s v="9734865465"/>
    <n v="0.2"/>
    <n v="328"/>
    <x v="3"/>
    <m/>
    <s v="2025-06-03"/>
    <s v="260202"/>
    <s v="MS S K DUTTA"/>
    <s v="9832802581"/>
  </r>
  <r>
    <s v="RCF Thal"/>
    <s v="N.C.Urea(45kg)"/>
    <s v="WB"/>
    <x v="15"/>
    <s v="Karimpur - II"/>
    <s v="User Not Mapped"/>
    <s v="User Not Mapped"/>
    <s v="User Not Mapped"/>
    <n v="659936"/>
    <s v="PARULA BEWA"/>
    <s v="Private Retailer"/>
    <s v="8372910277"/>
    <n v="1.8"/>
    <n v="457"/>
    <x v="6"/>
    <m/>
    <s v="2025-01-25"/>
    <s v="260202"/>
    <s v="MS S K DUTTA"/>
    <s v="9832802581"/>
  </r>
  <r>
    <s v="RCF Trombay"/>
    <s v="15-15-15"/>
    <s v="WB"/>
    <x v="15"/>
    <s v="Karimpur - II"/>
    <s v="User Not Mapped"/>
    <s v="User Not Mapped"/>
    <s v="User Not Mapped"/>
    <n v="659940"/>
    <s v="SIRAJUL BISWAS"/>
    <s v="Private Retailer"/>
    <s v="9775162440"/>
    <n v="1"/>
    <n v="241"/>
    <x v="3"/>
    <m/>
    <s v="2025-08-29"/>
    <s v="260202"/>
    <s v="MS S K DUTTA"/>
    <s v="9832802581"/>
  </r>
  <r>
    <s v="RCF Trombay"/>
    <s v="15-15-15"/>
    <s v="WB"/>
    <x v="15"/>
    <s v="Karimpur - II"/>
    <s v="User Not Mapped"/>
    <s v="User Not Mapped"/>
    <s v="User Not Mapped"/>
    <n v="659940"/>
    <s v="SIRAJUL BISWAS"/>
    <s v="Private Retailer"/>
    <s v="9775162440"/>
    <n v="1"/>
    <n v="89"/>
    <x v="2"/>
    <m/>
    <s v="2026-01-28"/>
    <s v="260202"/>
    <s v="MS S K DUTTA"/>
    <s v="9832802581"/>
  </r>
  <r>
    <s v="RCF Trombay"/>
    <s v="N.C.Urea(45kg)"/>
    <s v="WB"/>
    <x v="15"/>
    <s v="Karimpur - II"/>
    <s v="User Not Mapped"/>
    <s v="User Not Mapped"/>
    <s v="User Not Mapped"/>
    <n v="659940"/>
    <s v="SIRAJUL BISWAS"/>
    <s v="Private Retailer"/>
    <s v="9775162440"/>
    <n v="1.395"/>
    <n v="89"/>
    <x v="2"/>
    <m/>
    <s v="2026-01-28"/>
    <s v="260202"/>
    <s v="MS S K DUTTA"/>
    <s v="9832802581"/>
  </r>
  <r>
    <s v="RCF Trombay"/>
    <s v="15-15-15"/>
    <s v="WB"/>
    <x v="15"/>
    <s v="Karimpur - II"/>
    <s v="User Not Mapped"/>
    <s v="User Not Mapped"/>
    <s v="User Not Mapped"/>
    <n v="659940"/>
    <s v="SIRAJUL BISWAS"/>
    <s v="Private Retailer"/>
    <s v="9775162440"/>
    <n v="0.1"/>
    <n v="305"/>
    <x v="3"/>
    <m/>
    <s v="2025-06-26"/>
    <s v="260202"/>
    <s v="MS S K DUTTA"/>
    <s v="9832802581"/>
  </r>
  <r>
    <s v="RCF Trombay"/>
    <s v="15-15-15"/>
    <s v="WB"/>
    <x v="15"/>
    <s v="Karimpur - II"/>
    <s v="User Not Mapped"/>
    <s v="User Not Mapped"/>
    <s v="User Not Mapped"/>
    <n v="659940"/>
    <s v="SIRAJUL BISWAS"/>
    <s v="Private Retailer"/>
    <s v="9775162440"/>
    <n v="0.5"/>
    <n v="260"/>
    <x v="3"/>
    <m/>
    <s v="2025-08-10"/>
    <s v="260202"/>
    <s v="MS S K DUTTA"/>
    <s v="9832802581"/>
  </r>
  <r>
    <s v="RCF Trombay"/>
    <s v="15-15-15"/>
    <s v="WB"/>
    <x v="15"/>
    <s v="Karimpur - II"/>
    <s v="User Not Mapped"/>
    <s v="User Not Mapped"/>
    <s v="User Not Mapped"/>
    <n v="659940"/>
    <s v="SIRAJUL BISWAS"/>
    <s v="Private Retailer"/>
    <s v="9775162440"/>
    <n v="1"/>
    <n v="182"/>
    <x v="3"/>
    <m/>
    <s v="2025-10-27"/>
    <s v="260202"/>
    <s v="MS S K DUTTA"/>
    <s v="9832802581"/>
  </r>
  <r>
    <s v="RCF Trombay"/>
    <s v="15-15-15"/>
    <s v="WB"/>
    <x v="15"/>
    <s v="Karimpur - II"/>
    <s v="User Not Mapped"/>
    <s v="User Not Mapped"/>
    <s v="User Not Mapped"/>
    <n v="836830"/>
    <s v="RABIUL MONDAL"/>
    <s v="Private Retailer"/>
    <s v="9647809575"/>
    <n v="2.5"/>
    <n v="224"/>
    <x v="3"/>
    <m/>
    <s v="2025-09-15"/>
    <s v="260202"/>
    <s v="MS S K DUTTA"/>
    <s v="9832802581"/>
  </r>
  <r>
    <s v="RCF Trombay"/>
    <s v="15-15-15"/>
    <s v="WB"/>
    <x v="15"/>
    <s v="Karimpur - II"/>
    <s v="User Not Mapped"/>
    <s v="User Not Mapped"/>
    <s v="User Not Mapped"/>
    <n v="836830"/>
    <s v="RABIUL MONDAL"/>
    <s v="Private Retailer"/>
    <s v="9647809575"/>
    <n v="0.5"/>
    <n v="172"/>
    <x v="0"/>
    <m/>
    <s v="2025-11-06"/>
    <s v="260202"/>
    <s v="MS S K DUTTA"/>
    <s v="9832802581"/>
  </r>
  <r>
    <s v="RCF Trombay"/>
    <s v="15-15-15"/>
    <s v="WB"/>
    <x v="15"/>
    <s v="Karimpur - II"/>
    <s v="User Not Mapped"/>
    <s v="User Not Mapped"/>
    <s v="User Not Mapped"/>
    <n v="852488"/>
    <s v="SIRAJUL MONDAL"/>
    <s v="Private Retailer"/>
    <s v="8768215445"/>
    <n v="1.5"/>
    <n v="54"/>
    <x v="1"/>
    <m/>
    <s v="2026-03-04"/>
    <s v="260202"/>
    <s v="MS S K DUTTA"/>
    <s v="9832802581"/>
  </r>
  <r>
    <s v="RCF Trombay"/>
    <s v="N.C.Urea(45kg)"/>
    <s v="WB"/>
    <x v="15"/>
    <s v="Karimpur - II"/>
    <s v="User Not Mapped"/>
    <s v="User Not Mapped"/>
    <s v="User Not Mapped"/>
    <n v="1020863"/>
    <s v="DIN MAHAMMAD SHAIKH"/>
    <s v="Private Retailer"/>
    <s v="9735776378"/>
    <n v="0.45"/>
    <n v="899"/>
    <x v="7"/>
    <m/>
    <s v="2023-11-10"/>
    <s v="260202"/>
    <s v="MS S K DUTTA"/>
    <s v="9832802581"/>
  </r>
  <r>
    <s v="RCF Trombay"/>
    <s v="15-15-15"/>
    <s v="WB"/>
    <x v="15"/>
    <s v="Karimpur - II"/>
    <s v="User Not Mapped"/>
    <s v="User Not Mapped"/>
    <s v="User Not Mapped"/>
    <n v="1062201"/>
    <s v="FULCHAND SHAIKH"/>
    <s v="Private Retailer"/>
    <s v="8348839106"/>
    <n v="0.1"/>
    <n v="1915"/>
    <x v="7"/>
    <m/>
    <s v="2021-01-28"/>
    <s v="1036427"/>
    <s v="PINAKI SAHA"/>
    <s v="9641671766"/>
  </r>
  <r>
    <s v="RCF Trombay"/>
    <s v="15-15-15"/>
    <s v="WB"/>
    <x v="15"/>
    <s v="Karimpur - II"/>
    <s v="User Not Mapped"/>
    <s v="User Not Mapped"/>
    <s v="User Not Mapped"/>
    <n v="1062264"/>
    <s v="ASHUTOSH MAHATA"/>
    <s v="Private Retailer"/>
    <s v="9733796692"/>
    <n v="0.25"/>
    <n v="39"/>
    <x v="1"/>
    <m/>
    <s v="2026-03-19"/>
    <s v="260202"/>
    <s v="MS S K DUTTA"/>
    <s v="9832802581"/>
  </r>
  <r>
    <s v="RCF Trombay"/>
    <s v="15-15-15"/>
    <s v="WB"/>
    <x v="15"/>
    <s v="Karimpur - II"/>
    <s v="User Not Mapped"/>
    <s v="User Not Mapped"/>
    <s v="User Not Mapped"/>
    <n v="1062276"/>
    <s v="SUCHANDAN SARKAR"/>
    <s v="Private Retailer"/>
    <s v="9647495985"/>
    <n v="0.4"/>
    <n v="1092"/>
    <x v="7"/>
    <m/>
    <s v="2023-05-01"/>
    <s v="260202"/>
    <s v="MS S K DUTTA"/>
    <s v="9832802581"/>
  </r>
  <r>
    <s v="RCF Trombay"/>
    <s v="15-15-15"/>
    <s v="WB"/>
    <x v="15"/>
    <s v="Karimpur - II"/>
    <s v="User Not Mapped"/>
    <s v="User Not Mapped"/>
    <s v="User Not Mapped"/>
    <n v="1062282"/>
    <s v="GOUTAM KARMAKAR"/>
    <s v="Private Retailer"/>
    <s v="9734758097"/>
    <n v="0.5"/>
    <n v="60"/>
    <x v="1"/>
    <m/>
    <s v="2026-02-26"/>
    <s v="342772"/>
    <s v="Subir Kumar Biswas"/>
    <s v="9932631270"/>
  </r>
  <r>
    <s v="RCF Thal"/>
    <s v="N.C.Urea(45kg)"/>
    <s v="WB"/>
    <x v="15"/>
    <s v="Karimpur - II"/>
    <s v="User Not Mapped"/>
    <s v="User Not Mapped"/>
    <s v="User Not Mapped"/>
    <n v="1062286"/>
    <s v="GOLAM MURTUJA SHAIKH"/>
    <s v="Private Retailer"/>
    <s v="9735624731"/>
    <n v="0.09"/>
    <n v="1717"/>
    <x v="7"/>
    <m/>
    <s v="2021-08-14"/>
    <s v="342772"/>
    <s v="Subir Kumar Biswas"/>
    <s v="9932631270"/>
  </r>
  <r>
    <s v="RCF Trombay"/>
    <s v="15-15-15"/>
    <s v="WB"/>
    <x v="15"/>
    <s v="Karimpur - II"/>
    <s v="User Not Mapped"/>
    <s v="User Not Mapped"/>
    <s v="User Not Mapped"/>
    <n v="1062286"/>
    <s v="GOLAM MURTUJA SHAIKH"/>
    <s v="Private Retailer"/>
    <s v="9735624731"/>
    <n v="0.75"/>
    <n v="311"/>
    <x v="3"/>
    <m/>
    <s v="2025-06-20"/>
    <s v="342772"/>
    <s v="Subir Kumar Biswas"/>
    <s v="9932631270"/>
  </r>
  <r>
    <s v="RCF Trombay"/>
    <s v="15-15-15"/>
    <s v="WB"/>
    <x v="15"/>
    <s v="Karimpur - II"/>
    <s v="User Not Mapped"/>
    <s v="User Not Mapped"/>
    <s v="User Not Mapped"/>
    <n v="1062286"/>
    <s v="GOLAM MURTUJA SHAIKH"/>
    <s v="Private Retailer"/>
    <s v="9735624731"/>
    <n v="0.25"/>
    <n v="764"/>
    <x v="7"/>
    <m/>
    <s v="2024-03-24"/>
    <s v="342772"/>
    <s v="Subir Kumar Biswas"/>
    <s v="9932631270"/>
  </r>
  <r>
    <s v="RCF Trombay"/>
    <s v="15-15-15"/>
    <s v="WB"/>
    <x v="15"/>
    <s v="Karimpur - II"/>
    <s v="User Not Mapped"/>
    <s v="User Not Mapped"/>
    <s v="User Not Mapped"/>
    <n v="1062286"/>
    <s v="GOLAM MURTUJA SHAIKH"/>
    <s v="Private Retailer"/>
    <s v="9735624731"/>
    <n v="0.5"/>
    <n v="357"/>
    <x v="3"/>
    <m/>
    <s v="2025-05-05"/>
    <s v="342772"/>
    <s v="Subir Kumar Biswas"/>
    <s v="9932631270"/>
  </r>
  <r>
    <s v="RCF Import"/>
    <s v="Imp 10-26-26"/>
    <s v="WB"/>
    <x v="15"/>
    <s v="Karimpur - II"/>
    <s v="User Not Mapped"/>
    <s v="User Not Mapped"/>
    <s v="User Not Mapped"/>
    <n v="1062296"/>
    <s v="ABDUL SAMIM MANDAL"/>
    <s v="Private Retailer"/>
    <s v="9093973560"/>
    <n v="0.5"/>
    <n v="244"/>
    <x v="3"/>
    <m/>
    <s v="2025-08-26"/>
    <s v="260202"/>
    <s v="MS S K DUTTA"/>
    <s v="9832802581"/>
  </r>
  <r>
    <s v="RCF Trombay"/>
    <s v="15-15-15"/>
    <s v="WB"/>
    <x v="15"/>
    <s v="Karimpur - II"/>
    <s v="User Not Mapped"/>
    <s v="User Not Mapped"/>
    <s v="User Not Mapped"/>
    <n v="1062296"/>
    <s v="ABDUL SAMIM MANDAL"/>
    <s v="Private Retailer"/>
    <s v="9093973560"/>
    <n v="0.5"/>
    <n v="251"/>
    <x v="3"/>
    <m/>
    <s v="2025-08-19"/>
    <s v="260202"/>
    <s v="MS S K DUTTA"/>
    <s v="9832802581"/>
  </r>
  <r>
    <s v="RCF Trombay"/>
    <s v="15-15-15"/>
    <s v="WB"/>
    <x v="15"/>
    <s v="Karimpur - II"/>
    <s v="User Not Mapped"/>
    <s v="User Not Mapped"/>
    <s v="User Not Mapped"/>
    <n v="1062310"/>
    <s v="DIPANKAR BISWAS"/>
    <s v="Private Retailer"/>
    <s v="9609082043"/>
    <n v="0.1"/>
    <n v="356"/>
    <x v="3"/>
    <m/>
    <s v="2025-05-06"/>
    <s v="342772"/>
    <s v="Subir Kumar Biswas"/>
    <s v="9932631270"/>
  </r>
  <r>
    <s v="RCF Trombay"/>
    <s v="15-15-15"/>
    <s v="WB"/>
    <x v="15"/>
    <s v="Karimpur - II"/>
    <s v="User Not Mapped"/>
    <s v="User Not Mapped"/>
    <s v="User Not Mapped"/>
    <n v="1062326"/>
    <s v="ARINDAM MANDAL"/>
    <s v="Private Retailer"/>
    <s v="9734380029"/>
    <n v="0.15"/>
    <n v="42"/>
    <x v="1"/>
    <m/>
    <s v="2026-03-16"/>
    <s v="342772"/>
    <s v="Subir Kumar Biswas"/>
    <s v="9932631270"/>
  </r>
  <r>
    <s v="RCF Trombay"/>
    <s v="15-15-15"/>
    <s v="WB"/>
    <x v="15"/>
    <s v="Karimpur - II"/>
    <s v="User Not Mapped"/>
    <s v="User Not Mapped"/>
    <s v="User Not Mapped"/>
    <n v="1062326"/>
    <s v="ARINDAM MANDAL"/>
    <s v="Private Retailer"/>
    <s v="9734380029"/>
    <n v="0.5"/>
    <n v="33"/>
    <x v="1"/>
    <m/>
    <s v="2026-03-25"/>
    <s v="342772"/>
    <s v="Subir Kumar Biswas"/>
    <s v="9932631270"/>
  </r>
  <r>
    <s v="RCF Trombay"/>
    <s v="15-15-15"/>
    <s v="WB"/>
    <x v="15"/>
    <s v="Karimpur - II"/>
    <s v="User Not Mapped"/>
    <s v="User Not Mapped"/>
    <s v="User Not Mapped"/>
    <n v="1062330"/>
    <s v="BHABESH MONDAL"/>
    <s v="Private Retailer"/>
    <s v="8348018268"/>
    <n v="0.15"/>
    <n v="42"/>
    <x v="1"/>
    <m/>
    <s v="2026-03-16"/>
    <s v="342772"/>
    <s v="Subir Kumar Biswas"/>
    <s v="9932631270"/>
  </r>
  <r>
    <s v="RCF Trombay"/>
    <s v="15-15-15"/>
    <s v="WB"/>
    <x v="15"/>
    <s v="Karimpur - II"/>
    <s v="User Not Mapped"/>
    <s v="User Not Mapped"/>
    <s v="User Not Mapped"/>
    <n v="1062330"/>
    <s v="BHABESH MONDAL"/>
    <s v="Private Retailer"/>
    <s v="8348018268"/>
    <n v="0.25"/>
    <n v="64"/>
    <x v="2"/>
    <m/>
    <s v="2026-02-22"/>
    <s v="342772"/>
    <s v="Subir Kumar Biswas"/>
    <s v="9932631270"/>
  </r>
  <r>
    <s v="RCF Trombay"/>
    <s v="15-15-15"/>
    <s v="WB"/>
    <x v="15"/>
    <s v="Karimpur - II"/>
    <s v="User Not Mapped"/>
    <s v="User Not Mapped"/>
    <s v="User Not Mapped"/>
    <n v="1062330"/>
    <s v="BHABESH MONDAL"/>
    <s v="Private Retailer"/>
    <s v="8348018268"/>
    <n v="0.25"/>
    <n v="44"/>
    <x v="1"/>
    <m/>
    <s v="2026-03-14"/>
    <s v="342772"/>
    <s v="Subir Kumar Biswas"/>
    <s v="9932631270"/>
  </r>
  <r>
    <s v="RCF Trombay"/>
    <s v="N.C.Urea(45kg)"/>
    <s v="WB"/>
    <x v="15"/>
    <s v="Karimpur - II"/>
    <s v="User Not Mapped"/>
    <s v="User Not Mapped"/>
    <s v="User Not Mapped"/>
    <n v="1062342"/>
    <s v="ABDUR RAJJAK SARDAR"/>
    <s v="Private Retailer"/>
    <s v="8145747603"/>
    <n v="0.13500000000000001"/>
    <n v="176"/>
    <x v="0"/>
    <m/>
    <s v="2025-11-02"/>
    <s v="260202"/>
    <s v="MS S K DUTTA"/>
    <s v="9832802581"/>
  </r>
  <r>
    <s v="RCF Trombay"/>
    <s v="15-15-15"/>
    <s v="WB"/>
    <x v="15"/>
    <s v="Karimpur - II"/>
    <s v="User Not Mapped"/>
    <s v="User Not Mapped"/>
    <s v="User Not Mapped"/>
    <n v="1062344"/>
    <s v="SHEKHAR MONDAL"/>
    <s v="Private Retailer"/>
    <s v="9733846306"/>
    <n v="0.05"/>
    <n v="44"/>
    <x v="1"/>
    <m/>
    <s v="2026-03-14"/>
    <s v="342772"/>
    <s v="Subir Kumar Biswas"/>
    <s v="9932631270"/>
  </r>
  <r>
    <s v="RCF Trombay"/>
    <s v="15-15-15"/>
    <s v="WB"/>
    <x v="15"/>
    <s v="Karimpur - II"/>
    <s v="User Not Mapped"/>
    <s v="User Not Mapped"/>
    <s v="User Not Mapped"/>
    <n v="1062366"/>
    <s v="DEBU BISWAS"/>
    <s v="Private Retailer"/>
    <s v="8768247208"/>
    <n v="0.4"/>
    <n v="357"/>
    <x v="3"/>
    <m/>
    <s v="2025-05-05"/>
    <s v="342772"/>
    <s v="Subir Kumar Biswas"/>
    <s v="9932631270"/>
  </r>
  <r>
    <s v="RCF Trombay"/>
    <s v="15-15-15"/>
    <s v="WB"/>
    <x v="15"/>
    <s v="Karimpur - II"/>
    <s v="User Not Mapped"/>
    <s v="User Not Mapped"/>
    <s v="User Not Mapped"/>
    <n v="1062366"/>
    <s v="DEBU BISWAS"/>
    <s v="Private Retailer"/>
    <s v="8768247208"/>
    <n v="1"/>
    <n v="129"/>
    <x v="0"/>
    <m/>
    <s v="2025-12-19"/>
    <s v="342772"/>
    <s v="Subir Kumar Biswas"/>
    <s v="9932631270"/>
  </r>
  <r>
    <s v="RCF Trombay"/>
    <s v="15-15-15"/>
    <s v="WB"/>
    <x v="15"/>
    <s v="Karimpur - II"/>
    <s v="User Not Mapped"/>
    <s v="User Not Mapped"/>
    <s v="User Not Mapped"/>
    <n v="1062366"/>
    <s v="DEBU BISWAS"/>
    <s v="Private Retailer"/>
    <s v="8768247208"/>
    <n v="0.5"/>
    <n v="151"/>
    <x v="0"/>
    <m/>
    <s v="2025-11-27"/>
    <s v="342772"/>
    <s v="Subir Kumar Biswas"/>
    <s v="9932631270"/>
  </r>
  <r>
    <s v="RCF Trombay"/>
    <s v="15-15-15"/>
    <s v="WB"/>
    <x v="15"/>
    <s v="Karimpur - II"/>
    <s v="User Not Mapped"/>
    <s v="User Not Mapped"/>
    <s v="User Not Mapped"/>
    <n v="1062366"/>
    <s v="DEBU BISWAS"/>
    <s v="Private Retailer"/>
    <s v="8768247208"/>
    <n v="1"/>
    <n v="74"/>
    <x v="2"/>
    <m/>
    <s v="2026-02-12"/>
    <s v="342772"/>
    <s v="Subir Kumar Biswas"/>
    <s v="9932631270"/>
  </r>
  <r>
    <s v="RCF Trombay"/>
    <s v="15-15-15"/>
    <s v="WB"/>
    <x v="15"/>
    <s v="Karimpur - II"/>
    <s v="User Not Mapped"/>
    <s v="User Not Mapped"/>
    <s v="User Not Mapped"/>
    <n v="1062420"/>
    <s v="FARID MANDAL"/>
    <s v="Private Retailer"/>
    <s v="8001386259"/>
    <n v="0.1"/>
    <n v="602"/>
    <x v="7"/>
    <m/>
    <s v="2024-09-02"/>
    <s v="260202"/>
    <s v="MS S K DUTTA"/>
    <s v="9832802581"/>
  </r>
  <r>
    <s v="RCF Thal"/>
    <s v="N.C.Urea(45kg)"/>
    <s v="WB"/>
    <x v="15"/>
    <s v="Karimpur - II"/>
    <s v="User Not Mapped"/>
    <s v="User Not Mapped"/>
    <s v="User Not Mapped"/>
    <n v="1062424"/>
    <s v="SANJOY CHOUDHURY"/>
    <s v="Private Retailer"/>
    <s v="8944021731"/>
    <n v="0.85499999999999998"/>
    <n v="39"/>
    <x v="1"/>
    <m/>
    <s v="2026-03-19"/>
    <s v="260202"/>
    <s v="MS S K DUTTA"/>
    <s v="9832802581"/>
  </r>
  <r>
    <s v="RCF Trombay"/>
    <s v="15-15-15"/>
    <s v="WB"/>
    <x v="15"/>
    <s v="Karimpur - II"/>
    <s v="User Not Mapped"/>
    <s v="User Not Mapped"/>
    <s v="User Not Mapped"/>
    <n v="1062424"/>
    <s v="SANJOY CHOUDHURY"/>
    <s v="Private Retailer"/>
    <s v="8944021731"/>
    <n v="0.5"/>
    <n v="39"/>
    <x v="1"/>
    <m/>
    <s v="2026-03-19"/>
    <s v="260202"/>
    <s v="MS S K DUTTA"/>
    <s v="9832802581"/>
  </r>
  <r>
    <s v="RCF Trombay"/>
    <s v="N.C.Urea(45kg)"/>
    <s v="WB"/>
    <x v="15"/>
    <s v="Karimpur - II"/>
    <s v="User Not Mapped"/>
    <s v="User Not Mapped"/>
    <s v="User Not Mapped"/>
    <n v="1062424"/>
    <s v="SANJOY CHOUDHURY"/>
    <s v="Private Retailer"/>
    <s v="8944021731"/>
    <n v="0.67500000000000004"/>
    <n v="91"/>
    <x v="5"/>
    <m/>
    <s v="2026-01-26"/>
    <s v="260202"/>
    <s v="MS S K DUTTA"/>
    <s v="9832802581"/>
  </r>
  <r>
    <s v="RCF Trombay"/>
    <s v="N.C.Urea(45kg)"/>
    <s v="WB"/>
    <x v="15"/>
    <s v="Karimpur - II"/>
    <s v="User Not Mapped"/>
    <s v="User Not Mapped"/>
    <s v="User Not Mapped"/>
    <n v="1062559"/>
    <s v="MASIBUL SARDAR"/>
    <s v="Private Retailer"/>
    <s v="9733028608"/>
    <n v="0.22500000000000001"/>
    <n v="1200"/>
    <x v="7"/>
    <m/>
    <s v="2023-01-13"/>
    <s v="280729"/>
    <s v="M/s. Naresh Chandra Das"/>
    <s v="7365868045"/>
  </r>
  <r>
    <s v="RCF Thal"/>
    <s v="N.C.Urea(45kg)"/>
    <s v="WB"/>
    <x v="15"/>
    <s v="Karimpur - II"/>
    <s v="User Not Mapped"/>
    <s v="User Not Mapped"/>
    <s v="User Not Mapped"/>
    <n v="1062653"/>
    <s v="Abdul Hannan Biswas"/>
    <s v="Private Retailer"/>
    <s v="9732446633"/>
    <n v="2.7"/>
    <n v="92"/>
    <x v="5"/>
    <m/>
    <s v="2026-01-25"/>
    <s v="939069"/>
    <s v="BIRENDRA NATH SAHA AND  SON"/>
    <s v="7074375038"/>
  </r>
  <r>
    <s v="RCF Trombay"/>
    <s v="15-15-15"/>
    <s v="WB"/>
    <x v="15"/>
    <s v="Karimpur - II"/>
    <s v="User Not Mapped"/>
    <s v="User Not Mapped"/>
    <s v="User Not Mapped"/>
    <n v="1062687"/>
    <s v="AMINUL MONDAL"/>
    <s v="Private Retailer"/>
    <s v="8370909889"/>
    <n v="1"/>
    <n v="709"/>
    <x v="7"/>
    <m/>
    <s v="2024-05-18"/>
    <s v="260202"/>
    <s v="MS S K DUTTA"/>
    <s v="9832802581"/>
  </r>
  <r>
    <s v="RCF Trombay"/>
    <s v="15-15-15"/>
    <s v="WB"/>
    <x v="15"/>
    <s v="Karimpur - II"/>
    <s v="User Not Mapped"/>
    <s v="User Not Mapped"/>
    <s v="User Not Mapped"/>
    <n v="1062693"/>
    <s v="NIKHIL KUMAR MANDAL"/>
    <s v="Private Retailer"/>
    <s v="7407039283"/>
    <n v="3.4"/>
    <n v="86"/>
    <x v="2"/>
    <m/>
    <s v="2026-01-31"/>
    <s v="888407"/>
    <s v="MAA FERTILIZER"/>
    <s v="9800042039"/>
  </r>
  <r>
    <s v="RCF Trombay"/>
    <s v="15-15-15"/>
    <s v="WB"/>
    <x v="15"/>
    <s v="Karimpur - II"/>
    <s v="User Not Mapped"/>
    <s v="User Not Mapped"/>
    <s v="User Not Mapped"/>
    <n v="1062699"/>
    <s v="SANJAY DEBNATH"/>
    <s v="Private Retailer"/>
    <s v="7797084162"/>
    <n v="0.5"/>
    <n v="967"/>
    <x v="7"/>
    <m/>
    <s v="2023-09-03"/>
    <s v="342772"/>
    <s v="Subir Kumar Biswas"/>
    <s v="9932631270"/>
  </r>
  <r>
    <s v="RCF Thal"/>
    <s v="N.C.Urea(45kg)"/>
    <s v="WB"/>
    <x v="15"/>
    <s v="Karimpur - II"/>
    <s v="User Not Mapped"/>
    <s v="User Not Mapped"/>
    <s v="User Not Mapped"/>
    <n v="1063148"/>
    <s v="RAMJAN MONDAL"/>
    <s v="Private Retailer"/>
    <s v="9144167626"/>
    <n v="1.0349999999999999"/>
    <n v="1250"/>
    <x v="7"/>
    <m/>
    <s v="2022-11-24"/>
    <s v="280729"/>
    <s v="M/s. Naresh Chandra Das"/>
    <s v="7365868045"/>
  </r>
  <r>
    <s v="RCF Trombay"/>
    <s v="15-15-15"/>
    <s v="WB"/>
    <x v="15"/>
    <s v="Karimpur - II"/>
    <s v="User Not Mapped"/>
    <s v="User Not Mapped"/>
    <s v="User Not Mapped"/>
    <n v="1063148"/>
    <s v="RAMJAN MONDAL"/>
    <s v="Private Retailer"/>
    <s v="9144167626"/>
    <n v="1.5"/>
    <n v="693"/>
    <x v="7"/>
    <m/>
    <s v="2024-06-03"/>
    <s v="260179"/>
    <s v="Tarun Kumar Saha"/>
    <s v="8116312974"/>
  </r>
  <r>
    <s v="RCF Trombay"/>
    <s v="15-15-15"/>
    <s v="WB"/>
    <x v="15"/>
    <s v="Karimpur - II"/>
    <s v="User Not Mapped"/>
    <s v="User Not Mapped"/>
    <s v="User Not Mapped"/>
    <n v="1087459"/>
    <s v="Malloy mondal"/>
    <s v="Private Retailer"/>
    <s v="9733319377"/>
    <n v="0.45"/>
    <n v="637"/>
    <x v="7"/>
    <m/>
    <s v="2024-07-29"/>
    <s v="260202"/>
    <s v="MS S K DUTTA"/>
    <s v="9832802581"/>
  </r>
  <r>
    <s v="RCF Trombay"/>
    <s v="15-15-15"/>
    <s v="WB"/>
    <x v="15"/>
    <s v="Karimpur - II"/>
    <s v="User Not Mapped"/>
    <s v="User Not Mapped"/>
    <s v="User Not Mapped"/>
    <n v="1087459"/>
    <s v="Malloy mondal"/>
    <s v="Private Retailer"/>
    <s v="9733319377"/>
    <n v="0.25"/>
    <n v="893"/>
    <x v="7"/>
    <m/>
    <s v="2023-11-16"/>
    <s v="260202"/>
    <s v="MS S K DUTTA"/>
    <s v="9832802581"/>
  </r>
  <r>
    <s v="RCF Trombay"/>
    <s v="N.C.Urea(45kg)"/>
    <s v="WB"/>
    <x v="15"/>
    <s v="Karimpur - II"/>
    <s v="User Not Mapped"/>
    <s v="User Not Mapped"/>
    <s v="User Not Mapped"/>
    <n v="1087647"/>
    <s v="SUBODH CHANDRA MONDAL"/>
    <s v="Private Retailer"/>
    <s v="9734554979"/>
    <n v="3.1949999999999998"/>
    <n v="868"/>
    <x v="7"/>
    <m/>
    <s v="2023-12-11"/>
    <s v="342772"/>
    <s v="Subir Kumar Biswas"/>
    <s v="9932631270"/>
  </r>
  <r>
    <s v="RCF Thal"/>
    <s v="N.C.Urea(45kg)"/>
    <s v="WB"/>
    <x v="15"/>
    <s v="Karimpur - II"/>
    <s v="User Not Mapped"/>
    <s v="User Not Mapped"/>
    <s v="User Not Mapped"/>
    <n v="1132955"/>
    <s v="NUR SELIM SAHA"/>
    <s v="Private Retailer"/>
    <s v="9732410157"/>
    <n v="0.18"/>
    <n v="18"/>
    <x v="4"/>
    <m/>
    <s v="2026-04-09"/>
    <s v="260202"/>
    <s v="MS S K DUTTA"/>
    <s v="9832802581"/>
  </r>
  <r>
    <s v="RCF Trombay"/>
    <s v="15-15-15"/>
    <s v="WB"/>
    <x v="15"/>
    <s v="Karimpur - II"/>
    <s v="User Not Mapped"/>
    <s v="User Not Mapped"/>
    <s v="User Not Mapped"/>
    <n v="1132957"/>
    <s v="RAZZAK MALITHYA"/>
    <s v="Private Retailer"/>
    <s v="9609241580"/>
    <n v="0.4"/>
    <n v="738"/>
    <x v="7"/>
    <m/>
    <s v="2024-04-19"/>
    <s v="260202"/>
    <s v="MS S K DUTTA"/>
    <s v="9832802581"/>
  </r>
  <r>
    <s v="RCF Trombay"/>
    <s v="15-15-15"/>
    <s v="WB"/>
    <x v="15"/>
    <s v="Karimpur - II"/>
    <s v="User Not Mapped"/>
    <s v="User Not Mapped"/>
    <s v="User Not Mapped"/>
    <n v="1132965"/>
    <s v="TAJLU HALSANA"/>
    <s v="Private Retailer"/>
    <s v="9775604492"/>
    <n v="0.2"/>
    <n v="259"/>
    <x v="3"/>
    <m/>
    <s v="2025-08-11"/>
    <s v="260202"/>
    <s v="MS S K DUTTA"/>
    <s v="9832802581"/>
  </r>
  <r>
    <s v="RCF Trombay"/>
    <s v="15-15-15"/>
    <s v="WB"/>
    <x v="15"/>
    <s v="Karimpur - II"/>
    <s v="User Not Mapped"/>
    <s v="User Not Mapped"/>
    <s v="User Not Mapped"/>
    <n v="1132965"/>
    <s v="TAJLU HALSANA"/>
    <s v="Private Retailer"/>
    <s v="9775604492"/>
    <n v="0.25"/>
    <n v="227"/>
    <x v="3"/>
    <m/>
    <s v="2025-09-12"/>
    <s v="260202"/>
    <s v="MS S K DUTTA"/>
    <s v="9832802581"/>
  </r>
  <r>
    <s v="RCF Trombay"/>
    <s v="15-15-15"/>
    <s v="WB"/>
    <x v="15"/>
    <s v="Karimpur - II"/>
    <s v="User Not Mapped"/>
    <s v="User Not Mapped"/>
    <s v="User Not Mapped"/>
    <n v="1132965"/>
    <s v="TAJLU HALSANA"/>
    <s v="Private Retailer"/>
    <s v="9775604492"/>
    <n v="0.5"/>
    <n v="39"/>
    <x v="1"/>
    <m/>
    <s v="2026-03-19"/>
    <s v="260202"/>
    <s v="MS S K DUTTA"/>
    <s v="9832802581"/>
  </r>
  <r>
    <s v="RCF Trombay"/>
    <s v="15-15-15"/>
    <s v="WB"/>
    <x v="15"/>
    <s v="Karimpur - II"/>
    <s v="User Not Mapped"/>
    <s v="User Not Mapped"/>
    <s v="User Not Mapped"/>
    <n v="1132987"/>
    <s v="MONOTOSH PAL"/>
    <s v="Private Retailer"/>
    <s v="9734604125"/>
    <n v="0.2"/>
    <n v="129"/>
    <x v="0"/>
    <m/>
    <s v="2025-12-19"/>
    <s v="888407"/>
    <s v="MAA FERTILIZER"/>
    <s v="9800042039"/>
  </r>
  <r>
    <s v="RCF Trombay"/>
    <s v="15-15-15"/>
    <s v="WB"/>
    <x v="15"/>
    <s v="Karimpur - II"/>
    <s v="User Not Mapped"/>
    <s v="User Not Mapped"/>
    <s v="User Not Mapped"/>
    <n v="1139893"/>
    <s v="MD ANARUL MANDAL"/>
    <s v="Private Retailer"/>
    <s v="9735132725"/>
    <n v="3.2"/>
    <n v="1561"/>
    <x v="7"/>
    <m/>
    <s v="2022-01-17"/>
    <s v="1051516"/>
    <s v="SANTOSH KUMAR BISWAS"/>
    <s v="9153398386"/>
  </r>
  <r>
    <s v="RCF Thal"/>
    <s v="N.C.Urea(45kg)"/>
    <s v="WB"/>
    <x v="15"/>
    <s v="Karimpur - II"/>
    <s v="User Not Mapped"/>
    <s v="User Not Mapped"/>
    <s v="User Not Mapped"/>
    <n v="1269198"/>
    <s v="DELUAR HOSSAIN SAIKH"/>
    <s v="Private Retailer"/>
    <s v="7029038874"/>
    <n v="0.09"/>
    <n v="1251"/>
    <x v="7"/>
    <m/>
    <s v="2022-11-23"/>
    <s v="280729"/>
    <s v="M/s. Naresh Chandra Das"/>
    <s v="7365868045"/>
  </r>
  <r>
    <s v="RCF Thal"/>
    <s v="N.C.Urea(45kg)"/>
    <s v="WB"/>
    <x v="15"/>
    <s v="Karimpur - II"/>
    <s v="User Not Mapped"/>
    <s v="User Not Mapped"/>
    <s v="User Not Mapped"/>
    <n v="1269198"/>
    <s v="DELUAR HOSSAIN SAIKH"/>
    <s v="Private Retailer"/>
    <s v="7029038874"/>
    <n v="0.45"/>
    <n v="255"/>
    <x v="3"/>
    <m/>
    <s v="2025-08-15"/>
    <s v="260202"/>
    <s v="MS S K DUTTA"/>
    <s v="9832802581"/>
  </r>
  <r>
    <s v="RCF Trombay"/>
    <s v="N.C.Urea(45kg)"/>
    <s v="WB"/>
    <x v="15"/>
    <s v="Karimpur - II"/>
    <s v="User Not Mapped"/>
    <s v="User Not Mapped"/>
    <s v="User Not Mapped"/>
    <n v="1274603"/>
    <s v="M/S ISMAIL SEKH"/>
    <s v="Private Retailer"/>
    <s v="9647033182"/>
    <n v="0.72"/>
    <n v="91"/>
    <x v="5"/>
    <m/>
    <s v="2026-01-26"/>
    <s v="260202"/>
    <s v="MS S K DUTTA"/>
    <s v="9832802581"/>
  </r>
  <r>
    <s v="RCF Trombay"/>
    <s v="15-15-15"/>
    <s v="WB"/>
    <x v="15"/>
    <s v="Karimpur - II"/>
    <s v="User Not Mapped"/>
    <s v="User Not Mapped"/>
    <s v="User Not Mapped"/>
    <n v="1274609"/>
    <s v="M/S BIDWAN SHIL"/>
    <s v="Private Retailer"/>
    <s v="9564150517"/>
    <n v="0.15"/>
    <n v="65"/>
    <x v="2"/>
    <m/>
    <s v="2026-02-21"/>
    <s v="342772"/>
    <s v="Subir Kumar Biswas"/>
    <s v="9932631270"/>
  </r>
  <r>
    <s v="RCF Trombay"/>
    <s v="15-15-15"/>
    <s v="WB"/>
    <x v="15"/>
    <s v="Karimpur - II"/>
    <s v="User Not Mapped"/>
    <s v="User Not Mapped"/>
    <s v="User Not Mapped"/>
    <n v="1274609"/>
    <s v="M/S BIDWAN SHIL"/>
    <s v="Private Retailer"/>
    <s v="9564150517"/>
    <n v="0.05"/>
    <n v="357"/>
    <x v="3"/>
    <m/>
    <s v="2025-05-05"/>
    <s v="342772"/>
    <s v="Subir Kumar Biswas"/>
    <s v="9932631270"/>
  </r>
  <r>
    <s v="RCF Trombay"/>
    <s v="15-15-15"/>
    <s v="WB"/>
    <x v="15"/>
    <s v="Karimpur - II"/>
    <s v="User Not Mapped"/>
    <s v="User Not Mapped"/>
    <s v="User Not Mapped"/>
    <n v="1285599"/>
    <s v="MS GINDAR PAIK"/>
    <s v="Private Retailer"/>
    <s v="8527732028"/>
    <n v="0.65"/>
    <n v="152"/>
    <x v="0"/>
    <m/>
    <s v="2025-11-26"/>
    <s v="260202"/>
    <s v="MS S K DUTTA"/>
    <s v="9832802581"/>
  </r>
  <r>
    <s v="RCF Trombay"/>
    <s v="15-15-15"/>
    <s v="WB"/>
    <x v="15"/>
    <s v="Karimpur - II"/>
    <s v="User Not Mapped"/>
    <s v="User Not Mapped"/>
    <s v="User Not Mapped"/>
    <n v="1286121"/>
    <s v="M/S NEWTAN BISWAS"/>
    <s v="Private Retailer"/>
    <s v="9775857430"/>
    <n v="0.4"/>
    <n v="242"/>
    <x v="3"/>
    <m/>
    <s v="2025-08-28"/>
    <s v="260202"/>
    <s v="MS S K DUTTA"/>
    <s v="9832802581"/>
  </r>
  <r>
    <s v="RCF Thal"/>
    <s v="N.C.Urea(45kg)"/>
    <s v="WB"/>
    <x v="15"/>
    <s v="Karimpur - II"/>
    <s v="User Not Mapped"/>
    <s v="User Not Mapped"/>
    <s v="User Not Mapped"/>
    <n v="1513091"/>
    <s v="ANANTA KUMAR SARKAR"/>
    <s v="Private Retailer"/>
    <s v="8918881274"/>
    <n v="0.495"/>
    <n v="187"/>
    <x v="3"/>
    <m/>
    <s v="2025-10-22"/>
    <s v="260202"/>
    <s v="MS S K DUTTA"/>
    <s v="9832802581"/>
  </r>
  <r>
    <s v="RCF Trombay"/>
    <s v="N.C.Urea(45kg)"/>
    <s v="WB"/>
    <x v="15"/>
    <s v="Karimpur - II"/>
    <s v="User Not Mapped"/>
    <s v="User Not Mapped"/>
    <s v="User Not Mapped"/>
    <n v="1513091"/>
    <s v="ANANTA KUMAR SARKAR"/>
    <s v="Private Retailer"/>
    <s v="8918881274"/>
    <n v="0.9"/>
    <n v="87"/>
    <x v="2"/>
    <m/>
    <s v="2026-01-30"/>
    <s v="260202"/>
    <s v="MS S K DUTTA"/>
    <s v="9832802581"/>
  </r>
  <r>
    <s v="RCF Thal"/>
    <s v="N.C.Urea(45kg)"/>
    <s v="WB"/>
    <x v="15"/>
    <s v="Karimpur - II"/>
    <s v="User Not Mapped"/>
    <s v="User Not Mapped"/>
    <s v="User Not Mapped"/>
    <n v="1560628"/>
    <s v="RAMIZ HOSSAIN SHAIKH"/>
    <s v="Private Retailer"/>
    <s v="8768804756"/>
    <n v="1.8"/>
    <n v="278"/>
    <x v="3"/>
    <m/>
    <s v="2025-07-23"/>
    <s v="280729"/>
    <s v="M/s. Naresh Chandra Das"/>
    <s v="7365868045"/>
  </r>
  <r>
    <s v="RCF Trombay"/>
    <s v="15-15-15"/>
    <s v="WB"/>
    <x v="15"/>
    <s v="Krishnaganj"/>
    <s v="User Not Mapped"/>
    <s v="User Not Mapped"/>
    <s v="User Not Mapped"/>
    <n v="243845"/>
    <s v="Gede Skus Ltd"/>
    <s v="PACS"/>
    <s v="9932565588"/>
    <n v="10"/>
    <n v="359"/>
    <x v="3"/>
    <m/>
    <s v="2025-05-03"/>
    <s v="260177"/>
    <s v="SatyaRanjan Kundu and Brothers"/>
    <s v="7908186730"/>
  </r>
  <r>
    <s v="RCF Trombay"/>
    <s v="15-15-15"/>
    <s v="WB"/>
    <x v="15"/>
    <s v="Krishnaganj"/>
    <s v="User Not Mapped"/>
    <s v="User Not Mapped"/>
    <s v="User Not Mapped"/>
    <n v="255850"/>
    <s v="Swapan Kr Ghosh"/>
    <s v="State Marketing Federation"/>
    <s v="9734332012"/>
    <n v="10"/>
    <n v="59"/>
    <x v="1"/>
    <m/>
    <s v="2026-02-27"/>
    <s v="260177"/>
    <s v="SatyaRanjan Kundu and Brothers"/>
    <s v="7908186730"/>
  </r>
  <r>
    <s v="RCF Trombay"/>
    <s v="15-15-15"/>
    <s v="WB"/>
    <x v="15"/>
    <s v="Krishnaganj"/>
    <s v="User Not Mapped"/>
    <s v="User Not Mapped"/>
    <s v="User Not Mapped"/>
    <n v="255850"/>
    <s v="Swapan Kr Ghosh"/>
    <s v="State Marketing Federation"/>
    <s v="9734332012"/>
    <n v="2.9"/>
    <n v="91"/>
    <x v="5"/>
    <m/>
    <s v="2026-01-26"/>
    <s v="260177"/>
    <s v="SatyaRanjan Kundu and Brothers"/>
    <s v="7908186730"/>
  </r>
  <r>
    <s v="RCF Import"/>
    <s v="MOP"/>
    <s v="WB"/>
    <x v="15"/>
    <s v="Krishnaganj"/>
    <s v="User Not Mapped"/>
    <s v="User Not Mapped"/>
    <s v="User Not Mapped"/>
    <n v="255850"/>
    <s v="Swapan Kr Ghosh"/>
    <s v="State Marketing Federation"/>
    <s v="9734332012"/>
    <n v="5"/>
    <n v="59"/>
    <x v="1"/>
    <m/>
    <s v="2026-02-27"/>
    <s v="260177"/>
    <s v="SatyaRanjan Kundu and Brothers"/>
    <s v="7908186730"/>
  </r>
  <r>
    <s v="RCF Trombay"/>
    <s v="N.C.Urea(45kg)"/>
    <s v="WB"/>
    <x v="15"/>
    <s v="Krishnaganj"/>
    <s v="User Not Mapped"/>
    <s v="User Not Mapped"/>
    <s v="User Not Mapped"/>
    <n v="272890"/>
    <s v="SABUJ GHAR"/>
    <s v="Private Retailer"/>
    <s v="9126474975"/>
    <n v="4.7699999999999996"/>
    <n v="60"/>
    <x v="1"/>
    <m/>
    <s v="2026-02-26"/>
    <s v="260177"/>
    <s v="SatyaRanjan Kundu and Brothers"/>
    <s v="7908186730"/>
  </r>
  <r>
    <s v="RCF Import"/>
    <s v="MOP"/>
    <s v="WB"/>
    <x v="15"/>
    <s v="Krishnaganj"/>
    <s v="User Not Mapped"/>
    <s v="User Not Mapped"/>
    <s v="User Not Mapped"/>
    <n v="272890"/>
    <s v="SABUJ GHAR"/>
    <s v="Private Retailer"/>
    <s v="9126474975"/>
    <n v="10"/>
    <n v="67"/>
    <x v="2"/>
    <m/>
    <s v="2026-02-19"/>
    <s v="260177"/>
    <s v="SatyaRanjan Kundu and Brothers"/>
    <s v="7908186730"/>
  </r>
  <r>
    <s v="RCF Import"/>
    <s v="MOP"/>
    <s v="WB"/>
    <x v="15"/>
    <s v="Krishnaganj"/>
    <s v="User Not Mapped"/>
    <s v="User Not Mapped"/>
    <s v="User Not Mapped"/>
    <n v="280883"/>
    <s v="Chashi Ghar"/>
    <s v="Private Retailer"/>
    <s v="9434951519"/>
    <n v="5"/>
    <n v="65"/>
    <x v="2"/>
    <m/>
    <s v="2026-02-21"/>
    <s v="260178"/>
    <s v="M/s. Uttamendu Sarkar"/>
    <s v="9002483836"/>
  </r>
  <r>
    <s v="RCF Thal"/>
    <s v="N.C.Urea(45kg)"/>
    <s v="WB"/>
    <x v="15"/>
    <s v="Krishnaganj"/>
    <s v="User Not Mapped"/>
    <s v="User Not Mapped"/>
    <s v="User Not Mapped"/>
    <n v="323520"/>
    <s v="M/s NTKHIL KUMAR SARKAR"/>
    <s v="Private Retailer"/>
    <s v="9474592796"/>
    <n v="9.3149999999999995"/>
    <n v="20"/>
    <x v="4"/>
    <m/>
    <s v="2026-04-07"/>
    <s v="260178"/>
    <s v="M/s. Uttamendu Sarkar"/>
    <s v="9002483836"/>
  </r>
  <r>
    <s v="RCF Thal"/>
    <s v="N.C.Urea(45kg)"/>
    <s v="WB"/>
    <x v="15"/>
    <s v="Krishnaganj"/>
    <s v="User Not Mapped"/>
    <s v="User Not Mapped"/>
    <s v="User Not Mapped"/>
    <n v="323532"/>
    <s v="Pravash Ch. Biswas"/>
    <s v="Private Retailer"/>
    <s v="9609467078"/>
    <n v="8.73"/>
    <n v="23"/>
    <x v="4"/>
    <m/>
    <s v="2026-04-04"/>
    <s v="270129"/>
    <s v="Kalyan Kr. Nandi"/>
    <s v="8250914797"/>
  </r>
  <r>
    <s v="RCF Trombay"/>
    <s v="15-15-15"/>
    <s v="WB"/>
    <x v="15"/>
    <s v="Krishnaganj"/>
    <s v="User Not Mapped"/>
    <s v="User Not Mapped"/>
    <s v="User Not Mapped"/>
    <n v="323532"/>
    <s v="Pravash Ch. Biswas"/>
    <s v="Private Retailer"/>
    <s v="9609467078"/>
    <n v="10"/>
    <n v="81"/>
    <x v="2"/>
    <m/>
    <s v="2026-02-05"/>
    <s v="260177"/>
    <s v="SatyaRanjan Kundu and Brothers"/>
    <s v="7908186730"/>
  </r>
  <r>
    <s v="RCF Trombay"/>
    <s v="15-15-15"/>
    <s v="WB"/>
    <x v="15"/>
    <s v="Krishnaganj"/>
    <s v="User Not Mapped"/>
    <s v="User Not Mapped"/>
    <s v="User Not Mapped"/>
    <n v="323532"/>
    <s v="Pravash Ch. Biswas"/>
    <s v="Private Retailer"/>
    <s v="9609467078"/>
    <n v="2"/>
    <n v="131"/>
    <x v="0"/>
    <m/>
    <s v="2025-12-17"/>
    <s v="549643"/>
    <s v="M/S RATAN BISWAS"/>
    <s v="8617364808"/>
  </r>
  <r>
    <s v="RCF Trombay"/>
    <s v="15-15-15"/>
    <s v="WB"/>
    <x v="15"/>
    <s v="Krishnaganj"/>
    <s v="User Not Mapped"/>
    <s v="User Not Mapped"/>
    <s v="User Not Mapped"/>
    <n v="323579"/>
    <s v="Tapan Kr.Nath"/>
    <s v="Private Retailer"/>
    <s v="9732726299"/>
    <n v="0.4"/>
    <n v="84"/>
    <x v="2"/>
    <m/>
    <s v="2026-02-02"/>
    <s v="260178"/>
    <s v="M/s. Uttamendu Sarkar"/>
    <s v="9002483836"/>
  </r>
  <r>
    <s v="RCF Thal"/>
    <s v="N.C.Urea(45kg)"/>
    <s v="WB"/>
    <x v="15"/>
    <s v="Krishnaganj"/>
    <s v="User Not Mapped"/>
    <s v="User Not Mapped"/>
    <s v="User Not Mapped"/>
    <n v="323579"/>
    <s v="Tapan Kr.Nath"/>
    <s v="Private Retailer"/>
    <s v="9732726299"/>
    <n v="9"/>
    <n v="20"/>
    <x v="4"/>
    <m/>
    <s v="2026-04-07"/>
    <s v="260178"/>
    <s v="M/s. Uttamendu Sarkar"/>
    <s v="9002483836"/>
  </r>
  <r>
    <s v="RCF Trombay"/>
    <s v="15-15-15"/>
    <s v="WB"/>
    <x v="15"/>
    <s v="Krishnaganj"/>
    <s v="User Not Mapped"/>
    <s v="User Not Mapped"/>
    <s v="User Not Mapped"/>
    <n v="387968"/>
    <s v="Rajkumar Krishi Bhaban"/>
    <s v="Private Retailer"/>
    <s v="9093539497"/>
    <n v="0.45"/>
    <n v="1422"/>
    <x v="7"/>
    <m/>
    <s v="2022-06-05"/>
    <s v="755099"/>
    <s v="BWOWMICK TRADERS"/>
    <s v="9734838585"/>
  </r>
  <r>
    <s v="RCF Trombay"/>
    <s v="15-15-15"/>
    <s v="WB"/>
    <x v="15"/>
    <s v="Krishnaganj"/>
    <s v="User Not Mapped"/>
    <s v="User Not Mapped"/>
    <s v="User Not Mapped"/>
    <n v="440764"/>
    <s v="M/S Bhaumik Traders"/>
    <s v="Private Retailer"/>
    <s v="7908928310"/>
    <n v="0.1"/>
    <n v="60"/>
    <x v="1"/>
    <m/>
    <s v="2026-02-26"/>
    <s v="260210"/>
    <s v="Gouri Sankar Kundu            "/>
    <s v="9064539774"/>
  </r>
  <r>
    <s v="RCF Import"/>
    <s v="MOP"/>
    <s v="WB"/>
    <x v="15"/>
    <s v="Krishnaganj"/>
    <s v="User Not Mapped"/>
    <s v="User Not Mapped"/>
    <s v="User Not Mapped"/>
    <n v="456762"/>
    <s v="Shashadhar Biswas"/>
    <s v="Private Retailer"/>
    <s v="9733874412"/>
    <n v="0.25"/>
    <n v="19"/>
    <x v="4"/>
    <m/>
    <s v="2026-04-08"/>
    <s v="1005236"/>
    <s v="SASANKA SEKHAR KUNDU"/>
    <s v="8250640930"/>
  </r>
  <r>
    <s v="RCF Trombay"/>
    <s v="15-15-15"/>
    <s v="WB"/>
    <x v="15"/>
    <s v="Krishnaganj"/>
    <s v="User Not Mapped"/>
    <s v="User Not Mapped"/>
    <s v="User Not Mapped"/>
    <n v="456762"/>
    <s v="Shashadhar Biswas"/>
    <s v="Private Retailer"/>
    <s v="9733874412"/>
    <n v="0.35"/>
    <n v="352"/>
    <x v="3"/>
    <m/>
    <s v="2025-05-10"/>
    <s v="1005236"/>
    <s v="SASANKA SEKHAR KUNDU"/>
    <s v="8250640930"/>
  </r>
  <r>
    <s v="RCF Import"/>
    <s v="MOP"/>
    <s v="WB"/>
    <x v="15"/>
    <s v="Krishnaganj"/>
    <s v="User Not Mapped"/>
    <s v="User Not Mapped"/>
    <s v="User Not Mapped"/>
    <n v="458414"/>
    <s v="Tewary Fertilizer"/>
    <s v="Private Retailer"/>
    <s v="6294877534"/>
    <n v="2"/>
    <n v="59"/>
    <x v="1"/>
    <m/>
    <s v="2026-02-27"/>
    <s v="260177"/>
    <s v="SatyaRanjan Kundu and Brothers"/>
    <s v="7908186730"/>
  </r>
  <r>
    <s v="RCF Trombay"/>
    <s v="N.C.Urea(45kg)"/>
    <s v="WB"/>
    <x v="15"/>
    <s v="Krishnaganj"/>
    <s v="User Not Mapped"/>
    <s v="User Not Mapped"/>
    <s v="User Not Mapped"/>
    <n v="458414"/>
    <s v="Tewary Fertilizer"/>
    <s v="Private Retailer"/>
    <s v="6294877534"/>
    <n v="2.7"/>
    <n v="59"/>
    <x v="1"/>
    <m/>
    <s v="2026-02-27"/>
    <s v="260177"/>
    <s v="SatyaRanjan Kundu and Brothers"/>
    <s v="7908186730"/>
  </r>
  <r>
    <s v="RCF Trombay"/>
    <s v="15-15-15"/>
    <s v="WB"/>
    <x v="15"/>
    <s v="Krishnaganj"/>
    <s v="User Not Mapped"/>
    <s v="User Not Mapped"/>
    <s v="User Not Mapped"/>
    <n v="458414"/>
    <s v="Tewary Fertilizer"/>
    <s v="Private Retailer"/>
    <s v="6294877534"/>
    <n v="4.25"/>
    <n v="59"/>
    <x v="1"/>
    <m/>
    <s v="2026-02-27"/>
    <s v="260177"/>
    <s v="SatyaRanjan Kundu and Brothers"/>
    <s v="7908186730"/>
  </r>
  <r>
    <s v="RCF Thal"/>
    <s v="N.C.Urea(45kg)"/>
    <s v="WB"/>
    <x v="15"/>
    <s v="Krishnaganj"/>
    <s v="User Not Mapped"/>
    <s v="User Not Mapped"/>
    <s v="User Not Mapped"/>
    <n v="463359"/>
    <s v="Tarun Choudhury"/>
    <s v="Private Retailer"/>
    <s v="9932724926"/>
    <n v="27.405000000000001"/>
    <n v="161"/>
    <x v="0"/>
    <m/>
    <s v="2025-11-17"/>
    <s v="260177"/>
    <s v="SatyaRanjan Kundu and Brothers"/>
    <s v="7908186730"/>
  </r>
  <r>
    <s v="RCF Trombay"/>
    <s v="N.C.Urea(45kg)"/>
    <s v="WB"/>
    <x v="15"/>
    <s v="Krishnaganj"/>
    <s v="User Not Mapped"/>
    <s v="User Not Mapped"/>
    <s v="User Not Mapped"/>
    <n v="487606"/>
    <s v="New Probir Biswas"/>
    <s v="Private Retailer"/>
    <s v="9434800014"/>
    <n v="1.395"/>
    <n v="143"/>
    <x v="0"/>
    <m/>
    <s v="2025-12-05"/>
    <s v="280729"/>
    <s v="M/s. Naresh Chandra Das"/>
    <s v="7365868045"/>
  </r>
  <r>
    <s v="RCF Trombay"/>
    <s v="N.C.Urea(45kg)"/>
    <s v="WB"/>
    <x v="15"/>
    <s v="Krishnaganj"/>
    <s v="User Not Mapped"/>
    <s v="User Not Mapped"/>
    <s v="User Not Mapped"/>
    <n v="487606"/>
    <s v="New Probir Biswas"/>
    <s v="Private Retailer"/>
    <s v="9434800014"/>
    <n v="0.67500000000000004"/>
    <n v="175"/>
    <x v="0"/>
    <m/>
    <s v="2025-11-03"/>
    <s v="280729"/>
    <s v="M/s. Naresh Chandra Das"/>
    <s v="7365868045"/>
  </r>
  <r>
    <s v="RCF Thal"/>
    <s v="N.C.Urea(45kg)"/>
    <s v="WB"/>
    <x v="15"/>
    <s v="Krishnaganj"/>
    <s v="User Not Mapped"/>
    <s v="User Not Mapped"/>
    <s v="User Not Mapped"/>
    <n v="487606"/>
    <s v="New Probir Biswas"/>
    <s v="Private Retailer"/>
    <s v="9434800014"/>
    <n v="0.54"/>
    <n v="214"/>
    <x v="3"/>
    <m/>
    <s v="2025-09-25"/>
    <s v="214222"/>
    <s v="Mahamaya Enterprise"/>
    <s v="8348217174"/>
  </r>
  <r>
    <s v="RCF Thal"/>
    <s v="N.C.Urea(45kg)"/>
    <s v="WB"/>
    <x v="15"/>
    <s v="Krishnaganj"/>
    <s v="User Not Mapped"/>
    <s v="User Not Mapped"/>
    <s v="User Not Mapped"/>
    <n v="487606"/>
    <s v="New Probir Biswas"/>
    <s v="Private Retailer"/>
    <s v="9434800014"/>
    <n v="3.6"/>
    <n v="143"/>
    <x v="0"/>
    <m/>
    <s v="2025-12-05"/>
    <s v="280729"/>
    <s v="M/s. Naresh Chandra Das"/>
    <s v="7365868045"/>
  </r>
  <r>
    <s v="RCF Thal"/>
    <s v="N.C.Urea(45kg)"/>
    <s v="WB"/>
    <x v="15"/>
    <s v="Krishnaganj"/>
    <s v="User Not Mapped"/>
    <s v="User Not Mapped"/>
    <s v="User Not Mapped"/>
    <n v="487606"/>
    <s v="New Probir Biswas"/>
    <s v="Private Retailer"/>
    <s v="9434800014"/>
    <n v="5.49"/>
    <n v="46"/>
    <x v="1"/>
    <m/>
    <s v="2026-03-12"/>
    <s v="281284"/>
    <s v="Sadhan Kumar Ghosh"/>
    <s v="7602136568"/>
  </r>
  <r>
    <s v="RCF Trombay"/>
    <s v="15-15-15"/>
    <s v="WB"/>
    <x v="15"/>
    <s v="Krishnaganj"/>
    <s v="User Not Mapped"/>
    <s v="User Not Mapped"/>
    <s v="User Not Mapped"/>
    <n v="487606"/>
    <s v="New Probir Biswas"/>
    <s v="Private Retailer"/>
    <s v="9434800014"/>
    <n v="1.7"/>
    <n v="63"/>
    <x v="2"/>
    <m/>
    <s v="2026-02-23"/>
    <s v="281284"/>
    <s v="Sadhan Kumar Ghosh"/>
    <s v="7602136568"/>
  </r>
  <r>
    <s v="RCF Thal"/>
    <s v="N.C.Urea(45kg)"/>
    <s v="WB"/>
    <x v="15"/>
    <s v="Krishnaganj"/>
    <s v="User Not Mapped"/>
    <s v="User Not Mapped"/>
    <s v="User Not Mapped"/>
    <n v="498190"/>
    <s v="Sasanka Sekhar Kundu"/>
    <s v="Private Retailer"/>
    <s v="8250640930"/>
    <n v="37.484999999999999"/>
    <n v="24"/>
    <x v="4"/>
    <m/>
    <s v="2026-04-03"/>
    <s v="270129"/>
    <s v="Kalyan Kr. Nandi"/>
    <s v="8250914797"/>
  </r>
  <r>
    <s v="RCF Thal"/>
    <s v="N.C.Urea(45kg)"/>
    <s v="WB"/>
    <x v="15"/>
    <s v="Krishnaganj"/>
    <s v="User Not Mapped"/>
    <s v="User Not Mapped"/>
    <s v="User Not Mapped"/>
    <n v="498190"/>
    <s v="Sasanka Sekhar Kundu"/>
    <s v="Private Retailer"/>
    <s v="8250640930"/>
    <n v="49.95"/>
    <n v="21"/>
    <x v="4"/>
    <m/>
    <s v="2026-04-06"/>
    <s v="260177"/>
    <s v="SatyaRanjan Kundu and Brothers"/>
    <s v="7908186730"/>
  </r>
  <r>
    <s v="RCF Trombay"/>
    <s v="N.C.Urea(45kg)"/>
    <s v="WB"/>
    <x v="15"/>
    <s v="Krishnaganj"/>
    <s v="User Not Mapped"/>
    <s v="User Not Mapped"/>
    <s v="User Not Mapped"/>
    <n v="498190"/>
    <s v="Sasanka Sekhar Kundu"/>
    <s v="Private Retailer"/>
    <s v="8250640930"/>
    <n v="8.82"/>
    <n v="62"/>
    <x v="2"/>
    <m/>
    <s v="2026-02-24"/>
    <s v="270129"/>
    <s v="Kalyan Kr. Nandi"/>
    <s v="8250914797"/>
  </r>
  <r>
    <s v="RCF Trombay"/>
    <s v="15-15-15"/>
    <s v="WB"/>
    <x v="15"/>
    <s v="Krishnaganj"/>
    <s v="User Not Mapped"/>
    <s v="User Not Mapped"/>
    <s v="User Not Mapped"/>
    <n v="498190"/>
    <s v="Sasanka Sekhar Kundu"/>
    <s v="Private Retailer"/>
    <s v="8250640930"/>
    <n v="19.399999999999999"/>
    <n v="62"/>
    <x v="2"/>
    <m/>
    <s v="2026-02-24"/>
    <s v="270129"/>
    <s v="Kalyan Kr. Nandi"/>
    <s v="8250914797"/>
  </r>
  <r>
    <s v="RCF Import"/>
    <s v="MOP"/>
    <s v="WB"/>
    <x v="15"/>
    <s v="Krishnaganj"/>
    <s v="User Not Mapped"/>
    <s v="User Not Mapped"/>
    <s v="User Not Mapped"/>
    <n v="498190"/>
    <s v="Sasanka Sekhar Kundu"/>
    <s v="Private Retailer"/>
    <s v="8250640930"/>
    <n v="13.5"/>
    <n v="63"/>
    <x v="2"/>
    <m/>
    <s v="2026-02-23"/>
    <s v="270129"/>
    <s v="Kalyan Kr. Nandi"/>
    <s v="8250914797"/>
  </r>
  <r>
    <s v="RCF Import"/>
    <s v="MOP"/>
    <s v="WB"/>
    <x v="15"/>
    <s v="Krishnaganj"/>
    <s v="User Not Mapped"/>
    <s v="User Not Mapped"/>
    <s v="User Not Mapped"/>
    <n v="500913"/>
    <s v="M/s Ghosh Fertilizer"/>
    <s v="Private Retailer"/>
    <s v="9735630917"/>
    <n v="2.5"/>
    <n v="62"/>
    <x v="2"/>
    <m/>
    <s v="2026-02-24"/>
    <s v="270129"/>
    <s v="Kalyan Kr. Nandi"/>
    <s v="8250914797"/>
  </r>
  <r>
    <s v="RCF Trombay"/>
    <s v="15-15-15"/>
    <s v="WB"/>
    <x v="15"/>
    <s v="Krishnaganj"/>
    <s v="User Not Mapped"/>
    <s v="User Not Mapped"/>
    <s v="User Not Mapped"/>
    <n v="517121"/>
    <s v="Krishak Sathi"/>
    <s v="Private Retailer"/>
    <s v="9609260081"/>
    <n v="8.5500000000000007"/>
    <n v="1052"/>
    <x v="7"/>
    <m/>
    <s v="2023-06-10"/>
    <s v="280729"/>
    <s v="M/s. Naresh Chandra Das"/>
    <s v="7365868045"/>
  </r>
  <r>
    <s v="RCF Trombay"/>
    <s v="15-15-15"/>
    <s v="WB"/>
    <x v="15"/>
    <s v="Krishnaganj"/>
    <s v="User Not Mapped"/>
    <s v="User Not Mapped"/>
    <s v="User Not Mapped"/>
    <n v="554519"/>
    <s v="New Chasi Ghar"/>
    <s v="Private Retailer"/>
    <s v="7407702280"/>
    <n v="3"/>
    <n v="62"/>
    <x v="2"/>
    <m/>
    <s v="2026-02-24"/>
    <s v="260178"/>
    <s v="M/s. Uttamendu Sarkar"/>
    <s v="9002483836"/>
  </r>
  <r>
    <s v="RCF Trombay"/>
    <s v="N.C.Urea(45kg)"/>
    <s v="WB"/>
    <x v="15"/>
    <s v="Krishnaganj"/>
    <s v="User Not Mapped"/>
    <s v="User Not Mapped"/>
    <s v="User Not Mapped"/>
    <n v="554519"/>
    <s v="New Chasi Ghar"/>
    <s v="Private Retailer"/>
    <s v="7407702280"/>
    <n v="1.0349999999999999"/>
    <n v="62"/>
    <x v="2"/>
    <m/>
    <s v="2026-02-24"/>
    <s v="260178"/>
    <s v="M/s. Uttamendu Sarkar"/>
    <s v="9002483836"/>
  </r>
  <r>
    <s v="RCF Import"/>
    <s v="MOP"/>
    <s v="WB"/>
    <x v="15"/>
    <s v="Krishnaganj"/>
    <s v="User Not Mapped"/>
    <s v="User Not Mapped"/>
    <s v="User Not Mapped"/>
    <n v="554519"/>
    <s v="New Chasi Ghar"/>
    <s v="Private Retailer"/>
    <s v="7407702280"/>
    <n v="3.25"/>
    <n v="65"/>
    <x v="2"/>
    <m/>
    <s v="2026-02-21"/>
    <s v="260178"/>
    <s v="M/s. Uttamendu Sarkar"/>
    <s v="9002483836"/>
  </r>
  <r>
    <s v="RCF Trombay"/>
    <s v="N.C.Urea(45kg)"/>
    <s v="WB"/>
    <x v="15"/>
    <s v="Krishnaganj"/>
    <s v="User Not Mapped"/>
    <s v="User Not Mapped"/>
    <s v="User Not Mapped"/>
    <n v="604902"/>
    <s v="TANOY NATH"/>
    <s v="Private Retailer"/>
    <s v="9734645454"/>
    <n v="3.78"/>
    <n v="90"/>
    <x v="2"/>
    <m/>
    <s v="2026-01-27"/>
    <s v="260178"/>
    <s v="M/s. Uttamendu Sarkar"/>
    <s v="9002483836"/>
  </r>
  <r>
    <s v="RCF Trombay"/>
    <s v="15-15-15"/>
    <s v="WB"/>
    <x v="15"/>
    <s v="Krishnaganj"/>
    <s v="User Not Mapped"/>
    <s v="User Not Mapped"/>
    <s v="User Not Mapped"/>
    <n v="605812"/>
    <s v="KRISHI PROGATI"/>
    <s v="Private Retailer"/>
    <s v="9775928097"/>
    <n v="0.8"/>
    <n v="140"/>
    <x v="0"/>
    <m/>
    <s v="2025-12-08"/>
    <s v="260177"/>
    <s v="SatyaRanjan Kundu and Brothers"/>
    <s v="7908186730"/>
  </r>
  <r>
    <s v="RCF Trombay"/>
    <s v="15-15-15"/>
    <s v="WB"/>
    <x v="15"/>
    <s v="Krishnaganj"/>
    <s v="User Not Mapped"/>
    <s v="User Not Mapped"/>
    <s v="User Not Mapped"/>
    <n v="606351"/>
    <s v="BISWAS FERTILISER"/>
    <s v="Private Retailer"/>
    <s v="9474340663"/>
    <n v="0.1"/>
    <n v="339"/>
    <x v="3"/>
    <m/>
    <s v="2025-05-23"/>
    <s v="1005236"/>
    <s v="SASANKA SEKHAR KUNDU"/>
    <s v="8250640930"/>
  </r>
  <r>
    <s v="RCF Trombay"/>
    <s v="15-15-15"/>
    <s v="WB"/>
    <x v="15"/>
    <s v="Krishnaganj"/>
    <s v="User Not Mapped"/>
    <s v="User Not Mapped"/>
    <s v="User Not Mapped"/>
    <n v="607246"/>
    <s v="PALI BISWAS"/>
    <s v="Private Retailer"/>
    <s v="8001092986"/>
    <n v="0.7"/>
    <n v="143"/>
    <x v="0"/>
    <m/>
    <s v="2025-12-05"/>
    <s v="260179"/>
    <s v="Tarun Kumar Saha"/>
    <s v="8116312974"/>
  </r>
  <r>
    <s v="RCF Thal"/>
    <s v="N.C.Urea(45kg)"/>
    <s v="WB"/>
    <x v="15"/>
    <s v="Krishnaganj"/>
    <s v="User Not Mapped"/>
    <s v="User Not Mapped"/>
    <s v="User Not Mapped"/>
    <n v="774801"/>
    <s v="SINGHA FERTILIZER"/>
    <s v="Private Retailer"/>
    <s v="8116147452"/>
    <n v="0.13500000000000001"/>
    <n v="254"/>
    <x v="3"/>
    <m/>
    <s v="2025-08-16"/>
    <s v="260177"/>
    <s v="SatyaRanjan Kundu and Brothers"/>
    <s v="7908186730"/>
  </r>
  <r>
    <s v="RCF Thal"/>
    <s v="N.C.Urea(45kg)"/>
    <s v="WB"/>
    <x v="15"/>
    <s v="Krishnaganj"/>
    <s v="User Not Mapped"/>
    <s v="User Not Mapped"/>
    <s v="User Not Mapped"/>
    <n v="775041"/>
    <s v="KRISHNA RAY"/>
    <s v="Private Retailer"/>
    <s v="9775548526"/>
    <n v="4.9950000000000001"/>
    <n v="23"/>
    <x v="4"/>
    <m/>
    <s v="2026-04-04"/>
    <s v="259034"/>
    <s v="MS Guha And Co"/>
    <s v="8695359505"/>
  </r>
  <r>
    <s v="RCF Thal"/>
    <s v="N.C.Urea(45kg)"/>
    <s v="WB"/>
    <x v="15"/>
    <s v="Krishnaganj"/>
    <s v="User Not Mapped"/>
    <s v="User Not Mapped"/>
    <s v="User Not Mapped"/>
    <n v="775041"/>
    <s v="KRISHNA RAY"/>
    <s v="Private Retailer"/>
    <s v="9775548526"/>
    <n v="1.575"/>
    <n v="214"/>
    <x v="3"/>
    <m/>
    <s v="2025-09-25"/>
    <s v="214222"/>
    <s v="Mahamaya Enterprise"/>
    <s v="8348217174"/>
  </r>
  <r>
    <s v="RCF Import"/>
    <s v="MOP"/>
    <s v="WB"/>
    <x v="15"/>
    <s v="Krishnaganj"/>
    <s v="User Not Mapped"/>
    <s v="User Not Mapped"/>
    <s v="User Not Mapped"/>
    <n v="775041"/>
    <s v="KRISHNA RAY"/>
    <s v="Private Retailer"/>
    <s v="9775548526"/>
    <n v="5"/>
    <n v="58"/>
    <x v="1"/>
    <m/>
    <s v="2026-02-28"/>
    <s v="1210862"/>
    <s v="S.S.P ENTERPRISE"/>
    <s v="9635197281"/>
  </r>
  <r>
    <s v="RCF Trombay"/>
    <s v="15-15-15"/>
    <s v="WB"/>
    <x v="15"/>
    <s v="Krishnaganj"/>
    <s v="User Not Mapped"/>
    <s v="User Not Mapped"/>
    <s v="User Not Mapped"/>
    <n v="775041"/>
    <s v="KRISHNA RAY"/>
    <s v="Private Retailer"/>
    <s v="9775548526"/>
    <n v="2.4500000000000002"/>
    <n v="143"/>
    <x v="0"/>
    <m/>
    <s v="2025-12-05"/>
    <s v="260179"/>
    <s v="Tarun Kumar Saha"/>
    <s v="8116312974"/>
  </r>
  <r>
    <s v="RCF Trombay"/>
    <s v="15-15-15"/>
    <s v="WB"/>
    <x v="15"/>
    <s v="Krishnaganj"/>
    <s v="User Not Mapped"/>
    <s v="User Not Mapped"/>
    <s v="User Not Mapped"/>
    <n v="797169"/>
    <s v="RUPAM KRISHI BIPANI"/>
    <s v="Private Retailer"/>
    <s v="9475102811"/>
    <n v="0.1"/>
    <n v="810"/>
    <x v="7"/>
    <m/>
    <s v="2024-02-07"/>
    <s v="281284"/>
    <s v="Sadhan Kumar Ghosh"/>
    <s v="7602136568"/>
  </r>
  <r>
    <s v="RCF Trombay"/>
    <s v="15-15-15"/>
    <s v="WB"/>
    <x v="15"/>
    <s v="Krishnaganj"/>
    <s v="User Not Mapped"/>
    <s v="User Not Mapped"/>
    <s v="User Not Mapped"/>
    <n v="852156"/>
    <s v="Pal Fertilizer"/>
    <s v="Private Retailer"/>
    <s v="9932336085"/>
    <n v="2.35"/>
    <n v="90"/>
    <x v="2"/>
    <m/>
    <s v="2026-01-27"/>
    <s v="280729"/>
    <s v="M/s. Naresh Chandra Das"/>
    <s v="7365868045"/>
  </r>
  <r>
    <s v="RCF Import"/>
    <s v="MOP"/>
    <s v="WB"/>
    <x v="15"/>
    <s v="Krishnaganj"/>
    <s v="User Not Mapped"/>
    <s v="User Not Mapped"/>
    <s v="User Not Mapped"/>
    <n v="854870"/>
    <s v="BISWAJIT MONDAL"/>
    <s v="Private Retailer"/>
    <s v="6296285059"/>
    <n v="5"/>
    <n v="58"/>
    <x v="1"/>
    <m/>
    <s v="2026-02-28"/>
    <s v="260177"/>
    <s v="SatyaRanjan Kundu and Brothers"/>
    <s v="7908186730"/>
  </r>
  <r>
    <s v="RCF Thal"/>
    <s v="N.C.Urea(45kg)"/>
    <s v="WB"/>
    <x v="15"/>
    <s v="Krishnaganj"/>
    <s v="User Not Mapped"/>
    <s v="User Not Mapped"/>
    <s v="User Not Mapped"/>
    <n v="854870"/>
    <s v="BISWAJIT MONDAL"/>
    <s v="Private Retailer"/>
    <s v="6296285059"/>
    <n v="4.9950000000000001"/>
    <n v="14"/>
    <x v="4"/>
    <m/>
    <s v="2026-04-13"/>
    <s v="270129"/>
    <s v="Kalyan Kr. Nandi"/>
    <s v="8250914797"/>
  </r>
  <r>
    <s v="RCF Trombay"/>
    <s v="N.C.Urea(45kg)"/>
    <s v="WB"/>
    <x v="15"/>
    <s v="Krishnaganj"/>
    <s v="User Not Mapped"/>
    <s v="User Not Mapped"/>
    <s v="User Not Mapped"/>
    <n v="854870"/>
    <s v="BISWAJIT MONDAL"/>
    <s v="Private Retailer"/>
    <s v="6296285059"/>
    <n v="4.4999999999999998E-2"/>
    <n v="83"/>
    <x v="2"/>
    <m/>
    <s v="2026-02-03"/>
    <s v="214222"/>
    <s v="Mahamaya Enterprise"/>
    <s v="8348217174"/>
  </r>
  <r>
    <s v="RCF Trombay"/>
    <s v="15-15-15"/>
    <s v="WB"/>
    <x v="15"/>
    <s v="Krishnaganj"/>
    <s v="User Not Mapped"/>
    <s v="User Not Mapped"/>
    <s v="User Not Mapped"/>
    <n v="854870"/>
    <s v="BISWAJIT MONDAL"/>
    <s v="Private Retailer"/>
    <s v="6296285059"/>
    <n v="1.9"/>
    <n v="83"/>
    <x v="2"/>
    <m/>
    <s v="2026-02-03"/>
    <s v="214222"/>
    <s v="Mahamaya Enterprise"/>
    <s v="8348217174"/>
  </r>
  <r>
    <s v="RCF Trombay"/>
    <s v="15-15-15"/>
    <s v="WB"/>
    <x v="15"/>
    <s v="Krishnaganj"/>
    <s v="User Not Mapped"/>
    <s v="User Not Mapped"/>
    <s v="User Not Mapped"/>
    <n v="867705"/>
    <s v="M/s Sabuj Biplab"/>
    <s v="Private Retailer"/>
    <s v="7427989014"/>
    <n v="0.85"/>
    <n v="287"/>
    <x v="3"/>
    <m/>
    <s v="2025-07-14"/>
    <s v="260178"/>
    <s v="M/s. Uttamendu Sarkar"/>
    <s v="9002483836"/>
  </r>
  <r>
    <s v="RCF Trombay"/>
    <s v="15-15-15"/>
    <s v="WB"/>
    <x v="15"/>
    <s v="Krishnaganj"/>
    <s v="User Not Mapped"/>
    <s v="User Not Mapped"/>
    <s v="User Not Mapped"/>
    <n v="882147"/>
    <s v="BIMAL KUMAR BISWAS"/>
    <s v="Private Retailer"/>
    <s v="9733905974"/>
    <n v="0.15"/>
    <n v="297"/>
    <x v="3"/>
    <m/>
    <s v="2025-07-04"/>
    <s v="260178"/>
    <s v="M/s. Uttamendu Sarkar"/>
    <s v="9002483836"/>
  </r>
  <r>
    <s v="RCF Trombay"/>
    <s v="15-15-15"/>
    <s v="WB"/>
    <x v="15"/>
    <s v="Krishnaganj"/>
    <s v="User Not Mapped"/>
    <s v="User Not Mapped"/>
    <s v="User Not Mapped"/>
    <n v="918930"/>
    <s v="DINBANDHU BISWAS"/>
    <s v="Private Retailer"/>
    <s v="9933712833"/>
    <n v="0.2"/>
    <n v="344"/>
    <x v="3"/>
    <m/>
    <s v="2025-05-18"/>
    <s v="1005236"/>
    <s v="SASANKA SEKHAR KUNDU"/>
    <s v="8250640930"/>
  </r>
  <r>
    <s v="RCF Trombay"/>
    <s v="15-15-15"/>
    <s v="WB"/>
    <x v="15"/>
    <s v="Krishnaganj"/>
    <s v="User Not Mapped"/>
    <s v="User Not Mapped"/>
    <s v="User Not Mapped"/>
    <n v="919842"/>
    <s v="KRISHI BIPLOB PROP ASIT KUMAR "/>
    <s v="Private Retailer"/>
    <s v="9800725288"/>
    <n v="0.05"/>
    <n v="1316"/>
    <x v="7"/>
    <m/>
    <s v="2022-09-19"/>
    <s v="260202"/>
    <s v="MS S K DUTTA"/>
    <s v="9832802581"/>
  </r>
  <r>
    <s v="RCF Trombay"/>
    <s v="15-15-15"/>
    <s v="WB"/>
    <x v="15"/>
    <s v="Krishnaganj"/>
    <s v="User Not Mapped"/>
    <s v="User Not Mapped"/>
    <s v="User Not Mapped"/>
    <n v="919846"/>
    <s v="MONDAL FARTILIZER PROP GOUTAM "/>
    <s v="Private Retailer"/>
    <s v="8926045652"/>
    <n v="0.25"/>
    <n v="143"/>
    <x v="0"/>
    <m/>
    <s v="2025-12-05"/>
    <s v="260179"/>
    <s v="Tarun Kumar Saha"/>
    <s v="8116312974"/>
  </r>
  <r>
    <s v="RCF Import"/>
    <s v="MOP"/>
    <s v="WB"/>
    <x v="15"/>
    <s v="Krishnaganj"/>
    <s v="User Not Mapped"/>
    <s v="User Not Mapped"/>
    <s v="User Not Mapped"/>
    <n v="919846"/>
    <s v="MONDAL FARTILIZER PROP GOUTAM "/>
    <s v="Private Retailer"/>
    <s v="8926045652"/>
    <n v="0.25"/>
    <n v="16"/>
    <x v="4"/>
    <m/>
    <s v="2026-04-11"/>
    <s v="1005236"/>
    <s v="SASANKA SEKHAR KUNDU"/>
    <s v="8250640930"/>
  </r>
  <r>
    <s v="RCF Trombay"/>
    <s v="15-15-15"/>
    <s v="WB"/>
    <x v="15"/>
    <s v="Krishnaganj"/>
    <s v="User Not Mapped"/>
    <s v="User Not Mapped"/>
    <s v="User Not Mapped"/>
    <n v="919920"/>
    <s v="NEW SARKAR FERTILIZER PROP TAP"/>
    <s v="Private Retailer"/>
    <s v="8436673275"/>
    <n v="0.2"/>
    <n v="344"/>
    <x v="3"/>
    <m/>
    <s v="2025-05-18"/>
    <s v="1005236"/>
    <s v="SASANKA SEKHAR KUNDU"/>
    <s v="8250640930"/>
  </r>
  <r>
    <s v="RCF Trombay"/>
    <s v="N.C.Urea(45kg)"/>
    <s v="WB"/>
    <x v="15"/>
    <s v="Krishnaganj"/>
    <s v="User Not Mapped"/>
    <s v="User Not Mapped"/>
    <s v="User Not Mapped"/>
    <n v="919920"/>
    <s v="NEW SARKAR FERTILIZER PROP TAP"/>
    <s v="Private Retailer"/>
    <s v="8436673275"/>
    <n v="4.4999999999999998E-2"/>
    <n v="555"/>
    <x v="7"/>
    <m/>
    <s v="2024-10-19"/>
    <s v="1005236"/>
    <s v="SASANKA SEKHAR KUNDU"/>
    <s v="8250640930"/>
  </r>
  <r>
    <s v="RCF Trombay"/>
    <s v="15-15-15"/>
    <s v="WB"/>
    <x v="15"/>
    <s v="Krishnaganj"/>
    <s v="User Not Mapped"/>
    <s v="User Not Mapped"/>
    <s v="User Not Mapped"/>
    <n v="919920"/>
    <s v="NEW SARKAR FERTILIZER PROP TAP"/>
    <s v="Private Retailer"/>
    <s v="8436673275"/>
    <n v="0.15"/>
    <n v="568"/>
    <x v="7"/>
    <m/>
    <s v="2024-10-06"/>
    <s v="1005236"/>
    <s v="SASANKA SEKHAR KUNDU"/>
    <s v="8250640930"/>
  </r>
  <r>
    <s v="RCF Trombay"/>
    <s v="N.C.Urea(45kg)"/>
    <s v="WB"/>
    <x v="15"/>
    <s v="Krishnaganj"/>
    <s v="User Not Mapped"/>
    <s v="User Not Mapped"/>
    <s v="User Not Mapped"/>
    <n v="919965"/>
    <s v="PARIMAL BISWAS"/>
    <s v="Private Retailer"/>
    <s v="9547284054"/>
    <n v="0.73"/>
    <n v="224"/>
    <x v="3"/>
    <m/>
    <s v="2025-09-15"/>
    <s v="549643"/>
    <s v="M/S RATAN BISWAS"/>
    <s v="8617364808"/>
  </r>
  <r>
    <s v="RCF Trombay"/>
    <s v="15-15-15"/>
    <s v="WB"/>
    <x v="15"/>
    <s v="Krishnaganj"/>
    <s v="User Not Mapped"/>
    <s v="User Not Mapped"/>
    <s v="User Not Mapped"/>
    <n v="919965"/>
    <s v="PARIMAL BISWAS"/>
    <s v="Private Retailer"/>
    <s v="9547284054"/>
    <n v="1.79"/>
    <n v="91"/>
    <x v="5"/>
    <m/>
    <s v="2026-01-26"/>
    <s v="281284"/>
    <s v="Sadhan Kumar Ghosh"/>
    <s v="7602136568"/>
  </r>
  <r>
    <s v="RCF Trombay"/>
    <s v="15-15-15"/>
    <s v="WB"/>
    <x v="15"/>
    <s v="Krishnaganj"/>
    <s v="User Not Mapped"/>
    <s v="User Not Mapped"/>
    <s v="User Not Mapped"/>
    <n v="1062965"/>
    <s v="KRISHI BHABAN "/>
    <s v="Private Retailer"/>
    <s v="9679013898"/>
    <n v="1"/>
    <n v="81"/>
    <x v="2"/>
    <m/>
    <s v="2026-02-05"/>
    <s v="281284"/>
    <s v="Sadhan Kumar Ghosh"/>
    <s v="7602136568"/>
  </r>
  <r>
    <s v="RCF Trombay"/>
    <s v="N.C.Urea(45kg)"/>
    <s v="WB"/>
    <x v="15"/>
    <s v="Krishnaganj"/>
    <s v="User Not Mapped"/>
    <s v="User Not Mapped"/>
    <s v="User Not Mapped"/>
    <n v="1462374"/>
    <s v="DEBASHISH DAS"/>
    <s v="Private Retailer"/>
    <s v="7908043471"/>
    <n v="4.4999999999999998E-2"/>
    <n v="182"/>
    <x v="3"/>
    <m/>
    <s v="2025-10-27"/>
    <s v="214222"/>
    <s v="Mahamaya Enterprise"/>
    <s v="8348217174"/>
  </r>
  <r>
    <s v="RCF Thal"/>
    <s v="N.C.Urea(45kg)"/>
    <s v="WB"/>
    <x v="15"/>
    <s v="Krishnaganj"/>
    <s v="User Not Mapped"/>
    <s v="User Not Mapped"/>
    <s v="User Not Mapped"/>
    <n v="1462374"/>
    <s v="DEBASHISH DAS"/>
    <s v="Private Retailer"/>
    <s v="7908043471"/>
    <n v="0.13500000000000001"/>
    <n v="279"/>
    <x v="3"/>
    <m/>
    <s v="2025-07-22"/>
    <s v="270129"/>
    <s v="Kalyan Kr. Nandi"/>
    <s v="8250914797"/>
  </r>
  <r>
    <s v="RCF Trombay"/>
    <s v="15-15-15"/>
    <s v="WB"/>
    <x v="15"/>
    <s v="Krishnagar - I"/>
    <s v="User Not Mapped"/>
    <s v="User Not Mapped"/>
    <s v="User Not Mapped"/>
    <n v="212865"/>
    <s v="Nitai Mallick"/>
    <s v="Private Retailer"/>
    <s v="8617362776"/>
    <n v="5"/>
    <n v="79"/>
    <x v="2"/>
    <m/>
    <s v="2026-02-07"/>
    <s v="1210862"/>
    <s v="S.S.P ENTERPRISE"/>
    <s v="9635197281"/>
  </r>
  <r>
    <s v="RCF Trombay"/>
    <s v="15-15-15"/>
    <s v="WB"/>
    <x v="15"/>
    <s v="Krishnagar - I"/>
    <s v="User Not Mapped"/>
    <s v="User Not Mapped"/>
    <s v="User Not Mapped"/>
    <n v="212865"/>
    <s v="Nitai Mallick"/>
    <s v="Private Retailer"/>
    <s v="8617362776"/>
    <n v="0.45"/>
    <n v="243"/>
    <x v="3"/>
    <m/>
    <s v="2025-08-27"/>
    <s v="214222"/>
    <s v="Mahamaya Enterprise"/>
    <s v="8348217174"/>
  </r>
  <r>
    <s v="RCF Trombay"/>
    <s v="N.C.Urea(45kg)"/>
    <s v="WB"/>
    <x v="15"/>
    <s v="Krishnagar - I"/>
    <s v="User Not Mapped"/>
    <s v="User Not Mapped"/>
    <s v="User Not Mapped"/>
    <n v="212865"/>
    <s v="Nitai Mallick"/>
    <s v="Private Retailer"/>
    <s v="8617362776"/>
    <n v="2.1150000000000002"/>
    <n v="213"/>
    <x v="3"/>
    <m/>
    <s v="2025-09-26"/>
    <s v="280729"/>
    <s v="M/s. Naresh Chandra Das"/>
    <s v="7365868045"/>
  </r>
  <r>
    <s v="RCF Thal"/>
    <s v="N.C.Urea(45kg)"/>
    <s v="WB"/>
    <x v="15"/>
    <s v="Krishnagar - I"/>
    <s v="User Not Mapped"/>
    <s v="User Not Mapped"/>
    <s v="User Not Mapped"/>
    <n v="212865"/>
    <s v="Nitai Mallick"/>
    <s v="Private Retailer"/>
    <s v="8617362776"/>
    <n v="9.99"/>
    <n v="25"/>
    <x v="4"/>
    <m/>
    <s v="2026-04-02"/>
    <s v="270129"/>
    <s v="Kalyan Kr. Nandi"/>
    <s v="8250914797"/>
  </r>
  <r>
    <s v="RCF Trombay"/>
    <s v="15-15-15"/>
    <s v="WB"/>
    <x v="15"/>
    <s v="Krishnagar - I"/>
    <s v="User Not Mapped"/>
    <s v="User Not Mapped"/>
    <s v="User Not Mapped"/>
    <n v="212995"/>
    <s v="Ashutosh Das"/>
    <s v="Private Retailer"/>
    <s v="9474339810"/>
    <n v="6.45"/>
    <n v="62"/>
    <x v="2"/>
    <m/>
    <s v="2026-02-24"/>
    <s v="259034"/>
    <s v="MS Guha And Co"/>
    <s v="8695359505"/>
  </r>
  <r>
    <s v="RCF Trombay"/>
    <s v="15-15-15"/>
    <s v="WB"/>
    <x v="15"/>
    <s v="Krishnagar - I"/>
    <s v="User Not Mapped"/>
    <s v="User Not Mapped"/>
    <s v="User Not Mapped"/>
    <n v="218859"/>
    <s v="Sanjoy Joarder"/>
    <s v="Private Retailer"/>
    <s v="9635606686"/>
    <n v="2.4"/>
    <n v="68"/>
    <x v="2"/>
    <m/>
    <s v="2026-02-18"/>
    <s v="260177"/>
    <s v="SatyaRanjan Kundu and Brothers"/>
    <s v="7908186730"/>
  </r>
  <r>
    <s v="RCF Trombay"/>
    <s v="15-15-15"/>
    <s v="WB"/>
    <x v="15"/>
    <s v="Krishnagar - I"/>
    <s v="User Not Mapped"/>
    <s v="User Not Mapped"/>
    <s v="User Not Mapped"/>
    <n v="218859"/>
    <s v="Sanjoy Joarder"/>
    <s v="Private Retailer"/>
    <s v="9635606686"/>
    <n v="1"/>
    <n v="42"/>
    <x v="1"/>
    <m/>
    <s v="2026-03-16"/>
    <s v="260178"/>
    <s v="M/s. Uttamendu Sarkar"/>
    <s v="9002483836"/>
  </r>
  <r>
    <s v="RCF Import"/>
    <s v="MOP"/>
    <s v="WB"/>
    <x v="15"/>
    <s v="Krishnagar - I"/>
    <s v="User Not Mapped"/>
    <s v="User Not Mapped"/>
    <s v="User Not Mapped"/>
    <n v="218859"/>
    <s v="Sanjoy Joarder"/>
    <s v="Private Retailer"/>
    <s v="9635606686"/>
    <n v="1"/>
    <n v="42"/>
    <x v="1"/>
    <m/>
    <s v="2026-03-16"/>
    <s v="260178"/>
    <s v="M/s. Uttamendu Sarkar"/>
    <s v="9002483836"/>
  </r>
  <r>
    <s v="RCF Trombay"/>
    <s v="N.C.Urea(45kg)"/>
    <s v="WB"/>
    <x v="15"/>
    <s v="Krishnagar - I"/>
    <s v="User Not Mapped"/>
    <s v="User Not Mapped"/>
    <s v="User Not Mapped"/>
    <n v="218872"/>
    <s v="Subodh Biswas"/>
    <s v="Private Retailer"/>
    <s v="9547717375"/>
    <n v="2.4750000000000001"/>
    <n v="62"/>
    <x v="2"/>
    <m/>
    <s v="2026-02-24"/>
    <s v="260178"/>
    <s v="M/s. Uttamendu Sarkar"/>
    <s v="9002483836"/>
  </r>
  <r>
    <s v="RCF Import"/>
    <s v="MOP"/>
    <s v="WB"/>
    <x v="15"/>
    <s v="Krishnagar - I"/>
    <s v="User Not Mapped"/>
    <s v="User Not Mapped"/>
    <s v="User Not Mapped"/>
    <n v="218872"/>
    <s v="Subodh Biswas"/>
    <s v="Private Retailer"/>
    <s v="9547717375"/>
    <n v="1.95"/>
    <n v="65"/>
    <x v="2"/>
    <m/>
    <s v="2026-02-21"/>
    <s v="260178"/>
    <s v="M/s. Uttamendu Sarkar"/>
    <s v="9002483836"/>
  </r>
  <r>
    <s v="RCF Trombay"/>
    <s v="N.C.Urea(45kg)"/>
    <s v="WB"/>
    <x v="15"/>
    <s v="Krishnagar - I"/>
    <s v="User Not Mapped"/>
    <s v="User Not Mapped"/>
    <s v="User Not Mapped"/>
    <n v="218872"/>
    <s v="Subodh Biswas"/>
    <s v="Private Retailer"/>
    <s v="9547717375"/>
    <n v="2.88"/>
    <n v="68"/>
    <x v="2"/>
    <m/>
    <s v="2026-02-18"/>
    <s v="260177"/>
    <s v="SatyaRanjan Kundu and Brothers"/>
    <s v="7908186730"/>
  </r>
  <r>
    <s v="RCF Trombay"/>
    <s v="15-15-15"/>
    <s v="WB"/>
    <x v="15"/>
    <s v="Krishnagar - I"/>
    <s v="User Not Mapped"/>
    <s v="User Not Mapped"/>
    <s v="User Not Mapped"/>
    <n v="218887"/>
    <s v="Bimal Podder"/>
    <s v="Private Retailer"/>
    <s v="9474424236"/>
    <n v="5.75"/>
    <n v="60"/>
    <x v="1"/>
    <m/>
    <s v="2026-02-26"/>
    <s v="280729"/>
    <s v="M/s. Naresh Chandra Das"/>
    <s v="7365868045"/>
  </r>
  <r>
    <s v="RCF Trombay"/>
    <s v="15-15-15"/>
    <s v="WB"/>
    <x v="15"/>
    <s v="Krishnagar - I"/>
    <s v="User Not Mapped"/>
    <s v="User Not Mapped"/>
    <s v="User Not Mapped"/>
    <n v="218905"/>
    <s v="GAUTAM KUNDU"/>
    <s v="Private Retailer"/>
    <s v="8967715814"/>
    <n v="0.1"/>
    <n v="157"/>
    <x v="0"/>
    <m/>
    <s v="2025-11-21"/>
    <s v="280729"/>
    <s v="M/s. Naresh Chandra Das"/>
    <s v="7365868045"/>
  </r>
  <r>
    <s v="RCF Trombay"/>
    <s v="15-15-15"/>
    <s v="WB"/>
    <x v="15"/>
    <s v="Krishnagar - I"/>
    <s v="User Not Mapped"/>
    <s v="User Not Mapped"/>
    <s v="User Not Mapped"/>
    <n v="218905"/>
    <s v="GAUTAM KUNDU"/>
    <s v="Private Retailer"/>
    <s v="8967715814"/>
    <n v="0.25"/>
    <n v="72"/>
    <x v="2"/>
    <m/>
    <s v="2026-02-14"/>
    <s v="280729"/>
    <s v="M/s. Naresh Chandra Das"/>
    <s v="7365868045"/>
  </r>
  <r>
    <s v="RCF Trombay"/>
    <s v="N.C.Urea(45kg)"/>
    <s v="WB"/>
    <x v="15"/>
    <s v="Krishnagar - I"/>
    <s v="User Not Mapped"/>
    <s v="User Not Mapped"/>
    <s v="User Not Mapped"/>
    <n v="218908"/>
    <s v="MS SANTOSIMA FERTILIZERS"/>
    <s v="Private Retailer"/>
    <s v="9647175808"/>
    <n v="1.35"/>
    <n v="54"/>
    <x v="1"/>
    <m/>
    <s v="2026-03-04"/>
    <s v="260177"/>
    <s v="SatyaRanjan Kundu and Brothers"/>
    <s v="7908186730"/>
  </r>
  <r>
    <s v="RCF Trombay"/>
    <s v="15-15-15"/>
    <s v="WB"/>
    <x v="15"/>
    <s v="Krishnagar - I"/>
    <s v="User Not Mapped"/>
    <s v="User Not Mapped"/>
    <s v="User Not Mapped"/>
    <n v="243871"/>
    <s v="M/S KARTICK CHANDRA GHOSH"/>
    <s v="Private Retailer"/>
    <s v="9382630245"/>
    <n v="0.45"/>
    <n v="73"/>
    <x v="2"/>
    <m/>
    <s v="2026-02-13"/>
    <s v="280729"/>
    <s v="M/s. Naresh Chandra Das"/>
    <s v="7365868045"/>
  </r>
  <r>
    <s v="RCF Trombay"/>
    <s v="15-15-15"/>
    <s v="WB"/>
    <x v="15"/>
    <s v="Krishnagar - I"/>
    <s v="User Not Mapped"/>
    <s v="User Not Mapped"/>
    <s v="User Not Mapped"/>
    <n v="243915"/>
    <s v="Sadhan Kumar Pal"/>
    <s v="Private Retailer"/>
    <s v="9851123729"/>
    <n v="1"/>
    <n v="54"/>
    <x v="1"/>
    <m/>
    <s v="2026-03-04"/>
    <s v="260178"/>
    <s v="M/s. Uttamendu Sarkar"/>
    <s v="9002483836"/>
  </r>
  <r>
    <s v="RCF Trombay"/>
    <s v="15-15-15"/>
    <s v="WB"/>
    <x v="15"/>
    <s v="Krishnagar - I"/>
    <s v="User Not Mapped"/>
    <s v="User Not Mapped"/>
    <s v="User Not Mapped"/>
    <n v="243915"/>
    <s v="Sadhan Kumar Pal"/>
    <s v="Private Retailer"/>
    <s v="9851123729"/>
    <n v="0.6"/>
    <n v="61"/>
    <x v="2"/>
    <m/>
    <s v="2026-02-25"/>
    <s v="260178"/>
    <s v="M/s. Uttamendu Sarkar"/>
    <s v="9002483836"/>
  </r>
  <r>
    <s v="RCF Thal"/>
    <s v="N.C.Urea(45kg)"/>
    <s v="WB"/>
    <x v="15"/>
    <s v="Krishnagar - I"/>
    <s v="User Not Mapped"/>
    <s v="User Not Mapped"/>
    <s v="User Not Mapped"/>
    <n v="243915"/>
    <s v="Sadhan Kumar Pal"/>
    <s v="Private Retailer"/>
    <s v="9851123729"/>
    <n v="4.9950000000000001"/>
    <n v="9"/>
    <x v="4"/>
    <m/>
    <s v="2026-04-18"/>
    <s v="260178"/>
    <s v="M/s. Uttamendu Sarkar"/>
    <s v="9002483836"/>
  </r>
  <r>
    <s v="RCF Thal"/>
    <s v="N.C.Urea(45kg)"/>
    <s v="WB"/>
    <x v="15"/>
    <s v="Krishnagar - I"/>
    <s v="User Not Mapped"/>
    <s v="User Not Mapped"/>
    <s v="User Not Mapped"/>
    <n v="243927"/>
    <s v="Tapas Kr Sadhukhan"/>
    <s v="Private Retailer"/>
    <s v="9749807346"/>
    <n v="8.9550000000000001"/>
    <n v="73"/>
    <x v="2"/>
    <m/>
    <s v="2026-02-13"/>
    <s v="214222"/>
    <s v="Mahamaya Enterprise"/>
    <s v="8348217174"/>
  </r>
  <r>
    <s v="RCF Trombay"/>
    <s v="15-15-15"/>
    <s v="WB"/>
    <x v="15"/>
    <s v="Krishnagar - I"/>
    <s v="User Not Mapped"/>
    <s v="User Not Mapped"/>
    <s v="User Not Mapped"/>
    <n v="243927"/>
    <s v="Tapas Kr Sadhukhan"/>
    <s v="Private Retailer"/>
    <s v="9749807346"/>
    <n v="0.25"/>
    <n v="142"/>
    <x v="0"/>
    <m/>
    <s v="2025-12-06"/>
    <s v="280729"/>
    <s v="M/s. Naresh Chandra Das"/>
    <s v="7365868045"/>
  </r>
  <r>
    <s v="RCF Thal"/>
    <s v="N.C.Urea(45kg)"/>
    <s v="WB"/>
    <x v="15"/>
    <s v="Krishnagar - I"/>
    <s v="User Not Mapped"/>
    <s v="User Not Mapped"/>
    <s v="User Not Mapped"/>
    <n v="272860"/>
    <s v="Garai Krishi Traders"/>
    <s v="Private Retailer"/>
    <s v="8170943929"/>
    <n v="7.83"/>
    <n v="22"/>
    <x v="4"/>
    <m/>
    <s v="2026-04-05"/>
    <s v="281284"/>
    <s v="Sadhan Kumar Ghosh"/>
    <s v="7602136568"/>
  </r>
  <r>
    <s v="RCF Import"/>
    <s v="MOP"/>
    <s v="WB"/>
    <x v="15"/>
    <s v="Krishnagar - I"/>
    <s v="User Not Mapped"/>
    <s v="User Not Mapped"/>
    <s v="User Not Mapped"/>
    <n v="280673"/>
    <s v="Golok Behari Saha"/>
    <s v="Private Retailer"/>
    <s v="9434957334"/>
    <n v="0.15"/>
    <n v="61"/>
    <x v="2"/>
    <m/>
    <s v="2026-02-25"/>
    <s v="260178"/>
    <s v="M/s. Uttamendu Sarkar"/>
    <s v="9002483836"/>
  </r>
  <r>
    <s v="RCF Import"/>
    <s v="MOP"/>
    <s v="WB"/>
    <x v="15"/>
    <s v="Krishnagar - I"/>
    <s v="User Not Mapped"/>
    <s v="User Not Mapped"/>
    <s v="User Not Mapped"/>
    <n v="281283"/>
    <s v="Debnath Fertilizer"/>
    <s v="Private Retailer"/>
    <s v="9434148418"/>
    <n v="1.2"/>
    <n v="60"/>
    <x v="1"/>
    <m/>
    <s v="2026-02-26"/>
    <s v="280729"/>
    <s v="M/s. Naresh Chandra Das"/>
    <s v="7365868045"/>
  </r>
  <r>
    <s v="RCF Trombay"/>
    <s v="15-15-15"/>
    <s v="WB"/>
    <x v="15"/>
    <s v="Krishnagar - I"/>
    <s v="User Not Mapped"/>
    <s v="User Not Mapped"/>
    <s v="User Not Mapped"/>
    <n v="281283"/>
    <s v="Debnath Fertilizer"/>
    <s v="Private Retailer"/>
    <s v="9434148418"/>
    <n v="6.7960000000000003"/>
    <n v="62"/>
    <x v="2"/>
    <m/>
    <s v="2026-02-24"/>
    <s v="270129"/>
    <s v="Kalyan Kr. Nandi"/>
    <s v="8250914797"/>
  </r>
  <r>
    <s v="RCF Trombay"/>
    <s v="15-15-15"/>
    <s v="WB"/>
    <x v="15"/>
    <s v="Krishnagar - I"/>
    <s v="User Not Mapped"/>
    <s v="User Not Mapped"/>
    <s v="User Not Mapped"/>
    <n v="289378"/>
    <s v="Biswanath Bhowmick"/>
    <s v="Private Retailer"/>
    <s v="9732714575"/>
    <n v="2.4049999999999998"/>
    <n v="180"/>
    <x v="0"/>
    <m/>
    <s v="2025-10-29"/>
    <s v="260177"/>
    <s v="SatyaRanjan Kundu and Brothers"/>
    <s v="7908186730"/>
  </r>
  <r>
    <s v="RCF Trombay"/>
    <s v="15-15-15"/>
    <s v="WB"/>
    <x v="15"/>
    <s v="Krishnagar - I"/>
    <s v="User Not Mapped"/>
    <s v="User Not Mapped"/>
    <s v="User Not Mapped"/>
    <n v="317121"/>
    <s v="Madhusudan Ghosh"/>
    <s v="Private Retailer"/>
    <s v="9474340996"/>
    <n v="0.05"/>
    <n v="179"/>
    <x v="0"/>
    <m/>
    <s v="2025-10-30"/>
    <s v="280729"/>
    <s v="M/s. Naresh Chandra Das"/>
    <s v="7365868045"/>
  </r>
  <r>
    <s v="RCF Trombay"/>
    <s v="15-15-15"/>
    <s v="WB"/>
    <x v="15"/>
    <s v="Krishnagar - I"/>
    <s v="User Not Mapped"/>
    <s v="User Not Mapped"/>
    <s v="User Not Mapped"/>
    <n v="323544"/>
    <s v="Ratan Kumar Ghosh"/>
    <s v="Private Retailer"/>
    <s v="8942954298"/>
    <n v="0.15"/>
    <n v="143"/>
    <x v="0"/>
    <m/>
    <s v="2025-12-05"/>
    <s v="280729"/>
    <s v="M/s. Naresh Chandra Das"/>
    <s v="7365868045"/>
  </r>
  <r>
    <s v="RCF Trombay"/>
    <s v="N.C.Urea(45kg)"/>
    <s v="WB"/>
    <x v="15"/>
    <s v="Krishnagar - I"/>
    <s v="User Not Mapped"/>
    <s v="User Not Mapped"/>
    <s v="User Not Mapped"/>
    <n v="323544"/>
    <s v="Ratan Kumar Ghosh"/>
    <s v="Private Retailer"/>
    <s v="8942954298"/>
    <n v="0.22500000000000001"/>
    <n v="40"/>
    <x v="1"/>
    <m/>
    <s v="2026-03-18"/>
    <s v="280729"/>
    <s v="M/s. Naresh Chandra Das"/>
    <s v="7365868045"/>
  </r>
  <r>
    <s v="RCF Trombay"/>
    <s v="N.C.Urea(45kg)"/>
    <s v="WB"/>
    <x v="15"/>
    <s v="Krishnagar - I"/>
    <s v="User Not Mapped"/>
    <s v="User Not Mapped"/>
    <s v="User Not Mapped"/>
    <n v="323561"/>
    <s v="TITHI FERTILISER"/>
    <s v="Private Retailer"/>
    <s v="9002697044"/>
    <n v="2.52"/>
    <n v="62"/>
    <x v="2"/>
    <m/>
    <s v="2026-02-24"/>
    <s v="260178"/>
    <s v="M/s. Uttamendu Sarkar"/>
    <s v="9002483836"/>
  </r>
  <r>
    <s v="RCF Thal"/>
    <s v="N.C.Urea(45kg)"/>
    <s v="WB"/>
    <x v="15"/>
    <s v="Krishnagar - I"/>
    <s v="User Not Mapped"/>
    <s v="User Not Mapped"/>
    <s v="User Not Mapped"/>
    <n v="323561"/>
    <s v="TITHI FERTILISER"/>
    <s v="Private Retailer"/>
    <s v="9002697044"/>
    <n v="10.98"/>
    <n v="48"/>
    <x v="1"/>
    <m/>
    <s v="2026-03-10"/>
    <s v="260178"/>
    <s v="M/s. Uttamendu Sarkar"/>
    <s v="9002483836"/>
  </r>
  <r>
    <s v="RCF Trombay"/>
    <s v="15-15-15"/>
    <s v="WB"/>
    <x v="15"/>
    <s v="Krishnagar - I"/>
    <s v="User Not Mapped"/>
    <s v="User Not Mapped"/>
    <s v="User Not Mapped"/>
    <n v="323561"/>
    <s v="TITHI FERTILISER"/>
    <s v="Private Retailer"/>
    <s v="9002697044"/>
    <n v="1.5"/>
    <n v="62"/>
    <x v="2"/>
    <m/>
    <s v="2026-02-24"/>
    <s v="260178"/>
    <s v="M/s. Uttamendu Sarkar"/>
    <s v="9002483836"/>
  </r>
  <r>
    <s v="RCF Import"/>
    <s v="MOP"/>
    <s v="WB"/>
    <x v="15"/>
    <s v="Krishnagar - I"/>
    <s v="User Not Mapped"/>
    <s v="User Not Mapped"/>
    <s v="User Not Mapped"/>
    <n v="323561"/>
    <s v="TITHI FERTILISER"/>
    <s v="Private Retailer"/>
    <s v="9002697044"/>
    <n v="4.75"/>
    <n v="65"/>
    <x v="2"/>
    <m/>
    <s v="2026-02-21"/>
    <s v="260178"/>
    <s v="M/s. Uttamendu Sarkar"/>
    <s v="9002483836"/>
  </r>
  <r>
    <s v="RCF Trombay"/>
    <s v="15-15-15"/>
    <s v="WB"/>
    <x v="15"/>
    <s v="Krishnagar - I"/>
    <s v="User Not Mapped"/>
    <s v="User Not Mapped"/>
    <s v="User Not Mapped"/>
    <n v="323572"/>
    <s v="Sudhamoy Ghosh"/>
    <s v="Private Retailer"/>
    <s v="9733970142"/>
    <n v="0.8"/>
    <n v="251"/>
    <x v="3"/>
    <m/>
    <s v="2025-08-19"/>
    <s v="260178"/>
    <s v="M/s. Uttamendu Sarkar"/>
    <s v="9002483836"/>
  </r>
  <r>
    <s v="RCF Trombay"/>
    <s v="15-15-15"/>
    <s v="WB"/>
    <x v="15"/>
    <s v="Krishnagar - I"/>
    <s v="User Not Mapped"/>
    <s v="User Not Mapped"/>
    <s v="User Not Mapped"/>
    <n v="340823"/>
    <s v="Animesh  Majumder"/>
    <s v="Private Retailer"/>
    <s v="8536809024"/>
    <n v="1"/>
    <n v="77"/>
    <x v="2"/>
    <m/>
    <s v="2026-02-09"/>
    <s v="260177"/>
    <s v="SatyaRanjan Kundu and Brothers"/>
    <s v="7908186730"/>
  </r>
  <r>
    <s v="RCF Trombay"/>
    <s v="15-15-15"/>
    <s v="WB"/>
    <x v="15"/>
    <s v="Krishnagar - I"/>
    <s v="User Not Mapped"/>
    <s v="User Not Mapped"/>
    <s v="User Not Mapped"/>
    <n v="340823"/>
    <s v="Animesh  Majumder"/>
    <s v="Private Retailer"/>
    <s v="8536809024"/>
    <n v="2"/>
    <n v="86"/>
    <x v="2"/>
    <m/>
    <s v="2026-01-31"/>
    <s v="280729"/>
    <s v="M/s. Naresh Chandra Das"/>
    <s v="7365868045"/>
  </r>
  <r>
    <s v="RCF Thal"/>
    <s v="N.C.Urea(45kg)"/>
    <s v="WB"/>
    <x v="15"/>
    <s v="Krishnagar - I"/>
    <s v="User Not Mapped"/>
    <s v="User Not Mapped"/>
    <s v="User Not Mapped"/>
    <n v="341494"/>
    <s v="Indrajit Ghosh"/>
    <s v="Private Retailer"/>
    <s v="8250886767"/>
    <n v="2.7"/>
    <n v="21"/>
    <x v="4"/>
    <m/>
    <s v="2026-04-06"/>
    <s v="260210"/>
    <s v="Gouri Sankar Kundu            "/>
    <s v="9064539774"/>
  </r>
  <r>
    <s v="RCF Import"/>
    <s v="Imp 10-26-26"/>
    <s v="WB"/>
    <x v="15"/>
    <s v="Krishnagar - I"/>
    <s v="User Not Mapped"/>
    <s v="User Not Mapped"/>
    <s v="User Not Mapped"/>
    <n v="341494"/>
    <s v="Indrajit Ghosh"/>
    <s v="Private Retailer"/>
    <s v="8250886767"/>
    <n v="0.95"/>
    <n v="29"/>
    <x v="4"/>
    <m/>
    <s v="2026-03-29"/>
    <s v="260210"/>
    <s v="Gouri Sankar Kundu            "/>
    <s v="9064539774"/>
  </r>
  <r>
    <s v="RCF Trombay"/>
    <s v="15-15-15"/>
    <s v="WB"/>
    <x v="15"/>
    <s v="Krishnagar - I"/>
    <s v="User Not Mapped"/>
    <s v="User Not Mapped"/>
    <s v="User Not Mapped"/>
    <n v="341494"/>
    <s v="Indrajit Ghosh"/>
    <s v="Private Retailer"/>
    <s v="8250886767"/>
    <n v="0.5"/>
    <n v="46"/>
    <x v="1"/>
    <m/>
    <s v="2026-03-12"/>
    <s v="260210"/>
    <s v="Gouri Sankar Kundu            "/>
    <s v="9064539774"/>
  </r>
  <r>
    <s v="RCF Import"/>
    <s v="MOP"/>
    <s v="WB"/>
    <x v="15"/>
    <s v="Krishnagar - I"/>
    <s v="User Not Mapped"/>
    <s v="User Not Mapped"/>
    <s v="User Not Mapped"/>
    <n v="341494"/>
    <s v="Indrajit Ghosh"/>
    <s v="Private Retailer"/>
    <s v="8250886767"/>
    <n v="0.25"/>
    <n v="46"/>
    <x v="1"/>
    <m/>
    <s v="2026-03-12"/>
    <s v="260210"/>
    <s v="Gouri Sankar Kundu            "/>
    <s v="9064539774"/>
  </r>
  <r>
    <s v="RCF Trombay"/>
    <s v="15-15-15"/>
    <s v="WB"/>
    <x v="15"/>
    <s v="Krishnagar - I"/>
    <s v="User Not Mapped"/>
    <s v="User Not Mapped"/>
    <s v="User Not Mapped"/>
    <n v="341494"/>
    <s v="Indrajit Ghosh"/>
    <s v="Private Retailer"/>
    <s v="8250886767"/>
    <n v="0.3"/>
    <n v="77"/>
    <x v="2"/>
    <m/>
    <s v="2026-02-09"/>
    <s v="260210"/>
    <s v="Gouri Sankar Kundu            "/>
    <s v="9064539774"/>
  </r>
  <r>
    <s v="RCF Import"/>
    <s v="Imp 10-26-26"/>
    <s v="WB"/>
    <x v="15"/>
    <s v="Krishnagar - I"/>
    <s v="User Not Mapped"/>
    <s v="User Not Mapped"/>
    <s v="User Not Mapped"/>
    <n v="341494"/>
    <s v="Indrajit Ghosh"/>
    <s v="Private Retailer"/>
    <s v="8250886767"/>
    <n v="0.5"/>
    <n v="6"/>
    <x v="4"/>
    <m/>
    <s v="2026-04-21"/>
    <s v="260210"/>
    <s v="Gouri Sankar Kundu            "/>
    <s v="9064539774"/>
  </r>
  <r>
    <s v="RCF Import"/>
    <s v="MOP"/>
    <s v="WB"/>
    <x v="15"/>
    <s v="Krishnagar - I"/>
    <s v="User Not Mapped"/>
    <s v="User Not Mapped"/>
    <s v="User Not Mapped"/>
    <n v="341494"/>
    <s v="Indrajit Ghosh"/>
    <s v="Private Retailer"/>
    <s v="8250886767"/>
    <n v="0.5"/>
    <n v="29"/>
    <x v="4"/>
    <m/>
    <s v="2026-03-29"/>
    <s v="260210"/>
    <s v="Gouri Sankar Kundu            "/>
    <s v="9064539774"/>
  </r>
  <r>
    <s v="RCF Import"/>
    <s v="MOP"/>
    <s v="WB"/>
    <x v="15"/>
    <s v="Krishnagar - I"/>
    <s v="User Not Mapped"/>
    <s v="User Not Mapped"/>
    <s v="User Not Mapped"/>
    <n v="341494"/>
    <s v="Indrajit Ghosh"/>
    <s v="Private Retailer"/>
    <s v="8250886767"/>
    <n v="0.5"/>
    <n v="6"/>
    <x v="4"/>
    <m/>
    <s v="2026-04-21"/>
    <s v="260210"/>
    <s v="Gouri Sankar Kundu            "/>
    <s v="9064539774"/>
  </r>
  <r>
    <s v="RCF Trombay"/>
    <s v="N.C.Urea(45kg)"/>
    <s v="WB"/>
    <x v="15"/>
    <s v="Krishnagar - I"/>
    <s v="User Not Mapped"/>
    <s v="User Not Mapped"/>
    <s v="User Not Mapped"/>
    <n v="355089"/>
    <s v="Kalam Uddin Shaikh"/>
    <s v="Private Retailer"/>
    <s v="9474867019"/>
    <n v="0.22500000000000001"/>
    <n v="243"/>
    <x v="3"/>
    <m/>
    <s v="2025-08-27"/>
    <s v="280729"/>
    <s v="M/s. Naresh Chandra Das"/>
    <s v="7365868045"/>
  </r>
  <r>
    <s v="RCF Trombay"/>
    <s v="N.C.Urea(45kg)"/>
    <s v="WB"/>
    <x v="15"/>
    <s v="Krishnagar - I"/>
    <s v="User Not Mapped"/>
    <s v="User Not Mapped"/>
    <s v="User Not Mapped"/>
    <n v="355089"/>
    <s v="Kalam Uddin Shaikh"/>
    <s v="Private Retailer"/>
    <s v="9474867019"/>
    <n v="4.4999999999999998E-2"/>
    <n v="437"/>
    <x v="6"/>
    <m/>
    <s v="2025-02-14"/>
    <s v="280729"/>
    <s v="M/s. Naresh Chandra Das"/>
    <s v="7365868045"/>
  </r>
  <r>
    <s v="RCF Trombay"/>
    <s v="N.C.Urea(45kg)"/>
    <s v="WB"/>
    <x v="15"/>
    <s v="Krishnagar - I"/>
    <s v="User Not Mapped"/>
    <s v="User Not Mapped"/>
    <s v="User Not Mapped"/>
    <n v="355089"/>
    <s v="Kalam Uddin Shaikh"/>
    <s v="Private Retailer"/>
    <s v="9474867019"/>
    <n v="0.09"/>
    <n v="433"/>
    <x v="6"/>
    <m/>
    <s v="2025-02-18"/>
    <s v="280729"/>
    <s v="M/s. Naresh Chandra Das"/>
    <s v="7365868045"/>
  </r>
  <r>
    <s v="RCF Trombay"/>
    <s v="N.C.Urea(45kg)"/>
    <s v="WB"/>
    <x v="15"/>
    <s v="Krishnagar - I"/>
    <s v="User Not Mapped"/>
    <s v="User Not Mapped"/>
    <s v="User Not Mapped"/>
    <n v="355089"/>
    <s v="Kalam Uddin Shaikh"/>
    <s v="Private Retailer"/>
    <s v="9474867019"/>
    <n v="0.13500000000000001"/>
    <n v="427"/>
    <x v="6"/>
    <m/>
    <s v="2025-02-24"/>
    <s v="280729"/>
    <s v="M/s. Naresh Chandra Das"/>
    <s v="7365868045"/>
  </r>
  <r>
    <s v="RCF Trombay"/>
    <s v="15-15-15"/>
    <s v="WB"/>
    <x v="15"/>
    <s v="Krishnagar - I"/>
    <s v="User Not Mapped"/>
    <s v="User Not Mapped"/>
    <s v="User Not Mapped"/>
    <n v="355089"/>
    <s v="Kalam Uddin Shaikh"/>
    <s v="Private Retailer"/>
    <s v="9474867019"/>
    <n v="0.05"/>
    <n v="313"/>
    <x v="3"/>
    <m/>
    <s v="2025-06-18"/>
    <s v="280729"/>
    <s v="M/s. Naresh Chandra Das"/>
    <s v="7365868045"/>
  </r>
  <r>
    <s v="RCF Trombay"/>
    <s v="15-15-15"/>
    <s v="WB"/>
    <x v="15"/>
    <s v="Krishnagar - I"/>
    <s v="User Not Mapped"/>
    <s v="User Not Mapped"/>
    <s v="User Not Mapped"/>
    <n v="355089"/>
    <s v="Kalam Uddin Shaikh"/>
    <s v="Private Retailer"/>
    <s v="9474867019"/>
    <n v="0.05"/>
    <n v="179"/>
    <x v="0"/>
    <m/>
    <s v="2025-10-30"/>
    <s v="280729"/>
    <s v="M/s. Naresh Chandra Das"/>
    <s v="7365868045"/>
  </r>
  <r>
    <s v="RCF Thal"/>
    <s v="N.C.Urea(45kg)"/>
    <s v="WB"/>
    <x v="15"/>
    <s v="Krishnagar - I"/>
    <s v="User Not Mapped"/>
    <s v="User Not Mapped"/>
    <s v="User Not Mapped"/>
    <n v="355089"/>
    <s v="Kalam Uddin Shaikh"/>
    <s v="Private Retailer"/>
    <s v="9474867019"/>
    <n v="0.45"/>
    <n v="135"/>
    <x v="0"/>
    <m/>
    <s v="2025-12-13"/>
    <s v="280729"/>
    <s v="M/s. Naresh Chandra Das"/>
    <s v="7365868045"/>
  </r>
  <r>
    <s v="RCF Trombay"/>
    <s v="15-15-15"/>
    <s v="WB"/>
    <x v="15"/>
    <s v="Krishnagar - I"/>
    <s v="User Not Mapped"/>
    <s v="User Not Mapped"/>
    <s v="User Not Mapped"/>
    <n v="355089"/>
    <s v="Kalam Uddin Shaikh"/>
    <s v="Private Retailer"/>
    <s v="9474867019"/>
    <n v="0.05"/>
    <n v="76"/>
    <x v="2"/>
    <m/>
    <s v="2026-02-10"/>
    <s v="280729"/>
    <s v="M/s. Naresh Chandra Das"/>
    <s v="7365868045"/>
  </r>
  <r>
    <s v="RCF Trombay"/>
    <s v="N.C.Urea(45kg)"/>
    <s v="WB"/>
    <x v="15"/>
    <s v="Krishnagar - I"/>
    <s v="User Not Mapped"/>
    <s v="User Not Mapped"/>
    <s v="User Not Mapped"/>
    <n v="355089"/>
    <s v="Kalam Uddin Shaikh"/>
    <s v="Private Retailer"/>
    <s v="9474867019"/>
    <n v="0.22500000000000001"/>
    <n v="86"/>
    <x v="2"/>
    <m/>
    <s v="2026-01-31"/>
    <s v="280729"/>
    <s v="M/s. Naresh Chandra Das"/>
    <s v="7365868045"/>
  </r>
  <r>
    <s v="RCF Trombay"/>
    <s v="15-15-15"/>
    <s v="WB"/>
    <x v="15"/>
    <s v="Krishnagar - I"/>
    <s v="User Not Mapped"/>
    <s v="User Not Mapped"/>
    <s v="User Not Mapped"/>
    <n v="355089"/>
    <s v="Kalam Uddin Shaikh"/>
    <s v="Private Retailer"/>
    <s v="9474867019"/>
    <n v="0.05"/>
    <n v="60"/>
    <x v="1"/>
    <m/>
    <s v="2026-02-26"/>
    <s v="280729"/>
    <s v="M/s. Naresh Chandra Das"/>
    <s v="7365868045"/>
  </r>
  <r>
    <s v="RCF Trombay"/>
    <s v="15-15-15"/>
    <s v="WB"/>
    <x v="15"/>
    <s v="Krishnagar - I"/>
    <s v="User Not Mapped"/>
    <s v="User Not Mapped"/>
    <s v="User Not Mapped"/>
    <n v="355089"/>
    <s v="Kalam Uddin Shaikh"/>
    <s v="Private Retailer"/>
    <s v="9474867019"/>
    <n v="0.05"/>
    <n v="47"/>
    <x v="1"/>
    <m/>
    <s v="2026-03-11"/>
    <s v="280729"/>
    <s v="M/s. Naresh Chandra Das"/>
    <s v="7365868045"/>
  </r>
  <r>
    <s v="RCF Trombay"/>
    <s v="N.C.Urea(45kg)"/>
    <s v="WB"/>
    <x v="15"/>
    <s v="Krishnagar - I"/>
    <s v="User Not Mapped"/>
    <s v="User Not Mapped"/>
    <s v="User Not Mapped"/>
    <n v="355089"/>
    <s v="Kalam Uddin Shaikh"/>
    <s v="Private Retailer"/>
    <s v="9474867019"/>
    <n v="0.315"/>
    <n v="60"/>
    <x v="1"/>
    <m/>
    <s v="2026-02-26"/>
    <s v="280729"/>
    <s v="M/s. Naresh Chandra Das"/>
    <s v="7365868045"/>
  </r>
  <r>
    <s v="RCF Thal"/>
    <s v="N.C.Urea(45kg)"/>
    <s v="WB"/>
    <x v="15"/>
    <s v="Krishnagar - I"/>
    <s v="User Not Mapped"/>
    <s v="User Not Mapped"/>
    <s v="User Not Mapped"/>
    <n v="355089"/>
    <s v="Kalam Uddin Shaikh"/>
    <s v="Private Retailer"/>
    <s v="9474867019"/>
    <n v="0.22500000000000001"/>
    <n v="47"/>
    <x v="1"/>
    <m/>
    <s v="2026-03-11"/>
    <s v="280729"/>
    <s v="M/s. Naresh Chandra Das"/>
    <s v="7365868045"/>
  </r>
  <r>
    <s v="RCF Import"/>
    <s v="MOP"/>
    <s v="WB"/>
    <x v="15"/>
    <s v="Krishnagar - I"/>
    <s v="User Not Mapped"/>
    <s v="User Not Mapped"/>
    <s v="User Not Mapped"/>
    <n v="355089"/>
    <s v="Kalam Uddin Shaikh"/>
    <s v="Private Retailer"/>
    <s v="9474867019"/>
    <n v="0.05"/>
    <n v="17"/>
    <x v="4"/>
    <m/>
    <s v="2026-04-10"/>
    <s v="280729"/>
    <s v="M/s. Naresh Chandra Das"/>
    <s v="7365868045"/>
  </r>
  <r>
    <s v="RCF Trombay"/>
    <s v="15-15-15"/>
    <s v="WB"/>
    <x v="15"/>
    <s v="Krishnagar - I"/>
    <s v="User Not Mapped"/>
    <s v="User Not Mapped"/>
    <s v="User Not Mapped"/>
    <n v="355089"/>
    <s v="Kalam Uddin Shaikh"/>
    <s v="Private Retailer"/>
    <s v="9474867019"/>
    <n v="0.35"/>
    <n v="401"/>
    <x v="6"/>
    <m/>
    <s v="2025-03-22"/>
    <s v="280729"/>
    <s v="M/s. Naresh Chandra Das"/>
    <s v="7365868045"/>
  </r>
  <r>
    <s v="RCF Trombay"/>
    <s v="15-15-15"/>
    <s v="WB"/>
    <x v="15"/>
    <s v="Krishnagar - I"/>
    <s v="User Not Mapped"/>
    <s v="User Not Mapped"/>
    <s v="User Not Mapped"/>
    <n v="355089"/>
    <s v="Kalam Uddin Shaikh"/>
    <s v="Private Retailer"/>
    <s v="9474867019"/>
    <n v="0.05"/>
    <n v="427"/>
    <x v="6"/>
    <m/>
    <s v="2025-02-24"/>
    <s v="280729"/>
    <s v="M/s. Naresh Chandra Das"/>
    <s v="7365868045"/>
  </r>
  <r>
    <s v="RCF Import"/>
    <s v="MOP"/>
    <s v="WB"/>
    <x v="15"/>
    <s v="Krishnagar - I"/>
    <s v="User Not Mapped"/>
    <s v="User Not Mapped"/>
    <s v="User Not Mapped"/>
    <n v="355089"/>
    <s v="Kalam Uddin Shaikh"/>
    <s v="Private Retailer"/>
    <s v="9474867019"/>
    <n v="0.05"/>
    <n v="487"/>
    <x v="6"/>
    <m/>
    <s v="2024-12-26"/>
    <s v="280729"/>
    <s v="M/s. Naresh Chandra Das"/>
    <s v="7365868045"/>
  </r>
  <r>
    <s v="RCF Trombay"/>
    <s v="15-15-15"/>
    <s v="WB"/>
    <x v="15"/>
    <s v="Krishnagar - I"/>
    <s v="User Not Mapped"/>
    <s v="User Not Mapped"/>
    <s v="User Not Mapped"/>
    <n v="355089"/>
    <s v="Kalam Uddin Shaikh"/>
    <s v="Private Retailer"/>
    <s v="9474867019"/>
    <n v="0.1"/>
    <n v="466"/>
    <x v="6"/>
    <m/>
    <s v="2025-01-16"/>
    <s v="280729"/>
    <s v="M/s. Naresh Chandra Das"/>
    <s v="7365868045"/>
  </r>
  <r>
    <s v="RCF Import"/>
    <s v="MOP"/>
    <s v="WB"/>
    <x v="15"/>
    <s v="Krishnagar - I"/>
    <s v="User Not Mapped"/>
    <s v="User Not Mapped"/>
    <s v="User Not Mapped"/>
    <n v="356110"/>
    <s v="Sadhan  Kr  Ghosh"/>
    <s v="Private Retailer"/>
    <s v="9800903969"/>
    <n v="1.25"/>
    <n v="22"/>
    <x v="4"/>
    <m/>
    <s v="2026-04-05"/>
    <s v="281284"/>
    <s v="Sadhan Kumar Ghosh"/>
    <s v="7602136568"/>
  </r>
  <r>
    <s v="RCF Trombay"/>
    <s v="15-15-15"/>
    <s v="WB"/>
    <x v="15"/>
    <s v="Krishnagar - I"/>
    <s v="User Not Mapped"/>
    <s v="User Not Mapped"/>
    <s v="User Not Mapped"/>
    <n v="356313"/>
    <s v="Sunil Kumar Biswas"/>
    <s v="Private Retailer"/>
    <s v="9635938901"/>
    <n v="6"/>
    <n v="67"/>
    <x v="2"/>
    <m/>
    <s v="2026-02-19"/>
    <s v="280729"/>
    <s v="M/s. Naresh Chandra Das"/>
    <s v="7365868045"/>
  </r>
  <r>
    <s v="RCF Trombay"/>
    <s v="15-15-15"/>
    <s v="WB"/>
    <x v="15"/>
    <s v="Krishnagar - I"/>
    <s v="User Not Mapped"/>
    <s v="User Not Mapped"/>
    <s v="User Not Mapped"/>
    <n v="387339"/>
    <s v="Monotosh Kr Sen"/>
    <s v="Private Retailer"/>
    <s v="9434206245"/>
    <n v="0.02"/>
    <n v="58"/>
    <x v="1"/>
    <m/>
    <s v="2026-02-28"/>
    <s v="260210"/>
    <s v="Gouri Sankar Kundu            "/>
    <s v="9064539774"/>
  </r>
  <r>
    <s v="RCF Trombay"/>
    <s v="N.C.Urea(45kg)"/>
    <s v="WB"/>
    <x v="15"/>
    <s v="Krishnagar - I"/>
    <s v="User Not Mapped"/>
    <s v="User Not Mapped"/>
    <s v="User Not Mapped"/>
    <n v="413498"/>
    <s v="Biswas Fertilizers"/>
    <s v="Private Retailer"/>
    <s v="9800494055"/>
    <n v="4.9950000000000001"/>
    <n v="58"/>
    <x v="1"/>
    <m/>
    <s v="2026-02-28"/>
    <s v="214222"/>
    <s v="Mahamaya Enterprise"/>
    <s v="8348217174"/>
  </r>
  <r>
    <s v="RCF Thal"/>
    <s v="N.C.Urea(45kg)"/>
    <s v="WB"/>
    <x v="15"/>
    <s v="Krishnagar - I"/>
    <s v="User Not Mapped"/>
    <s v="User Not Mapped"/>
    <s v="User Not Mapped"/>
    <n v="413498"/>
    <s v="Biswas Fertilizers"/>
    <s v="Private Retailer"/>
    <s v="9800494055"/>
    <n v="4.5449999999999999"/>
    <n v="24"/>
    <x v="4"/>
    <m/>
    <s v="2026-04-03"/>
    <s v="260179"/>
    <s v="Tarun Kumar Saha"/>
    <s v="8116312974"/>
  </r>
  <r>
    <s v="RCF Thal"/>
    <s v="N.C.Urea(45kg)"/>
    <s v="WB"/>
    <x v="15"/>
    <s v="Krishnagar - I"/>
    <s v="User Not Mapped"/>
    <s v="User Not Mapped"/>
    <s v="User Not Mapped"/>
    <n v="413498"/>
    <s v="Biswas Fertilizers"/>
    <s v="Private Retailer"/>
    <s v="9800494055"/>
    <n v="4.9950000000000001"/>
    <n v="23"/>
    <x v="4"/>
    <m/>
    <s v="2026-04-04"/>
    <s v="260179"/>
    <s v="Tarun Kumar Saha"/>
    <s v="8116312974"/>
  </r>
  <r>
    <s v="RCF Thal"/>
    <s v="N.C.Urea(45kg)"/>
    <s v="WB"/>
    <x v="15"/>
    <s v="Krishnagar - I"/>
    <s v="User Not Mapped"/>
    <s v="User Not Mapped"/>
    <s v="User Not Mapped"/>
    <n v="413498"/>
    <s v="Biswas Fertilizers"/>
    <s v="Private Retailer"/>
    <s v="9800494055"/>
    <n v="9.99"/>
    <n v="20"/>
    <x v="4"/>
    <m/>
    <s v="2026-04-07"/>
    <s v="280729"/>
    <s v="M/s. Naresh Chandra Das"/>
    <s v="7365868045"/>
  </r>
  <r>
    <s v="RCF Thal"/>
    <s v="N.C.Urea(45kg)"/>
    <s v="WB"/>
    <x v="15"/>
    <s v="Krishnagar - I"/>
    <s v="User Not Mapped"/>
    <s v="User Not Mapped"/>
    <s v="User Not Mapped"/>
    <n v="438886"/>
    <s v="Sudip Biswas"/>
    <s v="Private Retailer"/>
    <s v="9733902119"/>
    <n v="1.08"/>
    <n v="48"/>
    <x v="1"/>
    <m/>
    <s v="2026-03-10"/>
    <s v="259034"/>
    <s v="MS Guha And Co"/>
    <s v="8695359505"/>
  </r>
  <r>
    <s v="RCF Trombay"/>
    <s v="15-15-15"/>
    <s v="WB"/>
    <x v="15"/>
    <s v="Krishnagar - I"/>
    <s v="User Not Mapped"/>
    <s v="User Not Mapped"/>
    <s v="User Not Mapped"/>
    <n v="438900"/>
    <s v="M/S MAA LAXMi FERTILIZER"/>
    <s v="Private Retailer"/>
    <s v="9775103862"/>
    <n v="5.25"/>
    <n v="60"/>
    <x v="1"/>
    <m/>
    <s v="2026-02-26"/>
    <s v="280729"/>
    <s v="M/s. Naresh Chandra Das"/>
    <s v="7365868045"/>
  </r>
  <r>
    <s v="RCF Trombay"/>
    <s v="15-15-15"/>
    <s v="WB"/>
    <x v="15"/>
    <s v="Krishnagar - I"/>
    <s v="User Not Mapped"/>
    <s v="User Not Mapped"/>
    <s v="User Not Mapped"/>
    <n v="438902"/>
    <s v="Haradhan Biswas"/>
    <s v="Private Retailer"/>
    <s v="8509438780"/>
    <n v="0.4"/>
    <n v="457"/>
    <x v="6"/>
    <m/>
    <s v="2025-01-25"/>
    <s v="260177"/>
    <s v="SatyaRanjan Kundu and Brothers"/>
    <s v="7908186730"/>
  </r>
  <r>
    <s v="RCF Import"/>
    <s v="MOP"/>
    <s v="WB"/>
    <x v="15"/>
    <s v="Krishnagar - I"/>
    <s v="User Not Mapped"/>
    <s v="User Not Mapped"/>
    <s v="User Not Mapped"/>
    <n v="438916"/>
    <s v="M/S Sukumar Modok"/>
    <s v="Private Retailer"/>
    <s v="9564118393"/>
    <n v="0.5"/>
    <n v="25"/>
    <x v="4"/>
    <m/>
    <s v="2026-04-02"/>
    <s v="280729"/>
    <s v="M/s. Naresh Chandra Das"/>
    <s v="7365868045"/>
  </r>
  <r>
    <s v="RCF Trombay"/>
    <s v="15-15-15"/>
    <s v="WB"/>
    <x v="15"/>
    <s v="Krishnagar - I"/>
    <s v="User Not Mapped"/>
    <s v="User Not Mapped"/>
    <s v="User Not Mapped"/>
    <n v="438916"/>
    <s v="M/S Sukumar Modok"/>
    <s v="Private Retailer"/>
    <s v="9564118393"/>
    <n v="0.2"/>
    <n v="86"/>
    <x v="2"/>
    <m/>
    <s v="2026-01-31"/>
    <s v="280729"/>
    <s v="M/s. Naresh Chandra Das"/>
    <s v="7365868045"/>
  </r>
  <r>
    <s v="RCF Trombay"/>
    <s v="15-15-15"/>
    <s v="WB"/>
    <x v="15"/>
    <s v="Krishnagar - I"/>
    <s v="User Not Mapped"/>
    <s v="User Not Mapped"/>
    <s v="User Not Mapped"/>
    <n v="438916"/>
    <s v="M/S Sukumar Modok"/>
    <s v="Private Retailer"/>
    <s v="9564118393"/>
    <n v="0.5"/>
    <n v="25"/>
    <x v="4"/>
    <m/>
    <s v="2026-04-02"/>
    <s v="280729"/>
    <s v="M/s. Naresh Chandra Das"/>
    <s v="7365868045"/>
  </r>
  <r>
    <s v="RCF Import"/>
    <s v="MOP"/>
    <s v="WB"/>
    <x v="15"/>
    <s v="Krishnagar - I"/>
    <s v="User Not Mapped"/>
    <s v="User Not Mapped"/>
    <s v="User Not Mapped"/>
    <n v="439020"/>
    <s v="Ashimananda Ghosh"/>
    <s v="Private Retailer"/>
    <s v="8250452312"/>
    <n v="0.4"/>
    <n v="69"/>
    <x v="2"/>
    <m/>
    <s v="2026-02-17"/>
    <s v="281284"/>
    <s v="Sadhan Kumar Ghosh"/>
    <s v="7602136568"/>
  </r>
  <r>
    <s v="RCF Import"/>
    <s v="Imp 10-26-26"/>
    <s v="WB"/>
    <x v="15"/>
    <s v="Krishnagar - I"/>
    <s v="User Not Mapped"/>
    <s v="User Not Mapped"/>
    <s v="User Not Mapped"/>
    <n v="439020"/>
    <s v="Ashimananda Ghosh"/>
    <s v="Private Retailer"/>
    <s v="8250452312"/>
    <n v="1.25"/>
    <n v="21"/>
    <x v="4"/>
    <m/>
    <s v="2026-04-06"/>
    <s v="281284"/>
    <s v="Sadhan Kumar Ghosh"/>
    <s v="7602136568"/>
  </r>
  <r>
    <s v="RCF Thal"/>
    <s v="N.C.Urea(45kg)"/>
    <s v="WB"/>
    <x v="15"/>
    <s v="Krishnagar - I"/>
    <s v="User Not Mapped"/>
    <s v="User Not Mapped"/>
    <s v="User Not Mapped"/>
    <n v="439020"/>
    <s v="Ashimananda Ghosh"/>
    <s v="Private Retailer"/>
    <s v="8250452312"/>
    <n v="1.89"/>
    <n v="22"/>
    <x v="4"/>
    <m/>
    <s v="2026-04-05"/>
    <s v="281284"/>
    <s v="Sadhan Kumar Ghosh"/>
    <s v="7602136568"/>
  </r>
  <r>
    <s v="RCF Thal"/>
    <s v="N.C.Urea(45kg)"/>
    <s v="WB"/>
    <x v="15"/>
    <s v="Krishnagar - I"/>
    <s v="User Not Mapped"/>
    <s v="User Not Mapped"/>
    <s v="User Not Mapped"/>
    <n v="439020"/>
    <s v="Ashimananda Ghosh"/>
    <s v="Private Retailer"/>
    <s v="8250452312"/>
    <n v="4.9950000000000001"/>
    <n v="15"/>
    <x v="4"/>
    <m/>
    <s v="2026-04-12"/>
    <s v="281284"/>
    <s v="Sadhan Kumar Ghosh"/>
    <s v="7602136568"/>
  </r>
  <r>
    <s v="RCF Trombay"/>
    <s v="15-15-15"/>
    <s v="WB"/>
    <x v="15"/>
    <s v="Krishnagar - I"/>
    <s v="User Not Mapped"/>
    <s v="User Not Mapped"/>
    <s v="User Not Mapped"/>
    <n v="439038"/>
    <s v="Jagabandhu Mondal"/>
    <s v="Private Retailer"/>
    <s v="9832856750"/>
    <n v="0.8"/>
    <n v="179"/>
    <x v="0"/>
    <m/>
    <s v="2025-10-30"/>
    <s v="280729"/>
    <s v="M/s. Naresh Chandra Das"/>
    <s v="7365868045"/>
  </r>
  <r>
    <s v="RCF Thal"/>
    <s v="N.C.Urea(45kg)"/>
    <s v="WB"/>
    <x v="15"/>
    <s v="Krishnagar - I"/>
    <s v="User Not Mapped"/>
    <s v="User Not Mapped"/>
    <s v="User Not Mapped"/>
    <n v="439038"/>
    <s v="Jagabandhu Mondal"/>
    <s v="Private Retailer"/>
    <s v="9832856750"/>
    <n v="1.4999999999999999E-2"/>
    <n v="1825"/>
    <x v="7"/>
    <m/>
    <s v="2021-04-28"/>
    <s v="549643"/>
    <s v="M/S RATAN BISWAS"/>
    <s v="8617364808"/>
  </r>
  <r>
    <s v="RCF Trombay"/>
    <s v="N.C.Urea(45kg)"/>
    <s v="WB"/>
    <x v="15"/>
    <s v="Krishnagar - I"/>
    <s v="User Not Mapped"/>
    <s v="User Not Mapped"/>
    <s v="User Not Mapped"/>
    <n v="439038"/>
    <s v="Jagabandhu Mondal"/>
    <s v="Private Retailer"/>
    <s v="9832856750"/>
    <n v="0.09"/>
    <n v="230"/>
    <x v="3"/>
    <m/>
    <s v="2025-09-09"/>
    <s v="280729"/>
    <s v="M/s. Naresh Chandra Das"/>
    <s v="7365868045"/>
  </r>
  <r>
    <s v="RCF Trombay"/>
    <s v="15-15-15"/>
    <s v="WB"/>
    <x v="15"/>
    <s v="Krishnagar - I"/>
    <s v="User Not Mapped"/>
    <s v="User Not Mapped"/>
    <s v="User Not Mapped"/>
    <n v="439048"/>
    <s v="Ghosh Fertilizers"/>
    <s v="Private Retailer"/>
    <s v="9732992573"/>
    <n v="0.2"/>
    <n v="52"/>
    <x v="1"/>
    <m/>
    <s v="2026-03-06"/>
    <s v="260177"/>
    <s v="SatyaRanjan Kundu and Brothers"/>
    <s v="7908186730"/>
  </r>
  <r>
    <s v="RCF Trombay"/>
    <s v="N.C.Urea(45kg)"/>
    <s v="WB"/>
    <x v="15"/>
    <s v="Krishnagar - I"/>
    <s v="User Not Mapped"/>
    <s v="User Not Mapped"/>
    <s v="User Not Mapped"/>
    <n v="440424"/>
    <s v="Ghosh Fertilizer"/>
    <s v="Private Retailer"/>
    <s v="9635624240"/>
    <n v="1.35"/>
    <n v="227"/>
    <x v="3"/>
    <m/>
    <s v="2025-09-12"/>
    <s v="280729"/>
    <s v="M/s. Naresh Chandra Das"/>
    <s v="7365868045"/>
  </r>
  <r>
    <s v="RCF Import"/>
    <s v="Imp 10-26-26"/>
    <s v="WB"/>
    <x v="15"/>
    <s v="Krishnagar - I"/>
    <s v="User Not Mapped"/>
    <s v="User Not Mapped"/>
    <s v="User Not Mapped"/>
    <n v="440424"/>
    <s v="Ghosh Fertilizer"/>
    <s v="Private Retailer"/>
    <s v="9635624240"/>
    <n v="0.25"/>
    <n v="459"/>
    <x v="6"/>
    <m/>
    <s v="2025-01-23"/>
    <s v="280729"/>
    <s v="M/s. Naresh Chandra Das"/>
    <s v="7365868045"/>
  </r>
  <r>
    <s v="RCF Trombay"/>
    <s v="15-15-15"/>
    <s v="WB"/>
    <x v="15"/>
    <s v="Krishnagar - I"/>
    <s v="User Not Mapped"/>
    <s v="User Not Mapped"/>
    <s v="User Not Mapped"/>
    <n v="440424"/>
    <s v="Ghosh Fertilizer"/>
    <s v="Private Retailer"/>
    <s v="9635624240"/>
    <n v="0.25"/>
    <n v="32"/>
    <x v="1"/>
    <m/>
    <s v="2026-03-26"/>
    <s v="280729"/>
    <s v="M/s. Naresh Chandra Das"/>
    <s v="7365868045"/>
  </r>
  <r>
    <s v="RCF Thal"/>
    <s v="N.C.Urea(45kg)"/>
    <s v="WB"/>
    <x v="15"/>
    <s v="Krishnagar - I"/>
    <s v="User Not Mapped"/>
    <s v="User Not Mapped"/>
    <s v="User Not Mapped"/>
    <n v="440424"/>
    <s v="Ghosh Fertilizer"/>
    <s v="Private Retailer"/>
    <s v="9635624240"/>
    <n v="0.45"/>
    <n v="38"/>
    <x v="1"/>
    <m/>
    <s v="2026-03-20"/>
    <s v="280729"/>
    <s v="M/s. Naresh Chandra Das"/>
    <s v="7365868045"/>
  </r>
  <r>
    <s v="RCF Import"/>
    <s v="MOP"/>
    <s v="WB"/>
    <x v="15"/>
    <s v="Krishnagar - I"/>
    <s v="User Not Mapped"/>
    <s v="User Not Mapped"/>
    <s v="User Not Mapped"/>
    <n v="440424"/>
    <s v="Ghosh Fertilizer"/>
    <s v="Private Retailer"/>
    <s v="9635624240"/>
    <n v="0.25"/>
    <n v="59"/>
    <x v="1"/>
    <m/>
    <s v="2026-02-27"/>
    <s v="280729"/>
    <s v="M/s. Naresh Chandra Das"/>
    <s v="7365868045"/>
  </r>
  <r>
    <s v="RCF Trombay"/>
    <s v="15-15-15"/>
    <s v="WB"/>
    <x v="15"/>
    <s v="Krishnagar - I"/>
    <s v="User Not Mapped"/>
    <s v="User Not Mapped"/>
    <s v="User Not Mapped"/>
    <n v="440424"/>
    <s v="Ghosh Fertilizer"/>
    <s v="Private Retailer"/>
    <s v="9635624240"/>
    <n v="0.5"/>
    <n v="38"/>
    <x v="1"/>
    <m/>
    <s v="2026-03-20"/>
    <s v="280729"/>
    <s v="M/s. Naresh Chandra Das"/>
    <s v="7365868045"/>
  </r>
  <r>
    <s v="RCF Trombay"/>
    <s v="15-15-15"/>
    <s v="WB"/>
    <x v="15"/>
    <s v="Krishnagar - I"/>
    <s v="User Not Mapped"/>
    <s v="User Not Mapped"/>
    <s v="User Not Mapped"/>
    <n v="440424"/>
    <s v="Ghosh Fertilizer"/>
    <s v="Private Retailer"/>
    <s v="9635624240"/>
    <n v="0.25"/>
    <n v="25"/>
    <x v="4"/>
    <m/>
    <s v="2026-04-02"/>
    <s v="280729"/>
    <s v="M/s. Naresh Chandra Das"/>
    <s v="7365868045"/>
  </r>
  <r>
    <s v="RCF Trombay"/>
    <s v="N.C.Urea(45kg)"/>
    <s v="WB"/>
    <x v="15"/>
    <s v="Krishnagar - I"/>
    <s v="User Not Mapped"/>
    <s v="User Not Mapped"/>
    <s v="User Not Mapped"/>
    <n v="440424"/>
    <s v="Ghosh Fertilizer"/>
    <s v="Private Retailer"/>
    <s v="9635624240"/>
    <n v="0.67500000000000004"/>
    <n v="143"/>
    <x v="0"/>
    <m/>
    <s v="2025-12-05"/>
    <s v="280729"/>
    <s v="M/s. Naresh Chandra Das"/>
    <s v="7365868045"/>
  </r>
  <r>
    <s v="RCF Trombay"/>
    <s v="N.C.Urea(45kg)"/>
    <s v="WB"/>
    <x v="15"/>
    <s v="Krishnagar - I"/>
    <s v="User Not Mapped"/>
    <s v="User Not Mapped"/>
    <s v="User Not Mapped"/>
    <n v="440424"/>
    <s v="Ghosh Fertilizer"/>
    <s v="Private Retailer"/>
    <s v="9635624240"/>
    <n v="0.72"/>
    <n v="243"/>
    <x v="3"/>
    <m/>
    <s v="2025-08-27"/>
    <s v="280729"/>
    <s v="M/s. Naresh Chandra Das"/>
    <s v="7365868045"/>
  </r>
  <r>
    <s v="RCF Trombay"/>
    <s v="N.C.Urea(45kg)"/>
    <s v="WB"/>
    <x v="15"/>
    <s v="Krishnagar - I"/>
    <s v="User Not Mapped"/>
    <s v="User Not Mapped"/>
    <s v="User Not Mapped"/>
    <n v="440424"/>
    <s v="Ghosh Fertilizer"/>
    <s v="Private Retailer"/>
    <s v="9635624240"/>
    <n v="0.315"/>
    <n v="59"/>
    <x v="1"/>
    <m/>
    <s v="2026-02-27"/>
    <s v="280729"/>
    <s v="M/s. Naresh Chandra Das"/>
    <s v="7365868045"/>
  </r>
  <r>
    <s v="RCF Import"/>
    <s v="MOP"/>
    <s v="WB"/>
    <x v="15"/>
    <s v="Krishnagar - I"/>
    <s v="User Not Mapped"/>
    <s v="User Not Mapped"/>
    <s v="User Not Mapped"/>
    <n v="440424"/>
    <s v="Ghosh Fertilizer"/>
    <s v="Private Retailer"/>
    <s v="9635624240"/>
    <n v="0.25"/>
    <n v="25"/>
    <x v="4"/>
    <m/>
    <s v="2026-04-02"/>
    <s v="280729"/>
    <s v="M/s. Naresh Chandra Das"/>
    <s v="7365868045"/>
  </r>
  <r>
    <s v="RCF Trombay"/>
    <s v="15-15-15"/>
    <s v="WB"/>
    <x v="15"/>
    <s v="Krishnagar - I"/>
    <s v="User Not Mapped"/>
    <s v="User Not Mapped"/>
    <s v="User Not Mapped"/>
    <n v="440424"/>
    <s v="Ghosh Fertilizer"/>
    <s v="Private Retailer"/>
    <s v="9635624240"/>
    <n v="0.5"/>
    <n v="73"/>
    <x v="2"/>
    <m/>
    <s v="2026-02-13"/>
    <s v="280729"/>
    <s v="M/s. Naresh Chandra Das"/>
    <s v="7365868045"/>
  </r>
  <r>
    <s v="RCF Trombay"/>
    <s v="15-15-15"/>
    <s v="WB"/>
    <x v="15"/>
    <s v="Krishnagar - I"/>
    <s v="User Not Mapped"/>
    <s v="User Not Mapped"/>
    <s v="User Not Mapped"/>
    <n v="440424"/>
    <s v="Ghosh Fertilizer"/>
    <s v="Private Retailer"/>
    <s v="9635624240"/>
    <n v="0.4"/>
    <n v="86"/>
    <x v="2"/>
    <m/>
    <s v="2026-01-31"/>
    <s v="280729"/>
    <s v="M/s. Naresh Chandra Das"/>
    <s v="7365868045"/>
  </r>
  <r>
    <s v="RCF Import"/>
    <s v="MOP"/>
    <s v="WB"/>
    <x v="15"/>
    <s v="Krishnagar - I"/>
    <s v="User Not Mapped"/>
    <s v="User Not Mapped"/>
    <s v="User Not Mapped"/>
    <n v="440424"/>
    <s v="Ghosh Fertilizer"/>
    <s v="Private Retailer"/>
    <s v="9635624240"/>
    <n v="0.65"/>
    <n v="32"/>
    <x v="1"/>
    <m/>
    <s v="2026-03-26"/>
    <s v="280729"/>
    <s v="M/s. Naresh Chandra Das"/>
    <s v="7365868045"/>
  </r>
  <r>
    <s v="RCF Trombay"/>
    <s v="15-15-15"/>
    <s v="WB"/>
    <x v="15"/>
    <s v="Krishnagar - I"/>
    <s v="User Not Mapped"/>
    <s v="User Not Mapped"/>
    <s v="User Not Mapped"/>
    <n v="440728"/>
    <s v="ROY FERTILIZER"/>
    <s v="Private Retailer"/>
    <s v="9734089519"/>
    <n v="1"/>
    <n v="60"/>
    <x v="1"/>
    <m/>
    <s v="2026-02-26"/>
    <s v="280729"/>
    <s v="M/s. Naresh Chandra Das"/>
    <s v="7365868045"/>
  </r>
  <r>
    <s v="RCF Thal"/>
    <s v="N.C.Urea(45kg)"/>
    <s v="WB"/>
    <x v="15"/>
    <s v="Krishnagar - I"/>
    <s v="User Not Mapped"/>
    <s v="User Not Mapped"/>
    <s v="User Not Mapped"/>
    <n v="440756"/>
    <s v="Manik Ch Ghosh"/>
    <s v="Private Retailer"/>
    <s v="6294509390"/>
    <n v="0.9"/>
    <n v="12"/>
    <x v="4"/>
    <m/>
    <s v="2026-04-15"/>
    <s v="280729"/>
    <s v="M/s. Naresh Chandra Das"/>
    <s v="7365868045"/>
  </r>
  <r>
    <s v="RCF Trombay"/>
    <s v="15-15-15"/>
    <s v="WB"/>
    <x v="15"/>
    <s v="Krishnagar - I"/>
    <s v="User Not Mapped"/>
    <s v="User Not Mapped"/>
    <s v="User Not Mapped"/>
    <n v="440935"/>
    <s v="Mukherjee Fertilizer"/>
    <s v="Private Retailer"/>
    <s v="9679106036"/>
    <n v="0.5"/>
    <n v="130"/>
    <x v="0"/>
    <m/>
    <s v="2025-12-18"/>
    <s v="260178"/>
    <s v="M/s. Uttamendu Sarkar"/>
    <s v="9002483836"/>
  </r>
  <r>
    <s v="RCF Trombay"/>
    <s v="15-15-15"/>
    <s v="WB"/>
    <x v="15"/>
    <s v="Krishnagar - I"/>
    <s v="User Not Mapped"/>
    <s v="User Not Mapped"/>
    <s v="User Not Mapped"/>
    <n v="440935"/>
    <s v="Mukherjee Fertilizer"/>
    <s v="Private Retailer"/>
    <s v="9679106036"/>
    <n v="5"/>
    <n v="90"/>
    <x v="2"/>
    <m/>
    <s v="2026-01-27"/>
    <s v="260178"/>
    <s v="M/s. Uttamendu Sarkar"/>
    <s v="9002483836"/>
  </r>
  <r>
    <s v="RCF Trombay"/>
    <s v="15-15-15"/>
    <s v="WB"/>
    <x v="15"/>
    <s v="Krishnagar - I"/>
    <s v="User Not Mapped"/>
    <s v="User Not Mapped"/>
    <s v="User Not Mapped"/>
    <n v="440935"/>
    <s v="Mukherjee Fertilizer"/>
    <s v="Private Retailer"/>
    <s v="9679106036"/>
    <n v="4"/>
    <n v="62"/>
    <x v="2"/>
    <m/>
    <s v="2026-02-24"/>
    <s v="260178"/>
    <s v="M/s. Uttamendu Sarkar"/>
    <s v="9002483836"/>
  </r>
  <r>
    <s v="RCF Import"/>
    <s v="MOP"/>
    <s v="WB"/>
    <x v="15"/>
    <s v="Krishnagar - I"/>
    <s v="User Not Mapped"/>
    <s v="User Not Mapped"/>
    <s v="User Not Mapped"/>
    <n v="440935"/>
    <s v="Mukherjee Fertilizer"/>
    <s v="Private Retailer"/>
    <s v="9679106036"/>
    <n v="3.45"/>
    <n v="65"/>
    <x v="2"/>
    <m/>
    <s v="2026-02-21"/>
    <s v="260178"/>
    <s v="M/s. Uttamendu Sarkar"/>
    <s v="9002483836"/>
  </r>
  <r>
    <s v="RCF Trombay"/>
    <s v="15-15-15"/>
    <s v="WB"/>
    <x v="15"/>
    <s v="Krishnagar - I"/>
    <s v="User Not Mapped"/>
    <s v="User Not Mapped"/>
    <s v="User Not Mapped"/>
    <n v="440971"/>
    <s v="MAA BIMALA FERTILIZERS"/>
    <s v="Private Retailer"/>
    <s v="9046644014"/>
    <n v="1.25"/>
    <n v="52"/>
    <x v="1"/>
    <m/>
    <s v="2026-03-06"/>
    <s v="260177"/>
    <s v="SatyaRanjan Kundu and Brothers"/>
    <s v="7908186730"/>
  </r>
  <r>
    <s v="RCF Trombay"/>
    <s v="N.C.Urea(45kg)"/>
    <s v="WB"/>
    <x v="15"/>
    <s v="Krishnagar - I"/>
    <s v="User Not Mapped"/>
    <s v="User Not Mapped"/>
    <s v="User Not Mapped"/>
    <n v="440973"/>
    <s v="Ranat Kr Paul"/>
    <s v="Private Retailer"/>
    <s v="9800656522"/>
    <n v="0.18"/>
    <n v="452"/>
    <x v="6"/>
    <m/>
    <s v="2025-01-30"/>
    <s v="268776"/>
    <s v="Chandra Kanta Das"/>
    <s v="9830307100"/>
  </r>
  <r>
    <s v="RCF Trombay"/>
    <s v="15-15-15"/>
    <s v="WB"/>
    <x v="15"/>
    <s v="Krishnagar - I"/>
    <s v="User Not Mapped"/>
    <s v="User Not Mapped"/>
    <s v="User Not Mapped"/>
    <n v="440981"/>
    <s v="Mondal Traders"/>
    <s v="Private Retailer"/>
    <s v="8509974742"/>
    <n v="3"/>
    <n v="62"/>
    <x v="2"/>
    <m/>
    <s v="2026-02-24"/>
    <s v="259034"/>
    <s v="MS Guha And Co"/>
    <s v="8695359505"/>
  </r>
  <r>
    <s v="RCF Trombay"/>
    <s v="15-15-15"/>
    <s v="WB"/>
    <x v="15"/>
    <s v="Krishnagar - I"/>
    <s v="User Not Mapped"/>
    <s v="User Not Mapped"/>
    <s v="User Not Mapped"/>
    <n v="440981"/>
    <s v="Mondal Traders"/>
    <s v="Private Retailer"/>
    <s v="8509974742"/>
    <n v="2.35"/>
    <n v="86"/>
    <x v="2"/>
    <m/>
    <s v="2026-01-31"/>
    <s v="280729"/>
    <s v="M/s. Naresh Chandra Das"/>
    <s v="7365868045"/>
  </r>
  <r>
    <s v="RCF Trombay"/>
    <s v="N.C.Urea(45kg)"/>
    <s v="WB"/>
    <x v="15"/>
    <s v="Krishnagar - I"/>
    <s v="User Not Mapped"/>
    <s v="User Not Mapped"/>
    <s v="User Not Mapped"/>
    <n v="440981"/>
    <s v="Mondal Traders"/>
    <s v="Private Retailer"/>
    <s v="8509974742"/>
    <n v="2.4750000000000001"/>
    <n v="86"/>
    <x v="2"/>
    <m/>
    <s v="2026-01-31"/>
    <s v="280729"/>
    <s v="M/s. Naresh Chandra Das"/>
    <s v="7365868045"/>
  </r>
  <r>
    <s v="RCF Trombay"/>
    <s v="15-15-15"/>
    <s v="WB"/>
    <x v="15"/>
    <s v="Krishnagar - I"/>
    <s v="User Not Mapped"/>
    <s v="User Not Mapped"/>
    <s v="User Not Mapped"/>
    <n v="440985"/>
    <s v="Balai Chandra Khan"/>
    <s v="Private Retailer"/>
    <s v="9614263523"/>
    <n v="0.6"/>
    <n v="86"/>
    <x v="2"/>
    <m/>
    <s v="2026-01-31"/>
    <s v="280729"/>
    <s v="M/s. Naresh Chandra Das"/>
    <s v="7365868045"/>
  </r>
  <r>
    <s v="RCF Trombay"/>
    <s v="N.C.Urea(45kg)"/>
    <s v="WB"/>
    <x v="15"/>
    <s v="Krishnagar - I"/>
    <s v="User Not Mapped"/>
    <s v="User Not Mapped"/>
    <s v="User Not Mapped"/>
    <n v="440985"/>
    <s v="Balai Chandra Khan"/>
    <s v="Private Retailer"/>
    <s v="9614263523"/>
    <n v="1.17"/>
    <n v="86"/>
    <x v="2"/>
    <m/>
    <s v="2026-01-31"/>
    <s v="280729"/>
    <s v="M/s. Naresh Chandra Das"/>
    <s v="7365868045"/>
  </r>
  <r>
    <s v="RCF Trombay"/>
    <s v="15-15-15"/>
    <s v="WB"/>
    <x v="15"/>
    <s v="Krishnagar - I"/>
    <s v="User Not Mapped"/>
    <s v="User Not Mapped"/>
    <s v="User Not Mapped"/>
    <n v="440989"/>
    <s v="Ananda Gopal Garai"/>
    <s v="Private Retailer"/>
    <s v="9735173321"/>
    <n v="5"/>
    <n v="60"/>
    <x v="1"/>
    <m/>
    <s v="2026-02-26"/>
    <s v="280729"/>
    <s v="M/s. Naresh Chandra Das"/>
    <s v="7365868045"/>
  </r>
  <r>
    <s v="RCF Thal"/>
    <s v="N.C.Urea(45kg)"/>
    <s v="WB"/>
    <x v="15"/>
    <s v="Krishnagar - I"/>
    <s v="User Not Mapped"/>
    <s v="User Not Mapped"/>
    <s v="User Not Mapped"/>
    <n v="440989"/>
    <s v="Ananda Gopal Garai"/>
    <s v="Private Retailer"/>
    <s v="9735173321"/>
    <n v="4.9950000000000001"/>
    <n v="60"/>
    <x v="1"/>
    <m/>
    <s v="2026-02-26"/>
    <s v="280729"/>
    <s v="M/s. Naresh Chandra Das"/>
    <s v="7365868045"/>
  </r>
  <r>
    <s v="RCF Trombay"/>
    <s v="15-15-15"/>
    <s v="WB"/>
    <x v="15"/>
    <s v="Krishnagar - I"/>
    <s v="User Not Mapped"/>
    <s v="User Not Mapped"/>
    <s v="User Not Mapped"/>
    <n v="440989"/>
    <s v="Ananda Gopal Garai"/>
    <s v="Private Retailer"/>
    <s v="9735173321"/>
    <n v="0.55000000000000004"/>
    <n v="91"/>
    <x v="5"/>
    <m/>
    <s v="2026-01-26"/>
    <s v="280729"/>
    <s v="M/s. Naresh Chandra Das"/>
    <s v="7365868045"/>
  </r>
  <r>
    <s v="RCF Trombay"/>
    <s v="15-15-15"/>
    <s v="WB"/>
    <x v="15"/>
    <s v="Krishnagar - I"/>
    <s v="User Not Mapped"/>
    <s v="User Not Mapped"/>
    <s v="User Not Mapped"/>
    <n v="440995"/>
    <s v="Majumder Fertilizer"/>
    <s v="Private Retailer"/>
    <s v="9593061941"/>
    <n v="1.2"/>
    <n v="59"/>
    <x v="1"/>
    <m/>
    <s v="2026-02-27"/>
    <s v="280729"/>
    <s v="M/s. Naresh Chandra Das"/>
    <s v="7365868045"/>
  </r>
  <r>
    <s v="RCF Trombay"/>
    <s v="N.C.Urea(45kg)"/>
    <s v="WB"/>
    <x v="15"/>
    <s v="Krishnagar - I"/>
    <s v="User Not Mapped"/>
    <s v="User Not Mapped"/>
    <s v="User Not Mapped"/>
    <n v="440995"/>
    <s v="Majumder Fertilizer"/>
    <s v="Private Retailer"/>
    <s v="9593061941"/>
    <n v="1.665"/>
    <n v="60"/>
    <x v="1"/>
    <m/>
    <s v="2026-02-26"/>
    <s v="280729"/>
    <s v="M/s. Naresh Chandra Das"/>
    <s v="7365868045"/>
  </r>
  <r>
    <s v="RCF Trombay"/>
    <s v="N.C.Urea(45kg)"/>
    <s v="WB"/>
    <x v="15"/>
    <s v="Krishnagar - I"/>
    <s v="User Not Mapped"/>
    <s v="User Not Mapped"/>
    <s v="User Not Mapped"/>
    <n v="441501"/>
    <s v="Ratan Kr Majumder"/>
    <s v="Private Retailer"/>
    <s v="9735544761"/>
    <n v="0.9"/>
    <n v="90"/>
    <x v="2"/>
    <m/>
    <s v="2026-01-27"/>
    <s v="280729"/>
    <s v="M/s. Naresh Chandra Das"/>
    <s v="7365868045"/>
  </r>
  <r>
    <s v="RCF Trombay"/>
    <s v="N.C.Urea(45kg)"/>
    <s v="WB"/>
    <x v="15"/>
    <s v="Krishnagar - I"/>
    <s v="User Not Mapped"/>
    <s v="User Not Mapped"/>
    <s v="User Not Mapped"/>
    <n v="444043"/>
    <s v="Sarkar Fertilizer"/>
    <s v="Private Retailer"/>
    <s v="9434822065"/>
    <n v="0.72"/>
    <n v="62"/>
    <x v="2"/>
    <m/>
    <s v="2026-02-24"/>
    <s v="270129"/>
    <s v="Kalyan Kr. Nandi"/>
    <s v="8250914797"/>
  </r>
  <r>
    <s v="RCF Import"/>
    <s v="MOP"/>
    <s v="WB"/>
    <x v="15"/>
    <s v="Krishnagar - I"/>
    <s v="User Not Mapped"/>
    <s v="User Not Mapped"/>
    <s v="User Not Mapped"/>
    <n v="444043"/>
    <s v="Sarkar Fertilizer"/>
    <s v="Private Retailer"/>
    <s v="9434822065"/>
    <n v="4.0999999999999996"/>
    <n v="63"/>
    <x v="2"/>
    <m/>
    <s v="2026-02-23"/>
    <s v="270129"/>
    <s v="Kalyan Kr. Nandi"/>
    <s v="8250914797"/>
  </r>
  <r>
    <s v="RCF Trombay"/>
    <s v="15-15-15"/>
    <s v="WB"/>
    <x v="15"/>
    <s v="Krishnagar - I"/>
    <s v="User Not Mapped"/>
    <s v="User Not Mapped"/>
    <s v="User Not Mapped"/>
    <n v="444043"/>
    <s v="Sarkar Fertilizer"/>
    <s v="Private Retailer"/>
    <s v="9434822065"/>
    <n v="1.55"/>
    <n v="105"/>
    <x v="5"/>
    <m/>
    <s v="2026-01-12"/>
    <s v="1210862"/>
    <s v="S.S.P ENTERPRISE"/>
    <s v="9635197281"/>
  </r>
  <r>
    <s v="RCF Import"/>
    <s v="MOP"/>
    <s v="WB"/>
    <x v="15"/>
    <s v="Krishnagar - I"/>
    <s v="User Not Mapped"/>
    <s v="User Not Mapped"/>
    <s v="User Not Mapped"/>
    <n v="444103"/>
    <s v="Adatya Pal"/>
    <s v="Private Retailer"/>
    <s v="7872339204"/>
    <n v="0.5"/>
    <n v="17"/>
    <x v="4"/>
    <m/>
    <s v="2026-04-10"/>
    <s v="280729"/>
    <s v="M/s. Naresh Chandra Das"/>
    <s v="7365868045"/>
  </r>
  <r>
    <s v="RCF Import"/>
    <s v="MOP"/>
    <s v="WB"/>
    <x v="15"/>
    <s v="Krishnagar - I"/>
    <s v="User Not Mapped"/>
    <s v="User Not Mapped"/>
    <s v="User Not Mapped"/>
    <n v="444109"/>
    <s v="Brindaban Saha"/>
    <s v="Private Retailer"/>
    <s v="9153067921"/>
    <n v="0.25"/>
    <n v="32"/>
    <x v="1"/>
    <m/>
    <s v="2026-03-26"/>
    <s v="280729"/>
    <s v="M/s. Naresh Chandra Das"/>
    <s v="7365868045"/>
  </r>
  <r>
    <s v="RCF Trombay"/>
    <s v="15-15-15"/>
    <s v="WB"/>
    <x v="15"/>
    <s v="Krishnagar - I"/>
    <s v="User Not Mapped"/>
    <s v="User Not Mapped"/>
    <s v="User Not Mapped"/>
    <n v="444109"/>
    <s v="Brindaban Saha"/>
    <s v="Private Retailer"/>
    <s v="9153067921"/>
    <n v="0.45"/>
    <n v="38"/>
    <x v="1"/>
    <m/>
    <s v="2026-03-20"/>
    <s v="280729"/>
    <s v="M/s. Naresh Chandra Das"/>
    <s v="7365868045"/>
  </r>
  <r>
    <s v="RCF Import"/>
    <s v="MOP"/>
    <s v="WB"/>
    <x v="15"/>
    <s v="Krishnagar - I"/>
    <s v="User Not Mapped"/>
    <s v="User Not Mapped"/>
    <s v="User Not Mapped"/>
    <n v="444113"/>
    <s v="Amal Kr Biswas"/>
    <s v="Private Retailer"/>
    <s v="9732780423"/>
    <n v="2.75"/>
    <n v="62"/>
    <x v="2"/>
    <m/>
    <s v="2026-02-24"/>
    <s v="260177"/>
    <s v="SatyaRanjan Kundu and Brothers"/>
    <s v="7908186730"/>
  </r>
  <r>
    <s v="RCF Trombay"/>
    <s v="15-15-15"/>
    <s v="WB"/>
    <x v="15"/>
    <s v="Krishnagar - I"/>
    <s v="User Not Mapped"/>
    <s v="User Not Mapped"/>
    <s v="User Not Mapped"/>
    <n v="444117"/>
    <s v="Anup Kr Dey"/>
    <s v="Private Retailer"/>
    <s v="7407968750"/>
    <n v="1.8"/>
    <n v="149"/>
    <x v="0"/>
    <m/>
    <s v="2025-11-29"/>
    <s v="270129"/>
    <s v="Kalyan Kr. Nandi"/>
    <s v="8250914797"/>
  </r>
  <r>
    <s v="RCF Trombay"/>
    <s v="N.C.Urea(45kg)"/>
    <s v="WB"/>
    <x v="15"/>
    <s v="Krishnagar - I"/>
    <s v="User Not Mapped"/>
    <s v="User Not Mapped"/>
    <s v="User Not Mapped"/>
    <n v="444117"/>
    <s v="Anup Kr Dey"/>
    <s v="Private Retailer"/>
    <s v="7407968750"/>
    <n v="2.25"/>
    <n v="91"/>
    <x v="5"/>
    <m/>
    <s v="2026-01-26"/>
    <s v="270129"/>
    <s v="Kalyan Kr. Nandi"/>
    <s v="8250914797"/>
  </r>
  <r>
    <s v="RCF Trombay"/>
    <s v="15-15-15"/>
    <s v="WB"/>
    <x v="15"/>
    <s v="Krishnagar - I"/>
    <s v="User Not Mapped"/>
    <s v="User Not Mapped"/>
    <s v="User Not Mapped"/>
    <n v="444117"/>
    <s v="Anup Kr Dey"/>
    <s v="Private Retailer"/>
    <s v="7407968750"/>
    <n v="2.5"/>
    <n v="91"/>
    <x v="5"/>
    <m/>
    <s v="2026-01-26"/>
    <s v="270129"/>
    <s v="Kalyan Kr. Nandi"/>
    <s v="8250914797"/>
  </r>
  <r>
    <s v="RCF Trombay"/>
    <s v="N.C.Urea(45kg)"/>
    <s v="WB"/>
    <x v="15"/>
    <s v="Krishnagar - I"/>
    <s v="User Not Mapped"/>
    <s v="User Not Mapped"/>
    <s v="User Not Mapped"/>
    <n v="444117"/>
    <s v="Anup Kr Dey"/>
    <s v="Private Retailer"/>
    <s v="7407968750"/>
    <n v="0.9"/>
    <n v="170"/>
    <x v="0"/>
    <m/>
    <s v="2025-11-08"/>
    <s v="260177"/>
    <s v="SatyaRanjan Kundu and Brothers"/>
    <s v="7908186730"/>
  </r>
  <r>
    <s v="RCF Trombay"/>
    <s v="N.C.Urea(45kg)"/>
    <s v="WB"/>
    <x v="15"/>
    <s v="Krishnagar - I"/>
    <s v="User Not Mapped"/>
    <s v="User Not Mapped"/>
    <s v="User Not Mapped"/>
    <n v="457821"/>
    <s v="BOSE FERTILIZERS"/>
    <s v="Private Retailer"/>
    <s v="8001979216"/>
    <n v="8.2799999999999994"/>
    <n v="59"/>
    <x v="1"/>
    <m/>
    <s v="2026-02-27"/>
    <s v="260177"/>
    <s v="SatyaRanjan Kundu and Brothers"/>
    <s v="7908186730"/>
  </r>
  <r>
    <s v="RCF Trombay"/>
    <s v="15-15-15"/>
    <s v="WB"/>
    <x v="15"/>
    <s v="Krishnagar - I"/>
    <s v="User Not Mapped"/>
    <s v="User Not Mapped"/>
    <s v="User Not Mapped"/>
    <n v="457821"/>
    <s v="BOSE FERTILIZERS"/>
    <s v="Private Retailer"/>
    <s v="8001979216"/>
    <n v="4.8769999999999998"/>
    <n v="68"/>
    <x v="2"/>
    <m/>
    <s v="2026-02-18"/>
    <s v="260177"/>
    <s v="SatyaRanjan Kundu and Brothers"/>
    <s v="7908186730"/>
  </r>
  <r>
    <s v="RCF Thal"/>
    <s v="N.C.Urea(45kg)"/>
    <s v="WB"/>
    <x v="15"/>
    <s v="Krishnagar - I"/>
    <s v="User Not Mapped"/>
    <s v="User Not Mapped"/>
    <s v="User Not Mapped"/>
    <n v="457821"/>
    <s v="BOSE FERTILIZERS"/>
    <s v="Private Retailer"/>
    <s v="8001979216"/>
    <n v="9.99"/>
    <n v="17"/>
    <x v="4"/>
    <m/>
    <s v="2026-04-10"/>
    <s v="270129"/>
    <s v="Kalyan Kr. Nandi"/>
    <s v="8250914797"/>
  </r>
  <r>
    <s v="RCF Trombay"/>
    <s v="15-15-15"/>
    <s v="WB"/>
    <x v="15"/>
    <s v="Krishnagar - I"/>
    <s v="User Not Mapped"/>
    <s v="User Not Mapped"/>
    <s v="User Not Mapped"/>
    <n v="459356"/>
    <s v="Sunil Kumar Biswas"/>
    <s v="Private Retailer"/>
    <s v="8371912180"/>
    <n v="0.4"/>
    <n v="180"/>
    <x v="0"/>
    <m/>
    <s v="2025-10-29"/>
    <s v="549643"/>
    <s v="M/S RATAN BISWAS"/>
    <s v="8617364808"/>
  </r>
  <r>
    <s v="RCF Trombay"/>
    <s v="N.C.Urea(45kg)"/>
    <s v="WB"/>
    <x v="15"/>
    <s v="Krishnagar - I"/>
    <s v="User Not Mapped"/>
    <s v="User Not Mapped"/>
    <s v="User Not Mapped"/>
    <n v="459356"/>
    <s v="Sunil Kumar Biswas"/>
    <s v="Private Retailer"/>
    <s v="8371912180"/>
    <n v="2.2949999999999999"/>
    <n v="252"/>
    <x v="3"/>
    <m/>
    <s v="2025-08-18"/>
    <s v="270129"/>
    <s v="Kalyan Kr. Nandi"/>
    <s v="8250914797"/>
  </r>
  <r>
    <s v="RCF Import"/>
    <s v="MOP"/>
    <s v="WB"/>
    <x v="15"/>
    <s v="Krishnagar - I"/>
    <s v="User Not Mapped"/>
    <s v="User Not Mapped"/>
    <s v="User Not Mapped"/>
    <n v="459368"/>
    <s v="Mahananda Ghosh"/>
    <s v="Private Retailer"/>
    <s v="9083913187"/>
    <n v="0.1"/>
    <n v="32"/>
    <x v="1"/>
    <m/>
    <s v="2026-03-26"/>
    <s v="280729"/>
    <s v="M/s. Naresh Chandra Das"/>
    <s v="7365868045"/>
  </r>
  <r>
    <s v="RCF Trombay"/>
    <s v="15-15-15"/>
    <s v="WB"/>
    <x v="15"/>
    <s v="Krishnagar - I"/>
    <s v="User Not Mapped"/>
    <s v="User Not Mapped"/>
    <s v="User Not Mapped"/>
    <n v="468517"/>
    <s v="Bipad Biswas"/>
    <s v="Private Retailer"/>
    <s v="8293578205"/>
    <n v="0.25"/>
    <n v="62"/>
    <x v="2"/>
    <m/>
    <s v="2026-02-24"/>
    <s v="260177"/>
    <s v="SatyaRanjan Kundu and Brothers"/>
    <s v="7908186730"/>
  </r>
  <r>
    <s v="RCF Trombay"/>
    <s v="N.C.Urea(45kg)"/>
    <s v="WB"/>
    <x v="15"/>
    <s v="Krishnagar - I"/>
    <s v="User Not Mapped"/>
    <s v="User Not Mapped"/>
    <s v="User Not Mapped"/>
    <n v="468517"/>
    <s v="Bipad Biswas"/>
    <s v="Private Retailer"/>
    <s v="8293578205"/>
    <n v="0.08"/>
    <n v="62"/>
    <x v="2"/>
    <m/>
    <s v="2026-02-24"/>
    <s v="260177"/>
    <s v="SatyaRanjan Kundu and Brothers"/>
    <s v="7908186730"/>
  </r>
  <r>
    <s v="RCF Thal"/>
    <s v="N.C.Urea(45kg)"/>
    <s v="WB"/>
    <x v="15"/>
    <s v="Krishnagar - I"/>
    <s v="User Not Mapped"/>
    <s v="User Not Mapped"/>
    <s v="User Not Mapped"/>
    <n v="468517"/>
    <s v="Bipad Biswas"/>
    <s v="Private Retailer"/>
    <s v="8293578205"/>
    <n v="1.62"/>
    <n v="21"/>
    <x v="4"/>
    <m/>
    <s v="2026-04-06"/>
    <s v="260177"/>
    <s v="SatyaRanjan Kundu and Brothers"/>
    <s v="7908186730"/>
  </r>
  <r>
    <s v="RCF Import"/>
    <s v="MOP"/>
    <s v="WB"/>
    <x v="15"/>
    <s v="Krishnagar - I"/>
    <s v="User Not Mapped"/>
    <s v="User Not Mapped"/>
    <s v="User Not Mapped"/>
    <n v="468517"/>
    <s v="Bipad Biswas"/>
    <s v="Private Retailer"/>
    <s v="8293578205"/>
    <n v="1"/>
    <n v="62"/>
    <x v="2"/>
    <m/>
    <s v="2026-02-24"/>
    <s v="260177"/>
    <s v="SatyaRanjan Kundu and Brothers"/>
    <s v="7908186730"/>
  </r>
  <r>
    <s v="RCF Thal"/>
    <s v="N.C.Urea(45kg)"/>
    <s v="WB"/>
    <x v="15"/>
    <s v="Krishnagar - I"/>
    <s v="User Not Mapped"/>
    <s v="User Not Mapped"/>
    <s v="User Not Mapped"/>
    <n v="491357"/>
    <s v="Ashit Kr Biswas"/>
    <s v="Private Retailer"/>
    <s v="9434822081"/>
    <n v="4.59"/>
    <n v="21"/>
    <x v="4"/>
    <m/>
    <s v="2026-04-06"/>
    <s v="260177"/>
    <s v="SatyaRanjan Kundu and Brothers"/>
    <s v="7908186730"/>
  </r>
  <r>
    <s v="RCF Trombay"/>
    <s v="15-15-15"/>
    <s v="WB"/>
    <x v="15"/>
    <s v="Krishnagar - I"/>
    <s v="User Not Mapped"/>
    <s v="User Not Mapped"/>
    <s v="User Not Mapped"/>
    <n v="498224"/>
    <s v="MS Tarak Biswas"/>
    <s v="Private Retailer"/>
    <s v="7384565151"/>
    <n v="0.5"/>
    <n v="360"/>
    <x v="3"/>
    <m/>
    <s v="2025-05-02"/>
    <s v="260179"/>
    <s v="Tarun Kumar Saha"/>
    <s v="8116312974"/>
  </r>
  <r>
    <s v="RCF Thal"/>
    <s v="N.C.Urea(45kg)"/>
    <s v="WB"/>
    <x v="15"/>
    <s v="Krishnagar - I"/>
    <s v="User Not Mapped"/>
    <s v="User Not Mapped"/>
    <s v="User Not Mapped"/>
    <n v="498224"/>
    <s v="MS Tarak Biswas"/>
    <s v="Private Retailer"/>
    <s v="7384565151"/>
    <n v="0.54"/>
    <n v="457"/>
    <x v="6"/>
    <m/>
    <s v="2025-01-25"/>
    <s v="260179"/>
    <s v="Tarun Kumar Saha"/>
    <s v="8116312974"/>
  </r>
  <r>
    <s v="RCF Trombay"/>
    <s v="15-15-15"/>
    <s v="WB"/>
    <x v="15"/>
    <s v="Krishnagar - I"/>
    <s v="User Not Mapped"/>
    <s v="User Not Mapped"/>
    <s v="User Not Mapped"/>
    <n v="500891"/>
    <s v="Chakraborty Traders"/>
    <s v="Private Retailer"/>
    <s v="9732914258"/>
    <n v="0.75"/>
    <n v="83"/>
    <x v="2"/>
    <m/>
    <s v="2026-02-03"/>
    <s v="214222"/>
    <s v="Mahamaya Enterprise"/>
    <s v="8348217174"/>
  </r>
  <r>
    <s v="RCF Trombay"/>
    <s v="N.C.Urea(45kg)"/>
    <s v="WB"/>
    <x v="15"/>
    <s v="Krishnagar - I"/>
    <s v="User Not Mapped"/>
    <s v="User Not Mapped"/>
    <s v="User Not Mapped"/>
    <n v="500909"/>
    <s v="Apurba Biswas"/>
    <s v="Private Retailer"/>
    <s v="9333741209"/>
    <n v="3.15"/>
    <n v="90"/>
    <x v="2"/>
    <m/>
    <s v="2026-01-27"/>
    <s v="260178"/>
    <s v="M/s. Uttamendu Sarkar"/>
    <s v="9002483836"/>
  </r>
  <r>
    <s v="RCF Trombay"/>
    <s v="15-15-15"/>
    <s v="WB"/>
    <x v="15"/>
    <s v="Krishnagar - I"/>
    <s v="User Not Mapped"/>
    <s v="User Not Mapped"/>
    <s v="User Not Mapped"/>
    <n v="500909"/>
    <s v="Apurba Biswas"/>
    <s v="Private Retailer"/>
    <s v="9333741209"/>
    <n v="0.5"/>
    <n v="90"/>
    <x v="2"/>
    <m/>
    <s v="2026-01-27"/>
    <s v="260178"/>
    <s v="M/s. Uttamendu Sarkar"/>
    <s v="9002483836"/>
  </r>
  <r>
    <s v="RCF Thal"/>
    <s v="N.C.Urea(45kg)"/>
    <s v="WB"/>
    <x v="15"/>
    <s v="Krishnagar - I"/>
    <s v="User Not Mapped"/>
    <s v="User Not Mapped"/>
    <s v="User Not Mapped"/>
    <n v="501704"/>
    <s v="Rajib Maitra"/>
    <s v="Private Retailer"/>
    <s v="9434174349"/>
    <n v="3.5000000000000003E-2"/>
    <n v="437"/>
    <x v="6"/>
    <m/>
    <s v="2025-02-14"/>
    <s v="268776"/>
    <s v="Chandra Kanta Das"/>
    <s v="9830307100"/>
  </r>
  <r>
    <s v="RCF Trombay"/>
    <s v="N.C.Urea(45kg)"/>
    <s v="WB"/>
    <x v="15"/>
    <s v="Krishnagar - I"/>
    <s v="User Not Mapped"/>
    <s v="User Not Mapped"/>
    <s v="User Not Mapped"/>
    <n v="501704"/>
    <s v="Rajib Maitra"/>
    <s v="Private Retailer"/>
    <s v="9434174349"/>
    <n v="2.02"/>
    <n v="65"/>
    <x v="2"/>
    <m/>
    <s v="2026-02-21"/>
    <s v="268776"/>
    <s v="Chandra Kanta Das"/>
    <s v="9830307100"/>
  </r>
  <r>
    <s v="RCF Trombay"/>
    <s v="15-15-15"/>
    <s v="WB"/>
    <x v="15"/>
    <s v="Krishnagar - I"/>
    <s v="User Not Mapped"/>
    <s v="User Not Mapped"/>
    <s v="User Not Mapped"/>
    <n v="501704"/>
    <s v="Rajib Maitra"/>
    <s v="Private Retailer"/>
    <s v="9434174349"/>
    <n v="2"/>
    <n v="124"/>
    <x v="0"/>
    <m/>
    <s v="2025-12-24"/>
    <s v="268776"/>
    <s v="Chandra Kanta Das"/>
    <s v="9830307100"/>
  </r>
  <r>
    <s v="RCF Trombay"/>
    <s v="15-15-15"/>
    <s v="WB"/>
    <x v="15"/>
    <s v="Krishnagar - I"/>
    <s v="User Not Mapped"/>
    <s v="User Not Mapped"/>
    <s v="User Not Mapped"/>
    <n v="501704"/>
    <s v="Rajib Maitra"/>
    <s v="Private Retailer"/>
    <s v="9434174349"/>
    <n v="0.53"/>
    <n v="151"/>
    <x v="0"/>
    <m/>
    <s v="2025-11-27"/>
    <s v="268776"/>
    <s v="Chandra Kanta Das"/>
    <s v="9830307100"/>
  </r>
  <r>
    <s v="RCF Import"/>
    <s v="Imp 10-26-26"/>
    <s v="WB"/>
    <x v="15"/>
    <s v="Krishnagar - I"/>
    <s v="User Not Mapped"/>
    <s v="User Not Mapped"/>
    <s v="User Not Mapped"/>
    <n v="501704"/>
    <s v="Rajib Maitra"/>
    <s v="Private Retailer"/>
    <s v="9434174349"/>
    <n v="1"/>
    <n v="255"/>
    <x v="3"/>
    <m/>
    <s v="2025-08-15"/>
    <s v="268776"/>
    <s v="Chandra Kanta Das"/>
    <s v="9830307100"/>
  </r>
  <r>
    <s v="RCF Import"/>
    <s v="Imp 10-26-26"/>
    <s v="WB"/>
    <x v="15"/>
    <s v="Krishnagar - I"/>
    <s v="User Not Mapped"/>
    <s v="User Not Mapped"/>
    <s v="User Not Mapped"/>
    <n v="501704"/>
    <s v="Rajib Maitra"/>
    <s v="Private Retailer"/>
    <s v="9434174349"/>
    <n v="0.4"/>
    <n v="282"/>
    <x v="3"/>
    <m/>
    <s v="2025-07-19"/>
    <s v="268776"/>
    <s v="Chandra Kanta Das"/>
    <s v="9830307100"/>
  </r>
  <r>
    <s v="RCF Trombay"/>
    <s v="15-15-15"/>
    <s v="WB"/>
    <x v="15"/>
    <s v="Krishnagar - I"/>
    <s v="User Not Mapped"/>
    <s v="User Not Mapped"/>
    <s v="User Not Mapped"/>
    <n v="501704"/>
    <s v="Rajib Maitra"/>
    <s v="Private Retailer"/>
    <s v="9434174349"/>
    <n v="1.5"/>
    <n v="19"/>
    <x v="4"/>
    <m/>
    <s v="2026-04-08"/>
    <s v="268776"/>
    <s v="Chandra Kanta Das"/>
    <s v="9830307100"/>
  </r>
  <r>
    <s v="RCF Trombay"/>
    <s v="N.C.Urea(45kg)"/>
    <s v="WB"/>
    <x v="15"/>
    <s v="Krishnagar - I"/>
    <s v="User Not Mapped"/>
    <s v="User Not Mapped"/>
    <s v="User Not Mapped"/>
    <n v="503289"/>
    <s v="Utpal Ghosh"/>
    <s v="Private Retailer"/>
    <s v="9382731177"/>
    <n v="0.9"/>
    <n v="245"/>
    <x v="3"/>
    <m/>
    <s v="2025-08-25"/>
    <s v="268776"/>
    <s v="Chandra Kanta Das"/>
    <s v="9830307100"/>
  </r>
  <r>
    <s v="RCF Import"/>
    <s v="MOP"/>
    <s v="WB"/>
    <x v="15"/>
    <s v="Krishnagar - I"/>
    <s v="User Not Mapped"/>
    <s v="User Not Mapped"/>
    <s v="User Not Mapped"/>
    <n v="514431"/>
    <s v="M/S Biswanath Gorai"/>
    <s v="Private Retailer"/>
    <s v="9732666609"/>
    <n v="0.8"/>
    <n v="59"/>
    <x v="1"/>
    <m/>
    <s v="2026-02-27"/>
    <s v="260177"/>
    <s v="SatyaRanjan Kundu and Brothers"/>
    <s v="7908186730"/>
  </r>
  <r>
    <s v="RCF Trombay"/>
    <s v="15-15-15"/>
    <s v="WB"/>
    <x v="15"/>
    <s v="Krishnagar - I"/>
    <s v="User Not Mapped"/>
    <s v="User Not Mapped"/>
    <s v="User Not Mapped"/>
    <n v="516766"/>
    <s v="Krishna Saha"/>
    <s v="Private Retailer"/>
    <s v="9933422153"/>
    <n v="8"/>
    <n v="90"/>
    <x v="2"/>
    <m/>
    <s v="2026-01-27"/>
    <s v="260178"/>
    <s v="M/s. Uttamendu Sarkar"/>
    <s v="9002483836"/>
  </r>
  <r>
    <s v="RCF Trombay"/>
    <s v="15-15-15"/>
    <s v="WB"/>
    <x v="15"/>
    <s v="Krishnagar - I"/>
    <s v="User Not Mapped"/>
    <s v="User Not Mapped"/>
    <s v="User Not Mapped"/>
    <n v="516766"/>
    <s v="Krishna Saha"/>
    <s v="Private Retailer"/>
    <s v="9933422153"/>
    <n v="10"/>
    <n v="59"/>
    <x v="1"/>
    <m/>
    <s v="2026-02-27"/>
    <s v="280729"/>
    <s v="M/s. Naresh Chandra Das"/>
    <s v="7365868045"/>
  </r>
  <r>
    <s v="RCF Import"/>
    <s v="MOP"/>
    <s v="WB"/>
    <x v="15"/>
    <s v="Krishnagar - I"/>
    <s v="User Not Mapped"/>
    <s v="User Not Mapped"/>
    <s v="User Not Mapped"/>
    <n v="516766"/>
    <s v="Krishna Saha"/>
    <s v="Private Retailer"/>
    <s v="9933422153"/>
    <n v="1.6"/>
    <n v="63"/>
    <x v="2"/>
    <m/>
    <s v="2026-02-23"/>
    <s v="260179"/>
    <s v="Tarun Kumar Saha"/>
    <s v="8116312974"/>
  </r>
  <r>
    <s v="RCF Trombay"/>
    <s v="N.C.Urea(45kg)"/>
    <s v="WB"/>
    <x v="15"/>
    <s v="Krishnagar - I"/>
    <s v="User Not Mapped"/>
    <s v="User Not Mapped"/>
    <s v="User Not Mapped"/>
    <n v="554521"/>
    <s v="Chinmoy Biswas"/>
    <s v="Private Retailer"/>
    <s v="9153017821"/>
    <n v="0.98099999999999998"/>
    <n v="91"/>
    <x v="5"/>
    <m/>
    <s v="2026-01-26"/>
    <s v="260177"/>
    <s v="SatyaRanjan Kundu and Brothers"/>
    <s v="7908186730"/>
  </r>
  <r>
    <s v="RCF Trombay"/>
    <s v="15-15-15"/>
    <s v="WB"/>
    <x v="15"/>
    <s v="Krishnagar - I"/>
    <s v="User Not Mapped"/>
    <s v="User Not Mapped"/>
    <s v="User Not Mapped"/>
    <n v="554521"/>
    <s v="Chinmoy Biswas"/>
    <s v="Private Retailer"/>
    <s v="9153017821"/>
    <n v="3.1"/>
    <n v="91"/>
    <x v="5"/>
    <m/>
    <s v="2026-01-26"/>
    <s v="260177"/>
    <s v="SatyaRanjan Kundu and Brothers"/>
    <s v="7908186730"/>
  </r>
  <r>
    <s v="RCF Import"/>
    <s v="MOP"/>
    <s v="WB"/>
    <x v="15"/>
    <s v="Krishnagar - I"/>
    <s v="User Not Mapped"/>
    <s v="User Not Mapped"/>
    <s v="User Not Mapped"/>
    <n v="559357"/>
    <s v="JOY MA LAXMI FERTILISER"/>
    <s v="Private Retailer"/>
    <s v="9679478747"/>
    <n v="5"/>
    <n v="62"/>
    <x v="2"/>
    <m/>
    <s v="2026-02-24"/>
    <s v="260177"/>
    <s v="SatyaRanjan Kundu and Brothers"/>
    <s v="7908186730"/>
  </r>
  <r>
    <s v="RCF Trombay"/>
    <s v="N.C.Urea(45kg)"/>
    <s v="WB"/>
    <x v="15"/>
    <s v="Krishnagar - I"/>
    <s v="User Not Mapped"/>
    <s v="User Not Mapped"/>
    <s v="User Not Mapped"/>
    <n v="602863"/>
    <s v="TAPAN KUMAR PAUL"/>
    <s v="Private Retailer"/>
    <s v="8145068460"/>
    <n v="1.17"/>
    <n v="398"/>
    <x v="6"/>
    <m/>
    <s v="2025-03-25"/>
    <s v="280729"/>
    <s v="M/s. Naresh Chandra Das"/>
    <s v="7365868045"/>
  </r>
  <r>
    <s v="RCF Trombay"/>
    <s v="15-15-15"/>
    <s v="WB"/>
    <x v="15"/>
    <s v="Krishnagar - I"/>
    <s v="User Not Mapped"/>
    <s v="User Not Mapped"/>
    <s v="User Not Mapped"/>
    <n v="604790"/>
    <s v="BISWAS FERTILIZERS"/>
    <s v="Private Retailer"/>
    <s v="8609582523"/>
    <n v="5"/>
    <n v="90"/>
    <x v="2"/>
    <m/>
    <s v="2026-01-27"/>
    <s v="214222"/>
    <s v="Mahamaya Enterprise"/>
    <s v="8348217174"/>
  </r>
  <r>
    <s v="RCF Trombay"/>
    <s v="N.C.Urea(45kg)"/>
    <s v="WB"/>
    <x v="15"/>
    <s v="Krishnagar - I"/>
    <s v="User Not Mapped"/>
    <s v="User Not Mapped"/>
    <s v="User Not Mapped"/>
    <n v="604790"/>
    <s v="BISWAS FERTILIZERS"/>
    <s v="Private Retailer"/>
    <s v="8609582523"/>
    <n v="4.9950000000000001"/>
    <n v="90"/>
    <x v="2"/>
    <m/>
    <s v="2026-01-27"/>
    <s v="214222"/>
    <s v="Mahamaya Enterprise"/>
    <s v="8348217174"/>
  </r>
  <r>
    <s v="RCF Trombay"/>
    <s v="15-15-15"/>
    <s v="WB"/>
    <x v="15"/>
    <s v="Krishnagar - I"/>
    <s v="User Not Mapped"/>
    <s v="User Not Mapped"/>
    <s v="User Not Mapped"/>
    <n v="604790"/>
    <s v="BISWAS FERTILIZERS"/>
    <s v="Private Retailer"/>
    <s v="8609582523"/>
    <n v="2.25"/>
    <n v="192"/>
    <x v="3"/>
    <m/>
    <s v="2025-10-17"/>
    <s v="1210862"/>
    <s v="S.S.P ENTERPRISE"/>
    <s v="9635197281"/>
  </r>
  <r>
    <s v="RCF Trombay"/>
    <s v="15-15-15"/>
    <s v="WB"/>
    <x v="15"/>
    <s v="Krishnagar - I"/>
    <s v="User Not Mapped"/>
    <s v="User Not Mapped"/>
    <s v="User Not Mapped"/>
    <n v="604790"/>
    <s v="BISWAS FERTILIZERS"/>
    <s v="Private Retailer"/>
    <s v="8609582523"/>
    <n v="6"/>
    <n v="151"/>
    <x v="0"/>
    <m/>
    <s v="2025-11-27"/>
    <s v="1210862"/>
    <s v="S.S.P ENTERPRISE"/>
    <s v="9635197281"/>
  </r>
  <r>
    <s v="RCF Import"/>
    <s v="MOP"/>
    <s v="WB"/>
    <x v="15"/>
    <s v="Krishnagar - I"/>
    <s v="User Not Mapped"/>
    <s v="User Not Mapped"/>
    <s v="User Not Mapped"/>
    <n v="709017"/>
    <s v="MS KALIPADA BISWAS"/>
    <s v="Private Retailer"/>
    <s v="9647349267"/>
    <n v="2.5"/>
    <n v="62"/>
    <x v="2"/>
    <m/>
    <s v="2026-02-24"/>
    <s v="270129"/>
    <s v="Kalyan Kr. Nandi"/>
    <s v="8250914797"/>
  </r>
  <r>
    <s v="RCF Trombay"/>
    <s v="15-15-15"/>
    <s v="WB"/>
    <x v="15"/>
    <s v="Krishnagar - I"/>
    <s v="User Not Mapped"/>
    <s v="User Not Mapped"/>
    <s v="User Not Mapped"/>
    <n v="709017"/>
    <s v="MS KALIPADA BISWAS"/>
    <s v="Private Retailer"/>
    <s v="9647349267"/>
    <n v="3.75"/>
    <n v="62"/>
    <x v="2"/>
    <m/>
    <s v="2026-02-24"/>
    <s v="270129"/>
    <s v="Kalyan Kr. Nandi"/>
    <s v="8250914797"/>
  </r>
  <r>
    <s v="RCF Trombay"/>
    <s v="N.C.Urea(45kg)"/>
    <s v="WB"/>
    <x v="15"/>
    <s v="Krishnagar - I"/>
    <s v="User Not Mapped"/>
    <s v="User Not Mapped"/>
    <s v="User Not Mapped"/>
    <n v="709017"/>
    <s v="MS KALIPADA BISWAS"/>
    <s v="Private Retailer"/>
    <s v="9647349267"/>
    <n v="4.32"/>
    <n v="62"/>
    <x v="2"/>
    <m/>
    <s v="2026-02-24"/>
    <s v="270129"/>
    <s v="Kalyan Kr. Nandi"/>
    <s v="8250914797"/>
  </r>
  <r>
    <s v="RCF Trombay"/>
    <s v="N.C.Urea(45kg)"/>
    <s v="WB"/>
    <x v="15"/>
    <s v="Krishnagar - I"/>
    <s v="User Not Mapped"/>
    <s v="User Not Mapped"/>
    <s v="User Not Mapped"/>
    <n v="774963"/>
    <s v="BROJESWAR FERTILIZER"/>
    <s v="Private Retailer"/>
    <s v="9679615223"/>
    <n v="18.45"/>
    <n v="222"/>
    <x v="3"/>
    <m/>
    <s v="2025-09-17"/>
    <s v="280729"/>
    <s v="M/s. Naresh Chandra Das"/>
    <s v="7365868045"/>
  </r>
  <r>
    <s v="RCF Trombay"/>
    <s v="N.C.Urea(45kg)"/>
    <s v="WB"/>
    <x v="15"/>
    <s v="Krishnagar - I"/>
    <s v="User Not Mapped"/>
    <s v="User Not Mapped"/>
    <s v="User Not Mapped"/>
    <n v="777441"/>
    <s v="ALAUDDIN SEKH"/>
    <s v="Private Retailer"/>
    <s v="6296796698"/>
    <n v="3.87"/>
    <n v="157"/>
    <x v="0"/>
    <m/>
    <s v="2025-11-21"/>
    <s v="280729"/>
    <s v="M/s. Naresh Chandra Das"/>
    <s v="7365868045"/>
  </r>
  <r>
    <s v="RCF Thal"/>
    <s v="N.C.Urea(45kg)"/>
    <s v="WB"/>
    <x v="15"/>
    <s v="Krishnagar - I"/>
    <s v="User Not Mapped"/>
    <s v="User Not Mapped"/>
    <s v="User Not Mapped"/>
    <n v="777491"/>
    <s v="MIRJA HAKIM MONDAL"/>
    <s v="Private Retailer"/>
    <s v="9735385205"/>
    <n v="2.7"/>
    <n v="20"/>
    <x v="4"/>
    <m/>
    <s v="2026-04-07"/>
    <s v="280729"/>
    <s v="M/s. Naresh Chandra Das"/>
    <s v="7365868045"/>
  </r>
  <r>
    <s v="RCF Trombay"/>
    <s v="15-15-15"/>
    <s v="WB"/>
    <x v="15"/>
    <s v="Krishnagar - I"/>
    <s v="User Not Mapped"/>
    <s v="User Not Mapped"/>
    <s v="User Not Mapped"/>
    <n v="777491"/>
    <s v="MIRJA HAKIM MONDAL"/>
    <s v="Private Retailer"/>
    <s v="9735385205"/>
    <n v="0.05"/>
    <n v="76"/>
    <x v="2"/>
    <m/>
    <s v="2026-02-10"/>
    <s v="280729"/>
    <s v="M/s. Naresh Chandra Das"/>
    <s v="7365868045"/>
  </r>
  <r>
    <s v="RCF Trombay"/>
    <s v="N.C.Urea(45kg)"/>
    <s v="WB"/>
    <x v="15"/>
    <s v="Krishnagar - I"/>
    <s v="User Not Mapped"/>
    <s v="User Not Mapped"/>
    <s v="User Not Mapped"/>
    <n v="796826"/>
    <s v="MS UTPAL MONDAL"/>
    <s v="Private Retailer"/>
    <s v="7384402918"/>
    <n v="2.2949999999999999"/>
    <n v="83"/>
    <x v="2"/>
    <m/>
    <s v="2026-02-03"/>
    <s v="280729"/>
    <s v="M/s. Naresh Chandra Das"/>
    <s v="7365868045"/>
  </r>
  <r>
    <s v="RCF Trombay"/>
    <s v="N.C.Urea(45kg)"/>
    <s v="WB"/>
    <x v="15"/>
    <s v="Krishnagar - I"/>
    <s v="User Not Mapped"/>
    <s v="User Not Mapped"/>
    <s v="User Not Mapped"/>
    <n v="796826"/>
    <s v="MS UTPAL MONDAL"/>
    <s v="Private Retailer"/>
    <s v="7384402918"/>
    <n v="0.45"/>
    <n v="816"/>
    <x v="7"/>
    <m/>
    <s v="2024-02-01"/>
    <s v="280729"/>
    <s v="M/s. Naresh Chandra Das"/>
    <s v="7365868045"/>
  </r>
  <r>
    <s v="RCF Trombay"/>
    <s v="15-15-15"/>
    <s v="WB"/>
    <x v="15"/>
    <s v="Krishnagar - I"/>
    <s v="User Not Mapped"/>
    <s v="User Not Mapped"/>
    <s v="User Not Mapped"/>
    <n v="796826"/>
    <s v="MS UTPAL MONDAL"/>
    <s v="Private Retailer"/>
    <s v="7384402918"/>
    <n v="0.9"/>
    <n v="776"/>
    <x v="7"/>
    <m/>
    <s v="2024-03-12"/>
    <s v="258838"/>
    <s v="Kartik Chandra Pramanik"/>
    <s v="9382413330"/>
  </r>
  <r>
    <s v="RCF Trombay"/>
    <s v="N.C.Urea(45kg)"/>
    <s v="WB"/>
    <x v="15"/>
    <s v="Krishnagar - I"/>
    <s v="User Not Mapped"/>
    <s v="User Not Mapped"/>
    <s v="User Not Mapped"/>
    <n v="826328"/>
    <s v="SUMANTRA BISWAS"/>
    <s v="Private Retailer"/>
    <s v="8250235363"/>
    <n v="0.54"/>
    <n v="252"/>
    <x v="3"/>
    <m/>
    <s v="2025-08-18"/>
    <s v="280913"/>
    <s v="S.S.P Enterprise"/>
    <s v="9732669190"/>
  </r>
  <r>
    <s v="RCF Trombay"/>
    <s v="N.C.Urea(45kg)"/>
    <s v="WB"/>
    <x v="15"/>
    <s v="Krishnagar - I"/>
    <s v="User Not Mapped"/>
    <s v="User Not Mapped"/>
    <s v="User Not Mapped"/>
    <n v="826328"/>
    <s v="SUMANTRA BISWAS"/>
    <s v="Private Retailer"/>
    <s v="8250235363"/>
    <n v="2.7"/>
    <n v="63"/>
    <x v="2"/>
    <m/>
    <s v="2026-02-23"/>
    <s v="281284"/>
    <s v="Sadhan Kumar Ghosh"/>
    <s v="7602136568"/>
  </r>
  <r>
    <s v="RCF Trombay"/>
    <s v="15-15-15"/>
    <s v="WB"/>
    <x v="15"/>
    <s v="Krishnagar - I"/>
    <s v="User Not Mapped"/>
    <s v="User Not Mapped"/>
    <s v="User Not Mapped"/>
    <n v="836840"/>
    <s v="DEBASWISH HALDER"/>
    <s v="Private Retailer"/>
    <s v="7866942709"/>
    <n v="1.4"/>
    <n v="60"/>
    <x v="1"/>
    <m/>
    <s v="2026-02-26"/>
    <s v="280729"/>
    <s v="M/s. Naresh Chandra Das"/>
    <s v="7365868045"/>
  </r>
  <r>
    <s v="RCF Trombay"/>
    <s v="15-15-15"/>
    <s v="WB"/>
    <x v="15"/>
    <s v="Krishnagar - I"/>
    <s v="User Not Mapped"/>
    <s v="User Not Mapped"/>
    <s v="User Not Mapped"/>
    <n v="836984"/>
    <s v="GOPAL MONDAL"/>
    <s v="Private Retailer"/>
    <s v="8158073124"/>
    <n v="0.75"/>
    <n v="61"/>
    <x v="2"/>
    <m/>
    <s v="2026-02-25"/>
    <s v="260178"/>
    <s v="M/s. Uttamendu Sarkar"/>
    <s v="9002483836"/>
  </r>
  <r>
    <s v="RCF Import"/>
    <s v="MOP"/>
    <s v="WB"/>
    <x v="15"/>
    <s v="Krishnagar - I"/>
    <s v="User Not Mapped"/>
    <s v="User Not Mapped"/>
    <s v="User Not Mapped"/>
    <n v="836984"/>
    <s v="GOPAL MONDAL"/>
    <s v="Private Retailer"/>
    <s v="8158073124"/>
    <n v="0.2"/>
    <n v="53"/>
    <x v="1"/>
    <m/>
    <s v="2026-03-05"/>
    <s v="281284"/>
    <s v="Sadhan Kumar Ghosh"/>
    <s v="7602136568"/>
  </r>
  <r>
    <s v="RCF Thal"/>
    <s v="N.C.Urea(45kg)"/>
    <s v="WB"/>
    <x v="15"/>
    <s v="Krishnagar - I"/>
    <s v="User Not Mapped"/>
    <s v="User Not Mapped"/>
    <s v="User Not Mapped"/>
    <n v="836984"/>
    <s v="GOPAL MONDAL"/>
    <s v="Private Retailer"/>
    <s v="8158073124"/>
    <n v="1.08"/>
    <n v="47"/>
    <x v="1"/>
    <m/>
    <s v="2026-03-11"/>
    <s v="281284"/>
    <s v="Sadhan Kumar Ghosh"/>
    <s v="7602136568"/>
  </r>
  <r>
    <s v="RCF Import"/>
    <s v="MOP"/>
    <s v="WB"/>
    <x v="15"/>
    <s v="Krishnagar - I"/>
    <s v="User Not Mapped"/>
    <s v="User Not Mapped"/>
    <s v="User Not Mapped"/>
    <n v="837325"/>
    <s v="SHYAMAL BISWAS"/>
    <s v="Private Retailer"/>
    <s v="8116672917"/>
    <n v="1"/>
    <n v="61"/>
    <x v="2"/>
    <m/>
    <s v="2026-02-25"/>
    <s v="260178"/>
    <s v="M/s. Uttamendu Sarkar"/>
    <s v="9002483836"/>
  </r>
  <r>
    <s v="RCF Trombay"/>
    <s v="N.C.Urea(45kg)"/>
    <s v="WB"/>
    <x v="15"/>
    <s v="Krishnagar - I"/>
    <s v="User Not Mapped"/>
    <s v="User Not Mapped"/>
    <s v="User Not Mapped"/>
    <n v="864312"/>
    <s v="MANDAL FERTILIZER"/>
    <s v="Private Retailer"/>
    <s v="7047448915"/>
    <n v="0.04"/>
    <n v="398"/>
    <x v="6"/>
    <m/>
    <s v="2025-03-25"/>
    <s v="280729"/>
    <s v="M/s. Naresh Chandra Das"/>
    <s v="7365868045"/>
  </r>
  <r>
    <s v="RCF Thal"/>
    <s v="N.C.Urea(45kg)"/>
    <s v="WB"/>
    <x v="15"/>
    <s v="Krishnagar - I"/>
    <s v="User Not Mapped"/>
    <s v="User Not Mapped"/>
    <s v="User Not Mapped"/>
    <n v="889366"/>
    <s v="AMAL BISWAS"/>
    <s v="Private Retailer"/>
    <s v="8670680299"/>
    <n v="2.7E-2"/>
    <n v="1474"/>
    <x v="7"/>
    <m/>
    <s v="2022-04-14"/>
    <s v="280729"/>
    <s v="M/s. Naresh Chandra Das"/>
    <s v="7365868045"/>
  </r>
  <r>
    <s v="RCF Trombay"/>
    <s v="N.C.Urea(45kg)"/>
    <s v="WB"/>
    <x v="15"/>
    <s v="Krishnagar - I"/>
    <s v="User Not Mapped"/>
    <s v="User Not Mapped"/>
    <s v="User Not Mapped"/>
    <n v="889366"/>
    <s v="AMAL BISWAS"/>
    <s v="Private Retailer"/>
    <s v="8670680299"/>
    <n v="0.09"/>
    <n v="1608"/>
    <x v="7"/>
    <m/>
    <s v="2021-12-01"/>
    <s v="280729"/>
    <s v="M/s. Naresh Chandra Das"/>
    <s v="7365868045"/>
  </r>
  <r>
    <s v="RCF Trombay"/>
    <s v="15-15-15"/>
    <s v="WB"/>
    <x v="15"/>
    <s v="Krishnagar - I"/>
    <s v="User Not Mapped"/>
    <s v="User Not Mapped"/>
    <s v="User Not Mapped"/>
    <n v="889366"/>
    <s v="AMAL BISWAS"/>
    <s v="Private Retailer"/>
    <s v="8670680299"/>
    <n v="0.3"/>
    <n v="251"/>
    <x v="3"/>
    <m/>
    <s v="2025-08-19"/>
    <s v="280729"/>
    <s v="M/s. Naresh Chandra Das"/>
    <s v="7365868045"/>
  </r>
  <r>
    <s v="RCF Import"/>
    <s v="MOP"/>
    <s v="WB"/>
    <x v="15"/>
    <s v="Krishnagar - I"/>
    <s v="User Not Mapped"/>
    <s v="User Not Mapped"/>
    <s v="User Not Mapped"/>
    <n v="889374"/>
    <s v="MAA MANASA FERTILIZER"/>
    <s v="Private Retailer"/>
    <s v="9382413330"/>
    <n v="9.6"/>
    <n v="65"/>
    <x v="2"/>
    <m/>
    <s v="2026-02-21"/>
    <s v="280729"/>
    <s v="M/s. Naresh Chandra Das"/>
    <s v="7365868045"/>
  </r>
  <r>
    <s v="RCF Trombay"/>
    <s v="15-15-15"/>
    <s v="WB"/>
    <x v="15"/>
    <s v="Krishnagar - I"/>
    <s v="User Not Mapped"/>
    <s v="User Not Mapped"/>
    <s v="User Not Mapped"/>
    <n v="892609"/>
    <s v="SHISHIR NAG"/>
    <s v="Private Retailer"/>
    <s v="9635616680"/>
    <n v="0.02"/>
    <n v="1837"/>
    <x v="7"/>
    <m/>
    <s v="2021-04-16"/>
    <s v="892991"/>
    <s v="TAPAS KUMAR SADHUKHAN"/>
    <s v="9749807346"/>
  </r>
  <r>
    <s v="RCF Trombay"/>
    <s v="15-15-15"/>
    <s v="WB"/>
    <x v="15"/>
    <s v="Krishnagar - I"/>
    <s v="User Not Mapped"/>
    <s v="User Not Mapped"/>
    <s v="User Not Mapped"/>
    <n v="901198"/>
    <s v="SUFAL SADHUKHAN"/>
    <s v="Private Retailer"/>
    <s v="9735909878"/>
    <n v="1.5"/>
    <n v="249"/>
    <x v="3"/>
    <m/>
    <s v="2025-08-21"/>
    <s v="280729"/>
    <s v="M/s. Naresh Chandra Das"/>
    <s v="7365868045"/>
  </r>
  <r>
    <s v="RCF Trombay"/>
    <s v="15-15-15"/>
    <s v="WB"/>
    <x v="15"/>
    <s v="Krishnagar - I"/>
    <s v="User Not Mapped"/>
    <s v="User Not Mapped"/>
    <s v="User Not Mapped"/>
    <n v="901200"/>
    <s v="SUKUMAR SADHUKHAN"/>
    <s v="Private Retailer"/>
    <s v="9733094882"/>
    <n v="1.8"/>
    <n v="69"/>
    <x v="2"/>
    <m/>
    <s v="2026-02-17"/>
    <s v="280729"/>
    <s v="M/s. Naresh Chandra Das"/>
    <s v="7365868045"/>
  </r>
  <r>
    <s v="RCF Trombay"/>
    <s v="N.C.Urea(45kg)"/>
    <s v="WB"/>
    <x v="15"/>
    <s v="Krishnagar - I"/>
    <s v="User Not Mapped"/>
    <s v="User Not Mapped"/>
    <s v="User Not Mapped"/>
    <n v="901218"/>
    <s v="NITYA NANDA MAJUMDAR"/>
    <s v="Private Retailer"/>
    <s v="8967756870"/>
    <n v="0.21"/>
    <n v="249"/>
    <x v="3"/>
    <m/>
    <s v="2025-08-21"/>
    <s v="280729"/>
    <s v="M/s. Naresh Chandra Das"/>
    <s v="7365868045"/>
  </r>
  <r>
    <s v="RCF Trombay"/>
    <s v="15-15-15"/>
    <s v="WB"/>
    <x v="15"/>
    <s v="Krishnagar - I"/>
    <s v="User Not Mapped"/>
    <s v="User Not Mapped"/>
    <s v="User Not Mapped"/>
    <n v="901218"/>
    <s v="NITYA NANDA MAJUMDAR"/>
    <s v="Private Retailer"/>
    <s v="8967756870"/>
    <n v="1.6"/>
    <n v="69"/>
    <x v="2"/>
    <m/>
    <s v="2026-02-17"/>
    <s v="280729"/>
    <s v="M/s. Naresh Chandra Das"/>
    <s v="7365868045"/>
  </r>
  <r>
    <s v="RCF Trombay"/>
    <s v="N.C.Urea(45kg)"/>
    <s v="WB"/>
    <x v="15"/>
    <s v="Krishnagar - I"/>
    <s v="User Not Mapped"/>
    <s v="User Not Mapped"/>
    <s v="User Not Mapped"/>
    <n v="902179"/>
    <s v="MAA LAKSHMI FERTILIZER"/>
    <s v="Private Retailer"/>
    <s v="8926213931"/>
    <n v="2.25"/>
    <n v="90"/>
    <x v="2"/>
    <m/>
    <s v="2026-01-27"/>
    <s v="260179"/>
    <s v="Tarun Kumar Saha"/>
    <s v="8116312974"/>
  </r>
  <r>
    <s v="RCF Trombay"/>
    <s v="15-15-15"/>
    <s v="WB"/>
    <x v="15"/>
    <s v="Krishnagar - I"/>
    <s v="User Not Mapped"/>
    <s v="User Not Mapped"/>
    <s v="User Not Mapped"/>
    <n v="902179"/>
    <s v="MAA LAKSHMI FERTILIZER"/>
    <s v="Private Retailer"/>
    <s v="8926213931"/>
    <n v="2.5"/>
    <n v="90"/>
    <x v="2"/>
    <m/>
    <s v="2026-01-27"/>
    <s v="260179"/>
    <s v="Tarun Kumar Saha"/>
    <s v="8116312974"/>
  </r>
  <r>
    <s v="RCF Trombay"/>
    <s v="N.C.Urea(45kg)"/>
    <s v="WB"/>
    <x v="15"/>
    <s v="Krishnagar - I"/>
    <s v="User Not Mapped"/>
    <s v="User Not Mapped"/>
    <s v="User Not Mapped"/>
    <n v="916430"/>
    <s v="RABINDRA NATH BISWAS"/>
    <s v="Private Retailer"/>
    <s v="7098424705"/>
    <n v="0.67500000000000004"/>
    <n v="437"/>
    <x v="6"/>
    <m/>
    <s v="2025-02-14"/>
    <s v="280729"/>
    <s v="M/s. Naresh Chandra Das"/>
    <s v="7365868045"/>
  </r>
  <r>
    <s v="RCF Trombay"/>
    <s v="15-15-15"/>
    <s v="WB"/>
    <x v="15"/>
    <s v="Krishnagar - I"/>
    <s v="User Not Mapped"/>
    <s v="User Not Mapped"/>
    <s v="User Not Mapped"/>
    <n v="916430"/>
    <s v="RABINDRA NATH BISWAS"/>
    <s v="Private Retailer"/>
    <s v="7098424705"/>
    <n v="2"/>
    <n v="272"/>
    <x v="3"/>
    <m/>
    <s v="2025-07-29"/>
    <s v="260179"/>
    <s v="Tarun Kumar Saha"/>
    <s v="8116312974"/>
  </r>
  <r>
    <s v="RCF Trombay"/>
    <s v="15-15-15"/>
    <s v="WB"/>
    <x v="15"/>
    <s v="Krishnagar - I"/>
    <s v="User Not Mapped"/>
    <s v="User Not Mapped"/>
    <s v="User Not Mapped"/>
    <n v="916430"/>
    <s v="RABINDRA NATH BISWAS"/>
    <s v="Private Retailer"/>
    <s v="7098424705"/>
    <n v="0.2"/>
    <n v="501"/>
    <x v="6"/>
    <m/>
    <s v="2024-12-12"/>
    <s v="280729"/>
    <s v="M/s. Naresh Chandra Das"/>
    <s v="7365868045"/>
  </r>
  <r>
    <s v="RCF Trombay"/>
    <s v="15-15-15"/>
    <s v="WB"/>
    <x v="15"/>
    <s v="Krishnagar - I"/>
    <s v="User Not Mapped"/>
    <s v="User Not Mapped"/>
    <s v="User Not Mapped"/>
    <n v="916430"/>
    <s v="RABINDRA NATH BISWAS"/>
    <s v="Private Retailer"/>
    <s v="7098424705"/>
    <n v="0.1"/>
    <n v="76"/>
    <x v="2"/>
    <m/>
    <s v="2026-02-10"/>
    <s v="280729"/>
    <s v="M/s. Naresh Chandra Das"/>
    <s v="7365868045"/>
  </r>
  <r>
    <s v="RCF Trombay"/>
    <s v="15-15-15"/>
    <s v="WB"/>
    <x v="15"/>
    <s v="Krishnagar - I"/>
    <s v="User Not Mapped"/>
    <s v="User Not Mapped"/>
    <s v="User Not Mapped"/>
    <n v="916430"/>
    <s v="RABINDRA NATH BISWAS"/>
    <s v="Private Retailer"/>
    <s v="7098424705"/>
    <n v="1.2"/>
    <n v="314"/>
    <x v="3"/>
    <m/>
    <s v="2025-06-17"/>
    <s v="260179"/>
    <s v="Tarun Kumar Saha"/>
    <s v="8116312974"/>
  </r>
  <r>
    <s v="RCF Import"/>
    <s v="MOP"/>
    <s v="WB"/>
    <x v="15"/>
    <s v="Krishnagar - I"/>
    <s v="User Not Mapped"/>
    <s v="User Not Mapped"/>
    <s v="User Not Mapped"/>
    <n v="916446"/>
    <s v="ABDUL SATTAR MONDAL"/>
    <s v="Private Retailer"/>
    <s v="9062702907"/>
    <n v="0.35"/>
    <n v="32"/>
    <x v="1"/>
    <m/>
    <s v="2026-03-26"/>
    <s v="280729"/>
    <s v="M/s. Naresh Chandra Das"/>
    <s v="7365868045"/>
  </r>
  <r>
    <s v="RCF Trombay"/>
    <s v="15-15-15"/>
    <s v="WB"/>
    <x v="15"/>
    <s v="Krishnagar - I"/>
    <s v="User Not Mapped"/>
    <s v="User Not Mapped"/>
    <s v="User Not Mapped"/>
    <n v="916446"/>
    <s v="ABDUL SATTAR MONDAL"/>
    <s v="Private Retailer"/>
    <s v="9062702907"/>
    <n v="0.25"/>
    <n v="38"/>
    <x v="1"/>
    <m/>
    <s v="2026-03-20"/>
    <s v="280729"/>
    <s v="M/s. Naresh Chandra Das"/>
    <s v="7365868045"/>
  </r>
  <r>
    <s v="RCF Trombay"/>
    <s v="15-15-15"/>
    <s v="WB"/>
    <x v="15"/>
    <s v="Krishnagar - I"/>
    <s v="User Not Mapped"/>
    <s v="User Not Mapped"/>
    <s v="User Not Mapped"/>
    <n v="916684"/>
    <s v="ALOKE KUMAR BISWAS"/>
    <s v="Private Retailer"/>
    <s v="7318804689"/>
    <n v="1"/>
    <n v="86"/>
    <x v="2"/>
    <m/>
    <s v="2026-01-31"/>
    <s v="280729"/>
    <s v="M/s. Naresh Chandra Das"/>
    <s v="7365868045"/>
  </r>
  <r>
    <s v="RCF Import"/>
    <s v="MOP"/>
    <s v="WB"/>
    <x v="15"/>
    <s v="Krishnagar - I"/>
    <s v="User Not Mapped"/>
    <s v="User Not Mapped"/>
    <s v="User Not Mapped"/>
    <n v="916684"/>
    <s v="ALOKE KUMAR BISWAS"/>
    <s v="Private Retailer"/>
    <s v="7318804689"/>
    <n v="1.7"/>
    <n v="60"/>
    <x v="1"/>
    <m/>
    <s v="2026-02-26"/>
    <s v="280729"/>
    <s v="M/s. Naresh Chandra Das"/>
    <s v="7365868045"/>
  </r>
  <r>
    <s v="RCF Thal"/>
    <s v="N.C.Urea(45kg)"/>
    <s v="WB"/>
    <x v="15"/>
    <s v="Krishnagar - I"/>
    <s v="User Not Mapped"/>
    <s v="User Not Mapped"/>
    <s v="User Not Mapped"/>
    <n v="916690"/>
    <s v="RAM SARKAR"/>
    <s v="Private Retailer"/>
    <s v="8348552690"/>
    <n v="0.45"/>
    <n v="38"/>
    <x v="1"/>
    <m/>
    <s v="2026-03-20"/>
    <s v="280729"/>
    <s v="M/s. Naresh Chandra Das"/>
    <s v="7365868045"/>
  </r>
  <r>
    <s v="RCF Trombay"/>
    <s v="N.C.Urea(45kg)"/>
    <s v="WB"/>
    <x v="15"/>
    <s v="Krishnagar - I"/>
    <s v="User Not Mapped"/>
    <s v="User Not Mapped"/>
    <s v="User Not Mapped"/>
    <n v="916690"/>
    <s v="RAM SARKAR"/>
    <s v="Private Retailer"/>
    <s v="8348552690"/>
    <n v="0.45"/>
    <n v="18"/>
    <x v="4"/>
    <m/>
    <s v="2026-04-09"/>
    <s v="280729"/>
    <s v="M/s. Naresh Chandra Das"/>
    <s v="7365868045"/>
  </r>
  <r>
    <s v="RCF Trombay"/>
    <s v="15-15-15"/>
    <s v="WB"/>
    <x v="15"/>
    <s v="Krishnagar - I"/>
    <s v="User Not Mapped"/>
    <s v="User Not Mapped"/>
    <s v="User Not Mapped"/>
    <n v="916690"/>
    <s v="RAM SARKAR"/>
    <s v="Private Retailer"/>
    <s v="8348552690"/>
    <n v="4.55"/>
    <n v="91"/>
    <x v="5"/>
    <m/>
    <s v="2026-01-26"/>
    <s v="280729"/>
    <s v="M/s. Naresh Chandra Das"/>
    <s v="7365868045"/>
  </r>
  <r>
    <s v="RCF Trombay"/>
    <s v="15-15-15"/>
    <s v="WB"/>
    <x v="15"/>
    <s v="Krishnagar - I"/>
    <s v="User Not Mapped"/>
    <s v="User Not Mapped"/>
    <s v="User Not Mapped"/>
    <n v="919472"/>
    <s v="CHOUDHURY FERTILIZER"/>
    <s v="Private Retailer"/>
    <s v="9932288808"/>
    <n v="0.15"/>
    <n v="157"/>
    <x v="0"/>
    <m/>
    <s v="2025-11-21"/>
    <s v="280729"/>
    <s v="M/s. Naresh Chandra Das"/>
    <s v="7365868045"/>
  </r>
  <r>
    <s v="RCF Trombay"/>
    <s v="15-15-15"/>
    <s v="WB"/>
    <x v="15"/>
    <s v="Krishnagar - I"/>
    <s v="User Not Mapped"/>
    <s v="User Not Mapped"/>
    <s v="User Not Mapped"/>
    <n v="919472"/>
    <s v="CHOUDHURY FERTILIZER"/>
    <s v="Private Retailer"/>
    <s v="9932288808"/>
    <n v="0.2"/>
    <n v="466"/>
    <x v="6"/>
    <m/>
    <s v="2025-01-16"/>
    <s v="280729"/>
    <s v="M/s. Naresh Chandra Das"/>
    <s v="7365868045"/>
  </r>
  <r>
    <s v="RCF Thal"/>
    <s v="N.C.Urea(45kg)"/>
    <s v="WB"/>
    <x v="15"/>
    <s v="Krishnagar - I"/>
    <s v="User Not Mapped"/>
    <s v="User Not Mapped"/>
    <s v="User Not Mapped"/>
    <n v="919472"/>
    <s v="CHOUDHURY FERTILIZER"/>
    <s v="Private Retailer"/>
    <s v="9932288808"/>
    <n v="4.4999999999999998E-2"/>
    <n v="170"/>
    <x v="0"/>
    <m/>
    <s v="2025-11-08"/>
    <s v="280729"/>
    <s v="M/s. Naresh Chandra Das"/>
    <s v="7365868045"/>
  </r>
  <r>
    <s v="RCF Trombay"/>
    <s v="15-15-15"/>
    <s v="WB"/>
    <x v="15"/>
    <s v="Krishnagar - I"/>
    <s v="User Not Mapped"/>
    <s v="User Not Mapped"/>
    <s v="User Not Mapped"/>
    <n v="935689"/>
    <s v="SUSANTA BISWAS"/>
    <s v="Private Retailer"/>
    <s v="9732738901"/>
    <n v="1.25"/>
    <n v="362"/>
    <x v="3"/>
    <m/>
    <s v="2025-04-30"/>
    <s v="280729"/>
    <s v="M/s. Naresh Chandra Das"/>
    <s v="7365868045"/>
  </r>
  <r>
    <s v="RCF Trombay"/>
    <s v="N.C.Urea(45kg)"/>
    <s v="WB"/>
    <x v="15"/>
    <s v="Krishnagar - I"/>
    <s v="User Not Mapped"/>
    <s v="User Not Mapped"/>
    <s v="User Not Mapped"/>
    <n v="935689"/>
    <s v="SUSANTA BISWAS"/>
    <s v="Private Retailer"/>
    <s v="9732738901"/>
    <n v="1.575"/>
    <n v="466"/>
    <x v="6"/>
    <m/>
    <s v="2025-01-16"/>
    <s v="280729"/>
    <s v="M/s. Naresh Chandra Das"/>
    <s v="7365868045"/>
  </r>
  <r>
    <s v="RCF Trombay"/>
    <s v="N.C.Urea(45kg)"/>
    <s v="WB"/>
    <x v="15"/>
    <s v="Krishnagar - I"/>
    <s v="User Not Mapped"/>
    <s v="User Not Mapped"/>
    <s v="User Not Mapped"/>
    <n v="945143"/>
    <s v="SUSHIL KUMAR DAS"/>
    <s v="Private Retailer"/>
    <s v="9883374437"/>
    <n v="1.8"/>
    <n v="32"/>
    <x v="1"/>
    <m/>
    <s v="2026-03-26"/>
    <s v="280729"/>
    <s v="M/s. Naresh Chandra Das"/>
    <s v="7365868045"/>
  </r>
  <r>
    <s v="RCF Trombay"/>
    <s v="N.C.Urea(45kg)"/>
    <s v="WB"/>
    <x v="15"/>
    <s v="Krishnagar - I"/>
    <s v="User Not Mapped"/>
    <s v="User Not Mapped"/>
    <s v="User Not Mapped"/>
    <n v="945143"/>
    <s v="SUSHIL KUMAR DAS"/>
    <s v="Private Retailer"/>
    <s v="9883374437"/>
    <n v="1.125"/>
    <n v="62"/>
    <x v="2"/>
    <m/>
    <s v="2026-02-24"/>
    <s v="260179"/>
    <s v="Tarun Kumar Saha"/>
    <s v="8116312974"/>
  </r>
  <r>
    <s v="RCF Thal"/>
    <s v="N.C.Urea(45kg)"/>
    <s v="WB"/>
    <x v="15"/>
    <s v="Krishnagar - I"/>
    <s v="User Not Mapped"/>
    <s v="User Not Mapped"/>
    <s v="User Not Mapped"/>
    <n v="946210"/>
    <s v="AYUB NABI SHEIKH"/>
    <s v="Private Retailer"/>
    <s v="9679387895"/>
    <n v="1.35"/>
    <n v="12"/>
    <x v="4"/>
    <m/>
    <s v="2026-04-15"/>
    <s v="280729"/>
    <s v="M/s. Naresh Chandra Das"/>
    <s v="7365868045"/>
  </r>
  <r>
    <s v="RCF Import"/>
    <s v="MOP"/>
    <s v="WB"/>
    <x v="15"/>
    <s v="Krishnagar - I"/>
    <s v="User Not Mapped"/>
    <s v="User Not Mapped"/>
    <s v="User Not Mapped"/>
    <n v="946210"/>
    <s v="AYUB NABI SHEIKH"/>
    <s v="Private Retailer"/>
    <s v="9679387895"/>
    <n v="0.25"/>
    <n v="17"/>
    <x v="4"/>
    <m/>
    <s v="2026-04-10"/>
    <s v="280729"/>
    <s v="M/s. Naresh Chandra Das"/>
    <s v="7365868045"/>
  </r>
  <r>
    <s v="RCF Trombay"/>
    <s v="N.C.Urea(45kg)"/>
    <s v="WB"/>
    <x v="15"/>
    <s v="Krishnagar - I"/>
    <s v="User Not Mapped"/>
    <s v="User Not Mapped"/>
    <s v="User Not Mapped"/>
    <n v="946210"/>
    <s v="AYUB NABI SHEIKH"/>
    <s v="Private Retailer"/>
    <s v="9679387895"/>
    <n v="2.61"/>
    <n v="93"/>
    <x v="5"/>
    <m/>
    <s v="2026-01-24"/>
    <s v="270129"/>
    <s v="Kalyan Kr. Nandi"/>
    <s v="8250914797"/>
  </r>
  <r>
    <s v="RCF Import"/>
    <s v="MOP"/>
    <s v="WB"/>
    <x v="15"/>
    <s v="Krishnagar - I"/>
    <s v="User Not Mapped"/>
    <s v="User Not Mapped"/>
    <s v="User Not Mapped"/>
    <n v="950671"/>
    <s v="BISWAS FPSB"/>
    <s v="Private Retailer"/>
    <s v="9046825275"/>
    <n v="10"/>
    <n v="65"/>
    <x v="2"/>
    <m/>
    <s v="2026-02-21"/>
    <s v="260178"/>
    <s v="M/s. Uttamendu Sarkar"/>
    <s v="9002483836"/>
  </r>
  <r>
    <s v="RCF Thal"/>
    <s v="N.C.Urea(45kg)"/>
    <s v="WB"/>
    <x v="15"/>
    <s v="Krishnagar - I"/>
    <s v="User Not Mapped"/>
    <s v="User Not Mapped"/>
    <s v="User Not Mapped"/>
    <n v="950671"/>
    <s v="BISWAS FPSB"/>
    <s v="Private Retailer"/>
    <s v="9046825275"/>
    <n v="9.99"/>
    <n v="20"/>
    <x v="4"/>
    <m/>
    <s v="2026-04-07"/>
    <s v="260178"/>
    <s v="M/s. Uttamendu Sarkar"/>
    <s v="9002483836"/>
  </r>
  <r>
    <s v="RCF Trombay"/>
    <s v="N.C.Urea(45kg)"/>
    <s v="WB"/>
    <x v="15"/>
    <s v="Krishnagar - I"/>
    <s v="User Not Mapped"/>
    <s v="User Not Mapped"/>
    <s v="User Not Mapped"/>
    <n v="950671"/>
    <s v="BISWAS FPSB"/>
    <s v="Private Retailer"/>
    <s v="9046825275"/>
    <n v="4.9950000000000001"/>
    <n v="62"/>
    <x v="2"/>
    <m/>
    <s v="2026-02-24"/>
    <s v="260178"/>
    <s v="M/s. Uttamendu Sarkar"/>
    <s v="9002483836"/>
  </r>
  <r>
    <s v="RCF Trombay"/>
    <s v="15-15-15"/>
    <s v="WB"/>
    <x v="15"/>
    <s v="Krishnagar - I"/>
    <s v="User Not Mapped"/>
    <s v="User Not Mapped"/>
    <s v="User Not Mapped"/>
    <n v="950671"/>
    <s v="BISWAS FPSB"/>
    <s v="Private Retailer"/>
    <s v="9046825275"/>
    <n v="5"/>
    <n v="62"/>
    <x v="2"/>
    <m/>
    <s v="2026-02-24"/>
    <s v="260178"/>
    <s v="M/s. Uttamendu Sarkar"/>
    <s v="9002483836"/>
  </r>
  <r>
    <s v="RCF Thal"/>
    <s v="N.C.Urea(45kg)"/>
    <s v="WB"/>
    <x v="15"/>
    <s v="Krishnagar - I"/>
    <s v="User Not Mapped"/>
    <s v="User Not Mapped"/>
    <s v="User Not Mapped"/>
    <n v="950671"/>
    <s v="BISWAS FPSB"/>
    <s v="Private Retailer"/>
    <s v="9046825275"/>
    <n v="4.9950000000000001"/>
    <n v="60"/>
    <x v="1"/>
    <m/>
    <s v="2026-02-26"/>
    <s v="280729"/>
    <s v="M/s. Naresh Chandra Das"/>
    <s v="7365868045"/>
  </r>
  <r>
    <s v="RCF Trombay"/>
    <s v="15-15-15"/>
    <s v="WB"/>
    <x v="15"/>
    <s v="Krishnagar - I"/>
    <s v="User Not Mapped"/>
    <s v="User Not Mapped"/>
    <s v="User Not Mapped"/>
    <n v="950671"/>
    <s v="BISWAS FPSB"/>
    <s v="Private Retailer"/>
    <s v="9046825275"/>
    <n v="5"/>
    <n v="59"/>
    <x v="1"/>
    <m/>
    <s v="2026-02-27"/>
    <s v="280729"/>
    <s v="M/s. Naresh Chandra Das"/>
    <s v="7365868045"/>
  </r>
  <r>
    <s v="RCF Import"/>
    <s v="MOP"/>
    <s v="WB"/>
    <x v="15"/>
    <s v="Krishnagar - I"/>
    <s v="User Not Mapped"/>
    <s v="User Not Mapped"/>
    <s v="User Not Mapped"/>
    <n v="950671"/>
    <s v="BISWAS FPSB"/>
    <s v="Private Retailer"/>
    <s v="9046825275"/>
    <n v="5"/>
    <n v="65"/>
    <x v="2"/>
    <m/>
    <s v="2026-02-21"/>
    <s v="280729"/>
    <s v="M/s. Naresh Chandra Das"/>
    <s v="7365868045"/>
  </r>
  <r>
    <s v="RCF Trombay"/>
    <s v="15-15-15"/>
    <s v="WB"/>
    <x v="15"/>
    <s v="Krishnagar - I"/>
    <s v="User Not Mapped"/>
    <s v="User Not Mapped"/>
    <s v="User Not Mapped"/>
    <n v="950671"/>
    <s v="BISWAS FPSB"/>
    <s v="Private Retailer"/>
    <s v="9046825275"/>
    <n v="4"/>
    <n v="143"/>
    <x v="0"/>
    <m/>
    <s v="2025-12-05"/>
    <s v="280729"/>
    <s v="M/s. Naresh Chandra Das"/>
    <s v="7365868045"/>
  </r>
  <r>
    <s v="RCF Trombay"/>
    <s v="N.C.Urea(45kg)"/>
    <s v="WB"/>
    <x v="15"/>
    <s v="Krishnagar - I"/>
    <s v="User Not Mapped"/>
    <s v="User Not Mapped"/>
    <s v="User Not Mapped"/>
    <n v="993270"/>
    <s v="SADDAM HOSSEN MONDAL"/>
    <s v="Private Retailer"/>
    <s v="8436643680"/>
    <n v="0.58499999999999996"/>
    <n v="248"/>
    <x v="3"/>
    <m/>
    <s v="2025-08-22"/>
    <s v="260179"/>
    <s v="Tarun Kumar Saha"/>
    <s v="8116312974"/>
  </r>
  <r>
    <s v="RCF Trombay"/>
    <s v="15-15-15"/>
    <s v="WB"/>
    <x v="15"/>
    <s v="Krishnagar - I"/>
    <s v="User Not Mapped"/>
    <s v="User Not Mapped"/>
    <s v="User Not Mapped"/>
    <n v="993270"/>
    <s v="SADDAM HOSSEN MONDAL"/>
    <s v="Private Retailer"/>
    <s v="8436643680"/>
    <n v="4.4999999999999998E-2"/>
    <n v="248"/>
    <x v="3"/>
    <m/>
    <s v="2025-08-22"/>
    <s v="260179"/>
    <s v="Tarun Kumar Saha"/>
    <s v="8116312974"/>
  </r>
  <r>
    <s v="RCF Trombay"/>
    <s v="15-15-15"/>
    <s v="WB"/>
    <x v="15"/>
    <s v="Krishnagar - I"/>
    <s v="User Not Mapped"/>
    <s v="User Not Mapped"/>
    <s v="User Not Mapped"/>
    <n v="1002899"/>
    <s v="GHOSH FERTILISER "/>
    <s v="Private Retailer"/>
    <s v="9733065729"/>
    <n v="0.15"/>
    <n v="76"/>
    <x v="2"/>
    <m/>
    <s v="2026-02-10"/>
    <s v="280729"/>
    <s v="M/s. Naresh Chandra Das"/>
    <s v="7365868045"/>
  </r>
  <r>
    <s v="RCF Trombay"/>
    <s v="N.C.Urea(45kg)"/>
    <s v="WB"/>
    <x v="15"/>
    <s v="Krishnagar - I"/>
    <s v="User Not Mapped"/>
    <s v="User Not Mapped"/>
    <s v="User Not Mapped"/>
    <n v="1002899"/>
    <s v="GHOSH FERTILISER "/>
    <s v="Private Retailer"/>
    <s v="9733065729"/>
    <n v="0.9"/>
    <n v="86"/>
    <x v="2"/>
    <m/>
    <s v="2026-01-31"/>
    <s v="280729"/>
    <s v="M/s. Naresh Chandra Das"/>
    <s v="7365868045"/>
  </r>
  <r>
    <s v="RCF Thal"/>
    <s v="N.C.Urea(45kg)"/>
    <s v="WB"/>
    <x v="15"/>
    <s v="Krishnagar - I"/>
    <s v="User Not Mapped"/>
    <s v="User Not Mapped"/>
    <s v="User Not Mapped"/>
    <n v="1002899"/>
    <s v="GHOSH FERTILISER "/>
    <s v="Private Retailer"/>
    <s v="9733065729"/>
    <n v="0.81"/>
    <n v="193"/>
    <x v="3"/>
    <m/>
    <s v="2025-10-16"/>
    <s v="280729"/>
    <s v="M/s. Naresh Chandra Das"/>
    <s v="7365868045"/>
  </r>
  <r>
    <s v="RCF Thal"/>
    <s v="N.C.Urea(45kg)"/>
    <s v="WB"/>
    <x v="15"/>
    <s v="Krishnagar - I"/>
    <s v="User Not Mapped"/>
    <s v="User Not Mapped"/>
    <s v="User Not Mapped"/>
    <n v="1002899"/>
    <s v="GHOSH FERTILISER "/>
    <s v="Private Retailer"/>
    <s v="9733065729"/>
    <n v="1.26"/>
    <n v="202"/>
    <x v="3"/>
    <m/>
    <s v="2025-10-07"/>
    <s v="280729"/>
    <s v="M/s. Naresh Chandra Das"/>
    <s v="7365868045"/>
  </r>
  <r>
    <s v="RCF Trombay"/>
    <s v="15-15-15"/>
    <s v="WB"/>
    <x v="15"/>
    <s v="Krishnagar - I"/>
    <s v="User Not Mapped"/>
    <s v="User Not Mapped"/>
    <s v="User Not Mapped"/>
    <n v="1002899"/>
    <s v="GHOSH FERTILISER "/>
    <s v="Private Retailer"/>
    <s v="9733065729"/>
    <n v="0.15"/>
    <n v="47"/>
    <x v="1"/>
    <m/>
    <s v="2026-03-11"/>
    <s v="280729"/>
    <s v="M/s. Naresh Chandra Das"/>
    <s v="7365868045"/>
  </r>
  <r>
    <s v="RCF Thal"/>
    <s v="N.C.Urea(45kg)"/>
    <s v="WB"/>
    <x v="15"/>
    <s v="Krishnagar - I"/>
    <s v="User Not Mapped"/>
    <s v="User Not Mapped"/>
    <s v="User Not Mapped"/>
    <n v="1017508"/>
    <s v="MS SATTYEN BISWAS"/>
    <s v="Private Retailer"/>
    <s v="7908240989"/>
    <n v="7.875"/>
    <n v="212"/>
    <x v="3"/>
    <m/>
    <s v="2025-09-27"/>
    <s v="280729"/>
    <s v="M/s. Naresh Chandra Das"/>
    <s v="7365868045"/>
  </r>
  <r>
    <s v="RCF Trombay"/>
    <s v="N.C.Urea(45kg)"/>
    <s v="WB"/>
    <x v="15"/>
    <s v="Krishnagar - I"/>
    <s v="User Not Mapped"/>
    <s v="User Not Mapped"/>
    <s v="User Not Mapped"/>
    <n v="1017508"/>
    <s v="MS SATTYEN BISWAS"/>
    <s v="Private Retailer"/>
    <s v="7908240989"/>
    <n v="4.9950000000000001"/>
    <n v="174"/>
    <x v="0"/>
    <m/>
    <s v="2025-11-04"/>
    <s v="280729"/>
    <s v="M/s. Naresh Chandra Das"/>
    <s v="7365868045"/>
  </r>
  <r>
    <s v="RCF Import"/>
    <s v="MOP"/>
    <s v="WB"/>
    <x v="15"/>
    <s v="Krishnagar - I"/>
    <s v="User Not Mapped"/>
    <s v="User Not Mapped"/>
    <s v="User Not Mapped"/>
    <n v="1017508"/>
    <s v="MS SATTYEN BISWAS"/>
    <s v="Private Retailer"/>
    <s v="7908240989"/>
    <n v="10"/>
    <n v="65"/>
    <x v="2"/>
    <m/>
    <s v="2026-02-21"/>
    <s v="280729"/>
    <s v="M/s. Naresh Chandra Das"/>
    <s v="7365868045"/>
  </r>
  <r>
    <s v="RCF Trombay"/>
    <s v="N.C.Urea(45kg)"/>
    <s v="WB"/>
    <x v="15"/>
    <s v="Krishnagar - I"/>
    <s v="User Not Mapped"/>
    <s v="User Not Mapped"/>
    <s v="User Not Mapped"/>
    <n v="1017508"/>
    <s v="MS SATTYEN BISWAS"/>
    <s v="Private Retailer"/>
    <s v="7908240989"/>
    <n v="3.7349999999999999"/>
    <n v="362"/>
    <x v="3"/>
    <m/>
    <s v="2025-04-30"/>
    <s v="280729"/>
    <s v="M/s. Naresh Chandra Das"/>
    <s v="7365868045"/>
  </r>
  <r>
    <s v="RCF Trombay"/>
    <s v="15-15-15"/>
    <s v="WB"/>
    <x v="15"/>
    <s v="Krishnagar - I"/>
    <s v="User Not Mapped"/>
    <s v="User Not Mapped"/>
    <s v="User Not Mapped"/>
    <n v="1017508"/>
    <s v="MS SATTYEN BISWAS"/>
    <s v="Private Retailer"/>
    <s v="7908240989"/>
    <n v="10"/>
    <n v="59"/>
    <x v="1"/>
    <m/>
    <s v="2026-02-27"/>
    <s v="280729"/>
    <s v="M/s. Naresh Chandra Das"/>
    <s v="7365868045"/>
  </r>
  <r>
    <s v="RCF Trombay"/>
    <s v="N.C.Urea(45kg)"/>
    <s v="WB"/>
    <x v="15"/>
    <s v="Krishnagar - I"/>
    <s v="User Not Mapped"/>
    <s v="User Not Mapped"/>
    <s v="User Not Mapped"/>
    <n v="1017508"/>
    <s v="MS SATTYEN BISWAS"/>
    <s v="Private Retailer"/>
    <s v="7908240989"/>
    <n v="4.9950000000000001"/>
    <n v="59"/>
    <x v="1"/>
    <m/>
    <s v="2026-02-27"/>
    <s v="280729"/>
    <s v="M/s. Naresh Chandra Das"/>
    <s v="7365868045"/>
  </r>
  <r>
    <s v="RCF Trombay"/>
    <s v="15-15-15"/>
    <s v="WB"/>
    <x v="15"/>
    <s v="Krishnagar - I"/>
    <s v="User Not Mapped"/>
    <s v="User Not Mapped"/>
    <s v="User Not Mapped"/>
    <n v="1017508"/>
    <s v="MS SATTYEN BISWAS"/>
    <s v="Private Retailer"/>
    <s v="7908240989"/>
    <n v="10"/>
    <n v="91"/>
    <x v="5"/>
    <m/>
    <s v="2026-01-26"/>
    <s v="280729"/>
    <s v="M/s. Naresh Chandra Das"/>
    <s v="7365868045"/>
  </r>
  <r>
    <s v="RCF Trombay"/>
    <s v="15-15-15"/>
    <s v="WB"/>
    <x v="15"/>
    <s v="Krishnagar - I"/>
    <s v="User Not Mapped"/>
    <s v="User Not Mapped"/>
    <s v="User Not Mapped"/>
    <n v="1017512"/>
    <s v="CHANDI CHARAN HALDAR"/>
    <s v="Private Retailer"/>
    <s v="8348677616"/>
    <n v="0.3"/>
    <n v="47"/>
    <x v="1"/>
    <m/>
    <s v="2026-03-11"/>
    <s v="280729"/>
    <s v="M/s. Naresh Chandra Das"/>
    <s v="7365868045"/>
  </r>
  <r>
    <s v="RCF Import"/>
    <s v="Imp 10-26-26"/>
    <s v="WB"/>
    <x v="15"/>
    <s v="Krishnagar - I"/>
    <s v="User Not Mapped"/>
    <s v="User Not Mapped"/>
    <s v="User Not Mapped"/>
    <n v="1017514"/>
    <s v="SARKAR FERTILIZER"/>
    <s v="Private Retailer"/>
    <s v="9734065692"/>
    <n v="2.5"/>
    <n v="9"/>
    <x v="4"/>
    <m/>
    <s v="2026-04-18"/>
    <s v="281284"/>
    <s v="Sadhan Kumar Ghosh"/>
    <s v="7602136568"/>
  </r>
  <r>
    <s v="RCF Thal"/>
    <s v="N.C.Urea(45kg)"/>
    <s v="WB"/>
    <x v="15"/>
    <s v="Krishnagar - I"/>
    <s v="User Not Mapped"/>
    <s v="User Not Mapped"/>
    <s v="User Not Mapped"/>
    <n v="1017516"/>
    <s v="JAYDEB GHOSH"/>
    <s v="Private Retailer"/>
    <s v="9563444742"/>
    <n v="0.54"/>
    <n v="12"/>
    <x v="4"/>
    <m/>
    <s v="2026-04-15"/>
    <s v="280729"/>
    <s v="M/s. Naresh Chandra Das"/>
    <s v="7365868045"/>
  </r>
  <r>
    <s v="RCF Trombay"/>
    <s v="15-15-15"/>
    <s v="WB"/>
    <x v="15"/>
    <s v="Krishnagar - I"/>
    <s v="User Not Mapped"/>
    <s v="User Not Mapped"/>
    <s v="User Not Mapped"/>
    <n v="1024444"/>
    <s v="GHOSH FERTILISER"/>
    <s v="Private Retailer"/>
    <s v="7797272940"/>
    <n v="1.7"/>
    <n v="180"/>
    <x v="0"/>
    <m/>
    <s v="2025-10-29"/>
    <s v="549643"/>
    <s v="M/S RATAN BISWAS"/>
    <s v="8617364808"/>
  </r>
  <r>
    <s v="RCF Trombay"/>
    <s v="15-15-15"/>
    <s v="WB"/>
    <x v="15"/>
    <s v="Krishnagar - I"/>
    <s v="User Not Mapped"/>
    <s v="User Not Mapped"/>
    <s v="User Not Mapped"/>
    <n v="1024446"/>
    <s v="BISWAS FERTILIZER"/>
    <s v="Private Retailer"/>
    <s v="9749088438"/>
    <n v="1"/>
    <n v="76"/>
    <x v="2"/>
    <m/>
    <s v="2026-02-10"/>
    <s v="280729"/>
    <s v="M/s. Naresh Chandra Das"/>
    <s v="7365868045"/>
  </r>
  <r>
    <s v="RCF Trombay"/>
    <s v="15-15-15"/>
    <s v="WB"/>
    <x v="15"/>
    <s v="Krishnagar - I"/>
    <s v="User Not Mapped"/>
    <s v="User Not Mapped"/>
    <s v="User Not Mapped"/>
    <n v="1024446"/>
    <s v="BISWAS FERTILIZER"/>
    <s v="Private Retailer"/>
    <s v="9749088438"/>
    <n v="0.45"/>
    <n v="399"/>
    <x v="6"/>
    <m/>
    <s v="2025-03-24"/>
    <s v="260177"/>
    <s v="SatyaRanjan Kundu and Brothers"/>
    <s v="7908186730"/>
  </r>
  <r>
    <s v="RCF Import"/>
    <s v="MOP"/>
    <s v="WB"/>
    <x v="15"/>
    <s v="Krishnagar - I"/>
    <s v="User Not Mapped"/>
    <s v="User Not Mapped"/>
    <s v="User Not Mapped"/>
    <n v="1024446"/>
    <s v="BISWAS FERTILIZER"/>
    <s v="Private Retailer"/>
    <s v="9749088438"/>
    <n v="0.25"/>
    <n v="32"/>
    <x v="1"/>
    <m/>
    <s v="2026-03-26"/>
    <s v="280729"/>
    <s v="M/s. Naresh Chandra Das"/>
    <s v="7365868045"/>
  </r>
  <r>
    <s v="RCF Trombay"/>
    <s v="15-15-15"/>
    <s v="WB"/>
    <x v="15"/>
    <s v="Krishnagar - I"/>
    <s v="User Not Mapped"/>
    <s v="User Not Mapped"/>
    <s v="User Not Mapped"/>
    <n v="1024446"/>
    <s v="BISWAS FERTILIZER"/>
    <s v="Private Retailer"/>
    <s v="9749088438"/>
    <n v="1"/>
    <n v="175"/>
    <x v="0"/>
    <m/>
    <s v="2025-11-03"/>
    <s v="260178"/>
    <s v="M/s. Uttamendu Sarkar"/>
    <s v="9002483836"/>
  </r>
  <r>
    <s v="RCF Trombay"/>
    <s v="N.C.Urea(45kg)"/>
    <s v="WB"/>
    <x v="15"/>
    <s v="Krishnagar - I"/>
    <s v="User Not Mapped"/>
    <s v="User Not Mapped"/>
    <s v="User Not Mapped"/>
    <n v="1025124"/>
    <s v="MADAN SADHUKHAN"/>
    <s v="Private Retailer"/>
    <s v="9046197800"/>
    <n v="2.25"/>
    <n v="247"/>
    <x v="3"/>
    <m/>
    <s v="2025-08-23"/>
    <s v="280729"/>
    <s v="M/s. Naresh Chandra Das"/>
    <s v="7365868045"/>
  </r>
  <r>
    <s v="RCF Trombay"/>
    <s v="N.C.Urea(45kg)"/>
    <s v="WB"/>
    <x v="15"/>
    <s v="Krishnagar - I"/>
    <s v="User Not Mapped"/>
    <s v="User Not Mapped"/>
    <s v="User Not Mapped"/>
    <n v="1025124"/>
    <s v="MADAN SADHUKHAN"/>
    <s v="Private Retailer"/>
    <s v="9046197800"/>
    <n v="1.0349999999999999"/>
    <n v="359"/>
    <x v="3"/>
    <m/>
    <s v="2025-05-03"/>
    <s v="260179"/>
    <s v="Tarun Kumar Saha"/>
    <s v="8116312974"/>
  </r>
  <r>
    <s v="RCF Trombay"/>
    <s v="N.C.Urea(45kg)"/>
    <s v="WB"/>
    <x v="15"/>
    <s v="Krishnagar - I"/>
    <s v="User Not Mapped"/>
    <s v="User Not Mapped"/>
    <s v="User Not Mapped"/>
    <n v="1025124"/>
    <s v="MADAN SADHUKHAN"/>
    <s v="Private Retailer"/>
    <s v="9046197800"/>
    <n v="0.58499999999999996"/>
    <n v="427"/>
    <x v="6"/>
    <m/>
    <s v="2025-02-24"/>
    <s v="280729"/>
    <s v="M/s. Naresh Chandra Das"/>
    <s v="7365868045"/>
  </r>
  <r>
    <s v="RCF Thal"/>
    <s v="N.C.Urea(45kg)"/>
    <s v="WB"/>
    <x v="15"/>
    <s v="Krishnagar - I"/>
    <s v="User Not Mapped"/>
    <s v="User Not Mapped"/>
    <s v="User Not Mapped"/>
    <n v="1025124"/>
    <s v="MADAN SADHUKHAN"/>
    <s v="Private Retailer"/>
    <s v="9046197800"/>
    <n v="0.94499999999999995"/>
    <n v="432"/>
    <x v="6"/>
    <m/>
    <s v="2025-02-19"/>
    <s v="280729"/>
    <s v="M/s. Naresh Chandra Das"/>
    <s v="7365868045"/>
  </r>
  <r>
    <s v="RCF Trombay"/>
    <s v="15-15-15"/>
    <s v="WB"/>
    <x v="15"/>
    <s v="Krishnagar - I"/>
    <s v="User Not Mapped"/>
    <s v="User Not Mapped"/>
    <s v="User Not Mapped"/>
    <n v="1025124"/>
    <s v="MADAN SADHUKHAN"/>
    <s v="Private Retailer"/>
    <s v="9046197800"/>
    <n v="0.5"/>
    <n v="734"/>
    <x v="7"/>
    <m/>
    <s v="2024-04-23"/>
    <s v="280729"/>
    <s v="M/s. Naresh Chandra Das"/>
    <s v="7365868045"/>
  </r>
  <r>
    <s v="RCF Trombay"/>
    <s v="15-15-15"/>
    <s v="WB"/>
    <x v="15"/>
    <s v="Krishnagar - I"/>
    <s v="User Not Mapped"/>
    <s v="User Not Mapped"/>
    <s v="User Not Mapped"/>
    <n v="1025124"/>
    <s v="MADAN SADHUKHAN"/>
    <s v="Private Retailer"/>
    <s v="9046197800"/>
    <n v="1"/>
    <n v="661"/>
    <x v="7"/>
    <m/>
    <s v="2024-07-05"/>
    <s v="280729"/>
    <s v="M/s. Naresh Chandra Das"/>
    <s v="7365868045"/>
  </r>
  <r>
    <s v="RCF Trombay"/>
    <s v="15-15-15"/>
    <s v="WB"/>
    <x v="15"/>
    <s v="Krishnagar - I"/>
    <s v="User Not Mapped"/>
    <s v="User Not Mapped"/>
    <s v="User Not Mapped"/>
    <n v="1025124"/>
    <s v="MADAN SADHUKHAN"/>
    <s v="Private Retailer"/>
    <s v="9046197800"/>
    <n v="2"/>
    <n v="975"/>
    <x v="7"/>
    <m/>
    <s v="2023-08-26"/>
    <s v="280729"/>
    <s v="M/s. Naresh Chandra Das"/>
    <s v="7365868045"/>
  </r>
  <r>
    <s v="RCF Trombay"/>
    <s v="N.C.Urea(45kg)"/>
    <s v="WB"/>
    <x v="15"/>
    <s v="Krishnagar - I"/>
    <s v="User Not Mapped"/>
    <s v="User Not Mapped"/>
    <s v="User Not Mapped"/>
    <n v="1029834"/>
    <s v="SOURAV FERTILIZER"/>
    <s v="Private Retailer"/>
    <s v="9635010583"/>
    <n v="0.54"/>
    <n v="177"/>
    <x v="0"/>
    <m/>
    <s v="2025-11-01"/>
    <s v="268776"/>
    <s v="Chandra Kanta Das"/>
    <s v="9830307100"/>
  </r>
  <r>
    <s v="RCF Trombay"/>
    <s v="15-15-15"/>
    <s v="WB"/>
    <x v="15"/>
    <s v="Krishnagar - I"/>
    <s v="User Not Mapped"/>
    <s v="User Not Mapped"/>
    <s v="User Not Mapped"/>
    <n v="1029834"/>
    <s v="SOURAV FERTILIZER"/>
    <s v="Private Retailer"/>
    <s v="9635010583"/>
    <n v="0.25"/>
    <n v="89"/>
    <x v="2"/>
    <m/>
    <s v="2026-01-28"/>
    <s v="268776"/>
    <s v="Chandra Kanta Das"/>
    <s v="9830307100"/>
  </r>
  <r>
    <s v="RCF Trombay"/>
    <s v="15-15-15"/>
    <s v="WB"/>
    <x v="15"/>
    <s v="Krishnagar - I"/>
    <s v="User Not Mapped"/>
    <s v="User Not Mapped"/>
    <s v="User Not Mapped"/>
    <n v="1029834"/>
    <s v="SOURAV FERTILIZER"/>
    <s v="Private Retailer"/>
    <s v="9635010583"/>
    <n v="0.25"/>
    <n v="56"/>
    <x v="1"/>
    <m/>
    <s v="2026-03-02"/>
    <s v="268776"/>
    <s v="Chandra Kanta Das"/>
    <s v="9830307100"/>
  </r>
  <r>
    <s v="RCF Trombay"/>
    <s v="15-15-15"/>
    <s v="WB"/>
    <x v="15"/>
    <s v="Krishnagar - I"/>
    <s v="User Not Mapped"/>
    <s v="User Not Mapped"/>
    <s v="User Not Mapped"/>
    <n v="1029834"/>
    <s v="SOURAV FERTILIZER"/>
    <s v="Private Retailer"/>
    <s v="9635010583"/>
    <n v="0.75"/>
    <n v="216"/>
    <x v="3"/>
    <m/>
    <s v="2025-09-23"/>
    <s v="268776"/>
    <s v="Chandra Kanta Das"/>
    <s v="9830307100"/>
  </r>
  <r>
    <s v="RCF Trombay"/>
    <s v="15-15-15"/>
    <s v="WB"/>
    <x v="15"/>
    <s v="Krishnagar - I"/>
    <s v="User Not Mapped"/>
    <s v="User Not Mapped"/>
    <s v="User Not Mapped"/>
    <n v="1029834"/>
    <s v="SOURAV FERTILIZER"/>
    <s v="Private Retailer"/>
    <s v="9635010583"/>
    <n v="0.5"/>
    <n v="192"/>
    <x v="3"/>
    <m/>
    <s v="2025-10-17"/>
    <s v="268776"/>
    <s v="Chandra Kanta Das"/>
    <s v="9830307100"/>
  </r>
  <r>
    <s v="RCF Trombay"/>
    <s v="N.C.Urea(45kg)"/>
    <s v="WB"/>
    <x v="15"/>
    <s v="Krishnagar - I"/>
    <s v="User Not Mapped"/>
    <s v="User Not Mapped"/>
    <s v="User Not Mapped"/>
    <n v="1029834"/>
    <s v="SOURAV FERTILIZER"/>
    <s v="Private Retailer"/>
    <s v="9635010583"/>
    <n v="1.35"/>
    <n v="89"/>
    <x v="2"/>
    <m/>
    <s v="2026-01-28"/>
    <s v="268776"/>
    <s v="Chandra Kanta Das"/>
    <s v="9830307100"/>
  </r>
  <r>
    <s v="RCF Trombay"/>
    <s v="15-15-15"/>
    <s v="WB"/>
    <x v="15"/>
    <s v="Krishnagar - I"/>
    <s v="User Not Mapped"/>
    <s v="User Not Mapped"/>
    <s v="User Not Mapped"/>
    <n v="1029834"/>
    <s v="SOURAV FERTILIZER"/>
    <s v="Private Retailer"/>
    <s v="9635010583"/>
    <n v="0.5"/>
    <n v="142"/>
    <x v="0"/>
    <m/>
    <s v="2025-12-06"/>
    <s v="268776"/>
    <s v="Chandra Kanta Das"/>
    <s v="9830307100"/>
  </r>
  <r>
    <s v="RCF Trombay"/>
    <s v="15-15-15"/>
    <s v="WB"/>
    <x v="15"/>
    <s v="Krishnagar - I"/>
    <s v="User Not Mapped"/>
    <s v="User Not Mapped"/>
    <s v="User Not Mapped"/>
    <n v="1029834"/>
    <s v="SOURAV FERTILIZER"/>
    <s v="Private Retailer"/>
    <s v="9635010583"/>
    <n v="0.5"/>
    <n v="45"/>
    <x v="1"/>
    <m/>
    <s v="2026-03-13"/>
    <s v="268776"/>
    <s v="Chandra Kanta Das"/>
    <s v="9830307100"/>
  </r>
  <r>
    <s v="RCF Trombay"/>
    <s v="N.C.Urea(45kg)"/>
    <s v="WB"/>
    <x v="15"/>
    <s v="Krishnagar - I"/>
    <s v="User Not Mapped"/>
    <s v="User Not Mapped"/>
    <s v="User Not Mapped"/>
    <n v="1029834"/>
    <s v="SOURAV FERTILIZER"/>
    <s v="Private Retailer"/>
    <s v="9635010583"/>
    <n v="0.36"/>
    <n v="216"/>
    <x v="3"/>
    <m/>
    <s v="2025-09-23"/>
    <s v="268776"/>
    <s v="Chandra Kanta Das"/>
    <s v="9830307100"/>
  </r>
  <r>
    <s v="RCF Trombay"/>
    <s v="15-15-15"/>
    <s v="WB"/>
    <x v="15"/>
    <s v="Krishnagar - I"/>
    <s v="User Not Mapped"/>
    <s v="User Not Mapped"/>
    <s v="User Not Mapped"/>
    <n v="1029834"/>
    <s v="SOURAV FERTILIZER"/>
    <s v="Private Retailer"/>
    <s v="9635010583"/>
    <n v="0.85"/>
    <n v="272"/>
    <x v="3"/>
    <m/>
    <s v="2025-07-29"/>
    <s v="268776"/>
    <s v="Chandra Kanta Das"/>
    <s v="9830307100"/>
  </r>
  <r>
    <s v="RCF Trombay"/>
    <s v="N.C.Urea(45kg)"/>
    <s v="WB"/>
    <x v="15"/>
    <s v="Krishnagar - I"/>
    <s v="User Not Mapped"/>
    <s v="User Not Mapped"/>
    <s v="User Not Mapped"/>
    <n v="1029834"/>
    <s v="SOURAV FERTILIZER"/>
    <s v="Private Retailer"/>
    <s v="9635010583"/>
    <n v="1.125"/>
    <n v="142"/>
    <x v="0"/>
    <m/>
    <s v="2025-12-06"/>
    <s v="268776"/>
    <s v="Chandra Kanta Das"/>
    <s v="9830307100"/>
  </r>
  <r>
    <s v="RCF Trombay"/>
    <s v="15-15-15"/>
    <s v="WB"/>
    <x v="15"/>
    <s v="Krishnagar - I"/>
    <s v="User Not Mapped"/>
    <s v="User Not Mapped"/>
    <s v="User Not Mapped"/>
    <n v="1042533"/>
    <s v="MD ISLAM SHAIK"/>
    <s v="Private Retailer"/>
    <s v="9832525359"/>
    <n v="1.25"/>
    <n v="179"/>
    <x v="0"/>
    <m/>
    <s v="2025-10-30"/>
    <s v="280729"/>
    <s v="M/s. Naresh Chandra Das"/>
    <s v="7365868045"/>
  </r>
  <r>
    <s v="RCF Trombay"/>
    <s v="15-15-15"/>
    <s v="WB"/>
    <x v="15"/>
    <s v="Krishnagar - I"/>
    <s v="User Not Mapped"/>
    <s v="User Not Mapped"/>
    <s v="User Not Mapped"/>
    <n v="1063064"/>
    <s v="SUBHAS CHAKRABORTY"/>
    <s v="Private Retailer"/>
    <s v="9475113365"/>
    <n v="2.5"/>
    <n v="906"/>
    <x v="7"/>
    <m/>
    <s v="2023-11-03"/>
    <s v="270129"/>
    <s v="Kalyan Kr. Nandi"/>
    <s v="8250914797"/>
  </r>
  <r>
    <s v="RCF Trombay"/>
    <s v="15-15-15"/>
    <s v="WB"/>
    <x v="15"/>
    <s v="Krishnagar - I"/>
    <s v="User Not Mapped"/>
    <s v="User Not Mapped"/>
    <s v="User Not Mapped"/>
    <n v="1063064"/>
    <s v="SUBHAS CHAKRABORTY"/>
    <s v="Private Retailer"/>
    <s v="9475113365"/>
    <n v="2.5"/>
    <n v="1018"/>
    <x v="7"/>
    <m/>
    <s v="2023-07-14"/>
    <s v="270129"/>
    <s v="Kalyan Kr. Nandi"/>
    <s v="8250914797"/>
  </r>
  <r>
    <s v="RCF Trombay"/>
    <s v="15-15-15"/>
    <s v="WB"/>
    <x v="15"/>
    <s v="Krishnagar - I"/>
    <s v="User Not Mapped"/>
    <s v="User Not Mapped"/>
    <s v="User Not Mapped"/>
    <n v="1063064"/>
    <s v="SUBHAS CHAKRABORTY"/>
    <s v="Private Retailer"/>
    <s v="9475113365"/>
    <n v="0.1"/>
    <n v="1275"/>
    <x v="7"/>
    <m/>
    <s v="2022-10-30"/>
    <s v="281284"/>
    <s v="Sadhan Kumar Ghosh"/>
    <s v="7602136568"/>
  </r>
  <r>
    <s v="RCF Thal"/>
    <s v="N.C.Urea(45kg)"/>
    <s v="WB"/>
    <x v="15"/>
    <s v="Krishnagar - I"/>
    <s v="User Not Mapped"/>
    <s v="User Not Mapped"/>
    <s v="User Not Mapped"/>
    <n v="1063064"/>
    <s v="SUBHAS CHAKRABORTY"/>
    <s v="Private Retailer"/>
    <s v="9475113365"/>
    <n v="2.6549999999999998"/>
    <n v="1202"/>
    <x v="7"/>
    <m/>
    <s v="2023-01-11"/>
    <s v="281284"/>
    <s v="Sadhan Kumar Ghosh"/>
    <s v="7602136568"/>
  </r>
  <r>
    <s v="RCF Trombay"/>
    <s v="15-15-15"/>
    <s v="WB"/>
    <x v="15"/>
    <s v="Krishnagar - I"/>
    <s v="User Not Mapped"/>
    <s v="User Not Mapped"/>
    <s v="User Not Mapped"/>
    <n v="1063064"/>
    <s v="SUBHAS CHAKRABORTY"/>
    <s v="Private Retailer"/>
    <s v="9475113365"/>
    <n v="0.5"/>
    <n v="1256"/>
    <x v="7"/>
    <m/>
    <s v="2022-11-18"/>
    <s v="281284"/>
    <s v="Sadhan Kumar Ghosh"/>
    <s v="7602136568"/>
  </r>
  <r>
    <s v="RCF Trombay"/>
    <s v="15-15-15"/>
    <s v="WB"/>
    <x v="15"/>
    <s v="Krishnagar - I"/>
    <s v="User Not Mapped"/>
    <s v="User Not Mapped"/>
    <s v="User Not Mapped"/>
    <n v="1063098"/>
    <s v="MS IKBAL JAFAR"/>
    <s v="Private Retailer"/>
    <s v="9734616920"/>
    <n v="0.3"/>
    <n v="65"/>
    <x v="2"/>
    <m/>
    <s v="2026-02-21"/>
    <s v="280729"/>
    <s v="M/s. Naresh Chandra Das"/>
    <s v="7365868045"/>
  </r>
  <r>
    <s v="RCF Trombay"/>
    <s v="N.C.Urea(45kg)"/>
    <s v="WB"/>
    <x v="15"/>
    <s v="Krishnagar - I"/>
    <s v="User Not Mapped"/>
    <s v="User Not Mapped"/>
    <s v="User Not Mapped"/>
    <n v="1063098"/>
    <s v="MS IKBAL JAFAR"/>
    <s v="Private Retailer"/>
    <s v="9734616920"/>
    <n v="0.45"/>
    <n v="65"/>
    <x v="2"/>
    <m/>
    <s v="2026-02-21"/>
    <s v="280729"/>
    <s v="M/s. Naresh Chandra Das"/>
    <s v="7365868045"/>
  </r>
  <r>
    <s v="RCF Trombay"/>
    <s v="N.C.Urea(45kg)"/>
    <s v="WB"/>
    <x v="15"/>
    <s v="Krishnagar - I"/>
    <s v="User Not Mapped"/>
    <s v="User Not Mapped"/>
    <s v="User Not Mapped"/>
    <n v="1063154"/>
    <s v="JOYDEB GHOSH"/>
    <s v="Private Retailer"/>
    <s v="9474677183"/>
    <n v="4.4999999999999998E-2"/>
    <n v="76"/>
    <x v="2"/>
    <m/>
    <s v="2026-02-10"/>
    <s v="280729"/>
    <s v="M/s. Naresh Chandra Das"/>
    <s v="7365868045"/>
  </r>
  <r>
    <s v="RCF Trombay"/>
    <s v="15-15-15"/>
    <s v="WB"/>
    <x v="15"/>
    <s v="Krishnagar - I"/>
    <s v="User Not Mapped"/>
    <s v="User Not Mapped"/>
    <s v="User Not Mapped"/>
    <n v="1063154"/>
    <s v="JOYDEB GHOSH"/>
    <s v="Private Retailer"/>
    <s v="9474677183"/>
    <n v="0.15"/>
    <n v="76"/>
    <x v="2"/>
    <m/>
    <s v="2026-02-10"/>
    <s v="280729"/>
    <s v="M/s. Naresh Chandra Das"/>
    <s v="7365868045"/>
  </r>
  <r>
    <s v="RCF Trombay"/>
    <s v="15-15-15"/>
    <s v="WB"/>
    <x v="15"/>
    <s v="Krishnagar - I"/>
    <s v="User Not Mapped"/>
    <s v="User Not Mapped"/>
    <s v="User Not Mapped"/>
    <n v="1333386"/>
    <s v="M/S SAHA FERTILIZER"/>
    <s v="Private Retailer"/>
    <s v="7585096985"/>
    <n v="0.2"/>
    <n v="59"/>
    <x v="1"/>
    <m/>
    <s v="2026-02-27"/>
    <s v="280729"/>
    <s v="M/s. Naresh Chandra Das"/>
    <s v="7365868045"/>
  </r>
  <r>
    <s v="RCF Trombay"/>
    <s v="15-15-15"/>
    <s v="WB"/>
    <x v="15"/>
    <s v="Krishnagar - I"/>
    <s v="User Not Mapped"/>
    <s v="User Not Mapped"/>
    <s v="User Not Mapped"/>
    <n v="1368108"/>
    <s v="M/S MAA FERTILIZER"/>
    <s v="Private Retailer"/>
    <s v="8670382832"/>
    <n v="1.95"/>
    <n v="90"/>
    <x v="2"/>
    <m/>
    <s v="2026-01-27"/>
    <s v="260179"/>
    <s v="Tarun Kumar Saha"/>
    <s v="8116312974"/>
  </r>
  <r>
    <s v="RCF Trombay"/>
    <s v="N.C.Urea(45kg)"/>
    <s v="WB"/>
    <x v="15"/>
    <s v="Krishnagar - I"/>
    <s v="User Not Mapped"/>
    <s v="User Not Mapped"/>
    <s v="User Not Mapped"/>
    <n v="1368112"/>
    <s v="M/S Ghosh Fertilizer"/>
    <s v="Private Retailer"/>
    <s v="7047806532"/>
    <n v="4.4999999999999998E-2"/>
    <n v="60"/>
    <x v="1"/>
    <m/>
    <s v="2026-02-26"/>
    <s v="280729"/>
    <s v="M/s. Naresh Chandra Das"/>
    <s v="7365868045"/>
  </r>
  <r>
    <s v="RCF Trombay"/>
    <s v="15-15-15"/>
    <s v="WB"/>
    <x v="15"/>
    <s v="Krishnagar - I"/>
    <s v="User Not Mapped"/>
    <s v="User Not Mapped"/>
    <s v="User Not Mapped"/>
    <n v="1395176"/>
    <s v="BUDDHADEB MANDAL"/>
    <s v="Private Retailer"/>
    <s v="8918643201"/>
    <n v="1.95"/>
    <n v="86"/>
    <x v="2"/>
    <m/>
    <s v="2026-01-31"/>
    <s v="280729"/>
    <s v="M/s. Naresh Chandra Das"/>
    <s v="7365868045"/>
  </r>
  <r>
    <s v="RCF Trombay"/>
    <s v="15-15-15"/>
    <s v="WB"/>
    <x v="15"/>
    <s v="Krishnagar - I"/>
    <s v="User Not Mapped"/>
    <s v="User Not Mapped"/>
    <s v="User Not Mapped"/>
    <n v="1395176"/>
    <s v="BUDDHADEB MANDAL"/>
    <s v="Private Retailer"/>
    <s v="8918643201"/>
    <n v="1"/>
    <n v="42"/>
    <x v="1"/>
    <m/>
    <s v="2026-03-16"/>
    <s v="260179"/>
    <s v="Tarun Kumar Saha"/>
    <s v="8116312974"/>
  </r>
  <r>
    <s v="RCF Import"/>
    <s v="MOP"/>
    <s v="WB"/>
    <x v="15"/>
    <s v="Krishnagar - I"/>
    <s v="User Not Mapped"/>
    <s v="User Not Mapped"/>
    <s v="User Not Mapped"/>
    <n v="1399518"/>
    <s v="M/S MAA TARA KRISHI BHANDAR"/>
    <s v="Private Retailer"/>
    <s v="9002633643"/>
    <n v="5"/>
    <n v="62"/>
    <x v="2"/>
    <m/>
    <s v="2026-02-24"/>
    <s v="270129"/>
    <s v="Kalyan Kr. Nandi"/>
    <s v="8250914797"/>
  </r>
  <r>
    <s v="RCF Thal"/>
    <s v="N.C.Urea(45kg)"/>
    <s v="WB"/>
    <x v="15"/>
    <s v="Krishnagar - I"/>
    <s v="User Not Mapped"/>
    <s v="User Not Mapped"/>
    <s v="User Not Mapped"/>
    <n v="1399518"/>
    <s v="M/S MAA TARA KRISHI BHANDAR"/>
    <s v="Private Retailer"/>
    <s v="9002633643"/>
    <n v="9.5399999999999991"/>
    <n v="17"/>
    <x v="4"/>
    <m/>
    <s v="2026-04-10"/>
    <s v="270129"/>
    <s v="Kalyan Kr. Nandi"/>
    <s v="8250914797"/>
  </r>
  <r>
    <s v="RCF Import"/>
    <s v="MOP"/>
    <s v="WB"/>
    <x v="15"/>
    <s v="Krishnagar - I"/>
    <s v="User Not Mapped"/>
    <s v="User Not Mapped"/>
    <s v="User Not Mapped"/>
    <n v="1399518"/>
    <s v="M/S MAA TARA KRISHI BHANDAR"/>
    <s v="Private Retailer"/>
    <s v="9002633643"/>
    <n v="5"/>
    <n v="58"/>
    <x v="1"/>
    <m/>
    <s v="2026-02-28"/>
    <s v="260177"/>
    <s v="SatyaRanjan Kundu and Brothers"/>
    <s v="7908186730"/>
  </r>
  <r>
    <s v="RCF Thal"/>
    <s v="N.C.Urea(45kg)"/>
    <s v="WB"/>
    <x v="15"/>
    <s v="Krishnagar - I"/>
    <s v="User Not Mapped"/>
    <s v="User Not Mapped"/>
    <s v="User Not Mapped"/>
    <n v="1461465"/>
    <s v="CHAKDIKNAGAR MAHILA FPC"/>
    <s v="Private Retailer"/>
    <s v="9547285891"/>
    <n v="0.9"/>
    <n v="60"/>
    <x v="1"/>
    <m/>
    <s v="2026-02-26"/>
    <s v="280729"/>
    <s v="M/s. Naresh Chandra Das"/>
    <s v="7365868045"/>
  </r>
  <r>
    <s v="RCF Thal"/>
    <s v="N.C.Urea(45kg)"/>
    <s v="WB"/>
    <x v="15"/>
    <s v="Krishnagar - I"/>
    <s v="User Not Mapped"/>
    <s v="User Not Mapped"/>
    <s v="User Not Mapped"/>
    <n v="1461465"/>
    <s v="CHAKDIKNAGAR MAHILA FPC"/>
    <s v="Private Retailer"/>
    <s v="9547285891"/>
    <n v="1.125"/>
    <n v="49"/>
    <x v="1"/>
    <m/>
    <s v="2026-03-09"/>
    <s v="280729"/>
    <s v="M/s. Naresh Chandra Das"/>
    <s v="7365868045"/>
  </r>
  <r>
    <s v="RCF Trombay"/>
    <s v="N.C.Urea(45kg)"/>
    <s v="WB"/>
    <x v="15"/>
    <s v="Krishnagar - I"/>
    <s v="User Not Mapped"/>
    <s v="User Not Mapped"/>
    <s v="User Not Mapped"/>
    <n v="1461465"/>
    <s v="CHAKDIKNAGAR MAHILA FPC"/>
    <s v="Private Retailer"/>
    <s v="9547285891"/>
    <n v="0.18"/>
    <n v="538"/>
    <x v="6"/>
    <m/>
    <s v="2024-11-05"/>
    <s v="280729"/>
    <s v="M/s. Naresh Chandra Das"/>
    <s v="7365868045"/>
  </r>
  <r>
    <s v="RCF Trombay"/>
    <s v="15-15-15"/>
    <s v="WB"/>
    <x v="15"/>
    <s v="Krishnagar - I"/>
    <s v="User Not Mapped"/>
    <s v="User Not Mapped"/>
    <s v="User Not Mapped"/>
    <n v="1461465"/>
    <s v="CHAKDIKNAGAR MAHILA FPC"/>
    <s v="Private Retailer"/>
    <s v="9547285891"/>
    <n v="0.03"/>
    <n v="59"/>
    <x v="1"/>
    <m/>
    <s v="2026-02-27"/>
    <s v="280729"/>
    <s v="M/s. Naresh Chandra Das"/>
    <s v="7365868045"/>
  </r>
  <r>
    <s v="RCF Trombay"/>
    <s v="15-15-15"/>
    <s v="WB"/>
    <x v="15"/>
    <s v="Krishnagar - I"/>
    <s v="User Not Mapped"/>
    <s v="User Not Mapped"/>
    <s v="User Not Mapped"/>
    <n v="1549776"/>
    <s v="ANIRBAN SARKAR"/>
    <s v="Private Retailer"/>
    <s v="9775802031"/>
    <n v="1"/>
    <n v="33"/>
    <x v="1"/>
    <m/>
    <s v="2026-03-25"/>
    <s v="260178"/>
    <s v="M/s. Uttamendu Sarkar"/>
    <s v="9002483836"/>
  </r>
  <r>
    <s v="RCF Trombay"/>
    <s v="15-15-15"/>
    <s v="WB"/>
    <x v="15"/>
    <s v="Krishnagar - I"/>
    <s v="User Not Mapped"/>
    <s v="User Not Mapped"/>
    <s v="User Not Mapped"/>
    <n v="1580688"/>
    <s v="M/S LITON MONDAL"/>
    <s v="Private Retailer"/>
    <s v="9883367362"/>
    <n v="1.4"/>
    <n v="90"/>
    <x v="2"/>
    <m/>
    <s v="2026-01-27"/>
    <s v="260179"/>
    <s v="Tarun Kumar Saha"/>
    <s v="8116312974"/>
  </r>
  <r>
    <s v="RCF Trombay"/>
    <s v="15-15-15"/>
    <s v="WB"/>
    <x v="15"/>
    <s v="Krishnagar - I"/>
    <s v="User Not Mapped"/>
    <s v="User Not Mapped"/>
    <s v="User Not Mapped"/>
    <n v="1580688"/>
    <s v="M/S LITON MONDAL"/>
    <s v="Private Retailer"/>
    <s v="9883367362"/>
    <n v="3"/>
    <n v="62"/>
    <x v="2"/>
    <m/>
    <s v="2026-02-24"/>
    <s v="260179"/>
    <s v="Tarun Kumar Saha"/>
    <s v="8116312974"/>
  </r>
  <r>
    <s v="RCF Import"/>
    <s v="MOP"/>
    <s v="WB"/>
    <x v="15"/>
    <s v="Krishnagar - I"/>
    <s v="User Not Mapped"/>
    <s v="User Not Mapped"/>
    <s v="User Not Mapped"/>
    <n v="1580690"/>
    <s v="M/S Bhai Bhai Fertilizer (Prop"/>
    <s v="Private Retailer"/>
    <s v="8250256519"/>
    <n v="0.5"/>
    <n v="17"/>
    <x v="4"/>
    <m/>
    <s v="2026-04-10"/>
    <s v="280729"/>
    <s v="M/s. Naresh Chandra Das"/>
    <s v="7365868045"/>
  </r>
  <r>
    <s v="RCF Import"/>
    <s v="MOP"/>
    <s v="WB"/>
    <x v="15"/>
    <s v="Krishnagar - I"/>
    <s v="User Not Mapped"/>
    <s v="User Not Mapped"/>
    <s v="User Not Mapped"/>
    <n v="1580690"/>
    <s v="M/S Bhai Bhai Fertilizer (Prop"/>
    <s v="Private Retailer"/>
    <s v="8250256519"/>
    <n v="0.3"/>
    <n v="32"/>
    <x v="1"/>
    <m/>
    <s v="2026-03-26"/>
    <s v="280729"/>
    <s v="M/s. Naresh Chandra Das"/>
    <s v="7365868045"/>
  </r>
  <r>
    <s v="RCF Trombay"/>
    <s v="N.C.Urea(45kg)"/>
    <s v="WB"/>
    <x v="15"/>
    <s v="Krishnagar - I"/>
    <s v="User Not Mapped"/>
    <s v="User Not Mapped"/>
    <s v="User Not Mapped"/>
    <n v="1580690"/>
    <s v="M/S Bhai Bhai Fertilizer (Prop"/>
    <s v="Private Retailer"/>
    <s v="8250256519"/>
    <n v="0.40500000000000003"/>
    <n v="35"/>
    <x v="1"/>
    <m/>
    <s v="2026-03-23"/>
    <s v="280729"/>
    <s v="M/s. Naresh Chandra Das"/>
    <s v="7365868045"/>
  </r>
  <r>
    <s v="RCF Trombay"/>
    <s v="15-15-15"/>
    <s v="WB"/>
    <x v="15"/>
    <s v="Krishnagar - I"/>
    <s v="User Not Mapped"/>
    <s v="User Not Mapped"/>
    <s v="User Not Mapped"/>
    <n v="1604292"/>
    <s v="M/S RABINDRANATH SADHUKHAN"/>
    <s v="Private Retailer"/>
    <s v="9733970225"/>
    <n v="2"/>
    <n v="91"/>
    <x v="5"/>
    <m/>
    <s v="2026-01-26"/>
    <s v="260177"/>
    <s v="SatyaRanjan Kundu and Brothers"/>
    <s v="7908186730"/>
  </r>
  <r>
    <s v="RCF Thal"/>
    <s v="N.C.Urea(45kg)"/>
    <s v="WB"/>
    <x v="15"/>
    <s v="Krishnagar - I"/>
    <s v="User Not Mapped"/>
    <s v="User Not Mapped"/>
    <s v="User Not Mapped"/>
    <n v="1604312"/>
    <s v="SAHA AGRO FERTILIZER (PROP. PR"/>
    <s v="Private Retailer"/>
    <s v="9064459224"/>
    <n v="9.99"/>
    <n v="20"/>
    <x v="4"/>
    <m/>
    <s v="2026-04-07"/>
    <s v="260178"/>
    <s v="M/s. Uttamendu Sarkar"/>
    <s v="9002483836"/>
  </r>
  <r>
    <s v="RCF Trombay"/>
    <s v="15-15-15"/>
    <s v="WB"/>
    <x v="15"/>
    <s v="Krishnagar - I"/>
    <s v="User Not Mapped"/>
    <s v="User Not Mapped"/>
    <s v="User Not Mapped"/>
    <n v="1604312"/>
    <s v="SAHA AGRO FERTILIZER (PROP. PR"/>
    <s v="Private Retailer"/>
    <s v="9064459224"/>
    <n v="2"/>
    <n v="33"/>
    <x v="1"/>
    <m/>
    <s v="2026-03-25"/>
    <s v="260178"/>
    <s v="M/s. Uttamendu Sarkar"/>
    <s v="9002483836"/>
  </r>
  <r>
    <s v="RCF Import"/>
    <s v="MOP"/>
    <s v="WB"/>
    <x v="15"/>
    <s v="Krishnagar - I"/>
    <s v="User Not Mapped"/>
    <s v="User Not Mapped"/>
    <s v="User Not Mapped"/>
    <n v="1645619"/>
    <s v="MITRA KRISHI GHAR"/>
    <s v="Private Retailer"/>
    <s v="9732669190"/>
    <n v="1"/>
    <n v="54"/>
    <x v="1"/>
    <m/>
    <s v="2026-03-04"/>
    <s v="280913"/>
    <s v="S.S.P Enterprise"/>
    <s v="9732669190"/>
  </r>
  <r>
    <s v="RCF Trombay"/>
    <s v="15-15-15"/>
    <s v="WB"/>
    <x v="15"/>
    <s v="Krishnagar - II"/>
    <s v="User Not Mapped"/>
    <s v="User Not Mapped"/>
    <s v="User Not Mapped"/>
    <n v="212097"/>
    <s v="Goutam Biswas"/>
    <s v="Private Retailer"/>
    <s v="9064160771"/>
    <n v="1.25"/>
    <n v="91"/>
    <x v="5"/>
    <m/>
    <s v="2026-01-26"/>
    <s v="280729"/>
    <s v="M/s. Naresh Chandra Das"/>
    <s v="7365868045"/>
  </r>
  <r>
    <s v="RCF Trombay"/>
    <s v="N.C.Urea(45kg)"/>
    <s v="WB"/>
    <x v="15"/>
    <s v="Krishnagar - II"/>
    <s v="User Not Mapped"/>
    <s v="User Not Mapped"/>
    <s v="User Not Mapped"/>
    <n v="212097"/>
    <s v="Goutam Biswas"/>
    <s v="Private Retailer"/>
    <s v="9064160771"/>
    <n v="2.0699999999999998"/>
    <n v="91"/>
    <x v="5"/>
    <m/>
    <s v="2026-01-26"/>
    <s v="280729"/>
    <s v="M/s. Naresh Chandra Das"/>
    <s v="7365868045"/>
  </r>
  <r>
    <s v="RCF Thal"/>
    <s v="N.C.Urea(45kg)"/>
    <s v="WB"/>
    <x v="15"/>
    <s v="Krishnagar - II"/>
    <s v="User Not Mapped"/>
    <s v="User Not Mapped"/>
    <s v="User Not Mapped"/>
    <n v="355332"/>
    <s v="Manik Lal Dey"/>
    <s v="Private Retailer"/>
    <s v="9002155612"/>
    <n v="0.67500000000000004"/>
    <n v="277"/>
    <x v="3"/>
    <m/>
    <s v="2025-07-24"/>
    <s v="260177"/>
    <s v="SatyaRanjan Kundu and Brothers"/>
    <s v="7908186730"/>
  </r>
  <r>
    <s v="RCF Trombay"/>
    <s v="15-15-15"/>
    <s v="WB"/>
    <x v="15"/>
    <s v="Krishnagar - II"/>
    <s v="User Not Mapped"/>
    <s v="User Not Mapped"/>
    <s v="User Not Mapped"/>
    <n v="355332"/>
    <s v="Manik Lal Dey"/>
    <s v="Private Retailer"/>
    <s v="9002155612"/>
    <n v="10"/>
    <n v="51"/>
    <x v="1"/>
    <m/>
    <s v="2026-03-07"/>
    <s v="214222"/>
    <s v="Mahamaya Enterprise"/>
    <s v="8348217174"/>
  </r>
  <r>
    <s v="RCF Import"/>
    <s v="Imp 10-26-26"/>
    <s v="WB"/>
    <x v="15"/>
    <s v="Krishnagar - II"/>
    <s v="User Not Mapped"/>
    <s v="User Not Mapped"/>
    <s v="User Not Mapped"/>
    <n v="355332"/>
    <s v="Manik Lal Dey"/>
    <s v="Private Retailer"/>
    <s v="9002155612"/>
    <n v="2"/>
    <n v="345"/>
    <x v="3"/>
    <m/>
    <s v="2025-05-17"/>
    <s v="260179"/>
    <s v="Tarun Kumar Saha"/>
    <s v="8116312974"/>
  </r>
  <r>
    <s v="RCF Trombay"/>
    <s v="N.C.Urea(45kg)"/>
    <s v="WB"/>
    <x v="15"/>
    <s v="Krishnagar - II"/>
    <s v="User Not Mapped"/>
    <s v="User Not Mapped"/>
    <s v="User Not Mapped"/>
    <n v="355332"/>
    <s v="Manik Lal Dey"/>
    <s v="Private Retailer"/>
    <s v="9002155612"/>
    <n v="0.315"/>
    <n v="174"/>
    <x v="0"/>
    <m/>
    <s v="2025-11-04"/>
    <s v="260179"/>
    <s v="Tarun Kumar Saha"/>
    <s v="8116312974"/>
  </r>
  <r>
    <s v="RCF Trombay"/>
    <s v="15-15-15"/>
    <s v="WB"/>
    <x v="15"/>
    <s v="Krishnagar - II"/>
    <s v="User Not Mapped"/>
    <s v="User Not Mapped"/>
    <s v="User Not Mapped"/>
    <n v="355332"/>
    <s v="Manik Lal Dey"/>
    <s v="Private Retailer"/>
    <s v="9002155612"/>
    <n v="0.25"/>
    <n v="74"/>
    <x v="2"/>
    <m/>
    <s v="2026-02-12"/>
    <s v="1210862"/>
    <s v="S.S.P ENTERPRISE"/>
    <s v="9635197281"/>
  </r>
  <r>
    <s v="RCF Trombay"/>
    <s v="15-15-15"/>
    <s v="WB"/>
    <x v="15"/>
    <s v="Krishnagar - II"/>
    <s v="User Not Mapped"/>
    <s v="User Not Mapped"/>
    <s v="User Not Mapped"/>
    <n v="389756"/>
    <s v="Tara Ma Fertiliser"/>
    <s v="Private Retailer"/>
    <s v="7470272914"/>
    <n v="0.22500000000000001"/>
    <n v="251"/>
    <x v="3"/>
    <m/>
    <s v="2025-08-19"/>
    <s v="280729"/>
    <s v="M/s. Naresh Chandra Das"/>
    <s v="7365868045"/>
  </r>
  <r>
    <s v="RCF Thal"/>
    <s v="N.C.Urea(45kg)"/>
    <s v="WB"/>
    <x v="15"/>
    <s v="Krishnagar - II"/>
    <s v="User Not Mapped"/>
    <s v="User Not Mapped"/>
    <s v="User Not Mapped"/>
    <n v="389756"/>
    <s v="Tara Ma Fertiliser"/>
    <s v="Private Retailer"/>
    <s v="7470272914"/>
    <n v="9.99"/>
    <n v="20"/>
    <x v="4"/>
    <m/>
    <s v="2026-04-07"/>
    <s v="280729"/>
    <s v="M/s. Naresh Chandra Das"/>
    <s v="7365868045"/>
  </r>
  <r>
    <s v="RCF Trombay"/>
    <s v="15-15-15"/>
    <s v="WB"/>
    <x v="15"/>
    <s v="Krishnagar - II"/>
    <s v="User Not Mapped"/>
    <s v="User Not Mapped"/>
    <s v="User Not Mapped"/>
    <n v="389756"/>
    <s v="Tara Ma Fertiliser"/>
    <s v="Private Retailer"/>
    <s v="7470272914"/>
    <n v="2.5"/>
    <n v="25"/>
    <x v="4"/>
    <m/>
    <s v="2026-04-02"/>
    <s v="280729"/>
    <s v="M/s. Naresh Chandra Das"/>
    <s v="7365868045"/>
  </r>
  <r>
    <s v="RCF Import"/>
    <s v="MOP"/>
    <s v="WB"/>
    <x v="15"/>
    <s v="Krishnagar - II"/>
    <s v="User Not Mapped"/>
    <s v="User Not Mapped"/>
    <s v="User Not Mapped"/>
    <n v="389756"/>
    <s v="Tara Ma Fertiliser"/>
    <s v="Private Retailer"/>
    <s v="7470272914"/>
    <n v="2.5"/>
    <n v="25"/>
    <x v="4"/>
    <m/>
    <s v="2026-04-02"/>
    <s v="280729"/>
    <s v="M/s. Naresh Chandra Das"/>
    <s v="7365868045"/>
  </r>
  <r>
    <s v="RCF Trombay"/>
    <s v="15-15-15"/>
    <s v="WB"/>
    <x v="15"/>
    <s v="Krishnagar - II"/>
    <s v="User Not Mapped"/>
    <s v="User Not Mapped"/>
    <s v="User Not Mapped"/>
    <n v="439406"/>
    <s v="Ghosh Fertilizer"/>
    <s v="Private Retailer"/>
    <s v="6295769630"/>
    <n v="5"/>
    <n v="91"/>
    <x v="5"/>
    <m/>
    <s v="2026-01-26"/>
    <s v="260177"/>
    <s v="SatyaRanjan Kundu and Brothers"/>
    <s v="7908186730"/>
  </r>
  <r>
    <s v="RCF Trombay"/>
    <s v="N.C.Urea(45kg)"/>
    <s v="WB"/>
    <x v="15"/>
    <s v="Krishnagar - II"/>
    <s v="User Not Mapped"/>
    <s v="User Not Mapped"/>
    <s v="User Not Mapped"/>
    <n v="439406"/>
    <s v="Ghosh Fertilizer"/>
    <s v="Private Retailer"/>
    <s v="6295769630"/>
    <n v="4.9950000000000001"/>
    <n v="91"/>
    <x v="5"/>
    <m/>
    <s v="2026-01-26"/>
    <s v="260177"/>
    <s v="SatyaRanjan Kundu and Brothers"/>
    <s v="7908186730"/>
  </r>
  <r>
    <s v="RCF Trombay"/>
    <s v="N.C.Urea(45kg)"/>
    <s v="WB"/>
    <x v="15"/>
    <s v="Krishnagar - II"/>
    <s v="User Not Mapped"/>
    <s v="User Not Mapped"/>
    <s v="User Not Mapped"/>
    <n v="439408"/>
    <s v="Krishi Biplab"/>
    <s v="Private Retailer"/>
    <s v="9641871921"/>
    <n v="0.58499999999999996"/>
    <n v="65"/>
    <x v="2"/>
    <m/>
    <s v="2026-02-21"/>
    <s v="268776"/>
    <s v="Chandra Kanta Das"/>
    <s v="9830307100"/>
  </r>
  <r>
    <s v="RCF Trombay"/>
    <s v="15-15-15"/>
    <s v="WB"/>
    <x v="15"/>
    <s v="Krishnagar - II"/>
    <s v="User Not Mapped"/>
    <s v="User Not Mapped"/>
    <s v="User Not Mapped"/>
    <n v="439414"/>
    <s v="Lokenah Sar Bhander"/>
    <s v="Private Retailer"/>
    <s v="9733923230"/>
    <n v="2.25"/>
    <n v="62"/>
    <x v="2"/>
    <m/>
    <s v="2026-02-24"/>
    <s v="270129"/>
    <s v="Kalyan Kr. Nandi"/>
    <s v="8250914797"/>
  </r>
  <r>
    <s v="RCF Trombay"/>
    <s v="N.C.Urea(45kg)"/>
    <s v="WB"/>
    <x v="15"/>
    <s v="Krishnagar - II"/>
    <s v="User Not Mapped"/>
    <s v="User Not Mapped"/>
    <s v="User Not Mapped"/>
    <n v="439414"/>
    <s v="Lokenah Sar Bhander"/>
    <s v="Private Retailer"/>
    <s v="9733923230"/>
    <n v="0.99"/>
    <n v="54"/>
    <x v="1"/>
    <m/>
    <s v="2026-03-04"/>
    <s v="260177"/>
    <s v="SatyaRanjan Kundu and Brothers"/>
    <s v="7908186730"/>
  </r>
  <r>
    <s v="RCF Trombay"/>
    <s v="15-15-15"/>
    <s v="WB"/>
    <x v="15"/>
    <s v="Krishnagar - II"/>
    <s v="User Not Mapped"/>
    <s v="User Not Mapped"/>
    <s v="User Not Mapped"/>
    <n v="439418"/>
    <s v="M/S Pritom Enterprice"/>
    <s v="Private Retailer"/>
    <s v="9732774657"/>
    <n v="0.25"/>
    <n v="255"/>
    <x v="3"/>
    <m/>
    <s v="2025-08-15"/>
    <s v="268776"/>
    <s v="Chandra Kanta Das"/>
    <s v="9830307100"/>
  </r>
  <r>
    <s v="RCF Trombay"/>
    <s v="15-15-15"/>
    <s v="WB"/>
    <x v="15"/>
    <s v="Krishnagar - II"/>
    <s v="User Not Mapped"/>
    <s v="User Not Mapped"/>
    <s v="User Not Mapped"/>
    <n v="439458"/>
    <s v="Bomkesh Ghosh"/>
    <s v="Private Retailer"/>
    <s v="8597072922"/>
    <n v="0.15"/>
    <n v="469"/>
    <x v="6"/>
    <m/>
    <s v="2025-01-13"/>
    <s v="441405"/>
    <s v="New Taraknath Beeze Bhender"/>
    <s v="9641540108"/>
  </r>
  <r>
    <s v="RCF Trombay"/>
    <s v="N.C.Urea(45kg)"/>
    <s v="WB"/>
    <x v="15"/>
    <s v="Krishnagar - II"/>
    <s v="User Not Mapped"/>
    <s v="User Not Mapped"/>
    <s v="User Not Mapped"/>
    <n v="439460"/>
    <s v="New Taraknath Beeze Bhander"/>
    <s v="Private Retailer"/>
    <s v="9641540108"/>
    <n v="9.99"/>
    <n v="170"/>
    <x v="0"/>
    <m/>
    <s v="2025-11-08"/>
    <s v="268776"/>
    <s v="Chandra Kanta Das"/>
    <s v="9830307100"/>
  </r>
  <r>
    <s v="RCF Trombay"/>
    <s v="N.C.Urea(45kg)"/>
    <s v="WB"/>
    <x v="15"/>
    <s v="Krishnagar - II"/>
    <s v="User Not Mapped"/>
    <s v="User Not Mapped"/>
    <s v="User Not Mapped"/>
    <n v="439460"/>
    <s v="New Taraknath Beeze Bhander"/>
    <s v="Private Retailer"/>
    <s v="9641540108"/>
    <n v="4.9950000000000001"/>
    <n v="80"/>
    <x v="2"/>
    <m/>
    <s v="2026-02-06"/>
    <s v="214222"/>
    <s v="Mahamaya Enterprise"/>
    <s v="8348217174"/>
  </r>
  <r>
    <s v="RCF Trombay"/>
    <s v="N.C.Urea(45kg)"/>
    <s v="WB"/>
    <x v="15"/>
    <s v="Krishnagar - II"/>
    <s v="User Not Mapped"/>
    <s v="User Not Mapped"/>
    <s v="User Not Mapped"/>
    <n v="439460"/>
    <s v="New Taraknath Beeze Bhander"/>
    <s v="Private Retailer"/>
    <s v="9641540108"/>
    <n v="2.4750000000000001"/>
    <n v="124"/>
    <x v="0"/>
    <m/>
    <s v="2025-12-24"/>
    <s v="214222"/>
    <s v="Mahamaya Enterprise"/>
    <s v="8348217174"/>
  </r>
  <r>
    <s v="RCF Trombay"/>
    <s v="N.C.Urea(45kg)"/>
    <s v="WB"/>
    <x v="15"/>
    <s v="Krishnagar - II"/>
    <s v="User Not Mapped"/>
    <s v="User Not Mapped"/>
    <s v="User Not Mapped"/>
    <n v="439460"/>
    <s v="New Taraknath Beeze Bhander"/>
    <s v="Private Retailer"/>
    <s v="9641540108"/>
    <n v="0.94499999999999995"/>
    <n v="178"/>
    <x v="0"/>
    <m/>
    <s v="2025-10-31"/>
    <s v="214222"/>
    <s v="Mahamaya Enterprise"/>
    <s v="8348217174"/>
  </r>
  <r>
    <s v="RCF Trombay"/>
    <s v="15-15-15"/>
    <s v="WB"/>
    <x v="15"/>
    <s v="Krishnagar - II"/>
    <s v="User Not Mapped"/>
    <s v="User Not Mapped"/>
    <s v="User Not Mapped"/>
    <n v="439460"/>
    <s v="New Taraknath Beeze Bhander"/>
    <s v="Private Retailer"/>
    <s v="9641540108"/>
    <n v="7.95"/>
    <n v="86"/>
    <x v="2"/>
    <m/>
    <s v="2026-01-31"/>
    <s v="268776"/>
    <s v="Chandra Kanta Das"/>
    <s v="9830307100"/>
  </r>
  <r>
    <s v="RCF Thal"/>
    <s v="N.C.Urea(45kg)"/>
    <s v="WB"/>
    <x v="15"/>
    <s v="Krishnagar - II"/>
    <s v="User Not Mapped"/>
    <s v="User Not Mapped"/>
    <s v="User Not Mapped"/>
    <n v="439460"/>
    <s v="New Taraknath Beeze Bhander"/>
    <s v="Private Retailer"/>
    <s v="9641540108"/>
    <n v="2.2050000000000001"/>
    <n v="186"/>
    <x v="3"/>
    <m/>
    <s v="2025-10-23"/>
    <s v="214222"/>
    <s v="Mahamaya Enterprise"/>
    <s v="8348217174"/>
  </r>
  <r>
    <s v="RCF Thal"/>
    <s v="N.C.Urea(45kg)"/>
    <s v="WB"/>
    <x v="15"/>
    <s v="Krishnagar - II"/>
    <s v="User Not Mapped"/>
    <s v="User Not Mapped"/>
    <s v="User Not Mapped"/>
    <n v="439460"/>
    <s v="New Taraknath Beeze Bhander"/>
    <s v="Private Retailer"/>
    <s v="9641540108"/>
    <n v="4.05"/>
    <n v="153"/>
    <x v="0"/>
    <m/>
    <s v="2025-11-25"/>
    <s v="260177"/>
    <s v="SatyaRanjan Kundu and Brothers"/>
    <s v="7908186730"/>
  </r>
  <r>
    <s v="RCF Trombay"/>
    <s v="N.C.Urea(45kg)"/>
    <s v="WB"/>
    <x v="15"/>
    <s v="Krishnagar - II"/>
    <s v="User Not Mapped"/>
    <s v="User Not Mapped"/>
    <s v="User Not Mapped"/>
    <n v="439460"/>
    <s v="New Taraknath Beeze Bhander"/>
    <s v="Private Retailer"/>
    <s v="9641540108"/>
    <n v="2.2949999999999999"/>
    <n v="112"/>
    <x v="5"/>
    <m/>
    <s v="2026-01-05"/>
    <s v="280913"/>
    <s v="S.S.P Enterprise"/>
    <s v="9732669190"/>
  </r>
  <r>
    <s v="RCF Trombay"/>
    <s v="15-15-15"/>
    <s v="WB"/>
    <x v="15"/>
    <s v="Krishnagar - II"/>
    <s v="User Not Mapped"/>
    <s v="User Not Mapped"/>
    <s v="User Not Mapped"/>
    <n v="439478"/>
    <s v="M/S SHAIKH FERTILIZER"/>
    <s v="Private Retailer"/>
    <s v="9547442493"/>
    <n v="1.45"/>
    <n v="170"/>
    <x v="0"/>
    <m/>
    <s v="2025-11-08"/>
    <s v="268776"/>
    <s v="Chandra Kanta Das"/>
    <s v="9830307100"/>
  </r>
  <r>
    <s v="RCF Trombay"/>
    <s v="15-15-15"/>
    <s v="WB"/>
    <x v="15"/>
    <s v="Krishnagar - II"/>
    <s v="User Not Mapped"/>
    <s v="User Not Mapped"/>
    <s v="User Not Mapped"/>
    <n v="440312"/>
    <s v="Allarakha Biswas"/>
    <s v="Private Retailer"/>
    <s v="8509925075"/>
    <n v="5"/>
    <n v="90"/>
    <x v="2"/>
    <m/>
    <s v="2026-01-27"/>
    <s v="260178"/>
    <s v="M/s. Uttamendu Sarkar"/>
    <s v="9002483836"/>
  </r>
  <r>
    <s v="RCF Trombay"/>
    <s v="N.C.Urea(45kg)"/>
    <s v="WB"/>
    <x v="15"/>
    <s v="Krishnagar - II"/>
    <s v="User Not Mapped"/>
    <s v="User Not Mapped"/>
    <s v="User Not Mapped"/>
    <n v="440312"/>
    <s v="Allarakha Biswas"/>
    <s v="Private Retailer"/>
    <s v="8509925075"/>
    <n v="4.9950000000000001"/>
    <n v="90"/>
    <x v="2"/>
    <m/>
    <s v="2026-01-27"/>
    <s v="260178"/>
    <s v="M/s. Uttamendu Sarkar"/>
    <s v="9002483836"/>
  </r>
  <r>
    <s v="RCF Trombay"/>
    <s v="15-15-15"/>
    <s v="WB"/>
    <x v="15"/>
    <s v="Krishnagar - II"/>
    <s v="User Not Mapped"/>
    <s v="User Not Mapped"/>
    <s v="User Not Mapped"/>
    <n v="464352"/>
    <s v="Alibaddin Shaikh"/>
    <s v="Private Retailer"/>
    <s v="9475489667"/>
    <n v="8.1999999999999993"/>
    <n v="91"/>
    <x v="5"/>
    <m/>
    <s v="2026-01-26"/>
    <s v="260177"/>
    <s v="SatyaRanjan Kundu and Brothers"/>
    <s v="7908186730"/>
  </r>
  <r>
    <s v="RCF Trombay"/>
    <s v="N.C.Urea(45kg)"/>
    <s v="WB"/>
    <x v="15"/>
    <s v="Krishnagar - II"/>
    <s v="User Not Mapped"/>
    <s v="User Not Mapped"/>
    <s v="User Not Mapped"/>
    <n v="464352"/>
    <s v="Alibaddin Shaikh"/>
    <s v="Private Retailer"/>
    <s v="9475489667"/>
    <n v="1.7549999999999999"/>
    <n v="91"/>
    <x v="5"/>
    <m/>
    <s v="2026-01-26"/>
    <s v="260177"/>
    <s v="SatyaRanjan Kundu and Brothers"/>
    <s v="7908186730"/>
  </r>
  <r>
    <s v="RCF Import"/>
    <s v="MOP"/>
    <s v="WB"/>
    <x v="15"/>
    <s v="Krishnagar - II"/>
    <s v="User Not Mapped"/>
    <s v="User Not Mapped"/>
    <s v="User Not Mapped"/>
    <n v="464352"/>
    <s v="Alibaddin Shaikh"/>
    <s v="Private Retailer"/>
    <s v="9475489667"/>
    <n v="5"/>
    <n v="65"/>
    <x v="2"/>
    <m/>
    <s v="2026-02-21"/>
    <s v="259034"/>
    <s v="MS Guha And Co"/>
    <s v="8695359505"/>
  </r>
  <r>
    <s v="RCF Trombay"/>
    <s v="15-15-15"/>
    <s v="WB"/>
    <x v="15"/>
    <s v="Krishnagar - II"/>
    <s v="User Not Mapped"/>
    <s v="User Not Mapped"/>
    <s v="User Not Mapped"/>
    <n v="651620"/>
    <s v="HOSSAIN ALI SHAIKH"/>
    <s v="Private Retailer"/>
    <s v="9933859449"/>
    <n v="4"/>
    <n v="80"/>
    <x v="2"/>
    <m/>
    <s v="2026-02-06"/>
    <s v="214222"/>
    <s v="Mahamaya Enterprise"/>
    <s v="8348217174"/>
  </r>
  <r>
    <s v="RCF Thal"/>
    <s v="N.C.Urea(45kg)"/>
    <s v="WB"/>
    <x v="15"/>
    <s v="Krishnagar - II"/>
    <s v="User Not Mapped"/>
    <s v="User Not Mapped"/>
    <s v="User Not Mapped"/>
    <n v="690327"/>
    <s v="SUKUMAR MONDAL"/>
    <s v="Private Retailer"/>
    <s v="9474595744"/>
    <n v="9.99"/>
    <n v="22"/>
    <x v="4"/>
    <m/>
    <s v="2026-04-05"/>
    <s v="281284"/>
    <s v="Sadhan Kumar Ghosh"/>
    <s v="7602136568"/>
  </r>
  <r>
    <s v="RCF Thal"/>
    <s v="N.C.Urea(45kg)"/>
    <s v="WB"/>
    <x v="15"/>
    <s v="Krishnagar - II"/>
    <s v="User Not Mapped"/>
    <s v="User Not Mapped"/>
    <s v="User Not Mapped"/>
    <n v="706162"/>
    <s v="KALI MATA KRISHI BHANDER"/>
    <s v="Private Retailer"/>
    <s v="7477577210"/>
    <n v="2E-3"/>
    <n v="1915"/>
    <x v="7"/>
    <m/>
    <s v="2021-01-28"/>
    <s v="260189"/>
    <s v="Manik Lal Dey"/>
    <s v="9002155612"/>
  </r>
  <r>
    <s v="RCF Trombay"/>
    <s v="15-15-15"/>
    <s v="WB"/>
    <x v="15"/>
    <s v="Krishnagar - II"/>
    <s v="User Not Mapped"/>
    <s v="User Not Mapped"/>
    <s v="User Not Mapped"/>
    <n v="706162"/>
    <s v="KALI MATA KRISHI BHANDER"/>
    <s v="Private Retailer"/>
    <s v="7477577210"/>
    <n v="0.8"/>
    <n v="1915"/>
    <x v="7"/>
    <m/>
    <s v="2021-01-28"/>
    <s v="260189"/>
    <s v="Manik Lal Dey"/>
    <s v="9002155612"/>
  </r>
  <r>
    <s v="RCF Trombay"/>
    <s v="15-15-15"/>
    <s v="WB"/>
    <x v="15"/>
    <s v="Krishnagar - II"/>
    <s v="User Not Mapped"/>
    <s v="User Not Mapped"/>
    <s v="User Not Mapped"/>
    <n v="709117"/>
    <s v="SARITION FERTILIZER"/>
    <s v="Private Retailer"/>
    <s v="8641023683"/>
    <n v="0.2"/>
    <n v="397"/>
    <x v="6"/>
    <m/>
    <s v="2025-03-26"/>
    <s v="280729"/>
    <s v="M/s. Naresh Chandra Das"/>
    <s v="7365868045"/>
  </r>
  <r>
    <s v="RCF Import"/>
    <s v="MOP"/>
    <s v="WB"/>
    <x v="15"/>
    <s v="Krishnagar - II"/>
    <s v="User Not Mapped"/>
    <s v="User Not Mapped"/>
    <s v="User Not Mapped"/>
    <n v="709117"/>
    <s v="SARITION FERTILIZER"/>
    <s v="Private Retailer"/>
    <s v="8641023683"/>
    <n v="0.25"/>
    <n v="493"/>
    <x v="6"/>
    <m/>
    <s v="2024-12-20"/>
    <s v="280729"/>
    <s v="M/s. Naresh Chandra Das"/>
    <s v="7365868045"/>
  </r>
  <r>
    <s v="RCF Import"/>
    <s v="Imp 10-26-26"/>
    <s v="WB"/>
    <x v="15"/>
    <s v="Krishnagar - II"/>
    <s v="User Not Mapped"/>
    <s v="User Not Mapped"/>
    <s v="User Not Mapped"/>
    <n v="709117"/>
    <s v="SARITION FERTILIZER"/>
    <s v="Private Retailer"/>
    <s v="8641023683"/>
    <n v="0.5"/>
    <n v="493"/>
    <x v="6"/>
    <m/>
    <s v="2024-12-20"/>
    <s v="280729"/>
    <s v="M/s. Naresh Chandra Das"/>
    <s v="7365868045"/>
  </r>
  <r>
    <s v="RCF Thal"/>
    <s v="N.C.Urea(45kg)"/>
    <s v="WB"/>
    <x v="15"/>
    <s v="Krishnagar - II"/>
    <s v="User Not Mapped"/>
    <s v="User Not Mapped"/>
    <s v="User Not Mapped"/>
    <n v="709117"/>
    <s v="SARITION FERTILIZER"/>
    <s v="Private Retailer"/>
    <s v="8641023683"/>
    <n v="4.32"/>
    <n v="20"/>
    <x v="4"/>
    <m/>
    <s v="2026-04-07"/>
    <s v="280729"/>
    <s v="M/s. Naresh Chandra Das"/>
    <s v="7365868045"/>
  </r>
  <r>
    <s v="RCF Trombay"/>
    <s v="N.C.Urea(45kg)"/>
    <s v="WB"/>
    <x v="15"/>
    <s v="Krishnagar - II"/>
    <s v="User Not Mapped"/>
    <s v="User Not Mapped"/>
    <s v="User Not Mapped"/>
    <n v="709117"/>
    <s v="SARITION FERTILIZER"/>
    <s v="Private Retailer"/>
    <s v="8641023683"/>
    <n v="0.495"/>
    <n v="437"/>
    <x v="6"/>
    <m/>
    <s v="2025-02-14"/>
    <s v="280729"/>
    <s v="M/s. Naresh Chandra Das"/>
    <s v="7365868045"/>
  </r>
  <r>
    <s v="RCF Trombay"/>
    <s v="15-15-15"/>
    <s v="WB"/>
    <x v="15"/>
    <s v="Krishnagar - II"/>
    <s v="User Not Mapped"/>
    <s v="User Not Mapped"/>
    <s v="User Not Mapped"/>
    <n v="741286"/>
    <s v="MONDAL FERTILISER"/>
    <s v="Private Retailer"/>
    <s v="7364022732"/>
    <n v="0.9"/>
    <n v="531"/>
    <x v="6"/>
    <m/>
    <s v="2024-11-12"/>
    <s v="260178"/>
    <s v="M/s. Uttamendu Sarkar"/>
    <s v="9002483836"/>
  </r>
  <r>
    <s v="RCF Trombay"/>
    <s v="N.C.Urea(45kg)"/>
    <s v="WB"/>
    <x v="15"/>
    <s v="Krishnagar - II"/>
    <s v="User Not Mapped"/>
    <s v="User Not Mapped"/>
    <s v="User Not Mapped"/>
    <n v="741286"/>
    <s v="MONDAL FERTILISER"/>
    <s v="Private Retailer"/>
    <s v="7364022732"/>
    <n v="0.76500000000000001"/>
    <n v="510"/>
    <x v="6"/>
    <m/>
    <s v="2024-12-03"/>
    <s v="259034"/>
    <s v="MS Guha And Co"/>
    <s v="8695359505"/>
  </r>
  <r>
    <s v="RCF Import"/>
    <s v="Imp 10-26-26"/>
    <s v="WB"/>
    <x v="15"/>
    <s v="Krishnagar - II"/>
    <s v="User Not Mapped"/>
    <s v="User Not Mapped"/>
    <s v="User Not Mapped"/>
    <n v="741286"/>
    <s v="MONDAL FERTILISER"/>
    <s v="Private Retailer"/>
    <s v="7364022732"/>
    <n v="0.05"/>
    <n v="510"/>
    <x v="6"/>
    <m/>
    <s v="2024-12-03"/>
    <s v="260185"/>
    <s v="Faroj Ali Shaikh"/>
    <s v="7797070086"/>
  </r>
  <r>
    <s v="RCF Import"/>
    <s v="MOP"/>
    <s v="WB"/>
    <x v="15"/>
    <s v="Krishnagar - II"/>
    <s v="User Not Mapped"/>
    <s v="User Not Mapped"/>
    <s v="User Not Mapped"/>
    <n v="741286"/>
    <s v="MONDAL FERTILISER"/>
    <s v="Private Retailer"/>
    <s v="7364022732"/>
    <n v="0.4"/>
    <n v="485"/>
    <x v="6"/>
    <m/>
    <s v="2024-12-28"/>
    <s v="280913"/>
    <s v="S.S.P Enterprise"/>
    <s v="9732669190"/>
  </r>
  <r>
    <s v="RCF Thal"/>
    <s v="N.C.Urea(45kg)"/>
    <s v="WB"/>
    <x v="15"/>
    <s v="Krishnagar - II"/>
    <s v="User Not Mapped"/>
    <s v="User Not Mapped"/>
    <s v="User Not Mapped"/>
    <n v="741286"/>
    <s v="MONDAL FERTILISER"/>
    <s v="Private Retailer"/>
    <s v="7364022732"/>
    <n v="0.18"/>
    <n v="1067"/>
    <x v="7"/>
    <m/>
    <s v="2023-05-26"/>
    <s v="260178"/>
    <s v="M/s. Uttamendu Sarkar"/>
    <s v="9002483836"/>
  </r>
  <r>
    <s v="RCF Trombay"/>
    <s v="N.C.Urea(45kg)"/>
    <s v="WB"/>
    <x v="15"/>
    <s v="Krishnagar - II"/>
    <s v="User Not Mapped"/>
    <s v="User Not Mapped"/>
    <s v="User Not Mapped"/>
    <n v="797147"/>
    <s v="SUCHANA FERTILIZER"/>
    <s v="Private Retailer"/>
    <s v="8926339066"/>
    <n v="4.4999999999999998E-2"/>
    <n v="93"/>
    <x v="5"/>
    <m/>
    <s v="2026-01-24"/>
    <s v="259034"/>
    <s v="MS Guha And Co"/>
    <s v="8695359505"/>
  </r>
  <r>
    <s v="RCF Trombay"/>
    <s v="15-15-15"/>
    <s v="WB"/>
    <x v="15"/>
    <s v="Krishnagar - II"/>
    <s v="User Not Mapped"/>
    <s v="User Not Mapped"/>
    <s v="User Not Mapped"/>
    <n v="892193"/>
    <s v="SMRITY FERTILIZER"/>
    <s v="Private Retailer"/>
    <s v="9641540108"/>
    <n v="2.4"/>
    <n v="230"/>
    <x v="3"/>
    <m/>
    <s v="2025-09-09"/>
    <s v="268776"/>
    <s v="Chandra Kanta Das"/>
    <s v="9830307100"/>
  </r>
  <r>
    <s v="RCF Trombay"/>
    <s v="N.C.Urea(45kg)"/>
    <s v="WB"/>
    <x v="15"/>
    <s v="Krishnagar - II"/>
    <s v="User Not Mapped"/>
    <s v="User Not Mapped"/>
    <s v="User Not Mapped"/>
    <n v="892203"/>
    <s v="BISWAS FERTILIZER"/>
    <s v="Private Retailer"/>
    <s v="8597003763"/>
    <n v="0.63"/>
    <n v="1173"/>
    <x v="7"/>
    <m/>
    <s v="2023-02-09"/>
    <s v="214222"/>
    <s v="Mahamaya Enterprise"/>
    <s v="8348217174"/>
  </r>
  <r>
    <s v="RCF Trombay"/>
    <s v="15-15-15"/>
    <s v="WB"/>
    <x v="15"/>
    <s v="Krishnagar - II"/>
    <s v="User Not Mapped"/>
    <s v="User Not Mapped"/>
    <s v="User Not Mapped"/>
    <n v="892203"/>
    <s v="BISWAS FERTILIZER"/>
    <s v="Private Retailer"/>
    <s v="8597003763"/>
    <n v="4.5"/>
    <n v="695"/>
    <x v="7"/>
    <m/>
    <s v="2024-06-01"/>
    <s v="280729"/>
    <s v="M/s. Naresh Chandra Das"/>
    <s v="7365868045"/>
  </r>
  <r>
    <s v="RCF Trombay"/>
    <s v="15-15-15"/>
    <s v="WB"/>
    <x v="15"/>
    <s v="Krishnagar - II"/>
    <s v="User Not Mapped"/>
    <s v="User Not Mapped"/>
    <s v="User Not Mapped"/>
    <n v="919989"/>
    <s v="BISWAS FERTILIZER"/>
    <s v="Private Retailer"/>
    <s v="8373074182"/>
    <n v="0.45"/>
    <n v="170"/>
    <x v="0"/>
    <m/>
    <s v="2025-11-08"/>
    <s v="268776"/>
    <s v="Chandra Kanta Das"/>
    <s v="9830307100"/>
  </r>
  <r>
    <s v="RCF Thal"/>
    <s v="N.C.Urea(45kg)"/>
    <s v="WB"/>
    <x v="15"/>
    <s v="Krishnagar - II"/>
    <s v="User Not Mapped"/>
    <s v="User Not Mapped"/>
    <s v="User Not Mapped"/>
    <n v="930787"/>
    <s v="BISWAJIT GHOSH"/>
    <s v="Private Retailer"/>
    <s v="9775313126"/>
    <n v="1.395"/>
    <n v="26"/>
    <x v="4"/>
    <m/>
    <s v="2026-04-01"/>
    <s v="280729"/>
    <s v="M/s. Naresh Chandra Das"/>
    <s v="7365868045"/>
  </r>
  <r>
    <s v="RCF Trombay"/>
    <s v="15-15-15"/>
    <s v="WB"/>
    <x v="15"/>
    <s v="Krishnagar - II"/>
    <s v="User Not Mapped"/>
    <s v="User Not Mapped"/>
    <s v="User Not Mapped"/>
    <n v="930787"/>
    <s v="BISWAJIT GHOSH"/>
    <s v="Private Retailer"/>
    <s v="9775313126"/>
    <n v="2"/>
    <n v="157"/>
    <x v="0"/>
    <m/>
    <s v="2025-11-21"/>
    <s v="280729"/>
    <s v="M/s. Naresh Chandra Das"/>
    <s v="7365868045"/>
  </r>
  <r>
    <s v="RCF Trombay"/>
    <s v="15-15-15"/>
    <s v="WB"/>
    <x v="15"/>
    <s v="Krishnagar - II"/>
    <s v="User Not Mapped"/>
    <s v="User Not Mapped"/>
    <s v="User Not Mapped"/>
    <n v="930787"/>
    <s v="BISWAJIT GHOSH"/>
    <s v="Private Retailer"/>
    <s v="9775313126"/>
    <n v="0.45"/>
    <n v="86"/>
    <x v="2"/>
    <m/>
    <s v="2026-01-31"/>
    <s v="280729"/>
    <s v="M/s. Naresh Chandra Das"/>
    <s v="7365868045"/>
  </r>
  <r>
    <s v="RCF Trombay"/>
    <s v="15-15-15"/>
    <s v="WB"/>
    <x v="15"/>
    <s v="Krishnagar - II"/>
    <s v="User Not Mapped"/>
    <s v="User Not Mapped"/>
    <s v="User Not Mapped"/>
    <n v="930787"/>
    <s v="BISWAJIT GHOSH"/>
    <s v="Private Retailer"/>
    <s v="9775313126"/>
    <n v="0.5"/>
    <n v="76"/>
    <x v="2"/>
    <m/>
    <s v="2026-02-10"/>
    <s v="280729"/>
    <s v="M/s. Naresh Chandra Das"/>
    <s v="7365868045"/>
  </r>
  <r>
    <s v="RCF Trombay"/>
    <s v="15-15-15"/>
    <s v="WB"/>
    <x v="15"/>
    <s v="Krishnagar - II"/>
    <s v="User Not Mapped"/>
    <s v="User Not Mapped"/>
    <s v="User Not Mapped"/>
    <n v="930787"/>
    <s v="BISWAJIT GHOSH"/>
    <s v="Private Retailer"/>
    <s v="9775313126"/>
    <n v="1"/>
    <n v="73"/>
    <x v="2"/>
    <m/>
    <s v="2026-02-13"/>
    <s v="280729"/>
    <s v="M/s. Naresh Chandra Das"/>
    <s v="7365868045"/>
  </r>
  <r>
    <s v="RCF Trombay"/>
    <s v="N.C.Urea(45kg)"/>
    <s v="WB"/>
    <x v="15"/>
    <s v="Krishnagar - II"/>
    <s v="User Not Mapped"/>
    <s v="User Not Mapped"/>
    <s v="User Not Mapped"/>
    <n v="930787"/>
    <s v="BISWAJIT GHOSH"/>
    <s v="Private Retailer"/>
    <s v="9775313126"/>
    <n v="1.35"/>
    <n v="86"/>
    <x v="2"/>
    <m/>
    <s v="2026-01-31"/>
    <s v="280729"/>
    <s v="M/s. Naresh Chandra Das"/>
    <s v="7365868045"/>
  </r>
  <r>
    <s v="RCF Trombay"/>
    <s v="15-15-15"/>
    <s v="WB"/>
    <x v="15"/>
    <s v="Krishnagar - II"/>
    <s v="User Not Mapped"/>
    <s v="User Not Mapped"/>
    <s v="User Not Mapped"/>
    <n v="930787"/>
    <s v="BISWAJIT GHOSH"/>
    <s v="Private Retailer"/>
    <s v="9775313126"/>
    <n v="0.75"/>
    <n v="49"/>
    <x v="1"/>
    <m/>
    <s v="2026-03-09"/>
    <s v="280729"/>
    <s v="M/s. Naresh Chandra Das"/>
    <s v="7365868045"/>
  </r>
  <r>
    <s v="RCF Import"/>
    <s v="MOP"/>
    <s v="WB"/>
    <x v="15"/>
    <s v="Krishnagar - II"/>
    <s v="User Not Mapped"/>
    <s v="User Not Mapped"/>
    <s v="User Not Mapped"/>
    <n v="930787"/>
    <s v="BISWAJIT GHOSH"/>
    <s v="Private Retailer"/>
    <s v="9775313126"/>
    <n v="1"/>
    <n v="60"/>
    <x v="1"/>
    <m/>
    <s v="2026-02-26"/>
    <s v="280729"/>
    <s v="M/s. Naresh Chandra Das"/>
    <s v="7365868045"/>
  </r>
  <r>
    <s v="RCF Trombay"/>
    <s v="15-15-15"/>
    <s v="WB"/>
    <x v="15"/>
    <s v="Krishnagar - II"/>
    <s v="User Not Mapped"/>
    <s v="User Not Mapped"/>
    <s v="User Not Mapped"/>
    <n v="950661"/>
    <s v="SINGHATI SKUS LTD SONDANGA"/>
    <s v="PACS"/>
    <s v="8509164691"/>
    <n v="2.25"/>
    <n v="93"/>
    <x v="5"/>
    <m/>
    <s v="2026-01-24"/>
    <s v="270129"/>
    <s v="Kalyan Kr. Nandi"/>
    <s v="8250914797"/>
  </r>
  <r>
    <s v="RCF Trombay"/>
    <s v="N.C.Urea(45kg)"/>
    <s v="WB"/>
    <x v="15"/>
    <s v="Krishnagar - II"/>
    <s v="User Not Mapped"/>
    <s v="User Not Mapped"/>
    <s v="User Not Mapped"/>
    <n v="1103462"/>
    <s v="Mondal Fertilizer"/>
    <s v="Private Retailer"/>
    <s v="7074596080"/>
    <n v="0.22500000000000001"/>
    <n v="90"/>
    <x v="2"/>
    <m/>
    <s v="2026-01-27"/>
    <s v="260179"/>
    <s v="Tarun Kumar Saha"/>
    <s v="8116312974"/>
  </r>
  <r>
    <s v="RCF Trombay"/>
    <s v="N.C.Urea(45kg)"/>
    <s v="WB"/>
    <x v="15"/>
    <s v="Nabadwip"/>
    <s v="User Not Mapped"/>
    <s v="User Not Mapped"/>
    <s v="User Not Mapped"/>
    <n v="316407"/>
    <s v="Hossen Ali Sk"/>
    <s v="Private Retailer"/>
    <s v="9800539065"/>
    <n v="4.59"/>
    <n v="54"/>
    <x v="1"/>
    <m/>
    <s v="2026-03-04"/>
    <s v="260178"/>
    <s v="M/s. Uttamendu Sarkar"/>
    <s v="9002483836"/>
  </r>
  <r>
    <s v="RCF Trombay"/>
    <s v="N.C.Urea(45kg)"/>
    <s v="WB"/>
    <x v="15"/>
    <s v="Nabadwip"/>
    <s v="User Not Mapped"/>
    <s v="User Not Mapped"/>
    <s v="User Not Mapped"/>
    <n v="342586"/>
    <s v="Ranjit Das"/>
    <s v="Private Retailer"/>
    <s v="8013270338"/>
    <n v="1.64"/>
    <n v="49"/>
    <x v="1"/>
    <m/>
    <s v="2026-03-09"/>
    <s v="1214830"/>
    <s v="MS AJOY KRISHNA SEAL"/>
    <s v="9932127372"/>
  </r>
  <r>
    <s v="RCF Trombay"/>
    <s v="15-15-15"/>
    <s v="WB"/>
    <x v="15"/>
    <s v="Nabadwip"/>
    <s v="User Not Mapped"/>
    <s v="User Not Mapped"/>
    <s v="User Not Mapped"/>
    <n v="342586"/>
    <s v="Ranjit Das"/>
    <s v="Private Retailer"/>
    <s v="8013270338"/>
    <n v="0.33"/>
    <n v="30"/>
    <x v="4"/>
    <m/>
    <s v="2026-03-28"/>
    <s v="260210"/>
    <s v="Gouri Sankar Kundu            "/>
    <s v="9064539774"/>
  </r>
  <r>
    <s v="RCF Import"/>
    <s v="MOP"/>
    <s v="WB"/>
    <x v="15"/>
    <s v="Nabadwip"/>
    <s v="User Not Mapped"/>
    <s v="User Not Mapped"/>
    <s v="User Not Mapped"/>
    <n v="342586"/>
    <s v="Ranjit Das"/>
    <s v="Private Retailer"/>
    <s v="8013270338"/>
    <n v="0.83499999999999996"/>
    <n v="49"/>
    <x v="1"/>
    <m/>
    <s v="2026-03-09"/>
    <s v="1214830"/>
    <s v="MS AJOY KRISHNA SEAL"/>
    <s v="9932127372"/>
  </r>
  <r>
    <s v="RCF Import"/>
    <s v="Imp 10-26-26"/>
    <s v="WB"/>
    <x v="15"/>
    <s v="Nabadwip"/>
    <s v="User Not Mapped"/>
    <s v="User Not Mapped"/>
    <s v="User Not Mapped"/>
    <n v="342586"/>
    <s v="Ranjit Das"/>
    <s v="Private Retailer"/>
    <s v="8013270338"/>
    <n v="0.21"/>
    <n v="49"/>
    <x v="1"/>
    <m/>
    <s v="2026-03-09"/>
    <s v="1214830"/>
    <s v="MS AJOY KRISHNA SEAL"/>
    <s v="9932127372"/>
  </r>
  <r>
    <s v="RCF Import"/>
    <s v="Imp 10-26-26"/>
    <s v="WB"/>
    <x v="15"/>
    <s v="Nabadwip"/>
    <s v="User Not Mapped"/>
    <s v="User Not Mapped"/>
    <s v="User Not Mapped"/>
    <n v="342586"/>
    <s v="Ranjit Das"/>
    <s v="Private Retailer"/>
    <s v="8013270338"/>
    <n v="1"/>
    <n v="21"/>
    <x v="4"/>
    <m/>
    <s v="2026-04-06"/>
    <s v="1214830"/>
    <s v="MS AJOY KRISHNA SEAL"/>
    <s v="9932127372"/>
  </r>
  <r>
    <s v="RCF Trombay"/>
    <s v="15-15-15"/>
    <s v="WB"/>
    <x v="15"/>
    <s v="Nabadwip"/>
    <s v="User Not Mapped"/>
    <s v="User Not Mapped"/>
    <s v="User Not Mapped"/>
    <n v="356245"/>
    <s v="Sanjit Ghosh"/>
    <s v="Private Retailer"/>
    <s v="9836120241"/>
    <n v="0.11"/>
    <n v="179"/>
    <x v="0"/>
    <m/>
    <s v="2025-10-30"/>
    <s v="260210"/>
    <s v="Gouri Sankar Kundu            "/>
    <s v="9064539774"/>
  </r>
  <r>
    <s v="RCF Trombay"/>
    <s v="15-15-15"/>
    <s v="WB"/>
    <x v="15"/>
    <s v="Nabadwip"/>
    <s v="User Not Mapped"/>
    <s v="User Not Mapped"/>
    <s v="User Not Mapped"/>
    <n v="356245"/>
    <s v="Sanjit Ghosh"/>
    <s v="Private Retailer"/>
    <s v="9836120241"/>
    <n v="1"/>
    <n v="87"/>
    <x v="2"/>
    <m/>
    <s v="2026-01-30"/>
    <s v="260209"/>
    <s v="M/S SUNIL KUMAR SAHA       "/>
    <s v="9434110995"/>
  </r>
  <r>
    <s v="RCF Trombay"/>
    <s v="N.C.Urea(45kg)"/>
    <s v="WB"/>
    <x v="15"/>
    <s v="Nabadwip"/>
    <s v="User Not Mapped"/>
    <s v="User Not Mapped"/>
    <s v="User Not Mapped"/>
    <n v="356245"/>
    <s v="Sanjit Ghosh"/>
    <s v="Private Retailer"/>
    <s v="9836120241"/>
    <n v="1.155"/>
    <n v="155"/>
    <x v="0"/>
    <m/>
    <s v="2025-11-23"/>
    <s v="260209"/>
    <s v="M/S SUNIL KUMAR SAHA       "/>
    <s v="9434110995"/>
  </r>
  <r>
    <s v="RCF Trombay"/>
    <s v="N.C.Urea(45kg)"/>
    <s v="WB"/>
    <x v="15"/>
    <s v="Nabadwip"/>
    <s v="User Not Mapped"/>
    <s v="User Not Mapped"/>
    <s v="User Not Mapped"/>
    <n v="356245"/>
    <s v="Sanjit Ghosh"/>
    <s v="Private Retailer"/>
    <s v="9836120241"/>
    <n v="0.45"/>
    <n v="87"/>
    <x v="2"/>
    <m/>
    <s v="2026-01-30"/>
    <s v="260209"/>
    <s v="M/S SUNIL KUMAR SAHA       "/>
    <s v="9434110995"/>
  </r>
  <r>
    <s v="RCF Trombay"/>
    <s v="15-15-15"/>
    <s v="WB"/>
    <x v="15"/>
    <s v="Nabadwip"/>
    <s v="User Not Mapped"/>
    <s v="User Not Mapped"/>
    <s v="User Not Mapped"/>
    <n v="356245"/>
    <s v="Sanjit Ghosh"/>
    <s v="Private Retailer"/>
    <s v="9836120241"/>
    <n v="0.5"/>
    <n v="49"/>
    <x v="1"/>
    <m/>
    <s v="2026-03-09"/>
    <s v="260209"/>
    <s v="M/S SUNIL KUMAR SAHA       "/>
    <s v="9434110995"/>
  </r>
  <r>
    <s v="RCF Trombay"/>
    <s v="15-15-15"/>
    <s v="WB"/>
    <x v="15"/>
    <s v="Nabadwip"/>
    <s v="User Not Mapped"/>
    <s v="User Not Mapped"/>
    <s v="User Not Mapped"/>
    <n v="356330"/>
    <s v="LOKNATH SEEDS BHANDER"/>
    <s v="Private Retailer"/>
    <s v="9064234700"/>
    <n v="0.5"/>
    <n v="1150"/>
    <x v="7"/>
    <m/>
    <s v="2023-03-04"/>
    <s v="280729"/>
    <s v="M/s. Naresh Chandra Das"/>
    <s v="7365868045"/>
  </r>
  <r>
    <s v="RCF Trombay"/>
    <s v="15-15-15"/>
    <s v="WB"/>
    <x v="15"/>
    <s v="Nabadwip"/>
    <s v="User Not Mapped"/>
    <s v="User Not Mapped"/>
    <s v="User Not Mapped"/>
    <n v="464366"/>
    <s v="Monowar Mondal"/>
    <s v="Private Retailer"/>
    <s v="9153130834"/>
    <n v="10"/>
    <n v="59"/>
    <x v="1"/>
    <m/>
    <s v="2026-02-27"/>
    <s v="280729"/>
    <s v="M/s. Naresh Chandra Das"/>
    <s v="7365868045"/>
  </r>
  <r>
    <s v="RCF Trombay"/>
    <s v="N.C.Urea(45kg)"/>
    <s v="WB"/>
    <x v="15"/>
    <s v="Nabadwip"/>
    <s v="User Not Mapped"/>
    <s v="User Not Mapped"/>
    <s v="User Not Mapped"/>
    <n v="491677"/>
    <s v="Azahar Mondal"/>
    <s v="Private Retailer"/>
    <s v="8001662810"/>
    <n v="8.0549999999999997"/>
    <n v="122"/>
    <x v="0"/>
    <m/>
    <s v="2025-12-26"/>
    <s v="280729"/>
    <s v="M/s. Naresh Chandra Das"/>
    <s v="7365868045"/>
  </r>
  <r>
    <s v="RCF Trombay"/>
    <s v="15-15-15"/>
    <s v="WB"/>
    <x v="15"/>
    <s v="Nabadwip"/>
    <s v="User Not Mapped"/>
    <s v="User Not Mapped"/>
    <s v="User Not Mapped"/>
    <n v="492849"/>
    <s v="Samad Sekh"/>
    <s v="Private Retailer"/>
    <s v="9932742975"/>
    <n v="1.25"/>
    <n v="90"/>
    <x v="2"/>
    <m/>
    <s v="2026-01-27"/>
    <s v="260179"/>
    <s v="Tarun Kumar Saha"/>
    <s v="8116312974"/>
  </r>
  <r>
    <s v="RCF Trombay"/>
    <s v="N.C.Urea(45kg)"/>
    <s v="WB"/>
    <x v="15"/>
    <s v="Nabadwip"/>
    <s v="User Not Mapped"/>
    <s v="User Not Mapped"/>
    <s v="User Not Mapped"/>
    <n v="492849"/>
    <s v="Samad Sekh"/>
    <s v="Private Retailer"/>
    <s v="9932742975"/>
    <n v="0.72"/>
    <n v="90"/>
    <x v="2"/>
    <m/>
    <s v="2026-01-27"/>
    <s v="260179"/>
    <s v="Tarun Kumar Saha"/>
    <s v="8116312974"/>
  </r>
  <r>
    <s v="RCF Trombay"/>
    <s v="N.C.Urea(45kg)"/>
    <s v="WB"/>
    <x v="15"/>
    <s v="Nabadwip"/>
    <s v="User Not Mapped"/>
    <s v="User Not Mapped"/>
    <s v="User Not Mapped"/>
    <n v="650193"/>
    <s v="M/S MOUMITA FERTILIZER"/>
    <s v="Private Retailer"/>
    <s v="9735587223"/>
    <n v="2.835"/>
    <n v="222"/>
    <x v="3"/>
    <m/>
    <s v="2025-09-17"/>
    <s v="280729"/>
    <s v="M/s. Naresh Chandra Das"/>
    <s v="7365868045"/>
  </r>
  <r>
    <s v="RCF Thal"/>
    <s v="N.C.Urea(45kg)"/>
    <s v="WB"/>
    <x v="15"/>
    <s v="Nabadwip"/>
    <s v="User Not Mapped"/>
    <s v="User Not Mapped"/>
    <s v="User Not Mapped"/>
    <n v="750346"/>
    <s v="MD JAKIR HOSSIN"/>
    <s v="Private Retailer"/>
    <s v="8926598531"/>
    <n v="1.71"/>
    <n v="457"/>
    <x v="6"/>
    <m/>
    <s v="2025-01-25"/>
    <s v="260178"/>
    <s v="M/s. Uttamendu Sarkar"/>
    <s v="9002483836"/>
  </r>
  <r>
    <s v="RCF Thal"/>
    <s v="N.C.Urea(45kg)"/>
    <s v="WB"/>
    <x v="15"/>
    <s v="Nabadwip"/>
    <s v="User Not Mapped"/>
    <s v="User Not Mapped"/>
    <s v="User Not Mapped"/>
    <n v="901210"/>
    <s v="SAMIR DUTTA"/>
    <s v="Private Retailer"/>
    <s v="8250255314"/>
    <n v="0.67500000000000004"/>
    <n v="193"/>
    <x v="3"/>
    <m/>
    <s v="2025-10-16"/>
    <s v="260177"/>
    <s v="SatyaRanjan Kundu and Brothers"/>
    <s v="7908186730"/>
  </r>
  <r>
    <s v="RCF Trombay"/>
    <s v="15-15-15"/>
    <s v="WB"/>
    <x v="15"/>
    <s v="Nabadwip"/>
    <s v="User Not Mapped"/>
    <s v="User Not Mapped"/>
    <s v="User Not Mapped"/>
    <n v="901210"/>
    <s v="SAMIR DUTTA"/>
    <s v="Private Retailer"/>
    <s v="8250255314"/>
    <n v="0.65"/>
    <n v="249"/>
    <x v="3"/>
    <m/>
    <s v="2025-08-21"/>
    <s v="280729"/>
    <s v="M/s. Naresh Chandra Das"/>
    <s v="7365868045"/>
  </r>
  <r>
    <s v="RCF Trombay"/>
    <s v="N.C.Urea(45kg)"/>
    <s v="WB"/>
    <x v="15"/>
    <s v="Nabadwip"/>
    <s v="User Not Mapped"/>
    <s v="User Not Mapped"/>
    <s v="User Not Mapped"/>
    <n v="901210"/>
    <s v="SAMIR DUTTA"/>
    <s v="Private Retailer"/>
    <s v="8250255314"/>
    <n v="0.35299999999999998"/>
    <n v="249"/>
    <x v="3"/>
    <m/>
    <s v="2025-08-21"/>
    <s v="280729"/>
    <s v="M/s. Naresh Chandra Das"/>
    <s v="7365868045"/>
  </r>
  <r>
    <s v="RCF Trombay"/>
    <s v="15-15-15"/>
    <s v="WB"/>
    <x v="15"/>
    <s v="Nabadwip"/>
    <s v="User Not Mapped"/>
    <s v="User Not Mapped"/>
    <s v="User Not Mapped"/>
    <n v="944028"/>
    <s v="MD KAMAL ALI SK"/>
    <s v="Private Retailer"/>
    <s v="9749809074"/>
    <n v="0.75"/>
    <n v="60"/>
    <x v="1"/>
    <m/>
    <s v="2026-02-26"/>
    <s v="280729"/>
    <s v="M/s. Naresh Chandra Das"/>
    <s v="7365868045"/>
  </r>
  <r>
    <s v="RCF Trombay"/>
    <s v="15-15-15"/>
    <s v="WB"/>
    <x v="15"/>
    <s v="Nabadwip"/>
    <s v="User Not Mapped"/>
    <s v="User Not Mapped"/>
    <s v="User Not Mapped"/>
    <n v="944034"/>
    <s v="RANJIT DAS"/>
    <s v="Private Retailer"/>
    <s v="8597621718"/>
    <n v="4.55"/>
    <n v="713"/>
    <x v="7"/>
    <m/>
    <s v="2024-05-14"/>
    <s v="260179"/>
    <s v="Tarun Kumar Saha"/>
    <s v="8116312974"/>
  </r>
  <r>
    <s v="RCF Thal"/>
    <s v="N.C.Urea(45kg)"/>
    <s v="WB"/>
    <x v="15"/>
    <s v="Nabadwip"/>
    <s v="User Not Mapped"/>
    <s v="User Not Mapped"/>
    <s v="User Not Mapped"/>
    <n v="944036"/>
    <s v="MONDAL FERTILIZER"/>
    <s v="Private Retailer"/>
    <s v="9609996591"/>
    <n v="0.81"/>
    <n v="193"/>
    <x v="3"/>
    <m/>
    <s v="2025-10-16"/>
    <s v="260177"/>
    <s v="SatyaRanjan Kundu and Brothers"/>
    <s v="7908186730"/>
  </r>
  <r>
    <s v="RCF Trombay"/>
    <s v="N.C.Urea(45kg)"/>
    <s v="WB"/>
    <x v="15"/>
    <s v="Nabadwip"/>
    <s v="User Not Mapped"/>
    <s v="User Not Mapped"/>
    <s v="User Not Mapped"/>
    <n v="944084"/>
    <s v="SAHAYRA FERTILIZER"/>
    <s v="Private Retailer"/>
    <s v="9593255259"/>
    <n v="8.3699999999999992"/>
    <n v="90"/>
    <x v="2"/>
    <m/>
    <s v="2026-01-27"/>
    <s v="280729"/>
    <s v="M/s. Naresh Chandra Das"/>
    <s v="7365868045"/>
  </r>
  <r>
    <s v="RCF Trombay"/>
    <s v="N.C.Urea(45kg)"/>
    <s v="WB"/>
    <x v="15"/>
    <s v="Nabadwip"/>
    <s v="User Not Mapped"/>
    <s v="User Not Mapped"/>
    <s v="User Not Mapped"/>
    <n v="944086"/>
    <s v="NURSLAM SK"/>
    <s v="Private Retailer"/>
    <s v="7318978896"/>
    <n v="1.89"/>
    <n v="222"/>
    <x v="3"/>
    <m/>
    <s v="2025-09-17"/>
    <s v="280729"/>
    <s v="M/s. Naresh Chandra Das"/>
    <s v="7365868045"/>
  </r>
  <r>
    <s v="RCF Trombay"/>
    <s v="15-15-15"/>
    <s v="WB"/>
    <x v="15"/>
    <s v="Nabadwip"/>
    <s v="User Not Mapped"/>
    <s v="User Not Mapped"/>
    <s v="User Not Mapped"/>
    <n v="1219911"/>
    <s v="Abdul Jillal sheikh Bhavan Tru"/>
    <s v="Private Retailer"/>
    <s v="9734064030"/>
    <n v="0.25"/>
    <n v="143"/>
    <x v="0"/>
    <m/>
    <s v="2025-12-05"/>
    <s v="280729"/>
    <s v="M/s. Naresh Chandra Das"/>
    <s v="7365868045"/>
  </r>
  <r>
    <s v="RCF Trombay"/>
    <s v="15-15-15"/>
    <s v="WB"/>
    <x v="15"/>
    <s v="Nabadwip"/>
    <s v="User Not Mapped"/>
    <s v="User Not Mapped"/>
    <s v="User Not Mapped"/>
    <n v="1219911"/>
    <s v="Abdul Jillal sheikh Bhavan Tru"/>
    <s v="Private Retailer"/>
    <s v="9734064030"/>
    <n v="0.25"/>
    <n v="109"/>
    <x v="5"/>
    <m/>
    <s v="2026-01-08"/>
    <s v="280729"/>
    <s v="M/s. Naresh Chandra Das"/>
    <s v="7365868045"/>
  </r>
  <r>
    <s v="RCF Trombay"/>
    <s v="15-15-15"/>
    <s v="WB"/>
    <x v="15"/>
    <s v="Nabadwip"/>
    <s v="User Not Mapped"/>
    <s v="User Not Mapped"/>
    <s v="User Not Mapped"/>
    <n v="1470904"/>
    <s v="Ganga Traders"/>
    <s v="Private Retailer"/>
    <s v="8637093711"/>
    <n v="0.25"/>
    <n v="362"/>
    <x v="3"/>
    <m/>
    <s v="2025-04-30"/>
    <s v="280729"/>
    <s v="M/s. Naresh Chandra Das"/>
    <s v="7365868045"/>
  </r>
  <r>
    <s v="RCF Thal"/>
    <s v="N.C.Urea(45kg)"/>
    <s v="WB"/>
    <x v="15"/>
    <s v="Nakashipara"/>
    <s v="User Not Mapped"/>
    <s v="User Not Mapped"/>
    <s v="User Not Mapped"/>
    <n v="340949"/>
    <s v="Asraf Shaikh"/>
    <s v="Private Retailer"/>
    <s v="8101442051"/>
    <n v="19.98"/>
    <n v="21"/>
    <x v="4"/>
    <m/>
    <s v="2026-04-06"/>
    <s v="260177"/>
    <s v="SatyaRanjan Kundu and Brothers"/>
    <s v="7908186730"/>
  </r>
  <r>
    <s v="RCF Thal"/>
    <s v="N.C.Urea(45kg)"/>
    <s v="WB"/>
    <x v="15"/>
    <s v="Nakashipara"/>
    <s v="User Not Mapped"/>
    <s v="User Not Mapped"/>
    <s v="User Not Mapped"/>
    <n v="388000"/>
    <s v="Mondal Fertilizer"/>
    <s v="Private Retailer"/>
    <s v="9732532405"/>
    <n v="4.9950000000000001"/>
    <n v="25"/>
    <x v="4"/>
    <m/>
    <s v="2026-04-02"/>
    <s v="270129"/>
    <s v="Kalyan Kr. Nandi"/>
    <s v="8250914797"/>
  </r>
  <r>
    <s v="RCF Thal"/>
    <s v="N.C.Urea(45kg)"/>
    <s v="WB"/>
    <x v="15"/>
    <s v="Nakashipara"/>
    <s v="User Not Mapped"/>
    <s v="User Not Mapped"/>
    <s v="User Not Mapped"/>
    <n v="388016"/>
    <s v="Rumpi Fertilisers"/>
    <s v="Private Retailer"/>
    <s v="9735642582"/>
    <n v="4.9950000000000001"/>
    <n v="25"/>
    <x v="4"/>
    <m/>
    <s v="2026-04-02"/>
    <s v="270129"/>
    <s v="Kalyan Kr. Nandi"/>
    <s v="8250914797"/>
  </r>
  <r>
    <s v="RCF Trombay"/>
    <s v="15-15-15"/>
    <s v="WB"/>
    <x v="15"/>
    <s v="Nakashipara"/>
    <s v="User Not Mapped"/>
    <s v="User Not Mapped"/>
    <s v="User Not Mapped"/>
    <n v="388016"/>
    <s v="Rumpi Fertilisers"/>
    <s v="Private Retailer"/>
    <s v="9735642582"/>
    <n v="3.25"/>
    <n v="51"/>
    <x v="1"/>
    <m/>
    <s v="2026-03-07"/>
    <s v="214222"/>
    <s v="Mahamaya Enterprise"/>
    <s v="8348217174"/>
  </r>
  <r>
    <s v="RCF Import"/>
    <s v="MOP"/>
    <s v="WB"/>
    <x v="15"/>
    <s v="Nakashipara"/>
    <s v="User Not Mapped"/>
    <s v="User Not Mapped"/>
    <s v="User Not Mapped"/>
    <n v="388016"/>
    <s v="Rumpi Fertilisers"/>
    <s v="Private Retailer"/>
    <s v="9735642582"/>
    <n v="5"/>
    <n v="58"/>
    <x v="1"/>
    <m/>
    <s v="2026-02-28"/>
    <s v="1210862"/>
    <s v="S.S.P ENTERPRISE"/>
    <s v="9635197281"/>
  </r>
  <r>
    <s v="RCF Trombay"/>
    <s v="N.C.Urea(45kg)"/>
    <s v="WB"/>
    <x v="15"/>
    <s v="Nakashipara"/>
    <s v="User Not Mapped"/>
    <s v="User Not Mapped"/>
    <s v="User Not Mapped"/>
    <n v="388016"/>
    <s v="Rumpi Fertilisers"/>
    <s v="Private Retailer"/>
    <s v="9735642582"/>
    <n v="4.9950000000000001"/>
    <n v="51"/>
    <x v="1"/>
    <m/>
    <s v="2026-03-07"/>
    <s v="214222"/>
    <s v="Mahamaya Enterprise"/>
    <s v="8348217174"/>
  </r>
  <r>
    <s v="RCF Trombay"/>
    <s v="N.C.Urea(45kg)"/>
    <s v="WB"/>
    <x v="15"/>
    <s v="Nakashipara"/>
    <s v="User Not Mapped"/>
    <s v="User Not Mapped"/>
    <s v="User Not Mapped"/>
    <n v="388016"/>
    <s v="Rumpi Fertilisers"/>
    <s v="Private Retailer"/>
    <s v="9735642582"/>
    <n v="3.7349999999999999"/>
    <n v="62"/>
    <x v="2"/>
    <m/>
    <s v="2026-02-24"/>
    <s v="270129"/>
    <s v="Kalyan Kr. Nandi"/>
    <s v="8250914797"/>
  </r>
  <r>
    <s v="RCF Trombay"/>
    <s v="N.C.Urea(45kg)"/>
    <s v="WB"/>
    <x v="15"/>
    <s v="Nakashipara"/>
    <s v="User Not Mapped"/>
    <s v="User Not Mapped"/>
    <s v="User Not Mapped"/>
    <n v="412352"/>
    <s v="Jahangir Alam"/>
    <s v="Private Retailer"/>
    <s v="9733506526"/>
    <n v="0.36"/>
    <n v="858"/>
    <x v="7"/>
    <m/>
    <s v="2023-12-21"/>
    <s v="280729"/>
    <s v="M/s. Naresh Chandra Das"/>
    <s v="7365868045"/>
  </r>
  <r>
    <s v="RCF Trombay"/>
    <s v="N.C.Urea(45kg)"/>
    <s v="WB"/>
    <x v="15"/>
    <s v="Nakashipara"/>
    <s v="User Not Mapped"/>
    <s v="User Not Mapped"/>
    <s v="User Not Mapped"/>
    <n v="413564"/>
    <s v="Jayanta Kumar Ghosh"/>
    <s v="Private Retailer"/>
    <s v="9932243784"/>
    <n v="0.27"/>
    <n v="576"/>
    <x v="7"/>
    <m/>
    <s v="2024-09-28"/>
    <s v="280729"/>
    <s v="M/s. Naresh Chandra Das"/>
    <s v="7365868045"/>
  </r>
  <r>
    <s v="RCF Trombay"/>
    <s v="N.C.Urea(45kg)"/>
    <s v="WB"/>
    <x v="15"/>
    <s v="Nakashipara"/>
    <s v="User Not Mapped"/>
    <s v="User Not Mapped"/>
    <s v="User Not Mapped"/>
    <n v="413634"/>
    <s v="Sirjul Hoque Sekh "/>
    <s v="Private Retailer"/>
    <s v="9775057010"/>
    <n v="3.2850000000000001"/>
    <n v="293"/>
    <x v="3"/>
    <m/>
    <s v="2025-07-08"/>
    <s v="214222"/>
    <s v="Mahamaya Enterprise"/>
    <s v="8348217174"/>
  </r>
  <r>
    <s v="RCF Thal"/>
    <s v="N.C.Urea(45kg)"/>
    <s v="WB"/>
    <x v="15"/>
    <s v="Nakashipara"/>
    <s v="User Not Mapped"/>
    <s v="User Not Mapped"/>
    <s v="User Not Mapped"/>
    <n v="413634"/>
    <s v="Sirjul Hoque Sekh "/>
    <s v="Private Retailer"/>
    <s v="9775057010"/>
    <n v="9.99"/>
    <n v="279"/>
    <x v="3"/>
    <m/>
    <s v="2025-07-22"/>
    <s v="214222"/>
    <s v="Mahamaya Enterprise"/>
    <s v="8348217174"/>
  </r>
  <r>
    <s v="RCF Thal"/>
    <s v="N.C.Urea(45kg)"/>
    <s v="WB"/>
    <x v="15"/>
    <s v="Nakashipara"/>
    <s v="User Not Mapped"/>
    <s v="User Not Mapped"/>
    <s v="User Not Mapped"/>
    <n v="413634"/>
    <s v="Sirjul Hoque Sekh "/>
    <s v="Private Retailer"/>
    <s v="9775057010"/>
    <n v="9.99"/>
    <n v="213"/>
    <x v="3"/>
    <m/>
    <s v="2025-09-26"/>
    <s v="260210"/>
    <s v="Gouri Sankar Kundu            "/>
    <s v="9064539774"/>
  </r>
  <r>
    <s v="RCF Import"/>
    <s v="MOP"/>
    <s v="WB"/>
    <x v="15"/>
    <s v="Nakashipara"/>
    <s v="User Not Mapped"/>
    <s v="User Not Mapped"/>
    <s v="User Not Mapped"/>
    <n v="438826"/>
    <s v="MS RASHIDUL SHAIKH"/>
    <s v="Private Retailer"/>
    <s v="9732825582"/>
    <n v="1.5"/>
    <n v="48"/>
    <x v="1"/>
    <m/>
    <s v="2026-03-10"/>
    <s v="259034"/>
    <s v="MS Guha And Co"/>
    <s v="8695359505"/>
  </r>
  <r>
    <s v="RCF Thal"/>
    <s v="N.C.Urea(45kg)"/>
    <s v="WB"/>
    <x v="15"/>
    <s v="Nakashipara"/>
    <s v="User Not Mapped"/>
    <s v="User Not Mapped"/>
    <s v="User Not Mapped"/>
    <n v="438840"/>
    <s v="Md. Afzal Hossan"/>
    <s v="Private Retailer"/>
    <s v="9547404844"/>
    <n v="2.2949999999999999"/>
    <n v="276"/>
    <x v="3"/>
    <m/>
    <s v="2025-07-25"/>
    <s v="260177"/>
    <s v="SatyaRanjan Kundu and Brothers"/>
    <s v="7908186730"/>
  </r>
  <r>
    <s v="RCF Trombay"/>
    <s v="15-15-15"/>
    <s v="WB"/>
    <x v="15"/>
    <s v="Nakashipara"/>
    <s v="User Not Mapped"/>
    <s v="User Not Mapped"/>
    <s v="User Not Mapped"/>
    <n v="438948"/>
    <s v="Suman Mandal"/>
    <s v="Private Retailer"/>
    <s v="9749251052"/>
    <n v="1.5"/>
    <n v="48"/>
    <x v="1"/>
    <m/>
    <s v="2026-03-10"/>
    <s v="259034"/>
    <s v="MS Guha And Co"/>
    <s v="8695359505"/>
  </r>
  <r>
    <s v="RCF Thal"/>
    <s v="N.C.Urea(45kg)"/>
    <s v="WB"/>
    <x v="15"/>
    <s v="Nakashipara"/>
    <s v="User Not Mapped"/>
    <s v="User Not Mapped"/>
    <s v="User Not Mapped"/>
    <n v="438948"/>
    <s v="Suman Mandal"/>
    <s v="Private Retailer"/>
    <s v="9749251052"/>
    <n v="4.2300000000000004"/>
    <n v="16"/>
    <x v="4"/>
    <m/>
    <s v="2026-04-11"/>
    <s v="259034"/>
    <s v="MS Guha And Co"/>
    <s v="8695359505"/>
  </r>
  <r>
    <s v="RCF Thal"/>
    <s v="N.C.Urea(45kg)"/>
    <s v="WB"/>
    <x v="15"/>
    <s v="Nakashipara"/>
    <s v="User Not Mapped"/>
    <s v="User Not Mapped"/>
    <s v="User Not Mapped"/>
    <n v="438956"/>
    <s v="Chitta Ranjan Mandal"/>
    <s v="Private Retailer"/>
    <s v="8101637400"/>
    <n v="4.9950000000000001"/>
    <n v="16"/>
    <x v="4"/>
    <m/>
    <s v="2026-04-11"/>
    <s v="259034"/>
    <s v="MS Guha And Co"/>
    <s v="8695359505"/>
  </r>
  <r>
    <s v="RCF Import"/>
    <s v="MOP"/>
    <s v="WB"/>
    <x v="15"/>
    <s v="Nakashipara"/>
    <s v="User Not Mapped"/>
    <s v="User Not Mapped"/>
    <s v="User Not Mapped"/>
    <n v="441519"/>
    <s v="Arijul Shaikh"/>
    <s v="Private Retailer"/>
    <s v="8389906442"/>
    <n v="2"/>
    <n v="60"/>
    <x v="1"/>
    <m/>
    <s v="2026-02-26"/>
    <s v="280729"/>
    <s v="M/s. Naresh Chandra Das"/>
    <s v="7365868045"/>
  </r>
  <r>
    <s v="RCF Import"/>
    <s v="MOP"/>
    <s v="WB"/>
    <x v="15"/>
    <s v="Nakashipara"/>
    <s v="User Not Mapped"/>
    <s v="User Not Mapped"/>
    <s v="User Not Mapped"/>
    <n v="461269"/>
    <s v="MAFIJUL SK"/>
    <s v="Private Retailer"/>
    <s v="9735354919"/>
    <n v="1.8"/>
    <n v="65"/>
    <x v="2"/>
    <m/>
    <s v="2026-02-21"/>
    <s v="259034"/>
    <s v="MS Guha And Co"/>
    <s v="8695359505"/>
  </r>
  <r>
    <s v="RCF Trombay"/>
    <s v="N.C.Urea(45kg)"/>
    <s v="WB"/>
    <x v="15"/>
    <s v="Nakashipara"/>
    <s v="User Not Mapped"/>
    <s v="User Not Mapped"/>
    <s v="User Not Mapped"/>
    <n v="461269"/>
    <s v="MAFIJUL SK"/>
    <s v="Private Retailer"/>
    <s v="9735354919"/>
    <n v="29.76"/>
    <n v="222"/>
    <x v="3"/>
    <m/>
    <s v="2025-09-17"/>
    <s v="280729"/>
    <s v="M/s. Naresh Chandra Das"/>
    <s v="7365868045"/>
  </r>
  <r>
    <s v="RCF Thal"/>
    <s v="N.C.Urea(45kg)"/>
    <s v="WB"/>
    <x v="15"/>
    <s v="Nakashipara"/>
    <s v="User Not Mapped"/>
    <s v="User Not Mapped"/>
    <s v="User Not Mapped"/>
    <n v="461269"/>
    <s v="MAFIJUL SK"/>
    <s v="Private Retailer"/>
    <s v="9735354919"/>
    <n v="42.15"/>
    <n v="201"/>
    <x v="3"/>
    <m/>
    <s v="2025-10-08"/>
    <s v="280729"/>
    <s v="M/s. Naresh Chandra Das"/>
    <s v="7365868045"/>
  </r>
  <r>
    <s v="RCF Trombay"/>
    <s v="15-15-15"/>
    <s v="WB"/>
    <x v="15"/>
    <s v="Nakashipara"/>
    <s v="User Not Mapped"/>
    <s v="User Not Mapped"/>
    <s v="User Not Mapped"/>
    <n v="461269"/>
    <s v="MAFIJUL SK"/>
    <s v="Private Retailer"/>
    <s v="9735354919"/>
    <n v="5"/>
    <n v="65"/>
    <x v="2"/>
    <m/>
    <s v="2026-02-21"/>
    <s v="259034"/>
    <s v="MS Guha And Co"/>
    <s v="8695359505"/>
  </r>
  <r>
    <s v="RCF Trombay"/>
    <s v="N.C.Urea(45kg)"/>
    <s v="WB"/>
    <x v="15"/>
    <s v="Nakashipara"/>
    <s v="User Not Mapped"/>
    <s v="User Not Mapped"/>
    <s v="User Not Mapped"/>
    <n v="628979"/>
    <s v="MD ABDUL ALIM SK"/>
    <s v="Private Retailer"/>
    <s v="9382434004"/>
    <n v="4.9950000000000001"/>
    <n v="51"/>
    <x v="1"/>
    <m/>
    <s v="2026-03-07"/>
    <s v="214222"/>
    <s v="Mahamaya Enterprise"/>
    <s v="8348217174"/>
  </r>
  <r>
    <s v="RCF Import"/>
    <s v="MOP"/>
    <s v="WB"/>
    <x v="15"/>
    <s v="Nakashipara"/>
    <s v="User Not Mapped"/>
    <s v="User Not Mapped"/>
    <s v="User Not Mapped"/>
    <n v="628979"/>
    <s v="MD ABDUL ALIM SK"/>
    <s v="Private Retailer"/>
    <s v="9382434004"/>
    <n v="5"/>
    <n v="58"/>
    <x v="1"/>
    <m/>
    <s v="2026-02-28"/>
    <s v="1210862"/>
    <s v="S.S.P ENTERPRISE"/>
    <s v="9635197281"/>
  </r>
  <r>
    <s v="RCF Trombay"/>
    <s v="N.C.Urea(45kg)"/>
    <s v="WB"/>
    <x v="15"/>
    <s v="Nakashipara"/>
    <s v="User Not Mapped"/>
    <s v="User Not Mapped"/>
    <s v="User Not Mapped"/>
    <n v="628983"/>
    <s v="Mintu Mandal"/>
    <s v="Private Retailer"/>
    <s v="7384398732"/>
    <n v="1.125"/>
    <n v="150"/>
    <x v="0"/>
    <m/>
    <s v="2025-11-28"/>
    <s v="281284"/>
    <s v="Sadhan Kumar Ghosh"/>
    <s v="7602136568"/>
  </r>
  <r>
    <s v="RCF Thal"/>
    <s v="N.C.Urea(45kg)"/>
    <s v="WB"/>
    <x v="15"/>
    <s v="Nakashipara"/>
    <s v="User Not Mapped"/>
    <s v="User Not Mapped"/>
    <s v="User Not Mapped"/>
    <n v="628987"/>
    <s v="Abdul Halim Sk"/>
    <s v="Private Retailer"/>
    <s v="7477595519"/>
    <n v="0.01"/>
    <n v="1962"/>
    <x v="7"/>
    <m/>
    <s v="2020-12-12"/>
    <s v="902197"/>
    <s v="AVIJIT DUTTA"/>
    <s v="7384408110"/>
  </r>
  <r>
    <s v="RCF Thal"/>
    <s v="N.C.Urea(45kg)"/>
    <s v="WB"/>
    <x v="15"/>
    <s v="Nakashipara"/>
    <s v="User Not Mapped"/>
    <s v="User Not Mapped"/>
    <s v="User Not Mapped"/>
    <n v="628993"/>
    <s v="Arindam das"/>
    <s v="Private Retailer"/>
    <s v="8509566548"/>
    <n v="9.99"/>
    <n v="24"/>
    <x v="4"/>
    <m/>
    <s v="2026-04-03"/>
    <s v="280913"/>
    <s v="S.S.P Enterprise"/>
    <s v="9732669190"/>
  </r>
  <r>
    <s v="RCF Trombay"/>
    <s v="15-15-15"/>
    <s v="WB"/>
    <x v="15"/>
    <s v="Nakashipara"/>
    <s v="User Not Mapped"/>
    <s v="User Not Mapped"/>
    <s v="User Not Mapped"/>
    <n v="630176"/>
    <s v="Santosh Sarkar"/>
    <s v="Private Retailer"/>
    <s v="9734878546"/>
    <n v="0.3"/>
    <n v="48"/>
    <x v="1"/>
    <m/>
    <s v="2026-03-10"/>
    <s v="259034"/>
    <s v="MS Guha And Co"/>
    <s v="8695359505"/>
  </r>
  <r>
    <s v="RCF Trombay"/>
    <s v="N.C.Urea(45kg)"/>
    <s v="WB"/>
    <x v="15"/>
    <s v="Nakashipara"/>
    <s v="User Not Mapped"/>
    <s v="User Not Mapped"/>
    <s v="User Not Mapped"/>
    <n v="630234"/>
    <s v="Indrajit Dey"/>
    <s v="Private Retailer"/>
    <s v="8945070441"/>
    <n v="1.35"/>
    <n v="515"/>
    <x v="6"/>
    <m/>
    <s v="2024-11-28"/>
    <s v="280729"/>
    <s v="M/s. Naresh Chandra Das"/>
    <s v="7365868045"/>
  </r>
  <r>
    <s v="RCF Thal"/>
    <s v="N.C.Urea(45kg)"/>
    <s v="WB"/>
    <x v="15"/>
    <s v="Nakashipara"/>
    <s v="User Not Mapped"/>
    <s v="User Not Mapped"/>
    <s v="User Not Mapped"/>
    <n v="737827"/>
    <s v="ANUJ KUMAR GHOSH"/>
    <s v="Private Retailer"/>
    <s v="9932280185"/>
    <n v="4.9950000000000001"/>
    <n v="16"/>
    <x v="4"/>
    <m/>
    <s v="2026-04-11"/>
    <s v="259034"/>
    <s v="MS Guha And Co"/>
    <s v="8695359505"/>
  </r>
  <r>
    <s v="RCF Trombay"/>
    <s v="N.C.Urea(45kg)"/>
    <s v="WB"/>
    <x v="15"/>
    <s v="Nakashipara"/>
    <s v="User Not Mapped"/>
    <s v="User Not Mapped"/>
    <s v="User Not Mapped"/>
    <n v="737827"/>
    <s v="ANUJ KUMAR GHOSH"/>
    <s v="Private Retailer"/>
    <s v="9932280185"/>
    <n v="0.40500000000000003"/>
    <n v="240"/>
    <x v="3"/>
    <m/>
    <s v="2025-08-30"/>
    <s v="259034"/>
    <s v="MS Guha And Co"/>
    <s v="8695359505"/>
  </r>
  <r>
    <s v="RCF Trombay"/>
    <s v="N.C.Urea(45kg)"/>
    <s v="WB"/>
    <x v="15"/>
    <s v="Nakashipara"/>
    <s v="User Not Mapped"/>
    <s v="User Not Mapped"/>
    <s v="User Not Mapped"/>
    <n v="737827"/>
    <s v="ANUJ KUMAR GHOSH"/>
    <s v="Private Retailer"/>
    <s v="9932280185"/>
    <n v="2.7450000000000001"/>
    <n v="62"/>
    <x v="2"/>
    <m/>
    <s v="2026-02-24"/>
    <s v="259034"/>
    <s v="MS Guha And Co"/>
    <s v="8695359505"/>
  </r>
  <r>
    <s v="RCF Thal"/>
    <s v="N.C.Urea(45kg)"/>
    <s v="WB"/>
    <x v="15"/>
    <s v="Nakashipara"/>
    <s v="User Not Mapped"/>
    <s v="User Not Mapped"/>
    <s v="User Not Mapped"/>
    <n v="737841"/>
    <s v="HARUN ALI RASID BISWAS"/>
    <s v="Private Retailer"/>
    <s v="8001721942"/>
    <n v="9.99"/>
    <n v="23"/>
    <x v="4"/>
    <m/>
    <s v="2026-04-04"/>
    <s v="259034"/>
    <s v="MS Guha And Co"/>
    <s v="8695359505"/>
  </r>
  <r>
    <s v="RCF Trombay"/>
    <s v="15-15-15"/>
    <s v="WB"/>
    <x v="15"/>
    <s v="Nakashipara"/>
    <s v="User Not Mapped"/>
    <s v="User Not Mapped"/>
    <s v="User Not Mapped"/>
    <n v="739662"/>
    <s v="Atiur Rahaman Seikh"/>
    <s v="Private Retailer"/>
    <s v="9775539080"/>
    <n v="1"/>
    <n v="48"/>
    <x v="1"/>
    <m/>
    <s v="2026-03-10"/>
    <s v="259034"/>
    <s v="MS Guha And Co"/>
    <s v="8695359505"/>
  </r>
  <r>
    <s v="RCF Trombay"/>
    <s v="N.C.Urea(45kg)"/>
    <s v="WB"/>
    <x v="15"/>
    <s v="Nakashipara"/>
    <s v="User Not Mapped"/>
    <s v="User Not Mapped"/>
    <s v="User Not Mapped"/>
    <n v="777477"/>
    <s v="SONALI KHATUN"/>
    <s v="Private Retailer"/>
    <s v="9932944070"/>
    <n v="0.36"/>
    <n v="238"/>
    <x v="3"/>
    <m/>
    <s v="2025-09-01"/>
    <s v="280729"/>
    <s v="M/s. Naresh Chandra Das"/>
    <s v="7365868045"/>
  </r>
  <r>
    <s v="RCF Import"/>
    <s v="MOP"/>
    <s v="WB"/>
    <x v="15"/>
    <s v="Nakashipara"/>
    <s v="User Not Mapped"/>
    <s v="User Not Mapped"/>
    <s v="User Not Mapped"/>
    <n v="859173"/>
    <s v="AOLAD SK"/>
    <s v="Private Retailer"/>
    <s v="9064848607"/>
    <n v="5"/>
    <n v="48"/>
    <x v="1"/>
    <m/>
    <s v="2026-03-10"/>
    <s v="259034"/>
    <s v="MS Guha And Co"/>
    <s v="8695359505"/>
  </r>
  <r>
    <s v="RCF Trombay"/>
    <s v="N.C.Urea(45kg)"/>
    <s v="WB"/>
    <x v="15"/>
    <s v="Nakashipara"/>
    <s v="User Not Mapped"/>
    <s v="User Not Mapped"/>
    <s v="User Not Mapped"/>
    <n v="865245"/>
    <s v="Anirul Sarkar"/>
    <s v="Private Retailer"/>
    <s v="9635997026"/>
    <n v="2.25"/>
    <n v="62"/>
    <x v="2"/>
    <m/>
    <s v="2026-02-24"/>
    <s v="259034"/>
    <s v="MS Guha And Co"/>
    <s v="8695359505"/>
  </r>
  <r>
    <s v="RCF Trombay"/>
    <s v="15-15-15"/>
    <s v="WB"/>
    <x v="15"/>
    <s v="Nakashipara"/>
    <s v="User Not Mapped"/>
    <s v="User Not Mapped"/>
    <s v="User Not Mapped"/>
    <n v="865245"/>
    <s v="Anirul Sarkar"/>
    <s v="Private Retailer"/>
    <s v="9635997026"/>
    <n v="5"/>
    <n v="90"/>
    <x v="2"/>
    <m/>
    <s v="2026-01-27"/>
    <s v="260177"/>
    <s v="SatyaRanjan Kundu and Brothers"/>
    <s v="7908186730"/>
  </r>
  <r>
    <s v="RCF Import"/>
    <s v="MOP"/>
    <s v="WB"/>
    <x v="15"/>
    <s v="Nakashipara"/>
    <s v="User Not Mapped"/>
    <s v="User Not Mapped"/>
    <s v="User Not Mapped"/>
    <n v="870647"/>
    <s v="SATYA NARAYAN KARMAKAR"/>
    <s v="Private Retailer"/>
    <s v="9593135427"/>
    <n v="0.4"/>
    <n v="48"/>
    <x v="1"/>
    <m/>
    <s v="2026-03-10"/>
    <s v="259034"/>
    <s v="MS Guha And Co"/>
    <s v="8695359505"/>
  </r>
  <r>
    <s v="RCF Thal"/>
    <s v="N.C.Urea(45kg)"/>
    <s v="WB"/>
    <x v="15"/>
    <s v="Nakashipara"/>
    <s v="User Not Mapped"/>
    <s v="User Not Mapped"/>
    <s v="User Not Mapped"/>
    <n v="886506"/>
    <s v="M/S NAYAN RANJAN DATTA"/>
    <s v="Private Retailer"/>
    <s v="7063600433"/>
    <n v="9.99"/>
    <n v="23"/>
    <x v="4"/>
    <m/>
    <s v="2026-04-04"/>
    <s v="260179"/>
    <s v="Tarun Kumar Saha"/>
    <s v="8116312974"/>
  </r>
  <r>
    <s v="RCF Trombay"/>
    <s v="15-15-15"/>
    <s v="WB"/>
    <x v="15"/>
    <s v="Nakashipara"/>
    <s v="User Not Mapped"/>
    <s v="User Not Mapped"/>
    <s v="User Not Mapped"/>
    <n v="898456"/>
    <s v="ABDUL MOTIN SHAIKH"/>
    <s v="Private Retailer"/>
    <s v="9733608613"/>
    <n v="9.25"/>
    <n v="822"/>
    <x v="7"/>
    <m/>
    <s v="2024-01-26"/>
    <s v="1198961"/>
    <s v="Subhankar Ghosh"/>
    <s v="9732806770"/>
  </r>
  <r>
    <s v="RCF Thal"/>
    <s v="N.C.Urea(45kg)"/>
    <s v="WB"/>
    <x v="15"/>
    <s v="Nakashipara"/>
    <s v="User Not Mapped"/>
    <s v="User Not Mapped"/>
    <s v="User Not Mapped"/>
    <n v="910312"/>
    <s v="AZIBAR SEKH"/>
    <s v="Private Retailer"/>
    <s v="6296654198"/>
    <n v="2.4750000000000001"/>
    <n v="277"/>
    <x v="3"/>
    <m/>
    <s v="2025-07-24"/>
    <s v="260177"/>
    <s v="SatyaRanjan Kundu and Brothers"/>
    <s v="7908186730"/>
  </r>
  <r>
    <s v="RCF Import"/>
    <s v="MOP"/>
    <s v="WB"/>
    <x v="15"/>
    <s v="Nakashipara"/>
    <s v="User Not Mapped"/>
    <s v="User Not Mapped"/>
    <s v="User Not Mapped"/>
    <n v="925307"/>
    <s v="JASIM MONDAL"/>
    <s v="Private Retailer"/>
    <s v="6294742487"/>
    <n v="1.5"/>
    <n v="48"/>
    <x v="1"/>
    <m/>
    <s v="2026-03-10"/>
    <s v="259034"/>
    <s v="MS Guha And Co"/>
    <s v="8695359505"/>
  </r>
  <r>
    <s v="RCF Thal"/>
    <s v="N.C.Urea(45kg)"/>
    <s v="WB"/>
    <x v="15"/>
    <s v="Nakashipara"/>
    <s v="User Not Mapped"/>
    <s v="User Not Mapped"/>
    <s v="User Not Mapped"/>
    <n v="938965"/>
    <s v="BUDDHADEB SAHA"/>
    <s v="Private Retailer"/>
    <s v="8927045049"/>
    <n v="9.99"/>
    <n v="18"/>
    <x v="4"/>
    <m/>
    <s v="2026-04-09"/>
    <s v="281284"/>
    <s v="Sadhan Kumar Ghosh"/>
    <s v="7602136568"/>
  </r>
  <r>
    <s v="RCF Trombay"/>
    <s v="15-15-15"/>
    <s v="WB"/>
    <x v="15"/>
    <s v="Nakashipara"/>
    <s v="User Not Mapped"/>
    <s v="User Not Mapped"/>
    <s v="User Not Mapped"/>
    <n v="939799"/>
    <s v="KIAMAT SHAIKH"/>
    <s v="Private Retailer"/>
    <s v="9732076612"/>
    <n v="3.5"/>
    <n v="251"/>
    <x v="3"/>
    <m/>
    <s v="2025-08-19"/>
    <s v="1221148"/>
    <s v="ARINDAM DAS"/>
    <s v="8509566548"/>
  </r>
  <r>
    <s v="RCF Thal"/>
    <s v="N.C.Urea(45kg)"/>
    <s v="WB"/>
    <x v="15"/>
    <s v="Nakashipara"/>
    <s v="User Not Mapped"/>
    <s v="User Not Mapped"/>
    <s v="User Not Mapped"/>
    <n v="939975"/>
    <s v="JAYDEB SARKAR"/>
    <s v="Private Retailer"/>
    <s v="8918717206"/>
    <n v="4.4999999999999998E-2"/>
    <n v="215"/>
    <x v="3"/>
    <m/>
    <s v="2025-09-24"/>
    <s v="270129"/>
    <s v="Kalyan Kr. Nandi"/>
    <s v="8250914797"/>
  </r>
  <r>
    <s v="RCF Trombay"/>
    <s v="N.C.Urea(45kg)"/>
    <s v="WB"/>
    <x v="15"/>
    <s v="Nakashipara"/>
    <s v="User Not Mapped"/>
    <s v="User Not Mapped"/>
    <s v="User Not Mapped"/>
    <n v="939985"/>
    <s v="YEAKUB SARKAR"/>
    <s v="Private Retailer"/>
    <s v="8250557175"/>
    <n v="4.4999999999999998E-2"/>
    <n v="435"/>
    <x v="6"/>
    <m/>
    <s v="2025-02-16"/>
    <s v="281284"/>
    <s v="Sadhan Kumar Ghosh"/>
    <s v="7602136568"/>
  </r>
  <r>
    <s v="RCF Thal"/>
    <s v="N.C.Urea(45kg)"/>
    <s v="WB"/>
    <x v="15"/>
    <s v="Nakashipara"/>
    <s v="User Not Mapped"/>
    <s v="User Not Mapped"/>
    <s v="User Not Mapped"/>
    <n v="939985"/>
    <s v="YEAKUB SARKAR"/>
    <s v="Private Retailer"/>
    <s v="8250557175"/>
    <n v="0.315"/>
    <n v="339"/>
    <x v="3"/>
    <m/>
    <s v="2025-05-23"/>
    <s v="1221148"/>
    <s v="ARINDAM DAS"/>
    <s v="8509566548"/>
  </r>
  <r>
    <s v="RCF Trombay"/>
    <s v="N.C.Urea(45kg)"/>
    <s v="WB"/>
    <x v="15"/>
    <s v="Nakashipara"/>
    <s v="User Not Mapped"/>
    <s v="User Not Mapped"/>
    <s v="User Not Mapped"/>
    <n v="940053"/>
    <s v="SHAIFUL ASLAM KHAN"/>
    <s v="Private Retailer"/>
    <s v="7602222411"/>
    <n v="3.24"/>
    <n v="59"/>
    <x v="1"/>
    <m/>
    <s v="2026-02-27"/>
    <s v="280729"/>
    <s v="M/s. Naresh Chandra Das"/>
    <s v="7365868045"/>
  </r>
  <r>
    <s v="RCF Thal"/>
    <s v="N.C.Urea(45kg)"/>
    <s v="WB"/>
    <x v="15"/>
    <s v="Nakashipara"/>
    <s v="User Not Mapped"/>
    <s v="User Not Mapped"/>
    <s v="User Not Mapped"/>
    <n v="940091"/>
    <s v="MS HOSSAIN ALI SHAIKH"/>
    <s v="Private Retailer"/>
    <s v="9933067958"/>
    <n v="9.99"/>
    <n v="192"/>
    <x v="3"/>
    <m/>
    <s v="2025-10-17"/>
    <s v="268776"/>
    <s v="Chandra Kanta Das"/>
    <s v="9830307100"/>
  </r>
  <r>
    <s v="RCF Trombay"/>
    <s v="N.C.Urea(45kg)"/>
    <s v="WB"/>
    <x v="15"/>
    <s v="Nakashipara"/>
    <s v="User Not Mapped"/>
    <s v="User Not Mapped"/>
    <s v="User Not Mapped"/>
    <n v="940091"/>
    <s v="MS HOSSAIN ALI SHAIKH"/>
    <s v="Private Retailer"/>
    <s v="9933067958"/>
    <n v="0.9"/>
    <n v="433"/>
    <x v="6"/>
    <m/>
    <s v="2025-02-18"/>
    <s v="214222"/>
    <s v="Mahamaya Enterprise"/>
    <s v="8348217174"/>
  </r>
  <r>
    <s v="RCF Trombay"/>
    <s v="N.C.Urea(45kg)"/>
    <s v="WB"/>
    <x v="15"/>
    <s v="Nakashipara"/>
    <s v="User Not Mapped"/>
    <s v="User Not Mapped"/>
    <s v="User Not Mapped"/>
    <n v="940091"/>
    <s v="MS HOSSAIN ALI SHAIKH"/>
    <s v="Private Retailer"/>
    <s v="9933067958"/>
    <n v="4.9950000000000001"/>
    <n v="111"/>
    <x v="5"/>
    <m/>
    <s v="2026-01-06"/>
    <s v="268776"/>
    <s v="Chandra Kanta Das"/>
    <s v="9830307100"/>
  </r>
  <r>
    <s v="RCF Trombay"/>
    <s v="15-15-15"/>
    <s v="WB"/>
    <x v="15"/>
    <s v="Nakashipara"/>
    <s v="User Not Mapped"/>
    <s v="User Not Mapped"/>
    <s v="User Not Mapped"/>
    <n v="940091"/>
    <s v="MS HOSSAIN ALI SHAIKH"/>
    <s v="Private Retailer"/>
    <s v="9933067958"/>
    <n v="0.35"/>
    <n v="230"/>
    <x v="3"/>
    <m/>
    <s v="2025-09-09"/>
    <s v="268776"/>
    <s v="Chandra Kanta Das"/>
    <s v="9830307100"/>
  </r>
  <r>
    <s v="RCF Trombay"/>
    <s v="N.C.Urea(45kg)"/>
    <s v="WB"/>
    <x v="15"/>
    <s v="Nakashipara"/>
    <s v="User Not Mapped"/>
    <s v="User Not Mapped"/>
    <s v="User Not Mapped"/>
    <n v="940182"/>
    <s v="HARUN ALRASHID BISWAS"/>
    <s v="Private Retailer"/>
    <s v="7477490807"/>
    <n v="2.34"/>
    <n v="1246"/>
    <x v="7"/>
    <m/>
    <s v="2022-11-28"/>
    <s v="260179"/>
    <s v="Tarun Kumar Saha"/>
    <s v="8116312974"/>
  </r>
  <r>
    <s v="RCF Trombay"/>
    <s v="15-15-15"/>
    <s v="WB"/>
    <x v="15"/>
    <s v="Nakashipara"/>
    <s v="User Not Mapped"/>
    <s v="User Not Mapped"/>
    <s v="User Not Mapped"/>
    <n v="1132428"/>
    <s v="SINGHATI SKUS LTD-SALIGRAM"/>
    <s v="PACS"/>
    <s v="9635972328"/>
    <n v="10"/>
    <n v="93"/>
    <x v="5"/>
    <m/>
    <s v="2026-01-24"/>
    <s v="270129"/>
    <s v="Kalyan Kr. Nandi"/>
    <s v="8250914797"/>
  </r>
  <r>
    <s v="RCF Trombay"/>
    <s v="15-15-15"/>
    <s v="WB"/>
    <x v="15"/>
    <s v="Nakashipara"/>
    <s v="User Not Mapped"/>
    <s v="User Not Mapped"/>
    <s v="User Not Mapped"/>
    <n v="1132428"/>
    <s v="SINGHATI SKUS LTD-SALIGRAM"/>
    <s v="PACS"/>
    <s v="9635972328"/>
    <n v="1.55"/>
    <n v="240"/>
    <x v="3"/>
    <m/>
    <s v="2025-08-30"/>
    <s v="259034"/>
    <s v="MS Guha And Co"/>
    <s v="8695359505"/>
  </r>
  <r>
    <s v="RCF Trombay"/>
    <s v="15-15-15"/>
    <s v="WB"/>
    <x v="15"/>
    <s v="Nakashipara"/>
    <s v="User Not Mapped"/>
    <s v="User Not Mapped"/>
    <s v="User Not Mapped"/>
    <n v="1544207"/>
    <s v="SAMIMA KRISHI SEVA KENDRA"/>
    <s v="Private Retailer"/>
    <s v="9093690024"/>
    <n v="0.75"/>
    <n v="125"/>
    <x v="0"/>
    <m/>
    <s v="2025-12-23"/>
    <s v="1258420"/>
    <s v="M.A.C COMPANY"/>
    <s v="9433152053"/>
  </r>
  <r>
    <s v="RCF Trombay"/>
    <s v="15-15-15"/>
    <s v="WB"/>
    <x v="15"/>
    <s v="Ranaghat - I"/>
    <s v="User Not Mapped"/>
    <s v="User Not Mapped"/>
    <s v="User Not Mapped"/>
    <n v="243856"/>
    <s v="Habibpur L/S Pri.Agril.Credit."/>
    <s v="PACS"/>
    <s v="8617837645"/>
    <n v="9.1"/>
    <n v="151"/>
    <x v="0"/>
    <m/>
    <s v="2025-11-27"/>
    <s v="1210862"/>
    <s v="S.S.P ENTERPRISE"/>
    <s v="9635197281"/>
  </r>
  <r>
    <s v="RCF Trombay"/>
    <s v="15-15-15"/>
    <s v="WB"/>
    <x v="15"/>
    <s v="Ranaghat - I"/>
    <s v="User Not Mapped"/>
    <s v="User Not Mapped"/>
    <s v="User Not Mapped"/>
    <n v="316130"/>
    <s v="DIPAK KUMAH CHANDA"/>
    <s v="Private Retailer"/>
    <s v="9378447435"/>
    <n v="1.6E-2"/>
    <n v="559"/>
    <x v="7"/>
    <m/>
    <s v="2024-10-15"/>
    <s v="260178"/>
    <s v="M/s. Uttamendu Sarkar"/>
    <s v="9002483836"/>
  </r>
  <r>
    <s v="RCF Import"/>
    <s v="MOP"/>
    <s v="WB"/>
    <x v="15"/>
    <s v="Ranaghat - I"/>
    <s v="User Not Mapped"/>
    <s v="User Not Mapped"/>
    <s v="User Not Mapped"/>
    <n v="323489"/>
    <s v="Madan Mohan Saha"/>
    <s v="Private Retailer"/>
    <s v="9733925179"/>
    <n v="1.5"/>
    <n v="58"/>
    <x v="1"/>
    <m/>
    <s v="2026-02-28"/>
    <s v="1210862"/>
    <s v="S.S.P ENTERPRISE"/>
    <s v="9635197281"/>
  </r>
  <r>
    <s v="RCF Trombay"/>
    <s v="N.C.Urea(45kg)"/>
    <s v="WB"/>
    <x v="15"/>
    <s v="Ranaghat - I"/>
    <s v="User Not Mapped"/>
    <s v="User Not Mapped"/>
    <s v="User Not Mapped"/>
    <n v="323536"/>
    <s v="Rabindra Nath Biswas"/>
    <s v="Private Retailer"/>
    <s v="9434197359"/>
    <n v="0.315"/>
    <n v="72"/>
    <x v="2"/>
    <m/>
    <s v="2026-02-14"/>
    <s v="280729"/>
    <s v="M/s. Naresh Chandra Das"/>
    <s v="7365868045"/>
  </r>
  <r>
    <s v="RCF Trombay"/>
    <s v="15-15-15"/>
    <s v="WB"/>
    <x v="15"/>
    <s v="Ranaghat - I"/>
    <s v="User Not Mapped"/>
    <s v="User Not Mapped"/>
    <s v="User Not Mapped"/>
    <n v="340809"/>
    <s v="MlS  ANANTA DUTTA"/>
    <s v="Private Retailer"/>
    <s v="9734877585"/>
    <n v="0.45"/>
    <n v="59"/>
    <x v="1"/>
    <m/>
    <s v="2026-02-27"/>
    <s v="280729"/>
    <s v="M/s. Naresh Chandra Das"/>
    <s v="7365868045"/>
  </r>
  <r>
    <s v="RCF Trombay"/>
    <s v="N.C.Urea(45kg)"/>
    <s v="WB"/>
    <x v="15"/>
    <s v="Ranaghat - I"/>
    <s v="User Not Mapped"/>
    <s v="User Not Mapped"/>
    <s v="User Not Mapped"/>
    <n v="340809"/>
    <s v="MlS  ANANTA DUTTA"/>
    <s v="Private Retailer"/>
    <s v="9734877585"/>
    <n v="4.4999999999999998E-2"/>
    <n v="88"/>
    <x v="2"/>
    <m/>
    <s v="2026-01-29"/>
    <s v="280729"/>
    <s v="M/s. Naresh Chandra Das"/>
    <s v="7365868045"/>
  </r>
  <r>
    <s v="RCF Thal"/>
    <s v="N.C.Urea(45kg)"/>
    <s v="WB"/>
    <x v="15"/>
    <s v="Ranaghat - I"/>
    <s v="User Not Mapped"/>
    <s v="User Not Mapped"/>
    <s v="User Not Mapped"/>
    <n v="340809"/>
    <s v="MlS  ANANTA DUTTA"/>
    <s v="Private Retailer"/>
    <s v="9734877585"/>
    <n v="0.27"/>
    <n v="60"/>
    <x v="1"/>
    <m/>
    <s v="2026-02-26"/>
    <s v="280729"/>
    <s v="M/s. Naresh Chandra Das"/>
    <s v="7365868045"/>
  </r>
  <r>
    <s v="RCF Import"/>
    <s v="MOP"/>
    <s v="WB"/>
    <x v="15"/>
    <s v="Ranaghat - I"/>
    <s v="User Not Mapped"/>
    <s v="User Not Mapped"/>
    <s v="User Not Mapped"/>
    <n v="340809"/>
    <s v="MlS  ANANTA DUTTA"/>
    <s v="Private Retailer"/>
    <s v="9734877585"/>
    <n v="3"/>
    <n v="42"/>
    <x v="1"/>
    <m/>
    <s v="2026-03-16"/>
    <s v="549643"/>
    <s v="M/S RATAN BISWAS"/>
    <s v="8617364808"/>
  </r>
  <r>
    <s v="RCF Thal"/>
    <s v="N.C.Urea(45kg)"/>
    <s v="WB"/>
    <x v="15"/>
    <s v="Ranaghat - I"/>
    <s v="User Not Mapped"/>
    <s v="User Not Mapped"/>
    <s v="User Not Mapped"/>
    <n v="340914"/>
    <s v="SARKAR FERTILIZEH"/>
    <s v="Private Retailer"/>
    <s v="8759900691"/>
    <n v="9.99"/>
    <n v="24"/>
    <x v="4"/>
    <m/>
    <s v="2026-04-03"/>
    <s v="280913"/>
    <s v="S.S.P Enterprise"/>
    <s v="9732669190"/>
  </r>
  <r>
    <s v="RCF Thal"/>
    <s v="N.C.Urea(45kg)"/>
    <s v="WB"/>
    <x v="15"/>
    <s v="Ranaghat - I"/>
    <s v="User Not Mapped"/>
    <s v="User Not Mapped"/>
    <s v="User Not Mapped"/>
    <n v="340939"/>
    <s v="Asit Pramanick"/>
    <s v="Private Retailer"/>
    <s v="7001446523"/>
    <n v="5.49"/>
    <n v="43"/>
    <x v="1"/>
    <m/>
    <s v="2026-03-15"/>
    <s v="281285"/>
    <s v="Bhabani Prosad Chattopadhy"/>
    <s v="7548026544"/>
  </r>
  <r>
    <s v="RCF Trombay"/>
    <s v="15-15-15"/>
    <s v="WB"/>
    <x v="15"/>
    <s v="Ranaghat - I"/>
    <s v="User Not Mapped"/>
    <s v="User Not Mapped"/>
    <s v="User Not Mapped"/>
    <n v="340939"/>
    <s v="Asit Pramanick"/>
    <s v="Private Retailer"/>
    <s v="7001446523"/>
    <n v="0.28000000000000003"/>
    <n v="64"/>
    <x v="2"/>
    <m/>
    <s v="2026-02-22"/>
    <s v="281285"/>
    <s v="Bhabani Prosad Chattopadhy"/>
    <s v="7548026544"/>
  </r>
  <r>
    <s v="RCF Thal"/>
    <s v="N.C.Urea(45kg)"/>
    <s v="WB"/>
    <x v="15"/>
    <s v="Ranaghat - I"/>
    <s v="User Not Mapped"/>
    <s v="User Not Mapped"/>
    <s v="User Not Mapped"/>
    <n v="340939"/>
    <s v="Asit Pramanick"/>
    <s v="Private Retailer"/>
    <s v="7001446523"/>
    <n v="0.1"/>
    <n v="198"/>
    <x v="3"/>
    <m/>
    <s v="2025-10-11"/>
    <s v="281285"/>
    <s v="Bhabani Prosad Chattopadhy"/>
    <s v="7548026544"/>
  </r>
  <r>
    <s v="RCF Import"/>
    <s v="Imp 10-26-26"/>
    <s v="WB"/>
    <x v="15"/>
    <s v="Ranaghat - I"/>
    <s v="User Not Mapped"/>
    <s v="User Not Mapped"/>
    <s v="User Not Mapped"/>
    <n v="340939"/>
    <s v="Asit Pramanick"/>
    <s v="Private Retailer"/>
    <s v="7001446523"/>
    <n v="1.25"/>
    <n v="57"/>
    <x v="1"/>
    <m/>
    <s v="2026-03-01"/>
    <s v="281285"/>
    <s v="Bhabani Prosad Chattopadhy"/>
    <s v="7548026544"/>
  </r>
  <r>
    <s v="RCF Import"/>
    <s v="MOP"/>
    <s v="WB"/>
    <x v="15"/>
    <s v="Ranaghat - I"/>
    <s v="User Not Mapped"/>
    <s v="User Not Mapped"/>
    <s v="User Not Mapped"/>
    <n v="340939"/>
    <s v="Asit Pramanick"/>
    <s v="Private Retailer"/>
    <s v="7001446523"/>
    <n v="1.75"/>
    <n v="64"/>
    <x v="2"/>
    <m/>
    <s v="2026-02-22"/>
    <s v="281285"/>
    <s v="Bhabani Prosad Chattopadhy"/>
    <s v="7548026544"/>
  </r>
  <r>
    <s v="RCF Trombay"/>
    <s v="N.C.Urea(45kg)"/>
    <s v="WB"/>
    <x v="15"/>
    <s v="Ranaghat - I"/>
    <s v="User Not Mapped"/>
    <s v="User Not Mapped"/>
    <s v="User Not Mapped"/>
    <n v="340939"/>
    <s v="Asit Pramanick"/>
    <s v="Private Retailer"/>
    <s v="7001446523"/>
    <n v="4.9950000000000001"/>
    <n v="24"/>
    <x v="4"/>
    <m/>
    <s v="2026-04-03"/>
    <s v="281285"/>
    <s v="Bhabani Prosad Chattopadhy"/>
    <s v="7548026544"/>
  </r>
  <r>
    <s v="RCF Import"/>
    <s v="Imp 10-26-26"/>
    <s v="WB"/>
    <x v="15"/>
    <s v="Ranaghat - I"/>
    <s v="User Not Mapped"/>
    <s v="User Not Mapped"/>
    <s v="User Not Mapped"/>
    <n v="340939"/>
    <s v="Asit Pramanick"/>
    <s v="Private Retailer"/>
    <s v="7001446523"/>
    <n v="1"/>
    <n v="11"/>
    <x v="4"/>
    <m/>
    <s v="2026-04-16"/>
    <s v="260210"/>
    <s v="Gouri Sankar Kundu            "/>
    <s v="9064539774"/>
  </r>
  <r>
    <s v="RCF Trombay"/>
    <s v="15-15-15"/>
    <s v="WB"/>
    <x v="15"/>
    <s v="Ranaghat - I"/>
    <s v="User Not Mapped"/>
    <s v="User Not Mapped"/>
    <s v="User Not Mapped"/>
    <n v="341026"/>
    <s v="Bhagirath Biswas"/>
    <s v="Private Retailer"/>
    <s v="7029533544"/>
    <n v="5"/>
    <n v="61"/>
    <x v="2"/>
    <m/>
    <s v="2026-02-25"/>
    <s v="280913"/>
    <s v="S.S.P Enterprise"/>
    <s v="9732669190"/>
  </r>
  <r>
    <s v="RCF Trombay"/>
    <s v="15-15-15"/>
    <s v="WB"/>
    <x v="15"/>
    <s v="Ranaghat - I"/>
    <s v="User Not Mapped"/>
    <s v="User Not Mapped"/>
    <s v="User Not Mapped"/>
    <n v="341026"/>
    <s v="Bhagirath Biswas"/>
    <s v="Private Retailer"/>
    <s v="7029533544"/>
    <n v="2.6"/>
    <n v="91"/>
    <x v="5"/>
    <m/>
    <s v="2026-01-26"/>
    <s v="260177"/>
    <s v="SatyaRanjan Kundu and Brothers"/>
    <s v="7908186730"/>
  </r>
  <r>
    <s v="RCF Thal"/>
    <s v="N.C.Urea(45kg)"/>
    <s v="WB"/>
    <x v="15"/>
    <s v="Ranaghat - I"/>
    <s v="User Not Mapped"/>
    <s v="User Not Mapped"/>
    <s v="User Not Mapped"/>
    <n v="341036"/>
    <s v="M/S. BISWAS FERTILIZER"/>
    <s v="Private Retailer"/>
    <s v="7001908847"/>
    <n v="14.625"/>
    <n v="48"/>
    <x v="1"/>
    <m/>
    <s v="2026-03-10"/>
    <s v="260178"/>
    <s v="M/s. Uttamendu Sarkar"/>
    <s v="9002483836"/>
  </r>
  <r>
    <s v="RCF Trombay"/>
    <s v="15-15-15"/>
    <s v="WB"/>
    <x v="15"/>
    <s v="Ranaghat - I"/>
    <s v="User Not Mapped"/>
    <s v="User Not Mapped"/>
    <s v="User Not Mapped"/>
    <n v="341036"/>
    <s v="M/S. BISWAS FERTILIZER"/>
    <s v="Private Retailer"/>
    <s v="7001908847"/>
    <n v="2.7"/>
    <n v="62"/>
    <x v="2"/>
    <m/>
    <s v="2026-02-24"/>
    <s v="260178"/>
    <s v="M/s. Uttamendu Sarkar"/>
    <s v="9002483836"/>
  </r>
  <r>
    <s v="RCF Import"/>
    <s v="Imp 10-26-26"/>
    <s v="WB"/>
    <x v="15"/>
    <s v="Ranaghat - I"/>
    <s v="User Not Mapped"/>
    <s v="User Not Mapped"/>
    <s v="User Not Mapped"/>
    <n v="341036"/>
    <s v="M/S. BISWAS FERTILIZER"/>
    <s v="Private Retailer"/>
    <s v="7001908847"/>
    <n v="3.95"/>
    <n v="61"/>
    <x v="2"/>
    <m/>
    <s v="2026-02-25"/>
    <s v="260178"/>
    <s v="M/s. Uttamendu Sarkar"/>
    <s v="9002483836"/>
  </r>
  <r>
    <s v="RCF Import"/>
    <s v="MOP"/>
    <s v="WB"/>
    <x v="15"/>
    <s v="Ranaghat - I"/>
    <s v="User Not Mapped"/>
    <s v="User Not Mapped"/>
    <s v="User Not Mapped"/>
    <n v="341036"/>
    <s v="M/S. BISWAS FERTILIZER"/>
    <s v="Private Retailer"/>
    <s v="7001908847"/>
    <n v="5.4"/>
    <n v="65"/>
    <x v="2"/>
    <m/>
    <s v="2026-02-21"/>
    <s v="260178"/>
    <s v="M/s. Uttamendu Sarkar"/>
    <s v="9002483836"/>
  </r>
  <r>
    <s v="RCF Trombay"/>
    <s v="15-15-15"/>
    <s v="WB"/>
    <x v="15"/>
    <s v="Ranaghat - I"/>
    <s v="User Not Mapped"/>
    <s v="User Not Mapped"/>
    <s v="User Not Mapped"/>
    <n v="341087"/>
    <s v="Bimal Kumar Ghosh"/>
    <s v="Private Retailer"/>
    <s v="9434451440"/>
    <n v="2"/>
    <n v="33"/>
    <x v="1"/>
    <m/>
    <s v="2026-03-25"/>
    <s v="260178"/>
    <s v="M/s. Uttamendu Sarkar"/>
    <s v="9002483836"/>
  </r>
  <r>
    <s v="RCF Thal"/>
    <s v="N.C.Urea(45kg)"/>
    <s v="WB"/>
    <x v="15"/>
    <s v="Ranaghat - I"/>
    <s v="User Not Mapped"/>
    <s v="User Not Mapped"/>
    <s v="User Not Mapped"/>
    <n v="341087"/>
    <s v="Bimal Kumar Ghosh"/>
    <s v="Private Retailer"/>
    <s v="9434451440"/>
    <n v="19.98"/>
    <n v="20"/>
    <x v="4"/>
    <m/>
    <s v="2026-04-07"/>
    <s v="260178"/>
    <s v="M/s. Uttamendu Sarkar"/>
    <s v="9002483836"/>
  </r>
  <r>
    <s v="RCF Trombay"/>
    <s v="15-15-15"/>
    <s v="WB"/>
    <x v="15"/>
    <s v="Ranaghat - I"/>
    <s v="User Not Mapped"/>
    <s v="User Not Mapped"/>
    <s v="User Not Mapped"/>
    <n v="341087"/>
    <s v="Bimal Kumar Ghosh"/>
    <s v="Private Retailer"/>
    <s v="9434451440"/>
    <n v="1.05"/>
    <n v="246"/>
    <x v="3"/>
    <m/>
    <s v="2025-08-24"/>
    <s v="281285"/>
    <s v="Bhabani Prosad Chattopadhy"/>
    <s v="7548026544"/>
  </r>
  <r>
    <s v="RCF Trombay"/>
    <s v="15-15-15"/>
    <s v="WB"/>
    <x v="15"/>
    <s v="Ranaghat - I"/>
    <s v="User Not Mapped"/>
    <s v="User Not Mapped"/>
    <s v="User Not Mapped"/>
    <n v="341503"/>
    <s v="Jafar Ali Mondal"/>
    <s v="Private Retailer"/>
    <s v="7980138263"/>
    <n v="0.48"/>
    <n v="179"/>
    <x v="0"/>
    <m/>
    <s v="2025-10-30"/>
    <s v="260210"/>
    <s v="Gouri Sankar Kundu            "/>
    <s v="9064539774"/>
  </r>
  <r>
    <s v="RCF Import"/>
    <s v="MOP"/>
    <s v="WB"/>
    <x v="15"/>
    <s v="Ranaghat - I"/>
    <s v="User Not Mapped"/>
    <s v="User Not Mapped"/>
    <s v="User Not Mapped"/>
    <n v="341503"/>
    <s v="Jafar Ali Mondal"/>
    <s v="Private Retailer"/>
    <s v="7980138263"/>
    <n v="1"/>
    <n v="11"/>
    <x v="4"/>
    <m/>
    <s v="2026-04-16"/>
    <s v="260210"/>
    <s v="Gouri Sankar Kundu            "/>
    <s v="9064539774"/>
  </r>
  <r>
    <s v="RCF Thal"/>
    <s v="N.C.Urea(45kg)"/>
    <s v="WB"/>
    <x v="15"/>
    <s v="Ranaghat - I"/>
    <s v="User Not Mapped"/>
    <s v="User Not Mapped"/>
    <s v="User Not Mapped"/>
    <n v="341503"/>
    <s v="Jafar Ali Mondal"/>
    <s v="Private Retailer"/>
    <s v="7980138263"/>
    <n v="0.83"/>
    <n v="40"/>
    <x v="1"/>
    <m/>
    <s v="2026-03-18"/>
    <s v="260209"/>
    <s v="M/S SUNIL KUMAR SAHA       "/>
    <s v="9434110995"/>
  </r>
  <r>
    <s v="RCF Thal"/>
    <s v="N.C.Urea(45kg)"/>
    <s v="WB"/>
    <x v="15"/>
    <s v="Ranaghat - I"/>
    <s v="User Not Mapped"/>
    <s v="User Not Mapped"/>
    <s v="User Not Mapped"/>
    <n v="341549"/>
    <s v="MIS JITENDHA KUMAR MODAK"/>
    <s v="Private Retailer"/>
    <s v="7363069026"/>
    <n v="4.4999999999999998E-2"/>
    <n v="20"/>
    <x v="4"/>
    <m/>
    <s v="2026-04-07"/>
    <s v="260209"/>
    <s v="M/S SUNIL KUMAR SAHA       "/>
    <s v="9434110995"/>
  </r>
  <r>
    <s v="RCF Thal"/>
    <s v="N.C.Urea(45kg)"/>
    <s v="WB"/>
    <x v="15"/>
    <s v="Ranaghat - I"/>
    <s v="User Not Mapped"/>
    <s v="User Not Mapped"/>
    <s v="User Not Mapped"/>
    <n v="341549"/>
    <s v="MIS JITENDHA KUMAR MODAK"/>
    <s v="Private Retailer"/>
    <s v="7363069026"/>
    <n v="0.45"/>
    <n v="12"/>
    <x v="4"/>
    <m/>
    <s v="2026-04-15"/>
    <s v="260209"/>
    <s v="M/S SUNIL KUMAR SAHA       "/>
    <s v="9434110995"/>
  </r>
  <r>
    <s v="RCF Trombay SCU"/>
    <s v="Sulphur Coated Urea(40Kg)"/>
    <s v="WB"/>
    <x v="15"/>
    <s v="Ranaghat - I"/>
    <s v="User Not Mapped"/>
    <s v="User Not Mapped"/>
    <s v="User Not Mapped"/>
    <n v="341549"/>
    <s v="MIS JITENDHA KUMAR MODAK"/>
    <s v="Private Retailer"/>
    <s v="7363069026"/>
    <n v="0.01"/>
    <n v="596"/>
    <x v="7"/>
    <m/>
    <s v="2024-09-08"/>
    <s v="260209"/>
    <s v="M/S SUNIL KUMAR SAHA       "/>
    <s v="9434110995"/>
  </r>
  <r>
    <s v="RCF Import"/>
    <s v="Imp 10-26-26"/>
    <s v="WB"/>
    <x v="15"/>
    <s v="Ranaghat - I"/>
    <s v="User Not Mapped"/>
    <s v="User Not Mapped"/>
    <s v="User Not Mapped"/>
    <n v="341549"/>
    <s v="MIS JITENDHA KUMAR MODAK"/>
    <s v="Private Retailer"/>
    <s v="7363069026"/>
    <n v="0.35"/>
    <n v="20"/>
    <x v="4"/>
    <m/>
    <s v="2026-04-07"/>
    <s v="260209"/>
    <s v="M/S SUNIL KUMAR SAHA       "/>
    <s v="9434110995"/>
  </r>
  <r>
    <s v="RCF Import"/>
    <s v="MOP"/>
    <s v="WB"/>
    <x v="15"/>
    <s v="Ranaghat - I"/>
    <s v="User Not Mapped"/>
    <s v="User Not Mapped"/>
    <s v="User Not Mapped"/>
    <n v="341627"/>
    <s v="M/s.Kartick Chandra Roy"/>
    <s v="Private Retailer"/>
    <s v="7047183154"/>
    <n v="2"/>
    <n v="17"/>
    <x v="4"/>
    <m/>
    <s v="2026-04-10"/>
    <s v="280729"/>
    <s v="M/s. Naresh Chandra Das"/>
    <s v="7365868045"/>
  </r>
  <r>
    <s v="RCF Import"/>
    <s v="Imp 10-26-26"/>
    <s v="WB"/>
    <x v="15"/>
    <s v="Ranaghat - I"/>
    <s v="User Not Mapped"/>
    <s v="User Not Mapped"/>
    <s v="User Not Mapped"/>
    <n v="341627"/>
    <s v="M/s.Kartick Chandra Roy"/>
    <s v="Private Retailer"/>
    <s v="7047183154"/>
    <n v="4.8499999999999996"/>
    <n v="241"/>
    <x v="3"/>
    <m/>
    <s v="2025-08-29"/>
    <s v="280729"/>
    <s v="M/s. Naresh Chandra Das"/>
    <s v="7365868045"/>
  </r>
  <r>
    <s v="RCF Trombay"/>
    <s v="15-15-15"/>
    <s v="WB"/>
    <x v="15"/>
    <s v="Ranaghat - I"/>
    <s v="User Not Mapped"/>
    <s v="User Not Mapped"/>
    <s v="User Not Mapped"/>
    <n v="341627"/>
    <s v="M/s.Kartick Chandra Roy"/>
    <s v="Private Retailer"/>
    <s v="7047183154"/>
    <n v="1.76"/>
    <n v="150"/>
    <x v="0"/>
    <m/>
    <s v="2025-11-28"/>
    <s v="214222"/>
    <s v="Mahamaya Enterprise"/>
    <s v="8348217174"/>
  </r>
  <r>
    <s v="RCF Trombay"/>
    <s v="N.C.Urea(45kg)"/>
    <s v="WB"/>
    <x v="15"/>
    <s v="Ranaghat - I"/>
    <s v="User Not Mapped"/>
    <s v="User Not Mapped"/>
    <s v="User Not Mapped"/>
    <n v="341627"/>
    <s v="M/s.Kartick Chandra Roy"/>
    <s v="Private Retailer"/>
    <s v="7047183154"/>
    <n v="0.45"/>
    <n v="150"/>
    <x v="0"/>
    <m/>
    <s v="2025-11-28"/>
    <s v="214222"/>
    <s v="Mahamaya Enterprise"/>
    <s v="8348217174"/>
  </r>
  <r>
    <s v="RCF Trombay"/>
    <s v="N.C.Urea(45kg)"/>
    <s v="WB"/>
    <x v="15"/>
    <s v="Ranaghat - I"/>
    <s v="User Not Mapped"/>
    <s v="User Not Mapped"/>
    <s v="User Not Mapped"/>
    <n v="342020"/>
    <s v="M/S NABA KUMAR BISWAS"/>
    <s v="Private Retailer"/>
    <s v="8900025627"/>
    <n v="3.7650000000000001"/>
    <n v="1461"/>
    <x v="7"/>
    <m/>
    <s v="2022-04-27"/>
    <s v="1214830"/>
    <s v="MS AJOY KRISHNA SEAL"/>
    <s v="9932127372"/>
  </r>
  <r>
    <s v="RCF Trombay"/>
    <s v="15-15-15"/>
    <s v="WB"/>
    <x v="15"/>
    <s v="Ranaghat - I"/>
    <s v="User Not Mapped"/>
    <s v="User Not Mapped"/>
    <s v="User Not Mapped"/>
    <n v="342020"/>
    <s v="M/S NABA KUMAR BISWAS"/>
    <s v="Private Retailer"/>
    <s v="8900025627"/>
    <n v="0.1"/>
    <n v="1526"/>
    <x v="7"/>
    <m/>
    <s v="2022-02-21"/>
    <s v="1214830"/>
    <s v="MS AJOY KRISHNA SEAL"/>
    <s v="9932127372"/>
  </r>
  <r>
    <s v="RCF Import"/>
    <s v="MOP"/>
    <s v="WB"/>
    <x v="15"/>
    <s v="Ranaghat - I"/>
    <s v="User Not Mapped"/>
    <s v="User Not Mapped"/>
    <s v="User Not Mapped"/>
    <n v="342595"/>
    <s v="Mls. SAIDUL ALI SEKH"/>
    <s v="Private Retailer"/>
    <s v="7407767537"/>
    <n v="0.1"/>
    <n v="23"/>
    <x v="4"/>
    <m/>
    <s v="2026-04-04"/>
    <s v="281285"/>
    <s v="Bhabani Prosad Chattopadhy"/>
    <s v="7548026544"/>
  </r>
  <r>
    <s v="RCF Thal"/>
    <s v="N.C.Urea(45kg)"/>
    <s v="WB"/>
    <x v="15"/>
    <s v="Ranaghat - I"/>
    <s v="User Not Mapped"/>
    <s v="User Not Mapped"/>
    <s v="User Not Mapped"/>
    <n v="342595"/>
    <s v="Mls. SAIDUL ALI SEKH"/>
    <s v="Private Retailer"/>
    <s v="7407767537"/>
    <n v="5.0000000000000001E-3"/>
    <n v="43"/>
    <x v="1"/>
    <m/>
    <s v="2026-03-15"/>
    <s v="281285"/>
    <s v="Bhabani Prosad Chattopadhy"/>
    <s v="7548026544"/>
  </r>
  <r>
    <s v="RCF Import"/>
    <s v="MOP"/>
    <s v="WB"/>
    <x v="15"/>
    <s v="Ranaghat - I"/>
    <s v="User Not Mapped"/>
    <s v="User Not Mapped"/>
    <s v="User Not Mapped"/>
    <n v="342595"/>
    <s v="Mls. SAIDUL ALI SEKH"/>
    <s v="Private Retailer"/>
    <s v="7407767537"/>
    <n v="0.05"/>
    <n v="43"/>
    <x v="1"/>
    <m/>
    <s v="2026-03-15"/>
    <s v="281285"/>
    <s v="Bhabani Prosad Chattopadhy"/>
    <s v="7548026544"/>
  </r>
  <r>
    <s v="RCF Import"/>
    <s v="Imp 10-26-26"/>
    <s v="WB"/>
    <x v="15"/>
    <s v="Ranaghat - I"/>
    <s v="User Not Mapped"/>
    <s v="User Not Mapped"/>
    <s v="User Not Mapped"/>
    <n v="342595"/>
    <s v="Mls. SAIDUL ALI SEKH"/>
    <s v="Private Retailer"/>
    <s v="7407767537"/>
    <n v="0.1"/>
    <n v="23"/>
    <x v="4"/>
    <m/>
    <s v="2026-04-04"/>
    <s v="281285"/>
    <s v="Bhabani Prosad Chattopadhy"/>
    <s v="7548026544"/>
  </r>
  <r>
    <s v="RCF Thal"/>
    <s v="N.C.Urea(45kg)"/>
    <s v="WB"/>
    <x v="15"/>
    <s v="Ranaghat - I"/>
    <s v="User Not Mapped"/>
    <s v="User Not Mapped"/>
    <s v="User Not Mapped"/>
    <n v="342680"/>
    <s v="Pradip Biswas"/>
    <s v="Private Retailer"/>
    <s v="9800837891"/>
    <n v="4.4999999999999998E-2"/>
    <n v="458"/>
    <x v="6"/>
    <m/>
    <s v="2025-01-24"/>
    <s v="260178"/>
    <s v="M/s. Uttamendu Sarkar"/>
    <s v="9002483836"/>
  </r>
  <r>
    <s v="RCF Trombay"/>
    <s v="N.C.Urea(45kg)"/>
    <s v="WB"/>
    <x v="15"/>
    <s v="Ranaghat - I"/>
    <s v="User Not Mapped"/>
    <s v="User Not Mapped"/>
    <s v="User Not Mapped"/>
    <n v="342680"/>
    <s v="Pradip Biswas"/>
    <s v="Private Retailer"/>
    <s v="9800837891"/>
    <n v="4.4999999999999998E-2"/>
    <n v="436"/>
    <x v="6"/>
    <m/>
    <s v="2025-02-15"/>
    <s v="260178"/>
    <s v="M/s. Uttamendu Sarkar"/>
    <s v="9002483836"/>
  </r>
  <r>
    <s v="RCF Trombay"/>
    <s v="15-15-15"/>
    <s v="WB"/>
    <x v="15"/>
    <s v="Ranaghat - I"/>
    <s v="User Not Mapped"/>
    <s v="User Not Mapped"/>
    <s v="User Not Mapped"/>
    <n v="356263"/>
    <s v="M/S PRAFULLA FERTILIZER"/>
    <s v="Private Retailer"/>
    <s v="9333249705"/>
    <n v="0.5"/>
    <n v="707"/>
    <x v="7"/>
    <m/>
    <s v="2024-05-20"/>
    <s v="281567"/>
    <s v="Rabindra Nath Biswas"/>
    <s v="9434197359"/>
  </r>
  <r>
    <s v="RCF Thal"/>
    <s v="N.C.Urea(45kg)"/>
    <s v="WB"/>
    <x v="15"/>
    <s v="Ranaghat - I"/>
    <s v="User Not Mapped"/>
    <s v="User Not Mapped"/>
    <s v="User Not Mapped"/>
    <n v="356263"/>
    <s v="M/S PRAFULLA FERTILIZER"/>
    <s v="Private Retailer"/>
    <s v="9333249705"/>
    <n v="3.71"/>
    <n v="1064"/>
    <x v="7"/>
    <m/>
    <s v="2023-05-29"/>
    <s v="280729"/>
    <s v="M/s. Naresh Chandra Das"/>
    <s v="7365868045"/>
  </r>
  <r>
    <s v="RCF Trombay"/>
    <s v="15-15-15"/>
    <s v="WB"/>
    <x v="15"/>
    <s v="Ranaghat - I"/>
    <s v="User Not Mapped"/>
    <s v="User Not Mapped"/>
    <s v="User Not Mapped"/>
    <n v="356263"/>
    <s v="M/S PRAFULLA FERTILIZER"/>
    <s v="Private Retailer"/>
    <s v="9333249705"/>
    <n v="4.05"/>
    <n v="781"/>
    <x v="7"/>
    <m/>
    <s v="2024-03-07"/>
    <s v="260178"/>
    <s v="M/s. Uttamendu Sarkar"/>
    <s v="9002483836"/>
  </r>
  <r>
    <s v="RCF Trombay"/>
    <s v="N.C.Urea(45kg)"/>
    <s v="WB"/>
    <x v="15"/>
    <s v="Ranaghat - I"/>
    <s v="User Not Mapped"/>
    <s v="User Not Mapped"/>
    <s v="User Not Mapped"/>
    <n v="356263"/>
    <s v="M/S PRAFULLA FERTILIZER"/>
    <s v="Private Retailer"/>
    <s v="9333249705"/>
    <n v="3.24"/>
    <n v="868"/>
    <x v="7"/>
    <m/>
    <s v="2023-12-11"/>
    <s v="260178"/>
    <s v="M/s. Uttamendu Sarkar"/>
    <s v="9002483836"/>
  </r>
  <r>
    <s v="RCF Trombay"/>
    <s v="N.C.Urea(45kg)"/>
    <s v="WB"/>
    <x v="15"/>
    <s v="Ranaghat - I"/>
    <s v="User Not Mapped"/>
    <s v="User Not Mapped"/>
    <s v="User Not Mapped"/>
    <n v="356263"/>
    <s v="M/S PRAFULLA FERTILIZER"/>
    <s v="Private Retailer"/>
    <s v="9333249705"/>
    <n v="4.9950000000000001"/>
    <n v="781"/>
    <x v="7"/>
    <m/>
    <s v="2024-03-07"/>
    <s v="260178"/>
    <s v="M/s. Uttamendu Sarkar"/>
    <s v="9002483836"/>
  </r>
  <r>
    <s v="RCF Import"/>
    <s v="MOP"/>
    <s v="WB"/>
    <x v="15"/>
    <s v="Ranaghat - I"/>
    <s v="User Not Mapped"/>
    <s v="User Not Mapped"/>
    <s v="User Not Mapped"/>
    <n v="356279"/>
    <s v="M/S SANTOSH BHOWMICK"/>
    <s v="Private Retailer"/>
    <s v="8900286242"/>
    <n v="1.8"/>
    <n v="58"/>
    <x v="1"/>
    <m/>
    <s v="2026-02-28"/>
    <s v="1210862"/>
    <s v="S.S.P ENTERPRISE"/>
    <s v="9635197281"/>
  </r>
  <r>
    <s v="RCF Trombay"/>
    <s v="15-15-15"/>
    <s v="WB"/>
    <x v="15"/>
    <s v="Ranaghat - I"/>
    <s v="User Not Mapped"/>
    <s v="User Not Mapped"/>
    <s v="User Not Mapped"/>
    <n v="356279"/>
    <s v="M/S SANTOSH BHOWMICK"/>
    <s v="Private Retailer"/>
    <s v="8900286242"/>
    <n v="6.7"/>
    <n v="39"/>
    <x v="1"/>
    <m/>
    <s v="2026-03-19"/>
    <s v="1210862"/>
    <s v="S.S.P ENTERPRISE"/>
    <s v="9635197281"/>
  </r>
  <r>
    <s v="RCF Import"/>
    <s v="MOP"/>
    <s v="WB"/>
    <x v="15"/>
    <s v="Ranaghat - I"/>
    <s v="User Not Mapped"/>
    <s v="User Not Mapped"/>
    <s v="User Not Mapped"/>
    <n v="440692"/>
    <s v="Joydev Kumar Biswas"/>
    <s v="Private Retailer"/>
    <s v="9333552337"/>
    <n v="2.5499999999999998"/>
    <n v="62"/>
    <x v="2"/>
    <m/>
    <s v="2026-02-24"/>
    <s v="260177"/>
    <s v="SatyaRanjan Kundu and Brothers"/>
    <s v="7908186730"/>
  </r>
  <r>
    <s v="RCF Trombay"/>
    <s v="15-15-15"/>
    <s v="WB"/>
    <x v="15"/>
    <s v="Ranaghat - I"/>
    <s v="User Not Mapped"/>
    <s v="User Not Mapped"/>
    <s v="User Not Mapped"/>
    <n v="440692"/>
    <s v="Joydev Kumar Biswas"/>
    <s v="Private Retailer"/>
    <s v="9333552337"/>
    <n v="5"/>
    <n v="59"/>
    <x v="1"/>
    <m/>
    <s v="2026-02-27"/>
    <s v="260177"/>
    <s v="SatyaRanjan Kundu and Brothers"/>
    <s v="7908186730"/>
  </r>
  <r>
    <s v="RCF Trombay"/>
    <s v="15-15-15"/>
    <s v="WB"/>
    <x v="15"/>
    <s v="Ranaghat - I"/>
    <s v="User Not Mapped"/>
    <s v="User Not Mapped"/>
    <s v="User Not Mapped"/>
    <n v="440760"/>
    <s v="SHEE DUHGA FERTILIZEH"/>
    <s v="Private Retailer"/>
    <s v="9735783364"/>
    <n v="0.75"/>
    <n v="54"/>
    <x v="1"/>
    <m/>
    <s v="2026-03-04"/>
    <s v="260178"/>
    <s v="M/s. Uttamendu Sarkar"/>
    <s v="9002483836"/>
  </r>
  <r>
    <s v="RCF Trombay"/>
    <s v="15-15-15"/>
    <s v="WB"/>
    <x v="15"/>
    <s v="Ranaghat - I"/>
    <s v="User Not Mapped"/>
    <s v="User Not Mapped"/>
    <s v="User Not Mapped"/>
    <n v="444085"/>
    <s v="M/S Debosree Biswas"/>
    <s v="Private Retailer"/>
    <s v="6295381772"/>
    <n v="5"/>
    <n v="67"/>
    <x v="2"/>
    <m/>
    <s v="2026-02-19"/>
    <s v="280729"/>
    <s v="M/s. Naresh Chandra Das"/>
    <s v="7365868045"/>
  </r>
  <r>
    <s v="RCF Trombay"/>
    <s v="15-15-15"/>
    <s v="WB"/>
    <x v="15"/>
    <s v="Ranaghat - I"/>
    <s v="User Not Mapped"/>
    <s v="User Not Mapped"/>
    <s v="User Not Mapped"/>
    <n v="463361"/>
    <s v="Sswapan Kr Bhowmik"/>
    <s v="Private Retailer"/>
    <s v="9064110327"/>
    <n v="0.04"/>
    <n v="640"/>
    <x v="7"/>
    <m/>
    <s v="2024-07-26"/>
    <s v="280729"/>
    <s v="M/s. Naresh Chandra Das"/>
    <s v="7365868045"/>
  </r>
  <r>
    <s v="RCF Thal"/>
    <s v="N.C.Urea(45kg)"/>
    <s v="WB"/>
    <x v="15"/>
    <s v="Ranaghat - I"/>
    <s v="User Not Mapped"/>
    <s v="User Not Mapped"/>
    <s v="User Not Mapped"/>
    <n v="487956"/>
    <s v="Ghosh Fertilizer"/>
    <s v="Private Retailer"/>
    <s v="8972431535"/>
    <n v="0.18"/>
    <n v="1064"/>
    <x v="7"/>
    <m/>
    <s v="2023-05-29"/>
    <s v="280729"/>
    <s v="M/s. Naresh Chandra Das"/>
    <s v="7365868045"/>
  </r>
  <r>
    <s v="RCF Import"/>
    <s v="Imp 10-26-26"/>
    <s v="WB"/>
    <x v="15"/>
    <s v="Ranaghat - I"/>
    <s v="User Not Mapped"/>
    <s v="User Not Mapped"/>
    <s v="User Not Mapped"/>
    <n v="498214"/>
    <s v="Oyaseb Mondal"/>
    <s v="Private Retailer"/>
    <s v="6291159716"/>
    <n v="0.4"/>
    <n v="33"/>
    <x v="1"/>
    <m/>
    <s v="2026-03-25"/>
    <s v="260211"/>
    <s v="M/s. Jaiswal Enterprise "/>
    <s v="8116105006"/>
  </r>
  <r>
    <s v="RCF Trombay"/>
    <s v="15-15-15"/>
    <s v="WB"/>
    <x v="15"/>
    <s v="Ranaghat - I"/>
    <s v="User Not Mapped"/>
    <s v="User Not Mapped"/>
    <s v="User Not Mapped"/>
    <n v="498558"/>
    <s v="Subahas Rudra"/>
    <s v="Private Retailer"/>
    <s v="9333555080"/>
    <n v="0.05"/>
    <n v="238"/>
    <x v="3"/>
    <m/>
    <s v="2025-09-01"/>
    <s v="260209"/>
    <s v="M/S SUNIL KUMAR SAHA       "/>
    <s v="9434110995"/>
  </r>
  <r>
    <s v="RCF Import"/>
    <s v="Imp 10-26-26"/>
    <s v="WB"/>
    <x v="15"/>
    <s v="Ranaghat - I"/>
    <s v="User Not Mapped"/>
    <s v="User Not Mapped"/>
    <s v="User Not Mapped"/>
    <n v="498558"/>
    <s v="Subahas Rudra"/>
    <s v="Private Retailer"/>
    <s v="9333555080"/>
    <n v="0.1"/>
    <n v="238"/>
    <x v="3"/>
    <m/>
    <s v="2025-09-01"/>
    <s v="260209"/>
    <s v="M/S SUNIL KUMAR SAHA       "/>
    <s v="9434110995"/>
  </r>
  <r>
    <s v="RCF Trombay"/>
    <s v="N.C.Urea(45kg)"/>
    <s v="WB"/>
    <x v="15"/>
    <s v="Ranaghat - I"/>
    <s v="User Not Mapped"/>
    <s v="User Not Mapped"/>
    <s v="User Not Mapped"/>
    <n v="498558"/>
    <s v="Subahas Rudra"/>
    <s v="Private Retailer"/>
    <s v="9333555080"/>
    <n v="0.27"/>
    <n v="238"/>
    <x v="3"/>
    <m/>
    <s v="2025-09-01"/>
    <s v="260209"/>
    <s v="M/S SUNIL KUMAR SAHA       "/>
    <s v="9434110995"/>
  </r>
  <r>
    <s v="RCF Import"/>
    <s v="Imp DAP"/>
    <s v="WB"/>
    <x v="15"/>
    <s v="Ranaghat - I"/>
    <s v="User Not Mapped"/>
    <s v="User Not Mapped"/>
    <s v="User Not Mapped"/>
    <n v="596747"/>
    <s v="GAIN FERTILISER"/>
    <s v="Private Retailer"/>
    <s v="8768715317"/>
    <n v="0.25"/>
    <n v="2673"/>
    <x v="7"/>
    <m/>
    <s v="2019-01-01"/>
    <s v="11"/>
    <s v="Too Old Stock"/>
    <m/>
  </r>
  <r>
    <s v="RCF Trombay"/>
    <s v="15-15-15"/>
    <s v="WB"/>
    <x v="15"/>
    <s v="Ranaghat - I"/>
    <s v="User Not Mapped"/>
    <s v="User Not Mapped"/>
    <s v="User Not Mapped"/>
    <n v="596747"/>
    <s v="GAIN FERTILISER"/>
    <s v="Private Retailer"/>
    <s v="8768715317"/>
    <n v="0.25"/>
    <n v="2673"/>
    <x v="7"/>
    <m/>
    <s v="2019-01-01"/>
    <s v="11"/>
    <s v="Too Old Stock"/>
    <m/>
  </r>
  <r>
    <s v="RCF Import"/>
    <s v="Imp 10-26-26"/>
    <s v="WB"/>
    <x v="15"/>
    <s v="Ranaghat - I"/>
    <s v="User Not Mapped"/>
    <s v="User Not Mapped"/>
    <s v="User Not Mapped"/>
    <n v="609070"/>
    <s v="SUKHEN BISWAS"/>
    <s v="Private Retailer"/>
    <s v="6296538144"/>
    <n v="5.25"/>
    <n v="61"/>
    <x v="2"/>
    <m/>
    <s v="2026-02-25"/>
    <s v="260178"/>
    <s v="M/s. Uttamendu Sarkar"/>
    <s v="9002483836"/>
  </r>
  <r>
    <s v="RCF Trombay"/>
    <s v="15-15-15"/>
    <s v="WB"/>
    <x v="15"/>
    <s v="Ranaghat - I"/>
    <s v="User Not Mapped"/>
    <s v="User Not Mapped"/>
    <s v="User Not Mapped"/>
    <n v="617103"/>
    <s v="PRASANTA SARKAR"/>
    <s v="Private Retailer"/>
    <s v="9734017891"/>
    <n v="5"/>
    <n v="91"/>
    <x v="5"/>
    <m/>
    <s v="2026-01-26"/>
    <s v="549643"/>
    <s v="M/S RATAN BISWAS"/>
    <s v="8617364808"/>
  </r>
  <r>
    <s v="RCF Trombay"/>
    <s v="15-15-15"/>
    <s v="WB"/>
    <x v="15"/>
    <s v="Ranaghat - I"/>
    <s v="User Not Mapped"/>
    <s v="User Not Mapped"/>
    <s v="User Not Mapped"/>
    <n v="617103"/>
    <s v="PRASANTA SARKAR"/>
    <s v="Private Retailer"/>
    <s v="9734017891"/>
    <n v="10"/>
    <n v="62"/>
    <x v="2"/>
    <m/>
    <s v="2026-02-24"/>
    <s v="270129"/>
    <s v="Kalyan Kr. Nandi"/>
    <s v="8250914797"/>
  </r>
  <r>
    <s v="RCF Trombay"/>
    <s v="15-15-15"/>
    <s v="WB"/>
    <x v="15"/>
    <s v="Ranaghat - I"/>
    <s v="User Not Mapped"/>
    <s v="User Not Mapped"/>
    <s v="User Not Mapped"/>
    <n v="617103"/>
    <s v="PRASANTA SARKAR"/>
    <s v="Private Retailer"/>
    <s v="9734017891"/>
    <n v="5.9"/>
    <n v="131"/>
    <x v="0"/>
    <m/>
    <s v="2025-12-17"/>
    <s v="549643"/>
    <s v="M/S RATAN BISWAS"/>
    <s v="8617364808"/>
  </r>
  <r>
    <s v="RCF Thal"/>
    <s v="N.C.Urea(45kg)"/>
    <s v="WB"/>
    <x v="15"/>
    <s v="Ranaghat - I"/>
    <s v="User Not Mapped"/>
    <s v="User Not Mapped"/>
    <s v="User Not Mapped"/>
    <n v="625842"/>
    <s v="LOKNATH FERTILIZER"/>
    <s v="Private Retailer"/>
    <s v="7076356669"/>
    <n v="0.94499999999999995"/>
    <n v="1199"/>
    <x v="7"/>
    <m/>
    <s v="2023-01-14"/>
    <s v="280729"/>
    <s v="M/s. Naresh Chandra Das"/>
    <s v="7365868045"/>
  </r>
  <r>
    <s v="RCF Trombay"/>
    <s v="15-15-15"/>
    <s v="WB"/>
    <x v="15"/>
    <s v="Ranaghat - I"/>
    <s v="User Not Mapped"/>
    <s v="User Not Mapped"/>
    <s v="User Not Mapped"/>
    <n v="627492"/>
    <s v="SARAJIT MONDAL"/>
    <s v="Private Retailer"/>
    <s v="9933516060"/>
    <n v="1.05"/>
    <n v="480"/>
    <x v="6"/>
    <m/>
    <s v="2025-01-02"/>
    <s v="388956"/>
    <s v="Sudhendu Saha"/>
    <s v="6294824935"/>
  </r>
  <r>
    <s v="RCF Trombay"/>
    <s v="N.C.Urea(45kg)"/>
    <s v="WB"/>
    <x v="15"/>
    <s v="Ranaghat - I"/>
    <s v="User Not Mapped"/>
    <s v="User Not Mapped"/>
    <s v="User Not Mapped"/>
    <n v="630527"/>
    <s v="MS Sushil Samajder"/>
    <s v="Private Retailer"/>
    <s v="9609687074"/>
    <n v="2.2949999999999999"/>
    <n v="63"/>
    <x v="2"/>
    <m/>
    <s v="2026-02-23"/>
    <s v="260211"/>
    <s v="M/s. Jaiswal Enterprise "/>
    <s v="8116105006"/>
  </r>
  <r>
    <s v="RCF Trombay"/>
    <s v="15-15-15"/>
    <s v="WB"/>
    <x v="15"/>
    <s v="Ranaghat - I"/>
    <s v="User Not Mapped"/>
    <s v="User Not Mapped"/>
    <s v="User Not Mapped"/>
    <n v="630527"/>
    <s v="MS Sushil Samajder"/>
    <s v="Private Retailer"/>
    <s v="9609687074"/>
    <n v="2.5"/>
    <n v="62"/>
    <x v="2"/>
    <m/>
    <s v="2026-02-24"/>
    <s v="214222"/>
    <s v="Mahamaya Enterprise"/>
    <s v="8348217174"/>
  </r>
  <r>
    <s v="RCF Import"/>
    <s v="MOP"/>
    <s v="WB"/>
    <x v="15"/>
    <s v="Ranaghat - I"/>
    <s v="User Not Mapped"/>
    <s v="User Not Mapped"/>
    <s v="User Not Mapped"/>
    <n v="639285"/>
    <s v="GHOSH FERTILIZERS"/>
    <s v="Private Retailer"/>
    <s v="9749627808"/>
    <n v="3"/>
    <n v="65"/>
    <x v="2"/>
    <m/>
    <s v="2026-02-21"/>
    <s v="260178"/>
    <s v="M/s. Uttamendu Sarkar"/>
    <s v="9002483836"/>
  </r>
  <r>
    <s v="RCF Trombay"/>
    <s v="15-15-15"/>
    <s v="WB"/>
    <x v="15"/>
    <s v="Ranaghat - I"/>
    <s v="User Not Mapped"/>
    <s v="User Not Mapped"/>
    <s v="User Not Mapped"/>
    <n v="639285"/>
    <s v="GHOSH FERTILIZERS"/>
    <s v="Private Retailer"/>
    <s v="9749627808"/>
    <n v="3"/>
    <n v="62"/>
    <x v="2"/>
    <m/>
    <s v="2026-02-24"/>
    <s v="260178"/>
    <s v="M/s. Uttamendu Sarkar"/>
    <s v="9002483836"/>
  </r>
  <r>
    <s v="RCF Trombay"/>
    <s v="15-15-15"/>
    <s v="WB"/>
    <x v="15"/>
    <s v="Ranaghat - I"/>
    <s v="User Not Mapped"/>
    <s v="User Not Mapped"/>
    <s v="User Not Mapped"/>
    <n v="639285"/>
    <s v="GHOSH FERTILIZERS"/>
    <s v="Private Retailer"/>
    <s v="9749627808"/>
    <n v="1.1000000000000001"/>
    <n v="90"/>
    <x v="2"/>
    <m/>
    <s v="2026-01-27"/>
    <s v="260178"/>
    <s v="M/s. Uttamendu Sarkar"/>
    <s v="9002483836"/>
  </r>
  <r>
    <s v="RCF Trombay"/>
    <s v="N.C.Urea(45kg)"/>
    <s v="WB"/>
    <x v="15"/>
    <s v="Ranaghat - I"/>
    <s v="User Not Mapped"/>
    <s v="User Not Mapped"/>
    <s v="User Not Mapped"/>
    <n v="639285"/>
    <s v="GHOSH FERTILIZERS"/>
    <s v="Private Retailer"/>
    <s v="9749627808"/>
    <n v="2.5"/>
    <n v="180"/>
    <x v="0"/>
    <m/>
    <s v="2025-10-29"/>
    <s v="260178"/>
    <s v="M/s. Uttamendu Sarkar"/>
    <s v="9002483836"/>
  </r>
  <r>
    <s v="RCF Trombay"/>
    <s v="N.C.Urea(45kg)"/>
    <s v="WB"/>
    <x v="15"/>
    <s v="Ranaghat - I"/>
    <s v="User Not Mapped"/>
    <s v="User Not Mapped"/>
    <s v="User Not Mapped"/>
    <n v="639285"/>
    <s v="GHOSH FERTILIZERS"/>
    <s v="Private Retailer"/>
    <s v="9749627808"/>
    <n v="0.58499999999999996"/>
    <n v="251"/>
    <x v="3"/>
    <m/>
    <s v="2025-08-19"/>
    <s v="260178"/>
    <s v="M/s. Uttamendu Sarkar"/>
    <s v="9002483836"/>
  </r>
  <r>
    <s v="RCF Thal"/>
    <s v="N.C.Urea(45kg)"/>
    <s v="WB"/>
    <x v="15"/>
    <s v="Ranaghat - I"/>
    <s v="User Not Mapped"/>
    <s v="User Not Mapped"/>
    <s v="User Not Mapped"/>
    <n v="653542"/>
    <s v="PRADIP KUMAR CHANDA"/>
    <s v="Private Retailer"/>
    <s v="9733490091"/>
    <n v="0.63"/>
    <n v="47"/>
    <x v="1"/>
    <m/>
    <s v="2026-03-11"/>
    <s v="270129"/>
    <s v="Kalyan Kr. Nandi"/>
    <s v="8250914797"/>
  </r>
  <r>
    <s v="RCF Thal"/>
    <s v="N.C.Urea(45kg)"/>
    <s v="WB"/>
    <x v="15"/>
    <s v="Ranaghat - I"/>
    <s v="User Not Mapped"/>
    <s v="User Not Mapped"/>
    <s v="User Not Mapped"/>
    <n v="653542"/>
    <s v="PRADIP KUMAR CHANDA"/>
    <s v="Private Retailer"/>
    <s v="9733490091"/>
    <n v="9.99"/>
    <n v="21"/>
    <x v="4"/>
    <m/>
    <s v="2026-04-06"/>
    <s v="214222"/>
    <s v="Mahamaya Enterprise"/>
    <s v="8348217174"/>
  </r>
  <r>
    <s v="RCF Trombay"/>
    <s v="15-15-15"/>
    <s v="WB"/>
    <x v="15"/>
    <s v="Ranaghat - I"/>
    <s v="User Not Mapped"/>
    <s v="User Not Mapped"/>
    <s v="User Not Mapped"/>
    <n v="653542"/>
    <s v="PRADIP KUMAR CHANDA"/>
    <s v="Private Retailer"/>
    <s v="9733490091"/>
    <n v="0.5"/>
    <n v="62"/>
    <x v="2"/>
    <m/>
    <s v="2026-02-24"/>
    <s v="214222"/>
    <s v="Mahamaya Enterprise"/>
    <s v="8348217174"/>
  </r>
  <r>
    <s v="RCF Thal"/>
    <s v="N.C.Urea(45kg)"/>
    <s v="WB"/>
    <x v="15"/>
    <s v="Ranaghat - I"/>
    <s v="User Not Mapped"/>
    <s v="User Not Mapped"/>
    <s v="User Not Mapped"/>
    <n v="654209"/>
    <s v="SAHIDUL ISLAM MONDAL"/>
    <s v="Private Retailer"/>
    <s v="7001991186"/>
    <n v="0.495"/>
    <n v="277"/>
    <x v="3"/>
    <m/>
    <s v="2025-07-24"/>
    <s v="260177"/>
    <s v="SatyaRanjan Kundu and Brothers"/>
    <s v="7908186730"/>
  </r>
  <r>
    <s v="RCF Import"/>
    <s v="Imp 10-26-26"/>
    <s v="WB"/>
    <x v="15"/>
    <s v="Ranaghat - I"/>
    <s v="User Not Mapped"/>
    <s v="User Not Mapped"/>
    <s v="User Not Mapped"/>
    <n v="843268"/>
    <s v="M/S ADITYA PAL"/>
    <s v="Private Retailer"/>
    <s v="9609397292"/>
    <n v="0.4"/>
    <n v="333"/>
    <x v="3"/>
    <m/>
    <s v="2025-05-29"/>
    <s v="1043444"/>
    <s v="UMA RANI SAHA"/>
    <s v="9775414001"/>
  </r>
  <r>
    <s v="RCF Thal"/>
    <s v="N.C.Urea(45kg)"/>
    <s v="WB"/>
    <x v="15"/>
    <s v="Ranaghat - I"/>
    <s v="User Not Mapped"/>
    <s v="User Not Mapped"/>
    <s v="User Not Mapped"/>
    <n v="843268"/>
    <s v="M/S ADITYA PAL"/>
    <s v="Private Retailer"/>
    <s v="9609397292"/>
    <n v="9.9450000000000003"/>
    <n v="202"/>
    <x v="3"/>
    <m/>
    <s v="2025-10-07"/>
    <s v="1043444"/>
    <s v="UMA RANI SAHA"/>
    <s v="9775414001"/>
  </r>
  <r>
    <s v="RCF Thal"/>
    <s v="N.C.Urea(45kg)"/>
    <s v="WB"/>
    <x v="15"/>
    <s v="Ranaghat - I"/>
    <s v="User Not Mapped"/>
    <s v="User Not Mapped"/>
    <s v="User Not Mapped"/>
    <n v="843268"/>
    <s v="M/S ADITYA PAL"/>
    <s v="Private Retailer"/>
    <s v="9609397292"/>
    <n v="3.1949999999999998"/>
    <n v="181"/>
    <x v="3"/>
    <m/>
    <s v="2025-10-28"/>
    <s v="1043444"/>
    <s v="UMA RANI SAHA"/>
    <s v="9775414001"/>
  </r>
  <r>
    <s v="RCF Trombay"/>
    <s v="15-15-15"/>
    <s v="WB"/>
    <x v="15"/>
    <s v="Ranaghat - I"/>
    <s v="User Not Mapped"/>
    <s v="User Not Mapped"/>
    <s v="User Not Mapped"/>
    <n v="854866"/>
    <s v="NILADRI SARKAR"/>
    <s v="Private Retailer"/>
    <s v="9153319303"/>
    <n v="5.65"/>
    <n v="64"/>
    <x v="2"/>
    <m/>
    <s v="2026-02-22"/>
    <s v="260209"/>
    <s v="M/S SUNIL KUMAR SAHA       "/>
    <s v="9434110995"/>
  </r>
  <r>
    <s v="RCF Trombay"/>
    <s v="15-15-15"/>
    <s v="WB"/>
    <x v="15"/>
    <s v="Ranaghat - I"/>
    <s v="User Not Mapped"/>
    <s v="User Not Mapped"/>
    <s v="User Not Mapped"/>
    <n v="854866"/>
    <s v="NILADRI SARKAR"/>
    <s v="Private Retailer"/>
    <s v="9153319303"/>
    <n v="1.25"/>
    <n v="17"/>
    <x v="4"/>
    <m/>
    <s v="2026-04-10"/>
    <s v="280729"/>
    <s v="M/s. Naresh Chandra Das"/>
    <s v="7365868045"/>
  </r>
  <r>
    <s v="RCF Trombay"/>
    <s v="N.C.Urea(45kg)"/>
    <s v="WB"/>
    <x v="15"/>
    <s v="Ranaghat - I"/>
    <s v="User Not Mapped"/>
    <s v="User Not Mapped"/>
    <s v="User Not Mapped"/>
    <n v="854866"/>
    <s v="NILADRI SARKAR"/>
    <s v="Private Retailer"/>
    <s v="9153319303"/>
    <n v="2.2949999999999999"/>
    <n v="59"/>
    <x v="1"/>
    <m/>
    <s v="2026-02-27"/>
    <s v="280729"/>
    <s v="M/s. Naresh Chandra Das"/>
    <s v="7365868045"/>
  </r>
  <r>
    <s v="RCF Trombay"/>
    <s v="N.C.Urea(45kg)"/>
    <s v="WB"/>
    <x v="15"/>
    <s v="Ranaghat - I"/>
    <s v="User Not Mapped"/>
    <s v="User Not Mapped"/>
    <s v="User Not Mapped"/>
    <n v="854866"/>
    <s v="NILADRI SARKAR"/>
    <s v="Private Retailer"/>
    <s v="9153319303"/>
    <n v="10.98"/>
    <n v="40"/>
    <x v="1"/>
    <m/>
    <s v="2026-03-18"/>
    <s v="280729"/>
    <s v="M/s. Naresh Chandra Das"/>
    <s v="7365868045"/>
  </r>
  <r>
    <s v="RCF Trombay"/>
    <s v="15-15-15"/>
    <s v="WB"/>
    <x v="15"/>
    <s v="Ranaghat - I"/>
    <s v="User Not Mapped"/>
    <s v="User Not Mapped"/>
    <s v="User Not Mapped"/>
    <n v="854866"/>
    <s v="NILADRI SARKAR"/>
    <s v="Private Retailer"/>
    <s v="9153319303"/>
    <n v="10"/>
    <n v="59"/>
    <x v="1"/>
    <m/>
    <s v="2026-02-27"/>
    <s v="280729"/>
    <s v="M/s. Naresh Chandra Das"/>
    <s v="7365868045"/>
  </r>
  <r>
    <s v="RCF Import"/>
    <s v="MOP"/>
    <s v="WB"/>
    <x v="15"/>
    <s v="Ranaghat - I"/>
    <s v="User Not Mapped"/>
    <s v="User Not Mapped"/>
    <s v="User Not Mapped"/>
    <n v="854866"/>
    <s v="NILADRI SARKAR"/>
    <s v="Private Retailer"/>
    <s v="9153319303"/>
    <n v="4.25"/>
    <n v="65"/>
    <x v="2"/>
    <m/>
    <s v="2026-02-21"/>
    <s v="280729"/>
    <s v="M/s. Naresh Chandra Das"/>
    <s v="7365868045"/>
  </r>
  <r>
    <s v="RCF Thal"/>
    <s v="N.C.Urea(45kg)"/>
    <s v="WB"/>
    <x v="15"/>
    <s v="Ranaghat - I"/>
    <s v="User Not Mapped"/>
    <s v="User Not Mapped"/>
    <s v="User Not Mapped"/>
    <n v="855721"/>
    <s v="MODAK ENTERPRISE"/>
    <s v="Private Retailer"/>
    <s v="9474042061"/>
    <n v="4.68"/>
    <n v="1063"/>
    <x v="7"/>
    <m/>
    <s v="2023-05-30"/>
    <s v="214222"/>
    <s v="Mahamaya Enterprise"/>
    <s v="8348217174"/>
  </r>
  <r>
    <s v="RCF Trombay"/>
    <s v="15-15-15"/>
    <s v="WB"/>
    <x v="15"/>
    <s v="Ranaghat - I"/>
    <s v="User Not Mapped"/>
    <s v="User Not Mapped"/>
    <s v="User Not Mapped"/>
    <n v="973572"/>
    <s v="M/S MAJUMDAR FERTILIZER"/>
    <s v="Private Retailer"/>
    <s v="8367830499"/>
    <n v="0.3"/>
    <n v="243"/>
    <x v="3"/>
    <m/>
    <s v="2025-08-27"/>
    <s v="214222"/>
    <s v="Mahamaya Enterprise"/>
    <s v="8348217174"/>
  </r>
  <r>
    <s v="RCF Thal"/>
    <s v="N.C.Urea(45kg)"/>
    <s v="WB"/>
    <x v="15"/>
    <s v="Ranaghat - I"/>
    <s v="User Not Mapped"/>
    <s v="User Not Mapped"/>
    <s v="User Not Mapped"/>
    <n v="973572"/>
    <s v="M/S MAJUMDAR FERTILIZER"/>
    <s v="Private Retailer"/>
    <s v="8367830499"/>
    <n v="0.09"/>
    <n v="1825"/>
    <x v="7"/>
    <m/>
    <s v="2021-04-28"/>
    <s v="549643"/>
    <s v="M/S RATAN BISWAS"/>
    <s v="8617364808"/>
  </r>
  <r>
    <s v="RCF Trombay"/>
    <s v="N.C.Urea(45kg)"/>
    <s v="WB"/>
    <x v="15"/>
    <s v="Ranaghat - I"/>
    <s v="User Not Mapped"/>
    <s v="User Not Mapped"/>
    <s v="User Not Mapped"/>
    <n v="973572"/>
    <s v="M/S MAJUMDAR FERTILIZER"/>
    <s v="Private Retailer"/>
    <s v="8367830499"/>
    <n v="1.9350000000000001"/>
    <n v="200"/>
    <x v="3"/>
    <m/>
    <s v="2025-10-09"/>
    <s v="214222"/>
    <s v="Mahamaya Enterprise"/>
    <s v="8348217174"/>
  </r>
  <r>
    <s v="RCF Trombay"/>
    <s v="15-15-15"/>
    <s v="WB"/>
    <x v="15"/>
    <s v="Ranaghat - I"/>
    <s v="User Not Mapped"/>
    <s v="User Not Mapped"/>
    <s v="User Not Mapped"/>
    <n v="1023466"/>
    <s v="NILKANTA GHOSH"/>
    <s v="Private Retailer"/>
    <s v="9734976617"/>
    <n v="1.2999999999999999E-2"/>
    <n v="536"/>
    <x v="6"/>
    <m/>
    <s v="2024-11-07"/>
    <s v="280913"/>
    <s v="S.S.P Enterprise"/>
    <s v="9732669190"/>
  </r>
  <r>
    <s v="RCF Trombay"/>
    <s v="15-15-15"/>
    <s v="WB"/>
    <x v="15"/>
    <s v="Ranaghat - I"/>
    <s v="User Not Mapped"/>
    <s v="User Not Mapped"/>
    <s v="User Not Mapped"/>
    <n v="1023470"/>
    <s v="M/S. HALDER FERTILIZER"/>
    <s v="Private Retailer"/>
    <s v="7076752180"/>
    <n v="0.85"/>
    <n v="62"/>
    <x v="2"/>
    <m/>
    <s v="2026-02-24"/>
    <s v="214222"/>
    <s v="Mahamaya Enterprise"/>
    <s v="8348217174"/>
  </r>
  <r>
    <s v="RCF Trombay"/>
    <s v="N.C.Urea(45kg)"/>
    <s v="WB"/>
    <x v="15"/>
    <s v="Ranaghat - I"/>
    <s v="User Not Mapped"/>
    <s v="User Not Mapped"/>
    <s v="User Not Mapped"/>
    <n v="1023470"/>
    <s v="M/S. HALDER FERTILIZER"/>
    <s v="Private Retailer"/>
    <s v="7076752180"/>
    <n v="0.85499999999999998"/>
    <n v="62"/>
    <x v="2"/>
    <m/>
    <s v="2026-02-24"/>
    <s v="214222"/>
    <s v="Mahamaya Enterprise"/>
    <s v="8348217174"/>
  </r>
  <r>
    <s v="RCF Trombay"/>
    <s v="N.C.Urea(45kg)"/>
    <s v="WB"/>
    <x v="15"/>
    <s v="Ranaghat - I"/>
    <s v="User Not Mapped"/>
    <s v="User Not Mapped"/>
    <s v="User Not Mapped"/>
    <n v="1025130"/>
    <s v="MONDAL FERTILIZER"/>
    <s v="Private Retailer"/>
    <s v="9476186183"/>
    <n v="0.27"/>
    <n v="399"/>
    <x v="6"/>
    <m/>
    <s v="2025-03-24"/>
    <s v="281285"/>
    <s v="Bhabani Prosad Chattopadhy"/>
    <s v="7548026544"/>
  </r>
  <r>
    <s v="RCF Trombay"/>
    <s v="15-15-15"/>
    <s v="WB"/>
    <x v="15"/>
    <s v="Ranaghat - I"/>
    <s v="User Not Mapped"/>
    <s v="User Not Mapped"/>
    <s v="User Not Mapped"/>
    <n v="1025130"/>
    <s v="MONDAL FERTILIZER"/>
    <s v="Private Retailer"/>
    <s v="9476186183"/>
    <n v="0.1"/>
    <n v="22"/>
    <x v="4"/>
    <m/>
    <s v="2026-04-05"/>
    <s v="281285"/>
    <s v="Bhabani Prosad Chattopadhy"/>
    <s v="7548026544"/>
  </r>
  <r>
    <s v="RCF Trombay"/>
    <s v="15-15-15"/>
    <s v="WB"/>
    <x v="15"/>
    <s v="Ranaghat - I"/>
    <s v="User Not Mapped"/>
    <s v="User Not Mapped"/>
    <s v="User Not Mapped"/>
    <n v="1025142"/>
    <s v="MATRI KRISHI BHANDER"/>
    <s v="Private Retailer"/>
    <s v="9732968272"/>
    <n v="0.35"/>
    <n v="39"/>
    <x v="1"/>
    <m/>
    <s v="2026-03-19"/>
    <s v="260210"/>
    <s v="Gouri Sankar Kundu            "/>
    <s v="9064539774"/>
  </r>
  <r>
    <s v="RCF Trombay"/>
    <s v="15-15-15"/>
    <s v="WB"/>
    <x v="15"/>
    <s v="Ranaghat - I"/>
    <s v="User Not Mapped"/>
    <s v="User Not Mapped"/>
    <s v="User Not Mapped"/>
    <n v="1025142"/>
    <s v="MATRI KRISHI BHANDER"/>
    <s v="Private Retailer"/>
    <s v="9732968272"/>
    <n v="0.05"/>
    <n v="44"/>
    <x v="1"/>
    <m/>
    <s v="2026-03-14"/>
    <s v="260210"/>
    <s v="Gouri Sankar Kundu            "/>
    <s v="9064539774"/>
  </r>
  <r>
    <s v="RCF Thal"/>
    <s v="N.C.Urea(45kg)"/>
    <s v="WB"/>
    <x v="15"/>
    <s v="Ranaghat - I"/>
    <s v="User Not Mapped"/>
    <s v="User Not Mapped"/>
    <s v="User Not Mapped"/>
    <n v="1025142"/>
    <s v="MATRI KRISHI BHANDER"/>
    <s v="Private Retailer"/>
    <s v="9732968272"/>
    <n v="0.67500000000000004"/>
    <n v="30"/>
    <x v="4"/>
    <m/>
    <s v="2026-03-28"/>
    <s v="260210"/>
    <s v="Gouri Sankar Kundu            "/>
    <s v="9064539774"/>
  </r>
  <r>
    <s v="RCF Thal"/>
    <s v="N.C.Urea(45kg)"/>
    <s v="WB"/>
    <x v="15"/>
    <s v="Ranaghat - I"/>
    <s v="User Not Mapped"/>
    <s v="User Not Mapped"/>
    <s v="User Not Mapped"/>
    <n v="1025142"/>
    <s v="MATRI KRISHI BHANDER"/>
    <s v="Private Retailer"/>
    <s v="9732968272"/>
    <n v="0.63"/>
    <n v="21"/>
    <x v="4"/>
    <m/>
    <s v="2026-04-06"/>
    <s v="260210"/>
    <s v="Gouri Sankar Kundu            "/>
    <s v="9064539774"/>
  </r>
  <r>
    <s v="RCF Import"/>
    <s v="MOP"/>
    <s v="WB"/>
    <x v="15"/>
    <s v="Ranaghat - I"/>
    <s v="User Not Mapped"/>
    <s v="User Not Mapped"/>
    <s v="User Not Mapped"/>
    <n v="1025142"/>
    <s v="MATRI KRISHI BHANDER"/>
    <s v="Private Retailer"/>
    <s v="9732968272"/>
    <n v="0.05"/>
    <n v="21"/>
    <x v="4"/>
    <m/>
    <s v="2026-04-06"/>
    <s v="260210"/>
    <s v="Gouri Sankar Kundu            "/>
    <s v="9064539774"/>
  </r>
  <r>
    <s v="RCF Trombay"/>
    <s v="15-15-15"/>
    <s v="WB"/>
    <x v="15"/>
    <s v="Ranaghat - I"/>
    <s v="User Not Mapped"/>
    <s v="User Not Mapped"/>
    <s v="User Not Mapped"/>
    <n v="1025170"/>
    <s v="MAINUL HAQUE"/>
    <s v="Private Retailer"/>
    <s v="8972990957"/>
    <n v="0.1"/>
    <n v="253"/>
    <x v="3"/>
    <m/>
    <s v="2025-08-17"/>
    <s v="260210"/>
    <s v="Gouri Sankar Kundu            "/>
    <s v="9064539774"/>
  </r>
  <r>
    <s v="RCF Trombay"/>
    <s v="15-15-15"/>
    <s v="WB"/>
    <x v="15"/>
    <s v="Ranaghat - I"/>
    <s v="User Not Mapped"/>
    <s v="User Not Mapped"/>
    <s v="User Not Mapped"/>
    <n v="1025170"/>
    <s v="MAINUL HAQUE"/>
    <s v="Private Retailer"/>
    <s v="8972990957"/>
    <n v="0.1"/>
    <n v="233"/>
    <x v="3"/>
    <m/>
    <s v="2025-09-06"/>
    <s v="260210"/>
    <s v="Gouri Sankar Kundu            "/>
    <s v="9064539774"/>
  </r>
  <r>
    <s v="RCF Trombay"/>
    <s v="N.C.Urea(45kg)"/>
    <s v="WB"/>
    <x v="15"/>
    <s v="Ranaghat - I"/>
    <s v="User Not Mapped"/>
    <s v="User Not Mapped"/>
    <s v="User Not Mapped"/>
    <n v="1025170"/>
    <s v="MAINUL HAQUE"/>
    <s v="Private Retailer"/>
    <s v="8972990957"/>
    <n v="4.4999999999999998E-2"/>
    <n v="623"/>
    <x v="7"/>
    <m/>
    <s v="2024-08-12"/>
    <s v="260210"/>
    <s v="Gouri Sankar Kundu            "/>
    <s v="9064539774"/>
  </r>
  <r>
    <s v="RCF Trombay"/>
    <s v="15-15-15"/>
    <s v="WB"/>
    <x v="15"/>
    <s v="Ranaghat - I"/>
    <s v="User Not Mapped"/>
    <s v="User Not Mapped"/>
    <s v="User Not Mapped"/>
    <n v="1025170"/>
    <s v="MAINUL HAQUE"/>
    <s v="Private Retailer"/>
    <s v="8972990957"/>
    <n v="0.05"/>
    <n v="369"/>
    <x v="6"/>
    <m/>
    <s v="2025-04-23"/>
    <s v="260210"/>
    <s v="Gouri Sankar Kundu            "/>
    <s v="9064539774"/>
  </r>
  <r>
    <s v="RCF Trombay"/>
    <s v="15-15-15"/>
    <s v="WB"/>
    <x v="15"/>
    <s v="Ranaghat - I"/>
    <s v="User Not Mapped"/>
    <s v="User Not Mapped"/>
    <s v="User Not Mapped"/>
    <n v="1025170"/>
    <s v="MAINUL HAQUE"/>
    <s v="Private Retailer"/>
    <s v="8972990957"/>
    <n v="0.25"/>
    <n v="278"/>
    <x v="3"/>
    <m/>
    <s v="2025-07-23"/>
    <s v="260210"/>
    <s v="Gouri Sankar Kundu            "/>
    <s v="9064539774"/>
  </r>
  <r>
    <s v="RCF Thal"/>
    <s v="N.C.Urea(45kg)"/>
    <s v="WB"/>
    <x v="15"/>
    <s v="Ranaghat - I"/>
    <s v="User Not Mapped"/>
    <s v="User Not Mapped"/>
    <s v="User Not Mapped"/>
    <n v="1025170"/>
    <s v="MAINUL HAQUE"/>
    <s v="Private Retailer"/>
    <s v="8972990957"/>
    <n v="0.09"/>
    <n v="457"/>
    <x v="6"/>
    <m/>
    <s v="2025-01-25"/>
    <s v="260210"/>
    <s v="Gouri Sankar Kundu            "/>
    <s v="9064539774"/>
  </r>
  <r>
    <s v="RCF Trombay"/>
    <s v="15-15-15"/>
    <s v="WB"/>
    <x v="15"/>
    <s v="Ranaghat - I"/>
    <s v="User Not Mapped"/>
    <s v="User Not Mapped"/>
    <s v="User Not Mapped"/>
    <n v="1031276"/>
    <s v="Sec. Sambhupur SKUS ltd"/>
    <s v="PACS"/>
    <s v="9474683700"/>
    <n v="8.7590000000000003"/>
    <n v="42"/>
    <x v="1"/>
    <m/>
    <s v="2026-03-16"/>
    <s v="280729"/>
    <s v="M/s. Naresh Chandra Das"/>
    <s v="7365868045"/>
  </r>
  <r>
    <s v="RCF Trombay"/>
    <s v="15-15-15"/>
    <s v="WB"/>
    <x v="15"/>
    <s v="Ranaghat - I"/>
    <s v="User Not Mapped"/>
    <s v="User Not Mapped"/>
    <s v="User Not Mapped"/>
    <n v="1031280"/>
    <s v="Sec. Nandighat SKUS ltd."/>
    <s v="PACS"/>
    <s v="9564312784"/>
    <n v="7.15"/>
    <n v="42"/>
    <x v="1"/>
    <m/>
    <s v="2026-03-16"/>
    <s v="280729"/>
    <s v="M/s. Naresh Chandra Das"/>
    <s v="7365868045"/>
  </r>
  <r>
    <s v="RCF Trombay"/>
    <s v="N.C.Urea(45kg)"/>
    <s v="WB"/>
    <x v="15"/>
    <s v="Ranaghat - I"/>
    <s v="User Not Mapped"/>
    <s v="User Not Mapped"/>
    <s v="User Not Mapped"/>
    <n v="1172581"/>
    <s v="SAMPA BISWAS"/>
    <s v="Private Retailer"/>
    <s v="7003580631"/>
    <n v="2.1150000000000002"/>
    <n v="81"/>
    <x v="2"/>
    <m/>
    <s v="2026-02-05"/>
    <s v="280729"/>
    <s v="M/s. Naresh Chandra Das"/>
    <s v="7365868045"/>
  </r>
  <r>
    <s v="RCF Trombay"/>
    <s v="15-15-15"/>
    <s v="WB"/>
    <x v="15"/>
    <s v="Ranaghat - I"/>
    <s v="User Not Mapped"/>
    <s v="User Not Mapped"/>
    <s v="User Not Mapped"/>
    <n v="1172581"/>
    <s v="SAMPA BISWAS"/>
    <s v="Private Retailer"/>
    <s v="7003580631"/>
    <n v="1.95"/>
    <n v="81"/>
    <x v="2"/>
    <m/>
    <s v="2026-02-05"/>
    <s v="280729"/>
    <s v="M/s. Naresh Chandra Das"/>
    <s v="7365868045"/>
  </r>
  <r>
    <s v="RCF Import"/>
    <s v="Imp 10-26-26"/>
    <s v="WB"/>
    <x v="15"/>
    <s v="Ranaghat - I"/>
    <s v="User Not Mapped"/>
    <s v="User Not Mapped"/>
    <s v="User Not Mapped"/>
    <n v="1219879"/>
    <s v="DIPANKAR DAS"/>
    <s v="Private Retailer"/>
    <s v="9153844241"/>
    <n v="3.25"/>
    <n v="231"/>
    <x v="3"/>
    <m/>
    <s v="2025-09-08"/>
    <s v="270129"/>
    <s v="Kalyan Kr. Nandi"/>
    <s v="8250914797"/>
  </r>
  <r>
    <s v="RCF Trombay"/>
    <s v="15-15-15"/>
    <s v="WB"/>
    <x v="15"/>
    <s v="Ranaghat - I"/>
    <s v="User Not Mapped"/>
    <s v="User Not Mapped"/>
    <s v="User Not Mapped"/>
    <n v="1219879"/>
    <s v="DIPANKAR DAS"/>
    <s v="Private Retailer"/>
    <s v="9153844241"/>
    <n v="5"/>
    <n v="65"/>
    <x v="2"/>
    <m/>
    <s v="2026-02-21"/>
    <s v="259034"/>
    <s v="MS Guha And Co"/>
    <s v="8695359505"/>
  </r>
  <r>
    <s v="RCF Thal"/>
    <s v="N.C.Urea(45kg)"/>
    <s v="WB"/>
    <x v="15"/>
    <s v="Ranaghat - I"/>
    <s v="User Not Mapped"/>
    <s v="User Not Mapped"/>
    <s v="User Not Mapped"/>
    <n v="1537817"/>
    <s v="M/S SABITA FERTILIZER"/>
    <s v="Private Retailer"/>
    <s v="6295090387"/>
    <n v="0.58499999999999996"/>
    <n v="271"/>
    <x v="3"/>
    <m/>
    <s v="2025-07-30"/>
    <s v="281568"/>
    <s v="Pradip Kr Chanda"/>
    <s v="9733490091"/>
  </r>
  <r>
    <s v="RCF Thal"/>
    <s v="N.C.Urea(45kg)"/>
    <s v="WB"/>
    <x v="15"/>
    <s v="Ranaghat - I"/>
    <s v="User Not Mapped"/>
    <s v="User Not Mapped"/>
    <s v="User Not Mapped"/>
    <n v="1537843"/>
    <s v="M/S Sarkar Fertilizer"/>
    <s v="Private Retailer"/>
    <s v="6294689285"/>
    <n v="0.18"/>
    <n v="305"/>
    <x v="3"/>
    <m/>
    <s v="2025-06-26"/>
    <s v="281568"/>
    <s v="Pradip Kr Chanda"/>
    <s v="9733490091"/>
  </r>
  <r>
    <s v="RCF Trombay"/>
    <s v="15-15-15"/>
    <s v="WB"/>
    <x v="15"/>
    <s v="Ranaghat - I"/>
    <s v="User Not Mapped"/>
    <s v="User Not Mapped"/>
    <s v="User Not Mapped"/>
    <n v="1561717"/>
    <s v="M/S BISWAS BEEJ BHANDAR BIPUL "/>
    <s v="Private Retailer"/>
    <s v="7872700259"/>
    <n v="2.5"/>
    <n v="82"/>
    <x v="2"/>
    <m/>
    <s v="2026-02-04"/>
    <s v="260177"/>
    <s v="SatyaRanjan Kundu and Brothers"/>
    <s v="7908186730"/>
  </r>
  <r>
    <s v="RCF Import"/>
    <s v="MOP"/>
    <s v="WB"/>
    <x v="15"/>
    <s v="Ranaghat - I"/>
    <s v="User Not Mapped"/>
    <s v="User Not Mapped"/>
    <s v="User Not Mapped"/>
    <n v="1561717"/>
    <s v="M/S BISWAS BEEJ BHANDAR BIPUL "/>
    <s v="Private Retailer"/>
    <s v="7872700259"/>
    <n v="0.1"/>
    <n v="15"/>
    <x v="4"/>
    <m/>
    <s v="2026-04-12"/>
    <s v="281285"/>
    <s v="Bhabani Prosad Chattopadhy"/>
    <s v="7548026544"/>
  </r>
  <r>
    <s v="RCF Trombay"/>
    <s v="N.C.Urea(45kg)"/>
    <s v="WB"/>
    <x v="15"/>
    <s v="Ranaghat - I"/>
    <s v="User Not Mapped"/>
    <s v="User Not Mapped"/>
    <s v="User Not Mapped"/>
    <n v="1561717"/>
    <s v="M/S BISWAS BEEJ BHANDAR BIPUL "/>
    <s v="Private Retailer"/>
    <s v="7872700259"/>
    <n v="4.32"/>
    <n v="82"/>
    <x v="2"/>
    <m/>
    <s v="2026-02-04"/>
    <s v="260177"/>
    <s v="SatyaRanjan Kundu and Brothers"/>
    <s v="7908186730"/>
  </r>
  <r>
    <s v="RCF Import"/>
    <s v="MOP"/>
    <s v="WB"/>
    <x v="15"/>
    <s v="Ranaghat - I"/>
    <s v="User Not Mapped"/>
    <s v="User Not Mapped"/>
    <s v="User Not Mapped"/>
    <n v="1602948"/>
    <s v="M/S ARNNAPURNA FERTILIZER(Bidi"/>
    <s v="Private Retailer"/>
    <s v="6297419157"/>
    <n v="0.2"/>
    <n v="65"/>
    <x v="2"/>
    <m/>
    <s v="2026-02-21"/>
    <s v="260178"/>
    <s v="M/s. Uttamendu Sarkar"/>
    <s v="9002483836"/>
  </r>
  <r>
    <s v="RCF Trombay"/>
    <s v="N.C.Urea(45kg)"/>
    <s v="WB"/>
    <x v="15"/>
    <s v="Ranaghat - I"/>
    <s v="User Not Mapped"/>
    <s v="User Not Mapped"/>
    <s v="User Not Mapped"/>
    <n v="1602948"/>
    <s v="M/S ARNNAPURNA FERTILIZER(Bidi"/>
    <s v="Private Retailer"/>
    <s v="6297419157"/>
    <n v="2.5649999999999999"/>
    <n v="62"/>
    <x v="2"/>
    <m/>
    <s v="2026-02-24"/>
    <s v="260178"/>
    <s v="M/s. Uttamendu Sarkar"/>
    <s v="9002483836"/>
  </r>
  <r>
    <s v="RCF Thal"/>
    <s v="N.C.Urea(45kg)"/>
    <s v="WB"/>
    <x v="15"/>
    <s v="Ranaghat - I"/>
    <s v="User Not Mapped"/>
    <s v="User Not Mapped"/>
    <s v="User Not Mapped"/>
    <n v="1602948"/>
    <s v="M/S ARNNAPURNA FERTILIZER(Bidi"/>
    <s v="Private Retailer"/>
    <s v="6297419157"/>
    <n v="9.99"/>
    <n v="20"/>
    <x v="4"/>
    <m/>
    <s v="2026-04-07"/>
    <s v="260178"/>
    <s v="M/s. Uttamendu Sarkar"/>
    <s v="9002483836"/>
  </r>
  <r>
    <s v="RCF Thal"/>
    <s v="N.C.Urea(45kg)"/>
    <s v="WB"/>
    <x v="15"/>
    <s v="Ranaghat - I"/>
    <s v="User Not Mapped"/>
    <s v="User Not Mapped"/>
    <s v="User Not Mapped"/>
    <n v="1602948"/>
    <s v="M/S ARNNAPURNA FERTILIZER(Bidi"/>
    <s v="Private Retailer"/>
    <s v="6297419157"/>
    <n v="7.29"/>
    <n v="48"/>
    <x v="1"/>
    <m/>
    <s v="2026-03-10"/>
    <s v="260178"/>
    <s v="M/s. Uttamendu Sarkar"/>
    <s v="9002483836"/>
  </r>
  <r>
    <s v="RCF Trombay"/>
    <s v="15-15-15"/>
    <s v="WB"/>
    <x v="15"/>
    <s v="Ranaghat - I"/>
    <s v="User Not Mapped"/>
    <s v="User Not Mapped"/>
    <s v="User Not Mapped"/>
    <n v="1604324"/>
    <s v="Nill Fertilizer And Pesticide "/>
    <s v="Private Retailer"/>
    <s v="9333295947"/>
    <n v="0.6"/>
    <n v="82"/>
    <x v="2"/>
    <m/>
    <s v="2026-02-04"/>
    <s v="260177"/>
    <s v="SatyaRanjan Kundu and Brothers"/>
    <s v="7908186730"/>
  </r>
  <r>
    <s v="RCF Trombay"/>
    <s v="15-15-15"/>
    <s v="WB"/>
    <x v="15"/>
    <s v="Ranaghat - II"/>
    <s v="User Not Mapped"/>
    <s v="User Not Mapped"/>
    <s v="User Not Mapped"/>
    <n v="243830"/>
    <s v="Chapra Dhantala Skus Ltd"/>
    <s v="PACS"/>
    <s v="9679278555"/>
    <n v="5"/>
    <n v="44"/>
    <x v="1"/>
    <m/>
    <s v="2026-03-14"/>
    <s v="280729"/>
    <s v="M/s. Naresh Chandra Das"/>
    <s v="7365868045"/>
  </r>
  <r>
    <s v="RCF Trombay"/>
    <s v="15-15-15"/>
    <s v="WB"/>
    <x v="15"/>
    <s v="Ranaghat - II"/>
    <s v="User Not Mapped"/>
    <s v="User Not Mapped"/>
    <s v="User Not Mapped"/>
    <n v="243830"/>
    <s v="Chapra Dhantala Skus Ltd"/>
    <s v="PACS"/>
    <s v="9679278555"/>
    <n v="10"/>
    <n v="42"/>
    <x v="1"/>
    <m/>
    <s v="2026-03-16"/>
    <s v="280729"/>
    <s v="M/s. Naresh Chandra Das"/>
    <s v="7365868045"/>
  </r>
  <r>
    <s v="RCF Import"/>
    <s v="MOP"/>
    <s v="WB"/>
    <x v="15"/>
    <s v="Ranaghat - II"/>
    <s v="User Not Mapped"/>
    <s v="User Not Mapped"/>
    <s v="User Not Mapped"/>
    <n v="243830"/>
    <s v="Chapra Dhantala Skus Ltd"/>
    <s v="PACS"/>
    <s v="9679278555"/>
    <n v="5"/>
    <n v="44"/>
    <x v="1"/>
    <m/>
    <s v="2026-03-14"/>
    <s v="280729"/>
    <s v="M/s. Naresh Chandra Das"/>
    <s v="7365868045"/>
  </r>
  <r>
    <s v="RCF Trombay"/>
    <s v="15-15-15"/>
    <s v="WB"/>
    <x v="15"/>
    <s v="Ranaghat - II"/>
    <s v="User Not Mapped"/>
    <s v="User Not Mapped"/>
    <s v="User Not Mapped"/>
    <n v="243830"/>
    <s v="Chapra Dhantala Skus Ltd"/>
    <s v="PACS"/>
    <s v="9679278555"/>
    <n v="4.5"/>
    <n v="418"/>
    <x v="6"/>
    <m/>
    <s v="2025-03-05"/>
    <s v="280729"/>
    <s v="M/s. Naresh Chandra Das"/>
    <s v="7365868045"/>
  </r>
  <r>
    <s v="RCF Import"/>
    <s v="MOP"/>
    <s v="WB"/>
    <x v="15"/>
    <s v="Ranaghat - II"/>
    <s v="User Not Mapped"/>
    <s v="User Not Mapped"/>
    <s v="User Not Mapped"/>
    <n v="272873"/>
    <s v="Ashit Biswas"/>
    <s v="Private Retailer"/>
    <s v="9064073378"/>
    <n v="6.85"/>
    <n v="62"/>
    <x v="2"/>
    <m/>
    <s v="2026-02-24"/>
    <s v="259034"/>
    <s v="MS Guha And Co"/>
    <s v="8695359505"/>
  </r>
  <r>
    <s v="RCF Trombay"/>
    <s v="15-15-15"/>
    <s v="WB"/>
    <x v="15"/>
    <s v="Ranaghat - II"/>
    <s v="User Not Mapped"/>
    <s v="User Not Mapped"/>
    <s v="User Not Mapped"/>
    <n v="272873"/>
    <s v="Ashit Biswas"/>
    <s v="Private Retailer"/>
    <s v="9064073378"/>
    <n v="0.45"/>
    <n v="65"/>
    <x v="2"/>
    <m/>
    <s v="2026-02-21"/>
    <s v="259034"/>
    <s v="MS Guha And Co"/>
    <s v="8695359505"/>
  </r>
  <r>
    <s v="RCF Thal"/>
    <s v="N.C.Urea(45kg)"/>
    <s v="WB"/>
    <x v="15"/>
    <s v="Ranaghat - II"/>
    <s v="User Not Mapped"/>
    <s v="User Not Mapped"/>
    <s v="User Not Mapped"/>
    <n v="272873"/>
    <s v="Ashit Biswas"/>
    <s v="Private Retailer"/>
    <s v="9064073378"/>
    <n v="8.7750000000000004"/>
    <n v="23"/>
    <x v="4"/>
    <m/>
    <s v="2026-04-04"/>
    <s v="259034"/>
    <s v="MS Guha And Co"/>
    <s v="8695359505"/>
  </r>
  <r>
    <s v="RCF Thal"/>
    <s v="N.C.Urea(45kg)"/>
    <s v="WB"/>
    <x v="15"/>
    <s v="Ranaghat - II"/>
    <s v="User Not Mapped"/>
    <s v="User Not Mapped"/>
    <s v="User Not Mapped"/>
    <n v="323575"/>
    <s v="Sukumar Ghsoh"/>
    <s v="Private Retailer"/>
    <s v="9732592744"/>
    <n v="9.99"/>
    <n v="20"/>
    <x v="4"/>
    <m/>
    <s v="2026-04-07"/>
    <s v="280729"/>
    <s v="M/s. Naresh Chandra Das"/>
    <s v="7365868045"/>
  </r>
  <r>
    <s v="RCF Import"/>
    <s v="MOP"/>
    <s v="WB"/>
    <x v="15"/>
    <s v="Ranaghat - II"/>
    <s v="User Not Mapped"/>
    <s v="User Not Mapped"/>
    <s v="User Not Mapped"/>
    <n v="323575"/>
    <s v="Sukumar Ghsoh"/>
    <s v="Private Retailer"/>
    <s v="9732592744"/>
    <n v="5"/>
    <n v="32"/>
    <x v="1"/>
    <m/>
    <s v="2026-03-26"/>
    <s v="280729"/>
    <s v="M/s. Naresh Chandra Das"/>
    <s v="7365868045"/>
  </r>
  <r>
    <s v="RCF Trombay"/>
    <s v="15-15-15"/>
    <s v="WB"/>
    <x v="15"/>
    <s v="Ranaghat - II"/>
    <s v="User Not Mapped"/>
    <s v="User Not Mapped"/>
    <s v="User Not Mapped"/>
    <n v="323575"/>
    <s v="Sukumar Ghsoh"/>
    <s v="Private Retailer"/>
    <s v="9732592744"/>
    <n v="0.5"/>
    <n v="59"/>
    <x v="1"/>
    <m/>
    <s v="2026-02-27"/>
    <s v="280729"/>
    <s v="M/s. Naresh Chandra Das"/>
    <s v="7365868045"/>
  </r>
  <r>
    <s v="RCF Trombay"/>
    <s v="15-15-15"/>
    <s v="WB"/>
    <x v="15"/>
    <s v="Ranaghat - II"/>
    <s v="User Not Mapped"/>
    <s v="User Not Mapped"/>
    <s v="User Not Mapped"/>
    <n v="340778"/>
    <s v="Amanul Tarafder"/>
    <s v="Private Retailer"/>
    <s v="9732662948"/>
    <n v="0.1"/>
    <n v="80"/>
    <x v="2"/>
    <m/>
    <s v="2026-02-06"/>
    <s v="260178"/>
    <s v="M/s. Uttamendu Sarkar"/>
    <s v="9002483836"/>
  </r>
  <r>
    <s v="RCF Import"/>
    <s v="MOP"/>
    <s v="WB"/>
    <x v="15"/>
    <s v="Ranaghat - II"/>
    <s v="User Not Mapped"/>
    <s v="User Not Mapped"/>
    <s v="User Not Mapped"/>
    <n v="340778"/>
    <s v="Amanul Tarafder"/>
    <s v="Private Retailer"/>
    <s v="9732662948"/>
    <n v="0.8"/>
    <n v="33"/>
    <x v="1"/>
    <m/>
    <s v="2026-03-25"/>
    <s v="260178"/>
    <s v="M/s. Uttamendu Sarkar"/>
    <s v="9002483836"/>
  </r>
  <r>
    <s v="RCF Import"/>
    <s v="MOP"/>
    <s v="WB"/>
    <x v="15"/>
    <s v="Ranaghat - II"/>
    <s v="User Not Mapped"/>
    <s v="User Not Mapped"/>
    <s v="User Not Mapped"/>
    <n v="340889"/>
    <s v="Arup Mitra"/>
    <s v="Private Retailer"/>
    <s v="7432840259"/>
    <n v="2.6"/>
    <n v="62"/>
    <x v="2"/>
    <m/>
    <s v="2026-02-24"/>
    <s v="260177"/>
    <s v="SatyaRanjan Kundu and Brothers"/>
    <s v="7908186730"/>
  </r>
  <r>
    <s v="RCF Thal"/>
    <s v="N.C.Urea(45kg)"/>
    <s v="WB"/>
    <x v="15"/>
    <s v="Ranaghat - II"/>
    <s v="User Not Mapped"/>
    <s v="User Not Mapped"/>
    <s v="User Not Mapped"/>
    <n v="340889"/>
    <s v="Arup Mitra"/>
    <s v="Private Retailer"/>
    <s v="7432840259"/>
    <n v="10.395"/>
    <n v="45"/>
    <x v="1"/>
    <m/>
    <s v="2026-03-13"/>
    <s v="260177"/>
    <s v="SatyaRanjan Kundu and Brothers"/>
    <s v="7908186730"/>
  </r>
  <r>
    <s v="RCF Import"/>
    <s v="MOP"/>
    <s v="WB"/>
    <x v="15"/>
    <s v="Ranaghat - II"/>
    <s v="User Not Mapped"/>
    <s v="User Not Mapped"/>
    <s v="User Not Mapped"/>
    <n v="341021"/>
    <s v="Das Fertilizers"/>
    <s v="Private Retailer"/>
    <s v="9775046879"/>
    <n v="5"/>
    <n v="62"/>
    <x v="2"/>
    <m/>
    <s v="2026-02-24"/>
    <s v="260177"/>
    <s v="SatyaRanjan Kundu and Brothers"/>
    <s v="7908186730"/>
  </r>
  <r>
    <s v="RCF Import"/>
    <s v="Imp 10-26-26"/>
    <s v="WB"/>
    <x v="15"/>
    <s v="Ranaghat - II"/>
    <s v="User Not Mapped"/>
    <s v="User Not Mapped"/>
    <s v="User Not Mapped"/>
    <n v="341109"/>
    <s v="M/S MIRA FERTILIZER"/>
    <s v="Private Retailer"/>
    <s v="9734380090"/>
    <n v="20"/>
    <n v="61"/>
    <x v="2"/>
    <m/>
    <s v="2026-02-25"/>
    <s v="260178"/>
    <s v="M/s. Uttamendu Sarkar"/>
    <s v="9002483836"/>
  </r>
  <r>
    <s v="RCF Import"/>
    <s v="MOP"/>
    <s v="WB"/>
    <x v="15"/>
    <s v="Ranaghat - II"/>
    <s v="User Not Mapped"/>
    <s v="User Not Mapped"/>
    <s v="User Not Mapped"/>
    <n v="341109"/>
    <s v="M/S MIRA FERTILIZER"/>
    <s v="Private Retailer"/>
    <s v="9734380090"/>
    <n v="10"/>
    <n v="65"/>
    <x v="2"/>
    <m/>
    <s v="2026-02-21"/>
    <s v="260178"/>
    <s v="M/s. Uttamendu Sarkar"/>
    <s v="9002483836"/>
  </r>
  <r>
    <s v="RCF Trombay"/>
    <s v="N.C.Urea(45kg)"/>
    <s v="WB"/>
    <x v="15"/>
    <s v="Ranaghat - II"/>
    <s v="User Not Mapped"/>
    <s v="User Not Mapped"/>
    <s v="User Not Mapped"/>
    <n v="341109"/>
    <s v="M/S MIRA FERTILIZER"/>
    <s v="Private Retailer"/>
    <s v="9734380090"/>
    <n v="4.9950000000000001"/>
    <n v="150"/>
    <x v="0"/>
    <m/>
    <s v="2025-11-28"/>
    <s v="260178"/>
    <s v="M/s. Uttamendu Sarkar"/>
    <s v="9002483836"/>
  </r>
  <r>
    <s v="RCF Trombay"/>
    <s v="15-15-15"/>
    <s v="WB"/>
    <x v="15"/>
    <s v="Ranaghat - II"/>
    <s v="User Not Mapped"/>
    <s v="User Not Mapped"/>
    <s v="User Not Mapped"/>
    <n v="341109"/>
    <s v="M/S MIRA FERTILIZER"/>
    <s v="Private Retailer"/>
    <s v="9734380090"/>
    <n v="3.05"/>
    <n v="62"/>
    <x v="2"/>
    <m/>
    <s v="2026-02-24"/>
    <s v="260178"/>
    <s v="M/s. Uttamendu Sarkar"/>
    <s v="9002483836"/>
  </r>
  <r>
    <s v="RCF Thal"/>
    <s v="N.C.Urea(45kg)"/>
    <s v="WB"/>
    <x v="15"/>
    <s v="Ranaghat - II"/>
    <s v="User Not Mapped"/>
    <s v="User Not Mapped"/>
    <s v="User Not Mapped"/>
    <n v="341109"/>
    <s v="M/S MIRA FERTILIZER"/>
    <s v="Private Retailer"/>
    <s v="9734380090"/>
    <n v="10.98"/>
    <n v="48"/>
    <x v="1"/>
    <m/>
    <s v="2026-03-10"/>
    <s v="260178"/>
    <s v="M/s. Uttamendu Sarkar"/>
    <s v="9002483836"/>
  </r>
  <r>
    <s v="RCF Import"/>
    <s v="Imp 10-26-26"/>
    <s v="WB"/>
    <x v="15"/>
    <s v="Ranaghat - II"/>
    <s v="User Not Mapped"/>
    <s v="User Not Mapped"/>
    <s v="User Not Mapped"/>
    <n v="341340"/>
    <s v="Fazlur Rahaman Mondal"/>
    <s v="Private Retailer"/>
    <s v="9732560725"/>
    <n v="6"/>
    <n v="61"/>
    <x v="2"/>
    <m/>
    <s v="2026-02-25"/>
    <s v="260178"/>
    <s v="M/s. Uttamendu Sarkar"/>
    <s v="9002483836"/>
  </r>
  <r>
    <s v="RCF Trombay"/>
    <s v="15-15-15"/>
    <s v="WB"/>
    <x v="15"/>
    <s v="Ranaghat - II"/>
    <s v="User Not Mapped"/>
    <s v="User Not Mapped"/>
    <s v="User Not Mapped"/>
    <n v="341340"/>
    <s v="Fazlur Rahaman Mondal"/>
    <s v="Private Retailer"/>
    <s v="9732560725"/>
    <n v="2.0499999999999998"/>
    <n v="90"/>
    <x v="2"/>
    <m/>
    <s v="2026-01-27"/>
    <s v="260178"/>
    <s v="M/s. Uttamendu Sarkar"/>
    <s v="9002483836"/>
  </r>
  <r>
    <s v="RCF Thal"/>
    <s v="N.C.Urea(45kg)"/>
    <s v="WB"/>
    <x v="15"/>
    <s v="Ranaghat - II"/>
    <s v="User Not Mapped"/>
    <s v="User Not Mapped"/>
    <s v="User Not Mapped"/>
    <n v="341340"/>
    <s v="Fazlur Rahaman Mondal"/>
    <s v="Private Retailer"/>
    <s v="9732560725"/>
    <n v="9.6300000000000008"/>
    <n v="20"/>
    <x v="4"/>
    <m/>
    <s v="2026-04-07"/>
    <s v="260178"/>
    <s v="M/s. Uttamendu Sarkar"/>
    <s v="9002483836"/>
  </r>
  <r>
    <s v="RCF Import"/>
    <s v="MOP"/>
    <s v="WB"/>
    <x v="15"/>
    <s v="Ranaghat - II"/>
    <s v="User Not Mapped"/>
    <s v="User Not Mapped"/>
    <s v="User Not Mapped"/>
    <n v="341340"/>
    <s v="Fazlur Rahaman Mondal"/>
    <s v="Private Retailer"/>
    <s v="9732560725"/>
    <n v="4.75"/>
    <n v="65"/>
    <x v="2"/>
    <m/>
    <s v="2026-02-21"/>
    <s v="260178"/>
    <s v="M/s. Uttamendu Sarkar"/>
    <s v="9002483836"/>
  </r>
  <r>
    <s v="RCF Trombay"/>
    <s v="N.C.Urea(45kg)"/>
    <s v="WB"/>
    <x v="15"/>
    <s v="Ranaghat - II"/>
    <s v="User Not Mapped"/>
    <s v="User Not Mapped"/>
    <s v="User Not Mapped"/>
    <n v="341340"/>
    <s v="Fazlur Rahaman Mondal"/>
    <s v="Private Retailer"/>
    <s v="9732560725"/>
    <n v="2.4750000000000001"/>
    <n v="62"/>
    <x v="2"/>
    <m/>
    <s v="2026-02-24"/>
    <s v="260178"/>
    <s v="M/s. Uttamendu Sarkar"/>
    <s v="9002483836"/>
  </r>
  <r>
    <s v="RCF Trombay"/>
    <s v="15-15-15"/>
    <s v="WB"/>
    <x v="15"/>
    <s v="Ranaghat - II"/>
    <s v="User Not Mapped"/>
    <s v="User Not Mapped"/>
    <s v="User Not Mapped"/>
    <n v="341367"/>
    <s v="Girindra Nath Saha"/>
    <s v="Private Retailer"/>
    <s v="6296945903"/>
    <n v="0.5"/>
    <n v="187"/>
    <x v="3"/>
    <m/>
    <s v="2025-10-22"/>
    <s v="280732"/>
    <s v="M/S-MADHUSUDAN GHOSH"/>
    <s v="9434823432"/>
  </r>
  <r>
    <s v="RCF Trombay"/>
    <s v="N.C.Urea(45kg)"/>
    <s v="WB"/>
    <x v="15"/>
    <s v="Ranaghat - II"/>
    <s v="User Not Mapped"/>
    <s v="User Not Mapped"/>
    <s v="User Not Mapped"/>
    <n v="341367"/>
    <s v="Girindra Nath Saha"/>
    <s v="Private Retailer"/>
    <s v="6296945903"/>
    <n v="1.53"/>
    <n v="135"/>
    <x v="0"/>
    <m/>
    <s v="2025-12-13"/>
    <s v="280732"/>
    <s v="M/S-MADHUSUDAN GHOSH"/>
    <s v="9434823432"/>
  </r>
  <r>
    <s v="RCF Trombay"/>
    <s v="15-15-15"/>
    <s v="WB"/>
    <x v="15"/>
    <s v="Ranaghat - II"/>
    <s v="User Not Mapped"/>
    <s v="User Not Mapped"/>
    <s v="User Not Mapped"/>
    <n v="341367"/>
    <s v="Girindra Nath Saha"/>
    <s v="Private Retailer"/>
    <s v="6296945903"/>
    <n v="2"/>
    <n v="135"/>
    <x v="0"/>
    <m/>
    <s v="2025-12-13"/>
    <s v="280732"/>
    <s v="M/S-MADHUSUDAN GHOSH"/>
    <s v="9434823432"/>
  </r>
  <r>
    <s v="RCF Trombay"/>
    <s v="N.C.Urea(45kg)"/>
    <s v="WB"/>
    <x v="15"/>
    <s v="Ranaghat - II"/>
    <s v="User Not Mapped"/>
    <s v="User Not Mapped"/>
    <s v="User Not Mapped"/>
    <n v="341406"/>
    <s v="Gopinath Kundu"/>
    <s v="Private Retailer"/>
    <s v="9734074810"/>
    <n v="2.97"/>
    <n v="146"/>
    <x v="0"/>
    <m/>
    <s v="2025-12-02"/>
    <s v="260177"/>
    <s v="SatyaRanjan Kundu and Brothers"/>
    <s v="7908186730"/>
  </r>
  <r>
    <s v="RCF Import"/>
    <s v="MOP"/>
    <s v="WB"/>
    <x v="15"/>
    <s v="Ranaghat - II"/>
    <s v="User Not Mapped"/>
    <s v="User Not Mapped"/>
    <s v="User Not Mapped"/>
    <n v="341406"/>
    <s v="Gopinath Kundu"/>
    <s v="Private Retailer"/>
    <s v="9734074810"/>
    <n v="1.45"/>
    <n v="62"/>
    <x v="2"/>
    <m/>
    <s v="2026-02-24"/>
    <s v="260177"/>
    <s v="SatyaRanjan Kundu and Brothers"/>
    <s v="7908186730"/>
  </r>
  <r>
    <s v="RCF Thal"/>
    <s v="N.C.Urea(45kg)"/>
    <s v="WB"/>
    <x v="15"/>
    <s v="Ranaghat - II"/>
    <s v="User Not Mapped"/>
    <s v="User Not Mapped"/>
    <s v="User Not Mapped"/>
    <n v="341406"/>
    <s v="Gopinath Kundu"/>
    <s v="Private Retailer"/>
    <s v="9734074810"/>
    <n v="10.98"/>
    <n v="45"/>
    <x v="1"/>
    <m/>
    <s v="2026-03-13"/>
    <s v="260177"/>
    <s v="SatyaRanjan Kundu and Brothers"/>
    <s v="7908186730"/>
  </r>
  <r>
    <s v="RCF Trombay"/>
    <s v="15-15-15"/>
    <s v="WB"/>
    <x v="15"/>
    <s v="Ranaghat - II"/>
    <s v="User Not Mapped"/>
    <s v="User Not Mapped"/>
    <s v="User Not Mapped"/>
    <n v="341406"/>
    <s v="Gopinath Kundu"/>
    <s v="Private Retailer"/>
    <s v="9734074810"/>
    <n v="5"/>
    <n v="59"/>
    <x v="1"/>
    <m/>
    <s v="2026-02-27"/>
    <s v="260177"/>
    <s v="SatyaRanjan Kundu and Brothers"/>
    <s v="7908186730"/>
  </r>
  <r>
    <s v="RCF Thal"/>
    <s v="N.C.Urea(45kg)"/>
    <s v="WB"/>
    <x v="15"/>
    <s v="Ranaghat - II"/>
    <s v="User Not Mapped"/>
    <s v="User Not Mapped"/>
    <s v="User Not Mapped"/>
    <n v="341406"/>
    <s v="Gopinath Kundu"/>
    <s v="Private Retailer"/>
    <s v="9734074810"/>
    <n v="10.98"/>
    <n v="41"/>
    <x v="1"/>
    <m/>
    <s v="2026-03-17"/>
    <s v="260179"/>
    <s v="Tarun Kumar Saha"/>
    <s v="8116312974"/>
  </r>
  <r>
    <s v="RCF Trombay"/>
    <s v="N.C.Urea(45kg)"/>
    <s v="WB"/>
    <x v="15"/>
    <s v="Ranaghat - II"/>
    <s v="User Not Mapped"/>
    <s v="User Not Mapped"/>
    <s v="User Not Mapped"/>
    <n v="341406"/>
    <s v="Gopinath Kundu"/>
    <s v="Private Retailer"/>
    <s v="9734074810"/>
    <n v="4.9950000000000001"/>
    <n v="63"/>
    <x v="2"/>
    <m/>
    <s v="2026-02-23"/>
    <s v="260179"/>
    <s v="Tarun Kumar Saha"/>
    <s v="8116312974"/>
  </r>
  <r>
    <s v="RCF Trombay"/>
    <s v="15-15-15"/>
    <s v="WB"/>
    <x v="15"/>
    <s v="Ranaghat - II"/>
    <s v="User Not Mapped"/>
    <s v="User Not Mapped"/>
    <s v="User Not Mapped"/>
    <n v="341406"/>
    <s v="Gopinath Kundu"/>
    <s v="Private Retailer"/>
    <s v="9734074810"/>
    <n v="10"/>
    <n v="63"/>
    <x v="2"/>
    <m/>
    <s v="2026-02-23"/>
    <s v="260179"/>
    <s v="Tarun Kumar Saha"/>
    <s v="8116312974"/>
  </r>
  <r>
    <s v="RCF Thal"/>
    <s v="N.C.Urea(45kg)"/>
    <s v="WB"/>
    <x v="15"/>
    <s v="Ranaghat - II"/>
    <s v="User Not Mapped"/>
    <s v="User Not Mapped"/>
    <s v="User Not Mapped"/>
    <n v="341406"/>
    <s v="Gopinath Kundu"/>
    <s v="Private Retailer"/>
    <s v="9734074810"/>
    <n v="3.6"/>
    <n v="27"/>
    <x v="4"/>
    <m/>
    <s v="2026-03-31"/>
    <s v="259034"/>
    <s v="MS Guha And Co"/>
    <s v="8695359505"/>
  </r>
  <r>
    <s v="RCF Trombay"/>
    <s v="15-15-15"/>
    <s v="WB"/>
    <x v="15"/>
    <s v="Ranaghat - II"/>
    <s v="User Not Mapped"/>
    <s v="User Not Mapped"/>
    <s v="User Not Mapped"/>
    <n v="341406"/>
    <s v="Gopinath Kundu"/>
    <s v="Private Retailer"/>
    <s v="9734074810"/>
    <n v="9.5500000000000007"/>
    <n v="74"/>
    <x v="2"/>
    <m/>
    <s v="2026-02-12"/>
    <s v="1210862"/>
    <s v="S.S.P ENTERPRISE"/>
    <s v="9635197281"/>
  </r>
  <r>
    <s v="RCF Import"/>
    <s v="MOP"/>
    <s v="WB"/>
    <x v="15"/>
    <s v="Ranaghat - II"/>
    <s v="User Not Mapped"/>
    <s v="User Not Mapped"/>
    <s v="User Not Mapped"/>
    <n v="341406"/>
    <s v="Gopinath Kundu"/>
    <s v="Private Retailer"/>
    <s v="9734074810"/>
    <n v="5"/>
    <n v="58"/>
    <x v="1"/>
    <m/>
    <s v="2026-02-28"/>
    <s v="1210862"/>
    <s v="S.S.P ENTERPRISE"/>
    <s v="9635197281"/>
  </r>
  <r>
    <s v="RCF Trombay"/>
    <s v="N.C.Urea(45kg)"/>
    <s v="WB"/>
    <x v="15"/>
    <s v="Ranaghat - II"/>
    <s v="User Not Mapped"/>
    <s v="User Not Mapped"/>
    <s v="User Not Mapped"/>
    <n v="341481"/>
    <s v="Hemanta Nath"/>
    <s v="Private Retailer"/>
    <s v="7865052947"/>
    <n v="0.27"/>
    <n v="2154"/>
    <x v="7"/>
    <m/>
    <s v="2020-06-03"/>
    <s v="280913"/>
    <s v="S.S.P Enterprise"/>
    <s v="9732669190"/>
  </r>
  <r>
    <s v="RCF Trombay"/>
    <s v="15-15-15"/>
    <s v="WB"/>
    <x v="15"/>
    <s v="Ranaghat - II"/>
    <s v="User Not Mapped"/>
    <s v="User Not Mapped"/>
    <s v="User Not Mapped"/>
    <n v="341481"/>
    <s v="Hemanta Nath"/>
    <s v="Private Retailer"/>
    <s v="7865052947"/>
    <n v="0.05"/>
    <n v="2245"/>
    <x v="7"/>
    <m/>
    <s v="2020-03-04"/>
    <s v="952447"/>
    <s v="DEBNATH FERTILIZER"/>
    <s v="9434148418"/>
  </r>
  <r>
    <s v="RCF Thal"/>
    <s v="N.C.Urea(45kg)"/>
    <s v="WB"/>
    <x v="15"/>
    <s v="Ranaghat - II"/>
    <s v="User Not Mapped"/>
    <s v="User Not Mapped"/>
    <s v="User Not Mapped"/>
    <n v="341481"/>
    <s v="Hemanta Nath"/>
    <s v="Private Retailer"/>
    <s v="7865052947"/>
    <n v="0.36"/>
    <n v="2245"/>
    <x v="7"/>
    <m/>
    <s v="2020-03-04"/>
    <s v="952447"/>
    <s v="DEBNATH FERTILIZER"/>
    <s v="9434148418"/>
  </r>
  <r>
    <s v="RCF Trombay"/>
    <s v="15-15-15"/>
    <s v="WB"/>
    <x v="15"/>
    <s v="Ranaghat - II"/>
    <s v="User Not Mapped"/>
    <s v="User Not Mapped"/>
    <s v="User Not Mapped"/>
    <n v="341481"/>
    <s v="Hemanta Nath"/>
    <s v="Private Retailer"/>
    <s v="7865052947"/>
    <n v="0.25"/>
    <n v="2236"/>
    <x v="7"/>
    <m/>
    <s v="2020-03-13"/>
    <s v="952447"/>
    <s v="DEBNATH FERTILIZER"/>
    <s v="9434148418"/>
  </r>
  <r>
    <s v="RCF Thal"/>
    <s v="N.C.Urea(45kg)"/>
    <s v="WB"/>
    <x v="15"/>
    <s v="Ranaghat - II"/>
    <s v="User Not Mapped"/>
    <s v="User Not Mapped"/>
    <s v="User Not Mapped"/>
    <n v="341487"/>
    <s v="Hasen Ali Mondal"/>
    <s v="Private Retailer"/>
    <s v="9434551524"/>
    <n v="0.18"/>
    <n v="43"/>
    <x v="1"/>
    <m/>
    <s v="2026-03-15"/>
    <s v="281285"/>
    <s v="Bhabani Prosad Chattopadhy"/>
    <s v="7548026544"/>
  </r>
  <r>
    <s v="RCF Import"/>
    <s v="Imp 10-26-26"/>
    <s v="WB"/>
    <x v="15"/>
    <s v="Ranaghat - II"/>
    <s v="User Not Mapped"/>
    <s v="User Not Mapped"/>
    <s v="User Not Mapped"/>
    <n v="341487"/>
    <s v="Hasen Ali Mondal"/>
    <s v="Private Retailer"/>
    <s v="9434551524"/>
    <n v="0.15"/>
    <n v="23"/>
    <x v="4"/>
    <m/>
    <s v="2026-04-04"/>
    <s v="281285"/>
    <s v="Bhabani Prosad Chattopadhy"/>
    <s v="7548026544"/>
  </r>
  <r>
    <s v="RCF Trombay"/>
    <s v="N.C.Urea(45kg)"/>
    <s v="WB"/>
    <x v="15"/>
    <s v="Ranaghat - II"/>
    <s v="User Not Mapped"/>
    <s v="User Not Mapped"/>
    <s v="User Not Mapped"/>
    <n v="341487"/>
    <s v="Hasen Ali Mondal"/>
    <s v="Private Retailer"/>
    <s v="9434551524"/>
    <n v="8.1000000000000003E-2"/>
    <n v="57"/>
    <x v="1"/>
    <m/>
    <s v="2026-03-01"/>
    <s v="281285"/>
    <s v="Bhabani Prosad Chattopadhy"/>
    <s v="7548026544"/>
  </r>
  <r>
    <s v="RCF Trombay"/>
    <s v="15-15-15"/>
    <s v="WB"/>
    <x v="15"/>
    <s v="Ranaghat - II"/>
    <s v="User Not Mapped"/>
    <s v="User Not Mapped"/>
    <s v="User Not Mapped"/>
    <n v="341487"/>
    <s v="Hasen Ali Mondal"/>
    <s v="Private Retailer"/>
    <s v="9434551524"/>
    <n v="0.1"/>
    <n v="57"/>
    <x v="1"/>
    <m/>
    <s v="2026-03-01"/>
    <s v="281285"/>
    <s v="Bhabani Prosad Chattopadhy"/>
    <s v="7548026544"/>
  </r>
  <r>
    <s v="RCF Import"/>
    <s v="Imp 10-26-26"/>
    <s v="WB"/>
    <x v="15"/>
    <s v="Ranaghat - II"/>
    <s v="User Not Mapped"/>
    <s v="User Not Mapped"/>
    <s v="User Not Mapped"/>
    <n v="341487"/>
    <s v="Hasen Ali Mondal"/>
    <s v="Private Retailer"/>
    <s v="9434551524"/>
    <n v="0.1"/>
    <n v="57"/>
    <x v="1"/>
    <m/>
    <s v="2026-03-01"/>
    <s v="281285"/>
    <s v="Bhabani Prosad Chattopadhy"/>
    <s v="7548026544"/>
  </r>
  <r>
    <s v="RCF Import"/>
    <s v="MOP"/>
    <s v="WB"/>
    <x v="15"/>
    <s v="Ranaghat - II"/>
    <s v="User Not Mapped"/>
    <s v="User Not Mapped"/>
    <s v="User Not Mapped"/>
    <n v="341487"/>
    <s v="Hasen Ali Mondal"/>
    <s v="Private Retailer"/>
    <s v="9434551524"/>
    <n v="0.1"/>
    <n v="57"/>
    <x v="1"/>
    <m/>
    <s v="2026-03-01"/>
    <s v="281285"/>
    <s v="Bhabani Prosad Chattopadhy"/>
    <s v="7548026544"/>
  </r>
  <r>
    <s v="RCF Trombay"/>
    <s v="N.C.Urea(45kg)"/>
    <s v="WB"/>
    <x v="15"/>
    <s v="Ranaghat - II"/>
    <s v="User Not Mapped"/>
    <s v="User Not Mapped"/>
    <s v="User Not Mapped"/>
    <n v="341557"/>
    <s v="Joydeb Paul"/>
    <s v="Private Retailer"/>
    <s v="9735234671"/>
    <n v="5.0000000000000001E-3"/>
    <n v="82"/>
    <x v="2"/>
    <m/>
    <s v="2026-02-04"/>
    <s v="281285"/>
    <s v="Bhabani Prosad Chattopadhy"/>
    <s v="7548026544"/>
  </r>
  <r>
    <s v="RCF Trombay"/>
    <s v="15-15-15"/>
    <s v="WB"/>
    <x v="15"/>
    <s v="Ranaghat - II"/>
    <s v="User Not Mapped"/>
    <s v="User Not Mapped"/>
    <s v="User Not Mapped"/>
    <n v="341557"/>
    <s v="Joydeb Paul"/>
    <s v="Private Retailer"/>
    <s v="9735234671"/>
    <n v="0.13"/>
    <n v="82"/>
    <x v="2"/>
    <m/>
    <s v="2026-02-04"/>
    <s v="281285"/>
    <s v="Bhabani Prosad Chattopadhy"/>
    <s v="7548026544"/>
  </r>
  <r>
    <s v="RCF Import"/>
    <s v="Imp 10-26-26"/>
    <s v="WB"/>
    <x v="15"/>
    <s v="Ranaghat - II"/>
    <s v="User Not Mapped"/>
    <s v="User Not Mapped"/>
    <s v="User Not Mapped"/>
    <n v="341832"/>
    <s v="Manindra Chandra Sil"/>
    <s v="Private Retailer"/>
    <s v="9333375933"/>
    <n v="0.25"/>
    <n v="45"/>
    <x v="1"/>
    <m/>
    <s v="2026-03-13"/>
    <s v="281285"/>
    <s v="Bhabani Prosad Chattopadhy"/>
    <s v="7548026544"/>
  </r>
  <r>
    <s v="RCF Trombay"/>
    <s v="15-15-15"/>
    <s v="WB"/>
    <x v="15"/>
    <s v="Ranaghat - II"/>
    <s v="User Not Mapped"/>
    <s v="User Not Mapped"/>
    <s v="User Not Mapped"/>
    <n v="341832"/>
    <s v="Manindra Chandra Sil"/>
    <s v="Private Retailer"/>
    <s v="9333375933"/>
    <n v="0.45"/>
    <n v="22"/>
    <x v="4"/>
    <m/>
    <s v="2026-04-05"/>
    <s v="281285"/>
    <s v="Bhabani Prosad Chattopadhy"/>
    <s v="7548026544"/>
  </r>
  <r>
    <s v="RCF Import"/>
    <s v="Imp 10-26-26"/>
    <s v="WB"/>
    <x v="15"/>
    <s v="Ranaghat - II"/>
    <s v="User Not Mapped"/>
    <s v="User Not Mapped"/>
    <s v="User Not Mapped"/>
    <n v="341832"/>
    <s v="Manindra Chandra Sil"/>
    <s v="Private Retailer"/>
    <s v="9333375933"/>
    <n v="0.5"/>
    <n v="24"/>
    <x v="4"/>
    <m/>
    <s v="2026-04-03"/>
    <s v="281285"/>
    <s v="Bhabani Prosad Chattopadhy"/>
    <s v="7548026544"/>
  </r>
  <r>
    <s v="RCF Trombay"/>
    <s v="N.C.Urea(45kg)"/>
    <s v="WB"/>
    <x v="15"/>
    <s v="Ranaghat - II"/>
    <s v="User Not Mapped"/>
    <s v="User Not Mapped"/>
    <s v="User Not Mapped"/>
    <n v="341832"/>
    <s v="Manindra Chandra Sil"/>
    <s v="Private Retailer"/>
    <s v="9333375933"/>
    <n v="0.45"/>
    <n v="89"/>
    <x v="2"/>
    <m/>
    <s v="2026-01-28"/>
    <s v="281285"/>
    <s v="Bhabani Prosad Chattopadhy"/>
    <s v="7548026544"/>
  </r>
  <r>
    <s v="RCF Trombay"/>
    <s v="N.C.Urea(45kg)"/>
    <s v="WB"/>
    <x v="15"/>
    <s v="Ranaghat - II"/>
    <s v="User Not Mapped"/>
    <s v="User Not Mapped"/>
    <s v="User Not Mapped"/>
    <n v="341832"/>
    <s v="Manindra Chandra Sil"/>
    <s v="Private Retailer"/>
    <s v="9333375933"/>
    <n v="0.09"/>
    <n v="178"/>
    <x v="0"/>
    <m/>
    <s v="2025-10-31"/>
    <s v="281285"/>
    <s v="Bhabani Prosad Chattopadhy"/>
    <s v="7548026544"/>
  </r>
  <r>
    <s v="RCF Import"/>
    <s v="MOP"/>
    <s v="WB"/>
    <x v="15"/>
    <s v="Ranaghat - II"/>
    <s v="User Not Mapped"/>
    <s v="User Not Mapped"/>
    <s v="User Not Mapped"/>
    <n v="341832"/>
    <s v="Manindra Chandra Sil"/>
    <s v="Private Retailer"/>
    <s v="9333375933"/>
    <n v="0.35"/>
    <n v="24"/>
    <x v="4"/>
    <m/>
    <s v="2026-04-03"/>
    <s v="281285"/>
    <s v="Bhabani Prosad Chattopadhy"/>
    <s v="7548026544"/>
  </r>
  <r>
    <s v="RCF Trombay"/>
    <s v="N.C.Urea(45kg)"/>
    <s v="WB"/>
    <x v="15"/>
    <s v="Ranaghat - II"/>
    <s v="User Not Mapped"/>
    <s v="User Not Mapped"/>
    <s v="User Not Mapped"/>
    <n v="341832"/>
    <s v="Manindra Chandra Sil"/>
    <s v="Private Retailer"/>
    <s v="9333375933"/>
    <n v="0.45"/>
    <n v="135"/>
    <x v="0"/>
    <m/>
    <s v="2025-12-13"/>
    <s v="281285"/>
    <s v="Bhabani Prosad Chattopadhy"/>
    <s v="7548026544"/>
  </r>
  <r>
    <s v="RCF Import"/>
    <s v="Imp 10-26-26"/>
    <s v="WB"/>
    <x v="15"/>
    <s v="Ranaghat - II"/>
    <s v="User Not Mapped"/>
    <s v="User Not Mapped"/>
    <s v="User Not Mapped"/>
    <n v="341832"/>
    <s v="Manindra Chandra Sil"/>
    <s v="Private Retailer"/>
    <s v="9333375933"/>
    <n v="0.25"/>
    <n v="36"/>
    <x v="1"/>
    <m/>
    <s v="2026-03-22"/>
    <s v="281285"/>
    <s v="Bhabani Prosad Chattopadhy"/>
    <s v="7548026544"/>
  </r>
  <r>
    <s v="RCF Import"/>
    <s v="MOP"/>
    <s v="WB"/>
    <x v="15"/>
    <s v="Ranaghat - II"/>
    <s v="User Not Mapped"/>
    <s v="User Not Mapped"/>
    <s v="User Not Mapped"/>
    <n v="342037"/>
    <s v="Narayan Biswas"/>
    <s v="Private Retailer"/>
    <s v="9732759302"/>
    <n v="5"/>
    <n v="10"/>
    <x v="4"/>
    <m/>
    <s v="2026-04-17"/>
    <s v="280729"/>
    <s v="M/s. Naresh Chandra Das"/>
    <s v="7365868045"/>
  </r>
  <r>
    <s v="RCF Trombay"/>
    <s v="15-15-15"/>
    <s v="WB"/>
    <x v="15"/>
    <s v="Ranaghat - II"/>
    <s v="User Not Mapped"/>
    <s v="User Not Mapped"/>
    <s v="User Not Mapped"/>
    <n v="342037"/>
    <s v="Narayan Biswas"/>
    <s v="Private Retailer"/>
    <s v="9732759302"/>
    <n v="0.2"/>
    <n v="91"/>
    <x v="5"/>
    <m/>
    <s v="2026-01-26"/>
    <s v="280729"/>
    <s v="M/s. Naresh Chandra Das"/>
    <s v="7365868045"/>
  </r>
  <r>
    <s v="RCF Trombay"/>
    <s v="N.C.Urea(45kg)"/>
    <s v="WB"/>
    <x v="15"/>
    <s v="Ranaghat - II"/>
    <s v="User Not Mapped"/>
    <s v="User Not Mapped"/>
    <s v="User Not Mapped"/>
    <n v="342037"/>
    <s v="Narayan Biswas"/>
    <s v="Private Retailer"/>
    <s v="9732759302"/>
    <n v="5.22"/>
    <n v="38"/>
    <x v="1"/>
    <m/>
    <s v="2026-03-20"/>
    <s v="280729"/>
    <s v="M/s. Naresh Chandra Das"/>
    <s v="7365868045"/>
  </r>
  <r>
    <s v="RCF Thal"/>
    <s v="N.C.Urea(45kg)"/>
    <s v="WB"/>
    <x v="15"/>
    <s v="Ranaghat - II"/>
    <s v="User Not Mapped"/>
    <s v="User Not Mapped"/>
    <s v="User Not Mapped"/>
    <n v="342068"/>
    <s v="Netai Chandra Kundu"/>
    <s v="Private Retailer"/>
    <s v="9732857157"/>
    <n v="4.3650000000000002"/>
    <n v="23"/>
    <x v="4"/>
    <m/>
    <s v="2026-04-04"/>
    <s v="259034"/>
    <s v="MS Guha And Co"/>
    <s v="8695359505"/>
  </r>
  <r>
    <s v="RCF Trombay"/>
    <s v="15-15-15"/>
    <s v="WB"/>
    <x v="15"/>
    <s v="Ranaghat - II"/>
    <s v="User Not Mapped"/>
    <s v="User Not Mapped"/>
    <s v="User Not Mapped"/>
    <n v="342068"/>
    <s v="Netai Chandra Kundu"/>
    <s v="Private Retailer"/>
    <s v="9732857157"/>
    <n v="2.4"/>
    <n v="65"/>
    <x v="2"/>
    <m/>
    <s v="2026-02-21"/>
    <s v="280913"/>
    <s v="S.S.P Enterprise"/>
    <s v="9732669190"/>
  </r>
  <r>
    <s v="RCF Trombay"/>
    <s v="15-15-15"/>
    <s v="WB"/>
    <x v="15"/>
    <s v="Ranaghat - II"/>
    <s v="User Not Mapped"/>
    <s v="User Not Mapped"/>
    <s v="User Not Mapped"/>
    <n v="342585"/>
    <s v="Ranjit Roy"/>
    <s v="Private Retailer"/>
    <s v="9832295890"/>
    <n v="5"/>
    <n v="13"/>
    <x v="4"/>
    <m/>
    <s v="2026-04-14"/>
    <s v="280729"/>
    <s v="M/s. Naresh Chandra Das"/>
    <s v="7365868045"/>
  </r>
  <r>
    <s v="RCF Import"/>
    <s v="MOP"/>
    <s v="WB"/>
    <x v="15"/>
    <s v="Ranaghat - II"/>
    <s v="User Not Mapped"/>
    <s v="User Not Mapped"/>
    <s v="User Not Mapped"/>
    <n v="342585"/>
    <s v="Ranjit Roy"/>
    <s v="Private Retailer"/>
    <s v="9832295890"/>
    <n v="1.25"/>
    <n v="44"/>
    <x v="1"/>
    <m/>
    <s v="2026-03-14"/>
    <s v="260178"/>
    <s v="M/s. Uttamendu Sarkar"/>
    <s v="9002483836"/>
  </r>
  <r>
    <s v="RCF Trombay"/>
    <s v="15-15-15"/>
    <s v="WB"/>
    <x v="15"/>
    <s v="Ranaghat - II"/>
    <s v="User Not Mapped"/>
    <s v="User Not Mapped"/>
    <s v="User Not Mapped"/>
    <n v="342585"/>
    <s v="Ranjit Roy"/>
    <s v="Private Retailer"/>
    <s v="9832295890"/>
    <n v="1.25"/>
    <n v="44"/>
    <x v="1"/>
    <m/>
    <s v="2026-03-14"/>
    <s v="260178"/>
    <s v="M/s. Uttamendu Sarkar"/>
    <s v="9002483836"/>
  </r>
  <r>
    <s v="RCF Trombay"/>
    <s v="15-15-15"/>
    <s v="WB"/>
    <x v="15"/>
    <s v="Ranaghat - II"/>
    <s v="User Not Mapped"/>
    <s v="User Not Mapped"/>
    <s v="User Not Mapped"/>
    <n v="342585"/>
    <s v="Ranjit Roy"/>
    <s v="Private Retailer"/>
    <s v="9832295890"/>
    <n v="4.6500000000000004"/>
    <n v="59"/>
    <x v="1"/>
    <m/>
    <s v="2026-02-27"/>
    <s v="260177"/>
    <s v="SatyaRanjan Kundu and Brothers"/>
    <s v="7908186730"/>
  </r>
  <r>
    <s v="RCF Trombay"/>
    <s v="N.C.Urea(45kg)"/>
    <s v="WB"/>
    <x v="15"/>
    <s v="Ranaghat - II"/>
    <s v="User Not Mapped"/>
    <s v="User Not Mapped"/>
    <s v="User Not Mapped"/>
    <n v="342585"/>
    <s v="Ranjit Roy"/>
    <s v="Private Retailer"/>
    <s v="9832295890"/>
    <n v="4.2300000000000004"/>
    <n v="59"/>
    <x v="1"/>
    <m/>
    <s v="2026-02-27"/>
    <s v="260177"/>
    <s v="SatyaRanjan Kundu and Brothers"/>
    <s v="7908186730"/>
  </r>
  <r>
    <s v="RCF Import"/>
    <s v="MOP"/>
    <s v="WB"/>
    <x v="15"/>
    <s v="Ranaghat - II"/>
    <s v="User Not Mapped"/>
    <s v="User Not Mapped"/>
    <s v="User Not Mapped"/>
    <n v="342644"/>
    <s v="Rajkumar Adhikary"/>
    <s v="Private Retailer"/>
    <s v="9732969630"/>
    <n v="5"/>
    <n v="65"/>
    <x v="2"/>
    <m/>
    <s v="2026-02-21"/>
    <s v="260178"/>
    <s v="M/s. Uttamendu Sarkar"/>
    <s v="9002483836"/>
  </r>
  <r>
    <s v="RCF Trombay"/>
    <s v="15-15-15"/>
    <s v="WB"/>
    <x v="15"/>
    <s v="Ranaghat - II"/>
    <s v="User Not Mapped"/>
    <s v="User Not Mapped"/>
    <s v="User Not Mapped"/>
    <n v="342644"/>
    <s v="Rajkumar Adhikary"/>
    <s v="Private Retailer"/>
    <s v="9732969630"/>
    <n v="1.75"/>
    <n v="62"/>
    <x v="2"/>
    <m/>
    <s v="2026-02-24"/>
    <s v="260178"/>
    <s v="M/s. Uttamendu Sarkar"/>
    <s v="9002483836"/>
  </r>
  <r>
    <s v="RCF Import"/>
    <s v="Imp 10-26-26"/>
    <s v="WB"/>
    <x v="15"/>
    <s v="Ranaghat - II"/>
    <s v="User Not Mapped"/>
    <s v="User Not Mapped"/>
    <s v="User Not Mapped"/>
    <n v="342644"/>
    <s v="Rajkumar Adhikary"/>
    <s v="Private Retailer"/>
    <s v="9732969630"/>
    <n v="4.5"/>
    <n v="61"/>
    <x v="2"/>
    <m/>
    <s v="2026-02-25"/>
    <s v="260178"/>
    <s v="M/s. Uttamendu Sarkar"/>
    <s v="9002483836"/>
  </r>
  <r>
    <s v="RCF Thal"/>
    <s v="N.C.Urea(45kg)"/>
    <s v="WB"/>
    <x v="15"/>
    <s v="Ranaghat - II"/>
    <s v="User Not Mapped"/>
    <s v="User Not Mapped"/>
    <s v="User Not Mapped"/>
    <n v="342692"/>
    <s v="Robiul Hassan Mondal"/>
    <s v="Private Retailer"/>
    <s v="9775265646"/>
    <n v="8.9550000000000001"/>
    <n v="223"/>
    <x v="3"/>
    <m/>
    <s v="2025-09-16"/>
    <s v="280729"/>
    <s v="M/s. Naresh Chandra Das"/>
    <s v="7365868045"/>
  </r>
  <r>
    <s v="RCF Trombay"/>
    <s v="15-15-15"/>
    <s v="WB"/>
    <x v="15"/>
    <s v="Ranaghat - II"/>
    <s v="User Not Mapped"/>
    <s v="User Not Mapped"/>
    <s v="User Not Mapped"/>
    <n v="342692"/>
    <s v="Robiul Hassan Mondal"/>
    <s v="Private Retailer"/>
    <s v="9775265646"/>
    <n v="3"/>
    <n v="27"/>
    <x v="4"/>
    <m/>
    <s v="2026-03-31"/>
    <s v="280732"/>
    <s v="M/S-MADHUSUDAN GHOSH"/>
    <s v="9434823432"/>
  </r>
  <r>
    <s v="RCF Import"/>
    <s v="MOP"/>
    <s v="WB"/>
    <x v="15"/>
    <s v="Ranaghat - II"/>
    <s v="User Not Mapped"/>
    <s v="User Not Mapped"/>
    <s v="User Not Mapped"/>
    <n v="354691"/>
    <s v="Amal Mitra"/>
    <s v="Private Retailer"/>
    <s v="8768260342"/>
    <n v="5"/>
    <n v="65"/>
    <x v="2"/>
    <m/>
    <s v="2026-02-21"/>
    <s v="260178"/>
    <s v="M/s. Uttamendu Sarkar"/>
    <s v="9002483836"/>
  </r>
  <r>
    <s v="RCF Thal"/>
    <s v="N.C.Urea(45kg)"/>
    <s v="WB"/>
    <x v="15"/>
    <s v="Ranaghat - II"/>
    <s v="User Not Mapped"/>
    <s v="User Not Mapped"/>
    <s v="User Not Mapped"/>
    <n v="354691"/>
    <s v="Amal Mitra"/>
    <s v="Private Retailer"/>
    <s v="8768260342"/>
    <n v="7.56"/>
    <n v="48"/>
    <x v="1"/>
    <m/>
    <s v="2026-03-10"/>
    <s v="260178"/>
    <s v="M/s. Uttamendu Sarkar"/>
    <s v="9002483836"/>
  </r>
  <r>
    <s v="RCF Trombay"/>
    <s v="15-15-15"/>
    <s v="WB"/>
    <x v="15"/>
    <s v="Ranaghat - II"/>
    <s v="User Not Mapped"/>
    <s v="User Not Mapped"/>
    <s v="User Not Mapped"/>
    <n v="354897"/>
    <s v="Dilip Ghosh"/>
    <s v="Private Retailer"/>
    <s v="7063265116"/>
    <n v="0.02"/>
    <n v="67"/>
    <x v="2"/>
    <m/>
    <s v="2026-02-19"/>
    <s v="280732"/>
    <s v="M/S-MADHUSUDAN GHOSH"/>
    <s v="9434823432"/>
  </r>
  <r>
    <s v="RCF Trombay"/>
    <s v="N.C.Urea(45kg)"/>
    <s v="WB"/>
    <x v="15"/>
    <s v="Ranaghat - II"/>
    <s v="User Not Mapped"/>
    <s v="User Not Mapped"/>
    <s v="User Not Mapped"/>
    <n v="356191"/>
    <s v="Saiful Tarafder"/>
    <s v="Private Retailer"/>
    <s v="9732461246"/>
    <n v="4.9950000000000001"/>
    <n v="59"/>
    <x v="1"/>
    <m/>
    <s v="2026-02-27"/>
    <s v="260177"/>
    <s v="SatyaRanjan Kundu and Brothers"/>
    <s v="7908186730"/>
  </r>
  <r>
    <s v="RCF Thal"/>
    <s v="N.C.Urea(45kg)"/>
    <s v="WB"/>
    <x v="15"/>
    <s v="Ranaghat - II"/>
    <s v="User Not Mapped"/>
    <s v="User Not Mapped"/>
    <s v="User Not Mapped"/>
    <n v="356191"/>
    <s v="Saiful Tarafder"/>
    <s v="Private Retailer"/>
    <s v="9732461246"/>
    <n v="10.98"/>
    <n v="45"/>
    <x v="1"/>
    <m/>
    <s v="2026-03-13"/>
    <s v="260177"/>
    <s v="SatyaRanjan Kundu and Brothers"/>
    <s v="7908186730"/>
  </r>
  <r>
    <s v="RCF Import"/>
    <s v="MOP"/>
    <s v="WB"/>
    <x v="15"/>
    <s v="Ranaghat - II"/>
    <s v="User Not Mapped"/>
    <s v="User Not Mapped"/>
    <s v="User Not Mapped"/>
    <n v="356191"/>
    <s v="Saiful Tarafder"/>
    <s v="Private Retailer"/>
    <s v="9732461246"/>
    <n v="10"/>
    <n v="62"/>
    <x v="2"/>
    <m/>
    <s v="2026-02-24"/>
    <s v="260177"/>
    <s v="SatyaRanjan Kundu and Brothers"/>
    <s v="7908186730"/>
  </r>
  <r>
    <s v="RCF Trombay"/>
    <s v="15-15-15"/>
    <s v="WB"/>
    <x v="15"/>
    <s v="Ranaghat - II"/>
    <s v="User Not Mapped"/>
    <s v="User Not Mapped"/>
    <s v="User Not Mapped"/>
    <n v="356220"/>
    <s v="Samir Kumar Biswas"/>
    <s v="Private Retailer"/>
    <s v="9733543605"/>
    <n v="0.63"/>
    <n v="93"/>
    <x v="5"/>
    <m/>
    <s v="2026-01-24"/>
    <s v="259034"/>
    <s v="MS Guha And Co"/>
    <s v="8695359505"/>
  </r>
  <r>
    <s v="RCF Import"/>
    <s v="Imp 10-26-26"/>
    <s v="WB"/>
    <x v="15"/>
    <s v="Ranaghat - II"/>
    <s v="User Not Mapped"/>
    <s v="User Not Mapped"/>
    <s v="User Not Mapped"/>
    <n v="412388"/>
    <s v="Umesh Biswas "/>
    <s v="Private Retailer"/>
    <s v="8145236575"/>
    <n v="2"/>
    <n v="228"/>
    <x v="3"/>
    <m/>
    <s v="2025-09-11"/>
    <s v="260210"/>
    <s v="Gouri Sankar Kundu            "/>
    <s v="9064539774"/>
  </r>
  <r>
    <s v="RCF Import"/>
    <s v="Imp 10-26-26"/>
    <s v="WB"/>
    <x v="15"/>
    <s v="Ranaghat - II"/>
    <s v="User Not Mapped"/>
    <s v="User Not Mapped"/>
    <s v="User Not Mapped"/>
    <n v="412388"/>
    <s v="Umesh Biswas "/>
    <s v="Private Retailer"/>
    <s v="8145236575"/>
    <n v="0.1"/>
    <n v="246"/>
    <x v="3"/>
    <m/>
    <s v="2025-08-24"/>
    <s v="260210"/>
    <s v="Gouri Sankar Kundu            "/>
    <s v="9064539774"/>
  </r>
  <r>
    <s v="RCF Import"/>
    <s v="MOP"/>
    <s v="WB"/>
    <x v="15"/>
    <s v="Ranaghat - II"/>
    <s v="User Not Mapped"/>
    <s v="User Not Mapped"/>
    <s v="User Not Mapped"/>
    <n v="412388"/>
    <s v="Umesh Biswas "/>
    <s v="Private Retailer"/>
    <s v="8145236575"/>
    <n v="2.95"/>
    <n v="58"/>
    <x v="1"/>
    <m/>
    <s v="2026-02-28"/>
    <s v="1210862"/>
    <s v="S.S.P ENTERPRISE"/>
    <s v="9635197281"/>
  </r>
  <r>
    <s v="RCF Trombay"/>
    <s v="15-15-15"/>
    <s v="WB"/>
    <x v="15"/>
    <s v="Ranaghat - II"/>
    <s v="User Not Mapped"/>
    <s v="User Not Mapped"/>
    <s v="User Not Mapped"/>
    <n v="412388"/>
    <s v="Umesh Biswas "/>
    <s v="Private Retailer"/>
    <s v="8145236575"/>
    <n v="6.95"/>
    <n v="74"/>
    <x v="2"/>
    <m/>
    <s v="2026-02-12"/>
    <s v="1210862"/>
    <s v="S.S.P ENTERPRISE"/>
    <s v="9635197281"/>
  </r>
  <r>
    <s v="RCF Trombay"/>
    <s v="15-15-15"/>
    <s v="WB"/>
    <x v="15"/>
    <s v="Ranaghat - II"/>
    <s v="User Not Mapped"/>
    <s v="User Not Mapped"/>
    <s v="User Not Mapped"/>
    <n v="439028"/>
    <s v="M/S Prosanta Biswas"/>
    <s v="Private Retailer"/>
    <s v="9733836915"/>
    <n v="2"/>
    <n v="256"/>
    <x v="3"/>
    <m/>
    <s v="2025-08-14"/>
    <s v="260177"/>
    <s v="SatyaRanjan Kundu and Brothers"/>
    <s v="7908186730"/>
  </r>
  <r>
    <s v="RCF Trombay"/>
    <s v="15-15-15"/>
    <s v="WB"/>
    <x v="15"/>
    <s v="Ranaghat - II"/>
    <s v="User Not Mapped"/>
    <s v="User Not Mapped"/>
    <s v="User Not Mapped"/>
    <n v="439028"/>
    <s v="M/S Prosanta Biswas"/>
    <s v="Private Retailer"/>
    <s v="9733836915"/>
    <n v="0.3"/>
    <n v="480"/>
    <x v="6"/>
    <m/>
    <s v="2025-01-02"/>
    <s v="1036433"/>
    <s v="MRITTUNJAY KUNDU"/>
    <s v="9734074810"/>
  </r>
  <r>
    <s v="RCF Trombay"/>
    <s v="N.C.Urea(45kg)"/>
    <s v="WB"/>
    <x v="15"/>
    <s v="Ranaghat - II"/>
    <s v="User Not Mapped"/>
    <s v="User Not Mapped"/>
    <s v="User Not Mapped"/>
    <n v="440466"/>
    <s v="M/S Gautam Dhar"/>
    <s v="Private Retailer"/>
    <s v="9330029196"/>
    <n v="3.4580000000000002"/>
    <n v="152"/>
    <x v="0"/>
    <m/>
    <s v="2025-11-26"/>
    <s v="260178"/>
    <s v="M/s. Uttamendu Sarkar"/>
    <s v="9002483836"/>
  </r>
  <r>
    <s v="RCF Trombay"/>
    <s v="15-15-15"/>
    <s v="WB"/>
    <x v="15"/>
    <s v="Ranaghat - II"/>
    <s v="User Not Mapped"/>
    <s v="User Not Mapped"/>
    <s v="User Not Mapped"/>
    <n v="440714"/>
    <s v="M/S.Susanta Ghosh"/>
    <s v="Private Retailer"/>
    <s v="6294547363"/>
    <n v="0.55000000000000004"/>
    <n v="90"/>
    <x v="2"/>
    <m/>
    <s v="2026-01-27"/>
    <s v="260178"/>
    <s v="M/s. Uttamendu Sarkar"/>
    <s v="9002483836"/>
  </r>
  <r>
    <s v="RCF Thal"/>
    <s v="N.C.Urea(45kg)"/>
    <s v="WB"/>
    <x v="15"/>
    <s v="Ranaghat - II"/>
    <s v="User Not Mapped"/>
    <s v="User Not Mapped"/>
    <s v="User Not Mapped"/>
    <n v="440714"/>
    <s v="M/S.Susanta Ghosh"/>
    <s v="Private Retailer"/>
    <s v="6294547363"/>
    <n v="6.2549999999999999"/>
    <n v="20"/>
    <x v="4"/>
    <m/>
    <s v="2026-04-07"/>
    <s v="260178"/>
    <s v="M/s. Uttamendu Sarkar"/>
    <s v="9002483836"/>
  </r>
  <r>
    <s v="RCF Import"/>
    <s v="Imp 10-26-26"/>
    <s v="WB"/>
    <x v="15"/>
    <s v="Ranaghat - II"/>
    <s v="User Not Mapped"/>
    <s v="User Not Mapped"/>
    <s v="User Not Mapped"/>
    <n v="440714"/>
    <s v="M/S.Susanta Ghosh"/>
    <s v="Private Retailer"/>
    <s v="6294547363"/>
    <n v="2.0499999999999998"/>
    <n v="61"/>
    <x v="2"/>
    <m/>
    <s v="2026-02-25"/>
    <s v="260178"/>
    <s v="M/s. Uttamendu Sarkar"/>
    <s v="9002483836"/>
  </r>
  <r>
    <s v="RCF Trombay"/>
    <s v="15-15-15"/>
    <s v="WB"/>
    <x v="15"/>
    <s v="Ranaghat - II"/>
    <s v="User Not Mapped"/>
    <s v="User Not Mapped"/>
    <s v="User Not Mapped"/>
    <n v="440722"/>
    <s v="M/S. Ujjwal Sarkar"/>
    <s v="Private Retailer"/>
    <s v="7872101406"/>
    <n v="1.2509999999999999"/>
    <n v="329"/>
    <x v="3"/>
    <m/>
    <s v="2025-06-02"/>
    <s v="260177"/>
    <s v="SatyaRanjan Kundu and Brothers"/>
    <s v="7908186730"/>
  </r>
  <r>
    <s v="RCF Trombay"/>
    <s v="N.C.Urea(45kg)"/>
    <s v="WB"/>
    <x v="15"/>
    <s v="Ranaghat - II"/>
    <s v="User Not Mapped"/>
    <s v="User Not Mapped"/>
    <s v="User Not Mapped"/>
    <n v="441499"/>
    <s v="M/S. Reba Paul"/>
    <s v="Private Retailer"/>
    <s v="8927700133"/>
    <n v="1.98"/>
    <n v="434"/>
    <x v="6"/>
    <m/>
    <s v="2025-02-17"/>
    <s v="260178"/>
    <s v="M/s. Uttamendu Sarkar"/>
    <s v="9002483836"/>
  </r>
  <r>
    <s v="RCF Thal"/>
    <s v="N.C.Urea(45kg)"/>
    <s v="WB"/>
    <x v="15"/>
    <s v="Ranaghat - II"/>
    <s v="User Not Mapped"/>
    <s v="User Not Mapped"/>
    <s v="User Not Mapped"/>
    <n v="452367"/>
    <s v="Uttam Karmokar"/>
    <s v="Private Retailer"/>
    <s v="9733772588"/>
    <n v="9.9"/>
    <n v="47"/>
    <x v="1"/>
    <m/>
    <s v="2026-03-11"/>
    <s v="270129"/>
    <s v="Kalyan Kr. Nandi"/>
    <s v="8250914797"/>
  </r>
  <r>
    <s v="RCF Trombay"/>
    <s v="15-15-15"/>
    <s v="WB"/>
    <x v="15"/>
    <s v="Ranaghat - II"/>
    <s v="User Not Mapped"/>
    <s v="User Not Mapped"/>
    <s v="User Not Mapped"/>
    <n v="452367"/>
    <s v="Uttam Karmokar"/>
    <s v="Private Retailer"/>
    <s v="9733772588"/>
    <n v="8.8000000000000007"/>
    <n v="54"/>
    <x v="1"/>
    <m/>
    <s v="2026-03-04"/>
    <s v="280729"/>
    <s v="M/s. Naresh Chandra Das"/>
    <s v="7365868045"/>
  </r>
  <r>
    <s v="RCF Trombay"/>
    <s v="N.C.Urea(45kg)"/>
    <s v="WB"/>
    <x v="15"/>
    <s v="Ranaghat - II"/>
    <s v="User Not Mapped"/>
    <s v="User Not Mapped"/>
    <s v="User Not Mapped"/>
    <n v="452367"/>
    <s v="Uttam Karmokar"/>
    <s v="Private Retailer"/>
    <s v="9733772588"/>
    <n v="3.2850000000000001"/>
    <n v="62"/>
    <x v="2"/>
    <m/>
    <s v="2026-02-24"/>
    <s v="214222"/>
    <s v="Mahamaya Enterprise"/>
    <s v="8348217174"/>
  </r>
  <r>
    <s v="RCF Trombay"/>
    <s v="N.C.Urea(45kg)"/>
    <s v="WB"/>
    <x v="15"/>
    <s v="Ranaghat - II"/>
    <s v="User Not Mapped"/>
    <s v="User Not Mapped"/>
    <s v="User Not Mapped"/>
    <n v="452367"/>
    <s v="Uttam Karmokar"/>
    <s v="Private Retailer"/>
    <s v="9733772588"/>
    <n v="4.9950000000000001"/>
    <n v="62"/>
    <x v="2"/>
    <m/>
    <s v="2026-02-24"/>
    <s v="260211"/>
    <s v="M/s. Jaiswal Enterprise "/>
    <s v="8116105006"/>
  </r>
  <r>
    <s v="RCF Import"/>
    <s v="MOP"/>
    <s v="WB"/>
    <x v="15"/>
    <s v="Ranaghat - II"/>
    <s v="User Not Mapped"/>
    <s v="User Not Mapped"/>
    <s v="User Not Mapped"/>
    <n v="452367"/>
    <s v="Uttam Karmokar"/>
    <s v="Private Retailer"/>
    <s v="9733772588"/>
    <n v="0.2"/>
    <n v="486"/>
    <x v="6"/>
    <m/>
    <s v="2024-12-27"/>
    <s v="280913"/>
    <s v="S.S.P Enterprise"/>
    <s v="9732669190"/>
  </r>
  <r>
    <s v="RCF Thal"/>
    <s v="N.C.Urea(45kg)"/>
    <s v="WB"/>
    <x v="15"/>
    <s v="Ranaghat - II"/>
    <s v="User Not Mapped"/>
    <s v="User Not Mapped"/>
    <s v="User Not Mapped"/>
    <n v="463343"/>
    <s v="HALDAR FERTILIZERS"/>
    <s v="Private Retailer"/>
    <s v="9735356582"/>
    <n v="4.8600000000000003"/>
    <n v="38"/>
    <x v="1"/>
    <m/>
    <s v="2026-03-20"/>
    <s v="280729"/>
    <s v="M/s. Naresh Chandra Das"/>
    <s v="7365868045"/>
  </r>
  <r>
    <s v="RCF Trombay"/>
    <s v="15-15-15"/>
    <s v="WB"/>
    <x v="15"/>
    <s v="Ranaghat - II"/>
    <s v="User Not Mapped"/>
    <s v="User Not Mapped"/>
    <s v="User Not Mapped"/>
    <n v="491343"/>
    <s v="Shibo Prosad Ghosh"/>
    <s v="Private Retailer"/>
    <s v="9734229111"/>
    <n v="7.2759999999999998"/>
    <n v="174"/>
    <x v="0"/>
    <m/>
    <s v="2025-11-04"/>
    <s v="549643"/>
    <s v="M/S RATAN BISWAS"/>
    <s v="8617364808"/>
  </r>
  <r>
    <s v="RCF Thal"/>
    <s v="N.C.Urea(45kg)"/>
    <s v="WB"/>
    <x v="15"/>
    <s v="Ranaghat - II"/>
    <s v="User Not Mapped"/>
    <s v="User Not Mapped"/>
    <s v="User Not Mapped"/>
    <n v="498176"/>
    <s v="M/S Swapan Biswas"/>
    <s v="Private Retailer"/>
    <s v="7679780430"/>
    <n v="0.9"/>
    <n v="12"/>
    <x v="4"/>
    <m/>
    <s v="2026-04-15"/>
    <s v="260209"/>
    <s v="M/S SUNIL KUMAR SAHA       "/>
    <s v="9434110995"/>
  </r>
  <r>
    <s v="RCF Trombay"/>
    <s v="15-15-15"/>
    <s v="WB"/>
    <x v="15"/>
    <s v="Ranaghat - II"/>
    <s v="User Not Mapped"/>
    <s v="User Not Mapped"/>
    <s v="User Not Mapped"/>
    <n v="498176"/>
    <s v="M/S Swapan Biswas"/>
    <s v="Private Retailer"/>
    <s v="7679780430"/>
    <n v="1"/>
    <n v="223"/>
    <x v="3"/>
    <m/>
    <s v="2025-09-16"/>
    <s v="1043444"/>
    <s v="UMA RANI SAHA"/>
    <s v="9775414001"/>
  </r>
  <r>
    <s v="RCF Import"/>
    <s v="Imp 10-26-26"/>
    <s v="WB"/>
    <x v="15"/>
    <s v="Ranaghat - II"/>
    <s v="User Not Mapped"/>
    <s v="User Not Mapped"/>
    <s v="User Not Mapped"/>
    <n v="498176"/>
    <s v="M/S Swapan Biswas"/>
    <s v="Private Retailer"/>
    <s v="7679780430"/>
    <n v="0.25"/>
    <n v="12"/>
    <x v="4"/>
    <m/>
    <s v="2026-04-15"/>
    <s v="260209"/>
    <s v="M/S SUNIL KUMAR SAHA       "/>
    <s v="9434110995"/>
  </r>
  <r>
    <s v="RCF Trombay"/>
    <s v="15-15-15"/>
    <s v="WB"/>
    <x v="15"/>
    <s v="Ranaghat - II"/>
    <s v="User Not Mapped"/>
    <s v="User Not Mapped"/>
    <s v="User Not Mapped"/>
    <n v="498176"/>
    <s v="M/S Swapan Biswas"/>
    <s v="Private Retailer"/>
    <s v="7679780430"/>
    <n v="0.25"/>
    <n v="224"/>
    <x v="3"/>
    <m/>
    <s v="2025-09-15"/>
    <s v="1222703"/>
    <s v="SANDIP CHANDA"/>
    <s v="9232773990"/>
  </r>
  <r>
    <s v="RCF Trombay"/>
    <s v="15-15-15"/>
    <s v="WB"/>
    <x v="15"/>
    <s v="Ranaghat - II"/>
    <s v="User Not Mapped"/>
    <s v="User Not Mapped"/>
    <s v="User Not Mapped"/>
    <n v="498176"/>
    <s v="M/S Swapan Biswas"/>
    <s v="Private Retailer"/>
    <s v="7679780430"/>
    <n v="0.75"/>
    <n v="130"/>
    <x v="0"/>
    <m/>
    <s v="2025-12-18"/>
    <s v="1222703"/>
    <s v="SANDIP CHANDA"/>
    <s v="9232773990"/>
  </r>
  <r>
    <s v="RCF Trombay"/>
    <s v="15-15-15"/>
    <s v="WB"/>
    <x v="15"/>
    <s v="Ranaghat - II"/>
    <s v="User Not Mapped"/>
    <s v="User Not Mapped"/>
    <s v="User Not Mapped"/>
    <n v="498176"/>
    <s v="M/S Swapan Biswas"/>
    <s v="Private Retailer"/>
    <s v="7679780430"/>
    <n v="1.5"/>
    <n v="88"/>
    <x v="2"/>
    <m/>
    <s v="2026-01-29"/>
    <s v="1043444"/>
    <s v="UMA RANI SAHA"/>
    <s v="9775414001"/>
  </r>
  <r>
    <s v="RCF Trombay"/>
    <s v="15-15-15"/>
    <s v="WB"/>
    <x v="15"/>
    <s v="Ranaghat - II"/>
    <s v="User Not Mapped"/>
    <s v="User Not Mapped"/>
    <s v="User Not Mapped"/>
    <n v="498182"/>
    <s v="Subrata Banerjee"/>
    <s v="Private Retailer"/>
    <s v="9732960701"/>
    <n v="0.1"/>
    <n v="1134"/>
    <x v="7"/>
    <m/>
    <s v="2023-03-20"/>
    <s v="260209"/>
    <s v="M/S SUNIL KUMAR SAHA       "/>
    <s v="9434110995"/>
  </r>
  <r>
    <s v="RCF Trombay"/>
    <s v="15-15-15"/>
    <s v="WB"/>
    <x v="15"/>
    <s v="Ranaghat - II"/>
    <s v="User Not Mapped"/>
    <s v="User Not Mapped"/>
    <s v="User Not Mapped"/>
    <n v="498182"/>
    <s v="Subrata Banerjee"/>
    <s v="Private Retailer"/>
    <s v="9732960701"/>
    <n v="1"/>
    <n v="789"/>
    <x v="7"/>
    <m/>
    <s v="2024-02-28"/>
    <s v="260209"/>
    <s v="M/S SUNIL KUMAR SAHA       "/>
    <s v="9434110995"/>
  </r>
  <r>
    <s v="RCF Trombay"/>
    <s v="15-15-15"/>
    <s v="WB"/>
    <x v="15"/>
    <s v="Ranaghat - II"/>
    <s v="User Not Mapped"/>
    <s v="User Not Mapped"/>
    <s v="User Not Mapped"/>
    <n v="498182"/>
    <s v="Subrata Banerjee"/>
    <s v="Private Retailer"/>
    <s v="9732960701"/>
    <n v="1"/>
    <n v="793"/>
    <x v="7"/>
    <m/>
    <s v="2024-02-24"/>
    <s v="260209"/>
    <s v="M/S SUNIL KUMAR SAHA       "/>
    <s v="9434110995"/>
  </r>
  <r>
    <s v="RCF Trombay"/>
    <s v="15-15-15"/>
    <s v="WB"/>
    <x v="15"/>
    <s v="Ranaghat - II"/>
    <s v="User Not Mapped"/>
    <s v="User Not Mapped"/>
    <s v="User Not Mapped"/>
    <n v="498182"/>
    <s v="Subrata Banerjee"/>
    <s v="Private Retailer"/>
    <s v="9732960701"/>
    <n v="0.5"/>
    <n v="946"/>
    <x v="7"/>
    <m/>
    <s v="2023-09-24"/>
    <s v="260209"/>
    <s v="M/S SUNIL KUMAR SAHA       "/>
    <s v="9434110995"/>
  </r>
  <r>
    <s v="RCF Thal"/>
    <s v="N.C.Urea(45kg)"/>
    <s v="WB"/>
    <x v="15"/>
    <s v="Ranaghat - II"/>
    <s v="User Not Mapped"/>
    <s v="User Not Mapped"/>
    <s v="User Not Mapped"/>
    <n v="498182"/>
    <s v="Subrata Banerjee"/>
    <s v="Private Retailer"/>
    <s v="9732960701"/>
    <n v="7.6050000000000004"/>
    <n v="283"/>
    <x v="3"/>
    <m/>
    <s v="2025-07-18"/>
    <s v="260209"/>
    <s v="M/S SUNIL KUMAR SAHA       "/>
    <s v="9434110995"/>
  </r>
  <r>
    <s v="RCF Import"/>
    <s v="MOP"/>
    <s v="WB"/>
    <x v="15"/>
    <s v="Ranaghat - II"/>
    <s v="User Not Mapped"/>
    <s v="User Not Mapped"/>
    <s v="User Not Mapped"/>
    <n v="516928"/>
    <s v="M/S Ranjit Pal"/>
    <s v="Private Retailer"/>
    <s v="9609034473"/>
    <n v="0.4"/>
    <n v="45"/>
    <x v="1"/>
    <m/>
    <s v="2026-03-13"/>
    <s v="281285"/>
    <s v="Bhabani Prosad Chattopadhy"/>
    <s v="7548026544"/>
  </r>
  <r>
    <s v="RCF Import"/>
    <s v="MOP"/>
    <s v="WB"/>
    <x v="15"/>
    <s v="Ranaghat - II"/>
    <s v="User Not Mapped"/>
    <s v="User Not Mapped"/>
    <s v="User Not Mapped"/>
    <n v="516928"/>
    <s v="M/S Ranjit Pal"/>
    <s v="Private Retailer"/>
    <s v="9609034473"/>
    <n v="0.1"/>
    <n v="57"/>
    <x v="1"/>
    <m/>
    <s v="2026-03-01"/>
    <s v="281285"/>
    <s v="Bhabani Prosad Chattopadhy"/>
    <s v="7548026544"/>
  </r>
  <r>
    <s v="RCF Trombay"/>
    <s v="N.C.Urea(45kg)"/>
    <s v="WB"/>
    <x v="15"/>
    <s v="Ranaghat - II"/>
    <s v="User Not Mapped"/>
    <s v="User Not Mapped"/>
    <s v="User Not Mapped"/>
    <n v="610023"/>
    <s v="NAZRUL HOQUE MANDAL"/>
    <s v="Private Retailer"/>
    <s v="9609791395"/>
    <n v="4.9050000000000002"/>
    <n v="9"/>
    <x v="4"/>
    <m/>
    <s v="2026-04-18"/>
    <s v="280732"/>
    <s v="M/S-MADHUSUDAN GHOSH"/>
    <s v="9434823432"/>
  </r>
  <r>
    <s v="RCF Trombay"/>
    <s v="N.C.Urea(45kg)"/>
    <s v="WB"/>
    <x v="15"/>
    <s v="Ranaghat - II"/>
    <s v="User Not Mapped"/>
    <s v="User Not Mapped"/>
    <s v="User Not Mapped"/>
    <n v="630529"/>
    <s v="Kamal Bhowmick"/>
    <s v="Private Retailer"/>
    <s v="8972534494"/>
    <n v="0.76500000000000001"/>
    <n v="90"/>
    <x v="2"/>
    <m/>
    <s v="2026-01-27"/>
    <s v="260178"/>
    <s v="M/s. Uttamendu Sarkar"/>
    <s v="9002483836"/>
  </r>
  <r>
    <s v="RCF Import"/>
    <s v="Imp 10-26-26"/>
    <s v="WB"/>
    <x v="15"/>
    <s v="Ranaghat - II"/>
    <s v="User Not Mapped"/>
    <s v="User Not Mapped"/>
    <s v="User Not Mapped"/>
    <n v="630529"/>
    <s v="Kamal Bhowmick"/>
    <s v="Private Retailer"/>
    <s v="8972534494"/>
    <n v="1.5"/>
    <n v="61"/>
    <x v="2"/>
    <m/>
    <s v="2026-02-25"/>
    <s v="260178"/>
    <s v="M/s. Uttamendu Sarkar"/>
    <s v="9002483836"/>
  </r>
  <r>
    <s v="RCF Trombay"/>
    <s v="15-15-15"/>
    <s v="WB"/>
    <x v="15"/>
    <s v="Ranaghat - II"/>
    <s v="User Not Mapped"/>
    <s v="User Not Mapped"/>
    <s v="User Not Mapped"/>
    <n v="630529"/>
    <s v="Kamal Bhowmick"/>
    <s v="Private Retailer"/>
    <s v="8972534494"/>
    <n v="1.25"/>
    <n v="90"/>
    <x v="2"/>
    <m/>
    <s v="2026-01-27"/>
    <s v="260178"/>
    <s v="M/s. Uttamendu Sarkar"/>
    <s v="9002483836"/>
  </r>
  <r>
    <s v="RCF Import"/>
    <s v="MOP"/>
    <s v="WB"/>
    <x v="15"/>
    <s v="Ranaghat - II"/>
    <s v="User Not Mapped"/>
    <s v="User Not Mapped"/>
    <s v="User Not Mapped"/>
    <n v="630531"/>
    <s v="Bandana Chowdhury"/>
    <s v="Private Retailer"/>
    <s v="9382732250"/>
    <n v="0.25"/>
    <n v="449"/>
    <x v="6"/>
    <m/>
    <s v="2025-02-02"/>
    <s v="281285"/>
    <s v="Bhabani Prosad Chattopadhy"/>
    <s v="7548026544"/>
  </r>
  <r>
    <s v="RCF Trombay"/>
    <s v="15-15-15"/>
    <s v="WB"/>
    <x v="15"/>
    <s v="Ranaghat - II"/>
    <s v="User Not Mapped"/>
    <s v="User Not Mapped"/>
    <s v="User Not Mapped"/>
    <n v="630531"/>
    <s v="Bandana Chowdhury"/>
    <s v="Private Retailer"/>
    <s v="9382732250"/>
    <n v="0.5"/>
    <n v="113"/>
    <x v="5"/>
    <m/>
    <s v="2026-01-04"/>
    <s v="281285"/>
    <s v="Bhabani Prosad Chattopadhy"/>
    <s v="7548026544"/>
  </r>
  <r>
    <s v="RCF Import"/>
    <s v="MOP"/>
    <s v="WB"/>
    <x v="15"/>
    <s v="Ranaghat - II"/>
    <s v="User Not Mapped"/>
    <s v="User Not Mapped"/>
    <s v="User Not Mapped"/>
    <n v="630531"/>
    <s v="Bandana Chowdhury"/>
    <s v="Private Retailer"/>
    <s v="9382732250"/>
    <n v="0.2"/>
    <n v="463"/>
    <x v="6"/>
    <m/>
    <s v="2025-01-19"/>
    <s v="281285"/>
    <s v="Bhabani Prosad Chattopadhy"/>
    <s v="7548026544"/>
  </r>
  <r>
    <s v="RCF Trombay"/>
    <s v="15-15-15"/>
    <s v="WB"/>
    <x v="15"/>
    <s v="Ranaghat - II"/>
    <s v="User Not Mapped"/>
    <s v="User Not Mapped"/>
    <s v="User Not Mapped"/>
    <n v="630531"/>
    <s v="Bandana Chowdhury"/>
    <s v="Private Retailer"/>
    <s v="9382732250"/>
    <n v="0.5"/>
    <n v="45"/>
    <x v="1"/>
    <m/>
    <s v="2026-03-13"/>
    <s v="281285"/>
    <s v="Bhabani Prosad Chattopadhy"/>
    <s v="7548026544"/>
  </r>
  <r>
    <s v="RCF Import"/>
    <s v="Imp 10-26-26"/>
    <s v="WB"/>
    <x v="15"/>
    <s v="Ranaghat - II"/>
    <s v="User Not Mapped"/>
    <s v="User Not Mapped"/>
    <s v="User Not Mapped"/>
    <n v="630531"/>
    <s v="Bandana Chowdhury"/>
    <s v="Private Retailer"/>
    <s v="9382732250"/>
    <n v="0.5"/>
    <n v="45"/>
    <x v="1"/>
    <m/>
    <s v="2026-03-13"/>
    <s v="281285"/>
    <s v="Bhabani Prosad Chattopadhy"/>
    <s v="7548026544"/>
  </r>
  <r>
    <s v="RCF Import"/>
    <s v="MOP"/>
    <s v="WB"/>
    <x v="15"/>
    <s v="Ranaghat - II"/>
    <s v="User Not Mapped"/>
    <s v="User Not Mapped"/>
    <s v="User Not Mapped"/>
    <n v="630531"/>
    <s v="Bandana Chowdhury"/>
    <s v="Private Retailer"/>
    <s v="9382732250"/>
    <n v="0.5"/>
    <n v="45"/>
    <x v="1"/>
    <m/>
    <s v="2026-03-13"/>
    <s v="281285"/>
    <s v="Bhabani Prosad Chattopadhy"/>
    <s v="7548026544"/>
  </r>
  <r>
    <s v="RCF Trombay"/>
    <s v="N.C.Urea(45kg)"/>
    <s v="WB"/>
    <x v="15"/>
    <s v="Ranaghat - II"/>
    <s v="User Not Mapped"/>
    <s v="User Not Mapped"/>
    <s v="User Not Mapped"/>
    <n v="630531"/>
    <s v="Bandana Chowdhury"/>
    <s v="Private Retailer"/>
    <s v="9382732250"/>
    <n v="5.0000000000000001E-3"/>
    <n v="356"/>
    <x v="3"/>
    <m/>
    <s v="2025-05-06"/>
    <s v="281285"/>
    <s v="Bhabani Prosad Chattopadhy"/>
    <s v="7548026544"/>
  </r>
  <r>
    <s v="RCF Trombay"/>
    <s v="15-15-15"/>
    <s v="WB"/>
    <x v="15"/>
    <s v="Ranaghat - II"/>
    <s v="User Not Mapped"/>
    <s v="User Not Mapped"/>
    <s v="User Not Mapped"/>
    <n v="630531"/>
    <s v="Bandana Chowdhury"/>
    <s v="Private Retailer"/>
    <s v="9382732250"/>
    <n v="1.25"/>
    <n v="89"/>
    <x v="2"/>
    <m/>
    <s v="2026-01-28"/>
    <s v="281285"/>
    <s v="Bhabani Prosad Chattopadhy"/>
    <s v="7548026544"/>
  </r>
  <r>
    <s v="RCF Import"/>
    <s v="MOP"/>
    <s v="WB"/>
    <x v="15"/>
    <s v="Ranaghat - II"/>
    <s v="User Not Mapped"/>
    <s v="User Not Mapped"/>
    <s v="User Not Mapped"/>
    <n v="630531"/>
    <s v="Bandana Chowdhury"/>
    <s v="Private Retailer"/>
    <s v="9382732250"/>
    <n v="0.25"/>
    <n v="64"/>
    <x v="2"/>
    <m/>
    <s v="2026-02-22"/>
    <s v="281285"/>
    <s v="Bhabani Prosad Chattopadhy"/>
    <s v="7548026544"/>
  </r>
  <r>
    <s v="RCF Trombay"/>
    <s v="N.C.Urea(45kg)"/>
    <s v="WB"/>
    <x v="15"/>
    <s v="Ranaghat - II"/>
    <s v="User Not Mapped"/>
    <s v="User Not Mapped"/>
    <s v="User Not Mapped"/>
    <n v="630531"/>
    <s v="Bandana Chowdhury"/>
    <s v="Private Retailer"/>
    <s v="9382732250"/>
    <n v="0.45"/>
    <n v="64"/>
    <x v="2"/>
    <m/>
    <s v="2026-02-22"/>
    <s v="281285"/>
    <s v="Bhabani Prosad Chattopadhy"/>
    <s v="7548026544"/>
  </r>
  <r>
    <s v="RCF Trombay"/>
    <s v="N.C.Urea(45kg)"/>
    <s v="WB"/>
    <x v="15"/>
    <s v="Ranaghat - II"/>
    <s v="User Not Mapped"/>
    <s v="User Not Mapped"/>
    <s v="User Not Mapped"/>
    <n v="630531"/>
    <s v="Bandana Chowdhury"/>
    <s v="Private Retailer"/>
    <s v="9382732250"/>
    <n v="0.9"/>
    <n v="113"/>
    <x v="5"/>
    <m/>
    <s v="2026-01-04"/>
    <s v="281285"/>
    <s v="Bhabani Prosad Chattopadhy"/>
    <s v="7548026544"/>
  </r>
  <r>
    <s v="RCF Trombay"/>
    <s v="15-15-15"/>
    <s v="WB"/>
    <x v="15"/>
    <s v="Ranaghat - II"/>
    <s v="User Not Mapped"/>
    <s v="User Not Mapped"/>
    <s v="User Not Mapped"/>
    <n v="634907"/>
    <s v="SUDHIR KUMAR SARKAR"/>
    <s v="Private Retailer"/>
    <s v="7384512689"/>
    <n v="0.311"/>
    <n v="487"/>
    <x v="6"/>
    <m/>
    <s v="2024-12-26"/>
    <s v="260177"/>
    <s v="SatyaRanjan Kundu and Brothers"/>
    <s v="7908186730"/>
  </r>
  <r>
    <s v="RCF Thal"/>
    <s v="N.C.Urea(45kg)"/>
    <s v="WB"/>
    <x v="15"/>
    <s v="Ranaghat - II"/>
    <s v="User Not Mapped"/>
    <s v="User Not Mapped"/>
    <s v="User Not Mapped"/>
    <n v="739706"/>
    <s v="Swapan Sarkar"/>
    <s v="Private Retailer"/>
    <s v="9732686648"/>
    <n v="9.7110000000000003"/>
    <n v="47"/>
    <x v="1"/>
    <m/>
    <s v="2026-03-11"/>
    <s v="280729"/>
    <s v="M/s. Naresh Chandra Das"/>
    <s v="7365868045"/>
  </r>
  <r>
    <s v="RCF Trombay"/>
    <s v="15-15-15"/>
    <s v="WB"/>
    <x v="15"/>
    <s v="Ranaghat - II"/>
    <s v="User Not Mapped"/>
    <s v="User Not Mapped"/>
    <s v="User Not Mapped"/>
    <n v="750366"/>
    <s v="Arman Tarafder"/>
    <s v="Private Retailer"/>
    <s v="9734491267"/>
    <n v="1.55"/>
    <n v="177"/>
    <x v="0"/>
    <m/>
    <s v="2025-11-01"/>
    <s v="260177"/>
    <s v="SatyaRanjan Kundu and Brothers"/>
    <s v="7908186730"/>
  </r>
  <r>
    <s v="RCF Trombay"/>
    <s v="N.C.Urea(45kg)"/>
    <s v="WB"/>
    <x v="15"/>
    <s v="Ranaghat - II"/>
    <s v="User Not Mapped"/>
    <s v="User Not Mapped"/>
    <s v="User Not Mapped"/>
    <n v="750366"/>
    <s v="Arman Tarafder"/>
    <s v="Private Retailer"/>
    <s v="9734491267"/>
    <n v="0.99"/>
    <n v="177"/>
    <x v="0"/>
    <m/>
    <s v="2025-11-01"/>
    <s v="260177"/>
    <s v="SatyaRanjan Kundu and Brothers"/>
    <s v="7908186730"/>
  </r>
  <r>
    <s v="RCF Trombay"/>
    <s v="15-15-15"/>
    <s v="WB"/>
    <x v="15"/>
    <s v="Ranaghat - II"/>
    <s v="User Not Mapped"/>
    <s v="User Not Mapped"/>
    <s v="User Not Mapped"/>
    <n v="774884"/>
    <s v="UTTAM KUMAR CHOWDHURY"/>
    <s v="Private Retailer"/>
    <s v="8653609954"/>
    <n v="0.2"/>
    <n v="239"/>
    <x v="3"/>
    <m/>
    <s v="2025-08-31"/>
    <s v="260210"/>
    <s v="Gouri Sankar Kundu            "/>
    <s v="9064539774"/>
  </r>
  <r>
    <s v="RCF Thal"/>
    <s v="N.C.Urea(45kg)"/>
    <s v="WB"/>
    <x v="15"/>
    <s v="Ranaghat - II"/>
    <s v="User Not Mapped"/>
    <s v="User Not Mapped"/>
    <s v="User Not Mapped"/>
    <n v="774884"/>
    <s v="UTTAM KUMAR CHOWDHURY"/>
    <s v="Private Retailer"/>
    <s v="8653609954"/>
    <n v="0.36"/>
    <n v="200"/>
    <x v="3"/>
    <m/>
    <s v="2025-10-09"/>
    <s v="260210"/>
    <s v="Gouri Sankar Kundu            "/>
    <s v="9064539774"/>
  </r>
  <r>
    <s v="RCF Import"/>
    <s v="Imp 10-26-26"/>
    <s v="WB"/>
    <x v="15"/>
    <s v="Ranaghat - II"/>
    <s v="User Not Mapped"/>
    <s v="User Not Mapped"/>
    <s v="User Not Mapped"/>
    <n v="777431"/>
    <s v="KASHI NATH MONDAL"/>
    <s v="Private Retailer"/>
    <s v="9153723610"/>
    <n v="0.5"/>
    <n v="56"/>
    <x v="1"/>
    <m/>
    <s v="2026-03-02"/>
    <s v="1043444"/>
    <s v="UMA RANI SAHA"/>
    <s v="9775414001"/>
  </r>
  <r>
    <s v="RCF Trombay"/>
    <s v="N.C.Urea(45kg)"/>
    <s v="WB"/>
    <x v="15"/>
    <s v="Ranaghat - II"/>
    <s v="User Not Mapped"/>
    <s v="User Not Mapped"/>
    <s v="User Not Mapped"/>
    <n v="777431"/>
    <s v="KASHI NATH MONDAL"/>
    <s v="Private Retailer"/>
    <s v="9153723610"/>
    <n v="0.67500000000000004"/>
    <n v="49"/>
    <x v="1"/>
    <m/>
    <s v="2026-03-09"/>
    <s v="260210"/>
    <s v="Gouri Sankar Kundu            "/>
    <s v="9064539774"/>
  </r>
  <r>
    <s v="RCF Thal"/>
    <s v="N.C.Urea(45kg)"/>
    <s v="WB"/>
    <x v="15"/>
    <s v="Ranaghat - II"/>
    <s v="User Not Mapped"/>
    <s v="User Not Mapped"/>
    <s v="User Not Mapped"/>
    <n v="777431"/>
    <s v="KASHI NATH MONDAL"/>
    <s v="Private Retailer"/>
    <s v="9153723610"/>
    <n v="0.54"/>
    <n v="966"/>
    <x v="7"/>
    <m/>
    <s v="2023-09-04"/>
    <s v="260210"/>
    <s v="Gouri Sankar Kundu            "/>
    <s v="9064539774"/>
  </r>
  <r>
    <s v="RCF Trombay"/>
    <s v="N.C.Urea(45kg)"/>
    <s v="WB"/>
    <x v="15"/>
    <s v="Ranaghat - II"/>
    <s v="User Not Mapped"/>
    <s v="User Not Mapped"/>
    <s v="User Not Mapped"/>
    <n v="777431"/>
    <s v="KASHI NATH MONDAL"/>
    <s v="Private Retailer"/>
    <s v="9153723610"/>
    <n v="0.45"/>
    <n v="251"/>
    <x v="3"/>
    <m/>
    <s v="2025-08-19"/>
    <s v="260210"/>
    <s v="Gouri Sankar Kundu            "/>
    <s v="9064539774"/>
  </r>
  <r>
    <s v="RCF Thal"/>
    <s v="N.C.Urea(45kg)"/>
    <s v="WB"/>
    <x v="15"/>
    <s v="Ranaghat - II"/>
    <s v="User Not Mapped"/>
    <s v="User Not Mapped"/>
    <s v="User Not Mapped"/>
    <n v="777431"/>
    <s v="KASHI NATH MONDAL"/>
    <s v="Private Retailer"/>
    <s v="9153723610"/>
    <n v="0.9"/>
    <n v="457"/>
    <x v="6"/>
    <m/>
    <s v="2025-01-25"/>
    <s v="260210"/>
    <s v="Gouri Sankar Kundu            "/>
    <s v="9064539774"/>
  </r>
  <r>
    <s v="RCF Import"/>
    <s v="MOP"/>
    <s v="WB"/>
    <x v="15"/>
    <s v="Ranaghat - II"/>
    <s v="User Not Mapped"/>
    <s v="User Not Mapped"/>
    <s v="User Not Mapped"/>
    <n v="777431"/>
    <s v="KASHI NATH MONDAL"/>
    <s v="Private Retailer"/>
    <s v="9153723610"/>
    <n v="0.1"/>
    <n v="417"/>
    <x v="6"/>
    <m/>
    <s v="2025-03-06"/>
    <s v="260210"/>
    <s v="Gouri Sankar Kundu            "/>
    <s v="9064539774"/>
  </r>
  <r>
    <s v="RCF Import"/>
    <s v="MOP"/>
    <s v="WB"/>
    <x v="15"/>
    <s v="Ranaghat - II"/>
    <s v="User Not Mapped"/>
    <s v="User Not Mapped"/>
    <s v="User Not Mapped"/>
    <n v="777431"/>
    <s v="KASHI NATH MONDAL"/>
    <s v="Private Retailer"/>
    <s v="9153723610"/>
    <n v="0.05"/>
    <n v="422"/>
    <x v="6"/>
    <m/>
    <s v="2025-03-01"/>
    <s v="260210"/>
    <s v="Gouri Sankar Kundu            "/>
    <s v="9064539774"/>
  </r>
  <r>
    <s v="RCF Import"/>
    <s v="MOP"/>
    <s v="WB"/>
    <x v="15"/>
    <s v="Ranaghat - II"/>
    <s v="User Not Mapped"/>
    <s v="User Not Mapped"/>
    <s v="User Not Mapped"/>
    <n v="777431"/>
    <s v="KASHI NATH MONDAL"/>
    <s v="Private Retailer"/>
    <s v="9153723610"/>
    <n v="0.1"/>
    <n v="425"/>
    <x v="6"/>
    <m/>
    <s v="2025-02-26"/>
    <s v="260210"/>
    <s v="Gouri Sankar Kundu            "/>
    <s v="9064539774"/>
  </r>
  <r>
    <s v="RCF Import"/>
    <s v="MOP"/>
    <s v="WB"/>
    <x v="15"/>
    <s v="Ranaghat - II"/>
    <s v="User Not Mapped"/>
    <s v="User Not Mapped"/>
    <s v="User Not Mapped"/>
    <n v="777431"/>
    <s v="KASHI NATH MONDAL"/>
    <s v="Private Retailer"/>
    <s v="9153723610"/>
    <n v="0.1"/>
    <n v="432"/>
    <x v="6"/>
    <m/>
    <s v="2025-02-19"/>
    <s v="260210"/>
    <s v="Gouri Sankar Kundu            "/>
    <s v="9064539774"/>
  </r>
  <r>
    <s v="RCF Import"/>
    <s v="MOP"/>
    <s v="WB"/>
    <x v="15"/>
    <s v="Ranaghat - II"/>
    <s v="User Not Mapped"/>
    <s v="User Not Mapped"/>
    <s v="User Not Mapped"/>
    <n v="777431"/>
    <s v="KASHI NATH MONDAL"/>
    <s v="Private Retailer"/>
    <s v="9153723610"/>
    <n v="0.1"/>
    <n v="438"/>
    <x v="6"/>
    <m/>
    <s v="2025-02-13"/>
    <s v="260210"/>
    <s v="Gouri Sankar Kundu            "/>
    <s v="9064539774"/>
  </r>
  <r>
    <s v="RCF Import"/>
    <s v="MOP"/>
    <s v="WB"/>
    <x v="15"/>
    <s v="Ranaghat - II"/>
    <s v="User Not Mapped"/>
    <s v="User Not Mapped"/>
    <s v="User Not Mapped"/>
    <n v="777431"/>
    <s v="KASHI NATH MONDAL"/>
    <s v="Private Retailer"/>
    <s v="9153723610"/>
    <n v="0.2"/>
    <n v="443"/>
    <x v="6"/>
    <m/>
    <s v="2025-02-08"/>
    <s v="260210"/>
    <s v="Gouri Sankar Kundu            "/>
    <s v="9064539774"/>
  </r>
  <r>
    <s v="RCF Trombay"/>
    <s v="N.C.Urea(45kg)"/>
    <s v="WB"/>
    <x v="15"/>
    <s v="Ranaghat - II"/>
    <s v="User Not Mapped"/>
    <s v="User Not Mapped"/>
    <s v="User Not Mapped"/>
    <n v="777431"/>
    <s v="KASHI NATH MONDAL"/>
    <s v="Private Retailer"/>
    <s v="9153723610"/>
    <n v="4.9950000000000001"/>
    <n v="56"/>
    <x v="1"/>
    <m/>
    <s v="2026-03-02"/>
    <s v="1043444"/>
    <s v="UMA RANI SAHA"/>
    <s v="9775414001"/>
  </r>
  <r>
    <s v="RCF Import"/>
    <s v="MOP"/>
    <s v="WB"/>
    <x v="15"/>
    <s v="Ranaghat - II"/>
    <s v="User Not Mapped"/>
    <s v="User Not Mapped"/>
    <s v="User Not Mapped"/>
    <n v="777431"/>
    <s v="KASHI NATH MONDAL"/>
    <s v="Private Retailer"/>
    <s v="9153723610"/>
    <n v="0.5"/>
    <n v="56"/>
    <x v="1"/>
    <m/>
    <s v="2026-03-02"/>
    <s v="1043444"/>
    <s v="UMA RANI SAHA"/>
    <s v="9775414001"/>
  </r>
  <r>
    <s v="RCF Trombay"/>
    <s v="15-15-15"/>
    <s v="WB"/>
    <x v="15"/>
    <s v="Ranaghat - II"/>
    <s v="User Not Mapped"/>
    <s v="User Not Mapped"/>
    <s v="User Not Mapped"/>
    <n v="777431"/>
    <s v="KASHI NATH MONDAL"/>
    <s v="Private Retailer"/>
    <s v="9153723610"/>
    <n v="1"/>
    <n v="56"/>
    <x v="1"/>
    <m/>
    <s v="2026-03-02"/>
    <s v="1043444"/>
    <s v="UMA RANI SAHA"/>
    <s v="9775414001"/>
  </r>
  <r>
    <s v="RCF Trombay"/>
    <s v="15-15-15"/>
    <s v="WB"/>
    <x v="15"/>
    <s v="Ranaghat - II"/>
    <s v="User Not Mapped"/>
    <s v="User Not Mapped"/>
    <s v="User Not Mapped"/>
    <n v="942963"/>
    <s v="BISWA NATH GHOSH"/>
    <s v="Private Retailer"/>
    <s v="7551809101"/>
    <n v="1.4"/>
    <n v="88"/>
    <x v="2"/>
    <m/>
    <s v="2026-01-29"/>
    <s v="1043444"/>
    <s v="UMA RANI SAHA"/>
    <s v="9775414001"/>
  </r>
  <r>
    <s v="RCF Import"/>
    <s v="MOP"/>
    <s v="WB"/>
    <x v="15"/>
    <s v="Ranaghat - II"/>
    <s v="User Not Mapped"/>
    <s v="User Not Mapped"/>
    <s v="User Not Mapped"/>
    <n v="942963"/>
    <s v="BISWA NATH GHOSH"/>
    <s v="Private Retailer"/>
    <s v="7551809101"/>
    <n v="0.23799999999999999"/>
    <n v="476"/>
    <x v="6"/>
    <m/>
    <s v="2025-01-06"/>
    <s v="1043444"/>
    <s v="UMA RANI SAHA"/>
    <s v="9775414001"/>
  </r>
  <r>
    <s v="RCF Import"/>
    <s v="Imp 10-26-26"/>
    <s v="WB"/>
    <x v="15"/>
    <s v="Ranaghat - II"/>
    <s v="User Not Mapped"/>
    <s v="User Not Mapped"/>
    <s v="User Not Mapped"/>
    <n v="943284"/>
    <s v="MS BISWAS FERTILIZER"/>
    <s v="Private Retailer"/>
    <s v="9734860094"/>
    <n v="0.05"/>
    <n v="491"/>
    <x v="6"/>
    <m/>
    <s v="2024-12-22"/>
    <s v="281285"/>
    <s v="Bhabani Prosad Chattopadhy"/>
    <s v="7548026544"/>
  </r>
  <r>
    <s v="RCF Trombay"/>
    <s v="15-15-15"/>
    <s v="WB"/>
    <x v="15"/>
    <s v="Ranaghat - II"/>
    <s v="User Not Mapped"/>
    <s v="User Not Mapped"/>
    <s v="User Not Mapped"/>
    <n v="943284"/>
    <s v="MS BISWAS FERTILIZER"/>
    <s v="Private Retailer"/>
    <s v="9734860094"/>
    <n v="1.7999999999999999E-2"/>
    <n v="399"/>
    <x v="6"/>
    <m/>
    <s v="2025-03-24"/>
    <s v="281285"/>
    <s v="Bhabani Prosad Chattopadhy"/>
    <s v="7548026544"/>
  </r>
  <r>
    <s v="RCF Thal"/>
    <s v="N.C.Urea(45kg)"/>
    <s v="WB"/>
    <x v="15"/>
    <s v="Ranaghat - II"/>
    <s v="User Not Mapped"/>
    <s v="User Not Mapped"/>
    <s v="User Not Mapped"/>
    <n v="943284"/>
    <s v="MS BISWAS FERTILIZER"/>
    <s v="Private Retailer"/>
    <s v="9734860094"/>
    <n v="0.04"/>
    <n v="946"/>
    <x v="7"/>
    <m/>
    <s v="2023-09-24"/>
    <s v="281285"/>
    <s v="Bhabani Prosad Chattopadhy"/>
    <s v="7548026544"/>
  </r>
  <r>
    <s v="RCF Trombay"/>
    <s v="N.C.Urea(45kg)"/>
    <s v="WB"/>
    <x v="15"/>
    <s v="Ranaghat - II"/>
    <s v="User Not Mapped"/>
    <s v="User Not Mapped"/>
    <s v="User Not Mapped"/>
    <n v="943284"/>
    <s v="MS BISWAS FERTILIZER"/>
    <s v="Private Retailer"/>
    <s v="9734860094"/>
    <n v="5.0000000000000001E-3"/>
    <n v="536"/>
    <x v="6"/>
    <m/>
    <s v="2024-11-07"/>
    <s v="281285"/>
    <s v="Bhabani Prosad Chattopadhy"/>
    <s v="7548026544"/>
  </r>
  <r>
    <s v="RCF Trombay"/>
    <s v="15-15-15"/>
    <s v="WB"/>
    <x v="15"/>
    <s v="Ranaghat - II"/>
    <s v="User Not Mapped"/>
    <s v="User Not Mapped"/>
    <s v="User Not Mapped"/>
    <n v="943286"/>
    <s v="SUSHANTA BISWAS"/>
    <s v="Private Retailer"/>
    <s v="9733626507"/>
    <n v="0.28499999999999998"/>
    <n v="556"/>
    <x v="7"/>
    <m/>
    <s v="2024-10-18"/>
    <s v="662593"/>
    <s v="M/S. BISWAS KRISHI BHANDER"/>
    <s v="9733645039"/>
  </r>
  <r>
    <s v="RCF Thal"/>
    <s v="N.C.Urea(45kg)"/>
    <s v="WB"/>
    <x v="15"/>
    <s v="Ranaghat - II"/>
    <s v="User Not Mapped"/>
    <s v="User Not Mapped"/>
    <s v="User Not Mapped"/>
    <n v="943290"/>
    <s v="NETAIPADA DEY"/>
    <s v="Private Retailer"/>
    <s v="9434129741"/>
    <n v="3.87"/>
    <n v="43"/>
    <x v="1"/>
    <m/>
    <s v="2026-03-15"/>
    <s v="281285"/>
    <s v="Bhabani Prosad Chattopadhy"/>
    <s v="7548026544"/>
  </r>
  <r>
    <s v="RCF Import"/>
    <s v="MOP"/>
    <s v="WB"/>
    <x v="15"/>
    <s v="Ranaghat - II"/>
    <s v="User Not Mapped"/>
    <s v="User Not Mapped"/>
    <s v="User Not Mapped"/>
    <n v="943290"/>
    <s v="NETAIPADA DEY"/>
    <s v="Private Retailer"/>
    <s v="9434129741"/>
    <n v="2.75"/>
    <n v="36"/>
    <x v="1"/>
    <m/>
    <s v="2026-03-22"/>
    <s v="281285"/>
    <s v="Bhabani Prosad Chattopadhy"/>
    <s v="7548026544"/>
  </r>
  <r>
    <s v="RCF Trombay"/>
    <s v="15-15-15"/>
    <s v="WB"/>
    <x v="15"/>
    <s v="Ranaghat - II"/>
    <s v="User Not Mapped"/>
    <s v="User Not Mapped"/>
    <s v="User Not Mapped"/>
    <n v="943290"/>
    <s v="NETAIPADA DEY"/>
    <s v="Private Retailer"/>
    <s v="9434129741"/>
    <n v="1.4"/>
    <n v="57"/>
    <x v="1"/>
    <m/>
    <s v="2026-03-01"/>
    <s v="281285"/>
    <s v="Bhabani Prosad Chattopadhy"/>
    <s v="7548026544"/>
  </r>
  <r>
    <s v="RCF Thal"/>
    <s v="N.C.Urea(45kg)"/>
    <s v="WB"/>
    <x v="15"/>
    <s v="Ranaghat - II"/>
    <s v="User Not Mapped"/>
    <s v="User Not Mapped"/>
    <s v="User Not Mapped"/>
    <n v="943300"/>
    <s v="HARALAL ROY"/>
    <s v="Private Retailer"/>
    <s v="9679478452"/>
    <n v="4.79"/>
    <n v="1183"/>
    <x v="7"/>
    <m/>
    <s v="2023-01-30"/>
    <s v="280729"/>
    <s v="M/s. Naresh Chandra Das"/>
    <s v="7365868045"/>
  </r>
  <r>
    <s v="RCF Trombay"/>
    <s v="N.C.Urea(45kg)"/>
    <s v="WB"/>
    <x v="15"/>
    <s v="Ranaghat - II"/>
    <s v="User Not Mapped"/>
    <s v="User Not Mapped"/>
    <s v="User Not Mapped"/>
    <n v="943310"/>
    <s v="BISWAJIT BISWAS"/>
    <s v="Private Retailer"/>
    <s v="9564169662"/>
    <n v="0.45"/>
    <n v="533"/>
    <x v="6"/>
    <m/>
    <s v="2024-11-10"/>
    <s v="281285"/>
    <s v="Bhabani Prosad Chattopadhy"/>
    <s v="7548026544"/>
  </r>
  <r>
    <s v="RCF Import"/>
    <s v="MOP"/>
    <s v="WB"/>
    <x v="15"/>
    <s v="Ranaghat - II"/>
    <s v="User Not Mapped"/>
    <s v="User Not Mapped"/>
    <s v="User Not Mapped"/>
    <n v="943312"/>
    <s v="DIPAK GHOSH"/>
    <s v="Private Retailer"/>
    <s v="9333244766"/>
    <n v="0.25"/>
    <n v="64"/>
    <x v="2"/>
    <m/>
    <s v="2026-02-22"/>
    <s v="281285"/>
    <s v="Bhabani Prosad Chattopadhy"/>
    <s v="7548026544"/>
  </r>
  <r>
    <s v="RCF Import"/>
    <s v="MOP"/>
    <s v="WB"/>
    <x v="15"/>
    <s v="Ranaghat - II"/>
    <s v="User Not Mapped"/>
    <s v="User Not Mapped"/>
    <s v="User Not Mapped"/>
    <n v="943312"/>
    <s v="DIPAK GHOSH"/>
    <s v="Private Retailer"/>
    <s v="9333244766"/>
    <n v="0.25"/>
    <n v="43"/>
    <x v="1"/>
    <m/>
    <s v="2026-03-15"/>
    <s v="281285"/>
    <s v="Bhabani Prosad Chattopadhy"/>
    <s v="7548026544"/>
  </r>
  <r>
    <s v="RCF Trombay"/>
    <s v="15-15-15"/>
    <s v="WB"/>
    <x v="15"/>
    <s v="Ranaghat - II"/>
    <s v="User Not Mapped"/>
    <s v="User Not Mapped"/>
    <s v="User Not Mapped"/>
    <n v="943314"/>
    <s v="RAMJAN ALI SEIKH"/>
    <s v="Private Retailer"/>
    <s v="9609696884"/>
    <n v="0.25"/>
    <n v="92"/>
    <x v="5"/>
    <m/>
    <s v="2026-01-25"/>
    <s v="281285"/>
    <s v="Bhabani Prosad Chattopadhy"/>
    <s v="7548026544"/>
  </r>
  <r>
    <s v="RCF Import"/>
    <s v="Imp 10-26-26"/>
    <s v="WB"/>
    <x v="15"/>
    <s v="Ranaghat - II"/>
    <s v="User Not Mapped"/>
    <s v="User Not Mapped"/>
    <s v="User Not Mapped"/>
    <n v="943314"/>
    <s v="RAMJAN ALI SEIKH"/>
    <s v="Private Retailer"/>
    <s v="9609696884"/>
    <n v="0.25"/>
    <n v="36"/>
    <x v="1"/>
    <m/>
    <s v="2026-03-22"/>
    <s v="281285"/>
    <s v="Bhabani Prosad Chattopadhy"/>
    <s v="7548026544"/>
  </r>
  <r>
    <s v="RCF Import"/>
    <s v="MOP"/>
    <s v="WB"/>
    <x v="15"/>
    <s v="Ranaghat - II"/>
    <s v="User Not Mapped"/>
    <s v="User Not Mapped"/>
    <s v="User Not Mapped"/>
    <n v="943314"/>
    <s v="RAMJAN ALI SEIKH"/>
    <s v="Private Retailer"/>
    <s v="9609696884"/>
    <n v="0.25"/>
    <n v="45"/>
    <x v="1"/>
    <m/>
    <s v="2026-03-13"/>
    <s v="281285"/>
    <s v="Bhabani Prosad Chattopadhy"/>
    <s v="7548026544"/>
  </r>
  <r>
    <s v="RCF Import"/>
    <s v="Imp 10-26-26"/>
    <s v="WB"/>
    <x v="15"/>
    <s v="Ranaghat - II"/>
    <s v="User Not Mapped"/>
    <s v="User Not Mapped"/>
    <s v="User Not Mapped"/>
    <n v="943314"/>
    <s v="RAMJAN ALI SEIKH"/>
    <s v="Private Retailer"/>
    <s v="9609696884"/>
    <n v="0.15"/>
    <n v="57"/>
    <x v="1"/>
    <m/>
    <s v="2026-03-01"/>
    <s v="281285"/>
    <s v="Bhabani Prosad Chattopadhy"/>
    <s v="7548026544"/>
  </r>
  <r>
    <s v="RCF Trombay"/>
    <s v="15-15-15"/>
    <s v="WB"/>
    <x v="15"/>
    <s v="Ranaghat - II"/>
    <s v="User Not Mapped"/>
    <s v="User Not Mapped"/>
    <s v="User Not Mapped"/>
    <n v="943314"/>
    <s v="RAMJAN ALI SEIKH"/>
    <s v="Private Retailer"/>
    <s v="9609696884"/>
    <n v="0.25"/>
    <n v="36"/>
    <x v="1"/>
    <m/>
    <s v="2026-03-22"/>
    <s v="281285"/>
    <s v="Bhabani Prosad Chattopadhy"/>
    <s v="7548026544"/>
  </r>
  <r>
    <s v="RCF Trombay"/>
    <s v="15-15-15"/>
    <s v="WB"/>
    <x v="15"/>
    <s v="Ranaghat - II"/>
    <s v="User Not Mapped"/>
    <s v="User Not Mapped"/>
    <s v="User Not Mapped"/>
    <n v="943314"/>
    <s v="RAMJAN ALI SEIKH"/>
    <s v="Private Retailer"/>
    <s v="9609696884"/>
    <n v="0.25"/>
    <n v="57"/>
    <x v="1"/>
    <m/>
    <s v="2026-03-01"/>
    <s v="281285"/>
    <s v="Bhabani Prosad Chattopadhy"/>
    <s v="7548026544"/>
  </r>
  <r>
    <s v="RCF Trombay"/>
    <s v="15-15-15"/>
    <s v="WB"/>
    <x v="15"/>
    <s v="Ranaghat - II"/>
    <s v="User Not Mapped"/>
    <s v="User Not Mapped"/>
    <s v="User Not Mapped"/>
    <n v="943314"/>
    <s v="RAMJAN ALI SEIKH"/>
    <s v="Private Retailer"/>
    <s v="9609696884"/>
    <n v="0.5"/>
    <n v="82"/>
    <x v="2"/>
    <m/>
    <s v="2026-02-04"/>
    <s v="281285"/>
    <s v="Bhabani Prosad Chattopadhy"/>
    <s v="7548026544"/>
  </r>
  <r>
    <s v="RCF Trombay"/>
    <s v="N.C.Urea(45kg)"/>
    <s v="WB"/>
    <x v="15"/>
    <s v="Ranaghat - II"/>
    <s v="User Not Mapped"/>
    <s v="User Not Mapped"/>
    <s v="User Not Mapped"/>
    <n v="943314"/>
    <s v="RAMJAN ALI SEIKH"/>
    <s v="Private Retailer"/>
    <s v="9609696884"/>
    <n v="0.9"/>
    <n v="92"/>
    <x v="5"/>
    <m/>
    <s v="2026-01-25"/>
    <s v="281285"/>
    <s v="Bhabani Prosad Chattopadhy"/>
    <s v="7548026544"/>
  </r>
  <r>
    <s v="RCF Trombay"/>
    <s v="N.C.Urea(45kg)"/>
    <s v="WB"/>
    <x v="15"/>
    <s v="Ranaghat - II"/>
    <s v="User Not Mapped"/>
    <s v="User Not Mapped"/>
    <s v="User Not Mapped"/>
    <n v="943314"/>
    <s v="RAMJAN ALI SEIKH"/>
    <s v="Private Retailer"/>
    <s v="9609696884"/>
    <n v="0.40500000000000003"/>
    <n v="71"/>
    <x v="2"/>
    <m/>
    <s v="2026-02-15"/>
    <s v="281285"/>
    <s v="Bhabani Prosad Chattopadhy"/>
    <s v="7548026544"/>
  </r>
  <r>
    <s v="RCF Trombay"/>
    <s v="15-15-15"/>
    <s v="WB"/>
    <x v="15"/>
    <s v="Ranaghat - II"/>
    <s v="User Not Mapped"/>
    <s v="User Not Mapped"/>
    <s v="User Not Mapped"/>
    <n v="943314"/>
    <s v="RAMJAN ALI SEIKH"/>
    <s v="Private Retailer"/>
    <s v="9609696884"/>
    <n v="0.25"/>
    <n v="24"/>
    <x v="4"/>
    <m/>
    <s v="2026-04-03"/>
    <s v="281285"/>
    <s v="Bhabani Prosad Chattopadhy"/>
    <s v="7548026544"/>
  </r>
  <r>
    <s v="RCF Import"/>
    <s v="Imp 10-26-26"/>
    <s v="WB"/>
    <x v="15"/>
    <s v="Ranaghat - II"/>
    <s v="User Not Mapped"/>
    <s v="User Not Mapped"/>
    <s v="User Not Mapped"/>
    <n v="943314"/>
    <s v="RAMJAN ALI SEIKH"/>
    <s v="Private Retailer"/>
    <s v="9609696884"/>
    <n v="0.25"/>
    <n v="24"/>
    <x v="4"/>
    <m/>
    <s v="2026-04-03"/>
    <s v="281285"/>
    <s v="Bhabani Prosad Chattopadhy"/>
    <s v="7548026544"/>
  </r>
  <r>
    <s v="RCF Import"/>
    <s v="MOP"/>
    <s v="WB"/>
    <x v="15"/>
    <s v="Ranaghat - II"/>
    <s v="User Not Mapped"/>
    <s v="User Not Mapped"/>
    <s v="User Not Mapped"/>
    <n v="943314"/>
    <s v="RAMJAN ALI SEIKH"/>
    <s v="Private Retailer"/>
    <s v="9609696884"/>
    <n v="0.45"/>
    <n v="57"/>
    <x v="1"/>
    <m/>
    <s v="2026-03-01"/>
    <s v="281285"/>
    <s v="Bhabani Prosad Chattopadhy"/>
    <s v="7548026544"/>
  </r>
  <r>
    <s v="RCF Trombay"/>
    <s v="15-15-15"/>
    <s v="WB"/>
    <x v="15"/>
    <s v="Ranaghat - II"/>
    <s v="User Not Mapped"/>
    <s v="User Not Mapped"/>
    <s v="User Not Mapped"/>
    <n v="943324"/>
    <s v="GHOSH FERTILIZER AND PESTICIDE"/>
    <s v="Private Retailer"/>
    <s v="9732800291"/>
    <n v="0.115"/>
    <n v="1820"/>
    <x v="7"/>
    <m/>
    <s v="2021-05-03"/>
    <s v="892997"/>
    <s v="PARESH GHOSH"/>
    <s v="9735355001"/>
  </r>
  <r>
    <s v="RCF Trombay"/>
    <s v="15-15-15"/>
    <s v="WB"/>
    <x v="15"/>
    <s v="Ranaghat - II"/>
    <s v="User Not Mapped"/>
    <s v="User Not Mapped"/>
    <s v="User Not Mapped"/>
    <n v="943324"/>
    <s v="GHOSH FERTILIZER AND PESTICIDE"/>
    <s v="Private Retailer"/>
    <s v="9732800291"/>
    <n v="0.3"/>
    <n v="772"/>
    <x v="7"/>
    <m/>
    <s v="2024-03-16"/>
    <s v="441419"/>
    <s v="M/S Namita Chanda"/>
    <s v="9775677020"/>
  </r>
  <r>
    <s v="RCF Import"/>
    <s v="MOP"/>
    <s v="WB"/>
    <x v="15"/>
    <s v="Ranaghat - II"/>
    <s v="User Not Mapped"/>
    <s v="User Not Mapped"/>
    <s v="User Not Mapped"/>
    <n v="943326"/>
    <s v="ANUP DAS"/>
    <s v="Private Retailer"/>
    <s v="8637087771"/>
    <n v="3"/>
    <n v="64"/>
    <x v="2"/>
    <m/>
    <s v="2026-02-22"/>
    <s v="281285"/>
    <s v="Bhabani Prosad Chattopadhy"/>
    <s v="7548026544"/>
  </r>
  <r>
    <s v="RCF Trombay"/>
    <s v="15-15-15"/>
    <s v="WB"/>
    <x v="15"/>
    <s v="Ranaghat - II"/>
    <s v="User Not Mapped"/>
    <s v="User Not Mapped"/>
    <s v="User Not Mapped"/>
    <n v="943326"/>
    <s v="ANUP DAS"/>
    <s v="Private Retailer"/>
    <s v="8637087771"/>
    <n v="0.45"/>
    <n v="75"/>
    <x v="2"/>
    <m/>
    <s v="2026-02-11"/>
    <s v="281285"/>
    <s v="Bhabani Prosad Chattopadhy"/>
    <s v="7548026544"/>
  </r>
  <r>
    <s v="RCF Import"/>
    <s v="Imp 10-26-26"/>
    <s v="WB"/>
    <x v="15"/>
    <s v="Ranaghat - II"/>
    <s v="User Not Mapped"/>
    <s v="User Not Mapped"/>
    <s v="User Not Mapped"/>
    <n v="943326"/>
    <s v="ANUP DAS"/>
    <s v="Private Retailer"/>
    <s v="8637087771"/>
    <n v="0.3"/>
    <n v="323"/>
    <x v="3"/>
    <m/>
    <s v="2025-06-08"/>
    <s v="281285"/>
    <s v="Bhabani Prosad Chattopadhy"/>
    <s v="7548026544"/>
  </r>
  <r>
    <s v="RCF Trombay"/>
    <s v="15-15-15"/>
    <s v="WB"/>
    <x v="15"/>
    <s v="Ranaghat - II"/>
    <s v="User Not Mapped"/>
    <s v="User Not Mapped"/>
    <s v="User Not Mapped"/>
    <n v="943326"/>
    <s v="ANUP DAS"/>
    <s v="Private Retailer"/>
    <s v="8637087771"/>
    <n v="5"/>
    <n v="64"/>
    <x v="2"/>
    <m/>
    <s v="2026-02-22"/>
    <s v="281285"/>
    <s v="Bhabani Prosad Chattopadhy"/>
    <s v="7548026544"/>
  </r>
  <r>
    <s v="RCF Trombay"/>
    <s v="N.C.Urea(45kg)"/>
    <s v="WB"/>
    <x v="15"/>
    <s v="Ranaghat - II"/>
    <s v="User Not Mapped"/>
    <s v="User Not Mapped"/>
    <s v="User Not Mapped"/>
    <n v="943326"/>
    <s v="ANUP DAS"/>
    <s v="Private Retailer"/>
    <s v="8637087771"/>
    <n v="3.42"/>
    <n v="64"/>
    <x v="2"/>
    <m/>
    <s v="2026-02-22"/>
    <s v="281285"/>
    <s v="Bhabani Prosad Chattopadhy"/>
    <s v="7548026544"/>
  </r>
  <r>
    <s v="RCF Trombay"/>
    <s v="15-15-15"/>
    <s v="WB"/>
    <x v="15"/>
    <s v="Ranaghat - II"/>
    <s v="User Not Mapped"/>
    <s v="User Not Mapped"/>
    <s v="User Not Mapped"/>
    <n v="943728"/>
    <s v="KRISHNA SARKAR"/>
    <s v="Private Retailer"/>
    <s v="6295925639"/>
    <n v="0.85"/>
    <n v="773"/>
    <x v="7"/>
    <m/>
    <s v="2024-03-15"/>
    <s v="260177"/>
    <s v="SatyaRanjan Kundu and Brothers"/>
    <s v="7908186730"/>
  </r>
  <r>
    <s v="RCF Thal"/>
    <s v="N.C.Urea(45kg)"/>
    <s v="WB"/>
    <x v="15"/>
    <s v="Ranaghat - II"/>
    <s v="User Not Mapped"/>
    <s v="User Not Mapped"/>
    <s v="User Not Mapped"/>
    <n v="943728"/>
    <s v="KRISHNA SARKAR"/>
    <s v="Private Retailer"/>
    <s v="6295925639"/>
    <n v="2.5999999999999999E-2"/>
    <n v="1844"/>
    <x v="7"/>
    <m/>
    <s v="2021-04-09"/>
    <s v="668026"/>
    <s v="CHIRANJIT DAS"/>
    <s v="7501332793"/>
  </r>
  <r>
    <s v="RCF Trombay"/>
    <s v="N.C.Urea(45kg)"/>
    <s v="WB"/>
    <x v="15"/>
    <s v="Ranaghat - II"/>
    <s v="User Not Mapped"/>
    <s v="User Not Mapped"/>
    <s v="User Not Mapped"/>
    <n v="943732"/>
    <s v="SANDIP SAHA"/>
    <s v="Private Retailer"/>
    <s v="9932887755"/>
    <n v="0.36"/>
    <n v="141"/>
    <x v="0"/>
    <m/>
    <s v="2025-12-07"/>
    <s v="281285"/>
    <s v="Bhabani Prosad Chattopadhy"/>
    <s v="7548026544"/>
  </r>
  <r>
    <s v="RCF Import"/>
    <s v="Imp 10-26-26"/>
    <s v="WB"/>
    <x v="15"/>
    <s v="Ranaghat - II"/>
    <s v="User Not Mapped"/>
    <s v="User Not Mapped"/>
    <s v="User Not Mapped"/>
    <n v="943732"/>
    <s v="SANDIP SAHA"/>
    <s v="Private Retailer"/>
    <s v="9932887755"/>
    <n v="2.5"/>
    <n v="13"/>
    <x v="4"/>
    <m/>
    <s v="2026-04-14"/>
    <s v="280729"/>
    <s v="M/s. Naresh Chandra Das"/>
    <s v="7365868045"/>
  </r>
  <r>
    <s v="RCF Thal"/>
    <s v="N.C.Urea(45kg)"/>
    <s v="WB"/>
    <x v="15"/>
    <s v="Ranaghat - II"/>
    <s v="User Not Mapped"/>
    <s v="User Not Mapped"/>
    <s v="User Not Mapped"/>
    <n v="943732"/>
    <s v="SANDIP SAHA"/>
    <s v="Private Retailer"/>
    <s v="9932887755"/>
    <n v="9.81"/>
    <n v="11"/>
    <x v="4"/>
    <m/>
    <s v="2026-04-16"/>
    <s v="280729"/>
    <s v="M/s. Naresh Chandra Das"/>
    <s v="7365868045"/>
  </r>
  <r>
    <s v="RCF Trombay"/>
    <s v="15-15-15"/>
    <s v="WB"/>
    <x v="15"/>
    <s v="Ranaghat - II"/>
    <s v="User Not Mapped"/>
    <s v="User Not Mapped"/>
    <s v="User Not Mapped"/>
    <n v="943732"/>
    <s v="SANDIP SAHA"/>
    <s v="Private Retailer"/>
    <s v="9932887755"/>
    <n v="2.5"/>
    <n v="13"/>
    <x v="4"/>
    <m/>
    <s v="2026-04-14"/>
    <s v="280729"/>
    <s v="M/s. Naresh Chandra Das"/>
    <s v="7365868045"/>
  </r>
  <r>
    <s v="RCF Trombay"/>
    <s v="15-15-15"/>
    <s v="WB"/>
    <x v="15"/>
    <s v="Ranaghat - II"/>
    <s v="User Not Mapped"/>
    <s v="User Not Mapped"/>
    <s v="User Not Mapped"/>
    <n v="943732"/>
    <s v="SANDIP SAHA"/>
    <s v="Private Retailer"/>
    <s v="9932887755"/>
    <n v="1.1000000000000001"/>
    <n v="60"/>
    <x v="1"/>
    <m/>
    <s v="2026-02-26"/>
    <s v="214222"/>
    <s v="Mahamaya Enterprise"/>
    <s v="8348217174"/>
  </r>
  <r>
    <s v="RCF Trombay"/>
    <s v="15-15-15"/>
    <s v="WB"/>
    <x v="15"/>
    <s v="Ranaghat - II"/>
    <s v="User Not Mapped"/>
    <s v="User Not Mapped"/>
    <s v="User Not Mapped"/>
    <n v="943784"/>
    <s v="ASHIM SARKAR"/>
    <s v="Private Retailer"/>
    <s v="8609698100"/>
    <n v="0.02"/>
    <n v="592"/>
    <x v="7"/>
    <m/>
    <s v="2024-09-12"/>
    <s v="260177"/>
    <s v="SatyaRanjan Kundu and Brothers"/>
    <s v="7908186730"/>
  </r>
  <r>
    <s v="RCF Thal"/>
    <s v="N.C.Urea(45kg)"/>
    <s v="WB"/>
    <x v="15"/>
    <s v="Ranaghat - II"/>
    <s v="User Not Mapped"/>
    <s v="User Not Mapped"/>
    <s v="User Not Mapped"/>
    <n v="943806"/>
    <s v="PARITOSH DAS"/>
    <s v="Private Retailer"/>
    <s v="7679146744"/>
    <n v="4.9950000000000001"/>
    <n v="17"/>
    <x v="4"/>
    <m/>
    <s v="2026-04-10"/>
    <s v="1036433"/>
    <s v="MRITTUNJAY KUNDU"/>
    <s v="9734074810"/>
  </r>
  <r>
    <s v="RCF Trombay"/>
    <s v="15-15-15"/>
    <s v="WB"/>
    <x v="15"/>
    <s v="Ranaghat - II"/>
    <s v="User Not Mapped"/>
    <s v="User Not Mapped"/>
    <s v="User Not Mapped"/>
    <n v="943808"/>
    <s v="RAGHU-JASAR-NAGAR SKUS"/>
    <s v="PACS"/>
    <s v="9434370845"/>
    <n v="1.05"/>
    <n v="494"/>
    <x v="6"/>
    <m/>
    <s v="2024-12-19"/>
    <s v="280729"/>
    <s v="M/s. Naresh Chandra Das"/>
    <s v="7365868045"/>
  </r>
  <r>
    <s v="RCF Import"/>
    <s v="MOP"/>
    <s v="WB"/>
    <x v="15"/>
    <s v="Ranaghat - II"/>
    <s v="User Not Mapped"/>
    <s v="User Not Mapped"/>
    <s v="User Not Mapped"/>
    <n v="943808"/>
    <s v="RAGHU-JASAR-NAGAR SKUS"/>
    <s v="PACS"/>
    <s v="9434370845"/>
    <n v="0.5"/>
    <n v="422"/>
    <x v="6"/>
    <m/>
    <s v="2025-03-01"/>
    <s v="260210"/>
    <s v="Gouri Sankar Kundu            "/>
    <s v="9064539774"/>
  </r>
  <r>
    <s v="RCF Import"/>
    <s v="MOP"/>
    <s v="WB"/>
    <x v="15"/>
    <s v="Ranaghat - II"/>
    <s v="User Not Mapped"/>
    <s v="User Not Mapped"/>
    <s v="User Not Mapped"/>
    <n v="943808"/>
    <s v="RAGHU-JASAR-NAGAR SKUS"/>
    <s v="PACS"/>
    <s v="9434370845"/>
    <n v="1"/>
    <n v="462"/>
    <x v="6"/>
    <m/>
    <s v="2025-01-20"/>
    <s v="260210"/>
    <s v="Gouri Sankar Kundu            "/>
    <s v="9064539774"/>
  </r>
  <r>
    <s v="RCF Trombay"/>
    <s v="N.C.Urea(45kg)"/>
    <s v="WB"/>
    <x v="15"/>
    <s v="Ranaghat - II"/>
    <s v="User Not Mapped"/>
    <s v="User Not Mapped"/>
    <s v="User Not Mapped"/>
    <n v="943861"/>
    <s v="RANJIT CHAKRABORTY"/>
    <s v="Private Retailer"/>
    <s v="7318776584"/>
    <n v="0.315"/>
    <n v="435"/>
    <x v="6"/>
    <m/>
    <s v="2025-02-16"/>
    <s v="281285"/>
    <s v="Bhabani Prosad Chattopadhy"/>
    <s v="7548026544"/>
  </r>
  <r>
    <s v="RCF Trombay"/>
    <s v="N.C.Urea(45kg)"/>
    <s v="WB"/>
    <x v="15"/>
    <s v="Ranaghat - II"/>
    <s v="User Not Mapped"/>
    <s v="User Not Mapped"/>
    <s v="User Not Mapped"/>
    <n v="943861"/>
    <s v="RANJIT CHAKRABORTY"/>
    <s v="Private Retailer"/>
    <s v="7318776584"/>
    <n v="0.45"/>
    <n v="390"/>
    <x v="6"/>
    <m/>
    <s v="2025-04-02"/>
    <s v="281285"/>
    <s v="Bhabani Prosad Chattopadhy"/>
    <s v="7548026544"/>
  </r>
  <r>
    <s v="RCF Import"/>
    <s v="Imp 10-26-26"/>
    <s v="WB"/>
    <x v="15"/>
    <s v="Ranaghat - II"/>
    <s v="User Not Mapped"/>
    <s v="User Not Mapped"/>
    <s v="User Not Mapped"/>
    <n v="943861"/>
    <s v="RANJIT CHAKRABORTY"/>
    <s v="Private Retailer"/>
    <s v="7318776584"/>
    <n v="0.05"/>
    <n v="337"/>
    <x v="3"/>
    <m/>
    <s v="2025-05-25"/>
    <s v="281285"/>
    <s v="Bhabani Prosad Chattopadhy"/>
    <s v="7548026544"/>
  </r>
  <r>
    <s v="RCF Trombay"/>
    <s v="15-15-15"/>
    <s v="WB"/>
    <x v="15"/>
    <s v="Ranaghat - II"/>
    <s v="User Not Mapped"/>
    <s v="User Not Mapped"/>
    <s v="User Not Mapped"/>
    <n v="943861"/>
    <s v="RANJIT CHAKRABORTY"/>
    <s v="Private Retailer"/>
    <s v="7318776584"/>
    <n v="0.223"/>
    <n v="349"/>
    <x v="3"/>
    <m/>
    <s v="2025-05-13"/>
    <s v="281285"/>
    <s v="Bhabani Prosad Chattopadhy"/>
    <s v="7548026544"/>
  </r>
  <r>
    <s v="RCF Thal"/>
    <s v="N.C.Urea(45kg)"/>
    <s v="WB"/>
    <x v="15"/>
    <s v="Ranaghat - II"/>
    <s v="User Not Mapped"/>
    <s v="User Not Mapped"/>
    <s v="User Not Mapped"/>
    <n v="943861"/>
    <s v="RANJIT CHAKRABORTY"/>
    <s v="Private Retailer"/>
    <s v="7318776584"/>
    <n v="0.27"/>
    <n v="448"/>
    <x v="6"/>
    <m/>
    <s v="2025-02-03"/>
    <s v="281285"/>
    <s v="Bhabani Prosad Chattopadhy"/>
    <s v="7548026544"/>
  </r>
  <r>
    <s v="RCF Trombay"/>
    <s v="N.C.Urea(45kg)"/>
    <s v="WB"/>
    <x v="15"/>
    <s v="Ranaghat - II"/>
    <s v="User Not Mapped"/>
    <s v="User Not Mapped"/>
    <s v="User Not Mapped"/>
    <n v="943861"/>
    <s v="RANJIT CHAKRABORTY"/>
    <s v="Private Retailer"/>
    <s v="7318776584"/>
    <n v="0.33"/>
    <n v="470"/>
    <x v="6"/>
    <m/>
    <s v="2025-01-12"/>
    <s v="281285"/>
    <s v="Bhabani Prosad Chattopadhy"/>
    <s v="7548026544"/>
  </r>
  <r>
    <s v="RCF Trombay"/>
    <s v="15-15-15"/>
    <s v="WB"/>
    <x v="15"/>
    <s v="Ranaghat - II"/>
    <s v="User Not Mapped"/>
    <s v="User Not Mapped"/>
    <s v="User Not Mapped"/>
    <n v="943863"/>
    <s v="JAGADISH CHAKRABORTY"/>
    <s v="Private Retailer"/>
    <s v="8016458336"/>
    <n v="0.25"/>
    <n v="239"/>
    <x v="3"/>
    <m/>
    <s v="2025-08-31"/>
    <s v="281285"/>
    <s v="Bhabani Prosad Chattopadhy"/>
    <s v="7548026544"/>
  </r>
  <r>
    <s v="RCF Import"/>
    <s v="MOP"/>
    <s v="WB"/>
    <x v="15"/>
    <s v="Ranaghat - II"/>
    <s v="User Not Mapped"/>
    <s v="User Not Mapped"/>
    <s v="User Not Mapped"/>
    <n v="943863"/>
    <s v="JAGADISH CHAKRABORTY"/>
    <s v="Private Retailer"/>
    <s v="8016458336"/>
    <n v="9.6000000000000002E-2"/>
    <n v="441"/>
    <x v="6"/>
    <m/>
    <s v="2025-02-10"/>
    <s v="281285"/>
    <s v="Bhabani Prosad Chattopadhy"/>
    <s v="7548026544"/>
  </r>
  <r>
    <s v="RCF Trombay"/>
    <s v="15-15-15"/>
    <s v="WB"/>
    <x v="15"/>
    <s v="Ranaghat - II"/>
    <s v="User Not Mapped"/>
    <s v="User Not Mapped"/>
    <s v="User Not Mapped"/>
    <n v="943863"/>
    <s v="JAGADISH CHAKRABORTY"/>
    <s v="Private Retailer"/>
    <s v="8016458336"/>
    <n v="0.1"/>
    <n v="260"/>
    <x v="3"/>
    <m/>
    <s v="2025-08-10"/>
    <s v="281285"/>
    <s v="Bhabani Prosad Chattopadhy"/>
    <s v="7548026544"/>
  </r>
  <r>
    <s v="RCF Trombay"/>
    <s v="N.C.Urea(45kg)"/>
    <s v="WB"/>
    <x v="15"/>
    <s v="Ranaghat - II"/>
    <s v="User Not Mapped"/>
    <s v="User Not Mapped"/>
    <s v="User Not Mapped"/>
    <n v="943863"/>
    <s v="JAGADISH CHAKRABORTY"/>
    <s v="Private Retailer"/>
    <s v="8016458336"/>
    <n v="0.45"/>
    <n v="239"/>
    <x v="3"/>
    <m/>
    <s v="2025-08-31"/>
    <s v="281285"/>
    <s v="Bhabani Prosad Chattopadhy"/>
    <s v="7548026544"/>
  </r>
  <r>
    <s v="RCF Trombay"/>
    <s v="N.C.Urea(45kg)"/>
    <s v="WB"/>
    <x v="15"/>
    <s v="Ranaghat - II"/>
    <s v="User Not Mapped"/>
    <s v="User Not Mapped"/>
    <s v="User Not Mapped"/>
    <n v="943863"/>
    <s v="JAGADISH CHAKRABORTY"/>
    <s v="Private Retailer"/>
    <s v="8016458336"/>
    <n v="0.22500000000000001"/>
    <n v="390"/>
    <x v="6"/>
    <m/>
    <s v="2025-04-02"/>
    <s v="281285"/>
    <s v="Bhabani Prosad Chattopadhy"/>
    <s v="7548026544"/>
  </r>
  <r>
    <s v="RCF Thal"/>
    <s v="N.C.Urea(45kg)"/>
    <s v="WB"/>
    <x v="15"/>
    <s v="Ranaghat - II"/>
    <s v="User Not Mapped"/>
    <s v="User Not Mapped"/>
    <s v="User Not Mapped"/>
    <n v="943863"/>
    <s v="JAGADISH CHAKRABORTY"/>
    <s v="Private Retailer"/>
    <s v="8016458336"/>
    <n v="0.36"/>
    <n v="449"/>
    <x v="6"/>
    <m/>
    <s v="2025-02-02"/>
    <s v="281285"/>
    <s v="Bhabani Prosad Chattopadhy"/>
    <s v="7548026544"/>
  </r>
  <r>
    <s v="RCF Trombay"/>
    <s v="15-15-15"/>
    <s v="WB"/>
    <x v="15"/>
    <s v="Ranaghat - II"/>
    <s v="User Not Mapped"/>
    <s v="User Not Mapped"/>
    <s v="User Not Mapped"/>
    <n v="943863"/>
    <s v="JAGADISH CHAKRABORTY"/>
    <s v="Private Retailer"/>
    <s v="8016458336"/>
    <n v="0.1"/>
    <n v="323"/>
    <x v="3"/>
    <m/>
    <s v="2025-06-08"/>
    <s v="281285"/>
    <s v="Bhabani Prosad Chattopadhy"/>
    <s v="7548026544"/>
  </r>
  <r>
    <s v="RCF Trombay"/>
    <s v="15-15-15"/>
    <s v="WB"/>
    <x v="15"/>
    <s v="Ranaghat - II"/>
    <s v="User Not Mapped"/>
    <s v="User Not Mapped"/>
    <s v="User Not Mapped"/>
    <n v="943863"/>
    <s v="JAGADISH CHAKRABORTY"/>
    <s v="Private Retailer"/>
    <s v="8016458336"/>
    <n v="0.2"/>
    <n v="302"/>
    <x v="3"/>
    <m/>
    <s v="2025-06-29"/>
    <s v="281285"/>
    <s v="Bhabani Prosad Chattopadhy"/>
    <s v="7548026544"/>
  </r>
  <r>
    <s v="RCF Trombay"/>
    <s v="15-15-15"/>
    <s v="WB"/>
    <x v="15"/>
    <s v="Ranaghat - II"/>
    <s v="User Not Mapped"/>
    <s v="User Not Mapped"/>
    <s v="User Not Mapped"/>
    <n v="943863"/>
    <s v="JAGADISH CHAKRABORTY"/>
    <s v="Private Retailer"/>
    <s v="8016458336"/>
    <n v="0.1"/>
    <n v="288"/>
    <x v="3"/>
    <m/>
    <s v="2025-07-13"/>
    <s v="281285"/>
    <s v="Bhabani Prosad Chattopadhy"/>
    <s v="7548026544"/>
  </r>
  <r>
    <s v="RCF Trombay"/>
    <s v="15-15-15"/>
    <s v="WB"/>
    <x v="15"/>
    <s v="Ranaghat - II"/>
    <s v="User Not Mapped"/>
    <s v="User Not Mapped"/>
    <s v="User Not Mapped"/>
    <n v="943863"/>
    <s v="JAGADISH CHAKRABORTY"/>
    <s v="Private Retailer"/>
    <s v="8016458336"/>
    <n v="0.2"/>
    <n v="271"/>
    <x v="3"/>
    <m/>
    <s v="2025-07-30"/>
    <s v="281285"/>
    <s v="Bhabani Prosad Chattopadhy"/>
    <s v="7548026544"/>
  </r>
  <r>
    <s v="RCF Import"/>
    <s v="Imp 10-26-26"/>
    <s v="WB"/>
    <x v="15"/>
    <s v="Ranaghat - II"/>
    <s v="User Not Mapped"/>
    <s v="User Not Mapped"/>
    <s v="User Not Mapped"/>
    <n v="943863"/>
    <s v="JAGADISH CHAKRABORTY"/>
    <s v="Private Retailer"/>
    <s v="8016458336"/>
    <n v="0.1"/>
    <n v="502"/>
    <x v="6"/>
    <m/>
    <s v="2024-12-11"/>
    <s v="281285"/>
    <s v="Bhabani Prosad Chattopadhy"/>
    <s v="7548026544"/>
  </r>
  <r>
    <s v="RCF Trombay"/>
    <s v="N.C.Urea(45kg)"/>
    <s v="WB"/>
    <x v="15"/>
    <s v="Ranaghat - II"/>
    <s v="User Not Mapped"/>
    <s v="User Not Mapped"/>
    <s v="User Not Mapped"/>
    <n v="943863"/>
    <s v="JAGADISH CHAKRABORTY"/>
    <s v="Private Retailer"/>
    <s v="8016458336"/>
    <n v="0.28000000000000003"/>
    <n v="477"/>
    <x v="6"/>
    <m/>
    <s v="2025-01-05"/>
    <s v="281285"/>
    <s v="Bhabani Prosad Chattopadhy"/>
    <s v="7548026544"/>
  </r>
  <r>
    <s v="RCF Thal"/>
    <s v="N.C.Urea(45kg)"/>
    <s v="WB"/>
    <x v="15"/>
    <s v="Ranaghat - II"/>
    <s v="User Not Mapped"/>
    <s v="User Not Mapped"/>
    <s v="User Not Mapped"/>
    <n v="943863"/>
    <s v="JAGADISH CHAKRABORTY"/>
    <s v="Private Retailer"/>
    <s v="8016458336"/>
    <n v="0.13500000000000001"/>
    <n v="1016"/>
    <x v="7"/>
    <m/>
    <s v="2023-07-16"/>
    <s v="281285"/>
    <s v="Bhabani Prosad Chattopadhy"/>
    <s v="7548026544"/>
  </r>
  <r>
    <s v="RCF Trombay"/>
    <s v="15-15-15"/>
    <s v="WB"/>
    <x v="15"/>
    <s v="Ranaghat - II"/>
    <s v="User Not Mapped"/>
    <s v="User Not Mapped"/>
    <s v="User Not Mapped"/>
    <n v="950719"/>
    <s v="NOKARI SKUS LTD"/>
    <s v="PACS"/>
    <s v="7001779360"/>
    <n v="18.149999999999999"/>
    <n v="44"/>
    <x v="1"/>
    <m/>
    <s v="2026-03-14"/>
    <s v="280729"/>
    <s v="M/s. Naresh Chandra Das"/>
    <s v="7365868045"/>
  </r>
  <r>
    <s v="RCF Trombay"/>
    <s v="15-15-15"/>
    <s v="WB"/>
    <x v="15"/>
    <s v="Ranaghat - II"/>
    <s v="User Not Mapped"/>
    <s v="User Not Mapped"/>
    <s v="User Not Mapped"/>
    <n v="958153"/>
    <s v="SAILENDRA NATH HALDER"/>
    <s v="Private Retailer"/>
    <s v="9851400835"/>
    <n v="3.5630000000000002"/>
    <n v="277"/>
    <x v="3"/>
    <m/>
    <s v="2025-07-24"/>
    <s v="260177"/>
    <s v="SatyaRanjan Kundu and Brothers"/>
    <s v="7908186730"/>
  </r>
  <r>
    <s v="RCF Trombay"/>
    <s v="15-15-15"/>
    <s v="WB"/>
    <x v="15"/>
    <s v="Ranaghat - II"/>
    <s v="User Not Mapped"/>
    <s v="User Not Mapped"/>
    <s v="User Not Mapped"/>
    <n v="1036520"/>
    <s v="SEC NANDIGHAT SKUS"/>
    <s v="PACS"/>
    <s v="8001561647"/>
    <n v="2.5499999999999998"/>
    <n v="453"/>
    <x v="6"/>
    <m/>
    <s v="2025-01-29"/>
    <s v="280729"/>
    <s v="M/s. Naresh Chandra Das"/>
    <s v="7365868045"/>
  </r>
  <r>
    <s v="RCF Trombay"/>
    <s v="15-15-15"/>
    <s v="WB"/>
    <x v="15"/>
    <s v="Ranaghat - II"/>
    <s v="User Not Mapped"/>
    <s v="User Not Mapped"/>
    <s v="User Not Mapped"/>
    <n v="1037505"/>
    <s v="ASHADUL MONDAL"/>
    <s v="Private Retailer"/>
    <s v="7551027166"/>
    <n v="0.45"/>
    <n v="137"/>
    <x v="0"/>
    <m/>
    <s v="2025-12-11"/>
    <s v="280732"/>
    <s v="M/S-MADHUSUDAN GHOSH"/>
    <s v="9434823432"/>
  </r>
  <r>
    <s v="RCF Trombay"/>
    <s v="15-15-15"/>
    <s v="WB"/>
    <x v="15"/>
    <s v="Ranaghat - II"/>
    <s v="User Not Mapped"/>
    <s v="User Not Mapped"/>
    <s v="User Not Mapped"/>
    <n v="1055343"/>
    <s v="MANORANJAN MONDAL"/>
    <s v="Private Retailer"/>
    <s v="9083411741"/>
    <n v="2.5"/>
    <n v="42"/>
    <x v="1"/>
    <m/>
    <s v="2026-03-16"/>
    <s v="260178"/>
    <s v="M/s. Uttamendu Sarkar"/>
    <s v="9002483836"/>
  </r>
  <r>
    <s v="RCF Import"/>
    <s v="Imp 10-26-26"/>
    <s v="WB"/>
    <x v="15"/>
    <s v="Ranaghat - II"/>
    <s v="User Not Mapped"/>
    <s v="User Not Mapped"/>
    <s v="User Not Mapped"/>
    <n v="1055343"/>
    <s v="MANORANJAN MONDAL"/>
    <s v="Private Retailer"/>
    <s v="9083411741"/>
    <n v="11"/>
    <n v="61"/>
    <x v="2"/>
    <m/>
    <s v="2026-02-25"/>
    <s v="260178"/>
    <s v="M/s. Uttamendu Sarkar"/>
    <s v="9002483836"/>
  </r>
  <r>
    <s v="RCF Trombay"/>
    <s v="15-15-15"/>
    <s v="WB"/>
    <x v="15"/>
    <s v="Ranaghat - II"/>
    <s v="User Not Mapped"/>
    <s v="User Not Mapped"/>
    <s v="User Not Mapped"/>
    <n v="1055343"/>
    <s v="MANORANJAN MONDAL"/>
    <s v="Private Retailer"/>
    <s v="9083411741"/>
    <n v="1.5"/>
    <n v="54"/>
    <x v="1"/>
    <m/>
    <s v="2026-03-04"/>
    <s v="260178"/>
    <s v="M/s. Uttamendu Sarkar"/>
    <s v="9002483836"/>
  </r>
  <r>
    <s v="RCF Import"/>
    <s v="Imp 10-26-26"/>
    <s v="WB"/>
    <x v="15"/>
    <s v="Ranaghat - II"/>
    <s v="User Not Mapped"/>
    <s v="User Not Mapped"/>
    <s v="User Not Mapped"/>
    <n v="1055343"/>
    <s v="MANORANJAN MONDAL"/>
    <s v="Private Retailer"/>
    <s v="9083411741"/>
    <n v="1.25"/>
    <n v="230"/>
    <x v="3"/>
    <m/>
    <s v="2025-09-09"/>
    <s v="260178"/>
    <s v="M/s. Uttamendu Sarkar"/>
    <s v="9002483836"/>
  </r>
  <r>
    <s v="RCF Trombay"/>
    <s v="N.C.Urea(45kg)"/>
    <s v="WB"/>
    <x v="15"/>
    <s v="Ranaghat - II"/>
    <s v="User Not Mapped"/>
    <s v="User Not Mapped"/>
    <s v="User Not Mapped"/>
    <n v="1055343"/>
    <s v="MANORANJAN MONDAL"/>
    <s v="Private Retailer"/>
    <s v="9083411741"/>
    <n v="1.575"/>
    <n v="245"/>
    <x v="3"/>
    <m/>
    <s v="2025-08-25"/>
    <s v="260178"/>
    <s v="M/s. Uttamendu Sarkar"/>
    <s v="9002483836"/>
  </r>
  <r>
    <s v="RCF Thal"/>
    <s v="N.C.Urea(45kg)"/>
    <s v="WB"/>
    <x v="15"/>
    <s v="Ranaghat - II"/>
    <s v="User Not Mapped"/>
    <s v="User Not Mapped"/>
    <s v="User Not Mapped"/>
    <n v="1055343"/>
    <s v="MANORANJAN MONDAL"/>
    <s v="Private Retailer"/>
    <s v="9083411741"/>
    <n v="3.15"/>
    <n v="213"/>
    <x v="3"/>
    <m/>
    <s v="2025-09-26"/>
    <s v="260178"/>
    <s v="M/s. Uttamendu Sarkar"/>
    <s v="9002483836"/>
  </r>
  <r>
    <s v="RCF Trombay"/>
    <s v="N.C.Urea(45kg)"/>
    <s v="WB"/>
    <x v="15"/>
    <s v="Ranaghat - II"/>
    <s v="User Not Mapped"/>
    <s v="User Not Mapped"/>
    <s v="User Not Mapped"/>
    <n v="1055343"/>
    <s v="MANORANJAN MONDAL"/>
    <s v="Private Retailer"/>
    <s v="9083411741"/>
    <n v="4.9950000000000001"/>
    <n v="90"/>
    <x v="2"/>
    <m/>
    <s v="2026-01-27"/>
    <s v="260178"/>
    <s v="M/s. Uttamendu Sarkar"/>
    <s v="9002483836"/>
  </r>
  <r>
    <s v="RCF Import"/>
    <s v="MOP"/>
    <s v="WB"/>
    <x v="15"/>
    <s v="Ranaghat - II"/>
    <s v="User Not Mapped"/>
    <s v="User Not Mapped"/>
    <s v="User Not Mapped"/>
    <n v="1055343"/>
    <s v="MANORANJAN MONDAL"/>
    <s v="Private Retailer"/>
    <s v="9083411741"/>
    <n v="2"/>
    <n v="54"/>
    <x v="1"/>
    <m/>
    <s v="2026-03-04"/>
    <s v="260178"/>
    <s v="M/s. Uttamendu Sarkar"/>
    <s v="9002483836"/>
  </r>
  <r>
    <s v="RCF Trombay"/>
    <s v="N.C.Urea(45kg)"/>
    <s v="WB"/>
    <x v="15"/>
    <s v="Ranaghat - II"/>
    <s v="User Not Mapped"/>
    <s v="User Not Mapped"/>
    <s v="User Not Mapped"/>
    <n v="1059676"/>
    <s v="HEMAITPUR HAZRAPUR SKUS LTD"/>
    <s v="PACS"/>
    <s v="8391912548"/>
    <n v="1.125"/>
    <n v="73"/>
    <x v="2"/>
    <m/>
    <s v="2026-02-13"/>
    <s v="281284"/>
    <s v="Sadhan Kumar Ghosh"/>
    <s v="7602136568"/>
  </r>
  <r>
    <s v="RCF Trombay"/>
    <s v="N.C.Urea(45kg)"/>
    <s v="WB"/>
    <x v="15"/>
    <s v="Ranaghat - II"/>
    <s v="User Not Mapped"/>
    <s v="User Not Mapped"/>
    <s v="User Not Mapped"/>
    <n v="1061884"/>
    <s v="DHIRAT KUMAR BISWAS"/>
    <s v="Private Retailer"/>
    <s v="8327300835"/>
    <n v="0.85499999999999998"/>
    <n v="1123"/>
    <x v="7"/>
    <m/>
    <s v="2023-03-31"/>
    <s v="260177"/>
    <s v="SatyaRanjan Kundu and Brothers"/>
    <s v="7908186730"/>
  </r>
  <r>
    <s v="RCF Trombay"/>
    <s v="15-15-15"/>
    <s v="WB"/>
    <x v="15"/>
    <s v="Ranaghat - II"/>
    <s v="User Not Mapped"/>
    <s v="User Not Mapped"/>
    <s v="User Not Mapped"/>
    <n v="1061888"/>
    <s v="BHARAT MAULEY"/>
    <s v="Private Retailer"/>
    <s v="9382556819"/>
    <n v="0.06"/>
    <n v="194"/>
    <x v="3"/>
    <m/>
    <s v="2025-10-15"/>
    <s v="1036433"/>
    <s v="MRITTUNJAY KUNDU"/>
    <s v="9734074810"/>
  </r>
  <r>
    <s v="RCF Trombay"/>
    <s v="15-15-15"/>
    <s v="WB"/>
    <x v="15"/>
    <s v="Ranaghat - II"/>
    <s v="User Not Mapped"/>
    <s v="User Not Mapped"/>
    <s v="User Not Mapped"/>
    <n v="1061894"/>
    <s v="ASHISH GHOSH"/>
    <s v="Private Retailer"/>
    <s v="9732951478"/>
    <n v="9.75"/>
    <n v="79"/>
    <x v="2"/>
    <m/>
    <s v="2026-02-07"/>
    <s v="280732"/>
    <s v="M/S-MADHUSUDAN GHOSH"/>
    <s v="9434823432"/>
  </r>
  <r>
    <s v="RCF Trombay"/>
    <s v="15-15-15"/>
    <s v="WB"/>
    <x v="15"/>
    <s v="Ranaghat - II"/>
    <s v="User Not Mapped"/>
    <s v="User Not Mapped"/>
    <s v="User Not Mapped"/>
    <n v="1061908"/>
    <s v="SATYA BISWAS"/>
    <s v="Private Retailer"/>
    <s v="7407490168"/>
    <n v="0.5"/>
    <n v="1039"/>
    <x v="7"/>
    <m/>
    <s v="2023-06-23"/>
    <s v="260177"/>
    <s v="SatyaRanjan Kundu and Brothers"/>
    <s v="7908186730"/>
  </r>
  <r>
    <s v="RCF Trombay"/>
    <s v="N.C.Urea(45kg)"/>
    <s v="WB"/>
    <x v="15"/>
    <s v="Ranaghat - II"/>
    <s v="User Not Mapped"/>
    <s v="User Not Mapped"/>
    <s v="User Not Mapped"/>
    <n v="1061910"/>
    <s v="KAMDEB DAS "/>
    <s v="Private Retailer"/>
    <s v="9933124222"/>
    <n v="0.04"/>
    <n v="1112"/>
    <x v="7"/>
    <m/>
    <s v="2023-04-11"/>
    <s v="260177"/>
    <s v="SatyaRanjan Kundu and Brothers"/>
    <s v="7908186730"/>
  </r>
  <r>
    <s v="RCF Trombay"/>
    <s v="15-15-15"/>
    <s v="WB"/>
    <x v="15"/>
    <s v="Ranaghat - II"/>
    <s v="User Not Mapped"/>
    <s v="User Not Mapped"/>
    <s v="User Not Mapped"/>
    <n v="1061920"/>
    <s v="BASUDEB SAHA"/>
    <s v="Private Retailer"/>
    <s v="7679410646"/>
    <n v="1.65"/>
    <n v="488"/>
    <x v="6"/>
    <m/>
    <s v="2024-12-25"/>
    <s v="260177"/>
    <s v="SatyaRanjan Kundu and Brothers"/>
    <s v="7908186730"/>
  </r>
  <r>
    <s v="RCF Trombay"/>
    <s v="15-15-15"/>
    <s v="WB"/>
    <x v="15"/>
    <s v="Ranaghat - II"/>
    <s v="User Not Mapped"/>
    <s v="User Not Mapped"/>
    <s v="User Not Mapped"/>
    <n v="1061976"/>
    <s v="MADAN MOHAN PAL"/>
    <s v="Private Retailer"/>
    <s v="9002014081"/>
    <n v="1"/>
    <n v="150"/>
    <x v="0"/>
    <m/>
    <s v="2025-11-28"/>
    <s v="280729"/>
    <s v="M/s. Naresh Chandra Das"/>
    <s v="7365868045"/>
  </r>
  <r>
    <s v="RCF Thal"/>
    <s v="N.C.Urea(45kg)"/>
    <s v="WB"/>
    <x v="15"/>
    <s v="Ranaghat - II"/>
    <s v="User Not Mapped"/>
    <s v="User Not Mapped"/>
    <s v="User Not Mapped"/>
    <n v="1061976"/>
    <s v="MADAN MOHAN PAL"/>
    <s v="Private Retailer"/>
    <s v="9002014081"/>
    <n v="4.4999999999999998E-2"/>
    <n v="1439"/>
    <x v="7"/>
    <m/>
    <s v="2022-05-19"/>
    <s v="280729"/>
    <s v="M/s. Naresh Chandra Das"/>
    <s v="7365868045"/>
  </r>
  <r>
    <s v="RCF Trombay"/>
    <s v="N.C.Urea(45kg)"/>
    <s v="WB"/>
    <x v="15"/>
    <s v="Ranaghat - II"/>
    <s v="User Not Mapped"/>
    <s v="User Not Mapped"/>
    <s v="User Not Mapped"/>
    <n v="1061976"/>
    <s v="MADAN MOHAN PAL"/>
    <s v="Private Retailer"/>
    <s v="9002014081"/>
    <n v="0.52300000000000002"/>
    <n v="1209"/>
    <x v="7"/>
    <m/>
    <s v="2023-01-04"/>
    <s v="280729"/>
    <s v="M/s. Naresh Chandra Das"/>
    <s v="7365868045"/>
  </r>
  <r>
    <s v="RCF Import"/>
    <s v="Imp 10-26-26"/>
    <s v="WB"/>
    <x v="15"/>
    <s v="Ranaghat - II"/>
    <s v="User Not Mapped"/>
    <s v="User Not Mapped"/>
    <s v="User Not Mapped"/>
    <n v="1061976"/>
    <s v="MADAN MOHAN PAL"/>
    <s v="Private Retailer"/>
    <s v="9002014081"/>
    <n v="0.5"/>
    <n v="249"/>
    <x v="3"/>
    <m/>
    <s v="2025-08-21"/>
    <s v="280729"/>
    <s v="M/s. Naresh Chandra Das"/>
    <s v="7365868045"/>
  </r>
  <r>
    <s v="RCF Trombay"/>
    <s v="15-15-15"/>
    <s v="WB"/>
    <x v="15"/>
    <s v="Ranaghat - II"/>
    <s v="User Not Mapped"/>
    <s v="User Not Mapped"/>
    <s v="User Not Mapped"/>
    <n v="1062003"/>
    <s v="DILIP BISWAS"/>
    <s v="Private Retailer"/>
    <s v="9775266185"/>
    <n v="0.05"/>
    <n v="693"/>
    <x v="7"/>
    <m/>
    <s v="2024-06-03"/>
    <s v="281567"/>
    <s v="Rabindra Nath Biswas"/>
    <s v="9434197359"/>
  </r>
  <r>
    <s v="RCF Trombay"/>
    <s v="15-15-15"/>
    <s v="WB"/>
    <x v="15"/>
    <s v="Ranaghat - II"/>
    <s v="User Not Mapped"/>
    <s v="User Not Mapped"/>
    <s v="User Not Mapped"/>
    <n v="1062003"/>
    <s v="DILIP BISWAS"/>
    <s v="Private Retailer"/>
    <s v="9775266185"/>
    <n v="1"/>
    <n v="681"/>
    <x v="7"/>
    <m/>
    <s v="2024-06-15"/>
    <s v="281567"/>
    <s v="Rabindra Nath Biswas"/>
    <s v="9434197359"/>
  </r>
  <r>
    <s v="RCF Thal"/>
    <s v="N.C.Urea(45kg)"/>
    <s v="WB"/>
    <x v="15"/>
    <s v="Ranaghat - II"/>
    <s v="User Not Mapped"/>
    <s v="User Not Mapped"/>
    <s v="User Not Mapped"/>
    <n v="1062050"/>
    <s v="SANTI RANJAN SARKAR"/>
    <s v="Private Retailer"/>
    <s v="8116120085"/>
    <n v="0.01"/>
    <n v="520"/>
    <x v="6"/>
    <m/>
    <s v="2024-11-23"/>
    <s v="280729"/>
    <s v="M/s. Naresh Chandra Das"/>
    <s v="7365868045"/>
  </r>
  <r>
    <s v="RCF Trombay"/>
    <s v="15-15-15"/>
    <s v="WB"/>
    <x v="15"/>
    <s v="Ranaghat - II"/>
    <s v="User Not Mapped"/>
    <s v="User Not Mapped"/>
    <s v="User Not Mapped"/>
    <n v="1062072"/>
    <s v="HEMAITPUR SKUS LTD"/>
    <s v="PACS"/>
    <s v="9382770949"/>
    <n v="11"/>
    <n v="79"/>
    <x v="2"/>
    <m/>
    <s v="2026-02-07"/>
    <s v="1210862"/>
    <s v="S.S.P ENTERPRISE"/>
    <s v="9635197281"/>
  </r>
  <r>
    <s v="RCF Trombay"/>
    <s v="N.C.Urea(45kg)"/>
    <s v="WB"/>
    <x v="15"/>
    <s v="Ranaghat - II"/>
    <s v="User Not Mapped"/>
    <s v="User Not Mapped"/>
    <s v="User Not Mapped"/>
    <n v="1062090"/>
    <s v="DILIP KU BISWAS"/>
    <s v="Private Retailer"/>
    <s v="9735229895"/>
    <n v="0.04"/>
    <n v="2637"/>
    <x v="7"/>
    <m/>
    <s v="2019-02-06"/>
    <s v="260178"/>
    <s v="M/s. Uttamendu Sarkar"/>
    <s v="9002483836"/>
  </r>
  <r>
    <s v="RCF Trombay"/>
    <s v="15-15-15"/>
    <s v="WB"/>
    <x v="15"/>
    <s v="Ranaghat - II"/>
    <s v="User Not Mapped"/>
    <s v="User Not Mapped"/>
    <s v="User Not Mapped"/>
    <n v="1062090"/>
    <s v="DILIP KU BISWAS"/>
    <s v="Private Retailer"/>
    <s v="9735229895"/>
    <n v="0.55000000000000004"/>
    <n v="2079"/>
    <x v="7"/>
    <m/>
    <s v="2020-08-17"/>
    <s v="260178"/>
    <s v="M/s. Uttamendu Sarkar"/>
    <s v="9002483836"/>
  </r>
  <r>
    <s v="RCF Trombay"/>
    <s v="15-15-15"/>
    <s v="WB"/>
    <x v="15"/>
    <s v="Ranaghat - II"/>
    <s v="User Not Mapped"/>
    <s v="User Not Mapped"/>
    <s v="User Not Mapped"/>
    <n v="1062106"/>
    <s v="SAKENDER ALI SEKH BHANGI"/>
    <s v="Private Retailer"/>
    <s v="8250019668"/>
    <n v="0.5"/>
    <n v="638"/>
    <x v="7"/>
    <m/>
    <s v="2024-07-28"/>
    <s v="281285"/>
    <s v="Bhabani Prosad Chattopadhy"/>
    <s v="7548026544"/>
  </r>
  <r>
    <s v="RCF Trombay"/>
    <s v="15-15-15"/>
    <s v="WB"/>
    <x v="15"/>
    <s v="Ranaghat - II"/>
    <s v="User Not Mapped"/>
    <s v="User Not Mapped"/>
    <s v="User Not Mapped"/>
    <n v="1062106"/>
    <s v="SAKENDER ALI SEKH BHANGI"/>
    <s v="Private Retailer"/>
    <s v="8250019668"/>
    <n v="0.1"/>
    <n v="667"/>
    <x v="7"/>
    <m/>
    <s v="2024-06-29"/>
    <s v="281285"/>
    <s v="Bhabani Prosad Chattopadhy"/>
    <s v="7548026544"/>
  </r>
  <r>
    <s v="RCF Import"/>
    <s v="Imp 10-26-26"/>
    <s v="WB"/>
    <x v="15"/>
    <s v="Ranaghat - II"/>
    <s v="User Not Mapped"/>
    <s v="User Not Mapped"/>
    <s v="User Not Mapped"/>
    <n v="1062106"/>
    <s v="SAKENDER ALI SEKH BHANGI"/>
    <s v="Private Retailer"/>
    <s v="8250019668"/>
    <n v="0.05"/>
    <n v="925"/>
    <x v="7"/>
    <m/>
    <s v="2023-10-15"/>
    <s v="281285"/>
    <s v="Bhabani Prosad Chattopadhy"/>
    <s v="7548026544"/>
  </r>
  <r>
    <s v="RCF Thal"/>
    <s v="N.C.Urea(45kg)"/>
    <s v="WB"/>
    <x v="15"/>
    <s v="Ranaghat - II"/>
    <s v="User Not Mapped"/>
    <s v="User Not Mapped"/>
    <s v="User Not Mapped"/>
    <n v="1062106"/>
    <s v="SAKENDER ALI SEKH BHANGI"/>
    <s v="Private Retailer"/>
    <s v="8250019668"/>
    <n v="0.18"/>
    <n v="1200"/>
    <x v="7"/>
    <m/>
    <s v="2023-01-13"/>
    <s v="281285"/>
    <s v="Bhabani Prosad Chattopadhy"/>
    <s v="7548026544"/>
  </r>
  <r>
    <s v="RCF Thal"/>
    <s v="N.C.Urea(45kg)"/>
    <s v="WB"/>
    <x v="15"/>
    <s v="Ranaghat - II"/>
    <s v="User Not Mapped"/>
    <s v="User Not Mapped"/>
    <s v="User Not Mapped"/>
    <n v="1062106"/>
    <s v="SAKENDER ALI SEKH BHANGI"/>
    <s v="Private Retailer"/>
    <s v="8250019668"/>
    <n v="0.45"/>
    <n v="1021"/>
    <x v="7"/>
    <m/>
    <s v="2023-07-11"/>
    <s v="281285"/>
    <s v="Bhabani Prosad Chattopadhy"/>
    <s v="7548026544"/>
  </r>
  <r>
    <s v="RCF Trombay"/>
    <s v="15-15-15"/>
    <s v="WB"/>
    <x v="15"/>
    <s v="Ranaghat - II"/>
    <s v="User Not Mapped"/>
    <s v="User Not Mapped"/>
    <s v="User Not Mapped"/>
    <n v="1062106"/>
    <s v="SAKENDER ALI SEKH BHANGI"/>
    <s v="Private Retailer"/>
    <s v="8250019668"/>
    <n v="0.1"/>
    <n v="71"/>
    <x v="2"/>
    <m/>
    <s v="2026-02-15"/>
    <s v="281285"/>
    <s v="Bhabani Prosad Chattopadhy"/>
    <s v="7548026544"/>
  </r>
  <r>
    <s v="RCF Trombay"/>
    <s v="15-15-15"/>
    <s v="WB"/>
    <x v="15"/>
    <s v="Ranaghat - II"/>
    <s v="User Not Mapped"/>
    <s v="User Not Mapped"/>
    <s v="User Not Mapped"/>
    <n v="1062106"/>
    <s v="SAKENDER ALI SEKH BHANGI"/>
    <s v="Private Retailer"/>
    <s v="8250019668"/>
    <n v="0.25"/>
    <n v="594"/>
    <x v="7"/>
    <m/>
    <s v="2024-09-10"/>
    <s v="281285"/>
    <s v="Bhabani Prosad Chattopadhy"/>
    <s v="7548026544"/>
  </r>
  <r>
    <s v="RCF Trombay"/>
    <s v="15-15-15"/>
    <s v="WB"/>
    <x v="15"/>
    <s v="Ranaghat - II"/>
    <s v="User Not Mapped"/>
    <s v="User Not Mapped"/>
    <s v="User Not Mapped"/>
    <n v="1062106"/>
    <s v="SAKENDER ALI SEKH BHANGI"/>
    <s v="Private Retailer"/>
    <s v="8250019668"/>
    <n v="0.15"/>
    <n v="36"/>
    <x v="1"/>
    <m/>
    <s v="2026-03-22"/>
    <s v="281285"/>
    <s v="Bhabani Prosad Chattopadhy"/>
    <s v="7548026544"/>
  </r>
  <r>
    <s v="RCF Trombay"/>
    <s v="15-15-15"/>
    <s v="WB"/>
    <x v="15"/>
    <s v="Ranaghat - II"/>
    <s v="User Not Mapped"/>
    <s v="User Not Mapped"/>
    <s v="User Not Mapped"/>
    <n v="1062106"/>
    <s v="SAKENDER ALI SEKH BHANGI"/>
    <s v="Private Retailer"/>
    <s v="8250019668"/>
    <n v="0.39900000000000002"/>
    <n v="720"/>
    <x v="7"/>
    <m/>
    <s v="2024-05-07"/>
    <s v="281285"/>
    <s v="Bhabani Prosad Chattopadhy"/>
    <s v="7548026544"/>
  </r>
  <r>
    <s v="RCF Thal"/>
    <s v="N.C.Urea(45kg)"/>
    <s v="WB"/>
    <x v="15"/>
    <s v="Ranaghat - II"/>
    <s v="User Not Mapped"/>
    <s v="User Not Mapped"/>
    <s v="User Not Mapped"/>
    <n v="1107835"/>
    <s v="LATIKA MITRA DEY"/>
    <s v="Private Retailer"/>
    <s v="8637587924"/>
    <n v="7.6950000000000003"/>
    <n v="45"/>
    <x v="1"/>
    <m/>
    <s v="2026-03-13"/>
    <s v="260177"/>
    <s v="SatyaRanjan Kundu and Brothers"/>
    <s v="7908186730"/>
  </r>
  <r>
    <s v="RCF Import"/>
    <s v="MOP"/>
    <s v="WB"/>
    <x v="15"/>
    <s v="Ranaghat - II"/>
    <s v="User Not Mapped"/>
    <s v="User Not Mapped"/>
    <s v="User Not Mapped"/>
    <n v="1107835"/>
    <s v="LATIKA MITRA DEY"/>
    <s v="Private Retailer"/>
    <s v="8637587924"/>
    <n v="1.6"/>
    <n v="62"/>
    <x v="2"/>
    <m/>
    <s v="2026-02-24"/>
    <s v="260177"/>
    <s v="SatyaRanjan Kundu and Brothers"/>
    <s v="7908186730"/>
  </r>
  <r>
    <s v="RCF Import"/>
    <s v="Imp 10-26-26"/>
    <s v="WB"/>
    <x v="15"/>
    <s v="Ranaghat - II"/>
    <s v="User Not Mapped"/>
    <s v="User Not Mapped"/>
    <s v="User Not Mapped"/>
    <n v="1137563"/>
    <s v="M/S Biswajit Ghosh"/>
    <s v="Private Retailer"/>
    <s v="9332394355"/>
    <n v="0.1"/>
    <n v="316"/>
    <x v="3"/>
    <m/>
    <s v="2025-06-15"/>
    <s v="281285"/>
    <s v="Bhabani Prosad Chattopadhy"/>
    <s v="7548026544"/>
  </r>
  <r>
    <s v="RCF Trombay"/>
    <s v="15-15-15"/>
    <s v="WB"/>
    <x v="15"/>
    <s v="Ranaghat - II"/>
    <s v="User Not Mapped"/>
    <s v="User Not Mapped"/>
    <s v="User Not Mapped"/>
    <n v="1137563"/>
    <s v="M/S Biswajit Ghosh"/>
    <s v="Private Retailer"/>
    <s v="9332394355"/>
    <n v="0.1"/>
    <n v="160"/>
    <x v="0"/>
    <m/>
    <s v="2025-11-18"/>
    <s v="281285"/>
    <s v="Bhabani Prosad Chattopadhy"/>
    <s v="7548026544"/>
  </r>
  <r>
    <s v="RCF Trombay"/>
    <s v="N.C.Urea(45kg)"/>
    <s v="WB"/>
    <x v="15"/>
    <s v="Ranaghat - II"/>
    <s v="User Not Mapped"/>
    <s v="User Not Mapped"/>
    <s v="User Not Mapped"/>
    <n v="1137563"/>
    <s v="M/S Biswajit Ghosh"/>
    <s v="Private Retailer"/>
    <s v="9332394355"/>
    <n v="0.16500000000000001"/>
    <n v="271"/>
    <x v="3"/>
    <m/>
    <s v="2025-07-30"/>
    <s v="281285"/>
    <s v="Bhabani Prosad Chattopadhy"/>
    <s v="7548026544"/>
  </r>
  <r>
    <s v="RCF Trombay"/>
    <s v="N.C.Urea(45kg)"/>
    <s v="WB"/>
    <x v="15"/>
    <s v="Ranaghat - II"/>
    <s v="User Not Mapped"/>
    <s v="User Not Mapped"/>
    <s v="User Not Mapped"/>
    <n v="1137563"/>
    <s v="M/S Biswajit Ghosh"/>
    <s v="Private Retailer"/>
    <s v="9332394355"/>
    <n v="0.45"/>
    <n v="246"/>
    <x v="3"/>
    <m/>
    <s v="2025-08-24"/>
    <s v="281285"/>
    <s v="Bhabani Prosad Chattopadhy"/>
    <s v="7548026544"/>
  </r>
  <r>
    <s v="RCF Trombay"/>
    <s v="15-15-15"/>
    <s v="WB"/>
    <x v="15"/>
    <s v="Ranaghat - II"/>
    <s v="User Not Mapped"/>
    <s v="User Not Mapped"/>
    <s v="User Not Mapped"/>
    <n v="1137563"/>
    <s v="M/S Biswajit Ghosh"/>
    <s v="Private Retailer"/>
    <s v="9332394355"/>
    <n v="0.15"/>
    <n v="173"/>
    <x v="0"/>
    <m/>
    <s v="2025-11-05"/>
    <s v="281285"/>
    <s v="Bhabani Prosad Chattopadhy"/>
    <s v="7548026544"/>
  </r>
  <r>
    <s v="RCF Trombay"/>
    <s v="N.C.Urea(45kg)"/>
    <s v="WB"/>
    <x v="15"/>
    <s v="Ranaghat - II"/>
    <s v="User Not Mapped"/>
    <s v="User Not Mapped"/>
    <s v="User Not Mapped"/>
    <n v="1137563"/>
    <s v="M/S Biswajit Ghosh"/>
    <s v="Private Retailer"/>
    <s v="9332394355"/>
    <n v="0.45"/>
    <n v="173"/>
    <x v="0"/>
    <m/>
    <s v="2025-11-05"/>
    <s v="281285"/>
    <s v="Bhabani Prosad Chattopadhy"/>
    <s v="7548026544"/>
  </r>
  <r>
    <s v="RCF Trombay"/>
    <s v="15-15-15"/>
    <s v="WB"/>
    <x v="15"/>
    <s v="Ranaghat - II"/>
    <s v="User Not Mapped"/>
    <s v="User Not Mapped"/>
    <s v="User Not Mapped"/>
    <n v="1137563"/>
    <s v="M/S Biswajit Ghosh"/>
    <s v="Private Retailer"/>
    <s v="9332394355"/>
    <n v="0.15"/>
    <n v="75"/>
    <x v="2"/>
    <m/>
    <s v="2026-02-11"/>
    <s v="281285"/>
    <s v="Bhabani Prosad Chattopadhy"/>
    <s v="7548026544"/>
  </r>
  <r>
    <s v="RCF Trombay"/>
    <s v="N.C.Urea(45kg)"/>
    <s v="WB"/>
    <x v="15"/>
    <s v="Ranaghat - II"/>
    <s v="User Not Mapped"/>
    <s v="User Not Mapped"/>
    <s v="User Not Mapped"/>
    <n v="1137563"/>
    <s v="M/S Biswajit Ghosh"/>
    <s v="Private Retailer"/>
    <s v="9332394355"/>
    <n v="0.45"/>
    <n v="239"/>
    <x v="3"/>
    <m/>
    <s v="2025-08-31"/>
    <s v="281285"/>
    <s v="Bhabani Prosad Chattopadhy"/>
    <s v="7548026544"/>
  </r>
  <r>
    <s v="RCF Trombay"/>
    <s v="15-15-15"/>
    <s v="WB"/>
    <x v="15"/>
    <s v="Ranaghat - II"/>
    <s v="User Not Mapped"/>
    <s v="User Not Mapped"/>
    <s v="User Not Mapped"/>
    <n v="1258436"/>
    <s v="M/S BANKIM BISWAS"/>
    <s v="Private Retailer"/>
    <s v="9641180185"/>
    <n v="3.75"/>
    <n v="90"/>
    <x v="2"/>
    <m/>
    <s v="2026-01-27"/>
    <s v="259034"/>
    <s v="MS Guha And Co"/>
    <s v="8695359505"/>
  </r>
  <r>
    <s v="RCF Trombay"/>
    <s v="N.C.Urea(45kg)"/>
    <s v="WB"/>
    <x v="15"/>
    <s v="Ranaghat - II"/>
    <s v="User Not Mapped"/>
    <s v="User Not Mapped"/>
    <s v="User Not Mapped"/>
    <n v="1258436"/>
    <s v="M/S BANKIM BISWAS"/>
    <s v="Private Retailer"/>
    <s v="9641180185"/>
    <n v="4.4999999999999998E-2"/>
    <n v="815"/>
    <x v="7"/>
    <m/>
    <s v="2024-02-02"/>
    <s v="260178"/>
    <s v="M/s. Uttamendu Sarkar"/>
    <s v="9002483836"/>
  </r>
  <r>
    <s v="RCF Trombay"/>
    <s v="15-15-15"/>
    <s v="WB"/>
    <x v="15"/>
    <s v="Ranaghat - II"/>
    <s v="User Not Mapped"/>
    <s v="User Not Mapped"/>
    <s v="User Not Mapped"/>
    <n v="1320560"/>
    <s v="MS Biplab Biswas"/>
    <s v="Private Retailer"/>
    <s v="9609391373"/>
    <n v="1.35"/>
    <n v="252"/>
    <x v="3"/>
    <m/>
    <s v="2025-08-18"/>
    <s v="260177"/>
    <s v="SatyaRanjan Kundu and Brothers"/>
    <s v="7908186730"/>
  </r>
  <r>
    <s v="RCF Thal"/>
    <s v="N.C.Urea(45kg)"/>
    <s v="WB"/>
    <x v="15"/>
    <s v="Ranaghat - II"/>
    <s v="User Not Mapped"/>
    <s v="User Not Mapped"/>
    <s v="User Not Mapped"/>
    <n v="1320560"/>
    <s v="MS Biplab Biswas"/>
    <s v="Private Retailer"/>
    <s v="9609391373"/>
    <n v="3.32"/>
    <n v="48"/>
    <x v="1"/>
    <m/>
    <s v="2026-03-10"/>
    <s v="259034"/>
    <s v="MS Guha And Co"/>
    <s v="8695359505"/>
  </r>
  <r>
    <s v="RCF Thal"/>
    <s v="N.C.Urea(45kg)"/>
    <s v="WB"/>
    <x v="15"/>
    <s v="Ranaghat - II"/>
    <s v="User Not Mapped"/>
    <s v="User Not Mapped"/>
    <s v="User Not Mapped"/>
    <n v="1478874"/>
    <s v="BISWAS FERTILIZERS A PESTICIDE"/>
    <s v="Private Retailer"/>
    <s v="7908685504"/>
    <n v="0.54"/>
    <n v="290"/>
    <x v="3"/>
    <m/>
    <s v="2025-07-11"/>
    <s v="281568"/>
    <s v="Pradip Kr Chanda"/>
    <s v="9733490091"/>
  </r>
  <r>
    <s v="RCF Trombay"/>
    <s v="N.C.Urea(45kg)"/>
    <s v="WB"/>
    <x v="15"/>
    <s v="Ranaghat - II"/>
    <s v="User Not Mapped"/>
    <s v="User Not Mapped"/>
    <s v="User Not Mapped"/>
    <n v="1478874"/>
    <s v="BISWAS FERTILIZERS A PESTICIDE"/>
    <s v="Private Retailer"/>
    <s v="7908685504"/>
    <n v="0.315"/>
    <n v="469"/>
    <x v="6"/>
    <m/>
    <s v="2025-01-13"/>
    <s v="281285"/>
    <s v="Bhabani Prosad Chattopadhy"/>
    <s v="7548026544"/>
  </r>
  <r>
    <s v="RCF Trombay"/>
    <s v="15-15-15"/>
    <s v="WB"/>
    <x v="15"/>
    <s v="Ranaghat - II"/>
    <s v="User Not Mapped"/>
    <s v="User Not Mapped"/>
    <s v="User Not Mapped"/>
    <n v="1478876"/>
    <s v="SARKAR FERTILIZERS SEED AND PE"/>
    <s v="Private Retailer"/>
    <s v="9832920192"/>
    <n v="1.6"/>
    <n v="135"/>
    <x v="0"/>
    <m/>
    <s v="2025-12-13"/>
    <s v="260177"/>
    <s v="SatyaRanjan Kundu and Brothers"/>
    <s v="7908186730"/>
  </r>
  <r>
    <s v="RCF Trombay"/>
    <s v="N.C.Urea(45kg)"/>
    <s v="WB"/>
    <x v="15"/>
    <s v="Ranaghat - II"/>
    <s v="User Not Mapped"/>
    <s v="User Not Mapped"/>
    <s v="User Not Mapped"/>
    <n v="1478876"/>
    <s v="SARKAR FERTILIZERS SEED AND PE"/>
    <s v="Private Retailer"/>
    <s v="9832920192"/>
    <n v="0.40500000000000003"/>
    <n v="132"/>
    <x v="0"/>
    <m/>
    <s v="2025-12-16"/>
    <s v="1043444"/>
    <s v="UMA RANI SAHA"/>
    <s v="9775414001"/>
  </r>
  <r>
    <s v="RCF Trombay"/>
    <s v="15-15-15"/>
    <s v="WB"/>
    <x v="15"/>
    <s v="Ranaghat - II"/>
    <s v="User Not Mapped"/>
    <s v="User Not Mapped"/>
    <s v="User Not Mapped"/>
    <n v="1480313"/>
    <s v="M/S SANATAN BISWAS"/>
    <s v="Private Retailer"/>
    <s v="9093014203"/>
    <n v="2.2999999999999998"/>
    <n v="82"/>
    <x v="2"/>
    <m/>
    <s v="2026-02-04"/>
    <s v="260177"/>
    <s v="SatyaRanjan Kundu and Brothers"/>
    <s v="7908186730"/>
  </r>
  <r>
    <s v="RCF Trombay"/>
    <s v="15-15-15"/>
    <s v="WB"/>
    <x v="15"/>
    <s v="Ranaghat - II"/>
    <s v="User Not Mapped"/>
    <s v="User Not Mapped"/>
    <s v="User Not Mapped"/>
    <n v="1510466"/>
    <s v="PRAMANICK FERTILIZER"/>
    <s v="Private Retailer"/>
    <s v="7001593041"/>
    <n v="1.5"/>
    <n v="33"/>
    <x v="1"/>
    <m/>
    <s v="2026-03-25"/>
    <s v="260178"/>
    <s v="M/s. Uttamendu Sarkar"/>
    <s v="9002483836"/>
  </r>
  <r>
    <s v="RCF Thal"/>
    <s v="N.C.Urea(45kg)"/>
    <s v="WB"/>
    <x v="15"/>
    <s v="Ranaghat - II"/>
    <s v="User Not Mapped"/>
    <s v="User Not Mapped"/>
    <s v="User Not Mapped"/>
    <n v="1510466"/>
    <s v="PRAMANICK FERTILIZER"/>
    <s v="Private Retailer"/>
    <s v="7001593041"/>
    <n v="10.98"/>
    <n v="48"/>
    <x v="1"/>
    <m/>
    <s v="2026-03-10"/>
    <s v="260178"/>
    <s v="M/s. Uttamendu Sarkar"/>
    <s v="9002483836"/>
  </r>
  <r>
    <s v="RCF Import"/>
    <s v="MOP"/>
    <s v="WB"/>
    <x v="15"/>
    <s v="Ranaghat - II"/>
    <s v="User Not Mapped"/>
    <s v="User Not Mapped"/>
    <s v="User Not Mapped"/>
    <n v="1510466"/>
    <s v="PRAMANICK FERTILIZER"/>
    <s v="Private Retailer"/>
    <s v="7001593041"/>
    <n v="1.5"/>
    <n v="33"/>
    <x v="1"/>
    <m/>
    <s v="2026-03-25"/>
    <s v="260178"/>
    <s v="M/s. Uttamendu Sarkar"/>
    <s v="9002483836"/>
  </r>
  <r>
    <s v="RCF Trombay"/>
    <s v="15-15-15"/>
    <s v="WB"/>
    <x v="15"/>
    <s v="Ranaghat - II"/>
    <s v="User Not Mapped"/>
    <s v="User Not Mapped"/>
    <s v="User Not Mapped"/>
    <n v="1510466"/>
    <s v="PRAMANICK FERTILIZER"/>
    <s v="Private Retailer"/>
    <s v="7001593041"/>
    <n v="0.05"/>
    <n v="46"/>
    <x v="1"/>
    <m/>
    <s v="2026-03-12"/>
    <s v="260178"/>
    <s v="M/s. Uttamendu Sarkar"/>
    <s v="9002483836"/>
  </r>
  <r>
    <s v="RCF Trombay"/>
    <s v="15-15-15"/>
    <s v="WB"/>
    <x v="15"/>
    <s v="Ranaghat - II"/>
    <s v="User Not Mapped"/>
    <s v="User Not Mapped"/>
    <s v="User Not Mapped"/>
    <n v="1513369"/>
    <s v="JAGANNATH PAUL"/>
    <s v="Private Retailer"/>
    <s v="9143119974"/>
    <n v="0.35"/>
    <n v="251"/>
    <x v="3"/>
    <m/>
    <s v="2025-08-19"/>
    <s v="259034"/>
    <s v="MS Guha And Co"/>
    <s v="8695359505"/>
  </r>
  <r>
    <s v="RCF Thal"/>
    <s v="N.C.Urea(45kg)"/>
    <s v="WB"/>
    <x v="15"/>
    <s v="Ranaghat - II"/>
    <s v="User Not Mapped"/>
    <s v="User Not Mapped"/>
    <s v="User Not Mapped"/>
    <n v="1537841"/>
    <s v="SRIKRISHNA FERTILIZER"/>
    <s v="Private Retailer"/>
    <s v="9832016515"/>
    <n v="2.16"/>
    <n v="200"/>
    <x v="3"/>
    <m/>
    <s v="2025-10-09"/>
    <s v="280732"/>
    <s v="M/S-MADHUSUDAN GHOSH"/>
    <s v="9434823432"/>
  </r>
  <r>
    <s v="RCF Trombay"/>
    <s v="15-15-15"/>
    <s v="WB"/>
    <x v="15"/>
    <s v="Ranaghat - II"/>
    <s v="User Not Mapped"/>
    <s v="User Not Mapped"/>
    <s v="User Not Mapped"/>
    <n v="1538250"/>
    <s v="AVOY KRISHI BHANDER"/>
    <s v="Private Retailer"/>
    <s v="7029830098"/>
    <n v="0.08"/>
    <n v="31"/>
    <x v="1"/>
    <m/>
    <s v="2026-03-27"/>
    <s v="1043444"/>
    <s v="UMA RANI SAHA"/>
    <s v="9775414001"/>
  </r>
  <r>
    <s v="RCF Trombay"/>
    <s v="15-15-15"/>
    <s v="WB"/>
    <x v="15"/>
    <s v="Ranaghat - II"/>
    <s v="User Not Mapped"/>
    <s v="User Not Mapped"/>
    <s v="User Not Mapped"/>
    <n v="1560789"/>
    <s v="M/S CHABI DAS"/>
    <s v="Private Retailer"/>
    <s v="8207249410"/>
    <n v="0.3"/>
    <n v="22"/>
    <x v="4"/>
    <m/>
    <s v="2026-04-05"/>
    <s v="281285"/>
    <s v="Bhabani Prosad Chattopadhy"/>
    <s v="7548026544"/>
  </r>
  <r>
    <s v="RCF Import"/>
    <s v="Imp 10-26-26"/>
    <s v="WB"/>
    <x v="15"/>
    <s v="Ranaghat - II"/>
    <s v="User Not Mapped"/>
    <s v="User Not Mapped"/>
    <s v="User Not Mapped"/>
    <n v="1561715"/>
    <s v="SUVANKAR DAS"/>
    <s v="Private Retailer"/>
    <s v="6294337522"/>
    <n v="0.2"/>
    <n v="271"/>
    <x v="3"/>
    <m/>
    <s v="2025-07-30"/>
    <s v="1222703"/>
    <s v="SANDIP CHANDA"/>
    <s v="9232773990"/>
  </r>
  <r>
    <s v="RCF Trombay"/>
    <s v="15-15-15"/>
    <s v="WB"/>
    <x v="15"/>
    <s v="Ranaghat - II"/>
    <s v="User Not Mapped"/>
    <s v="User Not Mapped"/>
    <s v="User Not Mapped"/>
    <n v="1561715"/>
    <s v="SUVANKAR DAS"/>
    <s v="Private Retailer"/>
    <s v="6294337522"/>
    <n v="0.2"/>
    <n v="267"/>
    <x v="3"/>
    <m/>
    <s v="2025-08-03"/>
    <s v="1043444"/>
    <s v="UMA RANI SAHA"/>
    <s v="9775414001"/>
  </r>
  <r>
    <s v="RCF Trombay"/>
    <s v="15-15-15"/>
    <s v="WB"/>
    <x v="15"/>
    <s v="Ranaghat - II"/>
    <s v="User Not Mapped"/>
    <s v="User Not Mapped"/>
    <s v="User Not Mapped"/>
    <n v="1561715"/>
    <s v="SUVANKAR DAS"/>
    <s v="Private Retailer"/>
    <s v="6294337522"/>
    <n v="0.25"/>
    <n v="224"/>
    <x v="3"/>
    <m/>
    <s v="2025-09-15"/>
    <s v="1222703"/>
    <s v="SANDIP CHANDA"/>
    <s v="9232773990"/>
  </r>
  <r>
    <s v="RCF Trombay"/>
    <s v="15-15-15"/>
    <s v="WB"/>
    <x v="15"/>
    <s v="Ranaghat - II"/>
    <s v="User Not Mapped"/>
    <s v="User Not Mapped"/>
    <s v="User Not Mapped"/>
    <n v="1612688"/>
    <s v="M/S ABU SIDDIQUE FERTILIZER"/>
    <s v="Private Retailer"/>
    <s v="9733984141"/>
    <n v="0.45"/>
    <n v="45"/>
    <x v="1"/>
    <m/>
    <s v="2026-03-13"/>
    <s v="281285"/>
    <s v="Bhabani Prosad Chattopadhy"/>
    <s v="7548026544"/>
  </r>
  <r>
    <s v="RCF Thal"/>
    <s v="N.C.Urea(45kg)"/>
    <s v="WB"/>
    <x v="15"/>
    <s v="Ranaghat - II"/>
    <s v="User Not Mapped"/>
    <s v="User Not Mapped"/>
    <s v="User Not Mapped"/>
    <n v="1612688"/>
    <s v="M/S ABU SIDDIQUE FERTILIZER"/>
    <s v="Private Retailer"/>
    <s v="9733984141"/>
    <n v="1.17"/>
    <n v="43"/>
    <x v="1"/>
    <m/>
    <s v="2026-03-15"/>
    <s v="281285"/>
    <s v="Bhabani Prosad Chattopadhy"/>
    <s v="7548026544"/>
  </r>
  <r>
    <s v="RCF Import"/>
    <s v="MOP"/>
    <s v="WB"/>
    <x v="15"/>
    <s v="Ranaghat - II"/>
    <s v="User Not Mapped"/>
    <s v="User Not Mapped"/>
    <s v="User Not Mapped"/>
    <n v="1612688"/>
    <s v="M/S ABU SIDDIQUE FERTILIZER"/>
    <s v="Private Retailer"/>
    <s v="9733984141"/>
    <n v="0.35"/>
    <n v="45"/>
    <x v="1"/>
    <m/>
    <s v="2026-03-13"/>
    <s v="281285"/>
    <s v="Bhabani Prosad Chattopadhy"/>
    <s v="7548026544"/>
  </r>
  <r>
    <s v="RCF Trombay"/>
    <s v="15-15-15"/>
    <s v="WB"/>
    <x v="15"/>
    <s v="Santipur"/>
    <s v="User Not Mapped"/>
    <s v="User Not Mapped"/>
    <s v="User Not Mapped"/>
    <n v="218888"/>
    <s v="Tapan Kr Mallick"/>
    <s v="Private Retailer"/>
    <s v="9333321159"/>
    <n v="1.5"/>
    <n v="60"/>
    <x v="1"/>
    <m/>
    <s v="2026-02-26"/>
    <s v="280729"/>
    <s v="M/s. Naresh Chandra Das"/>
    <s v="7365868045"/>
  </r>
  <r>
    <s v="RCF Thal"/>
    <s v="N.C.Urea(45kg)"/>
    <s v="WB"/>
    <x v="15"/>
    <s v="Santipur"/>
    <s v="User Not Mapped"/>
    <s v="User Not Mapped"/>
    <s v="User Not Mapped"/>
    <n v="218910"/>
    <s v="Joydeb Ghosh"/>
    <s v="Private Retailer"/>
    <s v="7001340589"/>
    <n v="0.36"/>
    <n v="21"/>
    <x v="4"/>
    <m/>
    <s v="2026-04-06"/>
    <s v="260177"/>
    <s v="SatyaRanjan Kundu and Brothers"/>
    <s v="7908186730"/>
  </r>
  <r>
    <s v="RCF Import"/>
    <s v="MOP"/>
    <s v="WB"/>
    <x v="15"/>
    <s v="Santipur"/>
    <s v="User Not Mapped"/>
    <s v="User Not Mapped"/>
    <s v="User Not Mapped"/>
    <n v="218910"/>
    <s v="Joydeb Ghosh"/>
    <s v="Private Retailer"/>
    <s v="7001340589"/>
    <n v="0.9"/>
    <n v="53"/>
    <x v="1"/>
    <m/>
    <s v="2026-03-05"/>
    <s v="260177"/>
    <s v="SatyaRanjan Kundu and Brothers"/>
    <s v="7908186730"/>
  </r>
  <r>
    <s v="RCF Trombay"/>
    <s v="15-15-15"/>
    <s v="WB"/>
    <x v="15"/>
    <s v="Santipur"/>
    <s v="User Not Mapped"/>
    <s v="User Not Mapped"/>
    <s v="User Not Mapped"/>
    <n v="218912"/>
    <s v="MS BISWAS FERTILIZER"/>
    <s v="Private Retailer"/>
    <s v="9647146919"/>
    <n v="0.5"/>
    <n v="60"/>
    <x v="1"/>
    <m/>
    <s v="2026-02-26"/>
    <s v="280729"/>
    <s v="M/s. Naresh Chandra Das"/>
    <s v="7365868045"/>
  </r>
  <r>
    <s v="RCF Trombay"/>
    <s v="15-15-15"/>
    <s v="WB"/>
    <x v="15"/>
    <s v="Santipur"/>
    <s v="User Not Mapped"/>
    <s v="User Not Mapped"/>
    <s v="User Not Mapped"/>
    <n v="272865"/>
    <s v="Amar Chakraborty"/>
    <s v="Private Retailer"/>
    <s v="9851870585"/>
    <n v="0.1"/>
    <n v="61"/>
    <x v="2"/>
    <m/>
    <s v="2026-02-25"/>
    <s v="280913"/>
    <s v="S.S.P Enterprise"/>
    <s v="9732669190"/>
  </r>
  <r>
    <s v="RCF Trombay"/>
    <s v="15-15-15"/>
    <s v="WB"/>
    <x v="15"/>
    <s v="Santipur"/>
    <s v="User Not Mapped"/>
    <s v="User Not Mapped"/>
    <s v="User Not Mapped"/>
    <n v="281562"/>
    <s v="Debranjan Das"/>
    <s v="Private Retailer"/>
    <s v="9563579536"/>
    <n v="0.75"/>
    <n v="51"/>
    <x v="1"/>
    <m/>
    <s v="2026-03-07"/>
    <s v="214222"/>
    <s v="Mahamaya Enterprise"/>
    <s v="8348217174"/>
  </r>
  <r>
    <s v="RCF Trombay"/>
    <s v="N.C.Urea(45kg)"/>
    <s v="WB"/>
    <x v="15"/>
    <s v="Santipur"/>
    <s v="User Not Mapped"/>
    <s v="User Not Mapped"/>
    <s v="User Not Mapped"/>
    <n v="281562"/>
    <s v="Debranjan Das"/>
    <s v="Private Retailer"/>
    <s v="9563579536"/>
    <n v="1.4850000000000001"/>
    <n v="51"/>
    <x v="1"/>
    <m/>
    <s v="2026-03-07"/>
    <s v="214222"/>
    <s v="Mahamaya Enterprise"/>
    <s v="8348217174"/>
  </r>
  <r>
    <s v="RCF Trombay"/>
    <s v="15-15-15"/>
    <s v="WB"/>
    <x v="15"/>
    <s v="Santipur"/>
    <s v="User Not Mapped"/>
    <s v="User Not Mapped"/>
    <s v="User Not Mapped"/>
    <n v="281563"/>
    <s v="Dipak Das"/>
    <s v="Private Retailer"/>
    <s v="9932344220"/>
    <n v="0.5"/>
    <n v="75"/>
    <x v="2"/>
    <m/>
    <s v="2026-02-11"/>
    <s v="260178"/>
    <s v="M/s. Uttamendu Sarkar"/>
    <s v="9002483836"/>
  </r>
  <r>
    <s v="RCF Thal"/>
    <s v="N.C.Urea(45kg)"/>
    <s v="WB"/>
    <x v="15"/>
    <s v="Santipur"/>
    <s v="User Not Mapped"/>
    <s v="User Not Mapped"/>
    <s v="User Not Mapped"/>
    <n v="289379"/>
    <s v="Gobinda Mondal"/>
    <s v="Private Retailer"/>
    <s v="7908629914"/>
    <n v="9.4949999999999992"/>
    <n v="48"/>
    <x v="1"/>
    <m/>
    <s v="2026-03-10"/>
    <s v="260178"/>
    <s v="M/s. Uttamendu Sarkar"/>
    <s v="9002483836"/>
  </r>
  <r>
    <s v="RCF Trombay"/>
    <s v="15-15-15"/>
    <s v="WB"/>
    <x v="15"/>
    <s v="Santipur"/>
    <s v="User Not Mapped"/>
    <s v="User Not Mapped"/>
    <s v="User Not Mapped"/>
    <n v="289379"/>
    <s v="Gobinda Mondal"/>
    <s v="Private Retailer"/>
    <s v="7908629914"/>
    <n v="3.1"/>
    <n v="90"/>
    <x v="2"/>
    <m/>
    <s v="2026-01-27"/>
    <s v="260178"/>
    <s v="M/s. Uttamendu Sarkar"/>
    <s v="9002483836"/>
  </r>
  <r>
    <s v="RCF Trombay"/>
    <s v="15-15-15"/>
    <s v="WB"/>
    <x v="15"/>
    <s v="Santipur"/>
    <s v="User Not Mapped"/>
    <s v="User Not Mapped"/>
    <s v="User Not Mapped"/>
    <n v="341257"/>
    <s v="Dhanajay Majumder"/>
    <s v="Private Retailer"/>
    <s v="9434825824"/>
    <n v="0.1"/>
    <n v="401"/>
    <x v="6"/>
    <m/>
    <s v="2025-03-22"/>
    <s v="259034"/>
    <s v="MS Guha And Co"/>
    <s v="8695359505"/>
  </r>
  <r>
    <s v="RCF Trombay"/>
    <s v="15-15-15"/>
    <s v="WB"/>
    <x v="15"/>
    <s v="Santipur"/>
    <s v="User Not Mapped"/>
    <s v="User Not Mapped"/>
    <s v="User Not Mapped"/>
    <n v="341413"/>
    <s v="M/S. BHOWMICK FERTILIZER"/>
    <s v="Private Retailer"/>
    <s v="9733641002"/>
    <n v="1.64"/>
    <n v="93"/>
    <x v="5"/>
    <m/>
    <s v="2026-01-24"/>
    <s v="259034"/>
    <s v="MS Guha And Co"/>
    <s v="8695359505"/>
  </r>
  <r>
    <s v="RCF Trombay"/>
    <s v="15-15-15"/>
    <s v="WB"/>
    <x v="15"/>
    <s v="Santipur"/>
    <s v="User Not Mapped"/>
    <s v="User Not Mapped"/>
    <s v="User Not Mapped"/>
    <n v="342262"/>
    <s v="Rabindro Nath Saha"/>
    <s v="Private Retailer"/>
    <s v="9153545459"/>
    <n v="1"/>
    <n v="143"/>
    <x v="0"/>
    <m/>
    <s v="2025-12-05"/>
    <s v="280729"/>
    <s v="M/s. Naresh Chandra Das"/>
    <s v="7365868045"/>
  </r>
  <r>
    <s v="RCF Thal"/>
    <s v="N.C.Urea(45kg)"/>
    <s v="WB"/>
    <x v="15"/>
    <s v="Santipur"/>
    <s v="User Not Mapped"/>
    <s v="User Not Mapped"/>
    <s v="User Not Mapped"/>
    <n v="342262"/>
    <s v="Rabindro Nath Saha"/>
    <s v="Private Retailer"/>
    <s v="9153545459"/>
    <n v="1.125"/>
    <n v="12"/>
    <x v="4"/>
    <m/>
    <s v="2026-04-15"/>
    <s v="280729"/>
    <s v="M/s. Naresh Chandra Das"/>
    <s v="7365868045"/>
  </r>
  <r>
    <s v="RCF Trombay"/>
    <s v="15-15-15"/>
    <s v="WB"/>
    <x v="15"/>
    <s v="Santipur"/>
    <s v="User Not Mapped"/>
    <s v="User Not Mapped"/>
    <s v="User Not Mapped"/>
    <n v="342614"/>
    <s v="M/s. Prabhat Kr. Sanyashi"/>
    <s v="Private Retailer"/>
    <s v="9064461190"/>
    <n v="2"/>
    <n v="63"/>
    <x v="2"/>
    <m/>
    <s v="2026-02-23"/>
    <s v="260179"/>
    <s v="Tarun Kumar Saha"/>
    <s v="8116312974"/>
  </r>
  <r>
    <s v="RCF Trombay"/>
    <s v="15-15-15"/>
    <s v="WB"/>
    <x v="15"/>
    <s v="Santipur"/>
    <s v="User Not Mapped"/>
    <s v="User Not Mapped"/>
    <s v="User Not Mapped"/>
    <n v="342614"/>
    <s v="M/s. Prabhat Kr. Sanyashi"/>
    <s v="Private Retailer"/>
    <s v="9064461190"/>
    <n v="3"/>
    <n v="91"/>
    <x v="5"/>
    <m/>
    <s v="2026-01-26"/>
    <s v="260179"/>
    <s v="Tarun Kumar Saha"/>
    <s v="8116312974"/>
  </r>
  <r>
    <s v="RCF Thal"/>
    <s v="N.C.Urea(45kg)"/>
    <s v="WB"/>
    <x v="15"/>
    <s v="Santipur"/>
    <s v="User Not Mapped"/>
    <s v="User Not Mapped"/>
    <s v="User Not Mapped"/>
    <n v="355044"/>
    <s v="Intaz Ali Jahangir"/>
    <s v="Private Retailer"/>
    <s v="9064381128"/>
    <n v="1.53"/>
    <n v="38"/>
    <x v="1"/>
    <m/>
    <s v="2026-03-20"/>
    <s v="280729"/>
    <s v="M/s. Naresh Chandra Das"/>
    <s v="7365868045"/>
  </r>
  <r>
    <s v="RCF Trombay"/>
    <s v="15-15-15"/>
    <s v="WB"/>
    <x v="15"/>
    <s v="Santipur"/>
    <s v="User Not Mapped"/>
    <s v="User Not Mapped"/>
    <s v="User Not Mapped"/>
    <n v="356109"/>
    <s v="Sadhan Ch. Ghosh"/>
    <s v="Private Retailer"/>
    <s v="8926398290"/>
    <n v="1"/>
    <n v="90"/>
    <x v="2"/>
    <m/>
    <s v="2026-01-27"/>
    <s v="280729"/>
    <s v="M/s. Naresh Chandra Das"/>
    <s v="7365868045"/>
  </r>
  <r>
    <s v="RCF Thal"/>
    <s v="N.C.Urea(45kg)"/>
    <s v="WB"/>
    <x v="15"/>
    <s v="Santipur"/>
    <s v="User Not Mapped"/>
    <s v="User Not Mapped"/>
    <s v="User Not Mapped"/>
    <n v="356295"/>
    <s v="Saraswati Majumder"/>
    <s v="Private Retailer"/>
    <s v="8649825602"/>
    <n v="0.9"/>
    <n v="21"/>
    <x v="4"/>
    <m/>
    <s v="2026-04-06"/>
    <s v="260210"/>
    <s v="Gouri Sankar Kundu            "/>
    <s v="9064539774"/>
  </r>
  <r>
    <s v="RCF Trombay"/>
    <s v="15-15-15"/>
    <s v="WB"/>
    <x v="15"/>
    <s v="Santipur"/>
    <s v="User Not Mapped"/>
    <s v="User Not Mapped"/>
    <s v="User Not Mapped"/>
    <n v="440676"/>
    <s v="M/S BISWAS FERTILIZER"/>
    <s v="Private Retailer"/>
    <s v="9748511668"/>
    <n v="5"/>
    <n v="90"/>
    <x v="2"/>
    <m/>
    <s v="2026-01-27"/>
    <s v="280729"/>
    <s v="M/s. Naresh Chandra Das"/>
    <s v="7365868045"/>
  </r>
  <r>
    <s v="RCF Trombay"/>
    <s v="N.C.Urea(45kg)"/>
    <s v="WB"/>
    <x v="15"/>
    <s v="Santipur"/>
    <s v="User Not Mapped"/>
    <s v="User Not Mapped"/>
    <s v="User Not Mapped"/>
    <n v="440676"/>
    <s v="M/S BISWAS FERTILIZER"/>
    <s v="Private Retailer"/>
    <s v="9748511668"/>
    <n v="4.9950000000000001"/>
    <n v="60"/>
    <x v="1"/>
    <m/>
    <s v="2026-02-26"/>
    <s v="280729"/>
    <s v="M/s. Naresh Chandra Das"/>
    <s v="7365868045"/>
  </r>
  <r>
    <s v="RCF Import"/>
    <s v="MOP"/>
    <s v="WB"/>
    <x v="15"/>
    <s v="Santipur"/>
    <s v="User Not Mapped"/>
    <s v="User Not Mapped"/>
    <s v="User Not Mapped"/>
    <n v="440676"/>
    <s v="M/S BISWAS FERTILIZER"/>
    <s v="Private Retailer"/>
    <s v="9748511668"/>
    <n v="0.5"/>
    <n v="14"/>
    <x v="4"/>
    <m/>
    <s v="2026-04-13"/>
    <s v="280729"/>
    <s v="M/s. Naresh Chandra Das"/>
    <s v="7365868045"/>
  </r>
  <r>
    <s v="RCF Trombay"/>
    <s v="N.C.Urea(45kg)"/>
    <s v="WB"/>
    <x v="15"/>
    <s v="Santipur"/>
    <s v="User Not Mapped"/>
    <s v="User Not Mapped"/>
    <s v="User Not Mapped"/>
    <n v="440955"/>
    <s v="M/S GOBINDA FERTILIZER"/>
    <s v="Private Retailer"/>
    <s v="9831222954"/>
    <n v="1.17"/>
    <n v="93"/>
    <x v="5"/>
    <m/>
    <s v="2026-01-24"/>
    <s v="270129"/>
    <s v="Kalyan Kr. Nandi"/>
    <s v="8250914797"/>
  </r>
  <r>
    <s v="RCF Trombay"/>
    <s v="15-15-15"/>
    <s v="WB"/>
    <x v="15"/>
    <s v="Santipur"/>
    <s v="User Not Mapped"/>
    <s v="User Not Mapped"/>
    <s v="User Not Mapped"/>
    <n v="440955"/>
    <s v="M/S GOBINDA FERTILIZER"/>
    <s v="Private Retailer"/>
    <s v="9831222954"/>
    <n v="0.65"/>
    <n v="93"/>
    <x v="5"/>
    <m/>
    <s v="2026-01-24"/>
    <s v="270129"/>
    <s v="Kalyan Kr. Nandi"/>
    <s v="8250914797"/>
  </r>
  <r>
    <s v="RCF Trombay"/>
    <s v="15-15-15"/>
    <s v="WB"/>
    <x v="15"/>
    <s v="Santipur"/>
    <s v="User Not Mapped"/>
    <s v="User Not Mapped"/>
    <s v="User Not Mapped"/>
    <n v="441527"/>
    <s v="M/S. Uttam Ghosh"/>
    <s v="Private Retailer"/>
    <s v="9475032034"/>
    <n v="0.45"/>
    <n v="284"/>
    <x v="3"/>
    <m/>
    <s v="2025-07-17"/>
    <s v="280729"/>
    <s v="M/s. Naresh Chandra Das"/>
    <s v="7365868045"/>
  </r>
  <r>
    <s v="RCF Thal"/>
    <s v="N.C.Urea(45kg)"/>
    <s v="WB"/>
    <x v="15"/>
    <s v="Santipur"/>
    <s v="User Not Mapped"/>
    <s v="User Not Mapped"/>
    <s v="User Not Mapped"/>
    <n v="441527"/>
    <s v="M/S. Uttam Ghosh"/>
    <s v="Private Retailer"/>
    <s v="9475032034"/>
    <n v="5.8049999999999997"/>
    <n v="47"/>
    <x v="1"/>
    <m/>
    <s v="2026-03-11"/>
    <s v="270129"/>
    <s v="Kalyan Kr. Nandi"/>
    <s v="8250914797"/>
  </r>
  <r>
    <s v="RCF Trombay"/>
    <s v="N.C.Urea(45kg)"/>
    <s v="WB"/>
    <x v="15"/>
    <s v="Santipur"/>
    <s v="User Not Mapped"/>
    <s v="User Not Mapped"/>
    <s v="User Not Mapped"/>
    <n v="622720"/>
    <s v="SUKUMAR BISWAS"/>
    <s v="Private Retailer"/>
    <s v="9932328961"/>
    <n v="1.8"/>
    <n v="91"/>
    <x v="5"/>
    <m/>
    <s v="2026-01-26"/>
    <s v="280729"/>
    <s v="M/s. Naresh Chandra Das"/>
    <s v="7365868045"/>
  </r>
  <r>
    <s v="RCF Trombay"/>
    <s v="15-15-15"/>
    <s v="WB"/>
    <x v="15"/>
    <s v="Santipur"/>
    <s v="User Not Mapped"/>
    <s v="User Not Mapped"/>
    <s v="User Not Mapped"/>
    <n v="622720"/>
    <s v="SUKUMAR BISWAS"/>
    <s v="Private Retailer"/>
    <s v="9932328961"/>
    <n v="3.5"/>
    <n v="91"/>
    <x v="5"/>
    <m/>
    <s v="2026-01-26"/>
    <s v="280729"/>
    <s v="M/s. Naresh Chandra Das"/>
    <s v="7365868045"/>
  </r>
  <r>
    <s v="RCF Thal"/>
    <s v="N.C.Urea(45kg)"/>
    <s v="WB"/>
    <x v="15"/>
    <s v="Santipur"/>
    <s v="User Not Mapped"/>
    <s v="User Not Mapped"/>
    <s v="User Not Mapped"/>
    <n v="633632"/>
    <s v="Sujit Saha"/>
    <s v="Private Retailer"/>
    <s v="9932652188"/>
    <n v="1.8"/>
    <n v="12"/>
    <x v="4"/>
    <m/>
    <s v="2026-04-15"/>
    <s v="280729"/>
    <s v="M/s. Naresh Chandra Das"/>
    <s v="7365868045"/>
  </r>
  <r>
    <s v="RCF Trombay"/>
    <s v="15-15-15"/>
    <s v="WB"/>
    <x v="15"/>
    <s v="Santipur"/>
    <s v="User Not Mapped"/>
    <s v="User Not Mapped"/>
    <s v="User Not Mapped"/>
    <n v="633632"/>
    <s v="Sujit Saha"/>
    <s v="Private Retailer"/>
    <s v="9932652188"/>
    <n v="0.25"/>
    <n v="242"/>
    <x v="3"/>
    <m/>
    <s v="2025-08-28"/>
    <s v="280729"/>
    <s v="M/s. Naresh Chandra Das"/>
    <s v="7365868045"/>
  </r>
  <r>
    <s v="RCF Thal"/>
    <s v="N.C.Urea(45kg)"/>
    <s v="WB"/>
    <x v="15"/>
    <s v="Santipur"/>
    <s v="User Not Mapped"/>
    <s v="User Not Mapped"/>
    <s v="User Not Mapped"/>
    <n v="870268"/>
    <s v="SUSHANTA ADHIKARI"/>
    <s v="Private Retailer"/>
    <s v="9333208940"/>
    <n v="0.76500000000000001"/>
    <n v="943"/>
    <x v="7"/>
    <m/>
    <s v="2023-09-27"/>
    <s v="280729"/>
    <s v="M/s. Naresh Chandra Das"/>
    <s v="7365868045"/>
  </r>
  <r>
    <s v="RCF Trombay"/>
    <s v="15-15-15"/>
    <s v="WB"/>
    <x v="15"/>
    <s v="Santipur"/>
    <s v="User Not Mapped"/>
    <s v="User Not Mapped"/>
    <s v="User Not Mapped"/>
    <n v="1024369"/>
    <s v="MAA KALI KRISHI BHANDAR"/>
    <s v="Private Retailer"/>
    <s v="9064932651"/>
    <n v="0.2"/>
    <n v="90"/>
    <x v="2"/>
    <m/>
    <s v="2026-01-27"/>
    <s v="280729"/>
    <s v="M/s. Naresh Chandra Das"/>
    <s v="7365868045"/>
  </r>
  <r>
    <s v="RCF Trombay"/>
    <s v="15-15-15"/>
    <s v="WB"/>
    <x v="15"/>
    <s v="Santipur"/>
    <s v="User Not Mapped"/>
    <s v="User Not Mapped"/>
    <s v="User Not Mapped"/>
    <n v="1024408"/>
    <s v="M/S. GHOSH FERTILIZER"/>
    <s v="Private Retailer"/>
    <s v="8670409448"/>
    <n v="0.55000000000000004"/>
    <n v="457"/>
    <x v="6"/>
    <m/>
    <s v="2025-01-25"/>
    <s v="260209"/>
    <s v="M/S SUNIL KUMAR SAHA       "/>
    <s v="9434110995"/>
  </r>
  <r>
    <s v="RCF Import"/>
    <s v="Imp 10-26-26"/>
    <s v="WB"/>
    <x v="15"/>
    <s v="Santipur"/>
    <s v="User Not Mapped"/>
    <s v="User Not Mapped"/>
    <s v="User Not Mapped"/>
    <n v="1025128"/>
    <s v="NIRMAL KUNDU"/>
    <s v="Private Retailer"/>
    <s v="8926337089"/>
    <n v="0.05"/>
    <n v="167"/>
    <x v="0"/>
    <m/>
    <s v="2025-11-11"/>
    <s v="260210"/>
    <s v="Gouri Sankar Kundu            "/>
    <s v="9064539774"/>
  </r>
  <r>
    <s v="RCF Thal"/>
    <s v="N.C.Urea(45kg)"/>
    <s v="WB"/>
    <x v="15"/>
    <s v="Santipur"/>
    <s v="User Not Mapped"/>
    <s v="User Not Mapped"/>
    <s v="User Not Mapped"/>
    <n v="1025128"/>
    <s v="NIRMAL KUNDU"/>
    <s v="Private Retailer"/>
    <s v="8926337089"/>
    <n v="2.34"/>
    <n v="21"/>
    <x v="4"/>
    <m/>
    <s v="2026-04-06"/>
    <s v="260210"/>
    <s v="Gouri Sankar Kundu            "/>
    <s v="9064539774"/>
  </r>
  <r>
    <s v="RCF Trombay"/>
    <s v="15-15-15"/>
    <s v="WB"/>
    <x v="15"/>
    <s v="Santipur"/>
    <s v="User Not Mapped"/>
    <s v="User Not Mapped"/>
    <s v="User Not Mapped"/>
    <n v="1025128"/>
    <s v="NIRMAL KUNDU"/>
    <s v="Private Retailer"/>
    <s v="8926337089"/>
    <n v="0.1"/>
    <n v="285"/>
    <x v="3"/>
    <m/>
    <s v="2025-07-16"/>
    <s v="260210"/>
    <s v="Gouri Sankar Kundu            "/>
    <s v="9064539774"/>
  </r>
  <r>
    <s v="RCF Trombay"/>
    <s v="15-15-15"/>
    <s v="WB"/>
    <x v="15"/>
    <s v="Santipur"/>
    <s v="User Not Mapped"/>
    <s v="User Not Mapped"/>
    <s v="User Not Mapped"/>
    <n v="1025128"/>
    <s v="NIRMAL KUNDU"/>
    <s v="Private Retailer"/>
    <s v="8926337089"/>
    <n v="0.25"/>
    <n v="167"/>
    <x v="0"/>
    <m/>
    <s v="2025-11-11"/>
    <s v="260210"/>
    <s v="Gouri Sankar Kundu            "/>
    <s v="9064539774"/>
  </r>
  <r>
    <s v="RCF Trombay"/>
    <s v="15-15-15"/>
    <s v="WB"/>
    <x v="15"/>
    <s v="Santipur"/>
    <s v="User Not Mapped"/>
    <s v="User Not Mapped"/>
    <s v="User Not Mapped"/>
    <n v="1025180"/>
    <s v="SALIL BARAN GHOSH"/>
    <s v="Private Retailer"/>
    <s v="9153568697"/>
    <n v="0.25"/>
    <n v="46"/>
    <x v="1"/>
    <m/>
    <s v="2026-03-12"/>
    <s v="260210"/>
    <s v="Gouri Sankar Kundu            "/>
    <s v="9064539774"/>
  </r>
  <r>
    <s v="RCF Thal"/>
    <s v="N.C.Urea(45kg)"/>
    <s v="WB"/>
    <x v="15"/>
    <s v="Santipur"/>
    <s v="User Not Mapped"/>
    <s v="User Not Mapped"/>
    <s v="User Not Mapped"/>
    <n v="1025180"/>
    <s v="SALIL BARAN GHOSH"/>
    <s v="Private Retailer"/>
    <s v="9153568697"/>
    <n v="1.17"/>
    <n v="21"/>
    <x v="4"/>
    <m/>
    <s v="2026-04-06"/>
    <s v="260210"/>
    <s v="Gouri Sankar Kundu            "/>
    <s v="9064539774"/>
  </r>
  <r>
    <s v="RCF Import"/>
    <s v="Imp 10-26-26"/>
    <s v="WB"/>
    <x v="15"/>
    <s v="Santipur"/>
    <s v="User Not Mapped"/>
    <s v="User Not Mapped"/>
    <s v="User Not Mapped"/>
    <n v="1025180"/>
    <s v="SALIL BARAN GHOSH"/>
    <s v="Private Retailer"/>
    <s v="9153568697"/>
    <n v="0.85"/>
    <n v="11"/>
    <x v="4"/>
    <m/>
    <s v="2026-04-16"/>
    <s v="260210"/>
    <s v="Gouri Sankar Kundu            "/>
    <s v="9064539774"/>
  </r>
  <r>
    <s v="RCF Thal"/>
    <s v="N.C.Urea(45kg)"/>
    <s v="WB"/>
    <x v="15"/>
    <s v="Santipur"/>
    <s v="User Not Mapped"/>
    <s v="User Not Mapped"/>
    <s v="User Not Mapped"/>
    <n v="1025184"/>
    <s v="M/S BUDHO MOLLA"/>
    <s v="Private Retailer"/>
    <s v="9134827537"/>
    <n v="0.76500000000000001"/>
    <n v="10"/>
    <x v="4"/>
    <m/>
    <s v="2026-04-17"/>
    <s v="280729"/>
    <s v="M/s. Naresh Chandra Das"/>
    <s v="7365868045"/>
  </r>
  <r>
    <s v="RCF Import"/>
    <s v="MOP"/>
    <s v="WB"/>
    <x v="15"/>
    <s v="Santipur"/>
    <s v="User Not Mapped"/>
    <s v="User Not Mapped"/>
    <s v="User Not Mapped"/>
    <n v="1029830"/>
    <s v="M/S. GOLAM RASUL DHABAK"/>
    <s v="Private Retailer"/>
    <s v="9732317694"/>
    <n v="0.35"/>
    <n v="60"/>
    <x v="1"/>
    <m/>
    <s v="2026-02-26"/>
    <s v="280729"/>
    <s v="M/s. Naresh Chandra Das"/>
    <s v="7365868045"/>
  </r>
  <r>
    <s v="RCF Trombay"/>
    <s v="15-15-15"/>
    <s v="WB"/>
    <x v="15"/>
    <s v="Santipur"/>
    <s v="User Not Mapped"/>
    <s v="User Not Mapped"/>
    <s v="User Not Mapped"/>
    <n v="1029830"/>
    <s v="M/S. GOLAM RASUL DHABAK"/>
    <s v="Private Retailer"/>
    <s v="9732317694"/>
    <n v="5"/>
    <n v="90"/>
    <x v="2"/>
    <m/>
    <s v="2026-01-27"/>
    <s v="259034"/>
    <s v="MS Guha And Co"/>
    <s v="8695359505"/>
  </r>
  <r>
    <s v="RCF Trombay"/>
    <s v="15-15-15"/>
    <s v="WB"/>
    <x v="15"/>
    <s v="Santipur"/>
    <s v="User Not Mapped"/>
    <s v="User Not Mapped"/>
    <s v="User Not Mapped"/>
    <n v="1033484"/>
    <s v="MS BISWAS FERTIIZER"/>
    <s v="Private Retailer"/>
    <s v="7031728188"/>
    <n v="1"/>
    <n v="76"/>
    <x v="2"/>
    <m/>
    <s v="2026-02-10"/>
    <s v="280729"/>
    <s v="M/s. Naresh Chandra Das"/>
    <s v="7365868045"/>
  </r>
  <r>
    <s v="RCF Thal"/>
    <s v="N.C.Urea(45kg)"/>
    <s v="WB"/>
    <x v="15"/>
    <s v="Santipur"/>
    <s v="User Not Mapped"/>
    <s v="User Not Mapped"/>
    <s v="User Not Mapped"/>
    <n v="1037493"/>
    <s v="GOPAL CHANDRA DHANI"/>
    <s v="Private Retailer"/>
    <s v="9474127741"/>
    <n v="0.36"/>
    <n v="12"/>
    <x v="4"/>
    <m/>
    <s v="2026-04-15"/>
    <s v="280729"/>
    <s v="M/s. Naresh Chandra Das"/>
    <s v="7365868045"/>
  </r>
  <r>
    <s v="RCF Thal"/>
    <s v="N.C.Urea(45kg)"/>
    <s v="WB"/>
    <x v="15"/>
    <s v="Santipur"/>
    <s v="User Not Mapped"/>
    <s v="User Not Mapped"/>
    <s v="User Not Mapped"/>
    <n v="1037509"/>
    <s v="M/S. HABIBULLA SK"/>
    <s v="Private Retailer"/>
    <s v="7365881598"/>
    <n v="0.76500000000000001"/>
    <n v="200"/>
    <x v="3"/>
    <m/>
    <s v="2025-10-09"/>
    <s v="280729"/>
    <s v="M/s. Naresh Chandra Das"/>
    <s v="7365868045"/>
  </r>
  <r>
    <s v="RCF Thal"/>
    <s v="N.C.Urea(45kg)"/>
    <s v="WB"/>
    <x v="15"/>
    <s v="Santipur"/>
    <s v="User Not Mapped"/>
    <s v="User Not Mapped"/>
    <s v="User Not Mapped"/>
    <n v="1037509"/>
    <s v="M/S. HABIBULLA SK"/>
    <s v="Private Retailer"/>
    <s v="7365881598"/>
    <n v="1.2150000000000001"/>
    <n v="12"/>
    <x v="4"/>
    <m/>
    <s v="2026-04-15"/>
    <s v="280729"/>
    <s v="M/s. Naresh Chandra Das"/>
    <s v="7365868045"/>
  </r>
  <r>
    <s v="RCF Trombay"/>
    <s v="N.C.Urea(45kg)"/>
    <s v="WB"/>
    <x v="15"/>
    <s v="Santipur"/>
    <s v="User Not Mapped"/>
    <s v="User Not Mapped"/>
    <s v="User Not Mapped"/>
    <n v="1037509"/>
    <s v="M/S. HABIBULLA SK"/>
    <s v="Private Retailer"/>
    <s v="7365881598"/>
    <n v="0.99"/>
    <n v="143"/>
    <x v="0"/>
    <m/>
    <s v="2025-12-05"/>
    <s v="280729"/>
    <s v="M/s. Naresh Chandra Das"/>
    <s v="7365868045"/>
  </r>
  <r>
    <s v="RCF Trombay"/>
    <s v="15-15-15"/>
    <s v="WB"/>
    <x v="15"/>
    <s v="Santipur"/>
    <s v="User Not Mapped"/>
    <s v="User Not Mapped"/>
    <s v="User Not Mapped"/>
    <n v="1043456"/>
    <s v="BISWAS SAR BHANDAR"/>
    <s v="Private Retailer"/>
    <s v="8637085034"/>
    <n v="0.5"/>
    <n v="122"/>
    <x v="0"/>
    <m/>
    <s v="2025-12-26"/>
    <s v="280729"/>
    <s v="M/s. Naresh Chandra Das"/>
    <s v="7365868045"/>
  </r>
  <r>
    <s v="RCF Import"/>
    <s v="MOP"/>
    <s v="WB"/>
    <x v="15"/>
    <s v="Santipur"/>
    <s v="User Not Mapped"/>
    <s v="User Not Mapped"/>
    <s v="User Not Mapped"/>
    <n v="1604288"/>
    <s v="RADHA KRISHNA KRISHI BHANDAR"/>
    <s v="Private Retailer"/>
    <s v="8509580944"/>
    <n v="0.85"/>
    <n v="65"/>
    <x v="2"/>
    <m/>
    <s v="2026-02-21"/>
    <s v="260178"/>
    <s v="M/s. Uttamendu Sarkar"/>
    <s v="9002483836"/>
  </r>
  <r>
    <s v="RCF Import"/>
    <s v="MOP"/>
    <s v="WB"/>
    <x v="15"/>
    <s v="Tehatta - I"/>
    <s v="User Not Mapped"/>
    <s v="User Not Mapped"/>
    <s v="User Not Mapped"/>
    <n v="243884"/>
    <s v="Manjushree Dutta"/>
    <s v="Private Retailer"/>
    <s v="7699908873"/>
    <n v="9.0500000000000007"/>
    <n v="161"/>
    <x v="0"/>
    <m/>
    <s v="2025-11-17"/>
    <s v="260202"/>
    <s v="MS S K DUTTA"/>
    <s v="9832802581"/>
  </r>
  <r>
    <s v="RCF Import"/>
    <s v="Imp 10-26-26"/>
    <s v="WB"/>
    <x v="15"/>
    <s v="Tehatta - I"/>
    <s v="User Not Mapped"/>
    <s v="User Not Mapped"/>
    <s v="User Not Mapped"/>
    <n v="243884"/>
    <s v="Manjushree Dutta"/>
    <s v="Private Retailer"/>
    <s v="7699908873"/>
    <n v="11.75"/>
    <n v="161"/>
    <x v="0"/>
    <m/>
    <s v="2025-11-17"/>
    <s v="260202"/>
    <s v="MS S K DUTTA"/>
    <s v="9832802581"/>
  </r>
  <r>
    <s v="RCF Trombay"/>
    <s v="15-15-15"/>
    <s v="WB"/>
    <x v="15"/>
    <s v="Tehatta - I"/>
    <s v="User Not Mapped"/>
    <s v="User Not Mapped"/>
    <s v="User Not Mapped"/>
    <n v="294880"/>
    <s v="HARIPADA PAL"/>
    <s v="Private Retailer"/>
    <s v="9046278214"/>
    <n v="4.3"/>
    <n v="175"/>
    <x v="0"/>
    <m/>
    <s v="2025-11-03"/>
    <s v="280729"/>
    <s v="M/s. Naresh Chandra Das"/>
    <s v="7365868045"/>
  </r>
  <r>
    <s v="RCF Import"/>
    <s v="MOP"/>
    <s v="WB"/>
    <x v="15"/>
    <s v="Tehatta - I"/>
    <s v="User Not Mapped"/>
    <s v="User Not Mapped"/>
    <s v="User Not Mapped"/>
    <n v="323500"/>
    <s v="Motiur Rahaman Mollick"/>
    <s v="Private Retailer"/>
    <s v="9933858405"/>
    <n v="9.3000000000000007"/>
    <n v="68"/>
    <x v="2"/>
    <m/>
    <s v="2026-02-18"/>
    <s v="269287"/>
    <s v="Gopal Krishna Kundu"/>
    <s v="9732644921"/>
  </r>
  <r>
    <s v="RCF Trombay"/>
    <s v="N.C.Urea(45kg)"/>
    <s v="WB"/>
    <x v="15"/>
    <s v="Tehatta - I"/>
    <s v="User Not Mapped"/>
    <s v="User Not Mapped"/>
    <s v="User Not Mapped"/>
    <n v="323500"/>
    <s v="Motiur Rahaman Mollick"/>
    <s v="Private Retailer"/>
    <s v="9933858405"/>
    <n v="4.2750000000000004"/>
    <n v="61"/>
    <x v="2"/>
    <m/>
    <s v="2026-02-25"/>
    <s v="269287"/>
    <s v="Gopal Krishna Kundu"/>
    <s v="9732644921"/>
  </r>
  <r>
    <s v="RCF Thal"/>
    <s v="N.C.Urea(45kg)"/>
    <s v="WB"/>
    <x v="15"/>
    <s v="Tehatta - I"/>
    <s v="User Not Mapped"/>
    <s v="User Not Mapped"/>
    <s v="User Not Mapped"/>
    <n v="340685"/>
    <s v="Abdur Rashid Mondal"/>
    <s v="Private Retailer"/>
    <s v="7407601391"/>
    <n v="0.18"/>
    <n v="294"/>
    <x v="3"/>
    <m/>
    <s v="2025-07-07"/>
    <s v="281568"/>
    <s v="Pradip Kr Chanda"/>
    <s v="9733490091"/>
  </r>
  <r>
    <s v="RCF Thal"/>
    <s v="N.C.Urea(45kg)"/>
    <s v="WB"/>
    <x v="15"/>
    <s v="Tehatta - I"/>
    <s v="User Not Mapped"/>
    <s v="User Not Mapped"/>
    <s v="User Not Mapped"/>
    <n v="341540"/>
    <s v="Jayanta Ghosh"/>
    <s v="Private Retailer"/>
    <s v="7384726298"/>
    <n v="1.35"/>
    <n v="18"/>
    <x v="4"/>
    <m/>
    <s v="2026-04-09"/>
    <s v="260202"/>
    <s v="MS S K DUTTA"/>
    <s v="9832802581"/>
  </r>
  <r>
    <s v="RCF Trombay"/>
    <s v="15-15-15"/>
    <s v="WB"/>
    <x v="15"/>
    <s v="Tehatta - I"/>
    <s v="User Not Mapped"/>
    <s v="User Not Mapped"/>
    <s v="User Not Mapped"/>
    <n v="356384"/>
    <s v="Sujitkr  Mondal"/>
    <s v="Private Retailer"/>
    <s v="9002621309"/>
    <n v="0.5"/>
    <n v="56"/>
    <x v="1"/>
    <m/>
    <s v="2026-03-02"/>
    <s v="260202"/>
    <s v="MS S K DUTTA"/>
    <s v="9832802581"/>
  </r>
  <r>
    <s v="RCF Trombay"/>
    <s v="15-15-15"/>
    <s v="WB"/>
    <x v="15"/>
    <s v="Tehatta - I"/>
    <s v="User Not Mapped"/>
    <s v="User Not Mapped"/>
    <s v="User Not Mapped"/>
    <n v="356384"/>
    <s v="Sujitkr  Mondal"/>
    <s v="Private Retailer"/>
    <s v="9002621309"/>
    <n v="0.7"/>
    <n v="68"/>
    <x v="2"/>
    <m/>
    <s v="2026-02-18"/>
    <s v="260202"/>
    <s v="MS S K DUTTA"/>
    <s v="9832802581"/>
  </r>
  <r>
    <s v="RCF Thal"/>
    <s v="N.C.Urea(45kg)"/>
    <s v="WB"/>
    <x v="15"/>
    <s v="Tehatta - I"/>
    <s v="User Not Mapped"/>
    <s v="User Not Mapped"/>
    <s v="User Not Mapped"/>
    <n v="411592"/>
    <s v="Minojali Shaikh"/>
    <s v="Private Retailer"/>
    <s v="9733681163"/>
    <n v="0.45"/>
    <n v="4"/>
    <x v="4"/>
    <m/>
    <s v="2026-04-23"/>
    <s v="260202"/>
    <s v="MS S K DUTTA"/>
    <s v="9832802581"/>
  </r>
  <r>
    <s v="RCF Trombay"/>
    <s v="N.C.Urea(45kg)"/>
    <s v="WB"/>
    <x v="15"/>
    <s v="Tehatta - I"/>
    <s v="User Not Mapped"/>
    <s v="User Not Mapped"/>
    <s v="User Not Mapped"/>
    <n v="411592"/>
    <s v="Minojali Shaikh"/>
    <s v="Private Retailer"/>
    <s v="9733681163"/>
    <n v="0.18"/>
    <n v="89"/>
    <x v="2"/>
    <m/>
    <s v="2026-01-28"/>
    <s v="260202"/>
    <s v="MS S K DUTTA"/>
    <s v="9832802581"/>
  </r>
  <r>
    <s v="RCF Trombay"/>
    <s v="15-15-15"/>
    <s v="WB"/>
    <x v="15"/>
    <s v="Tehatta - I"/>
    <s v="User Not Mapped"/>
    <s v="User Not Mapped"/>
    <s v="User Not Mapped"/>
    <n v="411592"/>
    <s v="Minojali Shaikh"/>
    <s v="Private Retailer"/>
    <s v="9733681163"/>
    <n v="0.5"/>
    <n v="39"/>
    <x v="1"/>
    <m/>
    <s v="2026-03-19"/>
    <s v="260202"/>
    <s v="MS S K DUTTA"/>
    <s v="9832802581"/>
  </r>
  <r>
    <s v="RCF Thal"/>
    <s v="N.C.Urea(45kg)"/>
    <s v="WB"/>
    <x v="15"/>
    <s v="Tehatta - I"/>
    <s v="User Not Mapped"/>
    <s v="User Not Mapped"/>
    <s v="User Not Mapped"/>
    <n v="411592"/>
    <s v="Minojali Shaikh"/>
    <s v="Private Retailer"/>
    <s v="9733681163"/>
    <n v="0.63"/>
    <n v="17"/>
    <x v="4"/>
    <m/>
    <s v="2026-04-10"/>
    <s v="260202"/>
    <s v="MS S K DUTTA"/>
    <s v="9832802581"/>
  </r>
  <r>
    <s v="RCF Import"/>
    <s v="Imp 10-26-26"/>
    <s v="WB"/>
    <x v="15"/>
    <s v="Tehatta - I"/>
    <s v="User Not Mapped"/>
    <s v="User Not Mapped"/>
    <s v="User Not Mapped"/>
    <n v="411592"/>
    <s v="Minojali Shaikh"/>
    <s v="Private Retailer"/>
    <s v="9733681163"/>
    <n v="0.3"/>
    <n v="223"/>
    <x v="3"/>
    <m/>
    <s v="2025-09-16"/>
    <s v="260202"/>
    <s v="MS S K DUTTA"/>
    <s v="9832802581"/>
  </r>
  <r>
    <s v="RCF Thal"/>
    <s v="N.C.Urea(45kg)"/>
    <s v="WB"/>
    <x v="15"/>
    <s v="Tehatta - I"/>
    <s v="User Not Mapped"/>
    <s v="User Not Mapped"/>
    <s v="User Not Mapped"/>
    <n v="411610"/>
    <s v="Abul Hassan Dehu"/>
    <s v="Private Retailer"/>
    <s v="9064727090"/>
    <n v="0.9"/>
    <n v="4"/>
    <x v="4"/>
    <m/>
    <s v="2026-04-23"/>
    <s v="260202"/>
    <s v="MS S K DUTTA"/>
    <s v="9832802581"/>
  </r>
  <r>
    <s v="RCF Trombay"/>
    <s v="15-15-15"/>
    <s v="WB"/>
    <x v="15"/>
    <s v="Tehatta - I"/>
    <s v="User Not Mapped"/>
    <s v="User Not Mapped"/>
    <s v="User Not Mapped"/>
    <n v="411618"/>
    <s v="MS KRISHI BIPLAB"/>
    <s v="Private Retailer"/>
    <s v="9609002824"/>
    <n v="3.25"/>
    <n v="121"/>
    <x v="0"/>
    <m/>
    <s v="2025-12-27"/>
    <s v="888407"/>
    <s v="MAA FERTILIZER"/>
    <s v="9800042039"/>
  </r>
  <r>
    <s v="RCF Trombay"/>
    <s v="N.C.Urea(45kg)"/>
    <s v="WB"/>
    <x v="15"/>
    <s v="Tehatta - I"/>
    <s v="User Not Mapped"/>
    <s v="User Not Mapped"/>
    <s v="User Not Mapped"/>
    <n v="411622"/>
    <s v="MAA PRIYA KRISHI BHANDAR"/>
    <s v="Private Retailer"/>
    <s v="9734826221"/>
    <n v="0.9"/>
    <n v="63"/>
    <x v="2"/>
    <m/>
    <s v="2026-02-23"/>
    <s v="260202"/>
    <s v="MS S K DUTTA"/>
    <s v="9832802581"/>
  </r>
  <r>
    <s v="RCF Trombay"/>
    <s v="15-15-15"/>
    <s v="WB"/>
    <x v="15"/>
    <s v="Tehatta - I"/>
    <s v="User Not Mapped"/>
    <s v="User Not Mapped"/>
    <s v="User Not Mapped"/>
    <n v="411622"/>
    <s v="MAA PRIYA KRISHI BHANDAR"/>
    <s v="Private Retailer"/>
    <s v="9734826221"/>
    <n v="0.5"/>
    <n v="39"/>
    <x v="1"/>
    <m/>
    <s v="2026-03-19"/>
    <s v="260202"/>
    <s v="MS S K DUTTA"/>
    <s v="9832802581"/>
  </r>
  <r>
    <s v="RCF Trombay"/>
    <s v="N.C.Urea(45kg)"/>
    <s v="WB"/>
    <x v="15"/>
    <s v="Tehatta - I"/>
    <s v="User Not Mapped"/>
    <s v="User Not Mapped"/>
    <s v="User Not Mapped"/>
    <n v="411622"/>
    <s v="MAA PRIYA KRISHI BHANDAR"/>
    <s v="Private Retailer"/>
    <s v="9734826221"/>
    <n v="4.4999999999999998E-2"/>
    <n v="93"/>
    <x v="5"/>
    <m/>
    <s v="2026-01-24"/>
    <s v="260202"/>
    <s v="MS S K DUTTA"/>
    <s v="9832802581"/>
  </r>
  <r>
    <s v="RCF Trombay"/>
    <s v="15-15-15"/>
    <s v="WB"/>
    <x v="15"/>
    <s v="Tehatta - I"/>
    <s v="User Not Mapped"/>
    <s v="User Not Mapped"/>
    <s v="User Not Mapped"/>
    <n v="411622"/>
    <s v="MAA PRIYA KRISHI BHANDAR"/>
    <s v="Private Retailer"/>
    <s v="9734826221"/>
    <n v="0.22500000000000001"/>
    <n v="142"/>
    <x v="0"/>
    <m/>
    <s v="2025-12-06"/>
    <s v="260202"/>
    <s v="MS S K DUTTA"/>
    <s v="9832802581"/>
  </r>
  <r>
    <s v="RCF Trombay"/>
    <s v="15-15-15"/>
    <s v="WB"/>
    <x v="15"/>
    <s v="Tehatta - I"/>
    <s v="User Not Mapped"/>
    <s v="User Not Mapped"/>
    <s v="User Not Mapped"/>
    <n v="411628"/>
    <s v="Swapan Kumar Mondal"/>
    <s v="Private Retailer"/>
    <s v="9800378461"/>
    <n v="2.15"/>
    <n v="155"/>
    <x v="0"/>
    <m/>
    <s v="2025-11-23"/>
    <s v="342772"/>
    <s v="Subir Kumar Biswas"/>
    <s v="9932631270"/>
  </r>
  <r>
    <s v="RCF Trombay"/>
    <s v="N.C.Urea(45kg)"/>
    <s v="WB"/>
    <x v="15"/>
    <s v="Tehatta - I"/>
    <s v="User Not Mapped"/>
    <s v="User Not Mapped"/>
    <s v="User Not Mapped"/>
    <n v="411632"/>
    <s v="Adhir Kr GhoshandSujit Ghosh "/>
    <s v="Private Retailer"/>
    <s v="9732653982"/>
    <n v="4.7249999999999996"/>
    <n v="537"/>
    <x v="6"/>
    <m/>
    <s v="2024-11-06"/>
    <s v="260177"/>
    <s v="SatyaRanjan Kundu and Brothers"/>
    <s v="7908186730"/>
  </r>
  <r>
    <s v="RCF Thal"/>
    <s v="N.C.Urea(45kg)"/>
    <s v="WB"/>
    <x v="15"/>
    <s v="Tehatta - I"/>
    <s v="User Not Mapped"/>
    <s v="User Not Mapped"/>
    <s v="User Not Mapped"/>
    <n v="412776"/>
    <s v="Khodabox Halsana"/>
    <s v="Private Retailer"/>
    <s v="9734322987"/>
    <n v="0.76500000000000001"/>
    <n v="47"/>
    <x v="1"/>
    <m/>
    <s v="2026-03-11"/>
    <s v="260202"/>
    <s v="MS S K DUTTA"/>
    <s v="9832802581"/>
  </r>
  <r>
    <s v="RCF Trombay"/>
    <s v="N.C.Urea(45kg)"/>
    <s v="WB"/>
    <x v="15"/>
    <s v="Tehatta - I"/>
    <s v="User Not Mapped"/>
    <s v="User Not Mapped"/>
    <s v="User Not Mapped"/>
    <n v="412786"/>
    <s v="Jiarul Shaikh"/>
    <s v="Private Retailer"/>
    <s v="9647305729"/>
    <n v="0.09"/>
    <n v="63"/>
    <x v="2"/>
    <m/>
    <s v="2026-02-23"/>
    <s v="260202"/>
    <s v="MS S K DUTTA"/>
    <s v="9832802581"/>
  </r>
  <r>
    <s v="RCF Trombay"/>
    <s v="15-15-15"/>
    <s v="WB"/>
    <x v="15"/>
    <s v="Tehatta - I"/>
    <s v="User Not Mapped"/>
    <s v="User Not Mapped"/>
    <s v="User Not Mapped"/>
    <n v="412786"/>
    <s v="Jiarul Shaikh"/>
    <s v="Private Retailer"/>
    <s v="9647305729"/>
    <n v="1.4"/>
    <n v="63"/>
    <x v="2"/>
    <m/>
    <s v="2026-02-23"/>
    <s v="260202"/>
    <s v="MS S K DUTTA"/>
    <s v="9832802581"/>
  </r>
  <r>
    <s v="RCF Trombay"/>
    <s v="15-15-15"/>
    <s v="WB"/>
    <x v="15"/>
    <s v="Tehatta - I"/>
    <s v="User Not Mapped"/>
    <s v="User Not Mapped"/>
    <s v="User Not Mapped"/>
    <n v="412798"/>
    <s v="Rina Fertilizer"/>
    <s v="Private Retailer"/>
    <s v="7477491935"/>
    <n v="1"/>
    <n v="36"/>
    <x v="1"/>
    <m/>
    <s v="2026-03-22"/>
    <s v="260202"/>
    <s v="MS S K DUTTA"/>
    <s v="9832802581"/>
  </r>
  <r>
    <s v="RCF Trombay"/>
    <s v="N.C.Urea(45kg)"/>
    <s v="WB"/>
    <x v="15"/>
    <s v="Tehatta - I"/>
    <s v="User Not Mapped"/>
    <s v="User Not Mapped"/>
    <s v="User Not Mapped"/>
    <n v="412798"/>
    <s v="Rina Fertilizer"/>
    <s v="Private Retailer"/>
    <s v="7477491935"/>
    <n v="0.40500000000000003"/>
    <n v="52"/>
    <x v="1"/>
    <m/>
    <s v="2026-03-06"/>
    <s v="260202"/>
    <s v="MS S K DUTTA"/>
    <s v="9832802581"/>
  </r>
  <r>
    <s v="RCF Trombay"/>
    <s v="15-15-15"/>
    <s v="WB"/>
    <x v="15"/>
    <s v="Tehatta - I"/>
    <s v="User Not Mapped"/>
    <s v="User Not Mapped"/>
    <s v="User Not Mapped"/>
    <n v="412798"/>
    <s v="Rina Fertilizer"/>
    <s v="Private Retailer"/>
    <s v="7477491935"/>
    <n v="1.2"/>
    <n v="65"/>
    <x v="2"/>
    <m/>
    <s v="2026-02-21"/>
    <s v="260202"/>
    <s v="MS S K DUTTA"/>
    <s v="9832802581"/>
  </r>
  <r>
    <s v="RCF Trombay"/>
    <s v="15-15-15"/>
    <s v="WB"/>
    <x v="15"/>
    <s v="Tehatta - I"/>
    <s v="User Not Mapped"/>
    <s v="User Not Mapped"/>
    <s v="User Not Mapped"/>
    <n v="412798"/>
    <s v="Rina Fertilizer"/>
    <s v="Private Retailer"/>
    <s v="7477491935"/>
    <n v="1"/>
    <n v="56"/>
    <x v="1"/>
    <m/>
    <s v="2026-03-02"/>
    <s v="260202"/>
    <s v="MS S K DUTTA"/>
    <s v="9832802581"/>
  </r>
  <r>
    <s v="RCF Trombay"/>
    <s v="15-15-15"/>
    <s v="WB"/>
    <x v="15"/>
    <s v="Tehatta - I"/>
    <s v="User Not Mapped"/>
    <s v="User Not Mapped"/>
    <s v="User Not Mapped"/>
    <n v="412798"/>
    <s v="Rina Fertilizer"/>
    <s v="Private Retailer"/>
    <s v="7477491935"/>
    <n v="1.5"/>
    <n v="39"/>
    <x v="1"/>
    <m/>
    <s v="2026-03-19"/>
    <s v="260202"/>
    <s v="MS S K DUTTA"/>
    <s v="9832802581"/>
  </r>
  <r>
    <s v="RCF Trombay"/>
    <s v="N.C.Urea(45kg)"/>
    <s v="WB"/>
    <x v="15"/>
    <s v="Tehatta - I"/>
    <s v="User Not Mapped"/>
    <s v="User Not Mapped"/>
    <s v="User Not Mapped"/>
    <n v="413472"/>
    <s v="BISWAS FERTILIZERS"/>
    <s v="Private Retailer"/>
    <s v="9564382219"/>
    <n v="5.5E-2"/>
    <n v="372"/>
    <x v="6"/>
    <m/>
    <s v="2025-04-20"/>
    <s v="260202"/>
    <s v="MS S K DUTTA"/>
    <s v="9832802581"/>
  </r>
  <r>
    <s v="RCF Trombay"/>
    <s v="N.C.Urea(45kg)"/>
    <s v="WB"/>
    <x v="15"/>
    <s v="Tehatta - I"/>
    <s v="User Not Mapped"/>
    <s v="User Not Mapped"/>
    <s v="User Not Mapped"/>
    <n v="413472"/>
    <s v="BISWAS FERTILIZERS"/>
    <s v="Private Retailer"/>
    <s v="9564382219"/>
    <n v="0.9"/>
    <n v="247"/>
    <x v="3"/>
    <m/>
    <s v="2025-08-23"/>
    <s v="260202"/>
    <s v="MS S K DUTTA"/>
    <s v="9832802581"/>
  </r>
  <r>
    <s v="RCF Thal"/>
    <s v="N.C.Urea(45kg)"/>
    <s v="WB"/>
    <x v="15"/>
    <s v="Tehatta - I"/>
    <s v="User Not Mapped"/>
    <s v="User Not Mapped"/>
    <s v="User Not Mapped"/>
    <n v="413472"/>
    <s v="BISWAS FERTILIZERS"/>
    <s v="Private Retailer"/>
    <s v="9564382219"/>
    <n v="0.54"/>
    <n v="271"/>
    <x v="3"/>
    <m/>
    <s v="2025-07-30"/>
    <s v="260202"/>
    <s v="MS S K DUTTA"/>
    <s v="9832802581"/>
  </r>
  <r>
    <s v="RCF Trombay"/>
    <s v="15-15-15"/>
    <s v="WB"/>
    <x v="15"/>
    <s v="Tehatta - I"/>
    <s v="User Not Mapped"/>
    <s v="User Not Mapped"/>
    <s v="User Not Mapped"/>
    <n v="413520"/>
    <s v="KRISHI LAXMI"/>
    <s v="Private Retailer"/>
    <s v="9474608712"/>
    <n v="1.85"/>
    <n v="282"/>
    <x v="3"/>
    <m/>
    <s v="2025-07-19"/>
    <s v="260179"/>
    <s v="Tarun Kumar Saha"/>
    <s v="8116312974"/>
  </r>
  <r>
    <s v="RCF Import"/>
    <s v="Imp 10-26-26"/>
    <s v="WB"/>
    <x v="15"/>
    <s v="Tehatta - I"/>
    <s v="User Not Mapped"/>
    <s v="User Not Mapped"/>
    <s v="User Not Mapped"/>
    <n v="413520"/>
    <s v="KRISHI LAXMI"/>
    <s v="Private Retailer"/>
    <s v="9474608712"/>
    <n v="0.4"/>
    <n v="494"/>
    <x v="6"/>
    <m/>
    <s v="2024-12-19"/>
    <s v="260179"/>
    <s v="Tarun Kumar Saha"/>
    <s v="8116312974"/>
  </r>
  <r>
    <s v="RCF Import"/>
    <s v="MOP"/>
    <s v="WB"/>
    <x v="15"/>
    <s v="Tehatta - I"/>
    <s v="User Not Mapped"/>
    <s v="User Not Mapped"/>
    <s v="User Not Mapped"/>
    <n v="413520"/>
    <s v="KRISHI LAXMI"/>
    <s v="Private Retailer"/>
    <s v="9474608712"/>
    <n v="1.2"/>
    <n v="494"/>
    <x v="6"/>
    <m/>
    <s v="2024-12-19"/>
    <s v="260179"/>
    <s v="Tarun Kumar Saha"/>
    <s v="8116312974"/>
  </r>
  <r>
    <s v="RCF Trombay"/>
    <s v="N.C.Urea(45kg)"/>
    <s v="WB"/>
    <x v="15"/>
    <s v="Tehatta - I"/>
    <s v="User Not Mapped"/>
    <s v="User Not Mapped"/>
    <s v="User Not Mapped"/>
    <n v="413574"/>
    <s v="Jelhoque Mondal"/>
    <s v="Private Retailer"/>
    <s v="9735273027"/>
    <n v="0.22500000000000001"/>
    <n v="47"/>
    <x v="1"/>
    <m/>
    <s v="2026-03-11"/>
    <s v="260202"/>
    <s v="MS S K DUTTA"/>
    <s v="9832802581"/>
  </r>
  <r>
    <s v="RCF Trombay"/>
    <s v="15-15-15"/>
    <s v="WB"/>
    <x v="15"/>
    <s v="Tehatta - I"/>
    <s v="User Not Mapped"/>
    <s v="User Not Mapped"/>
    <s v="User Not Mapped"/>
    <n v="413582"/>
    <s v="MS SARGHAR"/>
    <s v="Private Retailer"/>
    <s v="9734505468"/>
    <n v="7"/>
    <n v="86"/>
    <x v="2"/>
    <m/>
    <s v="2026-01-31"/>
    <s v="888407"/>
    <s v="MAA FERTILIZER"/>
    <s v="9800042039"/>
  </r>
  <r>
    <s v="RCF Trombay"/>
    <s v="15-15-15"/>
    <s v="WB"/>
    <x v="15"/>
    <s v="Tehatta - I"/>
    <s v="User Not Mapped"/>
    <s v="User Not Mapped"/>
    <s v="User Not Mapped"/>
    <n v="413582"/>
    <s v="MS SARGHAR"/>
    <s v="Private Retailer"/>
    <s v="9734505468"/>
    <n v="3.05"/>
    <n v="121"/>
    <x v="0"/>
    <m/>
    <s v="2025-12-27"/>
    <s v="888407"/>
    <s v="MAA FERTILIZER"/>
    <s v="9800042039"/>
  </r>
  <r>
    <s v="RCF Thal"/>
    <s v="N.C.Urea(45kg)"/>
    <s v="WB"/>
    <x v="15"/>
    <s v="Tehatta - I"/>
    <s v="User Not Mapped"/>
    <s v="User Not Mapped"/>
    <s v="User Not Mapped"/>
    <n v="413616"/>
    <s v="Sukdab Biswas"/>
    <s v="Private Retailer"/>
    <s v="9735388150"/>
    <n v="0.85499999999999998"/>
    <n v="1589"/>
    <x v="7"/>
    <m/>
    <s v="2021-12-20"/>
    <s v="260210"/>
    <s v="Gouri Sankar Kundu            "/>
    <s v="9064539774"/>
  </r>
  <r>
    <s v="RCF Trombay"/>
    <s v="15-15-15"/>
    <s v="WB"/>
    <x v="15"/>
    <s v="Tehatta - I"/>
    <s v="User Not Mapped"/>
    <s v="User Not Mapped"/>
    <s v="User Not Mapped"/>
    <n v="413616"/>
    <s v="Sukdab Biswas"/>
    <s v="Private Retailer"/>
    <s v="9735388150"/>
    <n v="0.75"/>
    <n v="1589"/>
    <x v="7"/>
    <m/>
    <s v="2021-12-20"/>
    <s v="260210"/>
    <s v="Gouri Sankar Kundu            "/>
    <s v="9064539774"/>
  </r>
  <r>
    <s v="RCF Trombay"/>
    <s v="15-15-15"/>
    <s v="WB"/>
    <x v="15"/>
    <s v="Tehatta - I"/>
    <s v="User Not Mapped"/>
    <s v="User Not Mapped"/>
    <s v="User Not Mapped"/>
    <n v="413622"/>
    <s v="Dilip Kr Joarder"/>
    <s v="Private Retailer"/>
    <s v="8001233197"/>
    <n v="1.325"/>
    <n v="91"/>
    <x v="5"/>
    <m/>
    <s v="2026-01-26"/>
    <s v="280729"/>
    <s v="M/s. Naresh Chandra Das"/>
    <s v="7365868045"/>
  </r>
  <r>
    <s v="RCF Trombay"/>
    <s v="15-15-15"/>
    <s v="WB"/>
    <x v="15"/>
    <s v="Tehatta - I"/>
    <s v="User Not Mapped"/>
    <s v="User Not Mapped"/>
    <s v="User Not Mapped"/>
    <n v="413636"/>
    <s v="Abdul Hannan Shaikh"/>
    <s v="Private Retailer"/>
    <s v="9734896942"/>
    <n v="0.7"/>
    <n v="19"/>
    <x v="4"/>
    <m/>
    <s v="2026-04-08"/>
    <s v="260202"/>
    <s v="MS S K DUTTA"/>
    <s v="9832802581"/>
  </r>
  <r>
    <s v="RCF Thal"/>
    <s v="N.C.Urea(45kg)"/>
    <s v="WB"/>
    <x v="15"/>
    <s v="Tehatta - I"/>
    <s v="User Not Mapped"/>
    <s v="User Not Mapped"/>
    <s v="User Not Mapped"/>
    <n v="413636"/>
    <s v="Abdul Hannan Shaikh"/>
    <s v="Private Retailer"/>
    <s v="9734896942"/>
    <n v="0.9"/>
    <n v="19"/>
    <x v="4"/>
    <m/>
    <s v="2026-04-08"/>
    <s v="260202"/>
    <s v="MS S K DUTTA"/>
    <s v="9832802581"/>
  </r>
  <r>
    <s v="RCF Thal"/>
    <s v="N.C.Urea(45kg)"/>
    <s v="WB"/>
    <x v="15"/>
    <s v="Tehatta - I"/>
    <s v="User Not Mapped"/>
    <s v="User Not Mapped"/>
    <s v="User Not Mapped"/>
    <n v="413666"/>
    <s v="Jagannath Biswas"/>
    <s v="Private Retailer"/>
    <s v="8617012531"/>
    <n v="0.58499999999999996"/>
    <n v="272"/>
    <x v="3"/>
    <m/>
    <s v="2025-07-29"/>
    <s v="260202"/>
    <s v="MS S K DUTTA"/>
    <s v="9832802581"/>
  </r>
  <r>
    <s v="RCF Trombay"/>
    <s v="15-15-15"/>
    <s v="WB"/>
    <x v="15"/>
    <s v="Tehatta - I"/>
    <s v="User Not Mapped"/>
    <s v="User Not Mapped"/>
    <s v="User Not Mapped"/>
    <n v="413666"/>
    <s v="Jagannath Biswas"/>
    <s v="Private Retailer"/>
    <s v="8617012531"/>
    <n v="1"/>
    <n v="30"/>
    <x v="4"/>
    <m/>
    <s v="2026-03-28"/>
    <s v="260202"/>
    <s v="MS S K DUTTA"/>
    <s v="9832802581"/>
  </r>
  <r>
    <s v="RCF Thal"/>
    <s v="N.C.Urea(45kg)"/>
    <s v="WB"/>
    <x v="15"/>
    <s v="Tehatta - I"/>
    <s v="User Not Mapped"/>
    <s v="User Not Mapped"/>
    <s v="User Not Mapped"/>
    <n v="413666"/>
    <s v="Jagannath Biswas"/>
    <s v="Private Retailer"/>
    <s v="8617012531"/>
    <n v="1.35"/>
    <n v="30"/>
    <x v="4"/>
    <m/>
    <s v="2026-03-28"/>
    <s v="260202"/>
    <s v="MS S K DUTTA"/>
    <s v="9832802581"/>
  </r>
  <r>
    <s v="RCF Trombay"/>
    <s v="15-15-15"/>
    <s v="WB"/>
    <x v="15"/>
    <s v="Tehatta - I"/>
    <s v="User Not Mapped"/>
    <s v="User Not Mapped"/>
    <s v="User Not Mapped"/>
    <n v="413692"/>
    <s v="Pankaj  Sarkar"/>
    <s v="Private Retailer"/>
    <s v="9733709516"/>
    <n v="0.5"/>
    <n v="50"/>
    <x v="1"/>
    <m/>
    <s v="2026-03-08"/>
    <s v="260202"/>
    <s v="MS S K DUTTA"/>
    <s v="9832802581"/>
  </r>
  <r>
    <s v="RCF Trombay"/>
    <s v="15-15-15"/>
    <s v="WB"/>
    <x v="15"/>
    <s v="Tehatta - I"/>
    <s v="User Not Mapped"/>
    <s v="User Not Mapped"/>
    <s v="User Not Mapped"/>
    <n v="413692"/>
    <s v="Pankaj  Sarkar"/>
    <s v="Private Retailer"/>
    <s v="9733709516"/>
    <n v="0.5"/>
    <n v="87"/>
    <x v="2"/>
    <m/>
    <s v="2026-01-30"/>
    <s v="260202"/>
    <s v="MS S K DUTTA"/>
    <s v="9832802581"/>
  </r>
  <r>
    <s v="RCF Trombay"/>
    <s v="15-15-15"/>
    <s v="WB"/>
    <x v="15"/>
    <s v="Tehatta - I"/>
    <s v="User Not Mapped"/>
    <s v="User Not Mapped"/>
    <s v="User Not Mapped"/>
    <n v="413692"/>
    <s v="Pankaj  Sarkar"/>
    <s v="Private Retailer"/>
    <s v="9733709516"/>
    <n v="0.5"/>
    <n v="65"/>
    <x v="2"/>
    <m/>
    <s v="2026-02-21"/>
    <s v="260202"/>
    <s v="MS S K DUTTA"/>
    <s v="9832802581"/>
  </r>
  <r>
    <s v="RCF Thal"/>
    <s v="N.C.Urea(45kg)"/>
    <s v="WB"/>
    <x v="15"/>
    <s v="Tehatta - I"/>
    <s v="User Not Mapped"/>
    <s v="User Not Mapped"/>
    <s v="User Not Mapped"/>
    <n v="440368"/>
    <s v="NARAYAN CHANDRA BISWAS"/>
    <s v="Private Retailer"/>
    <s v="9143434344"/>
    <n v="0.45"/>
    <n v="17"/>
    <x v="4"/>
    <m/>
    <s v="2026-04-10"/>
    <s v="260202"/>
    <s v="MS S K DUTTA"/>
    <s v="9832802581"/>
  </r>
  <r>
    <s v="RCF Trombay"/>
    <s v="N.C.Urea(45kg)"/>
    <s v="WB"/>
    <x v="15"/>
    <s v="Tehatta - I"/>
    <s v="User Not Mapped"/>
    <s v="User Not Mapped"/>
    <s v="User Not Mapped"/>
    <n v="440382"/>
    <s v="Bikash Mondal"/>
    <s v="Private Retailer"/>
    <s v="9126309659"/>
    <n v="3.5550000000000002"/>
    <n v="142"/>
    <x v="0"/>
    <m/>
    <s v="2025-12-06"/>
    <s v="260179"/>
    <s v="Tarun Kumar Saha"/>
    <s v="8116312974"/>
  </r>
  <r>
    <s v="RCF Trombay"/>
    <s v="15-15-15"/>
    <s v="WB"/>
    <x v="15"/>
    <s v="Tehatta - I"/>
    <s v="User Not Mapped"/>
    <s v="User Not Mapped"/>
    <s v="User Not Mapped"/>
    <n v="440404"/>
    <s v="MS SABUJ SATHI FERTILIZERS"/>
    <s v="Private Retailer"/>
    <s v="9733764140"/>
    <n v="0.5"/>
    <n v="287"/>
    <x v="3"/>
    <m/>
    <s v="2025-07-14"/>
    <s v="260202"/>
    <s v="MS S K DUTTA"/>
    <s v="9832802581"/>
  </r>
  <r>
    <s v="RCF Trombay"/>
    <s v="15-15-15"/>
    <s v="WB"/>
    <x v="15"/>
    <s v="Tehatta - I"/>
    <s v="User Not Mapped"/>
    <s v="User Not Mapped"/>
    <s v="User Not Mapped"/>
    <n v="440404"/>
    <s v="MS SABUJ SATHI FERTILIZERS"/>
    <s v="Private Retailer"/>
    <s v="9733764140"/>
    <n v="0.3"/>
    <n v="342"/>
    <x v="3"/>
    <m/>
    <s v="2025-05-20"/>
    <s v="260202"/>
    <s v="MS S K DUTTA"/>
    <s v="9832802581"/>
  </r>
  <r>
    <s v="RCF Trombay"/>
    <s v="15-15-15"/>
    <s v="WB"/>
    <x v="15"/>
    <s v="Tehatta - I"/>
    <s v="User Not Mapped"/>
    <s v="User Not Mapped"/>
    <s v="User Not Mapped"/>
    <n v="440404"/>
    <s v="MS SABUJ SATHI FERTILIZERS"/>
    <s v="Private Retailer"/>
    <s v="9733764140"/>
    <n v="0.5"/>
    <n v="54"/>
    <x v="1"/>
    <m/>
    <s v="2026-03-04"/>
    <s v="260202"/>
    <s v="MS S K DUTTA"/>
    <s v="9832802581"/>
  </r>
  <r>
    <s v="RCF Trombay"/>
    <s v="15-15-15"/>
    <s v="WB"/>
    <x v="15"/>
    <s v="Tehatta - I"/>
    <s v="User Not Mapped"/>
    <s v="User Not Mapped"/>
    <s v="User Not Mapped"/>
    <n v="440404"/>
    <s v="MS SABUJ SATHI FERTILIZERS"/>
    <s v="Private Retailer"/>
    <s v="9733764140"/>
    <n v="0.5"/>
    <n v="313"/>
    <x v="3"/>
    <m/>
    <s v="2025-06-18"/>
    <s v="260202"/>
    <s v="MS S K DUTTA"/>
    <s v="9832802581"/>
  </r>
  <r>
    <s v="RCF Trombay"/>
    <s v="15-15-15"/>
    <s v="WB"/>
    <x v="15"/>
    <s v="Tehatta - I"/>
    <s v="User Not Mapped"/>
    <s v="User Not Mapped"/>
    <s v="User Not Mapped"/>
    <n v="440670"/>
    <s v="KANAN BISWAS"/>
    <s v="Private Retailer"/>
    <s v="9564382242"/>
    <n v="0.15"/>
    <n v="80"/>
    <x v="2"/>
    <m/>
    <s v="2026-02-06"/>
    <s v="260202"/>
    <s v="MS S K DUTTA"/>
    <s v="9832802581"/>
  </r>
  <r>
    <s v="RCF Trombay"/>
    <s v="15-15-15"/>
    <s v="WB"/>
    <x v="15"/>
    <s v="Tehatta - I"/>
    <s v="User Not Mapped"/>
    <s v="User Not Mapped"/>
    <s v="User Not Mapped"/>
    <n v="440670"/>
    <s v="KANAN BISWAS"/>
    <s v="Private Retailer"/>
    <s v="9564382242"/>
    <n v="0.5"/>
    <n v="61"/>
    <x v="2"/>
    <m/>
    <s v="2026-02-25"/>
    <s v="260202"/>
    <s v="MS S K DUTTA"/>
    <s v="9832802581"/>
  </r>
  <r>
    <s v="RCF Thal"/>
    <s v="N.C.Urea(45kg)"/>
    <s v="WB"/>
    <x v="15"/>
    <s v="Tehatta - I"/>
    <s v="User Not Mapped"/>
    <s v="User Not Mapped"/>
    <s v="User Not Mapped"/>
    <n v="440724"/>
    <s v="ANIL KUMAR DAS"/>
    <s v="Private Retailer"/>
    <s v="8927012551"/>
    <n v="0.45"/>
    <n v="17"/>
    <x v="4"/>
    <m/>
    <s v="2026-04-10"/>
    <s v="260202"/>
    <s v="MS S K DUTTA"/>
    <s v="9832802581"/>
  </r>
  <r>
    <s v="RCF Trombay"/>
    <s v="15-15-15"/>
    <s v="WB"/>
    <x v="15"/>
    <s v="Tehatta - I"/>
    <s v="User Not Mapped"/>
    <s v="User Not Mapped"/>
    <s v="User Not Mapped"/>
    <n v="440724"/>
    <s v="ANIL KUMAR DAS"/>
    <s v="Private Retailer"/>
    <s v="8927012551"/>
    <n v="0.15"/>
    <n v="17"/>
    <x v="4"/>
    <m/>
    <s v="2026-04-10"/>
    <s v="260202"/>
    <s v="MS S K DUTTA"/>
    <s v="9832802581"/>
  </r>
  <r>
    <s v="RCF Trombay"/>
    <s v="15-15-15"/>
    <s v="WB"/>
    <x v="15"/>
    <s v="Tehatta - I"/>
    <s v="User Not Mapped"/>
    <s v="User Not Mapped"/>
    <s v="User Not Mapped"/>
    <n v="463331"/>
    <s v="Tarun Kr"/>
    <s v="Private Retailer"/>
    <s v="9775105047"/>
    <n v="4"/>
    <n v="86"/>
    <x v="2"/>
    <m/>
    <s v="2026-01-31"/>
    <s v="888407"/>
    <s v="MAA FERTILIZER"/>
    <s v="9800042039"/>
  </r>
  <r>
    <s v="RCF Trombay"/>
    <s v="15-15-15"/>
    <s v="WB"/>
    <x v="15"/>
    <s v="Tehatta - I"/>
    <s v="User Not Mapped"/>
    <s v="User Not Mapped"/>
    <s v="User Not Mapped"/>
    <n v="463331"/>
    <s v="Tarun Kr"/>
    <s v="Private Retailer"/>
    <s v="9775105047"/>
    <n v="0.15"/>
    <n v="275"/>
    <x v="3"/>
    <m/>
    <s v="2025-07-26"/>
    <s v="888407"/>
    <s v="MAA FERTILIZER"/>
    <s v="9800042039"/>
  </r>
  <r>
    <s v="RCF Trombay"/>
    <s v="N.C.Urea(45kg)"/>
    <s v="WB"/>
    <x v="15"/>
    <s v="Tehatta - I"/>
    <s v="User Not Mapped"/>
    <s v="User Not Mapped"/>
    <s v="User Not Mapped"/>
    <n v="464446"/>
    <s v="Mandal Fertilizers"/>
    <s v="Private Retailer"/>
    <s v="9800553725"/>
    <n v="0.36"/>
    <n v="139"/>
    <x v="0"/>
    <m/>
    <s v="2025-12-09"/>
    <s v="280729"/>
    <s v="M/s. Naresh Chandra Das"/>
    <s v="7365868045"/>
  </r>
  <r>
    <s v="RCF Trombay"/>
    <s v="15-15-15"/>
    <s v="WB"/>
    <x v="15"/>
    <s v="Tehatta - I"/>
    <s v="User Not Mapped"/>
    <s v="User Not Mapped"/>
    <s v="User Not Mapped"/>
    <n v="465708"/>
    <s v="Sridam Chandra Biswas"/>
    <s v="Private Retailer"/>
    <s v="9932671225"/>
    <n v="0.312"/>
    <n v="234"/>
    <x v="3"/>
    <m/>
    <s v="2025-09-05"/>
    <s v="260202"/>
    <s v="MS S K DUTTA"/>
    <s v="9832802581"/>
  </r>
  <r>
    <s v="RCF Import"/>
    <s v="MOP"/>
    <s v="WB"/>
    <x v="15"/>
    <s v="Tehatta - I"/>
    <s v="User Not Mapped"/>
    <s v="User Not Mapped"/>
    <s v="User Not Mapped"/>
    <n v="465708"/>
    <s v="Sridam Chandra Biswas"/>
    <s v="Private Retailer"/>
    <s v="9932671225"/>
    <n v="0.2"/>
    <n v="234"/>
    <x v="3"/>
    <m/>
    <s v="2025-09-05"/>
    <s v="260202"/>
    <s v="MS S K DUTTA"/>
    <s v="9832802581"/>
  </r>
  <r>
    <s v="RCF Thal"/>
    <s v="N.C.Urea(45kg)"/>
    <s v="WB"/>
    <x v="15"/>
    <s v="Tehatta - I"/>
    <s v="User Not Mapped"/>
    <s v="User Not Mapped"/>
    <s v="User Not Mapped"/>
    <n v="465708"/>
    <s v="Sridam Chandra Biswas"/>
    <s v="Private Retailer"/>
    <s v="9932671225"/>
    <n v="0.72"/>
    <n v="30"/>
    <x v="4"/>
    <m/>
    <s v="2026-03-28"/>
    <s v="260202"/>
    <s v="MS S K DUTTA"/>
    <s v="9832802581"/>
  </r>
  <r>
    <s v="RCF Trombay"/>
    <s v="15-15-15"/>
    <s v="WB"/>
    <x v="15"/>
    <s v="Tehatta - I"/>
    <s v="User Not Mapped"/>
    <s v="User Not Mapped"/>
    <s v="User Not Mapped"/>
    <n v="465734"/>
    <s v="Shyamlal Biswas"/>
    <s v="Private Retailer"/>
    <s v="9126212366"/>
    <n v="0.65"/>
    <n v="47"/>
    <x v="1"/>
    <m/>
    <s v="2026-03-11"/>
    <s v="260202"/>
    <s v="MS S K DUTTA"/>
    <s v="9832802581"/>
  </r>
  <r>
    <s v="RCF Trombay"/>
    <s v="N.C.Urea(45kg)"/>
    <s v="WB"/>
    <x v="15"/>
    <s v="Tehatta - I"/>
    <s v="User Not Mapped"/>
    <s v="User Not Mapped"/>
    <s v="User Not Mapped"/>
    <n v="465734"/>
    <s v="Shyamlal Biswas"/>
    <s v="Private Retailer"/>
    <s v="9126212366"/>
    <n v="0.27"/>
    <n v="61"/>
    <x v="2"/>
    <m/>
    <s v="2026-02-25"/>
    <s v="260202"/>
    <s v="MS S K DUTTA"/>
    <s v="9832802581"/>
  </r>
  <r>
    <s v="RCF Thal"/>
    <s v="N.C.Urea(45kg)"/>
    <s v="WB"/>
    <x v="15"/>
    <s v="Tehatta - I"/>
    <s v="User Not Mapped"/>
    <s v="User Not Mapped"/>
    <s v="User Not Mapped"/>
    <n v="467429"/>
    <s v="Amlan Bajpaye"/>
    <s v="Private Retailer"/>
    <s v="9733899821"/>
    <n v="4.9950000000000001"/>
    <n v="24"/>
    <x v="4"/>
    <m/>
    <s v="2026-04-03"/>
    <s v="280913"/>
    <s v="S.S.P Enterprise"/>
    <s v="9732669190"/>
  </r>
  <r>
    <s v="RCF Trombay"/>
    <s v="15-15-15"/>
    <s v="WB"/>
    <x v="15"/>
    <s v="Tehatta - I"/>
    <s v="User Not Mapped"/>
    <s v="User Not Mapped"/>
    <s v="User Not Mapped"/>
    <n v="467447"/>
    <s v="Babar Ali Ske"/>
    <s v="Private Retailer"/>
    <s v="9735248700"/>
    <n v="3"/>
    <n v="47"/>
    <x v="1"/>
    <m/>
    <s v="2026-03-11"/>
    <s v="260202"/>
    <s v="MS S K DUTTA"/>
    <s v="9832802581"/>
  </r>
  <r>
    <s v="RCF Trombay"/>
    <s v="N.C.Urea(45kg)"/>
    <s v="WB"/>
    <x v="15"/>
    <s v="Tehatta - I"/>
    <s v="User Not Mapped"/>
    <s v="User Not Mapped"/>
    <s v="User Not Mapped"/>
    <n v="468523"/>
    <s v="Wardi Gaman"/>
    <s v="Private Retailer"/>
    <s v="9733948990"/>
    <n v="0.9"/>
    <n v="59"/>
    <x v="1"/>
    <m/>
    <s v="2026-02-27"/>
    <s v="260202"/>
    <s v="MS S K DUTTA"/>
    <s v="9832802581"/>
  </r>
  <r>
    <s v="RCF Trombay"/>
    <s v="15-15-15"/>
    <s v="WB"/>
    <x v="15"/>
    <s v="Tehatta - I"/>
    <s v="User Not Mapped"/>
    <s v="User Not Mapped"/>
    <s v="User Not Mapped"/>
    <n v="468523"/>
    <s v="Wardi Gaman"/>
    <s v="Private Retailer"/>
    <s v="9733948990"/>
    <n v="0.25"/>
    <n v="282"/>
    <x v="3"/>
    <m/>
    <s v="2025-07-19"/>
    <s v="260202"/>
    <s v="MS S K DUTTA"/>
    <s v="9832802581"/>
  </r>
  <r>
    <s v="RCF Trombay"/>
    <s v="15-15-15"/>
    <s v="WB"/>
    <x v="15"/>
    <s v="Tehatta - I"/>
    <s v="User Not Mapped"/>
    <s v="User Not Mapped"/>
    <s v="User Not Mapped"/>
    <n v="468523"/>
    <s v="Wardi Gaman"/>
    <s v="Private Retailer"/>
    <s v="9733948990"/>
    <n v="0.5"/>
    <n v="287"/>
    <x v="3"/>
    <m/>
    <s v="2025-07-14"/>
    <s v="260202"/>
    <s v="MS S K DUTTA"/>
    <s v="9832802581"/>
  </r>
  <r>
    <s v="RCF Trombay"/>
    <s v="15-15-15"/>
    <s v="WB"/>
    <x v="15"/>
    <s v="Tehatta - I"/>
    <s v="User Not Mapped"/>
    <s v="User Not Mapped"/>
    <s v="User Not Mapped"/>
    <n v="468523"/>
    <s v="Wardi Gaman"/>
    <s v="Private Retailer"/>
    <s v="9733948990"/>
    <n v="0.1"/>
    <n v="308"/>
    <x v="3"/>
    <m/>
    <s v="2025-06-23"/>
    <s v="260202"/>
    <s v="MS S K DUTTA"/>
    <s v="9832802581"/>
  </r>
  <r>
    <s v="RCF Import"/>
    <s v="MOP"/>
    <s v="WB"/>
    <x v="15"/>
    <s v="Tehatta - I"/>
    <s v="User Not Mapped"/>
    <s v="User Not Mapped"/>
    <s v="User Not Mapped"/>
    <n v="468523"/>
    <s v="Wardi Gaman"/>
    <s v="Private Retailer"/>
    <s v="9733948990"/>
    <n v="0.25"/>
    <n v="455"/>
    <x v="6"/>
    <m/>
    <s v="2025-01-27"/>
    <s v="260202"/>
    <s v="MS S K DUTTA"/>
    <s v="9832802581"/>
  </r>
  <r>
    <s v="RCF Thal"/>
    <s v="N.C.Urea(45kg)"/>
    <s v="WB"/>
    <x v="15"/>
    <s v="Tehatta - I"/>
    <s v="User Not Mapped"/>
    <s v="User Not Mapped"/>
    <s v="User Not Mapped"/>
    <n v="468523"/>
    <s v="Wardi Gaman"/>
    <s v="Private Retailer"/>
    <s v="9733948990"/>
    <n v="4.4999999999999998E-2"/>
    <n v="260"/>
    <x v="3"/>
    <m/>
    <s v="2025-08-10"/>
    <s v="260202"/>
    <s v="MS S K DUTTA"/>
    <s v="9832802581"/>
  </r>
  <r>
    <s v="RCF Thal"/>
    <s v="N.C.Urea(45kg)"/>
    <s v="WB"/>
    <x v="15"/>
    <s v="Tehatta - I"/>
    <s v="User Not Mapped"/>
    <s v="User Not Mapped"/>
    <s v="User Not Mapped"/>
    <n v="468523"/>
    <s v="Wardi Gaman"/>
    <s v="Private Retailer"/>
    <s v="9733948990"/>
    <n v="0.45"/>
    <n v="257"/>
    <x v="3"/>
    <m/>
    <s v="2025-08-13"/>
    <s v="260202"/>
    <s v="MS S K DUTTA"/>
    <s v="9832802581"/>
  </r>
  <r>
    <s v="RCF Trombay"/>
    <s v="N.C.Urea(45kg)"/>
    <s v="WB"/>
    <x v="15"/>
    <s v="Tehatta - I"/>
    <s v="User Not Mapped"/>
    <s v="User Not Mapped"/>
    <s v="User Not Mapped"/>
    <n v="468523"/>
    <s v="Wardi Gaman"/>
    <s v="Private Retailer"/>
    <s v="9733948990"/>
    <n v="0.45"/>
    <n v="93"/>
    <x v="5"/>
    <m/>
    <s v="2026-01-24"/>
    <s v="260202"/>
    <s v="MS S K DUTTA"/>
    <s v="9832802581"/>
  </r>
  <r>
    <s v="RCF Trombay"/>
    <s v="N.C.Urea(45kg)"/>
    <s v="WB"/>
    <x v="15"/>
    <s v="Tehatta - I"/>
    <s v="User Not Mapped"/>
    <s v="User Not Mapped"/>
    <s v="User Not Mapped"/>
    <n v="468523"/>
    <s v="Wardi Gaman"/>
    <s v="Private Retailer"/>
    <s v="9733948990"/>
    <n v="0.45"/>
    <n v="246"/>
    <x v="3"/>
    <m/>
    <s v="2025-08-24"/>
    <s v="260202"/>
    <s v="MS S K DUTTA"/>
    <s v="9832802581"/>
  </r>
  <r>
    <s v="RCF Thal"/>
    <s v="N.C.Urea(45kg)"/>
    <s v="WB"/>
    <x v="15"/>
    <s v="Tehatta - I"/>
    <s v="User Not Mapped"/>
    <s v="User Not Mapped"/>
    <s v="User Not Mapped"/>
    <n v="469728"/>
    <s v="Sumana Krishi Bhander"/>
    <s v="Private Retailer"/>
    <s v="9733875501"/>
    <n v="4.7450000000000001"/>
    <n v="6"/>
    <x v="4"/>
    <m/>
    <s v="2026-04-21"/>
    <s v="259034"/>
    <s v="MS Guha And Co"/>
    <s v="8695359505"/>
  </r>
  <r>
    <s v="RCF Trombay"/>
    <s v="15-15-15"/>
    <s v="WB"/>
    <x v="15"/>
    <s v="Tehatta - I"/>
    <s v="User Not Mapped"/>
    <s v="User Not Mapped"/>
    <s v="User Not Mapped"/>
    <n v="469728"/>
    <s v="Sumana Krishi Bhander"/>
    <s v="Private Retailer"/>
    <s v="9733875501"/>
    <n v="0.52"/>
    <n v="68"/>
    <x v="2"/>
    <m/>
    <s v="2026-02-18"/>
    <s v="260202"/>
    <s v="MS S K DUTTA"/>
    <s v="9832802581"/>
  </r>
  <r>
    <s v="RCF Trombay"/>
    <s v="15-15-15"/>
    <s v="WB"/>
    <x v="15"/>
    <s v="Tehatta - I"/>
    <s v="User Not Mapped"/>
    <s v="User Not Mapped"/>
    <s v="User Not Mapped"/>
    <n v="469728"/>
    <s v="Sumana Krishi Bhander"/>
    <s v="Private Retailer"/>
    <s v="9733875501"/>
    <n v="1.5"/>
    <n v="50"/>
    <x v="1"/>
    <m/>
    <s v="2026-03-08"/>
    <s v="260202"/>
    <s v="MS S K DUTTA"/>
    <s v="9832802581"/>
  </r>
  <r>
    <s v="RCF Trombay"/>
    <s v="15-15-15"/>
    <s v="WB"/>
    <x v="15"/>
    <s v="Tehatta - I"/>
    <s v="User Not Mapped"/>
    <s v="User Not Mapped"/>
    <s v="User Not Mapped"/>
    <n v="548867"/>
    <s v="Matilal Biswas"/>
    <s v="Private Retailer"/>
    <s v="9732938140"/>
    <n v="8.8000000000000007"/>
    <n v="178"/>
    <x v="0"/>
    <m/>
    <s v="2025-10-31"/>
    <s v="888407"/>
    <s v="MAA FERTILIZER"/>
    <s v="9800042039"/>
  </r>
  <r>
    <s v="RCF Trombay"/>
    <s v="15-15-15"/>
    <s v="WB"/>
    <x v="15"/>
    <s v="Tehatta - I"/>
    <s v="User Not Mapped"/>
    <s v="User Not Mapped"/>
    <s v="User Not Mapped"/>
    <n v="597360"/>
    <s v="IKBAL KABIRAJ"/>
    <s v="Private Retailer"/>
    <s v="8116014221"/>
    <n v="0.75"/>
    <n v="184"/>
    <x v="3"/>
    <m/>
    <s v="2025-10-25"/>
    <s v="260202"/>
    <s v="MS S K DUTTA"/>
    <s v="9832802581"/>
  </r>
  <r>
    <s v="RCF Trombay"/>
    <s v="N.C.Urea(45kg)"/>
    <s v="WB"/>
    <x v="15"/>
    <s v="Tehatta - I"/>
    <s v="User Not Mapped"/>
    <s v="User Not Mapped"/>
    <s v="User Not Mapped"/>
    <n v="597360"/>
    <s v="IKBAL KABIRAJ"/>
    <s v="Private Retailer"/>
    <s v="8116014221"/>
    <n v="4.4999999999999998E-2"/>
    <n v="218"/>
    <x v="3"/>
    <m/>
    <s v="2025-09-21"/>
    <s v="260202"/>
    <s v="MS S K DUTTA"/>
    <s v="9832802581"/>
  </r>
  <r>
    <s v="RCF Thal"/>
    <s v="N.C.Urea(45kg)"/>
    <s v="WB"/>
    <x v="15"/>
    <s v="Tehatta - I"/>
    <s v="User Not Mapped"/>
    <s v="User Not Mapped"/>
    <s v="User Not Mapped"/>
    <n v="597360"/>
    <s v="IKBAL KABIRAJ"/>
    <s v="Private Retailer"/>
    <s v="8116014221"/>
    <n v="0.36"/>
    <n v="184"/>
    <x v="3"/>
    <m/>
    <s v="2025-10-25"/>
    <s v="260202"/>
    <s v="MS S K DUTTA"/>
    <s v="9832802581"/>
  </r>
  <r>
    <s v="RCF Import"/>
    <s v="MOP"/>
    <s v="WB"/>
    <x v="15"/>
    <s v="Tehatta - I"/>
    <s v="User Not Mapped"/>
    <s v="User Not Mapped"/>
    <s v="User Not Mapped"/>
    <n v="621458"/>
    <s v="BHIM CHANDRA BISWAS"/>
    <s v="Private Retailer"/>
    <s v="9647449602"/>
    <n v="0.5"/>
    <n v="226"/>
    <x v="3"/>
    <m/>
    <s v="2025-09-13"/>
    <s v="260202"/>
    <s v="MS S K DUTTA"/>
    <s v="9832802581"/>
  </r>
  <r>
    <s v="RCF Import"/>
    <s v="MOP"/>
    <s v="WB"/>
    <x v="15"/>
    <s v="Tehatta - I"/>
    <s v="User Not Mapped"/>
    <s v="User Not Mapped"/>
    <s v="User Not Mapped"/>
    <n v="621458"/>
    <s v="BHIM CHANDRA BISWAS"/>
    <s v="Private Retailer"/>
    <s v="9647449602"/>
    <n v="0.5"/>
    <n v="218"/>
    <x v="3"/>
    <m/>
    <s v="2025-09-21"/>
    <s v="260202"/>
    <s v="MS S K DUTTA"/>
    <s v="9832802581"/>
  </r>
  <r>
    <s v="RCF Thal"/>
    <s v="N.C.Urea(45kg)"/>
    <s v="WB"/>
    <x v="15"/>
    <s v="Tehatta - I"/>
    <s v="User Not Mapped"/>
    <s v="User Not Mapped"/>
    <s v="User Not Mapped"/>
    <n v="621458"/>
    <s v="BHIM CHANDRA BISWAS"/>
    <s v="Private Retailer"/>
    <s v="9647449602"/>
    <n v="0.9"/>
    <n v="43"/>
    <x v="1"/>
    <m/>
    <s v="2026-03-15"/>
    <s v="260202"/>
    <s v="MS S K DUTTA"/>
    <s v="9832802581"/>
  </r>
  <r>
    <s v="RCF Thal"/>
    <s v="N.C.Urea(45kg)"/>
    <s v="WB"/>
    <x v="15"/>
    <s v="Tehatta - I"/>
    <s v="User Not Mapped"/>
    <s v="User Not Mapped"/>
    <s v="User Not Mapped"/>
    <n v="621458"/>
    <s v="BHIM CHANDRA BISWAS"/>
    <s v="Private Retailer"/>
    <s v="9647449602"/>
    <n v="1.35"/>
    <n v="36"/>
    <x v="1"/>
    <m/>
    <s v="2026-03-22"/>
    <s v="260202"/>
    <s v="MS S K DUTTA"/>
    <s v="9832802581"/>
  </r>
  <r>
    <s v="RCF Trombay"/>
    <s v="15-15-15"/>
    <s v="WB"/>
    <x v="15"/>
    <s v="Tehatta - I"/>
    <s v="User Not Mapped"/>
    <s v="User Not Mapped"/>
    <s v="User Not Mapped"/>
    <n v="642060"/>
    <s v="Modan Mohan Biswas"/>
    <s v="Private Retailer"/>
    <s v="9733907604"/>
    <n v="0.5"/>
    <n v="134"/>
    <x v="0"/>
    <m/>
    <s v="2025-12-14"/>
    <s v="260202"/>
    <s v="MS S K DUTTA"/>
    <s v="9832802581"/>
  </r>
  <r>
    <s v="RCF Trombay"/>
    <s v="15-15-15"/>
    <s v="WB"/>
    <x v="15"/>
    <s v="Tehatta - I"/>
    <s v="User Not Mapped"/>
    <s v="User Not Mapped"/>
    <s v="User Not Mapped"/>
    <n v="642060"/>
    <s v="Modan Mohan Biswas"/>
    <s v="Private Retailer"/>
    <s v="9733907604"/>
    <n v="0.5"/>
    <n v="128"/>
    <x v="0"/>
    <m/>
    <s v="2025-12-20"/>
    <s v="260202"/>
    <s v="MS S K DUTTA"/>
    <s v="9832802581"/>
  </r>
  <r>
    <s v="RCF Thal"/>
    <s v="N.C.Urea(45kg)"/>
    <s v="WB"/>
    <x v="15"/>
    <s v="Tehatta - I"/>
    <s v="User Not Mapped"/>
    <s v="User Not Mapped"/>
    <s v="User Not Mapped"/>
    <n v="642064"/>
    <s v="Sudhamoy Mondal"/>
    <s v="Private Retailer"/>
    <s v="8513063724"/>
    <n v="0.27"/>
    <n v="30"/>
    <x v="4"/>
    <m/>
    <s v="2026-03-28"/>
    <s v="260202"/>
    <s v="MS S K DUTTA"/>
    <s v="9832802581"/>
  </r>
  <r>
    <s v="RCF Thal"/>
    <s v="N.C.Urea(45kg)"/>
    <s v="WB"/>
    <x v="15"/>
    <s v="Tehatta - I"/>
    <s v="User Not Mapped"/>
    <s v="User Not Mapped"/>
    <s v="User Not Mapped"/>
    <n v="645556"/>
    <s v="Mandal Fertiliser"/>
    <s v="Private Retailer"/>
    <s v="8388093938"/>
    <n v="1.62"/>
    <n v="196"/>
    <x v="3"/>
    <m/>
    <s v="2025-10-13"/>
    <s v="260179"/>
    <s v="Tarun Kumar Saha"/>
    <s v="8116312974"/>
  </r>
  <r>
    <s v="RCF Trombay"/>
    <s v="N.C.Urea(45kg)"/>
    <s v="WB"/>
    <x v="15"/>
    <s v="Tehatta - I"/>
    <s v="User Not Mapped"/>
    <s v="User Not Mapped"/>
    <s v="User Not Mapped"/>
    <n v="645780"/>
    <s v="Subhas Biswas"/>
    <s v="Private Retailer"/>
    <s v="9933503605"/>
    <n v="9.5000000000000001E-2"/>
    <n v="216"/>
    <x v="3"/>
    <m/>
    <s v="2025-09-23"/>
    <s v="260202"/>
    <s v="MS S K DUTTA"/>
    <s v="9832802581"/>
  </r>
  <r>
    <s v="RCF Thal"/>
    <s v="N.C.Urea(45kg)"/>
    <s v="WB"/>
    <x v="15"/>
    <s v="Tehatta - I"/>
    <s v="User Not Mapped"/>
    <s v="User Not Mapped"/>
    <s v="User Not Mapped"/>
    <n v="645780"/>
    <s v="Subhas Biswas"/>
    <s v="Private Retailer"/>
    <s v="9933503605"/>
    <n v="0.22500000000000001"/>
    <n v="30"/>
    <x v="4"/>
    <m/>
    <s v="2026-03-28"/>
    <s v="260202"/>
    <s v="MS S K DUTTA"/>
    <s v="9832802581"/>
  </r>
  <r>
    <s v="RCF Trombay"/>
    <s v="N.C.Urea(45kg)"/>
    <s v="WB"/>
    <x v="15"/>
    <s v="Tehatta - I"/>
    <s v="User Not Mapped"/>
    <s v="User Not Mapped"/>
    <s v="User Not Mapped"/>
    <n v="645782"/>
    <s v="Mondal Fertiliser"/>
    <s v="Private Retailer"/>
    <s v="8001810321"/>
    <n v="0.36"/>
    <n v="233"/>
    <x v="3"/>
    <m/>
    <s v="2025-09-06"/>
    <s v="260202"/>
    <s v="MS S K DUTTA"/>
    <s v="9832802581"/>
  </r>
  <r>
    <s v="RCF Trombay"/>
    <s v="15-15-15"/>
    <s v="WB"/>
    <x v="15"/>
    <s v="Tehatta - I"/>
    <s v="User Not Mapped"/>
    <s v="User Not Mapped"/>
    <s v="User Not Mapped"/>
    <n v="649485"/>
    <s v=" Chakraborty Fertilizer"/>
    <s v="Private Retailer"/>
    <s v="6296323468"/>
    <n v="0.1"/>
    <n v="556"/>
    <x v="7"/>
    <m/>
    <s v="2024-10-18"/>
    <s v="1470444"/>
    <s v="Billal Malitya"/>
    <s v="7074281871"/>
  </r>
  <r>
    <s v="RCF Trombay"/>
    <s v="15-15-15"/>
    <s v="WB"/>
    <x v="15"/>
    <s v="Tehatta - I"/>
    <s v="User Not Mapped"/>
    <s v="User Not Mapped"/>
    <s v="User Not Mapped"/>
    <n v="650689"/>
    <s v="Subrata Biswas"/>
    <s v="Private Retailer"/>
    <s v="7477414251"/>
    <n v="0.03"/>
    <n v="264"/>
    <x v="3"/>
    <m/>
    <s v="2025-08-06"/>
    <s v="260202"/>
    <s v="MS S K DUTTA"/>
    <s v="9832802581"/>
  </r>
  <r>
    <s v="RCF Trombay"/>
    <s v="N.C.Urea(45kg)"/>
    <s v="WB"/>
    <x v="15"/>
    <s v="Tehatta - I"/>
    <s v="User Not Mapped"/>
    <s v="User Not Mapped"/>
    <s v="User Not Mapped"/>
    <n v="650691"/>
    <s v="Mandal Fertiliser"/>
    <s v="Private Retailer"/>
    <s v="7047298492"/>
    <n v="0.995"/>
    <n v="173"/>
    <x v="0"/>
    <m/>
    <s v="2025-11-05"/>
    <s v="260179"/>
    <s v="Tarun Kumar Saha"/>
    <s v="8116312974"/>
  </r>
  <r>
    <s v="RCF Import"/>
    <s v="MOP"/>
    <s v="WB"/>
    <x v="15"/>
    <s v="Tehatta - I"/>
    <s v="User Not Mapped"/>
    <s v="User Not Mapped"/>
    <s v="User Not Mapped"/>
    <n v="650691"/>
    <s v="Mandal Fertiliser"/>
    <s v="Private Retailer"/>
    <s v="7047298492"/>
    <n v="0.25"/>
    <n v="485"/>
    <x v="6"/>
    <m/>
    <s v="2024-12-28"/>
    <s v="260179"/>
    <s v="Tarun Kumar Saha"/>
    <s v="8116312974"/>
  </r>
  <r>
    <s v="RCF Trombay"/>
    <s v="15-15-15"/>
    <s v="WB"/>
    <x v="15"/>
    <s v="Tehatta - I"/>
    <s v="User Not Mapped"/>
    <s v="User Not Mapped"/>
    <s v="User Not Mapped"/>
    <n v="651052"/>
    <s v="Isadul Sk"/>
    <s v="Private Retailer"/>
    <s v="9609425455"/>
    <n v="0.75"/>
    <n v="633"/>
    <x v="7"/>
    <m/>
    <s v="2024-08-02"/>
    <s v="260202"/>
    <s v="MS S K DUTTA"/>
    <s v="9832802581"/>
  </r>
  <r>
    <s v="RCF Trombay"/>
    <s v="15-15-15"/>
    <s v="WB"/>
    <x v="15"/>
    <s v="Tehatta - I"/>
    <s v="User Not Mapped"/>
    <s v="User Not Mapped"/>
    <s v="User Not Mapped"/>
    <n v="767676"/>
    <s v="SAMSUZZOHA MANDAL"/>
    <s v="Private Retailer"/>
    <s v="9732756814"/>
    <n v="0.3"/>
    <n v="313"/>
    <x v="3"/>
    <m/>
    <s v="2025-06-18"/>
    <s v="260202"/>
    <s v="MS S K DUTTA"/>
    <s v="9832802581"/>
  </r>
  <r>
    <s v="RCF Trombay"/>
    <s v="15-15-15"/>
    <s v="WB"/>
    <x v="15"/>
    <s v="Tehatta - I"/>
    <s v="User Not Mapped"/>
    <s v="User Not Mapped"/>
    <s v="User Not Mapped"/>
    <n v="767676"/>
    <s v="SAMSUZZOHA MANDAL"/>
    <s v="Private Retailer"/>
    <s v="9732756814"/>
    <n v="0.75"/>
    <n v="87"/>
    <x v="2"/>
    <m/>
    <s v="2026-01-30"/>
    <s v="260202"/>
    <s v="MS S K DUTTA"/>
    <s v="9832802581"/>
  </r>
  <r>
    <s v="RCF Thal"/>
    <s v="N.C.Urea(45kg)"/>
    <s v="WB"/>
    <x v="15"/>
    <s v="Tehatta - I"/>
    <s v="User Not Mapped"/>
    <s v="User Not Mapped"/>
    <s v="User Not Mapped"/>
    <n v="767676"/>
    <s v="SAMSUZZOHA MANDAL"/>
    <s v="Private Retailer"/>
    <s v="9732756814"/>
    <n v="0.9"/>
    <n v="32"/>
    <x v="1"/>
    <m/>
    <s v="2026-03-26"/>
    <s v="260202"/>
    <s v="MS S K DUTTA"/>
    <s v="9832802581"/>
  </r>
  <r>
    <s v="RCF Trombay"/>
    <s v="15-15-15"/>
    <s v="WB"/>
    <x v="15"/>
    <s v="Tehatta - I"/>
    <s v="User Not Mapped"/>
    <s v="User Not Mapped"/>
    <s v="User Not Mapped"/>
    <n v="767676"/>
    <s v="SAMSUZZOHA MANDAL"/>
    <s v="Private Retailer"/>
    <s v="9732756814"/>
    <n v="0.5"/>
    <n v="231"/>
    <x v="3"/>
    <m/>
    <s v="2025-09-08"/>
    <s v="260202"/>
    <s v="MS S K DUTTA"/>
    <s v="9832802581"/>
  </r>
  <r>
    <s v="RCF Trombay"/>
    <s v="N.C.Urea(45kg)"/>
    <s v="WB"/>
    <x v="15"/>
    <s v="Tehatta - I"/>
    <s v="User Not Mapped"/>
    <s v="User Not Mapped"/>
    <s v="User Not Mapped"/>
    <n v="767690"/>
    <s v="SAINUR MONDAL"/>
    <s v="Private Retailer"/>
    <s v="8509568912"/>
    <n v="1.71"/>
    <n v="455"/>
    <x v="6"/>
    <m/>
    <s v="2025-01-27"/>
    <s v="260179"/>
    <s v="Tarun Kumar Saha"/>
    <s v="8116312974"/>
  </r>
  <r>
    <s v="RCF Thal"/>
    <s v="N.C.Urea(45kg)"/>
    <s v="WB"/>
    <x v="15"/>
    <s v="Tehatta - I"/>
    <s v="User Not Mapped"/>
    <s v="User Not Mapped"/>
    <s v="User Not Mapped"/>
    <n v="913679"/>
    <s v="APARNA GHOSH"/>
    <s v="Private Retailer"/>
    <s v="9593028318"/>
    <n v="4.8150000000000004"/>
    <n v="24"/>
    <x v="4"/>
    <m/>
    <s v="2026-04-03"/>
    <s v="260179"/>
    <s v="Tarun Kumar Saha"/>
    <s v="8116312974"/>
  </r>
  <r>
    <s v="RCF Thal"/>
    <s v="N.C.Urea(45kg)"/>
    <s v="WB"/>
    <x v="15"/>
    <s v="Tehatta - I"/>
    <s v="User Not Mapped"/>
    <s v="User Not Mapped"/>
    <s v="User Not Mapped"/>
    <n v="914036"/>
    <s v="CHAITANYA KUMAR MONDAL"/>
    <s v="Private Retailer"/>
    <s v="8116308599"/>
    <n v="8.6850000000000005"/>
    <n v="20"/>
    <x v="4"/>
    <m/>
    <s v="2026-04-07"/>
    <s v="280729"/>
    <s v="M/s. Naresh Chandra Das"/>
    <s v="7365868045"/>
  </r>
  <r>
    <s v="RCF Thal"/>
    <s v="N.C.Urea(45kg)"/>
    <s v="WB"/>
    <x v="15"/>
    <s v="Tehatta - I"/>
    <s v="User Not Mapped"/>
    <s v="User Not Mapped"/>
    <s v="User Not Mapped"/>
    <n v="914058"/>
    <s v="ACHINTA MONDAL"/>
    <s v="Private Retailer"/>
    <s v="7407778217"/>
    <n v="4.8150000000000004"/>
    <n v="24"/>
    <x v="4"/>
    <m/>
    <s v="2026-04-03"/>
    <s v="260179"/>
    <s v="Tarun Kumar Saha"/>
    <s v="8116312974"/>
  </r>
  <r>
    <s v="RCF Thal"/>
    <s v="N.C.Urea(45kg)"/>
    <s v="WB"/>
    <x v="15"/>
    <s v="Tehatta - I"/>
    <s v="User Not Mapped"/>
    <s v="User Not Mapped"/>
    <s v="User Not Mapped"/>
    <n v="914363"/>
    <s v="SINDHU HALDER"/>
    <s v="Private Retailer"/>
    <s v="9732994967"/>
    <n v="9.99"/>
    <n v="20"/>
    <x v="4"/>
    <m/>
    <s v="2026-04-07"/>
    <s v="280729"/>
    <s v="M/s. Naresh Chandra Das"/>
    <s v="7365868045"/>
  </r>
  <r>
    <s v="RCF Trombay"/>
    <s v="15-15-15"/>
    <s v="WB"/>
    <x v="15"/>
    <s v="Tehatta - I"/>
    <s v="User Not Mapped"/>
    <s v="User Not Mapped"/>
    <s v="User Not Mapped"/>
    <n v="915229"/>
    <s v="PRANAB BISWAS"/>
    <s v="Private Retailer"/>
    <s v="7550867856"/>
    <n v="0.05"/>
    <n v="56"/>
    <x v="1"/>
    <m/>
    <s v="2026-03-02"/>
    <s v="260202"/>
    <s v="MS S K DUTTA"/>
    <s v="9832802581"/>
  </r>
  <r>
    <s v="RCF Import"/>
    <s v="Imp 10-26-26"/>
    <s v="WB"/>
    <x v="15"/>
    <s v="Tehatta - I"/>
    <s v="User Not Mapped"/>
    <s v="User Not Mapped"/>
    <s v="User Not Mapped"/>
    <n v="934900"/>
    <s v="PRASANTA BISWAS"/>
    <s v="Private Retailer"/>
    <s v="9735756760"/>
    <n v="0.05"/>
    <n v="226"/>
    <x v="3"/>
    <m/>
    <s v="2025-09-13"/>
    <s v="260202"/>
    <s v="MS S K DUTTA"/>
    <s v="9832802581"/>
  </r>
  <r>
    <s v="RCF Trombay"/>
    <s v="N.C.Urea(45kg)"/>
    <s v="WB"/>
    <x v="15"/>
    <s v="Tehatta - I"/>
    <s v="User Not Mapped"/>
    <s v="User Not Mapped"/>
    <s v="User Not Mapped"/>
    <n v="934900"/>
    <s v="PRASANTA BISWAS"/>
    <s v="Private Retailer"/>
    <s v="9735756760"/>
    <n v="0.09"/>
    <n v="149"/>
    <x v="0"/>
    <m/>
    <s v="2025-11-29"/>
    <s v="260202"/>
    <s v="MS S K DUTTA"/>
    <s v="9832802581"/>
  </r>
  <r>
    <s v="RCF Trombay"/>
    <s v="15-15-15"/>
    <s v="WB"/>
    <x v="15"/>
    <s v="Tehatta - I"/>
    <s v="User Not Mapped"/>
    <s v="User Not Mapped"/>
    <s v="User Not Mapped"/>
    <n v="934902"/>
    <s v="GOUTAM GHOSH"/>
    <s v="Private Retailer"/>
    <s v="9002960244"/>
    <n v="0.25"/>
    <n v="68"/>
    <x v="2"/>
    <m/>
    <s v="2026-02-18"/>
    <s v="260202"/>
    <s v="MS S K DUTTA"/>
    <s v="9832802581"/>
  </r>
  <r>
    <s v="RCF Trombay"/>
    <s v="15-15-15"/>
    <s v="WB"/>
    <x v="15"/>
    <s v="Tehatta - I"/>
    <s v="User Not Mapped"/>
    <s v="User Not Mapped"/>
    <s v="User Not Mapped"/>
    <n v="934918"/>
    <s v="BIDHAN CHANDRA MONDAL"/>
    <s v="Private Retailer"/>
    <s v="9564828580"/>
    <n v="0.5"/>
    <n v="36"/>
    <x v="1"/>
    <m/>
    <s v="2026-03-22"/>
    <s v="260202"/>
    <s v="MS S K DUTTA"/>
    <s v="9832802581"/>
  </r>
  <r>
    <s v="RCF Trombay"/>
    <s v="15-15-15"/>
    <s v="WB"/>
    <x v="15"/>
    <s v="Tehatta - I"/>
    <s v="User Not Mapped"/>
    <s v="User Not Mapped"/>
    <s v="User Not Mapped"/>
    <n v="934918"/>
    <s v="BIDHAN CHANDRA MONDAL"/>
    <s v="Private Retailer"/>
    <s v="9564828580"/>
    <n v="3.5"/>
    <n v="39"/>
    <x v="1"/>
    <m/>
    <s v="2026-03-19"/>
    <s v="260202"/>
    <s v="MS S K DUTTA"/>
    <s v="9832802581"/>
  </r>
  <r>
    <s v="RCF Trombay"/>
    <s v="15-15-15"/>
    <s v="WB"/>
    <x v="15"/>
    <s v="Tehatta - I"/>
    <s v="User Not Mapped"/>
    <s v="User Not Mapped"/>
    <s v="User Not Mapped"/>
    <n v="934918"/>
    <s v="BIDHAN CHANDRA MONDAL"/>
    <s v="Private Retailer"/>
    <s v="9564828580"/>
    <n v="0.45"/>
    <n v="175"/>
    <x v="0"/>
    <m/>
    <s v="2025-11-03"/>
    <s v="280729"/>
    <s v="M/s. Naresh Chandra Das"/>
    <s v="7365868045"/>
  </r>
  <r>
    <s v="RCF Trombay"/>
    <s v="15-15-15"/>
    <s v="WB"/>
    <x v="15"/>
    <s v="Tehatta - I"/>
    <s v="User Not Mapped"/>
    <s v="User Not Mapped"/>
    <s v="User Not Mapped"/>
    <n v="934920"/>
    <s v="BIKASHS CHANDRA SARKAR"/>
    <s v="Private Retailer"/>
    <s v="8371881098"/>
    <n v="0.82499999999999996"/>
    <n v="182"/>
    <x v="3"/>
    <m/>
    <s v="2025-10-27"/>
    <s v="260202"/>
    <s v="MS S K DUTTA"/>
    <s v="9832802581"/>
  </r>
  <r>
    <s v="RCF Thal"/>
    <s v="N.C.Urea(45kg)"/>
    <s v="WB"/>
    <x v="15"/>
    <s v="Tehatta - I"/>
    <s v="User Not Mapped"/>
    <s v="User Not Mapped"/>
    <s v="User Not Mapped"/>
    <n v="934922"/>
    <s v="BIKASH CH MONDAL"/>
    <s v="Private Retailer"/>
    <s v="9635404199"/>
    <n v="0.01"/>
    <n v="266"/>
    <x v="3"/>
    <m/>
    <s v="2025-08-04"/>
    <s v="260202"/>
    <s v="MS S K DUTTA"/>
    <s v="9832802581"/>
  </r>
  <r>
    <s v="RCF Trombay"/>
    <s v="N.C.Urea(45kg)"/>
    <s v="WB"/>
    <x v="15"/>
    <s v="Tehatta - I"/>
    <s v="User Not Mapped"/>
    <s v="User Not Mapped"/>
    <s v="User Not Mapped"/>
    <n v="935328"/>
    <s v="BIDYUT MONDAL"/>
    <s v="Private Retailer"/>
    <s v="9609026808"/>
    <n v="0.27"/>
    <n v="615"/>
    <x v="7"/>
    <m/>
    <s v="2024-08-20"/>
    <s v="260202"/>
    <s v="MS S K DUTTA"/>
    <s v="9832802581"/>
  </r>
  <r>
    <s v="RCF Thal"/>
    <s v="N.C.Urea(45kg)"/>
    <s v="WB"/>
    <x v="15"/>
    <s v="Tehatta - I"/>
    <s v="User Not Mapped"/>
    <s v="User Not Mapped"/>
    <s v="User Not Mapped"/>
    <n v="935328"/>
    <s v="BIDYUT MONDAL"/>
    <s v="Private Retailer"/>
    <s v="9609026808"/>
    <n v="4.4999999999999998E-2"/>
    <n v="450"/>
    <x v="6"/>
    <m/>
    <s v="2025-02-01"/>
    <s v="260202"/>
    <s v="MS S K DUTTA"/>
    <s v="9832802581"/>
  </r>
  <r>
    <s v="RCF Thal"/>
    <s v="N.C.Urea(45kg)"/>
    <s v="WB"/>
    <x v="15"/>
    <s v="Tehatta - I"/>
    <s v="User Not Mapped"/>
    <s v="User Not Mapped"/>
    <s v="User Not Mapped"/>
    <n v="935328"/>
    <s v="BIDYUT MONDAL"/>
    <s v="Private Retailer"/>
    <s v="9609026808"/>
    <n v="0.9"/>
    <n v="266"/>
    <x v="3"/>
    <m/>
    <s v="2025-08-04"/>
    <s v="260202"/>
    <s v="MS S K DUTTA"/>
    <s v="9832802581"/>
  </r>
  <r>
    <s v="RCF Thal"/>
    <s v="N.C.Urea(45kg)"/>
    <s v="WB"/>
    <x v="15"/>
    <s v="Tehatta - I"/>
    <s v="User Not Mapped"/>
    <s v="User Not Mapped"/>
    <s v="User Not Mapped"/>
    <n v="935340"/>
    <s v="SUPRIYA BISWAS"/>
    <s v="Private Retailer"/>
    <s v="9002577092"/>
    <n v="0.129"/>
    <n v="1203"/>
    <x v="7"/>
    <m/>
    <s v="2023-01-10"/>
    <s v="1258420"/>
    <s v="M.A.C COMPANY"/>
    <s v="9433152053"/>
  </r>
  <r>
    <s v="RCF Trombay"/>
    <s v="15-15-15"/>
    <s v="WB"/>
    <x v="15"/>
    <s v="Tehatta - I"/>
    <s v="User Not Mapped"/>
    <s v="User Not Mapped"/>
    <s v="User Not Mapped"/>
    <n v="935340"/>
    <s v="SUPRIYA BISWAS"/>
    <s v="Private Retailer"/>
    <s v="9002577092"/>
    <n v="0.5"/>
    <n v="814"/>
    <x v="7"/>
    <m/>
    <s v="2024-02-03"/>
    <s v="260202"/>
    <s v="MS S K DUTTA"/>
    <s v="9832802581"/>
  </r>
  <r>
    <s v="RCF Trombay"/>
    <s v="15-15-15"/>
    <s v="WB"/>
    <x v="15"/>
    <s v="Tehatta - I"/>
    <s v="User Not Mapped"/>
    <s v="User Not Mapped"/>
    <s v="User Not Mapped"/>
    <n v="935340"/>
    <s v="SUPRIYA BISWAS"/>
    <s v="Private Retailer"/>
    <s v="9002577092"/>
    <n v="0.25"/>
    <n v="868"/>
    <x v="7"/>
    <m/>
    <s v="2023-12-11"/>
    <s v="260202"/>
    <s v="MS S K DUTTA"/>
    <s v="9832802581"/>
  </r>
  <r>
    <s v="RCF Trombay"/>
    <s v="N.C.Urea(45kg)"/>
    <s v="WB"/>
    <x v="15"/>
    <s v="Tehatta - I"/>
    <s v="User Not Mapped"/>
    <s v="User Not Mapped"/>
    <s v="User Not Mapped"/>
    <n v="935542"/>
    <s v="BRISHA KETU BISWAS"/>
    <s v="Private Retailer"/>
    <s v="7384386775"/>
    <n v="0.22"/>
    <n v="748"/>
    <x v="7"/>
    <m/>
    <s v="2024-04-09"/>
    <s v="260178"/>
    <s v="M/s. Uttamendu Sarkar"/>
    <s v="9002483836"/>
  </r>
  <r>
    <s v="RCF Thal"/>
    <s v="N.C.Urea(45kg)"/>
    <s v="WB"/>
    <x v="15"/>
    <s v="Tehatta - I"/>
    <s v="User Not Mapped"/>
    <s v="User Not Mapped"/>
    <s v="User Not Mapped"/>
    <n v="935697"/>
    <s v="BIBHUTI SARKAR"/>
    <s v="Private Retailer"/>
    <s v="8906020200"/>
    <n v="0.495"/>
    <n v="445"/>
    <x v="6"/>
    <m/>
    <s v="2025-02-06"/>
    <s v="260202"/>
    <s v="MS S K DUTTA"/>
    <s v="9832802581"/>
  </r>
  <r>
    <s v="RCF Trombay"/>
    <s v="15-15-15"/>
    <s v="WB"/>
    <x v="15"/>
    <s v="Tehatta - I"/>
    <s v="User Not Mapped"/>
    <s v="User Not Mapped"/>
    <s v="User Not Mapped"/>
    <n v="935697"/>
    <s v="BIBHUTI SARKAR"/>
    <s v="Private Retailer"/>
    <s v="8906020200"/>
    <n v="0.25"/>
    <n v="556"/>
    <x v="7"/>
    <m/>
    <s v="2024-10-18"/>
    <s v="1470444"/>
    <s v="Billal Malitya"/>
    <s v="7074281871"/>
  </r>
  <r>
    <s v="RCF Thal"/>
    <s v="N.C.Urea(45kg)"/>
    <s v="WB"/>
    <x v="15"/>
    <s v="Tehatta - I"/>
    <s v="User Not Mapped"/>
    <s v="User Not Mapped"/>
    <s v="User Not Mapped"/>
    <n v="1057779"/>
    <s v="JAHANGIR MALITHYA"/>
    <s v="Private Retailer"/>
    <s v="8001828023"/>
    <n v="1.62"/>
    <n v="7"/>
    <x v="4"/>
    <m/>
    <s v="2026-04-20"/>
    <s v="260177"/>
    <s v="SatyaRanjan Kundu and Brothers"/>
    <s v="7908186730"/>
  </r>
  <r>
    <s v="RCF Trombay"/>
    <s v="N.C.Urea(45kg)"/>
    <s v="WB"/>
    <x v="15"/>
    <s v="Tehatta - I"/>
    <s v="User Not Mapped"/>
    <s v="User Not Mapped"/>
    <s v="User Not Mapped"/>
    <n v="1062238"/>
    <s v="PACHU GOPAL MONDAL"/>
    <s v="Private Retailer"/>
    <s v="9775084508"/>
    <n v="0.54"/>
    <n v="498"/>
    <x v="6"/>
    <m/>
    <s v="2024-12-15"/>
    <s v="260202"/>
    <s v="MS S K DUTTA"/>
    <s v="9832802581"/>
  </r>
  <r>
    <s v="RCF Trombay"/>
    <s v="N.C.Urea(45kg)"/>
    <s v="WB"/>
    <x v="15"/>
    <s v="Tehatta - I"/>
    <s v="User Not Mapped"/>
    <s v="User Not Mapped"/>
    <s v="User Not Mapped"/>
    <n v="1062238"/>
    <s v="PACHU GOPAL MONDAL"/>
    <s v="Private Retailer"/>
    <s v="9775084508"/>
    <n v="0.45"/>
    <n v="146"/>
    <x v="0"/>
    <m/>
    <s v="2025-12-02"/>
    <s v="260202"/>
    <s v="MS S K DUTTA"/>
    <s v="9832802581"/>
  </r>
  <r>
    <s v="RCF Trombay"/>
    <s v="15-15-15"/>
    <s v="WB"/>
    <x v="15"/>
    <s v="Tehatta - I"/>
    <s v="User Not Mapped"/>
    <s v="User Not Mapped"/>
    <s v="User Not Mapped"/>
    <n v="1219899"/>
    <s v="ALAMGIR ISLAM"/>
    <s v="Private Retailer"/>
    <s v="8001359103"/>
    <n v="0.25"/>
    <n v="203"/>
    <x v="3"/>
    <m/>
    <s v="2025-10-06"/>
    <s v="260178"/>
    <s v="M/s. Uttamendu Sarkar"/>
    <s v="9002483836"/>
  </r>
  <r>
    <s v="RCF Trombay"/>
    <s v="N.C.Urea(45kg)"/>
    <s v="WB"/>
    <x v="15"/>
    <s v="Tehatta - I"/>
    <s v="User Not Mapped"/>
    <s v="User Not Mapped"/>
    <s v="User Not Mapped"/>
    <n v="1390465"/>
    <s v="M/S KRISHOK BONDHU"/>
    <s v="Private Retailer"/>
    <s v="9609158510"/>
    <n v="4.5"/>
    <n v="161"/>
    <x v="0"/>
    <m/>
    <s v="2025-11-17"/>
    <s v="260202"/>
    <s v="MS S K DUTTA"/>
    <s v="9832802581"/>
  </r>
  <r>
    <s v="RCF Trombay"/>
    <s v="15-15-15"/>
    <s v="WB"/>
    <x v="15"/>
    <s v="Tehatta - I"/>
    <s v="User Not Mapped"/>
    <s v="User Not Mapped"/>
    <s v="User Not Mapped"/>
    <n v="1401074"/>
    <s v="MONDAL FERTILIZER"/>
    <s v="Private Retailer"/>
    <s v="8926932532"/>
    <n v="0.3"/>
    <n v="19"/>
    <x v="4"/>
    <m/>
    <s v="2026-04-08"/>
    <s v="260202"/>
    <s v="MS S K DUTTA"/>
    <s v="9832802581"/>
  </r>
  <r>
    <s v="RCF Thal"/>
    <s v="N.C.Urea(45kg)"/>
    <s v="WB"/>
    <x v="15"/>
    <s v="Tehatta - I"/>
    <s v="User Not Mapped"/>
    <s v="User Not Mapped"/>
    <s v="User Not Mapped"/>
    <n v="1401074"/>
    <s v="MONDAL FERTILIZER"/>
    <s v="Private Retailer"/>
    <s v="8926932532"/>
    <n v="0.45"/>
    <n v="19"/>
    <x v="4"/>
    <m/>
    <s v="2026-04-08"/>
    <s v="260202"/>
    <s v="MS S K DUTTA"/>
    <s v="9832802581"/>
  </r>
  <r>
    <s v="RCF Trombay"/>
    <s v="15-15-15"/>
    <s v="WB"/>
    <x v="15"/>
    <s v="Tehatta - I"/>
    <s v="User Not Mapped"/>
    <s v="User Not Mapped"/>
    <s v="User Not Mapped"/>
    <n v="1405215"/>
    <s v="SHAIKH FERTILISER"/>
    <s v="Private Retailer"/>
    <s v="9679252626"/>
    <n v="0.5"/>
    <n v="32"/>
    <x v="1"/>
    <m/>
    <s v="2026-03-26"/>
    <s v="260202"/>
    <s v="MS S K DUTTA"/>
    <s v="9832802581"/>
  </r>
  <r>
    <s v="RCF Thal"/>
    <s v="N.C.Urea(45kg)"/>
    <s v="WB"/>
    <x v="15"/>
    <s v="Tehatta - I"/>
    <s v="User Not Mapped"/>
    <s v="User Not Mapped"/>
    <s v="User Not Mapped"/>
    <n v="1405217"/>
    <s v="BISWAS FERTILIZER"/>
    <s v="Private Retailer"/>
    <s v="6291263845"/>
    <n v="0.315"/>
    <n v="20"/>
    <x v="4"/>
    <m/>
    <s v="2026-04-07"/>
    <s v="260202"/>
    <s v="MS S K DUTTA"/>
    <s v="9832802581"/>
  </r>
  <r>
    <s v="RCF Trombay"/>
    <s v="N.C.Urea(45kg)"/>
    <s v="WB"/>
    <x v="15"/>
    <s v="Tehatta - I"/>
    <s v="User Not Mapped"/>
    <s v="User Not Mapped"/>
    <s v="User Not Mapped"/>
    <n v="1405217"/>
    <s v="BISWAS FERTILIZER"/>
    <s v="Private Retailer"/>
    <s v="6291263845"/>
    <n v="2.3E-2"/>
    <n v="59"/>
    <x v="1"/>
    <m/>
    <s v="2026-02-27"/>
    <s v="260202"/>
    <s v="MS S K DUTTA"/>
    <s v="9832802581"/>
  </r>
  <r>
    <s v="RCF Thal"/>
    <s v="N.C.Urea(45kg)"/>
    <s v="WB"/>
    <x v="15"/>
    <s v="Tehatta - I"/>
    <s v="User Not Mapped"/>
    <s v="User Not Mapped"/>
    <s v="User Not Mapped"/>
    <n v="1470952"/>
    <s v="RAJESH NATH"/>
    <s v="Private Retailer"/>
    <s v="9093308346"/>
    <n v="2.16"/>
    <n v="15"/>
    <x v="4"/>
    <m/>
    <s v="2026-04-12"/>
    <s v="260202"/>
    <s v="MS S K DUTTA"/>
    <s v="9832802581"/>
  </r>
  <r>
    <s v="RCF Trombay"/>
    <s v="15-15-15"/>
    <s v="WB"/>
    <x v="15"/>
    <s v="Tehatta - I"/>
    <s v="User Not Mapped"/>
    <s v="User Not Mapped"/>
    <s v="User Not Mapped"/>
    <n v="1488631"/>
    <s v="SIRAJUL MONDAL"/>
    <s v="Private Retailer"/>
    <s v="8653518506"/>
    <n v="0.5"/>
    <n v="78"/>
    <x v="2"/>
    <m/>
    <s v="2026-02-08"/>
    <s v="260202"/>
    <s v="MS S K DUTTA"/>
    <s v="9832802581"/>
  </r>
  <r>
    <s v="RCF Trombay"/>
    <s v="15-15-15"/>
    <s v="WB"/>
    <x v="15"/>
    <s v="Tehatta - I"/>
    <s v="User Not Mapped"/>
    <s v="User Not Mapped"/>
    <s v="User Not Mapped"/>
    <n v="1488631"/>
    <s v="SIRAJUL MONDAL"/>
    <s v="Private Retailer"/>
    <s v="8653518506"/>
    <n v="1"/>
    <n v="14"/>
    <x v="4"/>
    <m/>
    <s v="2026-04-13"/>
    <s v="260202"/>
    <s v="MS S K DUTTA"/>
    <s v="9832802581"/>
  </r>
  <r>
    <s v="RCF Trombay"/>
    <s v="15-15-15"/>
    <s v="WB"/>
    <x v="15"/>
    <s v="Tehatta - I"/>
    <s v="User Not Mapped"/>
    <s v="User Not Mapped"/>
    <s v="User Not Mapped"/>
    <n v="1500891"/>
    <s v="KRISHAK BANDHU"/>
    <s v="Private Retailer"/>
    <s v="8926497448"/>
    <n v="0.55000000000000004"/>
    <n v="173"/>
    <x v="0"/>
    <m/>
    <s v="2025-11-05"/>
    <s v="260179"/>
    <s v="Tarun Kumar Saha"/>
    <s v="8116312974"/>
  </r>
  <r>
    <s v="RCF Trombay"/>
    <s v="15-15-15"/>
    <s v="WB"/>
    <x v="15"/>
    <s v="Tehatta - II"/>
    <s v="User Not Mapped"/>
    <s v="User Not Mapped"/>
    <s v="User Not Mapped"/>
    <n v="356380"/>
    <s v="M/s SWAPAN KUMAR BISWAS"/>
    <s v="Private Retailer"/>
    <s v="9732976722"/>
    <n v="0.5"/>
    <n v="223"/>
    <x v="3"/>
    <m/>
    <s v="2025-09-16"/>
    <s v="260202"/>
    <s v="MS S K DUTTA"/>
    <s v="9832802581"/>
  </r>
  <r>
    <s v="RCF Trombay"/>
    <s v="15-15-15"/>
    <s v="WB"/>
    <x v="15"/>
    <s v="Tehatta - II"/>
    <s v="User Not Mapped"/>
    <s v="User Not Mapped"/>
    <s v="User Not Mapped"/>
    <n v="356380"/>
    <s v="M/s SWAPAN KUMAR BISWAS"/>
    <s v="Private Retailer"/>
    <s v="9732976722"/>
    <n v="0.5"/>
    <n v="173"/>
    <x v="0"/>
    <m/>
    <s v="2025-11-05"/>
    <s v="260202"/>
    <s v="MS S K DUTTA"/>
    <s v="9832802581"/>
  </r>
  <r>
    <s v="RCF Trombay"/>
    <s v="N.C.Urea(45kg)"/>
    <s v="WB"/>
    <x v="15"/>
    <s v="Tehatta - II"/>
    <s v="User Not Mapped"/>
    <s v="User Not Mapped"/>
    <s v="User Not Mapped"/>
    <n v="356380"/>
    <s v="M/s SWAPAN KUMAR BISWAS"/>
    <s v="Private Retailer"/>
    <s v="9732976722"/>
    <n v="0.9"/>
    <n v="63"/>
    <x v="2"/>
    <m/>
    <s v="2026-02-23"/>
    <s v="260202"/>
    <s v="MS S K DUTTA"/>
    <s v="9832802581"/>
  </r>
  <r>
    <s v="RCF Thal"/>
    <s v="N.C.Urea(45kg)"/>
    <s v="WB"/>
    <x v="15"/>
    <s v="Tehatta - II"/>
    <s v="User Not Mapped"/>
    <s v="User Not Mapped"/>
    <s v="User Not Mapped"/>
    <n v="438922"/>
    <s v="Uttam Kumar Biswas"/>
    <s v="Private Retailer"/>
    <s v="8016490170"/>
    <n v="4.9950000000000001"/>
    <n v="7"/>
    <x v="4"/>
    <m/>
    <s v="2026-04-20"/>
    <s v="260177"/>
    <s v="SatyaRanjan Kundu and Brothers"/>
    <s v="7908186730"/>
  </r>
  <r>
    <s v="RCF Import"/>
    <s v="MOP"/>
    <s v="WB"/>
    <x v="15"/>
    <s v="Tehatta - II"/>
    <s v="User Not Mapped"/>
    <s v="User Not Mapped"/>
    <s v="User Not Mapped"/>
    <n v="438932"/>
    <s v="Emdadul Hoque"/>
    <s v="Private Retailer"/>
    <s v="9733944926"/>
    <n v="10"/>
    <n v="65"/>
    <x v="2"/>
    <m/>
    <s v="2026-02-21"/>
    <s v="280729"/>
    <s v="M/s. Naresh Chandra Das"/>
    <s v="7365868045"/>
  </r>
  <r>
    <s v="RCF Trombay"/>
    <s v="15-15-15"/>
    <s v="WB"/>
    <x v="15"/>
    <s v="Tehatta - II"/>
    <s v="User Not Mapped"/>
    <s v="User Not Mapped"/>
    <s v="User Not Mapped"/>
    <n v="439380"/>
    <s v="Ranjit Kumar Mondal"/>
    <s v="Private Retailer"/>
    <s v="9564151008"/>
    <n v="0.1"/>
    <n v="134"/>
    <x v="0"/>
    <m/>
    <s v="2025-12-14"/>
    <s v="260202"/>
    <s v="MS S K DUTTA"/>
    <s v="9832802581"/>
  </r>
  <r>
    <s v="RCF Trombay"/>
    <s v="15-15-15"/>
    <s v="WB"/>
    <x v="15"/>
    <s v="Tehatta - II"/>
    <s v="User Not Mapped"/>
    <s v="User Not Mapped"/>
    <s v="User Not Mapped"/>
    <n v="439388"/>
    <s v="Kuntal Biswas"/>
    <s v="Private Retailer"/>
    <s v="8001096988"/>
    <n v="0.5"/>
    <n v="50"/>
    <x v="1"/>
    <m/>
    <s v="2026-03-08"/>
    <s v="260202"/>
    <s v="MS S K DUTTA"/>
    <s v="9832802581"/>
  </r>
  <r>
    <s v="RCF Trombay"/>
    <s v="15-15-15"/>
    <s v="WB"/>
    <x v="15"/>
    <s v="Tehatta - II"/>
    <s v="User Not Mapped"/>
    <s v="User Not Mapped"/>
    <s v="User Not Mapped"/>
    <n v="439388"/>
    <s v="Kuntal Biswas"/>
    <s v="Private Retailer"/>
    <s v="8001096988"/>
    <n v="0.25"/>
    <n v="52"/>
    <x v="1"/>
    <m/>
    <s v="2026-03-06"/>
    <s v="260202"/>
    <s v="MS S K DUTTA"/>
    <s v="9832802581"/>
  </r>
  <r>
    <s v="RCF Trombay"/>
    <s v="N.C.Urea(45kg)"/>
    <s v="WB"/>
    <x v="15"/>
    <s v="Tehatta - II"/>
    <s v="User Not Mapped"/>
    <s v="User Not Mapped"/>
    <s v="User Not Mapped"/>
    <n v="439424"/>
    <s v="Nirmal Ghosh"/>
    <s v="Private Retailer"/>
    <s v="9733807218"/>
    <n v="0.45"/>
    <n v="47"/>
    <x v="1"/>
    <m/>
    <s v="2026-03-11"/>
    <s v="260202"/>
    <s v="MS S K DUTTA"/>
    <s v="9832802581"/>
  </r>
  <r>
    <s v="RCF Thal"/>
    <s v="N.C.Urea(45kg)"/>
    <s v="WB"/>
    <x v="15"/>
    <s v="Tehatta - II"/>
    <s v="User Not Mapped"/>
    <s v="User Not Mapped"/>
    <s v="User Not Mapped"/>
    <n v="439424"/>
    <s v="Nirmal Ghosh"/>
    <s v="Private Retailer"/>
    <s v="9733807218"/>
    <n v="3.6"/>
    <n v="18"/>
    <x v="4"/>
    <m/>
    <s v="2026-04-09"/>
    <s v="260202"/>
    <s v="MS S K DUTTA"/>
    <s v="9832802581"/>
  </r>
  <r>
    <s v="RCF Import"/>
    <s v="MOP"/>
    <s v="WB"/>
    <x v="15"/>
    <s v="Tehatta - II"/>
    <s v="User Not Mapped"/>
    <s v="User Not Mapped"/>
    <s v="User Not Mapped"/>
    <n v="440592"/>
    <s v="Biswas Fertilizer"/>
    <s v="Private Retailer"/>
    <s v="9434551713"/>
    <n v="0.25"/>
    <n v="200"/>
    <x v="3"/>
    <m/>
    <s v="2025-10-09"/>
    <s v="260202"/>
    <s v="MS S K DUTTA"/>
    <s v="9832802581"/>
  </r>
  <r>
    <s v="RCF Import"/>
    <s v="MOP"/>
    <s v="WB"/>
    <x v="15"/>
    <s v="Tehatta - II"/>
    <s v="User Not Mapped"/>
    <s v="User Not Mapped"/>
    <s v="User Not Mapped"/>
    <n v="440620"/>
    <s v="Raidhani Fertilizer"/>
    <s v="Private Retailer"/>
    <s v="9475022126"/>
    <n v="1"/>
    <n v="10"/>
    <x v="4"/>
    <m/>
    <s v="2026-04-17"/>
    <s v="280729"/>
    <s v="M/s. Naresh Chandra Das"/>
    <s v="7365868045"/>
  </r>
  <r>
    <s v="RCF Import"/>
    <s v="MOP"/>
    <s v="WB"/>
    <x v="15"/>
    <s v="Tehatta - II"/>
    <s v="User Not Mapped"/>
    <s v="User Not Mapped"/>
    <s v="User Not Mapped"/>
    <n v="440620"/>
    <s v="Raidhani Fertilizer"/>
    <s v="Private Retailer"/>
    <s v="9475022126"/>
    <n v="0.5"/>
    <n v="14"/>
    <x v="4"/>
    <m/>
    <s v="2026-04-13"/>
    <s v="280729"/>
    <s v="M/s. Naresh Chandra Das"/>
    <s v="7365868045"/>
  </r>
  <r>
    <s v="RCF Import"/>
    <s v="MOP"/>
    <s v="WB"/>
    <x v="15"/>
    <s v="Tehatta - II"/>
    <s v="User Not Mapped"/>
    <s v="User Not Mapped"/>
    <s v="User Not Mapped"/>
    <n v="634901"/>
    <s v="NARATTAM MONDAL"/>
    <s v="Private Retailer"/>
    <s v="8926665323"/>
    <n v="0.5"/>
    <n v="232"/>
    <x v="3"/>
    <m/>
    <s v="2025-09-07"/>
    <s v="260202"/>
    <s v="MS S K DUTTA"/>
    <s v="9832802581"/>
  </r>
  <r>
    <s v="RCF Import"/>
    <s v="Imp 10-26-26"/>
    <s v="WB"/>
    <x v="15"/>
    <s v="Tehatta - II"/>
    <s v="User Not Mapped"/>
    <s v="User Not Mapped"/>
    <s v="User Not Mapped"/>
    <n v="634901"/>
    <s v="NARATTAM MONDAL"/>
    <s v="Private Retailer"/>
    <s v="8926665323"/>
    <n v="0.5"/>
    <n v="240"/>
    <x v="3"/>
    <m/>
    <s v="2025-08-30"/>
    <s v="260202"/>
    <s v="MS S K DUTTA"/>
    <s v="9832802581"/>
  </r>
  <r>
    <s v="RCF Thal"/>
    <s v="N.C.Urea(45kg)"/>
    <s v="WB"/>
    <x v="15"/>
    <s v="Tehatta - II"/>
    <s v="User Not Mapped"/>
    <s v="User Not Mapped"/>
    <s v="User Not Mapped"/>
    <n v="634911"/>
    <s v="MS FERTILIZER"/>
    <s v="Private Retailer"/>
    <s v="9093800151"/>
    <n v="4.9950000000000001"/>
    <n v="7"/>
    <x v="4"/>
    <m/>
    <s v="2026-04-20"/>
    <s v="260177"/>
    <s v="SatyaRanjan Kundu and Brothers"/>
    <s v="7908186730"/>
  </r>
  <r>
    <s v="RCF Trombay"/>
    <s v="15-15-15"/>
    <s v="WB"/>
    <x v="15"/>
    <s v="Tehatta - II"/>
    <s v="User Not Mapped"/>
    <s v="User Not Mapped"/>
    <s v="User Not Mapped"/>
    <n v="643863"/>
    <s v="SUKHENDU MONDAL"/>
    <s v="Private Retailer"/>
    <s v="7584033750"/>
    <n v="0.3"/>
    <n v="181"/>
    <x v="3"/>
    <m/>
    <s v="2025-10-28"/>
    <s v="260202"/>
    <s v="MS S K DUTTA"/>
    <s v="9832802581"/>
  </r>
  <r>
    <s v="RCF Trombay"/>
    <s v="15-15-15"/>
    <s v="WB"/>
    <x v="15"/>
    <s v="Tehatta - II"/>
    <s v="User Not Mapped"/>
    <s v="User Not Mapped"/>
    <s v="User Not Mapped"/>
    <n v="643863"/>
    <s v="SUKHENDU MONDAL"/>
    <s v="Private Retailer"/>
    <s v="7584033750"/>
    <n v="1"/>
    <n v="39"/>
    <x v="1"/>
    <m/>
    <s v="2026-03-19"/>
    <s v="260202"/>
    <s v="MS S K DUTTA"/>
    <s v="9832802581"/>
  </r>
  <r>
    <s v="RCF Trombay"/>
    <s v="15-15-15"/>
    <s v="WB"/>
    <x v="15"/>
    <s v="Tehatta - II"/>
    <s v="User Not Mapped"/>
    <s v="User Not Mapped"/>
    <s v="User Not Mapped"/>
    <n v="643863"/>
    <s v="SUKHENDU MONDAL"/>
    <s v="Private Retailer"/>
    <s v="7584033750"/>
    <n v="0.5"/>
    <n v="149"/>
    <x v="0"/>
    <m/>
    <s v="2025-11-29"/>
    <s v="260202"/>
    <s v="MS S K DUTTA"/>
    <s v="9832802581"/>
  </r>
  <r>
    <s v="RCF Trombay"/>
    <s v="15-15-15"/>
    <s v="WB"/>
    <x v="15"/>
    <s v="Tehatta - II"/>
    <s v="User Not Mapped"/>
    <s v="User Not Mapped"/>
    <s v="User Not Mapped"/>
    <n v="643863"/>
    <s v="SUKHENDU MONDAL"/>
    <s v="Private Retailer"/>
    <s v="7584033750"/>
    <n v="0.5"/>
    <n v="140"/>
    <x v="0"/>
    <m/>
    <s v="2025-12-08"/>
    <s v="260202"/>
    <s v="MS S K DUTTA"/>
    <s v="9832802581"/>
  </r>
  <r>
    <s v="RCF Thal"/>
    <s v="N.C.Urea(45kg)"/>
    <s v="WB"/>
    <x v="15"/>
    <s v="Tehatta - II"/>
    <s v="User Not Mapped"/>
    <s v="User Not Mapped"/>
    <s v="User Not Mapped"/>
    <n v="654717"/>
    <s v="BILLAL SEKH"/>
    <s v="Private Retailer"/>
    <s v="9734455744"/>
    <n v="9.99"/>
    <n v="2"/>
    <x v="4"/>
    <m/>
    <s v="2026-04-25"/>
    <s v="259034"/>
    <s v="MS Guha And Co"/>
    <s v="8695359505"/>
  </r>
  <r>
    <s v="RCF Trombay"/>
    <s v="15-15-15"/>
    <s v="WB"/>
    <x v="15"/>
    <s v="Tehatta - II"/>
    <s v="User Not Mapped"/>
    <s v="User Not Mapped"/>
    <s v="User Not Mapped"/>
    <n v="730471"/>
    <s v="BISWAJIT BISWAS"/>
    <s v="Private Retailer"/>
    <s v="9775371744"/>
    <n v="1.5"/>
    <n v="360"/>
    <x v="3"/>
    <m/>
    <s v="2025-05-02"/>
    <s v="260202"/>
    <s v="MS S K DUTTA"/>
    <s v="9832802581"/>
  </r>
  <r>
    <s v="RCF Trombay"/>
    <s v="15-15-15"/>
    <s v="WB"/>
    <x v="15"/>
    <s v="Tehatta - II"/>
    <s v="User Not Mapped"/>
    <s v="User Not Mapped"/>
    <s v="User Not Mapped"/>
    <n v="737833"/>
    <s v="ISLAM FERTILIZER"/>
    <s v="Private Retailer"/>
    <s v="9564261280"/>
    <n v="1"/>
    <n v="1190"/>
    <x v="7"/>
    <m/>
    <s v="2023-01-23"/>
    <s v="260178"/>
    <s v="M/s. Uttamendu Sarkar"/>
    <s v="9002483836"/>
  </r>
  <r>
    <s v="RCF Trombay"/>
    <s v="15-15-15"/>
    <s v="WB"/>
    <x v="15"/>
    <s v="Tehatta - II"/>
    <s v="User Not Mapped"/>
    <s v="User Not Mapped"/>
    <s v="User Not Mapped"/>
    <n v="767946"/>
    <s v="M/s SRIDAM SARKAR"/>
    <s v="Private Retailer"/>
    <s v="9733124115"/>
    <n v="1.25"/>
    <n v="234"/>
    <x v="3"/>
    <m/>
    <s v="2025-09-05"/>
    <s v="260179"/>
    <s v="Tarun Kumar Saha"/>
    <s v="8116312974"/>
  </r>
  <r>
    <s v="RCF Thal"/>
    <s v="N.C.Urea(45kg)"/>
    <s v="WB"/>
    <x v="15"/>
    <s v="Tehatta - II"/>
    <s v="User Not Mapped"/>
    <s v="User Not Mapped"/>
    <s v="User Not Mapped"/>
    <n v="777429"/>
    <s v="MS MALLICK FERTILIZERS"/>
    <s v="Private Retailer"/>
    <s v="9775086762"/>
    <n v="4.4999999999999998E-2"/>
    <n v="457"/>
    <x v="6"/>
    <m/>
    <s v="2025-01-25"/>
    <s v="260177"/>
    <s v="SatyaRanjan Kundu and Brothers"/>
    <s v="7908186730"/>
  </r>
  <r>
    <s v="RCF Import"/>
    <s v="MOP"/>
    <s v="WB"/>
    <x v="15"/>
    <s v="Tehatta - II"/>
    <s v="User Not Mapped"/>
    <s v="User Not Mapped"/>
    <s v="User Not Mapped"/>
    <n v="777461"/>
    <s v="ABDUL RAJJAK SK"/>
    <s v="Private Retailer"/>
    <s v="7074622908"/>
    <n v="2.5"/>
    <n v="60"/>
    <x v="1"/>
    <m/>
    <s v="2026-02-26"/>
    <s v="280729"/>
    <s v="M/s. Naresh Chandra Das"/>
    <s v="7365868045"/>
  </r>
  <r>
    <s v="RCF Trombay"/>
    <s v="15-15-15"/>
    <s v="WB"/>
    <x v="15"/>
    <s v="Tehatta - II"/>
    <s v="User Not Mapped"/>
    <s v="User Not Mapped"/>
    <s v="User Not Mapped"/>
    <n v="824329"/>
    <s v="M/S  FERTILIZER"/>
    <s v="Private Retailer"/>
    <s v="8927673183"/>
    <n v="0.35"/>
    <n v="628"/>
    <x v="7"/>
    <m/>
    <s v="2024-08-07"/>
    <s v="260202"/>
    <s v="MS S K DUTTA"/>
    <s v="9832802581"/>
  </r>
  <r>
    <s v="RCF Trombay"/>
    <s v="15-15-15"/>
    <s v="WB"/>
    <x v="15"/>
    <s v="Tehatta - II"/>
    <s v="User Not Mapped"/>
    <s v="User Not Mapped"/>
    <s v="User Not Mapped"/>
    <n v="853407"/>
    <s v="ASIRUSDIN SK"/>
    <s v="Private Retailer"/>
    <s v="8116674709"/>
    <n v="0.2"/>
    <n v="236"/>
    <x v="3"/>
    <m/>
    <s v="2025-09-03"/>
    <s v="260178"/>
    <s v="M/s. Uttamendu Sarkar"/>
    <s v="9002483836"/>
  </r>
  <r>
    <s v="RCF Thal"/>
    <s v="N.C.Urea(45kg)"/>
    <s v="WB"/>
    <x v="15"/>
    <s v="Tehatta - II"/>
    <s v="User Not Mapped"/>
    <s v="User Not Mapped"/>
    <s v="User Not Mapped"/>
    <n v="857603"/>
    <s v="LALU BISWAS"/>
    <s v="Private Retailer"/>
    <s v="9735325378"/>
    <n v="0.36"/>
    <n v="39"/>
    <x v="1"/>
    <m/>
    <s v="2026-03-19"/>
    <s v="260202"/>
    <s v="MS S K DUTTA"/>
    <s v="9832802581"/>
  </r>
  <r>
    <s v="RCF Trombay"/>
    <s v="15-15-15"/>
    <s v="WB"/>
    <x v="15"/>
    <s v="Tehatta - II"/>
    <s v="User Not Mapped"/>
    <s v="User Not Mapped"/>
    <s v="User Not Mapped"/>
    <n v="888856"/>
    <s v="SABUR ALI SHAIKH"/>
    <s v="Private Retailer"/>
    <s v="8436524367"/>
    <n v="0.1"/>
    <n v="615"/>
    <x v="7"/>
    <m/>
    <s v="2024-08-20"/>
    <s v="260202"/>
    <s v="MS S K DUTTA"/>
    <s v="9832802581"/>
  </r>
  <r>
    <s v="RCF Thal"/>
    <s v="N.C.Urea(45kg)"/>
    <s v="WB"/>
    <x v="15"/>
    <s v="Tehatta - II"/>
    <s v="User Not Mapped"/>
    <s v="User Not Mapped"/>
    <s v="User Not Mapped"/>
    <n v="894571"/>
    <s v="M/s BIJAYA KRISHI BHANDAR"/>
    <s v="Private Retailer"/>
    <s v="9434551050"/>
    <n v="0.63"/>
    <n v="1792"/>
    <x v="7"/>
    <m/>
    <s v="2021-05-31"/>
    <s v="269300"/>
    <s v="Gopinath Mollick"/>
    <s v="8348154015"/>
  </r>
  <r>
    <s v="RCF Thal"/>
    <s v="N.C.Urea(45kg)"/>
    <s v="WB"/>
    <x v="15"/>
    <s v="Tehatta - II"/>
    <s v="User Not Mapped"/>
    <s v="User Not Mapped"/>
    <s v="User Not Mapped"/>
    <n v="895756"/>
    <s v="UTTAM BISWAS"/>
    <s v="Private Retailer"/>
    <s v="9733094687"/>
    <n v="0.04"/>
    <n v="1928"/>
    <x v="7"/>
    <m/>
    <s v="2021-01-15"/>
    <s v="280913"/>
    <s v="S.S.P Enterprise"/>
    <s v="9732669190"/>
  </r>
  <r>
    <s v="RCF Thal"/>
    <s v="N.C.Urea(45kg)"/>
    <s v="WB"/>
    <x v="15"/>
    <s v="Tehatta - II"/>
    <s v="User Not Mapped"/>
    <s v="User Not Mapped"/>
    <s v="User Not Mapped"/>
    <n v="895756"/>
    <s v="UTTAM BISWAS"/>
    <s v="Private Retailer"/>
    <s v="9733094687"/>
    <n v="0.45"/>
    <n v="453"/>
    <x v="6"/>
    <m/>
    <s v="2025-01-29"/>
    <s v="260177"/>
    <s v="SatyaRanjan Kundu and Brothers"/>
    <s v="7908186730"/>
  </r>
  <r>
    <s v="RCF Trombay"/>
    <s v="15-15-15"/>
    <s v="WB"/>
    <x v="15"/>
    <s v="Tehatta - II"/>
    <s v="User Not Mapped"/>
    <s v="User Not Mapped"/>
    <s v="User Not Mapped"/>
    <n v="896780"/>
    <s v="M/s AMRIT KRISHI BHANDER"/>
    <s v="Private Retailer"/>
    <s v="9735483948"/>
    <n v="0.2"/>
    <n v="245"/>
    <x v="3"/>
    <m/>
    <s v="2025-08-25"/>
    <s v="260202"/>
    <s v="MS S K DUTTA"/>
    <s v="9832802581"/>
  </r>
  <r>
    <s v="RCF Trombay"/>
    <s v="15-15-15"/>
    <s v="WB"/>
    <x v="15"/>
    <s v="Tehatta - II"/>
    <s v="User Not Mapped"/>
    <s v="User Not Mapped"/>
    <s v="User Not Mapped"/>
    <n v="896804"/>
    <s v="ABDUR RAZZAK"/>
    <s v="Private Retailer"/>
    <s v="9733993597"/>
    <n v="0.3"/>
    <n v="39"/>
    <x v="1"/>
    <m/>
    <s v="2026-03-19"/>
    <s v="260202"/>
    <s v="MS S K DUTTA"/>
    <s v="9832802581"/>
  </r>
  <r>
    <s v="RCF Thal"/>
    <s v="N.C.Urea(45kg)"/>
    <s v="WB"/>
    <x v="15"/>
    <s v="Tehatta - II"/>
    <s v="User Not Mapped"/>
    <s v="User Not Mapped"/>
    <s v="User Not Mapped"/>
    <n v="896804"/>
    <s v="ABDUR RAZZAK"/>
    <s v="Private Retailer"/>
    <s v="9733993597"/>
    <n v="0.58499999999999996"/>
    <n v="39"/>
    <x v="1"/>
    <m/>
    <s v="2026-03-19"/>
    <s v="260202"/>
    <s v="MS S K DUTTA"/>
    <s v="9832802581"/>
  </r>
  <r>
    <s v="RCF Thal"/>
    <s v="N.C.Urea(45kg)"/>
    <s v="WB"/>
    <x v="15"/>
    <s v="Tehatta - II"/>
    <s v="User Not Mapped"/>
    <s v="User Not Mapped"/>
    <s v="User Not Mapped"/>
    <n v="896832"/>
    <s v="MANKIR HOSSAIN SHAIKH"/>
    <s v="Private Retailer"/>
    <s v="7679543511"/>
    <n v="3.8250000000000002"/>
    <n v="272"/>
    <x v="3"/>
    <m/>
    <s v="2025-07-29"/>
    <s v="260178"/>
    <s v="M/s. Uttamendu Sarkar"/>
    <s v="9002483836"/>
  </r>
  <r>
    <s v="RCF Trombay"/>
    <s v="N.C.Urea(45kg)"/>
    <s v="WB"/>
    <x v="15"/>
    <s v="Tehatta - II"/>
    <s v="User Not Mapped"/>
    <s v="User Not Mapped"/>
    <s v="User Not Mapped"/>
    <n v="902193"/>
    <s v="MS RAJ FERTILIZER"/>
    <s v="Private Retailer"/>
    <s v="9732950221"/>
    <n v="0.54"/>
    <n v="1221"/>
    <x v="7"/>
    <m/>
    <s v="2022-12-23"/>
    <s v="280729"/>
    <s v="M/s. Naresh Chandra Das"/>
    <s v="7365868045"/>
  </r>
  <r>
    <s v="RCF Thal"/>
    <s v="N.C.Urea(45kg)"/>
    <s v="WB"/>
    <x v="15"/>
    <s v="Tehatta - II"/>
    <s v="User Not Mapped"/>
    <s v="User Not Mapped"/>
    <s v="User Not Mapped"/>
    <n v="915237"/>
    <s v="Nayeb Shekh"/>
    <s v="Private Retailer"/>
    <s v="7029391902"/>
    <n v="1.35"/>
    <n v="18"/>
    <x v="4"/>
    <m/>
    <s v="2026-04-09"/>
    <s v="260202"/>
    <s v="MS S K DUTTA"/>
    <s v="9832802581"/>
  </r>
  <r>
    <s v="RCF Thal"/>
    <s v="N.C.Urea(45kg)"/>
    <s v="WB"/>
    <x v="15"/>
    <s v="Tehatta - II"/>
    <s v="User Not Mapped"/>
    <s v="User Not Mapped"/>
    <s v="User Not Mapped"/>
    <n v="915237"/>
    <s v="Nayeb Shekh"/>
    <s v="Private Retailer"/>
    <s v="7029391902"/>
    <n v="0.9"/>
    <n v="36"/>
    <x v="1"/>
    <m/>
    <s v="2026-03-22"/>
    <s v="260202"/>
    <s v="MS S K DUTTA"/>
    <s v="9832802581"/>
  </r>
  <r>
    <s v="RCF Trombay"/>
    <s v="N.C.Urea(45kg)"/>
    <s v="WB"/>
    <x v="15"/>
    <s v="Tehatta - II"/>
    <s v="User Not Mapped"/>
    <s v="User Not Mapped"/>
    <s v="User Not Mapped"/>
    <n v="915754"/>
    <s v="M/S MONDAL FERTILIZER"/>
    <s v="Private Retailer"/>
    <s v="9093016916"/>
    <n v="1.35"/>
    <n v="61"/>
    <x v="2"/>
    <m/>
    <s v="2026-02-25"/>
    <s v="260202"/>
    <s v="MS S K DUTTA"/>
    <s v="9832802581"/>
  </r>
  <r>
    <s v="RCF Trombay"/>
    <s v="N.C.Urea(45kg)"/>
    <s v="WB"/>
    <x v="15"/>
    <s v="Tehatta - II"/>
    <s v="User Not Mapped"/>
    <s v="User Not Mapped"/>
    <s v="User Not Mapped"/>
    <n v="915754"/>
    <s v="M/S MONDAL FERTILIZER"/>
    <s v="Private Retailer"/>
    <s v="9093016916"/>
    <n v="49.59"/>
    <n v="143"/>
    <x v="0"/>
    <m/>
    <s v="2025-12-05"/>
    <s v="280729"/>
    <s v="M/s. Naresh Chandra Das"/>
    <s v="7365868045"/>
  </r>
  <r>
    <s v="RCF Trombay"/>
    <s v="N.C.Urea(45kg)"/>
    <s v="WB"/>
    <x v="15"/>
    <s v="Tehatta - II"/>
    <s v="User Not Mapped"/>
    <s v="User Not Mapped"/>
    <s v="User Not Mapped"/>
    <n v="915754"/>
    <s v="M/S MONDAL FERTILIZER"/>
    <s v="Private Retailer"/>
    <s v="9093016916"/>
    <n v="1.35"/>
    <n v="65"/>
    <x v="2"/>
    <m/>
    <s v="2026-02-21"/>
    <s v="260202"/>
    <s v="MS S K DUTTA"/>
    <s v="9832802581"/>
  </r>
  <r>
    <s v="RCF Import"/>
    <s v="Imp 10-26-26"/>
    <s v="WB"/>
    <x v="15"/>
    <s v="Tehatta - II"/>
    <s v="User Not Mapped"/>
    <s v="User Not Mapped"/>
    <s v="User Not Mapped"/>
    <n v="915888"/>
    <s v="M/s PALLIMANGAL FERTILIZER"/>
    <s v="Private Retailer"/>
    <s v="9475667580"/>
    <n v="1"/>
    <n v="498"/>
    <x v="6"/>
    <m/>
    <s v="2024-12-15"/>
    <s v="260202"/>
    <s v="MS S K DUTTA"/>
    <s v="9832802581"/>
  </r>
  <r>
    <s v="RCF Trombay"/>
    <s v="15-15-15"/>
    <s v="WB"/>
    <x v="15"/>
    <s v="Tehatta - II"/>
    <s v="User Not Mapped"/>
    <s v="User Not Mapped"/>
    <s v="User Not Mapped"/>
    <n v="1467206"/>
    <s v="SUKUMAR MANDAL"/>
    <s v="Private Retailer"/>
    <s v="9775858097"/>
    <n v="2.25"/>
    <n v="39"/>
    <x v="1"/>
    <m/>
    <s v="2026-03-19"/>
    <s v="260202"/>
    <s v="MS S K DUTTA"/>
    <s v="9832802581"/>
  </r>
  <r>
    <s v="RCF Thal"/>
    <s v="N.C.Urea(45kg)"/>
    <s v="WB"/>
    <x v="15"/>
    <s v="Tehatta - II"/>
    <s v="User Not Mapped"/>
    <s v="User Not Mapped"/>
    <s v="User Not Mapped"/>
    <n v="1467206"/>
    <s v="SUKUMAR MANDAL"/>
    <s v="Private Retailer"/>
    <s v="9775858097"/>
    <n v="0.81"/>
    <n v="30"/>
    <x v="4"/>
    <m/>
    <s v="2026-03-28"/>
    <s v="260202"/>
    <s v="MS S K DUTTA"/>
    <s v="9832802581"/>
  </r>
  <r>
    <s v="RCF Trombay"/>
    <s v="N.C.Urea(45kg)"/>
    <s v="WB"/>
    <x v="15"/>
    <s v="Tehatta - II"/>
    <s v="User Not Mapped"/>
    <s v="User Not Mapped"/>
    <s v="User Not Mapped"/>
    <n v="1467206"/>
    <s v="SUKUMAR MANDAL"/>
    <s v="Private Retailer"/>
    <s v="9775858097"/>
    <n v="4.4999999999999998E-2"/>
    <n v="89"/>
    <x v="2"/>
    <m/>
    <s v="2026-01-28"/>
    <s v="260202"/>
    <s v="MS S K DUTTA"/>
    <s v="9832802581"/>
  </r>
  <r>
    <s v="RCF Thal"/>
    <s v="N.C.Urea(45kg)"/>
    <s v="WB"/>
    <x v="15"/>
    <s v="Tehatta - II"/>
    <s v="User Not Mapped"/>
    <s v="User Not Mapped"/>
    <s v="User Not Mapped"/>
    <n v="1468710"/>
    <s v="RAI DHANI FERTILIZER- PROP KA"/>
    <s v="Private Retailer"/>
    <s v="9732723607"/>
    <n v="0.45"/>
    <n v="15"/>
    <x v="4"/>
    <m/>
    <s v="2026-04-12"/>
    <s v="260202"/>
    <s v="MS S K DUTTA"/>
    <s v="9832802581"/>
  </r>
  <r>
    <s v="RCF Trombay"/>
    <s v="15-15-15"/>
    <s v="WB"/>
    <x v="15"/>
    <s v="Tehatta - II"/>
    <s v="User Not Mapped"/>
    <s v="User Not Mapped"/>
    <s v="User Not Mapped"/>
    <n v="1468710"/>
    <s v="RAI DHANI FERTILIZER- PROP KA"/>
    <s v="Private Retailer"/>
    <s v="9732723607"/>
    <n v="0.15"/>
    <n v="78"/>
    <x v="2"/>
    <m/>
    <s v="2026-02-08"/>
    <s v="260202"/>
    <s v="MS S K DUTTA"/>
    <s v="9832802581"/>
  </r>
  <r>
    <s v="RCF Thal"/>
    <s v="N.C.Urea(45kg)"/>
    <s v="WB"/>
    <x v="15"/>
    <s v="Tehatta - II"/>
    <s v="User Not Mapped"/>
    <s v="User Not Mapped"/>
    <s v="User Not Mapped"/>
    <n v="1468710"/>
    <s v="RAI DHANI FERTILIZER- PROP KA"/>
    <s v="Private Retailer"/>
    <s v="9732723607"/>
    <n v="0.22500000000000001"/>
    <n v="4"/>
    <x v="4"/>
    <m/>
    <s v="2026-04-23"/>
    <s v="260202"/>
    <s v="MS S K DUTTA"/>
    <s v="9832802581"/>
  </r>
  <r>
    <s v="RCF Trombay"/>
    <s v="15-15-15"/>
    <s v="WB"/>
    <x v="15"/>
    <s v="Tehatta - II"/>
    <s v="User Not Mapped"/>
    <s v="User Not Mapped"/>
    <s v="User Not Mapped"/>
    <n v="1482361"/>
    <s v="M/S MOHONA FERTILIZER AND INSE"/>
    <s v="Private Retailer"/>
    <s v="8250332479"/>
    <n v="0.1"/>
    <n v="591"/>
    <x v="7"/>
    <m/>
    <s v="2024-09-13"/>
    <s v="1157492"/>
    <s v="M/S APARNA DEY"/>
    <s v="8597753337"/>
  </r>
  <r>
    <s v="RCF Trombay"/>
    <s v="15-15-15"/>
    <s v="WB"/>
    <x v="15"/>
    <s v="Tehatta - II"/>
    <s v="User Not Mapped"/>
    <s v="User Not Mapped"/>
    <s v="User Not Mapped"/>
    <n v="1540553"/>
    <s v="M/S SAIFUL BISWAS"/>
    <s v="Private Retailer"/>
    <s v="8016313233"/>
    <n v="0.28999999999999998"/>
    <n v="247"/>
    <x v="3"/>
    <m/>
    <s v="2025-08-23"/>
    <s v="260202"/>
    <s v="MS S K DUTTA"/>
    <s v="9832802581"/>
  </r>
  <r>
    <s v="RCF Trombay"/>
    <s v="15-15-15"/>
    <s v="WB"/>
    <x v="15"/>
    <m/>
    <s v="User Not Mapped"/>
    <s v="User Not Mapped"/>
    <s v="User Not Mapped"/>
    <n v="212330"/>
    <s v="Sakti Pada Bhattacharya"/>
    <s v="Private Retailer"/>
    <s v="6295869635"/>
    <n v="0.3"/>
    <n v="2254"/>
    <x v="7"/>
    <m/>
    <s v="2020-02-24"/>
    <s v="1107761"/>
    <s v="M/S SAKTI PADA BHATTACHARYA"/>
    <s v="6295869635"/>
  </r>
  <r>
    <s v="RCF Trombay"/>
    <s v="N.C.Urea(45kg)"/>
    <s v="WB"/>
    <x v="15"/>
    <m/>
    <s v="User Not Mapped"/>
    <s v="User Not Mapped"/>
    <s v="User Not Mapped"/>
    <n v="212330"/>
    <s v="Sakti Pada Bhattacharya"/>
    <s v="Private Retailer"/>
    <s v="6295869635"/>
    <n v="0.81"/>
    <n v="2017"/>
    <x v="7"/>
    <m/>
    <s v="2020-10-18"/>
    <s v="1107761"/>
    <s v="M/S SAKTI PADA BHATTACHARYA"/>
    <s v="6295869635"/>
  </r>
  <r>
    <s v="RCF Trombay"/>
    <s v="15-15-15"/>
    <s v="WB"/>
    <x v="15"/>
    <m/>
    <s v="User Not Mapped"/>
    <s v="User Not Mapped"/>
    <s v="User Not Mapped"/>
    <n v="218909"/>
    <s v="Joy Maa Tara Krishi Vander"/>
    <s v="Private Retailer"/>
    <s v="8250622212"/>
    <n v="1E-3"/>
    <n v="627"/>
    <x v="7"/>
    <m/>
    <s v="2024-08-08"/>
    <s v="260177"/>
    <s v="SatyaRanjan Kundu and Brothers"/>
    <s v="7908186730"/>
  </r>
  <r>
    <s v="RCF Trombay"/>
    <s v="15-15-15"/>
    <s v="WB"/>
    <x v="15"/>
    <m/>
    <s v="User Not Mapped"/>
    <s v="User Not Mapped"/>
    <s v="User Not Mapped"/>
    <n v="220207"/>
    <s v="Mrinal Kanti Biswas"/>
    <s v="Private Retailer"/>
    <s v="7551821768"/>
    <n v="0.27"/>
    <n v="1362"/>
    <x v="7"/>
    <m/>
    <s v="2022-08-04"/>
    <s v="260202"/>
    <s v="MS S K DUTTA"/>
    <s v="9832802581"/>
  </r>
  <r>
    <s v="RCF Trombay"/>
    <s v="N.C.Urea(45kg)"/>
    <s v="WB"/>
    <x v="15"/>
    <m/>
    <s v="User Not Mapped"/>
    <s v="User Not Mapped"/>
    <s v="User Not Mapped"/>
    <n v="220207"/>
    <s v="Mrinal Kanti Biswas"/>
    <s v="Private Retailer"/>
    <s v="7551821768"/>
    <n v="1.8"/>
    <n v="1205"/>
    <x v="7"/>
    <m/>
    <s v="2023-01-08"/>
    <s v="260202"/>
    <s v="MS S K DUTTA"/>
    <s v="9832802581"/>
  </r>
  <r>
    <s v="RCF Trombay"/>
    <s v="N.C.Urea(45kg)"/>
    <s v="WB"/>
    <x v="15"/>
    <m/>
    <s v="User Not Mapped"/>
    <s v="User Not Mapped"/>
    <s v="User Not Mapped"/>
    <n v="220207"/>
    <s v="Mrinal Kanti Biswas"/>
    <s v="Private Retailer"/>
    <s v="7551821768"/>
    <n v="0.76"/>
    <n v="1246"/>
    <x v="7"/>
    <m/>
    <s v="2022-11-28"/>
    <s v="260202"/>
    <s v="MS S K DUTTA"/>
    <s v="9832802581"/>
  </r>
  <r>
    <s v="RCF Trombay"/>
    <s v="N.C.Urea(45kg)"/>
    <s v="WB"/>
    <x v="15"/>
    <m/>
    <s v="User Not Mapped"/>
    <s v="User Not Mapped"/>
    <s v="User Not Mapped"/>
    <n v="243879"/>
    <s v="Kundu Fertiliser"/>
    <s v="Private Retailer"/>
    <s v="9732681707"/>
    <n v="5.94"/>
    <n v="1238"/>
    <x v="7"/>
    <m/>
    <s v="2022-12-06"/>
    <s v="260177"/>
    <s v="SatyaRanjan Kundu and Brothers"/>
    <s v="7908186730"/>
  </r>
  <r>
    <s v="RCF Thal"/>
    <s v="N.C.Urea(45kg)"/>
    <s v="WB"/>
    <x v="15"/>
    <m/>
    <s v="User Not Mapped"/>
    <s v="User Not Mapped"/>
    <s v="User Not Mapped"/>
    <n v="272883"/>
    <s v="Bibekananda Ball"/>
    <s v="Private Retailer"/>
    <s v="9474482399"/>
    <n v="5.4"/>
    <n v="20"/>
    <x v="4"/>
    <m/>
    <s v="2026-04-07"/>
    <s v="280729"/>
    <s v="M/s. Naresh Chandra Das"/>
    <s v="7365868045"/>
  </r>
  <r>
    <s v="RCF Trombay"/>
    <s v="N.C.Urea(45kg)"/>
    <s v="WB"/>
    <x v="15"/>
    <m/>
    <s v="User Not Mapped"/>
    <s v="User Not Mapped"/>
    <s v="User Not Mapped"/>
    <n v="289380"/>
    <s v="Md Abdul Matin"/>
    <s v="State Marketing Federation"/>
    <s v="7501569288"/>
    <n v="8.9550000000000001"/>
    <n v="242"/>
    <x v="3"/>
    <m/>
    <s v="2025-08-28"/>
    <s v="260210"/>
    <s v="Gouri Sankar Kundu            "/>
    <s v="9064539774"/>
  </r>
  <r>
    <s v="RCF Thal"/>
    <s v="N.C.Urea(45kg)"/>
    <s v="WB"/>
    <x v="15"/>
    <m/>
    <s v="User Not Mapped"/>
    <s v="User Not Mapped"/>
    <s v="User Not Mapped"/>
    <n v="289380"/>
    <s v="Md Abdul Matin"/>
    <s v="State Marketing Federation"/>
    <s v="7501569288"/>
    <n v="9.99"/>
    <n v="21"/>
    <x v="4"/>
    <m/>
    <s v="2026-04-06"/>
    <s v="260177"/>
    <s v="SatyaRanjan Kundu and Brothers"/>
    <s v="7908186730"/>
  </r>
  <r>
    <s v="RCF Trombay"/>
    <s v="15-15-15"/>
    <s v="WB"/>
    <x v="15"/>
    <m/>
    <s v="User Not Mapped"/>
    <s v="User Not Mapped"/>
    <s v="User Not Mapped"/>
    <n v="316655"/>
    <s v="Kartick Sandhukha"/>
    <s v="Private Retailer"/>
    <s v="9735342530"/>
    <n v="2.5"/>
    <n v="91"/>
    <x v="5"/>
    <m/>
    <s v="2026-01-26"/>
    <s v="260177"/>
    <s v="SatyaRanjan Kundu and Brothers"/>
    <s v="7908186730"/>
  </r>
  <r>
    <s v="RCF Trombay"/>
    <s v="15-15-15"/>
    <s v="WB"/>
    <x v="15"/>
    <m/>
    <s v="User Not Mapped"/>
    <s v="User Not Mapped"/>
    <s v="User Not Mapped"/>
    <n v="316655"/>
    <s v="Kartick Sandhukha"/>
    <s v="Private Retailer"/>
    <s v="9735342530"/>
    <n v="0.8"/>
    <n v="146"/>
    <x v="0"/>
    <m/>
    <s v="2025-12-02"/>
    <s v="260177"/>
    <s v="SatyaRanjan Kundu and Brothers"/>
    <s v="7908186730"/>
  </r>
  <r>
    <s v="RCF Import"/>
    <s v="MOP"/>
    <s v="WB"/>
    <x v="15"/>
    <m/>
    <s v="User Not Mapped"/>
    <s v="User Not Mapped"/>
    <s v="User Not Mapped"/>
    <n v="316655"/>
    <s v="Kartick Sandhukha"/>
    <s v="Private Retailer"/>
    <s v="9735342530"/>
    <n v="2.5"/>
    <n v="62"/>
    <x v="2"/>
    <m/>
    <s v="2026-02-24"/>
    <s v="260177"/>
    <s v="SatyaRanjan Kundu and Brothers"/>
    <s v="7908186730"/>
  </r>
  <r>
    <s v="RCF Trombay"/>
    <s v="15-15-15"/>
    <s v="WB"/>
    <x v="15"/>
    <m/>
    <s v="User Not Mapped"/>
    <s v="User Not Mapped"/>
    <s v="User Not Mapped"/>
    <n v="323531"/>
    <s v="Prasun Biswas"/>
    <s v="Private Retailer"/>
    <s v="9064068083"/>
    <n v="4.3"/>
    <n v="91"/>
    <x v="5"/>
    <m/>
    <s v="2026-01-26"/>
    <s v="260177"/>
    <s v="SatyaRanjan Kundu and Brothers"/>
    <s v="7908186730"/>
  </r>
  <r>
    <s v="RCF Trombay"/>
    <s v="15-15-15"/>
    <s v="WB"/>
    <x v="15"/>
    <m/>
    <s v="User Not Mapped"/>
    <s v="User Not Mapped"/>
    <s v="User Not Mapped"/>
    <n v="323555"/>
    <s v="Sankar Sarkar"/>
    <s v="Private Retailer"/>
    <s v="9434343362"/>
    <n v="5.85"/>
    <n v="1427"/>
    <x v="7"/>
    <m/>
    <s v="2022-05-31"/>
    <s v="280729"/>
    <s v="M/s. Naresh Chandra Das"/>
    <s v="7365868045"/>
  </r>
  <r>
    <s v="RCF Trombay"/>
    <s v="N.C.Urea(45kg)"/>
    <s v="WB"/>
    <x v="15"/>
    <m/>
    <s v="User Not Mapped"/>
    <s v="User Not Mapped"/>
    <s v="User Not Mapped"/>
    <n v="323555"/>
    <s v="Sankar Sarkar"/>
    <s v="Private Retailer"/>
    <s v="9434343362"/>
    <n v="0.36499999999999999"/>
    <n v="1427"/>
    <x v="7"/>
    <m/>
    <s v="2022-05-31"/>
    <s v="280729"/>
    <s v="M/s. Naresh Chandra Das"/>
    <s v="7365868045"/>
  </r>
  <r>
    <s v="RCF Thal"/>
    <s v="N.C.Urea(45kg)"/>
    <s v="WB"/>
    <x v="15"/>
    <m/>
    <s v="User Not Mapped"/>
    <s v="User Not Mapped"/>
    <s v="User Not Mapped"/>
    <n v="323570"/>
    <s v="Subhasish Ghosh"/>
    <s v="Private Retailer"/>
    <s v="9800361240"/>
    <n v="2.2949999999999999"/>
    <n v="276"/>
    <x v="3"/>
    <m/>
    <s v="2025-07-25"/>
    <s v="260177"/>
    <s v="SatyaRanjan Kundu and Brothers"/>
    <s v="7908186730"/>
  </r>
  <r>
    <s v="RCF Import"/>
    <s v="MOP"/>
    <s v="WB"/>
    <x v="15"/>
    <m/>
    <s v="User Not Mapped"/>
    <s v="User Not Mapped"/>
    <s v="User Not Mapped"/>
    <n v="323570"/>
    <s v="Subhasish Ghosh"/>
    <s v="Private Retailer"/>
    <s v="9800361240"/>
    <n v="1"/>
    <n v="42"/>
    <x v="1"/>
    <m/>
    <s v="2026-03-16"/>
    <s v="549643"/>
    <s v="M/S RATAN BISWAS"/>
    <s v="8617364808"/>
  </r>
  <r>
    <s v="RCF Thal"/>
    <s v="N.C.Urea(45kg)"/>
    <s v="WB"/>
    <x v="15"/>
    <m/>
    <s v="User Not Mapped"/>
    <s v="User Not Mapped"/>
    <s v="User Not Mapped"/>
    <n v="323578"/>
    <s v="Sushanta Ghosh"/>
    <s v="Private Retailer"/>
    <s v="9434193916"/>
    <n v="0.01"/>
    <n v="2154"/>
    <x v="7"/>
    <m/>
    <s v="2020-06-03"/>
    <s v="280913"/>
    <s v="S.S.P Enterprise"/>
    <s v="9732669190"/>
  </r>
  <r>
    <s v="RCF Trombay"/>
    <s v="15-15-15"/>
    <s v="WB"/>
    <x v="15"/>
    <m/>
    <s v="User Not Mapped"/>
    <s v="User Not Mapped"/>
    <s v="User Not Mapped"/>
    <n v="340827"/>
    <s v="Anita Biswas"/>
    <s v="Private Retailer"/>
    <s v="8116120085"/>
    <n v="1.87"/>
    <n v="553"/>
    <x v="7"/>
    <m/>
    <s v="2024-10-21"/>
    <s v="280729"/>
    <s v="M/s. Naresh Chandra Das"/>
    <s v="7365868045"/>
  </r>
  <r>
    <s v="RCF Trombay"/>
    <s v="N.C.Urea(45kg)"/>
    <s v="WB"/>
    <x v="15"/>
    <m/>
    <s v="User Not Mapped"/>
    <s v="User Not Mapped"/>
    <s v="User Not Mapped"/>
    <n v="340827"/>
    <s v="Anita Biswas"/>
    <s v="Private Retailer"/>
    <s v="8116120085"/>
    <n v="1.98"/>
    <n v="553"/>
    <x v="7"/>
    <m/>
    <s v="2024-10-21"/>
    <s v="280729"/>
    <s v="M/s. Naresh Chandra Das"/>
    <s v="7365868045"/>
  </r>
  <r>
    <s v="RCF Trombay"/>
    <s v="15-15-15"/>
    <s v="WB"/>
    <x v="15"/>
    <m/>
    <s v="User Not Mapped"/>
    <s v="User Not Mapped"/>
    <s v="User Not Mapped"/>
    <n v="340884"/>
    <s v="Arup Khan"/>
    <s v="Private Retailer"/>
    <s v="7001475829"/>
    <n v="0.35"/>
    <n v="292"/>
    <x v="3"/>
    <m/>
    <s v="2025-07-09"/>
    <s v="281284"/>
    <s v="Sadhan Kumar Ghosh"/>
    <s v="7602136568"/>
  </r>
  <r>
    <s v="RCF Trombay"/>
    <s v="15-15-15"/>
    <s v="WB"/>
    <x v="15"/>
    <m/>
    <s v="User Not Mapped"/>
    <s v="User Not Mapped"/>
    <s v="User Not Mapped"/>
    <n v="340942"/>
    <s v="Asmaul Mondal"/>
    <s v="Private Retailer"/>
    <s v="7468962377"/>
    <n v="0.25"/>
    <n v="1822"/>
    <x v="7"/>
    <m/>
    <s v="2021-05-01"/>
    <s v="260209"/>
    <s v="M/S SUNIL KUMAR SAHA       "/>
    <s v="9434110995"/>
  </r>
  <r>
    <s v="RCF Thal"/>
    <s v="N.C.Urea(45kg)"/>
    <s v="WB"/>
    <x v="15"/>
    <m/>
    <s v="User Not Mapped"/>
    <s v="User Not Mapped"/>
    <s v="User Not Mapped"/>
    <n v="340942"/>
    <s v="Asmaul Mondal"/>
    <s v="Private Retailer"/>
    <s v="7468962377"/>
    <n v="1.2150000000000001"/>
    <n v="1844"/>
    <x v="7"/>
    <m/>
    <s v="2021-04-09"/>
    <s v="260209"/>
    <s v="M/S SUNIL KUMAR SAHA       "/>
    <s v="9434110995"/>
  </r>
  <r>
    <s v="RCF Trombay"/>
    <s v="15-15-15"/>
    <s v="WB"/>
    <x v="15"/>
    <m/>
    <s v="User Not Mapped"/>
    <s v="User Not Mapped"/>
    <s v="User Not Mapped"/>
    <n v="340942"/>
    <s v="Asmaul Mondal"/>
    <s v="Private Retailer"/>
    <s v="7468962377"/>
    <n v="0.7"/>
    <n v="1832"/>
    <x v="7"/>
    <m/>
    <s v="2021-04-21"/>
    <s v="260209"/>
    <s v="M/S SUNIL KUMAR SAHA       "/>
    <s v="9434110995"/>
  </r>
  <r>
    <s v="RCF Import"/>
    <s v="Imp 10-26-26"/>
    <s v="WB"/>
    <x v="15"/>
    <m/>
    <s v="User Not Mapped"/>
    <s v="User Not Mapped"/>
    <s v="User Not Mapped"/>
    <n v="340968"/>
    <s v="Azizul Sardar"/>
    <s v="Private Retailer"/>
    <s v="9775177828"/>
    <n v="0.25"/>
    <n v="200"/>
    <x v="3"/>
    <m/>
    <s v="2025-10-09"/>
    <s v="441419"/>
    <s v="M/S Namita Chanda"/>
    <s v="9775677020"/>
  </r>
  <r>
    <s v="RCF Trombay"/>
    <s v="15-15-15"/>
    <s v="WB"/>
    <x v="15"/>
    <m/>
    <s v="User Not Mapped"/>
    <s v="User Not Mapped"/>
    <s v="User Not Mapped"/>
    <n v="340968"/>
    <s v="Azizul Sardar"/>
    <s v="Private Retailer"/>
    <s v="9775177828"/>
    <n v="0.17499999999999999"/>
    <n v="243"/>
    <x v="3"/>
    <m/>
    <s v="2025-08-27"/>
    <s v="214222"/>
    <s v="Mahamaya Enterprise"/>
    <s v="8348217174"/>
  </r>
  <r>
    <s v="RCF Trombay"/>
    <s v="15-15-15"/>
    <s v="WB"/>
    <x v="15"/>
    <m/>
    <s v="User Not Mapped"/>
    <s v="User Not Mapped"/>
    <s v="User Not Mapped"/>
    <n v="340971"/>
    <s v="Bablu Biswas"/>
    <s v="Private Retailer"/>
    <s v="6297653412"/>
    <n v="2"/>
    <n v="91"/>
    <x v="5"/>
    <m/>
    <s v="2026-01-26"/>
    <s v="260177"/>
    <s v="SatyaRanjan Kundu and Brothers"/>
    <s v="7908186730"/>
  </r>
  <r>
    <s v="RCF Trombay"/>
    <s v="15-15-15"/>
    <s v="WB"/>
    <x v="15"/>
    <m/>
    <s v="User Not Mapped"/>
    <s v="User Not Mapped"/>
    <s v="User Not Mapped"/>
    <n v="341060"/>
    <s v="Bidyut Karmakar"/>
    <s v="Private Retailer"/>
    <s v="9475068396"/>
    <n v="0.35"/>
    <n v="86"/>
    <x v="2"/>
    <m/>
    <s v="2026-01-31"/>
    <s v="280729"/>
    <s v="M/s. Naresh Chandra Das"/>
    <s v="7365868045"/>
  </r>
  <r>
    <s v="RCF Trombay"/>
    <s v="N.C.Urea(45kg)"/>
    <s v="WB"/>
    <x v="15"/>
    <m/>
    <s v="User Not Mapped"/>
    <s v="User Not Mapped"/>
    <s v="User Not Mapped"/>
    <n v="341060"/>
    <s v="Bidyut Karmakar"/>
    <s v="Private Retailer"/>
    <s v="9475068396"/>
    <n v="0.09"/>
    <n v="86"/>
    <x v="2"/>
    <m/>
    <s v="2026-01-31"/>
    <s v="280729"/>
    <s v="M/s. Naresh Chandra Das"/>
    <s v="7365868045"/>
  </r>
  <r>
    <s v="RCF Trombay"/>
    <s v="15-15-15"/>
    <s v="WB"/>
    <x v="15"/>
    <m/>
    <s v="User Not Mapped"/>
    <s v="User Not Mapped"/>
    <s v="User Not Mapped"/>
    <n v="341449"/>
    <s v="Hangsaraj Ghosh"/>
    <s v="Private Retailer"/>
    <s v="9564217497"/>
    <n v="1.0649999999999999"/>
    <n v="555"/>
    <x v="7"/>
    <m/>
    <s v="2024-10-19"/>
    <s v="441405"/>
    <s v="New Taraknath Beeze Bhender"/>
    <s v="9641540108"/>
  </r>
  <r>
    <s v="RCF Trombay"/>
    <s v="15-15-15"/>
    <s v="WB"/>
    <x v="15"/>
    <m/>
    <s v="User Not Mapped"/>
    <s v="User Not Mapped"/>
    <s v="User Not Mapped"/>
    <n v="341449"/>
    <s v="Hangsaraj Ghosh"/>
    <s v="Private Retailer"/>
    <s v="9564217497"/>
    <n v="2.5"/>
    <n v="234"/>
    <x v="3"/>
    <m/>
    <s v="2025-09-05"/>
    <s v="260177"/>
    <s v="SatyaRanjan Kundu and Brothers"/>
    <s v="7908186730"/>
  </r>
  <r>
    <s v="RCF Trombay"/>
    <s v="15-15-15"/>
    <s v="WB"/>
    <x v="15"/>
    <m/>
    <s v="User Not Mapped"/>
    <s v="User Not Mapped"/>
    <s v="User Not Mapped"/>
    <n v="341554"/>
    <s v="Joydeb Biswas"/>
    <s v="Private Retailer"/>
    <s v="9641677922"/>
    <n v="0.25"/>
    <n v="758"/>
    <x v="7"/>
    <m/>
    <s v="2024-03-30"/>
    <s v="281567"/>
    <s v="Rabindra Nath Biswas"/>
    <s v="9434197359"/>
  </r>
  <r>
    <s v="RCF Trombay"/>
    <s v="15-15-15"/>
    <s v="WB"/>
    <x v="15"/>
    <m/>
    <s v="User Not Mapped"/>
    <s v="User Not Mapped"/>
    <s v="User Not Mapped"/>
    <n v="341554"/>
    <s v="Joydeb Biswas"/>
    <s v="Private Retailer"/>
    <s v="9641677922"/>
    <n v="0.4"/>
    <n v="750"/>
    <x v="7"/>
    <m/>
    <s v="2024-04-07"/>
    <s v="281567"/>
    <s v="Rabindra Nath Biswas"/>
    <s v="9434197359"/>
  </r>
  <r>
    <s v="RCF Import"/>
    <s v="Imp 10-26-26"/>
    <s v="WB"/>
    <x v="15"/>
    <m/>
    <s v="User Not Mapped"/>
    <s v="User Not Mapped"/>
    <s v="User Not Mapped"/>
    <n v="341615"/>
    <s v="Kanailal Ghosh"/>
    <s v="Private Retailer"/>
    <s v="9614468172"/>
    <n v="0.5"/>
    <n v="45"/>
    <x v="1"/>
    <m/>
    <s v="2026-03-13"/>
    <s v="281285"/>
    <s v="Bhabani Prosad Chattopadhy"/>
    <s v="7548026544"/>
  </r>
  <r>
    <s v="RCF Thal"/>
    <s v="N.C.Urea(45kg)"/>
    <s v="WB"/>
    <x v="15"/>
    <m/>
    <s v="User Not Mapped"/>
    <s v="User Not Mapped"/>
    <s v="User Not Mapped"/>
    <n v="341615"/>
    <s v="Kanailal Ghosh"/>
    <s v="Private Retailer"/>
    <s v="9614468172"/>
    <n v="0.04"/>
    <n v="113"/>
    <x v="5"/>
    <m/>
    <s v="2026-01-04"/>
    <s v="281285"/>
    <s v="Bhabani Prosad Chattopadhy"/>
    <s v="7548026544"/>
  </r>
  <r>
    <s v="RCF Trombay"/>
    <s v="15-15-15"/>
    <s v="WB"/>
    <x v="15"/>
    <m/>
    <s v="User Not Mapped"/>
    <s v="User Not Mapped"/>
    <s v="User Not Mapped"/>
    <n v="341615"/>
    <s v="Kanailal Ghosh"/>
    <s v="Private Retailer"/>
    <s v="9614468172"/>
    <n v="0.1"/>
    <n v="45"/>
    <x v="1"/>
    <m/>
    <s v="2026-03-13"/>
    <s v="281285"/>
    <s v="Bhabani Prosad Chattopadhy"/>
    <s v="7548026544"/>
  </r>
  <r>
    <s v="RCF Trombay"/>
    <s v="N.C.Urea(45kg)"/>
    <s v="WB"/>
    <x v="15"/>
    <m/>
    <s v="User Not Mapped"/>
    <s v="User Not Mapped"/>
    <s v="User Not Mapped"/>
    <n v="341615"/>
    <s v="Kanailal Ghosh"/>
    <s v="Private Retailer"/>
    <s v="9614468172"/>
    <n v="5.0000000000000001E-3"/>
    <n v="113"/>
    <x v="5"/>
    <m/>
    <s v="2026-01-04"/>
    <s v="281285"/>
    <s v="Bhabani Prosad Chattopadhy"/>
    <s v="7548026544"/>
  </r>
  <r>
    <s v="RCF Thal"/>
    <s v="N.C.Urea(45kg)"/>
    <s v="WB"/>
    <x v="15"/>
    <m/>
    <s v="User Not Mapped"/>
    <s v="User Not Mapped"/>
    <s v="User Not Mapped"/>
    <n v="341785"/>
    <s v="Mahabul Shaikh"/>
    <s v="Private Retailer"/>
    <s v="9382101137"/>
    <n v="4.4999999999999998E-2"/>
    <n v="186"/>
    <x v="3"/>
    <m/>
    <s v="2025-10-23"/>
    <s v="260202"/>
    <s v="MS S K DUTTA"/>
    <s v="9832802581"/>
  </r>
  <r>
    <s v="RCF Trombay"/>
    <s v="N.C.Urea(45kg)"/>
    <s v="WB"/>
    <x v="15"/>
    <m/>
    <s v="User Not Mapped"/>
    <s v="User Not Mapped"/>
    <s v="User Not Mapped"/>
    <n v="341785"/>
    <s v="Mahabul Shaikh"/>
    <s v="Private Retailer"/>
    <s v="9382101137"/>
    <n v="2.7"/>
    <n v="59"/>
    <x v="1"/>
    <m/>
    <s v="2026-02-27"/>
    <s v="260202"/>
    <s v="MS S K DUTTA"/>
    <s v="9832802581"/>
  </r>
  <r>
    <s v="RCF Trombay"/>
    <s v="15-15-15"/>
    <s v="WB"/>
    <x v="15"/>
    <m/>
    <s v="User Not Mapped"/>
    <s v="User Not Mapped"/>
    <s v="User Not Mapped"/>
    <n v="341785"/>
    <s v="Mahabul Shaikh"/>
    <s v="Private Retailer"/>
    <s v="9382101137"/>
    <n v="2"/>
    <n v="238"/>
    <x v="3"/>
    <m/>
    <s v="2025-09-01"/>
    <s v="260202"/>
    <s v="MS S K DUTTA"/>
    <s v="9832802581"/>
  </r>
  <r>
    <s v="RCF Trombay"/>
    <s v="15-15-15"/>
    <s v="WB"/>
    <x v="15"/>
    <m/>
    <s v="User Not Mapped"/>
    <s v="User Not Mapped"/>
    <s v="User Not Mapped"/>
    <n v="341838"/>
    <s v="Manju Ghosh"/>
    <s v="Private Retailer"/>
    <s v="9933839802"/>
    <n v="2"/>
    <n v="31"/>
    <x v="1"/>
    <m/>
    <s v="2026-03-27"/>
    <s v="1043444"/>
    <s v="UMA RANI SAHA"/>
    <s v="9775414001"/>
  </r>
  <r>
    <s v="RCF Import"/>
    <s v="Imp 10-26-26"/>
    <s v="WB"/>
    <x v="15"/>
    <m/>
    <s v="User Not Mapped"/>
    <s v="User Not Mapped"/>
    <s v="User Not Mapped"/>
    <n v="341838"/>
    <s v="Manju Ghosh"/>
    <s v="Private Retailer"/>
    <s v="9933839802"/>
    <n v="2"/>
    <n v="31"/>
    <x v="1"/>
    <m/>
    <s v="2026-03-27"/>
    <s v="1043444"/>
    <s v="UMA RANI SAHA"/>
    <s v="9775414001"/>
  </r>
  <r>
    <s v="RCF Thal"/>
    <s v="N.C.Urea(45kg)"/>
    <s v="WB"/>
    <x v="15"/>
    <m/>
    <s v="User Not Mapped"/>
    <s v="User Not Mapped"/>
    <s v="User Not Mapped"/>
    <n v="341838"/>
    <s v="Manju Ghosh"/>
    <s v="Private Retailer"/>
    <s v="9933839802"/>
    <n v="3.4649999999999999"/>
    <n v="31"/>
    <x v="1"/>
    <m/>
    <s v="2026-03-27"/>
    <s v="1043444"/>
    <s v="UMA RANI SAHA"/>
    <s v="9775414001"/>
  </r>
  <r>
    <s v="RCF Import"/>
    <s v="MOP"/>
    <s v="WB"/>
    <x v="15"/>
    <m/>
    <s v="User Not Mapped"/>
    <s v="User Not Mapped"/>
    <s v="User Not Mapped"/>
    <n v="341838"/>
    <s v="Manju Ghosh"/>
    <s v="Private Retailer"/>
    <s v="9933839802"/>
    <n v="2"/>
    <n v="31"/>
    <x v="1"/>
    <m/>
    <s v="2026-03-27"/>
    <s v="1043444"/>
    <s v="UMA RANI SAHA"/>
    <s v="9775414001"/>
  </r>
  <r>
    <s v="RCF Trombay"/>
    <s v="15-15-15"/>
    <s v="WB"/>
    <x v="15"/>
    <m/>
    <s v="User Not Mapped"/>
    <s v="User Not Mapped"/>
    <s v="User Not Mapped"/>
    <n v="341838"/>
    <s v="Manju Ghosh"/>
    <s v="Private Retailer"/>
    <s v="9933839802"/>
    <n v="0.35"/>
    <n v="61"/>
    <x v="2"/>
    <m/>
    <s v="2026-02-25"/>
    <s v="281285"/>
    <s v="Bhabani Prosad Chattopadhy"/>
    <s v="7548026544"/>
  </r>
  <r>
    <s v="RCF Trombay"/>
    <s v="15-15-15"/>
    <s v="WB"/>
    <x v="15"/>
    <m/>
    <s v="User Not Mapped"/>
    <s v="User Not Mapped"/>
    <s v="User Not Mapped"/>
    <n v="341840"/>
    <s v="Manoj  Biswas"/>
    <s v="Private Retailer"/>
    <s v="9609794880"/>
    <n v="0.5"/>
    <n v="118"/>
    <x v="5"/>
    <m/>
    <s v="2025-12-30"/>
    <s v="260202"/>
    <s v="MS S K DUTTA"/>
    <s v="9832802581"/>
  </r>
  <r>
    <s v="RCF Thal"/>
    <s v="N.C.Urea(45kg)"/>
    <s v="WB"/>
    <x v="15"/>
    <m/>
    <s v="User Not Mapped"/>
    <s v="User Not Mapped"/>
    <s v="User Not Mapped"/>
    <n v="341857"/>
    <s v="Md. Abdul Karim Sk"/>
    <s v="Private Retailer"/>
    <s v="9635563204"/>
    <n v="0.45"/>
    <n v="1851"/>
    <x v="7"/>
    <m/>
    <s v="2021-04-02"/>
    <s v="441017"/>
    <s v="M/S S M. Abdul Matin"/>
    <s v="7501569288"/>
  </r>
  <r>
    <s v="RCF Trombay"/>
    <s v="15-15-15"/>
    <s v="WB"/>
    <x v="15"/>
    <m/>
    <s v="User Not Mapped"/>
    <s v="User Not Mapped"/>
    <s v="User Not Mapped"/>
    <n v="341936"/>
    <s v="Minajul Hoque Mondal"/>
    <s v="Private Retailer"/>
    <s v="7872738474"/>
    <n v="0.1"/>
    <n v="2194"/>
    <x v="7"/>
    <m/>
    <s v="2020-04-24"/>
    <s v="342576"/>
    <s v="Tapan Kr. Mandal"/>
    <s v="9382122260"/>
  </r>
  <r>
    <s v="RCF Thal"/>
    <s v="N.C.Urea(45kg)"/>
    <s v="WB"/>
    <x v="15"/>
    <m/>
    <s v="User Not Mapped"/>
    <s v="User Not Mapped"/>
    <s v="User Not Mapped"/>
    <n v="341962"/>
    <s v="Mominur Rahaman Mondal"/>
    <s v="Private Retailer"/>
    <s v="9609260165"/>
    <n v="0.29499999999999998"/>
    <n v="280"/>
    <x v="3"/>
    <m/>
    <s v="2025-07-21"/>
    <s v="280913"/>
    <s v="S.S.P Enterprise"/>
    <s v="9732669190"/>
  </r>
  <r>
    <s v="RCF Import"/>
    <s v="MOP"/>
    <s v="WB"/>
    <x v="15"/>
    <m/>
    <s v="User Not Mapped"/>
    <s v="User Not Mapped"/>
    <s v="User Not Mapped"/>
    <n v="341962"/>
    <s v="Mominur Rahaman Mondal"/>
    <s v="Private Retailer"/>
    <s v="9609260165"/>
    <n v="2.5"/>
    <n v="18"/>
    <x v="4"/>
    <m/>
    <s v="2026-04-09"/>
    <s v="280913"/>
    <s v="S.S.P Enterprise"/>
    <s v="9732669190"/>
  </r>
  <r>
    <s v="RCF Trombay"/>
    <s v="15-15-15"/>
    <s v="WB"/>
    <x v="15"/>
    <m/>
    <s v="User Not Mapped"/>
    <s v="User Not Mapped"/>
    <s v="User Not Mapped"/>
    <n v="341962"/>
    <s v="Mominur Rahaman Mondal"/>
    <s v="Private Retailer"/>
    <s v="9609260165"/>
    <n v="2.5"/>
    <n v="18"/>
    <x v="4"/>
    <m/>
    <s v="2026-04-09"/>
    <s v="280913"/>
    <s v="S.S.P Enterprise"/>
    <s v="9732669190"/>
  </r>
  <r>
    <s v="RCF Trombay"/>
    <s v="15-15-15"/>
    <s v="WB"/>
    <x v="15"/>
    <m/>
    <s v="User Not Mapped"/>
    <s v="User Not Mapped"/>
    <s v="User Not Mapped"/>
    <n v="341962"/>
    <s v="Mominur Rahaman Mondal"/>
    <s v="Private Retailer"/>
    <s v="9609260165"/>
    <n v="5.1999999999999998E-2"/>
    <n v="784"/>
    <x v="7"/>
    <m/>
    <s v="2024-03-04"/>
    <s v="280913"/>
    <s v="S.S.P Enterprise"/>
    <s v="9732669190"/>
  </r>
  <r>
    <s v="RCF Thal"/>
    <s v="N.C.Urea(45kg)"/>
    <s v="WB"/>
    <x v="15"/>
    <m/>
    <s v="User Not Mapped"/>
    <s v="User Not Mapped"/>
    <s v="User Not Mapped"/>
    <n v="341993"/>
    <s v="Mousmi Biswas"/>
    <s v="Private Retailer"/>
    <s v="9153338472"/>
    <n v="4.9950000000000001"/>
    <n v="22"/>
    <x v="4"/>
    <m/>
    <s v="2026-04-05"/>
    <s v="260185"/>
    <s v="Faroj Ali Shaikh"/>
    <s v="7797070086"/>
  </r>
  <r>
    <s v="RCF Thal"/>
    <s v="N.C.Urea(45kg)"/>
    <s v="WB"/>
    <x v="15"/>
    <m/>
    <s v="User Not Mapped"/>
    <s v="User Not Mapped"/>
    <s v="User Not Mapped"/>
    <n v="341995"/>
    <s v="Mousumi Fertilizer"/>
    <s v="Private Retailer"/>
    <s v="8609026761"/>
    <n v="1.8"/>
    <n v="1466"/>
    <x v="7"/>
    <m/>
    <s v="2022-04-22"/>
    <s v="280729"/>
    <s v="M/s. Naresh Chandra Das"/>
    <s v="7365868045"/>
  </r>
  <r>
    <s v="RCF Trombay"/>
    <s v="15-15-15"/>
    <s v="WB"/>
    <x v="15"/>
    <m/>
    <s v="User Not Mapped"/>
    <s v="User Not Mapped"/>
    <s v="User Not Mapped"/>
    <n v="341995"/>
    <s v="Mousumi Fertilizer"/>
    <s v="Private Retailer"/>
    <s v="8609026761"/>
    <n v="0.5"/>
    <n v="1362"/>
    <x v="7"/>
    <m/>
    <s v="2022-08-04"/>
    <s v="280729"/>
    <s v="M/s. Naresh Chandra Das"/>
    <s v="7365868045"/>
  </r>
  <r>
    <s v="RCF Trombay"/>
    <s v="15-15-15"/>
    <s v="WB"/>
    <x v="15"/>
    <m/>
    <s v="User Not Mapped"/>
    <s v="User Not Mapped"/>
    <s v="User Not Mapped"/>
    <n v="341995"/>
    <s v="Mousumi Fertilizer"/>
    <s v="Private Retailer"/>
    <s v="8609026761"/>
    <n v="0.5"/>
    <n v="1516"/>
    <x v="7"/>
    <m/>
    <s v="2022-03-03"/>
    <s v="280729"/>
    <s v="M/s. Naresh Chandra Das"/>
    <s v="7365868045"/>
  </r>
  <r>
    <s v="RCF Trombay"/>
    <s v="N.C.Urea(45kg)"/>
    <s v="WB"/>
    <x v="15"/>
    <m/>
    <s v="User Not Mapped"/>
    <s v="User Not Mapped"/>
    <s v="User Not Mapped"/>
    <n v="341995"/>
    <s v="Mousumi Fertilizer"/>
    <s v="Private Retailer"/>
    <s v="8609026761"/>
    <n v="0.63"/>
    <n v="1153"/>
    <x v="7"/>
    <m/>
    <s v="2023-03-01"/>
    <s v="280729"/>
    <s v="M/s. Naresh Chandra Das"/>
    <s v="7365868045"/>
  </r>
  <r>
    <s v="RCF Trombay"/>
    <s v="15-15-15"/>
    <s v="WB"/>
    <x v="15"/>
    <m/>
    <s v="User Not Mapped"/>
    <s v="User Not Mapped"/>
    <s v="User Not Mapped"/>
    <n v="341995"/>
    <s v="Mousumi Fertilizer"/>
    <s v="Private Retailer"/>
    <s v="8609026761"/>
    <n v="0.25"/>
    <n v="1153"/>
    <x v="7"/>
    <m/>
    <s v="2023-03-01"/>
    <s v="280729"/>
    <s v="M/s. Naresh Chandra Das"/>
    <s v="7365868045"/>
  </r>
  <r>
    <s v="RCF Trombay"/>
    <s v="15-15-15"/>
    <s v="WB"/>
    <x v="15"/>
    <m/>
    <s v="User Not Mapped"/>
    <s v="User Not Mapped"/>
    <s v="User Not Mapped"/>
    <n v="341998"/>
    <s v="Mrinal Kanti Karmakar"/>
    <s v="Private Retailer"/>
    <s v="8001519461"/>
    <n v="0.25"/>
    <n v="213"/>
    <x v="3"/>
    <m/>
    <s v="2025-09-26"/>
    <s v="280729"/>
    <s v="M/s. Naresh Chandra Das"/>
    <s v="7365868045"/>
  </r>
  <r>
    <s v="RCF Thal"/>
    <s v="N.C.Urea(45kg)"/>
    <s v="WB"/>
    <x v="15"/>
    <m/>
    <s v="User Not Mapped"/>
    <s v="User Not Mapped"/>
    <s v="User Not Mapped"/>
    <n v="342067"/>
    <s v="Netai Bhowmick"/>
    <s v="Private Retailer"/>
    <s v="9647435631"/>
    <n v="1.575"/>
    <n v="12"/>
    <x v="4"/>
    <m/>
    <s v="2026-04-15"/>
    <s v="280729"/>
    <s v="M/s. Naresh Chandra Das"/>
    <s v="7365868045"/>
  </r>
  <r>
    <s v="RCF Trombay"/>
    <s v="15-15-15"/>
    <s v="WB"/>
    <x v="15"/>
    <m/>
    <s v="User Not Mapped"/>
    <s v="User Not Mapped"/>
    <s v="User Not Mapped"/>
    <n v="342067"/>
    <s v="Netai Bhowmick"/>
    <s v="Private Retailer"/>
    <s v="9647435631"/>
    <n v="0.27500000000000002"/>
    <n v="90"/>
    <x v="2"/>
    <m/>
    <s v="2026-01-27"/>
    <s v="280729"/>
    <s v="M/s. Naresh Chandra Das"/>
    <s v="7365868045"/>
  </r>
  <r>
    <s v="RCF Trombay"/>
    <s v="15-15-15"/>
    <s v="WB"/>
    <x v="15"/>
    <m/>
    <s v="User Not Mapped"/>
    <s v="User Not Mapped"/>
    <s v="User Not Mapped"/>
    <n v="342067"/>
    <s v="Netai Bhowmick"/>
    <s v="Private Retailer"/>
    <s v="9647435631"/>
    <n v="1"/>
    <n v="59"/>
    <x v="1"/>
    <m/>
    <s v="2026-02-27"/>
    <s v="280729"/>
    <s v="M/s. Naresh Chandra Das"/>
    <s v="7365868045"/>
  </r>
  <r>
    <s v="RCF Thal"/>
    <s v="N.C.Urea(45kg)"/>
    <s v="WB"/>
    <x v="15"/>
    <m/>
    <s v="User Not Mapped"/>
    <s v="User Not Mapped"/>
    <s v="User Not Mapped"/>
    <n v="342080"/>
    <s v="Nikhil Chandra Dutta"/>
    <s v="Private Retailer"/>
    <s v="9775592888"/>
    <n v="0.45"/>
    <n v="44"/>
    <x v="1"/>
    <m/>
    <s v="2026-03-14"/>
    <s v="260210"/>
    <s v="Gouri Sankar Kundu            "/>
    <s v="9064539774"/>
  </r>
  <r>
    <s v="RCF Import"/>
    <s v="MOP"/>
    <s v="WB"/>
    <x v="15"/>
    <m/>
    <s v="User Not Mapped"/>
    <s v="User Not Mapped"/>
    <s v="User Not Mapped"/>
    <n v="342080"/>
    <s v="Nikhil Chandra Dutta"/>
    <s v="Private Retailer"/>
    <s v="9775592888"/>
    <n v="0.5"/>
    <n v="30"/>
    <x v="4"/>
    <m/>
    <s v="2026-03-28"/>
    <s v="260210"/>
    <s v="Gouri Sankar Kundu            "/>
    <s v="9064539774"/>
  </r>
  <r>
    <s v="RCF Thal"/>
    <s v="N.C.Urea(45kg)"/>
    <s v="WB"/>
    <x v="15"/>
    <m/>
    <s v="User Not Mapped"/>
    <s v="User Not Mapped"/>
    <s v="User Not Mapped"/>
    <n v="342080"/>
    <s v="Nikhil Chandra Dutta"/>
    <s v="Private Retailer"/>
    <s v="9775592888"/>
    <n v="0.9"/>
    <n v="30"/>
    <x v="4"/>
    <m/>
    <s v="2026-03-28"/>
    <s v="260210"/>
    <s v="Gouri Sankar Kundu            "/>
    <s v="9064539774"/>
  </r>
  <r>
    <s v="RCF Import"/>
    <s v="Imp 10-26-26"/>
    <s v="WB"/>
    <x v="15"/>
    <m/>
    <s v="User Not Mapped"/>
    <s v="User Not Mapped"/>
    <s v="User Not Mapped"/>
    <n v="342080"/>
    <s v="Nikhil Chandra Dutta"/>
    <s v="Private Retailer"/>
    <s v="9775592888"/>
    <n v="0.25"/>
    <n v="230"/>
    <x v="3"/>
    <m/>
    <s v="2025-09-09"/>
    <s v="260210"/>
    <s v="Gouri Sankar Kundu            "/>
    <s v="9064539774"/>
  </r>
  <r>
    <s v="RCF Trombay"/>
    <s v="15-15-15"/>
    <s v="WB"/>
    <x v="15"/>
    <m/>
    <s v="User Not Mapped"/>
    <s v="User Not Mapped"/>
    <s v="User Not Mapped"/>
    <n v="342080"/>
    <s v="Nikhil Chandra Dutta"/>
    <s v="Private Retailer"/>
    <s v="9775592888"/>
    <n v="0.2"/>
    <n v="142"/>
    <x v="0"/>
    <m/>
    <s v="2025-12-06"/>
    <s v="260210"/>
    <s v="Gouri Sankar Kundu            "/>
    <s v="9064539774"/>
  </r>
  <r>
    <s v="RCF Trombay"/>
    <s v="15-15-15"/>
    <s v="WB"/>
    <x v="15"/>
    <m/>
    <s v="User Not Mapped"/>
    <s v="User Not Mapped"/>
    <s v="User Not Mapped"/>
    <n v="342080"/>
    <s v="Nikhil Chandra Dutta"/>
    <s v="Private Retailer"/>
    <s v="9775592888"/>
    <n v="0.5"/>
    <n v="92"/>
    <x v="5"/>
    <m/>
    <s v="2026-01-25"/>
    <s v="260210"/>
    <s v="Gouri Sankar Kundu            "/>
    <s v="9064539774"/>
  </r>
  <r>
    <s v="RCF Import"/>
    <s v="MOP"/>
    <s v="WB"/>
    <x v="15"/>
    <m/>
    <s v="User Not Mapped"/>
    <s v="User Not Mapped"/>
    <s v="User Not Mapped"/>
    <n v="342080"/>
    <s v="Nikhil Chandra Dutta"/>
    <s v="Private Retailer"/>
    <s v="9775592888"/>
    <n v="0.25"/>
    <n v="64"/>
    <x v="2"/>
    <m/>
    <s v="2026-02-22"/>
    <s v="260210"/>
    <s v="Gouri Sankar Kundu            "/>
    <s v="9064539774"/>
  </r>
  <r>
    <s v="RCF Import"/>
    <s v="MOP"/>
    <s v="WB"/>
    <x v="15"/>
    <m/>
    <s v="User Not Mapped"/>
    <s v="User Not Mapped"/>
    <s v="User Not Mapped"/>
    <n v="342080"/>
    <s v="Nikhil Chandra Dutta"/>
    <s v="Private Retailer"/>
    <s v="9775592888"/>
    <n v="0.4"/>
    <n v="61"/>
    <x v="2"/>
    <m/>
    <s v="2026-02-25"/>
    <s v="260210"/>
    <s v="Gouri Sankar Kundu            "/>
    <s v="9064539774"/>
  </r>
  <r>
    <s v="RCF Trombay"/>
    <s v="N.C.Urea(45kg)"/>
    <s v="WB"/>
    <x v="15"/>
    <m/>
    <s v="User Not Mapped"/>
    <s v="User Not Mapped"/>
    <s v="User Not Mapped"/>
    <n v="342080"/>
    <s v="Nikhil Chandra Dutta"/>
    <s v="Private Retailer"/>
    <s v="9775592888"/>
    <n v="0.67500000000000004"/>
    <n v="64"/>
    <x v="2"/>
    <m/>
    <s v="2026-02-22"/>
    <s v="260210"/>
    <s v="Gouri Sankar Kundu            "/>
    <s v="9064539774"/>
  </r>
  <r>
    <s v="RCF Trombay"/>
    <s v="15-15-15"/>
    <s v="WB"/>
    <x v="15"/>
    <m/>
    <s v="User Not Mapped"/>
    <s v="User Not Mapped"/>
    <s v="User Not Mapped"/>
    <n v="342080"/>
    <s v="Nikhil Chandra Dutta"/>
    <s v="Private Retailer"/>
    <s v="9775592888"/>
    <n v="0.1"/>
    <n v="84"/>
    <x v="2"/>
    <m/>
    <s v="2026-02-02"/>
    <s v="260210"/>
    <s v="Gouri Sankar Kundu            "/>
    <s v="9064539774"/>
  </r>
  <r>
    <s v="RCF Trombay"/>
    <s v="15-15-15"/>
    <s v="WB"/>
    <x v="15"/>
    <m/>
    <s v="User Not Mapped"/>
    <s v="User Not Mapped"/>
    <s v="User Not Mapped"/>
    <n v="342080"/>
    <s v="Nikhil Chandra Dutta"/>
    <s v="Private Retailer"/>
    <s v="9775592888"/>
    <n v="0.25"/>
    <n v="68"/>
    <x v="2"/>
    <m/>
    <s v="2026-02-18"/>
    <s v="260210"/>
    <s v="Gouri Sankar Kundu            "/>
    <s v="9064539774"/>
  </r>
  <r>
    <s v="RCF Trombay"/>
    <s v="15-15-15"/>
    <s v="WB"/>
    <x v="15"/>
    <m/>
    <s v="User Not Mapped"/>
    <s v="User Not Mapped"/>
    <s v="User Not Mapped"/>
    <n v="342080"/>
    <s v="Nikhil Chandra Dutta"/>
    <s v="Private Retailer"/>
    <s v="9775592888"/>
    <n v="0.25"/>
    <n v="61"/>
    <x v="2"/>
    <m/>
    <s v="2026-02-25"/>
    <s v="260210"/>
    <s v="Gouri Sankar Kundu            "/>
    <s v="9064539774"/>
  </r>
  <r>
    <s v="RCF Import"/>
    <s v="Imp 10-26-26"/>
    <s v="WB"/>
    <x v="15"/>
    <m/>
    <s v="User Not Mapped"/>
    <s v="User Not Mapped"/>
    <s v="User Not Mapped"/>
    <n v="342080"/>
    <s v="Nikhil Chandra Dutta"/>
    <s v="Private Retailer"/>
    <s v="9775592888"/>
    <n v="0.15"/>
    <n v="56"/>
    <x v="1"/>
    <m/>
    <s v="2026-03-02"/>
    <s v="260210"/>
    <s v="Gouri Sankar Kundu            "/>
    <s v="9064539774"/>
  </r>
  <r>
    <s v="RCF Import"/>
    <s v="MOP"/>
    <s v="WB"/>
    <x v="15"/>
    <m/>
    <s v="User Not Mapped"/>
    <s v="User Not Mapped"/>
    <s v="User Not Mapped"/>
    <n v="342080"/>
    <s v="Nikhil Chandra Dutta"/>
    <s v="Private Retailer"/>
    <s v="9775592888"/>
    <n v="0.1"/>
    <n v="56"/>
    <x v="1"/>
    <m/>
    <s v="2026-03-02"/>
    <s v="260210"/>
    <s v="Gouri Sankar Kundu            "/>
    <s v="9064539774"/>
  </r>
  <r>
    <s v="RCF Trombay"/>
    <s v="15-15-15"/>
    <s v="WB"/>
    <x v="15"/>
    <m/>
    <s v="User Not Mapped"/>
    <s v="User Not Mapped"/>
    <s v="User Not Mapped"/>
    <n v="342109"/>
    <s v="Nirmal Kumar Biswas"/>
    <s v="Private Retailer"/>
    <s v="7872757057"/>
    <n v="0.15"/>
    <n v="315"/>
    <x v="3"/>
    <m/>
    <s v="2025-06-16"/>
    <s v="260210"/>
    <s v="Gouri Sankar Kundu            "/>
    <s v="9064539774"/>
  </r>
  <r>
    <s v="RCF Trombay"/>
    <s v="15-15-15"/>
    <s v="WB"/>
    <x v="15"/>
    <m/>
    <s v="User Not Mapped"/>
    <s v="User Not Mapped"/>
    <s v="User Not Mapped"/>
    <n v="342112"/>
    <s v="Nirmal Sarkar"/>
    <s v="Private Retailer"/>
    <s v="9733797625"/>
    <n v="7.75"/>
    <n v="281"/>
    <x v="3"/>
    <m/>
    <s v="2025-07-20"/>
    <s v="1036433"/>
    <s v="MRITTUNJAY KUNDU"/>
    <s v="9734074810"/>
  </r>
  <r>
    <s v="RCF Thal"/>
    <s v="N.C.Urea(45kg)"/>
    <s v="WB"/>
    <x v="15"/>
    <m/>
    <s v="User Not Mapped"/>
    <s v="User Not Mapped"/>
    <s v="User Not Mapped"/>
    <n v="342150"/>
    <s v="Paresh Chandra Dey"/>
    <s v="Private Retailer"/>
    <s v="9932885196"/>
    <n v="9.99"/>
    <n v="20"/>
    <x v="4"/>
    <m/>
    <s v="2026-04-07"/>
    <s v="280729"/>
    <s v="M/s. Naresh Chandra Das"/>
    <s v="7365868045"/>
  </r>
  <r>
    <s v="RCF Trombay"/>
    <s v="15-15-15"/>
    <s v="WB"/>
    <x v="15"/>
    <m/>
    <s v="User Not Mapped"/>
    <s v="User Not Mapped"/>
    <s v="User Not Mapped"/>
    <n v="342150"/>
    <s v="Paresh Chandra Dey"/>
    <s v="Private Retailer"/>
    <s v="9932885196"/>
    <n v="0.5"/>
    <n v="91"/>
    <x v="5"/>
    <m/>
    <s v="2026-01-26"/>
    <s v="280729"/>
    <s v="M/s. Naresh Chandra Das"/>
    <s v="7365868045"/>
  </r>
  <r>
    <s v="RCF Trombay"/>
    <s v="15-15-15"/>
    <s v="WB"/>
    <x v="15"/>
    <m/>
    <s v="User Not Mapped"/>
    <s v="User Not Mapped"/>
    <s v="User Not Mapped"/>
    <n v="342153"/>
    <s v="Paresh Ch. Tarafder"/>
    <s v="Private Retailer"/>
    <s v="7431855016"/>
    <n v="1.55"/>
    <n v="246"/>
    <x v="3"/>
    <m/>
    <s v="2025-08-24"/>
    <s v="281285"/>
    <s v="Bhabani Prosad Chattopadhy"/>
    <s v="7548026544"/>
  </r>
  <r>
    <s v="RCF Import"/>
    <s v="MOP"/>
    <s v="WB"/>
    <x v="15"/>
    <m/>
    <s v="User Not Mapped"/>
    <s v="User Not Mapped"/>
    <s v="User Not Mapped"/>
    <n v="342153"/>
    <s v="Paresh Ch. Tarafder"/>
    <s v="Private Retailer"/>
    <s v="7431855016"/>
    <n v="0.75"/>
    <n v="425"/>
    <x v="6"/>
    <m/>
    <s v="2025-02-26"/>
    <s v="260210"/>
    <s v="Gouri Sankar Kundu            "/>
    <s v="9064539774"/>
  </r>
  <r>
    <s v="RCF Trombay"/>
    <s v="N.C.Urea(45kg)"/>
    <s v="WB"/>
    <x v="15"/>
    <m/>
    <s v="User Not Mapped"/>
    <s v="User Not Mapped"/>
    <s v="User Not Mapped"/>
    <n v="342153"/>
    <s v="Paresh Ch. Tarafder"/>
    <s v="Private Retailer"/>
    <s v="7431855016"/>
    <n v="0.45"/>
    <n v="457"/>
    <x v="6"/>
    <m/>
    <s v="2025-01-25"/>
    <s v="1214830"/>
    <s v="MS AJOY KRISHNA SEAL"/>
    <s v="9932127372"/>
  </r>
  <r>
    <s v="RCF Trombay"/>
    <s v="15-15-15"/>
    <s v="WB"/>
    <x v="15"/>
    <m/>
    <s v="User Not Mapped"/>
    <s v="User Not Mapped"/>
    <s v="User Not Mapped"/>
    <n v="342153"/>
    <s v="Paresh Ch. Tarafder"/>
    <s v="Private Retailer"/>
    <s v="7431855016"/>
    <n v="1"/>
    <n v="288"/>
    <x v="3"/>
    <m/>
    <s v="2025-07-13"/>
    <s v="281285"/>
    <s v="Bhabani Prosad Chattopadhy"/>
    <s v="7548026544"/>
  </r>
  <r>
    <s v="RCF Trombay"/>
    <s v="N.C.Urea(45kg)"/>
    <s v="WB"/>
    <x v="15"/>
    <m/>
    <s v="User Not Mapped"/>
    <s v="User Not Mapped"/>
    <s v="User Not Mapped"/>
    <n v="342153"/>
    <s v="Paresh Ch. Tarafder"/>
    <s v="Private Retailer"/>
    <s v="7431855016"/>
    <n v="1.35"/>
    <n v="288"/>
    <x v="3"/>
    <m/>
    <s v="2025-07-13"/>
    <s v="281285"/>
    <s v="Bhabani Prosad Chattopadhy"/>
    <s v="7548026544"/>
  </r>
  <r>
    <s v="RCF Import"/>
    <s v="Imp 10-26-26"/>
    <s v="WB"/>
    <x v="15"/>
    <m/>
    <s v="User Not Mapped"/>
    <s v="User Not Mapped"/>
    <s v="User Not Mapped"/>
    <n v="342153"/>
    <s v="Paresh Ch. Tarafder"/>
    <s v="Private Retailer"/>
    <s v="7431855016"/>
    <n v="1.5"/>
    <n v="337"/>
    <x v="3"/>
    <m/>
    <s v="2025-05-25"/>
    <s v="281285"/>
    <s v="Bhabani Prosad Chattopadhy"/>
    <s v="7548026544"/>
  </r>
  <r>
    <s v="RCF Import"/>
    <s v="Imp 10-26-26"/>
    <s v="WB"/>
    <x v="15"/>
    <m/>
    <s v="User Not Mapped"/>
    <s v="User Not Mapped"/>
    <s v="User Not Mapped"/>
    <n v="342153"/>
    <s v="Paresh Ch. Tarafder"/>
    <s v="Private Retailer"/>
    <s v="7431855016"/>
    <n v="0.55000000000000004"/>
    <n v="344"/>
    <x v="3"/>
    <m/>
    <s v="2025-05-18"/>
    <s v="281285"/>
    <s v="Bhabani Prosad Chattopadhy"/>
    <s v="7548026544"/>
  </r>
  <r>
    <s v="RCF Trombay"/>
    <s v="15-15-15"/>
    <s v="WB"/>
    <x v="15"/>
    <m/>
    <s v="User Not Mapped"/>
    <s v="User Not Mapped"/>
    <s v="User Not Mapped"/>
    <n v="342600"/>
    <s v="Pasupati Ghosh"/>
    <s v="Private Retailer"/>
    <s v="9647218490"/>
    <n v="1.85"/>
    <n v="326"/>
    <x v="3"/>
    <m/>
    <s v="2025-06-05"/>
    <s v="260210"/>
    <s v="Gouri Sankar Kundu            "/>
    <s v="9064539774"/>
  </r>
  <r>
    <s v="RCF Trombay"/>
    <s v="15-15-15"/>
    <s v="WB"/>
    <x v="15"/>
    <m/>
    <s v="User Not Mapped"/>
    <s v="User Not Mapped"/>
    <s v="User Not Mapped"/>
    <n v="342600"/>
    <s v="Pasupati Ghosh"/>
    <s v="Private Retailer"/>
    <s v="9647218490"/>
    <n v="1"/>
    <n v="52"/>
    <x v="1"/>
    <m/>
    <s v="2026-03-06"/>
    <s v="260177"/>
    <s v="SatyaRanjan Kundu and Brothers"/>
    <s v="7908186730"/>
  </r>
  <r>
    <s v="RCF Thal"/>
    <s v="N.C.Urea(45kg)"/>
    <s v="WB"/>
    <x v="15"/>
    <m/>
    <s v="User Not Mapped"/>
    <s v="User Not Mapped"/>
    <s v="User Not Mapped"/>
    <n v="342606"/>
    <s v="Pradip Bir"/>
    <s v="Private Retailer"/>
    <s v="9153535388"/>
    <n v="9.99"/>
    <n v="25"/>
    <x v="4"/>
    <m/>
    <s v="2026-04-02"/>
    <s v="270129"/>
    <s v="Kalyan Kr. Nandi"/>
    <s v="8250914797"/>
  </r>
  <r>
    <s v="RCF Trombay"/>
    <s v="15-15-15"/>
    <s v="WB"/>
    <x v="15"/>
    <m/>
    <s v="User Not Mapped"/>
    <s v="User Not Mapped"/>
    <s v="User Not Mapped"/>
    <n v="342606"/>
    <s v="Pradip Bir"/>
    <s v="Private Retailer"/>
    <s v="9153535388"/>
    <n v="5"/>
    <n v="63"/>
    <x v="2"/>
    <m/>
    <s v="2026-02-23"/>
    <s v="270129"/>
    <s v="Kalyan Kr. Nandi"/>
    <s v="8250914797"/>
  </r>
  <r>
    <s v="RCF Trombay"/>
    <s v="N.C.Urea(45kg)"/>
    <s v="WB"/>
    <x v="15"/>
    <m/>
    <s v="User Not Mapped"/>
    <s v="User Not Mapped"/>
    <s v="User Not Mapped"/>
    <n v="342606"/>
    <s v="Pradip Bir"/>
    <s v="Private Retailer"/>
    <s v="9153535388"/>
    <n v="2.25"/>
    <n v="93"/>
    <x v="5"/>
    <m/>
    <s v="2026-01-24"/>
    <s v="270129"/>
    <s v="Kalyan Kr. Nandi"/>
    <s v="8250914797"/>
  </r>
  <r>
    <s v="RCF Trombay"/>
    <s v="15-15-15"/>
    <s v="WB"/>
    <x v="15"/>
    <m/>
    <s v="User Not Mapped"/>
    <s v="User Not Mapped"/>
    <s v="User Not Mapped"/>
    <n v="342606"/>
    <s v="Pradip Bir"/>
    <s v="Private Retailer"/>
    <s v="9153535388"/>
    <n v="5.3"/>
    <n v="93"/>
    <x v="5"/>
    <m/>
    <s v="2026-01-24"/>
    <s v="270129"/>
    <s v="Kalyan Kr. Nandi"/>
    <s v="8250914797"/>
  </r>
  <r>
    <s v="RCF Trombay"/>
    <s v="N.C.Urea(45kg)"/>
    <s v="WB"/>
    <x v="15"/>
    <m/>
    <s v="User Not Mapped"/>
    <s v="User Not Mapped"/>
    <s v="User Not Mapped"/>
    <n v="342606"/>
    <s v="Pradip Bir"/>
    <s v="Private Retailer"/>
    <s v="9153535388"/>
    <n v="4.9950000000000001"/>
    <n v="63"/>
    <x v="2"/>
    <m/>
    <s v="2026-02-23"/>
    <s v="270129"/>
    <s v="Kalyan Kr. Nandi"/>
    <s v="8250914797"/>
  </r>
  <r>
    <s v="RCF Trombay"/>
    <s v="N.C.Urea(45kg)"/>
    <s v="WB"/>
    <x v="15"/>
    <m/>
    <s v="User Not Mapped"/>
    <s v="User Not Mapped"/>
    <s v="User Not Mapped"/>
    <n v="342635"/>
    <s v="Prasanta Ghosh"/>
    <s v="Private Retailer"/>
    <s v="8101229222"/>
    <n v="4.0949999999999998"/>
    <n v="62"/>
    <x v="2"/>
    <m/>
    <s v="2026-02-24"/>
    <s v="259034"/>
    <s v="MS Guha And Co"/>
    <s v="8695359505"/>
  </r>
  <r>
    <s v="RCF Import"/>
    <s v="MOP"/>
    <s v="WB"/>
    <x v="15"/>
    <m/>
    <s v="User Not Mapped"/>
    <s v="User Not Mapped"/>
    <s v="User Not Mapped"/>
    <n v="342635"/>
    <s v="Prasanta Ghosh"/>
    <s v="Private Retailer"/>
    <s v="8101229222"/>
    <n v="5"/>
    <n v="54"/>
    <x v="1"/>
    <m/>
    <s v="2026-03-04"/>
    <s v="549643"/>
    <s v="M/S RATAN BISWAS"/>
    <s v="8617364808"/>
  </r>
  <r>
    <s v="RCF Trombay"/>
    <s v="15-15-15"/>
    <s v="WB"/>
    <x v="15"/>
    <m/>
    <s v="User Not Mapped"/>
    <s v="User Not Mapped"/>
    <s v="User Not Mapped"/>
    <n v="342635"/>
    <s v="Prasanta Ghosh"/>
    <s v="Private Retailer"/>
    <s v="8101229222"/>
    <n v="1.9"/>
    <n v="92"/>
    <x v="5"/>
    <m/>
    <s v="2026-01-25"/>
    <s v="281285"/>
    <s v="Bhabani Prosad Chattopadhy"/>
    <s v="7548026544"/>
  </r>
  <r>
    <s v="RCF Trombay"/>
    <s v="N.C.Urea(45kg)"/>
    <s v="WB"/>
    <x v="15"/>
    <m/>
    <s v="User Not Mapped"/>
    <s v="User Not Mapped"/>
    <s v="User Not Mapped"/>
    <n v="342654"/>
    <s v="Premchand Mahato"/>
    <s v="Private Retailer"/>
    <s v="9143570315"/>
    <n v="0.45"/>
    <n v="62"/>
    <x v="2"/>
    <m/>
    <s v="2026-02-24"/>
    <s v="260209"/>
    <s v="M/S SUNIL KUMAR SAHA       "/>
    <s v="9434110995"/>
  </r>
  <r>
    <s v="RCF Trombay"/>
    <s v="N.C.Urea(45kg)"/>
    <s v="WB"/>
    <x v="15"/>
    <m/>
    <s v="User Not Mapped"/>
    <s v="User Not Mapped"/>
    <s v="User Not Mapped"/>
    <n v="342654"/>
    <s v="Premchand Mahato"/>
    <s v="Private Retailer"/>
    <s v="9143570315"/>
    <n v="0.02"/>
    <n v="310"/>
    <x v="3"/>
    <m/>
    <s v="2025-06-21"/>
    <s v="260209"/>
    <s v="M/S SUNIL KUMAR SAHA       "/>
    <s v="9434110995"/>
  </r>
  <r>
    <s v="RCF Trombay"/>
    <s v="15-15-15"/>
    <s v="WB"/>
    <x v="15"/>
    <m/>
    <s v="User Not Mapped"/>
    <s v="User Not Mapped"/>
    <s v="User Not Mapped"/>
    <n v="342654"/>
    <s v="Premchand Mahato"/>
    <s v="Private Retailer"/>
    <s v="9143570315"/>
    <n v="0.05"/>
    <n v="235"/>
    <x v="3"/>
    <m/>
    <s v="2025-09-04"/>
    <s v="260209"/>
    <s v="M/S SUNIL KUMAR SAHA       "/>
    <s v="9434110995"/>
  </r>
  <r>
    <s v="RCF Trombay"/>
    <s v="N.C.Urea(45kg)"/>
    <s v="WB"/>
    <x v="15"/>
    <m/>
    <s v="User Not Mapped"/>
    <s v="User Not Mapped"/>
    <s v="User Not Mapped"/>
    <n v="342654"/>
    <s v="Premchand Mahato"/>
    <s v="Private Retailer"/>
    <s v="9143570315"/>
    <n v="1.8"/>
    <n v="91"/>
    <x v="5"/>
    <m/>
    <s v="2026-01-26"/>
    <s v="260209"/>
    <s v="M/S SUNIL KUMAR SAHA       "/>
    <s v="9434110995"/>
  </r>
  <r>
    <s v="RCF Trombay"/>
    <s v="15-15-15"/>
    <s v="WB"/>
    <x v="15"/>
    <m/>
    <s v="User Not Mapped"/>
    <s v="User Not Mapped"/>
    <s v="User Not Mapped"/>
    <n v="342666"/>
    <s v="Pradip Kumar Mitra"/>
    <s v="Private Retailer"/>
    <s v="9733825665"/>
    <n v="0.5"/>
    <n v="1139"/>
    <x v="7"/>
    <m/>
    <s v="2023-03-15"/>
    <s v="260210"/>
    <s v="Gouri Sankar Kundu            "/>
    <s v="9064539774"/>
  </r>
  <r>
    <s v="RCF Trombay"/>
    <s v="N.C.Urea(45kg)"/>
    <s v="WB"/>
    <x v="15"/>
    <m/>
    <s v="User Not Mapped"/>
    <s v="User Not Mapped"/>
    <s v="User Not Mapped"/>
    <n v="342666"/>
    <s v="Pradip Kumar Mitra"/>
    <s v="Private Retailer"/>
    <s v="9733825665"/>
    <n v="4.41"/>
    <n v="1153"/>
    <x v="7"/>
    <m/>
    <s v="2023-03-01"/>
    <s v="260179"/>
    <s v="Tarun Kumar Saha"/>
    <s v="8116312974"/>
  </r>
  <r>
    <s v="RCF Trombay"/>
    <s v="15-15-15"/>
    <s v="WB"/>
    <x v="15"/>
    <m/>
    <s v="User Not Mapped"/>
    <s v="User Not Mapped"/>
    <s v="User Not Mapped"/>
    <n v="342666"/>
    <s v="Pradip Kumar Mitra"/>
    <s v="Private Retailer"/>
    <s v="9733825665"/>
    <n v="0.45"/>
    <n v="1215"/>
    <x v="7"/>
    <m/>
    <s v="2022-12-29"/>
    <s v="260210"/>
    <s v="Gouri Sankar Kundu            "/>
    <s v="9064539774"/>
  </r>
  <r>
    <s v="RCF Thal"/>
    <s v="N.C.Urea(45kg)"/>
    <s v="WB"/>
    <x v="15"/>
    <m/>
    <s v="User Not Mapped"/>
    <s v="User Not Mapped"/>
    <s v="User Not Mapped"/>
    <n v="342669"/>
    <s v="Ratan Sadhukhan"/>
    <s v="Private Retailer"/>
    <s v="9932390429"/>
    <n v="4.3650000000000002"/>
    <n v="1164"/>
    <x v="7"/>
    <m/>
    <s v="2023-02-18"/>
    <s v="280729"/>
    <s v="M/s. Naresh Chandra Das"/>
    <s v="7365868045"/>
  </r>
  <r>
    <s v="RCF Trombay"/>
    <s v="15-15-15"/>
    <s v="WB"/>
    <x v="15"/>
    <m/>
    <s v="User Not Mapped"/>
    <s v="User Not Mapped"/>
    <s v="User Not Mapped"/>
    <n v="342669"/>
    <s v="Ratan Sadhukhan"/>
    <s v="Private Retailer"/>
    <s v="9932390429"/>
    <n v="0.1"/>
    <n v="1210"/>
    <x v="7"/>
    <m/>
    <s v="2023-01-03"/>
    <s v="1043444"/>
    <s v="UMA RANI SAHA"/>
    <s v="9775414001"/>
  </r>
  <r>
    <s v="RCF Trombay"/>
    <s v="N.C.Urea(45kg)"/>
    <s v="WB"/>
    <x v="15"/>
    <m/>
    <s v="User Not Mapped"/>
    <s v="User Not Mapped"/>
    <s v="User Not Mapped"/>
    <n v="342669"/>
    <s v="Ratan Sadhukhan"/>
    <s v="Private Retailer"/>
    <s v="9932390429"/>
    <n v="3.1949999999999998"/>
    <n v="1175"/>
    <x v="7"/>
    <m/>
    <s v="2023-02-07"/>
    <s v="1043444"/>
    <s v="UMA RANI SAHA"/>
    <s v="9775414001"/>
  </r>
  <r>
    <s v="RCF Trombay"/>
    <s v="N.C.Urea(45kg)"/>
    <s v="WB"/>
    <x v="15"/>
    <m/>
    <s v="User Not Mapped"/>
    <s v="User Not Mapped"/>
    <s v="User Not Mapped"/>
    <n v="342669"/>
    <s v="Ratan Sadhukhan"/>
    <s v="Private Retailer"/>
    <s v="9932390429"/>
    <n v="4.9950000000000001"/>
    <n v="1158"/>
    <x v="7"/>
    <m/>
    <s v="2023-02-24"/>
    <s v="269287"/>
    <s v="Gopal Krishna Kundu"/>
    <s v="9732644921"/>
  </r>
  <r>
    <s v="RCF Trombay"/>
    <s v="15-15-15"/>
    <s v="WB"/>
    <x v="15"/>
    <m/>
    <s v="User Not Mapped"/>
    <s v="User Not Mapped"/>
    <s v="User Not Mapped"/>
    <n v="342676"/>
    <s v="Uttam Kumar Biswas"/>
    <s v="Private Retailer"/>
    <s v="7797412654"/>
    <n v="2.5"/>
    <n v="2345"/>
    <x v="7"/>
    <m/>
    <s v="2019-11-25"/>
    <s v="260178"/>
    <s v="M/s. Uttamendu Sarkar"/>
    <s v="9002483836"/>
  </r>
  <r>
    <s v="RCF Import"/>
    <s v="MOP"/>
    <s v="WB"/>
    <x v="15"/>
    <m/>
    <s v="User Not Mapped"/>
    <s v="User Not Mapped"/>
    <s v="User Not Mapped"/>
    <n v="355173"/>
    <s v="Khalek  Mondal"/>
    <s v="Private Retailer"/>
    <s v="9883917663"/>
    <n v="2.5"/>
    <n v="62"/>
    <x v="2"/>
    <m/>
    <s v="2026-02-24"/>
    <s v="260177"/>
    <s v="SatyaRanjan Kundu and Brothers"/>
    <s v="7908186730"/>
  </r>
  <r>
    <s v="RCF Trombay"/>
    <s v="15-15-15"/>
    <s v="WB"/>
    <x v="15"/>
    <m/>
    <s v="User Not Mapped"/>
    <s v="User Not Mapped"/>
    <s v="User Not Mapped"/>
    <n v="355173"/>
    <s v="Khalek  Mondal"/>
    <s v="Private Retailer"/>
    <s v="9883917663"/>
    <n v="2.5"/>
    <n v="59"/>
    <x v="1"/>
    <m/>
    <s v="2026-02-27"/>
    <s v="260177"/>
    <s v="SatyaRanjan Kundu and Brothers"/>
    <s v="7908186730"/>
  </r>
  <r>
    <s v="RCF Thal"/>
    <s v="N.C.Urea(45kg)"/>
    <s v="WB"/>
    <x v="15"/>
    <m/>
    <s v="User Not Mapped"/>
    <s v="User Not Mapped"/>
    <s v="User Not Mapped"/>
    <n v="355173"/>
    <s v="Khalek  Mondal"/>
    <s v="Private Retailer"/>
    <s v="9883917663"/>
    <n v="0.13500000000000001"/>
    <n v="277"/>
    <x v="3"/>
    <m/>
    <s v="2025-07-24"/>
    <s v="260177"/>
    <s v="SatyaRanjan Kundu and Brothers"/>
    <s v="7908186730"/>
  </r>
  <r>
    <s v="RCF Trombay"/>
    <s v="N.C.Urea(45kg)"/>
    <s v="WB"/>
    <x v="15"/>
    <m/>
    <s v="User Not Mapped"/>
    <s v="User Not Mapped"/>
    <s v="User Not Mapped"/>
    <n v="355173"/>
    <s v="Khalek  Mondal"/>
    <s v="Private Retailer"/>
    <s v="9883917663"/>
    <n v="2.52"/>
    <n v="146"/>
    <x v="0"/>
    <m/>
    <s v="2025-12-02"/>
    <s v="260177"/>
    <s v="SatyaRanjan Kundu and Brothers"/>
    <s v="7908186730"/>
  </r>
  <r>
    <s v="RCF Trombay"/>
    <s v="N.C.Urea(45kg)"/>
    <s v="WB"/>
    <x v="15"/>
    <m/>
    <s v="User Not Mapped"/>
    <s v="User Not Mapped"/>
    <s v="User Not Mapped"/>
    <n v="355173"/>
    <s v="Khalek  Mondal"/>
    <s v="Private Retailer"/>
    <s v="9883917663"/>
    <n v="4.9950000000000001"/>
    <n v="175"/>
    <x v="0"/>
    <m/>
    <s v="2025-11-03"/>
    <s v="260177"/>
    <s v="SatyaRanjan Kundu and Brothers"/>
    <s v="7908186730"/>
  </r>
  <r>
    <s v="RCF Trombay"/>
    <s v="15-15-15"/>
    <s v="WB"/>
    <x v="15"/>
    <m/>
    <s v="User Not Mapped"/>
    <s v="User Not Mapped"/>
    <s v="User Not Mapped"/>
    <n v="355173"/>
    <s v="Khalek  Mondal"/>
    <s v="Private Retailer"/>
    <s v="9883917663"/>
    <n v="0.1"/>
    <n v="91"/>
    <x v="5"/>
    <m/>
    <s v="2026-01-26"/>
    <s v="260177"/>
    <s v="SatyaRanjan Kundu and Brothers"/>
    <s v="7908186730"/>
  </r>
  <r>
    <s v="RCF Trombay"/>
    <s v="N.C.Urea(45kg)"/>
    <s v="WB"/>
    <x v="15"/>
    <m/>
    <s v="User Not Mapped"/>
    <s v="User Not Mapped"/>
    <s v="User Not Mapped"/>
    <n v="355173"/>
    <s v="Khalek  Mondal"/>
    <s v="Private Retailer"/>
    <s v="9883917663"/>
    <n v="1.89"/>
    <n v="402"/>
    <x v="6"/>
    <m/>
    <s v="2025-03-21"/>
    <s v="260177"/>
    <s v="SatyaRanjan Kundu and Brothers"/>
    <s v="7908186730"/>
  </r>
  <r>
    <s v="RCF Import"/>
    <s v="MOP"/>
    <s v="WB"/>
    <x v="15"/>
    <m/>
    <s v="User Not Mapped"/>
    <s v="User Not Mapped"/>
    <s v="User Not Mapped"/>
    <n v="355326"/>
    <s v="Mandanmohanbiswas"/>
    <s v="Private Retailer"/>
    <s v="9734623998"/>
    <n v="0.35"/>
    <n v="457"/>
    <x v="6"/>
    <m/>
    <s v="2025-01-25"/>
    <s v="260202"/>
    <s v="MS S K DUTTA"/>
    <s v="9832802581"/>
  </r>
  <r>
    <s v="RCF Trombay"/>
    <s v="N.C.Urea(45kg)"/>
    <s v="WB"/>
    <x v="15"/>
    <m/>
    <s v="User Not Mapped"/>
    <s v="User Not Mapped"/>
    <s v="User Not Mapped"/>
    <n v="355326"/>
    <s v="Mandanmohanbiswas"/>
    <s v="Private Retailer"/>
    <s v="9734623998"/>
    <n v="7.0000000000000007E-2"/>
    <n v="457"/>
    <x v="6"/>
    <m/>
    <s v="2025-01-25"/>
    <s v="260202"/>
    <s v="MS S K DUTTA"/>
    <s v="9832802581"/>
  </r>
  <r>
    <s v="RCF Trombay"/>
    <s v="15-15-15"/>
    <s v="WB"/>
    <x v="15"/>
    <m/>
    <s v="User Not Mapped"/>
    <s v="User Not Mapped"/>
    <s v="User Not Mapped"/>
    <n v="355327"/>
    <s v="Mangalmay  Mondal"/>
    <s v="Private Retailer"/>
    <s v="9547788777"/>
    <n v="0.75"/>
    <n v="78"/>
    <x v="2"/>
    <m/>
    <s v="2026-02-08"/>
    <s v="260202"/>
    <s v="MS S K DUTTA"/>
    <s v="9832802581"/>
  </r>
  <r>
    <s v="RCF Trombay"/>
    <s v="15-15-15"/>
    <s v="WB"/>
    <x v="15"/>
    <m/>
    <s v="User Not Mapped"/>
    <s v="User Not Mapped"/>
    <s v="User Not Mapped"/>
    <n v="355327"/>
    <s v="Mangalmay  Mondal"/>
    <s v="Private Retailer"/>
    <s v="9547788777"/>
    <n v="0.25"/>
    <n v="63"/>
    <x v="2"/>
    <m/>
    <s v="2026-02-23"/>
    <s v="260202"/>
    <s v="MS S K DUTTA"/>
    <s v="9832802581"/>
  </r>
  <r>
    <s v="RCF Trombay"/>
    <s v="15-15-15"/>
    <s v="WB"/>
    <x v="15"/>
    <m/>
    <s v="User Not Mapped"/>
    <s v="User Not Mapped"/>
    <s v="User Not Mapped"/>
    <n v="355327"/>
    <s v="Mangalmay  Mondal"/>
    <s v="Private Retailer"/>
    <s v="9547788777"/>
    <n v="0.5"/>
    <n v="52"/>
    <x v="1"/>
    <m/>
    <s v="2026-03-06"/>
    <s v="260202"/>
    <s v="MS S K DUTTA"/>
    <s v="9832802581"/>
  </r>
  <r>
    <s v="RCF Trombay"/>
    <s v="15-15-15"/>
    <s v="WB"/>
    <x v="15"/>
    <m/>
    <s v="User Not Mapped"/>
    <s v="User Not Mapped"/>
    <s v="User Not Mapped"/>
    <n v="355327"/>
    <s v="Mangalmay  Mondal"/>
    <s v="Private Retailer"/>
    <s v="9547788777"/>
    <n v="0.9"/>
    <n v="91"/>
    <x v="5"/>
    <m/>
    <s v="2026-01-26"/>
    <s v="260202"/>
    <s v="MS S K DUTTA"/>
    <s v="9832802581"/>
  </r>
  <r>
    <s v="RCF Trombay"/>
    <s v="15-15-15"/>
    <s v="WB"/>
    <x v="15"/>
    <m/>
    <s v="User Not Mapped"/>
    <s v="User Not Mapped"/>
    <s v="User Not Mapped"/>
    <n v="355699"/>
    <s v="Montaz Alijahangir"/>
    <s v="Private Retailer"/>
    <s v="9153050137"/>
    <n v="0.25"/>
    <n v="235"/>
    <x v="3"/>
    <m/>
    <s v="2025-09-04"/>
    <s v="280729"/>
    <s v="M/s. Naresh Chandra Das"/>
    <s v="7365868045"/>
  </r>
  <r>
    <s v="RCF Import"/>
    <s v="MOP"/>
    <s v="WB"/>
    <x v="15"/>
    <m/>
    <s v="User Not Mapped"/>
    <s v="User Not Mapped"/>
    <s v="User Not Mapped"/>
    <n v="355755"/>
    <s v="Mullah Ali Mostaque"/>
    <s v="Private Retailer"/>
    <s v="9775047737"/>
    <n v="5"/>
    <n v="65"/>
    <x v="2"/>
    <m/>
    <s v="2026-02-21"/>
    <s v="260178"/>
    <s v="M/s. Uttamendu Sarkar"/>
    <s v="9002483836"/>
  </r>
  <r>
    <s v="RCF Thal"/>
    <s v="N.C.Urea(45kg)"/>
    <s v="WB"/>
    <x v="15"/>
    <m/>
    <s v="User Not Mapped"/>
    <s v="User Not Mapped"/>
    <s v="User Not Mapped"/>
    <n v="355755"/>
    <s v="Mullah Ali Mostaque"/>
    <s v="Private Retailer"/>
    <s v="9775047737"/>
    <n v="10.98"/>
    <n v="48"/>
    <x v="1"/>
    <m/>
    <s v="2026-03-10"/>
    <s v="259034"/>
    <s v="MS Guha And Co"/>
    <s v="8695359505"/>
  </r>
  <r>
    <s v="RCF Trombay"/>
    <s v="15-15-15"/>
    <s v="WB"/>
    <x v="15"/>
    <m/>
    <s v="User Not Mapped"/>
    <s v="User Not Mapped"/>
    <s v="User Not Mapped"/>
    <n v="355755"/>
    <s v="Mullah Ali Mostaque"/>
    <s v="Private Retailer"/>
    <s v="9775047737"/>
    <n v="0.5"/>
    <n v="132"/>
    <x v="0"/>
    <m/>
    <s v="2025-12-16"/>
    <s v="260178"/>
    <s v="M/s. Uttamendu Sarkar"/>
    <s v="9002483836"/>
  </r>
  <r>
    <s v="RCF Trombay"/>
    <s v="15-15-15"/>
    <s v="WB"/>
    <x v="15"/>
    <m/>
    <s v="User Not Mapped"/>
    <s v="User Not Mapped"/>
    <s v="User Not Mapped"/>
    <n v="355755"/>
    <s v="Mullah Ali Mostaque"/>
    <s v="Private Retailer"/>
    <s v="9775047737"/>
    <n v="1"/>
    <n v="90"/>
    <x v="2"/>
    <m/>
    <s v="2026-01-27"/>
    <s v="260178"/>
    <s v="M/s. Uttamendu Sarkar"/>
    <s v="9002483836"/>
  </r>
  <r>
    <s v="RCF Trombay"/>
    <s v="15-15-15"/>
    <s v="WB"/>
    <x v="15"/>
    <m/>
    <s v="User Not Mapped"/>
    <s v="User Not Mapped"/>
    <s v="User Not Mapped"/>
    <n v="355755"/>
    <s v="Mullah Ali Mostaque"/>
    <s v="Private Retailer"/>
    <s v="9775047737"/>
    <n v="5"/>
    <n v="62"/>
    <x v="2"/>
    <m/>
    <s v="2026-02-24"/>
    <s v="260178"/>
    <s v="M/s. Uttamendu Sarkar"/>
    <s v="9002483836"/>
  </r>
  <r>
    <s v="RCF Import"/>
    <s v="Imp 10-26-26"/>
    <s v="WB"/>
    <x v="15"/>
    <m/>
    <s v="User Not Mapped"/>
    <s v="User Not Mapped"/>
    <s v="User Not Mapped"/>
    <n v="355755"/>
    <s v="Mullah Ali Mostaque"/>
    <s v="Private Retailer"/>
    <s v="9775047737"/>
    <n v="1.5"/>
    <n v="214"/>
    <x v="3"/>
    <m/>
    <s v="2025-09-25"/>
    <s v="260178"/>
    <s v="M/s. Uttamendu Sarkar"/>
    <s v="9002483836"/>
  </r>
  <r>
    <s v="RCF Thal"/>
    <s v="N.C.Urea(45kg)"/>
    <s v="WB"/>
    <x v="15"/>
    <m/>
    <s v="User Not Mapped"/>
    <s v="User Not Mapped"/>
    <s v="User Not Mapped"/>
    <n v="355755"/>
    <s v="Mullah Ali Mostaque"/>
    <s v="Private Retailer"/>
    <s v="9775047737"/>
    <n v="10.98"/>
    <n v="48"/>
    <x v="1"/>
    <m/>
    <s v="2026-03-10"/>
    <s v="260178"/>
    <s v="M/s. Uttamendu Sarkar"/>
    <s v="9002483836"/>
  </r>
  <r>
    <s v="RCF Trombay"/>
    <s v="15-15-15"/>
    <s v="WB"/>
    <x v="15"/>
    <m/>
    <s v="User Not Mapped"/>
    <s v="User Not Mapped"/>
    <s v="User Not Mapped"/>
    <n v="385532"/>
    <s v="Amalendu Biswas"/>
    <s v="Private Retailer"/>
    <s v="9093436700"/>
    <n v="0.6"/>
    <n v="2307"/>
    <x v="7"/>
    <m/>
    <s v="2020-01-02"/>
    <s v="260178"/>
    <s v="M/s. Uttamendu Sarkar"/>
    <s v="9002483836"/>
  </r>
  <r>
    <s v="RCF Trombay"/>
    <s v="N.C.Urea(45kg)"/>
    <s v="WB"/>
    <x v="15"/>
    <m/>
    <s v="User Not Mapped"/>
    <s v="User Not Mapped"/>
    <s v="User Not Mapped"/>
    <n v="411576"/>
    <s v="Surat Ali Sk "/>
    <s v="Private Retailer"/>
    <s v="9775114865"/>
    <n v="0.315"/>
    <n v="1245"/>
    <x v="7"/>
    <m/>
    <s v="2022-11-29"/>
    <s v="259034"/>
    <s v="MS Guha And Co"/>
    <s v="8695359505"/>
  </r>
  <r>
    <s v="RCF Thal"/>
    <s v="N.C.Urea(45kg)"/>
    <s v="WB"/>
    <x v="15"/>
    <m/>
    <s v="User Not Mapped"/>
    <s v="User Not Mapped"/>
    <s v="User Not Mapped"/>
    <n v="412328"/>
    <s v="Sajedur Rahaman "/>
    <s v="Private Retailer"/>
    <s v="8293627727"/>
    <n v="2.3849999999999998"/>
    <n v="2072"/>
    <x v="7"/>
    <m/>
    <s v="2020-08-24"/>
    <s v="260201"/>
    <s v="Nayan Ranjan Dutta            "/>
    <s v="7063600433"/>
  </r>
  <r>
    <s v="RCF Trombay"/>
    <s v="15-15-15"/>
    <s v="WB"/>
    <x v="15"/>
    <m/>
    <s v="User Not Mapped"/>
    <s v="User Not Mapped"/>
    <s v="User Not Mapped"/>
    <n v="412384"/>
    <s v="Aminur Mondal "/>
    <s v="Private Retailer"/>
    <s v="9800554679"/>
    <n v="0.5"/>
    <n v="527"/>
    <x v="6"/>
    <m/>
    <s v="2024-11-16"/>
    <s v="260178"/>
    <s v="M/s. Uttamendu Sarkar"/>
    <s v="9002483836"/>
  </r>
  <r>
    <s v="RCF Trombay"/>
    <s v="N.C.Urea(45kg)"/>
    <s v="WB"/>
    <x v="15"/>
    <m/>
    <s v="User Not Mapped"/>
    <s v="User Not Mapped"/>
    <s v="User Not Mapped"/>
    <n v="413568"/>
    <s v="Mayarani Fertilizers"/>
    <s v="Private Retailer"/>
    <s v="9733882437"/>
    <n v="3.69"/>
    <n v="60"/>
    <x v="1"/>
    <m/>
    <s v="2026-02-26"/>
    <s v="260177"/>
    <s v="SatyaRanjan Kundu and Brothers"/>
    <s v="7908186730"/>
  </r>
  <r>
    <s v="RCF Import"/>
    <s v="MOP"/>
    <s v="WB"/>
    <x v="15"/>
    <m/>
    <s v="User Not Mapped"/>
    <s v="User Not Mapped"/>
    <s v="User Not Mapped"/>
    <n v="413568"/>
    <s v="Mayarani Fertilizers"/>
    <s v="Private Retailer"/>
    <s v="9733882437"/>
    <n v="5"/>
    <n v="7"/>
    <x v="4"/>
    <m/>
    <s v="2026-04-20"/>
    <s v="270129"/>
    <s v="Kalyan Kr. Nandi"/>
    <s v="8250914797"/>
  </r>
  <r>
    <s v="RCF Thal"/>
    <s v="N.C.Urea(45kg)"/>
    <s v="WB"/>
    <x v="15"/>
    <m/>
    <s v="User Not Mapped"/>
    <s v="User Not Mapped"/>
    <s v="User Not Mapped"/>
    <n v="413568"/>
    <s v="Mayarani Fertilizers"/>
    <s v="Private Retailer"/>
    <s v="9733882437"/>
    <n v="14.625"/>
    <n v="25"/>
    <x v="4"/>
    <m/>
    <s v="2026-04-02"/>
    <s v="270129"/>
    <s v="Kalyan Kr. Nandi"/>
    <s v="8250914797"/>
  </r>
  <r>
    <s v="RCF Trombay"/>
    <s v="15-15-15"/>
    <s v="WB"/>
    <x v="15"/>
    <m/>
    <s v="User Not Mapped"/>
    <s v="User Not Mapped"/>
    <s v="User Not Mapped"/>
    <n v="413646"/>
    <s v="Rabindra Nath Biswas"/>
    <s v="Private Retailer"/>
    <s v="9547170515"/>
    <n v="0.4"/>
    <n v="2514"/>
    <x v="7"/>
    <m/>
    <s v="2019-06-09"/>
    <s v="260202"/>
    <s v="MS S K DUTTA"/>
    <s v="9832802581"/>
  </r>
  <r>
    <s v="RCF Trombay"/>
    <s v="N.C.Urea(45kg)"/>
    <s v="WB"/>
    <x v="15"/>
    <m/>
    <s v="User Not Mapped"/>
    <s v="User Not Mapped"/>
    <s v="User Not Mapped"/>
    <n v="413646"/>
    <s v="Rabindra Nath Biswas"/>
    <s v="Private Retailer"/>
    <s v="9547170515"/>
    <n v="0.45"/>
    <n v="2486"/>
    <x v="7"/>
    <m/>
    <s v="2019-07-07"/>
    <s v="260202"/>
    <s v="MS S K DUTTA"/>
    <s v="9832802581"/>
  </r>
  <r>
    <s v="RCF Trombay"/>
    <s v="15-15-15"/>
    <s v="WB"/>
    <x v="15"/>
    <m/>
    <s v="User Not Mapped"/>
    <s v="User Not Mapped"/>
    <s v="User Not Mapped"/>
    <n v="438888"/>
    <s v="Sri Narayan Chandra Biswas"/>
    <s v="Private Retailer"/>
    <s v="9732939797"/>
    <n v="0.15"/>
    <n v="1416"/>
    <x v="7"/>
    <m/>
    <s v="2022-06-11"/>
    <s v="268776"/>
    <s v="Chandra Kanta Das"/>
    <s v="9830307100"/>
  </r>
  <r>
    <s v="RCF Trombay"/>
    <s v="N.C.Urea(45kg)"/>
    <s v="WB"/>
    <x v="15"/>
    <m/>
    <s v="User Not Mapped"/>
    <s v="User Not Mapped"/>
    <s v="User Not Mapped"/>
    <n v="438888"/>
    <s v="Sri Narayan Chandra Biswas"/>
    <s v="Private Retailer"/>
    <s v="9732939797"/>
    <n v="0.02"/>
    <n v="1538"/>
    <x v="7"/>
    <m/>
    <s v="2022-02-09"/>
    <s v="268776"/>
    <s v="Chandra Kanta Das"/>
    <s v="9830307100"/>
  </r>
  <r>
    <s v="RCF Trombay"/>
    <s v="15-15-15"/>
    <s v="WB"/>
    <x v="15"/>
    <m/>
    <s v="User Not Mapped"/>
    <s v="User Not Mapped"/>
    <s v="User Not Mapped"/>
    <n v="439004"/>
    <s v="Lili Fertilizer"/>
    <s v="Private Retailer"/>
    <s v="9002030699"/>
    <n v="0.15"/>
    <n v="1721"/>
    <x v="7"/>
    <m/>
    <s v="2021-08-10"/>
    <s v="260178"/>
    <s v="M/s. Uttamendu Sarkar"/>
    <s v="9002483836"/>
  </r>
  <r>
    <s v="RCF Trombay"/>
    <s v="15-15-15"/>
    <s v="WB"/>
    <x v="15"/>
    <m/>
    <s v="User Not Mapped"/>
    <s v="User Not Mapped"/>
    <s v="User Not Mapped"/>
    <n v="439030"/>
    <s v="M/S Sajahan Mondal"/>
    <s v="Private Retailer"/>
    <s v="9734864879"/>
    <n v="5.75"/>
    <n v="2448"/>
    <x v="7"/>
    <m/>
    <s v="2019-08-14"/>
    <s v="260178"/>
    <s v="M/s. Uttamendu Sarkar"/>
    <s v="9002483836"/>
  </r>
  <r>
    <s v="RCF Trombay"/>
    <s v="15-15-15"/>
    <s v="WB"/>
    <x v="15"/>
    <m/>
    <s v="User Not Mapped"/>
    <s v="User Not Mapped"/>
    <s v="User Not Mapped"/>
    <n v="440558"/>
    <s v="Rafikul Mondal"/>
    <s v="Private Retailer"/>
    <s v="8101278103"/>
    <n v="1.7999999999999999E-2"/>
    <n v="1882"/>
    <x v="7"/>
    <m/>
    <s v="2021-03-02"/>
    <s v="260184"/>
    <s v="Bimal Kumar Kundu"/>
    <s v="9732685190"/>
  </r>
  <r>
    <s v="RCF Trombay"/>
    <s v="15-15-15"/>
    <s v="WB"/>
    <x v="15"/>
    <m/>
    <s v="User Not Mapped"/>
    <s v="User Not Mapped"/>
    <s v="User Not Mapped"/>
    <n v="440596"/>
    <s v="M/S MONDAL FERTILIZER"/>
    <s v="Private Retailer"/>
    <s v="9851918680"/>
    <n v="0.35"/>
    <n v="2673"/>
    <x v="7"/>
    <m/>
    <s v="2019-01-01"/>
    <s v="11"/>
    <s v="Too Old Stock"/>
    <m/>
  </r>
  <r>
    <s v="RCF Trombay"/>
    <s v="15-15-15"/>
    <s v="WB"/>
    <x v="15"/>
    <m/>
    <s v="User Not Mapped"/>
    <s v="User Not Mapped"/>
    <s v="User Not Mapped"/>
    <n v="440730"/>
    <s v="Jatin Biswas"/>
    <s v="Private Retailer"/>
    <s v="8798144535"/>
    <n v="0.25"/>
    <n v="926"/>
    <x v="7"/>
    <m/>
    <s v="2023-10-14"/>
    <s v="280729"/>
    <s v="M/s. Naresh Chandra Das"/>
    <s v="7365868045"/>
  </r>
  <r>
    <s v="RCF Trombay"/>
    <s v="15-15-15"/>
    <s v="WB"/>
    <x v="15"/>
    <m/>
    <s v="User Not Mapped"/>
    <s v="User Not Mapped"/>
    <s v="User Not Mapped"/>
    <n v="440977"/>
    <s v="Netai Modak"/>
    <s v="Private Retailer"/>
    <s v="9333252622"/>
    <n v="0.35"/>
    <n v="2358"/>
    <x v="7"/>
    <m/>
    <s v="2019-11-12"/>
    <s v="280729"/>
    <s v="M/s. Naresh Chandra Das"/>
    <s v="7365868045"/>
  </r>
  <r>
    <s v="RCF Trombay"/>
    <s v="N.C.Urea(45kg)"/>
    <s v="WB"/>
    <x v="15"/>
    <m/>
    <s v="User Not Mapped"/>
    <s v="User Not Mapped"/>
    <s v="User Not Mapped"/>
    <n v="441449"/>
    <s v="Das Fertilizer"/>
    <s v="Private Retailer"/>
    <s v="9046124106"/>
    <n v="3.5000000000000003E-2"/>
    <n v="2417"/>
    <x v="7"/>
    <m/>
    <s v="2019-09-14"/>
    <s v="260185"/>
    <s v="Faroj Ali Shaikh"/>
    <s v="7797070086"/>
  </r>
  <r>
    <s v="RCF Trombay"/>
    <s v="15-15-15"/>
    <s v="WB"/>
    <x v="15"/>
    <m/>
    <s v="User Not Mapped"/>
    <s v="User Not Mapped"/>
    <s v="User Not Mapped"/>
    <n v="464414"/>
    <s v="Gurucharan Das"/>
    <s v="Private Retailer"/>
    <s v="9153244592"/>
    <n v="0.5"/>
    <n v="2204"/>
    <x v="7"/>
    <m/>
    <s v="2020-04-14"/>
    <s v="260178"/>
    <s v="M/s. Uttamendu Sarkar"/>
    <s v="9002483836"/>
  </r>
  <r>
    <s v="RCF Trombay"/>
    <s v="N.C.Urea(45kg)"/>
    <s v="WB"/>
    <x v="15"/>
    <m/>
    <s v="User Not Mapped"/>
    <s v="User Not Mapped"/>
    <s v="User Not Mapped"/>
    <n v="468317"/>
    <s v="Haider Ali Biswas"/>
    <s v="Private Retailer"/>
    <s v="9734312743"/>
    <n v="1.125"/>
    <n v="1315"/>
    <x v="7"/>
    <m/>
    <s v="2022-09-20"/>
    <s v="260202"/>
    <s v="MS S K DUTTA"/>
    <s v="9832802581"/>
  </r>
  <r>
    <s v="RCF Trombay"/>
    <s v="N.C.Urea(45kg)"/>
    <s v="WB"/>
    <x v="15"/>
    <m/>
    <s v="User Not Mapped"/>
    <s v="User Not Mapped"/>
    <s v="User Not Mapped"/>
    <n v="470908"/>
    <s v="MONDAL FEHTILIZEH"/>
    <s v="Private Retailer"/>
    <s v="9064300814"/>
    <n v="8.4600000000000009"/>
    <n v="397"/>
    <x v="6"/>
    <m/>
    <s v="2025-03-26"/>
    <s v="280729"/>
    <s v="M/s. Naresh Chandra Das"/>
    <s v="7365868045"/>
  </r>
  <r>
    <s v="RCF Trombay"/>
    <s v="15-15-15"/>
    <s v="WB"/>
    <x v="15"/>
    <m/>
    <s v="User Not Mapped"/>
    <s v="User Not Mapped"/>
    <s v="User Not Mapped"/>
    <n v="471787"/>
    <s v="Keshob Saha"/>
    <s v="Private Retailer"/>
    <s v="8617836550"/>
    <n v="0.75"/>
    <n v="1150"/>
    <x v="7"/>
    <m/>
    <s v="2023-03-04"/>
    <s v="1258420"/>
    <s v="M.A.C COMPANY"/>
    <s v="9433152053"/>
  </r>
  <r>
    <s v="RCF Trombay"/>
    <s v="15-15-15"/>
    <s v="WB"/>
    <x v="15"/>
    <m/>
    <s v="User Not Mapped"/>
    <s v="User Not Mapped"/>
    <s v="User Not Mapped"/>
    <n v="471787"/>
    <s v="Keshob Saha"/>
    <s v="Private Retailer"/>
    <s v="8617836550"/>
    <n v="5"/>
    <n v="1094"/>
    <x v="7"/>
    <m/>
    <s v="2023-04-29"/>
    <s v="270129"/>
    <s v="Kalyan Kr. Nandi"/>
    <s v="8250914797"/>
  </r>
  <r>
    <s v="RCF Thal"/>
    <s v="N.C.Urea(45kg)"/>
    <s v="WB"/>
    <x v="15"/>
    <m/>
    <s v="User Not Mapped"/>
    <s v="User Not Mapped"/>
    <s v="User Not Mapped"/>
    <n v="479039"/>
    <s v="Partha Mallick"/>
    <s v="Private Retailer"/>
    <s v="9933146754"/>
    <n v="2.0699999999999998"/>
    <n v="276"/>
    <x v="3"/>
    <m/>
    <s v="2025-07-25"/>
    <s v="260177"/>
    <s v="SatyaRanjan Kundu and Brothers"/>
    <s v="7908186730"/>
  </r>
  <r>
    <s v="RCF Trombay"/>
    <s v="15-15-15"/>
    <s v="WB"/>
    <x v="15"/>
    <m/>
    <s v="User Not Mapped"/>
    <s v="User Not Mapped"/>
    <s v="User Not Mapped"/>
    <n v="482582"/>
    <s v="Moloy Garai"/>
    <s v="Private Retailer"/>
    <s v="9475032580"/>
    <n v="5"/>
    <n v="2588"/>
    <x v="7"/>
    <m/>
    <s v="2019-03-27"/>
    <s v="260177"/>
    <s v="SatyaRanjan Kundu and Brothers"/>
    <s v="7908186730"/>
  </r>
  <r>
    <s v="RCF Trombay"/>
    <s v="15-15-15"/>
    <s v="WB"/>
    <x v="15"/>
    <m/>
    <s v="User Not Mapped"/>
    <s v="User Not Mapped"/>
    <s v="User Not Mapped"/>
    <n v="482582"/>
    <s v="Moloy Garai"/>
    <s v="Private Retailer"/>
    <s v="9475032580"/>
    <n v="2.25"/>
    <n v="2673"/>
    <x v="7"/>
    <m/>
    <s v="2019-01-01"/>
    <s v="11"/>
    <s v="Too Old Stock"/>
    <m/>
  </r>
  <r>
    <s v="RCF Trombay"/>
    <s v="N.C.Urea(45kg)"/>
    <s v="WB"/>
    <x v="15"/>
    <m/>
    <s v="User Not Mapped"/>
    <s v="User Not Mapped"/>
    <s v="User Not Mapped"/>
    <n v="482582"/>
    <s v="Moloy Garai"/>
    <s v="Private Retailer"/>
    <s v="9475032580"/>
    <n v="3.5000000000000003E-2"/>
    <n v="2673"/>
    <x v="7"/>
    <m/>
    <s v="2019-01-01"/>
    <s v="11"/>
    <s v="Too Old Stock"/>
    <m/>
  </r>
  <r>
    <s v="RCF Trombay"/>
    <s v="15-15-15"/>
    <s v="WB"/>
    <x v="15"/>
    <m/>
    <s v="User Not Mapped"/>
    <s v="User Not Mapped"/>
    <s v="User Not Mapped"/>
    <n v="487586"/>
    <s v="M/S S S Fertilizers"/>
    <s v="Private Retailer"/>
    <s v="8001981998"/>
    <n v="0.32400000000000001"/>
    <n v="1892"/>
    <x v="7"/>
    <m/>
    <s v="2021-02-20"/>
    <s v="260209"/>
    <s v="M/S SUNIL KUMAR SAHA       "/>
    <s v="9434110995"/>
  </r>
  <r>
    <s v="RCF Trombay"/>
    <s v="15-15-15"/>
    <s v="WB"/>
    <x v="15"/>
    <m/>
    <s v="User Not Mapped"/>
    <s v="User Not Mapped"/>
    <s v="User Not Mapped"/>
    <n v="487598"/>
    <s v="Sudip Kr Das"/>
    <s v="Private Retailer"/>
    <s v="7557858885"/>
    <n v="1.5"/>
    <n v="2424"/>
    <x v="7"/>
    <m/>
    <s v="2019-09-07"/>
    <s v="441419"/>
    <s v="M/S Namita Chanda"/>
    <s v="9775677020"/>
  </r>
  <r>
    <s v="RCF Trombay"/>
    <s v="15-15-15"/>
    <s v="WB"/>
    <x v="15"/>
    <m/>
    <s v="User Not Mapped"/>
    <s v="User Not Mapped"/>
    <s v="User Not Mapped"/>
    <n v="487598"/>
    <s v="Sudip Kr Das"/>
    <s v="Private Retailer"/>
    <s v="7557858885"/>
    <n v="0.92"/>
    <n v="2486"/>
    <x v="7"/>
    <m/>
    <s v="2019-07-07"/>
    <s v="441419"/>
    <s v="M/S Namita Chanda"/>
    <s v="9775677020"/>
  </r>
  <r>
    <s v="RCF Trombay"/>
    <s v="N.C.Urea(45kg)"/>
    <s v="WB"/>
    <x v="15"/>
    <m/>
    <s v="User Not Mapped"/>
    <s v="User Not Mapped"/>
    <s v="User Not Mapped"/>
    <n v="487598"/>
    <s v="Sudip Kr Das"/>
    <s v="Private Retailer"/>
    <s v="7557858885"/>
    <n v="4.68"/>
    <n v="2461"/>
    <x v="7"/>
    <m/>
    <s v="2019-08-01"/>
    <s v="260209"/>
    <s v="M/S SUNIL KUMAR SAHA       "/>
    <s v="9434110995"/>
  </r>
  <r>
    <s v="RCF Thal"/>
    <s v="N.C.Urea(45kg)"/>
    <s v="WB"/>
    <x v="15"/>
    <m/>
    <s v="User Not Mapped"/>
    <s v="User Not Mapped"/>
    <s v="User Not Mapped"/>
    <n v="492853"/>
    <s v="Shital Prasad Ghosh"/>
    <s v="Private Retailer"/>
    <s v="8116120085"/>
    <n v="4.13"/>
    <n v="353"/>
    <x v="3"/>
    <m/>
    <s v="2025-05-09"/>
    <s v="280729"/>
    <s v="M/s. Naresh Chandra Das"/>
    <s v="7365868045"/>
  </r>
  <r>
    <s v="RCF Trombay"/>
    <s v="N.C.Urea(45kg)"/>
    <s v="WB"/>
    <x v="15"/>
    <m/>
    <s v="User Not Mapped"/>
    <s v="User Not Mapped"/>
    <s v="User Not Mapped"/>
    <n v="492853"/>
    <s v="Shital Prasad Ghosh"/>
    <s v="Private Retailer"/>
    <s v="8116120085"/>
    <n v="7.6150000000000002"/>
    <n v="353"/>
    <x v="3"/>
    <m/>
    <s v="2025-05-09"/>
    <s v="280729"/>
    <s v="M/s. Naresh Chandra Das"/>
    <s v="7365868045"/>
  </r>
  <r>
    <s v="RCF Thal"/>
    <s v="N.C.Urea(45kg)"/>
    <s v="WB"/>
    <x v="15"/>
    <m/>
    <s v="User Not Mapped"/>
    <s v="User Not Mapped"/>
    <s v="User Not Mapped"/>
    <n v="492853"/>
    <s v="Shital Prasad Ghosh"/>
    <s v="Private Retailer"/>
    <s v="8116120085"/>
    <n v="2.2949999999999999"/>
    <n v="459"/>
    <x v="6"/>
    <m/>
    <s v="2025-01-23"/>
    <s v="260177"/>
    <s v="SatyaRanjan Kundu and Brothers"/>
    <s v="7908186730"/>
  </r>
  <r>
    <s v="RCF Trombay"/>
    <s v="N.C.Urea(45kg)"/>
    <s v="WB"/>
    <x v="15"/>
    <m/>
    <s v="User Not Mapped"/>
    <s v="User Not Mapped"/>
    <s v="User Not Mapped"/>
    <n v="592048"/>
    <s v="SHAMBHU CHANDRA MANDAL"/>
    <s v="Private Retailer"/>
    <s v="8972735246"/>
    <n v="0.76500000000000001"/>
    <n v="2673"/>
    <x v="7"/>
    <m/>
    <s v="2019-01-01"/>
    <s v="11"/>
    <s v="Too Old Stock"/>
    <m/>
  </r>
  <r>
    <s v="RCF Trombay"/>
    <s v="15-15-15"/>
    <s v="WB"/>
    <x v="15"/>
    <m/>
    <s v="User Not Mapped"/>
    <s v="User Not Mapped"/>
    <s v="User Not Mapped"/>
    <n v="592182"/>
    <s v="MONDAL FERTILISER"/>
    <s v="Private Retailer"/>
    <s v="7076066705"/>
    <n v="1"/>
    <n v="2044"/>
    <x v="7"/>
    <m/>
    <s v="2020-09-21"/>
    <s v="389660"/>
    <s v="Sirajuddin Biswas"/>
    <s v="8641979947"/>
  </r>
  <r>
    <s v="RCF Trombay"/>
    <s v="N.C.Urea(45kg)"/>
    <s v="WB"/>
    <x v="15"/>
    <m/>
    <s v="User Not Mapped"/>
    <s v="User Not Mapped"/>
    <s v="User Not Mapped"/>
    <n v="593322"/>
    <s v="MUNSHI ABUL HASSAN"/>
    <s v="Private Retailer"/>
    <s v="9775859034"/>
    <n v="2.25"/>
    <n v="1922"/>
    <x v="7"/>
    <m/>
    <s v="2021-01-21"/>
    <s v="260185"/>
    <s v="Faroj Ali Shaikh"/>
    <s v="7797070086"/>
  </r>
  <r>
    <s v="RCF Trombay"/>
    <s v="15-15-15"/>
    <s v="WB"/>
    <x v="15"/>
    <m/>
    <s v="User Not Mapped"/>
    <s v="User Not Mapped"/>
    <s v="User Not Mapped"/>
    <n v="593322"/>
    <s v="MUNSHI ABUL HASSAN"/>
    <s v="Private Retailer"/>
    <s v="9775859034"/>
    <n v="5"/>
    <n v="1268"/>
    <x v="7"/>
    <m/>
    <s v="2022-11-06"/>
    <s v="260185"/>
    <s v="Faroj Ali Shaikh"/>
    <s v="7797070086"/>
  </r>
  <r>
    <s v="RCF Trombay"/>
    <s v="15-15-15"/>
    <s v="WB"/>
    <x v="15"/>
    <m/>
    <s v="User Not Mapped"/>
    <s v="User Not Mapped"/>
    <s v="User Not Mapped"/>
    <n v="593322"/>
    <s v="MUNSHI ABUL HASSAN"/>
    <s v="Private Retailer"/>
    <s v="9775859034"/>
    <n v="1.7"/>
    <n v="1720"/>
    <x v="7"/>
    <m/>
    <s v="2021-08-11"/>
    <s v="269287"/>
    <s v="Gopal Krishna Kundu"/>
    <s v="9732644921"/>
  </r>
  <r>
    <s v="RCF Trombay"/>
    <s v="15-15-15"/>
    <s v="WB"/>
    <x v="15"/>
    <m/>
    <s v="User Not Mapped"/>
    <s v="User Not Mapped"/>
    <s v="User Not Mapped"/>
    <n v="610274"/>
    <s v="LATIKA MITRA DEY"/>
    <s v="Private Retailer"/>
    <s v="9733710378"/>
    <n v="5.15"/>
    <n v="2673"/>
    <x v="7"/>
    <m/>
    <s v="2019-01-01"/>
    <s v="11"/>
    <s v="Too Old Stock"/>
    <m/>
  </r>
  <r>
    <s v="RCF Thal"/>
    <s v="N.C.Urea(45kg)"/>
    <s v="WB"/>
    <x v="15"/>
    <m/>
    <s v="User Not Mapped"/>
    <s v="User Not Mapped"/>
    <s v="User Not Mapped"/>
    <n v="620260"/>
    <s v="BIJOY KRISHNA SEN"/>
    <s v="Private Retailer"/>
    <s v="9635048566"/>
    <n v="0.18"/>
    <n v="1890"/>
    <x v="7"/>
    <m/>
    <s v="2021-02-22"/>
    <s v="549643"/>
    <s v="M/S RATAN BISWAS"/>
    <s v="8617364808"/>
  </r>
  <r>
    <s v="RCF Trombay"/>
    <s v="15-15-15"/>
    <s v="WB"/>
    <x v="15"/>
    <m/>
    <s v="User Not Mapped"/>
    <s v="User Not Mapped"/>
    <s v="User Not Mapped"/>
    <n v="620260"/>
    <s v="BIJOY KRISHNA SEN"/>
    <s v="Private Retailer"/>
    <s v="9635048566"/>
    <n v="0.6"/>
    <n v="1959"/>
    <x v="7"/>
    <m/>
    <s v="2020-12-15"/>
    <s v="549643"/>
    <s v="M/S RATAN BISWAS"/>
    <s v="8617364808"/>
  </r>
  <r>
    <s v="RCF Trombay"/>
    <s v="15-15-15"/>
    <s v="WB"/>
    <x v="15"/>
    <m/>
    <s v="User Not Mapped"/>
    <s v="User Not Mapped"/>
    <s v="User Not Mapped"/>
    <n v="637417"/>
    <s v="Maa Tara Krishi Bhander"/>
    <s v="Private Retailer"/>
    <s v="9932649458"/>
    <n v="0.22500000000000001"/>
    <n v="2561"/>
    <x v="7"/>
    <m/>
    <s v="2019-04-23"/>
    <s v="260211"/>
    <s v="M/s. Jaiswal Enterprise "/>
    <s v="8116105006"/>
  </r>
  <r>
    <s v="RCF Trombay"/>
    <s v="15-15-15"/>
    <s v="WB"/>
    <x v="15"/>
    <m/>
    <s v="User Not Mapped"/>
    <s v="User Not Mapped"/>
    <s v="User Not Mapped"/>
    <n v="706160"/>
    <s v="SADDAM DHABAK"/>
    <s v="Private Retailer"/>
    <s v="8670774962"/>
    <n v="0.29899999999999999"/>
    <n v="2673"/>
    <x v="7"/>
    <m/>
    <s v="2019-01-01"/>
    <s v="11"/>
    <s v="Too Old Stock"/>
    <m/>
  </r>
  <r>
    <s v="RCF Trombay"/>
    <s v="N.C.Urea(45kg)"/>
    <s v="WB"/>
    <x v="15"/>
    <m/>
    <s v="User Not Mapped"/>
    <s v="User Not Mapped"/>
    <s v="User Not Mapped"/>
    <n v="741294"/>
    <s v="NURJEL SEKH"/>
    <s v="Private Retailer"/>
    <s v="9474676017"/>
    <n v="0.28999999999999998"/>
    <n v="1864"/>
    <x v="7"/>
    <m/>
    <s v="2021-03-20"/>
    <s v="441405"/>
    <s v="New Taraknath Beeze Bhender"/>
    <s v="9641540108"/>
  </r>
  <r>
    <s v="RCF Trombay"/>
    <s v="15-15-15"/>
    <s v="WB"/>
    <x v="15"/>
    <m/>
    <s v="User Not Mapped"/>
    <s v="User Not Mapped"/>
    <s v="User Not Mapped"/>
    <n v="741294"/>
    <s v="NURJEL SEKH"/>
    <s v="Private Retailer"/>
    <s v="9474676017"/>
    <n v="0.01"/>
    <n v="1878"/>
    <x v="7"/>
    <m/>
    <s v="2021-03-06"/>
    <s v="441405"/>
    <s v="New Taraknath Beeze Bhender"/>
    <s v="9641540108"/>
  </r>
  <r>
    <s v="RCF Trombay"/>
    <s v="15-15-15"/>
    <s v="WB"/>
    <x v="15"/>
    <m/>
    <s v="User Not Mapped"/>
    <s v="User Not Mapped"/>
    <s v="User Not Mapped"/>
    <n v="741300"/>
    <s v="MA KOMOLA KRISHI BHANDAR"/>
    <s v="Private Retailer"/>
    <s v="9679715417"/>
    <n v="0.3"/>
    <n v="2673"/>
    <x v="7"/>
    <m/>
    <s v="2019-01-01"/>
    <s v="11"/>
    <s v="Too Old Stock"/>
    <m/>
  </r>
  <r>
    <s v="RCF Trombay"/>
    <s v="N.C.Urea(45kg)"/>
    <s v="WB"/>
    <x v="15"/>
    <m/>
    <s v="User Not Mapped"/>
    <s v="User Not Mapped"/>
    <s v="User Not Mapped"/>
    <n v="839560"/>
    <s v="NIRMAL KUMAR PAUL"/>
    <s v="Private Retailer"/>
    <s v="9647355727"/>
    <n v="0.22500000000000001"/>
    <n v="1825"/>
    <x v="7"/>
    <m/>
    <s v="2021-04-28"/>
    <s v="260210"/>
    <s v="Gouri Sankar Kundu            "/>
    <s v="9064539774"/>
  </r>
  <r>
    <s v="RCF Trombay"/>
    <s v="N.C.Urea(45kg)"/>
    <s v="WB"/>
    <x v="15"/>
    <m/>
    <s v="User Not Mapped"/>
    <s v="User Not Mapped"/>
    <s v="User Not Mapped"/>
    <n v="839560"/>
    <s v="NIRMAL KUMAR PAUL"/>
    <s v="Private Retailer"/>
    <s v="9647355727"/>
    <n v="5.5E-2"/>
    <n v="1846"/>
    <x v="7"/>
    <m/>
    <s v="2021-04-07"/>
    <s v="342685"/>
    <s v="Bipul Sarkar"/>
    <s v="8536068296"/>
  </r>
  <r>
    <s v="RCF Trombay"/>
    <s v="15-15-15"/>
    <s v="WB"/>
    <x v="15"/>
    <m/>
    <s v="User Not Mapped"/>
    <s v="User Not Mapped"/>
    <s v="User Not Mapped"/>
    <n v="855719"/>
    <s v="RADHA RANI MODAK"/>
    <s v="Private Retailer"/>
    <s v="8509822995"/>
    <n v="0.49"/>
    <n v="2296"/>
    <x v="7"/>
    <m/>
    <s v="2020-01-13"/>
    <s v="668026"/>
    <s v="CHIRANJIT DAS"/>
    <s v="7501332793"/>
  </r>
  <r>
    <s v="RCF Thal"/>
    <s v="N.C.Urea(45kg)"/>
    <s v="WB"/>
    <x v="15"/>
    <m/>
    <s v="User Not Mapped"/>
    <s v="User Not Mapped"/>
    <s v="User Not Mapped"/>
    <n v="896732"/>
    <s v="HAFIZUR RAHAMAN"/>
    <s v="Private Retailer"/>
    <s v="7029160149"/>
    <n v="0.36"/>
    <n v="2238"/>
    <x v="7"/>
    <m/>
    <s v="2020-03-11"/>
    <s v="441019"/>
    <s v="Sudhansu Chatterjee"/>
    <s v="9733489231"/>
  </r>
  <r>
    <s v="RCF Trombay"/>
    <s v="N.C.Urea(45kg)"/>
    <s v="WB"/>
    <x v="15"/>
    <m/>
    <s v="User Not Mapped"/>
    <s v="User Not Mapped"/>
    <s v="User Not Mapped"/>
    <n v="896836"/>
    <s v="M/s MATRI FERTILIZER"/>
    <s v="Private Retailer"/>
    <s v="7432042510"/>
    <n v="5.0000000000000001E-3"/>
    <n v="2124"/>
    <x v="7"/>
    <m/>
    <s v="2020-07-03"/>
    <s v="1036429"/>
    <s v="MONDAL FERTILIZERS"/>
    <s v="8617088579"/>
  </r>
  <r>
    <s v="RCF Trombay"/>
    <s v="N.C.Urea(45kg)"/>
    <s v="WB"/>
    <x v="15"/>
    <m/>
    <s v="User Not Mapped"/>
    <s v="User Not Mapped"/>
    <s v="User Not Mapped"/>
    <n v="916428"/>
    <s v="PARTHA SARATHI ROY"/>
    <s v="Private Retailer"/>
    <s v="9933678543"/>
    <n v="0.3"/>
    <n v="2673"/>
    <x v="7"/>
    <m/>
    <s v="2019-01-01"/>
    <s v="11"/>
    <s v="Too Old Stock"/>
    <m/>
  </r>
  <r>
    <s v="RCF Trombay"/>
    <s v="N.C.Urea(45kg)"/>
    <s v="WB"/>
    <x v="15"/>
    <m/>
    <s v="User Not Mapped"/>
    <s v="User Not Mapped"/>
    <s v="User Not Mapped"/>
    <n v="919912"/>
    <s v="GHOSH FARTILIZER "/>
    <s v="Private Retailer"/>
    <s v="9932743535"/>
    <n v="0.9"/>
    <n v="1911"/>
    <x v="7"/>
    <m/>
    <s v="2021-02-01"/>
    <s v="755099"/>
    <s v="BWOWMICK TRADERS"/>
    <s v="9734838585"/>
  </r>
  <r>
    <s v="RCF Trombay"/>
    <s v="15-15-15"/>
    <s v="WB"/>
    <x v="15"/>
    <m/>
    <s v="User Not Mapped"/>
    <s v="User Not Mapped"/>
    <s v="User Not Mapped"/>
    <n v="919912"/>
    <s v="GHOSH FARTILIZER "/>
    <s v="Private Retailer"/>
    <s v="9932743535"/>
    <n v="1.25"/>
    <n v="2673"/>
    <x v="7"/>
    <m/>
    <s v="2019-01-01"/>
    <s v="11"/>
    <s v="Too Old Stock"/>
    <m/>
  </r>
  <r>
    <s v="RCF Trombay"/>
    <s v="N.C.Urea(45kg)"/>
    <s v="WB"/>
    <x v="15"/>
    <m/>
    <s v="User Not Mapped"/>
    <s v="User Not Mapped"/>
    <s v="User Not Mapped"/>
    <n v="919912"/>
    <s v="GHOSH FARTILIZER "/>
    <s v="Private Retailer"/>
    <s v="9932743535"/>
    <n v="0.76500000000000001"/>
    <n v="2673"/>
    <x v="7"/>
    <m/>
    <s v="2019-01-01"/>
    <s v="11"/>
    <s v="Too Old Stock"/>
    <m/>
  </r>
  <r>
    <s v="RCF Trombay"/>
    <s v="15-15-15"/>
    <s v="WB"/>
    <x v="15"/>
    <m/>
    <s v="User Not Mapped"/>
    <s v="User Not Mapped"/>
    <s v="User Not Mapped"/>
    <n v="933565"/>
    <s v="SADHAN KUMAR GHOSH"/>
    <s v="Private Retailer"/>
    <s v="9475605703"/>
    <n v="0.1"/>
    <n v="2586"/>
    <x v="7"/>
    <m/>
    <s v="2019-03-29"/>
    <s v="892991"/>
    <s v="TAPAS KUMAR SADHUKHAN"/>
    <s v="9749807346"/>
  </r>
  <r>
    <s v="RCF Thal"/>
    <s v="N.C.Urea(45kg)"/>
    <s v="WB"/>
    <x v="15"/>
    <m/>
    <s v="User Not Mapped"/>
    <s v="User Not Mapped"/>
    <s v="User Not Mapped"/>
    <n v="935308"/>
    <s v="Kishan Super Agrochem"/>
    <s v="Private Retailer"/>
    <s v="9775156237"/>
    <n v="0.495"/>
    <n v="2612"/>
    <x v="7"/>
    <m/>
    <s v="2019-03-03"/>
    <s v="412012"/>
    <s v="UDAY SARKAR"/>
    <s v="9732905092"/>
  </r>
  <r>
    <s v="RCF Trombay"/>
    <s v="15-15-15"/>
    <s v="WB"/>
    <x v="15"/>
    <m/>
    <s v="User Not Mapped"/>
    <s v="User Not Mapped"/>
    <s v="User Not Mapped"/>
    <n v="938172"/>
    <s v="HARA GOPAL RAY"/>
    <s v="Private Retailer"/>
    <s v="7384088074"/>
    <n v="3"/>
    <n v="1216"/>
    <x v="7"/>
    <m/>
    <s v="2022-12-28"/>
    <s v="260179"/>
    <s v="Tarun Kumar Saha"/>
    <s v="8116312974"/>
  </r>
  <r>
    <s v="RCF Trombay"/>
    <s v="15-15-15"/>
    <s v="WB"/>
    <x v="15"/>
    <m/>
    <s v="User Not Mapped"/>
    <s v="User Not Mapped"/>
    <s v="User Not Mapped"/>
    <n v="938172"/>
    <s v="HARA GOPAL RAY"/>
    <s v="Private Retailer"/>
    <s v="7384088074"/>
    <n v="1"/>
    <n v="1721"/>
    <x v="7"/>
    <m/>
    <s v="2021-08-10"/>
    <s v="259034"/>
    <s v="MS Guha And Co"/>
    <s v="8695359505"/>
  </r>
  <r>
    <s v="RCF Trombay"/>
    <s v="15-15-15"/>
    <s v="WB"/>
    <x v="15"/>
    <m/>
    <s v="User Not Mapped"/>
    <s v="User Not Mapped"/>
    <s v="User Not Mapped"/>
    <n v="941941"/>
    <s v="SARIYAT MONDAL"/>
    <s v="Private Retailer"/>
    <s v="9144452203"/>
    <n v="0.25"/>
    <n v="1576"/>
    <x v="7"/>
    <m/>
    <s v="2022-01-02"/>
    <s v="260210"/>
    <s v="Gouri Sankar Kundu            "/>
    <s v="9064539774"/>
  </r>
  <r>
    <s v="RCF Trombay"/>
    <s v="15-15-15"/>
    <s v="WB"/>
    <x v="15"/>
    <m/>
    <s v="User Not Mapped"/>
    <s v="User Not Mapped"/>
    <s v="User Not Mapped"/>
    <n v="941941"/>
    <s v="SARIYAT MONDAL"/>
    <s v="Private Retailer"/>
    <s v="9144452203"/>
    <n v="0.05"/>
    <n v="1637"/>
    <x v="7"/>
    <m/>
    <s v="2021-11-02"/>
    <s v="260210"/>
    <s v="Gouri Sankar Kundu            "/>
    <s v="9064539774"/>
  </r>
  <r>
    <s v="RCF Trombay"/>
    <s v="15-15-15"/>
    <s v="WB"/>
    <x v="15"/>
    <m/>
    <s v="User Not Mapped"/>
    <s v="User Not Mapped"/>
    <s v="User Not Mapped"/>
    <n v="941941"/>
    <s v="SARIYAT MONDAL"/>
    <s v="Private Retailer"/>
    <s v="9144452203"/>
    <n v="0.5"/>
    <n v="1488"/>
    <x v="7"/>
    <m/>
    <s v="2022-03-31"/>
    <s v="260210"/>
    <s v="Gouri Sankar Kundu            "/>
    <s v="9064539774"/>
  </r>
  <r>
    <s v="RCF Trombay"/>
    <s v="15-15-15"/>
    <s v="WB"/>
    <x v="15"/>
    <m/>
    <s v="User Not Mapped"/>
    <s v="User Not Mapped"/>
    <s v="User Not Mapped"/>
    <n v="943316"/>
    <s v="UNNAYAN "/>
    <s v="Private Retailer"/>
    <s v="9333658415"/>
    <n v="1.75"/>
    <n v="1177"/>
    <x v="7"/>
    <m/>
    <s v="2023-02-05"/>
    <s v="281285"/>
    <s v="Bhabani Prosad Chattopadhy"/>
    <s v="7548026544"/>
  </r>
  <r>
    <s v="RCF Trombay"/>
    <s v="15-15-15"/>
    <s v="WB"/>
    <x v="15"/>
    <m/>
    <s v="User Not Mapped"/>
    <s v="User Not Mapped"/>
    <s v="User Not Mapped"/>
    <n v="943328"/>
    <s v="SUNITA PAUL"/>
    <s v="Private Retailer"/>
    <s v="9733032957"/>
    <n v="0.08"/>
    <n v="2673"/>
    <x v="7"/>
    <m/>
    <s v="2019-01-01"/>
    <s v="11"/>
    <s v="Too Old Stock"/>
    <m/>
  </r>
  <r>
    <s v="RCF Thal"/>
    <s v="N.C.Urea(45kg)"/>
    <s v="WB"/>
    <x v="15"/>
    <m/>
    <s v="User Not Mapped"/>
    <s v="User Not Mapped"/>
    <s v="User Not Mapped"/>
    <n v="944066"/>
    <s v="SALAM MONDAL"/>
    <s v="Private Retailer"/>
    <s v="8145090203"/>
    <n v="0.35499999999999998"/>
    <n v="1981"/>
    <x v="7"/>
    <m/>
    <s v="2020-11-23"/>
    <s v="260209"/>
    <s v="M/S SUNIL KUMAR SAHA       "/>
    <s v="9434110995"/>
  </r>
  <r>
    <s v="RCF Trombay"/>
    <s v="N.C.Urea(45kg)"/>
    <s v="WB"/>
    <x v="15"/>
    <m/>
    <s v="User Not Mapped"/>
    <s v="User Not Mapped"/>
    <s v="User Not Mapped"/>
    <n v="1015802"/>
    <s v="SARAFAT ALI SK"/>
    <s v="Private Retailer"/>
    <s v="8240553372"/>
    <n v="1.89"/>
    <n v="1242"/>
    <x v="7"/>
    <m/>
    <s v="2022-12-02"/>
    <s v="260177"/>
    <s v="SatyaRanjan Kundu and Brothers"/>
    <s v="7908186730"/>
  </r>
  <r>
    <s v="RCF Thal"/>
    <s v="N.C.Urea(45kg)"/>
    <s v="WB"/>
    <x v="15"/>
    <m/>
    <s v="User Not Mapped"/>
    <s v="User Not Mapped"/>
    <s v="User Not Mapped"/>
    <n v="1015802"/>
    <s v="SARAFAT ALI SK"/>
    <s v="Private Retailer"/>
    <s v="8240553372"/>
    <n v="1.17"/>
    <n v="1249"/>
    <x v="7"/>
    <m/>
    <s v="2022-11-25"/>
    <s v="280729"/>
    <s v="M/s. Naresh Chandra Das"/>
    <s v="7365868045"/>
  </r>
  <r>
    <s v="RCF Trombay"/>
    <s v="N.C.Urea(45kg)"/>
    <s v="WB"/>
    <x v="15"/>
    <m/>
    <s v="User Not Mapped"/>
    <s v="User Not Mapped"/>
    <s v="User Not Mapped"/>
    <n v="1015802"/>
    <s v="SARAFAT ALI SK"/>
    <s v="Private Retailer"/>
    <s v="8240553372"/>
    <n v="6.6150000000000002"/>
    <n v="1175"/>
    <x v="7"/>
    <m/>
    <s v="2023-02-07"/>
    <s v="260177"/>
    <s v="SatyaRanjan Kundu and Brothers"/>
    <s v="7908186730"/>
  </r>
  <r>
    <s v="RCF Trombay"/>
    <s v="15-15-15"/>
    <s v="WB"/>
    <x v="15"/>
    <m/>
    <s v="User Not Mapped"/>
    <s v="User Not Mapped"/>
    <s v="User Not Mapped"/>
    <n v="1032578"/>
    <s v="RAKIBUL HAQUE"/>
    <s v="Private Retailer"/>
    <s v="9564724839"/>
    <n v="0.14499999999999999"/>
    <n v="2591"/>
    <x v="7"/>
    <m/>
    <s v="2019-03-24"/>
    <s v="281285"/>
    <s v="Bhabani Prosad Chattopadhy"/>
    <s v="7548026544"/>
  </r>
  <r>
    <s v="RCF Trombay"/>
    <s v="N.C.Urea(45kg)"/>
    <s v="WB"/>
    <x v="15"/>
    <m/>
    <s v="User Not Mapped"/>
    <s v="User Not Mapped"/>
    <s v="User Not Mapped"/>
    <n v="1032578"/>
    <s v="RAKIBUL HAQUE"/>
    <s v="Private Retailer"/>
    <s v="9564724839"/>
    <n v="0.35499999999999998"/>
    <n v="2591"/>
    <x v="7"/>
    <m/>
    <s v="2019-03-24"/>
    <s v="281285"/>
    <s v="Bhabani Prosad Chattopadhy"/>
    <s v="7548026544"/>
  </r>
  <r>
    <s v="RCF Thal"/>
    <s v="N.C.Urea(45kg)"/>
    <s v="WB"/>
    <x v="15"/>
    <m/>
    <s v="User Not Mapped"/>
    <s v="User Not Mapped"/>
    <s v="User Not Mapped"/>
    <n v="1061902"/>
    <s v="ANANDA KUMAR BISWAS"/>
    <s v="Private Retailer"/>
    <s v="9735624788"/>
    <n v="2.7"/>
    <n v="1197"/>
    <x v="7"/>
    <m/>
    <s v="2023-01-16"/>
    <s v="268776"/>
    <s v="Chandra Kanta Das"/>
    <s v="9830307100"/>
  </r>
  <r>
    <s v="RCF Trombay"/>
    <s v="15-15-15"/>
    <s v="WB"/>
    <x v="15"/>
    <m/>
    <s v="User Not Mapped"/>
    <s v="User Not Mapped"/>
    <s v="User Not Mapped"/>
    <n v="1061902"/>
    <s v="ANANDA KUMAR BISWAS"/>
    <s v="Private Retailer"/>
    <s v="9735624788"/>
    <n v="2.0499999999999998"/>
    <n v="1152"/>
    <x v="7"/>
    <m/>
    <s v="2023-03-02"/>
    <s v="280729"/>
    <s v="M/s. Naresh Chandra Das"/>
    <s v="7365868045"/>
  </r>
  <r>
    <s v="RCF Thal"/>
    <s v="N.C.Urea(45kg)"/>
    <s v="WB"/>
    <x v="15"/>
    <m/>
    <s v="User Not Mapped"/>
    <s v="User Not Mapped"/>
    <s v="User Not Mapped"/>
    <n v="1061950"/>
    <s v="TENTUL CHANDRA GHOSH"/>
    <s v="Private Retailer"/>
    <s v="9933122210"/>
    <n v="8.7999999999999995E-2"/>
    <n v="2450"/>
    <x v="7"/>
    <m/>
    <s v="2019-08-12"/>
    <s v="260177"/>
    <s v="SatyaRanjan Kundu and Brothers"/>
    <s v="7908186730"/>
  </r>
  <r>
    <s v="RCF Trombay"/>
    <s v="15-15-15"/>
    <s v="WB"/>
    <x v="15"/>
    <m/>
    <s v="User Not Mapped"/>
    <s v="User Not Mapped"/>
    <s v="User Not Mapped"/>
    <n v="1061950"/>
    <s v="TENTUL CHANDRA GHOSH"/>
    <s v="Private Retailer"/>
    <s v="9933122210"/>
    <n v="1.7649999999999999"/>
    <n v="2450"/>
    <x v="7"/>
    <m/>
    <s v="2019-08-12"/>
    <s v="260177"/>
    <s v="SatyaRanjan Kundu and Brothers"/>
    <s v="7908186730"/>
  </r>
  <r>
    <s v="RCF Trombay"/>
    <s v="15-15-15"/>
    <s v="WB"/>
    <x v="15"/>
    <m/>
    <s v="User Not Mapped"/>
    <s v="User Not Mapped"/>
    <s v="User Not Mapped"/>
    <n v="1061986"/>
    <s v="SUVANKAR KARMAKAR"/>
    <s v="Private Retailer"/>
    <s v="9647395833"/>
    <n v="0.2"/>
    <n v="2016"/>
    <x v="7"/>
    <m/>
    <s v="2020-10-19"/>
    <s v="260178"/>
    <s v="M/s. Uttamendu Sarkar"/>
    <s v="9002483836"/>
  </r>
  <r>
    <s v="RCF Trombay"/>
    <s v="N.C.Urea(45kg)"/>
    <s v="WB"/>
    <x v="15"/>
    <m/>
    <s v="User Not Mapped"/>
    <s v="User Not Mapped"/>
    <s v="User Not Mapped"/>
    <n v="1061986"/>
    <s v="SUVANKAR KARMAKAR"/>
    <s v="Private Retailer"/>
    <s v="9647395833"/>
    <n v="4.59"/>
    <n v="2021"/>
    <x v="7"/>
    <m/>
    <s v="2020-10-14"/>
    <s v="260178"/>
    <s v="M/s. Uttamendu Sarkar"/>
    <s v="9002483836"/>
  </r>
  <r>
    <s v="RCF Trombay"/>
    <s v="N.C.Urea(45kg)"/>
    <s v="WB"/>
    <x v="15"/>
    <m/>
    <s v="User Not Mapped"/>
    <s v="User Not Mapped"/>
    <s v="User Not Mapped"/>
    <n v="1062015"/>
    <s v="NARU GOPAL BISWAS"/>
    <s v="Private Retailer"/>
    <s v="9732419513"/>
    <n v="1.125"/>
    <n v="1426"/>
    <x v="7"/>
    <m/>
    <s v="2022-06-01"/>
    <s v="280729"/>
    <s v="M/s. Naresh Chandra Das"/>
    <s v="7365868045"/>
  </r>
  <r>
    <s v="RCF Trombay"/>
    <s v="N.C.Urea(45kg)"/>
    <s v="WB"/>
    <x v="15"/>
    <m/>
    <s v="User Not Mapped"/>
    <s v="User Not Mapped"/>
    <s v="User Not Mapped"/>
    <n v="1062015"/>
    <s v="NARU GOPAL BISWAS"/>
    <s v="Private Retailer"/>
    <s v="9732419513"/>
    <n v="1.9350000000000001"/>
    <n v="1430"/>
    <x v="7"/>
    <m/>
    <s v="2022-05-28"/>
    <s v="260179"/>
    <s v="Tarun Kumar Saha"/>
    <s v="8116312974"/>
  </r>
  <r>
    <s v="RCF Trombay"/>
    <s v="15-15-15"/>
    <s v="WB"/>
    <x v="15"/>
    <m/>
    <s v="User Not Mapped"/>
    <s v="User Not Mapped"/>
    <s v="User Not Mapped"/>
    <n v="1062015"/>
    <s v="NARU GOPAL BISWAS"/>
    <s v="Private Retailer"/>
    <s v="9732419513"/>
    <n v="0.75"/>
    <n v="1243"/>
    <x v="7"/>
    <m/>
    <s v="2022-12-01"/>
    <s v="1258420"/>
    <s v="M.A.C COMPANY"/>
    <s v="9433152053"/>
  </r>
  <r>
    <s v="RCF Thal"/>
    <s v="N.C.Urea(45kg)"/>
    <s v="WB"/>
    <x v="15"/>
    <m/>
    <s v="User Not Mapped"/>
    <s v="User Not Mapped"/>
    <s v="User Not Mapped"/>
    <n v="1062015"/>
    <s v="NARU GOPAL BISWAS"/>
    <s v="Private Retailer"/>
    <s v="9732419513"/>
    <n v="3.78"/>
    <n v="1248"/>
    <x v="7"/>
    <m/>
    <s v="2022-11-26"/>
    <s v="280729"/>
    <s v="M/s. Naresh Chandra Das"/>
    <s v="7365868045"/>
  </r>
  <r>
    <s v="RCF Trombay"/>
    <s v="N.C.Urea(45kg)"/>
    <s v="WB"/>
    <x v="15"/>
    <m/>
    <s v="User Not Mapped"/>
    <s v="User Not Mapped"/>
    <s v="User Not Mapped"/>
    <n v="1062023"/>
    <s v="HARI CHARAN SADHUKHAN"/>
    <s v="Private Retailer"/>
    <s v="8513808902"/>
    <n v="0.85"/>
    <n v="1171"/>
    <x v="7"/>
    <m/>
    <s v="2023-02-11"/>
    <s v="260209"/>
    <s v="M/S SUNIL KUMAR SAHA       "/>
    <s v="9434110995"/>
  </r>
  <r>
    <s v="RCF Thal"/>
    <s v="N.C.Urea(45kg)"/>
    <s v="WB"/>
    <x v="15"/>
    <m/>
    <s v="User Not Mapped"/>
    <s v="User Not Mapped"/>
    <s v="User Not Mapped"/>
    <n v="1062023"/>
    <s v="HARI CHARAN SADHUKHAN"/>
    <s v="Private Retailer"/>
    <s v="8513808902"/>
    <n v="0.68"/>
    <n v="1907"/>
    <x v="7"/>
    <m/>
    <s v="2021-02-05"/>
    <s v="260210"/>
    <s v="Gouri Sankar Kundu            "/>
    <s v="9064539774"/>
  </r>
  <r>
    <s v="RCF Trombay"/>
    <s v="N.C.Urea(45kg)"/>
    <s v="WB"/>
    <x v="15"/>
    <m/>
    <s v="User Not Mapped"/>
    <s v="User Not Mapped"/>
    <s v="User Not Mapped"/>
    <n v="1062066"/>
    <s v="NIRMAL KUMAR BISWAS"/>
    <s v="Private Retailer"/>
    <s v="8116120085"/>
    <n v="1.665"/>
    <n v="1178"/>
    <x v="7"/>
    <m/>
    <s v="2023-02-04"/>
    <s v="259034"/>
    <s v="MS Guha And Co"/>
    <s v="8695359505"/>
  </r>
  <r>
    <s v="RCF Trombay"/>
    <s v="N.C.Urea(45kg)"/>
    <s v="WB"/>
    <x v="15"/>
    <m/>
    <s v="User Not Mapped"/>
    <s v="User Not Mapped"/>
    <s v="User Not Mapped"/>
    <n v="1062187"/>
    <s v="RATAN KUMAR MANDAL"/>
    <s v="Private Retailer"/>
    <s v="9734390947"/>
    <n v="0.125"/>
    <n v="2172"/>
    <x v="7"/>
    <m/>
    <s v="2020-05-16"/>
    <s v="1036427"/>
    <s v="PINAKI SAHA"/>
    <s v="9641671766"/>
  </r>
  <r>
    <s v="RCF Trombay"/>
    <s v="15-15-15"/>
    <s v="WB"/>
    <x v="15"/>
    <m/>
    <s v="User Not Mapped"/>
    <s v="User Not Mapped"/>
    <s v="User Not Mapped"/>
    <n v="1062209"/>
    <s v="MUKUL KANTI SIKDAR"/>
    <s v="Private Retailer"/>
    <s v="9734215365"/>
    <n v="0.15"/>
    <n v="2367"/>
    <x v="7"/>
    <m/>
    <s v="2019-11-03"/>
    <s v="497602"/>
    <s v="Sudhir Sikdar"/>
    <s v="9474732860"/>
  </r>
  <r>
    <s v="RCF Trombay"/>
    <s v="N.C.Urea(45kg)"/>
    <s v="WB"/>
    <x v="15"/>
    <m/>
    <s v="User Not Mapped"/>
    <s v="User Not Mapped"/>
    <s v="User Not Mapped"/>
    <n v="1062209"/>
    <s v="MUKUL KANTI SIKDAR"/>
    <s v="Private Retailer"/>
    <s v="9734215365"/>
    <n v="1.35"/>
    <n v="2557"/>
    <x v="7"/>
    <m/>
    <s v="2019-04-27"/>
    <s v="342264"/>
    <s v="Nabin Chandra Das"/>
    <s v="7908608939"/>
  </r>
  <r>
    <s v="RCF Trombay"/>
    <s v="15-15-15"/>
    <s v="WB"/>
    <x v="15"/>
    <m/>
    <s v="User Not Mapped"/>
    <s v="User Not Mapped"/>
    <s v="User Not Mapped"/>
    <n v="1062302"/>
    <s v="SUBHAS CHANDRA DAS"/>
    <s v="Private Retailer"/>
    <s v="9734088794"/>
    <n v="2"/>
    <n v="941"/>
    <x v="7"/>
    <m/>
    <s v="2023-09-29"/>
    <s v="342772"/>
    <s v="Subir Kumar Biswas"/>
    <s v="9932631270"/>
  </r>
  <r>
    <s v="RCF Thal"/>
    <s v="N.C.Urea(45kg)"/>
    <s v="WB"/>
    <x v="15"/>
    <m/>
    <s v="User Not Mapped"/>
    <s v="User Not Mapped"/>
    <s v="User Not Mapped"/>
    <n v="1062306"/>
    <s v="RAFIKUL MALITHA"/>
    <s v="Private Retailer"/>
    <s v="8767459888"/>
    <n v="9.18"/>
    <n v="396"/>
    <x v="6"/>
    <m/>
    <s v="2025-03-27"/>
    <s v="280729"/>
    <s v="M/s. Naresh Chandra Das"/>
    <s v="7365868045"/>
  </r>
  <r>
    <s v="RCF Trombay"/>
    <s v="N.C.Urea(45kg)"/>
    <s v="WB"/>
    <x v="15"/>
    <m/>
    <s v="User Not Mapped"/>
    <s v="User Not Mapped"/>
    <s v="User Not Mapped"/>
    <n v="1062360"/>
    <s v="RANJIT KUMAR SARKAR"/>
    <s v="Private Retailer"/>
    <s v="9733320492"/>
    <n v="0.45"/>
    <n v="2241"/>
    <x v="7"/>
    <m/>
    <s v="2020-03-08"/>
    <s v="497602"/>
    <s v="Sudhir Sikdar"/>
    <s v="9474732860"/>
  </r>
  <r>
    <s v="RCF Trombay"/>
    <s v="15-15-15"/>
    <s v="WB"/>
    <x v="15"/>
    <m/>
    <s v="User Not Mapped"/>
    <s v="User Not Mapped"/>
    <s v="User Not Mapped"/>
    <n v="1062360"/>
    <s v="RANJIT KUMAR SARKAR"/>
    <s v="Private Retailer"/>
    <s v="9733320492"/>
    <n v="0.75"/>
    <n v="2277"/>
    <x v="7"/>
    <m/>
    <s v="2020-02-01"/>
    <s v="497602"/>
    <s v="Sudhir Sikdar"/>
    <s v="9474732860"/>
  </r>
  <r>
    <s v="RCF Trombay"/>
    <s v="15-15-15"/>
    <s v="WB"/>
    <x v="15"/>
    <m/>
    <s v="User Not Mapped"/>
    <s v="User Not Mapped"/>
    <s v="User Not Mapped"/>
    <n v="1062428"/>
    <s v="SADHAN KUMAR DEY"/>
    <s v="Private Retailer"/>
    <s v="8768161783"/>
    <n v="0.05"/>
    <n v="2191"/>
    <x v="7"/>
    <m/>
    <s v="2020-04-27"/>
    <s v="497602"/>
    <s v="Sudhir Sikdar"/>
    <s v="9474732860"/>
  </r>
  <r>
    <s v="RCF Trombay"/>
    <s v="15-15-15"/>
    <s v="WB"/>
    <x v="15"/>
    <m/>
    <s v="User Not Mapped"/>
    <s v="User Not Mapped"/>
    <s v="User Not Mapped"/>
    <n v="1062428"/>
    <s v="SADHAN KUMAR DEY"/>
    <s v="Private Retailer"/>
    <s v="8768161783"/>
    <n v="0.25"/>
    <n v="2079"/>
    <x v="7"/>
    <m/>
    <s v="2020-08-17"/>
    <s v="497602"/>
    <s v="Sudhir Sikdar"/>
    <s v="9474732860"/>
  </r>
  <r>
    <s v="RCF Trombay"/>
    <s v="15-15-15"/>
    <s v="WB"/>
    <x v="15"/>
    <m/>
    <s v="User Not Mapped"/>
    <s v="User Not Mapped"/>
    <s v="User Not Mapped"/>
    <n v="1062691"/>
    <s v="SHIB SANKAR BISWAS"/>
    <s v="Private Retailer"/>
    <s v="8768247536"/>
    <n v="0.1"/>
    <n v="2545"/>
    <x v="7"/>
    <m/>
    <s v="2019-05-09"/>
    <s v="497602"/>
    <s v="Sudhir Sikdar"/>
    <s v="9474732860"/>
  </r>
  <r>
    <s v="RCF Trombay"/>
    <s v="N.C.Urea(45kg)"/>
    <s v="WB"/>
    <x v="15"/>
    <m/>
    <s v="User Not Mapped"/>
    <s v="User Not Mapped"/>
    <s v="User Not Mapped"/>
    <n v="1062931"/>
    <s v="BOKKOR BISWAS "/>
    <s v="Private Retailer"/>
    <s v="7551014576"/>
    <n v="1.97"/>
    <n v="1200"/>
    <x v="7"/>
    <m/>
    <s v="2023-01-13"/>
    <s v="280729"/>
    <s v="M/s. Naresh Chandra Das"/>
    <s v="7365868045"/>
  </r>
  <r>
    <s v="RCF Trombay"/>
    <s v="15-15-15"/>
    <s v="WB"/>
    <x v="15"/>
    <m/>
    <s v="User Not Mapped"/>
    <s v="User Not Mapped"/>
    <s v="User Not Mapped"/>
    <n v="1063030"/>
    <s v="ABDUL MALEK MONDAL"/>
    <s v="Private Retailer"/>
    <s v="9547032070"/>
    <n v="0.3"/>
    <n v="2304"/>
    <x v="7"/>
    <m/>
    <s v="2020-01-05"/>
    <s v="901232"/>
    <s v="MALLICK FERTILIZER"/>
    <s v="7001329763"/>
  </r>
  <r>
    <s v="RCF Trombay"/>
    <s v="15-15-15"/>
    <s v="WB"/>
    <x v="15"/>
    <m/>
    <s v="User Not Mapped"/>
    <s v="User Not Mapped"/>
    <s v="User Not Mapped"/>
    <n v="1063030"/>
    <s v="ABDUL MALEK MONDAL"/>
    <s v="Private Retailer"/>
    <s v="9547032070"/>
    <n v="0.25"/>
    <n v="2213"/>
    <x v="7"/>
    <m/>
    <s v="2020-04-05"/>
    <s v="260202"/>
    <s v="MS S K DUTTA"/>
    <s v="9832802581"/>
  </r>
  <r>
    <s v="RCF Trombay"/>
    <s v="N.C.Urea(45kg)"/>
    <s v="WB"/>
    <x v="15"/>
    <m/>
    <s v="User Not Mapped"/>
    <s v="User Not Mapped"/>
    <s v="User Not Mapped"/>
    <n v="1063030"/>
    <s v="ABDUL MALEK MONDAL"/>
    <s v="Private Retailer"/>
    <s v="9547032070"/>
    <n v="0.9"/>
    <n v="2189"/>
    <x v="7"/>
    <m/>
    <s v="2020-04-29"/>
    <s v="901232"/>
    <s v="MALLICK FERTILIZER"/>
    <s v="7001329763"/>
  </r>
  <r>
    <s v="RCF Thal"/>
    <s v="N.C.Urea(45kg)"/>
    <s v="WB"/>
    <x v="15"/>
    <m/>
    <s v="User Not Mapped"/>
    <s v="User Not Mapped"/>
    <s v="User Not Mapped"/>
    <n v="1063058"/>
    <s v="GOPAL FERTILIZER"/>
    <s v="Private Retailer"/>
    <s v="8116986309"/>
    <n v="2.835"/>
    <n v="1199"/>
    <x v="7"/>
    <m/>
    <s v="2023-01-14"/>
    <s v="280729"/>
    <s v="M/s. Naresh Chandra Das"/>
    <s v="7365868045"/>
  </r>
  <r>
    <s v="RCF Trombay"/>
    <s v="N.C.Urea(45kg)"/>
    <s v="WB"/>
    <x v="15"/>
    <m/>
    <s v="User Not Mapped"/>
    <s v="User Not Mapped"/>
    <s v="User Not Mapped"/>
    <n v="1063096"/>
    <s v="NUR FERTILIZER "/>
    <s v="Private Retailer"/>
    <s v="9547052034"/>
    <n v="0.03"/>
    <n v="2335"/>
    <x v="7"/>
    <m/>
    <s v="2019-12-05"/>
    <s v="826235"/>
    <s v="MAHADEB DAS"/>
    <s v="9932210665"/>
  </r>
  <r>
    <s v="RCF Thal"/>
    <s v="N.C.Urea(45kg)"/>
    <s v="WB"/>
    <x v="15"/>
    <m/>
    <s v="User Not Mapped"/>
    <s v="User Not Mapped"/>
    <s v="User Not Mapped"/>
    <n v="1063096"/>
    <s v="NUR FERTILIZER "/>
    <s v="Private Retailer"/>
    <s v="9547052034"/>
    <n v="0.28499999999999998"/>
    <n v="1811"/>
    <x v="7"/>
    <m/>
    <s v="2021-05-12"/>
    <s v="260198"/>
    <s v="Maa Tara Agril Centre"/>
    <s v="9153011426"/>
  </r>
  <r>
    <s v="RCF Trombay"/>
    <s v="15-15-15"/>
    <s v="WB"/>
    <x v="15"/>
    <m/>
    <s v="User Not Mapped"/>
    <s v="User Not Mapped"/>
    <s v="User Not Mapped"/>
    <n v="1079568"/>
    <s v="ANANDANAGAR SKUS LTD"/>
    <s v="PACS"/>
    <s v="8640958444"/>
    <n v="0.18"/>
    <n v="2200"/>
    <x v="7"/>
    <m/>
    <s v="2020-04-18"/>
    <s v="549643"/>
    <s v="M/S RATAN BISWAS"/>
    <s v="8617364808"/>
  </r>
  <r>
    <s v="RCF Thal"/>
    <s v="N.C.Urea(45kg)"/>
    <s v="WB"/>
    <x v="15"/>
    <m/>
    <s v="User Not Mapped"/>
    <s v="User Not Mapped"/>
    <s v="User Not Mapped"/>
    <n v="1087517"/>
    <s v="SUBODH KUMAR MANDAL"/>
    <s v="Private Retailer"/>
    <s v="7699717737"/>
    <n v="0.04"/>
    <n v="2663"/>
    <x v="7"/>
    <m/>
    <s v="2019-01-11"/>
    <s v="280729"/>
    <s v="M/s. Naresh Chandra Das"/>
    <s v="7365868045"/>
  </r>
  <r>
    <s v="RCF Thal"/>
    <s v="N.C.Urea(45kg)"/>
    <s v="WB"/>
    <x v="15"/>
    <m/>
    <s v="User Not Mapped"/>
    <s v="User Not Mapped"/>
    <s v="User Not Mapped"/>
    <n v="1092038"/>
    <s v="M/S KRISHI PRAGATI PROP SALIM "/>
    <s v="Private Retailer"/>
    <s v="7407359889"/>
    <n v="4.9950000000000001"/>
    <n v="2305"/>
    <x v="7"/>
    <m/>
    <s v="2020-01-04"/>
    <s v="260198"/>
    <s v="Maa Tara Agril Centre"/>
    <s v="9153011426"/>
  </r>
  <r>
    <s v="RCF Trombay"/>
    <s v="15-15-15"/>
    <s v="WB"/>
    <x v="15"/>
    <m/>
    <s v="User Not Mapped"/>
    <s v="User Not Mapped"/>
    <s v="User Not Mapped"/>
    <n v="1094282"/>
    <s v="KRISHNA GOPAL BISWAS"/>
    <s v="Private Retailer"/>
    <s v="7384593226"/>
    <n v="1.5"/>
    <n v="2189"/>
    <x v="7"/>
    <m/>
    <s v="2020-04-29"/>
    <s v="1063526"/>
    <s v="Ms. Harendra Nath Saha"/>
    <s v="9083872456"/>
  </r>
  <r>
    <s v="RCF Thal"/>
    <s v="N.C.Urea(45kg)"/>
    <s v="WB"/>
    <x v="15"/>
    <m/>
    <s v="User Not Mapped"/>
    <s v="User Not Mapped"/>
    <s v="User Not Mapped"/>
    <n v="1094282"/>
    <s v="KRISHNA GOPAL BISWAS"/>
    <s v="Private Retailer"/>
    <s v="7384593226"/>
    <n v="0.40500000000000003"/>
    <n v="2189"/>
    <x v="7"/>
    <m/>
    <s v="2020-04-29"/>
    <s v="1063526"/>
    <s v="Ms. Harendra Nath Saha"/>
    <s v="9083872456"/>
  </r>
  <r>
    <s v="RCF Thal"/>
    <s v="N.C.Urea(45kg)"/>
    <s v="WB"/>
    <x v="15"/>
    <m/>
    <s v="User Not Mapped"/>
    <s v="User Not Mapped"/>
    <s v="User Not Mapped"/>
    <n v="1107796"/>
    <s v="M/S DHAKI FERTILIZER"/>
    <s v="Private Retailer"/>
    <s v="8670144428"/>
    <n v="0.22500000000000001"/>
    <n v="1904"/>
    <x v="7"/>
    <m/>
    <s v="2021-02-08"/>
    <s v="260198"/>
    <s v="Maa Tara Agril Centre"/>
    <s v="9153011426"/>
  </r>
  <r>
    <s v="RCF Trombay"/>
    <s v="15-15-15"/>
    <s v="WB"/>
    <x v="15"/>
    <m/>
    <s v="User Not Mapped"/>
    <s v="User Not Mapped"/>
    <s v="User Not Mapped"/>
    <n v="1107798"/>
    <s v="MD SAFIUDDIN MONDAL"/>
    <s v="Private Retailer"/>
    <s v="8609030963"/>
    <n v="0.15"/>
    <n v="2584"/>
    <x v="7"/>
    <m/>
    <s v="2019-03-31"/>
    <s v="260209"/>
    <s v="M/S SUNIL KUMAR SAHA       "/>
    <s v="9434110995"/>
  </r>
  <r>
    <s v="RCF Trombay"/>
    <s v="N.C.Urea(45kg)"/>
    <s v="WB"/>
    <x v="15"/>
    <m/>
    <s v="User Not Mapped"/>
    <s v="User Not Mapped"/>
    <s v="User Not Mapped"/>
    <n v="1107798"/>
    <s v="MD SAFIUDDIN MONDAL"/>
    <s v="Private Retailer"/>
    <s v="8609030963"/>
    <n v="0.45"/>
    <n v="2584"/>
    <x v="7"/>
    <m/>
    <s v="2019-03-31"/>
    <s v="260209"/>
    <s v="M/S SUNIL KUMAR SAHA       "/>
    <s v="9434110995"/>
  </r>
  <r>
    <s v="RCF Trombay"/>
    <s v="15-15-15"/>
    <s v="WB"/>
    <x v="15"/>
    <m/>
    <s v="User Not Mapped"/>
    <s v="User Not Mapped"/>
    <s v="User Not Mapped"/>
    <n v="1107804"/>
    <s v="MONDAL FERTILIZER"/>
    <s v="Private Retailer"/>
    <s v="9091598802"/>
    <n v="0.05"/>
    <n v="2215"/>
    <x v="7"/>
    <m/>
    <s v="2020-04-03"/>
    <s v="901232"/>
    <s v="MALLICK FERTILIZER"/>
    <s v="7001329763"/>
  </r>
  <r>
    <s v="RCF Trombay"/>
    <s v="N.C.Urea(45kg)"/>
    <s v="WB"/>
    <x v="15"/>
    <m/>
    <s v="User Not Mapped"/>
    <s v="User Not Mapped"/>
    <s v="User Not Mapped"/>
    <n v="1107804"/>
    <s v="MONDAL FERTILIZER"/>
    <s v="Private Retailer"/>
    <s v="9091598802"/>
    <n v="0.03"/>
    <n v="1828"/>
    <x v="7"/>
    <m/>
    <s v="2021-04-25"/>
    <s v="1132412"/>
    <s v="M/S MLLICK FERTILIZER"/>
    <s v="9775925747"/>
  </r>
  <r>
    <s v="RCF Thal"/>
    <s v="N.C.Urea(45kg)"/>
    <s v="WB"/>
    <x v="15"/>
    <m/>
    <s v="User Not Mapped"/>
    <s v="User Not Mapped"/>
    <s v="User Not Mapped"/>
    <n v="1107804"/>
    <s v="MONDAL FERTILIZER"/>
    <s v="Private Retailer"/>
    <s v="9091598802"/>
    <n v="0.12"/>
    <n v="2417"/>
    <x v="7"/>
    <m/>
    <s v="2019-09-14"/>
    <s v="901232"/>
    <s v="MALLICK FERTILIZER"/>
    <s v="7001329763"/>
  </r>
  <r>
    <s v="RCF Trombay"/>
    <s v="N.C.Urea(45kg)"/>
    <s v="WB"/>
    <x v="15"/>
    <m/>
    <s v="User Not Mapped"/>
    <s v="User Not Mapped"/>
    <s v="User Not Mapped"/>
    <n v="1107808"/>
    <s v="MS SAFIUR FERTILIZER"/>
    <s v="Private Retailer"/>
    <s v="8967130897"/>
    <n v="4.7249999999999996"/>
    <n v="1180"/>
    <x v="7"/>
    <m/>
    <s v="2023-02-02"/>
    <s v="1258420"/>
    <s v="M.A.C COMPANY"/>
    <s v="9433152053"/>
  </r>
  <r>
    <s v="RCF Thal"/>
    <s v="N.C.Urea(45kg)"/>
    <s v="WB"/>
    <x v="15"/>
    <m/>
    <s v="User Not Mapped"/>
    <s v="User Not Mapped"/>
    <s v="User Not Mapped"/>
    <n v="1107870"/>
    <s v="NEW BISWAS FERTILIZER"/>
    <s v="Private Retailer"/>
    <s v="7679011634"/>
    <n v="7.0000000000000007E-2"/>
    <n v="1572"/>
    <x v="7"/>
    <m/>
    <s v="2022-01-06"/>
    <s v="260179"/>
    <s v="Tarun Kumar Saha"/>
    <s v="8116312974"/>
  </r>
  <r>
    <s v="RCF Trombay"/>
    <s v="N.C.Urea(45kg)"/>
    <s v="WB"/>
    <x v="15"/>
    <m/>
    <s v="User Not Mapped"/>
    <s v="User Not Mapped"/>
    <s v="User Not Mapped"/>
    <n v="1116042"/>
    <s v="BISWAS FERTILIZER"/>
    <s v="Private Retailer"/>
    <s v="8609719945"/>
    <n v="0.72"/>
    <n v="1754"/>
    <x v="7"/>
    <m/>
    <s v="2021-07-08"/>
    <s v="260202"/>
    <s v="MS S K DUTTA"/>
    <s v="9832802581"/>
  </r>
  <r>
    <s v="RCF Trombay"/>
    <s v="15-15-15"/>
    <s v="WB"/>
    <x v="15"/>
    <m/>
    <s v="User Not Mapped"/>
    <s v="User Not Mapped"/>
    <s v="User Not Mapped"/>
    <n v="1470902"/>
    <s v="ANISA FERTILIZER"/>
    <s v="Private Retailer"/>
    <s v="9593045146"/>
    <n v="3"/>
    <n v="60"/>
    <x v="1"/>
    <m/>
    <s v="2026-02-26"/>
    <s v="280729"/>
    <s v="M/s. Naresh Chandra Das"/>
    <s v="7365868045"/>
  </r>
  <r>
    <s v="RCF Thal"/>
    <s v="N.C.Urea(45kg)"/>
    <s v="WB"/>
    <x v="15"/>
    <m/>
    <s v="User Not Mapped"/>
    <s v="User Not Mapped"/>
    <s v="User Not Mapped"/>
    <n v="1565680"/>
    <s v="SUMAN AGRI TECH"/>
    <s v="Private Retailer"/>
    <s v="8906012218"/>
    <n v="1.08"/>
    <n v="45"/>
    <x v="1"/>
    <m/>
    <s v="2026-03-13"/>
    <s v="260177"/>
    <s v="SatyaRanjan Kundu and Brothers"/>
    <s v="7908186730"/>
  </r>
  <r>
    <s v="RCF Thal"/>
    <s v="N.C.Urea(45kg)"/>
    <s v="WB"/>
    <x v="15"/>
    <m/>
    <s v="User Not Mapped"/>
    <s v="User Not Mapped"/>
    <s v="User Not Mapped"/>
    <n v="1565680"/>
    <s v="SUMAN AGRI TECH"/>
    <s v="Private Retailer"/>
    <s v="8906012218"/>
    <n v="4.9950000000000001"/>
    <n v="16"/>
    <x v="4"/>
    <m/>
    <s v="2026-04-11"/>
    <s v="280729"/>
    <s v="M/s. Naresh Chandra Das"/>
    <s v="7365868045"/>
  </r>
  <r>
    <s v="RCF Import"/>
    <s v="MOP"/>
    <s v="WB"/>
    <x v="15"/>
    <m/>
    <s v="User Not Mapped"/>
    <s v="User Not Mapped"/>
    <s v="User Not Mapped"/>
    <n v="1572394"/>
    <s v="MAJIDUL FERTILIZER"/>
    <s v="Private Retailer"/>
    <s v="8637389585"/>
    <n v="0.8"/>
    <n v="60"/>
    <x v="1"/>
    <m/>
    <s v="2026-02-26"/>
    <s v="280729"/>
    <s v="M/s. Naresh Chandra Das"/>
    <s v="7365868045"/>
  </r>
  <r>
    <s v="RCF Thal"/>
    <s v="N.C.Urea(45kg)"/>
    <s v="WB"/>
    <x v="15"/>
    <m/>
    <s v="User Not Mapped"/>
    <s v="User Not Mapped"/>
    <s v="User Not Mapped"/>
    <n v="1574662"/>
    <s v="M/S BISWAS FERTILIZER  PRO. PA"/>
    <s v="Private Retailer"/>
    <s v="8391901343"/>
    <n v="2.4750000000000001"/>
    <n v="48"/>
    <x v="1"/>
    <m/>
    <s v="2026-03-10"/>
    <s v="259034"/>
    <s v="MS Guha And Co"/>
    <s v="8695359505"/>
  </r>
  <r>
    <s v="RCF Import"/>
    <s v="Imp 10-26-26"/>
    <s v="WB"/>
    <x v="15"/>
    <m/>
    <s v="User Not Mapped"/>
    <s v="User Not Mapped"/>
    <s v="User Not Mapped"/>
    <n v="1636192"/>
    <s v="SABITA KRISHI GHAR"/>
    <s v="Private Retailer"/>
    <s v="9734594738"/>
    <n v="0.25"/>
    <n v="38"/>
    <x v="1"/>
    <m/>
    <s v="2026-03-20"/>
    <s v="260211"/>
    <s v="M/s. Jaiswal Enterprise "/>
    <s v="8116105006"/>
  </r>
  <r>
    <s v="RCF Trombay"/>
    <s v="15-15-15"/>
    <s v="WB"/>
    <x v="15"/>
    <m/>
    <s v="User Not Mapped"/>
    <s v="User Not Mapped"/>
    <s v="User Not Mapped"/>
    <n v="1636192"/>
    <s v="SABITA KRISHI GHAR"/>
    <s v="Private Retailer"/>
    <s v="9734594738"/>
    <n v="0.05"/>
    <n v="38"/>
    <x v="1"/>
    <m/>
    <s v="2026-03-20"/>
    <s v="260211"/>
    <s v="M/s. Jaiswal Enterprise "/>
    <s v="8116105006"/>
  </r>
  <r>
    <s v="RCF Trombay"/>
    <s v="N.C.Urea(45kg)"/>
    <s v="WB"/>
    <x v="15"/>
    <m/>
    <s v="User Not Mapped"/>
    <s v="User Not Mapped"/>
    <s v="User Not Mapped"/>
    <n v="1636196"/>
    <s v="MONDAL FERTILIZER PROP ATAUR MONDAL"/>
    <s v="Private Retailer"/>
    <s v="7908831973"/>
    <n v="4.4999999999999998E-2"/>
    <n v="40"/>
    <x v="1"/>
    <m/>
    <s v="2026-03-18"/>
    <s v="280729"/>
    <s v="M/s. Naresh Chandra Das"/>
    <s v="7365868045"/>
  </r>
  <r>
    <s v="RCF Trombay"/>
    <s v="15-15-15"/>
    <s v="WB"/>
    <x v="15"/>
    <m/>
    <s v="User Not Mapped"/>
    <s v="User Not Mapped"/>
    <s v="User Not Mapped"/>
    <n v="1636232"/>
    <s v="MS TOTA MONDAL"/>
    <s v="Private Retailer"/>
    <s v="7063622422"/>
    <n v="0.5"/>
    <n v="26"/>
    <x v="4"/>
    <m/>
    <s v="2026-04-01"/>
    <s v="280729"/>
    <s v="M/s. Naresh Chandra Das"/>
    <s v="7365868045"/>
  </r>
  <r>
    <s v="RCF Import"/>
    <s v="MOP"/>
    <s v="WB"/>
    <x v="15"/>
    <m/>
    <s v="User Not Mapped"/>
    <s v="User Not Mapped"/>
    <s v="User Not Mapped"/>
    <n v="1636232"/>
    <s v="MS TOTA MONDAL"/>
    <s v="Private Retailer"/>
    <s v="7063622422"/>
    <n v="0.5"/>
    <n v="26"/>
    <x v="4"/>
    <m/>
    <s v="2026-04-01"/>
    <s v="280729"/>
    <s v="M/s. Naresh Chandra Das"/>
    <s v="7365868045"/>
  </r>
  <r>
    <s v="RCF Thal"/>
    <s v="N.C.Urea(45kg)"/>
    <s v="WB"/>
    <x v="18"/>
    <s v="Barabani"/>
    <s v="User Not Mapped"/>
    <s v="User Not Mapped"/>
    <s v="User Not Mapped"/>
    <n v="639755"/>
    <s v="SAROJ CHAND"/>
    <s v="Private Retailer"/>
    <s v="9800443730"/>
    <n v="0.315"/>
    <n v="136"/>
    <x v="0"/>
    <m/>
    <s v="2025-12-12"/>
    <s v="261721"/>
    <s v="Sakti Pada Hui"/>
    <s v="9832201350"/>
  </r>
  <r>
    <s v="RCF Trombay"/>
    <s v="15-15-15"/>
    <s v="WB"/>
    <x v="18"/>
    <s v="Faridpur Durgapur"/>
    <s v="User Not Mapped"/>
    <s v="User Not Mapped"/>
    <s v="User Not Mapped"/>
    <n v="343951"/>
    <s v="Samar Chandra Mondal"/>
    <s v="Private Retailer"/>
    <s v="9832258148"/>
    <n v="1.05"/>
    <n v="146"/>
    <x v="0"/>
    <m/>
    <s v="2025-12-02"/>
    <s v="261721"/>
    <s v="Sakti Pada Hui"/>
    <s v="9832201350"/>
  </r>
  <r>
    <s v="RCF Trombay"/>
    <s v="15-15-15"/>
    <s v="WB"/>
    <x v="18"/>
    <s v="Faridpur Durgapur"/>
    <s v="User Not Mapped"/>
    <s v="User Not Mapped"/>
    <s v="User Not Mapped"/>
    <n v="343951"/>
    <s v="Samar Chandra Mondal"/>
    <s v="Private Retailer"/>
    <s v="9832258148"/>
    <n v="2.5"/>
    <n v="111"/>
    <x v="5"/>
    <m/>
    <s v="2026-01-06"/>
    <s v="261721"/>
    <s v="Sakti Pada Hui"/>
    <s v="9832201350"/>
  </r>
  <r>
    <s v="RCF Trombay"/>
    <s v="15-15-15"/>
    <s v="WB"/>
    <x v="18"/>
    <s v="Faridpur Durgapur"/>
    <s v="User Not Mapped"/>
    <s v="User Not Mapped"/>
    <s v="User Not Mapped"/>
    <n v="343987"/>
    <s v="Biswajit Mondal"/>
    <s v="Private Retailer"/>
    <s v="9832287653"/>
    <n v="1.1000000000000001"/>
    <n v="177"/>
    <x v="0"/>
    <m/>
    <s v="2025-11-01"/>
    <s v="261721"/>
    <s v="Sakti Pada Hui"/>
    <s v="9832201350"/>
  </r>
  <r>
    <s v="RCF Trombay"/>
    <s v="15-15-15"/>
    <s v="WB"/>
    <x v="18"/>
    <s v="Faridpur Durgapur"/>
    <s v="User Not Mapped"/>
    <s v="User Not Mapped"/>
    <s v="User Not Mapped"/>
    <n v="343987"/>
    <s v="Biswajit Mondal"/>
    <s v="Private Retailer"/>
    <s v="9832287653"/>
    <n v="0.5"/>
    <n v="70"/>
    <x v="2"/>
    <m/>
    <s v="2026-02-16"/>
    <s v="261721"/>
    <s v="Sakti Pada Hui"/>
    <s v="9832201350"/>
  </r>
  <r>
    <s v="RCF Trombay"/>
    <s v="15-15-15"/>
    <s v="WB"/>
    <x v="18"/>
    <s v="Faridpur Durgapur"/>
    <s v="User Not Mapped"/>
    <s v="User Not Mapped"/>
    <s v="User Not Mapped"/>
    <n v="343987"/>
    <s v="Biswajit Mondal"/>
    <s v="Private Retailer"/>
    <s v="9832287653"/>
    <n v="0.5"/>
    <n v="136"/>
    <x v="0"/>
    <m/>
    <s v="2025-12-12"/>
    <s v="261721"/>
    <s v="Sakti Pada Hui"/>
    <s v="9832201350"/>
  </r>
  <r>
    <s v="RCF Thal"/>
    <s v="N.C.Urea(45kg)"/>
    <s v="WB"/>
    <x v="18"/>
    <s v="Salanpur"/>
    <s v="User Not Mapped"/>
    <s v="User Not Mapped"/>
    <s v="User Not Mapped"/>
    <n v="353722"/>
    <s v="Bharat Krishi Kalyan"/>
    <s v="Private Retailer"/>
    <s v="9832217455"/>
    <n v="0.18"/>
    <n v="136"/>
    <x v="0"/>
    <m/>
    <s v="2025-12-12"/>
    <s v="261721"/>
    <s v="Sakti Pada Hui"/>
    <s v="9832201350"/>
  </r>
  <r>
    <s v="RCF Trombay"/>
    <s v="15-15-15"/>
    <s v="WB"/>
    <x v="18"/>
    <s v="Salanpur"/>
    <s v="User Not Mapped"/>
    <s v="User Not Mapped"/>
    <s v="User Not Mapped"/>
    <n v="353722"/>
    <s v="Bharat Krishi Kalyan"/>
    <s v="Private Retailer"/>
    <s v="9832217455"/>
    <n v="0.25"/>
    <n v="136"/>
    <x v="0"/>
    <m/>
    <s v="2025-12-12"/>
    <s v="261721"/>
    <s v="Sakti Pada Hui"/>
    <s v="9832201350"/>
  </r>
  <r>
    <s v="RCF Thal"/>
    <s v="N.C.Urea(45kg)"/>
    <s v="WB"/>
    <x v="18"/>
    <s v="Salanpur"/>
    <s v="User Not Mapped"/>
    <s v="User Not Mapped"/>
    <s v="User Not Mapped"/>
    <n v="639783"/>
    <s v="SANTI KRISHI BHANDER"/>
    <s v="Private Retailer"/>
    <s v="9609710319"/>
    <n v="3.06"/>
    <n v="244"/>
    <x v="3"/>
    <m/>
    <s v="2025-08-26"/>
    <s v="261721"/>
    <s v="Sakti Pada Hui"/>
    <s v="9832201350"/>
  </r>
  <r>
    <s v="RCF Trombay"/>
    <s v="15-15-15"/>
    <s v="WB"/>
    <x v="18"/>
    <m/>
    <s v="User Not Mapped"/>
    <s v="User Not Mapped"/>
    <s v="User Not Mapped"/>
    <n v="459458"/>
    <s v="Banarasi Beej Bhawan"/>
    <s v="Private Retailer"/>
    <s v="9378221855"/>
    <n v="1.5"/>
    <n v="233"/>
    <x v="3"/>
    <m/>
    <s v="2025-09-06"/>
    <s v="261721"/>
    <s v="Sakti Pada Hui"/>
    <s v="9832201350"/>
  </r>
  <r>
    <s v="RCF Trombay"/>
    <s v="N.C.Urea(45kg)"/>
    <s v="WB"/>
    <x v="18"/>
    <m/>
    <s v="User Not Mapped"/>
    <s v="User Not Mapped"/>
    <s v="User Not Mapped"/>
    <n v="751001"/>
    <s v="KISHAN BANDHU"/>
    <s v="Private Retailer"/>
    <s v="8617635383"/>
    <n v="3.4649999999999999"/>
    <n v="54"/>
    <x v="1"/>
    <m/>
    <s v="2026-03-04"/>
    <s v="261721"/>
    <s v="Sakti Pada Hui"/>
    <s v="9832201350"/>
  </r>
  <r>
    <m/>
    <m/>
    <m/>
    <x v="19"/>
    <m/>
    <m/>
    <m/>
    <m/>
    <m/>
    <m/>
    <m/>
    <m/>
    <m/>
    <m/>
    <x v="8"/>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07">
  <r>
    <s v="RCF Import"/>
    <s v="MOP"/>
    <s v="WB"/>
    <x v="0"/>
    <s v="Bagda"/>
    <s v="User Not Mapped"/>
    <s v="User Not Mapped"/>
    <s v="User Not Mapped"/>
    <n v="340697"/>
    <s v="Abubak Kar  Mondal"/>
    <s v="Private Retailer"/>
    <s v="9547499471"/>
    <n v="0.30399999999999999"/>
    <n v="425"/>
    <x v="0"/>
    <m/>
    <s v="2025-02-19"/>
    <n v="280832"/>
    <s v=" S D Enterprise"/>
    <s v="9433002261"/>
  </r>
  <r>
    <s v="RCF Trombay"/>
    <s v="15-15-15"/>
    <s v="WB"/>
    <x v="0"/>
    <s v="Barasat - I"/>
    <s v="User Not Mapped"/>
    <s v="User Not Mapped"/>
    <s v="User Not Mapped"/>
    <n v="910962"/>
    <s v="M/S. BERA ENTERPRISE"/>
    <s v="Private Wholsaler"/>
    <s v="9836333180"/>
    <n v="3.5"/>
    <n v="238"/>
    <x v="1"/>
    <s v="'246'"/>
    <s v="2025-08-25"/>
    <s v="280832"/>
    <s v=" S D Enterprise"/>
    <s v="9433002261"/>
  </r>
  <r>
    <s v="RCF Trombay"/>
    <s v="15-15-15"/>
    <s v="WB"/>
    <x v="0"/>
    <s v="Baduria"/>
    <s v="User Not Mapped"/>
    <s v="User Not Mapped"/>
    <s v="User Not Mapped"/>
    <n v="668748"/>
    <s v="HABIBOR RAHAMAN MONDAL"/>
    <s v="Private Retailer"/>
    <s v="9593117664"/>
    <n v="0.42"/>
    <n v="2135"/>
    <x v="2"/>
    <m/>
    <s v="2020-06-15"/>
    <s v="1076581"/>
    <s v="Adarsha krishi bhander"/>
    <s v="9143169628"/>
  </r>
  <r>
    <s v="RCF Trombay"/>
    <s v="15-15-15"/>
    <s v="WB"/>
    <x v="0"/>
    <s v="Amdanga"/>
    <s v="User Not Mapped"/>
    <s v="User Not Mapped"/>
    <s v="User Not Mapped"/>
    <n v="189344"/>
    <s v="Md. Abdul Hye"/>
    <s v="Private Retailer"/>
    <s v="8436368461"/>
    <n v="0.02"/>
    <n v="1885"/>
    <x v="2"/>
    <m/>
    <s v="2021-02-20"/>
    <s v="355410"/>
    <s v="Agradoot "/>
    <s v="9433166490"/>
  </r>
  <r>
    <s v="RCF Trombay"/>
    <s v="15-15-15"/>
    <s v="WB"/>
    <x v="0"/>
    <s v="Barasat - I"/>
    <s v="User Not Mapped"/>
    <s v="User Not Mapped"/>
    <s v="User Not Mapped"/>
    <n v="616417"/>
    <s v="M.S.A FERTILIZERS"/>
    <s v="Private Retailer"/>
    <s v="9681282035"/>
    <n v="8.5000000000000006E-2"/>
    <n v="853"/>
    <x v="2"/>
    <m/>
    <s v="2023-12-19"/>
    <s v="739737"/>
    <s v="ALAM FERTILIZER"/>
    <s v="9123715989"/>
  </r>
  <r>
    <s v="RCF Trombay"/>
    <s v="15-15-15"/>
    <s v="WB"/>
    <x v="0"/>
    <s v="Amdanga"/>
    <s v="User Not Mapped"/>
    <s v="User Not Mapped"/>
    <s v="User Not Mapped"/>
    <n v="546322"/>
    <s v="M/S JOYGURU KRISHI BHANDER"/>
    <s v="Private Retailer"/>
    <s v="9647402895"/>
    <n v="0.05"/>
    <n v="539"/>
    <x v="0"/>
    <m/>
    <s v="2024-10-28"/>
    <s v="739737"/>
    <s v="ALAM FERTILIZER"/>
    <s v="9123715989"/>
  </r>
  <r>
    <s v="RCF Trombay"/>
    <s v="15-15-15"/>
    <s v="WB"/>
    <x v="0"/>
    <s v="Amdanga"/>
    <s v="User Not Mapped"/>
    <s v="User Not Mapped"/>
    <s v="User Not Mapped"/>
    <n v="189472"/>
    <s v="MOLLAH FERTILIZER"/>
    <s v="Private Retailer"/>
    <s v="9874073557"/>
    <n v="1.1499999999999999"/>
    <n v="459"/>
    <x v="0"/>
    <m/>
    <s v="2025-01-16"/>
    <s v="739737"/>
    <s v="ALAM FERTILIZER"/>
    <s v="9123715989"/>
  </r>
  <r>
    <s v="RCF Trombay"/>
    <s v="15-15-15"/>
    <s v="WB"/>
    <x v="0"/>
    <m/>
    <s v="User Not Mapped"/>
    <s v="User Not Mapped"/>
    <s v="User Not Mapped"/>
    <n v="543048"/>
    <s v="Akbar Ali Mondal"/>
    <s v="Private Retailer"/>
    <s v="8768937940"/>
    <n v="4.5999999999999999E-2"/>
    <n v="2589"/>
    <x v="2"/>
    <m/>
    <s v="2019-03-19"/>
    <s v="328271"/>
    <s v="Amal Sales Corporation"/>
    <s v="7908257456"/>
  </r>
  <r>
    <s v="RCF Trombay"/>
    <s v="15-15-15"/>
    <s v="WB"/>
    <x v="0"/>
    <s v="Amdanga"/>
    <s v="User Not Mapped"/>
    <s v="User Not Mapped"/>
    <s v="User Not Mapped"/>
    <n v="515686"/>
    <s v="Amirali  Krishi Bhandar"/>
    <s v="Private Retailer"/>
    <s v="9874435167"/>
    <n v="4.5999999999999996"/>
    <n v="282"/>
    <x v="1"/>
    <m/>
    <s v="2025-07-12"/>
    <s v="328271"/>
    <s v="Amal Sales Corporation"/>
    <s v="7908257456"/>
  </r>
  <r>
    <s v="RCF Trombay"/>
    <s v="15-15-15"/>
    <s v="WB"/>
    <x v="0"/>
    <s v="Barasat - I"/>
    <s v="User Not Mapped"/>
    <s v="User Not Mapped"/>
    <s v="User Not Mapped"/>
    <n v="950014"/>
    <s v="Amit kumar Biswas"/>
    <s v="Private Retailer"/>
    <s v="9647324568"/>
    <n v="2.5"/>
    <n v="32"/>
    <x v="3"/>
    <m/>
    <s v="2026-03-19"/>
    <s v="328271"/>
    <s v="Amal Sales Corporation"/>
    <s v="7908257456"/>
  </r>
  <r>
    <s v="RCF Trombay"/>
    <s v="15-15-15"/>
    <s v="WB"/>
    <x v="0"/>
    <s v="Bagda"/>
    <s v="User Not Mapped"/>
    <s v="User Not Mapped"/>
    <s v="User Not Mapped"/>
    <n v="354851"/>
    <s v="Biswajit  Mondal"/>
    <s v="Private Retailer"/>
    <s v="9733951521"/>
    <n v="0.5"/>
    <n v="328"/>
    <x v="1"/>
    <m/>
    <s v="2025-05-27"/>
    <s v="328271"/>
    <s v="Amal Sales Corporation"/>
    <s v="7908257456"/>
  </r>
  <r>
    <s v="RCF Trombay"/>
    <s v="15-15-15"/>
    <s v="WB"/>
    <x v="0"/>
    <s v="Bongaon"/>
    <s v="User Not Mapped"/>
    <s v="User Not Mapped"/>
    <s v="User Not Mapped"/>
    <n v="354859"/>
    <s v="Biswas Fertilizer"/>
    <s v="Private Retailer"/>
    <s v="9735213936"/>
    <n v="0.25"/>
    <n v="212"/>
    <x v="1"/>
    <m/>
    <s v="2025-09-20"/>
    <s v="328271"/>
    <s v="Amal Sales Corporation"/>
    <s v="7908257456"/>
  </r>
  <r>
    <s v="RCF Trombay"/>
    <s v="15-15-15"/>
    <s v="WB"/>
    <x v="0"/>
    <s v="Bongaon"/>
    <s v="User Not Mapped"/>
    <s v="User Not Mapped"/>
    <s v="User Not Mapped"/>
    <n v="354859"/>
    <s v="Biswas Fertilizer"/>
    <s v="Private Retailer"/>
    <s v="9735213936"/>
    <n v="3"/>
    <n v="139"/>
    <x v="4"/>
    <m/>
    <s v="2025-12-02"/>
    <s v="328271"/>
    <s v="Amal Sales Corporation"/>
    <s v="7908257456"/>
  </r>
  <r>
    <s v="RCF Import"/>
    <s v="Imp 10-26-26"/>
    <s v="WB"/>
    <x v="0"/>
    <s v="Bongaon"/>
    <s v="User Not Mapped"/>
    <s v="User Not Mapped"/>
    <s v="User Not Mapped"/>
    <n v="354859"/>
    <s v="Biswas Fertilizer"/>
    <s v="Private Retailer"/>
    <s v="9735213936"/>
    <n v="4.5"/>
    <n v="3"/>
    <x v="5"/>
    <m/>
    <s v="2026-04-17"/>
    <s v="328271"/>
    <s v="Amal Sales Corporation"/>
    <s v="7908257456"/>
  </r>
  <r>
    <s v="RCF Import"/>
    <s v="MOP"/>
    <s v="WB"/>
    <x v="0"/>
    <s v="Bagda"/>
    <s v="User Not Mapped"/>
    <s v="User Not Mapped"/>
    <s v="User Not Mapped"/>
    <n v="354994"/>
    <s v="Golok Chandra Mondal"/>
    <s v="PACS"/>
    <s v="9647042665"/>
    <n v="5.3"/>
    <n v="62"/>
    <x v="6"/>
    <m/>
    <s v="2026-02-17"/>
    <s v="328271"/>
    <s v="Amal Sales Corporation"/>
    <s v="7908257456"/>
  </r>
  <r>
    <s v="RCF Trombay"/>
    <s v="N.C.Urea(45kg)"/>
    <s v="WB"/>
    <x v="0"/>
    <s v="Bagda"/>
    <s v="User Not Mapped"/>
    <s v="User Not Mapped"/>
    <s v="User Not Mapped"/>
    <n v="354994"/>
    <s v="Golok Chandra Mondal"/>
    <s v="PACS"/>
    <s v="9647042665"/>
    <n v="1.4950000000000001"/>
    <n v="63"/>
    <x v="6"/>
    <m/>
    <s v="2026-02-16"/>
    <s v="328271"/>
    <s v="Amal Sales Corporation"/>
    <s v="7908257456"/>
  </r>
  <r>
    <s v="RCF Trombay"/>
    <s v="15-15-15"/>
    <s v="WB"/>
    <x v="0"/>
    <s v="Bagda"/>
    <s v="User Not Mapped"/>
    <s v="User Not Mapped"/>
    <s v="User Not Mapped"/>
    <n v="354994"/>
    <s v="Golok Chandra Mondal"/>
    <s v="PACS"/>
    <s v="9647042665"/>
    <n v="1.1000000000000001"/>
    <n v="63"/>
    <x v="6"/>
    <m/>
    <s v="2026-02-16"/>
    <s v="328271"/>
    <s v="Amal Sales Corporation"/>
    <s v="7908257456"/>
  </r>
  <r>
    <s v="RCF Trombay"/>
    <s v="N.C.Urea(45kg)"/>
    <s v="WB"/>
    <x v="0"/>
    <m/>
    <s v="User Not Mapped"/>
    <s v="User Not Mapped"/>
    <s v="User Not Mapped"/>
    <n v="520447"/>
    <s v="Gopal Chandra Mondal"/>
    <s v="Private Retailer"/>
    <s v="9474494752"/>
    <n v="0.02"/>
    <n v="1628"/>
    <x v="2"/>
    <m/>
    <s v="2021-11-04"/>
    <s v="328271"/>
    <s v="Amal Sales Corporation"/>
    <s v="7908257456"/>
  </r>
  <r>
    <s v="RCF Trombay"/>
    <s v="15-15-15"/>
    <s v="WB"/>
    <x v="0"/>
    <m/>
    <s v="User Not Mapped"/>
    <s v="User Not Mapped"/>
    <s v="User Not Mapped"/>
    <n v="481033"/>
    <s v="Imtiaz Ahmed"/>
    <s v="Private Retailer"/>
    <s v="9531615535"/>
    <n v="0.5"/>
    <n v="1339"/>
    <x v="2"/>
    <m/>
    <s v="2022-08-20"/>
    <s v="328271"/>
    <s v="Amal Sales Corporation"/>
    <s v="7908257456"/>
  </r>
  <r>
    <s v="RCF Trombay"/>
    <s v="N.C.Urea(45kg)"/>
    <s v="WB"/>
    <x v="0"/>
    <m/>
    <s v="User Not Mapped"/>
    <s v="User Not Mapped"/>
    <s v="User Not Mapped"/>
    <n v="481033"/>
    <s v="Imtiaz Ahmed"/>
    <s v="Private Retailer"/>
    <s v="9531615535"/>
    <n v="0.13500000000000001"/>
    <n v="1441"/>
    <x v="2"/>
    <m/>
    <s v="2022-05-10"/>
    <s v="328271"/>
    <s v="Amal Sales Corporation"/>
    <s v="7908257456"/>
  </r>
  <r>
    <s v="RCF Trombay"/>
    <s v="15-15-15"/>
    <s v="WB"/>
    <x v="0"/>
    <m/>
    <s v="User Not Mapped"/>
    <s v="User Not Mapped"/>
    <s v="User Not Mapped"/>
    <n v="481033"/>
    <s v="Imtiaz Ahmed"/>
    <s v="Private Retailer"/>
    <s v="9531615535"/>
    <n v="0.2"/>
    <n v="1379"/>
    <x v="2"/>
    <m/>
    <s v="2022-07-11"/>
    <s v="328271"/>
    <s v="Amal Sales Corporation"/>
    <s v="7908257456"/>
  </r>
  <r>
    <s v="RCF Trombay"/>
    <s v="15-15-15"/>
    <s v="WB"/>
    <x v="0"/>
    <m/>
    <s v="User Not Mapped"/>
    <s v="User Not Mapped"/>
    <s v="User Not Mapped"/>
    <n v="355216"/>
    <s v="Laxman Chandra Biswas"/>
    <s v="Private Retailer"/>
    <s v="9647324568"/>
    <n v="2.7"/>
    <n v="63"/>
    <x v="6"/>
    <m/>
    <s v="2026-02-16"/>
    <s v="328271"/>
    <s v="Amal Sales Corporation"/>
    <s v="7908257456"/>
  </r>
  <r>
    <s v="RCF Trombay"/>
    <s v="N.C.Urea(45kg)"/>
    <s v="WB"/>
    <x v="0"/>
    <m/>
    <s v="User Not Mapped"/>
    <s v="User Not Mapped"/>
    <s v="User Not Mapped"/>
    <n v="355216"/>
    <s v="Laxman Chandra Biswas"/>
    <s v="Private Retailer"/>
    <s v="9647324568"/>
    <n v="5.49"/>
    <n v="32"/>
    <x v="3"/>
    <m/>
    <s v="2026-03-19"/>
    <s v="328271"/>
    <s v="Amal Sales Corporation"/>
    <s v="7908257456"/>
  </r>
  <r>
    <s v="RCF Trombay"/>
    <s v="N.C.Urea(45kg)"/>
    <s v="WB"/>
    <x v="0"/>
    <s v="Bagda"/>
    <s v="User Not Mapped"/>
    <s v="User Not Mapped"/>
    <s v="User Not Mapped"/>
    <n v="457494"/>
    <s v="Mosiar Mondal"/>
    <s v="Private Retailer"/>
    <s v="9734515790"/>
    <n v="0.76500000000000001"/>
    <n v="179"/>
    <x v="4"/>
    <m/>
    <s v="2025-10-23"/>
    <s v="328271"/>
    <s v="Amal Sales Corporation"/>
    <s v="7908257456"/>
  </r>
  <r>
    <s v="RCF Trombay"/>
    <s v="15-15-15"/>
    <s v="WB"/>
    <x v="0"/>
    <s v="Bongaon"/>
    <s v="User Not Mapped"/>
    <s v="User Not Mapped"/>
    <s v="User Not Mapped"/>
    <n v="1354322"/>
    <s v="NURUL HASAN GAZI"/>
    <s v="Private Retailer"/>
    <s v="7864018294"/>
    <n v="2"/>
    <n v="63"/>
    <x v="6"/>
    <m/>
    <s v="2026-02-16"/>
    <s v="328271"/>
    <s v="Amal Sales Corporation"/>
    <s v="7908257456"/>
  </r>
  <r>
    <s v="RCF Trombay"/>
    <s v="15-15-15"/>
    <s v="WB"/>
    <x v="0"/>
    <s v="Bagda"/>
    <s v="User Not Mapped"/>
    <s v="User Not Mapped"/>
    <s v="User Not Mapped"/>
    <n v="355943"/>
    <s v="Probir Kumar Das"/>
    <s v="Private Retailer"/>
    <s v="6296039521"/>
    <n v="2.2000000000000002"/>
    <n v="139"/>
    <x v="4"/>
    <m/>
    <s v="2025-12-02"/>
    <s v="328271"/>
    <s v="Amal Sales Corporation"/>
    <s v="7908257456"/>
  </r>
  <r>
    <s v="RCF Trombay"/>
    <s v="15-15-15"/>
    <s v="WB"/>
    <x v="0"/>
    <s v="Bagda"/>
    <s v="User Not Mapped"/>
    <s v="User Not Mapped"/>
    <s v="User Not Mapped"/>
    <n v="538132"/>
    <s v="Sarif Sardar"/>
    <s v="Private Retailer"/>
    <s v="9735315233"/>
    <n v="2.6"/>
    <n v="139"/>
    <x v="4"/>
    <m/>
    <s v="2025-12-02"/>
    <s v="328271"/>
    <s v="Amal Sales Corporation"/>
    <s v="7908257456"/>
  </r>
  <r>
    <s v="RCF Thal"/>
    <s v="N.C.Urea(45kg)"/>
    <s v="WB"/>
    <x v="0"/>
    <s v="Bagda"/>
    <s v="User Not Mapped"/>
    <s v="User Not Mapped"/>
    <s v="User Not Mapped"/>
    <n v="538132"/>
    <s v="Sarif Sardar"/>
    <s v="Private Retailer"/>
    <s v="9735315233"/>
    <n v="1.665"/>
    <n v="63"/>
    <x v="6"/>
    <m/>
    <s v="2026-02-16"/>
    <s v="328271"/>
    <s v="Amal Sales Corporation"/>
    <s v="7908257456"/>
  </r>
  <r>
    <s v="RCF Trombay"/>
    <s v="15-15-15"/>
    <s v="WB"/>
    <x v="0"/>
    <s v="Bongaon"/>
    <s v="User Not Mapped"/>
    <s v="User Not Mapped"/>
    <s v="User Not Mapped"/>
    <n v="648061"/>
    <s v="SOUMEN MONDAL"/>
    <s v="Private Retailer"/>
    <s v="8597194326"/>
    <n v="5"/>
    <n v="32"/>
    <x v="3"/>
    <m/>
    <s v="2026-03-19"/>
    <s v="328271"/>
    <s v="Amal Sales Corporation"/>
    <s v="7908257456"/>
  </r>
  <r>
    <s v="RCF Trombay"/>
    <s v="N.C.Urea(45kg)"/>
    <s v="WB"/>
    <x v="0"/>
    <s v="Bongaon"/>
    <s v="User Not Mapped"/>
    <s v="User Not Mapped"/>
    <s v="User Not Mapped"/>
    <n v="648061"/>
    <s v="SOUMEN MONDAL"/>
    <s v="Private Retailer"/>
    <s v="8597194326"/>
    <n v="5.49"/>
    <n v="32"/>
    <x v="3"/>
    <m/>
    <s v="2026-03-19"/>
    <s v="328271"/>
    <s v="Amal Sales Corporation"/>
    <s v="7908257456"/>
  </r>
  <r>
    <s v="RCF Import"/>
    <s v="MOP"/>
    <s v="WB"/>
    <x v="0"/>
    <s v="Bongaon"/>
    <s v="User Not Mapped"/>
    <s v="User Not Mapped"/>
    <s v="User Not Mapped"/>
    <n v="227230"/>
    <s v="Sukumar Pal"/>
    <s v="Private Retailer"/>
    <s v="9932909595"/>
    <n v="3.05"/>
    <n v="62"/>
    <x v="6"/>
    <m/>
    <s v="2026-02-17"/>
    <s v="328271"/>
    <s v="Amal Sales Corporation"/>
    <s v="7908257456"/>
  </r>
  <r>
    <s v="RCF Trombay"/>
    <s v="15-15-15"/>
    <s v="WB"/>
    <x v="0"/>
    <s v="Bongaon"/>
    <s v="User Not Mapped"/>
    <s v="User Not Mapped"/>
    <s v="User Not Mapped"/>
    <n v="227230"/>
    <s v="Sukumar Pal"/>
    <s v="Private Retailer"/>
    <s v="9932909595"/>
    <n v="0.02"/>
    <n v="63"/>
    <x v="6"/>
    <m/>
    <s v="2026-02-16"/>
    <s v="328271"/>
    <s v="Amal Sales Corporation"/>
    <s v="7908257456"/>
  </r>
  <r>
    <s v="RCF Thal"/>
    <s v="N.C.Urea(45kg)"/>
    <s v="WB"/>
    <x v="0"/>
    <s v="Bongaon"/>
    <s v="User Not Mapped"/>
    <s v="User Not Mapped"/>
    <s v="User Not Mapped"/>
    <n v="227230"/>
    <s v="Sukumar Pal"/>
    <s v="Private Retailer"/>
    <s v="9932909595"/>
    <n v="1.19"/>
    <n v="63"/>
    <x v="6"/>
    <m/>
    <s v="2026-02-16"/>
    <s v="328271"/>
    <s v="Amal Sales Corporation"/>
    <s v="7908257456"/>
  </r>
  <r>
    <s v="RCF Trombay"/>
    <s v="15-15-15"/>
    <s v="WB"/>
    <x v="0"/>
    <s v="Bongaon"/>
    <s v="User Not Mapped"/>
    <s v="User Not Mapped"/>
    <s v="User Not Mapped"/>
    <n v="270847"/>
    <s v="Sunil Kumar Mondal"/>
    <s v="Private Retailer"/>
    <s v="8972796298"/>
    <n v="0.4"/>
    <n v="63"/>
    <x v="6"/>
    <m/>
    <s v="2026-02-16"/>
    <s v="328271"/>
    <s v="Amal Sales Corporation"/>
    <s v="7908257456"/>
  </r>
  <r>
    <s v="RCF Import"/>
    <s v="MOP"/>
    <s v="WB"/>
    <x v="0"/>
    <s v="Gaighata"/>
    <s v="User Not Mapped"/>
    <s v="User Not Mapped"/>
    <s v="User Not Mapped"/>
    <n v="1288392"/>
    <s v="ANJALI FERTILIZER"/>
    <s v="Private Retailer"/>
    <s v="9064383096"/>
    <n v="0.5"/>
    <n v="55"/>
    <x v="3"/>
    <m/>
    <s v="2026-02-24"/>
    <s v="600929"/>
    <s v="Anukul Kumar Khan"/>
    <s v="9547730250"/>
  </r>
  <r>
    <s v="RCF Trombay"/>
    <s v="15-15-15"/>
    <s v="WB"/>
    <x v="0"/>
    <m/>
    <s v="User Not Mapped"/>
    <s v="User Not Mapped"/>
    <s v="User Not Mapped"/>
    <n v="411451"/>
    <s v="Anup Ghosh"/>
    <s v="Private Retailer"/>
    <s v="9641378793"/>
    <n v="2.97"/>
    <n v="1936"/>
    <x v="2"/>
    <m/>
    <s v="2020-12-31"/>
    <s v="600929"/>
    <s v="Anukul Kumar Khan"/>
    <s v="9547730250"/>
  </r>
  <r>
    <s v="RCF Trombay"/>
    <s v="15-15-15"/>
    <s v="WB"/>
    <x v="0"/>
    <m/>
    <s v="User Not Mapped"/>
    <s v="User Not Mapped"/>
    <s v="User Not Mapped"/>
    <n v="411451"/>
    <s v="Anup Ghosh"/>
    <s v="Private Retailer"/>
    <s v="9641378793"/>
    <n v="5"/>
    <n v="1879"/>
    <x v="2"/>
    <m/>
    <s v="2021-02-26"/>
    <s v="600929"/>
    <s v="Anukul Kumar Khan"/>
    <s v="9547730250"/>
  </r>
  <r>
    <s v="RCF Import"/>
    <s v="MOP"/>
    <s v="WB"/>
    <x v="0"/>
    <s v="Gaighata"/>
    <s v="User Not Mapped"/>
    <s v="User Not Mapped"/>
    <s v="User Not Mapped"/>
    <n v="411369"/>
    <s v="Arindam Mondal"/>
    <s v="Private Retailer"/>
    <s v="8972026312"/>
    <n v="1"/>
    <n v="55"/>
    <x v="3"/>
    <m/>
    <s v="2026-02-24"/>
    <s v="600929"/>
    <s v="Anukul Kumar Khan"/>
    <s v="9547730250"/>
  </r>
  <r>
    <s v="RCF Import"/>
    <s v="MOP"/>
    <s v="WB"/>
    <x v="0"/>
    <m/>
    <s v="User Not Mapped"/>
    <s v="User Not Mapped"/>
    <s v="User Not Mapped"/>
    <n v="1489738"/>
    <s v="DILIP TARAFDAR"/>
    <s v="Private Retailer"/>
    <s v="7679957949"/>
    <n v="1"/>
    <n v="55"/>
    <x v="3"/>
    <m/>
    <s v="2026-02-24"/>
    <s v="600929"/>
    <s v="Anukul Kumar Khan"/>
    <s v="9547730250"/>
  </r>
  <r>
    <s v="RCF Import"/>
    <s v="MOP"/>
    <s v="WB"/>
    <x v="0"/>
    <s v="Gaighata"/>
    <s v="User Not Mapped"/>
    <s v="User Not Mapped"/>
    <s v="User Not Mapped"/>
    <n v="411447"/>
    <s v="M/S Biswajit Majumdar"/>
    <s v="Private Retailer"/>
    <s v="9564077070"/>
    <n v="1.5"/>
    <n v="40"/>
    <x v="3"/>
    <m/>
    <s v="2026-03-11"/>
    <s v="600929"/>
    <s v="Anukul Kumar Khan"/>
    <s v="9547730250"/>
  </r>
  <r>
    <s v="RCF Import"/>
    <s v="MOP"/>
    <s v="WB"/>
    <x v="0"/>
    <s v="Gaighata"/>
    <s v="User Not Mapped"/>
    <s v="User Not Mapped"/>
    <s v="User Not Mapped"/>
    <n v="1577420"/>
    <s v="NEW ANANDA FERTILIZER"/>
    <s v="Private Retailer"/>
    <s v="8910999850"/>
    <n v="0.4"/>
    <n v="55"/>
    <x v="3"/>
    <m/>
    <s v="2026-02-24"/>
    <s v="600929"/>
    <s v="Anukul Kumar Khan"/>
    <s v="9547730250"/>
  </r>
  <r>
    <s v="RCF Import"/>
    <s v="MOP"/>
    <s v="WB"/>
    <x v="0"/>
    <s v="Gaighata"/>
    <s v="User Not Mapped"/>
    <s v="User Not Mapped"/>
    <s v="User Not Mapped"/>
    <n v="545848"/>
    <s v="TAPAS CHATTERJEE"/>
    <s v="Private Retailer"/>
    <s v="9735668631"/>
    <n v="1"/>
    <n v="55"/>
    <x v="3"/>
    <m/>
    <s v="2026-02-24"/>
    <s v="600929"/>
    <s v="Anukul Kumar Khan"/>
    <s v="9547730250"/>
  </r>
  <r>
    <s v="RCF Trombay"/>
    <s v="15-15-15"/>
    <s v="WB"/>
    <x v="0"/>
    <m/>
    <s v="User Not Mapped"/>
    <s v="User Not Mapped"/>
    <s v="User Not Mapped"/>
    <n v="516798"/>
    <s v="Gobinda Chandra Biswas"/>
    <s v="Private Retailer"/>
    <s v="8348647939"/>
    <n v="0.05"/>
    <n v="2599"/>
    <x v="2"/>
    <m/>
    <s v="2019-03-09"/>
    <s v="268525"/>
    <s v="Arindam Nandi"/>
    <s v="7548949398"/>
  </r>
  <r>
    <s v="RCF Trombay"/>
    <s v="N.C.Urea(45kg)"/>
    <s v="WB"/>
    <x v="0"/>
    <s v="Amdanga"/>
    <s v="User Not Mapped"/>
    <s v="User Not Mapped"/>
    <s v="User Not Mapped"/>
    <n v="189344"/>
    <s v="Md. Abdul Hye"/>
    <s v="Private Retailer"/>
    <s v="8436368461"/>
    <n v="0.85499999999999998"/>
    <n v="721"/>
    <x v="2"/>
    <m/>
    <s v="2024-04-29"/>
    <s v="1287654"/>
    <s v="AZAD KRISHI BHANDAR"/>
    <s v="9836419256"/>
  </r>
  <r>
    <s v="RCF Trombay"/>
    <s v="15-15-15"/>
    <s v="WB"/>
    <x v="0"/>
    <s v="Habra - II"/>
    <s v="User Not Mapped"/>
    <s v="User Not Mapped"/>
    <s v="User Not Mapped"/>
    <n v="356089"/>
    <s v="Sabujayan  Krishibhander"/>
    <s v="Private Retailer"/>
    <s v="9734894019"/>
    <n v="2.8"/>
    <n v="768"/>
    <x v="2"/>
    <m/>
    <s v="2024-03-13"/>
    <s v="1287654"/>
    <s v="AZAD KRISHI BHANDAR"/>
    <s v="9836419256"/>
  </r>
  <r>
    <s v="RCF Import"/>
    <s v="MOP"/>
    <s v="WB"/>
    <x v="0"/>
    <s v="Swarupnagar"/>
    <s v="User Not Mapped"/>
    <s v="User Not Mapped"/>
    <s v="User Not Mapped"/>
    <n v="226513"/>
    <s v="Arvinda Ghosh"/>
    <s v="Private Retailer"/>
    <s v="9733491362"/>
    <n v="5.5"/>
    <n v="61"/>
    <x v="6"/>
    <m/>
    <s v="2026-02-18"/>
    <s v="1048909"/>
    <s v="B K ROY AND COMPANY"/>
    <s v="9734516484"/>
  </r>
  <r>
    <s v="RCF Import"/>
    <s v="MOP"/>
    <s v="WB"/>
    <x v="0"/>
    <s v="Gaighata"/>
    <s v="User Not Mapped"/>
    <s v="User Not Mapped"/>
    <s v="User Not Mapped"/>
    <n v="411413"/>
    <s v="Ashit Mondal"/>
    <s v="Private Retailer"/>
    <s v="8641866531"/>
    <n v="0.45"/>
    <n v="61"/>
    <x v="6"/>
    <m/>
    <s v="2026-02-18"/>
    <s v="1048909"/>
    <s v="B K ROY AND COMPANY"/>
    <s v="9734516484"/>
  </r>
  <r>
    <s v="RCF Trombay"/>
    <s v="15-15-15"/>
    <s v="WB"/>
    <x v="0"/>
    <s v="Gaighata"/>
    <s v="User Not Mapped"/>
    <s v="User Not Mapped"/>
    <s v="User Not Mapped"/>
    <n v="411413"/>
    <s v="Ashit Mondal"/>
    <s v="Private Retailer"/>
    <s v="8641866531"/>
    <n v="0.57499999999999996"/>
    <n v="90"/>
    <x v="6"/>
    <m/>
    <s v="2026-01-20"/>
    <s v="1048909"/>
    <s v="B K ROY AND COMPANY"/>
    <s v="9734516484"/>
  </r>
  <r>
    <s v="RCF Trombay"/>
    <s v="15-15-15"/>
    <s v="WB"/>
    <x v="0"/>
    <s v="Habra - I"/>
    <s v="User Not Mapped"/>
    <s v="User Not Mapped"/>
    <s v="User Not Mapped"/>
    <n v="354778"/>
    <s v="Basanta Kumar RoyandCo"/>
    <s v="Private Retailer"/>
    <s v="9734516484"/>
    <n v="8.5"/>
    <n v="2"/>
    <x v="5"/>
    <m/>
    <s v="2026-04-18"/>
    <s v="1048909"/>
    <s v="B K ROY AND COMPANY"/>
    <s v="9734516484"/>
  </r>
  <r>
    <s v="RCF Import"/>
    <s v="MOP"/>
    <s v="WB"/>
    <x v="0"/>
    <s v="Habra - I"/>
    <s v="User Not Mapped"/>
    <s v="User Not Mapped"/>
    <s v="User Not Mapped"/>
    <n v="354778"/>
    <s v="Basanta Kumar RoyandCo"/>
    <s v="Private Retailer"/>
    <s v="9734516484"/>
    <n v="4.5"/>
    <n v="2"/>
    <x v="5"/>
    <m/>
    <s v="2026-04-18"/>
    <s v="1048909"/>
    <s v="B K ROY AND COMPANY"/>
    <s v="9734516484"/>
  </r>
  <r>
    <s v="RCF Import"/>
    <s v="Imp 10-26-26"/>
    <s v="WB"/>
    <x v="0"/>
    <s v="Habra - I"/>
    <s v="User Not Mapped"/>
    <s v="User Not Mapped"/>
    <s v="User Not Mapped"/>
    <n v="354778"/>
    <s v="Basanta Kumar RoyandCo"/>
    <s v="Private Retailer"/>
    <s v="9734516484"/>
    <n v="16.8"/>
    <n v="11"/>
    <x v="5"/>
    <m/>
    <s v="2026-04-09"/>
    <s v="1048909"/>
    <s v="B K ROY AND COMPANY"/>
    <s v="9734516484"/>
  </r>
  <r>
    <s v="RCF Thal"/>
    <s v="N.C.Urea(45kg)"/>
    <s v="WB"/>
    <x v="0"/>
    <s v="Habra - I"/>
    <s v="User Not Mapped"/>
    <s v="User Not Mapped"/>
    <s v="User Not Mapped"/>
    <n v="354778"/>
    <s v="Basanta Kumar RoyandCo"/>
    <s v="Private Retailer"/>
    <s v="9734516484"/>
    <n v="16.12"/>
    <n v="11"/>
    <x v="5"/>
    <m/>
    <s v="2026-04-09"/>
    <s v="1048909"/>
    <s v="B K ROY AND COMPANY"/>
    <s v="9734516484"/>
  </r>
  <r>
    <s v="RCF Trombay"/>
    <s v="15-15-15"/>
    <s v="WB"/>
    <x v="0"/>
    <s v="Habra - I"/>
    <s v="User Not Mapped"/>
    <s v="User Not Mapped"/>
    <s v="User Not Mapped"/>
    <n v="354778"/>
    <s v="Basanta Kumar RoyandCo"/>
    <s v="Private Retailer"/>
    <s v="9734516484"/>
    <n v="0.25"/>
    <n v="11"/>
    <x v="5"/>
    <m/>
    <s v="2026-04-09"/>
    <s v="1048909"/>
    <s v="B K ROY AND COMPANY"/>
    <s v="9734516484"/>
  </r>
  <r>
    <s v="RCF Trombay"/>
    <s v="N.C.Urea(45kg)"/>
    <s v="WB"/>
    <x v="0"/>
    <s v="Habra - I"/>
    <s v="User Not Mapped"/>
    <s v="User Not Mapped"/>
    <s v="User Not Mapped"/>
    <n v="354778"/>
    <s v="Basanta Kumar RoyandCo"/>
    <s v="Private Retailer"/>
    <s v="9734516484"/>
    <n v="17.8"/>
    <n v="2"/>
    <x v="5"/>
    <m/>
    <s v="2026-04-18"/>
    <s v="1048909"/>
    <s v="B K ROY AND COMPANY"/>
    <s v="9734516484"/>
  </r>
  <r>
    <s v="RCF Trombay"/>
    <s v="N.C.Urea(45kg)"/>
    <s v="WB"/>
    <x v="0"/>
    <s v="Bongaon"/>
    <s v="User Not Mapped"/>
    <s v="User Not Mapped"/>
    <s v="User Not Mapped"/>
    <n v="354824"/>
    <s v="Bidhan Chandra  Sar Kar"/>
    <s v="Private Retailer"/>
    <s v="9732456640"/>
    <n v="0.02"/>
    <n v="69"/>
    <x v="6"/>
    <m/>
    <s v="2026-02-10"/>
    <s v="1048909"/>
    <s v="B K ROY AND COMPANY"/>
    <s v="9734516484"/>
  </r>
  <r>
    <s v="RCF Thal"/>
    <s v="N.C.Urea(45kg)"/>
    <s v="WB"/>
    <x v="0"/>
    <s v="Bongaon"/>
    <s v="User Not Mapped"/>
    <s v="User Not Mapped"/>
    <s v="User Not Mapped"/>
    <n v="354824"/>
    <s v="Bidhan Chandra  Sar Kar"/>
    <s v="Private Retailer"/>
    <s v="9732456640"/>
    <n v="0.27"/>
    <n v="38"/>
    <x v="3"/>
    <m/>
    <s v="2026-03-13"/>
    <s v="1048909"/>
    <s v="B K ROY AND COMPANY"/>
    <s v="9734516484"/>
  </r>
  <r>
    <s v="RCF Thal"/>
    <s v="N.C.Urea(45kg)"/>
    <s v="WB"/>
    <x v="0"/>
    <s v="Bongaon"/>
    <s v="User Not Mapped"/>
    <s v="User Not Mapped"/>
    <s v="User Not Mapped"/>
    <n v="490665"/>
    <s v="Bikash Ch.Sarkar"/>
    <s v="Private Retailer"/>
    <s v="9735784501"/>
    <n v="2.7450000000000001"/>
    <n v="38"/>
    <x v="3"/>
    <m/>
    <s v="2026-03-13"/>
    <s v="1048909"/>
    <s v="B K ROY AND COMPANY"/>
    <s v="9734516484"/>
  </r>
  <r>
    <s v="RCF Trombay"/>
    <s v="N.C.Urea(45kg)"/>
    <s v="WB"/>
    <x v="0"/>
    <s v="Bongaon"/>
    <s v="User Not Mapped"/>
    <s v="User Not Mapped"/>
    <s v="User Not Mapped"/>
    <n v="490665"/>
    <s v="Bikash Ch.Sarkar"/>
    <s v="Private Retailer"/>
    <s v="9735784501"/>
    <n v="3.15"/>
    <n v="69"/>
    <x v="6"/>
    <m/>
    <s v="2026-02-10"/>
    <s v="1048909"/>
    <s v="B K ROY AND COMPANY"/>
    <s v="9734516484"/>
  </r>
  <r>
    <s v="RCF Trombay"/>
    <s v="N.C.Urea(45kg)"/>
    <s v="WB"/>
    <x v="0"/>
    <s v="Bongaon"/>
    <s v="User Not Mapped"/>
    <s v="User Not Mapped"/>
    <s v="User Not Mapped"/>
    <n v="490665"/>
    <s v="Bikash Ch.Sarkar"/>
    <s v="Private Retailer"/>
    <s v="9735784501"/>
    <n v="3.15"/>
    <n v="85"/>
    <x v="6"/>
    <m/>
    <s v="2026-01-25"/>
    <s v="1048909"/>
    <s v="B K ROY AND COMPANY"/>
    <s v="9734516484"/>
  </r>
  <r>
    <s v="RCF Trombay"/>
    <s v="15-15-15"/>
    <s v="WB"/>
    <x v="0"/>
    <s v="Bongaon"/>
    <s v="User Not Mapped"/>
    <s v="User Not Mapped"/>
    <s v="User Not Mapped"/>
    <n v="490665"/>
    <s v="Bikash Ch.Sarkar"/>
    <s v="Private Retailer"/>
    <s v="9735784501"/>
    <n v="3"/>
    <n v="85"/>
    <x v="6"/>
    <m/>
    <s v="2026-01-25"/>
    <s v="1048909"/>
    <s v="B K ROY AND COMPANY"/>
    <s v="9734516484"/>
  </r>
  <r>
    <s v="RCF Trombay"/>
    <s v="N.C.Urea(45kg)"/>
    <s v="WB"/>
    <x v="0"/>
    <s v="Bongaon"/>
    <s v="User Not Mapped"/>
    <s v="User Not Mapped"/>
    <s v="User Not Mapped"/>
    <n v="490665"/>
    <s v="Bikash Ch.Sarkar"/>
    <s v="Private Retailer"/>
    <s v="9735784501"/>
    <n v="4.4999999999999998E-2"/>
    <n v="215"/>
    <x v="1"/>
    <m/>
    <s v="2025-09-17"/>
    <s v="1048909"/>
    <s v="B K ROY AND COMPANY"/>
    <s v="9734516484"/>
  </r>
  <r>
    <s v="RCF Trombay"/>
    <s v="15-15-15"/>
    <s v="WB"/>
    <x v="0"/>
    <s v="Bongaon"/>
    <s v="User Not Mapped"/>
    <s v="User Not Mapped"/>
    <s v="User Not Mapped"/>
    <n v="490665"/>
    <s v="Bikash Ch.Sarkar"/>
    <s v="Private Retailer"/>
    <s v="9735784501"/>
    <n v="0.95"/>
    <n v="248"/>
    <x v="1"/>
    <m/>
    <s v="2025-08-15"/>
    <s v="1048909"/>
    <s v="B K ROY AND COMPANY"/>
    <s v="9734516484"/>
  </r>
  <r>
    <s v="RCF Import"/>
    <s v="MOP"/>
    <s v="WB"/>
    <x v="0"/>
    <s v="Gaighata"/>
    <s v="User Not Mapped"/>
    <s v="User Not Mapped"/>
    <s v="User Not Mapped"/>
    <n v="269469"/>
    <s v="Haran Saha and Rafik Mondal"/>
    <s v="Private Retailer"/>
    <s v="7478755384"/>
    <n v="0.15"/>
    <n v="61"/>
    <x v="6"/>
    <m/>
    <s v="2026-02-18"/>
    <s v="1048909"/>
    <s v="B K ROY AND COMPANY"/>
    <s v="9734516484"/>
  </r>
  <r>
    <s v="RCF Trombay"/>
    <s v="15-15-15"/>
    <s v="WB"/>
    <x v="0"/>
    <s v="Gaighata"/>
    <s v="User Not Mapped"/>
    <s v="User Not Mapped"/>
    <s v="User Not Mapped"/>
    <n v="269469"/>
    <s v="Haran Saha and Rafik Mondal"/>
    <s v="Private Retailer"/>
    <s v="7478755384"/>
    <n v="0.05"/>
    <n v="69"/>
    <x v="6"/>
    <m/>
    <s v="2026-02-10"/>
    <s v="1048909"/>
    <s v="B K ROY AND COMPANY"/>
    <s v="9734516484"/>
  </r>
  <r>
    <s v="RCF Trombay"/>
    <s v="N.C.Urea(45kg)"/>
    <s v="WB"/>
    <x v="0"/>
    <s v="Bongaon"/>
    <s v="User Not Mapped"/>
    <s v="User Not Mapped"/>
    <s v="User Not Mapped"/>
    <n v="355079"/>
    <s v="JADAB CHANDRA DUTTA"/>
    <s v="Private Retailer"/>
    <s v="9733208855"/>
    <n v="1.53"/>
    <n v="69"/>
    <x v="6"/>
    <m/>
    <s v="2026-02-10"/>
    <s v="1048909"/>
    <s v="B K ROY AND COMPANY"/>
    <s v="9734516484"/>
  </r>
  <r>
    <s v="RCF Thal"/>
    <s v="N.C.Urea(45kg)"/>
    <s v="WB"/>
    <x v="0"/>
    <s v="Bongaon"/>
    <s v="User Not Mapped"/>
    <s v="User Not Mapped"/>
    <s v="User Not Mapped"/>
    <n v="355079"/>
    <s v="JADAB CHANDRA DUTTA"/>
    <s v="Private Retailer"/>
    <s v="9733208855"/>
    <n v="0.01"/>
    <n v="275"/>
    <x v="1"/>
    <m/>
    <s v="2025-07-19"/>
    <s v="1048909"/>
    <s v="B K ROY AND COMPANY"/>
    <s v="9734516484"/>
  </r>
  <r>
    <s v="RCF Trombay"/>
    <s v="15-15-15"/>
    <s v="WB"/>
    <x v="0"/>
    <s v="Bongaon"/>
    <s v="User Not Mapped"/>
    <s v="User Not Mapped"/>
    <s v="User Not Mapped"/>
    <n v="355079"/>
    <s v="JADAB CHANDRA DUTTA"/>
    <s v="Private Retailer"/>
    <s v="9733208855"/>
    <n v="1.5"/>
    <n v="69"/>
    <x v="6"/>
    <m/>
    <s v="2026-02-10"/>
    <s v="1048909"/>
    <s v="B K ROY AND COMPANY"/>
    <s v="9734516484"/>
  </r>
  <r>
    <s v="RCF Trombay"/>
    <s v="15-15-15"/>
    <s v="WB"/>
    <x v="0"/>
    <s v="Barasat - II"/>
    <s v="User Not Mapped"/>
    <s v="User Not Mapped"/>
    <s v="User Not Mapped"/>
    <n v="355313"/>
    <s v="Ma Laxmi Krishi Bhander"/>
    <s v="Private Retailer"/>
    <s v="9733582048"/>
    <n v="0.95"/>
    <n v="250"/>
    <x v="1"/>
    <m/>
    <s v="2025-08-13"/>
    <s v="1048909"/>
    <s v="B K ROY AND COMPANY"/>
    <s v="9734516484"/>
  </r>
  <r>
    <s v="RCF Thal"/>
    <s v="N.C.Urea(45kg)"/>
    <s v="WB"/>
    <x v="0"/>
    <s v="Barasat - II"/>
    <s v="User Not Mapped"/>
    <s v="User Not Mapped"/>
    <s v="User Not Mapped"/>
    <n v="355313"/>
    <s v="Ma Laxmi Krishi Bhander"/>
    <s v="Private Retailer"/>
    <s v="9733582048"/>
    <n v="2.56"/>
    <n v="223"/>
    <x v="1"/>
    <m/>
    <s v="2025-09-09"/>
    <s v="1048909"/>
    <s v="B K ROY AND COMPANY"/>
    <s v="9734516484"/>
  </r>
  <r>
    <s v="RCF Trombay"/>
    <s v="15-15-15"/>
    <s v="WB"/>
    <x v="0"/>
    <s v="Gaighata"/>
    <s v="User Not Mapped"/>
    <s v="User Not Mapped"/>
    <s v="User Not Mapped"/>
    <n v="355656"/>
    <s v="Mijanur Rahman  Dafa Der"/>
    <s v="Private Retailer"/>
    <s v="9800041211"/>
    <n v="1.35"/>
    <n v="69"/>
    <x v="6"/>
    <m/>
    <s v="2026-02-10"/>
    <s v="1048909"/>
    <s v="B K ROY AND COMPANY"/>
    <s v="9734516484"/>
  </r>
  <r>
    <s v="RCF Trombay"/>
    <s v="N.C.Urea(45kg)"/>
    <s v="WB"/>
    <x v="0"/>
    <s v="Gaighata"/>
    <s v="User Not Mapped"/>
    <s v="User Not Mapped"/>
    <s v="User Not Mapped"/>
    <n v="1398654"/>
    <s v="MONDAL KRISHI BHANDER"/>
    <s v="Private Retailer"/>
    <s v="8918338037"/>
    <n v="4.32"/>
    <n v="69"/>
    <x v="6"/>
    <m/>
    <s v="2026-02-10"/>
    <s v="1048909"/>
    <s v="B K ROY AND COMPANY"/>
    <s v="9734516484"/>
  </r>
  <r>
    <s v="RCF Trombay"/>
    <s v="15-15-15"/>
    <s v="WB"/>
    <x v="0"/>
    <s v="Gaighata"/>
    <s v="User Not Mapped"/>
    <s v="User Not Mapped"/>
    <s v="User Not Mapped"/>
    <n v="1398654"/>
    <s v="MONDAL KRISHI BHANDER"/>
    <s v="Private Retailer"/>
    <s v="8918338037"/>
    <n v="5"/>
    <n v="69"/>
    <x v="6"/>
    <m/>
    <s v="2026-02-10"/>
    <s v="1048909"/>
    <s v="B K ROY AND COMPANY"/>
    <s v="9734516484"/>
  </r>
  <r>
    <s v="RCF Trombay"/>
    <s v="15-15-15"/>
    <s v="WB"/>
    <x v="0"/>
    <s v="Gaighata"/>
    <s v="User Not Mapped"/>
    <s v="User Not Mapped"/>
    <s v="User Not Mapped"/>
    <n v="497745"/>
    <s v="Nilkanta Ghosh"/>
    <s v="Private Retailer"/>
    <s v="8967410038"/>
    <n v="5.5"/>
    <n v="69"/>
    <x v="6"/>
    <m/>
    <s v="2026-02-10"/>
    <s v="1048909"/>
    <s v="B K ROY AND COMPANY"/>
    <s v="9734516484"/>
  </r>
  <r>
    <s v="RCF Trombay"/>
    <s v="15-15-15"/>
    <s v="WB"/>
    <x v="0"/>
    <m/>
    <s v="User Not Mapped"/>
    <s v="User Not Mapped"/>
    <s v="User Not Mapped"/>
    <n v="227058"/>
    <s v="Parabir Kr. Ghosh"/>
    <s v="Private Retailer"/>
    <s v="9775631272"/>
    <n v="1"/>
    <n v="59"/>
    <x v="3"/>
    <m/>
    <s v="2026-02-20"/>
    <s v="1048909"/>
    <s v="B K ROY AND COMPANY"/>
    <s v="9734516484"/>
  </r>
  <r>
    <s v="RCF Thal"/>
    <s v="N.C.Urea(45kg)"/>
    <s v="WB"/>
    <x v="0"/>
    <m/>
    <s v="User Not Mapped"/>
    <s v="User Not Mapped"/>
    <s v="User Not Mapped"/>
    <n v="227058"/>
    <s v="Parabir Kr. Ghosh"/>
    <s v="Private Retailer"/>
    <s v="9775631272"/>
    <n v="1.155"/>
    <n v="59"/>
    <x v="3"/>
    <m/>
    <s v="2026-02-20"/>
    <s v="1048909"/>
    <s v="B K ROY AND COMPANY"/>
    <s v="9734516484"/>
  </r>
  <r>
    <s v="RCF Import"/>
    <s v="MOP"/>
    <s v="WB"/>
    <x v="0"/>
    <m/>
    <s v="User Not Mapped"/>
    <s v="User Not Mapped"/>
    <s v="User Not Mapped"/>
    <n v="227058"/>
    <s v="Parabir Kr. Ghosh"/>
    <s v="Private Retailer"/>
    <s v="9775631272"/>
    <n v="2.4500000000000002"/>
    <n v="61"/>
    <x v="6"/>
    <m/>
    <s v="2026-02-18"/>
    <s v="1048909"/>
    <s v="B K ROY AND COMPANY"/>
    <s v="9734516484"/>
  </r>
  <r>
    <s v="RCF Trombay"/>
    <s v="15-15-15"/>
    <s v="WB"/>
    <x v="0"/>
    <s v="Swarupnagar"/>
    <s v="User Not Mapped"/>
    <s v="User Not Mapped"/>
    <s v="User Not Mapped"/>
    <n v="227085"/>
    <s v="Rabindra Nath Sarkar"/>
    <s v="Private Retailer"/>
    <s v="9734578137"/>
    <n v="2.15"/>
    <n v="142"/>
    <x v="4"/>
    <m/>
    <s v="2025-11-29"/>
    <s v="1048909"/>
    <s v="B K ROY AND COMPANY"/>
    <s v="9734516484"/>
  </r>
  <r>
    <s v="RCF Trombay"/>
    <s v="N.C.Urea(45kg)"/>
    <s v="WB"/>
    <x v="0"/>
    <s v="Bongaon"/>
    <s v="User Not Mapped"/>
    <s v="User Not Mapped"/>
    <s v="User Not Mapped"/>
    <n v="356224"/>
    <s v="Samir Kumar  Mondal"/>
    <s v="Private Retailer"/>
    <s v="9002008232"/>
    <n v="4.68"/>
    <n v="69"/>
    <x v="6"/>
    <m/>
    <s v="2026-02-10"/>
    <s v="1048909"/>
    <s v="B K ROY AND COMPANY"/>
    <s v="9734516484"/>
  </r>
  <r>
    <s v="RCF Trombay"/>
    <s v="N.C.Urea(45kg)"/>
    <s v="WB"/>
    <x v="0"/>
    <s v="Bongaon"/>
    <s v="User Not Mapped"/>
    <s v="User Not Mapped"/>
    <s v="User Not Mapped"/>
    <n v="356224"/>
    <s v="Samir Kumar  Mondal"/>
    <s v="Private Retailer"/>
    <s v="9002008232"/>
    <n v="3.6"/>
    <n v="85"/>
    <x v="6"/>
    <m/>
    <s v="2026-01-25"/>
    <s v="1048909"/>
    <s v="B K ROY AND COMPANY"/>
    <s v="9734516484"/>
  </r>
  <r>
    <s v="RCF Trombay"/>
    <s v="15-15-15"/>
    <s v="WB"/>
    <x v="0"/>
    <s v="Bongaon"/>
    <s v="User Not Mapped"/>
    <s v="User Not Mapped"/>
    <s v="User Not Mapped"/>
    <n v="356224"/>
    <s v="Samir Kumar  Mondal"/>
    <s v="Private Retailer"/>
    <s v="9002008232"/>
    <n v="4"/>
    <n v="85"/>
    <x v="6"/>
    <m/>
    <s v="2026-01-25"/>
    <s v="1048909"/>
    <s v="B K ROY AND COMPANY"/>
    <s v="9734516484"/>
  </r>
  <r>
    <s v="RCF Trombay"/>
    <s v="15-15-15"/>
    <s v="WB"/>
    <x v="0"/>
    <s v="Gaighata"/>
    <s v="User Not Mapped"/>
    <s v="User Not Mapped"/>
    <s v="User Not Mapped"/>
    <n v="356226"/>
    <s v="Samir Kumar Roy"/>
    <s v="Private Retailer"/>
    <s v="9641602880"/>
    <n v="2"/>
    <n v="69"/>
    <x v="6"/>
    <m/>
    <s v="2026-02-10"/>
    <s v="1048909"/>
    <s v="B K ROY AND COMPANY"/>
    <s v="9734516484"/>
  </r>
  <r>
    <s v="RCF Thal"/>
    <s v="N.C.Urea(45kg)"/>
    <s v="WB"/>
    <x v="0"/>
    <s v="Gaighata"/>
    <s v="User Not Mapped"/>
    <s v="User Not Mapped"/>
    <s v="User Not Mapped"/>
    <n v="356226"/>
    <s v="Samir Kumar Roy"/>
    <s v="Private Retailer"/>
    <s v="9641602880"/>
    <n v="0.05"/>
    <n v="144"/>
    <x v="4"/>
    <m/>
    <s v="2025-11-27"/>
    <s v="1048909"/>
    <s v="B K ROY AND COMPANY"/>
    <s v="9734516484"/>
  </r>
  <r>
    <s v="RCF Trombay"/>
    <s v="N.C.Urea(45kg)"/>
    <s v="WB"/>
    <x v="0"/>
    <s v="Gaighata"/>
    <s v="User Not Mapped"/>
    <s v="User Not Mapped"/>
    <s v="User Not Mapped"/>
    <n v="457849"/>
    <s v="Satya Priya Palit"/>
    <s v="Private Retailer"/>
    <s v="7586992715"/>
    <n v="0.03"/>
    <n v="250"/>
    <x v="1"/>
    <m/>
    <s v="2025-08-13"/>
    <s v="1048909"/>
    <s v="B K ROY AND COMPANY"/>
    <s v="9734516484"/>
  </r>
  <r>
    <s v="RCF Trombay"/>
    <s v="15-15-15"/>
    <s v="WB"/>
    <x v="0"/>
    <s v="Baduria"/>
    <s v="User Not Mapped"/>
    <s v="User Not Mapped"/>
    <s v="User Not Mapped"/>
    <n v="227198"/>
    <s v="Sima Krishi Bhandar"/>
    <s v="Private Retailer"/>
    <s v="7479185710"/>
    <n v="0.5"/>
    <n v="85"/>
    <x v="6"/>
    <m/>
    <s v="2026-01-25"/>
    <s v="1048909"/>
    <s v="B K ROY AND COMPANY"/>
    <s v="9734516484"/>
  </r>
  <r>
    <s v="RCF Trombay"/>
    <s v="15-15-15"/>
    <s v="WB"/>
    <x v="0"/>
    <s v="Gaighata"/>
    <s v="User Not Mapped"/>
    <s v="User Not Mapped"/>
    <s v="User Not Mapped"/>
    <n v="632948"/>
    <s v="SUJAY MONDAL"/>
    <s v="Private Retailer"/>
    <s v="9434613693"/>
    <n v="3"/>
    <n v="69"/>
    <x v="6"/>
    <m/>
    <s v="2026-02-10"/>
    <s v="1048909"/>
    <s v="B K ROY AND COMPANY"/>
    <s v="9734516484"/>
  </r>
  <r>
    <s v="RCF Trombay"/>
    <s v="N.C.Urea(45kg)"/>
    <s v="WB"/>
    <x v="0"/>
    <s v="Gaighata"/>
    <s v="User Not Mapped"/>
    <s v="User Not Mapped"/>
    <s v="User Not Mapped"/>
    <n v="632948"/>
    <s v="SUJAY MONDAL"/>
    <s v="Private Retailer"/>
    <s v="9434613693"/>
    <n v="0.41699999999999998"/>
    <n v="223"/>
    <x v="1"/>
    <m/>
    <s v="2025-09-09"/>
    <s v="1048909"/>
    <s v="B K ROY AND COMPANY"/>
    <s v="9734516484"/>
  </r>
  <r>
    <s v="RCF Trombay"/>
    <s v="15-15-15"/>
    <s v="WB"/>
    <x v="0"/>
    <s v="Basirhat - I"/>
    <s v="User Not Mapped"/>
    <s v="User Not Mapped"/>
    <s v="User Not Mapped"/>
    <n v="632952"/>
    <s v="TAPAN KUMAR DAS"/>
    <s v="Private Retailer"/>
    <s v="7797535679"/>
    <n v="0.65"/>
    <n v="43"/>
    <x v="3"/>
    <m/>
    <s v="2026-03-08"/>
    <s v="1048909"/>
    <s v="B K ROY AND COMPANY"/>
    <s v="9734516484"/>
  </r>
  <r>
    <s v="RCF Thal"/>
    <s v="N.C.Urea(45kg)"/>
    <s v="WB"/>
    <x v="0"/>
    <s v="Basirhat - I"/>
    <s v="User Not Mapped"/>
    <s v="User Not Mapped"/>
    <s v="User Not Mapped"/>
    <n v="632952"/>
    <s v="TAPAN KUMAR DAS"/>
    <s v="Private Retailer"/>
    <s v="7797535679"/>
    <n v="5.0000000000000001E-3"/>
    <n v="130"/>
    <x v="4"/>
    <m/>
    <s v="2025-12-11"/>
    <s v="1048909"/>
    <s v="B K ROY AND COMPANY"/>
    <s v="9734516484"/>
  </r>
  <r>
    <s v="RCF Trombay"/>
    <s v="15-15-15"/>
    <s v="WB"/>
    <x v="0"/>
    <s v="Basirhat - I"/>
    <s v="User Not Mapped"/>
    <s v="User Not Mapped"/>
    <s v="User Not Mapped"/>
    <n v="632952"/>
    <s v="TAPAN KUMAR DAS"/>
    <s v="Private Retailer"/>
    <s v="7797535679"/>
    <n v="3"/>
    <n v="11"/>
    <x v="5"/>
    <m/>
    <s v="2026-04-09"/>
    <s v="1048909"/>
    <s v="B K ROY AND COMPANY"/>
    <s v="9734516484"/>
  </r>
  <r>
    <s v="RCF Import"/>
    <s v="Imp 10-26-26"/>
    <s v="WB"/>
    <x v="0"/>
    <s v="Basirhat - I"/>
    <s v="User Not Mapped"/>
    <s v="User Not Mapped"/>
    <s v="User Not Mapped"/>
    <n v="632952"/>
    <s v="TAPAN KUMAR DAS"/>
    <s v="Private Retailer"/>
    <s v="7797535679"/>
    <n v="2.85"/>
    <n v="11"/>
    <x v="5"/>
    <m/>
    <s v="2026-04-09"/>
    <s v="1048909"/>
    <s v="B K ROY AND COMPANY"/>
    <s v="9734516484"/>
  </r>
  <r>
    <s v="RCF Import"/>
    <s v="MOP"/>
    <s v="WB"/>
    <x v="0"/>
    <s v="Basirhat - I"/>
    <s v="User Not Mapped"/>
    <s v="User Not Mapped"/>
    <s v="User Not Mapped"/>
    <n v="632952"/>
    <s v="TAPAN KUMAR DAS"/>
    <s v="Private Retailer"/>
    <s v="7797535679"/>
    <n v="1"/>
    <n v="43"/>
    <x v="3"/>
    <m/>
    <s v="2026-03-08"/>
    <s v="1048909"/>
    <s v="B K ROY AND COMPANY"/>
    <s v="9734516484"/>
  </r>
  <r>
    <s v="RCF Import"/>
    <s v="MOP"/>
    <s v="WB"/>
    <x v="0"/>
    <s v="Basirhat - I"/>
    <s v="User Not Mapped"/>
    <s v="User Not Mapped"/>
    <s v="User Not Mapped"/>
    <n v="632952"/>
    <s v="TAPAN KUMAR DAS"/>
    <s v="Private Retailer"/>
    <s v="7797535679"/>
    <n v="1.35"/>
    <n v="61"/>
    <x v="6"/>
    <m/>
    <s v="2026-02-18"/>
    <s v="1048909"/>
    <s v="B K ROY AND COMPANY"/>
    <s v="9734516484"/>
  </r>
  <r>
    <s v="RCF Trombay"/>
    <s v="N.C.Urea(45kg)"/>
    <s v="WB"/>
    <x v="0"/>
    <s v="Basirhat - I"/>
    <s v="User Not Mapped"/>
    <s v="User Not Mapped"/>
    <s v="User Not Mapped"/>
    <n v="632952"/>
    <s v="TAPAN KUMAR DAS"/>
    <s v="Private Retailer"/>
    <s v="7797535679"/>
    <n v="0.155"/>
    <n v="43"/>
    <x v="3"/>
    <m/>
    <s v="2026-03-08"/>
    <s v="1048909"/>
    <s v="B K ROY AND COMPANY"/>
    <s v="9734516484"/>
  </r>
  <r>
    <s v="RCF Import"/>
    <s v="Imp 10-26-26"/>
    <s v="WB"/>
    <x v="0"/>
    <s v="Bongaon"/>
    <s v="User Not Mapped"/>
    <s v="User Not Mapped"/>
    <s v="User Not Mapped"/>
    <n v="1331233"/>
    <s v="HABIBUR RAHAMAN MONDIL"/>
    <s v="Private Retailer"/>
    <s v="8337844984"/>
    <n v="0.25"/>
    <n v="146"/>
    <x v="4"/>
    <m/>
    <s v="2025-11-25"/>
    <s v="460751"/>
    <s v="Bachu Gain"/>
    <s v="7384859398"/>
  </r>
  <r>
    <s v="RCF Trombay"/>
    <s v="15-15-15"/>
    <s v="WB"/>
    <x v="0"/>
    <s v="Bongaon"/>
    <s v="User Not Mapped"/>
    <s v="User Not Mapped"/>
    <s v="User Not Mapped"/>
    <n v="1490379"/>
    <s v="RABIOL MANDAL"/>
    <s v="Private Retailer"/>
    <s v="9732451033"/>
    <n v="0.45"/>
    <n v="272"/>
    <x v="1"/>
    <m/>
    <s v="2025-07-22"/>
    <s v="460751"/>
    <s v="Bachu Gain"/>
    <s v="7384859398"/>
  </r>
  <r>
    <s v="RCF Import"/>
    <s v="Imp 10-26-26"/>
    <s v="WB"/>
    <x v="0"/>
    <s v="Bongaon"/>
    <s v="User Not Mapped"/>
    <s v="User Not Mapped"/>
    <s v="User Not Mapped"/>
    <n v="1490379"/>
    <s v="RABIOL MANDAL"/>
    <s v="Private Retailer"/>
    <s v="9732451033"/>
    <n v="0.1"/>
    <n v="180"/>
    <x v="4"/>
    <m/>
    <s v="2025-10-22"/>
    <s v="460751"/>
    <s v="Bachu Gain"/>
    <s v="7384859398"/>
  </r>
  <r>
    <s v="RCF Import"/>
    <s v="Imp 10-26-26"/>
    <s v="WB"/>
    <x v="0"/>
    <s v="Bongaon"/>
    <s v="User Not Mapped"/>
    <s v="User Not Mapped"/>
    <s v="User Not Mapped"/>
    <n v="457310"/>
    <s v="Ranjit Biswas"/>
    <s v="Private Retailer"/>
    <s v="9679194241"/>
    <n v="2.5000000000000001E-2"/>
    <n v="272"/>
    <x v="1"/>
    <m/>
    <s v="2025-07-22"/>
    <s v="460751"/>
    <s v="Bachu Gain"/>
    <s v="7384859398"/>
  </r>
  <r>
    <s v="RCF Trombay"/>
    <s v="N.C.Urea(45kg)"/>
    <s v="WB"/>
    <x v="0"/>
    <s v="Bongaon"/>
    <s v="User Not Mapped"/>
    <s v="User Not Mapped"/>
    <s v="User Not Mapped"/>
    <n v="457310"/>
    <s v="Ranjit Biswas"/>
    <s v="Private Retailer"/>
    <s v="9679194241"/>
    <n v="3.4649999999999999"/>
    <n v="257"/>
    <x v="1"/>
    <m/>
    <s v="2025-08-06"/>
    <s v="460751"/>
    <s v="Bachu Gain"/>
    <s v="7384859398"/>
  </r>
  <r>
    <s v="RCF Trombay"/>
    <s v="15-15-15"/>
    <s v="WB"/>
    <x v="0"/>
    <s v="Bongaon"/>
    <s v="User Not Mapped"/>
    <s v="User Not Mapped"/>
    <s v="User Not Mapped"/>
    <n v="457310"/>
    <s v="Ranjit Biswas"/>
    <s v="Private Retailer"/>
    <s v="9679194241"/>
    <n v="0.5"/>
    <n v="272"/>
    <x v="1"/>
    <m/>
    <s v="2025-07-22"/>
    <s v="460751"/>
    <s v="Bachu Gain"/>
    <s v="7384859398"/>
  </r>
  <r>
    <s v="RCF Trombay"/>
    <s v="15-15-15"/>
    <s v="WB"/>
    <x v="0"/>
    <s v="Bongaon"/>
    <s v="User Not Mapped"/>
    <s v="User Not Mapped"/>
    <s v="User Not Mapped"/>
    <n v="458125"/>
    <s v="Ruhal Amin Mondal"/>
    <s v="Private Retailer"/>
    <s v="9609280571"/>
    <n v="0.85"/>
    <n v="272"/>
    <x v="1"/>
    <m/>
    <s v="2025-07-22"/>
    <s v="460751"/>
    <s v="Bachu Gain"/>
    <s v="7384859398"/>
  </r>
  <r>
    <s v="RCF Import"/>
    <s v="Imp 10-26-26"/>
    <s v="WB"/>
    <x v="0"/>
    <s v="Bongaon"/>
    <s v="User Not Mapped"/>
    <s v="User Not Mapped"/>
    <s v="User Not Mapped"/>
    <n v="458125"/>
    <s v="Ruhal Amin Mondal"/>
    <s v="Private Retailer"/>
    <s v="9609280571"/>
    <n v="0.75"/>
    <n v="197"/>
    <x v="1"/>
    <m/>
    <s v="2025-10-05"/>
    <s v="460751"/>
    <s v="Bachu Gain"/>
    <s v="7384859398"/>
  </r>
  <r>
    <s v="RCF Thal"/>
    <s v="N.C.Urea(45kg)"/>
    <s v="WB"/>
    <x v="0"/>
    <s v="Bongaon"/>
    <s v="User Not Mapped"/>
    <s v="User Not Mapped"/>
    <s v="User Not Mapped"/>
    <n v="1006459"/>
    <s v="SOLAIMAN MONDAL"/>
    <s v="Private Retailer"/>
    <s v="9144470027"/>
    <n v="5.49"/>
    <n v="180"/>
    <x v="4"/>
    <m/>
    <s v="2025-10-22"/>
    <s v="460751"/>
    <s v="Bachu Gain"/>
    <s v="7384859398"/>
  </r>
  <r>
    <s v="RCF Trombay"/>
    <s v="N.C.Urea(45kg)"/>
    <s v="WB"/>
    <x v="0"/>
    <s v="Amdanga"/>
    <s v="User Not Mapped"/>
    <s v="User Not Mapped"/>
    <s v="User Not Mapped"/>
    <n v="323590"/>
    <s v="Basudeb Ghosh"/>
    <s v="Private Retailer"/>
    <s v="9830210770"/>
    <n v="0.13500000000000001"/>
    <n v="55"/>
    <x v="3"/>
    <m/>
    <s v="2026-02-24"/>
    <s v="268650"/>
    <s v="Barasat Krishi Bipani"/>
    <s v="8336087625"/>
  </r>
  <r>
    <s v="RCF Thal"/>
    <s v="N.C.Urea(45kg)"/>
    <s v="WB"/>
    <x v="0"/>
    <s v="Amdanga"/>
    <s v="User Not Mapped"/>
    <s v="User Not Mapped"/>
    <s v="User Not Mapped"/>
    <n v="323590"/>
    <s v="Basudeb Ghosh"/>
    <s v="Private Retailer"/>
    <s v="9830210770"/>
    <n v="8.0549999999999997"/>
    <n v="18"/>
    <x v="5"/>
    <m/>
    <s v="2026-04-02"/>
    <s v="268650"/>
    <s v="Barasat Krishi Bipani"/>
    <s v="8336087625"/>
  </r>
  <r>
    <s v="RCF Import"/>
    <s v="Imp 10-26-26"/>
    <s v="WB"/>
    <x v="0"/>
    <s v="Basirhat - I"/>
    <s v="User Not Mapped"/>
    <s v="User Not Mapped"/>
    <s v="User Not Mapped"/>
    <n v="226569"/>
    <s v="Bimal Kumar Mollick"/>
    <s v="Private Retailer"/>
    <s v="9733992427"/>
    <n v="0.11700000000000001"/>
    <n v="157"/>
    <x v="4"/>
    <m/>
    <s v="2025-11-14"/>
    <s v="268650"/>
    <s v="Barasat Krishi Bipani"/>
    <s v="8336087625"/>
  </r>
  <r>
    <s v="RCF Trombay"/>
    <s v="15-15-15"/>
    <s v="WB"/>
    <x v="0"/>
    <s v="Basirhat - I"/>
    <s v="User Not Mapped"/>
    <s v="User Not Mapped"/>
    <s v="User Not Mapped"/>
    <n v="226569"/>
    <s v="Bimal Kumar Mollick"/>
    <s v="Private Retailer"/>
    <s v="9733992427"/>
    <n v="0.44"/>
    <n v="157"/>
    <x v="4"/>
    <m/>
    <s v="2025-11-14"/>
    <s v="268650"/>
    <s v="Barasat Krishi Bipani"/>
    <s v="8336087625"/>
  </r>
  <r>
    <s v="RCF Trombay"/>
    <s v="15-15-15"/>
    <s v="WB"/>
    <x v="0"/>
    <s v="Baduria"/>
    <s v="User Not Mapped"/>
    <s v="User Not Mapped"/>
    <s v="User Not Mapped"/>
    <n v="226580"/>
    <s v="Biswanath Mondal"/>
    <s v="Private Retailer"/>
    <s v="9735383595"/>
    <n v="0.19700000000000001"/>
    <n v="293"/>
    <x v="1"/>
    <m/>
    <s v="2025-07-01"/>
    <s v="268650"/>
    <s v="Barasat Krishi Bipani"/>
    <s v="8336087625"/>
  </r>
  <r>
    <s v="RCF Import"/>
    <s v="Imp 10-26-26"/>
    <s v="WB"/>
    <x v="0"/>
    <s v="Barasat - II"/>
    <s v="User Not Mapped"/>
    <s v="User Not Mapped"/>
    <s v="User Not Mapped"/>
    <n v="226770"/>
    <s v="Krishi Seva Kendra"/>
    <s v="Private Retailer"/>
    <s v="9163269088"/>
    <n v="0.6"/>
    <n v="24"/>
    <x v="5"/>
    <m/>
    <s v="2026-03-27"/>
    <s v="268650"/>
    <s v="Barasat Krishi Bipani"/>
    <s v="8336087625"/>
  </r>
  <r>
    <s v="RCF Trombay"/>
    <s v="15-15-15"/>
    <s v="WB"/>
    <x v="0"/>
    <s v="Barasat - II"/>
    <s v="User Not Mapped"/>
    <s v="User Not Mapped"/>
    <s v="User Not Mapped"/>
    <n v="355197"/>
    <s v="Krishi Unayan"/>
    <s v="Private Retailer"/>
    <s v="9830185164"/>
    <n v="0.68600000000000005"/>
    <n v="107"/>
    <x v="7"/>
    <m/>
    <s v="2026-01-03"/>
    <s v="268650"/>
    <s v="Barasat Krishi Bipani"/>
    <s v="8336087625"/>
  </r>
  <r>
    <s v="RCF Import"/>
    <s v="Imp 10-26-26"/>
    <s v="WB"/>
    <x v="0"/>
    <s v="Barasat - II"/>
    <s v="User Not Mapped"/>
    <s v="User Not Mapped"/>
    <s v="User Not Mapped"/>
    <n v="355197"/>
    <s v="Krishi Unayan"/>
    <s v="Private Retailer"/>
    <s v="9830185164"/>
    <n v="1.895"/>
    <n v="12"/>
    <x v="5"/>
    <m/>
    <s v="2026-04-08"/>
    <s v="268650"/>
    <s v="Barasat Krishi Bipani"/>
    <s v="8336087625"/>
  </r>
  <r>
    <s v="RCF Trombay"/>
    <s v="15-15-15"/>
    <s v="WB"/>
    <x v="0"/>
    <s v="Barasat - II"/>
    <s v="User Not Mapped"/>
    <s v="User Not Mapped"/>
    <s v="User Not Mapped"/>
    <n v="1542363"/>
    <s v="M/S BIRPUR FERTILIZER"/>
    <s v="Private Retailer"/>
    <s v="9330381535"/>
    <n v="0.05"/>
    <n v="301"/>
    <x v="1"/>
    <m/>
    <s v="2025-06-23"/>
    <s v="268650"/>
    <s v="Barasat Krishi Bipani"/>
    <s v="8336087625"/>
  </r>
  <r>
    <s v="RCF Import"/>
    <s v="MOP"/>
    <s v="WB"/>
    <x v="0"/>
    <s v="Barasat - I"/>
    <s v="User Not Mapped"/>
    <s v="User Not Mapped"/>
    <s v="User Not Mapped"/>
    <n v="226939"/>
    <s v="M/S Chowdhury and Co"/>
    <s v="Private Retailer"/>
    <s v="9831773160"/>
    <n v="0.05"/>
    <n v="94"/>
    <x v="7"/>
    <m/>
    <s v="2026-01-16"/>
    <s v="268650"/>
    <s v="Barasat Krishi Bipani"/>
    <s v="8336087625"/>
  </r>
  <r>
    <s v="RCF Trombay"/>
    <s v="15-15-15"/>
    <s v="WB"/>
    <x v="0"/>
    <s v="Barasat - II"/>
    <s v="User Not Mapped"/>
    <s v="User Not Mapped"/>
    <s v="User Not Mapped"/>
    <n v="411010"/>
    <s v="M/S Ghosh Fertiliser"/>
    <s v="Private Retailer"/>
    <s v="9748893789"/>
    <n v="2"/>
    <n v="49"/>
    <x v="3"/>
    <m/>
    <s v="2026-03-02"/>
    <s v="268650"/>
    <s v="Barasat Krishi Bipani"/>
    <s v="8336087625"/>
  </r>
  <r>
    <s v="RCF Trombay"/>
    <s v="N.C.Urea(45kg)"/>
    <s v="WB"/>
    <x v="0"/>
    <s v="Barasat - II"/>
    <s v="User Not Mapped"/>
    <s v="User Not Mapped"/>
    <s v="User Not Mapped"/>
    <n v="411010"/>
    <s v="M/S Ghosh Fertiliser"/>
    <s v="Private Retailer"/>
    <s v="9748893789"/>
    <n v="1.44"/>
    <n v="49"/>
    <x v="3"/>
    <m/>
    <s v="2026-03-02"/>
    <s v="268650"/>
    <s v="Barasat Krishi Bipani"/>
    <s v="8336087625"/>
  </r>
  <r>
    <s v="RCF Import"/>
    <s v="Imp 10-26-26"/>
    <s v="WB"/>
    <x v="0"/>
    <s v="Barasat - II"/>
    <s v="User Not Mapped"/>
    <s v="User Not Mapped"/>
    <s v="User Not Mapped"/>
    <n v="226970"/>
    <s v="M/S Krishi Bhandar"/>
    <s v="Private Retailer"/>
    <s v="9051133784"/>
    <n v="2.5000000000000001E-2"/>
    <n v="41"/>
    <x v="3"/>
    <m/>
    <s v="2026-03-10"/>
    <s v="268650"/>
    <s v="Barasat Krishi Bipani"/>
    <s v="8336087625"/>
  </r>
  <r>
    <s v="RCF Trombay"/>
    <s v="15-15-15"/>
    <s v="WB"/>
    <x v="0"/>
    <s v="Barasat - II"/>
    <s v="User Not Mapped"/>
    <s v="User Not Mapped"/>
    <s v="User Not Mapped"/>
    <n v="226970"/>
    <s v="M/S Krishi Bhandar"/>
    <s v="Private Retailer"/>
    <s v="9051133784"/>
    <n v="0.16"/>
    <n v="63"/>
    <x v="6"/>
    <m/>
    <s v="2026-02-16"/>
    <s v="268650"/>
    <s v="Barasat Krishi Bipani"/>
    <s v="8336087625"/>
  </r>
  <r>
    <s v="RCF Thal"/>
    <s v="N.C.Urea(45kg)"/>
    <s v="WB"/>
    <x v="0"/>
    <s v="Barasat - II"/>
    <s v="User Not Mapped"/>
    <s v="User Not Mapped"/>
    <s v="User Not Mapped"/>
    <n v="226970"/>
    <s v="M/S Krishi Bhandar"/>
    <s v="Private Retailer"/>
    <s v="9051133784"/>
    <n v="0.60499999999999998"/>
    <n v="12"/>
    <x v="5"/>
    <m/>
    <s v="2026-04-08"/>
    <s v="268650"/>
    <s v="Barasat Krishi Bipani"/>
    <s v="8336087625"/>
  </r>
  <r>
    <s v="RCF Import"/>
    <s v="Imp 10-26-26"/>
    <s v="WB"/>
    <x v="0"/>
    <s v="Barasat - II"/>
    <s v="User Not Mapped"/>
    <s v="User Not Mapped"/>
    <s v="User Not Mapped"/>
    <n v="226970"/>
    <s v="M/S Krishi Bhandar"/>
    <s v="Private Retailer"/>
    <s v="9051133784"/>
    <n v="0.75"/>
    <n v="12"/>
    <x v="5"/>
    <m/>
    <s v="2026-04-08"/>
    <s v="268650"/>
    <s v="Barasat Krishi Bipani"/>
    <s v="8336087625"/>
  </r>
  <r>
    <s v="RCF Trombay"/>
    <s v="N.C.Urea(45kg)"/>
    <s v="WB"/>
    <x v="0"/>
    <s v="Barasat - II"/>
    <s v="User Not Mapped"/>
    <s v="User Not Mapped"/>
    <s v="User Not Mapped"/>
    <n v="227011"/>
    <s v="M/S Tapan Fertilizers"/>
    <s v="Private Retailer"/>
    <s v="8016463251"/>
    <n v="2.0249999999999999"/>
    <n v="63"/>
    <x v="6"/>
    <m/>
    <s v="2026-02-16"/>
    <s v="268650"/>
    <s v="Barasat Krishi Bipani"/>
    <s v="8336087625"/>
  </r>
  <r>
    <s v="RCF Thal"/>
    <s v="N.C.Urea(45kg)"/>
    <s v="WB"/>
    <x v="0"/>
    <s v="Barasat - II"/>
    <s v="User Not Mapped"/>
    <s v="User Not Mapped"/>
    <s v="User Not Mapped"/>
    <n v="958549"/>
    <s v="MD Giasuddin"/>
    <s v="Private Retailer"/>
    <s v="8478910760"/>
    <n v="1.8"/>
    <n v="63"/>
    <x v="6"/>
    <m/>
    <s v="2026-02-16"/>
    <s v="268650"/>
    <s v="Barasat Krishi Bipani"/>
    <s v="8336087625"/>
  </r>
  <r>
    <s v="RCF Trombay"/>
    <s v="15-15-15"/>
    <s v="WB"/>
    <x v="0"/>
    <s v="Barasat - II"/>
    <s v="User Not Mapped"/>
    <s v="User Not Mapped"/>
    <s v="User Not Mapped"/>
    <n v="958549"/>
    <s v="MD Giasuddin"/>
    <s v="Private Retailer"/>
    <s v="8478910760"/>
    <n v="1.85"/>
    <n v="63"/>
    <x v="6"/>
    <m/>
    <s v="2026-02-16"/>
    <s v="268650"/>
    <s v="Barasat Krishi Bipani"/>
    <s v="8336087625"/>
  </r>
  <r>
    <s v="RCF Import"/>
    <s v="Imp 10-26-26"/>
    <s v="WB"/>
    <x v="0"/>
    <s v="Barasat - I"/>
    <s v="User Not Mapped"/>
    <s v="User Not Mapped"/>
    <s v="User Not Mapped"/>
    <n v="493105"/>
    <s v="Md.Rafique Ahammed"/>
    <s v="Private Retailer"/>
    <s v="9051640039"/>
    <n v="2"/>
    <n v="24"/>
    <x v="5"/>
    <m/>
    <s v="2026-03-27"/>
    <s v="268650"/>
    <s v="Barasat Krishi Bipani"/>
    <s v="8336087625"/>
  </r>
  <r>
    <s v="RCF Trombay"/>
    <s v="N.C.Urea(45kg)"/>
    <s v="WB"/>
    <x v="0"/>
    <s v="Barasat - I"/>
    <s v="User Not Mapped"/>
    <s v="User Not Mapped"/>
    <s v="User Not Mapped"/>
    <n v="226892"/>
    <s v="Momin Ali"/>
    <s v="Private Retailer"/>
    <s v="9330988600"/>
    <n v="1.1000000000000001"/>
    <n v="76"/>
    <x v="6"/>
    <m/>
    <s v="2026-02-03"/>
    <s v="268650"/>
    <s v="Barasat Krishi Bipani"/>
    <s v="8336087625"/>
  </r>
  <r>
    <s v="RCF Trombay"/>
    <s v="15-15-15"/>
    <s v="WB"/>
    <x v="0"/>
    <s v="Barasat - I"/>
    <s v="User Not Mapped"/>
    <s v="User Not Mapped"/>
    <s v="User Not Mapped"/>
    <n v="226892"/>
    <s v="Momin Ali"/>
    <s v="Private Retailer"/>
    <s v="9330988600"/>
    <n v="0.25"/>
    <n v="47"/>
    <x v="3"/>
    <m/>
    <s v="2026-03-04"/>
    <s v="268650"/>
    <s v="Barasat Krishi Bipani"/>
    <s v="8336087625"/>
  </r>
  <r>
    <s v="RCF Import"/>
    <s v="Imp 10-26-26"/>
    <s v="WB"/>
    <x v="0"/>
    <s v="Barasat - I"/>
    <s v="User Not Mapped"/>
    <s v="User Not Mapped"/>
    <s v="User Not Mapped"/>
    <n v="226892"/>
    <s v="Momin Ali"/>
    <s v="Private Retailer"/>
    <s v="9330988600"/>
    <n v="0.35"/>
    <n v="41"/>
    <x v="3"/>
    <m/>
    <s v="2026-03-10"/>
    <s v="268650"/>
    <s v="Barasat Krishi Bipani"/>
    <s v="8336087625"/>
  </r>
  <r>
    <s v="RCF Trombay"/>
    <s v="N.C.Urea(45kg)"/>
    <s v="WB"/>
    <x v="0"/>
    <s v="Barasat - I"/>
    <s v="User Not Mapped"/>
    <s v="User Not Mapped"/>
    <s v="User Not Mapped"/>
    <n v="226892"/>
    <s v="Momin Ali"/>
    <s v="Private Retailer"/>
    <s v="9330988600"/>
    <n v="0.18"/>
    <n v="47"/>
    <x v="3"/>
    <m/>
    <s v="2026-03-04"/>
    <s v="268650"/>
    <s v="Barasat Krishi Bipani"/>
    <s v="8336087625"/>
  </r>
  <r>
    <s v="RCF Thal"/>
    <s v="N.C.Urea(45kg)"/>
    <s v="WB"/>
    <x v="0"/>
    <s v="Barasat - I"/>
    <s v="User Not Mapped"/>
    <s v="User Not Mapped"/>
    <s v="User Not Mapped"/>
    <n v="226892"/>
    <s v="Momin Ali"/>
    <s v="Private Retailer"/>
    <s v="9330988600"/>
    <n v="0.315"/>
    <n v="41"/>
    <x v="3"/>
    <m/>
    <s v="2026-03-10"/>
    <s v="268650"/>
    <s v="Barasat Krishi Bipani"/>
    <s v="8336087625"/>
  </r>
  <r>
    <s v="RCF Trombay"/>
    <s v="15-15-15"/>
    <s v="WB"/>
    <x v="0"/>
    <s v="Barasat - I"/>
    <s v="User Not Mapped"/>
    <s v="User Not Mapped"/>
    <s v="User Not Mapped"/>
    <n v="226892"/>
    <s v="Momin Ali"/>
    <s v="Private Retailer"/>
    <s v="9330988600"/>
    <n v="0.25"/>
    <n v="76"/>
    <x v="6"/>
    <m/>
    <s v="2026-02-03"/>
    <s v="268650"/>
    <s v="Barasat Krishi Bipani"/>
    <s v="8336087625"/>
  </r>
  <r>
    <s v="RCF Trombay"/>
    <s v="15-15-15"/>
    <s v="WB"/>
    <x v="0"/>
    <m/>
    <s v="User Not Mapped"/>
    <s v="User Not Mapped"/>
    <s v="User Not Mapped"/>
    <n v="355887"/>
    <s v="Pan Krishi Bhander"/>
    <s v="Private Retailer"/>
    <s v="9239400746"/>
    <n v="0.22500000000000001"/>
    <n v="1467"/>
    <x v="2"/>
    <m/>
    <s v="2022-04-14"/>
    <s v="268650"/>
    <s v="Barasat Krishi Bipani"/>
    <s v="8336087625"/>
  </r>
  <r>
    <s v="RCF Trombay"/>
    <s v="15-15-15"/>
    <s v="WB"/>
    <x v="0"/>
    <s v="Barasat - I"/>
    <s v="User Not Mapped"/>
    <s v="User Not Mapped"/>
    <s v="User Not Mapped"/>
    <n v="637375"/>
    <s v="RAHAMAN FERTILIZER"/>
    <s v="Private Retailer"/>
    <s v="9836848090"/>
    <n v="0.2"/>
    <n v="2658"/>
    <x v="2"/>
    <m/>
    <s v="2019-01-09"/>
    <s v="268650"/>
    <s v="Barasat Krishi Bipani"/>
    <s v="8336087625"/>
  </r>
  <r>
    <s v="RCF Thal"/>
    <s v="N.C.Urea(45kg)"/>
    <s v="WB"/>
    <x v="0"/>
    <s v="Habra - II"/>
    <s v="User Not Mapped"/>
    <s v="User Not Mapped"/>
    <s v="User Not Mapped"/>
    <n v="931355"/>
    <s v="Rahaman Fertilizer"/>
    <s v="Private Retailer"/>
    <s v="7872102476"/>
    <n v="4.95"/>
    <n v="63"/>
    <x v="6"/>
    <m/>
    <s v="2026-02-16"/>
    <s v="268650"/>
    <s v="Barasat Krishi Bipani"/>
    <s v="8336087625"/>
  </r>
  <r>
    <s v="RCF Trombay"/>
    <s v="N.C.Urea(45kg)"/>
    <s v="WB"/>
    <x v="0"/>
    <s v="Barasat - I"/>
    <s v="User Not Mapped"/>
    <s v="User Not Mapped"/>
    <s v="User Not Mapped"/>
    <n v="1380639"/>
    <s v="SABUJ SATHI KRISHI BHANDER"/>
    <s v="Private Retailer"/>
    <s v="9007497082"/>
    <n v="2.4300000000000002"/>
    <n v="56"/>
    <x v="3"/>
    <m/>
    <s v="2026-02-23"/>
    <s v="268650"/>
    <s v="Barasat Krishi Bipani"/>
    <s v="8336087625"/>
  </r>
  <r>
    <s v="RCF Trombay"/>
    <s v="15-15-15"/>
    <s v="WB"/>
    <x v="0"/>
    <s v="Habra - II"/>
    <s v="User Not Mapped"/>
    <s v="User Not Mapped"/>
    <s v="User Not Mapped"/>
    <n v="411129"/>
    <s v="Shyamal Kr. Biswas"/>
    <s v="Private Retailer"/>
    <s v="9735753092"/>
    <n v="0.89800000000000002"/>
    <n v="76"/>
    <x v="6"/>
    <m/>
    <s v="2026-02-03"/>
    <s v="268650"/>
    <s v="Barasat Krishi Bipani"/>
    <s v="8336087625"/>
  </r>
  <r>
    <s v="RCF Trombay"/>
    <s v="N.C.Urea(45kg)"/>
    <s v="WB"/>
    <x v="0"/>
    <s v="Habra - II"/>
    <s v="User Not Mapped"/>
    <s v="User Not Mapped"/>
    <s v="User Not Mapped"/>
    <n v="411129"/>
    <s v="Shyamal Kr. Biswas"/>
    <s v="Private Retailer"/>
    <s v="9735753092"/>
    <n v="1.575"/>
    <n v="76"/>
    <x v="6"/>
    <m/>
    <s v="2026-02-03"/>
    <s v="268650"/>
    <s v="Barasat Krishi Bipani"/>
    <s v="8336087625"/>
  </r>
  <r>
    <s v="RCF Thal"/>
    <s v="N.C.Urea(45kg)"/>
    <s v="WB"/>
    <x v="0"/>
    <s v="Barasat - I"/>
    <s v="User Not Mapped"/>
    <s v="User Not Mapped"/>
    <s v="User Not Mapped"/>
    <n v="189498"/>
    <s v="Sk. Mugibar Rohaman"/>
    <s v="Private Retailer"/>
    <s v="9874681583"/>
    <n v="0.76500000000000001"/>
    <n v="381"/>
    <x v="0"/>
    <m/>
    <s v="2025-04-04"/>
    <s v="268650"/>
    <s v="Barasat Krishi Bipani"/>
    <s v="8336087625"/>
  </r>
  <r>
    <s v="RCF Trombay"/>
    <s v="15-15-15"/>
    <s v="WB"/>
    <x v="0"/>
    <s v="Barasat - I"/>
    <s v="User Not Mapped"/>
    <s v="User Not Mapped"/>
    <s v="User Not Mapped"/>
    <n v="189498"/>
    <s v="Sk. Mugibar Rohaman"/>
    <s v="Private Retailer"/>
    <s v="9874681583"/>
    <n v="0.998"/>
    <n v="394"/>
    <x v="0"/>
    <m/>
    <s v="2025-03-22"/>
    <s v="268650"/>
    <s v="Barasat Krishi Bipani"/>
    <s v="8336087625"/>
  </r>
  <r>
    <s v="RCF Trombay"/>
    <s v="15-15-15"/>
    <s v="WB"/>
    <x v="0"/>
    <s v="Barasat - I"/>
    <s v="User Not Mapped"/>
    <s v="User Not Mapped"/>
    <s v="User Not Mapped"/>
    <n v="189498"/>
    <s v="Sk. Mugibar Rohaman"/>
    <s v="Private Retailer"/>
    <s v="9874681583"/>
    <n v="0.5"/>
    <n v="353"/>
    <x v="1"/>
    <m/>
    <s v="2025-05-02"/>
    <s v="268650"/>
    <s v="Barasat Krishi Bipani"/>
    <s v="8336087625"/>
  </r>
  <r>
    <s v="RCF Thal"/>
    <s v="N.C.Urea(45kg)"/>
    <s v="WB"/>
    <x v="0"/>
    <s v="Habra - II"/>
    <s v="User Not Mapped"/>
    <s v="User Not Mapped"/>
    <s v="User Not Mapped"/>
    <n v="487652"/>
    <s v="Tarakeshwar Krishi Bhandar"/>
    <s v="Private Retailer"/>
    <s v="9732464657"/>
    <n v="0.54"/>
    <n v="63"/>
    <x v="6"/>
    <m/>
    <s v="2026-02-16"/>
    <s v="268650"/>
    <s v="Barasat Krishi Bipani"/>
    <s v="8336087625"/>
  </r>
  <r>
    <s v="RCF Trombay"/>
    <s v="N.C.Urea(45kg)"/>
    <s v="WB"/>
    <x v="0"/>
    <s v="Barasat - II"/>
    <s v="User Not Mapped"/>
    <s v="User Not Mapped"/>
    <s v="User Not Mapped"/>
    <n v="958555"/>
    <s v="Tuhina Fertilizer store"/>
    <s v="Private Retailer"/>
    <s v="9836727214"/>
    <n v="2.2599999999999998"/>
    <n v="140"/>
    <x v="4"/>
    <m/>
    <s v="2025-12-01"/>
    <s v="268650"/>
    <s v="Barasat Krishi Bipani"/>
    <s v="8336087625"/>
  </r>
  <r>
    <s v="RCF Import"/>
    <s v="Imp 10-26-26"/>
    <s v="WB"/>
    <x v="0"/>
    <s v="Barasat - II"/>
    <s v="User Not Mapped"/>
    <s v="User Not Mapped"/>
    <s v="User Not Mapped"/>
    <n v="958555"/>
    <s v="Tuhina Fertilizer store"/>
    <s v="Private Retailer"/>
    <s v="9836727214"/>
    <n v="0.5"/>
    <n v="140"/>
    <x v="4"/>
    <m/>
    <s v="2025-12-01"/>
    <s v="268650"/>
    <s v="Barasat Krishi Bipani"/>
    <s v="8336087625"/>
  </r>
  <r>
    <s v="RCF Trombay"/>
    <s v="15-15-15"/>
    <s v="WB"/>
    <x v="0"/>
    <s v="Barasat - II"/>
    <s v="User Not Mapped"/>
    <s v="User Not Mapped"/>
    <s v="User Not Mapped"/>
    <n v="958555"/>
    <s v="Tuhina Fertilizer store"/>
    <s v="Private Retailer"/>
    <s v="9836727214"/>
    <n v="0.5"/>
    <n v="140"/>
    <x v="4"/>
    <m/>
    <s v="2025-12-01"/>
    <s v="268650"/>
    <s v="Barasat Krishi Bipani"/>
    <s v="8336087625"/>
  </r>
  <r>
    <s v="RCF Trombay"/>
    <s v="15-15-15"/>
    <s v="WB"/>
    <x v="0"/>
    <s v="Bagda"/>
    <s v="User Not Mapped"/>
    <s v="User Not Mapped"/>
    <s v="User Not Mapped"/>
    <n v="538130"/>
    <s v="Nazrul Islam Mondal"/>
    <s v="Private Retailer"/>
    <s v="8670424609"/>
    <n v="1.4999999999999999E-2"/>
    <n v="2437"/>
    <x v="2"/>
    <m/>
    <s v="2019-08-18"/>
    <s v="1108226"/>
    <s v="BISWA NATH GHOSH"/>
    <s v="9732645071"/>
  </r>
  <r>
    <s v="RCF Trombay"/>
    <s v="15-15-15"/>
    <s v="WB"/>
    <x v="0"/>
    <m/>
    <s v="User Not Mapped"/>
    <s v="User Not Mapped"/>
    <s v="User Not Mapped"/>
    <n v="502090"/>
    <s v="Ramprasad Biswas"/>
    <s v="Private Retailer"/>
    <s v="9735327003"/>
    <n v="0.25"/>
    <n v="2437"/>
    <x v="2"/>
    <m/>
    <s v="2019-08-18"/>
    <s v="1108226"/>
    <s v="BISWA NATH GHOSH"/>
    <s v="9732645071"/>
  </r>
  <r>
    <s v="RCF Trombay"/>
    <s v="N.C.Urea(45kg)"/>
    <s v="WB"/>
    <x v="0"/>
    <s v="Bagda"/>
    <s v="User Not Mapped"/>
    <s v="User Not Mapped"/>
    <s v="User Not Mapped"/>
    <n v="355211"/>
    <s v="Lalan Chandra   Mondal"/>
    <s v="Private Retailer"/>
    <s v="9734820223"/>
    <n v="7.0000000000000007E-2"/>
    <n v="587"/>
    <x v="2"/>
    <m/>
    <s v="2024-09-10"/>
    <s v="1219935"/>
    <s v="BISWAS FERTILIZER"/>
    <s v="7797491324"/>
  </r>
  <r>
    <s v="RCF Trombay"/>
    <s v="15-15-15"/>
    <s v="WB"/>
    <x v="0"/>
    <s v="Bagda"/>
    <s v="User Not Mapped"/>
    <s v="User Not Mapped"/>
    <s v="User Not Mapped"/>
    <n v="531463"/>
    <s v="Pabitra Kanjilal"/>
    <s v="Private Retailer"/>
    <s v="8348140956"/>
    <n v="4.4999999999999998E-2"/>
    <n v="530"/>
    <x v="0"/>
    <m/>
    <s v="2024-11-06"/>
    <s v="1219935"/>
    <s v="BISWAS FERTILIZER"/>
    <s v="7797491324"/>
  </r>
  <r>
    <s v="RCF Trombay"/>
    <s v="N.C.Urea(45kg)"/>
    <s v="WB"/>
    <x v="0"/>
    <s v="Bagda"/>
    <s v="User Not Mapped"/>
    <s v="User Not Mapped"/>
    <s v="User Not Mapped"/>
    <n v="660354"/>
    <s v="PROVAT MONDAL"/>
    <s v="Private Retailer"/>
    <s v="7001033524"/>
    <n v="0.92"/>
    <n v="578"/>
    <x v="2"/>
    <m/>
    <s v="2024-09-19"/>
    <s v="1219935"/>
    <s v="BISWAS FERTILIZER"/>
    <s v="7797491324"/>
  </r>
  <r>
    <s v="RCF Trombay"/>
    <s v="N.C.Urea(45kg)"/>
    <s v="WB"/>
    <x v="0"/>
    <s v="Basirhat - I"/>
    <s v="User Not Mapped"/>
    <s v="User Not Mapped"/>
    <s v="User Not Mapped"/>
    <n v="226501"/>
    <s v="Animesh Dutta"/>
    <s v="Private Retailer"/>
    <s v="8016054579"/>
    <n v="0.76500000000000001"/>
    <n v="82"/>
    <x v="6"/>
    <m/>
    <s v="2026-01-28"/>
    <s v="223811"/>
    <s v="Chanchal Kumar Dey"/>
    <s v="9434616928"/>
  </r>
  <r>
    <s v="RCF Import"/>
    <s v="Imp 10-26-26"/>
    <s v="WB"/>
    <x v="0"/>
    <m/>
    <s v="User Not Mapped"/>
    <s v="User Not Mapped"/>
    <s v="User Not Mapped"/>
    <n v="355112"/>
    <s v="Anupam  Mondal"/>
    <s v="Private Retailer"/>
    <s v="8617422952"/>
    <n v="5"/>
    <n v="20"/>
    <x v="5"/>
    <m/>
    <s v="2026-03-31"/>
    <s v="223811"/>
    <s v="Chanchal Kumar Dey"/>
    <s v="9434616928"/>
  </r>
  <r>
    <s v="RCF Import"/>
    <s v="MOP"/>
    <s v="WB"/>
    <x v="0"/>
    <s v="Bongaon"/>
    <s v="User Not Mapped"/>
    <s v="User Not Mapped"/>
    <s v="User Not Mapped"/>
    <n v="456800"/>
    <s v="Ashim Mondal"/>
    <s v="Private Retailer"/>
    <s v="9733832915"/>
    <n v="0.15"/>
    <n v="59"/>
    <x v="3"/>
    <m/>
    <s v="2026-02-20"/>
    <s v="223811"/>
    <s v="Chanchal Kumar Dey"/>
    <s v="9434616928"/>
  </r>
  <r>
    <s v="RCF Thal"/>
    <s v="N.C.Urea(45kg)"/>
    <s v="WB"/>
    <x v="0"/>
    <s v="Bongaon"/>
    <s v="User Not Mapped"/>
    <s v="User Not Mapped"/>
    <s v="User Not Mapped"/>
    <n v="456800"/>
    <s v="Ashim Mondal"/>
    <s v="Private Retailer"/>
    <s v="9733832915"/>
    <n v="1.35"/>
    <n v="11"/>
    <x v="5"/>
    <m/>
    <s v="2026-04-09"/>
    <s v="223811"/>
    <s v="Chanchal Kumar Dey"/>
    <s v="9434616928"/>
  </r>
  <r>
    <s v="RCF Trombay"/>
    <s v="N.C.Urea(45kg)"/>
    <s v="WB"/>
    <x v="0"/>
    <s v="Bongaon"/>
    <s v="User Not Mapped"/>
    <s v="User Not Mapped"/>
    <s v="User Not Mapped"/>
    <n v="931339"/>
    <s v="Asish Karmakar"/>
    <s v="Private Retailer"/>
    <s v="9775105605"/>
    <n v="7.6050000000000004"/>
    <n v="67"/>
    <x v="6"/>
    <m/>
    <s v="2026-02-12"/>
    <s v="223811"/>
    <s v="Chanchal Kumar Dey"/>
    <s v="9434616928"/>
  </r>
  <r>
    <s v="RCF Import"/>
    <s v="MOP"/>
    <s v="WB"/>
    <x v="0"/>
    <s v="Gaighata"/>
    <s v="User Not Mapped"/>
    <s v="User Not Mapped"/>
    <s v="User Not Mapped"/>
    <n v="226543"/>
    <s v="Banglani Skus Ltd"/>
    <s v="State Marketing Federation"/>
    <s v="9933459445"/>
    <n v="1.18"/>
    <n v="45"/>
    <x v="3"/>
    <m/>
    <s v="2026-03-06"/>
    <s v="223811"/>
    <s v="Chanchal Kumar Dey"/>
    <s v="9434616928"/>
  </r>
  <r>
    <s v="RCF Import"/>
    <s v="MOP"/>
    <s v="WB"/>
    <x v="0"/>
    <s v="Bongaon"/>
    <s v="User Not Mapped"/>
    <s v="User Not Mapped"/>
    <s v="User Not Mapped"/>
    <n v="1076583"/>
    <s v="Bikram ghosh"/>
    <s v="Private Wholsaler"/>
    <s v="8670083399"/>
    <n v="5.5"/>
    <n v="61"/>
    <x v="6"/>
    <s v="'CKD/2526/FS/0556'"/>
    <s v="2026-02-18"/>
    <s v="223811"/>
    <s v="Chanchal Kumar Dey"/>
    <s v="9434616928"/>
  </r>
  <r>
    <s v="RCF Import"/>
    <s v="Imp 10-26-26"/>
    <s v="WB"/>
    <x v="0"/>
    <s v="Bagda"/>
    <s v="User Not Mapped"/>
    <s v="User Not Mapped"/>
    <s v="User Not Mapped"/>
    <n v="354854"/>
    <s v="Biswanath Ghosh"/>
    <s v="Private Retailer"/>
    <s v="9732645071"/>
    <n v="1.8"/>
    <n v="20"/>
    <x v="5"/>
    <m/>
    <s v="2026-03-31"/>
    <s v="223811"/>
    <s v="Chanchal Kumar Dey"/>
    <s v="9434616928"/>
  </r>
  <r>
    <s v="RCF Trombay"/>
    <s v="N.C.Urea(45kg)"/>
    <s v="WB"/>
    <x v="0"/>
    <s v="Deganga"/>
    <s v="User Not Mapped"/>
    <s v="User Not Mapped"/>
    <s v="User Not Mapped"/>
    <n v="622740"/>
    <s v="BISWAS KRISHI BHANDAR"/>
    <s v="Private Retailer"/>
    <s v="9733536393"/>
    <n v="5.49"/>
    <n v="88"/>
    <x v="6"/>
    <m/>
    <s v="2026-01-22"/>
    <s v="223811"/>
    <s v="Chanchal Kumar Dey"/>
    <s v="9434616928"/>
  </r>
  <r>
    <s v="RCF Thal"/>
    <s v="N.C.Urea(45kg)"/>
    <s v="WB"/>
    <x v="0"/>
    <s v="Gaighata"/>
    <s v="User Not Mapped"/>
    <s v="User Not Mapped"/>
    <s v="User Not Mapped"/>
    <n v="501365"/>
    <s v="Jharna Krishi Bhander"/>
    <s v="Private Retailer"/>
    <s v="9800217611"/>
    <n v="1.08"/>
    <n v="37"/>
    <x v="3"/>
    <m/>
    <s v="2026-03-14"/>
    <s v="223811"/>
    <s v="Chanchal Kumar Dey"/>
    <s v="9434616928"/>
  </r>
  <r>
    <s v="RCF Trombay"/>
    <s v="15-15-15"/>
    <s v="WB"/>
    <x v="0"/>
    <s v="Gaighata"/>
    <s v="User Not Mapped"/>
    <s v="User Not Mapped"/>
    <s v="User Not Mapped"/>
    <n v="226756"/>
    <s v="Kaya L.S Pcacs Ltd"/>
    <s v="PACS"/>
    <s v="7557891525"/>
    <n v="7.9130000000000003"/>
    <n v="88"/>
    <x v="6"/>
    <m/>
    <s v="2026-01-22"/>
    <s v="223811"/>
    <s v="Chanchal Kumar Dey"/>
    <s v="9434616928"/>
  </r>
  <r>
    <s v="RCF Trombay"/>
    <s v="N.C.Urea(45kg)"/>
    <s v="WB"/>
    <x v="0"/>
    <s v="Basirhat - I"/>
    <s v="User Not Mapped"/>
    <s v="User Not Mapped"/>
    <s v="User Not Mapped"/>
    <n v="668530"/>
    <s v="M/s Bhattacharyya Krishi Bhand"/>
    <s v="Private Retailer"/>
    <s v="9647090898"/>
    <n v="0.45"/>
    <n v="82"/>
    <x v="6"/>
    <m/>
    <s v="2026-01-28"/>
    <s v="223811"/>
    <s v="Chanchal Kumar Dey"/>
    <s v="9434616928"/>
  </r>
  <r>
    <s v="RCF Trombay"/>
    <s v="N.C.Urea(45kg)"/>
    <s v="WB"/>
    <x v="0"/>
    <s v="Barasat - II"/>
    <s v="User Not Mapped"/>
    <s v="User Not Mapped"/>
    <s v="User Not Mapped"/>
    <n v="227011"/>
    <s v="M/S Tapan Fertilizers"/>
    <s v="Private Retailer"/>
    <s v="8016463251"/>
    <n v="0.94499999999999995"/>
    <n v="88"/>
    <x v="6"/>
    <m/>
    <s v="2026-01-22"/>
    <s v="223811"/>
    <s v="Chanchal Kumar Dey"/>
    <s v="9434616928"/>
  </r>
  <r>
    <s v="RCF Trombay"/>
    <s v="15-15-15"/>
    <s v="WB"/>
    <x v="0"/>
    <s v="Gaighata"/>
    <s v="User Not Mapped"/>
    <s v="User Not Mapped"/>
    <s v="User Not Mapped"/>
    <n v="226805"/>
    <s v="Mahishakati S.K.U.S.Ltd"/>
    <s v="Private Retailer"/>
    <s v="9933481875"/>
    <n v="11"/>
    <n v="88"/>
    <x v="6"/>
    <m/>
    <s v="2026-01-22"/>
    <s v="223811"/>
    <s v="Chanchal Kumar Dey"/>
    <s v="9434616928"/>
  </r>
  <r>
    <s v="RCF Trombay"/>
    <s v="15-15-15"/>
    <s v="WB"/>
    <x v="0"/>
    <s v="Bagda"/>
    <s v="User Not Mapped"/>
    <s v="User Not Mapped"/>
    <s v="User Not Mapped"/>
    <n v="499046"/>
    <s v="Manabendra Tarafder"/>
    <s v="Private Retailer"/>
    <s v="9679333706"/>
    <n v="2.4500000000000002"/>
    <n v="83"/>
    <x v="6"/>
    <m/>
    <s v="2026-01-27"/>
    <s v="223811"/>
    <s v="Chanchal Kumar Dey"/>
    <s v="9434616928"/>
  </r>
  <r>
    <s v="RCF Trombay"/>
    <s v="N.C.Urea(45kg)"/>
    <s v="WB"/>
    <x v="0"/>
    <s v="Bagda"/>
    <s v="User Not Mapped"/>
    <s v="User Not Mapped"/>
    <s v="User Not Mapped"/>
    <n v="499046"/>
    <s v="Manabendra Tarafder"/>
    <s v="Private Retailer"/>
    <s v="9679333706"/>
    <n v="2.3849999999999998"/>
    <n v="83"/>
    <x v="6"/>
    <m/>
    <s v="2026-01-27"/>
    <s v="223811"/>
    <s v="Chanchal Kumar Dey"/>
    <s v="9434616928"/>
  </r>
  <r>
    <s v="RCF Trombay"/>
    <s v="15-15-15"/>
    <s v="WB"/>
    <x v="0"/>
    <s v="Bagda"/>
    <s v="User Not Mapped"/>
    <s v="User Not Mapped"/>
    <s v="User Not Mapped"/>
    <n v="355778"/>
    <s v="Nanigo Palbarei"/>
    <s v="Private Retailer"/>
    <s v="9734859164"/>
    <n v="1.9"/>
    <n v="83"/>
    <x v="6"/>
    <m/>
    <s v="2026-01-27"/>
    <s v="223811"/>
    <s v="Chanchal Kumar Dey"/>
    <s v="9434616928"/>
  </r>
  <r>
    <s v="RCF Trombay"/>
    <s v="N.C.Urea(45kg)"/>
    <s v="WB"/>
    <x v="0"/>
    <s v="Bagda"/>
    <s v="User Not Mapped"/>
    <s v="User Not Mapped"/>
    <s v="User Not Mapped"/>
    <n v="355778"/>
    <s v="Nanigo Palbarei"/>
    <s v="Private Retailer"/>
    <s v="9734859164"/>
    <n v="2.2050000000000001"/>
    <n v="83"/>
    <x v="6"/>
    <m/>
    <s v="2026-01-27"/>
    <s v="223811"/>
    <s v="Chanchal Kumar Dey"/>
    <s v="9434616928"/>
  </r>
  <r>
    <s v="RCF Import"/>
    <s v="MOP"/>
    <s v="WB"/>
    <x v="0"/>
    <s v="Bongaon"/>
    <s v="User Not Mapped"/>
    <s v="User Not Mapped"/>
    <s v="User Not Mapped"/>
    <n v="1354322"/>
    <s v="NURUL HASAN GAZI"/>
    <s v="Private Retailer"/>
    <s v="7864018294"/>
    <n v="1.95"/>
    <n v="61"/>
    <x v="6"/>
    <m/>
    <s v="2026-02-18"/>
    <s v="223811"/>
    <s v="Chanchal Kumar Dey"/>
    <s v="9434616928"/>
  </r>
  <r>
    <s v="RCF Import"/>
    <s v="MOP"/>
    <s v="WB"/>
    <x v="0"/>
    <s v="Bongaon"/>
    <s v="User Not Mapped"/>
    <s v="User Not Mapped"/>
    <s v="User Not Mapped"/>
    <n v="1354328"/>
    <s v="PROSENJIT PAL"/>
    <s v="Private Retailer"/>
    <s v="8942858915"/>
    <n v="4"/>
    <n v="61"/>
    <x v="6"/>
    <m/>
    <s v="2026-02-18"/>
    <s v="223811"/>
    <s v="Chanchal Kumar Dey"/>
    <s v="9434616928"/>
  </r>
  <r>
    <s v="RCF Trombay"/>
    <s v="N.C.Urea(45kg)"/>
    <s v="WB"/>
    <x v="0"/>
    <s v="Bongaon"/>
    <s v="User Not Mapped"/>
    <s v="User Not Mapped"/>
    <s v="User Not Mapped"/>
    <n v="1354328"/>
    <s v="PROSENJIT PAL"/>
    <s v="Private Retailer"/>
    <s v="8942858915"/>
    <n v="5.49"/>
    <n v="68"/>
    <x v="6"/>
    <m/>
    <s v="2026-02-11"/>
    <s v="223811"/>
    <s v="Chanchal Kumar Dey"/>
    <s v="9434616928"/>
  </r>
  <r>
    <s v="RCF Trombay"/>
    <s v="15-15-15"/>
    <s v="WB"/>
    <x v="0"/>
    <s v="Gaighata"/>
    <s v="User Not Mapped"/>
    <s v="User Not Mapped"/>
    <s v="User Not Mapped"/>
    <n v="227080"/>
    <s v="Purba Barasat Skus Ltd"/>
    <s v="District Cooperative Marketing Society"/>
    <s v="9733579933"/>
    <n v="3.45"/>
    <n v="68"/>
    <x v="6"/>
    <m/>
    <s v="2026-02-11"/>
    <s v="223811"/>
    <s v="Chanchal Kumar Dey"/>
    <s v="9434616928"/>
  </r>
  <r>
    <s v="RCF Thal"/>
    <s v="N.C.Urea(45kg)"/>
    <s v="WB"/>
    <x v="0"/>
    <s v="Gaighata"/>
    <s v="User Not Mapped"/>
    <s v="User Not Mapped"/>
    <s v="User Not Mapped"/>
    <n v="458069"/>
    <s v="Sanikanta Paul"/>
    <s v="Private Retailer"/>
    <s v="9933704281"/>
    <n v="0.9"/>
    <n v="11"/>
    <x v="5"/>
    <m/>
    <s v="2026-04-09"/>
    <s v="223811"/>
    <s v="Chanchal Kumar Dey"/>
    <s v="9434616928"/>
  </r>
  <r>
    <s v="RCF Trombay"/>
    <s v="15-15-15"/>
    <s v="WB"/>
    <x v="0"/>
    <s v="Gaighata"/>
    <s v="User Not Mapped"/>
    <s v="User Not Mapped"/>
    <s v="User Not Mapped"/>
    <n v="458069"/>
    <s v="Sanikanta Paul"/>
    <s v="Private Retailer"/>
    <s v="9933704281"/>
    <n v="0.25"/>
    <n v="88"/>
    <x v="6"/>
    <m/>
    <s v="2026-01-22"/>
    <s v="223811"/>
    <s v="Chanchal Kumar Dey"/>
    <s v="9434616928"/>
  </r>
  <r>
    <s v="RCF Trombay"/>
    <s v="15-15-15"/>
    <s v="WB"/>
    <x v="0"/>
    <m/>
    <s v="User Not Mapped"/>
    <s v="User Not Mapped"/>
    <s v="User Not Mapped"/>
    <n v="355887"/>
    <s v="Pan Krishi Bhander"/>
    <s v="Private Retailer"/>
    <s v="9239400746"/>
    <n v="0.2"/>
    <n v="2405"/>
    <x v="2"/>
    <m/>
    <s v="2019-09-19"/>
    <s v="268764"/>
    <s v="Chanchala Fertilizer"/>
    <s v="9830608031"/>
  </r>
  <r>
    <s v="RCF Import"/>
    <s v="MOP"/>
    <s v="WB"/>
    <x v="0"/>
    <s v="Swarupnagar"/>
    <s v="User Not Mapped"/>
    <s v="User Not Mapped"/>
    <s v="User Not Mapped"/>
    <n v="469740"/>
    <s v="Debashish Das"/>
    <s v="Private Retailer"/>
    <s v="9609185994"/>
    <n v="0.15"/>
    <n v="421"/>
    <x v="0"/>
    <m/>
    <s v="2025-02-23"/>
    <s v="281515"/>
    <s v="Chatra Krishi Bhandar         "/>
    <s v="9735524484"/>
  </r>
  <r>
    <s v="RCF Trombay"/>
    <s v="15-15-15"/>
    <s v="WB"/>
    <x v="0"/>
    <m/>
    <s v="User Not Mapped"/>
    <s v="User Not Mapped"/>
    <s v="User Not Mapped"/>
    <n v="668602"/>
    <s v="RABEYA TARAFDAR"/>
    <s v="Private Retailer"/>
    <s v="9547626154"/>
    <n v="0.42499999999999999"/>
    <n v="2130"/>
    <x v="2"/>
    <m/>
    <s v="2020-06-20"/>
    <s v="281515"/>
    <s v="Chatra Krishi Bhandar         "/>
    <s v="9735524484"/>
  </r>
  <r>
    <s v="RCF Trombay"/>
    <s v="15-15-15"/>
    <s v="WB"/>
    <x v="0"/>
    <m/>
    <s v="User Not Mapped"/>
    <s v="User Not Mapped"/>
    <s v="User Not Mapped"/>
    <n v="668602"/>
    <s v="RABEYA TARAFDAR"/>
    <s v="Private Retailer"/>
    <s v="9547626154"/>
    <n v="0.25"/>
    <n v="2116"/>
    <x v="2"/>
    <m/>
    <s v="2020-07-04"/>
    <s v="281515"/>
    <s v="Chatra Krishi Bhandar         "/>
    <s v="9735524484"/>
  </r>
  <r>
    <s v="RCF Thal"/>
    <s v="N.C.Urea(45kg)"/>
    <s v="WB"/>
    <x v="0"/>
    <m/>
    <s v="User Not Mapped"/>
    <s v="User Not Mapped"/>
    <s v="User Not Mapped"/>
    <n v="668602"/>
    <s v="RABEYA TARAFDAR"/>
    <s v="Private Retailer"/>
    <s v="9547626154"/>
    <n v="4.4999999999999998E-2"/>
    <n v="2171"/>
    <x v="2"/>
    <m/>
    <s v="2020-05-10"/>
    <s v="281515"/>
    <s v="Chatra Krishi Bhandar         "/>
    <s v="9735524484"/>
  </r>
  <r>
    <s v="RCF Thal"/>
    <s v="N.C.Urea(45kg)"/>
    <s v="WB"/>
    <x v="0"/>
    <m/>
    <s v="User Not Mapped"/>
    <s v="User Not Mapped"/>
    <s v="User Not Mapped"/>
    <n v="668602"/>
    <s v="RABEYA TARAFDAR"/>
    <s v="Private Retailer"/>
    <s v="9547626154"/>
    <n v="0.22500000000000001"/>
    <n v="2116"/>
    <x v="2"/>
    <m/>
    <s v="2020-07-04"/>
    <s v="281515"/>
    <s v="Chatra Krishi Bhandar         "/>
    <s v="9735524484"/>
  </r>
  <r>
    <s v="RCF Thal"/>
    <s v="N.C.Urea(45kg)"/>
    <s v="WB"/>
    <x v="0"/>
    <m/>
    <s v="User Not Mapped"/>
    <s v="User Not Mapped"/>
    <s v="User Not Mapped"/>
    <n v="668602"/>
    <s v="RABEYA TARAFDAR"/>
    <s v="Private Retailer"/>
    <s v="9547626154"/>
    <n v="0.9"/>
    <n v="2130"/>
    <x v="2"/>
    <m/>
    <s v="2020-06-20"/>
    <s v="281515"/>
    <s v="Chatra Krishi Bhandar         "/>
    <s v="9735524484"/>
  </r>
  <r>
    <s v="RCF Trombay"/>
    <s v="15-15-15"/>
    <s v="WB"/>
    <x v="0"/>
    <m/>
    <s v="User Not Mapped"/>
    <s v="User Not Mapped"/>
    <s v="User Not Mapped"/>
    <n v="668602"/>
    <s v="RABEYA TARAFDAR"/>
    <s v="Private Retailer"/>
    <s v="9547626154"/>
    <n v="0.25"/>
    <n v="2108"/>
    <x v="2"/>
    <m/>
    <s v="2020-07-12"/>
    <s v="281515"/>
    <s v="Chatra Krishi Bhandar         "/>
    <s v="9735524484"/>
  </r>
  <r>
    <s v="RCF Thal"/>
    <s v="N.C.Urea(45kg)"/>
    <s v="WB"/>
    <x v="0"/>
    <s v="Bongaon"/>
    <s v="User Not Mapped"/>
    <s v="User Not Mapped"/>
    <s v="User Not Mapped"/>
    <n v="1331239"/>
    <s v="ABAIDULLA MONDAL"/>
    <s v="Private Retailer"/>
    <s v="8642024986"/>
    <n v="0.63"/>
    <n v="119"/>
    <x v="7"/>
    <m/>
    <s v="2025-12-22"/>
    <s v="268815"/>
    <s v="Chitta Ranjan Dey"/>
    <s v="9434744870"/>
  </r>
  <r>
    <s v="RCF Thal"/>
    <s v="N.C.Urea(45kg)"/>
    <s v="WB"/>
    <x v="0"/>
    <s v="Bongaon"/>
    <s v="User Not Mapped"/>
    <s v="User Not Mapped"/>
    <s v="User Not Mapped"/>
    <n v="457320"/>
    <s v="Abdul Alim Sardar"/>
    <s v="Private Retailer"/>
    <s v="7427915210"/>
    <n v="1.1850000000000001"/>
    <n v="271"/>
    <x v="1"/>
    <m/>
    <s v="2025-07-23"/>
    <s v="268815"/>
    <s v="Chitta Ranjan Dey"/>
    <s v="9434744870"/>
  </r>
  <r>
    <s v="RCF Trombay"/>
    <s v="N.C.Urea(45kg)"/>
    <s v="WB"/>
    <x v="0"/>
    <s v="Bongaon"/>
    <s v="User Not Mapped"/>
    <s v="User Not Mapped"/>
    <s v="User Not Mapped"/>
    <n v="457320"/>
    <s v="Abdul Alim Sardar"/>
    <s v="Private Retailer"/>
    <s v="7427915210"/>
    <n v="2.7"/>
    <n v="63"/>
    <x v="6"/>
    <m/>
    <s v="2026-02-16"/>
    <s v="268815"/>
    <s v="Chitta Ranjan Dey"/>
    <s v="9434744870"/>
  </r>
  <r>
    <s v="RCF Trombay"/>
    <s v="N.C.Urea(45kg)"/>
    <s v="WB"/>
    <x v="0"/>
    <s v="Swarupnagar"/>
    <s v="User Not Mapped"/>
    <s v="User Not Mapped"/>
    <s v="User Not Mapped"/>
    <n v="226436"/>
    <s v="Abdul Karim Gazi"/>
    <s v="Private Retailer"/>
    <s v="9734611490"/>
    <n v="4.1399999999999997"/>
    <n v="66"/>
    <x v="6"/>
    <m/>
    <s v="2026-02-13"/>
    <s v="268815"/>
    <s v="Chitta Ranjan Dey"/>
    <s v="9434744870"/>
  </r>
  <r>
    <s v="RCF Trombay"/>
    <s v="15-15-15"/>
    <s v="WB"/>
    <x v="0"/>
    <s v="Swarupnagar"/>
    <s v="User Not Mapped"/>
    <s v="User Not Mapped"/>
    <s v="User Not Mapped"/>
    <n v="226436"/>
    <s v="Abdul Karim Gazi"/>
    <s v="Private Retailer"/>
    <s v="9734611490"/>
    <n v="4.5999999999999996"/>
    <n v="66"/>
    <x v="6"/>
    <m/>
    <s v="2026-02-13"/>
    <s v="268815"/>
    <s v="Chitta Ranjan Dey"/>
    <s v="9434744870"/>
  </r>
  <r>
    <s v="RCF Trombay"/>
    <s v="N.C.Urea(45kg)"/>
    <s v="WB"/>
    <x v="0"/>
    <s v="Bongaon"/>
    <s v="User Not Mapped"/>
    <s v="User Not Mapped"/>
    <s v="User Not Mapped"/>
    <n v="354659"/>
    <s v="Abdur  Rahim  Mondal"/>
    <s v="Private Retailer"/>
    <s v="9733562488"/>
    <n v="2.25"/>
    <n v="63"/>
    <x v="6"/>
    <m/>
    <s v="2026-02-16"/>
    <s v="268815"/>
    <s v="Chitta Ranjan Dey"/>
    <s v="9434744870"/>
  </r>
  <r>
    <s v="RCF Thal"/>
    <s v="N.C.Urea(45kg)"/>
    <s v="WB"/>
    <x v="0"/>
    <s v="Bongaon"/>
    <s v="User Not Mapped"/>
    <s v="User Not Mapped"/>
    <s v="User Not Mapped"/>
    <n v="354659"/>
    <s v="Abdur  Rahim  Mondal"/>
    <s v="Private Retailer"/>
    <s v="9733562488"/>
    <n v="2.5649999999999999"/>
    <n v="38"/>
    <x v="3"/>
    <m/>
    <s v="2026-03-13"/>
    <s v="268815"/>
    <s v="Chitta Ranjan Dey"/>
    <s v="9434744870"/>
  </r>
  <r>
    <s v="RCF Trombay"/>
    <s v="N.C.Urea(45kg)"/>
    <s v="WB"/>
    <x v="0"/>
    <s v="Basirhat - I"/>
    <s v="User Not Mapped"/>
    <s v="User Not Mapped"/>
    <s v="User Not Mapped"/>
    <n v="1018669"/>
    <s v="ABHUL OHID"/>
    <s v="Private Retailer"/>
    <s v="9851758345"/>
    <n v="2.25"/>
    <n v="66"/>
    <x v="6"/>
    <m/>
    <s v="2026-02-13"/>
    <s v="268815"/>
    <s v="Chitta Ranjan Dey"/>
    <s v="9434744870"/>
  </r>
  <r>
    <s v="RCF Thal"/>
    <s v="N.C.Urea(45kg)"/>
    <s v="WB"/>
    <x v="0"/>
    <s v="Swarupnagar"/>
    <s v="User Not Mapped"/>
    <s v="User Not Mapped"/>
    <s v="User Not Mapped"/>
    <n v="331133"/>
    <s v="Abu Taleb Mondal"/>
    <s v="Private Retailer"/>
    <s v="9734308951"/>
    <n v="3.5550000000000002"/>
    <n v="38"/>
    <x v="3"/>
    <m/>
    <s v="2026-03-13"/>
    <s v="268815"/>
    <s v="Chitta Ranjan Dey"/>
    <s v="9434744870"/>
  </r>
  <r>
    <s v="RCF Trombay"/>
    <s v="15-15-15"/>
    <s v="WB"/>
    <x v="0"/>
    <s v="Bongaon"/>
    <s v="User Not Mapped"/>
    <s v="User Not Mapped"/>
    <s v="User Not Mapped"/>
    <n v="457490"/>
    <s v="Abul Kalam Tarafder"/>
    <s v="Private Retailer"/>
    <s v="9064303159"/>
    <n v="5.25"/>
    <n v="86"/>
    <x v="6"/>
    <m/>
    <s v="2026-01-24"/>
    <s v="268815"/>
    <s v="Chitta Ranjan Dey"/>
    <s v="9434744870"/>
  </r>
  <r>
    <s v="RCF Trombay"/>
    <s v="15-15-15"/>
    <s v="WB"/>
    <x v="0"/>
    <s v="Habra - II"/>
    <s v="User Not Mapped"/>
    <s v="User Not Mapped"/>
    <s v="User Not Mapped"/>
    <n v="354667"/>
    <s v="Abusayed  Mondal"/>
    <s v="Private Retailer"/>
    <s v="9153577141"/>
    <n v="0.65"/>
    <n v="140"/>
    <x v="4"/>
    <m/>
    <s v="2025-12-01"/>
    <s v="268815"/>
    <s v="Chitta Ranjan Dey"/>
    <s v="9434744870"/>
  </r>
  <r>
    <s v="RCF Import"/>
    <s v="MOP"/>
    <s v="WB"/>
    <x v="0"/>
    <s v="Habra - II"/>
    <s v="User Not Mapped"/>
    <s v="User Not Mapped"/>
    <s v="User Not Mapped"/>
    <n v="354667"/>
    <s v="Abusayed  Mondal"/>
    <s v="Private Retailer"/>
    <s v="9153577141"/>
    <n v="0.45"/>
    <n v="55"/>
    <x v="3"/>
    <m/>
    <s v="2026-02-24"/>
    <s v="268815"/>
    <s v="Chitta Ranjan Dey"/>
    <s v="9434744870"/>
  </r>
  <r>
    <s v="RCF Import"/>
    <s v="Imp 10-26-26"/>
    <s v="WB"/>
    <x v="0"/>
    <s v="Habra - II"/>
    <s v="User Not Mapped"/>
    <s v="User Not Mapped"/>
    <s v="User Not Mapped"/>
    <n v="354667"/>
    <s v="Abusayed  Mondal"/>
    <s v="Private Retailer"/>
    <s v="9153577141"/>
    <n v="5.3"/>
    <n v="21"/>
    <x v="5"/>
    <m/>
    <s v="2026-03-30"/>
    <s v="268815"/>
    <s v="Chitta Ranjan Dey"/>
    <s v="9434744870"/>
  </r>
  <r>
    <s v="RCF Thal"/>
    <s v="N.C.Urea(45kg)"/>
    <s v="WB"/>
    <x v="0"/>
    <s v="Habra - II"/>
    <s v="User Not Mapped"/>
    <s v="User Not Mapped"/>
    <s v="User Not Mapped"/>
    <n v="354667"/>
    <s v="Abusayed  Mondal"/>
    <s v="Private Retailer"/>
    <s v="9153577141"/>
    <n v="3.375"/>
    <n v="39"/>
    <x v="3"/>
    <m/>
    <s v="2026-03-12"/>
    <s v="268815"/>
    <s v="Chitta Ranjan Dey"/>
    <s v="9434744870"/>
  </r>
  <r>
    <s v="RCF Import"/>
    <s v="Imp 10-26-26"/>
    <s v="WB"/>
    <x v="0"/>
    <s v="Habra - I"/>
    <s v="User Not Mapped"/>
    <s v="User Not Mapped"/>
    <s v="User Not Mapped"/>
    <n v="1368116"/>
    <s v="ADHARSHA KRISHI BHANDAR"/>
    <s v="Private Retailer"/>
    <s v="9126571926"/>
    <n v="4.2"/>
    <n v="21"/>
    <x v="5"/>
    <m/>
    <s v="2026-03-30"/>
    <s v="268815"/>
    <s v="Chitta Ranjan Dey"/>
    <s v="9434744870"/>
  </r>
  <r>
    <s v="RCF Import"/>
    <s v="MOP"/>
    <s v="WB"/>
    <x v="0"/>
    <s v="Habra - I"/>
    <s v="User Not Mapped"/>
    <s v="User Not Mapped"/>
    <s v="User Not Mapped"/>
    <n v="1368116"/>
    <s v="ADHARSHA KRISHI BHANDAR"/>
    <s v="Private Retailer"/>
    <s v="9126571926"/>
    <n v="2.4"/>
    <n v="55"/>
    <x v="3"/>
    <m/>
    <s v="2026-02-24"/>
    <s v="268815"/>
    <s v="Chitta Ranjan Dey"/>
    <s v="9434744870"/>
  </r>
  <r>
    <s v="RCF Thal"/>
    <s v="N.C.Urea(45kg)"/>
    <s v="WB"/>
    <x v="0"/>
    <s v="Bagda"/>
    <s v="User Not Mapped"/>
    <s v="User Not Mapped"/>
    <s v="User Not Mapped"/>
    <n v="497749"/>
    <s v="ADHIKARY FERTILIZER"/>
    <s v="Private Retailer"/>
    <s v="9735993375"/>
    <n v="6.75"/>
    <n v="38"/>
    <x v="3"/>
    <m/>
    <s v="2026-03-13"/>
    <s v="268815"/>
    <s v="Chitta Ranjan Dey"/>
    <s v="9434744870"/>
  </r>
  <r>
    <s v="RCF Thal"/>
    <s v="N.C.Urea(45kg)"/>
    <s v="WB"/>
    <x v="0"/>
    <s v="Bongaon"/>
    <s v="User Not Mapped"/>
    <s v="User Not Mapped"/>
    <s v="User Not Mapped"/>
    <n v="545838"/>
    <s v="Adhir Ch Biswas"/>
    <s v="Private Retailer"/>
    <s v="8926035600"/>
    <n v="5.49"/>
    <n v="39"/>
    <x v="3"/>
    <m/>
    <s v="2026-03-12"/>
    <s v="268815"/>
    <s v="Chitta Ranjan Dey"/>
    <s v="9434744870"/>
  </r>
  <r>
    <s v="RCF Import"/>
    <s v="Imp 10-26-26"/>
    <s v="WB"/>
    <x v="0"/>
    <s v="Baduria"/>
    <s v="User Not Mapped"/>
    <s v="User Not Mapped"/>
    <s v="User Not Mapped"/>
    <n v="226470"/>
    <s v="Akbar Ali Baidya"/>
    <s v="Private Retailer"/>
    <s v="8145962353"/>
    <n v="11"/>
    <n v="21"/>
    <x v="5"/>
    <m/>
    <s v="2026-03-30"/>
    <s v="268815"/>
    <s v="Chitta Ranjan Dey"/>
    <s v="9434744870"/>
  </r>
  <r>
    <s v="RCF Import"/>
    <s v="MOP"/>
    <s v="WB"/>
    <x v="0"/>
    <s v="Baduria"/>
    <s v="User Not Mapped"/>
    <s v="User Not Mapped"/>
    <s v="User Not Mapped"/>
    <n v="226470"/>
    <s v="Akbar Ali Baidya"/>
    <s v="Private Retailer"/>
    <s v="8145962353"/>
    <n v="11"/>
    <n v="55"/>
    <x v="3"/>
    <m/>
    <s v="2026-02-24"/>
    <s v="268815"/>
    <s v="Chitta Ranjan Dey"/>
    <s v="9434744870"/>
  </r>
  <r>
    <s v="RCF Thal"/>
    <s v="N.C.Urea(45kg)"/>
    <s v="WB"/>
    <x v="0"/>
    <s v="Baduria"/>
    <s v="User Not Mapped"/>
    <s v="User Not Mapped"/>
    <s v="User Not Mapped"/>
    <n v="226470"/>
    <s v="Akbar Ali Baidya"/>
    <s v="Private Retailer"/>
    <s v="8145962353"/>
    <n v="4.68"/>
    <n v="39"/>
    <x v="3"/>
    <m/>
    <s v="2026-03-12"/>
    <s v="268815"/>
    <s v="Chitta Ranjan Dey"/>
    <s v="9434744870"/>
  </r>
  <r>
    <s v="RCF Trombay"/>
    <s v="15-15-15"/>
    <s v="WB"/>
    <x v="0"/>
    <s v="Baduria"/>
    <s v="User Not Mapped"/>
    <s v="User Not Mapped"/>
    <s v="User Not Mapped"/>
    <n v="226470"/>
    <s v="Akbar Ali Baidya"/>
    <s v="Private Retailer"/>
    <s v="8145962353"/>
    <n v="2.75"/>
    <n v="93"/>
    <x v="7"/>
    <m/>
    <s v="2026-01-17"/>
    <s v="268815"/>
    <s v="Chitta Ranjan Dey"/>
    <s v="9434744870"/>
  </r>
  <r>
    <s v="RCF Trombay"/>
    <s v="15-15-15"/>
    <s v="WB"/>
    <x v="0"/>
    <s v="Swarupnagar"/>
    <s v="User Not Mapped"/>
    <s v="User Not Mapped"/>
    <s v="User Not Mapped"/>
    <n v="226474"/>
    <s v="Akram Ali Sardar"/>
    <s v="Private Retailer"/>
    <s v="8343830707"/>
    <n v="5.5"/>
    <n v="66"/>
    <x v="6"/>
    <m/>
    <s v="2026-02-13"/>
    <s v="268815"/>
    <s v="Chitta Ranjan Dey"/>
    <s v="9434744870"/>
  </r>
  <r>
    <s v="RCF Trombay"/>
    <s v="N.C.Urea(45kg)"/>
    <s v="WB"/>
    <x v="0"/>
    <s v="Bagda"/>
    <s v="User Not Mapped"/>
    <s v="User Not Mapped"/>
    <s v="User Not Mapped"/>
    <n v="550587"/>
    <s v="Aktar Mondal"/>
    <s v="Private Retailer"/>
    <s v="8535892617"/>
    <n v="1.89"/>
    <n v="63"/>
    <x v="6"/>
    <m/>
    <s v="2026-02-16"/>
    <s v="268815"/>
    <s v="Chitta Ranjan Dey"/>
    <s v="9434744870"/>
  </r>
  <r>
    <s v="RCF Thal"/>
    <s v="N.C.Urea(45kg)"/>
    <s v="WB"/>
    <x v="0"/>
    <s v="Amdanga"/>
    <s v="User Not Mapped"/>
    <s v="User Not Mapped"/>
    <s v="User Not Mapped"/>
    <n v="189316"/>
    <s v="Alam Fertilizer"/>
    <s v="Private Retailer"/>
    <s v="8697022173"/>
    <n v="6.7949999999999999"/>
    <n v="39"/>
    <x v="3"/>
    <m/>
    <s v="2026-03-12"/>
    <s v="268815"/>
    <s v="Chitta Ranjan Dey"/>
    <s v="9434744870"/>
  </r>
  <r>
    <s v="RCF Thal"/>
    <s v="N.C.Urea(45kg)"/>
    <s v="WB"/>
    <x v="0"/>
    <s v="Bongaon"/>
    <s v="User Not Mapped"/>
    <s v="User Not Mapped"/>
    <s v="User Not Mapped"/>
    <n v="411289"/>
    <s v="Alamgir Mondal"/>
    <s v="Private Retailer"/>
    <s v="9832951604"/>
    <n v="4.9950000000000001"/>
    <n v="10"/>
    <x v="5"/>
    <m/>
    <s v="2026-04-10"/>
    <s v="268815"/>
    <s v="Chitta Ranjan Dey"/>
    <s v="9434744870"/>
  </r>
  <r>
    <s v="RCF Trombay"/>
    <s v="15-15-15"/>
    <s v="WB"/>
    <x v="0"/>
    <m/>
    <s v="User Not Mapped"/>
    <s v="User Not Mapped"/>
    <s v="User Not Mapped"/>
    <n v="515906"/>
    <s v="Amal Kumar Gain"/>
    <s v="Private Retailer"/>
    <s v="9641576301"/>
    <n v="3.5"/>
    <n v="92"/>
    <x v="7"/>
    <m/>
    <s v="2026-01-18"/>
    <s v="268815"/>
    <s v="Chitta Ranjan Dey"/>
    <s v="9434744870"/>
  </r>
  <r>
    <s v="RCF Thal"/>
    <s v="N.C.Urea(45kg)"/>
    <s v="WB"/>
    <x v="0"/>
    <m/>
    <s v="User Not Mapped"/>
    <s v="User Not Mapped"/>
    <s v="User Not Mapped"/>
    <n v="515906"/>
    <s v="Amal Kumar Gain"/>
    <s v="Private Retailer"/>
    <s v="9641576301"/>
    <n v="5.49"/>
    <n v="38"/>
    <x v="3"/>
    <m/>
    <s v="2026-03-13"/>
    <s v="268815"/>
    <s v="Chitta Ranjan Dey"/>
    <s v="9434744870"/>
  </r>
  <r>
    <s v="RCF Thal"/>
    <s v="N.C.Urea(45kg)"/>
    <s v="WB"/>
    <x v="0"/>
    <s v="Swarupnagar"/>
    <s v="User Not Mapped"/>
    <s v="User Not Mapped"/>
    <s v="User Not Mapped"/>
    <n v="1213333"/>
    <s v="AMIYA PROSAD DAS"/>
    <s v="Private Retailer"/>
    <s v="9732582853"/>
    <n v="5.49"/>
    <n v="38"/>
    <x v="3"/>
    <m/>
    <s v="2026-03-13"/>
    <s v="268815"/>
    <s v="Chitta Ranjan Dey"/>
    <s v="9434744870"/>
  </r>
  <r>
    <s v="RCF Trombay"/>
    <s v="15-15-15"/>
    <s v="WB"/>
    <x v="0"/>
    <s v="Swarupnagar"/>
    <s v="User Not Mapped"/>
    <s v="User Not Mapped"/>
    <s v="User Not Mapped"/>
    <n v="1213333"/>
    <s v="AMIYA PROSAD DAS"/>
    <s v="Private Retailer"/>
    <s v="9732582853"/>
    <n v="1"/>
    <n v="66"/>
    <x v="6"/>
    <m/>
    <s v="2026-02-13"/>
    <s v="268815"/>
    <s v="Chitta Ranjan Dey"/>
    <s v="9434744870"/>
  </r>
  <r>
    <s v="RCF Thal"/>
    <s v="N.C.Urea(45kg)"/>
    <s v="WB"/>
    <x v="0"/>
    <s v="Baduria"/>
    <s v="User Not Mapped"/>
    <s v="User Not Mapped"/>
    <s v="User Not Mapped"/>
    <n v="382403"/>
    <s v="Anup Kumar Ghosh"/>
    <s v="Private Retailer"/>
    <s v="6294358720"/>
    <n v="3.0150000000000001"/>
    <n v="144"/>
    <x v="4"/>
    <m/>
    <s v="2025-11-27"/>
    <s v="268815"/>
    <s v="Chitta Ranjan Dey"/>
    <s v="9434744870"/>
  </r>
  <r>
    <s v="RCF Import"/>
    <s v="Imp 10-26-26"/>
    <s v="WB"/>
    <x v="0"/>
    <m/>
    <s v="User Not Mapped"/>
    <s v="User Not Mapped"/>
    <s v="User Not Mapped"/>
    <n v="355112"/>
    <s v="Anupam  Mondal"/>
    <s v="Private Retailer"/>
    <s v="8617422952"/>
    <n v="4.1500000000000004"/>
    <n v="21"/>
    <x v="5"/>
    <m/>
    <s v="2026-03-30"/>
    <s v="268815"/>
    <s v="Chitta Ranjan Dey"/>
    <s v="9434744870"/>
  </r>
  <r>
    <s v="RCF Trombay"/>
    <s v="N.C.Urea(45kg)"/>
    <s v="WB"/>
    <x v="0"/>
    <m/>
    <s v="User Not Mapped"/>
    <s v="User Not Mapped"/>
    <s v="User Not Mapped"/>
    <n v="355112"/>
    <s v="Anupam  Mondal"/>
    <s v="Private Retailer"/>
    <s v="8617422952"/>
    <n v="1.89"/>
    <n v="55"/>
    <x v="3"/>
    <m/>
    <s v="2026-02-24"/>
    <s v="268815"/>
    <s v="Chitta Ranjan Dey"/>
    <s v="9434744870"/>
  </r>
  <r>
    <s v="RCF Thal"/>
    <s v="N.C.Urea(45kg)"/>
    <s v="WB"/>
    <x v="0"/>
    <m/>
    <s v="User Not Mapped"/>
    <s v="User Not Mapped"/>
    <s v="User Not Mapped"/>
    <n v="355112"/>
    <s v="Anupam  Mondal"/>
    <s v="Private Retailer"/>
    <s v="8617422952"/>
    <n v="9.99"/>
    <n v="13"/>
    <x v="5"/>
    <m/>
    <s v="2026-04-07"/>
    <s v="268815"/>
    <s v="Chitta Ranjan Dey"/>
    <s v="9434744870"/>
  </r>
  <r>
    <s v="RCF Trombay"/>
    <s v="15-15-15"/>
    <s v="WB"/>
    <x v="0"/>
    <m/>
    <s v="User Not Mapped"/>
    <s v="User Not Mapped"/>
    <s v="User Not Mapped"/>
    <n v="355112"/>
    <s v="Anupam  Mondal"/>
    <s v="Private Retailer"/>
    <s v="8617422952"/>
    <n v="2.2000000000000002"/>
    <n v="55"/>
    <x v="3"/>
    <m/>
    <s v="2026-02-24"/>
    <s v="268815"/>
    <s v="Chitta Ranjan Dey"/>
    <s v="9434744870"/>
  </r>
  <r>
    <s v="RCF Import"/>
    <s v="MOP"/>
    <s v="WB"/>
    <x v="0"/>
    <m/>
    <s v="User Not Mapped"/>
    <s v="User Not Mapped"/>
    <s v="User Not Mapped"/>
    <n v="355112"/>
    <s v="Anupam  Mondal"/>
    <s v="Private Retailer"/>
    <s v="8617422952"/>
    <n v="4.3"/>
    <n v="52"/>
    <x v="3"/>
    <m/>
    <s v="2026-02-27"/>
    <s v="268815"/>
    <s v="Chitta Ranjan Dey"/>
    <s v="9434744870"/>
  </r>
  <r>
    <s v="RCF Trombay"/>
    <s v="15-15-15"/>
    <s v="WB"/>
    <x v="0"/>
    <s v="Bagda"/>
    <s v="User Not Mapped"/>
    <s v="User Not Mapped"/>
    <s v="User Not Mapped"/>
    <n v="355113"/>
    <s v="Arabinda Biswas"/>
    <s v="Private Retailer"/>
    <s v="8768059786"/>
    <n v="2.35"/>
    <n v="84"/>
    <x v="6"/>
    <m/>
    <s v="2026-01-26"/>
    <s v="268815"/>
    <s v="Chitta Ranjan Dey"/>
    <s v="9434744870"/>
  </r>
  <r>
    <s v="RCF Trombay"/>
    <s v="N.C.Urea(45kg)"/>
    <s v="WB"/>
    <x v="0"/>
    <s v="Bagda"/>
    <s v="User Not Mapped"/>
    <s v="User Not Mapped"/>
    <s v="User Not Mapped"/>
    <n v="355113"/>
    <s v="Arabinda Biswas"/>
    <s v="Private Retailer"/>
    <s v="8768059786"/>
    <n v="1.71"/>
    <n v="84"/>
    <x v="6"/>
    <m/>
    <s v="2026-01-26"/>
    <s v="268815"/>
    <s v="Chitta Ranjan Dey"/>
    <s v="9434744870"/>
  </r>
  <r>
    <s v="RCF Trombay"/>
    <s v="15-15-15"/>
    <s v="WB"/>
    <x v="0"/>
    <m/>
    <s v="User Not Mapped"/>
    <s v="User Not Mapped"/>
    <s v="User Not Mapped"/>
    <n v="531467"/>
    <s v="Ashalata Krishi Bhander"/>
    <s v="Private Retailer"/>
    <s v="8348266285"/>
    <n v="4.7"/>
    <n v="2152"/>
    <x v="2"/>
    <m/>
    <s v="2020-05-29"/>
    <s v="268815"/>
    <s v="Chitta Ranjan Dey"/>
    <s v="9434744870"/>
  </r>
  <r>
    <s v="RCF Thal"/>
    <s v="N.C.Urea(45kg)"/>
    <s v="WB"/>
    <x v="0"/>
    <m/>
    <s v="User Not Mapped"/>
    <s v="User Not Mapped"/>
    <s v="User Not Mapped"/>
    <n v="531467"/>
    <s v="Ashalata Krishi Bhander"/>
    <s v="Private Retailer"/>
    <s v="8348266285"/>
    <n v="3.18"/>
    <n v="2270"/>
    <x v="2"/>
    <m/>
    <s v="2020-02-01"/>
    <s v="268815"/>
    <s v="Chitta Ranjan Dey"/>
    <s v="9434744870"/>
  </r>
  <r>
    <s v="RCF Trombay"/>
    <s v="15-15-15"/>
    <s v="WB"/>
    <x v="0"/>
    <s v="Bagda"/>
    <s v="User Not Mapped"/>
    <s v="User Not Mapped"/>
    <s v="User Not Mapped"/>
    <n v="457462"/>
    <s v="Ashim Kumar Das"/>
    <s v="Private Retailer"/>
    <s v="9153209272"/>
    <n v="0.85"/>
    <n v="86"/>
    <x v="6"/>
    <m/>
    <s v="2026-01-24"/>
    <s v="268815"/>
    <s v="Chitta Ranjan Dey"/>
    <s v="9434744870"/>
  </r>
  <r>
    <s v="RCF Thal"/>
    <s v="N.C.Urea(45kg)"/>
    <s v="WB"/>
    <x v="0"/>
    <s v="Bagda"/>
    <s v="User Not Mapped"/>
    <s v="User Not Mapped"/>
    <s v="User Not Mapped"/>
    <n v="457462"/>
    <s v="Ashim Kumar Das"/>
    <s v="Private Retailer"/>
    <s v="9153209272"/>
    <n v="9.7650000000000006"/>
    <n v="13"/>
    <x v="5"/>
    <m/>
    <s v="2026-04-07"/>
    <s v="268815"/>
    <s v="Chitta Ranjan Dey"/>
    <s v="9434744870"/>
  </r>
  <r>
    <s v="RCF Import"/>
    <s v="MOP"/>
    <s v="WB"/>
    <x v="0"/>
    <s v="Bagda"/>
    <s v="User Not Mapped"/>
    <s v="User Not Mapped"/>
    <s v="User Not Mapped"/>
    <n v="457462"/>
    <s v="Ashim Kumar Das"/>
    <s v="Private Retailer"/>
    <s v="9153209272"/>
    <n v="1.8"/>
    <n v="52"/>
    <x v="3"/>
    <m/>
    <s v="2026-02-27"/>
    <s v="268815"/>
    <s v="Chitta Ranjan Dey"/>
    <s v="9434744870"/>
  </r>
  <r>
    <s v="RCF Trombay"/>
    <s v="N.C.Urea(45kg)"/>
    <s v="WB"/>
    <x v="0"/>
    <s v="Bagda"/>
    <s v="User Not Mapped"/>
    <s v="User Not Mapped"/>
    <s v="User Not Mapped"/>
    <n v="457462"/>
    <s v="Ashim Kumar Das"/>
    <s v="Private Retailer"/>
    <s v="9153209272"/>
    <n v="0.9"/>
    <n v="55"/>
    <x v="3"/>
    <m/>
    <s v="2026-02-24"/>
    <s v="268815"/>
    <s v="Chitta Ranjan Dey"/>
    <s v="9434744870"/>
  </r>
  <r>
    <s v="RCF Thal"/>
    <s v="N.C.Urea(45kg)"/>
    <s v="WB"/>
    <x v="0"/>
    <s v="Bongaon"/>
    <s v="User Not Mapped"/>
    <s v="User Not Mapped"/>
    <s v="User Not Mapped"/>
    <n v="354734"/>
    <s v="Ashim Kumar Paul"/>
    <s v="Private Retailer"/>
    <s v="9734897685"/>
    <n v="19.98"/>
    <n v="13"/>
    <x v="5"/>
    <m/>
    <s v="2026-04-07"/>
    <s v="268815"/>
    <s v="Chitta Ranjan Dey"/>
    <s v="9434744870"/>
  </r>
  <r>
    <s v="RCF Thal"/>
    <s v="N.C.Urea(45kg)"/>
    <s v="WB"/>
    <x v="0"/>
    <s v="Bongaon"/>
    <s v="User Not Mapped"/>
    <s v="User Not Mapped"/>
    <s v="User Not Mapped"/>
    <n v="497679"/>
    <s v="Ashit Kr.Mondal"/>
    <s v="Private Retailer"/>
    <s v="9732947569"/>
    <n v="4.9950000000000001"/>
    <n v="10"/>
    <x v="5"/>
    <m/>
    <s v="2026-04-10"/>
    <s v="268815"/>
    <s v="Chitta Ranjan Dey"/>
    <s v="9434744870"/>
  </r>
  <r>
    <s v="RCF Thal"/>
    <s v="N.C.Urea(45kg)"/>
    <s v="WB"/>
    <x v="0"/>
    <s v="Bongaon"/>
    <s v="User Not Mapped"/>
    <s v="User Not Mapped"/>
    <s v="User Not Mapped"/>
    <n v="354744"/>
    <s v="Ashok Kumar Das"/>
    <s v="Private Retailer"/>
    <s v="9332644267"/>
    <n v="5.2649999999999997"/>
    <n v="39"/>
    <x v="3"/>
    <m/>
    <s v="2026-03-12"/>
    <s v="268815"/>
    <s v="Chitta Ranjan Dey"/>
    <s v="9434744870"/>
  </r>
  <r>
    <s v="RCF Thal"/>
    <s v="N.C.Urea(45kg)"/>
    <s v="WB"/>
    <x v="0"/>
    <s v="Bongaon"/>
    <s v="User Not Mapped"/>
    <s v="User Not Mapped"/>
    <s v="User Not Mapped"/>
    <n v="1133461"/>
    <s v="Avishek Mondal"/>
    <s v="Private Retailer"/>
    <s v="7550905032"/>
    <n v="3.41"/>
    <n v="39"/>
    <x v="3"/>
    <m/>
    <s v="2026-03-12"/>
    <s v="268815"/>
    <s v="Chitta Ranjan Dey"/>
    <s v="9434744870"/>
  </r>
  <r>
    <s v="RCF Thal"/>
    <s v="N.C.Urea(45kg)"/>
    <s v="WB"/>
    <x v="0"/>
    <s v="Bongaon"/>
    <s v="User Not Mapped"/>
    <s v="User Not Mapped"/>
    <s v="User Not Mapped"/>
    <n v="411377"/>
    <s v="Baidya Nath Sengupta"/>
    <s v="Private Retailer"/>
    <s v="9932557347"/>
    <n v="4.41"/>
    <n v="39"/>
    <x v="3"/>
    <m/>
    <s v="2026-03-12"/>
    <s v="268815"/>
    <s v="Chitta Ranjan Dey"/>
    <s v="9434744870"/>
  </r>
  <r>
    <s v="RCF Trombay"/>
    <s v="15-15-15"/>
    <s v="WB"/>
    <x v="0"/>
    <s v="Gaighata"/>
    <s v="User Not Mapped"/>
    <s v="User Not Mapped"/>
    <s v="User Not Mapped"/>
    <n v="682639"/>
    <s v="BARUN BANERJEE"/>
    <s v="Private Retailer"/>
    <s v="9647281574"/>
    <n v="3.3"/>
    <n v="93"/>
    <x v="7"/>
    <m/>
    <s v="2026-01-17"/>
    <s v="268815"/>
    <s v="Chitta Ranjan Dey"/>
    <s v="9434744870"/>
  </r>
  <r>
    <s v="RCF Thal"/>
    <s v="N.C.Urea(45kg)"/>
    <s v="WB"/>
    <x v="0"/>
    <s v="Gaighata"/>
    <s v="User Not Mapped"/>
    <s v="User Not Mapped"/>
    <s v="User Not Mapped"/>
    <n v="682639"/>
    <s v="BARUN BANERJEE"/>
    <s v="Private Retailer"/>
    <s v="9647281574"/>
    <n v="4.68"/>
    <n v="36"/>
    <x v="3"/>
    <m/>
    <s v="2026-03-15"/>
    <s v="268815"/>
    <s v="Chitta Ranjan Dey"/>
    <s v="9434744870"/>
  </r>
  <r>
    <s v="RCF Trombay"/>
    <s v="15-15-15"/>
    <s v="WB"/>
    <x v="0"/>
    <s v="Gaighata"/>
    <s v="User Not Mapped"/>
    <s v="User Not Mapped"/>
    <s v="User Not Mapped"/>
    <n v="411349"/>
    <s v="Basudev Ghosh"/>
    <s v="Private Retailer"/>
    <s v="9635915129"/>
    <n v="5.5"/>
    <n v="65"/>
    <x v="6"/>
    <m/>
    <s v="2026-02-14"/>
    <s v="268815"/>
    <s v="Chitta Ranjan Dey"/>
    <s v="9434744870"/>
  </r>
  <r>
    <s v="RCF Import"/>
    <s v="MOP"/>
    <s v="WB"/>
    <x v="0"/>
    <s v="Gaighata"/>
    <s v="User Not Mapped"/>
    <s v="User Not Mapped"/>
    <s v="User Not Mapped"/>
    <n v="411349"/>
    <s v="Basudev Ghosh"/>
    <s v="Private Retailer"/>
    <s v="9635915129"/>
    <n v="5"/>
    <n v="55"/>
    <x v="3"/>
    <m/>
    <s v="2026-02-24"/>
    <s v="268815"/>
    <s v="Chitta Ranjan Dey"/>
    <s v="9434744870"/>
  </r>
  <r>
    <s v="RCF Import"/>
    <s v="Imp 10-26-26"/>
    <s v="WB"/>
    <x v="0"/>
    <s v="Gaighata"/>
    <s v="User Not Mapped"/>
    <s v="User Not Mapped"/>
    <s v="User Not Mapped"/>
    <n v="411349"/>
    <s v="Basudev Ghosh"/>
    <s v="Private Retailer"/>
    <s v="9635915129"/>
    <n v="4.75"/>
    <n v="21"/>
    <x v="5"/>
    <m/>
    <s v="2026-03-30"/>
    <s v="268815"/>
    <s v="Chitta Ranjan Dey"/>
    <s v="9434744870"/>
  </r>
  <r>
    <s v="RCF Trombay"/>
    <s v="15-15-15"/>
    <s v="WB"/>
    <x v="0"/>
    <s v="Gaighata"/>
    <s v="User Not Mapped"/>
    <s v="User Not Mapped"/>
    <s v="User Not Mapped"/>
    <n v="411349"/>
    <s v="Basudev Ghosh"/>
    <s v="Private Retailer"/>
    <s v="9635915129"/>
    <n v="0.6"/>
    <n v="93"/>
    <x v="7"/>
    <m/>
    <s v="2026-01-17"/>
    <s v="268815"/>
    <s v="Chitta Ranjan Dey"/>
    <s v="9434744870"/>
  </r>
  <r>
    <s v="RCF Import"/>
    <s v="Imp 10-26-26"/>
    <s v="WB"/>
    <x v="0"/>
    <s v="Deganga"/>
    <s v="User Not Mapped"/>
    <s v="User Not Mapped"/>
    <s v="User Not Mapped"/>
    <n v="226551"/>
    <s v="Bazlur Rahman"/>
    <s v="Private Retailer"/>
    <s v="9735503652"/>
    <n v="5.4"/>
    <n v="21"/>
    <x v="5"/>
    <m/>
    <s v="2026-03-30"/>
    <s v="268815"/>
    <s v="Chitta Ranjan Dey"/>
    <s v="9434744870"/>
  </r>
  <r>
    <s v="RCF Import"/>
    <s v="MOP"/>
    <s v="WB"/>
    <x v="0"/>
    <s v="Baduria"/>
    <s v="User Not Mapped"/>
    <s v="User Not Mapped"/>
    <s v="User Not Mapped"/>
    <n v="226558"/>
    <s v="Bhai Bhai Krishi Bhandar"/>
    <s v="Private Retailer"/>
    <s v="9153140454"/>
    <n v="3.61"/>
    <n v="55"/>
    <x v="3"/>
    <m/>
    <s v="2026-02-24"/>
    <s v="268815"/>
    <s v="Chitta Ranjan Dey"/>
    <s v="9434744870"/>
  </r>
  <r>
    <s v="RCF Trombay"/>
    <s v="N.C.Urea(45kg)"/>
    <s v="WB"/>
    <x v="0"/>
    <s v="Baduria"/>
    <s v="User Not Mapped"/>
    <s v="User Not Mapped"/>
    <s v="User Not Mapped"/>
    <n v="226558"/>
    <s v="Bhai Bhai Krishi Bhandar"/>
    <s v="Private Retailer"/>
    <s v="9153140454"/>
    <n v="5.04"/>
    <n v="65"/>
    <x v="6"/>
    <m/>
    <s v="2026-02-14"/>
    <s v="268815"/>
    <s v="Chitta Ranjan Dey"/>
    <s v="9434744870"/>
  </r>
  <r>
    <s v="RCF Trombay"/>
    <s v="15-15-15"/>
    <s v="WB"/>
    <x v="0"/>
    <s v="Baduria"/>
    <s v="User Not Mapped"/>
    <s v="User Not Mapped"/>
    <s v="User Not Mapped"/>
    <n v="226558"/>
    <s v="Bhai Bhai Krishi Bhandar"/>
    <s v="Private Retailer"/>
    <s v="9153140454"/>
    <n v="0.64"/>
    <n v="93"/>
    <x v="7"/>
    <m/>
    <s v="2026-01-17"/>
    <s v="268815"/>
    <s v="Chitta Ranjan Dey"/>
    <s v="9434744870"/>
  </r>
  <r>
    <s v="RCF Trombay"/>
    <s v="15-15-15"/>
    <s v="WB"/>
    <x v="0"/>
    <s v="Baduria"/>
    <s v="User Not Mapped"/>
    <s v="User Not Mapped"/>
    <s v="User Not Mapped"/>
    <n v="226558"/>
    <s v="Bhai Bhai Krishi Bhandar"/>
    <s v="Private Retailer"/>
    <s v="9153140454"/>
    <n v="5.5"/>
    <n v="66"/>
    <x v="6"/>
    <m/>
    <s v="2026-02-13"/>
    <s v="268815"/>
    <s v="Chitta Ranjan Dey"/>
    <s v="9434744870"/>
  </r>
  <r>
    <s v="RCF Thal"/>
    <s v="N.C.Urea(45kg)"/>
    <s v="WB"/>
    <x v="0"/>
    <s v="Bongaon"/>
    <s v="User Not Mapped"/>
    <s v="User Not Mapped"/>
    <s v="User Not Mapped"/>
    <n v="538116"/>
    <s v="BHAJAHARI MONDAL"/>
    <s v="Private Retailer"/>
    <s v="9933842208"/>
    <n v="6.5750000000000002"/>
    <n v="38"/>
    <x v="3"/>
    <m/>
    <s v="2026-03-13"/>
    <s v="268815"/>
    <s v="Chitta Ranjan Dey"/>
    <s v="9434744870"/>
  </r>
  <r>
    <s v="RCF Thal"/>
    <s v="N.C.Urea(45kg)"/>
    <s v="WB"/>
    <x v="0"/>
    <s v="Habra - II"/>
    <s v="User Not Mapped"/>
    <s v="User Not Mapped"/>
    <s v="User Not Mapped"/>
    <n v="354797"/>
    <s v="Bholanathsamaddar"/>
    <s v="Private Retailer"/>
    <s v="9732537477"/>
    <n v="3.24"/>
    <n v="39"/>
    <x v="3"/>
    <m/>
    <s v="2026-03-12"/>
    <s v="268815"/>
    <s v="Chitta Ranjan Dey"/>
    <s v="9434744870"/>
  </r>
  <r>
    <s v="RCF Import"/>
    <s v="MOP"/>
    <s v="WB"/>
    <x v="0"/>
    <s v="Gaighata"/>
    <s v="User Not Mapped"/>
    <s v="User Not Mapped"/>
    <s v="User Not Mapped"/>
    <n v="411203"/>
    <s v="Bidyut Ghosh"/>
    <s v="Private Retailer"/>
    <s v="9749219025"/>
    <n v="4.55"/>
    <n v="55"/>
    <x v="3"/>
    <m/>
    <s v="2026-02-24"/>
    <s v="268815"/>
    <s v="Chitta Ranjan Dey"/>
    <s v="9434744870"/>
  </r>
  <r>
    <s v="RCF Import"/>
    <s v="MOP"/>
    <s v="WB"/>
    <x v="0"/>
    <s v="Swarupnagar"/>
    <s v="User Not Mapped"/>
    <s v="User Not Mapped"/>
    <s v="User Not Mapped"/>
    <n v="226565"/>
    <s v="Bikash Ch. Mondal"/>
    <s v="Private Retailer"/>
    <s v="9732862545"/>
    <n v="5.05"/>
    <n v="55"/>
    <x v="3"/>
    <m/>
    <s v="2026-02-24"/>
    <s v="268815"/>
    <s v="Chitta Ranjan Dey"/>
    <s v="9434744870"/>
  </r>
  <r>
    <s v="RCF Import"/>
    <s v="Imp 10-26-26"/>
    <s v="WB"/>
    <x v="0"/>
    <s v="Swarupnagar"/>
    <s v="User Not Mapped"/>
    <s v="User Not Mapped"/>
    <s v="User Not Mapped"/>
    <n v="226565"/>
    <s v="Bikash Ch. Mondal"/>
    <s v="Private Retailer"/>
    <s v="9732862545"/>
    <n v="4.5"/>
    <n v="21"/>
    <x v="5"/>
    <m/>
    <s v="2026-03-30"/>
    <s v="268815"/>
    <s v="Chitta Ranjan Dey"/>
    <s v="9434744870"/>
  </r>
  <r>
    <s v="RCF Thal"/>
    <s v="N.C.Urea(45kg)"/>
    <s v="WB"/>
    <x v="0"/>
    <s v="Bagda"/>
    <s v="User Not Mapped"/>
    <s v="User Not Mapped"/>
    <s v="User Not Mapped"/>
    <n v="354827"/>
    <s v="Bikash Chandra Biswas"/>
    <s v="Private Retailer"/>
    <s v="9609250249"/>
    <n v="9.5850000000000009"/>
    <n v="10"/>
    <x v="5"/>
    <m/>
    <s v="2026-04-10"/>
    <s v="268815"/>
    <s v="Chitta Ranjan Dey"/>
    <s v="9434744870"/>
  </r>
  <r>
    <s v="RCF Import"/>
    <s v="MOP"/>
    <s v="WB"/>
    <x v="0"/>
    <s v="Bongaon"/>
    <s v="User Not Mapped"/>
    <s v="User Not Mapped"/>
    <s v="User Not Mapped"/>
    <n v="1076583"/>
    <s v="Bikram ghosh"/>
    <s v="Private Wholsaler"/>
    <s v="8670083399"/>
    <n v="5"/>
    <n v="52"/>
    <x v="3"/>
    <s v="'25-26/RCF/MOP/51'"/>
    <s v="2026-02-27"/>
    <s v="268815"/>
    <s v="Chitta Ranjan Dey"/>
    <s v="9434744870"/>
  </r>
  <r>
    <s v="RCF Thal"/>
    <s v="N.C.Urea(45kg)"/>
    <s v="WB"/>
    <x v="0"/>
    <s v="Bongaon"/>
    <s v="User Not Mapped"/>
    <s v="User Not Mapped"/>
    <s v="User Not Mapped"/>
    <n v="479310"/>
    <s v="Bimal Chakravorthy"/>
    <s v="Private Retailer"/>
    <s v="9733867590"/>
    <n v="3.6"/>
    <n v="39"/>
    <x v="3"/>
    <m/>
    <s v="2026-03-12"/>
    <s v="268815"/>
    <s v="Chitta Ranjan Dey"/>
    <s v="9434744870"/>
  </r>
  <r>
    <s v="RCF Trombay"/>
    <s v="15-15-15"/>
    <s v="WB"/>
    <x v="0"/>
    <s v="Habra - I"/>
    <s v="User Not Mapped"/>
    <s v="User Not Mapped"/>
    <s v="User Not Mapped"/>
    <n v="1498786"/>
    <s v="CHALKULTALA  SAMOBAY KRISHI UN"/>
    <s v="PACS"/>
    <s v="8436367433"/>
    <n v="5.5"/>
    <n v="66"/>
    <x v="6"/>
    <m/>
    <s v="2026-02-13"/>
    <s v="268815"/>
    <s v="Chitta Ranjan Dey"/>
    <s v="9434744870"/>
  </r>
  <r>
    <s v="RCF Import"/>
    <s v="MOP"/>
    <s v="WB"/>
    <x v="0"/>
    <s v="Habra - I"/>
    <s v="User Not Mapped"/>
    <s v="User Not Mapped"/>
    <s v="User Not Mapped"/>
    <n v="226603"/>
    <s v="Chatterjee Krishi Bhander"/>
    <s v="Private Retailer"/>
    <s v="9932749903"/>
    <n v="2.9"/>
    <n v="55"/>
    <x v="3"/>
    <m/>
    <s v="2026-02-24"/>
    <s v="268815"/>
    <s v="Chitta Ranjan Dey"/>
    <s v="9434744870"/>
  </r>
  <r>
    <s v="RCF Import"/>
    <s v="Imp 10-26-26"/>
    <s v="WB"/>
    <x v="0"/>
    <s v="Habra - I"/>
    <s v="User Not Mapped"/>
    <s v="User Not Mapped"/>
    <s v="User Not Mapped"/>
    <n v="226603"/>
    <s v="Chatterjee Krishi Bhander"/>
    <s v="Private Retailer"/>
    <s v="9932749903"/>
    <n v="4.1500000000000004"/>
    <n v="21"/>
    <x v="5"/>
    <m/>
    <s v="2026-03-30"/>
    <s v="268815"/>
    <s v="Chitta Ranjan Dey"/>
    <s v="9434744870"/>
  </r>
  <r>
    <s v="RCF Thal"/>
    <s v="N.C.Urea(45kg)"/>
    <s v="WB"/>
    <x v="0"/>
    <s v="Habra - I"/>
    <s v="User Not Mapped"/>
    <s v="User Not Mapped"/>
    <s v="User Not Mapped"/>
    <n v="226603"/>
    <s v="Chatterjee Krishi Bhander"/>
    <s v="Private Retailer"/>
    <s v="9932749903"/>
    <n v="2.34"/>
    <n v="39"/>
    <x v="3"/>
    <m/>
    <s v="2026-03-12"/>
    <s v="268815"/>
    <s v="Chitta Ranjan Dey"/>
    <s v="9434744870"/>
  </r>
  <r>
    <s v="RCF Thal"/>
    <s v="N.C.Urea(45kg)"/>
    <s v="WB"/>
    <x v="0"/>
    <s v="Bagda"/>
    <s v="User Not Mapped"/>
    <s v="User Not Mapped"/>
    <s v="User Not Mapped"/>
    <n v="1018665"/>
    <s v="DAHARPOTA S.K.U.S LTD"/>
    <s v="Private Retailer"/>
    <s v="9733685490"/>
    <n v="9.85"/>
    <n v="38"/>
    <x v="3"/>
    <m/>
    <s v="2026-03-13"/>
    <s v="268815"/>
    <s v="Chitta Ranjan Dey"/>
    <s v="9434744870"/>
  </r>
  <r>
    <s v="RCF Import"/>
    <s v="Imp 10-26-26"/>
    <s v="WB"/>
    <x v="0"/>
    <s v="Swarupnagar"/>
    <s v="User Not Mapped"/>
    <s v="User Not Mapped"/>
    <s v="User Not Mapped"/>
    <n v="1216136"/>
    <s v="DAS KRISHI BHANDER"/>
    <s v="Private Retailer"/>
    <s v="9564048050"/>
    <n v="11"/>
    <n v="21"/>
    <x v="5"/>
    <m/>
    <s v="2026-03-30"/>
    <s v="268815"/>
    <s v="Chitta Ranjan Dey"/>
    <s v="9434744870"/>
  </r>
  <r>
    <s v="RCF Trombay"/>
    <s v="N.C.Urea(45kg)"/>
    <s v="WB"/>
    <x v="0"/>
    <s v="Bongaon"/>
    <s v="User Not Mapped"/>
    <s v="User Not Mapped"/>
    <s v="User Not Mapped"/>
    <n v="538098"/>
    <s v="DEBDAS MANDAL"/>
    <s v="Private Retailer"/>
    <s v="9735304431"/>
    <n v="5.1749999999999998"/>
    <n v="55"/>
    <x v="3"/>
    <m/>
    <s v="2026-02-24"/>
    <s v="268815"/>
    <s v="Chitta Ranjan Dey"/>
    <s v="9434744870"/>
  </r>
  <r>
    <s v="RCF Trombay"/>
    <s v="N.C.Urea(45kg)"/>
    <s v="WB"/>
    <x v="0"/>
    <s v="Amdanga"/>
    <s v="User Not Mapped"/>
    <s v="User Not Mapped"/>
    <s v="User Not Mapped"/>
    <n v="226625"/>
    <s v="Dey Fertilizers"/>
    <s v="Private Retailer"/>
    <s v="9932328160"/>
    <n v="4.4999999999999998E-2"/>
    <n v="93"/>
    <x v="7"/>
    <m/>
    <s v="2026-01-17"/>
    <s v="268815"/>
    <s v="Chitta Ranjan Dey"/>
    <s v="9434744870"/>
  </r>
  <r>
    <s v="RCF Trombay"/>
    <s v="N.C.Urea(45kg)"/>
    <s v="WB"/>
    <x v="0"/>
    <s v="Amdanga"/>
    <s v="User Not Mapped"/>
    <s v="User Not Mapped"/>
    <s v="User Not Mapped"/>
    <n v="226625"/>
    <s v="Dey Fertilizers"/>
    <s v="Private Retailer"/>
    <s v="9932328160"/>
    <n v="5.49"/>
    <n v="65"/>
    <x v="6"/>
    <m/>
    <s v="2026-02-14"/>
    <s v="268815"/>
    <s v="Chitta Ranjan Dey"/>
    <s v="9434744870"/>
  </r>
  <r>
    <s v="RCF Trombay"/>
    <s v="15-15-15"/>
    <s v="WB"/>
    <x v="0"/>
    <s v="Amdanga"/>
    <s v="User Not Mapped"/>
    <s v="User Not Mapped"/>
    <s v="User Not Mapped"/>
    <n v="226625"/>
    <s v="Dey Fertilizers"/>
    <s v="Private Retailer"/>
    <s v="9932328160"/>
    <n v="5.8"/>
    <n v="66"/>
    <x v="6"/>
    <m/>
    <s v="2026-02-13"/>
    <s v="268815"/>
    <s v="Chitta Ranjan Dey"/>
    <s v="9434744870"/>
  </r>
  <r>
    <s v="RCF Thal"/>
    <s v="N.C.Urea(45kg)"/>
    <s v="WB"/>
    <x v="0"/>
    <s v="Amdanga"/>
    <s v="User Not Mapped"/>
    <s v="User Not Mapped"/>
    <s v="User Not Mapped"/>
    <n v="226625"/>
    <s v="Dey Fertilizers"/>
    <s v="Private Retailer"/>
    <s v="9932328160"/>
    <n v="3.69"/>
    <n v="39"/>
    <x v="3"/>
    <m/>
    <s v="2026-03-12"/>
    <s v="268815"/>
    <s v="Chitta Ranjan Dey"/>
    <s v="9434744870"/>
  </r>
  <r>
    <s v="RCF Import"/>
    <s v="MOP"/>
    <s v="WB"/>
    <x v="0"/>
    <s v="Amdanga"/>
    <s v="User Not Mapped"/>
    <s v="User Not Mapped"/>
    <s v="User Not Mapped"/>
    <n v="226625"/>
    <s v="Dey Fertilizers"/>
    <s v="Private Retailer"/>
    <s v="9932328160"/>
    <n v="5.5"/>
    <n v="55"/>
    <x v="3"/>
    <m/>
    <s v="2026-02-24"/>
    <s v="268815"/>
    <s v="Chitta Ranjan Dey"/>
    <s v="9434744870"/>
  </r>
  <r>
    <s v="RCF Thal"/>
    <s v="N.C.Urea(45kg)"/>
    <s v="WB"/>
    <x v="0"/>
    <s v="Bagda"/>
    <s v="User Not Mapped"/>
    <s v="User Not Mapped"/>
    <s v="User Not Mapped"/>
    <n v="226627"/>
    <s v="Dilip Mazumder"/>
    <s v="Private Retailer"/>
    <s v="9635346844"/>
    <n v="9.99"/>
    <n v="13"/>
    <x v="5"/>
    <m/>
    <s v="2026-04-07"/>
    <s v="268815"/>
    <s v="Chitta Ranjan Dey"/>
    <s v="9434744870"/>
  </r>
  <r>
    <s v="RCF Trombay"/>
    <s v="15-15-15"/>
    <s v="WB"/>
    <x v="0"/>
    <s v="Bagda"/>
    <s v="User Not Mapped"/>
    <s v="User Not Mapped"/>
    <s v="User Not Mapped"/>
    <n v="226627"/>
    <s v="Dilip Mazumder"/>
    <s v="Private Retailer"/>
    <s v="9635346844"/>
    <n v="1.75"/>
    <n v="55"/>
    <x v="3"/>
    <m/>
    <s v="2026-02-24"/>
    <s v="268815"/>
    <s v="Chitta Ranjan Dey"/>
    <s v="9434744870"/>
  </r>
  <r>
    <s v="RCF Trombay"/>
    <s v="15-15-15"/>
    <s v="WB"/>
    <x v="0"/>
    <s v="Gaighata"/>
    <s v="User Not Mapped"/>
    <s v="User Not Mapped"/>
    <s v="User Not Mapped"/>
    <n v="411373"/>
    <s v="Durga Charan Barui"/>
    <s v="Private Retailer"/>
    <s v="9932691312"/>
    <n v="1.45"/>
    <n v="66"/>
    <x v="6"/>
    <m/>
    <s v="2026-02-13"/>
    <s v="268815"/>
    <s v="Chitta Ranjan Dey"/>
    <s v="9434744870"/>
  </r>
  <r>
    <s v="RCF Thal"/>
    <s v="N.C.Urea(45kg)"/>
    <s v="WB"/>
    <x v="0"/>
    <s v="Gaighata"/>
    <s v="User Not Mapped"/>
    <s v="User Not Mapped"/>
    <s v="User Not Mapped"/>
    <n v="411373"/>
    <s v="Durga Charan Barui"/>
    <s v="Private Retailer"/>
    <s v="9932691312"/>
    <n v="5.31"/>
    <n v="39"/>
    <x v="3"/>
    <m/>
    <s v="2026-03-12"/>
    <s v="268815"/>
    <s v="Chitta Ranjan Dey"/>
    <s v="9434744870"/>
  </r>
  <r>
    <s v="RCF Import"/>
    <s v="MOP"/>
    <s v="WB"/>
    <x v="0"/>
    <s v="Gaighata"/>
    <s v="User Not Mapped"/>
    <s v="User Not Mapped"/>
    <s v="User Not Mapped"/>
    <n v="411373"/>
    <s v="Durga Charan Barui"/>
    <s v="Private Retailer"/>
    <s v="9932691312"/>
    <n v="2.65"/>
    <n v="52"/>
    <x v="3"/>
    <m/>
    <s v="2026-02-27"/>
    <s v="268815"/>
    <s v="Chitta Ranjan Dey"/>
    <s v="9434744870"/>
  </r>
  <r>
    <s v="RCF Import"/>
    <s v="Imp 10-26-26"/>
    <s v="WB"/>
    <x v="0"/>
    <s v="Gaighata"/>
    <s v="User Not Mapped"/>
    <s v="User Not Mapped"/>
    <s v="User Not Mapped"/>
    <n v="411373"/>
    <s v="Durga Charan Barui"/>
    <s v="Private Retailer"/>
    <s v="9932691312"/>
    <n v="3.95"/>
    <n v="21"/>
    <x v="5"/>
    <m/>
    <s v="2026-03-30"/>
    <s v="268815"/>
    <s v="Chitta Ranjan Dey"/>
    <s v="9434744870"/>
  </r>
  <r>
    <s v="RCF Trombay"/>
    <s v="15-15-15"/>
    <s v="WB"/>
    <x v="0"/>
    <s v="Swarupnagar"/>
    <s v="User Not Mapped"/>
    <s v="User Not Mapped"/>
    <s v="User Not Mapped"/>
    <n v="1531024"/>
    <s v="DUTTAPARA KRISHI BIPONI"/>
    <s v="Private Retailer"/>
    <s v="7908225346"/>
    <n v="1.55"/>
    <n v="65"/>
    <x v="6"/>
    <m/>
    <s v="2026-02-14"/>
    <s v="268815"/>
    <s v="Chitta Ranjan Dey"/>
    <s v="9434744870"/>
  </r>
  <r>
    <s v="RCF Thal"/>
    <s v="N.C.Urea(45kg)"/>
    <s v="WB"/>
    <x v="0"/>
    <s v="Baduria"/>
    <s v="User Not Mapped"/>
    <s v="User Not Mapped"/>
    <s v="User Not Mapped"/>
    <n v="226639"/>
    <s v="Fakir Ahamed Mondal"/>
    <s v="Private Retailer"/>
    <s v="9609379774"/>
    <n v="4.41"/>
    <n v="31"/>
    <x v="3"/>
    <m/>
    <s v="2026-03-20"/>
    <s v="268815"/>
    <s v="Chitta Ranjan Dey"/>
    <s v="9434744870"/>
  </r>
  <r>
    <s v="RCF Trombay"/>
    <s v="N.C.Urea(45kg)"/>
    <s v="WB"/>
    <x v="0"/>
    <s v="Basirhat - I"/>
    <s v="User Not Mapped"/>
    <s v="User Not Mapped"/>
    <s v="User Not Mapped"/>
    <n v="961226"/>
    <s v="Firoj krishi bhander"/>
    <s v="Private Retailer"/>
    <s v="9775503010"/>
    <n v="5.49"/>
    <n v="66"/>
    <x v="6"/>
    <m/>
    <s v="2026-02-13"/>
    <s v="268815"/>
    <s v="Chitta Ranjan Dey"/>
    <s v="9434744870"/>
  </r>
  <r>
    <s v="RCF Import"/>
    <s v="Imp 10-26-26"/>
    <s v="WB"/>
    <x v="0"/>
    <s v="Bongaon"/>
    <s v="User Not Mapped"/>
    <s v="User Not Mapped"/>
    <s v="User Not Mapped"/>
    <n v="226596"/>
    <s v="Ghosh fertilizer"/>
    <s v="Private Retailer"/>
    <s v="9333868034"/>
    <n v="11"/>
    <n v="21"/>
    <x v="5"/>
    <m/>
    <s v="2026-03-30"/>
    <s v="268815"/>
    <s v="Chitta Ranjan Dey"/>
    <s v="9434744870"/>
  </r>
  <r>
    <s v="RCF Thal"/>
    <s v="N.C.Urea(45kg)"/>
    <s v="WB"/>
    <x v="0"/>
    <s v="Bongaon"/>
    <s v="User Not Mapped"/>
    <s v="User Not Mapped"/>
    <s v="User Not Mapped"/>
    <n v="226596"/>
    <s v="Ghosh fertilizer"/>
    <s v="Private Retailer"/>
    <s v="9333868034"/>
    <n v="9.99"/>
    <n v="13"/>
    <x v="5"/>
    <m/>
    <s v="2026-04-07"/>
    <s v="268815"/>
    <s v="Chitta Ranjan Dey"/>
    <s v="9434744870"/>
  </r>
  <r>
    <s v="RCF Thal"/>
    <s v="N.C.Urea(45kg)"/>
    <s v="WB"/>
    <x v="0"/>
    <s v="Bongaon"/>
    <s v="User Not Mapped"/>
    <s v="User Not Mapped"/>
    <s v="User Not Mapped"/>
    <n v="226596"/>
    <s v="Ghosh fertilizer"/>
    <s v="Private Retailer"/>
    <s v="9333868034"/>
    <n v="10.71"/>
    <n v="39"/>
    <x v="3"/>
    <m/>
    <s v="2026-03-12"/>
    <s v="268815"/>
    <s v="Chitta Ranjan Dey"/>
    <s v="9434744870"/>
  </r>
  <r>
    <s v="RCF Trombay"/>
    <s v="15-15-15"/>
    <s v="WB"/>
    <x v="0"/>
    <s v="Bongaon"/>
    <s v="User Not Mapped"/>
    <s v="User Not Mapped"/>
    <s v="User Not Mapped"/>
    <n v="226596"/>
    <s v="Ghosh fertilizer"/>
    <s v="Private Retailer"/>
    <s v="9333868034"/>
    <n v="3.4"/>
    <n v="55"/>
    <x v="3"/>
    <m/>
    <s v="2026-02-24"/>
    <s v="268815"/>
    <s v="Chitta Ranjan Dey"/>
    <s v="9434744870"/>
  </r>
  <r>
    <s v="RCF Thal"/>
    <s v="N.C.Urea(45kg)"/>
    <s v="WB"/>
    <x v="0"/>
    <s v="Swarupnagar"/>
    <s v="User Not Mapped"/>
    <s v="User Not Mapped"/>
    <s v="User Not Mapped"/>
    <n v="226661"/>
    <s v="Ghosh Krishi Bhandar"/>
    <s v="Private Retailer"/>
    <s v="7001298554"/>
    <n v="5.49"/>
    <n v="38"/>
    <x v="3"/>
    <m/>
    <s v="2026-03-13"/>
    <s v="268815"/>
    <s v="Chitta Ranjan Dey"/>
    <s v="9434744870"/>
  </r>
  <r>
    <s v="RCF Trombay"/>
    <s v="15-15-15"/>
    <s v="WB"/>
    <x v="0"/>
    <s v="Swarupnagar"/>
    <s v="User Not Mapped"/>
    <s v="User Not Mapped"/>
    <s v="User Not Mapped"/>
    <n v="226661"/>
    <s v="Ghosh Krishi Bhandar"/>
    <s v="Private Retailer"/>
    <s v="7001298554"/>
    <n v="5.5"/>
    <n v="92"/>
    <x v="7"/>
    <m/>
    <s v="2026-01-18"/>
    <s v="268815"/>
    <s v="Chitta Ranjan Dey"/>
    <s v="9434744870"/>
  </r>
  <r>
    <s v="RCF Import"/>
    <s v="Imp 10-26-26"/>
    <s v="WB"/>
    <x v="0"/>
    <s v="Baduria"/>
    <s v="User Not Mapped"/>
    <s v="User Not Mapped"/>
    <s v="User Not Mapped"/>
    <n v="1412269"/>
    <s v="GOBINDA CHANDRA MALLICK"/>
    <s v="Private Retailer"/>
    <s v="6294354902"/>
    <n v="5.5"/>
    <n v="21"/>
    <x v="5"/>
    <m/>
    <s v="2026-03-30"/>
    <s v="268815"/>
    <s v="Chitta Ranjan Dey"/>
    <s v="9434744870"/>
  </r>
  <r>
    <s v="RCF Trombay"/>
    <s v="N.C.Urea(45kg)"/>
    <s v="WB"/>
    <x v="0"/>
    <s v="Baduria"/>
    <s v="User Not Mapped"/>
    <s v="User Not Mapped"/>
    <s v="User Not Mapped"/>
    <n v="1412269"/>
    <s v="GOBINDA CHANDRA MALLICK"/>
    <s v="Private Retailer"/>
    <s v="6294354902"/>
    <n v="3.6"/>
    <n v="65"/>
    <x v="6"/>
    <m/>
    <s v="2026-02-14"/>
    <s v="268815"/>
    <s v="Chitta Ranjan Dey"/>
    <s v="9434744870"/>
  </r>
  <r>
    <s v="RCF Trombay"/>
    <s v="15-15-15"/>
    <s v="WB"/>
    <x v="0"/>
    <s v="Baduria"/>
    <s v="User Not Mapped"/>
    <s v="User Not Mapped"/>
    <s v="User Not Mapped"/>
    <n v="1412269"/>
    <s v="GOBINDA CHANDRA MALLICK"/>
    <s v="Private Retailer"/>
    <s v="6294354902"/>
    <n v="3"/>
    <n v="65"/>
    <x v="6"/>
    <m/>
    <s v="2026-02-14"/>
    <s v="268815"/>
    <s v="Chitta Ranjan Dey"/>
    <s v="9434744870"/>
  </r>
  <r>
    <s v="RCF Thal"/>
    <s v="N.C.Urea(45kg)"/>
    <s v="WB"/>
    <x v="0"/>
    <s v="Baduria"/>
    <s v="User Not Mapped"/>
    <s v="User Not Mapped"/>
    <s v="User Not Mapped"/>
    <n v="1412269"/>
    <s v="GOBINDA CHANDRA MALLICK"/>
    <s v="Private Retailer"/>
    <s v="6294354902"/>
    <n v="10.8"/>
    <n v="39"/>
    <x v="3"/>
    <m/>
    <s v="2026-03-12"/>
    <s v="268815"/>
    <s v="Chitta Ranjan Dey"/>
    <s v="9434744870"/>
  </r>
  <r>
    <s v="RCF Import"/>
    <s v="MOP"/>
    <s v="WB"/>
    <x v="0"/>
    <s v="Baduria"/>
    <s v="User Not Mapped"/>
    <s v="User Not Mapped"/>
    <s v="User Not Mapped"/>
    <n v="1412269"/>
    <s v="GOBINDA CHANDRA MALLICK"/>
    <s v="Private Retailer"/>
    <s v="6294354902"/>
    <n v="5.5"/>
    <n v="55"/>
    <x v="3"/>
    <m/>
    <s v="2026-02-24"/>
    <s v="268815"/>
    <s v="Chitta Ranjan Dey"/>
    <s v="9434744870"/>
  </r>
  <r>
    <s v="RCF Import"/>
    <s v="Imp 10-26-26"/>
    <s v="WB"/>
    <x v="0"/>
    <s v="Baduria"/>
    <s v="User Not Mapped"/>
    <s v="User Not Mapped"/>
    <s v="User Not Mapped"/>
    <n v="1412269"/>
    <s v="GOBINDA CHANDRA MALLICK"/>
    <s v="Private Retailer"/>
    <s v="6294354902"/>
    <n v="2.1"/>
    <n v="237"/>
    <x v="1"/>
    <m/>
    <s v="2025-08-26"/>
    <s v="268815"/>
    <s v="Chitta Ranjan Dey"/>
    <s v="9434744870"/>
  </r>
  <r>
    <s v="RCF Trombay"/>
    <s v="15-15-15"/>
    <s v="WB"/>
    <x v="0"/>
    <s v="Bagda"/>
    <s v="User Not Mapped"/>
    <s v="User Not Mapped"/>
    <s v="User Not Mapped"/>
    <n v="355005"/>
    <s v="Gour Chakravorty"/>
    <s v="Private Retailer"/>
    <s v="9735262273"/>
    <n v="5.15"/>
    <n v="86"/>
    <x v="6"/>
    <m/>
    <s v="2026-01-24"/>
    <s v="268815"/>
    <s v="Chitta Ranjan Dey"/>
    <s v="9434744870"/>
  </r>
  <r>
    <s v="RCF Trombay"/>
    <s v="15-15-15"/>
    <s v="WB"/>
    <x v="0"/>
    <s v="Bagda"/>
    <s v="User Not Mapped"/>
    <s v="User Not Mapped"/>
    <s v="User Not Mapped"/>
    <n v="355005"/>
    <s v="Gour Chakravorty"/>
    <s v="Private Retailer"/>
    <s v="9735262273"/>
    <n v="10"/>
    <n v="55"/>
    <x v="3"/>
    <m/>
    <s v="2026-02-24"/>
    <s v="268815"/>
    <s v="Chitta Ranjan Dey"/>
    <s v="9434744870"/>
  </r>
  <r>
    <s v="RCF Thal"/>
    <s v="N.C.Urea(45kg)"/>
    <s v="WB"/>
    <x v="0"/>
    <s v="Bagda"/>
    <s v="User Not Mapped"/>
    <s v="User Not Mapped"/>
    <s v="User Not Mapped"/>
    <n v="355005"/>
    <s v="Gour Chakravorty"/>
    <s v="Private Retailer"/>
    <s v="9735262273"/>
    <n v="19.305"/>
    <n v="13"/>
    <x v="5"/>
    <m/>
    <s v="2026-04-07"/>
    <s v="268815"/>
    <s v="Chitta Ranjan Dey"/>
    <s v="9434744870"/>
  </r>
  <r>
    <s v="RCF Import"/>
    <s v="MOP"/>
    <s v="WB"/>
    <x v="0"/>
    <s v="Bagda"/>
    <s v="User Not Mapped"/>
    <s v="User Not Mapped"/>
    <s v="User Not Mapped"/>
    <n v="355005"/>
    <s v="Gour Chakravorty"/>
    <s v="Private Retailer"/>
    <s v="9735262273"/>
    <n v="4.2"/>
    <n v="52"/>
    <x v="3"/>
    <m/>
    <s v="2026-02-27"/>
    <s v="268815"/>
    <s v="Chitta Ranjan Dey"/>
    <s v="9434744870"/>
  </r>
  <r>
    <s v="RCF Trombay"/>
    <s v="15-15-15"/>
    <s v="WB"/>
    <x v="0"/>
    <s v="Swarupnagar"/>
    <s v="User Not Mapped"/>
    <s v="User Not Mapped"/>
    <s v="User Not Mapped"/>
    <n v="226677"/>
    <s v="Goutam Das"/>
    <s v="Private Retailer"/>
    <s v="9800796736"/>
    <n v="5"/>
    <n v="93"/>
    <x v="7"/>
    <m/>
    <s v="2026-01-17"/>
    <s v="268815"/>
    <s v="Chitta Ranjan Dey"/>
    <s v="9434744870"/>
  </r>
  <r>
    <s v="RCF Thal"/>
    <s v="N.C.Urea(45kg)"/>
    <s v="WB"/>
    <x v="0"/>
    <s v="Swarupnagar"/>
    <s v="User Not Mapped"/>
    <s v="User Not Mapped"/>
    <s v="User Not Mapped"/>
    <n v="226677"/>
    <s v="Goutam Das"/>
    <s v="Private Retailer"/>
    <s v="9800796736"/>
    <n v="9"/>
    <n v="69"/>
    <x v="6"/>
    <m/>
    <s v="2026-02-10"/>
    <s v="268815"/>
    <s v="Chitta Ranjan Dey"/>
    <s v="9434744870"/>
  </r>
  <r>
    <s v="RCF Import"/>
    <s v="MOP"/>
    <s v="WB"/>
    <x v="0"/>
    <s v="Swarupnagar"/>
    <s v="User Not Mapped"/>
    <s v="User Not Mapped"/>
    <s v="User Not Mapped"/>
    <n v="226677"/>
    <s v="Goutam Das"/>
    <s v="Private Retailer"/>
    <s v="9800796736"/>
    <n v="4.8"/>
    <n v="55"/>
    <x v="3"/>
    <m/>
    <s v="2026-02-24"/>
    <s v="268815"/>
    <s v="Chitta Ranjan Dey"/>
    <s v="9434744870"/>
  </r>
  <r>
    <s v="RCF Import"/>
    <s v="Imp 10-26-26"/>
    <s v="WB"/>
    <x v="0"/>
    <s v="Swarupnagar"/>
    <s v="User Not Mapped"/>
    <s v="User Not Mapped"/>
    <s v="User Not Mapped"/>
    <n v="226677"/>
    <s v="Goutam Das"/>
    <s v="Private Retailer"/>
    <s v="9800796736"/>
    <n v="5.5"/>
    <n v="21"/>
    <x v="5"/>
    <m/>
    <s v="2026-03-30"/>
    <s v="268815"/>
    <s v="Chitta Ranjan Dey"/>
    <s v="9434744870"/>
  </r>
  <r>
    <s v="RCF Import"/>
    <s v="MOP"/>
    <s v="WB"/>
    <x v="0"/>
    <s v="Swarupnagar"/>
    <s v="User Not Mapped"/>
    <s v="User Not Mapped"/>
    <s v="User Not Mapped"/>
    <n v="1102995"/>
    <s v="GRAMIN KRISHI BHANDER"/>
    <s v="Private Wholsaler"/>
    <s v="9733535399"/>
    <n v="11"/>
    <n v="52"/>
    <x v="3"/>
    <s v="'25-26/RCF/MOP/1'"/>
    <s v="2026-02-27"/>
    <s v="268815"/>
    <s v="Chitta Ranjan Dey"/>
    <s v="9434744870"/>
  </r>
  <r>
    <s v="RCF Thal"/>
    <s v="N.C.Urea(45kg)"/>
    <s v="WB"/>
    <x v="0"/>
    <s v="Bongaon"/>
    <s v="User Not Mapped"/>
    <s v="User Not Mapped"/>
    <s v="User Not Mapped"/>
    <n v="355033"/>
    <s v="Hazrat Ali  Mondal"/>
    <s v="Private Retailer"/>
    <s v="9635290270"/>
    <n v="4.7699999999999996"/>
    <n v="39"/>
    <x v="3"/>
    <m/>
    <s v="2026-03-12"/>
    <s v="268815"/>
    <s v="Chitta Ranjan Dey"/>
    <s v="9434744870"/>
  </r>
  <r>
    <s v="RCF Trombay"/>
    <s v="N.C.Urea(45kg)"/>
    <s v="WB"/>
    <x v="0"/>
    <s v="Barasat - II"/>
    <s v="User Not Mapped"/>
    <s v="User Not Mapped"/>
    <s v="User Not Mapped"/>
    <n v="226702"/>
    <s v="Hossain Krishi Seva Kendra"/>
    <s v="Private Retailer"/>
    <s v="9609431013"/>
    <n v="4.8150000000000004"/>
    <n v="934"/>
    <x v="2"/>
    <m/>
    <s v="2023-09-29"/>
    <s v="268815"/>
    <s v="Chitta Ranjan Dey"/>
    <s v="9434744870"/>
  </r>
  <r>
    <s v="RCF Trombay"/>
    <s v="N.C.Urea(45kg)"/>
    <s v="WB"/>
    <x v="0"/>
    <s v="Amdanga"/>
    <s v="User Not Mapped"/>
    <s v="User Not Mapped"/>
    <s v="User Not Mapped"/>
    <n v="355036"/>
    <s v="Hossen Fertillizer"/>
    <s v="Private Retailer"/>
    <s v="9143035128"/>
    <n v="0.27"/>
    <n v="93"/>
    <x v="7"/>
    <m/>
    <s v="2026-01-17"/>
    <s v="268815"/>
    <s v="Chitta Ranjan Dey"/>
    <s v="9434744870"/>
  </r>
  <r>
    <s v="RCF Trombay"/>
    <s v="15-15-15"/>
    <s v="WB"/>
    <x v="0"/>
    <s v="Amdanga"/>
    <s v="User Not Mapped"/>
    <s v="User Not Mapped"/>
    <s v="User Not Mapped"/>
    <n v="355036"/>
    <s v="Hossen Fertillizer"/>
    <s v="Private Retailer"/>
    <s v="9143035128"/>
    <n v="7.2"/>
    <n v="93"/>
    <x v="7"/>
    <m/>
    <s v="2026-01-17"/>
    <s v="268815"/>
    <s v="Chitta Ranjan Dey"/>
    <s v="9434744870"/>
  </r>
  <r>
    <s v="RCF Thal"/>
    <s v="N.C.Urea(45kg)"/>
    <s v="WB"/>
    <x v="0"/>
    <s v="Amdanga"/>
    <s v="User Not Mapped"/>
    <s v="User Not Mapped"/>
    <s v="User Not Mapped"/>
    <n v="355036"/>
    <s v="Hossen Fertillizer"/>
    <s v="Private Retailer"/>
    <s v="9143035128"/>
    <n v="10.98"/>
    <n v="39"/>
    <x v="3"/>
    <m/>
    <s v="2026-03-12"/>
    <s v="268815"/>
    <s v="Chitta Ranjan Dey"/>
    <s v="9434744870"/>
  </r>
  <r>
    <s v="RCF Thal"/>
    <s v="N.C.Urea(45kg)"/>
    <s v="WB"/>
    <x v="0"/>
    <s v="Amdanga"/>
    <s v="User Not Mapped"/>
    <s v="User Not Mapped"/>
    <s v="User Not Mapped"/>
    <n v="478001"/>
    <s v="Islam Krishi Bhandar"/>
    <s v="Private Retailer"/>
    <s v="7699366912"/>
    <n v="9.27"/>
    <n v="39"/>
    <x v="3"/>
    <m/>
    <s v="2026-03-12"/>
    <s v="268815"/>
    <s v="Chitta Ranjan Dey"/>
    <s v="9434744870"/>
  </r>
  <r>
    <s v="RCF Import"/>
    <s v="MOP"/>
    <s v="WB"/>
    <x v="0"/>
    <s v="Amdanga"/>
    <s v="User Not Mapped"/>
    <s v="User Not Mapped"/>
    <s v="User Not Mapped"/>
    <n v="478001"/>
    <s v="Islam Krishi Bhandar"/>
    <s v="Private Retailer"/>
    <s v="7699366912"/>
    <n v="4.5"/>
    <n v="52"/>
    <x v="3"/>
    <m/>
    <s v="2026-02-27"/>
    <s v="268815"/>
    <s v="Chitta Ranjan Dey"/>
    <s v="9434744870"/>
  </r>
  <r>
    <s v="RCF Import"/>
    <s v="Imp 10-26-26"/>
    <s v="WB"/>
    <x v="0"/>
    <s v="Amdanga"/>
    <s v="User Not Mapped"/>
    <s v="User Not Mapped"/>
    <s v="User Not Mapped"/>
    <n v="478001"/>
    <s v="Islam Krishi Bhandar"/>
    <s v="Private Retailer"/>
    <s v="7699366912"/>
    <n v="5.25"/>
    <n v="21"/>
    <x v="5"/>
    <m/>
    <s v="2026-03-30"/>
    <s v="268815"/>
    <s v="Chitta Ranjan Dey"/>
    <s v="9434744870"/>
  </r>
  <r>
    <s v="RCF Trombay"/>
    <s v="15-15-15"/>
    <s v="WB"/>
    <x v="0"/>
    <s v="Amdanga"/>
    <s v="User Not Mapped"/>
    <s v="User Not Mapped"/>
    <s v="User Not Mapped"/>
    <n v="478001"/>
    <s v="Islam Krishi Bhandar"/>
    <s v="Private Retailer"/>
    <s v="7699366912"/>
    <n v="5.5"/>
    <n v="65"/>
    <x v="6"/>
    <m/>
    <s v="2026-02-14"/>
    <s v="268815"/>
    <s v="Chitta Ranjan Dey"/>
    <s v="9434744870"/>
  </r>
  <r>
    <s v="RCF Trombay"/>
    <s v="15-15-15"/>
    <s v="WB"/>
    <x v="0"/>
    <s v="Bongaon"/>
    <s v="User Not Mapped"/>
    <s v="User Not Mapped"/>
    <s v="User Not Mapped"/>
    <n v="387818"/>
    <s v="Jadavpur Skus Ltd"/>
    <s v="PACS"/>
    <s v="9735470283"/>
    <n v="5.5"/>
    <n v="66"/>
    <x v="6"/>
    <m/>
    <s v="2026-02-13"/>
    <s v="268815"/>
    <s v="Chitta Ranjan Dey"/>
    <s v="9434744870"/>
  </r>
  <r>
    <s v="RCF Import"/>
    <s v="MOP"/>
    <s v="WB"/>
    <x v="0"/>
    <s v="Swarupnagar"/>
    <s v="User Not Mapped"/>
    <s v="User Not Mapped"/>
    <s v="User Not Mapped"/>
    <n v="702168"/>
    <s v="JANAKALYAN KRISHI BHANDER"/>
    <s v="Private Wholsaler"/>
    <s v="9732713416"/>
    <n v="11"/>
    <n v="52"/>
    <x v="3"/>
    <s v="'25-26/RCF/MOP/2'"/>
    <s v="2026-02-27"/>
    <s v="268815"/>
    <s v="Chitta Ranjan Dey"/>
    <s v="9434744870"/>
  </r>
  <r>
    <s v="RCF Import"/>
    <s v="MOP"/>
    <s v="WB"/>
    <x v="0"/>
    <s v="Habra - II"/>
    <s v="User Not Mapped"/>
    <s v="User Not Mapped"/>
    <s v="User Not Mapped"/>
    <n v="226736"/>
    <s v="Kadpur Skus Ltd"/>
    <s v="State Marketing Federation"/>
    <s v="9830346319"/>
    <n v="3.95"/>
    <n v="46"/>
    <x v="3"/>
    <m/>
    <s v="2026-03-05"/>
    <s v="268815"/>
    <s v="Chitta Ranjan Dey"/>
    <s v="9434744870"/>
  </r>
  <r>
    <s v="RCF Thal"/>
    <s v="N.C.Urea(45kg)"/>
    <s v="WB"/>
    <x v="0"/>
    <s v="Swarupnagar"/>
    <s v="User Not Mapped"/>
    <s v="User Not Mapped"/>
    <s v="User Not Mapped"/>
    <n v="323633"/>
    <s v="Kinkar Mondal"/>
    <s v="Private Retailer"/>
    <s v="9641828349"/>
    <n v="5.49"/>
    <n v="31"/>
    <x v="3"/>
    <m/>
    <s v="2026-03-20"/>
    <s v="268815"/>
    <s v="Chitta Ranjan Dey"/>
    <s v="9434744870"/>
  </r>
  <r>
    <s v="RCF Trombay"/>
    <s v="15-15-15"/>
    <s v="WB"/>
    <x v="0"/>
    <s v="Habra - I"/>
    <s v="User Not Mapped"/>
    <s v="User Not Mapped"/>
    <s v="User Not Mapped"/>
    <n v="226762"/>
    <s v="Kiron Fertilizers"/>
    <s v="Private Retailer"/>
    <s v="8918458558"/>
    <n v="0.25"/>
    <n v="93"/>
    <x v="7"/>
    <m/>
    <s v="2026-01-17"/>
    <s v="268815"/>
    <s v="Chitta Ranjan Dey"/>
    <s v="9434744870"/>
  </r>
  <r>
    <s v="RCF Import"/>
    <s v="MOP"/>
    <s v="WB"/>
    <x v="0"/>
    <s v="Deganga"/>
    <s v="User Not Mapped"/>
    <s v="User Not Mapped"/>
    <s v="User Not Mapped"/>
    <n v="520100"/>
    <s v="Kolapoli Krishi Bhander"/>
    <s v="Private Retailer"/>
    <s v="7384631317"/>
    <n v="2.6"/>
    <n v="55"/>
    <x v="3"/>
    <m/>
    <s v="2026-02-24"/>
    <s v="268815"/>
    <s v="Chitta Ranjan Dey"/>
    <s v="9434744870"/>
  </r>
  <r>
    <s v="RCF Trombay"/>
    <s v="15-15-15"/>
    <s v="WB"/>
    <x v="0"/>
    <s v="Deganga"/>
    <s v="User Not Mapped"/>
    <s v="User Not Mapped"/>
    <s v="User Not Mapped"/>
    <n v="520100"/>
    <s v="Kolapoli Krishi Bhander"/>
    <s v="Private Retailer"/>
    <s v="7384631317"/>
    <n v="1"/>
    <n v="65"/>
    <x v="6"/>
    <m/>
    <s v="2026-02-14"/>
    <s v="268815"/>
    <s v="Chitta Ranjan Dey"/>
    <s v="9434744870"/>
  </r>
  <r>
    <s v="RCF Thal"/>
    <s v="N.C.Urea(45kg)"/>
    <s v="WB"/>
    <x v="0"/>
    <s v="Habra - II"/>
    <s v="User Not Mapped"/>
    <s v="User Not Mapped"/>
    <s v="User Not Mapped"/>
    <n v="355183"/>
    <s v="Krishak  Krishi  Bhander"/>
    <s v="Private Retailer"/>
    <s v="9734636496"/>
    <n v="5.94"/>
    <n v="13"/>
    <x v="5"/>
    <m/>
    <s v="2026-04-07"/>
    <s v="268815"/>
    <s v="Chitta Ranjan Dey"/>
    <s v="9434744870"/>
  </r>
  <r>
    <s v="RCF Trombay"/>
    <s v="15-15-15"/>
    <s v="WB"/>
    <x v="0"/>
    <s v="Bongaon"/>
    <s v="User Not Mapped"/>
    <s v="User Not Mapped"/>
    <s v="User Not Mapped"/>
    <n v="500871"/>
    <s v="Kutubuddin  Mondal"/>
    <s v="Private Retailer"/>
    <s v="9775267232"/>
    <n v="0.1"/>
    <n v="92"/>
    <x v="7"/>
    <m/>
    <s v="2026-01-18"/>
    <s v="268815"/>
    <s v="Chitta Ranjan Dey"/>
    <s v="9434744870"/>
  </r>
  <r>
    <s v="RCF Import"/>
    <s v="Imp 10-26-26"/>
    <s v="WB"/>
    <x v="0"/>
    <s v="Habra - I"/>
    <s v="User Not Mapped"/>
    <s v="User Not Mapped"/>
    <s v="User Not Mapped"/>
    <n v="226777"/>
    <s v="Lila Krishi Bhander"/>
    <s v="Private Retailer"/>
    <s v="9476123162"/>
    <n v="4"/>
    <n v="21"/>
    <x v="5"/>
    <m/>
    <s v="2026-03-30"/>
    <s v="268815"/>
    <s v="Chitta Ranjan Dey"/>
    <s v="9434744870"/>
  </r>
  <r>
    <s v="RCF Import"/>
    <s v="MOP"/>
    <s v="WB"/>
    <x v="0"/>
    <s v="Habra - I"/>
    <s v="User Not Mapped"/>
    <s v="User Not Mapped"/>
    <s v="User Not Mapped"/>
    <n v="226777"/>
    <s v="Lila Krishi Bhander"/>
    <s v="Private Retailer"/>
    <s v="9476123162"/>
    <n v="1.85"/>
    <n v="55"/>
    <x v="3"/>
    <m/>
    <s v="2026-02-24"/>
    <s v="268815"/>
    <s v="Chitta Ranjan Dey"/>
    <s v="9434744870"/>
  </r>
  <r>
    <s v="RCF Trombay"/>
    <s v="15-15-15"/>
    <s v="WB"/>
    <x v="0"/>
    <s v="Habra - I"/>
    <s v="User Not Mapped"/>
    <s v="User Not Mapped"/>
    <s v="User Not Mapped"/>
    <n v="226777"/>
    <s v="Lila Krishi Bhander"/>
    <s v="Private Retailer"/>
    <s v="9476123162"/>
    <n v="1.9"/>
    <n v="65"/>
    <x v="6"/>
    <m/>
    <s v="2026-02-14"/>
    <s v="268815"/>
    <s v="Chitta Ranjan Dey"/>
    <s v="9434744870"/>
  </r>
  <r>
    <s v="RCF Trombay"/>
    <s v="15-15-15"/>
    <s v="WB"/>
    <x v="0"/>
    <s v="Deganga"/>
    <s v="User Not Mapped"/>
    <s v="User Not Mapped"/>
    <s v="User Not Mapped"/>
    <n v="226779"/>
    <s v="Liyakat Ali"/>
    <s v="Private Retailer"/>
    <s v="9674044346"/>
    <n v="1.1499999999999999"/>
    <n v="65"/>
    <x v="6"/>
    <m/>
    <s v="2026-02-14"/>
    <s v="268815"/>
    <s v="Chitta Ranjan Dey"/>
    <s v="9434744870"/>
  </r>
  <r>
    <s v="RCF Thal"/>
    <s v="N.C.Urea(45kg)"/>
    <s v="WB"/>
    <x v="0"/>
    <s v="Deganga"/>
    <s v="User Not Mapped"/>
    <s v="User Not Mapped"/>
    <s v="User Not Mapped"/>
    <n v="226779"/>
    <s v="Liyakat Ali"/>
    <s v="Private Retailer"/>
    <s v="9674044346"/>
    <n v="5.8049999999999997"/>
    <n v="39"/>
    <x v="3"/>
    <m/>
    <s v="2026-03-12"/>
    <s v="268815"/>
    <s v="Chitta Ranjan Dey"/>
    <s v="9434744870"/>
  </r>
  <r>
    <s v="RCF Import"/>
    <s v="MOP"/>
    <s v="WB"/>
    <x v="0"/>
    <s v="Deganga"/>
    <s v="User Not Mapped"/>
    <s v="User Not Mapped"/>
    <s v="User Not Mapped"/>
    <n v="226779"/>
    <s v="Liyakat Ali"/>
    <s v="Private Retailer"/>
    <s v="9674044346"/>
    <n v="2.0499999999999998"/>
    <n v="55"/>
    <x v="3"/>
    <m/>
    <s v="2026-02-24"/>
    <s v="268815"/>
    <s v="Chitta Ranjan Dey"/>
    <s v="9434744870"/>
  </r>
  <r>
    <s v="RCF Import"/>
    <s v="MOP"/>
    <s v="WB"/>
    <x v="0"/>
    <s v="Bongaon"/>
    <s v="User Not Mapped"/>
    <s v="User Not Mapped"/>
    <s v="User Not Mapped"/>
    <n v="1219939"/>
    <s v="LOKESH BISWAS"/>
    <s v="Private Wholsaler"/>
    <s v="9933841755"/>
    <n v="5"/>
    <n v="52"/>
    <x v="3"/>
    <s v="'25-26/RCF/MOP/45'"/>
    <s v="2026-02-27"/>
    <s v="268815"/>
    <s v="Chitta Ranjan Dey"/>
    <s v="9434744870"/>
  </r>
  <r>
    <s v="RCF Import"/>
    <s v="Imp 10-26-26"/>
    <s v="WB"/>
    <x v="0"/>
    <s v="Habra - I"/>
    <s v="User Not Mapped"/>
    <s v="User Not Mapped"/>
    <s v="User Not Mapped"/>
    <n v="323501"/>
    <s v="M/S Baidyanath Mondal"/>
    <s v="Private Retailer"/>
    <s v="9732962055"/>
    <n v="5.25"/>
    <n v="21"/>
    <x v="5"/>
    <m/>
    <s v="2026-03-30"/>
    <s v="268815"/>
    <s v="Chitta Ranjan Dey"/>
    <s v="9434744870"/>
  </r>
  <r>
    <s v="RCF Import"/>
    <s v="MOP"/>
    <s v="WB"/>
    <x v="0"/>
    <s v="Habra - I"/>
    <s v="User Not Mapped"/>
    <s v="User Not Mapped"/>
    <s v="User Not Mapped"/>
    <n v="323501"/>
    <s v="M/S Baidyanath Mondal"/>
    <s v="Private Retailer"/>
    <s v="9732962055"/>
    <n v="4.4000000000000004"/>
    <n v="55"/>
    <x v="3"/>
    <m/>
    <s v="2026-02-24"/>
    <s v="268815"/>
    <s v="Chitta Ranjan Dey"/>
    <s v="9434744870"/>
  </r>
  <r>
    <s v="RCF Trombay"/>
    <s v="15-15-15"/>
    <s v="WB"/>
    <x v="0"/>
    <s v="Habra - I"/>
    <s v="User Not Mapped"/>
    <s v="User Not Mapped"/>
    <s v="User Not Mapped"/>
    <n v="323501"/>
    <s v="M/S Baidyanath Mondal"/>
    <s v="Private Retailer"/>
    <s v="9732962055"/>
    <n v="0.75"/>
    <n v="65"/>
    <x v="6"/>
    <m/>
    <s v="2026-02-14"/>
    <s v="268815"/>
    <s v="Chitta Ranjan Dey"/>
    <s v="9434744870"/>
  </r>
  <r>
    <s v="RCF Thal"/>
    <s v="N.C.Urea(45kg)"/>
    <s v="WB"/>
    <x v="0"/>
    <s v="Habra - I"/>
    <s v="User Not Mapped"/>
    <s v="User Not Mapped"/>
    <s v="User Not Mapped"/>
    <n v="323501"/>
    <s v="M/S Baidyanath Mondal"/>
    <s v="Private Retailer"/>
    <s v="9732962055"/>
    <n v="4.95"/>
    <n v="39"/>
    <x v="3"/>
    <m/>
    <s v="2026-03-12"/>
    <s v="268815"/>
    <s v="Chitta Ranjan Dey"/>
    <s v="9434744870"/>
  </r>
  <r>
    <s v="RCF Trombay"/>
    <s v="15-15-15"/>
    <s v="WB"/>
    <x v="0"/>
    <s v="Habra - I"/>
    <s v="User Not Mapped"/>
    <s v="User Not Mapped"/>
    <s v="User Not Mapped"/>
    <n v="226962"/>
    <s v="M/S Kalyani Krishi Bhandar"/>
    <s v="Private Retailer"/>
    <s v="9800393822"/>
    <n v="0.5"/>
    <n v="93"/>
    <x v="7"/>
    <m/>
    <s v="2026-01-17"/>
    <s v="268815"/>
    <s v="Chitta Ranjan Dey"/>
    <s v="9434744870"/>
  </r>
  <r>
    <s v="RCF Import"/>
    <s v="MOP"/>
    <s v="WB"/>
    <x v="0"/>
    <s v="Habra - I"/>
    <s v="User Not Mapped"/>
    <s v="User Not Mapped"/>
    <s v="User Not Mapped"/>
    <n v="226962"/>
    <s v="M/S Kalyani Krishi Bhandar"/>
    <s v="Private Retailer"/>
    <s v="9800393822"/>
    <n v="5.5"/>
    <n v="55"/>
    <x v="3"/>
    <m/>
    <s v="2026-02-24"/>
    <s v="268815"/>
    <s v="Chitta Ranjan Dey"/>
    <s v="9434744870"/>
  </r>
  <r>
    <s v="RCF Import"/>
    <s v="MOP"/>
    <s v="WB"/>
    <x v="0"/>
    <s v="Habra - I"/>
    <s v="User Not Mapped"/>
    <s v="User Not Mapped"/>
    <s v="User Not Mapped"/>
    <n v="226971"/>
    <s v="M/S Krishi Laxmi"/>
    <s v="Private Retailer"/>
    <s v="9733658779"/>
    <n v="1.9"/>
    <n v="55"/>
    <x v="3"/>
    <m/>
    <s v="2026-02-24"/>
    <s v="268815"/>
    <s v="Chitta Ranjan Dey"/>
    <s v="9434744870"/>
  </r>
  <r>
    <s v="RCF Trombay"/>
    <s v="15-15-15"/>
    <s v="WB"/>
    <x v="0"/>
    <s v="Habra - I"/>
    <s v="User Not Mapped"/>
    <s v="User Not Mapped"/>
    <s v="User Not Mapped"/>
    <n v="226971"/>
    <s v="M/S Krishi Laxmi"/>
    <s v="Private Retailer"/>
    <s v="9733658779"/>
    <n v="1.85"/>
    <n v="66"/>
    <x v="6"/>
    <m/>
    <s v="2026-02-13"/>
    <s v="268815"/>
    <s v="Chitta Ranjan Dey"/>
    <s v="9434744870"/>
  </r>
  <r>
    <s v="RCF Import"/>
    <s v="Imp 10-26-26"/>
    <s v="WB"/>
    <x v="0"/>
    <s v="Habra - I"/>
    <s v="User Not Mapped"/>
    <s v="User Not Mapped"/>
    <s v="User Not Mapped"/>
    <n v="226971"/>
    <s v="M/S Krishi Laxmi"/>
    <s v="Private Retailer"/>
    <s v="9733658779"/>
    <n v="3.55"/>
    <n v="21"/>
    <x v="5"/>
    <m/>
    <s v="2026-03-30"/>
    <s v="268815"/>
    <s v="Chitta Ranjan Dey"/>
    <s v="9434744870"/>
  </r>
  <r>
    <s v="RCF Import"/>
    <s v="Imp 10-26-26"/>
    <s v="WB"/>
    <x v="0"/>
    <s v="Swarupnagar"/>
    <s v="User Not Mapped"/>
    <s v="User Not Mapped"/>
    <s v="User Not Mapped"/>
    <n v="514990"/>
    <s v="M/S Rabindra Nath Mondal"/>
    <s v="Private Retailer"/>
    <s v="9733762735"/>
    <n v="5.25"/>
    <n v="21"/>
    <x v="5"/>
    <m/>
    <s v="2026-03-30"/>
    <s v="268815"/>
    <s v="Chitta Ranjan Dey"/>
    <s v="9434744870"/>
  </r>
  <r>
    <s v="RCF Trombay"/>
    <s v="15-15-15"/>
    <s v="WB"/>
    <x v="0"/>
    <s v="Swarupnagar"/>
    <s v="User Not Mapped"/>
    <s v="User Not Mapped"/>
    <s v="User Not Mapped"/>
    <n v="514990"/>
    <s v="M/S Rabindra Nath Mondal"/>
    <s v="Private Retailer"/>
    <s v="9733762735"/>
    <n v="2.4"/>
    <n v="65"/>
    <x v="6"/>
    <m/>
    <s v="2026-02-14"/>
    <s v="268815"/>
    <s v="Chitta Ranjan Dey"/>
    <s v="9434744870"/>
  </r>
  <r>
    <s v="RCF Import"/>
    <s v="MOP"/>
    <s v="WB"/>
    <x v="0"/>
    <s v="Bongaon"/>
    <s v="User Not Mapped"/>
    <s v="User Not Mapped"/>
    <s v="User Not Mapped"/>
    <n v="1421415"/>
    <s v="M/S RAMJAN MONDAL"/>
    <s v="Private Wholsaler"/>
    <s v="7384055745"/>
    <n v="10"/>
    <n v="52"/>
    <x v="3"/>
    <s v="'25-26/RCF/MOP/47'"/>
    <s v="2026-02-27"/>
    <s v="268815"/>
    <s v="Chitta Ranjan Dey"/>
    <s v="9434744870"/>
  </r>
  <r>
    <s v="RCF Import"/>
    <s v="MOP"/>
    <s v="WB"/>
    <x v="0"/>
    <s v="Bongaon"/>
    <s v="User Not Mapped"/>
    <s v="User Not Mapped"/>
    <s v="User Not Mapped"/>
    <n v="1421415"/>
    <s v="M/S RAMJAN MONDAL"/>
    <s v="Private Wholsaler"/>
    <s v="7384055745"/>
    <n v="10"/>
    <n v="52"/>
    <x v="3"/>
    <s v="'25-26/RCF/MOP/46'"/>
    <s v="2026-02-27"/>
    <s v="268815"/>
    <s v="Chitta Ranjan Dey"/>
    <s v="9434744870"/>
  </r>
  <r>
    <s v="RCF Import"/>
    <s v="Imp 10-26-26"/>
    <s v="WB"/>
    <x v="0"/>
    <s v="Bongaon"/>
    <s v="User Not Mapped"/>
    <s v="User Not Mapped"/>
    <s v="User Not Mapped"/>
    <n v="1278337"/>
    <s v="M/S Ramjan Mondal "/>
    <s v="Private Retailer"/>
    <s v="7384055745"/>
    <n v="9.65"/>
    <n v="21"/>
    <x v="5"/>
    <m/>
    <s v="2026-03-30"/>
    <s v="268815"/>
    <s v="Chitta Ranjan Dey"/>
    <s v="9434744870"/>
  </r>
  <r>
    <s v="RCF Thal"/>
    <s v="N.C.Urea(45kg)"/>
    <s v="WB"/>
    <x v="0"/>
    <s v="Bongaon"/>
    <s v="User Not Mapped"/>
    <s v="User Not Mapped"/>
    <s v="User Not Mapped"/>
    <n v="1278337"/>
    <s v="M/S Ramjan Mondal "/>
    <s v="Private Retailer"/>
    <s v="7384055745"/>
    <n v="3.6"/>
    <n v="144"/>
    <x v="4"/>
    <m/>
    <s v="2025-11-27"/>
    <s v="268815"/>
    <s v="Chitta Ranjan Dey"/>
    <s v="9434744870"/>
  </r>
  <r>
    <s v="RCF Trombay"/>
    <s v="15-15-15"/>
    <s v="WB"/>
    <x v="0"/>
    <s v="Bongaon"/>
    <s v="User Not Mapped"/>
    <s v="User Not Mapped"/>
    <s v="User Not Mapped"/>
    <n v="1278337"/>
    <s v="M/S Ramjan Mondal "/>
    <s v="Private Retailer"/>
    <s v="7384055745"/>
    <n v="9.6999999999999993"/>
    <n v="55"/>
    <x v="3"/>
    <m/>
    <s v="2026-02-24"/>
    <s v="268815"/>
    <s v="Chitta Ranjan Dey"/>
    <s v="9434744870"/>
  </r>
  <r>
    <s v="RCF Thal"/>
    <s v="N.C.Urea(45kg)"/>
    <s v="WB"/>
    <x v="0"/>
    <s v="Bongaon"/>
    <s v="User Not Mapped"/>
    <s v="User Not Mapped"/>
    <s v="User Not Mapped"/>
    <n v="1278337"/>
    <s v="M/S Ramjan Mondal "/>
    <s v="Private Retailer"/>
    <s v="7384055745"/>
    <n v="6.21"/>
    <n v="38"/>
    <x v="3"/>
    <m/>
    <s v="2026-03-13"/>
    <s v="268815"/>
    <s v="Chitta Ranjan Dey"/>
    <s v="9434744870"/>
  </r>
  <r>
    <s v="RCF Import"/>
    <s v="Imp 10-26-26"/>
    <s v="WB"/>
    <x v="0"/>
    <s v="Gaighata"/>
    <s v="User Not Mapped"/>
    <s v="User Not Mapped"/>
    <s v="User Not Mapped"/>
    <n v="411431"/>
    <s v="M/S Ramkrishna Sardar"/>
    <s v="Private Retailer"/>
    <s v="9800724156"/>
    <n v="1"/>
    <n v="21"/>
    <x v="5"/>
    <m/>
    <s v="2026-03-30"/>
    <s v="268815"/>
    <s v="Chitta Ranjan Dey"/>
    <s v="9434744870"/>
  </r>
  <r>
    <s v="RCF Thal"/>
    <s v="N.C.Urea(45kg)"/>
    <s v="WB"/>
    <x v="0"/>
    <s v="Gaighata"/>
    <s v="User Not Mapped"/>
    <s v="User Not Mapped"/>
    <s v="User Not Mapped"/>
    <n v="411431"/>
    <s v="M/S Ramkrishna Sardar"/>
    <s v="Private Retailer"/>
    <s v="9800724156"/>
    <n v="9.99"/>
    <n v="13"/>
    <x v="5"/>
    <m/>
    <s v="2026-04-07"/>
    <s v="268815"/>
    <s v="Chitta Ranjan Dey"/>
    <s v="9434744870"/>
  </r>
  <r>
    <s v="RCF Thal"/>
    <s v="N.C.Urea(45kg)"/>
    <s v="WB"/>
    <x v="0"/>
    <s v="Gaighata"/>
    <s v="User Not Mapped"/>
    <s v="User Not Mapped"/>
    <s v="User Not Mapped"/>
    <n v="411431"/>
    <s v="M/S Ramkrishna Sardar"/>
    <s v="Private Retailer"/>
    <s v="9800724156"/>
    <n v="5.085"/>
    <n v="69"/>
    <x v="6"/>
    <m/>
    <s v="2026-02-10"/>
    <s v="268815"/>
    <s v="Chitta Ranjan Dey"/>
    <s v="9434744870"/>
  </r>
  <r>
    <s v="RCF Import"/>
    <s v="Imp 10-26-26"/>
    <s v="WB"/>
    <x v="0"/>
    <s v="Swarupnagar"/>
    <s v="User Not Mapped"/>
    <s v="User Not Mapped"/>
    <s v="User Not Mapped"/>
    <n v="226724"/>
    <s v="M/S SANDIP MONDAL"/>
    <s v="Private Retailer"/>
    <s v="9732713416"/>
    <n v="0.6"/>
    <n v="21"/>
    <x v="5"/>
    <m/>
    <s v="2026-03-30"/>
    <s v="268815"/>
    <s v="Chitta Ranjan Dey"/>
    <s v="9434744870"/>
  </r>
  <r>
    <s v="RCF Trombay"/>
    <s v="15-15-15"/>
    <s v="WB"/>
    <x v="0"/>
    <s v="Habra - I"/>
    <s v="User Not Mapped"/>
    <s v="User Not Mapped"/>
    <s v="User Not Mapped"/>
    <n v="503504"/>
    <s v="M/S Sonali Enterprise"/>
    <s v="Private Retailer"/>
    <s v="8250035491"/>
    <n v="5.5"/>
    <n v="65"/>
    <x v="6"/>
    <m/>
    <s v="2026-02-14"/>
    <s v="268815"/>
    <s v="Chitta Ranjan Dey"/>
    <s v="9434744870"/>
  </r>
  <r>
    <s v="RCF Import"/>
    <s v="Imp 10-26-26"/>
    <s v="WB"/>
    <x v="0"/>
    <s v="Bagda"/>
    <s v="User Not Mapped"/>
    <s v="User Not Mapped"/>
    <s v="User Not Mapped"/>
    <n v="1219716"/>
    <s v="M/S SUBIR BISWAS"/>
    <s v="Private Retailer"/>
    <s v="9091692206"/>
    <n v="5.5"/>
    <n v="21"/>
    <x v="5"/>
    <m/>
    <s v="2026-03-30"/>
    <s v="268815"/>
    <s v="Chitta Ranjan Dey"/>
    <s v="9434744870"/>
  </r>
  <r>
    <s v="RCF Trombay"/>
    <s v="15-15-15"/>
    <s v="WB"/>
    <x v="0"/>
    <s v="Bagda"/>
    <s v="User Not Mapped"/>
    <s v="User Not Mapped"/>
    <s v="User Not Mapped"/>
    <n v="1219716"/>
    <s v="M/S SUBIR BISWAS"/>
    <s v="Private Retailer"/>
    <s v="9091692206"/>
    <n v="3"/>
    <n v="55"/>
    <x v="3"/>
    <m/>
    <s v="2026-02-24"/>
    <s v="268815"/>
    <s v="Chitta Ranjan Dey"/>
    <s v="9434744870"/>
  </r>
  <r>
    <s v="RCF Thal"/>
    <s v="N.C.Urea(45kg)"/>
    <s v="WB"/>
    <x v="0"/>
    <s v="Bagda"/>
    <s v="User Not Mapped"/>
    <s v="User Not Mapped"/>
    <s v="User Not Mapped"/>
    <n v="1219716"/>
    <s v="M/S SUBIR BISWAS"/>
    <s v="Private Retailer"/>
    <s v="9091692206"/>
    <n v="9.18"/>
    <n v="13"/>
    <x v="5"/>
    <m/>
    <s v="2026-04-07"/>
    <s v="268815"/>
    <s v="Chitta Ranjan Dey"/>
    <s v="9434744870"/>
  </r>
  <r>
    <s v="RCF Import"/>
    <s v="MOP"/>
    <s v="WB"/>
    <x v="0"/>
    <s v="Bagda"/>
    <s v="User Not Mapped"/>
    <s v="User Not Mapped"/>
    <s v="User Not Mapped"/>
    <n v="1219716"/>
    <s v="M/S SUBIR BISWAS"/>
    <s v="Private Retailer"/>
    <s v="9091692206"/>
    <n v="2"/>
    <n v="52"/>
    <x v="3"/>
    <m/>
    <s v="2026-02-27"/>
    <s v="268815"/>
    <s v="Chitta Ranjan Dey"/>
    <s v="9434744870"/>
  </r>
  <r>
    <s v="RCF Trombay"/>
    <s v="15-15-15"/>
    <s v="WB"/>
    <x v="0"/>
    <s v="Barasat - II"/>
    <s v="User Not Mapped"/>
    <s v="User Not Mapped"/>
    <s v="User Not Mapped"/>
    <n v="227009"/>
    <s v="M/S Swapan Fertilizers"/>
    <s v="Private Retailer"/>
    <s v="9674773484"/>
    <n v="1.1000000000000001"/>
    <n v="65"/>
    <x v="6"/>
    <m/>
    <s v="2026-02-14"/>
    <s v="268815"/>
    <s v="Chitta Ranjan Dey"/>
    <s v="9434744870"/>
  </r>
  <r>
    <s v="RCF Thal"/>
    <s v="N.C.Urea(45kg)"/>
    <s v="WB"/>
    <x v="0"/>
    <s v="Barasat - II"/>
    <s v="User Not Mapped"/>
    <s v="User Not Mapped"/>
    <s v="User Not Mapped"/>
    <n v="227009"/>
    <s v="M/S Swapan Fertilizers"/>
    <s v="Private Retailer"/>
    <s v="9674773484"/>
    <n v="5.58"/>
    <n v="39"/>
    <x v="3"/>
    <m/>
    <s v="2026-03-12"/>
    <s v="268815"/>
    <s v="Chitta Ranjan Dey"/>
    <s v="9434744870"/>
  </r>
  <r>
    <s v="RCF Import"/>
    <s v="Imp 10-26-26"/>
    <s v="WB"/>
    <x v="0"/>
    <s v="Barasat - II"/>
    <s v="User Not Mapped"/>
    <s v="User Not Mapped"/>
    <s v="User Not Mapped"/>
    <n v="227009"/>
    <s v="M/S Swapan Fertilizers"/>
    <s v="Private Retailer"/>
    <s v="9674773484"/>
    <n v="7.2"/>
    <n v="21"/>
    <x v="5"/>
    <m/>
    <s v="2026-03-30"/>
    <s v="268815"/>
    <s v="Chitta Ranjan Dey"/>
    <s v="9434744870"/>
  </r>
  <r>
    <s v="RCF Trombay"/>
    <s v="15-15-15"/>
    <s v="WB"/>
    <x v="0"/>
    <s v="Barrackpur - I"/>
    <s v="User Not Mapped"/>
    <s v="User Not Mapped"/>
    <s v="User Not Mapped"/>
    <n v="227012"/>
    <s v="M/S Tara Ma Krishi Bhander"/>
    <s v="Private Retailer"/>
    <s v="9433640289"/>
    <n v="4.3499999999999996"/>
    <n v="65"/>
    <x v="6"/>
    <m/>
    <s v="2026-02-14"/>
    <s v="268815"/>
    <s v="Chitta Ranjan Dey"/>
    <s v="9434744870"/>
  </r>
  <r>
    <s v="RCF Thal"/>
    <s v="N.C.Urea(45kg)"/>
    <s v="WB"/>
    <x v="0"/>
    <s v="Barrackpur - I"/>
    <s v="User Not Mapped"/>
    <s v="User Not Mapped"/>
    <s v="User Not Mapped"/>
    <n v="227012"/>
    <s v="M/S Tara Ma Krishi Bhander"/>
    <s v="Private Retailer"/>
    <s v="9433640289"/>
    <n v="8.2799999999999994"/>
    <n v="39"/>
    <x v="3"/>
    <m/>
    <s v="2026-03-12"/>
    <s v="268815"/>
    <s v="Chitta Ranjan Dey"/>
    <s v="9434744870"/>
  </r>
  <r>
    <s v="RCF Import"/>
    <s v="MOP"/>
    <s v="WB"/>
    <x v="0"/>
    <s v="Barrackpur - I"/>
    <s v="User Not Mapped"/>
    <s v="User Not Mapped"/>
    <s v="User Not Mapped"/>
    <n v="227012"/>
    <s v="M/S Tara Ma Krishi Bhander"/>
    <s v="Private Retailer"/>
    <s v="9433640289"/>
    <n v="4.2"/>
    <n v="52"/>
    <x v="3"/>
    <m/>
    <s v="2026-02-27"/>
    <s v="268815"/>
    <s v="Chitta Ranjan Dey"/>
    <s v="9434744870"/>
  </r>
  <r>
    <s v="RCF Import"/>
    <s v="Imp 10-26-26"/>
    <s v="WB"/>
    <x v="0"/>
    <s v="Barrackpur - I"/>
    <s v="User Not Mapped"/>
    <s v="User Not Mapped"/>
    <s v="User Not Mapped"/>
    <n v="227012"/>
    <s v="M/S Tara Ma Krishi Bhander"/>
    <s v="Private Retailer"/>
    <s v="9433640289"/>
    <n v="5.3"/>
    <n v="21"/>
    <x v="5"/>
    <m/>
    <s v="2026-03-30"/>
    <s v="268815"/>
    <s v="Chitta Ranjan Dey"/>
    <s v="9434744870"/>
  </r>
  <r>
    <s v="RCF Trombay"/>
    <s v="15-15-15"/>
    <s v="WB"/>
    <x v="0"/>
    <s v="Baduria"/>
    <s v="User Not Mapped"/>
    <s v="User Not Mapped"/>
    <s v="User Not Mapped"/>
    <n v="410728"/>
    <s v="M/S. Ram Prasad Mondal"/>
    <s v="Private Retailer"/>
    <s v="9609464662"/>
    <n v="5.3"/>
    <n v="93"/>
    <x v="7"/>
    <m/>
    <s v="2026-01-17"/>
    <s v="268815"/>
    <s v="Chitta Ranjan Dey"/>
    <s v="9434744870"/>
  </r>
  <r>
    <s v="RCF Thal"/>
    <s v="N.C.Urea(45kg)"/>
    <s v="WB"/>
    <x v="0"/>
    <s v="Baduria"/>
    <s v="User Not Mapped"/>
    <s v="User Not Mapped"/>
    <s v="User Not Mapped"/>
    <n v="410728"/>
    <s v="M/S. Ram Prasad Mondal"/>
    <s v="Private Retailer"/>
    <s v="9609464662"/>
    <n v="10.755000000000001"/>
    <n v="69"/>
    <x v="6"/>
    <m/>
    <s v="2026-02-10"/>
    <s v="268815"/>
    <s v="Chitta Ranjan Dey"/>
    <s v="9434744870"/>
  </r>
  <r>
    <s v="RCF Import"/>
    <s v="Imp 10-26-26"/>
    <s v="WB"/>
    <x v="0"/>
    <s v="Baduria"/>
    <s v="User Not Mapped"/>
    <s v="User Not Mapped"/>
    <s v="User Not Mapped"/>
    <n v="410728"/>
    <s v="M/S. Ram Prasad Mondal"/>
    <s v="Private Retailer"/>
    <s v="9609464662"/>
    <n v="5.5"/>
    <n v="21"/>
    <x v="5"/>
    <m/>
    <s v="2026-03-30"/>
    <s v="268815"/>
    <s v="Chitta Ranjan Dey"/>
    <s v="9434744870"/>
  </r>
  <r>
    <s v="RCF Trombay"/>
    <s v="N.C.Urea(45kg)"/>
    <s v="WB"/>
    <x v="0"/>
    <s v="Baduria"/>
    <s v="User Not Mapped"/>
    <s v="User Not Mapped"/>
    <s v="User Not Mapped"/>
    <n v="410728"/>
    <s v="M/S. Ram Prasad Mondal"/>
    <s v="Private Retailer"/>
    <s v="9609464662"/>
    <n v="5.49"/>
    <n v="93"/>
    <x v="7"/>
    <m/>
    <s v="2026-01-17"/>
    <s v="268815"/>
    <s v="Chitta Ranjan Dey"/>
    <s v="9434744870"/>
  </r>
  <r>
    <s v="RCF Thal"/>
    <s v="N.C.Urea(45kg)"/>
    <s v="WB"/>
    <x v="0"/>
    <s v="Barasat - II"/>
    <s v="User Not Mapped"/>
    <s v="User Not Mapped"/>
    <s v="User Not Mapped"/>
    <n v="355313"/>
    <s v="Ma Laxmi Krishi Bhander"/>
    <s v="Private Retailer"/>
    <s v="9733582048"/>
    <n v="5.49"/>
    <n v="38"/>
    <x v="3"/>
    <m/>
    <s v="2026-03-13"/>
    <s v="268815"/>
    <s v="Chitta Ranjan Dey"/>
    <s v="9434744870"/>
  </r>
  <r>
    <s v="RCF Thal"/>
    <s v="N.C.Urea(45kg)"/>
    <s v="WB"/>
    <x v="0"/>
    <s v="Swarupnagar"/>
    <s v="User Not Mapped"/>
    <s v="User Not Mapped"/>
    <s v="User Not Mapped"/>
    <n v="515698"/>
    <s v="Maa Chandi Krishi Bhander"/>
    <s v="Private Retailer"/>
    <s v="9635806410"/>
    <n v="1.325"/>
    <n v="752"/>
    <x v="2"/>
    <m/>
    <s v="2024-03-29"/>
    <s v="268815"/>
    <s v="Chitta Ranjan Dey"/>
    <s v="9434744870"/>
  </r>
  <r>
    <s v="RCF Import"/>
    <s v="Imp 10-26-26"/>
    <s v="WB"/>
    <x v="0"/>
    <s v="Habra - I"/>
    <s v="User Not Mapped"/>
    <s v="User Not Mapped"/>
    <s v="User Not Mapped"/>
    <n v="226789"/>
    <s v="Maa Krishi Bhandar"/>
    <s v="Private Retailer"/>
    <s v="9933792940"/>
    <n v="5.3"/>
    <n v="21"/>
    <x v="5"/>
    <m/>
    <s v="2026-03-30"/>
    <s v="268815"/>
    <s v="Chitta Ranjan Dey"/>
    <s v="9434744870"/>
  </r>
  <r>
    <s v="RCF Trombay"/>
    <s v="15-15-15"/>
    <s v="WB"/>
    <x v="0"/>
    <s v="Habra - I"/>
    <s v="User Not Mapped"/>
    <s v="User Not Mapped"/>
    <s v="User Not Mapped"/>
    <n v="226789"/>
    <s v="Maa Krishi Bhandar"/>
    <s v="Private Retailer"/>
    <s v="9933792940"/>
    <n v="4.3"/>
    <n v="93"/>
    <x v="7"/>
    <m/>
    <s v="2026-01-17"/>
    <s v="268815"/>
    <s v="Chitta Ranjan Dey"/>
    <s v="9434744870"/>
  </r>
  <r>
    <s v="RCF Thal"/>
    <s v="N.C.Urea(45kg)"/>
    <s v="WB"/>
    <x v="0"/>
    <s v="Bongaon"/>
    <s v="User Not Mapped"/>
    <s v="User Not Mapped"/>
    <s v="User Not Mapped"/>
    <n v="1383390"/>
    <s v="MAHASIN MONDAL"/>
    <s v="Private Retailer"/>
    <s v="7699104593"/>
    <n v="4.9950000000000001"/>
    <n v="10"/>
    <x v="5"/>
    <m/>
    <s v="2026-04-10"/>
    <s v="268815"/>
    <s v="Chitta Ranjan Dey"/>
    <s v="9434744870"/>
  </r>
  <r>
    <s v="RCF Import"/>
    <s v="MOP"/>
    <s v="WB"/>
    <x v="0"/>
    <s v="Barrackpur - I"/>
    <s v="User Not Mapped"/>
    <s v="User Not Mapped"/>
    <s v="User Not Mapped"/>
    <n v="226822"/>
    <s v="Manindra Nath Tarafder"/>
    <s v="Private Retailer"/>
    <s v="9433039970"/>
    <n v="5.35"/>
    <n v="52"/>
    <x v="3"/>
    <m/>
    <s v="2026-02-27"/>
    <s v="268815"/>
    <s v="Chitta Ranjan Dey"/>
    <s v="9434744870"/>
  </r>
  <r>
    <s v="RCF Import"/>
    <s v="Imp 10-26-26"/>
    <s v="WB"/>
    <x v="0"/>
    <s v="Barrackpur - I"/>
    <s v="User Not Mapped"/>
    <s v="User Not Mapped"/>
    <s v="User Not Mapped"/>
    <n v="226822"/>
    <s v="Manindra Nath Tarafder"/>
    <s v="Private Retailer"/>
    <s v="9433039970"/>
    <n v="4.6500000000000004"/>
    <n v="21"/>
    <x v="5"/>
    <m/>
    <s v="2026-03-30"/>
    <s v="268815"/>
    <s v="Chitta Ranjan Dey"/>
    <s v="9434744870"/>
  </r>
  <r>
    <s v="RCF Trombay"/>
    <s v="15-15-15"/>
    <s v="WB"/>
    <x v="0"/>
    <s v="Barrackpur - I"/>
    <s v="User Not Mapped"/>
    <s v="User Not Mapped"/>
    <s v="User Not Mapped"/>
    <n v="226822"/>
    <s v="Manindra Nath Tarafder"/>
    <s v="Private Retailer"/>
    <s v="9433039970"/>
    <n v="1.948"/>
    <n v="93"/>
    <x v="7"/>
    <m/>
    <s v="2026-01-17"/>
    <s v="268815"/>
    <s v="Chitta Ranjan Dey"/>
    <s v="9434744870"/>
  </r>
  <r>
    <s v="RCF Trombay"/>
    <s v="N.C.Urea(45kg)"/>
    <s v="WB"/>
    <x v="0"/>
    <s v="Haroa"/>
    <s v="User Not Mapped"/>
    <s v="User Not Mapped"/>
    <s v="User Not Mapped"/>
    <n v="644120"/>
    <s v="Md Bakhtiyar Ahmed"/>
    <s v="Private Retailer"/>
    <s v="9733502083"/>
    <n v="2.5649999999999999"/>
    <n v="238"/>
    <x v="1"/>
    <m/>
    <s v="2025-08-25"/>
    <s v="268815"/>
    <s v="Chitta Ranjan Dey"/>
    <s v="9434744870"/>
  </r>
  <r>
    <s v="RCF Thal"/>
    <s v="N.C.Urea(45kg)"/>
    <s v="WB"/>
    <x v="0"/>
    <s v="Swarupnagar"/>
    <s v="User Not Mapped"/>
    <s v="User Not Mapped"/>
    <s v="User Not Mapped"/>
    <n v="331484"/>
    <s v="Md Jahan Ali Molla"/>
    <s v="Private Retailer"/>
    <s v="9609347826"/>
    <n v="4.6100000000000003"/>
    <n v="527"/>
    <x v="0"/>
    <m/>
    <s v="2024-11-09"/>
    <s v="268815"/>
    <s v="Chitta Ranjan Dey"/>
    <s v="9434744870"/>
  </r>
  <r>
    <s v="RCF Trombay"/>
    <s v="15-15-15"/>
    <s v="WB"/>
    <x v="0"/>
    <s v="Swarupnagar"/>
    <s v="User Not Mapped"/>
    <s v="User Not Mapped"/>
    <s v="User Not Mapped"/>
    <n v="331484"/>
    <s v="Md Jahan Ali Molla"/>
    <s v="Private Retailer"/>
    <s v="9609347826"/>
    <n v="0.95"/>
    <n v="515"/>
    <x v="0"/>
    <m/>
    <s v="2024-11-21"/>
    <s v="268815"/>
    <s v="Chitta Ranjan Dey"/>
    <s v="9434744870"/>
  </r>
  <r>
    <s v="RCF Thal"/>
    <s v="N.C.Urea(45kg)"/>
    <s v="WB"/>
    <x v="0"/>
    <s v="Swarupnagar"/>
    <s v="User Not Mapped"/>
    <s v="User Not Mapped"/>
    <s v="User Not Mapped"/>
    <n v="407422"/>
    <s v="Mirza Faruk Ahamed"/>
    <s v="Private Retailer"/>
    <s v="7478531417"/>
    <n v="5.49"/>
    <n v="38"/>
    <x v="3"/>
    <m/>
    <s v="2026-03-13"/>
    <s v="268815"/>
    <s v="Chitta Ranjan Dey"/>
    <s v="9434744870"/>
  </r>
  <r>
    <s v="RCF Thal"/>
    <s v="N.C.Urea(45kg)"/>
    <s v="WB"/>
    <x v="0"/>
    <s v="Swarupnagar"/>
    <s v="User Not Mapped"/>
    <s v="User Not Mapped"/>
    <s v="User Not Mapped"/>
    <n v="407422"/>
    <s v="Mirza Faruk Ahamed"/>
    <s v="Private Retailer"/>
    <s v="7478531417"/>
    <n v="6.84"/>
    <n v="66"/>
    <x v="6"/>
    <m/>
    <s v="2026-02-13"/>
    <s v="268815"/>
    <s v="Chitta Ranjan Dey"/>
    <s v="9434744870"/>
  </r>
  <r>
    <s v="RCF Trombay"/>
    <s v="15-15-15"/>
    <s v="WB"/>
    <x v="0"/>
    <s v="Swarupnagar"/>
    <s v="User Not Mapped"/>
    <s v="User Not Mapped"/>
    <s v="User Not Mapped"/>
    <n v="407422"/>
    <s v="Mirza Faruk Ahamed"/>
    <s v="Private Retailer"/>
    <s v="7478531417"/>
    <n v="0.5"/>
    <n v="66"/>
    <x v="6"/>
    <m/>
    <s v="2026-02-13"/>
    <s v="268815"/>
    <s v="Chitta Ranjan Dey"/>
    <s v="9434744870"/>
  </r>
  <r>
    <s v="RCF Thal"/>
    <s v="N.C.Urea(45kg)"/>
    <s v="WB"/>
    <x v="0"/>
    <s v="Gaighata"/>
    <s v="User Not Mapped"/>
    <s v="User Not Mapped"/>
    <s v="User Not Mapped"/>
    <n v="411459"/>
    <s v="Modern Fertilizer"/>
    <s v="Private Retailer"/>
    <s v="7872782575"/>
    <n v="8.82"/>
    <n v="39"/>
    <x v="3"/>
    <m/>
    <s v="2026-03-12"/>
    <s v="268815"/>
    <s v="Chitta Ranjan Dey"/>
    <s v="9434744870"/>
  </r>
  <r>
    <s v="RCF Import"/>
    <s v="Imp 10-26-26"/>
    <s v="WB"/>
    <x v="0"/>
    <s v="Gaighata"/>
    <s v="User Not Mapped"/>
    <s v="User Not Mapped"/>
    <s v="User Not Mapped"/>
    <n v="411459"/>
    <s v="Modern Fertilizer"/>
    <s v="Private Retailer"/>
    <s v="7872782575"/>
    <n v="5.45"/>
    <n v="21"/>
    <x v="5"/>
    <m/>
    <s v="2026-03-30"/>
    <s v="268815"/>
    <s v="Chitta Ranjan Dey"/>
    <s v="9434744870"/>
  </r>
  <r>
    <s v="RCF Import"/>
    <s v="MOP"/>
    <s v="WB"/>
    <x v="0"/>
    <s v="Swarupnagar"/>
    <s v="User Not Mapped"/>
    <s v="User Not Mapped"/>
    <s v="User Not Mapped"/>
    <n v="655489"/>
    <s v="Mondal Krishi Bhandar"/>
    <s v="Private Wholsaler"/>
    <s v="9733762735"/>
    <n v="11"/>
    <n v="52"/>
    <x v="3"/>
    <s v="'25-26/RCF/MOP/17'"/>
    <s v="2026-02-27"/>
    <s v="268815"/>
    <s v="Chitta Ranjan Dey"/>
    <s v="9434744870"/>
  </r>
  <r>
    <s v="RCF Thal"/>
    <s v="N.C.Urea(45kg)"/>
    <s v="WB"/>
    <x v="0"/>
    <m/>
    <s v="User Not Mapped"/>
    <s v="User Not Mapped"/>
    <s v="User Not Mapped"/>
    <n v="331502"/>
    <s v="Mondal Krishi Bhandar"/>
    <s v="Private Retailer"/>
    <s v="9735554044"/>
    <n v="2.79"/>
    <n v="1571"/>
    <x v="2"/>
    <m/>
    <s v="2021-12-31"/>
    <s v="268815"/>
    <s v="Chitta Ranjan Dey"/>
    <s v="9434744870"/>
  </r>
  <r>
    <s v="RCF Thal"/>
    <s v="N.C.Urea(45kg)"/>
    <s v="WB"/>
    <x v="0"/>
    <s v="Gaighata"/>
    <s v="User Not Mapped"/>
    <s v="User Not Mapped"/>
    <s v="User Not Mapped"/>
    <n v="1398654"/>
    <s v="MONDAL KRISHI BHANDER"/>
    <s v="Private Retailer"/>
    <s v="8918338037"/>
    <n v="5.49"/>
    <n v="36"/>
    <x v="3"/>
    <m/>
    <s v="2026-03-15"/>
    <s v="268815"/>
    <s v="Chitta Ranjan Dey"/>
    <s v="9434744870"/>
  </r>
  <r>
    <s v="RCF Import"/>
    <s v="MOP"/>
    <s v="WB"/>
    <x v="0"/>
    <s v="Bongaon"/>
    <s v="User Not Mapped"/>
    <s v="User Not Mapped"/>
    <s v="User Not Mapped"/>
    <n v="1054125"/>
    <s v="Mondal Stores"/>
    <s v="Private Wholsaler"/>
    <s v="9749959358"/>
    <n v="2.5"/>
    <n v="52"/>
    <x v="3"/>
    <s v="'25-26/RCF/MOP/49'"/>
    <s v="2026-02-27"/>
    <s v="268815"/>
    <s v="Chitta Ranjan Dey"/>
    <s v="9434744870"/>
  </r>
  <r>
    <s v="RCF Trombay"/>
    <s v="15-15-15"/>
    <s v="WB"/>
    <x v="0"/>
    <s v="Gaighata"/>
    <s v="User Not Mapped"/>
    <s v="User Not Mapped"/>
    <s v="User Not Mapped"/>
    <n v="270784"/>
    <s v="Moyna Skus Ltd"/>
    <s v="PACS"/>
    <s v="9733671054"/>
    <n v="11"/>
    <n v="65"/>
    <x v="6"/>
    <m/>
    <s v="2026-02-14"/>
    <s v="268815"/>
    <s v="Chitta Ranjan Dey"/>
    <s v="9434744870"/>
  </r>
  <r>
    <s v="RCF Trombay"/>
    <s v="15-15-15"/>
    <s v="WB"/>
    <x v="0"/>
    <s v="Swarupnagar"/>
    <s v="User Not Mapped"/>
    <s v="User Not Mapped"/>
    <s v="User Not Mapped"/>
    <n v="227016"/>
    <s v="Mufti Krishi Bhander"/>
    <s v="Private Retailer"/>
    <s v="9734256423"/>
    <n v="1.54"/>
    <n v="345"/>
    <x v="1"/>
    <m/>
    <s v="2025-05-10"/>
    <s v="268815"/>
    <s v="Chitta Ranjan Dey"/>
    <s v="9434744870"/>
  </r>
  <r>
    <s v="RCF Thal"/>
    <s v="N.C.Urea(45kg)"/>
    <s v="WB"/>
    <x v="0"/>
    <s v="Swarupnagar"/>
    <s v="User Not Mapped"/>
    <s v="User Not Mapped"/>
    <s v="User Not Mapped"/>
    <n v="227016"/>
    <s v="Mufti Krishi Bhander"/>
    <s v="Private Retailer"/>
    <s v="9734256423"/>
    <n v="2.2050000000000001"/>
    <n v="527"/>
    <x v="0"/>
    <m/>
    <s v="2024-11-09"/>
    <s v="268815"/>
    <s v="Chitta Ranjan Dey"/>
    <s v="9434744870"/>
  </r>
  <r>
    <s v="RCF Import"/>
    <s v="Imp 10-26-26"/>
    <s v="WB"/>
    <x v="0"/>
    <s v="Gaighata"/>
    <s v="User Not Mapped"/>
    <s v="User Not Mapped"/>
    <s v="User Not Mapped"/>
    <n v="1054127"/>
    <s v="New Radha krishna krishi bhand"/>
    <s v="Private Wholsaler"/>
    <s v="7908733277"/>
    <n v="3"/>
    <n v="21"/>
    <x v="5"/>
    <s v="'25-26/RCF/10/35'"/>
    <s v="2026-03-30"/>
    <s v="268815"/>
    <s v="Chitta Ranjan Dey"/>
    <s v="9434744870"/>
  </r>
  <r>
    <s v="RCF Thal"/>
    <s v="N.C.Urea(45kg)"/>
    <s v="WB"/>
    <x v="0"/>
    <s v="Gaighata"/>
    <s v="User Not Mapped"/>
    <s v="User Not Mapped"/>
    <s v="User Not Mapped"/>
    <n v="411321"/>
    <s v="NEW RADHAKRISHNAKRISHI BHANDAR"/>
    <s v="Private Retailer"/>
    <s v="7908733277"/>
    <n v="0.40500000000000003"/>
    <n v="66"/>
    <x v="6"/>
    <m/>
    <s v="2026-02-13"/>
    <s v="268815"/>
    <s v="Chitta Ranjan Dey"/>
    <s v="9434744870"/>
  </r>
  <r>
    <s v="RCF Thal"/>
    <s v="N.C.Urea(45kg)"/>
    <s v="WB"/>
    <x v="0"/>
    <s v="Gaighata"/>
    <s v="User Not Mapped"/>
    <s v="User Not Mapped"/>
    <s v="User Not Mapped"/>
    <n v="411321"/>
    <s v="NEW RADHAKRISHNAKRISHI BHANDAR"/>
    <s v="Private Retailer"/>
    <s v="7908733277"/>
    <n v="5.49"/>
    <n v="36"/>
    <x v="3"/>
    <m/>
    <s v="2026-03-15"/>
    <s v="268815"/>
    <s v="Chitta Ranjan Dey"/>
    <s v="9434744870"/>
  </r>
  <r>
    <s v="RCF Thal"/>
    <s v="N.C.Urea(45kg)"/>
    <s v="WB"/>
    <x v="0"/>
    <s v="Habra - II"/>
    <s v="User Not Mapped"/>
    <s v="User Not Mapped"/>
    <s v="User Not Mapped"/>
    <n v="1223338"/>
    <s v="NEW SREEMA KRISHI BHANDER"/>
    <s v="Private Retailer"/>
    <s v="9339222080"/>
    <n v="4.68"/>
    <n v="39"/>
    <x v="3"/>
    <m/>
    <s v="2026-03-12"/>
    <s v="268815"/>
    <s v="Chitta Ranjan Dey"/>
    <s v="9434744870"/>
  </r>
  <r>
    <s v="RCF Import"/>
    <s v="Imp 10-26-26"/>
    <s v="WB"/>
    <x v="0"/>
    <s v="Habra - II"/>
    <s v="User Not Mapped"/>
    <s v="User Not Mapped"/>
    <s v="User Not Mapped"/>
    <n v="1223338"/>
    <s v="NEW SREEMA KRISHI BHANDER"/>
    <s v="Private Retailer"/>
    <s v="9339222080"/>
    <n v="5.4"/>
    <n v="21"/>
    <x v="5"/>
    <m/>
    <s v="2026-03-30"/>
    <s v="268815"/>
    <s v="Chitta Ranjan Dey"/>
    <s v="9434744870"/>
  </r>
  <r>
    <s v="RCF Thal"/>
    <s v="N.C.Urea(45kg)"/>
    <s v="WB"/>
    <x v="0"/>
    <s v="Bongaon"/>
    <s v="User Not Mapped"/>
    <s v="User Not Mapped"/>
    <s v="User Not Mapped"/>
    <n v="457312"/>
    <s v="Niranjan Biswas"/>
    <s v="Private Retailer"/>
    <s v="8967046512"/>
    <n v="5.2649999999999997"/>
    <n v="39"/>
    <x v="3"/>
    <m/>
    <s v="2026-03-12"/>
    <s v="268815"/>
    <s v="Chitta Ranjan Dey"/>
    <s v="9434744870"/>
  </r>
  <r>
    <s v="RCF Import"/>
    <s v="Imp 10-26-26"/>
    <s v="WB"/>
    <x v="0"/>
    <s v="Gaighata"/>
    <s v="User Not Mapped"/>
    <s v="User Not Mapped"/>
    <s v="User Not Mapped"/>
    <n v="461940"/>
    <s v="Nirmal Kr.Mondal"/>
    <s v="Private Retailer"/>
    <s v="9434196616"/>
    <n v="5.15"/>
    <n v="21"/>
    <x v="5"/>
    <m/>
    <s v="2026-03-30"/>
    <s v="268815"/>
    <s v="Chitta Ranjan Dey"/>
    <s v="9434744870"/>
  </r>
  <r>
    <s v="RCF Trombay"/>
    <s v="15-15-15"/>
    <s v="WB"/>
    <x v="0"/>
    <m/>
    <s v="User Not Mapped"/>
    <s v="User Not Mapped"/>
    <s v="User Not Mapped"/>
    <n v="331786"/>
    <s v="Omar Ali Mondal"/>
    <s v="Private Retailer"/>
    <s v="9609163317"/>
    <n v="3.5000000000000003E-2"/>
    <n v="1011"/>
    <x v="2"/>
    <m/>
    <s v="2023-07-14"/>
    <s v="268815"/>
    <s v="Chitta Ranjan Dey"/>
    <s v="9434744870"/>
  </r>
  <r>
    <s v="RCF Thal"/>
    <s v="N.C.Urea(45kg)"/>
    <s v="WB"/>
    <x v="0"/>
    <s v="Bongaon"/>
    <s v="User Not Mapped"/>
    <s v="User Not Mapped"/>
    <s v="User Not Mapped"/>
    <n v="543084"/>
    <s v="Paresh Debnath"/>
    <s v="Private Retailer"/>
    <s v="9732807076"/>
    <n v="4.4999999999999998E-2"/>
    <n v="66"/>
    <x v="6"/>
    <m/>
    <s v="2026-02-13"/>
    <s v="268815"/>
    <s v="Chitta Ranjan Dey"/>
    <s v="9434744870"/>
  </r>
  <r>
    <s v="RCF Thal"/>
    <s v="N.C.Urea(45kg)"/>
    <s v="WB"/>
    <x v="0"/>
    <s v="Habra - II"/>
    <s v="User Not Mapped"/>
    <s v="User Not Mapped"/>
    <s v="User Not Mapped"/>
    <n v="1219851"/>
    <s v="PAUL  FERTILIZER"/>
    <s v="Private Retailer"/>
    <s v="9932862633"/>
    <n v="7.38"/>
    <n v="39"/>
    <x v="3"/>
    <m/>
    <s v="2026-03-12"/>
    <s v="268815"/>
    <s v="Chitta Ranjan Dey"/>
    <s v="9434744870"/>
  </r>
  <r>
    <s v="RCF Trombay"/>
    <s v="15-15-15"/>
    <s v="WB"/>
    <x v="0"/>
    <s v="Bongaon"/>
    <s v="User Not Mapped"/>
    <s v="User Not Mapped"/>
    <s v="User Not Mapped"/>
    <n v="1331237"/>
    <s v="PINTU SARKAR"/>
    <s v="Private Retailer"/>
    <s v="8670760028"/>
    <n v="2.5"/>
    <n v="92"/>
    <x v="7"/>
    <m/>
    <s v="2026-01-18"/>
    <s v="268815"/>
    <s v="Chitta Ranjan Dey"/>
    <s v="9434744870"/>
  </r>
  <r>
    <s v="RCF Thal"/>
    <s v="N.C.Urea(45kg)"/>
    <s v="WB"/>
    <x v="0"/>
    <s v="Habra - II"/>
    <s v="User Not Mapped"/>
    <s v="User Not Mapped"/>
    <s v="User Not Mapped"/>
    <n v="355922"/>
    <s v="Pradip Kumar Biswas"/>
    <s v="Private Retailer"/>
    <s v="9735517576"/>
    <n v="4.1399999999999997"/>
    <n v="39"/>
    <x v="3"/>
    <m/>
    <s v="2026-03-12"/>
    <s v="268815"/>
    <s v="Chitta Ranjan Dey"/>
    <s v="9434744870"/>
  </r>
  <r>
    <s v="RCF Import"/>
    <s v="Imp 10-26-26"/>
    <s v="WB"/>
    <x v="0"/>
    <s v="Habra - II"/>
    <s v="User Not Mapped"/>
    <s v="User Not Mapped"/>
    <s v="User Not Mapped"/>
    <n v="355922"/>
    <s v="Pradip Kumar Biswas"/>
    <s v="Private Retailer"/>
    <s v="9735517576"/>
    <n v="4.25"/>
    <n v="21"/>
    <x v="5"/>
    <m/>
    <s v="2026-03-30"/>
    <s v="268815"/>
    <s v="Chitta Ranjan Dey"/>
    <s v="9434744870"/>
  </r>
  <r>
    <s v="RCF Trombay"/>
    <s v="15-15-15"/>
    <s v="WB"/>
    <x v="0"/>
    <s v="Habra - II"/>
    <s v="User Not Mapped"/>
    <s v="User Not Mapped"/>
    <s v="User Not Mapped"/>
    <n v="355922"/>
    <s v="Pradip Kumar Biswas"/>
    <s v="Private Retailer"/>
    <s v="9735517576"/>
    <n v="3.25"/>
    <n v="66"/>
    <x v="6"/>
    <m/>
    <s v="2026-02-13"/>
    <s v="268815"/>
    <s v="Chitta Ranjan Dey"/>
    <s v="9434744870"/>
  </r>
  <r>
    <s v="RCF Import"/>
    <s v="MOP"/>
    <s v="WB"/>
    <x v="0"/>
    <s v="Habra - II"/>
    <s v="User Not Mapped"/>
    <s v="User Not Mapped"/>
    <s v="User Not Mapped"/>
    <n v="355922"/>
    <s v="Pradip Kumar Biswas"/>
    <s v="Private Retailer"/>
    <s v="9735517576"/>
    <n v="5.5"/>
    <n v="55"/>
    <x v="3"/>
    <m/>
    <s v="2026-02-24"/>
    <s v="268815"/>
    <s v="Chitta Ranjan Dey"/>
    <s v="9434744870"/>
  </r>
  <r>
    <s v="RCF Trombay"/>
    <s v="N.C.Urea(45kg)"/>
    <s v="WB"/>
    <x v="0"/>
    <s v="Bongaon"/>
    <s v="User Not Mapped"/>
    <s v="User Not Mapped"/>
    <s v="User Not Mapped"/>
    <n v="545844"/>
    <s v="Prahlad Mondal"/>
    <s v="Private Retailer"/>
    <s v="9609511008"/>
    <n v="5.9249999999999998"/>
    <n v="240"/>
    <x v="1"/>
    <m/>
    <s v="2025-08-23"/>
    <s v="268815"/>
    <s v="Chitta Ranjan Dey"/>
    <s v="9434744870"/>
  </r>
  <r>
    <s v="RCF Trombay"/>
    <s v="15-15-15"/>
    <s v="WB"/>
    <x v="0"/>
    <s v="Bongaon"/>
    <s v="User Not Mapped"/>
    <s v="User Not Mapped"/>
    <s v="User Not Mapped"/>
    <n v="545844"/>
    <s v="Prahlad Mondal"/>
    <s v="Private Retailer"/>
    <s v="9609511008"/>
    <n v="5.5"/>
    <n v="66"/>
    <x v="6"/>
    <m/>
    <s v="2026-02-13"/>
    <s v="268815"/>
    <s v="Chitta Ranjan Dey"/>
    <s v="9434744870"/>
  </r>
  <r>
    <s v="RCF Trombay"/>
    <s v="N.C.Urea(45kg)"/>
    <s v="WB"/>
    <x v="0"/>
    <s v="Bongaon"/>
    <s v="User Not Mapped"/>
    <s v="User Not Mapped"/>
    <s v="User Not Mapped"/>
    <n v="500877"/>
    <s v="Prodipta Mondal"/>
    <s v="Private Retailer"/>
    <s v="9564680058"/>
    <n v="1.89"/>
    <n v="1175"/>
    <x v="2"/>
    <m/>
    <s v="2023-01-31"/>
    <s v="268815"/>
    <s v="Chitta Ranjan Dey"/>
    <s v="9434744870"/>
  </r>
  <r>
    <s v="RCF Trombay"/>
    <s v="15-15-15"/>
    <s v="WB"/>
    <x v="0"/>
    <m/>
    <s v="User Not Mapped"/>
    <s v="User Not Mapped"/>
    <s v="User Not Mapped"/>
    <n v="355946"/>
    <s v="Profllya Chandra   Mondal"/>
    <s v="Private Retailer"/>
    <s v="9733551738"/>
    <n v="0.05"/>
    <n v="1930"/>
    <x v="2"/>
    <m/>
    <s v="2021-01-06"/>
    <s v="1113311"/>
    <s v="Chitta Ranjan Dey"/>
    <s v="7908037468"/>
  </r>
  <r>
    <s v="RCF Trombay"/>
    <s v="15-15-15"/>
    <s v="WB"/>
    <x v="0"/>
    <s v="Baduria"/>
    <s v="User Not Mapped"/>
    <s v="User Not Mapped"/>
    <s v="User Not Mapped"/>
    <n v="270789"/>
    <s v="Prohallad Bhowmick and Gournag"/>
    <s v="Private Retailer"/>
    <s v="8759327226"/>
    <n v="4.5"/>
    <n v="93"/>
    <x v="7"/>
    <m/>
    <s v="2026-01-17"/>
    <s v="268815"/>
    <s v="Chitta Ranjan Dey"/>
    <s v="9434744870"/>
  </r>
  <r>
    <s v="RCF Thal"/>
    <s v="N.C.Urea(45kg)"/>
    <s v="WB"/>
    <x v="0"/>
    <s v="Baduria"/>
    <s v="User Not Mapped"/>
    <s v="User Not Mapped"/>
    <s v="User Not Mapped"/>
    <n v="270789"/>
    <s v="Prohallad Bhowmick and Gournag"/>
    <s v="Private Retailer"/>
    <s v="8759327226"/>
    <n v="9.6300000000000008"/>
    <n v="39"/>
    <x v="3"/>
    <m/>
    <s v="2026-03-12"/>
    <s v="268815"/>
    <s v="Chitta Ranjan Dey"/>
    <s v="9434744870"/>
  </r>
  <r>
    <s v="RCF Trombay"/>
    <s v="N.C.Urea(45kg)"/>
    <s v="WB"/>
    <x v="0"/>
    <s v="Bagda"/>
    <s v="User Not Mapped"/>
    <s v="User Not Mapped"/>
    <s v="User Not Mapped"/>
    <n v="355949"/>
    <s v="Prokash  Biswas"/>
    <s v="Private Retailer"/>
    <s v="9733867858"/>
    <n v="2.6549999999999998"/>
    <n v="63"/>
    <x v="6"/>
    <m/>
    <s v="2026-02-16"/>
    <s v="268815"/>
    <s v="Chitta Ranjan Dey"/>
    <s v="9434744870"/>
  </r>
  <r>
    <s v="RCF Thal"/>
    <s v="N.C.Urea(45kg)"/>
    <s v="WB"/>
    <x v="0"/>
    <s v="Bagda"/>
    <s v="User Not Mapped"/>
    <s v="User Not Mapped"/>
    <s v="User Not Mapped"/>
    <n v="545846"/>
    <s v="PROTAP GHOSH"/>
    <s v="Private Retailer"/>
    <s v="7407785145"/>
    <n v="1.395"/>
    <n v="66"/>
    <x v="6"/>
    <m/>
    <s v="2026-02-13"/>
    <s v="268815"/>
    <s v="Chitta Ranjan Dey"/>
    <s v="9434744870"/>
  </r>
  <r>
    <s v="RCF Trombay"/>
    <s v="N.C.Urea(45kg)"/>
    <s v="WB"/>
    <x v="0"/>
    <s v="Baduria"/>
    <s v="User Not Mapped"/>
    <s v="User Not Mapped"/>
    <s v="User Not Mapped"/>
    <n v="227089"/>
    <s v="Radha Krishna Krishi Bhandar"/>
    <s v="Private Retailer"/>
    <s v="9563062387"/>
    <n v="4.9050000000000002"/>
    <n v="65"/>
    <x v="6"/>
    <m/>
    <s v="2026-02-14"/>
    <s v="268815"/>
    <s v="Chitta Ranjan Dey"/>
    <s v="9434744870"/>
  </r>
  <r>
    <s v="RCF Thal"/>
    <s v="N.C.Urea(45kg)"/>
    <s v="WB"/>
    <x v="0"/>
    <s v="Baduria"/>
    <s v="User Not Mapped"/>
    <s v="User Not Mapped"/>
    <s v="User Not Mapped"/>
    <n v="227089"/>
    <s v="Radha Krishna Krishi Bhandar"/>
    <s v="Private Retailer"/>
    <s v="9563062387"/>
    <n v="5.49"/>
    <n v="69"/>
    <x v="6"/>
    <m/>
    <s v="2026-02-10"/>
    <s v="268815"/>
    <s v="Chitta Ranjan Dey"/>
    <s v="9434744870"/>
  </r>
  <r>
    <s v="RCF Trombay"/>
    <s v="15-15-15"/>
    <s v="WB"/>
    <x v="0"/>
    <s v="Baduria"/>
    <s v="User Not Mapped"/>
    <s v="User Not Mapped"/>
    <s v="User Not Mapped"/>
    <n v="227089"/>
    <s v="Radha Krishna Krishi Bhandar"/>
    <s v="Private Retailer"/>
    <s v="9563062387"/>
    <n v="3"/>
    <n v="65"/>
    <x v="6"/>
    <m/>
    <s v="2026-02-14"/>
    <s v="268815"/>
    <s v="Chitta Ranjan Dey"/>
    <s v="9434744870"/>
  </r>
  <r>
    <s v="RCF Import"/>
    <s v="Imp 10-26-26"/>
    <s v="WB"/>
    <x v="0"/>
    <s v="Baduria"/>
    <s v="User Not Mapped"/>
    <s v="User Not Mapped"/>
    <s v="User Not Mapped"/>
    <n v="227089"/>
    <s v="Radha Krishna Krishi Bhandar"/>
    <s v="Private Retailer"/>
    <s v="9563062387"/>
    <n v="11"/>
    <n v="21"/>
    <x v="5"/>
    <m/>
    <s v="2026-03-30"/>
    <s v="268815"/>
    <s v="Chitta Ranjan Dey"/>
    <s v="9434744870"/>
  </r>
  <r>
    <s v="RCF Trombay"/>
    <s v="N.C.Urea(45kg)"/>
    <s v="WB"/>
    <x v="0"/>
    <m/>
    <s v="User Not Mapped"/>
    <s v="User Not Mapped"/>
    <s v="User Not Mapped"/>
    <n v="1102065"/>
    <s v="Rafiqul Islam"/>
    <s v="Private Retailer"/>
    <s v="9933300796"/>
    <n v="0.36899999999999999"/>
    <n v="2411"/>
    <x v="2"/>
    <m/>
    <s v="2019-09-13"/>
    <s v="268815"/>
    <s v="Chitta Ranjan Dey"/>
    <s v="9434744870"/>
  </r>
  <r>
    <s v="RCF Trombay"/>
    <s v="15-15-15"/>
    <s v="WB"/>
    <x v="0"/>
    <m/>
    <s v="User Not Mapped"/>
    <s v="User Not Mapped"/>
    <s v="User Not Mapped"/>
    <n v="487640"/>
    <s v="Raj Krishi Bhandar"/>
    <s v="Private Retailer"/>
    <s v="9732855180"/>
    <n v="1.3"/>
    <n v="1255"/>
    <x v="2"/>
    <m/>
    <s v="2022-11-12"/>
    <s v="268815"/>
    <s v="Chitta Ranjan Dey"/>
    <s v="9434744870"/>
  </r>
  <r>
    <s v="RCF Import"/>
    <s v="MOP"/>
    <s v="WB"/>
    <x v="0"/>
    <s v="Basirhat - II"/>
    <s v="User Not Mapped"/>
    <s v="User Not Mapped"/>
    <s v="User Not Mapped"/>
    <n v="1086694"/>
    <s v="Ram prasad Mondal"/>
    <s v="Private Wholsaler"/>
    <s v="9609464662"/>
    <n v="8"/>
    <n v="52"/>
    <x v="3"/>
    <s v="'25-26/RCF/MOP/24'"/>
    <s v="2026-02-27"/>
    <s v="268815"/>
    <s v="Chitta Ranjan Dey"/>
    <s v="9434744870"/>
  </r>
  <r>
    <s v="RCF Thal"/>
    <s v="N.C.Urea(45kg)"/>
    <s v="WB"/>
    <x v="0"/>
    <s v="Bagda"/>
    <s v="User Not Mapped"/>
    <s v="User Not Mapped"/>
    <s v="User Not Mapped"/>
    <n v="356049"/>
    <s v="Ranjan Kumar Roy"/>
    <s v="Private Retailer"/>
    <s v="8250800815"/>
    <n v="9.99"/>
    <n v="13"/>
    <x v="5"/>
    <m/>
    <s v="2026-04-07"/>
    <s v="268815"/>
    <s v="Chitta Ranjan Dey"/>
    <s v="9434744870"/>
  </r>
  <r>
    <s v="RCF Trombay"/>
    <s v="15-15-15"/>
    <s v="WB"/>
    <x v="0"/>
    <s v="Bagda"/>
    <s v="User Not Mapped"/>
    <s v="User Not Mapped"/>
    <s v="User Not Mapped"/>
    <n v="457573"/>
    <s v="Sadhan Mazumdar"/>
    <s v="Private Retailer"/>
    <s v="9434503177"/>
    <n v="5.2"/>
    <n v="55"/>
    <x v="3"/>
    <m/>
    <s v="2026-02-24"/>
    <s v="268815"/>
    <s v="Chitta Ranjan Dey"/>
    <s v="9434744870"/>
  </r>
  <r>
    <s v="RCF Trombay"/>
    <s v="15-15-15"/>
    <s v="WB"/>
    <x v="0"/>
    <s v="Bongaon"/>
    <s v="User Not Mapped"/>
    <s v="User Not Mapped"/>
    <s v="User Not Mapped"/>
    <n v="698547"/>
    <s v="SAILENDRA NATH GHOSH"/>
    <s v="Private Retailer"/>
    <s v="9733599951"/>
    <n v="10"/>
    <n v="55"/>
    <x v="3"/>
    <m/>
    <s v="2026-02-24"/>
    <s v="268815"/>
    <s v="Chitta Ranjan Dey"/>
    <s v="9434744870"/>
  </r>
  <r>
    <s v="RCF Trombay"/>
    <s v="15-15-15"/>
    <s v="WB"/>
    <x v="0"/>
    <s v="Bongaon"/>
    <s v="User Not Mapped"/>
    <s v="User Not Mapped"/>
    <s v="User Not Mapped"/>
    <n v="698547"/>
    <s v="SAILENDRA NATH GHOSH"/>
    <s v="Private Retailer"/>
    <s v="9733599951"/>
    <n v="6.5"/>
    <n v="174"/>
    <x v="4"/>
    <m/>
    <s v="2025-10-28"/>
    <s v="268815"/>
    <s v="Chitta Ranjan Dey"/>
    <s v="9434744870"/>
  </r>
  <r>
    <s v="RCF Trombay"/>
    <s v="N.C.Urea(45kg)"/>
    <s v="WB"/>
    <x v="0"/>
    <s v="Bongaon"/>
    <s v="User Not Mapped"/>
    <s v="User Not Mapped"/>
    <s v="User Not Mapped"/>
    <n v="698547"/>
    <s v="SAILENDRA NATH GHOSH"/>
    <s v="Private Retailer"/>
    <s v="9733599951"/>
    <n v="7.7850000000000001"/>
    <n v="174"/>
    <x v="4"/>
    <m/>
    <s v="2025-10-28"/>
    <s v="268815"/>
    <s v="Chitta Ranjan Dey"/>
    <s v="9434744870"/>
  </r>
  <r>
    <s v="RCF Thal"/>
    <s v="N.C.Urea(45kg)"/>
    <s v="WB"/>
    <x v="0"/>
    <s v="Swarupnagar"/>
    <s v="User Not Mapped"/>
    <s v="User Not Mapped"/>
    <s v="User Not Mapped"/>
    <n v="675068"/>
    <s v="SAJAHAN DAFADAR"/>
    <s v="Private Retailer"/>
    <s v="9732983409"/>
    <n v="4.95"/>
    <n v="120"/>
    <x v="7"/>
    <m/>
    <s v="2025-12-21"/>
    <s v="268815"/>
    <s v="Chitta Ranjan Dey"/>
    <s v="9434744870"/>
  </r>
  <r>
    <s v="RCF Import"/>
    <s v="Imp 10-26-26"/>
    <s v="WB"/>
    <x v="0"/>
    <s v="Swarupnagar"/>
    <s v="User Not Mapped"/>
    <s v="User Not Mapped"/>
    <s v="User Not Mapped"/>
    <n v="407446"/>
    <s v="Salem Sardar"/>
    <s v="Private Retailer"/>
    <s v="9733535399"/>
    <n v="8.35"/>
    <n v="21"/>
    <x v="5"/>
    <m/>
    <s v="2026-03-30"/>
    <s v="268815"/>
    <s v="Chitta Ranjan Dey"/>
    <s v="9434744870"/>
  </r>
  <r>
    <s v="RCF Import"/>
    <s v="MOP"/>
    <s v="WB"/>
    <x v="0"/>
    <s v="Baduria"/>
    <s v="User Not Mapped"/>
    <s v="User Not Mapped"/>
    <s v="User Not Mapped"/>
    <n v="497600"/>
    <s v="Samar Nath Sana"/>
    <s v="Private Wholsaler"/>
    <s v="9563062387"/>
    <n v="8.3000000000000007"/>
    <n v="52"/>
    <x v="3"/>
    <s v="'25-26/RCF/MOP/20'"/>
    <s v="2026-02-27"/>
    <s v="268815"/>
    <s v="Chitta Ranjan Dey"/>
    <s v="9434744870"/>
  </r>
  <r>
    <s v="RCF Import"/>
    <s v="Imp 10-26-26"/>
    <s v="WB"/>
    <x v="0"/>
    <s v="Habra - II"/>
    <s v="User Not Mapped"/>
    <s v="User Not Mapped"/>
    <s v="User Not Mapped"/>
    <n v="270809"/>
    <s v="Samen Ali Mondal"/>
    <s v="Private Retailer"/>
    <s v="9734478551"/>
    <n v="0.85"/>
    <n v="21"/>
    <x v="5"/>
    <m/>
    <s v="2026-03-30"/>
    <s v="268815"/>
    <s v="Chitta Ranjan Dey"/>
    <s v="9434744870"/>
  </r>
  <r>
    <s v="RCF Thal"/>
    <s v="N.C.Urea(45kg)"/>
    <s v="WB"/>
    <x v="0"/>
    <m/>
    <s v="User Not Mapped"/>
    <s v="User Not Mapped"/>
    <s v="User Not Mapped"/>
    <n v="342398"/>
    <s v="Samir Kumar Ghosh"/>
    <s v="Private Retailer"/>
    <s v="9635982670"/>
    <n v="10.98"/>
    <n v="39"/>
    <x v="3"/>
    <m/>
    <s v="2026-03-12"/>
    <s v="268815"/>
    <s v="Chitta Ranjan Dey"/>
    <s v="9434744870"/>
  </r>
  <r>
    <s v="RCF Thal"/>
    <s v="N.C.Urea(45kg)"/>
    <s v="WB"/>
    <x v="0"/>
    <s v="Swarupnagar"/>
    <s v="User Not Mapped"/>
    <s v="User Not Mapped"/>
    <s v="User Not Mapped"/>
    <n v="227156"/>
    <s v="Samser Ali Mondal"/>
    <s v="Private Retailer"/>
    <s v="9775241159"/>
    <n v="5.4450000000000003"/>
    <n v="66"/>
    <x v="6"/>
    <m/>
    <s v="2026-02-13"/>
    <s v="268815"/>
    <s v="Chitta Ranjan Dey"/>
    <s v="9434744870"/>
  </r>
  <r>
    <s v="RCF Thal"/>
    <s v="N.C.Urea(45kg)"/>
    <s v="WB"/>
    <x v="0"/>
    <s v="Bagda"/>
    <s v="User Not Mapped"/>
    <s v="User Not Mapped"/>
    <s v="User Not Mapped"/>
    <n v="659288"/>
    <s v="Sanjay Sarkar"/>
    <s v="Private Retailer"/>
    <s v="8768067211"/>
    <n v="0.36"/>
    <n v="447"/>
    <x v="0"/>
    <m/>
    <s v="2025-01-28"/>
    <s v="268815"/>
    <s v="Chitta Ranjan Dey"/>
    <s v="9434744870"/>
  </r>
  <r>
    <s v="RCF Trombay"/>
    <s v="15-15-15"/>
    <s v="WB"/>
    <x v="0"/>
    <s v="Habra - II"/>
    <s v="User Not Mapped"/>
    <s v="User Not Mapped"/>
    <s v="User Not Mapped"/>
    <n v="356297"/>
    <s v="Sar  Ghar"/>
    <s v="Private Retailer"/>
    <s v="7001938344"/>
    <n v="3.4"/>
    <n v="185"/>
    <x v="1"/>
    <m/>
    <s v="2025-10-17"/>
    <s v="268815"/>
    <s v="Chitta Ranjan Dey"/>
    <s v="9434744870"/>
  </r>
  <r>
    <s v="RCF Thal"/>
    <s v="N.C.Urea(45kg)"/>
    <s v="WB"/>
    <x v="0"/>
    <m/>
    <s v="User Not Mapped"/>
    <s v="User Not Mapped"/>
    <s v="User Not Mapped"/>
    <n v="411091"/>
    <s v="Saria Krishi Bhander"/>
    <s v="Private Retailer"/>
    <s v="9733746611"/>
    <n v="3.5000000000000003E-2"/>
    <n v="1524"/>
    <x v="2"/>
    <m/>
    <s v="2022-02-16"/>
    <s v="268815"/>
    <s v="Chitta Ranjan Dey"/>
    <s v="9434744870"/>
  </r>
  <r>
    <s v="RCF Thal"/>
    <s v="N.C.Urea(45kg)"/>
    <s v="WB"/>
    <x v="0"/>
    <s v="Swarupnagar"/>
    <s v="User Not Mapped"/>
    <s v="User Not Mapped"/>
    <s v="User Not Mapped"/>
    <n v="227185"/>
    <s v="Seikh Abul Hohossain"/>
    <s v="Private Retailer"/>
    <s v="9732722084"/>
    <n v="5.4450000000000003"/>
    <n v="66"/>
    <x v="6"/>
    <m/>
    <s v="2026-02-13"/>
    <s v="268815"/>
    <s v="Chitta Ranjan Dey"/>
    <s v="9434744870"/>
  </r>
  <r>
    <s v="RCF Trombay"/>
    <s v="N.C.Urea(45kg)"/>
    <s v="WB"/>
    <x v="0"/>
    <s v="Gaighata"/>
    <s v="User Not Mapped"/>
    <s v="User Not Mapped"/>
    <s v="User Not Mapped"/>
    <n v="457847"/>
    <s v="Shashanka Upadhyaya"/>
    <s v="Private Retailer"/>
    <s v="8016030025"/>
    <n v="0.67500000000000004"/>
    <n v="93"/>
    <x v="7"/>
    <m/>
    <s v="2026-01-17"/>
    <s v="268815"/>
    <s v="Chitta Ranjan Dey"/>
    <s v="9434744870"/>
  </r>
  <r>
    <s v="RCF Import"/>
    <s v="MOP"/>
    <s v="WB"/>
    <x v="0"/>
    <s v="Bongaon"/>
    <s v="User Not Mapped"/>
    <s v="User Not Mapped"/>
    <s v="User Not Mapped"/>
    <n v="1219923"/>
    <s v="SHIMUL HAZRA"/>
    <s v="Private Wholsaler"/>
    <s v="9932572558"/>
    <n v="10"/>
    <n v="52"/>
    <x v="3"/>
    <s v="'25-26/RCF/MOP/48'"/>
    <s v="2026-02-27"/>
    <s v="268815"/>
    <s v="Chitta Ranjan Dey"/>
    <s v="9434744870"/>
  </r>
  <r>
    <s v="RCF Trombay"/>
    <s v="N.C.Urea(45kg)"/>
    <s v="WB"/>
    <x v="0"/>
    <s v="Bongaon"/>
    <s v="User Not Mapped"/>
    <s v="User Not Mapped"/>
    <s v="User Not Mapped"/>
    <n v="457486"/>
    <s v="Shimul Hazra"/>
    <s v="Private Retailer"/>
    <s v="9732863371"/>
    <n v="4.4999999999999998E-2"/>
    <n v="86"/>
    <x v="6"/>
    <m/>
    <s v="2026-01-24"/>
    <s v="268815"/>
    <s v="Chitta Ranjan Dey"/>
    <s v="9434744870"/>
  </r>
  <r>
    <s v="RCF Thal"/>
    <s v="N.C.Urea(45kg)"/>
    <s v="WB"/>
    <x v="0"/>
    <s v="Bongaon"/>
    <s v="User Not Mapped"/>
    <s v="User Not Mapped"/>
    <s v="User Not Mapped"/>
    <n v="457486"/>
    <s v="Shimul Hazra"/>
    <s v="Private Retailer"/>
    <s v="9732863371"/>
    <n v="5.13"/>
    <n v="66"/>
    <x v="6"/>
    <m/>
    <s v="2026-02-13"/>
    <s v="268815"/>
    <s v="Chitta Ranjan Dey"/>
    <s v="9434744870"/>
  </r>
  <r>
    <s v="RCF Trombay"/>
    <s v="N.C.Urea(45kg)"/>
    <s v="WB"/>
    <x v="0"/>
    <s v="Bongaon"/>
    <s v="User Not Mapped"/>
    <s v="User Not Mapped"/>
    <s v="User Not Mapped"/>
    <n v="457486"/>
    <s v="Shimul Hazra"/>
    <s v="Private Retailer"/>
    <s v="9732863371"/>
    <n v="5.49"/>
    <n v="66"/>
    <x v="6"/>
    <m/>
    <s v="2026-02-13"/>
    <s v="268815"/>
    <s v="Chitta Ranjan Dey"/>
    <s v="9434744870"/>
  </r>
  <r>
    <s v="RCF Thal"/>
    <s v="N.C.Urea(45kg)"/>
    <s v="WB"/>
    <x v="0"/>
    <s v="Bagda"/>
    <s v="User Not Mapped"/>
    <s v="User Not Mapped"/>
    <s v="User Not Mapped"/>
    <n v="607240"/>
    <s v="SOFIAR MONDAL"/>
    <s v="Private Retailer"/>
    <s v="9735706651"/>
    <n v="9.27"/>
    <n v="39"/>
    <x v="3"/>
    <m/>
    <s v="2026-03-12"/>
    <s v="268815"/>
    <s v="Chitta Ranjan Dey"/>
    <s v="9434744870"/>
  </r>
  <r>
    <s v="RCF Thal"/>
    <s v="N.C.Urea(45kg)"/>
    <s v="WB"/>
    <x v="0"/>
    <s v="Swarupnagar"/>
    <s v="User Not Mapped"/>
    <s v="User Not Mapped"/>
    <s v="User Not Mapped"/>
    <n v="227209"/>
    <s v="Sohajohan Molla"/>
    <s v="Private Retailer"/>
    <s v="9647278097"/>
    <n v="4.41"/>
    <n v="120"/>
    <x v="7"/>
    <m/>
    <s v="2025-12-21"/>
    <s v="268815"/>
    <s v="Chitta Ranjan Dey"/>
    <s v="9434744870"/>
  </r>
  <r>
    <s v="RCF Thal"/>
    <s v="N.C.Urea(45kg)"/>
    <s v="WB"/>
    <x v="0"/>
    <s v="Swarupnagar"/>
    <s v="User Not Mapped"/>
    <s v="User Not Mapped"/>
    <s v="User Not Mapped"/>
    <n v="227209"/>
    <s v="Sohajohan Molla"/>
    <s v="Private Retailer"/>
    <s v="9647278097"/>
    <n v="5.49"/>
    <n v="38"/>
    <x v="3"/>
    <m/>
    <s v="2026-03-13"/>
    <s v="268815"/>
    <s v="Chitta Ranjan Dey"/>
    <s v="9434744870"/>
  </r>
  <r>
    <s v="RCF Import"/>
    <s v="Imp 10-26-26"/>
    <s v="WB"/>
    <x v="0"/>
    <s v="Bongaon"/>
    <s v="User Not Mapped"/>
    <s v="User Not Mapped"/>
    <s v="User Not Mapped"/>
    <n v="411269"/>
    <s v="Subal Chandra Roy"/>
    <s v="Private Retailer"/>
    <s v="9432165014"/>
    <n v="5"/>
    <n v="21"/>
    <x v="5"/>
    <m/>
    <s v="2026-03-30"/>
    <s v="268815"/>
    <s v="Chitta Ranjan Dey"/>
    <s v="9434744870"/>
  </r>
  <r>
    <s v="RCF Thal"/>
    <s v="N.C.Urea(45kg)"/>
    <s v="WB"/>
    <x v="0"/>
    <s v="Bagda"/>
    <s v="User Not Mapped"/>
    <s v="User Not Mapped"/>
    <s v="User Not Mapped"/>
    <n v="457500"/>
    <s v="Subhashish Ghosh"/>
    <s v="Private Retailer"/>
    <s v="9735227216"/>
    <n v="2.6549999999999998"/>
    <n v="38"/>
    <x v="3"/>
    <m/>
    <s v="2026-03-13"/>
    <s v="268815"/>
    <s v="Chitta Ranjan Dey"/>
    <s v="9434744870"/>
  </r>
  <r>
    <s v="RCF Trombay"/>
    <s v="N.C.Urea(45kg)"/>
    <s v="WB"/>
    <x v="0"/>
    <s v="Bagda"/>
    <s v="User Not Mapped"/>
    <s v="User Not Mapped"/>
    <s v="User Not Mapped"/>
    <n v="457500"/>
    <s v="Subhashish Ghosh"/>
    <s v="Private Retailer"/>
    <s v="9735227216"/>
    <n v="5.4450000000000003"/>
    <n v="63"/>
    <x v="6"/>
    <m/>
    <s v="2026-02-16"/>
    <s v="268815"/>
    <s v="Chitta Ranjan Dey"/>
    <s v="9434744870"/>
  </r>
  <r>
    <s v="RCF Trombay"/>
    <s v="N.C.Urea(45kg)"/>
    <s v="WB"/>
    <x v="0"/>
    <s v="Bagda"/>
    <s v="User Not Mapped"/>
    <s v="User Not Mapped"/>
    <s v="User Not Mapped"/>
    <n v="409484"/>
    <s v="Sujoy Kr Biswas"/>
    <s v="Private Retailer"/>
    <s v="9002248871"/>
    <n v="5.49"/>
    <n v="55"/>
    <x v="3"/>
    <m/>
    <s v="2026-02-24"/>
    <s v="268815"/>
    <s v="Chitta Ranjan Dey"/>
    <s v="9434744870"/>
  </r>
  <r>
    <s v="RCF Thal"/>
    <s v="N.C.Urea(45kg)"/>
    <s v="WB"/>
    <x v="0"/>
    <s v="Bagda"/>
    <s v="User Not Mapped"/>
    <s v="User Not Mapped"/>
    <s v="User Not Mapped"/>
    <n v="409484"/>
    <s v="Sujoy Kr Biswas"/>
    <s v="Private Retailer"/>
    <s v="9002248871"/>
    <n v="9.5399999999999991"/>
    <n v="13"/>
    <x v="5"/>
    <m/>
    <s v="2026-04-07"/>
    <s v="268815"/>
    <s v="Chitta Ranjan Dey"/>
    <s v="9434744870"/>
  </r>
  <r>
    <s v="RCF Trombay"/>
    <s v="15-15-15"/>
    <s v="WB"/>
    <x v="0"/>
    <s v="Bagda"/>
    <s v="User Not Mapped"/>
    <s v="User Not Mapped"/>
    <s v="User Not Mapped"/>
    <n v="409484"/>
    <s v="Sujoy Kr Biswas"/>
    <s v="Private Retailer"/>
    <s v="9002248871"/>
    <n v="4.25"/>
    <n v="86"/>
    <x v="6"/>
    <m/>
    <s v="2026-01-24"/>
    <s v="268815"/>
    <s v="Chitta Ranjan Dey"/>
    <s v="9434744870"/>
  </r>
  <r>
    <s v="RCF Thal"/>
    <s v="N.C.Urea(45kg)"/>
    <s v="WB"/>
    <x v="0"/>
    <s v="Bagda"/>
    <s v="User Not Mapped"/>
    <s v="User Not Mapped"/>
    <s v="User Not Mapped"/>
    <n v="270841"/>
    <s v="Sukhendu Saha"/>
    <s v="Private Retailer"/>
    <s v="9002005152"/>
    <n v="13.59"/>
    <n v="13"/>
    <x v="5"/>
    <m/>
    <s v="2026-04-07"/>
    <s v="268815"/>
    <s v="Chitta Ranjan Dey"/>
    <s v="9434744870"/>
  </r>
  <r>
    <s v="RCF Trombay"/>
    <s v="N.C.Urea(45kg)"/>
    <s v="WB"/>
    <x v="0"/>
    <s v="Bongaon"/>
    <s v="User Not Mapped"/>
    <s v="User Not Mapped"/>
    <s v="User Not Mapped"/>
    <n v="270847"/>
    <s v="Sunil Kumar Mondal"/>
    <s v="Private Retailer"/>
    <s v="8972796298"/>
    <n v="8.4149999999999991"/>
    <n v="55"/>
    <x v="3"/>
    <m/>
    <s v="2026-02-24"/>
    <s v="268815"/>
    <s v="Chitta Ranjan Dey"/>
    <s v="9434744870"/>
  </r>
  <r>
    <s v="RCF Thal"/>
    <s v="N.C.Urea(45kg)"/>
    <s v="WB"/>
    <x v="0"/>
    <s v="Bongaon"/>
    <s v="User Not Mapped"/>
    <s v="User Not Mapped"/>
    <s v="User Not Mapped"/>
    <n v="270847"/>
    <s v="Sunil Kumar Mondal"/>
    <s v="Private Retailer"/>
    <s v="8972796298"/>
    <n v="9.99"/>
    <n v="13"/>
    <x v="5"/>
    <m/>
    <s v="2026-04-07"/>
    <s v="268815"/>
    <s v="Chitta Ranjan Dey"/>
    <s v="9434744870"/>
  </r>
  <r>
    <s v="RCF Import"/>
    <s v="Imp 10-26-26"/>
    <s v="WB"/>
    <x v="0"/>
    <s v="Bongaon"/>
    <s v="User Not Mapped"/>
    <s v="User Not Mapped"/>
    <s v="User Not Mapped"/>
    <n v="270847"/>
    <s v="Sunil Kumar Mondal"/>
    <s v="Private Retailer"/>
    <s v="8972796298"/>
    <n v="5.5"/>
    <n v="21"/>
    <x v="5"/>
    <m/>
    <s v="2026-03-30"/>
    <s v="268815"/>
    <s v="Chitta Ranjan Dey"/>
    <s v="9434744870"/>
  </r>
  <r>
    <s v="RCF Import"/>
    <s v="MOP"/>
    <s v="WB"/>
    <x v="0"/>
    <s v="Bongaon"/>
    <s v="User Not Mapped"/>
    <s v="User Not Mapped"/>
    <s v="User Not Mapped"/>
    <n v="270847"/>
    <s v="Sunil Kumar Mondal"/>
    <s v="Private Retailer"/>
    <s v="8972796298"/>
    <n v="3.95"/>
    <n v="52"/>
    <x v="3"/>
    <m/>
    <s v="2026-02-27"/>
    <s v="268815"/>
    <s v="Chitta Ranjan Dey"/>
    <s v="9434744870"/>
  </r>
  <r>
    <s v="RCF Trombay"/>
    <s v="15-15-15"/>
    <s v="WB"/>
    <x v="0"/>
    <s v="Bongaon"/>
    <s v="User Not Mapped"/>
    <s v="User Not Mapped"/>
    <s v="User Not Mapped"/>
    <n v="270847"/>
    <s v="Sunil Kumar Mondal"/>
    <s v="Private Retailer"/>
    <s v="8972796298"/>
    <n v="5"/>
    <n v="55"/>
    <x v="3"/>
    <m/>
    <s v="2026-02-24"/>
    <s v="268815"/>
    <s v="Chitta Ranjan Dey"/>
    <s v="9434744870"/>
  </r>
  <r>
    <s v="RCF Import"/>
    <s v="Imp 10-26-26"/>
    <s v="WB"/>
    <x v="0"/>
    <s v="Swarupnagar"/>
    <s v="User Not Mapped"/>
    <s v="User Not Mapped"/>
    <s v="User Not Mapped"/>
    <n v="227237"/>
    <s v="Sunity Kr.Sarkar"/>
    <s v="Private Retailer"/>
    <s v="9733707910"/>
    <n v="5.5"/>
    <n v="21"/>
    <x v="5"/>
    <m/>
    <s v="2026-03-30"/>
    <s v="268815"/>
    <s v="Chitta Ranjan Dey"/>
    <s v="9434744870"/>
  </r>
  <r>
    <s v="RCF Import"/>
    <s v="MOP"/>
    <s v="WB"/>
    <x v="0"/>
    <s v="Swarupnagar"/>
    <s v="User Not Mapped"/>
    <s v="User Not Mapped"/>
    <s v="User Not Mapped"/>
    <n v="227237"/>
    <s v="Sunity Kr.Sarkar"/>
    <s v="Private Retailer"/>
    <s v="9733707910"/>
    <n v="5.5"/>
    <n v="55"/>
    <x v="3"/>
    <m/>
    <s v="2026-02-24"/>
    <s v="268815"/>
    <s v="Chitta Ranjan Dey"/>
    <s v="9434744870"/>
  </r>
  <r>
    <s v="RCF Thal"/>
    <s v="N.C.Urea(45kg)"/>
    <s v="WB"/>
    <x v="0"/>
    <s v="Swarupnagar"/>
    <s v="User Not Mapped"/>
    <s v="User Not Mapped"/>
    <s v="User Not Mapped"/>
    <n v="227237"/>
    <s v="Sunity Kr.Sarkar"/>
    <s v="Private Retailer"/>
    <s v="9733707910"/>
    <n v="9.5399999999999991"/>
    <n v="39"/>
    <x v="3"/>
    <m/>
    <s v="2026-03-12"/>
    <s v="268815"/>
    <s v="Chitta Ranjan Dey"/>
    <s v="9434744870"/>
  </r>
  <r>
    <s v="RCF Trombay"/>
    <s v="15-15-15"/>
    <s v="WB"/>
    <x v="0"/>
    <s v="Swarupnagar"/>
    <s v="User Not Mapped"/>
    <s v="User Not Mapped"/>
    <s v="User Not Mapped"/>
    <n v="227237"/>
    <s v="Sunity Kr.Sarkar"/>
    <s v="Private Retailer"/>
    <s v="9733707910"/>
    <n v="1.9"/>
    <n v="66"/>
    <x v="6"/>
    <m/>
    <s v="2026-02-13"/>
    <s v="268815"/>
    <s v="Chitta Ranjan Dey"/>
    <s v="9434744870"/>
  </r>
  <r>
    <s v="RCF Import"/>
    <s v="MOP"/>
    <s v="WB"/>
    <x v="0"/>
    <s v="Swarupnagar"/>
    <s v="User Not Mapped"/>
    <s v="User Not Mapped"/>
    <s v="User Not Mapped"/>
    <n v="1052457"/>
    <s v="Supriyo Das"/>
    <s v="Private Wholsaler"/>
    <s v="9564048050"/>
    <n v="11"/>
    <n v="52"/>
    <x v="3"/>
    <s v="'25-26/RCF/MOP/16'"/>
    <s v="2026-02-27"/>
    <s v="268815"/>
    <s v="Chitta Ranjan Dey"/>
    <s v="9434744870"/>
  </r>
  <r>
    <s v="RCF Import"/>
    <s v="MOP"/>
    <s v="WB"/>
    <x v="0"/>
    <s v="Swarupnagar"/>
    <s v="User Not Mapped"/>
    <s v="User Not Mapped"/>
    <s v="User Not Mapped"/>
    <n v="1052457"/>
    <s v="Supriyo Das"/>
    <s v="Private Wholsaler"/>
    <s v="9564048050"/>
    <n v="8"/>
    <n v="52"/>
    <x v="3"/>
    <s v="'25-26/RCF/MOP/15'"/>
    <s v="2026-02-27"/>
    <s v="268815"/>
    <s v="Chitta Ranjan Dey"/>
    <s v="9434744870"/>
  </r>
  <r>
    <s v="RCF Thal"/>
    <s v="N.C.Urea(45kg)"/>
    <s v="WB"/>
    <x v="0"/>
    <s v="Bagda"/>
    <s v="User Not Mapped"/>
    <s v="User Not Mapped"/>
    <s v="User Not Mapped"/>
    <n v="456776"/>
    <s v="Suvankar Bairagi"/>
    <s v="Private Retailer"/>
    <s v="9002057138"/>
    <n v="9.18"/>
    <n v="10"/>
    <x v="5"/>
    <m/>
    <s v="2026-04-10"/>
    <s v="268815"/>
    <s v="Chitta Ranjan Dey"/>
    <s v="9434744870"/>
  </r>
  <r>
    <s v="RCF Import"/>
    <s v="MOP"/>
    <s v="WB"/>
    <x v="0"/>
    <s v="Swarupnagar"/>
    <s v="User Not Mapped"/>
    <s v="User Not Mapped"/>
    <s v="User Not Mapped"/>
    <n v="270850"/>
    <s v="Swapan Kr Das"/>
    <s v="Private Retailer"/>
    <s v="9641601818"/>
    <n v="4.25"/>
    <n v="55"/>
    <x v="3"/>
    <m/>
    <s v="2026-02-24"/>
    <s v="268815"/>
    <s v="Chitta Ranjan Dey"/>
    <s v="9434744870"/>
  </r>
  <r>
    <s v="RCF Trombay"/>
    <s v="15-15-15"/>
    <s v="WB"/>
    <x v="0"/>
    <s v="Amdanga"/>
    <s v="User Not Mapped"/>
    <s v="User Not Mapped"/>
    <s v="User Not Mapped"/>
    <n v="410804"/>
    <s v="Swapan Krishi Bhandar"/>
    <s v="Private Retailer"/>
    <s v="9836420931"/>
    <n v="3.4"/>
    <n v="66"/>
    <x v="6"/>
    <m/>
    <s v="2026-02-13"/>
    <s v="268815"/>
    <s v="Chitta Ranjan Dey"/>
    <s v="9434744870"/>
  </r>
  <r>
    <s v="RCF Thal"/>
    <s v="N.C.Urea(45kg)"/>
    <s v="WB"/>
    <x v="0"/>
    <s v="Bongaon"/>
    <s v="User Not Mapped"/>
    <s v="User Not Mapped"/>
    <s v="User Not Mapped"/>
    <n v="411291"/>
    <s v="Swapan Kumar Biswas"/>
    <s v="Private Retailer"/>
    <s v="9609081363"/>
    <n v="5.49"/>
    <n v="39"/>
    <x v="3"/>
    <m/>
    <s v="2026-03-12"/>
    <s v="268815"/>
    <s v="Chitta Ranjan Dey"/>
    <s v="9434744870"/>
  </r>
  <r>
    <s v="RCF Trombay"/>
    <s v="15-15-15"/>
    <s v="WB"/>
    <x v="0"/>
    <s v="Baduria"/>
    <s v="User Not Mapped"/>
    <s v="User Not Mapped"/>
    <s v="User Not Mapped"/>
    <n v="1300042"/>
    <s v="TAJMUN NAHAR"/>
    <s v="Private Retailer"/>
    <s v="7679833855"/>
    <n v="5.4"/>
    <n v="66"/>
    <x v="6"/>
    <m/>
    <s v="2026-02-13"/>
    <s v="268815"/>
    <s v="Chitta Ranjan Dey"/>
    <s v="9434744870"/>
  </r>
  <r>
    <s v="RCF Thal"/>
    <s v="N.C.Urea(45kg)"/>
    <s v="WB"/>
    <x v="0"/>
    <s v="Bongaon"/>
    <s v="User Not Mapped"/>
    <s v="User Not Mapped"/>
    <s v="User Not Mapped"/>
    <n v="289619"/>
    <s v="Tarak Chandra Das"/>
    <s v="Private Retailer"/>
    <s v="9734549303"/>
    <n v="6.66"/>
    <n v="66"/>
    <x v="6"/>
    <m/>
    <s v="2026-02-13"/>
    <s v="268815"/>
    <s v="Chitta Ranjan Dey"/>
    <s v="9434744870"/>
  </r>
  <r>
    <s v="RCF Trombay"/>
    <s v="15-15-15"/>
    <s v="WB"/>
    <x v="0"/>
    <s v="Bongaon"/>
    <s v="User Not Mapped"/>
    <s v="User Not Mapped"/>
    <s v="User Not Mapped"/>
    <n v="289619"/>
    <s v="Tarak Chandra Das"/>
    <s v="Private Retailer"/>
    <s v="9734549303"/>
    <n v="1.45"/>
    <n v="63"/>
    <x v="6"/>
    <m/>
    <s v="2026-02-16"/>
    <s v="268815"/>
    <s v="Chitta Ranjan Dey"/>
    <s v="9434744870"/>
  </r>
  <r>
    <s v="RCF Trombay"/>
    <s v="15-15-15"/>
    <s v="WB"/>
    <x v="0"/>
    <s v="Basirhat - I"/>
    <s v="User Not Mapped"/>
    <s v="User Not Mapped"/>
    <s v="User Not Mapped"/>
    <n v="553284"/>
    <s v="Urmila Yeasmin"/>
    <s v="Private Retailer"/>
    <s v="6296627171"/>
    <n v="0.19900000000000001"/>
    <n v="326"/>
    <x v="1"/>
    <m/>
    <s v="2025-05-29"/>
    <s v="268815"/>
    <s v="Chitta Ranjan Dey"/>
    <s v="9434744870"/>
  </r>
  <r>
    <s v="RCF Import"/>
    <s v="MOP"/>
    <s v="WB"/>
    <x v="0"/>
    <s v="Habra - I"/>
    <s v="User Not Mapped"/>
    <s v="User Not Mapped"/>
    <s v="User Not Mapped"/>
    <n v="1496080"/>
    <s v="UTTAM SUR KRISHI BHANDAR"/>
    <s v="Private Retailer"/>
    <s v="8250379228"/>
    <n v="3.65"/>
    <n v="55"/>
    <x v="3"/>
    <m/>
    <s v="2026-02-24"/>
    <s v="268815"/>
    <s v="Chitta Ranjan Dey"/>
    <s v="9434744870"/>
  </r>
  <r>
    <s v="RCF Thal"/>
    <s v="N.C.Urea(45kg)"/>
    <s v="WB"/>
    <x v="0"/>
    <s v="Habra - I"/>
    <s v="User Not Mapped"/>
    <s v="User Not Mapped"/>
    <s v="User Not Mapped"/>
    <n v="1496080"/>
    <s v="UTTAM SUR KRISHI BHANDAR"/>
    <s v="Private Retailer"/>
    <s v="8250379228"/>
    <n v="5.49"/>
    <n v="39"/>
    <x v="3"/>
    <m/>
    <s v="2026-03-12"/>
    <s v="268815"/>
    <s v="Chitta Ranjan Dey"/>
    <s v="9434744870"/>
  </r>
  <r>
    <s v="RCF Trombay"/>
    <s v="15-15-15"/>
    <s v="WB"/>
    <x v="0"/>
    <s v="Habra - I"/>
    <s v="User Not Mapped"/>
    <s v="User Not Mapped"/>
    <s v="User Not Mapped"/>
    <n v="1496080"/>
    <s v="UTTAM SUR KRISHI BHANDAR"/>
    <s v="Private Retailer"/>
    <s v="8250379228"/>
    <n v="1.1000000000000001"/>
    <n v="93"/>
    <x v="7"/>
    <m/>
    <s v="2026-01-17"/>
    <s v="268815"/>
    <s v="Chitta Ranjan Dey"/>
    <s v="9434744870"/>
  </r>
  <r>
    <s v="RCF Import"/>
    <s v="Imp 10-26-26"/>
    <s v="WB"/>
    <x v="0"/>
    <s v="Habra - I"/>
    <s v="User Not Mapped"/>
    <s v="User Not Mapped"/>
    <s v="User Not Mapped"/>
    <n v="1496080"/>
    <s v="UTTAM SUR KRISHI BHANDAR"/>
    <s v="Private Retailer"/>
    <s v="8250379228"/>
    <n v="5.5"/>
    <n v="21"/>
    <x v="5"/>
    <m/>
    <s v="2026-03-30"/>
    <s v="268815"/>
    <s v="Chitta Ranjan Dey"/>
    <s v="9434744870"/>
  </r>
  <r>
    <s v="RCF Trombay"/>
    <s v="N.C.Urea(45kg)"/>
    <s v="WB"/>
    <x v="0"/>
    <s v="Bongaon"/>
    <s v="User Not Mapped"/>
    <s v="User Not Mapped"/>
    <s v="User Not Mapped"/>
    <n v="497685"/>
    <s v="YOUCHUP MONDAL"/>
    <s v="Private Retailer"/>
    <s v="9749959358"/>
    <n v="10.98"/>
    <n v="66"/>
    <x v="6"/>
    <m/>
    <s v="2026-02-13"/>
    <s v="268815"/>
    <s v="Chitta Ranjan Dey"/>
    <s v="9434744870"/>
  </r>
  <r>
    <s v="RCF Thal"/>
    <s v="N.C.Urea(45kg)"/>
    <s v="WB"/>
    <x v="0"/>
    <s v="Bongaon"/>
    <s v="User Not Mapped"/>
    <s v="User Not Mapped"/>
    <s v="User Not Mapped"/>
    <n v="497685"/>
    <s v="YOUCHUP MONDAL"/>
    <s v="Private Retailer"/>
    <s v="9749959358"/>
    <n v="9.99"/>
    <n v="10"/>
    <x v="5"/>
    <m/>
    <s v="2026-04-10"/>
    <s v="268815"/>
    <s v="Chitta Ranjan Dey"/>
    <s v="9434744870"/>
  </r>
  <r>
    <s v="RCF Thal"/>
    <s v="N.C.Urea(45kg)"/>
    <s v="WB"/>
    <x v="0"/>
    <s v="Bongaon"/>
    <s v="User Not Mapped"/>
    <s v="User Not Mapped"/>
    <s v="User Not Mapped"/>
    <n v="497685"/>
    <s v="YOUCHUP MONDAL"/>
    <s v="Private Retailer"/>
    <s v="9749959358"/>
    <n v="5.22"/>
    <n v="69"/>
    <x v="6"/>
    <m/>
    <s v="2026-02-10"/>
    <s v="268815"/>
    <s v="Chitta Ranjan Dey"/>
    <s v="9434744870"/>
  </r>
  <r>
    <s v="RCF Trombay"/>
    <s v="15-15-15"/>
    <s v="WB"/>
    <x v="0"/>
    <s v="Bongaon"/>
    <s v="User Not Mapped"/>
    <s v="User Not Mapped"/>
    <s v="User Not Mapped"/>
    <n v="497685"/>
    <s v="YOUCHUP MONDAL"/>
    <s v="Private Retailer"/>
    <s v="9749959358"/>
    <n v="2.4"/>
    <n v="55"/>
    <x v="3"/>
    <m/>
    <s v="2026-02-24"/>
    <s v="268815"/>
    <s v="Chitta Ranjan Dey"/>
    <s v="9434744870"/>
  </r>
  <r>
    <s v="RCF Trombay"/>
    <s v="15-15-15"/>
    <s v="WB"/>
    <x v="0"/>
    <m/>
    <s v="User Not Mapped"/>
    <s v="User Not Mapped"/>
    <s v="User Not Mapped"/>
    <n v="592086"/>
    <s v="Sonali"/>
    <s v="Private Retailer"/>
    <s v="9804554800"/>
    <n v="0.78"/>
    <n v="2632"/>
    <x v="2"/>
    <m/>
    <s v="2019-02-04"/>
    <s v="809548"/>
    <s v="CHOWDHARI FERTILIZER"/>
    <s v="8910461953"/>
  </r>
  <r>
    <s v="RCF Trombay"/>
    <s v="N.C.Urea(45kg)"/>
    <s v="WB"/>
    <x v="0"/>
    <s v="Minakhan"/>
    <s v="User Not Mapped"/>
    <s v="User Not Mapped"/>
    <s v="User Not Mapped"/>
    <n v="382782"/>
    <s v="Abul Kasham Tarafdur"/>
    <s v="Private Retailer"/>
    <s v="9733885160"/>
    <n v="0.79500000000000004"/>
    <n v="1941"/>
    <x v="2"/>
    <m/>
    <s v="2020-12-26"/>
    <s v="328651"/>
    <s v="Duttapukur Krishi Bipani"/>
    <s v="7890631908"/>
  </r>
  <r>
    <s v="RCF Thal"/>
    <s v="N.C.Urea(45kg)"/>
    <s v="WB"/>
    <x v="0"/>
    <s v="Haroa"/>
    <s v="User Not Mapped"/>
    <s v="User Not Mapped"/>
    <s v="User Not Mapped"/>
    <n v="1062352"/>
    <s v="Fajlul Islam"/>
    <s v="Private Retailer"/>
    <s v="8017892312"/>
    <n v="1.2150000000000001"/>
    <n v="145"/>
    <x v="4"/>
    <m/>
    <s v="2025-11-26"/>
    <s v="328651"/>
    <s v="Duttapukur Krishi Bipani"/>
    <s v="7890631908"/>
  </r>
  <r>
    <s v="RCF Trombay"/>
    <s v="15-15-15"/>
    <s v="WB"/>
    <x v="0"/>
    <s v="Barasat - I"/>
    <s v="User Not Mapped"/>
    <s v="User Not Mapped"/>
    <s v="User Not Mapped"/>
    <n v="616435"/>
    <s v="GHOSH FERTILIZER"/>
    <s v="Private Retailer"/>
    <s v="9875664859"/>
    <n v="0.15"/>
    <n v="538"/>
    <x v="0"/>
    <m/>
    <s v="2024-10-29"/>
    <s v="328651"/>
    <s v="Duttapukur Krishi Bipani"/>
    <s v="7890631908"/>
  </r>
  <r>
    <s v="RCF Trombay"/>
    <s v="15-15-15"/>
    <s v="WB"/>
    <x v="0"/>
    <s v="Amdanga"/>
    <s v="User Not Mapped"/>
    <s v="User Not Mapped"/>
    <s v="User Not Mapped"/>
    <n v="1548377"/>
    <s v="GHOSH KRISHI BHANDAR"/>
    <s v="Private Retailer"/>
    <s v="8697657020"/>
    <n v="0.05"/>
    <n v="78"/>
    <x v="6"/>
    <m/>
    <s v="2026-02-01"/>
    <s v="1556413"/>
    <s v="GHOSH KRISHI BHANDAR"/>
    <s v="8697657020"/>
  </r>
  <r>
    <s v="RCF Trombay"/>
    <s v="15-15-15"/>
    <s v="WB"/>
    <x v="0"/>
    <s v="Amdanga"/>
    <s v="User Not Mapped"/>
    <s v="User Not Mapped"/>
    <s v="User Not Mapped"/>
    <n v="1274585"/>
    <s v="M/S JUMKA FERTILIZER"/>
    <s v="Private Retailer"/>
    <s v="7584822462"/>
    <n v="1.5"/>
    <n v="108"/>
    <x v="7"/>
    <m/>
    <s v="2026-01-02"/>
    <s v="1556413"/>
    <s v="GHOSH KRISHI BHANDAR"/>
    <s v="8697657020"/>
  </r>
  <r>
    <s v="RCF Import"/>
    <s v="MOP"/>
    <s v="WB"/>
    <x v="0"/>
    <s v="Swarupnagar"/>
    <s v="User Not Mapped"/>
    <s v="User Not Mapped"/>
    <s v="User Not Mapped"/>
    <n v="226566"/>
    <s v="Bikash Ch Sardar"/>
    <s v="Private Retailer"/>
    <s v="9734422996"/>
    <n v="0.05"/>
    <n v="206"/>
    <x v="1"/>
    <m/>
    <s v="2025-09-26"/>
    <s v="1102995"/>
    <s v="GRAMIN KRISHI BHANDER"/>
    <s v="9733535399"/>
  </r>
  <r>
    <s v="RCF Import"/>
    <s v="MOP"/>
    <s v="WB"/>
    <x v="0"/>
    <s v="Swarupnagar"/>
    <s v="User Not Mapped"/>
    <s v="User Not Mapped"/>
    <s v="User Not Mapped"/>
    <n v="407446"/>
    <s v="Salem Sardar"/>
    <s v="Private Retailer"/>
    <s v="9733535399"/>
    <n v="2.9"/>
    <n v="11"/>
    <x v="5"/>
    <m/>
    <s v="2026-04-09"/>
    <s v="1102995"/>
    <s v="GRAMIN KRISHI BHANDER"/>
    <s v="9733535399"/>
  </r>
  <r>
    <s v="RCF Thal"/>
    <s v="N.C.Urea(45kg)"/>
    <s v="WB"/>
    <x v="0"/>
    <s v="Bongaon"/>
    <s v="User Not Mapped"/>
    <s v="User Not Mapped"/>
    <s v="User Not Mapped"/>
    <n v="458444"/>
    <s v="Ajay Kumar Das"/>
    <s v="Private Retailer"/>
    <s v="9749802253"/>
    <n v="0.46"/>
    <n v="394"/>
    <x v="0"/>
    <m/>
    <s v="2025-03-22"/>
    <s v="1466654"/>
    <s v="HIRANMOY SARKAR"/>
    <s v="9733584729"/>
  </r>
  <r>
    <s v="RCF Thal"/>
    <s v="N.C.Urea(45kg)"/>
    <s v="WB"/>
    <x v="0"/>
    <s v="Bongaon"/>
    <s v="User Not Mapped"/>
    <s v="User Not Mapped"/>
    <s v="User Not Mapped"/>
    <n v="458444"/>
    <s v="Ajay Kumar Das"/>
    <s v="Private Retailer"/>
    <s v="9749802253"/>
    <n v="1"/>
    <n v="181"/>
    <x v="1"/>
    <m/>
    <s v="2025-10-21"/>
    <s v="1466654"/>
    <s v="HIRANMOY SARKAR"/>
    <s v="9733584729"/>
  </r>
  <r>
    <s v="RCF Thal"/>
    <s v="N.C.Urea(45kg)"/>
    <s v="WB"/>
    <x v="0"/>
    <s v="Bongaon"/>
    <s v="User Not Mapped"/>
    <s v="User Not Mapped"/>
    <s v="User Not Mapped"/>
    <n v="458444"/>
    <s v="Ajay Kumar Das"/>
    <s v="Private Retailer"/>
    <s v="9749802253"/>
    <n v="1.35"/>
    <n v="368"/>
    <x v="0"/>
    <m/>
    <s v="2025-04-17"/>
    <s v="1466654"/>
    <s v="HIRANMOY SARKAR"/>
    <s v="9733584729"/>
  </r>
  <r>
    <s v="RCF Thal"/>
    <s v="N.C.Urea(45kg)"/>
    <s v="WB"/>
    <x v="0"/>
    <s v="Bongaon"/>
    <s v="User Not Mapped"/>
    <s v="User Not Mapped"/>
    <s v="User Not Mapped"/>
    <n v="1331235"/>
    <s v="ARSED ALI MONDAL"/>
    <s v="Private Retailer"/>
    <s v="7076086118"/>
    <n v="0.09"/>
    <n v="202"/>
    <x v="1"/>
    <m/>
    <s v="2025-09-30"/>
    <s v="1466654"/>
    <s v="HIRANMOY SARKAR"/>
    <s v="9733584729"/>
  </r>
  <r>
    <s v="RCF Thal"/>
    <s v="N.C.Urea(45kg)"/>
    <s v="WB"/>
    <x v="0"/>
    <s v="Bongaon"/>
    <s v="User Not Mapped"/>
    <s v="User Not Mapped"/>
    <s v="User Not Mapped"/>
    <n v="555339"/>
    <s v="JILLUR RAHAMAN SARDAR"/>
    <s v="Private Retailer"/>
    <s v="9609279154"/>
    <n v="0.45"/>
    <n v="731"/>
    <x v="2"/>
    <m/>
    <s v="2024-04-19"/>
    <s v="1466654"/>
    <s v="HIRANMOY SARKAR"/>
    <s v="9733584729"/>
  </r>
  <r>
    <s v="RCF Import"/>
    <s v="Imp 10-26-26"/>
    <s v="WB"/>
    <x v="0"/>
    <s v="Bongaon"/>
    <s v="User Not Mapped"/>
    <s v="User Not Mapped"/>
    <s v="User Not Mapped"/>
    <n v="500871"/>
    <s v="Kutubuddin  Mondal"/>
    <s v="Private Retailer"/>
    <s v="9775267232"/>
    <n v="0.1"/>
    <n v="258"/>
    <x v="1"/>
    <m/>
    <s v="2025-08-05"/>
    <s v="1466654"/>
    <s v="HIRANMOY SARKAR"/>
    <s v="9733584729"/>
  </r>
  <r>
    <s v="RCF Import"/>
    <s v="Imp 10-26-26"/>
    <s v="WB"/>
    <x v="0"/>
    <s v="Bongaon"/>
    <s v="User Not Mapped"/>
    <s v="User Not Mapped"/>
    <s v="User Not Mapped"/>
    <n v="600955"/>
    <s v="Nirmal Ch. Paul"/>
    <s v="Private Retailer"/>
    <s v="8536801543"/>
    <n v="0.55000000000000004"/>
    <n v="227"/>
    <x v="1"/>
    <m/>
    <s v="2025-09-05"/>
    <s v="1466654"/>
    <s v="HIRANMOY SARKAR"/>
    <s v="9733584729"/>
  </r>
  <r>
    <s v="RCF Import"/>
    <s v="MOP"/>
    <s v="WB"/>
    <x v="0"/>
    <s v="Bongaon"/>
    <s v="User Not Mapped"/>
    <s v="User Not Mapped"/>
    <s v="User Not Mapped"/>
    <n v="227225"/>
    <s v="Sujauddin Mondal"/>
    <s v="Private Retailer"/>
    <s v="7319096635"/>
    <n v="0.25"/>
    <n v="364"/>
    <x v="1"/>
    <m/>
    <s v="2025-04-21"/>
    <s v="1466654"/>
    <s v="HIRANMOY SARKAR"/>
    <s v="9733584729"/>
  </r>
  <r>
    <s v="RCF Import"/>
    <s v="Imp 10-26-26"/>
    <s v="WB"/>
    <x v="0"/>
    <s v="Bongaon"/>
    <s v="User Not Mapped"/>
    <s v="User Not Mapped"/>
    <s v="User Not Mapped"/>
    <n v="504539"/>
    <s v="Suryakanta Roy"/>
    <s v="Private Retailer"/>
    <s v="9734893591"/>
    <n v="0.435"/>
    <n v="448"/>
    <x v="0"/>
    <m/>
    <s v="2025-01-27"/>
    <s v="1466654"/>
    <s v="HIRANMOY SARKAR"/>
    <s v="9733584729"/>
  </r>
  <r>
    <s v="RCF Trombay"/>
    <s v="15-15-15"/>
    <s v="WB"/>
    <x v="0"/>
    <s v="Barasat - I"/>
    <s v="User Not Mapped"/>
    <s v="User Not Mapped"/>
    <s v="User Not Mapped"/>
    <n v="281495"/>
    <s v="Saha Fertilizer Stores        "/>
    <s v="Private Wholsaler"/>
    <s v="8777624646"/>
    <n v="0.2"/>
    <n v="128"/>
    <x v="4"/>
    <s v="'PINTUDA1'"/>
    <s v="2025-12-13"/>
    <s v="1170733"/>
    <s v="IFFDC LTD"/>
    <s v="8597890515"/>
  </r>
  <r>
    <s v="RCF Trombay"/>
    <s v="15-15-15"/>
    <s v="WB"/>
    <x v="0"/>
    <s v="Bagda"/>
    <s v="User Not Mapped"/>
    <s v="User Not Mapped"/>
    <s v="User Not Mapped"/>
    <n v="545852"/>
    <s v="Haradhon Ghosh"/>
    <s v="Private Retailer"/>
    <s v="9734440678"/>
    <n v="2.5000000000000001E-2"/>
    <n v="562"/>
    <x v="2"/>
    <m/>
    <s v="2024-10-05"/>
    <s v="1081212"/>
    <s v="Jagannath Mukhopadhyay"/>
    <s v="9732764229"/>
  </r>
  <r>
    <s v="RCF Thal"/>
    <s v="N.C.Urea(45kg)"/>
    <s v="WB"/>
    <x v="0"/>
    <s v="Bagda"/>
    <s v="User Not Mapped"/>
    <s v="User Not Mapped"/>
    <s v="User Not Mapped"/>
    <n v="545852"/>
    <s v="Haradhon Ghosh"/>
    <s v="Private Retailer"/>
    <s v="9734440678"/>
    <n v="4.4999999999999998E-2"/>
    <n v="562"/>
    <x v="2"/>
    <m/>
    <s v="2024-10-05"/>
    <s v="1081212"/>
    <s v="Jagannath Mukhopadhyay"/>
    <s v="9732764229"/>
  </r>
  <r>
    <s v="RCF Trombay"/>
    <s v="N.C.Urea(45kg)"/>
    <s v="WB"/>
    <x v="0"/>
    <s v="Bongaon"/>
    <s v="User Not Mapped"/>
    <s v="User Not Mapped"/>
    <s v="User Not Mapped"/>
    <n v="323620"/>
    <s v="Jaganath Mukhopadyaha"/>
    <s v="Private Retailer"/>
    <s v="9732764229"/>
    <n v="0.04"/>
    <n v="506"/>
    <x v="0"/>
    <m/>
    <s v="2024-11-30"/>
    <s v="1081212"/>
    <s v="Jagannath Mukhopadhyay"/>
    <s v="9732764229"/>
  </r>
  <r>
    <s v="RCF Trombay"/>
    <s v="15-15-15"/>
    <s v="WB"/>
    <x v="0"/>
    <m/>
    <s v="User Not Mapped"/>
    <s v="User Not Mapped"/>
    <s v="User Not Mapped"/>
    <n v="355090"/>
    <s v="K Ali Das Das"/>
    <s v="Private Retailer"/>
    <s v="9733764141"/>
    <n v="0.41"/>
    <n v="1762"/>
    <x v="2"/>
    <m/>
    <s v="2021-06-23"/>
    <s v="1081212"/>
    <s v="Jagannath Mukhopadhyay"/>
    <s v="9732764229"/>
  </r>
  <r>
    <s v="RCF Thal"/>
    <s v="N.C.Urea(45kg)"/>
    <s v="WB"/>
    <x v="0"/>
    <m/>
    <s v="User Not Mapped"/>
    <s v="User Not Mapped"/>
    <s v="User Not Mapped"/>
    <n v="355090"/>
    <s v="K Ali Das Das"/>
    <s v="Private Retailer"/>
    <s v="9733764141"/>
    <n v="0.15"/>
    <n v="2124"/>
    <x v="2"/>
    <m/>
    <s v="2020-06-26"/>
    <s v="1081212"/>
    <s v="Jagannath Mukhopadhyay"/>
    <s v="9732764229"/>
  </r>
  <r>
    <s v="RCF Thal"/>
    <s v="N.C.Urea(45kg)"/>
    <s v="WB"/>
    <x v="0"/>
    <s v="Bagda"/>
    <s v="User Not Mapped"/>
    <s v="User Not Mapped"/>
    <s v="User Not Mapped"/>
    <n v="340697"/>
    <s v="Abubak Kar  Mondal"/>
    <s v="Private Retailer"/>
    <s v="9547499471"/>
    <n v="1.9350000000000001"/>
    <n v="206"/>
    <x v="1"/>
    <m/>
    <s v="2025-09-26"/>
    <s v="502354"/>
    <s v="Joy Shankar Dutta  Sons Ferti"/>
    <s v="9433002237"/>
  </r>
  <r>
    <s v="RCF Thal"/>
    <s v="N.C.Urea(45kg)"/>
    <s v="WB"/>
    <x v="0"/>
    <s v="Gaighata"/>
    <s v="User Not Mapped"/>
    <s v="User Not Mapped"/>
    <s v="User Not Mapped"/>
    <n v="223811"/>
    <s v="Chanchal Kumar Dey"/>
    <s v="Private Wholsaler"/>
    <s v="9434616928"/>
    <n v="4.4550000000000001"/>
    <n v="40"/>
    <x v="3"/>
    <s v="'508'"/>
    <s v="2026-03-11"/>
    <s v="502354"/>
    <s v="Joy Shankar Dutta  Sons Ferti"/>
    <s v="9433002237"/>
  </r>
  <r>
    <s v="RCF Trombay"/>
    <s v="N.C.Urea(45kg)"/>
    <s v="WB"/>
    <x v="0"/>
    <s v="Basirhat - II"/>
    <s v="User Not Mapped"/>
    <s v="User Not Mapped"/>
    <s v="User Not Mapped"/>
    <n v="1031580"/>
    <s v="ILA  DUTTA"/>
    <s v="Private Retailer"/>
    <s v="7797515881"/>
    <n v="1.08"/>
    <n v="88"/>
    <x v="6"/>
    <m/>
    <s v="2026-01-22"/>
    <s v="502354"/>
    <s v="Joy Shankar Dutta  Sons Ferti"/>
    <s v="9433002237"/>
  </r>
  <r>
    <s v="RCF Thal"/>
    <s v="N.C.Urea(45kg)"/>
    <s v="WB"/>
    <x v="0"/>
    <s v="Barasat - II"/>
    <s v="User Not Mapped"/>
    <s v="User Not Mapped"/>
    <s v="User Not Mapped"/>
    <n v="189422"/>
    <s v="M/S Malaxmi Krishi Bhandar"/>
    <s v="Private Retailer"/>
    <s v="6296541498"/>
    <n v="5.9219999999999997"/>
    <n v="34"/>
    <x v="3"/>
    <m/>
    <s v="2026-03-17"/>
    <s v="502354"/>
    <s v="Joy Shankar Dutta  Sons Ferti"/>
    <s v="9433002237"/>
  </r>
  <r>
    <s v="RCF Import"/>
    <s v="MOP"/>
    <s v="WB"/>
    <x v="0"/>
    <s v="Barasat - II"/>
    <s v="User Not Mapped"/>
    <s v="User Not Mapped"/>
    <s v="User Not Mapped"/>
    <n v="189422"/>
    <s v="M/S Malaxmi Krishi Bhandar"/>
    <s v="Private Retailer"/>
    <s v="6296541498"/>
    <n v="11"/>
    <n v="34"/>
    <x v="3"/>
    <m/>
    <s v="2026-03-17"/>
    <s v="502354"/>
    <s v="Joy Shankar Dutta  Sons Ferti"/>
    <s v="9433002237"/>
  </r>
  <r>
    <s v="RCF Trombay"/>
    <s v="15-15-15"/>
    <s v="WB"/>
    <x v="0"/>
    <s v="Barasat - I"/>
    <s v="User Not Mapped"/>
    <s v="User Not Mapped"/>
    <s v="User Not Mapped"/>
    <n v="281525"/>
    <s v="M/S Sariful Haque"/>
    <s v="Private Wholsaler"/>
    <s v="7890901060"/>
    <n v="0.5"/>
    <n v="91"/>
    <x v="7"/>
    <s v="'305'"/>
    <s v="2026-01-19"/>
    <s v="502354"/>
    <s v="Joy Shankar Dutta  Sons Ferti"/>
    <s v="9433002237"/>
  </r>
  <r>
    <s v="RCF Trombay"/>
    <s v="15-15-15"/>
    <s v="WB"/>
    <x v="0"/>
    <s v="Baduria"/>
    <s v="User Not Mapped"/>
    <s v="User Not Mapped"/>
    <s v="User Not Mapped"/>
    <n v="405249"/>
    <s v="Saha Krishi Bhandar"/>
    <s v="Private Wholsaler"/>
    <s v="9734801636"/>
    <n v="11"/>
    <n v="126"/>
    <x v="4"/>
    <s v="'225'"/>
    <s v="2025-12-15"/>
    <s v="502354"/>
    <s v="Joy Shankar Dutta  Sons Ferti"/>
    <s v="9433002237"/>
  </r>
  <r>
    <s v="RCF Thal"/>
    <s v="N.C.Urea(45kg)"/>
    <s v="WB"/>
    <x v="0"/>
    <s v="Baduria"/>
    <s v="User Not Mapped"/>
    <s v="User Not Mapped"/>
    <s v="User Not Mapped"/>
    <n v="405249"/>
    <s v="Saha Krishi Bhandar"/>
    <s v="Private Wholsaler"/>
    <s v="9734801636"/>
    <n v="3.645"/>
    <n v="142"/>
    <x v="4"/>
    <s v="'196'"/>
    <s v="2025-11-29"/>
    <s v="502354"/>
    <s v="Joy Shankar Dutta  Sons Ferti"/>
    <s v="9433002237"/>
  </r>
  <r>
    <s v="RCF Trombay"/>
    <s v="N.C.Urea(45kg)"/>
    <s v="WB"/>
    <x v="0"/>
    <s v="Baduria"/>
    <s v="User Not Mapped"/>
    <s v="User Not Mapped"/>
    <s v="User Not Mapped"/>
    <n v="405249"/>
    <s v="Saha Krishi Bhandar"/>
    <s v="Private Wholsaler"/>
    <s v="9734801636"/>
    <n v="0.23"/>
    <n v="214"/>
    <x v="1"/>
    <s v="'59A'"/>
    <s v="2025-09-18"/>
    <s v="502354"/>
    <s v="Joy Shankar Dutta  Sons Ferti"/>
    <s v="9433002237"/>
  </r>
  <r>
    <s v="RCF Trombay"/>
    <s v="15-15-15"/>
    <s v="WB"/>
    <x v="0"/>
    <s v="Baduria"/>
    <s v="User Not Mapped"/>
    <s v="User Not Mapped"/>
    <s v="User Not Mapped"/>
    <n v="405249"/>
    <s v="Saha Krishi Bhandar"/>
    <s v="Private Wholsaler"/>
    <s v="9734801636"/>
    <n v="11"/>
    <n v="142"/>
    <x v="4"/>
    <s v="'198'"/>
    <s v="2025-11-29"/>
    <s v="502354"/>
    <s v="Joy Shankar Dutta  Sons Ferti"/>
    <s v="9433002237"/>
  </r>
  <r>
    <s v="RCF Trombay"/>
    <s v="N.C.Urea(45kg)"/>
    <s v="WB"/>
    <x v="0"/>
    <s v="Baduria"/>
    <s v="User Not Mapped"/>
    <s v="User Not Mapped"/>
    <s v="User Not Mapped"/>
    <n v="227179"/>
    <s v="Sathi Nursery"/>
    <s v="Private Retailer"/>
    <s v="7364001598"/>
    <n v="3.51"/>
    <n v="88"/>
    <x v="6"/>
    <m/>
    <s v="2026-01-22"/>
    <s v="502354"/>
    <s v="Joy Shankar Dutta  Sons Ferti"/>
    <s v="9433002237"/>
  </r>
  <r>
    <s v="RCF Thal"/>
    <s v="N.C.Urea(45kg)"/>
    <s v="WB"/>
    <x v="0"/>
    <s v="Bongaon"/>
    <s v="User Not Mapped"/>
    <s v="User Not Mapped"/>
    <s v="User Not Mapped"/>
    <n v="517117"/>
    <s v="Shoag Mondal"/>
    <s v="Private Retailer"/>
    <s v="7908554269"/>
    <n v="10.845000000000001"/>
    <n v="174"/>
    <x v="4"/>
    <m/>
    <s v="2025-10-28"/>
    <s v="502354"/>
    <s v="Joy Shankar Dutta  Sons Ferti"/>
    <s v="9433002237"/>
  </r>
  <r>
    <s v="RCF Trombay"/>
    <s v="15-15-15"/>
    <s v="WB"/>
    <x v="0"/>
    <s v="Amdanga"/>
    <s v="User Not Mapped"/>
    <s v="User Not Mapped"/>
    <s v="User Not Mapped"/>
    <n v="837359"/>
    <s v="ALIBADDIN KRISHI BHANDAR"/>
    <s v="Private Retailer"/>
    <s v="9800461955"/>
    <n v="0.13"/>
    <n v="495"/>
    <x v="0"/>
    <m/>
    <s v="2024-12-11"/>
    <s v="797662"/>
    <s v="KADPUR SKUS LTD"/>
    <s v="9830346319"/>
  </r>
  <r>
    <s v="RCF Trombay"/>
    <s v="15-15-15"/>
    <s v="WB"/>
    <x v="0"/>
    <s v="Barrackpur - I"/>
    <s v="User Not Mapped"/>
    <s v="User Not Mapped"/>
    <s v="User Not Mapped"/>
    <n v="865241"/>
    <s v="CHANDINI FERTILIZER"/>
    <s v="Private Retailer"/>
    <s v="7890384104"/>
    <n v="0.56000000000000005"/>
    <n v="483"/>
    <x v="0"/>
    <m/>
    <s v="2024-12-23"/>
    <s v="797662"/>
    <s v="KADPUR SKUS LTD"/>
    <s v="9830346319"/>
  </r>
  <r>
    <s v="RCF Trombay"/>
    <s v="15-15-15"/>
    <s v="WB"/>
    <x v="0"/>
    <s v="Barasat - I"/>
    <s v="User Not Mapped"/>
    <s v="User Not Mapped"/>
    <s v="User Not Mapped"/>
    <n v="1319925"/>
    <s v="KOHINOOR BEEJ BHANDER"/>
    <s v="Private Retailer"/>
    <s v="9330895274"/>
    <n v="0.9"/>
    <n v="461"/>
    <x v="0"/>
    <m/>
    <s v="2025-01-14"/>
    <s v="797662"/>
    <s v="KADPUR SKUS LTD"/>
    <s v="9830346319"/>
  </r>
  <r>
    <s v="RCF Trombay"/>
    <s v="15-15-15"/>
    <s v="WB"/>
    <x v="0"/>
    <s v="Barasat - I"/>
    <s v="User Not Mapped"/>
    <s v="User Not Mapped"/>
    <s v="User Not Mapped"/>
    <n v="1319925"/>
    <s v="KOHINOOR BEEJ BHANDER"/>
    <s v="Private Retailer"/>
    <s v="9330895274"/>
    <n v="0.45"/>
    <n v="466"/>
    <x v="0"/>
    <m/>
    <s v="2025-01-09"/>
    <s v="797662"/>
    <s v="KADPUR SKUS LTD"/>
    <s v="9830346319"/>
  </r>
  <r>
    <s v="RCF Trombay"/>
    <s v="15-15-15"/>
    <s v="WB"/>
    <x v="0"/>
    <s v="Barasat - I"/>
    <s v="User Not Mapped"/>
    <s v="User Not Mapped"/>
    <s v="User Not Mapped"/>
    <n v="857623"/>
    <s v="Nasir uddin Fertilizer"/>
    <s v="Private Retailer"/>
    <s v="8777406965"/>
    <n v="0.5"/>
    <n v="527"/>
    <x v="0"/>
    <m/>
    <s v="2024-11-09"/>
    <s v="797662"/>
    <s v="KADPUR SKUS LTD"/>
    <s v="9830346319"/>
  </r>
  <r>
    <s v="RCF Trombay"/>
    <s v="15-15-15"/>
    <s v="WB"/>
    <x v="0"/>
    <s v="Barasat - I"/>
    <s v="User Not Mapped"/>
    <s v="User Not Mapped"/>
    <s v="User Not Mapped"/>
    <n v="857623"/>
    <s v="Nasir uddin Fertilizer"/>
    <s v="Private Retailer"/>
    <s v="8777406965"/>
    <n v="1"/>
    <n v="467"/>
    <x v="0"/>
    <m/>
    <s v="2025-01-08"/>
    <s v="797662"/>
    <s v="KADPUR SKUS LTD"/>
    <s v="9830346319"/>
  </r>
  <r>
    <s v="RCF Thal"/>
    <s v="N.C.Urea(45kg)"/>
    <s v="WB"/>
    <x v="0"/>
    <s v="Amdanga"/>
    <s v="User Not Mapped"/>
    <s v="User Not Mapped"/>
    <s v="User Not Mapped"/>
    <n v="876736"/>
    <s v="PADMALOVPUR KRISHI BHANDAR"/>
    <s v="Private Retailer"/>
    <s v="7586032597"/>
    <n v="0.22500000000000001"/>
    <n v="485"/>
    <x v="0"/>
    <m/>
    <s v="2024-12-21"/>
    <s v="797662"/>
    <s v="KADPUR SKUS LTD"/>
    <s v="9830346319"/>
  </r>
  <r>
    <s v="RCF Trombay"/>
    <s v="15-15-15"/>
    <s v="WB"/>
    <x v="0"/>
    <s v="Amdanga"/>
    <s v="User Not Mapped"/>
    <s v="User Not Mapped"/>
    <s v="User Not Mapped"/>
    <n v="876736"/>
    <s v="PADMALOVPUR KRISHI BHANDAR"/>
    <s v="Private Retailer"/>
    <s v="7586032597"/>
    <n v="0.1"/>
    <n v="466"/>
    <x v="0"/>
    <m/>
    <s v="2025-01-09"/>
    <s v="797662"/>
    <s v="KADPUR SKUS LTD"/>
    <s v="9830346319"/>
  </r>
  <r>
    <s v="RCF Thal"/>
    <s v="N.C.Urea(45kg)"/>
    <s v="WB"/>
    <x v="0"/>
    <s v="Bongaon"/>
    <s v="User Not Mapped"/>
    <s v="User Not Mapped"/>
    <s v="User Not Mapped"/>
    <n v="354853"/>
    <s v="Biswajitsharma"/>
    <s v="Private Retailer"/>
    <s v="9733867827"/>
    <n v="5.0000000000000001E-3"/>
    <n v="2014"/>
    <x v="2"/>
    <m/>
    <s v="2020-10-14"/>
    <s v="355543"/>
    <s v="Kaushik Mondal"/>
    <s v="9434102139"/>
  </r>
  <r>
    <s v="RCF Import"/>
    <s v="MOP"/>
    <s v="WB"/>
    <x v="0"/>
    <s v="Habra - II"/>
    <s v="User Not Mapped"/>
    <s v="User Not Mapped"/>
    <s v="User Not Mapped"/>
    <n v="355183"/>
    <s v="Krishak  Krishi  Bhander"/>
    <s v="Private Retailer"/>
    <s v="9734636496"/>
    <n v="2.2999999999999998"/>
    <n v="32"/>
    <x v="3"/>
    <m/>
    <s v="2026-03-19"/>
    <s v="1096194"/>
    <s v="Krishak Krishi Bhander"/>
    <s v="9734636496"/>
  </r>
  <r>
    <s v="RCF Trombay"/>
    <s v="15-15-15"/>
    <s v="WB"/>
    <x v="0"/>
    <s v="Habra - II"/>
    <s v="User Not Mapped"/>
    <s v="User Not Mapped"/>
    <s v="User Not Mapped"/>
    <n v="355183"/>
    <s v="Krishak  Krishi  Bhander"/>
    <s v="Private Retailer"/>
    <s v="9734636496"/>
    <n v="1.4"/>
    <n v="8"/>
    <x v="5"/>
    <m/>
    <s v="2026-04-12"/>
    <s v="1096194"/>
    <s v="Krishak Krishi Bhander"/>
    <s v="9734636496"/>
  </r>
  <r>
    <s v="RCF Trombay"/>
    <s v="N.C.Urea(45kg)"/>
    <s v="WB"/>
    <x v="0"/>
    <s v="Habra - II"/>
    <s v="User Not Mapped"/>
    <s v="User Not Mapped"/>
    <s v="User Not Mapped"/>
    <n v="1605258"/>
    <s v="S.S. KRISHI BHANDER"/>
    <s v="Private Retailer"/>
    <s v="9732789828"/>
    <n v="4.4999999999999998E-2"/>
    <n v="83"/>
    <x v="6"/>
    <m/>
    <s v="2026-01-27"/>
    <s v="1096194"/>
    <s v="Krishak Krishi Bhander"/>
    <s v="9734636496"/>
  </r>
  <r>
    <s v="RCF Trombay"/>
    <s v="15-15-15"/>
    <s v="WB"/>
    <x v="0"/>
    <s v="Habra - II"/>
    <s v="User Not Mapped"/>
    <s v="User Not Mapped"/>
    <s v="User Not Mapped"/>
    <n v="1605258"/>
    <s v="S.S. KRISHI BHANDER"/>
    <s v="Private Retailer"/>
    <s v="9732789828"/>
    <n v="0.35"/>
    <n v="49"/>
    <x v="3"/>
    <m/>
    <s v="2026-03-02"/>
    <s v="1096194"/>
    <s v="Krishak Krishi Bhander"/>
    <s v="9734636496"/>
  </r>
  <r>
    <s v="RCF Import"/>
    <s v="MOP"/>
    <s v="WB"/>
    <x v="0"/>
    <s v="Habra - II"/>
    <s v="User Not Mapped"/>
    <s v="User Not Mapped"/>
    <s v="User Not Mapped"/>
    <n v="1605258"/>
    <s v="S.S. KRISHI BHANDER"/>
    <s v="Private Retailer"/>
    <s v="9732789828"/>
    <n v="0.55000000000000004"/>
    <n v="49"/>
    <x v="3"/>
    <m/>
    <s v="2026-03-02"/>
    <s v="1096194"/>
    <s v="Krishak Krishi Bhander"/>
    <s v="9734636496"/>
  </r>
  <r>
    <s v="RCF Trombay"/>
    <s v="N.C.Urea(45kg)"/>
    <s v="WB"/>
    <x v="0"/>
    <s v="Habra - II"/>
    <s v="User Not Mapped"/>
    <s v="User Not Mapped"/>
    <s v="User Not Mapped"/>
    <n v="356089"/>
    <s v="Sabujayan  Krishibhander"/>
    <s v="Private Retailer"/>
    <s v="9734894019"/>
    <n v="1.7"/>
    <n v="933"/>
    <x v="2"/>
    <m/>
    <s v="2023-09-30"/>
    <s v="1096194"/>
    <s v="Krishak Krishi Bhander"/>
    <s v="9734636496"/>
  </r>
  <r>
    <s v="RCF Import"/>
    <s v="Imp 10-26-26"/>
    <s v="WB"/>
    <x v="0"/>
    <s v="Amdanga"/>
    <s v="User Not Mapped"/>
    <s v="User Not Mapped"/>
    <s v="User Not Mapped"/>
    <n v="917469"/>
    <s v="MONDAL KRISHI BHANDER"/>
    <s v="Private Wholsaler"/>
    <s v="9681347066"/>
    <n v="22"/>
    <n v="44"/>
    <x v="3"/>
    <s v="'41'"/>
    <s v="2026-03-07"/>
    <s v="290832"/>
    <s v="Kshitish Bardhan Chunilal Nath"/>
    <s v="9230615179"/>
  </r>
  <r>
    <s v="RCF Import"/>
    <s v="MOP"/>
    <s v="WB"/>
    <x v="0"/>
    <s v="Amdanga"/>
    <s v="User Not Mapped"/>
    <s v="User Not Mapped"/>
    <s v="User Not Mapped"/>
    <n v="917469"/>
    <s v="MONDAL KRISHI BHANDER"/>
    <s v="Private Wholsaler"/>
    <s v="9681347066"/>
    <n v="3"/>
    <n v="51"/>
    <x v="3"/>
    <s v="'39'"/>
    <s v="2026-02-28"/>
    <s v="290832"/>
    <s v="Kshitish Bardhan Chunilal Nath"/>
    <s v="9230615179"/>
  </r>
  <r>
    <s v="RCF Trombay"/>
    <s v="15-15-15"/>
    <s v="WB"/>
    <x v="0"/>
    <s v="Amdanga"/>
    <s v="User Not Mapped"/>
    <s v="User Not Mapped"/>
    <s v="User Not Mapped"/>
    <n v="917469"/>
    <s v="MONDAL KRISHI BHANDER"/>
    <s v="Private Wholsaler"/>
    <s v="9681347066"/>
    <n v="0.5"/>
    <n v="65"/>
    <x v="6"/>
    <s v="'37'"/>
    <s v="2026-02-14"/>
    <s v="290832"/>
    <s v="Kshitish Bardhan Chunilal Nath"/>
    <s v="9230615179"/>
  </r>
  <r>
    <s v="RCF Trombay"/>
    <s v="15-15-15"/>
    <s v="WB"/>
    <x v="0"/>
    <s v="Bagda"/>
    <s v="User Not Mapped"/>
    <s v="User Not Mapped"/>
    <s v="User Not Mapped"/>
    <n v="457819"/>
    <s v="Bidyut Biswas"/>
    <s v="Private Retailer"/>
    <s v="9732823240"/>
    <n v="0.2"/>
    <n v="166"/>
    <x v="4"/>
    <m/>
    <s v="2025-11-05"/>
    <s v="280852"/>
    <s v="Kundu Trading Co"/>
    <s v="9434119572"/>
  </r>
  <r>
    <s v="RCF Trombay"/>
    <s v="15-15-15"/>
    <s v="WB"/>
    <x v="0"/>
    <m/>
    <s v="User Not Mapped"/>
    <s v="User Not Mapped"/>
    <s v="User Not Mapped"/>
    <n v="500645"/>
    <s v="Dibyendu Biswas"/>
    <s v="Private Retailer"/>
    <s v="9593603555"/>
    <n v="1.9"/>
    <n v="166"/>
    <x v="4"/>
    <m/>
    <s v="2025-11-05"/>
    <s v="280852"/>
    <s v="Kundu Trading Co"/>
    <s v="9434119572"/>
  </r>
  <r>
    <s v="RCF Trombay"/>
    <s v="15-15-15"/>
    <s v="WB"/>
    <x v="0"/>
    <s v="Bongaon"/>
    <s v="User Not Mapped"/>
    <s v="User Not Mapped"/>
    <s v="User Not Mapped"/>
    <n v="391971"/>
    <s v="Krishna Biswas"/>
    <s v="Private Retailer"/>
    <s v="9733523622"/>
    <n v="3"/>
    <n v="166"/>
    <x v="4"/>
    <m/>
    <s v="2025-11-05"/>
    <s v="280852"/>
    <s v="Kundu Trading Co"/>
    <s v="9434119572"/>
  </r>
  <r>
    <s v="RCF Trombay"/>
    <s v="15-15-15"/>
    <s v="WB"/>
    <x v="0"/>
    <s v="Bagda"/>
    <s v="User Not Mapped"/>
    <s v="User Not Mapped"/>
    <s v="User Not Mapped"/>
    <n v="393641"/>
    <s v="Susanta Bachar "/>
    <s v="Private Retailer"/>
    <s v="9734649054"/>
    <n v="0.75"/>
    <n v="166"/>
    <x v="4"/>
    <m/>
    <s v="2025-11-05"/>
    <s v="280852"/>
    <s v="Kundu Trading Co"/>
    <s v="9434119572"/>
  </r>
  <r>
    <s v="RCF Trombay"/>
    <s v="15-15-15"/>
    <s v="WB"/>
    <x v="0"/>
    <s v="Bongaon"/>
    <s v="User Not Mapped"/>
    <s v="User Not Mapped"/>
    <s v="User Not Mapped"/>
    <n v="323620"/>
    <s v="Jaganath Mukhopadyaha"/>
    <s v="Private Retailer"/>
    <s v="9732764229"/>
    <n v="0.25"/>
    <n v="649"/>
    <x v="2"/>
    <m/>
    <s v="2024-07-10"/>
    <s v="223814"/>
    <s v="Loke Nath  Enterprise        "/>
    <s v="9732614270"/>
  </r>
  <r>
    <s v="RCF Thal"/>
    <s v="N.C.Urea(45kg)"/>
    <s v="WB"/>
    <x v="0"/>
    <s v="Gaighata"/>
    <s v="User Not Mapped"/>
    <s v="User Not Mapped"/>
    <s v="User Not Mapped"/>
    <n v="798549"/>
    <s v="ABHIJIT MONDAL"/>
    <s v="Private Retailer"/>
    <s v="9679312740"/>
    <n v="9"/>
    <n v="18"/>
    <x v="5"/>
    <m/>
    <s v="2026-04-02"/>
    <s v="223807"/>
    <s v="M.K. Chemical and Fertilizers"/>
    <s v="9051316329"/>
  </r>
  <r>
    <s v="RCF Thal"/>
    <s v="N.C.Urea(45kg)"/>
    <s v="WB"/>
    <x v="0"/>
    <s v="Bagda"/>
    <s v="User Not Mapped"/>
    <s v="User Not Mapped"/>
    <s v="User Not Mapped"/>
    <n v="497749"/>
    <s v="ADHIKARY FERTILIZER"/>
    <s v="Private Retailer"/>
    <s v="9735993375"/>
    <n v="5.2649999999999997"/>
    <n v="40"/>
    <x v="3"/>
    <m/>
    <s v="2026-03-11"/>
    <s v="223807"/>
    <s v="M.K. Chemical and Fertilizers"/>
    <s v="9051316329"/>
  </r>
  <r>
    <s v="RCF Thal"/>
    <s v="N.C.Urea(45kg)"/>
    <s v="WB"/>
    <x v="0"/>
    <s v="Haroa"/>
    <s v="User Not Mapped"/>
    <s v="User Not Mapped"/>
    <s v="User Not Mapped"/>
    <n v="189320"/>
    <s v="Alauddin Molla"/>
    <s v="Private Retailer"/>
    <s v="9093810438"/>
    <n v="0.35299999999999998"/>
    <n v="248"/>
    <x v="1"/>
    <m/>
    <s v="2025-08-15"/>
    <s v="223807"/>
    <s v="M.K. Chemical and Fertilizers"/>
    <s v="9051316329"/>
  </r>
  <r>
    <s v="RCF Trombay SCU"/>
    <s v="Sulphur Coated Urea(40Kg)"/>
    <s v="WB"/>
    <x v="0"/>
    <s v="Barrackpur - I"/>
    <s v="User Not Mapped"/>
    <s v="User Not Mapped"/>
    <s v="User Not Mapped"/>
    <n v="777445"/>
    <s v="AMIN FERTILIZER"/>
    <s v="Private Retailer"/>
    <s v="7003642822"/>
    <n v="1.28"/>
    <n v="93"/>
    <x v="7"/>
    <m/>
    <s v="2026-01-17"/>
    <s v="223807"/>
    <s v="M.K. Chemical and Fertilizers"/>
    <s v="9051316329"/>
  </r>
  <r>
    <s v="RCF Trombay"/>
    <s v="15-15-15"/>
    <s v="WB"/>
    <x v="0"/>
    <s v="Habra - I"/>
    <s v="User Not Mapped"/>
    <s v="User Not Mapped"/>
    <s v="User Not Mapped"/>
    <n v="870252"/>
    <s v="ANISUR ALAM"/>
    <s v="Private Retailer"/>
    <s v="8001942121"/>
    <n v="2.4500000000000002"/>
    <n v="68"/>
    <x v="6"/>
    <m/>
    <s v="2026-02-11"/>
    <s v="223807"/>
    <s v="M.K. Chemical and Fertilizers"/>
    <s v="9051316329"/>
  </r>
  <r>
    <s v="RCF Thal"/>
    <s v="N.C.Urea(45kg)"/>
    <s v="WB"/>
    <x v="0"/>
    <s v="Gaighata"/>
    <s v="User Not Mapped"/>
    <s v="User Not Mapped"/>
    <s v="User Not Mapped"/>
    <n v="354715"/>
    <s v="Anukul Kumar Khan"/>
    <s v="Private Retailer"/>
    <s v="9932375120"/>
    <n v="8.3699999999999992"/>
    <n v="18"/>
    <x v="5"/>
    <m/>
    <s v="2026-04-02"/>
    <s v="223807"/>
    <s v="M.K. Chemical and Fertilizers"/>
    <s v="9051316329"/>
  </r>
  <r>
    <s v="RCF Trombay"/>
    <s v="15-15-15"/>
    <s v="WB"/>
    <x v="0"/>
    <s v="Habra - II"/>
    <s v="User Not Mapped"/>
    <s v="User Not Mapped"/>
    <s v="User Not Mapped"/>
    <n v="354746"/>
    <s v="Ashudi Krishi Bhan Der"/>
    <s v="Private Retailer"/>
    <s v="9732235955"/>
    <n v="7.8"/>
    <n v="68"/>
    <x v="6"/>
    <m/>
    <s v="2026-02-11"/>
    <s v="223807"/>
    <s v="M.K. Chemical and Fertilizers"/>
    <s v="9051316329"/>
  </r>
  <r>
    <s v="RCF Thal"/>
    <s v="N.C.Urea(45kg)"/>
    <s v="WB"/>
    <x v="0"/>
    <s v="Habra - II"/>
    <s v="User Not Mapped"/>
    <s v="User Not Mapped"/>
    <s v="User Not Mapped"/>
    <n v="354746"/>
    <s v="Ashudi Krishi Bhan Der"/>
    <s v="Private Retailer"/>
    <s v="9732235955"/>
    <n v="2.0550000000000002"/>
    <n v="68"/>
    <x v="6"/>
    <m/>
    <s v="2026-02-11"/>
    <s v="223807"/>
    <s v="M.K. Chemical and Fertilizers"/>
    <s v="9051316329"/>
  </r>
  <r>
    <s v="RCF Trombay"/>
    <s v="15-15-15"/>
    <s v="WB"/>
    <x v="0"/>
    <s v="Bongaon"/>
    <s v="User Not Mapped"/>
    <s v="User Not Mapped"/>
    <s v="User Not Mapped"/>
    <n v="456860"/>
    <s v="Balianpur Skus Ltd"/>
    <s v="District Cooperative Marketing Society"/>
    <s v="6294477269"/>
    <n v="11"/>
    <n v="68"/>
    <x v="6"/>
    <m/>
    <s v="2026-02-11"/>
    <s v="223807"/>
    <s v="M.K. Chemical and Fertilizers"/>
    <s v="9051316329"/>
  </r>
  <r>
    <s v="RCF Trombay"/>
    <s v="N.C.Urea(45kg)"/>
    <s v="WB"/>
    <x v="0"/>
    <s v="Bongaon"/>
    <s v="User Not Mapped"/>
    <s v="User Not Mapped"/>
    <s v="User Not Mapped"/>
    <n v="456860"/>
    <s v="Balianpur Skus Ltd"/>
    <s v="District Cooperative Marketing Society"/>
    <s v="6294477269"/>
    <n v="3.42"/>
    <n v="93"/>
    <x v="7"/>
    <m/>
    <s v="2026-01-17"/>
    <s v="223807"/>
    <s v="M.K. Chemical and Fertilizers"/>
    <s v="9051316329"/>
  </r>
  <r>
    <s v="RCF Trombay"/>
    <s v="15-15-15"/>
    <s v="WB"/>
    <x v="0"/>
    <s v="Bongaon"/>
    <s v="User Not Mapped"/>
    <s v="User Not Mapped"/>
    <s v="User Not Mapped"/>
    <n v="456860"/>
    <s v="Balianpur Skus Ltd"/>
    <s v="District Cooperative Marketing Society"/>
    <s v="6294477269"/>
    <n v="4.3"/>
    <n v="93"/>
    <x v="7"/>
    <m/>
    <s v="2026-01-17"/>
    <s v="223807"/>
    <s v="M.K. Chemical and Fertilizers"/>
    <s v="9051316329"/>
  </r>
  <r>
    <s v="RCF Trombay"/>
    <s v="N.C.Urea(45kg)"/>
    <s v="WB"/>
    <x v="0"/>
    <s v="Gaighata"/>
    <s v="User Not Mapped"/>
    <s v="User Not Mapped"/>
    <s v="User Not Mapped"/>
    <n v="289594"/>
    <s v="Baloram Ghosh"/>
    <s v="Private Retailer"/>
    <s v="9733864975"/>
    <n v="0.09"/>
    <n v="68"/>
    <x v="6"/>
    <m/>
    <s v="2026-02-11"/>
    <s v="223807"/>
    <s v="M.K. Chemical and Fertilizers"/>
    <s v="9051316329"/>
  </r>
  <r>
    <s v="RCF Trombay"/>
    <s v="15-15-15"/>
    <s v="WB"/>
    <x v="0"/>
    <s v="Bongaon"/>
    <s v="User Not Mapped"/>
    <s v="User Not Mapped"/>
    <s v="User Not Mapped"/>
    <n v="538116"/>
    <s v="BHAJAHARI MONDAL"/>
    <s v="Private Retailer"/>
    <s v="9933842208"/>
    <n v="1.8"/>
    <n v="67"/>
    <x v="6"/>
    <m/>
    <s v="2026-02-12"/>
    <s v="223807"/>
    <s v="M.K. Chemical and Fertilizers"/>
    <s v="9051316329"/>
  </r>
  <r>
    <s v="RCF Trombay"/>
    <s v="15-15-15"/>
    <s v="WB"/>
    <x v="0"/>
    <s v="Barasat - I"/>
    <s v="User Not Mapped"/>
    <s v="User Not Mapped"/>
    <s v="User Not Mapped"/>
    <n v="226894"/>
    <s v="Binoy krishna mondal"/>
    <s v="Private Retailer"/>
    <s v="9609534280"/>
    <n v="0.25"/>
    <n v="93"/>
    <x v="7"/>
    <m/>
    <s v="2026-01-17"/>
    <s v="223807"/>
    <s v="M.K. Chemical and Fertilizers"/>
    <s v="9051316329"/>
  </r>
  <r>
    <s v="RCF Trombay"/>
    <s v="15-15-15"/>
    <s v="WB"/>
    <x v="0"/>
    <s v="Bagda"/>
    <s v="User Not Mapped"/>
    <s v="User Not Mapped"/>
    <s v="User Not Mapped"/>
    <n v="354845"/>
    <s v="Birendra Kumar Moulick"/>
    <s v="Private Retailer"/>
    <s v="9733753295"/>
    <n v="2.2999999999999998"/>
    <n v="58"/>
    <x v="3"/>
    <m/>
    <s v="2026-02-21"/>
    <s v="223807"/>
    <s v="M.K. Chemical and Fertilizers"/>
    <s v="9051316329"/>
  </r>
  <r>
    <s v="RCF Thal"/>
    <s v="N.C.Urea(45kg)"/>
    <s v="WB"/>
    <x v="0"/>
    <s v="Bagda"/>
    <s v="User Not Mapped"/>
    <s v="User Not Mapped"/>
    <s v="User Not Mapped"/>
    <n v="354854"/>
    <s v="Biswanath Ghosh"/>
    <s v="Private Retailer"/>
    <s v="9732645071"/>
    <n v="3.96"/>
    <n v="39"/>
    <x v="3"/>
    <m/>
    <s v="2026-03-12"/>
    <s v="223807"/>
    <s v="M.K. Chemical and Fertilizers"/>
    <s v="9051316329"/>
  </r>
  <r>
    <s v="RCF Thal"/>
    <s v="N.C.Urea(45kg)"/>
    <s v="WB"/>
    <x v="0"/>
    <s v="Habra - II"/>
    <s v="User Not Mapped"/>
    <s v="User Not Mapped"/>
    <s v="User Not Mapped"/>
    <n v="958218"/>
    <s v="DAS KRISHI BHANDER"/>
    <s v="Private Retailer"/>
    <s v="9775265631"/>
    <n v="8.82"/>
    <n v="18"/>
    <x v="5"/>
    <m/>
    <s v="2026-04-02"/>
    <s v="223807"/>
    <s v="M.K. Chemical and Fertilizers"/>
    <s v="9051316329"/>
  </r>
  <r>
    <s v="RCF Thal"/>
    <s v="N.C.Urea(45kg)"/>
    <s v="WB"/>
    <x v="0"/>
    <s v="Bongaon"/>
    <s v="User Not Mapped"/>
    <s v="User Not Mapped"/>
    <s v="User Not Mapped"/>
    <n v="411439"/>
    <s v="Debnath Fertilizer"/>
    <s v="Private Retailer"/>
    <s v="9333820071"/>
    <n v="32.94"/>
    <n v="40"/>
    <x v="3"/>
    <m/>
    <s v="2026-03-11"/>
    <s v="223807"/>
    <s v="M.K. Chemical and Fertilizers"/>
    <s v="9051316329"/>
  </r>
  <r>
    <s v="RCF Import"/>
    <s v="MOP"/>
    <s v="WB"/>
    <x v="0"/>
    <s v="Bongaon"/>
    <s v="User Not Mapped"/>
    <s v="User Not Mapped"/>
    <s v="User Not Mapped"/>
    <n v="411439"/>
    <s v="Debnath Fertilizer"/>
    <s v="Private Retailer"/>
    <s v="9333820071"/>
    <n v="4.2"/>
    <n v="61"/>
    <x v="6"/>
    <m/>
    <s v="2026-02-18"/>
    <s v="223807"/>
    <s v="M.K. Chemical and Fertilizers"/>
    <s v="9051316329"/>
  </r>
  <r>
    <s v="RCF Trombay"/>
    <s v="15-15-15"/>
    <s v="WB"/>
    <x v="0"/>
    <s v="Bongaon"/>
    <s v="User Not Mapped"/>
    <s v="User Not Mapped"/>
    <s v="User Not Mapped"/>
    <n v="411439"/>
    <s v="Debnath Fertilizer"/>
    <s v="Private Retailer"/>
    <s v="9333820071"/>
    <n v="38.5"/>
    <n v="66"/>
    <x v="6"/>
    <m/>
    <s v="2026-02-13"/>
    <s v="223807"/>
    <s v="M.K. Chemical and Fertilizers"/>
    <s v="9051316329"/>
  </r>
  <r>
    <s v="RCF Trombay"/>
    <s v="15-15-15"/>
    <s v="WB"/>
    <x v="0"/>
    <s v="Bongaon"/>
    <s v="User Not Mapped"/>
    <s v="User Not Mapped"/>
    <s v="User Not Mapped"/>
    <n v="1478563"/>
    <s v="DEBNATH FERTILIZER"/>
    <s v="Private Retailer"/>
    <s v="9800839346"/>
    <n v="0.5"/>
    <n v="67"/>
    <x v="6"/>
    <m/>
    <s v="2026-02-12"/>
    <s v="223807"/>
    <s v="M.K. Chemical and Fertilizers"/>
    <s v="9051316329"/>
  </r>
  <r>
    <s v="RCF Import"/>
    <s v="MOP"/>
    <s v="WB"/>
    <x v="0"/>
    <s v="Gaighata"/>
    <s v="User Not Mapped"/>
    <s v="User Not Mapped"/>
    <s v="User Not Mapped"/>
    <n v="377024"/>
    <s v="Dooma Union.L/S Pcacs.Ltd"/>
    <s v="PACS"/>
    <s v="9332558525"/>
    <n v="5.5"/>
    <n v="61"/>
    <x v="6"/>
    <m/>
    <s v="2026-02-18"/>
    <s v="223807"/>
    <s v="M.K. Chemical and Fertilizers"/>
    <s v="9051316329"/>
  </r>
  <r>
    <s v="RCF Thal"/>
    <s v="N.C.Urea(45kg)"/>
    <s v="WB"/>
    <x v="0"/>
    <s v="Haroa"/>
    <s v="User Not Mapped"/>
    <s v="User Not Mapped"/>
    <s v="User Not Mapped"/>
    <n v="1062352"/>
    <s v="Fajlul Islam"/>
    <s v="Private Retailer"/>
    <s v="8017892312"/>
    <n v="10.98"/>
    <n v="40"/>
    <x v="3"/>
    <m/>
    <s v="2026-03-11"/>
    <s v="223807"/>
    <s v="M.K. Chemical and Fertilizers"/>
    <s v="9051316329"/>
  </r>
  <r>
    <s v="RCF Trombay"/>
    <s v="N.C.Urea(45kg)"/>
    <s v="WB"/>
    <x v="0"/>
    <m/>
    <s v="User Not Mapped"/>
    <s v="User Not Mapped"/>
    <s v="User Not Mapped"/>
    <n v="226645"/>
    <s v="Gaighata Cadp Fscs Ltd"/>
    <s v="State Marketing Federation"/>
    <s v="9647242651"/>
    <n v="9.09"/>
    <n v="93"/>
    <x v="7"/>
    <m/>
    <s v="2026-01-17"/>
    <s v="223807"/>
    <s v="M.K. Chemical and Fertilizers"/>
    <s v="9051316329"/>
  </r>
  <r>
    <s v="RCF Trombay"/>
    <s v="15-15-15"/>
    <s v="WB"/>
    <x v="0"/>
    <m/>
    <s v="User Not Mapped"/>
    <s v="User Not Mapped"/>
    <s v="User Not Mapped"/>
    <n v="226645"/>
    <s v="Gaighata Cadp Fscs Ltd"/>
    <s v="State Marketing Federation"/>
    <s v="9647242651"/>
    <n v="21.15"/>
    <n v="93"/>
    <x v="7"/>
    <m/>
    <s v="2026-01-17"/>
    <s v="223807"/>
    <s v="M.K. Chemical and Fertilizers"/>
    <s v="9051316329"/>
  </r>
  <r>
    <s v="RCF Trombay"/>
    <s v="N.C.Urea(45kg)"/>
    <s v="WB"/>
    <x v="0"/>
    <s v="Barasat - I"/>
    <s v="User Not Mapped"/>
    <s v="User Not Mapped"/>
    <s v="User Not Mapped"/>
    <n v="616435"/>
    <s v="GHOSH FERTILIZER"/>
    <s v="Private Retailer"/>
    <s v="9875664859"/>
    <n v="5.2649999999999997"/>
    <n v="87"/>
    <x v="6"/>
    <m/>
    <s v="2026-01-23"/>
    <s v="223807"/>
    <s v="M.K. Chemical and Fertilizers"/>
    <s v="9051316329"/>
  </r>
  <r>
    <s v="RCF Import"/>
    <s v="MOP"/>
    <s v="WB"/>
    <x v="0"/>
    <s v="Barasat - I"/>
    <s v="User Not Mapped"/>
    <s v="User Not Mapped"/>
    <s v="User Not Mapped"/>
    <n v="226657"/>
    <s v="Ghosh Fertilizers"/>
    <s v="Private Retailer"/>
    <s v="9804366980"/>
    <n v="5.5"/>
    <n v="61"/>
    <x v="6"/>
    <m/>
    <s v="2026-02-18"/>
    <s v="223807"/>
    <s v="M.K. Chemical and Fertilizers"/>
    <s v="9051316329"/>
  </r>
  <r>
    <s v="RCF Trombay"/>
    <s v="15-15-15"/>
    <s v="WB"/>
    <x v="0"/>
    <s v="Barasat - I"/>
    <s v="User Not Mapped"/>
    <s v="User Not Mapped"/>
    <s v="User Not Mapped"/>
    <n v="226657"/>
    <s v="Ghosh Fertilizers"/>
    <s v="Private Retailer"/>
    <s v="9804366980"/>
    <n v="6.7489999999999997"/>
    <n v="93"/>
    <x v="7"/>
    <m/>
    <s v="2026-01-17"/>
    <s v="223807"/>
    <s v="M.K. Chemical and Fertilizers"/>
    <s v="9051316329"/>
  </r>
  <r>
    <s v="RCF Import"/>
    <s v="Imp 10-26-26"/>
    <s v="WB"/>
    <x v="0"/>
    <s v="Barasat - I"/>
    <s v="User Not Mapped"/>
    <s v="User Not Mapped"/>
    <s v="User Not Mapped"/>
    <n v="226657"/>
    <s v="Ghosh Fertilizers"/>
    <s v="Private Retailer"/>
    <s v="9804366980"/>
    <n v="4.4000000000000004"/>
    <n v="55"/>
    <x v="3"/>
    <m/>
    <s v="2026-02-24"/>
    <s v="223807"/>
    <s v="M.K. Chemical and Fertilizers"/>
    <s v="9051316329"/>
  </r>
  <r>
    <s v="RCF Thal"/>
    <s v="N.C.Urea(45kg)"/>
    <s v="WB"/>
    <x v="0"/>
    <s v="Barasat - I"/>
    <s v="User Not Mapped"/>
    <s v="User Not Mapped"/>
    <s v="User Not Mapped"/>
    <n v="226657"/>
    <s v="Ghosh Fertilizers"/>
    <s v="Private Retailer"/>
    <s v="9804366980"/>
    <n v="10.305"/>
    <n v="40"/>
    <x v="3"/>
    <m/>
    <s v="2026-03-11"/>
    <s v="223807"/>
    <s v="M.K. Chemical and Fertilizers"/>
    <s v="9051316329"/>
  </r>
  <r>
    <s v="RCF Trombay"/>
    <s v="N.C.Urea(45kg)"/>
    <s v="WB"/>
    <x v="0"/>
    <s v="Barasat - I"/>
    <s v="User Not Mapped"/>
    <s v="User Not Mapped"/>
    <s v="User Not Mapped"/>
    <n v="226657"/>
    <s v="Ghosh Fertilizers"/>
    <s v="Private Retailer"/>
    <s v="9804366980"/>
    <n v="5.49"/>
    <n v="68"/>
    <x v="6"/>
    <m/>
    <s v="2026-02-11"/>
    <s v="223807"/>
    <s v="M.K. Chemical and Fertilizers"/>
    <s v="9051316329"/>
  </r>
  <r>
    <s v="RCF Trombay"/>
    <s v="15-15-15"/>
    <s v="WB"/>
    <x v="0"/>
    <s v="Barasat - I"/>
    <s v="User Not Mapped"/>
    <s v="User Not Mapped"/>
    <s v="User Not Mapped"/>
    <n v="226657"/>
    <s v="Ghosh Fertilizers"/>
    <s v="Private Retailer"/>
    <s v="9804366980"/>
    <n v="11"/>
    <n v="68"/>
    <x v="6"/>
    <m/>
    <s v="2026-02-11"/>
    <s v="223807"/>
    <s v="M.K. Chemical and Fertilizers"/>
    <s v="9051316329"/>
  </r>
  <r>
    <s v="RCF Thal"/>
    <s v="N.C.Urea(45kg)"/>
    <s v="WB"/>
    <x v="0"/>
    <s v="Bongaon"/>
    <s v="User Not Mapped"/>
    <s v="User Not Mapped"/>
    <s v="User Not Mapped"/>
    <n v="915203"/>
    <s v="Goutam Halder"/>
    <s v="Private Retailer"/>
    <s v="9382009689"/>
    <n v="4.95"/>
    <n v="40"/>
    <x v="3"/>
    <m/>
    <s v="2026-03-11"/>
    <s v="223807"/>
    <s v="M.K. Chemical and Fertilizers"/>
    <s v="9051316329"/>
  </r>
  <r>
    <s v="RCF Import"/>
    <s v="Imp 10-26-26"/>
    <s v="WB"/>
    <x v="0"/>
    <s v="Bongaon"/>
    <s v="User Not Mapped"/>
    <s v="User Not Mapped"/>
    <s v="User Not Mapped"/>
    <n v="517115"/>
    <s v="Haridas Bacchar"/>
    <s v="Private Retailer"/>
    <s v="8768621743"/>
    <n v="5.5"/>
    <n v="53"/>
    <x v="3"/>
    <m/>
    <s v="2026-02-26"/>
    <s v="223807"/>
    <s v="M.K. Chemical and Fertilizers"/>
    <s v="9051316329"/>
  </r>
  <r>
    <s v="RCF Thal"/>
    <s v="N.C.Urea(45kg)"/>
    <s v="WB"/>
    <x v="0"/>
    <s v="Bongaon"/>
    <s v="User Not Mapped"/>
    <s v="User Not Mapped"/>
    <s v="User Not Mapped"/>
    <n v="517115"/>
    <s v="Haridas Bacchar"/>
    <s v="Private Retailer"/>
    <s v="8768621743"/>
    <n v="9.99"/>
    <n v="18"/>
    <x v="5"/>
    <m/>
    <s v="2026-04-02"/>
    <s v="223807"/>
    <s v="M.K. Chemical and Fertilizers"/>
    <s v="9051316329"/>
  </r>
  <r>
    <s v="RCF Trombay"/>
    <s v="15-15-15"/>
    <s v="WB"/>
    <x v="0"/>
    <s v="Barasat - I"/>
    <s v="User Not Mapped"/>
    <s v="User Not Mapped"/>
    <s v="User Not Mapped"/>
    <n v="189404"/>
    <s v="Jana Fertilizer"/>
    <s v="Private Retailer"/>
    <s v="9748113810"/>
    <n v="0.75"/>
    <n v="93"/>
    <x v="7"/>
    <m/>
    <s v="2026-01-17"/>
    <s v="223807"/>
    <s v="M.K. Chemical and Fertilizers"/>
    <s v="9051316329"/>
  </r>
  <r>
    <s v="RCF Trombay"/>
    <s v="15-15-15"/>
    <s v="WB"/>
    <x v="0"/>
    <m/>
    <s v="User Not Mapped"/>
    <s v="User Not Mapped"/>
    <s v="User Not Mapped"/>
    <n v="952119"/>
    <s v="Jana Fertilizer"/>
    <s v="Private Retailer"/>
    <s v="9051927615"/>
    <n v="0.1"/>
    <n v="2068"/>
    <x v="2"/>
    <m/>
    <s v="2020-08-21"/>
    <s v="223807"/>
    <s v="M.K. Chemical and Fertilizers"/>
    <s v="9051316329"/>
  </r>
  <r>
    <s v="RCF Trombay"/>
    <s v="15-15-15"/>
    <s v="WB"/>
    <x v="0"/>
    <s v="Bongaon"/>
    <s v="User Not Mapped"/>
    <s v="User Not Mapped"/>
    <s v="User Not Mapped"/>
    <n v="501429"/>
    <s v="Jhantu Biswas"/>
    <s v="Private Retailer"/>
    <s v="9093047087"/>
    <n v="1.5"/>
    <n v="93"/>
    <x v="7"/>
    <m/>
    <s v="2026-01-17"/>
    <s v="223807"/>
    <s v="M.K. Chemical and Fertilizers"/>
    <s v="9051316329"/>
  </r>
  <r>
    <s v="RCF Thal"/>
    <s v="N.C.Urea(45kg)"/>
    <s v="WB"/>
    <x v="0"/>
    <s v="Habra - II"/>
    <s v="User Not Mapped"/>
    <s v="User Not Mapped"/>
    <s v="User Not Mapped"/>
    <n v="1496625"/>
    <s v="JOY GURU KRISHI BHANDAR"/>
    <s v="Private Retailer"/>
    <s v="6297696296"/>
    <n v="9.36"/>
    <n v="18"/>
    <x v="5"/>
    <m/>
    <s v="2026-04-02"/>
    <s v="223807"/>
    <s v="M.K. Chemical and Fertilizers"/>
    <s v="9051316329"/>
  </r>
  <r>
    <s v="RCF Trombay"/>
    <s v="N.C.Urea(45kg)"/>
    <s v="WB"/>
    <x v="0"/>
    <s v="Hasnabad"/>
    <s v="User Not Mapped"/>
    <s v="User Not Mapped"/>
    <s v="User Not Mapped"/>
    <n v="300599"/>
    <s v="Kinkar Das"/>
    <s v="Private Retailer"/>
    <s v="9091389536"/>
    <n v="1.2150000000000001"/>
    <n v="142"/>
    <x v="4"/>
    <m/>
    <s v="2025-11-29"/>
    <s v="223807"/>
    <s v="M.K. Chemical and Fertilizers"/>
    <s v="9051316329"/>
  </r>
  <r>
    <s v="RCF Import"/>
    <s v="Imp 10-26-26"/>
    <s v="WB"/>
    <x v="0"/>
    <s v="Habra - II"/>
    <s v="User Not Mapped"/>
    <s v="User Not Mapped"/>
    <s v="User Not Mapped"/>
    <n v="355183"/>
    <s v="Krishak  Krishi  Bhander"/>
    <s v="Private Retailer"/>
    <s v="9734636496"/>
    <n v="2.2999999999999998"/>
    <n v="55"/>
    <x v="3"/>
    <m/>
    <s v="2026-02-24"/>
    <s v="223807"/>
    <s v="M.K. Chemical and Fertilizers"/>
    <s v="9051316329"/>
  </r>
  <r>
    <s v="RCF Import"/>
    <s v="MOP"/>
    <s v="WB"/>
    <x v="0"/>
    <s v="Habra - II"/>
    <s v="User Not Mapped"/>
    <s v="User Not Mapped"/>
    <s v="User Not Mapped"/>
    <n v="1096194"/>
    <s v="Krishak Krishi Bhander"/>
    <s v="Private Wholsaler"/>
    <s v="9734636496"/>
    <n v="3.7"/>
    <n v="61"/>
    <x v="6"/>
    <s v="'TAJU499'"/>
    <s v="2026-02-18"/>
    <s v="223807"/>
    <s v="M.K. Chemical and Fertilizers"/>
    <s v="9051316329"/>
  </r>
  <r>
    <s v="RCF Trombay"/>
    <s v="15-15-15"/>
    <s v="WB"/>
    <x v="0"/>
    <s v="Bongaon"/>
    <s v="User Not Mapped"/>
    <s v="User Not Mapped"/>
    <s v="User Not Mapped"/>
    <n v="500871"/>
    <s v="Kutubuddin  Mondal"/>
    <s v="Private Retailer"/>
    <s v="9775267232"/>
    <n v="5"/>
    <n v="58"/>
    <x v="3"/>
    <m/>
    <s v="2026-02-21"/>
    <s v="223807"/>
    <s v="M.K. Chemical and Fertilizers"/>
    <s v="9051316329"/>
  </r>
  <r>
    <s v="RCF Thal"/>
    <s v="N.C.Urea(45kg)"/>
    <s v="WB"/>
    <x v="0"/>
    <s v="Bongaon"/>
    <s v="User Not Mapped"/>
    <s v="User Not Mapped"/>
    <s v="User Not Mapped"/>
    <n v="500871"/>
    <s v="Kutubuddin  Mondal"/>
    <s v="Private Retailer"/>
    <s v="9775267232"/>
    <n v="4.1849999999999996"/>
    <n v="40"/>
    <x v="3"/>
    <m/>
    <s v="2026-03-11"/>
    <s v="223807"/>
    <s v="M.K. Chemical and Fertilizers"/>
    <s v="9051316329"/>
  </r>
  <r>
    <s v="RCF Trombay"/>
    <s v="N.C.Urea(45kg)"/>
    <s v="WB"/>
    <x v="0"/>
    <s v="Bagda"/>
    <s v="User Not Mapped"/>
    <s v="User Not Mapped"/>
    <s v="User Not Mapped"/>
    <n v="667738"/>
    <s v="LITON KUMAR DAS"/>
    <s v="Private Retailer"/>
    <s v="9734321294"/>
    <n v="0.13500000000000001"/>
    <n v="126"/>
    <x v="4"/>
    <m/>
    <s v="2025-12-15"/>
    <s v="223807"/>
    <s v="M.K. Chemical and Fertilizers"/>
    <s v="9051316329"/>
  </r>
  <r>
    <s v="RCF Trombay"/>
    <s v="15-15-15"/>
    <s v="WB"/>
    <x v="0"/>
    <s v="Bagda"/>
    <s v="User Not Mapped"/>
    <s v="User Not Mapped"/>
    <s v="User Not Mapped"/>
    <n v="355228"/>
    <s v="Liyakat Mondal"/>
    <s v="Private Retailer"/>
    <s v="8348148355"/>
    <n v="2.7"/>
    <n v="126"/>
    <x v="4"/>
    <m/>
    <s v="2025-12-15"/>
    <s v="223807"/>
    <s v="M.K. Chemical and Fertilizers"/>
    <s v="9051316329"/>
  </r>
  <r>
    <s v="RCF Thal"/>
    <s v="N.C.Urea(45kg)"/>
    <s v="WB"/>
    <x v="0"/>
    <s v="Barasat - I"/>
    <s v="User Not Mapped"/>
    <s v="User Not Mapped"/>
    <s v="User Not Mapped"/>
    <n v="616417"/>
    <s v="M.S.A FERTILIZERS"/>
    <s v="Private Retailer"/>
    <s v="9681282035"/>
    <n v="0.61"/>
    <n v="420"/>
    <x v="0"/>
    <m/>
    <s v="2025-02-24"/>
    <s v="223807"/>
    <s v="M.K. Chemical and Fertilizers"/>
    <s v="9051316329"/>
  </r>
  <r>
    <s v="RCF Thal"/>
    <s v="N.C.Urea(45kg)"/>
    <s v="WB"/>
    <x v="0"/>
    <s v="Haroa"/>
    <s v="User Not Mapped"/>
    <s v="User Not Mapped"/>
    <s v="User Not Mapped"/>
    <n v="1524823"/>
    <s v="M/S JANAPRIYA KRISHI BHANDAR"/>
    <s v="Private Retailer"/>
    <s v="8348595255"/>
    <n v="10.98"/>
    <n v="40"/>
    <x v="3"/>
    <m/>
    <s v="2026-03-11"/>
    <s v="223807"/>
    <s v="M.K. Chemical and Fertilizers"/>
    <s v="9051316329"/>
  </r>
  <r>
    <s v="RCF Trombay"/>
    <s v="N.C.Urea(45kg)"/>
    <s v="WB"/>
    <x v="0"/>
    <s v="Barasat - II"/>
    <s v="User Not Mapped"/>
    <s v="User Not Mapped"/>
    <s v="User Not Mapped"/>
    <n v="226978"/>
    <s v="M/S M.A Samad And Sons"/>
    <s v="Private Retailer"/>
    <s v="9734442647"/>
    <n v="0.63"/>
    <n v="66"/>
    <x v="6"/>
    <m/>
    <s v="2026-02-13"/>
    <s v="223807"/>
    <s v="M.K. Chemical and Fertilizers"/>
    <s v="9051316329"/>
  </r>
  <r>
    <s v="RCF Trombay"/>
    <s v="15-15-15"/>
    <s v="WB"/>
    <x v="0"/>
    <s v="Amdanga"/>
    <s v="User Not Mapped"/>
    <s v="User Not Mapped"/>
    <s v="User Not Mapped"/>
    <n v="189438"/>
    <s v="M/S Mondal Fertilizer"/>
    <s v="Private Retailer"/>
    <s v="9231246948"/>
    <n v="1"/>
    <n v="516"/>
    <x v="0"/>
    <m/>
    <s v="2024-11-20"/>
    <s v="223807"/>
    <s v="M.K. Chemical and Fertilizers"/>
    <s v="9051316329"/>
  </r>
  <r>
    <s v="RCF Import"/>
    <s v="MOP"/>
    <s v="WB"/>
    <x v="0"/>
    <s v="Bongaon"/>
    <s v="User Not Mapped"/>
    <s v="User Not Mapped"/>
    <s v="User Not Mapped"/>
    <n v="1278337"/>
    <s v="M/S Ramjan Mondal "/>
    <s v="Private Retailer"/>
    <s v="7384055745"/>
    <n v="8.9"/>
    <n v="61"/>
    <x v="6"/>
    <m/>
    <s v="2026-02-18"/>
    <s v="223807"/>
    <s v="M.K. Chemical and Fertilizers"/>
    <s v="9051316329"/>
  </r>
  <r>
    <s v="RCF Thal"/>
    <s v="N.C.Urea(45kg)"/>
    <s v="WB"/>
    <x v="0"/>
    <m/>
    <s v="User Not Mapped"/>
    <s v="User Not Mapped"/>
    <s v="User Not Mapped"/>
    <n v="189382"/>
    <s v="M/S. Asraf Ali"/>
    <s v="Private Retailer"/>
    <s v="6295459212"/>
    <n v="1.58"/>
    <n v="206"/>
    <x v="1"/>
    <m/>
    <s v="2025-09-26"/>
    <s v="223807"/>
    <s v="M.K. Chemical and Fertilizers"/>
    <s v="9051316329"/>
  </r>
  <r>
    <s v="RCF Trombay"/>
    <s v="15-15-15"/>
    <s v="WB"/>
    <x v="0"/>
    <s v="Amdanga"/>
    <s v="User Not Mapped"/>
    <s v="User Not Mapped"/>
    <s v="User Not Mapped"/>
    <n v="189464"/>
    <s v="M/S. Sree Durga Krishi Bhandar"/>
    <s v="Private Retailer"/>
    <s v="9836712197"/>
    <n v="0.28299999999999997"/>
    <n v="93"/>
    <x v="7"/>
    <m/>
    <s v="2026-01-17"/>
    <s v="223807"/>
    <s v="M.K. Chemical and Fertilizers"/>
    <s v="9051316329"/>
  </r>
  <r>
    <s v="RCF Trombay"/>
    <s v="15-15-15"/>
    <s v="WB"/>
    <x v="0"/>
    <s v="Amdanga"/>
    <s v="User Not Mapped"/>
    <s v="User Not Mapped"/>
    <s v="User Not Mapped"/>
    <n v="355236"/>
    <s v="Maa Lakshmi Fertiliser"/>
    <s v="Private Retailer"/>
    <s v="8017911325"/>
    <n v="5.5"/>
    <n v="87"/>
    <x v="6"/>
    <m/>
    <s v="2026-01-23"/>
    <s v="223807"/>
    <s v="M.K. Chemical and Fertilizers"/>
    <s v="9051316329"/>
  </r>
  <r>
    <s v="RCF Trombay"/>
    <s v="15-15-15"/>
    <s v="WB"/>
    <x v="0"/>
    <s v="Gaighata"/>
    <s v="User Not Mapped"/>
    <s v="User Not Mapped"/>
    <s v="User Not Mapped"/>
    <n v="226805"/>
    <s v="Mahishakati S.K.U.S.Ltd"/>
    <s v="Private Retailer"/>
    <s v="9933481875"/>
    <n v="1.3"/>
    <n v="142"/>
    <x v="4"/>
    <m/>
    <s v="2025-11-29"/>
    <s v="223807"/>
    <s v="M.K. Chemical and Fertilizers"/>
    <s v="9051316329"/>
  </r>
  <r>
    <s v="RCF Trombay"/>
    <s v="N.C.Urea(45kg)"/>
    <s v="WB"/>
    <x v="0"/>
    <s v="Gaighata"/>
    <s v="User Not Mapped"/>
    <s v="User Not Mapped"/>
    <s v="User Not Mapped"/>
    <n v="226805"/>
    <s v="Mahishakati S.K.U.S.Ltd"/>
    <s v="Private Retailer"/>
    <s v="9933481875"/>
    <n v="4.05"/>
    <n v="68"/>
    <x v="6"/>
    <m/>
    <s v="2026-02-11"/>
    <s v="223807"/>
    <s v="M.K. Chemical and Fertilizers"/>
    <s v="9051316329"/>
  </r>
  <r>
    <s v="RCF Trombay"/>
    <s v="15-15-15"/>
    <s v="WB"/>
    <x v="0"/>
    <s v="Amdanga"/>
    <s v="User Not Mapped"/>
    <s v="User Not Mapped"/>
    <s v="User Not Mapped"/>
    <n v="409518"/>
    <s v="Mallick Krishi Bhandar"/>
    <s v="Private Retailer"/>
    <s v="9836168497"/>
    <n v="0.05"/>
    <n v="87"/>
    <x v="6"/>
    <m/>
    <s v="2026-01-23"/>
    <s v="223807"/>
    <s v="M.K. Chemical and Fertilizers"/>
    <s v="9051316329"/>
  </r>
  <r>
    <s v="RCF Trombay"/>
    <s v="15-15-15"/>
    <s v="WB"/>
    <x v="0"/>
    <s v="Bongaon"/>
    <s v="User Not Mapped"/>
    <s v="User Not Mapped"/>
    <s v="User Not Mapped"/>
    <n v="411491"/>
    <s v="Mashir Mondal"/>
    <s v="Private Retailer"/>
    <s v="8918966274"/>
    <n v="2.1549999999999998"/>
    <n v="68"/>
    <x v="6"/>
    <m/>
    <s v="2026-02-11"/>
    <s v="223807"/>
    <s v="M.K. Chemical and Fertilizers"/>
    <s v="9051316329"/>
  </r>
  <r>
    <s v="RCF Trombay"/>
    <s v="N.C.Urea(45kg)"/>
    <s v="WB"/>
    <x v="0"/>
    <s v="Bagda"/>
    <s v="User Not Mapped"/>
    <s v="User Not Mapped"/>
    <s v="User Not Mapped"/>
    <n v="545850"/>
    <s v="MASUD MOLLA"/>
    <s v="Private Retailer"/>
    <s v="9933820430"/>
    <n v="4.9950000000000001"/>
    <n v="126"/>
    <x v="4"/>
    <m/>
    <s v="2025-12-15"/>
    <s v="223807"/>
    <s v="M.K. Chemical and Fertilizers"/>
    <s v="9051316329"/>
  </r>
  <r>
    <s v="RCF Trombay"/>
    <s v="15-15-15"/>
    <s v="WB"/>
    <x v="0"/>
    <s v="Deganga"/>
    <s v="User Not Mapped"/>
    <s v="User Not Mapped"/>
    <s v="User Not Mapped"/>
    <n v="226860"/>
    <s v="Md Mahasin"/>
    <s v="Private Retailer"/>
    <s v="9002559461"/>
    <n v="2.75"/>
    <n v="68"/>
    <x v="6"/>
    <m/>
    <s v="2026-02-11"/>
    <s v="223807"/>
    <s v="M.K. Chemical and Fertilizers"/>
    <s v="9051316329"/>
  </r>
  <r>
    <s v="RCF Thal"/>
    <s v="N.C.Urea(45kg)"/>
    <s v="WB"/>
    <x v="0"/>
    <s v="Bagda"/>
    <s v="User Not Mapped"/>
    <s v="User Not Mapped"/>
    <s v="User Not Mapped"/>
    <n v="501443"/>
    <s v="Mehebub Ali Mondal"/>
    <s v="Private Retailer"/>
    <s v="9733562112"/>
    <n v="0.36"/>
    <n v="421"/>
    <x v="0"/>
    <m/>
    <s v="2025-02-23"/>
    <s v="223807"/>
    <s v="M.K. Chemical and Fertilizers"/>
    <s v="9051316329"/>
  </r>
  <r>
    <s v="RCF Import"/>
    <s v="MOP"/>
    <s v="WB"/>
    <x v="0"/>
    <s v="Bagda"/>
    <s v="User Not Mapped"/>
    <s v="User Not Mapped"/>
    <s v="User Not Mapped"/>
    <n v="501443"/>
    <s v="Mehebub Ali Mondal"/>
    <s v="Private Retailer"/>
    <s v="9733562112"/>
    <n v="3.4000000000000002E-2"/>
    <n v="421"/>
    <x v="0"/>
    <m/>
    <s v="2025-02-23"/>
    <s v="223807"/>
    <s v="M.K. Chemical and Fertilizers"/>
    <s v="9051316329"/>
  </r>
  <r>
    <s v="RCF Trombay"/>
    <s v="15-15-15"/>
    <s v="WB"/>
    <x v="0"/>
    <s v="Bagda"/>
    <s v="User Not Mapped"/>
    <s v="User Not Mapped"/>
    <s v="User Not Mapped"/>
    <n v="456794"/>
    <s v="Mihir Ghosh"/>
    <s v="Private Retailer"/>
    <s v="7797392390"/>
    <n v="5"/>
    <n v="58"/>
    <x v="3"/>
    <m/>
    <s v="2026-02-21"/>
    <s v="223807"/>
    <s v="M.K. Chemical and Fertilizers"/>
    <s v="9051316329"/>
  </r>
  <r>
    <s v="RCF Thal"/>
    <s v="N.C.Urea(45kg)"/>
    <s v="WB"/>
    <x v="0"/>
    <s v="Bagda"/>
    <s v="User Not Mapped"/>
    <s v="User Not Mapped"/>
    <s v="User Not Mapped"/>
    <n v="355673"/>
    <s v="Mohitosh  Kumar  Mondal"/>
    <s v="Private Retailer"/>
    <s v="9733819716"/>
    <n v="4.4999999999999998E-2"/>
    <n v="421"/>
    <x v="0"/>
    <m/>
    <s v="2025-02-23"/>
    <s v="223807"/>
    <s v="M.K. Chemical and Fertilizers"/>
    <s v="9051316329"/>
  </r>
  <r>
    <s v="RCF Thal"/>
    <s v="N.C.Urea(45kg)"/>
    <s v="WB"/>
    <x v="0"/>
    <s v="Deganga"/>
    <s v="User Not Mapped"/>
    <s v="User Not Mapped"/>
    <s v="User Not Mapped"/>
    <n v="226907"/>
    <s v="Mondal Krishi Bhander"/>
    <s v="Private Retailer"/>
    <s v="9733838048"/>
    <n v="5.49"/>
    <n v="66"/>
    <x v="6"/>
    <m/>
    <s v="2026-02-13"/>
    <s v="223807"/>
    <s v="M.K. Chemical and Fertilizers"/>
    <s v="9051316329"/>
  </r>
  <r>
    <s v="RCF Trombay"/>
    <s v="15-15-15"/>
    <s v="WB"/>
    <x v="0"/>
    <m/>
    <s v="User Not Mapped"/>
    <s v="User Not Mapped"/>
    <s v="User Not Mapped"/>
    <n v="455948"/>
    <s v="Mongal Biswas"/>
    <s v="Private Retailer"/>
    <s v="9609118632"/>
    <n v="0.05"/>
    <n v="1423"/>
    <x v="2"/>
    <m/>
    <s v="2022-05-28"/>
    <s v="223807"/>
    <s v="M.K. Chemical and Fertilizers"/>
    <s v="9051316329"/>
  </r>
  <r>
    <s v="RCF Trombay"/>
    <s v="N.C.Urea(45kg)"/>
    <s v="WB"/>
    <x v="0"/>
    <m/>
    <s v="User Not Mapped"/>
    <s v="User Not Mapped"/>
    <s v="User Not Mapped"/>
    <n v="455948"/>
    <s v="Mongal Biswas"/>
    <s v="Private Retailer"/>
    <s v="9609118632"/>
    <n v="7.6950000000000003"/>
    <n v="1423"/>
    <x v="2"/>
    <m/>
    <s v="2022-05-28"/>
    <s v="223807"/>
    <s v="M.K. Chemical and Fertilizers"/>
    <s v="9051316329"/>
  </r>
  <r>
    <s v="RCF Thal"/>
    <s v="N.C.Urea(45kg)"/>
    <s v="WB"/>
    <x v="0"/>
    <s v="Barasat - II"/>
    <s v="User Not Mapped"/>
    <s v="User Not Mapped"/>
    <s v="User Not Mapped"/>
    <n v="1410472"/>
    <s v="NAHIM FERTILIZER"/>
    <s v="Private Retailer"/>
    <s v="7003872133"/>
    <n v="0.60499999999999998"/>
    <n v="238"/>
    <x v="1"/>
    <m/>
    <s v="2025-08-25"/>
    <s v="223807"/>
    <s v="M.K. Chemical and Fertilizers"/>
    <s v="9051316329"/>
  </r>
  <r>
    <s v="RCF Thal"/>
    <s v="N.C.Urea(45kg)"/>
    <s v="WB"/>
    <x v="0"/>
    <s v="Bagda"/>
    <s v="User Not Mapped"/>
    <s v="User Not Mapped"/>
    <s v="User Not Mapped"/>
    <n v="599464"/>
    <s v="NAMITA RAY"/>
    <s v="Private Retailer"/>
    <s v="9564038114"/>
    <n v="1.8"/>
    <n v="1060"/>
    <x v="2"/>
    <m/>
    <s v="2023-05-26"/>
    <s v="223807"/>
    <s v="M.K. Chemical and Fertilizers"/>
    <s v="9051316329"/>
  </r>
  <r>
    <s v="RCF Trombay"/>
    <s v="N.C.Urea(45kg)"/>
    <s v="WB"/>
    <x v="0"/>
    <s v="Bagda"/>
    <s v="User Not Mapped"/>
    <s v="User Not Mapped"/>
    <s v="User Not Mapped"/>
    <n v="599464"/>
    <s v="NAMITA RAY"/>
    <s v="Private Retailer"/>
    <s v="9564038114"/>
    <n v="0.315"/>
    <n v="1086"/>
    <x v="2"/>
    <m/>
    <s v="2023-04-30"/>
    <s v="223807"/>
    <s v="M.K. Chemical and Fertilizers"/>
    <s v="9051316329"/>
  </r>
  <r>
    <s v="RCF Trombay"/>
    <s v="N.C.Urea(45kg)"/>
    <s v="WB"/>
    <x v="0"/>
    <s v="Barasat - I"/>
    <s v="User Not Mapped"/>
    <s v="User Not Mapped"/>
    <s v="User Not Mapped"/>
    <n v="857623"/>
    <s v="Nasir uddin Fertilizer"/>
    <s v="Private Retailer"/>
    <s v="8777406965"/>
    <n v="0.01"/>
    <n v="1141"/>
    <x v="2"/>
    <m/>
    <s v="2023-03-06"/>
    <s v="223807"/>
    <s v="M.K. Chemical and Fertilizers"/>
    <s v="9051316329"/>
  </r>
  <r>
    <s v="RCF Import"/>
    <s v="MOP"/>
    <s v="WB"/>
    <x v="0"/>
    <s v="Deganga"/>
    <s v="User Not Mapped"/>
    <s v="User Not Mapped"/>
    <s v="User Not Mapped"/>
    <n v="1213353"/>
    <s v="NEW BISWAS FERTILIZER"/>
    <s v="Private Retailer"/>
    <s v="6294553450"/>
    <n v="4.25"/>
    <n v="61"/>
    <x v="6"/>
    <m/>
    <s v="2026-02-18"/>
    <s v="223807"/>
    <s v="M.K. Chemical and Fertilizers"/>
    <s v="9051316329"/>
  </r>
  <r>
    <s v="RCF Trombay"/>
    <s v="15-15-15"/>
    <s v="WB"/>
    <x v="0"/>
    <s v="Deganga"/>
    <s v="User Not Mapped"/>
    <s v="User Not Mapped"/>
    <s v="User Not Mapped"/>
    <n v="1213353"/>
    <s v="NEW BISWAS FERTILIZER"/>
    <s v="Private Retailer"/>
    <s v="6294553450"/>
    <n v="2.85"/>
    <n v="68"/>
    <x v="6"/>
    <m/>
    <s v="2026-02-11"/>
    <s v="223807"/>
    <s v="M.K. Chemical and Fertilizers"/>
    <s v="9051316329"/>
  </r>
  <r>
    <s v="RCF Import"/>
    <s v="Imp 10-26-26"/>
    <s v="WB"/>
    <x v="0"/>
    <s v="Barasat - I"/>
    <s v="User Not Mapped"/>
    <s v="User Not Mapped"/>
    <s v="User Not Mapped"/>
    <n v="631719"/>
    <s v="New Haldar Fertiliser"/>
    <s v="Private Retailer"/>
    <s v="9143094705"/>
    <n v="5.5"/>
    <n v="55"/>
    <x v="3"/>
    <m/>
    <s v="2026-02-24"/>
    <s v="223807"/>
    <s v="M.K. Chemical and Fertilizers"/>
    <s v="9051316329"/>
  </r>
  <r>
    <s v="RCF Thal"/>
    <s v="N.C.Urea(45kg)"/>
    <s v="WB"/>
    <x v="0"/>
    <s v="Bongaon"/>
    <s v="User Not Mapped"/>
    <s v="User Not Mapped"/>
    <s v="User Not Mapped"/>
    <n v="457312"/>
    <s v="Niranjan Biswas"/>
    <s v="Private Retailer"/>
    <s v="8967046512"/>
    <n v="9.99"/>
    <n v="18"/>
    <x v="5"/>
    <m/>
    <s v="2026-04-02"/>
    <s v="223807"/>
    <s v="M.K. Chemical and Fertilizers"/>
    <s v="9051316329"/>
  </r>
  <r>
    <s v="RCF Trombay"/>
    <s v="15-15-15"/>
    <s v="WB"/>
    <x v="0"/>
    <s v="Bagda"/>
    <s v="User Not Mapped"/>
    <s v="User Not Mapped"/>
    <s v="User Not Mapped"/>
    <n v="457841"/>
    <s v="Nurjahan Mondal"/>
    <s v="Private Retailer"/>
    <s v="9564360037"/>
    <n v="5.48"/>
    <n v="1485"/>
    <x v="2"/>
    <m/>
    <s v="2022-03-27"/>
    <s v="223807"/>
    <s v="M.K. Chemical and Fertilizers"/>
    <s v="9051316329"/>
  </r>
  <r>
    <s v="RCF Trombay"/>
    <s v="N.C.Urea(45kg)"/>
    <s v="WB"/>
    <x v="0"/>
    <s v="Haroa"/>
    <s v="User Not Mapped"/>
    <s v="User Not Mapped"/>
    <s v="User Not Mapped"/>
    <n v="932509"/>
    <s v="Paik krishi bhandar"/>
    <s v="Private Retailer"/>
    <s v="9775260282"/>
    <n v="2.7E-2"/>
    <n v="205"/>
    <x v="1"/>
    <m/>
    <s v="2025-09-27"/>
    <s v="223807"/>
    <s v="M.K. Chemical and Fertilizers"/>
    <s v="9051316329"/>
  </r>
  <r>
    <s v="RCF Import"/>
    <s v="Imp 10-26-26"/>
    <s v="WB"/>
    <x v="0"/>
    <s v="Habra - II"/>
    <s v="User Not Mapped"/>
    <s v="User Not Mapped"/>
    <s v="User Not Mapped"/>
    <n v="1219851"/>
    <s v="PAUL  FERTILIZER"/>
    <s v="Private Retailer"/>
    <s v="9932862633"/>
    <n v="1.7"/>
    <n v="55"/>
    <x v="3"/>
    <m/>
    <s v="2026-02-24"/>
    <s v="223807"/>
    <s v="M.K. Chemical and Fertilizers"/>
    <s v="9051316329"/>
  </r>
  <r>
    <s v="RCF Trombay"/>
    <s v="15-15-15"/>
    <s v="WB"/>
    <x v="0"/>
    <s v="Habra - II"/>
    <s v="User Not Mapped"/>
    <s v="User Not Mapped"/>
    <s v="User Not Mapped"/>
    <n v="1219851"/>
    <s v="PAUL  FERTILIZER"/>
    <s v="Private Retailer"/>
    <s v="9932862633"/>
    <n v="5.2"/>
    <n v="68"/>
    <x v="6"/>
    <m/>
    <s v="2026-02-11"/>
    <s v="223807"/>
    <s v="M.K. Chemical and Fertilizers"/>
    <s v="9051316329"/>
  </r>
  <r>
    <s v="RCF Trombay"/>
    <s v="15-15-15"/>
    <s v="WB"/>
    <x v="0"/>
    <s v="Bongaon"/>
    <s v="User Not Mapped"/>
    <s v="User Not Mapped"/>
    <s v="User Not Mapped"/>
    <n v="520124"/>
    <s v="Pritam Enterprise"/>
    <s v="Private Retailer"/>
    <s v="9153209294"/>
    <n v="5.3"/>
    <n v="175"/>
    <x v="4"/>
    <m/>
    <s v="2025-10-27"/>
    <s v="223807"/>
    <s v="M.K. Chemical and Fertilizers"/>
    <s v="9051316329"/>
  </r>
  <r>
    <s v="RCF Trombay"/>
    <s v="15-15-15"/>
    <s v="WB"/>
    <x v="0"/>
    <s v="Bagda"/>
    <s v="User Not Mapped"/>
    <s v="User Not Mapped"/>
    <s v="User Not Mapped"/>
    <n v="660354"/>
    <s v="PROVAT MONDAL"/>
    <s v="Private Retailer"/>
    <s v="7001033524"/>
    <n v="2.65"/>
    <n v="356"/>
    <x v="1"/>
    <m/>
    <s v="2025-04-29"/>
    <s v="223807"/>
    <s v="M.K. Chemical and Fertilizers"/>
    <s v="9051316329"/>
  </r>
  <r>
    <s v="RCF Trombay"/>
    <s v="15-15-15"/>
    <s v="WB"/>
    <x v="0"/>
    <m/>
    <s v="User Not Mapped"/>
    <s v="User Not Mapped"/>
    <s v="User Not Mapped"/>
    <n v="1102065"/>
    <s v="Rafiqul Islam"/>
    <s v="Private Retailer"/>
    <s v="9933300796"/>
    <n v="5"/>
    <n v="2355"/>
    <x v="2"/>
    <m/>
    <s v="2019-11-08"/>
    <s v="223807"/>
    <s v="M.K. Chemical and Fertilizers"/>
    <s v="9051316329"/>
  </r>
  <r>
    <s v="RCF Trombay"/>
    <s v="15-15-15"/>
    <s v="WB"/>
    <x v="0"/>
    <m/>
    <s v="User Not Mapped"/>
    <s v="User Not Mapped"/>
    <s v="User Not Mapped"/>
    <n v="1102065"/>
    <s v="Rafiqul Islam"/>
    <s v="Private Retailer"/>
    <s v="9933300796"/>
    <n v="1.55"/>
    <n v="2357"/>
    <x v="2"/>
    <m/>
    <s v="2019-11-06"/>
    <s v="223807"/>
    <s v="M.K. Chemical and Fertilizers"/>
    <s v="9051316329"/>
  </r>
  <r>
    <s v="RCF Thal"/>
    <s v="N.C.Urea(45kg)"/>
    <s v="WB"/>
    <x v="0"/>
    <s v="Deganga"/>
    <s v="User Not Mapped"/>
    <s v="User Not Mapped"/>
    <s v="User Not Mapped"/>
    <n v="1200506"/>
    <s v="RAHAT KRISHI BHANDAR"/>
    <s v="Private Retailer"/>
    <s v="7980309494"/>
    <n v="0.18"/>
    <n v="186"/>
    <x v="1"/>
    <m/>
    <s v="2025-10-16"/>
    <s v="223807"/>
    <s v="M.K. Chemical and Fertilizers"/>
    <s v="9051316329"/>
  </r>
  <r>
    <s v="RCF Trombay"/>
    <s v="15-15-15"/>
    <s v="WB"/>
    <x v="0"/>
    <s v="Barasat - II"/>
    <s v="User Not Mapped"/>
    <s v="User Not Mapped"/>
    <s v="User Not Mapped"/>
    <n v="481212"/>
    <s v="Rajjak Mondal"/>
    <s v="Private Retailer"/>
    <s v="9593700491"/>
    <n v="2.5499999999999998"/>
    <n v="67"/>
    <x v="6"/>
    <m/>
    <s v="2026-02-12"/>
    <s v="223807"/>
    <s v="M.K. Chemical and Fertilizers"/>
    <s v="9051316329"/>
  </r>
  <r>
    <s v="RCF Trombay"/>
    <s v="15-15-15"/>
    <s v="WB"/>
    <x v="0"/>
    <s v="Barasat - I"/>
    <s v="User Not Mapped"/>
    <s v="User Not Mapped"/>
    <s v="User Not Mapped"/>
    <n v="616423"/>
    <s v="RAJU FERTILIZERS"/>
    <s v="Private Retailer"/>
    <s v="9836764293"/>
    <n v="0.4"/>
    <n v="142"/>
    <x v="4"/>
    <m/>
    <s v="2025-11-29"/>
    <s v="223807"/>
    <s v="M.K. Chemical and Fertilizers"/>
    <s v="9051316329"/>
  </r>
  <r>
    <s v="RCF Thal"/>
    <s v="N.C.Urea(45kg)"/>
    <s v="WB"/>
    <x v="0"/>
    <s v="Deganga"/>
    <s v="User Not Mapped"/>
    <s v="User Not Mapped"/>
    <s v="User Not Mapped"/>
    <n v="227210"/>
    <s v="SAHAJAHANGIR GAZI"/>
    <s v="Private Retailer"/>
    <s v="9775226259"/>
    <n v="1.2150000000000001"/>
    <n v="248"/>
    <x v="1"/>
    <m/>
    <s v="2025-08-15"/>
    <s v="223807"/>
    <s v="M.K. Chemical and Fertilizers"/>
    <s v="9051316329"/>
  </r>
  <r>
    <s v="RCF Trombay"/>
    <s v="15-15-15"/>
    <s v="WB"/>
    <x v="0"/>
    <s v="Bongaon"/>
    <s v="User Not Mapped"/>
    <s v="User Not Mapped"/>
    <s v="User Not Mapped"/>
    <n v="356146"/>
    <s v="Sahebuddin Mondal"/>
    <s v="Private Retailer"/>
    <s v="9734514917"/>
    <n v="5"/>
    <n v="68"/>
    <x v="6"/>
    <m/>
    <s v="2026-02-11"/>
    <s v="223807"/>
    <s v="M.K. Chemical and Fertilizers"/>
    <s v="9051316329"/>
  </r>
  <r>
    <s v="RCF Thal"/>
    <s v="N.C.Urea(45kg)"/>
    <s v="WB"/>
    <x v="0"/>
    <s v="Sandeshkhali - I"/>
    <s v="User Not Mapped"/>
    <s v="User Not Mapped"/>
    <s v="User Not Mapped"/>
    <n v="227160"/>
    <s v="Sankar Ghosh"/>
    <s v="Private Retailer"/>
    <s v="9733617560"/>
    <n v="5.49"/>
    <n v="40"/>
    <x v="3"/>
    <m/>
    <s v="2026-03-11"/>
    <s v="223807"/>
    <s v="M.K. Chemical and Fertilizers"/>
    <s v="9051316329"/>
  </r>
  <r>
    <s v="RCF Trombay"/>
    <s v="15-15-15"/>
    <s v="WB"/>
    <x v="0"/>
    <s v="Bongaon"/>
    <s v="User Not Mapped"/>
    <s v="User Not Mapped"/>
    <s v="User Not Mapped"/>
    <n v="458460"/>
    <s v="Sariot Mondal"/>
    <s v="Private Retailer"/>
    <s v="9064320595"/>
    <n v="0.4"/>
    <n v="68"/>
    <x v="6"/>
    <m/>
    <s v="2026-02-11"/>
    <s v="223807"/>
    <s v="M.K. Chemical and Fertilizers"/>
    <s v="9051316329"/>
  </r>
  <r>
    <s v="RCF Trombay"/>
    <s v="15-15-15"/>
    <s v="WB"/>
    <x v="0"/>
    <s v="Bongaon"/>
    <s v="User Not Mapped"/>
    <s v="User Not Mapped"/>
    <s v="User Not Mapped"/>
    <n v="458460"/>
    <s v="Sariot Mondal"/>
    <s v="Private Retailer"/>
    <s v="9064320595"/>
    <n v="5.5"/>
    <n v="53"/>
    <x v="3"/>
    <m/>
    <s v="2026-02-26"/>
    <s v="223807"/>
    <s v="M.K. Chemical and Fertilizers"/>
    <s v="9051316329"/>
  </r>
  <r>
    <s v="RCF Trombay"/>
    <s v="N.C.Urea(45kg)"/>
    <s v="WB"/>
    <x v="0"/>
    <m/>
    <s v="User Not Mapped"/>
    <s v="User Not Mapped"/>
    <s v="User Not Mapped"/>
    <n v="538126"/>
    <s v="Smt Pampa Biswas"/>
    <s v="Private Retailer"/>
    <s v="9932369237"/>
    <n v="5.49"/>
    <n v="1171"/>
    <x v="2"/>
    <m/>
    <s v="2023-02-04"/>
    <s v="223807"/>
    <s v="M.K. Chemical and Fertilizers"/>
    <s v="9051316329"/>
  </r>
  <r>
    <s v="RCF Trombay"/>
    <s v="15-15-15"/>
    <s v="WB"/>
    <x v="0"/>
    <s v="Bongaon"/>
    <s v="User Not Mapped"/>
    <s v="User Not Mapped"/>
    <s v="User Not Mapped"/>
    <n v="648061"/>
    <s v="SOUMEN MONDAL"/>
    <s v="Private Retailer"/>
    <s v="8597194326"/>
    <n v="2.2999999999999998"/>
    <n v="68"/>
    <x v="6"/>
    <m/>
    <s v="2026-02-11"/>
    <s v="223807"/>
    <s v="M.K. Chemical and Fertilizers"/>
    <s v="9051316329"/>
  </r>
  <r>
    <s v="RCF Trombay"/>
    <s v="N.C.Urea(45kg)"/>
    <s v="WB"/>
    <x v="0"/>
    <s v="Bongaon"/>
    <s v="User Not Mapped"/>
    <s v="User Not Mapped"/>
    <s v="User Not Mapped"/>
    <n v="501212"/>
    <s v="Subir Kumar Poddar"/>
    <s v="Private Retailer"/>
    <s v="9732960112"/>
    <n v="7.58"/>
    <n v="51"/>
    <x v="3"/>
    <m/>
    <s v="2026-02-28"/>
    <s v="223807"/>
    <s v="M.K. Chemical and Fertilizers"/>
    <s v="9051316329"/>
  </r>
  <r>
    <s v="RCF Thal"/>
    <s v="N.C.Urea(45kg)"/>
    <s v="WB"/>
    <x v="0"/>
    <s v="Bagda"/>
    <s v="User Not Mapped"/>
    <s v="User Not Mapped"/>
    <s v="User Not Mapped"/>
    <n v="390585"/>
    <s v="Sujauddin Mondal"/>
    <s v="Private Retailer"/>
    <s v="9593116054"/>
    <n v="4.9950000000000001"/>
    <n v="17"/>
    <x v="5"/>
    <m/>
    <s v="2026-04-03"/>
    <s v="223807"/>
    <s v="M.K. Chemical and Fertilizers"/>
    <s v="9051316329"/>
  </r>
  <r>
    <s v="RCF Thal"/>
    <s v="N.C.Urea(45kg)"/>
    <s v="WB"/>
    <x v="0"/>
    <s v="Bongaon"/>
    <s v="User Not Mapped"/>
    <s v="User Not Mapped"/>
    <s v="User Not Mapped"/>
    <n v="411511"/>
    <s v="Sukanta Das"/>
    <s v="Private Retailer"/>
    <s v="9733577734"/>
    <n v="0.26100000000000001"/>
    <n v="142"/>
    <x v="4"/>
    <m/>
    <s v="2025-11-29"/>
    <s v="223807"/>
    <s v="M.K. Chemical and Fertilizers"/>
    <s v="9051316329"/>
  </r>
  <r>
    <s v="RCF Import"/>
    <s v="MOP"/>
    <s v="WB"/>
    <x v="0"/>
    <s v="Bagda"/>
    <s v="User Not Mapped"/>
    <s v="User Not Mapped"/>
    <s v="User Not Mapped"/>
    <n v="1573131"/>
    <s v="SUMANA FERTILIZER"/>
    <s v="Private Retailer"/>
    <s v="8436873877"/>
    <n v="4.95"/>
    <n v="61"/>
    <x v="6"/>
    <m/>
    <s v="2026-02-18"/>
    <s v="223807"/>
    <s v="M.K. Chemical and Fertilizers"/>
    <s v="9051316329"/>
  </r>
  <r>
    <s v="RCF Trombay"/>
    <s v="15-15-15"/>
    <s v="WB"/>
    <x v="0"/>
    <s v="Bagda"/>
    <s v="User Not Mapped"/>
    <s v="User Not Mapped"/>
    <s v="User Not Mapped"/>
    <n v="1573131"/>
    <s v="SUMANA FERTILIZER"/>
    <s v="Private Retailer"/>
    <s v="8436873877"/>
    <n v="2.65"/>
    <n v="126"/>
    <x v="4"/>
    <m/>
    <s v="2025-12-15"/>
    <s v="223807"/>
    <s v="M.K. Chemical and Fertilizers"/>
    <s v="9051316329"/>
  </r>
  <r>
    <s v="RCF Trombay"/>
    <s v="15-15-15"/>
    <s v="WB"/>
    <x v="0"/>
    <s v="Bagda"/>
    <s v="User Not Mapped"/>
    <s v="User Not Mapped"/>
    <s v="User Not Mapped"/>
    <n v="1573131"/>
    <s v="SUMANA FERTILIZER"/>
    <s v="Private Retailer"/>
    <s v="8436873877"/>
    <n v="7"/>
    <n v="58"/>
    <x v="3"/>
    <m/>
    <s v="2026-02-21"/>
    <s v="223807"/>
    <s v="M.K. Chemical and Fertilizers"/>
    <s v="9051316329"/>
  </r>
  <r>
    <s v="RCF Trombay"/>
    <s v="N.C.Urea(45kg)"/>
    <s v="WB"/>
    <x v="0"/>
    <s v="Bagda"/>
    <s v="User Not Mapped"/>
    <s v="User Not Mapped"/>
    <s v="User Not Mapped"/>
    <n v="1573131"/>
    <s v="SUMANA FERTILIZER"/>
    <s v="Private Retailer"/>
    <s v="8436873877"/>
    <n v="0.99"/>
    <n v="58"/>
    <x v="3"/>
    <m/>
    <s v="2026-02-21"/>
    <s v="223807"/>
    <s v="M.K. Chemical and Fertilizers"/>
    <s v="9051316329"/>
  </r>
  <r>
    <s v="RCF Trombay"/>
    <s v="15-15-15"/>
    <s v="WB"/>
    <x v="0"/>
    <s v="Minakhan"/>
    <s v="User Not Mapped"/>
    <s v="User Not Mapped"/>
    <s v="User Not Mapped"/>
    <n v="227235"/>
    <s v="Sundarban Krishi Bipani"/>
    <s v="Private Retailer"/>
    <s v="9732661925"/>
    <n v="0.29499999999999998"/>
    <n v="444"/>
    <x v="0"/>
    <m/>
    <s v="2025-01-31"/>
    <s v="223807"/>
    <s v="M.K. Chemical and Fertilizers"/>
    <s v="9051316329"/>
  </r>
  <r>
    <s v="RCF Trombay"/>
    <s v="N.C.Urea(45kg)"/>
    <s v="WB"/>
    <x v="0"/>
    <m/>
    <s v="User Not Mapped"/>
    <s v="User Not Mapped"/>
    <s v="User Not Mapped"/>
    <n v="538090"/>
    <s v="Surabuddin Biswas"/>
    <s v="Private Retailer"/>
    <s v="9564272985"/>
    <n v="1E-3"/>
    <n v="1086"/>
    <x v="2"/>
    <m/>
    <s v="2023-04-30"/>
    <s v="223807"/>
    <s v="M.K. Chemical and Fertilizers"/>
    <s v="9051316329"/>
  </r>
  <r>
    <s v="RCF Trombay"/>
    <s v="15-15-15"/>
    <s v="WB"/>
    <x v="0"/>
    <s v="Bongaon"/>
    <s v="User Not Mapped"/>
    <s v="User Not Mapped"/>
    <s v="User Not Mapped"/>
    <n v="484506"/>
    <s v="Surojit Mondal"/>
    <s v="Private Retailer"/>
    <s v="9564341464"/>
    <n v="5.5"/>
    <n v="93"/>
    <x v="7"/>
    <m/>
    <s v="2026-01-17"/>
    <s v="223807"/>
    <s v="M.K. Chemical and Fertilizers"/>
    <s v="9051316329"/>
  </r>
  <r>
    <s v="RCF Trombay"/>
    <s v="15-15-15"/>
    <s v="WB"/>
    <x v="0"/>
    <s v="Bongaon"/>
    <s v="User Not Mapped"/>
    <s v="User Not Mapped"/>
    <s v="User Not Mapped"/>
    <n v="484506"/>
    <s v="Surojit Mondal"/>
    <s v="Private Retailer"/>
    <s v="9564341464"/>
    <n v="1.35"/>
    <n v="357"/>
    <x v="1"/>
    <m/>
    <s v="2025-04-28"/>
    <s v="223807"/>
    <s v="M.K. Chemical and Fertilizers"/>
    <s v="9051316329"/>
  </r>
  <r>
    <s v="RCF Thal"/>
    <s v="N.C.Urea(45kg)"/>
    <s v="WB"/>
    <x v="0"/>
    <s v="Deganga"/>
    <s v="User Not Mapped"/>
    <s v="User Not Mapped"/>
    <s v="User Not Mapped"/>
    <n v="227253"/>
    <s v="Taijul Hoque And Brathers Kri"/>
    <s v="Private Retailer"/>
    <s v="9732140536"/>
    <n v="3.915"/>
    <n v="39"/>
    <x v="3"/>
    <m/>
    <s v="2026-03-12"/>
    <s v="223807"/>
    <s v="M.K. Chemical and Fertilizers"/>
    <s v="9051316329"/>
  </r>
  <r>
    <s v="RCF Import"/>
    <s v="MOP"/>
    <s v="WB"/>
    <x v="0"/>
    <s v="Baduria"/>
    <s v="User Not Mapped"/>
    <s v="User Not Mapped"/>
    <s v="User Not Mapped"/>
    <n v="226480"/>
    <s v="Ali Baksha Biswas"/>
    <s v="Private Retailer"/>
    <s v="7699973062"/>
    <n v="0.5"/>
    <n v="47"/>
    <x v="3"/>
    <m/>
    <s v="2026-03-04"/>
    <s v="505050"/>
    <s v="M/S Abesh Dutta"/>
    <s v="7063115250"/>
  </r>
  <r>
    <s v="RCF Trombay"/>
    <s v="15-15-15"/>
    <s v="WB"/>
    <x v="0"/>
    <s v="Swarupnagar"/>
    <s v="User Not Mapped"/>
    <s v="User Not Mapped"/>
    <s v="User Not Mapped"/>
    <n v="1213365"/>
    <s v="APARNA MALLICK SARDAR"/>
    <s v="Private Retailer"/>
    <s v="7865835945"/>
    <n v="0.2"/>
    <n v="285"/>
    <x v="1"/>
    <m/>
    <s v="2025-07-09"/>
    <s v="505050"/>
    <s v="M/S Abesh Dutta"/>
    <s v="7063115250"/>
  </r>
  <r>
    <s v="RCF Trombay"/>
    <s v="N.C.Urea(45kg)"/>
    <s v="WB"/>
    <x v="0"/>
    <s v="Baduria"/>
    <s v="User Not Mapped"/>
    <s v="User Not Mapped"/>
    <s v="User Not Mapped"/>
    <n v="226556"/>
    <s v="Bhagya Lakshmi Krishi Bhandar"/>
    <s v="Private Retailer"/>
    <s v="9734676627"/>
    <n v="0.09"/>
    <n v="92"/>
    <x v="7"/>
    <m/>
    <s v="2026-01-18"/>
    <s v="505050"/>
    <s v="M/S Abesh Dutta"/>
    <s v="7063115250"/>
  </r>
  <r>
    <s v="RCF Trombay"/>
    <s v="15-15-15"/>
    <s v="WB"/>
    <x v="0"/>
    <s v="Swarupnagar"/>
    <s v="User Not Mapped"/>
    <s v="User Not Mapped"/>
    <s v="User Not Mapped"/>
    <n v="502735"/>
    <s v="CHANCHAL SARKAR"/>
    <s v="Private Retailer"/>
    <s v="9143239625"/>
    <n v="0.4"/>
    <n v="57"/>
    <x v="3"/>
    <m/>
    <s v="2026-02-22"/>
    <s v="505050"/>
    <s v="M/S Abesh Dutta"/>
    <s v="7063115250"/>
  </r>
  <r>
    <s v="RCF Trombay"/>
    <s v="15-15-15"/>
    <s v="WB"/>
    <x v="0"/>
    <m/>
    <s v="User Not Mapped"/>
    <s v="User Not Mapped"/>
    <s v="User Not Mapped"/>
    <n v="226620"/>
    <s v="Debdas Adhikary"/>
    <s v="Private Retailer"/>
    <s v="9734404348"/>
    <n v="0.75"/>
    <n v="92"/>
    <x v="7"/>
    <m/>
    <s v="2026-01-18"/>
    <s v="505050"/>
    <s v="M/S Abesh Dutta"/>
    <s v="7063115250"/>
  </r>
  <r>
    <s v="RCF Trombay"/>
    <s v="N.C.Urea(45kg)"/>
    <s v="WB"/>
    <x v="0"/>
    <m/>
    <s v="User Not Mapped"/>
    <s v="User Not Mapped"/>
    <s v="User Not Mapped"/>
    <n v="226620"/>
    <s v="Debdas Adhikary"/>
    <s v="Private Retailer"/>
    <s v="9734404348"/>
    <n v="0.45"/>
    <n v="92"/>
    <x v="7"/>
    <m/>
    <s v="2026-01-18"/>
    <s v="505050"/>
    <s v="M/S Abesh Dutta"/>
    <s v="7063115250"/>
  </r>
  <r>
    <s v="RCF Import"/>
    <s v="MOP"/>
    <s v="WB"/>
    <x v="0"/>
    <s v="Baduria"/>
    <s v="User Not Mapped"/>
    <s v="User Not Mapped"/>
    <s v="User Not Mapped"/>
    <n v="226631"/>
    <s v="Doha Krishi Biponi"/>
    <s v="Private Retailer"/>
    <s v="7430968010"/>
    <n v="0.5"/>
    <n v="21"/>
    <x v="5"/>
    <m/>
    <s v="2026-03-30"/>
    <s v="505050"/>
    <s v="M/S Abesh Dutta"/>
    <s v="7063115250"/>
  </r>
  <r>
    <s v="RCF Import"/>
    <s v="MOP"/>
    <s v="WB"/>
    <x v="0"/>
    <s v="Baduria"/>
    <s v="User Not Mapped"/>
    <s v="User Not Mapped"/>
    <s v="User Not Mapped"/>
    <n v="226636"/>
    <s v="Ebrahim Molla"/>
    <s v="Private Retailer"/>
    <s v="9093997935"/>
    <n v="1"/>
    <n v="45"/>
    <x v="3"/>
    <m/>
    <s v="2026-03-06"/>
    <s v="505050"/>
    <s v="M/S Abesh Dutta"/>
    <s v="7063115250"/>
  </r>
  <r>
    <s v="RCF Trombay"/>
    <s v="15-15-15"/>
    <s v="WB"/>
    <x v="0"/>
    <m/>
    <s v="User Not Mapped"/>
    <s v="User Not Mapped"/>
    <s v="User Not Mapped"/>
    <n v="226650"/>
    <s v="Gazi Krishi Bhandae"/>
    <s v="Private Retailer"/>
    <s v="9775553157"/>
    <n v="0.749"/>
    <n v="2482"/>
    <x v="2"/>
    <m/>
    <s v="2019-07-04"/>
    <s v="505050"/>
    <s v="M/S Abesh Dutta"/>
    <s v="7063115250"/>
  </r>
  <r>
    <s v="RCF Thal"/>
    <s v="N.C.Urea(45kg)"/>
    <s v="WB"/>
    <x v="0"/>
    <m/>
    <s v="User Not Mapped"/>
    <s v="User Not Mapped"/>
    <s v="User Not Mapped"/>
    <n v="226650"/>
    <s v="Gazi Krishi Bhandae"/>
    <s v="Private Retailer"/>
    <s v="9775553157"/>
    <n v="2.6749999999999998"/>
    <n v="2482"/>
    <x v="2"/>
    <m/>
    <s v="2019-07-04"/>
    <s v="505050"/>
    <s v="M/S Abesh Dutta"/>
    <s v="7063115250"/>
  </r>
  <r>
    <s v="RCF Import"/>
    <s v="MOP"/>
    <s v="WB"/>
    <x v="0"/>
    <s v="Swarupnagar"/>
    <s v="User Not Mapped"/>
    <s v="User Not Mapped"/>
    <s v="User Not Mapped"/>
    <n v="226664"/>
    <s v="Giarul Islam Biswas"/>
    <s v="Private Retailer"/>
    <s v="9732276830"/>
    <n v="0.5"/>
    <n v="47"/>
    <x v="3"/>
    <m/>
    <s v="2026-03-04"/>
    <s v="505050"/>
    <s v="M/S Abesh Dutta"/>
    <s v="7063115250"/>
  </r>
  <r>
    <s v="RCF Trombay"/>
    <s v="15-15-15"/>
    <s v="WB"/>
    <x v="0"/>
    <s v="Baduria"/>
    <s v="User Not Mapped"/>
    <s v="User Not Mapped"/>
    <s v="User Not Mapped"/>
    <n v="226682"/>
    <s v="Habiba Krishi Bhandar"/>
    <s v="Private Retailer"/>
    <s v="9153351778"/>
    <n v="0.35"/>
    <n v="62"/>
    <x v="6"/>
    <m/>
    <s v="2026-02-17"/>
    <s v="505050"/>
    <s v="M/S Abesh Dutta"/>
    <s v="7063115250"/>
  </r>
  <r>
    <s v="RCF Trombay"/>
    <s v="15-15-15"/>
    <s v="WB"/>
    <x v="0"/>
    <s v="Swarupnagar"/>
    <s v="User Not Mapped"/>
    <s v="User Not Mapped"/>
    <s v="User Not Mapped"/>
    <n v="226737"/>
    <s v="Kalan Dholi"/>
    <s v="Private Retailer"/>
    <s v="9153510156"/>
    <n v="2"/>
    <n v="92"/>
    <x v="7"/>
    <m/>
    <s v="2026-01-18"/>
    <s v="505050"/>
    <s v="M/S Abesh Dutta"/>
    <s v="7063115250"/>
  </r>
  <r>
    <s v="RCF Import"/>
    <s v="MOP"/>
    <s v="WB"/>
    <x v="0"/>
    <s v="Baduria"/>
    <s v="User Not Mapped"/>
    <s v="User Not Mapped"/>
    <s v="User Not Mapped"/>
    <n v="1612118"/>
    <s v="MAA LAXMI KRISHI BHANDAR"/>
    <s v="Private Retailer"/>
    <s v="6295046376"/>
    <n v="0.15"/>
    <n v="47"/>
    <x v="3"/>
    <m/>
    <s v="2026-03-04"/>
    <s v="505050"/>
    <s v="M/S Abesh Dutta"/>
    <s v="7063115250"/>
  </r>
  <r>
    <s v="RCF Import"/>
    <s v="MOP"/>
    <s v="WB"/>
    <x v="0"/>
    <s v="Swarupnagar"/>
    <s v="User Not Mapped"/>
    <s v="User Not Mapped"/>
    <s v="User Not Mapped"/>
    <n v="226798"/>
    <s v="Madhu Sudan Roy"/>
    <s v="Private Retailer"/>
    <s v="9800559335"/>
    <n v="1"/>
    <n v="21"/>
    <x v="5"/>
    <m/>
    <s v="2026-03-30"/>
    <s v="505050"/>
    <s v="M/S Abesh Dutta"/>
    <s v="7063115250"/>
  </r>
  <r>
    <s v="RCF Import"/>
    <s v="Imp 10-26-26"/>
    <s v="WB"/>
    <x v="0"/>
    <s v="Baduria"/>
    <s v="User Not Mapped"/>
    <s v="User Not Mapped"/>
    <s v="User Not Mapped"/>
    <n v="226871"/>
    <s v="Md. Nazrul Islam"/>
    <s v="Private Retailer"/>
    <s v="8001993655"/>
    <n v="0.05"/>
    <n v="812"/>
    <x v="2"/>
    <m/>
    <s v="2024-01-29"/>
    <s v="505050"/>
    <s v="M/S Abesh Dutta"/>
    <s v="7063115250"/>
  </r>
  <r>
    <s v="RCF Trombay"/>
    <s v="15-15-15"/>
    <s v="WB"/>
    <x v="0"/>
    <s v="Swarupnagar"/>
    <s v="User Not Mapped"/>
    <s v="User Not Mapped"/>
    <s v="User Not Mapped"/>
    <n v="226846"/>
    <s v="Md.Anarul Islam Sardar"/>
    <s v="Private Retailer"/>
    <s v="9732412137"/>
    <n v="0.25"/>
    <n v="62"/>
    <x v="6"/>
    <m/>
    <s v="2026-02-17"/>
    <s v="505050"/>
    <s v="M/S Abesh Dutta"/>
    <s v="7063115250"/>
  </r>
  <r>
    <s v="RCF Import"/>
    <s v="Imp 10-26-26"/>
    <s v="WB"/>
    <x v="0"/>
    <s v="Swarupnagar"/>
    <s v="User Not Mapped"/>
    <s v="User Not Mapped"/>
    <s v="User Not Mapped"/>
    <n v="227016"/>
    <s v="Mufti Krishi Bhander"/>
    <s v="Private Retailer"/>
    <s v="9734256423"/>
    <n v="0.2"/>
    <n v="784"/>
    <x v="2"/>
    <m/>
    <s v="2024-02-26"/>
    <s v="505050"/>
    <s v="M/S Abesh Dutta"/>
    <s v="7063115250"/>
  </r>
  <r>
    <s v="RCF Import"/>
    <s v="MOP"/>
    <s v="WB"/>
    <x v="0"/>
    <s v="Baduria"/>
    <s v="User Not Mapped"/>
    <s v="User Not Mapped"/>
    <s v="User Not Mapped"/>
    <n v="382804"/>
    <s v="Nazim Uddin"/>
    <s v="Private Retailer"/>
    <s v="8967902155"/>
    <n v="0.45"/>
    <n v="425"/>
    <x v="0"/>
    <m/>
    <s v="2025-02-19"/>
    <s v="505050"/>
    <s v="M/S Abesh Dutta"/>
    <s v="7063115250"/>
  </r>
  <r>
    <s v="RCF Import"/>
    <s v="MOP"/>
    <s v="WB"/>
    <x v="0"/>
    <s v="Swarupnagar"/>
    <s v="User Not Mapped"/>
    <s v="User Not Mapped"/>
    <s v="User Not Mapped"/>
    <n v="331767"/>
    <s v="Nemai Chandra Mondal"/>
    <s v="Private Retailer"/>
    <s v="8641926274"/>
    <n v="1.5"/>
    <n v="47"/>
    <x v="3"/>
    <m/>
    <s v="2026-03-04"/>
    <s v="505050"/>
    <s v="M/S Abesh Dutta"/>
    <s v="7063115250"/>
  </r>
  <r>
    <s v="RCF Trombay"/>
    <s v="15-15-15"/>
    <s v="WB"/>
    <x v="0"/>
    <s v="Swarupnagar"/>
    <s v="User Not Mapped"/>
    <s v="User Not Mapped"/>
    <s v="User Not Mapped"/>
    <n v="331767"/>
    <s v="Nemai Chandra Mondal"/>
    <s v="Private Retailer"/>
    <s v="8641926274"/>
    <n v="2"/>
    <n v="92"/>
    <x v="7"/>
    <m/>
    <s v="2026-01-18"/>
    <s v="505050"/>
    <s v="M/S Abesh Dutta"/>
    <s v="7063115250"/>
  </r>
  <r>
    <s v="RCF Import"/>
    <s v="MOP"/>
    <s v="WB"/>
    <x v="0"/>
    <s v="Swarupnagar"/>
    <s v="User Not Mapped"/>
    <s v="User Not Mapped"/>
    <s v="User Not Mapped"/>
    <n v="227073"/>
    <s v="Prakash Chandra Sarkar"/>
    <s v="Private Retailer"/>
    <s v="9002094102"/>
    <n v="0.75"/>
    <n v="425"/>
    <x v="0"/>
    <m/>
    <s v="2025-02-19"/>
    <s v="505050"/>
    <s v="M/S Abesh Dutta"/>
    <s v="7063115250"/>
  </r>
  <r>
    <s v="RCF Thal"/>
    <s v="N.C.Urea(45kg)"/>
    <s v="WB"/>
    <x v="0"/>
    <s v="Swarupnagar"/>
    <s v="User Not Mapped"/>
    <s v="User Not Mapped"/>
    <s v="User Not Mapped"/>
    <n v="502737"/>
    <s v="Prasanta Sarkar"/>
    <s v="Private Retailer"/>
    <s v="9733985883"/>
    <n v="1.26"/>
    <n v="40"/>
    <x v="3"/>
    <m/>
    <s v="2026-03-11"/>
    <s v="505050"/>
    <s v="M/S Abesh Dutta"/>
    <s v="7063115250"/>
  </r>
  <r>
    <s v="RCF Trombay"/>
    <s v="15-15-15"/>
    <s v="WB"/>
    <x v="0"/>
    <s v="Baduria"/>
    <s v="User Not Mapped"/>
    <s v="User Not Mapped"/>
    <s v="User Not Mapped"/>
    <n v="331848"/>
    <s v="Rabiul Islam"/>
    <s v="Private Retailer"/>
    <s v="9732550451"/>
    <n v="5.5"/>
    <n v="92"/>
    <x v="7"/>
    <m/>
    <s v="2026-01-18"/>
    <s v="505050"/>
    <s v="M/S Abesh Dutta"/>
    <s v="7063115250"/>
  </r>
  <r>
    <s v="RCF Trombay"/>
    <s v="15-15-15"/>
    <s v="WB"/>
    <x v="0"/>
    <s v="Swarupnagar"/>
    <s v="User Not Mapped"/>
    <s v="User Not Mapped"/>
    <s v="User Not Mapped"/>
    <n v="331869"/>
    <s v="Ramesh Chendra Halder"/>
    <s v="Private Retailer"/>
    <s v="9734025977"/>
    <n v="2.5"/>
    <n v="64"/>
    <x v="6"/>
    <m/>
    <s v="2026-02-15"/>
    <s v="505050"/>
    <s v="M/S Abesh Dutta"/>
    <s v="7063115250"/>
  </r>
  <r>
    <s v="RCF Trombay"/>
    <s v="15-15-15"/>
    <s v="WB"/>
    <x v="0"/>
    <s v="Swarupnagar"/>
    <s v="User Not Mapped"/>
    <s v="User Not Mapped"/>
    <s v="User Not Mapped"/>
    <n v="227108"/>
    <s v="Rexona Krishi Bhandar"/>
    <s v="Private Retailer"/>
    <s v="9609225352"/>
    <n v="2.8"/>
    <n v="92"/>
    <x v="7"/>
    <m/>
    <s v="2026-01-18"/>
    <s v="505050"/>
    <s v="M/S Abesh Dutta"/>
    <s v="7063115250"/>
  </r>
  <r>
    <s v="RCF Thal"/>
    <s v="N.C.Urea(45kg)"/>
    <s v="WB"/>
    <x v="0"/>
    <s v="Baduria"/>
    <s v="User Not Mapped"/>
    <s v="User Not Mapped"/>
    <s v="User Not Mapped"/>
    <n v="227157"/>
    <s v="Sana Krishi Bhandar"/>
    <s v="Private Retailer"/>
    <s v="9732940254"/>
    <n v="0.94499999999999995"/>
    <n v="40"/>
    <x v="3"/>
    <m/>
    <s v="2026-03-11"/>
    <s v="505050"/>
    <s v="M/S Abesh Dutta"/>
    <s v="7063115250"/>
  </r>
  <r>
    <s v="RCF Trombay"/>
    <s v="15-15-15"/>
    <s v="WB"/>
    <x v="0"/>
    <s v="Swarupnagar"/>
    <s v="User Not Mapped"/>
    <s v="User Not Mapped"/>
    <s v="User Not Mapped"/>
    <n v="227167"/>
    <s v="Saradha Krishi Bhandar"/>
    <s v="Private Retailer"/>
    <s v="9749783563"/>
    <n v="2"/>
    <n v="92"/>
    <x v="7"/>
    <m/>
    <s v="2026-01-18"/>
    <s v="505050"/>
    <s v="M/S Abesh Dutta"/>
    <s v="7063115250"/>
  </r>
  <r>
    <s v="RCF Trombay"/>
    <s v="15-15-15"/>
    <s v="WB"/>
    <x v="0"/>
    <s v="Baduria"/>
    <s v="User Not Mapped"/>
    <s v="User Not Mapped"/>
    <s v="User Not Mapped"/>
    <n v="460745"/>
    <s v="Sardar Krishi Bhander"/>
    <s v="Private Retailer"/>
    <s v="9647368382"/>
    <n v="3.5000000000000003E-2"/>
    <n v="181"/>
    <x v="1"/>
    <m/>
    <s v="2025-10-21"/>
    <s v="505050"/>
    <s v="M/S Abesh Dutta"/>
    <s v="7063115250"/>
  </r>
  <r>
    <s v="RCF Import"/>
    <s v="MOP"/>
    <s v="WB"/>
    <x v="0"/>
    <s v="Baduria"/>
    <s v="User Not Mapped"/>
    <s v="User Not Mapped"/>
    <s v="User Not Mapped"/>
    <n v="460745"/>
    <s v="Sardar Krishi Bhander"/>
    <s v="Private Retailer"/>
    <s v="9647368382"/>
    <n v="1"/>
    <n v="45"/>
    <x v="3"/>
    <m/>
    <s v="2026-03-06"/>
    <s v="505050"/>
    <s v="M/S Abesh Dutta"/>
    <s v="7063115250"/>
  </r>
  <r>
    <s v="RCF Trombay"/>
    <s v="15-15-15"/>
    <s v="WB"/>
    <x v="0"/>
    <s v="Swarupnagar"/>
    <s v="User Not Mapped"/>
    <s v="User Not Mapped"/>
    <s v="User Not Mapped"/>
    <n v="270826"/>
    <s v="Shyamal Kr Das"/>
    <s v="Private Retailer"/>
    <s v="9641696061"/>
    <n v="0.5"/>
    <n v="62"/>
    <x v="6"/>
    <m/>
    <s v="2026-02-17"/>
    <s v="505050"/>
    <s v="M/S Abesh Dutta"/>
    <s v="7063115250"/>
  </r>
  <r>
    <s v="RCF Trombay"/>
    <s v="15-15-15"/>
    <s v="WB"/>
    <x v="0"/>
    <s v="Basirhat - I"/>
    <s v="User Not Mapped"/>
    <s v="User Not Mapped"/>
    <s v="User Not Mapped"/>
    <n v="953355"/>
    <s v="Soumik Krishi Bhander"/>
    <s v="Private Retailer"/>
    <s v="9775163064"/>
    <n v="0.35"/>
    <n v="55"/>
    <x v="3"/>
    <m/>
    <s v="2026-02-24"/>
    <s v="505050"/>
    <s v="M/S Abesh Dutta"/>
    <s v="7063115250"/>
  </r>
  <r>
    <s v="RCF Thal"/>
    <s v="N.C.Urea(45kg)"/>
    <s v="WB"/>
    <x v="0"/>
    <s v="Basirhat - I"/>
    <s v="User Not Mapped"/>
    <s v="User Not Mapped"/>
    <s v="User Not Mapped"/>
    <n v="953355"/>
    <s v="Soumik Krishi Bhander"/>
    <s v="Private Retailer"/>
    <s v="9775163064"/>
    <n v="1.35"/>
    <n v="33"/>
    <x v="3"/>
    <m/>
    <s v="2026-03-18"/>
    <s v="505050"/>
    <s v="M/S Abesh Dutta"/>
    <s v="7063115250"/>
  </r>
  <r>
    <s v="RCF Thal"/>
    <s v="N.C.Urea(45kg)"/>
    <s v="WB"/>
    <x v="0"/>
    <s v="Swarupnagar"/>
    <s v="User Not Mapped"/>
    <s v="User Not Mapped"/>
    <s v="User Not Mapped"/>
    <n v="331998"/>
    <s v="Sukumar Ballav"/>
    <s v="Private Retailer"/>
    <s v="9734568496"/>
    <n v="0.13500000000000001"/>
    <n v="40"/>
    <x v="3"/>
    <m/>
    <s v="2026-03-11"/>
    <s v="505050"/>
    <s v="M/S Abesh Dutta"/>
    <s v="7063115250"/>
  </r>
  <r>
    <s v="RCF Import"/>
    <s v="MOP"/>
    <s v="WB"/>
    <x v="0"/>
    <s v="Swarupnagar"/>
    <s v="User Not Mapped"/>
    <s v="User Not Mapped"/>
    <s v="User Not Mapped"/>
    <n v="227275"/>
    <s v="Unique Krishi Bhandar"/>
    <s v="Private Retailer"/>
    <s v="9647008003"/>
    <n v="1"/>
    <n v="47"/>
    <x v="3"/>
    <m/>
    <s v="2026-03-04"/>
    <s v="505050"/>
    <s v="M/S Abesh Dutta"/>
    <s v="7063115250"/>
  </r>
  <r>
    <s v="RCF Trombay"/>
    <s v="15-15-15"/>
    <s v="WB"/>
    <x v="0"/>
    <m/>
    <s v="User Not Mapped"/>
    <s v="User Not Mapped"/>
    <s v="User Not Mapped"/>
    <n v="517113"/>
    <s v="Abdul Ruhu Mondal"/>
    <s v="Private Retailer"/>
    <s v="8515894564"/>
    <n v="1.35"/>
    <n v="2265"/>
    <x v="2"/>
    <m/>
    <s v="2020-02-06"/>
    <s v="901234"/>
    <s v="M/S ARINDAM NANDI"/>
    <s v="9153209294"/>
  </r>
  <r>
    <s v="RCF Trombay"/>
    <s v="N.C.Urea(45kg)"/>
    <s v="WB"/>
    <x v="0"/>
    <m/>
    <s v="User Not Mapped"/>
    <s v="User Not Mapped"/>
    <s v="User Not Mapped"/>
    <n v="517113"/>
    <s v="Abdul Ruhu Mondal"/>
    <s v="Private Retailer"/>
    <s v="8515894564"/>
    <n v="0.27"/>
    <n v="2265"/>
    <x v="2"/>
    <m/>
    <s v="2020-02-06"/>
    <s v="901234"/>
    <s v="M/S ARINDAM NANDI"/>
    <s v="9153209294"/>
  </r>
  <r>
    <s v="RCF Trombay"/>
    <s v="15-15-15"/>
    <s v="WB"/>
    <x v="0"/>
    <s v="Gaighata"/>
    <s v="User Not Mapped"/>
    <s v="User Not Mapped"/>
    <s v="User Not Mapped"/>
    <n v="1288392"/>
    <s v="ANJALI FERTILIZER"/>
    <s v="Private Retailer"/>
    <s v="9064383096"/>
    <n v="0.2"/>
    <n v="221"/>
    <x v="1"/>
    <m/>
    <s v="2025-09-11"/>
    <s v="901234"/>
    <s v="M/S ARINDAM NANDI"/>
    <s v="9153209294"/>
  </r>
  <r>
    <s v="RCF Trombay"/>
    <s v="N.C.Urea(45kg)"/>
    <s v="WB"/>
    <x v="0"/>
    <m/>
    <s v="User Not Mapped"/>
    <s v="User Not Mapped"/>
    <s v="User Not Mapped"/>
    <n v="543036"/>
    <s v="Dipak Roy"/>
    <s v="Private Retailer"/>
    <s v="8001911138"/>
    <n v="0.22500000000000001"/>
    <n v="2322"/>
    <x v="2"/>
    <m/>
    <s v="2019-12-11"/>
    <s v="901234"/>
    <s v="M/S ARINDAM NANDI"/>
    <s v="9153209294"/>
  </r>
  <r>
    <s v="RCF Trombay"/>
    <s v="15-15-15"/>
    <s v="WB"/>
    <x v="0"/>
    <m/>
    <s v="User Not Mapped"/>
    <s v="User Not Mapped"/>
    <s v="User Not Mapped"/>
    <n v="543036"/>
    <s v="Dipak Roy"/>
    <s v="Private Retailer"/>
    <s v="8001911138"/>
    <n v="0.51"/>
    <n v="2376"/>
    <x v="2"/>
    <m/>
    <s v="2019-10-18"/>
    <s v="901234"/>
    <s v="M/S ARINDAM NANDI"/>
    <s v="9153209294"/>
  </r>
  <r>
    <s v="RCF Trombay"/>
    <s v="15-15-15"/>
    <s v="WB"/>
    <x v="0"/>
    <s v="Bagda"/>
    <s v="User Not Mapped"/>
    <s v="User Not Mapped"/>
    <s v="User Not Mapped"/>
    <n v="807108"/>
    <s v="DIPANKAR GHOSH"/>
    <s v="Private Retailer"/>
    <s v="9564068918"/>
    <n v="0.65"/>
    <n v="281"/>
    <x v="1"/>
    <m/>
    <s v="2025-07-13"/>
    <s v="901234"/>
    <s v="M/S ARINDAM NANDI"/>
    <s v="9153209294"/>
  </r>
  <r>
    <s v="RCF Thal"/>
    <s v="N.C.Urea(45kg)"/>
    <s v="WB"/>
    <x v="0"/>
    <m/>
    <s v="User Not Mapped"/>
    <s v="User Not Mapped"/>
    <s v="User Not Mapped"/>
    <n v="986078"/>
    <s v="KENARAM MONDAL"/>
    <s v="Private Retailer"/>
    <s v="9733354280"/>
    <n v="0.09"/>
    <n v="2250"/>
    <x v="2"/>
    <m/>
    <s v="2020-02-21"/>
    <s v="901234"/>
    <s v="M/S ARINDAM NANDI"/>
    <s v="9153209294"/>
  </r>
  <r>
    <s v="RCF Trombay"/>
    <s v="15-15-15"/>
    <s v="WB"/>
    <x v="0"/>
    <m/>
    <s v="User Not Mapped"/>
    <s v="User Not Mapped"/>
    <s v="User Not Mapped"/>
    <n v="986078"/>
    <s v="KENARAM MONDAL"/>
    <s v="Private Retailer"/>
    <s v="9733354280"/>
    <n v="0.1"/>
    <n v="2250"/>
    <x v="2"/>
    <m/>
    <s v="2020-02-21"/>
    <s v="901234"/>
    <s v="M/S ARINDAM NANDI"/>
    <s v="9153209294"/>
  </r>
  <r>
    <s v="RCF Trombay"/>
    <s v="15-15-15"/>
    <s v="WB"/>
    <x v="0"/>
    <s v="Bongaon"/>
    <s v="User Not Mapped"/>
    <s v="User Not Mapped"/>
    <s v="User Not Mapped"/>
    <n v="555293"/>
    <s v="M/S Karuna Roy"/>
    <s v="Private Retailer"/>
    <s v="8001066332"/>
    <n v="3.8"/>
    <n v="206"/>
    <x v="1"/>
    <m/>
    <s v="2025-09-26"/>
    <s v="901234"/>
    <s v="M/S ARINDAM NANDI"/>
    <s v="9153209294"/>
  </r>
  <r>
    <s v="RCF Trombay"/>
    <s v="15-15-15"/>
    <s v="WB"/>
    <x v="0"/>
    <s v="Bagda"/>
    <s v="User Not Mapped"/>
    <s v="User Not Mapped"/>
    <s v="User Not Mapped"/>
    <n v="1383388"/>
    <s v="NEW GHOSH FERTILIZER"/>
    <s v="Private Retailer"/>
    <s v="9153160342"/>
    <n v="0.75"/>
    <n v="252"/>
    <x v="1"/>
    <m/>
    <s v="2025-08-11"/>
    <s v="901234"/>
    <s v="M/S ARINDAM NANDI"/>
    <s v="9153209294"/>
  </r>
  <r>
    <s v="RCF Trombay"/>
    <s v="15-15-15"/>
    <s v="WB"/>
    <x v="0"/>
    <s v="Bongaon"/>
    <s v="User Not Mapped"/>
    <s v="User Not Mapped"/>
    <s v="User Not Mapped"/>
    <n v="520124"/>
    <s v="Pritam Enterprise"/>
    <s v="Private Retailer"/>
    <s v="9153209294"/>
    <n v="1.25"/>
    <n v="129"/>
    <x v="4"/>
    <m/>
    <s v="2025-12-12"/>
    <s v="901234"/>
    <s v="M/S ARINDAM NANDI"/>
    <s v="9153209294"/>
  </r>
  <r>
    <s v="RCF Trombay"/>
    <s v="N.C.Urea(45kg)"/>
    <s v="WB"/>
    <x v="0"/>
    <s v="Bongaon"/>
    <s v="User Not Mapped"/>
    <s v="User Not Mapped"/>
    <s v="User Not Mapped"/>
    <n v="520124"/>
    <s v="Pritam Enterprise"/>
    <s v="Private Retailer"/>
    <s v="9153209294"/>
    <n v="4.5449999999999999"/>
    <n v="530"/>
    <x v="0"/>
    <m/>
    <s v="2024-11-06"/>
    <s v="901234"/>
    <s v="M/S ARINDAM NANDI"/>
    <s v="9153209294"/>
  </r>
  <r>
    <s v="RCF Trombay"/>
    <s v="15-15-15"/>
    <s v="WB"/>
    <x v="0"/>
    <s v="Bagda"/>
    <s v="User Not Mapped"/>
    <s v="User Not Mapped"/>
    <s v="User Not Mapped"/>
    <n v="545834"/>
    <s v="Samad Mondal"/>
    <s v="Private Retailer"/>
    <s v="8001092133"/>
    <n v="0.06"/>
    <n v="224"/>
    <x v="1"/>
    <m/>
    <s v="2025-09-08"/>
    <s v="901234"/>
    <s v="M/S ARINDAM NANDI"/>
    <s v="9153209294"/>
  </r>
  <r>
    <s v="RCF Trombay"/>
    <s v="15-15-15"/>
    <s v="WB"/>
    <x v="0"/>
    <m/>
    <s v="User Not Mapped"/>
    <s v="User Not Mapped"/>
    <s v="User Not Mapped"/>
    <n v="411251"/>
    <s v="Uttam Deb Noth"/>
    <s v="Private Retailer"/>
    <s v="9732925838"/>
    <n v="0.5"/>
    <n v="1289"/>
    <x v="2"/>
    <m/>
    <s v="2022-10-09"/>
    <s v="901234"/>
    <s v="M/S ARINDAM NANDI"/>
    <s v="9153209294"/>
  </r>
  <r>
    <s v="RCF Trombay"/>
    <s v="15-15-15"/>
    <s v="WB"/>
    <x v="0"/>
    <s v="Barasat - II"/>
    <s v="User Not Mapped"/>
    <s v="User Not Mapped"/>
    <s v="User Not Mapped"/>
    <n v="931343"/>
    <s v="Kalapole krishi bhander"/>
    <s v="Private Retailer"/>
    <s v="9800478992"/>
    <n v="0.05"/>
    <n v="217"/>
    <x v="1"/>
    <m/>
    <s v="2025-09-15"/>
    <s v="281542"/>
    <s v="M/S Arun Kumar Ghosh"/>
    <s v="9564505288"/>
  </r>
  <r>
    <s v="RCF Trombay"/>
    <s v="15-15-15"/>
    <s v="WB"/>
    <x v="0"/>
    <s v="Habra - I"/>
    <s v="User Not Mapped"/>
    <s v="User Not Mapped"/>
    <s v="User Not Mapped"/>
    <n v="1498786"/>
    <s v="CHALKULTALA  SAMOBAY KRISHI UN"/>
    <s v="PACS"/>
    <s v="8436367433"/>
    <n v="1.65"/>
    <n v="90"/>
    <x v="6"/>
    <m/>
    <s v="2026-01-20"/>
    <s v="294883"/>
    <s v="M/S Ganesh Chandra Ghosh"/>
    <s v="7407663942"/>
  </r>
  <r>
    <s v="RCF Thal"/>
    <s v="N.C.Urea(45kg)"/>
    <s v="WB"/>
    <x v="0"/>
    <s v="Basirhat - II"/>
    <s v="User Not Mapped"/>
    <s v="User Not Mapped"/>
    <s v="User Not Mapped"/>
    <n v="520403"/>
    <s v="Altab Baidya"/>
    <s v="Private Retailer"/>
    <s v="9091654439"/>
    <n v="5.49"/>
    <n v="38"/>
    <x v="3"/>
    <m/>
    <s v="2026-03-13"/>
    <s v="1192317"/>
    <s v="M/S GHOSH FERTILIZER"/>
    <s v="9064992112"/>
  </r>
  <r>
    <s v="RCF Thal"/>
    <s v="N.C.Urea(45kg)"/>
    <s v="WB"/>
    <x v="0"/>
    <s v="Barasat - I"/>
    <s v="User Not Mapped"/>
    <s v="User Not Mapped"/>
    <s v="User Not Mapped"/>
    <n v="226522"/>
    <s v="Ashit Kumar Samanta"/>
    <s v="Private Retailer"/>
    <s v="9038581762"/>
    <n v="4.1399999999999997"/>
    <n v="38"/>
    <x v="3"/>
    <m/>
    <s v="2026-03-13"/>
    <s v="1192317"/>
    <s v="M/S GHOSH FERTILIZER"/>
    <s v="9064992112"/>
  </r>
  <r>
    <s v="RCF Trombay"/>
    <s v="15-15-15"/>
    <s v="WB"/>
    <x v="0"/>
    <s v="Baduria"/>
    <s v="User Not Mapped"/>
    <s v="User Not Mapped"/>
    <s v="User Not Mapped"/>
    <n v="226568"/>
    <s v="Bimala Krishi Bhander"/>
    <s v="Private Retailer"/>
    <s v="7407945593"/>
    <n v="0.6"/>
    <n v="24"/>
    <x v="5"/>
    <m/>
    <s v="2026-03-27"/>
    <s v="1192317"/>
    <s v="M/S GHOSH FERTILIZER"/>
    <s v="9064992112"/>
  </r>
  <r>
    <s v="RCF Trombay"/>
    <s v="15-15-15"/>
    <s v="WB"/>
    <x v="0"/>
    <s v="Baduria"/>
    <s v="User Not Mapped"/>
    <s v="User Not Mapped"/>
    <s v="User Not Mapped"/>
    <n v="226602"/>
    <s v="Chasir Bandhu"/>
    <s v="Private Retailer"/>
    <s v="8436150102"/>
    <n v="1.05"/>
    <n v="274"/>
    <x v="1"/>
    <m/>
    <s v="2025-07-20"/>
    <s v="1192317"/>
    <s v="M/S GHOSH FERTILIZER"/>
    <s v="9064992112"/>
  </r>
  <r>
    <s v="RCF Trombay"/>
    <s v="15-15-15"/>
    <s v="WB"/>
    <x v="0"/>
    <m/>
    <s v="User Not Mapped"/>
    <s v="User Not Mapped"/>
    <s v="User Not Mapped"/>
    <n v="520461"/>
    <s v="Ismail Mondal"/>
    <s v="Private Retailer"/>
    <s v="9733479212"/>
    <n v="0.1"/>
    <n v="187"/>
    <x v="1"/>
    <m/>
    <s v="2025-10-15"/>
    <s v="1192317"/>
    <s v="M/S GHOSH FERTILIZER"/>
    <s v="9064992112"/>
  </r>
  <r>
    <s v="RCF Thal"/>
    <s v="N.C.Urea(45kg)"/>
    <s v="WB"/>
    <x v="0"/>
    <m/>
    <s v="User Not Mapped"/>
    <s v="User Not Mapped"/>
    <s v="User Not Mapped"/>
    <n v="520461"/>
    <s v="Ismail Mondal"/>
    <s v="Private Retailer"/>
    <s v="9733479212"/>
    <n v="0.13500000000000001"/>
    <n v="159"/>
    <x v="4"/>
    <m/>
    <s v="2025-11-12"/>
    <s v="1192317"/>
    <s v="M/S GHOSH FERTILIZER"/>
    <s v="9064992112"/>
  </r>
  <r>
    <s v="RCF Trombay"/>
    <s v="15-15-15"/>
    <s v="WB"/>
    <x v="0"/>
    <m/>
    <s v="User Not Mapped"/>
    <s v="User Not Mapped"/>
    <s v="User Not Mapped"/>
    <n v="520461"/>
    <s v="Ismail Mondal"/>
    <s v="Private Retailer"/>
    <s v="9733479212"/>
    <n v="1"/>
    <n v="24"/>
    <x v="5"/>
    <m/>
    <s v="2026-03-27"/>
    <s v="1192317"/>
    <s v="M/S GHOSH FERTILIZER"/>
    <s v="9064992112"/>
  </r>
  <r>
    <s v="RCF Trombay"/>
    <s v="N.C.Urea(45kg)"/>
    <s v="WB"/>
    <x v="0"/>
    <m/>
    <s v="User Not Mapped"/>
    <s v="User Not Mapped"/>
    <s v="User Not Mapped"/>
    <n v="520461"/>
    <s v="Ismail Mondal"/>
    <s v="Private Retailer"/>
    <s v="9733479212"/>
    <n v="4.4999999999999998E-2"/>
    <n v="218"/>
    <x v="1"/>
    <m/>
    <s v="2025-09-14"/>
    <s v="1192317"/>
    <s v="M/S GHOSH FERTILIZER"/>
    <s v="9064992112"/>
  </r>
  <r>
    <s v="RCF Trombay"/>
    <s v="15-15-15"/>
    <s v="WB"/>
    <x v="0"/>
    <s v="Baduria"/>
    <s v="User Not Mapped"/>
    <s v="User Not Mapped"/>
    <s v="User Not Mapped"/>
    <n v="226749"/>
    <s v="Karima Bibi"/>
    <s v="Private Retailer"/>
    <s v="9732548140"/>
    <n v="0.2"/>
    <n v="369"/>
    <x v="0"/>
    <m/>
    <s v="2025-04-16"/>
    <s v="1192317"/>
    <s v="M/S GHOSH FERTILIZER"/>
    <s v="9064992112"/>
  </r>
  <r>
    <s v="RCF Thal"/>
    <s v="N.C.Urea(45kg)"/>
    <s v="WB"/>
    <x v="0"/>
    <s v="Baduria"/>
    <s v="User Not Mapped"/>
    <s v="User Not Mapped"/>
    <s v="User Not Mapped"/>
    <n v="460711"/>
    <s v="M/S Raihan Krishi Bhnader"/>
    <s v="Private Retailer"/>
    <s v="7586050984"/>
    <n v="0.54"/>
    <n v="38"/>
    <x v="3"/>
    <m/>
    <s v="2026-03-13"/>
    <s v="1192317"/>
    <s v="M/S GHOSH FERTILIZER"/>
    <s v="9064992112"/>
  </r>
  <r>
    <s v="RCF Trombay"/>
    <s v="15-15-15"/>
    <s v="WB"/>
    <x v="0"/>
    <s v="Baduria"/>
    <s v="User Not Mapped"/>
    <s v="User Not Mapped"/>
    <s v="User Not Mapped"/>
    <n v="226832"/>
    <s v="Md. Abdul Gafur"/>
    <s v="Private Retailer"/>
    <s v="9733884940"/>
    <n v="0.4"/>
    <n v="24"/>
    <x v="5"/>
    <m/>
    <s v="2026-03-27"/>
    <s v="1192317"/>
    <s v="M/S GHOSH FERTILIZER"/>
    <s v="9064992112"/>
  </r>
  <r>
    <s v="RCF Trombay"/>
    <s v="15-15-15"/>
    <s v="WB"/>
    <x v="0"/>
    <s v="Amdanga"/>
    <s v="User Not Mapped"/>
    <s v="User Not Mapped"/>
    <s v="User Not Mapped"/>
    <n v="227125"/>
    <s v="Sabuj Krishi Bhandar"/>
    <s v="Private Retailer"/>
    <s v="8348444840"/>
    <n v="0.9"/>
    <n v="24"/>
    <x v="5"/>
    <m/>
    <s v="2026-03-27"/>
    <s v="1192317"/>
    <s v="M/S GHOSH FERTILIZER"/>
    <s v="9064992112"/>
  </r>
  <r>
    <s v="RCF Trombay"/>
    <s v="N.C.Urea(45kg)"/>
    <s v="WB"/>
    <x v="0"/>
    <s v="Baduria"/>
    <s v="User Not Mapped"/>
    <s v="User Not Mapped"/>
    <s v="User Not Mapped"/>
    <n v="227211"/>
    <s v="Sonali Krishi Bhandar"/>
    <s v="Private Retailer"/>
    <s v="9732563172"/>
    <n v="0.09"/>
    <n v="218"/>
    <x v="1"/>
    <m/>
    <s v="2025-09-14"/>
    <s v="1192317"/>
    <s v="M/S GHOSH FERTILIZER"/>
    <s v="9064992112"/>
  </r>
  <r>
    <s v="RCF Trombay"/>
    <s v="N.C.Urea(45kg)"/>
    <s v="WB"/>
    <x v="0"/>
    <s v="Barasat - II"/>
    <s v="User Not Mapped"/>
    <s v="User Not Mapped"/>
    <s v="User Not Mapped"/>
    <n v="1567134"/>
    <s v="KRISHIJ FARMER PRO COMP LTD"/>
    <s v="Private Retailer"/>
    <s v="9830191341"/>
    <n v="5.04"/>
    <n v="184"/>
    <x v="1"/>
    <m/>
    <s v="2025-10-18"/>
    <s v="493009"/>
    <s v="M/S Halder Fertiliser"/>
    <s v="9051954610"/>
  </r>
  <r>
    <s v="RCF Trombay"/>
    <s v="15-15-15"/>
    <s v="WB"/>
    <x v="0"/>
    <s v="Baduria"/>
    <s v="User Not Mapped"/>
    <s v="User Not Mapped"/>
    <s v="User Not Mapped"/>
    <n v="405249"/>
    <s v="Saha Krishi Bhandar"/>
    <s v="Private Wholsaler"/>
    <s v="9734801636"/>
    <n v="1.4"/>
    <n v="149"/>
    <x v="4"/>
    <s v="'285'"/>
    <s v="2025-11-22"/>
    <s v="262597"/>
    <s v="M/S JOY SHANKAR DUTTA AND SONS"/>
    <s v="9433002237"/>
  </r>
  <r>
    <s v="RCF Trombay"/>
    <s v="15-15-15"/>
    <s v="WB"/>
    <x v="0"/>
    <s v="Bongaon"/>
    <s v="User Not Mapped"/>
    <s v="User Not Mapped"/>
    <s v="User Not Mapped"/>
    <n v="354659"/>
    <s v="Abdur  Rahim  Mondal"/>
    <s v="Private Retailer"/>
    <s v="9733562488"/>
    <n v="0.6"/>
    <n v="123"/>
    <x v="4"/>
    <m/>
    <s v="2025-12-18"/>
    <s v="1421415"/>
    <s v="M/S RAMJAN MONDAL"/>
    <s v="7384055745"/>
  </r>
  <r>
    <s v="RCF Import"/>
    <s v="MOP"/>
    <s v="WB"/>
    <x v="0"/>
    <s v="Bagda"/>
    <s v="User Not Mapped"/>
    <s v="User Not Mapped"/>
    <s v="User Not Mapped"/>
    <n v="458452"/>
    <s v="Jubbar Mandal"/>
    <s v="Private Retailer"/>
    <s v="8514054194"/>
    <n v="1.7000000000000001E-2"/>
    <n v="344"/>
    <x v="1"/>
    <m/>
    <s v="2025-05-11"/>
    <s v="1421415"/>
    <s v="M/S RAMJAN MONDAL"/>
    <s v="7384055745"/>
  </r>
  <r>
    <s v="RCF Thal"/>
    <s v="N.C.Urea(45kg)"/>
    <s v="WB"/>
    <x v="0"/>
    <m/>
    <s v="User Not Mapped"/>
    <s v="User Not Mapped"/>
    <s v="User Not Mapped"/>
    <n v="1051006"/>
    <s v="Rajib Tarafdar"/>
    <s v="Private Retailer"/>
    <s v="8001051177"/>
    <n v="0.9"/>
    <n v="2249"/>
    <x v="2"/>
    <m/>
    <s v="2020-02-22"/>
    <s v="289631"/>
    <s v="M/S Ramjan Mondal"/>
    <s v="9933702920"/>
  </r>
  <r>
    <s v="RCF Trombay"/>
    <s v="15-15-15"/>
    <s v="WB"/>
    <x v="0"/>
    <m/>
    <s v="User Not Mapped"/>
    <s v="User Not Mapped"/>
    <s v="User Not Mapped"/>
    <n v="1051006"/>
    <s v="Rajib Tarafdar"/>
    <s v="Private Retailer"/>
    <s v="8001051177"/>
    <n v="0.5"/>
    <n v="2128"/>
    <x v="2"/>
    <m/>
    <s v="2020-06-22"/>
    <s v="289631"/>
    <s v="M/S Ramjan Mondal"/>
    <s v="9933702920"/>
  </r>
  <r>
    <s v="RCF Trombay"/>
    <s v="N.C.Urea(45kg)"/>
    <s v="WB"/>
    <x v="0"/>
    <m/>
    <s v="User Not Mapped"/>
    <s v="User Not Mapped"/>
    <s v="User Not Mapped"/>
    <n v="1051006"/>
    <s v="Rajib Tarafdar"/>
    <s v="Private Retailer"/>
    <s v="8001051177"/>
    <n v="0.9"/>
    <n v="2128"/>
    <x v="2"/>
    <m/>
    <s v="2020-06-22"/>
    <s v="289631"/>
    <s v="M/S Ramjan Mondal"/>
    <s v="9933702920"/>
  </r>
  <r>
    <s v="RCF Trombay"/>
    <s v="15-15-15"/>
    <s v="WB"/>
    <x v="0"/>
    <m/>
    <s v="User Not Mapped"/>
    <s v="User Not Mapped"/>
    <s v="User Not Mapped"/>
    <n v="540557"/>
    <s v="Subhas Chandra Biswas"/>
    <s v="Private Retailer"/>
    <s v="9153783744"/>
    <n v="2"/>
    <n v="2449"/>
    <x v="2"/>
    <m/>
    <s v="2019-08-06"/>
    <s v="289631"/>
    <s v="M/S Ramjan Mondal"/>
    <s v="9933702920"/>
  </r>
  <r>
    <s v="RCF Trombay"/>
    <s v="15-15-15"/>
    <s v="WB"/>
    <x v="0"/>
    <m/>
    <s v="User Not Mapped"/>
    <s v="User Not Mapped"/>
    <s v="User Not Mapped"/>
    <n v="540557"/>
    <s v="Subhas Chandra Biswas"/>
    <s v="Private Retailer"/>
    <s v="9153783744"/>
    <n v="2"/>
    <n v="2445"/>
    <x v="2"/>
    <m/>
    <s v="2019-08-10"/>
    <s v="289631"/>
    <s v="M/S Ramjan Mondal"/>
    <s v="9933702920"/>
  </r>
  <r>
    <s v="RCF Thal"/>
    <s v="N.C.Urea(45kg)"/>
    <s v="WB"/>
    <x v="0"/>
    <m/>
    <s v="User Not Mapped"/>
    <s v="User Not Mapped"/>
    <s v="User Not Mapped"/>
    <n v="540557"/>
    <s v="Subhas Chandra Biswas"/>
    <s v="Private Retailer"/>
    <s v="9153783744"/>
    <n v="2.25"/>
    <n v="2348"/>
    <x v="2"/>
    <m/>
    <s v="2019-11-15"/>
    <s v="289631"/>
    <s v="M/S Ramjan Mondal"/>
    <s v="9933702920"/>
  </r>
  <r>
    <s v="RCF Trombay"/>
    <s v="15-15-15"/>
    <s v="WB"/>
    <x v="0"/>
    <m/>
    <s v="User Not Mapped"/>
    <s v="User Not Mapped"/>
    <s v="User Not Mapped"/>
    <n v="540557"/>
    <s v="Subhas Chandra Biswas"/>
    <s v="Private Retailer"/>
    <s v="9153783744"/>
    <n v="0.25"/>
    <n v="2489"/>
    <x v="2"/>
    <m/>
    <s v="2019-06-27"/>
    <s v="289631"/>
    <s v="M/S Ramjan Mondal"/>
    <s v="9933702920"/>
  </r>
  <r>
    <s v="RCF Trombay"/>
    <s v="15-15-15"/>
    <s v="WB"/>
    <x v="0"/>
    <m/>
    <s v="User Not Mapped"/>
    <s v="User Not Mapped"/>
    <s v="User Not Mapped"/>
    <n v="538090"/>
    <s v="Surabuddin Biswas"/>
    <s v="Private Retailer"/>
    <s v="9564272985"/>
    <n v="1E-3"/>
    <n v="1851"/>
    <x v="2"/>
    <m/>
    <s v="2021-03-26"/>
    <s v="289631"/>
    <s v="M/S Ramjan Mondal"/>
    <s v="9933702920"/>
  </r>
  <r>
    <s v="RCF Thal"/>
    <s v="N.C.Urea(45kg)"/>
    <s v="WB"/>
    <x v="0"/>
    <m/>
    <s v="User Not Mapped"/>
    <s v="User Not Mapped"/>
    <s v="User Not Mapped"/>
    <n v="538090"/>
    <s v="Surabuddin Biswas"/>
    <s v="Private Retailer"/>
    <s v="9564272985"/>
    <n v="1E-3"/>
    <n v="1851"/>
    <x v="2"/>
    <m/>
    <s v="2021-03-26"/>
    <s v="289631"/>
    <s v="M/S Ramjan Mondal"/>
    <s v="9933702920"/>
  </r>
  <r>
    <s v="RCF Trombay"/>
    <s v="15-15-15"/>
    <s v="WB"/>
    <x v="0"/>
    <s v="Barasat - II"/>
    <s v="User Not Mapped"/>
    <s v="User Not Mapped"/>
    <s v="User Not Mapped"/>
    <n v="355025"/>
    <s v="Haran Chandra   Mondal"/>
    <s v="Private Retailer"/>
    <s v="9732399234"/>
    <n v="0.5"/>
    <n v="60"/>
    <x v="3"/>
    <m/>
    <s v="2026-02-19"/>
    <s v="281525"/>
    <s v="M/S Sariful Haque"/>
    <s v="7890901060"/>
  </r>
  <r>
    <s v="RCF Trombay"/>
    <s v="15-15-15"/>
    <s v="WB"/>
    <x v="0"/>
    <s v="Barasat - I"/>
    <s v="User Not Mapped"/>
    <s v="User Not Mapped"/>
    <s v="User Not Mapped"/>
    <n v="613670"/>
    <s v="JULASH AND SONS"/>
    <s v="Private Retailer"/>
    <s v="7980349631"/>
    <n v="0.2"/>
    <n v="48"/>
    <x v="3"/>
    <m/>
    <s v="2026-03-03"/>
    <s v="281525"/>
    <s v="M/S Sariful Haque"/>
    <s v="7890901060"/>
  </r>
  <r>
    <s v="RCF Trombay"/>
    <s v="15-15-15"/>
    <s v="WB"/>
    <x v="0"/>
    <s v="Amdanga"/>
    <s v="User Not Mapped"/>
    <s v="User Not Mapped"/>
    <s v="User Not Mapped"/>
    <n v="189386"/>
    <s v="M/S. Chasi Ghar"/>
    <s v="Private Retailer"/>
    <s v="9593077664"/>
    <n v="1"/>
    <n v="37"/>
    <x v="3"/>
    <m/>
    <s v="2026-03-14"/>
    <s v="281525"/>
    <s v="M/S Sariful Haque"/>
    <s v="7890901060"/>
  </r>
  <r>
    <s v="RCF Trombay"/>
    <s v="15-15-15"/>
    <s v="WB"/>
    <x v="0"/>
    <s v="Barasat - I"/>
    <s v="User Not Mapped"/>
    <s v="User Not Mapped"/>
    <s v="User Not Mapped"/>
    <n v="189444"/>
    <s v="M/S. Nasir Fertilizer"/>
    <s v="Private Retailer"/>
    <s v="9051458990"/>
    <n v="0.7"/>
    <n v="60"/>
    <x v="3"/>
    <m/>
    <s v="2026-02-19"/>
    <s v="281525"/>
    <s v="M/S Sariful Haque"/>
    <s v="7890901060"/>
  </r>
  <r>
    <s v="RCF Trombay"/>
    <s v="15-15-15"/>
    <s v="WB"/>
    <x v="0"/>
    <s v="Barasat - I"/>
    <s v="User Not Mapped"/>
    <s v="User Not Mapped"/>
    <s v="User Not Mapped"/>
    <n v="673888"/>
    <s v="Modina Fertilizers"/>
    <s v="Private Retailer"/>
    <s v="9681803179"/>
    <n v="0.75"/>
    <n v="90"/>
    <x v="6"/>
    <m/>
    <s v="2026-01-20"/>
    <s v="281525"/>
    <s v="M/S Sariful Haque"/>
    <s v="7890901060"/>
  </r>
  <r>
    <s v="RCF Trombay"/>
    <s v="15-15-15"/>
    <s v="WB"/>
    <x v="0"/>
    <s v="Barasat - I"/>
    <s v="User Not Mapped"/>
    <s v="User Not Mapped"/>
    <s v="User Not Mapped"/>
    <n v="673888"/>
    <s v="Modina Fertilizers"/>
    <s v="Private Retailer"/>
    <s v="9681803179"/>
    <n v="0.5"/>
    <n v="60"/>
    <x v="3"/>
    <m/>
    <s v="2026-02-19"/>
    <s v="281525"/>
    <s v="M/S Sariful Haque"/>
    <s v="7890901060"/>
  </r>
  <r>
    <s v="RCF Trombay"/>
    <s v="15-15-15"/>
    <s v="WB"/>
    <x v="0"/>
    <s v="Barasat - I"/>
    <s v="User Not Mapped"/>
    <s v="User Not Mapped"/>
    <s v="User Not Mapped"/>
    <n v="616423"/>
    <s v="RAJU FERTILIZERS"/>
    <s v="Private Retailer"/>
    <s v="9836764293"/>
    <n v="0.5"/>
    <n v="90"/>
    <x v="6"/>
    <m/>
    <s v="2026-01-20"/>
    <s v="281525"/>
    <s v="M/S Sariful Haque"/>
    <s v="7890901060"/>
  </r>
  <r>
    <s v="RCF Trombay"/>
    <s v="15-15-15"/>
    <s v="WB"/>
    <x v="0"/>
    <s v="Barasat - I"/>
    <s v="User Not Mapped"/>
    <s v="User Not Mapped"/>
    <s v="User Not Mapped"/>
    <n v="616437"/>
    <s v="SAHIN FERTILIZERS"/>
    <s v="Private Retailer"/>
    <s v="9230280499"/>
    <n v="1"/>
    <n v="61"/>
    <x v="6"/>
    <m/>
    <s v="2026-02-18"/>
    <s v="281525"/>
    <s v="M/S Sariful Haque"/>
    <s v="7890901060"/>
  </r>
  <r>
    <s v="RCF Trombay"/>
    <s v="15-15-15"/>
    <s v="WB"/>
    <x v="0"/>
    <s v="Bongaon"/>
    <s v="User Not Mapped"/>
    <s v="User Not Mapped"/>
    <s v="User Not Mapped"/>
    <n v="227199"/>
    <s v="Simulia Nischintapur Skus Ltd"/>
    <s v="PACS"/>
    <s v="9733600404"/>
    <n v="1.3049999999999999"/>
    <n v="80"/>
    <x v="6"/>
    <m/>
    <s v="2026-01-30"/>
    <s v="281525"/>
    <s v="M/S Sariful Haque"/>
    <s v="7890901060"/>
  </r>
  <r>
    <s v="RCF Trombay"/>
    <s v="15-15-15"/>
    <s v="WB"/>
    <x v="0"/>
    <s v="Deganga"/>
    <s v="User Not Mapped"/>
    <s v="User Not Mapped"/>
    <s v="User Not Mapped"/>
    <n v="227272"/>
    <s v="Tofazzel Hoque And Brather Kr"/>
    <s v="Private Retailer"/>
    <s v="9593461668"/>
    <n v="0.35"/>
    <n v="48"/>
    <x v="3"/>
    <m/>
    <s v="2026-03-03"/>
    <s v="281525"/>
    <s v="M/S Sariful Haque"/>
    <s v="7890901060"/>
  </r>
  <r>
    <s v="RCF Import"/>
    <s v="MOP"/>
    <s v="WB"/>
    <x v="0"/>
    <s v="Bongaon"/>
    <s v="User Not Mapped"/>
    <s v="User Not Mapped"/>
    <s v="User Not Mapped"/>
    <n v="354734"/>
    <s v="Ashim Kumar Paul"/>
    <s v="Private Retailer"/>
    <s v="9734897685"/>
    <n v="4.05"/>
    <n v="50"/>
    <x v="3"/>
    <m/>
    <s v="2026-03-01"/>
    <s v="311050"/>
    <s v="M/S Suchitra Ghosh"/>
    <s v="9609145715"/>
  </r>
  <r>
    <s v="RCF Thal"/>
    <s v="N.C.Urea(45kg)"/>
    <s v="WB"/>
    <x v="0"/>
    <m/>
    <s v="User Not Mapped"/>
    <s v="User Not Mapped"/>
    <s v="User Not Mapped"/>
    <n v="550231"/>
    <s v="Ashit Majumder"/>
    <s v="Private Retailer"/>
    <s v="9091462008"/>
    <n v="0.21299999999999999"/>
    <n v="1838"/>
    <x v="2"/>
    <m/>
    <s v="2021-04-08"/>
    <s v="311050"/>
    <s v="M/S Suchitra Ghosh"/>
    <s v="9609145715"/>
  </r>
  <r>
    <s v="RCF Trombay"/>
    <s v="15-15-15"/>
    <s v="WB"/>
    <x v="0"/>
    <s v="Bagda"/>
    <s v="User Not Mapped"/>
    <s v="User Not Mapped"/>
    <s v="User Not Mapped"/>
    <n v="661803"/>
    <s v="BISWAS FERTILISER"/>
    <s v="Private Retailer"/>
    <s v="8697276223"/>
    <n v="2.95"/>
    <n v="287"/>
    <x v="1"/>
    <m/>
    <s v="2025-07-07"/>
    <s v="311050"/>
    <s v="M/S Suchitra Ghosh"/>
    <s v="9609145715"/>
  </r>
  <r>
    <s v="RCF Trombay"/>
    <s v="15-15-15"/>
    <s v="WB"/>
    <x v="0"/>
    <s v="Bongaon"/>
    <s v="User Not Mapped"/>
    <s v="User Not Mapped"/>
    <s v="User Not Mapped"/>
    <n v="355051"/>
    <s v="Jagabondhu  Mondal"/>
    <s v="Private Retailer"/>
    <s v="9735425284"/>
    <n v="4.75"/>
    <n v="55"/>
    <x v="3"/>
    <m/>
    <s v="2026-02-24"/>
    <s v="311050"/>
    <s v="M/S Suchitra Ghosh"/>
    <s v="9609145715"/>
  </r>
  <r>
    <s v="RCF Trombay"/>
    <s v="15-15-15"/>
    <s v="WB"/>
    <x v="0"/>
    <m/>
    <s v="User Not Mapped"/>
    <s v="User Not Mapped"/>
    <s v="User Not Mapped"/>
    <n v="355172"/>
    <s v="Khalek Mondal"/>
    <s v="Private Retailer"/>
    <s v="9547288570"/>
    <n v="1.7"/>
    <n v="1752"/>
    <x v="2"/>
    <m/>
    <s v="2021-07-03"/>
    <s v="311050"/>
    <s v="M/S Suchitra Ghosh"/>
    <s v="9609145715"/>
  </r>
  <r>
    <s v="RCF Trombay"/>
    <s v="N.C.Urea(45kg)"/>
    <s v="WB"/>
    <x v="0"/>
    <m/>
    <s v="User Not Mapped"/>
    <s v="User Not Mapped"/>
    <s v="User Not Mapped"/>
    <n v="355172"/>
    <s v="Khalek Mondal"/>
    <s v="Private Retailer"/>
    <s v="9547288570"/>
    <n v="2.4750000000000001"/>
    <n v="1752"/>
    <x v="2"/>
    <m/>
    <s v="2021-07-03"/>
    <s v="311050"/>
    <s v="M/S Suchitra Ghosh"/>
    <s v="9609145715"/>
  </r>
  <r>
    <s v="RCF Trombay"/>
    <s v="N.C.Urea(45kg)"/>
    <s v="WB"/>
    <x v="0"/>
    <m/>
    <s v="User Not Mapped"/>
    <s v="User Not Mapped"/>
    <s v="User Not Mapped"/>
    <n v="355360"/>
    <s v="Md.Abdul  Khalek  Mondal"/>
    <s v="Private Retailer"/>
    <s v="9732528799"/>
    <n v="4.4550000000000001"/>
    <n v="2064"/>
    <x v="2"/>
    <m/>
    <s v="2020-08-25"/>
    <s v="311050"/>
    <s v="M/S Suchitra Ghosh"/>
    <s v="9609145715"/>
  </r>
  <r>
    <s v="RCF Trombay"/>
    <s v="15-15-15"/>
    <s v="WB"/>
    <x v="0"/>
    <m/>
    <s v="User Not Mapped"/>
    <s v="User Not Mapped"/>
    <s v="User Not Mapped"/>
    <n v="355360"/>
    <s v="Md.Abdul  Khalek  Mondal"/>
    <s v="Private Retailer"/>
    <s v="9732528799"/>
    <n v="2.6"/>
    <n v="2064"/>
    <x v="2"/>
    <m/>
    <s v="2020-08-25"/>
    <s v="311050"/>
    <s v="M/S Suchitra Ghosh"/>
    <s v="9609145715"/>
  </r>
  <r>
    <s v="RCF Trombay"/>
    <s v="15-15-15"/>
    <s v="WB"/>
    <x v="0"/>
    <s v="Bagda"/>
    <s v="User Not Mapped"/>
    <s v="User Not Mapped"/>
    <s v="User Not Mapped"/>
    <n v="456794"/>
    <s v="Mihir Ghosh"/>
    <s v="Private Retailer"/>
    <s v="7797392390"/>
    <n v="1.05"/>
    <n v="302"/>
    <x v="1"/>
    <m/>
    <s v="2025-06-22"/>
    <s v="311050"/>
    <s v="M/S Suchitra Ghosh"/>
    <s v="9609145715"/>
  </r>
  <r>
    <s v="RCF Trombay"/>
    <s v="15-15-15"/>
    <s v="WB"/>
    <x v="0"/>
    <s v="Bagda"/>
    <s v="User Not Mapped"/>
    <s v="User Not Mapped"/>
    <s v="User Not Mapped"/>
    <n v="513941"/>
    <s v="Sambhu Sadhu Khan"/>
    <s v="Private Retailer"/>
    <s v="9378335861"/>
    <n v="1.6479999999999999"/>
    <n v="57"/>
    <x v="3"/>
    <m/>
    <s v="2026-02-22"/>
    <s v="311050"/>
    <s v="M/S Suchitra Ghosh"/>
    <s v="9609145715"/>
  </r>
  <r>
    <s v="RCF Trombay"/>
    <s v="15-15-15"/>
    <s v="WB"/>
    <x v="0"/>
    <s v="Bagda"/>
    <s v="User Not Mapped"/>
    <s v="User Not Mapped"/>
    <s v="User Not Mapped"/>
    <n v="356258"/>
    <s v="Sankar Ghosh"/>
    <s v="Private Retailer"/>
    <s v="7001688369"/>
    <n v="3.65"/>
    <n v="57"/>
    <x v="3"/>
    <m/>
    <s v="2026-02-22"/>
    <s v="311050"/>
    <s v="M/S Suchitra Ghosh"/>
    <s v="9609145715"/>
  </r>
  <r>
    <s v="RCF Trombay"/>
    <s v="15-15-15"/>
    <s v="WB"/>
    <x v="0"/>
    <s v="Bongaon"/>
    <s v="User Not Mapped"/>
    <s v="User Not Mapped"/>
    <s v="User Not Mapped"/>
    <n v="648061"/>
    <s v="SOUMEN MONDAL"/>
    <s v="Private Retailer"/>
    <s v="8597194326"/>
    <n v="6"/>
    <n v="55"/>
    <x v="3"/>
    <m/>
    <s v="2026-02-24"/>
    <s v="311050"/>
    <s v="M/S Suchitra Ghosh"/>
    <s v="9609145715"/>
  </r>
  <r>
    <s v="RCF Thal"/>
    <s v="N.C.Urea(45kg)"/>
    <s v="WB"/>
    <x v="0"/>
    <s v="Baduria"/>
    <s v="User Not Mapped"/>
    <s v="User Not Mapped"/>
    <s v="User Not Mapped"/>
    <n v="226531"/>
    <s v="Azahar Krishi Bhandar"/>
    <s v="Private Retailer"/>
    <s v="9735604529"/>
    <n v="2.9249999999999998"/>
    <n v="203"/>
    <x v="1"/>
    <m/>
    <s v="2025-09-29"/>
    <s v="223821"/>
    <s v="M/S Tilok Kumar Dutta"/>
    <s v="9064209939"/>
  </r>
  <r>
    <s v="RCF Trombay"/>
    <s v="15-15-15"/>
    <s v="WB"/>
    <x v="0"/>
    <m/>
    <s v="User Not Mapped"/>
    <s v="User Not Mapped"/>
    <s v="User Not Mapped"/>
    <n v="520447"/>
    <s v="Gopal Chandra Mondal"/>
    <s v="Private Retailer"/>
    <s v="9474494752"/>
    <n v="0.5"/>
    <n v="1739"/>
    <x v="2"/>
    <m/>
    <s v="2021-07-16"/>
    <s v="223821"/>
    <s v="M/S Tilok Kumar Dutta"/>
    <s v="9064209939"/>
  </r>
  <r>
    <s v="RCF Thal"/>
    <s v="N.C.Urea(45kg)"/>
    <s v="WB"/>
    <x v="0"/>
    <s v="Barasat - II"/>
    <s v="User Not Mapped"/>
    <s v="User Not Mapped"/>
    <s v="User Not Mapped"/>
    <n v="227011"/>
    <s v="M/S Tapan Fertilizers"/>
    <s v="Private Retailer"/>
    <s v="8016463251"/>
    <n v="5.4450000000000003"/>
    <n v="138"/>
    <x v="4"/>
    <m/>
    <s v="2025-12-03"/>
    <s v="223821"/>
    <s v="M/S Tilok Kumar Dutta"/>
    <s v="9064209939"/>
  </r>
  <r>
    <s v="RCF Trombay"/>
    <s v="N.C.Urea(45kg)"/>
    <s v="WB"/>
    <x v="0"/>
    <s v="Deganga"/>
    <s v="User Not Mapped"/>
    <s v="User Not Mapped"/>
    <s v="User Not Mapped"/>
    <n v="226857"/>
    <s v="Md.Kays Ali"/>
    <s v="Private Retailer"/>
    <s v="9609191791"/>
    <n v="5.58"/>
    <n v="941"/>
    <x v="2"/>
    <m/>
    <s v="2023-09-22"/>
    <s v="223821"/>
    <s v="M/S Tilok Kumar Dutta"/>
    <s v="9064209939"/>
  </r>
  <r>
    <s v="RCF Thal"/>
    <s v="N.C.Urea(45kg)"/>
    <s v="WB"/>
    <x v="0"/>
    <s v="Barasat - II"/>
    <s v="User Not Mapped"/>
    <s v="User Not Mapped"/>
    <s v="User Not Mapped"/>
    <n v="1475157"/>
    <s v="MEHER ALI FERTILIZER"/>
    <s v="Private Retailer"/>
    <s v="9091060315"/>
    <n v="4.41"/>
    <n v="167"/>
    <x v="4"/>
    <m/>
    <s v="2025-11-04"/>
    <s v="223821"/>
    <s v="M/S Tilok Kumar Dutta"/>
    <s v="9064209939"/>
  </r>
  <r>
    <s v="RCF Thal"/>
    <s v="N.C.Urea(45kg)"/>
    <s v="WB"/>
    <x v="0"/>
    <m/>
    <s v="User Not Mapped"/>
    <s v="User Not Mapped"/>
    <s v="User Not Mapped"/>
    <n v="227018"/>
    <s v="Muniya Krishi Bhandar"/>
    <s v="Private Retailer"/>
    <s v="9933360073"/>
    <n v="0.45"/>
    <n v="203"/>
    <x v="1"/>
    <m/>
    <s v="2025-09-29"/>
    <s v="223821"/>
    <s v="M/S Tilok Kumar Dutta"/>
    <s v="9064209939"/>
  </r>
  <r>
    <s v="RCF Trombay"/>
    <s v="N.C.Urea(45kg)"/>
    <s v="WB"/>
    <x v="0"/>
    <s v="Hingalganj"/>
    <s v="User Not Mapped"/>
    <s v="User Not Mapped"/>
    <s v="User Not Mapped"/>
    <n v="341414"/>
    <s v="Goutam Chakraborty"/>
    <s v="Private Retailer"/>
    <s v="9932527733"/>
    <n v="1.4850000000000001"/>
    <n v="197"/>
    <x v="1"/>
    <m/>
    <s v="2025-10-05"/>
    <s v="294884"/>
    <s v="M/S Uttam Kumar Dalal"/>
    <s v="9832231914"/>
  </r>
  <r>
    <s v="RCF Trombay"/>
    <s v="N.C.Urea(45kg)"/>
    <s v="WB"/>
    <x v="0"/>
    <m/>
    <s v="User Not Mapped"/>
    <s v="User Not Mapped"/>
    <s v="User Not Mapped"/>
    <n v="546173"/>
    <s v="Mahabub Hasan"/>
    <s v="Private Retailer"/>
    <s v="9734674136"/>
    <n v="0.45"/>
    <n v="2300"/>
    <x v="2"/>
    <m/>
    <s v="2020-01-02"/>
    <s v="294884"/>
    <s v="M/S Uttam Kumar Dalal"/>
    <s v="9832231914"/>
  </r>
  <r>
    <s v="RCF Trombay"/>
    <s v="N.C.Urea(45kg)"/>
    <s v="WB"/>
    <x v="0"/>
    <m/>
    <s v="User Not Mapped"/>
    <s v="User Not Mapped"/>
    <s v="User Not Mapped"/>
    <n v="546173"/>
    <s v="Mahabub Hasan"/>
    <s v="Private Retailer"/>
    <s v="9734674136"/>
    <n v="0.40200000000000002"/>
    <n v="2312"/>
    <x v="2"/>
    <m/>
    <s v="2019-12-21"/>
    <s v="294884"/>
    <s v="M/S Uttam Kumar Dalal"/>
    <s v="9832231914"/>
  </r>
  <r>
    <s v="RCF Trombay"/>
    <s v="15-15-15"/>
    <s v="WB"/>
    <x v="0"/>
    <m/>
    <s v="User Not Mapped"/>
    <s v="User Not Mapped"/>
    <s v="User Not Mapped"/>
    <n v="546173"/>
    <s v="Mahabub Hasan"/>
    <s v="Private Retailer"/>
    <s v="9734674136"/>
    <n v="0.25"/>
    <n v="2193"/>
    <x v="2"/>
    <m/>
    <s v="2020-04-18"/>
    <s v="294884"/>
    <s v="M/S Uttam Kumar Dalal"/>
    <s v="9832231914"/>
  </r>
  <r>
    <s v="RCF Trombay"/>
    <s v="15-15-15"/>
    <s v="WB"/>
    <x v="0"/>
    <m/>
    <s v="User Not Mapped"/>
    <s v="User Not Mapped"/>
    <s v="User Not Mapped"/>
    <n v="546173"/>
    <s v="Mahabub Hasan"/>
    <s v="Private Retailer"/>
    <s v="9734674136"/>
    <n v="0.25"/>
    <n v="2227"/>
    <x v="2"/>
    <m/>
    <s v="2020-03-15"/>
    <s v="294884"/>
    <s v="M/S Uttam Kumar Dalal"/>
    <s v="9832231914"/>
  </r>
  <r>
    <s v="RCF Trombay"/>
    <s v="15-15-15"/>
    <s v="WB"/>
    <x v="0"/>
    <m/>
    <s v="User Not Mapped"/>
    <s v="User Not Mapped"/>
    <s v="User Not Mapped"/>
    <n v="546173"/>
    <s v="Mahabub Hasan"/>
    <s v="Private Retailer"/>
    <s v="9734674136"/>
    <n v="0.17499999999999999"/>
    <n v="2300"/>
    <x v="2"/>
    <m/>
    <s v="2020-01-02"/>
    <s v="294884"/>
    <s v="M/S Uttam Kumar Dalal"/>
    <s v="9832231914"/>
  </r>
  <r>
    <s v="RCF Trombay"/>
    <s v="N.C.Urea(45kg)"/>
    <s v="WB"/>
    <x v="0"/>
    <s v="Sandeshkhali - II"/>
    <s v="User Not Mapped"/>
    <s v="User Not Mapped"/>
    <s v="User Not Mapped"/>
    <n v="226824"/>
    <s v="Manobendraodas"/>
    <s v="Private Retailer"/>
    <s v="9732623913"/>
    <n v="0.67500000000000004"/>
    <n v="197"/>
    <x v="1"/>
    <m/>
    <s v="2025-10-05"/>
    <s v="294884"/>
    <s v="M/S Uttam Kumar Dalal"/>
    <s v="9832231914"/>
  </r>
  <r>
    <s v="RCF Trombay"/>
    <s v="N.C.Urea(45kg)"/>
    <s v="WB"/>
    <x v="0"/>
    <s v="Basirhat - I"/>
    <s v="User Not Mapped"/>
    <s v="User Not Mapped"/>
    <s v="User Not Mapped"/>
    <n v="382469"/>
    <s v="Sonali Krishi Bipani"/>
    <s v="Private Retailer"/>
    <s v="9732957761"/>
    <n v="0.09"/>
    <n v="151"/>
    <x v="4"/>
    <m/>
    <s v="2025-11-20"/>
    <s v="294884"/>
    <s v="M/S Uttam Kumar Dalal"/>
    <s v="9832231914"/>
  </r>
  <r>
    <s v="RCF Trombay"/>
    <s v="15-15-15"/>
    <s v="WB"/>
    <x v="0"/>
    <m/>
    <s v="User Not Mapped"/>
    <s v="User Not Mapped"/>
    <s v="User Not Mapped"/>
    <n v="219015"/>
    <s v="M/S Arif Enterprise"/>
    <s v="Private Retailer"/>
    <s v="9836381492"/>
    <n v="0.28000000000000003"/>
    <n v="2403"/>
    <x v="2"/>
    <m/>
    <s v="2019-09-21"/>
    <s v="910962"/>
    <s v="M/S. BERA ENTERPRISE"/>
    <s v="9836333180"/>
  </r>
  <r>
    <s v="RCF Trombay"/>
    <s v="15-15-15"/>
    <s v="WB"/>
    <x v="0"/>
    <s v="Barasat - I"/>
    <s v="User Not Mapped"/>
    <s v="User Not Mapped"/>
    <s v="User Not Mapped"/>
    <n v="270799"/>
    <s v="Safura Bibi"/>
    <s v="Private Retailer"/>
    <s v="9830435119"/>
    <n v="0.21"/>
    <n v="194"/>
    <x v="1"/>
    <m/>
    <s v="2025-10-08"/>
    <s v="910962"/>
    <s v="M/S. BERA ENTERPRISE"/>
    <s v="9836333180"/>
  </r>
  <r>
    <s v="RCF Import"/>
    <s v="Imp 10-26-26"/>
    <s v="WB"/>
    <x v="0"/>
    <s v="Bongaon"/>
    <s v="User Not Mapped"/>
    <s v="User Not Mapped"/>
    <s v="User Not Mapped"/>
    <n v="281522"/>
    <s v="N.C. Das and Co."/>
    <s v="Private Wholsaler"/>
    <s v="6297603863"/>
    <n v="2.5"/>
    <n v="40"/>
    <x v="3"/>
    <s v="'NCD/03/0034'"/>
    <s v="2026-03-11"/>
    <s v="280729"/>
    <s v="M/s. Naresh Chandra Das"/>
    <s v="7365868045"/>
  </r>
  <r>
    <s v="RCF Thal"/>
    <s v="N.C.Urea(45kg)"/>
    <s v="WB"/>
    <x v="0"/>
    <s v="Basirhat - II"/>
    <s v="User Not Mapped"/>
    <s v="User Not Mapped"/>
    <s v="User Not Mapped"/>
    <n v="226446"/>
    <s v="Abdus Salam"/>
    <s v="Private Retailer"/>
    <s v="8116777334"/>
    <n v="0.315"/>
    <n v="143"/>
    <x v="4"/>
    <m/>
    <s v="2025-11-28"/>
    <s v="223812"/>
    <s v="M/S. Shyma Krishi B"/>
    <s v="8918388042"/>
  </r>
  <r>
    <s v="RCF Trombay"/>
    <s v="15-15-15"/>
    <s v="WB"/>
    <x v="0"/>
    <s v="Barasat - I"/>
    <s v="User Not Mapped"/>
    <s v="User Not Mapped"/>
    <s v="User Not Mapped"/>
    <n v="917451"/>
    <s v="Abu Talab"/>
    <s v="Private Retailer"/>
    <s v="9734293880"/>
    <n v="3.5"/>
    <n v="54"/>
    <x v="3"/>
    <m/>
    <s v="2026-02-25"/>
    <s v="223812"/>
    <s v="M/S. Shyma Krishi B"/>
    <s v="8918388042"/>
  </r>
  <r>
    <s v="RCF Import"/>
    <s v="Imp 10-26-26"/>
    <s v="WB"/>
    <x v="0"/>
    <s v="Bagda"/>
    <s v="User Not Mapped"/>
    <s v="User Not Mapped"/>
    <s v="User Not Mapped"/>
    <n v="340697"/>
    <s v="Abubak Kar  Mondal"/>
    <s v="Private Retailer"/>
    <s v="9547499471"/>
    <n v="2.6659999999999999"/>
    <n v="55"/>
    <x v="3"/>
    <m/>
    <s v="2026-02-24"/>
    <s v="223812"/>
    <s v="M/S. Shyma Krishi B"/>
    <s v="8918388042"/>
  </r>
  <r>
    <s v="RCF Thal"/>
    <s v="N.C.Urea(45kg)"/>
    <s v="WB"/>
    <x v="0"/>
    <s v="Minakhan"/>
    <s v="User Not Mapped"/>
    <s v="User Not Mapped"/>
    <s v="User Not Mapped"/>
    <n v="382782"/>
    <s v="Abul Kasham Tarafdur"/>
    <s v="Private Retailer"/>
    <s v="9733885160"/>
    <n v="3.915"/>
    <n v="450"/>
    <x v="0"/>
    <m/>
    <s v="2025-01-25"/>
    <s v="223812"/>
    <s v="M/S. Shyma Krishi B"/>
    <s v="8918388042"/>
  </r>
  <r>
    <s v="RCF Trombay"/>
    <s v="15-15-15"/>
    <s v="WB"/>
    <x v="0"/>
    <s v="Deganga"/>
    <s v="User Not Mapped"/>
    <s v="User Not Mapped"/>
    <s v="User Not Mapped"/>
    <n v="226454"/>
    <s v="Adarsh Krishi Bhandar"/>
    <s v="Private Retailer"/>
    <s v="9143169628"/>
    <n v="11"/>
    <n v="92"/>
    <x v="7"/>
    <m/>
    <s v="2026-01-18"/>
    <s v="223812"/>
    <s v="M/S. Shyma Krishi B"/>
    <s v="8918388042"/>
  </r>
  <r>
    <s v="RCF Import"/>
    <s v="Imp 10-26-26"/>
    <s v="WB"/>
    <x v="0"/>
    <s v="Deganga"/>
    <s v="User Not Mapped"/>
    <s v="User Not Mapped"/>
    <s v="User Not Mapped"/>
    <n v="226454"/>
    <s v="Adarsh Krishi Bhandar"/>
    <s v="Private Retailer"/>
    <s v="9143169628"/>
    <n v="5.5"/>
    <n v="240"/>
    <x v="1"/>
    <m/>
    <s v="2025-08-23"/>
    <s v="223812"/>
    <s v="M/S. Shyma Krishi B"/>
    <s v="8918388042"/>
  </r>
  <r>
    <s v="RCF Trombay"/>
    <s v="15-15-15"/>
    <s v="WB"/>
    <x v="0"/>
    <s v="Habra - I"/>
    <s v="User Not Mapped"/>
    <s v="User Not Mapped"/>
    <s v="User Not Mapped"/>
    <n v="1490381"/>
    <s v="AKUNJI KRISHI BHANDAR"/>
    <s v="Private Retailer"/>
    <s v="9153001338"/>
    <n v="1.65"/>
    <n v="92"/>
    <x v="7"/>
    <m/>
    <s v="2026-01-18"/>
    <s v="223812"/>
    <s v="M/S. Shyma Krishi B"/>
    <s v="8918388042"/>
  </r>
  <r>
    <s v="RCF Import"/>
    <s v="MOP"/>
    <s v="WB"/>
    <x v="0"/>
    <s v="Barrackpur - I"/>
    <s v="User Not Mapped"/>
    <s v="User Not Mapped"/>
    <s v="User Not Mapped"/>
    <n v="777445"/>
    <s v="AMIN FERTILIZER"/>
    <s v="Private Retailer"/>
    <s v="7003642822"/>
    <n v="5.05"/>
    <n v="61"/>
    <x v="6"/>
    <m/>
    <s v="2026-02-18"/>
    <s v="223812"/>
    <s v="M/S. Shyma Krishi B"/>
    <s v="8918388042"/>
  </r>
  <r>
    <s v="RCF Trombay"/>
    <s v="15-15-15"/>
    <s v="WB"/>
    <x v="0"/>
    <s v="Barrackpur - I"/>
    <s v="User Not Mapped"/>
    <s v="User Not Mapped"/>
    <s v="User Not Mapped"/>
    <n v="777445"/>
    <s v="AMIN FERTILIZER"/>
    <s v="Private Retailer"/>
    <s v="7003642822"/>
    <n v="2.95"/>
    <n v="92"/>
    <x v="7"/>
    <m/>
    <s v="2026-01-18"/>
    <s v="223812"/>
    <s v="M/S. Shyma Krishi B"/>
    <s v="8918388042"/>
  </r>
  <r>
    <s v="RCF Trombay"/>
    <s v="15-15-15"/>
    <s v="WB"/>
    <x v="0"/>
    <s v="Bongaon"/>
    <s v="User Not Mapped"/>
    <s v="User Not Mapped"/>
    <s v="User Not Mapped"/>
    <n v="467907"/>
    <s v="Amrita Mondal"/>
    <s v="Private Retailer"/>
    <s v="9733724185"/>
    <n v="0.15"/>
    <n v="64"/>
    <x v="6"/>
    <m/>
    <s v="2026-02-15"/>
    <s v="223812"/>
    <s v="M/S. Shyma Krishi B"/>
    <s v="8918388042"/>
  </r>
  <r>
    <s v="RCF Import"/>
    <s v="MOP"/>
    <s v="WB"/>
    <x v="0"/>
    <m/>
    <s v="User Not Mapped"/>
    <s v="User Not Mapped"/>
    <s v="User Not Mapped"/>
    <n v="226518"/>
    <s v="Ashim Bhattacharyya"/>
    <s v="Private Retailer"/>
    <s v="9635969263"/>
    <n v="0.35"/>
    <n v="429"/>
    <x v="0"/>
    <m/>
    <s v="2025-02-15"/>
    <s v="223812"/>
    <s v="M/S. Shyma Krishi B"/>
    <s v="8918388042"/>
  </r>
  <r>
    <s v="RCF Trombay"/>
    <s v="N.C.Urea(45kg)"/>
    <s v="WB"/>
    <x v="0"/>
    <s v="Habra - I"/>
    <s v="User Not Mapped"/>
    <s v="User Not Mapped"/>
    <s v="User Not Mapped"/>
    <n v="226548"/>
    <s v="Barun Kumar Nandy"/>
    <s v="Private Retailer"/>
    <s v="9735378743"/>
    <n v="5.49"/>
    <n v="64"/>
    <x v="6"/>
    <m/>
    <s v="2026-02-15"/>
    <s v="223812"/>
    <s v="M/S. Shyma Krishi B"/>
    <s v="8918388042"/>
  </r>
  <r>
    <s v="RCF Thal"/>
    <s v="N.C.Urea(45kg)"/>
    <s v="WB"/>
    <x v="0"/>
    <s v="Habra - I"/>
    <s v="User Not Mapped"/>
    <s v="User Not Mapped"/>
    <s v="User Not Mapped"/>
    <n v="226548"/>
    <s v="Barun Kumar Nandy"/>
    <s v="Private Retailer"/>
    <s v="9735378743"/>
    <n v="3.7349999999999999"/>
    <n v="40"/>
    <x v="3"/>
    <m/>
    <s v="2026-03-11"/>
    <s v="223812"/>
    <s v="M/S. Shyma Krishi B"/>
    <s v="8918388042"/>
  </r>
  <r>
    <s v="RCF Trombay"/>
    <s v="15-15-15"/>
    <s v="WB"/>
    <x v="0"/>
    <s v="Bagda"/>
    <s v="User Not Mapped"/>
    <s v="User Not Mapped"/>
    <s v="User Not Mapped"/>
    <n v="354849"/>
    <s v="Biswajit Ghosh"/>
    <s v="Private Retailer"/>
    <s v="9733685814"/>
    <n v="0.53"/>
    <n v="56"/>
    <x v="3"/>
    <m/>
    <s v="2026-02-23"/>
    <s v="223812"/>
    <s v="M/S. Shyma Krishi B"/>
    <s v="8918388042"/>
  </r>
  <r>
    <s v="RCF Trombay"/>
    <s v="15-15-15"/>
    <s v="WB"/>
    <x v="0"/>
    <s v="Gaighata"/>
    <s v="User Not Mapped"/>
    <s v="User Not Mapped"/>
    <s v="User Not Mapped"/>
    <n v="354848"/>
    <s v="Biswajit Ghosh"/>
    <s v="Private Retailer"/>
    <s v="9475138538"/>
    <n v="1.9"/>
    <n v="92"/>
    <x v="7"/>
    <m/>
    <s v="2026-01-18"/>
    <s v="223812"/>
    <s v="M/S. Shyma Krishi B"/>
    <s v="8918388042"/>
  </r>
  <r>
    <s v="RCF Import"/>
    <s v="MOP"/>
    <s v="WB"/>
    <x v="0"/>
    <s v="Gaighata"/>
    <s v="User Not Mapped"/>
    <s v="User Not Mapped"/>
    <s v="User Not Mapped"/>
    <n v="354848"/>
    <s v="Biswajit Ghosh"/>
    <s v="Private Retailer"/>
    <s v="9475138538"/>
    <n v="1.75"/>
    <n v="55"/>
    <x v="3"/>
    <m/>
    <s v="2026-02-24"/>
    <s v="223812"/>
    <s v="M/S. Shyma Krishi B"/>
    <s v="8918388042"/>
  </r>
  <r>
    <s v="RCF Thal"/>
    <s v="N.C.Urea(45kg)"/>
    <s v="WB"/>
    <x v="0"/>
    <s v="Baduria"/>
    <s v="User Not Mapped"/>
    <s v="User Not Mapped"/>
    <s v="User Not Mapped"/>
    <n v="226580"/>
    <s v="Biswanath Mondal"/>
    <s v="Private Retailer"/>
    <s v="9735383595"/>
    <n v="0.66500000000000004"/>
    <n v="245"/>
    <x v="1"/>
    <m/>
    <s v="2025-08-18"/>
    <s v="223812"/>
    <s v="M/S. Shyma Krishi B"/>
    <s v="8918388042"/>
  </r>
  <r>
    <s v="RCF Trombay"/>
    <s v="15-15-15"/>
    <s v="WB"/>
    <x v="0"/>
    <s v="Swarupnagar"/>
    <s v="User Not Mapped"/>
    <s v="User Not Mapped"/>
    <s v="User Not Mapped"/>
    <n v="226581"/>
    <s v="Biswanath Mondal"/>
    <s v="Private Retailer"/>
    <s v="9378028184"/>
    <n v="1.85"/>
    <n v="92"/>
    <x v="7"/>
    <m/>
    <s v="2026-01-18"/>
    <s v="223812"/>
    <s v="M/S. Shyma Krishi B"/>
    <s v="8918388042"/>
  </r>
  <r>
    <s v="RCF Import"/>
    <s v="MOP"/>
    <s v="WB"/>
    <x v="0"/>
    <s v="Gaighata"/>
    <s v="User Not Mapped"/>
    <s v="User Not Mapped"/>
    <s v="User Not Mapped"/>
    <n v="1383396"/>
    <s v="BISWAS KRISHI BHANDER"/>
    <s v="Private Retailer"/>
    <s v="9126932292"/>
    <n v="5.5"/>
    <n v="61"/>
    <x v="6"/>
    <m/>
    <s v="2026-02-18"/>
    <s v="223812"/>
    <s v="M/S. Shyma Krishi B"/>
    <s v="8918388042"/>
  </r>
  <r>
    <s v="RCF Thal"/>
    <s v="N.C.Urea(45kg)"/>
    <s v="WB"/>
    <x v="0"/>
    <s v="Gaighata"/>
    <s v="User Not Mapped"/>
    <s v="User Not Mapped"/>
    <s v="User Not Mapped"/>
    <n v="1383396"/>
    <s v="BISWAS KRISHI BHANDER"/>
    <s v="Private Retailer"/>
    <s v="9126932292"/>
    <n v="2.4750000000000001"/>
    <n v="143"/>
    <x v="4"/>
    <m/>
    <s v="2025-11-28"/>
    <s v="223812"/>
    <s v="M/S. Shyma Krishi B"/>
    <s v="8918388042"/>
  </r>
  <r>
    <s v="RCF Trombay"/>
    <s v="N.C.Urea(45kg)"/>
    <s v="WB"/>
    <x v="0"/>
    <s v="Habra - I"/>
    <s v="User Not Mapped"/>
    <s v="User Not Mapped"/>
    <s v="User Not Mapped"/>
    <n v="226595"/>
    <s v="Brojendra Mazumder"/>
    <s v="Private Retailer"/>
    <s v="9635546091"/>
    <n v="0.67500000000000004"/>
    <n v="58"/>
    <x v="3"/>
    <m/>
    <s v="2026-02-21"/>
    <s v="223812"/>
    <s v="M/S. Shyma Krishi B"/>
    <s v="8918388042"/>
  </r>
  <r>
    <s v="RCF Trombay"/>
    <s v="15-15-15"/>
    <s v="WB"/>
    <x v="0"/>
    <s v="Habra - I"/>
    <s v="User Not Mapped"/>
    <s v="User Not Mapped"/>
    <s v="User Not Mapped"/>
    <n v="1498786"/>
    <s v="CHALKULTALA  SAMOBAY KRISHI UN"/>
    <s v="PACS"/>
    <s v="8436367433"/>
    <n v="11"/>
    <n v="33"/>
    <x v="3"/>
    <m/>
    <s v="2026-03-18"/>
    <s v="223812"/>
    <s v="M/S. Shyma Krishi B"/>
    <s v="8918388042"/>
  </r>
  <r>
    <s v="RCF Trombay"/>
    <s v="N.C.Urea(45kg)"/>
    <s v="WB"/>
    <x v="0"/>
    <s v="Habra - I"/>
    <s v="User Not Mapped"/>
    <s v="User Not Mapped"/>
    <s v="User Not Mapped"/>
    <n v="1498786"/>
    <s v="CHALKULTALA  SAMOBAY KRISHI UN"/>
    <s v="PACS"/>
    <s v="8436367433"/>
    <n v="5.49"/>
    <n v="33"/>
    <x v="3"/>
    <m/>
    <s v="2026-03-18"/>
    <s v="223812"/>
    <s v="M/S. Shyma Krishi B"/>
    <s v="8918388042"/>
  </r>
  <r>
    <s v="RCF Thal"/>
    <s v="N.C.Urea(45kg)"/>
    <s v="WB"/>
    <x v="0"/>
    <s v="Baduria"/>
    <s v="User Not Mapped"/>
    <s v="User Not Mapped"/>
    <s v="User Not Mapped"/>
    <n v="226602"/>
    <s v="Chasir Bandhu"/>
    <s v="Private Retailer"/>
    <s v="8436150102"/>
    <n v="0.9"/>
    <n v="275"/>
    <x v="1"/>
    <m/>
    <s v="2025-07-19"/>
    <s v="223812"/>
    <s v="M/S. Shyma Krishi B"/>
    <s v="8918388042"/>
  </r>
  <r>
    <s v="RCF Thal"/>
    <s v="N.C.Urea(45kg)"/>
    <s v="WB"/>
    <x v="0"/>
    <s v="Bongaon"/>
    <s v="User Not Mapped"/>
    <s v="User Not Mapped"/>
    <s v="User Not Mapped"/>
    <n v="1354330"/>
    <s v="CHITTARANJAN BISWAS"/>
    <s v="Private Retailer"/>
    <s v="7364985591"/>
    <n v="4.5449999999999999"/>
    <n v="9"/>
    <x v="5"/>
    <m/>
    <s v="2026-04-11"/>
    <s v="223812"/>
    <s v="M/S. Shyma Krishi B"/>
    <s v="8918388042"/>
  </r>
  <r>
    <s v="RCF Trombay"/>
    <s v="N.C.Urea(45kg)"/>
    <s v="WB"/>
    <x v="0"/>
    <s v="Amdanga"/>
    <s v="User Not Mapped"/>
    <s v="User Not Mapped"/>
    <s v="User Not Mapped"/>
    <n v="289597"/>
    <s v="Chowdhury Fertilizer"/>
    <s v="Private Retailer"/>
    <s v="9051376300"/>
    <n v="10.484999999999999"/>
    <n v="56"/>
    <x v="3"/>
    <m/>
    <s v="2026-02-23"/>
    <s v="223812"/>
    <s v="M/S. Shyma Krishi B"/>
    <s v="8918388042"/>
  </r>
  <r>
    <s v="RCF Import"/>
    <s v="MOP"/>
    <s v="WB"/>
    <x v="0"/>
    <s v="Basirhat - I"/>
    <s v="User Not Mapped"/>
    <s v="User Not Mapped"/>
    <s v="User Not Mapped"/>
    <n v="538246"/>
    <s v="Debabrata Kundu"/>
    <s v="Private Retailer"/>
    <s v="9002920606"/>
    <n v="0.35"/>
    <n v="61"/>
    <x v="6"/>
    <m/>
    <s v="2026-02-18"/>
    <s v="223812"/>
    <s v="M/S. Shyma Krishi B"/>
    <s v="8918388042"/>
  </r>
  <r>
    <s v="RCF Import"/>
    <s v="MOP"/>
    <s v="WB"/>
    <x v="0"/>
    <s v="Bongaon"/>
    <s v="User Not Mapped"/>
    <s v="User Not Mapped"/>
    <s v="User Not Mapped"/>
    <n v="637363"/>
    <s v="Dipak Mondal"/>
    <s v="Private Retailer"/>
    <s v="9735234421"/>
    <n v="0.45"/>
    <n v="429"/>
    <x v="0"/>
    <m/>
    <s v="2025-02-15"/>
    <s v="223812"/>
    <s v="M/S. Shyma Krishi B"/>
    <s v="8918388042"/>
  </r>
  <r>
    <s v="RCF Trombay"/>
    <s v="15-15-15"/>
    <s v="WB"/>
    <x v="0"/>
    <s v="Bongaon"/>
    <s v="User Not Mapped"/>
    <s v="User Not Mapped"/>
    <s v="User Not Mapped"/>
    <n v="637363"/>
    <s v="Dipak Mondal"/>
    <s v="Private Retailer"/>
    <s v="9735234421"/>
    <n v="4.4000000000000004"/>
    <n v="56"/>
    <x v="3"/>
    <m/>
    <s v="2026-02-23"/>
    <s v="223812"/>
    <s v="M/S. Shyma Krishi B"/>
    <s v="8918388042"/>
  </r>
  <r>
    <s v="RCF Import"/>
    <s v="Imp 10-26-26"/>
    <s v="WB"/>
    <x v="0"/>
    <s v="Bongaon"/>
    <s v="User Not Mapped"/>
    <s v="User Not Mapped"/>
    <s v="User Not Mapped"/>
    <n v="354923"/>
    <s v="Ebadur Rahman  Mondal"/>
    <s v="Private Retailer"/>
    <s v="9733807972"/>
    <n v="3.25"/>
    <n v="54"/>
    <x v="3"/>
    <m/>
    <s v="2026-02-25"/>
    <s v="223812"/>
    <s v="M/S. Shyma Krishi B"/>
    <s v="8918388042"/>
  </r>
  <r>
    <s v="RCF Trombay"/>
    <s v="15-15-15"/>
    <s v="WB"/>
    <x v="0"/>
    <s v="Bongaon"/>
    <s v="User Not Mapped"/>
    <s v="User Not Mapped"/>
    <s v="User Not Mapped"/>
    <n v="354923"/>
    <s v="Ebadur Rahman  Mondal"/>
    <s v="Private Retailer"/>
    <s v="9733807972"/>
    <n v="9.3000000000000007"/>
    <n v="64"/>
    <x v="6"/>
    <m/>
    <s v="2026-02-15"/>
    <s v="223812"/>
    <s v="M/S. Shyma Krishi B"/>
    <s v="8918388042"/>
  </r>
  <r>
    <s v="RCF Trombay"/>
    <s v="N.C.Urea(45kg)"/>
    <s v="WB"/>
    <x v="0"/>
    <s v="Bongaon"/>
    <s v="User Not Mapped"/>
    <s v="User Not Mapped"/>
    <s v="User Not Mapped"/>
    <n v="354923"/>
    <s v="Ebadur Rahman  Mondal"/>
    <s v="Private Retailer"/>
    <s v="9733807972"/>
    <n v="1.53"/>
    <n v="64"/>
    <x v="6"/>
    <m/>
    <s v="2026-02-15"/>
    <s v="223812"/>
    <s v="M/S. Shyma Krishi B"/>
    <s v="8918388042"/>
  </r>
  <r>
    <s v="RCF Trombay"/>
    <s v="15-15-15"/>
    <s v="WB"/>
    <x v="0"/>
    <s v="Bongaon"/>
    <s v="User Not Mapped"/>
    <s v="User Not Mapped"/>
    <s v="User Not Mapped"/>
    <n v="354923"/>
    <s v="Ebadur Rahman  Mondal"/>
    <s v="Private Retailer"/>
    <s v="9733807972"/>
    <n v="10"/>
    <n v="56"/>
    <x v="3"/>
    <m/>
    <s v="2026-02-23"/>
    <s v="223812"/>
    <s v="M/S. Shyma Krishi B"/>
    <s v="8918388042"/>
  </r>
  <r>
    <s v="RCF Trombay"/>
    <s v="15-15-15"/>
    <s v="WB"/>
    <x v="0"/>
    <s v="Baduria"/>
    <s v="User Not Mapped"/>
    <s v="User Not Mapped"/>
    <s v="User Not Mapped"/>
    <n v="226636"/>
    <s v="Ebrahim Molla"/>
    <s v="Private Retailer"/>
    <s v="9093997935"/>
    <n v="0.45"/>
    <n v="140"/>
    <x v="4"/>
    <m/>
    <s v="2025-12-01"/>
    <s v="223812"/>
    <s v="M/S. Shyma Krishi B"/>
    <s v="8918388042"/>
  </r>
  <r>
    <s v="RCF Trombay"/>
    <s v="N.C.Urea(45kg)"/>
    <s v="WB"/>
    <x v="0"/>
    <s v="Basirhat - II"/>
    <s v="User Not Mapped"/>
    <s v="User Not Mapped"/>
    <s v="User Not Mapped"/>
    <n v="323600"/>
    <s v="Emarat Ali"/>
    <s v="Private Retailer"/>
    <s v="9647706793"/>
    <n v="3.0150000000000001"/>
    <n v="100"/>
    <x v="7"/>
    <m/>
    <s v="2026-01-10"/>
    <s v="223812"/>
    <s v="M/S. Shyma Krishi B"/>
    <s v="8918388042"/>
  </r>
  <r>
    <s v="RCF Thal"/>
    <s v="N.C.Urea(45kg)"/>
    <s v="WB"/>
    <x v="0"/>
    <s v="Bongaon"/>
    <s v="User Not Mapped"/>
    <s v="User Not Mapped"/>
    <s v="User Not Mapped"/>
    <n v="411503"/>
    <s v="Gobindo Roy"/>
    <s v="Private Retailer"/>
    <s v="7098449420"/>
    <n v="5.49"/>
    <n v="69"/>
    <x v="6"/>
    <m/>
    <s v="2026-02-10"/>
    <s v="223812"/>
    <s v="M/S. Shyma Krishi B"/>
    <s v="8918388042"/>
  </r>
  <r>
    <s v="RCF Trombay"/>
    <s v="15-15-15"/>
    <s v="WB"/>
    <x v="0"/>
    <s v="Baduria"/>
    <s v="User Not Mapped"/>
    <s v="User Not Mapped"/>
    <s v="User Not Mapped"/>
    <n v="226708"/>
    <s v="Islam Krishi Bhaner"/>
    <s v="Private Retailer"/>
    <s v="9732559920"/>
    <n v="2"/>
    <n v="285"/>
    <x v="1"/>
    <m/>
    <s v="2025-07-09"/>
    <s v="223812"/>
    <s v="M/S. Shyma Krishi B"/>
    <s v="8918388042"/>
  </r>
  <r>
    <s v="RCF Trombay"/>
    <s v="15-15-15"/>
    <s v="WB"/>
    <x v="0"/>
    <s v="Habra - II"/>
    <s v="User Not Mapped"/>
    <s v="User Not Mapped"/>
    <s v="User Not Mapped"/>
    <n v="1096194"/>
    <s v="Krishak Krishi Bhander"/>
    <s v="Private Wholsaler"/>
    <s v="9734636496"/>
    <n v="3"/>
    <n v="59"/>
    <x v="3"/>
    <s v="'01276'"/>
    <s v="2026-02-20"/>
    <s v="223812"/>
    <s v="M/S. Shyma Krishi B"/>
    <s v="8918388042"/>
  </r>
  <r>
    <s v="RCF Import"/>
    <s v="Imp 10-26-26"/>
    <s v="WB"/>
    <x v="0"/>
    <m/>
    <s v="User Not Mapped"/>
    <s v="User Not Mapped"/>
    <s v="User Not Mapped"/>
    <n v="355216"/>
    <s v="Laxman Chandra Biswas"/>
    <s v="Private Retailer"/>
    <s v="9647324568"/>
    <n v="2.2999999999999998"/>
    <n v="240"/>
    <x v="1"/>
    <m/>
    <s v="2025-08-23"/>
    <s v="223812"/>
    <s v="M/S. Shyma Krishi B"/>
    <s v="8918388042"/>
  </r>
  <r>
    <s v="RCF Trombay"/>
    <s v="N.C.Urea(45kg)"/>
    <s v="WB"/>
    <x v="0"/>
    <m/>
    <s v="User Not Mapped"/>
    <s v="User Not Mapped"/>
    <s v="User Not Mapped"/>
    <n v="355216"/>
    <s v="Laxman Chandra Biswas"/>
    <s v="Private Retailer"/>
    <s v="9647324568"/>
    <n v="4.6349999999999998"/>
    <n v="56"/>
    <x v="3"/>
    <m/>
    <s v="2026-02-23"/>
    <s v="223812"/>
    <s v="M/S. Shyma Krishi B"/>
    <s v="8918388042"/>
  </r>
  <r>
    <s v="RCF Import"/>
    <s v="Imp 10-26-26"/>
    <s v="WB"/>
    <x v="0"/>
    <m/>
    <s v="User Not Mapped"/>
    <s v="User Not Mapped"/>
    <s v="User Not Mapped"/>
    <n v="355227"/>
    <s v="Liton  Mondal"/>
    <s v="Private Retailer"/>
    <s v="7001460767"/>
    <n v="5.5"/>
    <n v="55"/>
    <x v="3"/>
    <m/>
    <s v="2026-02-24"/>
    <s v="223812"/>
    <s v="M/S. Shyma Krishi B"/>
    <s v="8918388042"/>
  </r>
  <r>
    <s v="RCF Trombay"/>
    <s v="15-15-15"/>
    <s v="WB"/>
    <x v="0"/>
    <m/>
    <s v="User Not Mapped"/>
    <s v="User Not Mapped"/>
    <s v="User Not Mapped"/>
    <n v="355227"/>
    <s v="Liton  Mondal"/>
    <s v="Private Retailer"/>
    <s v="7001460767"/>
    <n v="0.9"/>
    <n v="425"/>
    <x v="0"/>
    <m/>
    <s v="2025-02-19"/>
    <s v="223812"/>
    <s v="M/S. Shyma Krishi B"/>
    <s v="8918388042"/>
  </r>
  <r>
    <s v="RCF Trombay"/>
    <s v="N.C.Urea(45kg)"/>
    <s v="WB"/>
    <x v="0"/>
    <m/>
    <s v="User Not Mapped"/>
    <s v="User Not Mapped"/>
    <s v="User Not Mapped"/>
    <n v="355227"/>
    <s v="Liton  Mondal"/>
    <s v="Private Retailer"/>
    <s v="7001460767"/>
    <n v="3.94"/>
    <n v="56"/>
    <x v="3"/>
    <m/>
    <s v="2026-02-23"/>
    <s v="223812"/>
    <s v="M/S. Shyma Krishi B"/>
    <s v="8918388042"/>
  </r>
  <r>
    <s v="RCF Import"/>
    <s v="MOP"/>
    <s v="WB"/>
    <x v="0"/>
    <m/>
    <s v="User Not Mapped"/>
    <s v="User Not Mapped"/>
    <s v="User Not Mapped"/>
    <n v="355227"/>
    <s v="Liton  Mondal"/>
    <s v="Private Retailer"/>
    <s v="7001460767"/>
    <n v="0.5"/>
    <n v="427"/>
    <x v="0"/>
    <m/>
    <s v="2025-02-17"/>
    <s v="223812"/>
    <s v="M/S. Shyma Krishi B"/>
    <s v="8918388042"/>
  </r>
  <r>
    <s v="RCF Trombay"/>
    <s v="15-15-15"/>
    <s v="WB"/>
    <x v="0"/>
    <s v="Bagda"/>
    <s v="User Not Mapped"/>
    <s v="User Not Mapped"/>
    <s v="User Not Mapped"/>
    <n v="355228"/>
    <s v="Liyakat Mondal"/>
    <s v="Private Retailer"/>
    <s v="8348148355"/>
    <n v="4"/>
    <n v="56"/>
    <x v="3"/>
    <m/>
    <s v="2026-02-23"/>
    <s v="223812"/>
    <s v="M/S. Shyma Krishi B"/>
    <s v="8918388042"/>
  </r>
  <r>
    <s v="RCF Import"/>
    <s v="Imp 10-26-26"/>
    <s v="WB"/>
    <x v="0"/>
    <s v="Bagda"/>
    <s v="User Not Mapped"/>
    <s v="User Not Mapped"/>
    <s v="User Not Mapped"/>
    <n v="355228"/>
    <s v="Liyakat Mondal"/>
    <s v="Private Retailer"/>
    <s v="8348148355"/>
    <n v="5.5"/>
    <n v="24"/>
    <x v="5"/>
    <m/>
    <s v="2026-03-27"/>
    <s v="223812"/>
    <s v="M/S. Shyma Krishi B"/>
    <s v="8918388042"/>
  </r>
  <r>
    <s v="RCF Thal"/>
    <s v="N.C.Urea(45kg)"/>
    <s v="WB"/>
    <x v="0"/>
    <s v="Gaighata"/>
    <s v="User Not Mapped"/>
    <s v="User Not Mapped"/>
    <s v="User Not Mapped"/>
    <n v="515702"/>
    <s v="Luftor Rahman Biswas"/>
    <s v="Private Retailer"/>
    <s v="9775524985"/>
    <n v="5.49"/>
    <n v="69"/>
    <x v="6"/>
    <m/>
    <s v="2026-02-10"/>
    <s v="223812"/>
    <s v="M/S. Shyma Krishi B"/>
    <s v="8918388042"/>
  </r>
  <r>
    <s v="RCF Import"/>
    <s v="MOP"/>
    <s v="WB"/>
    <x v="0"/>
    <s v="Gaighata"/>
    <s v="User Not Mapped"/>
    <s v="User Not Mapped"/>
    <s v="User Not Mapped"/>
    <n v="411347"/>
    <s v="M/S Babul Das"/>
    <s v="Private Retailer"/>
    <s v="9775056130"/>
    <n v="4.5"/>
    <n v="61"/>
    <x v="6"/>
    <m/>
    <s v="2026-02-18"/>
    <s v="223812"/>
    <s v="M/S. Shyma Krishi B"/>
    <s v="8918388042"/>
  </r>
  <r>
    <s v="RCF Thal"/>
    <s v="N.C.Urea(45kg)"/>
    <s v="WB"/>
    <x v="0"/>
    <s v="Basirhat - I"/>
    <s v="User Not Mapped"/>
    <s v="User Not Mapped"/>
    <s v="User Not Mapped"/>
    <n v="668530"/>
    <s v="M/s Bhattacharyya Krishi Bhand"/>
    <s v="Private Retailer"/>
    <s v="9647090898"/>
    <n v="4.95"/>
    <n v="40"/>
    <x v="3"/>
    <m/>
    <s v="2026-03-11"/>
    <s v="223812"/>
    <s v="M/S. Shyma Krishi B"/>
    <s v="8918388042"/>
  </r>
  <r>
    <s v="RCF Import"/>
    <s v="MOP"/>
    <s v="WB"/>
    <x v="0"/>
    <s v="Basirhat - I"/>
    <s v="User Not Mapped"/>
    <s v="User Not Mapped"/>
    <s v="User Not Mapped"/>
    <n v="668530"/>
    <s v="M/s Bhattacharyya Krishi Bhand"/>
    <s v="Private Retailer"/>
    <s v="9647090898"/>
    <n v="2.5"/>
    <n v="61"/>
    <x v="6"/>
    <m/>
    <s v="2026-02-18"/>
    <s v="223812"/>
    <s v="M/S. Shyma Krishi B"/>
    <s v="8918388042"/>
  </r>
  <r>
    <s v="RCF Trombay"/>
    <s v="15-15-15"/>
    <s v="WB"/>
    <x v="0"/>
    <s v="Amdanga"/>
    <s v="User Not Mapped"/>
    <s v="User Not Mapped"/>
    <s v="User Not Mapped"/>
    <n v="226936"/>
    <s v="M/S Bipul Kumar Ghosh"/>
    <s v="Private Retailer"/>
    <s v="9547911117"/>
    <n v="0.5"/>
    <n v="346"/>
    <x v="1"/>
    <m/>
    <s v="2025-05-09"/>
    <s v="223812"/>
    <s v="M/S. Shyma Krishi B"/>
    <s v="8918388042"/>
  </r>
  <r>
    <s v="RCF Import"/>
    <s v="Imp 10-26-26"/>
    <s v="WB"/>
    <x v="0"/>
    <s v="Amdanga"/>
    <s v="User Not Mapped"/>
    <s v="User Not Mapped"/>
    <s v="User Not Mapped"/>
    <n v="226936"/>
    <s v="M/S Bipul Kumar Ghosh"/>
    <s v="Private Retailer"/>
    <s v="9547911117"/>
    <n v="5"/>
    <n v="55"/>
    <x v="3"/>
    <m/>
    <s v="2026-02-24"/>
    <s v="223812"/>
    <s v="M/S. Shyma Krishi B"/>
    <s v="8918388042"/>
  </r>
  <r>
    <s v="RCF Thal"/>
    <s v="N.C.Urea(45kg)"/>
    <s v="WB"/>
    <x v="0"/>
    <m/>
    <s v="User Not Mapped"/>
    <s v="User Not Mapped"/>
    <s v="User Not Mapped"/>
    <n v="226983"/>
    <s v="M/S Molla Fertilizers"/>
    <s v="Private Retailer"/>
    <s v="7047741085"/>
    <n v="10.98"/>
    <n v="275"/>
    <x v="1"/>
    <m/>
    <s v="2025-07-19"/>
    <s v="223812"/>
    <s v="M/S. Shyma Krishi B"/>
    <s v="8918388042"/>
  </r>
  <r>
    <s v="RCF Import"/>
    <s v="Imp 10-26-26"/>
    <s v="WB"/>
    <x v="0"/>
    <m/>
    <s v="User Not Mapped"/>
    <s v="User Not Mapped"/>
    <s v="User Not Mapped"/>
    <n v="1505472"/>
    <s v="M/S SABUJ KRISHI BHANDAR"/>
    <s v="Private Retailer"/>
    <s v="9382467176"/>
    <n v="5.5"/>
    <n v="52"/>
    <x v="3"/>
    <m/>
    <s v="2026-02-27"/>
    <s v="223812"/>
    <s v="M/S. Shyma Krishi B"/>
    <s v="8918388042"/>
  </r>
  <r>
    <s v="RCF Thal"/>
    <s v="N.C.Urea(45kg)"/>
    <s v="WB"/>
    <x v="0"/>
    <s v="Gaighata"/>
    <s v="User Not Mapped"/>
    <s v="User Not Mapped"/>
    <s v="User Not Mapped"/>
    <n v="507604"/>
    <s v="M/S Sanjay Dutta"/>
    <s v="Private Retailer"/>
    <s v="8670776677"/>
    <n v="3.24"/>
    <n v="40"/>
    <x v="3"/>
    <m/>
    <s v="2026-03-11"/>
    <s v="223812"/>
    <s v="M/S. Shyma Krishi B"/>
    <s v="8918388042"/>
  </r>
  <r>
    <s v="RCF Thal"/>
    <s v="N.C.Urea(45kg)"/>
    <s v="WB"/>
    <x v="0"/>
    <s v="Swarupnagar"/>
    <s v="User Not Mapped"/>
    <s v="User Not Mapped"/>
    <s v="User Not Mapped"/>
    <n v="507610"/>
    <s v="M/S Tushar Kanti Ghosh"/>
    <s v="Private Retailer"/>
    <s v="9733561928"/>
    <n v="2.25"/>
    <n v="40"/>
    <x v="3"/>
    <m/>
    <s v="2026-03-11"/>
    <s v="223812"/>
    <s v="M/S. Shyma Krishi B"/>
    <s v="8918388042"/>
  </r>
  <r>
    <s v="RCF Import"/>
    <s v="Imp 10-26-26"/>
    <s v="WB"/>
    <x v="0"/>
    <s v="Baduria"/>
    <s v="User Not Mapped"/>
    <s v="User Not Mapped"/>
    <s v="User Not Mapped"/>
    <n v="226946"/>
    <s v="M/S. Ganesh Chandra Ghosh"/>
    <s v="Private Retailer"/>
    <s v="9733506474"/>
    <n v="1.5"/>
    <n v="55"/>
    <x v="3"/>
    <m/>
    <s v="2026-02-24"/>
    <s v="223812"/>
    <s v="M/S. Shyma Krishi B"/>
    <s v="8918388042"/>
  </r>
  <r>
    <s v="RCF Import"/>
    <s v="MOP"/>
    <s v="WB"/>
    <x v="0"/>
    <s v="Baduria"/>
    <s v="User Not Mapped"/>
    <s v="User Not Mapped"/>
    <s v="User Not Mapped"/>
    <n v="226946"/>
    <s v="M/S. Ganesh Chandra Ghosh"/>
    <s v="Private Retailer"/>
    <s v="9733506474"/>
    <n v="2.1"/>
    <n v="61"/>
    <x v="6"/>
    <m/>
    <s v="2026-02-18"/>
    <s v="223812"/>
    <s v="M/S. Shyma Krishi B"/>
    <s v="8918388042"/>
  </r>
  <r>
    <s v="RCF Thal"/>
    <s v="N.C.Urea(45kg)"/>
    <s v="WB"/>
    <x v="0"/>
    <s v="Barrackpur - II"/>
    <s v="User Not Mapped"/>
    <s v="User Not Mapped"/>
    <s v="User Not Mapped"/>
    <n v="226790"/>
    <s v="Maa Krishi Bhandar"/>
    <s v="Private Retailer"/>
    <s v="9836729552"/>
    <n v="0.72"/>
    <n v="40"/>
    <x v="3"/>
    <m/>
    <s v="2026-03-11"/>
    <s v="223812"/>
    <s v="M/S. Shyma Krishi B"/>
    <s v="8918388042"/>
  </r>
  <r>
    <s v="RCF Import"/>
    <s v="Imp 10-26-26"/>
    <s v="WB"/>
    <x v="0"/>
    <s v="Barrackpur - II"/>
    <s v="User Not Mapped"/>
    <s v="User Not Mapped"/>
    <s v="User Not Mapped"/>
    <n v="226790"/>
    <s v="Maa Krishi Bhandar"/>
    <s v="Private Retailer"/>
    <s v="9836729552"/>
    <n v="2"/>
    <n v="55"/>
    <x v="3"/>
    <m/>
    <s v="2026-02-24"/>
    <s v="223812"/>
    <s v="M/S. Shyma Krishi B"/>
    <s v="8918388042"/>
  </r>
  <r>
    <s v="RCF Thal"/>
    <s v="N.C.Urea(45kg)"/>
    <s v="WB"/>
    <x v="0"/>
    <s v="Gaighata"/>
    <s v="User Not Mapped"/>
    <s v="User Not Mapped"/>
    <s v="User Not Mapped"/>
    <n v="289610"/>
    <s v="Mahadev Kumar Mondal"/>
    <s v="Private Retailer"/>
    <s v="9614392732"/>
    <n v="1.665"/>
    <n v="40"/>
    <x v="3"/>
    <m/>
    <s v="2026-03-11"/>
    <s v="223812"/>
    <s v="M/S. Shyma Krishi B"/>
    <s v="8918388042"/>
  </r>
  <r>
    <s v="RCF Trombay"/>
    <s v="15-15-15"/>
    <s v="WB"/>
    <x v="0"/>
    <s v="Gaighata"/>
    <s v="User Not Mapped"/>
    <s v="User Not Mapped"/>
    <s v="User Not Mapped"/>
    <n v="289610"/>
    <s v="Mahadev Kumar Mondal"/>
    <s v="Private Retailer"/>
    <s v="9614392732"/>
    <n v="0.45"/>
    <n v="92"/>
    <x v="7"/>
    <m/>
    <s v="2026-01-18"/>
    <s v="223812"/>
    <s v="M/S. Shyma Krishi B"/>
    <s v="8918388042"/>
  </r>
  <r>
    <s v="RCF Import"/>
    <s v="Imp 10-26-26"/>
    <s v="WB"/>
    <x v="0"/>
    <m/>
    <s v="User Not Mapped"/>
    <s v="User Not Mapped"/>
    <s v="User Not Mapped"/>
    <n v="1640967"/>
    <s v="MANDAL FERTILIZER"/>
    <s v="Private Retailer"/>
    <s v="8346952662"/>
    <n v="2.2570000000000001"/>
    <n v="36"/>
    <x v="3"/>
    <m/>
    <s v="2026-03-15"/>
    <s v="223812"/>
    <s v="M/S. Shyma Krishi B"/>
    <s v="8918388042"/>
  </r>
  <r>
    <s v="RCF Import"/>
    <s v="MOP"/>
    <s v="WB"/>
    <x v="0"/>
    <m/>
    <s v="User Not Mapped"/>
    <s v="User Not Mapped"/>
    <s v="User Not Mapped"/>
    <n v="1640967"/>
    <s v="MANDAL FERTILIZER"/>
    <s v="Private Retailer"/>
    <s v="8346952662"/>
    <n v="4.6749999999999998"/>
    <n v="36"/>
    <x v="3"/>
    <m/>
    <s v="2026-03-15"/>
    <s v="223812"/>
    <s v="M/S. Shyma Krishi B"/>
    <s v="8918388042"/>
  </r>
  <r>
    <s v="RCF Trombay"/>
    <s v="N.C.Urea(45kg)"/>
    <s v="WB"/>
    <x v="0"/>
    <s v="Baduria"/>
    <s v="User Not Mapped"/>
    <s v="User Not Mapped"/>
    <s v="User Not Mapped"/>
    <n v="226861"/>
    <s v="Md. Mahiuddin"/>
    <s v="Private Retailer"/>
    <s v="9932760173"/>
    <n v="0.63"/>
    <n v="237"/>
    <x v="1"/>
    <m/>
    <s v="2025-08-26"/>
    <s v="223812"/>
    <s v="M/S. Shyma Krishi B"/>
    <s v="8918388042"/>
  </r>
  <r>
    <s v="RCF Thal"/>
    <s v="N.C.Urea(45kg)"/>
    <s v="WB"/>
    <x v="0"/>
    <s v="Deganga"/>
    <s v="User Not Mapped"/>
    <s v="User Not Mapped"/>
    <s v="User Not Mapped"/>
    <n v="226836"/>
    <s v="Md.Abdul Ohab"/>
    <s v="Private Retailer"/>
    <s v="9732820969"/>
    <n v="10.98"/>
    <n v="40"/>
    <x v="3"/>
    <m/>
    <s v="2026-03-11"/>
    <s v="223812"/>
    <s v="M/S. Shyma Krishi B"/>
    <s v="8918388042"/>
  </r>
  <r>
    <s v="RCF Trombay"/>
    <s v="15-15-15"/>
    <s v="WB"/>
    <x v="0"/>
    <s v="Gaighata"/>
    <s v="User Not Mapped"/>
    <s v="User Not Mapped"/>
    <s v="User Not Mapped"/>
    <n v="411459"/>
    <s v="Modern Fertilizer"/>
    <s v="Private Retailer"/>
    <s v="7872782575"/>
    <n v="4.9349999999999996"/>
    <n v="90"/>
    <x v="6"/>
    <m/>
    <s v="2026-01-20"/>
    <s v="223812"/>
    <s v="M/S. Shyma Krishi B"/>
    <s v="8918388042"/>
  </r>
  <r>
    <s v="RCF Thal"/>
    <s v="N.C.Urea(45kg)"/>
    <s v="WB"/>
    <x v="0"/>
    <s v="Minakhan"/>
    <s v="User Not Mapped"/>
    <s v="User Not Mapped"/>
    <s v="User Not Mapped"/>
    <n v="226883"/>
    <s v="Modina Krishi Bhander"/>
    <s v="Private Retailer"/>
    <s v="9775063185"/>
    <n v="5.94"/>
    <n v="275"/>
    <x v="1"/>
    <m/>
    <s v="2025-07-19"/>
    <s v="223812"/>
    <s v="M/S. Shyma Krishi B"/>
    <s v="8918388042"/>
  </r>
  <r>
    <s v="RCF Thal"/>
    <s v="N.C.Urea(45kg)"/>
    <s v="WB"/>
    <x v="0"/>
    <s v="Swarupnagar"/>
    <s v="User Not Mapped"/>
    <s v="User Not Mapped"/>
    <s v="User Not Mapped"/>
    <n v="1030072"/>
    <s v="MOGLESUR RAHAMAN MOLLA"/>
    <s v="Private Retailer"/>
    <s v="8509070605"/>
    <n v="2.9249999999999998"/>
    <n v="69"/>
    <x v="6"/>
    <m/>
    <s v="2026-02-10"/>
    <s v="223812"/>
    <s v="M/S. Shyma Krishi B"/>
    <s v="8918388042"/>
  </r>
  <r>
    <s v="RCF Trombay"/>
    <s v="N.C.Urea(45kg)"/>
    <s v="WB"/>
    <x v="0"/>
    <s v="Bongaon"/>
    <s v="User Not Mapped"/>
    <s v="User Not Mapped"/>
    <s v="User Not Mapped"/>
    <n v="355675"/>
    <s v="Molay  Mondal and Ujjawal  Mondal"/>
    <s v="Private Retailer"/>
    <s v="8918649966"/>
    <n v="3.375"/>
    <n v="174"/>
    <x v="4"/>
    <m/>
    <s v="2025-10-28"/>
    <s v="223812"/>
    <s v="M/S. Shyma Krishi B"/>
    <s v="8918388042"/>
  </r>
  <r>
    <s v="RCF Import"/>
    <s v="Imp 10-26-26"/>
    <s v="WB"/>
    <x v="0"/>
    <s v="Bongaon"/>
    <s v="User Not Mapped"/>
    <s v="User Not Mapped"/>
    <s v="User Not Mapped"/>
    <n v="355675"/>
    <s v="Molay  Mondal and Ujjawal  Mondal"/>
    <s v="Private Retailer"/>
    <s v="8918649966"/>
    <n v="5.5"/>
    <n v="54"/>
    <x v="3"/>
    <m/>
    <s v="2026-02-25"/>
    <s v="223812"/>
    <s v="M/S. Shyma Krishi B"/>
    <s v="8918388042"/>
  </r>
  <r>
    <s v="RCF Trombay"/>
    <s v="N.C.Urea(45kg)"/>
    <s v="WB"/>
    <x v="0"/>
    <s v="Baduria"/>
    <s v="User Not Mapped"/>
    <s v="User Not Mapped"/>
    <s v="User Not Mapped"/>
    <n v="1216140"/>
    <s v="MONDAL KRISHI BHANDAR"/>
    <s v="Private Retailer"/>
    <s v="6295541039"/>
    <n v="0.125"/>
    <n v="140"/>
    <x v="4"/>
    <m/>
    <s v="2025-12-01"/>
    <s v="223812"/>
    <s v="M/S. Shyma Krishi B"/>
    <s v="8918388042"/>
  </r>
  <r>
    <s v="RCF Trombay"/>
    <s v="15-15-15"/>
    <s v="WB"/>
    <x v="0"/>
    <s v="Baduria"/>
    <s v="User Not Mapped"/>
    <s v="User Not Mapped"/>
    <s v="User Not Mapped"/>
    <n v="1216140"/>
    <s v="MONDAL KRISHI BHANDAR"/>
    <s v="Private Retailer"/>
    <s v="6295541039"/>
    <n v="0.379"/>
    <n v="140"/>
    <x v="4"/>
    <m/>
    <s v="2025-12-01"/>
    <s v="223812"/>
    <s v="M/S. Shyma Krishi B"/>
    <s v="8918388042"/>
  </r>
  <r>
    <s v="RCF Trombay"/>
    <s v="15-15-15"/>
    <s v="WB"/>
    <x v="0"/>
    <s v="Habra - I"/>
    <s v="User Not Mapped"/>
    <s v="User Not Mapped"/>
    <s v="User Not Mapped"/>
    <n v="270824"/>
    <s v="MS Haque Krishi Bhander"/>
    <s v="Private Retailer"/>
    <s v="9002182376"/>
    <n v="1.5"/>
    <n v="92"/>
    <x v="7"/>
    <m/>
    <s v="2026-01-18"/>
    <s v="223812"/>
    <s v="M/S. Shyma Krishi B"/>
    <s v="8918388042"/>
  </r>
  <r>
    <s v="RCF Trombay"/>
    <s v="N.C.Urea(45kg)"/>
    <s v="WB"/>
    <x v="0"/>
    <s v="Swarupnagar"/>
    <s v="User Not Mapped"/>
    <s v="User Not Mapped"/>
    <s v="User Not Mapped"/>
    <n v="227016"/>
    <s v="Mufti Krishi Bhander"/>
    <s v="Private Retailer"/>
    <s v="9734256423"/>
    <n v="7.1999999999999995E-2"/>
    <n v="1469"/>
    <x v="2"/>
    <m/>
    <s v="2022-04-12"/>
    <s v="223812"/>
    <s v="M/S. Shyma Krishi B"/>
    <s v="8918388042"/>
  </r>
  <r>
    <s v="RCF Trombay"/>
    <s v="N.C.Urea(45kg)"/>
    <s v="WB"/>
    <x v="0"/>
    <s v="Deganga"/>
    <s v="User Not Mapped"/>
    <s v="User Not Mapped"/>
    <s v="User Not Mapped"/>
    <n v="1213353"/>
    <s v="NEW BISWAS FERTILIZER"/>
    <s v="Private Retailer"/>
    <s v="6294553450"/>
    <n v="1.53"/>
    <n v="140"/>
    <x v="4"/>
    <m/>
    <s v="2025-12-01"/>
    <s v="223812"/>
    <s v="M/S. Shyma Krishi B"/>
    <s v="8918388042"/>
  </r>
  <r>
    <s v="RCF Trombay"/>
    <s v="N.C.Urea(45kg)"/>
    <s v="WB"/>
    <x v="0"/>
    <s v="Habra - I"/>
    <s v="User Not Mapped"/>
    <s v="User Not Mapped"/>
    <s v="User Not Mapped"/>
    <n v="648151"/>
    <s v="NEW DIPANWITA KRISHI BHANDER"/>
    <s v="Private Retailer"/>
    <s v="8345802970"/>
    <n v="2.1150000000000002"/>
    <n v="52"/>
    <x v="3"/>
    <m/>
    <s v="2026-02-27"/>
    <s v="223812"/>
    <s v="M/S. Shyma Krishi B"/>
    <s v="8918388042"/>
  </r>
  <r>
    <s v="RCF Thal"/>
    <s v="N.C.Urea(45kg)"/>
    <s v="WB"/>
    <x v="0"/>
    <s v="Habra - I"/>
    <s v="User Not Mapped"/>
    <s v="User Not Mapped"/>
    <s v="User Not Mapped"/>
    <n v="648151"/>
    <s v="NEW DIPANWITA KRISHI BHANDER"/>
    <s v="Private Retailer"/>
    <s v="8345802970"/>
    <n v="9.9"/>
    <n v="9"/>
    <x v="5"/>
    <m/>
    <s v="2026-04-11"/>
    <s v="223812"/>
    <s v="M/S. Shyma Krishi B"/>
    <s v="8918388042"/>
  </r>
  <r>
    <s v="RCF Thal"/>
    <s v="N.C.Urea(45kg)"/>
    <s v="WB"/>
    <x v="0"/>
    <s v="Gaighata"/>
    <s v="User Not Mapped"/>
    <s v="User Not Mapped"/>
    <s v="User Not Mapped"/>
    <n v="411401"/>
    <s v="Nitish Kumar Mondal"/>
    <s v="Private Retailer"/>
    <s v="9153769541"/>
    <n v="1.8"/>
    <n v="40"/>
    <x v="3"/>
    <m/>
    <s v="2026-03-11"/>
    <s v="223812"/>
    <s v="M/S. Shyma Krishi B"/>
    <s v="8918388042"/>
  </r>
  <r>
    <s v="RCF Thal"/>
    <s v="N.C.Urea(45kg)"/>
    <s v="WB"/>
    <x v="0"/>
    <s v="Bagda"/>
    <s v="User Not Mapped"/>
    <s v="User Not Mapped"/>
    <s v="User Not Mapped"/>
    <n v="496559"/>
    <s v="Palash Kumar Mondal"/>
    <s v="Private Retailer"/>
    <s v="7364959087"/>
    <n v="5.22"/>
    <n v="69"/>
    <x v="6"/>
    <m/>
    <s v="2026-02-10"/>
    <s v="223812"/>
    <s v="M/S. Shyma Krishi B"/>
    <s v="8918388042"/>
  </r>
  <r>
    <s v="RCF Thal"/>
    <s v="N.C.Urea(45kg)"/>
    <s v="WB"/>
    <x v="0"/>
    <s v="Bagda"/>
    <s v="User Not Mapped"/>
    <s v="User Not Mapped"/>
    <s v="User Not Mapped"/>
    <n v="496559"/>
    <s v="Palash Kumar Mondal"/>
    <s v="Private Retailer"/>
    <s v="7364959087"/>
    <n v="5.49"/>
    <n v="36"/>
    <x v="3"/>
    <m/>
    <s v="2026-03-15"/>
    <s v="223812"/>
    <s v="M/S. Shyma Krishi B"/>
    <s v="8918388042"/>
  </r>
  <r>
    <s v="RCF Import"/>
    <s v="MOP"/>
    <s v="WB"/>
    <x v="0"/>
    <s v="Bagda"/>
    <s v="User Not Mapped"/>
    <s v="User Not Mapped"/>
    <s v="User Not Mapped"/>
    <n v="496559"/>
    <s v="Palash Kumar Mondal"/>
    <s v="Private Retailer"/>
    <s v="7364959087"/>
    <n v="0.6"/>
    <n v="61"/>
    <x v="6"/>
    <m/>
    <s v="2026-02-18"/>
    <s v="223812"/>
    <s v="M/S. Shyma Krishi B"/>
    <s v="8918388042"/>
  </r>
  <r>
    <s v="RCF Trombay"/>
    <s v="15-15-15"/>
    <s v="WB"/>
    <x v="0"/>
    <s v="Bagda"/>
    <s v="User Not Mapped"/>
    <s v="User Not Mapped"/>
    <s v="User Not Mapped"/>
    <n v="496559"/>
    <s v="Palash Kumar Mondal"/>
    <s v="Private Retailer"/>
    <s v="7364959087"/>
    <n v="0.05"/>
    <n v="64"/>
    <x v="6"/>
    <m/>
    <s v="2026-02-15"/>
    <s v="223812"/>
    <s v="M/S. Shyma Krishi B"/>
    <s v="8918388042"/>
  </r>
  <r>
    <s v="RCF Trombay"/>
    <s v="15-15-15"/>
    <s v="WB"/>
    <x v="0"/>
    <s v="Gaighata"/>
    <s v="User Not Mapped"/>
    <s v="User Not Mapped"/>
    <s v="User Not Mapped"/>
    <n v="411395"/>
    <s v="Parimal Sardar"/>
    <s v="Private Retailer"/>
    <s v="9163192077"/>
    <n v="2.2000000000000002"/>
    <n v="239"/>
    <x v="1"/>
    <m/>
    <s v="2025-08-24"/>
    <s v="223812"/>
    <s v="M/S. Shyma Krishi B"/>
    <s v="8918388042"/>
  </r>
  <r>
    <s v="RCF Trombay"/>
    <s v="15-15-15"/>
    <s v="WB"/>
    <x v="0"/>
    <s v="Gaighata"/>
    <s v="User Not Mapped"/>
    <s v="User Not Mapped"/>
    <s v="User Not Mapped"/>
    <n v="1328639"/>
    <s v="PARTHA BHASKAR"/>
    <s v="Private Retailer"/>
    <s v="7908095383"/>
    <n v="1"/>
    <n v="92"/>
    <x v="7"/>
    <m/>
    <s v="2026-01-18"/>
    <s v="223812"/>
    <s v="M/S. Shyma Krishi B"/>
    <s v="8918388042"/>
  </r>
  <r>
    <s v="RCF Thal"/>
    <s v="N.C.Urea(45kg)"/>
    <s v="WB"/>
    <x v="0"/>
    <s v="Gaighata"/>
    <s v="User Not Mapped"/>
    <s v="User Not Mapped"/>
    <s v="User Not Mapped"/>
    <n v="1328639"/>
    <s v="PARTHA BHASKAR"/>
    <s v="Private Retailer"/>
    <s v="7908095383"/>
    <n v="0.27"/>
    <n v="69"/>
    <x v="6"/>
    <m/>
    <s v="2026-02-10"/>
    <s v="223812"/>
    <s v="M/S. Shyma Krishi B"/>
    <s v="8918388042"/>
  </r>
  <r>
    <s v="RCF Thal"/>
    <s v="N.C.Urea(45kg)"/>
    <s v="WB"/>
    <x v="0"/>
    <s v="Bongaon"/>
    <s v="User Not Mapped"/>
    <s v="User Not Mapped"/>
    <s v="User Not Mapped"/>
    <n v="602285"/>
    <s v="PAUL FERTILISER"/>
    <s v="Private Retailer"/>
    <s v="8001602759"/>
    <n v="2.61"/>
    <n v="40"/>
    <x v="3"/>
    <m/>
    <s v="2026-03-11"/>
    <s v="223812"/>
    <s v="M/S. Shyma Krishi B"/>
    <s v="8918388042"/>
  </r>
  <r>
    <s v="RCF Thal"/>
    <s v="N.C.Urea(45kg)"/>
    <s v="WB"/>
    <x v="0"/>
    <s v="Basirhat - I"/>
    <s v="User Not Mapped"/>
    <s v="User Not Mapped"/>
    <s v="User Not Mapped"/>
    <n v="534608"/>
    <s v="Pinaki Bhowmik"/>
    <s v="Private Retailer"/>
    <s v="9564345551"/>
    <n v="5.085"/>
    <n v="69"/>
    <x v="6"/>
    <m/>
    <s v="2026-02-10"/>
    <s v="223812"/>
    <s v="M/S. Shyma Krishi B"/>
    <s v="8918388042"/>
  </r>
  <r>
    <s v="RCF Trombay"/>
    <s v="N.C.Urea(45kg)"/>
    <s v="WB"/>
    <x v="0"/>
    <s v="Swarupnagar"/>
    <s v="User Not Mapped"/>
    <s v="User Not Mapped"/>
    <s v="User Not Mapped"/>
    <n v="227073"/>
    <s v="Prakash Chandra Sarkar"/>
    <s v="Private Retailer"/>
    <s v="9002094102"/>
    <n v="2.7"/>
    <n v="92"/>
    <x v="7"/>
    <m/>
    <s v="2026-01-18"/>
    <s v="223812"/>
    <s v="M/S. Shyma Krishi B"/>
    <s v="8918388042"/>
  </r>
  <r>
    <s v="RCF Thal"/>
    <s v="N.C.Urea(45kg)"/>
    <s v="WB"/>
    <x v="0"/>
    <s v="Bongaon"/>
    <s v="User Not Mapped"/>
    <s v="User Not Mapped"/>
    <s v="User Not Mapped"/>
    <n v="411247"/>
    <s v="Pranab Kumar Ghosh"/>
    <s v="Private Retailer"/>
    <s v="8535982520"/>
    <n v="9.99"/>
    <n v="9"/>
    <x v="5"/>
    <m/>
    <s v="2026-04-11"/>
    <s v="223812"/>
    <s v="M/S. Shyma Krishi B"/>
    <s v="8918388042"/>
  </r>
  <r>
    <s v="RCF Import"/>
    <s v="MOP"/>
    <s v="WB"/>
    <x v="0"/>
    <s v="Bongaon"/>
    <s v="User Not Mapped"/>
    <s v="User Not Mapped"/>
    <s v="User Not Mapped"/>
    <n v="411247"/>
    <s v="Pranab Kumar Ghosh"/>
    <s v="Private Retailer"/>
    <s v="8535982520"/>
    <n v="3.05"/>
    <n v="61"/>
    <x v="6"/>
    <m/>
    <s v="2026-02-18"/>
    <s v="223812"/>
    <s v="M/S. Shyma Krishi B"/>
    <s v="8918388042"/>
  </r>
  <r>
    <s v="RCF Trombay"/>
    <s v="15-15-15"/>
    <s v="WB"/>
    <x v="0"/>
    <s v="Bongaon"/>
    <s v="User Not Mapped"/>
    <s v="User Not Mapped"/>
    <s v="User Not Mapped"/>
    <n v="520423"/>
    <s v="Prosenjit Roy"/>
    <s v="Private Retailer"/>
    <s v="8967248196"/>
    <n v="5.5"/>
    <n v="92"/>
    <x v="7"/>
    <m/>
    <s v="2026-01-18"/>
    <s v="223812"/>
    <s v="M/S. Shyma Krishi B"/>
    <s v="8918388042"/>
  </r>
  <r>
    <s v="RCF Trombay"/>
    <s v="15-15-15"/>
    <s v="WB"/>
    <x v="0"/>
    <s v="Baduria"/>
    <s v="User Not Mapped"/>
    <s v="User Not Mapped"/>
    <s v="User Not Mapped"/>
    <n v="331848"/>
    <s v="Rabiul Islam"/>
    <s v="Private Retailer"/>
    <s v="9732550451"/>
    <n v="1.6"/>
    <n v="140"/>
    <x v="4"/>
    <m/>
    <s v="2025-12-01"/>
    <s v="223812"/>
    <s v="M/S. Shyma Krishi B"/>
    <s v="8918388042"/>
  </r>
  <r>
    <s v="RCF Thal"/>
    <s v="N.C.Urea(45kg)"/>
    <s v="WB"/>
    <x v="0"/>
    <s v="Bagda"/>
    <s v="User Not Mapped"/>
    <s v="User Not Mapped"/>
    <s v="User Not Mapped"/>
    <n v="356049"/>
    <s v="Ranjan Kumar Roy"/>
    <s v="Private Retailer"/>
    <s v="8250800815"/>
    <n v="2.88"/>
    <n v="69"/>
    <x v="6"/>
    <m/>
    <s v="2026-02-10"/>
    <s v="223812"/>
    <s v="M/S. Shyma Krishi B"/>
    <s v="8918388042"/>
  </r>
  <r>
    <s v="RCF Trombay"/>
    <s v="N.C.Urea(45kg)"/>
    <s v="WB"/>
    <x v="0"/>
    <s v="Bagda"/>
    <s v="User Not Mapped"/>
    <s v="User Not Mapped"/>
    <s v="User Not Mapped"/>
    <n v="491329"/>
    <s v="Rejaul Mondal"/>
    <s v="Private Retailer"/>
    <s v="9932728622"/>
    <n v="1.71"/>
    <n v="56"/>
    <x v="3"/>
    <m/>
    <s v="2026-02-23"/>
    <s v="223812"/>
    <s v="M/S. Shyma Krishi B"/>
    <s v="8918388042"/>
  </r>
  <r>
    <s v="RCF Trombay"/>
    <s v="15-15-15"/>
    <s v="WB"/>
    <x v="0"/>
    <s v="Bagda"/>
    <s v="User Not Mapped"/>
    <s v="User Not Mapped"/>
    <s v="User Not Mapped"/>
    <n v="491329"/>
    <s v="Rejaul Mondal"/>
    <s v="Private Retailer"/>
    <s v="9932728622"/>
    <n v="3.6"/>
    <n v="56"/>
    <x v="3"/>
    <m/>
    <s v="2026-02-23"/>
    <s v="223812"/>
    <s v="M/S. Shyma Krishi B"/>
    <s v="8918388042"/>
  </r>
  <r>
    <s v="RCF Trombay"/>
    <s v="15-15-15"/>
    <s v="WB"/>
    <x v="0"/>
    <s v="Bagda"/>
    <s v="User Not Mapped"/>
    <s v="User Not Mapped"/>
    <s v="User Not Mapped"/>
    <n v="356074"/>
    <s v="Ripon Fertilizer"/>
    <s v="Private Retailer"/>
    <s v="9733999040"/>
    <n v="0.2"/>
    <n v="56"/>
    <x v="3"/>
    <m/>
    <s v="2026-02-23"/>
    <s v="223812"/>
    <s v="M/S. Shyma Krishi B"/>
    <s v="8918388042"/>
  </r>
  <r>
    <s v="RCF Import"/>
    <s v="Imp 10-26-26"/>
    <s v="WB"/>
    <x v="0"/>
    <s v="Bagda"/>
    <s v="User Not Mapped"/>
    <s v="User Not Mapped"/>
    <s v="User Not Mapped"/>
    <n v="356074"/>
    <s v="Ripon Fertilizer"/>
    <s v="Private Retailer"/>
    <s v="9733999040"/>
    <n v="2.75"/>
    <n v="55"/>
    <x v="3"/>
    <m/>
    <s v="2026-02-24"/>
    <s v="223812"/>
    <s v="M/S. Shyma Krishi B"/>
    <s v="8918388042"/>
  </r>
  <r>
    <s v="RCF Thal"/>
    <s v="N.C.Urea(45kg)"/>
    <s v="WB"/>
    <x v="0"/>
    <s v="Bagda"/>
    <s v="User Not Mapped"/>
    <s v="User Not Mapped"/>
    <s v="User Not Mapped"/>
    <n v="356074"/>
    <s v="Ripon Fertilizer"/>
    <s v="Private Retailer"/>
    <s v="9733999040"/>
    <n v="4.9950000000000001"/>
    <n v="9"/>
    <x v="5"/>
    <m/>
    <s v="2026-04-11"/>
    <s v="223812"/>
    <s v="M/S. Shyma Krishi B"/>
    <s v="8918388042"/>
  </r>
  <r>
    <s v="RCF Thal"/>
    <s v="N.C.Urea(45kg)"/>
    <s v="WB"/>
    <x v="0"/>
    <s v="Bagda"/>
    <s v="User Not Mapped"/>
    <s v="User Not Mapped"/>
    <s v="User Not Mapped"/>
    <n v="1388234"/>
    <s v="ROY KRISHI BHANDER"/>
    <s v="Private Retailer"/>
    <s v="8926471945"/>
    <n v="9.99"/>
    <n v="9"/>
    <x v="5"/>
    <m/>
    <s v="2026-04-11"/>
    <s v="223812"/>
    <s v="M/S. Shyma Krishi B"/>
    <s v="8918388042"/>
  </r>
  <r>
    <s v="RCF Trombay"/>
    <s v="15-15-15"/>
    <s v="WB"/>
    <x v="0"/>
    <s v="Bagda"/>
    <s v="User Not Mapped"/>
    <s v="User Not Mapped"/>
    <s v="User Not Mapped"/>
    <n v="1388234"/>
    <s v="ROY KRISHI BHANDER"/>
    <s v="Private Retailer"/>
    <s v="8926471945"/>
    <n v="0.05"/>
    <n v="64"/>
    <x v="6"/>
    <m/>
    <s v="2026-02-15"/>
    <s v="223812"/>
    <s v="M/S. Shyma Krishi B"/>
    <s v="8918388042"/>
  </r>
  <r>
    <s v="RCF Trombay"/>
    <s v="N.C.Urea(45kg)"/>
    <s v="WB"/>
    <x v="0"/>
    <m/>
    <s v="User Not Mapped"/>
    <s v="User Not Mapped"/>
    <s v="User Not Mapped"/>
    <n v="411189"/>
    <s v="Sadhan Kumar Dey"/>
    <s v="Private Retailer"/>
    <s v="9093884652"/>
    <n v="0.63"/>
    <n v="52"/>
    <x v="3"/>
    <m/>
    <s v="2026-02-27"/>
    <s v="223812"/>
    <s v="M/S. Shyma Krishi B"/>
    <s v="8918388042"/>
  </r>
  <r>
    <s v="RCF Trombay SCU"/>
    <s v="Sulphur Coated Urea(40Kg)"/>
    <s v="WB"/>
    <x v="0"/>
    <m/>
    <s v="User Not Mapped"/>
    <s v="User Not Mapped"/>
    <s v="User Not Mapped"/>
    <n v="411189"/>
    <s v="Sadhan Kumar Dey"/>
    <s v="Private Retailer"/>
    <s v="9093884652"/>
    <n v="1"/>
    <n v="52"/>
    <x v="3"/>
    <m/>
    <s v="2026-02-27"/>
    <s v="223812"/>
    <s v="M/S. Shyma Krishi B"/>
    <s v="8918388042"/>
  </r>
  <r>
    <s v="RCF Trombay"/>
    <s v="15-15-15"/>
    <s v="WB"/>
    <x v="0"/>
    <s v="Barasat - I"/>
    <s v="User Not Mapped"/>
    <s v="User Not Mapped"/>
    <s v="User Not Mapped"/>
    <n v="281495"/>
    <s v="Saha Fertilizer Stores        "/>
    <s v="Private Wholsaler"/>
    <s v="8777624646"/>
    <n v="11"/>
    <n v="64"/>
    <x v="6"/>
    <s v="'01282'"/>
    <s v="2026-02-15"/>
    <s v="223812"/>
    <s v="M/S. Shyma Krishi B"/>
    <s v="8918388042"/>
  </r>
  <r>
    <s v="RCF Thal"/>
    <s v="N.C.Urea(45kg)"/>
    <s v="WB"/>
    <x v="0"/>
    <s v="Gaighata"/>
    <s v="User Not Mapped"/>
    <s v="User Not Mapped"/>
    <s v="User Not Mapped"/>
    <n v="1582555"/>
    <s v="SAHA KRISHI BIPANI"/>
    <s v="Private Retailer"/>
    <s v="9242105045"/>
    <n v="0.45"/>
    <n v="40"/>
    <x v="3"/>
    <m/>
    <s v="2026-03-11"/>
    <s v="223812"/>
    <s v="M/S. Shyma Krishi B"/>
    <s v="8918388042"/>
  </r>
  <r>
    <s v="RCF Import"/>
    <s v="MOP"/>
    <s v="WB"/>
    <x v="0"/>
    <s v="Gaighata"/>
    <s v="User Not Mapped"/>
    <s v="User Not Mapped"/>
    <s v="User Not Mapped"/>
    <n v="1582555"/>
    <s v="SAHA KRISHI BIPANI"/>
    <s v="Private Retailer"/>
    <s v="9242105045"/>
    <n v="2.35"/>
    <n v="55"/>
    <x v="3"/>
    <m/>
    <s v="2026-02-24"/>
    <s v="223812"/>
    <s v="M/S. Shyma Krishi B"/>
    <s v="8918388042"/>
  </r>
  <r>
    <s v="RCF Trombay"/>
    <s v="N.C.Urea(45kg)"/>
    <s v="WB"/>
    <x v="0"/>
    <s v="Gaighata"/>
    <s v="User Not Mapped"/>
    <s v="User Not Mapped"/>
    <s v="User Not Mapped"/>
    <n v="1582555"/>
    <s v="SAHA KRISHI BIPANI"/>
    <s v="Private Retailer"/>
    <s v="9242105045"/>
    <n v="1.845"/>
    <n v="92"/>
    <x v="7"/>
    <m/>
    <s v="2026-01-18"/>
    <s v="223812"/>
    <s v="M/S. Shyma Krishi B"/>
    <s v="8918388042"/>
  </r>
  <r>
    <s v="RCF Trombay"/>
    <s v="15-15-15"/>
    <s v="WB"/>
    <x v="0"/>
    <s v="Gaighata"/>
    <s v="User Not Mapped"/>
    <s v="User Not Mapped"/>
    <s v="User Not Mapped"/>
    <n v="1582555"/>
    <s v="SAHA KRISHI BIPANI"/>
    <s v="Private Retailer"/>
    <s v="9242105045"/>
    <n v="2.4500000000000002"/>
    <n v="92"/>
    <x v="7"/>
    <m/>
    <s v="2026-01-18"/>
    <s v="223812"/>
    <s v="M/S. Shyma Krishi B"/>
    <s v="8918388042"/>
  </r>
  <r>
    <s v="RCF Import"/>
    <s v="Imp 10-26-26"/>
    <s v="WB"/>
    <x v="0"/>
    <s v="Deganga"/>
    <s v="User Not Mapped"/>
    <s v="User Not Mapped"/>
    <s v="User Not Mapped"/>
    <n v="227139"/>
    <s v="Sahid Krishi Bhander"/>
    <s v="Private Retailer"/>
    <s v="9735380951"/>
    <n v="5.5"/>
    <n v="55"/>
    <x v="3"/>
    <m/>
    <s v="2026-02-24"/>
    <s v="223812"/>
    <s v="M/S. Shyma Krishi B"/>
    <s v="8918388042"/>
  </r>
  <r>
    <s v="RCF Thal"/>
    <s v="N.C.Urea(45kg)"/>
    <s v="WB"/>
    <x v="0"/>
    <s v="Deganga"/>
    <s v="User Not Mapped"/>
    <s v="User Not Mapped"/>
    <s v="User Not Mapped"/>
    <n v="356147"/>
    <s v="Sahidul Islam"/>
    <s v="Private Retailer"/>
    <s v="9732576743"/>
    <n v="9.99"/>
    <n v="14"/>
    <x v="5"/>
    <m/>
    <s v="2026-04-06"/>
    <s v="223812"/>
    <s v="M/S. Shyma Krishi B"/>
    <s v="8918388042"/>
  </r>
  <r>
    <s v="RCF Thal"/>
    <s v="N.C.Urea(45kg)"/>
    <s v="WB"/>
    <x v="0"/>
    <s v="Bongaon"/>
    <s v="User Not Mapped"/>
    <s v="User Not Mapped"/>
    <s v="User Not Mapped"/>
    <n v="1489728"/>
    <s v="SALAM SAHEDA FERTILIZER"/>
    <s v="Private Retailer"/>
    <s v="9382632246"/>
    <n v="1.9350000000000001"/>
    <n v="134"/>
    <x v="4"/>
    <m/>
    <s v="2025-12-07"/>
    <s v="223812"/>
    <s v="M/S. Shyma Krishi B"/>
    <s v="8918388042"/>
  </r>
  <r>
    <s v="RCF Trombay"/>
    <s v="15-15-15"/>
    <s v="WB"/>
    <x v="0"/>
    <s v="Swarupnagar"/>
    <s v="User Not Mapped"/>
    <s v="User Not Mapped"/>
    <s v="User Not Mapped"/>
    <n v="227167"/>
    <s v="Saradha Krishi Bhandar"/>
    <s v="Private Retailer"/>
    <s v="9749783563"/>
    <n v="1.25"/>
    <n v="92"/>
    <x v="7"/>
    <m/>
    <s v="2026-01-18"/>
    <s v="223812"/>
    <s v="M/S. Shyma Krishi B"/>
    <s v="8918388042"/>
  </r>
  <r>
    <s v="RCF Trombay"/>
    <s v="15-15-15"/>
    <s v="WB"/>
    <x v="0"/>
    <s v="Bongaon"/>
    <s v="User Not Mapped"/>
    <s v="User Not Mapped"/>
    <s v="User Not Mapped"/>
    <n v="517117"/>
    <s v="Shoag Mondal"/>
    <s v="Private Retailer"/>
    <s v="7908554269"/>
    <n v="5.25"/>
    <n v="64"/>
    <x v="6"/>
    <m/>
    <s v="2026-02-15"/>
    <s v="223812"/>
    <s v="M/S. Shyma Krishi B"/>
    <s v="8918388042"/>
  </r>
  <r>
    <s v="RCF Trombay"/>
    <s v="N.C.Urea(45kg)"/>
    <s v="WB"/>
    <x v="0"/>
    <s v="Bongaon"/>
    <s v="User Not Mapped"/>
    <s v="User Not Mapped"/>
    <s v="User Not Mapped"/>
    <n v="517117"/>
    <s v="Shoag Mondal"/>
    <s v="Private Retailer"/>
    <s v="7908554269"/>
    <n v="5.49"/>
    <n v="64"/>
    <x v="6"/>
    <m/>
    <s v="2026-02-15"/>
    <s v="223812"/>
    <s v="M/S. Shyma Krishi B"/>
    <s v="8918388042"/>
  </r>
  <r>
    <s v="RCF Thal"/>
    <s v="N.C.Urea(45kg)"/>
    <s v="WB"/>
    <x v="0"/>
    <s v="Gaighata"/>
    <s v="User Not Mapped"/>
    <s v="User Not Mapped"/>
    <s v="User Not Mapped"/>
    <n v="1259329"/>
    <s v="SHYAM SUNDAR KRISHI BHANDAR"/>
    <s v="Private Retailer"/>
    <s v="8617557897"/>
    <n v="0.85499999999999998"/>
    <n v="69"/>
    <x v="6"/>
    <m/>
    <s v="2026-02-10"/>
    <s v="223812"/>
    <s v="M/S. Shyma Krishi B"/>
    <s v="8918388042"/>
  </r>
  <r>
    <s v="RCF Import"/>
    <s v="MOP"/>
    <s v="WB"/>
    <x v="0"/>
    <s v="Gaighata"/>
    <s v="User Not Mapped"/>
    <s v="User Not Mapped"/>
    <s v="User Not Mapped"/>
    <n v="1259329"/>
    <s v="SHYAM SUNDAR KRISHI BHANDAR"/>
    <s v="Private Retailer"/>
    <s v="8617557897"/>
    <n v="1.5"/>
    <n v="61"/>
    <x v="6"/>
    <m/>
    <s v="2026-02-18"/>
    <s v="223812"/>
    <s v="M/S. Shyma Krishi B"/>
    <s v="8918388042"/>
  </r>
  <r>
    <s v="RCF Thal"/>
    <s v="N.C.Urea(45kg)"/>
    <s v="WB"/>
    <x v="0"/>
    <s v="Habra - I"/>
    <s v="User Not Mapped"/>
    <s v="User Not Mapped"/>
    <s v="User Not Mapped"/>
    <n v="189494"/>
    <s v="Shyama Krishi Bhander"/>
    <s v="Private Retailer"/>
    <s v="7797545626"/>
    <n v="1.98"/>
    <n v="12"/>
    <x v="5"/>
    <m/>
    <s v="2026-04-08"/>
    <s v="223812"/>
    <s v="M/S. Shyma Krishi B"/>
    <s v="8918388042"/>
  </r>
  <r>
    <s v="RCF Trombay"/>
    <s v="15-15-15"/>
    <s v="WB"/>
    <x v="0"/>
    <s v="Swarupnagar"/>
    <s v="User Not Mapped"/>
    <s v="User Not Mapped"/>
    <s v="User Not Mapped"/>
    <n v="270826"/>
    <s v="Shyamal Kr Das"/>
    <s v="Private Retailer"/>
    <s v="9641696061"/>
    <n v="1.8"/>
    <n v="92"/>
    <x v="7"/>
    <m/>
    <s v="2026-01-18"/>
    <s v="223812"/>
    <s v="M/S. Shyma Krishi B"/>
    <s v="8918388042"/>
  </r>
  <r>
    <s v="RCF Trombay"/>
    <s v="15-15-15"/>
    <s v="WB"/>
    <x v="0"/>
    <s v="Basirhat - II"/>
    <s v="User Not Mapped"/>
    <s v="User Not Mapped"/>
    <s v="User Not Mapped"/>
    <n v="1489726"/>
    <s v="SOHAG KRISHE VENDAR"/>
    <s v="Private Retailer"/>
    <s v="9614423910"/>
    <n v="1"/>
    <n v="156"/>
    <x v="4"/>
    <m/>
    <s v="2025-11-15"/>
    <s v="223812"/>
    <s v="M/S. Shyma Krishi B"/>
    <s v="8918388042"/>
  </r>
  <r>
    <s v="RCF Trombay"/>
    <s v="15-15-15"/>
    <s v="WB"/>
    <x v="0"/>
    <s v="Bongaon"/>
    <s v="User Not Mapped"/>
    <s v="User Not Mapped"/>
    <s v="User Not Mapped"/>
    <n v="631183"/>
    <s v="SOURAV SARKAR"/>
    <s v="Private Retailer"/>
    <s v="9593005901"/>
    <n v="0.76700000000000002"/>
    <n v="205"/>
    <x v="1"/>
    <m/>
    <s v="2025-09-27"/>
    <s v="223812"/>
    <s v="M/S. Shyma Krishi B"/>
    <s v="8918388042"/>
  </r>
  <r>
    <s v="RCF Thal"/>
    <s v="N.C.Urea(45kg)"/>
    <s v="WB"/>
    <x v="0"/>
    <s v="Baduria"/>
    <s v="User Not Mapped"/>
    <s v="User Not Mapped"/>
    <s v="User Not Mapped"/>
    <n v="382832"/>
    <s v="SRI KRISHNA KRISHI BHANDAR"/>
    <s v="Private Retailer"/>
    <s v="9800295649"/>
    <n v="4.9950000000000001"/>
    <n v="9"/>
    <x v="5"/>
    <m/>
    <s v="2026-04-11"/>
    <s v="223812"/>
    <s v="M/S. Shyma Krishi B"/>
    <s v="8918388042"/>
  </r>
  <r>
    <s v="RCF Import"/>
    <s v="MOP"/>
    <s v="WB"/>
    <x v="0"/>
    <s v="Baduria"/>
    <s v="User Not Mapped"/>
    <s v="User Not Mapped"/>
    <s v="User Not Mapped"/>
    <n v="382832"/>
    <s v="SRI KRISHNA KRISHI BHANDAR"/>
    <s v="Private Retailer"/>
    <s v="9800295649"/>
    <n v="1.1000000000000001"/>
    <n v="58"/>
    <x v="3"/>
    <m/>
    <s v="2026-02-21"/>
    <s v="223812"/>
    <s v="M/S. Shyma Krishi B"/>
    <s v="8918388042"/>
  </r>
  <r>
    <s v="RCF Import"/>
    <s v="Imp 10-26-26"/>
    <s v="WB"/>
    <x v="0"/>
    <s v="Baduria"/>
    <s v="User Not Mapped"/>
    <s v="User Not Mapped"/>
    <s v="User Not Mapped"/>
    <n v="382832"/>
    <s v="SRI KRISHNA KRISHI BHANDAR"/>
    <s v="Private Retailer"/>
    <s v="9800295649"/>
    <n v="1.75"/>
    <n v="55"/>
    <x v="3"/>
    <m/>
    <s v="2026-02-24"/>
    <s v="223812"/>
    <s v="M/S. Shyma Krishi B"/>
    <s v="8918388042"/>
  </r>
  <r>
    <s v="RCF Thal"/>
    <s v="N.C.Urea(45kg)"/>
    <s v="WB"/>
    <x v="0"/>
    <s v="Bagda"/>
    <s v="User Not Mapped"/>
    <s v="User Not Mapped"/>
    <s v="User Not Mapped"/>
    <n v="457835"/>
    <s v="Sujal Kr.Saha"/>
    <s v="Private Retailer"/>
    <s v="9474658884"/>
    <n v="0.81"/>
    <n v="395"/>
    <x v="0"/>
    <m/>
    <s v="2025-03-21"/>
    <s v="223812"/>
    <s v="M/S. Shyma Krishi B"/>
    <s v="8918388042"/>
  </r>
  <r>
    <s v="RCF Import"/>
    <s v="MOP"/>
    <s v="WB"/>
    <x v="0"/>
    <s v="Bagda"/>
    <s v="User Not Mapped"/>
    <s v="User Not Mapped"/>
    <s v="User Not Mapped"/>
    <n v="457835"/>
    <s v="Sujal Kr.Saha"/>
    <s v="Private Retailer"/>
    <s v="9474658884"/>
    <n v="0.5"/>
    <n v="427"/>
    <x v="0"/>
    <m/>
    <s v="2025-02-17"/>
    <s v="223812"/>
    <s v="M/S. Shyma Krishi B"/>
    <s v="8918388042"/>
  </r>
  <r>
    <s v="RCF Trombay"/>
    <s v="15-15-15"/>
    <s v="WB"/>
    <x v="0"/>
    <s v="Bongaon"/>
    <s v="User Not Mapped"/>
    <s v="User Not Mapped"/>
    <s v="User Not Mapped"/>
    <n v="411511"/>
    <s v="Sukanta Das"/>
    <s v="Private Retailer"/>
    <s v="9733577734"/>
    <n v="3"/>
    <n v="205"/>
    <x v="1"/>
    <m/>
    <s v="2025-09-27"/>
    <s v="223812"/>
    <s v="M/S. Shyma Krishi B"/>
    <s v="8918388042"/>
  </r>
  <r>
    <s v="RCF Thal"/>
    <s v="N.C.Urea(45kg)"/>
    <s v="WB"/>
    <x v="0"/>
    <s v="Bagda"/>
    <s v="User Not Mapped"/>
    <s v="User Not Mapped"/>
    <s v="User Not Mapped"/>
    <n v="482604"/>
    <s v="Swapan Kr Bagchi"/>
    <s v="Private Retailer"/>
    <s v="9732906705"/>
    <n v="5.49"/>
    <n v="36"/>
    <x v="3"/>
    <m/>
    <s v="2026-03-15"/>
    <s v="223812"/>
    <s v="M/S. Shyma Krishi B"/>
    <s v="8918388042"/>
  </r>
  <r>
    <s v="RCF Thal"/>
    <s v="N.C.Urea(45kg)"/>
    <s v="WB"/>
    <x v="0"/>
    <s v="Baduria"/>
    <s v="User Not Mapped"/>
    <s v="User Not Mapped"/>
    <s v="User Not Mapped"/>
    <n v="227248"/>
    <s v="Swapan Paul"/>
    <s v="Private Retailer"/>
    <s v="7478929519"/>
    <n v="4.9950000000000001"/>
    <n v="9"/>
    <x v="5"/>
    <m/>
    <s v="2026-04-11"/>
    <s v="223812"/>
    <s v="M/S. Shyma Krishi B"/>
    <s v="8918388042"/>
  </r>
  <r>
    <s v="RCF Trombay"/>
    <s v="15-15-15"/>
    <s v="WB"/>
    <x v="0"/>
    <s v="Deganga"/>
    <s v="User Not Mapped"/>
    <s v="User Not Mapped"/>
    <s v="User Not Mapped"/>
    <n v="227251"/>
    <s v="Swetpur Mskus Ltd"/>
    <s v="State Marketing Federation"/>
    <s v="9874319030"/>
    <n v="5.9980000000000002"/>
    <n v="63"/>
    <x v="6"/>
    <m/>
    <s v="2026-02-16"/>
    <s v="223812"/>
    <s v="M/S. Shyma Krishi B"/>
    <s v="8918388042"/>
  </r>
  <r>
    <s v="RCF Thal"/>
    <s v="N.C.Urea(45kg)"/>
    <s v="WB"/>
    <x v="0"/>
    <s v="Bagda"/>
    <s v="User Not Mapped"/>
    <s v="User Not Mapped"/>
    <s v="User Not Mapped"/>
    <n v="411024"/>
    <s v="Tapas Sardar"/>
    <s v="Private Retailer"/>
    <s v="9775267397"/>
    <n v="5.085"/>
    <n v="36"/>
    <x v="3"/>
    <m/>
    <s v="2026-03-15"/>
    <s v="223812"/>
    <s v="M/S. Shyma Krishi B"/>
    <s v="8918388042"/>
  </r>
  <r>
    <s v="RCF Trombay SCU"/>
    <s v="Sulphur Coated Urea(40Kg)"/>
    <s v="WB"/>
    <x v="0"/>
    <s v="Habra - I"/>
    <s v="User Not Mapped"/>
    <s v="User Not Mapped"/>
    <s v="User Not Mapped"/>
    <n v="552210"/>
    <s v="Tarama Krishi Bhandar"/>
    <s v="Private Retailer"/>
    <s v="9733819026"/>
    <n v="2.4"/>
    <n v="90"/>
    <x v="6"/>
    <m/>
    <s v="2026-01-20"/>
    <s v="223812"/>
    <s v="M/S. Shyma Krishi B"/>
    <s v="8918388042"/>
  </r>
  <r>
    <s v="RCF Thal"/>
    <s v="N.C.Urea(45kg)"/>
    <s v="WB"/>
    <x v="0"/>
    <s v="Habra - I"/>
    <s v="User Not Mapped"/>
    <s v="User Not Mapped"/>
    <s v="User Not Mapped"/>
    <n v="552210"/>
    <s v="Tarama Krishi Bhandar"/>
    <s v="Private Retailer"/>
    <s v="9733819026"/>
    <n v="5.49"/>
    <n v="40"/>
    <x v="3"/>
    <m/>
    <s v="2026-03-11"/>
    <s v="223812"/>
    <s v="M/S. Shyma Krishi B"/>
    <s v="8918388042"/>
  </r>
  <r>
    <s v="RCF Thal"/>
    <s v="N.C.Urea(45kg)"/>
    <s v="WB"/>
    <x v="0"/>
    <s v="Habra - I"/>
    <s v="User Not Mapped"/>
    <s v="User Not Mapped"/>
    <s v="User Not Mapped"/>
    <n v="552210"/>
    <s v="Tarama Krishi Bhandar"/>
    <s v="Private Retailer"/>
    <s v="9733819026"/>
    <n v="9.11"/>
    <n v="61"/>
    <x v="6"/>
    <m/>
    <s v="2026-02-18"/>
    <s v="223812"/>
    <s v="M/S. Shyma Krishi B"/>
    <s v="8918388042"/>
  </r>
  <r>
    <s v="RCF Trombay"/>
    <s v="15-15-15"/>
    <s v="WB"/>
    <x v="0"/>
    <s v="Gaighata"/>
    <s v="User Not Mapped"/>
    <s v="User Not Mapped"/>
    <s v="User Not Mapped"/>
    <n v="466946"/>
    <s v="Tulshidas Saha"/>
    <s v="Private Retailer"/>
    <s v="9333493517"/>
    <n v="0.25"/>
    <n v="92"/>
    <x v="7"/>
    <m/>
    <s v="2026-01-18"/>
    <s v="223812"/>
    <s v="M/S. Shyma Krishi B"/>
    <s v="8918388042"/>
  </r>
  <r>
    <s v="RCF Import"/>
    <s v="MOP"/>
    <s v="WB"/>
    <x v="0"/>
    <s v="Gaighata"/>
    <s v="User Not Mapped"/>
    <s v="User Not Mapped"/>
    <s v="User Not Mapped"/>
    <n v="466946"/>
    <s v="Tulshidas Saha"/>
    <s v="Private Retailer"/>
    <s v="9333493517"/>
    <n v="5.25"/>
    <n v="61"/>
    <x v="6"/>
    <m/>
    <s v="2026-02-18"/>
    <s v="223812"/>
    <s v="M/S. Shyma Krishi B"/>
    <s v="8918388042"/>
  </r>
  <r>
    <s v="RCF Import"/>
    <s v="Imp 10-26-26"/>
    <s v="WB"/>
    <x v="0"/>
    <s v="Gaighata"/>
    <s v="User Not Mapped"/>
    <s v="User Not Mapped"/>
    <s v="User Not Mapped"/>
    <n v="466946"/>
    <s v="Tulshidas Saha"/>
    <s v="Private Retailer"/>
    <s v="9333493517"/>
    <n v="5.5"/>
    <n v="55"/>
    <x v="3"/>
    <m/>
    <s v="2026-02-24"/>
    <s v="223812"/>
    <s v="M/S. Shyma Krishi B"/>
    <s v="8918388042"/>
  </r>
  <r>
    <s v="RCF Trombay"/>
    <s v="N.C.Urea(45kg)"/>
    <s v="WB"/>
    <x v="0"/>
    <s v="Swarupnagar"/>
    <s v="User Not Mapped"/>
    <s v="User Not Mapped"/>
    <s v="User Not Mapped"/>
    <n v="227275"/>
    <s v="Unique Krishi Bhandar"/>
    <s v="Private Retailer"/>
    <s v="9647008003"/>
    <n v="1.9550000000000001"/>
    <n v="92"/>
    <x v="7"/>
    <m/>
    <s v="2026-01-18"/>
    <s v="223812"/>
    <s v="M/S. Shyma Krishi B"/>
    <s v="8918388042"/>
  </r>
  <r>
    <s v="RCF Trombay"/>
    <s v="15-15-15"/>
    <s v="WB"/>
    <x v="0"/>
    <s v="Swarupnagar"/>
    <s v="User Not Mapped"/>
    <s v="User Not Mapped"/>
    <s v="User Not Mapped"/>
    <n v="227275"/>
    <s v="Unique Krishi Bhandar"/>
    <s v="Private Retailer"/>
    <s v="9647008003"/>
    <n v="1.9"/>
    <n v="92"/>
    <x v="7"/>
    <m/>
    <s v="2026-01-18"/>
    <s v="223812"/>
    <s v="M/S. Shyma Krishi B"/>
    <s v="8918388042"/>
  </r>
  <r>
    <s v="RCF Trombay"/>
    <s v="15-15-15"/>
    <s v="WB"/>
    <x v="0"/>
    <s v="Bongaon"/>
    <s v="User Not Mapped"/>
    <s v="User Not Mapped"/>
    <s v="User Not Mapped"/>
    <n v="1421415"/>
    <s v="M/S RAMJAN MONDAL"/>
    <s v="Private Wholsaler"/>
    <s v="7384055745"/>
    <n v="7"/>
    <n v="129"/>
    <x v="4"/>
    <s v="'1423'"/>
    <s v="2025-12-12"/>
    <s v="888407"/>
    <s v="MAA FERTILIZER"/>
    <s v="9800042039"/>
  </r>
  <r>
    <s v="RCF Thal"/>
    <s v="N.C.Urea(45kg)"/>
    <s v="WB"/>
    <x v="0"/>
    <s v="Hasnabad"/>
    <s v="User Not Mapped"/>
    <s v="User Not Mapped"/>
    <s v="User Not Mapped"/>
    <n v="632568"/>
    <s v="Abdul Chattar Mondal"/>
    <s v="Private Retailer"/>
    <s v="8350051413"/>
    <n v="0.09"/>
    <n v="1908"/>
    <x v="2"/>
    <m/>
    <s v="2021-01-28"/>
    <s v="668032"/>
    <s v="MAA KRISHI BIPONI"/>
    <s v="9564322993"/>
  </r>
  <r>
    <s v="RCF Thal"/>
    <s v="N.C.Urea(45kg)"/>
    <s v="WB"/>
    <x v="0"/>
    <s v="Barasat - II"/>
    <s v="User Not Mapped"/>
    <s v="User Not Mapped"/>
    <s v="User Not Mapped"/>
    <n v="1278331"/>
    <s v="HASAN FERTILIZER AND PESTICIDE"/>
    <s v="Private Retailer"/>
    <s v="9733543582"/>
    <n v="0.26500000000000001"/>
    <n v="238"/>
    <x v="1"/>
    <m/>
    <s v="2025-08-25"/>
    <s v="668032"/>
    <s v="MAA KRISHI BIPONI"/>
    <s v="9564322993"/>
  </r>
  <r>
    <s v="RCF Thal"/>
    <s v="N.C.Urea(45kg)"/>
    <s v="WB"/>
    <x v="0"/>
    <m/>
    <s v="User Not Mapped"/>
    <s v="User Not Mapped"/>
    <s v="User Not Mapped"/>
    <n v="226778"/>
    <s v="Liton Krishi Biponi"/>
    <s v="Private Retailer"/>
    <s v="9735605851"/>
    <n v="0.22500000000000001"/>
    <n v="2252"/>
    <x v="2"/>
    <m/>
    <s v="2020-02-19"/>
    <s v="668032"/>
    <s v="MAA KRISHI BIPONI"/>
    <s v="9564322993"/>
  </r>
  <r>
    <s v="RCF Thal"/>
    <s v="N.C.Urea(45kg)"/>
    <s v="WB"/>
    <x v="0"/>
    <s v="Basirhat - II"/>
    <s v="User Not Mapped"/>
    <s v="User Not Mapped"/>
    <s v="User Not Mapped"/>
    <n v="227092"/>
    <s v="Rahaman Krishi Bhandar"/>
    <s v="Private Retailer"/>
    <s v="9733596602"/>
    <n v="0.32500000000000001"/>
    <n v="524"/>
    <x v="0"/>
    <m/>
    <s v="2024-11-12"/>
    <s v="668032"/>
    <s v="MAA KRISHI BIPONI"/>
    <s v="9564322993"/>
  </r>
  <r>
    <s v="RCF Trombay"/>
    <s v="N.C.Urea(45kg)"/>
    <s v="WB"/>
    <x v="0"/>
    <s v="Hasnabad"/>
    <s v="User Not Mapped"/>
    <s v="User Not Mapped"/>
    <s v="User Not Mapped"/>
    <n v="300601"/>
    <s v="Swapan Kumar Majumder"/>
    <s v="Private Retailer"/>
    <s v="9679008777"/>
    <n v="0.60499999999999998"/>
    <n v="528"/>
    <x v="0"/>
    <m/>
    <s v="2024-11-08"/>
    <s v="668032"/>
    <s v="MAA KRISHI BIPONI"/>
    <s v="9564322993"/>
  </r>
  <r>
    <s v="RCF Trombay"/>
    <s v="N.C.Urea(45kg)"/>
    <s v="WB"/>
    <x v="0"/>
    <m/>
    <s v="User Not Mapped"/>
    <s v="User Not Mapped"/>
    <s v="User Not Mapped"/>
    <n v="227276"/>
    <s v="Upendra Fertilizer"/>
    <s v="Private Retailer"/>
    <s v="8967765577"/>
    <n v="0.08"/>
    <n v="1908"/>
    <x v="2"/>
    <m/>
    <s v="2021-01-28"/>
    <s v="668032"/>
    <s v="MAA KRISHI BIPONI"/>
    <s v="9564322993"/>
  </r>
  <r>
    <s v="RCF Trombay"/>
    <s v="15-15-15"/>
    <s v="WB"/>
    <x v="0"/>
    <m/>
    <s v="User Not Mapped"/>
    <s v="User Not Mapped"/>
    <s v="User Not Mapped"/>
    <n v="227124"/>
    <s v="Sabir Krishi Bhandar"/>
    <s v="Private Retailer"/>
    <s v="9432378259"/>
    <n v="0.48499999999999999"/>
    <n v="2656"/>
    <x v="2"/>
    <m/>
    <s v="2019-01-11"/>
    <s v="281520"/>
    <s v="Mahamaya Enterprise"/>
    <s v="6289429133"/>
  </r>
  <r>
    <s v="RCF Thal"/>
    <s v="N.C.Urea(45kg)"/>
    <s v="WB"/>
    <x v="0"/>
    <s v="Haroa"/>
    <s v="User Not Mapped"/>
    <s v="User Not Mapped"/>
    <s v="User Not Mapped"/>
    <n v="1272714"/>
    <s v="M/S Rinku Krishi Bander"/>
    <s v="Private Retailer"/>
    <s v="9564472989"/>
    <n v="5.13"/>
    <n v="188"/>
    <x v="1"/>
    <m/>
    <s v="2025-10-14"/>
    <s v="779948"/>
    <s v="MAHIR ENTERPRISE"/>
    <s v="9735714968"/>
  </r>
  <r>
    <s v="RCF Thal"/>
    <s v="N.C.Urea(45kg)"/>
    <s v="WB"/>
    <x v="0"/>
    <s v="Barasat - I"/>
    <s v="User Not Mapped"/>
    <s v="User Not Mapped"/>
    <s v="User Not Mapped"/>
    <n v="497471"/>
    <s v="A.D.I.R Trading Co."/>
    <s v="Private Retailer"/>
    <s v="8017306486"/>
    <n v="6.75"/>
    <n v="9"/>
    <x v="5"/>
    <m/>
    <s v="2026-04-11"/>
    <s v="281511"/>
    <s v="Malakshmi Krishi Bhandar      "/>
    <s v="9800561868"/>
  </r>
  <r>
    <s v="RCF Trombay"/>
    <s v="15-15-15"/>
    <s v="WB"/>
    <x v="0"/>
    <s v="Baduria"/>
    <s v="User Not Mapped"/>
    <s v="User Not Mapped"/>
    <s v="User Not Mapped"/>
    <n v="226447"/>
    <s v="Abdus Salam"/>
    <s v="Private Retailer"/>
    <s v="9800897788"/>
    <n v="7.2"/>
    <n v="44"/>
    <x v="3"/>
    <m/>
    <s v="2026-03-07"/>
    <s v="281511"/>
    <s v="Malakshmi Krishi Bhandar      "/>
    <s v="9800561868"/>
  </r>
  <r>
    <s v="RCF Trombay"/>
    <s v="15-15-15"/>
    <s v="WB"/>
    <x v="0"/>
    <s v="Swarupnagar"/>
    <s v="User Not Mapped"/>
    <s v="User Not Mapped"/>
    <s v="User Not Mapped"/>
    <n v="407348"/>
    <s v="Abul Kalam Mondal"/>
    <s v="Private Retailer"/>
    <s v="9735760219"/>
    <n v="3.8"/>
    <n v="61"/>
    <x v="6"/>
    <m/>
    <s v="2026-02-18"/>
    <s v="281511"/>
    <s v="Malakshmi Krishi Bhandar      "/>
    <s v="9800561868"/>
  </r>
  <r>
    <s v="RCF Trombay"/>
    <s v="N.C.Urea(45kg)"/>
    <s v="WB"/>
    <x v="0"/>
    <s v="Swarupnagar"/>
    <s v="User Not Mapped"/>
    <s v="User Not Mapped"/>
    <s v="User Not Mapped"/>
    <n v="226456"/>
    <s v="Afiruddin Par"/>
    <s v="Private Retailer"/>
    <s v="8609678132"/>
    <n v="4.59"/>
    <n v="65"/>
    <x v="6"/>
    <m/>
    <s v="2026-02-14"/>
    <s v="281511"/>
    <s v="Malakshmi Krishi Bhandar      "/>
    <s v="9800561868"/>
  </r>
  <r>
    <s v="RCF Trombay"/>
    <s v="15-15-15"/>
    <s v="WB"/>
    <x v="0"/>
    <s v="Amdanga"/>
    <s v="User Not Mapped"/>
    <s v="User Not Mapped"/>
    <s v="User Not Mapped"/>
    <n v="226461"/>
    <s v="Agrodoot"/>
    <s v="Private Retailer"/>
    <s v="7602499919"/>
    <n v="1.075"/>
    <n v="51"/>
    <x v="3"/>
    <m/>
    <s v="2026-02-28"/>
    <s v="281511"/>
    <s v="Malakshmi Krishi Bhandar      "/>
    <s v="9800561868"/>
  </r>
  <r>
    <s v="RCF Trombay"/>
    <s v="15-15-15"/>
    <s v="WB"/>
    <x v="0"/>
    <s v="Barrackpur - I"/>
    <s v="User Not Mapped"/>
    <s v="User Not Mapped"/>
    <s v="User Not Mapped"/>
    <n v="487638"/>
    <s v="Annapurna Krishi Bhandar"/>
    <s v="Private Retailer"/>
    <s v="9143054966"/>
    <n v="1.2"/>
    <n v="91"/>
    <x v="7"/>
    <m/>
    <s v="2026-01-19"/>
    <s v="281511"/>
    <s v="Malakshmi Krishi Bhandar      "/>
    <s v="9800561868"/>
  </r>
  <r>
    <s v="RCF Import"/>
    <s v="MOP"/>
    <s v="WB"/>
    <x v="0"/>
    <s v="Barrackpur - I"/>
    <s v="User Not Mapped"/>
    <s v="User Not Mapped"/>
    <s v="User Not Mapped"/>
    <n v="487638"/>
    <s v="Annapurna Krishi Bhandar"/>
    <s v="Private Retailer"/>
    <s v="9143054966"/>
    <n v="0.25"/>
    <n v="37"/>
    <x v="3"/>
    <m/>
    <s v="2026-03-14"/>
    <s v="281511"/>
    <s v="Malakshmi Krishi Bhandar      "/>
    <s v="9800561868"/>
  </r>
  <r>
    <s v="RCF Trombay"/>
    <s v="15-15-15"/>
    <s v="WB"/>
    <x v="0"/>
    <s v="Baduria"/>
    <s v="User Not Mapped"/>
    <s v="User Not Mapped"/>
    <s v="User Not Mapped"/>
    <n v="382403"/>
    <s v="Anup Kumar Ghosh"/>
    <s v="Private Retailer"/>
    <s v="6294358720"/>
    <n v="5.2"/>
    <n v="91"/>
    <x v="7"/>
    <m/>
    <s v="2026-01-19"/>
    <s v="281511"/>
    <s v="Malakshmi Krishi Bhandar      "/>
    <s v="9800561868"/>
  </r>
  <r>
    <s v="RCF Trombay"/>
    <s v="15-15-15"/>
    <s v="WB"/>
    <x v="0"/>
    <s v="Barasat - I"/>
    <s v="User Not Mapped"/>
    <s v="User Not Mapped"/>
    <s v="User Not Mapped"/>
    <n v="226522"/>
    <s v="Ashit Kumar Samanta"/>
    <s v="Private Retailer"/>
    <s v="9038581762"/>
    <n v="0.7"/>
    <n v="91"/>
    <x v="7"/>
    <m/>
    <s v="2026-01-19"/>
    <s v="281511"/>
    <s v="Malakshmi Krishi Bhandar      "/>
    <s v="9800561868"/>
  </r>
  <r>
    <s v="RCF Import"/>
    <s v="MOP"/>
    <s v="WB"/>
    <x v="0"/>
    <s v="Gaighata"/>
    <s v="User Not Mapped"/>
    <s v="User Not Mapped"/>
    <s v="User Not Mapped"/>
    <n v="354740"/>
    <s v="Ashit Roy"/>
    <s v="Private Retailer"/>
    <s v="9733842985"/>
    <n v="5.5"/>
    <n v="61"/>
    <x v="6"/>
    <m/>
    <s v="2026-02-18"/>
    <s v="281511"/>
    <s v="Malakshmi Krishi Bhandar      "/>
    <s v="9800561868"/>
  </r>
  <r>
    <s v="RCF Trombay"/>
    <s v="15-15-15"/>
    <s v="WB"/>
    <x v="0"/>
    <s v="Gaighata"/>
    <s v="User Not Mapped"/>
    <s v="User Not Mapped"/>
    <s v="User Not Mapped"/>
    <n v="354740"/>
    <s v="Ashit Roy"/>
    <s v="Private Retailer"/>
    <s v="9733842985"/>
    <n v="1.75"/>
    <n v="38"/>
    <x v="3"/>
    <m/>
    <s v="2026-03-13"/>
    <s v="281511"/>
    <s v="Malakshmi Krishi Bhandar      "/>
    <s v="9800561868"/>
  </r>
  <r>
    <s v="RCF Trombay"/>
    <s v="15-15-15"/>
    <s v="WB"/>
    <x v="0"/>
    <s v="Gaighata"/>
    <s v="User Not Mapped"/>
    <s v="User Not Mapped"/>
    <s v="User Not Mapped"/>
    <n v="354740"/>
    <s v="Ashit Roy"/>
    <s v="Private Retailer"/>
    <s v="9733842985"/>
    <n v="2"/>
    <n v="9"/>
    <x v="5"/>
    <m/>
    <s v="2026-04-11"/>
    <s v="281511"/>
    <s v="Malakshmi Krishi Bhandar      "/>
    <s v="9800561868"/>
  </r>
  <r>
    <s v="RCF Trombay"/>
    <s v="15-15-15"/>
    <s v="WB"/>
    <x v="0"/>
    <s v="Baduria"/>
    <s v="User Not Mapped"/>
    <s v="User Not Mapped"/>
    <s v="User Not Mapped"/>
    <n v="226531"/>
    <s v="Azahar Krishi Bhandar"/>
    <s v="Private Retailer"/>
    <s v="9735604529"/>
    <n v="0.45"/>
    <n v="62"/>
    <x v="6"/>
    <m/>
    <s v="2026-02-17"/>
    <s v="281511"/>
    <s v="Malakshmi Krishi Bhandar      "/>
    <s v="9800561868"/>
  </r>
  <r>
    <s v="RCF Trombay"/>
    <s v="N.C.Urea(45kg)"/>
    <s v="WB"/>
    <x v="0"/>
    <s v="Habra - II"/>
    <s v="User Not Mapped"/>
    <s v="User Not Mapped"/>
    <s v="User Not Mapped"/>
    <n v="354758"/>
    <s v="Baba  Taraknath  Krishibhan Der"/>
    <s v="Private Retailer"/>
    <s v="9734543795"/>
    <n v="0.54"/>
    <n v="111"/>
    <x v="7"/>
    <m/>
    <s v="2025-12-30"/>
    <s v="281511"/>
    <s v="Malakshmi Krishi Bhandar      "/>
    <s v="9800561868"/>
  </r>
  <r>
    <s v="RCF Trombay"/>
    <s v="15-15-15"/>
    <s v="WB"/>
    <x v="0"/>
    <s v="Bongaon"/>
    <s v="User Not Mapped"/>
    <s v="User Not Mapped"/>
    <s v="User Not Mapped"/>
    <n v="547926"/>
    <s v="Bhabotosh Debnath"/>
    <s v="Private Retailer"/>
    <s v="9733543654"/>
    <n v="0.38"/>
    <n v="566"/>
    <x v="2"/>
    <m/>
    <s v="2024-10-01"/>
    <s v="281511"/>
    <s v="Malakshmi Krishi Bhandar      "/>
    <s v="9800561868"/>
  </r>
  <r>
    <s v="RCF Thal"/>
    <s v="N.C.Urea(45kg)"/>
    <s v="WB"/>
    <x v="0"/>
    <s v="Habra - II"/>
    <s v="User Not Mapped"/>
    <s v="User Not Mapped"/>
    <s v="User Not Mapped"/>
    <n v="593580"/>
    <s v="BHAI BHAI KRISHI BHANDER"/>
    <s v="Private Retailer"/>
    <s v="8001060053"/>
    <n v="3.69"/>
    <n v="37"/>
    <x v="3"/>
    <m/>
    <s v="2026-03-14"/>
    <s v="281511"/>
    <s v="Malakshmi Krishi Bhandar      "/>
    <s v="9800561868"/>
  </r>
  <r>
    <s v="RCF Trombay"/>
    <s v="15-15-15"/>
    <s v="WB"/>
    <x v="0"/>
    <s v="Baduria"/>
    <s v="User Not Mapped"/>
    <s v="User Not Mapped"/>
    <s v="User Not Mapped"/>
    <n v="323591"/>
    <s v="Bhola Nath Das"/>
    <s v="Private Retailer"/>
    <s v="9732895664"/>
    <n v="0.5"/>
    <n v="72"/>
    <x v="6"/>
    <m/>
    <s v="2026-02-07"/>
    <s v="281511"/>
    <s v="Malakshmi Krishi Bhandar      "/>
    <s v="9800561868"/>
  </r>
  <r>
    <s v="RCF Trombay"/>
    <s v="15-15-15"/>
    <s v="WB"/>
    <x v="0"/>
    <s v="Baduria"/>
    <s v="User Not Mapped"/>
    <s v="User Not Mapped"/>
    <s v="User Not Mapped"/>
    <n v="323591"/>
    <s v="Bhola Nath Das"/>
    <s v="Private Retailer"/>
    <s v="9732895664"/>
    <n v="0.5"/>
    <n v="153"/>
    <x v="4"/>
    <m/>
    <s v="2025-11-18"/>
    <s v="281511"/>
    <s v="Malakshmi Krishi Bhandar      "/>
    <s v="9800561868"/>
  </r>
  <r>
    <s v="RCF Trombay"/>
    <s v="15-15-15"/>
    <s v="WB"/>
    <x v="0"/>
    <s v="Gaighata"/>
    <s v="User Not Mapped"/>
    <s v="User Not Mapped"/>
    <s v="User Not Mapped"/>
    <n v="341070"/>
    <s v="Bikash Biswas"/>
    <s v="Private Retailer"/>
    <s v="8967568235"/>
    <n v="2.2000000000000002"/>
    <n v="750"/>
    <x v="2"/>
    <m/>
    <s v="2024-03-31"/>
    <s v="281511"/>
    <s v="Malakshmi Krishi Bhandar      "/>
    <s v="9800561868"/>
  </r>
  <r>
    <s v="RCF Trombay"/>
    <s v="15-15-15"/>
    <s v="WB"/>
    <x v="0"/>
    <s v="Gaighata"/>
    <s v="User Not Mapped"/>
    <s v="User Not Mapped"/>
    <s v="User Not Mapped"/>
    <n v="456802"/>
    <s v="Biswajit Kundu"/>
    <s v="Private Retailer"/>
    <s v="9635841974"/>
    <n v="0.1"/>
    <n v="90"/>
    <x v="6"/>
    <m/>
    <s v="2026-01-20"/>
    <s v="281511"/>
    <s v="Malakshmi Krishi Bhandar      "/>
    <s v="9800561868"/>
  </r>
  <r>
    <s v="RCF Trombay"/>
    <s v="15-15-15"/>
    <s v="WB"/>
    <x v="0"/>
    <s v="Gaighata"/>
    <s v="User Not Mapped"/>
    <s v="User Not Mapped"/>
    <s v="User Not Mapped"/>
    <n v="456802"/>
    <s v="Biswajit Kundu"/>
    <s v="Private Retailer"/>
    <s v="9635841974"/>
    <n v="0.75"/>
    <n v="21"/>
    <x v="5"/>
    <m/>
    <s v="2026-03-30"/>
    <s v="281511"/>
    <s v="Malakshmi Krishi Bhandar      "/>
    <s v="9800561868"/>
  </r>
  <r>
    <s v="RCF Trombay"/>
    <s v="15-15-15"/>
    <s v="WB"/>
    <x v="0"/>
    <s v="Gaighata"/>
    <s v="User Not Mapped"/>
    <s v="User Not Mapped"/>
    <s v="User Not Mapped"/>
    <n v="456802"/>
    <s v="Biswajit Kundu"/>
    <s v="Private Retailer"/>
    <s v="9635841974"/>
    <n v="0.5"/>
    <n v="37"/>
    <x v="3"/>
    <m/>
    <s v="2026-03-14"/>
    <s v="281511"/>
    <s v="Malakshmi Krishi Bhandar      "/>
    <s v="9800561868"/>
  </r>
  <r>
    <s v="RCF Thal"/>
    <s v="N.C.Urea(45kg)"/>
    <s v="WB"/>
    <x v="0"/>
    <s v="Gaighata"/>
    <s v="User Not Mapped"/>
    <s v="User Not Mapped"/>
    <s v="User Not Mapped"/>
    <n v="458121"/>
    <s v="Biswajit Mondal"/>
    <s v="Private Retailer"/>
    <s v="8001059673"/>
    <n v="5.49"/>
    <n v="37"/>
    <x v="3"/>
    <m/>
    <s v="2026-03-14"/>
    <s v="281511"/>
    <s v="Malakshmi Krishi Bhandar      "/>
    <s v="9800561868"/>
  </r>
  <r>
    <s v="RCF Thal"/>
    <s v="N.C.Urea(45kg)"/>
    <s v="WB"/>
    <x v="0"/>
    <s v="Gaighata"/>
    <s v="User Not Mapped"/>
    <s v="User Not Mapped"/>
    <s v="User Not Mapped"/>
    <n v="458121"/>
    <s v="Biswajit Mondal"/>
    <s v="Private Retailer"/>
    <s v="8001059673"/>
    <n v="0.99"/>
    <n v="68"/>
    <x v="6"/>
    <m/>
    <s v="2026-02-11"/>
    <s v="281511"/>
    <s v="Malakshmi Krishi Bhandar      "/>
    <s v="9800561868"/>
  </r>
  <r>
    <s v="RCF Thal"/>
    <s v="N.C.Urea(45kg)"/>
    <s v="WB"/>
    <x v="0"/>
    <s v="Gaighata"/>
    <s v="User Not Mapped"/>
    <s v="User Not Mapped"/>
    <s v="User Not Mapped"/>
    <n v="458121"/>
    <s v="Biswajit Mondal"/>
    <s v="Private Retailer"/>
    <s v="8001059673"/>
    <n v="4.9950000000000001"/>
    <n v="12"/>
    <x v="5"/>
    <m/>
    <s v="2026-04-08"/>
    <s v="281511"/>
    <s v="Malakshmi Krishi Bhandar      "/>
    <s v="9800561868"/>
  </r>
  <r>
    <s v="RCF Trombay"/>
    <s v="15-15-15"/>
    <s v="WB"/>
    <x v="0"/>
    <m/>
    <s v="User Not Mapped"/>
    <s v="User Not Mapped"/>
    <s v="User Not Mapped"/>
    <n v="189326"/>
    <s v="Boyalghata Krishi Bhander"/>
    <s v="Private Retailer"/>
    <s v="9748238840"/>
    <n v="5.5"/>
    <n v="1227"/>
    <x v="2"/>
    <m/>
    <s v="2022-12-10"/>
    <s v="281511"/>
    <s v="Malakshmi Krishi Bhandar      "/>
    <s v="9800561868"/>
  </r>
  <r>
    <s v="RCF Trombay"/>
    <s v="15-15-15"/>
    <s v="WB"/>
    <x v="0"/>
    <m/>
    <s v="User Not Mapped"/>
    <s v="User Not Mapped"/>
    <s v="User Not Mapped"/>
    <n v="189326"/>
    <s v="Boyalghata Krishi Bhander"/>
    <s v="Private Retailer"/>
    <s v="9748238840"/>
    <n v="5.5"/>
    <n v="1196"/>
    <x v="2"/>
    <m/>
    <s v="2023-01-10"/>
    <s v="281511"/>
    <s v="Malakshmi Krishi Bhandar      "/>
    <s v="9800561868"/>
  </r>
  <r>
    <s v="RCF Thal"/>
    <s v="N.C.Urea(45kg)"/>
    <s v="WB"/>
    <x v="0"/>
    <s v="Habra - I"/>
    <s v="User Not Mapped"/>
    <s v="User Not Mapped"/>
    <s v="User Not Mapped"/>
    <n v="226595"/>
    <s v="Brojendra Mazumder"/>
    <s v="Private Retailer"/>
    <s v="9635546091"/>
    <n v="3.42"/>
    <n v="38"/>
    <x v="3"/>
    <m/>
    <s v="2026-03-13"/>
    <s v="281511"/>
    <s v="Malakshmi Krishi Bhandar      "/>
    <s v="9800561868"/>
  </r>
  <r>
    <s v="RCF Trombay"/>
    <s v="15-15-15"/>
    <s v="WB"/>
    <x v="0"/>
    <s v="Barasat - I"/>
    <s v="User Not Mapped"/>
    <s v="User Not Mapped"/>
    <s v="User Not Mapped"/>
    <n v="226630"/>
    <s v="D.N. Fertilizers"/>
    <s v="Private Retailer"/>
    <s v="8450087887"/>
    <n v="1.8"/>
    <n v="91"/>
    <x v="7"/>
    <m/>
    <s v="2026-01-19"/>
    <s v="281511"/>
    <s v="Malakshmi Krishi Bhandar      "/>
    <s v="9800561868"/>
  </r>
  <r>
    <s v="RCF Import"/>
    <s v="MOP"/>
    <s v="WB"/>
    <x v="0"/>
    <s v="Sandeshkhali - I"/>
    <s v="User Not Mapped"/>
    <s v="User Not Mapped"/>
    <s v="User Not Mapped"/>
    <n v="1633780"/>
    <s v="DAFADAR KRISHI CENTER"/>
    <s v="Private Retailer"/>
    <s v="8001155708"/>
    <n v="2.0739999999999998"/>
    <n v="28"/>
    <x v="5"/>
    <m/>
    <s v="2026-03-23"/>
    <s v="281511"/>
    <s v="Malakshmi Krishi Bhandar      "/>
    <s v="9800561868"/>
  </r>
  <r>
    <s v="RCF Thal"/>
    <s v="N.C.Urea(45kg)"/>
    <s v="WB"/>
    <x v="0"/>
    <s v="Sandeshkhali - I"/>
    <s v="User Not Mapped"/>
    <s v="User Not Mapped"/>
    <s v="User Not Mapped"/>
    <n v="1633780"/>
    <s v="DAFADAR KRISHI CENTER"/>
    <s v="Private Retailer"/>
    <s v="8001155708"/>
    <n v="9.0519999999999996"/>
    <n v="12"/>
    <x v="5"/>
    <m/>
    <s v="2026-04-08"/>
    <s v="281511"/>
    <s v="Malakshmi Krishi Bhandar      "/>
    <s v="9800561868"/>
  </r>
  <r>
    <s v="RCF Trombay"/>
    <s v="15-15-15"/>
    <s v="WB"/>
    <x v="0"/>
    <s v="Barasat - I"/>
    <s v="User Not Mapped"/>
    <s v="User Not Mapped"/>
    <s v="User Not Mapped"/>
    <n v="750808"/>
    <s v="DAS FERTILIZER"/>
    <s v="Private Retailer"/>
    <s v="8001471444"/>
    <n v="1"/>
    <n v="209"/>
    <x v="1"/>
    <m/>
    <s v="2025-09-23"/>
    <s v="281511"/>
    <s v="Malakshmi Krishi Bhandar      "/>
    <s v="9800561868"/>
  </r>
  <r>
    <s v="RCF Thal"/>
    <s v="N.C.Urea(45kg)"/>
    <s v="WB"/>
    <x v="0"/>
    <s v="Barasat - I"/>
    <s v="User Not Mapped"/>
    <s v="User Not Mapped"/>
    <s v="User Not Mapped"/>
    <n v="750808"/>
    <s v="DAS FERTILIZER"/>
    <s v="Private Retailer"/>
    <s v="8001471444"/>
    <n v="4.4550000000000001"/>
    <n v="37"/>
    <x v="3"/>
    <m/>
    <s v="2026-03-14"/>
    <s v="281511"/>
    <s v="Malakshmi Krishi Bhandar      "/>
    <s v="9800561868"/>
  </r>
  <r>
    <s v="RCF Trombay"/>
    <s v="15-15-15"/>
    <s v="WB"/>
    <x v="0"/>
    <s v="Barasat - I"/>
    <s v="User Not Mapped"/>
    <s v="User Not Mapped"/>
    <s v="User Not Mapped"/>
    <n v="750808"/>
    <s v="DAS FERTILIZER"/>
    <s v="Private Retailer"/>
    <s v="8001471444"/>
    <n v="5.5"/>
    <n v="91"/>
    <x v="7"/>
    <m/>
    <s v="2026-01-19"/>
    <s v="281511"/>
    <s v="Malakshmi Krishi Bhandar      "/>
    <s v="9800561868"/>
  </r>
  <r>
    <s v="RCF Trombay"/>
    <s v="15-15-15"/>
    <s v="WB"/>
    <x v="0"/>
    <s v="Barasat - I"/>
    <s v="User Not Mapped"/>
    <s v="User Not Mapped"/>
    <s v="User Not Mapped"/>
    <n v="945099"/>
    <s v="Das Fertilizer"/>
    <s v="Private Retailer"/>
    <s v="8370948252"/>
    <n v="0.25"/>
    <n v="23"/>
    <x v="5"/>
    <m/>
    <s v="2026-03-28"/>
    <s v="281511"/>
    <s v="Malakshmi Krishi Bhandar      "/>
    <s v="9800561868"/>
  </r>
  <r>
    <s v="RCF Trombay"/>
    <s v="15-15-15"/>
    <s v="WB"/>
    <x v="0"/>
    <s v="Barasat - I"/>
    <s v="User Not Mapped"/>
    <s v="User Not Mapped"/>
    <s v="User Not Mapped"/>
    <n v="945099"/>
    <s v="Das Fertilizer"/>
    <s v="Private Retailer"/>
    <s v="8370948252"/>
    <n v="0.2"/>
    <n v="35"/>
    <x v="3"/>
    <m/>
    <s v="2026-03-16"/>
    <s v="281511"/>
    <s v="Malakshmi Krishi Bhandar      "/>
    <s v="9800561868"/>
  </r>
  <r>
    <s v="RCF Import"/>
    <s v="Imp 10-26-26"/>
    <s v="WB"/>
    <x v="0"/>
    <s v="Habra - II"/>
    <s v="User Not Mapped"/>
    <s v="User Not Mapped"/>
    <s v="User Not Mapped"/>
    <n v="958218"/>
    <s v="DAS KRISHI BHANDER"/>
    <s v="Private Retailer"/>
    <s v="9775265631"/>
    <n v="5.3"/>
    <n v="51"/>
    <x v="3"/>
    <m/>
    <s v="2026-02-28"/>
    <s v="281511"/>
    <s v="Malakshmi Krishi Bhandar      "/>
    <s v="9800561868"/>
  </r>
  <r>
    <s v="RCF Trombay"/>
    <s v="15-15-15"/>
    <s v="WB"/>
    <x v="0"/>
    <s v="Habra - II"/>
    <s v="User Not Mapped"/>
    <s v="User Not Mapped"/>
    <s v="User Not Mapped"/>
    <n v="958218"/>
    <s v="DAS KRISHI BHANDER"/>
    <s v="Private Retailer"/>
    <s v="9775265631"/>
    <n v="1.1499999999999999"/>
    <n v="91"/>
    <x v="7"/>
    <m/>
    <s v="2026-01-19"/>
    <s v="281511"/>
    <s v="Malakshmi Krishi Bhandar      "/>
    <s v="9800561868"/>
  </r>
  <r>
    <s v="RCF Trombay"/>
    <s v="15-15-15"/>
    <s v="WB"/>
    <x v="0"/>
    <s v="Gaighata"/>
    <s v="User Not Mapped"/>
    <s v="User Not Mapped"/>
    <s v="User Not Mapped"/>
    <n v="376379"/>
    <s v="Dhogachia Skus Ltd"/>
    <s v="PACS"/>
    <s v="9734826414"/>
    <n v="0.7"/>
    <n v="54"/>
    <x v="3"/>
    <m/>
    <s v="2026-02-25"/>
    <s v="281511"/>
    <s v="Malakshmi Krishi Bhandar      "/>
    <s v="9800561868"/>
  </r>
  <r>
    <s v="RCF Trombay"/>
    <s v="15-15-15"/>
    <s v="WB"/>
    <x v="0"/>
    <s v="Gaighata"/>
    <s v="User Not Mapped"/>
    <s v="User Not Mapped"/>
    <s v="User Not Mapped"/>
    <n v="411339"/>
    <s v="Dilip Kumar Mondal"/>
    <s v="Private Retailer"/>
    <s v="9932583255"/>
    <n v="1.64"/>
    <n v="68"/>
    <x v="6"/>
    <m/>
    <s v="2026-02-11"/>
    <s v="281511"/>
    <s v="Malakshmi Krishi Bhandar      "/>
    <s v="9800561868"/>
  </r>
  <r>
    <s v="RCF Trombay"/>
    <s v="15-15-15"/>
    <s v="WB"/>
    <x v="0"/>
    <s v="Gaighata"/>
    <s v="User Not Mapped"/>
    <s v="User Not Mapped"/>
    <s v="User Not Mapped"/>
    <n v="411339"/>
    <s v="Dilip Kumar Mondal"/>
    <s v="Private Retailer"/>
    <s v="9932583255"/>
    <n v="2.4"/>
    <n v="44"/>
    <x v="3"/>
    <m/>
    <s v="2026-03-07"/>
    <s v="281511"/>
    <s v="Malakshmi Krishi Bhandar      "/>
    <s v="9800561868"/>
  </r>
  <r>
    <s v="RCF Trombay"/>
    <s v="15-15-15"/>
    <s v="WB"/>
    <x v="0"/>
    <s v="Gaighata"/>
    <s v="User Not Mapped"/>
    <s v="User Not Mapped"/>
    <s v="User Not Mapped"/>
    <n v="411339"/>
    <s v="Dilip Kumar Mondal"/>
    <s v="Private Retailer"/>
    <s v="9932583255"/>
    <n v="1"/>
    <n v="37"/>
    <x v="3"/>
    <m/>
    <s v="2026-03-14"/>
    <s v="281511"/>
    <s v="Malakshmi Krishi Bhandar      "/>
    <s v="9800561868"/>
  </r>
  <r>
    <s v="RCF Import"/>
    <s v="MOP"/>
    <s v="WB"/>
    <x v="0"/>
    <s v="Gaighata"/>
    <s v="User Not Mapped"/>
    <s v="User Not Mapped"/>
    <s v="User Not Mapped"/>
    <n v="411339"/>
    <s v="Dilip Kumar Mondal"/>
    <s v="Private Retailer"/>
    <s v="9932583255"/>
    <n v="0.2"/>
    <n v="44"/>
    <x v="3"/>
    <m/>
    <s v="2026-03-07"/>
    <s v="281511"/>
    <s v="Malakshmi Krishi Bhandar      "/>
    <s v="9800561868"/>
  </r>
  <r>
    <s v="RCF Trombay"/>
    <s v="N.C.Urea(45kg)"/>
    <s v="WB"/>
    <x v="0"/>
    <s v="Gaighata"/>
    <s v="User Not Mapped"/>
    <s v="User Not Mapped"/>
    <s v="User Not Mapped"/>
    <n v="411339"/>
    <s v="Dilip Kumar Mondal"/>
    <s v="Private Retailer"/>
    <s v="9932583255"/>
    <n v="0.72"/>
    <n v="44"/>
    <x v="3"/>
    <m/>
    <s v="2026-03-07"/>
    <s v="281511"/>
    <s v="Malakshmi Krishi Bhandar      "/>
    <s v="9800561868"/>
  </r>
  <r>
    <s v="RCF Import"/>
    <s v="MOP"/>
    <s v="WB"/>
    <x v="0"/>
    <s v="Gaighata"/>
    <s v="User Not Mapped"/>
    <s v="User Not Mapped"/>
    <s v="User Not Mapped"/>
    <n v="411339"/>
    <s v="Dilip Kumar Mondal"/>
    <s v="Private Retailer"/>
    <s v="9932583255"/>
    <n v="0.25"/>
    <n v="28"/>
    <x v="5"/>
    <m/>
    <s v="2026-03-23"/>
    <s v="281511"/>
    <s v="Malakshmi Krishi Bhandar      "/>
    <s v="9800561868"/>
  </r>
  <r>
    <s v="RCF Trombay"/>
    <s v="N.C.Urea(45kg)"/>
    <s v="WB"/>
    <x v="0"/>
    <s v="Gaighata"/>
    <s v="User Not Mapped"/>
    <s v="User Not Mapped"/>
    <s v="User Not Mapped"/>
    <n v="411339"/>
    <s v="Dilip Kumar Mondal"/>
    <s v="Private Retailer"/>
    <s v="9932583255"/>
    <n v="0.45"/>
    <n v="28"/>
    <x v="5"/>
    <m/>
    <s v="2026-03-23"/>
    <s v="281511"/>
    <s v="Malakshmi Krishi Bhandar      "/>
    <s v="9800561868"/>
  </r>
  <r>
    <s v="RCF Trombay"/>
    <s v="15-15-15"/>
    <s v="WB"/>
    <x v="0"/>
    <s v="Gaighata"/>
    <s v="User Not Mapped"/>
    <s v="User Not Mapped"/>
    <s v="User Not Mapped"/>
    <n v="411339"/>
    <s v="Dilip Kumar Mondal"/>
    <s v="Private Retailer"/>
    <s v="9932583255"/>
    <n v="0.35"/>
    <n v="28"/>
    <x v="5"/>
    <m/>
    <s v="2026-03-23"/>
    <s v="281511"/>
    <s v="Malakshmi Krishi Bhandar      "/>
    <s v="9800561868"/>
  </r>
  <r>
    <s v="RCF Trombay"/>
    <s v="15-15-15"/>
    <s v="WB"/>
    <x v="0"/>
    <s v="Gaighata"/>
    <s v="User Not Mapped"/>
    <s v="User Not Mapped"/>
    <s v="User Not Mapped"/>
    <n v="411339"/>
    <s v="Dilip Kumar Mondal"/>
    <s v="Private Retailer"/>
    <s v="9932583255"/>
    <n v="1"/>
    <n v="21"/>
    <x v="5"/>
    <m/>
    <s v="2026-03-30"/>
    <s v="281511"/>
    <s v="Malakshmi Krishi Bhandar      "/>
    <s v="9800561868"/>
  </r>
  <r>
    <s v="RCF Import"/>
    <s v="Imp 10-26-26"/>
    <s v="WB"/>
    <x v="0"/>
    <s v="Gaighata"/>
    <s v="User Not Mapped"/>
    <s v="User Not Mapped"/>
    <s v="User Not Mapped"/>
    <n v="411339"/>
    <s v="Dilip Kumar Mondal"/>
    <s v="Private Retailer"/>
    <s v="9932583255"/>
    <n v="0.5"/>
    <n v="21"/>
    <x v="5"/>
    <m/>
    <s v="2026-03-30"/>
    <s v="281511"/>
    <s v="Malakshmi Krishi Bhandar      "/>
    <s v="9800561868"/>
  </r>
  <r>
    <s v="RCF Trombay"/>
    <s v="N.C.Urea(45kg)"/>
    <s v="WB"/>
    <x v="0"/>
    <s v="Gaighata"/>
    <s v="User Not Mapped"/>
    <s v="User Not Mapped"/>
    <s v="User Not Mapped"/>
    <n v="411365"/>
    <s v="Ghosh Fertlizer"/>
    <s v="Private Retailer"/>
    <s v="9749556595"/>
    <n v="0.67500000000000004"/>
    <n v="152"/>
    <x v="4"/>
    <m/>
    <s v="2025-11-19"/>
    <s v="281511"/>
    <s v="Malakshmi Krishi Bhandar      "/>
    <s v="9800561868"/>
  </r>
  <r>
    <s v="RCF Thal"/>
    <s v="N.C.Urea(45kg)"/>
    <s v="WB"/>
    <x v="0"/>
    <s v="Gaighata"/>
    <s v="User Not Mapped"/>
    <s v="User Not Mapped"/>
    <s v="User Not Mapped"/>
    <n v="411365"/>
    <s v="Ghosh Fertlizer"/>
    <s v="Private Retailer"/>
    <s v="9749556595"/>
    <n v="0.495"/>
    <n v="152"/>
    <x v="4"/>
    <m/>
    <s v="2025-11-19"/>
    <s v="281511"/>
    <s v="Malakshmi Krishi Bhandar      "/>
    <s v="9800561868"/>
  </r>
  <r>
    <s v="RCF Trombay"/>
    <s v="15-15-15"/>
    <s v="WB"/>
    <x v="0"/>
    <s v="Gaighata"/>
    <s v="User Not Mapped"/>
    <s v="User Not Mapped"/>
    <s v="User Not Mapped"/>
    <n v="411365"/>
    <s v="Ghosh Fertlizer"/>
    <s v="Private Retailer"/>
    <s v="9749556595"/>
    <n v="0.75"/>
    <n v="152"/>
    <x v="4"/>
    <m/>
    <s v="2025-11-19"/>
    <s v="281511"/>
    <s v="Malakshmi Krishi Bhandar      "/>
    <s v="9800561868"/>
  </r>
  <r>
    <s v="RCF Trombay"/>
    <s v="15-15-15"/>
    <s v="WB"/>
    <x v="0"/>
    <s v="Amdanga"/>
    <s v="User Not Mapped"/>
    <s v="User Not Mapped"/>
    <s v="User Not Mapped"/>
    <n v="354944"/>
    <s v="Ghosh Krishi Bhandar"/>
    <s v="Private Retailer"/>
    <s v="8479933744"/>
    <n v="0.25"/>
    <n v="217"/>
    <x v="1"/>
    <m/>
    <s v="2025-09-15"/>
    <s v="281511"/>
    <s v="Malakshmi Krishi Bhandar      "/>
    <s v="9800561868"/>
  </r>
  <r>
    <s v="RCF Trombay"/>
    <s v="15-15-15"/>
    <s v="WB"/>
    <x v="0"/>
    <s v="Amdanga"/>
    <s v="User Not Mapped"/>
    <s v="User Not Mapped"/>
    <s v="User Not Mapped"/>
    <n v="354944"/>
    <s v="Ghosh Krishi Bhandar"/>
    <s v="Private Retailer"/>
    <s v="8479933744"/>
    <n v="0.4"/>
    <n v="236"/>
    <x v="1"/>
    <m/>
    <s v="2025-08-27"/>
    <s v="281511"/>
    <s v="Malakshmi Krishi Bhandar      "/>
    <s v="9800561868"/>
  </r>
  <r>
    <s v="RCF Thal"/>
    <s v="N.C.Urea(45kg)"/>
    <s v="WB"/>
    <x v="0"/>
    <s v="Amdanga"/>
    <s v="User Not Mapped"/>
    <s v="User Not Mapped"/>
    <s v="User Not Mapped"/>
    <n v="1509073"/>
    <s v="GHOSH KRISHI BHANDAR"/>
    <s v="Private Retailer"/>
    <s v="9163449557"/>
    <n v="1.2150000000000001"/>
    <n v="9"/>
    <x v="5"/>
    <m/>
    <s v="2026-04-11"/>
    <s v="281511"/>
    <s v="Malakshmi Krishi Bhandar      "/>
    <s v="9800561868"/>
  </r>
  <r>
    <s v="RCF Thal"/>
    <s v="N.C.Urea(45kg)"/>
    <s v="WB"/>
    <x v="0"/>
    <s v="Amdanga"/>
    <s v="User Not Mapped"/>
    <s v="User Not Mapped"/>
    <s v="User Not Mapped"/>
    <n v="750801"/>
    <s v="GORA KRISHI BHNADER"/>
    <s v="Private Retailer"/>
    <s v="9476222355"/>
    <n v="0.495"/>
    <n v="1475"/>
    <x v="2"/>
    <m/>
    <s v="2022-04-06"/>
    <s v="281511"/>
    <s v="Malakshmi Krishi Bhandar      "/>
    <s v="9800561868"/>
  </r>
  <r>
    <s v="RCF Trombay"/>
    <s v="15-15-15"/>
    <s v="WB"/>
    <x v="0"/>
    <s v="Swarupnagar"/>
    <s v="User Not Mapped"/>
    <s v="User Not Mapped"/>
    <s v="User Not Mapped"/>
    <n v="519112"/>
    <s v="Gourpada Mallick"/>
    <s v="Private Retailer"/>
    <s v="9339258990"/>
    <n v="3.95"/>
    <n v="93"/>
    <x v="7"/>
    <m/>
    <s v="2026-01-17"/>
    <s v="281511"/>
    <s v="Malakshmi Krishi Bhandar      "/>
    <s v="9800561868"/>
  </r>
  <r>
    <s v="RCF Trombay"/>
    <s v="15-15-15"/>
    <s v="WB"/>
    <x v="0"/>
    <m/>
    <s v="User Not Mapped"/>
    <s v="User Not Mapped"/>
    <s v="User Not Mapped"/>
    <n v="226687"/>
    <s v="Hanspur Skus Ltd"/>
    <s v="State Marketing Federation"/>
    <s v="9734175069"/>
    <n v="4.5999999999999996"/>
    <n v="65"/>
    <x v="6"/>
    <m/>
    <s v="2026-02-14"/>
    <s v="281511"/>
    <s v="Malakshmi Krishi Bhandar      "/>
    <s v="9800561868"/>
  </r>
  <r>
    <s v="RCF Import"/>
    <s v="MOP"/>
    <s v="WB"/>
    <x v="0"/>
    <s v="Deganga"/>
    <s v="User Not Mapped"/>
    <s v="User Not Mapped"/>
    <s v="User Not Mapped"/>
    <n v="226695"/>
    <s v="Hasanur Fertilizers"/>
    <s v="Private Retailer"/>
    <s v="8145022775"/>
    <n v="2.25"/>
    <n v="61"/>
    <x v="6"/>
    <m/>
    <s v="2026-02-18"/>
    <s v="281511"/>
    <s v="Malakshmi Krishi Bhandar      "/>
    <s v="9800561868"/>
  </r>
  <r>
    <s v="RCF Trombay"/>
    <s v="N.C.Urea(45kg)"/>
    <s v="WB"/>
    <x v="0"/>
    <s v="Deganga"/>
    <s v="User Not Mapped"/>
    <s v="User Not Mapped"/>
    <s v="User Not Mapped"/>
    <n v="226695"/>
    <s v="Hasanur Fertilizers"/>
    <s v="Private Retailer"/>
    <s v="8145022775"/>
    <n v="2.79"/>
    <n v="61"/>
    <x v="6"/>
    <m/>
    <s v="2026-02-18"/>
    <s v="281511"/>
    <s v="Malakshmi Krishi Bhandar      "/>
    <s v="9800561868"/>
  </r>
  <r>
    <s v="RCF Import"/>
    <s v="Imp 10-26-26"/>
    <s v="WB"/>
    <x v="0"/>
    <s v="Deganga"/>
    <s v="User Not Mapped"/>
    <s v="User Not Mapped"/>
    <s v="User Not Mapped"/>
    <n v="768122"/>
    <s v="Hassan Fertilizer"/>
    <s v="Private Retailer"/>
    <s v="8697616771"/>
    <n v="1.85"/>
    <n v="26"/>
    <x v="5"/>
    <m/>
    <s v="2026-03-25"/>
    <s v="281511"/>
    <s v="Malakshmi Krishi Bhandar      "/>
    <s v="9800561868"/>
  </r>
  <r>
    <s v="RCF Trombay"/>
    <s v="15-15-15"/>
    <s v="WB"/>
    <x v="0"/>
    <s v="Deganga"/>
    <s v="User Not Mapped"/>
    <s v="User Not Mapped"/>
    <s v="User Not Mapped"/>
    <n v="1544998"/>
    <s v="Hassan Krishi Bhander"/>
    <s v="Private Retailer"/>
    <s v="8145330252"/>
    <n v="2"/>
    <n v="91"/>
    <x v="7"/>
    <m/>
    <s v="2026-01-19"/>
    <s v="281511"/>
    <s v="Malakshmi Krishi Bhandar      "/>
    <s v="9800561868"/>
  </r>
  <r>
    <s v="RCF Import"/>
    <s v="MOP"/>
    <s v="WB"/>
    <x v="0"/>
    <s v="Gaighata"/>
    <s v="User Not Mapped"/>
    <s v="User Not Mapped"/>
    <s v="User Not Mapped"/>
    <n v="376221"/>
    <s v="Jaleswarl/Spcacs Ltd"/>
    <s v="PACS"/>
    <s v="9749693643"/>
    <n v="9.75"/>
    <n v="44"/>
    <x v="3"/>
    <m/>
    <s v="2026-03-07"/>
    <s v="281511"/>
    <s v="Malakshmi Krishi Bhandar      "/>
    <s v="9800561868"/>
  </r>
  <r>
    <s v="RCF Trombay"/>
    <s v="15-15-15"/>
    <s v="WB"/>
    <x v="0"/>
    <s v="Amdanga"/>
    <s v="User Not Mapped"/>
    <s v="User Not Mapped"/>
    <s v="User Not Mapped"/>
    <n v="1541147"/>
    <s v="Janakalyan krishi Bhander"/>
    <s v="Private Retailer"/>
    <s v="7001240463"/>
    <n v="2.4"/>
    <n v="141"/>
    <x v="4"/>
    <m/>
    <s v="2025-11-30"/>
    <s v="281511"/>
    <s v="Malakshmi Krishi Bhandar      "/>
    <s v="9800561868"/>
  </r>
  <r>
    <s v="RCF Trombay"/>
    <s v="15-15-15"/>
    <s v="WB"/>
    <x v="0"/>
    <s v="Habra - II"/>
    <s v="User Not Mapped"/>
    <s v="User Not Mapped"/>
    <s v="User Not Mapped"/>
    <n v="797254"/>
    <s v="JANAKALYAN KRISHI BHANDER"/>
    <s v="Private Retailer"/>
    <s v="9734349563"/>
    <n v="4.5"/>
    <n v="65"/>
    <x v="6"/>
    <m/>
    <s v="2026-02-14"/>
    <s v="281511"/>
    <s v="Malakshmi Krishi Bhandar      "/>
    <s v="9800561868"/>
  </r>
  <r>
    <s v="RCF Thal"/>
    <s v="N.C.Urea(45kg)"/>
    <s v="WB"/>
    <x v="0"/>
    <s v="Amdanga"/>
    <s v="User Not Mapped"/>
    <s v="User Not Mapped"/>
    <s v="User Not Mapped"/>
    <n v="355062"/>
    <s v="Janapriya  Krishi  Bhander"/>
    <s v="Private Retailer"/>
    <s v="9635908114"/>
    <n v="4.4999999999999998E-2"/>
    <n v="241"/>
    <x v="1"/>
    <m/>
    <s v="2025-08-22"/>
    <s v="281511"/>
    <s v="Malakshmi Krishi Bhandar      "/>
    <s v="9800561868"/>
  </r>
  <r>
    <s v="RCF Import"/>
    <s v="MOP"/>
    <s v="WB"/>
    <x v="0"/>
    <s v="Hingalganj"/>
    <s v="User Not Mapped"/>
    <s v="User Not Mapped"/>
    <s v="User Not Mapped"/>
    <n v="1478557"/>
    <s v="JAYDEV MONDAL"/>
    <s v="Private Retailer"/>
    <s v="7029279187"/>
    <n v="3.8"/>
    <n v="49"/>
    <x v="3"/>
    <m/>
    <s v="2026-03-02"/>
    <s v="281511"/>
    <s v="Malakshmi Krishi Bhandar      "/>
    <s v="9800561868"/>
  </r>
  <r>
    <s v="RCF Thal"/>
    <s v="N.C.Urea(45kg)"/>
    <s v="WB"/>
    <x v="0"/>
    <s v="Hingalganj"/>
    <s v="User Not Mapped"/>
    <s v="User Not Mapped"/>
    <s v="User Not Mapped"/>
    <n v="1478557"/>
    <s v="JAYDEV MONDAL"/>
    <s v="Private Retailer"/>
    <s v="7029279187"/>
    <n v="5.7149999999999999"/>
    <n v="271"/>
    <x v="1"/>
    <m/>
    <s v="2025-07-23"/>
    <s v="281511"/>
    <s v="Malakshmi Krishi Bhandar      "/>
    <s v="9800561868"/>
  </r>
  <r>
    <s v="RCF Trombay"/>
    <s v="15-15-15"/>
    <s v="WB"/>
    <x v="0"/>
    <s v="Habra - I"/>
    <s v="User Not Mapped"/>
    <s v="User Not Mapped"/>
    <s v="User Not Mapped"/>
    <n v="226726"/>
    <s v="Jhanka Krishi Bhandar"/>
    <s v="Private Retailer"/>
    <s v="8617425305"/>
    <n v="0.9"/>
    <n v="35"/>
    <x v="3"/>
    <m/>
    <s v="2026-03-16"/>
    <s v="281511"/>
    <s v="Malakshmi Krishi Bhandar      "/>
    <s v="9800561868"/>
  </r>
  <r>
    <s v="RCF Import"/>
    <s v="MOP"/>
    <s v="WB"/>
    <x v="0"/>
    <s v="Habra - I"/>
    <s v="User Not Mapped"/>
    <s v="User Not Mapped"/>
    <s v="User Not Mapped"/>
    <n v="226726"/>
    <s v="Jhanka Krishi Bhandar"/>
    <s v="Private Retailer"/>
    <s v="8617425305"/>
    <n v="3.2"/>
    <n v="61"/>
    <x v="6"/>
    <m/>
    <s v="2026-02-18"/>
    <s v="281511"/>
    <s v="Malakshmi Krishi Bhandar      "/>
    <s v="9800561868"/>
  </r>
  <r>
    <s v="RCF Import"/>
    <s v="Imp 10-26-26"/>
    <s v="WB"/>
    <x v="0"/>
    <s v="Habra - I"/>
    <s v="User Not Mapped"/>
    <s v="User Not Mapped"/>
    <s v="User Not Mapped"/>
    <n v="226726"/>
    <s v="Jhanka Krishi Bhandar"/>
    <s v="Private Retailer"/>
    <s v="8617425305"/>
    <n v="3.7"/>
    <n v="51"/>
    <x v="3"/>
    <m/>
    <s v="2026-02-28"/>
    <s v="281511"/>
    <s v="Malakshmi Krishi Bhandar      "/>
    <s v="9800561868"/>
  </r>
  <r>
    <s v="RCF Thal"/>
    <s v="N.C.Urea(45kg)"/>
    <s v="WB"/>
    <x v="0"/>
    <s v="Swarupnagar"/>
    <s v="User Not Mapped"/>
    <s v="User Not Mapped"/>
    <s v="User Not Mapped"/>
    <n v="226730"/>
    <s v="Jiban Krishna Sarkar"/>
    <s v="Private Retailer"/>
    <s v="9593112636"/>
    <n v="0.09"/>
    <n v="68"/>
    <x v="6"/>
    <m/>
    <s v="2026-02-11"/>
    <s v="281511"/>
    <s v="Malakshmi Krishi Bhandar      "/>
    <s v="9800561868"/>
  </r>
  <r>
    <s v="RCF Trombay"/>
    <s v="N.C.Urea(45kg)"/>
    <s v="WB"/>
    <x v="0"/>
    <s v="Habra - II"/>
    <s v="User Not Mapped"/>
    <s v="User Not Mapped"/>
    <s v="User Not Mapped"/>
    <n v="226736"/>
    <s v="Kadpur Skus Ltd"/>
    <s v="State Marketing Federation"/>
    <s v="9830346319"/>
    <n v="5.49"/>
    <n v="65"/>
    <x v="6"/>
    <m/>
    <s v="2026-02-14"/>
    <s v="281511"/>
    <s v="Malakshmi Krishi Bhandar      "/>
    <s v="9800561868"/>
  </r>
  <r>
    <s v="RCF Trombay"/>
    <s v="15-15-15"/>
    <s v="WB"/>
    <x v="0"/>
    <s v="Bongaon"/>
    <s v="User Not Mapped"/>
    <s v="User Not Mapped"/>
    <s v="User Not Mapped"/>
    <n v="493631"/>
    <s v="Kalpana Roy"/>
    <s v="Private Retailer"/>
    <s v="8001232446"/>
    <n v="1"/>
    <n v="33"/>
    <x v="3"/>
    <m/>
    <s v="2026-03-18"/>
    <s v="281511"/>
    <s v="Malakshmi Krishi Bhandar      "/>
    <s v="9800561868"/>
  </r>
  <r>
    <s v="RCF Thal"/>
    <s v="N.C.Urea(45kg)"/>
    <s v="WB"/>
    <x v="0"/>
    <s v="Hingalganj"/>
    <s v="User Not Mapped"/>
    <s v="User Not Mapped"/>
    <s v="User Not Mapped"/>
    <n v="1478567"/>
    <s v="KAMALA FERTILISER"/>
    <s v="Private Retailer"/>
    <s v="7318852028"/>
    <n v="2.34"/>
    <n v="258"/>
    <x v="1"/>
    <m/>
    <s v="2025-08-05"/>
    <s v="281511"/>
    <s v="Malakshmi Krishi Bhandar      "/>
    <s v="9800561868"/>
  </r>
  <r>
    <s v="RCF Trombay"/>
    <s v="15-15-15"/>
    <s v="WB"/>
    <x v="0"/>
    <s v="Swarupnagar"/>
    <s v="User Not Mapped"/>
    <s v="User Not Mapped"/>
    <s v="User Not Mapped"/>
    <n v="226746"/>
    <s v="Kanchan Krishi Bhandar "/>
    <s v="Private Retailer"/>
    <s v="9735424159"/>
    <n v="2.75"/>
    <n v="124"/>
    <x v="4"/>
    <m/>
    <s v="2025-12-17"/>
    <s v="281511"/>
    <s v="Malakshmi Krishi Bhandar      "/>
    <s v="9800561868"/>
  </r>
  <r>
    <s v="RCF Import"/>
    <s v="MOP"/>
    <s v="WB"/>
    <x v="0"/>
    <s v="Hasnabad"/>
    <s v="User Not Mapped"/>
    <s v="User Not Mapped"/>
    <s v="User Not Mapped"/>
    <n v="226747"/>
    <s v="Kanika Pal"/>
    <s v="Private Retailer"/>
    <s v="9153055087"/>
    <n v="2"/>
    <n v="61"/>
    <x v="6"/>
    <m/>
    <s v="2026-02-18"/>
    <s v="281511"/>
    <s v="Malakshmi Krishi Bhandar      "/>
    <s v="9800561868"/>
  </r>
  <r>
    <s v="RCF Trombay"/>
    <s v="N.C.Urea(45kg)"/>
    <s v="WB"/>
    <x v="0"/>
    <s v="Habra - II"/>
    <s v="User Not Mapped"/>
    <s v="User Not Mapped"/>
    <s v="User Not Mapped"/>
    <n v="355156"/>
    <s v="Karina Krishi   Bhander"/>
    <s v="Private Retailer"/>
    <s v="9775038282"/>
    <n v="4.41"/>
    <n v="65"/>
    <x v="6"/>
    <m/>
    <s v="2026-02-14"/>
    <s v="281511"/>
    <s v="Malakshmi Krishi Bhandar      "/>
    <s v="9800561868"/>
  </r>
  <r>
    <s v="RCF Trombay"/>
    <s v="15-15-15"/>
    <s v="WB"/>
    <x v="0"/>
    <s v="Habra - II"/>
    <s v="User Not Mapped"/>
    <s v="User Not Mapped"/>
    <s v="User Not Mapped"/>
    <n v="355156"/>
    <s v="Karina Krishi   Bhander"/>
    <s v="Private Retailer"/>
    <s v="9775038282"/>
    <n v="5.5"/>
    <n v="65"/>
    <x v="6"/>
    <m/>
    <s v="2026-02-14"/>
    <s v="281511"/>
    <s v="Malakshmi Krishi Bhandar      "/>
    <s v="9800561868"/>
  </r>
  <r>
    <s v="RCF Trombay"/>
    <s v="15-15-15"/>
    <s v="WB"/>
    <x v="0"/>
    <m/>
    <s v="User Not Mapped"/>
    <s v="User Not Mapped"/>
    <s v="User Not Mapped"/>
    <n v="457482"/>
    <s v="Kartick Ch.Sarkar"/>
    <s v="Private Retailer"/>
    <s v="6297939158"/>
    <n v="0.65"/>
    <n v="155"/>
    <x v="4"/>
    <m/>
    <s v="2025-11-16"/>
    <s v="281511"/>
    <s v="Malakshmi Krishi Bhandar      "/>
    <s v="9800561868"/>
  </r>
  <r>
    <s v="RCF Thal"/>
    <s v="N.C.Urea(45kg)"/>
    <s v="WB"/>
    <x v="0"/>
    <s v="Swarupnagar"/>
    <s v="User Not Mapped"/>
    <s v="User Not Mapped"/>
    <s v="User Not Mapped"/>
    <n v="341630"/>
    <s v="Kasem  Mallick"/>
    <s v="Private Retailer"/>
    <s v="6295897074"/>
    <n v="10.98"/>
    <n v="38"/>
    <x v="3"/>
    <m/>
    <s v="2026-03-13"/>
    <s v="281511"/>
    <s v="Malakshmi Krishi Bhandar      "/>
    <s v="9800561868"/>
  </r>
  <r>
    <s v="RCF Trombay"/>
    <s v="N.C.Urea(45kg)"/>
    <s v="WB"/>
    <x v="0"/>
    <s v="Deganga"/>
    <s v="User Not Mapped"/>
    <s v="User Not Mapped"/>
    <s v="User Not Mapped"/>
    <n v="323631"/>
    <s v="Khanpur Krishi Bhandar"/>
    <s v="Private Retailer"/>
    <s v="9734379388"/>
    <n v="0.01"/>
    <n v="334"/>
    <x v="1"/>
    <m/>
    <s v="2025-05-21"/>
    <s v="281511"/>
    <s v="Malakshmi Krishi Bhandar      "/>
    <s v="9800561868"/>
  </r>
  <r>
    <s v="RCF Trombay"/>
    <s v="15-15-15"/>
    <s v="WB"/>
    <x v="0"/>
    <s v="Bongaon"/>
    <s v="User Not Mapped"/>
    <s v="User Not Mapped"/>
    <s v="User Not Mapped"/>
    <n v="1354316"/>
    <s v="KRISHI FERTILIZER"/>
    <s v="Private Retailer"/>
    <s v="8101732360"/>
    <n v="0.2"/>
    <n v="238"/>
    <x v="1"/>
    <m/>
    <s v="2025-08-25"/>
    <s v="281511"/>
    <s v="Malakshmi Krishi Bhandar      "/>
    <s v="9800561868"/>
  </r>
  <r>
    <s v="RCF Trombay"/>
    <s v="N.C.Urea(45kg)"/>
    <s v="WB"/>
    <x v="0"/>
    <s v="Barasat - I"/>
    <s v="User Not Mapped"/>
    <s v="User Not Mapped"/>
    <s v="User Not Mapped"/>
    <n v="859185"/>
    <s v="kRISHI KALYAN"/>
    <s v="Private Retailer"/>
    <s v="7384680422"/>
    <n v="0.45"/>
    <n v="1321"/>
    <x v="2"/>
    <m/>
    <s v="2022-09-07"/>
    <s v="281511"/>
    <s v="Malakshmi Krishi Bhandar      "/>
    <s v="9800561868"/>
  </r>
  <r>
    <s v="RCF Trombay"/>
    <s v="15-15-15"/>
    <s v="WB"/>
    <x v="0"/>
    <s v="Habra - II"/>
    <s v="User Not Mapped"/>
    <s v="User Not Mapped"/>
    <s v="User Not Mapped"/>
    <n v="1018663"/>
    <s v="Lakshmi kata Mondal"/>
    <s v="Private Retailer"/>
    <s v="9564605306"/>
    <n v="1.25"/>
    <n v="91"/>
    <x v="7"/>
    <m/>
    <s v="2026-01-19"/>
    <s v="281511"/>
    <s v="Malakshmi Krishi Bhandar      "/>
    <s v="9800561868"/>
  </r>
  <r>
    <s v="RCF Trombay"/>
    <s v="N.C.Urea(45kg)"/>
    <s v="WB"/>
    <x v="0"/>
    <s v="Habra - II"/>
    <s v="User Not Mapped"/>
    <s v="User Not Mapped"/>
    <s v="User Not Mapped"/>
    <n v="1018663"/>
    <s v="Lakshmi kata Mondal"/>
    <s v="Private Retailer"/>
    <s v="9564605306"/>
    <n v="0.315"/>
    <n v="91"/>
    <x v="7"/>
    <m/>
    <s v="2026-01-19"/>
    <s v="281511"/>
    <s v="Malakshmi Krishi Bhandar      "/>
    <s v="9800561868"/>
  </r>
  <r>
    <s v="RCF Trombay"/>
    <s v="15-15-15"/>
    <s v="WB"/>
    <x v="0"/>
    <s v="Habra - II"/>
    <s v="User Not Mapped"/>
    <s v="User Not Mapped"/>
    <s v="User Not Mapped"/>
    <n v="226780"/>
    <s v="Lokenath Krishi Bhander"/>
    <s v="Private Retailer"/>
    <s v="9547723181"/>
    <n v="0.1"/>
    <n v="162"/>
    <x v="4"/>
    <m/>
    <s v="2025-11-09"/>
    <s v="281511"/>
    <s v="Malakshmi Krishi Bhandar      "/>
    <s v="9800561868"/>
  </r>
  <r>
    <s v="RCF Trombay"/>
    <s v="15-15-15"/>
    <s v="WB"/>
    <x v="0"/>
    <s v="Habra - II"/>
    <s v="User Not Mapped"/>
    <s v="User Not Mapped"/>
    <s v="User Not Mapped"/>
    <n v="226780"/>
    <s v="Lokenath Krishi Bhander"/>
    <s v="Private Retailer"/>
    <s v="9547723181"/>
    <n v="0.1"/>
    <n v="266"/>
    <x v="1"/>
    <m/>
    <s v="2025-07-28"/>
    <s v="281511"/>
    <s v="Malakshmi Krishi Bhandar      "/>
    <s v="9800561868"/>
  </r>
  <r>
    <s v="RCF Trombay"/>
    <s v="15-15-15"/>
    <s v="WB"/>
    <x v="0"/>
    <s v="Habra - II"/>
    <s v="User Not Mapped"/>
    <s v="User Not Mapped"/>
    <s v="User Not Mapped"/>
    <n v="226780"/>
    <s v="Lokenath Krishi Bhander"/>
    <s v="Private Retailer"/>
    <s v="9547723181"/>
    <n v="0.25"/>
    <n v="86"/>
    <x v="6"/>
    <m/>
    <s v="2026-01-24"/>
    <s v="281511"/>
    <s v="Malakshmi Krishi Bhandar      "/>
    <s v="9800561868"/>
  </r>
  <r>
    <s v="RCF Trombay"/>
    <s v="N.C.Urea(45kg)"/>
    <s v="WB"/>
    <x v="0"/>
    <m/>
    <s v="User Not Mapped"/>
    <s v="User Not Mapped"/>
    <s v="User Not Mapped"/>
    <n v="503498"/>
    <s v="Lokenath Krishi Bhander"/>
    <s v="Private Retailer"/>
    <s v="9733958716"/>
    <n v="1.89"/>
    <n v="1304"/>
    <x v="2"/>
    <m/>
    <s v="2022-09-24"/>
    <s v="281511"/>
    <s v="Malakshmi Krishi Bhandar      "/>
    <s v="9800561868"/>
  </r>
  <r>
    <s v="RCF Trombay"/>
    <s v="15-15-15"/>
    <s v="WB"/>
    <x v="0"/>
    <s v="Baduria"/>
    <s v="User Not Mapped"/>
    <s v="User Not Mapped"/>
    <s v="User Not Mapped"/>
    <n v="460707"/>
    <s v="M/S  Rejaul Krishi Bhander"/>
    <s v="Private Retailer"/>
    <s v="9775585308"/>
    <n v="0.25"/>
    <n v="162"/>
    <x v="4"/>
    <m/>
    <s v="2025-11-09"/>
    <s v="281511"/>
    <s v="Malakshmi Krishi Bhandar      "/>
    <s v="9800561868"/>
  </r>
  <r>
    <s v="RCF Trombay"/>
    <s v="15-15-15"/>
    <s v="WB"/>
    <x v="0"/>
    <s v="Baduria"/>
    <s v="User Not Mapped"/>
    <s v="User Not Mapped"/>
    <s v="User Not Mapped"/>
    <n v="460707"/>
    <s v="M/S  Rejaul Krishi Bhander"/>
    <s v="Private Retailer"/>
    <s v="9775585308"/>
    <n v="0.35"/>
    <n v="90"/>
    <x v="6"/>
    <m/>
    <s v="2026-01-20"/>
    <s v="281511"/>
    <s v="Malakshmi Krishi Bhandar      "/>
    <s v="9800561868"/>
  </r>
  <r>
    <s v="RCF Trombay"/>
    <s v="15-15-15"/>
    <s v="WB"/>
    <x v="0"/>
    <s v="Baduria"/>
    <s v="User Not Mapped"/>
    <s v="User Not Mapped"/>
    <s v="User Not Mapped"/>
    <n v="460707"/>
    <s v="M/S  Rejaul Krishi Bhander"/>
    <s v="Private Retailer"/>
    <s v="9775585308"/>
    <n v="0.5"/>
    <n v="23"/>
    <x v="5"/>
    <m/>
    <s v="2026-03-28"/>
    <s v="281511"/>
    <s v="Malakshmi Krishi Bhandar      "/>
    <s v="9800561868"/>
  </r>
  <r>
    <s v="RCF Trombay"/>
    <s v="15-15-15"/>
    <s v="WB"/>
    <x v="0"/>
    <m/>
    <s v="User Not Mapped"/>
    <s v="User Not Mapped"/>
    <s v="User Not Mapped"/>
    <n v="411211"/>
    <s v="M/S Bipul Fertilizer Store"/>
    <s v="Private Retailer"/>
    <s v="8777515160"/>
    <n v="2.75"/>
    <n v="91"/>
    <x v="7"/>
    <m/>
    <s v="2026-01-19"/>
    <s v="281511"/>
    <s v="Malakshmi Krishi Bhandar      "/>
    <s v="9800561868"/>
  </r>
  <r>
    <s v="RCF Trombay"/>
    <s v="N.C.Urea(45kg)"/>
    <s v="WB"/>
    <x v="0"/>
    <s v="Habra - I"/>
    <s v="User Not Mapped"/>
    <s v="User Not Mapped"/>
    <s v="User Not Mapped"/>
    <n v="226942"/>
    <s v="M/S Debnath Fertilizer"/>
    <s v="Private Retailer"/>
    <s v="9775126980"/>
    <n v="1.08"/>
    <n v="407"/>
    <x v="0"/>
    <m/>
    <s v="2025-03-09"/>
    <s v="281511"/>
    <s v="Malakshmi Krishi Bhandar      "/>
    <s v="9800561868"/>
  </r>
  <r>
    <s v="RCF Thal"/>
    <s v="N.C.Urea(45kg)"/>
    <s v="WB"/>
    <x v="0"/>
    <s v="Amdanga"/>
    <s v="User Not Mapped"/>
    <s v="User Not Mapped"/>
    <s v="User Not Mapped"/>
    <n v="515678"/>
    <s v="M/S Kamal Midde"/>
    <s v="Private Retailer"/>
    <s v="9874616333"/>
    <n v="0.99"/>
    <n v="121"/>
    <x v="4"/>
    <m/>
    <s v="2025-12-20"/>
    <s v="281511"/>
    <s v="Malakshmi Krishi Bhandar      "/>
    <s v="9800561868"/>
  </r>
  <r>
    <s v="RCF Trombay"/>
    <s v="15-15-15"/>
    <s v="WB"/>
    <x v="0"/>
    <s v="Amdanga"/>
    <s v="User Not Mapped"/>
    <s v="User Not Mapped"/>
    <s v="User Not Mapped"/>
    <n v="1194704"/>
    <s v="M/S KARUNAMAYEE KRISHI BHANDER"/>
    <s v="Private Retailer"/>
    <s v="7797439429"/>
    <n v="4.05"/>
    <n v="84"/>
    <x v="6"/>
    <m/>
    <s v="2026-01-26"/>
    <s v="281511"/>
    <s v="Malakshmi Krishi Bhandar      "/>
    <s v="9800561868"/>
  </r>
  <r>
    <s v="RCF Trombay"/>
    <s v="15-15-15"/>
    <s v="WB"/>
    <x v="0"/>
    <s v="Amdanga"/>
    <s v="User Not Mapped"/>
    <s v="User Not Mapped"/>
    <s v="User Not Mapped"/>
    <n v="515670"/>
    <s v="M/S MA KARUNAMOYEE KRISHI BHAN"/>
    <s v="Private Retailer"/>
    <s v="7003890718"/>
    <n v="5.5"/>
    <n v="124"/>
    <x v="4"/>
    <m/>
    <s v="2025-12-17"/>
    <s v="281511"/>
    <s v="Malakshmi Krishi Bhandar      "/>
    <s v="9800561868"/>
  </r>
  <r>
    <s v="RCF Trombay"/>
    <s v="15-15-15"/>
    <s v="WB"/>
    <x v="0"/>
    <s v="Amdanga"/>
    <s v="User Not Mapped"/>
    <s v="User Not Mapped"/>
    <s v="User Not Mapped"/>
    <n v="515670"/>
    <s v="M/S MA KARUNAMOYEE KRISHI BHAN"/>
    <s v="Private Retailer"/>
    <s v="7003890718"/>
    <n v="2.694"/>
    <n v="141"/>
    <x v="4"/>
    <m/>
    <s v="2025-11-30"/>
    <s v="281511"/>
    <s v="Malakshmi Krishi Bhandar      "/>
    <s v="9800561868"/>
  </r>
  <r>
    <s v="RCF Trombay"/>
    <s v="15-15-15"/>
    <s v="WB"/>
    <x v="0"/>
    <s v="Amdanga"/>
    <s v="User Not Mapped"/>
    <s v="User Not Mapped"/>
    <s v="User Not Mapped"/>
    <n v="515670"/>
    <s v="M/S MA KARUNAMOYEE KRISHI BHAN"/>
    <s v="Private Retailer"/>
    <s v="7003890718"/>
    <n v="11"/>
    <n v="93"/>
    <x v="7"/>
    <m/>
    <s v="2026-01-17"/>
    <s v="281511"/>
    <s v="Malakshmi Krishi Bhandar      "/>
    <s v="9800561868"/>
  </r>
  <r>
    <s v="RCF Trombay"/>
    <s v="N.C.Urea(45kg)"/>
    <s v="WB"/>
    <x v="0"/>
    <s v="Amdanga"/>
    <s v="User Not Mapped"/>
    <s v="User Not Mapped"/>
    <s v="User Not Mapped"/>
    <n v="515670"/>
    <s v="M/S MA KARUNAMOYEE KRISHI BHAN"/>
    <s v="Private Retailer"/>
    <s v="7003890718"/>
    <n v="4.319"/>
    <n v="141"/>
    <x v="4"/>
    <m/>
    <s v="2025-11-30"/>
    <s v="281511"/>
    <s v="Malakshmi Krishi Bhandar      "/>
    <s v="9800561868"/>
  </r>
  <r>
    <s v="RCF Trombay"/>
    <s v="N.C.Urea(45kg)"/>
    <s v="WB"/>
    <x v="0"/>
    <s v="Amdanga"/>
    <s v="User Not Mapped"/>
    <s v="User Not Mapped"/>
    <s v="User Not Mapped"/>
    <n v="515670"/>
    <s v="M/S MA KARUNAMOYEE KRISHI BHAN"/>
    <s v="Private Retailer"/>
    <s v="7003890718"/>
    <n v="5.49"/>
    <n v="93"/>
    <x v="7"/>
    <m/>
    <s v="2026-01-17"/>
    <s v="281511"/>
    <s v="Malakshmi Krishi Bhandar      "/>
    <s v="9800561868"/>
  </r>
  <r>
    <s v="RCF Trombay"/>
    <s v="N.C.Urea(45kg)"/>
    <s v="WB"/>
    <x v="0"/>
    <s v="Amdanga"/>
    <s v="User Not Mapped"/>
    <s v="User Not Mapped"/>
    <s v="User Not Mapped"/>
    <n v="515670"/>
    <s v="M/S MA KARUNAMOYEE KRISHI BHAN"/>
    <s v="Private Retailer"/>
    <s v="7003890718"/>
    <n v="5.49"/>
    <n v="65"/>
    <x v="6"/>
    <m/>
    <s v="2026-02-14"/>
    <s v="281511"/>
    <s v="Malakshmi Krishi Bhandar      "/>
    <s v="9800561868"/>
  </r>
  <r>
    <s v="RCF Trombay"/>
    <s v="15-15-15"/>
    <s v="WB"/>
    <x v="0"/>
    <s v="Amdanga"/>
    <s v="User Not Mapped"/>
    <s v="User Not Mapped"/>
    <s v="User Not Mapped"/>
    <n v="515670"/>
    <s v="M/S MA KARUNAMOYEE KRISHI BHAN"/>
    <s v="Private Retailer"/>
    <s v="7003890718"/>
    <n v="5.5"/>
    <n v="65"/>
    <x v="6"/>
    <m/>
    <s v="2026-02-14"/>
    <s v="281511"/>
    <s v="Malakshmi Krishi Bhandar      "/>
    <s v="9800561868"/>
  </r>
  <r>
    <s v="RCF Trombay"/>
    <s v="15-15-15"/>
    <s v="WB"/>
    <x v="0"/>
    <s v="Baduria"/>
    <s v="User Not Mapped"/>
    <s v="User Not Mapped"/>
    <s v="User Not Mapped"/>
    <n v="226979"/>
    <s v="M/S Md. Abdur Rasid"/>
    <s v="Private Retailer"/>
    <s v="9732591399"/>
    <n v="5.5"/>
    <n v="141"/>
    <x v="4"/>
    <m/>
    <s v="2025-11-30"/>
    <s v="281511"/>
    <s v="Malakshmi Krishi Bhandar      "/>
    <s v="9800561868"/>
  </r>
  <r>
    <s v="RCF Trombay"/>
    <s v="15-15-15"/>
    <s v="WB"/>
    <x v="0"/>
    <s v="Baduria"/>
    <s v="User Not Mapped"/>
    <s v="User Not Mapped"/>
    <s v="User Not Mapped"/>
    <n v="226979"/>
    <s v="M/S Md. Abdur Rasid"/>
    <s v="Private Retailer"/>
    <s v="9732591399"/>
    <n v="0.25"/>
    <n v="284"/>
    <x v="1"/>
    <m/>
    <s v="2025-07-10"/>
    <s v="281511"/>
    <s v="Malakshmi Krishi Bhandar      "/>
    <s v="9800561868"/>
  </r>
  <r>
    <s v="RCF Trombay"/>
    <s v="15-15-15"/>
    <s v="WB"/>
    <x v="0"/>
    <s v="Habra - I"/>
    <s v="User Not Mapped"/>
    <s v="User Not Mapped"/>
    <s v="User Not Mapped"/>
    <n v="226992"/>
    <s v="M/S Ram Prasad Das"/>
    <s v="Private Retailer"/>
    <s v="9333880164"/>
    <n v="6.0000000000000001E-3"/>
    <n v="226"/>
    <x v="1"/>
    <m/>
    <s v="2025-09-06"/>
    <s v="281511"/>
    <s v="Malakshmi Krishi Bhandar      "/>
    <s v="9800561868"/>
  </r>
  <r>
    <s v="RCF Trombay"/>
    <s v="15-15-15"/>
    <s v="WB"/>
    <x v="0"/>
    <s v="Habra - I"/>
    <s v="User Not Mapped"/>
    <s v="User Not Mapped"/>
    <s v="User Not Mapped"/>
    <n v="503504"/>
    <s v="M/S Sonali Enterprise"/>
    <s v="Private Retailer"/>
    <s v="8250035491"/>
    <n v="2.35"/>
    <n v="93"/>
    <x v="7"/>
    <m/>
    <s v="2026-01-17"/>
    <s v="281511"/>
    <s v="Malakshmi Krishi Bhandar      "/>
    <s v="9800561868"/>
  </r>
  <r>
    <s v="RCF Thal"/>
    <s v="N.C.Urea(45kg)"/>
    <s v="WB"/>
    <x v="0"/>
    <s v="Habra - I"/>
    <s v="User Not Mapped"/>
    <s v="User Not Mapped"/>
    <s v="User Not Mapped"/>
    <n v="503504"/>
    <s v="M/S Sonali Enterprise"/>
    <s v="Private Retailer"/>
    <s v="8250035491"/>
    <n v="4.6349999999999998"/>
    <n v="37"/>
    <x v="3"/>
    <m/>
    <s v="2026-03-14"/>
    <s v="281511"/>
    <s v="Malakshmi Krishi Bhandar      "/>
    <s v="9800561868"/>
  </r>
  <r>
    <s v="RCF Thal"/>
    <s v="N.C.Urea(45kg)"/>
    <s v="WB"/>
    <x v="0"/>
    <s v="Habra - I"/>
    <s v="User Not Mapped"/>
    <s v="User Not Mapped"/>
    <s v="User Not Mapped"/>
    <n v="227010"/>
    <s v="M/S Swapan Kumar Biswas"/>
    <s v="Private Retailer"/>
    <s v="9732462289"/>
    <n v="4.59"/>
    <n v="37"/>
    <x v="3"/>
    <m/>
    <s v="2026-03-14"/>
    <s v="281511"/>
    <s v="Malakshmi Krishi Bhandar      "/>
    <s v="9800561868"/>
  </r>
  <r>
    <s v="RCF Trombay"/>
    <s v="15-15-15"/>
    <s v="WB"/>
    <x v="0"/>
    <m/>
    <s v="User Not Mapped"/>
    <s v="User Not Mapped"/>
    <s v="User Not Mapped"/>
    <n v="189382"/>
    <s v="M/S. Asraf Ali"/>
    <s v="Private Retailer"/>
    <s v="6295459212"/>
    <n v="3"/>
    <n v="65"/>
    <x v="6"/>
    <m/>
    <s v="2026-02-14"/>
    <s v="281511"/>
    <s v="Malakshmi Krishi Bhandar      "/>
    <s v="9800561868"/>
  </r>
  <r>
    <s v="RCF Thal"/>
    <s v="N.C.Urea(45kg)"/>
    <s v="WB"/>
    <x v="0"/>
    <s v="Amdanga"/>
    <s v="User Not Mapped"/>
    <s v="User Not Mapped"/>
    <s v="User Not Mapped"/>
    <n v="189426"/>
    <s v="M/S. Matri Krishi Bhandar"/>
    <s v="Private Retailer"/>
    <s v="7980801211"/>
    <n v="3.15"/>
    <n v="68"/>
    <x v="6"/>
    <m/>
    <s v="2026-02-11"/>
    <s v="281511"/>
    <s v="Malakshmi Krishi Bhandar      "/>
    <s v="9800561868"/>
  </r>
  <r>
    <s v="RCF Thal"/>
    <s v="N.C.Urea(45kg)"/>
    <s v="WB"/>
    <x v="0"/>
    <s v="Deganga"/>
    <s v="User Not Mapped"/>
    <s v="User Not Mapped"/>
    <s v="User Not Mapped"/>
    <n v="226792"/>
    <s v="Maa Krishi Bhander"/>
    <s v="Private Retailer"/>
    <s v="9635772121"/>
    <n v="3.6"/>
    <n v="37"/>
    <x v="3"/>
    <m/>
    <s v="2026-03-14"/>
    <s v="281511"/>
    <s v="Malakshmi Krishi Bhandar      "/>
    <s v="9800561868"/>
  </r>
  <r>
    <s v="RCF Import"/>
    <s v="Imp 10-26-26"/>
    <s v="WB"/>
    <x v="0"/>
    <s v="Basirhat - II"/>
    <s v="User Not Mapped"/>
    <s v="User Not Mapped"/>
    <s v="User Not Mapped"/>
    <n v="1448246"/>
    <s v="MAA TARA KRISHI BHANDAR"/>
    <s v="Private Retailer"/>
    <s v="7908555147"/>
    <n v="5.5"/>
    <n v="49"/>
    <x v="3"/>
    <m/>
    <s v="2026-03-02"/>
    <s v="281511"/>
    <s v="Malakshmi Krishi Bhandar      "/>
    <s v="9800561868"/>
  </r>
  <r>
    <s v="RCF Thal"/>
    <s v="N.C.Urea(45kg)"/>
    <s v="WB"/>
    <x v="0"/>
    <s v="Deganga"/>
    <s v="User Not Mapped"/>
    <s v="User Not Mapped"/>
    <s v="User Not Mapped"/>
    <n v="226802"/>
    <s v="Mahakali Krishi Bhandar"/>
    <s v="Private Retailer"/>
    <s v="8145373189"/>
    <n v="5.49"/>
    <n v="37"/>
    <x v="3"/>
    <m/>
    <s v="2026-03-14"/>
    <s v="281511"/>
    <s v="Malakshmi Krishi Bhandar      "/>
    <s v="9800561868"/>
  </r>
  <r>
    <s v="RCF Import"/>
    <s v="Imp 10-26-26"/>
    <s v="WB"/>
    <x v="0"/>
    <s v="Deganga"/>
    <s v="User Not Mapped"/>
    <s v="User Not Mapped"/>
    <s v="User Not Mapped"/>
    <n v="226802"/>
    <s v="Mahakali Krishi Bhandar"/>
    <s v="Private Retailer"/>
    <s v="8145373189"/>
    <n v="4.7"/>
    <n v="49"/>
    <x v="3"/>
    <m/>
    <s v="2026-03-02"/>
    <s v="281511"/>
    <s v="Malakshmi Krishi Bhandar      "/>
    <s v="9800561868"/>
  </r>
  <r>
    <s v="RCF Thal"/>
    <s v="N.C.Urea(45kg)"/>
    <s v="WB"/>
    <x v="0"/>
    <s v="Deganga"/>
    <s v="User Not Mapped"/>
    <s v="User Not Mapped"/>
    <s v="User Not Mapped"/>
    <n v="226802"/>
    <s v="Mahakali Krishi Bhandar"/>
    <s v="Private Retailer"/>
    <s v="8145373189"/>
    <n v="5.49"/>
    <n v="68"/>
    <x v="6"/>
    <m/>
    <s v="2026-02-11"/>
    <s v="281511"/>
    <s v="Malakshmi Krishi Bhandar      "/>
    <s v="9800561868"/>
  </r>
  <r>
    <s v="RCF Trombay"/>
    <s v="N.C.Urea(45kg)"/>
    <s v="WB"/>
    <x v="0"/>
    <s v="Deganga"/>
    <s v="User Not Mapped"/>
    <s v="User Not Mapped"/>
    <s v="User Not Mapped"/>
    <n v="226802"/>
    <s v="Mahakali Krishi Bhandar"/>
    <s v="Private Retailer"/>
    <s v="8145373189"/>
    <n v="5.49"/>
    <n v="107"/>
    <x v="7"/>
    <m/>
    <s v="2026-01-03"/>
    <s v="281511"/>
    <s v="Malakshmi Krishi Bhandar      "/>
    <s v="9800561868"/>
  </r>
  <r>
    <s v="RCF Trombay"/>
    <s v="N.C.Urea(45kg)"/>
    <s v="WB"/>
    <x v="0"/>
    <s v="Deganga"/>
    <s v="User Not Mapped"/>
    <s v="User Not Mapped"/>
    <s v="User Not Mapped"/>
    <n v="226802"/>
    <s v="Mahakali Krishi Bhandar"/>
    <s v="Private Retailer"/>
    <s v="8145373189"/>
    <n v="5.04"/>
    <n v="153"/>
    <x v="4"/>
    <m/>
    <s v="2025-11-18"/>
    <s v="281511"/>
    <s v="Malakshmi Krishi Bhandar      "/>
    <s v="9800561868"/>
  </r>
  <r>
    <s v="RCF Thal"/>
    <s v="N.C.Urea(45kg)"/>
    <s v="WB"/>
    <x v="0"/>
    <s v="Deganga"/>
    <s v="User Not Mapped"/>
    <s v="User Not Mapped"/>
    <s v="User Not Mapped"/>
    <n v="226802"/>
    <s v="Mahakali Krishi Bhandar"/>
    <s v="Private Retailer"/>
    <s v="8145373189"/>
    <n v="0.63"/>
    <n v="421"/>
    <x v="0"/>
    <m/>
    <s v="2025-02-23"/>
    <s v="281511"/>
    <s v="Malakshmi Krishi Bhandar      "/>
    <s v="9800561868"/>
  </r>
  <r>
    <s v="RCF Thal"/>
    <s v="N.C.Urea(45kg)"/>
    <s v="WB"/>
    <x v="0"/>
    <s v="Barasat - I"/>
    <s v="User Not Mapped"/>
    <s v="User Not Mapped"/>
    <s v="User Not Mapped"/>
    <n v="411046"/>
    <s v="Ma-Moni Fertilizer"/>
    <s v="Private Retailer"/>
    <s v="9143732906"/>
    <n v="0.22500000000000001"/>
    <n v="1529"/>
    <x v="2"/>
    <m/>
    <s v="2022-02-11"/>
    <s v="281511"/>
    <s v="Malakshmi Krishi Bhandar      "/>
    <s v="9800561868"/>
  </r>
  <r>
    <s v="RCF Trombay"/>
    <s v="15-15-15"/>
    <s v="WB"/>
    <x v="0"/>
    <s v="Amdanga"/>
    <s v="User Not Mapped"/>
    <s v="User Not Mapped"/>
    <s v="User Not Mapped"/>
    <n v="409510"/>
    <s v="Matri Krishi Bhander"/>
    <s v="Private Retailer"/>
    <s v="9051614023"/>
    <n v="0.79600000000000004"/>
    <n v="160"/>
    <x v="4"/>
    <m/>
    <s v="2025-11-11"/>
    <s v="281511"/>
    <s v="Malakshmi Krishi Bhandar      "/>
    <s v="9800561868"/>
  </r>
  <r>
    <s v="RCF Import"/>
    <s v="MOP"/>
    <s v="WB"/>
    <x v="0"/>
    <s v="Baduria"/>
    <s v="User Not Mapped"/>
    <s v="User Not Mapped"/>
    <s v="User Not Mapped"/>
    <n v="226845"/>
    <s v="Md  Ajed Ali"/>
    <s v="Private Retailer"/>
    <s v="9775077315"/>
    <n v="5.5"/>
    <n v="61"/>
    <x v="6"/>
    <m/>
    <s v="2026-02-18"/>
    <s v="281511"/>
    <s v="Malakshmi Krishi Bhandar      "/>
    <s v="9800561868"/>
  </r>
  <r>
    <s v="RCF Trombay"/>
    <s v="15-15-15"/>
    <s v="WB"/>
    <x v="0"/>
    <s v="Baduria"/>
    <s v="User Not Mapped"/>
    <s v="User Not Mapped"/>
    <s v="User Not Mapped"/>
    <n v="226845"/>
    <s v="Md  Ajed Ali"/>
    <s v="Private Retailer"/>
    <s v="9775077315"/>
    <n v="5.5"/>
    <n v="91"/>
    <x v="7"/>
    <m/>
    <s v="2026-01-19"/>
    <s v="281511"/>
    <s v="Malakshmi Krishi Bhandar      "/>
    <s v="9800561868"/>
  </r>
  <r>
    <s v="RCF Trombay"/>
    <s v="15-15-15"/>
    <s v="WB"/>
    <x v="0"/>
    <s v="Baduria"/>
    <s v="User Not Mapped"/>
    <s v="User Not Mapped"/>
    <s v="User Not Mapped"/>
    <n v="226845"/>
    <s v="Md  Ajed Ali"/>
    <s v="Private Retailer"/>
    <s v="9775077315"/>
    <n v="5.5"/>
    <n v="65"/>
    <x v="6"/>
    <m/>
    <s v="2026-02-14"/>
    <s v="281511"/>
    <s v="Malakshmi Krishi Bhandar      "/>
    <s v="9800561868"/>
  </r>
  <r>
    <s v="RCF Trombay"/>
    <s v="15-15-15"/>
    <s v="WB"/>
    <x v="0"/>
    <s v="Deganga"/>
    <s v="User Not Mapped"/>
    <s v="User Not Mapped"/>
    <s v="User Not Mapped"/>
    <n v="797975"/>
    <s v="MD MIRAJUL ISLAM"/>
    <s v="Private Retailer"/>
    <s v="9732411940"/>
    <n v="4.25"/>
    <n v="93"/>
    <x v="7"/>
    <m/>
    <s v="2026-01-17"/>
    <s v="281511"/>
    <s v="Malakshmi Krishi Bhandar      "/>
    <s v="9800561868"/>
  </r>
  <r>
    <s v="RCF Thal"/>
    <s v="N.C.Urea(45kg)"/>
    <s v="WB"/>
    <x v="0"/>
    <s v="Habra - I"/>
    <s v="User Not Mapped"/>
    <s v="User Not Mapped"/>
    <s v="User Not Mapped"/>
    <n v="226873"/>
    <s v="Md Nurul Amin"/>
    <s v="Private Retailer"/>
    <s v="7679403730"/>
    <n v="4.2300000000000004"/>
    <n v="37"/>
    <x v="3"/>
    <m/>
    <s v="2026-03-14"/>
    <s v="281511"/>
    <s v="Malakshmi Krishi Bhandar      "/>
    <s v="9800561868"/>
  </r>
  <r>
    <s v="RCF Trombay"/>
    <s v="N.C.Urea(45kg)"/>
    <s v="WB"/>
    <x v="0"/>
    <s v="Hasnabad"/>
    <s v="User Not Mapped"/>
    <s v="User Not Mapped"/>
    <s v="User Not Mapped"/>
    <n v="226831"/>
    <s v="Md. Abder Molla"/>
    <s v="Private Retailer"/>
    <s v="9734612314"/>
    <n v="5.13"/>
    <n v="91"/>
    <x v="7"/>
    <m/>
    <s v="2026-01-19"/>
    <s v="281511"/>
    <s v="Malakshmi Krishi Bhandar      "/>
    <s v="9800561868"/>
  </r>
  <r>
    <s v="RCF Trombay"/>
    <s v="15-15-15"/>
    <s v="WB"/>
    <x v="0"/>
    <s v="Bongaon"/>
    <s v="User Not Mapped"/>
    <s v="User Not Mapped"/>
    <s v="User Not Mapped"/>
    <n v="355650"/>
    <s v="Mehabub Morsed Biswas"/>
    <s v="Private Retailer"/>
    <s v="9735315119"/>
    <n v="1"/>
    <n v="474"/>
    <x v="0"/>
    <m/>
    <s v="2025-01-01"/>
    <s v="281511"/>
    <s v="Malakshmi Krishi Bhandar      "/>
    <s v="9800561868"/>
  </r>
  <r>
    <s v="RCF Thal"/>
    <s v="N.C.Urea(45kg)"/>
    <s v="WB"/>
    <x v="0"/>
    <s v="Deganga"/>
    <s v="User Not Mapped"/>
    <s v="User Not Mapped"/>
    <s v="User Not Mapped"/>
    <n v="622734"/>
    <s v="MODERN FERTILIZER"/>
    <s v="Private Retailer"/>
    <s v="9775534691"/>
    <n v="0.01"/>
    <n v="264"/>
    <x v="1"/>
    <m/>
    <s v="2025-07-30"/>
    <s v="281511"/>
    <s v="Malakshmi Krishi Bhandar      "/>
    <s v="9800561868"/>
  </r>
  <r>
    <s v="RCF Import"/>
    <s v="Imp 10-26-26"/>
    <s v="WB"/>
    <x v="0"/>
    <s v="Deganga"/>
    <s v="User Not Mapped"/>
    <s v="User Not Mapped"/>
    <s v="User Not Mapped"/>
    <n v="622734"/>
    <s v="MODERN FERTILIZER"/>
    <s v="Private Retailer"/>
    <s v="9775534691"/>
    <n v="2.5"/>
    <n v="26"/>
    <x v="5"/>
    <m/>
    <s v="2026-03-25"/>
    <s v="281511"/>
    <s v="Malakshmi Krishi Bhandar      "/>
    <s v="9800561868"/>
  </r>
  <r>
    <s v="RCF Trombay"/>
    <s v="15-15-15"/>
    <s v="WB"/>
    <x v="0"/>
    <s v="Swarupnagar"/>
    <s v="User Not Mapped"/>
    <s v="User Not Mapped"/>
    <s v="User Not Mapped"/>
    <n v="1030072"/>
    <s v="MOGLESUR RAHAMAN MOLLA"/>
    <s v="Private Retailer"/>
    <s v="8509070605"/>
    <n v="5.5"/>
    <n v="72"/>
    <x v="6"/>
    <m/>
    <s v="2026-02-07"/>
    <s v="281511"/>
    <s v="Malakshmi Krishi Bhandar      "/>
    <s v="9800561868"/>
  </r>
  <r>
    <s v="RCF Trombay"/>
    <s v="15-15-15"/>
    <s v="WB"/>
    <x v="0"/>
    <s v="Swarupnagar"/>
    <s v="User Not Mapped"/>
    <s v="User Not Mapped"/>
    <s v="User Not Mapped"/>
    <n v="1030072"/>
    <s v="MOGLESUR RAHAMAN MOLLA"/>
    <s v="Private Retailer"/>
    <s v="8509070605"/>
    <n v="5.5"/>
    <n v="61"/>
    <x v="6"/>
    <m/>
    <s v="2026-02-18"/>
    <s v="281511"/>
    <s v="Malakshmi Krishi Bhandar      "/>
    <s v="9800561868"/>
  </r>
  <r>
    <s v="RCF Trombay"/>
    <s v="N.C.Urea(45kg)"/>
    <s v="WB"/>
    <x v="0"/>
    <s v="Hasnabad"/>
    <s v="User Not Mapped"/>
    <s v="User Not Mapped"/>
    <s v="User Not Mapped"/>
    <n v="1591944"/>
    <s v="MONDAL KRISHI BHANDAR"/>
    <s v="Private Retailer"/>
    <s v="9091490735"/>
    <n v="0.255"/>
    <n v="91"/>
    <x v="7"/>
    <m/>
    <s v="2026-01-19"/>
    <s v="281511"/>
    <s v="Malakshmi Krishi Bhandar      "/>
    <s v="9800561868"/>
  </r>
  <r>
    <s v="RCF Trombay"/>
    <s v="N.C.Urea(45kg)"/>
    <s v="WB"/>
    <x v="0"/>
    <s v="Barasat - I"/>
    <s v="User Not Mapped"/>
    <s v="User Not Mapped"/>
    <s v="User Not Mapped"/>
    <n v="857623"/>
    <s v="Nasir uddin Fertilizer"/>
    <s v="Private Retailer"/>
    <s v="8777406965"/>
    <n v="5.49"/>
    <n v="141"/>
    <x v="4"/>
    <m/>
    <s v="2025-11-30"/>
    <s v="281511"/>
    <s v="Malakshmi Krishi Bhandar      "/>
    <s v="9800561868"/>
  </r>
  <r>
    <s v="RCF Import"/>
    <s v="MOP"/>
    <s v="WB"/>
    <x v="0"/>
    <s v="Bongaon"/>
    <s v="User Not Mapped"/>
    <s v="User Not Mapped"/>
    <s v="User Not Mapped"/>
    <n v="227029"/>
    <s v="Natagram Skus Ltd"/>
    <s v="PACS"/>
    <s v="9733630445"/>
    <n v="4.8499999999999996"/>
    <n v="61"/>
    <x v="6"/>
    <m/>
    <s v="2026-02-18"/>
    <s v="281511"/>
    <s v="Malakshmi Krishi Bhandar      "/>
    <s v="9800561868"/>
  </r>
  <r>
    <s v="RCF Thal"/>
    <s v="N.C.Urea(45kg)"/>
    <s v="WB"/>
    <x v="0"/>
    <s v="Swarupnagar"/>
    <s v="User Not Mapped"/>
    <s v="User Not Mapped"/>
    <s v="User Not Mapped"/>
    <n v="331767"/>
    <s v="Nemai Chandra Mondal"/>
    <s v="Private Retailer"/>
    <s v="8641926274"/>
    <n v="8.2349999999999994"/>
    <n v="36"/>
    <x v="3"/>
    <m/>
    <s v="2026-03-15"/>
    <s v="281511"/>
    <s v="Malakshmi Krishi Bhandar      "/>
    <s v="9800561868"/>
  </r>
  <r>
    <s v="RCF Trombay"/>
    <s v="N.C.Urea(45kg)"/>
    <s v="WB"/>
    <x v="0"/>
    <s v="Habra - II"/>
    <s v="User Not Mapped"/>
    <s v="User Not Mapped"/>
    <s v="User Not Mapped"/>
    <n v="355805"/>
    <s v="New  Janapriya  Krishi  Bhander"/>
    <s v="Private Retailer"/>
    <s v="9874679693"/>
    <n v="0.72"/>
    <n v="91"/>
    <x v="7"/>
    <m/>
    <s v="2026-01-19"/>
    <s v="281511"/>
    <s v="Malakshmi Krishi Bhandar      "/>
    <s v="9800561868"/>
  </r>
  <r>
    <s v="RCF Trombay"/>
    <s v="15-15-15"/>
    <s v="WB"/>
    <x v="0"/>
    <s v="Habra - II"/>
    <s v="User Not Mapped"/>
    <s v="User Not Mapped"/>
    <s v="User Not Mapped"/>
    <n v="355805"/>
    <s v="New  Janapriya  Krishi  Bhander"/>
    <s v="Private Retailer"/>
    <s v="9874679693"/>
    <n v="0.8"/>
    <n v="91"/>
    <x v="7"/>
    <m/>
    <s v="2026-01-19"/>
    <s v="281511"/>
    <s v="Malakshmi Krishi Bhandar      "/>
    <s v="9800561868"/>
  </r>
  <r>
    <s v="RCF Import"/>
    <s v="MOP"/>
    <s v="WB"/>
    <x v="0"/>
    <s v="Deganga"/>
    <s v="User Not Mapped"/>
    <s v="User Not Mapped"/>
    <s v="User Not Mapped"/>
    <n v="950006"/>
    <s v="NEW KRISHI BHANDER"/>
    <s v="Private Retailer"/>
    <s v="6294554673"/>
    <n v="4.75"/>
    <n v="61"/>
    <x v="6"/>
    <m/>
    <s v="2026-02-18"/>
    <s v="281511"/>
    <s v="Malakshmi Krishi Bhandar      "/>
    <s v="9800561868"/>
  </r>
  <r>
    <s v="RCF Trombay"/>
    <s v="15-15-15"/>
    <s v="WB"/>
    <x v="0"/>
    <s v="Deganga"/>
    <s v="User Not Mapped"/>
    <s v="User Not Mapped"/>
    <s v="User Not Mapped"/>
    <n v="950006"/>
    <s v="NEW KRISHI BHANDER"/>
    <s v="Private Retailer"/>
    <s v="6294554673"/>
    <n v="3.15"/>
    <n v="87"/>
    <x v="6"/>
    <m/>
    <s v="2026-01-23"/>
    <s v="281511"/>
    <s v="Malakshmi Krishi Bhandar      "/>
    <s v="9800561868"/>
  </r>
  <r>
    <s v="RCF Trombay"/>
    <s v="N.C.Urea(45kg)"/>
    <s v="WB"/>
    <x v="0"/>
    <s v="Amdanga"/>
    <s v="User Not Mapped"/>
    <s v="User Not Mapped"/>
    <s v="User Not Mapped"/>
    <n v="331501"/>
    <s v="NEW Mondal FERTILIZERS"/>
    <s v="State Marketing Federation"/>
    <s v="9903273616"/>
    <n v="2.2949999999999999"/>
    <n v="514"/>
    <x v="0"/>
    <m/>
    <s v="2024-11-22"/>
    <s v="281511"/>
    <s v="Malakshmi Krishi Bhandar      "/>
    <s v="9800561868"/>
  </r>
  <r>
    <s v="RCF Trombay"/>
    <s v="15-15-15"/>
    <s v="WB"/>
    <x v="0"/>
    <s v="Amdanga"/>
    <s v="User Not Mapped"/>
    <s v="User Not Mapped"/>
    <s v="User Not Mapped"/>
    <n v="331501"/>
    <s v="NEW Mondal FERTILIZERS"/>
    <s v="State Marketing Federation"/>
    <s v="9903273616"/>
    <n v="5"/>
    <n v="84"/>
    <x v="6"/>
    <m/>
    <s v="2026-01-26"/>
    <s v="281511"/>
    <s v="Malakshmi Krishi Bhandar      "/>
    <s v="9800561868"/>
  </r>
  <r>
    <s v="RCF Import"/>
    <s v="MOP"/>
    <s v="WB"/>
    <x v="0"/>
    <s v="Amdanga"/>
    <s v="User Not Mapped"/>
    <s v="User Not Mapped"/>
    <s v="User Not Mapped"/>
    <n v="331501"/>
    <s v="NEW Mondal FERTILIZERS"/>
    <s v="State Marketing Federation"/>
    <s v="9903273616"/>
    <n v="5.5"/>
    <n v="49"/>
    <x v="3"/>
    <m/>
    <s v="2026-03-02"/>
    <s v="281511"/>
    <s v="Malakshmi Krishi Bhandar      "/>
    <s v="9800561868"/>
  </r>
  <r>
    <s v="RCF Trombay"/>
    <s v="15-15-15"/>
    <s v="WB"/>
    <x v="0"/>
    <s v="Gaighata"/>
    <s v="User Not Mapped"/>
    <s v="User Not Mapped"/>
    <s v="User Not Mapped"/>
    <n v="461940"/>
    <s v="Nirmal Kr.Mondal"/>
    <s v="Private Retailer"/>
    <s v="9434196616"/>
    <n v="1.7949999999999999"/>
    <n v="54"/>
    <x v="3"/>
    <m/>
    <s v="2026-02-25"/>
    <s v="281511"/>
    <s v="Malakshmi Krishi Bhandar      "/>
    <s v="9800561868"/>
  </r>
  <r>
    <s v="RCF Trombay"/>
    <s v="15-15-15"/>
    <s v="WB"/>
    <x v="0"/>
    <s v="Basirhat - I"/>
    <s v="User Not Mapped"/>
    <s v="User Not Mapped"/>
    <s v="User Not Mapped"/>
    <n v="534608"/>
    <s v="Pinaki Bhowmik"/>
    <s v="Private Retailer"/>
    <s v="9564345551"/>
    <n v="5.5"/>
    <n v="42"/>
    <x v="3"/>
    <m/>
    <s v="2026-03-09"/>
    <s v="281511"/>
    <s v="Malakshmi Krishi Bhandar      "/>
    <s v="9800561868"/>
  </r>
  <r>
    <s v="RCF Trombay"/>
    <s v="N.C.Urea(45kg)"/>
    <s v="WB"/>
    <x v="0"/>
    <s v="Basirhat - I"/>
    <s v="User Not Mapped"/>
    <s v="User Not Mapped"/>
    <s v="User Not Mapped"/>
    <n v="534608"/>
    <s v="Pinaki Bhowmik"/>
    <s v="Private Retailer"/>
    <s v="9564345551"/>
    <n v="0.01"/>
    <n v="65"/>
    <x v="6"/>
    <m/>
    <s v="2026-02-14"/>
    <s v="281511"/>
    <s v="Malakshmi Krishi Bhandar      "/>
    <s v="9800561868"/>
  </r>
  <r>
    <s v="RCF Trombay"/>
    <s v="15-15-15"/>
    <s v="WB"/>
    <x v="0"/>
    <s v="Basirhat - I"/>
    <s v="User Not Mapped"/>
    <s v="User Not Mapped"/>
    <s v="User Not Mapped"/>
    <n v="534608"/>
    <s v="Pinaki Bhowmik"/>
    <s v="Private Retailer"/>
    <s v="9564345551"/>
    <n v="0.75"/>
    <n v="91"/>
    <x v="7"/>
    <m/>
    <s v="2026-01-19"/>
    <s v="281511"/>
    <s v="Malakshmi Krishi Bhandar      "/>
    <s v="9800561868"/>
  </r>
  <r>
    <s v="RCF Import"/>
    <s v="Imp 10-26-26"/>
    <s v="WB"/>
    <x v="0"/>
    <s v="Deganga"/>
    <s v="User Not Mapped"/>
    <s v="User Not Mapped"/>
    <s v="User Not Mapped"/>
    <n v="355912"/>
    <s v="Pintu Modern Krishi Bhnader"/>
    <s v="Private Retailer"/>
    <s v="9733426333"/>
    <n v="0.20499999999999999"/>
    <n v="236"/>
    <x v="1"/>
    <m/>
    <s v="2025-08-27"/>
    <s v="281511"/>
    <s v="Malakshmi Krishi Bhandar      "/>
    <s v="9800561868"/>
  </r>
  <r>
    <s v="RCF Thal"/>
    <s v="N.C.Urea(45kg)"/>
    <s v="WB"/>
    <x v="0"/>
    <s v="Bongaon"/>
    <s v="User Not Mapped"/>
    <s v="User Not Mapped"/>
    <s v="User Not Mapped"/>
    <n v="411247"/>
    <s v="Pranab Kumar Ghosh"/>
    <s v="Private Retailer"/>
    <s v="8535982520"/>
    <n v="5.625"/>
    <n v="12"/>
    <x v="5"/>
    <m/>
    <s v="2026-04-08"/>
    <s v="281511"/>
    <s v="Malakshmi Krishi Bhandar      "/>
    <s v="9800561868"/>
  </r>
  <r>
    <s v="RCF Trombay"/>
    <s v="15-15-15"/>
    <s v="WB"/>
    <x v="0"/>
    <s v="Bongaon"/>
    <s v="User Not Mapped"/>
    <s v="User Not Mapped"/>
    <s v="User Not Mapped"/>
    <n v="411247"/>
    <s v="Pranab Kumar Ghosh"/>
    <s v="Private Retailer"/>
    <s v="8535982520"/>
    <n v="3.44"/>
    <n v="54"/>
    <x v="3"/>
    <m/>
    <s v="2026-02-25"/>
    <s v="281511"/>
    <s v="Malakshmi Krishi Bhandar      "/>
    <s v="9800561868"/>
  </r>
  <r>
    <s v="RCF Trombay"/>
    <s v="15-15-15"/>
    <s v="WB"/>
    <x v="0"/>
    <s v="Haroa"/>
    <s v="User Not Mapped"/>
    <s v="User Not Mapped"/>
    <s v="User Not Mapped"/>
    <n v="768288"/>
    <s v="Priyotosh Sardar"/>
    <s v="Private Retailer"/>
    <s v="9775334295"/>
    <n v="2"/>
    <n v="54"/>
    <x v="3"/>
    <m/>
    <s v="2026-02-25"/>
    <s v="281511"/>
    <s v="Malakshmi Krishi Bhandar      "/>
    <s v="9800561868"/>
  </r>
  <r>
    <s v="RCF Trombay"/>
    <s v="N.C.Urea(45kg)"/>
    <s v="WB"/>
    <x v="0"/>
    <s v="Haroa"/>
    <s v="User Not Mapped"/>
    <s v="User Not Mapped"/>
    <s v="User Not Mapped"/>
    <n v="768288"/>
    <s v="Priyotosh Sardar"/>
    <s v="Private Retailer"/>
    <s v="9775334295"/>
    <n v="0.495"/>
    <n v="54"/>
    <x v="3"/>
    <m/>
    <s v="2026-02-25"/>
    <s v="281511"/>
    <s v="Malakshmi Krishi Bhandar      "/>
    <s v="9800561868"/>
  </r>
  <r>
    <s v="RCF Trombay"/>
    <s v="15-15-15"/>
    <s v="WB"/>
    <x v="0"/>
    <s v="Bongaon"/>
    <s v="User Not Mapped"/>
    <s v="User Not Mapped"/>
    <s v="User Not Mapped"/>
    <n v="289616"/>
    <s v="R.G. Enterprise"/>
    <s v="Private Retailer"/>
    <s v="9933457475"/>
    <n v="0.45"/>
    <n v="356"/>
    <x v="1"/>
    <m/>
    <s v="2025-04-29"/>
    <s v="281511"/>
    <s v="Malakshmi Krishi Bhandar      "/>
    <s v="9800561868"/>
  </r>
  <r>
    <s v="RCF Import"/>
    <s v="MOP"/>
    <s v="WB"/>
    <x v="0"/>
    <s v="Bongaon"/>
    <s v="User Not Mapped"/>
    <s v="User Not Mapped"/>
    <s v="User Not Mapped"/>
    <n v="289616"/>
    <s v="R.G. Enterprise"/>
    <s v="Private Retailer"/>
    <s v="9933457475"/>
    <n v="1.85"/>
    <n v="428"/>
    <x v="0"/>
    <m/>
    <s v="2025-02-16"/>
    <s v="281511"/>
    <s v="Malakshmi Krishi Bhandar      "/>
    <s v="9800561868"/>
  </r>
  <r>
    <s v="RCF Trombay"/>
    <s v="15-15-15"/>
    <s v="WB"/>
    <x v="0"/>
    <s v="Amdanga"/>
    <s v="User Not Mapped"/>
    <s v="User Not Mapped"/>
    <s v="User Not Mapped"/>
    <n v="949709"/>
    <s v="Rahaman fertilizer"/>
    <s v="Private Retailer"/>
    <s v="8583927525"/>
    <n v="1"/>
    <n v="162"/>
    <x v="4"/>
    <m/>
    <s v="2025-11-09"/>
    <s v="281511"/>
    <s v="Malakshmi Krishi Bhandar      "/>
    <s v="9800561868"/>
  </r>
  <r>
    <s v="RCF Trombay"/>
    <s v="15-15-15"/>
    <s v="WB"/>
    <x v="0"/>
    <s v="Amdanga"/>
    <s v="User Not Mapped"/>
    <s v="User Not Mapped"/>
    <s v="User Not Mapped"/>
    <n v="949709"/>
    <s v="Rahaman fertilizer"/>
    <s v="Private Retailer"/>
    <s v="8583927525"/>
    <n v="1"/>
    <n v="146"/>
    <x v="4"/>
    <m/>
    <s v="2025-11-25"/>
    <s v="281511"/>
    <s v="Malakshmi Krishi Bhandar      "/>
    <s v="9800561868"/>
  </r>
  <r>
    <s v="RCF Trombay"/>
    <s v="15-15-15"/>
    <s v="WB"/>
    <x v="0"/>
    <s v="Amdanga"/>
    <s v="User Not Mapped"/>
    <s v="User Not Mapped"/>
    <s v="User Not Mapped"/>
    <n v="949709"/>
    <s v="Rahaman fertilizer"/>
    <s v="Private Retailer"/>
    <s v="8583927525"/>
    <n v="0.05"/>
    <n v="345"/>
    <x v="1"/>
    <m/>
    <s v="2025-05-10"/>
    <s v="281511"/>
    <s v="Malakshmi Krishi Bhandar      "/>
    <s v="9800561868"/>
  </r>
  <r>
    <s v="RCF Trombay"/>
    <s v="15-15-15"/>
    <s v="WB"/>
    <x v="0"/>
    <s v="Habra - II"/>
    <s v="User Not Mapped"/>
    <s v="User Not Mapped"/>
    <s v="User Not Mapped"/>
    <n v="931355"/>
    <s v="Rahaman Fertilizer"/>
    <s v="Private Retailer"/>
    <s v="7872102476"/>
    <n v="0.25"/>
    <n v="493"/>
    <x v="0"/>
    <m/>
    <s v="2024-12-13"/>
    <s v="281511"/>
    <s v="Malakshmi Krishi Bhandar      "/>
    <s v="9800561868"/>
  </r>
  <r>
    <s v="RCF Thal"/>
    <s v="N.C.Urea(45kg)"/>
    <s v="WB"/>
    <x v="0"/>
    <s v="Basirhat - II"/>
    <s v="User Not Mapped"/>
    <s v="User Not Mapped"/>
    <s v="User Not Mapped"/>
    <n v="227092"/>
    <s v="Rahaman Krishi Bhandar"/>
    <s v="Private Retailer"/>
    <s v="9733596602"/>
    <n v="0.99"/>
    <n v="416"/>
    <x v="0"/>
    <m/>
    <s v="2025-02-28"/>
    <s v="281511"/>
    <s v="Malakshmi Krishi Bhandar      "/>
    <s v="9800561868"/>
  </r>
  <r>
    <s v="RCF Trombay"/>
    <s v="15-15-15"/>
    <s v="WB"/>
    <x v="0"/>
    <s v="Habra - II"/>
    <s v="User Not Mapped"/>
    <s v="User Not Mapped"/>
    <s v="User Not Mapped"/>
    <n v="1599621"/>
    <s v="RAHAMAN KRISHI BHANDER"/>
    <s v="Private Retailer"/>
    <s v="8972018750"/>
    <n v="0.25"/>
    <n v="68"/>
    <x v="6"/>
    <m/>
    <s v="2026-02-11"/>
    <s v="281511"/>
    <s v="Malakshmi Krishi Bhandar      "/>
    <s v="9800561868"/>
  </r>
  <r>
    <s v="RCF Trombay"/>
    <s v="N.C.Urea(45kg)"/>
    <s v="WB"/>
    <x v="0"/>
    <s v="Habra - II"/>
    <s v="User Not Mapped"/>
    <s v="User Not Mapped"/>
    <s v="User Not Mapped"/>
    <n v="1599621"/>
    <s v="RAHAMAN KRISHI BHANDER"/>
    <s v="Private Retailer"/>
    <s v="8972018750"/>
    <n v="4.4999999999999998E-2"/>
    <n v="94"/>
    <x v="7"/>
    <m/>
    <s v="2026-01-16"/>
    <s v="281511"/>
    <s v="Malakshmi Krishi Bhandar      "/>
    <s v="9800561868"/>
  </r>
  <r>
    <s v="RCF Trombay"/>
    <s v="15-15-15"/>
    <s v="WB"/>
    <x v="0"/>
    <s v="Baduria"/>
    <s v="User Not Mapped"/>
    <s v="User Not Mapped"/>
    <s v="User Not Mapped"/>
    <n v="624357"/>
    <s v="RAHMAN KRISHI BHANDAR"/>
    <s v="Private Retailer"/>
    <s v="9635990842"/>
    <n v="0.42499999999999999"/>
    <n v="62"/>
    <x v="6"/>
    <m/>
    <s v="2026-02-17"/>
    <s v="281511"/>
    <s v="Malakshmi Krishi Bhandar      "/>
    <s v="9800561868"/>
  </r>
  <r>
    <s v="RCF Import"/>
    <s v="MOP"/>
    <s v="WB"/>
    <x v="0"/>
    <s v="Baduria"/>
    <s v="User Not Mapped"/>
    <s v="User Not Mapped"/>
    <s v="User Not Mapped"/>
    <n v="624357"/>
    <s v="RAHMAN KRISHI BHANDAR"/>
    <s v="Private Retailer"/>
    <s v="9635990842"/>
    <n v="0.65"/>
    <n v="54"/>
    <x v="3"/>
    <m/>
    <s v="2026-02-25"/>
    <s v="281511"/>
    <s v="Malakshmi Krishi Bhandar      "/>
    <s v="9800561868"/>
  </r>
  <r>
    <s v="RCF Trombay"/>
    <s v="15-15-15"/>
    <s v="WB"/>
    <x v="0"/>
    <s v="Amdanga"/>
    <s v="User Not Mapped"/>
    <s v="User Not Mapped"/>
    <s v="User Not Mapped"/>
    <n v="1018673"/>
    <s v="Rahul amin Fertilizer"/>
    <s v="Private Retailer"/>
    <s v="7890613239"/>
    <n v="5.05"/>
    <n v="65"/>
    <x v="6"/>
    <m/>
    <s v="2026-02-14"/>
    <s v="281511"/>
    <s v="Malakshmi Krishi Bhandar      "/>
    <s v="9800561868"/>
  </r>
  <r>
    <s v="RCF Thal"/>
    <s v="N.C.Urea(45kg)"/>
    <s v="WB"/>
    <x v="0"/>
    <s v="Amdanga"/>
    <s v="User Not Mapped"/>
    <s v="User Not Mapped"/>
    <s v="User Not Mapped"/>
    <n v="1018673"/>
    <s v="Rahul amin Fertilizer"/>
    <s v="Private Retailer"/>
    <s v="7890613239"/>
    <n v="1.44"/>
    <n v="37"/>
    <x v="3"/>
    <m/>
    <s v="2026-03-14"/>
    <s v="281511"/>
    <s v="Malakshmi Krishi Bhandar      "/>
    <s v="9800561868"/>
  </r>
  <r>
    <s v="RCF Thal"/>
    <s v="N.C.Urea(45kg)"/>
    <s v="WB"/>
    <x v="0"/>
    <s v="Amdanga"/>
    <s v="User Not Mapped"/>
    <s v="User Not Mapped"/>
    <s v="User Not Mapped"/>
    <n v="1018673"/>
    <s v="Rahul amin Fertilizer"/>
    <s v="Private Retailer"/>
    <s v="7890613239"/>
    <n v="9.99"/>
    <n v="12"/>
    <x v="5"/>
    <m/>
    <s v="2026-04-08"/>
    <s v="281511"/>
    <s v="Malakshmi Krishi Bhandar      "/>
    <s v="9800561868"/>
  </r>
  <r>
    <s v="RCF Import"/>
    <s v="Imp 10-26-26"/>
    <s v="WB"/>
    <x v="0"/>
    <s v="Amdanga"/>
    <s v="User Not Mapped"/>
    <s v="User Not Mapped"/>
    <s v="User Not Mapped"/>
    <n v="1018673"/>
    <s v="Rahul amin Fertilizer"/>
    <s v="Private Retailer"/>
    <s v="7890613239"/>
    <n v="3"/>
    <n v="49"/>
    <x v="3"/>
    <m/>
    <s v="2026-03-02"/>
    <s v="281511"/>
    <s v="Malakshmi Krishi Bhandar      "/>
    <s v="9800561868"/>
  </r>
  <r>
    <s v="RCF Trombay"/>
    <s v="15-15-15"/>
    <s v="WB"/>
    <x v="0"/>
    <s v="Habra - I"/>
    <s v="User Not Mapped"/>
    <s v="User Not Mapped"/>
    <s v="User Not Mapped"/>
    <n v="227102"/>
    <s v="Ram Chandra Das and Nurul"/>
    <s v="Private Retailer"/>
    <s v="9609187597"/>
    <n v="0.5"/>
    <n v="91"/>
    <x v="7"/>
    <m/>
    <s v="2026-01-19"/>
    <s v="281511"/>
    <s v="Malakshmi Krishi Bhandar      "/>
    <s v="9800561868"/>
  </r>
  <r>
    <s v="RCF Trombay"/>
    <s v="15-15-15"/>
    <s v="WB"/>
    <x v="0"/>
    <s v="Bongaon"/>
    <s v="User Not Mapped"/>
    <s v="User Not Mapped"/>
    <s v="User Not Mapped"/>
    <n v="411509"/>
    <s v="Ranjit Debnath"/>
    <s v="Private Retailer"/>
    <s v="9932768695"/>
    <n v="1"/>
    <n v="278"/>
    <x v="1"/>
    <m/>
    <s v="2025-07-16"/>
    <s v="281511"/>
    <s v="Malakshmi Krishi Bhandar      "/>
    <s v="9800561868"/>
  </r>
  <r>
    <s v="RCF Thal"/>
    <s v="N.C.Urea(45kg)"/>
    <s v="WB"/>
    <x v="0"/>
    <s v="Bongaon"/>
    <s v="User Not Mapped"/>
    <s v="User Not Mapped"/>
    <s v="User Not Mapped"/>
    <n v="411509"/>
    <s v="Ranjit Debnath"/>
    <s v="Private Retailer"/>
    <s v="9932768695"/>
    <n v="0.22500000000000001"/>
    <n v="244"/>
    <x v="1"/>
    <m/>
    <s v="2025-08-19"/>
    <s v="281511"/>
    <s v="Malakshmi Krishi Bhandar      "/>
    <s v="9800561868"/>
  </r>
  <r>
    <s v="RCF Trombay"/>
    <s v="15-15-15"/>
    <s v="WB"/>
    <x v="0"/>
    <s v="Bongaon"/>
    <s v="User Not Mapped"/>
    <s v="User Not Mapped"/>
    <s v="User Not Mapped"/>
    <n v="356056"/>
    <s v="Ranjit Kumar Singha Roy"/>
    <s v="Private Retailer"/>
    <s v="7797121074"/>
    <n v="0.65"/>
    <n v="278"/>
    <x v="1"/>
    <m/>
    <s v="2025-07-16"/>
    <s v="281511"/>
    <s v="Malakshmi Krishi Bhandar      "/>
    <s v="9800561868"/>
  </r>
  <r>
    <s v="RCF Thal"/>
    <s v="N.C.Urea(45kg)"/>
    <s v="WB"/>
    <x v="0"/>
    <s v="Bongaon"/>
    <s v="User Not Mapped"/>
    <s v="User Not Mapped"/>
    <s v="User Not Mapped"/>
    <n v="356056"/>
    <s v="Ranjit Kumar Singha Roy"/>
    <s v="Private Retailer"/>
    <s v="7797121074"/>
    <n v="2.7450000000000001"/>
    <n v="65"/>
    <x v="6"/>
    <m/>
    <s v="2026-02-14"/>
    <s v="281511"/>
    <s v="Malakshmi Krishi Bhandar      "/>
    <s v="9800561868"/>
  </r>
  <r>
    <s v="RCF Thal"/>
    <s v="N.C.Urea(45kg)"/>
    <s v="WB"/>
    <x v="0"/>
    <s v="Bongaon"/>
    <s v="User Not Mapped"/>
    <s v="User Not Mapped"/>
    <s v="User Not Mapped"/>
    <n v="356056"/>
    <s v="Ranjit Kumar Singha Roy"/>
    <s v="Private Retailer"/>
    <s v="7797121074"/>
    <n v="4.4999999999999998E-2"/>
    <n v="244"/>
    <x v="1"/>
    <m/>
    <s v="2025-08-19"/>
    <s v="281511"/>
    <s v="Malakshmi Krishi Bhandar      "/>
    <s v="9800561868"/>
  </r>
  <r>
    <s v="RCF Trombay"/>
    <s v="15-15-15"/>
    <s v="WB"/>
    <x v="0"/>
    <s v="Barasat - I"/>
    <s v="User Not Mapped"/>
    <s v="User Not Mapped"/>
    <s v="User Not Mapped"/>
    <n v="1030076"/>
    <s v="SABUJ KRISHI BHANDER"/>
    <s v="Private Retailer"/>
    <s v="9143666374"/>
    <n v="0.65"/>
    <n v="91"/>
    <x v="7"/>
    <m/>
    <s v="2026-01-19"/>
    <s v="281511"/>
    <s v="Malakshmi Krishi Bhandar      "/>
    <s v="9800561868"/>
  </r>
  <r>
    <s v="RCF Trombay"/>
    <s v="N.C.Urea(45kg)"/>
    <s v="WB"/>
    <x v="0"/>
    <s v="Baduria"/>
    <s v="User Not Mapped"/>
    <s v="User Not Mapped"/>
    <s v="User Not Mapped"/>
    <n v="668566"/>
    <s v="SADEKUL ISLAM"/>
    <s v="Private Retailer"/>
    <s v="9932294978"/>
    <n v="5.1749999999999998"/>
    <n v="91"/>
    <x v="7"/>
    <m/>
    <s v="2026-01-19"/>
    <s v="281511"/>
    <s v="Malakshmi Krishi Bhandar      "/>
    <s v="9800561868"/>
  </r>
  <r>
    <s v="RCF Trombay"/>
    <s v="15-15-15"/>
    <s v="WB"/>
    <x v="0"/>
    <s v="Baduria"/>
    <s v="User Not Mapped"/>
    <s v="User Not Mapped"/>
    <s v="User Not Mapped"/>
    <n v="668566"/>
    <s v="SADEKUL ISLAM"/>
    <s v="Private Retailer"/>
    <s v="9932294978"/>
    <n v="4.05"/>
    <n v="91"/>
    <x v="7"/>
    <m/>
    <s v="2026-01-19"/>
    <s v="281511"/>
    <s v="Malakshmi Krishi Bhandar      "/>
    <s v="9800561868"/>
  </r>
  <r>
    <s v="RCF Trombay"/>
    <s v="15-15-15"/>
    <s v="WB"/>
    <x v="0"/>
    <s v="Amdanga"/>
    <s v="User Not Mapped"/>
    <s v="User Not Mapped"/>
    <s v="User Not Mapped"/>
    <n v="331891"/>
    <s v="Sahajee Fertilizers"/>
    <s v="Private Retailer"/>
    <s v="9903868114"/>
    <n v="4.5"/>
    <n v="65"/>
    <x v="6"/>
    <m/>
    <s v="2026-02-14"/>
    <s v="281511"/>
    <s v="Malakshmi Krishi Bhandar      "/>
    <s v="9800561868"/>
  </r>
  <r>
    <s v="RCF Trombay"/>
    <s v="15-15-15"/>
    <s v="WB"/>
    <x v="0"/>
    <m/>
    <s v="User Not Mapped"/>
    <s v="User Not Mapped"/>
    <s v="User Not Mapped"/>
    <n v="270807"/>
    <s v="Saidul Islam"/>
    <s v="Private Retailer"/>
    <s v="9883598474"/>
    <n v="0.85"/>
    <n v="1468"/>
    <x v="2"/>
    <m/>
    <s v="2022-04-13"/>
    <s v="281511"/>
    <s v="Malakshmi Krishi Bhandar      "/>
    <s v="9800561868"/>
  </r>
  <r>
    <s v="RCF Trombay"/>
    <s v="15-15-15"/>
    <s v="WB"/>
    <x v="0"/>
    <s v="Gaighata"/>
    <s v="User Not Mapped"/>
    <s v="User Not Mapped"/>
    <s v="User Not Mapped"/>
    <n v="458462"/>
    <s v="SAILENDRA NATH MONDAL"/>
    <s v="Private Retailer"/>
    <s v="9732947251"/>
    <n v="3.5"/>
    <n v="65"/>
    <x v="6"/>
    <m/>
    <s v="2026-02-14"/>
    <s v="281511"/>
    <s v="Malakshmi Krishi Bhandar      "/>
    <s v="9800561868"/>
  </r>
  <r>
    <s v="RCF Trombay"/>
    <s v="N.C.Urea(45kg)"/>
    <s v="WB"/>
    <x v="0"/>
    <s v="Sandeshkhali - I"/>
    <s v="User Not Mapped"/>
    <s v="User Not Mapped"/>
    <s v="User Not Mapped"/>
    <n v="227145"/>
    <s v="Sailendra Nath Mondal"/>
    <s v="Private Retailer"/>
    <s v="9932826979"/>
    <n v="3.42"/>
    <n v="209"/>
    <x v="1"/>
    <m/>
    <s v="2025-09-23"/>
    <s v="281511"/>
    <s v="Malakshmi Krishi Bhandar      "/>
    <s v="9800561868"/>
  </r>
  <r>
    <s v="RCF Trombay"/>
    <s v="N.C.Urea(45kg)"/>
    <s v="WB"/>
    <x v="0"/>
    <s v="Sandeshkhali - I"/>
    <s v="User Not Mapped"/>
    <s v="User Not Mapped"/>
    <s v="User Not Mapped"/>
    <n v="227145"/>
    <s v="Sailendra Nath Mondal"/>
    <s v="Private Retailer"/>
    <s v="9932826979"/>
    <n v="10.98"/>
    <n v="93"/>
    <x v="7"/>
    <m/>
    <s v="2026-01-17"/>
    <s v="281511"/>
    <s v="Malakshmi Krishi Bhandar      "/>
    <s v="9800561868"/>
  </r>
  <r>
    <s v="RCF Import"/>
    <s v="MOP"/>
    <s v="WB"/>
    <x v="0"/>
    <s v="Sandeshkhali - I"/>
    <s v="User Not Mapped"/>
    <s v="User Not Mapped"/>
    <s v="User Not Mapped"/>
    <n v="227145"/>
    <s v="Sailendra Nath Mondal"/>
    <s v="Private Retailer"/>
    <s v="9932826979"/>
    <n v="11"/>
    <n v="61"/>
    <x v="6"/>
    <m/>
    <s v="2026-02-18"/>
    <s v="281511"/>
    <s v="Malakshmi Krishi Bhandar      "/>
    <s v="9800561868"/>
  </r>
  <r>
    <s v="RCF Import"/>
    <s v="Imp 10-26-26"/>
    <s v="WB"/>
    <x v="0"/>
    <s v="Sandeshkhali - I"/>
    <s v="User Not Mapped"/>
    <s v="User Not Mapped"/>
    <s v="User Not Mapped"/>
    <n v="227145"/>
    <s v="Sailendra Nath Mondal"/>
    <s v="Private Retailer"/>
    <s v="9932826979"/>
    <n v="11"/>
    <n v="49"/>
    <x v="3"/>
    <m/>
    <s v="2026-03-02"/>
    <s v="281511"/>
    <s v="Malakshmi Krishi Bhandar      "/>
    <s v="9800561868"/>
  </r>
  <r>
    <s v="RCF Thal"/>
    <s v="N.C.Urea(45kg)"/>
    <s v="WB"/>
    <x v="0"/>
    <s v="Sandeshkhali - I"/>
    <s v="User Not Mapped"/>
    <s v="User Not Mapped"/>
    <s v="User Not Mapped"/>
    <n v="227145"/>
    <s v="Sailendra Nath Mondal"/>
    <s v="Private Retailer"/>
    <s v="9932826979"/>
    <n v="10.98"/>
    <n v="68"/>
    <x v="6"/>
    <m/>
    <s v="2026-02-11"/>
    <s v="281511"/>
    <s v="Malakshmi Krishi Bhandar      "/>
    <s v="9800561868"/>
  </r>
  <r>
    <s v="RCF Import"/>
    <s v="Imp 10-26-26"/>
    <s v="WB"/>
    <x v="0"/>
    <s v="Bongaon"/>
    <s v="User Not Mapped"/>
    <s v="User Not Mapped"/>
    <s v="User Not Mapped"/>
    <n v="931331"/>
    <s v="SAMIR KR. DUTTA and SOMA DUTTA "/>
    <s v="Private Retailer"/>
    <s v="9735458924"/>
    <n v="10.6"/>
    <n v="54"/>
    <x v="3"/>
    <m/>
    <s v="2026-02-25"/>
    <s v="281511"/>
    <s v="Malakshmi Krishi Bhandar      "/>
    <s v="9800561868"/>
  </r>
  <r>
    <s v="RCF Thal"/>
    <s v="N.C.Urea(45kg)"/>
    <s v="WB"/>
    <x v="0"/>
    <s v="Bongaon"/>
    <s v="User Not Mapped"/>
    <s v="User Not Mapped"/>
    <s v="User Not Mapped"/>
    <n v="931331"/>
    <s v="SAMIR KR. DUTTA and SOMA DUTTA "/>
    <s v="Private Retailer"/>
    <s v="9735458924"/>
    <n v="9.99"/>
    <n v="12"/>
    <x v="5"/>
    <m/>
    <s v="2026-04-08"/>
    <s v="281511"/>
    <s v="Malakshmi Krishi Bhandar      "/>
    <s v="9800561868"/>
  </r>
  <r>
    <s v="RCF Thal"/>
    <s v="N.C.Urea(45kg)"/>
    <s v="WB"/>
    <x v="0"/>
    <s v="Bongaon"/>
    <s v="User Not Mapped"/>
    <s v="User Not Mapped"/>
    <s v="User Not Mapped"/>
    <n v="931331"/>
    <s v="SAMIR KR. DUTTA and SOMA DUTTA "/>
    <s v="Private Retailer"/>
    <s v="9735458924"/>
    <n v="9"/>
    <n v="38"/>
    <x v="3"/>
    <m/>
    <s v="2026-03-13"/>
    <s v="281511"/>
    <s v="Malakshmi Krishi Bhandar      "/>
    <s v="9800561868"/>
  </r>
  <r>
    <s v="RCF Trombay"/>
    <s v="15-15-15"/>
    <s v="WB"/>
    <x v="0"/>
    <s v="Bongaon"/>
    <s v="User Not Mapped"/>
    <s v="User Not Mapped"/>
    <s v="User Not Mapped"/>
    <n v="382445"/>
    <s v="Sanjoy Debnath"/>
    <s v="Private Retailer"/>
    <s v="8768760949"/>
    <n v="0.5"/>
    <n v="168"/>
    <x v="4"/>
    <m/>
    <s v="2025-11-03"/>
    <s v="281511"/>
    <s v="Malakshmi Krishi Bhandar      "/>
    <s v="9800561868"/>
  </r>
  <r>
    <s v="RCF Thal"/>
    <s v="N.C.Urea(45kg)"/>
    <s v="WB"/>
    <x v="0"/>
    <s v="Basirhat - I"/>
    <s v="User Not Mapped"/>
    <s v="User Not Mapped"/>
    <s v="User Not Mapped"/>
    <n v="917256"/>
    <s v="Seuli Krishi Bipani"/>
    <s v="Private Retailer"/>
    <s v="7718101080"/>
    <n v="0.40500000000000003"/>
    <n v="416"/>
    <x v="0"/>
    <m/>
    <s v="2025-02-28"/>
    <s v="281511"/>
    <s v="Malakshmi Krishi Bhandar      "/>
    <s v="9800561868"/>
  </r>
  <r>
    <s v="RCF Thal"/>
    <s v="N.C.Urea(45kg)"/>
    <s v="WB"/>
    <x v="0"/>
    <s v="Amdanga"/>
    <s v="User Not Mapped"/>
    <s v="User Not Mapped"/>
    <s v="User Not Mapped"/>
    <n v="1461481"/>
    <s v="SHIV KRISHI BHANDAR"/>
    <s v="Private Retailer"/>
    <s v="8777814254"/>
    <n v="0.05"/>
    <n v="241"/>
    <x v="1"/>
    <m/>
    <s v="2025-08-22"/>
    <s v="281511"/>
    <s v="Malakshmi Krishi Bhandar      "/>
    <s v="9800561868"/>
  </r>
  <r>
    <s v="RCF Thal"/>
    <s v="N.C.Urea(45kg)"/>
    <s v="WB"/>
    <x v="0"/>
    <s v="Barasat - I"/>
    <s v="User Not Mapped"/>
    <s v="User Not Mapped"/>
    <s v="User Not Mapped"/>
    <n v="916448"/>
    <s v="Shree ma kishi bhander"/>
    <s v="Private Retailer"/>
    <s v="9333825435"/>
    <n v="2.3E-2"/>
    <n v="246"/>
    <x v="1"/>
    <m/>
    <s v="2025-08-17"/>
    <s v="281511"/>
    <s v="Malakshmi Krishi Bhandar      "/>
    <s v="9800561868"/>
  </r>
  <r>
    <s v="RCF Trombay"/>
    <s v="15-15-15"/>
    <s v="WB"/>
    <x v="0"/>
    <s v="Barasat - I"/>
    <s v="User Not Mapped"/>
    <s v="User Not Mapped"/>
    <s v="User Not Mapped"/>
    <n v="916448"/>
    <s v="Shree ma kishi bhander"/>
    <s v="Private Retailer"/>
    <s v="9333825435"/>
    <n v="1.4999999999999999E-2"/>
    <n v="492"/>
    <x v="0"/>
    <m/>
    <s v="2024-12-14"/>
    <s v="281511"/>
    <s v="Malakshmi Krishi Bhandar      "/>
    <s v="9800561868"/>
  </r>
  <r>
    <s v="RCF Trombay"/>
    <s v="15-15-15"/>
    <s v="WB"/>
    <x v="0"/>
    <s v="Barasat - I"/>
    <s v="User Not Mapped"/>
    <s v="User Not Mapped"/>
    <s v="User Not Mapped"/>
    <n v="916448"/>
    <s v="Shree ma kishi bhander"/>
    <s v="Private Retailer"/>
    <s v="9333825435"/>
    <n v="0.05"/>
    <n v="211"/>
    <x v="1"/>
    <m/>
    <s v="2025-09-21"/>
    <s v="281511"/>
    <s v="Malakshmi Krishi Bhandar      "/>
    <s v="9800561868"/>
  </r>
  <r>
    <s v="RCF Import"/>
    <s v="MOP"/>
    <s v="WB"/>
    <x v="0"/>
    <s v="Habra - I"/>
    <s v="User Not Mapped"/>
    <s v="User Not Mapped"/>
    <s v="User Not Mapped"/>
    <n v="663871"/>
    <s v="Sonali Enterprise"/>
    <s v="Private Wholsaler"/>
    <s v="8250035491"/>
    <n v="4.2"/>
    <n v="37"/>
    <x v="3"/>
    <s v="'MLKB/F/0831'"/>
    <s v="2026-03-14"/>
    <s v="281511"/>
    <s v="Malakshmi Krishi Bhandar      "/>
    <s v="9800561868"/>
  </r>
  <r>
    <s v="RCF Thal"/>
    <s v="N.C.Urea(45kg)"/>
    <s v="WB"/>
    <x v="0"/>
    <s v="Bongaon"/>
    <s v="User Not Mapped"/>
    <s v="User Not Mapped"/>
    <s v="User Not Mapped"/>
    <n v="631183"/>
    <s v="SOURAV SARKAR"/>
    <s v="Private Retailer"/>
    <s v="9593005901"/>
    <n v="1.665"/>
    <n v="42"/>
    <x v="3"/>
    <m/>
    <s v="2026-03-09"/>
    <s v="281511"/>
    <s v="Malakshmi Krishi Bhandar      "/>
    <s v="9800561868"/>
  </r>
  <r>
    <s v="RCF Trombay"/>
    <s v="15-15-15"/>
    <s v="WB"/>
    <x v="0"/>
    <s v="Bongaon"/>
    <s v="User Not Mapped"/>
    <s v="User Not Mapped"/>
    <s v="User Not Mapped"/>
    <n v="631183"/>
    <s v="SOURAV SARKAR"/>
    <s v="Private Retailer"/>
    <s v="9593005901"/>
    <n v="1.75"/>
    <n v="150"/>
    <x v="4"/>
    <m/>
    <s v="2025-11-21"/>
    <s v="281511"/>
    <s v="Malakshmi Krishi Bhandar      "/>
    <s v="9800561868"/>
  </r>
  <r>
    <s v="RCF Thal"/>
    <s v="N.C.Urea(45kg)"/>
    <s v="WB"/>
    <x v="0"/>
    <s v="Deganga"/>
    <s v="User Not Mapped"/>
    <s v="User Not Mapped"/>
    <s v="User Not Mapped"/>
    <n v="270834"/>
    <s v="Sri Guru Krishi Bhandar"/>
    <s v="Private Retailer"/>
    <s v="9233971217"/>
    <n v="0.4"/>
    <n v="241"/>
    <x v="1"/>
    <m/>
    <s v="2025-08-22"/>
    <s v="281511"/>
    <s v="Malakshmi Krishi Bhandar      "/>
    <s v="9800561868"/>
  </r>
  <r>
    <s v="RCF Trombay"/>
    <s v="15-15-15"/>
    <s v="WB"/>
    <x v="0"/>
    <s v="Bongaon"/>
    <s v="User Not Mapped"/>
    <s v="User Not Mapped"/>
    <s v="User Not Mapped"/>
    <n v="411465"/>
    <s v="Subash Sarkar"/>
    <s v="Private Retailer"/>
    <s v="9933958387"/>
    <n v="1.25"/>
    <n v="392"/>
    <x v="0"/>
    <m/>
    <s v="2025-03-24"/>
    <s v="281511"/>
    <s v="Malakshmi Krishi Bhandar      "/>
    <s v="9800561868"/>
  </r>
  <r>
    <s v="RCF Thal"/>
    <s v="N.C.Urea(45kg)"/>
    <s v="WB"/>
    <x v="0"/>
    <s v="Bongaon"/>
    <s v="User Not Mapped"/>
    <s v="User Not Mapped"/>
    <s v="User Not Mapped"/>
    <n v="411465"/>
    <s v="Subash Sarkar"/>
    <s v="Private Retailer"/>
    <s v="9933958387"/>
    <n v="9.99"/>
    <n v="12"/>
    <x v="5"/>
    <m/>
    <s v="2026-04-08"/>
    <s v="281511"/>
    <s v="Malakshmi Krishi Bhandar      "/>
    <s v="9800561868"/>
  </r>
  <r>
    <s v="RCF Trombay"/>
    <s v="N.C.Urea(45kg)"/>
    <s v="WB"/>
    <x v="0"/>
    <s v="Bongaon"/>
    <s v="User Not Mapped"/>
    <s v="User Not Mapped"/>
    <s v="User Not Mapped"/>
    <n v="411465"/>
    <s v="Subash Sarkar"/>
    <s v="Private Retailer"/>
    <s v="9933958387"/>
    <n v="4.05"/>
    <n v="65"/>
    <x v="6"/>
    <m/>
    <s v="2026-02-14"/>
    <s v="281511"/>
    <s v="Malakshmi Krishi Bhandar      "/>
    <s v="9800561868"/>
  </r>
  <r>
    <s v="RCF Trombay"/>
    <s v="N.C.Urea(45kg)"/>
    <s v="WB"/>
    <x v="0"/>
    <s v="Gaighata"/>
    <s v="User Not Mapped"/>
    <s v="User Not Mapped"/>
    <s v="User Not Mapped"/>
    <n v="458111"/>
    <s v="Subhash Neogi"/>
    <s v="Private Retailer"/>
    <s v="9933017959"/>
    <n v="5.49"/>
    <n v="65"/>
    <x v="6"/>
    <m/>
    <s v="2026-02-14"/>
    <s v="281511"/>
    <s v="Malakshmi Krishi Bhandar      "/>
    <s v="9800561868"/>
  </r>
  <r>
    <s v="RCF Trombay"/>
    <s v="15-15-15"/>
    <s v="WB"/>
    <x v="0"/>
    <s v="Gaighata"/>
    <s v="User Not Mapped"/>
    <s v="User Not Mapped"/>
    <s v="User Not Mapped"/>
    <n v="458111"/>
    <s v="Subhash Neogi"/>
    <s v="Private Retailer"/>
    <s v="9933017959"/>
    <n v="5"/>
    <n v="84"/>
    <x v="6"/>
    <m/>
    <s v="2026-01-26"/>
    <s v="281511"/>
    <s v="Malakshmi Krishi Bhandar      "/>
    <s v="9800561868"/>
  </r>
  <r>
    <s v="RCF Import"/>
    <s v="Imp 10-26-26"/>
    <s v="WB"/>
    <x v="0"/>
    <s v="Gaighata"/>
    <s v="User Not Mapped"/>
    <s v="User Not Mapped"/>
    <s v="User Not Mapped"/>
    <n v="458111"/>
    <s v="Subhash Neogi"/>
    <s v="Private Retailer"/>
    <s v="9933017959"/>
    <n v="0.25"/>
    <n v="44"/>
    <x v="3"/>
    <m/>
    <s v="2026-03-07"/>
    <s v="281511"/>
    <s v="Malakshmi Krishi Bhandar      "/>
    <s v="9800561868"/>
  </r>
  <r>
    <s v="RCF Trombay"/>
    <s v="N.C.Urea(45kg)"/>
    <s v="WB"/>
    <x v="0"/>
    <s v="Gaighata"/>
    <s v="User Not Mapped"/>
    <s v="User Not Mapped"/>
    <s v="User Not Mapped"/>
    <n v="458111"/>
    <s v="Subhash Neogi"/>
    <s v="Private Retailer"/>
    <s v="9933017959"/>
    <n v="0.27"/>
    <n v="118"/>
    <x v="7"/>
    <m/>
    <s v="2025-12-23"/>
    <s v="281511"/>
    <s v="Malakshmi Krishi Bhandar      "/>
    <s v="9800561868"/>
  </r>
  <r>
    <s v="RCF Import"/>
    <s v="Imp 10-26-26"/>
    <s v="WB"/>
    <x v="0"/>
    <s v="Gaighata"/>
    <s v="User Not Mapped"/>
    <s v="User Not Mapped"/>
    <s v="User Not Mapped"/>
    <n v="458111"/>
    <s v="Subhash Neogi"/>
    <s v="Private Retailer"/>
    <s v="9933017959"/>
    <n v="0.2"/>
    <n v="160"/>
    <x v="4"/>
    <m/>
    <s v="2025-11-11"/>
    <s v="281511"/>
    <s v="Malakshmi Krishi Bhandar      "/>
    <s v="9800561868"/>
  </r>
  <r>
    <s v="RCF Trombay"/>
    <s v="15-15-15"/>
    <s v="WB"/>
    <x v="0"/>
    <s v="Gaighata"/>
    <s v="User Not Mapped"/>
    <s v="User Not Mapped"/>
    <s v="User Not Mapped"/>
    <n v="458111"/>
    <s v="Subhash Neogi"/>
    <s v="Private Retailer"/>
    <s v="9933017959"/>
    <n v="7.4999999999999997E-2"/>
    <n v="118"/>
    <x v="7"/>
    <m/>
    <s v="2025-12-23"/>
    <s v="281511"/>
    <s v="Malakshmi Krishi Bhandar      "/>
    <s v="9800561868"/>
  </r>
  <r>
    <s v="RCF Import"/>
    <s v="MOP"/>
    <s v="WB"/>
    <x v="0"/>
    <s v="Gaighata"/>
    <s v="User Not Mapped"/>
    <s v="User Not Mapped"/>
    <s v="User Not Mapped"/>
    <n v="458111"/>
    <s v="Subhash Neogi"/>
    <s v="Private Retailer"/>
    <s v="9933017959"/>
    <n v="0.9"/>
    <n v="44"/>
    <x v="3"/>
    <m/>
    <s v="2026-03-07"/>
    <s v="281511"/>
    <s v="Malakshmi Krishi Bhandar      "/>
    <s v="9800561868"/>
  </r>
  <r>
    <s v="RCF Trombay"/>
    <s v="15-15-15"/>
    <s v="WB"/>
    <x v="0"/>
    <s v="Barrackpur - I"/>
    <s v="User Not Mapped"/>
    <s v="User Not Mapped"/>
    <s v="User Not Mapped"/>
    <n v="342693"/>
    <s v="Subrata Kundu"/>
    <s v="Private Retailer"/>
    <s v="8584908689"/>
    <n v="3.05"/>
    <n v="65"/>
    <x v="6"/>
    <m/>
    <s v="2026-02-14"/>
    <s v="281511"/>
    <s v="Malakshmi Krishi Bhandar      "/>
    <s v="9800561868"/>
  </r>
  <r>
    <s v="RCF Thal"/>
    <s v="N.C.Urea(45kg)"/>
    <s v="WB"/>
    <x v="0"/>
    <s v="Barrackpur - I"/>
    <s v="User Not Mapped"/>
    <s v="User Not Mapped"/>
    <s v="User Not Mapped"/>
    <n v="342693"/>
    <s v="Subrata Kundu"/>
    <s v="Private Retailer"/>
    <s v="8584908689"/>
    <n v="0.63"/>
    <n v="65"/>
    <x v="6"/>
    <m/>
    <s v="2026-02-14"/>
    <s v="281511"/>
    <s v="Malakshmi Krishi Bhandar      "/>
    <s v="9800561868"/>
  </r>
  <r>
    <s v="RCF Import"/>
    <s v="MOP"/>
    <s v="WB"/>
    <x v="0"/>
    <s v="Barrackpur - I"/>
    <s v="User Not Mapped"/>
    <s v="User Not Mapped"/>
    <s v="User Not Mapped"/>
    <n v="342693"/>
    <s v="Subrata Kundu"/>
    <s v="Private Retailer"/>
    <s v="8584908689"/>
    <n v="0.25"/>
    <n v="37"/>
    <x v="3"/>
    <m/>
    <s v="2026-03-14"/>
    <s v="281511"/>
    <s v="Malakshmi Krishi Bhandar      "/>
    <s v="9800561868"/>
  </r>
  <r>
    <s v="RCF Trombay"/>
    <s v="15-15-15"/>
    <s v="WB"/>
    <x v="0"/>
    <s v="Bongaon"/>
    <s v="User Not Mapped"/>
    <s v="User Not Mapped"/>
    <s v="User Not Mapped"/>
    <n v="411511"/>
    <s v="Sukanta Das"/>
    <s v="Private Retailer"/>
    <s v="9733577734"/>
    <n v="1.5"/>
    <n v="238"/>
    <x v="1"/>
    <m/>
    <s v="2025-08-25"/>
    <s v="281511"/>
    <s v="Malakshmi Krishi Bhandar      "/>
    <s v="9800561868"/>
  </r>
  <r>
    <s v="RCF Trombay"/>
    <s v="15-15-15"/>
    <s v="WB"/>
    <x v="0"/>
    <s v="Bongaon"/>
    <s v="User Not Mapped"/>
    <s v="User Not Mapped"/>
    <s v="User Not Mapped"/>
    <n v="411511"/>
    <s v="Sukanta Das"/>
    <s v="Private Retailer"/>
    <s v="9733577734"/>
    <n v="1.75"/>
    <n v="168"/>
    <x v="4"/>
    <m/>
    <s v="2025-11-03"/>
    <s v="281511"/>
    <s v="Malakshmi Krishi Bhandar      "/>
    <s v="9800561868"/>
  </r>
  <r>
    <s v="RCF Trombay"/>
    <s v="N.C.Urea(45kg)"/>
    <s v="WB"/>
    <x v="0"/>
    <s v="Bongaon"/>
    <s v="User Not Mapped"/>
    <s v="User Not Mapped"/>
    <s v="User Not Mapped"/>
    <n v="411511"/>
    <s v="Sukanta Das"/>
    <s v="Private Retailer"/>
    <s v="9733577734"/>
    <n v="0.09"/>
    <n v="423"/>
    <x v="0"/>
    <m/>
    <s v="2025-02-21"/>
    <s v="281511"/>
    <s v="Malakshmi Krishi Bhandar      "/>
    <s v="9800561868"/>
  </r>
  <r>
    <s v="RCF Trombay"/>
    <s v="15-15-15"/>
    <s v="WB"/>
    <x v="0"/>
    <s v="Bongaon"/>
    <s v="User Not Mapped"/>
    <s v="User Not Mapped"/>
    <s v="User Not Mapped"/>
    <n v="411511"/>
    <s v="Sukanta Das"/>
    <s v="Private Retailer"/>
    <s v="9733577734"/>
    <n v="0.1"/>
    <n v="388"/>
    <x v="0"/>
    <m/>
    <s v="2025-03-28"/>
    <s v="281511"/>
    <s v="Malakshmi Krishi Bhandar      "/>
    <s v="9800561868"/>
  </r>
  <r>
    <s v="RCF Trombay"/>
    <s v="15-15-15"/>
    <s v="WB"/>
    <x v="0"/>
    <s v="Swarupnagar"/>
    <s v="User Not Mapped"/>
    <s v="User Not Mapped"/>
    <s v="User Not Mapped"/>
    <n v="270842"/>
    <s v="Sukumar Ghosh"/>
    <s v="Private Retailer"/>
    <s v="9064703815"/>
    <n v="0.15"/>
    <n v="160"/>
    <x v="4"/>
    <m/>
    <s v="2025-11-11"/>
    <s v="281511"/>
    <s v="Malakshmi Krishi Bhandar      "/>
    <s v="9800561868"/>
  </r>
  <r>
    <s v="RCF Import"/>
    <s v="MOP"/>
    <s v="WB"/>
    <x v="0"/>
    <s v="Swarupnagar"/>
    <s v="User Not Mapped"/>
    <s v="User Not Mapped"/>
    <s v="User Not Mapped"/>
    <n v="270842"/>
    <s v="Sukumar Ghosh"/>
    <s v="Private Retailer"/>
    <s v="9064703815"/>
    <n v="4.9000000000000004"/>
    <n v="61"/>
    <x v="6"/>
    <m/>
    <s v="2026-02-18"/>
    <s v="281511"/>
    <s v="Malakshmi Krishi Bhandar      "/>
    <s v="9800561868"/>
  </r>
  <r>
    <s v="RCF Trombay"/>
    <s v="15-15-15"/>
    <s v="WB"/>
    <x v="0"/>
    <m/>
    <s v="User Not Mapped"/>
    <s v="User Not Mapped"/>
    <s v="User Not Mapped"/>
    <n v="227244"/>
    <s v="Swapan Ghosh"/>
    <s v="Private Retailer"/>
    <s v="9231850444"/>
    <n v="1.1950000000000001"/>
    <n v="65"/>
    <x v="6"/>
    <m/>
    <s v="2026-02-14"/>
    <s v="281511"/>
    <s v="Malakshmi Krishi Bhandar      "/>
    <s v="9800561868"/>
  </r>
  <r>
    <s v="RCF Thal"/>
    <s v="N.C.Urea(45kg)"/>
    <s v="WB"/>
    <x v="0"/>
    <m/>
    <s v="User Not Mapped"/>
    <s v="User Not Mapped"/>
    <s v="User Not Mapped"/>
    <n v="227244"/>
    <s v="Swapan Ghosh"/>
    <s v="Private Retailer"/>
    <s v="9231850444"/>
    <n v="4.625"/>
    <n v="12"/>
    <x v="5"/>
    <m/>
    <s v="2026-04-08"/>
    <s v="281511"/>
    <s v="Malakshmi Krishi Bhandar      "/>
    <s v="9800561868"/>
  </r>
  <r>
    <s v="RCF Trombay"/>
    <s v="N.C.Urea(45kg)"/>
    <s v="WB"/>
    <x v="0"/>
    <s v="Sandeshkhali - I"/>
    <s v="User Not Mapped"/>
    <s v="User Not Mapped"/>
    <s v="User Not Mapped"/>
    <n v="227245"/>
    <s v="Swapan Kumar Dafadar"/>
    <s v="Private Retailer"/>
    <s v="9153200762"/>
    <n v="2.52"/>
    <n v="119"/>
    <x v="7"/>
    <m/>
    <s v="2025-12-22"/>
    <s v="281511"/>
    <s v="Malakshmi Krishi Bhandar      "/>
    <s v="9800561868"/>
  </r>
  <r>
    <s v="RCF Thal"/>
    <s v="N.C.Urea(45kg)"/>
    <s v="WB"/>
    <x v="0"/>
    <s v="Hasnabad"/>
    <s v="User Not Mapped"/>
    <s v="User Not Mapped"/>
    <s v="User Not Mapped"/>
    <n v="300601"/>
    <s v="Swapan Kumar Majumder"/>
    <s v="Private Retailer"/>
    <s v="9679008777"/>
    <n v="0.09"/>
    <n v="416"/>
    <x v="0"/>
    <m/>
    <s v="2025-02-28"/>
    <s v="281511"/>
    <s v="Malakshmi Krishi Bhandar      "/>
    <s v="9800561868"/>
  </r>
  <r>
    <s v="RCF Trombay"/>
    <s v="N.C.Urea(45kg)"/>
    <s v="WB"/>
    <x v="0"/>
    <s v="Bongaon"/>
    <s v="User Not Mapped"/>
    <s v="User Not Mapped"/>
    <s v="User Not Mapped"/>
    <n v="1469391"/>
    <s v="TAPASHI FERTILIZER"/>
    <s v="Private Retailer"/>
    <s v="8436886946"/>
    <n v="4.165"/>
    <n v="54"/>
    <x v="3"/>
    <m/>
    <s v="2026-02-25"/>
    <s v="281511"/>
    <s v="Malakshmi Krishi Bhandar      "/>
    <s v="9800561868"/>
  </r>
  <r>
    <s v="RCF Trombay"/>
    <s v="15-15-15"/>
    <s v="WB"/>
    <x v="0"/>
    <s v="Bongaon"/>
    <s v="User Not Mapped"/>
    <s v="User Not Mapped"/>
    <s v="User Not Mapped"/>
    <n v="1469391"/>
    <s v="TAPASHI FERTILIZER"/>
    <s v="Private Retailer"/>
    <s v="8436886946"/>
    <n v="9.9670000000000005"/>
    <n v="54"/>
    <x v="3"/>
    <m/>
    <s v="2026-02-25"/>
    <s v="281511"/>
    <s v="Malakshmi Krishi Bhandar      "/>
    <s v="9800561868"/>
  </r>
  <r>
    <s v="RCF Trombay"/>
    <s v="15-15-15"/>
    <s v="WB"/>
    <x v="0"/>
    <s v="Basirhat - I"/>
    <s v="User Not Mapped"/>
    <s v="User Not Mapped"/>
    <s v="User Not Mapped"/>
    <n v="553284"/>
    <s v="Urmila Yeasmin"/>
    <s v="Private Retailer"/>
    <s v="6296627171"/>
    <n v="5.5"/>
    <n v="54"/>
    <x v="3"/>
    <m/>
    <s v="2026-02-25"/>
    <s v="281511"/>
    <s v="Malakshmi Krishi Bhandar      "/>
    <s v="9800561868"/>
  </r>
  <r>
    <s v="RCF Thal"/>
    <s v="N.C.Urea(45kg)"/>
    <s v="WB"/>
    <x v="0"/>
    <m/>
    <s v="User Not Mapped"/>
    <s v="User Not Mapped"/>
    <s v="User Not Mapped"/>
    <n v="189326"/>
    <s v="Boyalghata Krishi Bhander"/>
    <s v="Private Retailer"/>
    <s v="9748238840"/>
    <n v="5.9850000000000003"/>
    <n v="1213"/>
    <x v="2"/>
    <m/>
    <s v="2022-12-24"/>
    <s v="1280145"/>
    <s v="MD MEHDIHASAN"/>
    <s v="8918784735"/>
  </r>
  <r>
    <s v="RCF Import"/>
    <s v="MOP"/>
    <s v="WB"/>
    <x v="0"/>
    <s v="Barasat - I"/>
    <s v="User Not Mapped"/>
    <s v="User Not Mapped"/>
    <s v="User Not Mapped"/>
    <n v="616433"/>
    <s v="ALI FERTILIZERS"/>
    <s v="Private Retailer"/>
    <s v="8017564519"/>
    <n v="0.5"/>
    <n v="60"/>
    <x v="3"/>
    <m/>
    <s v="2026-02-19"/>
    <s v="924553"/>
    <s v="Modern fertilizer"/>
    <s v="9734054818"/>
  </r>
  <r>
    <s v="RCF Trombay"/>
    <s v="15-15-15"/>
    <s v="WB"/>
    <x v="0"/>
    <s v="Barasat - I"/>
    <s v="User Not Mapped"/>
    <s v="User Not Mapped"/>
    <s v="User Not Mapped"/>
    <n v="616433"/>
    <s v="ALI FERTILIZERS"/>
    <s v="Private Retailer"/>
    <s v="8017564519"/>
    <n v="0.05"/>
    <n v="111"/>
    <x v="7"/>
    <m/>
    <s v="2025-12-30"/>
    <s v="924553"/>
    <s v="Modern fertilizer"/>
    <s v="9734054818"/>
  </r>
  <r>
    <s v="RCF Import"/>
    <s v="Imp 10-26-26"/>
    <s v="WB"/>
    <x v="0"/>
    <s v="Barasat - I"/>
    <s v="User Not Mapped"/>
    <s v="User Not Mapped"/>
    <s v="User Not Mapped"/>
    <n v="616433"/>
    <s v="ALI FERTILIZERS"/>
    <s v="Private Retailer"/>
    <s v="8017564519"/>
    <n v="0.45"/>
    <n v="614"/>
    <x v="2"/>
    <m/>
    <s v="2024-08-14"/>
    <s v="924553"/>
    <s v="Modern fertilizer"/>
    <s v="9734054818"/>
  </r>
  <r>
    <s v="RCF Thal"/>
    <s v="N.C.Urea(45kg)"/>
    <s v="WB"/>
    <x v="0"/>
    <s v="Barasat - I"/>
    <s v="User Not Mapped"/>
    <s v="User Not Mapped"/>
    <s v="User Not Mapped"/>
    <n v="616433"/>
    <s v="ALI FERTILIZERS"/>
    <s v="Private Retailer"/>
    <s v="8017564519"/>
    <n v="0.02"/>
    <n v="232"/>
    <x v="1"/>
    <m/>
    <s v="2025-08-31"/>
    <s v="924553"/>
    <s v="Modern fertilizer"/>
    <s v="9734054818"/>
  </r>
  <r>
    <s v="RCF Import"/>
    <s v="MOP"/>
    <s v="WB"/>
    <x v="0"/>
    <s v="Habra - I"/>
    <s v="User Not Mapped"/>
    <s v="User Not Mapped"/>
    <s v="User Not Mapped"/>
    <n v="226510"/>
    <s v="Arman Fertilizers"/>
    <s v="Private Retailer"/>
    <s v="9735490081"/>
    <n v="0.15"/>
    <n v="343"/>
    <x v="1"/>
    <m/>
    <s v="2025-05-12"/>
    <s v="924553"/>
    <s v="Modern fertilizer"/>
    <s v="9734054818"/>
  </r>
  <r>
    <s v="RCF Import"/>
    <s v="MOP"/>
    <s v="WB"/>
    <x v="0"/>
    <s v="Habra - I"/>
    <s v="User Not Mapped"/>
    <s v="User Not Mapped"/>
    <s v="User Not Mapped"/>
    <n v="226510"/>
    <s v="Arman Fertilizers"/>
    <s v="Private Retailer"/>
    <s v="9735490081"/>
    <n v="0.25"/>
    <n v="266"/>
    <x v="1"/>
    <m/>
    <s v="2025-07-28"/>
    <s v="924553"/>
    <s v="Modern fertilizer"/>
    <s v="9734054818"/>
  </r>
  <r>
    <s v="RCF Trombay"/>
    <s v="15-15-15"/>
    <s v="WB"/>
    <x v="0"/>
    <s v="Habra - I"/>
    <s v="User Not Mapped"/>
    <s v="User Not Mapped"/>
    <s v="User Not Mapped"/>
    <n v="226510"/>
    <s v="Arman Fertilizers"/>
    <s v="Private Retailer"/>
    <s v="9735490081"/>
    <n v="0.4"/>
    <n v="266"/>
    <x v="1"/>
    <m/>
    <s v="2025-07-28"/>
    <s v="924553"/>
    <s v="Modern fertilizer"/>
    <s v="9734054818"/>
  </r>
  <r>
    <s v="RCF Thal"/>
    <s v="N.C.Urea(45kg)"/>
    <s v="WB"/>
    <x v="0"/>
    <s v="Deganga"/>
    <s v="User Not Mapped"/>
    <s v="User Not Mapped"/>
    <s v="User Not Mapped"/>
    <n v="411471"/>
    <s v="Jabed Fertilizer"/>
    <s v="Private Retailer"/>
    <s v="9231892495"/>
    <n v="0.9"/>
    <n v="183"/>
    <x v="1"/>
    <m/>
    <s v="2025-10-19"/>
    <s v="924553"/>
    <s v="Modern fertilizer"/>
    <s v="9734054818"/>
  </r>
  <r>
    <s v="RCF Trombay"/>
    <s v="15-15-15"/>
    <s v="WB"/>
    <x v="0"/>
    <s v="Deganga"/>
    <s v="User Not Mapped"/>
    <s v="User Not Mapped"/>
    <s v="User Not Mapped"/>
    <n v="323631"/>
    <s v="Khanpur Krishi Bhandar"/>
    <s v="Private Retailer"/>
    <s v="9734379388"/>
    <n v="0.2"/>
    <n v="240"/>
    <x v="1"/>
    <m/>
    <s v="2025-08-23"/>
    <s v="924553"/>
    <s v="Modern fertilizer"/>
    <s v="9734054818"/>
  </r>
  <r>
    <s v="RCF Thal"/>
    <s v="N.C.Urea(45kg)"/>
    <s v="WB"/>
    <x v="0"/>
    <s v="Deganga"/>
    <s v="User Not Mapped"/>
    <s v="User Not Mapped"/>
    <s v="User Not Mapped"/>
    <n v="323631"/>
    <s v="Khanpur Krishi Bhandar"/>
    <s v="Private Retailer"/>
    <s v="9734379388"/>
    <n v="0.04"/>
    <n v="183"/>
    <x v="1"/>
    <m/>
    <s v="2025-10-19"/>
    <s v="924553"/>
    <s v="Modern fertilizer"/>
    <s v="9734054818"/>
  </r>
  <r>
    <s v="RCF Import"/>
    <s v="MOP"/>
    <s v="WB"/>
    <x v="0"/>
    <s v="Deganga"/>
    <s v="User Not Mapped"/>
    <s v="User Not Mapped"/>
    <s v="User Not Mapped"/>
    <n v="323631"/>
    <s v="Khanpur Krishi Bhandar"/>
    <s v="Private Retailer"/>
    <s v="9734379388"/>
    <n v="0.05"/>
    <n v="379"/>
    <x v="0"/>
    <m/>
    <s v="2025-04-06"/>
    <s v="924553"/>
    <s v="Modern fertilizer"/>
    <s v="9734054818"/>
  </r>
  <r>
    <s v="RCF Trombay"/>
    <s v="15-15-15"/>
    <s v="WB"/>
    <x v="0"/>
    <s v="Deganga"/>
    <s v="User Not Mapped"/>
    <s v="User Not Mapped"/>
    <s v="User Not Mapped"/>
    <n v="323631"/>
    <s v="Khanpur Krishi Bhandar"/>
    <s v="Private Retailer"/>
    <s v="9734379388"/>
    <n v="0.25"/>
    <n v="183"/>
    <x v="1"/>
    <m/>
    <s v="2025-10-19"/>
    <s v="924553"/>
    <s v="Modern fertilizer"/>
    <s v="9734054818"/>
  </r>
  <r>
    <s v="RCF Import"/>
    <s v="MOP"/>
    <s v="WB"/>
    <x v="0"/>
    <s v="Deganga"/>
    <s v="User Not Mapped"/>
    <s v="User Not Mapped"/>
    <s v="User Not Mapped"/>
    <n v="961076"/>
    <s v="md jiya fertilizer"/>
    <s v="Private Retailer"/>
    <s v="9679947593"/>
    <n v="0.5"/>
    <n v="57"/>
    <x v="3"/>
    <m/>
    <s v="2026-02-22"/>
    <s v="924553"/>
    <s v="Modern fertilizer"/>
    <s v="9734054818"/>
  </r>
  <r>
    <s v="RCF Trombay"/>
    <s v="15-15-15"/>
    <s v="WB"/>
    <x v="0"/>
    <s v="Deganga"/>
    <s v="User Not Mapped"/>
    <s v="User Not Mapped"/>
    <s v="User Not Mapped"/>
    <n v="961076"/>
    <s v="md jiya fertilizer"/>
    <s v="Private Retailer"/>
    <s v="9679947593"/>
    <n v="0.45"/>
    <n v="186"/>
    <x v="1"/>
    <m/>
    <s v="2025-10-16"/>
    <s v="924553"/>
    <s v="Modern fertilizer"/>
    <s v="9734054818"/>
  </r>
  <r>
    <s v="RCF Import"/>
    <s v="MOP"/>
    <s v="WB"/>
    <x v="0"/>
    <s v="Gaighata"/>
    <s v="User Not Mapped"/>
    <s v="User Not Mapped"/>
    <s v="User Not Mapped"/>
    <n v="411459"/>
    <s v="Modern Fertilizer"/>
    <s v="Private Retailer"/>
    <s v="7872782575"/>
    <n v="2.25"/>
    <n v="8"/>
    <x v="5"/>
    <m/>
    <s v="2026-04-12"/>
    <s v="924553"/>
    <s v="Modern fertilizer"/>
    <s v="9734054818"/>
  </r>
  <r>
    <s v="RCF Import"/>
    <s v="MOP"/>
    <s v="WB"/>
    <x v="0"/>
    <s v="Deganga"/>
    <s v="User Not Mapped"/>
    <s v="User Not Mapped"/>
    <s v="User Not Mapped"/>
    <n v="951089"/>
    <s v="Mondal Fertilizer"/>
    <s v="Private Retailer"/>
    <s v="9002882049"/>
    <n v="0.5"/>
    <n v="41"/>
    <x v="3"/>
    <m/>
    <s v="2026-03-10"/>
    <s v="924553"/>
    <s v="Modern fertilizer"/>
    <s v="9734054818"/>
  </r>
  <r>
    <s v="RCF Trombay"/>
    <s v="15-15-15"/>
    <s v="WB"/>
    <x v="0"/>
    <s v="Deganga"/>
    <s v="User Not Mapped"/>
    <s v="User Not Mapped"/>
    <s v="User Not Mapped"/>
    <n v="226901"/>
    <s v="Mondal Fertilizers"/>
    <s v="Private Retailer"/>
    <s v="6297096144"/>
    <n v="0.1"/>
    <n v="121"/>
    <x v="4"/>
    <m/>
    <s v="2025-12-20"/>
    <s v="924553"/>
    <s v="Modern fertilizer"/>
    <s v="9734054818"/>
  </r>
  <r>
    <s v="RCF Trombay"/>
    <s v="15-15-15"/>
    <s v="WB"/>
    <x v="0"/>
    <s v="Deganga"/>
    <s v="User Not Mapped"/>
    <s v="User Not Mapped"/>
    <s v="User Not Mapped"/>
    <n v="958007"/>
    <s v="Mrinmayee Mondal"/>
    <s v="Private Retailer"/>
    <s v="8145256885"/>
    <n v="0.15"/>
    <n v="222"/>
    <x v="1"/>
    <m/>
    <s v="2025-09-10"/>
    <s v="924553"/>
    <s v="Modern fertilizer"/>
    <s v="9734054818"/>
  </r>
  <r>
    <s v="RCF Import"/>
    <s v="MOP"/>
    <s v="WB"/>
    <x v="0"/>
    <s v="Deganga"/>
    <s v="User Not Mapped"/>
    <s v="User Not Mapped"/>
    <s v="User Not Mapped"/>
    <n v="958007"/>
    <s v="Mrinmayee Mondal"/>
    <s v="Private Retailer"/>
    <s v="8145256885"/>
    <n v="0.5"/>
    <n v="240"/>
    <x v="1"/>
    <m/>
    <s v="2025-08-23"/>
    <s v="924553"/>
    <s v="Modern fertilizer"/>
    <s v="9734054818"/>
  </r>
  <r>
    <s v="RCF Import"/>
    <s v="MOP"/>
    <s v="WB"/>
    <x v="0"/>
    <s v="Deganga"/>
    <s v="User Not Mapped"/>
    <s v="User Not Mapped"/>
    <s v="User Not Mapped"/>
    <n v="797973"/>
    <s v="PIRGORACHAD KRISHI BHANDAR"/>
    <s v="Private Retailer"/>
    <s v="7063345183"/>
    <n v="0.69899999999999995"/>
    <n v="414"/>
    <x v="0"/>
    <m/>
    <s v="2025-03-02"/>
    <s v="924553"/>
    <s v="Modern fertilizer"/>
    <s v="9734054818"/>
  </r>
  <r>
    <s v="RCF Trombay"/>
    <s v="15-15-15"/>
    <s v="WB"/>
    <x v="0"/>
    <s v="Habra - I"/>
    <s v="User Not Mapped"/>
    <s v="User Not Mapped"/>
    <s v="User Not Mapped"/>
    <n v="870250"/>
    <s v="POPULAR KRISHI BHANDAR"/>
    <s v="Private Retailer"/>
    <s v="9800237464"/>
    <n v="3.5999999999999997E-2"/>
    <n v="610"/>
    <x v="2"/>
    <m/>
    <s v="2024-08-18"/>
    <s v="924553"/>
    <s v="Modern fertilizer"/>
    <s v="9734054818"/>
  </r>
  <r>
    <s v="RCF Trombay"/>
    <s v="15-15-15"/>
    <s v="WB"/>
    <x v="0"/>
    <s v="Barasat - I"/>
    <s v="User Not Mapped"/>
    <s v="User Not Mapped"/>
    <s v="User Not Mapped"/>
    <n v="797248"/>
    <s v="RAFIK SARDAR"/>
    <s v="Private Retailer"/>
    <s v="9836332097"/>
    <n v="0.1"/>
    <n v="103"/>
    <x v="7"/>
    <m/>
    <s v="2026-01-07"/>
    <s v="924553"/>
    <s v="Modern fertilizer"/>
    <s v="9734054818"/>
  </r>
  <r>
    <s v="RCF Trombay"/>
    <s v="15-15-15"/>
    <s v="WB"/>
    <x v="0"/>
    <s v="Deganga"/>
    <s v="User Not Mapped"/>
    <s v="User Not Mapped"/>
    <s v="User Not Mapped"/>
    <n v="227210"/>
    <s v="SAHAJAHANGIR GAZI"/>
    <s v="Private Retailer"/>
    <s v="9775226259"/>
    <n v="1"/>
    <n v="232"/>
    <x v="1"/>
    <m/>
    <s v="2025-08-31"/>
    <s v="924553"/>
    <s v="Modern fertilizer"/>
    <s v="9734054818"/>
  </r>
  <r>
    <s v="RCF Import"/>
    <s v="MOP"/>
    <s v="WB"/>
    <x v="0"/>
    <s v="Deganga"/>
    <s v="User Not Mapped"/>
    <s v="User Not Mapped"/>
    <s v="User Not Mapped"/>
    <n v="227210"/>
    <s v="SAHAJAHANGIR GAZI"/>
    <s v="Private Retailer"/>
    <s v="9775226259"/>
    <n v="0.5"/>
    <n v="337"/>
    <x v="1"/>
    <m/>
    <s v="2025-05-18"/>
    <s v="924553"/>
    <s v="Modern fertilizer"/>
    <s v="9734054818"/>
  </r>
  <r>
    <s v="RCF Import"/>
    <s v="MOP"/>
    <s v="WB"/>
    <x v="0"/>
    <s v="Barasat - I"/>
    <s v="User Not Mapped"/>
    <s v="User Not Mapped"/>
    <s v="User Not Mapped"/>
    <n v="616437"/>
    <s v="SAHIN FERTILIZERS"/>
    <s v="Private Retailer"/>
    <s v="9230280499"/>
    <n v="0.5"/>
    <n v="11"/>
    <x v="5"/>
    <m/>
    <s v="2026-04-09"/>
    <s v="924553"/>
    <s v="Modern fertilizer"/>
    <s v="9734054818"/>
  </r>
  <r>
    <s v="RCF Import"/>
    <s v="MOP"/>
    <s v="WB"/>
    <x v="0"/>
    <s v="Swarupnagar"/>
    <s v="User Not Mapped"/>
    <s v="User Not Mapped"/>
    <s v="User Not Mapped"/>
    <n v="1213333"/>
    <s v="AMIYA PROSAD DAS"/>
    <s v="Private Retailer"/>
    <s v="9732582853"/>
    <n v="0.47499999999999998"/>
    <n v="221"/>
    <x v="1"/>
    <m/>
    <s v="2025-09-11"/>
    <s v="655489"/>
    <s v="Mondal Krishi Bhandar"/>
    <s v="9733762735"/>
  </r>
  <r>
    <s v="RCF Import"/>
    <s v="MOP"/>
    <s v="WB"/>
    <x v="0"/>
    <m/>
    <s v="User Not Mapped"/>
    <s v="User Not Mapped"/>
    <s v="User Not Mapped"/>
    <n v="341452"/>
    <s v="Haque Krishi Bhander"/>
    <s v="Private Retailer"/>
    <s v="9775513733"/>
    <n v="1"/>
    <n v="220"/>
    <x v="1"/>
    <m/>
    <s v="2025-09-12"/>
    <s v="655489"/>
    <s v="Mondal Krishi Bhandar"/>
    <s v="9733762735"/>
  </r>
  <r>
    <s v="RCF Import"/>
    <s v="MOP"/>
    <s v="WB"/>
    <x v="0"/>
    <s v="Swarupnagar"/>
    <s v="User Not Mapped"/>
    <s v="User Not Mapped"/>
    <s v="User Not Mapped"/>
    <n v="675068"/>
    <s v="SAJAHAN DAFADAR"/>
    <s v="Private Retailer"/>
    <s v="9732983409"/>
    <n v="1"/>
    <n v="271"/>
    <x v="1"/>
    <m/>
    <s v="2025-07-23"/>
    <s v="655489"/>
    <s v="Mondal Krishi Bhandar"/>
    <s v="9733762735"/>
  </r>
  <r>
    <s v="RCF Import"/>
    <s v="MOP"/>
    <s v="WB"/>
    <x v="0"/>
    <s v="Amdanga"/>
    <s v="User Not Mapped"/>
    <s v="User Not Mapped"/>
    <s v="User Not Mapped"/>
    <n v="355138"/>
    <s v=" Ghosh Fertilizer"/>
    <s v="Private Retailer"/>
    <s v="8016493773"/>
    <n v="0.1"/>
    <n v="165"/>
    <x v="4"/>
    <m/>
    <s v="2025-11-06"/>
    <s v="917469"/>
    <s v="MONDAL KRISHI BHANDER"/>
    <s v="9681347066"/>
  </r>
  <r>
    <s v="RCF Thal"/>
    <s v="N.C.Urea(45kg)"/>
    <s v="WB"/>
    <x v="0"/>
    <s v="Amdanga"/>
    <s v="User Not Mapped"/>
    <s v="User Not Mapped"/>
    <s v="User Not Mapped"/>
    <n v="355138"/>
    <s v=" Ghosh Fertilizer"/>
    <s v="Private Retailer"/>
    <s v="8016493773"/>
    <n v="3.105"/>
    <n v="23"/>
    <x v="5"/>
    <m/>
    <s v="2026-03-28"/>
    <s v="917469"/>
    <s v="MONDAL KRISHI BHANDER"/>
    <s v="9681347066"/>
  </r>
  <r>
    <s v="RCF Trombay"/>
    <s v="15-15-15"/>
    <s v="WB"/>
    <x v="0"/>
    <s v="Amdanga"/>
    <s v="User Not Mapped"/>
    <s v="User Not Mapped"/>
    <s v="User Not Mapped"/>
    <n v="355138"/>
    <s v=" Ghosh Fertilizer"/>
    <s v="Private Retailer"/>
    <s v="8016493773"/>
    <n v="3.55"/>
    <n v="72"/>
    <x v="6"/>
    <m/>
    <s v="2026-02-07"/>
    <s v="917469"/>
    <s v="MONDAL KRISHI BHANDER"/>
    <s v="9681347066"/>
  </r>
  <r>
    <s v="RCF Trombay"/>
    <s v="15-15-15"/>
    <s v="WB"/>
    <x v="0"/>
    <s v="Barasat - I"/>
    <s v="User Not Mapped"/>
    <s v="User Not Mapped"/>
    <s v="User Not Mapped"/>
    <n v="497471"/>
    <s v="A.D.I.R Trading Co."/>
    <s v="Private Retailer"/>
    <s v="8017306486"/>
    <n v="5.5"/>
    <n v="64"/>
    <x v="6"/>
    <m/>
    <s v="2026-02-15"/>
    <s v="917469"/>
    <s v="MONDAL KRISHI BHANDER"/>
    <s v="9681347066"/>
  </r>
  <r>
    <s v="RCF Trombay"/>
    <s v="15-15-15"/>
    <s v="WB"/>
    <x v="0"/>
    <s v="Barasat - I"/>
    <s v="User Not Mapped"/>
    <s v="User Not Mapped"/>
    <s v="User Not Mapped"/>
    <n v="497471"/>
    <s v="A.D.I.R Trading Co."/>
    <s v="Private Retailer"/>
    <s v="8017306486"/>
    <n v="3.95"/>
    <n v="85"/>
    <x v="6"/>
    <m/>
    <s v="2026-01-25"/>
    <s v="917469"/>
    <s v="MONDAL KRISHI BHANDER"/>
    <s v="9681347066"/>
  </r>
  <r>
    <s v="RCF Trombay"/>
    <s v="N.C.Urea(45kg)"/>
    <s v="WB"/>
    <x v="0"/>
    <s v="Barasat - I"/>
    <s v="User Not Mapped"/>
    <s v="User Not Mapped"/>
    <s v="User Not Mapped"/>
    <n v="497471"/>
    <s v="A.D.I.R Trading Co."/>
    <s v="Private Retailer"/>
    <s v="8017306486"/>
    <n v="4.83"/>
    <n v="85"/>
    <x v="6"/>
    <m/>
    <s v="2026-01-25"/>
    <s v="917469"/>
    <s v="MONDAL KRISHI BHANDER"/>
    <s v="9681347066"/>
  </r>
  <r>
    <s v="RCF Trombay"/>
    <s v="N.C.Urea(45kg)"/>
    <s v="WB"/>
    <x v="0"/>
    <s v="Amdanga"/>
    <s v="User Not Mapped"/>
    <s v="User Not Mapped"/>
    <s v="User Not Mapped"/>
    <n v="226465"/>
    <s v="A.H.Md. Abdur Rahaman"/>
    <s v="Private Retailer"/>
    <s v="9647541848"/>
    <n v="5.49"/>
    <n v="49"/>
    <x v="3"/>
    <m/>
    <s v="2026-03-02"/>
    <s v="917469"/>
    <s v="MONDAL KRISHI BHANDER"/>
    <s v="9681347066"/>
  </r>
  <r>
    <s v="RCF Import"/>
    <s v="MOP"/>
    <s v="WB"/>
    <x v="0"/>
    <s v="Amdanga"/>
    <s v="User Not Mapped"/>
    <s v="User Not Mapped"/>
    <s v="User Not Mapped"/>
    <n v="739737"/>
    <s v="ALAM FERTILIZER"/>
    <s v="Private Wholsaler"/>
    <s v="9123715989"/>
    <n v="19"/>
    <n v="28"/>
    <x v="5"/>
    <s v="'AS01/230326'"/>
    <s v="2026-03-23"/>
    <s v="917469"/>
    <s v="MONDAL KRISHI BHANDER"/>
    <s v="9681347066"/>
  </r>
  <r>
    <s v="RCF Thal"/>
    <s v="N.C.Urea(45kg)"/>
    <s v="WB"/>
    <x v="0"/>
    <s v="Amdanga"/>
    <s v="User Not Mapped"/>
    <s v="User Not Mapped"/>
    <s v="User Not Mapped"/>
    <n v="843266"/>
    <s v="ALI KRISHI BHANDER"/>
    <s v="Private Retailer"/>
    <s v="8583933647"/>
    <n v="2.2050000000000001"/>
    <n v="24"/>
    <x v="5"/>
    <m/>
    <s v="2026-03-27"/>
    <s v="917469"/>
    <s v="MONDAL KRISHI BHANDER"/>
    <s v="9681347066"/>
  </r>
  <r>
    <s v="RCF Trombay"/>
    <s v="15-15-15"/>
    <s v="WB"/>
    <x v="0"/>
    <m/>
    <s v="User Not Mapped"/>
    <s v="User Not Mapped"/>
    <s v="User Not Mapped"/>
    <n v="226560"/>
    <s v="Bhattacharjee Fertilizers Sto"/>
    <s v="Private Retailer"/>
    <s v="9051633607"/>
    <n v="0.55000000000000004"/>
    <n v="1895"/>
    <x v="2"/>
    <m/>
    <s v="2021-02-10"/>
    <s v="917469"/>
    <s v="MONDAL KRISHI BHANDER"/>
    <s v="9681347066"/>
  </r>
  <r>
    <s v="RCF Thal"/>
    <s v="N.C.Urea(45kg)"/>
    <s v="WB"/>
    <x v="0"/>
    <s v="Amdanga"/>
    <s v="User Not Mapped"/>
    <s v="User Not Mapped"/>
    <s v="User Not Mapped"/>
    <n v="355062"/>
    <s v="Janapriya  Krishi  Bhander"/>
    <s v="Private Retailer"/>
    <s v="9635908114"/>
    <n v="5.4"/>
    <n v="23"/>
    <x v="5"/>
    <m/>
    <s v="2026-03-28"/>
    <s v="917469"/>
    <s v="MONDAL KRISHI BHANDER"/>
    <s v="9681347066"/>
  </r>
  <r>
    <s v="RCF Trombay"/>
    <s v="15-15-15"/>
    <s v="WB"/>
    <x v="0"/>
    <s v="Habra - II"/>
    <s v="User Not Mapped"/>
    <s v="User Not Mapped"/>
    <s v="User Not Mapped"/>
    <n v="226720"/>
    <s v="Janapriya Samsel Krishi Bhand"/>
    <s v="Private Retailer"/>
    <s v="9233185571"/>
    <n v="0.82699999999999996"/>
    <n v="165"/>
    <x v="4"/>
    <m/>
    <s v="2025-11-06"/>
    <s v="917469"/>
    <s v="MONDAL KRISHI BHANDER"/>
    <s v="9681347066"/>
  </r>
  <r>
    <s v="RCF Trombay"/>
    <s v="15-15-15"/>
    <s v="WB"/>
    <x v="0"/>
    <s v="Habra - II"/>
    <s v="User Not Mapped"/>
    <s v="User Not Mapped"/>
    <s v="User Not Mapped"/>
    <n v="226720"/>
    <s v="Janapriya Samsel Krishi Bhand"/>
    <s v="Private Retailer"/>
    <s v="9233185571"/>
    <n v="1.5"/>
    <n v="123"/>
    <x v="4"/>
    <m/>
    <s v="2025-12-18"/>
    <s v="917469"/>
    <s v="MONDAL KRISHI BHANDER"/>
    <s v="9681347066"/>
  </r>
  <r>
    <s v="RCF Thal"/>
    <s v="N.C.Urea(45kg)"/>
    <s v="WB"/>
    <x v="0"/>
    <s v="Barrackpur - I"/>
    <s v="User Not Mapped"/>
    <s v="User Not Mapped"/>
    <s v="User Not Mapped"/>
    <n v="355088"/>
    <s v="Kalam Fertiliser"/>
    <s v="Private Retailer"/>
    <s v="7047552276"/>
    <n v="5.51"/>
    <n v="35"/>
    <x v="3"/>
    <m/>
    <s v="2026-03-16"/>
    <s v="917469"/>
    <s v="MONDAL KRISHI BHANDER"/>
    <s v="9681347066"/>
  </r>
  <r>
    <s v="RCF Trombay"/>
    <s v="15-15-15"/>
    <s v="WB"/>
    <x v="0"/>
    <s v="Barrackpur - I"/>
    <s v="User Not Mapped"/>
    <s v="User Not Mapped"/>
    <s v="User Not Mapped"/>
    <n v="355088"/>
    <s v="Kalam Fertiliser"/>
    <s v="Private Retailer"/>
    <s v="7047552276"/>
    <n v="0.5"/>
    <n v="212"/>
    <x v="1"/>
    <m/>
    <s v="2025-09-20"/>
    <s v="917469"/>
    <s v="MONDAL KRISHI BHANDER"/>
    <s v="9681347066"/>
  </r>
  <r>
    <s v="RCF Trombay"/>
    <s v="N.C.Urea(45kg)"/>
    <s v="WB"/>
    <x v="0"/>
    <s v="Barrackpur - I"/>
    <s v="User Not Mapped"/>
    <s v="User Not Mapped"/>
    <s v="User Not Mapped"/>
    <n v="355088"/>
    <s v="Kalam Fertiliser"/>
    <s v="Private Retailer"/>
    <s v="7047552276"/>
    <n v="4.9800000000000004"/>
    <n v="72"/>
    <x v="6"/>
    <m/>
    <s v="2026-02-07"/>
    <s v="917469"/>
    <s v="MONDAL KRISHI BHANDER"/>
    <s v="9681347066"/>
  </r>
  <r>
    <s v="RCF Trombay"/>
    <s v="N.C.Urea(45kg)"/>
    <s v="WB"/>
    <x v="0"/>
    <s v="Barrackpur - I"/>
    <s v="User Not Mapped"/>
    <s v="User Not Mapped"/>
    <s v="User Not Mapped"/>
    <n v="355088"/>
    <s v="Kalam Fertiliser"/>
    <s v="Private Retailer"/>
    <s v="7047552276"/>
    <n v="3.65"/>
    <n v="212"/>
    <x v="1"/>
    <m/>
    <s v="2025-09-20"/>
    <s v="917469"/>
    <s v="MONDAL KRISHI BHANDER"/>
    <s v="9681347066"/>
  </r>
  <r>
    <s v="RCF Trombay"/>
    <s v="N.C.Urea(45kg)"/>
    <s v="WB"/>
    <x v="0"/>
    <s v="Barrackpur - I"/>
    <s v="User Not Mapped"/>
    <s v="User Not Mapped"/>
    <s v="User Not Mapped"/>
    <n v="355088"/>
    <s v="Kalam Fertiliser"/>
    <s v="Private Retailer"/>
    <s v="7047552276"/>
    <n v="5.49"/>
    <n v="49"/>
    <x v="3"/>
    <m/>
    <s v="2026-03-02"/>
    <s v="917469"/>
    <s v="MONDAL KRISHI BHANDER"/>
    <s v="9681347066"/>
  </r>
  <r>
    <s v="RCF Trombay"/>
    <s v="15-15-15"/>
    <s v="WB"/>
    <x v="0"/>
    <s v="Amdanga"/>
    <s v="User Not Mapped"/>
    <s v="User Not Mapped"/>
    <s v="User Not Mapped"/>
    <n v="189380"/>
    <s v="M/S Ashok Kumar Maity"/>
    <s v="Private Retailer"/>
    <s v="9433804837"/>
    <n v="3.45"/>
    <n v="85"/>
    <x v="6"/>
    <m/>
    <s v="2026-01-25"/>
    <s v="917469"/>
    <s v="MONDAL KRISHI BHANDER"/>
    <s v="9681347066"/>
  </r>
  <r>
    <s v="RCF Thal"/>
    <s v="N.C.Urea(45kg)"/>
    <s v="WB"/>
    <x v="0"/>
    <s v="Amdanga"/>
    <s v="User Not Mapped"/>
    <s v="User Not Mapped"/>
    <s v="User Not Mapped"/>
    <n v="226950"/>
    <s v="M/S Ghosh Krishi Bhandar"/>
    <s v="Private Retailer"/>
    <s v="9903483106"/>
    <n v="2.23"/>
    <n v="23"/>
    <x v="5"/>
    <m/>
    <s v="2026-03-28"/>
    <s v="917469"/>
    <s v="MONDAL KRISHI BHANDER"/>
    <s v="9681347066"/>
  </r>
  <r>
    <s v="RCF Thal"/>
    <s v="N.C.Urea(45kg)"/>
    <s v="WB"/>
    <x v="0"/>
    <s v="Amdanga"/>
    <s v="User Not Mapped"/>
    <s v="User Not Mapped"/>
    <s v="User Not Mapped"/>
    <n v="515670"/>
    <s v="M/S MA KARUNAMOYEE KRISHI BHAN"/>
    <s v="Private Retailer"/>
    <s v="7003890718"/>
    <n v="2.25"/>
    <n v="24"/>
    <x v="5"/>
    <m/>
    <s v="2026-03-27"/>
    <s v="917469"/>
    <s v="MONDAL KRISHI BHANDER"/>
    <s v="9681347066"/>
  </r>
  <r>
    <s v="RCF Import"/>
    <s v="MOP"/>
    <s v="WB"/>
    <x v="0"/>
    <s v="Amdanga"/>
    <s v="User Not Mapped"/>
    <s v="User Not Mapped"/>
    <s v="User Not Mapped"/>
    <n v="189392"/>
    <s v="M/S. Ghosh Krishi Bipani"/>
    <s v="Private Retailer"/>
    <s v="9748851399"/>
    <n v="0.75"/>
    <n v="203"/>
    <x v="1"/>
    <m/>
    <s v="2025-09-29"/>
    <s v="917469"/>
    <s v="MONDAL KRISHI BHANDER"/>
    <s v="9681347066"/>
  </r>
  <r>
    <s v="RCF Trombay"/>
    <s v="15-15-15"/>
    <s v="WB"/>
    <x v="0"/>
    <s v="Amdanga"/>
    <s v="User Not Mapped"/>
    <s v="User Not Mapped"/>
    <s v="User Not Mapped"/>
    <n v="189416"/>
    <s v="M/S. Loke Nath Krishi Bhandar"/>
    <s v="Private Retailer"/>
    <s v="9547666619"/>
    <n v="0.04"/>
    <n v="486"/>
    <x v="0"/>
    <m/>
    <s v="2024-12-20"/>
    <s v="917469"/>
    <s v="MONDAL KRISHI BHANDER"/>
    <s v="9681347066"/>
  </r>
  <r>
    <s v="RCF Thal"/>
    <s v="N.C.Urea(45kg)"/>
    <s v="WB"/>
    <x v="0"/>
    <s v="Amdanga"/>
    <s v="User Not Mapped"/>
    <s v="User Not Mapped"/>
    <s v="User Not Mapped"/>
    <n v="226807"/>
    <s v="Maity Krishi Bhandar"/>
    <s v="Private Retailer"/>
    <s v="8017609570"/>
    <n v="4.5"/>
    <n v="24"/>
    <x v="5"/>
    <m/>
    <s v="2026-03-27"/>
    <s v="917469"/>
    <s v="MONDAL KRISHI BHANDER"/>
    <s v="9681347066"/>
  </r>
  <r>
    <s v="RCF Import"/>
    <s v="MOP"/>
    <s v="WB"/>
    <x v="0"/>
    <s v="Amdanga"/>
    <s v="User Not Mapped"/>
    <s v="User Not Mapped"/>
    <s v="User Not Mapped"/>
    <n v="226807"/>
    <s v="Maity Krishi Bhandar"/>
    <s v="Private Retailer"/>
    <s v="8017609570"/>
    <n v="0.5"/>
    <n v="165"/>
    <x v="4"/>
    <m/>
    <s v="2025-11-06"/>
    <s v="917469"/>
    <s v="MONDAL KRISHI BHANDER"/>
    <s v="9681347066"/>
  </r>
  <r>
    <s v="RCF Import"/>
    <s v="MOP"/>
    <s v="WB"/>
    <x v="0"/>
    <s v="Amdanga"/>
    <s v="User Not Mapped"/>
    <s v="User Not Mapped"/>
    <s v="User Not Mapped"/>
    <n v="289611"/>
    <s v="Molla Fertilizer"/>
    <s v="Private Retailer"/>
    <s v="8583815525"/>
    <n v="0.2"/>
    <n v="229"/>
    <x v="1"/>
    <m/>
    <s v="2025-09-03"/>
    <s v="917469"/>
    <s v="MONDAL KRISHI BHANDER"/>
    <s v="9681347066"/>
  </r>
  <r>
    <s v="RCF Trombay"/>
    <s v="N.C.Urea(45kg)"/>
    <s v="WB"/>
    <x v="0"/>
    <s v="Amdanga"/>
    <s v="User Not Mapped"/>
    <s v="User Not Mapped"/>
    <s v="User Not Mapped"/>
    <n v="289611"/>
    <s v="Molla Fertilizer"/>
    <s v="Private Retailer"/>
    <s v="8583815525"/>
    <n v="0.09"/>
    <n v="229"/>
    <x v="1"/>
    <m/>
    <s v="2025-09-03"/>
    <s v="917469"/>
    <s v="MONDAL KRISHI BHANDER"/>
    <s v="9681347066"/>
  </r>
  <r>
    <s v="RCF Trombay"/>
    <s v="15-15-15"/>
    <s v="WB"/>
    <x v="0"/>
    <s v="Amdanga"/>
    <s v="User Not Mapped"/>
    <s v="User Not Mapped"/>
    <s v="User Not Mapped"/>
    <n v="289611"/>
    <s v="Molla Fertilizer"/>
    <s v="Private Retailer"/>
    <s v="8583815525"/>
    <n v="0.1"/>
    <n v="229"/>
    <x v="1"/>
    <m/>
    <s v="2025-09-03"/>
    <s v="917469"/>
    <s v="MONDAL KRISHI BHANDER"/>
    <s v="9681347066"/>
  </r>
  <r>
    <s v="RCF Import"/>
    <s v="MOP"/>
    <s v="WB"/>
    <x v="0"/>
    <s v="Amdanga"/>
    <s v="User Not Mapped"/>
    <s v="User Not Mapped"/>
    <s v="User Not Mapped"/>
    <n v="331501"/>
    <s v="NEW Mondal FERTILIZERS"/>
    <s v="State Marketing Federation"/>
    <s v="9903273616"/>
    <n v="3.25"/>
    <n v="150"/>
    <x v="4"/>
    <m/>
    <s v="2025-11-21"/>
    <s v="917469"/>
    <s v="MONDAL KRISHI BHANDER"/>
    <s v="9681347066"/>
  </r>
  <r>
    <s v="RCF Import"/>
    <s v="MOP"/>
    <s v="WB"/>
    <x v="0"/>
    <s v="Amdanga"/>
    <s v="User Not Mapped"/>
    <s v="User Not Mapped"/>
    <s v="User Not Mapped"/>
    <n v="331501"/>
    <s v="NEW Mondal FERTILIZERS"/>
    <s v="State Marketing Federation"/>
    <s v="9903273616"/>
    <n v="2.75"/>
    <n v="165"/>
    <x v="4"/>
    <m/>
    <s v="2025-11-06"/>
    <s v="917469"/>
    <s v="MONDAL KRISHI BHANDER"/>
    <s v="9681347066"/>
  </r>
  <r>
    <s v="RCF Trombay"/>
    <s v="15-15-15"/>
    <s v="WB"/>
    <x v="0"/>
    <s v="Amdanga"/>
    <s v="User Not Mapped"/>
    <s v="User Not Mapped"/>
    <s v="User Not Mapped"/>
    <n v="331501"/>
    <s v="NEW Mondal FERTILIZERS"/>
    <s v="State Marketing Federation"/>
    <s v="9903273616"/>
    <n v="5.5"/>
    <n v="64"/>
    <x v="6"/>
    <m/>
    <s v="2026-02-15"/>
    <s v="917469"/>
    <s v="MONDAL KRISHI BHANDER"/>
    <s v="9681347066"/>
  </r>
  <r>
    <s v="RCF Thal"/>
    <s v="N.C.Urea(45kg)"/>
    <s v="WB"/>
    <x v="0"/>
    <s v="Amdanga"/>
    <s v="User Not Mapped"/>
    <s v="User Not Mapped"/>
    <s v="User Not Mapped"/>
    <n v="270814"/>
    <s v="Santra Krishi Bhandar"/>
    <s v="Private Retailer"/>
    <s v="8609036181"/>
    <n v="0.4"/>
    <n v="2507"/>
    <x v="2"/>
    <m/>
    <s v="2019-06-09"/>
    <s v="917469"/>
    <s v="MONDAL KRISHI BHANDER"/>
    <s v="9681347066"/>
  </r>
  <r>
    <s v="RCF Trombay"/>
    <s v="15-15-15"/>
    <s v="WB"/>
    <x v="0"/>
    <s v="Amdanga"/>
    <s v="User Not Mapped"/>
    <s v="User Not Mapped"/>
    <s v="User Not Mapped"/>
    <n v="270814"/>
    <s v="Santra Krishi Bhandar"/>
    <s v="Private Retailer"/>
    <s v="8609036181"/>
    <n v="3.45"/>
    <n v="2071"/>
    <x v="2"/>
    <m/>
    <s v="2020-08-18"/>
    <s v="917469"/>
    <s v="MONDAL KRISHI BHANDER"/>
    <s v="9681347066"/>
  </r>
  <r>
    <s v="RCF Trombay"/>
    <s v="N.C.Urea(45kg)"/>
    <s v="WB"/>
    <x v="0"/>
    <s v="Amdanga"/>
    <s v="User Not Mapped"/>
    <s v="User Not Mapped"/>
    <s v="User Not Mapped"/>
    <n v="270814"/>
    <s v="Santra Krishi Bhandar"/>
    <s v="Private Retailer"/>
    <s v="8609036181"/>
    <n v="1.8"/>
    <n v="2071"/>
    <x v="2"/>
    <m/>
    <s v="2020-08-18"/>
    <s v="917469"/>
    <s v="MONDAL KRISHI BHANDER"/>
    <s v="9681347066"/>
  </r>
  <r>
    <s v="RCF Trombay"/>
    <s v="15-15-15"/>
    <s v="WB"/>
    <x v="0"/>
    <s v="Amdanga"/>
    <s v="User Not Mapped"/>
    <s v="User Not Mapped"/>
    <s v="User Not Mapped"/>
    <n v="270814"/>
    <s v="Santra Krishi Bhandar"/>
    <s v="Private Retailer"/>
    <s v="8609036181"/>
    <n v="0.5"/>
    <n v="1965"/>
    <x v="2"/>
    <m/>
    <s v="2020-12-02"/>
    <s v="917469"/>
    <s v="MONDAL KRISHI BHANDER"/>
    <s v="9681347066"/>
  </r>
  <r>
    <s v="RCF Trombay"/>
    <s v="15-15-15"/>
    <s v="WB"/>
    <x v="0"/>
    <s v="Amdanga"/>
    <s v="User Not Mapped"/>
    <s v="User Not Mapped"/>
    <s v="User Not Mapped"/>
    <n v="270814"/>
    <s v="Santra Krishi Bhandar"/>
    <s v="Private Retailer"/>
    <s v="8609036181"/>
    <n v="0.15"/>
    <n v="1967"/>
    <x v="2"/>
    <m/>
    <s v="2020-11-30"/>
    <s v="917469"/>
    <s v="MONDAL KRISHI BHANDER"/>
    <s v="9681347066"/>
  </r>
  <r>
    <s v="RCF Trombay"/>
    <s v="15-15-15"/>
    <s v="WB"/>
    <x v="0"/>
    <s v="Amdanga"/>
    <s v="User Not Mapped"/>
    <s v="User Not Mapped"/>
    <s v="User Not Mapped"/>
    <n v="270814"/>
    <s v="Santra Krishi Bhandar"/>
    <s v="Private Retailer"/>
    <s v="8609036181"/>
    <n v="0.5"/>
    <n v="1986"/>
    <x v="2"/>
    <m/>
    <s v="2020-11-11"/>
    <s v="917469"/>
    <s v="MONDAL KRISHI BHANDER"/>
    <s v="9681347066"/>
  </r>
  <r>
    <s v="RCF Trombay"/>
    <s v="15-15-15"/>
    <s v="WB"/>
    <x v="0"/>
    <s v="Amdanga"/>
    <s v="User Not Mapped"/>
    <s v="User Not Mapped"/>
    <s v="User Not Mapped"/>
    <n v="270814"/>
    <s v="Santra Krishi Bhandar"/>
    <s v="Private Retailer"/>
    <s v="8609036181"/>
    <n v="0.25"/>
    <n v="1974"/>
    <x v="2"/>
    <m/>
    <s v="2020-11-23"/>
    <s v="917469"/>
    <s v="MONDAL KRISHI BHANDER"/>
    <s v="9681347066"/>
  </r>
  <r>
    <s v="RCF Trombay"/>
    <s v="15-15-15"/>
    <s v="WB"/>
    <x v="0"/>
    <s v="Amdanga"/>
    <s v="User Not Mapped"/>
    <s v="User Not Mapped"/>
    <s v="User Not Mapped"/>
    <n v="270814"/>
    <s v="Santra Krishi Bhandar"/>
    <s v="Private Retailer"/>
    <s v="8609036181"/>
    <n v="0.50900000000000001"/>
    <n v="2507"/>
    <x v="2"/>
    <m/>
    <s v="2019-06-09"/>
    <s v="917469"/>
    <s v="MONDAL KRISHI BHANDER"/>
    <s v="9681347066"/>
  </r>
  <r>
    <s v="RCF Trombay"/>
    <s v="15-15-15"/>
    <s v="WB"/>
    <x v="0"/>
    <s v="Amdanga"/>
    <s v="User Not Mapped"/>
    <s v="User Not Mapped"/>
    <s v="User Not Mapped"/>
    <n v="1461481"/>
    <s v="SHIV KRISHI BHANDAR"/>
    <s v="Private Retailer"/>
    <s v="8777814254"/>
    <n v="1.1000000000000001"/>
    <n v="452"/>
    <x v="0"/>
    <m/>
    <s v="2025-01-23"/>
    <s v="917469"/>
    <s v="MONDAL KRISHI BHANDER"/>
    <s v="9681347066"/>
  </r>
  <r>
    <s v="RCF Trombay"/>
    <s v="15-15-15"/>
    <s v="WB"/>
    <x v="0"/>
    <s v="Amdanga"/>
    <s v="User Not Mapped"/>
    <s v="User Not Mapped"/>
    <s v="User Not Mapped"/>
    <n v="1461481"/>
    <s v="SHIV KRISHI BHANDAR"/>
    <s v="Private Retailer"/>
    <s v="8777814254"/>
    <n v="0.85"/>
    <n v="509"/>
    <x v="0"/>
    <m/>
    <s v="2024-11-27"/>
    <s v="917469"/>
    <s v="MONDAL KRISHI BHANDER"/>
    <s v="9681347066"/>
  </r>
  <r>
    <s v="RCF Thal"/>
    <s v="N.C.Urea(45kg)"/>
    <s v="WB"/>
    <x v="0"/>
    <s v="Amdanga"/>
    <s v="User Not Mapped"/>
    <s v="User Not Mapped"/>
    <s v="User Not Mapped"/>
    <n v="1461481"/>
    <s v="SHIV KRISHI BHANDAR"/>
    <s v="Private Retailer"/>
    <s v="8777814254"/>
    <n v="2.0249999999999999"/>
    <n v="24"/>
    <x v="5"/>
    <m/>
    <s v="2026-03-27"/>
    <s v="917469"/>
    <s v="MONDAL KRISHI BHANDER"/>
    <s v="9681347066"/>
  </r>
  <r>
    <s v="RCF Import"/>
    <s v="Imp 10-26-26"/>
    <s v="WB"/>
    <x v="0"/>
    <s v="Bongaon"/>
    <s v="User Not Mapped"/>
    <s v="User Not Mapped"/>
    <s v="User Not Mapped"/>
    <n v="600959"/>
    <s v="Abdul Alim Mondal"/>
    <s v="Private Retailer"/>
    <s v="9091487330"/>
    <n v="0.5"/>
    <n v="318"/>
    <x v="1"/>
    <m/>
    <s v="2025-06-06"/>
    <s v="1054125"/>
    <s v="Mondal Stores"/>
    <s v="9749959358"/>
  </r>
  <r>
    <s v="RCF Import"/>
    <s v="MOP"/>
    <s v="WB"/>
    <x v="0"/>
    <s v="Bongaon"/>
    <s v="User Not Mapped"/>
    <s v="User Not Mapped"/>
    <s v="User Not Mapped"/>
    <n v="545838"/>
    <s v="Adhir Ch Biswas"/>
    <s v="Private Retailer"/>
    <s v="8926035600"/>
    <n v="1"/>
    <n v="18"/>
    <x v="5"/>
    <m/>
    <s v="2026-04-02"/>
    <s v="1054125"/>
    <s v="Mondal Stores"/>
    <s v="9749959358"/>
  </r>
  <r>
    <s v="RCF Import"/>
    <s v="Imp 10-26-26"/>
    <s v="WB"/>
    <x v="0"/>
    <s v="Bongaon"/>
    <s v="User Not Mapped"/>
    <s v="User Not Mapped"/>
    <s v="User Not Mapped"/>
    <n v="490669"/>
    <s v="Amzad Hossain Tarafder"/>
    <s v="Private Retailer"/>
    <s v="7797039903"/>
    <n v="0.5"/>
    <n v="301"/>
    <x v="1"/>
    <m/>
    <s v="2025-06-23"/>
    <s v="1054125"/>
    <s v="Mondal Stores"/>
    <s v="9749959358"/>
  </r>
  <r>
    <s v="RCF Import"/>
    <s v="MOP"/>
    <s v="WB"/>
    <x v="0"/>
    <s v="Bongaon"/>
    <s v="User Not Mapped"/>
    <s v="User Not Mapped"/>
    <s v="User Not Mapped"/>
    <n v="490669"/>
    <s v="Amzad Hossain Tarafder"/>
    <s v="Private Retailer"/>
    <s v="7797039903"/>
    <n v="0.5"/>
    <n v="417"/>
    <x v="0"/>
    <m/>
    <s v="2025-02-27"/>
    <s v="1054125"/>
    <s v="Mondal Stores"/>
    <s v="9749959358"/>
  </r>
  <r>
    <s v="RCF Trombay"/>
    <s v="15-15-15"/>
    <s v="WB"/>
    <x v="0"/>
    <m/>
    <s v="User Not Mapped"/>
    <s v="User Not Mapped"/>
    <s v="User Not Mapped"/>
    <n v="555301"/>
    <s v="Atabuddin Mondal"/>
    <s v="Private Retailer"/>
    <s v="9733690619"/>
    <n v="5.5E-2"/>
    <n v="2516"/>
    <x v="2"/>
    <m/>
    <s v="2019-05-31"/>
    <s v="1054125"/>
    <s v="Mondal Stores"/>
    <s v="9749959358"/>
  </r>
  <r>
    <s v="RCF Import"/>
    <s v="MOP"/>
    <s v="WB"/>
    <x v="0"/>
    <s v="Bongaon"/>
    <s v="User Not Mapped"/>
    <s v="User Not Mapped"/>
    <s v="User Not Mapped"/>
    <n v="1133461"/>
    <s v="Avishek Mondal"/>
    <s v="Private Retailer"/>
    <s v="7550905032"/>
    <n v="0.16500000000000001"/>
    <n v="413"/>
    <x v="0"/>
    <m/>
    <s v="2025-03-03"/>
    <s v="1054125"/>
    <s v="Mondal Stores"/>
    <s v="9749959358"/>
  </r>
  <r>
    <s v="RCF Import"/>
    <s v="Imp 10-26-26"/>
    <s v="WB"/>
    <x v="0"/>
    <s v="Bongaon"/>
    <s v="User Not Mapped"/>
    <s v="User Not Mapped"/>
    <s v="User Not Mapped"/>
    <n v="1546530"/>
    <s v="MONDAL KRISHI BHANDER"/>
    <s v="Private Retailer"/>
    <s v="6297853497"/>
    <n v="0.25"/>
    <n v="314"/>
    <x v="1"/>
    <m/>
    <s v="2025-06-10"/>
    <s v="1054125"/>
    <s v="Mondal Stores"/>
    <s v="9749959358"/>
  </r>
  <r>
    <s v="RCF Import"/>
    <s v="Imp 10-26-26"/>
    <s v="WB"/>
    <x v="0"/>
    <s v="Bongaon"/>
    <s v="User Not Mapped"/>
    <s v="User Not Mapped"/>
    <s v="User Not Mapped"/>
    <n v="1546530"/>
    <s v="MONDAL KRISHI BHANDER"/>
    <s v="Private Retailer"/>
    <s v="6297853497"/>
    <n v="0.5"/>
    <n v="330"/>
    <x v="1"/>
    <m/>
    <s v="2025-05-25"/>
    <s v="1054125"/>
    <s v="Mondal Stores"/>
    <s v="9749959358"/>
  </r>
  <r>
    <s v="RCF Import"/>
    <s v="MOP"/>
    <s v="WB"/>
    <x v="0"/>
    <s v="Bongaon"/>
    <s v="User Not Mapped"/>
    <s v="User Not Mapped"/>
    <s v="User Not Mapped"/>
    <n v="653570"/>
    <s v="Nanda Mondal"/>
    <s v="Private Retailer"/>
    <s v="9933922035"/>
    <n v="0.25"/>
    <n v="18"/>
    <x v="5"/>
    <m/>
    <s v="2026-04-02"/>
    <s v="1054125"/>
    <s v="Mondal Stores"/>
    <s v="9749959358"/>
  </r>
  <r>
    <s v="RCF Import"/>
    <s v="MOP"/>
    <s v="WB"/>
    <x v="0"/>
    <s v="Bongaon"/>
    <s v="User Not Mapped"/>
    <s v="User Not Mapped"/>
    <s v="User Not Mapped"/>
    <n v="457312"/>
    <s v="Niranjan Biswas"/>
    <s v="Private Retailer"/>
    <s v="8967046512"/>
    <n v="1.5"/>
    <n v="18"/>
    <x v="5"/>
    <m/>
    <s v="2026-04-02"/>
    <s v="1054125"/>
    <s v="Mondal Stores"/>
    <s v="9749959358"/>
  </r>
  <r>
    <s v="RCF Import"/>
    <s v="MOP"/>
    <s v="WB"/>
    <x v="0"/>
    <s v="Bagda"/>
    <s v="User Not Mapped"/>
    <s v="User Not Mapped"/>
    <s v="User Not Mapped"/>
    <n v="410890"/>
    <s v="Saktipada Biswas"/>
    <s v="Private Retailer"/>
    <s v="9733908498"/>
    <n v="0.75"/>
    <n v="19"/>
    <x v="5"/>
    <m/>
    <s v="2026-04-01"/>
    <s v="1054125"/>
    <s v="Mondal Stores"/>
    <s v="9749959358"/>
  </r>
  <r>
    <s v="RCF Import"/>
    <s v="MOP"/>
    <s v="WB"/>
    <x v="0"/>
    <s v="Bongaon"/>
    <s v="User Not Mapped"/>
    <s v="User Not Mapped"/>
    <s v="User Not Mapped"/>
    <n v="356224"/>
    <s v="Samir Kumar  Mondal"/>
    <s v="Private Retailer"/>
    <s v="9002008232"/>
    <n v="1"/>
    <n v="18"/>
    <x v="5"/>
    <m/>
    <s v="2026-04-02"/>
    <s v="1054125"/>
    <s v="Mondal Stores"/>
    <s v="9749959358"/>
  </r>
  <r>
    <s v="RCF Import"/>
    <s v="MOP"/>
    <s v="WB"/>
    <x v="0"/>
    <s v="Bongaon"/>
    <s v="User Not Mapped"/>
    <s v="User Not Mapped"/>
    <s v="User Not Mapped"/>
    <n v="631183"/>
    <s v="SOURAV SARKAR"/>
    <s v="Private Retailer"/>
    <s v="9593005901"/>
    <n v="0.5"/>
    <n v="4"/>
    <x v="5"/>
    <m/>
    <s v="2026-04-16"/>
    <s v="1054125"/>
    <s v="Mondal Stores"/>
    <s v="9749959358"/>
  </r>
  <r>
    <s v="RCF Import"/>
    <s v="MOP"/>
    <s v="WB"/>
    <x v="0"/>
    <s v="Bongaon"/>
    <s v="User Not Mapped"/>
    <s v="User Not Mapped"/>
    <s v="User Not Mapped"/>
    <n v="631183"/>
    <s v="SOURAV SARKAR"/>
    <s v="Private Retailer"/>
    <s v="9593005901"/>
    <n v="1"/>
    <n v="18"/>
    <x v="5"/>
    <m/>
    <s v="2026-04-02"/>
    <s v="1054125"/>
    <s v="Mondal Stores"/>
    <s v="9749959358"/>
  </r>
  <r>
    <s v="RCF Import"/>
    <s v="MOP"/>
    <s v="WB"/>
    <x v="0"/>
    <s v="Bongaon"/>
    <s v="User Not Mapped"/>
    <s v="User Not Mapped"/>
    <s v="User Not Mapped"/>
    <n v="227225"/>
    <s v="Sujauddin Mondal"/>
    <s v="Private Retailer"/>
    <s v="7319096635"/>
    <n v="0.25"/>
    <n v="413"/>
    <x v="0"/>
    <m/>
    <s v="2025-03-03"/>
    <s v="1054125"/>
    <s v="Mondal Stores"/>
    <s v="9749959358"/>
  </r>
  <r>
    <s v="RCF Trombay"/>
    <s v="15-15-15"/>
    <s v="WB"/>
    <x v="0"/>
    <s v="Bongaon"/>
    <s v="User Not Mapped"/>
    <s v="User Not Mapped"/>
    <s v="User Not Mapped"/>
    <n v="1007540"/>
    <s v="Uttam kumar Ghosh"/>
    <s v="Private Retailer"/>
    <s v="9643257313"/>
    <n v="1E-3"/>
    <n v="1875"/>
    <x v="2"/>
    <m/>
    <s v="2021-03-02"/>
    <s v="1054125"/>
    <s v="Mondal Stores"/>
    <s v="9749959358"/>
  </r>
  <r>
    <s v="RCF Thal"/>
    <s v="N.C.Urea(45kg)"/>
    <s v="WB"/>
    <x v="0"/>
    <m/>
    <s v="User Not Mapped"/>
    <s v="User Not Mapped"/>
    <s v="User Not Mapped"/>
    <n v="355697"/>
    <s v="Monoranjan Biswas"/>
    <s v="Private Retailer"/>
    <s v="8436456816"/>
    <n v="1.17"/>
    <n v="2220"/>
    <x v="2"/>
    <m/>
    <s v="2020-03-22"/>
    <s v="1036455"/>
    <s v="Monoranjan Biswas"/>
    <s v="8436456816"/>
  </r>
  <r>
    <s v="RCF Trombay"/>
    <s v="15-15-15"/>
    <s v="WB"/>
    <x v="0"/>
    <s v="Deganga"/>
    <s v="User Not Mapped"/>
    <s v="User Not Mapped"/>
    <s v="User Not Mapped"/>
    <n v="227067"/>
    <s v="P.G.Krishi Bhandar"/>
    <s v="Private Retailer"/>
    <s v="8001319934"/>
    <n v="5.0000000000000001E-3"/>
    <n v="2066"/>
    <x v="2"/>
    <m/>
    <s v="2020-08-23"/>
    <s v="945181"/>
    <s v="MUKHERJEE BROTHERS"/>
    <s v="8436066634"/>
  </r>
  <r>
    <s v="RCF Trombay"/>
    <s v="N.C.Urea(45kg)"/>
    <s v="WB"/>
    <x v="0"/>
    <s v="Amdanga"/>
    <s v="User Not Mapped"/>
    <s v="User Not Mapped"/>
    <s v="User Not Mapped"/>
    <n v="226465"/>
    <s v="A.H.Md. Abdur Rahaman"/>
    <s v="Private Retailer"/>
    <s v="9647541848"/>
    <n v="2.4300000000000002"/>
    <n v="88"/>
    <x v="6"/>
    <m/>
    <s v="2026-01-22"/>
    <s v="281522"/>
    <s v="N.C. Das and Co."/>
    <s v="6297603863"/>
  </r>
  <r>
    <s v="RCF Thal"/>
    <s v="N.C.Urea(45kg)"/>
    <s v="WB"/>
    <x v="0"/>
    <s v="Bongaon"/>
    <s v="User Not Mapped"/>
    <s v="User Not Mapped"/>
    <s v="User Not Mapped"/>
    <n v="1331239"/>
    <s v="ABAIDULLA MONDAL"/>
    <s v="Private Retailer"/>
    <s v="8642024986"/>
    <n v="5.49"/>
    <n v="35"/>
    <x v="3"/>
    <m/>
    <s v="2026-03-16"/>
    <s v="281522"/>
    <s v="N.C. Das and Co."/>
    <s v="6297603863"/>
  </r>
  <r>
    <s v="RCF Trombay"/>
    <s v="15-15-15"/>
    <s v="WB"/>
    <x v="0"/>
    <s v="Baduria"/>
    <s v="User Not Mapped"/>
    <s v="User Not Mapped"/>
    <s v="User Not Mapped"/>
    <n v="226431"/>
    <s v="Abdukl Hamid"/>
    <s v="Private Retailer"/>
    <s v="9735338529"/>
    <n v="4.05"/>
    <n v="61"/>
    <x v="6"/>
    <m/>
    <s v="2026-02-18"/>
    <s v="281522"/>
    <s v="N.C. Das and Co."/>
    <s v="6297603863"/>
  </r>
  <r>
    <s v="RCF Thal"/>
    <s v="N.C.Urea(45kg)"/>
    <s v="WB"/>
    <x v="0"/>
    <s v="Haroa"/>
    <s v="User Not Mapped"/>
    <s v="User Not Mapped"/>
    <s v="User Not Mapped"/>
    <n v="460111"/>
    <s v="ABDUL MAJID BAIDYA"/>
    <s v="Private Retailer"/>
    <s v="9932724496"/>
    <n v="1.2150000000000001"/>
    <n v="195"/>
    <x v="1"/>
    <m/>
    <s v="2025-10-07"/>
    <s v="281522"/>
    <s v="N.C. Das and Co."/>
    <s v="6297603863"/>
  </r>
  <r>
    <s v="RCF Trombay"/>
    <s v="N.C.Urea(45kg)"/>
    <s v="WB"/>
    <x v="0"/>
    <s v="Bagda"/>
    <s v="User Not Mapped"/>
    <s v="User Not Mapped"/>
    <s v="User Not Mapped"/>
    <n v="340697"/>
    <s v="Abubak Kar  Mondal"/>
    <s v="Private Retailer"/>
    <s v="9547499471"/>
    <n v="3.33"/>
    <n v="195"/>
    <x v="1"/>
    <m/>
    <s v="2025-10-07"/>
    <s v="281522"/>
    <s v="N.C. Das and Co."/>
    <s v="6297603863"/>
  </r>
  <r>
    <s v="RCF Trombay"/>
    <s v="15-15-15"/>
    <s v="WB"/>
    <x v="0"/>
    <s v="Deganga"/>
    <s v="User Not Mapped"/>
    <s v="User Not Mapped"/>
    <s v="User Not Mapped"/>
    <n v="226454"/>
    <s v="Adarsh Krishi Bhandar"/>
    <s v="Private Retailer"/>
    <s v="9143169628"/>
    <n v="3"/>
    <n v="63"/>
    <x v="6"/>
    <m/>
    <s v="2026-02-16"/>
    <s v="281522"/>
    <s v="N.C. Das and Co."/>
    <s v="6297603863"/>
  </r>
  <r>
    <s v="RCF Trombay"/>
    <s v="15-15-15"/>
    <s v="WB"/>
    <x v="0"/>
    <s v="Deganga"/>
    <s v="User Not Mapped"/>
    <s v="User Not Mapped"/>
    <s v="User Not Mapped"/>
    <n v="1076581"/>
    <s v="Adarsha krishi bhander"/>
    <s v="Private Wholsaler"/>
    <s v="9143169628"/>
    <n v="6.7"/>
    <n v="303"/>
    <x v="1"/>
    <s v="'NCD/N/0038/25-26'"/>
    <s v="2025-06-21"/>
    <s v="281522"/>
    <s v="N.C. Das and Co."/>
    <s v="6297603863"/>
  </r>
  <r>
    <s v="RCF Trombay"/>
    <s v="N.C.Urea(45kg)"/>
    <s v="WB"/>
    <x v="0"/>
    <s v="Bongaon"/>
    <s v="User Not Mapped"/>
    <s v="User Not Mapped"/>
    <s v="User Not Mapped"/>
    <n v="545838"/>
    <s v="Adhir Ch Biswas"/>
    <s v="Private Retailer"/>
    <s v="8926035600"/>
    <n v="3.6"/>
    <n v="276"/>
    <x v="1"/>
    <m/>
    <s v="2025-07-18"/>
    <s v="281522"/>
    <s v="N.C. Das and Co."/>
    <s v="6297603863"/>
  </r>
  <r>
    <s v="RCF Thal"/>
    <s v="N.C.Urea(45kg)"/>
    <s v="WB"/>
    <x v="0"/>
    <s v="Swarupnagar"/>
    <s v="User Not Mapped"/>
    <s v="User Not Mapped"/>
    <s v="User Not Mapped"/>
    <n v="226456"/>
    <s v="Afiruddin Par"/>
    <s v="Private Retailer"/>
    <s v="8609678132"/>
    <n v="5.04"/>
    <n v="32"/>
    <x v="3"/>
    <m/>
    <s v="2026-03-19"/>
    <s v="281522"/>
    <s v="N.C. Das and Co."/>
    <s v="6297603863"/>
  </r>
  <r>
    <s v="RCF Thal"/>
    <s v="N.C.Urea(45kg)"/>
    <s v="WB"/>
    <x v="0"/>
    <s v="Habra - I"/>
    <s v="User Not Mapped"/>
    <s v="User Not Mapped"/>
    <s v="User Not Mapped"/>
    <n v="226472"/>
    <s v="Aklima Bibi"/>
    <s v="Private Retailer"/>
    <s v="9932237990"/>
    <n v="3.2850000000000001"/>
    <n v="13"/>
    <x v="5"/>
    <m/>
    <s v="2026-04-07"/>
    <s v="281522"/>
    <s v="N.C. Das and Co."/>
    <s v="6297603863"/>
  </r>
  <r>
    <s v="RCF Thal"/>
    <s v="N.C.Urea(45kg)"/>
    <s v="WB"/>
    <x v="0"/>
    <s v="Bongaon"/>
    <s v="User Not Mapped"/>
    <s v="User Not Mapped"/>
    <s v="User Not Mapped"/>
    <n v="1288384"/>
    <s v="AKTAR FERTILIZER  PESTICIDES"/>
    <s v="Private Retailer"/>
    <s v="9735295405"/>
    <n v="0.99"/>
    <n v="192"/>
    <x v="1"/>
    <m/>
    <s v="2025-10-10"/>
    <s v="281522"/>
    <s v="N.C. Das and Co."/>
    <s v="6297603863"/>
  </r>
  <r>
    <s v="RCF Import"/>
    <s v="Imp 10-26-26"/>
    <s v="WB"/>
    <x v="0"/>
    <s v="Amdanga"/>
    <s v="User Not Mapped"/>
    <s v="User Not Mapped"/>
    <s v="User Not Mapped"/>
    <n v="189316"/>
    <s v="Alam Fertilizer"/>
    <s v="Private Retailer"/>
    <s v="8697022173"/>
    <n v="5"/>
    <n v="24"/>
    <x v="5"/>
    <m/>
    <s v="2026-03-27"/>
    <s v="281522"/>
    <s v="N.C. Das and Co."/>
    <s v="6297603863"/>
  </r>
  <r>
    <s v="RCF Trombay"/>
    <s v="15-15-15"/>
    <s v="WB"/>
    <x v="0"/>
    <s v="Amdanga"/>
    <s v="User Not Mapped"/>
    <s v="User Not Mapped"/>
    <s v="User Not Mapped"/>
    <n v="515686"/>
    <s v="Amirali  Krishi Bhandar"/>
    <s v="Private Retailer"/>
    <s v="9874435167"/>
    <n v="5.5"/>
    <n v="94"/>
    <x v="7"/>
    <m/>
    <s v="2026-01-16"/>
    <s v="281522"/>
    <s v="N.C. Das and Co."/>
    <s v="6297603863"/>
  </r>
  <r>
    <s v="RCF Thal"/>
    <s v="N.C.Urea(45kg)"/>
    <s v="WB"/>
    <x v="0"/>
    <s v="Gaighata"/>
    <s v="User Not Mapped"/>
    <s v="User Not Mapped"/>
    <s v="User Not Mapped"/>
    <n v="354715"/>
    <s v="Anukul Kumar Khan"/>
    <s v="Private Retailer"/>
    <s v="9932375120"/>
    <n v="9.99"/>
    <n v="11"/>
    <x v="5"/>
    <m/>
    <s v="2026-04-09"/>
    <s v="281522"/>
    <s v="N.C. Das and Co."/>
    <s v="6297603863"/>
  </r>
  <r>
    <s v="RCF Thal"/>
    <s v="N.C.Urea(45kg)"/>
    <s v="WB"/>
    <x v="0"/>
    <s v="Gaighata"/>
    <s v="User Not Mapped"/>
    <s v="User Not Mapped"/>
    <s v="User Not Mapped"/>
    <n v="354715"/>
    <s v="Anukul Kumar Khan"/>
    <s v="Private Retailer"/>
    <s v="9932375120"/>
    <n v="9.99"/>
    <n v="10"/>
    <x v="5"/>
    <m/>
    <s v="2026-04-10"/>
    <s v="281522"/>
    <s v="N.C. Das and Co."/>
    <s v="6297603863"/>
  </r>
  <r>
    <s v="RCF Trombay"/>
    <s v="N.C.Urea(45kg)"/>
    <s v="WB"/>
    <x v="0"/>
    <s v="Bagda"/>
    <s v="User Not Mapped"/>
    <s v="User Not Mapped"/>
    <s v="User Not Mapped"/>
    <n v="501270"/>
    <s v="Arsed Mondal"/>
    <s v="Private Retailer"/>
    <s v="8116998225"/>
    <n v="4.4999999999999998E-2"/>
    <n v="195"/>
    <x v="1"/>
    <m/>
    <s v="2025-10-07"/>
    <s v="281522"/>
    <s v="N.C. Das and Co."/>
    <s v="6297603863"/>
  </r>
  <r>
    <s v="RCF Trombay"/>
    <s v="15-15-15"/>
    <s v="WB"/>
    <x v="0"/>
    <s v="Deganga"/>
    <s v="User Not Mapped"/>
    <s v="User Not Mapped"/>
    <s v="User Not Mapped"/>
    <n v="226547"/>
    <s v="Barun Krishi Bhandar"/>
    <s v="Private Retailer"/>
    <s v="9732701088"/>
    <n v="5.5"/>
    <n v="61"/>
    <x v="6"/>
    <m/>
    <s v="2026-02-18"/>
    <s v="281522"/>
    <s v="N.C. Das and Co."/>
    <s v="6297603863"/>
  </r>
  <r>
    <s v="RCF Trombay"/>
    <s v="15-15-15"/>
    <s v="WB"/>
    <x v="0"/>
    <s v="Deganga"/>
    <s v="User Not Mapped"/>
    <s v="User Not Mapped"/>
    <s v="User Not Mapped"/>
    <n v="226547"/>
    <s v="Barun Krishi Bhandar"/>
    <s v="Private Retailer"/>
    <s v="9732701088"/>
    <n v="2.25"/>
    <n v="84"/>
    <x v="6"/>
    <m/>
    <s v="2026-01-26"/>
    <s v="281522"/>
    <s v="N.C. Das and Co."/>
    <s v="6297603863"/>
  </r>
  <r>
    <s v="RCF Thal"/>
    <s v="N.C.Urea(45kg)"/>
    <s v="WB"/>
    <x v="0"/>
    <s v="Deganga"/>
    <s v="User Not Mapped"/>
    <s v="User Not Mapped"/>
    <s v="User Not Mapped"/>
    <n v="226547"/>
    <s v="Barun Krishi Bhandar"/>
    <s v="Private Retailer"/>
    <s v="9732701088"/>
    <n v="4.7699999999999996"/>
    <n v="61"/>
    <x v="6"/>
    <m/>
    <s v="2026-02-18"/>
    <s v="281522"/>
    <s v="N.C. Das and Co."/>
    <s v="6297603863"/>
  </r>
  <r>
    <s v="RCF Trombay"/>
    <s v="15-15-15"/>
    <s v="WB"/>
    <x v="0"/>
    <s v="Amdanga"/>
    <s v="User Not Mapped"/>
    <s v="User Not Mapped"/>
    <s v="User Not Mapped"/>
    <n v="410806"/>
    <s v="Bhai Bhai Fertilizer"/>
    <s v="Private Retailer"/>
    <s v="9836765506"/>
    <n v="0.6"/>
    <n v="133"/>
    <x v="4"/>
    <m/>
    <s v="2025-12-08"/>
    <s v="281522"/>
    <s v="N.C. Das and Co."/>
    <s v="6297603863"/>
  </r>
  <r>
    <s v="RCF Thal"/>
    <s v="N.C.Urea(45kg)"/>
    <s v="WB"/>
    <x v="0"/>
    <s v="Amdanga"/>
    <s v="User Not Mapped"/>
    <s v="User Not Mapped"/>
    <s v="User Not Mapped"/>
    <n v="410806"/>
    <s v="Bhai Bhai Fertilizer"/>
    <s v="Private Retailer"/>
    <s v="9836765506"/>
    <n v="2.2050000000000001"/>
    <n v="94"/>
    <x v="7"/>
    <m/>
    <s v="2026-01-16"/>
    <s v="281522"/>
    <s v="N.C. Das and Co."/>
    <s v="6297603863"/>
  </r>
  <r>
    <s v="RCF Trombay"/>
    <s v="15-15-15"/>
    <s v="WB"/>
    <x v="0"/>
    <s v="Amdanga"/>
    <s v="User Not Mapped"/>
    <s v="User Not Mapped"/>
    <s v="User Not Mapped"/>
    <n v="410806"/>
    <s v="Bhai Bhai Fertilizer"/>
    <s v="Private Retailer"/>
    <s v="9836765506"/>
    <n v="5.5"/>
    <n v="88"/>
    <x v="6"/>
    <m/>
    <s v="2026-01-22"/>
    <s v="281522"/>
    <s v="N.C. Das and Co."/>
    <s v="6297603863"/>
  </r>
  <r>
    <s v="RCF Trombay"/>
    <s v="15-15-15"/>
    <s v="WB"/>
    <x v="0"/>
    <s v="Bongaon"/>
    <s v="User Not Mapped"/>
    <s v="User Not Mapped"/>
    <s v="User Not Mapped"/>
    <n v="354823"/>
    <s v="Bidhan Chandra  Das"/>
    <s v="Private Retailer"/>
    <s v="9733873161"/>
    <n v="0.55000000000000004"/>
    <n v="387"/>
    <x v="0"/>
    <m/>
    <s v="2025-03-29"/>
    <s v="281522"/>
    <s v="N.C. Das and Co."/>
    <s v="6297603863"/>
  </r>
  <r>
    <s v="RCF Trombay"/>
    <s v="15-15-15"/>
    <s v="WB"/>
    <x v="0"/>
    <s v="Baduria"/>
    <s v="User Not Mapped"/>
    <s v="User Not Mapped"/>
    <s v="User Not Mapped"/>
    <n v="226578"/>
    <s v="Biswajit Mondal"/>
    <s v="Private Retailer"/>
    <s v="9775609048"/>
    <n v="0.05"/>
    <n v="277"/>
    <x v="1"/>
    <m/>
    <s v="2025-07-17"/>
    <s v="281522"/>
    <s v="N.C. Das and Co."/>
    <s v="6297603863"/>
  </r>
  <r>
    <s v="RCF Trombay"/>
    <s v="N.C.Urea(45kg)"/>
    <s v="WB"/>
    <x v="0"/>
    <s v="Baduria"/>
    <s v="User Not Mapped"/>
    <s v="User Not Mapped"/>
    <s v="User Not Mapped"/>
    <n v="226578"/>
    <s v="Biswajit Mondal"/>
    <s v="Private Retailer"/>
    <s v="9775609048"/>
    <n v="5.49"/>
    <n v="81"/>
    <x v="6"/>
    <m/>
    <s v="2026-01-29"/>
    <s v="281522"/>
    <s v="N.C. Das and Co."/>
    <s v="6297603863"/>
  </r>
  <r>
    <s v="RCF Trombay"/>
    <s v="15-15-15"/>
    <s v="WB"/>
    <x v="0"/>
    <s v="Baduria"/>
    <s v="User Not Mapped"/>
    <s v="User Not Mapped"/>
    <s v="User Not Mapped"/>
    <n v="226578"/>
    <s v="Biswajit Mondal"/>
    <s v="Private Retailer"/>
    <s v="9775609048"/>
    <n v="5.5"/>
    <n v="81"/>
    <x v="6"/>
    <m/>
    <s v="2026-01-29"/>
    <s v="281522"/>
    <s v="N.C. Das and Co."/>
    <s v="6297603863"/>
  </r>
  <r>
    <s v="RCF Trombay"/>
    <s v="15-15-15"/>
    <s v="WB"/>
    <x v="0"/>
    <s v="Bongaon"/>
    <s v="User Not Mapped"/>
    <s v="User Not Mapped"/>
    <s v="User Not Mapped"/>
    <n v="354853"/>
    <s v="Biswajitsharma"/>
    <s v="Private Retailer"/>
    <s v="9733867827"/>
    <n v="2.2000000000000002"/>
    <n v="1223"/>
    <x v="2"/>
    <m/>
    <s v="2022-12-14"/>
    <s v="281522"/>
    <s v="N.C. Das and Co."/>
    <s v="6297603863"/>
  </r>
  <r>
    <s v="RCF Thal"/>
    <s v="N.C.Urea(45kg)"/>
    <s v="WB"/>
    <x v="0"/>
    <s v="Deganga"/>
    <s v="User Not Mapped"/>
    <s v="User Not Mapped"/>
    <s v="User Not Mapped"/>
    <n v="622740"/>
    <s v="BISWAS KRISHI BHANDAR"/>
    <s v="Private Retailer"/>
    <s v="9733536393"/>
    <n v="5.49"/>
    <n v="27"/>
    <x v="5"/>
    <m/>
    <s v="2026-03-24"/>
    <s v="281522"/>
    <s v="N.C. Das and Co."/>
    <s v="6297603863"/>
  </r>
  <r>
    <s v="RCF Trombay"/>
    <s v="N.C.Urea(45kg)"/>
    <s v="WB"/>
    <x v="0"/>
    <s v="Bongaon"/>
    <s v="User Not Mapped"/>
    <s v="User Not Mapped"/>
    <s v="User Not Mapped"/>
    <n v="1489744"/>
    <s v="DAS FERTILIZER"/>
    <s v="Private Retailer"/>
    <s v="9609114833"/>
    <n v="1.8"/>
    <n v="167"/>
    <x v="4"/>
    <m/>
    <s v="2025-11-04"/>
    <s v="281522"/>
    <s v="N.C. Das and Co."/>
    <s v="6297603863"/>
  </r>
  <r>
    <s v="RCF Trombay"/>
    <s v="15-15-15"/>
    <s v="WB"/>
    <x v="0"/>
    <s v="Bongaon"/>
    <s v="User Not Mapped"/>
    <s v="User Not Mapped"/>
    <s v="User Not Mapped"/>
    <n v="411439"/>
    <s v="Debnath Fertilizer"/>
    <s v="Private Retailer"/>
    <s v="9333820071"/>
    <n v="22"/>
    <n v="81"/>
    <x v="6"/>
    <m/>
    <s v="2026-01-29"/>
    <s v="281522"/>
    <s v="N.C. Das and Co."/>
    <s v="6297603863"/>
  </r>
  <r>
    <s v="RCF Trombay"/>
    <s v="15-15-15"/>
    <s v="WB"/>
    <x v="0"/>
    <s v="Bongaon"/>
    <s v="User Not Mapped"/>
    <s v="User Not Mapped"/>
    <s v="User Not Mapped"/>
    <n v="411439"/>
    <s v="Debnath Fertilizer"/>
    <s v="Private Retailer"/>
    <s v="9333820071"/>
    <n v="8"/>
    <n v="167"/>
    <x v="4"/>
    <m/>
    <s v="2025-11-04"/>
    <s v="281522"/>
    <s v="N.C. Das and Co."/>
    <s v="6297603863"/>
  </r>
  <r>
    <s v="RCF Thal"/>
    <s v="N.C.Urea(45kg)"/>
    <s v="WB"/>
    <x v="0"/>
    <s v="Baduria"/>
    <s v="User Not Mapped"/>
    <s v="User Not Mapped"/>
    <s v="User Not Mapped"/>
    <n v="354901"/>
    <s v="Dilip Kumar Saha"/>
    <s v="Private Retailer"/>
    <s v="7001739365"/>
    <n v="21.96"/>
    <n v="13"/>
    <x v="5"/>
    <m/>
    <s v="2026-04-07"/>
    <s v="281522"/>
    <s v="N.C. Das and Co."/>
    <s v="6297603863"/>
  </r>
  <r>
    <s v="RCF Trombay"/>
    <s v="15-15-15"/>
    <s v="WB"/>
    <x v="0"/>
    <s v="Baduria"/>
    <s v="User Not Mapped"/>
    <s v="User Not Mapped"/>
    <s v="User Not Mapped"/>
    <n v="354901"/>
    <s v="Dilip Kumar Saha"/>
    <s v="Private Retailer"/>
    <s v="7001739365"/>
    <n v="5.5"/>
    <n v="109"/>
    <x v="7"/>
    <m/>
    <s v="2026-01-01"/>
    <s v="281522"/>
    <s v="N.C. Das and Co."/>
    <s v="6297603863"/>
  </r>
  <r>
    <s v="RCF Trombay"/>
    <s v="15-15-15"/>
    <s v="WB"/>
    <x v="0"/>
    <s v="Gaighata"/>
    <s v="User Not Mapped"/>
    <s v="User Not Mapped"/>
    <s v="User Not Mapped"/>
    <n v="377024"/>
    <s v="Dooma Union.L/S Pcacs.Ltd"/>
    <s v="PACS"/>
    <s v="9332558525"/>
    <n v="8.0500000000000007"/>
    <n v="84"/>
    <x v="6"/>
    <m/>
    <s v="2026-01-26"/>
    <s v="281522"/>
    <s v="N.C. Das and Co."/>
    <s v="6297603863"/>
  </r>
  <r>
    <s v="RCF Trombay"/>
    <s v="15-15-15"/>
    <s v="WB"/>
    <x v="0"/>
    <s v="Amdanga"/>
    <s v="User Not Mapped"/>
    <s v="User Not Mapped"/>
    <s v="User Not Mapped"/>
    <n v="226644"/>
    <s v="Gagadhatri Krishi Bhandar"/>
    <s v="Private Retailer"/>
    <s v="9830269299"/>
    <n v="1"/>
    <n v="65"/>
    <x v="6"/>
    <m/>
    <s v="2026-02-14"/>
    <s v="281522"/>
    <s v="N.C. Das and Co."/>
    <s v="6297603863"/>
  </r>
  <r>
    <s v="RCF Trombay"/>
    <s v="15-15-15"/>
    <s v="WB"/>
    <x v="0"/>
    <s v="Amdanga"/>
    <s v="User Not Mapped"/>
    <s v="User Not Mapped"/>
    <s v="User Not Mapped"/>
    <n v="226644"/>
    <s v="Gagadhatri Krishi Bhandar"/>
    <s v="Private Retailer"/>
    <s v="9830269299"/>
    <n v="0.3"/>
    <n v="160"/>
    <x v="4"/>
    <m/>
    <s v="2025-11-11"/>
    <s v="281522"/>
    <s v="N.C. Das and Co."/>
    <s v="6297603863"/>
  </r>
  <r>
    <s v="RCF Trombay"/>
    <s v="15-15-15"/>
    <s v="WB"/>
    <x v="0"/>
    <s v="Barasat - I"/>
    <s v="User Not Mapped"/>
    <s v="User Not Mapped"/>
    <s v="User Not Mapped"/>
    <n v="616435"/>
    <s v="GHOSH FERTILIZER"/>
    <s v="Private Retailer"/>
    <s v="9875664859"/>
    <n v="5.5"/>
    <n v="40"/>
    <x v="3"/>
    <m/>
    <s v="2026-03-11"/>
    <s v="281522"/>
    <s v="N.C. Das and Co."/>
    <s v="6297603863"/>
  </r>
  <r>
    <s v="RCF Trombay"/>
    <s v="N.C.Urea(45kg)"/>
    <s v="WB"/>
    <x v="0"/>
    <s v="Amdanga"/>
    <s v="User Not Mapped"/>
    <s v="User Not Mapped"/>
    <s v="User Not Mapped"/>
    <n v="354944"/>
    <s v="Ghosh Krishi Bhandar"/>
    <s v="Private Retailer"/>
    <s v="8479933744"/>
    <n v="0.495"/>
    <n v="65"/>
    <x v="6"/>
    <m/>
    <s v="2026-02-14"/>
    <s v="281522"/>
    <s v="N.C. Das and Co."/>
    <s v="6297603863"/>
  </r>
  <r>
    <s v="RCF Thal"/>
    <s v="N.C.Urea(45kg)"/>
    <s v="WB"/>
    <x v="0"/>
    <s v="Swarupnagar"/>
    <s v="User Not Mapped"/>
    <s v="User Not Mapped"/>
    <s v="User Not Mapped"/>
    <n v="226661"/>
    <s v="Ghosh Krishi Bhandar"/>
    <s v="Private Retailer"/>
    <s v="7001298554"/>
    <n v="3.2850000000000001"/>
    <n v="13"/>
    <x v="5"/>
    <m/>
    <s v="2026-04-07"/>
    <s v="281522"/>
    <s v="N.C. Das and Co."/>
    <s v="6297603863"/>
  </r>
  <r>
    <s v="RCF Trombay"/>
    <s v="15-15-15"/>
    <s v="WB"/>
    <x v="0"/>
    <s v="Bagda"/>
    <s v="User Not Mapped"/>
    <s v="User Not Mapped"/>
    <s v="User Not Mapped"/>
    <n v="355001"/>
    <s v="Go Pal  Mondal"/>
    <s v="Private Retailer"/>
    <s v="8967395354"/>
    <n v="8.5"/>
    <n v="65"/>
    <x v="6"/>
    <m/>
    <s v="2026-02-14"/>
    <s v="281522"/>
    <s v="N.C. Das and Co."/>
    <s v="6297603863"/>
  </r>
  <r>
    <s v="RCF Trombay"/>
    <s v="N.C.Urea(45kg)"/>
    <s v="WB"/>
    <x v="0"/>
    <s v="Bagda"/>
    <s v="User Not Mapped"/>
    <s v="User Not Mapped"/>
    <s v="User Not Mapped"/>
    <n v="355001"/>
    <s v="Go Pal  Mondal"/>
    <s v="Private Retailer"/>
    <s v="8967395354"/>
    <n v="5.4450000000000003"/>
    <n v="65"/>
    <x v="6"/>
    <m/>
    <s v="2026-02-14"/>
    <s v="281522"/>
    <s v="N.C. Das and Co."/>
    <s v="6297603863"/>
  </r>
  <r>
    <s v="RCF Trombay"/>
    <s v="15-15-15"/>
    <s v="WB"/>
    <x v="0"/>
    <s v="Bagda"/>
    <s v="User Not Mapped"/>
    <s v="User Not Mapped"/>
    <s v="User Not Mapped"/>
    <n v="355001"/>
    <s v="Go Pal  Mondal"/>
    <s v="Private Retailer"/>
    <s v="8967395354"/>
    <n v="11"/>
    <n v="60"/>
    <x v="3"/>
    <m/>
    <s v="2026-02-19"/>
    <s v="281522"/>
    <s v="N.C. Das and Co."/>
    <s v="6297603863"/>
  </r>
  <r>
    <s v="RCF Import"/>
    <s v="MOP"/>
    <s v="WB"/>
    <x v="0"/>
    <s v="Bagda"/>
    <s v="User Not Mapped"/>
    <s v="User Not Mapped"/>
    <s v="User Not Mapped"/>
    <n v="355001"/>
    <s v="Go Pal  Mondal"/>
    <s v="Private Retailer"/>
    <s v="8967395354"/>
    <n v="10"/>
    <n v="52"/>
    <x v="3"/>
    <m/>
    <s v="2026-02-27"/>
    <s v="281522"/>
    <s v="N.C. Das and Co."/>
    <s v="6297603863"/>
  </r>
  <r>
    <s v="RCF Thal"/>
    <s v="N.C.Urea(45kg)"/>
    <s v="WB"/>
    <x v="0"/>
    <s v="Habra - II"/>
    <s v="User Not Mapped"/>
    <s v="User Not Mapped"/>
    <s v="User Not Mapped"/>
    <n v="355011"/>
    <s v="Guma  Krishi  Centre"/>
    <s v="Private Retailer"/>
    <s v="9641730793"/>
    <n v="10.62"/>
    <n v="35"/>
    <x v="3"/>
    <m/>
    <s v="2026-03-16"/>
    <s v="281522"/>
    <s v="N.C. Das and Co."/>
    <s v="6297603863"/>
  </r>
  <r>
    <s v="RCF Trombay"/>
    <s v="15-15-15"/>
    <s v="WB"/>
    <x v="0"/>
    <s v="Deganga"/>
    <s v="User Not Mapped"/>
    <s v="User Not Mapped"/>
    <s v="User Not Mapped"/>
    <n v="1544998"/>
    <s v="Hassan Krishi Bhander"/>
    <s v="Private Retailer"/>
    <s v="8145330252"/>
    <n v="2.5"/>
    <n v="91"/>
    <x v="7"/>
    <m/>
    <s v="2026-01-19"/>
    <s v="281522"/>
    <s v="N.C. Das and Co."/>
    <s v="6297603863"/>
  </r>
  <r>
    <s v="RCF Thal"/>
    <s v="N.C.Urea(45kg)"/>
    <s v="WB"/>
    <x v="0"/>
    <s v="Deganga"/>
    <s v="User Not Mapped"/>
    <s v="User Not Mapped"/>
    <s v="User Not Mapped"/>
    <n v="1461479"/>
    <s v="HOSSAIN FERTILIZER"/>
    <s v="Private Retailer"/>
    <s v="7586875896"/>
    <n v="0.94499999999999995"/>
    <n v="441"/>
    <x v="0"/>
    <m/>
    <s v="2025-02-03"/>
    <s v="281522"/>
    <s v="N.C. Das and Co."/>
    <s v="6297603863"/>
  </r>
  <r>
    <s v="RCF Thal"/>
    <s v="N.C.Urea(45kg)"/>
    <s v="WB"/>
    <x v="0"/>
    <s v="Barasat - II"/>
    <s v="User Not Mapped"/>
    <s v="User Not Mapped"/>
    <s v="User Not Mapped"/>
    <n v="226702"/>
    <s v="Hossain Krishi Seva Kendra"/>
    <s v="Private Retailer"/>
    <s v="9609431013"/>
    <n v="1.99"/>
    <n v="1213"/>
    <x v="2"/>
    <m/>
    <s v="2022-12-24"/>
    <s v="281522"/>
    <s v="N.C. Das and Co."/>
    <s v="6297603863"/>
  </r>
  <r>
    <s v="RCF Trombay"/>
    <s v="N.C.Urea(45kg)"/>
    <s v="WB"/>
    <x v="0"/>
    <s v="Bongaon"/>
    <s v="User Not Mapped"/>
    <s v="User Not Mapped"/>
    <s v="User Not Mapped"/>
    <n v="604330"/>
    <s v="JAGADISH SARKER"/>
    <s v="Private Retailer"/>
    <s v="9609549629"/>
    <n v="8.91"/>
    <n v="167"/>
    <x v="4"/>
    <m/>
    <s v="2025-11-04"/>
    <s v="281522"/>
    <s v="N.C. Das and Co."/>
    <s v="6297603863"/>
  </r>
  <r>
    <s v="RCF Trombay"/>
    <s v="N.C.Urea(45kg)"/>
    <s v="WB"/>
    <x v="0"/>
    <s v="Habra - II"/>
    <s v="User Not Mapped"/>
    <s v="User Not Mapped"/>
    <s v="User Not Mapped"/>
    <n v="1496625"/>
    <s v="JOY GURU KRISHI BHANDAR"/>
    <s v="Private Retailer"/>
    <s v="6297696296"/>
    <n v="8.5050000000000008"/>
    <n v="39"/>
    <x v="3"/>
    <m/>
    <s v="2026-03-12"/>
    <s v="281522"/>
    <s v="N.C. Das and Co."/>
    <s v="6297603863"/>
  </r>
  <r>
    <s v="RCF Trombay"/>
    <s v="N.C.Urea(45kg)"/>
    <s v="WB"/>
    <x v="0"/>
    <s v="Bongaon"/>
    <s v="User Not Mapped"/>
    <s v="User Not Mapped"/>
    <s v="User Not Mapped"/>
    <n v="410718"/>
    <s v="Kankan Fertilizers"/>
    <s v="Private Retailer"/>
    <s v="9775018062"/>
    <n v="0.58499999999999996"/>
    <n v="132"/>
    <x v="4"/>
    <m/>
    <s v="2025-12-09"/>
    <s v="281522"/>
    <s v="N.C. Das and Co."/>
    <s v="6297603863"/>
  </r>
  <r>
    <s v="RCF Thal"/>
    <s v="N.C.Urea(45kg)"/>
    <s v="WB"/>
    <x v="0"/>
    <s v="Deganga"/>
    <s v="User Not Mapped"/>
    <s v="User Not Mapped"/>
    <s v="User Not Mapped"/>
    <n v="323631"/>
    <s v="Khanpur Krishi Bhandar"/>
    <s v="Private Retailer"/>
    <s v="9734379388"/>
    <n v="5.49"/>
    <n v="32"/>
    <x v="3"/>
    <m/>
    <s v="2026-03-19"/>
    <s v="281522"/>
    <s v="N.C. Das and Co."/>
    <s v="6297603863"/>
  </r>
  <r>
    <s v="RCF Trombay"/>
    <s v="N.C.Urea(45kg)"/>
    <s v="WB"/>
    <x v="0"/>
    <s v="Barasat - I"/>
    <s v="User Not Mapped"/>
    <s v="User Not Mapped"/>
    <s v="User Not Mapped"/>
    <n v="1444512"/>
    <s v="KRISHI FERTILIZER"/>
    <s v="Private Retailer"/>
    <s v="9674230023"/>
    <n v="1.575"/>
    <n v="195"/>
    <x v="1"/>
    <m/>
    <s v="2025-10-07"/>
    <s v="281522"/>
    <s v="N.C. Das and Co."/>
    <s v="6297603863"/>
  </r>
  <r>
    <s v="RCF Trombay"/>
    <s v="15-15-15"/>
    <s v="WB"/>
    <x v="0"/>
    <s v="Barasat - I"/>
    <s v="User Not Mapped"/>
    <s v="User Not Mapped"/>
    <s v="User Not Mapped"/>
    <n v="1444512"/>
    <s v="KRISHI FERTILIZER"/>
    <s v="Private Retailer"/>
    <s v="9674230023"/>
    <n v="4.95"/>
    <n v="195"/>
    <x v="1"/>
    <m/>
    <s v="2025-10-07"/>
    <s v="281522"/>
    <s v="N.C. Das and Co."/>
    <s v="6297603863"/>
  </r>
  <r>
    <s v="RCF Thal"/>
    <s v="N.C.Urea(45kg)"/>
    <s v="WB"/>
    <x v="0"/>
    <m/>
    <s v="User Not Mapped"/>
    <s v="User Not Mapped"/>
    <s v="User Not Mapped"/>
    <n v="355227"/>
    <s v="Liton  Mondal"/>
    <s v="Private Retailer"/>
    <s v="7001460767"/>
    <n v="2.5649999999999999"/>
    <n v="192"/>
    <x v="1"/>
    <m/>
    <s v="2025-10-10"/>
    <s v="281522"/>
    <s v="N.C. Das and Co."/>
    <s v="6297603863"/>
  </r>
  <r>
    <s v="RCF Trombay"/>
    <s v="15-15-15"/>
    <s v="WB"/>
    <x v="0"/>
    <s v="Barasat - II"/>
    <s v="User Not Mapped"/>
    <s v="User Not Mapped"/>
    <s v="User Not Mapped"/>
    <n v="219016"/>
    <s v="M/S Ashoke Fertiliser Store"/>
    <s v="Private Retailer"/>
    <s v="9883951065"/>
    <n v="2"/>
    <n v="40"/>
    <x v="3"/>
    <m/>
    <s v="2026-03-11"/>
    <s v="281522"/>
    <s v="N.C. Das and Co."/>
    <s v="6297603863"/>
  </r>
  <r>
    <s v="RCF Import"/>
    <s v="Imp 10-26-26"/>
    <s v="WB"/>
    <x v="0"/>
    <s v="Amdanga"/>
    <s v="User Not Mapped"/>
    <s v="User Not Mapped"/>
    <s v="User Not Mapped"/>
    <n v="189408"/>
    <s v="M/S Janokalyan Fertilizers"/>
    <s v="Private Retailer"/>
    <s v="9874303577"/>
    <n v="0.5"/>
    <n v="34"/>
    <x v="3"/>
    <m/>
    <s v="2026-03-17"/>
    <s v="281522"/>
    <s v="N.C. Das and Co."/>
    <s v="6297603863"/>
  </r>
  <r>
    <s v="RCF Trombay"/>
    <s v="N.C.Urea(45kg)"/>
    <s v="WB"/>
    <x v="0"/>
    <s v="Amdanga"/>
    <s v="User Not Mapped"/>
    <s v="User Not Mapped"/>
    <s v="User Not Mapped"/>
    <n v="189408"/>
    <s v="M/S Janokalyan Fertilizers"/>
    <s v="Private Retailer"/>
    <s v="9874303577"/>
    <n v="1.7549999999999999"/>
    <n v="65"/>
    <x v="6"/>
    <m/>
    <s v="2026-02-14"/>
    <s v="281522"/>
    <s v="N.C. Das and Co."/>
    <s v="6297603863"/>
  </r>
  <r>
    <s v="RCF Trombay"/>
    <s v="15-15-15"/>
    <s v="WB"/>
    <x v="0"/>
    <s v="Amdanga"/>
    <s v="User Not Mapped"/>
    <s v="User Not Mapped"/>
    <s v="User Not Mapped"/>
    <n v="189408"/>
    <s v="M/S Janokalyan Fertilizers"/>
    <s v="Private Retailer"/>
    <s v="9874303577"/>
    <n v="0.6"/>
    <n v="65"/>
    <x v="6"/>
    <m/>
    <s v="2026-02-14"/>
    <s v="281522"/>
    <s v="N.C. Das and Co."/>
    <s v="6297603863"/>
  </r>
  <r>
    <s v="RCF Trombay"/>
    <s v="N.C.Urea(45kg)"/>
    <s v="WB"/>
    <x v="0"/>
    <s v="Amdanga"/>
    <s v="User Not Mapped"/>
    <s v="User Not Mapped"/>
    <s v="User Not Mapped"/>
    <n v="1194704"/>
    <s v="M/S KARUNAMAYEE KRISHI BHANDER"/>
    <s v="Private Retailer"/>
    <s v="7797439429"/>
    <n v="8.5050000000000008"/>
    <n v="88"/>
    <x v="6"/>
    <m/>
    <s v="2026-01-22"/>
    <s v="281522"/>
    <s v="N.C. Das and Co."/>
    <s v="6297603863"/>
  </r>
  <r>
    <s v="RCF Import"/>
    <s v="MOP"/>
    <s v="WB"/>
    <x v="0"/>
    <s v="Minakhan"/>
    <s v="User Not Mapped"/>
    <s v="User Not Mapped"/>
    <s v="User Not Mapped"/>
    <n v="994360"/>
    <s v="M/S MAA KRISHI BHANDAR"/>
    <s v="Private Retailer"/>
    <s v="8670748829"/>
    <n v="7.45"/>
    <n v="51"/>
    <x v="3"/>
    <m/>
    <s v="2026-02-28"/>
    <s v="281522"/>
    <s v="N.C. Das and Co."/>
    <s v="6297603863"/>
  </r>
  <r>
    <s v="RCF Thal"/>
    <s v="N.C.Urea(45kg)"/>
    <s v="WB"/>
    <x v="0"/>
    <s v="Minakhan"/>
    <s v="User Not Mapped"/>
    <s v="User Not Mapped"/>
    <s v="User Not Mapped"/>
    <n v="994360"/>
    <s v="M/S MAA KRISHI BHANDAR"/>
    <s v="Private Retailer"/>
    <s v="8670748829"/>
    <n v="11.925000000000001"/>
    <n v="60"/>
    <x v="3"/>
    <m/>
    <s v="2026-02-19"/>
    <s v="281522"/>
    <s v="N.C. Das and Co."/>
    <s v="6297603863"/>
  </r>
  <r>
    <s v="RCF Thal"/>
    <s v="N.C.Urea(45kg)"/>
    <s v="WB"/>
    <x v="0"/>
    <s v="Baduria"/>
    <s v="User Not Mapped"/>
    <s v="User Not Mapped"/>
    <s v="User Not Mapped"/>
    <n v="226979"/>
    <s v="M/S Md. Abdur Rasid"/>
    <s v="Private Retailer"/>
    <s v="9732591399"/>
    <n v="3.33"/>
    <n v="13"/>
    <x v="5"/>
    <m/>
    <s v="2026-04-07"/>
    <s v="281522"/>
    <s v="N.C. Das and Co."/>
    <s v="6297603863"/>
  </r>
  <r>
    <s v="RCF Import"/>
    <s v="Imp 10-26-26"/>
    <s v="WB"/>
    <x v="0"/>
    <s v="Habra - II"/>
    <s v="User Not Mapped"/>
    <s v="User Not Mapped"/>
    <s v="User Not Mapped"/>
    <n v="531469"/>
    <s v="M/S Najirul Krishi Bhander"/>
    <s v="Private Retailer"/>
    <s v="9564367266"/>
    <n v="3"/>
    <n v="44"/>
    <x v="3"/>
    <m/>
    <s v="2026-03-07"/>
    <s v="281522"/>
    <s v="N.C. Das and Co."/>
    <s v="6297603863"/>
  </r>
  <r>
    <s v="RCF Trombay"/>
    <s v="N.C.Urea(45kg)"/>
    <s v="WB"/>
    <x v="0"/>
    <s v="Amdanga"/>
    <s v="User Not Mapped"/>
    <s v="User Not Mapped"/>
    <s v="User Not Mapped"/>
    <n v="487189"/>
    <s v="M/S Sabir Fertilizer"/>
    <s v="Private Retailer"/>
    <s v="9836939368"/>
    <n v="2.88"/>
    <n v="65"/>
    <x v="6"/>
    <m/>
    <s v="2026-02-14"/>
    <s v="281522"/>
    <s v="N.C. Das and Co."/>
    <s v="6297603863"/>
  </r>
  <r>
    <s v="RCF Import"/>
    <s v="MOP"/>
    <s v="WB"/>
    <x v="0"/>
    <s v="Sandeshkhali - I"/>
    <s v="User Not Mapped"/>
    <s v="User Not Mapped"/>
    <s v="User Not Mapped"/>
    <n v="227007"/>
    <s v="M/S Sundarban Krishi Bipani"/>
    <s v="Private Retailer"/>
    <s v="9002391465"/>
    <n v="10.65"/>
    <n v="56"/>
    <x v="3"/>
    <m/>
    <s v="2026-02-23"/>
    <s v="281522"/>
    <s v="N.C. Das and Co."/>
    <s v="6297603863"/>
  </r>
  <r>
    <s v="RCF Thal"/>
    <s v="N.C.Urea(45kg)"/>
    <s v="WB"/>
    <x v="0"/>
    <s v="Sandeshkhali - I"/>
    <s v="User Not Mapped"/>
    <s v="User Not Mapped"/>
    <s v="User Not Mapped"/>
    <n v="227007"/>
    <s v="M/S Sundarban Krishi Bipani"/>
    <s v="Private Retailer"/>
    <s v="9002391465"/>
    <n v="21.96"/>
    <n v="39"/>
    <x v="3"/>
    <m/>
    <s v="2026-03-12"/>
    <s v="281522"/>
    <s v="N.C. Das and Co."/>
    <s v="6297603863"/>
  </r>
  <r>
    <s v="RCF Thal"/>
    <s v="N.C.Urea(45kg)"/>
    <s v="WB"/>
    <x v="0"/>
    <s v="Sandeshkhali - I"/>
    <s v="User Not Mapped"/>
    <s v="User Not Mapped"/>
    <s v="User Not Mapped"/>
    <n v="227007"/>
    <s v="M/S Sundarban Krishi Bipani"/>
    <s v="Private Retailer"/>
    <s v="9002391465"/>
    <n v="10.17"/>
    <n v="67"/>
    <x v="6"/>
    <m/>
    <s v="2026-02-12"/>
    <s v="281522"/>
    <s v="N.C. Das and Co."/>
    <s v="6297603863"/>
  </r>
  <r>
    <s v="RCF Thal"/>
    <s v="N.C.Urea(45kg)"/>
    <s v="WB"/>
    <x v="0"/>
    <s v="Haroa"/>
    <s v="User Not Mapped"/>
    <s v="User Not Mapped"/>
    <s v="User Not Mapped"/>
    <n v="382413"/>
    <s v="M/S Tapan Biswas"/>
    <s v="Private Retailer"/>
    <s v="9733557901"/>
    <n v="5.76"/>
    <n v="35"/>
    <x v="3"/>
    <m/>
    <s v="2026-03-16"/>
    <s v="281522"/>
    <s v="N.C. Das and Co."/>
    <s v="6297603863"/>
  </r>
  <r>
    <s v="RCF Trombay"/>
    <s v="N.C.Urea(45kg)"/>
    <s v="WB"/>
    <x v="0"/>
    <s v="Amdanga"/>
    <s v="User Not Mapped"/>
    <s v="User Not Mapped"/>
    <s v="User Not Mapped"/>
    <n v="189386"/>
    <s v="M/S. Chasi Ghar"/>
    <s v="Private Retailer"/>
    <s v="9593077664"/>
    <n v="6.3"/>
    <n v="88"/>
    <x v="6"/>
    <m/>
    <s v="2026-01-22"/>
    <s v="281522"/>
    <s v="N.C. Das and Co."/>
    <s v="6297603863"/>
  </r>
  <r>
    <s v="RCF Thal"/>
    <s v="N.C.Urea(45kg)"/>
    <s v="WB"/>
    <x v="0"/>
    <s v="Amdanga"/>
    <s v="User Not Mapped"/>
    <s v="User Not Mapped"/>
    <s v="User Not Mapped"/>
    <n v="189386"/>
    <s v="M/S. Chasi Ghar"/>
    <s v="Private Retailer"/>
    <s v="9593077664"/>
    <n v="0.72"/>
    <n v="231"/>
    <x v="1"/>
    <m/>
    <s v="2025-09-01"/>
    <s v="281522"/>
    <s v="N.C. Das and Co."/>
    <s v="6297603863"/>
  </r>
  <r>
    <s v="RCF Trombay"/>
    <s v="15-15-15"/>
    <s v="WB"/>
    <x v="0"/>
    <s v="Amdanga"/>
    <s v="User Not Mapped"/>
    <s v="User Not Mapped"/>
    <s v="User Not Mapped"/>
    <n v="355236"/>
    <s v="Maa Lakshmi Fertiliser"/>
    <s v="Private Retailer"/>
    <s v="8017911325"/>
    <n v="11.5"/>
    <n v="65"/>
    <x v="6"/>
    <m/>
    <s v="2026-02-14"/>
    <s v="281522"/>
    <s v="N.C. Das and Co."/>
    <s v="6297603863"/>
  </r>
  <r>
    <s v="RCF Trombay"/>
    <s v="N.C.Urea(45kg)"/>
    <s v="WB"/>
    <x v="0"/>
    <s v="Amdanga"/>
    <s v="User Not Mapped"/>
    <s v="User Not Mapped"/>
    <s v="User Not Mapped"/>
    <n v="226807"/>
    <s v="Maity Krishi Bhandar"/>
    <s v="Private Retailer"/>
    <s v="8017609570"/>
    <n v="0.495"/>
    <n v="65"/>
    <x v="6"/>
    <m/>
    <s v="2026-02-14"/>
    <s v="281522"/>
    <s v="N.C. Das and Co."/>
    <s v="6297603863"/>
  </r>
  <r>
    <s v="RCF Trombay"/>
    <s v="15-15-15"/>
    <s v="WB"/>
    <x v="0"/>
    <s v="Amdanga"/>
    <s v="User Not Mapped"/>
    <s v="User Not Mapped"/>
    <s v="User Not Mapped"/>
    <n v="226807"/>
    <s v="Maity Krishi Bhandar"/>
    <s v="Private Retailer"/>
    <s v="8017609570"/>
    <n v="0.05"/>
    <n v="65"/>
    <x v="6"/>
    <m/>
    <s v="2026-02-14"/>
    <s v="281522"/>
    <s v="N.C. Das and Co."/>
    <s v="6297603863"/>
  </r>
  <r>
    <s v="RCF Trombay"/>
    <s v="N.C.Urea(45kg)"/>
    <s v="WB"/>
    <x v="0"/>
    <s v="Barasat - I"/>
    <s v="User Not Mapped"/>
    <s v="User Not Mapped"/>
    <s v="User Not Mapped"/>
    <n v="616443"/>
    <s v="MAMTAZ FERTILIZER"/>
    <s v="Private Retailer"/>
    <s v="8296300806"/>
    <n v="1.89"/>
    <n v="210"/>
    <x v="1"/>
    <m/>
    <s v="2025-09-22"/>
    <s v="281522"/>
    <s v="N.C. Das and Co."/>
    <s v="6297603863"/>
  </r>
  <r>
    <s v="RCF Trombay"/>
    <s v="15-15-15"/>
    <s v="WB"/>
    <x v="0"/>
    <s v="Barasat - I"/>
    <s v="User Not Mapped"/>
    <s v="User Not Mapped"/>
    <s v="User Not Mapped"/>
    <n v="616443"/>
    <s v="MAMTAZ FERTILIZER"/>
    <s v="Private Retailer"/>
    <s v="8296300806"/>
    <n v="0.91500000000000004"/>
    <n v="210"/>
    <x v="1"/>
    <m/>
    <s v="2025-09-22"/>
    <s v="281522"/>
    <s v="N.C. Das and Co."/>
    <s v="6297603863"/>
  </r>
  <r>
    <s v="RCF Trombay"/>
    <s v="N.C.Urea(45kg)"/>
    <s v="WB"/>
    <x v="0"/>
    <s v="Habra - II"/>
    <s v="User Not Mapped"/>
    <s v="User Not Mapped"/>
    <s v="User Not Mapped"/>
    <n v="355346"/>
    <s v="Master Krishi Bhander"/>
    <s v="Private Retailer"/>
    <s v="9476222355"/>
    <n v="5.49"/>
    <n v="61"/>
    <x v="6"/>
    <m/>
    <s v="2026-02-18"/>
    <s v="281522"/>
    <s v="N.C. Das and Co."/>
    <s v="6297603863"/>
  </r>
  <r>
    <s v="RCF Trombay"/>
    <s v="15-15-15"/>
    <s v="WB"/>
    <x v="0"/>
    <s v="Swarupnagar"/>
    <s v="User Not Mapped"/>
    <s v="User Not Mapped"/>
    <s v="User Not Mapped"/>
    <n v="331479"/>
    <s v="Md Bhadra Ali Mondal"/>
    <s v="Private Retailer"/>
    <s v="9733946263"/>
    <n v="0.75"/>
    <n v="84"/>
    <x v="6"/>
    <m/>
    <s v="2026-01-26"/>
    <s v="281522"/>
    <s v="N.C. Das and Co."/>
    <s v="6297603863"/>
  </r>
  <r>
    <s v="RCF Trombay"/>
    <s v="15-15-15"/>
    <s v="WB"/>
    <x v="0"/>
    <s v="Basirhat - II"/>
    <s v="User Not Mapped"/>
    <s v="User Not Mapped"/>
    <s v="User Not Mapped"/>
    <n v="331486"/>
    <s v="Md Jiarul Haque Baidya"/>
    <s v="Private Retailer"/>
    <s v="6294339460"/>
    <n v="6.8"/>
    <n v="91"/>
    <x v="7"/>
    <m/>
    <s v="2026-01-19"/>
    <s v="281522"/>
    <s v="N.C. Das and Co."/>
    <s v="6297603863"/>
  </r>
  <r>
    <s v="RCF Thal"/>
    <s v="N.C.Urea(45kg)"/>
    <s v="WB"/>
    <x v="0"/>
    <s v="Basirhat - II"/>
    <s v="User Not Mapped"/>
    <s v="User Not Mapped"/>
    <s v="User Not Mapped"/>
    <n v="331486"/>
    <s v="Md Jiarul Haque Baidya"/>
    <s v="Private Retailer"/>
    <s v="6294339460"/>
    <n v="12.51"/>
    <n v="91"/>
    <x v="7"/>
    <m/>
    <s v="2026-01-19"/>
    <s v="281522"/>
    <s v="N.C. Das and Co."/>
    <s v="6297603863"/>
  </r>
  <r>
    <s v="RCF Thal"/>
    <s v="N.C.Urea(45kg)"/>
    <s v="WB"/>
    <x v="0"/>
    <s v="Basirhat - II"/>
    <s v="User Not Mapped"/>
    <s v="User Not Mapped"/>
    <s v="User Not Mapped"/>
    <n v="620506"/>
    <s v="MD. ANARUL"/>
    <s v="Private Retailer"/>
    <s v="8927515921"/>
    <n v="10.98"/>
    <n v="32"/>
    <x v="3"/>
    <m/>
    <s v="2026-03-19"/>
    <s v="281522"/>
    <s v="N.C. Das and Co."/>
    <s v="6297603863"/>
  </r>
  <r>
    <s v="RCF Trombay"/>
    <s v="15-15-15"/>
    <s v="WB"/>
    <x v="0"/>
    <s v="Basirhat - II"/>
    <s v="User Not Mapped"/>
    <s v="User Not Mapped"/>
    <s v="User Not Mapped"/>
    <n v="620506"/>
    <s v="MD. ANARUL"/>
    <s v="Private Retailer"/>
    <s v="8927515921"/>
    <n v="4.05"/>
    <n v="61"/>
    <x v="6"/>
    <m/>
    <s v="2026-02-18"/>
    <s v="281522"/>
    <s v="N.C. Das and Co."/>
    <s v="6297603863"/>
  </r>
  <r>
    <s v="RCF Thal"/>
    <s v="N.C.Urea(45kg)"/>
    <s v="WB"/>
    <x v="0"/>
    <s v="Basirhat - II"/>
    <s v="User Not Mapped"/>
    <s v="User Not Mapped"/>
    <s v="User Not Mapped"/>
    <n v="620506"/>
    <s v="MD. ANARUL"/>
    <s v="Private Retailer"/>
    <s v="8927515921"/>
    <n v="5.04"/>
    <n v="61"/>
    <x v="6"/>
    <m/>
    <s v="2026-02-18"/>
    <s v="281522"/>
    <s v="N.C. Das and Co."/>
    <s v="6297603863"/>
  </r>
  <r>
    <s v="RCF Trombay"/>
    <s v="N.C.Urea(45kg)"/>
    <s v="WB"/>
    <x v="0"/>
    <s v="Baduria"/>
    <s v="User Not Mapped"/>
    <s v="User Not Mapped"/>
    <s v="User Not Mapped"/>
    <n v="226871"/>
    <s v="Md. Nazrul Islam"/>
    <s v="Private Retailer"/>
    <s v="8001993655"/>
    <n v="2.74"/>
    <n v="1245"/>
    <x v="2"/>
    <m/>
    <s v="2022-11-22"/>
    <s v="281522"/>
    <s v="N.C. Das and Co."/>
    <s v="6297603863"/>
  </r>
  <r>
    <s v="RCF Import"/>
    <s v="Imp 10-26-26"/>
    <s v="WB"/>
    <x v="0"/>
    <s v="Haroa"/>
    <s v="User Not Mapped"/>
    <s v="User Not Mapped"/>
    <s v="User Not Mapped"/>
    <n v="189358"/>
    <s v="Md. Rafiqul Islam"/>
    <s v="Private Retailer"/>
    <s v="9144375854"/>
    <n v="3.5"/>
    <n v="31"/>
    <x v="3"/>
    <m/>
    <s v="2026-03-20"/>
    <s v="281522"/>
    <s v="N.C. Das and Co."/>
    <s v="6297603863"/>
  </r>
  <r>
    <s v="RCF Thal"/>
    <s v="N.C.Urea(45kg)"/>
    <s v="WB"/>
    <x v="0"/>
    <s v="Deganga"/>
    <s v="User Not Mapped"/>
    <s v="User Not Mapped"/>
    <s v="User Not Mapped"/>
    <n v="226836"/>
    <s v="Md.Abdul Ohab"/>
    <s v="Private Retailer"/>
    <s v="9732820969"/>
    <n v="6.21"/>
    <n v="138"/>
    <x v="4"/>
    <m/>
    <s v="2025-12-03"/>
    <s v="281522"/>
    <s v="N.C. Das and Co."/>
    <s v="6297603863"/>
  </r>
  <r>
    <s v="RCF Trombay"/>
    <s v="15-15-15"/>
    <s v="WB"/>
    <x v="0"/>
    <s v="Swarupnagar"/>
    <s v="User Not Mapped"/>
    <s v="User Not Mapped"/>
    <s v="User Not Mapped"/>
    <n v="1030072"/>
    <s v="MOGLESUR RAHAMAN MOLLA"/>
    <s v="Private Retailer"/>
    <s v="8509070605"/>
    <n v="5"/>
    <n v="84"/>
    <x v="6"/>
    <m/>
    <s v="2026-01-26"/>
    <s v="281522"/>
    <s v="N.C. Das and Co."/>
    <s v="6297603863"/>
  </r>
  <r>
    <s v="RCF Trombay"/>
    <s v="N.C.Urea(45kg)"/>
    <s v="WB"/>
    <x v="0"/>
    <s v="Gaighata"/>
    <s v="User Not Mapped"/>
    <s v="User Not Mapped"/>
    <s v="User Not Mapped"/>
    <n v="411209"/>
    <s v="Molay Saha"/>
    <s v="Private Retailer"/>
    <s v="9933832688"/>
    <n v="3.04"/>
    <n v="818"/>
    <x v="2"/>
    <m/>
    <s v="2024-01-23"/>
    <s v="281522"/>
    <s v="N.C. Das and Co."/>
    <s v="6297603863"/>
  </r>
  <r>
    <s v="RCF Trombay"/>
    <s v="15-15-15"/>
    <s v="WB"/>
    <x v="0"/>
    <s v="Swarupnagar"/>
    <s v="User Not Mapped"/>
    <s v="User Not Mapped"/>
    <s v="User Not Mapped"/>
    <n v="1546080"/>
    <s v="MONDAL KRISHI BIPONI"/>
    <s v="Private Retailer"/>
    <s v="8617377838"/>
    <n v="1.1000000000000001"/>
    <n v="91"/>
    <x v="7"/>
    <m/>
    <s v="2026-01-19"/>
    <s v="281522"/>
    <s v="N.C. Das and Co."/>
    <s v="6297603863"/>
  </r>
  <r>
    <s v="RCF Thal"/>
    <s v="N.C.Urea(45kg)"/>
    <s v="WB"/>
    <x v="0"/>
    <s v="Swarupnagar"/>
    <s v="User Not Mapped"/>
    <s v="User Not Mapped"/>
    <s v="User Not Mapped"/>
    <n v="1546080"/>
    <s v="MONDAL KRISHI BIPONI"/>
    <s v="Private Retailer"/>
    <s v="8617377838"/>
    <n v="4.5"/>
    <n v="91"/>
    <x v="7"/>
    <m/>
    <s v="2026-01-19"/>
    <s v="281522"/>
    <s v="N.C. Das and Co."/>
    <s v="6297603863"/>
  </r>
  <r>
    <s v="RCF Trombay"/>
    <s v="N.C.Urea(45kg)"/>
    <s v="WB"/>
    <x v="0"/>
    <s v="Barasat - II"/>
    <s v="User Not Mapped"/>
    <s v="User Not Mapped"/>
    <s v="User Not Mapped"/>
    <n v="226913"/>
    <s v="Monjur Kadir"/>
    <s v="Private Retailer"/>
    <s v="9735763974"/>
    <n v="0.04"/>
    <n v="873"/>
    <x v="2"/>
    <m/>
    <s v="2023-11-29"/>
    <s v="281522"/>
    <s v="N.C. Das and Co."/>
    <s v="6297603863"/>
  </r>
  <r>
    <s v="RCF Trombay"/>
    <s v="15-15-15"/>
    <s v="WB"/>
    <x v="0"/>
    <s v="Baduria"/>
    <s v="User Not Mapped"/>
    <s v="User Not Mapped"/>
    <s v="User Not Mapped"/>
    <n v="226918"/>
    <s v="Moulik Krishi Bhandar"/>
    <s v="Private Retailer"/>
    <s v="6294662140"/>
    <n v="1.3"/>
    <n v="61"/>
    <x v="6"/>
    <m/>
    <s v="2026-02-18"/>
    <s v="281522"/>
    <s v="N.C. Das and Co."/>
    <s v="6297603863"/>
  </r>
  <r>
    <s v="RCF Trombay"/>
    <s v="15-15-15"/>
    <s v="WB"/>
    <x v="0"/>
    <s v="Bongaon"/>
    <s v="User Not Mapped"/>
    <s v="User Not Mapped"/>
    <s v="User Not Mapped"/>
    <n v="479320"/>
    <s v="Mukesh Fertilizer"/>
    <s v="Private Retailer"/>
    <s v="8609321615"/>
    <n v="2.5"/>
    <n v="76"/>
    <x v="6"/>
    <m/>
    <s v="2026-02-03"/>
    <s v="281522"/>
    <s v="N.C. Das and Co."/>
    <s v="6297603863"/>
  </r>
  <r>
    <s v="RCF Trombay"/>
    <s v="15-15-15"/>
    <s v="WB"/>
    <x v="0"/>
    <s v="Baduria"/>
    <s v="User Not Mapped"/>
    <s v="User Not Mapped"/>
    <s v="User Not Mapped"/>
    <n v="227028"/>
    <s v="Naskar Krishi Bhandar"/>
    <s v="Private Retailer"/>
    <s v="9775363657"/>
    <n v="2.15"/>
    <n v="84"/>
    <x v="6"/>
    <m/>
    <s v="2026-01-26"/>
    <s v="281522"/>
    <s v="N.C. Das and Co."/>
    <s v="6297603863"/>
  </r>
  <r>
    <s v="RCF Import"/>
    <s v="Imp 10-26-26"/>
    <s v="WB"/>
    <x v="0"/>
    <s v="Deganga"/>
    <s v="User Not Mapped"/>
    <s v="User Not Mapped"/>
    <s v="User Not Mapped"/>
    <n v="777465"/>
    <s v="NEW GHOSH FERTILIZER"/>
    <s v="Private Retailer"/>
    <s v="6296541498"/>
    <n v="10"/>
    <n v="6"/>
    <x v="5"/>
    <m/>
    <s v="2026-04-14"/>
    <s v="281522"/>
    <s v="N.C. Das and Co."/>
    <s v="6297603863"/>
  </r>
  <r>
    <s v="RCF Thal"/>
    <s v="N.C.Urea(45kg)"/>
    <s v="WB"/>
    <x v="0"/>
    <s v="Deganga"/>
    <s v="User Not Mapped"/>
    <s v="User Not Mapped"/>
    <s v="User Not Mapped"/>
    <n v="777465"/>
    <s v="NEW GHOSH FERTILIZER"/>
    <s v="Private Retailer"/>
    <s v="6296541498"/>
    <n v="21.39"/>
    <n v="11"/>
    <x v="5"/>
    <m/>
    <s v="2026-04-09"/>
    <s v="281522"/>
    <s v="N.C. Das and Co."/>
    <s v="6297603863"/>
  </r>
  <r>
    <s v="RCF Trombay"/>
    <s v="15-15-15"/>
    <s v="WB"/>
    <x v="0"/>
    <s v="Bagda"/>
    <s v="User Not Mapped"/>
    <s v="User Not Mapped"/>
    <s v="User Not Mapped"/>
    <n v="600937"/>
    <s v="Niranjan Kumar Mondal"/>
    <s v="Private Retailer"/>
    <s v="9635696715"/>
    <n v="0.95"/>
    <n v="387"/>
    <x v="0"/>
    <m/>
    <s v="2025-03-29"/>
    <s v="281522"/>
    <s v="N.C. Das and Co."/>
    <s v="6297603863"/>
  </r>
  <r>
    <s v="RCF Trombay"/>
    <s v="15-15-15"/>
    <s v="WB"/>
    <x v="0"/>
    <s v="Gaighata"/>
    <s v="User Not Mapped"/>
    <s v="User Not Mapped"/>
    <s v="User Not Mapped"/>
    <n v="411453"/>
    <s v="Nishikar Das"/>
    <s v="Private Retailer"/>
    <s v="9647238087"/>
    <n v="0.59499999999999997"/>
    <n v="282"/>
    <x v="1"/>
    <m/>
    <s v="2025-07-12"/>
    <s v="281522"/>
    <s v="N.C. Das and Co."/>
    <s v="6297603863"/>
  </r>
  <r>
    <s v="RCF Import"/>
    <s v="MOP"/>
    <s v="WB"/>
    <x v="0"/>
    <s v="Bongaon"/>
    <s v="User Not Mapped"/>
    <s v="User Not Mapped"/>
    <s v="User Not Mapped"/>
    <n v="602285"/>
    <s v="PAUL FERTILISER"/>
    <s v="Private Retailer"/>
    <s v="8001602759"/>
    <n v="2.5"/>
    <n v="52"/>
    <x v="3"/>
    <m/>
    <s v="2026-02-27"/>
    <s v="281522"/>
    <s v="N.C. Das and Co."/>
    <s v="6297603863"/>
  </r>
  <r>
    <s v="RCF Trombay"/>
    <s v="15-15-15"/>
    <s v="WB"/>
    <x v="0"/>
    <s v="Amdanga"/>
    <s v="User Not Mapped"/>
    <s v="User Not Mapped"/>
    <s v="User Not Mapped"/>
    <n v="730803"/>
    <s v="PROSUN BHANGAR FERTILIZER"/>
    <s v="Private Retailer"/>
    <s v="9088621179"/>
    <n v="1"/>
    <n v="65"/>
    <x v="6"/>
    <m/>
    <s v="2026-02-14"/>
    <s v="281522"/>
    <s v="N.C. Das and Co."/>
    <s v="6297603863"/>
  </r>
  <r>
    <s v="RCF Trombay"/>
    <s v="N.C.Urea(45kg)"/>
    <s v="WB"/>
    <x v="0"/>
    <s v="Bongaon"/>
    <s v="User Not Mapped"/>
    <s v="User Not Mapped"/>
    <s v="User Not Mapped"/>
    <n v="1490379"/>
    <s v="RABIOL MANDAL"/>
    <s v="Private Retailer"/>
    <s v="9732451033"/>
    <n v="0.85499999999999998"/>
    <n v="132"/>
    <x v="4"/>
    <m/>
    <s v="2025-12-09"/>
    <s v="281522"/>
    <s v="N.C. Das and Co."/>
    <s v="6297603863"/>
  </r>
  <r>
    <s v="RCF Trombay"/>
    <s v="N.C.Urea(45kg)"/>
    <s v="WB"/>
    <x v="0"/>
    <s v="Swarupnagar"/>
    <s v="User Not Mapped"/>
    <s v="User Not Mapped"/>
    <s v="User Not Mapped"/>
    <n v="331849"/>
    <s v="Rabiul Sardar"/>
    <s v="Private Retailer"/>
    <s v="8768669811"/>
    <n v="0.09"/>
    <n v="1173"/>
    <x v="2"/>
    <m/>
    <s v="2023-02-02"/>
    <s v="281522"/>
    <s v="N.C. Das and Co."/>
    <s v="6297603863"/>
  </r>
  <r>
    <s v="RCF Trombay"/>
    <s v="N.C.Urea(45kg)"/>
    <s v="WB"/>
    <x v="0"/>
    <s v="Amdanga"/>
    <s v="User Not Mapped"/>
    <s v="User Not Mapped"/>
    <s v="User Not Mapped"/>
    <n v="382828"/>
    <s v="Rahman Krishi Bhandar"/>
    <s v="Private Retailer"/>
    <s v="9239211954"/>
    <n v="0.09"/>
    <n v="210"/>
    <x v="1"/>
    <m/>
    <s v="2025-09-22"/>
    <s v="281522"/>
    <s v="N.C. Das and Co."/>
    <s v="6297603863"/>
  </r>
  <r>
    <s v="RCF Thal"/>
    <s v="N.C.Urea(45kg)"/>
    <s v="WB"/>
    <x v="0"/>
    <s v="Amdanga"/>
    <s v="User Not Mapped"/>
    <s v="User Not Mapped"/>
    <s v="User Not Mapped"/>
    <n v="382828"/>
    <s v="Rahman Krishi Bhandar"/>
    <s v="Private Retailer"/>
    <s v="9239211954"/>
    <n v="0.94499999999999995"/>
    <n v="138"/>
    <x v="4"/>
    <m/>
    <s v="2025-12-03"/>
    <s v="281522"/>
    <s v="N.C. Das and Co."/>
    <s v="6297603863"/>
  </r>
  <r>
    <s v="RCF Trombay"/>
    <s v="15-15-15"/>
    <s v="WB"/>
    <x v="0"/>
    <s v="Gaighata"/>
    <s v="User Not Mapped"/>
    <s v="User Not Mapped"/>
    <s v="User Not Mapped"/>
    <n v="910298"/>
    <s v="RAJAPUR PASCHIMPARA SKUS LTD"/>
    <s v="PACS"/>
    <s v="8609480555"/>
    <n v="2.4500000000000002"/>
    <n v="84"/>
    <x v="6"/>
    <m/>
    <s v="2026-01-26"/>
    <s v="281522"/>
    <s v="N.C. Das and Co."/>
    <s v="6297603863"/>
  </r>
  <r>
    <s v="RCF Thal"/>
    <s v="N.C.Urea(45kg)"/>
    <s v="WB"/>
    <x v="0"/>
    <s v="Bongaon"/>
    <s v="User Not Mapped"/>
    <s v="User Not Mapped"/>
    <s v="User Not Mapped"/>
    <n v="457310"/>
    <s v="Ranjit Biswas"/>
    <s v="Private Retailer"/>
    <s v="9679194241"/>
    <n v="9.99"/>
    <n v="192"/>
    <x v="1"/>
    <m/>
    <s v="2025-10-10"/>
    <s v="281522"/>
    <s v="N.C. Das and Co."/>
    <s v="6297603863"/>
  </r>
  <r>
    <s v="RCF Trombay"/>
    <s v="N.C.Urea(45kg)"/>
    <s v="WB"/>
    <x v="0"/>
    <s v="Bagda"/>
    <s v="User Not Mapped"/>
    <s v="User Not Mapped"/>
    <s v="User Not Mapped"/>
    <n v="491329"/>
    <s v="Rejaul Mondal"/>
    <s v="Private Retailer"/>
    <s v="9932728622"/>
    <n v="4.9950000000000001"/>
    <n v="52"/>
    <x v="3"/>
    <m/>
    <s v="2026-02-27"/>
    <s v="281522"/>
    <s v="N.C. Das and Co."/>
    <s v="6297603863"/>
  </r>
  <r>
    <s v="RCF Thal"/>
    <s v="N.C.Urea(45kg)"/>
    <s v="WB"/>
    <x v="0"/>
    <s v="Bagda"/>
    <s v="User Not Mapped"/>
    <s v="User Not Mapped"/>
    <s v="User Not Mapped"/>
    <n v="1388234"/>
    <s v="ROY KRISHI BHANDER"/>
    <s v="Private Retailer"/>
    <s v="8926471945"/>
    <n v="9"/>
    <n v="12"/>
    <x v="5"/>
    <m/>
    <s v="2026-04-08"/>
    <s v="281522"/>
    <s v="N.C. Das and Co."/>
    <s v="6297603863"/>
  </r>
  <r>
    <s v="RCF Trombay"/>
    <s v="15-15-15"/>
    <s v="WB"/>
    <x v="0"/>
    <s v="Amdanga"/>
    <s v="User Not Mapped"/>
    <s v="User Not Mapped"/>
    <s v="User Not Mapped"/>
    <n v="768090"/>
    <s v="S.K. ENTERPRISE"/>
    <s v="Private Retailer"/>
    <s v="8336830285"/>
    <n v="11"/>
    <n v="65"/>
    <x v="6"/>
    <m/>
    <s v="2026-02-14"/>
    <s v="281522"/>
    <s v="N.C. Das and Co."/>
    <s v="6297603863"/>
  </r>
  <r>
    <s v="RCF Trombay"/>
    <s v="15-15-15"/>
    <s v="WB"/>
    <x v="0"/>
    <s v="Amdanga"/>
    <s v="User Not Mapped"/>
    <s v="User Not Mapped"/>
    <s v="User Not Mapped"/>
    <n v="768090"/>
    <s v="S.K. ENTERPRISE"/>
    <s v="Private Retailer"/>
    <s v="8336830285"/>
    <n v="0.95"/>
    <n v="88"/>
    <x v="6"/>
    <m/>
    <s v="2026-01-22"/>
    <s v="281522"/>
    <s v="N.C. Das and Co."/>
    <s v="6297603863"/>
  </r>
  <r>
    <s v="RCF Thal"/>
    <s v="N.C.Urea(45kg)"/>
    <s v="WB"/>
    <x v="0"/>
    <m/>
    <s v="User Not Mapped"/>
    <s v="User Not Mapped"/>
    <s v="User Not Mapped"/>
    <n v="1286794"/>
    <s v="SABEDA FERTILIZER"/>
    <s v="Private Retailer"/>
    <s v="9732829612"/>
    <n v="4.5"/>
    <n v="1468"/>
    <x v="2"/>
    <m/>
    <s v="2022-04-13"/>
    <s v="281522"/>
    <s v="N.C. Das and Co."/>
    <s v="6297603863"/>
  </r>
  <r>
    <s v="RCF Thal"/>
    <s v="N.C.Urea(45kg)"/>
    <s v="WB"/>
    <x v="0"/>
    <s v="Gaighata"/>
    <s v="User Not Mapped"/>
    <s v="User Not Mapped"/>
    <s v="User Not Mapped"/>
    <n v="457498"/>
    <s v="Sadhan Das"/>
    <s v="Private Retailer"/>
    <s v="8167325004"/>
    <n v="3.24"/>
    <n v="10"/>
    <x v="5"/>
    <m/>
    <s v="2026-04-10"/>
    <s v="281522"/>
    <s v="N.C. Das and Co."/>
    <s v="6297603863"/>
  </r>
  <r>
    <s v="RCF Trombay"/>
    <s v="15-15-15"/>
    <s v="WB"/>
    <x v="0"/>
    <s v="Amdanga"/>
    <s v="User Not Mapped"/>
    <s v="User Not Mapped"/>
    <s v="User Not Mapped"/>
    <n v="331891"/>
    <s v="Sahajee Fertilizers"/>
    <s v="Private Retailer"/>
    <s v="9903868114"/>
    <n v="2.5"/>
    <n v="65"/>
    <x v="6"/>
    <m/>
    <s v="2026-02-14"/>
    <s v="281522"/>
    <s v="N.C. Das and Co."/>
    <s v="6297603863"/>
  </r>
  <r>
    <s v="RCF Thal"/>
    <s v="N.C.Urea(45kg)"/>
    <s v="WB"/>
    <x v="0"/>
    <s v="Amdanga"/>
    <s v="User Not Mapped"/>
    <s v="User Not Mapped"/>
    <s v="User Not Mapped"/>
    <n v="331891"/>
    <s v="Sahajee Fertilizers"/>
    <s v="Private Retailer"/>
    <s v="9903868114"/>
    <n v="1.44"/>
    <n v="138"/>
    <x v="4"/>
    <m/>
    <s v="2025-12-03"/>
    <s v="281522"/>
    <s v="N.C. Das and Co."/>
    <s v="6297603863"/>
  </r>
  <r>
    <s v="RCF Trombay"/>
    <s v="15-15-15"/>
    <s v="WB"/>
    <x v="0"/>
    <s v="Bongaon"/>
    <s v="User Not Mapped"/>
    <s v="User Not Mapped"/>
    <s v="User Not Mapped"/>
    <n v="1489728"/>
    <s v="SALAM SAHEDA FERTILIZER"/>
    <s v="Private Retailer"/>
    <s v="9382632246"/>
    <n v="4.3499999999999996"/>
    <n v="76"/>
    <x v="6"/>
    <m/>
    <s v="2026-02-03"/>
    <s v="281522"/>
    <s v="N.C. Das and Co."/>
    <s v="6297603863"/>
  </r>
  <r>
    <s v="RCF Trombay"/>
    <s v="15-15-15"/>
    <s v="WB"/>
    <x v="0"/>
    <s v="Gaighata"/>
    <s v="User Not Mapped"/>
    <s v="User Not Mapped"/>
    <s v="User Not Mapped"/>
    <n v="514427"/>
    <s v="SAMADDER KRISHI BHANDER"/>
    <s v="Private Retailer"/>
    <s v="9563030863"/>
    <n v="0.85"/>
    <n v="378"/>
    <x v="0"/>
    <m/>
    <s v="2025-04-07"/>
    <s v="281522"/>
    <s v="N.C. Das and Co."/>
    <s v="6297603863"/>
  </r>
  <r>
    <s v="RCF Trombay"/>
    <s v="N.C.Urea(45kg)"/>
    <s v="WB"/>
    <x v="0"/>
    <s v="Bongaon"/>
    <s v="User Not Mapped"/>
    <s v="User Not Mapped"/>
    <s v="User Not Mapped"/>
    <n v="490663"/>
    <s v="Sanjoy Mitra and Pannalal Mitra"/>
    <s v="Private Retailer"/>
    <s v="9832286850"/>
    <n v="0.72"/>
    <n v="132"/>
    <x v="4"/>
    <m/>
    <s v="2025-12-09"/>
    <s v="281522"/>
    <s v="N.C. Das and Co."/>
    <s v="6297603863"/>
  </r>
  <r>
    <s v="RCF Thal"/>
    <s v="N.C.Urea(45kg)"/>
    <s v="WB"/>
    <x v="0"/>
    <s v="Bongaon"/>
    <s v="User Not Mapped"/>
    <s v="User Not Mapped"/>
    <s v="User Not Mapped"/>
    <n v="458460"/>
    <s v="Sariot Mondal"/>
    <s v="Private Retailer"/>
    <s v="9064320595"/>
    <n v="5.49"/>
    <n v="35"/>
    <x v="3"/>
    <m/>
    <s v="2026-03-16"/>
    <s v="281522"/>
    <s v="N.C. Das and Co."/>
    <s v="6297603863"/>
  </r>
  <r>
    <s v="RCF Trombay"/>
    <s v="15-15-15"/>
    <s v="WB"/>
    <x v="0"/>
    <s v="Baduria"/>
    <s v="User Not Mapped"/>
    <s v="User Not Mapped"/>
    <s v="User Not Mapped"/>
    <n v="227179"/>
    <s v="Sathi Nursery"/>
    <s v="Private Retailer"/>
    <s v="7364001598"/>
    <n v="2.5"/>
    <n v="109"/>
    <x v="7"/>
    <m/>
    <s v="2026-01-01"/>
    <s v="281522"/>
    <s v="N.C. Das and Co."/>
    <s v="6297603863"/>
  </r>
  <r>
    <s v="RCF Thal"/>
    <s v="N.C.Urea(45kg)"/>
    <s v="WB"/>
    <x v="0"/>
    <s v="Gaighata"/>
    <s v="User Not Mapped"/>
    <s v="User Not Mapped"/>
    <s v="User Not Mapped"/>
    <n v="457847"/>
    <s v="Shashanka Upadhyaya"/>
    <s v="Private Retailer"/>
    <s v="8016030025"/>
    <n v="2.835"/>
    <n v="10"/>
    <x v="5"/>
    <m/>
    <s v="2026-04-10"/>
    <s v="281522"/>
    <s v="N.C. Das and Co."/>
    <s v="6297603863"/>
  </r>
  <r>
    <s v="RCF Thal"/>
    <s v="N.C.Urea(45kg)"/>
    <s v="WB"/>
    <x v="0"/>
    <s v="Bagda"/>
    <s v="User Not Mapped"/>
    <s v="User Not Mapped"/>
    <s v="User Not Mapped"/>
    <n v="458113"/>
    <s v="Shiba Pada Sarkar"/>
    <s v="Private Retailer"/>
    <s v="8926463845"/>
    <n v="5.9850000000000003"/>
    <n v="12"/>
    <x v="5"/>
    <m/>
    <s v="2026-04-08"/>
    <s v="281522"/>
    <s v="N.C. Das and Co."/>
    <s v="6297603863"/>
  </r>
  <r>
    <s v="RCF Thal"/>
    <s v="N.C.Urea(45kg)"/>
    <s v="WB"/>
    <x v="0"/>
    <s v="Bongaon"/>
    <s v="User Not Mapped"/>
    <s v="User Not Mapped"/>
    <s v="User Not Mapped"/>
    <n v="517117"/>
    <s v="Shoag Mondal"/>
    <s v="Private Retailer"/>
    <s v="7908554269"/>
    <n v="5.04"/>
    <n v="195"/>
    <x v="1"/>
    <m/>
    <s v="2025-10-07"/>
    <s v="281522"/>
    <s v="N.C. Das and Co."/>
    <s v="6297603863"/>
  </r>
  <r>
    <s v="RCF Trombay"/>
    <s v="N.C.Urea(45kg)"/>
    <s v="WB"/>
    <x v="0"/>
    <s v="Minakhan"/>
    <s v="User Not Mapped"/>
    <s v="User Not Mapped"/>
    <s v="User Not Mapped"/>
    <n v="227235"/>
    <s v="Sundarban Krishi Bipani"/>
    <s v="Private Retailer"/>
    <s v="9732661925"/>
    <n v="2.61"/>
    <n v="499"/>
    <x v="0"/>
    <m/>
    <s v="2024-12-07"/>
    <s v="281522"/>
    <s v="N.C. Das and Co."/>
    <s v="6297603863"/>
  </r>
  <r>
    <s v="RCF Trombay"/>
    <s v="N.C.Urea(45kg)"/>
    <s v="WB"/>
    <x v="0"/>
    <s v="Bongaon"/>
    <s v="User Not Mapped"/>
    <s v="User Not Mapped"/>
    <s v="User Not Mapped"/>
    <n v="484500"/>
    <s v="Sushanta Aich"/>
    <s v="Private Retailer"/>
    <s v="9153397039"/>
    <n v="0.09"/>
    <n v="132"/>
    <x v="4"/>
    <m/>
    <s v="2025-12-09"/>
    <s v="281522"/>
    <s v="N.C. Das and Co."/>
    <s v="6297603863"/>
  </r>
  <r>
    <s v="RCF Trombay"/>
    <s v="15-15-15"/>
    <s v="WB"/>
    <x v="0"/>
    <s v="Deganga"/>
    <s v="User Not Mapped"/>
    <s v="User Not Mapped"/>
    <s v="User Not Mapped"/>
    <n v="227246"/>
    <s v="Swapan Kumar Sadhukhan"/>
    <s v="Private Retailer"/>
    <s v="9733536653"/>
    <n v="1.9"/>
    <n v="109"/>
    <x v="7"/>
    <m/>
    <s v="2026-01-01"/>
    <s v="281522"/>
    <s v="N.C. Das and Co."/>
    <s v="6297603863"/>
  </r>
  <r>
    <s v="RCF Thal"/>
    <s v="N.C.Urea(45kg)"/>
    <s v="WB"/>
    <x v="0"/>
    <s v="Bongaon"/>
    <s v="User Not Mapped"/>
    <s v="User Not Mapped"/>
    <s v="User Not Mapped"/>
    <n v="1292391"/>
    <s v="TAPAN SARKAR"/>
    <s v="Private Retailer"/>
    <s v="8219589761"/>
    <n v="4.2300000000000004"/>
    <n v="192"/>
    <x v="1"/>
    <m/>
    <s v="2025-10-10"/>
    <s v="281522"/>
    <s v="N.C. Das and Co."/>
    <s v="6297603863"/>
  </r>
  <r>
    <s v="RCF Import"/>
    <s v="MOP"/>
    <s v="WB"/>
    <x v="0"/>
    <s v="Bongaon"/>
    <s v="User Not Mapped"/>
    <s v="User Not Mapped"/>
    <s v="User Not Mapped"/>
    <n v="497685"/>
    <s v="YOUCHUP MONDAL"/>
    <s v="Private Retailer"/>
    <s v="9749959358"/>
    <n v="10.45"/>
    <n v="56"/>
    <x v="3"/>
    <m/>
    <s v="2026-02-23"/>
    <s v="281522"/>
    <s v="N.C. Das and Co."/>
    <s v="6297603863"/>
  </r>
  <r>
    <s v="RCF Trombay"/>
    <s v="N.C.Urea(45kg)"/>
    <s v="WB"/>
    <x v="0"/>
    <s v="Bongaon"/>
    <s v="User Not Mapped"/>
    <s v="User Not Mapped"/>
    <s v="User Not Mapped"/>
    <n v="497685"/>
    <s v="YOUCHUP MONDAL"/>
    <s v="Private Retailer"/>
    <s v="9749959358"/>
    <n v="3.2850000000000001"/>
    <n v="79"/>
    <x v="6"/>
    <m/>
    <s v="2026-01-31"/>
    <s v="281522"/>
    <s v="N.C. Das and Co."/>
    <s v="6297603863"/>
  </r>
  <r>
    <s v="RCF Thal"/>
    <s v="N.C.Urea(45kg)"/>
    <s v="WB"/>
    <x v="0"/>
    <s v="Haroa"/>
    <s v="User Not Mapped"/>
    <s v="User Not Mapped"/>
    <s v="User Not Mapped"/>
    <n v="189508"/>
    <s v="Ziad Ali"/>
    <s v="Private Retailer"/>
    <s v="7699362631"/>
    <n v="4.4999999999999998E-2"/>
    <n v="135"/>
    <x v="4"/>
    <m/>
    <s v="2025-12-06"/>
    <s v="281522"/>
    <s v="N.C. Das and Co."/>
    <s v="6297603863"/>
  </r>
  <r>
    <s v="RCF Trombay"/>
    <s v="N.C.Urea(45kg)"/>
    <s v="WB"/>
    <x v="0"/>
    <s v="Habra - I"/>
    <s v="User Not Mapped"/>
    <s v="User Not Mapped"/>
    <s v="User Not Mapped"/>
    <n v="226503"/>
    <s v="Annapurna Krishi Bhandar"/>
    <s v="Private Retailer"/>
    <s v="7797301967"/>
    <n v="3.42"/>
    <n v="86"/>
    <x v="6"/>
    <m/>
    <s v="2026-01-24"/>
    <s v="223817"/>
    <s v="National Supply Agency"/>
    <s v="9564505288"/>
  </r>
  <r>
    <s v="RCF Trombay SCU"/>
    <s v="Sulphur Coated Urea(40Kg)"/>
    <s v="WB"/>
    <x v="0"/>
    <s v="Habra - I"/>
    <s v="User Not Mapped"/>
    <s v="User Not Mapped"/>
    <s v="User Not Mapped"/>
    <n v="226503"/>
    <s v="Annapurna Krishi Bhandar"/>
    <s v="Private Retailer"/>
    <s v="7797301967"/>
    <n v="1.84"/>
    <n v="86"/>
    <x v="6"/>
    <m/>
    <s v="2026-01-24"/>
    <s v="223817"/>
    <s v="National Supply Agency"/>
    <s v="9564505288"/>
  </r>
  <r>
    <s v="RCF Trombay"/>
    <s v="N.C.Urea(45kg)"/>
    <s v="WB"/>
    <x v="0"/>
    <s v="Barasat - I"/>
    <s v="User Not Mapped"/>
    <s v="User Not Mapped"/>
    <s v="User Not Mapped"/>
    <n v="251962"/>
    <s v="Arun Kumar Ghosh"/>
    <s v="Private Retailer"/>
    <s v="9830376581"/>
    <n v="4.9950000000000001"/>
    <n v="19"/>
    <x v="5"/>
    <m/>
    <s v="2026-04-01"/>
    <s v="223817"/>
    <s v="National Supply Agency"/>
    <s v="9564505288"/>
  </r>
  <r>
    <s v="RCF Import"/>
    <s v="Imp 10-26-26"/>
    <s v="WB"/>
    <x v="0"/>
    <s v="Bagda"/>
    <s v="User Not Mapped"/>
    <s v="User Not Mapped"/>
    <s v="User Not Mapped"/>
    <n v="354827"/>
    <s v="Bikash Chandra Biswas"/>
    <s v="Private Retailer"/>
    <s v="9609250249"/>
    <n v="3"/>
    <n v="49"/>
    <x v="3"/>
    <m/>
    <s v="2026-03-02"/>
    <s v="223817"/>
    <s v="National Supply Agency"/>
    <s v="9564505288"/>
  </r>
  <r>
    <s v="RCF Trombay"/>
    <s v="N.C.Urea(45kg)"/>
    <s v="WB"/>
    <x v="0"/>
    <s v="Bagda"/>
    <s v="User Not Mapped"/>
    <s v="User Not Mapped"/>
    <s v="User Not Mapped"/>
    <n v="354827"/>
    <s v="Bikash Chandra Biswas"/>
    <s v="Private Retailer"/>
    <s v="9609250249"/>
    <n v="1.71"/>
    <n v="68"/>
    <x v="6"/>
    <m/>
    <s v="2026-02-11"/>
    <s v="223817"/>
    <s v="National Supply Agency"/>
    <s v="9564505288"/>
  </r>
  <r>
    <s v="RCF Trombay"/>
    <s v="15-15-15"/>
    <s v="WB"/>
    <x v="0"/>
    <s v="Bagda"/>
    <s v="User Not Mapped"/>
    <s v="User Not Mapped"/>
    <s v="User Not Mapped"/>
    <n v="354827"/>
    <s v="Bikash Chandra Biswas"/>
    <s v="Private Retailer"/>
    <s v="9609250249"/>
    <n v="1.25"/>
    <n v="49"/>
    <x v="3"/>
    <m/>
    <s v="2026-03-02"/>
    <s v="223817"/>
    <s v="National Supply Agency"/>
    <s v="9564505288"/>
  </r>
  <r>
    <s v="RCF Trombay"/>
    <s v="15-15-15"/>
    <s v="WB"/>
    <x v="0"/>
    <s v="Baduria"/>
    <s v="User Not Mapped"/>
    <s v="User Not Mapped"/>
    <s v="User Not Mapped"/>
    <n v="461952"/>
    <s v="Farid Krishi Bhander"/>
    <s v="Private Retailer"/>
    <s v="9093548082"/>
    <n v="3.35"/>
    <n v="86"/>
    <x v="6"/>
    <m/>
    <s v="2026-01-24"/>
    <s v="223817"/>
    <s v="National Supply Agency"/>
    <s v="9564505288"/>
  </r>
  <r>
    <s v="RCF Trombay SCU"/>
    <s v="Sulphur Coated Urea(40Kg)"/>
    <s v="WB"/>
    <x v="0"/>
    <s v="Barasat - I"/>
    <s v="User Not Mapped"/>
    <s v="User Not Mapped"/>
    <s v="User Not Mapped"/>
    <n v="226662"/>
    <s v="Ghoshkrishi Bhander"/>
    <s v="Private Retailer"/>
    <s v="8391082069"/>
    <n v="0.28000000000000003"/>
    <n v="86"/>
    <x v="6"/>
    <m/>
    <s v="2026-01-24"/>
    <s v="223817"/>
    <s v="National Supply Agency"/>
    <s v="9564505288"/>
  </r>
  <r>
    <s v="RCF Trombay"/>
    <s v="N.C.Urea(45kg)"/>
    <s v="WB"/>
    <x v="0"/>
    <s v="Barasat - I"/>
    <s v="User Not Mapped"/>
    <s v="User Not Mapped"/>
    <s v="User Not Mapped"/>
    <n v="226662"/>
    <s v="Ghoshkrishi Bhander"/>
    <s v="Private Retailer"/>
    <s v="8391082069"/>
    <n v="2.4750000000000001"/>
    <n v="86"/>
    <x v="6"/>
    <m/>
    <s v="2026-01-24"/>
    <s v="223817"/>
    <s v="National Supply Agency"/>
    <s v="9564505288"/>
  </r>
  <r>
    <s v="RCF Trombay SCU"/>
    <s v="Sulphur Coated Urea(40Kg)"/>
    <s v="WB"/>
    <x v="0"/>
    <s v="Deganga"/>
    <s v="User Not Mapped"/>
    <s v="User Not Mapped"/>
    <s v="User Not Mapped"/>
    <n v="1534798"/>
    <s v="M/S BHAI BHAI KRISHI BHANDAR"/>
    <s v="Private Retailer"/>
    <s v="8640061746"/>
    <n v="1.84"/>
    <n v="88"/>
    <x v="6"/>
    <m/>
    <s v="2026-01-22"/>
    <s v="223817"/>
    <s v="National Supply Agency"/>
    <s v="9564505288"/>
  </r>
  <r>
    <s v="RCF Trombay"/>
    <s v="N.C.Urea(45kg)"/>
    <s v="WB"/>
    <x v="0"/>
    <s v="Deganga"/>
    <s v="User Not Mapped"/>
    <s v="User Not Mapped"/>
    <s v="User Not Mapped"/>
    <n v="1534798"/>
    <s v="M/S BHAI BHAI KRISHI BHANDAR"/>
    <s v="Private Retailer"/>
    <s v="8640061746"/>
    <n v="0.81"/>
    <n v="88"/>
    <x v="6"/>
    <m/>
    <s v="2026-01-22"/>
    <s v="223817"/>
    <s v="National Supply Agency"/>
    <s v="9564505288"/>
  </r>
  <r>
    <s v="RCF Trombay"/>
    <s v="N.C.Urea(45kg)"/>
    <s v="WB"/>
    <x v="0"/>
    <s v="Barasat - I"/>
    <s v="User Not Mapped"/>
    <s v="User Not Mapped"/>
    <s v="User Not Mapped"/>
    <n v="219020"/>
    <s v="M/S Kadambagachi Krishi Bhand"/>
    <s v="Private Retailer"/>
    <s v="9874997429"/>
    <n v="2.6549999999999998"/>
    <n v="88"/>
    <x v="6"/>
    <m/>
    <s v="2026-01-22"/>
    <s v="223817"/>
    <s v="National Supply Agency"/>
    <s v="9564505288"/>
  </r>
  <r>
    <s v="RCF Trombay"/>
    <s v="15-15-15"/>
    <s v="WB"/>
    <x v="0"/>
    <s v="Barasat - I"/>
    <s v="User Not Mapped"/>
    <s v="User Not Mapped"/>
    <s v="User Not Mapped"/>
    <n v="219020"/>
    <s v="M/S Kadambagachi Krishi Bhand"/>
    <s v="Private Retailer"/>
    <s v="9874997429"/>
    <n v="7.45"/>
    <n v="68"/>
    <x v="6"/>
    <m/>
    <s v="2026-02-11"/>
    <s v="223817"/>
    <s v="National Supply Agency"/>
    <s v="9564505288"/>
  </r>
  <r>
    <s v="RCF Thal"/>
    <s v="N.C.Urea(45kg)"/>
    <s v="WB"/>
    <x v="0"/>
    <s v="Deganga"/>
    <s v="User Not Mapped"/>
    <s v="User Not Mapped"/>
    <s v="User Not Mapped"/>
    <n v="1201824"/>
    <s v="M/S NATIONAL SUPPLY AGENCY"/>
    <s v="Private Retailer"/>
    <s v="9830376581"/>
    <n v="0.76"/>
    <n v="19"/>
    <x v="5"/>
    <m/>
    <s v="2026-04-01"/>
    <s v="223817"/>
    <s v="National Supply Agency"/>
    <s v="9564505288"/>
  </r>
  <r>
    <s v="RCF Trombay"/>
    <s v="N.C.Urea(45kg)"/>
    <s v="WB"/>
    <x v="0"/>
    <s v="Gaighata"/>
    <s v="User Not Mapped"/>
    <s v="User Not Mapped"/>
    <s v="User Not Mapped"/>
    <n v="411457"/>
    <s v="M/S Protap Majumder"/>
    <s v="Private Retailer"/>
    <s v="9647282532"/>
    <n v="8.9550000000000001"/>
    <n v="63"/>
    <x v="6"/>
    <m/>
    <s v="2026-02-16"/>
    <s v="223817"/>
    <s v="National Supply Agency"/>
    <s v="9564505288"/>
  </r>
  <r>
    <s v="RCF Trombay"/>
    <s v="15-15-15"/>
    <s v="WB"/>
    <x v="0"/>
    <s v="Gaighata"/>
    <s v="User Not Mapped"/>
    <s v="User Not Mapped"/>
    <s v="User Not Mapped"/>
    <n v="411457"/>
    <s v="M/S Protap Majumder"/>
    <s v="Private Retailer"/>
    <s v="9647282532"/>
    <n v="3"/>
    <n v="63"/>
    <x v="6"/>
    <m/>
    <s v="2026-02-16"/>
    <s v="223817"/>
    <s v="National Supply Agency"/>
    <s v="9564505288"/>
  </r>
  <r>
    <s v="RCF Trombay"/>
    <s v="15-15-15"/>
    <s v="WB"/>
    <x v="0"/>
    <s v="Basirhat - I"/>
    <s v="User Not Mapped"/>
    <s v="User Not Mapped"/>
    <s v="User Not Mapped"/>
    <n v="1368120"/>
    <s v="M/S RAHAMANIA KRISHI BHANDER"/>
    <s v="Private Retailer"/>
    <s v="9051825410"/>
    <n v="3"/>
    <n v="68"/>
    <x v="6"/>
    <m/>
    <s v="2026-02-11"/>
    <s v="223817"/>
    <s v="National Supply Agency"/>
    <s v="9564505288"/>
  </r>
  <r>
    <s v="RCF Thal"/>
    <s v="N.C.Urea(45kg)"/>
    <s v="WB"/>
    <x v="0"/>
    <m/>
    <s v="User Not Mapped"/>
    <s v="User Not Mapped"/>
    <s v="User Not Mapped"/>
    <n v="226787"/>
    <s v="Maa Kali Milla and Store"/>
    <s v="Private Retailer"/>
    <s v="9830376581"/>
    <n v="4.0999999999999996"/>
    <n v="4"/>
    <x v="5"/>
    <m/>
    <s v="2026-04-16"/>
    <s v="223817"/>
    <s v="National Supply Agency"/>
    <s v="9564505288"/>
  </r>
  <r>
    <s v="RCF Import"/>
    <s v="MOP"/>
    <s v="WB"/>
    <x v="0"/>
    <s v="Deganga"/>
    <s v="User Not Mapped"/>
    <s v="User Not Mapped"/>
    <s v="User Not Mapped"/>
    <n v="777499"/>
    <s v="MONDAL FERTILIZER"/>
    <s v="Private Retailer"/>
    <s v="7362939540"/>
    <n v="1.9"/>
    <n v="49"/>
    <x v="3"/>
    <m/>
    <s v="2026-03-02"/>
    <s v="223817"/>
    <s v="National Supply Agency"/>
    <s v="9564505288"/>
  </r>
  <r>
    <s v="RCF Import"/>
    <s v="Imp 10-26-26"/>
    <s v="WB"/>
    <x v="0"/>
    <s v="Deganga"/>
    <s v="User Not Mapped"/>
    <s v="User Not Mapped"/>
    <s v="User Not Mapped"/>
    <n v="777499"/>
    <s v="MONDAL FERTILIZER"/>
    <s v="Private Retailer"/>
    <s v="7362939540"/>
    <n v="3.2"/>
    <n v="49"/>
    <x v="3"/>
    <m/>
    <s v="2026-03-02"/>
    <s v="223817"/>
    <s v="National Supply Agency"/>
    <s v="9564505288"/>
  </r>
  <r>
    <s v="RCF Import"/>
    <s v="Imp 10-26-26"/>
    <s v="WB"/>
    <x v="0"/>
    <s v="Bagda"/>
    <s v="User Not Mapped"/>
    <s v="User Not Mapped"/>
    <s v="User Not Mapped"/>
    <n v="496559"/>
    <s v="Palash Kumar Mondal"/>
    <s v="Private Retailer"/>
    <s v="7364959087"/>
    <n v="5.25"/>
    <n v="49"/>
    <x v="3"/>
    <m/>
    <s v="2026-03-02"/>
    <s v="223817"/>
    <s v="National Supply Agency"/>
    <s v="9564505288"/>
  </r>
  <r>
    <s v="RCF Trombay"/>
    <s v="15-15-15"/>
    <s v="WB"/>
    <x v="0"/>
    <s v="Bagda"/>
    <s v="User Not Mapped"/>
    <s v="User Not Mapped"/>
    <s v="User Not Mapped"/>
    <n v="496559"/>
    <s v="Palash Kumar Mondal"/>
    <s v="Private Retailer"/>
    <s v="7364959087"/>
    <n v="5"/>
    <n v="49"/>
    <x v="3"/>
    <m/>
    <s v="2026-03-02"/>
    <s v="223817"/>
    <s v="National Supply Agency"/>
    <s v="9564505288"/>
  </r>
  <r>
    <s v="RCF Import"/>
    <s v="MOP"/>
    <s v="WB"/>
    <x v="0"/>
    <s v="Deganga"/>
    <s v="User Not Mapped"/>
    <s v="User Not Mapped"/>
    <s v="User Not Mapped"/>
    <n v="607997"/>
    <s v="Pijush Kanti Ghosh"/>
    <s v="Private Retailer"/>
    <s v="8001812036"/>
    <n v="2"/>
    <n v="41"/>
    <x v="3"/>
    <m/>
    <s v="2026-03-10"/>
    <s v="223817"/>
    <s v="National Supply Agency"/>
    <s v="9564505288"/>
  </r>
  <r>
    <s v="RCF Thal"/>
    <s v="N.C.Urea(45kg)"/>
    <s v="WB"/>
    <x v="0"/>
    <s v="Bongaon"/>
    <s v="User Not Mapped"/>
    <s v="User Not Mapped"/>
    <s v="User Not Mapped"/>
    <n v="356146"/>
    <s v="Sahebuddin Mondal"/>
    <s v="Private Retailer"/>
    <s v="9734514917"/>
    <n v="5"/>
    <n v="22"/>
    <x v="5"/>
    <m/>
    <s v="2026-03-29"/>
    <s v="223817"/>
    <s v="National Supply Agency"/>
    <s v="9564505288"/>
  </r>
  <r>
    <s v="RCF Thal"/>
    <s v="N.C.Urea(45kg)"/>
    <s v="WB"/>
    <x v="0"/>
    <s v="Habra - II"/>
    <s v="User Not Mapped"/>
    <s v="User Not Mapped"/>
    <s v="User Not Mapped"/>
    <n v="356296"/>
    <s v="Sar  Ghar"/>
    <s v="Private Retailer"/>
    <s v="9932964212"/>
    <n v="3.2850000000000001"/>
    <n v="41"/>
    <x v="3"/>
    <m/>
    <s v="2026-03-10"/>
    <s v="223817"/>
    <s v="National Supply Agency"/>
    <s v="9564505288"/>
  </r>
  <r>
    <s v="RCF Trombay"/>
    <s v="15-15-15"/>
    <s v="WB"/>
    <x v="0"/>
    <s v="Habra - II"/>
    <s v="User Not Mapped"/>
    <s v="User Not Mapped"/>
    <s v="User Not Mapped"/>
    <n v="356296"/>
    <s v="Sar  Ghar"/>
    <s v="Private Retailer"/>
    <s v="9932964212"/>
    <n v="0.5"/>
    <n v="88"/>
    <x v="6"/>
    <m/>
    <s v="2026-01-22"/>
    <s v="223817"/>
    <s v="National Supply Agency"/>
    <s v="9564505288"/>
  </r>
  <r>
    <s v="RCF Import"/>
    <s v="Imp 10-26-26"/>
    <s v="WB"/>
    <x v="0"/>
    <s v="Habra - II"/>
    <s v="User Not Mapped"/>
    <s v="User Not Mapped"/>
    <s v="User Not Mapped"/>
    <n v="356296"/>
    <s v="Sar  Ghar"/>
    <s v="Private Retailer"/>
    <s v="9932964212"/>
    <n v="6"/>
    <n v="32"/>
    <x v="3"/>
    <m/>
    <s v="2026-03-19"/>
    <s v="223817"/>
    <s v="National Supply Agency"/>
    <s v="9564505288"/>
  </r>
  <r>
    <s v="RCF Trombay"/>
    <s v="N.C.Urea(45kg)"/>
    <s v="WB"/>
    <x v="0"/>
    <s v="Bongaon"/>
    <s v="User Not Mapped"/>
    <s v="User Not Mapped"/>
    <s v="User Not Mapped"/>
    <n v="227230"/>
    <s v="Sukumar Pal"/>
    <s v="Private Retailer"/>
    <s v="9932909595"/>
    <n v="0.40500000000000003"/>
    <n v="49"/>
    <x v="3"/>
    <m/>
    <s v="2026-03-02"/>
    <s v="223817"/>
    <s v="National Supply Agency"/>
    <s v="9564505288"/>
  </r>
  <r>
    <s v="RCF Thal"/>
    <s v="N.C.Urea(45kg)"/>
    <s v="WB"/>
    <x v="0"/>
    <s v="Bongaon"/>
    <s v="User Not Mapped"/>
    <s v="User Not Mapped"/>
    <s v="User Not Mapped"/>
    <n v="227230"/>
    <s v="Sukumar Pal"/>
    <s v="Private Retailer"/>
    <s v="9932909595"/>
    <n v="5.49"/>
    <n v="22"/>
    <x v="5"/>
    <m/>
    <s v="2026-03-29"/>
    <s v="223817"/>
    <s v="National Supply Agency"/>
    <s v="9564505288"/>
  </r>
  <r>
    <s v="RCF Import"/>
    <s v="MOP"/>
    <s v="WB"/>
    <x v="0"/>
    <s v="Gaighata"/>
    <s v="User Not Mapped"/>
    <s v="User Not Mapped"/>
    <s v="User Not Mapped"/>
    <n v="289594"/>
    <s v="Baloram Ghosh"/>
    <s v="Private Retailer"/>
    <s v="9733864975"/>
    <n v="1"/>
    <n v="39"/>
    <x v="3"/>
    <m/>
    <s v="2026-03-12"/>
    <s v="1054127"/>
    <s v="New Radha krishna krishi bhand"/>
    <s v="7908733277"/>
  </r>
  <r>
    <s v="RCF Import"/>
    <s v="MOP"/>
    <s v="WB"/>
    <x v="0"/>
    <s v="Gaighata"/>
    <s v="User Not Mapped"/>
    <s v="User Not Mapped"/>
    <s v="User Not Mapped"/>
    <n v="682639"/>
    <s v="BARUN BANERJEE"/>
    <s v="Private Retailer"/>
    <s v="9647281574"/>
    <n v="2.5"/>
    <n v="39"/>
    <x v="3"/>
    <m/>
    <s v="2026-03-12"/>
    <s v="1054127"/>
    <s v="New Radha krishna krishi bhand"/>
    <s v="7908733277"/>
  </r>
  <r>
    <s v="RCF Import"/>
    <s v="Imp 10-26-26"/>
    <s v="WB"/>
    <x v="0"/>
    <s v="Gaighata"/>
    <s v="User Not Mapped"/>
    <s v="User Not Mapped"/>
    <s v="User Not Mapped"/>
    <n v="682639"/>
    <s v="BARUN BANERJEE"/>
    <s v="Private Retailer"/>
    <s v="9647281574"/>
    <n v="1.5"/>
    <n v="14"/>
    <x v="5"/>
    <m/>
    <s v="2026-04-06"/>
    <s v="1054127"/>
    <s v="New Radha krishna krishi bhand"/>
    <s v="7908733277"/>
  </r>
  <r>
    <s v="RCF Import"/>
    <s v="Imp 10-26-26"/>
    <s v="WB"/>
    <x v="0"/>
    <s v="Gaighata"/>
    <s v="User Not Mapped"/>
    <s v="User Not Mapped"/>
    <s v="User Not Mapped"/>
    <n v="1029598"/>
    <s v="GAIGHATA SKUS LTD"/>
    <s v="PACS"/>
    <s v="9232823549"/>
    <n v="0.8"/>
    <n v="10"/>
    <x v="5"/>
    <m/>
    <s v="2026-04-10"/>
    <s v="1054127"/>
    <s v="New Radha krishna krishi bhand"/>
    <s v="7908733277"/>
  </r>
  <r>
    <s v="RCF Import"/>
    <s v="MOP"/>
    <s v="WB"/>
    <x v="0"/>
    <s v="Bongaon"/>
    <s v="User Not Mapped"/>
    <s v="User Not Mapped"/>
    <s v="User Not Mapped"/>
    <n v="411257"/>
    <s v="Habib Krishi Bhandar"/>
    <s v="Private Retailer"/>
    <s v="7872690652"/>
    <n v="2"/>
    <n v="52"/>
    <x v="3"/>
    <m/>
    <s v="2026-02-27"/>
    <s v="1054127"/>
    <s v="New Radha krishna krishi bhand"/>
    <s v="7908733277"/>
  </r>
  <r>
    <s v="RCF Import"/>
    <s v="MOP"/>
    <s v="WB"/>
    <x v="0"/>
    <s v="Gaighata"/>
    <s v="User Not Mapped"/>
    <s v="User Not Mapped"/>
    <s v="User Not Mapped"/>
    <n v="226756"/>
    <s v="Kaya L.S Pcacs Ltd"/>
    <s v="PACS"/>
    <s v="7557891525"/>
    <n v="1.5"/>
    <n v="28"/>
    <x v="5"/>
    <m/>
    <s v="2026-03-23"/>
    <s v="1054127"/>
    <s v="New Radha krishna krishi bhand"/>
    <s v="7908733277"/>
  </r>
  <r>
    <s v="RCF Import"/>
    <s v="MOP"/>
    <s v="WB"/>
    <x v="0"/>
    <s v="Gaighata"/>
    <s v="User Not Mapped"/>
    <s v="User Not Mapped"/>
    <s v="User Not Mapped"/>
    <n v="517970"/>
    <s v="M/S Mithu Das"/>
    <s v="Private Retailer"/>
    <s v="9475456056"/>
    <n v="0.2"/>
    <n v="33"/>
    <x v="3"/>
    <m/>
    <s v="2026-03-18"/>
    <s v="1054127"/>
    <s v="New Radha krishna krishi bhand"/>
    <s v="7908733277"/>
  </r>
  <r>
    <s v="RCF Trombay"/>
    <s v="N.C.Urea(45kg)"/>
    <s v="WB"/>
    <x v="0"/>
    <s v="Gaighata"/>
    <s v="User Not Mapped"/>
    <s v="User Not Mapped"/>
    <s v="User Not Mapped"/>
    <n v="458099"/>
    <s v="Mangal Hazra"/>
    <s v="Private Retailer"/>
    <s v="9153691210"/>
    <n v="0.18"/>
    <n v="224"/>
    <x v="1"/>
    <m/>
    <s v="2025-09-08"/>
    <s v="1054127"/>
    <s v="New Radha krishna krishi bhand"/>
    <s v="7908733277"/>
  </r>
  <r>
    <s v="RCF Trombay"/>
    <s v="15-15-15"/>
    <s v="WB"/>
    <x v="0"/>
    <s v="Gaighata"/>
    <s v="User Not Mapped"/>
    <s v="User Not Mapped"/>
    <s v="User Not Mapped"/>
    <n v="458099"/>
    <s v="Mangal Hazra"/>
    <s v="Private Retailer"/>
    <s v="9153691210"/>
    <n v="0.4"/>
    <n v="269"/>
    <x v="1"/>
    <m/>
    <s v="2025-07-25"/>
    <s v="1054127"/>
    <s v="New Radha krishna krishi bhand"/>
    <s v="7908733277"/>
  </r>
  <r>
    <s v="RCF Import"/>
    <s v="Imp 10-26-26"/>
    <s v="WB"/>
    <x v="0"/>
    <s v="Gaighata"/>
    <s v="User Not Mapped"/>
    <s v="User Not Mapped"/>
    <s v="User Not Mapped"/>
    <n v="411331"/>
    <s v="Nirmal Podder"/>
    <s v="Private Retailer"/>
    <s v="9733723751"/>
    <n v="0.55000000000000004"/>
    <n v="16"/>
    <x v="5"/>
    <m/>
    <s v="2026-04-04"/>
    <s v="1054127"/>
    <s v="New Radha krishna krishi bhand"/>
    <s v="7908733277"/>
  </r>
  <r>
    <s v="RCF Import"/>
    <s v="MOP"/>
    <s v="WB"/>
    <x v="0"/>
    <s v="Bongaon"/>
    <s v="User Not Mapped"/>
    <s v="User Not Mapped"/>
    <s v="User Not Mapped"/>
    <n v="1469391"/>
    <s v="TAPASHI FERTILIZER"/>
    <s v="Private Retailer"/>
    <s v="8436886946"/>
    <n v="8.2000000000000003E-2"/>
    <n v="16"/>
    <x v="5"/>
    <m/>
    <s v="2026-04-04"/>
    <s v="1054127"/>
    <s v="New Radha krishna krishi bhand"/>
    <s v="7908733277"/>
  </r>
  <r>
    <s v="RCF Import"/>
    <s v="Imp 10-26-26"/>
    <s v="WB"/>
    <x v="0"/>
    <s v="Bongaon"/>
    <s v="User Not Mapped"/>
    <s v="User Not Mapped"/>
    <s v="User Not Mapped"/>
    <n v="1469391"/>
    <s v="TAPASHI FERTILIZER"/>
    <s v="Private Retailer"/>
    <s v="8436886946"/>
    <n v="2.7650000000000001"/>
    <n v="16"/>
    <x v="5"/>
    <m/>
    <s v="2026-04-04"/>
    <s v="1054127"/>
    <s v="New Radha krishna krishi bhand"/>
    <s v="7908733277"/>
  </r>
  <r>
    <s v="RCF Import"/>
    <s v="Imp 10-26-26"/>
    <s v="WB"/>
    <x v="0"/>
    <s v="Bongaon"/>
    <s v="User Not Mapped"/>
    <s v="User Not Mapped"/>
    <s v="User Not Mapped"/>
    <n v="354734"/>
    <s v="Ashim Kumar Paul"/>
    <s v="Private Retailer"/>
    <s v="9734897685"/>
    <n v="5.5"/>
    <n v="46"/>
    <x v="3"/>
    <m/>
    <s v="2026-03-05"/>
    <s v="355903"/>
    <s v="Paul Fertiliser"/>
    <s v="9932862633"/>
  </r>
  <r>
    <s v="RCF Trombay"/>
    <s v="N.C.Urea(45kg)"/>
    <s v="WB"/>
    <x v="0"/>
    <m/>
    <s v="User Not Mapped"/>
    <s v="User Not Mapped"/>
    <s v="User Not Mapped"/>
    <n v="227050"/>
    <s v="Nurpur Krishi Bhander"/>
    <s v="Private Retailer"/>
    <s v="8017672105"/>
    <n v="0.02"/>
    <n v="2416"/>
    <x v="2"/>
    <m/>
    <s v="2019-09-08"/>
    <s v="355903"/>
    <s v="Paul Fertiliser"/>
    <s v="9932862633"/>
  </r>
  <r>
    <s v="RCF Trombay"/>
    <s v="15-15-15"/>
    <s v="WB"/>
    <x v="0"/>
    <m/>
    <s v="User Not Mapped"/>
    <s v="User Not Mapped"/>
    <s v="User Not Mapped"/>
    <n v="323611"/>
    <s v="Gopal Chandra Mondal"/>
    <s v="Private Retailer"/>
    <s v="8001035995"/>
    <n v="0.05"/>
    <n v="2341"/>
    <x v="2"/>
    <m/>
    <s v="2019-11-22"/>
    <s v="281550"/>
    <s v="Prakash Chand Mantri          "/>
    <s v="9474024004"/>
  </r>
  <r>
    <s v="RCF Trombay"/>
    <s v="15-15-15"/>
    <s v="WB"/>
    <x v="0"/>
    <s v="Basirhat - I"/>
    <s v="User Not Mapped"/>
    <s v="User Not Mapped"/>
    <s v="User Not Mapped"/>
    <n v="226830"/>
    <s v="Mattri Krishi Bhandar"/>
    <s v="Private Retailer"/>
    <s v="9933506961"/>
    <n v="0.5"/>
    <n v="396"/>
    <x v="0"/>
    <m/>
    <s v="2025-03-20"/>
    <s v="281550"/>
    <s v="Prakash Chand Mantri          "/>
    <s v="9474024004"/>
  </r>
  <r>
    <s v="RCF Trombay"/>
    <s v="15-15-15"/>
    <s v="WB"/>
    <x v="0"/>
    <s v="Gaighata"/>
    <s v="User Not Mapped"/>
    <s v="User Not Mapped"/>
    <s v="User Not Mapped"/>
    <n v="1622190"/>
    <s v="UTTAR RAMPUR SKUS LTD"/>
    <s v="PACS"/>
    <s v="9635124800"/>
    <n v="1.55"/>
    <n v="140"/>
    <x v="4"/>
    <m/>
    <s v="2025-12-01"/>
    <s v="281550"/>
    <s v="Prakash Chand Mantri          "/>
    <s v="9474024004"/>
  </r>
  <r>
    <s v="RCF Thal"/>
    <s v="N.C.Urea(45kg)"/>
    <s v="WB"/>
    <x v="0"/>
    <m/>
    <s v="User Not Mapped"/>
    <s v="User Not Mapped"/>
    <s v="User Not Mapped"/>
    <n v="490395"/>
    <s v="Goutam Mondal"/>
    <s v="Private Retailer"/>
    <s v="7679777520"/>
    <n v="1.26"/>
    <n v="2123"/>
    <x v="2"/>
    <m/>
    <s v="2020-06-27"/>
    <s v="356072"/>
    <s v="R.G. Enterprise"/>
    <s v="9933457475"/>
  </r>
  <r>
    <s v="RCF Import"/>
    <s v="MOP"/>
    <s v="WB"/>
    <x v="0"/>
    <s v="Basirhat - I"/>
    <s v="User Not Mapped"/>
    <s v="User Not Mapped"/>
    <s v="User Not Mapped"/>
    <n v="864308"/>
    <s v="Jagabhandhu Adhikhari"/>
    <s v="Private Retailer"/>
    <s v="8768955472"/>
    <n v="3"/>
    <n v="23"/>
    <x v="5"/>
    <m/>
    <s v="2026-03-28"/>
    <s v="1086694"/>
    <s v="Ram prasad Mondal"/>
    <s v="9609464662"/>
  </r>
  <r>
    <s v="RCF Import"/>
    <s v="MOP"/>
    <s v="WB"/>
    <x v="0"/>
    <s v="Bongaon"/>
    <s v="User Not Mapped"/>
    <s v="User Not Mapped"/>
    <s v="User Not Mapped"/>
    <n v="354738"/>
    <s v="Ashit Kumar Sur"/>
    <s v="Private Retailer"/>
    <s v="9332966093"/>
    <n v="0.38"/>
    <n v="416"/>
    <x v="0"/>
    <m/>
    <s v="2025-02-28"/>
    <s v="544994"/>
    <s v="Ranjit Debnath"/>
    <s v="9732922923"/>
  </r>
  <r>
    <s v="RCF Import"/>
    <s v="MOP"/>
    <s v="WB"/>
    <x v="0"/>
    <s v="Bongaon"/>
    <s v="User Not Mapped"/>
    <s v="User Not Mapped"/>
    <s v="User Not Mapped"/>
    <n v="479759"/>
    <s v="Fatik Chandra Mondal"/>
    <s v="Private Retailer"/>
    <s v="9333508337"/>
    <n v="0.8"/>
    <n v="457"/>
    <x v="0"/>
    <m/>
    <s v="2025-01-18"/>
    <s v="544994"/>
    <s v="Ranjit Debnath"/>
    <s v="9732922923"/>
  </r>
  <r>
    <s v="RCF Trombay"/>
    <s v="15-15-15"/>
    <s v="WB"/>
    <x v="0"/>
    <s v="Barasat - II"/>
    <s v="User Not Mapped"/>
    <s v="User Not Mapped"/>
    <s v="User Not Mapped"/>
    <n v="594590"/>
    <s v="AJIBAR FERTILIZER"/>
    <s v="Private Retailer"/>
    <s v="9903037698"/>
    <n v="0.72499999999999998"/>
    <n v="73"/>
    <x v="6"/>
    <m/>
    <s v="2026-02-06"/>
    <s v="281551"/>
    <s v="Ratan Lal Saha"/>
    <s v="9051954610"/>
  </r>
  <r>
    <s v="RCF Trombay"/>
    <s v="15-15-15"/>
    <s v="WB"/>
    <x v="0"/>
    <s v="Barasat - I"/>
    <s v="User Not Mapped"/>
    <s v="User Not Mapped"/>
    <s v="User Not Mapped"/>
    <n v="631721"/>
    <s v="Gazi Fertiliser"/>
    <s v="Private Retailer"/>
    <s v="7003899599"/>
    <n v="0.5"/>
    <n v="477"/>
    <x v="0"/>
    <m/>
    <s v="2024-12-29"/>
    <s v="281551"/>
    <s v="Ratan Lal Saha"/>
    <s v="9051954610"/>
  </r>
  <r>
    <s v="RCF Trombay"/>
    <s v="15-15-15"/>
    <s v="WB"/>
    <x v="0"/>
    <s v="Barasat - II"/>
    <s v="User Not Mapped"/>
    <s v="User Not Mapped"/>
    <s v="User Not Mapped"/>
    <n v="515672"/>
    <s v="KAZIPARA KRISHI BIPANI"/>
    <s v="Private Retailer"/>
    <s v="7890152969"/>
    <n v="1.65"/>
    <n v="139"/>
    <x v="4"/>
    <m/>
    <s v="2025-12-02"/>
    <s v="281551"/>
    <s v="Ratan Lal Saha"/>
    <s v="9051954610"/>
  </r>
  <r>
    <s v="RCF Trombay"/>
    <s v="15-15-15"/>
    <s v="WB"/>
    <x v="0"/>
    <s v="Bagda"/>
    <s v="User Not Mapped"/>
    <s v="User Not Mapped"/>
    <s v="User Not Mapped"/>
    <n v="550587"/>
    <s v="Aktar Mondal"/>
    <s v="Private Retailer"/>
    <s v="8535892617"/>
    <n v="0.95"/>
    <n v="473"/>
    <x v="0"/>
    <m/>
    <s v="2025-01-02"/>
    <s v="897258"/>
    <s v="RAY FERTILISER"/>
    <s v="7074214566"/>
  </r>
  <r>
    <s v="RCF Import"/>
    <s v="MOP"/>
    <s v="WB"/>
    <x v="0"/>
    <s v="Bagda"/>
    <s v="User Not Mapped"/>
    <s v="User Not Mapped"/>
    <s v="User Not Mapped"/>
    <n v="550587"/>
    <s v="Aktar Mondal"/>
    <s v="Private Retailer"/>
    <s v="8535892617"/>
    <n v="0.5"/>
    <n v="200"/>
    <x v="1"/>
    <m/>
    <s v="2025-10-02"/>
    <s v="897258"/>
    <s v="RAY FERTILISER"/>
    <s v="7074214566"/>
  </r>
  <r>
    <s v="RCF Trombay"/>
    <s v="N.C.Urea(45kg)"/>
    <s v="WB"/>
    <x v="0"/>
    <s v="Bagda"/>
    <s v="User Not Mapped"/>
    <s v="User Not Mapped"/>
    <s v="User Not Mapped"/>
    <n v="355077"/>
    <s v="Joydeb Biswas"/>
    <s v="Private Retailer"/>
    <s v="9735603944"/>
    <n v="7.4999999999999997E-2"/>
    <n v="200"/>
    <x v="1"/>
    <m/>
    <s v="2025-10-02"/>
    <s v="897258"/>
    <s v="RAY FERTILISER"/>
    <s v="7074214566"/>
  </r>
  <r>
    <s v="RCF Import"/>
    <s v="MOP"/>
    <s v="WB"/>
    <x v="0"/>
    <s v="Bagda"/>
    <s v="User Not Mapped"/>
    <s v="User Not Mapped"/>
    <s v="User Not Mapped"/>
    <n v="355695"/>
    <s v="Monjurhassan  Mondal"/>
    <s v="Private Retailer"/>
    <s v="9733767794"/>
    <n v="1.25"/>
    <n v="463"/>
    <x v="0"/>
    <m/>
    <s v="2025-01-12"/>
    <s v="897258"/>
    <s v="RAY FERTILISER"/>
    <s v="7074214566"/>
  </r>
  <r>
    <s v="RCF Import"/>
    <s v="Imp 10-26-26"/>
    <s v="WB"/>
    <x v="0"/>
    <s v="Bagda"/>
    <s v="User Not Mapped"/>
    <s v="User Not Mapped"/>
    <s v="User Not Mapped"/>
    <n v="355695"/>
    <s v="Monjurhassan  Mondal"/>
    <s v="Private Retailer"/>
    <s v="9733767794"/>
    <n v="1.75"/>
    <n v="463"/>
    <x v="0"/>
    <m/>
    <s v="2025-01-12"/>
    <s v="897258"/>
    <s v="RAY FERTILISER"/>
    <s v="7074214566"/>
  </r>
  <r>
    <s v="RCF Trombay"/>
    <s v="15-15-15"/>
    <s v="WB"/>
    <x v="0"/>
    <s v="Bagda"/>
    <s v="User Not Mapped"/>
    <s v="User Not Mapped"/>
    <s v="User Not Mapped"/>
    <n v="355695"/>
    <s v="Monjurhassan  Mondal"/>
    <s v="Private Retailer"/>
    <s v="9733767794"/>
    <n v="1.5"/>
    <n v="199"/>
    <x v="1"/>
    <m/>
    <s v="2025-10-03"/>
    <s v="897258"/>
    <s v="RAY FERTILISER"/>
    <s v="7074214566"/>
  </r>
  <r>
    <s v="RCF Trombay"/>
    <s v="N.C.Urea(45kg)"/>
    <s v="WB"/>
    <x v="0"/>
    <s v="Bagda"/>
    <s v="User Not Mapped"/>
    <s v="User Not Mapped"/>
    <s v="User Not Mapped"/>
    <n v="355695"/>
    <s v="Monjurhassan  Mondal"/>
    <s v="Private Retailer"/>
    <s v="9733767794"/>
    <n v="0.85499999999999998"/>
    <n v="200"/>
    <x v="1"/>
    <m/>
    <s v="2025-10-02"/>
    <s v="897258"/>
    <s v="RAY FERTILISER"/>
    <s v="7074214566"/>
  </r>
  <r>
    <s v="RCF Import"/>
    <s v="MOP"/>
    <s v="WB"/>
    <x v="0"/>
    <s v="Bagda"/>
    <s v="User Not Mapped"/>
    <s v="User Not Mapped"/>
    <s v="User Not Mapped"/>
    <n v="355695"/>
    <s v="Monjurhassan  Mondal"/>
    <s v="Private Retailer"/>
    <s v="9733767794"/>
    <n v="2"/>
    <n v="200"/>
    <x v="1"/>
    <m/>
    <s v="2025-10-02"/>
    <s v="897258"/>
    <s v="RAY FERTILISER"/>
    <s v="7074214566"/>
  </r>
  <r>
    <s v="RCF Trombay"/>
    <s v="N.C.Urea(45kg)"/>
    <s v="WB"/>
    <x v="0"/>
    <s v="Bagda"/>
    <s v="User Not Mapped"/>
    <s v="User Not Mapped"/>
    <s v="User Not Mapped"/>
    <n v="409494"/>
    <s v="Nanda Dulal Sinha"/>
    <s v="Private Retailer"/>
    <s v="9733569434"/>
    <n v="0.36"/>
    <n v="428"/>
    <x v="0"/>
    <m/>
    <s v="2025-02-16"/>
    <s v="897258"/>
    <s v="RAY FERTILISER"/>
    <s v="7074214566"/>
  </r>
  <r>
    <s v="RCF Trombay"/>
    <s v="15-15-15"/>
    <s v="WB"/>
    <x v="0"/>
    <s v="Bagda"/>
    <s v="User Not Mapped"/>
    <s v="User Not Mapped"/>
    <s v="User Not Mapped"/>
    <n v="489307"/>
    <s v="Putul Halder"/>
    <s v="Private Retailer"/>
    <s v="9593460325"/>
    <n v="0.25"/>
    <n v="240"/>
    <x v="1"/>
    <m/>
    <s v="2025-08-23"/>
    <s v="897258"/>
    <s v="RAY FERTILISER"/>
    <s v="7074214566"/>
  </r>
  <r>
    <s v="RCF Import"/>
    <s v="MOP"/>
    <s v="WB"/>
    <x v="0"/>
    <s v="Bagda"/>
    <s v="User Not Mapped"/>
    <s v="User Not Mapped"/>
    <s v="User Not Mapped"/>
    <n v="356074"/>
    <s v="Ripon Fertilizer"/>
    <s v="Private Retailer"/>
    <s v="9733999040"/>
    <n v="1.4"/>
    <n v="33"/>
    <x v="3"/>
    <m/>
    <s v="2026-03-18"/>
    <s v="897258"/>
    <s v="RAY FERTILISER"/>
    <s v="7074214566"/>
  </r>
  <r>
    <s v="RCF Import"/>
    <s v="MOP"/>
    <s v="WB"/>
    <x v="0"/>
    <s v="Bagda"/>
    <s v="User Not Mapped"/>
    <s v="User Not Mapped"/>
    <s v="User Not Mapped"/>
    <n v="356074"/>
    <s v="Ripon Fertilizer"/>
    <s v="Private Retailer"/>
    <s v="9733999040"/>
    <n v="1.5"/>
    <n v="23"/>
    <x v="5"/>
    <m/>
    <s v="2026-03-28"/>
    <s v="897258"/>
    <s v="RAY FERTILISER"/>
    <s v="7074214566"/>
  </r>
  <r>
    <s v="RCF Trombay"/>
    <s v="N.C.Urea(45kg)"/>
    <s v="WB"/>
    <x v="0"/>
    <s v="Bagda"/>
    <s v="User Not Mapped"/>
    <s v="User Not Mapped"/>
    <s v="User Not Mapped"/>
    <n v="1466642"/>
    <s v="SHYAMAL KUMAR GHOSH"/>
    <s v="Private Retailer"/>
    <s v="6294539695"/>
    <n v="0.18"/>
    <n v="194"/>
    <x v="1"/>
    <m/>
    <s v="2025-10-08"/>
    <s v="897258"/>
    <s v="RAY FERTILISER"/>
    <s v="7074214566"/>
  </r>
  <r>
    <s v="RCF Trombay"/>
    <s v="N.C.Urea(45kg)"/>
    <s v="WB"/>
    <x v="0"/>
    <s v="Bagda"/>
    <s v="User Not Mapped"/>
    <s v="User Not Mapped"/>
    <s v="User Not Mapped"/>
    <n v="482604"/>
    <s v="Swapan Kr Bagchi"/>
    <s v="Private Retailer"/>
    <s v="9732906705"/>
    <n v="1.35"/>
    <n v="200"/>
    <x v="1"/>
    <m/>
    <s v="2025-10-02"/>
    <s v="897258"/>
    <s v="RAY FERTILISER"/>
    <s v="7074214566"/>
  </r>
  <r>
    <s v="RCF Trombay"/>
    <s v="15-15-15"/>
    <s v="WB"/>
    <x v="0"/>
    <s v="Bagda"/>
    <s v="User Not Mapped"/>
    <s v="User Not Mapped"/>
    <s v="User Not Mapped"/>
    <n v="482604"/>
    <s v="Swapan Kr Bagchi"/>
    <s v="Private Retailer"/>
    <s v="9732906705"/>
    <n v="1"/>
    <n v="241"/>
    <x v="1"/>
    <m/>
    <s v="2025-08-22"/>
    <s v="897258"/>
    <s v="RAY FERTILISER"/>
    <s v="7074214566"/>
  </r>
  <r>
    <s v="RCF Trombay"/>
    <s v="N.C.Urea(45kg)"/>
    <s v="WB"/>
    <x v="0"/>
    <m/>
    <s v="User Not Mapped"/>
    <s v="User Not Mapped"/>
    <s v="User Not Mapped"/>
    <n v="328271"/>
    <s v="Amal Sales Corporation"/>
    <s v="Private Wholsaler"/>
    <s v="7908257456"/>
    <n v="1.8"/>
    <n v="58"/>
    <x v="3"/>
    <s v="'WS3125003613'"/>
    <s v="2026-02-21"/>
    <s v="1"/>
    <s v="rcf"/>
    <m/>
  </r>
  <r>
    <s v="RCF Import"/>
    <s v="Imp 10-26-26"/>
    <s v="WB"/>
    <x v="0"/>
    <m/>
    <s v="User Not Mapped"/>
    <s v="User Not Mapped"/>
    <s v="User Not Mapped"/>
    <n v="328271"/>
    <s v="Amal Sales Corporation"/>
    <s v="Private Wholsaler"/>
    <s v="7908257456"/>
    <n v="3.5"/>
    <n v="55"/>
    <x v="3"/>
    <s v="'WS3125003716'"/>
    <s v="2026-02-24"/>
    <s v="1"/>
    <s v="rcf"/>
    <m/>
  </r>
  <r>
    <s v="RCF Trombay"/>
    <s v="15-15-15"/>
    <s v="WB"/>
    <x v="0"/>
    <m/>
    <s v="User Not Mapped"/>
    <s v="User Not Mapped"/>
    <s v="User Not Mapped"/>
    <n v="328271"/>
    <s v="Amal Sales Corporation"/>
    <s v="Private Wholsaler"/>
    <s v="7908257456"/>
    <n v="1"/>
    <n v="58"/>
    <x v="3"/>
    <s v="'WS3125003639'"/>
    <s v="2026-02-21"/>
    <s v="1"/>
    <s v="rcf"/>
    <m/>
  </r>
  <r>
    <s v="RCF Thal"/>
    <s v="N.C.Urea(45kg)"/>
    <s v="WB"/>
    <x v="0"/>
    <m/>
    <s v="User Not Mapped"/>
    <s v="User Not Mapped"/>
    <s v="User Not Mapped"/>
    <n v="328271"/>
    <s v="Amal Sales Corporation"/>
    <s v="Private Wholsaler"/>
    <s v="7908257456"/>
    <n v="5.49"/>
    <n v="42"/>
    <x v="3"/>
    <s v="'WS3125003989'"/>
    <s v="2026-03-09"/>
    <s v="1"/>
    <s v="rcf"/>
    <m/>
  </r>
  <r>
    <s v="RCF Thal"/>
    <s v="N.C.Urea(45kg)"/>
    <s v="WB"/>
    <x v="0"/>
    <s v="Habra - I"/>
    <s v="User Not Mapped"/>
    <s v="User Not Mapped"/>
    <s v="User Not Mapped"/>
    <n v="1048909"/>
    <s v="B K ROY AND COMPANY"/>
    <s v="Private Wholsaler"/>
    <s v="9734516484"/>
    <n v="5.49"/>
    <n v="19"/>
    <x v="5"/>
    <s v="'WS3126000013'"/>
    <s v="2026-04-01"/>
    <s v="1"/>
    <s v="rcf"/>
    <m/>
  </r>
  <r>
    <s v="RCF Import"/>
    <s v="Imp 10-26-26"/>
    <s v="WB"/>
    <x v="0"/>
    <s v="Barasat - I"/>
    <s v="User Not Mapped"/>
    <s v="User Not Mapped"/>
    <s v="User Not Mapped"/>
    <n v="268650"/>
    <s v="Barasat Krishi Bipani"/>
    <s v="Private Wholsaler"/>
    <s v="8336087625"/>
    <n v="3.25"/>
    <n v="55"/>
    <x v="3"/>
    <s v="'WS3125003717'"/>
    <s v="2026-02-24"/>
    <s v="1"/>
    <s v="rcf"/>
    <m/>
  </r>
  <r>
    <s v="RCF Thal"/>
    <s v="N.C.Urea(45kg)"/>
    <s v="WB"/>
    <x v="0"/>
    <s v="Barasat - I"/>
    <s v="User Not Mapped"/>
    <s v="User Not Mapped"/>
    <s v="User Not Mapped"/>
    <n v="268650"/>
    <s v="Barasat Krishi Bipani"/>
    <s v="Private Wholsaler"/>
    <s v="8336087625"/>
    <n v="0.315"/>
    <n v="19"/>
    <x v="5"/>
    <s v="'WS3126000014'"/>
    <s v="2026-04-01"/>
    <s v="1"/>
    <s v="rcf"/>
    <m/>
  </r>
  <r>
    <s v="RCF Thal"/>
    <s v="N.C.Urea(45kg)"/>
    <s v="WB"/>
    <x v="0"/>
    <s v="Habra - I"/>
    <s v="User Not Mapped"/>
    <s v="User Not Mapped"/>
    <s v="User Not Mapped"/>
    <n v="268815"/>
    <s v="Chitta Ranjan Dey"/>
    <s v="Private Wholsaler"/>
    <s v="9434744870"/>
    <n v="10.26"/>
    <n v="19"/>
    <x v="5"/>
    <s v="'WS3126000022'"/>
    <s v="2026-04-01"/>
    <s v="1"/>
    <s v="rcf"/>
    <m/>
  </r>
  <r>
    <s v="RCF Thal"/>
    <s v="N.C.Urea(45kg)"/>
    <s v="WB"/>
    <x v="0"/>
    <s v="Habra - I"/>
    <s v="User Not Mapped"/>
    <s v="User Not Mapped"/>
    <s v="User Not Mapped"/>
    <n v="268815"/>
    <s v="Chitta Ranjan Dey"/>
    <s v="Private Wholsaler"/>
    <s v="9434744870"/>
    <n v="29.7"/>
    <n v="19"/>
    <x v="5"/>
    <s v="'WS3126000023'"/>
    <s v="2026-04-01"/>
    <s v="1"/>
    <s v="rcf"/>
    <m/>
  </r>
  <r>
    <s v="RCF Thal"/>
    <s v="N.C.Urea(45kg)"/>
    <s v="WB"/>
    <x v="0"/>
    <s v="Habra - I"/>
    <s v="User Not Mapped"/>
    <s v="User Not Mapped"/>
    <s v="User Not Mapped"/>
    <n v="223812"/>
    <s v="M/S. Shyma Krishi B"/>
    <s v="Private Wholsaler"/>
    <s v="8918388042"/>
    <n v="9.99"/>
    <n v="19"/>
    <x v="5"/>
    <s v="'WS3126000003'"/>
    <s v="2026-04-01"/>
    <s v="1"/>
    <s v="rcf"/>
    <m/>
  </r>
  <r>
    <s v="RCF Trombay"/>
    <s v="15-15-15"/>
    <s v="WB"/>
    <x v="0"/>
    <s v="Habra - I"/>
    <s v="User Not Mapped"/>
    <s v="User Not Mapped"/>
    <s v="User Not Mapped"/>
    <n v="281511"/>
    <s v="Malakshmi Krishi Bhandar      "/>
    <s v="Private Wholsaler"/>
    <s v="9800561868"/>
    <n v="11.515000000000001"/>
    <n v="58"/>
    <x v="3"/>
    <s v="'WS3125003653'"/>
    <s v="2026-02-21"/>
    <s v="1"/>
    <s v="rcf"/>
    <m/>
  </r>
  <r>
    <s v="RCF Import"/>
    <s v="Imp 10-26-26"/>
    <s v="WB"/>
    <x v="0"/>
    <s v="Habra - I"/>
    <s v="User Not Mapped"/>
    <s v="User Not Mapped"/>
    <s v="User Not Mapped"/>
    <n v="281511"/>
    <s v="Malakshmi Krishi Bhandar      "/>
    <s v="Private Wholsaler"/>
    <s v="9800561868"/>
    <n v="5"/>
    <n v="55"/>
    <x v="3"/>
    <s v="'WS3125003742'"/>
    <s v="2026-02-24"/>
    <s v="1"/>
    <s v="rcf"/>
    <m/>
  </r>
  <r>
    <s v="RCF Trombay"/>
    <s v="N.C.Urea(45kg)"/>
    <s v="WB"/>
    <x v="0"/>
    <s v="Habra - I"/>
    <s v="User Not Mapped"/>
    <s v="User Not Mapped"/>
    <s v="User Not Mapped"/>
    <n v="281511"/>
    <s v="Malakshmi Krishi Bhandar      "/>
    <s v="Private Wholsaler"/>
    <s v="9800561868"/>
    <n v="7.8650000000000002"/>
    <n v="58"/>
    <x v="3"/>
    <s v="'WS3125003619'"/>
    <s v="2026-02-21"/>
    <s v="1"/>
    <s v="rcf"/>
    <m/>
  </r>
  <r>
    <s v="RCF Import"/>
    <s v="MOP"/>
    <s v="WB"/>
    <x v="0"/>
    <s v="Habra - I"/>
    <s v="User Not Mapped"/>
    <s v="User Not Mapped"/>
    <s v="User Not Mapped"/>
    <n v="281511"/>
    <s v="Malakshmi Krishi Bhandar      "/>
    <s v="Private Wholsaler"/>
    <s v="9800561868"/>
    <n v="18.7"/>
    <n v="63"/>
    <x v="6"/>
    <s v="'WS3125003543'"/>
    <s v="2026-02-16"/>
    <s v="1"/>
    <s v="rcf"/>
    <m/>
  </r>
  <r>
    <s v="RCF Import"/>
    <s v="MOP"/>
    <s v="WB"/>
    <x v="0"/>
    <s v="Habra - I"/>
    <s v="User Not Mapped"/>
    <s v="User Not Mapped"/>
    <s v="User Not Mapped"/>
    <n v="281511"/>
    <s v="Malakshmi Krishi Bhandar      "/>
    <s v="Private Wholsaler"/>
    <s v="9800561868"/>
    <n v="8"/>
    <n v="63"/>
    <x v="6"/>
    <s v="'WS3125003572'"/>
    <s v="2026-02-16"/>
    <s v="1"/>
    <s v="rcf"/>
    <m/>
  </r>
  <r>
    <s v="RCF Thal"/>
    <s v="N.C.Urea(45kg)"/>
    <s v="WB"/>
    <x v="0"/>
    <s v="Habra - I"/>
    <s v="User Not Mapped"/>
    <s v="User Not Mapped"/>
    <s v="User Not Mapped"/>
    <n v="281511"/>
    <s v="Malakshmi Krishi Bhandar      "/>
    <s v="Private Wholsaler"/>
    <s v="9800561868"/>
    <n v="54.945"/>
    <n v="19"/>
    <x v="5"/>
    <s v="'WS3126000011'"/>
    <s v="2026-04-01"/>
    <s v="1"/>
    <s v="rcf"/>
    <m/>
  </r>
  <r>
    <s v="RCF Thal"/>
    <s v="N.C.Urea(45kg)"/>
    <s v="WB"/>
    <x v="0"/>
    <s v="Habra - I"/>
    <s v="User Not Mapped"/>
    <s v="User Not Mapped"/>
    <s v="User Not Mapped"/>
    <n v="281511"/>
    <s v="Malakshmi Krishi Bhandar      "/>
    <s v="Private Wholsaler"/>
    <s v="9800561868"/>
    <n v="7.02"/>
    <n v="19"/>
    <x v="5"/>
    <s v="'WS3126000010'"/>
    <s v="2026-04-01"/>
    <s v="1"/>
    <s v="rcf"/>
    <m/>
  </r>
  <r>
    <s v="RCF Import"/>
    <s v="MOP"/>
    <s v="WB"/>
    <x v="0"/>
    <s v="Bongaon"/>
    <s v="User Not Mapped"/>
    <s v="User Not Mapped"/>
    <s v="User Not Mapped"/>
    <n v="281522"/>
    <s v="N.C. Das and Co."/>
    <s v="Private Wholsaler"/>
    <s v="6297603863"/>
    <n v="3.85"/>
    <n v="63"/>
    <x v="6"/>
    <s v="'WS3125003545'"/>
    <s v="2026-02-16"/>
    <s v="1"/>
    <s v="rcf"/>
    <m/>
  </r>
  <r>
    <s v="RCF Trombay"/>
    <s v="N.C.Urea(45kg)"/>
    <s v="WB"/>
    <x v="0"/>
    <s v="Bongaon"/>
    <s v="User Not Mapped"/>
    <s v="User Not Mapped"/>
    <s v="User Not Mapped"/>
    <n v="281522"/>
    <s v="N.C. Das and Co."/>
    <s v="Private Wholsaler"/>
    <s v="6297603863"/>
    <n v="3"/>
    <n v="58"/>
    <x v="3"/>
    <s v="'WS3125003666'"/>
    <s v="2026-02-21"/>
    <s v="1"/>
    <s v="rcf"/>
    <m/>
  </r>
  <r>
    <s v="RCF Import"/>
    <s v="Imp 10-26-26"/>
    <s v="WB"/>
    <x v="0"/>
    <s v="Bongaon"/>
    <s v="User Not Mapped"/>
    <s v="User Not Mapped"/>
    <s v="User Not Mapped"/>
    <n v="281522"/>
    <s v="N.C. Das and Co."/>
    <s v="Private Wholsaler"/>
    <s v="6297603863"/>
    <n v="2.4"/>
    <n v="33"/>
    <x v="3"/>
    <s v="'3125004095'"/>
    <s v="2026-03-18"/>
    <s v="1"/>
    <s v="rcf"/>
    <m/>
  </r>
  <r>
    <s v="RCF Import"/>
    <s v="Imp 10-26-26"/>
    <s v="WB"/>
    <x v="0"/>
    <s v="Bongaon"/>
    <s v="User Not Mapped"/>
    <s v="User Not Mapped"/>
    <s v="User Not Mapped"/>
    <n v="281522"/>
    <s v="N.C. Das and Co."/>
    <s v="Private Wholsaler"/>
    <s v="6297603863"/>
    <n v="35"/>
    <n v="26"/>
    <x v="5"/>
    <s v="'3125004106'"/>
    <s v="2026-03-25"/>
    <s v="1"/>
    <s v="rcf"/>
    <m/>
  </r>
  <r>
    <s v="RCF Import"/>
    <s v="MOP"/>
    <s v="WB"/>
    <x v="0"/>
    <s v="Bongaon"/>
    <s v="User Not Mapped"/>
    <s v="User Not Mapped"/>
    <s v="User Not Mapped"/>
    <n v="281522"/>
    <s v="N.C. Das and Co."/>
    <s v="Private Wholsaler"/>
    <s v="6297603863"/>
    <n v="17"/>
    <n v="62"/>
    <x v="6"/>
    <s v="'WS3125003581'"/>
    <s v="2026-02-17"/>
    <s v="1"/>
    <s v="rcf"/>
    <m/>
  </r>
  <r>
    <s v="RCF Import"/>
    <s v="Imp 10-26-26"/>
    <s v="WB"/>
    <x v="0"/>
    <s v="Bongaon"/>
    <s v="User Not Mapped"/>
    <s v="User Not Mapped"/>
    <s v="User Not Mapped"/>
    <n v="281522"/>
    <s v="N.C. Das and Co."/>
    <s v="Private Wholsaler"/>
    <s v="6297603863"/>
    <n v="50"/>
    <n v="33"/>
    <x v="3"/>
    <s v="'3125004094'"/>
    <s v="2026-03-18"/>
    <s v="1"/>
    <s v="rcf"/>
    <m/>
  </r>
  <r>
    <s v="RCF Trombay"/>
    <s v="N.C.Urea(45kg)"/>
    <s v="WB"/>
    <x v="0"/>
    <s v="Deganga"/>
    <s v="User Not Mapped"/>
    <s v="User Not Mapped"/>
    <s v="User Not Mapped"/>
    <n v="223817"/>
    <s v="National Supply Agency"/>
    <s v="Private Wholsaler"/>
    <s v="9564505288"/>
    <n v="2.99"/>
    <n v="58"/>
    <x v="3"/>
    <s v="'WS3125003620'"/>
    <s v="2026-02-21"/>
    <s v="1"/>
    <s v="rcf"/>
    <m/>
  </r>
  <r>
    <s v="RCF Thal"/>
    <s v="N.C.Urea(45kg)"/>
    <s v="WB"/>
    <x v="0"/>
    <s v="Deganga"/>
    <s v="User Not Mapped"/>
    <s v="User Not Mapped"/>
    <s v="User Not Mapped"/>
    <n v="223817"/>
    <s v="National Supply Agency"/>
    <s v="Private Wholsaler"/>
    <s v="9564505288"/>
    <n v="28.98"/>
    <n v="19"/>
    <x v="5"/>
    <s v="'WS3126000006'"/>
    <s v="2026-04-01"/>
    <s v="1"/>
    <s v="rcf"/>
    <m/>
  </r>
  <r>
    <s v="RCF Trombay"/>
    <s v="15-15-15"/>
    <s v="WB"/>
    <x v="0"/>
    <m/>
    <s v="User Not Mapped"/>
    <s v="User Not Mapped"/>
    <s v="User Not Mapped"/>
    <n v="223815"/>
    <s v="Sahidul Islam  Co.           "/>
    <s v="Private Wholsaler"/>
    <s v="9153379112"/>
    <n v="1"/>
    <n v="58"/>
    <x v="3"/>
    <s v="'WS3125003633'"/>
    <s v="2026-02-21"/>
    <s v="1"/>
    <s v="rcf"/>
    <m/>
  </r>
  <r>
    <s v="RCF Thal"/>
    <s v="N.C.Urea(45kg)"/>
    <s v="WB"/>
    <x v="0"/>
    <m/>
    <s v="User Not Mapped"/>
    <s v="User Not Mapped"/>
    <s v="User Not Mapped"/>
    <n v="223815"/>
    <s v="Sahidul Islam  Co.           "/>
    <s v="Private Wholsaler"/>
    <s v="9153379112"/>
    <n v="16.47"/>
    <n v="42"/>
    <x v="3"/>
    <s v="'WS3125003998'"/>
    <s v="2026-03-09"/>
    <s v="1"/>
    <s v="rcf"/>
    <m/>
  </r>
  <r>
    <s v="RCF Import"/>
    <s v="MOP"/>
    <s v="WB"/>
    <x v="0"/>
    <m/>
    <s v="User Not Mapped"/>
    <s v="User Not Mapped"/>
    <s v="User Not Mapped"/>
    <n v="223815"/>
    <s v="Sahidul Islam  Co.           "/>
    <s v="Private Wholsaler"/>
    <s v="9153379112"/>
    <n v="9"/>
    <n v="63"/>
    <x v="6"/>
    <s v="'WS3125003525'"/>
    <s v="2026-02-16"/>
    <s v="1"/>
    <s v="rcf"/>
    <m/>
  </r>
  <r>
    <s v="RCF Trombay"/>
    <s v="N.C.Urea(45kg)"/>
    <s v="WB"/>
    <x v="0"/>
    <m/>
    <s v="User Not Mapped"/>
    <s v="User Not Mapped"/>
    <s v="User Not Mapped"/>
    <n v="223815"/>
    <s v="Sahidul Islam  Co.           "/>
    <s v="Private Wholsaler"/>
    <s v="9153379112"/>
    <n v="5.49"/>
    <n v="58"/>
    <x v="3"/>
    <s v="'WS3125003622'"/>
    <s v="2026-02-21"/>
    <s v="1"/>
    <s v="rcf"/>
    <m/>
  </r>
  <r>
    <s v="RCF Trombay"/>
    <s v="15-15-15"/>
    <s v="WB"/>
    <x v="0"/>
    <s v="Gaighata"/>
    <s v="User Not Mapped"/>
    <s v="User Not Mapped"/>
    <s v="User Not Mapped"/>
    <n v="458135"/>
    <s v="Rampada Mondal"/>
    <s v="Private Retailer"/>
    <s v="9002198517"/>
    <n v="0.02"/>
    <n v="2659"/>
    <x v="2"/>
    <m/>
    <s v="2019-01-08"/>
    <s v="625928"/>
    <s v="Renuka Saha Roy"/>
    <s v="7478940964"/>
  </r>
  <r>
    <s v="RCF Trombay"/>
    <s v="15-15-15"/>
    <s v="WB"/>
    <x v="0"/>
    <s v="Bongaon"/>
    <s v="User Not Mapped"/>
    <s v="User Not Mapped"/>
    <s v="User Not Mapped"/>
    <n v="354738"/>
    <s v="Ashit Kumar Sur"/>
    <s v="Private Retailer"/>
    <s v="9332966093"/>
    <n v="0.41"/>
    <n v="431"/>
    <x v="0"/>
    <m/>
    <s v="2025-02-13"/>
    <s v="1031616"/>
    <s v="Rita Mondal"/>
    <s v="9434190852"/>
  </r>
  <r>
    <s v="RCF Thal"/>
    <s v="N.C.Urea(45kg)"/>
    <s v="WB"/>
    <x v="0"/>
    <s v="Gaighata"/>
    <s v="User Not Mapped"/>
    <s v="User Not Mapped"/>
    <s v="User Not Mapped"/>
    <n v="411365"/>
    <s v="Ghosh Fertlizer"/>
    <s v="Private Retailer"/>
    <s v="9749556595"/>
    <n v="0.13500000000000001"/>
    <n v="337"/>
    <x v="1"/>
    <m/>
    <s v="2025-05-18"/>
    <s v="1031616"/>
    <s v="Rita Mondal"/>
    <s v="9434190852"/>
  </r>
  <r>
    <s v="RCF Trombay"/>
    <s v="15-15-15"/>
    <s v="WB"/>
    <x v="0"/>
    <s v="Gaighata"/>
    <s v="User Not Mapped"/>
    <s v="User Not Mapped"/>
    <s v="User Not Mapped"/>
    <n v="411383"/>
    <s v="Laxman Chandra Sardar"/>
    <s v="Private Retailer"/>
    <s v="9002893215"/>
    <n v="0.27"/>
    <n v="426"/>
    <x v="0"/>
    <m/>
    <s v="2025-02-18"/>
    <s v="1031616"/>
    <s v="Rita Mondal"/>
    <s v="9434190852"/>
  </r>
  <r>
    <s v="RCF Trombay"/>
    <s v="15-15-15"/>
    <s v="WB"/>
    <x v="0"/>
    <s v="Bongaon"/>
    <s v="User Not Mapped"/>
    <s v="User Not Mapped"/>
    <s v="User Not Mapped"/>
    <n v="411237"/>
    <s v="Satya Ranjan Sarkar"/>
    <s v="Private Retailer"/>
    <s v="9749275172"/>
    <n v="0.2"/>
    <n v="396"/>
    <x v="0"/>
    <m/>
    <s v="2025-03-20"/>
    <s v="1031616"/>
    <s v="Rita Mondal"/>
    <s v="9434190852"/>
  </r>
  <r>
    <s v="RCF Thal"/>
    <s v="N.C.Urea(45kg)"/>
    <s v="WB"/>
    <x v="0"/>
    <s v="Bongaon"/>
    <s v="User Not Mapped"/>
    <s v="User Not Mapped"/>
    <s v="User Not Mapped"/>
    <n v="916460"/>
    <s v="Shibapada Mondal"/>
    <s v="Private Retailer"/>
    <s v="8346870294"/>
    <n v="1.4999999999999999E-2"/>
    <n v="384"/>
    <x v="0"/>
    <m/>
    <s v="2025-04-01"/>
    <s v="1031616"/>
    <s v="Rita Mondal"/>
    <s v="9434190852"/>
  </r>
  <r>
    <s v="RCF Trombay"/>
    <s v="15-15-15"/>
    <s v="WB"/>
    <x v="0"/>
    <m/>
    <s v="User Not Mapped"/>
    <s v="User Not Mapped"/>
    <s v="User Not Mapped"/>
    <n v="487193"/>
    <s v="Ahana Krishi Bhandar"/>
    <s v="Private Retailer"/>
    <s v="9883052263"/>
    <n v="1"/>
    <n v="1887"/>
    <x v="2"/>
    <m/>
    <s v="2021-02-18"/>
    <s v="949738"/>
    <s v="sABIR FERTILIZER"/>
    <s v="9051027794"/>
  </r>
  <r>
    <s v="RCF Trombay"/>
    <s v="15-15-15"/>
    <s v="WB"/>
    <x v="0"/>
    <m/>
    <s v="User Not Mapped"/>
    <s v="User Not Mapped"/>
    <s v="User Not Mapped"/>
    <n v="487193"/>
    <s v="Ahana Krishi Bhandar"/>
    <s v="Private Retailer"/>
    <s v="9883052263"/>
    <n v="0.45"/>
    <n v="1937"/>
    <x v="2"/>
    <m/>
    <s v="2020-12-30"/>
    <s v="949738"/>
    <s v="sABIR FERTILIZER"/>
    <s v="9051027794"/>
  </r>
  <r>
    <s v="RCF Trombay"/>
    <s v="N.C.Urea(45kg)"/>
    <s v="WB"/>
    <x v="0"/>
    <s v="Barasat - I"/>
    <s v="User Not Mapped"/>
    <s v="User Not Mapped"/>
    <s v="User Not Mapped"/>
    <n v="411046"/>
    <s v="Ma-Moni Fertilizer"/>
    <s v="Private Retailer"/>
    <s v="9143732906"/>
    <n v="0.45"/>
    <n v="1577"/>
    <x v="2"/>
    <m/>
    <s v="2021-12-25"/>
    <s v="949738"/>
    <s v="sABIR FERTILIZER"/>
    <s v="9051027794"/>
  </r>
  <r>
    <s v="RCF Trombay"/>
    <s v="15-15-15"/>
    <s v="WB"/>
    <x v="0"/>
    <s v="Barasat - I"/>
    <s v="User Not Mapped"/>
    <s v="User Not Mapped"/>
    <s v="User Not Mapped"/>
    <n v="411046"/>
    <s v="Ma-Moni Fertilizer"/>
    <s v="Private Retailer"/>
    <s v="9143732906"/>
    <n v="0.05"/>
    <n v="1620"/>
    <x v="2"/>
    <m/>
    <s v="2021-11-12"/>
    <s v="949738"/>
    <s v="sABIR FERTILIZER"/>
    <s v="9051027794"/>
  </r>
  <r>
    <s v="RCF Trombay"/>
    <s v="15-15-15"/>
    <s v="WB"/>
    <x v="0"/>
    <s v="Barrackpur - I"/>
    <s v="User Not Mapped"/>
    <s v="User Not Mapped"/>
    <s v="User Not Mapped"/>
    <n v="226562"/>
    <s v="Bijoy Krishna Saha"/>
    <s v="Private Retailer"/>
    <s v="9748457448"/>
    <n v="2.7"/>
    <n v="75"/>
    <x v="6"/>
    <m/>
    <s v="2026-02-04"/>
    <s v="281495"/>
    <s v="Saha Fertilizer Stores        "/>
    <s v="8777624646"/>
  </r>
  <r>
    <s v="RCF Trombay"/>
    <s v="15-15-15"/>
    <s v="WB"/>
    <x v="0"/>
    <s v="Amdanga"/>
    <s v="User Not Mapped"/>
    <s v="User Not Mapped"/>
    <s v="User Not Mapped"/>
    <n v="226660"/>
    <s v="Ghosh Krishi Bhandar"/>
    <s v="Private Retailer"/>
    <s v="9674139749"/>
    <n v="0.95"/>
    <n v="25"/>
    <x v="5"/>
    <m/>
    <s v="2026-03-26"/>
    <s v="281495"/>
    <s v="Saha Fertilizer Stores        "/>
    <s v="8777624646"/>
  </r>
  <r>
    <s v="RCF Trombay"/>
    <s v="15-15-15"/>
    <s v="WB"/>
    <x v="0"/>
    <s v="Amdanga"/>
    <s v="User Not Mapped"/>
    <s v="User Not Mapped"/>
    <s v="User Not Mapped"/>
    <n v="226660"/>
    <s v="Ghosh Krishi Bhandar"/>
    <s v="Private Retailer"/>
    <s v="9674139749"/>
    <n v="0.35"/>
    <n v="42"/>
    <x v="3"/>
    <m/>
    <s v="2026-03-09"/>
    <s v="281495"/>
    <s v="Saha Fertilizer Stores        "/>
    <s v="8777624646"/>
  </r>
  <r>
    <s v="RCF Trombay"/>
    <s v="15-15-15"/>
    <s v="WB"/>
    <x v="0"/>
    <s v="Barasat - II"/>
    <s v="User Not Mapped"/>
    <s v="User Not Mapped"/>
    <s v="User Not Mapped"/>
    <n v="289613"/>
    <s v="M/S Aziber Fertilizer"/>
    <s v="Private Retailer"/>
    <s v="9051706302"/>
    <n v="0.5"/>
    <n v="75"/>
    <x v="6"/>
    <m/>
    <s v="2026-02-04"/>
    <s v="281495"/>
    <s v="Saha Fertilizer Stores        "/>
    <s v="8777624646"/>
  </r>
  <r>
    <s v="RCF Trombay"/>
    <s v="15-15-15"/>
    <s v="WB"/>
    <x v="0"/>
    <s v="Barasat - I"/>
    <s v="User Not Mapped"/>
    <s v="User Not Mapped"/>
    <s v="User Not Mapped"/>
    <n v="410994"/>
    <s v="M/S Jana Fertilizer"/>
    <s v="Private Retailer"/>
    <s v="8777818574"/>
    <n v="1.85"/>
    <n v="122"/>
    <x v="4"/>
    <m/>
    <s v="2025-12-19"/>
    <s v="281495"/>
    <s v="Saha Fertilizer Stores        "/>
    <s v="8777624646"/>
  </r>
  <r>
    <s v="RCF Trombay"/>
    <s v="15-15-15"/>
    <s v="WB"/>
    <x v="0"/>
    <s v="Barasat - I"/>
    <s v="User Not Mapped"/>
    <s v="User Not Mapped"/>
    <s v="User Not Mapped"/>
    <n v="410994"/>
    <s v="M/S Jana Fertilizer"/>
    <s v="Private Retailer"/>
    <s v="8777818574"/>
    <n v="1"/>
    <n v="101"/>
    <x v="7"/>
    <m/>
    <s v="2026-01-09"/>
    <s v="281495"/>
    <s v="Saha Fertilizer Stores        "/>
    <s v="8777624646"/>
  </r>
  <r>
    <s v="RCF Trombay"/>
    <s v="15-15-15"/>
    <s v="WB"/>
    <x v="0"/>
    <s v="Barasat - I"/>
    <s v="User Not Mapped"/>
    <s v="User Not Mapped"/>
    <s v="User Not Mapped"/>
    <n v="411038"/>
    <s v="M/S Minoti Fertilizer"/>
    <s v="Private Retailer"/>
    <s v="9875438566"/>
    <n v="1"/>
    <n v="55"/>
    <x v="3"/>
    <m/>
    <s v="2026-02-24"/>
    <s v="281495"/>
    <s v="Saha Fertilizer Stores        "/>
    <s v="8777624646"/>
  </r>
  <r>
    <s v="RCF Trombay"/>
    <s v="15-15-15"/>
    <s v="WB"/>
    <x v="0"/>
    <s v="Barasat - I"/>
    <s v="User Not Mapped"/>
    <s v="User Not Mapped"/>
    <s v="User Not Mapped"/>
    <n v="1259528"/>
    <s v="NEW SADHUKHAN KRISHI BHANDAR"/>
    <s v="Private Retailer"/>
    <s v="8240042863"/>
    <n v="1.05"/>
    <n v="25"/>
    <x v="5"/>
    <m/>
    <s v="2026-03-26"/>
    <s v="281495"/>
    <s v="Saha Fertilizer Stores        "/>
    <s v="8777624646"/>
  </r>
  <r>
    <s v="RCF Trombay"/>
    <s v="15-15-15"/>
    <s v="WB"/>
    <x v="0"/>
    <s v="Barasat - I"/>
    <s v="User Not Mapped"/>
    <s v="User Not Mapped"/>
    <s v="User Not Mapped"/>
    <n v="1380639"/>
    <s v="SABUJ SATHI KRISHI BHANDER"/>
    <s v="Private Retailer"/>
    <s v="9007497082"/>
    <n v="4.9000000000000002E-2"/>
    <n v="660"/>
    <x v="2"/>
    <m/>
    <s v="2024-06-29"/>
    <s v="281495"/>
    <s v="Saha Fertilizer Stores        "/>
    <s v="8777624646"/>
  </r>
  <r>
    <s v="RCF Trombay"/>
    <s v="15-15-15"/>
    <s v="WB"/>
    <x v="0"/>
    <s v="Basirhat - II"/>
    <s v="User Not Mapped"/>
    <s v="User Not Mapped"/>
    <s v="User Not Mapped"/>
    <n v="496077"/>
    <s v="ABDUL RASID"/>
    <s v="Private Retailer"/>
    <s v="9735263472"/>
    <n v="0.05"/>
    <n v="821"/>
    <x v="2"/>
    <m/>
    <s v="2024-01-20"/>
    <s v="405249"/>
    <s v="Saha Krishi Bhandar"/>
    <s v="9734801636"/>
  </r>
  <r>
    <s v="RCF Thal"/>
    <s v="N.C.Urea(45kg)"/>
    <s v="WB"/>
    <x v="0"/>
    <s v="Deganga"/>
    <s v="User Not Mapped"/>
    <s v="User Not Mapped"/>
    <s v="User Not Mapped"/>
    <n v="1076581"/>
    <s v="Adarsha krishi bhander"/>
    <s v="Private Wholsaler"/>
    <s v="9143169628"/>
    <n v="10.98"/>
    <n v="105"/>
    <x v="7"/>
    <s v="'878/1'"/>
    <s v="2026-01-05"/>
    <s v="405249"/>
    <s v="Saha Krishi Bhandar"/>
    <s v="9734801636"/>
  </r>
  <r>
    <s v="RCF Trombay"/>
    <s v="N.C.Urea(45kg)"/>
    <s v="WB"/>
    <x v="0"/>
    <s v="Habra - I"/>
    <s v="User Not Mapped"/>
    <s v="User Not Mapped"/>
    <s v="User Not Mapped"/>
    <n v="226472"/>
    <s v="Aklima Bibi"/>
    <s v="Private Retailer"/>
    <s v="9932237990"/>
    <n v="1.4850000000000001"/>
    <n v="119"/>
    <x v="7"/>
    <m/>
    <s v="2025-12-22"/>
    <s v="405249"/>
    <s v="Saha Krishi Bhandar"/>
    <s v="9734801636"/>
  </r>
  <r>
    <s v="RCF Trombay"/>
    <s v="15-15-15"/>
    <s v="WB"/>
    <x v="0"/>
    <s v="Habra - I"/>
    <s v="User Not Mapped"/>
    <s v="User Not Mapped"/>
    <s v="User Not Mapped"/>
    <n v="226472"/>
    <s v="Aklima Bibi"/>
    <s v="Private Retailer"/>
    <s v="9932237990"/>
    <n v="0.2"/>
    <n v="128"/>
    <x v="4"/>
    <m/>
    <s v="2025-12-13"/>
    <s v="405249"/>
    <s v="Saha Krishi Bhandar"/>
    <s v="9734801636"/>
  </r>
  <r>
    <s v="RCF Trombay"/>
    <s v="N.C.Urea(45kg)"/>
    <s v="WB"/>
    <x v="0"/>
    <m/>
    <s v="User Not Mapped"/>
    <s v="User Not Mapped"/>
    <s v="User Not Mapped"/>
    <n v="515906"/>
    <s v="Amal Kumar Gain"/>
    <s v="Private Retailer"/>
    <s v="9641576301"/>
    <n v="0.72"/>
    <n v="56"/>
    <x v="3"/>
    <m/>
    <s v="2026-02-23"/>
    <s v="405249"/>
    <s v="Saha Krishi Bhandar"/>
    <s v="9734801636"/>
  </r>
  <r>
    <s v="RCF Trombay"/>
    <s v="15-15-15"/>
    <s v="WB"/>
    <x v="0"/>
    <s v="Swarupnagar"/>
    <s v="User Not Mapped"/>
    <s v="User Not Mapped"/>
    <s v="User Not Mapped"/>
    <n v="226513"/>
    <s v="Arvinda Ghosh"/>
    <s v="Private Retailer"/>
    <s v="9733491362"/>
    <n v="0.65"/>
    <n v="136"/>
    <x v="4"/>
    <m/>
    <s v="2025-12-05"/>
    <s v="405249"/>
    <s v="Saha Krishi Bhandar"/>
    <s v="9734801636"/>
  </r>
  <r>
    <s v="RCF Trombay"/>
    <s v="15-15-15"/>
    <s v="WB"/>
    <x v="0"/>
    <s v="Baduria"/>
    <s v="User Not Mapped"/>
    <s v="User Not Mapped"/>
    <s v="User Not Mapped"/>
    <n v="226541"/>
    <s v="Bajlur Rahaman"/>
    <s v="Private Retailer"/>
    <s v="9143047131"/>
    <n v="0.01"/>
    <n v="1076"/>
    <x v="2"/>
    <m/>
    <s v="2023-05-10"/>
    <s v="405249"/>
    <s v="Saha Krishi Bhandar"/>
    <s v="9734801636"/>
  </r>
  <r>
    <s v="RCF Trombay"/>
    <s v="15-15-15"/>
    <s v="WB"/>
    <x v="0"/>
    <s v="Baduria"/>
    <s v="User Not Mapped"/>
    <s v="User Not Mapped"/>
    <s v="User Not Mapped"/>
    <n v="323591"/>
    <s v="Bhola Nath Das"/>
    <s v="Private Retailer"/>
    <s v="9732895664"/>
    <n v="0.75"/>
    <n v="128"/>
    <x v="4"/>
    <m/>
    <s v="2025-12-13"/>
    <s v="405249"/>
    <s v="Saha Krishi Bhandar"/>
    <s v="9734801636"/>
  </r>
  <r>
    <s v="RCF Trombay"/>
    <s v="15-15-15"/>
    <s v="WB"/>
    <x v="0"/>
    <s v="Baduria"/>
    <s v="User Not Mapped"/>
    <s v="User Not Mapped"/>
    <s v="User Not Mapped"/>
    <n v="323591"/>
    <s v="Bhola Nath Das"/>
    <s v="Private Retailer"/>
    <s v="9732895664"/>
    <n v="0.3"/>
    <n v="265"/>
    <x v="1"/>
    <m/>
    <s v="2025-07-29"/>
    <s v="405249"/>
    <s v="Saha Krishi Bhandar"/>
    <s v="9734801636"/>
  </r>
  <r>
    <s v="RCF Thal"/>
    <s v="N.C.Urea(45kg)"/>
    <s v="WB"/>
    <x v="0"/>
    <s v="Habra - I"/>
    <s v="User Not Mapped"/>
    <s v="User Not Mapped"/>
    <s v="User Not Mapped"/>
    <n v="227000"/>
    <s v="Bijay Sarkar"/>
    <s v="Private Retailer"/>
    <s v="9647226872"/>
    <n v="0.09"/>
    <n v="259"/>
    <x v="1"/>
    <m/>
    <s v="2025-08-04"/>
    <s v="405249"/>
    <s v="Saha Krishi Bhandar"/>
    <s v="9734801636"/>
  </r>
  <r>
    <s v="RCF Trombay"/>
    <s v="N.C.Urea(45kg)"/>
    <s v="WB"/>
    <x v="0"/>
    <s v="Swarupnagar"/>
    <s v="User Not Mapped"/>
    <s v="User Not Mapped"/>
    <s v="User Not Mapped"/>
    <n v="226661"/>
    <s v="Ghosh Krishi Bhandar"/>
    <s v="Private Retailer"/>
    <s v="7001298554"/>
    <n v="1.8"/>
    <n v="69"/>
    <x v="6"/>
    <m/>
    <s v="2026-02-10"/>
    <s v="405249"/>
    <s v="Saha Krishi Bhandar"/>
    <s v="9734801636"/>
  </r>
  <r>
    <s v="RCF Trombay"/>
    <s v="15-15-15"/>
    <s v="WB"/>
    <x v="0"/>
    <s v="Swarupnagar"/>
    <s v="User Not Mapped"/>
    <s v="User Not Mapped"/>
    <s v="User Not Mapped"/>
    <n v="226664"/>
    <s v="Giarul Islam Biswas"/>
    <s v="Private Retailer"/>
    <s v="9732276830"/>
    <n v="0.35"/>
    <n v="90"/>
    <x v="6"/>
    <m/>
    <s v="2026-01-20"/>
    <s v="405249"/>
    <s v="Saha Krishi Bhandar"/>
    <s v="9734801636"/>
  </r>
  <r>
    <s v="RCF Trombay"/>
    <s v="15-15-15"/>
    <s v="WB"/>
    <x v="0"/>
    <s v="Baduria"/>
    <s v="User Not Mapped"/>
    <s v="User Not Mapped"/>
    <s v="User Not Mapped"/>
    <n v="226710"/>
    <s v="Jafar Ali"/>
    <s v="Private Retailer"/>
    <s v="9735285501"/>
    <n v="0.2"/>
    <n v="665"/>
    <x v="2"/>
    <m/>
    <s v="2024-06-24"/>
    <s v="405249"/>
    <s v="Saha Krishi Bhandar"/>
    <s v="9734801636"/>
  </r>
  <r>
    <s v="RCF Trombay"/>
    <s v="N.C.Urea(45kg)"/>
    <s v="WB"/>
    <x v="0"/>
    <s v="Barasat - II"/>
    <s v="User Not Mapped"/>
    <s v="User Not Mapped"/>
    <s v="User Not Mapped"/>
    <n v="465178"/>
    <s v="M/S KALIMATA FERTILIZER STORE"/>
    <s v="Private Retailer"/>
    <s v="9733953714"/>
    <n v="1.1879999999999999"/>
    <n v="158"/>
    <x v="4"/>
    <m/>
    <s v="2025-11-13"/>
    <s v="405249"/>
    <s v="Saha Krishi Bhandar"/>
    <s v="9734801636"/>
  </r>
  <r>
    <s v="RCF Thal"/>
    <s v="N.C.Urea(45kg)"/>
    <s v="WB"/>
    <x v="0"/>
    <s v="Gaighata"/>
    <s v="User Not Mapped"/>
    <s v="User Not Mapped"/>
    <s v="User Not Mapped"/>
    <n v="517970"/>
    <s v="M/S Mithu Das"/>
    <s v="Private Retailer"/>
    <s v="9475456056"/>
    <n v="0.19"/>
    <n v="413"/>
    <x v="0"/>
    <m/>
    <s v="2025-03-03"/>
    <s v="405249"/>
    <s v="Saha Krishi Bhandar"/>
    <s v="9734801636"/>
  </r>
  <r>
    <s v="RCF Thal"/>
    <s v="N.C.Urea(45kg)"/>
    <s v="WB"/>
    <x v="0"/>
    <s v="Basirhat - I"/>
    <s v="User Not Mapped"/>
    <s v="User Not Mapped"/>
    <s v="User Not Mapped"/>
    <n v="668032"/>
    <s v="MAA KRISHI BIPONI"/>
    <s v="Private Wholsaler"/>
    <s v="9564322993"/>
    <n v="10.08"/>
    <n v="259"/>
    <x v="1"/>
    <s v="'278'"/>
    <s v="2025-08-04"/>
    <s v="405249"/>
    <s v="Saha Krishi Bhandar"/>
    <s v="9734801636"/>
  </r>
  <r>
    <s v="RCF Trombay"/>
    <s v="15-15-15"/>
    <s v="WB"/>
    <x v="0"/>
    <m/>
    <s v="User Not Mapped"/>
    <s v="User Not Mapped"/>
    <s v="User Not Mapped"/>
    <n v="668586"/>
    <s v="MD.KARAM HOSSAIN"/>
    <s v="Private Retailer"/>
    <s v="9547626148"/>
    <n v="0.15"/>
    <n v="2245"/>
    <x v="2"/>
    <m/>
    <s v="2020-02-26"/>
    <s v="405249"/>
    <s v="Saha Krishi Bhandar"/>
    <s v="9734801636"/>
  </r>
  <r>
    <s v="RCF Trombay"/>
    <s v="15-15-15"/>
    <s v="WB"/>
    <x v="0"/>
    <m/>
    <s v="User Not Mapped"/>
    <s v="User Not Mapped"/>
    <s v="User Not Mapped"/>
    <n v="668586"/>
    <s v="MD.KARAM HOSSAIN"/>
    <s v="Private Retailer"/>
    <s v="9547626148"/>
    <n v="0.1"/>
    <n v="2256"/>
    <x v="2"/>
    <m/>
    <s v="2020-02-15"/>
    <s v="405249"/>
    <s v="Saha Krishi Bhandar"/>
    <s v="9734801636"/>
  </r>
  <r>
    <s v="RCF Trombay"/>
    <s v="15-15-15"/>
    <s v="WB"/>
    <x v="0"/>
    <m/>
    <s v="User Not Mapped"/>
    <s v="User Not Mapped"/>
    <s v="User Not Mapped"/>
    <n v="668586"/>
    <s v="MD.KARAM HOSSAIN"/>
    <s v="Private Retailer"/>
    <s v="9547626148"/>
    <n v="0.25"/>
    <n v="2192"/>
    <x v="2"/>
    <m/>
    <s v="2020-04-19"/>
    <s v="405249"/>
    <s v="Saha Krishi Bhandar"/>
    <s v="9734801636"/>
  </r>
  <r>
    <s v="RCF Trombay"/>
    <s v="15-15-15"/>
    <s v="WB"/>
    <x v="0"/>
    <m/>
    <s v="User Not Mapped"/>
    <s v="User Not Mapped"/>
    <s v="User Not Mapped"/>
    <n v="668586"/>
    <s v="MD.KARAM HOSSAIN"/>
    <s v="Private Retailer"/>
    <s v="9547626148"/>
    <n v="0.2"/>
    <n v="2218"/>
    <x v="2"/>
    <m/>
    <s v="2020-03-24"/>
    <s v="405249"/>
    <s v="Saha Krishi Bhandar"/>
    <s v="9734801636"/>
  </r>
  <r>
    <s v="RCF Trombay"/>
    <s v="15-15-15"/>
    <s v="WB"/>
    <x v="0"/>
    <m/>
    <s v="User Not Mapped"/>
    <s v="User Not Mapped"/>
    <s v="User Not Mapped"/>
    <n v="668586"/>
    <s v="MD.KARAM HOSSAIN"/>
    <s v="Private Retailer"/>
    <s v="9547626148"/>
    <n v="0.2"/>
    <n v="2296"/>
    <x v="2"/>
    <m/>
    <s v="2020-01-06"/>
    <s v="405249"/>
    <s v="Saha Krishi Bhandar"/>
    <s v="9734801636"/>
  </r>
  <r>
    <s v="RCF Trombay"/>
    <s v="N.C.Urea(45kg)"/>
    <s v="WB"/>
    <x v="0"/>
    <m/>
    <s v="User Not Mapped"/>
    <s v="User Not Mapped"/>
    <s v="User Not Mapped"/>
    <n v="668586"/>
    <s v="MD.KARAM HOSSAIN"/>
    <s v="Private Retailer"/>
    <s v="9547626148"/>
    <n v="3.5000000000000003E-2"/>
    <n v="2296"/>
    <x v="2"/>
    <m/>
    <s v="2020-01-06"/>
    <s v="405249"/>
    <s v="Saha Krishi Bhandar"/>
    <s v="9734801636"/>
  </r>
  <r>
    <s v="RCF Thal"/>
    <s v="N.C.Urea(45kg)"/>
    <s v="WB"/>
    <x v="0"/>
    <s v="Gaighata"/>
    <s v="User Not Mapped"/>
    <s v="User Not Mapped"/>
    <s v="User Not Mapped"/>
    <n v="411209"/>
    <s v="Molay Saha"/>
    <s v="Private Retailer"/>
    <s v="9933832688"/>
    <n v="4.5"/>
    <n v="413"/>
    <x v="0"/>
    <m/>
    <s v="2025-03-03"/>
    <s v="405249"/>
    <s v="Saha Krishi Bhandar"/>
    <s v="9734801636"/>
  </r>
  <r>
    <s v="RCF Thal"/>
    <s v="N.C.Urea(45kg)"/>
    <s v="WB"/>
    <x v="0"/>
    <s v="Swarupnagar"/>
    <s v="User Not Mapped"/>
    <s v="User Not Mapped"/>
    <s v="User Not Mapped"/>
    <n v="227082"/>
    <s v="Puspendu Bachar"/>
    <s v="Private Retailer"/>
    <s v="6294297161"/>
    <n v="0.54"/>
    <n v="173"/>
    <x v="4"/>
    <m/>
    <s v="2025-10-29"/>
    <s v="405249"/>
    <s v="Saha Krishi Bhandar"/>
    <s v="9734801636"/>
  </r>
  <r>
    <s v="RCF Thal"/>
    <s v="N.C.Urea(45kg)"/>
    <s v="WB"/>
    <x v="0"/>
    <m/>
    <s v="User Not Mapped"/>
    <s v="User Not Mapped"/>
    <s v="User Not Mapped"/>
    <n v="487640"/>
    <s v="Raj Krishi Bhandar"/>
    <s v="Private Retailer"/>
    <s v="9732855180"/>
    <n v="1.17"/>
    <n v="1203"/>
    <x v="2"/>
    <m/>
    <s v="2023-01-03"/>
    <s v="405249"/>
    <s v="Saha Krishi Bhandar"/>
    <s v="9734801636"/>
  </r>
  <r>
    <s v="RCF Thal"/>
    <s v="N.C.Urea(45kg)"/>
    <s v="WB"/>
    <x v="0"/>
    <s v="Barasat - II"/>
    <s v="User Not Mapped"/>
    <s v="User Not Mapped"/>
    <s v="User Not Mapped"/>
    <n v="500070"/>
    <s v="Baidya Fertilizer"/>
    <s v="Private Retailer"/>
    <s v="8584822527"/>
    <n v="3.5550000000000002"/>
    <n v="33"/>
    <x v="3"/>
    <m/>
    <s v="2026-03-18"/>
    <s v="223815"/>
    <s v="Sahidul Islam  Co.           "/>
    <s v="9153379112"/>
  </r>
  <r>
    <s v="RCF Import"/>
    <s v="MOP"/>
    <s v="WB"/>
    <x v="0"/>
    <s v="Barasat - II"/>
    <s v="User Not Mapped"/>
    <s v="User Not Mapped"/>
    <s v="User Not Mapped"/>
    <n v="500070"/>
    <s v="Baidya Fertilizer"/>
    <s v="Private Retailer"/>
    <s v="8584822527"/>
    <n v="1.55"/>
    <n v="60"/>
    <x v="3"/>
    <m/>
    <s v="2026-02-19"/>
    <s v="223815"/>
    <s v="Sahidul Islam  Co.           "/>
    <s v="9153379112"/>
  </r>
  <r>
    <s v="RCF Import"/>
    <s v="Imp 10-26-26"/>
    <s v="WB"/>
    <x v="0"/>
    <s v="Barasat - II"/>
    <s v="User Not Mapped"/>
    <s v="User Not Mapped"/>
    <s v="User Not Mapped"/>
    <n v="500070"/>
    <s v="Baidya Fertilizer"/>
    <s v="Private Retailer"/>
    <s v="8584822527"/>
    <n v="2.7"/>
    <n v="54"/>
    <x v="3"/>
    <m/>
    <s v="2026-02-25"/>
    <s v="223815"/>
    <s v="Sahidul Islam  Co.           "/>
    <s v="9153379112"/>
  </r>
  <r>
    <s v="RCF Trombay"/>
    <s v="15-15-15"/>
    <s v="WB"/>
    <x v="0"/>
    <s v="Deganga"/>
    <s v="User Not Mapped"/>
    <s v="User Not Mapped"/>
    <s v="User Not Mapped"/>
    <n v="341028"/>
    <s v="Bhai Bhai Fertilizer"/>
    <s v="Private Retailer"/>
    <s v="9732783971"/>
    <n v="4.75"/>
    <n v="68"/>
    <x v="6"/>
    <m/>
    <s v="2026-02-11"/>
    <s v="223815"/>
    <s v="Sahidul Islam  Co.           "/>
    <s v="9153379112"/>
  </r>
  <r>
    <s v="RCF Trombay"/>
    <s v="15-15-15"/>
    <s v="WB"/>
    <x v="0"/>
    <m/>
    <s v="User Not Mapped"/>
    <s v="User Not Mapped"/>
    <s v="User Not Mapped"/>
    <n v="189326"/>
    <s v="Boyalghata Krishi Bhander"/>
    <s v="Private Retailer"/>
    <s v="9748238840"/>
    <n v="2.25"/>
    <n v="1245"/>
    <x v="2"/>
    <m/>
    <s v="2022-11-22"/>
    <s v="223815"/>
    <s v="Sahidul Islam  Co.           "/>
    <s v="9153379112"/>
  </r>
  <r>
    <s v="RCF Thal"/>
    <s v="N.C.Urea(45kg)"/>
    <s v="WB"/>
    <x v="0"/>
    <m/>
    <s v="User Not Mapped"/>
    <s v="User Not Mapped"/>
    <s v="User Not Mapped"/>
    <n v="189326"/>
    <s v="Boyalghata Krishi Bhander"/>
    <s v="Private Retailer"/>
    <s v="9748238840"/>
    <n v="2.4300000000000002"/>
    <n v="1493"/>
    <x v="2"/>
    <m/>
    <s v="2022-03-19"/>
    <s v="223815"/>
    <s v="Sahidul Islam  Co.           "/>
    <s v="9153379112"/>
  </r>
  <r>
    <s v="RCF Import"/>
    <s v="MOP"/>
    <s v="WB"/>
    <x v="0"/>
    <s v="Barasat - II"/>
    <s v="User Not Mapped"/>
    <s v="User Not Mapped"/>
    <s v="User Not Mapped"/>
    <n v="226953"/>
    <s v="M/S Hai Fertilizers"/>
    <s v="Private Retailer"/>
    <s v="6290251710"/>
    <n v="0.05"/>
    <n v="46"/>
    <x v="3"/>
    <m/>
    <s v="2026-03-05"/>
    <s v="223815"/>
    <s v="Sahidul Islam  Co.           "/>
    <s v="9153379112"/>
  </r>
  <r>
    <s v="RCF Trombay"/>
    <s v="15-15-15"/>
    <s v="WB"/>
    <x v="0"/>
    <s v="Barasat - II"/>
    <s v="User Not Mapped"/>
    <s v="User Not Mapped"/>
    <s v="User Not Mapped"/>
    <n v="226956"/>
    <s v="M/S Jahangir Fertilizers Stor"/>
    <s v="Private Retailer"/>
    <s v="9647138472"/>
    <n v="3.55"/>
    <n v="68"/>
    <x v="6"/>
    <m/>
    <s v="2026-02-11"/>
    <s v="223815"/>
    <s v="Sahidul Islam  Co.           "/>
    <s v="9153379112"/>
  </r>
  <r>
    <s v="RCF Trombay"/>
    <s v="15-15-15"/>
    <s v="WB"/>
    <x v="0"/>
    <s v="Barasat - II"/>
    <s v="User Not Mapped"/>
    <s v="User Not Mapped"/>
    <s v="User Not Mapped"/>
    <n v="226956"/>
    <s v="M/S Jahangir Fertilizers Stor"/>
    <s v="Private Retailer"/>
    <s v="9647138472"/>
    <n v="0.25"/>
    <n v="58"/>
    <x v="3"/>
    <m/>
    <s v="2026-02-21"/>
    <s v="223815"/>
    <s v="Sahidul Islam  Co.           "/>
    <s v="9153379112"/>
  </r>
  <r>
    <s v="RCF Trombay"/>
    <s v="N.C.Urea(45kg)"/>
    <s v="WB"/>
    <x v="0"/>
    <s v="Barasat - II"/>
    <s v="User Not Mapped"/>
    <s v="User Not Mapped"/>
    <s v="User Not Mapped"/>
    <n v="226989"/>
    <s v="M/S Paritosh Ghosh"/>
    <s v="Private Retailer"/>
    <s v="9674426005"/>
    <n v="1.4999999999999999E-2"/>
    <n v="345"/>
    <x v="1"/>
    <m/>
    <s v="2025-05-10"/>
    <s v="223815"/>
    <s v="Sahidul Islam  Co.           "/>
    <s v="9153379112"/>
  </r>
  <r>
    <s v="RCF Trombay"/>
    <s v="15-15-15"/>
    <s v="WB"/>
    <x v="0"/>
    <s v="Barasat - II"/>
    <s v="User Not Mapped"/>
    <s v="User Not Mapped"/>
    <s v="User Not Mapped"/>
    <n v="226990"/>
    <s v="M/S Paul Krishi Bhanndar"/>
    <s v="Private Retailer"/>
    <s v="9874173613"/>
    <n v="0.5"/>
    <n v="84"/>
    <x v="6"/>
    <m/>
    <s v="2026-01-26"/>
    <s v="223815"/>
    <s v="Sahidul Islam  Co.           "/>
    <s v="9153379112"/>
  </r>
  <r>
    <s v="RCF Trombay"/>
    <s v="15-15-15"/>
    <s v="WB"/>
    <x v="0"/>
    <s v="Barasat - II"/>
    <s v="User Not Mapped"/>
    <s v="User Not Mapped"/>
    <s v="User Not Mapped"/>
    <n v="226990"/>
    <s v="M/S Paul Krishi Bhanndar"/>
    <s v="Private Retailer"/>
    <s v="9874173613"/>
    <n v="1"/>
    <n v="93"/>
    <x v="7"/>
    <m/>
    <s v="2026-01-17"/>
    <s v="223815"/>
    <s v="Sahidul Islam  Co.           "/>
    <s v="9153379112"/>
  </r>
  <r>
    <s v="RCF Trombay"/>
    <s v="N.C.Urea(45kg)"/>
    <s v="WB"/>
    <x v="0"/>
    <s v="Barasat - II"/>
    <s v="User Not Mapped"/>
    <s v="User Not Mapped"/>
    <s v="User Not Mapped"/>
    <n v="226990"/>
    <s v="M/S Paul Krishi Bhanndar"/>
    <s v="Private Retailer"/>
    <s v="9874173613"/>
    <n v="0.45"/>
    <n v="93"/>
    <x v="7"/>
    <m/>
    <s v="2026-01-17"/>
    <s v="223815"/>
    <s v="Sahidul Islam  Co.           "/>
    <s v="9153379112"/>
  </r>
  <r>
    <s v="RCF Trombay"/>
    <s v="N.C.Urea(45kg)"/>
    <s v="WB"/>
    <x v="0"/>
    <s v="Barasat - II"/>
    <s v="User Not Mapped"/>
    <s v="User Not Mapped"/>
    <s v="User Not Mapped"/>
    <n v="411050"/>
    <s v="M/S Rabiul Fertilizer"/>
    <s v="Private Retailer"/>
    <s v="9836741944"/>
    <n v="2.52"/>
    <n v="68"/>
    <x v="6"/>
    <m/>
    <s v="2026-02-11"/>
    <s v="223815"/>
    <s v="Sahidul Islam  Co.           "/>
    <s v="9153379112"/>
  </r>
  <r>
    <s v="RCF Import"/>
    <s v="Imp 10-26-26"/>
    <s v="WB"/>
    <x v="0"/>
    <s v="Barasat - II"/>
    <s v="User Not Mapped"/>
    <s v="User Not Mapped"/>
    <s v="User Not Mapped"/>
    <n v="411050"/>
    <s v="M/S Rabiul Fertilizer"/>
    <s v="Private Retailer"/>
    <s v="9836741944"/>
    <n v="4.4000000000000004"/>
    <n v="54"/>
    <x v="3"/>
    <m/>
    <s v="2026-02-25"/>
    <s v="223815"/>
    <s v="Sahidul Islam  Co.           "/>
    <s v="9153379112"/>
  </r>
  <r>
    <s v="RCF Trombay"/>
    <s v="15-15-15"/>
    <s v="WB"/>
    <x v="0"/>
    <s v="Barasat - II"/>
    <s v="User Not Mapped"/>
    <s v="User Not Mapped"/>
    <s v="User Not Mapped"/>
    <n v="411050"/>
    <s v="M/S Rabiul Fertilizer"/>
    <s v="Private Retailer"/>
    <s v="9836741944"/>
    <n v="0.35"/>
    <n v="68"/>
    <x v="6"/>
    <m/>
    <s v="2026-02-11"/>
    <s v="223815"/>
    <s v="Sahidul Islam  Co.           "/>
    <s v="9153379112"/>
  </r>
  <r>
    <s v="RCF Trombay"/>
    <s v="15-15-15"/>
    <s v="WB"/>
    <x v="0"/>
    <s v="Barasat - II"/>
    <s v="User Not Mapped"/>
    <s v="User Not Mapped"/>
    <s v="User Not Mapped"/>
    <n v="226799"/>
    <s v="Madina Fertilizers"/>
    <s v="Private Retailer"/>
    <s v="8017490976"/>
    <n v="2"/>
    <n v="20"/>
    <x v="5"/>
    <m/>
    <s v="2026-03-31"/>
    <s v="223815"/>
    <s v="Sahidul Islam  Co.           "/>
    <s v="9153379112"/>
  </r>
  <r>
    <s v="RCF Trombay"/>
    <s v="15-15-15"/>
    <s v="WB"/>
    <x v="0"/>
    <s v="Barasat - II"/>
    <s v="User Not Mapped"/>
    <s v="User Not Mapped"/>
    <s v="User Not Mapped"/>
    <n v="226799"/>
    <s v="Madina Fertilizers"/>
    <s v="Private Retailer"/>
    <s v="8017490976"/>
    <n v="1.6"/>
    <n v="63"/>
    <x v="6"/>
    <m/>
    <s v="2026-02-16"/>
    <s v="223815"/>
    <s v="Sahidul Islam  Co.           "/>
    <s v="9153379112"/>
  </r>
  <r>
    <s v="RCF Import"/>
    <s v="MOP"/>
    <s v="WB"/>
    <x v="0"/>
    <s v="Barasat - II"/>
    <s v="User Not Mapped"/>
    <s v="User Not Mapped"/>
    <s v="User Not Mapped"/>
    <n v="226799"/>
    <s v="Madina Fertilizers"/>
    <s v="Private Retailer"/>
    <s v="8017490976"/>
    <n v="1.4"/>
    <n v="60"/>
    <x v="3"/>
    <m/>
    <s v="2026-02-19"/>
    <s v="223815"/>
    <s v="Sahidul Islam  Co.           "/>
    <s v="9153379112"/>
  </r>
  <r>
    <s v="RCF Trombay"/>
    <s v="15-15-15"/>
    <s v="WB"/>
    <x v="0"/>
    <s v="Deganga"/>
    <s v="User Not Mapped"/>
    <s v="User Not Mapped"/>
    <s v="User Not Mapped"/>
    <n v="768194"/>
    <s v="Md Kuddus Ali"/>
    <s v="Private Retailer"/>
    <s v="9732941109"/>
    <n v="0.72"/>
    <n v="63"/>
    <x v="6"/>
    <m/>
    <s v="2026-02-16"/>
    <s v="223815"/>
    <s v="Sahidul Islam  Co.           "/>
    <s v="9153379112"/>
  </r>
  <r>
    <s v="RCF Trombay"/>
    <s v="N.C.Urea(45kg)"/>
    <s v="WB"/>
    <x v="0"/>
    <s v="Deganga"/>
    <s v="User Not Mapped"/>
    <s v="User Not Mapped"/>
    <s v="User Not Mapped"/>
    <n v="461958"/>
    <s v="Md.Abdulquadir"/>
    <s v="Private Retailer"/>
    <s v="9143131170"/>
    <n v="5.49"/>
    <n v="68"/>
    <x v="6"/>
    <m/>
    <s v="2026-02-11"/>
    <s v="223815"/>
    <s v="Sahidul Islam  Co.           "/>
    <s v="9153379112"/>
  </r>
  <r>
    <s v="RCF Import"/>
    <s v="Imp 10-26-26"/>
    <s v="WB"/>
    <x v="0"/>
    <s v="Deganga"/>
    <s v="User Not Mapped"/>
    <s v="User Not Mapped"/>
    <s v="User Not Mapped"/>
    <n v="461958"/>
    <s v="Md.Abdulquadir"/>
    <s v="Private Retailer"/>
    <s v="9143131170"/>
    <n v="0.5"/>
    <n v="54"/>
    <x v="3"/>
    <m/>
    <s v="2026-02-25"/>
    <s v="223815"/>
    <s v="Sahidul Islam  Co.           "/>
    <s v="9153379112"/>
  </r>
  <r>
    <s v="RCF Trombay"/>
    <s v="N.C.Urea(45kg)"/>
    <s v="WB"/>
    <x v="0"/>
    <s v="Barasat - II"/>
    <s v="User Not Mapped"/>
    <s v="User Not Mapped"/>
    <s v="User Not Mapped"/>
    <n v="1410472"/>
    <s v="NAHIM FERTILIZER"/>
    <s v="Private Retailer"/>
    <s v="7003872133"/>
    <n v="1.4550000000000001"/>
    <n v="222"/>
    <x v="1"/>
    <m/>
    <s v="2025-09-10"/>
    <s v="223815"/>
    <s v="Sahidul Islam  Co.           "/>
    <s v="9153379112"/>
  </r>
  <r>
    <s v="RCF Trombay"/>
    <s v="15-15-15"/>
    <s v="WB"/>
    <x v="0"/>
    <s v="Deganga"/>
    <s v="User Not Mapped"/>
    <s v="User Not Mapped"/>
    <s v="User Not Mapped"/>
    <n v="500076"/>
    <s v="Rama Ghosh"/>
    <s v="Private Retailer"/>
    <s v="8016731525"/>
    <n v="0.95"/>
    <n v="83"/>
    <x v="6"/>
    <m/>
    <s v="2026-01-27"/>
    <s v="223815"/>
    <s v="Sahidul Islam  Co.           "/>
    <s v="9153379112"/>
  </r>
  <r>
    <s v="RCF Trombay"/>
    <s v="N.C.Urea(45kg)"/>
    <s v="WB"/>
    <x v="0"/>
    <s v="Deganga"/>
    <s v="User Not Mapped"/>
    <s v="User Not Mapped"/>
    <s v="User Not Mapped"/>
    <n v="270805"/>
    <s v="Sahidul Islam and Sons          "/>
    <s v="Private Retailer"/>
    <s v="9153379112"/>
    <n v="3.24"/>
    <n v="5"/>
    <x v="5"/>
    <m/>
    <s v="2026-04-15"/>
    <s v="223815"/>
    <s v="Sahidul Islam  Co.           "/>
    <s v="9153379112"/>
  </r>
  <r>
    <s v="RCF Import"/>
    <s v="MOP"/>
    <s v="WB"/>
    <x v="0"/>
    <s v="Deganga"/>
    <s v="User Not Mapped"/>
    <s v="User Not Mapped"/>
    <s v="User Not Mapped"/>
    <n v="270805"/>
    <s v="Sahidul Islam and Sons          "/>
    <s v="Private Retailer"/>
    <s v="9153379112"/>
    <n v="0.75"/>
    <n v="60"/>
    <x v="3"/>
    <m/>
    <s v="2026-02-19"/>
    <s v="223815"/>
    <s v="Sahidul Islam  Co.           "/>
    <s v="9153379112"/>
  </r>
  <r>
    <s v="RCF Trombay"/>
    <s v="15-15-15"/>
    <s v="WB"/>
    <x v="0"/>
    <s v="Deganga"/>
    <s v="User Not Mapped"/>
    <s v="User Not Mapped"/>
    <s v="User Not Mapped"/>
    <n v="270805"/>
    <s v="Sahidul Islam and Sons          "/>
    <s v="Private Retailer"/>
    <s v="9153379112"/>
    <n v="1.2"/>
    <n v="5"/>
    <x v="5"/>
    <m/>
    <s v="2026-04-15"/>
    <s v="223815"/>
    <s v="Sahidul Islam  Co.           "/>
    <s v="9153379112"/>
  </r>
  <r>
    <s v="RCF Import"/>
    <s v="MOP"/>
    <s v="WB"/>
    <x v="0"/>
    <s v="Deganga"/>
    <s v="User Not Mapped"/>
    <s v="User Not Mapped"/>
    <s v="User Not Mapped"/>
    <n v="270805"/>
    <s v="Sahidul Islam and Sons          "/>
    <s v="Private Retailer"/>
    <s v="9153379112"/>
    <n v="2.5"/>
    <n v="13"/>
    <x v="5"/>
    <m/>
    <s v="2026-04-07"/>
    <s v="223815"/>
    <s v="Sahidul Islam  Co.           "/>
    <s v="9153379112"/>
  </r>
  <r>
    <s v="RCF Import"/>
    <s v="Imp 10-26-26"/>
    <s v="WB"/>
    <x v="0"/>
    <s v="Deganga"/>
    <s v="User Not Mapped"/>
    <s v="User Not Mapped"/>
    <s v="User Not Mapped"/>
    <n v="227204"/>
    <s v="Sirasul Haque"/>
    <s v="Private Retailer"/>
    <s v="9932123893"/>
    <n v="3.95"/>
    <n v="54"/>
    <x v="3"/>
    <m/>
    <s v="2026-02-25"/>
    <s v="223815"/>
    <s v="Sahidul Islam  Co.           "/>
    <s v="9153379112"/>
  </r>
  <r>
    <s v="RCF Trombay"/>
    <s v="N.C.Urea(45kg)"/>
    <s v="WB"/>
    <x v="0"/>
    <s v="Deganga"/>
    <s v="User Not Mapped"/>
    <s v="User Not Mapped"/>
    <s v="User Not Mapped"/>
    <n v="227204"/>
    <s v="Sirasul Haque"/>
    <s v="Private Retailer"/>
    <s v="9932123893"/>
    <n v="2.9249999999999998"/>
    <n v="68"/>
    <x v="6"/>
    <m/>
    <s v="2026-02-11"/>
    <s v="223815"/>
    <s v="Sahidul Islam  Co.           "/>
    <s v="9153379112"/>
  </r>
  <r>
    <s v="RCF Trombay"/>
    <s v="15-15-15"/>
    <s v="WB"/>
    <x v="0"/>
    <s v="Deganga"/>
    <s v="User Not Mapped"/>
    <s v="User Not Mapped"/>
    <s v="User Not Mapped"/>
    <n v="843450"/>
    <s v="SK MOTALEB"/>
    <s v="Private Retailer"/>
    <s v="9547111010"/>
    <n v="3.85"/>
    <n v="94"/>
    <x v="7"/>
    <m/>
    <s v="2026-01-16"/>
    <s v="223815"/>
    <s v="Sahidul Islam  Co.           "/>
    <s v="9153379112"/>
  </r>
  <r>
    <s v="RCF Trombay"/>
    <s v="15-15-15"/>
    <s v="WB"/>
    <x v="0"/>
    <m/>
    <s v="User Not Mapped"/>
    <s v="User Not Mapped"/>
    <s v="User Not Mapped"/>
    <n v="917437"/>
    <s v="Janapriya krishi bhandar"/>
    <s v="Private Retailer"/>
    <s v="9733488447"/>
    <n v="0.19"/>
    <n v="2342"/>
    <x v="2"/>
    <m/>
    <s v="2019-11-21"/>
    <s v="356188"/>
    <s v="Saidul Islam"/>
    <s v="9732576743"/>
  </r>
  <r>
    <s v="RCF Thal"/>
    <s v="N.C.Urea(45kg)"/>
    <s v="WB"/>
    <x v="0"/>
    <m/>
    <s v="User Not Mapped"/>
    <s v="User Not Mapped"/>
    <s v="User Not Mapped"/>
    <n v="917437"/>
    <s v="Janapriya krishi bhandar"/>
    <s v="Private Retailer"/>
    <s v="9733488447"/>
    <n v="0.315"/>
    <n v="2107"/>
    <x v="2"/>
    <m/>
    <s v="2020-07-13"/>
    <s v="356188"/>
    <s v="Saidul Islam"/>
    <s v="9732576743"/>
  </r>
  <r>
    <s v="RCF Trombay"/>
    <s v="15-15-15"/>
    <s v="WB"/>
    <x v="0"/>
    <s v="Deganga"/>
    <s v="User Not Mapped"/>
    <s v="User Not Mapped"/>
    <s v="User Not Mapped"/>
    <n v="797973"/>
    <s v="PIRGORACHAD KRISHI BHANDAR"/>
    <s v="Private Retailer"/>
    <s v="7063345183"/>
    <n v="2.29"/>
    <n v="434"/>
    <x v="0"/>
    <m/>
    <s v="2025-02-10"/>
    <s v="356188"/>
    <s v="Saidul Islam"/>
    <s v="9732576743"/>
  </r>
  <r>
    <s v="RCF Trombay"/>
    <s v="15-15-15"/>
    <s v="WB"/>
    <x v="0"/>
    <s v="Barasat - I"/>
    <s v="User Not Mapped"/>
    <s v="User Not Mapped"/>
    <s v="User Not Mapped"/>
    <n v="1008652"/>
    <s v="Rahaman Fertilizer"/>
    <s v="Private Retailer"/>
    <s v="9647168105"/>
    <n v="0.95"/>
    <n v="454"/>
    <x v="0"/>
    <m/>
    <s v="2025-01-21"/>
    <s v="356188"/>
    <s v="Saidul Islam"/>
    <s v="9732576743"/>
  </r>
  <r>
    <s v="RCF Trombay"/>
    <s v="N.C.Urea(45kg)"/>
    <s v="WB"/>
    <x v="0"/>
    <s v="Hingalganj"/>
    <s v="User Not Mapped"/>
    <s v="User Not Mapped"/>
    <s v="User Not Mapped"/>
    <n v="549130"/>
    <s v="Debendra Krishi Bhandar"/>
    <s v="Private Retailer"/>
    <s v="8972295655"/>
    <n v="2.15"/>
    <n v="493"/>
    <x v="0"/>
    <m/>
    <s v="2024-12-13"/>
    <s v="601121"/>
    <s v="Sailendranath Mondal"/>
    <s v="9932826979"/>
  </r>
  <r>
    <s v="RCF Import"/>
    <s v="MOP"/>
    <s v="WB"/>
    <x v="0"/>
    <m/>
    <s v="User Not Mapped"/>
    <s v="User Not Mapped"/>
    <s v="User Not Mapped"/>
    <n v="1592864"/>
    <s v="ARIYAN FERTILIZER"/>
    <s v="Private Retailer"/>
    <s v="9564858558"/>
    <n v="1"/>
    <n v="23"/>
    <x v="5"/>
    <m/>
    <s v="2026-03-28"/>
    <s v="497600"/>
    <s v="Samar Nath Sana"/>
    <s v="9563062387"/>
  </r>
  <r>
    <s v="RCF Import"/>
    <s v="MOP"/>
    <s v="WB"/>
    <x v="0"/>
    <m/>
    <s v="User Not Mapped"/>
    <s v="User Not Mapped"/>
    <s v="User Not Mapped"/>
    <n v="226555"/>
    <s v="Bhagirath Mondal"/>
    <s v="Private Retailer"/>
    <s v="9564093090"/>
    <n v="1"/>
    <n v="552"/>
    <x v="2"/>
    <m/>
    <s v="2024-10-15"/>
    <s v="497600"/>
    <s v="Samar Nath Sana"/>
    <s v="9563062387"/>
  </r>
  <r>
    <s v="RCF Import"/>
    <s v="MOP"/>
    <s v="WB"/>
    <x v="0"/>
    <s v="Swarupnagar"/>
    <s v="User Not Mapped"/>
    <s v="User Not Mapped"/>
    <s v="User Not Mapped"/>
    <n v="227033"/>
    <s v="Nazrul Islam Mondal"/>
    <s v="Private Retailer"/>
    <s v="7548021266"/>
    <n v="1.1499999999999999"/>
    <n v="47"/>
    <x v="3"/>
    <m/>
    <s v="2026-03-04"/>
    <s v="497600"/>
    <s v="Samar Nath Sana"/>
    <s v="9563062387"/>
  </r>
  <r>
    <s v="RCF Import"/>
    <s v="MOP"/>
    <s v="WB"/>
    <x v="0"/>
    <s v="Baduria"/>
    <s v="User Not Mapped"/>
    <s v="User Not Mapped"/>
    <s v="User Not Mapped"/>
    <n v="227083"/>
    <s v="Rabidranath Sarkar"/>
    <s v="Private Retailer"/>
    <s v="9733536355"/>
    <n v="0.2"/>
    <n v="33"/>
    <x v="3"/>
    <m/>
    <s v="2026-03-18"/>
    <s v="497600"/>
    <s v="Samar Nath Sana"/>
    <s v="9563062387"/>
  </r>
  <r>
    <s v="RCF Trombay"/>
    <s v="15-15-15"/>
    <s v="WB"/>
    <x v="0"/>
    <s v="Bongaon"/>
    <s v="User Not Mapped"/>
    <s v="User Not Mapped"/>
    <s v="User Not Mapped"/>
    <n v="545842"/>
    <s v="ABDUL JALIL MONDAL"/>
    <s v="Private Retailer"/>
    <s v="8609633093"/>
    <n v="2"/>
    <n v="83"/>
    <x v="6"/>
    <m/>
    <s v="2026-01-27"/>
    <s v="289634"/>
    <s v="Sankar Lal Saha"/>
    <s v="9830026138"/>
  </r>
  <r>
    <s v="RCF Trombay"/>
    <s v="N.C.Urea(45kg)"/>
    <s v="WB"/>
    <x v="0"/>
    <s v="Bongaon"/>
    <s v="User Not Mapped"/>
    <s v="User Not Mapped"/>
    <s v="User Not Mapped"/>
    <n v="545842"/>
    <s v="ABDUL JALIL MONDAL"/>
    <s v="Private Retailer"/>
    <s v="8609633093"/>
    <n v="7.02"/>
    <n v="83"/>
    <x v="6"/>
    <m/>
    <s v="2026-01-27"/>
    <n v="289634"/>
    <s v="Sankar Lal Saha"/>
    <s v="9830026138"/>
  </r>
  <r>
    <s v="RCF Trombay"/>
    <s v="15-15-15"/>
    <s v="WB"/>
    <x v="0"/>
    <s v="Gaighata"/>
    <s v="User Not Mapped"/>
    <s v="User Not Mapped"/>
    <s v="User Not Mapped"/>
    <n v="226455"/>
    <s v="Adhir Sarkar"/>
    <s v="Private Retailer"/>
    <s v="9434366032"/>
    <n v="0.5"/>
    <n v="140"/>
    <x v="4"/>
    <m/>
    <s v="2025-12-01"/>
    <s v="289634"/>
    <s v="Sankar Lal Saha"/>
    <s v="9830026138"/>
  </r>
  <r>
    <s v="RCF Thal"/>
    <s v="N.C.Urea(45kg)"/>
    <s v="WB"/>
    <x v="0"/>
    <s v="Bongaon"/>
    <s v="User Not Mapped"/>
    <s v="User Not Mapped"/>
    <s v="User Not Mapped"/>
    <n v="354734"/>
    <s v="Ashim Kumar Paul"/>
    <s v="Private Retailer"/>
    <s v="9734897685"/>
    <n v="2.61"/>
    <n v="68"/>
    <x v="6"/>
    <m/>
    <s v="2026-02-11"/>
    <s v="289634"/>
    <s v="Sankar Lal Saha"/>
    <s v="9830026138"/>
  </r>
  <r>
    <s v="RCF Thal"/>
    <s v="N.C.Urea(45kg)"/>
    <s v="WB"/>
    <x v="0"/>
    <s v="Bongaon"/>
    <s v="User Not Mapped"/>
    <s v="User Not Mapped"/>
    <s v="User Not Mapped"/>
    <n v="323588"/>
    <s v="Bachhu Gain"/>
    <s v="Private Retailer"/>
    <s v="9733867619"/>
    <n v="4.0049999999999999"/>
    <n v="17"/>
    <x v="5"/>
    <m/>
    <s v="2026-04-03"/>
    <s v="289634"/>
    <s v="Sankar Lal Saha"/>
    <s v="9830026138"/>
  </r>
  <r>
    <s v="RCF Trombay"/>
    <s v="15-15-15"/>
    <s v="WB"/>
    <x v="0"/>
    <s v="Gaighata"/>
    <s v="User Not Mapped"/>
    <s v="User Not Mapped"/>
    <s v="User Not Mapped"/>
    <n v="226543"/>
    <s v="Banglani Skus Ltd"/>
    <s v="State Marketing Federation"/>
    <s v="9933459445"/>
    <n v="10.18"/>
    <n v="93"/>
    <x v="7"/>
    <m/>
    <s v="2026-01-17"/>
    <s v="289634"/>
    <s v="Sankar Lal Saha"/>
    <s v="9830026138"/>
  </r>
  <r>
    <s v="RCF Trombay"/>
    <s v="15-15-15"/>
    <s v="WB"/>
    <x v="0"/>
    <s v="Bongaon"/>
    <s v="User Not Mapped"/>
    <s v="User Not Mapped"/>
    <s v="User Not Mapped"/>
    <n v="1186033"/>
    <s v="BHAI BHAI KRISHI VANDAR"/>
    <s v="Private Retailer"/>
    <s v="9038371970"/>
    <n v="4.7"/>
    <n v="83"/>
    <x v="6"/>
    <m/>
    <s v="2026-01-27"/>
    <s v="289634"/>
    <s v="Sankar Lal Saha"/>
    <s v="9830026138"/>
  </r>
  <r>
    <s v="RCF Trombay"/>
    <s v="15-15-15"/>
    <s v="WB"/>
    <x v="0"/>
    <s v="Bongaon"/>
    <s v="User Not Mapped"/>
    <s v="User Not Mapped"/>
    <s v="User Not Mapped"/>
    <n v="411439"/>
    <s v="Debnath Fertilizer"/>
    <s v="Private Retailer"/>
    <s v="9333820071"/>
    <n v="11"/>
    <n v="93"/>
    <x v="7"/>
    <m/>
    <s v="2026-01-17"/>
    <s v="289634"/>
    <s v="Sankar Lal Saha"/>
    <s v="9830026138"/>
  </r>
  <r>
    <s v="RCF Trombay"/>
    <s v="N.C.Urea(45kg)"/>
    <s v="WB"/>
    <x v="0"/>
    <s v="Bongaon"/>
    <s v="User Not Mapped"/>
    <s v="User Not Mapped"/>
    <s v="User Not Mapped"/>
    <n v="411439"/>
    <s v="Debnath Fertilizer"/>
    <s v="Private Retailer"/>
    <s v="9333820071"/>
    <n v="4.9950000000000001"/>
    <n v="54"/>
    <x v="3"/>
    <m/>
    <s v="2026-02-25"/>
    <s v="289634"/>
    <s v="Sankar Lal Saha"/>
    <s v="9830026138"/>
  </r>
  <r>
    <s v="RCF Trombay"/>
    <s v="N.C.Urea(45kg)"/>
    <s v="WB"/>
    <x v="0"/>
    <s v="Bongaon"/>
    <s v="User Not Mapped"/>
    <s v="User Not Mapped"/>
    <s v="User Not Mapped"/>
    <n v="411439"/>
    <s v="Debnath Fertilizer"/>
    <s v="Private Retailer"/>
    <s v="9333820071"/>
    <n v="5.085"/>
    <n v="93"/>
    <x v="7"/>
    <m/>
    <s v="2026-01-17"/>
    <s v="289634"/>
    <s v="Sankar Lal Saha"/>
    <s v="9830026138"/>
  </r>
  <r>
    <s v="RCF Thal"/>
    <s v="N.C.Urea(45kg)"/>
    <s v="WB"/>
    <x v="0"/>
    <s v="Bongaon"/>
    <s v="User Not Mapped"/>
    <s v="User Not Mapped"/>
    <s v="User Not Mapped"/>
    <n v="1292821"/>
    <s v="JAHIRUL MONDAL"/>
    <s v="Private Retailer"/>
    <s v="9932295013"/>
    <n v="4.9950000000000001"/>
    <n v="17"/>
    <x v="5"/>
    <m/>
    <s v="2026-04-03"/>
    <s v="289634"/>
    <s v="Sankar Lal Saha"/>
    <s v="9830026138"/>
  </r>
  <r>
    <s v="RCF Trombay"/>
    <s v="15-15-15"/>
    <s v="WB"/>
    <x v="0"/>
    <s v="Habra - II"/>
    <s v="User Not Mapped"/>
    <s v="User Not Mapped"/>
    <s v="User Not Mapped"/>
    <n v="1496625"/>
    <s v="JOY GURU KRISHI BHANDAR"/>
    <s v="Private Retailer"/>
    <s v="6297696296"/>
    <n v="3.35"/>
    <n v="68"/>
    <x v="6"/>
    <m/>
    <s v="2026-02-11"/>
    <s v="289634"/>
    <s v="Sankar Lal Saha"/>
    <s v="9830026138"/>
  </r>
  <r>
    <s v="RCF Trombay"/>
    <s v="15-15-15"/>
    <s v="WB"/>
    <x v="0"/>
    <s v="Barasat - I"/>
    <s v="User Not Mapped"/>
    <s v="User Not Mapped"/>
    <s v="User Not Mapped"/>
    <n v="657339"/>
    <s v="KARUNAMAYEE KRISHI BHANDAR"/>
    <s v="Private Retailer"/>
    <s v="9163988406"/>
    <n v="2.4510000000000001"/>
    <n v="238"/>
    <x v="1"/>
    <m/>
    <s v="2025-08-25"/>
    <s v="289634"/>
    <s v="Sankar Lal Saha"/>
    <s v="9830026138"/>
  </r>
  <r>
    <s v="RCF Trombay"/>
    <s v="15-15-15"/>
    <s v="WB"/>
    <x v="0"/>
    <s v="Barasat - II"/>
    <s v="User Not Mapped"/>
    <s v="User Not Mapped"/>
    <s v="User Not Mapped"/>
    <n v="219019"/>
    <s v="M/S A. Ali Fertilizer"/>
    <s v="Private Retailer"/>
    <s v="9831529969"/>
    <n v="1.5"/>
    <n v="68"/>
    <x v="6"/>
    <m/>
    <s v="2026-02-11"/>
    <s v="289634"/>
    <s v="Sankar Lal Saha"/>
    <s v="9830026138"/>
  </r>
  <r>
    <s v="RCF Trombay"/>
    <s v="15-15-15"/>
    <s v="WB"/>
    <x v="0"/>
    <s v="Barasat - II"/>
    <s v="User Not Mapped"/>
    <s v="User Not Mapped"/>
    <s v="User Not Mapped"/>
    <n v="1475157"/>
    <s v="MEHER ALI FERTILIZER"/>
    <s v="Private Retailer"/>
    <s v="9091060315"/>
    <n v="3"/>
    <n v="68"/>
    <x v="6"/>
    <m/>
    <s v="2026-02-11"/>
    <s v="289634"/>
    <s v="Sankar Lal Saha"/>
    <s v="9830026138"/>
  </r>
  <r>
    <s v="RCF Trombay"/>
    <s v="N.C.Urea(45kg)"/>
    <s v="WB"/>
    <x v="0"/>
    <s v="Barasat - II"/>
    <s v="User Not Mapped"/>
    <s v="User Not Mapped"/>
    <s v="User Not Mapped"/>
    <n v="1475157"/>
    <s v="MEHER ALI FERTILIZER"/>
    <s v="Private Retailer"/>
    <s v="9091060315"/>
    <n v="3.4649999999999999"/>
    <n v="68"/>
    <x v="6"/>
    <m/>
    <s v="2026-02-11"/>
    <s v="289634"/>
    <s v="Sankar Lal Saha"/>
    <s v="9830026138"/>
  </r>
  <r>
    <s v="RCF Trombay"/>
    <s v="15-15-15"/>
    <s v="WB"/>
    <x v="0"/>
    <s v="Bongaon"/>
    <s v="User Not Mapped"/>
    <s v="User Not Mapped"/>
    <s v="User Not Mapped"/>
    <n v="355675"/>
    <s v="Molay  Mondal and Ujjawal  Mondal"/>
    <s v="Private Retailer"/>
    <s v="8918649966"/>
    <n v="0.75"/>
    <n v="354"/>
    <x v="1"/>
    <m/>
    <s v="2025-05-01"/>
    <s v="289634"/>
    <s v="Sankar Lal Saha"/>
    <s v="9830026138"/>
  </r>
  <r>
    <s v="RCF Trombay"/>
    <s v="15-15-15"/>
    <s v="WB"/>
    <x v="0"/>
    <s v="Gaighata"/>
    <s v="User Not Mapped"/>
    <s v="User Not Mapped"/>
    <s v="User Not Mapped"/>
    <n v="270784"/>
    <s v="Moyna Skus Ltd"/>
    <s v="PACS"/>
    <s v="9733671054"/>
    <n v="10.675000000000001"/>
    <n v="68"/>
    <x v="6"/>
    <m/>
    <s v="2026-02-11"/>
    <s v="289634"/>
    <s v="Sankar Lal Saha"/>
    <s v="9830026138"/>
  </r>
  <r>
    <s v="RCF Trombay"/>
    <s v="15-15-15"/>
    <s v="WB"/>
    <x v="0"/>
    <s v="Bagda"/>
    <s v="User Not Mapped"/>
    <s v="User Not Mapped"/>
    <s v="User Not Mapped"/>
    <n v="410992"/>
    <s v="Naba Kumar Nath"/>
    <s v="Private Retailer"/>
    <s v="9153810117"/>
    <n v="0.8"/>
    <n v="451"/>
    <x v="0"/>
    <m/>
    <s v="2025-01-24"/>
    <s v="289634"/>
    <s v="Sankar Lal Saha"/>
    <s v="9830026138"/>
  </r>
  <r>
    <s v="RCF Trombay"/>
    <s v="15-15-15"/>
    <s v="WB"/>
    <x v="0"/>
    <s v="Bagda"/>
    <s v="User Not Mapped"/>
    <s v="User Not Mapped"/>
    <s v="User Not Mapped"/>
    <n v="414180"/>
    <s v="Narayan Biswas"/>
    <s v="Private Retailer"/>
    <s v="9635797181"/>
    <n v="4"/>
    <n v="56"/>
    <x v="3"/>
    <m/>
    <s v="2026-02-23"/>
    <s v="289634"/>
    <s v="Sankar Lal Saha"/>
    <s v="9830026138"/>
  </r>
  <r>
    <s v="RCF Trombay"/>
    <s v="N.C.Urea(45kg)"/>
    <s v="WB"/>
    <x v="0"/>
    <s v="Bagda"/>
    <s v="User Not Mapped"/>
    <s v="User Not Mapped"/>
    <s v="User Not Mapped"/>
    <n v="414180"/>
    <s v="Narayan Biswas"/>
    <s v="Private Retailer"/>
    <s v="9635797181"/>
    <n v="4.9950000000000001"/>
    <n v="56"/>
    <x v="3"/>
    <m/>
    <s v="2026-02-23"/>
    <s v="289634"/>
    <s v="Sankar Lal Saha"/>
    <s v="9830026138"/>
  </r>
  <r>
    <s v="RCF Trombay"/>
    <s v="15-15-15"/>
    <s v="WB"/>
    <x v="0"/>
    <s v="Bagda"/>
    <s v="User Not Mapped"/>
    <s v="User Not Mapped"/>
    <s v="User Not Mapped"/>
    <n v="355781"/>
    <s v="Narayan Chandra Biswas"/>
    <s v="Private Retailer"/>
    <s v="9734672612"/>
    <n v="5.0999999999999996"/>
    <n v="56"/>
    <x v="3"/>
    <m/>
    <s v="2026-02-23"/>
    <s v="289634"/>
    <s v="Sankar Lal Saha"/>
    <s v="9830026138"/>
  </r>
  <r>
    <s v="RCF Trombay"/>
    <s v="N.C.Urea(45kg)"/>
    <s v="WB"/>
    <x v="0"/>
    <s v="Basirhat - II"/>
    <s v="User Not Mapped"/>
    <s v="User Not Mapped"/>
    <s v="User Not Mapped"/>
    <n v="953438"/>
    <s v="NASIRUDDIN MONDAL"/>
    <s v="Private Retailer"/>
    <s v="8001245079"/>
    <n v="5.49"/>
    <n v="24"/>
    <x v="5"/>
    <m/>
    <s v="2026-03-27"/>
    <s v="289634"/>
    <s v="Sankar Lal Saha"/>
    <s v="9830026138"/>
  </r>
  <r>
    <s v="RCF Thal"/>
    <s v="N.C.Urea(45kg)"/>
    <s v="WB"/>
    <x v="0"/>
    <s v="Habra - II"/>
    <s v="User Not Mapped"/>
    <s v="User Not Mapped"/>
    <s v="User Not Mapped"/>
    <n v="355796"/>
    <s v="Nemai Kumar Ghosh"/>
    <s v="Private Retailer"/>
    <s v="9635666110"/>
    <n v="5.49"/>
    <n v="40"/>
    <x v="3"/>
    <m/>
    <s v="2026-03-11"/>
    <s v="289634"/>
    <s v="Sankar Lal Saha"/>
    <s v="9830026138"/>
  </r>
  <r>
    <s v="RCF Trombay"/>
    <s v="15-15-15"/>
    <s v="WB"/>
    <x v="0"/>
    <s v="Barasat - I"/>
    <s v="User Not Mapped"/>
    <s v="User Not Mapped"/>
    <s v="User Not Mapped"/>
    <n v="1259528"/>
    <s v="NEW SADHUKHAN KRISHI BHANDAR"/>
    <s v="Private Retailer"/>
    <s v="8240042863"/>
    <n v="0.75"/>
    <n v="68"/>
    <x v="6"/>
    <m/>
    <s v="2026-02-11"/>
    <s v="289634"/>
    <s v="Sankar Lal Saha"/>
    <s v="9830026138"/>
  </r>
  <r>
    <s v="RCF Thal"/>
    <s v="N.C.Urea(45kg)"/>
    <s v="WB"/>
    <x v="0"/>
    <s v="Barasat - I"/>
    <s v="User Not Mapped"/>
    <s v="User Not Mapped"/>
    <s v="User Not Mapped"/>
    <n v="1259528"/>
    <s v="NEW SADHUKHAN KRISHI BHANDAR"/>
    <s v="Private Retailer"/>
    <s v="8240042863"/>
    <n v="4.68"/>
    <n v="40"/>
    <x v="3"/>
    <m/>
    <s v="2026-03-11"/>
    <s v="289634"/>
    <s v="Sankar Lal Saha"/>
    <s v="9830026138"/>
  </r>
  <r>
    <s v="RCF Import"/>
    <s v="MOP"/>
    <s v="WB"/>
    <x v="0"/>
    <s v="Barasat - I"/>
    <s v="User Not Mapped"/>
    <s v="User Not Mapped"/>
    <s v="User Not Mapped"/>
    <n v="1259528"/>
    <s v="NEW SADHUKHAN KRISHI BHANDAR"/>
    <s v="Private Retailer"/>
    <s v="8240042863"/>
    <n v="5.25"/>
    <n v="60"/>
    <x v="3"/>
    <m/>
    <s v="2026-02-19"/>
    <s v="289634"/>
    <s v="Sankar Lal Saha"/>
    <s v="9830026138"/>
  </r>
  <r>
    <s v="RCF Import"/>
    <s v="Imp 10-26-26"/>
    <s v="WB"/>
    <x v="0"/>
    <s v="Barasat - I"/>
    <s v="User Not Mapped"/>
    <s v="User Not Mapped"/>
    <s v="User Not Mapped"/>
    <n v="1259528"/>
    <s v="NEW SADHUKHAN KRISHI BHANDAR"/>
    <s v="Private Retailer"/>
    <s v="8240042863"/>
    <n v="2.85"/>
    <n v="54"/>
    <x v="3"/>
    <m/>
    <s v="2026-02-25"/>
    <s v="289634"/>
    <s v="Sankar Lal Saha"/>
    <s v="9830026138"/>
  </r>
  <r>
    <s v="RCF Thal"/>
    <s v="N.C.Urea(45kg)"/>
    <s v="WB"/>
    <x v="0"/>
    <s v="Bagda"/>
    <s v="User Not Mapped"/>
    <s v="User Not Mapped"/>
    <s v="User Not Mapped"/>
    <n v="600937"/>
    <s v="Niranjan Kumar Mondal"/>
    <s v="Private Retailer"/>
    <s v="9635696715"/>
    <n v="0.01"/>
    <n v="451"/>
    <x v="0"/>
    <m/>
    <s v="2025-01-24"/>
    <s v="289634"/>
    <s v="Sankar Lal Saha"/>
    <s v="9830026138"/>
  </r>
  <r>
    <s v="RCF Thal"/>
    <s v="N.C.Urea(45kg)"/>
    <s v="WB"/>
    <x v="0"/>
    <s v="Bongaon"/>
    <s v="User Not Mapped"/>
    <s v="User Not Mapped"/>
    <s v="User Not Mapped"/>
    <n v="1354322"/>
    <s v="NURUL HASAN GAZI"/>
    <s v="Private Retailer"/>
    <s v="7864018294"/>
    <n v="8.2799999999999994"/>
    <n v="17"/>
    <x v="5"/>
    <m/>
    <s v="2026-04-03"/>
    <s v="289634"/>
    <s v="Sankar Lal Saha"/>
    <s v="9830026138"/>
  </r>
  <r>
    <s v="RCF Trombay"/>
    <s v="15-15-15"/>
    <s v="WB"/>
    <x v="0"/>
    <s v="Barasat - II"/>
    <s v="User Not Mapped"/>
    <s v="User Not Mapped"/>
    <s v="User Not Mapped"/>
    <n v="1439631"/>
    <s v="PAUL FERTILIZER STORE"/>
    <s v="Private Retailer"/>
    <s v="9836084947"/>
    <n v="0.1"/>
    <n v="68"/>
    <x v="6"/>
    <m/>
    <s v="2026-02-11"/>
    <s v="289634"/>
    <s v="Sankar Lal Saha"/>
    <s v="9830026138"/>
  </r>
  <r>
    <s v="RCF Thal"/>
    <s v="N.C.Urea(45kg)"/>
    <s v="WB"/>
    <x v="0"/>
    <s v="Barasat - II"/>
    <s v="User Not Mapped"/>
    <s v="User Not Mapped"/>
    <s v="User Not Mapped"/>
    <n v="481212"/>
    <s v="Rajjak Mondal"/>
    <s v="Private Retailer"/>
    <s v="9593700491"/>
    <n v="1.415"/>
    <n v="419"/>
    <x v="0"/>
    <m/>
    <s v="2025-02-25"/>
    <s v="289634"/>
    <s v="Sankar Lal Saha"/>
    <s v="9830026138"/>
  </r>
  <r>
    <s v="RCF Trombay"/>
    <s v="15-15-15"/>
    <s v="WB"/>
    <x v="0"/>
    <s v="Bongaon"/>
    <s v="User Not Mapped"/>
    <s v="User Not Mapped"/>
    <s v="User Not Mapped"/>
    <n v="487199"/>
    <s v="Salim Ali Khan"/>
    <s v="Private Retailer"/>
    <s v="9732441513"/>
    <n v="1.57"/>
    <n v="473"/>
    <x v="0"/>
    <m/>
    <s v="2025-01-02"/>
    <s v="289634"/>
    <s v="Sankar Lal Saha"/>
    <s v="9830026138"/>
  </r>
  <r>
    <s v="RCF Trombay"/>
    <s v="15-15-15"/>
    <s v="WB"/>
    <x v="0"/>
    <s v="Gaighata"/>
    <s v="User Not Mapped"/>
    <s v="User Not Mapped"/>
    <s v="User Not Mapped"/>
    <n v="1062384"/>
    <s v="Shimuliapara Adarsha SKUS Ltd"/>
    <s v="PACS"/>
    <s v="7063666928"/>
    <n v="5.5"/>
    <n v="68"/>
    <x v="6"/>
    <m/>
    <s v="2026-02-11"/>
    <s v="289634"/>
    <s v="Sankar Lal Saha"/>
    <s v="9830026138"/>
  </r>
  <r>
    <s v="RCF Trombay"/>
    <s v="N.C.Urea(45kg)"/>
    <s v="WB"/>
    <x v="0"/>
    <s v="Gaighata"/>
    <s v="User Not Mapped"/>
    <s v="User Not Mapped"/>
    <s v="User Not Mapped"/>
    <n v="1062384"/>
    <s v="Shimuliapara Adarsha SKUS Ltd"/>
    <s v="PACS"/>
    <s v="7063666928"/>
    <n v="10.98"/>
    <n v="68"/>
    <x v="6"/>
    <m/>
    <s v="2026-02-11"/>
    <s v="289634"/>
    <s v="Sankar Lal Saha"/>
    <s v="9830026138"/>
  </r>
  <r>
    <s v="RCF Thal"/>
    <s v="N.C.Urea(45kg)"/>
    <s v="WB"/>
    <x v="0"/>
    <s v="Bongaon"/>
    <s v="User Not Mapped"/>
    <s v="User Not Mapped"/>
    <s v="User Not Mapped"/>
    <n v="538104"/>
    <s v="Sudip Kumar Sarkar"/>
    <s v="Private Retailer"/>
    <s v="9564496346"/>
    <n v="9.99"/>
    <n v="17"/>
    <x v="5"/>
    <m/>
    <s v="2026-04-03"/>
    <s v="289634"/>
    <s v="Sankar Lal Saha"/>
    <s v="9830026138"/>
  </r>
  <r>
    <s v="RCF Thal"/>
    <s v="N.C.Urea(45kg)"/>
    <s v="WB"/>
    <x v="0"/>
    <s v="Sandeshkhali - I"/>
    <s v="User Not Mapped"/>
    <s v="User Not Mapped"/>
    <s v="User Not Mapped"/>
    <n v="227236"/>
    <s v="Sunilkumar Ghosh"/>
    <s v="Private Retailer"/>
    <s v="9800480451"/>
    <n v="5.4450000000000003"/>
    <n v="40"/>
    <x v="3"/>
    <m/>
    <s v="2026-03-11"/>
    <s v="289634"/>
    <s v="Sankar Lal Saha"/>
    <s v="9830026138"/>
  </r>
  <r>
    <s v="RCF Trombay"/>
    <s v="15-15-15"/>
    <s v="WB"/>
    <x v="0"/>
    <s v="Basirhat - II"/>
    <s v="User Not Mapped"/>
    <s v="User Not Mapped"/>
    <s v="User Not Mapped"/>
    <n v="226895"/>
    <s v="Mondal Fertilizer"/>
    <s v="Private Retailer"/>
    <s v="9732913195"/>
    <n v="0.8"/>
    <n v="497"/>
    <x v="0"/>
    <m/>
    <s v="2024-12-09"/>
    <s v="289635"/>
    <s v="Sarbaranjan Sadhukhan"/>
    <s v="7384683698"/>
  </r>
  <r>
    <s v="RCF Trombay"/>
    <s v="15-15-15"/>
    <s v="WB"/>
    <x v="0"/>
    <s v="Haroa"/>
    <s v="User Not Mapped"/>
    <s v="User Not Mapped"/>
    <s v="User Not Mapped"/>
    <n v="189490"/>
    <s v="Sabuj Krishi Centre"/>
    <s v="Private Retailer"/>
    <s v="9732455564"/>
    <n v="0.6"/>
    <n v="325"/>
    <x v="1"/>
    <m/>
    <s v="2025-05-30"/>
    <s v="289635"/>
    <s v="Sarbaranjan Sadhukhan"/>
    <s v="7384683698"/>
  </r>
  <r>
    <s v="RCF Trombay"/>
    <s v="15-15-15"/>
    <s v="WB"/>
    <x v="0"/>
    <s v="Haroa"/>
    <s v="User Not Mapped"/>
    <s v="User Not Mapped"/>
    <s v="User Not Mapped"/>
    <n v="1354320"/>
    <s v="SAMIM KRISHI CENTER"/>
    <s v="Private Retailer"/>
    <s v="9851410490"/>
    <n v="0.1"/>
    <n v="300"/>
    <x v="1"/>
    <m/>
    <s v="2025-06-24"/>
    <s v="289635"/>
    <s v="Sarbaranjan Sadhukhan"/>
    <s v="7384683698"/>
  </r>
  <r>
    <s v="RCF Trombay"/>
    <s v="15-15-15"/>
    <s v="WB"/>
    <x v="0"/>
    <s v="Basirhat - II"/>
    <s v="User Not Mapped"/>
    <s v="User Not Mapped"/>
    <s v="User Not Mapped"/>
    <n v="411239"/>
    <s v="Saokat Mandal"/>
    <s v="Private Retailer"/>
    <s v="9732931470"/>
    <n v="0.155"/>
    <n v="538"/>
    <x v="0"/>
    <m/>
    <s v="2024-10-29"/>
    <s v="289635"/>
    <s v="Sarbaranjan Sadhukhan"/>
    <s v="7384683698"/>
  </r>
  <r>
    <s v="RCF Trombay"/>
    <s v="N.C.Urea(45kg)"/>
    <s v="WB"/>
    <x v="0"/>
    <s v="Bongaon"/>
    <s v="User Not Mapped"/>
    <s v="User Not Mapped"/>
    <s v="User Not Mapped"/>
    <n v="1331239"/>
    <s v="ABAIDULLA MONDAL"/>
    <s v="Private Retailer"/>
    <s v="8642024986"/>
    <n v="6"/>
    <n v="68"/>
    <x v="6"/>
    <m/>
    <s v="2026-02-11"/>
    <s v="1219923"/>
    <s v="SHIMUL HAZRA"/>
    <s v="9932572558"/>
  </r>
  <r>
    <s v="RCF Trombay"/>
    <s v="N.C.Urea(45kg)"/>
    <s v="WB"/>
    <x v="0"/>
    <s v="Bongaon"/>
    <s v="User Not Mapped"/>
    <s v="User Not Mapped"/>
    <s v="User Not Mapped"/>
    <n v="650323"/>
    <s v="Basiruddin Mondal"/>
    <s v="Private Retailer"/>
    <s v="9609769820"/>
    <n v="2.44"/>
    <n v="68"/>
    <x v="6"/>
    <m/>
    <s v="2026-02-11"/>
    <s v="1219923"/>
    <s v="SHIMUL HAZRA"/>
    <s v="9932572558"/>
  </r>
  <r>
    <s v="RCF Import"/>
    <s v="Imp 10-26-26"/>
    <s v="WB"/>
    <x v="0"/>
    <s v="Gaighata"/>
    <s v="User Not Mapped"/>
    <s v="User Not Mapped"/>
    <s v="User Not Mapped"/>
    <n v="458075"/>
    <s v="Goutam Sarkar"/>
    <s v="Private Retailer"/>
    <s v="9679455201"/>
    <n v="0.14000000000000001"/>
    <n v="282"/>
    <x v="1"/>
    <m/>
    <s v="2025-07-12"/>
    <s v="1219923"/>
    <s v="SHIMUL HAZRA"/>
    <s v="9932572558"/>
  </r>
  <r>
    <s v="RCF Import"/>
    <s v="MOP"/>
    <s v="WB"/>
    <x v="0"/>
    <s v="Bongaon"/>
    <s v="User Not Mapped"/>
    <s v="User Not Mapped"/>
    <s v="User Not Mapped"/>
    <n v="1331233"/>
    <s v="HABIBUR RAHAMAN MONDIL"/>
    <s v="Private Retailer"/>
    <s v="8337844984"/>
    <n v="1"/>
    <n v="390"/>
    <x v="0"/>
    <m/>
    <s v="2025-03-26"/>
    <s v="1219923"/>
    <s v="SHIMUL HAZRA"/>
    <s v="9932572558"/>
  </r>
  <r>
    <s v="RCF Trombay"/>
    <s v="N.C.Urea(45kg)"/>
    <s v="WB"/>
    <x v="0"/>
    <s v="Bongaon"/>
    <s v="User Not Mapped"/>
    <s v="User Not Mapped"/>
    <s v="User Not Mapped"/>
    <n v="604330"/>
    <s v="JAGADISH SARKER"/>
    <s v="Private Retailer"/>
    <s v="9609549629"/>
    <n v="5"/>
    <n v="49"/>
    <x v="3"/>
    <m/>
    <s v="2026-03-02"/>
    <s v="1219923"/>
    <s v="SHIMUL HAZRA"/>
    <s v="9932572558"/>
  </r>
  <r>
    <s v="RCF Trombay"/>
    <s v="N.C.Urea(45kg)"/>
    <s v="WB"/>
    <x v="0"/>
    <s v="Bongaon"/>
    <s v="User Not Mapped"/>
    <s v="User Not Mapped"/>
    <s v="User Not Mapped"/>
    <n v="490663"/>
    <s v="Sanjoy Mitra and Pannalal Mitra"/>
    <s v="Private Retailer"/>
    <s v="9832286850"/>
    <n v="6.44"/>
    <n v="49"/>
    <x v="3"/>
    <m/>
    <s v="2026-03-02"/>
    <s v="1219923"/>
    <s v="SHIMUL HAZRA"/>
    <s v="9932572558"/>
  </r>
  <r>
    <s v="RCF Import"/>
    <s v="Imp 10-26-26"/>
    <s v="WB"/>
    <x v="0"/>
    <s v="Bongaon"/>
    <s v="User Not Mapped"/>
    <s v="User Not Mapped"/>
    <s v="User Not Mapped"/>
    <n v="457486"/>
    <s v="Shimul Hazra"/>
    <s v="Private Retailer"/>
    <s v="9732863371"/>
    <n v="8.5"/>
    <n v="23"/>
    <x v="5"/>
    <m/>
    <s v="2026-03-28"/>
    <s v="1219923"/>
    <s v="SHIMUL HAZRA"/>
    <s v="9932572558"/>
  </r>
  <r>
    <s v="RCF Trombay"/>
    <s v="N.C.Urea(45kg)"/>
    <s v="WB"/>
    <x v="0"/>
    <s v="Bongaon"/>
    <s v="User Not Mapped"/>
    <s v="User Not Mapped"/>
    <s v="User Not Mapped"/>
    <n v="457450"/>
    <s v="Subrata Mondal"/>
    <s v="Private Retailer"/>
    <s v="9932234865"/>
    <n v="6.22"/>
    <n v="68"/>
    <x v="6"/>
    <m/>
    <s v="2026-02-11"/>
    <s v="1219923"/>
    <s v="SHIMUL HAZRA"/>
    <s v="9932572558"/>
  </r>
  <r>
    <s v="RCF Trombay"/>
    <s v="15-15-15"/>
    <s v="WB"/>
    <x v="0"/>
    <m/>
    <s v="User Not Mapped"/>
    <s v="User Not Mapped"/>
    <s v="User Not Mapped"/>
    <n v="226555"/>
    <s v="Bhagirath Mondal"/>
    <s v="Private Retailer"/>
    <s v="9564093090"/>
    <n v="6.0000000000000001E-3"/>
    <n v="1113"/>
    <x v="2"/>
    <m/>
    <s v="2023-04-03"/>
    <s v="223825"/>
    <s v="Shyamal Kumar Dalal           "/>
    <s v="9832231914"/>
  </r>
  <r>
    <s v="RCF Import"/>
    <s v="MOP"/>
    <s v="WB"/>
    <x v="0"/>
    <s v="Habra - I"/>
    <s v="User Not Mapped"/>
    <s v="User Not Mapped"/>
    <s v="User Not Mapped"/>
    <n v="870252"/>
    <s v="ANISUR ALAM"/>
    <s v="Private Retailer"/>
    <s v="8001942121"/>
    <n v="0.5"/>
    <n v="56"/>
    <x v="3"/>
    <m/>
    <s v="2026-02-23"/>
    <s v="663871"/>
    <s v="Sonali Enterprise"/>
    <s v="8250035491"/>
  </r>
  <r>
    <s v="RCF Import"/>
    <s v="MOP"/>
    <s v="WB"/>
    <x v="0"/>
    <s v="Habra - I"/>
    <s v="User Not Mapped"/>
    <s v="User Not Mapped"/>
    <s v="User Not Mapped"/>
    <n v="870252"/>
    <s v="ANISUR ALAM"/>
    <s v="Private Retailer"/>
    <s v="8001942121"/>
    <n v="0.5"/>
    <n v="29"/>
    <x v="5"/>
    <m/>
    <s v="2026-03-22"/>
    <s v="663871"/>
    <s v="Sonali Enterprise"/>
    <s v="8250035491"/>
  </r>
  <r>
    <s v="RCF Import"/>
    <s v="MOP"/>
    <s v="WB"/>
    <x v="0"/>
    <s v="Habra - I"/>
    <s v="User Not Mapped"/>
    <s v="User Not Mapped"/>
    <s v="User Not Mapped"/>
    <n v="870252"/>
    <s v="ANISUR ALAM"/>
    <s v="Private Retailer"/>
    <s v="8001942121"/>
    <n v="0.5"/>
    <n v="21"/>
    <x v="5"/>
    <m/>
    <s v="2026-03-30"/>
    <s v="663871"/>
    <s v="Sonali Enterprise"/>
    <s v="8250035491"/>
  </r>
  <r>
    <s v="RCF Import"/>
    <s v="MOP"/>
    <s v="WB"/>
    <x v="0"/>
    <s v="Habra - I"/>
    <s v="User Not Mapped"/>
    <s v="User Not Mapped"/>
    <s v="User Not Mapped"/>
    <n v="870252"/>
    <s v="ANISUR ALAM"/>
    <s v="Private Retailer"/>
    <s v="8001942121"/>
    <n v="0.3"/>
    <n v="40"/>
    <x v="3"/>
    <m/>
    <s v="2026-03-11"/>
    <s v="663871"/>
    <s v="Sonali Enterprise"/>
    <s v="8250035491"/>
  </r>
  <r>
    <s v="RCF Trombay"/>
    <s v="15-15-15"/>
    <s v="WB"/>
    <x v="0"/>
    <s v="Baduria"/>
    <s v="User Not Mapped"/>
    <s v="User Not Mapped"/>
    <s v="User Not Mapped"/>
    <n v="777531"/>
    <s v="Banda Ali Mondal"/>
    <s v="Private Retailer"/>
    <s v="9002180986"/>
    <n v="0.25"/>
    <n v="250"/>
    <x v="1"/>
    <m/>
    <s v="2025-08-13"/>
    <s v="663871"/>
    <s v="Sonali Enterprise"/>
    <s v="8250035491"/>
  </r>
  <r>
    <s v="RCF Import"/>
    <s v="MOP"/>
    <s v="WB"/>
    <x v="0"/>
    <s v="Barasat - I"/>
    <s v="User Not Mapped"/>
    <s v="User Not Mapped"/>
    <s v="User Not Mapped"/>
    <n v="226894"/>
    <s v="Binoy krishna mondal"/>
    <s v="Private Retailer"/>
    <s v="9609534280"/>
    <n v="0.7"/>
    <n v="21"/>
    <x v="5"/>
    <m/>
    <s v="2026-03-30"/>
    <s v="663871"/>
    <s v="Sonali Enterprise"/>
    <s v="8250035491"/>
  </r>
  <r>
    <s v="RCF Import"/>
    <s v="MOP"/>
    <s v="WB"/>
    <x v="0"/>
    <s v="Deganga"/>
    <s v="User Not Mapped"/>
    <s v="User Not Mapped"/>
    <s v="User Not Mapped"/>
    <n v="323604"/>
    <s v="Firojul Islam"/>
    <s v="Private Retailer"/>
    <s v="9732891313"/>
    <n v="0.25"/>
    <n v="35"/>
    <x v="3"/>
    <m/>
    <s v="2026-03-16"/>
    <s v="663871"/>
    <s v="Sonali Enterprise"/>
    <s v="8250035491"/>
  </r>
  <r>
    <s v="RCF Import"/>
    <s v="MOP"/>
    <s v="WB"/>
    <x v="0"/>
    <s v="Habra - I"/>
    <s v="User Not Mapped"/>
    <s v="User Not Mapped"/>
    <s v="User Not Mapped"/>
    <n v="545521"/>
    <s v="Fultala Krishi Bhander"/>
    <s v="Private Retailer"/>
    <s v="9232864625"/>
    <n v="0.4"/>
    <n v="29"/>
    <x v="5"/>
    <m/>
    <s v="2026-03-22"/>
    <s v="663871"/>
    <s v="Sonali Enterprise"/>
    <s v="8250035491"/>
  </r>
  <r>
    <s v="RCF Import"/>
    <s v="MOP"/>
    <s v="WB"/>
    <x v="0"/>
    <s v="Habra - I"/>
    <s v="User Not Mapped"/>
    <s v="User Not Mapped"/>
    <s v="User Not Mapped"/>
    <n v="227010"/>
    <s v="M/S Swapan Kumar Biswas"/>
    <s v="Private Retailer"/>
    <s v="9732462289"/>
    <n v="0.5"/>
    <n v="46"/>
    <x v="3"/>
    <m/>
    <s v="2026-03-05"/>
    <s v="663871"/>
    <s v="Sonali Enterprise"/>
    <s v="8250035491"/>
  </r>
  <r>
    <s v="RCF Import"/>
    <s v="MOP"/>
    <s v="WB"/>
    <x v="0"/>
    <s v="Habra - I"/>
    <s v="User Not Mapped"/>
    <s v="User Not Mapped"/>
    <s v="User Not Mapped"/>
    <n v="227010"/>
    <s v="M/S Swapan Kumar Biswas"/>
    <s v="Private Retailer"/>
    <s v="9732462289"/>
    <n v="0.4"/>
    <n v="59"/>
    <x v="3"/>
    <m/>
    <s v="2026-02-20"/>
    <s v="663871"/>
    <s v="Sonali Enterprise"/>
    <s v="8250035491"/>
  </r>
  <r>
    <s v="RCF Import"/>
    <s v="MOP"/>
    <s v="WB"/>
    <x v="0"/>
    <s v="Habra - I"/>
    <s v="User Not Mapped"/>
    <s v="User Not Mapped"/>
    <s v="User Not Mapped"/>
    <n v="227010"/>
    <s v="M/S Swapan Kumar Biswas"/>
    <s v="Private Retailer"/>
    <s v="9732462289"/>
    <n v="0.4"/>
    <n v="29"/>
    <x v="5"/>
    <m/>
    <s v="2026-03-22"/>
    <s v="663871"/>
    <s v="Sonali Enterprise"/>
    <s v="8250035491"/>
  </r>
  <r>
    <s v="RCF Import"/>
    <s v="MOP"/>
    <s v="WB"/>
    <x v="0"/>
    <s v="Deganga"/>
    <s v="User Not Mapped"/>
    <s v="User Not Mapped"/>
    <s v="User Not Mapped"/>
    <n v="226860"/>
    <s v="Md Mahasin"/>
    <s v="Private Retailer"/>
    <s v="9002559461"/>
    <n v="0.5"/>
    <n v="46"/>
    <x v="3"/>
    <m/>
    <s v="2026-03-05"/>
    <s v="663871"/>
    <s v="Sonali Enterprise"/>
    <s v="8250035491"/>
  </r>
  <r>
    <s v="RCF Trombay"/>
    <s v="15-15-15"/>
    <s v="WB"/>
    <x v="0"/>
    <s v="Deganga"/>
    <s v="User Not Mapped"/>
    <s v="User Not Mapped"/>
    <s v="User Not Mapped"/>
    <n v="1581070"/>
    <s v="MIRA FERTILIZER"/>
    <s v="Private Retailer"/>
    <s v="9733375521"/>
    <n v="2.5000000000000001E-2"/>
    <n v="239"/>
    <x v="1"/>
    <m/>
    <s v="2025-08-24"/>
    <s v="663871"/>
    <s v="Sonali Enterprise"/>
    <s v="8250035491"/>
  </r>
  <r>
    <s v="RCF Import"/>
    <s v="MOP"/>
    <s v="WB"/>
    <x v="0"/>
    <s v="Baduria"/>
    <s v="User Not Mapped"/>
    <s v="User Not Mapped"/>
    <s v="User Not Mapped"/>
    <n v="1216140"/>
    <s v="MONDAL KRISHI BHANDAR"/>
    <s v="Private Retailer"/>
    <s v="6295541039"/>
    <n v="0.3"/>
    <n v="21"/>
    <x v="5"/>
    <m/>
    <s v="2026-03-30"/>
    <s v="663871"/>
    <s v="Sonali Enterprise"/>
    <s v="8250035491"/>
  </r>
  <r>
    <s v="RCF Import"/>
    <s v="MOP"/>
    <s v="WB"/>
    <x v="0"/>
    <s v="Baduria"/>
    <s v="User Not Mapped"/>
    <s v="User Not Mapped"/>
    <s v="User Not Mapped"/>
    <n v="1216140"/>
    <s v="MONDAL KRISHI BHANDAR"/>
    <s v="Private Retailer"/>
    <s v="6295541039"/>
    <n v="0.5"/>
    <n v="46"/>
    <x v="3"/>
    <m/>
    <s v="2026-03-05"/>
    <s v="663871"/>
    <s v="Sonali Enterprise"/>
    <s v="8250035491"/>
  </r>
  <r>
    <s v="RCF Import"/>
    <s v="MOP"/>
    <s v="WB"/>
    <x v="0"/>
    <s v="Habra - I"/>
    <s v="User Not Mapped"/>
    <s v="User Not Mapped"/>
    <s v="User Not Mapped"/>
    <n v="227038"/>
    <s v="New Biswas Krishi Bhandar"/>
    <s v="Private Retailer"/>
    <s v="9733685809"/>
    <n v="0.5"/>
    <n v="56"/>
    <x v="3"/>
    <m/>
    <s v="2026-02-23"/>
    <s v="663871"/>
    <s v="Sonali Enterprise"/>
    <s v="8250035491"/>
  </r>
  <r>
    <s v="RCF Trombay"/>
    <s v="15-15-15"/>
    <s v="WB"/>
    <x v="0"/>
    <m/>
    <s v="User Not Mapped"/>
    <s v="User Not Mapped"/>
    <s v="User Not Mapped"/>
    <n v="487654"/>
    <s v="Parul Bibi"/>
    <s v="Private Retailer"/>
    <s v="9735491360"/>
    <n v="1E-3"/>
    <n v="2578"/>
    <x v="2"/>
    <m/>
    <s v="2019-03-30"/>
    <s v="663871"/>
    <s v="Sonali Enterprise"/>
    <s v="8250035491"/>
  </r>
  <r>
    <s v="RCF Import"/>
    <s v="MOP"/>
    <s v="WB"/>
    <x v="0"/>
    <s v="Habra - I"/>
    <s v="User Not Mapped"/>
    <s v="User Not Mapped"/>
    <s v="User Not Mapped"/>
    <n v="227102"/>
    <s v="Ram Chandra Das and Nurul"/>
    <s v="Private Retailer"/>
    <s v="9609187597"/>
    <n v="0.3"/>
    <n v="24"/>
    <x v="5"/>
    <m/>
    <s v="2026-03-27"/>
    <s v="663871"/>
    <s v="Sonali Enterprise"/>
    <s v="8250035491"/>
  </r>
  <r>
    <s v="RCF Import"/>
    <s v="MOP"/>
    <s v="WB"/>
    <x v="0"/>
    <s v="Habra - I"/>
    <s v="User Not Mapped"/>
    <s v="User Not Mapped"/>
    <s v="User Not Mapped"/>
    <n v="227106"/>
    <s v="Ranajit Kumar Sarkar"/>
    <s v="Private Retailer"/>
    <s v="9593748954"/>
    <n v="0.25"/>
    <n v="2"/>
    <x v="5"/>
    <m/>
    <s v="2026-04-18"/>
    <s v="663871"/>
    <s v="Sonali Enterprise"/>
    <s v="8250035491"/>
  </r>
  <r>
    <s v="RCF Import"/>
    <s v="MOP"/>
    <s v="WB"/>
    <x v="0"/>
    <s v="Habra - I"/>
    <s v="User Not Mapped"/>
    <s v="User Not Mapped"/>
    <s v="User Not Mapped"/>
    <n v="227106"/>
    <s v="Ranajit Kumar Sarkar"/>
    <s v="Private Retailer"/>
    <s v="9593748954"/>
    <n v="0.1"/>
    <n v="56"/>
    <x v="3"/>
    <m/>
    <s v="2026-02-23"/>
    <s v="663871"/>
    <s v="Sonali Enterprise"/>
    <s v="8250035491"/>
  </r>
  <r>
    <s v="RCF Import"/>
    <s v="MOP"/>
    <s v="WB"/>
    <x v="0"/>
    <s v="Habra - I"/>
    <s v="User Not Mapped"/>
    <s v="User Not Mapped"/>
    <s v="User Not Mapped"/>
    <n v="227106"/>
    <s v="Ranajit Kumar Sarkar"/>
    <s v="Private Retailer"/>
    <s v="9593748954"/>
    <n v="0.3"/>
    <n v="46"/>
    <x v="3"/>
    <m/>
    <s v="2026-03-05"/>
    <s v="663871"/>
    <s v="Sonali Enterprise"/>
    <s v="8250035491"/>
  </r>
  <r>
    <s v="RCF Trombay"/>
    <s v="15-15-15"/>
    <s v="WB"/>
    <x v="0"/>
    <s v="Deganga"/>
    <s v="User Not Mapped"/>
    <s v="User Not Mapped"/>
    <s v="User Not Mapped"/>
    <n v="227129"/>
    <s v="Sabuj Sona Krishi Bhander"/>
    <s v="Private Retailer"/>
    <s v="7407505530"/>
    <n v="0.4"/>
    <n v="609"/>
    <x v="2"/>
    <m/>
    <s v="2024-08-19"/>
    <s v="663871"/>
    <s v="Sonali Enterprise"/>
    <s v="8250035491"/>
  </r>
  <r>
    <s v="RCF Trombay"/>
    <s v="15-15-15"/>
    <s v="WB"/>
    <x v="0"/>
    <s v="Deganga"/>
    <s v="User Not Mapped"/>
    <s v="User Not Mapped"/>
    <s v="User Not Mapped"/>
    <n v="227129"/>
    <s v="Sabuj Sona Krishi Bhander"/>
    <s v="Private Retailer"/>
    <s v="7407505530"/>
    <n v="0.5"/>
    <n v="643"/>
    <x v="2"/>
    <m/>
    <s v="2024-07-16"/>
    <s v="663871"/>
    <s v="Sonali Enterprise"/>
    <s v="8250035491"/>
  </r>
  <r>
    <s v="RCF Trombay"/>
    <s v="15-15-15"/>
    <s v="WB"/>
    <x v="0"/>
    <s v="Deganga"/>
    <s v="User Not Mapped"/>
    <s v="User Not Mapped"/>
    <s v="User Not Mapped"/>
    <n v="227129"/>
    <s v="Sabuj Sona Krishi Bhander"/>
    <s v="Private Retailer"/>
    <s v="7407505530"/>
    <n v="0.6"/>
    <n v="648"/>
    <x v="2"/>
    <m/>
    <s v="2024-07-11"/>
    <s v="663871"/>
    <s v="Sonali Enterprise"/>
    <s v="8250035491"/>
  </r>
  <r>
    <s v="RCF Trombay"/>
    <s v="15-15-15"/>
    <s v="WB"/>
    <x v="0"/>
    <s v="Deganga"/>
    <s v="User Not Mapped"/>
    <s v="User Not Mapped"/>
    <s v="User Not Mapped"/>
    <n v="227129"/>
    <s v="Sabuj Sona Krishi Bhander"/>
    <s v="Private Retailer"/>
    <s v="7407505530"/>
    <n v="1.5"/>
    <n v="697"/>
    <x v="2"/>
    <m/>
    <s v="2024-05-23"/>
    <s v="663871"/>
    <s v="Sonali Enterprise"/>
    <s v="8250035491"/>
  </r>
  <r>
    <s v="RCF Trombay"/>
    <s v="15-15-15"/>
    <s v="WB"/>
    <x v="0"/>
    <s v="Deganga"/>
    <s v="User Not Mapped"/>
    <s v="User Not Mapped"/>
    <s v="User Not Mapped"/>
    <n v="227129"/>
    <s v="Sabuj Sona Krishi Bhander"/>
    <s v="Private Retailer"/>
    <s v="7407505530"/>
    <n v="0.7"/>
    <n v="704"/>
    <x v="2"/>
    <m/>
    <s v="2024-05-16"/>
    <s v="663871"/>
    <s v="Sonali Enterprise"/>
    <s v="8250035491"/>
  </r>
  <r>
    <s v="RCF Thal"/>
    <s v="N.C.Urea(45kg)"/>
    <s v="WB"/>
    <x v="0"/>
    <s v="Deganga"/>
    <s v="User Not Mapped"/>
    <s v="User Not Mapped"/>
    <s v="User Not Mapped"/>
    <n v="227129"/>
    <s v="Sabuj Sona Krishi Bhander"/>
    <s v="Private Retailer"/>
    <s v="7407505530"/>
    <n v="2.25"/>
    <n v="704"/>
    <x v="2"/>
    <m/>
    <s v="2024-05-16"/>
    <s v="663871"/>
    <s v="Sonali Enterprise"/>
    <s v="8250035491"/>
  </r>
  <r>
    <s v="RCF Trombay"/>
    <s v="15-15-15"/>
    <s v="WB"/>
    <x v="0"/>
    <s v="Deganga"/>
    <s v="User Not Mapped"/>
    <s v="User Not Mapped"/>
    <s v="User Not Mapped"/>
    <n v="227129"/>
    <s v="Sabuj Sona Krishi Bhander"/>
    <s v="Private Retailer"/>
    <s v="7407505530"/>
    <n v="0.4"/>
    <n v="614"/>
    <x v="2"/>
    <m/>
    <s v="2024-08-14"/>
    <s v="663871"/>
    <s v="Sonali Enterprise"/>
    <s v="8250035491"/>
  </r>
  <r>
    <s v="RCF Trombay"/>
    <s v="15-15-15"/>
    <s v="WB"/>
    <x v="0"/>
    <s v="Deganga"/>
    <s v="User Not Mapped"/>
    <s v="User Not Mapped"/>
    <s v="User Not Mapped"/>
    <n v="227129"/>
    <s v="Sabuj Sona Krishi Bhander"/>
    <s v="Private Retailer"/>
    <s v="7407505530"/>
    <n v="0.3"/>
    <n v="597"/>
    <x v="2"/>
    <m/>
    <s v="2024-08-31"/>
    <s v="663871"/>
    <s v="Sonali Enterprise"/>
    <s v="8250035491"/>
  </r>
  <r>
    <s v="RCF Trombay"/>
    <s v="15-15-15"/>
    <s v="WB"/>
    <x v="0"/>
    <s v="Deganga"/>
    <s v="User Not Mapped"/>
    <s v="User Not Mapped"/>
    <s v="User Not Mapped"/>
    <n v="227129"/>
    <s v="Sabuj Sona Krishi Bhander"/>
    <s v="Private Retailer"/>
    <s v="7407505530"/>
    <n v="3"/>
    <n v="690"/>
    <x v="2"/>
    <m/>
    <s v="2024-05-30"/>
    <s v="663871"/>
    <s v="Sonali Enterprise"/>
    <s v="8250035491"/>
  </r>
  <r>
    <s v="RCF Trombay"/>
    <s v="15-15-15"/>
    <s v="WB"/>
    <x v="0"/>
    <s v="Swarupnagar"/>
    <s v="User Not Mapped"/>
    <s v="User Not Mapped"/>
    <s v="User Not Mapped"/>
    <n v="270845"/>
    <s v="Sumaia Fertilizers"/>
    <s v="Private Retailer"/>
    <s v="8001310087"/>
    <n v="0.35"/>
    <n v="545"/>
    <x v="0"/>
    <m/>
    <s v="2024-10-22"/>
    <s v="663871"/>
    <s v="Sonali Enterprise"/>
    <s v="8250035491"/>
  </r>
  <r>
    <s v="RCF Import"/>
    <s v="MOP"/>
    <s v="WB"/>
    <x v="0"/>
    <s v="Bagda"/>
    <s v="User Not Mapped"/>
    <s v="User Not Mapped"/>
    <s v="User Not Mapped"/>
    <n v="354727"/>
    <s v="Arup  Karma Kar"/>
    <s v="Private Retailer"/>
    <s v="6294935756"/>
    <n v="0.25"/>
    <n v="32"/>
    <x v="3"/>
    <m/>
    <s v="2026-03-19"/>
    <s v="414580"/>
    <s v="Sukhendu Saha"/>
    <s v="9002005152"/>
  </r>
  <r>
    <s v="RCF Import"/>
    <s v="MOP"/>
    <s v="WB"/>
    <x v="0"/>
    <s v="Bagda"/>
    <s v="User Not Mapped"/>
    <s v="User Not Mapped"/>
    <s v="User Not Mapped"/>
    <n v="354727"/>
    <s v="Arup  Karma Kar"/>
    <s v="Private Retailer"/>
    <s v="6294935756"/>
    <n v="0.2"/>
    <n v="39"/>
    <x v="3"/>
    <m/>
    <s v="2026-03-12"/>
    <s v="414580"/>
    <s v="Sukhendu Saha"/>
    <s v="9002005152"/>
  </r>
  <r>
    <s v="RCF Import"/>
    <s v="MOP"/>
    <s v="WB"/>
    <x v="0"/>
    <s v="Bagda"/>
    <s v="User Not Mapped"/>
    <s v="User Not Mapped"/>
    <s v="User Not Mapped"/>
    <n v="354727"/>
    <s v="Arup  Karma Kar"/>
    <s v="Private Retailer"/>
    <s v="6294935756"/>
    <n v="0.25"/>
    <n v="50"/>
    <x v="3"/>
    <m/>
    <s v="2026-03-01"/>
    <s v="414580"/>
    <s v="Sukhendu Saha"/>
    <s v="9002005152"/>
  </r>
  <r>
    <s v="RCF Trombay"/>
    <s v="N.C.Urea(45kg)"/>
    <s v="WB"/>
    <x v="0"/>
    <m/>
    <s v="User Not Mapped"/>
    <s v="User Not Mapped"/>
    <s v="User Not Mapped"/>
    <n v="550231"/>
    <s v="Ashit Majumder"/>
    <s v="Private Retailer"/>
    <s v="9091462008"/>
    <n v="0.63300000000000001"/>
    <n v="2448"/>
    <x v="2"/>
    <m/>
    <s v="2019-08-07"/>
    <s v="414580"/>
    <s v="Sukhendu Saha"/>
    <s v="9002005152"/>
  </r>
  <r>
    <s v="RCF Import"/>
    <s v="MOP"/>
    <s v="WB"/>
    <x v="0"/>
    <s v="Bagda"/>
    <s v="User Not Mapped"/>
    <s v="User Not Mapped"/>
    <s v="User Not Mapped"/>
    <n v="354934"/>
    <s v="Ganesh Chandra   Mondal"/>
    <s v="Private Retailer"/>
    <s v="9733589738"/>
    <n v="0.25"/>
    <n v="50"/>
    <x v="3"/>
    <m/>
    <s v="2026-03-01"/>
    <s v="414580"/>
    <s v="Sukhendu Saha"/>
    <s v="9002005152"/>
  </r>
  <r>
    <s v="RCF Import"/>
    <s v="MOP"/>
    <s v="WB"/>
    <x v="0"/>
    <s v="Bagda"/>
    <s v="User Not Mapped"/>
    <s v="User Not Mapped"/>
    <s v="User Not Mapped"/>
    <n v="410950"/>
    <s v="Ghosh Fertilizers"/>
    <s v="Private Retailer"/>
    <s v="9851230599"/>
    <n v="0.5"/>
    <n v="49"/>
    <x v="3"/>
    <m/>
    <s v="2026-03-02"/>
    <s v="414580"/>
    <s v="Sukhendu Saha"/>
    <s v="9002005152"/>
  </r>
  <r>
    <s v="RCF Import"/>
    <s v="MOP"/>
    <s v="WB"/>
    <x v="0"/>
    <s v="Bagda"/>
    <s v="User Not Mapped"/>
    <s v="User Not Mapped"/>
    <s v="User Not Mapped"/>
    <n v="355032"/>
    <s v="Hazarat Tarafder"/>
    <s v="Private Retailer"/>
    <s v="9564100878"/>
    <n v="0.2"/>
    <n v="24"/>
    <x v="5"/>
    <m/>
    <s v="2026-03-27"/>
    <s v="414580"/>
    <s v="Sukhendu Saha"/>
    <s v="9002005152"/>
  </r>
  <r>
    <s v="RCF Import"/>
    <s v="MOP"/>
    <s v="WB"/>
    <x v="0"/>
    <s v="Bagda"/>
    <s v="User Not Mapped"/>
    <s v="User Not Mapped"/>
    <s v="User Not Mapped"/>
    <n v="355145"/>
    <s v="Iman  Ali Mallick"/>
    <s v="Private Retailer"/>
    <s v="9734875521"/>
    <n v="0.12"/>
    <n v="24"/>
    <x v="5"/>
    <m/>
    <s v="2026-03-27"/>
    <s v="414580"/>
    <s v="Sukhendu Saha"/>
    <s v="9002005152"/>
  </r>
  <r>
    <s v="RCF Import"/>
    <s v="MOP"/>
    <s v="WB"/>
    <x v="0"/>
    <s v="Bagda"/>
    <s v="User Not Mapped"/>
    <s v="User Not Mapped"/>
    <s v="User Not Mapped"/>
    <n v="355781"/>
    <s v="Narayan Chandra Biswas"/>
    <s v="Private Retailer"/>
    <s v="9734672612"/>
    <n v="0.5"/>
    <n v="33"/>
    <x v="3"/>
    <m/>
    <s v="2026-03-18"/>
    <s v="414580"/>
    <s v="Sukhendu Saha"/>
    <s v="9002005152"/>
  </r>
  <r>
    <s v="RCF Import"/>
    <s v="MOP"/>
    <s v="WB"/>
    <x v="0"/>
    <s v="Bagda"/>
    <s v="User Not Mapped"/>
    <s v="User Not Mapped"/>
    <s v="User Not Mapped"/>
    <n v="545840"/>
    <s v="Nemai Debnath"/>
    <s v="Private Retailer"/>
    <s v="9775018002"/>
    <n v="0.2"/>
    <n v="38"/>
    <x v="3"/>
    <m/>
    <s v="2026-03-13"/>
    <s v="414580"/>
    <s v="Sukhendu Saha"/>
    <s v="9002005152"/>
  </r>
  <r>
    <s v="RCF Import"/>
    <s v="MOP"/>
    <s v="WB"/>
    <x v="0"/>
    <s v="Bagda"/>
    <s v="User Not Mapped"/>
    <s v="User Not Mapped"/>
    <s v="User Not Mapped"/>
    <n v="487672"/>
    <s v="Pradyot Kumar Biswas"/>
    <s v="Private Retailer"/>
    <s v="9775284933"/>
    <n v="0.25"/>
    <n v="41"/>
    <x v="3"/>
    <m/>
    <s v="2026-03-10"/>
    <s v="414580"/>
    <s v="Sukhendu Saha"/>
    <s v="9002005152"/>
  </r>
  <r>
    <s v="RCF Import"/>
    <s v="MOP"/>
    <s v="WB"/>
    <x v="0"/>
    <s v="Bagda"/>
    <s v="User Not Mapped"/>
    <s v="User Not Mapped"/>
    <s v="User Not Mapped"/>
    <n v="356250"/>
    <s v="Sanjoy  Mallick"/>
    <s v="Private Retailer"/>
    <s v="9932007910"/>
    <n v="0.1"/>
    <n v="39"/>
    <x v="3"/>
    <m/>
    <s v="2026-03-12"/>
    <s v="414580"/>
    <s v="Sukhendu Saha"/>
    <s v="9002005152"/>
  </r>
  <r>
    <s v="RCF Import"/>
    <s v="MOP"/>
    <s v="WB"/>
    <x v="0"/>
    <s v="Bagda"/>
    <s v="User Not Mapped"/>
    <s v="User Not Mapped"/>
    <s v="User Not Mapped"/>
    <n v="356250"/>
    <s v="Sanjoy  Mallick"/>
    <s v="Private Retailer"/>
    <s v="9932007910"/>
    <n v="0.25"/>
    <n v="32"/>
    <x v="3"/>
    <m/>
    <s v="2026-03-19"/>
    <s v="414580"/>
    <s v="Sukhendu Saha"/>
    <s v="9002005152"/>
  </r>
  <r>
    <s v="RCF Import"/>
    <s v="MOP"/>
    <s v="WB"/>
    <x v="0"/>
    <s v="Bagda"/>
    <s v="User Not Mapped"/>
    <s v="User Not Mapped"/>
    <s v="User Not Mapped"/>
    <n v="270841"/>
    <s v="Sukhendu Saha"/>
    <s v="Private Retailer"/>
    <s v="9002005152"/>
    <n v="0.25"/>
    <n v="24"/>
    <x v="5"/>
    <m/>
    <s v="2026-03-27"/>
    <s v="414580"/>
    <s v="Sukhendu Saha"/>
    <s v="9002005152"/>
  </r>
  <r>
    <s v="RCF Import"/>
    <s v="MOP"/>
    <s v="WB"/>
    <x v="0"/>
    <s v="Bagda"/>
    <s v="User Not Mapped"/>
    <s v="User Not Mapped"/>
    <s v="User Not Mapped"/>
    <n v="457583"/>
    <s v="Tulshi Saha"/>
    <s v="Private Retailer"/>
    <s v="8768743976"/>
    <n v="0.25"/>
    <n v="40"/>
    <x v="3"/>
    <m/>
    <s v="2026-03-11"/>
    <s v="414580"/>
    <s v="Sukhendu Saha"/>
    <s v="9002005152"/>
  </r>
  <r>
    <s v="RCF Thal"/>
    <s v="N.C.Urea(45kg)"/>
    <s v="WB"/>
    <x v="0"/>
    <s v="Amdanga"/>
    <s v="User Not Mapped"/>
    <s v="User Not Mapped"/>
    <s v="User Not Mapped"/>
    <n v="355410"/>
    <s v="Agradoot "/>
    <s v="Private Wholsaler"/>
    <s v="9433166490"/>
    <n v="2.7"/>
    <n v="152"/>
    <x v="4"/>
    <s v="'0509'"/>
    <s v="2025-11-19"/>
    <s v="607374"/>
    <s v="SUMON SADHUKHAN"/>
    <s v="7980704821"/>
  </r>
  <r>
    <s v="RCF Import"/>
    <s v="MOP"/>
    <s v="WB"/>
    <x v="0"/>
    <s v="Swarupnagar"/>
    <s v="User Not Mapped"/>
    <s v="User Not Mapped"/>
    <s v="User Not Mapped"/>
    <n v="227209"/>
    <s v="Sohajohan Molla"/>
    <s v="Private Retailer"/>
    <s v="9647278097"/>
    <n v="3"/>
    <n v="43"/>
    <x v="3"/>
    <m/>
    <s v="2026-03-08"/>
    <s v="1052457"/>
    <s v="Supriyo Das"/>
    <s v="9564048050"/>
  </r>
  <r>
    <s v="RCF Trombay"/>
    <s v="15-15-15"/>
    <s v="WB"/>
    <x v="0"/>
    <m/>
    <s v="User Not Mapped"/>
    <s v="User Not Mapped"/>
    <s v="User Not Mapped"/>
    <n v="270832"/>
    <s v="Sohrab Sardar"/>
    <s v="Private Retailer"/>
    <s v="9732555598"/>
    <n v="1E-3"/>
    <n v="2037"/>
    <x v="2"/>
    <m/>
    <s v="2020-09-21"/>
    <s v="1052457"/>
    <s v="Supriyo Das"/>
    <s v="9564048050"/>
  </r>
  <r>
    <s v="RCF Import"/>
    <s v="Imp 10-26-26"/>
    <s v="WB"/>
    <x v="0"/>
    <s v="Bongaon"/>
    <s v="User Not Mapped"/>
    <s v="User Not Mapped"/>
    <s v="User Not Mapped"/>
    <n v="226596"/>
    <s v="Ghosh fertilizer"/>
    <s v="Private Retailer"/>
    <s v="9333868034"/>
    <n v="4.0999999999999996"/>
    <n v="145"/>
    <x v="4"/>
    <m/>
    <s v="2025-11-26"/>
    <s v="1107087"/>
    <s v="SWAPAN GHOSH"/>
    <s v="9333868034"/>
  </r>
  <r>
    <s v="RCF Trombay"/>
    <s v="15-15-15"/>
    <s v="WB"/>
    <x v="0"/>
    <s v="Haroa"/>
    <s v="User Not Mapped"/>
    <s v="User Not Mapped"/>
    <s v="User Not Mapped"/>
    <n v="189324"/>
    <s v="Baban Krishi Bhander"/>
    <s v="Private Retailer"/>
    <s v="9734977535"/>
    <n v="0.28000000000000003"/>
    <n v="868"/>
    <x v="2"/>
    <m/>
    <s v="2023-12-04"/>
    <s v="877418"/>
    <s v="TAPAN BISWAS"/>
    <s v="9733557901"/>
  </r>
  <r>
    <s v="RCF Thal"/>
    <s v="N.C.Urea(45kg)"/>
    <s v="WB"/>
    <x v="0"/>
    <s v="Haroa"/>
    <s v="User Not Mapped"/>
    <s v="User Not Mapped"/>
    <s v="User Not Mapped"/>
    <n v="189358"/>
    <s v="Md. Rafiqul Islam"/>
    <s v="Private Retailer"/>
    <s v="9144375854"/>
    <n v="1.4850000000000001"/>
    <n v="417"/>
    <x v="0"/>
    <m/>
    <s v="2025-02-27"/>
    <s v="877418"/>
    <s v="TAPAN BISWAS"/>
    <s v="9733557901"/>
  </r>
  <r>
    <s v="RCF Trombay"/>
    <s v="N.C.Urea(45kg)"/>
    <s v="WB"/>
    <x v="0"/>
    <s v="Sandeshkhali - II"/>
    <s v="User Not Mapped"/>
    <s v="User Not Mapped"/>
    <s v="User Not Mapped"/>
    <n v="227109"/>
    <s v="Ray Krishi Bhandar"/>
    <s v="Private Retailer"/>
    <s v="9635322422"/>
    <n v="0.45"/>
    <n v="810"/>
    <x v="2"/>
    <m/>
    <s v="2024-01-31"/>
    <s v="877418"/>
    <s v="TAPAN BISWAS"/>
    <s v="9733557901"/>
  </r>
  <r>
    <s v="RCF Trombay"/>
    <s v="N.C.Urea(45kg)"/>
    <s v="WB"/>
    <x v="0"/>
    <s v="Deganga"/>
    <s v="User Not Mapped"/>
    <s v="User Not Mapped"/>
    <s v="User Not Mapped"/>
    <n v="227128"/>
    <s v="Sabuj Sathi"/>
    <s v="Private Retailer"/>
    <s v="9735657467"/>
    <n v="2.88"/>
    <n v="957"/>
    <x v="2"/>
    <m/>
    <s v="2023-09-06"/>
    <s v="877418"/>
    <s v="TAPAN BISWAS"/>
    <s v="9733557901"/>
  </r>
  <r>
    <s v="RCF Trombay"/>
    <s v="15-15-15"/>
    <s v="WB"/>
    <x v="0"/>
    <m/>
    <s v="User Not Mapped"/>
    <s v="User Not Mapped"/>
    <s v="User Not Mapped"/>
    <n v="668564"/>
    <s v="ABDUL ALIM MONDAL"/>
    <s v="Private Retailer"/>
    <s v="7074420288"/>
    <n v="0.5"/>
    <n v="2666"/>
    <x v="2"/>
    <m/>
    <s v="2019-01-01"/>
    <s v="11"/>
    <s v="Too Old Stock"/>
    <m/>
  </r>
  <r>
    <s v="RCF Trombay"/>
    <s v="15-15-15"/>
    <s v="WB"/>
    <x v="0"/>
    <m/>
    <s v="User Not Mapped"/>
    <s v="User Not Mapped"/>
    <s v="User Not Mapped"/>
    <n v="1032407"/>
    <s v="ABDULLA DHABAK"/>
    <s v="Private Retailer"/>
    <s v="7074722599"/>
    <n v="0.15"/>
    <n v="2666"/>
    <x v="2"/>
    <m/>
    <s v="2019-01-01"/>
    <s v="11"/>
    <s v="Too Old Stock"/>
    <m/>
  </r>
  <r>
    <s v="RCF Thal"/>
    <s v="N.C.Urea(45kg)"/>
    <s v="WB"/>
    <x v="0"/>
    <m/>
    <s v="User Not Mapped"/>
    <s v="User Not Mapped"/>
    <s v="User Not Mapped"/>
    <n v="543048"/>
    <s v="Akbar Ali Mondal"/>
    <s v="Private Retailer"/>
    <s v="8768937940"/>
    <n v="1E-3"/>
    <n v="2666"/>
    <x v="2"/>
    <m/>
    <s v="2019-01-01"/>
    <s v="11"/>
    <s v="Too Old Stock"/>
    <m/>
  </r>
  <r>
    <s v="RCF Trombay"/>
    <s v="15-15-15"/>
    <s v="WB"/>
    <x v="0"/>
    <m/>
    <s v="User Not Mapped"/>
    <s v="User Not Mapped"/>
    <s v="User Not Mapped"/>
    <n v="355106"/>
    <s v="Ali Kadar Mondal"/>
    <s v="Private Retailer"/>
    <s v="9735774992"/>
    <n v="7.0000000000000007E-2"/>
    <n v="2666"/>
    <x v="2"/>
    <m/>
    <s v="2019-01-01"/>
    <s v="11"/>
    <s v="Too Old Stock"/>
    <m/>
  </r>
  <r>
    <s v="RCF Trombay"/>
    <s v="N.C.Urea(45kg)"/>
    <s v="WB"/>
    <x v="0"/>
    <m/>
    <s v="User Not Mapped"/>
    <s v="User Not Mapped"/>
    <s v="User Not Mapped"/>
    <n v="509944"/>
    <s v="Amrita Sarkar"/>
    <s v="Private Retailer"/>
    <s v="7547976005"/>
    <n v="2.5000000000000001E-2"/>
    <n v="2666"/>
    <x v="2"/>
    <m/>
    <s v="2019-01-01"/>
    <s v="11"/>
    <s v="Too Old Stock"/>
    <m/>
  </r>
  <r>
    <s v="RCF Trombay"/>
    <s v="15-15-15"/>
    <s v="WB"/>
    <x v="0"/>
    <m/>
    <s v="User Not Mapped"/>
    <s v="User Not Mapped"/>
    <s v="User Not Mapped"/>
    <n v="355115"/>
    <s v="Ashim Ghosh"/>
    <s v="Private Retailer"/>
    <s v="7478849392"/>
    <n v="6.7000000000000004E-2"/>
    <n v="2666"/>
    <x v="2"/>
    <m/>
    <s v="2019-01-01"/>
    <s v="11"/>
    <s v="Too Old Stock"/>
    <m/>
  </r>
  <r>
    <s v="RCF Trombay"/>
    <s v="15-15-15"/>
    <s v="WB"/>
    <x v="0"/>
    <m/>
    <s v="User Not Mapped"/>
    <s v="User Not Mapped"/>
    <s v="User Not Mapped"/>
    <n v="457843"/>
    <s v="Biswajit Ghosh"/>
    <s v="Private Retailer"/>
    <s v="8670077370"/>
    <n v="0.02"/>
    <n v="2666"/>
    <x v="2"/>
    <m/>
    <s v="2019-01-01"/>
    <s v="11"/>
    <s v="Too Old Stock"/>
    <m/>
  </r>
  <r>
    <s v="RCF Trombay"/>
    <s v="15-15-15"/>
    <s v="WB"/>
    <x v="0"/>
    <m/>
    <s v="User Not Mapped"/>
    <s v="User Not Mapped"/>
    <s v="User Not Mapped"/>
    <n v="457458"/>
    <s v="Dipankar Sikdar"/>
    <s v="Private Retailer"/>
    <s v="9732622093"/>
    <n v="0.20499999999999999"/>
    <n v="2666"/>
    <x v="2"/>
    <m/>
    <s v="2019-01-01"/>
    <s v="11"/>
    <s v="Too Old Stock"/>
    <m/>
  </r>
  <r>
    <s v="RCF Trombay"/>
    <s v="N.C.Urea(45kg)"/>
    <s v="WB"/>
    <x v="0"/>
    <m/>
    <s v="User Not Mapped"/>
    <s v="User Not Mapped"/>
    <s v="User Not Mapped"/>
    <n v="226673"/>
    <s v="Gopal Ch. Das"/>
    <s v="Private Retailer"/>
    <s v="9775266329"/>
    <n v="0.44500000000000001"/>
    <n v="2666"/>
    <x v="2"/>
    <m/>
    <s v="2019-01-01"/>
    <s v="11"/>
    <s v="Too Old Stock"/>
    <m/>
  </r>
  <r>
    <s v="RCF Trombay"/>
    <s v="15-15-15"/>
    <s v="WB"/>
    <x v="0"/>
    <m/>
    <s v="User Not Mapped"/>
    <s v="User Not Mapped"/>
    <s v="User Not Mapped"/>
    <n v="226673"/>
    <s v="Gopal Ch. Das"/>
    <s v="Private Retailer"/>
    <s v="9775266329"/>
    <n v="0.59499999999999997"/>
    <n v="2666"/>
    <x v="2"/>
    <m/>
    <s v="2019-01-01"/>
    <s v="11"/>
    <s v="Too Old Stock"/>
    <m/>
  </r>
  <r>
    <s v="RCF Trombay"/>
    <s v="15-15-15"/>
    <s v="WB"/>
    <x v="0"/>
    <m/>
    <s v="User Not Mapped"/>
    <s v="User Not Mapped"/>
    <s v="User Not Mapped"/>
    <n v="479755"/>
    <s v="Goutam And Soumen Chowdhury"/>
    <s v="Private Retailer"/>
    <s v="9609165246"/>
    <n v="0.5"/>
    <n v="2666"/>
    <x v="2"/>
    <m/>
    <s v="2019-01-01"/>
    <s v="11"/>
    <s v="Too Old Stock"/>
    <m/>
  </r>
  <r>
    <s v="RCF Thal"/>
    <s v="Th Urea(50 Kg)"/>
    <s v="WB"/>
    <x v="0"/>
    <m/>
    <s v="User Not Mapped"/>
    <s v="User Not Mapped"/>
    <s v="User Not Mapped"/>
    <n v="458107"/>
    <s v="Jayanta Sen"/>
    <s v="Private Retailer"/>
    <s v="9734673616"/>
    <n v="0.23799999999999999"/>
    <n v="2666"/>
    <x v="2"/>
    <m/>
    <s v="2019-01-01"/>
    <s v="11"/>
    <s v="Too Old Stock"/>
    <m/>
  </r>
  <r>
    <s v="RCF Trombay"/>
    <s v="15-15-15"/>
    <s v="WB"/>
    <x v="0"/>
    <m/>
    <s v="User Not Mapped"/>
    <s v="User Not Mapped"/>
    <s v="User Not Mapped"/>
    <n v="458107"/>
    <s v="Jayanta Sen"/>
    <s v="Private Retailer"/>
    <s v="9734673616"/>
    <n v="2.1999999999999999E-2"/>
    <n v="2666"/>
    <x v="2"/>
    <m/>
    <s v="2019-01-01"/>
    <s v="11"/>
    <s v="Too Old Stock"/>
    <m/>
  </r>
  <r>
    <s v="RCF Trombay"/>
    <s v="15-15-15"/>
    <s v="WB"/>
    <x v="0"/>
    <m/>
    <s v="User Not Mapped"/>
    <s v="User Not Mapped"/>
    <s v="User Not Mapped"/>
    <n v="462715"/>
    <s v="Jayasri Fertilizer"/>
    <s v="Private Retailer"/>
    <s v="9674134806"/>
    <n v="0.25"/>
    <n v="2666"/>
    <x v="2"/>
    <m/>
    <s v="2019-01-01"/>
    <s v="11"/>
    <s v="Too Old Stock"/>
    <m/>
  </r>
  <r>
    <s v="RCF Trombay"/>
    <s v="N.C.Urea(45kg)"/>
    <s v="WB"/>
    <x v="0"/>
    <m/>
    <s v="User Not Mapped"/>
    <s v="User Not Mapped"/>
    <s v="User Not Mapped"/>
    <n v="949966"/>
    <s v="Joy krishi bhander"/>
    <s v="Private Retailer"/>
    <s v="8584837840"/>
    <n v="3.2000000000000001E-2"/>
    <n v="2666"/>
    <x v="2"/>
    <m/>
    <s v="2019-01-01"/>
    <s v="11"/>
    <s v="Too Old Stock"/>
    <m/>
  </r>
  <r>
    <s v="RCF Trombay"/>
    <s v="N.C.Urea(45kg)"/>
    <s v="WB"/>
    <x v="0"/>
    <m/>
    <s v="User Not Mapped"/>
    <s v="User Not Mapped"/>
    <s v="User Not Mapped"/>
    <n v="226758"/>
    <s v="Kazi Sahi Durzzaman"/>
    <s v="Private Retailer"/>
    <s v="9153029140"/>
    <n v="0.75"/>
    <n v="2666"/>
    <x v="2"/>
    <m/>
    <s v="2019-01-01"/>
    <s v="11"/>
    <s v="Too Old Stock"/>
    <m/>
  </r>
  <r>
    <s v="RCF Trombay"/>
    <s v="15-15-15"/>
    <s v="WB"/>
    <x v="0"/>
    <m/>
    <s v="User Not Mapped"/>
    <s v="User Not Mapped"/>
    <s v="User Not Mapped"/>
    <n v="456878"/>
    <s v="M/S Hasya Badan Makul"/>
    <s v="Private Retailer"/>
    <s v="9836907019"/>
    <n v="0.05"/>
    <n v="2666"/>
    <x v="2"/>
    <m/>
    <s v="2019-01-01"/>
    <s v="11"/>
    <s v="Too Old Stock"/>
    <m/>
  </r>
  <r>
    <s v="RCF Trombay"/>
    <s v="15-15-15"/>
    <s v="WB"/>
    <x v="0"/>
    <m/>
    <s v="User Not Mapped"/>
    <s v="User Not Mapped"/>
    <s v="User Not Mapped"/>
    <n v="226965"/>
    <s v="M/S Kanai Lal Mondal"/>
    <s v="Private Retailer"/>
    <s v="9434102139"/>
    <n v="1"/>
    <n v="2666"/>
    <x v="2"/>
    <m/>
    <s v="2019-01-01"/>
    <s v="11"/>
    <s v="Too Old Stock"/>
    <m/>
  </r>
  <r>
    <s v="RCF Trombay"/>
    <s v="15-15-15"/>
    <s v="WB"/>
    <x v="0"/>
    <m/>
    <s v="User Not Mapped"/>
    <s v="User Not Mapped"/>
    <s v="User Not Mapped"/>
    <n v="226968"/>
    <s v="M/S Khaza Fertilizers"/>
    <s v="Private Retailer"/>
    <s v="9874884975"/>
    <n v="4.4999999999999998E-2"/>
    <n v="2666"/>
    <x v="2"/>
    <m/>
    <s v="2019-01-01"/>
    <s v="11"/>
    <s v="Too Old Stock"/>
    <m/>
  </r>
  <r>
    <s v="RCF Trombay"/>
    <s v="15-15-15"/>
    <s v="WB"/>
    <x v="0"/>
    <m/>
    <s v="User Not Mapped"/>
    <s v="User Not Mapped"/>
    <s v="User Not Mapped"/>
    <n v="460729"/>
    <s v="M/S Matri Krishi Bhander"/>
    <s v="Private Retailer"/>
    <s v="7679933127"/>
    <n v="0.44500000000000001"/>
    <n v="2666"/>
    <x v="2"/>
    <m/>
    <s v="2019-01-01"/>
    <s v="11"/>
    <s v="Too Old Stock"/>
    <m/>
  </r>
  <r>
    <s v="RCF Trombay"/>
    <s v="15-15-15"/>
    <s v="WB"/>
    <x v="0"/>
    <m/>
    <s v="User Not Mapped"/>
    <s v="User Not Mapped"/>
    <s v="User Not Mapped"/>
    <n v="227002"/>
    <s v="M/S Shila Fertilizers"/>
    <s v="Private Retailer"/>
    <s v="8961360609"/>
    <n v="0.03"/>
    <n v="2666"/>
    <x v="2"/>
    <m/>
    <s v="2019-01-01"/>
    <s v="11"/>
    <s v="Too Old Stock"/>
    <m/>
  </r>
  <r>
    <s v="RCF Trombay"/>
    <s v="15-15-15"/>
    <s v="WB"/>
    <x v="0"/>
    <m/>
    <s v="User Not Mapped"/>
    <s v="User Not Mapped"/>
    <s v="User Not Mapped"/>
    <n v="490649"/>
    <s v="Marjel Mondal"/>
    <s v="Private Retailer"/>
    <s v="7384579543"/>
    <n v="0.08"/>
    <n v="2666"/>
    <x v="2"/>
    <m/>
    <s v="2019-01-01"/>
    <s v="11"/>
    <s v="Too Old Stock"/>
    <m/>
  </r>
  <r>
    <s v="RCF Thal"/>
    <s v="N.C.Urea(45kg)"/>
    <s v="WB"/>
    <x v="0"/>
    <m/>
    <s v="User Not Mapped"/>
    <s v="User Not Mapped"/>
    <s v="User Not Mapped"/>
    <n v="917453"/>
    <s v="Miragul Fertilizer"/>
    <s v="Private Retailer"/>
    <s v="8013776155"/>
    <n v="0.16500000000000001"/>
    <n v="2666"/>
    <x v="2"/>
    <m/>
    <s v="2019-01-01"/>
    <s v="11"/>
    <s v="Too Old Stock"/>
    <m/>
  </r>
  <r>
    <s v="RCF Trombay"/>
    <s v="15-15-15"/>
    <s v="WB"/>
    <x v="0"/>
    <m/>
    <s v="User Not Mapped"/>
    <s v="User Not Mapped"/>
    <s v="User Not Mapped"/>
    <n v="917453"/>
    <s v="Miragul Fertilizer"/>
    <s v="Private Retailer"/>
    <s v="8013776155"/>
    <n v="0.125"/>
    <n v="2666"/>
    <x v="2"/>
    <m/>
    <s v="2019-01-01"/>
    <s v="11"/>
    <s v="Too Old Stock"/>
    <m/>
  </r>
  <r>
    <s v="RCF Trombay"/>
    <s v="15-15-15"/>
    <s v="WB"/>
    <x v="0"/>
    <m/>
    <s v="User Not Mapped"/>
    <s v="User Not Mapped"/>
    <s v="User Not Mapped"/>
    <n v="226906"/>
    <s v="Mondal Krishi Bhander"/>
    <s v="Private Retailer"/>
    <s v="9735227499"/>
    <n v="0.03"/>
    <n v="2666"/>
    <x v="2"/>
    <m/>
    <s v="2019-01-01"/>
    <s v="11"/>
    <s v="Too Old Stock"/>
    <m/>
  </r>
  <r>
    <s v="RCF Trombay"/>
    <s v="15-15-15"/>
    <s v="WB"/>
    <x v="0"/>
    <m/>
    <s v="User Not Mapped"/>
    <s v="User Not Mapped"/>
    <s v="User Not Mapped"/>
    <n v="227081"/>
    <s v="Purkait Krishi Bhander"/>
    <s v="Private Retailer"/>
    <s v="9733538010"/>
    <n v="0.28999999999999998"/>
    <n v="2666"/>
    <x v="2"/>
    <m/>
    <s v="2019-01-01"/>
    <s v="11"/>
    <s v="Too Old Stock"/>
    <m/>
  </r>
  <r>
    <s v="RCF Trombay"/>
    <s v="15-15-15"/>
    <s v="WB"/>
    <x v="0"/>
    <m/>
    <s v="User Not Mapped"/>
    <s v="User Not Mapped"/>
    <s v="User Not Mapped"/>
    <n v="937974"/>
    <s v="Rafiqul Fertilizer"/>
    <s v="Private Retailer"/>
    <s v="9874825859"/>
    <n v="0.04"/>
    <n v="2666"/>
    <x v="2"/>
    <m/>
    <s v="2019-01-01"/>
    <s v="11"/>
    <s v="Too Old Stock"/>
    <m/>
  </r>
  <r>
    <s v="RCF Trombay"/>
    <s v="15-15-15"/>
    <s v="WB"/>
    <x v="0"/>
    <s v="Barasat - I"/>
    <s v="User Not Mapped"/>
    <s v="User Not Mapped"/>
    <s v="User Not Mapped"/>
    <n v="637375"/>
    <s v="RAHAMAN FERTILIZER"/>
    <s v="Private Retailer"/>
    <s v="9836848090"/>
    <n v="0.01"/>
    <n v="2666"/>
    <x v="2"/>
    <m/>
    <s v="2019-01-01"/>
    <s v="11"/>
    <s v="Too Old Stock"/>
    <m/>
  </r>
  <r>
    <s v="RCF Trombay"/>
    <s v="15-15-15"/>
    <s v="WB"/>
    <x v="0"/>
    <m/>
    <s v="User Not Mapped"/>
    <s v="User Not Mapped"/>
    <s v="User Not Mapped"/>
    <n v="530164"/>
    <s v="Rjaul Hossen Mallick"/>
    <s v="Private Retailer"/>
    <s v="9734505133"/>
    <n v="0.1"/>
    <n v="2666"/>
    <x v="2"/>
    <m/>
    <s v="2019-01-01"/>
    <s v="11"/>
    <s v="Too Old Stock"/>
    <m/>
  </r>
  <r>
    <s v="RCF Trombay"/>
    <s v="15-15-15"/>
    <s v="WB"/>
    <x v="0"/>
    <m/>
    <s v="User Not Mapped"/>
    <s v="User Not Mapped"/>
    <s v="User Not Mapped"/>
    <n v="501278"/>
    <s v="Saifuddin Mondal"/>
    <s v="Private Retailer"/>
    <s v="9153815785"/>
    <n v="0.11"/>
    <n v="2666"/>
    <x v="2"/>
    <m/>
    <s v="2019-01-01"/>
    <s v="11"/>
    <s v="Too Old Stock"/>
    <m/>
  </r>
  <r>
    <s v="RCF Trombay"/>
    <s v="15-15-15"/>
    <s v="WB"/>
    <x v="0"/>
    <m/>
    <s v="User Not Mapped"/>
    <s v="User Not Mapped"/>
    <s v="User Not Mapped"/>
    <n v="411281"/>
    <s v="Salauddin Biswas"/>
    <s v="Private Retailer"/>
    <s v="9153437959"/>
    <n v="0.06"/>
    <n v="2666"/>
    <x v="2"/>
    <m/>
    <s v="2019-01-01"/>
    <s v="11"/>
    <s v="Too Old Stock"/>
    <m/>
  </r>
  <r>
    <s v="RCF Trombay"/>
    <s v="15-15-15"/>
    <s v="WB"/>
    <x v="0"/>
    <m/>
    <s v="User Not Mapped"/>
    <s v="User Not Mapped"/>
    <s v="User Not Mapped"/>
    <n v="520431"/>
    <s v="Shanku Mondal"/>
    <s v="Private Retailer"/>
    <s v="9735603503"/>
    <n v="0.06"/>
    <n v="2666"/>
    <x v="2"/>
    <m/>
    <s v="2019-01-01"/>
    <s v="11"/>
    <s v="Too Old Stock"/>
    <m/>
  </r>
  <r>
    <s v="RCF Trombay"/>
    <s v="15-15-15"/>
    <s v="WB"/>
    <x v="0"/>
    <m/>
    <s v="User Not Mapped"/>
    <s v="User Not Mapped"/>
    <s v="User Not Mapped"/>
    <n v="411429"/>
    <s v="Subhas Kapat"/>
    <s v="Private Retailer"/>
    <s v="9647228470"/>
    <n v="7.0000000000000007E-2"/>
    <n v="2666"/>
    <x v="2"/>
    <m/>
    <s v="2019-01-01"/>
    <s v="11"/>
    <s v="Too Old Stock"/>
    <m/>
  </r>
  <r>
    <s v="RCF Trombay"/>
    <s v="15-15-15"/>
    <s v="WB"/>
    <x v="0"/>
    <m/>
    <s v="User Not Mapped"/>
    <s v="User Not Mapped"/>
    <s v="User Not Mapped"/>
    <n v="227239"/>
    <s v="Susanta Pal"/>
    <s v="Private Retailer"/>
    <s v="9735771238"/>
    <n v="3.0000000000000001E-3"/>
    <n v="2666"/>
    <x v="2"/>
    <m/>
    <s v="2019-01-01"/>
    <s v="11"/>
    <s v="Too Old Stock"/>
    <m/>
  </r>
  <r>
    <s v="RCF Trombay"/>
    <s v="15-15-15"/>
    <s v="WB"/>
    <x v="0"/>
    <s v="Hasnabad"/>
    <s v="User Not Mapped"/>
    <s v="User Not Mapped"/>
    <s v="User Not Mapped"/>
    <n v="632572"/>
    <s v="Tarak Das"/>
    <s v="Private Retailer"/>
    <s v="7431061379"/>
    <n v="0.5"/>
    <n v="2666"/>
    <x v="2"/>
    <m/>
    <s v="2019-01-01"/>
    <s v="11"/>
    <s v="Too Old Stock"/>
    <m/>
  </r>
  <r>
    <s v="RCF Trombay"/>
    <s v="N.C.Urea(45kg)"/>
    <s v="WB"/>
    <x v="1"/>
    <m/>
    <s v="User Not Mapped"/>
    <s v="User Not Mapped"/>
    <s v="User Not Mapped"/>
    <n v="961126"/>
    <s v="BIJOY KRISHI BHANDAR"/>
    <s v="Private Retailer"/>
    <s v="9732570966"/>
    <n v="0.02"/>
    <n v="1186"/>
    <x v="2"/>
    <m/>
    <s v="2023-01-20"/>
    <s v="290835"/>
    <s v=" Mahamaya Krishi Bhander"/>
    <s v="9933502068"/>
  </r>
  <r>
    <s v="RCF Trombay"/>
    <s v="15-15-15"/>
    <s v="WB"/>
    <x v="1"/>
    <m/>
    <s v="User Not Mapped"/>
    <s v="User Not Mapped"/>
    <s v="User Not Mapped"/>
    <n v="1037461"/>
    <s v="KAMALA KRISHI BHANDER"/>
    <s v="Private Retailer"/>
    <s v="9733708702"/>
    <n v="0.5"/>
    <n v="2336"/>
    <x v="2"/>
    <m/>
    <s v="2019-11-27"/>
    <s v="290835"/>
    <s v=" Mahamaya Krishi Bhander"/>
    <s v="9933502068"/>
  </r>
  <r>
    <s v="RCF Trombay"/>
    <s v="15-15-15"/>
    <s v="WB"/>
    <x v="1"/>
    <s v="Patharpratima"/>
    <s v="User Not Mapped"/>
    <s v="User Not Mapped"/>
    <s v="User Not Mapped"/>
    <n v="1216150"/>
    <s v="RADHAKRISHNA KRISHI BHANDAR"/>
    <s v="Private Retailer"/>
    <s v="9883084867"/>
    <n v="0.25"/>
    <n v="119"/>
    <x v="7"/>
    <m/>
    <s v="2025-12-22"/>
    <s v="290835"/>
    <s v=" Mahamaya Krishi Bhander"/>
    <s v="9933502068"/>
  </r>
  <r>
    <s v="RCF Trombay"/>
    <s v="15-15-15"/>
    <s v="WB"/>
    <x v="1"/>
    <s v="Kakdwip"/>
    <s v="User Not Mapped"/>
    <s v="User Not Mapped"/>
    <s v="User Not Mapped"/>
    <n v="541775"/>
    <s v="SAMIRAN KRISHI BHANDAR"/>
    <s v="Private Retailer"/>
    <s v="9800653442"/>
    <n v="3"/>
    <n v="25"/>
    <x v="5"/>
    <m/>
    <s v="2026-03-26"/>
    <s v="290835"/>
    <s v=" Mahamaya Krishi Bhander"/>
    <s v="9933502068"/>
  </r>
  <r>
    <s v="RCF Trombay"/>
    <s v="15-15-15"/>
    <s v="WB"/>
    <x v="1"/>
    <s v="Kakdwip"/>
    <s v="User Not Mapped"/>
    <s v="User Not Mapped"/>
    <s v="User Not Mapped"/>
    <n v="892271"/>
    <s v="HARIPRIVA FERTILISER"/>
    <s v="Private Retailer"/>
    <s v="7363809486"/>
    <n v="0.25"/>
    <n v="1940"/>
    <x v="2"/>
    <m/>
    <s v="2020-12-27"/>
    <s v="333133"/>
    <s v=" Purusatham Fertilizers"/>
    <s v="9933502068"/>
  </r>
  <r>
    <s v="RCF Trombay"/>
    <s v="15-15-15"/>
    <s v="WB"/>
    <x v="1"/>
    <s v="Kakdwip"/>
    <s v="User Not Mapped"/>
    <s v="User Not Mapped"/>
    <s v="User Not Mapped"/>
    <n v="637833"/>
    <s v="KARAN FERTILISER"/>
    <s v="Private Retailer"/>
    <s v="9635579531"/>
    <n v="2.1999999999999999E-2"/>
    <n v="1854"/>
    <x v="2"/>
    <m/>
    <s v="2021-03-23"/>
    <s v="333133"/>
    <s v=" Purusatham Fertilizers"/>
    <s v="9933502068"/>
  </r>
  <r>
    <s v="RCF Trombay"/>
    <s v="N.C.Urea(45kg)"/>
    <s v="WB"/>
    <x v="1"/>
    <s v="Kakdwip"/>
    <s v="User Not Mapped"/>
    <s v="User Not Mapped"/>
    <s v="User Not Mapped"/>
    <n v="637845"/>
    <s v="MAA DURGA KRISHI BHANDER"/>
    <s v="Private Retailer"/>
    <s v="7407309186"/>
    <n v="0.45"/>
    <n v="2029"/>
    <x v="2"/>
    <m/>
    <s v="2020-09-29"/>
    <s v="333133"/>
    <s v=" Purusatham Fertilizers"/>
    <s v="9933502068"/>
  </r>
  <r>
    <s v="RCF Trombay"/>
    <s v="15-15-15"/>
    <s v="WB"/>
    <x v="1"/>
    <s v="Kakdwip"/>
    <s v="User Not Mapped"/>
    <s v="User Not Mapped"/>
    <s v="User Not Mapped"/>
    <n v="1001463"/>
    <s v="USHA KRISHI BHANDER"/>
    <s v="Private Retailer"/>
    <s v="9732809838"/>
    <n v="0.7"/>
    <n v="482"/>
    <x v="0"/>
    <m/>
    <s v="2024-12-24"/>
    <s v="333133"/>
    <s v=" Purusatham Fertilizers"/>
    <s v="9933502068"/>
  </r>
  <r>
    <s v="RCF Trombay"/>
    <s v="15-15-15"/>
    <s v="WB"/>
    <x v="1"/>
    <s v="Baruipur"/>
    <s v="User Not Mapped"/>
    <s v="User Not Mapped"/>
    <s v="User Not Mapped"/>
    <n v="638929"/>
    <s v="M/S. HALDER FERTILIZER"/>
    <s v="Private Retailer"/>
    <s v="9836256023"/>
    <n v="0.05"/>
    <n v="2365"/>
    <x v="2"/>
    <m/>
    <s v="2019-10-29"/>
    <s v="356389"/>
    <s v=" Siddik Ali Gazi"/>
    <s v="9903464391"/>
  </r>
  <r>
    <s v="RCF Thal"/>
    <s v="N.C.Urea(45kg)"/>
    <s v="WB"/>
    <x v="1"/>
    <m/>
    <s v="User Not Mapped"/>
    <s v="User Not Mapped"/>
    <s v="User Not Mapped"/>
    <n v="638937"/>
    <s v="ABDUL HALIM MONDAL"/>
    <s v="Private Retailer"/>
    <s v="9614159759"/>
    <n v="0.45"/>
    <n v="2293"/>
    <x v="2"/>
    <m/>
    <s v="2020-01-09"/>
    <s v="639539"/>
    <s v="ABUL KALAM MONDAL"/>
    <s v="9732789800"/>
  </r>
  <r>
    <s v="RCF Thal"/>
    <s v="N.C.Urea(45kg)"/>
    <s v="WB"/>
    <x v="1"/>
    <s v="Bhangar - II"/>
    <s v="User Not Mapped"/>
    <s v="User Not Mapped"/>
    <s v="User Not Mapped"/>
    <n v="637797"/>
    <s v="AJAN SAPUIN"/>
    <s v="Private Retailer"/>
    <s v="9609112384"/>
    <n v="6.4349999999999996"/>
    <n v="142"/>
    <x v="4"/>
    <m/>
    <s v="2025-11-29"/>
    <s v="506846"/>
    <s v="Adarsha Krishi fertilizer"/>
    <s v="7003789893"/>
  </r>
  <r>
    <s v="RCF Trombay"/>
    <s v="15-15-15"/>
    <s v="WB"/>
    <x v="1"/>
    <s v="Bhangar - I"/>
    <s v="User Not Mapped"/>
    <s v="User Not Mapped"/>
    <s v="User Not Mapped"/>
    <n v="633406"/>
    <s v="KOWSAR ALI MOLLA"/>
    <s v="Private Retailer"/>
    <s v="9593954614"/>
    <n v="2.5000000000000001E-2"/>
    <n v="492"/>
    <x v="0"/>
    <m/>
    <s v="2024-12-14"/>
    <s v="506846"/>
    <s v="Adarsha Krishi fertilizer"/>
    <s v="7003789893"/>
  </r>
  <r>
    <s v="RCF Thal"/>
    <s v="N.C.Urea(45kg)"/>
    <s v="WB"/>
    <x v="1"/>
    <s v="Bhangar - II"/>
    <s v="User Not Mapped"/>
    <s v="User Not Mapped"/>
    <s v="User Not Mapped"/>
    <n v="355742"/>
    <s v="M/S. Rabiul Islam"/>
    <s v="Private Retailer"/>
    <s v="9830521863"/>
    <n v="0.93"/>
    <n v="126"/>
    <x v="4"/>
    <m/>
    <s v="2025-12-15"/>
    <s v="506846"/>
    <s v="Adarsha Krishi fertilizer"/>
    <s v="7003789893"/>
  </r>
  <r>
    <s v="RCF Trombay"/>
    <s v="15-15-15"/>
    <s v="WB"/>
    <x v="1"/>
    <s v="Bhangar - II"/>
    <s v="User Not Mapped"/>
    <s v="User Not Mapped"/>
    <s v="User Not Mapped"/>
    <n v="636478"/>
    <s v="MD ALI AKBAR MOLLA"/>
    <s v="Private Retailer"/>
    <s v="8768233899"/>
    <n v="8.65"/>
    <n v="321"/>
    <x v="1"/>
    <m/>
    <s v="2025-06-03"/>
    <s v="506846"/>
    <s v="Adarsha Krishi fertilizer"/>
    <s v="7003789893"/>
  </r>
  <r>
    <s v="RCF Thal"/>
    <s v="N.C.Urea(45kg)"/>
    <s v="WB"/>
    <x v="1"/>
    <m/>
    <s v="User Not Mapped"/>
    <s v="User Not Mapped"/>
    <s v="User Not Mapped"/>
    <n v="469844"/>
    <s v="Md. Abdul Ahid Molla"/>
    <s v="Private Retailer"/>
    <s v="9734270182"/>
    <n v="4.5449999999999999"/>
    <n v="1826"/>
    <x v="2"/>
    <m/>
    <s v="2021-04-20"/>
    <s v="506846"/>
    <s v="Adarsha Krishi fertilizer"/>
    <s v="7003789893"/>
  </r>
  <r>
    <s v="RCF Trombay"/>
    <s v="15-15-15"/>
    <s v="WB"/>
    <x v="1"/>
    <m/>
    <s v="User Not Mapped"/>
    <s v="User Not Mapped"/>
    <s v="User Not Mapped"/>
    <n v="469844"/>
    <s v="Md. Abdul Ahid Molla"/>
    <s v="Private Retailer"/>
    <s v="9734270182"/>
    <n v="2.5"/>
    <n v="1236"/>
    <x v="2"/>
    <m/>
    <s v="2022-12-01"/>
    <s v="506846"/>
    <s v="Adarsha Krishi fertilizer"/>
    <s v="7003789893"/>
  </r>
  <r>
    <s v="RCF Trombay"/>
    <s v="N.C.Urea(45kg)"/>
    <s v="WB"/>
    <x v="1"/>
    <s v="Bhangar - II"/>
    <s v="User Not Mapped"/>
    <s v="User Not Mapped"/>
    <s v="User Not Mapped"/>
    <n v="355384"/>
    <s v="Md.Ismailmolla"/>
    <s v="Private Retailer"/>
    <s v="9735755235"/>
    <n v="3.915"/>
    <n v="90"/>
    <x v="6"/>
    <m/>
    <s v="2026-01-20"/>
    <s v="506846"/>
    <s v="Adarsha Krishi fertilizer"/>
    <s v="7003789893"/>
  </r>
  <r>
    <s v="RCF Trombay"/>
    <s v="N.C.Urea(45kg)"/>
    <s v="WB"/>
    <x v="1"/>
    <s v="Bhangar - II"/>
    <s v="User Not Mapped"/>
    <s v="User Not Mapped"/>
    <s v="User Not Mapped"/>
    <n v="470796"/>
    <s v="Mosaref Molla"/>
    <s v="Private Retailer"/>
    <s v="9932247751"/>
    <n v="3.0000000000000001E-3"/>
    <n v="510"/>
    <x v="0"/>
    <m/>
    <s v="2024-11-26"/>
    <s v="506846"/>
    <s v="Adarsha Krishi fertilizer"/>
    <s v="7003789893"/>
  </r>
  <r>
    <s v="RCF Trombay"/>
    <s v="15-15-15"/>
    <s v="WB"/>
    <x v="1"/>
    <s v="Bhangar - II"/>
    <s v="User Not Mapped"/>
    <s v="User Not Mapped"/>
    <s v="User Not Mapped"/>
    <n v="470796"/>
    <s v="Mosaref Molla"/>
    <s v="Private Retailer"/>
    <s v="9932247751"/>
    <n v="0.1"/>
    <n v="65"/>
    <x v="6"/>
    <m/>
    <s v="2026-02-14"/>
    <s v="506846"/>
    <s v="Adarsha Krishi fertilizer"/>
    <s v="7003789893"/>
  </r>
  <r>
    <s v="RCF Trombay"/>
    <s v="15-15-15"/>
    <s v="WB"/>
    <x v="1"/>
    <s v="Bhangar - II"/>
    <s v="User Not Mapped"/>
    <s v="User Not Mapped"/>
    <s v="User Not Mapped"/>
    <n v="836714"/>
    <s v="NEW FERTILISERand STORES"/>
    <s v="Private Retailer"/>
    <s v="9564407296"/>
    <n v="0.2"/>
    <n v="781"/>
    <x v="2"/>
    <m/>
    <s v="2024-02-29"/>
    <s v="506846"/>
    <s v="Adarsha Krishi fertilizer"/>
    <s v="7003789893"/>
  </r>
  <r>
    <s v="RCF Thal"/>
    <s v="N.C.Urea(45kg)"/>
    <s v="WB"/>
    <x v="1"/>
    <s v="Bhangar - II"/>
    <s v="User Not Mapped"/>
    <s v="User Not Mapped"/>
    <s v="User Not Mapped"/>
    <n v="635692"/>
    <s v="PROBIR KR ROY"/>
    <s v="Private Retailer"/>
    <s v="7699866166"/>
    <n v="9.9149999999999991"/>
    <n v="142"/>
    <x v="4"/>
    <m/>
    <s v="2025-11-29"/>
    <s v="506846"/>
    <s v="Adarsha Krishi fertilizer"/>
    <s v="7003789893"/>
  </r>
  <r>
    <s v="RCF Trombay"/>
    <s v="15-15-15"/>
    <s v="WB"/>
    <x v="1"/>
    <s v="Bhangar - II"/>
    <s v="User Not Mapped"/>
    <s v="User Not Mapped"/>
    <s v="User Not Mapped"/>
    <n v="635692"/>
    <s v="PROBIR KR ROY"/>
    <s v="Private Retailer"/>
    <s v="7699866166"/>
    <n v="0.05"/>
    <n v="128"/>
    <x v="4"/>
    <m/>
    <s v="2025-12-13"/>
    <s v="506846"/>
    <s v="Adarsha Krishi fertilizer"/>
    <s v="7003789893"/>
  </r>
  <r>
    <s v="RCF Trombay"/>
    <s v="N.C.Urea(45kg)"/>
    <s v="WB"/>
    <x v="1"/>
    <s v="Bhangar - II"/>
    <s v="User Not Mapped"/>
    <s v="User Not Mapped"/>
    <s v="User Not Mapped"/>
    <n v="635692"/>
    <s v="PROBIR KR ROY"/>
    <s v="Private Retailer"/>
    <s v="7699866166"/>
    <n v="4.8600000000000003"/>
    <n v="233"/>
    <x v="1"/>
    <m/>
    <s v="2025-08-30"/>
    <s v="506846"/>
    <s v="Adarsha Krishi fertilizer"/>
    <s v="7003789893"/>
  </r>
  <r>
    <s v="RCF Trombay"/>
    <s v="N.C.Urea(45kg)"/>
    <s v="WB"/>
    <x v="1"/>
    <s v="Bhangar - II"/>
    <s v="User Not Mapped"/>
    <s v="User Not Mapped"/>
    <s v="User Not Mapped"/>
    <n v="635692"/>
    <s v="PROBIR KR ROY"/>
    <s v="Private Retailer"/>
    <s v="7699866166"/>
    <n v="0.36"/>
    <n v="291"/>
    <x v="1"/>
    <m/>
    <s v="2025-07-03"/>
    <s v="506846"/>
    <s v="Adarsha Krishi fertilizer"/>
    <s v="7003789893"/>
  </r>
  <r>
    <s v="RCF Trombay"/>
    <s v="15-15-15"/>
    <s v="WB"/>
    <x v="1"/>
    <s v="Bhangar - II"/>
    <s v="User Not Mapped"/>
    <s v="User Not Mapped"/>
    <s v="User Not Mapped"/>
    <n v="636472"/>
    <s v="RAIHAN KRISHI BHANDER"/>
    <s v="Private Retailer"/>
    <s v="9732800217"/>
    <n v="4.1500000000000004"/>
    <n v="65"/>
    <x v="6"/>
    <m/>
    <s v="2026-02-14"/>
    <s v="506846"/>
    <s v="Adarsha Krishi fertilizer"/>
    <s v="7003789893"/>
  </r>
  <r>
    <s v="RCF Trombay"/>
    <s v="N.C.Urea(45kg)"/>
    <s v="WB"/>
    <x v="1"/>
    <s v="Bhangar - II"/>
    <s v="User Not Mapped"/>
    <s v="User Not Mapped"/>
    <s v="User Not Mapped"/>
    <n v="356411"/>
    <s v="Sudebkr  Mondal"/>
    <s v="Private Retailer"/>
    <s v="9735245956"/>
    <n v="2.2949999999999999"/>
    <n v="377"/>
    <x v="0"/>
    <m/>
    <s v="2025-04-08"/>
    <s v="506846"/>
    <s v="Adarsha Krishi fertilizer"/>
    <s v="7003789893"/>
  </r>
  <r>
    <s v="RCF Trombay"/>
    <s v="N.C.Urea(45kg)"/>
    <s v="WB"/>
    <x v="1"/>
    <s v="Bhangar - I"/>
    <s v="User Not Mapped"/>
    <s v="User Not Mapped"/>
    <s v="User Not Mapped"/>
    <n v="622790"/>
    <s v="THE K.G.N KRISHI BHANDAR"/>
    <s v="Private Retailer"/>
    <s v="9153179661"/>
    <n v="3.1949999999999998"/>
    <n v="90"/>
    <x v="6"/>
    <m/>
    <s v="2026-01-20"/>
    <s v="506846"/>
    <s v="Adarsha Krishi fertilizer"/>
    <s v="7003789893"/>
  </r>
  <r>
    <s v="RCF Trombay"/>
    <s v="15-15-15"/>
    <s v="WB"/>
    <x v="1"/>
    <s v="Namkhana"/>
    <s v="User Not Mapped"/>
    <s v="User Not Mapped"/>
    <s v="User Not Mapped"/>
    <n v="484034"/>
    <s v="Santra Brothers Krishi Bipani"/>
    <s v="Private Retailer"/>
    <s v="9733723498"/>
    <n v="1E-3"/>
    <n v="1566"/>
    <x v="2"/>
    <m/>
    <s v="2022-01-05"/>
    <s v="268603"/>
    <s v="Baidya Krishi Bhander"/>
    <s v="9434041915"/>
  </r>
  <r>
    <s v="RCF Trombay"/>
    <s v="15-15-15"/>
    <s v="WB"/>
    <x v="1"/>
    <s v="Kakdwip"/>
    <s v="User Not Mapped"/>
    <s v="User Not Mapped"/>
    <s v="User Not Mapped"/>
    <n v="872958"/>
    <s v="SUBHAJIT KRISHI BHANDER"/>
    <s v="Private Retailer"/>
    <s v="8509124268"/>
    <n v="0.01"/>
    <n v="1497"/>
    <x v="2"/>
    <m/>
    <s v="2022-03-15"/>
    <s v="268603"/>
    <s v="Baidya Krishi Bhander"/>
    <s v="9434041915"/>
  </r>
  <r>
    <s v="RCF Import"/>
    <s v="MOP"/>
    <s v="WB"/>
    <x v="1"/>
    <s v="Mathurapur - I"/>
    <s v="User Not Mapped"/>
    <s v="User Not Mapped"/>
    <s v="User Not Mapped"/>
    <n v="633028"/>
    <s v="ARATI FERTILISER"/>
    <s v="Private Retailer"/>
    <s v="7908312110"/>
    <n v="1.5"/>
    <n v="43"/>
    <x v="3"/>
    <m/>
    <s v="2026-03-08"/>
    <s v="268665"/>
    <s v="Bhabasindhu Halder"/>
    <s v="8926428665"/>
  </r>
  <r>
    <s v="RCF Trombay"/>
    <s v="15-15-15"/>
    <s v="WB"/>
    <x v="1"/>
    <m/>
    <s v="User Not Mapped"/>
    <s v="User Not Mapped"/>
    <s v="User Not Mapped"/>
    <n v="461626"/>
    <s v="Bour Fertilisers"/>
    <s v="Private Retailer"/>
    <s v="9635394780"/>
    <n v="0.9"/>
    <n v="2289"/>
    <x v="2"/>
    <m/>
    <s v="2020-01-13"/>
    <s v="268665"/>
    <s v="Bhabasindhu Halder"/>
    <s v="8926428665"/>
  </r>
  <r>
    <s v="RCF Thal"/>
    <s v="N.C.Urea(45kg)"/>
    <s v="WB"/>
    <x v="1"/>
    <m/>
    <s v="User Not Mapped"/>
    <s v="User Not Mapped"/>
    <s v="User Not Mapped"/>
    <n v="461626"/>
    <s v="Bour Fertilisers"/>
    <s v="Private Retailer"/>
    <s v="9635394780"/>
    <n v="0.97"/>
    <n v="2240"/>
    <x v="2"/>
    <m/>
    <s v="2020-03-02"/>
    <s v="268665"/>
    <s v="Bhabasindhu Halder"/>
    <s v="8926428665"/>
  </r>
  <r>
    <s v="RCF Trombay"/>
    <s v="15-15-15"/>
    <s v="WB"/>
    <x v="1"/>
    <s v="Mathurapur - II"/>
    <s v="User Not Mapped"/>
    <s v="User Not Mapped"/>
    <s v="User Not Mapped"/>
    <n v="463235"/>
    <s v="Das Krishi Seva Kandra"/>
    <s v="Private Retailer"/>
    <s v="7001191218"/>
    <n v="0.05"/>
    <n v="1554"/>
    <x v="2"/>
    <m/>
    <s v="2022-01-17"/>
    <s v="268665"/>
    <s v="Bhabasindhu Halder"/>
    <s v="8926428665"/>
  </r>
  <r>
    <s v="RCF Import"/>
    <s v="MOP"/>
    <s v="WB"/>
    <x v="1"/>
    <m/>
    <s v="User Not Mapped"/>
    <s v="User Not Mapped"/>
    <s v="User Not Mapped"/>
    <n v="1612714"/>
    <s v="MAA KALI KRISHI BHANDAR"/>
    <s v="Private Retailer"/>
    <s v="9883571694"/>
    <n v="1"/>
    <n v="44"/>
    <x v="3"/>
    <m/>
    <s v="2026-03-07"/>
    <s v="268665"/>
    <s v="Bhabasindhu Halder"/>
    <s v="8926428665"/>
  </r>
  <r>
    <s v="RCF Import"/>
    <s v="MOP"/>
    <s v="WB"/>
    <x v="1"/>
    <s v="Mathurapur - I"/>
    <s v="User Not Mapped"/>
    <s v="User Not Mapped"/>
    <s v="User Not Mapped"/>
    <n v="633026"/>
    <s v="SARDER FERTILISER"/>
    <s v="Private Retailer"/>
    <s v="8250226803"/>
    <n v="2.1"/>
    <n v="402"/>
    <x v="0"/>
    <m/>
    <s v="2025-03-14"/>
    <s v="268665"/>
    <s v="Bhabasindhu Halder"/>
    <s v="8926428665"/>
  </r>
  <r>
    <s v="RCF Thal"/>
    <s v="N.C.Urea(45kg)"/>
    <s v="WB"/>
    <x v="1"/>
    <s v="Bhangar - II"/>
    <s v="User Not Mapped"/>
    <s v="User Not Mapped"/>
    <s v="User Not Mapped"/>
    <n v="639315"/>
    <s v="DIN MOHAMMAD LASKAR "/>
    <s v="Private Retailer"/>
    <s v="7003318442"/>
    <n v="22.05"/>
    <n v="64"/>
    <x v="6"/>
    <m/>
    <s v="2026-02-15"/>
    <s v="342299"/>
    <s v="Din Mohammad Laskar"/>
    <s v="7003318442"/>
  </r>
  <r>
    <s v="RCF Trombay"/>
    <s v="15-15-15"/>
    <s v="WB"/>
    <x v="1"/>
    <s v="Bhangar - II"/>
    <s v="User Not Mapped"/>
    <s v="User Not Mapped"/>
    <s v="User Not Mapped"/>
    <n v="639315"/>
    <s v="DIN MOHAMMAD LASKAR "/>
    <s v="Private Retailer"/>
    <s v="7003318442"/>
    <n v="3.6"/>
    <n v="93"/>
    <x v="7"/>
    <m/>
    <s v="2026-01-17"/>
    <s v="342299"/>
    <s v="Din Mohammad Laskar"/>
    <s v="7003318442"/>
  </r>
  <r>
    <s v="RCF Thal"/>
    <s v="N.C.Urea(45kg)"/>
    <s v="WB"/>
    <x v="1"/>
    <m/>
    <s v="User Not Mapped"/>
    <s v="User Not Mapped"/>
    <s v="User Not Mapped"/>
    <n v="636297"/>
    <s v="MD NAJRUL ISLAM"/>
    <s v="Private Retailer"/>
    <s v="7872402046"/>
    <n v="0.9"/>
    <n v="2458"/>
    <x v="2"/>
    <m/>
    <s v="2019-07-28"/>
    <s v="342299"/>
    <s v="Din Mohammad Laskar"/>
    <s v="7003318442"/>
  </r>
  <r>
    <s v="RCF Trombay"/>
    <s v="15-15-15"/>
    <s v="WB"/>
    <x v="1"/>
    <m/>
    <s v="User Not Mapped"/>
    <s v="User Not Mapped"/>
    <s v="User Not Mapped"/>
    <n v="636297"/>
    <s v="MD NAJRUL ISLAM"/>
    <s v="Private Retailer"/>
    <s v="7872402046"/>
    <n v="0.93"/>
    <n v="2318"/>
    <x v="2"/>
    <m/>
    <s v="2019-12-15"/>
    <s v="342299"/>
    <s v="Din Mohammad Laskar"/>
    <s v="7003318442"/>
  </r>
  <r>
    <s v="RCF Trombay"/>
    <s v="15-15-15"/>
    <s v="WB"/>
    <x v="1"/>
    <m/>
    <s v="User Not Mapped"/>
    <s v="User Not Mapped"/>
    <s v="User Not Mapped"/>
    <n v="636289"/>
    <s v="MUSA HAQUE MOLLA"/>
    <s v="Private Retailer"/>
    <s v="9734268216"/>
    <n v="1.9690000000000001"/>
    <n v="1898"/>
    <x v="2"/>
    <m/>
    <s v="2021-02-07"/>
    <s v="342299"/>
    <s v="Din Mohammad Laskar"/>
    <s v="7003318442"/>
  </r>
  <r>
    <s v="RCF Trombay"/>
    <s v="15-15-15"/>
    <s v="WB"/>
    <x v="1"/>
    <s v="Magrahat - II"/>
    <s v="User Not Mapped"/>
    <s v="User Not Mapped"/>
    <s v="User Not Mapped"/>
    <n v="341737"/>
    <s v="Loca Fertilizer"/>
    <s v="Private Retailer"/>
    <s v="9153236923"/>
    <n v="8.9999999999999993E-3"/>
    <n v="1871"/>
    <x v="2"/>
    <m/>
    <s v="2021-03-06"/>
    <s v="342385"/>
    <s v="Green Traders"/>
    <s v="9732810824"/>
  </r>
  <r>
    <s v="RCF Thal"/>
    <s v="N.C.Urea(45kg)"/>
    <s v="WB"/>
    <x v="1"/>
    <s v="Magrahat - II"/>
    <s v="User Not Mapped"/>
    <s v="User Not Mapped"/>
    <s v="User Not Mapped"/>
    <n v="341737"/>
    <s v="Loca Fertilizer"/>
    <s v="Private Retailer"/>
    <s v="9153236923"/>
    <n v="0.04"/>
    <n v="2432"/>
    <x v="2"/>
    <m/>
    <s v="2019-08-23"/>
    <s v="342385"/>
    <s v="Green Traders"/>
    <s v="9732810824"/>
  </r>
  <r>
    <s v="RCF Thal"/>
    <s v="N.C.Urea(45kg)"/>
    <s v="WB"/>
    <x v="1"/>
    <s v="Basanti"/>
    <s v="User Not Mapped"/>
    <s v="User Not Mapped"/>
    <s v="User Not Mapped"/>
    <n v="767672"/>
    <s v=" M/S KHAN KRISHI BHANDER"/>
    <s v="Private Retailer"/>
    <s v="9732235807"/>
    <n v="3.4249999999999998"/>
    <n v="2079"/>
    <x v="2"/>
    <m/>
    <s v="2020-08-10"/>
    <s v="643299"/>
    <s v="HAQE BUL KRISHI BHANDER"/>
    <s v="9732829089"/>
  </r>
  <r>
    <s v="RCF Trombay"/>
    <s v="N.C.Urea(45kg)"/>
    <s v="WB"/>
    <x v="1"/>
    <m/>
    <s v="User Not Mapped"/>
    <s v="User Not Mapped"/>
    <s v="User Not Mapped"/>
    <n v="501915"/>
    <s v="Laskar Krishi Bhandar"/>
    <s v="Private Retailer"/>
    <s v="9733626754"/>
    <n v="3.96"/>
    <n v="1723"/>
    <x v="2"/>
    <m/>
    <s v="2021-08-01"/>
    <s v="643299"/>
    <s v="HAQE BUL KRISHI BHANDER"/>
    <s v="9732829089"/>
  </r>
  <r>
    <s v="RCF Thal"/>
    <s v="N.C.Urea(45kg)"/>
    <s v="WB"/>
    <x v="1"/>
    <s v="Bhangar - I"/>
    <s v="User Not Mapped"/>
    <s v="User Not Mapped"/>
    <s v="User Not Mapped"/>
    <n v="355798"/>
    <s v="Nepal Naskar"/>
    <s v="Private Retailer"/>
    <s v="9647389435"/>
    <n v="3.2000000000000001E-2"/>
    <n v="1782"/>
    <x v="2"/>
    <m/>
    <s v="2021-06-03"/>
    <s v="643299"/>
    <s v="HAQE BUL KRISHI BHANDER"/>
    <s v="9732829089"/>
  </r>
  <r>
    <s v="RCF Trombay"/>
    <s v="15-15-15"/>
    <s v="WB"/>
    <x v="1"/>
    <s v="Baruipur"/>
    <s v="User Not Mapped"/>
    <s v="User Not Mapped"/>
    <s v="User Not Mapped"/>
    <n v="340709"/>
    <s v="Adhikari Fertilizer"/>
    <s v="Private Retailer"/>
    <s v="9874549312"/>
    <n v="0.75"/>
    <n v="886"/>
    <x v="2"/>
    <m/>
    <s v="2023-11-16"/>
    <s v="269533"/>
    <s v="Hasya Badhan Makhal"/>
    <s v="9674092010"/>
  </r>
  <r>
    <s v="RCF Trombay"/>
    <s v="15-15-15"/>
    <s v="WB"/>
    <x v="1"/>
    <s v="Baruipur"/>
    <s v="User Not Mapped"/>
    <s v="User Not Mapped"/>
    <s v="User Not Mapped"/>
    <n v="340709"/>
    <s v="Adhikari Fertilizer"/>
    <s v="Private Retailer"/>
    <s v="9874549312"/>
    <n v="1.95"/>
    <n v="1019"/>
    <x v="2"/>
    <m/>
    <s v="2023-07-06"/>
    <n v="269533"/>
    <s v="Hasya Badhan Makhal"/>
    <s v="9674092010"/>
  </r>
  <r>
    <s v="RCF Thal"/>
    <s v="N.C.Urea(45kg)"/>
    <s v="WB"/>
    <x v="1"/>
    <s v="Baruipur"/>
    <s v="User Not Mapped"/>
    <s v="User Not Mapped"/>
    <s v="User Not Mapped"/>
    <n v="340709"/>
    <s v="Adhikari Fertilizer"/>
    <s v="Private Retailer"/>
    <s v="9874549312"/>
    <n v="0.03"/>
    <n v="886"/>
    <x v="2"/>
    <m/>
    <s v="2023-11-16"/>
    <s v="269533"/>
    <s v="Hasya Badhan Makhal"/>
    <s v="9674092010"/>
  </r>
  <r>
    <s v="RCF Import"/>
    <s v="Imp DAP"/>
    <s v="WB"/>
    <x v="1"/>
    <m/>
    <s v="User Not Mapped"/>
    <s v="User Not Mapped"/>
    <s v="User Not Mapped"/>
    <n v="498710"/>
    <s v="Balai Lal Bag"/>
    <s v="Private Retailer"/>
    <s v="7278167903"/>
    <n v="0.15"/>
    <n v="2652"/>
    <x v="2"/>
    <m/>
    <s v="2019-01-15"/>
    <s v="269533"/>
    <s v="Hasya Badhan Makhal"/>
    <s v="9674092010"/>
  </r>
  <r>
    <s v="RCF Trombay"/>
    <s v="15-15-15"/>
    <s v="WB"/>
    <x v="1"/>
    <s v="Baruipur"/>
    <s v="User Not Mapped"/>
    <s v="User Not Mapped"/>
    <s v="User Not Mapped"/>
    <n v="632942"/>
    <s v="BISHNU FERTILISER"/>
    <s v="Private Retailer"/>
    <s v="8013261284"/>
    <n v="0.249"/>
    <n v="1612"/>
    <x v="2"/>
    <m/>
    <s v="2021-11-20"/>
    <s v="269533"/>
    <s v="Hasya Badhan Makhal"/>
    <s v="9674092010"/>
  </r>
  <r>
    <s v="RCF Trombay"/>
    <s v="N.C.Urea(45kg)"/>
    <s v="WB"/>
    <x v="1"/>
    <s v="Baruipur"/>
    <s v="User Not Mapped"/>
    <s v="User Not Mapped"/>
    <s v="User Not Mapped"/>
    <n v="632942"/>
    <s v="BISHNU FERTILISER"/>
    <s v="Private Retailer"/>
    <s v="8013261284"/>
    <n v="0.13500000000000001"/>
    <n v="1612"/>
    <x v="2"/>
    <m/>
    <s v="2021-11-20"/>
    <s v="269533"/>
    <s v="Hasya Badhan Makhal"/>
    <s v="9674092010"/>
  </r>
  <r>
    <s v="RCF Trombay"/>
    <s v="15-15-15"/>
    <s v="WB"/>
    <x v="1"/>
    <s v="Sonarpur"/>
    <s v="User Not Mapped"/>
    <s v="User Not Mapped"/>
    <s v="User Not Mapped"/>
    <n v="466906"/>
    <s v="Dinmahamad Mondal"/>
    <s v="Private Retailer"/>
    <s v="9007820679"/>
    <n v="0.4"/>
    <n v="894"/>
    <x v="2"/>
    <m/>
    <s v="2023-11-08"/>
    <s v="269533"/>
    <s v="Hasya Badhan Makhal"/>
    <s v="9674092010"/>
  </r>
  <r>
    <s v="RCF Thal"/>
    <s v="N.C.Urea(45kg)"/>
    <s v="WB"/>
    <x v="1"/>
    <s v="Bishnupur - I"/>
    <s v="User Not Mapped"/>
    <s v="User Not Mapped"/>
    <s v="User Not Mapped"/>
    <n v="1336151"/>
    <s v="ETHAN FERTILIZERS"/>
    <s v="Private Retailer"/>
    <s v="7003772612"/>
    <n v="0.63"/>
    <n v="128"/>
    <x v="4"/>
    <m/>
    <s v="2025-12-13"/>
    <s v="269533"/>
    <s v="Hasya Badhan Makhal"/>
    <s v="9674092010"/>
  </r>
  <r>
    <s v="RCF Thal"/>
    <s v="N.C.Urea(45kg)"/>
    <s v="WB"/>
    <x v="1"/>
    <s v="Bishnupur - I"/>
    <s v="User Not Mapped"/>
    <s v="User Not Mapped"/>
    <s v="User Not Mapped"/>
    <n v="1336151"/>
    <s v="ETHAN FERTILIZERS"/>
    <s v="Private Retailer"/>
    <s v="7003772612"/>
    <n v="3.105"/>
    <n v="252"/>
    <x v="1"/>
    <m/>
    <s v="2025-08-11"/>
    <s v="269533"/>
    <s v="Hasya Badhan Makhal"/>
    <s v="9674092010"/>
  </r>
  <r>
    <s v="RCF Trombay"/>
    <s v="15-15-15"/>
    <s v="WB"/>
    <x v="1"/>
    <s v="Bishnupur - I"/>
    <s v="User Not Mapped"/>
    <s v="User Not Mapped"/>
    <s v="User Not Mapped"/>
    <n v="1336151"/>
    <s v="ETHAN FERTILIZERS"/>
    <s v="Private Retailer"/>
    <s v="7003772612"/>
    <n v="1.95"/>
    <n v="61"/>
    <x v="6"/>
    <m/>
    <s v="2026-02-18"/>
    <s v="269533"/>
    <s v="Hasya Badhan Makhal"/>
    <s v="9674092010"/>
  </r>
  <r>
    <s v="RCF Trombay"/>
    <s v="15-15-15"/>
    <s v="WB"/>
    <x v="1"/>
    <m/>
    <s v="User Not Mapped"/>
    <s v="User Not Mapped"/>
    <s v="User Not Mapped"/>
    <n v="269305"/>
    <s v="Gosto Behari Naskar"/>
    <s v="State Marketing Federation"/>
    <s v="8116590922"/>
    <n v="0.3"/>
    <n v="1245"/>
    <x v="2"/>
    <m/>
    <s v="2022-11-22"/>
    <s v="269533"/>
    <s v="Hasya Badhan Makhal"/>
    <s v="9674092010"/>
  </r>
  <r>
    <s v="RCF Trombay"/>
    <s v="15-15-15"/>
    <s v="WB"/>
    <x v="1"/>
    <s v="Bishnupur - I"/>
    <s v="User Not Mapped"/>
    <s v="User Not Mapped"/>
    <s v="User Not Mapped"/>
    <n v="341461"/>
    <s v="Harekrishna  Mondal"/>
    <s v="Private Retailer"/>
    <s v="9804145180"/>
    <n v="0.3"/>
    <n v="61"/>
    <x v="6"/>
    <m/>
    <s v="2026-02-18"/>
    <s v="269533"/>
    <s v="Hasya Badhan Makhal"/>
    <s v="9674092010"/>
  </r>
  <r>
    <s v="RCF Import"/>
    <s v="MOP"/>
    <s v="WB"/>
    <x v="1"/>
    <s v="Bishnupur - I"/>
    <s v="User Not Mapped"/>
    <s v="User Not Mapped"/>
    <s v="User Not Mapped"/>
    <n v="1027030"/>
    <s v="HASYA BADAN MAKAL"/>
    <s v="Private Retailer"/>
    <s v="9674572215"/>
    <n v="10.199999999999999"/>
    <n v="46"/>
    <x v="3"/>
    <m/>
    <s v="2026-03-05"/>
    <s v="269533"/>
    <s v="Hasya Badhan Makhal"/>
    <s v="9674092010"/>
  </r>
  <r>
    <s v="RCF Import"/>
    <s v="Imp 10-26-26"/>
    <s v="WB"/>
    <x v="1"/>
    <s v="Bishnupur - I"/>
    <s v="User Not Mapped"/>
    <s v="User Not Mapped"/>
    <s v="User Not Mapped"/>
    <n v="1027030"/>
    <s v="HASYA BADAN MAKAL"/>
    <s v="Private Retailer"/>
    <s v="9674572215"/>
    <n v="3.95"/>
    <n v="46"/>
    <x v="3"/>
    <m/>
    <s v="2026-03-05"/>
    <s v="269533"/>
    <s v="Hasya Badhan Makhal"/>
    <s v="9674092010"/>
  </r>
  <r>
    <s v="RCF Trombay"/>
    <s v="N.C.Urea(45kg)"/>
    <s v="WB"/>
    <x v="1"/>
    <m/>
    <s v="User Not Mapped"/>
    <s v="User Not Mapped"/>
    <s v="User Not Mapped"/>
    <n v="387489"/>
    <s v="Jagat Makhal"/>
    <s v="Private Retailer"/>
    <s v="9874188178"/>
    <n v="0.45"/>
    <n v="1232"/>
    <x v="2"/>
    <m/>
    <s v="2022-12-05"/>
    <s v="269533"/>
    <s v="Hasya Badhan Makhal"/>
    <s v="9674092010"/>
  </r>
  <r>
    <s v="RCF Thal"/>
    <s v="N.C.Urea(45kg)"/>
    <s v="WB"/>
    <x v="1"/>
    <m/>
    <s v="User Not Mapped"/>
    <s v="User Not Mapped"/>
    <s v="User Not Mapped"/>
    <n v="387489"/>
    <s v="Jagat Makhal"/>
    <s v="Private Retailer"/>
    <s v="9874188178"/>
    <n v="0.4"/>
    <n v="1529"/>
    <x v="2"/>
    <m/>
    <s v="2022-02-11"/>
    <s v="269533"/>
    <s v="Hasya Badhan Makhal"/>
    <s v="9674092010"/>
  </r>
  <r>
    <s v="RCF Thal"/>
    <s v="N.C.Urea(45kg)"/>
    <s v="WB"/>
    <x v="1"/>
    <s v="Kakdwip"/>
    <s v="User Not Mapped"/>
    <s v="User Not Mapped"/>
    <s v="User Not Mapped"/>
    <n v="775021"/>
    <s v="KAKDWIP KRISHAK SATHI"/>
    <s v="Private Retailer"/>
    <s v="8348405319"/>
    <n v="8.0000000000000002E-3"/>
    <n v="159"/>
    <x v="4"/>
    <m/>
    <s v="2025-11-12"/>
    <s v="269533"/>
    <s v="Hasya Badhan Makhal"/>
    <s v="9674092010"/>
  </r>
  <r>
    <s v="RCF Thal"/>
    <s v="N.C.Urea(45kg)"/>
    <s v="WB"/>
    <x v="1"/>
    <s v="Magrahat - II"/>
    <s v="User Not Mapped"/>
    <s v="User Not Mapped"/>
    <s v="User Not Mapped"/>
    <n v="503367"/>
    <s v="Kalas Krishi Ghar"/>
    <s v="Private Retailer"/>
    <s v="9775231660"/>
    <n v="5.49"/>
    <n v="69"/>
    <x v="6"/>
    <m/>
    <s v="2026-02-10"/>
    <s v="269533"/>
    <s v="Hasya Badhan Makhal"/>
    <s v="9674092010"/>
  </r>
  <r>
    <s v="RCF Import"/>
    <s v="Imp 10-26-26"/>
    <s v="WB"/>
    <x v="1"/>
    <s v="Magrahat - II"/>
    <s v="User Not Mapped"/>
    <s v="User Not Mapped"/>
    <s v="User Not Mapped"/>
    <n v="503367"/>
    <s v="Kalas Krishi Ghar"/>
    <s v="Private Retailer"/>
    <s v="9775231660"/>
    <n v="1"/>
    <n v="46"/>
    <x v="3"/>
    <m/>
    <s v="2026-03-05"/>
    <s v="269533"/>
    <s v="Hasya Badhan Makhal"/>
    <s v="9674092010"/>
  </r>
  <r>
    <s v="RCF Trombay"/>
    <s v="15-15-15"/>
    <s v="WB"/>
    <x v="1"/>
    <s v="Baruipur"/>
    <s v="User Not Mapped"/>
    <s v="User Not Mapped"/>
    <s v="User Not Mapped"/>
    <n v="631391"/>
    <s v="M/S ANKIT FERTILIZERS"/>
    <s v="Private Retailer"/>
    <s v="9748820557"/>
    <n v="0.75"/>
    <n v="26"/>
    <x v="5"/>
    <m/>
    <s v="2026-03-25"/>
    <s v="269533"/>
    <s v="Hasya Badhan Makhal"/>
    <s v="9674092010"/>
  </r>
  <r>
    <s v="RCF Trombay"/>
    <s v="N.C.Urea(45kg)"/>
    <s v="WB"/>
    <x v="1"/>
    <s v="Budge Budge - II"/>
    <s v="User Not Mapped"/>
    <s v="User Not Mapped"/>
    <s v="User Not Mapped"/>
    <n v="480921"/>
    <s v="M/S BHOLANATH JANA"/>
    <s v="Private Retailer"/>
    <s v="9831538521"/>
    <n v="2.5649999999999999"/>
    <n v="658"/>
    <x v="2"/>
    <m/>
    <s v="2024-07-01"/>
    <s v="269533"/>
    <s v="Hasya Badhan Makhal"/>
    <s v="9674092010"/>
  </r>
  <r>
    <s v="RCF Trombay"/>
    <s v="15-15-15"/>
    <s v="WB"/>
    <x v="1"/>
    <s v="Bishnupur - I"/>
    <s v="User Not Mapped"/>
    <s v="User Not Mapped"/>
    <s v="User Not Mapped"/>
    <n v="1338588"/>
    <s v="M/S BISWAS KRISHI BHANDER"/>
    <s v="Private Retailer"/>
    <s v="9088213719"/>
    <n v="0.9"/>
    <n v="60"/>
    <x v="3"/>
    <m/>
    <s v="2026-02-19"/>
    <s v="269533"/>
    <s v="Hasya Badhan Makhal"/>
    <s v="9674092010"/>
  </r>
  <r>
    <s v="RCF Import"/>
    <s v="MOP"/>
    <s v="WB"/>
    <x v="1"/>
    <s v="Bishnupur - I"/>
    <s v="User Not Mapped"/>
    <s v="User Not Mapped"/>
    <s v="User Not Mapped"/>
    <n v="1338588"/>
    <s v="M/S BISWAS KRISHI BHANDER"/>
    <s v="Private Retailer"/>
    <s v="9088213719"/>
    <n v="1.3"/>
    <n v="60"/>
    <x v="3"/>
    <m/>
    <s v="2026-02-19"/>
    <s v="269533"/>
    <s v="Hasya Badhan Makhal"/>
    <s v="9674092010"/>
  </r>
  <r>
    <s v="RCF Trombay"/>
    <s v="15-15-15"/>
    <s v="WB"/>
    <x v="1"/>
    <s v="Baruipur"/>
    <s v="User Not Mapped"/>
    <s v="User Not Mapped"/>
    <s v="User Not Mapped"/>
    <n v="1150378"/>
    <s v="M/S HAQUE AGRI WORLD"/>
    <s v="Private Retailer"/>
    <s v="9051778220"/>
    <n v="0.15"/>
    <n v="1188"/>
    <x v="2"/>
    <m/>
    <s v="2023-01-18"/>
    <s v="269533"/>
    <s v="Hasya Badhan Makhal"/>
    <s v="9674092010"/>
  </r>
  <r>
    <s v="RCF Trombay"/>
    <s v="N.C.Urea(45kg)"/>
    <s v="WB"/>
    <x v="1"/>
    <s v="Baruipur"/>
    <s v="User Not Mapped"/>
    <s v="User Not Mapped"/>
    <s v="User Not Mapped"/>
    <n v="1150378"/>
    <s v="M/S HAQUE AGRI WORLD"/>
    <s v="Private Retailer"/>
    <s v="9051778220"/>
    <n v="0.01"/>
    <n v="1215"/>
    <x v="2"/>
    <m/>
    <s v="2022-12-22"/>
    <s v="269533"/>
    <s v="Hasya Badhan Makhal"/>
    <s v="9674092010"/>
  </r>
  <r>
    <s v="RCF Trombay"/>
    <s v="15-15-15"/>
    <s v="WB"/>
    <x v="1"/>
    <s v="Baruipur"/>
    <s v="User Not Mapped"/>
    <s v="User Not Mapped"/>
    <s v="User Not Mapped"/>
    <n v="456156"/>
    <s v="M/S Md. Mucha Kalim Mondal"/>
    <s v="Private Retailer"/>
    <s v="6296515880"/>
    <n v="0.05"/>
    <n v="1835"/>
    <x v="2"/>
    <m/>
    <s v="2021-04-11"/>
    <s v="269533"/>
    <s v="Hasya Badhan Makhal"/>
    <s v="9674092010"/>
  </r>
  <r>
    <s v="RCF Trombay"/>
    <s v="N.C.Urea(45kg)"/>
    <s v="WB"/>
    <x v="1"/>
    <s v="Baruipur"/>
    <s v="User Not Mapped"/>
    <s v="User Not Mapped"/>
    <s v="User Not Mapped"/>
    <n v="355997"/>
    <s v="M/S RAKIA SEED STORES "/>
    <s v="Private Retailer"/>
    <s v="8016947414"/>
    <n v="10.98"/>
    <n v="61"/>
    <x v="6"/>
    <m/>
    <s v="2026-02-18"/>
    <s v="269533"/>
    <s v="Hasya Badhan Makhal"/>
    <s v="9674092010"/>
  </r>
  <r>
    <s v="RCF Trombay"/>
    <s v="15-15-15"/>
    <s v="WB"/>
    <x v="1"/>
    <s v="Baruipur"/>
    <s v="User Not Mapped"/>
    <s v="User Not Mapped"/>
    <s v="User Not Mapped"/>
    <n v="355997"/>
    <s v="M/S RAKIA SEED STORES "/>
    <s v="Private Retailer"/>
    <s v="8016947414"/>
    <n v="5.5"/>
    <n v="61"/>
    <x v="6"/>
    <m/>
    <s v="2026-02-18"/>
    <s v="269533"/>
    <s v="Hasya Badhan Makhal"/>
    <s v="9674092010"/>
  </r>
  <r>
    <s v="RCF Thal"/>
    <s v="N.C.Urea(45kg)"/>
    <s v="WB"/>
    <x v="1"/>
    <s v="Falta"/>
    <s v="User Not Mapped"/>
    <s v="User Not Mapped"/>
    <s v="User Not Mapped"/>
    <n v="480933"/>
    <s v="M/S SREE DURGA KRISHI BHANDAR "/>
    <s v="Private Retailer"/>
    <s v="9635452573"/>
    <n v="1.665"/>
    <n v="69"/>
    <x v="6"/>
    <m/>
    <s v="2026-02-10"/>
    <s v="269533"/>
    <s v="Hasya Badhan Makhal"/>
    <s v="9674092010"/>
  </r>
  <r>
    <s v="RCF Thal"/>
    <s v="N.C.Urea(45kg)"/>
    <s v="WB"/>
    <x v="1"/>
    <m/>
    <s v="User Not Mapped"/>
    <s v="User Not Mapped"/>
    <s v="User Not Mapped"/>
    <n v="1354340"/>
    <s v="M/S SUNDARI SAR BHANDAR"/>
    <s v="Private Retailer"/>
    <s v="7679061204"/>
    <n v="10.53"/>
    <n v="33"/>
    <x v="3"/>
    <m/>
    <s v="2026-03-18"/>
    <s v="269533"/>
    <s v="Hasya Badhan Makhal"/>
    <s v="9674092010"/>
  </r>
  <r>
    <s v="RCF Trombay"/>
    <s v="15-15-15"/>
    <s v="WB"/>
    <x v="1"/>
    <s v="Baruipur"/>
    <s v="User Not Mapped"/>
    <s v="User Not Mapped"/>
    <s v="User Not Mapped"/>
    <n v="470890"/>
    <s v="M/S. Dilip Kumar Naskar"/>
    <s v="Private Retailer"/>
    <s v="9143076135"/>
    <n v="0.25"/>
    <n v="166"/>
    <x v="4"/>
    <m/>
    <s v="2025-11-05"/>
    <s v="269533"/>
    <s v="Hasya Badhan Makhal"/>
    <s v="9674092010"/>
  </r>
  <r>
    <s v="RCF Trombay"/>
    <s v="15-15-15"/>
    <s v="WB"/>
    <x v="1"/>
    <s v="Baruipur"/>
    <s v="User Not Mapped"/>
    <s v="User Not Mapped"/>
    <s v="User Not Mapped"/>
    <n v="470890"/>
    <s v="M/S. Dilip Kumar Naskar"/>
    <s v="Private Retailer"/>
    <s v="9143076135"/>
    <n v="0.26"/>
    <n v="1021"/>
    <x v="2"/>
    <m/>
    <s v="2023-07-04"/>
    <s v="269533"/>
    <s v="Hasya Badhan Makhal"/>
    <s v="9674092010"/>
  </r>
  <r>
    <s v="RCF Thal"/>
    <s v="N.C.Urea(45kg)"/>
    <s v="WB"/>
    <x v="1"/>
    <s v="Baruipur"/>
    <s v="User Not Mapped"/>
    <s v="User Not Mapped"/>
    <s v="User Not Mapped"/>
    <n v="470890"/>
    <s v="M/S. Dilip Kumar Naskar"/>
    <s v="Private Retailer"/>
    <s v="9143076135"/>
    <n v="0.22500000000000001"/>
    <n v="166"/>
    <x v="4"/>
    <m/>
    <s v="2025-11-05"/>
    <s v="269533"/>
    <s v="Hasya Badhan Makhal"/>
    <s v="9674092010"/>
  </r>
  <r>
    <s v="RCF Import"/>
    <s v="MOP"/>
    <s v="WB"/>
    <x v="1"/>
    <s v="Sonarpur"/>
    <s v="User Not Mapped"/>
    <s v="User Not Mapped"/>
    <s v="User Not Mapped"/>
    <n v="470892"/>
    <s v="M/S. Samanta Brothers"/>
    <s v="Private Retailer"/>
    <s v="9748664621"/>
    <n v="0.4"/>
    <n v="327"/>
    <x v="1"/>
    <m/>
    <s v="2025-05-28"/>
    <s v="269533"/>
    <s v="Hasya Badhan Makhal"/>
    <s v="9674092010"/>
  </r>
  <r>
    <s v="RCF Trombay"/>
    <s v="N.C.Urea(45kg)"/>
    <s v="WB"/>
    <x v="1"/>
    <s v="Sonarpur"/>
    <s v="User Not Mapped"/>
    <s v="User Not Mapped"/>
    <s v="User Not Mapped"/>
    <n v="470892"/>
    <s v="M/S. Samanta Brothers"/>
    <s v="Private Retailer"/>
    <s v="9748664621"/>
    <n v="0.22500000000000001"/>
    <n v="252"/>
    <x v="1"/>
    <m/>
    <s v="2025-08-11"/>
    <s v="269533"/>
    <s v="Hasya Badhan Makhal"/>
    <s v="9674092010"/>
  </r>
  <r>
    <s v="RCF Thal"/>
    <s v="N.C.Urea(45kg)"/>
    <s v="WB"/>
    <x v="1"/>
    <s v="Budge Budge - II"/>
    <s v="User Not Mapped"/>
    <s v="User Not Mapped"/>
    <s v="User Not Mapped"/>
    <n v="385472"/>
    <s v="Malay Pramanik"/>
    <s v="Private Retailer"/>
    <s v="9051876248"/>
    <n v="1.575"/>
    <n v="69"/>
    <x v="6"/>
    <m/>
    <s v="2026-02-10"/>
    <s v="269533"/>
    <s v="Hasya Badhan Makhal"/>
    <s v="9674092010"/>
  </r>
  <r>
    <s v="RCF Trombay"/>
    <s v="N.C.Urea(45kg)"/>
    <s v="WB"/>
    <x v="1"/>
    <m/>
    <s v="User Not Mapped"/>
    <s v="User Not Mapped"/>
    <s v="User Not Mapped"/>
    <n v="639010"/>
    <s v="MISTRY FERTILIZER"/>
    <s v="Private Retailer"/>
    <s v="7980726946"/>
    <n v="0.06"/>
    <n v="1608"/>
    <x v="2"/>
    <m/>
    <s v="2021-11-24"/>
    <s v="269533"/>
    <s v="Hasya Badhan Makhal"/>
    <s v="9674092010"/>
  </r>
  <r>
    <s v="RCF Import"/>
    <s v="MOP"/>
    <s v="WB"/>
    <x v="1"/>
    <s v="Baruipur"/>
    <s v="User Not Mapped"/>
    <s v="User Not Mapped"/>
    <s v="User Not Mapped"/>
    <n v="460685"/>
    <s v="Mondal Fertilisers"/>
    <s v="Private Retailer"/>
    <s v="8697658722"/>
    <n v="0.25"/>
    <n v="60"/>
    <x v="3"/>
    <m/>
    <s v="2026-02-19"/>
    <s v="269533"/>
    <s v="Hasya Badhan Makhal"/>
    <s v="9674092010"/>
  </r>
  <r>
    <s v="RCF Trombay"/>
    <s v="15-15-15"/>
    <s v="WB"/>
    <x v="1"/>
    <s v="Baruipur"/>
    <s v="User Not Mapped"/>
    <s v="User Not Mapped"/>
    <s v="User Not Mapped"/>
    <n v="460685"/>
    <s v="Mondal Fertilisers"/>
    <s v="Private Retailer"/>
    <s v="8697658722"/>
    <n v="0.2"/>
    <n v="60"/>
    <x v="3"/>
    <m/>
    <s v="2026-02-19"/>
    <s v="269533"/>
    <s v="Hasya Badhan Makhal"/>
    <s v="9674092010"/>
  </r>
  <r>
    <s v="RCF Thal"/>
    <s v="N.C.Urea(45kg)"/>
    <s v="WB"/>
    <x v="1"/>
    <s v="Basanti"/>
    <s v="User Not Mapped"/>
    <s v="User Not Mapped"/>
    <s v="User Not Mapped"/>
    <n v="309213"/>
    <s v="Mondal Krishi Bhander"/>
    <s v="Private Retailer"/>
    <s v="9609378345"/>
    <n v="10.98"/>
    <n v="40"/>
    <x v="3"/>
    <m/>
    <s v="2026-03-11"/>
    <s v="269533"/>
    <s v="Hasya Badhan Makhal"/>
    <s v="9674092010"/>
  </r>
  <r>
    <s v="RCF Trombay"/>
    <s v="N.C.Urea(45kg)"/>
    <s v="WB"/>
    <x v="1"/>
    <s v="Sonarpur"/>
    <s v="User Not Mapped"/>
    <s v="User Not Mapped"/>
    <s v="User Not Mapped"/>
    <n v="1256864"/>
    <s v="NATUNHAT KRISHI BHANDAR"/>
    <s v="Private Retailer"/>
    <s v="6290197241"/>
    <n v="0.45"/>
    <n v="137"/>
    <x v="4"/>
    <m/>
    <s v="2025-12-04"/>
    <s v="269533"/>
    <s v="Hasya Badhan Makhal"/>
    <s v="9674092010"/>
  </r>
  <r>
    <s v="RCF Trombay"/>
    <s v="15-15-15"/>
    <s v="WB"/>
    <x v="1"/>
    <s v="Sonarpur"/>
    <s v="User Not Mapped"/>
    <s v="User Not Mapped"/>
    <s v="User Not Mapped"/>
    <n v="1256864"/>
    <s v="NATUNHAT KRISHI BHANDAR"/>
    <s v="Private Retailer"/>
    <s v="6290197241"/>
    <n v="0.2"/>
    <n v="137"/>
    <x v="4"/>
    <m/>
    <s v="2025-12-04"/>
    <s v="269533"/>
    <s v="Hasya Badhan Makhal"/>
    <s v="9674092010"/>
  </r>
  <r>
    <s v="RCF Trombay"/>
    <s v="N.C.Urea(45kg)"/>
    <s v="WB"/>
    <x v="1"/>
    <s v="Bishnupur - I"/>
    <s v="User Not Mapped"/>
    <s v="User Not Mapped"/>
    <s v="User Not Mapped"/>
    <n v="634829"/>
    <s v="PANCHANAN SARDAR"/>
    <s v="Private Retailer"/>
    <s v="9330490626"/>
    <n v="0.54"/>
    <n v="438"/>
    <x v="0"/>
    <m/>
    <s v="2025-02-06"/>
    <s v="269533"/>
    <s v="Hasya Badhan Makhal"/>
    <s v="9674092010"/>
  </r>
  <r>
    <s v="RCF Trombay"/>
    <s v="N.C.Urea(45kg)"/>
    <s v="WB"/>
    <x v="1"/>
    <s v="Thakurpukur Mahestola"/>
    <s v="User Not Mapped"/>
    <s v="User Not Mapped"/>
    <s v="User Not Mapped"/>
    <n v="460689"/>
    <s v="Patra Fertilisers"/>
    <s v="Private Retailer"/>
    <s v="9051307752"/>
    <n v="0.40500000000000003"/>
    <n v="644"/>
    <x v="2"/>
    <m/>
    <s v="2024-07-15"/>
    <s v="269533"/>
    <s v="Hasya Badhan Makhal"/>
    <s v="9674092010"/>
  </r>
  <r>
    <s v="RCF Thal"/>
    <s v="N.C.Urea(45kg)"/>
    <s v="WB"/>
    <x v="1"/>
    <s v="Magrahat - II"/>
    <s v="User Not Mapped"/>
    <s v="User Not Mapped"/>
    <s v="User Not Mapped"/>
    <n v="483174"/>
    <s v="Sahadat Mollick"/>
    <s v="Private Retailer"/>
    <s v="8697675867"/>
    <n v="0.22500000000000001"/>
    <n v="419"/>
    <x v="0"/>
    <m/>
    <s v="2025-02-25"/>
    <s v="269533"/>
    <s v="Hasya Badhan Makhal"/>
    <s v="9674092010"/>
  </r>
  <r>
    <s v="RCF Trombay"/>
    <s v="15-15-15"/>
    <s v="WB"/>
    <x v="1"/>
    <s v="Sonarpur"/>
    <s v="User Not Mapped"/>
    <s v="User Not Mapped"/>
    <s v="User Not Mapped"/>
    <n v="466904"/>
    <s v="Saikat Fertilisers"/>
    <s v="Private Retailer"/>
    <s v="8981123330"/>
    <n v="0.35"/>
    <n v="11"/>
    <x v="5"/>
    <m/>
    <s v="2026-04-09"/>
    <s v="269533"/>
    <s v="Hasya Badhan Makhal"/>
    <s v="9674092010"/>
  </r>
  <r>
    <s v="RCF Import"/>
    <s v="Imp 10-26-26"/>
    <s v="WB"/>
    <x v="1"/>
    <s v="Sonarpur"/>
    <s v="User Not Mapped"/>
    <s v="User Not Mapped"/>
    <s v="User Not Mapped"/>
    <n v="466904"/>
    <s v="Saikat Fertilisers"/>
    <s v="Private Retailer"/>
    <s v="8981123330"/>
    <n v="0.25"/>
    <n v="11"/>
    <x v="5"/>
    <m/>
    <s v="2026-04-09"/>
    <s v="269533"/>
    <s v="Hasya Badhan Makhal"/>
    <s v="9674092010"/>
  </r>
  <r>
    <s v="RCF Thal"/>
    <s v="N.C.Urea(45kg)"/>
    <s v="WB"/>
    <x v="1"/>
    <s v="Sonarpur"/>
    <s v="User Not Mapped"/>
    <s v="User Not Mapped"/>
    <s v="User Not Mapped"/>
    <n v="466904"/>
    <s v="Saikat Fertilisers"/>
    <s v="Private Retailer"/>
    <s v="8981123330"/>
    <n v="0.85"/>
    <n v="162"/>
    <x v="4"/>
    <m/>
    <s v="2025-11-09"/>
    <s v="269533"/>
    <s v="Hasya Badhan Makhal"/>
    <s v="9674092010"/>
  </r>
  <r>
    <s v="RCF Trombay"/>
    <s v="15-15-15"/>
    <s v="WB"/>
    <x v="1"/>
    <s v="Canning - II"/>
    <s v="User Not Mapped"/>
    <s v="User Not Mapped"/>
    <s v="User Not Mapped"/>
    <n v="1395234"/>
    <s v="SARDAR SAR BHANDER"/>
    <s v="Private Retailer"/>
    <s v="7001891485"/>
    <n v="0.125"/>
    <n v="508"/>
    <x v="0"/>
    <m/>
    <s v="2024-11-28"/>
    <s v="269533"/>
    <s v="Hasya Badhan Makhal"/>
    <s v="9674092010"/>
  </r>
  <r>
    <s v="RCF Trombay"/>
    <s v="N.C.Urea(45kg)"/>
    <s v="WB"/>
    <x v="1"/>
    <s v="Canning - II"/>
    <s v="User Not Mapped"/>
    <s v="User Not Mapped"/>
    <s v="User Not Mapped"/>
    <n v="1395234"/>
    <s v="SARDAR SAR BHANDER"/>
    <s v="Private Retailer"/>
    <s v="7001891485"/>
    <n v="0.255"/>
    <n v="508"/>
    <x v="0"/>
    <m/>
    <s v="2024-11-28"/>
    <s v="269533"/>
    <s v="Hasya Badhan Makhal"/>
    <s v="9674092010"/>
  </r>
  <r>
    <s v="RCF Thal"/>
    <s v="N.C.Urea(45kg)"/>
    <s v="WB"/>
    <x v="1"/>
    <s v="Canning - I"/>
    <s v="User Not Mapped"/>
    <s v="User Not Mapped"/>
    <s v="User Not Mapped"/>
    <n v="759585"/>
    <s v="SOFIRUL MOLLA"/>
    <s v="Private Retailer"/>
    <s v="6294305657"/>
    <n v="10.98"/>
    <n v="33"/>
    <x v="3"/>
    <m/>
    <s v="2026-03-18"/>
    <s v="269533"/>
    <s v="Hasya Badhan Makhal"/>
    <s v="9674092010"/>
  </r>
  <r>
    <s v="RCF Trombay"/>
    <s v="N.C.Urea(45kg)"/>
    <s v="WB"/>
    <x v="1"/>
    <s v="Magrahat - II"/>
    <s v="User Not Mapped"/>
    <s v="User Not Mapped"/>
    <s v="User Not Mapped"/>
    <n v="459442"/>
    <s v="Sri Krishna Krishi Bhandar"/>
    <s v="Private Retailer"/>
    <s v="9836893998"/>
    <n v="0.23"/>
    <n v="482"/>
    <x v="0"/>
    <m/>
    <s v="2024-12-24"/>
    <s v="269533"/>
    <s v="Hasya Badhan Makhal"/>
    <s v="9674092010"/>
  </r>
  <r>
    <s v="RCF Trombay"/>
    <s v="15-15-15"/>
    <s v="WB"/>
    <x v="1"/>
    <s v="Kakdwip"/>
    <s v="User Not Mapped"/>
    <s v="User Not Mapped"/>
    <s v="User Not Mapped"/>
    <n v="355086"/>
    <s v="Kakdwip Sar Bhander"/>
    <s v="Private Retailer"/>
    <s v="8001113615"/>
    <n v="1.25"/>
    <n v="26"/>
    <x v="5"/>
    <m/>
    <s v="2026-03-25"/>
    <s v="342383"/>
    <s v="Kakdip Sar Bhandar"/>
    <s v="9933502068"/>
  </r>
  <r>
    <s v="RCF Trombay"/>
    <s v="15-15-15"/>
    <s v="WB"/>
    <x v="1"/>
    <s v="Diamond Harbour - I"/>
    <s v="User Not Mapped"/>
    <s v="User Not Mapped"/>
    <s v="User Not Mapped"/>
    <n v="896798"/>
    <s v="L-PLOT SAR BHANDER"/>
    <s v="Private Retailer"/>
    <s v="8371000583"/>
    <n v="0.74199999999999999"/>
    <n v="96"/>
    <x v="7"/>
    <m/>
    <s v="2026-01-14"/>
    <s v="342383"/>
    <s v="Kakdip Sar Bhandar"/>
    <s v="9933502068"/>
  </r>
  <r>
    <s v="RCF Trombay"/>
    <s v="15-15-15"/>
    <s v="WB"/>
    <x v="1"/>
    <s v="Sagar"/>
    <s v="User Not Mapped"/>
    <s v="User Not Mapped"/>
    <s v="User Not Mapped"/>
    <n v="462727"/>
    <s v="Pradhan Krishi Bhander"/>
    <s v="Private Retailer"/>
    <s v="9733868407"/>
    <n v="0.35"/>
    <n v="114"/>
    <x v="7"/>
    <m/>
    <s v="2025-12-27"/>
    <s v="342383"/>
    <s v="Kakdip Sar Bhandar"/>
    <s v="9933502068"/>
  </r>
  <r>
    <s v="RCF Trombay"/>
    <s v="15-15-15"/>
    <s v="WB"/>
    <x v="1"/>
    <s v="Sagar"/>
    <s v="User Not Mapped"/>
    <s v="User Not Mapped"/>
    <s v="User Not Mapped"/>
    <n v="624131"/>
    <s v="SUBOTH BALA KRISHI BHANDER"/>
    <s v="Private Retailer"/>
    <s v="9932726050"/>
    <n v="1"/>
    <n v="2410"/>
    <x v="2"/>
    <m/>
    <s v="2019-09-14"/>
    <s v="342383"/>
    <s v="Kakdip Sar Bhandar"/>
    <s v="9933502068"/>
  </r>
  <r>
    <s v="RCF Trombay"/>
    <s v="15-15-15"/>
    <s v="WB"/>
    <x v="1"/>
    <s v="Sagar"/>
    <s v="User Not Mapped"/>
    <s v="User Not Mapped"/>
    <s v="User Not Mapped"/>
    <n v="554000"/>
    <s v="Sundarban Krishi Bhander"/>
    <s v="Private Retailer"/>
    <s v="8967441673"/>
    <n v="0.05"/>
    <n v="235"/>
    <x v="1"/>
    <m/>
    <s v="2025-08-28"/>
    <s v="342383"/>
    <s v="Kakdip Sar Bhandar"/>
    <s v="9933502068"/>
  </r>
  <r>
    <s v="RCF Trombay"/>
    <s v="15-15-15"/>
    <s v="WB"/>
    <x v="1"/>
    <s v="Sagar"/>
    <s v="User Not Mapped"/>
    <s v="User Not Mapped"/>
    <s v="User Not Mapped"/>
    <n v="554000"/>
    <s v="Sundarban Krishi Bhander"/>
    <s v="Private Retailer"/>
    <s v="8967441673"/>
    <n v="0.5"/>
    <n v="146"/>
    <x v="4"/>
    <m/>
    <s v="2025-11-25"/>
    <s v="342383"/>
    <s v="Kakdip Sar Bhandar"/>
    <s v="9933502068"/>
  </r>
  <r>
    <s v="RCF Trombay"/>
    <s v="15-15-15"/>
    <s v="WB"/>
    <x v="1"/>
    <s v="Patharpratima"/>
    <s v="User Not Mapped"/>
    <s v="User Not Mapped"/>
    <s v="User Not Mapped"/>
    <n v="1092687"/>
    <s v="TARA MA KRISHI BHANDER"/>
    <s v="Private Retailer"/>
    <s v="7478930288"/>
    <n v="0.55000000000000004"/>
    <n v="1499"/>
    <x v="2"/>
    <m/>
    <s v="2022-03-13"/>
    <s v="342383"/>
    <s v="Kakdip Sar Bhandar"/>
    <s v="9933502068"/>
  </r>
  <r>
    <s v="RCF Trombay"/>
    <s v="15-15-15"/>
    <s v="WB"/>
    <x v="1"/>
    <s v="Sagar"/>
    <s v="User Not Mapped"/>
    <s v="User Not Mapped"/>
    <s v="User Not Mapped"/>
    <n v="1129165"/>
    <s v="TILOTAMA KRISHI BHANDAR"/>
    <s v="Private Retailer"/>
    <s v="7003761476"/>
    <n v="0.2"/>
    <n v="149"/>
    <x v="4"/>
    <m/>
    <s v="2025-11-22"/>
    <s v="342383"/>
    <s v="Kakdip Sar Bhandar"/>
    <s v="9933502068"/>
  </r>
  <r>
    <s v="RCF Trombay"/>
    <s v="15-15-15"/>
    <s v="WB"/>
    <x v="1"/>
    <s v="Kakdwip"/>
    <s v="User Not Mapped"/>
    <s v="User Not Mapped"/>
    <s v="User Not Mapped"/>
    <n v="968286"/>
    <s v="AHALAYA KRISHI BHANDER"/>
    <s v="Private Retailer"/>
    <s v="9091486165"/>
    <n v="1"/>
    <n v="1958"/>
    <x v="2"/>
    <m/>
    <s v="2020-12-09"/>
    <s v="270099"/>
    <s v="Kakdwip Krishi Bandr"/>
    <s v="9933502068"/>
  </r>
  <r>
    <s v="RCF Trombay"/>
    <s v="15-15-15"/>
    <s v="WB"/>
    <x v="1"/>
    <s v="Kakdwip"/>
    <s v="User Not Mapped"/>
    <s v="User Not Mapped"/>
    <s v="User Not Mapped"/>
    <n v="968286"/>
    <s v="AHALAYA KRISHI BHANDER"/>
    <s v="Private Retailer"/>
    <s v="9091486165"/>
    <n v="1E-3"/>
    <n v="2294"/>
    <x v="2"/>
    <m/>
    <s v="2020-01-08"/>
    <s v="270099"/>
    <s v="Kakdwip Krishi Bandr"/>
    <s v="9933502068"/>
  </r>
  <r>
    <s v="RCF Trombay"/>
    <s v="15-15-15"/>
    <s v="WB"/>
    <x v="1"/>
    <m/>
    <s v="User Not Mapped"/>
    <s v="User Not Mapped"/>
    <s v="User Not Mapped"/>
    <n v="461638"/>
    <s v="Bishalaxmi Bhander"/>
    <s v="Private Retailer"/>
    <s v="9647456657"/>
    <n v="0.20499999999999999"/>
    <n v="2026"/>
    <x v="2"/>
    <m/>
    <s v="2020-10-02"/>
    <s v="270099"/>
    <s v="Kakdwip Krishi Bandr"/>
    <s v="9933502068"/>
  </r>
  <r>
    <s v="RCF Trombay"/>
    <s v="15-15-15"/>
    <s v="WB"/>
    <x v="1"/>
    <m/>
    <s v="User Not Mapped"/>
    <s v="User Not Mapped"/>
    <s v="User Not Mapped"/>
    <n v="469794"/>
    <s v="Dulal Das"/>
    <s v="Private Retailer"/>
    <s v="8001764709"/>
    <n v="1.9E-2"/>
    <n v="1930"/>
    <x v="2"/>
    <m/>
    <s v="2021-01-06"/>
    <s v="270099"/>
    <s v="Kakdwip Krishi Bandr"/>
    <s v="9933502068"/>
  </r>
  <r>
    <s v="RCF Trombay"/>
    <s v="15-15-15"/>
    <s v="WB"/>
    <x v="1"/>
    <s v="Sagar"/>
    <s v="User Not Mapped"/>
    <s v="User Not Mapped"/>
    <s v="User Not Mapped"/>
    <n v="662595"/>
    <s v="JAMUNA KRISHI BHANDER"/>
    <s v="Private Retailer"/>
    <s v="9932601921"/>
    <n v="0.02"/>
    <n v="1559"/>
    <x v="2"/>
    <m/>
    <s v="2022-01-12"/>
    <s v="270099"/>
    <s v="Kakdwip Krishi Bandr"/>
    <s v="9933502068"/>
  </r>
  <r>
    <s v="RCF Thal"/>
    <s v="N.C.Urea(45kg)"/>
    <s v="WB"/>
    <x v="1"/>
    <s v="Kakdwip"/>
    <s v="User Not Mapped"/>
    <s v="User Not Mapped"/>
    <s v="User Not Mapped"/>
    <n v="953542"/>
    <s v="LAKSHMI GANESH KRISHI BHANDER"/>
    <s v="Private Retailer"/>
    <s v="9735467158"/>
    <n v="0.40500000000000003"/>
    <n v="250"/>
    <x v="1"/>
    <m/>
    <s v="2025-08-13"/>
    <s v="270099"/>
    <s v="Kakdwip Krishi Bandr"/>
    <s v="9933502068"/>
  </r>
  <r>
    <s v="RCF Trombay"/>
    <s v="15-15-15"/>
    <s v="WB"/>
    <x v="1"/>
    <s v="Kakdwip"/>
    <s v="User Not Mapped"/>
    <s v="User Not Mapped"/>
    <s v="User Not Mapped"/>
    <n v="953542"/>
    <s v="LAKSHMI GANESH KRISHI BHANDER"/>
    <s v="Private Retailer"/>
    <s v="9735467158"/>
    <n v="0.29699999999999999"/>
    <n v="250"/>
    <x v="1"/>
    <m/>
    <s v="2025-08-13"/>
    <s v="270099"/>
    <s v="Kakdwip Krishi Bandr"/>
    <s v="9933502068"/>
  </r>
  <r>
    <s v="RCF Trombay"/>
    <s v="15-15-15"/>
    <s v="WB"/>
    <x v="1"/>
    <m/>
    <s v="User Not Mapped"/>
    <s v="User Not Mapped"/>
    <s v="User Not Mapped"/>
    <n v="623971"/>
    <s v="MAA PUSHPA KRISHI BHANDAR"/>
    <s v="Private Retailer"/>
    <s v="9933066528"/>
    <n v="0.65"/>
    <n v="85"/>
    <x v="6"/>
    <m/>
    <s v="2026-01-25"/>
    <s v="270099"/>
    <s v="Kakdwip Krishi Bandr"/>
    <s v="9933502068"/>
  </r>
  <r>
    <s v="RCF Thal"/>
    <s v="N.C.Urea(45kg)"/>
    <s v="WB"/>
    <x v="1"/>
    <s v="Patharpratima"/>
    <s v="User Not Mapped"/>
    <s v="User Not Mapped"/>
    <s v="User Not Mapped"/>
    <n v="492503"/>
    <s v="Parasar Acharya"/>
    <s v="Private Retailer"/>
    <s v="9002682808"/>
    <n v="0.7"/>
    <n v="250"/>
    <x v="1"/>
    <m/>
    <s v="2025-08-13"/>
    <s v="270099"/>
    <s v="Kakdwip Krishi Bandr"/>
    <s v="9933502068"/>
  </r>
  <r>
    <s v="RCF Trombay"/>
    <s v="15-15-15"/>
    <s v="WB"/>
    <x v="1"/>
    <s v="Patharpratima"/>
    <s v="User Not Mapped"/>
    <s v="User Not Mapped"/>
    <s v="User Not Mapped"/>
    <n v="492503"/>
    <s v="Parasar Acharya"/>
    <s v="Private Retailer"/>
    <s v="9002682808"/>
    <n v="0.38"/>
    <n v="250"/>
    <x v="1"/>
    <m/>
    <s v="2025-08-13"/>
    <s v="270099"/>
    <s v="Kakdwip Krishi Bandr"/>
    <s v="9933502068"/>
  </r>
  <r>
    <s v="RCF Trombay"/>
    <s v="15-15-15"/>
    <s v="WB"/>
    <x v="1"/>
    <s v="Kakdwip"/>
    <s v="User Not Mapped"/>
    <s v="User Not Mapped"/>
    <s v="User Not Mapped"/>
    <n v="633314"/>
    <s v="PRATIMA SAR BHANDER"/>
    <s v="Private Retailer"/>
    <s v="8145086702"/>
    <n v="0.06"/>
    <n v="274"/>
    <x v="1"/>
    <m/>
    <s v="2025-07-20"/>
    <s v="270099"/>
    <s v="Kakdwip Krishi Bandr"/>
    <s v="9933502068"/>
  </r>
  <r>
    <s v="RCF Trombay"/>
    <s v="15-15-15"/>
    <s v="WB"/>
    <x v="1"/>
    <m/>
    <s v="User Not Mapped"/>
    <s v="User Not Mapped"/>
    <s v="User Not Mapped"/>
    <n v="902167"/>
    <s v="TAPAN KRISHI BHANDER"/>
    <s v="Private Retailer"/>
    <s v="9647184156"/>
    <n v="0.67500000000000004"/>
    <n v="1950"/>
    <x v="2"/>
    <m/>
    <s v="2020-12-17"/>
    <s v="270099"/>
    <s v="Kakdwip Krishi Bandr"/>
    <s v="9933502068"/>
  </r>
  <r>
    <s v="RCF Thal"/>
    <s v="N.C.Urea(45kg)"/>
    <s v="WB"/>
    <x v="1"/>
    <s v="Gosaba"/>
    <s v="User Not Mapped"/>
    <s v="User Not Mapped"/>
    <s v="User Not Mapped"/>
    <n v="254133"/>
    <s v="Dayapur Skus Ltd"/>
    <s v="PACS"/>
    <s v="9609230313"/>
    <n v="0.89"/>
    <n v="245"/>
    <x v="1"/>
    <m/>
    <s v="2025-08-18"/>
    <s v="1134498"/>
    <s v="KALIMA KRISHI BHANDER"/>
    <s v="8389891356"/>
  </r>
  <r>
    <s v="RCF Thal"/>
    <s v="N.C.Urea(45kg)"/>
    <s v="WB"/>
    <x v="1"/>
    <s v="Gosaba"/>
    <s v="User Not Mapped"/>
    <s v="User Not Mapped"/>
    <s v="User Not Mapped"/>
    <n v="892245"/>
    <s v="DINABANDHU MONDAL"/>
    <s v="Private Retailer"/>
    <s v="8001993652"/>
    <n v="0.47499999999999998"/>
    <n v="761"/>
    <x v="2"/>
    <m/>
    <s v="2024-03-20"/>
    <s v="1134498"/>
    <s v="KALIMA KRISHI BHANDER"/>
    <s v="8389891356"/>
  </r>
  <r>
    <s v="RCF Thal"/>
    <s v="N.C.Urea(45kg)"/>
    <s v="WB"/>
    <x v="1"/>
    <s v="Gosaba"/>
    <s v="User Not Mapped"/>
    <s v="User Not Mapped"/>
    <s v="User Not Mapped"/>
    <n v="658121"/>
    <s v="M/S DINONATH BAIDAYA"/>
    <s v="Private Retailer"/>
    <s v="9735558374"/>
    <n v="6.12"/>
    <n v="184"/>
    <x v="1"/>
    <m/>
    <s v="2025-10-18"/>
    <s v="1134498"/>
    <s v="KALIMA KRISHI BHANDER"/>
    <s v="8389891356"/>
  </r>
  <r>
    <s v="RCF Thal"/>
    <s v="N.C.Urea(45kg)"/>
    <s v="WB"/>
    <x v="1"/>
    <s v="Gosaba"/>
    <s v="User Not Mapped"/>
    <s v="User Not Mapped"/>
    <s v="User Not Mapped"/>
    <n v="892237"/>
    <s v="PADMABATI KRISHI BHANDER"/>
    <s v="Private Retailer"/>
    <s v="9775730255"/>
    <n v="2.52"/>
    <n v="184"/>
    <x v="1"/>
    <m/>
    <s v="2025-10-18"/>
    <s v="1134498"/>
    <s v="KALIMA KRISHI BHANDER"/>
    <s v="8389891356"/>
  </r>
  <r>
    <s v="RCF Thal"/>
    <s v="N.C.Urea(45kg)"/>
    <s v="WB"/>
    <x v="1"/>
    <s v="Gosaba"/>
    <s v="User Not Mapped"/>
    <s v="User Not Mapped"/>
    <s v="User Not Mapped"/>
    <n v="1096759"/>
    <s v="RADHA KRISHNA KRISHI BHANDER"/>
    <s v="Private Retailer"/>
    <s v="8389891356"/>
    <n v="1.89"/>
    <n v="168"/>
    <x v="4"/>
    <m/>
    <s v="2025-11-03"/>
    <s v="1134498"/>
    <s v="KALIMA KRISHI BHANDER"/>
    <s v="8389891356"/>
  </r>
  <r>
    <s v="RCF Trombay"/>
    <s v="N.C.Urea(45kg)"/>
    <s v="WB"/>
    <x v="1"/>
    <s v="Bhangar - I"/>
    <s v="User Not Mapped"/>
    <s v="User Not Mapped"/>
    <s v="User Not Mapped"/>
    <n v="356405"/>
    <s v=" m/s Sudhir Kr Ghosh"/>
    <s v="Private Retailer"/>
    <s v="9732671914"/>
    <n v="5.49"/>
    <n v="94"/>
    <x v="7"/>
    <m/>
    <s v="2026-01-16"/>
    <s v="224553"/>
    <s v="Kirtibas Kapat (A.S.C.)"/>
    <s v="9064538989"/>
  </r>
  <r>
    <s v="RCF Trombay"/>
    <s v="15-15-15"/>
    <s v="WB"/>
    <x v="1"/>
    <s v="Bhangar - I"/>
    <s v="User Not Mapped"/>
    <s v="User Not Mapped"/>
    <s v="User Not Mapped"/>
    <n v="356405"/>
    <s v=" m/s Sudhir Kr Ghosh"/>
    <s v="Private Retailer"/>
    <s v="9732671914"/>
    <n v="5.5"/>
    <n v="94"/>
    <x v="7"/>
    <m/>
    <s v="2026-01-16"/>
    <s v="224553"/>
    <s v="Kirtibas Kapat (A.S.C.)"/>
    <s v="9064538989"/>
  </r>
  <r>
    <s v="RCF Thal"/>
    <s v="N.C.Urea(45kg)"/>
    <s v="WB"/>
    <x v="1"/>
    <s v="Jaynagar - I"/>
    <s v="User Not Mapped"/>
    <s v="User Not Mapped"/>
    <s v="User Not Mapped"/>
    <n v="356397"/>
    <s v=" M/S Tapas Kumar Naskar"/>
    <s v="Private Retailer"/>
    <s v="9775136237"/>
    <n v="2.34"/>
    <n v="140"/>
    <x v="4"/>
    <m/>
    <s v="2025-12-01"/>
    <s v="224553"/>
    <s v="Kirtibas Kapat (A.S.C.)"/>
    <s v="9064538989"/>
  </r>
  <r>
    <s v="RCF Trombay"/>
    <s v="15-15-15"/>
    <s v="WB"/>
    <x v="1"/>
    <s v="Sagar"/>
    <s v="User Not Mapped"/>
    <s v="User Not Mapped"/>
    <s v="User Not Mapped"/>
    <n v="639079"/>
    <s v="A.D.SARGHAR"/>
    <s v="Private Retailer"/>
    <s v="8296562458"/>
    <n v="0.5"/>
    <n v="49"/>
    <x v="3"/>
    <m/>
    <s v="2026-03-02"/>
    <s v="224553"/>
    <s v="Kirtibas Kapat (A.S.C.)"/>
    <s v="9064538989"/>
  </r>
  <r>
    <s v="RCF Trombay"/>
    <s v="15-15-15"/>
    <s v="WB"/>
    <x v="1"/>
    <s v="Sagar"/>
    <s v="User Not Mapped"/>
    <s v="User Not Mapped"/>
    <s v="User Not Mapped"/>
    <n v="340928"/>
    <s v="Asimpaik"/>
    <s v="Private Retailer"/>
    <s v="9932842786"/>
    <n v="0.25"/>
    <n v="22"/>
    <x v="5"/>
    <m/>
    <s v="2026-03-29"/>
    <s v="224553"/>
    <s v="Kirtibas Kapat (A.S.C.)"/>
    <s v="9064538989"/>
  </r>
  <r>
    <s v="RCF Trombay"/>
    <s v="15-15-15"/>
    <s v="WB"/>
    <x v="1"/>
    <s v="Sagar"/>
    <s v="User Not Mapped"/>
    <s v="User Not Mapped"/>
    <s v="User Not Mapped"/>
    <n v="340928"/>
    <s v="Asimpaik"/>
    <s v="Private Retailer"/>
    <s v="9932842786"/>
    <n v="0.25"/>
    <n v="8"/>
    <x v="5"/>
    <m/>
    <s v="2026-04-12"/>
    <s v="224553"/>
    <s v="Kirtibas Kapat (A.S.C.)"/>
    <s v="9064538989"/>
  </r>
  <r>
    <s v="RCF Trombay"/>
    <s v="15-15-15"/>
    <s v="WB"/>
    <x v="1"/>
    <s v="Mathurapur - II"/>
    <s v="User Not Mapped"/>
    <s v="User Not Mapped"/>
    <s v="User Not Mapped"/>
    <n v="340982"/>
    <s v="Baidya Fertiliser  Prop-Manurath Baidya"/>
    <s v="Private Retailer"/>
    <s v="6296840237"/>
    <n v="5.0999999999999996"/>
    <n v="83"/>
    <x v="6"/>
    <m/>
    <s v="2026-01-27"/>
    <s v="224553"/>
    <s v="Kirtibas Kapat (A.S.C.)"/>
    <s v="9064538989"/>
  </r>
  <r>
    <s v="RCF Import"/>
    <s v="MOP"/>
    <s v="WB"/>
    <x v="1"/>
    <s v="Mathurapur - II"/>
    <s v="User Not Mapped"/>
    <s v="User Not Mapped"/>
    <s v="User Not Mapped"/>
    <n v="340982"/>
    <s v="Baidya Fertiliser  Prop-Manurath Baidya"/>
    <s v="Private Retailer"/>
    <s v="6296840237"/>
    <n v="0.25"/>
    <n v="26"/>
    <x v="5"/>
    <m/>
    <s v="2026-03-25"/>
    <s v="224553"/>
    <s v="Kirtibas Kapat (A.S.C.)"/>
    <s v="9064538989"/>
  </r>
  <r>
    <s v="RCF Import"/>
    <s v="MOP"/>
    <s v="WB"/>
    <x v="1"/>
    <s v="Mathurapur - II"/>
    <s v="User Not Mapped"/>
    <s v="User Not Mapped"/>
    <s v="User Not Mapped"/>
    <n v="463241"/>
    <s v="Bar Krishi Bhander"/>
    <s v="Private Retailer"/>
    <s v="7602105421"/>
    <n v="0.5"/>
    <n v="45"/>
    <x v="3"/>
    <m/>
    <s v="2026-03-06"/>
    <s v="224553"/>
    <s v="Kirtibas Kapat (A.S.C.)"/>
    <s v="9064538989"/>
  </r>
  <r>
    <s v="RCF Trombay"/>
    <s v="N.C.Urea(45kg)"/>
    <s v="WB"/>
    <x v="1"/>
    <m/>
    <s v="User Not Mapped"/>
    <s v="User Not Mapped"/>
    <s v="User Not Mapped"/>
    <n v="613664"/>
    <s v="BASANTI DAS"/>
    <s v="Private Retailer"/>
    <s v="7407793659"/>
    <n v="5.0000000000000001E-3"/>
    <n v="2256"/>
    <x v="2"/>
    <m/>
    <s v="2020-02-15"/>
    <s v="224553"/>
    <s v="Kirtibas Kapat (A.S.C.)"/>
    <s v="9064538989"/>
  </r>
  <r>
    <s v="RCF Trombay"/>
    <s v="15-15-15"/>
    <s v="WB"/>
    <x v="1"/>
    <m/>
    <s v="User Not Mapped"/>
    <s v="User Not Mapped"/>
    <s v="User Not Mapped"/>
    <n v="613664"/>
    <s v="BASANTI DAS"/>
    <s v="Private Retailer"/>
    <s v="7407793659"/>
    <n v="0.83299999999999996"/>
    <n v="1970"/>
    <x v="2"/>
    <m/>
    <s v="2020-11-27"/>
    <s v="224553"/>
    <s v="Kirtibas Kapat (A.S.C.)"/>
    <s v="9064538989"/>
  </r>
  <r>
    <s v="RCF Trombay"/>
    <s v="N.C.Urea(45kg)"/>
    <s v="WB"/>
    <x v="1"/>
    <s v="Mathurapur - II"/>
    <s v="User Not Mapped"/>
    <s v="User Not Mapped"/>
    <s v="User Not Mapped"/>
    <n v="797086"/>
    <s v="BERA KRISHI BHANDER"/>
    <s v="Private Retailer"/>
    <s v="9732038005"/>
    <n v="1.26"/>
    <n v="79"/>
    <x v="6"/>
    <m/>
    <s v="2026-01-31"/>
    <s v="224553"/>
    <s v="Kirtibas Kapat (A.S.C.)"/>
    <s v="9064538989"/>
  </r>
  <r>
    <s v="RCF Trombay"/>
    <s v="15-15-15"/>
    <s v="WB"/>
    <x v="1"/>
    <s v="Sagar"/>
    <s v="User Not Mapped"/>
    <s v="User Not Mapped"/>
    <s v="User Not Mapped"/>
    <n v="461714"/>
    <s v="Bhagabati Krishi Bhander"/>
    <s v="Private Retailer"/>
    <s v="9609208214"/>
    <n v="0.35"/>
    <n v="26"/>
    <x v="5"/>
    <m/>
    <s v="2026-03-25"/>
    <s v="224553"/>
    <s v="Kirtibas Kapat (A.S.C.)"/>
    <s v="9064538989"/>
  </r>
  <r>
    <s v="RCF Import"/>
    <s v="Imp 10-26-26"/>
    <s v="WB"/>
    <x v="1"/>
    <s v="Bhangar - II"/>
    <s v="User Not Mapped"/>
    <s v="User Not Mapped"/>
    <s v="User Not Mapped"/>
    <n v="331189"/>
    <s v="Bimal Chandra Karmakar"/>
    <s v="Private Retailer"/>
    <s v="9735454772"/>
    <n v="3.75"/>
    <n v="36"/>
    <x v="3"/>
    <m/>
    <s v="2026-03-15"/>
    <s v="224553"/>
    <s v="Kirtibas Kapat (A.S.C.)"/>
    <s v="9064538989"/>
  </r>
  <r>
    <s v="RCF Trombay"/>
    <s v="15-15-15"/>
    <s v="WB"/>
    <x v="1"/>
    <s v="Kakdwip"/>
    <s v="User Not Mapped"/>
    <s v="User Not Mapped"/>
    <s v="User Not Mapped"/>
    <n v="462687"/>
    <s v="Bimal Roy"/>
    <s v="Private Retailer"/>
    <s v="8167467157"/>
    <n v="0.5"/>
    <n v="118"/>
    <x v="7"/>
    <m/>
    <s v="2025-12-23"/>
    <s v="224553"/>
    <s v="Kirtibas Kapat (A.S.C.)"/>
    <s v="9064538989"/>
  </r>
  <r>
    <s v="RCF Trombay"/>
    <s v="N.C.Urea(45kg)"/>
    <s v="WB"/>
    <x v="1"/>
    <m/>
    <s v="User Not Mapped"/>
    <s v="User Not Mapped"/>
    <s v="User Not Mapped"/>
    <n v="958551"/>
    <s v="DAS FERTILIZER"/>
    <s v="Private Retailer"/>
    <s v="9593436940"/>
    <n v="1.64"/>
    <n v="2634"/>
    <x v="2"/>
    <m/>
    <s v="2019-02-02"/>
    <s v="224553"/>
    <s v="Kirtibas Kapat (A.S.C.)"/>
    <s v="9064538989"/>
  </r>
  <r>
    <s v="RCF Trombay"/>
    <s v="N.C.Urea(45kg)"/>
    <s v="WB"/>
    <x v="1"/>
    <s v="Mandirbazar"/>
    <s v="User Not Mapped"/>
    <s v="User Not Mapped"/>
    <s v="User Not Mapped"/>
    <n v="341228"/>
    <s v="Das Fertilizers"/>
    <s v="Private Retailer"/>
    <s v="9126473688"/>
    <n v="2.16"/>
    <n v="65"/>
    <x v="6"/>
    <m/>
    <s v="2026-02-14"/>
    <s v="224553"/>
    <s v="Kirtibas Kapat (A.S.C.)"/>
    <s v="9064538989"/>
  </r>
  <r>
    <s v="RCF Import"/>
    <s v="Imp 10-26-26"/>
    <s v="WB"/>
    <x v="1"/>
    <s v="Mandirbazar"/>
    <s v="User Not Mapped"/>
    <s v="User Not Mapped"/>
    <s v="User Not Mapped"/>
    <n v="341228"/>
    <s v="Das Fertilizers"/>
    <s v="Private Retailer"/>
    <s v="9126473688"/>
    <n v="0.95"/>
    <n v="56"/>
    <x v="3"/>
    <m/>
    <s v="2026-02-23"/>
    <s v="224553"/>
    <s v="Kirtibas Kapat (A.S.C.)"/>
    <s v="9064538989"/>
  </r>
  <r>
    <s v="RCF Import"/>
    <s v="MOP"/>
    <s v="WB"/>
    <x v="1"/>
    <s v="Mathurapur - II"/>
    <s v="User Not Mapped"/>
    <s v="User Not Mapped"/>
    <s v="User Not Mapped"/>
    <n v="626094"/>
    <s v="DEBRAJ PURKAIT"/>
    <s v="Private Retailer"/>
    <s v="9593616298"/>
    <n v="0.25"/>
    <n v="59"/>
    <x v="3"/>
    <m/>
    <s v="2026-02-20"/>
    <s v="224553"/>
    <s v="Kirtibas Kapat (A.S.C.)"/>
    <s v="9064538989"/>
  </r>
  <r>
    <s v="RCF Thal"/>
    <s v="N.C.Urea(45kg)"/>
    <s v="WB"/>
    <x v="1"/>
    <s v="Mathurapur - I"/>
    <s v="User Not Mapped"/>
    <s v="User Not Mapped"/>
    <s v="User Not Mapped"/>
    <n v="354899"/>
    <s v="Dilip Kr Samanta"/>
    <s v="Private Retailer"/>
    <s v="9732818081"/>
    <n v="1.2150000000000001"/>
    <n v="65"/>
    <x v="6"/>
    <m/>
    <s v="2026-02-14"/>
    <s v="224553"/>
    <s v="Kirtibas Kapat (A.S.C.)"/>
    <s v="9064538989"/>
  </r>
  <r>
    <s v="RCF Thal"/>
    <s v="N.C.Urea(45kg)"/>
    <s v="WB"/>
    <x v="1"/>
    <s v="Mandirbazar"/>
    <s v="User Not Mapped"/>
    <s v="User Not Mapped"/>
    <s v="User Not Mapped"/>
    <n v="331259"/>
    <s v="Gopal Fertiliser"/>
    <s v="Private Retailer"/>
    <s v="9735487590"/>
    <n v="4.0049999999999999"/>
    <n v="65"/>
    <x v="6"/>
    <m/>
    <s v="2026-02-14"/>
    <s v="224553"/>
    <s v="Kirtibas Kapat (A.S.C.)"/>
    <s v="9064538989"/>
  </r>
  <r>
    <s v="RCF Import"/>
    <s v="Imp 10-26-26"/>
    <s v="WB"/>
    <x v="1"/>
    <s v="Mandirbazar"/>
    <s v="User Not Mapped"/>
    <s v="User Not Mapped"/>
    <s v="User Not Mapped"/>
    <n v="331259"/>
    <s v="Gopal Fertiliser"/>
    <s v="Private Retailer"/>
    <s v="9735487590"/>
    <n v="1"/>
    <n v="56"/>
    <x v="3"/>
    <m/>
    <s v="2026-02-23"/>
    <s v="224553"/>
    <s v="Kirtibas Kapat (A.S.C.)"/>
    <s v="9064538989"/>
  </r>
  <r>
    <s v="RCF Trombay"/>
    <s v="15-15-15"/>
    <s v="WB"/>
    <x v="1"/>
    <s v="Mathurapur - II"/>
    <s v="User Not Mapped"/>
    <s v="User Not Mapped"/>
    <s v="User Not Mapped"/>
    <n v="631805"/>
    <s v="HALDER FERTILISER"/>
    <s v="Private Retailer"/>
    <s v="9735028233"/>
    <n v="0.2"/>
    <n v="513"/>
    <x v="0"/>
    <m/>
    <s v="2024-11-23"/>
    <s v="224553"/>
    <s v="Kirtibas Kapat (A.S.C.)"/>
    <s v="9064538989"/>
  </r>
  <r>
    <s v="RCF Trombay"/>
    <s v="N.C.Urea(45kg)"/>
    <s v="WB"/>
    <x v="1"/>
    <m/>
    <s v="User Not Mapped"/>
    <s v="User Not Mapped"/>
    <s v="User Not Mapped"/>
    <n v="631191"/>
    <s v="HARADHAN DAS"/>
    <s v="Private Retailer"/>
    <s v="9933842332"/>
    <n v="0.41499999999999998"/>
    <n v="2401"/>
    <x v="2"/>
    <m/>
    <s v="2019-09-23"/>
    <s v="224553"/>
    <s v="Kirtibas Kapat (A.S.C.)"/>
    <s v="9064538989"/>
  </r>
  <r>
    <s v="RCF Trombay"/>
    <s v="15-15-15"/>
    <s v="WB"/>
    <x v="1"/>
    <s v="Diamond Harbour - I"/>
    <s v="User Not Mapped"/>
    <s v="User Not Mapped"/>
    <s v="User Not Mapped"/>
    <n v="470844"/>
    <s v="Indrajit Naskar"/>
    <s v="Private Retailer"/>
    <s v="9093266883"/>
    <n v="0.5"/>
    <n v="236"/>
    <x v="1"/>
    <m/>
    <s v="2025-08-27"/>
    <s v="224553"/>
    <s v="Kirtibas Kapat (A.S.C.)"/>
    <s v="9064538989"/>
  </r>
  <r>
    <s v="RCF Trombay"/>
    <s v="N.C.Urea(45kg)"/>
    <s v="WB"/>
    <x v="1"/>
    <s v="Mathurapur - II"/>
    <s v="User Not Mapped"/>
    <s v="User Not Mapped"/>
    <s v="User Not Mapped"/>
    <n v="624361"/>
    <s v="JAHANARA FERTILISER"/>
    <s v="Private Retailer"/>
    <s v="9733593679"/>
    <n v="0.495"/>
    <n v="265"/>
    <x v="1"/>
    <m/>
    <s v="2025-07-29"/>
    <s v="224553"/>
    <s v="Kirtibas Kapat (A.S.C.)"/>
    <s v="9064538989"/>
  </r>
  <r>
    <s v="RCF Import"/>
    <s v="MOP"/>
    <s v="WB"/>
    <x v="1"/>
    <s v="Kultali"/>
    <s v="User Not Mapped"/>
    <s v="User Not Mapped"/>
    <s v="User Not Mapped"/>
    <n v="308783"/>
    <s v="Joydev Fertilizer"/>
    <s v="Private Retailer"/>
    <s v="8001805472"/>
    <n v="0.25"/>
    <n v="49"/>
    <x v="3"/>
    <m/>
    <s v="2026-03-02"/>
    <s v="224553"/>
    <s v="Kirtibas Kapat (A.S.C.)"/>
    <s v="9064538989"/>
  </r>
  <r>
    <s v="RCF Trombay"/>
    <s v="N.C.Urea(45kg)"/>
    <s v="WB"/>
    <x v="1"/>
    <s v="Mathurapur - II"/>
    <s v="User Not Mapped"/>
    <s v="User Not Mapped"/>
    <s v="User Not Mapped"/>
    <n v="300624"/>
    <s v="Joyguru Krishi Bhander"/>
    <s v="Private Retailer"/>
    <s v="9775159058"/>
    <n v="1.665"/>
    <n v="62"/>
    <x v="6"/>
    <m/>
    <s v="2026-02-17"/>
    <s v="224553"/>
    <s v="Kirtibas Kapat (A.S.C.)"/>
    <s v="9064538989"/>
  </r>
  <r>
    <s v="RCF Thal"/>
    <s v="N.C.Urea(45kg)"/>
    <s v="WB"/>
    <x v="1"/>
    <s v="Kakdwip"/>
    <s v="User Not Mapped"/>
    <s v="User Not Mapped"/>
    <s v="User Not Mapped"/>
    <n v="355086"/>
    <s v="Kakdwip Sar Bhander"/>
    <s v="Private Retailer"/>
    <s v="8001113615"/>
    <n v="11.43"/>
    <n v="65"/>
    <x v="6"/>
    <m/>
    <s v="2026-02-14"/>
    <s v="224553"/>
    <s v="Kirtibas Kapat (A.S.C.)"/>
    <s v="9064538989"/>
  </r>
  <r>
    <s v="RCF Trombay"/>
    <s v="15-15-15"/>
    <s v="WB"/>
    <x v="1"/>
    <s v="Sagar"/>
    <s v="User Not Mapped"/>
    <s v="User Not Mapped"/>
    <s v="User Not Mapped"/>
    <n v="1480285"/>
    <s v="KALPANA KRISHI BHANDER"/>
    <s v="Private Retailer"/>
    <s v="8436035475"/>
    <n v="0.05"/>
    <n v="133"/>
    <x v="4"/>
    <m/>
    <s v="2025-12-08"/>
    <s v="224553"/>
    <s v="Kirtibas Kapat (A.S.C.)"/>
    <s v="9064538989"/>
  </r>
  <r>
    <s v="RCF Thal"/>
    <s v="N.C.Urea(45kg)"/>
    <s v="WB"/>
    <x v="1"/>
    <s v="Kulpi"/>
    <s v="User Not Mapped"/>
    <s v="User Not Mapped"/>
    <s v="User Not Mapped"/>
    <n v="355161"/>
    <s v="Kartik Ch Mondal"/>
    <s v="Private Retailer"/>
    <s v="9933496740"/>
    <n v="2.25"/>
    <n v="65"/>
    <x v="6"/>
    <m/>
    <s v="2026-02-14"/>
    <s v="224553"/>
    <s v="Kirtibas Kapat (A.S.C.)"/>
    <s v="9064538989"/>
  </r>
  <r>
    <s v="RCF Trombay"/>
    <s v="15-15-15"/>
    <s v="WB"/>
    <x v="1"/>
    <s v="Kulpi"/>
    <s v="User Not Mapped"/>
    <s v="User Not Mapped"/>
    <s v="User Not Mapped"/>
    <n v="467483"/>
    <s v="Kartik Chandra Manna"/>
    <s v="Private Retailer"/>
    <s v="9733611412"/>
    <n v="0.25"/>
    <n v="50"/>
    <x v="3"/>
    <m/>
    <s v="2026-03-01"/>
    <s v="224553"/>
    <s v="Kirtibas Kapat (A.S.C.)"/>
    <s v="9064538989"/>
  </r>
  <r>
    <s v="RCF Trombay"/>
    <s v="15-15-15"/>
    <s v="WB"/>
    <x v="1"/>
    <s v="Namkhana"/>
    <s v="User Not Mapped"/>
    <s v="User Not Mapped"/>
    <s v="User Not Mapped"/>
    <n v="686304"/>
    <s v="KARUNA KRISHI BHANDAR"/>
    <s v="Private Retailer"/>
    <s v="7557808878"/>
    <n v="0.15"/>
    <n v="65"/>
    <x v="6"/>
    <m/>
    <s v="2026-02-14"/>
    <s v="224553"/>
    <s v="Kirtibas Kapat (A.S.C.)"/>
    <s v="9064538989"/>
  </r>
  <r>
    <s v="RCF Trombay"/>
    <s v="15-15-15"/>
    <s v="WB"/>
    <x v="1"/>
    <s v="Jaynagar - II"/>
    <s v="User Not Mapped"/>
    <s v="User Not Mapped"/>
    <s v="User Not Mapped"/>
    <n v="341634"/>
    <s v="Kayal Fertiliser"/>
    <s v="Private Retailer"/>
    <s v="6294580752"/>
    <n v="2.2000000000000002"/>
    <n v="83"/>
    <x v="6"/>
    <m/>
    <s v="2026-01-27"/>
    <s v="224553"/>
    <s v="Kirtibas Kapat (A.S.C.)"/>
    <s v="9064538989"/>
  </r>
  <r>
    <s v="RCF Trombay"/>
    <s v="N.C.Urea(45kg)"/>
    <s v="WB"/>
    <x v="1"/>
    <s v="Bhangar - II"/>
    <s v="User Not Mapped"/>
    <s v="User Not Mapped"/>
    <s v="User Not Mapped"/>
    <n v="637369"/>
    <s v="KAZI ABDUL MATIN"/>
    <s v="Private Retailer"/>
    <s v="7384513031"/>
    <n v="0.18"/>
    <n v="254"/>
    <x v="1"/>
    <m/>
    <s v="2025-08-09"/>
    <s v="224553"/>
    <s v="Kirtibas Kapat (A.S.C.)"/>
    <s v="9064538989"/>
  </r>
  <r>
    <s v="RCF Thal"/>
    <s v="N.C.Urea(45kg)"/>
    <s v="WB"/>
    <x v="1"/>
    <s v="Kakdwip"/>
    <s v="User Not Mapped"/>
    <s v="User Not Mapped"/>
    <s v="User Not Mapped"/>
    <n v="633256"/>
    <s v="KHANTAMONI KRISHI BHANDER"/>
    <s v="Private Retailer"/>
    <s v="7031808355"/>
    <n v="0.495"/>
    <n v="237"/>
    <x v="1"/>
    <m/>
    <s v="2025-08-26"/>
    <s v="224553"/>
    <s v="Kirtibas Kapat (A.S.C.)"/>
    <s v="9064538989"/>
  </r>
  <r>
    <s v="RCF Trombay"/>
    <s v="15-15-15"/>
    <s v="WB"/>
    <x v="1"/>
    <s v="Kakdwip"/>
    <s v="User Not Mapped"/>
    <s v="User Not Mapped"/>
    <s v="User Not Mapped"/>
    <n v="461900"/>
    <s v="Kiran Fertiliser Shop"/>
    <s v="Private Retailer"/>
    <s v="7319572675"/>
    <n v="0.5"/>
    <n v="22"/>
    <x v="5"/>
    <m/>
    <s v="2026-03-29"/>
    <s v="224553"/>
    <s v="Kirtibas Kapat (A.S.C.)"/>
    <s v="9064538989"/>
  </r>
  <r>
    <s v="RCF Trombay"/>
    <s v="N.C.Urea(45kg)"/>
    <s v="WB"/>
    <x v="1"/>
    <s v="Baruipur"/>
    <s v="User Not Mapped"/>
    <s v="User Not Mapped"/>
    <s v="User Not Mapped"/>
    <n v="341676"/>
    <s v="Krishi Bandhu Fertilisers"/>
    <s v="Private Retailer"/>
    <s v="9933075817"/>
    <n v="1.8"/>
    <n v="1172"/>
    <x v="2"/>
    <m/>
    <s v="2023-02-03"/>
    <s v="224553"/>
    <s v="Kirtibas Kapat (A.S.C.)"/>
    <s v="9064538989"/>
  </r>
  <r>
    <s v="RCF Trombay"/>
    <s v="15-15-15"/>
    <s v="WB"/>
    <x v="1"/>
    <s v="Patharpratima"/>
    <s v="User Not Mapped"/>
    <s v="User Not Mapped"/>
    <s v="User Not Mapped"/>
    <n v="1216146"/>
    <s v="KRISHI BHANDER FERTILIZER"/>
    <s v="Private Retailer"/>
    <s v="6294116612"/>
    <n v="0.01"/>
    <n v="1495"/>
    <x v="2"/>
    <m/>
    <s v="2022-03-17"/>
    <s v="224553"/>
    <s v="Kirtibas Kapat (A.S.C.)"/>
    <s v="9064538989"/>
  </r>
  <r>
    <s v="RCF Thal"/>
    <s v="N.C.Urea(45kg)"/>
    <s v="WB"/>
    <x v="1"/>
    <s v="Baruipur"/>
    <s v="User Not Mapped"/>
    <s v="User Not Mapped"/>
    <s v="User Not Mapped"/>
    <n v="290773"/>
    <s v="M/S Adarsha Krishi Bhander"/>
    <s v="Private Retailer"/>
    <s v="9830755148"/>
    <n v="2.0249999999999999"/>
    <n v="168"/>
    <x v="4"/>
    <m/>
    <s v="2025-11-03"/>
    <s v="224553"/>
    <s v="Kirtibas Kapat (A.S.C.)"/>
    <s v="9064538989"/>
  </r>
  <r>
    <s v="RCF Trombay"/>
    <s v="15-15-15"/>
    <s v="WB"/>
    <x v="1"/>
    <s v="Kulpi"/>
    <s v="User Not Mapped"/>
    <s v="User Not Mapped"/>
    <s v="User Not Mapped"/>
    <n v="1576589"/>
    <s v="M/S HALDER FERTILIZER"/>
    <s v="Private Retailer"/>
    <s v="8972096151"/>
    <n v="0.25"/>
    <n v="76"/>
    <x v="6"/>
    <m/>
    <s v="2026-02-03"/>
    <s v="224553"/>
    <s v="Kirtibas Kapat (A.S.C.)"/>
    <s v="9064538989"/>
  </r>
  <r>
    <s v="RCF Thal"/>
    <s v="N.C.Urea(45kg)"/>
    <s v="WB"/>
    <x v="1"/>
    <s v="Kulpi"/>
    <s v="User Not Mapped"/>
    <s v="User Not Mapped"/>
    <s v="User Not Mapped"/>
    <n v="1558788"/>
    <s v="M/S LAXMISRI KRISHI BHANDER"/>
    <s v="Private Retailer"/>
    <s v="9091448177"/>
    <n v="0.63"/>
    <n v="65"/>
    <x v="6"/>
    <m/>
    <s v="2026-02-14"/>
    <s v="224553"/>
    <s v="Kirtibas Kapat (A.S.C.)"/>
    <s v="9064538989"/>
  </r>
  <r>
    <s v="RCF Trombay"/>
    <s v="15-15-15"/>
    <s v="WB"/>
    <x v="1"/>
    <s v="Kakdwip"/>
    <s v="User Not Mapped"/>
    <s v="User Not Mapped"/>
    <s v="User Not Mapped"/>
    <n v="640617"/>
    <s v="M/S MAA KALI KRISHI BHANDAR"/>
    <s v="Private Retailer"/>
    <s v="8101639938"/>
    <n v="1.5"/>
    <n v="126"/>
    <x v="4"/>
    <m/>
    <s v="2025-12-15"/>
    <s v="224553"/>
    <s v="Kirtibas Kapat (A.S.C.)"/>
    <s v="9064538989"/>
  </r>
  <r>
    <s v="RCF Import"/>
    <s v="MOP"/>
    <s v="WB"/>
    <x v="1"/>
    <s v="Patharpratima"/>
    <s v="User Not Mapped"/>
    <s v="User Not Mapped"/>
    <s v="User Not Mapped"/>
    <n v="1461483"/>
    <s v="M/S MAA KALI KRISHI BHANDAR"/>
    <s v="Private Retailer"/>
    <s v="8617668344"/>
    <n v="0.5"/>
    <n v="54"/>
    <x v="3"/>
    <m/>
    <s v="2026-02-25"/>
    <s v="224553"/>
    <s v="Kirtibas Kapat (A.S.C.)"/>
    <s v="9064538989"/>
  </r>
  <r>
    <s v="RCF Trombay"/>
    <s v="N.C.Urea(45kg)"/>
    <s v="WB"/>
    <x v="1"/>
    <s v="Namkhana"/>
    <s v="User Not Mapped"/>
    <s v="User Not Mapped"/>
    <s v="User Not Mapped"/>
    <n v="892195"/>
    <s v="M/S MAA KALI SAR BHANDER"/>
    <s v="Private Retailer"/>
    <s v="9733735879"/>
    <n v="2.97"/>
    <n v="65"/>
    <x v="6"/>
    <m/>
    <s v="2026-02-14"/>
    <s v="224553"/>
    <s v="Kirtibas Kapat (A.S.C.)"/>
    <s v="9064538989"/>
  </r>
  <r>
    <s v="RCF Trombay"/>
    <s v="N.C.Urea(45kg)"/>
    <s v="WB"/>
    <x v="1"/>
    <s v="Patharpratima"/>
    <s v="User Not Mapped"/>
    <s v="User Not Mapped"/>
    <s v="User Not Mapped"/>
    <n v="1461485"/>
    <s v="M/S MALLIK FERTILIZER"/>
    <s v="Private Retailer"/>
    <s v="9679867406"/>
    <n v="0.27"/>
    <n v="558"/>
    <x v="2"/>
    <m/>
    <s v="2024-10-09"/>
    <s v="224553"/>
    <s v="Kirtibas Kapat (A.S.C.)"/>
    <s v="9064538989"/>
  </r>
  <r>
    <s v="RCF Thal"/>
    <s v="N.C.Urea(45kg)"/>
    <s v="WB"/>
    <x v="1"/>
    <s v="Patharpratima"/>
    <s v="User Not Mapped"/>
    <s v="User Not Mapped"/>
    <s v="User Not Mapped"/>
    <n v="1461485"/>
    <s v="M/S MALLIK FERTILIZER"/>
    <s v="Private Retailer"/>
    <s v="9679867406"/>
    <n v="0.45"/>
    <n v="495"/>
    <x v="0"/>
    <m/>
    <s v="2024-12-11"/>
    <s v="224553"/>
    <s v="Kirtibas Kapat (A.S.C.)"/>
    <s v="9064538989"/>
  </r>
  <r>
    <s v="RCF Trombay"/>
    <s v="N.C.Urea(45kg)"/>
    <s v="WB"/>
    <x v="1"/>
    <s v="Mathurapur - I"/>
    <s v="User Not Mapped"/>
    <s v="User Not Mapped"/>
    <s v="User Not Mapped"/>
    <n v="290797"/>
    <s v="M/S Mondal Fertiliser"/>
    <s v="Private Retailer"/>
    <s v="9679179025"/>
    <n v="5.31"/>
    <n v="74"/>
    <x v="6"/>
    <m/>
    <s v="2026-02-05"/>
    <s v="224553"/>
    <s v="Kirtibas Kapat (A.S.C.)"/>
    <s v="9064538989"/>
  </r>
  <r>
    <s v="RCF Thal"/>
    <s v="N.C.Urea(45kg)"/>
    <s v="WB"/>
    <x v="1"/>
    <s v="Mathurapur - I"/>
    <s v="User Not Mapped"/>
    <s v="User Not Mapped"/>
    <s v="User Not Mapped"/>
    <n v="290797"/>
    <s v="M/S Mondal Fertiliser"/>
    <s v="Private Retailer"/>
    <s v="9679179025"/>
    <n v="4.5"/>
    <n v="65"/>
    <x v="6"/>
    <m/>
    <s v="2026-02-14"/>
    <s v="224553"/>
    <s v="Kirtibas Kapat (A.S.C.)"/>
    <s v="9064538989"/>
  </r>
  <r>
    <s v="RCF Thal"/>
    <s v="N.C.Urea(45kg)"/>
    <s v="WB"/>
    <x v="1"/>
    <s v="Jaynagar - II"/>
    <s v="User Not Mapped"/>
    <s v="User Not Mapped"/>
    <s v="User Not Mapped"/>
    <n v="662599"/>
    <s v="M/S MONDAL FERTILIZER"/>
    <s v="Private Retailer"/>
    <s v="9083891168"/>
    <n v="2.25"/>
    <n v="1564"/>
    <x v="2"/>
    <m/>
    <s v="2022-01-07"/>
    <s v="224553"/>
    <s v="Kirtibas Kapat (A.S.C.)"/>
    <s v="9064538989"/>
  </r>
  <r>
    <s v="RCF Trombay"/>
    <s v="15-15-15"/>
    <s v="WB"/>
    <x v="1"/>
    <s v="Jaynagar - II"/>
    <s v="User Not Mapped"/>
    <s v="User Not Mapped"/>
    <s v="User Not Mapped"/>
    <n v="662599"/>
    <s v="M/S MONDAL FERTILIZER"/>
    <s v="Private Retailer"/>
    <s v="9083891168"/>
    <n v="1.5"/>
    <n v="1608"/>
    <x v="2"/>
    <m/>
    <s v="2021-11-24"/>
    <s v="224553"/>
    <s v="Kirtibas Kapat (A.S.C.)"/>
    <s v="9064538989"/>
  </r>
  <r>
    <s v="RCF Import"/>
    <s v="MOP"/>
    <s v="WB"/>
    <x v="1"/>
    <s v="Namkhana"/>
    <s v="User Not Mapped"/>
    <s v="User Not Mapped"/>
    <s v="User Not Mapped"/>
    <n v="643015"/>
    <s v="M/S PRADHAN KRISHI BHANDER"/>
    <s v="Private Retailer"/>
    <s v="9734813951"/>
    <n v="1"/>
    <n v="581"/>
    <x v="2"/>
    <m/>
    <s v="2024-09-16"/>
    <s v="224553"/>
    <s v="Kirtibas Kapat (A.S.C.)"/>
    <s v="9064538989"/>
  </r>
  <r>
    <s v="RCF Thal"/>
    <s v="N.C.Urea(45kg)"/>
    <s v="WB"/>
    <x v="1"/>
    <s v="Namkhana"/>
    <s v="User Not Mapped"/>
    <s v="User Not Mapped"/>
    <s v="User Not Mapped"/>
    <n v="643015"/>
    <s v="M/S PRADHAN KRISHI BHANDER"/>
    <s v="Private Retailer"/>
    <s v="9734813951"/>
    <n v="5.3999999999999999E-2"/>
    <n v="188"/>
    <x v="1"/>
    <m/>
    <s v="2025-10-14"/>
    <s v="224553"/>
    <s v="Kirtibas Kapat (A.S.C.)"/>
    <s v="9064538989"/>
  </r>
  <r>
    <s v="RCF Trombay"/>
    <s v="15-15-15"/>
    <s v="WB"/>
    <x v="1"/>
    <s v="Bhangar - I"/>
    <s v="User Not Mapped"/>
    <s v="User Not Mapped"/>
    <s v="User Not Mapped"/>
    <n v="1455967"/>
    <s v="M/S RINKU FERTILIZER"/>
    <s v="Private Retailer"/>
    <s v="9143359179"/>
    <n v="2.7"/>
    <n v="65"/>
    <x v="6"/>
    <m/>
    <s v="2026-02-14"/>
    <s v="224553"/>
    <s v="Kirtibas Kapat (A.S.C.)"/>
    <s v="9064538989"/>
  </r>
  <r>
    <s v="RCF Thal"/>
    <s v="N.C.Urea(45kg)"/>
    <s v="WB"/>
    <x v="1"/>
    <s v="Kakdwip"/>
    <s v="User Not Mapped"/>
    <s v="User Not Mapped"/>
    <s v="User Not Mapped"/>
    <n v="309266"/>
    <s v="M/S SUDARSAN PANDIT"/>
    <s v="Private Retailer"/>
    <s v="9433120430"/>
    <n v="0.85499999999999998"/>
    <n v="140"/>
    <x v="4"/>
    <m/>
    <s v="2025-12-01"/>
    <s v="224553"/>
    <s v="Kirtibas Kapat (A.S.C.)"/>
    <s v="9064538989"/>
  </r>
  <r>
    <s v="RCF Import"/>
    <s v="MOP"/>
    <s v="WB"/>
    <x v="1"/>
    <s v="Mathurapur - II"/>
    <s v="User Not Mapped"/>
    <s v="User Not Mapped"/>
    <s v="User Not Mapped"/>
    <n v="1145092"/>
    <s v="M/S SUKDEB BERA"/>
    <s v="Private Retailer"/>
    <s v="6294268029"/>
    <n v="1.5"/>
    <n v="34"/>
    <x v="3"/>
    <m/>
    <s v="2026-03-17"/>
    <s v="224553"/>
    <s v="Kirtibas Kapat (A.S.C.)"/>
    <s v="9064538989"/>
  </r>
  <r>
    <s v="RCF Trombay"/>
    <s v="15-15-15"/>
    <s v="WB"/>
    <x v="1"/>
    <s v="Mathurapur - II"/>
    <s v="User Not Mapped"/>
    <s v="User Not Mapped"/>
    <s v="User Not Mapped"/>
    <n v="1145092"/>
    <s v="M/S SUKDEB BERA"/>
    <s v="Private Retailer"/>
    <s v="6294268029"/>
    <n v="0.25"/>
    <n v="46"/>
    <x v="3"/>
    <m/>
    <s v="2026-03-05"/>
    <s v="224553"/>
    <s v="Kirtibas Kapat (A.S.C.)"/>
    <s v="9064538989"/>
  </r>
  <r>
    <s v="RCF Import"/>
    <s v="MOP"/>
    <s v="WB"/>
    <x v="1"/>
    <s v="Kakdwip"/>
    <s v="User Not Mapped"/>
    <s v="User Not Mapped"/>
    <s v="User Not Mapped"/>
    <n v="341041"/>
    <s v="M/S SUNDARBAN FERTILIZER"/>
    <s v="Private Retailer"/>
    <s v="8768181804"/>
    <n v="0.25"/>
    <n v="51"/>
    <x v="3"/>
    <m/>
    <s v="2026-02-28"/>
    <s v="224553"/>
    <s v="Kirtibas Kapat (A.S.C.)"/>
    <s v="9064538989"/>
  </r>
  <r>
    <s v="RCF Trombay"/>
    <s v="15-15-15"/>
    <s v="WB"/>
    <x v="1"/>
    <s v="Kakdwip"/>
    <s v="User Not Mapped"/>
    <s v="User Not Mapped"/>
    <s v="User Not Mapped"/>
    <n v="341041"/>
    <s v="M/S SUNDARBAN FERTILIZER"/>
    <s v="Private Retailer"/>
    <s v="8768181804"/>
    <n v="0.5"/>
    <n v="51"/>
    <x v="3"/>
    <m/>
    <s v="2026-02-28"/>
    <s v="224553"/>
    <s v="Kirtibas Kapat (A.S.C.)"/>
    <s v="9064538989"/>
  </r>
  <r>
    <s v="RCF Thal"/>
    <s v="N.C.Urea(45kg)"/>
    <s v="WB"/>
    <x v="1"/>
    <s v="Kakdwip"/>
    <s v="User Not Mapped"/>
    <s v="User Not Mapped"/>
    <s v="User Not Mapped"/>
    <n v="1518967"/>
    <s v="M/S SUNDARBAN KRISHI BHANDER"/>
    <s v="Private Retailer"/>
    <s v="9382723212"/>
    <n v="3.87"/>
    <n v="37"/>
    <x v="3"/>
    <m/>
    <s v="2026-03-14"/>
    <s v="224553"/>
    <s v="Kirtibas Kapat (A.S.C.)"/>
    <s v="9064538989"/>
  </r>
  <r>
    <s v="RCF Thal"/>
    <s v="N.C.Urea(45kg)"/>
    <s v="WB"/>
    <x v="1"/>
    <s v="Basanti"/>
    <s v="User Not Mapped"/>
    <s v="User Not Mapped"/>
    <s v="User Not Mapped"/>
    <n v="290779"/>
    <s v="M/S. Das Fertiliser Pro. Sanjoy Das"/>
    <s v="Private Retailer"/>
    <s v="9733640246"/>
    <n v="6.75"/>
    <n v="168"/>
    <x v="4"/>
    <m/>
    <s v="2025-11-03"/>
    <s v="224553"/>
    <s v="Kirtibas Kapat (A.S.C.)"/>
    <s v="9064538989"/>
  </r>
  <r>
    <s v="RCF Thal"/>
    <s v="N.C.Urea(45kg)"/>
    <s v="WB"/>
    <x v="1"/>
    <s v="Kultali"/>
    <s v="User Not Mapped"/>
    <s v="User Not Mapped"/>
    <s v="User Not Mapped"/>
    <n v="758700"/>
    <s v="M/S. MAA KALI TARA FERTILIZERS"/>
    <s v="Private Retailer"/>
    <s v="9735695994"/>
    <n v="1.77"/>
    <n v="427"/>
    <x v="0"/>
    <m/>
    <s v="2025-02-17"/>
    <s v="224553"/>
    <s v="Kirtibas Kapat (A.S.C.)"/>
    <s v="9064538989"/>
  </r>
  <r>
    <s v="RCF Trombay"/>
    <s v="N.C.Urea(45kg)"/>
    <s v="WB"/>
    <x v="1"/>
    <s v="Namkhana"/>
    <s v="User Not Mapped"/>
    <s v="User Not Mapped"/>
    <s v="User Not Mapped"/>
    <n v="460783"/>
    <s v="M/S. Satya Narayan Krishi Bhan"/>
    <s v="Private Retailer"/>
    <s v="9735018492"/>
    <n v="1.98"/>
    <n v="65"/>
    <x v="6"/>
    <m/>
    <s v="2026-02-14"/>
    <s v="224553"/>
    <s v="Kirtibas Kapat (A.S.C.)"/>
    <s v="9064538989"/>
  </r>
  <r>
    <s v="RCF Trombay"/>
    <s v="15-15-15"/>
    <s v="WB"/>
    <x v="1"/>
    <s v="Namkhana"/>
    <s v="User Not Mapped"/>
    <s v="User Not Mapped"/>
    <s v="User Not Mapped"/>
    <n v="460783"/>
    <s v="M/S. Satya Narayan Krishi Bhan"/>
    <s v="Private Retailer"/>
    <s v="9735018492"/>
    <n v="0.5"/>
    <n v="100"/>
    <x v="7"/>
    <m/>
    <s v="2026-01-10"/>
    <s v="224553"/>
    <s v="Kirtibas Kapat (A.S.C.)"/>
    <s v="9064538989"/>
  </r>
  <r>
    <s v="RCF Trombay"/>
    <s v="N.C.Urea(45kg)"/>
    <s v="WB"/>
    <x v="1"/>
    <s v="Kulpi"/>
    <s v="User Not Mapped"/>
    <s v="User Not Mapped"/>
    <s v="User Not Mapped"/>
    <n v="1307614"/>
    <s v="MA A KALI FERTILIZER AND PESTI"/>
    <s v="Private Retailer"/>
    <s v="7001737994"/>
    <n v="4.4999999999999998E-2"/>
    <n v="254"/>
    <x v="1"/>
    <m/>
    <s v="2025-08-09"/>
    <s v="224553"/>
    <s v="Kirtibas Kapat (A.S.C.)"/>
    <s v="9064538989"/>
  </r>
  <r>
    <s v="RCF Thal"/>
    <s v="N.C.Urea(45kg)"/>
    <s v="WB"/>
    <x v="1"/>
    <m/>
    <s v="User Not Mapped"/>
    <s v="User Not Mapped"/>
    <s v="User Not Mapped"/>
    <n v="541022"/>
    <s v="MA BASANTI FERTILISER "/>
    <s v="Private Retailer"/>
    <s v="8617833778"/>
    <n v="1.08"/>
    <n v="64"/>
    <x v="6"/>
    <m/>
    <s v="2026-02-15"/>
    <s v="224553"/>
    <s v="Kirtibas Kapat (A.S.C.)"/>
    <s v="9064538989"/>
  </r>
  <r>
    <s v="RCF Trombay"/>
    <s v="15-15-15"/>
    <s v="WB"/>
    <x v="1"/>
    <m/>
    <s v="User Not Mapped"/>
    <s v="User Not Mapped"/>
    <s v="User Not Mapped"/>
    <n v="541022"/>
    <s v="MA BASANTI FERTILISER "/>
    <s v="Private Retailer"/>
    <s v="8617833778"/>
    <n v="1.47"/>
    <n v="64"/>
    <x v="6"/>
    <m/>
    <s v="2026-02-15"/>
    <s v="224553"/>
    <s v="Kirtibas Kapat (A.S.C.)"/>
    <s v="9064538989"/>
  </r>
  <r>
    <s v="RCF Trombay"/>
    <s v="N.C.Urea(45kg)"/>
    <s v="WB"/>
    <x v="1"/>
    <s v="Kakdwip"/>
    <s v="User Not Mapped"/>
    <s v="User Not Mapped"/>
    <s v="User Not Mapped"/>
    <n v="953420"/>
    <s v="MA BASANTI KRISHI BHANDER"/>
    <s v="Private Retailer"/>
    <s v="9647574508"/>
    <n v="2.0249999999999999"/>
    <n v="76"/>
    <x v="6"/>
    <m/>
    <s v="2026-02-03"/>
    <s v="224553"/>
    <s v="Kirtibas Kapat (A.S.C.)"/>
    <s v="9064538989"/>
  </r>
  <r>
    <s v="RCF Trombay"/>
    <s v="15-15-15"/>
    <s v="WB"/>
    <x v="1"/>
    <m/>
    <s v="User Not Mapped"/>
    <s v="User Not Mapped"/>
    <s v="User Not Mapped"/>
    <n v="624049"/>
    <s v="MA JAMUNA KRISHI BHANDAR"/>
    <s v="Private Retailer"/>
    <s v="9733703130"/>
    <n v="5.5E-2"/>
    <n v="2053"/>
    <x v="2"/>
    <m/>
    <s v="2020-09-05"/>
    <s v="224553"/>
    <s v="Kirtibas Kapat (A.S.C.)"/>
    <s v="9064538989"/>
  </r>
  <r>
    <s v="RCF Trombay"/>
    <s v="15-15-15"/>
    <s v="WB"/>
    <x v="1"/>
    <m/>
    <s v="User Not Mapped"/>
    <s v="User Not Mapped"/>
    <s v="User Not Mapped"/>
    <n v="624049"/>
    <s v="MA JAMUNA KRISHI BHANDAR"/>
    <s v="Private Retailer"/>
    <s v="9733703130"/>
    <n v="0.5"/>
    <n v="1863"/>
    <x v="2"/>
    <m/>
    <s v="2021-03-14"/>
    <s v="224553"/>
    <s v="Kirtibas Kapat (A.S.C.)"/>
    <s v="9064538989"/>
  </r>
  <r>
    <s v="RCF Trombay"/>
    <s v="15-15-15"/>
    <s v="WB"/>
    <x v="1"/>
    <m/>
    <s v="User Not Mapped"/>
    <s v="User Not Mapped"/>
    <s v="User Not Mapped"/>
    <n v="624049"/>
    <s v="MA JAMUNA KRISHI BHANDAR"/>
    <s v="Private Retailer"/>
    <s v="9733703130"/>
    <n v="0.5"/>
    <n v="1878"/>
    <x v="2"/>
    <m/>
    <s v="2021-02-27"/>
    <s v="224553"/>
    <s v="Kirtibas Kapat (A.S.C.)"/>
    <s v="9064538989"/>
  </r>
  <r>
    <s v="RCF Trombay"/>
    <s v="15-15-15"/>
    <s v="WB"/>
    <x v="1"/>
    <s v="Sagar"/>
    <s v="User Not Mapped"/>
    <s v="User Not Mapped"/>
    <s v="User Not Mapped"/>
    <n v="1478553"/>
    <s v="MA PANCHAMI FERTILIZER"/>
    <s v="Private Retailer"/>
    <s v="8945023387"/>
    <n v="1"/>
    <n v="47"/>
    <x v="3"/>
    <m/>
    <s v="2026-03-04"/>
    <s v="224553"/>
    <s v="Kirtibas Kapat (A.S.C.)"/>
    <s v="9064538989"/>
  </r>
  <r>
    <s v="RCF Trombay"/>
    <s v="15-15-15"/>
    <s v="WB"/>
    <x v="1"/>
    <s v="Sagar"/>
    <s v="User Not Mapped"/>
    <s v="User Not Mapped"/>
    <s v="User Not Mapped"/>
    <n v="1478553"/>
    <s v="MA PANCHAMI FERTILIZER"/>
    <s v="Private Retailer"/>
    <s v="8945023387"/>
    <n v="0.55000000000000004"/>
    <n v="59"/>
    <x v="3"/>
    <m/>
    <s v="2026-02-20"/>
    <s v="224553"/>
    <s v="Kirtibas Kapat (A.S.C.)"/>
    <s v="9064538989"/>
  </r>
  <r>
    <s v="RCF Import"/>
    <s v="MOP"/>
    <s v="WB"/>
    <x v="1"/>
    <s v="Patharpratima"/>
    <s v="User Not Mapped"/>
    <s v="User Not Mapped"/>
    <s v="User Not Mapped"/>
    <n v="904456"/>
    <s v="MA SOUDAMINI KRISHI BHANDER"/>
    <s v="Private Retailer"/>
    <s v="9732957240"/>
    <n v="0.25"/>
    <n v="26"/>
    <x v="5"/>
    <m/>
    <s v="2026-03-25"/>
    <s v="224553"/>
    <s v="Kirtibas Kapat (A.S.C.)"/>
    <s v="9064538989"/>
  </r>
  <r>
    <s v="RCF Trombay"/>
    <s v="15-15-15"/>
    <s v="WB"/>
    <x v="1"/>
    <s v="Sagar"/>
    <s v="User Not Mapped"/>
    <s v="User Not Mapped"/>
    <s v="User Not Mapped"/>
    <n v="1480291"/>
    <s v="MAA ANJALI KRISHI BHANDER"/>
    <s v="Private Retailer"/>
    <s v="9126971036"/>
    <n v="0.5"/>
    <n v="32"/>
    <x v="3"/>
    <m/>
    <s v="2026-03-19"/>
    <s v="224553"/>
    <s v="Kirtibas Kapat (A.S.C.)"/>
    <s v="9064538989"/>
  </r>
  <r>
    <s v="RCF Import"/>
    <s v="Imp 10-26-26"/>
    <s v="WB"/>
    <x v="1"/>
    <s v="Mathurapur - II"/>
    <s v="User Not Mapped"/>
    <s v="User Not Mapped"/>
    <s v="User Not Mapped"/>
    <n v="341744"/>
    <s v="Maa Kali Fertilisers"/>
    <s v="Private Retailer"/>
    <s v="9734642038"/>
    <n v="1.9"/>
    <n v="55"/>
    <x v="3"/>
    <m/>
    <s v="2026-02-24"/>
    <s v="224553"/>
    <s v="Kirtibas Kapat (A.S.C.)"/>
    <s v="9064538989"/>
  </r>
  <r>
    <s v="RCF Trombay"/>
    <s v="15-15-15"/>
    <s v="WB"/>
    <x v="1"/>
    <s v="Sagar"/>
    <s v="User Not Mapped"/>
    <s v="User Not Mapped"/>
    <s v="User Not Mapped"/>
    <n v="341754"/>
    <s v="Maa Parul Bala Fertilisers"/>
    <s v="Private Retailer"/>
    <s v="7029452634"/>
    <n v="0.7"/>
    <n v="102"/>
    <x v="7"/>
    <m/>
    <s v="2026-01-08"/>
    <s v="224553"/>
    <s v="Kirtibas Kapat (A.S.C.)"/>
    <s v="9064538989"/>
  </r>
  <r>
    <s v="RCF Trombay"/>
    <s v="15-15-15"/>
    <s v="WB"/>
    <x v="1"/>
    <m/>
    <s v="User Not Mapped"/>
    <s v="User Not Mapped"/>
    <s v="User Not Mapped"/>
    <n v="463315"/>
    <s v="Maatri Fertilisers"/>
    <s v="Private Retailer"/>
    <s v="7478731390"/>
    <n v="2.1000000000000001E-2"/>
    <n v="2418"/>
    <x v="2"/>
    <m/>
    <s v="2019-09-06"/>
    <s v="224553"/>
    <s v="Kirtibas Kapat (A.S.C.)"/>
    <s v="9064538989"/>
  </r>
  <r>
    <s v="RCF Thal"/>
    <s v="N.C.Urea(45kg)"/>
    <s v="WB"/>
    <x v="1"/>
    <s v="Sagar"/>
    <s v="User Not Mapped"/>
    <s v="User Not Mapped"/>
    <s v="User Not Mapped"/>
    <n v="461856"/>
    <s v="Madurga Krishi Bhander"/>
    <s v="Private Retailer"/>
    <s v="9732895966"/>
    <n v="0.21"/>
    <n v="237"/>
    <x v="1"/>
    <m/>
    <s v="2025-08-26"/>
    <s v="224553"/>
    <s v="Kirtibas Kapat (A.S.C.)"/>
    <s v="9064538989"/>
  </r>
  <r>
    <s v="RCF Trombay"/>
    <s v="15-15-15"/>
    <s v="WB"/>
    <x v="1"/>
    <s v="Namkhana"/>
    <s v="User Not Mapped"/>
    <s v="User Not Mapped"/>
    <s v="User Not Mapped"/>
    <n v="341801"/>
    <s v="Maity Sar Bhander Prop-Pratima Maity"/>
    <s v="Private Retailer"/>
    <s v="9126423687"/>
    <n v="1.6"/>
    <n v="65"/>
    <x v="6"/>
    <m/>
    <s v="2026-02-14"/>
    <s v="224553"/>
    <s v="Kirtibas Kapat (A.S.C.)"/>
    <s v="9064538989"/>
  </r>
  <r>
    <s v="RCF Thal"/>
    <s v="N.C.Urea(45kg)"/>
    <s v="WB"/>
    <x v="1"/>
    <s v="Namkhana"/>
    <s v="User Not Mapped"/>
    <s v="User Not Mapped"/>
    <s v="User Not Mapped"/>
    <n v="341801"/>
    <s v="Maity Sar Bhander Prop-Pratima Maity"/>
    <s v="Private Retailer"/>
    <s v="9126423687"/>
    <n v="3.915"/>
    <n v="126"/>
    <x v="4"/>
    <m/>
    <s v="2025-12-15"/>
    <s v="224553"/>
    <s v="Kirtibas Kapat (A.S.C.)"/>
    <s v="9064538989"/>
  </r>
  <r>
    <s v="RCF Thal"/>
    <s v="N.C.Urea(45kg)"/>
    <s v="WB"/>
    <x v="1"/>
    <s v="Namkhana"/>
    <s v="User Not Mapped"/>
    <s v="User Not Mapped"/>
    <s v="User Not Mapped"/>
    <n v="341801"/>
    <s v="Maity Sar Bhander Prop-Pratima Maity"/>
    <s v="Private Retailer"/>
    <s v="9126423687"/>
    <n v="4.1399999999999997"/>
    <n v="65"/>
    <x v="6"/>
    <m/>
    <s v="2026-02-14"/>
    <s v="224553"/>
    <s v="Kirtibas Kapat (A.S.C.)"/>
    <s v="9064538989"/>
  </r>
  <r>
    <s v="RCF Trombay"/>
    <s v="15-15-15"/>
    <s v="WB"/>
    <x v="1"/>
    <s v="Kakdwip"/>
    <s v="User Not Mapped"/>
    <s v="User Not Mapped"/>
    <s v="User Not Mapped"/>
    <n v="461694"/>
    <s v="Makali Krishi Bhander"/>
    <s v="Private Retailer"/>
    <s v="8967374822"/>
    <n v="0.2"/>
    <n v="131"/>
    <x v="4"/>
    <m/>
    <s v="2025-12-10"/>
    <s v="224553"/>
    <s v="Kirtibas Kapat (A.S.C.)"/>
    <s v="9064538989"/>
  </r>
  <r>
    <s v="RCF Trombay"/>
    <s v="15-15-15"/>
    <s v="WB"/>
    <x v="1"/>
    <s v="Sagar"/>
    <s v="User Not Mapped"/>
    <s v="User Not Mapped"/>
    <s v="User Not Mapped"/>
    <n v="458923"/>
    <s v="Manas Parua"/>
    <s v="Private Retailer"/>
    <s v="9002055890"/>
    <n v="0.8"/>
    <n v="23"/>
    <x v="5"/>
    <m/>
    <s v="2026-03-28"/>
    <s v="224553"/>
    <s v="Kirtibas Kapat (A.S.C.)"/>
    <s v="9064538989"/>
  </r>
  <r>
    <s v="RCF Trombay"/>
    <s v="15-15-15"/>
    <s v="WB"/>
    <x v="1"/>
    <m/>
    <s v="User Not Mapped"/>
    <s v="User Not Mapped"/>
    <s v="User Not Mapped"/>
    <n v="624343"/>
    <s v="MANIKJAN FERTILIZER"/>
    <s v="Private Retailer"/>
    <s v="9091361181"/>
    <n v="4.4999999999999998E-2"/>
    <n v="1924"/>
    <x v="2"/>
    <m/>
    <s v="2021-01-12"/>
    <s v="224553"/>
    <s v="Kirtibas Kapat (A.S.C.)"/>
    <s v="9064538989"/>
  </r>
  <r>
    <s v="RCF Thal"/>
    <s v="N.C.Urea(45kg)"/>
    <s v="WB"/>
    <x v="1"/>
    <s v="Namkhana"/>
    <s v="User Not Mapped"/>
    <s v="User Not Mapped"/>
    <s v="User Not Mapped"/>
    <n v="460851"/>
    <s v="Manka Krishi Bhander"/>
    <s v="Private Retailer"/>
    <s v="9732781508"/>
    <n v="0.27"/>
    <n v="583"/>
    <x v="2"/>
    <m/>
    <s v="2024-09-14"/>
    <s v="224553"/>
    <s v="Kirtibas Kapat (A.S.C.)"/>
    <s v="9064538989"/>
  </r>
  <r>
    <s v="RCF Trombay"/>
    <s v="N.C.Urea(45kg)"/>
    <s v="WB"/>
    <x v="1"/>
    <s v="Namkhana"/>
    <s v="User Not Mapped"/>
    <s v="User Not Mapped"/>
    <s v="User Not Mapped"/>
    <n v="460851"/>
    <s v="Manka Krishi Bhander"/>
    <s v="Private Retailer"/>
    <s v="9732781508"/>
    <n v="0.27200000000000002"/>
    <n v="214"/>
    <x v="1"/>
    <m/>
    <s v="2025-09-18"/>
    <s v="224553"/>
    <s v="Kirtibas Kapat (A.S.C.)"/>
    <s v="9064538989"/>
  </r>
  <r>
    <s v="RCF Trombay"/>
    <s v="15-15-15"/>
    <s v="WB"/>
    <x v="1"/>
    <s v="Namkhana"/>
    <s v="User Not Mapped"/>
    <s v="User Not Mapped"/>
    <s v="User Not Mapped"/>
    <n v="613662"/>
    <s v="MANNA KRISHI BHANDER"/>
    <s v="Private Retailer"/>
    <s v="8001392710"/>
    <n v="1.2"/>
    <n v="65"/>
    <x v="6"/>
    <m/>
    <s v="2026-02-14"/>
    <s v="224553"/>
    <s v="Kirtibas Kapat (A.S.C.)"/>
    <s v="9064538989"/>
  </r>
  <r>
    <s v="RCF Thal"/>
    <s v="N.C.Urea(45kg)"/>
    <s v="WB"/>
    <x v="1"/>
    <s v="Namkhana"/>
    <s v="User Not Mapped"/>
    <s v="User Not Mapped"/>
    <s v="User Not Mapped"/>
    <n v="613662"/>
    <s v="MANNA KRISHI BHANDER"/>
    <s v="Private Retailer"/>
    <s v="8001392710"/>
    <n v="0.76500000000000001"/>
    <n v="65"/>
    <x v="6"/>
    <m/>
    <s v="2026-02-14"/>
    <s v="224553"/>
    <s v="Kirtibas Kapat (A.S.C.)"/>
    <s v="9064538989"/>
  </r>
  <r>
    <s v="RCF Thal"/>
    <s v="N.C.Urea(45kg)"/>
    <s v="WB"/>
    <x v="1"/>
    <s v="Magrahat - II"/>
    <s v="User Not Mapped"/>
    <s v="User Not Mapped"/>
    <s v="User Not Mapped"/>
    <n v="595026"/>
    <s v="MANSURA MOLLA"/>
    <s v="Private Retailer"/>
    <s v="9609574250"/>
    <n v="1.26"/>
    <n v="168"/>
    <x v="4"/>
    <m/>
    <s v="2025-11-03"/>
    <s v="224553"/>
    <s v="Kirtibas Kapat (A.S.C.)"/>
    <s v="9064538989"/>
  </r>
  <r>
    <s v="RCF Trombay"/>
    <s v="15-15-15"/>
    <s v="WB"/>
    <x v="1"/>
    <s v="Sagar"/>
    <s v="User Not Mapped"/>
    <s v="User Not Mapped"/>
    <s v="User Not Mapped"/>
    <n v="462701"/>
    <s v="Masaroda Krishi Bhander"/>
    <s v="Private Retailer"/>
    <s v="8972186076"/>
    <n v="0.2"/>
    <n v="102"/>
    <x v="7"/>
    <m/>
    <s v="2026-01-08"/>
    <s v="224553"/>
    <s v="Kirtibas Kapat (A.S.C.)"/>
    <s v="9064538989"/>
  </r>
  <r>
    <s v="RCF Import"/>
    <s v="MOP"/>
    <s v="WB"/>
    <x v="1"/>
    <s v="Mathurapur - II"/>
    <s v="User Not Mapped"/>
    <s v="User Not Mapped"/>
    <s v="User Not Mapped"/>
    <n v="357127"/>
    <s v="Mohabatnagar Skus Ltd"/>
    <s v="PACS"/>
    <s v="7063160847"/>
    <n v="0.5"/>
    <n v="34"/>
    <x v="3"/>
    <m/>
    <s v="2026-03-17"/>
    <s v="224553"/>
    <s v="Kirtibas Kapat (A.S.C.)"/>
    <s v="9064538989"/>
  </r>
  <r>
    <s v="RCF Trombay"/>
    <s v="15-15-15"/>
    <s v="WB"/>
    <x v="1"/>
    <s v="Namkhana"/>
    <s v="User Not Mapped"/>
    <s v="User Not Mapped"/>
    <s v="User Not Mapped"/>
    <n v="460833"/>
    <s v="Mondal Sar Bhander"/>
    <s v="Private Retailer"/>
    <s v="9002344703"/>
    <n v="0.5"/>
    <n v="126"/>
    <x v="4"/>
    <m/>
    <s v="2025-12-15"/>
    <s v="224553"/>
    <s v="Kirtibas Kapat (A.S.C.)"/>
    <s v="9064538989"/>
  </r>
  <r>
    <s v="RCF Trombay"/>
    <s v="N.C.Urea(45kg)"/>
    <s v="WB"/>
    <x v="1"/>
    <s v="Namkhana"/>
    <s v="User Not Mapped"/>
    <s v="User Not Mapped"/>
    <s v="User Not Mapped"/>
    <n v="460833"/>
    <s v="Mondal Sar Bhander"/>
    <s v="Private Retailer"/>
    <s v="9002344703"/>
    <n v="1.8"/>
    <n v="44"/>
    <x v="3"/>
    <m/>
    <s v="2026-03-07"/>
    <s v="224553"/>
    <s v="Kirtibas Kapat (A.S.C.)"/>
    <s v="9064538989"/>
  </r>
  <r>
    <s v="RCF Import"/>
    <s v="MOP"/>
    <s v="WB"/>
    <x v="1"/>
    <s v="Patharpratima"/>
    <s v="User Not Mapped"/>
    <s v="User Not Mapped"/>
    <s v="User Not Mapped"/>
    <n v="953552"/>
    <s v="NEW SWAPAN KUMAR MAITY FERTILI"/>
    <s v="Private Retailer"/>
    <s v="7478461146"/>
    <n v="1"/>
    <n v="11"/>
    <x v="5"/>
    <m/>
    <s v="2026-04-09"/>
    <s v="224553"/>
    <s v="Kirtibas Kapat (A.S.C.)"/>
    <s v="9064538989"/>
  </r>
  <r>
    <s v="RCF Trombay"/>
    <s v="15-15-15"/>
    <s v="WB"/>
    <x v="1"/>
    <s v="Sagar"/>
    <s v="User Not Mapped"/>
    <s v="User Not Mapped"/>
    <s v="User Not Mapped"/>
    <n v="539821"/>
    <s v="Prafulla Krishi Bhandar"/>
    <s v="Private Retailer"/>
    <s v="9732758728"/>
    <n v="0.5"/>
    <n v="22"/>
    <x v="5"/>
    <m/>
    <s v="2026-03-29"/>
    <s v="224553"/>
    <s v="Kirtibas Kapat (A.S.C.)"/>
    <s v="9064538989"/>
  </r>
  <r>
    <s v="RCF Trombay"/>
    <s v="15-15-15"/>
    <s v="WB"/>
    <x v="1"/>
    <s v="Kakdwip"/>
    <s v="User Not Mapped"/>
    <s v="User Not Mapped"/>
    <s v="User Not Mapped"/>
    <n v="461654"/>
    <s v="Pramila Krishi Bhander"/>
    <s v="Private Retailer"/>
    <s v="9735405790"/>
    <n v="0.1"/>
    <n v="132"/>
    <x v="4"/>
    <m/>
    <s v="2025-12-09"/>
    <s v="224553"/>
    <s v="Kirtibas Kapat (A.S.C.)"/>
    <s v="9064538989"/>
  </r>
  <r>
    <s v="RCF Trombay"/>
    <s v="15-15-15"/>
    <s v="WB"/>
    <x v="1"/>
    <s v="Kakdwip"/>
    <s v="User Not Mapped"/>
    <s v="User Not Mapped"/>
    <s v="User Not Mapped"/>
    <n v="461654"/>
    <s v="Pramila Krishi Bhander"/>
    <s v="Private Retailer"/>
    <s v="9735405790"/>
    <n v="0.02"/>
    <n v="214"/>
    <x v="1"/>
    <m/>
    <s v="2025-09-18"/>
    <s v="224553"/>
    <s v="Kirtibas Kapat (A.S.C.)"/>
    <s v="9064538989"/>
  </r>
  <r>
    <s v="RCF Trombay"/>
    <s v="15-15-15"/>
    <s v="WB"/>
    <x v="1"/>
    <m/>
    <s v="User Not Mapped"/>
    <s v="User Not Mapped"/>
    <s v="User Not Mapped"/>
    <n v="483186"/>
    <s v="Radha Madhab Krishi Bhander"/>
    <s v="Private Retailer"/>
    <s v="9564489976"/>
    <n v="0.5"/>
    <n v="1992"/>
    <x v="2"/>
    <m/>
    <s v="2020-11-05"/>
    <s v="224553"/>
    <s v="Kirtibas Kapat (A.S.C.)"/>
    <s v="9064538989"/>
  </r>
  <r>
    <s v="RCF Trombay"/>
    <s v="15-15-15"/>
    <s v="WB"/>
    <x v="1"/>
    <s v="Diamond Harbour - I"/>
    <s v="User Not Mapped"/>
    <s v="User Not Mapped"/>
    <s v="User Not Mapped"/>
    <n v="737850"/>
    <s v="RADHARANI FERTILISER"/>
    <s v="Private Retailer"/>
    <s v="8001390411"/>
    <n v="0.03"/>
    <n v="162"/>
    <x v="4"/>
    <m/>
    <s v="2025-11-09"/>
    <s v="224553"/>
    <s v="Kirtibas Kapat (A.S.C.)"/>
    <s v="9064538989"/>
  </r>
  <r>
    <s v="RCF Thal"/>
    <s v="N.C.Urea(45kg)"/>
    <s v="WB"/>
    <x v="1"/>
    <s v="Baruipur"/>
    <s v="User Not Mapped"/>
    <s v="User Not Mapped"/>
    <s v="User Not Mapped"/>
    <n v="466411"/>
    <s v="Rumpa Fertiliser"/>
    <s v="Private Retailer"/>
    <s v="7044265648"/>
    <n v="0.18"/>
    <n v="355"/>
    <x v="1"/>
    <m/>
    <s v="2025-04-30"/>
    <s v="224553"/>
    <s v="Kirtibas Kapat (A.S.C.)"/>
    <s v="9064538989"/>
  </r>
  <r>
    <s v="RCF Import"/>
    <s v="MOP"/>
    <s v="WB"/>
    <x v="1"/>
    <s v="Baruipur"/>
    <s v="User Not Mapped"/>
    <s v="User Not Mapped"/>
    <s v="User Not Mapped"/>
    <n v="466411"/>
    <s v="Rumpa Fertiliser"/>
    <s v="Private Retailer"/>
    <s v="7044265648"/>
    <n v="0.25"/>
    <n v="355"/>
    <x v="1"/>
    <m/>
    <s v="2025-04-30"/>
    <s v="224553"/>
    <s v="Kirtibas Kapat (A.S.C.)"/>
    <s v="9064538989"/>
  </r>
  <r>
    <s v="RCF Trombay"/>
    <s v="N.C.Urea(45kg)"/>
    <s v="WB"/>
    <x v="1"/>
    <s v="Jaynagar - II"/>
    <s v="User Not Mapped"/>
    <s v="User Not Mapped"/>
    <s v="User Not Mapped"/>
    <n v="634891"/>
    <s v="SANATAN KRISHI BHANDER"/>
    <s v="Private Retailer"/>
    <s v="9609113083"/>
    <n v="6.6150000000000002"/>
    <n v="188"/>
    <x v="1"/>
    <m/>
    <s v="2025-10-14"/>
    <s v="224553"/>
    <s v="Kirtibas Kapat (A.S.C.)"/>
    <s v="9064538989"/>
  </r>
  <r>
    <s v="RCF Trombay"/>
    <s v="15-15-15"/>
    <s v="WB"/>
    <x v="1"/>
    <s v="Sagar"/>
    <s v="User Not Mapped"/>
    <s v="User Not Mapped"/>
    <s v="User Not Mapped"/>
    <n v="599272"/>
    <s v="SANJIB PRAMANIK"/>
    <s v="Private Retailer"/>
    <s v="9734415642"/>
    <n v="0.5"/>
    <n v="46"/>
    <x v="3"/>
    <m/>
    <s v="2026-03-05"/>
    <s v="224553"/>
    <s v="Kirtibas Kapat (A.S.C.)"/>
    <s v="9064538989"/>
  </r>
  <r>
    <s v="RCF Thal"/>
    <s v="N.C.Urea(45kg)"/>
    <s v="WB"/>
    <x v="1"/>
    <s v="Mathurapur - II"/>
    <s v="User Not Mapped"/>
    <s v="User Not Mapped"/>
    <s v="User Not Mapped"/>
    <n v="459620"/>
    <s v="Santa Fertiliser"/>
    <s v="Private Retailer"/>
    <s v="8637088648"/>
    <n v="2.5000000000000001E-2"/>
    <n v="1125"/>
    <x v="2"/>
    <m/>
    <s v="2023-03-22"/>
    <s v="224553"/>
    <s v="Kirtibas Kapat (A.S.C.)"/>
    <s v="9064538989"/>
  </r>
  <r>
    <s v="RCF Trombay"/>
    <s v="N.C.Urea(45kg)"/>
    <s v="WB"/>
    <x v="1"/>
    <s v="Mathurapur - II"/>
    <s v="User Not Mapped"/>
    <s v="User Not Mapped"/>
    <s v="User Not Mapped"/>
    <n v="459620"/>
    <s v="Santa Fertiliser"/>
    <s v="Private Retailer"/>
    <s v="8637088648"/>
    <n v="2.5000000000000001E-2"/>
    <n v="1125"/>
    <x v="2"/>
    <m/>
    <s v="2023-03-22"/>
    <s v="224553"/>
    <s v="Kirtibas Kapat (A.S.C.)"/>
    <s v="9064538989"/>
  </r>
  <r>
    <s v="RCF Trombay"/>
    <s v="15-15-15"/>
    <s v="WB"/>
    <x v="1"/>
    <m/>
    <s v="User Not Mapped"/>
    <s v="User Not Mapped"/>
    <s v="User Not Mapped"/>
    <n v="892209"/>
    <s v="SARIFUL KRISHI BHANDER"/>
    <s v="Private Retailer"/>
    <s v="9735088514"/>
    <n v="0.3"/>
    <n v="2602"/>
    <x v="2"/>
    <m/>
    <s v="2019-03-06"/>
    <s v="224553"/>
    <s v="Kirtibas Kapat (A.S.C.)"/>
    <s v="9064538989"/>
  </r>
  <r>
    <s v="RCF Import"/>
    <s v="Imp 10-26-26"/>
    <s v="WB"/>
    <x v="1"/>
    <s v="Patharpratima"/>
    <s v="User Not Mapped"/>
    <s v="User Not Mapped"/>
    <s v="User Not Mapped"/>
    <n v="331918"/>
    <s v="Sena Fertiliser"/>
    <s v="Private Retailer"/>
    <s v="9734308086"/>
    <n v="0.68"/>
    <n v="36"/>
    <x v="3"/>
    <m/>
    <s v="2026-03-15"/>
    <s v="224553"/>
    <s v="Kirtibas Kapat (A.S.C.)"/>
    <s v="9064538989"/>
  </r>
  <r>
    <s v="RCF Import"/>
    <s v="Imp 10-26-26"/>
    <s v="WB"/>
    <x v="1"/>
    <s v="Mandirbazar"/>
    <s v="User Not Mapped"/>
    <s v="User Not Mapped"/>
    <s v="User Not Mapped"/>
    <n v="824297"/>
    <s v="SHILA FERTILISER"/>
    <s v="Private Retailer"/>
    <s v="7584930947"/>
    <n v="2.5"/>
    <n v="56"/>
    <x v="3"/>
    <m/>
    <s v="2026-02-23"/>
    <s v="224553"/>
    <s v="Kirtibas Kapat (A.S.C.)"/>
    <s v="9064538989"/>
  </r>
  <r>
    <s v="RCF Import"/>
    <s v="MOP"/>
    <s v="WB"/>
    <x v="1"/>
    <s v="Mathurapur - II"/>
    <s v="User Not Mapped"/>
    <s v="User Not Mapped"/>
    <s v="User Not Mapped"/>
    <n v="1266841"/>
    <s v="SHYAMAL SAMANTA"/>
    <s v="Private Retailer"/>
    <s v="9733965663"/>
    <n v="5"/>
    <n v="20"/>
    <x v="5"/>
    <m/>
    <s v="2026-03-31"/>
    <s v="224553"/>
    <s v="Kirtibas Kapat (A.S.C.)"/>
    <s v="9064538989"/>
  </r>
  <r>
    <s v="RCF Import"/>
    <s v="MOP"/>
    <s v="WB"/>
    <x v="1"/>
    <s v="Mathurapur - II"/>
    <s v="User Not Mapped"/>
    <s v="User Not Mapped"/>
    <s v="User Not Mapped"/>
    <n v="1266841"/>
    <s v="SHYAMAL SAMANTA"/>
    <s v="Private Retailer"/>
    <s v="9733965663"/>
    <n v="1.25"/>
    <n v="28"/>
    <x v="5"/>
    <m/>
    <s v="2026-03-23"/>
    <s v="224553"/>
    <s v="Kirtibas Kapat (A.S.C.)"/>
    <s v="9064538989"/>
  </r>
  <r>
    <s v="RCF Trombay"/>
    <s v="15-15-15"/>
    <s v="WB"/>
    <x v="1"/>
    <s v="Sagar"/>
    <s v="User Not Mapped"/>
    <s v="User Not Mapped"/>
    <s v="User Not Mapped"/>
    <n v="462745"/>
    <s v="Snehalata Krishi Bhander"/>
    <s v="Private Retailer"/>
    <s v="9933923696"/>
    <n v="0.5"/>
    <n v="124"/>
    <x v="4"/>
    <m/>
    <s v="2025-12-17"/>
    <s v="224553"/>
    <s v="Kirtibas Kapat (A.S.C.)"/>
    <s v="9064538989"/>
  </r>
  <r>
    <s v="RCF Import"/>
    <s v="Imp 10-26-26"/>
    <s v="WB"/>
    <x v="1"/>
    <s v="Mandirbazar"/>
    <s v="User Not Mapped"/>
    <s v="User Not Mapped"/>
    <s v="User Not Mapped"/>
    <n v="356421"/>
    <s v="Soma Fertiliser"/>
    <s v="Private Retailer"/>
    <s v="9732733237"/>
    <n v="1.9"/>
    <n v="53"/>
    <x v="3"/>
    <m/>
    <s v="2026-02-26"/>
    <s v="224553"/>
    <s v="Kirtibas Kapat (A.S.C.)"/>
    <s v="9064538989"/>
  </r>
  <r>
    <s v="RCF Thal"/>
    <s v="N.C.Urea(45kg)"/>
    <s v="WB"/>
    <x v="1"/>
    <s v="Kulpi"/>
    <s v="User Not Mapped"/>
    <s v="User Not Mapped"/>
    <s v="User Not Mapped"/>
    <n v="482944"/>
    <s v="Sri Bishnu Krishi Bhander"/>
    <s v="Private Retailer"/>
    <s v="8250979923"/>
    <n v="1.575"/>
    <n v="65"/>
    <x v="6"/>
    <m/>
    <s v="2026-02-14"/>
    <s v="224553"/>
    <s v="Kirtibas Kapat (A.S.C.)"/>
    <s v="9064538989"/>
  </r>
  <r>
    <s v="RCF Trombay"/>
    <s v="15-15-15"/>
    <s v="WB"/>
    <x v="1"/>
    <s v="Jaynagar - II"/>
    <s v="User Not Mapped"/>
    <s v="User Not Mapped"/>
    <s v="User Not Mapped"/>
    <n v="356413"/>
    <s v="Sri Durga Fertiliser"/>
    <s v="Private Retailer"/>
    <s v="9735366387"/>
    <n v="0.15"/>
    <n v="102"/>
    <x v="7"/>
    <m/>
    <s v="2026-01-08"/>
    <s v="224553"/>
    <s v="Kirtibas Kapat (A.S.C.)"/>
    <s v="9064538989"/>
  </r>
  <r>
    <s v="RCF Trombay"/>
    <s v="15-15-15"/>
    <s v="WB"/>
    <x v="1"/>
    <s v="Kakdwip"/>
    <s v="User Not Mapped"/>
    <s v="User Not Mapped"/>
    <s v="User Not Mapped"/>
    <n v="624133"/>
    <s v="SRI KRISHNA KRISHI BHANDER"/>
    <s v="Private Retailer"/>
    <s v="8116782444"/>
    <n v="0.25"/>
    <n v="46"/>
    <x v="3"/>
    <m/>
    <s v="2026-03-05"/>
    <s v="224553"/>
    <s v="Kirtibas Kapat (A.S.C.)"/>
    <s v="9064538989"/>
  </r>
  <r>
    <s v="RCF Trombay"/>
    <s v="15-15-15"/>
    <s v="WB"/>
    <x v="1"/>
    <s v="Kakdwip"/>
    <s v="User Not Mapped"/>
    <s v="User Not Mapped"/>
    <s v="User Not Mapped"/>
    <n v="624133"/>
    <s v="SRI KRISHNA KRISHI BHANDER"/>
    <s v="Private Retailer"/>
    <s v="8116782444"/>
    <n v="0.25"/>
    <n v="22"/>
    <x v="5"/>
    <m/>
    <s v="2026-03-29"/>
    <s v="224553"/>
    <s v="Kirtibas Kapat (A.S.C.)"/>
    <s v="9064538989"/>
  </r>
  <r>
    <s v="RCF Trombay"/>
    <s v="15-15-15"/>
    <s v="WB"/>
    <x v="1"/>
    <s v="Kakdwip"/>
    <s v="User Not Mapped"/>
    <s v="User Not Mapped"/>
    <s v="User Not Mapped"/>
    <n v="624133"/>
    <s v="SRI KRISHNA KRISHI BHANDER"/>
    <s v="Private Retailer"/>
    <s v="8116782444"/>
    <n v="1"/>
    <n v="102"/>
    <x v="7"/>
    <m/>
    <s v="2026-01-08"/>
    <s v="224553"/>
    <s v="Kirtibas Kapat (A.S.C.)"/>
    <s v="9064538989"/>
  </r>
  <r>
    <s v="RCF Thal"/>
    <s v="N.C.Urea(45kg)"/>
    <s v="WB"/>
    <x v="1"/>
    <s v="Kakdwip"/>
    <s v="User Not Mapped"/>
    <s v="User Not Mapped"/>
    <s v="User Not Mapped"/>
    <n v="624133"/>
    <s v="SRI KRISHNA KRISHI BHANDER"/>
    <s v="Private Retailer"/>
    <s v="8116782444"/>
    <n v="0.09"/>
    <n v="206"/>
    <x v="1"/>
    <m/>
    <s v="2025-09-26"/>
    <s v="224553"/>
    <s v="Kirtibas Kapat (A.S.C.)"/>
    <s v="9064538989"/>
  </r>
  <r>
    <s v="RCF Trombay"/>
    <s v="15-15-15"/>
    <s v="WB"/>
    <x v="1"/>
    <s v="Sagar"/>
    <s v="User Not Mapped"/>
    <s v="User Not Mapped"/>
    <s v="User Not Mapped"/>
    <n v="356424"/>
    <s v="Subal Chandra Bhanja"/>
    <s v="Private Retailer"/>
    <s v="9732654719"/>
    <n v="0.45"/>
    <n v="20"/>
    <x v="5"/>
    <m/>
    <s v="2026-03-31"/>
    <s v="224553"/>
    <s v="Kirtibas Kapat (A.S.C.)"/>
    <s v="9064538989"/>
  </r>
  <r>
    <s v="RCF Import"/>
    <s v="MOP"/>
    <s v="WB"/>
    <x v="1"/>
    <s v="Sagar"/>
    <s v="User Not Mapped"/>
    <s v="User Not Mapped"/>
    <s v="User Not Mapped"/>
    <n v="356424"/>
    <s v="Subal Chandra Bhanja"/>
    <s v="Private Retailer"/>
    <s v="9732654719"/>
    <n v="1.5"/>
    <n v="38"/>
    <x v="3"/>
    <m/>
    <s v="2026-03-13"/>
    <s v="224553"/>
    <s v="Kirtibas Kapat (A.S.C.)"/>
    <s v="9064538989"/>
  </r>
  <r>
    <s v="RCF Trombay"/>
    <s v="15-15-15"/>
    <s v="WB"/>
    <x v="1"/>
    <s v="Mathurapur - I"/>
    <s v="User Not Mapped"/>
    <s v="User Not Mapped"/>
    <s v="User Not Mapped"/>
    <n v="310493"/>
    <s v="Subha Ranjan Majumder"/>
    <s v="Private Retailer"/>
    <s v="9647237562"/>
    <n v="0.4"/>
    <n v="49"/>
    <x v="3"/>
    <m/>
    <s v="2026-03-02"/>
    <s v="224553"/>
    <s v="Kirtibas Kapat (A.S.C.)"/>
    <s v="9064538989"/>
  </r>
  <r>
    <s v="RCF Trombay"/>
    <s v="15-15-15"/>
    <s v="WB"/>
    <x v="1"/>
    <s v="Namkhana"/>
    <s v="User Not Mapped"/>
    <s v="User Not Mapped"/>
    <s v="User Not Mapped"/>
    <n v="613668"/>
    <s v="SUKDEB PRAMANIK"/>
    <s v="Private Retailer"/>
    <s v="9933189502"/>
    <n v="0.14499999999999999"/>
    <n v="154"/>
    <x v="4"/>
    <m/>
    <s v="2025-11-17"/>
    <s v="224553"/>
    <s v="Kirtibas Kapat (A.S.C.)"/>
    <s v="9064538989"/>
  </r>
  <r>
    <s v="RCF Trombay"/>
    <s v="15-15-15"/>
    <s v="WB"/>
    <x v="1"/>
    <s v="Kakdwip"/>
    <s v="User Not Mapped"/>
    <s v="User Not Mapped"/>
    <s v="User Not Mapped"/>
    <n v="465938"/>
    <s v="Sukumar Manna"/>
    <s v="Private Retailer"/>
    <s v="8001965597"/>
    <n v="0.25"/>
    <n v="132"/>
    <x v="4"/>
    <m/>
    <s v="2025-12-09"/>
    <s v="224553"/>
    <s v="Kirtibas Kapat (A.S.C.)"/>
    <s v="9064538989"/>
  </r>
  <r>
    <s v="RCF Thal"/>
    <s v="N.C.Urea(45kg)"/>
    <s v="WB"/>
    <x v="1"/>
    <s v="Kultali"/>
    <s v="User Not Mapped"/>
    <s v="User Not Mapped"/>
    <s v="User Not Mapped"/>
    <n v="730799"/>
    <s v="SUMITRA FERTILIZER"/>
    <s v="Private Retailer"/>
    <s v="9641490482"/>
    <n v="19.035"/>
    <n v="37"/>
    <x v="3"/>
    <m/>
    <s v="2026-03-14"/>
    <s v="224553"/>
    <s v="Kirtibas Kapat (A.S.C.)"/>
    <s v="9064538989"/>
  </r>
  <r>
    <s v="RCF Trombay"/>
    <s v="15-15-15"/>
    <s v="WB"/>
    <x v="1"/>
    <s v="Patharpratima"/>
    <s v="User Not Mapped"/>
    <s v="User Not Mapped"/>
    <s v="User Not Mapped"/>
    <n v="356438"/>
    <s v="Sumitra Fertilizer"/>
    <s v="Private Retailer"/>
    <s v="9732911428"/>
    <n v="0.5"/>
    <n v="161"/>
    <x v="4"/>
    <m/>
    <s v="2025-11-10"/>
    <s v="224553"/>
    <s v="Kirtibas Kapat (A.S.C.)"/>
    <s v="9064538989"/>
  </r>
  <r>
    <s v="RCF Import"/>
    <s v="MOP"/>
    <s v="WB"/>
    <x v="1"/>
    <s v="Patharpratima"/>
    <s v="User Not Mapped"/>
    <s v="User Not Mapped"/>
    <s v="User Not Mapped"/>
    <n v="656512"/>
    <s v="SUNDERBAN FERTILIZER"/>
    <s v="Private Retailer"/>
    <s v="9064271681"/>
    <n v="0.75"/>
    <n v="26"/>
    <x v="5"/>
    <m/>
    <s v="2026-03-25"/>
    <s v="224553"/>
    <s v="Kirtibas Kapat (A.S.C.)"/>
    <s v="9064538989"/>
  </r>
  <r>
    <s v="RCF Trombay"/>
    <s v="N.C.Urea(45kg)"/>
    <s v="WB"/>
    <x v="1"/>
    <s v="Mandirbazar"/>
    <s v="User Not Mapped"/>
    <s v="User Not Mapped"/>
    <s v="User Not Mapped"/>
    <n v="356428"/>
    <s v="Sunit Kumar Nas Kar"/>
    <s v="Private Retailer"/>
    <s v="9647447433"/>
    <n v="0.45"/>
    <n v="65"/>
    <x v="6"/>
    <m/>
    <s v="2026-02-14"/>
    <s v="224553"/>
    <s v="Kirtibas Kapat (A.S.C.)"/>
    <s v="9064538989"/>
  </r>
  <r>
    <s v="RCF Thal"/>
    <s v="N.C.Urea(45kg)"/>
    <s v="WB"/>
    <x v="1"/>
    <s v="Mathurapur - I"/>
    <s v="User Not Mapped"/>
    <s v="User Not Mapped"/>
    <s v="User Not Mapped"/>
    <n v="356439"/>
    <s v="Tapan  Mondal"/>
    <s v="Private Retailer"/>
    <s v="9733808251"/>
    <n v="2.0249999999999999"/>
    <n v="65"/>
    <x v="6"/>
    <m/>
    <s v="2026-02-14"/>
    <s v="224553"/>
    <s v="Kirtibas Kapat (A.S.C.)"/>
    <s v="9064538989"/>
  </r>
  <r>
    <s v="RCF Trombay"/>
    <s v="15-15-15"/>
    <s v="WB"/>
    <x v="1"/>
    <s v="Sagar"/>
    <s v="User Not Mapped"/>
    <s v="User Not Mapped"/>
    <s v="User Not Mapped"/>
    <n v="458931"/>
    <s v="Tapas Kr Parua"/>
    <s v="Private Retailer"/>
    <s v="9002611929"/>
    <n v="0.5"/>
    <n v="28"/>
    <x v="5"/>
    <m/>
    <s v="2026-03-23"/>
    <s v="224553"/>
    <s v="Kirtibas Kapat (A.S.C.)"/>
    <s v="9064538989"/>
  </r>
  <r>
    <s v="RCF Import"/>
    <s v="Imp 10-26-26"/>
    <s v="WB"/>
    <x v="1"/>
    <s v="Sagar"/>
    <s v="User Not Mapped"/>
    <s v="User Not Mapped"/>
    <s v="User Not Mapped"/>
    <n v="458931"/>
    <s v="Tapas Kr Parua"/>
    <s v="Private Retailer"/>
    <s v="9002611929"/>
    <n v="0.5"/>
    <n v="28"/>
    <x v="5"/>
    <m/>
    <s v="2026-03-23"/>
    <s v="224553"/>
    <s v="Kirtibas Kapat (A.S.C.)"/>
    <s v="9064538989"/>
  </r>
  <r>
    <s v="RCF Import"/>
    <s v="MOP"/>
    <s v="WB"/>
    <x v="1"/>
    <s v="Mathurapur - II"/>
    <s v="User Not Mapped"/>
    <s v="User Not Mapped"/>
    <s v="User Not Mapped"/>
    <n v="268665"/>
    <s v="Bhabasindhu Halder"/>
    <s v="Private Wholsaler"/>
    <s v="8926428665"/>
    <n v="4.5"/>
    <n v="61"/>
    <x v="6"/>
    <s v="'BHABO492'"/>
    <s v="2026-02-18"/>
    <s v="223807"/>
    <s v="M.K. Chemical and Fertilizers"/>
    <s v="9051316329"/>
  </r>
  <r>
    <s v="RCF Import"/>
    <s v="MOP"/>
    <s v="WB"/>
    <x v="1"/>
    <m/>
    <s v="User Not Mapped"/>
    <s v="User Not Mapped"/>
    <s v="User Not Mapped"/>
    <n v="342299"/>
    <s v="Din Mohammad Laskar"/>
    <s v="Private Wholsaler"/>
    <s v="7003318442"/>
    <n v="5.5"/>
    <n v="61"/>
    <x v="6"/>
    <s v="'ASRAFUL501'"/>
    <s v="2026-02-18"/>
    <s v="223807"/>
    <s v="M.K. Chemical and Fertilizers"/>
    <s v="9051316329"/>
  </r>
  <r>
    <s v="RCF Trombay"/>
    <s v="N.C.Urea(45kg)"/>
    <s v="WB"/>
    <x v="1"/>
    <s v="Kulpi"/>
    <s v="User Not Mapped"/>
    <s v="User Not Mapped"/>
    <s v="User Not Mapped"/>
    <n v="460733"/>
    <s v="M/S Pramanik Fertilisers"/>
    <s v="Private Retailer"/>
    <s v="8016407812"/>
    <n v="0.13500000000000001"/>
    <n v="245"/>
    <x v="1"/>
    <m/>
    <s v="2025-08-18"/>
    <s v="281186"/>
    <s v="M/S Sukumar Das"/>
    <s v="9433009221"/>
  </r>
  <r>
    <s v="RCF Import"/>
    <s v="Imp 10-26-26"/>
    <s v="WB"/>
    <x v="1"/>
    <s v="Bishnupur - II"/>
    <s v="User Not Mapped"/>
    <s v="User Not Mapped"/>
    <s v="User Not Mapped"/>
    <n v="355745"/>
    <s v="M/S Sukumar Das"/>
    <s v="Private Retailer"/>
    <s v="8017699795"/>
    <n v="0.2"/>
    <n v="12"/>
    <x v="5"/>
    <m/>
    <s v="2026-04-08"/>
    <s v="281186"/>
    <s v="M/S Sukumar Das"/>
    <s v="9433009221"/>
  </r>
  <r>
    <s v="RCF Import"/>
    <s v="Imp 10-26-26"/>
    <s v="WB"/>
    <x v="1"/>
    <s v="Bishnupur - II"/>
    <s v="User Not Mapped"/>
    <s v="User Not Mapped"/>
    <s v="User Not Mapped"/>
    <n v="460757"/>
    <s v="Shyamal Kumar Ghosh"/>
    <s v="Private Retailer"/>
    <s v="9836302197"/>
    <n v="0.2"/>
    <n v="34"/>
    <x v="3"/>
    <m/>
    <s v="2026-03-17"/>
    <s v="281186"/>
    <s v="M/S Sukumar Das"/>
    <s v="9433009221"/>
  </r>
  <r>
    <s v="RCF Trombay"/>
    <s v="N.C.Urea(45kg)"/>
    <s v="WB"/>
    <x v="1"/>
    <s v="Jaynagar - I"/>
    <s v="User Not Mapped"/>
    <s v="User Not Mapped"/>
    <s v="User Not Mapped"/>
    <n v="731107"/>
    <s v=" M/S DHALI ENTERPRISE"/>
    <s v="Private Retailer"/>
    <s v="9830427628"/>
    <n v="4.87"/>
    <n v="257"/>
    <x v="1"/>
    <m/>
    <s v="2025-08-06"/>
    <s v="280736"/>
    <s v="M/S TAPAN KUMAR KARMAKAR"/>
    <s v="7584080473"/>
  </r>
  <r>
    <s v="RCF Import"/>
    <s v="MOP"/>
    <s v="WB"/>
    <x v="1"/>
    <m/>
    <s v="User Not Mapped"/>
    <s v="User Not Mapped"/>
    <s v="User Not Mapped"/>
    <n v="461141"/>
    <s v=" M/S Sardar Sar Bhander"/>
    <s v="Private Retailer"/>
    <s v="8609494123"/>
    <n v="0.75"/>
    <n v="51"/>
    <x v="3"/>
    <m/>
    <s v="2026-02-28"/>
    <s v="280736"/>
    <s v="M/S TAPAN KUMAR KARMAKAR"/>
    <s v="7584080473"/>
  </r>
  <r>
    <s v="RCF Trombay"/>
    <s v="15-15-15"/>
    <s v="WB"/>
    <x v="1"/>
    <s v="Sagar"/>
    <s v="User Not Mapped"/>
    <s v="User Not Mapped"/>
    <s v="User Not Mapped"/>
    <n v="893085"/>
    <s v="Anila Krishi Bhander"/>
    <s v="Private Retailer"/>
    <s v="7602824333"/>
    <n v="4.75"/>
    <n v="92"/>
    <x v="7"/>
    <m/>
    <s v="2026-01-18"/>
    <s v="280736"/>
    <s v="M/S TAPAN KUMAR KARMAKAR"/>
    <s v="7584080473"/>
  </r>
  <r>
    <s v="RCF Thal"/>
    <s v="N.C.Urea(45kg)"/>
    <s v="WB"/>
    <x v="1"/>
    <s v="Mathurapur - I"/>
    <s v="User Not Mapped"/>
    <s v="User Not Mapped"/>
    <s v="User Not Mapped"/>
    <n v="633028"/>
    <s v="ARATI FERTILISER"/>
    <s v="Private Retailer"/>
    <s v="7908312110"/>
    <n v="4.4999999999999998E-2"/>
    <n v="422"/>
    <x v="0"/>
    <m/>
    <s v="2025-02-22"/>
    <s v="280736"/>
    <s v="M/S TAPAN KUMAR KARMAKAR"/>
    <s v="7584080473"/>
  </r>
  <r>
    <s v="RCF Trombay"/>
    <s v="15-15-15"/>
    <s v="WB"/>
    <x v="1"/>
    <s v="Diamond Harbour - I"/>
    <s v="User Not Mapped"/>
    <s v="User Not Mapped"/>
    <s v="User Not Mapped"/>
    <n v="470838"/>
    <s v="Astik Kumar Halder"/>
    <s v="Private Retailer"/>
    <s v="9933444442"/>
    <n v="0.25"/>
    <n v="237"/>
    <x v="1"/>
    <m/>
    <s v="2025-08-26"/>
    <s v="280736"/>
    <s v="M/S TAPAN KUMAR KARMAKAR"/>
    <s v="7584080473"/>
  </r>
  <r>
    <s v="RCF Thal"/>
    <s v="N.C.Urea(45kg)"/>
    <s v="WB"/>
    <x v="1"/>
    <s v="Jaynagar - II"/>
    <s v="User Not Mapped"/>
    <s v="User Not Mapped"/>
    <s v="User Not Mapped"/>
    <n v="385496"/>
    <s v="Ayub Ali Molla"/>
    <s v="Private Retailer"/>
    <s v="9734966849"/>
    <n v="5.49"/>
    <n v="38"/>
    <x v="3"/>
    <m/>
    <s v="2026-03-13"/>
    <s v="280736"/>
    <s v="M/S TAPAN KUMAR KARMAKAR"/>
    <s v="7584080473"/>
  </r>
  <r>
    <s v="RCF Trombay"/>
    <s v="15-15-15"/>
    <s v="WB"/>
    <x v="1"/>
    <s v="Bhangar - I"/>
    <s v="User Not Mapped"/>
    <s v="User Not Mapped"/>
    <s v="User Not Mapped"/>
    <n v="463319"/>
    <s v="Bakkar Sar Kendra"/>
    <s v="Private Retailer"/>
    <s v="9735549767"/>
    <n v="0.35"/>
    <n v="92"/>
    <x v="7"/>
    <m/>
    <s v="2026-01-18"/>
    <s v="280736"/>
    <s v="M/S TAPAN KUMAR KARMAKAR"/>
    <s v="7584080473"/>
  </r>
  <r>
    <s v="RCF Import"/>
    <s v="MOP"/>
    <s v="WB"/>
    <x v="1"/>
    <s v="Bhangar - I"/>
    <s v="User Not Mapped"/>
    <s v="User Not Mapped"/>
    <s v="User Not Mapped"/>
    <n v="463319"/>
    <s v="Bakkar Sar Kendra"/>
    <s v="Private Retailer"/>
    <s v="9735549767"/>
    <n v="4.7"/>
    <n v="60"/>
    <x v="3"/>
    <m/>
    <s v="2026-02-19"/>
    <s v="280736"/>
    <s v="M/S TAPAN KUMAR KARMAKAR"/>
    <s v="7584080473"/>
  </r>
  <r>
    <s v="RCF Trombay"/>
    <s v="N.C.Urea(45kg)"/>
    <s v="WB"/>
    <x v="1"/>
    <s v="Bhangar - I"/>
    <s v="User Not Mapped"/>
    <s v="User Not Mapped"/>
    <s v="User Not Mapped"/>
    <n v="463319"/>
    <s v="Bakkar Sar Kendra"/>
    <s v="Private Retailer"/>
    <s v="9735549767"/>
    <n v="0.67500000000000004"/>
    <n v="92"/>
    <x v="7"/>
    <m/>
    <s v="2026-01-18"/>
    <s v="280736"/>
    <s v="M/S TAPAN KUMAR KARMAKAR"/>
    <s v="7584080473"/>
  </r>
  <r>
    <s v="RCF Import"/>
    <s v="MOP"/>
    <s v="WB"/>
    <x v="1"/>
    <s v="Namkhana"/>
    <s v="User Not Mapped"/>
    <s v="User Not Mapped"/>
    <s v="User Not Mapped"/>
    <n v="1086123"/>
    <s v="BAPAN FERTILIZER"/>
    <s v="Private Retailer"/>
    <s v="8670036538"/>
    <n v="1.65"/>
    <n v="60"/>
    <x v="3"/>
    <m/>
    <s v="2026-02-19"/>
    <s v="280736"/>
    <s v="M/S TAPAN KUMAR KARMAKAR"/>
    <s v="7584080473"/>
  </r>
  <r>
    <s v="RCF Thal"/>
    <s v="N.C.Urea(45kg)"/>
    <s v="WB"/>
    <x v="1"/>
    <m/>
    <s v="User Not Mapped"/>
    <s v="User Not Mapped"/>
    <s v="User Not Mapped"/>
    <n v="613664"/>
    <s v="BASANTI DAS"/>
    <s v="Private Retailer"/>
    <s v="7407793659"/>
    <n v="0.9"/>
    <n v="1239"/>
    <x v="2"/>
    <m/>
    <s v="2022-11-28"/>
    <s v="280736"/>
    <s v="M/S TAPAN KUMAR KARMAKAR"/>
    <s v="7584080473"/>
  </r>
  <r>
    <s v="RCF Trombay"/>
    <s v="15-15-15"/>
    <s v="WB"/>
    <x v="1"/>
    <s v="Bhangar - II"/>
    <s v="User Not Mapped"/>
    <s v="User Not Mapped"/>
    <s v="User Not Mapped"/>
    <n v="331189"/>
    <s v="Bimal Chandra Karmakar"/>
    <s v="Private Retailer"/>
    <s v="9735454772"/>
    <n v="1.1499999999999999"/>
    <n v="52"/>
    <x v="3"/>
    <m/>
    <s v="2026-02-27"/>
    <s v="280736"/>
    <s v="M/S TAPAN KUMAR KARMAKAR"/>
    <s v="7584080473"/>
  </r>
  <r>
    <s v="RCF Thal"/>
    <s v="N.C.Urea(45kg)"/>
    <s v="WB"/>
    <x v="1"/>
    <s v="Bhangar - II"/>
    <s v="User Not Mapped"/>
    <s v="User Not Mapped"/>
    <s v="User Not Mapped"/>
    <n v="331189"/>
    <s v="Bimal Chandra Karmakar"/>
    <s v="Private Retailer"/>
    <s v="9735454772"/>
    <n v="3.8250000000000002"/>
    <n v="38"/>
    <x v="3"/>
    <m/>
    <s v="2026-03-13"/>
    <s v="280736"/>
    <s v="M/S TAPAN KUMAR KARMAKAR"/>
    <s v="7584080473"/>
  </r>
  <r>
    <s v="RCF Thal"/>
    <s v="N.C.Urea(45kg)"/>
    <s v="WB"/>
    <x v="1"/>
    <s v="Canning - I"/>
    <s v="User Not Mapped"/>
    <s v="User Not Mapped"/>
    <s v="User Not Mapped"/>
    <n v="461279"/>
    <s v="Chasi Ghar"/>
    <s v="Private Retailer"/>
    <s v="9733654163"/>
    <n v="2.88"/>
    <n v="275"/>
    <x v="1"/>
    <m/>
    <s v="2025-07-19"/>
    <s v="280736"/>
    <s v="M/S TAPAN KUMAR KARMAKAR"/>
    <s v="7584080473"/>
  </r>
  <r>
    <s v="RCF Import"/>
    <s v="MOP"/>
    <s v="WB"/>
    <x v="1"/>
    <s v="Canning - I"/>
    <s v="User Not Mapped"/>
    <s v="User Not Mapped"/>
    <s v="User Not Mapped"/>
    <n v="461279"/>
    <s v="Chasi Ghar"/>
    <s v="Private Retailer"/>
    <s v="9733654163"/>
    <n v="3"/>
    <n v="52"/>
    <x v="3"/>
    <m/>
    <s v="2026-02-27"/>
    <s v="280736"/>
    <s v="M/S TAPAN KUMAR KARMAKAR"/>
    <s v="7584080473"/>
  </r>
  <r>
    <s v="RCF Trombay"/>
    <s v="15-15-15"/>
    <s v="WB"/>
    <x v="1"/>
    <s v="Jaynagar - II"/>
    <s v="User Not Mapped"/>
    <s v="User Not Mapped"/>
    <s v="User Not Mapped"/>
    <n v="341223"/>
    <s v="Da Senterprises"/>
    <s v="Private Retailer"/>
    <s v="9434437109"/>
    <n v="0.05"/>
    <n v="1964"/>
    <x v="2"/>
    <m/>
    <s v="2020-12-03"/>
    <s v="280736"/>
    <s v="M/S TAPAN KUMAR KARMAKAR"/>
    <s v="7584080473"/>
  </r>
  <r>
    <s v="RCF Trombay"/>
    <s v="15-15-15"/>
    <s v="WB"/>
    <x v="1"/>
    <s v="Namkhana"/>
    <s v="User Not Mapped"/>
    <s v="User Not Mapped"/>
    <s v="User Not Mapped"/>
    <n v="460771"/>
    <s v="Das Fertilisers"/>
    <s v="Private Retailer"/>
    <s v="9733931051"/>
    <n v="2.7"/>
    <n v="60"/>
    <x v="3"/>
    <m/>
    <s v="2026-02-19"/>
    <s v="280736"/>
    <s v="M/S TAPAN KUMAR KARMAKAR"/>
    <s v="7584080473"/>
  </r>
  <r>
    <s v="RCF Trombay"/>
    <s v="15-15-15"/>
    <s v="WB"/>
    <x v="1"/>
    <s v="Diamond Harbour - I"/>
    <s v="User Not Mapped"/>
    <s v="User Not Mapped"/>
    <s v="User Not Mapped"/>
    <n v="634787"/>
    <s v="DAS KRISHI BHANDER"/>
    <s v="Private Retailer"/>
    <s v="9093840311"/>
    <n v="0.1"/>
    <n v="63"/>
    <x v="6"/>
    <m/>
    <s v="2026-02-16"/>
    <s v="280736"/>
    <s v="M/S TAPAN KUMAR KARMAKAR"/>
    <s v="7584080473"/>
  </r>
  <r>
    <s v="RCF Import"/>
    <s v="MOP"/>
    <s v="WB"/>
    <x v="1"/>
    <m/>
    <s v="User Not Mapped"/>
    <s v="User Not Mapped"/>
    <s v="User Not Mapped"/>
    <n v="488670"/>
    <s v="Gopal Sar Bhandar"/>
    <s v="Private Retailer"/>
    <s v="8609610052"/>
    <n v="1"/>
    <n v="51"/>
    <x v="3"/>
    <m/>
    <s v="2026-02-28"/>
    <s v="280736"/>
    <s v="M/S TAPAN KUMAR KARMAKAR"/>
    <s v="7584080473"/>
  </r>
  <r>
    <s v="RCF Trombay"/>
    <s v="15-15-15"/>
    <s v="WB"/>
    <x v="1"/>
    <s v="Namkhana"/>
    <s v="User Not Mapped"/>
    <s v="User Not Mapped"/>
    <s v="User Not Mapped"/>
    <n v="484032"/>
    <s v="Jagat Guru Krishi Bhandar"/>
    <s v="Private Retailer"/>
    <s v="9732820361"/>
    <n v="0.25"/>
    <n v="95"/>
    <x v="7"/>
    <m/>
    <s v="2026-01-15"/>
    <s v="280736"/>
    <s v="M/S TAPAN KUMAR KARMAKAR"/>
    <s v="7584080473"/>
  </r>
  <r>
    <s v="RCF Thal"/>
    <s v="N.C.Urea(45kg)"/>
    <s v="WB"/>
    <x v="1"/>
    <s v="Sagar"/>
    <s v="User Not Mapped"/>
    <s v="User Not Mapped"/>
    <s v="User Not Mapped"/>
    <n v="462757"/>
    <s v="Jana Fertilisers"/>
    <s v="Private Retailer"/>
    <s v="9775590254"/>
    <n v="4.41"/>
    <n v="143"/>
    <x v="4"/>
    <m/>
    <s v="2025-11-28"/>
    <s v="280736"/>
    <s v="M/S TAPAN KUMAR KARMAKAR"/>
    <s v="7584080473"/>
  </r>
  <r>
    <s v="RCF Import"/>
    <s v="MOP"/>
    <s v="WB"/>
    <x v="1"/>
    <m/>
    <s v="User Not Mapped"/>
    <s v="User Not Mapped"/>
    <s v="User Not Mapped"/>
    <n v="355164"/>
    <s v="Kayal Fertilizer"/>
    <s v="Private Retailer"/>
    <s v="8972537587"/>
    <n v="1.75"/>
    <n v="51"/>
    <x v="3"/>
    <m/>
    <s v="2026-02-28"/>
    <s v="280736"/>
    <s v="M/S TAPAN KUMAR KARMAKAR"/>
    <s v="7584080473"/>
  </r>
  <r>
    <s v="RCF Trombay"/>
    <s v="15-15-15"/>
    <s v="WB"/>
    <x v="1"/>
    <m/>
    <s v="User Not Mapped"/>
    <s v="User Not Mapped"/>
    <s v="User Not Mapped"/>
    <n v="730670"/>
    <s v="KRISHI SAAR BHANDAR"/>
    <s v="Private Retailer"/>
    <s v="7478136781"/>
    <n v="0.85"/>
    <n v="2023"/>
    <x v="2"/>
    <m/>
    <s v="2020-10-05"/>
    <s v="280736"/>
    <s v="M/S TAPAN KUMAR KARMAKAR"/>
    <s v="7584080473"/>
  </r>
  <r>
    <s v="RCF Trombay"/>
    <s v="N.C.Urea(45kg)"/>
    <s v="WB"/>
    <x v="1"/>
    <s v="Namkhana"/>
    <s v="User Not Mapped"/>
    <s v="User Not Mapped"/>
    <s v="User Not Mapped"/>
    <n v="1252362"/>
    <s v="KRISHI SAR BHANDER"/>
    <s v="Private Retailer"/>
    <s v="9609314713"/>
    <n v="4.4999999999999998E-2"/>
    <n v="493"/>
    <x v="0"/>
    <m/>
    <s v="2024-12-13"/>
    <s v="280736"/>
    <s v="M/S TAPAN KUMAR KARMAKAR"/>
    <s v="7584080473"/>
  </r>
  <r>
    <s v="RCF Thal"/>
    <s v="N.C.Urea(45kg)"/>
    <s v="WB"/>
    <x v="1"/>
    <m/>
    <s v="User Not Mapped"/>
    <s v="User Not Mapped"/>
    <s v="User Not Mapped"/>
    <n v="1435900"/>
    <s v="LAKSHMI ENTERPRISE"/>
    <s v="Private Retailer"/>
    <s v="8902050957"/>
    <n v="5.31"/>
    <n v="38"/>
    <x v="3"/>
    <m/>
    <s v="2026-03-13"/>
    <s v="280736"/>
    <s v="M/S TAPAN KUMAR KARMAKAR"/>
    <s v="7584080473"/>
  </r>
  <r>
    <s v="RCF Thal"/>
    <s v="N.C.Urea(45kg)"/>
    <s v="WB"/>
    <x v="1"/>
    <s v="Baruipur"/>
    <s v="User Not Mapped"/>
    <s v="User Not Mapped"/>
    <s v="User Not Mapped"/>
    <n v="905068"/>
    <s v="LASKAR FERTILISER"/>
    <s v="Private Retailer"/>
    <s v="7679671739"/>
    <n v="1.9350000000000001"/>
    <n v="161"/>
    <x v="4"/>
    <m/>
    <s v="2025-11-10"/>
    <s v="280736"/>
    <s v="M/S TAPAN KUMAR KARMAKAR"/>
    <s v="7584080473"/>
  </r>
  <r>
    <s v="RCF Trombay"/>
    <s v="N.C.Urea(45kg)"/>
    <s v="WB"/>
    <x v="1"/>
    <s v="Namkhana"/>
    <s v="User Not Mapped"/>
    <s v="User Not Mapped"/>
    <s v="User Not Mapped"/>
    <n v="648147"/>
    <s v="LAXMI SAR BHANDER"/>
    <s v="Private Retailer"/>
    <s v="7407231443"/>
    <n v="5.49"/>
    <n v="244"/>
    <x v="1"/>
    <m/>
    <s v="2025-08-19"/>
    <s v="280736"/>
    <s v="M/S TAPAN KUMAR KARMAKAR"/>
    <s v="7584080473"/>
  </r>
  <r>
    <s v="RCF Trombay"/>
    <s v="N.C.Urea(45kg)"/>
    <s v="WB"/>
    <x v="1"/>
    <m/>
    <s v="User Not Mapped"/>
    <s v="User Not Mapped"/>
    <s v="User Not Mapped"/>
    <n v="1598447"/>
    <s v="M/S BHABESH KAYAL"/>
    <s v="Private Retailer"/>
    <s v="7872102843"/>
    <n v="0.99"/>
    <n v="52"/>
    <x v="3"/>
    <m/>
    <s v="2026-02-27"/>
    <s v="280736"/>
    <s v="M/S TAPAN KUMAR KARMAKAR"/>
    <s v="7584080473"/>
  </r>
  <r>
    <s v="RCF Trombay"/>
    <s v="N.C.Urea(45kg)"/>
    <s v="WB"/>
    <x v="1"/>
    <s v="Jaynagar - II"/>
    <s v="User Not Mapped"/>
    <s v="User Not Mapped"/>
    <s v="User Not Mapped"/>
    <n v="634863"/>
    <s v="M/S GAZI FERTILIZER"/>
    <s v="Private Retailer"/>
    <s v="7890583449"/>
    <n v="0.22500000000000001"/>
    <n v="2075"/>
    <x v="2"/>
    <m/>
    <s v="2020-08-14"/>
    <s v="280736"/>
    <s v="M/S TAPAN KUMAR KARMAKAR"/>
    <s v="7584080473"/>
  </r>
  <r>
    <s v="RCF Trombay"/>
    <s v="15-15-15"/>
    <s v="WB"/>
    <x v="1"/>
    <s v="Namkhana"/>
    <s v="User Not Mapped"/>
    <s v="User Not Mapped"/>
    <s v="User Not Mapped"/>
    <n v="290784"/>
    <s v="M/S Gharai Krishi Bhander"/>
    <s v="Private Retailer"/>
    <s v="9732884255"/>
    <n v="0.25"/>
    <n v="25"/>
    <x v="5"/>
    <m/>
    <s v="2026-03-26"/>
    <s v="280736"/>
    <s v="M/S TAPAN KUMAR KARMAKAR"/>
    <s v="7584080473"/>
  </r>
  <r>
    <s v="RCF Trombay"/>
    <s v="15-15-15"/>
    <s v="WB"/>
    <x v="1"/>
    <s v="Namkhana"/>
    <s v="User Not Mapped"/>
    <s v="User Not Mapped"/>
    <s v="User Not Mapped"/>
    <n v="290784"/>
    <s v="M/S Gharai Krishi Bhander"/>
    <s v="Private Retailer"/>
    <s v="9732884255"/>
    <n v="0.15"/>
    <n v="123"/>
    <x v="4"/>
    <m/>
    <s v="2025-12-18"/>
    <s v="280736"/>
    <s v="M/S TAPAN KUMAR KARMAKAR"/>
    <s v="7584080473"/>
  </r>
  <r>
    <s v="RCF Import"/>
    <s v="MOP"/>
    <s v="WB"/>
    <x v="1"/>
    <s v="Kakdwip"/>
    <s v="User Not Mapped"/>
    <s v="User Not Mapped"/>
    <s v="User Not Mapped"/>
    <n v="461660"/>
    <s v="M/S KAKDWIP AGRO SERVICE"/>
    <s v="Private Retailer"/>
    <s v="9064266001"/>
    <n v="5.4"/>
    <n v="60"/>
    <x v="3"/>
    <m/>
    <s v="2026-02-19"/>
    <s v="280736"/>
    <s v="M/S TAPAN KUMAR KARMAKAR"/>
    <s v="7584080473"/>
  </r>
  <r>
    <s v="RCF Trombay"/>
    <s v="15-15-15"/>
    <s v="WB"/>
    <x v="1"/>
    <s v="Namkhana"/>
    <s v="User Not Mapped"/>
    <s v="User Not Mapped"/>
    <s v="User Not Mapped"/>
    <n v="1574996"/>
    <s v="M/S MA CHHABI KRISHI BHANDAR"/>
    <s v="Private Retailer"/>
    <s v="8016628654"/>
    <n v="1"/>
    <n v="126"/>
    <x v="4"/>
    <m/>
    <s v="2025-12-15"/>
    <s v="280736"/>
    <s v="M/S TAPAN KUMAR KARMAKAR"/>
    <s v="7584080473"/>
  </r>
  <r>
    <s v="RCF Trombay"/>
    <s v="15-15-15"/>
    <s v="WB"/>
    <x v="1"/>
    <s v="Namkhana"/>
    <s v="User Not Mapped"/>
    <s v="User Not Mapped"/>
    <s v="User Not Mapped"/>
    <n v="892195"/>
    <s v="M/S MAA KALI SAR BHANDER"/>
    <s v="Private Retailer"/>
    <s v="9733735879"/>
    <n v="0.2"/>
    <n v="120"/>
    <x v="7"/>
    <m/>
    <s v="2025-12-21"/>
    <s v="280736"/>
    <s v="M/S TAPAN KUMAR KARMAKAR"/>
    <s v="7584080473"/>
  </r>
  <r>
    <s v="RCF Import"/>
    <s v="MOP"/>
    <s v="WB"/>
    <x v="1"/>
    <s v="Kultali"/>
    <s v="User Not Mapped"/>
    <s v="User Not Mapped"/>
    <s v="User Not Mapped"/>
    <n v="1574308"/>
    <s v="M/S MAA RADHARANI KRISHI BHAND"/>
    <s v="Private Retailer"/>
    <s v="8967616948"/>
    <n v="0.65"/>
    <n v="59"/>
    <x v="3"/>
    <m/>
    <s v="2026-02-20"/>
    <s v="280736"/>
    <s v="M/S TAPAN KUMAR KARMAKAR"/>
    <s v="7584080473"/>
  </r>
  <r>
    <s v="RCF Thal"/>
    <s v="N.C.Urea(45kg)"/>
    <s v="WB"/>
    <x v="1"/>
    <s v="Jaynagar - II"/>
    <s v="User Not Mapped"/>
    <s v="User Not Mapped"/>
    <s v="User Not Mapped"/>
    <n v="662599"/>
    <s v="M/S MONDAL FERTILIZER"/>
    <s v="Private Retailer"/>
    <s v="9083891168"/>
    <n v="0.45"/>
    <n v="2028"/>
    <x v="2"/>
    <m/>
    <s v="2020-09-30"/>
    <s v="280736"/>
    <s v="M/S TAPAN KUMAR KARMAKAR"/>
    <s v="7584080473"/>
  </r>
  <r>
    <s v="RCF Import"/>
    <s v="MOP"/>
    <s v="WB"/>
    <x v="1"/>
    <m/>
    <s v="User Not Mapped"/>
    <s v="User Not Mapped"/>
    <s v="User Not Mapped"/>
    <n v="1419867"/>
    <s v="M/S NEW KRISHI UNNYANI"/>
    <s v="Private Retailer"/>
    <s v="7866025794"/>
    <n v="2"/>
    <n v="52"/>
    <x v="3"/>
    <m/>
    <s v="2026-02-27"/>
    <s v="280736"/>
    <s v="M/S TAPAN KUMAR KARMAKAR"/>
    <s v="7584080473"/>
  </r>
  <r>
    <s v="RCF Import"/>
    <s v="MOP"/>
    <s v="WB"/>
    <x v="1"/>
    <s v="Kultali"/>
    <s v="User Not Mapped"/>
    <s v="User Not Mapped"/>
    <s v="User Not Mapped"/>
    <n v="1409258"/>
    <s v="M/S SARDAR FERTILISER"/>
    <s v="Private Retailer"/>
    <s v="9874689104"/>
    <n v="1.95"/>
    <n v="59"/>
    <x v="3"/>
    <m/>
    <s v="2026-02-20"/>
    <s v="280736"/>
    <s v="M/S TAPAN KUMAR KARMAKAR"/>
    <s v="7584080473"/>
  </r>
  <r>
    <s v="RCF Trombay"/>
    <s v="15-15-15"/>
    <s v="WB"/>
    <x v="1"/>
    <s v="Bhangar - I"/>
    <s v="User Not Mapped"/>
    <s v="User Not Mapped"/>
    <s v="User Not Mapped"/>
    <n v="1271543"/>
    <s v="M/S. MAA KRISHI SEVA KENDRA"/>
    <s v="Private Retailer"/>
    <s v="8926685359"/>
    <n v="0.75"/>
    <n v="272"/>
    <x v="1"/>
    <m/>
    <s v="2025-07-22"/>
    <s v="280736"/>
    <s v="M/S TAPAN KUMAR KARMAKAR"/>
    <s v="7584080473"/>
  </r>
  <r>
    <s v="RCF Trombay"/>
    <s v="15-15-15"/>
    <s v="WB"/>
    <x v="1"/>
    <s v="Bhangar - I"/>
    <s v="User Not Mapped"/>
    <s v="User Not Mapped"/>
    <s v="User Not Mapped"/>
    <n v="1271543"/>
    <s v="M/S. MAA KRISHI SEVA KENDRA"/>
    <s v="Private Retailer"/>
    <s v="8926685359"/>
    <n v="2"/>
    <n v="91"/>
    <x v="7"/>
    <m/>
    <s v="2026-01-19"/>
    <s v="280736"/>
    <s v="M/S TAPAN KUMAR KARMAKAR"/>
    <s v="7584080473"/>
  </r>
  <r>
    <s v="RCF Trombay"/>
    <s v="N.C.Urea(45kg)"/>
    <s v="WB"/>
    <x v="1"/>
    <s v="Bhangar - I"/>
    <s v="User Not Mapped"/>
    <s v="User Not Mapped"/>
    <s v="User Not Mapped"/>
    <n v="1271543"/>
    <s v="M/S. MAA KRISHI SEVA KENDRA"/>
    <s v="Private Retailer"/>
    <s v="8926685359"/>
    <n v="2.61"/>
    <n v="91"/>
    <x v="7"/>
    <m/>
    <s v="2026-01-19"/>
    <s v="280736"/>
    <s v="M/S TAPAN KUMAR KARMAKAR"/>
    <s v="7584080473"/>
  </r>
  <r>
    <s v="RCF Import"/>
    <s v="MOP"/>
    <s v="WB"/>
    <x v="1"/>
    <s v="Kultali"/>
    <s v="User Not Mapped"/>
    <s v="User Not Mapped"/>
    <s v="User Not Mapped"/>
    <n v="1292379"/>
    <s v="M/S. RADHA KRISHNA KRISHI BHAN"/>
    <s v="Private Retailer"/>
    <s v="7407813204"/>
    <n v="2"/>
    <n v="59"/>
    <x v="3"/>
    <m/>
    <s v="2026-02-20"/>
    <s v="280736"/>
    <s v="M/S TAPAN KUMAR KARMAKAR"/>
    <s v="7584080473"/>
  </r>
  <r>
    <s v="RCF Trombay"/>
    <s v="15-15-15"/>
    <s v="WB"/>
    <x v="1"/>
    <s v="Baruipur"/>
    <s v="User Not Mapped"/>
    <s v="User Not Mapped"/>
    <s v="User Not Mapped"/>
    <n v="290810"/>
    <s v="M/Stapan Kumar Karmakar"/>
    <s v="Private Retailer"/>
    <s v="7584080473"/>
    <n v="0.25"/>
    <n v="10"/>
    <x v="5"/>
    <m/>
    <s v="2026-04-10"/>
    <s v="280736"/>
    <s v="M/S TAPAN KUMAR KARMAKAR"/>
    <s v="7584080473"/>
  </r>
  <r>
    <s v="RCF Trombay"/>
    <s v="15-15-15"/>
    <s v="WB"/>
    <x v="1"/>
    <s v="Kultali"/>
    <s v="User Not Mapped"/>
    <s v="User Not Mapped"/>
    <s v="User Not Mapped"/>
    <n v="775216"/>
    <s v="MA NAMITA ENTERPRISE"/>
    <s v="Private Wholsaler"/>
    <s v="7699295315"/>
    <n v="11"/>
    <n v="255"/>
    <x v="1"/>
    <s v="'4543'"/>
    <s v="2025-08-08"/>
    <s v="280736"/>
    <s v="M/S TAPAN KUMAR KARMAKAR"/>
    <s v="7584080473"/>
  </r>
  <r>
    <s v="RCF Import"/>
    <s v="MOP"/>
    <s v="WB"/>
    <x v="1"/>
    <s v="Kakdwip"/>
    <s v="User Not Mapped"/>
    <s v="User Not Mapped"/>
    <s v="User Not Mapped"/>
    <n v="290766"/>
    <s v="Maa Kali Krishi Bhandar"/>
    <s v="Private Retailer"/>
    <s v="9609071250"/>
    <n v="4"/>
    <n v="60"/>
    <x v="3"/>
    <m/>
    <s v="2026-02-19"/>
    <s v="280736"/>
    <s v="M/S TAPAN KUMAR KARMAKAR"/>
    <s v="7584080473"/>
  </r>
  <r>
    <s v="RCF Trombay"/>
    <s v="15-15-15"/>
    <s v="WB"/>
    <x v="1"/>
    <s v="Mathurapur - I"/>
    <s v="User Not Mapped"/>
    <s v="User Not Mapped"/>
    <s v="User Not Mapped"/>
    <n v="331470"/>
    <s v="Matri Krishi Bhander"/>
    <s v="Private Retailer"/>
    <s v="9733823855"/>
    <n v="0.1"/>
    <n v="255"/>
    <x v="1"/>
    <m/>
    <s v="2025-08-08"/>
    <s v="280736"/>
    <s v="M/S TAPAN KUMAR KARMAKAR"/>
    <s v="7584080473"/>
  </r>
  <r>
    <s v="RCF Trombay"/>
    <s v="15-15-15"/>
    <s v="WB"/>
    <x v="1"/>
    <s v="Bhangar - II"/>
    <s v="User Not Mapped"/>
    <s v="User Not Mapped"/>
    <s v="User Not Mapped"/>
    <n v="355385"/>
    <s v="Md.Ispahanmolla"/>
    <s v="Private Retailer"/>
    <s v="9734642846"/>
    <n v="0.1"/>
    <n v="833"/>
    <x v="2"/>
    <m/>
    <s v="2024-01-08"/>
    <s v="280736"/>
    <s v="M/S TAPAN KUMAR KARMAKAR"/>
    <s v="7584080473"/>
  </r>
  <r>
    <s v="RCF Trombay"/>
    <s v="N.C.Urea(45kg)"/>
    <s v="WB"/>
    <x v="1"/>
    <s v="Kultali"/>
    <s v="User Not Mapped"/>
    <s v="User Not Mapped"/>
    <s v="User Not Mapped"/>
    <n v="342049"/>
    <s v="Narendranath Laskar"/>
    <s v="Private Retailer"/>
    <s v="8967157587"/>
    <n v="1.26"/>
    <n v="52"/>
    <x v="3"/>
    <m/>
    <s v="2026-02-27"/>
    <s v="280736"/>
    <s v="M/S TAPAN KUMAR KARMAKAR"/>
    <s v="7584080473"/>
  </r>
  <r>
    <s v="RCF Trombay"/>
    <s v="N.C.Urea(45kg)"/>
    <s v="WB"/>
    <x v="1"/>
    <m/>
    <s v="User Not Mapped"/>
    <s v="User Not Mapped"/>
    <s v="User Not Mapped"/>
    <n v="632592"/>
    <s v="Nargis Fertiliser"/>
    <s v="Private Retailer"/>
    <s v="7890210186"/>
    <n v="0.63"/>
    <n v="2017"/>
    <x v="2"/>
    <m/>
    <s v="2020-10-11"/>
    <s v="280736"/>
    <s v="M/S TAPAN KUMAR KARMAKAR"/>
    <s v="7584080473"/>
  </r>
  <r>
    <s v="RCF Trombay"/>
    <s v="15-15-15"/>
    <s v="WB"/>
    <x v="1"/>
    <s v="Kakdwip"/>
    <s v="User Not Mapped"/>
    <s v="User Not Mapped"/>
    <s v="User Not Mapped"/>
    <n v="637841"/>
    <s v="NAYEK FERTILISER"/>
    <s v="Private Retailer"/>
    <s v="9733708027"/>
    <n v="4.8000000000000001E-2"/>
    <n v="67"/>
    <x v="6"/>
    <m/>
    <s v="2026-02-12"/>
    <s v="280736"/>
    <s v="M/S TAPAN KUMAR KARMAKAR"/>
    <s v="7584080473"/>
  </r>
  <r>
    <s v="RCF Trombay"/>
    <s v="15-15-15"/>
    <s v="WB"/>
    <x v="1"/>
    <s v="Kakdwip"/>
    <s v="User Not Mapped"/>
    <s v="User Not Mapped"/>
    <s v="User Not Mapped"/>
    <n v="309493"/>
    <s v="Paban Krishi Bhandar"/>
    <s v="Private Retailer"/>
    <s v="7908584449"/>
    <n v="2.8"/>
    <n v="126"/>
    <x v="4"/>
    <m/>
    <s v="2025-12-15"/>
    <s v="280736"/>
    <s v="M/S TAPAN KUMAR KARMAKAR"/>
    <s v="7584080473"/>
  </r>
  <r>
    <s v="RCF Trombay"/>
    <s v="15-15-15"/>
    <s v="WB"/>
    <x v="1"/>
    <s v="Patharpratima"/>
    <s v="User Not Mapped"/>
    <s v="User Not Mapped"/>
    <s v="User Not Mapped"/>
    <n v="461618"/>
    <s v="Petri Matri Sar Bhander"/>
    <s v="Private Retailer"/>
    <s v="9734392430"/>
    <n v="0.8"/>
    <n v="192"/>
    <x v="1"/>
    <m/>
    <s v="2025-10-10"/>
    <s v="280736"/>
    <s v="M/S TAPAN KUMAR KARMAKAR"/>
    <s v="7584080473"/>
  </r>
  <r>
    <s v="RCF Thal"/>
    <s v="N.C.Urea(45kg)"/>
    <s v="WB"/>
    <x v="1"/>
    <s v="Patharpratima"/>
    <s v="User Not Mapped"/>
    <s v="User Not Mapped"/>
    <s v="User Not Mapped"/>
    <n v="461618"/>
    <s v="Petri Matri Sar Bhander"/>
    <s v="Private Retailer"/>
    <s v="9734392430"/>
    <n v="0.67500000000000004"/>
    <n v="34"/>
    <x v="3"/>
    <m/>
    <s v="2026-03-17"/>
    <s v="280736"/>
    <s v="M/S TAPAN KUMAR KARMAKAR"/>
    <s v="7584080473"/>
  </r>
  <r>
    <s v="RCF Trombay"/>
    <s v="N.C.Urea(45kg)"/>
    <s v="WB"/>
    <x v="1"/>
    <s v="Bhangar - II"/>
    <s v="User Not Mapped"/>
    <s v="User Not Mapped"/>
    <s v="User Not Mapped"/>
    <n v="309682"/>
    <s v="Pravesh Das"/>
    <s v="Private Retailer"/>
    <s v="9734362184"/>
    <n v="0.13500000000000001"/>
    <n v="204"/>
    <x v="1"/>
    <m/>
    <s v="2025-09-28"/>
    <s v="280736"/>
    <s v="M/S TAPAN KUMAR KARMAKAR"/>
    <s v="7584080473"/>
  </r>
  <r>
    <s v="RCF Import"/>
    <s v="MOP"/>
    <s v="WB"/>
    <x v="1"/>
    <s v="Bhangar - II"/>
    <s v="User Not Mapped"/>
    <s v="User Not Mapped"/>
    <s v="User Not Mapped"/>
    <n v="309682"/>
    <s v="Pravesh Das"/>
    <s v="Private Retailer"/>
    <s v="9734362184"/>
    <n v="5.5"/>
    <n v="60"/>
    <x v="3"/>
    <m/>
    <s v="2026-02-19"/>
    <s v="280736"/>
    <s v="M/S TAPAN KUMAR KARMAKAR"/>
    <s v="7584080473"/>
  </r>
  <r>
    <s v="RCF Trombay"/>
    <s v="N.C.Urea(45kg)"/>
    <s v="WB"/>
    <x v="1"/>
    <s v="Namkhana"/>
    <s v="User Not Mapped"/>
    <s v="User Not Mapped"/>
    <s v="User Not Mapped"/>
    <n v="355960"/>
    <s v="Purandar Fertiliser  Prop-Probal Sahoo"/>
    <s v="Private Retailer"/>
    <s v="9732979238"/>
    <n v="0.18"/>
    <n v="38"/>
    <x v="3"/>
    <m/>
    <s v="2026-03-13"/>
    <s v="280736"/>
    <s v="M/S TAPAN KUMAR KARMAKAR"/>
    <s v="7584080473"/>
  </r>
  <r>
    <s v="RCF Trombay"/>
    <s v="15-15-15"/>
    <s v="WB"/>
    <x v="1"/>
    <s v="Sagar"/>
    <s v="User Not Mapped"/>
    <s v="User Not Mapped"/>
    <s v="User Not Mapped"/>
    <n v="342379"/>
    <s v="Rajlaxmi Krishi Bhandar"/>
    <s v="Private Retailer"/>
    <s v="9547925049"/>
    <n v="2.3E-2"/>
    <n v="192"/>
    <x v="1"/>
    <m/>
    <s v="2025-10-10"/>
    <s v="280736"/>
    <s v="M/S TAPAN KUMAR KARMAKAR"/>
    <s v="7584080473"/>
  </r>
  <r>
    <s v="RCF Trombay"/>
    <s v="15-15-15"/>
    <s v="WB"/>
    <x v="1"/>
    <s v="Sonarpur"/>
    <s v="User Not Mapped"/>
    <s v="User Not Mapped"/>
    <s v="User Not Mapped"/>
    <n v="466914"/>
    <s v="Samser Ali Gayen"/>
    <s v="Private Retailer"/>
    <s v="7003782748"/>
    <n v="0.15"/>
    <n v="54"/>
    <x v="3"/>
    <m/>
    <s v="2026-02-25"/>
    <s v="280736"/>
    <s v="M/S TAPAN KUMAR KARMAKAR"/>
    <s v="7584080473"/>
  </r>
  <r>
    <s v="RCF Thal"/>
    <s v="N.C.Urea(45kg)"/>
    <s v="WB"/>
    <x v="1"/>
    <s v="Canning - I"/>
    <s v="User Not Mapped"/>
    <s v="User Not Mapped"/>
    <s v="User Not Mapped"/>
    <n v="641038"/>
    <s v="Sri Durga Enterprize"/>
    <s v="Private Retailer"/>
    <s v="9144208492"/>
    <n v="2.5649999999999999"/>
    <n v="260"/>
    <x v="1"/>
    <m/>
    <s v="2025-08-03"/>
    <s v="280736"/>
    <s v="M/S TAPAN KUMAR KARMAKAR"/>
    <s v="7584080473"/>
  </r>
  <r>
    <s v="RCF Trombay"/>
    <s v="15-15-15"/>
    <s v="WB"/>
    <x v="1"/>
    <s v="Namkhana"/>
    <s v="User Not Mapped"/>
    <s v="User Not Mapped"/>
    <s v="User Not Mapped"/>
    <n v="613668"/>
    <s v="SUKDEB PRAMANIK"/>
    <s v="Private Retailer"/>
    <s v="9933189502"/>
    <n v="0.25"/>
    <n v="120"/>
    <x v="7"/>
    <m/>
    <s v="2025-12-21"/>
    <s v="280736"/>
    <s v="M/S TAPAN KUMAR KARMAKAR"/>
    <s v="7584080473"/>
  </r>
  <r>
    <s v="RCF Trombay"/>
    <s v="15-15-15"/>
    <s v="WB"/>
    <x v="1"/>
    <s v="Kultali"/>
    <s v="User Not Mapped"/>
    <s v="User Not Mapped"/>
    <s v="User Not Mapped"/>
    <n v="311219"/>
    <s v="Surendra Krishi Bhander"/>
    <s v="Private Wholsaler"/>
    <s v="9434404364"/>
    <n v="11"/>
    <n v="17"/>
    <x v="5"/>
    <s v="'1235'"/>
    <s v="2026-04-03"/>
    <s v="280736"/>
    <s v="M/S TAPAN KUMAR KARMAKAR"/>
    <s v="7584080473"/>
  </r>
  <r>
    <s v="RCF Trombay"/>
    <s v="15-15-15"/>
    <s v="WB"/>
    <x v="1"/>
    <s v="Kultali"/>
    <s v="User Not Mapped"/>
    <s v="User Not Mapped"/>
    <s v="User Not Mapped"/>
    <n v="311219"/>
    <s v="Surendra Krishi Bhander"/>
    <s v="Private Wholsaler"/>
    <s v="9434404364"/>
    <n v="6.7"/>
    <n v="153"/>
    <x v="4"/>
    <s v="'4899'"/>
    <s v="2025-11-18"/>
    <s v="280736"/>
    <s v="M/S TAPAN KUMAR KARMAKAR"/>
    <s v="7584080473"/>
  </r>
  <r>
    <s v="RCF Trombay"/>
    <s v="15-15-15"/>
    <s v="WB"/>
    <x v="1"/>
    <s v="Namkhana"/>
    <s v="User Not Mapped"/>
    <s v="User Not Mapped"/>
    <s v="User Not Mapped"/>
    <n v="483170"/>
    <s v="Surendra Krishi Bhander"/>
    <s v="Private Retailer"/>
    <s v="9002948494"/>
    <n v="0.6"/>
    <n v="123"/>
    <x v="4"/>
    <m/>
    <s v="2025-12-18"/>
    <s v="280736"/>
    <s v="M/S TAPAN KUMAR KARMAKAR"/>
    <s v="7584080473"/>
  </r>
  <r>
    <s v="RCF Import"/>
    <s v="MOP"/>
    <s v="WB"/>
    <x v="1"/>
    <s v="Namkhana"/>
    <s v="User Not Mapped"/>
    <s v="User Not Mapped"/>
    <s v="User Not Mapped"/>
    <n v="483170"/>
    <s v="Surendra Krishi Bhander"/>
    <s v="Private Retailer"/>
    <s v="9002948494"/>
    <n v="2"/>
    <n v="60"/>
    <x v="3"/>
    <m/>
    <s v="2026-02-19"/>
    <s v="280736"/>
    <s v="M/S TAPAN KUMAR KARMAKAR"/>
    <s v="7584080473"/>
  </r>
  <r>
    <s v="RCF Thal"/>
    <s v="N.C.Urea(45kg)"/>
    <s v="WB"/>
    <x v="1"/>
    <m/>
    <s v="User Not Mapped"/>
    <s v="User Not Mapped"/>
    <s v="User Not Mapped"/>
    <n v="649681"/>
    <s v="SWAPAN PRAMANIK"/>
    <s v="Private Retailer"/>
    <s v="7797287716"/>
    <n v="4.5"/>
    <n v="1528"/>
    <x v="2"/>
    <m/>
    <s v="2022-02-12"/>
    <s v="280736"/>
    <s v="M/S TAPAN KUMAR KARMAKAR"/>
    <s v="7584080473"/>
  </r>
  <r>
    <s v="RCF Trombay"/>
    <s v="N.C.Urea(45kg)"/>
    <s v="WB"/>
    <x v="1"/>
    <s v="Diamond Harbour - I"/>
    <s v="User Not Mapped"/>
    <s v="User Not Mapped"/>
    <s v="User Not Mapped"/>
    <n v="463211"/>
    <s v="Tapandranath Biswas"/>
    <s v="Private Retailer"/>
    <s v="9932315412"/>
    <n v="0.89"/>
    <n v="287"/>
    <x v="1"/>
    <m/>
    <s v="2025-07-07"/>
    <s v="280736"/>
    <s v="M/S TAPAN KUMAR KARMAKAR"/>
    <s v="7584080473"/>
  </r>
  <r>
    <s v="RCF Import"/>
    <s v="MOP"/>
    <s v="WB"/>
    <x v="1"/>
    <s v="Namkhana"/>
    <s v="User Not Mapped"/>
    <s v="User Not Mapped"/>
    <s v="User Not Mapped"/>
    <n v="541016"/>
    <s v="Tarama Krishi Bhander"/>
    <s v="Private Retailer"/>
    <s v="8597183412"/>
    <n v="1.8"/>
    <n v="60"/>
    <x v="3"/>
    <m/>
    <s v="2026-02-19"/>
    <s v="280736"/>
    <s v="M/S TAPAN KUMAR KARMAKAR"/>
    <s v="7584080473"/>
  </r>
  <r>
    <s v="RCF Trombay"/>
    <s v="15-15-15"/>
    <s v="WB"/>
    <x v="1"/>
    <s v="Namkhana"/>
    <s v="User Not Mapped"/>
    <s v="User Not Mapped"/>
    <s v="User Not Mapped"/>
    <n v="281123"/>
    <s v=" Chashi Bandhu Sar Ghar "/>
    <s v="Private Retailer"/>
    <s v="8609685596"/>
    <n v="0.58699999999999997"/>
    <n v="171"/>
    <x v="4"/>
    <m/>
    <s v="2025-10-31"/>
    <s v="269946"/>
    <s v="M/s. Janardan Parui"/>
    <s v="6290703360"/>
  </r>
  <r>
    <s v="RCF Trombay"/>
    <s v="15-15-15"/>
    <s v="WB"/>
    <x v="1"/>
    <s v="Patharpratima"/>
    <s v="User Not Mapped"/>
    <s v="User Not Mapped"/>
    <s v="User Not Mapped"/>
    <n v="1052094"/>
    <s v=" M/S MAITY FERTILISER"/>
    <s v="Private Retailer"/>
    <s v="9733669913"/>
    <n v="0.45"/>
    <n v="284"/>
    <x v="1"/>
    <m/>
    <s v="2025-07-10"/>
    <s v="269946"/>
    <s v="M/s. Janardan Parui"/>
    <s v="6290703360"/>
  </r>
  <r>
    <s v="RCF Trombay"/>
    <s v="15-15-15"/>
    <s v="WB"/>
    <x v="1"/>
    <m/>
    <s v="User Not Mapped"/>
    <s v="User Not Mapped"/>
    <s v="User Not Mapped"/>
    <n v="290835"/>
    <s v=" Mahamaya Krishi Bhander"/>
    <s v="District Cooperative Marketing Society"/>
    <s v="9933502068"/>
    <n v="1.5"/>
    <n v="107"/>
    <x v="7"/>
    <s v="'HE008065'"/>
    <s v="2026-01-03"/>
    <s v="269946"/>
    <s v="M/s. Janardan Parui"/>
    <s v="6290703360"/>
  </r>
  <r>
    <s v="RCF Trombay"/>
    <s v="15-15-15"/>
    <s v="WB"/>
    <x v="1"/>
    <m/>
    <s v="User Not Mapped"/>
    <s v="User Not Mapped"/>
    <s v="User Not Mapped"/>
    <n v="290835"/>
    <s v=" Mahamaya Krishi Bhander"/>
    <s v="District Cooperative Marketing Society"/>
    <s v="9933502068"/>
    <n v="3"/>
    <n v="107"/>
    <x v="7"/>
    <s v="'HE008066'"/>
    <s v="2026-01-03"/>
    <s v="269946"/>
    <s v="M/s. Janardan Parui"/>
    <s v="6290703360"/>
  </r>
  <r>
    <s v="RCF Trombay"/>
    <s v="15-15-15"/>
    <s v="WB"/>
    <x v="1"/>
    <s v="Kakdwip"/>
    <s v="User Not Mapped"/>
    <s v="User Not Mapped"/>
    <s v="User Not Mapped"/>
    <n v="462663"/>
    <s v="Babusana Fertilisers"/>
    <s v="Private Retailer"/>
    <s v="9800031189"/>
    <n v="0.05"/>
    <n v="102"/>
    <x v="7"/>
    <m/>
    <s v="2026-01-08"/>
    <s v="269946"/>
    <s v="M/s. Janardan Parui"/>
    <s v="6290703360"/>
  </r>
  <r>
    <s v="RCF Trombay"/>
    <s v="15-15-15"/>
    <s v="WB"/>
    <x v="1"/>
    <s v="Sagar"/>
    <s v="User Not Mapped"/>
    <s v="User Not Mapped"/>
    <s v="User Not Mapped"/>
    <n v="461902"/>
    <s v="Behula Krishi Bhander"/>
    <s v="Private Retailer"/>
    <s v="9609484954"/>
    <n v="4.4999999999999998E-2"/>
    <n v="1012"/>
    <x v="2"/>
    <m/>
    <s v="2023-07-13"/>
    <s v="269946"/>
    <s v="M/s. Janardan Parui"/>
    <s v="6290703360"/>
  </r>
  <r>
    <s v="RCF Thal"/>
    <s v="N.C.Urea(45kg)"/>
    <s v="WB"/>
    <x v="1"/>
    <s v="Falta"/>
    <s v="User Not Mapped"/>
    <s v="User Not Mapped"/>
    <s v="User Not Mapped"/>
    <n v="470990"/>
    <s v="BHUMI LAXMI FERTILISER"/>
    <s v="Private Retailer"/>
    <s v="9933821005"/>
    <n v="5.0000000000000001E-3"/>
    <n v="1477"/>
    <x v="2"/>
    <m/>
    <s v="2022-04-04"/>
    <s v="269946"/>
    <s v="M/s. Janardan Parui"/>
    <s v="6290703360"/>
  </r>
  <r>
    <s v="RCF Trombay"/>
    <s v="15-15-15"/>
    <s v="WB"/>
    <x v="1"/>
    <s v="Sagar"/>
    <s v="User Not Mapped"/>
    <s v="User Not Mapped"/>
    <s v="User Not Mapped"/>
    <n v="886514"/>
    <s v="BIKASH RANJAN MANDAL"/>
    <s v="Private Retailer"/>
    <s v="7479354055"/>
    <n v="7.5"/>
    <n v="18"/>
    <x v="5"/>
    <m/>
    <s v="2026-04-02"/>
    <s v="269946"/>
    <s v="M/s. Janardan Parui"/>
    <s v="6290703360"/>
  </r>
  <r>
    <s v="RCF Import"/>
    <s v="Imp 10-26-26"/>
    <s v="WB"/>
    <x v="1"/>
    <s v="Thakurpukur Mahestola"/>
    <s v="User Not Mapped"/>
    <s v="User Not Mapped"/>
    <s v="User Not Mapped"/>
    <n v="281049"/>
    <s v="Bimal Chandra Sardar"/>
    <s v="Private Retailer"/>
    <s v="9123868622"/>
    <n v="0.25"/>
    <n v="42"/>
    <x v="3"/>
    <m/>
    <s v="2026-03-09"/>
    <s v="269946"/>
    <s v="M/s. Janardan Parui"/>
    <s v="6290703360"/>
  </r>
  <r>
    <s v="RCF Trombay"/>
    <s v="N.C.Urea(45kg)"/>
    <s v="WB"/>
    <x v="1"/>
    <s v="Diamond Harbour - I"/>
    <s v="User Not Mapped"/>
    <s v="User Not Mapped"/>
    <s v="User Not Mapped"/>
    <n v="463199"/>
    <s v="Biswanath Halder"/>
    <s v="Private Retailer"/>
    <s v="8293152905"/>
    <n v="0.09"/>
    <n v="93"/>
    <x v="7"/>
    <m/>
    <s v="2026-01-17"/>
    <s v="269946"/>
    <s v="M/s. Janardan Parui"/>
    <s v="6290703360"/>
  </r>
  <r>
    <s v="RCF Trombay"/>
    <s v="N.C.Urea(45kg)"/>
    <s v="WB"/>
    <x v="1"/>
    <m/>
    <s v="User Not Mapped"/>
    <s v="User Not Mapped"/>
    <s v="User Not Mapped"/>
    <n v="461648"/>
    <s v="Chasi Bandhu Sar Bhander"/>
    <s v="Private Retailer"/>
    <s v="9635465326"/>
    <n v="1.5249999999999999"/>
    <n v="1325"/>
    <x v="2"/>
    <m/>
    <s v="2022-09-03"/>
    <s v="269946"/>
    <s v="M/s. Janardan Parui"/>
    <s v="6290703360"/>
  </r>
  <r>
    <s v="RCF Trombay"/>
    <s v="15-15-15"/>
    <s v="WB"/>
    <x v="1"/>
    <s v="Sagar"/>
    <s v="User Not Mapped"/>
    <s v="User Not Mapped"/>
    <s v="User Not Mapped"/>
    <n v="341225"/>
    <s v="Das Fertiliser"/>
    <s v="Private Retailer"/>
    <s v="7364098603"/>
    <n v="8.85"/>
    <n v="21"/>
    <x v="5"/>
    <m/>
    <s v="2026-03-30"/>
    <s v="269946"/>
    <s v="M/s. Janardan Parui"/>
    <s v="6290703360"/>
  </r>
  <r>
    <s v="RCF Import"/>
    <s v="Imp 10-26-26"/>
    <s v="WB"/>
    <x v="1"/>
    <s v="Sagar"/>
    <s v="User Not Mapped"/>
    <s v="User Not Mapped"/>
    <s v="User Not Mapped"/>
    <n v="341225"/>
    <s v="Das Fertiliser"/>
    <s v="Private Retailer"/>
    <s v="7364098603"/>
    <n v="2.6"/>
    <n v="20"/>
    <x v="5"/>
    <m/>
    <s v="2026-03-31"/>
    <s v="269946"/>
    <s v="M/s. Janardan Parui"/>
    <s v="6290703360"/>
  </r>
  <r>
    <s v="RCF Trombay"/>
    <s v="15-15-15"/>
    <s v="WB"/>
    <x v="1"/>
    <s v="Baruipur"/>
    <s v="User Not Mapped"/>
    <s v="User Not Mapped"/>
    <s v="User Not Mapped"/>
    <n v="384660"/>
    <s v="Das Fertilizer"/>
    <s v="Private Retailer"/>
    <s v="8961242940"/>
    <n v="0.75"/>
    <n v="44"/>
    <x v="3"/>
    <m/>
    <s v="2026-03-07"/>
    <s v="269946"/>
    <s v="M/s. Janardan Parui"/>
    <s v="6290703360"/>
  </r>
  <r>
    <s v="RCF Trombay"/>
    <s v="15-15-15"/>
    <s v="WB"/>
    <x v="1"/>
    <s v="Mandirbazar"/>
    <s v="User Not Mapped"/>
    <s v="User Not Mapped"/>
    <s v="User Not Mapped"/>
    <n v="341356"/>
    <s v="Gayen Fertilizer"/>
    <s v="Private Retailer"/>
    <s v="7319579836"/>
    <n v="0.5"/>
    <n v="52"/>
    <x v="3"/>
    <m/>
    <s v="2026-02-27"/>
    <s v="269946"/>
    <s v="M/s. Janardan Parui"/>
    <s v="6290703360"/>
  </r>
  <r>
    <s v="RCF Thal"/>
    <s v="N.C.Urea(45kg)"/>
    <s v="WB"/>
    <x v="1"/>
    <s v="Kakdwip"/>
    <s v="User Not Mapped"/>
    <s v="User Not Mapped"/>
    <s v="User Not Mapped"/>
    <n v="290753"/>
    <s v="Gouranga Krishi Bhandar"/>
    <s v="Private Retailer"/>
    <s v="9732546339"/>
    <n v="2.5649999999999999"/>
    <n v="41"/>
    <x v="3"/>
    <m/>
    <s v="2026-03-10"/>
    <s v="269946"/>
    <s v="M/s. Janardan Parui"/>
    <s v="6290703360"/>
  </r>
  <r>
    <s v="RCF Thal"/>
    <s v="N.C.Urea(45kg)"/>
    <s v="WB"/>
    <x v="1"/>
    <s v="Mandirbazar"/>
    <s v="User Not Mapped"/>
    <s v="User Not Mapped"/>
    <s v="User Not Mapped"/>
    <n v="608723"/>
    <s v="HALDER FERTILISER"/>
    <s v="Private Retailer"/>
    <s v="9093493788"/>
    <n v="1.71"/>
    <n v="42"/>
    <x v="3"/>
    <m/>
    <s v="2026-03-09"/>
    <s v="269946"/>
    <s v="M/s. Janardan Parui"/>
    <s v="6290703360"/>
  </r>
  <r>
    <s v="RCF Trombay"/>
    <s v="15-15-15"/>
    <s v="WB"/>
    <x v="1"/>
    <m/>
    <s v="User Not Mapped"/>
    <s v="User Not Mapped"/>
    <s v="User Not Mapped"/>
    <n v="342383"/>
    <s v="Kakdip Sar Bhandar"/>
    <s v="Private Wholsaler"/>
    <s v="9933502068"/>
    <n v="3.5"/>
    <n v="82"/>
    <x v="6"/>
    <s v="'HE009047'"/>
    <s v="2026-01-28"/>
    <s v="269946"/>
    <s v="M/s. Janardan Parui"/>
    <s v="6290703360"/>
  </r>
  <r>
    <s v="RCF Import"/>
    <s v="MOP"/>
    <s v="WB"/>
    <x v="1"/>
    <s v="Kakdwip"/>
    <s v="User Not Mapped"/>
    <s v="User Not Mapped"/>
    <s v="User Not Mapped"/>
    <n v="775021"/>
    <s v="KAKDWIP KRISHAK SATHI"/>
    <s v="Private Retailer"/>
    <s v="8348405319"/>
    <n v="10.5"/>
    <n v="445"/>
    <x v="0"/>
    <m/>
    <s v="2025-01-30"/>
    <s v="269946"/>
    <s v="M/s. Janardan Parui"/>
    <s v="6290703360"/>
  </r>
  <r>
    <s v="RCF Trombay"/>
    <s v="N.C.Urea(45kg)"/>
    <s v="WB"/>
    <x v="1"/>
    <s v="Kakdwip"/>
    <s v="User Not Mapped"/>
    <s v="User Not Mapped"/>
    <s v="User Not Mapped"/>
    <n v="775021"/>
    <s v="KAKDWIP KRISHAK SATHI"/>
    <s v="Private Retailer"/>
    <s v="8348405319"/>
    <n v="0.01"/>
    <n v="445"/>
    <x v="0"/>
    <m/>
    <s v="2025-01-30"/>
    <s v="269946"/>
    <s v="M/s. Janardan Parui"/>
    <s v="6290703360"/>
  </r>
  <r>
    <s v="RCF Trombay"/>
    <s v="15-15-15"/>
    <s v="WB"/>
    <x v="1"/>
    <s v="Kakdwip"/>
    <s v="User Not Mapped"/>
    <s v="User Not Mapped"/>
    <s v="User Not Mapped"/>
    <n v="775021"/>
    <s v="KAKDWIP KRISHAK SATHI"/>
    <s v="Private Retailer"/>
    <s v="8348405319"/>
    <n v="3.95"/>
    <n v="445"/>
    <x v="0"/>
    <m/>
    <s v="2025-01-30"/>
    <s v="269946"/>
    <s v="M/s. Janardan Parui"/>
    <s v="6290703360"/>
  </r>
  <r>
    <s v="RCF Thal"/>
    <s v="N.C.Urea(45kg)"/>
    <s v="WB"/>
    <x v="1"/>
    <s v="Basanti"/>
    <s v="User Not Mapped"/>
    <s v="User Not Mapped"/>
    <s v="User Not Mapped"/>
    <n v="290762"/>
    <s v="Kartick Ch. Mondal"/>
    <s v="Private Retailer"/>
    <s v="7602931643"/>
    <n v="10.08"/>
    <n v="41"/>
    <x v="3"/>
    <m/>
    <s v="2026-03-10"/>
    <s v="269946"/>
    <s v="M/s. Janardan Parui"/>
    <s v="6290703360"/>
  </r>
  <r>
    <s v="RCF Trombay"/>
    <s v="15-15-15"/>
    <s v="WB"/>
    <x v="1"/>
    <s v="Baruipur"/>
    <s v="User Not Mapped"/>
    <s v="User Not Mapped"/>
    <s v="User Not Mapped"/>
    <n v="654091"/>
    <s v="LAXMI FERTILIZER "/>
    <s v="Private Retailer"/>
    <s v="8910202099"/>
    <n v="0.5"/>
    <n v="44"/>
    <x v="3"/>
    <m/>
    <s v="2026-03-07"/>
    <s v="269946"/>
    <s v="M/s. Janardan Parui"/>
    <s v="6290703360"/>
  </r>
  <r>
    <s v="RCF Trombay"/>
    <s v="15-15-15"/>
    <s v="WB"/>
    <x v="1"/>
    <s v="Sonarpur"/>
    <s v="User Not Mapped"/>
    <s v="User Not Mapped"/>
    <s v="User Not Mapped"/>
    <n v="1441647"/>
    <s v="M/S FERTILIZER SHOP"/>
    <s v="Private Retailer"/>
    <s v="8274847927"/>
    <n v="0.35"/>
    <n v="96"/>
    <x v="7"/>
    <m/>
    <s v="2026-01-14"/>
    <s v="269946"/>
    <s v="M/s. Janardan Parui"/>
    <s v="6290703360"/>
  </r>
  <r>
    <s v="RCF Thal"/>
    <s v="N.C.Urea(45kg)"/>
    <s v="WB"/>
    <x v="1"/>
    <s v="Patharpratima"/>
    <s v="User Not Mapped"/>
    <s v="User Not Mapped"/>
    <s v="User Not Mapped"/>
    <n v="294890"/>
    <s v="M/S HABIBULLA MOLLA"/>
    <s v="Private Retailer"/>
    <s v="9732960394"/>
    <n v="7.0650000000000004"/>
    <n v="70"/>
    <x v="6"/>
    <m/>
    <s v="2026-02-09"/>
    <s v="269946"/>
    <s v="M/s. Janardan Parui"/>
    <s v="6290703360"/>
  </r>
  <r>
    <s v="RCF Import"/>
    <s v="Imp 10-26-26"/>
    <s v="WB"/>
    <x v="1"/>
    <s v="Patharpratima"/>
    <s v="User Not Mapped"/>
    <s v="User Not Mapped"/>
    <s v="User Not Mapped"/>
    <n v="294890"/>
    <s v="M/S HABIBULLA MOLLA"/>
    <s v="Private Retailer"/>
    <s v="9732960394"/>
    <n v="0.5"/>
    <n v="20"/>
    <x v="5"/>
    <m/>
    <s v="2026-03-31"/>
    <s v="269946"/>
    <s v="M/s. Janardan Parui"/>
    <s v="6290703360"/>
  </r>
  <r>
    <s v="RCF Trombay"/>
    <s v="15-15-15"/>
    <s v="WB"/>
    <x v="1"/>
    <s v="Kakdwip"/>
    <s v="User Not Mapped"/>
    <s v="User Not Mapped"/>
    <s v="User Not Mapped"/>
    <n v="461660"/>
    <s v="M/S KAKDWIP AGRO SERVICE"/>
    <s v="Private Retailer"/>
    <s v="9064266001"/>
    <n v="3.15"/>
    <n v="82"/>
    <x v="6"/>
    <m/>
    <s v="2026-01-28"/>
    <s v="269946"/>
    <s v="M/s. Janardan Parui"/>
    <s v="6290703360"/>
  </r>
  <r>
    <s v="RCF Thal"/>
    <s v="N.C.Urea(45kg)"/>
    <s v="WB"/>
    <x v="1"/>
    <s v="Kakdwip"/>
    <s v="User Not Mapped"/>
    <s v="User Not Mapped"/>
    <s v="User Not Mapped"/>
    <n v="633248"/>
    <s v="M/S MA KALI KRISHI BHANDERER"/>
    <s v="Private Retailer"/>
    <s v="8001066099"/>
    <n v="0.63"/>
    <n v="41"/>
    <x v="3"/>
    <m/>
    <s v="2026-03-10"/>
    <s v="269946"/>
    <s v="M/s. Janardan Parui"/>
    <s v="6290703360"/>
  </r>
  <r>
    <s v="RCF Import"/>
    <s v="Imp 10-26-26"/>
    <s v="WB"/>
    <x v="1"/>
    <s v="Falta"/>
    <s v="User Not Mapped"/>
    <s v="User Not Mapped"/>
    <s v="User Not Mapped"/>
    <n v="1161885"/>
    <s v="M/S MONISH HALDAR"/>
    <s v="Private Retailer"/>
    <s v="6294316294"/>
    <n v="5.75"/>
    <n v="20"/>
    <x v="5"/>
    <m/>
    <s v="2026-03-31"/>
    <s v="269946"/>
    <s v="M/s. Janardan Parui"/>
    <s v="6290703360"/>
  </r>
  <r>
    <s v="RCF Thal"/>
    <s v="N.C.Urea(45kg)"/>
    <s v="WB"/>
    <x v="1"/>
    <s v="Falta"/>
    <s v="User Not Mapped"/>
    <s v="User Not Mapped"/>
    <s v="User Not Mapped"/>
    <n v="1161885"/>
    <s v="M/S MONISH HALDAR"/>
    <s v="Private Retailer"/>
    <s v="6294316294"/>
    <n v="10.98"/>
    <n v="70"/>
    <x v="6"/>
    <m/>
    <s v="2026-02-09"/>
    <s v="269946"/>
    <s v="M/s. Janardan Parui"/>
    <s v="6290703360"/>
  </r>
  <r>
    <s v="RCF Trombay"/>
    <s v="15-15-15"/>
    <s v="WB"/>
    <x v="1"/>
    <s v="Diamond Harbour - I"/>
    <s v="User Not Mapped"/>
    <s v="User Not Mapped"/>
    <s v="User Not Mapped"/>
    <n v="290798"/>
    <s v="M/S Moyra Fertiliser"/>
    <s v="Private Retailer"/>
    <s v="9775071392"/>
    <n v="0.05"/>
    <n v="97"/>
    <x v="7"/>
    <m/>
    <s v="2026-01-13"/>
    <s v="269946"/>
    <s v="M/s. Janardan Parui"/>
    <s v="6290703360"/>
  </r>
  <r>
    <s v="RCF Trombay"/>
    <s v="15-15-15"/>
    <s v="WB"/>
    <x v="1"/>
    <s v="Kakdwip"/>
    <s v="User Not Mapped"/>
    <s v="User Not Mapped"/>
    <s v="User Not Mapped"/>
    <n v="309266"/>
    <s v="M/S SUDARSAN PANDIT"/>
    <s v="Private Retailer"/>
    <s v="9433120430"/>
    <n v="5.5"/>
    <n v="26"/>
    <x v="5"/>
    <m/>
    <s v="2026-03-25"/>
    <s v="269946"/>
    <s v="M/s. Janardan Parui"/>
    <s v="6290703360"/>
  </r>
  <r>
    <s v="RCF Trombay"/>
    <s v="15-15-15"/>
    <s v="WB"/>
    <x v="1"/>
    <s v="Kakdwip"/>
    <s v="User Not Mapped"/>
    <s v="User Not Mapped"/>
    <s v="User Not Mapped"/>
    <n v="309266"/>
    <s v="M/S SUDARSAN PANDIT"/>
    <s v="Private Retailer"/>
    <s v="9433120430"/>
    <n v="2.5"/>
    <n v="13"/>
    <x v="5"/>
    <m/>
    <s v="2026-04-07"/>
    <s v="269946"/>
    <s v="M/s. Janardan Parui"/>
    <s v="6290703360"/>
  </r>
  <r>
    <s v="RCF Trombay"/>
    <s v="15-15-15"/>
    <s v="WB"/>
    <x v="1"/>
    <s v="Kakdwip"/>
    <s v="User Not Mapped"/>
    <s v="User Not Mapped"/>
    <s v="User Not Mapped"/>
    <n v="309266"/>
    <s v="M/S SUDARSAN PANDIT"/>
    <s v="Private Retailer"/>
    <s v="9433120430"/>
    <n v="5.5"/>
    <n v="82"/>
    <x v="6"/>
    <m/>
    <s v="2026-01-28"/>
    <s v="269946"/>
    <s v="M/s. Janardan Parui"/>
    <s v="6290703360"/>
  </r>
  <r>
    <s v="RCF Import"/>
    <s v="Imp 10-26-26"/>
    <s v="WB"/>
    <x v="1"/>
    <s v="Bishnupur - II"/>
    <s v="User Not Mapped"/>
    <s v="User Not Mapped"/>
    <s v="User Not Mapped"/>
    <n v="281186"/>
    <s v="M/S Sukumar Das"/>
    <s v="Private Wholsaler"/>
    <s v="9433009221"/>
    <n v="3"/>
    <n v="34"/>
    <x v="3"/>
    <s v="'gp00452'"/>
    <s v="2026-03-17"/>
    <s v="269946"/>
    <s v="M/s. Janardan Parui"/>
    <s v="6290703360"/>
  </r>
  <r>
    <s v="RCF Thal"/>
    <s v="N.C.Urea(45kg)"/>
    <s v="WB"/>
    <x v="1"/>
    <m/>
    <s v="User Not Mapped"/>
    <s v="User Not Mapped"/>
    <s v="User Not Mapped"/>
    <n v="639083"/>
    <s v="MA KALI KRISHI BHANDER"/>
    <s v="Private Retailer"/>
    <s v="9382348419"/>
    <n v="4.4999999999999998E-2"/>
    <n v="2249"/>
    <x v="2"/>
    <m/>
    <s v="2020-02-22"/>
    <s v="269946"/>
    <s v="M/s. Janardan Parui"/>
    <s v="6290703360"/>
  </r>
  <r>
    <s v="RCF Thal"/>
    <s v="N.C.Urea(45kg)"/>
    <s v="WB"/>
    <x v="1"/>
    <m/>
    <s v="User Not Mapped"/>
    <s v="User Not Mapped"/>
    <s v="User Not Mapped"/>
    <n v="639083"/>
    <s v="MA KALI KRISHI BHANDER"/>
    <s v="Private Retailer"/>
    <s v="9382348419"/>
    <n v="0.67500000000000004"/>
    <n v="1526"/>
    <x v="2"/>
    <m/>
    <s v="2022-02-14"/>
    <s v="269946"/>
    <s v="M/s. Janardan Parui"/>
    <s v="6290703360"/>
  </r>
  <r>
    <s v="RCF Trombay"/>
    <s v="N.C.Urea(45kg)"/>
    <s v="WB"/>
    <x v="1"/>
    <s v="Patharpratima"/>
    <s v="User Not Mapped"/>
    <s v="User Not Mapped"/>
    <s v="User Not Mapped"/>
    <n v="986026"/>
    <s v="MAA SARDAR KRISHI BHANDER"/>
    <s v="Private Retailer"/>
    <s v="9732596590"/>
    <n v="5.0000000000000001E-3"/>
    <n v="810"/>
    <x v="2"/>
    <m/>
    <s v="2024-01-31"/>
    <s v="269946"/>
    <s v="M/s. Janardan Parui"/>
    <s v="6290703360"/>
  </r>
  <r>
    <s v="RCF Trombay"/>
    <s v="15-15-15"/>
    <s v="WB"/>
    <x v="1"/>
    <s v="Magrahat - II"/>
    <s v="User Not Mapped"/>
    <s v="User Not Mapped"/>
    <s v="User Not Mapped"/>
    <n v="456138"/>
    <s v="Md Selim Zafar Laskar"/>
    <s v="Private Retailer"/>
    <s v="9732810877"/>
    <n v="0.25"/>
    <n v="51"/>
    <x v="3"/>
    <m/>
    <s v="2026-02-28"/>
    <s v="269946"/>
    <s v="M/s. Janardan Parui"/>
    <s v="6290703360"/>
  </r>
  <r>
    <s v="RCF Trombay"/>
    <s v="15-15-15"/>
    <s v="WB"/>
    <x v="1"/>
    <s v="Magrahat - II"/>
    <s v="User Not Mapped"/>
    <s v="User Not Mapped"/>
    <s v="User Not Mapped"/>
    <n v="456138"/>
    <s v="Md Selim Zafar Laskar"/>
    <s v="Private Retailer"/>
    <s v="9732810877"/>
    <n v="0.5"/>
    <n v="20"/>
    <x v="5"/>
    <m/>
    <s v="2026-03-31"/>
    <s v="269946"/>
    <s v="M/s. Janardan Parui"/>
    <s v="6290703360"/>
  </r>
  <r>
    <s v="RCF Trombay"/>
    <s v="15-15-15"/>
    <s v="WB"/>
    <x v="1"/>
    <s v="Magrahat - II"/>
    <s v="User Not Mapped"/>
    <s v="User Not Mapped"/>
    <s v="User Not Mapped"/>
    <n v="456138"/>
    <s v="Md Selim Zafar Laskar"/>
    <s v="Private Retailer"/>
    <s v="9732810877"/>
    <n v="1"/>
    <n v="44"/>
    <x v="3"/>
    <m/>
    <s v="2026-03-07"/>
    <s v="269946"/>
    <s v="M/s. Janardan Parui"/>
    <s v="6290703360"/>
  </r>
  <r>
    <s v="RCF Trombay"/>
    <s v="N.C.Urea(45kg)"/>
    <s v="WB"/>
    <x v="1"/>
    <s v="Magrahat - I"/>
    <s v="User Not Mapped"/>
    <s v="User Not Mapped"/>
    <s v="User Not Mapped"/>
    <n v="530314"/>
    <s v="Md.Sahabuddin Paik"/>
    <s v="Private Retailer"/>
    <s v="9734114058"/>
    <n v="5.04"/>
    <n v="93"/>
    <x v="7"/>
    <m/>
    <s v="2026-01-17"/>
    <s v="269946"/>
    <s v="M/s. Janardan Parui"/>
    <s v="6290703360"/>
  </r>
  <r>
    <s v="RCF Import"/>
    <s v="Imp 10-26-26"/>
    <s v="WB"/>
    <x v="1"/>
    <s v="Magrahat - I"/>
    <s v="User Not Mapped"/>
    <s v="User Not Mapped"/>
    <s v="User Not Mapped"/>
    <n v="530314"/>
    <s v="Md.Sahabuddin Paik"/>
    <s v="Private Retailer"/>
    <s v="9734114058"/>
    <n v="5.5"/>
    <n v="20"/>
    <x v="5"/>
    <m/>
    <s v="2026-03-31"/>
    <s v="269946"/>
    <s v="M/s. Janardan Parui"/>
    <s v="6290703360"/>
  </r>
  <r>
    <s v="RCF Trombay"/>
    <s v="N.C.Urea(45kg)"/>
    <s v="WB"/>
    <x v="1"/>
    <s v="Magrahat - I"/>
    <s v="User Not Mapped"/>
    <s v="User Not Mapped"/>
    <s v="User Not Mapped"/>
    <n v="530314"/>
    <s v="Md.Sahabuddin Paik"/>
    <s v="Private Retailer"/>
    <s v="9734114058"/>
    <n v="10.98"/>
    <n v="68"/>
    <x v="6"/>
    <m/>
    <s v="2026-02-11"/>
    <s v="269946"/>
    <s v="M/s. Janardan Parui"/>
    <s v="6290703360"/>
  </r>
  <r>
    <s v="RCF Trombay"/>
    <s v="15-15-15"/>
    <s v="WB"/>
    <x v="1"/>
    <s v="Sagar"/>
    <s v="User Not Mapped"/>
    <s v="User Not Mapped"/>
    <s v="User Not Mapped"/>
    <n v="309211"/>
    <s v="Mondal Fertiliser"/>
    <s v="Private Retailer"/>
    <s v="9733554076"/>
    <n v="2.5"/>
    <n v="18"/>
    <x v="5"/>
    <m/>
    <s v="2026-04-02"/>
    <s v="269946"/>
    <s v="M/s. Janardan Parui"/>
    <s v="6290703360"/>
  </r>
  <r>
    <s v="RCF Trombay"/>
    <s v="15-15-15"/>
    <s v="WB"/>
    <x v="1"/>
    <m/>
    <s v="User Not Mapped"/>
    <s v="User Not Mapped"/>
    <s v="User Not Mapped"/>
    <n v="342381"/>
    <s v="Namkhana Krishi Bipani"/>
    <s v="Private Wholsaler"/>
    <s v="9933792735"/>
    <n v="3"/>
    <n v="502"/>
    <x v="0"/>
    <s v="'HD006235'"/>
    <s v="2024-12-04"/>
    <s v="269946"/>
    <s v="M/s. Janardan Parui"/>
    <s v="6290703360"/>
  </r>
  <r>
    <s v="RCF Trombay"/>
    <s v="15-15-15"/>
    <s v="WB"/>
    <x v="1"/>
    <s v="Baruipur"/>
    <s v="User Not Mapped"/>
    <s v="User Not Mapped"/>
    <s v="User Not Mapped"/>
    <n v="1161883"/>
    <s v="NASKAR FERTILIZER"/>
    <s v="Private Retailer"/>
    <s v="9564212200"/>
    <n v="10.98"/>
    <n v="40"/>
    <x v="3"/>
    <m/>
    <s v="2026-03-11"/>
    <s v="269946"/>
    <s v="M/s. Janardan Parui"/>
    <s v="6290703360"/>
  </r>
  <r>
    <s v="RCF Thal"/>
    <s v="N.C.Urea(45kg)"/>
    <s v="WB"/>
    <x v="1"/>
    <m/>
    <s v="User Not Mapped"/>
    <s v="User Not Mapped"/>
    <s v="User Not Mapped"/>
    <n v="355813"/>
    <s v="Nimai Das"/>
    <s v="Private Retailer"/>
    <s v="9830009416"/>
    <n v="0.34"/>
    <n v="1678"/>
    <x v="2"/>
    <m/>
    <s v="2021-09-15"/>
    <s v="269946"/>
    <s v="M/s. Janardan Parui"/>
    <s v="6290703360"/>
  </r>
  <r>
    <s v="RCF Trombay"/>
    <s v="N.C.Urea(45kg)"/>
    <s v="WB"/>
    <x v="1"/>
    <s v="Sagar"/>
    <s v="User Not Mapped"/>
    <s v="User Not Mapped"/>
    <s v="User Not Mapped"/>
    <n v="533418"/>
    <s v="Panchami Krishi Bhander"/>
    <s v="Private Retailer"/>
    <s v="9932719887"/>
    <n v="4.4999999999999998E-2"/>
    <n v="125"/>
    <x v="4"/>
    <m/>
    <s v="2025-12-16"/>
    <s v="269946"/>
    <s v="M/s. Janardan Parui"/>
    <s v="6290703360"/>
  </r>
  <r>
    <s v="RCF Trombay"/>
    <s v="N.C.Urea(45kg)"/>
    <s v="WB"/>
    <x v="1"/>
    <s v="Diamond Harbour - I"/>
    <s v="User Not Mapped"/>
    <s v="User Not Mapped"/>
    <s v="User Not Mapped"/>
    <n v="642838"/>
    <s v="PIJUSH KANTI PANUA"/>
    <s v="Private Retailer"/>
    <s v="9093965285"/>
    <n v="0.09"/>
    <n v="93"/>
    <x v="7"/>
    <m/>
    <s v="2026-01-17"/>
    <s v="269946"/>
    <s v="M/s. Janardan Parui"/>
    <s v="6290703360"/>
  </r>
  <r>
    <s v="RCF Thal"/>
    <s v="N.C.Urea(45kg)"/>
    <s v="WB"/>
    <x v="1"/>
    <s v="Diamond Harbour - I"/>
    <s v="User Not Mapped"/>
    <s v="User Not Mapped"/>
    <s v="User Not Mapped"/>
    <n v="642838"/>
    <s v="PIJUSH KANTI PANUA"/>
    <s v="Private Retailer"/>
    <s v="9093965285"/>
    <n v="5.5E-2"/>
    <n v="140"/>
    <x v="4"/>
    <m/>
    <s v="2025-12-01"/>
    <s v="269946"/>
    <s v="M/s. Janardan Parui"/>
    <s v="6290703360"/>
  </r>
  <r>
    <s v="RCF Trombay"/>
    <s v="N.C.Urea(45kg)"/>
    <s v="WB"/>
    <x v="1"/>
    <s v="Diamond Harbour - II"/>
    <s v="User Not Mapped"/>
    <s v="User Not Mapped"/>
    <s v="User Not Mapped"/>
    <n v="342369"/>
    <s v="Priti Fertilizer"/>
    <s v="Private Retailer"/>
    <s v="9733336361"/>
    <n v="0.193"/>
    <n v="2649"/>
    <x v="2"/>
    <m/>
    <s v="2019-01-18"/>
    <s v="269946"/>
    <s v="M/s. Janardan Parui"/>
    <s v="6290703360"/>
  </r>
  <r>
    <s v="RCF Thal"/>
    <s v="N.C.Urea(45kg)"/>
    <s v="WB"/>
    <x v="1"/>
    <s v="Kultali"/>
    <s v="User Not Mapped"/>
    <s v="User Not Mapped"/>
    <s v="User Not Mapped"/>
    <n v="470952"/>
    <s v="PURKAIT FERTILIZER"/>
    <s v="Private Retailer"/>
    <s v="8906428470"/>
    <n v="9.36"/>
    <n v="41"/>
    <x v="3"/>
    <m/>
    <s v="2026-03-10"/>
    <s v="269946"/>
    <s v="M/s. Janardan Parui"/>
    <s v="6290703360"/>
  </r>
  <r>
    <s v="RCF Trombay"/>
    <s v="N.C.Urea(45kg)"/>
    <s v="WB"/>
    <x v="1"/>
    <s v="Kakdwip"/>
    <s v="User Not Mapped"/>
    <s v="User Not Mapped"/>
    <s v="User Not Mapped"/>
    <n v="461666"/>
    <s v="Radha Gobinda Krishi Bhander"/>
    <s v="Private Retailer"/>
    <s v="9732412212"/>
    <n v="0.59499999999999997"/>
    <n v="88"/>
    <x v="6"/>
    <m/>
    <s v="2026-01-22"/>
    <s v="269946"/>
    <s v="M/s. Janardan Parui"/>
    <s v="6290703360"/>
  </r>
  <r>
    <s v="RCF Trombay"/>
    <s v="15-15-15"/>
    <s v="WB"/>
    <x v="1"/>
    <m/>
    <s v="User Not Mapped"/>
    <s v="User Not Mapped"/>
    <s v="User Not Mapped"/>
    <n v="461145"/>
    <s v="Rakesh Sar Bhander"/>
    <s v="Private Retailer"/>
    <s v="8145258385"/>
    <n v="0.5"/>
    <n v="20"/>
    <x v="5"/>
    <m/>
    <s v="2026-03-31"/>
    <s v="269946"/>
    <s v="M/s. Janardan Parui"/>
    <s v="6290703360"/>
  </r>
  <r>
    <s v="RCF Trombay"/>
    <s v="15-15-15"/>
    <s v="WB"/>
    <x v="1"/>
    <s v="Sonarpur"/>
    <s v="User Not Mapped"/>
    <s v="User Not Mapped"/>
    <s v="User Not Mapped"/>
    <n v="466904"/>
    <s v="Saikat Fertilisers"/>
    <s v="Private Retailer"/>
    <s v="8981123330"/>
    <n v="0.22700000000000001"/>
    <n v="88"/>
    <x v="6"/>
    <m/>
    <s v="2026-01-22"/>
    <s v="269946"/>
    <s v="M/s. Janardan Parui"/>
    <s v="6290703360"/>
  </r>
  <r>
    <s v="RCF Trombay"/>
    <s v="15-15-15"/>
    <s v="WB"/>
    <x v="1"/>
    <s v="Budge Budge - II"/>
    <s v="User Not Mapped"/>
    <s v="User Not Mapped"/>
    <s v="User Not Mapped"/>
    <n v="640601"/>
    <s v="SAIKAT KHAN"/>
    <s v="Private Retailer"/>
    <s v="9051241759"/>
    <n v="0.05"/>
    <n v="139"/>
    <x v="4"/>
    <m/>
    <s v="2025-12-02"/>
    <s v="269946"/>
    <s v="M/s. Janardan Parui"/>
    <s v="6290703360"/>
  </r>
  <r>
    <s v="RCF Trombay"/>
    <s v="15-15-15"/>
    <s v="WB"/>
    <x v="1"/>
    <s v="Sagar"/>
    <s v="User Not Mapped"/>
    <s v="User Not Mapped"/>
    <s v="User Not Mapped"/>
    <n v="356275"/>
    <s v="Santi Krishi Bhandar Prop-P.Karan"/>
    <s v="Private Retailer"/>
    <s v="7430880163"/>
    <n v="0.45"/>
    <n v="27"/>
    <x v="5"/>
    <m/>
    <s v="2026-03-24"/>
    <s v="269946"/>
    <s v="M/s. Janardan Parui"/>
    <s v="6290703360"/>
  </r>
  <r>
    <s v="RCF Import"/>
    <s v="Imp 10-26-26"/>
    <s v="WB"/>
    <x v="1"/>
    <s v="Patharpratima"/>
    <s v="User Not Mapped"/>
    <s v="User Not Mapped"/>
    <s v="User Not Mapped"/>
    <n v="310251"/>
    <s v="Sindhu Sar Bhandar"/>
    <s v="Private Retailer"/>
    <s v="9732619342"/>
    <n v="5.25"/>
    <n v="20"/>
    <x v="5"/>
    <m/>
    <s v="2026-03-31"/>
    <s v="269946"/>
    <s v="M/s. Janardan Parui"/>
    <s v="6290703360"/>
  </r>
  <r>
    <s v="RCF Trombay"/>
    <s v="15-15-15"/>
    <s v="WB"/>
    <x v="1"/>
    <s v="Patharpratima"/>
    <s v="User Not Mapped"/>
    <s v="User Not Mapped"/>
    <s v="User Not Mapped"/>
    <n v="310251"/>
    <s v="Sindhu Sar Bhandar"/>
    <s v="Private Retailer"/>
    <s v="9732619342"/>
    <n v="6.95"/>
    <n v="21"/>
    <x v="5"/>
    <m/>
    <s v="2026-03-30"/>
    <s v="269946"/>
    <s v="M/s. Janardan Parui"/>
    <s v="6290703360"/>
  </r>
  <r>
    <s v="RCF Thal"/>
    <s v="N.C.Urea(45kg)"/>
    <s v="WB"/>
    <x v="1"/>
    <s v="Kakdwip"/>
    <s v="User Not Mapped"/>
    <s v="User Not Mapped"/>
    <s v="User Not Mapped"/>
    <n v="462689"/>
    <s v="Sonali Krishi Bhander"/>
    <s v="Private Retailer"/>
    <s v="9800989766"/>
    <n v="1.155"/>
    <n v="54"/>
    <x v="3"/>
    <m/>
    <s v="2026-02-25"/>
    <s v="269946"/>
    <s v="M/s. Janardan Parui"/>
    <s v="6290703360"/>
  </r>
  <r>
    <s v="RCF Thal"/>
    <s v="N.C.Urea(45kg)"/>
    <s v="WB"/>
    <x v="1"/>
    <s v="Sagar"/>
    <s v="User Not Mapped"/>
    <s v="User Not Mapped"/>
    <s v="User Not Mapped"/>
    <n v="462673"/>
    <s v="Srima Sarada Sar Ghar"/>
    <s v="Private Retailer"/>
    <s v="8348864558"/>
    <n v="0.9"/>
    <n v="42"/>
    <x v="3"/>
    <m/>
    <s v="2026-03-09"/>
    <s v="269946"/>
    <s v="M/s. Janardan Parui"/>
    <s v="6290703360"/>
  </r>
  <r>
    <s v="RCF Trombay"/>
    <s v="N.C.Urea(45kg)"/>
    <s v="WB"/>
    <x v="1"/>
    <s v="Mandirbazar"/>
    <s v="User Not Mapped"/>
    <s v="User Not Mapped"/>
    <s v="User Not Mapped"/>
    <n v="460755"/>
    <s v="Subhendu Mondal"/>
    <s v="Private Retailer"/>
    <s v="9733635633"/>
    <n v="6.3"/>
    <n v="93"/>
    <x v="7"/>
    <m/>
    <s v="2026-01-17"/>
    <s v="269946"/>
    <s v="M/s. Janardan Parui"/>
    <s v="6290703360"/>
  </r>
  <r>
    <s v="RCF Trombay"/>
    <s v="N.C.Urea(45kg)"/>
    <s v="WB"/>
    <x v="1"/>
    <s v="Mandirbazar"/>
    <s v="User Not Mapped"/>
    <s v="User Not Mapped"/>
    <s v="User Not Mapped"/>
    <n v="460755"/>
    <s v="Subhendu Mondal"/>
    <s v="Private Retailer"/>
    <s v="9733635633"/>
    <n v="4.8949999999999996"/>
    <n v="88"/>
    <x v="6"/>
    <m/>
    <s v="2026-01-22"/>
    <s v="269946"/>
    <s v="M/s. Janardan Parui"/>
    <s v="6290703360"/>
  </r>
  <r>
    <s v="RCF Thal"/>
    <s v="N.C.Urea(45kg)"/>
    <s v="WB"/>
    <x v="1"/>
    <s v="Kulpi"/>
    <s v="User Not Mapped"/>
    <s v="User Not Mapped"/>
    <s v="User Not Mapped"/>
    <n v="281109"/>
    <s v="Sukendu Majumdar"/>
    <s v="Private Retailer"/>
    <s v="9734389320"/>
    <n v="1.125"/>
    <n v="42"/>
    <x v="3"/>
    <m/>
    <s v="2026-03-09"/>
    <s v="269946"/>
    <s v="M/s. Janardan Parui"/>
    <s v="6290703360"/>
  </r>
  <r>
    <s v="RCF Thal"/>
    <s v="N.C.Urea(45kg)"/>
    <s v="WB"/>
    <x v="1"/>
    <m/>
    <s v="User Not Mapped"/>
    <s v="User Not Mapped"/>
    <s v="User Not Mapped"/>
    <n v="342378"/>
    <s v="Sundarban Agro Service"/>
    <s v="Private Retailer"/>
    <s v="8900726599"/>
    <n v="2.2949999999999999"/>
    <n v="1399"/>
    <x v="2"/>
    <m/>
    <s v="2022-06-21"/>
    <s v="269946"/>
    <s v="M/s. Janardan Parui"/>
    <s v="6290703360"/>
  </r>
  <r>
    <s v="RCF Trombay"/>
    <s v="15-15-15"/>
    <s v="WB"/>
    <x v="1"/>
    <s v="Budge Budge - II"/>
    <s v="User Not Mapped"/>
    <s v="User Not Mapped"/>
    <s v="User Not Mapped"/>
    <n v="384668"/>
    <s v="Sushil Krishna Samanta"/>
    <s v="Private Retailer"/>
    <s v="9836482006"/>
    <n v="0.25"/>
    <n v="20"/>
    <x v="5"/>
    <m/>
    <s v="2026-03-31"/>
    <s v="269946"/>
    <s v="M/s. Janardan Parui"/>
    <s v="6290703360"/>
  </r>
  <r>
    <s v="RCF Trombay"/>
    <s v="15-15-15"/>
    <s v="WB"/>
    <x v="1"/>
    <s v="Sagar"/>
    <s v="User Not Mapped"/>
    <s v="User Not Mapped"/>
    <s v="User Not Mapped"/>
    <n v="462667"/>
    <s v="Swapan Kumar Bera"/>
    <s v="Private Retailer"/>
    <s v="9732786693"/>
    <n v="5.5"/>
    <n v="21"/>
    <x v="5"/>
    <m/>
    <s v="2026-03-30"/>
    <s v="269946"/>
    <s v="M/s. Janardan Parui"/>
    <s v="6290703360"/>
  </r>
  <r>
    <s v="RCF Trombay"/>
    <s v="15-15-15"/>
    <s v="WB"/>
    <x v="1"/>
    <s v="Sagar"/>
    <s v="User Not Mapped"/>
    <s v="User Not Mapped"/>
    <s v="User Not Mapped"/>
    <n v="462667"/>
    <s v="Swapan Kumar Bera"/>
    <s v="Private Retailer"/>
    <s v="9732786693"/>
    <n v="0.8"/>
    <n v="97"/>
    <x v="7"/>
    <m/>
    <s v="2026-01-13"/>
    <s v="269946"/>
    <s v="M/s. Janardan Parui"/>
    <s v="6290703360"/>
  </r>
  <r>
    <s v="RCF Trombay"/>
    <s v="15-15-15"/>
    <s v="WB"/>
    <x v="1"/>
    <s v="Sagar"/>
    <s v="User Not Mapped"/>
    <s v="User Not Mapped"/>
    <s v="User Not Mapped"/>
    <n v="462739"/>
    <s v="Vibekananda Pradhan"/>
    <s v="Private Retailer"/>
    <s v="9564761868"/>
    <n v="0.9"/>
    <n v="21"/>
    <x v="5"/>
    <m/>
    <s v="2026-03-30"/>
    <s v="269946"/>
    <s v="M/s. Janardan Parui"/>
    <s v="6290703360"/>
  </r>
  <r>
    <s v="RCF Trombay"/>
    <s v="15-15-15"/>
    <s v="WB"/>
    <x v="1"/>
    <s v="Bhangar - I"/>
    <s v="User Not Mapped"/>
    <s v="User Not Mapped"/>
    <s v="User Not Mapped"/>
    <n v="1411819"/>
    <s v="ABU HOSSAIN FERTILIZER"/>
    <s v="Private Retailer"/>
    <s v="8116798046"/>
    <n v="2.1"/>
    <n v="491"/>
    <x v="0"/>
    <m/>
    <s v="2024-12-15"/>
    <s v="355645"/>
    <s v="M/s. Md Sahidul Islam"/>
    <s v="9883502324"/>
  </r>
  <r>
    <s v="RCF Trombay"/>
    <s v="15-15-15"/>
    <s v="WB"/>
    <x v="1"/>
    <s v="Bhangar - II"/>
    <s v="User Not Mapped"/>
    <s v="User Not Mapped"/>
    <s v="User Not Mapped"/>
    <n v="510504"/>
    <s v="Md Sahidul Islam"/>
    <s v="Private Retailer"/>
    <s v="8768971493"/>
    <n v="11"/>
    <n v="21"/>
    <x v="5"/>
    <m/>
    <s v="2026-03-30"/>
    <s v="355645"/>
    <s v="M/s. Md Sahidul Islam"/>
    <s v="9883502324"/>
  </r>
  <r>
    <s v="RCF Trombay"/>
    <s v="15-15-15"/>
    <s v="WB"/>
    <x v="1"/>
    <m/>
    <s v="User Not Mapped"/>
    <s v="User Not Mapped"/>
    <s v="User Not Mapped"/>
    <n v="469844"/>
    <s v="Md. Abdul Ahid Molla"/>
    <s v="Private Retailer"/>
    <s v="9734270182"/>
    <n v="1.1000000000000001"/>
    <n v="1867"/>
    <x v="2"/>
    <m/>
    <s v="2021-03-10"/>
    <s v="355645"/>
    <s v="M/s. Md Sahidul Islam"/>
    <s v="9883502324"/>
  </r>
  <r>
    <s v="RCF Trombay"/>
    <s v="N.C.Urea(45kg)"/>
    <s v="WB"/>
    <x v="1"/>
    <m/>
    <s v="User Not Mapped"/>
    <s v="User Not Mapped"/>
    <s v="User Not Mapped"/>
    <n v="1019531"/>
    <s v="MALANGINI FERTILIZER"/>
    <s v="Private Retailer"/>
    <s v="7872653841"/>
    <n v="0.13"/>
    <n v="2346"/>
    <x v="2"/>
    <m/>
    <s v="2019-11-17"/>
    <s v="281115"/>
    <s v="M/s. Nirmalendu Halder"/>
    <s v="9433233606"/>
  </r>
  <r>
    <s v="RCF Trombay"/>
    <s v="15-15-15"/>
    <s v="WB"/>
    <x v="1"/>
    <m/>
    <s v="User Not Mapped"/>
    <s v="User Not Mapped"/>
    <s v="User Not Mapped"/>
    <n v="1019531"/>
    <s v="MALANGINI FERTILIZER"/>
    <s v="Private Retailer"/>
    <s v="7872653841"/>
    <n v="3.5000000000000003E-2"/>
    <n v="2346"/>
    <x v="2"/>
    <m/>
    <s v="2019-11-17"/>
    <s v="281115"/>
    <s v="M/s. Nirmalendu Halder"/>
    <s v="9433233606"/>
  </r>
  <r>
    <s v="RCF Thal"/>
    <s v="N.C.Urea(45kg)"/>
    <s v="WB"/>
    <x v="1"/>
    <m/>
    <s v="User Not Mapped"/>
    <s v="User Not Mapped"/>
    <s v="User Not Mapped"/>
    <n v="466831"/>
    <s v="Dadhiram Pramanik"/>
    <s v="Private Retailer"/>
    <s v="9733833395"/>
    <n v="1.335"/>
    <n v="1969"/>
    <x v="2"/>
    <m/>
    <s v="2020-11-28"/>
    <s v="775216"/>
    <s v="MA NAMITA ENTERPRISE"/>
    <s v="7699295315"/>
  </r>
  <r>
    <s v="RCF Trombay"/>
    <s v="N.C.Urea(45kg)"/>
    <s v="WB"/>
    <x v="1"/>
    <s v="Kultali"/>
    <s v="User Not Mapped"/>
    <s v="User Not Mapped"/>
    <s v="User Not Mapped"/>
    <n v="548622"/>
    <s v="Mondal Fertiliser"/>
    <s v="Private Retailer"/>
    <s v="8346985355"/>
    <n v="0.72"/>
    <n v="941"/>
    <x v="2"/>
    <m/>
    <s v="2023-09-22"/>
    <s v="775216"/>
    <s v="MA NAMITA ENTERPRISE"/>
    <s v="7699295315"/>
  </r>
  <r>
    <s v="RCF Trombay"/>
    <s v="N.C.Urea(45kg)"/>
    <s v="WB"/>
    <x v="1"/>
    <m/>
    <s v="User Not Mapped"/>
    <s v="User Not Mapped"/>
    <s v="User Not Mapped"/>
    <n v="281127"/>
    <s v=" Gandhari Bhander (Sukumar Hal"/>
    <s v="Private Retailer"/>
    <s v="9647141906"/>
    <n v="1.45"/>
    <n v="2082"/>
    <x v="2"/>
    <m/>
    <s v="2020-08-07"/>
    <s v="281125"/>
    <s v="Manoda Fertilisers            "/>
    <s v="9830280488"/>
  </r>
  <r>
    <s v="RCF Trombay"/>
    <s v="15-15-15"/>
    <s v="WB"/>
    <x v="1"/>
    <m/>
    <s v="User Not Mapped"/>
    <s v="User Not Mapped"/>
    <s v="User Not Mapped"/>
    <n v="281127"/>
    <s v=" Gandhari Bhander (Sukumar Hal"/>
    <s v="Private Retailer"/>
    <s v="9647141906"/>
    <n v="0.25"/>
    <n v="1609"/>
    <x v="2"/>
    <m/>
    <s v="2021-11-23"/>
    <s v="281125"/>
    <s v="Manoda Fertilisers            "/>
    <s v="9830280488"/>
  </r>
  <r>
    <s v="RCF Trombay"/>
    <s v="15-15-15"/>
    <s v="WB"/>
    <x v="1"/>
    <m/>
    <s v="User Not Mapped"/>
    <s v="User Not Mapped"/>
    <s v="User Not Mapped"/>
    <n v="281127"/>
    <s v=" Gandhari Bhander (Sukumar Hal"/>
    <s v="Private Retailer"/>
    <s v="9647141906"/>
    <n v="1"/>
    <n v="1480"/>
    <x v="2"/>
    <m/>
    <s v="2022-04-01"/>
    <s v="281125"/>
    <s v="Manoda Fertilisers            "/>
    <s v="9830280488"/>
  </r>
  <r>
    <s v="RCF Thal"/>
    <s v="N.C.Urea(45kg)"/>
    <s v="WB"/>
    <x v="1"/>
    <m/>
    <s v="User Not Mapped"/>
    <s v="User Not Mapped"/>
    <s v="User Not Mapped"/>
    <n v="601469"/>
    <s v="BARIK KRISHI BHANDER"/>
    <s v="Private Retailer"/>
    <s v="8609895829"/>
    <n v="5.0000000000000001E-3"/>
    <n v="1546"/>
    <x v="2"/>
    <m/>
    <s v="2022-01-25"/>
    <s v="281125"/>
    <s v="Manoda Fertilisers            "/>
    <s v="9830280488"/>
  </r>
  <r>
    <s v="RCF Trombay"/>
    <s v="15-15-15"/>
    <s v="WB"/>
    <x v="1"/>
    <m/>
    <s v="User Not Mapped"/>
    <s v="User Not Mapped"/>
    <s v="User Not Mapped"/>
    <n v="636283"/>
    <s v="BINAY CHANDRA SADHUKHAN"/>
    <s v="Private Retailer"/>
    <s v="9732959699"/>
    <n v="0.45"/>
    <n v="1402"/>
    <x v="2"/>
    <m/>
    <s v="2022-06-18"/>
    <s v="281125"/>
    <s v="Manoda Fertilisers            "/>
    <s v="9830280488"/>
  </r>
  <r>
    <s v="RCF Trombay"/>
    <s v="N.C.Urea(45kg)"/>
    <s v="WB"/>
    <x v="1"/>
    <s v="Diamond Harbour - I"/>
    <s v="User Not Mapped"/>
    <s v="User Not Mapped"/>
    <s v="User Not Mapped"/>
    <n v="469772"/>
    <s v="M/S Sankar Saha"/>
    <s v="Private Retailer"/>
    <s v="8016190778"/>
    <n v="5.0000000000000001E-3"/>
    <n v="999"/>
    <x v="2"/>
    <m/>
    <s v="2023-07-26"/>
    <s v="281125"/>
    <s v="Manoda Fertilisers            "/>
    <s v="9830280488"/>
  </r>
  <r>
    <s v="RCF Trombay"/>
    <s v="N.C.Urea(45kg)"/>
    <s v="WB"/>
    <x v="1"/>
    <s v="Bishnupur - I"/>
    <s v="User Not Mapped"/>
    <s v="User Not Mapped"/>
    <s v="User Not Mapped"/>
    <n v="653540"/>
    <s v="M/S TAPAS KUMAR SAMANTA"/>
    <s v="Private Retailer"/>
    <s v="9836278986"/>
    <n v="0.09"/>
    <n v="88"/>
    <x v="6"/>
    <m/>
    <s v="2026-01-22"/>
    <s v="281125"/>
    <s v="Manoda Fertilisers            "/>
    <s v="9830280488"/>
  </r>
  <r>
    <s v="RCF Thal"/>
    <s v="N.C.Urea(45kg)"/>
    <s v="WB"/>
    <x v="1"/>
    <s v="Magrahat - I"/>
    <s v="User Not Mapped"/>
    <s v="User Not Mapped"/>
    <s v="User Not Mapped"/>
    <n v="309269"/>
    <s v="M/s. Manoda Fertilizer"/>
    <s v="Private Retailer"/>
    <s v="9830280488"/>
    <n v="2.88"/>
    <n v="33"/>
    <x v="3"/>
    <m/>
    <s v="2026-03-18"/>
    <s v="281125"/>
    <s v="Manoda Fertilisers            "/>
    <s v="9830280488"/>
  </r>
  <r>
    <s v="RCF Trombay"/>
    <s v="N.C.Urea(45kg)"/>
    <s v="WB"/>
    <x v="1"/>
    <s v="Diamond Harbour - I"/>
    <s v="User Not Mapped"/>
    <s v="User Not Mapped"/>
    <s v="User Not Mapped"/>
    <n v="309283"/>
    <s v="M/S.Purkait Fertiliser"/>
    <s v="Private Retailer"/>
    <s v="9734466845"/>
    <n v="5.0000000000000001E-3"/>
    <n v="245"/>
    <x v="1"/>
    <m/>
    <s v="2025-08-18"/>
    <s v="281125"/>
    <s v="Manoda Fertilisers            "/>
    <s v="9830280488"/>
  </r>
  <r>
    <s v="RCF Trombay"/>
    <s v="15-15-15"/>
    <s v="WB"/>
    <x v="1"/>
    <m/>
    <s v="User Not Mapped"/>
    <s v="User Not Mapped"/>
    <s v="User Not Mapped"/>
    <n v="541212"/>
    <s v="Majee Fertilizer"/>
    <s v="Private Retailer"/>
    <s v="9051565191"/>
    <n v="0.2"/>
    <n v="1683"/>
    <x v="2"/>
    <m/>
    <s v="2021-09-10"/>
    <s v="281125"/>
    <s v="Manoda Fertilisers            "/>
    <s v="9830280488"/>
  </r>
  <r>
    <s v="RCF Trombay"/>
    <s v="N.C.Urea(45kg)"/>
    <s v="WB"/>
    <x v="1"/>
    <m/>
    <s v="User Not Mapped"/>
    <s v="User Not Mapped"/>
    <s v="User Not Mapped"/>
    <n v="541212"/>
    <s v="Majee Fertilizer"/>
    <s v="Private Retailer"/>
    <s v="9051565191"/>
    <n v="4.4999999999999998E-2"/>
    <n v="1683"/>
    <x v="2"/>
    <m/>
    <s v="2021-09-10"/>
    <s v="281125"/>
    <s v="Manoda Fertilisers            "/>
    <s v="9830280488"/>
  </r>
  <r>
    <s v="RCF Trombay"/>
    <s v="15-15-15"/>
    <s v="WB"/>
    <x v="1"/>
    <s v="Bhangar - II"/>
    <s v="User Not Mapped"/>
    <s v="User Not Mapped"/>
    <s v="User Not Mapped"/>
    <n v="355365"/>
    <s v="Md. Ahiduzzaman Sahaji"/>
    <s v="Private Retailer"/>
    <s v="8101949261"/>
    <n v="0.05"/>
    <n v="256"/>
    <x v="1"/>
    <m/>
    <s v="2025-08-07"/>
    <s v="281125"/>
    <s v="Manoda Fertilisers            "/>
    <s v="9830280488"/>
  </r>
  <r>
    <s v="RCF Thal"/>
    <s v="N.C.Urea(45kg)"/>
    <s v="WB"/>
    <x v="1"/>
    <s v="Bhangar - II"/>
    <s v="User Not Mapped"/>
    <s v="User Not Mapped"/>
    <s v="User Not Mapped"/>
    <n v="355365"/>
    <s v="Md. Ahiduzzaman Sahaji"/>
    <s v="Private Retailer"/>
    <s v="8101949261"/>
    <n v="4.1399999999999997"/>
    <n v="256"/>
    <x v="1"/>
    <m/>
    <s v="2025-08-07"/>
    <s v="281125"/>
    <s v="Manoda Fertilisers            "/>
    <s v="9830280488"/>
  </r>
  <r>
    <s v="RCF Import"/>
    <s v="Imp 10-26-26"/>
    <s v="WB"/>
    <x v="1"/>
    <s v="Baruipur"/>
    <s v="User Not Mapped"/>
    <s v="User Not Mapped"/>
    <s v="User Not Mapped"/>
    <n v="460685"/>
    <s v="Mondal Fertilisers"/>
    <s v="Private Retailer"/>
    <s v="8697658722"/>
    <n v="0.9"/>
    <n v="37"/>
    <x v="3"/>
    <m/>
    <s v="2026-03-14"/>
    <s v="281125"/>
    <s v="Manoda Fertilisers            "/>
    <s v="9830280488"/>
  </r>
  <r>
    <s v="RCF Trombay"/>
    <s v="15-15-15"/>
    <s v="WB"/>
    <x v="1"/>
    <s v="Canning - I"/>
    <s v="User Not Mapped"/>
    <s v="User Not Mapped"/>
    <s v="User Not Mapped"/>
    <n v="631991"/>
    <s v="OMBYA AYEMA SAR BHANDER"/>
    <s v="Private Retailer"/>
    <s v="8145384542"/>
    <n v="5"/>
    <n v="571"/>
    <x v="2"/>
    <m/>
    <s v="2024-09-26"/>
    <s v="281125"/>
    <s v="Manoda Fertilisers            "/>
    <s v="9830280488"/>
  </r>
  <r>
    <s v="RCF Thal"/>
    <s v="N.C.Urea(45kg)"/>
    <s v="WB"/>
    <x v="1"/>
    <s v="Canning - I"/>
    <s v="User Not Mapped"/>
    <s v="User Not Mapped"/>
    <s v="User Not Mapped"/>
    <n v="631991"/>
    <s v="OMBYA AYEMA SAR BHANDER"/>
    <s v="Private Retailer"/>
    <s v="8145384542"/>
    <n v="3.5550000000000002"/>
    <n v="569"/>
    <x v="2"/>
    <m/>
    <s v="2024-09-28"/>
    <s v="281125"/>
    <s v="Manoda Fertilisers            "/>
    <s v="9830280488"/>
  </r>
  <r>
    <s v="RCF Thal"/>
    <s v="N.C.Urea(45kg)"/>
    <s v="WB"/>
    <x v="1"/>
    <s v="Budge Budge - II"/>
    <s v="User Not Mapped"/>
    <s v="User Not Mapped"/>
    <s v="User Not Mapped"/>
    <n v="387473"/>
    <s v="Rama Mondal"/>
    <s v="Private Retailer"/>
    <s v="9830384784"/>
    <n v="0.85499999999999998"/>
    <n v="226"/>
    <x v="1"/>
    <m/>
    <s v="2025-09-06"/>
    <s v="281125"/>
    <s v="Manoda Fertilisers            "/>
    <s v="9830280488"/>
  </r>
  <r>
    <s v="RCF Import"/>
    <s v="MOP"/>
    <s v="WB"/>
    <x v="1"/>
    <s v="Budge Budge - II"/>
    <s v="User Not Mapped"/>
    <s v="User Not Mapped"/>
    <s v="User Not Mapped"/>
    <n v="387473"/>
    <s v="Rama Mondal"/>
    <s v="Private Retailer"/>
    <s v="9830384784"/>
    <n v="0.25"/>
    <n v="226"/>
    <x v="1"/>
    <m/>
    <s v="2025-09-06"/>
    <s v="281125"/>
    <s v="Manoda Fertilisers            "/>
    <s v="9830280488"/>
  </r>
  <r>
    <s v="RCF Trombay"/>
    <s v="15-15-15"/>
    <s v="WB"/>
    <x v="1"/>
    <s v="Bishnupur - I"/>
    <s v="User Not Mapped"/>
    <s v="User Not Mapped"/>
    <s v="User Not Mapped"/>
    <n v="1268881"/>
    <s v="Ranu Fertilizer"/>
    <s v="Private Retailer"/>
    <s v="9038332657"/>
    <n v="0.85"/>
    <n v="126"/>
    <x v="4"/>
    <m/>
    <s v="2025-12-15"/>
    <s v="281125"/>
    <s v="Manoda Fertilisers            "/>
    <s v="9830280488"/>
  </r>
  <r>
    <s v="RCF Thal"/>
    <s v="N.C.Urea(45kg)"/>
    <s v="WB"/>
    <x v="1"/>
    <s v="Canning - II"/>
    <s v="User Not Mapped"/>
    <s v="User Not Mapped"/>
    <s v="User Not Mapped"/>
    <n v="634547"/>
    <s v="SHAIK SAR BHANDER"/>
    <s v="Private Retailer"/>
    <s v="9733591580"/>
    <n v="10.98"/>
    <n v="69"/>
    <x v="6"/>
    <m/>
    <s v="2026-02-10"/>
    <s v="281125"/>
    <s v="Manoda Fertilisers            "/>
    <s v="9830280488"/>
  </r>
  <r>
    <s v="RCF Thal"/>
    <s v="N.C.Urea(45kg)"/>
    <s v="WB"/>
    <x v="1"/>
    <s v="Canning - II"/>
    <s v="User Not Mapped"/>
    <s v="User Not Mapped"/>
    <s v="User Not Mapped"/>
    <n v="634547"/>
    <s v="SHAIK SAR BHANDER"/>
    <s v="Private Retailer"/>
    <s v="9733591580"/>
    <n v="0.96699999999999997"/>
    <n v="422"/>
    <x v="0"/>
    <m/>
    <s v="2025-02-22"/>
    <s v="281125"/>
    <s v="Manoda Fertilisers            "/>
    <s v="9830280488"/>
  </r>
  <r>
    <s v="RCF Thal"/>
    <s v="N.C.Urea(45kg)"/>
    <s v="WB"/>
    <x v="1"/>
    <s v="Thakurpukur Mahestola"/>
    <s v="User Not Mapped"/>
    <s v="User Not Mapped"/>
    <s v="User Not Mapped"/>
    <n v="470882"/>
    <s v="Sushil Sardar"/>
    <s v="Private Retailer"/>
    <s v="9674516062"/>
    <n v="0.45"/>
    <n v="226"/>
    <x v="1"/>
    <m/>
    <s v="2025-09-06"/>
    <s v="281125"/>
    <s v="Manoda Fertilisers            "/>
    <s v="9830280488"/>
  </r>
  <r>
    <s v="RCF Import"/>
    <s v="MOP"/>
    <s v="WB"/>
    <x v="1"/>
    <s v="Canning - I"/>
    <s v="User Not Mapped"/>
    <s v="User Not Mapped"/>
    <s v="User Not Mapped"/>
    <n v="1449893"/>
    <s v="M/S SABUJ BANGLA SAR BHANDAR"/>
    <s v="Private Retailer"/>
    <s v="9647142464"/>
    <n v="1.25"/>
    <n v="414"/>
    <x v="0"/>
    <m/>
    <s v="2025-03-02"/>
    <s v="281035"/>
    <s v="Matri Sar Bhandar"/>
    <s v="9830087830"/>
  </r>
  <r>
    <s v="RCF Import"/>
    <s v="Imp 10-26-26"/>
    <s v="WB"/>
    <x v="1"/>
    <s v="Basanti"/>
    <s v="User Not Mapped"/>
    <s v="User Not Mapped"/>
    <s v="User Not Mapped"/>
    <n v="767672"/>
    <s v=" M/S KHAN KRISHI BHANDER"/>
    <s v="Private Retailer"/>
    <s v="9732235807"/>
    <n v="1.85"/>
    <n v="218"/>
    <x v="1"/>
    <m/>
    <s v="2025-09-14"/>
    <s v="281135"/>
    <s v="Md Alauddin Mollick"/>
    <s v="8926710497"/>
  </r>
  <r>
    <s v="RCF Import"/>
    <s v="Imp 10-26-26"/>
    <s v="WB"/>
    <x v="1"/>
    <s v="Magrahat - II"/>
    <s v="User Not Mapped"/>
    <s v="User Not Mapped"/>
    <s v="User Not Mapped"/>
    <n v="461366"/>
    <s v="Abdul Mallek Peyada"/>
    <s v="Private Retailer"/>
    <s v="9832586827"/>
    <n v="4.4999999999999998E-2"/>
    <n v="49"/>
    <x v="3"/>
    <m/>
    <s v="2026-03-02"/>
    <s v="281135"/>
    <s v="Md Alauddin Mollick"/>
    <s v="8926710497"/>
  </r>
  <r>
    <s v="RCF Import"/>
    <s v="MOP"/>
    <s v="WB"/>
    <x v="1"/>
    <s v="Magrahat - II"/>
    <s v="User Not Mapped"/>
    <s v="User Not Mapped"/>
    <s v="User Not Mapped"/>
    <n v="385492"/>
    <s v="Abdus Chattar Dhali"/>
    <s v="Private Retailer"/>
    <s v="9732926919"/>
    <n v="0.05"/>
    <n v="55"/>
    <x v="3"/>
    <m/>
    <s v="2026-02-24"/>
    <s v="281135"/>
    <s v="Md Alauddin Mollick"/>
    <s v="8926710497"/>
  </r>
  <r>
    <s v="RCF Thal"/>
    <s v="N.C.Urea(45kg)"/>
    <s v="WB"/>
    <x v="1"/>
    <s v="Baruipur"/>
    <s v="User Not Mapped"/>
    <s v="User Not Mapped"/>
    <s v="User Not Mapped"/>
    <n v="340818"/>
    <s v="Anil Kumar Purkait"/>
    <s v="Private Retailer"/>
    <s v="9732930919"/>
    <n v="0.58499999999999996"/>
    <n v="37"/>
    <x v="3"/>
    <m/>
    <s v="2026-03-14"/>
    <s v="281135"/>
    <s v="Md Alauddin Mollick"/>
    <s v="8926710497"/>
  </r>
  <r>
    <s v="RCF Import"/>
    <s v="Imp 10-26-26"/>
    <s v="WB"/>
    <x v="1"/>
    <s v="Jaynagar - I"/>
    <s v="User Not Mapped"/>
    <s v="User Not Mapped"/>
    <s v="User Not Mapped"/>
    <n v="504491"/>
    <s v="Dhali Fertiliser"/>
    <s v="Private Retailer"/>
    <s v="9733973426"/>
    <n v="0.25"/>
    <n v="51"/>
    <x v="3"/>
    <m/>
    <s v="2026-02-28"/>
    <s v="281135"/>
    <s v="Md Alauddin Mollick"/>
    <s v="8926710497"/>
  </r>
  <r>
    <s v="RCF Import"/>
    <s v="Imp 10-26-26"/>
    <s v="WB"/>
    <x v="1"/>
    <s v="Magrahat - II"/>
    <s v="User Not Mapped"/>
    <s v="User Not Mapped"/>
    <s v="User Not Mapped"/>
    <n v="461336"/>
    <s v="Gazi Fertilisers"/>
    <s v="Private Retailer"/>
    <s v="9732450051"/>
    <n v="0.15"/>
    <n v="14"/>
    <x v="5"/>
    <m/>
    <s v="2026-04-06"/>
    <s v="281135"/>
    <s v="Md Alauddin Mollick"/>
    <s v="8926710497"/>
  </r>
  <r>
    <s v="RCF Import"/>
    <s v="Imp 10-26-26"/>
    <s v="WB"/>
    <x v="1"/>
    <s v="Magrahat - II"/>
    <s v="User Not Mapped"/>
    <s v="User Not Mapped"/>
    <s v="User Not Mapped"/>
    <n v="461336"/>
    <s v="Gazi Fertilisers"/>
    <s v="Private Retailer"/>
    <s v="9732450051"/>
    <n v="0.15"/>
    <n v="23"/>
    <x v="5"/>
    <m/>
    <s v="2026-03-28"/>
    <s v="281135"/>
    <s v="Md Alauddin Mollick"/>
    <s v="8926710497"/>
  </r>
  <r>
    <s v="RCF Import"/>
    <s v="Imp 10-26-26"/>
    <s v="WB"/>
    <x v="1"/>
    <s v="Magrahat - II"/>
    <s v="User Not Mapped"/>
    <s v="User Not Mapped"/>
    <s v="User Not Mapped"/>
    <n v="461336"/>
    <s v="Gazi Fertilisers"/>
    <s v="Private Retailer"/>
    <s v="9732450051"/>
    <n v="0.15"/>
    <n v="44"/>
    <x v="3"/>
    <m/>
    <s v="2026-03-07"/>
    <s v="281135"/>
    <s v="Md Alauddin Mollick"/>
    <s v="8926710497"/>
  </r>
  <r>
    <s v="RCF Import"/>
    <s v="Imp 10-26-26"/>
    <s v="WB"/>
    <x v="1"/>
    <s v="Magrahat - II"/>
    <s v="User Not Mapped"/>
    <s v="User Not Mapped"/>
    <s v="User Not Mapped"/>
    <n v="461376"/>
    <s v="Gobinda Naskar"/>
    <s v="Private Retailer"/>
    <s v="9735688481"/>
    <n v="0.4"/>
    <n v="20"/>
    <x v="5"/>
    <m/>
    <s v="2026-03-31"/>
    <s v="281135"/>
    <s v="Md Alauddin Mollick"/>
    <s v="8926710497"/>
  </r>
  <r>
    <s v="RCF Import"/>
    <s v="MOP"/>
    <s v="WB"/>
    <x v="1"/>
    <s v="Magrahat - II"/>
    <s v="User Not Mapped"/>
    <s v="User Not Mapped"/>
    <s v="User Not Mapped"/>
    <n v="461376"/>
    <s v="Gobinda Naskar"/>
    <s v="Private Retailer"/>
    <s v="9735688481"/>
    <n v="1"/>
    <n v="55"/>
    <x v="3"/>
    <m/>
    <s v="2026-02-24"/>
    <s v="281135"/>
    <s v="Md Alauddin Mollick"/>
    <s v="8926710497"/>
  </r>
  <r>
    <s v="RCF Import"/>
    <s v="MOP"/>
    <s v="WB"/>
    <x v="1"/>
    <s v="Jaynagar - II"/>
    <s v="User Not Mapped"/>
    <s v="User Not Mapped"/>
    <s v="User Not Mapped"/>
    <n v="639887"/>
    <s v="Hamida Fertilizer"/>
    <s v="Private Retailer"/>
    <s v="8617078964"/>
    <n v="0.75"/>
    <n v="33"/>
    <x v="3"/>
    <m/>
    <s v="2026-03-18"/>
    <s v="281135"/>
    <s v="Md Alauddin Mollick"/>
    <s v="8926710497"/>
  </r>
  <r>
    <s v="RCF Import"/>
    <s v="MOP"/>
    <s v="WB"/>
    <x v="1"/>
    <s v="Jaynagar - II"/>
    <s v="User Not Mapped"/>
    <s v="User Not Mapped"/>
    <s v="User Not Mapped"/>
    <n v="533440"/>
    <s v="Hazra Krishi Bhandar"/>
    <s v="Private Retailer"/>
    <s v="9735279478"/>
    <n v="0.25"/>
    <n v="33"/>
    <x v="3"/>
    <m/>
    <s v="2026-03-18"/>
    <s v="281135"/>
    <s v="Md Alauddin Mollick"/>
    <s v="8926710497"/>
  </r>
  <r>
    <s v="RCF Trombay"/>
    <s v="15-15-15"/>
    <s v="WB"/>
    <x v="1"/>
    <s v="Canning - II"/>
    <s v="User Not Mapped"/>
    <s v="User Not Mapped"/>
    <s v="User Not Mapped"/>
    <n v="648085"/>
    <s v="K.G.N.FERTILISER"/>
    <s v="Private Retailer"/>
    <s v="9732606795"/>
    <n v="3.5"/>
    <n v="492"/>
    <x v="0"/>
    <m/>
    <s v="2024-12-14"/>
    <s v="281135"/>
    <s v="Md Alauddin Mollick"/>
    <s v="8926710497"/>
  </r>
  <r>
    <s v="RCF Trombay"/>
    <s v="15-15-15"/>
    <s v="WB"/>
    <x v="1"/>
    <m/>
    <s v="User Not Mapped"/>
    <s v="User Not Mapped"/>
    <s v="User Not Mapped"/>
    <n v="638927"/>
    <s v="KHAN FERTILISER"/>
    <s v="Private Retailer"/>
    <s v="7890025099"/>
    <n v="0.17499999999999999"/>
    <n v="1580"/>
    <x v="2"/>
    <m/>
    <s v="2021-12-22"/>
    <s v="281135"/>
    <s v="Md Alauddin Mollick"/>
    <s v="8926710497"/>
  </r>
  <r>
    <s v="RCF Trombay"/>
    <s v="N.C.Urea(45kg)"/>
    <s v="WB"/>
    <x v="1"/>
    <s v="Baruipur"/>
    <s v="User Not Mapped"/>
    <s v="User Not Mapped"/>
    <s v="User Not Mapped"/>
    <n v="341676"/>
    <s v="Krishi Bandhu Fertilisers"/>
    <s v="Private Retailer"/>
    <s v="9933075817"/>
    <n v="0.27"/>
    <n v="885"/>
    <x v="2"/>
    <m/>
    <s v="2023-11-17"/>
    <s v="281135"/>
    <s v="Md Alauddin Mollick"/>
    <s v="8926710497"/>
  </r>
  <r>
    <s v="RCF Import"/>
    <s v="MOP"/>
    <s v="WB"/>
    <x v="1"/>
    <s v="Magrahat - II"/>
    <s v="User Not Mapped"/>
    <s v="User Not Mapped"/>
    <s v="User Not Mapped"/>
    <n v="355215"/>
    <s v="Las Kar Fertiliser"/>
    <s v="Private Retailer"/>
    <s v="9831172045"/>
    <n v="0.2"/>
    <n v="55"/>
    <x v="3"/>
    <m/>
    <s v="2026-02-24"/>
    <s v="281135"/>
    <s v="Md Alauddin Mollick"/>
    <s v="8926710497"/>
  </r>
  <r>
    <s v="RCF Import"/>
    <s v="MOP"/>
    <s v="WB"/>
    <x v="1"/>
    <s v="Magrahat - II"/>
    <s v="User Not Mapped"/>
    <s v="User Not Mapped"/>
    <s v="User Not Mapped"/>
    <n v="355215"/>
    <s v="Las Kar Fertiliser"/>
    <s v="Private Retailer"/>
    <s v="9831172045"/>
    <n v="0.1"/>
    <n v="40"/>
    <x v="3"/>
    <m/>
    <s v="2026-03-11"/>
    <s v="281135"/>
    <s v="Md Alauddin Mollick"/>
    <s v="8926710497"/>
  </r>
  <r>
    <s v="RCF Thal"/>
    <s v="N.C.Urea(45kg)"/>
    <s v="WB"/>
    <x v="1"/>
    <s v="Baruipur"/>
    <s v="User Not Mapped"/>
    <s v="User Not Mapped"/>
    <s v="User Not Mapped"/>
    <n v="341726"/>
    <s v="Laskar Fertilizer"/>
    <s v="Private Retailer"/>
    <s v="9836198499"/>
    <n v="0.71"/>
    <n v="525"/>
    <x v="0"/>
    <m/>
    <s v="2024-11-11"/>
    <s v="281135"/>
    <s v="Md Alauddin Mollick"/>
    <s v="8926710497"/>
  </r>
  <r>
    <s v="RCF Trombay"/>
    <s v="15-15-15"/>
    <s v="WB"/>
    <x v="1"/>
    <s v="Baruipur"/>
    <s v="User Not Mapped"/>
    <s v="User Not Mapped"/>
    <s v="User Not Mapped"/>
    <n v="341726"/>
    <s v="Laskar Fertilizer"/>
    <s v="Private Retailer"/>
    <s v="9836198499"/>
    <n v="0.25"/>
    <n v="450"/>
    <x v="0"/>
    <m/>
    <s v="2025-01-25"/>
    <s v="281135"/>
    <s v="Md Alauddin Mollick"/>
    <s v="8926710497"/>
  </r>
  <r>
    <s v="RCF Import"/>
    <s v="Imp 10-26-26"/>
    <s v="WB"/>
    <x v="1"/>
    <s v="Baruipur"/>
    <s v="User Not Mapped"/>
    <s v="User Not Mapped"/>
    <s v="User Not Mapped"/>
    <n v="1455955"/>
    <s v="M/S ABUL HOSSAIN MOLLA"/>
    <s v="Private Retailer"/>
    <s v="6289056565"/>
    <n v="0.25"/>
    <n v="7"/>
    <x v="5"/>
    <m/>
    <s v="2026-04-13"/>
    <s v="281135"/>
    <s v="Md Alauddin Mollick"/>
    <s v="8926710497"/>
  </r>
  <r>
    <s v="RCF Trombay"/>
    <s v="15-15-15"/>
    <s v="WB"/>
    <x v="1"/>
    <m/>
    <s v="User Not Mapped"/>
    <s v="User Not Mapped"/>
    <s v="User Not Mapped"/>
    <n v="456864"/>
    <s v="M/S Abul Hossen Laskar"/>
    <s v="Private Retailer"/>
    <s v="8910633748"/>
    <n v="0.2"/>
    <n v="2028"/>
    <x v="2"/>
    <m/>
    <s v="2020-09-30"/>
    <s v="281135"/>
    <s v="Md Alauddin Mollick"/>
    <s v="8926710497"/>
  </r>
  <r>
    <s v="RCF Trombay"/>
    <s v="15-15-15"/>
    <s v="WB"/>
    <x v="1"/>
    <s v="Baruipur"/>
    <s v="User Not Mapped"/>
    <s v="User Not Mapped"/>
    <s v="User Not Mapped"/>
    <n v="654829"/>
    <s v="M/S AL-AMIN FERTILISER"/>
    <s v="Private Retailer"/>
    <s v="9874725550"/>
    <n v="0.25"/>
    <n v="606"/>
    <x v="2"/>
    <m/>
    <s v="2024-08-22"/>
    <s v="281135"/>
    <s v="Md Alauddin Mollick"/>
    <s v="8926710497"/>
  </r>
  <r>
    <s v="RCF Trombay"/>
    <s v="15-15-15"/>
    <s v="WB"/>
    <x v="1"/>
    <s v="Baruipur"/>
    <s v="User Not Mapped"/>
    <s v="User Not Mapped"/>
    <s v="User Not Mapped"/>
    <n v="654829"/>
    <s v="M/S AL-AMIN FERTILISER"/>
    <s v="Private Retailer"/>
    <s v="9874725550"/>
    <n v="0.05"/>
    <n v="621"/>
    <x v="2"/>
    <m/>
    <s v="2024-08-07"/>
    <s v="281135"/>
    <s v="Md Alauddin Mollick"/>
    <s v="8926710497"/>
  </r>
  <r>
    <s v="RCF Trombay"/>
    <s v="15-15-15"/>
    <s v="WB"/>
    <x v="1"/>
    <s v="Kultali"/>
    <s v="User Not Mapped"/>
    <s v="User Not Mapped"/>
    <s v="User Not Mapped"/>
    <n v="456132"/>
    <s v="M/S ASMA TARA FERTILIZER"/>
    <s v="Private Retailer"/>
    <s v="9933389905"/>
    <n v="0.5"/>
    <n v="690"/>
    <x v="2"/>
    <m/>
    <s v="2024-05-30"/>
    <s v="281135"/>
    <s v="Md Alauddin Mollick"/>
    <s v="8926710497"/>
  </r>
  <r>
    <s v="RCF Import"/>
    <s v="MOP"/>
    <s v="WB"/>
    <x v="1"/>
    <m/>
    <s v="User Not Mapped"/>
    <s v="User Not Mapped"/>
    <s v="User Not Mapped"/>
    <n v="1557358"/>
    <s v="M/S AVIJIT KUNDU"/>
    <s v="Private Retailer"/>
    <s v="9733893688"/>
    <n v="0.15"/>
    <n v="51"/>
    <x v="3"/>
    <m/>
    <s v="2026-02-28"/>
    <s v="281135"/>
    <s v="Md Alauddin Mollick"/>
    <s v="8926710497"/>
  </r>
  <r>
    <s v="RCF Import"/>
    <s v="MOP"/>
    <s v="WB"/>
    <x v="1"/>
    <m/>
    <s v="User Not Mapped"/>
    <s v="User Not Mapped"/>
    <s v="User Not Mapped"/>
    <n v="1557358"/>
    <s v="M/S AVIJIT KUNDU"/>
    <s v="Private Retailer"/>
    <s v="9733893688"/>
    <n v="0.1"/>
    <n v="37"/>
    <x v="3"/>
    <m/>
    <s v="2026-03-14"/>
    <s v="281135"/>
    <s v="Md Alauddin Mollick"/>
    <s v="8926710497"/>
  </r>
  <r>
    <s v="RCF Trombay"/>
    <s v="15-15-15"/>
    <s v="WB"/>
    <x v="1"/>
    <s v="Canning - II"/>
    <s v="User Not Mapped"/>
    <s v="User Not Mapped"/>
    <s v="User Not Mapped"/>
    <n v="1552635"/>
    <s v="M/S BHAI BHAI ENTERPRISE"/>
    <s v="Private Retailer"/>
    <s v="8017139176"/>
    <n v="0.5"/>
    <n v="88"/>
    <x v="6"/>
    <m/>
    <s v="2026-01-22"/>
    <s v="281135"/>
    <s v="Md Alauddin Mollick"/>
    <s v="8926710497"/>
  </r>
  <r>
    <s v="RCF Trombay"/>
    <s v="15-15-15"/>
    <s v="WB"/>
    <x v="1"/>
    <s v="Canning - II"/>
    <s v="User Not Mapped"/>
    <s v="User Not Mapped"/>
    <s v="User Not Mapped"/>
    <n v="1552635"/>
    <s v="M/S BHAI BHAI ENTERPRISE"/>
    <s v="Private Retailer"/>
    <s v="8017139176"/>
    <n v="0.5"/>
    <n v="69"/>
    <x v="6"/>
    <m/>
    <s v="2026-02-10"/>
    <s v="281135"/>
    <s v="Md Alauddin Mollick"/>
    <s v="8926710497"/>
  </r>
  <r>
    <s v="RCF Trombay"/>
    <s v="15-15-15"/>
    <s v="WB"/>
    <x v="1"/>
    <s v="Jaynagar - I"/>
    <s v="User Not Mapped"/>
    <s v="User Not Mapped"/>
    <s v="User Not Mapped"/>
    <n v="290780"/>
    <s v="M/S Das Sar Bickrya Kendra"/>
    <s v="Private Retailer"/>
    <s v="9933406945"/>
    <n v="0.5"/>
    <n v="93"/>
    <x v="7"/>
    <m/>
    <s v="2026-01-17"/>
    <s v="281135"/>
    <s v="Md Alauddin Mollick"/>
    <s v="8926710497"/>
  </r>
  <r>
    <s v="RCF Thal"/>
    <s v="N.C.Urea(45kg)"/>
    <s v="WB"/>
    <x v="1"/>
    <m/>
    <s v="User Not Mapped"/>
    <s v="User Not Mapped"/>
    <s v="User Not Mapped"/>
    <n v="290783"/>
    <s v="M/S Fatema Fertiliser"/>
    <s v="Private Retailer"/>
    <s v="9733981911"/>
    <n v="0.27"/>
    <n v="2595"/>
    <x v="2"/>
    <m/>
    <s v="2019-03-13"/>
    <s v="281135"/>
    <s v="Md Alauddin Mollick"/>
    <s v="8926710497"/>
  </r>
  <r>
    <s v="RCF Trombay"/>
    <s v="15-15-15"/>
    <s v="WB"/>
    <x v="1"/>
    <s v="Baruipur"/>
    <s v="User Not Mapped"/>
    <s v="User Not Mapped"/>
    <s v="User Not Mapped"/>
    <n v="387329"/>
    <s v="M/S GHOSH FERTILIZER"/>
    <s v="Private Retailer"/>
    <s v="8016256232"/>
    <n v="0.1"/>
    <n v="44"/>
    <x v="3"/>
    <m/>
    <s v="2026-03-07"/>
    <s v="281135"/>
    <s v="Md Alauddin Mollick"/>
    <s v="8926710497"/>
  </r>
  <r>
    <s v="RCF Import"/>
    <s v="MOP"/>
    <s v="WB"/>
    <x v="1"/>
    <s v="Baruipur"/>
    <s v="User Not Mapped"/>
    <s v="User Not Mapped"/>
    <s v="User Not Mapped"/>
    <n v="1603840"/>
    <s v="M/S LAXMI SAR BHANDAR"/>
    <s v="Private Retailer"/>
    <s v="8967636148"/>
    <n v="2.0499999999999998"/>
    <n v="59"/>
    <x v="3"/>
    <m/>
    <s v="2026-02-20"/>
    <s v="281135"/>
    <s v="Md Alauddin Mollick"/>
    <s v="8926710497"/>
  </r>
  <r>
    <s v="RCF Trombay"/>
    <s v="15-15-15"/>
    <s v="WB"/>
    <x v="1"/>
    <s v="Magrahat - II"/>
    <s v="User Not Mapped"/>
    <s v="User Not Mapped"/>
    <s v="User Not Mapped"/>
    <n v="1557890"/>
    <s v="M/S MD IMRAN AHMED MOLLICK"/>
    <s v="Private Retailer"/>
    <s v="8967057603"/>
    <n v="0.5"/>
    <n v="10"/>
    <x v="5"/>
    <m/>
    <s v="2026-04-10"/>
    <s v="281135"/>
    <s v="Md Alauddin Mollick"/>
    <s v="8926710497"/>
  </r>
  <r>
    <s v="RCF Trombay"/>
    <s v="15-15-15"/>
    <s v="WB"/>
    <x v="1"/>
    <s v="Baruipur"/>
    <s v="User Not Mapped"/>
    <s v="User Not Mapped"/>
    <s v="User Not Mapped"/>
    <n v="456156"/>
    <s v="M/S Md. Mucha Kalim Mondal"/>
    <s v="Private Retailer"/>
    <s v="6296515880"/>
    <n v="0.5"/>
    <n v="1774"/>
    <x v="2"/>
    <m/>
    <s v="2021-06-11"/>
    <s v="281135"/>
    <s v="Md Alauddin Mollick"/>
    <s v="8926710497"/>
  </r>
  <r>
    <s v="RCF Trombay"/>
    <s v="15-15-15"/>
    <s v="WB"/>
    <x v="1"/>
    <s v="Jaynagar - II"/>
    <s v="User Not Mapped"/>
    <s v="User Not Mapped"/>
    <s v="User Not Mapped"/>
    <n v="427076"/>
    <s v="M/S MONDAL FERTILIZER"/>
    <s v="Private Retailer"/>
    <s v="9832958210"/>
    <n v="0.7"/>
    <n v="195"/>
    <x v="1"/>
    <m/>
    <s v="2025-10-07"/>
    <s v="281135"/>
    <s v="Md Alauddin Mollick"/>
    <s v="8926710497"/>
  </r>
  <r>
    <s v="RCF Trombay"/>
    <s v="15-15-15"/>
    <s v="WB"/>
    <x v="1"/>
    <s v="Kulpi"/>
    <s v="User Not Mapped"/>
    <s v="User Not Mapped"/>
    <s v="User Not Mapped"/>
    <n v="309247"/>
    <s v="M/S. Halder Fertiliser Pro. Satyendranath Halder"/>
    <s v="Private Retailer"/>
    <s v="9733593677"/>
    <n v="0.75"/>
    <n v="1120"/>
    <x v="2"/>
    <m/>
    <s v="2023-03-27"/>
    <s v="281135"/>
    <s v="Md Alauddin Mollick"/>
    <s v="8926710497"/>
  </r>
  <r>
    <s v="RCF Import"/>
    <s v="MOP"/>
    <s v="WB"/>
    <x v="1"/>
    <s v="Baruipur"/>
    <s v="User Not Mapped"/>
    <s v="User Not Mapped"/>
    <s v="User Not Mapped"/>
    <n v="340757"/>
    <s v="M/S. Oli Fertilizer"/>
    <s v="Private Retailer"/>
    <s v="9735618057"/>
    <n v="0.5"/>
    <n v="55"/>
    <x v="3"/>
    <m/>
    <s v="2026-02-24"/>
    <s v="281135"/>
    <s v="Md Alauddin Mollick"/>
    <s v="8926710497"/>
  </r>
  <r>
    <s v="RCF Import"/>
    <s v="MOP"/>
    <s v="WB"/>
    <x v="1"/>
    <s v="Magrahat - II"/>
    <s v="User Not Mapped"/>
    <s v="User Not Mapped"/>
    <s v="User Not Mapped"/>
    <n v="294895"/>
    <s v="M/S.Md. Allauddin Mollick"/>
    <s v="Private Retailer"/>
    <s v="8926710497"/>
    <n v="2.5"/>
    <n v="49"/>
    <x v="3"/>
    <m/>
    <s v="2026-03-02"/>
    <s v="281135"/>
    <s v="Md Alauddin Mollick"/>
    <s v="8926710497"/>
  </r>
  <r>
    <s v="RCF Import"/>
    <s v="MOP"/>
    <s v="WB"/>
    <x v="1"/>
    <s v="Magrahat - II"/>
    <s v="User Not Mapped"/>
    <s v="User Not Mapped"/>
    <s v="User Not Mapped"/>
    <n v="294895"/>
    <s v="M/S.Md. Allauddin Mollick"/>
    <s v="Private Retailer"/>
    <s v="8926710497"/>
    <n v="2"/>
    <n v="47"/>
    <x v="3"/>
    <m/>
    <s v="2026-03-04"/>
    <s v="281135"/>
    <s v="Md Alauddin Mollick"/>
    <s v="8926710497"/>
  </r>
  <r>
    <s v="RCF Import"/>
    <s v="MOP"/>
    <s v="WB"/>
    <x v="1"/>
    <s v="Canning - I"/>
    <s v="User Not Mapped"/>
    <s v="User Not Mapped"/>
    <s v="User Not Mapped"/>
    <n v="461171"/>
    <s v="MAA DURGA SAR VANDHAR"/>
    <s v="Private Retailer"/>
    <s v="9333871896"/>
    <n v="0.5"/>
    <n v="37"/>
    <x v="3"/>
    <m/>
    <s v="2026-03-14"/>
    <s v="281135"/>
    <s v="Md Alauddin Mollick"/>
    <s v="8926710497"/>
  </r>
  <r>
    <s v="RCF Import"/>
    <s v="MOP"/>
    <s v="WB"/>
    <x v="1"/>
    <s v="Canning - I"/>
    <s v="User Not Mapped"/>
    <s v="User Not Mapped"/>
    <s v="User Not Mapped"/>
    <n v="461171"/>
    <s v="MAA DURGA SAR VANDHAR"/>
    <s v="Private Retailer"/>
    <s v="9333871896"/>
    <n v="0.75"/>
    <n v="56"/>
    <x v="3"/>
    <m/>
    <s v="2026-02-23"/>
    <s v="281135"/>
    <s v="Md Alauddin Mollick"/>
    <s v="8926710497"/>
  </r>
  <r>
    <s v="RCF Import"/>
    <s v="Imp 10-26-26"/>
    <s v="WB"/>
    <x v="1"/>
    <s v="Canning - I"/>
    <s v="User Not Mapped"/>
    <s v="User Not Mapped"/>
    <s v="User Not Mapped"/>
    <n v="461171"/>
    <s v="MAA DURGA SAR VANDHAR"/>
    <s v="Private Retailer"/>
    <s v="9333871896"/>
    <n v="0.25"/>
    <n v="37"/>
    <x v="3"/>
    <m/>
    <s v="2026-03-14"/>
    <s v="281135"/>
    <s v="Md Alauddin Mollick"/>
    <s v="8926710497"/>
  </r>
  <r>
    <s v="RCF Trombay"/>
    <s v="15-15-15"/>
    <s v="WB"/>
    <x v="1"/>
    <s v="Canning - I"/>
    <s v="User Not Mapped"/>
    <s v="User Not Mapped"/>
    <s v="User Not Mapped"/>
    <n v="461171"/>
    <s v="MAA DURGA SAR VANDHAR"/>
    <s v="Private Retailer"/>
    <s v="9333871896"/>
    <n v="0.25"/>
    <n v="37"/>
    <x v="3"/>
    <m/>
    <s v="2026-03-14"/>
    <s v="281135"/>
    <s v="Md Alauddin Mollick"/>
    <s v="8926710497"/>
  </r>
  <r>
    <s v="RCF Trombay"/>
    <s v="15-15-15"/>
    <s v="WB"/>
    <x v="1"/>
    <s v="Jaynagar - I"/>
    <s v="User Not Mapped"/>
    <s v="User Not Mapped"/>
    <s v="User Not Mapped"/>
    <n v="645143"/>
    <s v="MAA FERTILISER"/>
    <s v="Private Retailer"/>
    <s v="9732829116"/>
    <n v="0.15"/>
    <n v="33"/>
    <x v="3"/>
    <m/>
    <s v="2026-03-18"/>
    <s v="281135"/>
    <s v="Md Alauddin Mollick"/>
    <s v="8926710497"/>
  </r>
  <r>
    <s v="RCF Trombay"/>
    <s v="15-15-15"/>
    <s v="WB"/>
    <x v="1"/>
    <s v="Bhangar - I"/>
    <s v="User Not Mapped"/>
    <s v="User Not Mapped"/>
    <s v="User Not Mapped"/>
    <n v="355670"/>
    <s v="MD ALI FERTILIZER"/>
    <s v="Private Retailer"/>
    <s v="9836029487"/>
    <n v="1.7999999999999999E-2"/>
    <n v="835"/>
    <x v="2"/>
    <m/>
    <s v="2024-01-06"/>
    <s v="281135"/>
    <s v="Md Alauddin Mollick"/>
    <s v="8926710497"/>
  </r>
  <r>
    <s v="RCF Thal"/>
    <s v="N.C.Urea(45kg)"/>
    <s v="WB"/>
    <x v="1"/>
    <s v="Bhangar - I"/>
    <s v="User Not Mapped"/>
    <s v="User Not Mapped"/>
    <s v="User Not Mapped"/>
    <n v="355670"/>
    <s v="MD ALI FERTILIZER"/>
    <s v="Private Retailer"/>
    <s v="9836029487"/>
    <n v="0.18"/>
    <n v="880"/>
    <x v="2"/>
    <m/>
    <s v="2023-11-22"/>
    <s v="281135"/>
    <s v="Md Alauddin Mollick"/>
    <s v="8926710497"/>
  </r>
  <r>
    <s v="RCF Trombay"/>
    <s v="N.C.Urea(45kg)"/>
    <s v="WB"/>
    <x v="1"/>
    <s v="Bhangar - I"/>
    <s v="User Not Mapped"/>
    <s v="User Not Mapped"/>
    <s v="User Not Mapped"/>
    <n v="355670"/>
    <s v="MD ALI FERTILIZER"/>
    <s v="Private Retailer"/>
    <s v="9836029487"/>
    <n v="0.9"/>
    <n v="835"/>
    <x v="2"/>
    <m/>
    <s v="2024-01-06"/>
    <s v="281135"/>
    <s v="Md Alauddin Mollick"/>
    <s v="8926710497"/>
  </r>
  <r>
    <s v="RCF Trombay"/>
    <s v="15-15-15"/>
    <s v="WB"/>
    <x v="1"/>
    <s v="Magrahat - II"/>
    <s v="User Not Mapped"/>
    <s v="User Not Mapped"/>
    <s v="User Not Mapped"/>
    <n v="1105225"/>
    <s v="MD AYAZ RAHAMAN MOLLICK"/>
    <s v="Private Retailer"/>
    <s v="9153762805"/>
    <n v="1.2"/>
    <n v="77"/>
    <x v="6"/>
    <m/>
    <s v="2026-02-02"/>
    <s v="281135"/>
    <s v="Md Alauddin Mollick"/>
    <s v="8926710497"/>
  </r>
  <r>
    <s v="RCF Trombay"/>
    <s v="N.C.Urea(45kg)"/>
    <s v="WB"/>
    <x v="1"/>
    <m/>
    <s v="User Not Mapped"/>
    <s v="User Not Mapped"/>
    <s v="User Not Mapped"/>
    <n v="938957"/>
    <s v="MD SIRAJUL HAQUE"/>
    <s v="Private Retailer"/>
    <s v="9734847032"/>
    <n v="0.18"/>
    <n v="2082"/>
    <x v="2"/>
    <m/>
    <s v="2020-08-07"/>
    <s v="281135"/>
    <s v="Md Alauddin Mollick"/>
    <s v="8926710497"/>
  </r>
  <r>
    <s v="RCF Thal"/>
    <s v="N.C.Urea(45kg)"/>
    <s v="WB"/>
    <x v="1"/>
    <m/>
    <s v="User Not Mapped"/>
    <s v="User Not Mapped"/>
    <s v="User Not Mapped"/>
    <n v="938957"/>
    <s v="MD SIRAJUL HAQUE"/>
    <s v="Private Retailer"/>
    <s v="9734847032"/>
    <n v="0.495"/>
    <n v="2082"/>
    <x v="2"/>
    <m/>
    <s v="2020-08-07"/>
    <s v="281135"/>
    <s v="Md Alauddin Mollick"/>
    <s v="8926710497"/>
  </r>
  <r>
    <s v="RCF Trombay"/>
    <s v="N.C.Urea(45kg)"/>
    <s v="WB"/>
    <x v="1"/>
    <m/>
    <s v="User Not Mapped"/>
    <s v="User Not Mapped"/>
    <s v="User Not Mapped"/>
    <n v="938957"/>
    <s v="MD SIRAJUL HAQUE"/>
    <s v="Private Retailer"/>
    <s v="9734847032"/>
    <n v="0.45"/>
    <n v="2334"/>
    <x v="2"/>
    <m/>
    <s v="2019-11-29"/>
    <s v="281135"/>
    <s v="Md Alauddin Mollick"/>
    <s v="8926710497"/>
  </r>
  <r>
    <s v="RCF Trombay"/>
    <s v="N.C.Urea(45kg)"/>
    <s v="WB"/>
    <x v="1"/>
    <m/>
    <s v="User Not Mapped"/>
    <s v="User Not Mapped"/>
    <s v="User Not Mapped"/>
    <n v="938957"/>
    <s v="MD SIRAJUL HAQUE"/>
    <s v="Private Retailer"/>
    <s v="9734847032"/>
    <n v="0.9"/>
    <n v="2290"/>
    <x v="2"/>
    <m/>
    <s v="2020-01-12"/>
    <s v="281135"/>
    <s v="Md Alauddin Mollick"/>
    <s v="8926710497"/>
  </r>
  <r>
    <s v="RCF Thal"/>
    <s v="N.C.Urea(45kg)"/>
    <s v="WB"/>
    <x v="1"/>
    <m/>
    <s v="User Not Mapped"/>
    <s v="User Not Mapped"/>
    <s v="User Not Mapped"/>
    <n v="938957"/>
    <s v="MD SIRAJUL HAQUE"/>
    <s v="Private Retailer"/>
    <s v="9734847032"/>
    <n v="0.67500000000000004"/>
    <n v="2270"/>
    <x v="2"/>
    <m/>
    <s v="2020-02-01"/>
    <s v="281135"/>
    <s v="Md Alauddin Mollick"/>
    <s v="8926710497"/>
  </r>
  <r>
    <s v="RCF Trombay"/>
    <s v="N.C.Urea(45kg)"/>
    <s v="WB"/>
    <x v="1"/>
    <m/>
    <s v="User Not Mapped"/>
    <s v="User Not Mapped"/>
    <s v="User Not Mapped"/>
    <n v="938957"/>
    <s v="MD SIRAJUL HAQUE"/>
    <s v="Private Retailer"/>
    <s v="9734847032"/>
    <n v="0.45"/>
    <n v="1941"/>
    <x v="2"/>
    <m/>
    <s v="2020-12-26"/>
    <s v="281135"/>
    <s v="Md Alauddin Mollick"/>
    <s v="8926710497"/>
  </r>
  <r>
    <s v="RCF Thal"/>
    <s v="N.C.Urea(45kg)"/>
    <s v="WB"/>
    <x v="1"/>
    <s v="Kultali"/>
    <s v="User Not Mapped"/>
    <s v="User Not Mapped"/>
    <s v="User Not Mapped"/>
    <n v="484026"/>
    <s v="Md. Sirajul Molla"/>
    <s v="Private Retailer"/>
    <s v="8101280516"/>
    <n v="6.48"/>
    <n v="126"/>
    <x v="4"/>
    <m/>
    <s v="2025-12-15"/>
    <s v="281135"/>
    <s v="Md Alauddin Mollick"/>
    <s v="8926710497"/>
  </r>
  <r>
    <s v="RCF Trombay"/>
    <s v="N.C.Urea(45kg)"/>
    <s v="WB"/>
    <x v="1"/>
    <s v="Kultali"/>
    <s v="User Not Mapped"/>
    <s v="User Not Mapped"/>
    <s v="User Not Mapped"/>
    <n v="484026"/>
    <s v="Md. Sirajul Molla"/>
    <s v="Private Retailer"/>
    <s v="8101280516"/>
    <n v="9.6300000000000008"/>
    <n v="95"/>
    <x v="7"/>
    <m/>
    <s v="2026-01-15"/>
    <s v="281135"/>
    <s v="Md Alauddin Mollick"/>
    <s v="8926710497"/>
  </r>
  <r>
    <s v="RCF Trombay"/>
    <s v="15-15-15"/>
    <s v="WB"/>
    <x v="1"/>
    <s v="Bhangar - I"/>
    <s v="User Not Mapped"/>
    <s v="User Not Mapped"/>
    <s v="User Not Mapped"/>
    <n v="457701"/>
    <s v="Mojaffar Hossain molla"/>
    <s v="Private Retailer"/>
    <s v="7872912002"/>
    <n v="0.25"/>
    <n v="42"/>
    <x v="3"/>
    <m/>
    <s v="2026-03-09"/>
    <s v="281135"/>
    <s v="Md Alauddin Mollick"/>
    <s v="8926710497"/>
  </r>
  <r>
    <s v="RCF Trombay"/>
    <s v="N.C.Urea(45kg)"/>
    <s v="WB"/>
    <x v="1"/>
    <s v="Magrahat - II"/>
    <s v="User Not Mapped"/>
    <s v="User Not Mapped"/>
    <s v="User Not Mapped"/>
    <n v="461360"/>
    <s v="Mojakker Gazi"/>
    <s v="Private Retailer"/>
    <s v="8641060289"/>
    <n v="0.76500000000000001"/>
    <n v="61"/>
    <x v="6"/>
    <m/>
    <s v="2026-02-18"/>
    <s v="281135"/>
    <s v="Md Alauddin Mollick"/>
    <s v="8926710497"/>
  </r>
  <r>
    <s v="RCF Trombay"/>
    <s v="15-15-15"/>
    <s v="WB"/>
    <x v="1"/>
    <s v="Baruipur"/>
    <s v="User Not Mapped"/>
    <s v="User Not Mapped"/>
    <s v="User Not Mapped"/>
    <n v="638976"/>
    <s v="MONDAL FERTILISER"/>
    <s v="Private Retailer"/>
    <s v="9609139005"/>
    <n v="0.15"/>
    <n v="23"/>
    <x v="5"/>
    <m/>
    <s v="2026-03-28"/>
    <s v="281135"/>
    <s v="Md Alauddin Mollick"/>
    <s v="8926710497"/>
  </r>
  <r>
    <s v="RCF Trombay"/>
    <s v="15-15-15"/>
    <s v="WB"/>
    <x v="1"/>
    <s v="Diamond Harbour - I"/>
    <s v="User Not Mapped"/>
    <s v="User Not Mapped"/>
    <s v="User Not Mapped"/>
    <n v="881429"/>
    <s v="MONDAL KRISHI BHANDER"/>
    <s v="Private Retailer"/>
    <s v="9002343916"/>
    <n v="4.9000000000000002E-2"/>
    <n v="1946"/>
    <x v="2"/>
    <m/>
    <s v="2020-12-21"/>
    <s v="281135"/>
    <s v="Md Alauddin Mollick"/>
    <s v="8926710497"/>
  </r>
  <r>
    <s v="RCF Thal"/>
    <s v="N.C.Urea(45kg)"/>
    <s v="WB"/>
    <x v="1"/>
    <s v="Diamond Harbour - I"/>
    <s v="User Not Mapped"/>
    <s v="User Not Mapped"/>
    <s v="User Not Mapped"/>
    <n v="881429"/>
    <s v="MONDAL KRISHI BHANDER"/>
    <s v="Private Retailer"/>
    <s v="9002343916"/>
    <n v="1E-3"/>
    <n v="2268"/>
    <x v="2"/>
    <m/>
    <s v="2020-02-03"/>
    <s v="281135"/>
    <s v="Md Alauddin Mollick"/>
    <s v="8926710497"/>
  </r>
  <r>
    <s v="RCF Import"/>
    <s v="MOP"/>
    <s v="WB"/>
    <x v="1"/>
    <s v="Jaynagar - II"/>
    <s v="User Not Mapped"/>
    <s v="User Not Mapped"/>
    <s v="User Not Mapped"/>
    <n v="290811"/>
    <s v="Nemai Chatui"/>
    <s v="Private Retailer"/>
    <s v="9002979569"/>
    <n v="0.5"/>
    <n v="33"/>
    <x v="3"/>
    <m/>
    <s v="2026-03-18"/>
    <s v="281135"/>
    <s v="Md Alauddin Mollick"/>
    <s v="8926710497"/>
  </r>
  <r>
    <s v="RCF Thal"/>
    <s v="N.C.Urea(45kg)"/>
    <s v="WB"/>
    <x v="1"/>
    <s v="Mathurapur - I"/>
    <s v="User Not Mapped"/>
    <s v="User Not Mapped"/>
    <s v="User Not Mapped"/>
    <n v="654971"/>
    <s v="NEW KRISHI KALYAN KENDRA"/>
    <s v="Private Retailer"/>
    <s v="9933779494"/>
    <n v="1.0349999999999999"/>
    <n v="40"/>
    <x v="3"/>
    <m/>
    <s v="2026-03-11"/>
    <s v="281135"/>
    <s v="Md Alauddin Mollick"/>
    <s v="8926710497"/>
  </r>
  <r>
    <s v="RCF Trombay"/>
    <s v="15-15-15"/>
    <s v="WB"/>
    <x v="1"/>
    <s v="Diamond Harbour - II"/>
    <s v="User Not Mapped"/>
    <s v="User Not Mapped"/>
    <s v="User Not Mapped"/>
    <n v="632938"/>
    <s v="NILIMA SARDAR"/>
    <s v="Private Retailer"/>
    <s v="7430810668"/>
    <n v="0.25"/>
    <n v="488"/>
    <x v="0"/>
    <m/>
    <s v="2024-12-18"/>
    <s v="281135"/>
    <s v="Md Alauddin Mollick"/>
    <s v="8926710497"/>
  </r>
  <r>
    <s v="RCF Thal"/>
    <s v="N.C.Urea(45kg)"/>
    <s v="WB"/>
    <x v="1"/>
    <s v="Diamond Harbour - II"/>
    <s v="User Not Mapped"/>
    <s v="User Not Mapped"/>
    <s v="User Not Mapped"/>
    <n v="632938"/>
    <s v="NILIMA SARDAR"/>
    <s v="Private Retailer"/>
    <s v="7430810668"/>
    <n v="0.09"/>
    <n v="853"/>
    <x v="2"/>
    <m/>
    <s v="2023-12-19"/>
    <s v="281135"/>
    <s v="Md Alauddin Mollick"/>
    <s v="8926710497"/>
  </r>
  <r>
    <s v="RCF Trombay"/>
    <s v="15-15-15"/>
    <s v="WB"/>
    <x v="1"/>
    <s v="Diamond Harbour - II"/>
    <s v="User Not Mapped"/>
    <s v="User Not Mapped"/>
    <s v="User Not Mapped"/>
    <n v="632938"/>
    <s v="NILIMA SARDAR"/>
    <s v="Private Retailer"/>
    <s v="7430810668"/>
    <n v="0.2"/>
    <n v="979"/>
    <x v="2"/>
    <m/>
    <s v="2023-08-15"/>
    <s v="281135"/>
    <s v="Md Alauddin Mollick"/>
    <s v="8926710497"/>
  </r>
  <r>
    <s v="RCF Trombay"/>
    <s v="N.C.Urea(45kg)"/>
    <s v="WB"/>
    <x v="1"/>
    <s v="Namkhana"/>
    <s v="User Not Mapped"/>
    <s v="User Not Mapped"/>
    <s v="User Not Mapped"/>
    <n v="460607"/>
    <s v="Nirmal Halder"/>
    <s v="Private Retailer"/>
    <s v="8942876321"/>
    <n v="0.85499999999999998"/>
    <n v="205"/>
    <x v="1"/>
    <m/>
    <s v="2025-09-27"/>
    <s v="281135"/>
    <s v="Md Alauddin Mollick"/>
    <s v="8926710497"/>
  </r>
  <r>
    <s v="RCF Import"/>
    <s v="MOP"/>
    <s v="WB"/>
    <x v="1"/>
    <s v="Jaynagar - I"/>
    <s v="User Not Mapped"/>
    <s v="User Not Mapped"/>
    <s v="User Not Mapped"/>
    <n v="355830"/>
    <s v="NOWMAN ALI MOLLA"/>
    <s v="Private Retailer"/>
    <s v="9749611024"/>
    <n v="0.05"/>
    <n v="49"/>
    <x v="3"/>
    <m/>
    <s v="2026-03-02"/>
    <s v="281135"/>
    <s v="Md Alauddin Mollick"/>
    <s v="8926710497"/>
  </r>
  <r>
    <s v="RCF Trombay"/>
    <s v="N.C.Urea(45kg)"/>
    <s v="WB"/>
    <x v="1"/>
    <s v="Jaynagar - I"/>
    <s v="User Not Mapped"/>
    <s v="User Not Mapped"/>
    <s v="User Not Mapped"/>
    <n v="355830"/>
    <s v="NOWMAN ALI MOLLA"/>
    <s v="Private Retailer"/>
    <s v="9749611024"/>
    <n v="4.4999999999999998E-2"/>
    <n v="486"/>
    <x v="0"/>
    <m/>
    <s v="2024-12-20"/>
    <s v="281135"/>
    <s v="Md Alauddin Mollick"/>
    <s v="8926710497"/>
  </r>
  <r>
    <s v="RCF Import"/>
    <s v="MOP"/>
    <s v="WB"/>
    <x v="1"/>
    <s v="Canning - I"/>
    <s v="User Not Mapped"/>
    <s v="User Not Mapped"/>
    <s v="User Not Mapped"/>
    <n v="504489"/>
    <s v="Raima Sar Bhander"/>
    <s v="Private Retailer"/>
    <s v="9332609072"/>
    <n v="0.2"/>
    <n v="42"/>
    <x v="3"/>
    <m/>
    <s v="2026-03-09"/>
    <s v="281135"/>
    <s v="Md Alauddin Mollick"/>
    <s v="8926710497"/>
  </r>
  <r>
    <s v="RCF Import"/>
    <s v="MOP"/>
    <s v="WB"/>
    <x v="1"/>
    <s v="Canning - I"/>
    <s v="User Not Mapped"/>
    <s v="User Not Mapped"/>
    <s v="User Not Mapped"/>
    <n v="504489"/>
    <s v="Raima Sar Bhander"/>
    <s v="Private Retailer"/>
    <s v="9332609072"/>
    <n v="0.5"/>
    <n v="26"/>
    <x v="5"/>
    <m/>
    <s v="2026-03-25"/>
    <s v="281135"/>
    <s v="Md Alauddin Mollick"/>
    <s v="8926710497"/>
  </r>
  <r>
    <s v="RCF Trombay"/>
    <s v="15-15-15"/>
    <s v="WB"/>
    <x v="1"/>
    <s v="Jaynagar - I"/>
    <s v="User Not Mapped"/>
    <s v="User Not Mapped"/>
    <s v="User Not Mapped"/>
    <n v="466819"/>
    <s v="Rohit Kumar Halder"/>
    <s v="Private Retailer"/>
    <s v="8768844079"/>
    <n v="0.1"/>
    <n v="42"/>
    <x v="3"/>
    <m/>
    <s v="2026-03-09"/>
    <s v="281135"/>
    <s v="Md Alauddin Mollick"/>
    <s v="8926710497"/>
  </r>
  <r>
    <s v="RCF Import"/>
    <s v="Imp 10-26-26"/>
    <s v="WB"/>
    <x v="1"/>
    <s v="Jaynagar - I"/>
    <s v="User Not Mapped"/>
    <s v="User Not Mapped"/>
    <s v="User Not Mapped"/>
    <n v="466819"/>
    <s v="Rohit Kumar Halder"/>
    <s v="Private Retailer"/>
    <s v="8768844079"/>
    <n v="0.1"/>
    <n v="42"/>
    <x v="3"/>
    <m/>
    <s v="2026-03-09"/>
    <s v="281135"/>
    <s v="Md Alauddin Mollick"/>
    <s v="8926710497"/>
  </r>
  <r>
    <s v="RCF Import"/>
    <s v="MOP"/>
    <s v="WB"/>
    <x v="1"/>
    <s v="Jaynagar - I"/>
    <s v="User Not Mapped"/>
    <s v="User Not Mapped"/>
    <s v="User Not Mapped"/>
    <n v="466819"/>
    <s v="Rohit Kumar Halder"/>
    <s v="Private Retailer"/>
    <s v="8768844079"/>
    <n v="0.25"/>
    <n v="40"/>
    <x v="3"/>
    <m/>
    <s v="2026-03-11"/>
    <s v="281135"/>
    <s v="Md Alauddin Mollick"/>
    <s v="8926710497"/>
  </r>
  <r>
    <s v="RCF Trombay"/>
    <s v="N.C.Urea(45kg)"/>
    <s v="WB"/>
    <x v="1"/>
    <m/>
    <s v="User Not Mapped"/>
    <s v="User Not Mapped"/>
    <s v="User Not Mapped"/>
    <n v="541941"/>
    <s v="Sabitri Fertiliser"/>
    <s v="Private Retailer"/>
    <s v="9635892025"/>
    <n v="1.125"/>
    <n v="1944"/>
    <x v="2"/>
    <m/>
    <s v="2020-12-23"/>
    <s v="281135"/>
    <s v="Md Alauddin Mollick"/>
    <s v="8926710497"/>
  </r>
  <r>
    <s v="RCF Trombay"/>
    <s v="15-15-15"/>
    <s v="WB"/>
    <x v="1"/>
    <s v="Patharpratima"/>
    <s v="User Not Mapped"/>
    <s v="User Not Mapped"/>
    <s v="User Not Mapped"/>
    <n v="547420"/>
    <s v="Sabuj Dwip Fertiliser"/>
    <s v="Private Retailer"/>
    <s v="9734341619"/>
    <n v="0.9"/>
    <n v="88"/>
    <x v="6"/>
    <m/>
    <s v="2026-01-22"/>
    <s v="281135"/>
    <s v="Md Alauddin Mollick"/>
    <s v="8926710497"/>
  </r>
  <r>
    <s v="RCF Import"/>
    <s v="MOP"/>
    <s v="WB"/>
    <x v="1"/>
    <s v="Jaynagar - I"/>
    <s v="User Not Mapped"/>
    <s v="User Not Mapped"/>
    <s v="User Not Mapped"/>
    <n v="1256862"/>
    <s v="SARDAR FERTILIZER"/>
    <s v="Private Retailer"/>
    <s v="7908209028"/>
    <n v="0.05"/>
    <n v="33"/>
    <x v="3"/>
    <m/>
    <s v="2026-03-18"/>
    <s v="281135"/>
    <s v="Md Alauddin Mollick"/>
    <s v="8926710497"/>
  </r>
  <r>
    <s v="RCF Thal"/>
    <s v="N.C.Urea(45kg)"/>
    <s v="WB"/>
    <x v="1"/>
    <s v="Jaynagar - I"/>
    <s v="User Not Mapped"/>
    <s v="User Not Mapped"/>
    <s v="User Not Mapped"/>
    <n v="1256862"/>
    <s v="SARDAR FERTILIZER"/>
    <s v="Private Retailer"/>
    <s v="7908209028"/>
    <n v="2.7450000000000001"/>
    <n v="37"/>
    <x v="3"/>
    <m/>
    <s v="2026-03-14"/>
    <s v="281135"/>
    <s v="Md Alauddin Mollick"/>
    <s v="8926710497"/>
  </r>
  <r>
    <s v="RCF Import"/>
    <s v="MOP"/>
    <s v="WB"/>
    <x v="1"/>
    <s v="Jaynagar - I"/>
    <s v="User Not Mapped"/>
    <s v="User Not Mapped"/>
    <s v="User Not Mapped"/>
    <n v="1256862"/>
    <s v="SARDAR FERTILIZER"/>
    <s v="Private Retailer"/>
    <s v="7908209028"/>
    <n v="0.05"/>
    <n v="44"/>
    <x v="3"/>
    <m/>
    <s v="2026-03-07"/>
    <s v="281135"/>
    <s v="Md Alauddin Mollick"/>
    <s v="8926710497"/>
  </r>
  <r>
    <s v="RCF Import"/>
    <s v="MOP"/>
    <s v="WB"/>
    <x v="1"/>
    <s v="Jaynagar - I"/>
    <s v="User Not Mapped"/>
    <s v="User Not Mapped"/>
    <s v="User Not Mapped"/>
    <n v="1256862"/>
    <s v="SARDAR FERTILIZER"/>
    <s v="Private Retailer"/>
    <s v="7908209028"/>
    <n v="0.25"/>
    <n v="49"/>
    <x v="3"/>
    <m/>
    <s v="2026-03-02"/>
    <s v="281135"/>
    <s v="Md Alauddin Mollick"/>
    <s v="8926710497"/>
  </r>
  <r>
    <s v="RCF Import"/>
    <s v="MOP"/>
    <s v="WB"/>
    <x v="1"/>
    <s v="Jaynagar - I"/>
    <s v="User Not Mapped"/>
    <s v="User Not Mapped"/>
    <s v="User Not Mapped"/>
    <n v="1256862"/>
    <s v="SARDAR FERTILIZER"/>
    <s v="Private Retailer"/>
    <s v="7908209028"/>
    <n v="0.1"/>
    <n v="55"/>
    <x v="3"/>
    <m/>
    <s v="2026-02-24"/>
    <s v="281135"/>
    <s v="Md Alauddin Mollick"/>
    <s v="8926710497"/>
  </r>
  <r>
    <s v="RCF Trombay"/>
    <s v="15-15-15"/>
    <s v="WB"/>
    <x v="1"/>
    <s v="Sonarpur"/>
    <s v="User Not Mapped"/>
    <s v="User Not Mapped"/>
    <s v="User Not Mapped"/>
    <n v="356401"/>
    <s v="Sasadhar Sar Bhander Prop-Tusar Mondal"/>
    <s v="Private Retailer"/>
    <s v="8170858779"/>
    <n v="0.5"/>
    <n v="33"/>
    <x v="3"/>
    <m/>
    <s v="2026-03-18"/>
    <s v="281135"/>
    <s v="Md Alauddin Mollick"/>
    <s v="8926710497"/>
  </r>
  <r>
    <s v="RCF Trombay"/>
    <s v="15-15-15"/>
    <s v="WB"/>
    <x v="1"/>
    <m/>
    <s v="User Not Mapped"/>
    <s v="User Not Mapped"/>
    <s v="User Not Mapped"/>
    <n v="1105227"/>
    <s v="SEKH KRISHI BHANDER"/>
    <s v="Private Retailer"/>
    <s v="7908621663"/>
    <n v="0.25"/>
    <n v="963"/>
    <x v="2"/>
    <m/>
    <s v="2023-08-31"/>
    <s v="281135"/>
    <s v="Md Alauddin Mollick"/>
    <s v="8926710497"/>
  </r>
  <r>
    <s v="RCF Trombay"/>
    <s v="15-15-15"/>
    <s v="WB"/>
    <x v="1"/>
    <s v="Bhangar - I"/>
    <s v="User Not Mapped"/>
    <s v="User Not Mapped"/>
    <s v="User Not Mapped"/>
    <n v="356408"/>
    <s v="Shekkrishi Bhandar"/>
    <s v="Private Retailer"/>
    <s v="9564048868"/>
    <n v="0.5"/>
    <n v="126"/>
    <x v="4"/>
    <m/>
    <s v="2025-12-15"/>
    <s v="281135"/>
    <s v="Md Alauddin Mollick"/>
    <s v="8926710497"/>
  </r>
  <r>
    <s v="RCF Import"/>
    <s v="MOP"/>
    <s v="WB"/>
    <x v="1"/>
    <s v="Jaynagar - II"/>
    <s v="User Not Mapped"/>
    <s v="User Not Mapped"/>
    <s v="User Not Mapped"/>
    <n v="290818"/>
    <s v="Srikanta Pramanik"/>
    <s v="Private Retailer"/>
    <s v="9800419304"/>
    <n v="0.14499999999999999"/>
    <n v="51"/>
    <x v="3"/>
    <m/>
    <s v="2026-02-28"/>
    <s v="281135"/>
    <s v="Md Alauddin Mollick"/>
    <s v="8926710497"/>
  </r>
  <r>
    <s v="RCF Trombay"/>
    <s v="15-15-15"/>
    <s v="WB"/>
    <x v="1"/>
    <s v="Kakdwip"/>
    <s v="User Not Mapped"/>
    <s v="User Not Mapped"/>
    <s v="User Not Mapped"/>
    <n v="465938"/>
    <s v="Sukumar Manna"/>
    <s v="Private Retailer"/>
    <s v="8001965597"/>
    <n v="0.35"/>
    <n v="180"/>
    <x v="4"/>
    <m/>
    <s v="2025-10-22"/>
    <s v="281135"/>
    <s v="Md Alauddin Mollick"/>
    <s v="8926710497"/>
  </r>
  <r>
    <s v="RCF Import"/>
    <s v="Imp 10-26-26"/>
    <s v="WB"/>
    <x v="1"/>
    <s v="Magrahat - II"/>
    <s v="User Not Mapped"/>
    <s v="User Not Mapped"/>
    <s v="User Not Mapped"/>
    <n v="461410"/>
    <s v="Swagata Fertiliser"/>
    <s v="Private Retailer"/>
    <s v="9933622027"/>
    <n v="0.5"/>
    <n v="44"/>
    <x v="3"/>
    <m/>
    <s v="2026-03-07"/>
    <s v="281135"/>
    <s v="Md Alauddin Mollick"/>
    <s v="8926710497"/>
  </r>
  <r>
    <s v="RCF Thal"/>
    <s v="N.C.Urea(45kg)"/>
    <s v="WB"/>
    <x v="1"/>
    <s v="Magrahat - II"/>
    <s v="User Not Mapped"/>
    <s v="User Not Mapped"/>
    <s v="User Not Mapped"/>
    <n v="498986"/>
    <s v="Swapan Sardar"/>
    <s v="Private Retailer"/>
    <s v="8016029542"/>
    <n v="0.36"/>
    <n v="163"/>
    <x v="4"/>
    <m/>
    <s v="2025-11-08"/>
    <s v="281135"/>
    <s v="Md Alauddin Mollick"/>
    <s v="8926710497"/>
  </r>
  <r>
    <s v="RCF Import"/>
    <s v="MOP"/>
    <s v="WB"/>
    <x v="1"/>
    <s v="Jaynagar - I"/>
    <s v="User Not Mapped"/>
    <s v="User Not Mapped"/>
    <s v="User Not Mapped"/>
    <n v="470852"/>
    <s v="Tusar Sarder"/>
    <s v="Private Retailer"/>
    <s v="8250936280"/>
    <n v="0.15"/>
    <n v="49"/>
    <x v="3"/>
    <m/>
    <s v="2026-03-02"/>
    <s v="281135"/>
    <s v="Md Alauddin Mollick"/>
    <s v="8926710497"/>
  </r>
  <r>
    <s v="RCF Trombay"/>
    <s v="15-15-15"/>
    <s v="WB"/>
    <x v="1"/>
    <s v="Bhangar - I"/>
    <s v="User Not Mapped"/>
    <s v="User Not Mapped"/>
    <s v="User Not Mapped"/>
    <n v="620274"/>
    <s v="ALAYA KRISHI BHANDAR"/>
    <s v="Private Retailer"/>
    <s v="9733727902"/>
    <n v="2.5"/>
    <n v="94"/>
    <x v="7"/>
    <m/>
    <s v="2026-01-16"/>
    <s v="290836"/>
    <s v="Md Nowshar Ali Molla"/>
    <s v="9143336806"/>
  </r>
  <r>
    <s v="RCF Thal"/>
    <s v="N.C.Urea(45kg)"/>
    <s v="WB"/>
    <x v="1"/>
    <m/>
    <s v="User Not Mapped"/>
    <s v="User Not Mapped"/>
    <s v="User Not Mapped"/>
    <n v="657752"/>
    <s v="ARRAHIM KRISHI BHANDER"/>
    <s v="Private Retailer"/>
    <s v="9564012252"/>
    <n v="4.4999999999999998E-2"/>
    <n v="1577"/>
    <x v="2"/>
    <m/>
    <s v="2021-12-25"/>
    <s v="290836"/>
    <s v="Md Nowshar Ali Molla"/>
    <s v="9143336806"/>
  </r>
  <r>
    <s v="RCF Thal"/>
    <s v="N.C.Urea(45kg)"/>
    <s v="WB"/>
    <x v="1"/>
    <s v="Bhangar - I"/>
    <s v="User Not Mapped"/>
    <s v="User Not Mapped"/>
    <s v="User Not Mapped"/>
    <n v="355741"/>
    <s v="M/S Nowshar Ali Molla"/>
    <s v="Private Retailer"/>
    <s v="9800357351"/>
    <n v="10.98"/>
    <n v="31"/>
    <x v="3"/>
    <m/>
    <s v="2026-03-20"/>
    <s v="290836"/>
    <s v="Md Nowshar Ali Molla"/>
    <s v="9143336806"/>
  </r>
  <r>
    <s v="RCF Thal"/>
    <s v="N.C.Urea(45kg)"/>
    <s v="WB"/>
    <x v="1"/>
    <s v="Bhangar - I"/>
    <s v="User Not Mapped"/>
    <s v="User Not Mapped"/>
    <s v="User Not Mapped"/>
    <n v="290771"/>
    <s v="Md. Sofiqur Rahaman Molla"/>
    <s v="Private Retailer"/>
    <s v="9733800198"/>
    <n v="1.2150000000000001"/>
    <n v="44"/>
    <x v="3"/>
    <m/>
    <s v="2026-03-07"/>
    <s v="290836"/>
    <s v="Md Nowshar Ali Molla"/>
    <s v="9143336806"/>
  </r>
  <r>
    <s v="RCF Trombay"/>
    <s v="15-15-15"/>
    <s v="WB"/>
    <x v="1"/>
    <s v="Bhangar - I"/>
    <s v="User Not Mapped"/>
    <s v="User Not Mapped"/>
    <s v="User Not Mapped"/>
    <n v="355845"/>
    <s v="Paik Fertilizer"/>
    <s v="Private Retailer"/>
    <s v="9800797929"/>
    <n v="0.45"/>
    <n v="45"/>
    <x v="3"/>
    <m/>
    <s v="2026-03-06"/>
    <s v="290836"/>
    <s v="Md Nowshar Ali Molla"/>
    <s v="9143336806"/>
  </r>
  <r>
    <s v="RCF Trombay"/>
    <s v="N.C.Urea(45kg)"/>
    <s v="WB"/>
    <x v="1"/>
    <s v="Thakurpukur Mahestola"/>
    <s v="User Not Mapped"/>
    <s v="User Not Mapped"/>
    <s v="User Not Mapped"/>
    <n v="355694"/>
    <s v="Moniruzaman Krishi Bhandar"/>
    <s v="Private Retailer"/>
    <s v="9609423691"/>
    <n v="2.1"/>
    <n v="582"/>
    <x v="2"/>
    <m/>
    <s v="2024-09-15"/>
    <s v="1023423"/>
    <s v="MONIRUZZAMAN KRISHI BHANDER"/>
    <s v="9609423691"/>
  </r>
  <r>
    <s v="RCF Thal"/>
    <s v="N.C.Urea(45kg)"/>
    <s v="WB"/>
    <x v="1"/>
    <s v="Gosaba"/>
    <s v="User Not Mapped"/>
    <s v="User Not Mapped"/>
    <s v="User Not Mapped"/>
    <n v="1032309"/>
    <s v=" M/S DAS KRISHI BIPANI"/>
    <s v="Private Retailer"/>
    <s v="9091432386"/>
    <n v="3.89"/>
    <n v="56"/>
    <x v="3"/>
    <m/>
    <s v="2026-02-23"/>
    <s v="290840"/>
    <s v="N C Das &amp; Company"/>
    <s v="7365868045"/>
  </r>
  <r>
    <s v="RCF Thal"/>
    <s v="N.C.Urea(45kg)"/>
    <s v="WB"/>
    <x v="1"/>
    <s v="Jaynagar - II"/>
    <s v="User Not Mapped"/>
    <s v="User Not Mapped"/>
    <s v="User Not Mapped"/>
    <n v="427080"/>
    <s v=" M/S Lilabati Fertilizer"/>
    <s v="Private Retailer"/>
    <s v="6297823812"/>
    <n v="11.115"/>
    <n v="25"/>
    <x v="5"/>
    <m/>
    <s v="2026-03-26"/>
    <s v="290840"/>
    <s v="N C Das &amp; Company"/>
    <s v="7365868045"/>
  </r>
  <r>
    <s v="RCF Thal"/>
    <s v="N.C.Urea(45kg)"/>
    <s v="WB"/>
    <x v="1"/>
    <s v="Bhangar - I"/>
    <s v="User Not Mapped"/>
    <s v="User Not Mapped"/>
    <s v="User Not Mapped"/>
    <n v="340953"/>
    <s v="Atab Ali Molla"/>
    <s v="Private Retailer"/>
    <s v="9735761405"/>
    <n v="0.28799999999999998"/>
    <n v="413"/>
    <x v="0"/>
    <m/>
    <s v="2025-03-03"/>
    <s v="290840"/>
    <s v="N C Das &amp; Company"/>
    <s v="7365868045"/>
  </r>
  <r>
    <s v="RCF Thal"/>
    <s v="N.C.Urea(45kg)"/>
    <s v="WB"/>
    <x v="1"/>
    <s v="Basanti"/>
    <s v="User Not Mapped"/>
    <s v="User Not Mapped"/>
    <s v="User Not Mapped"/>
    <n v="290748"/>
    <s v="Banamali Purkait"/>
    <s v="Private Retailer"/>
    <s v="9733836356"/>
    <n v="2.4300000000000002"/>
    <n v="192"/>
    <x v="1"/>
    <m/>
    <s v="2025-10-10"/>
    <s v="290840"/>
    <s v="N C Das &amp; Company"/>
    <s v="7365868045"/>
  </r>
  <r>
    <s v="RCF Thal"/>
    <s v="N.C.Urea(45kg)"/>
    <s v="WB"/>
    <x v="1"/>
    <s v="Mathurapur - II"/>
    <s v="User Not Mapped"/>
    <s v="User Not Mapped"/>
    <s v="User Not Mapped"/>
    <n v="281084"/>
    <s v="Bhabasindhu Haldar"/>
    <s v="Private Retailer"/>
    <s v="8926428665"/>
    <n v="9.0449999999999999"/>
    <n v="40"/>
    <x v="3"/>
    <m/>
    <s v="2026-03-11"/>
    <s v="290840"/>
    <s v="N C Das &amp; Company"/>
    <s v="7365868045"/>
  </r>
  <r>
    <s v="RCF Thal"/>
    <s v="N.C.Urea(45kg)"/>
    <s v="WB"/>
    <x v="1"/>
    <s v="Jaynagar - I"/>
    <s v="User Not Mapped"/>
    <s v="User Not Mapped"/>
    <s v="User Not Mapped"/>
    <n v="541939"/>
    <s v="Bhudhar Chandra Naskar"/>
    <s v="Private Retailer"/>
    <s v="9732956985"/>
    <n v="5.76"/>
    <n v="51"/>
    <x v="3"/>
    <m/>
    <s v="2026-02-28"/>
    <s v="290840"/>
    <s v="N C Das &amp; Company"/>
    <s v="7365868045"/>
  </r>
  <r>
    <s v="RCF Trombay"/>
    <s v="15-15-15"/>
    <s v="WB"/>
    <x v="1"/>
    <m/>
    <s v="User Not Mapped"/>
    <s v="User Not Mapped"/>
    <s v="User Not Mapped"/>
    <n v="634807"/>
    <s v="DAS FERTILISER"/>
    <s v="Private Retailer"/>
    <s v="8944946409"/>
    <n v="1"/>
    <n v="1393"/>
    <x v="2"/>
    <m/>
    <s v="2022-06-27"/>
    <s v="290840"/>
    <s v="N C Das &amp; Company"/>
    <s v="7365868045"/>
  </r>
  <r>
    <s v="RCF Thal"/>
    <s v="N.C.Urea(45kg)"/>
    <s v="WB"/>
    <x v="1"/>
    <s v="Jaynagar - II"/>
    <s v="User Not Mapped"/>
    <s v="User Not Mapped"/>
    <s v="User Not Mapped"/>
    <n v="656514"/>
    <s v="M/S BAIDYA FERTILIZER"/>
    <s v="Private Retailer"/>
    <s v="9732770498"/>
    <n v="0.67500000000000004"/>
    <n v="373"/>
    <x v="0"/>
    <m/>
    <s v="2025-04-12"/>
    <s v="290840"/>
    <s v="N C Das &amp; Company"/>
    <s v="7365868045"/>
  </r>
  <r>
    <s v="RCF Thal"/>
    <s v="N.C.Urea(45kg)"/>
    <s v="WB"/>
    <x v="1"/>
    <s v="Jaynagar - II"/>
    <s v="User Not Mapped"/>
    <s v="User Not Mapped"/>
    <s v="User Not Mapped"/>
    <n v="656514"/>
    <s v="M/S BAIDYA FERTILIZER"/>
    <s v="Private Retailer"/>
    <s v="9732770498"/>
    <n v="10.98"/>
    <n v="2"/>
    <x v="5"/>
    <m/>
    <s v="2026-04-18"/>
    <s v="290840"/>
    <s v="N C Das &amp; Company"/>
    <s v="7365868045"/>
  </r>
  <r>
    <s v="RCF Thal"/>
    <s v="N.C.Urea(45kg)"/>
    <s v="WB"/>
    <x v="1"/>
    <s v="Basanti"/>
    <s v="User Not Mapped"/>
    <s v="User Not Mapped"/>
    <s v="User Not Mapped"/>
    <n v="309276"/>
    <s v="M/S Nemai Chandra Saha"/>
    <s v="State Marketing Federation"/>
    <s v="9734313137"/>
    <n v="32.94"/>
    <n v="40"/>
    <x v="3"/>
    <m/>
    <s v="2026-03-11"/>
    <s v="290840"/>
    <s v="N C Das &amp; Company"/>
    <s v="7365868045"/>
  </r>
  <r>
    <s v="RCF Import"/>
    <s v="MOP"/>
    <s v="WB"/>
    <x v="1"/>
    <s v="Basanti"/>
    <s v="User Not Mapped"/>
    <s v="User Not Mapped"/>
    <s v="User Not Mapped"/>
    <n v="309276"/>
    <s v="M/S Nemai Chandra Saha"/>
    <s v="State Marketing Federation"/>
    <s v="9734313137"/>
    <n v="11"/>
    <n v="56"/>
    <x v="3"/>
    <m/>
    <s v="2026-02-23"/>
    <s v="290840"/>
    <s v="N C Das &amp; Company"/>
    <s v="7365868045"/>
  </r>
  <r>
    <s v="RCF Thal"/>
    <s v="N.C.Urea(45kg)"/>
    <s v="WB"/>
    <x v="1"/>
    <s v="Basanti"/>
    <s v="User Not Mapped"/>
    <s v="User Not Mapped"/>
    <s v="User Not Mapped"/>
    <n v="309276"/>
    <s v="M/S Nemai Chandra Saha"/>
    <s v="State Marketing Federation"/>
    <s v="9734313137"/>
    <n v="16.155000000000001"/>
    <n v="65"/>
    <x v="6"/>
    <m/>
    <s v="2026-02-14"/>
    <s v="290840"/>
    <s v="N C Das &amp; Company"/>
    <s v="7365868045"/>
  </r>
  <r>
    <s v="RCF Trombay"/>
    <s v="N.C.Urea(45kg)"/>
    <s v="WB"/>
    <x v="1"/>
    <s v="Kultali"/>
    <s v="User Not Mapped"/>
    <s v="User Not Mapped"/>
    <s v="User Not Mapped"/>
    <n v="668734"/>
    <s v="MAA NAMITA ENTERPRISE"/>
    <s v="Private Retailer"/>
    <s v="7699295315"/>
    <n v="29.385000000000002"/>
    <n v="40"/>
    <x v="3"/>
    <m/>
    <s v="2026-03-11"/>
    <s v="290840"/>
    <s v="N C Das &amp; Company"/>
    <s v="7365868045"/>
  </r>
  <r>
    <s v="RCF Thal"/>
    <s v="N.C.Urea(45kg)"/>
    <s v="WB"/>
    <x v="1"/>
    <s v="Kultali"/>
    <s v="User Not Mapped"/>
    <s v="User Not Mapped"/>
    <s v="User Not Mapped"/>
    <n v="668734"/>
    <s v="MAA NAMITA ENTERPRISE"/>
    <s v="Private Retailer"/>
    <s v="7699295315"/>
    <n v="24.614999999999998"/>
    <n v="40"/>
    <x v="3"/>
    <m/>
    <s v="2026-03-11"/>
    <s v="290840"/>
    <s v="N C Das &amp; Company"/>
    <s v="7365868045"/>
  </r>
  <r>
    <s v="RCF Trombay"/>
    <s v="N.C.Urea(45kg)"/>
    <s v="WB"/>
    <x v="1"/>
    <s v="Jaynagar - II"/>
    <s v="User Not Mapped"/>
    <s v="User Not Mapped"/>
    <s v="User Not Mapped"/>
    <n v="341837"/>
    <s v="Manirul Sarkar"/>
    <s v="Private Retailer"/>
    <s v="9732920239"/>
    <n v="0.54"/>
    <n v="88"/>
    <x v="6"/>
    <m/>
    <s v="2026-01-22"/>
    <s v="290840"/>
    <s v="N C Das &amp; Company"/>
    <s v="7365868045"/>
  </r>
  <r>
    <s v="RCF Trombay"/>
    <s v="15-15-15"/>
    <s v="WB"/>
    <x v="1"/>
    <s v="Jaynagar - II"/>
    <s v="User Not Mapped"/>
    <s v="User Not Mapped"/>
    <s v="User Not Mapped"/>
    <n v="341837"/>
    <s v="Manirul Sarkar"/>
    <s v="Private Retailer"/>
    <s v="9732920239"/>
    <n v="1.78"/>
    <n v="88"/>
    <x v="6"/>
    <m/>
    <s v="2026-01-22"/>
    <s v="290840"/>
    <s v="N C Das &amp; Company"/>
    <s v="7365868045"/>
  </r>
  <r>
    <s v="RCF Thal"/>
    <s v="N.C.Urea(45kg)"/>
    <s v="WB"/>
    <x v="1"/>
    <s v="Jaynagar - II"/>
    <s v="User Not Mapped"/>
    <s v="User Not Mapped"/>
    <s v="User Not Mapped"/>
    <n v="341837"/>
    <s v="Manirul Sarkar"/>
    <s v="Private Retailer"/>
    <s v="9732920239"/>
    <n v="0.45"/>
    <n v="93"/>
    <x v="7"/>
    <m/>
    <s v="2026-01-17"/>
    <s v="290840"/>
    <s v="N C Das &amp; Company"/>
    <s v="7365868045"/>
  </r>
  <r>
    <s v="RCF Trombay"/>
    <s v="N.C.Urea(45kg)"/>
    <s v="WB"/>
    <x v="1"/>
    <s v="Magrahat - II"/>
    <s v="User Not Mapped"/>
    <s v="User Not Mapped"/>
    <s v="User Not Mapped"/>
    <n v="595026"/>
    <s v="MANSURA MOLLA"/>
    <s v="Private Retailer"/>
    <s v="9609574250"/>
    <n v="4.41"/>
    <n v="126"/>
    <x v="4"/>
    <m/>
    <s v="2025-12-15"/>
    <s v="290840"/>
    <s v="N C Das &amp; Company"/>
    <s v="7365868045"/>
  </r>
  <r>
    <s v="RCF Import"/>
    <s v="Imp 10-26-26"/>
    <s v="WB"/>
    <x v="1"/>
    <s v="Magrahat - II"/>
    <s v="User Not Mapped"/>
    <s v="User Not Mapped"/>
    <s v="User Not Mapped"/>
    <n v="595026"/>
    <s v="MANSURA MOLLA"/>
    <s v="Private Retailer"/>
    <s v="9609574250"/>
    <n v="9.75"/>
    <n v="44"/>
    <x v="3"/>
    <m/>
    <s v="2026-03-07"/>
    <s v="290840"/>
    <s v="N C Das &amp; Company"/>
    <s v="7365868045"/>
  </r>
  <r>
    <s v="RCF Trombay"/>
    <s v="15-15-15"/>
    <s v="WB"/>
    <x v="1"/>
    <s v="Magrahat - II"/>
    <s v="User Not Mapped"/>
    <s v="User Not Mapped"/>
    <s v="User Not Mapped"/>
    <n v="595026"/>
    <s v="MANSURA MOLLA"/>
    <s v="Private Retailer"/>
    <s v="9609574250"/>
    <n v="4.75"/>
    <n v="46"/>
    <x v="3"/>
    <m/>
    <s v="2026-03-05"/>
    <s v="290840"/>
    <s v="N C Das &amp; Company"/>
    <s v="7365868045"/>
  </r>
  <r>
    <s v="RCF Thal"/>
    <s v="N.C.Urea(45kg)"/>
    <s v="WB"/>
    <x v="1"/>
    <s v="Jaynagar - II"/>
    <s v="User Not Mapped"/>
    <s v="User Not Mapped"/>
    <s v="User Not Mapped"/>
    <n v="635319"/>
    <s v="MATRI KRISHI BHANDER"/>
    <s v="Private Retailer"/>
    <s v="7699215001"/>
    <n v="10.98"/>
    <n v="25"/>
    <x v="5"/>
    <m/>
    <s v="2026-03-26"/>
    <s v="290840"/>
    <s v="N C Das &amp; Company"/>
    <s v="7365868045"/>
  </r>
  <r>
    <s v="RCF Thal"/>
    <s v="N.C.Urea(45kg)"/>
    <s v="WB"/>
    <x v="1"/>
    <s v="Jaynagar - II"/>
    <s v="User Not Mapped"/>
    <s v="User Not Mapped"/>
    <s v="User Not Mapped"/>
    <n v="635319"/>
    <s v="MATRI KRISHI BHANDER"/>
    <s v="Private Retailer"/>
    <s v="7699215001"/>
    <n v="0.13500000000000001"/>
    <n v="373"/>
    <x v="0"/>
    <m/>
    <s v="2025-04-12"/>
    <s v="290840"/>
    <s v="N C Das &amp; Company"/>
    <s v="7365868045"/>
  </r>
  <r>
    <s v="RCF Thal"/>
    <s v="N.C.Urea(45kg)"/>
    <s v="WB"/>
    <x v="1"/>
    <m/>
    <s v="User Not Mapped"/>
    <s v="User Not Mapped"/>
    <s v="User Not Mapped"/>
    <n v="355660"/>
    <s v="Minajkrishi Bhandar"/>
    <s v="Private Retailer"/>
    <s v="9735761405"/>
    <n v="1.98"/>
    <n v="1699"/>
    <x v="2"/>
    <m/>
    <s v="2021-08-25"/>
    <s v="290840"/>
    <s v="N C Das &amp; Company"/>
    <s v="7365868045"/>
  </r>
  <r>
    <s v="RCF Thal"/>
    <s v="N.C.Urea(45kg)"/>
    <s v="WB"/>
    <x v="1"/>
    <s v="Jaynagar - II"/>
    <s v="User Not Mapped"/>
    <s v="User Not Mapped"/>
    <s v="User Not Mapped"/>
    <n v="466894"/>
    <s v="Nandalal Sardar"/>
    <s v="Private Retailer"/>
    <s v="7585955978"/>
    <n v="0.67500000000000004"/>
    <n v="373"/>
    <x v="0"/>
    <m/>
    <s v="2025-04-12"/>
    <s v="290840"/>
    <s v="N C Das &amp; Company"/>
    <s v="7365868045"/>
  </r>
  <r>
    <s v="RCF Trombay"/>
    <s v="15-15-15"/>
    <s v="WB"/>
    <x v="1"/>
    <s v="Magrahat - II"/>
    <s v="User Not Mapped"/>
    <s v="User Not Mapped"/>
    <s v="User Not Mapped"/>
    <n v="355885"/>
    <s v="Pankajpurakait"/>
    <s v="Private Retailer"/>
    <s v="9733230795"/>
    <n v="3.45"/>
    <n v="88"/>
    <x v="6"/>
    <m/>
    <s v="2026-01-22"/>
    <s v="290840"/>
    <s v="N C Das &amp; Company"/>
    <s v="7365868045"/>
  </r>
  <r>
    <s v="RCF Trombay"/>
    <s v="N.C.Urea(45kg)"/>
    <s v="WB"/>
    <x v="1"/>
    <s v="Magrahat - II"/>
    <s v="User Not Mapped"/>
    <s v="User Not Mapped"/>
    <s v="User Not Mapped"/>
    <n v="355885"/>
    <s v="Pankajpurakait"/>
    <s v="Private Retailer"/>
    <s v="9733230795"/>
    <n v="5.49"/>
    <n v="88"/>
    <x v="6"/>
    <m/>
    <s v="2026-01-22"/>
    <s v="290840"/>
    <s v="N C Das &amp; Company"/>
    <s v="7365868045"/>
  </r>
  <r>
    <s v="RCF Thal"/>
    <s v="N.C.Urea(45kg)"/>
    <s v="WB"/>
    <x v="1"/>
    <s v="Magrahat - II"/>
    <s v="User Not Mapped"/>
    <s v="User Not Mapped"/>
    <s v="User Not Mapped"/>
    <n v="355885"/>
    <s v="Pankajpurakait"/>
    <s v="Private Retailer"/>
    <s v="9733230795"/>
    <n v="6.0750000000000002"/>
    <n v="362"/>
    <x v="1"/>
    <m/>
    <s v="2025-04-23"/>
    <s v="290840"/>
    <s v="N C Das &amp; Company"/>
    <s v="7365868045"/>
  </r>
  <r>
    <s v="RCF Trombay"/>
    <s v="N.C.Urea(45kg)"/>
    <s v="WB"/>
    <x v="1"/>
    <s v="Magrahat - II"/>
    <s v="User Not Mapped"/>
    <s v="User Not Mapped"/>
    <s v="User Not Mapped"/>
    <n v="355885"/>
    <s v="Pankajpurakait"/>
    <s v="Private Retailer"/>
    <s v="9733230795"/>
    <n v="5.5350000000000001"/>
    <n v="369"/>
    <x v="0"/>
    <m/>
    <s v="2025-04-16"/>
    <s v="290840"/>
    <s v="N C Das &amp; Company"/>
    <s v="7365868045"/>
  </r>
  <r>
    <s v="RCF Trombay"/>
    <s v="N.C.Urea(45kg)"/>
    <s v="WB"/>
    <x v="1"/>
    <s v="Gosaba"/>
    <s v="User Not Mapped"/>
    <s v="User Not Mapped"/>
    <s v="User Not Mapped"/>
    <n v="533416"/>
    <s v="Saroswati Krishi Bhander"/>
    <s v="Private Retailer"/>
    <s v="9734313500"/>
    <n v="5.0000000000000001E-3"/>
    <n v="571"/>
    <x v="2"/>
    <m/>
    <s v="2024-09-26"/>
    <s v="290840"/>
    <s v="N C Das &amp; Company"/>
    <s v="7365868045"/>
  </r>
  <r>
    <s v="RCF Trombay"/>
    <s v="15-15-15"/>
    <s v="WB"/>
    <x v="1"/>
    <s v="Bhangar - II"/>
    <s v="User Not Mapped"/>
    <s v="User Not Mapped"/>
    <s v="User Not Mapped"/>
    <n v="342298"/>
    <s v="Tarfdar Krishi Bhandar"/>
    <s v="Private Retailer"/>
    <s v="9732926523"/>
    <n v="0.54500000000000004"/>
    <n v="123"/>
    <x v="4"/>
    <m/>
    <s v="2025-12-18"/>
    <s v="290840"/>
    <s v="N C Das &amp; Company"/>
    <s v="7365868045"/>
  </r>
  <r>
    <s v="RCF Trombay"/>
    <s v="N.C.Urea(45kg)"/>
    <s v="WB"/>
    <x v="1"/>
    <m/>
    <s v="User Not Mapped"/>
    <s v="User Not Mapped"/>
    <s v="User Not Mapped"/>
    <n v="924523"/>
    <s v="HALDER FERTILIZER"/>
    <s v="Private Retailer"/>
    <s v="7908820467"/>
    <n v="3.2650000000000001"/>
    <n v="2635"/>
    <x v="2"/>
    <m/>
    <s v="2019-02-01"/>
    <s v="333128"/>
    <s v="New Krishi Bhander"/>
    <s v="9732511105"/>
  </r>
  <r>
    <s v="RCF Trombay"/>
    <s v="N.C.Urea(45kg)"/>
    <s v="WB"/>
    <x v="1"/>
    <s v="Diamond Harbour - I"/>
    <s v="User Not Mapped"/>
    <s v="User Not Mapped"/>
    <s v="User Not Mapped"/>
    <n v="459418"/>
    <s v="Soumen Tikader"/>
    <s v="Private Retailer"/>
    <s v="9593928931"/>
    <n v="8.9999999999999993E-3"/>
    <n v="1822"/>
    <x v="2"/>
    <m/>
    <s v="2021-04-24"/>
    <s v="355886"/>
    <s v="Pankajpurakait"/>
    <s v="9733230795"/>
  </r>
  <r>
    <s v="RCF Import"/>
    <s v="MOP"/>
    <s v="WB"/>
    <x v="1"/>
    <s v="Diamond Harbour - I"/>
    <s v="User Not Mapped"/>
    <s v="User Not Mapped"/>
    <s v="User Not Mapped"/>
    <n v="463215"/>
    <s v="S.K.Fertilisers"/>
    <s v="Private Retailer"/>
    <s v="9647265218"/>
    <n v="2.15"/>
    <n v="146"/>
    <x v="4"/>
    <m/>
    <s v="2025-11-25"/>
    <s v="281132"/>
    <s v="Pravakar Halder               "/>
    <s v="8967341314"/>
  </r>
  <r>
    <s v="RCF Import"/>
    <s v="MOP"/>
    <s v="WB"/>
    <x v="1"/>
    <s v="Diamond Harbour - II"/>
    <s v="User Not Mapped"/>
    <s v="User Not Mapped"/>
    <s v="User Not Mapped"/>
    <n v="462874"/>
    <s v="Sathi Fertiliser"/>
    <s v="Private Retailer"/>
    <s v="9733534808"/>
    <n v="0.05"/>
    <n v="400"/>
    <x v="0"/>
    <m/>
    <s v="2025-03-16"/>
    <s v="281132"/>
    <s v="Pravakar Halder               "/>
    <s v="8967341314"/>
  </r>
  <r>
    <s v="RCF Trombay"/>
    <s v="15-15-15"/>
    <s v="WB"/>
    <x v="1"/>
    <s v="Sonarpur"/>
    <s v="User Not Mapped"/>
    <s v="User Not Mapped"/>
    <s v="User Not Mapped"/>
    <n v="937966"/>
    <s v=" M/S TARA MAA FERTILISER"/>
    <s v="Private Retailer"/>
    <s v="9836912840"/>
    <n v="0.16500000000000001"/>
    <n v="2355"/>
    <x v="2"/>
    <m/>
    <s v="2019-11-08"/>
    <s v="281181"/>
    <s v="R. B. Agro Enterprise"/>
    <s v="9903110185"/>
  </r>
  <r>
    <s v="RCF Thal"/>
    <s v="N.C.Urea(45kg)"/>
    <s v="WB"/>
    <x v="1"/>
    <s v="Thakurpukur Mahestola"/>
    <s v="User Not Mapped"/>
    <s v="User Not Mapped"/>
    <s v="User Not Mapped"/>
    <n v="385516"/>
    <s v="Bidhan Ranjan Mondal"/>
    <s v="Private Retailer"/>
    <s v="9051406692"/>
    <n v="3.07"/>
    <n v="803"/>
    <x v="2"/>
    <m/>
    <s v="2024-02-07"/>
    <s v="281181"/>
    <s v="R. B. Agro Enterprise"/>
    <s v="9903110185"/>
  </r>
  <r>
    <s v="RCF Trombay"/>
    <s v="N.C.Urea(45kg)"/>
    <s v="WB"/>
    <x v="1"/>
    <m/>
    <s v="User Not Mapped"/>
    <s v="User Not Mapped"/>
    <s v="User Not Mapped"/>
    <n v="466831"/>
    <s v="Dadhiram Pramanik"/>
    <s v="Private Retailer"/>
    <s v="9733833395"/>
    <n v="8.2750000000000004"/>
    <n v="1451"/>
    <x v="2"/>
    <m/>
    <s v="2022-04-30"/>
    <s v="281181"/>
    <s v="R. B. Agro Enterprise"/>
    <s v="9903110185"/>
  </r>
  <r>
    <s v="RCF Trombay"/>
    <s v="15-15-15"/>
    <s v="WB"/>
    <x v="1"/>
    <m/>
    <s v="User Not Mapped"/>
    <s v="User Not Mapped"/>
    <s v="User Not Mapped"/>
    <n v="634807"/>
    <s v="DAS FERTILISER"/>
    <s v="Private Retailer"/>
    <s v="8944946409"/>
    <n v="3"/>
    <n v="1349"/>
    <x v="2"/>
    <m/>
    <s v="2022-08-10"/>
    <s v="281181"/>
    <s v="R. B. Agro Enterprise"/>
    <s v="9903110185"/>
  </r>
  <r>
    <s v="RCF Trombay"/>
    <s v="N.C.Urea(45kg)"/>
    <s v="WB"/>
    <x v="1"/>
    <m/>
    <s v="User Not Mapped"/>
    <s v="User Not Mapped"/>
    <s v="User Not Mapped"/>
    <n v="641266"/>
    <s v="DUKHI KRISHI BHANDER"/>
    <s v="Private Retailer"/>
    <s v="8371857260"/>
    <n v="6.39"/>
    <n v="1134"/>
    <x v="2"/>
    <m/>
    <s v="2023-03-13"/>
    <s v="281181"/>
    <s v="R. B. Agro Enterprise"/>
    <s v="9903110185"/>
  </r>
  <r>
    <s v="RCF Thal"/>
    <s v="N.C.Urea(45kg)"/>
    <s v="WB"/>
    <x v="1"/>
    <m/>
    <s v="User Not Mapped"/>
    <s v="User Not Mapped"/>
    <s v="User Not Mapped"/>
    <n v="489665"/>
    <s v="M/s Biswas Krishi Bhandar"/>
    <s v="Private Retailer"/>
    <s v="9775643371"/>
    <n v="1.0349999999999999"/>
    <n v="886"/>
    <x v="2"/>
    <m/>
    <s v="2023-11-16"/>
    <s v="281181"/>
    <s v="R. B. Agro Enterprise"/>
    <s v="9903110185"/>
  </r>
  <r>
    <s v="RCF Trombay"/>
    <s v="N.C.Urea(45kg)"/>
    <s v="WB"/>
    <x v="1"/>
    <m/>
    <s v="User Not Mapped"/>
    <s v="User Not Mapped"/>
    <s v="User Not Mapped"/>
    <n v="309246"/>
    <s v="M/S Ghosh Krishi Bipani"/>
    <s v="Private Retailer"/>
    <s v="9735558270"/>
    <n v="1.25"/>
    <n v="2618"/>
    <x v="2"/>
    <m/>
    <s v="2019-02-18"/>
    <s v="281181"/>
    <s v="R. B. Agro Enterprise"/>
    <s v="9903110185"/>
  </r>
  <r>
    <s v="RCF Trombay"/>
    <s v="N.C.Urea(45kg)"/>
    <s v="WB"/>
    <x v="1"/>
    <s v="Bishnupur - I"/>
    <s v="User Not Mapped"/>
    <s v="User Not Mapped"/>
    <s v="User Not Mapped"/>
    <n v="1338590"/>
    <s v="M/S NASKAR FERTILIZER"/>
    <s v="Private Retailer"/>
    <s v="6289668087"/>
    <n v="6.8"/>
    <n v="807"/>
    <x v="2"/>
    <m/>
    <s v="2024-02-03"/>
    <s v="281181"/>
    <s v="R. B. Agro Enterprise"/>
    <s v="9903110185"/>
  </r>
  <r>
    <s v="RCF Trombay"/>
    <s v="N.C.Urea(45kg)"/>
    <s v="WB"/>
    <x v="1"/>
    <s v="Canning - I"/>
    <s v="User Not Mapped"/>
    <s v="User Not Mapped"/>
    <s v="User Not Mapped"/>
    <n v="655417"/>
    <s v="MAA DURGA KRISHI BIPANI"/>
    <s v="Private Retailer"/>
    <s v="6296512530"/>
    <n v="0.75"/>
    <n v="1895"/>
    <x v="2"/>
    <m/>
    <s v="2021-02-10"/>
    <s v="281181"/>
    <s v="R. B. Agro Enterprise"/>
    <s v="9903110185"/>
  </r>
  <r>
    <s v="RCF Thal"/>
    <s v="N.C.Urea(45kg)"/>
    <s v="WB"/>
    <x v="1"/>
    <s v="Kultali"/>
    <s v="User Not Mapped"/>
    <s v="User Not Mapped"/>
    <s v="User Not Mapped"/>
    <n v="1086121"/>
    <s v="MATRIFERTILIZER"/>
    <s v="Private Retailer"/>
    <s v="8967540797"/>
    <n v="7.38"/>
    <n v="1157"/>
    <x v="2"/>
    <m/>
    <s v="2023-02-18"/>
    <s v="281181"/>
    <s v="R. B. Agro Enterprise"/>
    <s v="9903110185"/>
  </r>
  <r>
    <s v="RCF Trombay"/>
    <s v="15-15-15"/>
    <s v="WB"/>
    <x v="1"/>
    <s v="Bhangar - II"/>
    <s v="User Not Mapped"/>
    <s v="User Not Mapped"/>
    <s v="User Not Mapped"/>
    <n v="952241"/>
    <s v="MD HABIBUR REHMAN"/>
    <s v="Private Retailer"/>
    <s v="8391006933"/>
    <n v="0.35"/>
    <n v="886"/>
    <x v="2"/>
    <m/>
    <s v="2023-11-16"/>
    <s v="281181"/>
    <s v="R. B. Agro Enterprise"/>
    <s v="9903110185"/>
  </r>
  <r>
    <s v="RCF Thal"/>
    <s v="N.C.Urea(45kg)"/>
    <s v="WB"/>
    <x v="1"/>
    <s v="Bhangar - II"/>
    <s v="User Not Mapped"/>
    <s v="User Not Mapped"/>
    <s v="User Not Mapped"/>
    <n v="952241"/>
    <s v="MD HABIBUR REHMAN"/>
    <s v="Private Retailer"/>
    <s v="8391006933"/>
    <n v="0.76500000000000001"/>
    <n v="886"/>
    <x v="2"/>
    <m/>
    <s v="2023-11-16"/>
    <s v="281181"/>
    <s v="R. B. Agro Enterprise"/>
    <s v="9903110185"/>
  </r>
  <r>
    <s v="RCF Trombay"/>
    <s v="15-15-15"/>
    <s v="WB"/>
    <x v="1"/>
    <s v="Bhangar - II"/>
    <s v="User Not Mapped"/>
    <s v="User Not Mapped"/>
    <s v="User Not Mapped"/>
    <n v="952241"/>
    <s v="MD HABIBUR REHMAN"/>
    <s v="Private Retailer"/>
    <s v="8391006933"/>
    <n v="3"/>
    <n v="856"/>
    <x v="2"/>
    <m/>
    <s v="2023-12-16"/>
    <s v="281181"/>
    <s v="R. B. Agro Enterprise"/>
    <s v="9903110185"/>
  </r>
  <r>
    <s v="RCF Trombay"/>
    <s v="N.C.Urea(45kg)"/>
    <s v="WB"/>
    <x v="1"/>
    <s v="Bhangar - I"/>
    <s v="User Not Mapped"/>
    <s v="User Not Mapped"/>
    <s v="User Not Mapped"/>
    <n v="461125"/>
    <s v="Paik Krishi Bhander"/>
    <s v="Private Retailer"/>
    <s v="9933499302"/>
    <n v="0.54"/>
    <n v="1190"/>
    <x v="2"/>
    <m/>
    <s v="2023-01-16"/>
    <s v="281181"/>
    <s v="R. B. Agro Enterprise"/>
    <s v="9903110185"/>
  </r>
  <r>
    <s v="RCF Thal"/>
    <s v="N.C.Urea(45kg)"/>
    <s v="WB"/>
    <x v="1"/>
    <m/>
    <s v="User Not Mapped"/>
    <s v="User Not Mapped"/>
    <s v="User Not Mapped"/>
    <n v="461113"/>
    <s v="Paul Krishi Bhander"/>
    <s v="Private Retailer"/>
    <s v="7001336118"/>
    <n v="5.0000000000000001E-3"/>
    <n v="1179"/>
    <x v="2"/>
    <m/>
    <s v="2023-01-27"/>
    <s v="281181"/>
    <s v="R. B. Agro Enterprise"/>
    <s v="9903110185"/>
  </r>
  <r>
    <s v="RCF Thal"/>
    <s v="N.C.Urea(45kg)"/>
    <s v="WB"/>
    <x v="1"/>
    <m/>
    <s v="User Not Mapped"/>
    <s v="User Not Mapped"/>
    <s v="User Not Mapped"/>
    <n v="355983"/>
    <s v="Rahim Baksh Mistry"/>
    <s v="Private Retailer"/>
    <s v="9732607675"/>
    <n v="2.3E-2"/>
    <n v="2320"/>
    <x v="2"/>
    <m/>
    <s v="2019-12-13"/>
    <s v="281181"/>
    <s v="R. B. Agro Enterprise"/>
    <s v="9903110185"/>
  </r>
  <r>
    <s v="RCF Trombay"/>
    <s v="15-15-15"/>
    <s v="WB"/>
    <x v="1"/>
    <m/>
    <s v="User Not Mapped"/>
    <s v="User Not Mapped"/>
    <s v="User Not Mapped"/>
    <n v="355983"/>
    <s v="Rahim Baksh Mistry"/>
    <s v="Private Retailer"/>
    <s v="9732607675"/>
    <n v="5.0000000000000001E-3"/>
    <n v="2322"/>
    <x v="2"/>
    <m/>
    <s v="2019-12-11"/>
    <s v="281181"/>
    <s v="R. B. Agro Enterprise"/>
    <s v="9903110185"/>
  </r>
  <r>
    <s v="RCF Thal"/>
    <s v="N.C.Urea(45kg)"/>
    <s v="WB"/>
    <x v="1"/>
    <m/>
    <s v="User Not Mapped"/>
    <s v="User Not Mapped"/>
    <s v="User Not Mapped"/>
    <n v="655413"/>
    <s v="SARATHI KRISHI BHANDER"/>
    <s v="Private Retailer"/>
    <s v="8609970288"/>
    <n v="0.02"/>
    <n v="1490"/>
    <x v="2"/>
    <m/>
    <s v="2022-03-22"/>
    <s v="281181"/>
    <s v="R. B. Agro Enterprise"/>
    <s v="9903110185"/>
  </r>
  <r>
    <s v="RCF Trombay"/>
    <s v="N.C.Urea(45kg)"/>
    <s v="WB"/>
    <x v="1"/>
    <s v="Diamond Harbour - I"/>
    <s v="User Not Mapped"/>
    <s v="User Not Mapped"/>
    <s v="User Not Mapped"/>
    <n v="356429"/>
    <s v="Shreekrishnakrishi Bhandar"/>
    <s v="Private Retailer"/>
    <s v="9933534788"/>
    <n v="0.09"/>
    <n v="931"/>
    <x v="2"/>
    <m/>
    <s v="2023-10-02"/>
    <s v="281181"/>
    <s v="R. B. Agro Enterprise"/>
    <s v="9903110185"/>
  </r>
  <r>
    <s v="RCF Trombay"/>
    <s v="N.C.Urea(45kg)"/>
    <s v="WB"/>
    <x v="1"/>
    <s v="Budge Budge - II"/>
    <s v="User Not Mapped"/>
    <s v="User Not Mapped"/>
    <s v="User Not Mapped"/>
    <n v="541218"/>
    <s v="Tara Maa Fertilizer Centre"/>
    <s v="Private Retailer"/>
    <s v="8017061164"/>
    <n v="0.77500000000000002"/>
    <n v="1244"/>
    <x v="2"/>
    <m/>
    <s v="2022-11-23"/>
    <s v="281181"/>
    <s v="R. B. Agro Enterprise"/>
    <s v="9903110185"/>
  </r>
  <r>
    <s v="RCF Import"/>
    <s v="Imp 10-26-26"/>
    <s v="WB"/>
    <x v="1"/>
    <s v="Bishnupur - I"/>
    <s v="User Not Mapped"/>
    <s v="User Not Mapped"/>
    <s v="User Not Mapped"/>
    <n v="269533"/>
    <s v="Hasya Badhan Makhal"/>
    <s v="Private Wholsaler"/>
    <s v="9674092010"/>
    <n v="8.75"/>
    <n v="55"/>
    <x v="3"/>
    <s v="'WS3125003722'"/>
    <s v="2026-02-24"/>
    <s v="1"/>
    <s v="rcf"/>
    <m/>
  </r>
  <r>
    <s v="RCF Import"/>
    <s v="MOP"/>
    <s v="WB"/>
    <x v="1"/>
    <s v="Bishnupur - I"/>
    <s v="User Not Mapped"/>
    <s v="User Not Mapped"/>
    <s v="User Not Mapped"/>
    <n v="269533"/>
    <s v="Hasya Badhan Makhal"/>
    <s v="Private Wholsaler"/>
    <s v="9674092010"/>
    <n v="12"/>
    <n v="63"/>
    <x v="6"/>
    <s v="'WS3125003529'"/>
    <s v="2026-02-16"/>
    <s v="1"/>
    <s v="rcf"/>
    <m/>
  </r>
  <r>
    <s v="RCF Trombay"/>
    <s v="15-15-15"/>
    <s v="WB"/>
    <x v="1"/>
    <s v="Bishnupur - I"/>
    <s v="User Not Mapped"/>
    <s v="User Not Mapped"/>
    <s v="User Not Mapped"/>
    <n v="269533"/>
    <s v="Hasya Badhan Makhal"/>
    <s v="Private Wholsaler"/>
    <s v="9674092010"/>
    <n v="6.4"/>
    <n v="69"/>
    <x v="6"/>
    <s v="'WS3125003407'"/>
    <s v="2026-02-10"/>
    <s v="1"/>
    <s v="rcf"/>
    <m/>
  </r>
  <r>
    <s v="RCF Import"/>
    <s v="Imp 10-26-26"/>
    <s v="WB"/>
    <x v="1"/>
    <s v="Mathurapur - II"/>
    <s v="User Not Mapped"/>
    <s v="User Not Mapped"/>
    <s v="User Not Mapped"/>
    <n v="224553"/>
    <s v="Kirtibas Kapat (A.S.C.)"/>
    <s v="Private Wholsaler"/>
    <s v="9064538989"/>
    <n v="16"/>
    <n v="55"/>
    <x v="3"/>
    <s v="'WS3125003738'"/>
    <s v="2026-02-24"/>
    <s v="1"/>
    <s v="rcf"/>
    <m/>
  </r>
  <r>
    <s v="RCF Trombay"/>
    <s v="15-15-15"/>
    <s v="WB"/>
    <x v="1"/>
    <s v="Mathurapur - II"/>
    <s v="User Not Mapped"/>
    <s v="User Not Mapped"/>
    <s v="User Not Mapped"/>
    <n v="224553"/>
    <s v="Kirtibas Kapat (A.S.C.)"/>
    <s v="Private Wholsaler"/>
    <s v="9064538989"/>
    <n v="5.85"/>
    <n v="69"/>
    <x v="6"/>
    <s v="'WS3125003405'"/>
    <s v="2026-02-10"/>
    <s v="1"/>
    <s v="rcf"/>
    <m/>
  </r>
  <r>
    <s v="RCF Thal"/>
    <s v="N.C.Urea(45kg)"/>
    <s v="WB"/>
    <x v="1"/>
    <s v="Bishnupur - II"/>
    <s v="User Not Mapped"/>
    <s v="User Not Mapped"/>
    <s v="User Not Mapped"/>
    <n v="269946"/>
    <s v="M/s. Janardan Parui"/>
    <s v="Private Wholsaler"/>
    <s v="6290703360"/>
    <n v="3.2949999999999999"/>
    <n v="42"/>
    <x v="3"/>
    <s v="'WS3125003960'"/>
    <s v="2026-03-09"/>
    <s v="1"/>
    <s v="rcf"/>
    <m/>
  </r>
  <r>
    <s v="RCF Import"/>
    <s v="MOP"/>
    <s v="WB"/>
    <x v="1"/>
    <s v="Bishnupur - II"/>
    <s v="User Not Mapped"/>
    <s v="User Not Mapped"/>
    <s v="User Not Mapped"/>
    <n v="269946"/>
    <s v="M/s. Janardan Parui"/>
    <s v="Private Wholsaler"/>
    <s v="6290703360"/>
    <n v="22"/>
    <n v="63"/>
    <x v="6"/>
    <s v="'WS3125003530'"/>
    <s v="2026-02-16"/>
    <s v="1"/>
    <s v="rcf"/>
    <m/>
  </r>
  <r>
    <s v="RCF Import"/>
    <s v="Imp 10-26-26"/>
    <s v="WB"/>
    <x v="1"/>
    <s v="Magrahat - I"/>
    <s v="User Not Mapped"/>
    <s v="User Not Mapped"/>
    <s v="User Not Mapped"/>
    <n v="281125"/>
    <s v="Manoda Fertilisers            "/>
    <s v="Private Wholsaler"/>
    <s v="9830280488"/>
    <n v="4.5"/>
    <n v="58"/>
    <x v="3"/>
    <s v="'WS3125003680'"/>
    <s v="2026-02-21"/>
    <s v="1"/>
    <s v="rcf"/>
    <m/>
  </r>
  <r>
    <s v="RCF Import"/>
    <s v="MOP"/>
    <s v="WB"/>
    <x v="1"/>
    <s v="Magrahat - I"/>
    <s v="User Not Mapped"/>
    <s v="User Not Mapped"/>
    <s v="User Not Mapped"/>
    <n v="281125"/>
    <s v="Manoda Fertilisers            "/>
    <s v="Private Wholsaler"/>
    <s v="9830280488"/>
    <n v="11"/>
    <n v="63"/>
    <x v="6"/>
    <s v="'WS3125003532'"/>
    <s v="2026-02-16"/>
    <s v="1"/>
    <s v="rcf"/>
    <m/>
  </r>
  <r>
    <s v="RCF Trombay"/>
    <s v="15-15-15"/>
    <s v="WB"/>
    <x v="1"/>
    <s v="Magrahat - II"/>
    <s v="User Not Mapped"/>
    <s v="User Not Mapped"/>
    <s v="User Not Mapped"/>
    <n v="281135"/>
    <s v="Md Alauddin Mollick"/>
    <s v="Private Wholsaler"/>
    <s v="8926710497"/>
    <n v="20.25"/>
    <n v="69"/>
    <x v="6"/>
    <s v="'WS3125003402'"/>
    <s v="2026-02-10"/>
    <s v="1"/>
    <s v="rcf"/>
    <m/>
  </r>
  <r>
    <s v="RCF Import"/>
    <s v="Imp 10-26-26"/>
    <s v="WB"/>
    <x v="1"/>
    <s v="Magrahat - II"/>
    <s v="User Not Mapped"/>
    <s v="User Not Mapped"/>
    <s v="User Not Mapped"/>
    <n v="281135"/>
    <s v="Md Alauddin Mollick"/>
    <s v="Private Wholsaler"/>
    <s v="8926710497"/>
    <n v="8.35"/>
    <n v="58"/>
    <x v="3"/>
    <s v="'WS3125003681'"/>
    <s v="2026-02-21"/>
    <s v="1"/>
    <s v="rcf"/>
    <m/>
  </r>
  <r>
    <s v="RCF Import"/>
    <s v="MOP"/>
    <s v="WB"/>
    <x v="1"/>
    <s v="Magrahat - II"/>
    <s v="User Not Mapped"/>
    <s v="User Not Mapped"/>
    <s v="User Not Mapped"/>
    <n v="281135"/>
    <s v="Md Alauddin Mollick"/>
    <s v="Private Wholsaler"/>
    <s v="8926710497"/>
    <n v="2"/>
    <n v="63"/>
    <x v="6"/>
    <s v="'WS3125003533'"/>
    <s v="2026-02-16"/>
    <s v="1"/>
    <s v="rcf"/>
    <m/>
  </r>
  <r>
    <s v="RCF Import"/>
    <s v="Imp 10-26-26"/>
    <s v="WB"/>
    <x v="1"/>
    <s v="Bhangar - I"/>
    <s v="User Not Mapped"/>
    <s v="User Not Mapped"/>
    <s v="User Not Mapped"/>
    <n v="290836"/>
    <s v="Md Nowshar Ali Molla"/>
    <s v="Private Wholsaler"/>
    <s v="9143336806"/>
    <n v="8"/>
    <n v="58"/>
    <x v="3"/>
    <s v="'WS3125003682'"/>
    <s v="2026-02-21"/>
    <s v="1"/>
    <s v="rcf"/>
    <m/>
  </r>
  <r>
    <s v="RCF Import"/>
    <s v="MOP"/>
    <s v="WB"/>
    <x v="1"/>
    <s v="Bhangar - I"/>
    <s v="User Not Mapped"/>
    <s v="User Not Mapped"/>
    <s v="User Not Mapped"/>
    <n v="290836"/>
    <s v="Md Nowshar Ali Molla"/>
    <s v="Private Wholsaler"/>
    <s v="9143336806"/>
    <n v="11"/>
    <n v="63"/>
    <x v="6"/>
    <s v="'WS3125003534'"/>
    <s v="2026-02-16"/>
    <s v="1"/>
    <s v="rcf"/>
    <m/>
  </r>
  <r>
    <s v="RCF Trombay"/>
    <s v="15-15-15"/>
    <s v="WB"/>
    <x v="1"/>
    <s v="Bhangar - I"/>
    <s v="User Not Mapped"/>
    <s v="User Not Mapped"/>
    <s v="User Not Mapped"/>
    <n v="290836"/>
    <s v="Md Nowshar Ali Molla"/>
    <s v="Private Wholsaler"/>
    <s v="9143336806"/>
    <n v="2.5"/>
    <n v="69"/>
    <x v="6"/>
    <s v="'WS3125003401'"/>
    <s v="2026-02-10"/>
    <s v="1"/>
    <s v="rcf"/>
    <m/>
  </r>
  <r>
    <s v="RCF Trombay"/>
    <s v="15-15-15"/>
    <s v="WB"/>
    <x v="1"/>
    <s v="Bhangar - II"/>
    <s v="User Not Mapped"/>
    <s v="User Not Mapped"/>
    <s v="User Not Mapped"/>
    <n v="637797"/>
    <s v="AJAN SAPUIN"/>
    <s v="Private Retailer"/>
    <s v="9609112384"/>
    <n v="6"/>
    <n v="46"/>
    <x v="3"/>
    <m/>
    <s v="2026-03-05"/>
    <s v="290841"/>
    <s v="Sadhukhan &amp; Sons"/>
    <s v="9051954610"/>
  </r>
  <r>
    <s v="RCF Trombay"/>
    <s v="15-15-15"/>
    <s v="WB"/>
    <x v="1"/>
    <s v="Canning - I"/>
    <s v="User Not Mapped"/>
    <s v="User Not Mapped"/>
    <s v="User Not Mapped"/>
    <n v="657754"/>
    <s v="GAZI FERTILISER"/>
    <s v="Private Retailer"/>
    <s v="9735228936"/>
    <n v="5.0999999999999996"/>
    <n v="63"/>
    <x v="6"/>
    <m/>
    <s v="2026-02-16"/>
    <s v="290841"/>
    <s v="Sadhukhan &amp; Sons"/>
    <s v="9051954610"/>
  </r>
  <r>
    <s v="RCF Trombay"/>
    <s v="15-15-15"/>
    <s v="WB"/>
    <x v="1"/>
    <s v="Bhangar - I"/>
    <s v="User Not Mapped"/>
    <s v="User Not Mapped"/>
    <s v="User Not Mapped"/>
    <n v="331412"/>
    <s v="Kuddus Ali Molla"/>
    <s v="Private Retailer"/>
    <s v="9735308676"/>
    <n v="15.25"/>
    <n v="63"/>
    <x v="6"/>
    <m/>
    <s v="2026-02-16"/>
    <s v="290841"/>
    <s v="Sadhukhan &amp; Sons"/>
    <s v="9051954610"/>
  </r>
  <r>
    <s v="RCF Trombay"/>
    <s v="15-15-15"/>
    <s v="WB"/>
    <x v="1"/>
    <s v="Bhangar - II"/>
    <s v="User Not Mapped"/>
    <s v="User Not Mapped"/>
    <s v="User Not Mapped"/>
    <n v="635692"/>
    <s v="PROBIR KR ROY"/>
    <s v="Private Retailer"/>
    <s v="7699866166"/>
    <n v="5"/>
    <n v="46"/>
    <x v="3"/>
    <m/>
    <s v="2026-03-05"/>
    <s v="290841"/>
    <s v="Sadhukhan &amp; Sons"/>
    <s v="9051954610"/>
  </r>
  <r>
    <s v="RCF Thal"/>
    <s v="N.C.Urea(45kg)"/>
    <s v="WB"/>
    <x v="1"/>
    <s v="Baruipur"/>
    <s v="User Not Mapped"/>
    <s v="User Not Mapped"/>
    <s v="User Not Mapped"/>
    <n v="870312"/>
    <s v="TARIKUL ISLAM"/>
    <s v="Private Retailer"/>
    <s v="9749665807"/>
    <n v="1.0349999999999999"/>
    <n v="145"/>
    <x v="4"/>
    <m/>
    <s v="2025-11-26"/>
    <s v="290841"/>
    <s v="Sadhukhan &amp; Sons"/>
    <s v="9051954610"/>
  </r>
  <r>
    <s v="RCF Thal"/>
    <s v="N.C.Urea(45kg)"/>
    <s v="WB"/>
    <x v="1"/>
    <s v="Baruipur"/>
    <s v="User Not Mapped"/>
    <s v="User Not Mapped"/>
    <s v="User Not Mapped"/>
    <n v="1303310"/>
    <s v="M/S. CHAMPAHATI SAR BIKRAY KEN"/>
    <s v="Private Retailer"/>
    <s v="7001983953"/>
    <n v="7.02"/>
    <n v="195"/>
    <x v="1"/>
    <m/>
    <s v="2025-10-07"/>
    <s v="1470890"/>
    <s v="SAHA BROTHERS"/>
    <s v="7001739365"/>
  </r>
  <r>
    <s v="RCF Trombay"/>
    <s v="15-15-15"/>
    <s v="WB"/>
    <x v="1"/>
    <s v="Bhangar - I"/>
    <s v="User Not Mapped"/>
    <s v="User Not Mapped"/>
    <s v="User Not Mapped"/>
    <n v="1411819"/>
    <s v="ABU HOSSAIN FERTILIZER"/>
    <s v="Private Retailer"/>
    <s v="8116798046"/>
    <n v="5"/>
    <n v="263"/>
    <x v="1"/>
    <m/>
    <s v="2025-07-31"/>
    <s v="356406"/>
    <s v="Sonali Krishi Bhander"/>
    <s v="6294305762"/>
  </r>
  <r>
    <s v="RCF Trombay"/>
    <s v="15-15-15"/>
    <s v="WB"/>
    <x v="1"/>
    <s v="Bhangar - II"/>
    <s v="User Not Mapped"/>
    <s v="User Not Mapped"/>
    <s v="User Not Mapped"/>
    <n v="460613"/>
    <s v="Amirul Islam Molla"/>
    <s v="Private Retailer"/>
    <s v="9775081392"/>
    <n v="3.7999999999999999E-2"/>
    <n v="145"/>
    <x v="4"/>
    <m/>
    <s v="2025-11-26"/>
    <s v="356406"/>
    <s v="Sonali Krishi Bhander"/>
    <s v="6294305762"/>
  </r>
  <r>
    <s v="RCF Trombay"/>
    <s v="N.C.Urea(45kg)"/>
    <s v="WB"/>
    <x v="1"/>
    <s v="Basanti"/>
    <s v="User Not Mapped"/>
    <s v="User Not Mapped"/>
    <s v="User Not Mapped"/>
    <n v="290748"/>
    <s v="Banamali Purkait"/>
    <s v="Private Retailer"/>
    <s v="9733836356"/>
    <n v="3.0150000000000001"/>
    <n v="67"/>
    <x v="6"/>
    <m/>
    <s v="2026-02-12"/>
    <s v="356406"/>
    <s v="Sonali Krishi Bhander"/>
    <s v="6294305762"/>
  </r>
  <r>
    <s v="RCF Import"/>
    <s v="Imp 10-26-26"/>
    <s v="WB"/>
    <x v="1"/>
    <s v="Basanti"/>
    <s v="User Not Mapped"/>
    <s v="User Not Mapped"/>
    <s v="User Not Mapped"/>
    <n v="631817"/>
    <s v="HASANUR ZAMAN LASKER"/>
    <s v="Private Retailer"/>
    <s v="7074863017"/>
    <n v="0.05"/>
    <n v="497"/>
    <x v="0"/>
    <m/>
    <s v="2024-12-09"/>
    <s v="356406"/>
    <s v="Sonali Krishi Bhander"/>
    <s v="6294305762"/>
  </r>
  <r>
    <s v="RCF Trombay"/>
    <s v="15-15-15"/>
    <s v="WB"/>
    <x v="1"/>
    <s v="Bhangar - I"/>
    <s v="User Not Mapped"/>
    <s v="User Not Mapped"/>
    <s v="User Not Mapped"/>
    <n v="461105"/>
    <s v="M/S Ferdousi Fertiliser"/>
    <s v="Private Retailer"/>
    <s v="9735201520"/>
    <n v="0.04"/>
    <n v="224"/>
    <x v="1"/>
    <m/>
    <s v="2025-09-08"/>
    <s v="356406"/>
    <s v="Sonali Krishi Bhander"/>
    <s v="6294305762"/>
  </r>
  <r>
    <s v="RCF Import"/>
    <s v="MOP"/>
    <s v="WB"/>
    <x v="1"/>
    <s v="Canning - II"/>
    <s v="User Not Mapped"/>
    <s v="User Not Mapped"/>
    <s v="User Not Mapped"/>
    <n v="309221"/>
    <s v="M/S. Adhikari Sar Bhander"/>
    <s v="Private Retailer"/>
    <s v="9732594148"/>
    <n v="0.48199999999999998"/>
    <n v="144"/>
    <x v="4"/>
    <m/>
    <s v="2025-11-27"/>
    <s v="356406"/>
    <s v="Sonali Krishi Bhander"/>
    <s v="6294305762"/>
  </r>
  <r>
    <s v="RCF Trombay"/>
    <s v="15-15-15"/>
    <s v="WB"/>
    <x v="1"/>
    <s v="Bhangar - II"/>
    <s v="User Not Mapped"/>
    <s v="User Not Mapped"/>
    <s v="User Not Mapped"/>
    <n v="355389"/>
    <s v="Md..Jiad Ali Molla"/>
    <s v="Private Retailer"/>
    <s v="9734029210"/>
    <n v="4.4999999999999998E-2"/>
    <n v="768"/>
    <x v="2"/>
    <m/>
    <s v="2024-03-13"/>
    <s v="356406"/>
    <s v="Sonali Krishi Bhander"/>
    <s v="6294305762"/>
  </r>
  <r>
    <s v="RCF Import"/>
    <s v="MOP"/>
    <s v="WB"/>
    <x v="1"/>
    <s v="Thakurpukur Mahestola"/>
    <s v="User Not Mapped"/>
    <s v="User Not Mapped"/>
    <s v="User Not Mapped"/>
    <n v="355694"/>
    <s v="Moniruzaman Krishi Bhandar"/>
    <s v="Private Retailer"/>
    <s v="9609423691"/>
    <n v="5.5"/>
    <n v="59"/>
    <x v="3"/>
    <m/>
    <s v="2026-02-20"/>
    <s v="356406"/>
    <s v="Sonali Krishi Bhander"/>
    <s v="6294305762"/>
  </r>
  <r>
    <s v="RCF Thal"/>
    <s v="N.C.Urea(45kg)"/>
    <s v="WB"/>
    <x v="1"/>
    <s v="Thakurpukur Mahestola"/>
    <s v="User Not Mapped"/>
    <s v="User Not Mapped"/>
    <s v="User Not Mapped"/>
    <n v="355694"/>
    <s v="Moniruzaman Krishi Bhandar"/>
    <s v="Private Retailer"/>
    <s v="9609423691"/>
    <n v="10.59"/>
    <n v="38"/>
    <x v="3"/>
    <m/>
    <s v="2026-03-13"/>
    <s v="356406"/>
    <s v="Sonali Krishi Bhander"/>
    <s v="6294305762"/>
  </r>
  <r>
    <s v="RCF Trombay"/>
    <s v="N.C.Urea(45kg)"/>
    <s v="WB"/>
    <x v="1"/>
    <s v="Basanti"/>
    <s v="User Not Mapped"/>
    <s v="User Not Mapped"/>
    <s v="User Not Mapped"/>
    <n v="355793"/>
    <s v="Nazmul Hussain Jamadar"/>
    <s v="Private Retailer"/>
    <s v="9563499023"/>
    <n v="0.03"/>
    <n v="1823"/>
    <x v="2"/>
    <m/>
    <s v="2021-04-23"/>
    <s v="356406"/>
    <s v="Sonali Krishi Bhander"/>
    <s v="6294305762"/>
  </r>
  <r>
    <s v="RCF Trombay"/>
    <s v="N.C.Urea(45kg)"/>
    <s v="WB"/>
    <x v="1"/>
    <m/>
    <s v="User Not Mapped"/>
    <s v="User Not Mapped"/>
    <s v="User Not Mapped"/>
    <n v="1105227"/>
    <s v="SEKH KRISHI BHANDER"/>
    <s v="Private Retailer"/>
    <s v="7908621663"/>
    <n v="0.67500000000000004"/>
    <n v="1823"/>
    <x v="2"/>
    <m/>
    <s v="2021-04-23"/>
    <s v="356406"/>
    <s v="Sonali Krishi Bhander"/>
    <s v="6294305762"/>
  </r>
  <r>
    <s v="RCF Trombay"/>
    <s v="N.C.Urea(45kg)"/>
    <s v="WB"/>
    <x v="1"/>
    <s v="Basanti"/>
    <s v="User Not Mapped"/>
    <s v="User Not Mapped"/>
    <s v="User Not Mapped"/>
    <n v="290824"/>
    <s v="Tarama Fertiliser"/>
    <s v="Private Retailer"/>
    <s v="9733582337"/>
    <n v="5.04"/>
    <n v="67"/>
    <x v="6"/>
    <m/>
    <s v="2026-02-12"/>
    <s v="356406"/>
    <s v="Sonali Krishi Bhander"/>
    <s v="6294305762"/>
  </r>
  <r>
    <s v="RCF Import"/>
    <s v="MOP"/>
    <s v="WB"/>
    <x v="1"/>
    <s v="Bhangar - II"/>
    <s v="User Not Mapped"/>
    <s v="User Not Mapped"/>
    <s v="User Not Mapped"/>
    <n v="342298"/>
    <s v="Tarfdar Krishi Bhandar"/>
    <s v="Private Retailer"/>
    <s v="9732926523"/>
    <n v="5.5"/>
    <n v="59"/>
    <x v="3"/>
    <m/>
    <s v="2026-02-20"/>
    <s v="356406"/>
    <s v="Sonali Krishi Bhander"/>
    <s v="6294305762"/>
  </r>
  <r>
    <s v="RCF Thal"/>
    <s v="N.C.Urea(45kg)"/>
    <s v="WB"/>
    <x v="1"/>
    <s v="Baruipur"/>
    <s v="User Not Mapped"/>
    <s v="User Not Mapped"/>
    <s v="User Not Mapped"/>
    <n v="870312"/>
    <s v="TARIKUL ISLAM"/>
    <s v="Private Retailer"/>
    <s v="9749665807"/>
    <n v="10.98"/>
    <n v="40"/>
    <x v="3"/>
    <m/>
    <s v="2026-03-11"/>
    <s v="356406"/>
    <s v="Sonali Krishi Bhander"/>
    <s v="6294305762"/>
  </r>
  <r>
    <s v="RCF Trombay"/>
    <s v="N.C.Urea(45kg)"/>
    <s v="WB"/>
    <x v="1"/>
    <s v="Gosaba"/>
    <s v="User Not Mapped"/>
    <s v="User Not Mapped"/>
    <s v="User Not Mapped"/>
    <n v="658121"/>
    <s v="M/S DINONATH BAIDAYA"/>
    <s v="Private Retailer"/>
    <s v="9735558374"/>
    <n v="5.8049999999999997"/>
    <n v="387"/>
    <x v="0"/>
    <m/>
    <s v="2025-03-29"/>
    <s v="1208896"/>
    <s v="SUBHA FERTILIZER"/>
    <s v="9830263072"/>
  </r>
  <r>
    <s v="RCF Trombay"/>
    <s v="15-15-15"/>
    <s v="WB"/>
    <x v="1"/>
    <s v="Kultali"/>
    <s v="User Not Mapped"/>
    <s v="User Not Mapped"/>
    <s v="User Not Mapped"/>
    <n v="1286066"/>
    <s v="M/S. MAA MALINA FERTILIZER"/>
    <s v="Private Retailer"/>
    <s v="8617540412"/>
    <n v="17.399999999999999"/>
    <n v="88"/>
    <x v="6"/>
    <m/>
    <s v="2026-01-22"/>
    <s v="1208896"/>
    <s v="SUBHA FERTILIZER"/>
    <s v="9830263072"/>
  </r>
  <r>
    <s v="RCF Trombay"/>
    <s v="15-15-15"/>
    <s v="WB"/>
    <x v="1"/>
    <s v="Gosaba"/>
    <s v="User Not Mapped"/>
    <s v="User Not Mapped"/>
    <s v="User Not Mapped"/>
    <n v="1096759"/>
    <s v="RADHA KRISHNA KRISHI BHANDER"/>
    <s v="Private Retailer"/>
    <s v="8389891356"/>
    <n v="2"/>
    <n v="486"/>
    <x v="0"/>
    <m/>
    <s v="2024-12-20"/>
    <s v="1208896"/>
    <s v="SUBHA FERTILIZER"/>
    <s v="9830263072"/>
  </r>
  <r>
    <s v="RCF Trombay"/>
    <s v="15-15-15"/>
    <s v="WB"/>
    <x v="1"/>
    <m/>
    <s v="User Not Mapped"/>
    <s v="User Not Mapped"/>
    <s v="User Not Mapped"/>
    <n v="546296"/>
    <s v="Sita Fertilisers"/>
    <s v="Private Retailer"/>
    <s v="9434366340"/>
    <n v="0.45500000000000002"/>
    <n v="2124"/>
    <x v="2"/>
    <m/>
    <s v="2020-06-26"/>
    <s v="414268"/>
    <s v="Subhasis Panda"/>
    <s v="7679929747"/>
  </r>
  <r>
    <s v="RCF Trombay"/>
    <s v="N.C.Urea(45kg)"/>
    <s v="WB"/>
    <x v="1"/>
    <s v="Mathurapur - II"/>
    <s v="User Not Mapped"/>
    <s v="User Not Mapped"/>
    <s v="User Not Mapped"/>
    <n v="751242"/>
    <s v="Maa Gouri Fertilizer"/>
    <s v="Private Retailer"/>
    <s v="7029201022"/>
    <n v="2.7450000000000001"/>
    <n v="1391"/>
    <x v="2"/>
    <m/>
    <s v="2022-06-29"/>
    <s v="461604"/>
    <s v="Subhendu Haldar"/>
    <s v="8617023552"/>
  </r>
  <r>
    <s v="RCF Trombay"/>
    <s v="N.C.Urea(45kg)"/>
    <s v="WB"/>
    <x v="1"/>
    <m/>
    <s v="User Not Mapped"/>
    <s v="User Not Mapped"/>
    <s v="User Not Mapped"/>
    <n v="541206"/>
    <s v="Jana Sar Ghar"/>
    <s v="Private Retailer"/>
    <s v="9831762666"/>
    <n v="0.62"/>
    <n v="2057"/>
    <x v="2"/>
    <m/>
    <s v="2020-09-01"/>
    <s v="342387"/>
    <s v="Sundarban Agro Service"/>
    <s v="8900726599"/>
  </r>
  <r>
    <s v="RCF Trombay"/>
    <s v="15-15-15"/>
    <s v="WB"/>
    <x v="1"/>
    <m/>
    <s v="User Not Mapped"/>
    <s v="User Not Mapped"/>
    <s v="User Not Mapped"/>
    <n v="632672"/>
    <s v="MA AKIDAM FERTILISER"/>
    <s v="Private Retailer"/>
    <s v="7063847794"/>
    <n v="3.75"/>
    <n v="1579"/>
    <x v="2"/>
    <m/>
    <s v="2021-12-23"/>
    <s v="342387"/>
    <s v="Sundarban Agro Service"/>
    <s v="8900726599"/>
  </r>
  <r>
    <s v="RCF Trombay"/>
    <s v="15-15-15"/>
    <s v="WB"/>
    <x v="1"/>
    <m/>
    <s v="User Not Mapped"/>
    <s v="User Not Mapped"/>
    <s v="User Not Mapped"/>
    <n v="893029"/>
    <s v="MAA KALPANA KRISHI BHANDER"/>
    <s v="Private Retailer"/>
    <s v="7430064003"/>
    <n v="2.1000000000000001E-2"/>
    <n v="1649"/>
    <x v="2"/>
    <m/>
    <s v="2021-10-14"/>
    <s v="342387"/>
    <s v="Sundarban Agro Service"/>
    <s v="8900726599"/>
  </r>
  <r>
    <s v="RCF Trombay"/>
    <s v="15-15-15"/>
    <s v="WB"/>
    <x v="1"/>
    <m/>
    <s v="User Not Mapped"/>
    <s v="User Not Mapped"/>
    <s v="User Not Mapped"/>
    <n v="465948"/>
    <s v="Maakali Sar Bhander"/>
    <s v="Private Retailer"/>
    <s v="9735344481"/>
    <n v="0.4"/>
    <n v="1524"/>
    <x v="2"/>
    <m/>
    <s v="2022-02-16"/>
    <s v="342387"/>
    <s v="Sundarban Agro Service"/>
    <s v="8900726599"/>
  </r>
  <r>
    <s v="RCF Trombay"/>
    <s v="15-15-15"/>
    <s v="WB"/>
    <x v="1"/>
    <m/>
    <s v="User Not Mapped"/>
    <s v="User Not Mapped"/>
    <s v="User Not Mapped"/>
    <n v="462697"/>
    <s v="Malaxmi Krishi Bhander"/>
    <s v="Private Retailer"/>
    <s v="9547142306"/>
    <n v="0.5"/>
    <n v="1890"/>
    <x v="2"/>
    <m/>
    <s v="2021-02-15"/>
    <s v="342387"/>
    <s v="Sundarban Agro Service"/>
    <s v="8900726599"/>
  </r>
  <r>
    <s v="RCF Trombay"/>
    <s v="15-15-15"/>
    <s v="WB"/>
    <x v="1"/>
    <m/>
    <s v="User Not Mapped"/>
    <s v="User Not Mapped"/>
    <s v="User Not Mapped"/>
    <n v="483186"/>
    <s v="Radha Madhab Krishi Bhander"/>
    <s v="Private Retailer"/>
    <s v="9564489976"/>
    <n v="1"/>
    <n v="2546"/>
    <x v="2"/>
    <m/>
    <s v="2019-05-01"/>
    <s v="342387"/>
    <s v="Sundarban Agro Service"/>
    <s v="8900726599"/>
  </r>
  <r>
    <s v="RCF Trombay"/>
    <s v="15-15-15"/>
    <s v="WB"/>
    <x v="1"/>
    <m/>
    <s v="User Not Mapped"/>
    <s v="User Not Mapped"/>
    <s v="User Not Mapped"/>
    <n v="342378"/>
    <s v="Sundarban Agro Service"/>
    <s v="Private Retailer"/>
    <s v="8900726599"/>
    <n v="0.16500000000000001"/>
    <n v="2483"/>
    <x v="2"/>
    <m/>
    <s v="2019-07-03"/>
    <s v="342387"/>
    <s v="Sundarban Agro Service"/>
    <s v="8900726599"/>
  </r>
  <r>
    <s v="RCF Import"/>
    <s v="MOP"/>
    <s v="WB"/>
    <x v="1"/>
    <s v="Gosaba"/>
    <s v="User Not Mapped"/>
    <s v="User Not Mapped"/>
    <s v="User Not Mapped"/>
    <n v="1032309"/>
    <s v=" M/S DAS KRISHI BIPANI"/>
    <s v="Private Retailer"/>
    <s v="9091432386"/>
    <n v="0.05"/>
    <n v="154"/>
    <x v="4"/>
    <m/>
    <s v="2025-11-17"/>
    <s v="1083068"/>
    <s v="SUNDARBAN KRISHI BIPANI"/>
    <s v="8918609412"/>
  </r>
  <r>
    <s v="RCF Thal"/>
    <s v="N.C.Urea(45kg)"/>
    <s v="WB"/>
    <x v="1"/>
    <s v="Gosaba"/>
    <s v="User Not Mapped"/>
    <s v="User Not Mapped"/>
    <s v="User Not Mapped"/>
    <n v="937962"/>
    <s v="ATUL KRISHI BHANDER"/>
    <s v="Private Retailer"/>
    <s v="9547622382"/>
    <n v="0.1"/>
    <n v="581"/>
    <x v="2"/>
    <m/>
    <s v="2024-09-16"/>
    <s v="1083068"/>
    <s v="SUNDARBAN KRISHI BIPANI"/>
    <s v="8918609412"/>
  </r>
  <r>
    <s v="RCF Thal"/>
    <s v="N.C.Urea(45kg)"/>
    <s v="WB"/>
    <x v="1"/>
    <s v="Gosaba"/>
    <s v="User Not Mapped"/>
    <s v="User Not Mapped"/>
    <s v="User Not Mapped"/>
    <n v="910294"/>
    <s v="M/S MATRI KRISHI BHANDER"/>
    <s v="Private Retailer"/>
    <s v="9153298806"/>
    <n v="0.505"/>
    <n v="581"/>
    <x v="2"/>
    <m/>
    <s v="2024-09-16"/>
    <s v="1083068"/>
    <s v="SUNDARBAN KRISHI BIPANI"/>
    <s v="8918609412"/>
  </r>
  <r>
    <s v="RCF Import"/>
    <s v="MOP"/>
    <s v="WB"/>
    <x v="1"/>
    <s v="Gosaba"/>
    <s v="User Not Mapped"/>
    <s v="User Not Mapped"/>
    <s v="User Not Mapped"/>
    <n v="652693"/>
    <s v="Sumana Krishi Bipani"/>
    <s v="Private Retailer"/>
    <s v="7584078866"/>
    <n v="4.2"/>
    <n v="102"/>
    <x v="7"/>
    <m/>
    <s v="2026-01-08"/>
    <s v="1083068"/>
    <s v="SUNDARBAN KRISHI BIPANI"/>
    <s v="8918609412"/>
  </r>
  <r>
    <s v="RCF Trombay"/>
    <s v="15-15-15"/>
    <s v="WB"/>
    <x v="1"/>
    <s v="Sagar"/>
    <s v="User Not Mapped"/>
    <s v="User Not Mapped"/>
    <s v="User Not Mapped"/>
    <n v="461886"/>
    <s v="Asit Kumar Giri"/>
    <s v="Private Retailer"/>
    <s v="9932117825"/>
    <n v="0.2"/>
    <n v="14"/>
    <x v="5"/>
    <m/>
    <s v="2026-04-06"/>
    <s v="311219"/>
    <s v="Surendra Krishi Bhander"/>
    <s v="9434404364"/>
  </r>
  <r>
    <s v="RCF Trombay"/>
    <s v="15-15-15"/>
    <s v="WB"/>
    <x v="1"/>
    <s v="Kakdwip"/>
    <s v="User Not Mapped"/>
    <s v="User Not Mapped"/>
    <s v="User Not Mapped"/>
    <n v="462685"/>
    <s v="Jadupati Krishi Bhander"/>
    <s v="Private Retailer"/>
    <s v="9002447647"/>
    <n v="0.06"/>
    <n v="336"/>
    <x v="1"/>
    <m/>
    <s v="2025-05-19"/>
    <s v="311219"/>
    <s v="Surendra Krishi Bhander"/>
    <s v="9434404364"/>
  </r>
  <r>
    <s v="RCF Trombay"/>
    <s v="15-15-15"/>
    <s v="WB"/>
    <x v="1"/>
    <s v="Sagar"/>
    <s v="User Not Mapped"/>
    <s v="User Not Mapped"/>
    <s v="User Not Mapped"/>
    <n v="290791"/>
    <s v="M/S. Maa Aparna Fertiliser"/>
    <s v="Private Retailer"/>
    <s v="7319427082"/>
    <n v="3.0000000000000001E-3"/>
    <n v="1694"/>
    <x v="2"/>
    <m/>
    <s v="2021-08-30"/>
    <s v="311219"/>
    <s v="Surendra Krishi Bhander"/>
    <s v="9434404364"/>
  </r>
  <r>
    <s v="RCF Trombay"/>
    <s v="15-15-15"/>
    <s v="WB"/>
    <x v="1"/>
    <m/>
    <s v="User Not Mapped"/>
    <s v="User Not Mapped"/>
    <s v="User Not Mapped"/>
    <n v="624049"/>
    <s v="MA JAMUNA KRISHI BHANDAR"/>
    <s v="Private Retailer"/>
    <s v="9733703130"/>
    <n v="0.5"/>
    <n v="1904"/>
    <x v="2"/>
    <m/>
    <s v="2021-02-01"/>
    <s v="311219"/>
    <s v="Surendra Krishi Bhander"/>
    <s v="9434404364"/>
  </r>
  <r>
    <s v="RCF Trombay"/>
    <s v="15-15-15"/>
    <s v="WB"/>
    <x v="1"/>
    <m/>
    <s v="User Not Mapped"/>
    <s v="User Not Mapped"/>
    <s v="User Not Mapped"/>
    <n v="624049"/>
    <s v="MA JAMUNA KRISHI BHANDAR"/>
    <s v="Private Retailer"/>
    <s v="9733703130"/>
    <n v="0.25"/>
    <n v="1687"/>
    <x v="2"/>
    <m/>
    <s v="2021-09-06"/>
    <s v="311219"/>
    <s v="Surendra Krishi Bhander"/>
    <s v="9434404364"/>
  </r>
  <r>
    <s v="RCF Trombay"/>
    <s v="15-15-15"/>
    <s v="WB"/>
    <x v="1"/>
    <m/>
    <s v="User Not Mapped"/>
    <s v="User Not Mapped"/>
    <s v="User Not Mapped"/>
    <n v="624049"/>
    <s v="MA JAMUNA KRISHI BHANDAR"/>
    <s v="Private Retailer"/>
    <s v="9733703130"/>
    <n v="0.5"/>
    <n v="1741"/>
    <x v="2"/>
    <m/>
    <s v="2021-07-14"/>
    <s v="311219"/>
    <s v="Surendra Krishi Bhander"/>
    <s v="9434404364"/>
  </r>
  <r>
    <s v="RCF Trombay"/>
    <s v="15-15-15"/>
    <s v="WB"/>
    <x v="1"/>
    <s v="Sagar"/>
    <s v="User Not Mapped"/>
    <s v="User Not Mapped"/>
    <s v="User Not Mapped"/>
    <n v="462639"/>
    <s v="Maa Sureswari Sar Ghar"/>
    <s v="Private Retailer"/>
    <s v="8670548507"/>
    <n v="0.2"/>
    <n v="260"/>
    <x v="1"/>
    <m/>
    <s v="2025-08-03"/>
    <s v="311219"/>
    <s v="Surendra Krishi Bhander"/>
    <s v="9434404364"/>
  </r>
  <r>
    <s v="RCF Trombay"/>
    <s v="15-15-15"/>
    <s v="WB"/>
    <x v="1"/>
    <s v="Sagar"/>
    <s v="User Not Mapped"/>
    <s v="User Not Mapped"/>
    <s v="User Not Mapped"/>
    <n v="461892"/>
    <s v="Matri Krishi Bhander"/>
    <s v="Private Retailer"/>
    <s v="9733625384"/>
    <n v="0.4"/>
    <n v="381"/>
    <x v="0"/>
    <m/>
    <s v="2025-04-04"/>
    <s v="311219"/>
    <s v="Surendra Krishi Bhander"/>
    <s v="9434404364"/>
  </r>
  <r>
    <s v="RCF Trombay"/>
    <s v="15-15-15"/>
    <s v="WB"/>
    <x v="1"/>
    <s v="Sagar"/>
    <s v="User Not Mapped"/>
    <s v="User Not Mapped"/>
    <s v="User Not Mapped"/>
    <n v="460611"/>
    <s v="PRAMILA KRISHI BHANDAR"/>
    <s v="Private Retailer"/>
    <s v="8768240639"/>
    <n v="3.0000000000000001E-3"/>
    <n v="276"/>
    <x v="1"/>
    <m/>
    <s v="2025-07-18"/>
    <s v="311219"/>
    <s v="Surendra Krishi Bhander"/>
    <s v="9434404364"/>
  </r>
  <r>
    <s v="RCF Trombay"/>
    <s v="15-15-15"/>
    <s v="WB"/>
    <x v="1"/>
    <s v="Kakdwip"/>
    <s v="User Not Mapped"/>
    <s v="User Not Mapped"/>
    <s v="User Not Mapped"/>
    <n v="462749"/>
    <s v="Roy Fertilisers"/>
    <s v="Private Retailer"/>
    <s v="9002779284"/>
    <n v="0.9"/>
    <n v="36"/>
    <x v="3"/>
    <m/>
    <s v="2026-03-15"/>
    <s v="311219"/>
    <s v="Surendra Krishi Bhander"/>
    <s v="9434404364"/>
  </r>
  <r>
    <s v="RCF Trombay"/>
    <s v="15-15-15"/>
    <s v="WB"/>
    <x v="1"/>
    <s v="Sagar"/>
    <s v="User Not Mapped"/>
    <s v="User Not Mapped"/>
    <s v="User Not Mapped"/>
    <n v="461854"/>
    <s v="Sagar Krishi Bhander"/>
    <s v="Private Retailer"/>
    <s v="8167509434"/>
    <n v="0.45"/>
    <n v="602"/>
    <x v="2"/>
    <m/>
    <s v="2024-08-26"/>
    <s v="311219"/>
    <s v="Surendra Krishi Bhander"/>
    <s v="9434404364"/>
  </r>
  <r>
    <s v="RCF Trombay"/>
    <s v="15-15-15"/>
    <s v="WB"/>
    <x v="1"/>
    <s v="Kakdwip"/>
    <s v="User Not Mapped"/>
    <s v="User Not Mapped"/>
    <s v="User Not Mapped"/>
    <n v="462753"/>
    <s v="Satyanarayan Krishi Bhander"/>
    <s v="Private Retailer"/>
    <s v="9051037558"/>
    <n v="0.77500000000000002"/>
    <n v="28"/>
    <x v="5"/>
    <m/>
    <s v="2026-03-23"/>
    <s v="311219"/>
    <s v="Surendra Krishi Bhander"/>
    <s v="9434404364"/>
  </r>
  <r>
    <s v="RCF Trombay"/>
    <s v="15-15-15"/>
    <s v="WB"/>
    <x v="1"/>
    <s v="Kakdwip"/>
    <s v="User Not Mapped"/>
    <s v="User Not Mapped"/>
    <s v="User Not Mapped"/>
    <n v="462689"/>
    <s v="Sonali Krishi Bhander"/>
    <s v="Private Retailer"/>
    <s v="9800989766"/>
    <n v="0.45"/>
    <n v="276"/>
    <x v="1"/>
    <m/>
    <s v="2025-07-18"/>
    <s v="311219"/>
    <s v="Surendra Krishi Bhander"/>
    <s v="9434404364"/>
  </r>
  <r>
    <s v="RCF Trombay"/>
    <s v="15-15-15"/>
    <s v="WB"/>
    <x v="1"/>
    <s v="Kakdwip"/>
    <s v="User Not Mapped"/>
    <s v="User Not Mapped"/>
    <s v="User Not Mapped"/>
    <n v="953540"/>
    <s v="SRI DURGA SAR BHANDER"/>
    <s v="Private Retailer"/>
    <s v="9732846654"/>
    <n v="0.45"/>
    <n v="2242"/>
    <x v="2"/>
    <m/>
    <s v="2020-02-29"/>
    <s v="311219"/>
    <s v="Surendra Krishi Bhander"/>
    <s v="9434404364"/>
  </r>
  <r>
    <s v="RCF Trombay"/>
    <s v="15-15-15"/>
    <s v="WB"/>
    <x v="1"/>
    <s v="Sagar"/>
    <s v="User Not Mapped"/>
    <s v="User Not Mapped"/>
    <s v="User Not Mapped"/>
    <n v="624129"/>
    <s v="SUBRATA MAL"/>
    <s v="Private Retailer"/>
    <s v="9679402670"/>
    <n v="0.55000000000000004"/>
    <n v="260"/>
    <x v="1"/>
    <m/>
    <s v="2025-08-03"/>
    <s v="311219"/>
    <s v="Surendra Krishi Bhander"/>
    <s v="9434404364"/>
  </r>
  <r>
    <s v="RCF Trombay"/>
    <s v="15-15-15"/>
    <s v="WB"/>
    <x v="1"/>
    <s v="Kakdwip"/>
    <s v="User Not Mapped"/>
    <s v="User Not Mapped"/>
    <s v="User Not Mapped"/>
    <n v="633320"/>
    <s v="SURENDRA KRISHI BHABAN"/>
    <s v="Private Retailer"/>
    <s v="9647235500"/>
    <n v="0.04"/>
    <n v="159"/>
    <x v="4"/>
    <m/>
    <s v="2025-11-12"/>
    <s v="311219"/>
    <s v="Surendra Krishi Bhander"/>
    <s v="9434404364"/>
  </r>
  <r>
    <s v="RCF Trombay"/>
    <s v="15-15-15"/>
    <s v="WB"/>
    <x v="1"/>
    <s v="Sagar"/>
    <s v="User Not Mapped"/>
    <s v="User Not Mapped"/>
    <s v="User Not Mapped"/>
    <n v="462729"/>
    <s v="Suruchi Krishi Bhander"/>
    <s v="Private Retailer"/>
    <s v="8967628888"/>
    <n v="0.28000000000000003"/>
    <n v="138"/>
    <x v="4"/>
    <m/>
    <s v="2025-12-03"/>
    <s v="311219"/>
    <s v="Surendra Krishi Bhander"/>
    <s v="9434404364"/>
  </r>
  <r>
    <s v="RCF Trombay"/>
    <s v="15-15-15"/>
    <s v="WB"/>
    <x v="1"/>
    <s v="Sagar"/>
    <s v="User Not Mapped"/>
    <s v="User Not Mapped"/>
    <s v="User Not Mapped"/>
    <n v="888309"/>
    <s v="SWAPAN JANA"/>
    <s v="Private Retailer"/>
    <s v="9093011834"/>
    <n v="8.5999999999999993E-2"/>
    <n v="260"/>
    <x v="1"/>
    <m/>
    <s v="2025-08-03"/>
    <s v="311219"/>
    <s v="Surendra Krishi Bhander"/>
    <s v="9434404364"/>
  </r>
  <r>
    <s v="RCF Trombay"/>
    <s v="N.C.Urea(45kg)"/>
    <s v="WB"/>
    <x v="1"/>
    <s v="Bhangar - II"/>
    <s v="User Not Mapped"/>
    <s v="User Not Mapped"/>
    <s v="User Not Mapped"/>
    <n v="541208"/>
    <s v="Kakuli Krishi Bhandar"/>
    <s v="Private Retailer"/>
    <s v="9593153337"/>
    <n v="5.0000000000000001E-3"/>
    <n v="1251"/>
    <x v="2"/>
    <m/>
    <s v="2022-11-16"/>
    <s v="356412"/>
    <s v="Tarafdarkrishi Bhandar"/>
    <s v="9732926523"/>
  </r>
  <r>
    <s v="RCF Trombay"/>
    <s v="15-15-15"/>
    <s v="WB"/>
    <x v="1"/>
    <m/>
    <s v="User Not Mapped"/>
    <s v="User Not Mapped"/>
    <s v="User Not Mapped"/>
    <n v="637795"/>
    <s v="ABDUL HAKIM MOLLA"/>
    <s v="Private Retailer"/>
    <s v="9775790625"/>
    <n v="0.1"/>
    <n v="2666"/>
    <x v="2"/>
    <m/>
    <s v="2019-01-01"/>
    <s v="11"/>
    <s v="Too Old Stock"/>
    <m/>
  </r>
  <r>
    <s v="RCF Trombay"/>
    <s v="15-15-15"/>
    <s v="WB"/>
    <x v="1"/>
    <m/>
    <s v="User Not Mapped"/>
    <s v="User Not Mapped"/>
    <s v="User Not Mapped"/>
    <n v="602087"/>
    <s v="BABY FERTILISERS"/>
    <s v="Private Retailer"/>
    <s v="8697293353"/>
    <n v="0.32500000000000001"/>
    <n v="2666"/>
    <x v="2"/>
    <m/>
    <s v="2019-01-01"/>
    <s v="11"/>
    <s v="Too Old Stock"/>
    <m/>
  </r>
  <r>
    <s v="RCF Trombay"/>
    <s v="N.C.Urea(45kg)"/>
    <s v="WB"/>
    <x v="1"/>
    <m/>
    <s v="User Not Mapped"/>
    <s v="User Not Mapped"/>
    <s v="User Not Mapped"/>
    <n v="498710"/>
    <s v="Balai Lal Bag"/>
    <s v="Private Retailer"/>
    <s v="7278167903"/>
    <n v="2.585"/>
    <n v="2666"/>
    <x v="2"/>
    <m/>
    <s v="2019-01-01"/>
    <s v="11"/>
    <s v="Too Old Stock"/>
    <m/>
  </r>
  <r>
    <s v="RCF Trombay"/>
    <s v="15-15-15"/>
    <s v="WB"/>
    <x v="1"/>
    <m/>
    <s v="User Not Mapped"/>
    <s v="User Not Mapped"/>
    <s v="User Not Mapped"/>
    <n v="465944"/>
    <s v="Barun Samanta"/>
    <s v="Private Retailer"/>
    <s v="8944960705"/>
    <n v="0.04"/>
    <n v="2666"/>
    <x v="2"/>
    <m/>
    <s v="2019-01-01"/>
    <s v="11"/>
    <s v="Too Old Stock"/>
    <m/>
  </r>
  <r>
    <s v="RCF Trombay"/>
    <s v="15-15-15"/>
    <s v="WB"/>
    <x v="1"/>
    <m/>
    <s v="User Not Mapped"/>
    <s v="User Not Mapped"/>
    <s v="User Not Mapped"/>
    <n v="633090"/>
    <s v="BROJABALLAVPUR KRISH BHANDER"/>
    <s v="Private Retailer"/>
    <s v="9733731305"/>
    <n v="3.9E-2"/>
    <n v="2666"/>
    <x v="2"/>
    <m/>
    <s v="2019-01-01"/>
    <s v="11"/>
    <s v="Too Old Stock"/>
    <m/>
  </r>
  <r>
    <s v="RCF Trombay"/>
    <s v="15-15-15"/>
    <s v="WB"/>
    <x v="1"/>
    <m/>
    <s v="User Not Mapped"/>
    <s v="User Not Mapped"/>
    <s v="User Not Mapped"/>
    <n v="309239"/>
    <s v="Das Fertilizer P Pradip Kr Das"/>
    <s v="Private Retailer"/>
    <s v="9732680948"/>
    <n v="0.5"/>
    <n v="2666"/>
    <x v="2"/>
    <m/>
    <s v="2019-01-01"/>
    <s v="11"/>
    <s v="Too Old Stock"/>
    <m/>
  </r>
  <r>
    <s v="RCF Trombay"/>
    <s v="15-15-15"/>
    <s v="WB"/>
    <x v="1"/>
    <s v="Diamond Harbour - II"/>
    <s v="User Not Mapped"/>
    <s v="User Not Mapped"/>
    <s v="User Not Mapped"/>
    <n v="462671"/>
    <s v="Debasis Jana"/>
    <s v="Private Retailer"/>
    <s v="9775536915"/>
    <n v="0.05"/>
    <n v="2666"/>
    <x v="2"/>
    <m/>
    <s v="2019-01-01"/>
    <s v="11"/>
    <s v="Too Old Stock"/>
    <m/>
  </r>
  <r>
    <s v="RCF Trombay"/>
    <s v="15-15-15"/>
    <s v="WB"/>
    <x v="1"/>
    <m/>
    <s v="User Not Mapped"/>
    <s v="User Not Mapped"/>
    <s v="User Not Mapped"/>
    <n v="460825"/>
    <s v="Giri Krishi Bhander"/>
    <s v="Private Retailer"/>
    <s v="8768801560"/>
    <n v="0.1"/>
    <n v="2666"/>
    <x v="2"/>
    <m/>
    <s v="2019-01-01"/>
    <s v="11"/>
    <s v="Too Old Stock"/>
    <m/>
  </r>
  <r>
    <s v="RCF Trombay"/>
    <s v="15-15-15"/>
    <s v="WB"/>
    <x v="1"/>
    <m/>
    <s v="User Not Mapped"/>
    <s v="User Not Mapped"/>
    <s v="User Not Mapped"/>
    <n v="634889"/>
    <s v="HALDER FERTILISER"/>
    <s v="Private Retailer"/>
    <s v="9547554945"/>
    <n v="0.35"/>
    <n v="2666"/>
    <x v="2"/>
    <m/>
    <s v="2019-01-01"/>
    <s v="11"/>
    <s v="Too Old Stock"/>
    <m/>
  </r>
  <r>
    <s v="RCF Thal"/>
    <s v="N.C.Urea(45kg)"/>
    <s v="WB"/>
    <x v="1"/>
    <m/>
    <s v="User Not Mapped"/>
    <s v="User Not Mapped"/>
    <s v="User Not Mapped"/>
    <n v="634889"/>
    <s v="HALDER FERTILISER"/>
    <s v="Private Retailer"/>
    <s v="9547554945"/>
    <n v="0.45"/>
    <n v="2666"/>
    <x v="2"/>
    <m/>
    <s v="2019-01-01"/>
    <s v="11"/>
    <s v="Too Old Stock"/>
    <m/>
  </r>
  <r>
    <s v="RCF Trombay"/>
    <s v="15-15-15"/>
    <s v="WB"/>
    <x v="1"/>
    <m/>
    <s v="User Not Mapped"/>
    <s v="User Not Mapped"/>
    <s v="User Not Mapped"/>
    <n v="631191"/>
    <s v="HARADHAN DAS"/>
    <s v="Private Retailer"/>
    <s v="9933842332"/>
    <n v="0.5"/>
    <n v="2666"/>
    <x v="2"/>
    <m/>
    <s v="2019-01-01"/>
    <s v="11"/>
    <s v="Too Old Stock"/>
    <m/>
  </r>
  <r>
    <s v="RCF Trombay"/>
    <s v="15-15-15"/>
    <s v="WB"/>
    <x v="1"/>
    <m/>
    <s v="User Not Mapped"/>
    <s v="User Not Mapped"/>
    <s v="User Not Mapped"/>
    <n v="541206"/>
    <s v="Jana Sar Ghar"/>
    <s v="Private Retailer"/>
    <s v="9831762666"/>
    <n v="1.6E-2"/>
    <n v="2666"/>
    <x v="2"/>
    <m/>
    <s v="2019-01-01"/>
    <s v="11"/>
    <s v="Too Old Stock"/>
    <m/>
  </r>
  <r>
    <s v="RCF Trombay"/>
    <s v="15-15-15"/>
    <s v="WB"/>
    <x v="1"/>
    <m/>
    <s v="User Not Mapped"/>
    <s v="User Not Mapped"/>
    <s v="User Not Mapped"/>
    <n v="465952"/>
    <s v="Kbd Krishi Bhander"/>
    <s v="Private Retailer"/>
    <s v="9733545149"/>
    <n v="0.157"/>
    <n v="2666"/>
    <x v="2"/>
    <m/>
    <s v="2019-01-01"/>
    <s v="11"/>
    <s v="Too Old Stock"/>
    <m/>
  </r>
  <r>
    <s v="RCF Trombay"/>
    <s v="15-15-15"/>
    <s v="WB"/>
    <x v="1"/>
    <m/>
    <s v="User Not Mapped"/>
    <s v="User Not Mapped"/>
    <s v="User Not Mapped"/>
    <n v="290783"/>
    <s v="M/S Fatema Fertiliser"/>
    <s v="Private Retailer"/>
    <s v="9733981911"/>
    <n v="0.3"/>
    <n v="2666"/>
    <x v="2"/>
    <m/>
    <s v="2019-01-01"/>
    <s v="11"/>
    <s v="Too Old Stock"/>
    <m/>
  </r>
  <r>
    <s v="RCF Trombay"/>
    <s v="15-15-15"/>
    <s v="WB"/>
    <x v="1"/>
    <m/>
    <s v="User Not Mapped"/>
    <s v="User Not Mapped"/>
    <s v="User Not Mapped"/>
    <n v="456584"/>
    <s v="M/S Razzaque Safui"/>
    <s v="Private Retailer"/>
    <s v="9163529362"/>
    <n v="0.1"/>
    <n v="2666"/>
    <x v="2"/>
    <m/>
    <s v="2019-01-01"/>
    <s v="11"/>
    <s v="Too Old Stock"/>
    <m/>
  </r>
  <r>
    <s v="RCF Trombay"/>
    <s v="15-15-15"/>
    <s v="WB"/>
    <x v="1"/>
    <m/>
    <s v="User Not Mapped"/>
    <s v="User Not Mapped"/>
    <s v="User Not Mapped"/>
    <n v="461650"/>
    <s v="M/S. Makali Krishi Bhander"/>
    <s v="Private Retailer"/>
    <s v="9733778185"/>
    <n v="0.05"/>
    <n v="2666"/>
    <x v="2"/>
    <m/>
    <s v="2019-01-01"/>
    <s v="11"/>
    <s v="Too Old Stock"/>
    <m/>
  </r>
  <r>
    <s v="RCF Trombay"/>
    <s v="15-15-15"/>
    <s v="WB"/>
    <x v="1"/>
    <m/>
    <s v="User Not Mapped"/>
    <s v="User Not Mapped"/>
    <s v="User Not Mapped"/>
    <n v="637809"/>
    <s v="MA INDUBALA KRISHI BHANDER"/>
    <s v="Private Retailer"/>
    <s v="9093871917"/>
    <n v="4.3999999999999997E-2"/>
    <n v="2666"/>
    <x v="2"/>
    <m/>
    <s v="2019-01-01"/>
    <s v="11"/>
    <s v="Too Old Stock"/>
    <m/>
  </r>
  <r>
    <s v="RCF Trombay"/>
    <s v="15-15-15"/>
    <s v="WB"/>
    <x v="1"/>
    <m/>
    <s v="User Not Mapped"/>
    <s v="User Not Mapped"/>
    <s v="User Not Mapped"/>
    <n v="643017"/>
    <s v="MA KAMALA FERTILISER"/>
    <s v="Private Retailer"/>
    <s v="9932538005"/>
    <n v="3.4000000000000002E-2"/>
    <n v="2666"/>
    <x v="2"/>
    <m/>
    <s v="2019-01-01"/>
    <s v="11"/>
    <s v="Too Old Stock"/>
    <m/>
  </r>
  <r>
    <s v="RCF Trombay"/>
    <s v="15-15-15"/>
    <s v="WB"/>
    <x v="1"/>
    <m/>
    <s v="User Not Mapped"/>
    <s v="User Not Mapped"/>
    <s v="User Not Mapped"/>
    <n v="341747"/>
    <s v="Maa Kali Krishi Bhandar"/>
    <s v="Private Retailer"/>
    <s v="9434622055"/>
    <n v="1.4999999999999999E-2"/>
    <n v="2666"/>
    <x v="2"/>
    <m/>
    <s v="2019-01-01"/>
    <s v="11"/>
    <s v="Too Old Stock"/>
    <m/>
  </r>
  <r>
    <s v="RCF Trombay"/>
    <s v="15-15-15"/>
    <s v="WB"/>
    <x v="1"/>
    <s v="Namkhana"/>
    <s v="User Not Mapped"/>
    <s v="User Not Mapped"/>
    <s v="User Not Mapped"/>
    <n v="331437"/>
    <s v="Maa Laxmi Krishibhander"/>
    <s v="Private Retailer"/>
    <s v="8537909978"/>
    <n v="0.15"/>
    <n v="2666"/>
    <x v="2"/>
    <m/>
    <s v="2019-01-01"/>
    <s v="11"/>
    <s v="Too Old Stock"/>
    <m/>
  </r>
  <r>
    <s v="RCF Trombay"/>
    <s v="15-15-15"/>
    <s v="WB"/>
    <x v="1"/>
    <m/>
    <s v="User Not Mapped"/>
    <s v="User Not Mapped"/>
    <s v="User Not Mapped"/>
    <n v="355354"/>
    <s v="Mayafertilzers"/>
    <s v="Private Retailer"/>
    <s v="8013352550"/>
    <n v="0.5"/>
    <n v="2666"/>
    <x v="2"/>
    <m/>
    <s v="2019-01-01"/>
    <s v="11"/>
    <s v="Too Old Stock"/>
    <m/>
  </r>
  <r>
    <s v="RCF Trombay"/>
    <s v="15-15-15"/>
    <s v="WB"/>
    <x v="1"/>
    <m/>
    <s v="User Not Mapped"/>
    <s v="User Not Mapped"/>
    <s v="User Not Mapped"/>
    <n v="638001"/>
    <s v="MD HASEM ALI MOLLA"/>
    <s v="Private Retailer"/>
    <s v="7407638642"/>
    <n v="0.1"/>
    <n v="2666"/>
    <x v="2"/>
    <m/>
    <s v="2019-01-01"/>
    <s v="11"/>
    <s v="Too Old Stock"/>
    <m/>
  </r>
  <r>
    <s v="RCF Trombay"/>
    <s v="15-15-15"/>
    <s v="WB"/>
    <x v="1"/>
    <m/>
    <s v="User Not Mapped"/>
    <s v="User Not Mapped"/>
    <s v="User Not Mapped"/>
    <n v="469840"/>
    <s v="Md. Mosaraf Ali"/>
    <s v="Private Retailer"/>
    <s v="9609433165"/>
    <n v="0.15"/>
    <n v="2666"/>
    <x v="2"/>
    <m/>
    <s v="2019-01-01"/>
    <s v="11"/>
    <s v="Too Old Stock"/>
    <m/>
  </r>
  <r>
    <s v="RCF Trombay"/>
    <s v="15-15-15"/>
    <s v="WB"/>
    <x v="1"/>
    <m/>
    <s v="User Not Mapped"/>
    <s v="User Not Mapped"/>
    <s v="User Not Mapped"/>
    <n v="868308"/>
    <s v="NUR ISLAM MOLLA"/>
    <s v="Private Retailer"/>
    <s v="8327287757"/>
    <n v="0.1"/>
    <n v="2666"/>
    <x v="2"/>
    <m/>
    <s v="2019-01-01"/>
    <s v="11"/>
    <s v="Too Old Stock"/>
    <m/>
  </r>
  <r>
    <s v="RCF Trombay"/>
    <s v="15-15-15"/>
    <s v="WB"/>
    <x v="1"/>
    <m/>
    <s v="User Not Mapped"/>
    <s v="User Not Mapped"/>
    <s v="User Not Mapped"/>
    <n v="679357"/>
    <s v="RADHA GOBINDA SAR BHANDER"/>
    <s v="Private Retailer"/>
    <s v="9732705725"/>
    <n v="1.2E-2"/>
    <n v="2666"/>
    <x v="2"/>
    <m/>
    <s v="2019-01-01"/>
    <s v="11"/>
    <s v="Too Old Stock"/>
    <m/>
  </r>
  <r>
    <s v="RCF Trombay"/>
    <s v="15-15-15"/>
    <s v="WB"/>
    <x v="1"/>
    <m/>
    <s v="User Not Mapped"/>
    <s v="User Not Mapped"/>
    <s v="User Not Mapped"/>
    <n v="483186"/>
    <s v="Radha Madhab Krishi Bhander"/>
    <s v="Private Retailer"/>
    <s v="9564489976"/>
    <n v="2.133"/>
    <n v="2666"/>
    <x v="2"/>
    <m/>
    <s v="2019-01-01"/>
    <s v="11"/>
    <s v="Too Old Stock"/>
    <m/>
  </r>
  <r>
    <s v="RCF Trombay"/>
    <s v="15-15-15"/>
    <s v="WB"/>
    <x v="1"/>
    <m/>
    <s v="User Not Mapped"/>
    <s v="User Not Mapped"/>
    <s v="User Not Mapped"/>
    <n v="622780"/>
    <s v="SITA FERTILISER"/>
    <s v="Private Retailer"/>
    <s v="8345937068"/>
    <n v="0.39"/>
    <n v="2666"/>
    <x v="2"/>
    <m/>
    <s v="2019-01-01"/>
    <s v="11"/>
    <s v="Too Old Stock"/>
    <m/>
  </r>
  <r>
    <s v="RCF Trombay"/>
    <s v="15-15-15"/>
    <s v="WB"/>
    <x v="1"/>
    <s v="Sagar"/>
    <s v="User Not Mapped"/>
    <s v="User Not Mapped"/>
    <s v="User Not Mapped"/>
    <n v="624131"/>
    <s v="SUBOTH BALA KRISHI BHANDER"/>
    <s v="Private Retailer"/>
    <s v="9932726050"/>
    <n v="0.22"/>
    <n v="2666"/>
    <x v="2"/>
    <m/>
    <s v="2019-01-01"/>
    <s v="11"/>
    <s v="Too Old Stock"/>
    <m/>
  </r>
  <r>
    <s v="RCF Trombay"/>
    <s v="15-15-15"/>
    <s v="WB"/>
    <x v="1"/>
    <s v="Patharpratima"/>
    <s v="User Not Mapped"/>
    <s v="User Not Mapped"/>
    <s v="User Not Mapped"/>
    <n v="461223"/>
    <s v="Sundarbon Krishi Bipani"/>
    <s v="Private Retailer"/>
    <s v="9775009038"/>
    <n v="0.06"/>
    <n v="2666"/>
    <x v="2"/>
    <m/>
    <s v="2019-01-01"/>
    <s v="11"/>
    <s v="Too Old Stock"/>
    <m/>
  </r>
  <r>
    <s v="RCF Trombay"/>
    <s v="15-15-15"/>
    <s v="WB"/>
    <x v="1"/>
    <m/>
    <s v="User Not Mapped"/>
    <s v="User Not Mapped"/>
    <s v="User Not Mapped"/>
    <n v="456050"/>
    <s v="Ujjir Houssen Mondal"/>
    <s v="Private Retailer"/>
    <s v="9230113589"/>
    <n v="0.15"/>
    <n v="2666"/>
    <x v="2"/>
    <m/>
    <s v="2019-01-01"/>
    <s v="11"/>
    <s v="Too Old Stock"/>
    <m/>
  </r>
  <r>
    <s v="RCF Trombay"/>
    <s v="15-15-15"/>
    <s v="WB"/>
    <x v="2"/>
    <s v="Falakata"/>
    <s v="User Not Mapped"/>
    <s v="User Not Mapped"/>
    <s v="User Not Mapped"/>
    <n v="328150"/>
    <s v="Ram Saha"/>
    <s v="Private Retailer"/>
    <s v="9434413552"/>
    <n v="6"/>
    <n v="52"/>
    <x v="3"/>
    <m/>
    <s v="2026-02-27"/>
    <s v="1335785"/>
    <s v="CHAKI AGRO SCIENCE"/>
    <s v="7872827880"/>
  </r>
  <r>
    <s v="RCF Thal"/>
    <s v="N.C.Urea(45kg)"/>
    <s v="WB"/>
    <x v="2"/>
    <s v="Alipurduar - I"/>
    <s v="User Not Mapped"/>
    <s v="User Not Mapped"/>
    <s v="User Not Mapped"/>
    <n v="1133872"/>
    <s v="Laxmi Fertilizer"/>
    <s v="Private Retailer"/>
    <s v="8609390773"/>
    <n v="1.35"/>
    <n v="45"/>
    <x v="3"/>
    <m/>
    <s v="2026-03-06"/>
    <s v="1159944"/>
    <s v="Dey Banik Fertilizer and Co"/>
    <s v="9775801969"/>
  </r>
  <r>
    <s v="RCF Thal"/>
    <s v="N.C.Urea(45kg)"/>
    <s v="WB"/>
    <x v="2"/>
    <m/>
    <s v="User Not Mapped"/>
    <s v="User Not Mapped"/>
    <s v="User Not Mapped"/>
    <n v="795242"/>
    <s v="DUTTA FERTILISER"/>
    <s v="Private Retailer"/>
    <s v="7586892911"/>
    <n v="11.025"/>
    <n v="46"/>
    <x v="3"/>
    <m/>
    <s v="2026-03-05"/>
    <s v="1264109"/>
    <s v="M/S SUNIL KUMAR KUNDU"/>
    <s v="9832028729"/>
  </r>
  <r>
    <s v="RCF Trombay"/>
    <s v="15-15-15"/>
    <s v="WB"/>
    <x v="2"/>
    <m/>
    <s v="User Not Mapped"/>
    <s v="User Not Mapped"/>
    <s v="User Not Mapped"/>
    <n v="1609248"/>
    <s v="M/S GUPI STORE"/>
    <s v="Private Retailer"/>
    <s v="9083288859"/>
    <n v="11"/>
    <n v="7"/>
    <x v="5"/>
    <m/>
    <s v="2026-04-13"/>
    <s v="1264109"/>
    <s v="M/S SUNIL KUMAR KUNDU"/>
    <s v="9832028729"/>
  </r>
  <r>
    <s v="RCF Thal"/>
    <s v="N.C.Urea(45kg)"/>
    <s v="WB"/>
    <x v="2"/>
    <s v="Kumargram"/>
    <s v="User Not Mapped"/>
    <s v="User Not Mapped"/>
    <s v="User Not Mapped"/>
    <n v="1569525"/>
    <s v="M/S KISHOK BHANDAR"/>
    <s v="Private Retailer"/>
    <s v="8167393482"/>
    <n v="6.84"/>
    <n v="46"/>
    <x v="3"/>
    <m/>
    <s v="2026-03-05"/>
    <s v="1264109"/>
    <s v="M/S SUNIL KUMAR KUNDU"/>
    <s v="9832028729"/>
  </r>
  <r>
    <s v="RCF Thal"/>
    <s v="N.C.Urea(45kg)"/>
    <s v="WB"/>
    <x v="2"/>
    <s v="Kumargram"/>
    <s v="User Not Mapped"/>
    <s v="User Not Mapped"/>
    <s v="User Not Mapped"/>
    <n v="1156273"/>
    <s v="NEW AMIYA STORE"/>
    <s v="Private Wholsaler"/>
    <s v="7908117405"/>
    <n v="11.025"/>
    <n v="46"/>
    <x v="3"/>
    <s v="'684'"/>
    <s v="2026-03-05"/>
    <s v="1264109"/>
    <s v="M/S SUNIL KUMAR KUNDU"/>
    <s v="9832028729"/>
  </r>
  <r>
    <s v="RCF Trombay"/>
    <s v="15-15-15"/>
    <s v="WB"/>
    <x v="2"/>
    <s v="Alipurduar - I"/>
    <s v="User Not Mapped"/>
    <s v="User Not Mapped"/>
    <s v="User Not Mapped"/>
    <n v="735589"/>
    <s v="ROSNI FERTILIZER"/>
    <s v="Private Retailer"/>
    <s v="6294194800"/>
    <n v="11"/>
    <n v="9"/>
    <x v="5"/>
    <m/>
    <s v="2026-04-11"/>
    <s v="1264109"/>
    <s v="M/S SUNIL KUMAR KUNDU"/>
    <s v="9832028729"/>
  </r>
  <r>
    <s v="RCF Trombay"/>
    <s v="15-15-15"/>
    <s v="WB"/>
    <x v="2"/>
    <m/>
    <s v="User Not Mapped"/>
    <s v="User Not Mapped"/>
    <s v="User Not Mapped"/>
    <n v="755037"/>
    <s v="SARKAR FERTILIZER"/>
    <s v="Private Retailer"/>
    <s v="8372009942"/>
    <n v="13"/>
    <n v="7"/>
    <x v="5"/>
    <m/>
    <s v="2026-04-13"/>
    <s v="1264109"/>
    <s v="M/S SUNIL KUMAR KUNDU"/>
    <s v="9832028729"/>
  </r>
  <r>
    <s v="RCF Trombay"/>
    <s v="15-15-15"/>
    <s v="WB"/>
    <x v="2"/>
    <m/>
    <s v="User Not Mapped"/>
    <s v="User Not Mapped"/>
    <s v="User Not Mapped"/>
    <n v="845365"/>
    <s v="New Maa Tara Fertilizer"/>
    <s v="Private Retailer"/>
    <s v="6294309174"/>
    <n v="0.5"/>
    <n v="6"/>
    <x v="5"/>
    <m/>
    <s v="2026-04-14"/>
    <s v="287777"/>
    <s v="M/s. Mathura Nath Chowdhury"/>
    <s v="7602178949"/>
  </r>
  <r>
    <s v="RCF Trombay"/>
    <s v="15-15-15"/>
    <s v="WB"/>
    <x v="2"/>
    <m/>
    <s v="User Not Mapped"/>
    <s v="User Not Mapped"/>
    <s v="User Not Mapped"/>
    <n v="287737"/>
    <s v="Ranjit Paul"/>
    <s v="Private Retailer"/>
    <s v="9932099942"/>
    <n v="0.5"/>
    <n v="6"/>
    <x v="5"/>
    <m/>
    <s v="2026-04-14"/>
    <s v="287777"/>
    <s v="M/s. Mathura Nath Chowdhury"/>
    <s v="7602178949"/>
  </r>
  <r>
    <s v="RCF Trombay"/>
    <s v="15-15-15"/>
    <s v="WB"/>
    <x v="2"/>
    <s v="Alipurduar - I"/>
    <s v="User Not Mapped"/>
    <s v="User Not Mapped"/>
    <s v="User Not Mapped"/>
    <n v="650910"/>
    <s v="M/S KRISHI BIPANI"/>
    <s v="Private Retailer"/>
    <s v="9002786687"/>
    <n v="1.8"/>
    <n v="27"/>
    <x v="5"/>
    <m/>
    <s v="2026-03-24"/>
    <s v="260049"/>
    <s v="Mahakal Enterprise"/>
    <s v="9674571163"/>
  </r>
  <r>
    <s v="RCF Trombay"/>
    <s v="15-15-15"/>
    <s v="WB"/>
    <x v="2"/>
    <s v="Kumargram"/>
    <s v="User Not Mapped"/>
    <s v="User Not Mapped"/>
    <s v="User Not Mapped"/>
    <n v="1065810"/>
    <s v="NEW FARFERS TRADING"/>
    <s v="Private Wholsaler"/>
    <s v="9475763009"/>
    <n v="10"/>
    <n v="19"/>
    <x v="5"/>
    <s v="'ME/25-26/3255'"/>
    <s v="2026-04-01"/>
    <s v="260049"/>
    <s v="Mahakal Enterprise"/>
    <s v="9674571163"/>
  </r>
  <r>
    <s v="RCF Trombay"/>
    <s v="15-15-15"/>
    <s v="WB"/>
    <x v="2"/>
    <s v="Falakata"/>
    <s v="User Not Mapped"/>
    <s v="User Not Mapped"/>
    <s v="User Not Mapped"/>
    <n v="1527819"/>
    <s v="P.S FERTILISER"/>
    <s v="Private Retailer"/>
    <s v="7384360382"/>
    <n v="0.25"/>
    <n v="48"/>
    <x v="3"/>
    <m/>
    <s v="2026-03-03"/>
    <s v="260049"/>
    <s v="Mahakal Enterprise"/>
    <s v="9674571163"/>
  </r>
  <r>
    <s v="RCF Trombay"/>
    <s v="15-15-15"/>
    <s v="WB"/>
    <x v="2"/>
    <s v="Falakata"/>
    <s v="User Not Mapped"/>
    <s v="User Not Mapped"/>
    <s v="User Not Mapped"/>
    <n v="533468"/>
    <s v="Parimal Barman"/>
    <s v="Private Retailer"/>
    <s v="9734913276"/>
    <n v="3.1"/>
    <n v="13"/>
    <x v="5"/>
    <m/>
    <s v="2026-04-07"/>
    <s v="260049"/>
    <s v="Mahakal Enterprise"/>
    <s v="9674571163"/>
  </r>
  <r>
    <s v="RCF Trombay"/>
    <s v="15-15-15"/>
    <s v="WB"/>
    <x v="2"/>
    <s v="Falakata"/>
    <s v="User Not Mapped"/>
    <s v="User Not Mapped"/>
    <s v="User Not Mapped"/>
    <n v="533468"/>
    <s v="Parimal Barman"/>
    <s v="Private Retailer"/>
    <s v="9734913276"/>
    <n v="6.65"/>
    <n v="22"/>
    <x v="5"/>
    <m/>
    <s v="2026-03-29"/>
    <s v="260049"/>
    <s v="Mahakal Enterprise"/>
    <s v="9674571163"/>
  </r>
  <r>
    <s v="RCF Trombay"/>
    <s v="15-15-15"/>
    <s v="WB"/>
    <x v="2"/>
    <m/>
    <s v="User Not Mapped"/>
    <s v="User Not Mapped"/>
    <s v="User Not Mapped"/>
    <n v="287746"/>
    <s v="Sailen Das"/>
    <s v="Private Retailer"/>
    <s v="9593720655"/>
    <n v="1"/>
    <n v="22"/>
    <x v="5"/>
    <m/>
    <s v="2026-03-29"/>
    <s v="260049"/>
    <s v="Mahakal Enterprise"/>
    <s v="9674571163"/>
  </r>
  <r>
    <s v="RCF Trombay"/>
    <s v="15-15-15"/>
    <s v="WB"/>
    <x v="2"/>
    <m/>
    <s v="User Not Mapped"/>
    <s v="User Not Mapped"/>
    <s v="User Not Mapped"/>
    <n v="287754"/>
    <s v="Shambhu Choudhury"/>
    <s v="Private Retailer"/>
    <s v="8116069787"/>
    <n v="0.45"/>
    <n v="21"/>
    <x v="5"/>
    <m/>
    <s v="2026-03-30"/>
    <s v="260049"/>
    <s v="Mahakal Enterprise"/>
    <s v="9674571163"/>
  </r>
  <r>
    <s v="RCF Trombay"/>
    <s v="N.C.Urea(45kg)"/>
    <s v="WB"/>
    <x v="2"/>
    <m/>
    <s v="User Not Mapped"/>
    <s v="User Not Mapped"/>
    <s v="User Not Mapped"/>
    <n v="861158"/>
    <s v="SINHA FERTILIZER"/>
    <s v="Private Retailer"/>
    <s v="8346000871"/>
    <n v="8.1000000000000003E-2"/>
    <n v="611"/>
    <x v="2"/>
    <m/>
    <s v="2024-08-17"/>
    <s v="260049"/>
    <s v="Mahakal Enterprise"/>
    <s v="9674571163"/>
  </r>
  <r>
    <s v="RCF Thal"/>
    <s v="N.C.Urea(45kg)"/>
    <s v="WB"/>
    <x v="2"/>
    <m/>
    <s v="User Not Mapped"/>
    <s v="User Not Mapped"/>
    <s v="User Not Mapped"/>
    <n v="185237"/>
    <s v="Parimal Roy"/>
    <s v="Private Retailer"/>
    <s v="9046857579"/>
    <n v="12.195"/>
    <n v="2155"/>
    <x v="2"/>
    <m/>
    <s v="2020-05-26"/>
    <s v="457815"/>
    <s v="Mahavir Agency"/>
    <s v="9434071707"/>
  </r>
  <r>
    <s v="RCF Trombay"/>
    <s v="15-15-15"/>
    <s v="WB"/>
    <x v="2"/>
    <s v="Falakata"/>
    <s v="User Not Mapped"/>
    <s v="User Not Mapped"/>
    <s v="User Not Mapped"/>
    <n v="287777"/>
    <s v="M/s. Mathura Nath Chowdhury"/>
    <s v="Private Wholsaler"/>
    <s v="7602178949"/>
    <n v="11"/>
    <n v="6"/>
    <x v="5"/>
    <s v="'RF/ST/564'"/>
    <s v="2026-04-14"/>
    <s v="214210"/>
    <s v="Raja Fertilizer"/>
    <s v="8370801459"/>
  </r>
  <r>
    <s v="RCF Trombay"/>
    <s v="N.C.Urea(45kg)"/>
    <s v="WB"/>
    <x v="2"/>
    <s v="Falakata"/>
    <s v="User Not Mapped"/>
    <s v="User Not Mapped"/>
    <s v="User Not Mapped"/>
    <n v="214203"/>
    <s v="Raja Fertilizer              "/>
    <s v="Private Wholsaler"/>
    <s v="8370801460"/>
    <n v="0.155"/>
    <n v="70"/>
    <x v="6"/>
    <s v="'RF/ST/793'"/>
    <s v="2026-02-09"/>
    <s v="214210"/>
    <s v="Raja Fertilizer"/>
    <s v="8370801459"/>
  </r>
  <r>
    <s v="RCF Trombay"/>
    <s v="15-15-15"/>
    <s v="WB"/>
    <x v="2"/>
    <s v="Falakata"/>
    <s v="User Not Mapped"/>
    <s v="User Not Mapped"/>
    <s v="User Not Mapped"/>
    <n v="214203"/>
    <s v="Raja Fertilizer              "/>
    <s v="Private Wholsaler"/>
    <s v="8370801460"/>
    <n v="11"/>
    <n v="6"/>
    <x v="5"/>
    <s v="'RF/ST/562'"/>
    <s v="2026-04-14"/>
    <s v="214210"/>
    <s v="Raja Fertilizer"/>
    <s v="8370801459"/>
  </r>
  <r>
    <s v="RCF Trombay"/>
    <s v="15-15-15"/>
    <s v="WB"/>
    <x v="2"/>
    <s v="Falakata"/>
    <s v="User Not Mapped"/>
    <s v="User Not Mapped"/>
    <s v="User Not Mapped"/>
    <n v="214203"/>
    <s v="Raja Fertilizer              "/>
    <s v="Private Wholsaler"/>
    <s v="8370801460"/>
    <n v="12.55"/>
    <n v="58"/>
    <x v="3"/>
    <s v="'RF/ST/788'"/>
    <s v="2026-02-21"/>
    <s v="214210"/>
    <s v="Raja Fertilizer"/>
    <s v="8370801459"/>
  </r>
  <r>
    <s v="RCF Trombay"/>
    <s v="15-15-15"/>
    <s v="WB"/>
    <x v="2"/>
    <s v="Falakata"/>
    <s v="User Not Mapped"/>
    <s v="User Not Mapped"/>
    <s v="User Not Mapped"/>
    <n v="510524"/>
    <s v="Amendra Paul"/>
    <s v="Private Retailer"/>
    <s v="9832472230"/>
    <n v="0.25"/>
    <n v="27"/>
    <x v="5"/>
    <m/>
    <s v="2026-03-24"/>
    <s v="214203"/>
    <s v="Raja Fertilizer              "/>
    <s v="8370801460"/>
  </r>
  <r>
    <s v="RCF Trombay"/>
    <s v="15-15-15"/>
    <s v="WB"/>
    <x v="2"/>
    <s v="Falakata"/>
    <s v="User Not Mapped"/>
    <s v="User Not Mapped"/>
    <s v="User Not Mapped"/>
    <n v="604044"/>
    <s v="BALARAM DAS"/>
    <s v="Private Retailer"/>
    <s v="9635889289"/>
    <n v="0.2"/>
    <n v="380"/>
    <x v="0"/>
    <m/>
    <s v="2025-04-05"/>
    <s v="214203"/>
    <s v="Raja Fertilizer              "/>
    <s v="8370801460"/>
  </r>
  <r>
    <s v="RCF Trombay"/>
    <s v="15-15-15"/>
    <s v="WB"/>
    <x v="2"/>
    <s v="Alipurduar - I"/>
    <s v="User Not Mapped"/>
    <s v="User Not Mapped"/>
    <s v="User Not Mapped"/>
    <n v="368921"/>
    <s v="Bhubaneswari Fertilizers"/>
    <s v="Private Retailer"/>
    <s v="9733074388"/>
    <n v="0.4"/>
    <n v="136"/>
    <x v="4"/>
    <m/>
    <s v="2025-12-05"/>
    <s v="214203"/>
    <s v="Raja Fertilizer              "/>
    <s v="8370801460"/>
  </r>
  <r>
    <s v="RCF Trombay"/>
    <s v="15-15-15"/>
    <s v="WB"/>
    <x v="2"/>
    <m/>
    <s v="User Not Mapped"/>
    <s v="User Not Mapped"/>
    <s v="User Not Mapped"/>
    <n v="752441"/>
    <s v="CHARU FERTILIZER"/>
    <s v="Private Retailer"/>
    <s v="9002861662"/>
    <n v="0.05"/>
    <n v="182"/>
    <x v="1"/>
    <m/>
    <s v="2025-10-20"/>
    <s v="214203"/>
    <s v="Raja Fertilizer              "/>
    <s v="8370801460"/>
  </r>
  <r>
    <s v="RCF Import"/>
    <s v="Imp 10-26-26"/>
    <s v="WB"/>
    <x v="2"/>
    <s v="Falakata"/>
    <s v="User Not Mapped"/>
    <s v="User Not Mapped"/>
    <s v="User Not Mapped"/>
    <n v="514513"/>
    <s v="Das Fertilizer"/>
    <s v="Private Retailer"/>
    <s v="9775892595"/>
    <n v="0.05"/>
    <n v="496"/>
    <x v="0"/>
    <m/>
    <s v="2024-12-10"/>
    <s v="214203"/>
    <s v="Raja Fertilizer              "/>
    <s v="8370801460"/>
  </r>
  <r>
    <s v="RCF Trombay"/>
    <s v="15-15-15"/>
    <s v="WB"/>
    <x v="2"/>
    <m/>
    <s v="User Not Mapped"/>
    <s v="User Not Mapped"/>
    <s v="User Not Mapped"/>
    <n v="536845"/>
    <s v="Das Fertilizer"/>
    <s v="Private Retailer"/>
    <s v="9733251896"/>
    <n v="0.25"/>
    <n v="111"/>
    <x v="7"/>
    <m/>
    <s v="2025-12-30"/>
    <s v="214203"/>
    <s v="Raja Fertilizer              "/>
    <s v="8370801460"/>
  </r>
  <r>
    <s v="RCF Trombay"/>
    <s v="15-15-15"/>
    <s v="WB"/>
    <x v="2"/>
    <s v="Alipurduar - I"/>
    <s v="User Not Mapped"/>
    <s v="User Not Mapped"/>
    <s v="User Not Mapped"/>
    <n v="675038"/>
    <s v="JHARNA FERTILIZER"/>
    <s v="Private Retailer"/>
    <s v="8617334740"/>
    <n v="0.35"/>
    <n v="208"/>
    <x v="1"/>
    <m/>
    <s v="2025-09-24"/>
    <s v="214203"/>
    <s v="Raja Fertilizer              "/>
    <s v="8370801460"/>
  </r>
  <r>
    <s v="RCF Trombay"/>
    <s v="15-15-15"/>
    <s v="WB"/>
    <x v="2"/>
    <s v="Falakata"/>
    <s v="User Not Mapped"/>
    <s v="User Not Mapped"/>
    <s v="User Not Mapped"/>
    <n v="1226623"/>
    <s v="KISHAN FERTILISER"/>
    <s v="Private Retailer"/>
    <s v="9932961258"/>
    <n v="0.1"/>
    <n v="17"/>
    <x v="5"/>
    <m/>
    <s v="2026-04-03"/>
    <s v="214203"/>
    <s v="Raja Fertilizer              "/>
    <s v="8370801460"/>
  </r>
  <r>
    <s v="RCF Trombay"/>
    <s v="N.C.Urea(45kg)"/>
    <s v="WB"/>
    <x v="2"/>
    <s v="Falakata"/>
    <s v="User Not Mapped"/>
    <s v="User Not Mapped"/>
    <s v="User Not Mapped"/>
    <n v="1226623"/>
    <s v="KISHAN FERTILISER"/>
    <s v="Private Retailer"/>
    <s v="9932961258"/>
    <n v="0.36"/>
    <n v="59"/>
    <x v="3"/>
    <m/>
    <s v="2026-02-20"/>
    <s v="214203"/>
    <s v="Raja Fertilizer              "/>
    <s v="8370801460"/>
  </r>
  <r>
    <s v="RCF Trombay"/>
    <s v="15-15-15"/>
    <s v="WB"/>
    <x v="2"/>
    <s v="Falakata"/>
    <s v="User Not Mapped"/>
    <s v="User Not Mapped"/>
    <s v="User Not Mapped"/>
    <n v="1226623"/>
    <s v="KISHAN FERTILISER"/>
    <s v="Private Retailer"/>
    <s v="9932961258"/>
    <n v="0.15"/>
    <n v="35"/>
    <x v="3"/>
    <m/>
    <s v="2026-03-16"/>
    <s v="214203"/>
    <s v="Raja Fertilizer              "/>
    <s v="8370801460"/>
  </r>
  <r>
    <s v="RCF Trombay"/>
    <s v="15-15-15"/>
    <s v="WB"/>
    <x v="2"/>
    <s v="Falakata"/>
    <s v="User Not Mapped"/>
    <s v="User Not Mapped"/>
    <s v="User Not Mapped"/>
    <n v="1226623"/>
    <s v="KISHAN FERTILISER"/>
    <s v="Private Retailer"/>
    <s v="9932961258"/>
    <n v="0.15"/>
    <n v="111"/>
    <x v="7"/>
    <m/>
    <s v="2025-12-30"/>
    <s v="214203"/>
    <s v="Raja Fertilizer              "/>
    <s v="8370801460"/>
  </r>
  <r>
    <s v="RCF Trombay"/>
    <s v="15-15-15"/>
    <s v="WB"/>
    <x v="2"/>
    <m/>
    <s v="User Not Mapped"/>
    <s v="User Not Mapped"/>
    <s v="User Not Mapped"/>
    <n v="794826"/>
    <s v="KRISHI BIPANI"/>
    <s v="Private Retailer"/>
    <s v="9749848863"/>
    <n v="0.13"/>
    <n v="1299"/>
    <x v="2"/>
    <m/>
    <s v="2022-09-29"/>
    <s v="214203"/>
    <s v="Raja Fertilizer              "/>
    <s v="8370801460"/>
  </r>
  <r>
    <s v="RCF Trombay"/>
    <s v="N.C.Urea(45kg)"/>
    <s v="WB"/>
    <x v="2"/>
    <s v="Kumargram"/>
    <s v="User Not Mapped"/>
    <s v="User Not Mapped"/>
    <s v="User Not Mapped"/>
    <n v="702152"/>
    <s v="NIRMAL FERTILIZER"/>
    <s v="Private Retailer"/>
    <s v="8617616250"/>
    <n v="0.9"/>
    <n v="66"/>
    <x v="6"/>
    <m/>
    <s v="2026-02-13"/>
    <s v="214203"/>
    <s v="Raja Fertilizer              "/>
    <s v="8370801460"/>
  </r>
  <r>
    <s v="RCF Trombay"/>
    <s v="15-15-15"/>
    <s v="WB"/>
    <x v="2"/>
    <s v="Falakata"/>
    <s v="User Not Mapped"/>
    <s v="User Not Mapped"/>
    <s v="User Not Mapped"/>
    <n v="1527819"/>
    <s v="P.S FERTILISER"/>
    <s v="Private Retailer"/>
    <s v="7384360382"/>
    <n v="0.05"/>
    <n v="49"/>
    <x v="3"/>
    <m/>
    <s v="2026-03-02"/>
    <s v="214203"/>
    <s v="Raja Fertilizer              "/>
    <s v="8370801460"/>
  </r>
  <r>
    <s v="RCF Trombay"/>
    <s v="15-15-15"/>
    <s v="WB"/>
    <x v="2"/>
    <s v="Falakata"/>
    <s v="User Not Mapped"/>
    <s v="User Not Mapped"/>
    <s v="User Not Mapped"/>
    <n v="1527819"/>
    <s v="P.S FERTILISER"/>
    <s v="Private Retailer"/>
    <s v="7384360382"/>
    <n v="0.1"/>
    <n v="17"/>
    <x v="5"/>
    <m/>
    <s v="2026-04-03"/>
    <s v="214203"/>
    <s v="Raja Fertilizer              "/>
    <s v="8370801460"/>
  </r>
  <r>
    <s v="RCF Trombay"/>
    <s v="15-15-15"/>
    <s v="WB"/>
    <x v="2"/>
    <s v="Falakata"/>
    <s v="User Not Mapped"/>
    <s v="User Not Mapped"/>
    <s v="User Not Mapped"/>
    <n v="1527819"/>
    <s v="P.S FERTILISER"/>
    <s v="Private Retailer"/>
    <s v="7384360382"/>
    <n v="0.15"/>
    <n v="45"/>
    <x v="3"/>
    <m/>
    <s v="2026-03-06"/>
    <s v="214203"/>
    <s v="Raja Fertilizer              "/>
    <s v="8370801460"/>
  </r>
  <r>
    <s v="RCF Trombay"/>
    <s v="15-15-15"/>
    <s v="WB"/>
    <x v="2"/>
    <s v="Falakata"/>
    <s v="User Not Mapped"/>
    <s v="User Not Mapped"/>
    <s v="User Not Mapped"/>
    <n v="417822"/>
    <s v="Ranjan Basak"/>
    <s v="Private Retailer"/>
    <s v="8609020023"/>
    <n v="0.05"/>
    <n v="35"/>
    <x v="3"/>
    <m/>
    <s v="2026-03-16"/>
    <s v="214203"/>
    <s v="Raja Fertilizer              "/>
    <s v="8370801460"/>
  </r>
  <r>
    <s v="RCF Trombay"/>
    <s v="15-15-15"/>
    <s v="WB"/>
    <x v="2"/>
    <s v="Alipurduar - I"/>
    <s v="User Not Mapped"/>
    <s v="User Not Mapped"/>
    <s v="User Not Mapped"/>
    <n v="634857"/>
    <s v="RAY FERTILIZER"/>
    <s v="Private Retailer"/>
    <s v="8509205390"/>
    <n v="0.5"/>
    <n v="52"/>
    <x v="3"/>
    <m/>
    <s v="2026-02-27"/>
    <s v="214203"/>
    <s v="Raja Fertilizer              "/>
    <s v="8370801460"/>
  </r>
  <r>
    <s v="RCF Import"/>
    <s v="Imp 10-26-26"/>
    <s v="WB"/>
    <x v="2"/>
    <s v="Alipurduar - I"/>
    <s v="User Not Mapped"/>
    <s v="User Not Mapped"/>
    <s v="User Not Mapped"/>
    <n v="1240556"/>
    <s v="SARKAR FERTILIZER"/>
    <s v="Private Retailer"/>
    <s v="9733458546"/>
    <n v="0.35"/>
    <n v="877"/>
    <x v="2"/>
    <m/>
    <s v="2023-11-25"/>
    <s v="214203"/>
    <s v="Raja Fertilizer              "/>
    <s v="8370801460"/>
  </r>
  <r>
    <s v="RCF Trombay"/>
    <s v="15-15-15"/>
    <s v="WB"/>
    <x v="2"/>
    <m/>
    <s v="User Not Mapped"/>
    <s v="User Not Mapped"/>
    <s v="User Not Mapped"/>
    <n v="287754"/>
    <s v="Shambhu Choudhury"/>
    <s v="Private Retailer"/>
    <s v="8116069787"/>
    <n v="0.35"/>
    <n v="4"/>
    <x v="5"/>
    <m/>
    <s v="2026-04-16"/>
    <s v="214203"/>
    <s v="Raja Fertilizer              "/>
    <s v="8370801460"/>
  </r>
  <r>
    <s v="RCF Trombay"/>
    <s v="N.C.Urea(45kg)"/>
    <s v="WB"/>
    <x v="2"/>
    <s v="Alipurduar - II"/>
    <s v="User Not Mapped"/>
    <s v="User Not Mapped"/>
    <s v="User Not Mapped"/>
    <n v="861118"/>
    <s v="T.S ENTERPRISE"/>
    <s v="Other"/>
    <s v="9735036078"/>
    <n v="0.9"/>
    <n v="70"/>
    <x v="6"/>
    <m/>
    <s v="2026-02-09"/>
    <s v="214203"/>
    <s v="Raja Fertilizer              "/>
    <s v="8370801460"/>
  </r>
  <r>
    <s v="RCF Trombay"/>
    <s v="15-15-15"/>
    <s v="WB"/>
    <x v="2"/>
    <s v="Falakata"/>
    <s v="User Not Mapped"/>
    <s v="User Not Mapped"/>
    <s v="User Not Mapped"/>
    <n v="287777"/>
    <s v="M/s. Mathura Nath Chowdhury"/>
    <s v="Private Wholsaler"/>
    <s v="7602178949"/>
    <n v="1"/>
    <n v="9"/>
    <x v="5"/>
    <s v="'RF/ST/455'"/>
    <s v="2026-04-11"/>
    <s v="260048"/>
    <s v="Raja Fertilizers(Cbh)"/>
    <s v="7602178949"/>
  </r>
  <r>
    <s v="RCF Thal"/>
    <s v="N.C.Urea(45kg)"/>
    <s v="WB"/>
    <x v="2"/>
    <s v="Alipurduar - II"/>
    <s v="User Not Mapped"/>
    <s v="User Not Mapped"/>
    <s v="User Not Mapped"/>
    <n v="328115"/>
    <s v="Atul Modak"/>
    <s v="Private Retailer"/>
    <s v="9002448704"/>
    <n v="2.9249999999999998"/>
    <n v="35"/>
    <x v="3"/>
    <m/>
    <s v="2026-03-16"/>
    <s v="1264113"/>
    <s v="SRIKRISHNA ENTERPRISE"/>
    <s v="9614703331"/>
  </r>
  <r>
    <s v="RCF Thal"/>
    <s v="N.C.Urea(45kg)"/>
    <s v="WB"/>
    <x v="2"/>
    <s v="Kumargram"/>
    <s v="User Not Mapped"/>
    <s v="User Not Mapped"/>
    <s v="User Not Mapped"/>
    <n v="861130"/>
    <s v="BHUMI LAXMI"/>
    <s v="Private Retailer"/>
    <s v="7318994397"/>
    <n v="1.845"/>
    <n v="46"/>
    <x v="3"/>
    <m/>
    <s v="2026-03-05"/>
    <s v="1264113"/>
    <s v="SRIKRISHNA ENTERPRISE"/>
    <s v="9614703331"/>
  </r>
  <r>
    <s v="RCF Thal"/>
    <s v="N.C.Urea(45kg)"/>
    <s v="WB"/>
    <x v="2"/>
    <m/>
    <s v="User Not Mapped"/>
    <s v="User Not Mapped"/>
    <s v="User Not Mapped"/>
    <n v="958023"/>
    <s v="DEBRAJ DUTTA"/>
    <s v="Private Retailer"/>
    <s v="9126896651"/>
    <n v="0.40500000000000003"/>
    <n v="46"/>
    <x v="3"/>
    <m/>
    <s v="2026-03-05"/>
    <s v="1264113"/>
    <s v="SRIKRISHNA ENTERPRISE"/>
    <s v="9614703331"/>
  </r>
  <r>
    <s v="RCF Thal"/>
    <s v="N.C.Urea(45kg)"/>
    <s v="WB"/>
    <x v="2"/>
    <m/>
    <s v="User Not Mapped"/>
    <s v="User Not Mapped"/>
    <s v="User Not Mapped"/>
    <n v="316106"/>
    <s v="Diganta Das"/>
    <s v="Private Retailer"/>
    <s v="9641460880"/>
    <n v="1.35"/>
    <n v="35"/>
    <x v="3"/>
    <m/>
    <s v="2026-03-16"/>
    <s v="1264113"/>
    <s v="SRIKRISHNA ENTERPRISE"/>
    <s v="9614703331"/>
  </r>
  <r>
    <s v="RCF Thal"/>
    <s v="N.C.Urea(45kg)"/>
    <s v="WB"/>
    <x v="2"/>
    <m/>
    <s v="User Not Mapped"/>
    <s v="User Not Mapped"/>
    <s v="User Not Mapped"/>
    <n v="592098"/>
    <s v="FULESWAR DEBNATH"/>
    <s v="Private Retailer"/>
    <s v="7001488634"/>
    <n v="3.15"/>
    <n v="46"/>
    <x v="3"/>
    <m/>
    <s v="2026-03-05"/>
    <s v="1264113"/>
    <s v="SRIKRISHNA ENTERPRISE"/>
    <s v="9614703331"/>
  </r>
  <r>
    <s v="RCF Thal"/>
    <s v="N.C.Urea(45kg)"/>
    <s v="WB"/>
    <x v="2"/>
    <m/>
    <s v="User Not Mapped"/>
    <s v="User Not Mapped"/>
    <s v="User Not Mapped"/>
    <n v="328127"/>
    <s v="Krishi Swapna Fertilizer"/>
    <s v="Private Retailer"/>
    <s v="9002906735"/>
    <n v="4.4999999999999998E-2"/>
    <n v="35"/>
    <x v="3"/>
    <m/>
    <s v="2026-03-16"/>
    <s v="1264113"/>
    <s v="SRIKRISHNA ENTERPRISE"/>
    <s v="9614703331"/>
  </r>
  <r>
    <s v="RCF Thal"/>
    <s v="N.C.Urea(45kg)"/>
    <s v="WB"/>
    <x v="2"/>
    <s v="Alipurduar - I"/>
    <s v="User Not Mapped"/>
    <s v="User Not Mapped"/>
    <s v="User Not Mapped"/>
    <n v="281067"/>
    <s v="Loke Nath Fertilizer"/>
    <s v="Private Retailer"/>
    <s v="9733327997"/>
    <n v="2.4750000000000001"/>
    <n v="46"/>
    <x v="3"/>
    <m/>
    <s v="2026-03-05"/>
    <s v="1264113"/>
    <s v="SRIKRISHNA ENTERPRISE"/>
    <s v="9614703331"/>
  </r>
  <r>
    <s v="RCF Thal"/>
    <s v="N.C.Urea(45kg)"/>
    <s v="WB"/>
    <x v="2"/>
    <s v="Kumargram"/>
    <s v="User Not Mapped"/>
    <s v="User Not Mapped"/>
    <s v="User Not Mapped"/>
    <n v="1228973"/>
    <s v="SARKAR FERTILISER"/>
    <s v="Private Retailer"/>
    <s v="9800132888"/>
    <n v="3.15"/>
    <n v="46"/>
    <x v="3"/>
    <m/>
    <s v="2026-03-05"/>
    <s v="1264113"/>
    <s v="SRIKRISHNA ENTERPRISE"/>
    <s v="9614703331"/>
  </r>
  <r>
    <s v="RCF Thal"/>
    <s v="N.C.Urea(45kg)"/>
    <s v="WB"/>
    <x v="2"/>
    <s v="Alipurduar - II"/>
    <s v="User Not Mapped"/>
    <s v="User Not Mapped"/>
    <s v="User Not Mapped"/>
    <n v="1089901"/>
    <s v="SUN FERTILISER"/>
    <s v="Private Retailer"/>
    <s v="8436093067"/>
    <n v="0.67500000000000004"/>
    <n v="44"/>
    <x v="3"/>
    <m/>
    <s v="2026-03-07"/>
    <s v="1264113"/>
    <s v="SRIKRISHNA ENTERPRISE"/>
    <s v="9614703331"/>
  </r>
  <r>
    <s v="RCF Trombay"/>
    <s v="N.C.Urea(45kg)"/>
    <s v="WB"/>
    <x v="2"/>
    <s v="Kumargram"/>
    <s v="User Not Mapped"/>
    <s v="User Not Mapped"/>
    <s v="User Not Mapped"/>
    <n v="1226631"/>
    <s v="SUPRIYA STORE"/>
    <s v="Private Retailer"/>
    <s v="9064793090"/>
    <n v="0.01"/>
    <n v="436"/>
    <x v="0"/>
    <m/>
    <s v="2025-02-08"/>
    <s v="281165"/>
    <s v="Supriya Stores"/>
    <s v="9434808230"/>
  </r>
  <r>
    <s v="RCF Thal"/>
    <s v="N.C.Urea(45kg)"/>
    <s v="WB"/>
    <x v="2"/>
    <s v="Kumargram"/>
    <s v="User Not Mapped"/>
    <s v="User Not Mapped"/>
    <s v="User Not Mapped"/>
    <n v="1226631"/>
    <s v="SUPRIYA STORE"/>
    <s v="Private Retailer"/>
    <s v="9064793090"/>
    <n v="0.02"/>
    <n v="439"/>
    <x v="0"/>
    <m/>
    <s v="2025-02-05"/>
    <s v="281165"/>
    <s v="Supriya Stores"/>
    <s v="9434808230"/>
  </r>
  <r>
    <s v="RCF Trombay"/>
    <s v="N.C.Urea(45kg)"/>
    <s v="WB"/>
    <x v="2"/>
    <m/>
    <s v="User Not Mapped"/>
    <s v="User Not Mapped"/>
    <s v="User Not Mapped"/>
    <n v="998648"/>
    <s v="GOBINDA CHANDRA DAS"/>
    <s v="Private Retailer"/>
    <s v="9832460494"/>
    <n v="3.8250000000000002"/>
    <n v="2666"/>
    <x v="2"/>
    <m/>
    <s v="2019-01-01"/>
    <s v="11"/>
    <s v="Too Old Stock"/>
    <m/>
  </r>
  <r>
    <s v="RCF Trombay"/>
    <s v="15-15-15"/>
    <s v="WB"/>
    <x v="2"/>
    <s v="Falakata"/>
    <s v="User Not Mapped"/>
    <s v="User Not Mapped"/>
    <s v="User Not Mapped"/>
    <n v="260049"/>
    <s v="Mahakal Enterprise"/>
    <s v="Private Wholsaler"/>
    <s v="9674571163"/>
    <n v="18.899999999999999"/>
    <n v="65"/>
    <x v="6"/>
    <s v="'VAC/25-26/1304'"/>
    <s v="2026-02-14"/>
    <s v="214204"/>
    <s v="Vikas Agrochemicals"/>
    <s v="9474382706"/>
  </r>
  <r>
    <s v="RCF Trombay"/>
    <s v="15-15-15"/>
    <s v="WB"/>
    <x v="2"/>
    <s v="Falakata"/>
    <s v="User Not Mapped"/>
    <s v="User Not Mapped"/>
    <s v="User Not Mapped"/>
    <n v="260049"/>
    <s v="Mahakal Enterprise"/>
    <s v="Private Wholsaler"/>
    <s v="9674571163"/>
    <n v="25"/>
    <n v="65"/>
    <x v="6"/>
    <s v="'VAC/25-26/1305'"/>
    <s v="2026-02-14"/>
    <s v="214204"/>
    <s v="Vikas Agrochemicals"/>
    <s v="9474382706"/>
  </r>
  <r>
    <s v="RCF Import"/>
    <s v="Imp 10-26-26"/>
    <s v="WB"/>
    <x v="3"/>
    <s v="Taldangra"/>
    <s v="User Not Mapped"/>
    <s v="User Not Mapped"/>
    <s v="User Not Mapped"/>
    <n v="459626"/>
    <s v="Abdul Hosen Khan"/>
    <s v="Private Retailer"/>
    <s v="9735300396"/>
    <n v="4.9000000000000004"/>
    <n v="54"/>
    <x v="3"/>
    <m/>
    <s v="2026-02-25"/>
    <s v="261556"/>
    <s v="Bankim Chandra Makur"/>
    <s v="9434520840"/>
  </r>
  <r>
    <s v="RCF Trombay"/>
    <s v="15-15-15"/>
    <s v="WB"/>
    <x v="3"/>
    <s v="Taldangra"/>
    <s v="User Not Mapped"/>
    <s v="User Not Mapped"/>
    <s v="User Not Mapped"/>
    <n v="459626"/>
    <s v="Abdul Hosen Khan"/>
    <s v="Private Retailer"/>
    <s v="9735300396"/>
    <n v="1.65"/>
    <n v="124"/>
    <x v="4"/>
    <m/>
    <s v="2025-12-17"/>
    <s v="261556"/>
    <s v="Bankim Chandra Makur"/>
    <s v="9434520840"/>
  </r>
  <r>
    <s v="RCF Thal"/>
    <s v="N.C.Urea(45kg)"/>
    <s v="WB"/>
    <x v="3"/>
    <s v="Onda"/>
    <s v="User Not Mapped"/>
    <s v="User Not Mapped"/>
    <s v="User Not Mapped"/>
    <n v="838071"/>
    <s v="Abdul RAhaman Mondal"/>
    <s v="Private Retailer"/>
    <s v="8145210990"/>
    <n v="2.97"/>
    <n v="475"/>
    <x v="0"/>
    <m/>
    <s v="2024-12-31"/>
    <s v="261556"/>
    <s v="Bankim Chandra Makur"/>
    <s v="9434520840"/>
  </r>
  <r>
    <s v="RCF Thal"/>
    <s v="N.C.Urea(45kg)"/>
    <s v="WB"/>
    <x v="3"/>
    <s v="Vishnupur"/>
    <s v="User Not Mapped"/>
    <s v="User Not Mapped"/>
    <s v="User Not Mapped"/>
    <n v="1475171"/>
    <s v="AFSANA KHATUN"/>
    <s v="Private Retailer"/>
    <s v="8436682264"/>
    <n v="13.32"/>
    <n v="168"/>
    <x v="4"/>
    <m/>
    <s v="2025-11-03"/>
    <s v="261556"/>
    <s v="Bankim Chandra Makur"/>
    <s v="9434520840"/>
  </r>
  <r>
    <s v="RCF Trombay"/>
    <s v="15-15-15"/>
    <s v="WB"/>
    <x v="3"/>
    <s v="Vishnupur"/>
    <s v="User Not Mapped"/>
    <s v="User Not Mapped"/>
    <s v="User Not Mapped"/>
    <n v="215738"/>
    <s v="Agunkumari Skus Ltd"/>
    <s v="PACS"/>
    <s v="9732233412"/>
    <n v="4.55"/>
    <n v="258"/>
    <x v="1"/>
    <m/>
    <s v="2025-08-05"/>
    <s v="261556"/>
    <s v="Bankim Chandra Makur"/>
    <s v="9434520840"/>
  </r>
  <r>
    <s v="RCF Trombay"/>
    <s v="15-15-15"/>
    <s v="WB"/>
    <x v="3"/>
    <s v="Vishnupur"/>
    <s v="User Not Mapped"/>
    <s v="User Not Mapped"/>
    <s v="User Not Mapped"/>
    <n v="452579"/>
    <s v="Ahamadulla Chowdhury"/>
    <s v="Private Retailer"/>
    <s v="9735170440"/>
    <n v="3.9"/>
    <n v="124"/>
    <x v="4"/>
    <m/>
    <s v="2025-12-17"/>
    <s v="261556"/>
    <s v="Bankim Chandra Makur"/>
    <s v="9434520840"/>
  </r>
  <r>
    <s v="RCF Thal"/>
    <s v="N.C.Urea(45kg)"/>
    <s v="WB"/>
    <x v="3"/>
    <s v="Jaypur"/>
    <s v="User Not Mapped"/>
    <s v="User Not Mapped"/>
    <s v="User Not Mapped"/>
    <n v="452485"/>
    <s v="Amaresh Dey"/>
    <s v="Private Retailer"/>
    <s v="9564895814"/>
    <n v="0.09"/>
    <n v="168"/>
    <x v="4"/>
    <m/>
    <s v="2025-11-03"/>
    <s v="261556"/>
    <s v="Bankim Chandra Makur"/>
    <s v="9434520840"/>
  </r>
  <r>
    <s v="RCF Trombay"/>
    <s v="15-15-15"/>
    <s v="WB"/>
    <x v="3"/>
    <s v="Taldangra"/>
    <s v="User Not Mapped"/>
    <s v="User Not Mapped"/>
    <s v="User Not Mapped"/>
    <n v="896824"/>
    <s v="Amerulla Dalal"/>
    <s v="Private Retailer"/>
    <s v="8170922081"/>
    <n v="2.5"/>
    <n v="124"/>
    <x v="4"/>
    <m/>
    <s v="2025-12-17"/>
    <s v="261556"/>
    <s v="Bankim Chandra Makur"/>
    <s v="9434520840"/>
  </r>
  <r>
    <s v="RCF Trombay"/>
    <s v="N.C.Urea(45kg)"/>
    <s v="WB"/>
    <x v="3"/>
    <s v="Taldangra"/>
    <s v="User Not Mapped"/>
    <s v="User Not Mapped"/>
    <s v="User Not Mapped"/>
    <n v="896824"/>
    <s v="Amerulla Dalal"/>
    <s v="Private Retailer"/>
    <s v="8170922081"/>
    <n v="3.7349999999999999"/>
    <n v="124"/>
    <x v="4"/>
    <m/>
    <s v="2025-12-17"/>
    <s v="261556"/>
    <s v="Bankim Chandra Makur"/>
    <s v="9434520840"/>
  </r>
  <r>
    <s v="RCF Thal"/>
    <s v="N.C.Urea(45kg)"/>
    <s v="WB"/>
    <x v="3"/>
    <s v="Onda"/>
    <s v="User Not Mapped"/>
    <s v="User Not Mapped"/>
    <s v="User Not Mapped"/>
    <n v="487093"/>
    <s v="Balaram Khan"/>
    <s v="Private Retailer"/>
    <s v="8945599382"/>
    <n v="9"/>
    <n v="248"/>
    <x v="1"/>
    <m/>
    <s v="2025-08-15"/>
    <s v="261556"/>
    <s v="Bankim Chandra Makur"/>
    <s v="9434520840"/>
  </r>
  <r>
    <s v="RCF Thal"/>
    <s v="N.C.Urea(45kg)"/>
    <s v="WB"/>
    <x v="3"/>
    <s v="Simlapal"/>
    <s v="User Not Mapped"/>
    <s v="User Not Mapped"/>
    <s v="User Not Mapped"/>
    <n v="596285"/>
    <s v="BANAMALI DUTTA"/>
    <s v="Private Retailer"/>
    <s v="9800455531"/>
    <n v="1.395"/>
    <n v="168"/>
    <x v="4"/>
    <m/>
    <s v="2025-11-03"/>
    <s v="261556"/>
    <s v="Bankim Chandra Makur"/>
    <s v="9434520840"/>
  </r>
  <r>
    <s v="RCF Thal"/>
    <s v="N.C.Urea(45kg)"/>
    <s v="WB"/>
    <x v="3"/>
    <s v="Jaypur"/>
    <s v="User Not Mapped"/>
    <s v="User Not Mapped"/>
    <s v="User Not Mapped"/>
    <n v="398341"/>
    <s v="Banshi Gopal Mukherjee"/>
    <s v="Private Retailer"/>
    <s v="8073787312"/>
    <n v="0.36"/>
    <n v="168"/>
    <x v="4"/>
    <m/>
    <s v="2025-11-03"/>
    <s v="261556"/>
    <s v="Bankim Chandra Makur"/>
    <s v="9434520840"/>
  </r>
  <r>
    <s v="RCF Trombay"/>
    <s v="15-15-15"/>
    <s v="WB"/>
    <x v="3"/>
    <s v="Saltora"/>
    <s v="User Not Mapped"/>
    <s v="User Not Mapped"/>
    <s v="User Not Mapped"/>
    <n v="393647"/>
    <s v="Chinmoy Gorain"/>
    <s v="Private Retailer"/>
    <s v="9933144865"/>
    <n v="3.45"/>
    <n v="124"/>
    <x v="4"/>
    <m/>
    <s v="2025-12-17"/>
    <s v="261556"/>
    <s v="Bankim Chandra Makur"/>
    <s v="9434520840"/>
  </r>
  <r>
    <s v="RCF Import"/>
    <s v="Imp 10-26-26"/>
    <s v="WB"/>
    <x v="3"/>
    <s v="Onda"/>
    <s v="User Not Mapped"/>
    <s v="User Not Mapped"/>
    <s v="User Not Mapped"/>
    <n v="242653"/>
    <s v="Dibyendu Roy"/>
    <s v="Private Retailer"/>
    <s v="8637038065"/>
    <n v="10.95"/>
    <n v="54"/>
    <x v="3"/>
    <m/>
    <s v="2026-02-25"/>
    <s v="261556"/>
    <s v="Bankim Chandra Makur"/>
    <s v="9434520840"/>
  </r>
  <r>
    <s v="RCF Import"/>
    <s v="Imp 10-26-26"/>
    <s v="WB"/>
    <x v="3"/>
    <s v="Vishnupur"/>
    <s v="User Not Mapped"/>
    <s v="User Not Mapped"/>
    <s v="User Not Mapped"/>
    <n v="242655"/>
    <s v="Dinabandhu Kundu"/>
    <s v="Private Retailer"/>
    <s v="9732106039"/>
    <n v="3.75"/>
    <n v="54"/>
    <x v="3"/>
    <m/>
    <s v="2026-02-25"/>
    <s v="261556"/>
    <s v="Bankim Chandra Makur"/>
    <s v="9434520840"/>
  </r>
  <r>
    <s v="RCF Trombay"/>
    <s v="15-15-15"/>
    <s v="WB"/>
    <x v="3"/>
    <m/>
    <s v="User Not Mapped"/>
    <s v="User Not Mapped"/>
    <s v="User Not Mapped"/>
    <n v="242662"/>
    <s v="Gopal Ch. Baul"/>
    <s v="Private Retailer"/>
    <s v="9647609369"/>
    <n v="6.8"/>
    <n v="124"/>
    <x v="4"/>
    <m/>
    <s v="2025-12-17"/>
    <s v="261556"/>
    <s v="Bankim Chandra Makur"/>
    <s v="9434520840"/>
  </r>
  <r>
    <s v="RCF Thal"/>
    <s v="N.C.Urea(45kg)"/>
    <s v="WB"/>
    <x v="3"/>
    <s v="Sonamukhi"/>
    <s v="User Not Mapped"/>
    <s v="User Not Mapped"/>
    <s v="User Not Mapped"/>
    <n v="1540571"/>
    <s v="Himangsu Bari"/>
    <s v="Private Retailer"/>
    <s v="7908014793"/>
    <n v="17.64"/>
    <n v="67"/>
    <x v="6"/>
    <m/>
    <s v="2026-02-12"/>
    <s v="261556"/>
    <s v="Bankim Chandra Makur"/>
    <s v="9434520840"/>
  </r>
  <r>
    <s v="RCF Import"/>
    <s v="Imp 10-26-26"/>
    <s v="WB"/>
    <x v="3"/>
    <s v="Jaypur"/>
    <s v="User Not Mapped"/>
    <s v="User Not Mapped"/>
    <s v="User Not Mapped"/>
    <n v="242672"/>
    <s v="Jagannath Samui"/>
    <s v="Private Retailer"/>
    <s v="9475064998"/>
    <n v="3.45"/>
    <n v="54"/>
    <x v="3"/>
    <m/>
    <s v="2026-02-25"/>
    <s v="261556"/>
    <s v="Bankim Chandra Makur"/>
    <s v="9434520840"/>
  </r>
  <r>
    <s v="RCF Thal"/>
    <s v="N.C.Urea(45kg)"/>
    <s v="WB"/>
    <x v="3"/>
    <s v="Jaypur"/>
    <s v="User Not Mapped"/>
    <s v="User Not Mapped"/>
    <s v="User Not Mapped"/>
    <n v="242672"/>
    <s v="Jagannath Samui"/>
    <s v="Private Retailer"/>
    <s v="9475064998"/>
    <n v="2.6549999999999998"/>
    <n v="67"/>
    <x v="6"/>
    <m/>
    <s v="2026-02-12"/>
    <s v="261556"/>
    <s v="Bankim Chandra Makur"/>
    <s v="9434520840"/>
  </r>
  <r>
    <s v="RCF Trombay"/>
    <s v="15-15-15"/>
    <s v="WB"/>
    <x v="3"/>
    <s v="Onda"/>
    <s v="User Not Mapped"/>
    <s v="User Not Mapped"/>
    <s v="User Not Mapped"/>
    <n v="242673"/>
    <s v="Jamini Mohan Kundu"/>
    <s v="Private Retailer"/>
    <s v="9002577800"/>
    <n v="1.25"/>
    <n v="124"/>
    <x v="4"/>
    <m/>
    <s v="2025-12-17"/>
    <s v="261556"/>
    <s v="Bankim Chandra Makur"/>
    <s v="9434520840"/>
  </r>
  <r>
    <s v="RCF Trombay"/>
    <s v="N.C.Urea(45kg)"/>
    <s v="WB"/>
    <x v="3"/>
    <s v="Onda"/>
    <s v="User Not Mapped"/>
    <s v="User Not Mapped"/>
    <s v="User Not Mapped"/>
    <n v="242673"/>
    <s v="Jamini Mohan Kundu"/>
    <s v="Private Retailer"/>
    <s v="9002577800"/>
    <n v="3.78"/>
    <n v="124"/>
    <x v="4"/>
    <m/>
    <s v="2025-12-17"/>
    <s v="261556"/>
    <s v="Bankim Chandra Makur"/>
    <s v="9434520840"/>
  </r>
  <r>
    <s v="RCF Trombay"/>
    <s v="15-15-15"/>
    <s v="WB"/>
    <x v="3"/>
    <s v="Bankura - II"/>
    <s v="User Not Mapped"/>
    <s v="User Not Mapped"/>
    <s v="User Not Mapped"/>
    <n v="456170"/>
    <s v="Jhantulal Ghosh"/>
    <s v="Private Retailer"/>
    <s v="7908387016"/>
    <n v="7.85"/>
    <n v="124"/>
    <x v="4"/>
    <m/>
    <s v="2025-12-17"/>
    <s v="261556"/>
    <s v="Bankim Chandra Makur"/>
    <s v="9434520840"/>
  </r>
  <r>
    <s v="RCF Thal"/>
    <s v="N.C.Urea(45kg)"/>
    <s v="WB"/>
    <x v="3"/>
    <s v="Simlapal"/>
    <s v="User Not Mapped"/>
    <s v="User Not Mapped"/>
    <s v="User Not Mapped"/>
    <n v="458915"/>
    <s v="Joydeb Sannigrahi"/>
    <s v="Private Retailer"/>
    <s v="9382368539"/>
    <n v="7.11"/>
    <n v="167"/>
    <x v="4"/>
    <m/>
    <s v="2025-11-04"/>
    <s v="261556"/>
    <s v="Bankim Chandra Makur"/>
    <s v="9434520840"/>
  </r>
  <r>
    <s v="RCF Trombay"/>
    <s v="N.C.Urea(45kg)"/>
    <s v="WB"/>
    <x v="3"/>
    <s v="Simlapal"/>
    <s v="User Not Mapped"/>
    <s v="User Not Mapped"/>
    <s v="User Not Mapped"/>
    <n v="837363"/>
    <s v="JOYDEB SINHAMAHAPATRA"/>
    <s v="Private Retailer"/>
    <s v="9775831936"/>
    <n v="5.22"/>
    <n v="463"/>
    <x v="0"/>
    <m/>
    <s v="2025-01-12"/>
    <s v="261556"/>
    <s v="Bankim Chandra Makur"/>
    <s v="9434520840"/>
  </r>
  <r>
    <s v="RCF Thal"/>
    <s v="N.C.Urea(45kg)"/>
    <s v="WB"/>
    <x v="3"/>
    <s v="Simlapal"/>
    <s v="User Not Mapped"/>
    <s v="User Not Mapped"/>
    <s v="User Not Mapped"/>
    <n v="837363"/>
    <s v="JOYDEB SINHAMAHAPATRA"/>
    <s v="Private Retailer"/>
    <s v="9775831936"/>
    <n v="15.57"/>
    <n v="168"/>
    <x v="4"/>
    <m/>
    <s v="2025-11-03"/>
    <s v="261556"/>
    <s v="Bankim Chandra Makur"/>
    <s v="9434520840"/>
  </r>
  <r>
    <s v="RCF Trombay"/>
    <s v="N.C.Urea(45kg)"/>
    <s v="WB"/>
    <x v="3"/>
    <s v="Simlapal"/>
    <s v="User Not Mapped"/>
    <s v="User Not Mapped"/>
    <s v="User Not Mapped"/>
    <n v="837363"/>
    <s v="JOYDEB SINHAMAHAPATRA"/>
    <s v="Private Retailer"/>
    <s v="9775831936"/>
    <n v="5.9850000000000003"/>
    <n v="258"/>
    <x v="1"/>
    <m/>
    <s v="2025-08-05"/>
    <s v="261556"/>
    <s v="Bankim Chandra Makur"/>
    <s v="9434520840"/>
  </r>
  <r>
    <s v="RCF Trombay"/>
    <s v="15-15-15"/>
    <s v="WB"/>
    <x v="3"/>
    <s v="Saltora"/>
    <s v="User Not Mapped"/>
    <s v="User Not Mapped"/>
    <s v="User Not Mapped"/>
    <n v="839396"/>
    <s v="Kalidas Gorai"/>
    <s v="Private Retailer"/>
    <s v="9382132103"/>
    <n v="2.2000000000000002"/>
    <n v="335"/>
    <x v="1"/>
    <m/>
    <s v="2025-05-20"/>
    <s v="261556"/>
    <s v="Bankim Chandra Makur"/>
    <s v="9434520840"/>
  </r>
  <r>
    <s v="RCF Trombay"/>
    <s v="15-15-15"/>
    <s v="WB"/>
    <x v="3"/>
    <s v="Vishnupur"/>
    <s v="User Not Mapped"/>
    <s v="User Not Mapped"/>
    <s v="User Not Mapped"/>
    <n v="353636"/>
    <s v="Kalyan Kumar Saha"/>
    <s v="Private Retailer"/>
    <s v="8436903385"/>
    <n v="6"/>
    <n v="108"/>
    <x v="7"/>
    <m/>
    <s v="2026-01-02"/>
    <s v="261556"/>
    <s v="Bankim Chandra Makur"/>
    <s v="9434520840"/>
  </r>
  <r>
    <s v="RCF Trombay"/>
    <s v="N.C.Urea(45kg)"/>
    <s v="WB"/>
    <x v="3"/>
    <s v="Vishnupur"/>
    <s v="User Not Mapped"/>
    <s v="User Not Mapped"/>
    <s v="User Not Mapped"/>
    <n v="353636"/>
    <s v="Kalyan Kumar Saha"/>
    <s v="Private Retailer"/>
    <s v="8436903385"/>
    <n v="5.2649999999999997"/>
    <n v="108"/>
    <x v="7"/>
    <m/>
    <s v="2026-01-02"/>
    <s v="261556"/>
    <s v="Bankim Chandra Makur"/>
    <s v="9434520840"/>
  </r>
  <r>
    <s v="RCF Trombay"/>
    <s v="15-15-15"/>
    <s v="WB"/>
    <x v="3"/>
    <s v="Saltora"/>
    <s v="User Not Mapped"/>
    <s v="User Not Mapped"/>
    <s v="User Not Mapped"/>
    <n v="395339"/>
    <s v="Kartick Gorain"/>
    <s v="Private Retailer"/>
    <s v="8670515665"/>
    <n v="0.4"/>
    <n v="124"/>
    <x v="4"/>
    <m/>
    <s v="2025-12-17"/>
    <s v="261556"/>
    <s v="Bankim Chandra Makur"/>
    <s v="9434520840"/>
  </r>
  <r>
    <s v="RCF Trombay"/>
    <s v="15-15-15"/>
    <s v="WB"/>
    <x v="3"/>
    <s v="Onda"/>
    <s v="User Not Mapped"/>
    <s v="User Not Mapped"/>
    <s v="User Not Mapped"/>
    <n v="452467"/>
    <s v="Kuruna Kali Adhikari"/>
    <s v="Private Retailer"/>
    <s v="9153664004"/>
    <n v="2.218"/>
    <n v="1274"/>
    <x v="2"/>
    <m/>
    <s v="2022-10-24"/>
    <s v="261556"/>
    <s v="Bankim Chandra Makur"/>
    <s v="9434520840"/>
  </r>
  <r>
    <s v="RCF Trombay"/>
    <s v="N.C.Urea(45kg)"/>
    <s v="WB"/>
    <x v="3"/>
    <s v="Vishnupur"/>
    <s v="User Not Mapped"/>
    <s v="User Not Mapped"/>
    <s v="User Not Mapped"/>
    <n v="602783"/>
    <s v="Lakshman Saini"/>
    <s v="Private Retailer"/>
    <s v="8436682264"/>
    <n v="0.09"/>
    <n v="1626"/>
    <x v="2"/>
    <m/>
    <s v="2021-11-06"/>
    <s v="261556"/>
    <s v="Bankim Chandra Makur"/>
    <s v="9434520840"/>
  </r>
  <r>
    <s v="RCF Trombay"/>
    <s v="15-15-15"/>
    <s v="WB"/>
    <x v="3"/>
    <s v="Vishnupur"/>
    <s v="User Not Mapped"/>
    <s v="User Not Mapped"/>
    <s v="User Not Mapped"/>
    <n v="452631"/>
    <s v="Madhusudan Mondal"/>
    <s v="Private Retailer"/>
    <s v="7797871214"/>
    <n v="7.6"/>
    <n v="124"/>
    <x v="4"/>
    <m/>
    <s v="2025-12-17"/>
    <s v="261556"/>
    <s v="Bankim Chandra Makur"/>
    <s v="9434520840"/>
  </r>
  <r>
    <s v="RCF Trombay"/>
    <s v="15-15-15"/>
    <s v="WB"/>
    <x v="3"/>
    <s v="Saltora"/>
    <s v="User Not Mapped"/>
    <s v="User Not Mapped"/>
    <s v="User Not Mapped"/>
    <n v="475837"/>
    <s v="Mahananda Gorain"/>
    <s v="Private Retailer"/>
    <s v="9635076763"/>
    <n v="0.5"/>
    <n v="335"/>
    <x v="1"/>
    <m/>
    <s v="2025-05-20"/>
    <s v="261556"/>
    <s v="Bankim Chandra Makur"/>
    <s v="9434520840"/>
  </r>
  <r>
    <s v="RCF Import"/>
    <s v="Imp 10-26-26"/>
    <s v="WB"/>
    <x v="3"/>
    <s v="Vishnupur"/>
    <s v="User Not Mapped"/>
    <s v="User Not Mapped"/>
    <s v="User Not Mapped"/>
    <n v="648738"/>
    <s v="Mitali Ghosh"/>
    <s v="Private Retailer"/>
    <s v="9609646148"/>
    <n v="5.25"/>
    <n v="54"/>
    <x v="3"/>
    <m/>
    <s v="2026-02-25"/>
    <s v="261556"/>
    <s v="Bankim Chandra Makur"/>
    <s v="9434520840"/>
  </r>
  <r>
    <s v="RCF Import"/>
    <s v="Imp 10-26-26"/>
    <s v="WB"/>
    <x v="3"/>
    <s v="Jaypur"/>
    <s v="User Not Mapped"/>
    <s v="User Not Mapped"/>
    <s v="User Not Mapped"/>
    <n v="1056693"/>
    <s v="NABAKUMAR KUNDU"/>
    <s v="Private Retailer"/>
    <s v="9732550919"/>
    <n v="6"/>
    <n v="54"/>
    <x v="3"/>
    <m/>
    <s v="2026-02-25"/>
    <s v="261556"/>
    <s v="Bankim Chandra Makur"/>
    <s v="9434520840"/>
  </r>
  <r>
    <s v="RCF Thal"/>
    <s v="N.C.Urea(45kg)"/>
    <s v="WB"/>
    <x v="3"/>
    <s v="Jaypur"/>
    <s v="User Not Mapped"/>
    <s v="User Not Mapped"/>
    <s v="User Not Mapped"/>
    <n v="1056693"/>
    <s v="NABAKUMAR KUNDU"/>
    <s v="Private Retailer"/>
    <s v="9732550919"/>
    <n v="0.13500000000000001"/>
    <n v="67"/>
    <x v="6"/>
    <m/>
    <s v="2026-02-12"/>
    <s v="261556"/>
    <s v="Bankim Chandra Makur"/>
    <s v="9434520840"/>
  </r>
  <r>
    <s v="RCF Trombay"/>
    <s v="15-15-15"/>
    <s v="WB"/>
    <x v="3"/>
    <s v="Taldangra"/>
    <s v="User Not Mapped"/>
    <s v="User Not Mapped"/>
    <s v="User Not Mapped"/>
    <n v="1008630"/>
    <s v="NARU GOPAL MANDAL"/>
    <s v="Private Retailer"/>
    <s v="8250734075"/>
    <n v="2.0499999999999998"/>
    <n v="257"/>
    <x v="1"/>
    <m/>
    <s v="2025-08-06"/>
    <s v="261556"/>
    <s v="Bankim Chandra Makur"/>
    <s v="9434520840"/>
  </r>
  <r>
    <s v="RCF Thal"/>
    <s v="N.C.Urea(45kg)"/>
    <s v="WB"/>
    <x v="3"/>
    <s v="Taldangra"/>
    <s v="User Not Mapped"/>
    <s v="User Not Mapped"/>
    <s v="User Not Mapped"/>
    <n v="1008630"/>
    <s v="NARU GOPAL MANDAL"/>
    <s v="Private Retailer"/>
    <s v="8250734075"/>
    <n v="1.08"/>
    <n v="168"/>
    <x v="4"/>
    <m/>
    <s v="2025-11-03"/>
    <s v="261556"/>
    <s v="Bankim Chandra Makur"/>
    <s v="9434520840"/>
  </r>
  <r>
    <s v="RCF Import"/>
    <s v="Imp 10-26-26"/>
    <s v="WB"/>
    <x v="3"/>
    <s v="Taldangra"/>
    <s v="User Not Mapped"/>
    <s v="User Not Mapped"/>
    <s v="User Not Mapped"/>
    <n v="1008630"/>
    <s v="NARU GOPAL MANDAL"/>
    <s v="Private Retailer"/>
    <s v="8250734075"/>
    <n v="2.7"/>
    <n v="241"/>
    <x v="1"/>
    <m/>
    <s v="2025-08-22"/>
    <s v="261556"/>
    <s v="Bankim Chandra Makur"/>
    <s v="9434520840"/>
  </r>
  <r>
    <s v="RCF Trombay"/>
    <s v="N.C.Urea(45kg)"/>
    <s v="WB"/>
    <x v="3"/>
    <s v="Taldangra"/>
    <s v="User Not Mapped"/>
    <s v="User Not Mapped"/>
    <s v="User Not Mapped"/>
    <n v="1008630"/>
    <s v="NARU GOPAL MANDAL"/>
    <s v="Private Retailer"/>
    <s v="8250734075"/>
    <n v="2.5649999999999999"/>
    <n v="258"/>
    <x v="1"/>
    <m/>
    <s v="2025-08-05"/>
    <s v="261556"/>
    <s v="Bankim Chandra Makur"/>
    <s v="9434520840"/>
  </r>
  <r>
    <s v="RCF Thal"/>
    <s v="N.C.Urea(45kg)"/>
    <s v="WB"/>
    <x v="3"/>
    <s v="Onda"/>
    <s v="User Not Mapped"/>
    <s v="User Not Mapped"/>
    <s v="User Not Mapped"/>
    <n v="877230"/>
    <s v="Netai Chandra Pal"/>
    <s v="Private Retailer"/>
    <s v="9735625484"/>
    <n v="0.40500000000000003"/>
    <n v="168"/>
    <x v="4"/>
    <m/>
    <s v="2025-11-03"/>
    <s v="261556"/>
    <s v="Bankim Chandra Makur"/>
    <s v="9434520840"/>
  </r>
  <r>
    <s v="RCF Trombay"/>
    <s v="N.C.Urea(45kg)"/>
    <s v="WB"/>
    <x v="3"/>
    <s v="Onda"/>
    <s v="User Not Mapped"/>
    <s v="User Not Mapped"/>
    <s v="User Not Mapped"/>
    <n v="877230"/>
    <s v="Netai Chandra Pal"/>
    <s v="Private Retailer"/>
    <s v="9735625484"/>
    <n v="6.2549999999999999"/>
    <n v="124"/>
    <x v="4"/>
    <m/>
    <s v="2025-12-17"/>
    <s v="261556"/>
    <s v="Bankim Chandra Makur"/>
    <s v="9434520840"/>
  </r>
  <r>
    <s v="RCF Trombay"/>
    <s v="N.C.Urea(45kg)"/>
    <s v="WB"/>
    <x v="3"/>
    <s v="Onda"/>
    <s v="User Not Mapped"/>
    <s v="User Not Mapped"/>
    <s v="User Not Mapped"/>
    <n v="640621"/>
    <s v="NUR ALAM MANDAL"/>
    <s v="Private Retailer"/>
    <s v="7908351982"/>
    <n v="0.18"/>
    <n v="258"/>
    <x v="1"/>
    <m/>
    <s v="2025-08-05"/>
    <s v="261556"/>
    <s v="Bankim Chandra Makur"/>
    <s v="9434520840"/>
  </r>
  <r>
    <s v="RCF Thal"/>
    <s v="N.C.Urea(45kg)"/>
    <s v="WB"/>
    <x v="3"/>
    <s v="Taldangra"/>
    <s v="User Not Mapped"/>
    <s v="User Not Mapped"/>
    <s v="User Not Mapped"/>
    <n v="459614"/>
    <s v="Paresh Nath Patra"/>
    <s v="Private Retailer"/>
    <s v="8250843858"/>
    <n v="4.8150000000000004"/>
    <n v="168"/>
    <x v="4"/>
    <m/>
    <s v="2025-11-03"/>
    <s v="261556"/>
    <s v="Bankim Chandra Makur"/>
    <s v="9434520840"/>
  </r>
  <r>
    <s v="RCF Thal"/>
    <s v="N.C.Urea(45kg)"/>
    <s v="WB"/>
    <x v="3"/>
    <m/>
    <s v="User Not Mapped"/>
    <s v="User Not Mapped"/>
    <s v="User Not Mapped"/>
    <n v="242736"/>
    <s v="Pradip Sukul"/>
    <s v="Private Retailer"/>
    <s v="9800129330"/>
    <n v="0.85499999999999998"/>
    <n v="67"/>
    <x v="6"/>
    <m/>
    <s v="2026-02-12"/>
    <s v="261556"/>
    <s v="Bankim Chandra Makur"/>
    <s v="9434520840"/>
  </r>
  <r>
    <s v="RCF Trombay"/>
    <s v="N.C.Urea(45kg)"/>
    <s v="WB"/>
    <x v="3"/>
    <s v="Indpur"/>
    <s v="User Not Mapped"/>
    <s v="User Not Mapped"/>
    <s v="User Not Mapped"/>
    <n v="1028749"/>
    <s v="PRATAP MUKHERJEE"/>
    <s v="Private Retailer"/>
    <s v="8016981853"/>
    <n v="0.09"/>
    <n v="258"/>
    <x v="1"/>
    <m/>
    <s v="2025-08-05"/>
    <s v="261556"/>
    <s v="Bankim Chandra Makur"/>
    <s v="9434520840"/>
  </r>
  <r>
    <s v="RCF Trombay"/>
    <s v="15-15-15"/>
    <s v="WB"/>
    <x v="3"/>
    <s v="Simlapal"/>
    <s v="User Not Mapped"/>
    <s v="User Not Mapped"/>
    <s v="User Not Mapped"/>
    <n v="452425"/>
    <s v="Rabindranath Laha"/>
    <s v="Private Retailer"/>
    <s v="9153471557"/>
    <n v="1.95"/>
    <n v="124"/>
    <x v="4"/>
    <m/>
    <s v="2025-12-17"/>
    <s v="261556"/>
    <s v="Bankim Chandra Makur"/>
    <s v="9434520840"/>
  </r>
  <r>
    <s v="RCF Thal"/>
    <s v="N.C.Urea(45kg)"/>
    <s v="WB"/>
    <x v="3"/>
    <s v="Kotulpur"/>
    <s v="User Not Mapped"/>
    <s v="User Not Mapped"/>
    <s v="User Not Mapped"/>
    <n v="797126"/>
    <s v="RAMA GHOSH"/>
    <s v="Private Retailer"/>
    <s v="7407495216"/>
    <n v="5.49"/>
    <n v="476"/>
    <x v="0"/>
    <m/>
    <s v="2024-12-30"/>
    <s v="261556"/>
    <s v="Bankim Chandra Makur"/>
    <s v="9434520840"/>
  </r>
  <r>
    <s v="RCF Trombay"/>
    <s v="N.C.Urea(45kg)"/>
    <s v="WB"/>
    <x v="3"/>
    <s v="Kotulpur"/>
    <s v="User Not Mapped"/>
    <s v="User Not Mapped"/>
    <s v="User Not Mapped"/>
    <n v="797126"/>
    <s v="RAMA GHOSH"/>
    <s v="Private Retailer"/>
    <s v="7407495216"/>
    <n v="3.645"/>
    <n v="463"/>
    <x v="0"/>
    <m/>
    <s v="2025-01-12"/>
    <s v="261556"/>
    <s v="Bankim Chandra Makur"/>
    <s v="9434520840"/>
  </r>
  <r>
    <s v="RCF Thal"/>
    <s v="N.C.Urea(45kg)"/>
    <s v="WB"/>
    <x v="3"/>
    <s v="Taldangra"/>
    <s v="User Not Mapped"/>
    <s v="User Not Mapped"/>
    <s v="User Not Mapped"/>
    <n v="398081"/>
    <s v="Ramprasad Singha Mahapatra"/>
    <s v="Private Retailer"/>
    <s v="9732081908"/>
    <n v="18.465"/>
    <n v="168"/>
    <x v="4"/>
    <m/>
    <s v="2025-11-03"/>
    <s v="261556"/>
    <s v="Bankim Chandra Makur"/>
    <s v="9434520840"/>
  </r>
  <r>
    <s v="RCF Trombay"/>
    <s v="N.C.Urea(45kg)"/>
    <s v="WB"/>
    <x v="3"/>
    <s v="Taldangra"/>
    <s v="User Not Mapped"/>
    <s v="User Not Mapped"/>
    <s v="User Not Mapped"/>
    <n v="398081"/>
    <s v="Ramprasad Singha Mahapatra"/>
    <s v="Private Retailer"/>
    <s v="9732081908"/>
    <n v="9.1920000000000002"/>
    <n v="258"/>
    <x v="1"/>
    <m/>
    <s v="2025-08-05"/>
    <s v="261556"/>
    <s v="Bankim Chandra Makur"/>
    <s v="9434520840"/>
  </r>
  <r>
    <s v="RCF Trombay"/>
    <s v="N.C.Urea(45kg)"/>
    <s v="WB"/>
    <x v="3"/>
    <s v="Taldangra"/>
    <s v="User Not Mapped"/>
    <s v="User Not Mapped"/>
    <s v="User Not Mapped"/>
    <n v="398081"/>
    <s v="Ramprasad Singha Mahapatra"/>
    <s v="Private Retailer"/>
    <s v="9732081908"/>
    <n v="5.9850000000000003"/>
    <n v="210"/>
    <x v="1"/>
    <m/>
    <s v="2025-09-22"/>
    <s v="261556"/>
    <s v="Bankim Chandra Makur"/>
    <s v="9434520840"/>
  </r>
  <r>
    <s v="RCF Trombay"/>
    <s v="15-15-15"/>
    <s v="WB"/>
    <x v="3"/>
    <s v="Vishnupur"/>
    <s v="User Not Mapped"/>
    <s v="User Not Mapped"/>
    <s v="User Not Mapped"/>
    <n v="1073396"/>
    <s v="SANTINATH GHOSH"/>
    <s v="Private Retailer"/>
    <s v="9609560241"/>
    <n v="0.8"/>
    <n v="257"/>
    <x v="1"/>
    <m/>
    <s v="2025-08-06"/>
    <s v="261556"/>
    <s v="Bankim Chandra Makur"/>
    <s v="9434520840"/>
  </r>
  <r>
    <s v="RCF Trombay"/>
    <s v="N.C.Urea(45kg)"/>
    <s v="WB"/>
    <x v="3"/>
    <s v="Vishnupur"/>
    <s v="User Not Mapped"/>
    <s v="User Not Mapped"/>
    <s v="User Not Mapped"/>
    <n v="452547"/>
    <s v="Sasti Giri"/>
    <s v="Private Retailer"/>
    <s v="8145114227"/>
    <n v="3.2"/>
    <n v="258"/>
    <x v="1"/>
    <m/>
    <s v="2025-08-05"/>
    <s v="261556"/>
    <s v="Bankim Chandra Makur"/>
    <s v="9434520840"/>
  </r>
  <r>
    <s v="RCF Trombay"/>
    <s v="N.C.Urea(45kg)"/>
    <s v="WB"/>
    <x v="3"/>
    <s v="Taldangra"/>
    <s v="User Not Mapped"/>
    <s v="User Not Mapped"/>
    <s v="User Not Mapped"/>
    <n v="462625"/>
    <s v="Smt. Angur Pal"/>
    <s v="Private Retailer"/>
    <s v="9734278345"/>
    <n v="5.9850000000000003"/>
    <n v="124"/>
    <x v="4"/>
    <m/>
    <s v="2025-12-17"/>
    <s v="261556"/>
    <s v="Bankim Chandra Makur"/>
    <s v="9434520840"/>
  </r>
  <r>
    <s v="RCF Trombay"/>
    <s v="15-15-15"/>
    <s v="WB"/>
    <x v="3"/>
    <s v="Taldangra"/>
    <s v="User Not Mapped"/>
    <s v="User Not Mapped"/>
    <s v="User Not Mapped"/>
    <n v="462625"/>
    <s v="Smt. Angur Pal"/>
    <s v="Private Retailer"/>
    <s v="9734278345"/>
    <n v="4.25"/>
    <n v="124"/>
    <x v="4"/>
    <m/>
    <s v="2025-12-17"/>
    <s v="261556"/>
    <s v="Bankim Chandra Makur"/>
    <s v="9434520840"/>
  </r>
  <r>
    <s v="RCF Thal"/>
    <s v="N.C.Urea(45kg)"/>
    <s v="WB"/>
    <x v="3"/>
    <s v="Taldangra"/>
    <s v="User Not Mapped"/>
    <s v="User Not Mapped"/>
    <s v="User Not Mapped"/>
    <n v="462625"/>
    <s v="Smt. Angur Pal"/>
    <s v="Private Retailer"/>
    <s v="9734278345"/>
    <n v="0.04"/>
    <n v="168"/>
    <x v="4"/>
    <m/>
    <s v="2025-11-03"/>
    <s v="261556"/>
    <s v="Bankim Chandra Makur"/>
    <s v="9434520840"/>
  </r>
  <r>
    <s v="RCF Import"/>
    <s v="Imp 10-26-26"/>
    <s v="WB"/>
    <x v="3"/>
    <s v="Taldangra"/>
    <s v="User Not Mapped"/>
    <s v="User Not Mapped"/>
    <s v="User Not Mapped"/>
    <n v="462625"/>
    <s v="Smt. Angur Pal"/>
    <s v="Private Retailer"/>
    <s v="9734278345"/>
    <n v="6"/>
    <n v="54"/>
    <x v="3"/>
    <m/>
    <s v="2026-02-25"/>
    <s v="261556"/>
    <s v="Bankim Chandra Makur"/>
    <s v="9434520840"/>
  </r>
  <r>
    <s v="RCF Trombay"/>
    <s v="N.C.Urea(45kg)"/>
    <s v="WB"/>
    <x v="3"/>
    <s v="Taldangra"/>
    <s v="User Not Mapped"/>
    <s v="User Not Mapped"/>
    <s v="User Not Mapped"/>
    <n v="462625"/>
    <s v="Smt. Angur Pal"/>
    <s v="Private Retailer"/>
    <s v="9734278345"/>
    <n v="3.915"/>
    <n v="562"/>
    <x v="2"/>
    <m/>
    <s v="2024-10-05"/>
    <s v="261556"/>
    <s v="Bankim Chandra Makur"/>
    <s v="9434520840"/>
  </r>
  <r>
    <s v="RCF Thal"/>
    <s v="N.C.Urea(45kg)"/>
    <s v="WB"/>
    <x v="3"/>
    <s v="Onda"/>
    <s v="User Not Mapped"/>
    <s v="User Not Mapped"/>
    <s v="User Not Mapped"/>
    <n v="536182"/>
    <s v="Subhendu Mondal"/>
    <s v="Private Retailer"/>
    <s v="9735227801"/>
    <n v="13.5"/>
    <n v="168"/>
    <x v="4"/>
    <m/>
    <s v="2025-11-03"/>
    <s v="261556"/>
    <s v="Bankim Chandra Makur"/>
    <s v="9434520840"/>
  </r>
  <r>
    <s v="RCF Trombay"/>
    <s v="15-15-15"/>
    <s v="WB"/>
    <x v="3"/>
    <s v="Onda"/>
    <s v="User Not Mapped"/>
    <s v="User Not Mapped"/>
    <s v="User Not Mapped"/>
    <n v="536182"/>
    <s v="Subhendu Mondal"/>
    <s v="Private Retailer"/>
    <s v="9735227801"/>
    <n v="4.1500000000000004"/>
    <n v="124"/>
    <x v="4"/>
    <m/>
    <s v="2025-12-17"/>
    <s v="261556"/>
    <s v="Bankim Chandra Makur"/>
    <s v="9434520840"/>
  </r>
  <r>
    <s v="RCF Trombay"/>
    <s v="N.C.Urea(45kg)"/>
    <s v="WB"/>
    <x v="3"/>
    <s v="Onda"/>
    <s v="User Not Mapped"/>
    <s v="User Not Mapped"/>
    <s v="User Not Mapped"/>
    <n v="536182"/>
    <s v="Subhendu Mondal"/>
    <s v="Private Retailer"/>
    <s v="9735227801"/>
    <n v="6.4349999999999996"/>
    <n v="124"/>
    <x v="4"/>
    <m/>
    <s v="2025-12-17"/>
    <s v="261556"/>
    <s v="Bankim Chandra Makur"/>
    <s v="9434520840"/>
  </r>
  <r>
    <s v="RCF Thal"/>
    <s v="N.C.Urea(45kg)"/>
    <s v="WB"/>
    <x v="3"/>
    <s v="Onda"/>
    <s v="User Not Mapped"/>
    <s v="User Not Mapped"/>
    <s v="User Not Mapped"/>
    <n v="536182"/>
    <s v="Subhendu Mondal"/>
    <s v="Private Retailer"/>
    <s v="9735227801"/>
    <n v="3.69"/>
    <n v="248"/>
    <x v="1"/>
    <m/>
    <s v="2025-08-15"/>
    <s v="261556"/>
    <s v="Bankim Chandra Makur"/>
    <s v="9434520840"/>
  </r>
  <r>
    <s v="RCF Trombay"/>
    <s v="15-15-15"/>
    <s v="WB"/>
    <x v="3"/>
    <s v="Onda"/>
    <s v="User Not Mapped"/>
    <s v="User Not Mapped"/>
    <s v="User Not Mapped"/>
    <n v="612034"/>
    <s v="SUBIR CHAKRABORTY"/>
    <s v="Private Retailer"/>
    <s v="8918970509"/>
    <n v="0.75"/>
    <n v="258"/>
    <x v="1"/>
    <m/>
    <s v="2025-08-05"/>
    <s v="261556"/>
    <s v="Bankim Chandra Makur"/>
    <s v="9434520840"/>
  </r>
  <r>
    <s v="RCF Thal"/>
    <s v="N.C.Urea(45kg)"/>
    <s v="WB"/>
    <x v="3"/>
    <s v="Onda"/>
    <s v="User Not Mapped"/>
    <s v="User Not Mapped"/>
    <s v="User Not Mapped"/>
    <n v="612034"/>
    <s v="SUBIR CHAKRABORTY"/>
    <s v="Private Retailer"/>
    <s v="8918970509"/>
    <n v="3.1949999999999998"/>
    <n v="248"/>
    <x v="1"/>
    <m/>
    <s v="2025-08-15"/>
    <s v="261556"/>
    <s v="Bankim Chandra Makur"/>
    <s v="9434520840"/>
  </r>
  <r>
    <s v="RCF Thal"/>
    <s v="N.C.Urea(45kg)"/>
    <s v="WB"/>
    <x v="3"/>
    <s v="Onda"/>
    <s v="User Not Mapped"/>
    <s v="User Not Mapped"/>
    <s v="User Not Mapped"/>
    <n v="498528"/>
    <s v="Sujoy Kumar Sen"/>
    <s v="Private Retailer"/>
    <s v="9564813985"/>
    <n v="0.60299999999999998"/>
    <n v="248"/>
    <x v="1"/>
    <m/>
    <s v="2025-08-15"/>
    <s v="261556"/>
    <s v="Bankim Chandra Makur"/>
    <s v="9434520840"/>
  </r>
  <r>
    <s v="RCF Trombay"/>
    <s v="15-15-15"/>
    <s v="WB"/>
    <x v="3"/>
    <s v="Taldangra"/>
    <s v="User Not Mapped"/>
    <s v="User Not Mapped"/>
    <s v="User Not Mapped"/>
    <n v="242785"/>
    <s v="Susanta Dey"/>
    <s v="Private Retailer"/>
    <s v="9474735576"/>
    <n v="3"/>
    <n v="124"/>
    <x v="4"/>
    <m/>
    <s v="2025-12-17"/>
    <s v="261556"/>
    <s v="Bankim Chandra Makur"/>
    <s v="9434520840"/>
  </r>
  <r>
    <s v="RCF Thal"/>
    <s v="N.C.Urea(45kg)"/>
    <s v="WB"/>
    <x v="3"/>
    <s v="Taldangra"/>
    <s v="User Not Mapped"/>
    <s v="User Not Mapped"/>
    <s v="User Not Mapped"/>
    <n v="459644"/>
    <s v="Susanta Patra"/>
    <s v="Private Retailer"/>
    <s v="6296379263"/>
    <n v="5.49"/>
    <n v="67"/>
    <x v="6"/>
    <m/>
    <s v="2026-02-12"/>
    <s v="261556"/>
    <s v="Bankim Chandra Makur"/>
    <s v="9434520840"/>
  </r>
  <r>
    <s v="RCF Import"/>
    <s v="Imp 10-26-26"/>
    <s v="WB"/>
    <x v="3"/>
    <s v="Taldangra"/>
    <s v="User Not Mapped"/>
    <s v="User Not Mapped"/>
    <s v="User Not Mapped"/>
    <n v="459644"/>
    <s v="Susanta Patra"/>
    <s v="Private Retailer"/>
    <s v="6296379263"/>
    <n v="3.3"/>
    <n v="241"/>
    <x v="1"/>
    <m/>
    <s v="2025-08-22"/>
    <s v="261556"/>
    <s v="Bankim Chandra Makur"/>
    <s v="9434520840"/>
  </r>
  <r>
    <s v="RCF Trombay"/>
    <s v="15-15-15"/>
    <s v="WB"/>
    <x v="3"/>
    <s v="Taldangra"/>
    <s v="User Not Mapped"/>
    <s v="User Not Mapped"/>
    <s v="User Not Mapped"/>
    <n v="459644"/>
    <s v="Susanta Patra"/>
    <s v="Private Retailer"/>
    <s v="6296379263"/>
    <n v="3.65"/>
    <n v="124"/>
    <x v="4"/>
    <m/>
    <s v="2025-12-17"/>
    <s v="261556"/>
    <s v="Bankim Chandra Makur"/>
    <s v="9434520840"/>
  </r>
  <r>
    <s v="RCF Trombay"/>
    <s v="N.C.Urea(45kg)"/>
    <s v="WB"/>
    <x v="3"/>
    <s v="Taldangra"/>
    <s v="User Not Mapped"/>
    <s v="User Not Mapped"/>
    <s v="User Not Mapped"/>
    <n v="459644"/>
    <s v="Susanta Patra"/>
    <s v="Private Retailer"/>
    <s v="6296379263"/>
    <n v="4.9950000000000001"/>
    <n v="124"/>
    <x v="4"/>
    <m/>
    <s v="2025-12-17"/>
    <s v="261556"/>
    <s v="Bankim Chandra Makur"/>
    <s v="9434520840"/>
  </r>
  <r>
    <s v="RCF Import"/>
    <s v="Imp 10-26-26"/>
    <s v="WB"/>
    <x v="3"/>
    <s v="Vishnupur"/>
    <s v="User Not Mapped"/>
    <s v="User Not Mapped"/>
    <s v="User Not Mapped"/>
    <n v="242787"/>
    <s v="Swapan Sannigrahi"/>
    <s v="Private Retailer"/>
    <s v="8145902912"/>
    <n v="4.8499999999999996"/>
    <n v="54"/>
    <x v="3"/>
    <m/>
    <s v="2026-02-25"/>
    <s v="261556"/>
    <s v="Bankim Chandra Makur"/>
    <s v="9434520840"/>
  </r>
  <r>
    <s v="RCF Trombay"/>
    <s v="15-15-15"/>
    <s v="WB"/>
    <x v="3"/>
    <s v="Vishnupur"/>
    <s v="User Not Mapped"/>
    <s v="User Not Mapped"/>
    <s v="User Not Mapped"/>
    <n v="242787"/>
    <s v="Swapan Sannigrahi"/>
    <s v="Private Retailer"/>
    <s v="8145902912"/>
    <n v="2.1"/>
    <n v="124"/>
    <x v="4"/>
    <m/>
    <s v="2025-12-17"/>
    <s v="261556"/>
    <s v="Bankim Chandra Makur"/>
    <s v="9434520840"/>
  </r>
  <r>
    <s v="RCF Thal"/>
    <s v="N.C.Urea(45kg)"/>
    <s v="WB"/>
    <x v="3"/>
    <s v="Vishnupur"/>
    <s v="User Not Mapped"/>
    <s v="User Not Mapped"/>
    <s v="User Not Mapped"/>
    <n v="242787"/>
    <s v="Swapan Sannigrahi"/>
    <s v="Private Retailer"/>
    <s v="8145902912"/>
    <n v="4.2300000000000004"/>
    <n v="67"/>
    <x v="6"/>
    <m/>
    <s v="2026-02-12"/>
    <s v="261556"/>
    <s v="Bankim Chandra Makur"/>
    <s v="9434520840"/>
  </r>
  <r>
    <s v="RCF Thal"/>
    <s v="N.C.Urea(45kg)"/>
    <s v="WB"/>
    <x v="3"/>
    <s v="Vishnupur"/>
    <s v="User Not Mapped"/>
    <s v="User Not Mapped"/>
    <s v="User Not Mapped"/>
    <n v="1056763"/>
    <s v="SWARAJ BANERJEE"/>
    <s v="Private Retailer"/>
    <s v="7602718538"/>
    <n v="11.34"/>
    <n v="67"/>
    <x v="6"/>
    <m/>
    <s v="2026-02-12"/>
    <s v="261556"/>
    <s v="Bankim Chandra Makur"/>
    <s v="9434520840"/>
  </r>
  <r>
    <s v="RCF Thal"/>
    <s v="N.C.Urea(45kg)"/>
    <s v="WB"/>
    <x v="3"/>
    <s v="Vishnupur"/>
    <s v="User Not Mapped"/>
    <s v="User Not Mapped"/>
    <s v="User Not Mapped"/>
    <n v="353688"/>
    <s v="Tapan Kolay"/>
    <s v="Private Retailer"/>
    <s v="9732085120"/>
    <n v="3.24"/>
    <n v="168"/>
    <x v="4"/>
    <m/>
    <s v="2025-11-03"/>
    <s v="261556"/>
    <s v="Bankim Chandra Makur"/>
    <s v="9434520840"/>
  </r>
  <r>
    <s v="RCF Trombay"/>
    <s v="N.C.Urea(45kg)"/>
    <s v="WB"/>
    <x v="3"/>
    <s v="Vishnupur"/>
    <s v="User Not Mapped"/>
    <s v="User Not Mapped"/>
    <s v="User Not Mapped"/>
    <n v="353688"/>
    <s v="Tapan Kolay"/>
    <s v="Private Retailer"/>
    <s v="9732085120"/>
    <n v="4.4999999999999998E-2"/>
    <n v="258"/>
    <x v="1"/>
    <m/>
    <s v="2025-08-05"/>
    <s v="261556"/>
    <s v="Bankim Chandra Makur"/>
    <s v="9434520840"/>
  </r>
  <r>
    <s v="RCF Trombay"/>
    <s v="15-15-15"/>
    <s v="WB"/>
    <x v="3"/>
    <s v="Vishnupur"/>
    <s v="User Not Mapped"/>
    <s v="User Not Mapped"/>
    <s v="User Not Mapped"/>
    <n v="353688"/>
    <s v="Tapan Kolay"/>
    <s v="Private Retailer"/>
    <s v="9732085120"/>
    <n v="0.15"/>
    <n v="210"/>
    <x v="1"/>
    <m/>
    <s v="2025-09-22"/>
    <s v="261556"/>
    <s v="Bankim Chandra Makur"/>
    <s v="9434520840"/>
  </r>
  <r>
    <s v="RCF Import"/>
    <s v="Imp 10-26-26"/>
    <s v="WB"/>
    <x v="3"/>
    <s v="Vishnupur"/>
    <s v="User Not Mapped"/>
    <s v="User Not Mapped"/>
    <s v="User Not Mapped"/>
    <n v="353688"/>
    <s v="Tapan Kolay"/>
    <s v="Private Retailer"/>
    <s v="9732085120"/>
    <n v="6"/>
    <n v="54"/>
    <x v="3"/>
    <m/>
    <s v="2026-02-25"/>
    <s v="261556"/>
    <s v="Bankim Chandra Makur"/>
    <s v="9434520840"/>
  </r>
  <r>
    <s v="RCF Trombay"/>
    <s v="15-15-15"/>
    <s v="WB"/>
    <x v="3"/>
    <m/>
    <s v="User Not Mapped"/>
    <s v="User Not Mapped"/>
    <s v="User Not Mapped"/>
    <n v="323428"/>
    <s v="Tulsi Das Konar"/>
    <s v="Private Retailer"/>
    <s v="9434528367"/>
    <n v="2"/>
    <n v="257"/>
    <x v="1"/>
    <m/>
    <s v="2025-08-06"/>
    <s v="261556"/>
    <s v="Bankim Chandra Makur"/>
    <s v="9434520840"/>
  </r>
  <r>
    <s v="RCF Thal"/>
    <s v="N.C.Urea(45kg)"/>
    <s v="WB"/>
    <x v="3"/>
    <s v="Sonamukhi"/>
    <s v="User Not Mapped"/>
    <s v="User Not Mapped"/>
    <s v="User Not Mapped"/>
    <n v="452459"/>
    <s v="Tulsi Saw"/>
    <s v="Private Retailer"/>
    <s v="6295311458"/>
    <n v="4.2300000000000004"/>
    <n v="168"/>
    <x v="4"/>
    <m/>
    <s v="2025-11-03"/>
    <s v="261556"/>
    <s v="Bankim Chandra Makur"/>
    <s v="9434520840"/>
  </r>
  <r>
    <s v="RCF Thal"/>
    <s v="N.C.Urea(45kg)"/>
    <s v="WB"/>
    <x v="3"/>
    <s v="Sonamukhi"/>
    <s v="User Not Mapped"/>
    <s v="User Not Mapped"/>
    <s v="User Not Mapped"/>
    <n v="452459"/>
    <s v="Tulsi Saw"/>
    <s v="Private Retailer"/>
    <s v="6295311458"/>
    <n v="11.97"/>
    <n v="67"/>
    <x v="6"/>
    <m/>
    <s v="2026-02-12"/>
    <s v="261556"/>
    <s v="Bankim Chandra Makur"/>
    <s v="9434520840"/>
  </r>
  <r>
    <s v="RCF Trombay"/>
    <s v="N.C.Urea(45kg)"/>
    <s v="WB"/>
    <x v="3"/>
    <s v="Taldangra"/>
    <s v="User Not Mapped"/>
    <s v="User Not Mapped"/>
    <s v="User Not Mapped"/>
    <n v="531822"/>
    <s v="Uttam Kumar Chattopadhyay"/>
    <s v="Private Retailer"/>
    <s v="6295046448"/>
    <n v="0.02"/>
    <n v="123"/>
    <x v="4"/>
    <m/>
    <s v="2025-12-18"/>
    <s v="261556"/>
    <s v="Bankim Chandra Makur"/>
    <s v="9434520840"/>
  </r>
  <r>
    <s v="RCF Trombay"/>
    <s v="15-15-15"/>
    <s v="WB"/>
    <x v="3"/>
    <s v="Taldangra"/>
    <s v="User Not Mapped"/>
    <s v="User Not Mapped"/>
    <s v="User Not Mapped"/>
    <n v="531822"/>
    <s v="Uttam Kumar Chattopadhyay"/>
    <s v="Private Retailer"/>
    <s v="6295046448"/>
    <n v="0.25"/>
    <n v="258"/>
    <x v="1"/>
    <m/>
    <s v="2025-08-05"/>
    <s v="261556"/>
    <s v="Bankim Chandra Makur"/>
    <s v="9434520840"/>
  </r>
  <r>
    <s v="RCF Trombay"/>
    <s v="15-15-15"/>
    <s v="WB"/>
    <x v="3"/>
    <s v="Taldangra"/>
    <s v="User Not Mapped"/>
    <s v="User Not Mapped"/>
    <s v="User Not Mapped"/>
    <n v="393071"/>
    <s v="Uttam Kumar Nayak"/>
    <s v="Private Retailer"/>
    <s v="9735804635"/>
    <n v="2.85"/>
    <n v="124"/>
    <x v="4"/>
    <m/>
    <s v="2025-12-17"/>
    <s v="261556"/>
    <s v="Bankim Chandra Makur"/>
    <s v="9434520840"/>
  </r>
  <r>
    <s v="RCF Import"/>
    <s v="Imp 10-26-26"/>
    <s v="WB"/>
    <x v="3"/>
    <s v="Taldangra"/>
    <s v="User Not Mapped"/>
    <s v="User Not Mapped"/>
    <s v="User Not Mapped"/>
    <n v="393071"/>
    <s v="Uttam Kumar Nayak"/>
    <s v="Private Retailer"/>
    <s v="9735804635"/>
    <n v="4.1500000000000004"/>
    <n v="241"/>
    <x v="1"/>
    <m/>
    <s v="2025-08-22"/>
    <s v="261556"/>
    <s v="Bankim Chandra Makur"/>
    <s v="9434520840"/>
  </r>
  <r>
    <s v="RCF Trombay"/>
    <s v="N.C.Urea(45kg)"/>
    <s v="WB"/>
    <x v="3"/>
    <s v="Taldangra"/>
    <s v="User Not Mapped"/>
    <s v="User Not Mapped"/>
    <s v="User Not Mapped"/>
    <n v="463407"/>
    <s v="Yeasin Ali Mondal"/>
    <s v="Private Retailer"/>
    <s v="7864072215"/>
    <n v="2.6549999999999998"/>
    <n v="258"/>
    <x v="1"/>
    <m/>
    <s v="2025-08-05"/>
    <s v="261556"/>
    <s v="Bankim Chandra Makur"/>
    <s v="9434520840"/>
  </r>
  <r>
    <s v="RCF Trombay"/>
    <s v="15-15-15"/>
    <s v="WB"/>
    <x v="3"/>
    <s v="Taldangra"/>
    <s v="User Not Mapped"/>
    <s v="User Not Mapped"/>
    <s v="User Not Mapped"/>
    <n v="463407"/>
    <s v="Yeasin Ali Mondal"/>
    <s v="Private Retailer"/>
    <s v="7864072215"/>
    <n v="0.9"/>
    <n v="124"/>
    <x v="4"/>
    <m/>
    <s v="2025-12-17"/>
    <s v="261556"/>
    <s v="Bankim Chandra Makur"/>
    <s v="9434520840"/>
  </r>
  <r>
    <s v="RCF Trombay"/>
    <s v="N.C.Urea(45kg)"/>
    <s v="WB"/>
    <x v="3"/>
    <s v="Taldangra"/>
    <s v="User Not Mapped"/>
    <s v="User Not Mapped"/>
    <s v="User Not Mapped"/>
    <n v="463407"/>
    <s v="Yeasin Ali Mondal"/>
    <s v="Private Retailer"/>
    <s v="7864072215"/>
    <n v="4.9950000000000001"/>
    <n v="124"/>
    <x v="4"/>
    <m/>
    <s v="2025-12-17"/>
    <s v="261556"/>
    <s v="Bankim Chandra Makur"/>
    <s v="9434520840"/>
  </r>
  <r>
    <s v="RCF Thal"/>
    <s v="N.C.Urea(45kg)"/>
    <s v="WB"/>
    <x v="3"/>
    <s v="Taldangra"/>
    <s v="User Not Mapped"/>
    <s v="User Not Mapped"/>
    <s v="User Not Mapped"/>
    <n v="463407"/>
    <s v="Yeasin Ali Mondal"/>
    <s v="Private Retailer"/>
    <s v="7864072215"/>
    <n v="13.005000000000001"/>
    <n v="168"/>
    <x v="4"/>
    <m/>
    <s v="2025-11-03"/>
    <s v="261556"/>
    <s v="Bankim Chandra Makur"/>
    <s v="9434520840"/>
  </r>
  <r>
    <s v="RCF Thal"/>
    <s v="N.C.Urea(45kg)"/>
    <s v="WB"/>
    <x v="3"/>
    <s v="Taldangra"/>
    <s v="User Not Mapped"/>
    <s v="User Not Mapped"/>
    <s v="User Not Mapped"/>
    <n v="463407"/>
    <s v="Yeasin Ali Mondal"/>
    <s v="Private Retailer"/>
    <s v="7864072215"/>
    <n v="2.25"/>
    <n v="475"/>
    <x v="0"/>
    <m/>
    <s v="2024-12-31"/>
    <s v="261556"/>
    <s v="Bankim Chandra Makur"/>
    <s v="9434520840"/>
  </r>
  <r>
    <s v="RCF Trombay"/>
    <s v="N.C.Urea(45kg)"/>
    <s v="WB"/>
    <x v="3"/>
    <m/>
    <s v="User Not Mapped"/>
    <s v="User Not Mapped"/>
    <s v="User Not Mapped"/>
    <n v="837361"/>
    <s v="PRAKASH DASH"/>
    <s v="Private Retailer"/>
    <s v="9775776914"/>
    <n v="8.2349999999999994"/>
    <n v="2083"/>
    <x v="2"/>
    <m/>
    <s v="2020-08-06"/>
    <s v="261577"/>
    <s v="Dulal Chndra Nandi"/>
    <s v="9434003144"/>
  </r>
  <r>
    <s v="RCF Trombay"/>
    <s v="15-15-15"/>
    <s v="WB"/>
    <x v="3"/>
    <s v="Vishnupur"/>
    <s v="User Not Mapped"/>
    <s v="User Not Mapped"/>
    <s v="User Not Mapped"/>
    <n v="602783"/>
    <s v="Lakshman Saini"/>
    <s v="Private Retailer"/>
    <s v="8436682264"/>
    <n v="0.8"/>
    <n v="746"/>
    <x v="2"/>
    <m/>
    <s v="2024-04-04"/>
    <s v="604558"/>
    <s v="MORAR KRISHI BHANDER"/>
    <s v="9434168055"/>
  </r>
  <r>
    <s v="RCF Thal"/>
    <s v="N.C.Urea(45kg)"/>
    <s v="WB"/>
    <x v="3"/>
    <s v="Vishnupur"/>
    <s v="User Not Mapped"/>
    <s v="User Not Mapped"/>
    <s v="User Not Mapped"/>
    <n v="602783"/>
    <s v="Lakshman Saini"/>
    <s v="Private Retailer"/>
    <s v="8436682264"/>
    <n v="1.675"/>
    <n v="746"/>
    <x v="2"/>
    <m/>
    <s v="2024-04-04"/>
    <s v="604558"/>
    <s v="MORAR KRISHI BHANDER"/>
    <s v="9434168055"/>
  </r>
  <r>
    <s v="RCF Trombay"/>
    <s v="15-15-15"/>
    <s v="WB"/>
    <x v="3"/>
    <s v="Barjora"/>
    <s v="User Not Mapped"/>
    <s v="User Not Mapped"/>
    <s v="User Not Mapped"/>
    <n v="1063939"/>
    <s v="Amit Bhui"/>
    <s v="Private Retailer"/>
    <s v="9333421372"/>
    <n v="3.15"/>
    <n v="252"/>
    <x v="1"/>
    <m/>
    <s v="2025-08-11"/>
    <s v="1404374"/>
    <s v="PRITSH KUMAR SEN"/>
    <s v="7001420238"/>
  </r>
  <r>
    <s v="RCF Trombay"/>
    <s v="15-15-15"/>
    <s v="WB"/>
    <x v="3"/>
    <s v="Onda"/>
    <s v="User Not Mapped"/>
    <s v="User Not Mapped"/>
    <s v="User Not Mapped"/>
    <n v="530174"/>
    <s v="Ranjit Diasi"/>
    <s v="Private Retailer"/>
    <s v="9734242985"/>
    <n v="1.9"/>
    <n v="235"/>
    <x v="1"/>
    <m/>
    <s v="2025-08-28"/>
    <s v="1404374"/>
    <s v="PRITSH KUMAR SEN"/>
    <s v="7001420238"/>
  </r>
  <r>
    <s v="RCF Import"/>
    <s v="Imp 10-26-26"/>
    <s v="WB"/>
    <x v="3"/>
    <s v="Vishnupur"/>
    <s v="User Not Mapped"/>
    <s v="User Not Mapped"/>
    <s v="User Not Mapped"/>
    <n v="261556"/>
    <s v="Bankim Chandra Makur"/>
    <s v="Private Wholsaler"/>
    <s v="9434520840"/>
    <n v="6"/>
    <n v="58"/>
    <x v="3"/>
    <s v="'WS3125003665'"/>
    <s v="2026-02-21"/>
    <s v="1"/>
    <s v="rcf"/>
    <m/>
  </r>
  <r>
    <s v="RCF Import"/>
    <s v="Imp 10-26-26"/>
    <s v="WB"/>
    <x v="3"/>
    <m/>
    <s v="User Not Mapped"/>
    <s v="User Not Mapped"/>
    <s v="User Not Mapped"/>
    <n v="452501"/>
    <s v="Dinabandhu Gorai"/>
    <s v="Private Retailer"/>
    <s v="9474133071"/>
    <n v="1.75"/>
    <n v="919"/>
    <x v="2"/>
    <m/>
    <s v="2023-10-14"/>
    <s v="261599"/>
    <s v="Sital Prasad Nandi"/>
    <s v="9733383728"/>
  </r>
  <r>
    <s v="RCF Trombay SCU"/>
    <s v="Sulphur Coated Urea(40Kg)"/>
    <s v="WB"/>
    <x v="4"/>
    <s v="Raina - II"/>
    <s v="User Not Mapped"/>
    <s v="User Not Mapped"/>
    <s v="User Not Mapped"/>
    <n v="239904"/>
    <s v="Barabainan UCACS Ltd."/>
    <s v="PACS"/>
    <s v="9933916095"/>
    <n v="5"/>
    <n v="758"/>
    <x v="2"/>
    <m/>
    <s v="2024-03-23"/>
    <s v="1019561"/>
    <s v=" BARABAINAN U.C.A.C.S LTD"/>
    <s v="9933916095"/>
  </r>
  <r>
    <s v="RCF Trombay SCU"/>
    <s v="Sulphur Coated Urea(40Kg)"/>
    <s v="WB"/>
    <x v="4"/>
    <s v="Raina - I"/>
    <s v="User Not Mapped"/>
    <s v="User Not Mapped"/>
    <s v="User Not Mapped"/>
    <n v="859209"/>
    <s v="BORAKONA UJIRHATI S.K.U.S LTD."/>
    <s v="PACS"/>
    <s v="7797104151"/>
    <n v="5"/>
    <n v="758"/>
    <x v="2"/>
    <m/>
    <s v="2024-03-23"/>
    <s v="1019561"/>
    <s v=" BARABAINAN U.C.A.C.S LTD"/>
    <s v="9933916095"/>
  </r>
  <r>
    <s v="RCF Thal"/>
    <s v="N.C.Urea(45kg)"/>
    <s v="WB"/>
    <x v="4"/>
    <s v="Raina - I"/>
    <s v="User Not Mapped"/>
    <s v="User Not Mapped"/>
    <s v="User Not Mapped"/>
    <n v="611452"/>
    <s v="GOPAL NAGAR KRISHI BHANDAR"/>
    <s v="Private Retailer"/>
    <s v="9732376786"/>
    <n v="0.27"/>
    <n v="67"/>
    <x v="6"/>
    <m/>
    <s v="2026-02-12"/>
    <s v="1019561"/>
    <s v=" BARABAINAN U.C.A.C.S LTD"/>
    <s v="9933916095"/>
  </r>
  <r>
    <s v="RCF Import"/>
    <s v="Imp 10-26-26"/>
    <s v="WB"/>
    <x v="4"/>
    <s v="Raina - I"/>
    <s v="User Not Mapped"/>
    <s v="User Not Mapped"/>
    <s v="User Not Mapped"/>
    <n v="611452"/>
    <s v="GOPAL NAGAR KRISHI BHANDAR"/>
    <s v="Private Retailer"/>
    <s v="9732376786"/>
    <n v="6"/>
    <n v="50"/>
    <x v="3"/>
    <m/>
    <s v="2026-03-01"/>
    <s v="1019561"/>
    <s v=" BARABAINAN U.C.A.C.S LTD"/>
    <s v="9933916095"/>
  </r>
  <r>
    <s v="RCF Thal"/>
    <s v="N.C.Urea(45kg)"/>
    <s v="WB"/>
    <x v="4"/>
    <s v="Memari - II"/>
    <s v="User Not Mapped"/>
    <s v="User Not Mapped"/>
    <s v="User Not Mapped"/>
    <n v="1615180"/>
    <s v="Krishi Ghar"/>
    <s v="Private Retailer"/>
    <s v="8637378913"/>
    <n v="6.57"/>
    <n v="67"/>
    <x v="6"/>
    <m/>
    <s v="2026-02-12"/>
    <s v="1019561"/>
    <s v=" BARABAINAN U.C.A.C.S LTD"/>
    <s v="9933916095"/>
  </r>
  <r>
    <s v="RCF Thal"/>
    <s v="N.C.Urea(45kg)"/>
    <s v="WB"/>
    <x v="4"/>
    <s v="Raina - I"/>
    <s v="User Not Mapped"/>
    <s v="User Not Mapped"/>
    <s v="User Not Mapped"/>
    <n v="1510050"/>
    <s v="Mondal Krishi Sebasadan"/>
    <s v="Private Retailer"/>
    <s v="8250609299"/>
    <n v="0.315"/>
    <n v="68"/>
    <x v="6"/>
    <m/>
    <s v="2026-02-11"/>
    <s v="1019561"/>
    <s v=" BARABAINAN U.C.A.C.S LTD"/>
    <s v="9933916095"/>
  </r>
  <r>
    <s v="RCF Thal"/>
    <s v="N.C.Urea(45kg)"/>
    <s v="WB"/>
    <x v="4"/>
    <s v="Raina - I"/>
    <s v="User Not Mapped"/>
    <s v="User Not Mapped"/>
    <s v="User Not Mapped"/>
    <n v="464492"/>
    <s v="Shib Sankar Pal"/>
    <s v="Private Retailer"/>
    <s v="9474661022"/>
    <n v="4.59"/>
    <n v="67"/>
    <x v="6"/>
    <m/>
    <s v="2026-02-12"/>
    <s v="1019561"/>
    <s v=" BARABAINAN U.C.A.C.S LTD"/>
    <s v="9933916095"/>
  </r>
  <r>
    <s v="RCF Import"/>
    <s v="Imp 10-26-26"/>
    <s v="WB"/>
    <x v="4"/>
    <s v="Raina - I"/>
    <s v="User Not Mapped"/>
    <s v="User Not Mapped"/>
    <s v="User Not Mapped"/>
    <n v="464492"/>
    <s v="Shib Sankar Pal"/>
    <s v="Private Retailer"/>
    <s v="9474661022"/>
    <n v="5.45"/>
    <n v="50"/>
    <x v="3"/>
    <m/>
    <s v="2026-03-01"/>
    <s v="1019561"/>
    <s v=" BARABAINAN U.C.A.C.S LTD"/>
    <s v="9933916095"/>
  </r>
  <r>
    <s v="RCF Trombay"/>
    <s v="15-15-15"/>
    <s v="WB"/>
    <x v="4"/>
    <s v="Mangolkote"/>
    <s v="User Not Mapped"/>
    <s v="User Not Mapped"/>
    <s v="User Not Mapped"/>
    <n v="1024474"/>
    <s v="M/S SOUMEN LAHA"/>
    <s v="Private Wholsaler"/>
    <s v="7679682894"/>
    <n v="7"/>
    <n v="224"/>
    <x v="1"/>
    <s v="'762'"/>
    <s v="2025-09-08"/>
    <s v="261683"/>
    <s v="Amadpur U.C.A.C.S. Ltd."/>
    <s v="8967854686"/>
  </r>
  <r>
    <s v="RCF Thal"/>
    <s v="N.C.Urea(45kg)"/>
    <s v="WB"/>
    <x v="4"/>
    <s v="Manteswar"/>
    <s v="User Not Mapped"/>
    <s v="User Not Mapped"/>
    <s v="User Not Mapped"/>
    <n v="1419869"/>
    <s v="M/s Subrota Mukherjee"/>
    <s v="Private Retailer"/>
    <s v="8436505448"/>
    <n v="11.97"/>
    <n v="207"/>
    <x v="1"/>
    <m/>
    <s v="2025-09-25"/>
    <s v="261683"/>
    <s v="Amadpur U.C.A.C.S. Ltd."/>
    <s v="8967854686"/>
  </r>
  <r>
    <s v="RCF Thal"/>
    <s v="N.C.Urea(45kg)"/>
    <s v="WB"/>
    <x v="4"/>
    <s v="Manteswar"/>
    <s v="User Not Mapped"/>
    <s v="User Not Mapped"/>
    <s v="User Not Mapped"/>
    <n v="1419869"/>
    <s v="M/s Subrota Mukherjee"/>
    <s v="Private Retailer"/>
    <s v="8436505448"/>
    <n v="11.97"/>
    <n v="493"/>
    <x v="0"/>
    <m/>
    <s v="2024-12-13"/>
    <s v="261683"/>
    <s v="Amadpur U.C.A.C.S. Ltd."/>
    <s v="8967854686"/>
  </r>
  <r>
    <s v="RCF Trombay"/>
    <s v="15-15-15"/>
    <s v="WB"/>
    <x v="4"/>
    <s v="Memari - II"/>
    <s v="User Not Mapped"/>
    <s v="User Not Mapped"/>
    <s v="User Not Mapped"/>
    <n v="1435894"/>
    <s v="M/s. Krishi Pragati"/>
    <s v="Private Retailer"/>
    <s v="9735178123"/>
    <n v="0.75"/>
    <n v="244"/>
    <x v="1"/>
    <m/>
    <s v="2025-08-19"/>
    <s v="261683"/>
    <s v="Amadpur U.C.A.C.S. Ltd."/>
    <s v="8967854686"/>
  </r>
  <r>
    <s v="RCF Trombay"/>
    <s v="15-15-15"/>
    <s v="WB"/>
    <x v="4"/>
    <s v="Burdwan - I"/>
    <s v="User Not Mapped"/>
    <s v="User Not Mapped"/>
    <s v="User Not Mapped"/>
    <n v="1156141"/>
    <s v="PRASUN DAS"/>
    <s v="Private Wholsaler"/>
    <s v="9564391014"/>
    <n v="0.7"/>
    <n v="152"/>
    <x v="4"/>
    <s v="'989'"/>
    <s v="2025-11-19"/>
    <s v="261683"/>
    <s v="Amadpur U.C.A.C.S. Ltd."/>
    <s v="8967854686"/>
  </r>
  <r>
    <s v="RCF Trombay"/>
    <s v="15-15-15"/>
    <s v="WB"/>
    <x v="4"/>
    <s v="Bhatar"/>
    <s v="User Not Mapped"/>
    <s v="User Not Mapped"/>
    <s v="User Not Mapped"/>
    <n v="546716"/>
    <s v="Sk Sofiullha"/>
    <s v="Private Retailer"/>
    <s v="6294108496"/>
    <n v="2.4500000000000002"/>
    <n v="224"/>
    <x v="1"/>
    <m/>
    <s v="2025-09-08"/>
    <s v="261683"/>
    <s v="Amadpur U.C.A.C.S. Ltd."/>
    <s v="8967854686"/>
  </r>
  <r>
    <s v="RCF Thal"/>
    <s v="N.C.Urea(45kg)"/>
    <s v="WB"/>
    <x v="4"/>
    <s v="Jamalpur"/>
    <s v="User Not Mapped"/>
    <s v="User Not Mapped"/>
    <s v="User Not Mapped"/>
    <n v="750999"/>
    <s v="SURAJIT MONDAL"/>
    <s v="Private Retailer"/>
    <s v="9733401564"/>
    <n v="0.99"/>
    <n v="125"/>
    <x v="4"/>
    <m/>
    <s v="2025-12-16"/>
    <s v="261683"/>
    <s v="Amadpur U.C.A.C.S. Ltd."/>
    <s v="8967854686"/>
  </r>
  <r>
    <s v="RCF Trombay"/>
    <s v="N.C.Urea(45kg)"/>
    <s v="WB"/>
    <x v="4"/>
    <m/>
    <s v="User Not Mapped"/>
    <s v="User Not Mapped"/>
    <s v="User Not Mapped"/>
    <n v="411022"/>
    <s v="Bhuri Agro Service Center "/>
    <s v="Private Retailer"/>
    <s v="9609556410"/>
    <n v="0.02"/>
    <n v="1978"/>
    <x v="2"/>
    <m/>
    <s v="2020-11-19"/>
    <s v="1134684"/>
    <s v="Bimal Kumar Laha"/>
    <s v="9434003674"/>
  </r>
  <r>
    <s v="RCF Trombay"/>
    <s v="15-15-15"/>
    <s v="WB"/>
    <x v="4"/>
    <s v="Raina - I"/>
    <s v="User Not Mapped"/>
    <s v="User Not Mapped"/>
    <s v="User Not Mapped"/>
    <n v="261669"/>
    <s v="Secretary Khemta SKUS Ltd"/>
    <s v="PACS"/>
    <s v="6294359924"/>
    <n v="11.1"/>
    <n v="100"/>
    <x v="7"/>
    <m/>
    <s v="2026-01-10"/>
    <s v="1569523"/>
    <s v="GHOSH KRISHI BHANDAR "/>
    <s v="7501551576"/>
  </r>
  <r>
    <s v="RCF Thal"/>
    <s v="N.C.Urea(45kg)"/>
    <s v="WB"/>
    <x v="4"/>
    <s v="Galsi - I"/>
    <s v="User Not Mapped"/>
    <s v="User Not Mapped"/>
    <s v="User Not Mapped"/>
    <n v="1583648"/>
    <s v="Baba Rameswar Fertilizer"/>
    <s v="Private Retailer"/>
    <s v="9609616828"/>
    <n v="9.9450000000000003"/>
    <n v="244"/>
    <x v="1"/>
    <m/>
    <s v="2025-08-19"/>
    <s v="379777"/>
    <s v="Gopeswar Jash"/>
    <s v="8170016410"/>
  </r>
  <r>
    <s v="RCF Thal"/>
    <s v="N.C.Urea(45kg)"/>
    <s v="WB"/>
    <x v="4"/>
    <s v="Manteswar"/>
    <s v="User Not Mapped"/>
    <s v="User Not Mapped"/>
    <s v="User Not Mapped"/>
    <n v="642271"/>
    <s v="M/S KABIR HOSSAIN KHAN"/>
    <s v="Private Retailer"/>
    <s v="9800483413"/>
    <n v="0.68500000000000005"/>
    <n v="543"/>
    <x v="0"/>
    <m/>
    <s v="2024-10-24"/>
    <s v="893003"/>
    <s v="KABIR HOSSAIN KHAN"/>
    <s v="8159834818"/>
  </r>
  <r>
    <s v="RCF Thal"/>
    <s v="N.C.Urea(45kg)"/>
    <s v="WB"/>
    <x v="4"/>
    <s v="Katwa - II"/>
    <s v="User Not Mapped"/>
    <s v="User Not Mapped"/>
    <s v="User Not Mapped"/>
    <n v="758584"/>
    <s v="DIPAK KUMAR HAZRA"/>
    <s v="Private Retailer"/>
    <s v="9609595482"/>
    <n v="0.76500000000000001"/>
    <n v="68"/>
    <x v="6"/>
    <m/>
    <s v="2026-02-11"/>
    <s v="261700"/>
    <s v="Katwa Thana C.A.M.S.Ltd."/>
    <s v="7001765011"/>
  </r>
  <r>
    <s v="RCF Thal"/>
    <s v="N.C.Urea(45kg)"/>
    <s v="WB"/>
    <x v="4"/>
    <s v="Katwa - I"/>
    <s v="User Not Mapped"/>
    <s v="User Not Mapped"/>
    <s v="User Not Mapped"/>
    <n v="1332051"/>
    <s v="TRIPALLY SSS LTD"/>
    <s v="PACS"/>
    <s v="9093831508"/>
    <n v="0.18"/>
    <n v="68"/>
    <x v="6"/>
    <m/>
    <s v="2026-02-11"/>
    <s v="261700"/>
    <s v="Katwa Thana C.A.M.S.Ltd."/>
    <s v="7001765011"/>
  </r>
  <r>
    <s v="RCF Trombay"/>
    <s v="15-15-15"/>
    <s v="WB"/>
    <x v="4"/>
    <s v="Khandaghosh"/>
    <s v="User Not Mapped"/>
    <s v="User Not Mapped"/>
    <s v="User Not Mapped"/>
    <n v="611422"/>
    <s v="ASROF ALI MONDAL"/>
    <s v="Private Retailer"/>
    <s v="9434839283"/>
    <n v="6"/>
    <n v="241"/>
    <x v="1"/>
    <m/>
    <s v="2025-08-22"/>
    <s v="1297965"/>
    <s v="M/S MONDAL ENTERPRISE"/>
    <s v="8620027376"/>
  </r>
  <r>
    <s v="RCF Thal"/>
    <s v="N.C.Urea(45kg)"/>
    <s v="WB"/>
    <x v="4"/>
    <s v="Khandaghosh"/>
    <s v="User Not Mapped"/>
    <s v="User Not Mapped"/>
    <s v="User Not Mapped"/>
    <n v="611422"/>
    <s v="ASROF ALI MONDAL"/>
    <s v="Private Retailer"/>
    <s v="9434839283"/>
    <n v="0.09"/>
    <n v="248"/>
    <x v="1"/>
    <m/>
    <s v="2025-08-15"/>
    <s v="1297965"/>
    <s v="M/S MONDAL ENTERPRISE"/>
    <s v="8620027376"/>
  </r>
  <r>
    <s v="RCF Import"/>
    <s v="MOP"/>
    <s v="WB"/>
    <x v="4"/>
    <s v="Khandaghosh"/>
    <s v="User Not Mapped"/>
    <s v="User Not Mapped"/>
    <s v="User Not Mapped"/>
    <n v="611422"/>
    <s v="ASROF ALI MONDAL"/>
    <s v="Private Retailer"/>
    <s v="9434839283"/>
    <n v="2.5"/>
    <n v="426"/>
    <x v="0"/>
    <m/>
    <s v="2025-02-18"/>
    <s v="1297965"/>
    <s v="M/S MONDAL ENTERPRISE"/>
    <s v="8620027376"/>
  </r>
  <r>
    <s v="RCF Thal"/>
    <s v="N.C.Urea(45kg)"/>
    <s v="WB"/>
    <x v="4"/>
    <s v="Khandaghosh"/>
    <s v="User Not Mapped"/>
    <s v="User Not Mapped"/>
    <s v="User Not Mapped"/>
    <n v="1502182"/>
    <s v="Ghosh Krishi Bhandar"/>
    <s v="Private Retailer"/>
    <s v="8250431736"/>
    <n v="1.35"/>
    <n v="241"/>
    <x v="1"/>
    <m/>
    <s v="2025-08-22"/>
    <s v="1297965"/>
    <s v="M/S MONDAL ENTERPRISE"/>
    <s v="8620027376"/>
  </r>
  <r>
    <s v="RCF Import"/>
    <s v="Imp 10-26-26"/>
    <s v="WB"/>
    <x v="4"/>
    <s v="Memari - I"/>
    <s v="User Not Mapped"/>
    <s v="User Not Mapped"/>
    <s v="User Not Mapped"/>
    <n v="353737"/>
    <s v="Hira Krishi Bhandar"/>
    <s v="Private Retailer"/>
    <s v="9732161200"/>
    <n v="3"/>
    <n v="156"/>
    <x v="4"/>
    <m/>
    <s v="2025-11-15"/>
    <s v="1297965"/>
    <s v="M/S MONDAL ENTERPRISE"/>
    <s v="8620027376"/>
  </r>
  <r>
    <s v="RCF Thal"/>
    <s v="N.C.Urea(45kg)"/>
    <s v="WB"/>
    <x v="4"/>
    <s v="Manteswar"/>
    <s v="User Not Mapped"/>
    <s v="User Not Mapped"/>
    <s v="User Not Mapped"/>
    <n v="642279"/>
    <s v="M/S SAHAJAMAL MALLICK"/>
    <s v="Private Retailer"/>
    <s v="9734765479"/>
    <n v="6.39"/>
    <n v="237"/>
    <x v="1"/>
    <m/>
    <s v="2025-08-26"/>
    <s v="1297965"/>
    <s v="M/S MONDAL ENTERPRISE"/>
    <s v="8620027376"/>
  </r>
  <r>
    <s v="RCF Import"/>
    <s v="MOP"/>
    <s v="WB"/>
    <x v="4"/>
    <s v="Manteswar"/>
    <s v="User Not Mapped"/>
    <s v="User Not Mapped"/>
    <s v="User Not Mapped"/>
    <n v="642279"/>
    <s v="M/S SAHAJAMAL MALLICK"/>
    <s v="Private Retailer"/>
    <s v="9734765479"/>
    <n v="1"/>
    <n v="422"/>
    <x v="0"/>
    <m/>
    <s v="2025-02-22"/>
    <s v="1297965"/>
    <s v="M/S MONDAL ENTERPRISE"/>
    <s v="8620027376"/>
  </r>
  <r>
    <s v="RCF Import"/>
    <s v="Imp 10-26-26"/>
    <s v="WB"/>
    <x v="4"/>
    <s v="Khandaghosh"/>
    <s v="User Not Mapped"/>
    <s v="User Not Mapped"/>
    <s v="User Not Mapped"/>
    <n v="411107"/>
    <s v="M/s Sawkat Ali Mondal"/>
    <s v="Private Retailer"/>
    <s v="9735195774"/>
    <n v="2"/>
    <n v="156"/>
    <x v="4"/>
    <m/>
    <s v="2025-11-15"/>
    <s v="1297965"/>
    <s v="M/S MONDAL ENTERPRISE"/>
    <s v="8620027376"/>
  </r>
  <r>
    <s v="RCF Import"/>
    <s v="MOP"/>
    <s v="WB"/>
    <x v="4"/>
    <s v="Khandaghosh"/>
    <s v="User Not Mapped"/>
    <s v="User Not Mapped"/>
    <s v="User Not Mapped"/>
    <n v="1507105"/>
    <s v="Middya Enterprise"/>
    <s v="Private Retailer"/>
    <s v="6295728672"/>
    <n v="0.5"/>
    <n v="425"/>
    <x v="0"/>
    <m/>
    <s v="2025-02-19"/>
    <s v="1297965"/>
    <s v="M/S MONDAL ENTERPRISE"/>
    <s v="8620027376"/>
  </r>
  <r>
    <s v="RCF Import"/>
    <s v="Imp 10-26-26"/>
    <s v="WB"/>
    <x v="4"/>
    <s v="Raina - I"/>
    <s v="User Not Mapped"/>
    <s v="User Not Mapped"/>
    <s v="User Not Mapped"/>
    <n v="1032215"/>
    <s v="MIRJA MANIRUL HAQUE"/>
    <s v="Private Retailer"/>
    <s v="9153121312"/>
    <n v="1.25"/>
    <n v="230"/>
    <x v="1"/>
    <m/>
    <s v="2025-09-02"/>
    <s v="1297965"/>
    <s v="M/S MONDAL ENTERPRISE"/>
    <s v="8620027376"/>
  </r>
  <r>
    <s v="RCF Thal"/>
    <s v="N.C.Urea(45kg)"/>
    <s v="WB"/>
    <x v="4"/>
    <s v="Khandaghosh"/>
    <s v="User Not Mapped"/>
    <s v="User Not Mapped"/>
    <s v="User Not Mapped"/>
    <n v="611428"/>
    <s v="MOLLA NIYAJUL ISLAM"/>
    <s v="Private Retailer"/>
    <s v="9734784119"/>
    <n v="2.5000000000000001E-2"/>
    <n v="208"/>
    <x v="1"/>
    <m/>
    <s v="2025-09-24"/>
    <s v="1297965"/>
    <s v="M/S MONDAL ENTERPRISE"/>
    <s v="8620027376"/>
  </r>
  <r>
    <s v="RCF Import"/>
    <s v="Imp 10-26-26"/>
    <s v="WB"/>
    <x v="4"/>
    <s v="Raina - I"/>
    <s v="User Not Mapped"/>
    <s v="User Not Mapped"/>
    <s v="User Not Mapped"/>
    <n v="1559919"/>
    <s v="Sabujayan"/>
    <s v="Private Retailer"/>
    <s v="8116315961"/>
    <n v="0.5"/>
    <n v="230"/>
    <x v="1"/>
    <m/>
    <s v="2025-09-02"/>
    <s v="1297965"/>
    <s v="M/S MONDAL ENTERPRISE"/>
    <s v="8620027376"/>
  </r>
  <r>
    <s v="RCF Thal"/>
    <s v="N.C.Urea(45kg)"/>
    <s v="WB"/>
    <x v="4"/>
    <s v="Raina - I"/>
    <s v="User Not Mapped"/>
    <s v="User Not Mapped"/>
    <s v="User Not Mapped"/>
    <n v="641068"/>
    <s v="SK MOFAJJAL HOSSAIN"/>
    <s v="Private Retailer"/>
    <s v="9564908628"/>
    <n v="0.13500000000000001"/>
    <n v="426"/>
    <x v="0"/>
    <m/>
    <s v="2025-02-18"/>
    <s v="1297965"/>
    <s v="M/S MONDAL ENTERPRISE"/>
    <s v="8620027376"/>
  </r>
  <r>
    <s v="RCF Import"/>
    <s v="MOP"/>
    <s v="WB"/>
    <x v="4"/>
    <s v="Raina - I"/>
    <s v="User Not Mapped"/>
    <s v="User Not Mapped"/>
    <s v="User Not Mapped"/>
    <n v="641068"/>
    <s v="SK MOFAJJAL HOSSAIN"/>
    <s v="Private Retailer"/>
    <s v="9564908628"/>
    <n v="4"/>
    <n v="425"/>
    <x v="0"/>
    <m/>
    <s v="2025-02-19"/>
    <s v="1297965"/>
    <s v="M/S MONDAL ENTERPRISE"/>
    <s v="8620027376"/>
  </r>
  <r>
    <s v="RCF Thal"/>
    <s v="N.C.Urea(45kg)"/>
    <s v="WB"/>
    <x v="4"/>
    <s v="Khandaghosh"/>
    <s v="User Not Mapped"/>
    <s v="User Not Mapped"/>
    <s v="User Not Mapped"/>
    <n v="615991"/>
    <s v="Sk Mofijul Haque"/>
    <s v="Private Retailer"/>
    <s v="7407966849"/>
    <n v="5.0000000000000001E-3"/>
    <n v="223"/>
    <x v="1"/>
    <m/>
    <s v="2025-09-09"/>
    <s v="1297965"/>
    <s v="M/S MONDAL ENTERPRISE"/>
    <s v="8620027376"/>
  </r>
  <r>
    <s v="RCF Thal"/>
    <s v="N.C.Urea(45kg)"/>
    <s v="WB"/>
    <x v="4"/>
    <s v="Raina - I"/>
    <s v="User Not Mapped"/>
    <s v="User Not Mapped"/>
    <s v="User Not Mapped"/>
    <n v="651896"/>
    <s v="SURAMAT ALI MALLIK"/>
    <s v="Private Retailer"/>
    <s v="8926529200"/>
    <n v="1.4999999999999999E-2"/>
    <n v="143"/>
    <x v="4"/>
    <m/>
    <s v="2025-11-28"/>
    <s v="1297965"/>
    <s v="M/S MONDAL ENTERPRISE"/>
    <s v="8620027376"/>
  </r>
  <r>
    <s v="RCF Trombay"/>
    <s v="15-15-15"/>
    <s v="WB"/>
    <x v="4"/>
    <s v="Mangolkote"/>
    <s v="User Not Mapped"/>
    <s v="User Not Mapped"/>
    <s v="User Not Mapped"/>
    <n v="1435892"/>
    <s v="SOURENDRA NATH MONDAL"/>
    <s v="Private Retailer"/>
    <s v="7872608612"/>
    <n v="5"/>
    <n v="61"/>
    <x v="6"/>
    <m/>
    <s v="2026-02-18"/>
    <s v="1024474"/>
    <s v="M/S SOUMEN LAHA"/>
    <s v="7679682894"/>
  </r>
  <r>
    <s v="RCF Trombay"/>
    <s v="15-15-15"/>
    <s v="WB"/>
    <x v="4"/>
    <s v="Purbasthali - I"/>
    <s v="User Not Mapped"/>
    <s v="User Not Mapped"/>
    <s v="User Not Mapped"/>
    <n v="639000"/>
    <s v="DOLKRISHNA BHATTACHARYYA"/>
    <s v="Private Retailer"/>
    <s v="6295471968"/>
    <n v="2.5"/>
    <n v="51"/>
    <x v="3"/>
    <m/>
    <s v="2026-02-28"/>
    <s v="1094187"/>
    <s v="M/S SUMANTA GARAI"/>
    <s v="9647950503"/>
  </r>
  <r>
    <s v="RCF Thal"/>
    <s v="N.C.Urea(45kg)"/>
    <s v="WB"/>
    <x v="4"/>
    <s v="Purbasthali - II"/>
    <s v="User Not Mapped"/>
    <s v="User Not Mapped"/>
    <s v="User Not Mapped"/>
    <n v="1602952"/>
    <s v="M/s. Suman Debnath"/>
    <s v="Private Retailer"/>
    <s v="9093278725"/>
    <n v="3.24"/>
    <n v="122"/>
    <x v="4"/>
    <m/>
    <s v="2025-12-19"/>
    <s v="1094187"/>
    <s v="M/S SUMANTA GARAI"/>
    <s v="9647950503"/>
  </r>
  <r>
    <s v="RCF Thal"/>
    <s v="N.C.Urea(45kg)"/>
    <s v="WB"/>
    <x v="4"/>
    <s v="Manteswar"/>
    <s v="User Not Mapped"/>
    <s v="User Not Mapped"/>
    <s v="User Not Mapped"/>
    <n v="340145"/>
    <s v="M/s. Tarak Nath Krishi Bhandar"/>
    <s v="Private Retailer"/>
    <s v="9734710603"/>
    <n v="0.13500000000000001"/>
    <n v="68"/>
    <x v="6"/>
    <m/>
    <s v="2026-02-11"/>
    <s v="1094187"/>
    <s v="M/S SUMANTA GARAI"/>
    <s v="9647950503"/>
  </r>
  <r>
    <s v="RCF Thal"/>
    <s v="N.C.Urea(45kg)"/>
    <s v="WB"/>
    <x v="4"/>
    <s v="Purbasthali - I"/>
    <s v="User Not Mapped"/>
    <s v="User Not Mapped"/>
    <s v="User Not Mapped"/>
    <n v="639779"/>
    <s v="SAMIT BHANJA DEBNATH"/>
    <s v="Private Retailer"/>
    <s v="9163471051"/>
    <n v="1.845"/>
    <n v="62"/>
    <x v="6"/>
    <m/>
    <s v="2026-02-17"/>
    <s v="1094187"/>
    <s v="M/S SUMANTA GARAI"/>
    <s v="9647950503"/>
  </r>
  <r>
    <s v="RCF Thal"/>
    <s v="N.C.Urea(45kg)"/>
    <s v="WB"/>
    <x v="4"/>
    <s v="Manteswar"/>
    <s v="User Not Mapped"/>
    <s v="User Not Mapped"/>
    <s v="User Not Mapped"/>
    <n v="1501029"/>
    <s v="Sekh Ataul Haque"/>
    <s v="Private Retailer"/>
    <s v="7001464213"/>
    <n v="0.9"/>
    <n v="62"/>
    <x v="6"/>
    <m/>
    <s v="2026-02-17"/>
    <s v="1094187"/>
    <s v="M/S SUMANTA GARAI"/>
    <s v="9647950503"/>
  </r>
  <r>
    <s v="RCF Thal"/>
    <s v="N.C.Urea(45kg)"/>
    <s v="WB"/>
    <x v="4"/>
    <s v="Manteswar"/>
    <s v="User Not Mapped"/>
    <s v="User Not Mapped"/>
    <s v="User Not Mapped"/>
    <n v="1501029"/>
    <s v="Sekh Ataul Haque"/>
    <s v="Private Retailer"/>
    <s v="7001464213"/>
    <n v="9.8550000000000004"/>
    <n v="68"/>
    <x v="6"/>
    <m/>
    <s v="2026-02-11"/>
    <s v="1094187"/>
    <s v="M/S SUMANTA GARAI"/>
    <s v="9647950503"/>
  </r>
  <r>
    <s v="RCF Thal"/>
    <s v="N.C.Urea(45kg)"/>
    <s v="WB"/>
    <x v="4"/>
    <s v="Bhatar"/>
    <s v="User Not Mapped"/>
    <s v="User Not Mapped"/>
    <s v="User Not Mapped"/>
    <n v="616007"/>
    <s v="DIGAMBAR MUKHERJEE"/>
    <s v="Private Retailer"/>
    <s v="8250495877"/>
    <n v="3.69"/>
    <n v="292"/>
    <x v="1"/>
    <m/>
    <s v="2025-07-02"/>
    <s v="261685"/>
    <s v="M/s. Asok Kumar Nag"/>
    <s v="6294510597"/>
  </r>
  <r>
    <s v="RCF Thal"/>
    <s v="N.C.Urea(45kg)"/>
    <s v="WB"/>
    <x v="4"/>
    <s v="Ausgram - I"/>
    <s v="User Not Mapped"/>
    <s v="User Not Mapped"/>
    <s v="User Not Mapped"/>
    <n v="836779"/>
    <s v="GOAM NABI SK"/>
    <s v="Private Retailer"/>
    <s v="9749086066"/>
    <n v="8.2799999999999994"/>
    <n v="46"/>
    <x v="3"/>
    <m/>
    <s v="2026-03-05"/>
    <s v="261685"/>
    <s v="M/s. Asok Kumar Nag"/>
    <s v="6294510597"/>
  </r>
  <r>
    <s v="RCF Thal"/>
    <s v="N.C.Urea(45kg)"/>
    <s v="WB"/>
    <x v="4"/>
    <s v="Jamalpur"/>
    <s v="User Not Mapped"/>
    <s v="User Not Mapped"/>
    <s v="User Not Mapped"/>
    <n v="323439"/>
    <s v="Sisir Kumar Mondal"/>
    <s v="Private Retailer"/>
    <s v="9609623416"/>
    <n v="1.4850000000000001"/>
    <n v="126"/>
    <x v="4"/>
    <m/>
    <s v="2025-12-15"/>
    <s v="261685"/>
    <s v="M/s. Asok Kumar Nag"/>
    <s v="6294510597"/>
  </r>
  <r>
    <s v="RCF Import"/>
    <s v="Imp 10-26-26"/>
    <s v="WB"/>
    <x v="4"/>
    <s v="Jamalpur"/>
    <s v="User Not Mapped"/>
    <s v="User Not Mapped"/>
    <s v="User Not Mapped"/>
    <n v="323439"/>
    <s v="Sisir Kumar Mondal"/>
    <s v="Private Retailer"/>
    <s v="9609623416"/>
    <n v="0.4"/>
    <n v="126"/>
    <x v="4"/>
    <m/>
    <s v="2025-12-15"/>
    <s v="261685"/>
    <s v="M/s. Asok Kumar Nag"/>
    <s v="6294510597"/>
  </r>
  <r>
    <s v="RCF Thal"/>
    <s v="N.C.Urea(45kg)"/>
    <s v="WB"/>
    <x v="4"/>
    <s v="Bhatar"/>
    <s v="User Not Mapped"/>
    <s v="User Not Mapped"/>
    <s v="User Not Mapped"/>
    <n v="1484127"/>
    <s v="Sk Hasanur Jaman"/>
    <s v="Private Retailer"/>
    <s v="9749246868"/>
    <n v="8.2349999999999994"/>
    <n v="425"/>
    <x v="0"/>
    <m/>
    <s v="2025-02-19"/>
    <s v="261685"/>
    <s v="M/s. Asok Kumar Nag"/>
    <s v="6294510597"/>
  </r>
  <r>
    <s v="RCF Trombay"/>
    <s v="15-15-15"/>
    <s v="WB"/>
    <x v="4"/>
    <s v="Ausgram - I"/>
    <s v="User Not Mapped"/>
    <s v="User Not Mapped"/>
    <s v="User Not Mapped"/>
    <n v="464908"/>
    <s v="Achintya Kumar Banerjee"/>
    <s v="Private Retailer"/>
    <s v="9153005679"/>
    <n v="0.4"/>
    <n v="117"/>
    <x v="7"/>
    <m/>
    <s v="2025-12-24"/>
    <s v="261689"/>
    <s v="M/s. Bimal Kumar Laha"/>
    <s v="9434133803"/>
  </r>
  <r>
    <s v="RCF Import"/>
    <s v="Imp 10-26-26"/>
    <s v="WB"/>
    <x v="4"/>
    <s v="Jamalpur"/>
    <s v="User Not Mapped"/>
    <s v="User Not Mapped"/>
    <s v="User Not Mapped"/>
    <n v="1024504"/>
    <s v="Ajoy Kumar Pal"/>
    <s v="Private Retailer"/>
    <s v="7890951345"/>
    <n v="9.5"/>
    <n v="51"/>
    <x v="3"/>
    <m/>
    <s v="2026-02-28"/>
    <s v="261689"/>
    <s v="M/s. Bimal Kumar Laha"/>
    <s v="9434133803"/>
  </r>
  <r>
    <s v="RCF Thal"/>
    <s v="N.C.Urea(45kg)"/>
    <s v="WB"/>
    <x v="4"/>
    <s v="Jamalpur"/>
    <s v="User Not Mapped"/>
    <s v="User Not Mapped"/>
    <s v="User Not Mapped"/>
    <n v="1024504"/>
    <s v="Ajoy Kumar Pal"/>
    <s v="Private Retailer"/>
    <s v="7890951345"/>
    <n v="11.744999999999999"/>
    <n v="67"/>
    <x v="6"/>
    <m/>
    <s v="2026-02-12"/>
    <s v="261689"/>
    <s v="M/s. Bimal Kumar Laha"/>
    <s v="9434133803"/>
  </r>
  <r>
    <s v="RCF Thal"/>
    <s v="N.C.Urea(45kg)"/>
    <s v="WB"/>
    <x v="4"/>
    <s v="Memari - I"/>
    <s v="User Not Mapped"/>
    <s v="User Not Mapped"/>
    <s v="User Not Mapped"/>
    <n v="261683"/>
    <s v="Amadpur U.C.A.C.S. Ltd."/>
    <s v="PACS"/>
    <s v="8967854686"/>
    <n v="29.925000000000001"/>
    <n v="117"/>
    <x v="7"/>
    <s v="'I-19'"/>
    <s v="2025-12-24"/>
    <s v="261689"/>
    <s v="M/s. Bimal Kumar Laha"/>
    <s v="9434133803"/>
  </r>
  <r>
    <s v="RCF Thal"/>
    <s v="N.C.Urea(45kg)"/>
    <s v="WB"/>
    <x v="4"/>
    <s v="Memari - I"/>
    <s v="User Not Mapped"/>
    <s v="User Not Mapped"/>
    <s v="User Not Mapped"/>
    <n v="261683"/>
    <s v="Amadpur U.C.A.C.S. Ltd."/>
    <s v="PACS"/>
    <s v="8967854686"/>
    <n v="4.4999999999999998E-2"/>
    <n v="145"/>
    <x v="4"/>
    <s v="'H-21'"/>
    <s v="2025-11-26"/>
    <s v="261689"/>
    <s v="M/s. Bimal Kumar Laha"/>
    <s v="9434133803"/>
  </r>
  <r>
    <s v="RCF Thal"/>
    <s v="N.C.Urea(45kg)"/>
    <s v="WB"/>
    <x v="4"/>
    <s v="Memari - I"/>
    <s v="User Not Mapped"/>
    <s v="User Not Mapped"/>
    <s v="User Not Mapped"/>
    <n v="656064"/>
    <s v="BIJOYA GHOSH"/>
    <s v="Private Retailer"/>
    <s v="9475800828"/>
    <n v="2.1150000000000002"/>
    <n v="145"/>
    <x v="4"/>
    <m/>
    <s v="2025-11-26"/>
    <s v="261689"/>
    <s v="M/s. Bimal Kumar Laha"/>
    <s v="9434133803"/>
  </r>
  <r>
    <s v="RCF Import"/>
    <s v="Imp 10-26-26"/>
    <s v="WB"/>
    <x v="4"/>
    <s v="Kalna - II"/>
    <s v="User Not Mapped"/>
    <s v="User Not Mapped"/>
    <s v="User Not Mapped"/>
    <n v="239926"/>
    <s v="Chagram Noarah SKUS Ltd."/>
    <s v="PACS"/>
    <s v="9932836630"/>
    <n v="6"/>
    <n v="51"/>
    <x v="3"/>
    <m/>
    <s v="2026-02-28"/>
    <s v="261689"/>
    <s v="M/s. Bimal Kumar Laha"/>
    <s v="9434133803"/>
  </r>
  <r>
    <s v="RCF Thal"/>
    <s v="N.C.Urea(45kg)"/>
    <s v="WB"/>
    <x v="4"/>
    <s v="Kalna - II"/>
    <s v="User Not Mapped"/>
    <s v="User Not Mapped"/>
    <s v="User Not Mapped"/>
    <n v="239926"/>
    <s v="Chagram Noarah SKUS Ltd."/>
    <s v="PACS"/>
    <s v="9932836630"/>
    <n v="0.72"/>
    <n v="67"/>
    <x v="6"/>
    <m/>
    <s v="2026-02-12"/>
    <s v="261689"/>
    <s v="M/s. Bimal Kumar Laha"/>
    <s v="9434133803"/>
  </r>
  <r>
    <s v="RCF Thal"/>
    <s v="N.C.Urea(45kg)"/>
    <s v="WB"/>
    <x v="4"/>
    <s v="Jamalpur"/>
    <s v="User Not Mapped"/>
    <s v="User Not Mapped"/>
    <s v="User Not Mapped"/>
    <n v="649455"/>
    <s v="CHANDI MATA KRISHI BHANDAR"/>
    <s v="Private Retailer"/>
    <s v="8101682011"/>
    <n v="3.33"/>
    <n v="97"/>
    <x v="7"/>
    <m/>
    <s v="2026-01-13"/>
    <s v="261689"/>
    <s v="M/s. Bimal Kumar Laha"/>
    <s v="9434133803"/>
  </r>
  <r>
    <s v="RCF Trombay"/>
    <s v="N.C.Urea(45kg)"/>
    <s v="WB"/>
    <x v="4"/>
    <s v="Jamalpur"/>
    <s v="User Not Mapped"/>
    <s v="User Not Mapped"/>
    <s v="User Not Mapped"/>
    <n v="649455"/>
    <s v="CHANDI MATA KRISHI BHANDAR"/>
    <s v="Private Retailer"/>
    <s v="8101682011"/>
    <n v="32.58"/>
    <n v="97"/>
    <x v="7"/>
    <m/>
    <s v="2026-01-13"/>
    <s v="261689"/>
    <s v="M/s. Bimal Kumar Laha"/>
    <s v="9434133803"/>
  </r>
  <r>
    <s v="RCF Trombay"/>
    <s v="15-15-15"/>
    <s v="WB"/>
    <x v="4"/>
    <s v="Galsi - I"/>
    <s v="User Not Mapped"/>
    <s v="User Not Mapped"/>
    <s v="User Not Mapped"/>
    <n v="379777"/>
    <s v="Gopeswar Jash"/>
    <s v="Private Wholsaler"/>
    <s v="8170016410"/>
    <n v="13"/>
    <n v="247"/>
    <x v="1"/>
    <s v="'E-45'"/>
    <s v="2025-08-16"/>
    <s v="261689"/>
    <s v="M/s. Bimal Kumar Laha"/>
    <s v="9434133803"/>
  </r>
  <r>
    <s v="RCF Import"/>
    <s v="Imp 10-26-26"/>
    <s v="WB"/>
    <x v="4"/>
    <s v="Jamalpur"/>
    <s v="User Not Mapped"/>
    <s v="User Not Mapped"/>
    <s v="User Not Mapped"/>
    <n v="239971"/>
    <s v="HPE Jotesriram ASKUS Ltd"/>
    <s v="PACS"/>
    <s v="9531680965"/>
    <n v="2.5499999999999998"/>
    <n v="118"/>
    <x v="7"/>
    <m/>
    <s v="2025-12-23"/>
    <s v="261689"/>
    <s v="M/s. Bimal Kumar Laha"/>
    <s v="9434133803"/>
  </r>
  <r>
    <s v="RCF Trombay"/>
    <s v="15-15-15"/>
    <s v="WB"/>
    <x v="4"/>
    <s v="Jamalpur"/>
    <s v="User Not Mapped"/>
    <s v="User Not Mapped"/>
    <s v="User Not Mapped"/>
    <n v="1024492"/>
    <s v="Jamalpur TCAMA Ltd."/>
    <s v="PACS"/>
    <s v="8798397673"/>
    <n v="0.25"/>
    <n v="400"/>
    <x v="0"/>
    <m/>
    <s v="2025-03-16"/>
    <s v="261689"/>
    <s v="M/s. Bimal Kumar Laha"/>
    <s v="9434133803"/>
  </r>
  <r>
    <s v="RCF Trombay"/>
    <s v="15-15-15"/>
    <s v="WB"/>
    <x v="4"/>
    <s v="Jamalpur"/>
    <s v="User Not Mapped"/>
    <s v="User Not Mapped"/>
    <s v="User Not Mapped"/>
    <n v="239965"/>
    <s v="Jamalpur TCAMS Ltd"/>
    <s v="PACS"/>
    <s v="9647992001"/>
    <n v="0.75"/>
    <n v="400"/>
    <x v="0"/>
    <m/>
    <s v="2025-03-16"/>
    <s v="261689"/>
    <s v="M/s. Bimal Kumar Laha"/>
    <s v="9434133803"/>
  </r>
  <r>
    <s v="RCF Trombay"/>
    <s v="15-15-15"/>
    <s v="WB"/>
    <x v="4"/>
    <s v="Jamalpur"/>
    <s v="User Not Mapped"/>
    <s v="User Not Mapped"/>
    <s v="User Not Mapped"/>
    <n v="239965"/>
    <s v="Jamalpur TCAMS Ltd"/>
    <s v="PACS"/>
    <s v="9647992001"/>
    <n v="6"/>
    <n v="117"/>
    <x v="7"/>
    <m/>
    <s v="2025-12-24"/>
    <s v="261689"/>
    <s v="M/s. Bimal Kumar Laha"/>
    <s v="9434133803"/>
  </r>
  <r>
    <s v="RCF Trombay"/>
    <s v="15-15-15"/>
    <s v="WB"/>
    <x v="4"/>
    <s v="Jamalpur"/>
    <s v="User Not Mapped"/>
    <s v="User Not Mapped"/>
    <s v="User Not Mapped"/>
    <n v="1024488"/>
    <s v="Jotesriram A.S.K.U.S Ltd"/>
    <s v="PACS"/>
    <s v="8900037335"/>
    <n v="1.75"/>
    <n v="216"/>
    <x v="1"/>
    <m/>
    <s v="2025-09-16"/>
    <s v="261689"/>
    <s v="M/s. Bimal Kumar Laha"/>
    <s v="9434133803"/>
  </r>
  <r>
    <s v="RCF Trombay"/>
    <s v="N.C.Urea(45kg)"/>
    <s v="WB"/>
    <x v="4"/>
    <s v="Jamalpur"/>
    <s v="User Not Mapped"/>
    <s v="User Not Mapped"/>
    <s v="User Not Mapped"/>
    <n v="684472"/>
    <s v="Kashinath Das"/>
    <s v="Private Retailer"/>
    <s v="9093171586"/>
    <n v="11.565"/>
    <n v="172"/>
    <x v="4"/>
    <m/>
    <s v="2025-10-30"/>
    <s v="261689"/>
    <s v="M/s. Bimal Kumar Laha"/>
    <s v="9434133803"/>
  </r>
  <r>
    <s v="RCF Trombay"/>
    <s v="15-15-15"/>
    <s v="WB"/>
    <x v="4"/>
    <s v="Raina - I"/>
    <s v="User Not Mapped"/>
    <s v="User Not Mapped"/>
    <s v="User Not Mapped"/>
    <n v="1297965"/>
    <s v="M/S MONDAL ENTERPRISE"/>
    <s v="Private Wholsaler"/>
    <s v="8620027376"/>
    <n v="3"/>
    <n v="238"/>
    <x v="1"/>
    <s v="'E-85'"/>
    <s v="2025-08-25"/>
    <s v="261689"/>
    <s v="M/s. Bimal Kumar Laha"/>
    <s v="9434133803"/>
  </r>
  <r>
    <s v="RCF Trombay"/>
    <s v="15-15-15"/>
    <s v="WB"/>
    <x v="4"/>
    <s v="Raina - I"/>
    <s v="User Not Mapped"/>
    <s v="User Not Mapped"/>
    <s v="User Not Mapped"/>
    <n v="1297965"/>
    <s v="M/S MONDAL ENTERPRISE"/>
    <s v="Private Wholsaler"/>
    <s v="8620027376"/>
    <n v="3.75"/>
    <n v="247"/>
    <x v="1"/>
    <s v="'E-41'"/>
    <s v="2025-08-16"/>
    <s v="261689"/>
    <s v="M/s. Bimal Kumar Laha"/>
    <s v="9434133803"/>
  </r>
  <r>
    <s v="RCF Thal"/>
    <s v="N.C.Urea(45kg)"/>
    <s v="WB"/>
    <x v="4"/>
    <s v="Memari - I"/>
    <s v="User Not Mapped"/>
    <s v="User Not Mapped"/>
    <s v="User Not Mapped"/>
    <n v="304888"/>
    <s v="M/S Sukdev Chatterjee"/>
    <s v="Private Retailer"/>
    <s v="9732037057"/>
    <n v="7.83"/>
    <n v="67"/>
    <x v="6"/>
    <m/>
    <s v="2026-02-12"/>
    <s v="261689"/>
    <s v="M/s. Bimal Kumar Laha"/>
    <s v="9434133803"/>
  </r>
  <r>
    <s v="RCF Import"/>
    <s v="Imp 10-26-26"/>
    <s v="WB"/>
    <x v="4"/>
    <s v="Memari - I"/>
    <s v="User Not Mapped"/>
    <s v="User Not Mapped"/>
    <s v="User Not Mapped"/>
    <n v="656182"/>
    <s v="M/s. Basudev Chakraborty"/>
    <s v="Private Retailer"/>
    <s v="9609644628"/>
    <n v="1"/>
    <n v="238"/>
    <x v="1"/>
    <m/>
    <s v="2025-08-25"/>
    <s v="261689"/>
    <s v="M/s. Bimal Kumar Laha"/>
    <s v="9434133803"/>
  </r>
  <r>
    <s v="RCF Import"/>
    <s v="Imp 10-26-26"/>
    <s v="WB"/>
    <x v="4"/>
    <s v="Memari - I"/>
    <s v="User Not Mapped"/>
    <s v="User Not Mapped"/>
    <s v="User Not Mapped"/>
    <n v="656182"/>
    <s v="M/s. Basudev Chakraborty"/>
    <s v="Private Retailer"/>
    <s v="9609644628"/>
    <n v="24"/>
    <n v="110"/>
    <x v="7"/>
    <m/>
    <s v="2025-12-31"/>
    <s v="261689"/>
    <s v="M/s. Bimal Kumar Laha"/>
    <s v="9434133803"/>
  </r>
  <r>
    <s v="RCF Import"/>
    <s v="Imp 10-26-26"/>
    <s v="WB"/>
    <x v="4"/>
    <s v="Memari - I"/>
    <s v="User Not Mapped"/>
    <s v="User Not Mapped"/>
    <s v="User Not Mapped"/>
    <n v="656182"/>
    <s v="M/s. Basudev Chakraborty"/>
    <s v="Private Retailer"/>
    <s v="9609644628"/>
    <n v="15"/>
    <n v="134"/>
    <x v="4"/>
    <m/>
    <s v="2025-12-07"/>
    <s v="261689"/>
    <s v="M/s. Bimal Kumar Laha"/>
    <s v="9434133803"/>
  </r>
  <r>
    <s v="RCF Import"/>
    <s v="Imp 10-26-26"/>
    <s v="WB"/>
    <x v="4"/>
    <s v="Memari - I"/>
    <s v="User Not Mapped"/>
    <s v="User Not Mapped"/>
    <s v="User Not Mapped"/>
    <n v="656182"/>
    <s v="M/s. Basudev Chakraborty"/>
    <s v="Private Retailer"/>
    <s v="9609644628"/>
    <n v="6"/>
    <n v="141"/>
    <x v="4"/>
    <m/>
    <s v="2025-11-30"/>
    <s v="261689"/>
    <s v="M/s. Bimal Kumar Laha"/>
    <s v="9434133803"/>
  </r>
  <r>
    <s v="RCF Trombay"/>
    <s v="N.C.Urea(45kg)"/>
    <s v="WB"/>
    <x v="4"/>
    <s v="Bhatar"/>
    <s v="User Not Mapped"/>
    <s v="User Not Mapped"/>
    <s v="User Not Mapped"/>
    <n v="261704"/>
    <s v="M/s. Kiran Sankar Ray"/>
    <s v="Private Wholsaler"/>
    <s v="8250469811"/>
    <n v="23.94"/>
    <n v="172"/>
    <x v="4"/>
    <s v="'G-09'"/>
    <s v="2025-10-30"/>
    <s v="261689"/>
    <s v="M/s. Bimal Kumar Laha"/>
    <s v="9434133803"/>
  </r>
  <r>
    <s v="RCF Trombay"/>
    <s v="N.C.Urea(45kg)"/>
    <s v="WB"/>
    <x v="4"/>
    <s v="Bhatar"/>
    <s v="User Not Mapped"/>
    <s v="User Not Mapped"/>
    <s v="User Not Mapped"/>
    <n v="261704"/>
    <s v="M/s. Kiran Sankar Ray"/>
    <s v="Private Wholsaler"/>
    <s v="8250469811"/>
    <n v="23.94"/>
    <n v="172"/>
    <x v="4"/>
    <s v="'G-08'"/>
    <s v="2025-10-30"/>
    <s v="261689"/>
    <s v="M/s. Bimal Kumar Laha"/>
    <s v="9434133803"/>
  </r>
  <r>
    <s v="RCF Trombay"/>
    <s v="N.C.Urea(45kg)"/>
    <s v="WB"/>
    <x v="4"/>
    <s v="Bhatar"/>
    <s v="User Not Mapped"/>
    <s v="User Not Mapped"/>
    <s v="User Not Mapped"/>
    <n v="261704"/>
    <s v="M/s. Kiran Sankar Ray"/>
    <s v="Private Wholsaler"/>
    <s v="8250469811"/>
    <n v="11.97"/>
    <n v="172"/>
    <x v="4"/>
    <s v="'G-07'"/>
    <s v="2025-10-30"/>
    <s v="261689"/>
    <s v="M/s. Bimal Kumar Laha"/>
    <s v="9434133803"/>
  </r>
  <r>
    <s v="RCF Thal"/>
    <s v="N.C.Urea(45kg)"/>
    <s v="WB"/>
    <x v="4"/>
    <s v="Memari - I"/>
    <s v="User Not Mapped"/>
    <s v="User Not Mapped"/>
    <s v="User Not Mapped"/>
    <n v="304879"/>
    <s v="M/s. Mahadeb Kumar"/>
    <s v="Private Retailer"/>
    <s v="8391977542"/>
    <n v="0.45"/>
    <n v="141"/>
    <x v="4"/>
    <m/>
    <s v="2025-11-30"/>
    <s v="261689"/>
    <s v="M/s. Bimal Kumar Laha"/>
    <s v="9434133803"/>
  </r>
  <r>
    <s v="RCF Thal"/>
    <s v="N.C.Urea(45kg)"/>
    <s v="WB"/>
    <x v="4"/>
    <s v="Kalna - II"/>
    <s v="User Not Mapped"/>
    <s v="User Not Mapped"/>
    <s v="User Not Mapped"/>
    <n v="633066"/>
    <s v="M/S. SIDDHARTHA PAL"/>
    <s v="Private Retailer"/>
    <s v="8820320881"/>
    <n v="1.575"/>
    <n v="67"/>
    <x v="6"/>
    <m/>
    <s v="2026-02-12"/>
    <s v="261689"/>
    <s v="M/s. Bimal Kumar Laha"/>
    <s v="9434133803"/>
  </r>
  <r>
    <s v="RCF Thal"/>
    <s v="N.C.Urea(45kg)"/>
    <s v="WB"/>
    <x v="4"/>
    <s v="Jamalpur"/>
    <s v="User Not Mapped"/>
    <s v="User Not Mapped"/>
    <s v="User Not Mapped"/>
    <n v="1019877"/>
    <s v="Nandanpur S.K.U.S. Ltd."/>
    <s v="PACS"/>
    <s v="6294068644"/>
    <n v="12.465"/>
    <n v="145"/>
    <x v="4"/>
    <m/>
    <s v="2025-11-26"/>
    <s v="261689"/>
    <s v="M/s. Bimal Kumar Laha"/>
    <s v="9434133803"/>
  </r>
  <r>
    <s v="RCF Import"/>
    <s v="Imp 10-26-26"/>
    <s v="WB"/>
    <x v="4"/>
    <s v="Jamalpur"/>
    <s v="User Not Mapped"/>
    <s v="User Not Mapped"/>
    <s v="User Not Mapped"/>
    <n v="1019877"/>
    <s v="Nandanpur S.K.U.S. Ltd."/>
    <s v="PACS"/>
    <s v="6294068644"/>
    <n v="10.1"/>
    <n v="145"/>
    <x v="4"/>
    <m/>
    <s v="2025-11-26"/>
    <s v="261689"/>
    <s v="M/s. Bimal Kumar Laha"/>
    <s v="9434133803"/>
  </r>
  <r>
    <s v="RCF Trombay"/>
    <s v="15-15-15"/>
    <s v="WB"/>
    <x v="4"/>
    <s v="Purbasthali - I"/>
    <s v="User Not Mapped"/>
    <s v="User Not Mapped"/>
    <s v="User Not Mapped"/>
    <n v="261674"/>
    <s v="Nurul Islam Sk"/>
    <s v="Private Retailer"/>
    <s v="9933138715"/>
    <n v="0.05"/>
    <n v="124"/>
    <x v="4"/>
    <m/>
    <s v="2025-12-17"/>
    <s v="261689"/>
    <s v="M/s. Bimal Kumar Laha"/>
    <s v="9434133803"/>
  </r>
  <r>
    <s v="RCF Trombay"/>
    <s v="15-15-15"/>
    <s v="WB"/>
    <x v="4"/>
    <s v="Jamalpur"/>
    <s v="User Not Mapped"/>
    <s v="User Not Mapped"/>
    <s v="User Not Mapped"/>
    <n v="735581"/>
    <s v="PANCHRA U.C.A.C.S LTD"/>
    <s v="PACS"/>
    <s v="8001616465"/>
    <n v="5.75"/>
    <n v="117"/>
    <x v="7"/>
    <m/>
    <s v="2025-12-24"/>
    <s v="261689"/>
    <s v="M/s. Bimal Kumar Laha"/>
    <s v="9434133803"/>
  </r>
  <r>
    <s v="RCF Import"/>
    <s v="Imp 10-26-26"/>
    <s v="WB"/>
    <x v="4"/>
    <s v="Jamalpur"/>
    <s v="User Not Mapped"/>
    <s v="User Not Mapped"/>
    <s v="User Not Mapped"/>
    <n v="735581"/>
    <s v="PANCHRA U.C.A.C.S LTD"/>
    <s v="PACS"/>
    <s v="8001616465"/>
    <n v="1.1000000000000001"/>
    <n v="134"/>
    <x v="4"/>
    <m/>
    <s v="2025-12-07"/>
    <s v="261689"/>
    <s v="M/s. Bimal Kumar Laha"/>
    <s v="9434133803"/>
  </r>
  <r>
    <s v="RCF Import"/>
    <s v="Imp 10-26-26"/>
    <s v="WB"/>
    <x v="4"/>
    <s v="Jamalpur"/>
    <s v="User Not Mapped"/>
    <s v="User Not Mapped"/>
    <s v="User Not Mapped"/>
    <n v="735581"/>
    <s v="PANCHRA U.C.A.C.S LTD"/>
    <s v="PACS"/>
    <s v="8001616465"/>
    <n v="12"/>
    <n v="117"/>
    <x v="7"/>
    <m/>
    <s v="2025-12-24"/>
    <s v="261689"/>
    <s v="M/s. Bimal Kumar Laha"/>
    <s v="9434133803"/>
  </r>
  <r>
    <s v="RCF Import"/>
    <s v="Imp 10-26-26"/>
    <s v="WB"/>
    <x v="4"/>
    <s v="Jamalpur"/>
    <s v="User Not Mapped"/>
    <s v="User Not Mapped"/>
    <s v="User Not Mapped"/>
    <n v="240012"/>
    <s v="Paratal Ucacs Ltd"/>
    <s v="PACS"/>
    <s v="9775792363"/>
    <n v="12"/>
    <n v="51"/>
    <x v="3"/>
    <m/>
    <s v="2026-02-28"/>
    <s v="261689"/>
    <s v="M/s. Bimal Kumar Laha"/>
    <s v="9434133803"/>
  </r>
  <r>
    <s v="RCF Thal"/>
    <s v="N.C.Urea(45kg)"/>
    <s v="WB"/>
    <x v="4"/>
    <s v="Jamalpur"/>
    <s v="User Not Mapped"/>
    <s v="User Not Mapped"/>
    <s v="User Not Mapped"/>
    <n v="240012"/>
    <s v="Paratal Ucacs Ltd"/>
    <s v="PACS"/>
    <s v="9775792363"/>
    <n v="9.5399999999999991"/>
    <n v="67"/>
    <x v="6"/>
    <m/>
    <s v="2026-02-12"/>
    <s v="261689"/>
    <s v="M/s. Bimal Kumar Laha"/>
    <s v="9434133803"/>
  </r>
  <r>
    <s v="RCF Trombay"/>
    <s v="15-15-15"/>
    <s v="WB"/>
    <x v="4"/>
    <s v="Jamalpur"/>
    <s v="User Not Mapped"/>
    <s v="User Not Mapped"/>
    <s v="User Not Mapped"/>
    <n v="294824"/>
    <s v="Prabir Kumar Ghosh"/>
    <s v="Private Retailer"/>
    <s v="8918188932"/>
    <n v="2.15"/>
    <n v="400"/>
    <x v="0"/>
    <m/>
    <s v="2025-03-16"/>
    <s v="261689"/>
    <s v="M/s. Bimal Kumar Laha"/>
    <s v="9434133803"/>
  </r>
  <r>
    <s v="RCF Import"/>
    <s v="Imp 10-26-26"/>
    <s v="WB"/>
    <x v="4"/>
    <s v="Memari - I"/>
    <s v="User Not Mapped"/>
    <s v="User Not Mapped"/>
    <s v="User Not Mapped"/>
    <n v="626098"/>
    <s v="SASHIBHUSAN SAMANTA"/>
    <s v="Private Retailer"/>
    <s v="8016834305"/>
    <n v="9.15"/>
    <n v="113"/>
    <x v="7"/>
    <m/>
    <s v="2025-12-28"/>
    <s v="261689"/>
    <s v="M/s. Bimal Kumar Laha"/>
    <s v="9434133803"/>
  </r>
  <r>
    <s v="RCF Trombay"/>
    <s v="15-15-15"/>
    <s v="WB"/>
    <x v="4"/>
    <s v="Memari - I"/>
    <s v="User Not Mapped"/>
    <s v="User Not Mapped"/>
    <s v="User Not Mapped"/>
    <n v="626098"/>
    <s v="SASHIBHUSAN SAMANTA"/>
    <s v="Private Retailer"/>
    <s v="8016834305"/>
    <n v="0.65"/>
    <n v="117"/>
    <x v="7"/>
    <m/>
    <s v="2025-12-24"/>
    <s v="261689"/>
    <s v="M/s. Bimal Kumar Laha"/>
    <s v="9434133803"/>
  </r>
  <r>
    <s v="RCF Trombay"/>
    <s v="N.C.Urea(45kg)"/>
    <s v="WB"/>
    <x v="4"/>
    <s v="Katwa - I"/>
    <s v="User Not Mapped"/>
    <s v="User Not Mapped"/>
    <s v="User Not Mapped"/>
    <n v="1006483"/>
    <s v="SUJOY MONDAL"/>
    <s v="Private Retailer"/>
    <s v="9002757050"/>
    <n v="6.84"/>
    <n v="219"/>
    <x v="1"/>
    <m/>
    <s v="2025-09-13"/>
    <s v="261689"/>
    <s v="M/s. Bimal Kumar Laha"/>
    <s v="9434133803"/>
  </r>
  <r>
    <s v="RCF Thal"/>
    <s v="N.C.Urea(45kg)"/>
    <s v="WB"/>
    <x v="4"/>
    <s v="Katwa - I"/>
    <s v="User Not Mapped"/>
    <s v="User Not Mapped"/>
    <s v="User Not Mapped"/>
    <n v="1006483"/>
    <s v="SUJOY MONDAL"/>
    <s v="Private Retailer"/>
    <s v="9002757050"/>
    <n v="11.97"/>
    <n v="67"/>
    <x v="6"/>
    <m/>
    <s v="2026-02-12"/>
    <s v="261689"/>
    <s v="M/s. Bimal Kumar Laha"/>
    <s v="9434133803"/>
  </r>
  <r>
    <s v="RCF Thal"/>
    <s v="N.C.Urea(45kg)"/>
    <s v="WB"/>
    <x v="4"/>
    <s v="Katwa - I"/>
    <s v="User Not Mapped"/>
    <s v="User Not Mapped"/>
    <s v="User Not Mapped"/>
    <n v="1006483"/>
    <s v="SUJOY MONDAL"/>
    <s v="Private Retailer"/>
    <s v="9002757050"/>
    <n v="3.0150000000000001"/>
    <n v="82"/>
    <x v="6"/>
    <m/>
    <s v="2026-01-28"/>
    <s v="261689"/>
    <s v="M/s. Bimal Kumar Laha"/>
    <s v="9434133803"/>
  </r>
  <r>
    <s v="RCF Trombay"/>
    <s v="15-15-15"/>
    <s v="WB"/>
    <x v="4"/>
    <s v="Katwa - I"/>
    <s v="User Not Mapped"/>
    <s v="User Not Mapped"/>
    <s v="User Not Mapped"/>
    <n v="1006483"/>
    <s v="SUJOY MONDAL"/>
    <s v="Private Retailer"/>
    <s v="9002757050"/>
    <n v="9.15"/>
    <n v="82"/>
    <x v="6"/>
    <m/>
    <s v="2026-01-28"/>
    <s v="261689"/>
    <s v="M/s. Bimal Kumar Laha"/>
    <s v="9434133803"/>
  </r>
  <r>
    <s v="RCF Import"/>
    <s v="Imp 10-26-26"/>
    <s v="WB"/>
    <x v="4"/>
    <s v="Katwa - I"/>
    <s v="User Not Mapped"/>
    <s v="User Not Mapped"/>
    <s v="User Not Mapped"/>
    <n v="1006483"/>
    <s v="SUJOY MONDAL"/>
    <s v="Private Retailer"/>
    <s v="9002757050"/>
    <n v="20.2"/>
    <n v="110"/>
    <x v="7"/>
    <m/>
    <s v="2025-12-31"/>
    <s v="261689"/>
    <s v="M/s. Bimal Kumar Laha"/>
    <s v="9434133803"/>
  </r>
  <r>
    <s v="RCF Import"/>
    <s v="Imp 10-26-26"/>
    <s v="WB"/>
    <x v="4"/>
    <s v="Kalna - II"/>
    <s v="User Not Mapped"/>
    <s v="User Not Mapped"/>
    <s v="User Not Mapped"/>
    <n v="1502176"/>
    <s v="Suman Ghosh"/>
    <s v="Private Retailer"/>
    <s v="8670176434"/>
    <n v="6"/>
    <n v="51"/>
    <x v="3"/>
    <m/>
    <s v="2026-02-28"/>
    <s v="261689"/>
    <s v="M/s. Bimal Kumar Laha"/>
    <s v="9434133803"/>
  </r>
  <r>
    <s v="RCF Thal"/>
    <s v="N.C.Urea(45kg)"/>
    <s v="WB"/>
    <x v="4"/>
    <s v="Kalna - II"/>
    <s v="User Not Mapped"/>
    <s v="User Not Mapped"/>
    <s v="User Not Mapped"/>
    <n v="1502176"/>
    <s v="Suman Ghosh"/>
    <s v="Private Retailer"/>
    <s v="8670176434"/>
    <n v="5.9850000000000003"/>
    <n v="67"/>
    <x v="6"/>
    <m/>
    <s v="2026-02-12"/>
    <s v="261689"/>
    <s v="M/s. Bimal Kumar Laha"/>
    <s v="9434133803"/>
  </r>
  <r>
    <s v="RCF Thal"/>
    <s v="N.C.Urea(45kg)"/>
    <s v="WB"/>
    <x v="4"/>
    <s v="Manteswar"/>
    <s v="User Not Mapped"/>
    <s v="User Not Mapped"/>
    <s v="User Not Mapped"/>
    <n v="304916"/>
    <s v="Susanta Kumar Mandal"/>
    <s v="Private Retailer"/>
    <s v="9735143255"/>
    <n v="9.9"/>
    <n v="97"/>
    <x v="7"/>
    <m/>
    <s v="2026-01-13"/>
    <s v="261689"/>
    <s v="M/s. Bimal Kumar Laha"/>
    <s v="9434133803"/>
  </r>
  <r>
    <s v="RCF Import"/>
    <s v="Imp 10-26-26"/>
    <s v="WB"/>
    <x v="4"/>
    <s v="Manteswar"/>
    <s v="User Not Mapped"/>
    <s v="User Not Mapped"/>
    <s v="User Not Mapped"/>
    <n v="304916"/>
    <s v="Susanta Kumar Mandal"/>
    <s v="Private Retailer"/>
    <s v="9735143255"/>
    <n v="2.1"/>
    <n v="110"/>
    <x v="7"/>
    <m/>
    <s v="2025-12-31"/>
    <s v="261689"/>
    <s v="M/s. Bimal Kumar Laha"/>
    <s v="9434133803"/>
  </r>
  <r>
    <s v="RCF Trombay"/>
    <s v="15-15-15"/>
    <s v="WB"/>
    <x v="4"/>
    <s v="Manteswar"/>
    <s v="User Not Mapped"/>
    <s v="User Not Mapped"/>
    <s v="User Not Mapped"/>
    <n v="304916"/>
    <s v="Susanta Kumar Mandal"/>
    <s v="Private Retailer"/>
    <s v="9735143255"/>
    <n v="13.15"/>
    <n v="82"/>
    <x v="6"/>
    <m/>
    <s v="2026-01-28"/>
    <s v="261689"/>
    <s v="M/s. Bimal Kumar Laha"/>
    <s v="9434133803"/>
  </r>
  <r>
    <s v="RCF Thal"/>
    <s v="N.C.Urea(45kg)"/>
    <s v="WB"/>
    <x v="4"/>
    <s v="Manteswar"/>
    <s v="User Not Mapped"/>
    <s v="User Not Mapped"/>
    <s v="User Not Mapped"/>
    <n v="304916"/>
    <s v="Susanta Kumar Mandal"/>
    <s v="Private Retailer"/>
    <s v="9735143255"/>
    <n v="9.9"/>
    <n v="82"/>
    <x v="6"/>
    <m/>
    <s v="2026-01-28"/>
    <s v="261689"/>
    <s v="M/s. Bimal Kumar Laha"/>
    <s v="9434133803"/>
  </r>
  <r>
    <s v="RCF Thal"/>
    <s v="N.C.Urea(45kg)"/>
    <s v="WB"/>
    <x v="4"/>
    <s v="Manteswar"/>
    <s v="User Not Mapped"/>
    <s v="User Not Mapped"/>
    <s v="User Not Mapped"/>
    <n v="304916"/>
    <s v="Susanta Kumar Mandal"/>
    <s v="Private Retailer"/>
    <s v="9735143255"/>
    <n v="11.97"/>
    <n v="67"/>
    <x v="6"/>
    <m/>
    <s v="2026-02-12"/>
    <s v="261689"/>
    <s v="M/s. Bimal Kumar Laha"/>
    <s v="9434133803"/>
  </r>
  <r>
    <s v="RCF Thal"/>
    <s v="N.C.Urea(45kg)"/>
    <s v="WB"/>
    <x v="4"/>
    <s v="Manteswar"/>
    <s v="User Not Mapped"/>
    <s v="User Not Mapped"/>
    <s v="User Not Mapped"/>
    <n v="304916"/>
    <s v="Susanta Kumar Mandal"/>
    <s v="Private Retailer"/>
    <s v="9735143255"/>
    <n v="9.27"/>
    <n v="236"/>
    <x v="1"/>
    <m/>
    <s v="2025-08-27"/>
    <s v="261689"/>
    <s v="M/s. Bimal Kumar Laha"/>
    <s v="9434133803"/>
  </r>
  <r>
    <s v="RCF Trombay"/>
    <s v="N.C.Urea(45kg)"/>
    <s v="WB"/>
    <x v="4"/>
    <s v="Manteswar"/>
    <s v="User Not Mapped"/>
    <s v="User Not Mapped"/>
    <s v="User Not Mapped"/>
    <n v="304916"/>
    <s v="Susanta Kumar Mandal"/>
    <s v="Private Retailer"/>
    <s v="9735143255"/>
    <n v="2.6549999999999998"/>
    <n v="219"/>
    <x v="1"/>
    <m/>
    <s v="2025-09-13"/>
    <s v="261689"/>
    <s v="M/s. Bimal Kumar Laha"/>
    <s v="9434133803"/>
  </r>
  <r>
    <s v="RCF Trombay"/>
    <s v="15-15-15"/>
    <s v="WB"/>
    <x v="4"/>
    <s v="Jamalpur"/>
    <s v="User Not Mapped"/>
    <s v="User Not Mapped"/>
    <s v="User Not Mapped"/>
    <n v="410776"/>
    <s v="Swapan Kumar Ghosh "/>
    <s v="Private Retailer"/>
    <s v="8436338959"/>
    <n v="5"/>
    <n v="141"/>
    <x v="4"/>
    <m/>
    <s v="2025-11-30"/>
    <s v="261689"/>
    <s v="M/s. Bimal Kumar Laha"/>
    <s v="9434133803"/>
  </r>
  <r>
    <s v="RCF Trombay"/>
    <s v="15-15-15"/>
    <s v="WB"/>
    <x v="4"/>
    <s v="Jamalpur"/>
    <s v="User Not Mapped"/>
    <s v="User Not Mapped"/>
    <s v="User Not Mapped"/>
    <n v="410776"/>
    <s v="Swapan Kumar Ghosh "/>
    <s v="Private Retailer"/>
    <s v="8436338959"/>
    <n v="6"/>
    <n v="117"/>
    <x v="7"/>
    <m/>
    <s v="2025-12-24"/>
    <s v="261689"/>
    <s v="M/s. Bimal Kumar Laha"/>
    <s v="9434133803"/>
  </r>
  <r>
    <s v="RCF Thal"/>
    <s v="N.C.Urea(45kg)"/>
    <s v="WB"/>
    <x v="4"/>
    <s v="Jamalpur"/>
    <s v="User Not Mapped"/>
    <s v="User Not Mapped"/>
    <s v="User Not Mapped"/>
    <n v="410776"/>
    <s v="Swapan Kumar Ghosh "/>
    <s v="Private Retailer"/>
    <s v="8436338959"/>
    <n v="11.43"/>
    <n v="67"/>
    <x v="6"/>
    <m/>
    <s v="2026-02-12"/>
    <s v="261689"/>
    <s v="M/s. Bimal Kumar Laha"/>
    <s v="9434133803"/>
  </r>
  <r>
    <s v="RCF Import"/>
    <s v="Imp 10-26-26"/>
    <s v="WB"/>
    <x v="4"/>
    <s v="Jamalpur"/>
    <s v="User Not Mapped"/>
    <s v="User Not Mapped"/>
    <s v="User Not Mapped"/>
    <n v="410776"/>
    <s v="Swapan Kumar Ghosh "/>
    <s v="Private Retailer"/>
    <s v="8436338959"/>
    <n v="10.65"/>
    <n v="51"/>
    <x v="3"/>
    <m/>
    <s v="2026-02-28"/>
    <s v="261689"/>
    <s v="M/s. Bimal Kumar Laha"/>
    <s v="9434133803"/>
  </r>
  <r>
    <s v="RCF Trombay"/>
    <s v="15-15-15"/>
    <s v="WB"/>
    <x v="4"/>
    <s v="Jamalpur"/>
    <s v="User Not Mapped"/>
    <s v="User Not Mapped"/>
    <s v="User Not Mapped"/>
    <n v="410776"/>
    <s v="Swapan Kumar Ghosh "/>
    <s v="Private Retailer"/>
    <s v="8436338959"/>
    <n v="0.75"/>
    <n v="400"/>
    <x v="0"/>
    <m/>
    <s v="2025-03-16"/>
    <s v="261689"/>
    <s v="M/s. Bimal Kumar Laha"/>
    <s v="9434133803"/>
  </r>
  <r>
    <s v="RCF Thal"/>
    <s v="N.C.Urea(45kg)"/>
    <s v="WB"/>
    <x v="4"/>
    <s v="Jamalpur"/>
    <s v="User Not Mapped"/>
    <s v="User Not Mapped"/>
    <s v="User Not Mapped"/>
    <n v="410776"/>
    <s v="Swapan Kumar Ghosh "/>
    <s v="Private Retailer"/>
    <s v="8436338959"/>
    <n v="11.97"/>
    <n v="22"/>
    <x v="5"/>
    <m/>
    <s v="2026-03-29"/>
    <s v="261689"/>
    <s v="M/s. Bimal Kumar Laha"/>
    <s v="9434133803"/>
  </r>
  <r>
    <s v="RCF Trombay"/>
    <s v="15-15-15"/>
    <s v="WB"/>
    <x v="4"/>
    <s v="Jamalpur"/>
    <s v="User Not Mapped"/>
    <s v="User Not Mapped"/>
    <s v="User Not Mapped"/>
    <n v="410776"/>
    <s v="Swapan Kumar Ghosh "/>
    <s v="Private Retailer"/>
    <s v="8436338959"/>
    <n v="3"/>
    <n v="216"/>
    <x v="1"/>
    <m/>
    <s v="2025-09-16"/>
    <s v="261689"/>
    <s v="M/s. Bimal Kumar Laha"/>
    <s v="9434133803"/>
  </r>
  <r>
    <s v="RCF Thal"/>
    <s v="N.C.Urea(45kg)"/>
    <s v="WB"/>
    <x v="4"/>
    <s v="Kalna - II"/>
    <s v="User Not Mapped"/>
    <s v="User Not Mapped"/>
    <s v="User Not Mapped"/>
    <n v="968238"/>
    <s v="TUSHAR KANTI GHOSH"/>
    <s v="Private Retailer"/>
    <s v="9474919199"/>
    <n v="10.845000000000001"/>
    <n v="67"/>
    <x v="6"/>
    <m/>
    <s v="2026-02-12"/>
    <s v="261689"/>
    <s v="M/s. Bimal Kumar Laha"/>
    <s v="9434133803"/>
  </r>
  <r>
    <s v="RCF Thal"/>
    <s v="N.C.Urea(45kg)"/>
    <s v="WB"/>
    <x v="4"/>
    <s v="Bhatar"/>
    <s v="User Not Mapped"/>
    <s v="User Not Mapped"/>
    <s v="User Not Mapped"/>
    <n v="615925"/>
    <s v="ASOKE ROY"/>
    <s v="Private Retailer"/>
    <s v="7908811209"/>
    <n v="5.9850000000000003"/>
    <n v="247"/>
    <x v="1"/>
    <m/>
    <s v="2025-08-16"/>
    <s v="261704"/>
    <s v="M/s. Kiran Sankar Ray"/>
    <s v="8250469811"/>
  </r>
  <r>
    <s v="RCF Trombay"/>
    <s v="N.C.Urea(45kg)"/>
    <s v="WB"/>
    <x v="4"/>
    <s v="Bhatar"/>
    <s v="User Not Mapped"/>
    <s v="User Not Mapped"/>
    <s v="User Not Mapped"/>
    <n v="1005182"/>
    <s v="M/S KRISHI BHANDAR"/>
    <s v="Private Retailer"/>
    <s v="7063580134"/>
    <n v="7.65"/>
    <n v="226"/>
    <x v="1"/>
    <m/>
    <s v="2025-09-06"/>
    <s v="261704"/>
    <s v="M/s. Kiran Sankar Ray"/>
    <s v="8250469811"/>
  </r>
  <r>
    <s v="RCF Thal"/>
    <s v="N.C.Urea(45kg)"/>
    <s v="WB"/>
    <x v="4"/>
    <s v="Manteswar"/>
    <s v="User Not Mapped"/>
    <s v="User Not Mapped"/>
    <s v="User Not Mapped"/>
    <n v="353760"/>
    <s v="M/s. Partha Ghosh"/>
    <s v="Private Retailer"/>
    <s v="9475412106"/>
    <n v="0.495"/>
    <n v="247"/>
    <x v="1"/>
    <m/>
    <s v="2025-08-16"/>
    <s v="261704"/>
    <s v="M/s. Kiran Sankar Ray"/>
    <s v="8250469811"/>
  </r>
  <r>
    <s v="RCF Thal"/>
    <s v="N.C.Urea(45kg)"/>
    <s v="WB"/>
    <x v="4"/>
    <s v="Purbasthali - II"/>
    <s v="User Not Mapped"/>
    <s v="User Not Mapped"/>
    <s v="User Not Mapped"/>
    <n v="639451"/>
    <s v="NUR HASAN SHAIKH"/>
    <s v="Private Retailer"/>
    <s v="6294552007"/>
    <n v="5.49"/>
    <n v="103"/>
    <x v="7"/>
    <m/>
    <s v="2026-01-07"/>
    <s v="261704"/>
    <s v="M/s. Kiran Sankar Ray"/>
    <s v="8250469811"/>
  </r>
  <r>
    <s v="RCF Thal"/>
    <s v="N.C.Urea(45kg)"/>
    <s v="WB"/>
    <x v="4"/>
    <s v="Purbasthali - II"/>
    <s v="User Not Mapped"/>
    <s v="User Not Mapped"/>
    <s v="User Not Mapped"/>
    <n v="1573301"/>
    <s v="Papri Ghosh"/>
    <s v="Private Retailer"/>
    <s v="8001537910"/>
    <n v="2.79"/>
    <n v="132"/>
    <x v="4"/>
    <m/>
    <s v="2025-12-09"/>
    <s v="261704"/>
    <s v="M/s. Kiran Sankar Ray"/>
    <s v="8250469811"/>
  </r>
  <r>
    <s v="RCF Trombay"/>
    <s v="15-15-15"/>
    <s v="WB"/>
    <x v="4"/>
    <s v="Ketugram - I"/>
    <s v="User Not Mapped"/>
    <s v="User Not Mapped"/>
    <s v="User Not Mapped"/>
    <n v="239986"/>
    <s v="Ketugram Thana A.M.C.S. Ltd."/>
    <s v="PACS"/>
    <s v="9734526524"/>
    <n v="19"/>
    <n v="567"/>
    <x v="2"/>
    <m/>
    <s v="2024-09-30"/>
    <s v="1391279"/>
    <s v="M/s. Lokenath Enterprise"/>
    <s v="9474550617"/>
  </r>
  <r>
    <s v="RCF Thal"/>
    <s v="N.C.Urea(45kg)"/>
    <s v="WB"/>
    <x v="4"/>
    <s v="Burdwan - I"/>
    <s v="User Not Mapped"/>
    <s v="User Not Mapped"/>
    <s v="User Not Mapped"/>
    <n v="404210"/>
    <s v="Mondal Traders"/>
    <s v="Private Retailer"/>
    <s v="9732055182"/>
    <n v="6.57"/>
    <n v="356"/>
    <x v="1"/>
    <m/>
    <s v="2025-04-29"/>
    <s v="1391279"/>
    <s v="M/s. Lokenath Enterprise"/>
    <s v="9474550617"/>
  </r>
  <r>
    <s v="RCF Import"/>
    <s v="MOP"/>
    <s v="WB"/>
    <x v="4"/>
    <s v="Katwa - I"/>
    <s v="User Not Mapped"/>
    <s v="User Not Mapped"/>
    <s v="User Not Mapped"/>
    <n v="622744"/>
    <s v="KRISHI MANGAL BEEJ BHABAN"/>
    <s v="Private Retailer"/>
    <s v="9647653680"/>
    <n v="0.75"/>
    <n v="404"/>
    <x v="0"/>
    <m/>
    <s v="2025-03-12"/>
    <s v="221301"/>
    <s v="M/s. Mahadeb Saha and Co."/>
    <s v="9434252325"/>
  </r>
  <r>
    <s v="RCF Import"/>
    <s v="MOP"/>
    <s v="WB"/>
    <x v="4"/>
    <s v="Mangolkote"/>
    <s v="User Not Mapped"/>
    <s v="User Not Mapped"/>
    <s v="User Not Mapped"/>
    <n v="682647"/>
    <s v="Md. Tipu Choudhury"/>
    <s v="Private Retailer"/>
    <s v="9734114332"/>
    <n v="0.75"/>
    <n v="412"/>
    <x v="0"/>
    <m/>
    <s v="2025-03-04"/>
    <s v="221301"/>
    <s v="M/s. Mahadeb Saha and Co."/>
    <s v="9434252325"/>
  </r>
  <r>
    <s v="RCF Thal"/>
    <s v="N.C.Urea(45kg)"/>
    <s v="WB"/>
    <x v="4"/>
    <s v="Khandaghosh"/>
    <s v="User Not Mapped"/>
    <s v="User Not Mapped"/>
    <s v="User Not Mapped"/>
    <n v="882161"/>
    <s v="CHIRANJIT GHOSH"/>
    <s v="Private Retailer"/>
    <s v="8001696204"/>
    <n v="2.3849999999999998"/>
    <n v="232"/>
    <x v="1"/>
    <m/>
    <s v="2025-08-31"/>
    <s v="921423"/>
    <s v="M/s. Mirza Md Manik"/>
    <s v="6297462482"/>
  </r>
  <r>
    <s v="RCF Import"/>
    <s v="MOP"/>
    <s v="WB"/>
    <x v="4"/>
    <s v="Katwa - I"/>
    <s v="User Not Mapped"/>
    <s v="User Not Mapped"/>
    <s v="User Not Mapped"/>
    <n v="622756"/>
    <s v="APURBA GHOSH"/>
    <s v="Private Retailer"/>
    <s v="9732134911"/>
    <n v="3.6"/>
    <n v="60"/>
    <x v="3"/>
    <m/>
    <s v="2026-02-19"/>
    <s v="261730"/>
    <s v="M/s. S.Sikdar and Co."/>
    <s v="9064141714"/>
  </r>
  <r>
    <s v="RCF Thal"/>
    <s v="N.C.Urea(45kg)"/>
    <s v="WB"/>
    <x v="4"/>
    <s v="Mangolkote"/>
    <s v="User Not Mapped"/>
    <s v="User Not Mapped"/>
    <s v="User Not Mapped"/>
    <n v="343916"/>
    <s v="Asim  Mondal"/>
    <s v="Private Retailer"/>
    <s v="9474173848"/>
    <n v="5.9850000000000003"/>
    <n v="11"/>
    <x v="5"/>
    <m/>
    <s v="2026-04-09"/>
    <s v="261730"/>
    <s v="M/s. S.Sikdar and Co."/>
    <s v="9064141714"/>
  </r>
  <r>
    <s v="RCF Import"/>
    <s v="MOP"/>
    <s v="WB"/>
    <x v="4"/>
    <s v="Ketugram - II"/>
    <s v="User Not Mapped"/>
    <s v="User Not Mapped"/>
    <s v="User Not Mapped"/>
    <n v="353726"/>
    <s v="Buddhadeb Mondal"/>
    <s v="Private Retailer"/>
    <s v="9564284149"/>
    <n v="0.6"/>
    <n v="60"/>
    <x v="3"/>
    <m/>
    <s v="2026-02-19"/>
    <s v="261730"/>
    <s v="M/s. S.Sikdar and Co."/>
    <s v="9064141714"/>
  </r>
  <r>
    <s v="RCF Import"/>
    <s v="Imp 10-26-26"/>
    <s v="WB"/>
    <x v="4"/>
    <s v="Ketugram - II"/>
    <s v="User Not Mapped"/>
    <s v="User Not Mapped"/>
    <s v="User Not Mapped"/>
    <n v="353726"/>
    <s v="Buddhadeb Mondal"/>
    <s v="Private Retailer"/>
    <s v="9564284149"/>
    <n v="3.6"/>
    <n v="55"/>
    <x v="3"/>
    <m/>
    <s v="2026-02-24"/>
    <s v="261730"/>
    <s v="M/s. S.Sikdar and Co."/>
    <s v="9064141714"/>
  </r>
  <r>
    <s v="RCF Trombay"/>
    <s v="15-15-15"/>
    <s v="WB"/>
    <x v="4"/>
    <s v="Katwa - I"/>
    <s v="User Not Mapped"/>
    <s v="User Not Mapped"/>
    <s v="User Not Mapped"/>
    <n v="621626"/>
    <s v="CHANDANA SAHA"/>
    <s v="Private Retailer"/>
    <s v="9735833001"/>
    <n v="0.05"/>
    <n v="55"/>
    <x v="3"/>
    <m/>
    <s v="2026-02-24"/>
    <s v="261730"/>
    <s v="M/s. S.Sikdar and Co."/>
    <s v="9064141714"/>
  </r>
  <r>
    <s v="RCF Import"/>
    <s v="MOP"/>
    <s v="WB"/>
    <x v="4"/>
    <s v="Katwa - I"/>
    <s v="User Not Mapped"/>
    <s v="User Not Mapped"/>
    <s v="User Not Mapped"/>
    <n v="343957"/>
    <s v="Jiban Ghatak"/>
    <s v="Private Retailer"/>
    <s v="8250872149"/>
    <n v="4"/>
    <n v="60"/>
    <x v="3"/>
    <m/>
    <s v="2026-02-19"/>
    <s v="261730"/>
    <s v="M/s. S.Sikdar and Co."/>
    <s v="9064141714"/>
  </r>
  <r>
    <s v="RCF Thal"/>
    <s v="N.C.Urea(45kg)"/>
    <s v="WB"/>
    <x v="4"/>
    <s v="Katwa - I"/>
    <s v="User Not Mapped"/>
    <s v="User Not Mapped"/>
    <s v="User Not Mapped"/>
    <n v="343957"/>
    <s v="Jiban Ghatak"/>
    <s v="Private Retailer"/>
    <s v="8250872149"/>
    <n v="4.95"/>
    <n v="69"/>
    <x v="6"/>
    <m/>
    <s v="2026-02-10"/>
    <s v="261730"/>
    <s v="M/s. S.Sikdar and Co."/>
    <s v="9064141714"/>
  </r>
  <r>
    <s v="RCF Thal"/>
    <s v="N.C.Urea(45kg)"/>
    <s v="WB"/>
    <x v="4"/>
    <s v="Purbasthali - II"/>
    <s v="User Not Mapped"/>
    <s v="User Not Mapped"/>
    <s v="User Not Mapped"/>
    <n v="639429"/>
    <s v="M/S SUKDEB GHOSH"/>
    <s v="Private Retailer"/>
    <s v="9647994736"/>
    <n v="0.495"/>
    <n v="147"/>
    <x v="4"/>
    <m/>
    <s v="2025-11-24"/>
    <s v="261730"/>
    <s v="M/s. S.Sikdar and Co."/>
    <s v="9064141714"/>
  </r>
  <r>
    <s v="RCF Trombay"/>
    <s v="15-15-15"/>
    <s v="WB"/>
    <x v="4"/>
    <s v="Purbasthali - II"/>
    <s v="User Not Mapped"/>
    <s v="User Not Mapped"/>
    <s v="User Not Mapped"/>
    <n v="639439"/>
    <s v="M/S. GOUTAM SAHA"/>
    <s v="Private Retailer"/>
    <s v="9734779460"/>
    <n v="1.25"/>
    <n v="175"/>
    <x v="4"/>
    <m/>
    <s v="2025-10-27"/>
    <s v="261730"/>
    <s v="M/s. S.Sikdar and Co."/>
    <s v="9064141714"/>
  </r>
  <r>
    <s v="RCF Import"/>
    <s v="Imp 10-26-26"/>
    <s v="WB"/>
    <x v="4"/>
    <s v="Purbasthali - II"/>
    <s v="User Not Mapped"/>
    <s v="User Not Mapped"/>
    <s v="User Not Mapped"/>
    <n v="639439"/>
    <s v="M/S. GOUTAM SAHA"/>
    <s v="Private Retailer"/>
    <s v="9734779460"/>
    <n v="5"/>
    <n v="55"/>
    <x v="3"/>
    <m/>
    <s v="2026-02-24"/>
    <s v="261730"/>
    <s v="M/s. S.Sikdar and Co."/>
    <s v="9064141714"/>
  </r>
  <r>
    <s v="RCF Thal"/>
    <s v="N.C.Urea(45kg)"/>
    <s v="WB"/>
    <x v="4"/>
    <s v="Purbasthali - II"/>
    <s v="User Not Mapped"/>
    <s v="User Not Mapped"/>
    <s v="User Not Mapped"/>
    <n v="340131"/>
    <s v="M/s. Sannyasi Das"/>
    <s v="Private Retailer"/>
    <s v="9735805983"/>
    <n v="0.63"/>
    <n v="11"/>
    <x v="5"/>
    <m/>
    <s v="2026-04-09"/>
    <s v="261730"/>
    <s v="M/s. S.Sikdar and Co."/>
    <s v="9064141714"/>
  </r>
  <r>
    <s v="RCF Thal"/>
    <s v="N.C.Urea(45kg)"/>
    <s v="WB"/>
    <x v="4"/>
    <s v="Purbasthali - II"/>
    <s v="User Not Mapped"/>
    <s v="User Not Mapped"/>
    <s v="User Not Mapped"/>
    <n v="633418"/>
    <s v="M/s. Sirajul Haque Mallick"/>
    <s v="Private Retailer"/>
    <s v="9093041014"/>
    <n v="3.87"/>
    <n v="147"/>
    <x v="4"/>
    <m/>
    <s v="2025-11-24"/>
    <s v="261730"/>
    <s v="M/s. S.Sikdar and Co."/>
    <s v="9064141714"/>
  </r>
  <r>
    <s v="RCF Import"/>
    <s v="Imp 10-26-26"/>
    <s v="WB"/>
    <x v="4"/>
    <s v="Mangolkote"/>
    <s v="User Not Mapped"/>
    <s v="User Not Mapped"/>
    <s v="User Not Mapped"/>
    <n v="610719"/>
    <s v="M/s. Subhendu Kundu"/>
    <s v="Private Retailer"/>
    <s v="7908901130"/>
    <n v="6"/>
    <n v="55"/>
    <x v="3"/>
    <m/>
    <s v="2026-02-24"/>
    <s v="261730"/>
    <s v="M/s. S.Sikdar and Co."/>
    <s v="9064141714"/>
  </r>
  <r>
    <s v="RCF Thal"/>
    <s v="N.C.Urea(45kg)"/>
    <s v="WB"/>
    <x v="4"/>
    <s v="Mangolkote"/>
    <s v="User Not Mapped"/>
    <s v="User Not Mapped"/>
    <s v="User Not Mapped"/>
    <n v="610719"/>
    <s v="M/s. Subhendu Kundu"/>
    <s v="Private Retailer"/>
    <s v="7908901130"/>
    <n v="5.9850000000000003"/>
    <n v="69"/>
    <x v="6"/>
    <m/>
    <s v="2026-02-10"/>
    <s v="261730"/>
    <s v="M/s. S.Sikdar and Co."/>
    <s v="9064141714"/>
  </r>
  <r>
    <s v="RCF Trombay"/>
    <s v="N.C.Urea(45kg)"/>
    <s v="WB"/>
    <x v="4"/>
    <s v="Mangolkote"/>
    <s v="User Not Mapped"/>
    <s v="User Not Mapped"/>
    <s v="User Not Mapped"/>
    <n v="610719"/>
    <s v="M/s. Subhendu Kundu"/>
    <s v="Private Retailer"/>
    <s v="7908901130"/>
    <n v="3.33"/>
    <n v="90"/>
    <x v="6"/>
    <m/>
    <s v="2026-01-20"/>
    <s v="261730"/>
    <s v="M/s. S.Sikdar and Co."/>
    <s v="9064141714"/>
  </r>
  <r>
    <s v="RCF Import"/>
    <s v="Imp 10-26-26"/>
    <s v="WB"/>
    <x v="4"/>
    <s v="Purbasthali - I"/>
    <s v="User Not Mapped"/>
    <s v="User Not Mapped"/>
    <s v="User Not Mapped"/>
    <n v="408086"/>
    <s v="Mahima Krishi Bhander"/>
    <s v="Private Retailer"/>
    <s v="9474739469"/>
    <n v="5"/>
    <n v="55"/>
    <x v="3"/>
    <m/>
    <s v="2026-02-24"/>
    <s v="261730"/>
    <s v="M/s. S.Sikdar and Co."/>
    <s v="9064141714"/>
  </r>
  <r>
    <s v="RCF Trombay"/>
    <s v="N.C.Urea(45kg)"/>
    <s v="WB"/>
    <x v="4"/>
    <s v="Manteswar"/>
    <s v="User Not Mapped"/>
    <s v="User Not Mapped"/>
    <s v="User Not Mapped"/>
    <n v="642062"/>
    <s v="Mondal Fertilizer"/>
    <s v="Private Retailer"/>
    <s v="9732375975"/>
    <n v="3.8250000000000002"/>
    <n v="424"/>
    <x v="0"/>
    <m/>
    <s v="2025-02-20"/>
    <s v="261730"/>
    <s v="M/s. S.Sikdar and Co."/>
    <s v="9064141714"/>
  </r>
  <r>
    <s v="RCF Trombay"/>
    <s v="15-15-15"/>
    <s v="WB"/>
    <x v="4"/>
    <m/>
    <s v="User Not Mapped"/>
    <s v="User Not Mapped"/>
    <s v="User Not Mapped"/>
    <n v="427090"/>
    <s v="Rakia Begum"/>
    <s v="Private Retailer"/>
    <s v="9735772681"/>
    <n v="4.5"/>
    <n v="264"/>
    <x v="1"/>
    <m/>
    <s v="2025-07-30"/>
    <s v="261730"/>
    <s v="M/s. S.Sikdar and Co."/>
    <s v="9064141714"/>
  </r>
  <r>
    <s v="RCF Import"/>
    <s v="Imp 10-26-26"/>
    <s v="WB"/>
    <x v="4"/>
    <m/>
    <s v="User Not Mapped"/>
    <s v="User Not Mapped"/>
    <s v="User Not Mapped"/>
    <n v="427090"/>
    <s v="Rakia Begum"/>
    <s v="Private Retailer"/>
    <s v="9735772681"/>
    <n v="5"/>
    <n v="264"/>
    <x v="1"/>
    <m/>
    <s v="2025-07-30"/>
    <s v="261730"/>
    <s v="M/s. S.Sikdar and Co."/>
    <s v="9064141714"/>
  </r>
  <r>
    <s v="RCF Import"/>
    <s v="Imp 10-26-26"/>
    <s v="WB"/>
    <x v="4"/>
    <s v="Katwa - I"/>
    <s v="User Not Mapped"/>
    <s v="User Not Mapped"/>
    <s v="User Not Mapped"/>
    <n v="1463858"/>
    <s v="Saha Fertilizer"/>
    <s v="Private Retailer"/>
    <s v="9593204420"/>
    <n v="1.75"/>
    <n v="55"/>
    <x v="3"/>
    <m/>
    <s v="2026-02-24"/>
    <s v="261730"/>
    <s v="M/s. S.Sikdar and Co."/>
    <s v="9064141714"/>
  </r>
  <r>
    <s v="RCF Trombay"/>
    <s v="15-15-15"/>
    <s v="WB"/>
    <x v="4"/>
    <s v="Mangolkote"/>
    <s v="User Not Mapped"/>
    <s v="User Not Mapped"/>
    <s v="User Not Mapped"/>
    <n v="1557374"/>
    <s v="Sri Krishna Krishi Kalyan"/>
    <s v="Private Retailer"/>
    <s v="7047227692"/>
    <n v="5"/>
    <n v="49"/>
    <x v="3"/>
    <m/>
    <s v="2026-03-02"/>
    <s v="261730"/>
    <s v="M/s. S.Sikdar and Co."/>
    <s v="9064141714"/>
  </r>
  <r>
    <s v="RCF Trombay"/>
    <s v="15-15-15"/>
    <s v="WB"/>
    <x v="4"/>
    <s v="Mangolkote"/>
    <s v="User Not Mapped"/>
    <s v="User Not Mapped"/>
    <s v="User Not Mapped"/>
    <n v="1557374"/>
    <s v="Sri Krishna Krishi Kalyan"/>
    <s v="Private Retailer"/>
    <s v="7047227692"/>
    <n v="1.5"/>
    <n v="72"/>
    <x v="6"/>
    <m/>
    <s v="2026-02-07"/>
    <s v="261730"/>
    <s v="M/s. S.Sikdar and Co."/>
    <s v="9064141714"/>
  </r>
  <r>
    <s v="RCF Import"/>
    <s v="MOP"/>
    <s v="WB"/>
    <x v="4"/>
    <s v="Mangolkote"/>
    <s v="User Not Mapped"/>
    <s v="User Not Mapped"/>
    <s v="User Not Mapped"/>
    <n v="1557374"/>
    <s v="Sri Krishna Krishi Kalyan"/>
    <s v="Private Retailer"/>
    <s v="7047227692"/>
    <n v="3"/>
    <n v="60"/>
    <x v="3"/>
    <m/>
    <s v="2026-02-19"/>
    <s v="261730"/>
    <s v="M/s. S.Sikdar and Co."/>
    <s v="9064141714"/>
  </r>
  <r>
    <s v="RCF Thal"/>
    <s v="N.C.Urea(45kg)"/>
    <s v="WB"/>
    <x v="4"/>
    <s v="Raina - II"/>
    <s v="User Not Mapped"/>
    <s v="User Not Mapped"/>
    <s v="User Not Mapped"/>
    <n v="343902"/>
    <s v="Abdulhabibhazari"/>
    <s v="Private Retailer"/>
    <s v="9732216220"/>
    <n v="0.54"/>
    <n v="68"/>
    <x v="6"/>
    <m/>
    <s v="2026-02-11"/>
    <s v="1612392"/>
    <s v="MANIK LAL PAL"/>
    <s v="8926111645"/>
  </r>
  <r>
    <s v="RCF Thal"/>
    <s v="N.C.Urea(45kg)"/>
    <s v="WB"/>
    <x v="4"/>
    <s v="Memari - I"/>
    <s v="User Not Mapped"/>
    <s v="User Not Mapped"/>
    <s v="User Not Mapped"/>
    <n v="487059"/>
    <s v="Kanan Kishore De"/>
    <s v="Private Retailer"/>
    <s v="9434673762"/>
    <n v="9.7200000000000006"/>
    <n v="147"/>
    <x v="4"/>
    <m/>
    <s v="2025-11-24"/>
    <s v="1612392"/>
    <s v="MANIK LAL PAL"/>
    <s v="8926111645"/>
  </r>
  <r>
    <s v="RCF Import"/>
    <s v="Imp 10-26-26"/>
    <s v="WB"/>
    <x v="4"/>
    <s v="Purbasthali - I"/>
    <s v="User Not Mapped"/>
    <s v="User Not Mapped"/>
    <s v="User Not Mapped"/>
    <n v="654099"/>
    <s v="M/S SHYMAL KUMAR GHOSH"/>
    <s v="Private Retailer"/>
    <s v="9733781881"/>
    <n v="11"/>
    <n v="55"/>
    <x v="3"/>
    <m/>
    <s v="2026-02-24"/>
    <s v="1612392"/>
    <s v="MANIK LAL PAL"/>
    <s v="8926111645"/>
  </r>
  <r>
    <s v="RCF Thal"/>
    <s v="N.C.Urea(45kg)"/>
    <s v="WB"/>
    <x v="4"/>
    <s v="Burdwan - I"/>
    <s v="User Not Mapped"/>
    <s v="User Not Mapped"/>
    <s v="User Not Mapped"/>
    <n v="1156141"/>
    <s v="PRASUN DAS"/>
    <s v="Private Wholsaler"/>
    <s v="9564391014"/>
    <n v="0.03"/>
    <n v="69"/>
    <x v="6"/>
    <s v="'32/25-26'"/>
    <s v="2026-02-10"/>
    <s v="1612392"/>
    <s v="MANIK LAL PAL"/>
    <s v="8926111645"/>
  </r>
  <r>
    <s v="RCF Thal"/>
    <s v="N.C.Urea(45kg)"/>
    <s v="WB"/>
    <x v="4"/>
    <s v="Katwa - I"/>
    <s v="User Not Mapped"/>
    <s v="User Not Mapped"/>
    <s v="User Not Mapped"/>
    <n v="559345"/>
    <s v="SUVAM SAHA"/>
    <s v="Private Retailer"/>
    <s v="9126728932"/>
    <n v="0.22500000000000001"/>
    <n v="144"/>
    <x v="4"/>
    <m/>
    <s v="2025-11-27"/>
    <s v="1612392"/>
    <s v="MANIK LAL PAL"/>
    <s v="8926111645"/>
  </r>
  <r>
    <s v="RCF Thal"/>
    <s v="N.C.Urea(45kg)"/>
    <s v="WB"/>
    <x v="4"/>
    <s v="Manteswar"/>
    <s v="User Not Mapped"/>
    <s v="User Not Mapped"/>
    <s v="User Not Mapped"/>
    <n v="744021"/>
    <s v="M/S BISWARUP NANDI"/>
    <s v="Private Retailer"/>
    <s v="9933485537"/>
    <n v="3.2850000000000001"/>
    <n v="422"/>
    <x v="0"/>
    <m/>
    <s v="2025-02-22"/>
    <s v="261714"/>
    <s v="Mukherjee Krishi Bhandar"/>
    <s v="8945050207"/>
  </r>
  <r>
    <s v="RCF Trombay"/>
    <s v="15-15-15"/>
    <s v="WB"/>
    <x v="4"/>
    <s v="Galsi - II"/>
    <s v="User Not Mapped"/>
    <s v="User Not Mapped"/>
    <s v="User Not Mapped"/>
    <n v="340073"/>
    <s v="Baba Billeswar Krishi Udyog"/>
    <s v="Private Retailer"/>
    <s v="9832209070"/>
    <n v="2.4"/>
    <n v="243"/>
    <x v="1"/>
    <m/>
    <s v="2025-08-20"/>
    <s v="286044"/>
    <s v="P M Sales Agency"/>
    <s v="9434002276"/>
  </r>
  <r>
    <s v="RCF Thal"/>
    <s v="N.C.Urea(45kg)"/>
    <s v="WB"/>
    <x v="4"/>
    <s v="Galsi - II"/>
    <s v="User Not Mapped"/>
    <s v="User Not Mapped"/>
    <s v="User Not Mapped"/>
    <n v="1559913"/>
    <s v="Dumur F.P.C.Ltd."/>
    <s v="Private Retailer"/>
    <s v="7908857396"/>
    <n v="0.9"/>
    <n v="72"/>
    <x v="6"/>
    <m/>
    <s v="2026-02-07"/>
    <s v="286044"/>
    <s v="P M Sales Agency"/>
    <s v="9434002276"/>
  </r>
  <r>
    <s v="RCF Trombay"/>
    <s v="15-15-15"/>
    <s v="WB"/>
    <x v="4"/>
    <s v="Galsi - II"/>
    <s v="User Not Mapped"/>
    <s v="User Not Mapped"/>
    <s v="User Not Mapped"/>
    <n v="1569523"/>
    <s v="GHOSH KRISHI BHANDAR "/>
    <s v="Marketer"/>
    <s v="7501551576"/>
    <n v="10"/>
    <n v="82"/>
    <x v="6"/>
    <s v="'2501'"/>
    <s v="2026-01-28"/>
    <s v="286044"/>
    <s v="P M Sales Agency"/>
    <s v="9434002276"/>
  </r>
  <r>
    <s v="RCF Trombay"/>
    <s v="15-15-15"/>
    <s v="WB"/>
    <x v="4"/>
    <s v="Galsi - II"/>
    <s v="User Not Mapped"/>
    <s v="User Not Mapped"/>
    <s v="User Not Mapped"/>
    <n v="1569523"/>
    <s v="GHOSH KRISHI BHANDAR "/>
    <s v="Marketer"/>
    <s v="7501551576"/>
    <n v="16"/>
    <n v="82"/>
    <x v="6"/>
    <s v="'2500'"/>
    <s v="2026-01-28"/>
    <s v="286044"/>
    <s v="P M Sales Agency"/>
    <s v="9434002276"/>
  </r>
  <r>
    <s v="RCF Thal"/>
    <s v="N.C.Urea(45kg)"/>
    <s v="WB"/>
    <x v="4"/>
    <s v="Galsi - II"/>
    <s v="User Not Mapped"/>
    <s v="User Not Mapped"/>
    <s v="User Not Mapped"/>
    <n v="617999"/>
    <s v="KURKUBA ASKARAN SKUS LTD"/>
    <s v="PACS"/>
    <s v="7001990836"/>
    <n v="18"/>
    <n v="248"/>
    <x v="1"/>
    <m/>
    <s v="2025-08-15"/>
    <s v="286044"/>
    <s v="P M Sales Agency"/>
    <s v="9434002276"/>
  </r>
  <r>
    <s v="RCF Thal"/>
    <s v="N.C.Urea(45kg)"/>
    <s v="WB"/>
    <x v="4"/>
    <s v="Galsi - II"/>
    <s v="User Not Mapped"/>
    <s v="User Not Mapped"/>
    <s v="User Not Mapped"/>
    <n v="622752"/>
    <s v="M/S-KRISHAK SATHI"/>
    <s v="Private Retailer"/>
    <s v="7679569300"/>
    <n v="0.45"/>
    <n v="152"/>
    <x v="4"/>
    <m/>
    <s v="2025-11-19"/>
    <s v="286044"/>
    <s v="P M Sales Agency"/>
    <s v="9434002276"/>
  </r>
  <r>
    <s v="RCF Thal"/>
    <s v="N.C.Urea(45kg)"/>
    <s v="WB"/>
    <x v="4"/>
    <s v="Galsi - II"/>
    <s v="User Not Mapped"/>
    <s v="User Not Mapped"/>
    <s v="User Not Mapped"/>
    <n v="1426937"/>
    <s v="Maa Krishi Bhandar"/>
    <s v="Private Retailer"/>
    <s v="9749498572"/>
    <n v="0.81"/>
    <n v="81"/>
    <x v="6"/>
    <m/>
    <s v="2026-01-29"/>
    <s v="286044"/>
    <s v="P M Sales Agency"/>
    <s v="9434002276"/>
  </r>
  <r>
    <s v="RCF Trombay"/>
    <s v="15-15-15"/>
    <s v="WB"/>
    <x v="4"/>
    <s v="Galsi - II"/>
    <s v="User Not Mapped"/>
    <s v="User Not Mapped"/>
    <s v="User Not Mapped"/>
    <n v="340122"/>
    <s v="P.M.Sales Agency"/>
    <s v="Private Retailer"/>
    <s v="8918786224"/>
    <n v="4"/>
    <n v="38"/>
    <x v="3"/>
    <m/>
    <s v="2026-03-13"/>
    <s v="286044"/>
    <s v="P M Sales Agency"/>
    <s v="9434002276"/>
  </r>
  <r>
    <s v="RCF Thal"/>
    <s v="N.C.Urea(45kg)"/>
    <s v="WB"/>
    <x v="4"/>
    <s v="Galsi - II"/>
    <s v="User Not Mapped"/>
    <s v="User Not Mapped"/>
    <s v="User Not Mapped"/>
    <n v="618013"/>
    <s v="ROY ENTERPRISE"/>
    <s v="Private Retailer"/>
    <s v="7699431699"/>
    <n v="0.9"/>
    <n v="159"/>
    <x v="4"/>
    <m/>
    <s v="2025-11-12"/>
    <s v="286044"/>
    <s v="P M Sales Agency"/>
    <s v="9434002276"/>
  </r>
  <r>
    <s v="RCF Thal"/>
    <s v="N.C.Urea(45kg)"/>
    <s v="WB"/>
    <x v="4"/>
    <s v="Galsi - II"/>
    <s v="User Not Mapped"/>
    <s v="User Not Mapped"/>
    <s v="User Not Mapped"/>
    <n v="618013"/>
    <s v="ROY ENTERPRISE"/>
    <s v="Private Retailer"/>
    <s v="7699431699"/>
    <n v="4.05"/>
    <n v="219"/>
    <x v="1"/>
    <m/>
    <s v="2025-09-13"/>
    <s v="286044"/>
    <s v="P M Sales Agency"/>
    <s v="9434002276"/>
  </r>
  <r>
    <s v="RCF Thal"/>
    <s v="N.C.Urea(45kg)"/>
    <s v="WB"/>
    <x v="4"/>
    <s v="Galsi - II"/>
    <s v="User Not Mapped"/>
    <s v="User Not Mapped"/>
    <s v="User Not Mapped"/>
    <n v="1630093"/>
    <s v="Swarna Agro Care"/>
    <s v="Private Retailer"/>
    <s v="9101023021"/>
    <n v="0.495"/>
    <n v="74"/>
    <x v="6"/>
    <m/>
    <s v="2026-02-05"/>
    <s v="286044"/>
    <s v="P M Sales Agency"/>
    <s v="9434002276"/>
  </r>
  <r>
    <s v="RCF Thal"/>
    <s v="N.C.Urea(45kg)"/>
    <s v="WB"/>
    <x v="4"/>
    <s v="Purbasthali - I"/>
    <s v="User Not Mapped"/>
    <s v="User Not Mapped"/>
    <s v="User Not Mapped"/>
    <n v="671347"/>
    <s v="ABHIJIT MONDAL"/>
    <s v="Private Retailer"/>
    <s v="9083617730"/>
    <n v="0.495"/>
    <n v="139"/>
    <x v="4"/>
    <m/>
    <s v="2025-12-02"/>
    <s v="1156141"/>
    <s v="PRASUN DAS"/>
    <s v="9564391014"/>
  </r>
  <r>
    <s v="RCF Trombay"/>
    <s v="N.C.Urea(45kg)"/>
    <s v="WB"/>
    <x v="4"/>
    <s v="Purbasthali - I"/>
    <s v="User Not Mapped"/>
    <s v="User Not Mapped"/>
    <s v="User Not Mapped"/>
    <n v="1065104"/>
    <s v="BRINDABAN CHOWDHURY"/>
    <s v="Private Retailer"/>
    <s v="8642076176"/>
    <n v="2.34"/>
    <n v="338"/>
    <x v="1"/>
    <m/>
    <s v="2025-05-17"/>
    <s v="1156141"/>
    <s v="PRASUN DAS"/>
    <s v="9564391014"/>
  </r>
  <r>
    <s v="RCF Thal"/>
    <s v="N.C.Urea(45kg)"/>
    <s v="WB"/>
    <x v="4"/>
    <s v="Purbasthali - I"/>
    <s v="User Not Mapped"/>
    <s v="User Not Mapped"/>
    <s v="User Not Mapped"/>
    <n v="1065104"/>
    <s v="BRINDABAN CHOWDHURY"/>
    <s v="Private Retailer"/>
    <s v="8642076176"/>
    <n v="1.0349999999999999"/>
    <n v="187"/>
    <x v="1"/>
    <m/>
    <s v="2025-10-15"/>
    <s v="1156141"/>
    <s v="PRASUN DAS"/>
    <s v="9564391014"/>
  </r>
  <r>
    <s v="RCF Thal"/>
    <s v="N.C.Urea(45kg)"/>
    <s v="WB"/>
    <x v="4"/>
    <s v="Kalna - I"/>
    <s v="User Not Mapped"/>
    <s v="User Not Mapped"/>
    <s v="User Not Mapped"/>
    <n v="633086"/>
    <s v="HIMADRI SINGHA ROY"/>
    <s v="Private Retailer"/>
    <s v="8016812609"/>
    <n v="2.25"/>
    <n v="68"/>
    <x v="6"/>
    <m/>
    <s v="2026-02-11"/>
    <s v="1156141"/>
    <s v="PRASUN DAS"/>
    <s v="9564391014"/>
  </r>
  <r>
    <s v="RCF Import"/>
    <s v="Imp 10-26-26"/>
    <s v="WB"/>
    <x v="4"/>
    <s v="Purbasthali - I"/>
    <s v="User Not Mapped"/>
    <s v="User Not Mapped"/>
    <s v="User Not Mapped"/>
    <n v="639791"/>
    <s v="IMDADUL MALLIK"/>
    <s v="Private Retailer"/>
    <s v="9153088183"/>
    <n v="0.15"/>
    <n v="176"/>
    <x v="4"/>
    <m/>
    <s v="2025-10-26"/>
    <s v="1156141"/>
    <s v="PRASUN DAS"/>
    <s v="9564391014"/>
  </r>
  <r>
    <s v="RCF Thal"/>
    <s v="N.C.Urea(45kg)"/>
    <s v="WB"/>
    <x v="4"/>
    <s v="Kalna - I"/>
    <s v="User Not Mapped"/>
    <s v="User Not Mapped"/>
    <s v="User Not Mapped"/>
    <n v="1552617"/>
    <s v="M/s. Mojibar Rahaman Mondal"/>
    <s v="Private Retailer"/>
    <s v="7001377629"/>
    <n v="0.45"/>
    <n v="68"/>
    <x v="6"/>
    <m/>
    <s v="2026-02-11"/>
    <s v="1156141"/>
    <s v="PRASUN DAS"/>
    <s v="9564391014"/>
  </r>
  <r>
    <s v="RCF Thal"/>
    <s v="N.C.Urea(45kg)"/>
    <s v="WB"/>
    <x v="4"/>
    <s v="Purbasthali - I"/>
    <s v="User Not Mapped"/>
    <s v="User Not Mapped"/>
    <s v="User Not Mapped"/>
    <n v="1005178"/>
    <s v="MANIKMOY MONDAL"/>
    <s v="Private Retailer"/>
    <s v="8918016922"/>
    <n v="1.4999999999999999E-2"/>
    <n v="245"/>
    <x v="1"/>
    <m/>
    <s v="2025-08-18"/>
    <s v="1156141"/>
    <s v="PRASUN DAS"/>
    <s v="9564391014"/>
  </r>
  <r>
    <s v="RCF Trombay"/>
    <s v="15-15-15"/>
    <s v="WB"/>
    <x v="4"/>
    <s v="Purbasthali - I"/>
    <s v="User Not Mapped"/>
    <s v="User Not Mapped"/>
    <s v="User Not Mapped"/>
    <n v="1005178"/>
    <s v="MANIKMOY MONDAL"/>
    <s v="Private Retailer"/>
    <s v="8918016922"/>
    <n v="1.5"/>
    <n v="223"/>
    <x v="1"/>
    <m/>
    <s v="2025-09-09"/>
    <s v="1156141"/>
    <s v="PRASUN DAS"/>
    <s v="9564391014"/>
  </r>
  <r>
    <s v="RCF Thal"/>
    <s v="N.C.Urea(45kg)"/>
    <s v="WB"/>
    <x v="4"/>
    <s v="Purbasthali - I"/>
    <s v="User Not Mapped"/>
    <s v="User Not Mapped"/>
    <s v="User Not Mapped"/>
    <n v="767922"/>
    <s v="RAJIB SK"/>
    <s v="Private Retailer"/>
    <s v="9547895232"/>
    <n v="4.4999999999999998E-2"/>
    <n v="245"/>
    <x v="1"/>
    <m/>
    <s v="2025-08-18"/>
    <s v="1156141"/>
    <s v="PRASUN DAS"/>
    <s v="9564391014"/>
  </r>
  <r>
    <s v="RCF Import"/>
    <s v="MOP"/>
    <s v="WB"/>
    <x v="4"/>
    <s v="Kalna - II"/>
    <s v="User Not Mapped"/>
    <s v="User Not Mapped"/>
    <s v="User Not Mapped"/>
    <n v="988222"/>
    <s v="SANJIT KUMAR DAS"/>
    <s v="Private Retailer"/>
    <s v="9564919154"/>
    <n v="0.4"/>
    <n v="428"/>
    <x v="0"/>
    <m/>
    <s v="2025-02-16"/>
    <s v="1156141"/>
    <s v="PRASUN DAS"/>
    <s v="9564391014"/>
  </r>
  <r>
    <s v="RCF Thal"/>
    <s v="N.C.Urea(45kg)"/>
    <s v="WB"/>
    <x v="4"/>
    <s v="Purbasthali - I"/>
    <s v="User Not Mapped"/>
    <s v="User Not Mapped"/>
    <s v="User Not Mapped"/>
    <n v="654147"/>
    <s v="SUBAL CHANDRA PAL"/>
    <s v="Private Retailer"/>
    <s v="6294222256"/>
    <n v="1.4850000000000001"/>
    <n v="187"/>
    <x v="1"/>
    <m/>
    <s v="2025-10-15"/>
    <s v="1156141"/>
    <s v="PRASUN DAS"/>
    <s v="9564391014"/>
  </r>
  <r>
    <s v="RCF Import"/>
    <s v="Imp 10-26-26"/>
    <s v="WB"/>
    <x v="4"/>
    <s v="Purbasthali - I"/>
    <s v="User Not Mapped"/>
    <s v="User Not Mapped"/>
    <s v="User Not Mapped"/>
    <n v="639797"/>
    <s v="SURAT ALI SEIKH"/>
    <s v="Private Retailer"/>
    <s v="7430880020"/>
    <n v="1.5"/>
    <n v="234"/>
    <x v="1"/>
    <m/>
    <s v="2025-08-29"/>
    <s v="1156141"/>
    <s v="PRASUN DAS"/>
    <s v="9564391014"/>
  </r>
  <r>
    <s v="RCF Thal"/>
    <s v="N.C.Urea(45kg)"/>
    <s v="WB"/>
    <x v="4"/>
    <s v="Jamalpur"/>
    <s v="User Not Mapped"/>
    <s v="User Not Mapped"/>
    <s v="User Not Mapped"/>
    <n v="261689"/>
    <s v="M/s. Bimal Kumar Laha"/>
    <s v="Private Wholsaler"/>
    <s v="9434133803"/>
    <n v="21.78"/>
    <n v="70"/>
    <x v="6"/>
    <s v="'WS3125003332'"/>
    <s v="2026-02-09"/>
    <s v="1"/>
    <s v="rcf"/>
    <m/>
  </r>
  <r>
    <s v="RCF Import"/>
    <s v="Imp 10-26-26"/>
    <s v="WB"/>
    <x v="4"/>
    <s v="Jamalpur"/>
    <s v="User Not Mapped"/>
    <s v="User Not Mapped"/>
    <s v="User Not Mapped"/>
    <n v="261689"/>
    <s v="M/s. Bimal Kumar Laha"/>
    <s v="Private Wholsaler"/>
    <s v="9434133803"/>
    <n v="50"/>
    <n v="58"/>
    <x v="3"/>
    <s v="'WS3125003692'"/>
    <s v="2026-02-21"/>
    <s v="1"/>
    <s v="rcf"/>
    <m/>
  </r>
  <r>
    <s v="RCF Import"/>
    <s v="Imp 10-26-26"/>
    <s v="WB"/>
    <x v="4"/>
    <s v="Jamalpur"/>
    <s v="User Not Mapped"/>
    <s v="User Not Mapped"/>
    <s v="User Not Mapped"/>
    <n v="261689"/>
    <s v="M/s. Bimal Kumar Laha"/>
    <s v="Private Wholsaler"/>
    <s v="9434133803"/>
    <n v="10.8"/>
    <n v="57"/>
    <x v="3"/>
    <s v="'WS3125003710'"/>
    <s v="2026-02-22"/>
    <s v="1"/>
    <s v="rcf"/>
    <m/>
  </r>
  <r>
    <s v="RCF Import"/>
    <s v="Imp 10-26-26"/>
    <s v="WB"/>
    <x v="4"/>
    <s v="Jamalpur"/>
    <s v="User Not Mapped"/>
    <s v="User Not Mapped"/>
    <s v="User Not Mapped"/>
    <n v="261689"/>
    <s v="M/s. Bimal Kumar Laha"/>
    <s v="Private Wholsaler"/>
    <s v="9434133803"/>
    <n v="50"/>
    <n v="58"/>
    <x v="3"/>
    <s v="'WS3125003693'"/>
    <s v="2026-02-21"/>
    <s v="1"/>
    <s v="rcf"/>
    <m/>
  </r>
  <r>
    <s v="RCF Thal"/>
    <s v="N.C.Urea(45kg)"/>
    <s v="WB"/>
    <x v="4"/>
    <s v="Jamalpur"/>
    <s v="User Not Mapped"/>
    <s v="User Not Mapped"/>
    <s v="User Not Mapped"/>
    <n v="261689"/>
    <s v="M/s. Bimal Kumar Laha"/>
    <s v="Private Wholsaler"/>
    <s v="9434133803"/>
    <n v="0.63"/>
    <n v="70"/>
    <x v="6"/>
    <s v="'WS3125003331'"/>
    <s v="2026-02-09"/>
    <s v="1"/>
    <s v="rcf"/>
    <m/>
  </r>
  <r>
    <s v="RCF Import"/>
    <s v="Imp 10-26-26"/>
    <s v="WB"/>
    <x v="4"/>
    <s v="Jamalpur"/>
    <s v="User Not Mapped"/>
    <s v="User Not Mapped"/>
    <s v="User Not Mapped"/>
    <n v="261689"/>
    <s v="M/s. Bimal Kumar Laha"/>
    <s v="Private Wholsaler"/>
    <s v="9434133803"/>
    <n v="50"/>
    <n v="58"/>
    <x v="3"/>
    <s v="'WS3125003695'"/>
    <s v="2026-02-21"/>
    <s v="1"/>
    <s v="rcf"/>
    <m/>
  </r>
  <r>
    <s v="RCF Thal"/>
    <s v="N.C.Urea(45kg)"/>
    <s v="WB"/>
    <x v="4"/>
    <s v="Jamalpur"/>
    <s v="User Not Mapped"/>
    <s v="User Not Mapped"/>
    <s v="User Not Mapped"/>
    <n v="261689"/>
    <s v="M/s. Bimal Kumar Laha"/>
    <s v="Private Wholsaler"/>
    <s v="9434133803"/>
    <n v="54"/>
    <n v="70"/>
    <x v="6"/>
    <s v="'WS3125003328'"/>
    <s v="2026-02-09"/>
    <s v="1"/>
    <s v="rcf"/>
    <m/>
  </r>
  <r>
    <s v="RCF Import"/>
    <s v="Imp 10-26-26"/>
    <s v="WB"/>
    <x v="4"/>
    <s v="Jamalpur"/>
    <s v="User Not Mapped"/>
    <s v="User Not Mapped"/>
    <s v="User Not Mapped"/>
    <n v="261689"/>
    <s v="M/s. Bimal Kumar Laha"/>
    <s v="Private Wholsaler"/>
    <s v="9434133803"/>
    <n v="28"/>
    <n v="58"/>
    <x v="3"/>
    <s v="'WS3125003694'"/>
    <s v="2026-02-21"/>
    <s v="1"/>
    <s v="rcf"/>
    <m/>
  </r>
  <r>
    <s v="RCF Trombay"/>
    <s v="15-15-15"/>
    <s v="WB"/>
    <x v="4"/>
    <s v="Katwa - I"/>
    <s v="User Not Mapped"/>
    <s v="User Not Mapped"/>
    <s v="User Not Mapped"/>
    <n v="261730"/>
    <s v="M/s. S.Sikdar and Co."/>
    <s v="Private Wholsaler"/>
    <s v="9064141714"/>
    <n v="10"/>
    <n v="87"/>
    <x v="6"/>
    <s v="'WS3125003068'"/>
    <s v="2026-01-23"/>
    <s v="1"/>
    <s v="rcf"/>
    <m/>
  </r>
  <r>
    <s v="RCF Trombay"/>
    <s v="15-15-15"/>
    <s v="WB"/>
    <x v="4"/>
    <s v="Katwa - I"/>
    <s v="User Not Mapped"/>
    <s v="User Not Mapped"/>
    <s v="User Not Mapped"/>
    <n v="261730"/>
    <s v="M/s. S.Sikdar and Co."/>
    <s v="Private Wholsaler"/>
    <s v="9064141714"/>
    <n v="20"/>
    <n v="58"/>
    <x v="3"/>
    <s v="'WS3125003640'"/>
    <s v="2026-02-21"/>
    <s v="1"/>
    <s v="rcf"/>
    <m/>
  </r>
  <r>
    <s v="RCF Trombay"/>
    <s v="15-15-15"/>
    <s v="WB"/>
    <x v="4"/>
    <s v="Katwa - I"/>
    <s v="User Not Mapped"/>
    <s v="User Not Mapped"/>
    <s v="User Not Mapped"/>
    <n v="261730"/>
    <s v="M/s. S.Sikdar and Co."/>
    <s v="Private Wholsaler"/>
    <s v="9064141714"/>
    <n v="8.5"/>
    <n v="128"/>
    <x v="4"/>
    <s v="'WS3125002818'"/>
    <s v="2025-12-13"/>
    <s v="1"/>
    <s v="rcf"/>
    <m/>
  </r>
  <r>
    <s v="RCF Thal"/>
    <s v="N.C.Urea(45kg)"/>
    <s v="WB"/>
    <x v="4"/>
    <s v="Katwa - I"/>
    <s v="User Not Mapped"/>
    <s v="User Not Mapped"/>
    <s v="User Not Mapped"/>
    <n v="261730"/>
    <s v="M/s. S.Sikdar and Co."/>
    <s v="Private Wholsaler"/>
    <s v="9064141714"/>
    <n v="12.015000000000001"/>
    <n v="19"/>
    <x v="5"/>
    <s v="'WS3126000001'"/>
    <s v="2026-04-01"/>
    <s v="1"/>
    <s v="rcf"/>
    <m/>
  </r>
  <r>
    <s v="RCF Import"/>
    <s v="Imp 10-26-26"/>
    <s v="WB"/>
    <x v="4"/>
    <s v="Memari - II"/>
    <s v="User Not Mapped"/>
    <s v="User Not Mapped"/>
    <s v="User Not Mapped"/>
    <n v="1612392"/>
    <s v="MANIK LAL PAL"/>
    <s v="Private Wholsaler"/>
    <s v="8926111645"/>
    <n v="16"/>
    <n v="57"/>
    <x v="3"/>
    <s v="'WS3125003734'"/>
    <s v="2026-02-22"/>
    <s v="1"/>
    <s v="rcf"/>
    <m/>
  </r>
  <r>
    <s v="RCF Import"/>
    <s v="Imp 10-26-26"/>
    <s v="WB"/>
    <x v="4"/>
    <s v="Memari - II"/>
    <s v="User Not Mapped"/>
    <s v="User Not Mapped"/>
    <s v="User Not Mapped"/>
    <n v="1612392"/>
    <s v="MANIK LAL PAL"/>
    <s v="Private Wholsaler"/>
    <s v="8926111645"/>
    <n v="38"/>
    <n v="58"/>
    <x v="3"/>
    <s v="'WS3125003696'"/>
    <s v="2026-02-21"/>
    <s v="1"/>
    <s v="rcf"/>
    <m/>
  </r>
  <r>
    <s v="RCF Import"/>
    <s v="Imp 10-26-26"/>
    <s v="WB"/>
    <x v="4"/>
    <s v="Memari - II"/>
    <s v="User Not Mapped"/>
    <s v="User Not Mapped"/>
    <s v="User Not Mapped"/>
    <n v="1612392"/>
    <s v="MANIK LAL PAL"/>
    <s v="Private Wholsaler"/>
    <s v="8926111645"/>
    <n v="30"/>
    <n v="57"/>
    <x v="3"/>
    <s v="'WS3125003712'"/>
    <s v="2026-02-22"/>
    <s v="1"/>
    <s v="rcf"/>
    <m/>
  </r>
  <r>
    <s v="RCF Thal"/>
    <s v="N.C.Urea(45kg)"/>
    <s v="WB"/>
    <x v="4"/>
    <s v="Jamalpur"/>
    <s v="User Not Mapped"/>
    <s v="User Not Mapped"/>
    <s v="User Not Mapped"/>
    <n v="261727"/>
    <s v="Sibnath Dawn"/>
    <s v="Private Wholsaler"/>
    <s v="9002133663"/>
    <n v="16.204999999999998"/>
    <n v="70"/>
    <x v="6"/>
    <s v="'WS3125003333'"/>
    <s v="2026-02-09"/>
    <s v="1"/>
    <s v="rcf"/>
    <m/>
  </r>
  <r>
    <s v="RCF Thal"/>
    <s v="N.C.Urea(45kg)"/>
    <s v="WB"/>
    <x v="4"/>
    <s v="Galsi - I"/>
    <s v="User Not Mapped"/>
    <s v="User Not Mapped"/>
    <s v="User Not Mapped"/>
    <n v="1072157"/>
    <s v="DAMODAR KRISHI BIPANI"/>
    <s v="Private Retailer"/>
    <s v="7001458893"/>
    <n v="0.85499999999999998"/>
    <n v="237"/>
    <x v="1"/>
    <m/>
    <s v="2025-08-26"/>
    <s v="1191750"/>
    <s v="SAKTI PADA HUI"/>
    <s v="9832201350"/>
  </r>
  <r>
    <s v="RCF Trombay"/>
    <s v="N.C.Urea(45kg)"/>
    <s v="WB"/>
    <x v="4"/>
    <s v="Ausgram - II"/>
    <s v="User Not Mapped"/>
    <s v="User Not Mapped"/>
    <s v="User Not Mapped"/>
    <n v="653803"/>
    <s v="DEBABRATA ROY"/>
    <s v="Private Retailer"/>
    <s v="7478397455"/>
    <n v="2.25"/>
    <n v="91"/>
    <x v="7"/>
    <m/>
    <s v="2026-01-19"/>
    <s v="1191750"/>
    <s v="SAKTI PADA HUI"/>
    <s v="9832201350"/>
  </r>
  <r>
    <s v="RCF Trombay"/>
    <s v="N.C.Urea(45kg)"/>
    <s v="WB"/>
    <x v="4"/>
    <s v="Galsi - II"/>
    <s v="User Not Mapped"/>
    <s v="User Not Mapped"/>
    <s v="User Not Mapped"/>
    <n v="622752"/>
    <s v="M/S-KRISHAK SATHI"/>
    <s v="Private Retailer"/>
    <s v="7679569300"/>
    <n v="2.4750000000000001"/>
    <n v="63"/>
    <x v="6"/>
    <m/>
    <s v="2026-02-16"/>
    <s v="1191750"/>
    <s v="SAKTI PADA HUI"/>
    <s v="9832201350"/>
  </r>
  <r>
    <s v="RCF Trombay"/>
    <s v="N.C.Urea(45kg)"/>
    <s v="WB"/>
    <x v="4"/>
    <s v="Galsi - I"/>
    <s v="User Not Mapped"/>
    <s v="User Not Mapped"/>
    <s v="User Not Mapped"/>
    <n v="1225095"/>
    <s v="MINATI PANJA"/>
    <s v="Private Retailer"/>
    <s v="9064297004"/>
    <n v="0.09"/>
    <n v="63"/>
    <x v="6"/>
    <m/>
    <s v="2026-02-16"/>
    <s v="1191750"/>
    <s v="SAKTI PADA HUI"/>
    <s v="9832201350"/>
  </r>
  <r>
    <s v="RCF Thal"/>
    <s v="N.C.Urea(45kg)"/>
    <s v="WB"/>
    <x v="4"/>
    <s v="Galsi - I"/>
    <s v="User Not Mapped"/>
    <s v="User Not Mapped"/>
    <s v="User Not Mapped"/>
    <n v="697681"/>
    <s v="Partha Dutta"/>
    <s v="Private Retailer"/>
    <s v="9474700026"/>
    <n v="3.6"/>
    <n v="67"/>
    <x v="6"/>
    <m/>
    <s v="2026-02-12"/>
    <s v="1191750"/>
    <s v="SAKTI PADA HUI"/>
    <s v="9832201350"/>
  </r>
  <r>
    <s v="RCF Thal"/>
    <s v="N.C.Urea(45kg)"/>
    <s v="WB"/>
    <x v="4"/>
    <s v="Galsi - I"/>
    <s v="User Not Mapped"/>
    <s v="User Not Mapped"/>
    <s v="User Not Mapped"/>
    <n v="890240"/>
    <s v="Somenath Garai"/>
    <s v="Private Retailer"/>
    <s v="8926102324"/>
    <n v="0.54"/>
    <n v="67"/>
    <x v="6"/>
    <m/>
    <s v="2026-02-12"/>
    <s v="1191750"/>
    <s v="SAKTI PADA HUI"/>
    <s v="9832201350"/>
  </r>
  <r>
    <s v="RCF Thal"/>
    <s v="N.C.Urea(45kg)"/>
    <s v="WB"/>
    <x v="4"/>
    <s v="Raina - I"/>
    <s v="User Not Mapped"/>
    <s v="User Not Mapped"/>
    <s v="User Not Mapped"/>
    <n v="668598"/>
    <s v="CHANDI PRASAD DE"/>
    <s v="Private Retailer"/>
    <s v="9734739685"/>
    <n v="0.315"/>
    <n v="59"/>
    <x v="3"/>
    <m/>
    <s v="2026-02-20"/>
    <s v="261727"/>
    <s v="Sibnath Dawn"/>
    <s v="9002133663"/>
  </r>
  <r>
    <s v="RCF Trombay"/>
    <s v="N.C.Urea(45kg)"/>
    <s v="WB"/>
    <x v="4"/>
    <s v="Raina - I"/>
    <s v="User Not Mapped"/>
    <s v="User Not Mapped"/>
    <s v="User Not Mapped"/>
    <n v="1032219"/>
    <s v="KAMAL KRISHNA KHAN"/>
    <s v="Private Retailer"/>
    <s v="7364895123"/>
    <n v="0.36"/>
    <n v="105"/>
    <x v="7"/>
    <m/>
    <s v="2026-01-05"/>
    <s v="261727"/>
    <s v="Sibnath Dawn"/>
    <s v="9002133663"/>
  </r>
  <r>
    <s v="RCF Import"/>
    <s v="Imp 10-26-26"/>
    <s v="WB"/>
    <x v="4"/>
    <s v="Raina - I"/>
    <s v="User Not Mapped"/>
    <s v="User Not Mapped"/>
    <s v="User Not Mapped"/>
    <n v="1032219"/>
    <s v="KAMAL KRISHNA KHAN"/>
    <s v="Private Retailer"/>
    <s v="7364895123"/>
    <n v="6.45"/>
    <n v="49"/>
    <x v="3"/>
    <m/>
    <s v="2026-03-02"/>
    <s v="261727"/>
    <s v="Sibnath Dawn"/>
    <s v="9002133663"/>
  </r>
  <r>
    <s v="RCF Thal"/>
    <s v="N.C.Urea(45kg)"/>
    <s v="WB"/>
    <x v="4"/>
    <s v="Raina - I"/>
    <s v="User Not Mapped"/>
    <s v="User Not Mapped"/>
    <s v="User Not Mapped"/>
    <n v="1032219"/>
    <s v="KAMAL KRISHNA KHAN"/>
    <s v="Private Retailer"/>
    <s v="7364895123"/>
    <n v="4.05"/>
    <n v="59"/>
    <x v="3"/>
    <m/>
    <s v="2026-02-20"/>
    <s v="261727"/>
    <s v="Sibnath Dawn"/>
    <s v="9002133663"/>
  </r>
  <r>
    <s v="RCF Thal"/>
    <s v="N.C.Urea(45kg)"/>
    <s v="WB"/>
    <x v="4"/>
    <s v="Jamalpur"/>
    <s v="User Not Mapped"/>
    <s v="User Not Mapped"/>
    <s v="User Not Mapped"/>
    <n v="648702"/>
    <s v="Kripa Sindhu Dey"/>
    <s v="Private Retailer"/>
    <s v="9474999985"/>
    <n v="0.315"/>
    <n v="137"/>
    <x v="4"/>
    <m/>
    <s v="2025-12-04"/>
    <s v="261727"/>
    <s v="Sibnath Dawn"/>
    <s v="9002133663"/>
  </r>
  <r>
    <s v="RCF Trombay"/>
    <s v="N.C.Urea(45kg)"/>
    <s v="WB"/>
    <x v="4"/>
    <s v="Burdwan - I"/>
    <s v="User Not Mapped"/>
    <s v="User Not Mapped"/>
    <s v="User Not Mapped"/>
    <n v="285958"/>
    <s v="M/s. Asok Kumar Nag"/>
    <s v="Private Retailer"/>
    <s v="9434002076"/>
    <n v="0.13500000000000001"/>
    <n v="184"/>
    <x v="1"/>
    <m/>
    <s v="2025-10-18"/>
    <s v="261727"/>
    <s v="Sibnath Dawn"/>
    <s v="9002133663"/>
  </r>
  <r>
    <s v="RCF Import"/>
    <s v="Imp 10-26-26"/>
    <s v="WB"/>
    <x v="4"/>
    <s v="Ketugram - I"/>
    <s v="User Not Mapped"/>
    <s v="User Not Mapped"/>
    <s v="User Not Mapped"/>
    <n v="343977"/>
    <s v="M/s. Mirazul Haque"/>
    <s v="Private Retailer"/>
    <s v="9734789393"/>
    <n v="8"/>
    <n v="49"/>
    <x v="3"/>
    <m/>
    <s v="2026-03-02"/>
    <s v="261727"/>
    <s v="Sibnath Dawn"/>
    <s v="9002133663"/>
  </r>
  <r>
    <s v="RCF Trombay"/>
    <s v="N.C.Urea(45kg)"/>
    <s v="WB"/>
    <x v="4"/>
    <s v="Jamalpur"/>
    <s v="User Not Mapped"/>
    <s v="User Not Mapped"/>
    <s v="User Not Mapped"/>
    <n v="457326"/>
    <s v="Prasanta Kumar Ghosh"/>
    <s v="Private Retailer"/>
    <s v="9474493106"/>
    <n v="2.7450000000000001"/>
    <n v="252"/>
    <x v="1"/>
    <m/>
    <s v="2025-08-11"/>
    <s v="261727"/>
    <s v="Sibnath Dawn"/>
    <s v="9002133663"/>
  </r>
  <r>
    <s v="RCF Thal"/>
    <s v="N.C.Urea(45kg)"/>
    <s v="WB"/>
    <x v="4"/>
    <s v="Jamalpur"/>
    <s v="User Not Mapped"/>
    <s v="User Not Mapped"/>
    <s v="User Not Mapped"/>
    <n v="457326"/>
    <s v="Prasanta Kumar Ghosh"/>
    <s v="Private Retailer"/>
    <s v="9474493106"/>
    <n v="8.4600000000000009"/>
    <n v="137"/>
    <x v="4"/>
    <m/>
    <s v="2025-12-04"/>
    <s v="261727"/>
    <s v="Sibnath Dawn"/>
    <s v="9002133663"/>
  </r>
  <r>
    <s v="RCF Thal"/>
    <s v="N.C.Urea(45kg)"/>
    <s v="WB"/>
    <x v="4"/>
    <m/>
    <s v="User Not Mapped"/>
    <s v="User Not Mapped"/>
    <s v="User Not Mapped"/>
    <n v="344011"/>
    <s v="Sandip Ray"/>
    <s v="Private Retailer"/>
    <s v="9749284830"/>
    <n v="11.97"/>
    <n v="38"/>
    <x v="3"/>
    <m/>
    <s v="2026-03-13"/>
    <s v="261727"/>
    <s v="Sibnath Dawn"/>
    <s v="9002133663"/>
  </r>
  <r>
    <s v="RCF Trombay"/>
    <s v="15-15-15"/>
    <s v="WB"/>
    <x v="4"/>
    <s v="Purbasthali - II"/>
    <s v="User Not Mapped"/>
    <s v="User Not Mapped"/>
    <s v="User Not Mapped"/>
    <n v="638628"/>
    <s v="M/S SUSHIL DAS"/>
    <s v="Private Retailer"/>
    <s v="8617860678"/>
    <n v="1.3"/>
    <n v="115"/>
    <x v="7"/>
    <m/>
    <s v="2025-12-26"/>
    <s v="1000531"/>
    <s v="SRI RATAN CHANDRA GHOSH"/>
    <s v="9064338501"/>
  </r>
  <r>
    <s v="RCF Trombay"/>
    <s v="15-15-15"/>
    <s v="WB"/>
    <x v="4"/>
    <s v="Purbasthali - II"/>
    <s v="User Not Mapped"/>
    <s v="User Not Mapped"/>
    <s v="User Not Mapped"/>
    <n v="353771"/>
    <s v="M/s. Ratan Chandra Ghosh"/>
    <s v="Private Retailer"/>
    <s v="9064338501"/>
    <n v="5.65"/>
    <n v="38"/>
    <x v="3"/>
    <m/>
    <s v="2026-03-13"/>
    <s v="1000531"/>
    <s v="SRI RATAN CHANDRA GHOSH"/>
    <s v="9064338501"/>
  </r>
  <r>
    <s v="RCF Thal"/>
    <s v="N.C.Urea(45kg)"/>
    <s v="WB"/>
    <x v="5"/>
    <s v="Rampurhat - I"/>
    <s v="User Not Mapped"/>
    <s v="User Not Mapped"/>
    <s v="User Not Mapped"/>
    <n v="340185"/>
    <s v="B.R.Datta"/>
    <s v="Private Retailer"/>
    <s v="9547773489"/>
    <n v="30"/>
    <n v="30"/>
    <x v="5"/>
    <m/>
    <s v="2026-03-21"/>
    <s v="221829"/>
    <s v="B R Datta"/>
    <s v="9434172426"/>
  </r>
  <r>
    <s v="RCF Thal"/>
    <s v="N.C.Urea(45kg)"/>
    <s v="WB"/>
    <x v="5"/>
    <s v="Rampurhat - I"/>
    <s v="User Not Mapped"/>
    <s v="User Not Mapped"/>
    <s v="User Not Mapped"/>
    <n v="340185"/>
    <s v="B.R.Datta"/>
    <s v="Private Retailer"/>
    <s v="9547773489"/>
    <n v="24.47"/>
    <n v="6"/>
    <x v="5"/>
    <m/>
    <s v="2026-04-14"/>
    <s v="221829"/>
    <s v="B R Datta"/>
    <s v="9434172426"/>
  </r>
  <r>
    <s v="RCF Trombay"/>
    <s v="15-15-15"/>
    <s v="WB"/>
    <x v="5"/>
    <s v="Rampurhat - I"/>
    <s v="User Not Mapped"/>
    <s v="User Not Mapped"/>
    <s v="User Not Mapped"/>
    <n v="340185"/>
    <s v="B.R.Datta"/>
    <s v="Private Retailer"/>
    <s v="9547773489"/>
    <n v="10.199999999999999"/>
    <n v="31"/>
    <x v="3"/>
    <m/>
    <s v="2026-03-20"/>
    <s v="221829"/>
    <s v="B R Datta"/>
    <s v="9434172426"/>
  </r>
  <r>
    <s v="RCF Trombay"/>
    <s v="15-15-15"/>
    <s v="WB"/>
    <x v="5"/>
    <s v="Rampurhat - I"/>
    <s v="User Not Mapped"/>
    <s v="User Not Mapped"/>
    <s v="User Not Mapped"/>
    <n v="340185"/>
    <s v="B.R.Datta"/>
    <s v="Private Retailer"/>
    <s v="9547773489"/>
    <n v="25"/>
    <n v="6"/>
    <x v="5"/>
    <m/>
    <s v="2026-04-14"/>
    <s v="221829"/>
    <s v="B R Datta"/>
    <s v="9434172426"/>
  </r>
  <r>
    <s v="RCF Import"/>
    <s v="Imp 10-26-26"/>
    <s v="WB"/>
    <x v="5"/>
    <s v="Rampurhat - I"/>
    <s v="User Not Mapped"/>
    <s v="User Not Mapped"/>
    <s v="User Not Mapped"/>
    <n v="340185"/>
    <s v="B.R.Datta"/>
    <s v="Private Retailer"/>
    <s v="9547773489"/>
    <n v="11.65"/>
    <n v="30"/>
    <x v="5"/>
    <m/>
    <s v="2026-03-21"/>
    <s v="221829"/>
    <s v="B R Datta"/>
    <s v="9434172426"/>
  </r>
  <r>
    <s v="RCF Trombay"/>
    <s v="N.C.Urea(45kg)"/>
    <s v="WB"/>
    <x v="5"/>
    <s v="Rampurhat - I"/>
    <s v="User Not Mapped"/>
    <s v="User Not Mapped"/>
    <s v="User Not Mapped"/>
    <n v="340185"/>
    <s v="B.R.Datta"/>
    <s v="Private Retailer"/>
    <s v="9547773489"/>
    <n v="27.9"/>
    <n v="6"/>
    <x v="5"/>
    <m/>
    <s v="2026-04-14"/>
    <s v="221829"/>
    <s v="B R Datta"/>
    <s v="9434172426"/>
  </r>
  <r>
    <s v="RCF Thal"/>
    <s v="N.C.Urea(45kg)"/>
    <s v="WB"/>
    <x v="5"/>
    <s v="Rampurhat - I"/>
    <s v="User Not Mapped"/>
    <s v="User Not Mapped"/>
    <s v="User Not Mapped"/>
    <n v="340185"/>
    <s v="B.R.Datta"/>
    <s v="Private Retailer"/>
    <s v="9547773489"/>
    <n v="15.145"/>
    <n v="31"/>
    <x v="3"/>
    <m/>
    <s v="2026-03-20"/>
    <s v="221829"/>
    <s v="B R Datta"/>
    <s v="9434172426"/>
  </r>
  <r>
    <s v="RCF Thal"/>
    <s v="N.C.Urea(45kg)"/>
    <s v="WB"/>
    <x v="5"/>
    <s v="Murarai - II"/>
    <s v="User Not Mapped"/>
    <s v="User Not Mapped"/>
    <s v="User Not Mapped"/>
    <n v="1490960"/>
    <s v="JASIMUDDIN SK"/>
    <s v="Private Retailer"/>
    <s v="8346061104"/>
    <n v="6.58"/>
    <n v="111"/>
    <x v="7"/>
    <m/>
    <s v="2025-12-30"/>
    <s v="221829"/>
    <s v="B R Datta"/>
    <s v="9434172426"/>
  </r>
  <r>
    <s v="RCF Thal"/>
    <s v="N.C.Urea(45kg)"/>
    <s v="WB"/>
    <x v="5"/>
    <s v="Murarai - I"/>
    <s v="User Not Mapped"/>
    <s v="User Not Mapped"/>
    <s v="User Not Mapped"/>
    <n v="195786"/>
    <s v="Md Kutubuddin Sk"/>
    <s v="Private Retailer"/>
    <s v="9932079306"/>
    <n v="10"/>
    <n v="111"/>
    <x v="7"/>
    <m/>
    <s v="2025-12-30"/>
    <s v="221829"/>
    <s v="B R Datta"/>
    <s v="9434172426"/>
  </r>
  <r>
    <s v="RCF Thal"/>
    <s v="N.C.Urea(45kg)"/>
    <s v="WB"/>
    <x v="5"/>
    <s v="Rampurhat - I"/>
    <s v="User Not Mapped"/>
    <s v="User Not Mapped"/>
    <s v="User Not Mapped"/>
    <n v="925190"/>
    <s v="Mrinal Kanti Dutta"/>
    <s v="Private Retailer"/>
    <s v="9932112525"/>
    <n v="5.0000000000000001E-3"/>
    <n v="216"/>
    <x v="1"/>
    <m/>
    <s v="2025-09-16"/>
    <s v="221829"/>
    <s v="B R Datta"/>
    <s v="9434172426"/>
  </r>
  <r>
    <s v="RCF Thal"/>
    <s v="N.C.Urea(45kg)"/>
    <s v="WB"/>
    <x v="5"/>
    <s v="Murarai - I"/>
    <s v="User Not Mapped"/>
    <s v="User Not Mapped"/>
    <s v="User Not Mapped"/>
    <n v="1439105"/>
    <s v="SUDIPTA MONDAL"/>
    <s v="Private Retailer"/>
    <s v="9064080789"/>
    <n v="20.324999999999999"/>
    <n v="111"/>
    <x v="7"/>
    <m/>
    <s v="2025-12-30"/>
    <s v="221829"/>
    <s v="B R Datta"/>
    <s v="9434172426"/>
  </r>
  <r>
    <s v="RCF Import"/>
    <s v="Imp 10-26-26"/>
    <s v="WB"/>
    <x v="5"/>
    <s v="Sainthia"/>
    <s v="User Not Mapped"/>
    <s v="User Not Mapped"/>
    <s v="User Not Mapped"/>
    <n v="262597"/>
    <s v="M/S JOY SHANKAR DUTTA AND SONS"/>
    <s v="Private Wholsaler"/>
    <s v="9433002237"/>
    <n v="7"/>
    <n v="40"/>
    <x v="3"/>
    <s v="'21'"/>
    <s v="2026-03-11"/>
    <s v="262596"/>
    <s v="M/S JOY NARAYAN DUTTA AND BROS"/>
    <s v="9433002266"/>
  </r>
  <r>
    <s v="RCF Thal"/>
    <s v="N.C.Urea(45kg)"/>
    <s v="WB"/>
    <x v="5"/>
    <s v="Rampurhat - I"/>
    <s v="User Not Mapped"/>
    <s v="User Not Mapped"/>
    <s v="User Not Mapped"/>
    <n v="487942"/>
    <s v="Abdul Wadood Molla"/>
    <s v="Private Retailer"/>
    <s v="8145488790"/>
    <n v="1.9"/>
    <n v="111"/>
    <x v="7"/>
    <m/>
    <s v="2025-12-30"/>
    <s v="262597"/>
    <s v="M/S JOY SHANKAR DUTTA AND SONS"/>
    <s v="9433002237"/>
  </r>
  <r>
    <s v="RCF Trombay"/>
    <s v="N.C.Urea(45kg)"/>
    <s v="WB"/>
    <x v="5"/>
    <s v="Rampurhat - II"/>
    <s v="User Not Mapped"/>
    <s v="User Not Mapped"/>
    <s v="User Not Mapped"/>
    <n v="477217"/>
    <s v="Baikunth Bihari Dey"/>
    <s v="Private Retailer"/>
    <s v="8926561050"/>
    <n v="1.08"/>
    <n v="84"/>
    <x v="6"/>
    <m/>
    <s v="2026-01-26"/>
    <s v="262597"/>
    <s v="M/S JOY SHANKAR DUTTA AND SONS"/>
    <s v="9433002237"/>
  </r>
  <r>
    <s v="RCF Trombay"/>
    <s v="N.C.Urea(45kg)"/>
    <s v="WB"/>
    <x v="5"/>
    <s v="Nalhati - II"/>
    <s v="User Not Mapped"/>
    <s v="User Not Mapped"/>
    <s v="User Not Mapped"/>
    <n v="939027"/>
    <s v="ISLAM FERTILIZER"/>
    <s v="Private Retailer"/>
    <s v="7001855934"/>
    <n v="4.8600000000000003"/>
    <n v="39"/>
    <x v="3"/>
    <m/>
    <s v="2026-03-12"/>
    <s v="262597"/>
    <s v="M/S JOY SHANKAR DUTTA AND SONS"/>
    <s v="9433002237"/>
  </r>
  <r>
    <s v="RCF Thal"/>
    <s v="N.C.Urea(45kg)"/>
    <s v="WB"/>
    <x v="5"/>
    <s v="Murarai - I"/>
    <s v="User Not Mapped"/>
    <s v="User Not Mapped"/>
    <s v="User Not Mapped"/>
    <n v="1057580"/>
    <s v="RUPALI MONDAL"/>
    <s v="Private Retailer"/>
    <s v="7601909653"/>
    <n v="0.22500000000000001"/>
    <n v="111"/>
    <x v="7"/>
    <m/>
    <s v="2025-12-30"/>
    <s v="262597"/>
    <s v="M/S JOY SHANKAR DUTTA AND SONS"/>
    <s v="9433002237"/>
  </r>
  <r>
    <s v="RCF Thal"/>
    <s v="N.C.Urea(45kg)"/>
    <s v="WB"/>
    <x v="5"/>
    <s v="Murarai - I"/>
    <s v="User Not Mapped"/>
    <s v="User Not Mapped"/>
    <s v="User Not Mapped"/>
    <n v="944420"/>
    <s v="ALAM FERTILIZER"/>
    <s v="Private Retailer"/>
    <s v="8016502477"/>
    <n v="9.99"/>
    <n v="111"/>
    <x v="7"/>
    <m/>
    <s v="2025-12-30"/>
    <s v="262599"/>
    <s v="M/s. Kishan Fertilizer"/>
    <s v="9933896323"/>
  </r>
  <r>
    <s v="RCF Trombay"/>
    <s v="15-15-15"/>
    <s v="WB"/>
    <x v="5"/>
    <s v="Nalhati - II"/>
    <s v="User Not Mapped"/>
    <s v="User Not Mapped"/>
    <s v="User Not Mapped"/>
    <n v="1020439"/>
    <s v="BULBUL STORES- MIZANUR"/>
    <s v="Private Retailer"/>
    <s v="7098389015"/>
    <n v="90"/>
    <n v="14"/>
    <x v="5"/>
    <m/>
    <s v="2026-04-06"/>
    <s v="262599"/>
    <s v="M/s. Kishan Fertilizer"/>
    <s v="9933896323"/>
  </r>
  <r>
    <s v="RCF Thal"/>
    <s v="N.C.Urea(45kg)"/>
    <s v="WB"/>
    <x v="5"/>
    <s v="Murarai - I"/>
    <s v="User Not Mapped"/>
    <s v="User Not Mapped"/>
    <s v="User Not Mapped"/>
    <n v="195718"/>
    <s v="Chandranath Sen"/>
    <s v="Private Retailer"/>
    <s v="9434949562"/>
    <n v="6.9749999999999996"/>
    <n v="112"/>
    <x v="7"/>
    <m/>
    <s v="2025-12-29"/>
    <s v="262599"/>
    <s v="M/s. Kishan Fertilizer"/>
    <s v="9933896323"/>
  </r>
  <r>
    <s v="RCF Thal"/>
    <s v="N.C.Urea(45kg)"/>
    <s v="WB"/>
    <x v="5"/>
    <s v="Nanoor"/>
    <s v="User Not Mapped"/>
    <s v="User Not Mapped"/>
    <s v="User Not Mapped"/>
    <n v="1068819"/>
    <s v="Fewgram SKUS"/>
    <s v="PACS"/>
    <s v="9832726762"/>
    <n v="12.69"/>
    <n v="37"/>
    <x v="3"/>
    <m/>
    <s v="2026-03-14"/>
    <s v="262599"/>
    <s v="M/s. Kishan Fertilizer"/>
    <s v="9933896323"/>
  </r>
  <r>
    <s v="RCF Import"/>
    <s v="Imp 10-26-26"/>
    <s v="WB"/>
    <x v="5"/>
    <s v="Nanoor"/>
    <s v="User Not Mapped"/>
    <s v="User Not Mapped"/>
    <s v="User Not Mapped"/>
    <n v="1068819"/>
    <s v="Fewgram SKUS"/>
    <s v="PACS"/>
    <s v="9832726762"/>
    <n v="10"/>
    <n v="50"/>
    <x v="3"/>
    <m/>
    <s v="2026-03-01"/>
    <s v="262599"/>
    <s v="M/s. Kishan Fertilizer"/>
    <s v="9933896323"/>
  </r>
  <r>
    <s v="RCF Trombay"/>
    <s v="N.C.Urea(45kg)"/>
    <s v="WB"/>
    <x v="5"/>
    <s v="Nalhati - I"/>
    <s v="User Not Mapped"/>
    <s v="User Not Mapped"/>
    <s v="User Not Mapped"/>
    <n v="961242"/>
    <s v="GOSSAINPUR SKUS LTD"/>
    <s v="PACS"/>
    <s v="8926003685"/>
    <n v="9.99"/>
    <n v="55"/>
    <x v="3"/>
    <m/>
    <s v="2026-02-24"/>
    <s v="262599"/>
    <s v="M/s. Kishan Fertilizer"/>
    <s v="9933896323"/>
  </r>
  <r>
    <s v="RCF Thal"/>
    <s v="N.C.Urea(45kg)"/>
    <s v="WB"/>
    <x v="5"/>
    <s v="Nalhati - I"/>
    <s v="User Not Mapped"/>
    <s v="User Not Mapped"/>
    <s v="User Not Mapped"/>
    <n v="961242"/>
    <s v="GOSSAINPUR SKUS LTD"/>
    <s v="PACS"/>
    <s v="8926003685"/>
    <n v="5.13"/>
    <n v="111"/>
    <x v="7"/>
    <m/>
    <s v="2025-12-30"/>
    <s v="262599"/>
    <s v="M/s. Kishan Fertilizer"/>
    <s v="9933896323"/>
  </r>
  <r>
    <s v="RCF Trombay"/>
    <s v="N.C.Urea(45kg)"/>
    <s v="WB"/>
    <x v="5"/>
    <s v="Nalhati - I"/>
    <s v="User Not Mapped"/>
    <s v="User Not Mapped"/>
    <s v="User Not Mapped"/>
    <n v="961242"/>
    <s v="GOSSAINPUR SKUS LTD"/>
    <s v="PACS"/>
    <s v="8926003685"/>
    <n v="5.7149999999999999"/>
    <n v="125"/>
    <x v="4"/>
    <m/>
    <s v="2025-12-16"/>
    <s v="262599"/>
    <s v="M/s. Kishan Fertilizer"/>
    <s v="9933896323"/>
  </r>
  <r>
    <s v="RCF Import"/>
    <s v="Imp 10-26-26"/>
    <s v="WB"/>
    <x v="5"/>
    <s v="Nalhati - I"/>
    <s v="User Not Mapped"/>
    <s v="User Not Mapped"/>
    <s v="User Not Mapped"/>
    <n v="961242"/>
    <s v="GOSSAINPUR SKUS LTD"/>
    <s v="PACS"/>
    <s v="8926003685"/>
    <n v="10"/>
    <n v="55"/>
    <x v="3"/>
    <m/>
    <s v="2026-02-24"/>
    <s v="262599"/>
    <s v="M/s. Kishan Fertilizer"/>
    <s v="9933896323"/>
  </r>
  <r>
    <s v="RCF Thal"/>
    <s v="N.C.Urea(45kg)"/>
    <s v="WB"/>
    <x v="5"/>
    <m/>
    <s v="User Not Mapped"/>
    <s v="User Not Mapped"/>
    <s v="User Not Mapped"/>
    <n v="340202"/>
    <s v="Jahangir Hossain"/>
    <s v="Private Retailer"/>
    <s v="6294885984"/>
    <n v="12.375"/>
    <n v="24"/>
    <x v="5"/>
    <m/>
    <s v="2026-03-27"/>
    <s v="262599"/>
    <s v="M/s. Kishan Fertilizer"/>
    <s v="9933896323"/>
  </r>
  <r>
    <s v="RCF Trombay"/>
    <s v="N.C.Urea(45kg)"/>
    <s v="WB"/>
    <x v="5"/>
    <s v="Rampurhat - II"/>
    <s v="User Not Mapped"/>
    <s v="User Not Mapped"/>
    <s v="User Not Mapped"/>
    <n v="949984"/>
    <s v="KALUHA SKUS LTD"/>
    <s v="PACS"/>
    <s v="9800819918"/>
    <n v="8.01"/>
    <n v="55"/>
    <x v="3"/>
    <m/>
    <s v="2026-02-24"/>
    <s v="262599"/>
    <s v="M/s. Kishan Fertilizer"/>
    <s v="9933896323"/>
  </r>
  <r>
    <s v="RCF Import"/>
    <s v="Imp 10-26-26"/>
    <s v="WB"/>
    <x v="5"/>
    <s v="Rampurhat - II"/>
    <s v="User Not Mapped"/>
    <s v="User Not Mapped"/>
    <s v="User Not Mapped"/>
    <n v="949984"/>
    <s v="KALUHA SKUS LTD"/>
    <s v="PACS"/>
    <s v="9800819918"/>
    <n v="10"/>
    <n v="55"/>
    <x v="3"/>
    <m/>
    <s v="2026-02-24"/>
    <s v="262599"/>
    <s v="M/s. Kishan Fertilizer"/>
    <s v="9933896323"/>
  </r>
  <r>
    <s v="RCF Thal"/>
    <s v="N.C.Urea(45kg)"/>
    <s v="WB"/>
    <x v="5"/>
    <s v="Suri - I"/>
    <s v="User Not Mapped"/>
    <s v="User Not Mapped"/>
    <s v="User Not Mapped"/>
    <n v="232249"/>
    <s v="Kishan Fertiliser"/>
    <s v="Private Retailer"/>
    <s v="9933896323"/>
    <n v="3.5000000000000003E-2"/>
    <n v="124"/>
    <x v="4"/>
    <m/>
    <s v="2025-12-17"/>
    <s v="262599"/>
    <s v="M/s. Kishan Fertilizer"/>
    <s v="9933896323"/>
  </r>
  <r>
    <s v="RCF Trombay"/>
    <s v="N.C.Urea(45kg)"/>
    <s v="WB"/>
    <x v="5"/>
    <s v="Rampurhat - I"/>
    <s v="User Not Mapped"/>
    <s v="User Not Mapped"/>
    <s v="User Not Mapped"/>
    <n v="340224"/>
    <s v="MAYURAKSHI FERTILIZER"/>
    <s v="Private Retailer"/>
    <s v="9434326614"/>
    <n v="0.13500000000000001"/>
    <n v="37"/>
    <x v="3"/>
    <m/>
    <s v="2026-03-14"/>
    <s v="262599"/>
    <s v="M/s. Kishan Fertilizer"/>
    <s v="9933896323"/>
  </r>
  <r>
    <s v="RCF Thal"/>
    <s v="N.C.Urea(45kg)"/>
    <s v="WB"/>
    <x v="5"/>
    <s v="Murarai - I"/>
    <s v="User Not Mapped"/>
    <s v="User Not Mapped"/>
    <s v="User Not Mapped"/>
    <n v="944456"/>
    <s v="MOTALEB MOLLA"/>
    <s v="Private Retailer"/>
    <s v="9732881182"/>
    <n v="3.69"/>
    <n v="111"/>
    <x v="7"/>
    <m/>
    <s v="2025-12-30"/>
    <s v="262599"/>
    <s v="M/s. Kishan Fertilizer"/>
    <s v="9933896323"/>
  </r>
  <r>
    <s v="RCF Trombay"/>
    <s v="N.C.Urea(45kg)"/>
    <s v="WB"/>
    <x v="5"/>
    <s v="Nalhati - II"/>
    <s v="User Not Mapped"/>
    <s v="User Not Mapped"/>
    <s v="User Not Mapped"/>
    <n v="939023"/>
    <s v="NAJEMUL HAQUE"/>
    <s v="Private Retailer"/>
    <s v="9732065540"/>
    <n v="3.645"/>
    <n v="929"/>
    <x v="2"/>
    <m/>
    <s v="2023-10-04"/>
    <s v="262599"/>
    <s v="M/s. Kishan Fertilizer"/>
    <s v="9933896323"/>
  </r>
  <r>
    <s v="RCF Trombay"/>
    <s v="N.C.Urea(45kg)"/>
    <s v="WB"/>
    <x v="5"/>
    <m/>
    <s v="User Not Mapped"/>
    <s v="User Not Mapped"/>
    <s v="User Not Mapped"/>
    <n v="232273"/>
    <s v="Nityananda Sadhu"/>
    <s v="Private Retailer"/>
    <s v="9800840976"/>
    <n v="1.3049999999999999"/>
    <n v="37"/>
    <x v="3"/>
    <m/>
    <s v="2026-03-14"/>
    <s v="262599"/>
    <s v="M/s. Kishan Fertilizer"/>
    <s v="9933896323"/>
  </r>
  <r>
    <s v="RCF Trombay"/>
    <s v="N.C.Urea(45kg)"/>
    <s v="WB"/>
    <x v="5"/>
    <m/>
    <s v="User Not Mapped"/>
    <s v="User Not Mapped"/>
    <s v="User Not Mapped"/>
    <n v="908884"/>
    <s v="RAMPURHAT LSM COOP SOCIETY LTD"/>
    <s v="PACS"/>
    <s v="9064995547"/>
    <n v="4.4999999999999998E-2"/>
    <n v="1341"/>
    <x v="2"/>
    <m/>
    <s v="2022-08-18"/>
    <s v="262599"/>
    <s v="M/s. Kishan Fertilizer"/>
    <s v="9933896323"/>
  </r>
  <r>
    <s v="RCF Thal"/>
    <s v="N.C.Urea(45kg)"/>
    <s v="WB"/>
    <x v="5"/>
    <s v="Nalhati - I"/>
    <s v="User Not Mapped"/>
    <s v="User Not Mapped"/>
    <s v="User Not Mapped"/>
    <n v="340253"/>
    <s v="SAKHI GOPAL DUTTA"/>
    <s v="Private Retailer"/>
    <s v="9434835171"/>
    <n v="0.09"/>
    <n v="1237"/>
    <x v="2"/>
    <m/>
    <s v="2022-11-30"/>
    <s v="262599"/>
    <s v="M/s. Kishan Fertilizer"/>
    <s v="9933896323"/>
  </r>
  <r>
    <s v="RCF Trombay"/>
    <s v="N.C.Urea(45kg)"/>
    <s v="WB"/>
    <x v="5"/>
    <s v="Rampurhat - I"/>
    <s v="User Not Mapped"/>
    <s v="User Not Mapped"/>
    <s v="User Not Mapped"/>
    <n v="999260"/>
    <s v="SANTOSH KUMAR MONDAL"/>
    <s v="Private Retailer"/>
    <s v="6294813232"/>
    <n v="2.52"/>
    <n v="55"/>
    <x v="3"/>
    <m/>
    <s v="2026-02-24"/>
    <s v="262599"/>
    <s v="M/s. Kishan Fertilizer"/>
    <s v="9933896323"/>
  </r>
  <r>
    <s v="RCF Import"/>
    <s v="Imp 10-26-26"/>
    <s v="WB"/>
    <x v="5"/>
    <s v="Rampurhat - I"/>
    <s v="User Not Mapped"/>
    <s v="User Not Mapped"/>
    <s v="User Not Mapped"/>
    <n v="999260"/>
    <s v="SANTOSH KUMAR MONDAL"/>
    <s v="Private Retailer"/>
    <s v="6294813232"/>
    <n v="5.3"/>
    <n v="55"/>
    <x v="3"/>
    <m/>
    <s v="2026-02-24"/>
    <s v="262599"/>
    <s v="M/s. Kishan Fertilizer"/>
    <s v="9933896323"/>
  </r>
  <r>
    <s v="RCF Thal"/>
    <s v="N.C.Urea(45kg)"/>
    <s v="WB"/>
    <x v="5"/>
    <s v="Bolpur Sriniketan"/>
    <s v="User Not Mapped"/>
    <s v="User Not Mapped"/>
    <s v="User Not Mapped"/>
    <n v="489036"/>
    <s v="Sk Irsad"/>
    <s v="Private Retailer"/>
    <s v="9434633917"/>
    <n v="13.32"/>
    <n v="37"/>
    <x v="3"/>
    <m/>
    <s v="2026-03-14"/>
    <s v="262599"/>
    <s v="M/s. Kishan Fertilizer"/>
    <s v="9933896323"/>
  </r>
  <r>
    <s v="RCF Import"/>
    <s v="Imp 10-26-26"/>
    <s v="WB"/>
    <x v="5"/>
    <s v="Bolpur Sriniketan"/>
    <s v="User Not Mapped"/>
    <s v="User Not Mapped"/>
    <s v="User Not Mapped"/>
    <n v="489036"/>
    <s v="Sk Irsad"/>
    <s v="Private Retailer"/>
    <s v="9434633917"/>
    <n v="10"/>
    <n v="50"/>
    <x v="3"/>
    <m/>
    <s v="2026-03-01"/>
    <s v="262599"/>
    <s v="M/s. Kishan Fertilizer"/>
    <s v="9933896323"/>
  </r>
  <r>
    <s v="RCF Trombay"/>
    <s v="N.C.Urea(45kg)"/>
    <s v="WB"/>
    <x v="5"/>
    <s v="Nalhati - I"/>
    <s v="User Not Mapped"/>
    <s v="User Not Mapped"/>
    <s v="User Not Mapped"/>
    <n v="240514"/>
    <s v="Sultanpur Skus Ltd."/>
    <s v="State Marketing Federation"/>
    <s v="7384405804"/>
    <n v="12.015000000000001"/>
    <n v="55"/>
    <x v="3"/>
    <m/>
    <s v="2026-02-24"/>
    <s v="262599"/>
    <s v="M/s. Kishan Fertilizer"/>
    <s v="9933896323"/>
  </r>
  <r>
    <s v="RCF Thal"/>
    <s v="N.C.Urea(45kg)"/>
    <s v="WB"/>
    <x v="5"/>
    <s v="Murarai - I"/>
    <s v="User Not Mapped"/>
    <s v="User Not Mapped"/>
    <s v="User Not Mapped"/>
    <n v="353933"/>
    <s v="Sushil Kumar Bhakat"/>
    <s v="Private Retailer"/>
    <s v="9932305391"/>
    <n v="7.5149999999999997"/>
    <n v="111"/>
    <x v="7"/>
    <m/>
    <s v="2025-12-30"/>
    <s v="262599"/>
    <s v="M/s. Kishan Fertilizer"/>
    <s v="9933896323"/>
  </r>
  <r>
    <s v="RCF Import"/>
    <s v="Imp 10-26-26"/>
    <s v="WB"/>
    <x v="5"/>
    <m/>
    <s v="User Not Mapped"/>
    <s v="User Not Mapped"/>
    <s v="User Not Mapped"/>
    <n v="1409586"/>
    <s v="SUVASISH GHOSH"/>
    <s v="Private Retailer"/>
    <s v="9635196488"/>
    <n v="10"/>
    <n v="37"/>
    <x v="3"/>
    <m/>
    <s v="2026-03-14"/>
    <s v="262599"/>
    <s v="M/s. Kishan Fertilizer"/>
    <s v="9933896323"/>
  </r>
  <r>
    <s v="RCF Thal"/>
    <s v="N.C.Urea(45kg)"/>
    <s v="WB"/>
    <x v="5"/>
    <m/>
    <s v="User Not Mapped"/>
    <s v="User Not Mapped"/>
    <s v="User Not Mapped"/>
    <n v="1409586"/>
    <s v="SUVASISH GHOSH"/>
    <s v="Private Retailer"/>
    <s v="9635196488"/>
    <n v="13.23"/>
    <n v="37"/>
    <x v="3"/>
    <m/>
    <s v="2026-03-14"/>
    <s v="262599"/>
    <s v="M/s. Kishan Fertilizer"/>
    <s v="9933896323"/>
  </r>
  <r>
    <s v="RCF Thal"/>
    <s v="N.C.Urea(45kg)"/>
    <s v="WB"/>
    <x v="5"/>
    <s v="Nalhati - II"/>
    <s v="User Not Mapped"/>
    <s v="User Not Mapped"/>
    <s v="User Not Mapped"/>
    <n v="462202"/>
    <s v="Tarun Chandra Sahu"/>
    <s v="Private Retailer"/>
    <s v="9064669772"/>
    <n v="0.63"/>
    <n v="37"/>
    <x v="3"/>
    <m/>
    <s v="2026-03-14"/>
    <s v="262599"/>
    <s v="M/s. Kishan Fertilizer"/>
    <s v="9933896323"/>
  </r>
  <r>
    <s v="RCF Thal"/>
    <s v="N.C.Urea(45kg)"/>
    <s v="WB"/>
    <x v="5"/>
    <s v="Nalhati - I"/>
    <s v="User Not Mapped"/>
    <s v="User Not Mapped"/>
    <s v="User Not Mapped"/>
    <n v="232338"/>
    <s v="Tilok Kumar Mondal"/>
    <s v="Private Retailer"/>
    <s v="9434583530"/>
    <n v="9.5399999999999991"/>
    <n v="111"/>
    <x v="7"/>
    <m/>
    <s v="2025-12-30"/>
    <s v="262599"/>
    <s v="M/s. Kishan Fertilizer"/>
    <s v="9933896323"/>
  </r>
  <r>
    <s v="RCF Trombay"/>
    <s v="N.C.Urea(45kg)"/>
    <s v="WB"/>
    <x v="5"/>
    <s v="Rampurhat - I"/>
    <s v="User Not Mapped"/>
    <s v="User Not Mapped"/>
    <s v="User Not Mapped"/>
    <n v="262599"/>
    <s v="M/s. Kishan Fertilizer"/>
    <s v="Private Wholsaler"/>
    <s v="9933896323"/>
    <n v="12.015000000000001"/>
    <n v="37"/>
    <x v="3"/>
    <s v="'2526RAMSDF1111'"/>
    <s v="2026-03-14"/>
    <s v="280775"/>
    <s v="R A Kheria"/>
    <s v="9830290085"/>
  </r>
  <r>
    <s v="RCF Import"/>
    <s v="Imp 10-26-26"/>
    <s v="WB"/>
    <x v="5"/>
    <s v="Sainthia"/>
    <s v="User Not Mapped"/>
    <s v="User Not Mapped"/>
    <s v="User Not Mapped"/>
    <n v="262597"/>
    <s v="M/S JOY SHANKAR DUTTA AND SONS"/>
    <s v="Private Wholsaler"/>
    <s v="9433002237"/>
    <n v="10"/>
    <n v="75"/>
    <x v="6"/>
    <s v="'WS3125003246'"/>
    <s v="2026-02-04"/>
    <s v="1"/>
    <s v="rcf"/>
    <m/>
  </r>
  <r>
    <s v="RCF Trombay"/>
    <s v="N.C.Urea(45kg)"/>
    <s v="WB"/>
    <x v="5"/>
    <s v="Rampurhat - I"/>
    <s v="User Not Mapped"/>
    <s v="User Not Mapped"/>
    <s v="User Not Mapped"/>
    <n v="262599"/>
    <s v="M/s. Kishan Fertilizer"/>
    <s v="Private Wholsaler"/>
    <s v="9933896323"/>
    <n v="37.979999999999997"/>
    <n v="40"/>
    <x v="3"/>
    <s v="'WS3125004021'"/>
    <s v="2026-03-11"/>
    <s v="1"/>
    <s v="rcf"/>
    <m/>
  </r>
  <r>
    <s v="RCF Thal"/>
    <s v="N.C.Urea(45kg)"/>
    <s v="WB"/>
    <x v="5"/>
    <s v="Rampurhat - I"/>
    <s v="User Not Mapped"/>
    <s v="User Not Mapped"/>
    <s v="User Not Mapped"/>
    <n v="262599"/>
    <s v="M/s. Kishan Fertilizer"/>
    <s v="Private Wholsaler"/>
    <s v="9933896323"/>
    <n v="5.76"/>
    <n v="43"/>
    <x v="3"/>
    <s v="'WS3125003828'"/>
    <s v="2026-03-08"/>
    <s v="1"/>
    <s v="rcf"/>
    <m/>
  </r>
  <r>
    <s v="RCF Trombay"/>
    <s v="15-15-15"/>
    <s v="WB"/>
    <x v="5"/>
    <s v="Rampurhat - I"/>
    <s v="User Not Mapped"/>
    <s v="User Not Mapped"/>
    <s v="User Not Mapped"/>
    <n v="262599"/>
    <s v="M/s. Kishan Fertilizer"/>
    <s v="Private Wholsaler"/>
    <s v="9933896323"/>
    <n v="35"/>
    <n v="40"/>
    <x v="3"/>
    <s v="'WS3125004008'"/>
    <s v="2026-03-11"/>
    <s v="1"/>
    <s v="rcf"/>
    <m/>
  </r>
  <r>
    <s v="RCF Trombay"/>
    <s v="N.C.Urea(45kg)"/>
    <s v="WB"/>
    <x v="5"/>
    <s v="Rampurhat - I"/>
    <s v="User Not Mapped"/>
    <s v="User Not Mapped"/>
    <s v="User Not Mapped"/>
    <n v="262599"/>
    <s v="M/s. Kishan Fertilizer"/>
    <s v="Private Wholsaler"/>
    <s v="9933896323"/>
    <n v="7.2"/>
    <n v="40"/>
    <x v="3"/>
    <s v="'WS3125004022'"/>
    <s v="2026-03-11"/>
    <s v="1"/>
    <s v="rcf"/>
    <m/>
  </r>
  <r>
    <s v="RCF Thal"/>
    <s v="N.C.Urea(45kg)"/>
    <s v="WB"/>
    <x v="5"/>
    <s v="Rampurhat - I"/>
    <s v="User Not Mapped"/>
    <s v="User Not Mapped"/>
    <s v="User Not Mapped"/>
    <n v="262599"/>
    <s v="M/s. Kishan Fertilizer"/>
    <s v="Private Wholsaler"/>
    <s v="9933896323"/>
    <n v="45"/>
    <n v="43"/>
    <x v="3"/>
    <s v="'WS3125003829'"/>
    <s v="2026-03-08"/>
    <s v="1"/>
    <s v="rcf"/>
    <m/>
  </r>
  <r>
    <s v="RCF Import"/>
    <s v="Imp 10-26-26"/>
    <s v="WB"/>
    <x v="5"/>
    <s v="Rampurhat - I"/>
    <s v="User Not Mapped"/>
    <s v="User Not Mapped"/>
    <s v="User Not Mapped"/>
    <n v="262599"/>
    <s v="M/s. Kishan Fertilizer"/>
    <s v="Private Wholsaler"/>
    <s v="9933896323"/>
    <n v="10"/>
    <n v="59"/>
    <x v="3"/>
    <s v="'3125003524'"/>
    <s v="2026-02-20"/>
    <s v="1"/>
    <s v="rcf"/>
    <m/>
  </r>
  <r>
    <s v="RCF Thal"/>
    <s v="N.C.Urea(45kg)"/>
    <s v="WB"/>
    <x v="5"/>
    <s v="Rampurhat - I"/>
    <s v="User Not Mapped"/>
    <s v="User Not Mapped"/>
    <s v="User Not Mapped"/>
    <n v="262599"/>
    <s v="M/s. Kishan Fertilizer"/>
    <s v="Private Wholsaler"/>
    <s v="9933896323"/>
    <n v="45"/>
    <n v="43"/>
    <x v="3"/>
    <s v="'WS3125003830'"/>
    <s v="2026-03-08"/>
    <s v="1"/>
    <s v="rcf"/>
    <m/>
  </r>
  <r>
    <s v="RCF Thal"/>
    <s v="N.C.Urea(45kg)"/>
    <s v="WB"/>
    <x v="5"/>
    <s v="Rampurhat - I"/>
    <s v="User Not Mapped"/>
    <s v="User Not Mapped"/>
    <s v="User Not Mapped"/>
    <n v="262599"/>
    <s v="M/s. Kishan Fertilizer"/>
    <s v="Private Wholsaler"/>
    <s v="9933896323"/>
    <n v="45"/>
    <n v="43"/>
    <x v="3"/>
    <s v="'WS3125003827'"/>
    <s v="2026-03-08"/>
    <s v="1"/>
    <s v="rcf"/>
    <m/>
  </r>
  <r>
    <s v="RCF Import"/>
    <s v="Imp 10-26-26"/>
    <s v="WB"/>
    <x v="5"/>
    <s v="Rampurhat - I"/>
    <s v="User Not Mapped"/>
    <s v="User Not Mapped"/>
    <s v="User Not Mapped"/>
    <n v="221827"/>
    <s v="Sree Maa Fertilizer"/>
    <s v="Private Wholsaler"/>
    <s v="7063506552"/>
    <n v="30"/>
    <n v="56"/>
    <x v="3"/>
    <s v="'3125003702'"/>
    <s v="2026-02-23"/>
    <s v="1"/>
    <s v="rcf"/>
    <m/>
  </r>
  <r>
    <s v="RCF Thal"/>
    <s v="N.C.Urea(45kg)"/>
    <s v="WB"/>
    <x v="5"/>
    <s v="Rampurhat - I"/>
    <s v="User Not Mapped"/>
    <s v="User Not Mapped"/>
    <s v="User Not Mapped"/>
    <n v="221827"/>
    <s v="Sree Maa Fertilizer"/>
    <s v="Private Wholsaler"/>
    <s v="7063506552"/>
    <n v="9.76"/>
    <n v="43"/>
    <x v="3"/>
    <s v="'WS3125003826'"/>
    <s v="2026-03-08"/>
    <s v="1"/>
    <s v="rcf"/>
    <m/>
  </r>
  <r>
    <s v="RCF Thal"/>
    <s v="N.C.Urea(45kg)"/>
    <s v="WB"/>
    <x v="5"/>
    <s v="Rampurhat - I"/>
    <s v="User Not Mapped"/>
    <s v="User Not Mapped"/>
    <s v="User Not Mapped"/>
    <n v="221827"/>
    <s v="Sree Maa Fertilizer"/>
    <s v="Private Wholsaler"/>
    <s v="7063506552"/>
    <n v="54"/>
    <n v="43"/>
    <x v="3"/>
    <s v="'WS3125003825'"/>
    <s v="2026-03-08"/>
    <s v="1"/>
    <s v="rcf"/>
    <m/>
  </r>
  <r>
    <s v="RCF Thal"/>
    <s v="N.C.Urea(45kg)"/>
    <s v="WB"/>
    <x v="5"/>
    <s v="Rampurhat - II"/>
    <s v="User Not Mapped"/>
    <s v="User Not Mapped"/>
    <s v="User Not Mapped"/>
    <n v="1057556"/>
    <s v="ASGAR ALI"/>
    <s v="Private Retailer"/>
    <s v="7872430495"/>
    <n v="4"/>
    <n v="32"/>
    <x v="3"/>
    <m/>
    <s v="2026-03-19"/>
    <s v="221827"/>
    <s v="Sree Maa Fertilizer"/>
    <s v="7063506552"/>
  </r>
  <r>
    <s v="RCF Thal"/>
    <s v="N.C.Urea(45kg)"/>
    <s v="WB"/>
    <x v="5"/>
    <s v="Rampurhat - I"/>
    <s v="User Not Mapped"/>
    <s v="User Not Mapped"/>
    <s v="User Not Mapped"/>
    <n v="477213"/>
    <s v="Haranath Dutta"/>
    <s v="Private Retailer"/>
    <s v="9932491362"/>
    <n v="0.19"/>
    <n v="34"/>
    <x v="3"/>
    <m/>
    <s v="2026-03-17"/>
    <s v="221827"/>
    <s v="Sree Maa Fertilizer"/>
    <s v="7063506552"/>
  </r>
  <r>
    <s v="RCF Trombay"/>
    <s v="N.C.Urea(45kg)"/>
    <s v="WB"/>
    <x v="5"/>
    <s v="Rampurhat - I"/>
    <s v="User Not Mapped"/>
    <s v="User Not Mapped"/>
    <s v="User Not Mapped"/>
    <n v="477213"/>
    <s v="Haranath Dutta"/>
    <s v="Private Retailer"/>
    <s v="9932491362"/>
    <n v="2.7"/>
    <n v="34"/>
    <x v="3"/>
    <m/>
    <s v="2026-03-17"/>
    <s v="221827"/>
    <s v="Sree Maa Fertilizer"/>
    <s v="7063506552"/>
  </r>
  <r>
    <s v="RCF Thal"/>
    <s v="N.C.Urea(45kg)"/>
    <s v="WB"/>
    <x v="5"/>
    <s v="Nalhati - I"/>
    <s v="User Not Mapped"/>
    <s v="User Not Mapped"/>
    <s v="User Not Mapped"/>
    <n v="340208"/>
    <s v="Kalyan Karforma"/>
    <s v="Private Retailer"/>
    <s v="9735194833"/>
    <n v="2.7749999999999999"/>
    <n v="405"/>
    <x v="0"/>
    <m/>
    <s v="2025-03-11"/>
    <s v="221827"/>
    <s v="Sree Maa Fertilizer"/>
    <s v="7063506552"/>
  </r>
  <r>
    <s v="RCF Thal"/>
    <s v="N.C.Urea(45kg)"/>
    <s v="WB"/>
    <x v="5"/>
    <s v="Murarai - I"/>
    <s v="User Not Mapped"/>
    <s v="User Not Mapped"/>
    <s v="User Not Mapped"/>
    <n v="195786"/>
    <s v="Md Kutubuddin Sk"/>
    <s v="Private Retailer"/>
    <s v="9932079306"/>
    <n v="7.6050000000000004"/>
    <n v="111"/>
    <x v="7"/>
    <m/>
    <s v="2025-12-30"/>
    <s v="221827"/>
    <s v="Sree Maa Fertilizer"/>
    <s v="7063506552"/>
  </r>
  <r>
    <s v="RCF Trombay"/>
    <s v="N.C.Urea(45kg)"/>
    <s v="WB"/>
    <x v="5"/>
    <s v="Nalhati - I"/>
    <s v="User Not Mapped"/>
    <s v="User Not Mapped"/>
    <s v="User Not Mapped"/>
    <n v="340253"/>
    <s v="SAKHI GOPAL DUTTA"/>
    <s v="Private Retailer"/>
    <s v="9434835171"/>
    <n v="1.26"/>
    <n v="1419"/>
    <x v="2"/>
    <m/>
    <s v="2022-06-01"/>
    <s v="221827"/>
    <s v="Sree Maa Fertilizer"/>
    <s v="7063506552"/>
  </r>
  <r>
    <s v="RCF Thal"/>
    <s v="N.C.Urea(45kg)"/>
    <s v="WB"/>
    <x v="5"/>
    <s v="Murarai - I"/>
    <s v="User Not Mapped"/>
    <s v="User Not Mapped"/>
    <s v="User Not Mapped"/>
    <n v="1128020"/>
    <s v="SUKANTA DUTTA"/>
    <s v="Private Retailer"/>
    <s v="8348081225"/>
    <n v="0.01"/>
    <n v="287"/>
    <x v="1"/>
    <m/>
    <s v="2025-07-07"/>
    <s v="221827"/>
    <s v="Sree Maa Fertilizer"/>
    <s v="7063506552"/>
  </r>
  <r>
    <s v="RCF Thal"/>
    <s v="N.C.Urea(45kg)"/>
    <s v="WB"/>
    <x v="5"/>
    <s v="Murarai - I"/>
    <s v="User Not Mapped"/>
    <s v="User Not Mapped"/>
    <s v="User Not Mapped"/>
    <n v="944420"/>
    <s v="ALAM FERTILIZER"/>
    <s v="Private Retailer"/>
    <s v="8016502477"/>
    <n v="8.1000000000000003E-2"/>
    <n v="405"/>
    <x v="0"/>
    <m/>
    <s v="2025-03-11"/>
    <s v="221835"/>
    <s v="Tapas Dutta"/>
    <s v="7908147935"/>
  </r>
  <r>
    <s v="RCF Trombay"/>
    <s v="15-15-15"/>
    <s v="WB"/>
    <x v="6"/>
    <s v="Mekliganj"/>
    <s v="User Not Mapped"/>
    <s v="User Not Mapped"/>
    <s v="User Not Mapped"/>
    <n v="952445"/>
    <s v="M/S PRASANTA DAS"/>
    <s v="Private Wholsaler"/>
    <s v="8670737096"/>
    <n v="4"/>
    <n v="73"/>
    <x v="6"/>
    <s v="'AKB/SA/4072'"/>
    <s v="2026-02-06"/>
    <s v="222671"/>
    <s v="Adarsha Krishi Bhandar"/>
    <s v="7872827880"/>
  </r>
  <r>
    <s v="RCF Trombay"/>
    <s v="15-15-15"/>
    <s v="WB"/>
    <x v="6"/>
    <s v="Mekliganj"/>
    <s v="User Not Mapped"/>
    <s v="User Not Mapped"/>
    <s v="User Not Mapped"/>
    <n v="952445"/>
    <s v="M/S PRASANTA DAS"/>
    <s v="Private Wholsaler"/>
    <s v="8670737096"/>
    <n v="3.5"/>
    <n v="73"/>
    <x v="6"/>
    <s v="'AKB/SA/4073'"/>
    <s v="2026-02-06"/>
    <s v="222671"/>
    <s v="Adarsha Krishi Bhandar"/>
    <s v="7872827880"/>
  </r>
  <r>
    <s v="RCF Trombay"/>
    <s v="15-15-15"/>
    <s v="WB"/>
    <x v="6"/>
    <s v="Mekliganj"/>
    <s v="User Not Mapped"/>
    <s v="User Not Mapped"/>
    <s v="User Not Mapped"/>
    <n v="952445"/>
    <s v="M/S PRASANTA DAS"/>
    <s v="Private Wholsaler"/>
    <s v="8670737096"/>
    <n v="0.5"/>
    <n v="73"/>
    <x v="6"/>
    <s v="'AKB/SA/4071'"/>
    <s v="2026-02-06"/>
    <s v="222671"/>
    <s v="Adarsha Krishi Bhandar"/>
    <s v="7872827880"/>
  </r>
  <r>
    <s v="RCF Thal"/>
    <s v="N.C.Urea(45kg)"/>
    <s v="WB"/>
    <x v="6"/>
    <s v="Mekliganj"/>
    <s v="User Not Mapped"/>
    <s v="User Not Mapped"/>
    <s v="User Not Mapped"/>
    <n v="952445"/>
    <s v="M/S PRASANTA DAS"/>
    <s v="Private Wholsaler"/>
    <s v="8670737096"/>
    <n v="11.97"/>
    <n v="42"/>
    <x v="3"/>
    <s v="'STA/62/25-26'"/>
    <s v="2026-03-09"/>
    <s v="254732"/>
    <s v="Binod Kumar Maskara"/>
    <s v="8250461848"/>
  </r>
  <r>
    <s v="RCF Thal"/>
    <s v="N.C.Urea(45kg)"/>
    <s v="WB"/>
    <x v="6"/>
    <s v="Dinhata - I"/>
    <s v="User Not Mapped"/>
    <s v="User Not Mapped"/>
    <s v="User Not Mapped"/>
    <n v="1213389"/>
    <s v="MAA KALI FERTILIZER"/>
    <s v="Private Wholsaler"/>
    <s v="9933179116"/>
    <n v="19.170000000000002"/>
    <n v="42"/>
    <x v="3"/>
    <s v="'B/25-26/030020'"/>
    <s v="2026-03-09"/>
    <s v="254732"/>
    <s v="Binod Kumar Maskara"/>
    <s v="8250461848"/>
  </r>
  <r>
    <s v="RCF Import"/>
    <s v="Imp 10-26-26"/>
    <s v="WB"/>
    <x v="6"/>
    <s v="Tufanganj - I"/>
    <s v="User Not Mapped"/>
    <s v="User Not Mapped"/>
    <s v="User Not Mapped"/>
    <n v="271245"/>
    <s v="M/S- DULAL DAS"/>
    <s v="Private Retailer"/>
    <s v="9083234152"/>
    <n v="0.5"/>
    <n v="873"/>
    <x v="2"/>
    <m/>
    <s v="2023-11-29"/>
    <s v="1214827"/>
    <s v="BINOY DEY"/>
    <s v="9434483653"/>
  </r>
  <r>
    <s v="RCF Import"/>
    <s v="MOP"/>
    <s v="WB"/>
    <x v="6"/>
    <s v="Mekliganj"/>
    <s v="User Not Mapped"/>
    <s v="User Not Mapped"/>
    <s v="User Not Mapped"/>
    <n v="746524"/>
    <s v="M/s. Jiyarul Islam"/>
    <s v="Private Retailer"/>
    <s v="8972761660"/>
    <n v="0.4"/>
    <n v="583"/>
    <x v="2"/>
    <m/>
    <s v="2024-09-14"/>
    <s v="1354392"/>
    <s v="Chaki Agro Science"/>
    <s v="7872900309"/>
  </r>
  <r>
    <s v="RCF Trombay"/>
    <s v="15-15-15"/>
    <s v="WB"/>
    <x v="6"/>
    <s v="Mathabhanga - II"/>
    <s v="User Not Mapped"/>
    <s v="User Not Mapped"/>
    <s v="User Not Mapped"/>
    <n v="1296616"/>
    <s v="KAMAL KR ROY "/>
    <s v="Private Wholsaler"/>
    <s v="9735973823"/>
    <n v="3.5"/>
    <n v="17"/>
    <x v="5"/>
    <s v="'GST/139/26-27'"/>
    <s v="2026-04-03"/>
    <s v="268761"/>
    <s v="Chaki Enterprise"/>
    <s v="8348285333"/>
  </r>
  <r>
    <s v="RCF Trombay"/>
    <s v="15-15-15"/>
    <s v="WB"/>
    <x v="6"/>
    <s v="Mathabhanga - II"/>
    <s v="User Not Mapped"/>
    <s v="User Not Mapped"/>
    <s v="User Not Mapped"/>
    <n v="354465"/>
    <s v="Ashis Das"/>
    <s v="Private Retailer"/>
    <s v="9733214282"/>
    <n v="18.899999999999999"/>
    <n v="75"/>
    <x v="6"/>
    <m/>
    <s v="2026-02-04"/>
    <s v="260160"/>
    <s v="Chanda Nursery"/>
    <s v="9641878132"/>
  </r>
  <r>
    <s v="RCF Trombay"/>
    <s v="N.C.Urea(45kg)"/>
    <s v="WB"/>
    <x v="6"/>
    <s v="Mathabhanga - II"/>
    <s v="User Not Mapped"/>
    <s v="User Not Mapped"/>
    <s v="User Not Mapped"/>
    <n v="354465"/>
    <s v="Ashis Das"/>
    <s v="Private Retailer"/>
    <s v="9733214282"/>
    <n v="1.575"/>
    <n v="75"/>
    <x v="6"/>
    <m/>
    <s v="2026-02-04"/>
    <s v="260160"/>
    <s v="Chanda Nursery"/>
    <s v="9641878132"/>
  </r>
  <r>
    <s v="RCF Thal"/>
    <s v="N.C.Urea(45kg)"/>
    <s v="WB"/>
    <x v="6"/>
    <m/>
    <s v="User Not Mapped"/>
    <s v="User Not Mapped"/>
    <s v="User Not Mapped"/>
    <n v="252195"/>
    <s v="Azizur Pramaniic"/>
    <s v="Private Retailer"/>
    <s v="9002708721"/>
    <n v="1.35"/>
    <n v="46"/>
    <x v="3"/>
    <m/>
    <s v="2026-03-05"/>
    <s v="260160"/>
    <s v="Chanda Nursery"/>
    <s v="9641878132"/>
  </r>
  <r>
    <s v="RCF Import"/>
    <s v="MOP"/>
    <s v="WB"/>
    <x v="6"/>
    <s v="Tufanganj - I"/>
    <s v="User Not Mapped"/>
    <s v="User Not Mapped"/>
    <s v="User Not Mapped"/>
    <n v="879513"/>
    <s v="BIDHAN CHANDRA DAS"/>
    <s v="Private Retailer"/>
    <s v="8906063534"/>
    <n v="0.25"/>
    <n v="501"/>
    <x v="0"/>
    <m/>
    <s v="2024-12-05"/>
    <s v="260160"/>
    <s v="Chanda Nursery"/>
    <s v="9641878132"/>
  </r>
  <r>
    <s v="RCF Import"/>
    <s v="MOP"/>
    <s v="WB"/>
    <x v="6"/>
    <s v="Tufanganj - I"/>
    <s v="User Not Mapped"/>
    <s v="User Not Mapped"/>
    <s v="User Not Mapped"/>
    <n v="879513"/>
    <s v="BIDHAN CHANDRA DAS"/>
    <s v="Private Retailer"/>
    <s v="8906063534"/>
    <n v="0.2"/>
    <n v="549"/>
    <x v="2"/>
    <m/>
    <s v="2024-10-18"/>
    <s v="260160"/>
    <s v="Chanda Nursery"/>
    <s v="9641878132"/>
  </r>
  <r>
    <s v="RCF Import"/>
    <s v="MOP"/>
    <s v="WB"/>
    <x v="6"/>
    <s v="Tufanganj - I"/>
    <s v="User Not Mapped"/>
    <s v="User Not Mapped"/>
    <s v="User Not Mapped"/>
    <n v="879513"/>
    <s v="BIDHAN CHANDRA DAS"/>
    <s v="Private Retailer"/>
    <s v="8906063534"/>
    <n v="0.1"/>
    <n v="572"/>
    <x v="2"/>
    <m/>
    <s v="2024-09-25"/>
    <s v="260160"/>
    <s v="Chanda Nursery"/>
    <s v="9641878132"/>
  </r>
  <r>
    <s v="RCF Thal"/>
    <s v="N.C.Urea(45kg)"/>
    <s v="WB"/>
    <x v="6"/>
    <s v="Tufanganj - II"/>
    <s v="User Not Mapped"/>
    <s v="User Not Mapped"/>
    <s v="User Not Mapped"/>
    <n v="1065793"/>
    <s v="BISHNU BARMAN"/>
    <s v="Private Retailer"/>
    <s v="6294812250"/>
    <n v="2.0249999999999999"/>
    <n v="31"/>
    <x v="3"/>
    <m/>
    <s v="2026-03-20"/>
    <s v="260160"/>
    <s v="Chanda Nursery"/>
    <s v="9641878132"/>
  </r>
  <r>
    <s v="RCF Thal"/>
    <s v="N.C.Urea(45kg)"/>
    <s v="WB"/>
    <x v="6"/>
    <s v="Tufanganj - II"/>
    <s v="User Not Mapped"/>
    <s v="User Not Mapped"/>
    <s v="User Not Mapped"/>
    <n v="228633"/>
    <s v="Gopal Sarkar"/>
    <s v="Private Retailer"/>
    <s v="7602592474"/>
    <n v="1.44"/>
    <n v="41"/>
    <x v="3"/>
    <m/>
    <s v="2026-03-10"/>
    <s v="260160"/>
    <s v="Chanda Nursery"/>
    <s v="9641878132"/>
  </r>
  <r>
    <s v="RCF Trombay"/>
    <s v="15-15-15"/>
    <s v="WB"/>
    <x v="6"/>
    <s v="Tufanganj - I"/>
    <s v="User Not Mapped"/>
    <s v="User Not Mapped"/>
    <s v="User Not Mapped"/>
    <n v="269571"/>
    <s v="Ibrahim Ali Bepari"/>
    <s v="Private Retailer"/>
    <s v="9733416896"/>
    <n v="0.25"/>
    <n v="493"/>
    <x v="0"/>
    <m/>
    <s v="2024-12-13"/>
    <s v="260160"/>
    <s v="Chanda Nursery"/>
    <s v="9641878132"/>
  </r>
  <r>
    <s v="RCF Thal"/>
    <s v="N.C.Urea(45kg)"/>
    <s v="WB"/>
    <x v="6"/>
    <s v="Tufanganj - I"/>
    <s v="User Not Mapped"/>
    <s v="User Not Mapped"/>
    <s v="User Not Mapped"/>
    <n v="269934"/>
    <s v="Jakir Hossain Bepari"/>
    <s v="Private Retailer"/>
    <s v="9641478070"/>
    <n v="0.45"/>
    <n v="45"/>
    <x v="3"/>
    <m/>
    <s v="2026-03-06"/>
    <s v="260160"/>
    <s v="Chanda Nursery"/>
    <s v="9641878132"/>
  </r>
  <r>
    <s v="RCF Thal"/>
    <s v="N.C.Urea(45kg)"/>
    <s v="WB"/>
    <x v="6"/>
    <s v="Tufanganj - I"/>
    <s v="User Not Mapped"/>
    <s v="User Not Mapped"/>
    <s v="User Not Mapped"/>
    <n v="270023"/>
    <s v="Jhirul Hoque Sarkar"/>
    <s v="Private Retailer"/>
    <s v="9800678453"/>
    <n v="2.88"/>
    <n v="41"/>
    <x v="3"/>
    <m/>
    <s v="2026-03-10"/>
    <s v="260160"/>
    <s v="Chanda Nursery"/>
    <s v="9641878132"/>
  </r>
  <r>
    <s v="RCF Thal"/>
    <s v="N.C.Urea(45kg)"/>
    <s v="WB"/>
    <x v="6"/>
    <s v="Tufanganj - I"/>
    <s v="User Not Mapped"/>
    <s v="User Not Mapped"/>
    <s v="User Not Mapped"/>
    <n v="271200"/>
    <s v="Krishi Bhander"/>
    <s v="Private Retailer"/>
    <s v="9932376509"/>
    <n v="0.09"/>
    <n v="41"/>
    <x v="3"/>
    <m/>
    <s v="2026-03-10"/>
    <s v="260160"/>
    <s v="Chanda Nursery"/>
    <s v="9641878132"/>
  </r>
  <r>
    <s v="RCF Trombay"/>
    <s v="15-15-15"/>
    <s v="WB"/>
    <x v="6"/>
    <s v="Tufanganj - I"/>
    <s v="User Not Mapped"/>
    <s v="User Not Mapped"/>
    <s v="User Not Mapped"/>
    <n v="606343"/>
    <s v="M/S- ANIMESH RAY MANDAL"/>
    <s v="Private Retailer"/>
    <s v="9641543554"/>
    <n v="0.6"/>
    <n v="492"/>
    <x v="0"/>
    <m/>
    <s v="2024-12-14"/>
    <s v="260160"/>
    <s v="Chanda Nursery"/>
    <s v="9641878132"/>
  </r>
  <r>
    <s v="RCF Thal"/>
    <s v="N.C.Urea(45kg)"/>
    <s v="WB"/>
    <x v="6"/>
    <s v="Tufanganj - I"/>
    <s v="User Not Mapped"/>
    <s v="User Not Mapped"/>
    <s v="User Not Mapped"/>
    <n v="606343"/>
    <s v="M/S- ANIMESH RAY MANDAL"/>
    <s v="Private Retailer"/>
    <s v="9641543554"/>
    <n v="0.45"/>
    <n v="41"/>
    <x v="3"/>
    <m/>
    <s v="2026-03-10"/>
    <s v="260160"/>
    <s v="Chanda Nursery"/>
    <s v="9641878132"/>
  </r>
  <r>
    <s v="RCF Import"/>
    <s v="MOP"/>
    <s v="WB"/>
    <x v="6"/>
    <s v="Tufanganj - I"/>
    <s v="User Not Mapped"/>
    <s v="User Not Mapped"/>
    <s v="User Not Mapped"/>
    <n v="606343"/>
    <s v="M/S- ANIMESH RAY MANDAL"/>
    <s v="Private Retailer"/>
    <s v="9641543554"/>
    <n v="0.05"/>
    <n v="564"/>
    <x v="2"/>
    <m/>
    <s v="2024-10-03"/>
    <s v="260160"/>
    <s v="Chanda Nursery"/>
    <s v="9641878132"/>
  </r>
  <r>
    <s v="RCF Thal"/>
    <s v="N.C.Urea(45kg)"/>
    <s v="WB"/>
    <x v="6"/>
    <s v="Tufanganj - I"/>
    <s v="User Not Mapped"/>
    <s v="User Not Mapped"/>
    <s v="User Not Mapped"/>
    <n v="655407"/>
    <s v="M/S ASHRAFUL ALAM"/>
    <s v="Private Retailer"/>
    <s v="9002985325"/>
    <n v="0.54"/>
    <n v="45"/>
    <x v="3"/>
    <m/>
    <s v="2026-03-06"/>
    <s v="260160"/>
    <s v="Chanda Nursery"/>
    <s v="9641878132"/>
  </r>
  <r>
    <s v="RCF Import"/>
    <s v="MOP"/>
    <s v="WB"/>
    <x v="6"/>
    <s v="Tufanganj - I"/>
    <s v="User Not Mapped"/>
    <s v="User Not Mapped"/>
    <s v="User Not Mapped"/>
    <n v="655407"/>
    <s v="M/S ASHRAFUL ALAM"/>
    <s v="Private Retailer"/>
    <s v="9002985325"/>
    <n v="0.4"/>
    <n v="495"/>
    <x v="0"/>
    <m/>
    <s v="2024-12-11"/>
    <s v="260160"/>
    <s v="Chanda Nursery"/>
    <s v="9641878132"/>
  </r>
  <r>
    <s v="RCF Import"/>
    <s v="MOP"/>
    <s v="WB"/>
    <x v="6"/>
    <s v="Tufanganj - I"/>
    <s v="User Not Mapped"/>
    <s v="User Not Mapped"/>
    <s v="User Not Mapped"/>
    <n v="655407"/>
    <s v="M/S ASHRAFUL ALAM"/>
    <s v="Private Retailer"/>
    <s v="9002985325"/>
    <n v="0.25"/>
    <n v="497"/>
    <x v="0"/>
    <m/>
    <s v="2024-12-09"/>
    <s v="260160"/>
    <s v="Chanda Nursery"/>
    <s v="9641878132"/>
  </r>
  <r>
    <s v="RCF Import"/>
    <s v="MOP"/>
    <s v="WB"/>
    <x v="6"/>
    <s v="Tufanganj - I"/>
    <s v="User Not Mapped"/>
    <s v="User Not Mapped"/>
    <s v="User Not Mapped"/>
    <n v="655407"/>
    <s v="M/S ASHRAFUL ALAM"/>
    <s v="Private Retailer"/>
    <s v="9002985325"/>
    <n v="0.25"/>
    <n v="492"/>
    <x v="0"/>
    <m/>
    <s v="2024-12-14"/>
    <s v="260160"/>
    <s v="Chanda Nursery"/>
    <s v="9641878132"/>
  </r>
  <r>
    <s v="RCF Import"/>
    <s v="MOP"/>
    <s v="WB"/>
    <x v="6"/>
    <s v="Tufanganj - I"/>
    <s v="User Not Mapped"/>
    <s v="User Not Mapped"/>
    <s v="User Not Mapped"/>
    <n v="655407"/>
    <s v="M/S ASHRAFUL ALAM"/>
    <s v="Private Retailer"/>
    <s v="9002985325"/>
    <n v="0.25"/>
    <n v="499"/>
    <x v="0"/>
    <m/>
    <s v="2024-12-07"/>
    <s v="260160"/>
    <s v="Chanda Nursery"/>
    <s v="9641878132"/>
  </r>
  <r>
    <s v="RCF Import"/>
    <s v="MOP"/>
    <s v="WB"/>
    <x v="6"/>
    <s v="Tufanganj - I"/>
    <s v="User Not Mapped"/>
    <s v="User Not Mapped"/>
    <s v="User Not Mapped"/>
    <n v="655407"/>
    <s v="M/S ASHRAFUL ALAM"/>
    <s v="Private Retailer"/>
    <s v="9002985325"/>
    <n v="0.25"/>
    <n v="490"/>
    <x v="0"/>
    <m/>
    <s v="2024-12-16"/>
    <s v="260160"/>
    <s v="Chanda Nursery"/>
    <s v="9641878132"/>
  </r>
  <r>
    <s v="RCF Import"/>
    <s v="MOP"/>
    <s v="WB"/>
    <x v="6"/>
    <s v="Tufanganj - I"/>
    <s v="User Not Mapped"/>
    <s v="User Not Mapped"/>
    <s v="User Not Mapped"/>
    <n v="655407"/>
    <s v="M/S ASHRAFUL ALAM"/>
    <s v="Private Retailer"/>
    <s v="9002985325"/>
    <n v="0.25"/>
    <n v="500"/>
    <x v="0"/>
    <m/>
    <s v="2024-12-06"/>
    <s v="260160"/>
    <s v="Chanda Nursery"/>
    <s v="9641878132"/>
  </r>
  <r>
    <s v="RCF Thal"/>
    <s v="N.C.Urea(45kg)"/>
    <s v="WB"/>
    <x v="6"/>
    <m/>
    <s v="User Not Mapped"/>
    <s v="User Not Mapped"/>
    <s v="User Not Mapped"/>
    <n v="511038"/>
    <s v="M/S Dhiren Kar"/>
    <s v="Private Retailer"/>
    <s v="9735017552"/>
    <n v="0.46500000000000002"/>
    <n v="879"/>
    <x v="2"/>
    <m/>
    <s v="2023-11-23"/>
    <s v="260160"/>
    <s v="Chanda Nursery"/>
    <s v="9641878132"/>
  </r>
  <r>
    <s v="RCF Thal"/>
    <s v="N.C.Urea(45kg)"/>
    <s v="WB"/>
    <x v="6"/>
    <s v="Tufanganj - I"/>
    <s v="User Not Mapped"/>
    <s v="User Not Mapped"/>
    <s v="User Not Mapped"/>
    <n v="631797"/>
    <s v="M/S- DIPAK CHAKROBORTY "/>
    <s v="Private Retailer"/>
    <s v="9733376563"/>
    <n v="0.45"/>
    <n v="41"/>
    <x v="3"/>
    <m/>
    <s v="2026-03-10"/>
    <s v="260160"/>
    <s v="Chanda Nursery"/>
    <s v="9641878132"/>
  </r>
  <r>
    <s v="RCF Thal"/>
    <s v="N.C.Urea(45kg)"/>
    <s v="WB"/>
    <x v="6"/>
    <s v="Tufanganj - I"/>
    <s v="User Not Mapped"/>
    <s v="User Not Mapped"/>
    <s v="User Not Mapped"/>
    <n v="228596"/>
    <s v="M/S- GOPAL CHANDA"/>
    <s v="Private Retailer"/>
    <s v="9733179209"/>
    <n v="0.36"/>
    <n v="46"/>
    <x v="3"/>
    <m/>
    <s v="2026-03-05"/>
    <s v="260160"/>
    <s v="Chanda Nursery"/>
    <s v="9641878132"/>
  </r>
  <r>
    <s v="RCF Thal"/>
    <s v="N.C.Urea(45kg)"/>
    <s v="WB"/>
    <x v="6"/>
    <m/>
    <s v="User Not Mapped"/>
    <s v="User Not Mapped"/>
    <s v="User Not Mapped"/>
    <n v="1258394"/>
    <s v="M/S LAXMI KRISHI BHANDAR"/>
    <s v="Private Retailer"/>
    <s v="9749856393"/>
    <n v="1.35"/>
    <n v="46"/>
    <x v="3"/>
    <m/>
    <s v="2026-03-05"/>
    <s v="260160"/>
    <s v="Chanda Nursery"/>
    <s v="9641878132"/>
  </r>
  <r>
    <s v="RCF Thal"/>
    <s v="N.C.Urea(45kg)"/>
    <s v="WB"/>
    <x v="6"/>
    <m/>
    <s v="User Not Mapped"/>
    <s v="User Not Mapped"/>
    <s v="User Not Mapped"/>
    <n v="1615192"/>
    <s v="M/s Maa Fertilizer"/>
    <s v="Private Retailer"/>
    <s v="8116327935"/>
    <n v="0.22500000000000001"/>
    <n v="38"/>
    <x v="3"/>
    <m/>
    <s v="2026-03-13"/>
    <s v="260160"/>
    <s v="Chanda Nursery"/>
    <s v="9641878132"/>
  </r>
  <r>
    <s v="RCF Thal"/>
    <s v="N.C.Urea(45kg)"/>
    <s v="WB"/>
    <x v="6"/>
    <m/>
    <s v="User Not Mapped"/>
    <s v="User Not Mapped"/>
    <s v="User Not Mapped"/>
    <n v="1615192"/>
    <s v="M/s Maa Fertilizer"/>
    <s v="Private Retailer"/>
    <s v="8116327935"/>
    <n v="0.58499999999999996"/>
    <n v="45"/>
    <x v="3"/>
    <m/>
    <s v="2026-03-06"/>
    <s v="260160"/>
    <s v="Chanda Nursery"/>
    <s v="9641878132"/>
  </r>
  <r>
    <s v="RCF Trombay"/>
    <s v="15-15-15"/>
    <s v="WB"/>
    <x v="6"/>
    <s v="Tufanganj - I"/>
    <s v="User Not Mapped"/>
    <s v="User Not Mapped"/>
    <s v="User Not Mapped"/>
    <n v="228827"/>
    <s v="M/S- MAA KALI FERTILIZER"/>
    <s v="Private Retailer"/>
    <s v="8906559291"/>
    <n v="0.75"/>
    <n v="502"/>
    <x v="0"/>
    <m/>
    <s v="2024-12-04"/>
    <s v="260160"/>
    <s v="Chanda Nursery"/>
    <s v="9641878132"/>
  </r>
  <r>
    <s v="RCF Thal"/>
    <s v="N.C.Urea(45kg)"/>
    <s v="WB"/>
    <x v="6"/>
    <s v="Tufanganj - I"/>
    <s v="User Not Mapped"/>
    <s v="User Not Mapped"/>
    <s v="User Not Mapped"/>
    <n v="271208"/>
    <s v="M/s- Majiruddin Miah"/>
    <s v="Private Retailer"/>
    <s v="9734157387"/>
    <n v="0.45"/>
    <n v="41"/>
    <x v="3"/>
    <m/>
    <s v="2026-03-10"/>
    <s v="260160"/>
    <s v="Chanda Nursery"/>
    <s v="9641878132"/>
  </r>
  <r>
    <s v="RCF Thal"/>
    <s v="N.C.Urea(45kg)"/>
    <s v="WB"/>
    <x v="6"/>
    <s v="Tufanganj - I"/>
    <s v="User Not Mapped"/>
    <s v="User Not Mapped"/>
    <s v="User Not Mapped"/>
    <n v="300568"/>
    <s v="M/S New Basundhara"/>
    <s v="Private Retailer"/>
    <s v="9434689887"/>
    <n v="0.09"/>
    <n v="46"/>
    <x v="3"/>
    <m/>
    <s v="2026-03-05"/>
    <s v="260160"/>
    <s v="Chanda Nursery"/>
    <s v="9641878132"/>
  </r>
  <r>
    <s v="RCF Thal"/>
    <s v="N.C.Urea(45kg)"/>
    <s v="WB"/>
    <x v="6"/>
    <s v="Tufanganj - I"/>
    <s v="User Not Mapped"/>
    <s v="User Not Mapped"/>
    <s v="User Not Mapped"/>
    <n v="1073404"/>
    <s v="M/S RANJIT KR. DAS"/>
    <s v="Private Retailer"/>
    <s v="9614694410"/>
    <n v="1.0349999999999999"/>
    <n v="41"/>
    <x v="3"/>
    <m/>
    <s v="2026-03-10"/>
    <s v="260160"/>
    <s v="Chanda Nursery"/>
    <s v="9641878132"/>
  </r>
  <r>
    <s v="RCF Thal"/>
    <s v="N.C.Urea(45kg)"/>
    <s v="WB"/>
    <x v="6"/>
    <s v="Tufanganj - I"/>
    <s v="User Not Mapped"/>
    <s v="User Not Mapped"/>
    <s v="User Not Mapped"/>
    <n v="1073404"/>
    <s v="M/S RANJIT KR. DAS"/>
    <s v="Private Retailer"/>
    <s v="9614694410"/>
    <n v="0.58499999999999996"/>
    <n v="46"/>
    <x v="3"/>
    <m/>
    <s v="2026-03-05"/>
    <s v="260160"/>
    <s v="Chanda Nursery"/>
    <s v="9641878132"/>
  </r>
  <r>
    <s v="RCF Thal"/>
    <s v="N.C.Urea(45kg)"/>
    <s v="WB"/>
    <x v="6"/>
    <s v="Tufanganj - I"/>
    <s v="User Not Mapped"/>
    <s v="User Not Mapped"/>
    <s v="User Not Mapped"/>
    <n v="1073404"/>
    <s v="M/S RANJIT KR. DAS"/>
    <s v="Private Retailer"/>
    <s v="9614694410"/>
    <n v="1.53"/>
    <n v="38"/>
    <x v="3"/>
    <m/>
    <s v="2026-03-13"/>
    <s v="260160"/>
    <s v="Chanda Nursery"/>
    <s v="9641878132"/>
  </r>
  <r>
    <s v="RCF Thal"/>
    <s v="N.C.Urea(45kg)"/>
    <s v="WB"/>
    <x v="6"/>
    <s v="Tufanganj - I"/>
    <s v="User Not Mapped"/>
    <s v="User Not Mapped"/>
    <s v="User Not Mapped"/>
    <n v="616525"/>
    <s v="M/S- SAIFUR RAHAMAN"/>
    <s v="Private Retailer"/>
    <s v="9749852424"/>
    <n v="1.125"/>
    <n v="972"/>
    <x v="2"/>
    <m/>
    <s v="2023-08-22"/>
    <s v="260160"/>
    <s v="Chanda Nursery"/>
    <s v="9641878132"/>
  </r>
  <r>
    <s v="RCF Trombay"/>
    <s v="15-15-15"/>
    <s v="WB"/>
    <x v="6"/>
    <s v="Tufanganj - II"/>
    <s v="User Not Mapped"/>
    <s v="User Not Mapped"/>
    <s v="User Not Mapped"/>
    <n v="655415"/>
    <s v="M/S SANTOSH DAS"/>
    <s v="Private Retailer"/>
    <s v="8967568167"/>
    <n v="0.55000000000000004"/>
    <n v="492"/>
    <x v="0"/>
    <m/>
    <s v="2024-12-14"/>
    <s v="260160"/>
    <s v="Chanda Nursery"/>
    <s v="9641878132"/>
  </r>
  <r>
    <s v="RCF Import"/>
    <s v="MOP"/>
    <s v="WB"/>
    <x v="6"/>
    <s v="Tufanganj - II"/>
    <s v="User Not Mapped"/>
    <s v="User Not Mapped"/>
    <s v="User Not Mapped"/>
    <n v="655415"/>
    <s v="M/S SANTOSH DAS"/>
    <s v="Private Retailer"/>
    <s v="8967568167"/>
    <n v="1"/>
    <n v="497"/>
    <x v="0"/>
    <m/>
    <s v="2024-12-09"/>
    <s v="260160"/>
    <s v="Chanda Nursery"/>
    <s v="9641878132"/>
  </r>
  <r>
    <s v="RCF Thal"/>
    <s v="N.C.Urea(45kg)"/>
    <s v="WB"/>
    <x v="6"/>
    <s v="Tufanganj - I"/>
    <s v="User Not Mapped"/>
    <s v="User Not Mapped"/>
    <s v="User Not Mapped"/>
    <n v="552727"/>
    <s v="M/S Swasti Fertilizer"/>
    <s v="Private Retailer"/>
    <s v="6296701239"/>
    <n v="4.6349999999999998"/>
    <n v="44"/>
    <x v="3"/>
    <m/>
    <s v="2026-03-07"/>
    <s v="260160"/>
    <s v="Chanda Nursery"/>
    <s v="9641878132"/>
  </r>
  <r>
    <s v="RCF Import"/>
    <s v="Imp 10-26-26"/>
    <s v="WB"/>
    <x v="6"/>
    <s v="Tufanganj - I"/>
    <s v="User Not Mapped"/>
    <s v="User Not Mapped"/>
    <s v="User Not Mapped"/>
    <n v="251999"/>
    <s v="M/s. Ali Hossain"/>
    <s v="Private Retailer"/>
    <s v="9002154166"/>
    <n v="0.15"/>
    <n v="858"/>
    <x v="2"/>
    <m/>
    <s v="2023-12-14"/>
    <s v="260160"/>
    <s v="Chanda Nursery"/>
    <s v="9641878132"/>
  </r>
  <r>
    <s v="RCF Thal"/>
    <s v="N.C.Urea(45kg)"/>
    <s v="WB"/>
    <x v="6"/>
    <s v="Tufanganj - I"/>
    <s v="User Not Mapped"/>
    <s v="User Not Mapped"/>
    <s v="User Not Mapped"/>
    <n v="1610464"/>
    <s v="M/s. Bhowmik Fertilizer"/>
    <s v="Private Retailer"/>
    <s v="9832498445"/>
    <n v="0.67500000000000004"/>
    <n v="46"/>
    <x v="3"/>
    <m/>
    <s v="2026-03-05"/>
    <s v="260160"/>
    <s v="Chanda Nursery"/>
    <s v="9641878132"/>
  </r>
  <r>
    <s v="RCF Thal"/>
    <s v="N.C.Urea(45kg)"/>
    <s v="WB"/>
    <x v="6"/>
    <s v="Tufanganj - I"/>
    <s v="User Not Mapped"/>
    <s v="User Not Mapped"/>
    <s v="User Not Mapped"/>
    <n v="1064832"/>
    <s v="M/S. GOLAM SAROYAR BYAPARI"/>
    <s v="Private Retailer"/>
    <s v="9582998363"/>
    <n v="0.67500000000000004"/>
    <n v="38"/>
    <x v="3"/>
    <m/>
    <s v="2026-03-13"/>
    <s v="260160"/>
    <s v="Chanda Nursery"/>
    <s v="9641878132"/>
  </r>
  <r>
    <s v="RCF Thal"/>
    <s v="N.C.Urea(45kg)"/>
    <s v="WB"/>
    <x v="6"/>
    <s v="Tufanganj - II"/>
    <s v="User Not Mapped"/>
    <s v="User Not Mapped"/>
    <s v="User Not Mapped"/>
    <n v="507580"/>
    <s v="M/s. Joy Ma  Krishi Bhandar"/>
    <s v="Private Retailer"/>
    <s v="9635748311"/>
    <n v="0.40500000000000003"/>
    <n v="38"/>
    <x v="3"/>
    <m/>
    <s v="2026-03-13"/>
    <s v="260160"/>
    <s v="Chanda Nursery"/>
    <s v="9641878132"/>
  </r>
  <r>
    <s v="RCF Thal"/>
    <s v="N.C.Urea(45kg)"/>
    <s v="WB"/>
    <x v="6"/>
    <s v="Tufanganj - II"/>
    <s v="User Not Mapped"/>
    <s v="User Not Mapped"/>
    <s v="User Not Mapped"/>
    <n v="403296"/>
    <s v="M/s. Kishor Barman"/>
    <s v="Private Retailer"/>
    <s v="9635619142"/>
    <n v="1.665"/>
    <n v="12"/>
    <x v="5"/>
    <m/>
    <s v="2026-04-08"/>
    <s v="260160"/>
    <s v="Chanda Nursery"/>
    <s v="9641878132"/>
  </r>
  <r>
    <s v="RCF Thal"/>
    <s v="N.C.Urea(45kg)"/>
    <s v="WB"/>
    <x v="6"/>
    <s v="Tufanganj - II"/>
    <s v="User Not Mapped"/>
    <s v="User Not Mapped"/>
    <s v="User Not Mapped"/>
    <n v="544350"/>
    <s v="M/s. Ma Lakshmi Krishi Kendra"/>
    <s v="Private Retailer"/>
    <s v="9932722957"/>
    <n v="0.40500000000000003"/>
    <n v="41"/>
    <x v="3"/>
    <m/>
    <s v="2026-03-10"/>
    <s v="260160"/>
    <s v="Chanda Nursery"/>
    <s v="9641878132"/>
  </r>
  <r>
    <s v="RCF Trombay"/>
    <s v="15-15-15"/>
    <s v="WB"/>
    <x v="6"/>
    <s v="Cooch Behar - II"/>
    <s v="User Not Mapped"/>
    <s v="User Not Mapped"/>
    <s v="User Not Mapped"/>
    <n v="393771"/>
    <s v="M/s. Paul Fertilizer"/>
    <s v="Private Retailer"/>
    <s v="9800375721"/>
    <n v="7.2"/>
    <n v="75"/>
    <x v="6"/>
    <m/>
    <s v="2026-02-04"/>
    <s v="260160"/>
    <s v="Chanda Nursery"/>
    <s v="9641878132"/>
  </r>
  <r>
    <s v="RCF Thal"/>
    <s v="N.C.Urea(45kg)"/>
    <s v="WB"/>
    <x v="6"/>
    <s v="Tufanganj - II"/>
    <s v="User Not Mapped"/>
    <s v="User Not Mapped"/>
    <s v="User Not Mapped"/>
    <n v="620264"/>
    <s v="M/S. PRADIP KUMAR SARKAR"/>
    <s v="Private Retailer"/>
    <s v="8967298608"/>
    <n v="1.8"/>
    <n v="38"/>
    <x v="3"/>
    <m/>
    <s v="2026-03-13"/>
    <s v="260160"/>
    <s v="Chanda Nursery"/>
    <s v="9641878132"/>
  </r>
  <r>
    <s v="RCF Thal"/>
    <s v="N.C.Urea(45kg)"/>
    <s v="WB"/>
    <x v="6"/>
    <s v="Tufanganj - II"/>
    <s v="User Not Mapped"/>
    <s v="User Not Mapped"/>
    <s v="User Not Mapped"/>
    <n v="876742"/>
    <s v="M/S. RAJESWARI FERTILIZER"/>
    <s v="Private Retailer"/>
    <s v="9832465190"/>
    <n v="2.7"/>
    <n v="45"/>
    <x v="3"/>
    <m/>
    <s v="2026-03-06"/>
    <s v="260160"/>
    <s v="Chanda Nursery"/>
    <s v="9641878132"/>
  </r>
  <r>
    <s v="RCF Thal"/>
    <s v="N.C.Urea(45kg)"/>
    <s v="WB"/>
    <x v="6"/>
    <s v="Tufanganj - II"/>
    <s v="User Not Mapped"/>
    <s v="User Not Mapped"/>
    <s v="User Not Mapped"/>
    <n v="271243"/>
    <s v="M/s. Sailen Chandra Das"/>
    <s v="Private Retailer"/>
    <s v="9734108238"/>
    <n v="0.09"/>
    <n v="46"/>
    <x v="3"/>
    <m/>
    <s v="2026-03-05"/>
    <s v="260160"/>
    <s v="Chanda Nursery"/>
    <s v="9641878132"/>
  </r>
  <r>
    <s v="RCF Thal"/>
    <s v="N.C.Urea(45kg)"/>
    <s v="WB"/>
    <x v="6"/>
    <s v="Tufanganj - II"/>
    <s v="User Not Mapped"/>
    <s v="User Not Mapped"/>
    <s v="User Not Mapped"/>
    <n v="271249"/>
    <s v="M/s. Sri Krishna Fertilizer"/>
    <s v="Private Retailer"/>
    <s v="9933482797"/>
    <n v="1.26"/>
    <n v="41"/>
    <x v="3"/>
    <m/>
    <s v="2026-03-10"/>
    <s v="260160"/>
    <s v="Chanda Nursery"/>
    <s v="9641878132"/>
  </r>
  <r>
    <s v="RCF Thal"/>
    <s v="N.C.Urea(45kg)"/>
    <s v="WB"/>
    <x v="6"/>
    <m/>
    <s v="User Not Mapped"/>
    <s v="User Not Mapped"/>
    <s v="User Not Mapped"/>
    <n v="1208846"/>
    <s v="M/S. SUCHITRA FERTILIZER"/>
    <s v="Private Retailer"/>
    <s v="8927983298"/>
    <n v="0.36"/>
    <n v="37"/>
    <x v="3"/>
    <m/>
    <s v="2026-03-14"/>
    <s v="260160"/>
    <s v="Chanda Nursery"/>
    <s v="9641878132"/>
  </r>
  <r>
    <s v="RCF Thal"/>
    <s v="N.C.Urea(45kg)"/>
    <s v="WB"/>
    <x v="6"/>
    <s v="Tufanganj - I"/>
    <s v="User Not Mapped"/>
    <s v="User Not Mapped"/>
    <s v="User Not Mapped"/>
    <n v="228833"/>
    <s v="M/s. Surath Saha"/>
    <s v="Private Retailer"/>
    <s v="9641019716"/>
    <n v="0.67500000000000004"/>
    <n v="38"/>
    <x v="3"/>
    <m/>
    <s v="2026-03-13"/>
    <s v="260160"/>
    <s v="Chanda Nursery"/>
    <s v="9641878132"/>
  </r>
  <r>
    <s v="RCF Thal"/>
    <s v="N.C.Urea(45kg)"/>
    <s v="WB"/>
    <x v="6"/>
    <s v="Tufanganj - I"/>
    <s v="User Not Mapped"/>
    <s v="User Not Mapped"/>
    <s v="User Not Mapped"/>
    <n v="228833"/>
    <s v="M/s. Surath Saha"/>
    <s v="Private Retailer"/>
    <s v="9641019716"/>
    <n v="1.35"/>
    <n v="46"/>
    <x v="3"/>
    <m/>
    <s v="2026-03-05"/>
    <s v="260160"/>
    <s v="Chanda Nursery"/>
    <s v="9641878132"/>
  </r>
  <r>
    <s v="RCF Import"/>
    <s v="MOP"/>
    <s v="WB"/>
    <x v="6"/>
    <s v="Tufanganj - I"/>
    <s v="User Not Mapped"/>
    <s v="User Not Mapped"/>
    <s v="User Not Mapped"/>
    <n v="638996"/>
    <s v="M/S-CHINMAY SARKAR"/>
    <s v="Private Retailer"/>
    <s v="8759034893"/>
    <n v="0.1"/>
    <n v="586"/>
    <x v="2"/>
    <m/>
    <s v="2024-09-11"/>
    <s v="260160"/>
    <s v="Chanda Nursery"/>
    <s v="9641878132"/>
  </r>
  <r>
    <s v="RCF Thal"/>
    <s v="N.C.Urea(45kg)"/>
    <s v="WB"/>
    <x v="6"/>
    <s v="Tufanganj - I"/>
    <s v="User Not Mapped"/>
    <s v="User Not Mapped"/>
    <s v="User Not Mapped"/>
    <n v="638996"/>
    <s v="M/S-CHINMAY SARKAR"/>
    <s v="Private Retailer"/>
    <s v="8759034893"/>
    <n v="1.3049999999999999"/>
    <n v="41"/>
    <x v="3"/>
    <m/>
    <s v="2026-03-10"/>
    <s v="260160"/>
    <s v="Chanda Nursery"/>
    <s v="9641878132"/>
  </r>
  <r>
    <s v="RCF Thal"/>
    <s v="N.C.Urea(45kg)"/>
    <s v="WB"/>
    <x v="6"/>
    <s v="Tufanganj - I"/>
    <s v="User Not Mapped"/>
    <s v="User Not Mapped"/>
    <s v="User Not Mapped"/>
    <n v="271201"/>
    <s v="M/S-KRISHNA FERTILIZER"/>
    <s v="Private Retailer"/>
    <s v="9474433504"/>
    <n v="0.9"/>
    <n v="46"/>
    <x v="3"/>
    <m/>
    <s v="2026-03-05"/>
    <s v="260160"/>
    <s v="Chanda Nursery"/>
    <s v="9641878132"/>
  </r>
  <r>
    <s v="RCF Thal"/>
    <s v="N.C.Urea(45kg)"/>
    <s v="WB"/>
    <x v="6"/>
    <m/>
    <s v="User Not Mapped"/>
    <s v="User Not Mapped"/>
    <s v="User Not Mapped"/>
    <n v="228677"/>
    <s v="Mafijul Hossain"/>
    <s v="Private Retailer"/>
    <s v="9002748852"/>
    <n v="0.54"/>
    <n v="46"/>
    <x v="3"/>
    <m/>
    <s v="2026-03-05"/>
    <s v="260160"/>
    <s v="Chanda Nursery"/>
    <s v="9641878132"/>
  </r>
  <r>
    <s v="RCF Thal"/>
    <s v="N.C.Urea(45kg)"/>
    <s v="WB"/>
    <x v="6"/>
    <m/>
    <s v="User Not Mapped"/>
    <s v="User Not Mapped"/>
    <s v="User Not Mapped"/>
    <n v="228677"/>
    <s v="Mafijul Hossain"/>
    <s v="Private Retailer"/>
    <s v="9002748852"/>
    <n v="0.45"/>
    <n v="38"/>
    <x v="3"/>
    <m/>
    <s v="2026-03-13"/>
    <s v="260160"/>
    <s v="Chanda Nursery"/>
    <s v="9641878132"/>
  </r>
  <r>
    <s v="RCF Thal"/>
    <s v="N.C.Urea(45kg)"/>
    <s v="WB"/>
    <x v="6"/>
    <s v="Tufanganj - I"/>
    <s v="User Not Mapped"/>
    <s v="User Not Mapped"/>
    <s v="User Not Mapped"/>
    <n v="1321881"/>
    <s v="MOFIJUL RAHAMAN"/>
    <s v="Private Retailer"/>
    <s v="7900034230"/>
    <n v="0.9"/>
    <n v="46"/>
    <x v="3"/>
    <m/>
    <s v="2026-03-05"/>
    <s v="260160"/>
    <s v="Chanda Nursery"/>
    <s v="9641878132"/>
  </r>
  <r>
    <s v="RCF Thal"/>
    <s v="N.C.Urea(45kg)"/>
    <s v="WB"/>
    <x v="6"/>
    <m/>
    <s v="User Not Mapped"/>
    <s v="User Not Mapped"/>
    <s v="User Not Mapped"/>
    <n v="1622270"/>
    <s v="Ms Bhai Bhai Fertilizer Shop"/>
    <s v="Private Retailer"/>
    <s v="9933329102"/>
    <n v="0.22500000000000001"/>
    <n v="38"/>
    <x v="3"/>
    <m/>
    <s v="2026-03-13"/>
    <s v="260160"/>
    <s v="Chanda Nursery"/>
    <s v="9641878132"/>
  </r>
  <r>
    <s v="RCF Import"/>
    <s v="MOP"/>
    <s v="WB"/>
    <x v="6"/>
    <s v="Tufanganj - I"/>
    <s v="User Not Mapped"/>
    <s v="User Not Mapped"/>
    <s v="User Not Mapped"/>
    <n v="589695"/>
    <s v="NARAYAN CHANDRA BARMAN"/>
    <s v="Private Retailer"/>
    <s v="9800981652"/>
    <n v="0.5"/>
    <n v="502"/>
    <x v="0"/>
    <m/>
    <s v="2024-12-04"/>
    <s v="260160"/>
    <s v="Chanda Nursery"/>
    <s v="9641878132"/>
  </r>
  <r>
    <s v="RCF Thal"/>
    <s v="N.C.Urea(45kg)"/>
    <s v="WB"/>
    <x v="6"/>
    <m/>
    <s v="User Not Mapped"/>
    <s v="User Not Mapped"/>
    <s v="User Not Mapped"/>
    <n v="394257"/>
    <s v="Nasiruddin Miah"/>
    <s v="Private Retailer"/>
    <s v="9002700603"/>
    <n v="6.5250000000000004"/>
    <n v="41"/>
    <x v="3"/>
    <m/>
    <s v="2026-03-10"/>
    <s v="260160"/>
    <s v="Chanda Nursery"/>
    <s v="9641878132"/>
  </r>
  <r>
    <s v="RCF Thal"/>
    <s v="N.C.Urea(45kg)"/>
    <s v="WB"/>
    <x v="6"/>
    <s v="Tufanganj - II"/>
    <s v="User Not Mapped"/>
    <s v="User Not Mapped"/>
    <s v="User Not Mapped"/>
    <n v="228743"/>
    <s v="Nitish Debnath"/>
    <s v="Private Retailer"/>
    <s v="9002692068"/>
    <n v="0.18"/>
    <n v="38"/>
    <x v="3"/>
    <m/>
    <s v="2026-03-13"/>
    <s v="260160"/>
    <s v="Chanda Nursery"/>
    <s v="9641878132"/>
  </r>
  <r>
    <s v="RCF Thal"/>
    <s v="N.C.Urea(45kg)"/>
    <s v="WB"/>
    <x v="6"/>
    <s v="Tufanganj - I"/>
    <s v="User Not Mapped"/>
    <s v="User Not Mapped"/>
    <s v="User Not Mapped"/>
    <n v="852160"/>
    <s v="PRASANTA SAHA"/>
    <s v="Private Retailer"/>
    <s v="8016229738"/>
    <n v="0.67500000000000004"/>
    <n v="41"/>
    <x v="3"/>
    <m/>
    <s v="2026-03-10"/>
    <s v="260160"/>
    <s v="Chanda Nursery"/>
    <s v="9641878132"/>
  </r>
  <r>
    <s v="RCF Thal"/>
    <s v="N.C.Urea(45kg)"/>
    <s v="WB"/>
    <x v="6"/>
    <s v="Tufanganj - I"/>
    <s v="User Not Mapped"/>
    <s v="User Not Mapped"/>
    <s v="User Not Mapped"/>
    <n v="403340"/>
    <s v="Roy Fertilizer"/>
    <s v="Private Retailer"/>
    <s v="9832572923"/>
    <n v="0.45"/>
    <n v="38"/>
    <x v="3"/>
    <m/>
    <s v="2026-03-13"/>
    <s v="260160"/>
    <s v="Chanda Nursery"/>
    <s v="9641878132"/>
  </r>
  <r>
    <s v="RCF Thal"/>
    <s v="N.C.Urea(45kg)"/>
    <s v="WB"/>
    <x v="6"/>
    <s v="Tufanganj - I"/>
    <s v="User Not Mapped"/>
    <s v="User Not Mapped"/>
    <s v="User Not Mapped"/>
    <n v="403340"/>
    <s v="Roy Fertilizer"/>
    <s v="Private Retailer"/>
    <s v="9832572923"/>
    <n v="0.36"/>
    <n v="41"/>
    <x v="3"/>
    <m/>
    <s v="2026-03-10"/>
    <s v="260160"/>
    <s v="Chanda Nursery"/>
    <s v="9641878132"/>
  </r>
  <r>
    <s v="RCF Thal"/>
    <s v="N.C.Urea(45kg)"/>
    <s v="WB"/>
    <x v="6"/>
    <s v="Tufanganj - I"/>
    <s v="User Not Mapped"/>
    <s v="User Not Mapped"/>
    <s v="User Not Mapped"/>
    <n v="631793"/>
    <s v="SAFIUL ISLAM SEKH"/>
    <s v="Private Retailer"/>
    <s v="7063157237"/>
    <n v="0.81"/>
    <n v="41"/>
    <x v="3"/>
    <m/>
    <s v="2026-03-10"/>
    <s v="260160"/>
    <s v="Chanda Nursery"/>
    <s v="9641878132"/>
  </r>
  <r>
    <s v="RCF Trombay"/>
    <s v="15-15-15"/>
    <s v="WB"/>
    <x v="6"/>
    <s v="Mathabhanga - I"/>
    <s v="User Not Mapped"/>
    <s v="User Not Mapped"/>
    <s v="User Not Mapped"/>
    <n v="341772"/>
    <s v="Saha Fertilizer"/>
    <s v="Private Retailer"/>
    <s v="9609307454"/>
    <n v="0.5"/>
    <n v="342"/>
    <x v="1"/>
    <m/>
    <s v="2025-05-13"/>
    <s v="260160"/>
    <s v="Chanda Nursery"/>
    <s v="9641878132"/>
  </r>
  <r>
    <s v="RCF Thal"/>
    <s v="N.C.Urea(45kg)"/>
    <s v="WB"/>
    <x v="6"/>
    <s v="Tufanganj - I"/>
    <s v="User Not Mapped"/>
    <s v="User Not Mapped"/>
    <s v="User Not Mapped"/>
    <n v="620262"/>
    <s v="SUBODH CHANDRA DAS "/>
    <s v="Private Retailer"/>
    <s v="8967524690"/>
    <n v="0.63"/>
    <n v="45"/>
    <x v="3"/>
    <m/>
    <s v="2026-03-06"/>
    <s v="260160"/>
    <s v="Chanda Nursery"/>
    <s v="9641878132"/>
  </r>
  <r>
    <s v="RCF Thal"/>
    <s v="N.C.Urea(45kg)"/>
    <s v="WB"/>
    <x v="6"/>
    <s v="Tufanganj - II"/>
    <s v="User Not Mapped"/>
    <s v="User Not Mapped"/>
    <s v="User Not Mapped"/>
    <n v="271256"/>
    <s v="Sujal Paul"/>
    <s v="Private Retailer"/>
    <s v="9434814172"/>
    <n v="0.67500000000000004"/>
    <n v="46"/>
    <x v="3"/>
    <m/>
    <s v="2026-03-05"/>
    <s v="260160"/>
    <s v="Chanda Nursery"/>
    <s v="9641878132"/>
  </r>
  <r>
    <s v="RCF Thal"/>
    <s v="N.C.Urea(45kg)"/>
    <s v="WB"/>
    <x v="6"/>
    <s v="Dinhata - II"/>
    <s v="User Not Mapped"/>
    <s v="User Not Mapped"/>
    <s v="User Not Mapped"/>
    <n v="484376"/>
    <s v="SUJIT KUMAR ROY"/>
    <s v="Private Retailer"/>
    <s v="9563775494"/>
    <n v="0.45"/>
    <n v="41"/>
    <x v="3"/>
    <m/>
    <s v="2026-03-10"/>
    <s v="260160"/>
    <s v="Chanda Nursery"/>
    <s v="9641878132"/>
  </r>
  <r>
    <s v="RCF Thal"/>
    <s v="N.C.Urea(45kg)"/>
    <s v="WB"/>
    <x v="6"/>
    <s v="Tufanganj - I"/>
    <s v="User Not Mapped"/>
    <s v="User Not Mapped"/>
    <s v="User Not Mapped"/>
    <n v="994342"/>
    <s v="SUNIT KUMAR ROY"/>
    <s v="Private Retailer"/>
    <s v="7797987011"/>
    <n v="0.495"/>
    <n v="46"/>
    <x v="3"/>
    <m/>
    <s v="2026-03-05"/>
    <s v="260160"/>
    <s v="Chanda Nursery"/>
    <s v="9641878132"/>
  </r>
  <r>
    <s v="RCF Thal"/>
    <s v="N.C.Urea(45kg)"/>
    <s v="WB"/>
    <x v="6"/>
    <s v="Tufanganj - I"/>
    <s v="User Not Mapped"/>
    <s v="User Not Mapped"/>
    <s v="User Not Mapped"/>
    <n v="994342"/>
    <s v="SUNIT KUMAR ROY"/>
    <s v="Private Retailer"/>
    <s v="7797987011"/>
    <n v="0.54"/>
    <n v="41"/>
    <x v="3"/>
    <m/>
    <s v="2026-03-10"/>
    <s v="260160"/>
    <s v="Chanda Nursery"/>
    <s v="9641878132"/>
  </r>
  <r>
    <s v="RCF Thal"/>
    <s v="N.C.Urea(45kg)"/>
    <s v="WB"/>
    <x v="6"/>
    <m/>
    <s v="User Not Mapped"/>
    <s v="User Not Mapped"/>
    <s v="User Not Mapped"/>
    <n v="271262"/>
    <s v="Utpel Chakraborty"/>
    <s v="Private Retailer"/>
    <s v="9933528514"/>
    <n v="1.08"/>
    <n v="46"/>
    <x v="3"/>
    <m/>
    <s v="2026-03-05"/>
    <s v="260160"/>
    <s v="Chanda Nursery"/>
    <s v="9641878132"/>
  </r>
  <r>
    <s v="RCF Trombay"/>
    <s v="15-15-15"/>
    <s v="WB"/>
    <x v="6"/>
    <s v="Mathabhanga - II"/>
    <s v="User Not Mapped"/>
    <s v="User Not Mapped"/>
    <s v="User Not Mapped"/>
    <n v="394265"/>
    <s v="Ajijul Hoque"/>
    <s v="Private Retailer"/>
    <s v="9679073362"/>
    <n v="0.85"/>
    <n v="42"/>
    <x v="3"/>
    <m/>
    <s v="2026-03-09"/>
    <s v="214214"/>
    <s v="Dey Banik Fertiliser  Co.    "/>
    <s v="9775801969"/>
  </r>
  <r>
    <s v="RCF Trombay"/>
    <s v="15-15-15"/>
    <s v="WB"/>
    <x v="6"/>
    <s v="Mathabhanga - II"/>
    <s v="User Not Mapped"/>
    <s v="User Not Mapped"/>
    <s v="User Not Mapped"/>
    <n v="394265"/>
    <s v="Ajijul Hoque"/>
    <s v="Private Retailer"/>
    <s v="9679073362"/>
    <n v="1"/>
    <n v="33"/>
    <x v="3"/>
    <m/>
    <s v="2026-03-18"/>
    <s v="214214"/>
    <s v="Dey Banik Fertiliser  Co.    "/>
    <s v="9775801969"/>
  </r>
  <r>
    <s v="RCF Import"/>
    <s v="MOP"/>
    <s v="WB"/>
    <x v="6"/>
    <s v="Cooch Behar - I"/>
    <s v="User Not Mapped"/>
    <s v="User Not Mapped"/>
    <s v="User Not Mapped"/>
    <n v="592040"/>
    <s v="BIMAL CHANDRA DEY"/>
    <s v="Private Retailer"/>
    <s v="9749659204"/>
    <n v="0.05"/>
    <n v="502"/>
    <x v="0"/>
    <m/>
    <s v="2024-12-04"/>
    <s v="214214"/>
    <s v="Dey Banik Fertiliser  Co.    "/>
    <s v="9775801969"/>
  </r>
  <r>
    <s v="RCF Thal"/>
    <s v="N.C.Urea(45kg)"/>
    <s v="WB"/>
    <x v="6"/>
    <s v="Cooch Behar - II"/>
    <s v="User Not Mapped"/>
    <s v="User Not Mapped"/>
    <s v="User Not Mapped"/>
    <n v="253208"/>
    <s v="Biman Mitra"/>
    <s v="Private Retailer"/>
    <s v="9932968429"/>
    <n v="0.22500000000000001"/>
    <n v="46"/>
    <x v="3"/>
    <m/>
    <s v="2026-03-05"/>
    <s v="214214"/>
    <s v="Dey Banik Fertiliser  Co.    "/>
    <s v="9775801969"/>
  </r>
  <r>
    <s v="RCF Trombay"/>
    <s v="15-15-15"/>
    <s v="WB"/>
    <x v="6"/>
    <s v="Cooch Behar - II"/>
    <s v="User Not Mapped"/>
    <s v="User Not Mapped"/>
    <s v="User Not Mapped"/>
    <n v="228604"/>
    <s v="Das Fertilizer"/>
    <s v="Private Retailer"/>
    <s v="9932352965"/>
    <n v="0.15"/>
    <n v="65"/>
    <x v="6"/>
    <m/>
    <s v="2026-02-14"/>
    <s v="214214"/>
    <s v="Dey Banik Fertiliser  Co.    "/>
    <s v="9775801969"/>
  </r>
  <r>
    <s v="RCF Trombay"/>
    <s v="15-15-15"/>
    <s v="WB"/>
    <x v="6"/>
    <s v="Cooch Behar - I"/>
    <s v="User Not Mapped"/>
    <s v="User Not Mapped"/>
    <s v="User Not Mapped"/>
    <n v="228607"/>
    <s v="Dawaguri Fertilizer"/>
    <s v="Private Retailer"/>
    <s v="9474061480"/>
    <n v="0.25"/>
    <n v="68"/>
    <x v="6"/>
    <m/>
    <s v="2026-02-11"/>
    <s v="214214"/>
    <s v="Dey Banik Fertiliser  Co.    "/>
    <s v="9775801969"/>
  </r>
  <r>
    <s v="RCF Thal"/>
    <s v="N.C.Urea(45kg)"/>
    <s v="WB"/>
    <x v="6"/>
    <s v="Cooch Behar - I"/>
    <s v="User Not Mapped"/>
    <s v="User Not Mapped"/>
    <s v="User Not Mapped"/>
    <n v="228607"/>
    <s v="Dawaguri Fertilizer"/>
    <s v="Private Retailer"/>
    <s v="9474061480"/>
    <n v="0.54"/>
    <n v="46"/>
    <x v="3"/>
    <m/>
    <s v="2026-03-05"/>
    <s v="214214"/>
    <s v="Dey Banik Fertiliser  Co.    "/>
    <s v="9775801969"/>
  </r>
  <r>
    <s v="RCF Import"/>
    <s v="MOP"/>
    <s v="WB"/>
    <x v="6"/>
    <m/>
    <s v="User Not Mapped"/>
    <s v="User Not Mapped"/>
    <s v="User Not Mapped"/>
    <n v="269940"/>
    <s v="Jamser Ali Bappari"/>
    <s v="Private Retailer"/>
    <s v="8016970616"/>
    <n v="0.5"/>
    <n v="542"/>
    <x v="0"/>
    <m/>
    <s v="2024-10-25"/>
    <s v="214214"/>
    <s v="Dey Banik Fertiliser  Co.    "/>
    <s v="9775801969"/>
  </r>
  <r>
    <s v="RCF Trombay"/>
    <s v="N.C.Urea(45kg)"/>
    <s v="WB"/>
    <x v="6"/>
    <s v="Cooch Behar - II"/>
    <s v="User Not Mapped"/>
    <s v="User Not Mapped"/>
    <s v="User Not Mapped"/>
    <n v="533454"/>
    <s v="Jiyarul Hoque"/>
    <s v="Private Retailer"/>
    <s v="9933804662"/>
    <n v="0.45"/>
    <n v="70"/>
    <x v="6"/>
    <m/>
    <s v="2026-02-09"/>
    <s v="214214"/>
    <s v="Dey Banik Fertiliser  Co.    "/>
    <s v="9775801969"/>
  </r>
  <r>
    <s v="RCF Thal"/>
    <s v="N.C.Urea(45kg)"/>
    <s v="WB"/>
    <x v="6"/>
    <s v="Cooch Behar - II"/>
    <s v="User Not Mapped"/>
    <s v="User Not Mapped"/>
    <s v="User Not Mapped"/>
    <n v="533454"/>
    <s v="Jiyarul Hoque"/>
    <s v="Private Retailer"/>
    <s v="9933804662"/>
    <n v="1.575"/>
    <n v="46"/>
    <x v="3"/>
    <m/>
    <s v="2026-03-05"/>
    <s v="214214"/>
    <s v="Dey Banik Fertiliser  Co.    "/>
    <s v="9775801969"/>
  </r>
  <r>
    <s v="RCF Trombay"/>
    <s v="N.C.Urea(45kg)"/>
    <s v="WB"/>
    <x v="6"/>
    <s v="Cooch Behar - I"/>
    <s v="User Not Mapped"/>
    <s v="User Not Mapped"/>
    <s v="User Not Mapped"/>
    <n v="228666"/>
    <s v="Krishi Sopan"/>
    <s v="Private Retailer"/>
    <s v="8972542745"/>
    <n v="2.0249999999999999"/>
    <n v="70"/>
    <x v="6"/>
    <m/>
    <s v="2026-02-09"/>
    <s v="214214"/>
    <s v="Dey Banik Fertiliser  Co.    "/>
    <s v="9775801969"/>
  </r>
  <r>
    <s v="RCF Thal"/>
    <s v="N.C.Urea(45kg)"/>
    <s v="WB"/>
    <x v="6"/>
    <s v="Cooch Behar - II"/>
    <s v="User Not Mapped"/>
    <s v="User Not Mapped"/>
    <s v="User Not Mapped"/>
    <n v="1228975"/>
    <s v="M/S GREEN HOME NURSERY"/>
    <s v="Private Retailer"/>
    <s v="9434136648"/>
    <n v="0.22500000000000001"/>
    <n v="37"/>
    <x v="3"/>
    <m/>
    <s v="2026-03-14"/>
    <s v="214214"/>
    <s v="Dey Banik Fertiliser  Co.    "/>
    <s v="9775801969"/>
  </r>
  <r>
    <s v="RCF Thal"/>
    <s v="N.C.Urea(45kg)"/>
    <s v="WB"/>
    <x v="6"/>
    <s v="Cooch Behar - II"/>
    <s v="User Not Mapped"/>
    <s v="User Not Mapped"/>
    <s v="User Not Mapped"/>
    <n v="505658"/>
    <s v="M/S Nirufa Fertilizer"/>
    <s v="Private Retailer"/>
    <s v="9002750030"/>
    <n v="1.98"/>
    <n v="46"/>
    <x v="3"/>
    <m/>
    <s v="2026-03-05"/>
    <s v="214214"/>
    <s v="Dey Banik Fertiliser  Co.    "/>
    <s v="9775801969"/>
  </r>
  <r>
    <s v="RCF Thal"/>
    <s v="N.C.Urea(45kg)"/>
    <s v="WB"/>
    <x v="6"/>
    <s v="Cooch Behar - II"/>
    <s v="User Not Mapped"/>
    <s v="User Not Mapped"/>
    <s v="User Not Mapped"/>
    <n v="892213"/>
    <s v="M/s. Barma Krishi Bhandar"/>
    <s v="Private Retailer"/>
    <s v="7318703327"/>
    <n v="2.0699999999999998"/>
    <n v="46"/>
    <x v="3"/>
    <m/>
    <s v="2026-03-05"/>
    <s v="214214"/>
    <s v="Dey Banik Fertiliser  Co.    "/>
    <s v="9775801969"/>
  </r>
  <r>
    <s v="RCF Thal"/>
    <s v="N.C.Urea(45kg)"/>
    <s v="WB"/>
    <x v="6"/>
    <s v="Cooch Behar - II"/>
    <s v="User Not Mapped"/>
    <s v="User Not Mapped"/>
    <s v="User Not Mapped"/>
    <n v="878616"/>
    <s v="M/S. BARMAN FERTILISER"/>
    <s v="Private Retailer"/>
    <s v="8101654265"/>
    <n v="0.40500000000000003"/>
    <n v="45"/>
    <x v="3"/>
    <m/>
    <s v="2026-03-06"/>
    <s v="214214"/>
    <s v="Dey Banik Fertiliser  Co.    "/>
    <s v="9775801969"/>
  </r>
  <r>
    <s v="RCF Trombay"/>
    <s v="N.C.Urea(45kg)"/>
    <s v="WB"/>
    <x v="6"/>
    <s v="Dinhata - I"/>
    <s v="User Not Mapped"/>
    <s v="User Not Mapped"/>
    <s v="User Not Mapped"/>
    <n v="228642"/>
    <s v="M/s. Hajrat Ali"/>
    <s v="Private Retailer"/>
    <s v="9933142681"/>
    <n v="0.45"/>
    <n v="70"/>
    <x v="6"/>
    <m/>
    <s v="2026-02-09"/>
    <s v="214214"/>
    <s v="Dey Banik Fertiliser  Co.    "/>
    <s v="9775801969"/>
  </r>
  <r>
    <s v="RCF Trombay"/>
    <s v="15-15-15"/>
    <s v="WB"/>
    <x v="6"/>
    <s v="Mathabhanga - I"/>
    <s v="User Not Mapped"/>
    <s v="User Not Mapped"/>
    <s v="User Not Mapped"/>
    <n v="907409"/>
    <s v="M/s. New Kishan Fertiliser"/>
    <s v="Private Retailer"/>
    <s v="7602212689"/>
    <n v="1.5"/>
    <n v="528"/>
    <x v="0"/>
    <m/>
    <s v="2024-11-08"/>
    <s v="214214"/>
    <s v="Dey Banik Fertiliser  Co.    "/>
    <s v="9775801969"/>
  </r>
  <r>
    <s v="RCF Thal"/>
    <s v="N.C.Urea(45kg)"/>
    <s v="WB"/>
    <x v="6"/>
    <m/>
    <s v="User Not Mapped"/>
    <s v="User Not Mapped"/>
    <s v="User Not Mapped"/>
    <n v="228687"/>
    <s v="Manoj Kumar Roy"/>
    <s v="Private Retailer"/>
    <s v="9593762523"/>
    <n v="0.9"/>
    <n v="1552"/>
    <x v="2"/>
    <m/>
    <s v="2022-01-19"/>
    <s v="214214"/>
    <s v="Dey Banik Fertiliser  Co.    "/>
    <s v="9775801969"/>
  </r>
  <r>
    <s v="RCF Trombay"/>
    <s v="15-15-15"/>
    <s v="WB"/>
    <x v="6"/>
    <s v="Cooch Behar - II"/>
    <s v="User Not Mapped"/>
    <s v="User Not Mapped"/>
    <s v="User Not Mapped"/>
    <n v="517493"/>
    <s v="Niranjan Dey"/>
    <s v="Private Retailer"/>
    <s v="9002770108"/>
    <n v="0.1"/>
    <n v="57"/>
    <x v="3"/>
    <m/>
    <s v="2026-02-22"/>
    <s v="214214"/>
    <s v="Dey Banik Fertiliser  Co.    "/>
    <s v="9775801969"/>
  </r>
  <r>
    <s v="RCF Trombay"/>
    <s v="N.C.Urea(45kg)"/>
    <s v="WB"/>
    <x v="6"/>
    <s v="Sitai"/>
    <s v="User Not Mapped"/>
    <s v="User Not Mapped"/>
    <s v="User Not Mapped"/>
    <n v="584473"/>
    <s v="MAJIDUL MIAH"/>
    <s v="Private Retailer"/>
    <s v="7063297856"/>
    <n v="0.36"/>
    <n v="1887"/>
    <x v="2"/>
    <m/>
    <s v="2021-02-18"/>
    <s v="256899"/>
    <s v="Gandheswari Krishi Bhandar"/>
    <s v="6295191755"/>
  </r>
  <r>
    <s v="RCF Trombay"/>
    <s v="15-15-15"/>
    <s v="WB"/>
    <x v="6"/>
    <s v="Mathabhanga - I"/>
    <s v="User Not Mapped"/>
    <s v="User Not Mapped"/>
    <s v="User Not Mapped"/>
    <n v="864201"/>
    <s v="SANJIB SAHA"/>
    <s v="Private Retailer"/>
    <s v="9800072770"/>
    <n v="2.95"/>
    <n v="281"/>
    <x v="1"/>
    <m/>
    <s v="2025-07-13"/>
    <s v="256899"/>
    <s v="Gandheswari Krishi Bhandar"/>
    <s v="6295191755"/>
  </r>
  <r>
    <s v="RCF Import"/>
    <s v="MOP"/>
    <s v="WB"/>
    <x v="6"/>
    <s v="Tufanganj - II"/>
    <s v="User Not Mapped"/>
    <s v="User Not Mapped"/>
    <s v="User Not Mapped"/>
    <n v="655415"/>
    <s v="M/S SANTOSH DAS"/>
    <s v="Private Retailer"/>
    <s v="8967568167"/>
    <n v="0.5"/>
    <n v="553"/>
    <x v="2"/>
    <m/>
    <s v="2024-10-14"/>
    <s v="281089"/>
    <s v="Green Home"/>
    <s v="9547626773"/>
  </r>
  <r>
    <s v="RCF Import"/>
    <s v="Imp 10-26-26"/>
    <s v="WB"/>
    <x v="6"/>
    <s v="Mekliganj"/>
    <s v="User Not Mapped"/>
    <s v="User Not Mapped"/>
    <s v="User Not Mapped"/>
    <n v="746497"/>
    <s v="M/S Ikbal Nasim"/>
    <s v="Private Retailer"/>
    <s v="8016583652"/>
    <n v="0.05"/>
    <n v="855"/>
    <x v="2"/>
    <m/>
    <s v="2023-12-17"/>
    <s v="655485"/>
    <s v="ISLAM FERTILIZER"/>
    <s v="7001239531"/>
  </r>
  <r>
    <s v="RCF Trombay"/>
    <s v="N.C.Urea(45kg)"/>
    <s v="WB"/>
    <x v="6"/>
    <s v="Mekliganj"/>
    <s v="User Not Mapped"/>
    <s v="User Not Mapped"/>
    <s v="User Not Mapped"/>
    <n v="1258406"/>
    <s v="M/S.PROMILA FERTILIZER"/>
    <s v="Private Retailer"/>
    <s v="7397229768"/>
    <n v="0.72"/>
    <n v="1193"/>
    <x v="2"/>
    <m/>
    <s v="2023-01-13"/>
    <s v="655485"/>
    <s v="ISLAM FERTILIZER"/>
    <s v="7001239531"/>
  </r>
  <r>
    <s v="RCF Trombay"/>
    <s v="15-15-15"/>
    <s v="WB"/>
    <x v="6"/>
    <s v="Mathabhanga - I"/>
    <s v="User Not Mapped"/>
    <s v="User Not Mapped"/>
    <s v="User Not Mapped"/>
    <n v="300561"/>
    <s v="Jaychan Das"/>
    <s v="Private Retailer"/>
    <s v="7076392309"/>
    <n v="0.5"/>
    <n v="127"/>
    <x v="4"/>
    <m/>
    <s v="2025-12-14"/>
    <s v="1213387"/>
    <s v="JAYCHAN DAS"/>
    <s v="7076392309"/>
  </r>
  <r>
    <s v="RCF Thal"/>
    <s v="N.C.Urea(45kg)"/>
    <s v="WB"/>
    <x v="6"/>
    <s v="Mekliganj"/>
    <s v="User Not Mapped"/>
    <s v="User Not Mapped"/>
    <s v="User Not Mapped"/>
    <n v="844390"/>
    <s v="M/S BIMAL BARMAN"/>
    <s v="Private Retailer"/>
    <s v="9679280617"/>
    <n v="4.4999999999999998E-2"/>
    <n v="1634"/>
    <x v="2"/>
    <m/>
    <s v="2021-10-29"/>
    <s v="1213387"/>
    <s v="JAYCHAN DAS"/>
    <s v="7076392309"/>
  </r>
  <r>
    <s v="RCF Trombay"/>
    <s v="N.C.Urea(45kg)"/>
    <s v="WB"/>
    <x v="6"/>
    <s v="Mekliganj"/>
    <s v="User Not Mapped"/>
    <s v="User Not Mapped"/>
    <s v="User Not Mapped"/>
    <n v="1217622"/>
    <s v="M/S. MAA LAXMI FERTILIZER"/>
    <s v="Private Retailer"/>
    <s v="8617305294"/>
    <n v="0.13500000000000001"/>
    <n v="1652"/>
    <x v="2"/>
    <m/>
    <s v="2021-10-11"/>
    <s v="1213387"/>
    <s v="JAYCHAN DAS"/>
    <s v="7076392309"/>
  </r>
  <r>
    <s v="RCF Import"/>
    <s v="Imp 10-26-26"/>
    <s v="WB"/>
    <x v="6"/>
    <s v="Mekliganj"/>
    <s v="User Not Mapped"/>
    <s v="User Not Mapped"/>
    <s v="User Not Mapped"/>
    <n v="1217622"/>
    <s v="M/S. MAA LAXMI FERTILIZER"/>
    <s v="Private Retailer"/>
    <s v="8617305294"/>
    <n v="0.5"/>
    <n v="922"/>
    <x v="2"/>
    <m/>
    <s v="2023-10-11"/>
    <s v="1213387"/>
    <s v="JAYCHAN DAS"/>
    <s v="7076392309"/>
  </r>
  <r>
    <s v="RCF Trombay"/>
    <s v="15-15-15"/>
    <s v="WB"/>
    <x v="6"/>
    <s v="Mathabhanga - II"/>
    <s v="User Not Mapped"/>
    <s v="User Not Mapped"/>
    <s v="User Not Mapped"/>
    <n v="355572"/>
    <s v="Kamal Kr. Roy"/>
    <s v="Private Retailer"/>
    <s v="9735973823"/>
    <n v="1.05"/>
    <n v="46"/>
    <x v="3"/>
    <m/>
    <s v="2026-03-05"/>
    <s v="1296616"/>
    <s v="KAMAL KR ROY "/>
    <s v="9735973823"/>
  </r>
  <r>
    <s v="RCF Trombay"/>
    <s v="15-15-15"/>
    <s v="WB"/>
    <x v="6"/>
    <s v="Mathabhanga - II"/>
    <s v="User Not Mapped"/>
    <s v="User Not Mapped"/>
    <s v="User Not Mapped"/>
    <n v="838075"/>
    <s v="M/S MAA LAXMI BEEJ BHANDAR"/>
    <s v="Private Retailer"/>
    <s v="7718298372"/>
    <n v="0.2"/>
    <n v="338"/>
    <x v="1"/>
    <m/>
    <s v="2025-05-17"/>
    <s v="1296616"/>
    <s v="KAMAL KR ROY "/>
    <s v="9735973823"/>
  </r>
  <r>
    <s v="RCF Thal"/>
    <s v="N.C.Urea(45kg)"/>
    <s v="WB"/>
    <x v="6"/>
    <s v="Sitai"/>
    <s v="User Not Mapped"/>
    <s v="User Not Mapped"/>
    <s v="User Not Mapped"/>
    <n v="945135"/>
    <s v="M/S BARMAN FERTILIZER"/>
    <s v="Private Retailer"/>
    <s v="9679410379"/>
    <n v="0.58499999999999996"/>
    <n v="1188"/>
    <x v="2"/>
    <m/>
    <s v="2023-01-18"/>
    <s v="272980"/>
    <s v="Loknath Fertilizer"/>
    <s v="8170862300"/>
  </r>
  <r>
    <s v="RCF Trombay"/>
    <s v="N.C.Urea(45kg)"/>
    <s v="WB"/>
    <x v="6"/>
    <s v="Sitai"/>
    <s v="User Not Mapped"/>
    <s v="User Not Mapped"/>
    <s v="User Not Mapped"/>
    <n v="945135"/>
    <s v="M/S BARMAN FERTILIZER"/>
    <s v="Private Retailer"/>
    <s v="9679410379"/>
    <n v="0.54"/>
    <n v="1195"/>
    <x v="2"/>
    <m/>
    <s v="2023-01-11"/>
    <s v="272980"/>
    <s v="Loknath Fertilizer"/>
    <s v="8170862300"/>
  </r>
  <r>
    <s v="RCF Trombay"/>
    <s v="N.C.Urea(45kg)"/>
    <s v="WB"/>
    <x v="6"/>
    <s v="Sitai"/>
    <s v="User Not Mapped"/>
    <s v="User Not Mapped"/>
    <s v="User Not Mapped"/>
    <n v="797250"/>
    <s v="M/S PUSPA NATH BARMAN"/>
    <s v="Private Retailer"/>
    <s v="7407357545"/>
    <n v="0.36"/>
    <n v="1195"/>
    <x v="2"/>
    <m/>
    <s v="2023-01-11"/>
    <s v="272980"/>
    <s v="Loknath Fertilizer"/>
    <s v="8170862300"/>
  </r>
  <r>
    <s v="RCF Thal"/>
    <s v="N.C.Urea(45kg)"/>
    <s v="WB"/>
    <x v="6"/>
    <s v="Sitai"/>
    <s v="User Not Mapped"/>
    <s v="User Not Mapped"/>
    <s v="User Not Mapped"/>
    <n v="797250"/>
    <s v="M/S PUSPA NATH BARMAN"/>
    <s v="Private Retailer"/>
    <s v="7407357545"/>
    <n v="0.84499999999999997"/>
    <n v="1188"/>
    <x v="2"/>
    <m/>
    <s v="2023-01-18"/>
    <s v="272980"/>
    <s v="Loknath Fertilizer"/>
    <s v="8170862300"/>
  </r>
  <r>
    <s v="RCF Thal"/>
    <s v="N.C.Urea(45kg)"/>
    <s v="WB"/>
    <x v="6"/>
    <m/>
    <s v="User Not Mapped"/>
    <s v="User Not Mapped"/>
    <s v="User Not Mapped"/>
    <n v="983697"/>
    <s v="MOHAMMAD ALI"/>
    <s v="Private Retailer"/>
    <s v="9933823604"/>
    <n v="1.44"/>
    <n v="2315"/>
    <x v="2"/>
    <m/>
    <s v="2019-12-18"/>
    <s v="272980"/>
    <s v="Loknath Fertilizer"/>
    <s v="8170862300"/>
  </r>
  <r>
    <s v="RCF Trombay"/>
    <s v="15-15-15"/>
    <s v="WB"/>
    <x v="6"/>
    <s v="Sitalkuchi"/>
    <s v="User Not Mapped"/>
    <s v="User Not Mapped"/>
    <s v="User Not Mapped"/>
    <n v="273016"/>
    <s v="Tapan Kumar Singh"/>
    <s v="Private Wholsaler"/>
    <s v="9932263327"/>
    <n v="2.15"/>
    <n v="128"/>
    <x v="4"/>
    <s v="'AC/25-26/0427'"/>
    <s v="2025-12-13"/>
    <s v="1375345"/>
    <s v="M/S AGRO CARE "/>
    <s v="7908844177"/>
  </r>
  <r>
    <s v="RCF Thal"/>
    <s v="N.C.Urea(45kg)"/>
    <s v="WB"/>
    <x v="6"/>
    <m/>
    <s v="User Not Mapped"/>
    <s v="User Not Mapped"/>
    <s v="User Not Mapped"/>
    <n v="988264"/>
    <s v="M/S LAXMI KANTA BARMAN"/>
    <s v="Private Retailer"/>
    <s v="7602805296"/>
    <n v="1.89"/>
    <n v="2425"/>
    <x v="2"/>
    <m/>
    <s v="2019-08-30"/>
    <s v="888409"/>
    <s v="M/S JAYANTA SARKAR"/>
    <s v="8001912826"/>
  </r>
  <r>
    <s v="RCF Trombay"/>
    <s v="N.C.Urea(45kg)"/>
    <s v="WB"/>
    <x v="6"/>
    <s v="Dinhata - I"/>
    <s v="User Not Mapped"/>
    <s v="User Not Mapped"/>
    <s v="User Not Mapped"/>
    <n v="1035467"/>
    <s v="M/S RAUSAN FERTILIZER"/>
    <s v="Private Retailer"/>
    <s v="9932227907"/>
    <n v="0.02"/>
    <n v="1942"/>
    <x v="2"/>
    <m/>
    <s v="2020-12-25"/>
    <s v="888409"/>
    <s v="M/S JAYANTA SARKAR"/>
    <s v="8001912826"/>
  </r>
  <r>
    <s v="RCF Trombay"/>
    <s v="N.C.Urea(45kg)"/>
    <s v="WB"/>
    <x v="6"/>
    <m/>
    <s v="User Not Mapped"/>
    <s v="User Not Mapped"/>
    <s v="User Not Mapped"/>
    <n v="605585"/>
    <s v="RAHUL HOQUE"/>
    <s v="Private Retailer"/>
    <s v="9800242670"/>
    <n v="5.0049999999999999"/>
    <n v="2213"/>
    <x v="2"/>
    <m/>
    <s v="2020-03-29"/>
    <s v="888409"/>
    <s v="M/S JAYANTA SARKAR"/>
    <s v="8001912826"/>
  </r>
  <r>
    <s v="RCF Trombay"/>
    <s v="15-15-15"/>
    <s v="WB"/>
    <x v="6"/>
    <s v="Sitalkuchi"/>
    <s v="User Not Mapped"/>
    <s v="User Not Mapped"/>
    <s v="User Not Mapped"/>
    <n v="1057461"/>
    <s v="Sabujsona Fertilizer"/>
    <s v="Private Retailer"/>
    <s v="9832724328"/>
    <n v="0.05"/>
    <n v="518"/>
    <x v="0"/>
    <m/>
    <s v="2024-11-18"/>
    <s v="1478575"/>
    <s v="M/s Laxmi Narayan Fertilizer"/>
    <s v="8116546931"/>
  </r>
  <r>
    <s v="RCF Import"/>
    <s v="Imp 10-26-26"/>
    <s v="WB"/>
    <x v="6"/>
    <s v="Sitalkuchi"/>
    <s v="User Not Mapped"/>
    <s v="User Not Mapped"/>
    <s v="User Not Mapped"/>
    <n v="1475365"/>
    <s v="Ujjal Roy"/>
    <s v="Private Retailer"/>
    <s v="9382004535"/>
    <n v="0.25"/>
    <n v="496"/>
    <x v="0"/>
    <m/>
    <s v="2024-12-10"/>
    <s v="1478575"/>
    <s v="M/s Laxmi Narayan Fertilizer"/>
    <s v="8116546931"/>
  </r>
  <r>
    <s v="RCF Trombay"/>
    <s v="N.C.Urea(45kg)"/>
    <s v="WB"/>
    <x v="6"/>
    <s v="Sitai"/>
    <s v="User Not Mapped"/>
    <s v="User Not Mapped"/>
    <s v="User Not Mapped"/>
    <n v="228549"/>
    <s v="Abhijit Roy"/>
    <s v="Private Retailer"/>
    <s v="8016186189"/>
    <n v="1.53"/>
    <n v="63"/>
    <x v="6"/>
    <m/>
    <s v="2026-02-16"/>
    <s v="288290"/>
    <s v="M/s Ma Mahamaya Krishi Bhandar"/>
    <s v="9547002014"/>
  </r>
  <r>
    <s v="RCF Thal"/>
    <s v="N.C.Urea(45kg)"/>
    <s v="WB"/>
    <x v="6"/>
    <s v="Dinhata - II"/>
    <s v="User Not Mapped"/>
    <s v="User Not Mapped"/>
    <s v="User Not Mapped"/>
    <n v="288172"/>
    <s v="Badsha Bapary"/>
    <s v="Private Retailer"/>
    <s v="9933673883"/>
    <n v="4.5"/>
    <n v="37"/>
    <x v="3"/>
    <m/>
    <s v="2026-03-14"/>
    <s v="288290"/>
    <s v="M/s Ma Mahamaya Krishi Bhandar"/>
    <s v="9547002014"/>
  </r>
  <r>
    <s v="RCF Trombay"/>
    <s v="N.C.Urea(45kg)"/>
    <s v="WB"/>
    <x v="6"/>
    <s v="Dinhata - I"/>
    <s v="User Not Mapped"/>
    <s v="User Not Mapped"/>
    <s v="User Not Mapped"/>
    <n v="228669"/>
    <s v="Bipul Thakur"/>
    <s v="Private Retailer"/>
    <s v="9434367029"/>
    <n v="4.9950000000000001"/>
    <n v="63"/>
    <x v="6"/>
    <m/>
    <s v="2026-02-16"/>
    <s v="288290"/>
    <s v="M/s Ma Mahamaya Krishi Bhandar"/>
    <s v="9547002014"/>
  </r>
  <r>
    <s v="RCF Trombay"/>
    <s v="N.C.Urea(45kg)"/>
    <s v="WB"/>
    <x v="6"/>
    <m/>
    <s v="User Not Mapped"/>
    <s v="User Not Mapped"/>
    <s v="User Not Mapped"/>
    <n v="228702"/>
    <s v="M/S. Bahi Bhai Fertlizer"/>
    <s v="Private Retailer"/>
    <s v="7908041872"/>
    <n v="4.95"/>
    <n v="63"/>
    <x v="6"/>
    <m/>
    <s v="2026-02-16"/>
    <s v="288290"/>
    <s v="M/s Ma Mahamaya Krishi Bhandar"/>
    <s v="9547002014"/>
  </r>
  <r>
    <s v="RCF Thal"/>
    <s v="N.C.Urea(45kg)"/>
    <s v="WB"/>
    <x v="6"/>
    <s v="Dinhata - I"/>
    <s v="User Not Mapped"/>
    <s v="User Not Mapped"/>
    <s v="User Not Mapped"/>
    <n v="271220"/>
    <s v="M/s. Nripendra Narayan Saha"/>
    <s v="Private Retailer"/>
    <s v="9563641234"/>
    <n v="0.45"/>
    <n v="37"/>
    <x v="3"/>
    <m/>
    <s v="2026-03-14"/>
    <s v="288290"/>
    <s v="M/s Ma Mahamaya Krishi Bhandar"/>
    <s v="9547002014"/>
  </r>
  <r>
    <s v="RCF Thal"/>
    <s v="N.C.Urea(45kg)"/>
    <s v="WB"/>
    <x v="6"/>
    <s v="Tufanganj - II"/>
    <s v="User Not Mapped"/>
    <s v="User Not Mapped"/>
    <s v="User Not Mapped"/>
    <n v="1214824"/>
    <s v="M/S. PRAHALLAD  DAS"/>
    <s v="Private Wholsaler"/>
    <s v="9635190209"/>
    <n v="11.025"/>
    <n v="33"/>
    <x v="3"/>
    <s v="'F/D25-26/2259'"/>
    <s v="2026-03-18"/>
    <s v="288290"/>
    <s v="M/s Ma Mahamaya Krishi Bhandar"/>
    <s v="9547002014"/>
  </r>
  <r>
    <s v="RCF Thal"/>
    <s v="N.C.Urea(45kg)"/>
    <s v="WB"/>
    <x v="6"/>
    <s v="Tufanganj - II"/>
    <s v="User Not Mapped"/>
    <s v="User Not Mapped"/>
    <s v="User Not Mapped"/>
    <n v="1214824"/>
    <s v="M/S. PRAHALLAD  DAS"/>
    <s v="Private Wholsaler"/>
    <s v="9635190209"/>
    <n v="9.7650000000000006"/>
    <n v="40"/>
    <x v="3"/>
    <s v="'F/D25-26/2207'"/>
    <s v="2026-03-11"/>
    <s v="288290"/>
    <s v="M/s Ma Mahamaya Krishi Bhandar"/>
    <s v="9547002014"/>
  </r>
  <r>
    <s v="RCF Thal"/>
    <s v="N.C.Urea(45kg)"/>
    <s v="WB"/>
    <x v="6"/>
    <s v="Tufanganj - II"/>
    <s v="User Not Mapped"/>
    <s v="User Not Mapped"/>
    <s v="User Not Mapped"/>
    <n v="1214824"/>
    <s v="M/S. PRAHALLAD  DAS"/>
    <s v="Private Wholsaler"/>
    <s v="9635190209"/>
    <n v="11.025"/>
    <n v="40"/>
    <x v="3"/>
    <s v="'F/D25-26/2208'"/>
    <s v="2026-03-11"/>
    <s v="288290"/>
    <s v="M/s Ma Mahamaya Krishi Bhandar"/>
    <s v="9547002014"/>
  </r>
  <r>
    <s v="RCF Trombay"/>
    <s v="N.C.Urea(45kg)"/>
    <s v="WB"/>
    <x v="6"/>
    <s v="Sitai"/>
    <s v="User Not Mapped"/>
    <s v="User Not Mapped"/>
    <s v="User Not Mapped"/>
    <n v="584473"/>
    <s v="MAJIDUL MIAH"/>
    <s v="Private Retailer"/>
    <s v="7063297856"/>
    <n v="0.81"/>
    <n v="1585"/>
    <x v="2"/>
    <m/>
    <s v="2021-12-17"/>
    <s v="288290"/>
    <s v="M/s Ma Mahamaya Krishi Bhandar"/>
    <s v="9547002014"/>
  </r>
  <r>
    <s v="RCF Thal"/>
    <s v="N.C.Urea(45kg)"/>
    <s v="WB"/>
    <x v="6"/>
    <m/>
    <s v="User Not Mapped"/>
    <s v="User Not Mapped"/>
    <s v="User Not Mapped"/>
    <n v="228726"/>
    <s v="Nalini Kanta Barman  Koushik B"/>
    <s v="Private Retailer"/>
    <s v="9635000343"/>
    <n v="1.35"/>
    <n v="37"/>
    <x v="3"/>
    <m/>
    <s v="2026-03-14"/>
    <s v="288290"/>
    <s v="M/s Ma Mahamaya Krishi Bhandar"/>
    <s v="9547002014"/>
  </r>
  <r>
    <s v="RCF Trombay"/>
    <s v="N.C.Urea(45kg)"/>
    <s v="WB"/>
    <x v="6"/>
    <s v="Dinhata - I"/>
    <s v="User Not Mapped"/>
    <s v="User Not Mapped"/>
    <s v="User Not Mapped"/>
    <n v="228780"/>
    <s v="Ratan Chandra Das"/>
    <s v="Private Retailer"/>
    <s v="9547151686"/>
    <n v="4.59"/>
    <n v="63"/>
    <x v="6"/>
    <m/>
    <s v="2026-02-16"/>
    <s v="288290"/>
    <s v="M/s Ma Mahamaya Krishi Bhandar"/>
    <s v="9547002014"/>
  </r>
  <r>
    <s v="RCF Trombay"/>
    <s v="N.C.Urea(45kg)"/>
    <s v="WB"/>
    <x v="6"/>
    <s v="Dinhata - II"/>
    <s v="User Not Mapped"/>
    <s v="User Not Mapped"/>
    <s v="User Not Mapped"/>
    <n v="480927"/>
    <s v="Samir Sharma"/>
    <s v="Private Retailer"/>
    <s v="9851766054"/>
    <n v="0.18"/>
    <n v="63"/>
    <x v="6"/>
    <m/>
    <s v="2026-02-16"/>
    <s v="288290"/>
    <s v="M/s Ma Mahamaya Krishi Bhandar"/>
    <s v="9547002014"/>
  </r>
  <r>
    <s v="RCF Thal"/>
    <s v="N.C.Urea(45kg)"/>
    <s v="WB"/>
    <x v="6"/>
    <m/>
    <s v="User Not Mapped"/>
    <s v="User Not Mapped"/>
    <s v="User Not Mapped"/>
    <n v="228745"/>
    <s v="Nripendra Nath Barman(Gosairh"/>
    <s v="Private Retailer"/>
    <s v="9002151684"/>
    <n v="0.72"/>
    <n v="1548"/>
    <x v="2"/>
    <m/>
    <s v="2022-01-23"/>
    <s v="1133474"/>
    <s v="M/S MAHABUL HOSSAIN"/>
    <s v="9832398568"/>
  </r>
  <r>
    <s v="RCF Thal"/>
    <s v="N.C.Urea(45kg)"/>
    <s v="WB"/>
    <x v="6"/>
    <s v="Dinhata - I"/>
    <s v="User Not Mapped"/>
    <s v="User Not Mapped"/>
    <s v="User Not Mapped"/>
    <n v="251519"/>
    <s v="Amarendra Nath Barman"/>
    <s v="Private Retailer"/>
    <s v="9733280037"/>
    <n v="2.25"/>
    <n v="146"/>
    <x v="4"/>
    <m/>
    <s v="2025-11-25"/>
    <s v="272992"/>
    <s v="M/S Mohata Stores"/>
    <s v="9434256132"/>
  </r>
  <r>
    <s v="RCF Trombay"/>
    <s v="N.C.Urea(45kg)"/>
    <s v="WB"/>
    <x v="6"/>
    <s v="Dinhata - I"/>
    <s v="User Not Mapped"/>
    <s v="User Not Mapped"/>
    <s v="User Not Mapped"/>
    <n v="988504"/>
    <s v="M/S HARI PRASAD BARMAN"/>
    <s v="Private Retailer"/>
    <s v="8436234579"/>
    <n v="0.495"/>
    <n v="2062"/>
    <x v="2"/>
    <m/>
    <s v="2020-08-27"/>
    <s v="272992"/>
    <s v="M/S Mohata Stores"/>
    <s v="9434256132"/>
  </r>
  <r>
    <s v="RCF Thal"/>
    <s v="N.C.Urea(45kg)"/>
    <s v="WB"/>
    <x v="6"/>
    <m/>
    <s v="User Not Mapped"/>
    <s v="User Not Mapped"/>
    <s v="User Not Mapped"/>
    <n v="539823"/>
    <s v="Pannalal Deb"/>
    <s v="Private Retailer"/>
    <s v="9609903819"/>
    <n v="0.45"/>
    <n v="2528"/>
    <x v="2"/>
    <m/>
    <s v="2019-05-19"/>
    <s v="272992"/>
    <s v="M/S Mohata Stores"/>
    <s v="9434256132"/>
  </r>
  <r>
    <s v="RCF Trombay"/>
    <s v="15-15-15"/>
    <s v="WB"/>
    <x v="6"/>
    <m/>
    <s v="User Not Mapped"/>
    <s v="User Not Mapped"/>
    <s v="User Not Mapped"/>
    <n v="539823"/>
    <s v="Pannalal Deb"/>
    <s v="Private Retailer"/>
    <s v="9609903819"/>
    <n v="0.25"/>
    <n v="2629"/>
    <x v="2"/>
    <m/>
    <s v="2019-02-07"/>
    <s v="272992"/>
    <s v="M/S Mohata Stores"/>
    <s v="9434256132"/>
  </r>
  <r>
    <s v="RCF Thal"/>
    <s v="N.C.Urea(45kg)"/>
    <s v="WB"/>
    <x v="6"/>
    <s v="Dinhata - I"/>
    <s v="User Not Mapped"/>
    <s v="User Not Mapped"/>
    <s v="User Not Mapped"/>
    <n v="480939"/>
    <s v="Samir Bhoumik"/>
    <s v="Private Retailer"/>
    <s v="9749894019"/>
    <n v="1.3049999999999999"/>
    <n v="107"/>
    <x v="7"/>
    <m/>
    <s v="2026-01-03"/>
    <s v="272992"/>
    <s v="M/S Mohata Stores"/>
    <s v="9434256132"/>
  </r>
  <r>
    <s v="RCF Thal"/>
    <s v="N.C.Urea(45kg)"/>
    <s v="WB"/>
    <x v="6"/>
    <s v="Dinhata - I"/>
    <s v="User Not Mapped"/>
    <s v="User Not Mapped"/>
    <s v="User Not Mapped"/>
    <n v="1444507"/>
    <s v="UNIQUE FERTILIZER"/>
    <s v="Private Retailer"/>
    <s v="7602577792"/>
    <n v="1.575"/>
    <n v="92"/>
    <x v="7"/>
    <m/>
    <s v="2026-01-18"/>
    <s v="272992"/>
    <s v="M/S Mohata Stores"/>
    <s v="9434256132"/>
  </r>
  <r>
    <s v="RCF Thal"/>
    <s v="N.C.Urea(45kg)"/>
    <s v="WB"/>
    <x v="6"/>
    <s v="Haldibari"/>
    <s v="User Not Mapped"/>
    <s v="User Not Mapped"/>
    <s v="User Not Mapped"/>
    <n v="949356"/>
    <s v="M/S JYOTIRMOY FERTILIZER "/>
    <s v="Private Retailer"/>
    <s v="7063485710"/>
    <n v="0.27"/>
    <n v="1242"/>
    <x v="2"/>
    <m/>
    <s v="2022-11-25"/>
    <s v="952445"/>
    <s v="M/S PRASANTA DAS"/>
    <s v="8670737096"/>
  </r>
  <r>
    <s v="RCF Import"/>
    <s v="MOP"/>
    <s v="WB"/>
    <x v="6"/>
    <s v="Haldibari"/>
    <s v="User Not Mapped"/>
    <s v="User Not Mapped"/>
    <s v="User Not Mapped"/>
    <n v="949356"/>
    <s v="M/S JYOTIRMOY FERTILIZER "/>
    <s v="Private Retailer"/>
    <s v="7063485710"/>
    <n v="0.55000000000000004"/>
    <n v="487"/>
    <x v="0"/>
    <m/>
    <s v="2024-12-19"/>
    <s v="952445"/>
    <s v="M/S PRASANTA DAS"/>
    <s v="8670737096"/>
  </r>
  <r>
    <s v="RCF Thal"/>
    <s v="N.C.Urea(45kg)"/>
    <s v="WB"/>
    <x v="6"/>
    <s v="Mekliganj"/>
    <s v="User Not Mapped"/>
    <s v="User Not Mapped"/>
    <s v="User Not Mapped"/>
    <n v="652975"/>
    <s v="M/S SHIULI SEED and FERTILIZER"/>
    <s v="Private Retailer"/>
    <s v="9932992669"/>
    <n v="4.5"/>
    <n v="23"/>
    <x v="5"/>
    <m/>
    <s v="2026-03-28"/>
    <s v="952445"/>
    <s v="M/S PRASANTA DAS"/>
    <s v="8670737096"/>
  </r>
  <r>
    <s v="RCF Thal"/>
    <s v="N.C.Urea(45kg)"/>
    <s v="WB"/>
    <x v="6"/>
    <m/>
    <s v="User Not Mapped"/>
    <s v="User Not Mapped"/>
    <s v="User Not Mapped"/>
    <n v="961218"/>
    <s v="M/s. JOGESH BARMAN"/>
    <s v="Private Retailer"/>
    <s v="9635651772"/>
    <n v="0.315"/>
    <n v="2077"/>
    <x v="2"/>
    <m/>
    <s v="2020-08-12"/>
    <s v="952445"/>
    <s v="M/S PRASANTA DAS"/>
    <s v="8670737096"/>
  </r>
  <r>
    <s v="RCF Trombay"/>
    <s v="15-15-15"/>
    <s v="WB"/>
    <x v="6"/>
    <s v="Mekliganj"/>
    <s v="User Not Mapped"/>
    <s v="User Not Mapped"/>
    <s v="User Not Mapped"/>
    <n v="288259"/>
    <s v="M/s. Prasanta Das"/>
    <s v="Private Retailer"/>
    <s v="8670737096"/>
    <n v="4"/>
    <n v="21"/>
    <x v="5"/>
    <m/>
    <s v="2026-03-30"/>
    <s v="952445"/>
    <s v="M/S PRASANTA DAS"/>
    <s v="8670737096"/>
  </r>
  <r>
    <s v="RCF Import"/>
    <s v="MOP"/>
    <s v="WB"/>
    <x v="6"/>
    <s v="Haldibari"/>
    <s v="User Not Mapped"/>
    <s v="User Not Mapped"/>
    <s v="User Not Mapped"/>
    <n v="476901"/>
    <s v="M/s. Radha Krishna Fertilizer"/>
    <s v="Private Retailer"/>
    <s v="9064586698"/>
    <n v="0.75"/>
    <n v="487"/>
    <x v="0"/>
    <m/>
    <s v="2024-12-19"/>
    <s v="952445"/>
    <s v="M/S PRASANTA DAS"/>
    <s v="8670737096"/>
  </r>
  <r>
    <s v="RCF Import"/>
    <s v="Imp 10-26-26"/>
    <s v="WB"/>
    <x v="6"/>
    <s v="Mekliganj"/>
    <s v="User Not Mapped"/>
    <s v="User Not Mapped"/>
    <s v="User Not Mapped"/>
    <n v="1221668"/>
    <s v="M/s. Roy Fertilizer"/>
    <s v="Private Retailer"/>
    <s v="8016181924"/>
    <n v="2.5000000000000001E-2"/>
    <n v="831"/>
    <x v="2"/>
    <m/>
    <s v="2024-01-10"/>
    <s v="952445"/>
    <s v="M/S PRASANTA DAS"/>
    <s v="8670737096"/>
  </r>
  <r>
    <s v="RCF Thal"/>
    <s v="N.C.Urea(45kg)"/>
    <s v="WB"/>
    <x v="6"/>
    <m/>
    <s v="User Not Mapped"/>
    <s v="User Not Mapped"/>
    <s v="User Not Mapped"/>
    <n v="889380"/>
    <s v="M/S. SARITA SAHA"/>
    <s v="Private Retailer"/>
    <s v="9635489252"/>
    <n v="0.22500000000000001"/>
    <n v="1705"/>
    <x v="2"/>
    <m/>
    <s v="2021-08-19"/>
    <s v="952445"/>
    <s v="M/S PRASANTA DAS"/>
    <s v="8670737096"/>
  </r>
  <r>
    <s v="RCF Import"/>
    <s v="MOP"/>
    <s v="WB"/>
    <x v="6"/>
    <s v="Mekliganj"/>
    <s v="User Not Mapped"/>
    <s v="User Not Mapped"/>
    <s v="User Not Mapped"/>
    <n v="653558"/>
    <s v="MASRAKUL ISLAM SARKAR"/>
    <s v="Private Retailer"/>
    <s v="9641539602"/>
    <n v="1.05"/>
    <n v="487"/>
    <x v="0"/>
    <m/>
    <s v="2024-12-19"/>
    <s v="952445"/>
    <s v="M/S PRASANTA DAS"/>
    <s v="8670737096"/>
  </r>
  <r>
    <s v="RCF Thal"/>
    <s v="N.C.Urea(45kg)"/>
    <s v="WB"/>
    <x v="6"/>
    <s v="Haldibari"/>
    <s v="User Not Mapped"/>
    <s v="User Not Mapped"/>
    <s v="User Not Mapped"/>
    <n v="550080"/>
    <s v="Rabindra Nath Roy"/>
    <s v="Private Retailer"/>
    <s v="9547404219"/>
    <n v="6.93"/>
    <n v="23"/>
    <x v="5"/>
    <m/>
    <s v="2026-03-28"/>
    <s v="952445"/>
    <s v="M/S PRASANTA DAS"/>
    <s v="8670737096"/>
  </r>
  <r>
    <s v="RCF Thal"/>
    <s v="N.C.Urea(45kg)"/>
    <s v="WB"/>
    <x v="6"/>
    <s v="Mekliganj"/>
    <s v="User Not Mapped"/>
    <s v="User Not Mapped"/>
    <s v="User Not Mapped"/>
    <n v="786867"/>
    <s v="ABIR GOSWAMI"/>
    <s v="Private Retailer"/>
    <s v="7908001683"/>
    <n v="0.01"/>
    <n v="2447"/>
    <x v="2"/>
    <m/>
    <s v="2019-08-08"/>
    <s v="258294"/>
    <s v="M/S Raju Bhowmick"/>
    <s v="7001039370"/>
  </r>
  <r>
    <s v="RCF Trombay"/>
    <s v="N.C.Urea(45kg)"/>
    <s v="WB"/>
    <x v="6"/>
    <s v="Mekliganj"/>
    <s v="User Not Mapped"/>
    <s v="User Not Mapped"/>
    <s v="User Not Mapped"/>
    <n v="1221674"/>
    <s v="M/S LOKNATH FERTILIZER"/>
    <s v="Private Retailer"/>
    <s v="8016163708"/>
    <n v="0.44500000000000001"/>
    <n v="1098"/>
    <x v="2"/>
    <m/>
    <s v="2023-04-18"/>
    <s v="258294"/>
    <s v="M/S Raju Bhowmick"/>
    <s v="7001039370"/>
  </r>
  <r>
    <s v="RCF Thal"/>
    <s v="N.C.Urea(45kg)"/>
    <s v="WB"/>
    <x v="6"/>
    <s v="Mekliganj"/>
    <s v="User Not Mapped"/>
    <s v="User Not Mapped"/>
    <s v="User Not Mapped"/>
    <n v="1221674"/>
    <s v="M/S LOKNATH FERTILIZER"/>
    <s v="Private Retailer"/>
    <s v="8016163708"/>
    <n v="7.0000000000000001E-3"/>
    <n v="1662"/>
    <x v="2"/>
    <m/>
    <s v="2021-10-01"/>
    <s v="258294"/>
    <s v="M/S Raju Bhowmick"/>
    <s v="7001039370"/>
  </r>
  <r>
    <s v="RCF Thal"/>
    <s v="N.C.Urea(45kg)"/>
    <s v="WB"/>
    <x v="6"/>
    <m/>
    <s v="User Not Mapped"/>
    <s v="User Not Mapped"/>
    <s v="User Not Mapped"/>
    <n v="949493"/>
    <s v="M/s. ANUSHKA FERTILISER"/>
    <s v="Private Retailer"/>
    <s v="8348628383"/>
    <n v="4.12"/>
    <n v="1608"/>
    <x v="2"/>
    <m/>
    <s v="2021-11-24"/>
    <s v="258294"/>
    <s v="M/S Raju Bhowmick"/>
    <s v="7001039370"/>
  </r>
  <r>
    <s v="RCF Thal"/>
    <s v="N.C.Urea(45kg)"/>
    <s v="WB"/>
    <x v="6"/>
    <s v="Mekliganj"/>
    <s v="User Not Mapped"/>
    <s v="User Not Mapped"/>
    <s v="User Not Mapped"/>
    <n v="871579"/>
    <s v="M/s. Lalchand Roy"/>
    <s v="Private Retailer"/>
    <s v="9547071713"/>
    <n v="0.69"/>
    <n v="1599"/>
    <x v="2"/>
    <m/>
    <s v="2021-12-03"/>
    <s v="258294"/>
    <s v="M/S Raju Bhowmick"/>
    <s v="7001039370"/>
  </r>
  <r>
    <s v="RCF Thal"/>
    <s v="N.C.Urea(45kg)"/>
    <s v="WB"/>
    <x v="6"/>
    <s v="Mekliganj"/>
    <s v="User Not Mapped"/>
    <s v="User Not Mapped"/>
    <s v="User Not Mapped"/>
    <n v="1037411"/>
    <s v="M/s. Parimal Roy"/>
    <s v="Private Retailer"/>
    <s v="7679536360"/>
    <n v="0.12"/>
    <n v="2439"/>
    <x v="2"/>
    <m/>
    <s v="2019-08-16"/>
    <s v="258294"/>
    <s v="M/S Raju Bhowmick"/>
    <s v="7001039370"/>
  </r>
  <r>
    <s v="RCF Thal"/>
    <s v="N.C.Urea(45kg)"/>
    <s v="WB"/>
    <x v="6"/>
    <s v="Mekliganj"/>
    <s v="User Not Mapped"/>
    <s v="User Not Mapped"/>
    <s v="User Not Mapped"/>
    <n v="661589"/>
    <s v="Krishi Kalyan Fertiliser"/>
    <s v="Private Retailer"/>
    <s v="9932222688"/>
    <n v="11.025"/>
    <n v="46"/>
    <x v="3"/>
    <m/>
    <s v="2026-03-05"/>
    <s v="1098527"/>
    <s v="M/S SUNIL KR.KUNDU"/>
    <s v="9832028729"/>
  </r>
  <r>
    <s v="RCF Thal"/>
    <s v="N.C.Urea(45kg)"/>
    <s v="WB"/>
    <x v="6"/>
    <s v="Sitalkuchi"/>
    <s v="User Not Mapped"/>
    <s v="User Not Mapped"/>
    <s v="User Not Mapped"/>
    <n v="1478575"/>
    <s v="M/s Laxmi Narayan Fertilizer"/>
    <s v="Private Wholsaler"/>
    <s v="8116546931"/>
    <n v="24.975000000000001"/>
    <n v="46"/>
    <x v="3"/>
    <s v="'1894'"/>
    <s v="2026-03-05"/>
    <s v="1098527"/>
    <s v="M/S SUNIL KR.KUNDU"/>
    <s v="9832028729"/>
  </r>
  <r>
    <s v="RCF Trombay"/>
    <s v="15-15-15"/>
    <s v="WB"/>
    <x v="6"/>
    <s v="Haldibari"/>
    <s v="User Not Mapped"/>
    <s v="User Not Mapped"/>
    <s v="User Not Mapped"/>
    <n v="511036"/>
    <s v="M/s. Smt. Sabita Barman"/>
    <s v="Private Retailer"/>
    <s v="9749705952"/>
    <n v="0.75"/>
    <n v="69"/>
    <x v="6"/>
    <m/>
    <s v="2026-02-10"/>
    <s v="1098527"/>
    <s v="M/S SUNIL KR.KUNDU"/>
    <s v="9832028729"/>
  </r>
  <r>
    <s v="RCF Thal"/>
    <s v="N.C.Urea(45kg)"/>
    <s v="WB"/>
    <x v="6"/>
    <s v="Haldibari"/>
    <s v="User Not Mapped"/>
    <s v="User Not Mapped"/>
    <s v="User Not Mapped"/>
    <n v="511036"/>
    <s v="M/s. Smt. Sabita Barman"/>
    <s v="Private Retailer"/>
    <s v="9749705952"/>
    <n v="4.4999999999999998E-2"/>
    <n v="1217"/>
    <x v="2"/>
    <m/>
    <s v="2022-12-20"/>
    <s v="1098527"/>
    <s v="M/S SUNIL KR.KUNDU"/>
    <s v="9832028729"/>
  </r>
  <r>
    <s v="RCF Import"/>
    <s v="MOP"/>
    <s v="WB"/>
    <x v="6"/>
    <s v="Mekliganj"/>
    <s v="User Not Mapped"/>
    <s v="User Not Mapped"/>
    <s v="User Not Mapped"/>
    <n v="1444822"/>
    <s v="M/s. Pratap Barman"/>
    <s v="Private Retailer"/>
    <s v="8637353688"/>
    <n v="0.6"/>
    <n v="498"/>
    <x v="0"/>
    <m/>
    <s v="2024-12-08"/>
    <s v="1342079"/>
    <s v="M/S. ALI FERTILIZER"/>
    <s v="6295989104"/>
  </r>
  <r>
    <s v="RCF Thal"/>
    <s v="N.C.Urea(45kg)"/>
    <s v="WB"/>
    <x v="6"/>
    <m/>
    <s v="User Not Mapped"/>
    <s v="User Not Mapped"/>
    <s v="User Not Mapped"/>
    <n v="902119"/>
    <s v="DILIP SEN"/>
    <s v="Private Retailer"/>
    <s v="9933043167"/>
    <n v="5.0000000000000001E-3"/>
    <n v="2251"/>
    <x v="2"/>
    <m/>
    <s v="2020-02-20"/>
    <s v="876178"/>
    <s v="M/S. BARUN SARKAR"/>
    <s v="9434890811"/>
  </r>
  <r>
    <s v="RCF Trombay"/>
    <s v="N.C.Urea(45kg)"/>
    <s v="WB"/>
    <x v="6"/>
    <m/>
    <s v="User Not Mapped"/>
    <s v="User Not Mapped"/>
    <s v="User Not Mapped"/>
    <n v="646116"/>
    <s v="Goutam Sarkar"/>
    <s v="Private Retailer"/>
    <s v="9933446249"/>
    <n v="0.03"/>
    <n v="2052"/>
    <x v="2"/>
    <m/>
    <s v="2020-09-06"/>
    <s v="876178"/>
    <s v="M/S. BARUN SARKAR"/>
    <s v="9434890811"/>
  </r>
  <r>
    <s v="RCF Thal"/>
    <s v="N.C.Urea(45kg)"/>
    <s v="WB"/>
    <x v="6"/>
    <s v="Haldibari"/>
    <s v="User Not Mapped"/>
    <s v="User Not Mapped"/>
    <s v="User Not Mapped"/>
    <n v="679009"/>
    <s v="M/S MUKUL HOQUE SARKAR"/>
    <s v="Private Retailer"/>
    <s v="9547347920"/>
    <n v="0.03"/>
    <n v="1917"/>
    <x v="2"/>
    <m/>
    <s v="2021-01-19"/>
    <s v="876178"/>
    <s v="M/S. BARUN SARKAR"/>
    <s v="9434890811"/>
  </r>
  <r>
    <s v="RCF Thal"/>
    <s v="N.C.Urea(45kg)"/>
    <s v="WB"/>
    <x v="6"/>
    <s v="Haldibari"/>
    <s v="User Not Mapped"/>
    <s v="User Not Mapped"/>
    <s v="User Not Mapped"/>
    <n v="1278014"/>
    <s v="M/S. DHANI FERTILIZER"/>
    <s v="Private Retailer"/>
    <s v="9932919233"/>
    <n v="4.4999999999999998E-2"/>
    <n v="1348"/>
    <x v="2"/>
    <m/>
    <s v="2022-08-11"/>
    <s v="876178"/>
    <s v="M/S. BARUN SARKAR"/>
    <s v="9434890811"/>
  </r>
  <r>
    <s v="RCF Thal"/>
    <s v="N.C.Urea(45kg)"/>
    <s v="WB"/>
    <x v="6"/>
    <s v="Haldibari"/>
    <s v="User Not Mapped"/>
    <s v="User Not Mapped"/>
    <s v="User Not Mapped"/>
    <n v="973391"/>
    <s v="M/s. Girendra Chandra Barman"/>
    <s v="Private Retailer"/>
    <s v="8972481942"/>
    <n v="0.14499999999999999"/>
    <n v="2552"/>
    <x v="2"/>
    <m/>
    <s v="2019-04-25"/>
    <s v="876178"/>
    <s v="M/S. BARUN SARKAR"/>
    <s v="9434890811"/>
  </r>
  <r>
    <s v="RCF Thal"/>
    <s v="N.C.Urea(45kg)"/>
    <s v="WB"/>
    <x v="6"/>
    <m/>
    <s v="User Not Mapped"/>
    <s v="User Not Mapped"/>
    <s v="User Not Mapped"/>
    <n v="1057459"/>
    <s v="PRIYA FERTILIZER"/>
    <s v="Private Retailer"/>
    <s v="9933535670"/>
    <n v="7.29"/>
    <n v="1632"/>
    <x v="2"/>
    <m/>
    <s v="2021-10-31"/>
    <s v="876178"/>
    <s v="M/S. BARUN SARKAR"/>
    <s v="9434890811"/>
  </r>
  <r>
    <s v="RCF Trombay"/>
    <s v="15-15-15"/>
    <s v="WB"/>
    <x v="6"/>
    <s v="Sitalkuchi"/>
    <s v="User Not Mapped"/>
    <s v="User Not Mapped"/>
    <s v="User Not Mapped"/>
    <n v="968164"/>
    <s v="AKAR ALI MIYA"/>
    <s v="Private Retailer"/>
    <s v="9547601909"/>
    <n v="0.5"/>
    <n v="141"/>
    <x v="4"/>
    <m/>
    <s v="2025-11-30"/>
    <s v="268849"/>
    <s v="M/s. Debashis Kundu"/>
    <s v="9641428689"/>
  </r>
  <r>
    <s v="RCF Thal"/>
    <s v="N.C.Urea(45kg)"/>
    <s v="WB"/>
    <x v="6"/>
    <s v="Dinhata - I"/>
    <s v="User Not Mapped"/>
    <s v="User Not Mapped"/>
    <s v="User Not Mapped"/>
    <n v="228709"/>
    <s v="Fajlay Haque"/>
    <s v="Private Retailer"/>
    <s v="9932519471"/>
    <n v="1.35"/>
    <n v="43"/>
    <x v="3"/>
    <m/>
    <s v="2026-03-08"/>
    <s v="268849"/>
    <s v="M/s. Debashis Kundu"/>
    <s v="9641428689"/>
  </r>
  <r>
    <s v="RCF Trombay"/>
    <s v="N.C.Urea(45kg)"/>
    <s v="WB"/>
    <x v="6"/>
    <s v="Dinhata - I"/>
    <s v="User Not Mapped"/>
    <s v="User Not Mapped"/>
    <s v="User Not Mapped"/>
    <n v="500009"/>
    <s v="Hiran Sarkar"/>
    <s v="Private Retailer"/>
    <s v="9800711561"/>
    <n v="0.36"/>
    <n v="487"/>
    <x v="0"/>
    <m/>
    <s v="2024-12-19"/>
    <s v="268849"/>
    <s v="M/s. Debashis Kundu"/>
    <s v="9641428689"/>
  </r>
  <r>
    <s v="RCF Trombay"/>
    <s v="15-15-15"/>
    <s v="WB"/>
    <x v="6"/>
    <s v="Sitai"/>
    <s v="User Not Mapped"/>
    <s v="User Not Mapped"/>
    <s v="User Not Mapped"/>
    <n v="1223569"/>
    <s v="M/S BARMAN FERTLIZER"/>
    <s v="Private Retailer"/>
    <s v="8509490794"/>
    <n v="0.45"/>
    <n v="463"/>
    <x v="0"/>
    <m/>
    <s v="2025-01-12"/>
    <s v="268849"/>
    <s v="M/s. Debashis Kundu"/>
    <s v="9641428689"/>
  </r>
  <r>
    <s v="RCF Trombay"/>
    <s v="15-15-15"/>
    <s v="WB"/>
    <x v="6"/>
    <s v="Sitalkuchi"/>
    <s v="User Not Mapped"/>
    <s v="User Not Mapped"/>
    <s v="User Not Mapped"/>
    <n v="1419877"/>
    <s v="M/s Prabir Guha"/>
    <s v="Private Retailer"/>
    <s v="9932175486"/>
    <n v="0.05"/>
    <n v="121"/>
    <x v="4"/>
    <m/>
    <s v="2025-12-20"/>
    <s v="268849"/>
    <s v="M/s. Debashis Kundu"/>
    <s v="9641428689"/>
  </r>
  <r>
    <s v="RCF Trombay"/>
    <s v="15-15-15"/>
    <s v="WB"/>
    <x v="6"/>
    <s v="Sitalkuchi"/>
    <s v="User Not Mapped"/>
    <s v="User Not Mapped"/>
    <s v="User Not Mapped"/>
    <n v="1606806"/>
    <s v="M/s. Alom Fertilizer Shop"/>
    <s v="Private Retailer"/>
    <s v="7384857581"/>
    <n v="2.0499999999999998"/>
    <n v="124"/>
    <x v="4"/>
    <m/>
    <s v="2025-12-17"/>
    <s v="268849"/>
    <s v="M/s. Debashis Kundu"/>
    <s v="9641428689"/>
  </r>
  <r>
    <s v="RCF Trombay"/>
    <s v="15-15-15"/>
    <s v="WB"/>
    <x v="6"/>
    <s v="Tufanganj - II"/>
    <s v="User Not Mapped"/>
    <s v="User Not Mapped"/>
    <s v="User Not Mapped"/>
    <n v="1214824"/>
    <s v="M/S. PRAHALLAD  DAS"/>
    <s v="Private Wholsaler"/>
    <s v="9635190209"/>
    <n v="0.5"/>
    <n v="48"/>
    <x v="3"/>
    <s v="'824A'"/>
    <s v="2026-03-03"/>
    <s v="268849"/>
    <s v="M/s. Debashis Kundu"/>
    <s v="9641428689"/>
  </r>
  <r>
    <s v="RCF Trombay"/>
    <s v="N.C.Urea(45kg)"/>
    <s v="WB"/>
    <x v="6"/>
    <s v="Tufanganj - II"/>
    <s v="User Not Mapped"/>
    <s v="User Not Mapped"/>
    <s v="User Not Mapped"/>
    <n v="1214824"/>
    <s v="M/S. PRAHALLAD  DAS"/>
    <s v="Private Wholsaler"/>
    <s v="9635190209"/>
    <n v="0.09"/>
    <n v="67"/>
    <x v="6"/>
    <s v="'672'"/>
    <s v="2026-02-12"/>
    <s v="268849"/>
    <s v="M/s. Debashis Kundu"/>
    <s v="9641428689"/>
  </r>
  <r>
    <s v="RCF Thal"/>
    <s v="N.C.Urea(45kg)"/>
    <s v="WB"/>
    <x v="6"/>
    <s v="Sitalkuchi"/>
    <s v="User Not Mapped"/>
    <s v="User Not Mapped"/>
    <s v="User Not Mapped"/>
    <n v="886542"/>
    <s v="MAA KALI FERTILIZER"/>
    <s v="Private Retailer"/>
    <s v="9635357182"/>
    <n v="20.43"/>
    <n v="42"/>
    <x v="3"/>
    <m/>
    <s v="2026-03-09"/>
    <s v="268849"/>
    <s v="M/s. Debashis Kundu"/>
    <s v="9641428689"/>
  </r>
  <r>
    <s v="RCF Trombay"/>
    <s v="15-15-15"/>
    <s v="WB"/>
    <x v="6"/>
    <s v="Sitalkuchi"/>
    <s v="User Not Mapped"/>
    <s v="User Not Mapped"/>
    <s v="User Not Mapped"/>
    <n v="917294"/>
    <s v="PRASENJIT BARMAN"/>
    <s v="Private Retailer"/>
    <s v="8016552379"/>
    <n v="0.25"/>
    <n v="143"/>
    <x v="4"/>
    <m/>
    <s v="2025-11-28"/>
    <s v="268849"/>
    <s v="M/s. Debashis Kundu"/>
    <s v="9641428689"/>
  </r>
  <r>
    <s v="RCF Trombay"/>
    <s v="15-15-15"/>
    <s v="WB"/>
    <x v="6"/>
    <s v="Sitalkuchi"/>
    <s v="User Not Mapped"/>
    <s v="User Not Mapped"/>
    <s v="User Not Mapped"/>
    <n v="917294"/>
    <s v="PRASENJIT BARMAN"/>
    <s v="Private Retailer"/>
    <s v="8016552379"/>
    <n v="0.25"/>
    <n v="141"/>
    <x v="4"/>
    <m/>
    <s v="2025-11-30"/>
    <s v="268849"/>
    <s v="M/s. Debashis Kundu"/>
    <s v="9641428689"/>
  </r>
  <r>
    <s v="RCF Trombay"/>
    <s v="N.C.Urea(45kg)"/>
    <s v="WB"/>
    <x v="6"/>
    <s v="Dinhata - I"/>
    <s v="User Not Mapped"/>
    <s v="User Not Mapped"/>
    <s v="User Not Mapped"/>
    <n v="1223488"/>
    <s v="PUJA FERTILIZER "/>
    <s v="Private Retailer"/>
    <s v="7031131294"/>
    <n v="3.24"/>
    <n v="67"/>
    <x v="6"/>
    <m/>
    <s v="2026-02-12"/>
    <s v="268849"/>
    <s v="M/s. Debashis Kundu"/>
    <s v="9641428689"/>
  </r>
  <r>
    <s v="RCF Trombay"/>
    <s v="15-15-15"/>
    <s v="WB"/>
    <x v="6"/>
    <s v="Dinhata - I"/>
    <s v="User Not Mapped"/>
    <s v="User Not Mapped"/>
    <s v="User Not Mapped"/>
    <n v="1225681"/>
    <s v="SOMNATH CHAKRABORTY"/>
    <s v="Private Retailer"/>
    <s v="9641921920"/>
    <n v="0.5"/>
    <n v="477"/>
    <x v="0"/>
    <m/>
    <s v="2024-12-29"/>
    <s v="268849"/>
    <s v="M/s. Debashis Kundu"/>
    <s v="9641428689"/>
  </r>
  <r>
    <s v="RCF Trombay"/>
    <s v="N.C.Urea(45kg)"/>
    <s v="WB"/>
    <x v="6"/>
    <s v="Dinhata - I"/>
    <s v="User Not Mapped"/>
    <s v="User Not Mapped"/>
    <s v="User Not Mapped"/>
    <n v="1225681"/>
    <s v="SOMNATH CHAKRABORTY"/>
    <s v="Private Retailer"/>
    <s v="9641921920"/>
    <n v="0.67500000000000004"/>
    <n v="444"/>
    <x v="0"/>
    <m/>
    <s v="2025-01-31"/>
    <s v="268849"/>
    <s v="M/s. Debashis Kundu"/>
    <s v="9641428689"/>
  </r>
  <r>
    <s v="RCF Trombay"/>
    <s v="N.C.Urea(45kg)"/>
    <s v="WB"/>
    <x v="6"/>
    <s v="Dinhata - II"/>
    <s v="User Not Mapped"/>
    <s v="User Not Mapped"/>
    <s v="User Not Mapped"/>
    <n v="1029896"/>
    <s v="M/S SERAJUL HAQUE"/>
    <s v="Private Retailer"/>
    <s v="8972563151"/>
    <n v="4.0000000000000001E-3"/>
    <n v="1890"/>
    <x v="2"/>
    <m/>
    <s v="2021-02-15"/>
    <s v="269006"/>
    <s v="M/s. Dulichand Kundanmal"/>
    <s v="9679371081"/>
  </r>
  <r>
    <s v="RCF Thal"/>
    <s v="N.C.Urea(45kg)"/>
    <s v="WB"/>
    <x v="6"/>
    <s v="Mathabhanga - I"/>
    <s v="User Not Mapped"/>
    <s v="User Not Mapped"/>
    <s v="User Not Mapped"/>
    <n v="1035397"/>
    <s v="Asraful Hossein"/>
    <s v="Private Retailer"/>
    <s v="9734712174"/>
    <n v="0.09"/>
    <n v="1598"/>
    <x v="2"/>
    <m/>
    <s v="2021-12-04"/>
    <s v="272984"/>
    <s v="M/s. Ma Mahamaya KrishiBhandar"/>
    <s v="8016059111"/>
  </r>
  <r>
    <s v="RCF Thal"/>
    <s v="N.C.Urea(45kg)"/>
    <s v="WB"/>
    <x v="6"/>
    <m/>
    <s v="User Not Mapped"/>
    <s v="User Not Mapped"/>
    <s v="User Not Mapped"/>
    <n v="480973"/>
    <s v="Nitish Chandra Ghosh"/>
    <s v="Private Retailer"/>
    <s v="8116677266"/>
    <n v="0.81"/>
    <n v="2328"/>
    <x v="2"/>
    <m/>
    <s v="2019-12-05"/>
    <s v="272984"/>
    <s v="M/s. Ma Mahamaya KrishiBhandar"/>
    <s v="8016059111"/>
  </r>
  <r>
    <s v="RCF Thal"/>
    <s v="N.C.Urea(45kg)"/>
    <s v="WB"/>
    <x v="6"/>
    <s v="Dinhata - I"/>
    <s v="User Not Mapped"/>
    <s v="User Not Mapped"/>
    <s v="User Not Mapped"/>
    <n v="516748"/>
    <s v="Soumitra Dutta"/>
    <s v="Private Retailer"/>
    <s v="9800178444"/>
    <n v="0.01"/>
    <n v="1894"/>
    <x v="2"/>
    <m/>
    <s v="2021-02-11"/>
    <s v="272984"/>
    <s v="M/s. Ma Mahamaya KrishiBhandar"/>
    <s v="8016059111"/>
  </r>
  <r>
    <s v="RCF Trombay"/>
    <s v="15-15-15"/>
    <s v="WB"/>
    <x v="6"/>
    <s v="Mekliganj"/>
    <s v="User Not Mapped"/>
    <s v="User Not Mapped"/>
    <s v="User Not Mapped"/>
    <n v="228695"/>
    <s v="M/s. Mithu Saha"/>
    <s v="Private Retailer"/>
    <s v="9800491207"/>
    <n v="0.9"/>
    <n v="131"/>
    <x v="4"/>
    <m/>
    <s v="2025-12-10"/>
    <s v="1432586"/>
    <s v="M/s. Mithu Saha"/>
    <s v="9800491207"/>
  </r>
  <r>
    <s v="RCF Thal"/>
    <s v="N.C.Urea(45kg)"/>
    <s v="WB"/>
    <x v="6"/>
    <m/>
    <s v="User Not Mapped"/>
    <s v="User Not Mapped"/>
    <s v="User Not Mapped"/>
    <n v="539823"/>
    <s v="Pannalal Deb"/>
    <s v="Private Retailer"/>
    <s v="9609903819"/>
    <n v="0.13500000000000001"/>
    <n v="2621"/>
    <x v="2"/>
    <m/>
    <s v="2019-02-15"/>
    <s v="288291"/>
    <s v="M/s. Mohata Stores"/>
    <s v="9434256132"/>
  </r>
  <r>
    <s v="RCF Thal"/>
    <s v="N.C.Urea(45kg)"/>
    <s v="WB"/>
    <x v="6"/>
    <s v="Tufanganj - II"/>
    <s v="User Not Mapped"/>
    <s v="User Not Mapped"/>
    <s v="User Not Mapped"/>
    <n v="507576"/>
    <s v="Barun Chandra Arya"/>
    <s v="Private Retailer"/>
    <s v="9734971349"/>
    <n v="0.27"/>
    <n v="41"/>
    <x v="3"/>
    <m/>
    <s v="2026-03-10"/>
    <s v="1214824"/>
    <s v="M/S. PRAHALLAD  DAS"/>
    <s v="9635190209"/>
  </r>
  <r>
    <s v="RCF Thal"/>
    <s v="N.C.Urea(45kg)"/>
    <s v="WB"/>
    <x v="6"/>
    <s v="Tufanganj - II"/>
    <s v="User Not Mapped"/>
    <s v="User Not Mapped"/>
    <s v="User Not Mapped"/>
    <n v="507576"/>
    <s v="Barun Chandra Arya"/>
    <s v="Private Retailer"/>
    <s v="9734971349"/>
    <n v="0.36"/>
    <n v="35"/>
    <x v="3"/>
    <m/>
    <s v="2026-03-16"/>
    <s v="1214824"/>
    <s v="M/S. PRAHALLAD  DAS"/>
    <s v="9635190209"/>
  </r>
  <r>
    <s v="RCF Thal"/>
    <s v="N.C.Urea(45kg)"/>
    <s v="WB"/>
    <x v="6"/>
    <s v="Tufanganj - II"/>
    <s v="User Not Mapped"/>
    <s v="User Not Mapped"/>
    <s v="User Not Mapped"/>
    <n v="507576"/>
    <s v="Barun Chandra Arya"/>
    <s v="Private Retailer"/>
    <s v="9734971349"/>
    <n v="0.27"/>
    <n v="23"/>
    <x v="5"/>
    <m/>
    <s v="2026-03-28"/>
    <s v="1214824"/>
    <s v="M/S. PRAHALLAD  DAS"/>
    <s v="9635190209"/>
  </r>
  <r>
    <s v="RCF Thal"/>
    <s v="N.C.Urea(45kg)"/>
    <s v="WB"/>
    <x v="6"/>
    <s v="Tufanganj - II"/>
    <s v="User Not Mapped"/>
    <s v="User Not Mapped"/>
    <s v="User Not Mapped"/>
    <n v="507576"/>
    <s v="Barun Chandra Arya"/>
    <s v="Private Retailer"/>
    <s v="9734971349"/>
    <n v="0.36"/>
    <n v="39"/>
    <x v="3"/>
    <m/>
    <s v="2026-03-12"/>
    <s v="1214824"/>
    <s v="M/S. PRAHALLAD  DAS"/>
    <s v="9635190209"/>
  </r>
  <r>
    <s v="RCF Thal"/>
    <s v="N.C.Urea(45kg)"/>
    <s v="WB"/>
    <x v="6"/>
    <m/>
    <s v="User Not Mapped"/>
    <s v="User Not Mapped"/>
    <s v="User Not Mapped"/>
    <n v="1622368"/>
    <s v="Greenery Nursery"/>
    <s v="Private Retailer"/>
    <s v="8116977913"/>
    <n v="1.8"/>
    <n v="39"/>
    <x v="3"/>
    <m/>
    <s v="2026-03-12"/>
    <s v="1214824"/>
    <s v="M/S. PRAHALLAD  DAS"/>
    <s v="9635190209"/>
  </r>
  <r>
    <s v="RCF Thal"/>
    <s v="N.C.Urea(45kg)"/>
    <s v="WB"/>
    <x v="6"/>
    <m/>
    <s v="User Not Mapped"/>
    <s v="User Not Mapped"/>
    <s v="User Not Mapped"/>
    <n v="1622368"/>
    <s v="Greenery Nursery"/>
    <s v="Private Retailer"/>
    <s v="8116977913"/>
    <n v="0.67500000000000004"/>
    <n v="35"/>
    <x v="3"/>
    <m/>
    <s v="2026-03-16"/>
    <s v="1214824"/>
    <s v="M/S. PRAHALLAD  DAS"/>
    <s v="9635190209"/>
  </r>
  <r>
    <s v="RCF Thal"/>
    <s v="N.C.Urea(45kg)"/>
    <s v="WB"/>
    <x v="6"/>
    <m/>
    <s v="User Not Mapped"/>
    <s v="User Not Mapped"/>
    <s v="User Not Mapped"/>
    <n v="1622368"/>
    <s v="Greenery Nursery"/>
    <s v="Private Retailer"/>
    <s v="8116977913"/>
    <n v="0.45"/>
    <n v="20"/>
    <x v="5"/>
    <m/>
    <s v="2026-03-31"/>
    <s v="1214824"/>
    <s v="M/S. PRAHALLAD  DAS"/>
    <s v="9635190209"/>
  </r>
  <r>
    <s v="RCF Thal"/>
    <s v="N.C.Urea(45kg)"/>
    <s v="WB"/>
    <x v="6"/>
    <s v="Tufanganj - I"/>
    <s v="User Not Mapped"/>
    <s v="User Not Mapped"/>
    <s v="User Not Mapped"/>
    <n v="1082792"/>
    <s v="M S. KRISHI GHAR"/>
    <s v="Private Retailer"/>
    <s v="7001617810"/>
    <n v="0.45"/>
    <n v="23"/>
    <x v="5"/>
    <m/>
    <s v="2026-03-28"/>
    <s v="1214824"/>
    <s v="M/S. PRAHALLAD  DAS"/>
    <s v="9635190209"/>
  </r>
  <r>
    <s v="RCF Thal"/>
    <s v="N.C.Urea(45kg)"/>
    <s v="WB"/>
    <x v="6"/>
    <s v="Tufanganj - I"/>
    <s v="User Not Mapped"/>
    <s v="User Not Mapped"/>
    <s v="User Not Mapped"/>
    <n v="1082792"/>
    <s v="M S. KRISHI GHAR"/>
    <s v="Private Retailer"/>
    <s v="7001617810"/>
    <n v="0.22500000000000001"/>
    <n v="35"/>
    <x v="3"/>
    <m/>
    <s v="2026-03-16"/>
    <s v="1214824"/>
    <s v="M/S. PRAHALLAD  DAS"/>
    <s v="9635190209"/>
  </r>
  <r>
    <s v="RCF Thal"/>
    <s v="N.C.Urea(45kg)"/>
    <s v="WB"/>
    <x v="6"/>
    <s v="Tufanganj - I"/>
    <s v="User Not Mapped"/>
    <s v="User Not Mapped"/>
    <s v="User Not Mapped"/>
    <n v="271225"/>
    <s v="M/S- Nikhil Chandra Saha"/>
    <s v="Private Retailer"/>
    <s v="8967187482"/>
    <n v="0.45"/>
    <n v="35"/>
    <x v="3"/>
    <m/>
    <s v="2026-03-16"/>
    <s v="1214824"/>
    <s v="M/S. PRAHALLAD  DAS"/>
    <s v="9635190209"/>
  </r>
  <r>
    <s v="RCF Thal"/>
    <s v="N.C.Urea(45kg)"/>
    <s v="WB"/>
    <x v="6"/>
    <s v="Tufanganj - II"/>
    <s v="User Not Mapped"/>
    <s v="User Not Mapped"/>
    <s v="User Not Mapped"/>
    <n v="1226645"/>
    <s v="M/S ROY FERTILIZER"/>
    <s v="Private Retailer"/>
    <s v="8116572622"/>
    <n v="0.9"/>
    <n v="11"/>
    <x v="5"/>
    <m/>
    <s v="2026-04-09"/>
    <s v="1214824"/>
    <s v="M/S. PRAHALLAD  DAS"/>
    <s v="9635190209"/>
  </r>
  <r>
    <s v="RCF Thal"/>
    <s v="N.C.Urea(45kg)"/>
    <s v="WB"/>
    <x v="6"/>
    <s v="Tufanganj - II"/>
    <s v="User Not Mapped"/>
    <s v="User Not Mapped"/>
    <s v="User Not Mapped"/>
    <n v="1226645"/>
    <s v="M/S ROY FERTILIZER"/>
    <s v="Private Retailer"/>
    <s v="8116572622"/>
    <n v="0.18"/>
    <n v="40"/>
    <x v="3"/>
    <m/>
    <s v="2026-03-11"/>
    <s v="1214824"/>
    <s v="M/S. PRAHALLAD  DAS"/>
    <s v="9635190209"/>
  </r>
  <r>
    <s v="RCF Thal"/>
    <s v="N.C.Urea(45kg)"/>
    <s v="WB"/>
    <x v="6"/>
    <s v="Tufanganj - II"/>
    <s v="User Not Mapped"/>
    <s v="User Not Mapped"/>
    <s v="User Not Mapped"/>
    <n v="1226645"/>
    <s v="M/S ROY FERTILIZER"/>
    <s v="Private Retailer"/>
    <s v="8116572622"/>
    <n v="0.45"/>
    <n v="35"/>
    <x v="3"/>
    <m/>
    <s v="2026-03-16"/>
    <s v="1214824"/>
    <s v="M/S. PRAHALLAD  DAS"/>
    <s v="9635190209"/>
  </r>
  <r>
    <s v="RCF Trombay"/>
    <s v="15-15-15"/>
    <s v="WB"/>
    <x v="6"/>
    <s v="Tufanganj - I"/>
    <s v="User Not Mapped"/>
    <s v="User Not Mapped"/>
    <s v="User Not Mapped"/>
    <n v="616525"/>
    <s v="M/S- SAIFUR RAHAMAN"/>
    <s v="Private Retailer"/>
    <s v="9749852424"/>
    <n v="0.5"/>
    <n v="460"/>
    <x v="0"/>
    <m/>
    <s v="2025-01-15"/>
    <s v="1214824"/>
    <s v="M/S. PRAHALLAD  DAS"/>
    <s v="9635190209"/>
  </r>
  <r>
    <s v="RCF Thal"/>
    <s v="N.C.Urea(45kg)"/>
    <s v="WB"/>
    <x v="6"/>
    <s v="Tufanganj - I"/>
    <s v="User Not Mapped"/>
    <s v="User Not Mapped"/>
    <s v="User Not Mapped"/>
    <n v="1053407"/>
    <s v="M/S SANJOY KUMAR DAS"/>
    <s v="Private Retailer"/>
    <s v="9851412454"/>
    <n v="0.9"/>
    <n v="38"/>
    <x v="3"/>
    <m/>
    <s v="2026-03-13"/>
    <s v="1214824"/>
    <s v="M/S. PRAHALLAD  DAS"/>
    <s v="9635190209"/>
  </r>
  <r>
    <s v="RCF Thal"/>
    <s v="N.C.Urea(45kg)"/>
    <s v="WB"/>
    <x v="6"/>
    <s v="Tufanganj - I"/>
    <s v="User Not Mapped"/>
    <s v="User Not Mapped"/>
    <s v="User Not Mapped"/>
    <n v="251999"/>
    <s v="M/s. Ali Hossain"/>
    <s v="Private Retailer"/>
    <s v="9002154166"/>
    <n v="0.45"/>
    <n v="39"/>
    <x v="3"/>
    <m/>
    <s v="2026-03-12"/>
    <s v="1214824"/>
    <s v="M/S. PRAHALLAD  DAS"/>
    <s v="9635190209"/>
  </r>
  <r>
    <s v="RCF Thal"/>
    <s v="N.C.Urea(45kg)"/>
    <s v="WB"/>
    <x v="6"/>
    <s v="Tufanganj - II"/>
    <s v="User Not Mapped"/>
    <s v="User Not Mapped"/>
    <s v="User Not Mapped"/>
    <n v="854880"/>
    <s v="M/S. BENARASI SAHA"/>
    <s v="Private Retailer"/>
    <s v="7098300662"/>
    <n v="0.58499999999999996"/>
    <n v="23"/>
    <x v="5"/>
    <m/>
    <s v="2026-03-28"/>
    <s v="1214824"/>
    <s v="M/S. PRAHALLAD  DAS"/>
    <s v="9635190209"/>
  </r>
  <r>
    <s v="RCF Trombay"/>
    <s v="N.C.Urea(45kg)"/>
    <s v="WB"/>
    <x v="6"/>
    <s v="Tufanganj - II"/>
    <s v="User Not Mapped"/>
    <s v="User Not Mapped"/>
    <s v="User Not Mapped"/>
    <n v="854880"/>
    <s v="M/S. BENARASI SAHA"/>
    <s v="Private Retailer"/>
    <s v="7098300662"/>
    <n v="0.27"/>
    <n v="66"/>
    <x v="6"/>
    <m/>
    <s v="2026-02-13"/>
    <s v="1214824"/>
    <s v="M/S. PRAHALLAD  DAS"/>
    <s v="9635190209"/>
  </r>
  <r>
    <s v="RCF Thal"/>
    <s v="N.C.Urea(45kg)"/>
    <s v="WB"/>
    <x v="6"/>
    <s v="Tufanganj - II"/>
    <s v="User Not Mapped"/>
    <s v="User Not Mapped"/>
    <s v="User Not Mapped"/>
    <n v="854880"/>
    <s v="M/S. BENARASI SAHA"/>
    <s v="Private Retailer"/>
    <s v="7098300662"/>
    <n v="0.45"/>
    <n v="35"/>
    <x v="3"/>
    <m/>
    <s v="2026-03-16"/>
    <s v="1214824"/>
    <s v="M/S. PRAHALLAD  DAS"/>
    <s v="9635190209"/>
  </r>
  <r>
    <s v="RCF Thal"/>
    <s v="N.C.Urea(45kg)"/>
    <s v="WB"/>
    <x v="6"/>
    <m/>
    <s v="User Not Mapped"/>
    <s v="User Not Mapped"/>
    <s v="User Not Mapped"/>
    <n v="886494"/>
    <s v="M/S. GOURANGA BISWAS"/>
    <s v="Private Retailer"/>
    <s v="9932960124"/>
    <n v="0.9"/>
    <n v="40"/>
    <x v="3"/>
    <m/>
    <s v="2026-03-11"/>
    <s v="1214824"/>
    <s v="M/S. PRAHALLAD  DAS"/>
    <s v="9635190209"/>
  </r>
  <r>
    <s v="RCF Thal"/>
    <s v="N.C.Urea(45kg)"/>
    <s v="WB"/>
    <x v="6"/>
    <s v="Tufanganj - II"/>
    <s v="User Not Mapped"/>
    <s v="User Not Mapped"/>
    <s v="User Not Mapped"/>
    <n v="501706"/>
    <s v="M/s. Layek Fertilizer"/>
    <s v="Private Retailer"/>
    <s v="8972703467"/>
    <n v="0.45"/>
    <n v="39"/>
    <x v="3"/>
    <m/>
    <s v="2026-03-12"/>
    <s v="1214824"/>
    <s v="M/S. PRAHALLAD  DAS"/>
    <s v="9635190209"/>
  </r>
  <r>
    <s v="RCF Thal"/>
    <s v="N.C.Urea(45kg)"/>
    <s v="WB"/>
    <x v="6"/>
    <s v="Tufanganj - II"/>
    <s v="User Not Mapped"/>
    <s v="User Not Mapped"/>
    <s v="User Not Mapped"/>
    <n v="501706"/>
    <s v="M/s. Layek Fertilizer"/>
    <s v="Private Retailer"/>
    <s v="8972703467"/>
    <n v="0.9"/>
    <n v="41"/>
    <x v="3"/>
    <m/>
    <s v="2026-03-10"/>
    <s v="1214824"/>
    <s v="M/S. PRAHALLAD  DAS"/>
    <s v="9635190209"/>
  </r>
  <r>
    <s v="RCF Trombay"/>
    <s v="N.C.Urea(45kg)"/>
    <s v="WB"/>
    <x v="6"/>
    <s v="Tufanganj - II"/>
    <s v="User Not Mapped"/>
    <s v="User Not Mapped"/>
    <s v="User Not Mapped"/>
    <n v="505278"/>
    <s v="M/s. Narayan Saha"/>
    <s v="Private Retailer"/>
    <s v="9679607758"/>
    <n v="0.18"/>
    <n v="66"/>
    <x v="6"/>
    <m/>
    <s v="2026-02-13"/>
    <s v="1214824"/>
    <s v="M/S. PRAHALLAD  DAS"/>
    <s v="9635190209"/>
  </r>
  <r>
    <s v="RCF Thal"/>
    <s v="N.C.Urea(45kg)"/>
    <s v="WB"/>
    <x v="6"/>
    <s v="Tufanganj - II"/>
    <s v="User Not Mapped"/>
    <s v="User Not Mapped"/>
    <s v="User Not Mapped"/>
    <n v="620264"/>
    <s v="M/S. PRADIP KUMAR SARKAR"/>
    <s v="Private Retailer"/>
    <s v="8967298608"/>
    <n v="0.45"/>
    <n v="39"/>
    <x v="3"/>
    <m/>
    <s v="2026-03-12"/>
    <s v="1214824"/>
    <s v="M/S. PRAHALLAD  DAS"/>
    <s v="9635190209"/>
  </r>
  <r>
    <s v="RCF Thal"/>
    <s v="N.C.Urea(45kg)"/>
    <s v="WB"/>
    <x v="6"/>
    <s v="Tufanganj - II"/>
    <s v="User Not Mapped"/>
    <s v="User Not Mapped"/>
    <s v="User Not Mapped"/>
    <n v="620264"/>
    <s v="M/S. PRADIP KUMAR SARKAR"/>
    <s v="Private Retailer"/>
    <s v="8967298608"/>
    <n v="0.67500000000000004"/>
    <n v="41"/>
    <x v="3"/>
    <m/>
    <s v="2026-03-10"/>
    <s v="1214824"/>
    <s v="M/S. PRAHALLAD  DAS"/>
    <s v="9635190209"/>
  </r>
  <r>
    <s v="RCF Thal"/>
    <s v="N.C.Urea(45kg)"/>
    <s v="WB"/>
    <x v="6"/>
    <s v="Tufanganj - II"/>
    <s v="User Not Mapped"/>
    <s v="User Not Mapped"/>
    <s v="User Not Mapped"/>
    <n v="506880"/>
    <s v="M/s. Prallad Chandra Sen"/>
    <s v="Private Retailer"/>
    <s v="8670508523"/>
    <n v="0.67500000000000004"/>
    <n v="23"/>
    <x v="5"/>
    <m/>
    <s v="2026-03-28"/>
    <s v="1214824"/>
    <s v="M/S. PRAHALLAD  DAS"/>
    <s v="9635190209"/>
  </r>
  <r>
    <s v="RCF Thal"/>
    <s v="N.C.Urea(45kg)"/>
    <s v="WB"/>
    <x v="6"/>
    <s v="Tufanganj - II"/>
    <s v="User Not Mapped"/>
    <s v="User Not Mapped"/>
    <s v="User Not Mapped"/>
    <n v="228680"/>
    <s v="Mahendra Kohar"/>
    <s v="Private Retailer"/>
    <s v="9933118970"/>
    <n v="0.22500000000000001"/>
    <n v="23"/>
    <x v="5"/>
    <m/>
    <s v="2026-03-28"/>
    <s v="1214824"/>
    <s v="M/S. PRAHALLAD  DAS"/>
    <s v="9635190209"/>
  </r>
  <r>
    <s v="RCF Thal"/>
    <s v="N.C.Urea(45kg)"/>
    <s v="WB"/>
    <x v="6"/>
    <s v="Tufanganj - II"/>
    <s v="User Not Mapped"/>
    <s v="User Not Mapped"/>
    <s v="User Not Mapped"/>
    <n v="228736"/>
    <s v="Nikhil Chandra Saha"/>
    <s v="Private Retailer"/>
    <s v="9474061257"/>
    <n v="0.36"/>
    <n v="35"/>
    <x v="3"/>
    <m/>
    <s v="2026-03-16"/>
    <s v="1214824"/>
    <s v="M/S. PRAHALLAD  DAS"/>
    <s v="9635190209"/>
  </r>
  <r>
    <s v="RCF Thal"/>
    <s v="N.C.Urea(45kg)"/>
    <s v="WB"/>
    <x v="6"/>
    <s v="Tufanganj - I"/>
    <s v="User Not Mapped"/>
    <s v="User Not Mapped"/>
    <s v="User Not Mapped"/>
    <n v="271232"/>
    <s v="Prashanta Debnath"/>
    <s v="Private Retailer"/>
    <s v="9475248049"/>
    <n v="0.45"/>
    <n v="40"/>
    <x v="3"/>
    <m/>
    <s v="2026-03-11"/>
    <s v="1214824"/>
    <s v="M/S. PRAHALLAD  DAS"/>
    <s v="9635190209"/>
  </r>
  <r>
    <s v="RCF Thal"/>
    <s v="N.C.Urea(45kg)"/>
    <s v="WB"/>
    <x v="6"/>
    <s v="Tufanganj - I"/>
    <s v="User Not Mapped"/>
    <s v="User Not Mapped"/>
    <s v="User Not Mapped"/>
    <n v="403340"/>
    <s v="Roy Fertilizer"/>
    <s v="Private Retailer"/>
    <s v="9832572923"/>
    <n v="0.45"/>
    <n v="41"/>
    <x v="3"/>
    <m/>
    <s v="2026-03-10"/>
    <s v="1214824"/>
    <s v="M/S. PRAHALLAD  DAS"/>
    <s v="9635190209"/>
  </r>
  <r>
    <s v="RCF Thal"/>
    <s v="N.C.Urea(45kg)"/>
    <s v="WB"/>
    <x v="6"/>
    <s v="Mekliganj"/>
    <s v="User Not Mapped"/>
    <s v="User Not Mapped"/>
    <s v="User Not Mapped"/>
    <n v="838103"/>
    <s v="Hemendra Nath Roy"/>
    <s v="Private Retailer"/>
    <s v="9800062446"/>
    <n v="0.18"/>
    <n v="1264"/>
    <x v="2"/>
    <m/>
    <s v="2022-11-03"/>
    <s v="1290677"/>
    <s v="M/S. RADHAKRISHNA FERTILIZER"/>
    <s v="9748553755"/>
  </r>
  <r>
    <s v="RCF Thal"/>
    <s v="N.C.Urea(45kg)"/>
    <s v="WB"/>
    <x v="6"/>
    <m/>
    <s v="User Not Mapped"/>
    <s v="User Not Mapped"/>
    <s v="User Not Mapped"/>
    <n v="730444"/>
    <s v="RAFIKUL ISLAM SARKAR"/>
    <s v="Private Retailer"/>
    <s v="8972810360"/>
    <n v="1.35"/>
    <n v="1325"/>
    <x v="2"/>
    <m/>
    <s v="2022-09-03"/>
    <s v="1290677"/>
    <s v="M/S. RADHAKRISHNA FERTILIZER"/>
    <s v="9748553755"/>
  </r>
  <r>
    <s v="RCF Import"/>
    <s v="MOP"/>
    <s v="WB"/>
    <x v="6"/>
    <s v="Mekliganj"/>
    <s v="User Not Mapped"/>
    <s v="User Not Mapped"/>
    <s v="User Not Mapped"/>
    <n v="746526"/>
    <s v="M/s. Abiyal Haque"/>
    <s v="Private Retailer"/>
    <s v="9932189533"/>
    <n v="0.1"/>
    <n v="457"/>
    <x v="0"/>
    <m/>
    <s v="2025-01-18"/>
    <s v="1278044"/>
    <s v="M/S.RAMLAL ROY"/>
    <s v="9933180608"/>
  </r>
  <r>
    <s v="RCF Import"/>
    <s v="MOP"/>
    <s v="WB"/>
    <x v="6"/>
    <s v="Dinhata - II"/>
    <s v="User Not Mapped"/>
    <s v="User Not Mapped"/>
    <s v="User Not Mapped"/>
    <n v="228553"/>
    <s v="Afajuddin Miya"/>
    <s v="Private Retailer"/>
    <s v="8972270251"/>
    <n v="0.15"/>
    <n v="460"/>
    <x v="0"/>
    <m/>
    <s v="2025-01-15"/>
    <s v="1213389"/>
    <s v="MAA KALI FERTILIZER"/>
    <s v="9933179116"/>
  </r>
  <r>
    <s v="RCF Import"/>
    <s v="MOP"/>
    <s v="WB"/>
    <x v="6"/>
    <s v="Dinhata - I"/>
    <s v="User Not Mapped"/>
    <s v="User Not Mapped"/>
    <s v="User Not Mapped"/>
    <n v="1463133"/>
    <s v="Bhudeb Hisabia"/>
    <s v="Private Retailer"/>
    <s v="9775547805"/>
    <n v="0.25"/>
    <n v="441"/>
    <x v="0"/>
    <m/>
    <s v="2025-02-03"/>
    <s v="1213389"/>
    <s v="MAA KALI FERTILIZER"/>
    <s v="9933179116"/>
  </r>
  <r>
    <s v="RCF Thal"/>
    <s v="N.C.Urea(45kg)"/>
    <s v="WB"/>
    <x v="6"/>
    <s v="Dinhata - II"/>
    <s v="User Not Mapped"/>
    <s v="User Not Mapped"/>
    <s v="User Not Mapped"/>
    <n v="288250"/>
    <s v="JAHANGIR HOSSAIN"/>
    <s v="Private Retailer"/>
    <s v="9932315458"/>
    <n v="1.8"/>
    <n v="39"/>
    <x v="3"/>
    <m/>
    <s v="2026-03-12"/>
    <s v="1213389"/>
    <s v="MAA KALI FERTILIZER"/>
    <s v="9933179116"/>
  </r>
  <r>
    <s v="RCF Import"/>
    <s v="MOP"/>
    <s v="WB"/>
    <x v="6"/>
    <s v="Dinhata - I"/>
    <s v="User Not Mapped"/>
    <s v="User Not Mapped"/>
    <s v="User Not Mapped"/>
    <n v="1035467"/>
    <s v="M/S RAUSAN FERTILIZER"/>
    <s v="Private Retailer"/>
    <s v="9932227907"/>
    <n v="0.25"/>
    <n v="483"/>
    <x v="0"/>
    <m/>
    <s v="2024-12-23"/>
    <s v="1213389"/>
    <s v="MAA KALI FERTILIZER"/>
    <s v="9933179116"/>
  </r>
  <r>
    <s v="RCF Thal"/>
    <s v="N.C.Urea(45kg)"/>
    <s v="WB"/>
    <x v="6"/>
    <s v="Dinhata - I"/>
    <s v="User Not Mapped"/>
    <s v="User Not Mapped"/>
    <s v="User Not Mapped"/>
    <n v="1035467"/>
    <s v="M/S RAUSAN FERTILIZER"/>
    <s v="Private Retailer"/>
    <s v="9932227907"/>
    <n v="4.4999999999999998E-2"/>
    <n v="1197"/>
    <x v="2"/>
    <m/>
    <s v="2023-01-09"/>
    <s v="1213389"/>
    <s v="MAA KALI FERTILIZER"/>
    <s v="9933179116"/>
  </r>
  <r>
    <s v="RCF Import"/>
    <s v="MOP"/>
    <s v="WB"/>
    <x v="6"/>
    <s v="Dinhata - II"/>
    <s v="User Not Mapped"/>
    <s v="User Not Mapped"/>
    <s v="User Not Mapped"/>
    <n v="250888"/>
    <s v="M/s. Abdul Latif Miya"/>
    <s v="Private Retailer"/>
    <s v="9093591306"/>
    <n v="0.25"/>
    <n v="391"/>
    <x v="0"/>
    <m/>
    <s v="2025-03-25"/>
    <s v="1213389"/>
    <s v="MAA KALI FERTILIZER"/>
    <s v="9933179116"/>
  </r>
  <r>
    <s v="RCF Import"/>
    <s v="MOP"/>
    <s v="WB"/>
    <x v="6"/>
    <s v="Dinhata - II"/>
    <s v="User Not Mapped"/>
    <s v="User Not Mapped"/>
    <s v="User Not Mapped"/>
    <n v="250888"/>
    <s v="M/s. Abdul Latif Miya"/>
    <s v="Private Retailer"/>
    <s v="9093591306"/>
    <n v="0.1"/>
    <n v="399"/>
    <x v="0"/>
    <m/>
    <s v="2025-03-17"/>
    <s v="1213389"/>
    <s v="MAA KALI FERTILIZER"/>
    <s v="9933179116"/>
  </r>
  <r>
    <s v="RCF Import"/>
    <s v="MOP"/>
    <s v="WB"/>
    <x v="6"/>
    <s v="Dinhata - II"/>
    <s v="User Not Mapped"/>
    <s v="User Not Mapped"/>
    <s v="User Not Mapped"/>
    <n v="489064"/>
    <s v="Paresh Chandra Biswas"/>
    <s v="Private Retailer"/>
    <s v="9002462060"/>
    <n v="0.1"/>
    <n v="489"/>
    <x v="0"/>
    <m/>
    <s v="2024-12-17"/>
    <s v="1213389"/>
    <s v="MAA KALI FERTILIZER"/>
    <s v="9933179116"/>
  </r>
  <r>
    <s v="RCF Import"/>
    <s v="MOP"/>
    <s v="WB"/>
    <x v="6"/>
    <s v="Dinhata - I"/>
    <s v="User Not Mapped"/>
    <s v="User Not Mapped"/>
    <s v="User Not Mapped"/>
    <n v="484231"/>
    <s v="SAGAR FERTILIZER"/>
    <s v="Private Retailer"/>
    <s v="9002203551"/>
    <n v="0.05"/>
    <n v="357"/>
    <x v="1"/>
    <m/>
    <s v="2025-04-28"/>
    <s v="1213389"/>
    <s v="MAA KALI FERTILIZER"/>
    <s v="9933179116"/>
  </r>
  <r>
    <s v="RCF Import"/>
    <s v="MOP"/>
    <s v="WB"/>
    <x v="6"/>
    <s v="Dinhata - II"/>
    <s v="User Not Mapped"/>
    <s v="User Not Mapped"/>
    <s v="User Not Mapped"/>
    <n v="1225679"/>
    <s v="SAIDUL HAQUE"/>
    <s v="Private Retailer"/>
    <s v="9382495758"/>
    <n v="0.25"/>
    <n v="423"/>
    <x v="0"/>
    <m/>
    <s v="2025-02-21"/>
    <s v="1213389"/>
    <s v="MAA KALI FERTILIZER"/>
    <s v="9933179116"/>
  </r>
  <r>
    <s v="RCF Import"/>
    <s v="MOP"/>
    <s v="WB"/>
    <x v="6"/>
    <s v="Dinhata - II"/>
    <s v="User Not Mapped"/>
    <s v="User Not Mapped"/>
    <s v="User Not Mapped"/>
    <n v="1225679"/>
    <s v="SAIDUL HAQUE"/>
    <s v="Private Retailer"/>
    <s v="9382495758"/>
    <n v="0.5"/>
    <n v="447"/>
    <x v="0"/>
    <m/>
    <s v="2025-01-28"/>
    <s v="1213389"/>
    <s v="MAA KALI FERTILIZER"/>
    <s v="9933179116"/>
  </r>
  <r>
    <s v="RCF Thal"/>
    <s v="N.C.Urea(45kg)"/>
    <s v="WB"/>
    <x v="6"/>
    <s v="Dinhata - II"/>
    <s v="User Not Mapped"/>
    <s v="User Not Mapped"/>
    <s v="User Not Mapped"/>
    <n v="307178"/>
    <s v="Sunil Chandra Paul"/>
    <s v="Private Retailer"/>
    <s v="8906215642"/>
    <n v="1.17"/>
    <n v="41"/>
    <x v="3"/>
    <m/>
    <s v="2026-03-10"/>
    <s v="1213389"/>
    <s v="MAA KALI FERTILIZER"/>
    <s v="9933179116"/>
  </r>
  <r>
    <s v="RCF Import"/>
    <s v="MOP"/>
    <s v="WB"/>
    <x v="6"/>
    <s v="Dinhata - I"/>
    <s v="User Not Mapped"/>
    <s v="User Not Mapped"/>
    <s v="User Not Mapped"/>
    <n v="489070"/>
    <s v="Sushendra Barman"/>
    <s v="Private Retailer"/>
    <s v="9547707536"/>
    <n v="0.5"/>
    <n v="357"/>
    <x v="1"/>
    <m/>
    <s v="2025-04-28"/>
    <s v="1213389"/>
    <s v="MAA KALI FERTILIZER"/>
    <s v="9933179116"/>
  </r>
  <r>
    <s v="RCF Thal"/>
    <s v="N.C.Urea(45kg)"/>
    <s v="WB"/>
    <x v="6"/>
    <s v="Cooch Behar - I"/>
    <s v="User Not Mapped"/>
    <s v="User Not Mapped"/>
    <s v="User Not Mapped"/>
    <n v="877352"/>
    <s v="M/S NARAYAN FERTILIZER"/>
    <s v="Private Retailer"/>
    <s v="9735335987"/>
    <n v="0.09"/>
    <n v="1918"/>
    <x v="2"/>
    <m/>
    <s v="2021-01-18"/>
    <s v="323482"/>
    <s v="Narayan Chandra Sarkar"/>
    <s v="9647835645"/>
  </r>
  <r>
    <s v="RCF Trombay"/>
    <s v="N.C.Urea(45kg)"/>
    <s v="WB"/>
    <x v="6"/>
    <s v="Cooch Behar - I"/>
    <s v="User Not Mapped"/>
    <s v="User Not Mapped"/>
    <s v="User Not Mapped"/>
    <n v="877352"/>
    <s v="M/S NARAYAN FERTILIZER"/>
    <s v="Private Retailer"/>
    <s v="9735335987"/>
    <n v="0.57599999999999996"/>
    <n v="1968"/>
    <x v="2"/>
    <m/>
    <s v="2020-11-29"/>
    <s v="323482"/>
    <s v="Narayan Chandra Sarkar"/>
    <s v="9647835645"/>
  </r>
  <r>
    <s v="RCF Trombay"/>
    <s v="15-15-15"/>
    <s v="WB"/>
    <x v="6"/>
    <s v="Mathabhanga - I"/>
    <s v="User Not Mapped"/>
    <s v="User Not Mapped"/>
    <s v="User Not Mapped"/>
    <n v="1475611"/>
    <s v="Barodola F.P.C.Ltd"/>
    <s v="Private Retailer"/>
    <s v="8918110445"/>
    <n v="1.1000000000000001"/>
    <n v="469"/>
    <x v="0"/>
    <m/>
    <s v="2025-01-06"/>
    <s v="619180"/>
    <s v="NIRMAL ENTERPRISE"/>
    <s v="9674571163"/>
  </r>
  <r>
    <s v="RCF Trombay"/>
    <s v="15-15-15"/>
    <s v="WB"/>
    <x v="6"/>
    <s v="Mathabhanga - II"/>
    <s v="User Not Mapped"/>
    <s v="User Not Mapped"/>
    <s v="User Not Mapped"/>
    <n v="657341"/>
    <s v="M/S KRISHNA KANTADAS"/>
    <s v="Private Retailer"/>
    <s v="9635367511"/>
    <n v="0.85"/>
    <n v="16"/>
    <x v="5"/>
    <m/>
    <s v="2026-04-04"/>
    <s v="619180"/>
    <s v="NIRMAL ENTERPRISE"/>
    <s v="9674571163"/>
  </r>
  <r>
    <s v="RCF Trombay"/>
    <s v="15-15-15"/>
    <s v="WB"/>
    <x v="6"/>
    <s v="Mathabhanga - II"/>
    <s v="User Not Mapped"/>
    <s v="User Not Mapped"/>
    <s v="User Not Mapped"/>
    <n v="657341"/>
    <s v="M/S KRISHNA KANTADAS"/>
    <s v="Private Retailer"/>
    <s v="9635367511"/>
    <n v="1.5"/>
    <n v="14"/>
    <x v="5"/>
    <m/>
    <s v="2026-04-06"/>
    <s v="619180"/>
    <s v="NIRMAL ENTERPRISE"/>
    <s v="9674571163"/>
  </r>
  <r>
    <s v="RCF Trombay"/>
    <s v="15-15-15"/>
    <s v="WB"/>
    <x v="6"/>
    <s v="Mathabhanga - I"/>
    <s v="User Not Mapped"/>
    <s v="User Not Mapped"/>
    <s v="User Not Mapped"/>
    <n v="907409"/>
    <s v="M/s. New Kishan Fertiliser"/>
    <s v="Private Retailer"/>
    <s v="7602212689"/>
    <n v="3"/>
    <n v="449"/>
    <x v="0"/>
    <m/>
    <s v="2025-01-26"/>
    <s v="619180"/>
    <s v="NIRMAL ENTERPRISE"/>
    <s v="9674571163"/>
  </r>
  <r>
    <s v="RCF Trombay"/>
    <s v="15-15-15"/>
    <s v="WB"/>
    <x v="6"/>
    <s v="Mathabhanga - I"/>
    <s v="User Not Mapped"/>
    <s v="User Not Mapped"/>
    <s v="User Not Mapped"/>
    <n v="907409"/>
    <s v="M/s. New Kishan Fertiliser"/>
    <s v="Private Retailer"/>
    <s v="7602212689"/>
    <n v="1.5"/>
    <n v="462"/>
    <x v="0"/>
    <m/>
    <s v="2025-01-13"/>
    <s v="619180"/>
    <s v="NIRMAL ENTERPRISE"/>
    <s v="9674571163"/>
  </r>
  <r>
    <s v="RCF Trombay"/>
    <s v="15-15-15"/>
    <s v="WB"/>
    <x v="6"/>
    <s v="Mathabhanga - I"/>
    <s v="User Not Mapped"/>
    <s v="User Not Mapped"/>
    <s v="User Not Mapped"/>
    <n v="415221"/>
    <s v="Maminur Hossain"/>
    <s v="Private Retailer"/>
    <s v="9641297694"/>
    <n v="0.05"/>
    <n v="457"/>
    <x v="0"/>
    <m/>
    <s v="2025-01-18"/>
    <s v="619180"/>
    <s v="NIRMAL ENTERPRISE"/>
    <s v="9674571163"/>
  </r>
  <r>
    <s v="RCF Trombay"/>
    <s v="15-15-15"/>
    <s v="WB"/>
    <x v="6"/>
    <s v="Cooch Behar - I"/>
    <s v="User Not Mapped"/>
    <s v="User Not Mapped"/>
    <s v="User Not Mapped"/>
    <n v="228735"/>
    <s v="MANOBENDRA DHAR"/>
    <s v="Private Retailer"/>
    <s v="9932581676"/>
    <n v="0.75"/>
    <n v="469"/>
    <x v="0"/>
    <m/>
    <s v="2025-01-06"/>
    <s v="619180"/>
    <s v="NIRMAL ENTERPRISE"/>
    <s v="9674571163"/>
  </r>
  <r>
    <s v="RCF Trombay"/>
    <s v="N.C.Urea(45kg)"/>
    <s v="WB"/>
    <x v="6"/>
    <s v="Cooch Behar - I"/>
    <s v="User Not Mapped"/>
    <s v="User Not Mapped"/>
    <s v="User Not Mapped"/>
    <n v="260048"/>
    <s v="Raja Fertilizers(Cbh)"/>
    <s v="Private Wholsaler"/>
    <s v="7602178949"/>
    <n v="0.56499999999999995"/>
    <n v="70"/>
    <x v="6"/>
    <s v="'RF/ST/794'"/>
    <s v="2026-02-09"/>
    <s v="214210"/>
    <s v="Raja Fertilizer"/>
    <s v="8370801459"/>
  </r>
  <r>
    <s v="RCF Thal"/>
    <s v="N.C.Urea(45kg)"/>
    <s v="WB"/>
    <x v="6"/>
    <s v="Cooch Behar - I"/>
    <s v="User Not Mapped"/>
    <s v="User Not Mapped"/>
    <s v="User Not Mapped"/>
    <n v="260048"/>
    <s v="Raja Fertilizers(Cbh)"/>
    <s v="Private Wholsaler"/>
    <s v="7602178949"/>
    <n v="4.9749999999999996"/>
    <n v="33"/>
    <x v="3"/>
    <s v="'RF/ST/913'"/>
    <s v="2026-03-18"/>
    <s v="214210"/>
    <s v="Raja Fertilizer"/>
    <s v="8370801459"/>
  </r>
  <r>
    <s v="RCF Trombay"/>
    <s v="15-15-15"/>
    <s v="WB"/>
    <x v="6"/>
    <s v="Cooch Behar - I"/>
    <s v="User Not Mapped"/>
    <s v="User Not Mapped"/>
    <s v="User Not Mapped"/>
    <n v="260048"/>
    <s v="Raja Fertilizers(Cbh)"/>
    <s v="Private Wholsaler"/>
    <s v="7602178949"/>
    <n v="24.8"/>
    <n v="6"/>
    <x v="5"/>
    <s v="'RF/ST/561'"/>
    <s v="2026-04-14"/>
    <s v="214210"/>
    <s v="Raja Fertilizer"/>
    <s v="8370801459"/>
  </r>
  <r>
    <s v="RCF Thal"/>
    <s v="N.C.Urea(45kg)"/>
    <s v="WB"/>
    <x v="6"/>
    <s v="Dinhata - II"/>
    <s v="User Not Mapped"/>
    <s v="User Not Mapped"/>
    <s v="User Not Mapped"/>
    <n v="489052"/>
    <s v="Abdul Gani"/>
    <s v="Private Retailer"/>
    <s v="8967891315"/>
    <n v="0.63"/>
    <n v="46"/>
    <x v="3"/>
    <m/>
    <s v="2026-03-05"/>
    <s v="260048"/>
    <s v="Raja Fertilizers(Cbh)"/>
    <s v="7602178949"/>
  </r>
  <r>
    <s v="RCF Import"/>
    <s v="MOP"/>
    <s v="WB"/>
    <x v="6"/>
    <s v="Mathabhanga - I"/>
    <s v="User Not Mapped"/>
    <s v="User Not Mapped"/>
    <s v="User Not Mapped"/>
    <n v="228223"/>
    <s v="Abdul Gofur Rahaman"/>
    <s v="Private Retailer"/>
    <s v="9832193255"/>
    <n v="0.35"/>
    <n v="577"/>
    <x v="2"/>
    <m/>
    <s v="2024-09-20"/>
    <s v="260048"/>
    <s v="Raja Fertilizers(Cbh)"/>
    <s v="7602178949"/>
  </r>
  <r>
    <s v="RCF Trombay"/>
    <s v="15-15-15"/>
    <s v="WB"/>
    <x v="6"/>
    <s v="Mathabhanga - II"/>
    <s v="User Not Mapped"/>
    <s v="User Not Mapped"/>
    <s v="User Not Mapped"/>
    <n v="1094012"/>
    <s v="Anoyar Hossain"/>
    <s v="Private Retailer"/>
    <s v="9832591591"/>
    <n v="0.25"/>
    <n v="21"/>
    <x v="5"/>
    <m/>
    <s v="2026-03-30"/>
    <s v="260048"/>
    <s v="Raja Fertilizers(Cbh)"/>
    <s v="7602178949"/>
  </r>
  <r>
    <s v="RCF Trombay"/>
    <s v="15-15-15"/>
    <s v="WB"/>
    <x v="6"/>
    <s v="Mathabhanga - II"/>
    <s v="User Not Mapped"/>
    <s v="User Not Mapped"/>
    <s v="User Not Mapped"/>
    <n v="1094012"/>
    <s v="Anoyar Hossain"/>
    <s v="Private Retailer"/>
    <s v="9832591591"/>
    <n v="0.35"/>
    <n v="151"/>
    <x v="4"/>
    <m/>
    <s v="2025-11-20"/>
    <s v="260048"/>
    <s v="Raja Fertilizers(Cbh)"/>
    <s v="7602178949"/>
  </r>
  <r>
    <s v="RCF Trombay"/>
    <s v="15-15-15"/>
    <s v="WB"/>
    <x v="6"/>
    <s v="Mathabhanga - II"/>
    <s v="User Not Mapped"/>
    <s v="User Not Mapped"/>
    <s v="User Not Mapped"/>
    <n v="354465"/>
    <s v="Ashis Das"/>
    <s v="Private Retailer"/>
    <s v="9733214282"/>
    <n v="2"/>
    <n v="65"/>
    <x v="6"/>
    <m/>
    <s v="2026-02-14"/>
    <s v="260048"/>
    <s v="Raja Fertilizers(Cbh)"/>
    <s v="7602178949"/>
  </r>
  <r>
    <s v="RCF Trombay"/>
    <s v="15-15-15"/>
    <s v="WB"/>
    <x v="6"/>
    <s v="Mathabhanga - II"/>
    <s v="User Not Mapped"/>
    <s v="User Not Mapped"/>
    <s v="User Not Mapped"/>
    <n v="354465"/>
    <s v="Ashis Das"/>
    <s v="Private Retailer"/>
    <s v="9733214282"/>
    <n v="2"/>
    <n v="67"/>
    <x v="6"/>
    <m/>
    <s v="2026-02-12"/>
    <s v="260048"/>
    <s v="Raja Fertilizers(Cbh)"/>
    <s v="7602178949"/>
  </r>
  <r>
    <s v="RCF Trombay"/>
    <s v="N.C.Urea(45kg)"/>
    <s v="WB"/>
    <x v="6"/>
    <s v="Cooch Behar - II"/>
    <s v="User Not Mapped"/>
    <s v="User Not Mapped"/>
    <s v="User Not Mapped"/>
    <n v="394660"/>
    <s v="Bandana Dey"/>
    <s v="Private Retailer"/>
    <s v="8016770232"/>
    <n v="2.4750000000000001"/>
    <n v="67"/>
    <x v="6"/>
    <m/>
    <s v="2026-02-12"/>
    <s v="260048"/>
    <s v="Raja Fertilizers(Cbh)"/>
    <s v="7602178949"/>
  </r>
  <r>
    <s v="RCF Trombay"/>
    <s v="15-15-15"/>
    <s v="WB"/>
    <x v="6"/>
    <s v="Mathabhanga - II"/>
    <s v="User Not Mapped"/>
    <s v="User Not Mapped"/>
    <s v="User Not Mapped"/>
    <n v="1549780"/>
    <s v="Bani Fertilizer"/>
    <s v="Private Retailer"/>
    <s v="9749050443"/>
    <n v="0.05"/>
    <n v="203"/>
    <x v="1"/>
    <m/>
    <s v="2025-09-29"/>
    <s v="260048"/>
    <s v="Raja Fertilizers(Cbh)"/>
    <s v="7602178949"/>
  </r>
  <r>
    <s v="RCF Trombay"/>
    <s v="15-15-15"/>
    <s v="WB"/>
    <x v="6"/>
    <s v="Mathabhanga - II"/>
    <s v="User Not Mapped"/>
    <s v="User Not Mapped"/>
    <s v="User Not Mapped"/>
    <n v="635820"/>
    <s v="BIMAL PAUL"/>
    <s v="Private Retailer"/>
    <s v="9733936505"/>
    <n v="0.25"/>
    <n v="18"/>
    <x v="5"/>
    <m/>
    <s v="2026-04-02"/>
    <s v="260048"/>
    <s v="Raja Fertilizers(Cbh)"/>
    <s v="7602178949"/>
  </r>
  <r>
    <s v="RCF Thal"/>
    <s v="N.C.Urea(45kg)"/>
    <s v="WB"/>
    <x v="6"/>
    <m/>
    <s v="User Not Mapped"/>
    <s v="User Not Mapped"/>
    <s v="User Not Mapped"/>
    <n v="1214856"/>
    <s v="BIMAL SARKAR"/>
    <s v="Private Retailer"/>
    <s v="9002585593"/>
    <n v="2.25"/>
    <n v="46"/>
    <x v="3"/>
    <m/>
    <s v="2026-03-05"/>
    <s v="260048"/>
    <s v="Raja Fertilizers(Cbh)"/>
    <s v="7602178949"/>
  </r>
  <r>
    <s v="RCF Trombay"/>
    <s v="15-15-15"/>
    <s v="WB"/>
    <x v="6"/>
    <s v="Mathabhanga - I"/>
    <s v="User Not Mapped"/>
    <s v="User Not Mapped"/>
    <s v="User Not Mapped"/>
    <n v="966365"/>
    <s v="BISWAJIT BARMAN"/>
    <s v="Private Retailer"/>
    <s v="8016630674"/>
    <n v="0.45"/>
    <n v="763"/>
    <x v="2"/>
    <m/>
    <s v="2024-03-18"/>
    <s v="260048"/>
    <s v="Raja Fertilizers(Cbh)"/>
    <s v="7602178949"/>
  </r>
  <r>
    <s v="RCF Thal"/>
    <s v="N.C.Urea(45kg)"/>
    <s v="WB"/>
    <x v="6"/>
    <s v="Cooch Behar - I"/>
    <s v="User Not Mapped"/>
    <s v="User Not Mapped"/>
    <s v="User Not Mapped"/>
    <n v="540829"/>
    <s v="Chandamari Fertiliser"/>
    <s v="Private Retailer"/>
    <s v="9933567985"/>
    <n v="6.21"/>
    <n v="46"/>
    <x v="3"/>
    <m/>
    <s v="2026-03-05"/>
    <s v="260048"/>
    <s v="Raja Fertilizers(Cbh)"/>
    <s v="7602178949"/>
  </r>
  <r>
    <s v="RCF Thal"/>
    <s v="N.C.Urea(45kg)"/>
    <s v="WB"/>
    <x v="6"/>
    <s v="Dinhata - II"/>
    <s v="User Not Mapped"/>
    <s v="User Not Mapped"/>
    <s v="User Not Mapped"/>
    <n v="489054"/>
    <s v="Eakramul Haque"/>
    <s v="Private Retailer"/>
    <s v="9547099348"/>
    <n v="2.4300000000000002"/>
    <n v="46"/>
    <x v="3"/>
    <m/>
    <s v="2026-03-05"/>
    <s v="260048"/>
    <s v="Raja Fertilizers(Cbh)"/>
    <s v="7602178949"/>
  </r>
  <r>
    <s v="RCF Trombay"/>
    <s v="15-15-15"/>
    <s v="WB"/>
    <x v="6"/>
    <s v="Cooch Behar - II"/>
    <s v="User Not Mapped"/>
    <s v="User Not Mapped"/>
    <s v="User Not Mapped"/>
    <n v="814767"/>
    <s v="FARUQUE AHMED"/>
    <s v="Private Retailer"/>
    <s v="9679081794"/>
    <n v="4"/>
    <n v="125"/>
    <x v="4"/>
    <m/>
    <s v="2025-12-16"/>
    <s v="260048"/>
    <s v="Raja Fertilizers(Cbh)"/>
    <s v="7602178949"/>
  </r>
  <r>
    <s v="RCF Trombay"/>
    <s v="15-15-15"/>
    <s v="WB"/>
    <x v="6"/>
    <s v="Mathabhanga - II"/>
    <s v="User Not Mapped"/>
    <s v="User Not Mapped"/>
    <s v="User Not Mapped"/>
    <n v="974668"/>
    <s v="Harish Dey"/>
    <s v="Private Retailer"/>
    <s v="9932913311"/>
    <n v="0.75"/>
    <n v="193"/>
    <x v="1"/>
    <m/>
    <s v="2025-10-09"/>
    <s v="260048"/>
    <s v="Raja Fertilizers(Cbh)"/>
    <s v="7602178949"/>
  </r>
  <r>
    <s v="RCF Trombay"/>
    <s v="15-15-15"/>
    <s v="WB"/>
    <x v="6"/>
    <s v="Mathabhanga - I"/>
    <s v="User Not Mapped"/>
    <s v="User Not Mapped"/>
    <s v="User Not Mapped"/>
    <n v="300566"/>
    <s v="Jagadish Ghosh"/>
    <s v="Private Retailer"/>
    <s v="9800292907"/>
    <n v="5"/>
    <n v="74"/>
    <x v="6"/>
    <m/>
    <s v="2026-02-05"/>
    <s v="260048"/>
    <s v="Raja Fertilizers(Cbh)"/>
    <s v="7602178949"/>
  </r>
  <r>
    <s v="RCF Trombay"/>
    <s v="15-15-15"/>
    <s v="WB"/>
    <x v="6"/>
    <s v="Mathabhanga - II"/>
    <s v="User Not Mapped"/>
    <s v="User Not Mapped"/>
    <s v="User Not Mapped"/>
    <n v="1515536"/>
    <s v="Jeet Fertilizers"/>
    <s v="Private Retailer"/>
    <s v="6295329199"/>
    <n v="0.1"/>
    <n v="49"/>
    <x v="3"/>
    <m/>
    <s v="2026-03-02"/>
    <s v="260048"/>
    <s v="Raja Fertilizers(Cbh)"/>
    <s v="7602178949"/>
  </r>
  <r>
    <s v="RCF Thal"/>
    <s v="N.C.Urea(45kg)"/>
    <s v="WB"/>
    <x v="6"/>
    <s v="Sitalkuchi"/>
    <s v="User Not Mapped"/>
    <s v="User Not Mapped"/>
    <s v="User Not Mapped"/>
    <n v="1520686"/>
    <s v="Jeni Fertilizer"/>
    <s v="Private Retailer"/>
    <s v="9547068771"/>
    <n v="4.4999999999999998E-2"/>
    <n v="133"/>
    <x v="4"/>
    <m/>
    <s v="2025-12-08"/>
    <s v="260048"/>
    <s v="Raja Fertilizers(Cbh)"/>
    <s v="7602178949"/>
  </r>
  <r>
    <s v="RCF Trombay"/>
    <s v="15-15-15"/>
    <s v="WB"/>
    <x v="6"/>
    <s v="Mathabhanga - I"/>
    <s v="User Not Mapped"/>
    <s v="User Not Mapped"/>
    <s v="User Not Mapped"/>
    <n v="913599"/>
    <s v="Jhantu Chandra Ray"/>
    <s v="Private Retailer"/>
    <s v="7063783246"/>
    <n v="0.25"/>
    <n v="254"/>
    <x v="1"/>
    <m/>
    <s v="2025-08-09"/>
    <s v="260048"/>
    <s v="Raja Fertilizers(Cbh)"/>
    <s v="7602178949"/>
  </r>
  <r>
    <s v="RCF Trombay"/>
    <s v="15-15-15"/>
    <s v="WB"/>
    <x v="6"/>
    <s v="Mathabhanga - I"/>
    <s v="User Not Mapped"/>
    <s v="User Not Mapped"/>
    <s v="User Not Mapped"/>
    <n v="480957"/>
    <s v="Kishan Fertilizer"/>
    <s v="Private Retailer"/>
    <s v="7797820947"/>
    <n v="10"/>
    <n v="74"/>
    <x v="6"/>
    <m/>
    <s v="2026-02-05"/>
    <s v="260048"/>
    <s v="Raja Fertilizers(Cbh)"/>
    <s v="7602178949"/>
  </r>
  <r>
    <s v="RCF Thal"/>
    <s v="N.C.Urea(45kg)"/>
    <s v="WB"/>
    <x v="6"/>
    <s v="Sitai"/>
    <s v="User Not Mapped"/>
    <s v="User Not Mapped"/>
    <s v="User Not Mapped"/>
    <n v="1098525"/>
    <s v="M/S ABDUL RAHAMAN HAQUE"/>
    <s v="Private Wholsaler"/>
    <s v="8116824875"/>
    <n v="25.065000000000001"/>
    <n v="41"/>
    <x v="3"/>
    <s v="'RF/C/25-26/2516'"/>
    <s v="2026-03-10"/>
    <s v="260048"/>
    <s v="Raja Fertilizers(Cbh)"/>
    <s v="7602178949"/>
  </r>
  <r>
    <s v="RCF Thal"/>
    <s v="N.C.Urea(45kg)"/>
    <s v="WB"/>
    <x v="6"/>
    <s v="Tufanganj - I"/>
    <s v="User Not Mapped"/>
    <s v="User Not Mapped"/>
    <s v="User Not Mapped"/>
    <n v="655407"/>
    <s v="M/S ASHRAFUL ALAM"/>
    <s v="Private Retailer"/>
    <s v="9002985325"/>
    <n v="0.63"/>
    <n v="33"/>
    <x v="3"/>
    <m/>
    <s v="2026-03-18"/>
    <s v="260048"/>
    <s v="Raja Fertilizers(Cbh)"/>
    <s v="7602178949"/>
  </r>
  <r>
    <s v="RCF Thal"/>
    <s v="N.C.Urea(45kg)"/>
    <s v="WB"/>
    <x v="6"/>
    <s v="Tufanganj - I"/>
    <s v="User Not Mapped"/>
    <s v="User Not Mapped"/>
    <s v="User Not Mapped"/>
    <n v="655407"/>
    <s v="M/S ASHRAFUL ALAM"/>
    <s v="Private Retailer"/>
    <s v="9002985325"/>
    <n v="0.63"/>
    <n v="42"/>
    <x v="3"/>
    <m/>
    <s v="2026-03-09"/>
    <s v="260048"/>
    <s v="Raja Fertilizers(Cbh)"/>
    <s v="7602178949"/>
  </r>
  <r>
    <s v="RCF Trombay"/>
    <s v="N.C.Urea(45kg)"/>
    <s v="WB"/>
    <x v="6"/>
    <s v="Mathabhanga - II"/>
    <s v="User Not Mapped"/>
    <s v="User Not Mapped"/>
    <s v="User Not Mapped"/>
    <n v="917296"/>
    <s v="M/S BARMAN FERTILIZER"/>
    <s v="Private Retailer"/>
    <s v="8370819580"/>
    <n v="0.495"/>
    <n v="70"/>
    <x v="6"/>
    <m/>
    <s v="2026-02-09"/>
    <s v="260048"/>
    <s v="Raja Fertilizers(Cbh)"/>
    <s v="7602178949"/>
  </r>
  <r>
    <s v="RCF Thal"/>
    <s v="N.C.Urea(45kg)"/>
    <s v="WB"/>
    <x v="6"/>
    <s v="Tufanganj - I"/>
    <s v="User Not Mapped"/>
    <s v="User Not Mapped"/>
    <s v="User Not Mapped"/>
    <n v="228563"/>
    <s v="M/S GREEN HOME"/>
    <s v="Private Retailer"/>
    <s v="9547626773"/>
    <n v="0.9"/>
    <n v="33"/>
    <x v="3"/>
    <m/>
    <s v="2026-03-18"/>
    <s v="260048"/>
    <s v="Raja Fertilizers(Cbh)"/>
    <s v="7602178949"/>
  </r>
  <r>
    <s v="RCF Trombay"/>
    <s v="15-15-15"/>
    <s v="WB"/>
    <x v="6"/>
    <s v="Cooch Behar - I"/>
    <s v="User Not Mapped"/>
    <s v="User Not Mapped"/>
    <s v="User Not Mapped"/>
    <n v="877352"/>
    <s v="M/S NARAYAN FERTILIZER"/>
    <s v="Private Retailer"/>
    <s v="9735335987"/>
    <n v="0.79400000000000004"/>
    <n v="871"/>
    <x v="2"/>
    <m/>
    <s v="2023-12-01"/>
    <s v="260048"/>
    <s v="Raja Fertilizers(Cbh)"/>
    <s v="7602178949"/>
  </r>
  <r>
    <s v="RCF Thal"/>
    <s v="N.C.Urea(45kg)"/>
    <s v="WB"/>
    <x v="6"/>
    <s v="Tufanganj - I"/>
    <s v="User Not Mapped"/>
    <s v="User Not Mapped"/>
    <s v="User Not Mapped"/>
    <n v="653568"/>
    <s v="M/S SAMIM ABEDIN"/>
    <s v="Private Retailer"/>
    <s v="9563871687"/>
    <n v="8.01"/>
    <n v="41"/>
    <x v="3"/>
    <m/>
    <s v="2026-03-10"/>
    <s v="260048"/>
    <s v="Raja Fertilizers(Cbh)"/>
    <s v="7602178949"/>
  </r>
  <r>
    <s v="RCF Trombay"/>
    <s v="N.C.Urea(45kg)"/>
    <s v="WB"/>
    <x v="6"/>
    <s v="Mathabhanga - II"/>
    <s v="User Not Mapped"/>
    <s v="User Not Mapped"/>
    <s v="User Not Mapped"/>
    <n v="870278"/>
    <s v="M/S SHANUR ALAM"/>
    <s v="Private Retailer"/>
    <s v="9800615622"/>
    <n v="0.9"/>
    <n v="67"/>
    <x v="6"/>
    <m/>
    <s v="2026-02-12"/>
    <s v="260048"/>
    <s v="Raja Fertilizers(Cbh)"/>
    <s v="7602178949"/>
  </r>
  <r>
    <s v="RCF Trombay"/>
    <s v="15-15-15"/>
    <s v="WB"/>
    <x v="6"/>
    <s v="Mathabhanga - II"/>
    <s v="User Not Mapped"/>
    <s v="User Not Mapped"/>
    <s v="User Not Mapped"/>
    <n v="870278"/>
    <s v="M/S SHANUR ALAM"/>
    <s v="Private Retailer"/>
    <s v="9800615622"/>
    <n v="0.75"/>
    <n v="280"/>
    <x v="1"/>
    <m/>
    <s v="2025-07-14"/>
    <s v="260048"/>
    <s v="Raja Fertilizers(Cbh)"/>
    <s v="7602178949"/>
  </r>
  <r>
    <s v="RCF Trombay"/>
    <s v="N.C.Urea(45kg)"/>
    <s v="WB"/>
    <x v="6"/>
    <s v="Mathabhanga - II"/>
    <s v="User Not Mapped"/>
    <s v="User Not Mapped"/>
    <s v="User Not Mapped"/>
    <n v="870278"/>
    <s v="M/S SHANUR ALAM"/>
    <s v="Private Retailer"/>
    <s v="9800615622"/>
    <n v="2.7"/>
    <n v="70"/>
    <x v="6"/>
    <m/>
    <s v="2026-02-09"/>
    <s v="260048"/>
    <s v="Raja Fertilizers(Cbh)"/>
    <s v="7602178949"/>
  </r>
  <r>
    <s v="RCF Thal"/>
    <s v="N.C.Urea(45kg)"/>
    <s v="WB"/>
    <x v="6"/>
    <s v="Tufanganj - II"/>
    <s v="User Not Mapped"/>
    <s v="User Not Mapped"/>
    <s v="User Not Mapped"/>
    <n v="252660"/>
    <s v="M/s. Barman Fertilizer"/>
    <s v="Private Retailer"/>
    <s v="9635289690"/>
    <n v="10.305"/>
    <n v="41"/>
    <x v="3"/>
    <m/>
    <s v="2026-03-10"/>
    <s v="260048"/>
    <s v="Raja Fertilizers(Cbh)"/>
    <s v="7602178949"/>
  </r>
  <r>
    <s v="RCF Trombay"/>
    <s v="15-15-15"/>
    <s v="WB"/>
    <x v="6"/>
    <s v="Mathabhanga - II"/>
    <s v="User Not Mapped"/>
    <s v="User Not Mapped"/>
    <s v="User Not Mapped"/>
    <n v="344058"/>
    <s v="M/s. Kartik Barman"/>
    <s v="Private Retailer"/>
    <s v="8509199374"/>
    <n v="0.05"/>
    <n v="40"/>
    <x v="3"/>
    <m/>
    <s v="2026-03-11"/>
    <s v="260048"/>
    <s v="Raja Fertilizers(Cbh)"/>
    <s v="7602178949"/>
  </r>
  <r>
    <s v="RCF Trombay"/>
    <s v="15-15-15"/>
    <s v="WB"/>
    <x v="6"/>
    <s v="Mathabhanga - II"/>
    <s v="User Not Mapped"/>
    <s v="User Not Mapped"/>
    <s v="User Not Mapped"/>
    <n v="344058"/>
    <s v="M/s. Kartik Barman"/>
    <s v="Private Retailer"/>
    <s v="8509199374"/>
    <n v="0.1"/>
    <n v="35"/>
    <x v="3"/>
    <m/>
    <s v="2026-03-16"/>
    <s v="260048"/>
    <s v="Raja Fertilizers(Cbh)"/>
    <s v="7602178949"/>
  </r>
  <r>
    <s v="RCF Trombay"/>
    <s v="15-15-15"/>
    <s v="WB"/>
    <x v="6"/>
    <s v="Mathabhanga - II"/>
    <s v="User Not Mapped"/>
    <s v="User Not Mapped"/>
    <s v="User Not Mapped"/>
    <n v="344058"/>
    <s v="M/s. Kartik Barman"/>
    <s v="Private Retailer"/>
    <s v="8509199374"/>
    <n v="0.1"/>
    <n v="12"/>
    <x v="5"/>
    <m/>
    <s v="2026-04-08"/>
    <s v="260048"/>
    <s v="Raja Fertilizers(Cbh)"/>
    <s v="7602178949"/>
  </r>
  <r>
    <s v="RCF Thal"/>
    <s v="N.C.Urea(45kg)"/>
    <s v="WB"/>
    <x v="6"/>
    <s v="Mekliganj"/>
    <s v="User Not Mapped"/>
    <s v="User Not Mapped"/>
    <s v="User Not Mapped"/>
    <n v="759395"/>
    <s v="M/S. KOUSHIK ENTERPRISE"/>
    <s v="Private Retailer"/>
    <s v="9932497497"/>
    <n v="4.4999999999999998E-2"/>
    <n v="131"/>
    <x v="4"/>
    <m/>
    <s v="2025-12-10"/>
    <s v="260048"/>
    <s v="Raja Fertilizers(Cbh)"/>
    <s v="7602178949"/>
  </r>
  <r>
    <s v="RCF Thal"/>
    <s v="N.C.Urea(45kg)"/>
    <s v="WB"/>
    <x v="6"/>
    <s v="Tufanganj - II"/>
    <s v="User Not Mapped"/>
    <s v="User Not Mapped"/>
    <s v="User Not Mapped"/>
    <n v="271253"/>
    <s v="M/s. Krishna Kanta Barman"/>
    <s v="Private Retailer"/>
    <s v="8016109892"/>
    <n v="0.67500000000000004"/>
    <n v="41"/>
    <x v="3"/>
    <m/>
    <s v="2026-03-10"/>
    <s v="260048"/>
    <s v="Raja Fertilizers(Cbh)"/>
    <s v="7602178949"/>
  </r>
  <r>
    <s v="RCF Trombay"/>
    <s v="15-15-15"/>
    <s v="WB"/>
    <x v="6"/>
    <s v="Mathabhanga - II"/>
    <s v="User Not Mapped"/>
    <s v="User Not Mapped"/>
    <s v="User Not Mapped"/>
    <n v="355815"/>
    <s v="M/s. Niranjan Gope"/>
    <s v="Private Retailer"/>
    <s v="9563630686"/>
    <n v="0.25"/>
    <n v="12"/>
    <x v="5"/>
    <m/>
    <s v="2026-04-08"/>
    <s v="260048"/>
    <s v="Raja Fertilizers(Cbh)"/>
    <s v="7602178949"/>
  </r>
  <r>
    <s v="RCF Trombay"/>
    <s v="15-15-15"/>
    <s v="WB"/>
    <x v="6"/>
    <s v="Mathabhanga - II"/>
    <s v="User Not Mapped"/>
    <s v="User Not Mapped"/>
    <s v="User Not Mapped"/>
    <n v="355815"/>
    <s v="M/s. Niranjan Gope"/>
    <s v="Private Retailer"/>
    <s v="9563630686"/>
    <n v="0.1"/>
    <n v="42"/>
    <x v="3"/>
    <m/>
    <s v="2026-03-09"/>
    <s v="260048"/>
    <s v="Raja Fertilizers(Cbh)"/>
    <s v="7602178949"/>
  </r>
  <r>
    <s v="RCF Trombay"/>
    <s v="15-15-15"/>
    <s v="WB"/>
    <x v="6"/>
    <s v="Cooch Behar - II"/>
    <s v="User Not Mapped"/>
    <s v="User Not Mapped"/>
    <s v="User Not Mapped"/>
    <n v="888209"/>
    <s v="M/S. RAHAMAN FERTILIZER"/>
    <s v="Private Retailer"/>
    <s v="8250142890"/>
    <n v="5"/>
    <n v="100"/>
    <x v="7"/>
    <m/>
    <s v="2026-01-10"/>
    <s v="260048"/>
    <s v="Raja Fertilizers(Cbh)"/>
    <s v="7602178949"/>
  </r>
  <r>
    <s v="RCF Trombay"/>
    <s v="15-15-15"/>
    <s v="WB"/>
    <x v="6"/>
    <s v="Cooch Behar - II"/>
    <s v="User Not Mapped"/>
    <s v="User Not Mapped"/>
    <s v="User Not Mapped"/>
    <n v="888209"/>
    <s v="M/S. RAHAMAN FERTILIZER"/>
    <s v="Private Retailer"/>
    <s v="8250142890"/>
    <n v="9"/>
    <n v="101"/>
    <x v="7"/>
    <m/>
    <s v="2026-01-09"/>
    <s v="260048"/>
    <s v="Raja Fertilizers(Cbh)"/>
    <s v="7602178949"/>
  </r>
  <r>
    <s v="RCF Trombay"/>
    <s v="15-15-15"/>
    <s v="WB"/>
    <x v="6"/>
    <s v="Mathabhanga - II"/>
    <s v="User Not Mapped"/>
    <s v="User Not Mapped"/>
    <s v="User Not Mapped"/>
    <n v="1594945"/>
    <s v="M/s. Raja Fertiliser"/>
    <s v="Private Retailer"/>
    <s v="8145856151"/>
    <n v="0.25"/>
    <n v="65"/>
    <x v="6"/>
    <m/>
    <s v="2026-02-14"/>
    <s v="260048"/>
    <s v="Raja Fertilizers(Cbh)"/>
    <s v="7602178949"/>
  </r>
  <r>
    <s v="RCF Trombay"/>
    <s v="N.C.Urea(45kg)"/>
    <s v="WB"/>
    <x v="6"/>
    <s v="Mekliganj"/>
    <s v="User Not Mapped"/>
    <s v="User Not Mapped"/>
    <s v="User Not Mapped"/>
    <n v="1231919"/>
    <s v="M/S. ROY FERTILIZER"/>
    <s v="Private Retailer"/>
    <s v="9609895845"/>
    <n v="2.79"/>
    <n v="70"/>
    <x v="6"/>
    <m/>
    <s v="2026-02-09"/>
    <s v="260048"/>
    <s v="Raja Fertilizers(Cbh)"/>
    <s v="7602178949"/>
  </r>
  <r>
    <s v="RCF Thal"/>
    <s v="N.C.Urea(45kg)"/>
    <s v="WB"/>
    <x v="6"/>
    <s v="Mekliganj"/>
    <s v="User Not Mapped"/>
    <s v="User Not Mapped"/>
    <s v="User Not Mapped"/>
    <n v="1231919"/>
    <s v="M/S. ROY FERTILIZER"/>
    <s v="Private Retailer"/>
    <s v="9609895845"/>
    <n v="0.27"/>
    <n v="133"/>
    <x v="4"/>
    <m/>
    <s v="2025-12-08"/>
    <s v="260048"/>
    <s v="Raja Fertilizers(Cbh)"/>
    <s v="7602178949"/>
  </r>
  <r>
    <s v="RCF Trombay"/>
    <s v="N.C.Urea(45kg)"/>
    <s v="WB"/>
    <x v="6"/>
    <s v="Mathabhanga - II"/>
    <s v="User Not Mapped"/>
    <s v="User Not Mapped"/>
    <s v="User Not Mapped"/>
    <n v="977580"/>
    <s v="M/S. SAMSUL ALAM"/>
    <s v="Private Retailer"/>
    <s v="9832352019"/>
    <n v="1.44"/>
    <n v="70"/>
    <x v="6"/>
    <m/>
    <s v="2026-02-09"/>
    <s v="260048"/>
    <s v="Raja Fertilizers(Cbh)"/>
    <s v="7602178949"/>
  </r>
  <r>
    <s v="RCF Trombay"/>
    <s v="N.C.Urea(45kg)"/>
    <s v="WB"/>
    <x v="6"/>
    <s v="Mekliganj"/>
    <s v="User Not Mapped"/>
    <s v="User Not Mapped"/>
    <s v="User Not Mapped"/>
    <n v="1221672"/>
    <s v="M/S. SARKAR FERTILIZER"/>
    <s v="Private Retailer"/>
    <s v="9547739904"/>
    <n v="11.025"/>
    <n v="72"/>
    <x v="6"/>
    <m/>
    <s v="2026-02-07"/>
    <s v="260048"/>
    <s v="Raja Fertilizers(Cbh)"/>
    <s v="7602178949"/>
  </r>
  <r>
    <s v="RCF Thal"/>
    <s v="N.C.Urea(45kg)"/>
    <s v="WB"/>
    <x v="6"/>
    <s v="Haldibari"/>
    <s v="User Not Mapped"/>
    <s v="User Not Mapped"/>
    <s v="User Not Mapped"/>
    <n v="476899"/>
    <s v="M/s. Sri Barman Fertilizers"/>
    <s v="Private Retailer"/>
    <s v="9932992458"/>
    <n v="0.54"/>
    <n v="258"/>
    <x v="1"/>
    <m/>
    <s v="2025-08-05"/>
    <s v="260048"/>
    <s v="Raja Fertilizers(Cbh)"/>
    <s v="7602178949"/>
  </r>
  <r>
    <s v="RCF Thal"/>
    <s v="N.C.Urea(45kg)"/>
    <s v="WB"/>
    <x v="6"/>
    <s v="Sitai"/>
    <s v="User Not Mapped"/>
    <s v="User Not Mapped"/>
    <s v="User Not Mapped"/>
    <n v="530334"/>
    <s v="M/s. Subhas Ch Barman"/>
    <s v="Private Retailer"/>
    <s v="8170073795"/>
    <n v="8.5500000000000007"/>
    <n v="46"/>
    <x v="3"/>
    <m/>
    <s v="2026-03-05"/>
    <s v="260048"/>
    <s v="Raja Fertilizers(Cbh)"/>
    <s v="7602178949"/>
  </r>
  <r>
    <s v="RCF Thal"/>
    <s v="N.C.Urea(45kg)"/>
    <s v="WB"/>
    <x v="6"/>
    <s v="Tufanganj - II"/>
    <s v="User Not Mapped"/>
    <s v="User Not Mapped"/>
    <s v="User Not Mapped"/>
    <n v="228680"/>
    <s v="Mahendra Kohar"/>
    <s v="Private Retailer"/>
    <s v="9933118970"/>
    <n v="3.0150000000000001"/>
    <n v="41"/>
    <x v="3"/>
    <m/>
    <s v="2026-03-10"/>
    <s v="260048"/>
    <s v="Raja Fertilizers(Cbh)"/>
    <s v="7602178949"/>
  </r>
  <r>
    <s v="RCF Trombay"/>
    <s v="15-15-15"/>
    <s v="WB"/>
    <x v="6"/>
    <s v="Mathabhanga - II"/>
    <s v="User Not Mapped"/>
    <s v="User Not Mapped"/>
    <s v="User Not Mapped"/>
    <n v="328185"/>
    <s v="Majumder Fertilizer"/>
    <s v="Private Retailer"/>
    <s v="9679817386"/>
    <n v="0.5"/>
    <n v="207"/>
    <x v="1"/>
    <m/>
    <s v="2025-09-25"/>
    <s v="260048"/>
    <s v="Raja Fertilizers(Cbh)"/>
    <s v="7602178949"/>
  </r>
  <r>
    <s v="RCF Trombay"/>
    <s v="15-15-15"/>
    <s v="WB"/>
    <x v="6"/>
    <s v="Mathabhanga - II"/>
    <s v="User Not Mapped"/>
    <s v="User Not Mapped"/>
    <s v="User Not Mapped"/>
    <n v="328185"/>
    <s v="Majumder Fertilizer"/>
    <s v="Private Retailer"/>
    <s v="9679817386"/>
    <n v="0.25"/>
    <n v="42"/>
    <x v="3"/>
    <m/>
    <s v="2026-03-09"/>
    <s v="260048"/>
    <s v="Raja Fertilizers(Cbh)"/>
    <s v="7602178949"/>
  </r>
  <r>
    <s v="RCF Trombay"/>
    <s v="15-15-15"/>
    <s v="WB"/>
    <x v="6"/>
    <s v="Mathabhanga - II"/>
    <s v="User Not Mapped"/>
    <s v="User Not Mapped"/>
    <s v="User Not Mapped"/>
    <n v="328185"/>
    <s v="Majumder Fertilizer"/>
    <s v="Private Retailer"/>
    <s v="9679817386"/>
    <n v="0.25"/>
    <n v="12"/>
    <x v="5"/>
    <m/>
    <s v="2026-04-08"/>
    <s v="260048"/>
    <s v="Raja Fertilizers(Cbh)"/>
    <s v="7602178949"/>
  </r>
  <r>
    <s v="RCF Trombay"/>
    <s v="15-15-15"/>
    <s v="WB"/>
    <x v="6"/>
    <s v="Mathabhanga - II"/>
    <s v="User Not Mapped"/>
    <s v="User Not Mapped"/>
    <s v="User Not Mapped"/>
    <n v="328185"/>
    <s v="Majumder Fertilizer"/>
    <s v="Private Retailer"/>
    <s v="9679817386"/>
    <n v="0.25"/>
    <n v="6"/>
    <x v="5"/>
    <m/>
    <s v="2026-04-14"/>
    <s v="260048"/>
    <s v="Raja Fertilizers(Cbh)"/>
    <s v="7602178949"/>
  </r>
  <r>
    <s v="RCF Trombay"/>
    <s v="N.C.Urea(45kg)"/>
    <s v="WB"/>
    <x v="6"/>
    <s v="Mathabhanga - II"/>
    <s v="User Not Mapped"/>
    <s v="User Not Mapped"/>
    <s v="User Not Mapped"/>
    <n v="328185"/>
    <s v="Majumder Fertilizer"/>
    <s v="Private Retailer"/>
    <s v="9679817386"/>
    <n v="0.18"/>
    <n v="67"/>
    <x v="6"/>
    <m/>
    <s v="2026-02-12"/>
    <s v="260048"/>
    <s v="Raja Fertilizers(Cbh)"/>
    <s v="7602178949"/>
  </r>
  <r>
    <s v="RCF Trombay"/>
    <s v="N.C.Urea(45kg)"/>
    <s v="WB"/>
    <x v="6"/>
    <s v="Dinhata - II"/>
    <s v="User Not Mapped"/>
    <s v="User Not Mapped"/>
    <s v="User Not Mapped"/>
    <n v="1594943"/>
    <s v="Moumita and Sneha Fertilizer"/>
    <s v="Private Retailer"/>
    <s v="8101325981"/>
    <n v="2.0249999999999999"/>
    <n v="58"/>
    <x v="3"/>
    <m/>
    <s v="2026-02-21"/>
    <s v="260048"/>
    <s v="Raja Fertilizers(Cbh)"/>
    <s v="7602178949"/>
  </r>
  <r>
    <s v="RCF Thal"/>
    <s v="N.C.Urea(45kg)"/>
    <s v="WB"/>
    <x v="6"/>
    <m/>
    <s v="User Not Mapped"/>
    <s v="User Not Mapped"/>
    <s v="User Not Mapped"/>
    <n v="621554"/>
    <s v="Mousami Fertiliser"/>
    <s v="Private Retailer"/>
    <s v="8906921788"/>
    <n v="12.15"/>
    <n v="46"/>
    <x v="3"/>
    <m/>
    <s v="2026-03-05"/>
    <s v="260048"/>
    <s v="Raja Fertilizers(Cbh)"/>
    <s v="7602178949"/>
  </r>
  <r>
    <s v="RCF Thal"/>
    <s v="N.C.Urea(45kg)"/>
    <s v="WB"/>
    <x v="6"/>
    <s v="Cooch Behar - I"/>
    <s v="User Not Mapped"/>
    <s v="User Not Mapped"/>
    <s v="User Not Mapped"/>
    <n v="294852"/>
    <s v="Mrinal Kanti Som"/>
    <s v="Private Retailer"/>
    <s v="9593877015"/>
    <n v="4.68"/>
    <n v="46"/>
    <x v="3"/>
    <m/>
    <s v="2026-03-05"/>
    <s v="260048"/>
    <s v="Raja Fertilizers(Cbh)"/>
    <s v="7602178949"/>
  </r>
  <r>
    <s v="RCF Thal"/>
    <s v="N.C.Urea(45kg)"/>
    <s v="WB"/>
    <x v="6"/>
    <m/>
    <s v="User Not Mapped"/>
    <s v="User Not Mapped"/>
    <s v="User Not Mapped"/>
    <n v="394257"/>
    <s v="Nasiruddin Miah"/>
    <s v="Private Retailer"/>
    <s v="9002700603"/>
    <n v="2.9249999999999998"/>
    <n v="42"/>
    <x v="3"/>
    <m/>
    <s v="2026-03-09"/>
    <s v="260048"/>
    <s v="Raja Fertilizers(Cbh)"/>
    <s v="7602178949"/>
  </r>
  <r>
    <s v="RCF Trombay"/>
    <s v="15-15-15"/>
    <s v="WB"/>
    <x v="6"/>
    <s v="Cooch Behar - I"/>
    <s v="User Not Mapped"/>
    <s v="User Not Mapped"/>
    <s v="User Not Mapped"/>
    <n v="967274"/>
    <s v="NITYANANDA SARKAR"/>
    <s v="Private Retailer"/>
    <s v="8597633002"/>
    <n v="0.1"/>
    <n v="116"/>
    <x v="7"/>
    <m/>
    <s v="2025-12-25"/>
    <s v="260048"/>
    <s v="Raja Fertilizers(Cbh)"/>
    <s v="7602178949"/>
  </r>
  <r>
    <s v="RCF Trombay"/>
    <s v="15-15-15"/>
    <s v="WB"/>
    <x v="6"/>
    <s v="Cooch Behar - I"/>
    <s v="User Not Mapped"/>
    <s v="User Not Mapped"/>
    <s v="User Not Mapped"/>
    <n v="967274"/>
    <s v="NITYANANDA SARKAR"/>
    <s v="Private Retailer"/>
    <s v="8597633002"/>
    <n v="0.1"/>
    <n v="39"/>
    <x v="3"/>
    <m/>
    <s v="2026-03-12"/>
    <s v="260048"/>
    <s v="Raja Fertilizers(Cbh)"/>
    <s v="7602178949"/>
  </r>
  <r>
    <s v="RCF Trombay"/>
    <s v="15-15-15"/>
    <s v="WB"/>
    <x v="6"/>
    <s v="Cooch Behar - I"/>
    <s v="User Not Mapped"/>
    <s v="User Not Mapped"/>
    <s v="User Not Mapped"/>
    <n v="967274"/>
    <s v="NITYANANDA SARKAR"/>
    <s v="Private Retailer"/>
    <s v="8597633002"/>
    <n v="0.1"/>
    <n v="111"/>
    <x v="7"/>
    <m/>
    <s v="2025-12-30"/>
    <s v="260048"/>
    <s v="Raja Fertilizers(Cbh)"/>
    <s v="7602178949"/>
  </r>
  <r>
    <s v="RCF Trombay"/>
    <s v="15-15-15"/>
    <s v="WB"/>
    <x v="6"/>
    <s v="Cooch Behar - I"/>
    <s v="User Not Mapped"/>
    <s v="User Not Mapped"/>
    <s v="User Not Mapped"/>
    <n v="967274"/>
    <s v="NITYANANDA SARKAR"/>
    <s v="Private Retailer"/>
    <s v="8597633002"/>
    <n v="0.2"/>
    <n v="123"/>
    <x v="4"/>
    <m/>
    <s v="2025-12-18"/>
    <s v="260048"/>
    <s v="Raja Fertilizers(Cbh)"/>
    <s v="7602178949"/>
  </r>
  <r>
    <s v="RCF Thal"/>
    <s v="N.C.Urea(45kg)"/>
    <s v="WB"/>
    <x v="6"/>
    <s v="Tufanganj - I"/>
    <s v="User Not Mapped"/>
    <s v="User Not Mapped"/>
    <s v="User Not Mapped"/>
    <n v="228752"/>
    <s v="Parbananda Roy"/>
    <s v="Private Retailer"/>
    <s v="9614373289"/>
    <n v="1.8"/>
    <n v="42"/>
    <x v="3"/>
    <m/>
    <s v="2026-03-09"/>
    <s v="260048"/>
    <s v="Raja Fertilizers(Cbh)"/>
    <s v="7602178949"/>
  </r>
  <r>
    <s v="RCF Thal"/>
    <s v="N.C.Urea(45kg)"/>
    <s v="WB"/>
    <x v="6"/>
    <s v="Tufanganj - I"/>
    <s v="User Not Mapped"/>
    <s v="User Not Mapped"/>
    <s v="User Not Mapped"/>
    <n v="271232"/>
    <s v="Prashanta Debnath"/>
    <s v="Private Retailer"/>
    <s v="9475248049"/>
    <n v="2.7"/>
    <n v="42"/>
    <x v="3"/>
    <m/>
    <s v="2026-03-09"/>
    <s v="260048"/>
    <s v="Raja Fertilizers(Cbh)"/>
    <s v="7602178949"/>
  </r>
  <r>
    <s v="RCF Thal"/>
    <s v="N.C.Urea(45kg)"/>
    <s v="WB"/>
    <x v="6"/>
    <s v="Tufanganj - I"/>
    <s v="User Not Mapped"/>
    <s v="User Not Mapped"/>
    <s v="User Not Mapped"/>
    <n v="271232"/>
    <s v="Prashanta Debnath"/>
    <s v="Private Retailer"/>
    <s v="9475248049"/>
    <n v="0.67500000000000004"/>
    <n v="33"/>
    <x v="3"/>
    <m/>
    <s v="2026-03-18"/>
    <s v="260048"/>
    <s v="Raja Fertilizers(Cbh)"/>
    <s v="7602178949"/>
  </r>
  <r>
    <s v="RCF Trombay"/>
    <s v="N.C.Urea(45kg)"/>
    <s v="WB"/>
    <x v="6"/>
    <s v="Mathabhanga - I"/>
    <s v="User Not Mapped"/>
    <s v="User Not Mapped"/>
    <s v="User Not Mapped"/>
    <n v="552162"/>
    <s v="Sanjit Chandra Barman"/>
    <s v="Private Retailer"/>
    <s v="7407625696"/>
    <n v="0.02"/>
    <n v="1594"/>
    <x v="2"/>
    <m/>
    <s v="2021-12-08"/>
    <s v="260048"/>
    <s v="Raja Fertilizers(Cbh)"/>
    <s v="7602178949"/>
  </r>
  <r>
    <s v="RCF Trombay"/>
    <s v="15-15-15"/>
    <s v="WB"/>
    <x v="6"/>
    <s v="Mathabhanga - I"/>
    <s v="User Not Mapped"/>
    <s v="User Not Mapped"/>
    <s v="User Not Mapped"/>
    <n v="552162"/>
    <s v="Sanjit Chandra Barman"/>
    <s v="Private Retailer"/>
    <s v="7407625696"/>
    <n v="0.1"/>
    <n v="908"/>
    <x v="2"/>
    <m/>
    <s v="2023-10-25"/>
    <s v="260048"/>
    <s v="Raja Fertilizers(Cbh)"/>
    <s v="7602178949"/>
  </r>
  <r>
    <s v="RCF Trombay"/>
    <s v="N.C.Urea(45kg)"/>
    <s v="WB"/>
    <x v="6"/>
    <s v="Mathabhanga - I"/>
    <s v="User Not Mapped"/>
    <s v="User Not Mapped"/>
    <s v="User Not Mapped"/>
    <n v="1531016"/>
    <s v="Santosh Kumar Daftari"/>
    <s v="Private Retailer"/>
    <s v="9475306333"/>
    <n v="3.15"/>
    <n v="67"/>
    <x v="6"/>
    <m/>
    <s v="2026-02-12"/>
    <s v="260048"/>
    <s v="Raja Fertilizers(Cbh)"/>
    <s v="7602178949"/>
  </r>
  <r>
    <s v="RCF Trombay"/>
    <s v="15-15-15"/>
    <s v="WB"/>
    <x v="6"/>
    <s v="Mekliganj"/>
    <s v="User Not Mapped"/>
    <s v="User Not Mapped"/>
    <s v="User Not Mapped"/>
    <n v="415271"/>
    <s v="Santosh Roy"/>
    <s v="Private Retailer"/>
    <s v="9635366824"/>
    <n v="5.5"/>
    <n v="74"/>
    <x v="6"/>
    <m/>
    <s v="2026-02-05"/>
    <s v="260048"/>
    <s v="Raja Fertilizers(Cbh)"/>
    <s v="7602178949"/>
  </r>
  <r>
    <s v="RCF Thal"/>
    <s v="N.C.Urea(45kg)"/>
    <s v="WB"/>
    <x v="6"/>
    <s v="Sitalkuchi"/>
    <s v="User Not Mapped"/>
    <s v="User Not Mapped"/>
    <s v="User Not Mapped"/>
    <n v="271250"/>
    <s v="Sitalkuchi L/S Cams Ltd."/>
    <s v="PACS"/>
    <s v="9083063444"/>
    <n v="5.31"/>
    <n v="45"/>
    <x v="3"/>
    <m/>
    <s v="2026-03-06"/>
    <s v="260048"/>
    <s v="Raja Fertilizers(Cbh)"/>
    <s v="7602178949"/>
  </r>
  <r>
    <s v="RCF Trombay"/>
    <s v="N.C.Urea(45kg)"/>
    <s v="WB"/>
    <x v="6"/>
    <s v="Mathabhanga - I"/>
    <s v="User Not Mapped"/>
    <s v="User Not Mapped"/>
    <s v="User Not Mapped"/>
    <n v="228820"/>
    <s v="Subhash Chandra Barman"/>
    <s v="Private Retailer"/>
    <s v="9933948459"/>
    <n v="1.35"/>
    <n v="70"/>
    <x v="6"/>
    <m/>
    <s v="2026-02-09"/>
    <s v="260048"/>
    <s v="Raja Fertilizers(Cbh)"/>
    <s v="7602178949"/>
  </r>
  <r>
    <s v="RCF Trombay"/>
    <s v="15-15-15"/>
    <s v="WB"/>
    <x v="6"/>
    <s v="Mathabhanga - I"/>
    <s v="User Not Mapped"/>
    <s v="User Not Mapped"/>
    <s v="User Not Mapped"/>
    <n v="228820"/>
    <s v="Subhash Chandra Barman"/>
    <s v="Private Retailer"/>
    <s v="9933948459"/>
    <n v="0.15"/>
    <n v="70"/>
    <x v="6"/>
    <m/>
    <s v="2026-02-09"/>
    <s v="260048"/>
    <s v="Raja Fertilizers(Cbh)"/>
    <s v="7602178949"/>
  </r>
  <r>
    <s v="RCF Thal"/>
    <s v="N.C.Urea(45kg)"/>
    <s v="WB"/>
    <x v="6"/>
    <s v="Tufanganj - II"/>
    <s v="User Not Mapped"/>
    <s v="User Not Mapped"/>
    <s v="User Not Mapped"/>
    <n v="271256"/>
    <s v="Sujal Paul"/>
    <s v="Private Retailer"/>
    <s v="9434814172"/>
    <n v="0.67500000000000004"/>
    <n v="42"/>
    <x v="3"/>
    <m/>
    <s v="2026-03-09"/>
    <s v="260048"/>
    <s v="Raja Fertilizers(Cbh)"/>
    <s v="7602178949"/>
  </r>
  <r>
    <s v="RCF Thal"/>
    <s v="N.C.Urea(45kg)"/>
    <s v="WB"/>
    <x v="6"/>
    <s v="Tufanganj - II"/>
    <s v="User Not Mapped"/>
    <s v="User Not Mapped"/>
    <s v="User Not Mapped"/>
    <n v="271257"/>
    <s v="Sukumar Barman"/>
    <s v="Private Retailer"/>
    <s v="9679775441"/>
    <n v="11.475"/>
    <n v="42"/>
    <x v="3"/>
    <m/>
    <s v="2026-03-09"/>
    <s v="260048"/>
    <s v="Raja Fertilizers(Cbh)"/>
    <s v="7602178949"/>
  </r>
  <r>
    <s v="RCF Trombay"/>
    <s v="15-15-15"/>
    <s v="WB"/>
    <x v="6"/>
    <s v="Mathabhanga - II"/>
    <s v="User Not Mapped"/>
    <s v="User Not Mapped"/>
    <s v="User Not Mapped"/>
    <n v="983929"/>
    <s v="VIVEKANANDA BISWAS"/>
    <s v="Private Retailer"/>
    <s v="8436272973"/>
    <n v="1.35"/>
    <n v="67"/>
    <x v="6"/>
    <m/>
    <s v="2026-02-12"/>
    <s v="260048"/>
    <s v="Raja Fertilizers(Cbh)"/>
    <s v="7602178949"/>
  </r>
  <r>
    <s v="RCF Trombay"/>
    <s v="N.C.Urea(45kg)"/>
    <s v="WB"/>
    <x v="6"/>
    <s v="Mathabhanga - II"/>
    <s v="User Not Mapped"/>
    <s v="User Not Mapped"/>
    <s v="User Not Mapped"/>
    <n v="983929"/>
    <s v="VIVEKANANDA BISWAS"/>
    <s v="Private Retailer"/>
    <s v="8436272973"/>
    <n v="2.0249999999999999"/>
    <n v="67"/>
    <x v="6"/>
    <m/>
    <s v="2026-02-12"/>
    <s v="260048"/>
    <s v="Raja Fertilizers(Cbh)"/>
    <s v="7602178949"/>
  </r>
  <r>
    <s v="RCF Trombay"/>
    <s v="N.C.Urea(45kg)"/>
    <s v="WB"/>
    <x v="6"/>
    <s v="Mathabhanga - II"/>
    <s v="User Not Mapped"/>
    <s v="User Not Mapped"/>
    <s v="User Not Mapped"/>
    <n v="983929"/>
    <s v="VIVEKANANDA BISWAS"/>
    <s v="Private Retailer"/>
    <s v="8436272973"/>
    <n v="2.25"/>
    <n v="70"/>
    <x v="6"/>
    <m/>
    <s v="2026-02-09"/>
    <s v="260048"/>
    <s v="Raja Fertilizers(Cbh)"/>
    <s v="7602178949"/>
  </r>
  <r>
    <s v="RCF Thal"/>
    <s v="N.C.Urea(45kg)"/>
    <s v="WB"/>
    <x v="6"/>
    <m/>
    <s v="User Not Mapped"/>
    <s v="User Not Mapped"/>
    <s v="User Not Mapped"/>
    <n v="294848"/>
    <s v="Kuddus Ali Pramanik"/>
    <s v="Private Retailer"/>
    <s v="9679379616"/>
    <n v="2.7450000000000001"/>
    <n v="1920"/>
    <x v="2"/>
    <m/>
    <s v="2021-01-16"/>
    <s v="260162"/>
    <s v="Ram Kumar Maheshwary"/>
    <s v="9733413770"/>
  </r>
  <r>
    <s v="RCF Trombay"/>
    <s v="15-15-15"/>
    <s v="WB"/>
    <x v="6"/>
    <m/>
    <s v="User Not Mapped"/>
    <s v="User Not Mapped"/>
    <s v="User Not Mapped"/>
    <n v="354549"/>
    <s v="Pratikulmandal"/>
    <s v="Private Retailer"/>
    <s v="9749014459"/>
    <n v="0.05"/>
    <n v="1894"/>
    <x v="2"/>
    <m/>
    <s v="2021-02-11"/>
    <s v="260162"/>
    <s v="Ram Kumar Maheshwary"/>
    <s v="9733413770"/>
  </r>
  <r>
    <s v="RCF Import"/>
    <s v="MOP"/>
    <s v="WB"/>
    <x v="6"/>
    <s v="Mathabhanga - I"/>
    <s v="User Not Mapped"/>
    <s v="User Not Mapped"/>
    <s v="User Not Mapped"/>
    <n v="913599"/>
    <s v="Jhantu Chandra Ray"/>
    <s v="Private Retailer"/>
    <s v="7063783246"/>
    <n v="0.45"/>
    <n v="524"/>
    <x v="0"/>
    <m/>
    <s v="2024-11-12"/>
    <s v="273000"/>
    <s v="Ramlal Roy"/>
    <s v="9933180608"/>
  </r>
  <r>
    <s v="RCF Thal"/>
    <s v="N.C.Urea(45kg)"/>
    <s v="WB"/>
    <x v="6"/>
    <s v="Cooch Behar - I"/>
    <s v="User Not Mapped"/>
    <s v="User Not Mapped"/>
    <s v="User Not Mapped"/>
    <n v="214214"/>
    <s v="Dey Banik Fertiliser  Co.    "/>
    <s v="Private Wholsaler"/>
    <s v="9775801969"/>
    <n v="3.0150000000000001"/>
    <n v="49"/>
    <x v="3"/>
    <s v="'WS3125003752'"/>
    <s v="2026-03-02"/>
    <s v="1"/>
    <s v="rcf"/>
    <m/>
  </r>
  <r>
    <s v="RCF Trombay"/>
    <s v="15-15-15"/>
    <s v="WB"/>
    <x v="6"/>
    <s v="Cooch Behar - I"/>
    <s v="User Not Mapped"/>
    <s v="User Not Mapped"/>
    <s v="User Not Mapped"/>
    <n v="214214"/>
    <s v="Dey Banik Fertiliser  Co.    "/>
    <s v="Private Wholsaler"/>
    <s v="9775801969"/>
    <n v="9.15"/>
    <n v="76"/>
    <x v="6"/>
    <s v="'WS3125003243'"/>
    <s v="2026-02-03"/>
    <s v="1"/>
    <s v="rcf"/>
    <m/>
  </r>
  <r>
    <s v="RCF Thal"/>
    <s v="N.C.Urea(45kg)"/>
    <s v="WB"/>
    <x v="6"/>
    <s v="Dinhata - I"/>
    <s v="User Not Mapped"/>
    <s v="User Not Mapped"/>
    <s v="User Not Mapped"/>
    <n v="1021845"/>
    <s v="ABDUL MANNAN MIA"/>
    <s v="Private Retailer"/>
    <s v="6294678093"/>
    <n v="0.23499999999999999"/>
    <n v="1540"/>
    <x v="2"/>
    <m/>
    <s v="2022-01-31"/>
    <s v="548853"/>
    <s v="Sandip Kumar Rathi"/>
    <s v="6295235517"/>
  </r>
  <r>
    <s v="RCF Thal"/>
    <s v="N.C.Urea(45kg)"/>
    <s v="WB"/>
    <x v="6"/>
    <s v="Dinhata - I"/>
    <s v="User Not Mapped"/>
    <s v="User Not Mapped"/>
    <s v="User Not Mapped"/>
    <n v="1021845"/>
    <s v="ABDUL MANNAN MIA"/>
    <s v="Private Retailer"/>
    <s v="6294678093"/>
    <n v="1.125"/>
    <n v="1539"/>
    <x v="2"/>
    <m/>
    <s v="2022-02-01"/>
    <s v="548853"/>
    <s v="Sandip Kumar Rathi"/>
    <s v="6295235517"/>
  </r>
  <r>
    <s v="RCF Trombay"/>
    <s v="N.C.Urea(45kg)"/>
    <s v="WB"/>
    <x v="6"/>
    <s v="Sitai"/>
    <s v="User Not Mapped"/>
    <s v="User Not Mapped"/>
    <s v="User Not Mapped"/>
    <n v="584473"/>
    <s v="MAJIDUL MIAH"/>
    <s v="Private Retailer"/>
    <s v="7063297856"/>
    <n v="4.5"/>
    <n v="1217"/>
    <x v="2"/>
    <m/>
    <s v="2022-12-20"/>
    <s v="548853"/>
    <s v="Sandip Kumar Rathi"/>
    <s v="6295235517"/>
  </r>
  <r>
    <s v="RCF Thal"/>
    <s v="N.C.Urea(45kg)"/>
    <s v="WB"/>
    <x v="6"/>
    <m/>
    <s v="User Not Mapped"/>
    <s v="User Not Mapped"/>
    <s v="User Not Mapped"/>
    <n v="480973"/>
    <s v="Nitish Chandra Ghosh"/>
    <s v="Private Retailer"/>
    <s v="8116677266"/>
    <n v="0.67500000000000004"/>
    <n v="1543"/>
    <x v="2"/>
    <m/>
    <s v="2022-01-28"/>
    <s v="548853"/>
    <s v="Sandip Kumar Rathi"/>
    <s v="6295235517"/>
  </r>
  <r>
    <s v="RCF Thal"/>
    <s v="N.C.Urea(45kg)"/>
    <s v="WB"/>
    <x v="6"/>
    <m/>
    <s v="User Not Mapped"/>
    <s v="User Not Mapped"/>
    <s v="User Not Mapped"/>
    <n v="480973"/>
    <s v="Nitish Chandra Ghosh"/>
    <s v="Private Retailer"/>
    <s v="8116677266"/>
    <n v="0.67500000000000004"/>
    <n v="1539"/>
    <x v="2"/>
    <m/>
    <s v="2022-02-01"/>
    <s v="548853"/>
    <s v="Sandip Kumar Rathi"/>
    <s v="6295235517"/>
  </r>
  <r>
    <s v="RCF Trombay"/>
    <s v="N.C.Urea(45kg)"/>
    <s v="WB"/>
    <x v="6"/>
    <s v="Haldibari"/>
    <s v="User Not Mapped"/>
    <s v="User Not Mapped"/>
    <s v="User Not Mapped"/>
    <n v="1029894"/>
    <s v="BIPLAB ROY"/>
    <s v="Private Retailer"/>
    <s v="9933501985"/>
    <n v="0.27"/>
    <n v="1194"/>
    <x v="2"/>
    <m/>
    <s v="2023-01-12"/>
    <s v="631835"/>
    <s v="SHIB SHAKTI FERTILIZER"/>
    <s v="8918662387"/>
  </r>
  <r>
    <s v="RCF Thal"/>
    <s v="N.C.Urea(45kg)"/>
    <s v="WB"/>
    <x v="6"/>
    <s v="Haldibari"/>
    <s v="User Not Mapped"/>
    <s v="User Not Mapped"/>
    <s v="User Not Mapped"/>
    <n v="738038"/>
    <s v="M/s. Sarkar Beej Bhander"/>
    <s v="Private Retailer"/>
    <s v="7063300376"/>
    <n v="5.0000000000000001E-3"/>
    <n v="1909"/>
    <x v="2"/>
    <m/>
    <s v="2021-01-27"/>
    <s v="631835"/>
    <s v="SHIB SHAKTI FERTILIZER"/>
    <s v="8918662387"/>
  </r>
  <r>
    <s v="RCF Thal"/>
    <s v="N.C.Urea(45kg)"/>
    <s v="WB"/>
    <x v="6"/>
    <m/>
    <s v="User Not Mapped"/>
    <s v="User Not Mapped"/>
    <s v="User Not Mapped"/>
    <n v="479312"/>
    <s v="Bijoy Kundu"/>
    <s v="Private Retailer"/>
    <s v="9434340515"/>
    <n v="0.18"/>
    <n v="2087"/>
    <x v="2"/>
    <m/>
    <s v="2020-08-02"/>
    <s v="482946"/>
    <s v="Sunil Kumar Kundu"/>
    <s v="9434340515"/>
  </r>
  <r>
    <s v="RCF Trombay"/>
    <s v="N.C.Urea(45kg)"/>
    <s v="WB"/>
    <x v="6"/>
    <m/>
    <s v="User Not Mapped"/>
    <s v="User Not Mapped"/>
    <s v="User Not Mapped"/>
    <n v="479312"/>
    <s v="Bijoy Kundu"/>
    <s v="Private Retailer"/>
    <s v="9434340515"/>
    <n v="0.96"/>
    <n v="2087"/>
    <x v="2"/>
    <m/>
    <s v="2020-08-02"/>
    <s v="482946"/>
    <s v="Sunil Kumar Kundu"/>
    <s v="9434340515"/>
  </r>
  <r>
    <s v="RCF Trombay"/>
    <s v="15-15-15"/>
    <s v="WB"/>
    <x v="6"/>
    <s v="Sitalkuchi"/>
    <s v="User Not Mapped"/>
    <s v="User Not Mapped"/>
    <s v="User Not Mapped"/>
    <n v="968164"/>
    <s v="AKAR ALI MIYA"/>
    <s v="Private Retailer"/>
    <s v="9547601909"/>
    <n v="0.5"/>
    <n v="160"/>
    <x v="4"/>
    <m/>
    <s v="2025-11-11"/>
    <s v="273016"/>
    <s v="Tapan Kumar Singh"/>
    <s v="9932263327"/>
  </r>
  <r>
    <s v="RCF Trombay"/>
    <s v="15-15-15"/>
    <s v="WB"/>
    <x v="6"/>
    <s v="Sitalkuchi"/>
    <s v="User Not Mapped"/>
    <s v="User Not Mapped"/>
    <s v="User Not Mapped"/>
    <n v="354469"/>
    <s v="Bablu Paul"/>
    <s v="Private Retailer"/>
    <s v="9933806319"/>
    <n v="0.4"/>
    <n v="102"/>
    <x v="7"/>
    <m/>
    <s v="2026-01-08"/>
    <s v="273016"/>
    <s v="Tapan Kumar Singh"/>
    <s v="9932263327"/>
  </r>
  <r>
    <s v="RCF Trombay"/>
    <s v="15-15-15"/>
    <s v="WB"/>
    <x v="6"/>
    <s v="Mathabhanga - I"/>
    <s v="User Not Mapped"/>
    <s v="User Not Mapped"/>
    <s v="User Not Mapped"/>
    <n v="777485"/>
    <s v="Baburam Fertilizer"/>
    <s v="Private Retailer"/>
    <s v="7908651321"/>
    <n v="0.15"/>
    <n v="129"/>
    <x v="4"/>
    <m/>
    <s v="2025-12-12"/>
    <s v="273016"/>
    <s v="Tapan Kumar Singh"/>
    <s v="9932263327"/>
  </r>
  <r>
    <s v="RCF Trombay"/>
    <s v="15-15-15"/>
    <s v="WB"/>
    <x v="6"/>
    <s v="Mathabhanga - I"/>
    <s v="User Not Mapped"/>
    <s v="User Not Mapped"/>
    <s v="User Not Mapped"/>
    <n v="645874"/>
    <s v="Belayet Hossain"/>
    <s v="Private Retailer"/>
    <s v="9734033398"/>
    <n v="0.1"/>
    <n v="464"/>
    <x v="0"/>
    <m/>
    <s v="2025-01-11"/>
    <s v="273016"/>
    <s v="Tapan Kumar Singh"/>
    <s v="9932263327"/>
  </r>
  <r>
    <s v="RCF Trombay"/>
    <s v="15-15-15"/>
    <s v="WB"/>
    <x v="6"/>
    <s v="Mathabhanga - I"/>
    <s v="User Not Mapped"/>
    <s v="User Not Mapped"/>
    <s v="User Not Mapped"/>
    <n v="645874"/>
    <s v="Belayet Hossain"/>
    <s v="Private Retailer"/>
    <s v="9734033398"/>
    <n v="1"/>
    <n v="160"/>
    <x v="4"/>
    <m/>
    <s v="2025-11-11"/>
    <s v="273016"/>
    <s v="Tapan Kumar Singh"/>
    <s v="9932263327"/>
  </r>
  <r>
    <s v="RCF Import"/>
    <s v="MOP"/>
    <s v="WB"/>
    <x v="6"/>
    <s v="Mathabhanga - I"/>
    <s v="User Not Mapped"/>
    <s v="User Not Mapped"/>
    <s v="User Not Mapped"/>
    <n v="645874"/>
    <s v="Belayet Hossain"/>
    <s v="Private Retailer"/>
    <s v="9734033398"/>
    <n v="0.2"/>
    <n v="490"/>
    <x v="0"/>
    <m/>
    <s v="2024-12-16"/>
    <s v="273016"/>
    <s v="Tapan Kumar Singh"/>
    <s v="9932263327"/>
  </r>
  <r>
    <s v="RCF Trombay"/>
    <s v="15-15-15"/>
    <s v="WB"/>
    <x v="6"/>
    <s v="Mathabhanga - I"/>
    <s v="User Not Mapped"/>
    <s v="User Not Mapped"/>
    <s v="User Not Mapped"/>
    <n v="645874"/>
    <s v="Belayet Hossain"/>
    <s v="Private Retailer"/>
    <s v="9734033398"/>
    <n v="0.5"/>
    <n v="441"/>
    <x v="0"/>
    <m/>
    <s v="2025-02-03"/>
    <s v="273016"/>
    <s v="Tapan Kumar Singh"/>
    <s v="9932263327"/>
  </r>
  <r>
    <s v="RCF Trombay"/>
    <s v="15-15-15"/>
    <s v="WB"/>
    <x v="6"/>
    <s v="Mathabhanga - I"/>
    <s v="User Not Mapped"/>
    <s v="User Not Mapped"/>
    <s v="User Not Mapped"/>
    <n v="978446"/>
    <s v="BIDYUT KUMAR PAUL"/>
    <s v="Private Retailer"/>
    <s v="9800565541"/>
    <n v="0.05"/>
    <n v="160"/>
    <x v="4"/>
    <m/>
    <s v="2025-11-11"/>
    <s v="273016"/>
    <s v="Tapan Kumar Singh"/>
    <s v="9932263327"/>
  </r>
  <r>
    <s v="RCF Trombay"/>
    <s v="15-15-15"/>
    <s v="WB"/>
    <x v="6"/>
    <s v="Mathabhanga - I"/>
    <s v="User Not Mapped"/>
    <s v="User Not Mapped"/>
    <s v="User Not Mapped"/>
    <n v="918169"/>
    <s v="CHHAKMAL MIAH"/>
    <s v="Private Retailer"/>
    <s v="8167850103"/>
    <n v="0.2"/>
    <n v="115"/>
    <x v="7"/>
    <m/>
    <s v="2025-12-26"/>
    <s v="273016"/>
    <s v="Tapan Kumar Singh"/>
    <s v="9932263327"/>
  </r>
  <r>
    <s v="RCF Trombay"/>
    <s v="15-15-15"/>
    <s v="WB"/>
    <x v="6"/>
    <s v="Mathabhanga - I"/>
    <s v="User Not Mapped"/>
    <s v="User Not Mapped"/>
    <s v="User Not Mapped"/>
    <n v="918169"/>
    <s v="CHHAKMAL MIAH"/>
    <s v="Private Retailer"/>
    <s v="8167850103"/>
    <n v="0.5"/>
    <n v="135"/>
    <x v="4"/>
    <m/>
    <s v="2025-12-06"/>
    <s v="273016"/>
    <s v="Tapan Kumar Singh"/>
    <s v="9932263327"/>
  </r>
  <r>
    <s v="RCF Import"/>
    <s v="MOP"/>
    <s v="WB"/>
    <x v="6"/>
    <s v="Sitalkuchi"/>
    <s v="User Not Mapped"/>
    <s v="User Not Mapped"/>
    <s v="User Not Mapped"/>
    <n v="550233"/>
    <s v="Gobinda Chandra Saha"/>
    <s v="Private Retailer"/>
    <s v="8967382642"/>
    <n v="0.5"/>
    <n v="497"/>
    <x v="0"/>
    <m/>
    <s v="2024-12-09"/>
    <s v="273016"/>
    <s v="Tapan Kumar Singh"/>
    <s v="9932263327"/>
  </r>
  <r>
    <s v="RCF Trombay"/>
    <s v="15-15-15"/>
    <s v="WB"/>
    <x v="6"/>
    <s v="Sitalkuchi"/>
    <s v="User Not Mapped"/>
    <s v="User Not Mapped"/>
    <s v="User Not Mapped"/>
    <n v="550233"/>
    <s v="Gobinda Chandra Saha"/>
    <s v="Private Retailer"/>
    <s v="8967382642"/>
    <n v="0.5"/>
    <n v="459"/>
    <x v="0"/>
    <m/>
    <s v="2025-01-16"/>
    <s v="273016"/>
    <s v="Tapan Kumar Singh"/>
    <s v="9932263327"/>
  </r>
  <r>
    <s v="RCF Trombay"/>
    <s v="15-15-15"/>
    <s v="WB"/>
    <x v="6"/>
    <s v="Sitalkuchi"/>
    <s v="User Not Mapped"/>
    <s v="User Not Mapped"/>
    <s v="User Not Mapped"/>
    <n v="550233"/>
    <s v="Gobinda Chandra Saha"/>
    <s v="Private Retailer"/>
    <s v="8967382642"/>
    <n v="0.9"/>
    <n v="512"/>
    <x v="0"/>
    <m/>
    <s v="2024-11-24"/>
    <s v="273016"/>
    <s v="Tapan Kumar Singh"/>
    <s v="9932263327"/>
  </r>
  <r>
    <s v="RCF Trombay"/>
    <s v="15-15-15"/>
    <s v="WB"/>
    <x v="6"/>
    <s v="Sitalkuchi"/>
    <s v="User Not Mapped"/>
    <s v="User Not Mapped"/>
    <s v="User Not Mapped"/>
    <n v="550233"/>
    <s v="Gobinda Chandra Saha"/>
    <s v="Private Retailer"/>
    <s v="8967382642"/>
    <n v="0.5"/>
    <n v="491"/>
    <x v="0"/>
    <m/>
    <s v="2024-12-15"/>
    <s v="273016"/>
    <s v="Tapan Kumar Singh"/>
    <s v="9932263327"/>
  </r>
  <r>
    <s v="RCF Thal"/>
    <s v="N.C.Urea(45kg)"/>
    <s v="WB"/>
    <x v="6"/>
    <s v="Sitalkuchi"/>
    <s v="User Not Mapped"/>
    <s v="User Not Mapped"/>
    <s v="User Not Mapped"/>
    <n v="1029934"/>
    <s v="KAMAL PAUL"/>
    <s v="Private Retailer"/>
    <s v="9851178576"/>
    <n v="0.01"/>
    <n v="2078"/>
    <x v="2"/>
    <m/>
    <s v="2020-08-11"/>
    <s v="273016"/>
    <s v="Tapan Kumar Singh"/>
    <s v="9932263327"/>
  </r>
  <r>
    <s v="RCF Trombay"/>
    <s v="15-15-15"/>
    <s v="WB"/>
    <x v="6"/>
    <s v="Mathabhanga - I"/>
    <s v="User Not Mapped"/>
    <s v="User Not Mapped"/>
    <s v="User Not Mapped"/>
    <n v="902185"/>
    <s v="KRISHNA KANTA BARMAN"/>
    <s v="Private Retailer"/>
    <s v="9735900436"/>
    <n v="0.05"/>
    <n v="84"/>
    <x v="6"/>
    <m/>
    <s v="2026-01-26"/>
    <s v="273016"/>
    <s v="Tapan Kumar Singh"/>
    <s v="9932263327"/>
  </r>
  <r>
    <s v="RCF Trombay"/>
    <s v="15-15-15"/>
    <s v="WB"/>
    <x v="6"/>
    <s v="Sitalkuchi"/>
    <s v="User Not Mapped"/>
    <s v="User Not Mapped"/>
    <s v="User Not Mapped"/>
    <n v="969926"/>
    <s v="M/s Krishi Proyojani Kendra"/>
    <s v="Private Retailer"/>
    <s v="9851589693"/>
    <n v="1"/>
    <n v="84"/>
    <x v="6"/>
    <m/>
    <s v="2026-01-26"/>
    <s v="273016"/>
    <s v="Tapan Kumar Singh"/>
    <s v="9932263327"/>
  </r>
  <r>
    <s v="RCF Trombay"/>
    <s v="15-15-15"/>
    <s v="WB"/>
    <x v="6"/>
    <s v="Sitalkuchi"/>
    <s v="User Not Mapped"/>
    <s v="User Not Mapped"/>
    <s v="User Not Mapped"/>
    <n v="1078082"/>
    <s v="M/S MOSTAFIZAR RAHAMAN"/>
    <s v="Private Retailer"/>
    <s v="9933198592"/>
    <n v="2.5"/>
    <n v="111"/>
    <x v="7"/>
    <m/>
    <s v="2025-12-30"/>
    <s v="273016"/>
    <s v="Tapan Kumar Singh"/>
    <s v="9932263327"/>
  </r>
  <r>
    <s v="RCF Trombay"/>
    <s v="15-15-15"/>
    <s v="WB"/>
    <x v="6"/>
    <s v="Sitalkuchi"/>
    <s v="User Not Mapped"/>
    <s v="User Not Mapped"/>
    <s v="User Not Mapped"/>
    <n v="1078082"/>
    <s v="M/S MOSTAFIZAR RAHAMAN"/>
    <s v="Private Retailer"/>
    <s v="9933198592"/>
    <n v="0.25"/>
    <n v="129"/>
    <x v="4"/>
    <m/>
    <s v="2025-12-12"/>
    <s v="273016"/>
    <s v="Tapan Kumar Singh"/>
    <s v="9932263327"/>
  </r>
  <r>
    <s v="RCF Trombay"/>
    <s v="15-15-15"/>
    <s v="WB"/>
    <x v="6"/>
    <s v="Sitalkuchi"/>
    <s v="User Not Mapped"/>
    <s v="User Not Mapped"/>
    <s v="User Not Mapped"/>
    <n v="1078082"/>
    <s v="M/S MOSTAFIZAR RAHAMAN"/>
    <s v="Private Retailer"/>
    <s v="9933198592"/>
    <n v="1"/>
    <n v="121"/>
    <x v="4"/>
    <m/>
    <s v="2025-12-20"/>
    <s v="273016"/>
    <s v="Tapan Kumar Singh"/>
    <s v="9932263327"/>
  </r>
  <r>
    <s v="RCF Trombay"/>
    <s v="15-15-15"/>
    <s v="WB"/>
    <x v="6"/>
    <s v="Sitalkuchi"/>
    <s v="User Not Mapped"/>
    <s v="User Not Mapped"/>
    <s v="User Not Mapped"/>
    <n v="1615184"/>
    <s v="M/s. Ali Fertilizer"/>
    <s v="Private Retailer"/>
    <s v="8372810433"/>
    <n v="1"/>
    <n v="138"/>
    <x v="4"/>
    <m/>
    <s v="2025-12-03"/>
    <s v="273016"/>
    <s v="Tapan Kumar Singh"/>
    <s v="9932263327"/>
  </r>
  <r>
    <s v="RCF Trombay"/>
    <s v="15-15-15"/>
    <s v="WB"/>
    <x v="6"/>
    <s v="Sitalkuchi"/>
    <s v="User Not Mapped"/>
    <s v="User Not Mapped"/>
    <s v="User Not Mapped"/>
    <n v="625902"/>
    <s v="M/s. Nikhil Chandra Paul"/>
    <s v="Private Retailer"/>
    <s v="9547346233"/>
    <n v="0.15"/>
    <n v="158"/>
    <x v="4"/>
    <m/>
    <s v="2025-11-13"/>
    <s v="273016"/>
    <s v="Tapan Kumar Singh"/>
    <s v="9932263327"/>
  </r>
  <r>
    <s v="RCF Trombay"/>
    <s v="15-15-15"/>
    <s v="WB"/>
    <x v="6"/>
    <s v="Sitalkuchi"/>
    <s v="User Not Mapped"/>
    <s v="User Not Mapped"/>
    <s v="User Not Mapped"/>
    <n v="1073402"/>
    <s v="M/S. PRANESH PAUL"/>
    <s v="Private Retailer"/>
    <s v="8670854614"/>
    <n v="0.75"/>
    <n v="111"/>
    <x v="7"/>
    <m/>
    <s v="2025-12-30"/>
    <s v="273016"/>
    <s v="Tapan Kumar Singh"/>
    <s v="9932263327"/>
  </r>
  <r>
    <s v="RCF Trombay"/>
    <s v="15-15-15"/>
    <s v="WB"/>
    <x v="6"/>
    <s v="Sitalkuchi"/>
    <s v="User Not Mapped"/>
    <s v="User Not Mapped"/>
    <s v="User Not Mapped"/>
    <n v="533480"/>
    <s v="M/s. Subhash Barman"/>
    <s v="Private Retailer"/>
    <s v="9933990402"/>
    <n v="1.5"/>
    <n v="134"/>
    <x v="4"/>
    <m/>
    <s v="2025-12-07"/>
    <s v="273016"/>
    <s v="Tapan Kumar Singh"/>
    <s v="9932263327"/>
  </r>
  <r>
    <s v="RCF Trombay"/>
    <s v="15-15-15"/>
    <s v="WB"/>
    <x v="6"/>
    <s v="Sitalkuchi"/>
    <s v="User Not Mapped"/>
    <s v="User Not Mapped"/>
    <s v="User Not Mapped"/>
    <n v="533480"/>
    <s v="M/s. Subhash Barman"/>
    <s v="Private Retailer"/>
    <s v="9933990402"/>
    <n v="0.1"/>
    <n v="138"/>
    <x v="4"/>
    <m/>
    <s v="2025-12-03"/>
    <s v="273016"/>
    <s v="Tapan Kumar Singh"/>
    <s v="9932263327"/>
  </r>
  <r>
    <s v="RCF Trombay"/>
    <s v="15-15-15"/>
    <s v="WB"/>
    <x v="6"/>
    <s v="Mathabhanga - I"/>
    <s v="User Not Mapped"/>
    <s v="User Not Mapped"/>
    <s v="User Not Mapped"/>
    <n v="930693"/>
    <s v="Parimal Barman"/>
    <s v="Private Retailer"/>
    <s v="9679906930"/>
    <n v="0.25"/>
    <n v="76"/>
    <x v="6"/>
    <m/>
    <s v="2026-02-03"/>
    <s v="273016"/>
    <s v="Tapan Kumar Singh"/>
    <s v="9932263327"/>
  </r>
  <r>
    <s v="RCF Trombay"/>
    <s v="15-15-15"/>
    <s v="WB"/>
    <x v="6"/>
    <s v="Mathabhanga - II"/>
    <s v="User Not Mapped"/>
    <s v="User Not Mapped"/>
    <s v="User Not Mapped"/>
    <n v="645322"/>
    <s v="PRANAB BISWAS"/>
    <s v="Private Retailer"/>
    <s v="9735715030"/>
    <n v="0.1"/>
    <n v="91"/>
    <x v="7"/>
    <m/>
    <s v="2026-01-19"/>
    <s v="273016"/>
    <s v="Tapan Kumar Singh"/>
    <s v="9932263327"/>
  </r>
  <r>
    <s v="RCF Trombay"/>
    <s v="15-15-15"/>
    <s v="WB"/>
    <x v="6"/>
    <s v="Sitalkuchi"/>
    <s v="User Not Mapped"/>
    <s v="User Not Mapped"/>
    <s v="User Not Mapped"/>
    <n v="859106"/>
    <s v="SANTOSH KUMAR PRAMANIK"/>
    <s v="Private Retailer"/>
    <s v="7872058245"/>
    <n v="0.2"/>
    <n v="180"/>
    <x v="4"/>
    <m/>
    <s v="2025-10-22"/>
    <s v="273016"/>
    <s v="Tapan Kumar Singh"/>
    <s v="9932263327"/>
  </r>
  <r>
    <s v="RCF Import"/>
    <s v="MOP"/>
    <s v="WB"/>
    <x v="6"/>
    <s v="Mathabhanga - II"/>
    <s v="User Not Mapped"/>
    <s v="User Not Mapped"/>
    <s v="User Not Mapped"/>
    <n v="1462062"/>
    <s v="Unishbisha Kisan Agragami FPC "/>
    <s v="Private Retailer"/>
    <s v="9641133126"/>
    <n v="0.85"/>
    <n v="501"/>
    <x v="0"/>
    <m/>
    <s v="2024-12-05"/>
    <s v="273016"/>
    <s v="Tapan Kumar Singh"/>
    <s v="9932263327"/>
  </r>
  <r>
    <s v="RCF Thal"/>
    <s v="N.C.Urea(45kg)"/>
    <s v="WB"/>
    <x v="6"/>
    <m/>
    <s v="User Not Mapped"/>
    <s v="User Not Mapped"/>
    <s v="User Not Mapped"/>
    <n v="1032295"/>
    <s v="M/S. FARIDUL HAQUE"/>
    <s v="Private Retailer"/>
    <s v="8670096457"/>
    <n v="0.27"/>
    <n v="2666"/>
    <x v="2"/>
    <m/>
    <s v="2019-01-01"/>
    <s v="11"/>
    <s v="Too Old Stock"/>
    <m/>
  </r>
  <r>
    <s v="RCF Thal"/>
    <s v="N.C.Urea(45kg)"/>
    <s v="WB"/>
    <x v="6"/>
    <s v="Mathabhanga - I"/>
    <s v="User Not Mapped"/>
    <s v="User Not Mapped"/>
    <s v="User Not Mapped"/>
    <n v="1035331"/>
    <s v="NIRMAL TALUKDAR"/>
    <s v="Private Retailer"/>
    <s v="6295465251"/>
    <n v="0.01"/>
    <n v="2666"/>
    <x v="2"/>
    <m/>
    <s v="2019-01-01"/>
    <s v="11"/>
    <s v="Too Old Stock"/>
    <m/>
  </r>
  <r>
    <s v="RCF Thal"/>
    <s v="N.C.Urea(45kg)"/>
    <s v="WB"/>
    <x v="6"/>
    <m/>
    <s v="User Not Mapped"/>
    <s v="User Not Mapped"/>
    <s v="User Not Mapped"/>
    <n v="995570"/>
    <s v="RAHAMAN FERTILISER"/>
    <s v="Private Retailer"/>
    <s v="9851436467"/>
    <n v="0.40500000000000003"/>
    <n v="2666"/>
    <x v="2"/>
    <m/>
    <s v="2019-01-01"/>
    <s v="11"/>
    <s v="Too Old Stock"/>
    <m/>
  </r>
  <r>
    <s v="RCF Thal"/>
    <s v="N.C.Urea(45kg)"/>
    <s v="WB"/>
    <x v="6"/>
    <m/>
    <s v="User Not Mapped"/>
    <s v="User Not Mapped"/>
    <s v="User Not Mapped"/>
    <n v="621574"/>
    <s v="Sabujayan Fertiliser"/>
    <s v="Private Retailer"/>
    <s v="9563161793"/>
    <n v="0.13500000000000001"/>
    <n v="2666"/>
    <x v="2"/>
    <m/>
    <s v="2019-01-01"/>
    <s v="11"/>
    <s v="Too Old Stock"/>
    <m/>
  </r>
  <r>
    <s v="RCF Thal"/>
    <s v="N.C.Urea(45kg)"/>
    <s v="WB"/>
    <x v="6"/>
    <m/>
    <s v="User Not Mapped"/>
    <s v="User Not Mapped"/>
    <s v="User Not Mapped"/>
    <n v="228839"/>
    <s v="Swapan Sarkar"/>
    <s v="Private Retailer"/>
    <s v="9635006811"/>
    <n v="0.40500000000000003"/>
    <n v="2666"/>
    <x v="2"/>
    <m/>
    <s v="2019-01-01"/>
    <s v="11"/>
    <s v="Too Old Stock"/>
    <m/>
  </r>
  <r>
    <s v="RCF Trombay"/>
    <s v="15-15-15"/>
    <s v="WB"/>
    <x v="6"/>
    <s v="Sitai"/>
    <s v="User Not Mapped"/>
    <s v="User Not Mapped"/>
    <s v="User Not Mapped"/>
    <n v="268849"/>
    <s v="M/s. Debashis Kundu"/>
    <s v="Private Wholsaler"/>
    <s v="9641428689"/>
    <n v="3.05"/>
    <n v="67"/>
    <x v="6"/>
    <s v="'2526USPKSLGF0088'"/>
    <s v="2026-02-12"/>
    <s v="1409662"/>
    <s v="UMA SHANKAR PRADIP KUMAR"/>
    <s v="9831636631"/>
  </r>
  <r>
    <s v="RCF Thal"/>
    <s v="N.C.Urea(45kg)"/>
    <s v="WB"/>
    <x v="6"/>
    <s v="Sitai"/>
    <s v="User Not Mapped"/>
    <s v="User Not Mapped"/>
    <s v="User Not Mapped"/>
    <n v="268849"/>
    <s v="M/s. Debashis Kundu"/>
    <s v="Private Wholsaler"/>
    <s v="9641428689"/>
    <n v="2.9249999999999998"/>
    <n v="39"/>
    <x v="3"/>
    <s v="'2526USPKSLGF0125'"/>
    <s v="2026-03-12"/>
    <s v="1409662"/>
    <s v="UMA SHANKAR PRADIP KUMAR"/>
    <s v="9831636631"/>
  </r>
  <r>
    <s v="RCF Thal"/>
    <s v="N.C.Urea(45kg)"/>
    <s v="WB"/>
    <x v="7"/>
    <m/>
    <s v="User Not Mapped"/>
    <s v="User Not Mapped"/>
    <s v="User Not Mapped"/>
    <n v="1022908"/>
    <s v="M/S ASHRAFIFERTLIZER"/>
    <s v="Private Retailer"/>
    <s v="8509531993"/>
    <n v="0.01"/>
    <n v="2666"/>
    <x v="2"/>
    <m/>
    <s v="2019-01-01"/>
    <s v="11"/>
    <s v="Too Old Stock"/>
    <m/>
  </r>
  <r>
    <s v="RCF Trombay"/>
    <s v="15-15-15"/>
    <s v="WB"/>
    <x v="8"/>
    <s v="Balurghat"/>
    <s v="User Not Mapped"/>
    <s v="User Not Mapped"/>
    <s v="User Not Mapped"/>
    <n v="126684"/>
    <s v="KAFILUDDIN MONDAL"/>
    <s v="Private Retailer"/>
    <s v="9733126674"/>
    <n v="0.05"/>
    <n v="194"/>
    <x v="1"/>
    <m/>
    <s v="2025-10-08"/>
    <s v="332079"/>
    <s v="Amcherali Mandal"/>
    <s v="9547098638"/>
  </r>
  <r>
    <s v="RCF Trombay"/>
    <s v="15-15-15"/>
    <s v="WB"/>
    <x v="8"/>
    <s v="Balurghat"/>
    <s v="User Not Mapped"/>
    <s v="User Not Mapped"/>
    <s v="User Not Mapped"/>
    <n v="391573"/>
    <s v="M/S. NAJMA BIBI"/>
    <s v="Private Retailer"/>
    <s v="9933123145"/>
    <n v="2.35"/>
    <n v="276"/>
    <x v="1"/>
    <m/>
    <s v="2025-07-18"/>
    <s v="332079"/>
    <s v="Amcherali Mandal"/>
    <s v="9547098638"/>
  </r>
  <r>
    <s v="RCF Thal"/>
    <s v="N.C.Urea(45kg)"/>
    <s v="WB"/>
    <x v="8"/>
    <m/>
    <s v="User Not Mapped"/>
    <s v="User Not Mapped"/>
    <s v="User Not Mapped"/>
    <n v="1098999"/>
    <s v="NILIMA GHOSH"/>
    <s v="Private Retailer"/>
    <s v="7933052721"/>
    <n v="0.97"/>
    <n v="1287"/>
    <x v="2"/>
    <m/>
    <s v="2022-10-11"/>
    <s v="332079"/>
    <s v="Amcherali Mandal"/>
    <s v="9547098638"/>
  </r>
  <r>
    <s v="RCF Trombay"/>
    <s v="N.C.Urea(45kg)"/>
    <s v="WB"/>
    <x v="8"/>
    <m/>
    <s v="User Not Mapped"/>
    <s v="User Not Mapped"/>
    <s v="User Not Mapped"/>
    <n v="1098999"/>
    <s v="NILIMA GHOSH"/>
    <s v="Private Retailer"/>
    <s v="7933052721"/>
    <n v="0.191"/>
    <n v="1470"/>
    <x v="2"/>
    <m/>
    <s v="2022-04-11"/>
    <s v="332079"/>
    <s v="Amcherali Mandal"/>
    <s v="9547098638"/>
  </r>
  <r>
    <s v="RCF Trombay"/>
    <s v="15-15-15"/>
    <s v="WB"/>
    <x v="8"/>
    <s v="Kumarganj"/>
    <s v="User Not Mapped"/>
    <s v="User Not Mapped"/>
    <s v="User Not Mapped"/>
    <n v="1005176"/>
    <s v="PRADIP DAS"/>
    <s v="Private Retailer"/>
    <s v="9733422942"/>
    <n v="0.04"/>
    <n v="268"/>
    <x v="1"/>
    <m/>
    <s v="2025-07-26"/>
    <s v="332079"/>
    <s v="Amcherali Mandal"/>
    <s v="9547098638"/>
  </r>
  <r>
    <s v="RCF Thal"/>
    <s v="N.C.Urea(45kg)"/>
    <s v="WB"/>
    <x v="8"/>
    <s v="Hilli"/>
    <s v="User Not Mapped"/>
    <s v="User Not Mapped"/>
    <s v="User Not Mapped"/>
    <n v="686282"/>
    <s v="Bimal Chandra Mondal"/>
    <s v="Private Retailer"/>
    <s v="8759908501"/>
    <n v="1"/>
    <n v="1139"/>
    <x v="2"/>
    <m/>
    <s v="2023-03-08"/>
    <s v="584539"/>
    <s v="BIJAY KUMAR AGARWALA"/>
    <s v="9434521132"/>
  </r>
  <r>
    <s v="RCF Thal"/>
    <s v="N.C.Urea(45kg)"/>
    <s v="WB"/>
    <x v="8"/>
    <s v="Tapan"/>
    <s v="User Not Mapped"/>
    <s v="User Not Mapped"/>
    <s v="User Not Mapped"/>
    <n v="1258418"/>
    <s v="M/S BISWAJIT KAR"/>
    <s v="Private Wholsaler"/>
    <s v="8906547307"/>
    <n v="0.29499999999999998"/>
    <n v="146"/>
    <x v="4"/>
    <s v="'6674'"/>
    <s v="2025-11-25"/>
    <s v="281486"/>
    <s v="Birendra Nath Saha"/>
    <s v="9474942172"/>
  </r>
  <r>
    <s v="RCF Thal"/>
    <s v="N.C.Urea(45kg)"/>
    <s v="WB"/>
    <x v="8"/>
    <s v="Kushmundi"/>
    <s v="User Not Mapped"/>
    <s v="User Not Mapped"/>
    <s v="User Not Mapped"/>
    <n v="126330"/>
    <s v="Abdul Hannan"/>
    <s v="Private Retailer"/>
    <s v="9733313177"/>
    <n v="1.44"/>
    <n v="256"/>
    <x v="1"/>
    <m/>
    <s v="2025-08-07"/>
    <s v="286422"/>
    <s v="Dipak Kumar Laha"/>
    <s v="6297583814"/>
  </r>
  <r>
    <s v="RCF Trombay"/>
    <s v="N.C.Urea(45kg)"/>
    <s v="WB"/>
    <x v="8"/>
    <s v="Tapan"/>
    <s v="User Not Mapped"/>
    <s v="User Not Mapped"/>
    <s v="User Not Mapped"/>
    <n v="126338"/>
    <s v="Abdul Razzak Mia"/>
    <s v="Private Retailer"/>
    <s v="9733191038"/>
    <n v="11.025"/>
    <n v="133"/>
    <x v="4"/>
    <m/>
    <s v="2025-12-08"/>
    <s v="286422"/>
    <s v="Dipak Kumar Laha"/>
    <s v="6297583814"/>
  </r>
  <r>
    <s v="RCF Thal"/>
    <s v="N.C.Urea(45kg)"/>
    <s v="WB"/>
    <x v="8"/>
    <s v="Kushmundi"/>
    <s v="User Not Mapped"/>
    <s v="User Not Mapped"/>
    <s v="User Not Mapped"/>
    <n v="391377"/>
    <s v="Ali Fert. Agency"/>
    <s v="Private Retailer"/>
    <s v="8768180108"/>
    <n v="3.0150000000000001"/>
    <n v="256"/>
    <x v="1"/>
    <m/>
    <s v="2025-08-07"/>
    <s v="286422"/>
    <s v="Dipak Kumar Laha"/>
    <s v="6297583814"/>
  </r>
  <r>
    <s v="RCF Thal"/>
    <s v="N.C.Urea(45kg)"/>
    <s v="WB"/>
    <x v="8"/>
    <s v="Gangarampur"/>
    <s v="User Not Mapped"/>
    <s v="User Not Mapped"/>
    <s v="User Not Mapped"/>
    <n v="353955"/>
    <s v="Babar Ali"/>
    <s v="Private Retailer"/>
    <s v="8001673719"/>
    <n v="0.23"/>
    <n v="11"/>
    <x v="5"/>
    <m/>
    <s v="2026-04-09"/>
    <s v="286422"/>
    <s v="Dipak Kumar Laha"/>
    <s v="6297583814"/>
  </r>
  <r>
    <s v="RCF Thal"/>
    <s v="N.C.Urea(45kg)"/>
    <s v="WB"/>
    <x v="8"/>
    <m/>
    <s v="User Not Mapped"/>
    <s v="User Not Mapped"/>
    <s v="User Not Mapped"/>
    <n v="126426"/>
    <s v="Bhaktipada Das"/>
    <s v="Private Retailer"/>
    <s v="9735085035"/>
    <n v="10.935"/>
    <n v="32"/>
    <x v="3"/>
    <m/>
    <s v="2026-03-19"/>
    <s v="286422"/>
    <s v="Dipak Kumar Laha"/>
    <s v="6297583814"/>
  </r>
  <r>
    <s v="RCF Thal"/>
    <s v="N.C.Urea(45kg)"/>
    <s v="WB"/>
    <x v="8"/>
    <s v="Balurghat"/>
    <s v="User Not Mapped"/>
    <s v="User Not Mapped"/>
    <s v="User Not Mapped"/>
    <n v="126438"/>
    <s v="Bilas Kumar Das"/>
    <s v="Private Retailer"/>
    <s v="9933588576"/>
    <n v="20.925000000000001"/>
    <n v="164"/>
    <x v="4"/>
    <m/>
    <s v="2025-11-07"/>
    <s v="286422"/>
    <s v="Dipak Kumar Laha"/>
    <s v="6297583814"/>
  </r>
  <r>
    <s v="RCF Thal"/>
    <s v="N.C.Urea(45kg)"/>
    <s v="WB"/>
    <x v="8"/>
    <s v="Tapan"/>
    <s v="User Not Mapped"/>
    <s v="User Not Mapped"/>
    <s v="User Not Mapped"/>
    <n v="126451"/>
    <s v="Bipul Kr. Ghosh"/>
    <s v="Private Retailer"/>
    <s v="9733290556"/>
    <n v="15.03"/>
    <n v="38"/>
    <x v="3"/>
    <m/>
    <s v="2026-03-13"/>
    <s v="286422"/>
    <s v="Dipak Kumar Laha"/>
    <s v="6297583814"/>
  </r>
  <r>
    <s v="RCF Import"/>
    <s v="Imp 10-26-26"/>
    <s v="WB"/>
    <x v="8"/>
    <s v="Bansihari"/>
    <s v="User Not Mapped"/>
    <s v="User Not Mapped"/>
    <s v="User Not Mapped"/>
    <n v="1099001"/>
    <s v="KRISHI GHAR"/>
    <s v="Private Retailer"/>
    <s v="9733254501"/>
    <n v="5.5"/>
    <n v="68"/>
    <x v="6"/>
    <m/>
    <s v="2026-02-11"/>
    <s v="286422"/>
    <s v="Dipak Kumar Laha"/>
    <s v="6297583814"/>
  </r>
  <r>
    <s v="RCF Thal"/>
    <s v="N.C.Urea(45kg)"/>
    <s v="WB"/>
    <x v="8"/>
    <s v="Bansihari"/>
    <s v="User Not Mapped"/>
    <s v="User Not Mapped"/>
    <s v="User Not Mapped"/>
    <n v="1099001"/>
    <s v="KRISHI GHAR"/>
    <s v="Private Retailer"/>
    <s v="9733254501"/>
    <n v="10.845000000000001"/>
    <n v="55"/>
    <x v="3"/>
    <m/>
    <s v="2026-02-24"/>
    <s v="286422"/>
    <s v="Dipak Kumar Laha"/>
    <s v="6297583814"/>
  </r>
  <r>
    <s v="RCF Import"/>
    <s v="Imp 10-26-26"/>
    <s v="WB"/>
    <x v="8"/>
    <s v="Harirampur"/>
    <s v="User Not Mapped"/>
    <s v="User Not Mapped"/>
    <s v="User Not Mapped"/>
    <n v="126612"/>
    <s v="Krishi Ghar"/>
    <s v="Private Retailer"/>
    <s v="7797951446"/>
    <n v="1"/>
    <n v="68"/>
    <x v="6"/>
    <m/>
    <s v="2026-02-11"/>
    <s v="286422"/>
    <s v="Dipak Kumar Laha"/>
    <s v="6297583814"/>
  </r>
  <r>
    <s v="RCF Import"/>
    <s v="Imp 10-26-26"/>
    <s v="WB"/>
    <x v="8"/>
    <s v="Bansihari"/>
    <s v="User Not Mapped"/>
    <s v="User Not Mapped"/>
    <s v="User Not Mapped"/>
    <n v="538452"/>
    <s v="M/S CHANDAN SHIL"/>
    <s v="Private Retailer"/>
    <s v="9614125101"/>
    <n v="0.95"/>
    <n v="68"/>
    <x v="6"/>
    <m/>
    <s v="2026-02-11"/>
    <s v="286422"/>
    <s v="Dipak Kumar Laha"/>
    <s v="6297583814"/>
  </r>
  <r>
    <s v="RCF Thal"/>
    <s v="N.C.Urea(45kg)"/>
    <s v="WB"/>
    <x v="8"/>
    <s v="Gangarampur"/>
    <s v="User Not Mapped"/>
    <s v="User Not Mapped"/>
    <s v="User Not Mapped"/>
    <n v="633336"/>
    <s v="M/S IAKUB ALI SARKAR"/>
    <s v="Private Retailer"/>
    <s v="9614477052"/>
    <n v="8.64"/>
    <n v="55"/>
    <x v="3"/>
    <m/>
    <s v="2026-02-24"/>
    <s v="286422"/>
    <s v="Dipak Kumar Laha"/>
    <s v="6297583814"/>
  </r>
  <r>
    <s v="RCF Thal"/>
    <s v="N.C.Urea(45kg)"/>
    <s v="WB"/>
    <x v="8"/>
    <s v="Tapan"/>
    <s v="User Not Mapped"/>
    <s v="User Not Mapped"/>
    <s v="User Not Mapped"/>
    <n v="693846"/>
    <s v="M/S MAA LAXMI SAR BHANDER"/>
    <s v="Private Retailer"/>
    <s v="9735976429"/>
    <n v="11.025"/>
    <n v="13"/>
    <x v="5"/>
    <m/>
    <s v="2026-04-07"/>
    <s v="286422"/>
    <s v="Dipak Kumar Laha"/>
    <s v="6297583814"/>
  </r>
  <r>
    <s v="RCF Thal"/>
    <s v="N.C.Urea(45kg)"/>
    <s v="WB"/>
    <x v="8"/>
    <s v="Hilli"/>
    <s v="User Not Mapped"/>
    <s v="User Not Mapped"/>
    <s v="User Not Mapped"/>
    <n v="1258454"/>
    <s v="M/S MINTU MONDAL"/>
    <s v="Private Retailer"/>
    <s v="7319537090"/>
    <n v="1.44"/>
    <n v="55"/>
    <x v="3"/>
    <m/>
    <s v="2026-02-24"/>
    <s v="286422"/>
    <s v="Dipak Kumar Laha"/>
    <s v="6297583814"/>
  </r>
  <r>
    <s v="RCF Thal"/>
    <s v="N.C.Urea(45kg)"/>
    <s v="WB"/>
    <x v="8"/>
    <s v="Tapan"/>
    <s v="User Not Mapped"/>
    <s v="User Not Mapped"/>
    <s v="User Not Mapped"/>
    <n v="1286109"/>
    <s v="M/S NARAYAN CHANDRA KAR"/>
    <s v="Private Retailer"/>
    <s v="8906547307"/>
    <n v="6.57"/>
    <n v="144"/>
    <x v="4"/>
    <m/>
    <s v="2025-11-27"/>
    <s v="286422"/>
    <s v="Dipak Kumar Laha"/>
    <s v="6297583814"/>
  </r>
  <r>
    <s v="RCF Trombay"/>
    <s v="N.C.Urea(45kg)"/>
    <s v="WB"/>
    <x v="8"/>
    <s v="Tapan"/>
    <s v="User Not Mapped"/>
    <s v="User Not Mapped"/>
    <s v="User Not Mapped"/>
    <n v="1286109"/>
    <s v="M/S NARAYAN CHANDRA KAR"/>
    <s v="Private Retailer"/>
    <s v="8906547307"/>
    <n v="2.97"/>
    <n v="191"/>
    <x v="1"/>
    <m/>
    <s v="2025-10-11"/>
    <s v="286422"/>
    <s v="Dipak Kumar Laha"/>
    <s v="6297583814"/>
  </r>
  <r>
    <s v="RCF Import"/>
    <s v="Imp 10-26-26"/>
    <s v="WB"/>
    <x v="8"/>
    <s v="Balurghat"/>
    <s v="User Not Mapped"/>
    <s v="User Not Mapped"/>
    <s v="User Not Mapped"/>
    <n v="632332"/>
    <s v="M/S PINAKI DAS"/>
    <s v="Private Retailer"/>
    <s v="9733429799"/>
    <n v="2.4500000000000002"/>
    <n v="68"/>
    <x v="6"/>
    <m/>
    <s v="2026-02-11"/>
    <s v="286422"/>
    <s v="Dipak Kumar Laha"/>
    <s v="6297583814"/>
  </r>
  <r>
    <s v="RCF Thal"/>
    <s v="N.C.Urea(45kg)"/>
    <s v="WB"/>
    <x v="8"/>
    <s v="Tapan"/>
    <s v="User Not Mapped"/>
    <s v="User Not Mapped"/>
    <s v="User Not Mapped"/>
    <n v="848378"/>
    <s v="M/S SARKAR FERTILIZER"/>
    <s v="Private Retailer"/>
    <s v="9679420161"/>
    <n v="11.925000000000001"/>
    <n v="83"/>
    <x v="6"/>
    <m/>
    <s v="2026-01-27"/>
    <s v="286422"/>
    <s v="Dipak Kumar Laha"/>
    <s v="6297583814"/>
  </r>
  <r>
    <s v="RCF Import"/>
    <s v="Imp 10-26-26"/>
    <s v="WB"/>
    <x v="8"/>
    <s v="Harirampur"/>
    <s v="User Not Mapped"/>
    <s v="User Not Mapped"/>
    <s v="User Not Mapped"/>
    <n v="654385"/>
    <s v="M/S. FARUK HOSSAIN"/>
    <s v="Private Retailer"/>
    <s v="7001425100"/>
    <n v="5.5"/>
    <n v="68"/>
    <x v="6"/>
    <m/>
    <s v="2026-02-11"/>
    <s v="286422"/>
    <s v="Dipak Kumar Laha"/>
    <s v="6297583814"/>
  </r>
  <r>
    <s v="RCF Thal"/>
    <s v="N.C.Urea(45kg)"/>
    <s v="WB"/>
    <x v="8"/>
    <s v="Bansihari"/>
    <s v="User Not Mapped"/>
    <s v="User Not Mapped"/>
    <s v="User Not Mapped"/>
    <n v="389870"/>
    <s v="M/S. NITAI SARKAR N SATYAJIT S"/>
    <s v="Private Retailer"/>
    <s v="9635938971"/>
    <n v="5.8049999999999997"/>
    <n v="144"/>
    <x v="4"/>
    <m/>
    <s v="2025-11-27"/>
    <s v="286422"/>
    <s v="Dipak Kumar Laha"/>
    <s v="6297583814"/>
  </r>
  <r>
    <s v="RCF Thal"/>
    <s v="N.C.Urea(45kg)"/>
    <s v="WB"/>
    <x v="8"/>
    <s v="Gangarampur"/>
    <s v="User Not Mapped"/>
    <s v="User Not Mapped"/>
    <s v="User Not Mapped"/>
    <n v="126953"/>
    <s v="M/S. UJJWAL BARMAN"/>
    <s v="Private Retailer"/>
    <s v="9734957747"/>
    <n v="9.81"/>
    <n v="83"/>
    <x v="6"/>
    <m/>
    <s v="2026-01-27"/>
    <s v="286422"/>
    <s v="Dipak Kumar Laha"/>
    <s v="6297583814"/>
  </r>
  <r>
    <s v="RCF Trombay"/>
    <s v="15-15-15"/>
    <s v="WB"/>
    <x v="8"/>
    <s v="Tapan"/>
    <s v="User Not Mapped"/>
    <s v="User Not Mapped"/>
    <s v="User Not Mapped"/>
    <n v="501292"/>
    <s v="Ma Manasa Sar Bhander"/>
    <s v="Private Retailer"/>
    <s v="9564767409"/>
    <n v="1.75"/>
    <n v="126"/>
    <x v="4"/>
    <m/>
    <s v="2025-12-15"/>
    <s v="286422"/>
    <s v="Dipak Kumar Laha"/>
    <s v="6297583814"/>
  </r>
  <r>
    <s v="RCF Trombay"/>
    <s v="N.C.Urea(45kg)"/>
    <s v="WB"/>
    <x v="8"/>
    <s v="Gangarampur"/>
    <s v="User Not Mapped"/>
    <s v="User Not Mapped"/>
    <s v="User Not Mapped"/>
    <n v="353989"/>
    <s v="Maidur Islam"/>
    <s v="Private Retailer"/>
    <s v="9733148019"/>
    <n v="11.025"/>
    <n v="119"/>
    <x v="7"/>
    <m/>
    <s v="2025-12-22"/>
    <s v="286422"/>
    <s v="Dipak Kumar Laha"/>
    <s v="6297583814"/>
  </r>
  <r>
    <s v="RCF Thal"/>
    <s v="N.C.Urea(45kg)"/>
    <s v="WB"/>
    <x v="8"/>
    <s v="Gangarampur"/>
    <s v="User Not Mapped"/>
    <s v="User Not Mapped"/>
    <s v="User Not Mapped"/>
    <n v="768188"/>
    <s v="MANI RATNA SAHA"/>
    <s v="Private Retailer"/>
    <s v="8927763435"/>
    <n v="10.305"/>
    <n v="83"/>
    <x v="6"/>
    <m/>
    <s v="2026-01-27"/>
    <s v="286422"/>
    <s v="Dipak Kumar Laha"/>
    <s v="6297583814"/>
  </r>
  <r>
    <s v="RCF Thal"/>
    <s v="N.C.Urea(45kg)"/>
    <s v="WB"/>
    <x v="8"/>
    <s v="Bansihari"/>
    <s v="User Not Mapped"/>
    <s v="User Not Mapped"/>
    <s v="User Not Mapped"/>
    <n v="1403978"/>
    <s v="MS. RAJU KUMAR PRASAD A SANTO"/>
    <s v="Private Retailer"/>
    <s v="8768949773"/>
    <n v="6.84"/>
    <n v="14"/>
    <x v="5"/>
    <m/>
    <s v="2026-04-06"/>
    <s v="286422"/>
    <s v="Dipak Kumar Laha"/>
    <s v="6297583814"/>
  </r>
  <r>
    <s v="RCF Trombay"/>
    <s v="15-15-15"/>
    <s v="WB"/>
    <x v="8"/>
    <s v="Gangarampur"/>
    <s v="User Not Mapped"/>
    <s v="User Not Mapped"/>
    <s v="User Not Mapped"/>
    <n v="126782"/>
    <s v="Purna Chattopadadhyay"/>
    <s v="Private Retailer"/>
    <s v="8670728284"/>
    <n v="0.55000000000000004"/>
    <n v="133"/>
    <x v="4"/>
    <m/>
    <s v="2025-12-08"/>
    <s v="286422"/>
    <s v="Dipak Kumar Laha"/>
    <s v="6297583814"/>
  </r>
  <r>
    <s v="RCF Trombay"/>
    <s v="N.C.Urea(45kg)"/>
    <s v="WB"/>
    <x v="8"/>
    <s v="Gangarampur"/>
    <s v="User Not Mapped"/>
    <s v="User Not Mapped"/>
    <s v="User Not Mapped"/>
    <n v="126782"/>
    <s v="Purna Chattopadadhyay"/>
    <s v="Private Retailer"/>
    <s v="8670728284"/>
    <n v="10.574999999999999"/>
    <n v="133"/>
    <x v="4"/>
    <m/>
    <s v="2025-12-08"/>
    <s v="286422"/>
    <s v="Dipak Kumar Laha"/>
    <s v="6297583814"/>
  </r>
  <r>
    <s v="RCF Thal"/>
    <s v="N.C.Urea(45kg)"/>
    <s v="WB"/>
    <x v="8"/>
    <s v="Gangarampur"/>
    <s v="User Not Mapped"/>
    <s v="User Not Mapped"/>
    <s v="User Not Mapped"/>
    <n v="126782"/>
    <s v="Purna Chattopadadhyay"/>
    <s v="Private Retailer"/>
    <s v="8670728284"/>
    <n v="22.5"/>
    <n v="83"/>
    <x v="6"/>
    <m/>
    <s v="2026-01-27"/>
    <s v="286422"/>
    <s v="Dipak Kumar Laha"/>
    <s v="6297583814"/>
  </r>
  <r>
    <s v="RCF Thal"/>
    <s v="N.C.Urea(45kg)"/>
    <s v="WB"/>
    <x v="8"/>
    <s v="Gangarampur"/>
    <s v="User Not Mapped"/>
    <s v="User Not Mapped"/>
    <s v="User Not Mapped"/>
    <n v="126782"/>
    <s v="Purna Chattopadadhyay"/>
    <s v="Private Retailer"/>
    <s v="8670728284"/>
    <n v="11.025"/>
    <n v="32"/>
    <x v="3"/>
    <m/>
    <s v="2026-03-19"/>
    <s v="286422"/>
    <s v="Dipak Kumar Laha"/>
    <s v="6297583814"/>
  </r>
  <r>
    <s v="RCF Trombay"/>
    <s v="N.C.Urea(45kg)"/>
    <s v="WB"/>
    <x v="8"/>
    <s v="Kushmundi"/>
    <s v="User Not Mapped"/>
    <s v="User Not Mapped"/>
    <s v="User Not Mapped"/>
    <n v="1518963"/>
    <s v="RAHUL ALAM"/>
    <s v="Private Retailer"/>
    <s v="8900045531"/>
    <n v="8.7750000000000004"/>
    <n v="119"/>
    <x v="7"/>
    <m/>
    <s v="2025-12-22"/>
    <s v="286422"/>
    <s v="Dipak Kumar Laha"/>
    <s v="6297583814"/>
  </r>
  <r>
    <s v="RCF Thal"/>
    <s v="N.C.Urea(45kg)"/>
    <s v="WB"/>
    <x v="8"/>
    <s v="Balurghat"/>
    <s v="User Not Mapped"/>
    <s v="User Not Mapped"/>
    <s v="User Not Mapped"/>
    <n v="596281"/>
    <s v="RAM GOPAL SEEDS STORE"/>
    <s v="Private Retailer"/>
    <s v="8016385858"/>
    <n v="9.9"/>
    <n v="164"/>
    <x v="4"/>
    <m/>
    <s v="2025-11-07"/>
    <s v="286422"/>
    <s v="Dipak Kumar Laha"/>
    <s v="6297583814"/>
  </r>
  <r>
    <s v="RCF Thal"/>
    <s v="N.C.Urea(45kg)"/>
    <s v="WB"/>
    <x v="8"/>
    <m/>
    <s v="User Not Mapped"/>
    <s v="User Not Mapped"/>
    <s v="User Not Mapped"/>
    <n v="881223"/>
    <s v="SADANANDA ROY"/>
    <s v="Private Retailer"/>
    <s v="8337842029"/>
    <n v="13.005000000000001"/>
    <n v="1973"/>
    <x v="2"/>
    <m/>
    <s v="2020-11-24"/>
    <s v="286422"/>
    <s v="Dipak Kumar Laha"/>
    <s v="6297583814"/>
  </r>
  <r>
    <s v="RCF Thal"/>
    <s v="N.C.Urea(45kg)"/>
    <s v="WB"/>
    <x v="8"/>
    <s v="Tapan"/>
    <s v="User Not Mapped"/>
    <s v="User Not Mapped"/>
    <s v="User Not Mapped"/>
    <n v="126866"/>
    <s v="Sarkar Fertiliser"/>
    <s v="Private Retailer"/>
    <s v="9734133610"/>
    <n v="10.170999999999999"/>
    <n v="38"/>
    <x v="3"/>
    <m/>
    <s v="2026-03-13"/>
    <s v="286422"/>
    <s v="Dipak Kumar Laha"/>
    <s v="6297583814"/>
  </r>
  <r>
    <s v="RCF Trombay"/>
    <s v="15-15-15"/>
    <s v="WB"/>
    <x v="8"/>
    <s v="Tapan"/>
    <s v="User Not Mapped"/>
    <s v="User Not Mapped"/>
    <s v="User Not Mapped"/>
    <n v="126866"/>
    <s v="Sarkar Fertiliser"/>
    <s v="Private Retailer"/>
    <s v="9734133610"/>
    <n v="1.45"/>
    <n v="191"/>
    <x v="1"/>
    <m/>
    <s v="2025-10-11"/>
    <s v="286422"/>
    <s v="Dipak Kumar Laha"/>
    <s v="6297583814"/>
  </r>
  <r>
    <s v="RCF Thal"/>
    <s v="N.C.Urea(45kg)"/>
    <s v="WB"/>
    <x v="8"/>
    <s v="Balurghat"/>
    <s v="User Not Mapped"/>
    <s v="User Not Mapped"/>
    <s v="User Not Mapped"/>
    <n v="860917"/>
    <s v="SUDHIR CHANDRA MANDAL"/>
    <s v="Private Retailer"/>
    <s v="9733335889"/>
    <n v="1"/>
    <n v="382"/>
    <x v="0"/>
    <m/>
    <s v="2025-04-03"/>
    <s v="286422"/>
    <s v="Dipak Kumar Laha"/>
    <s v="6297583814"/>
  </r>
  <r>
    <s v="RCF Trombay"/>
    <s v="N.C.Urea(45kg)"/>
    <s v="WB"/>
    <x v="8"/>
    <m/>
    <s v="User Not Mapped"/>
    <s v="User Not Mapped"/>
    <s v="User Not Mapped"/>
    <n v="263364"/>
    <s v="Sujit Basak"/>
    <s v="Private Retailer"/>
    <s v="9733121125"/>
    <n v="1.4850000000000001"/>
    <n v="1872"/>
    <x v="2"/>
    <m/>
    <s v="2021-03-05"/>
    <s v="286422"/>
    <s v="Dipak Kumar Laha"/>
    <s v="6297583814"/>
  </r>
  <r>
    <s v="RCF Thal"/>
    <s v="N.C.Urea(45kg)"/>
    <s v="WB"/>
    <x v="8"/>
    <s v="Kushmundi"/>
    <s v="User Not Mapped"/>
    <s v="User Not Mapped"/>
    <s v="User Not Mapped"/>
    <n v="126926"/>
    <s v="Swapan Kumar Roy"/>
    <s v="Private Retailer"/>
    <s v="9734138031"/>
    <n v="2.8650000000000002"/>
    <n v="256"/>
    <x v="1"/>
    <m/>
    <s v="2025-08-07"/>
    <s v="286422"/>
    <s v="Dipak Kumar Laha"/>
    <s v="6297583814"/>
  </r>
  <r>
    <s v="RCF Trombay"/>
    <s v="15-15-15"/>
    <s v="WB"/>
    <x v="8"/>
    <s v="Kushmundi"/>
    <s v="User Not Mapped"/>
    <s v="User Not Mapped"/>
    <s v="User Not Mapped"/>
    <n v="633342"/>
    <s v="ALI FERTILIZER AGENCY"/>
    <s v="Private Retailer"/>
    <s v="9733248366"/>
    <n v="1"/>
    <n v="29"/>
    <x v="5"/>
    <m/>
    <s v="2026-03-22"/>
    <s v="340430"/>
    <s v="JIBAN KUMAR SEN"/>
    <s v="9434144964"/>
  </r>
  <r>
    <s v="RCF Trombay"/>
    <s v="15-15-15"/>
    <s v="WB"/>
    <x v="8"/>
    <s v="Kushmundi"/>
    <s v="User Not Mapped"/>
    <s v="User Not Mapped"/>
    <s v="User Not Mapped"/>
    <n v="633342"/>
    <s v="ALI FERTILIZER AGENCY"/>
    <s v="Private Retailer"/>
    <s v="9733248366"/>
    <n v="1"/>
    <n v="58"/>
    <x v="3"/>
    <m/>
    <s v="2026-02-21"/>
    <s v="340430"/>
    <s v="JIBAN KUMAR SEN"/>
    <s v="9434144964"/>
  </r>
  <r>
    <s v="RCF Trombay"/>
    <s v="15-15-15"/>
    <s v="WB"/>
    <x v="8"/>
    <s v="Kushmundi"/>
    <s v="User Not Mapped"/>
    <s v="User Not Mapped"/>
    <s v="User Not Mapped"/>
    <n v="633342"/>
    <s v="ALI FERTILIZER AGENCY"/>
    <s v="Private Retailer"/>
    <s v="9733248366"/>
    <n v="2"/>
    <n v="4"/>
    <x v="5"/>
    <m/>
    <s v="2026-04-16"/>
    <s v="340430"/>
    <s v="JIBAN KUMAR SEN"/>
    <s v="9434144964"/>
  </r>
  <r>
    <s v="RCF Thal"/>
    <s v="N.C.Urea(45kg)"/>
    <s v="WB"/>
    <x v="8"/>
    <s v="Kushmundi"/>
    <s v="User Not Mapped"/>
    <s v="User Not Mapped"/>
    <s v="User Not Mapped"/>
    <n v="968232"/>
    <s v="ANITYA SARKAR"/>
    <s v="Private Retailer"/>
    <s v="9735093630"/>
    <n v="0.85499999999999998"/>
    <n v="1901"/>
    <x v="2"/>
    <m/>
    <s v="2021-02-04"/>
    <s v="340430"/>
    <s v="JIBAN KUMAR SEN"/>
    <s v="9434144964"/>
  </r>
  <r>
    <s v="RCF Trombay"/>
    <s v="15-15-15"/>
    <s v="WB"/>
    <x v="8"/>
    <s v="Kushmundi"/>
    <s v="User Not Mapped"/>
    <s v="User Not Mapped"/>
    <s v="User Not Mapped"/>
    <n v="968230"/>
    <s v="BARMAN FERTILIZER"/>
    <s v="Private Retailer"/>
    <s v="8637576120"/>
    <n v="0.25"/>
    <n v="20"/>
    <x v="5"/>
    <m/>
    <s v="2026-03-31"/>
    <s v="340430"/>
    <s v="JIBAN KUMAR SEN"/>
    <s v="9434144964"/>
  </r>
  <r>
    <s v="RCF Thal"/>
    <s v="N.C.Urea(45kg)"/>
    <s v="WB"/>
    <x v="8"/>
    <s v="Kushmundi"/>
    <s v="User Not Mapped"/>
    <s v="User Not Mapped"/>
    <s v="User Not Mapped"/>
    <n v="872918"/>
    <s v="BHARAT MAHATO"/>
    <s v="Private Retailer"/>
    <s v="9735909925"/>
    <n v="0.43"/>
    <n v="1657"/>
    <x v="2"/>
    <m/>
    <s v="2021-10-06"/>
    <s v="340430"/>
    <s v="JIBAN KUMAR SEN"/>
    <s v="9434144964"/>
  </r>
  <r>
    <s v="RCF Import"/>
    <s v="MOP"/>
    <s v="WB"/>
    <x v="8"/>
    <s v="Kushmundi"/>
    <s v="User Not Mapped"/>
    <s v="User Not Mapped"/>
    <s v="User Not Mapped"/>
    <n v="848380"/>
    <s v="GOLICHAND ROY"/>
    <s v="Private Retailer"/>
    <s v="9734997525"/>
    <n v="0.5"/>
    <n v="395"/>
    <x v="0"/>
    <m/>
    <s v="2025-03-21"/>
    <s v="340430"/>
    <s v="JIBAN KUMAR SEN"/>
    <s v="9434144964"/>
  </r>
  <r>
    <s v="RCF Trombay"/>
    <s v="15-15-15"/>
    <s v="WB"/>
    <x v="8"/>
    <s v="Kushmundi"/>
    <s v="User Not Mapped"/>
    <s v="User Not Mapped"/>
    <s v="User Not Mapped"/>
    <n v="126365"/>
    <s v="HAQUE FERTILIZER"/>
    <s v="Private Retailer"/>
    <s v="9647758447"/>
    <n v="0.5"/>
    <n v="29"/>
    <x v="5"/>
    <m/>
    <s v="2026-03-22"/>
    <s v="340430"/>
    <s v="JIBAN KUMAR SEN"/>
    <s v="9434144964"/>
  </r>
  <r>
    <s v="RCF Trombay"/>
    <s v="15-15-15"/>
    <s v="WB"/>
    <x v="8"/>
    <s v="Kushmundi"/>
    <s v="User Not Mapped"/>
    <s v="User Not Mapped"/>
    <s v="User Not Mapped"/>
    <n v="126365"/>
    <s v="HAQUE FERTILIZER"/>
    <s v="Private Retailer"/>
    <s v="9647758447"/>
    <n v="0.82"/>
    <n v="34"/>
    <x v="3"/>
    <m/>
    <s v="2026-03-17"/>
    <s v="340430"/>
    <s v="JIBAN KUMAR SEN"/>
    <s v="9434144964"/>
  </r>
  <r>
    <s v="RCF Trombay"/>
    <s v="15-15-15"/>
    <s v="WB"/>
    <x v="8"/>
    <s v="Kushmundi"/>
    <s v="User Not Mapped"/>
    <s v="User Not Mapped"/>
    <s v="User Not Mapped"/>
    <n v="126365"/>
    <s v="HAQUE FERTILIZER"/>
    <s v="Private Retailer"/>
    <s v="9647758447"/>
    <n v="1"/>
    <n v="20"/>
    <x v="5"/>
    <m/>
    <s v="2026-03-31"/>
    <s v="340430"/>
    <s v="JIBAN KUMAR SEN"/>
    <s v="9434144964"/>
  </r>
  <r>
    <s v="RCF Import"/>
    <s v="MOP"/>
    <s v="WB"/>
    <x v="8"/>
    <s v="Kushmundi"/>
    <s v="User Not Mapped"/>
    <s v="User Not Mapped"/>
    <s v="User Not Mapped"/>
    <n v="968220"/>
    <s v="KALIDAS ROY"/>
    <s v="Private Retailer"/>
    <s v="9735055233"/>
    <n v="0.2"/>
    <n v="398"/>
    <x v="0"/>
    <m/>
    <s v="2025-03-18"/>
    <s v="340430"/>
    <s v="JIBAN KUMAR SEN"/>
    <s v="9434144964"/>
  </r>
  <r>
    <s v="RCF Trombay"/>
    <s v="15-15-15"/>
    <s v="WB"/>
    <x v="8"/>
    <s v="Kushmundi"/>
    <s v="User Not Mapped"/>
    <s v="User Not Mapped"/>
    <s v="User Not Mapped"/>
    <n v="1101269"/>
    <s v="Khagendra Nath Barman and Mith"/>
    <s v="Private Retailer"/>
    <s v="8637827959"/>
    <n v="0.75"/>
    <n v="249"/>
    <x v="1"/>
    <m/>
    <s v="2025-08-14"/>
    <s v="340430"/>
    <s v="JIBAN KUMAR SEN"/>
    <s v="9434144964"/>
  </r>
  <r>
    <s v="RCF Import"/>
    <s v="Imp 10-26-26"/>
    <s v="WB"/>
    <x v="8"/>
    <s v="Kushmundi"/>
    <s v="User Not Mapped"/>
    <s v="User Not Mapped"/>
    <s v="User Not Mapped"/>
    <n v="126602"/>
    <s v="Khairul Alam"/>
    <s v="Private Retailer"/>
    <s v="9733276907"/>
    <n v="0.4"/>
    <n v="876"/>
    <x v="2"/>
    <m/>
    <s v="2023-11-26"/>
    <s v="340430"/>
    <s v="JIBAN KUMAR SEN"/>
    <s v="9434144964"/>
  </r>
  <r>
    <s v="RCF Trombay"/>
    <s v="15-15-15"/>
    <s v="WB"/>
    <x v="8"/>
    <s v="Kushmundi"/>
    <s v="User Not Mapped"/>
    <s v="User Not Mapped"/>
    <s v="User Not Mapped"/>
    <n v="654703"/>
    <s v="LAKSHMI FERTILIZER AGENCY"/>
    <s v="Private Retailer"/>
    <s v="9593214677"/>
    <n v="0.5"/>
    <n v="20"/>
    <x v="5"/>
    <m/>
    <s v="2026-03-31"/>
    <s v="340430"/>
    <s v="JIBAN KUMAR SEN"/>
    <s v="9434144964"/>
  </r>
  <r>
    <s v="RCF Import"/>
    <s v="Imp 10-26-26"/>
    <s v="WB"/>
    <x v="8"/>
    <s v="Kushmundi"/>
    <s v="User Not Mapped"/>
    <s v="User Not Mapped"/>
    <s v="User Not Mapped"/>
    <n v="653518"/>
    <s v="M/S DHANALAKSHMI KRISHI SAR BH"/>
    <s v="Private Retailer"/>
    <s v="7719244770"/>
    <n v="0.05"/>
    <n v="851"/>
    <x v="2"/>
    <m/>
    <s v="2023-12-21"/>
    <s v="340430"/>
    <s v="JIBAN KUMAR SEN"/>
    <s v="9434144964"/>
  </r>
  <r>
    <s v="RCF Import"/>
    <s v="MOP"/>
    <s v="WB"/>
    <x v="8"/>
    <s v="Gangarampur"/>
    <s v="User Not Mapped"/>
    <s v="User Not Mapped"/>
    <s v="User Not Mapped"/>
    <n v="693471"/>
    <s v="M/S HARUN FERT. AGENCY"/>
    <s v="Private Retailer"/>
    <s v="8250206373"/>
    <n v="1"/>
    <n v="483"/>
    <x v="0"/>
    <m/>
    <s v="2024-12-23"/>
    <s v="340430"/>
    <s v="JIBAN KUMAR SEN"/>
    <s v="9434144964"/>
  </r>
  <r>
    <s v="RCF Import"/>
    <s v="Imp 10-26-26"/>
    <s v="WB"/>
    <x v="8"/>
    <s v="Gangarampur"/>
    <s v="User Not Mapped"/>
    <s v="User Not Mapped"/>
    <s v="User Not Mapped"/>
    <n v="693471"/>
    <s v="M/S HARUN FERT. AGENCY"/>
    <s v="Private Retailer"/>
    <s v="8250206373"/>
    <n v="0.2"/>
    <n v="491"/>
    <x v="0"/>
    <m/>
    <s v="2024-12-15"/>
    <s v="340430"/>
    <s v="JIBAN KUMAR SEN"/>
    <s v="9434144964"/>
  </r>
  <r>
    <s v="RCF Import"/>
    <s v="MOP"/>
    <s v="WB"/>
    <x v="8"/>
    <s v="Kushmundi"/>
    <s v="User Not Mapped"/>
    <s v="User Not Mapped"/>
    <s v="User Not Mapped"/>
    <n v="1029764"/>
    <s v="M/S HOSSAIN FERTILIZER AGENCY"/>
    <s v="Private Retailer"/>
    <s v="8617800650"/>
    <n v="0.5"/>
    <n v="483"/>
    <x v="0"/>
    <m/>
    <s v="2024-12-23"/>
    <s v="340430"/>
    <s v="JIBAN KUMAR SEN"/>
    <s v="9434144964"/>
  </r>
  <r>
    <s v="RCF Import"/>
    <s v="Imp 10-26-26"/>
    <s v="WB"/>
    <x v="8"/>
    <s v="Kushmundi"/>
    <s v="User Not Mapped"/>
    <s v="User Not Mapped"/>
    <s v="User Not Mapped"/>
    <n v="655503"/>
    <s v="M/S MUNTU ROY"/>
    <s v="Private Retailer"/>
    <s v="9733363166"/>
    <n v="0.35"/>
    <n v="491"/>
    <x v="0"/>
    <m/>
    <s v="2024-12-15"/>
    <s v="340430"/>
    <s v="JIBAN KUMAR SEN"/>
    <s v="9434144964"/>
  </r>
  <r>
    <s v="RCF Thal"/>
    <s v="N.C.Urea(45kg)"/>
    <s v="WB"/>
    <x v="8"/>
    <s v="Gangarampur"/>
    <s v="User Not Mapped"/>
    <s v="User Not Mapped"/>
    <s v="User Not Mapped"/>
    <n v="950016"/>
    <s v="M/S UJJAL CHOWDHURY"/>
    <s v="Private Retailer"/>
    <s v="8670085334"/>
    <n v="2.25"/>
    <n v="1206"/>
    <x v="2"/>
    <m/>
    <s v="2022-12-31"/>
    <s v="340430"/>
    <s v="JIBAN KUMAR SEN"/>
    <s v="9434144964"/>
  </r>
  <r>
    <s v="RCF Trombay"/>
    <s v="15-15-15"/>
    <s v="WB"/>
    <x v="8"/>
    <s v="Kushmundi"/>
    <s v="User Not Mapped"/>
    <s v="User Not Mapped"/>
    <s v="User Not Mapped"/>
    <n v="944484"/>
    <s v="M/S. GALEN CHANDRA SARKAR"/>
    <s v="Private Retailer"/>
    <s v="8016232624"/>
    <n v="0.5"/>
    <n v="34"/>
    <x v="3"/>
    <m/>
    <s v="2026-03-17"/>
    <s v="340430"/>
    <s v="JIBAN KUMAR SEN"/>
    <s v="9434144964"/>
  </r>
  <r>
    <s v="RCF Import"/>
    <s v="Imp 10-26-26"/>
    <s v="WB"/>
    <x v="8"/>
    <s v="Kushmundi"/>
    <s v="User Not Mapped"/>
    <s v="User Not Mapped"/>
    <s v="User Not Mapped"/>
    <n v="708179"/>
    <s v="M/S. MAJEDUR FERTILIZER"/>
    <s v="Private Retailer"/>
    <s v="8945020627"/>
    <n v="0.5"/>
    <n v="874"/>
    <x v="2"/>
    <m/>
    <s v="2023-11-28"/>
    <s v="340430"/>
    <s v="JIBAN KUMAR SEN"/>
    <s v="9434144964"/>
  </r>
  <r>
    <s v="RCF Trombay"/>
    <s v="N.C.Urea(45kg)"/>
    <s v="WB"/>
    <x v="8"/>
    <s v="Kushmundi"/>
    <s v="User Not Mapped"/>
    <s v="User Not Mapped"/>
    <s v="User Not Mapped"/>
    <n v="708179"/>
    <s v="M/S. MAJEDUR FERTILIZER"/>
    <s v="Private Retailer"/>
    <s v="8945020627"/>
    <n v="0.04"/>
    <n v="1432"/>
    <x v="2"/>
    <m/>
    <s v="2022-05-19"/>
    <s v="340430"/>
    <s v="JIBAN KUMAR SEN"/>
    <s v="9434144964"/>
  </r>
  <r>
    <s v="RCF Import"/>
    <s v="MOP"/>
    <s v="WB"/>
    <x v="8"/>
    <s v="Kushmundi"/>
    <s v="User Not Mapped"/>
    <s v="User Not Mapped"/>
    <s v="User Not Mapped"/>
    <n v="978518"/>
    <s v="M/S. MIRAN FERTILIZER"/>
    <s v="Private Retailer"/>
    <s v="9733310220"/>
    <n v="0.1"/>
    <n v="395"/>
    <x v="0"/>
    <m/>
    <s v="2025-03-21"/>
    <s v="340430"/>
    <s v="JIBAN KUMAR SEN"/>
    <s v="9434144964"/>
  </r>
  <r>
    <s v="RCF Import"/>
    <s v="Imp 10-26-26"/>
    <s v="WB"/>
    <x v="8"/>
    <s v="Kushmundi"/>
    <s v="User Not Mapped"/>
    <s v="User Not Mapped"/>
    <s v="User Not Mapped"/>
    <n v="843318"/>
    <s v="ROY FERTILIZER AGENCY"/>
    <s v="Private Retailer"/>
    <s v="9735785317"/>
    <n v="0.91"/>
    <n v="851"/>
    <x v="2"/>
    <m/>
    <s v="2023-12-21"/>
    <s v="340430"/>
    <s v="JIBAN KUMAR SEN"/>
    <s v="9434144964"/>
  </r>
  <r>
    <s v="RCF Trombay"/>
    <s v="15-15-15"/>
    <s v="WB"/>
    <x v="8"/>
    <m/>
    <s v="User Not Mapped"/>
    <s v="User Not Mapped"/>
    <s v="User Not Mapped"/>
    <n v="1603920"/>
    <s v="S Alam Fertilizer"/>
    <s v="Private Retailer"/>
    <s v="7407840101"/>
    <n v="0.5"/>
    <n v="20"/>
    <x v="5"/>
    <m/>
    <s v="2026-03-31"/>
    <s v="340430"/>
    <s v="JIBAN KUMAR SEN"/>
    <s v="9434144964"/>
  </r>
  <r>
    <s v="RCF Thal"/>
    <s v="N.C.Urea(45kg)"/>
    <s v="WB"/>
    <x v="8"/>
    <s v="Kushmundi"/>
    <s v="User Not Mapped"/>
    <s v="User Not Mapped"/>
    <s v="User Not Mapped"/>
    <n v="944488"/>
    <s v="SABUJ SATHI FERTILIZER"/>
    <s v="Private Retailer"/>
    <s v="8145877615"/>
    <n v="0.02"/>
    <n v="1525"/>
    <x v="2"/>
    <m/>
    <s v="2022-02-15"/>
    <s v="340430"/>
    <s v="JIBAN KUMAR SEN"/>
    <s v="9434144964"/>
  </r>
  <r>
    <s v="RCF Import"/>
    <s v="MOP"/>
    <s v="WB"/>
    <x v="8"/>
    <s v="Kushmundi"/>
    <s v="User Not Mapped"/>
    <s v="User Not Mapped"/>
    <s v="User Not Mapped"/>
    <n v="126926"/>
    <s v="Swapan Kumar Roy"/>
    <s v="Private Retailer"/>
    <s v="9734138031"/>
    <n v="0.05"/>
    <n v="398"/>
    <x v="0"/>
    <m/>
    <s v="2025-03-18"/>
    <s v="340430"/>
    <s v="JIBAN KUMAR SEN"/>
    <s v="9434144964"/>
  </r>
  <r>
    <s v="RCF Trombay"/>
    <s v="15-15-15"/>
    <s v="WB"/>
    <x v="8"/>
    <m/>
    <s v="User Not Mapped"/>
    <s v="User Not Mapped"/>
    <s v="User Not Mapped"/>
    <n v="1488530"/>
    <s v="TOHABUR FERTILIZER AND PESTICI"/>
    <s v="Private Retailer"/>
    <s v="9609032743"/>
    <n v="0.4"/>
    <n v="20"/>
    <x v="5"/>
    <m/>
    <s v="2026-03-31"/>
    <s v="340430"/>
    <s v="JIBAN KUMAR SEN"/>
    <s v="9434144964"/>
  </r>
  <r>
    <s v="RCF Import"/>
    <s v="MOP"/>
    <s v="WB"/>
    <x v="8"/>
    <s v="Kushmundi"/>
    <s v="User Not Mapped"/>
    <s v="User Not Mapped"/>
    <s v="User Not Mapped"/>
    <n v="391377"/>
    <s v="Ali Fert. Agency"/>
    <s v="Private Retailer"/>
    <s v="8768180108"/>
    <n v="1.25"/>
    <n v="239"/>
    <x v="1"/>
    <m/>
    <s v="2025-08-24"/>
    <s v="286427"/>
    <s v="Keshav Joshi"/>
    <s v="9475163493"/>
  </r>
  <r>
    <s v="RCF Import"/>
    <s v="MOP"/>
    <s v="WB"/>
    <x v="8"/>
    <s v="Gangarampur"/>
    <s v="User Not Mapped"/>
    <s v="User Not Mapped"/>
    <s v="User Not Mapped"/>
    <n v="391359"/>
    <s v="Aminul Islam"/>
    <s v="Private Retailer"/>
    <s v="9735025516"/>
    <n v="0.85"/>
    <n v="221"/>
    <x v="1"/>
    <m/>
    <s v="2025-09-11"/>
    <s v="286427"/>
    <s v="Keshav Joshi"/>
    <s v="9475163493"/>
  </r>
  <r>
    <s v="RCF Trombay"/>
    <s v="15-15-15"/>
    <s v="WB"/>
    <x v="8"/>
    <s v="Kushmundi"/>
    <s v="User Not Mapped"/>
    <s v="User Not Mapped"/>
    <s v="User Not Mapped"/>
    <n v="286419"/>
    <s v="Keshab Joshi"/>
    <s v="Private Retailer"/>
    <s v="9475163493"/>
    <n v="2"/>
    <n v="62"/>
    <x v="6"/>
    <m/>
    <s v="2026-02-17"/>
    <s v="286427"/>
    <s v="Keshav Joshi"/>
    <s v="9475163493"/>
  </r>
  <r>
    <s v="RCF Import"/>
    <s v="MOP"/>
    <s v="WB"/>
    <x v="8"/>
    <s v="Kushmundi"/>
    <s v="User Not Mapped"/>
    <s v="User Not Mapped"/>
    <s v="User Not Mapped"/>
    <n v="1221818"/>
    <s v="M/S  ISPANHANI AJAD FERT"/>
    <s v="Private Retailer"/>
    <s v="8777064850"/>
    <n v="0.75"/>
    <n v="221"/>
    <x v="1"/>
    <m/>
    <s v="2025-09-11"/>
    <s v="286427"/>
    <s v="Keshav Joshi"/>
    <s v="9475163493"/>
  </r>
  <r>
    <s v="RCF Trombay"/>
    <s v="15-15-15"/>
    <s v="WB"/>
    <x v="8"/>
    <s v="Kushmundi"/>
    <s v="User Not Mapped"/>
    <s v="User Not Mapped"/>
    <s v="User Not Mapped"/>
    <n v="1029764"/>
    <s v="M/S HOSSAIN FERTILIZER AGENCY"/>
    <s v="Private Retailer"/>
    <s v="8617800650"/>
    <n v="1"/>
    <n v="1251"/>
    <x v="2"/>
    <m/>
    <s v="2022-11-16"/>
    <s v="286427"/>
    <s v="Keshav Joshi"/>
    <s v="9475163493"/>
  </r>
  <r>
    <s v="RCF Import"/>
    <s v="Imp 10-26-26"/>
    <s v="WB"/>
    <x v="8"/>
    <s v="Kushmundi"/>
    <s v="User Not Mapped"/>
    <s v="User Not Mapped"/>
    <s v="User Not Mapped"/>
    <n v="1029764"/>
    <s v="M/S HOSSAIN FERTILIZER AGENCY"/>
    <s v="Private Retailer"/>
    <s v="8617800650"/>
    <n v="1.2"/>
    <n v="502"/>
    <x v="0"/>
    <m/>
    <s v="2024-12-04"/>
    <s v="286427"/>
    <s v="Keshav Joshi"/>
    <s v="9475163493"/>
  </r>
  <r>
    <s v="RCF Trombay"/>
    <s v="15-15-15"/>
    <s v="WB"/>
    <x v="8"/>
    <s v="Kushmundi"/>
    <s v="User Not Mapped"/>
    <s v="User Not Mapped"/>
    <s v="User Not Mapped"/>
    <n v="1029764"/>
    <s v="M/S HOSSAIN FERTILIZER AGENCY"/>
    <s v="Private Retailer"/>
    <s v="8617800650"/>
    <n v="0.25"/>
    <n v="1605"/>
    <x v="2"/>
    <m/>
    <s v="2021-11-27"/>
    <s v="286427"/>
    <s v="Keshav Joshi"/>
    <s v="9475163493"/>
  </r>
  <r>
    <s v="RCF Trombay"/>
    <s v="N.C.Urea(45kg)"/>
    <s v="WB"/>
    <x v="8"/>
    <s v="Gangarampur"/>
    <s v="User Not Mapped"/>
    <s v="User Not Mapped"/>
    <s v="User Not Mapped"/>
    <n v="950016"/>
    <s v="M/S UJJAL CHOWDHURY"/>
    <s v="Private Retailer"/>
    <s v="8670085334"/>
    <n v="4.41"/>
    <n v="2039"/>
    <x v="2"/>
    <m/>
    <s v="2020-09-19"/>
    <s v="286427"/>
    <s v="Keshav Joshi"/>
    <s v="9475163493"/>
  </r>
  <r>
    <s v="RCF Import"/>
    <s v="Imp 10-26-26"/>
    <s v="WB"/>
    <x v="8"/>
    <s v="Kushmundi"/>
    <s v="User Not Mapped"/>
    <s v="User Not Mapped"/>
    <s v="User Not Mapped"/>
    <n v="126375"/>
    <s v="RAHAMAN FERTILIZER AGENCY"/>
    <s v="Private Retailer"/>
    <s v="9734014603"/>
    <n v="0.25"/>
    <n v="499"/>
    <x v="0"/>
    <m/>
    <s v="2024-12-07"/>
    <s v="286427"/>
    <s v="Keshav Joshi"/>
    <s v="9475163493"/>
  </r>
  <r>
    <s v="RCF Trombay"/>
    <s v="15-15-15"/>
    <s v="WB"/>
    <x v="8"/>
    <s v="Tapan"/>
    <s v="User Not Mapped"/>
    <s v="User Not Mapped"/>
    <s v="User Not Mapped"/>
    <n v="126414"/>
    <s v="Barman Fertilizer"/>
    <s v="Private Retailer"/>
    <s v="9733302516"/>
    <n v="0.35"/>
    <n v="154"/>
    <x v="4"/>
    <m/>
    <s v="2025-11-17"/>
    <s v="281503"/>
    <s v="Krishi Ghar"/>
    <s v="7031245549"/>
  </r>
  <r>
    <s v="RCF Import"/>
    <s v="Imp 10-26-26"/>
    <s v="WB"/>
    <x v="8"/>
    <s v="Harirampur"/>
    <s v="User Not Mapped"/>
    <s v="User Not Mapped"/>
    <s v="User Not Mapped"/>
    <n v="1444486"/>
    <s v="BEGUM KHALEDA RAJIYA AND SAHAN"/>
    <s v="Private Retailer"/>
    <s v="7319370915"/>
    <n v="0.25"/>
    <n v="453"/>
    <x v="0"/>
    <m/>
    <s v="2025-01-22"/>
    <s v="281503"/>
    <s v="Krishi Ghar"/>
    <s v="7031245549"/>
  </r>
  <r>
    <s v="RCF Thal"/>
    <s v="N.C.Urea(45kg)"/>
    <s v="WB"/>
    <x v="8"/>
    <s v="Gangarampur"/>
    <s v="User Not Mapped"/>
    <s v="User Not Mapped"/>
    <s v="User Not Mapped"/>
    <n v="456320"/>
    <s v="Bimal Chandra Saha"/>
    <s v="Private Retailer"/>
    <s v="9434305710"/>
    <n v="0.3"/>
    <n v="1276"/>
    <x v="2"/>
    <m/>
    <s v="2022-10-22"/>
    <s v="281503"/>
    <s v="Krishi Ghar"/>
    <s v="7031245549"/>
  </r>
  <r>
    <s v="RCF Trombay"/>
    <s v="15-15-15"/>
    <s v="WB"/>
    <x v="8"/>
    <s v="Kumarganj"/>
    <s v="User Not Mapped"/>
    <s v="User Not Mapped"/>
    <s v="User Not Mapped"/>
    <n v="391503"/>
    <s v="Gajendranath Ghosh"/>
    <s v="Private Retailer"/>
    <s v="9735063224"/>
    <n v="3.95"/>
    <n v="156"/>
    <x v="4"/>
    <m/>
    <s v="2025-11-15"/>
    <s v="281503"/>
    <s v="Krishi Ghar"/>
    <s v="7031245549"/>
  </r>
  <r>
    <s v="RCF Trombay"/>
    <s v="15-15-15"/>
    <s v="WB"/>
    <x v="8"/>
    <s v="Harirampur"/>
    <s v="User Not Mapped"/>
    <s v="User Not Mapped"/>
    <s v="User Not Mapped"/>
    <n v="1170733"/>
    <s v="IFFDC LTD"/>
    <s v="Private Wholsaler"/>
    <s v="8597890515"/>
    <n v="20"/>
    <n v="128"/>
    <x v="4"/>
    <s v="'629'"/>
    <s v="2025-12-13"/>
    <s v="281503"/>
    <s v="Krishi Ghar"/>
    <s v="7031245549"/>
  </r>
  <r>
    <s v="RCF Trombay"/>
    <s v="15-15-15"/>
    <s v="WB"/>
    <x v="8"/>
    <s v="Harirampur"/>
    <s v="User Not Mapped"/>
    <s v="User Not Mapped"/>
    <s v="User Not Mapped"/>
    <n v="1170733"/>
    <s v="IFFDC LTD"/>
    <s v="Private Wholsaler"/>
    <s v="8597890515"/>
    <n v="15"/>
    <n v="128"/>
    <x v="4"/>
    <s v="'58'"/>
    <s v="2025-12-13"/>
    <s v="281503"/>
    <s v="Krishi Ghar"/>
    <s v="7031245549"/>
  </r>
  <r>
    <s v="RCF Trombay"/>
    <s v="15-15-15"/>
    <s v="WB"/>
    <x v="8"/>
    <s v="Harirampur"/>
    <s v="User Not Mapped"/>
    <s v="User Not Mapped"/>
    <s v="User Not Mapped"/>
    <n v="952141"/>
    <s v="M/S TANMAY CHOWDHURY"/>
    <s v="Private Retailer"/>
    <s v="9733167967"/>
    <n v="0.15"/>
    <n v="360"/>
    <x v="1"/>
    <m/>
    <s v="2025-04-25"/>
    <s v="281503"/>
    <s v="Krishi Ghar"/>
    <s v="7031245549"/>
  </r>
  <r>
    <s v="RCF Trombay"/>
    <s v="N.C.Urea(45kg)"/>
    <s v="WB"/>
    <x v="8"/>
    <s v="Harirampur"/>
    <s v="User Not Mapped"/>
    <s v="User Not Mapped"/>
    <s v="User Not Mapped"/>
    <n v="952141"/>
    <s v="M/S TANMAY CHOWDHURY"/>
    <s v="Private Retailer"/>
    <s v="9733167967"/>
    <n v="0.18"/>
    <n v="360"/>
    <x v="1"/>
    <m/>
    <s v="2025-04-25"/>
    <s v="281503"/>
    <s v="Krishi Ghar"/>
    <s v="7031245549"/>
  </r>
  <r>
    <s v="RCF Thal"/>
    <s v="N.C.Urea(45kg)"/>
    <s v="WB"/>
    <x v="8"/>
    <m/>
    <s v="User Not Mapped"/>
    <s v="User Not Mapped"/>
    <s v="User Not Mapped"/>
    <n v="1278012"/>
    <s v="M/S TOFAYEL ANOWER"/>
    <s v="Private Retailer"/>
    <s v="7047133546"/>
    <n v="0.05"/>
    <n v="1500"/>
    <x v="2"/>
    <m/>
    <s v="2022-03-12"/>
    <s v="281503"/>
    <s v="Krishi Ghar"/>
    <s v="7031245549"/>
  </r>
  <r>
    <s v="RCF Trombay"/>
    <s v="15-15-15"/>
    <s v="WB"/>
    <x v="8"/>
    <m/>
    <s v="User Not Mapped"/>
    <s v="User Not Mapped"/>
    <s v="User Not Mapped"/>
    <n v="935695"/>
    <s v="M/s. JITENDRA SARKAR"/>
    <s v="Private Retailer"/>
    <s v="9775931294"/>
    <n v="0.5"/>
    <n v="340"/>
    <x v="1"/>
    <m/>
    <s v="2025-05-15"/>
    <s v="281503"/>
    <s v="Krishi Ghar"/>
    <s v="7031245549"/>
  </r>
  <r>
    <s v="RCF Thal"/>
    <s v="N.C.Urea(45kg)"/>
    <s v="WB"/>
    <x v="8"/>
    <s v="Tapan"/>
    <s v="User Not Mapped"/>
    <s v="User Not Mapped"/>
    <s v="User Not Mapped"/>
    <n v="658025"/>
    <s v="M/S. MAHASIN REJA"/>
    <s v="Private Retailer"/>
    <s v="9749818124"/>
    <n v="0.03"/>
    <n v="1859"/>
    <x v="2"/>
    <m/>
    <s v="2021-03-18"/>
    <s v="281503"/>
    <s v="Krishi Ghar"/>
    <s v="7031245549"/>
  </r>
  <r>
    <s v="RCF Import"/>
    <s v="MOP"/>
    <s v="WB"/>
    <x v="8"/>
    <s v="Gangarampur"/>
    <s v="User Not Mapped"/>
    <s v="User Not Mapped"/>
    <s v="User Not Mapped"/>
    <n v="353989"/>
    <s v="Maidur Islam"/>
    <s v="Private Retailer"/>
    <s v="9733148019"/>
    <n v="2.5499999999999998"/>
    <n v="448"/>
    <x v="0"/>
    <m/>
    <s v="2025-01-27"/>
    <s v="281503"/>
    <s v="Krishi Ghar"/>
    <s v="7031245549"/>
  </r>
  <r>
    <s v="RCF Thal"/>
    <s v="N.C.Urea(45kg)"/>
    <s v="WB"/>
    <x v="8"/>
    <s v="Gangarampur"/>
    <s v="User Not Mapped"/>
    <s v="User Not Mapped"/>
    <s v="User Not Mapped"/>
    <n v="353989"/>
    <s v="Maidur Islam"/>
    <s v="Private Retailer"/>
    <s v="9733148019"/>
    <n v="6.6150000000000002"/>
    <n v="424"/>
    <x v="0"/>
    <m/>
    <s v="2025-02-20"/>
    <s v="281503"/>
    <s v="Krishi Ghar"/>
    <s v="7031245549"/>
  </r>
  <r>
    <s v="RCF Thal"/>
    <s v="N.C.Urea(45kg)"/>
    <s v="WB"/>
    <x v="8"/>
    <s v="Kushmundi"/>
    <s v="User Not Mapped"/>
    <s v="User Not Mapped"/>
    <s v="User Not Mapped"/>
    <n v="833803"/>
    <s v="MASUD ALAM"/>
    <s v="Private Retailer"/>
    <s v="7602613737"/>
    <n v="3.5000000000000003E-2"/>
    <n v="1953"/>
    <x v="2"/>
    <m/>
    <s v="2020-12-14"/>
    <s v="281503"/>
    <s v="Krishi Ghar"/>
    <s v="7031245549"/>
  </r>
  <r>
    <s v="RCF Import"/>
    <s v="Imp 10-26-26"/>
    <s v="WB"/>
    <x v="8"/>
    <s v="Harirampur"/>
    <s v="User Not Mapped"/>
    <s v="User Not Mapped"/>
    <s v="User Not Mapped"/>
    <n v="1402208"/>
    <s v="Md AJIJ"/>
    <s v="Private Retailer"/>
    <s v="9933055060"/>
    <n v="0.14000000000000001"/>
    <n v="502"/>
    <x v="0"/>
    <m/>
    <s v="2024-12-04"/>
    <s v="281503"/>
    <s v="Krishi Ghar"/>
    <s v="7031245549"/>
  </r>
  <r>
    <s v="RCF Import"/>
    <s v="Imp 10-26-26"/>
    <s v="WB"/>
    <x v="8"/>
    <s v="Bansihari"/>
    <s v="User Not Mapped"/>
    <s v="User Not Mapped"/>
    <s v="User Not Mapped"/>
    <n v="341932"/>
    <s v="Milan Chandra  Das"/>
    <s v="Private Retailer"/>
    <s v="7872956523"/>
    <n v="2.15"/>
    <n v="62"/>
    <x v="6"/>
    <m/>
    <s v="2026-02-17"/>
    <s v="281503"/>
    <s v="Krishi Ghar"/>
    <s v="7031245549"/>
  </r>
  <r>
    <s v="RCF Import"/>
    <s v="MOP"/>
    <s v="WB"/>
    <x v="8"/>
    <s v="Bansihari"/>
    <s v="User Not Mapped"/>
    <s v="User Not Mapped"/>
    <s v="User Not Mapped"/>
    <n v="341989"/>
    <s v="Montosh Roy"/>
    <s v="Private Retailer"/>
    <s v="9734132593"/>
    <n v="0.3"/>
    <n v="453"/>
    <x v="0"/>
    <m/>
    <s v="2025-01-22"/>
    <s v="281503"/>
    <s v="Krishi Ghar"/>
    <s v="7031245549"/>
  </r>
  <r>
    <s v="RCF Trombay"/>
    <s v="15-15-15"/>
    <s v="WB"/>
    <x v="8"/>
    <s v="Gangarampur"/>
    <s v="User Not Mapped"/>
    <s v="User Not Mapped"/>
    <s v="User Not Mapped"/>
    <n v="353996"/>
    <s v="Niranjan Kumar  Bose"/>
    <s v="Private Retailer"/>
    <s v="9474440469"/>
    <n v="4.9000000000000004"/>
    <n v="203"/>
    <x v="1"/>
    <m/>
    <s v="2025-09-29"/>
    <s v="281503"/>
    <s v="Krishi Ghar"/>
    <s v="7031245549"/>
  </r>
  <r>
    <s v="RCF Import"/>
    <s v="Imp 10-26-26"/>
    <s v="WB"/>
    <x v="8"/>
    <m/>
    <s v="User Not Mapped"/>
    <s v="User Not Mapped"/>
    <s v="User Not Mapped"/>
    <n v="126737"/>
    <s v="Nurjit Ali"/>
    <s v="Private Retailer"/>
    <s v="8250889070"/>
    <n v="7.6"/>
    <n v="502"/>
    <x v="0"/>
    <m/>
    <s v="2024-12-04"/>
    <s v="281503"/>
    <s v="Krishi Ghar"/>
    <s v="7031245549"/>
  </r>
  <r>
    <s v="RCF Thal"/>
    <s v="N.C.Urea(45kg)"/>
    <s v="WB"/>
    <x v="8"/>
    <m/>
    <s v="User Not Mapped"/>
    <s v="User Not Mapped"/>
    <s v="User Not Mapped"/>
    <n v="126737"/>
    <s v="Nurjit Ali"/>
    <s v="Private Retailer"/>
    <s v="8250889070"/>
    <n v="0.18"/>
    <n v="1211"/>
    <x v="2"/>
    <m/>
    <s v="2022-12-26"/>
    <s v="281503"/>
    <s v="Krishi Ghar"/>
    <s v="7031245549"/>
  </r>
  <r>
    <s v="RCF Thal"/>
    <s v="N.C.Urea(45kg)"/>
    <s v="WB"/>
    <x v="8"/>
    <s v="Harirampur"/>
    <s v="User Not Mapped"/>
    <s v="User Not Mapped"/>
    <s v="User Not Mapped"/>
    <n v="1511072"/>
    <s v="SARWAR SAR BHANDAR"/>
    <s v="Private Retailer"/>
    <s v="9064314082"/>
    <n v="3.7349999999999999"/>
    <n v="114"/>
    <x v="7"/>
    <m/>
    <s v="2025-12-27"/>
    <s v="281503"/>
    <s v="Krishi Ghar"/>
    <s v="7031245549"/>
  </r>
  <r>
    <s v="RCF Import"/>
    <s v="Imp 10-26-26"/>
    <s v="WB"/>
    <x v="8"/>
    <s v="Bansihari"/>
    <s v="User Not Mapped"/>
    <s v="User Not Mapped"/>
    <s v="User Not Mapped"/>
    <n v="1008554"/>
    <s v="SHYAMAL KARMAKAR  ROHIT KARMAK"/>
    <s v="Private Retailer"/>
    <s v="7718187136"/>
    <n v="6"/>
    <n v="61"/>
    <x v="6"/>
    <m/>
    <s v="2026-02-18"/>
    <s v="281503"/>
    <s v="Krishi Ghar"/>
    <s v="7031245549"/>
  </r>
  <r>
    <s v="RCF Trombay"/>
    <s v="N.C.Urea(45kg)"/>
    <s v="WB"/>
    <x v="8"/>
    <s v="Harirampur"/>
    <s v="User Not Mapped"/>
    <s v="User Not Mapped"/>
    <s v="User Not Mapped"/>
    <n v="1354266"/>
    <s v="SOFIKUL HOQUE"/>
    <s v="Private Retailer"/>
    <s v="7001908062"/>
    <n v="0.45"/>
    <n v="564"/>
    <x v="2"/>
    <m/>
    <s v="2024-10-03"/>
    <s v="281503"/>
    <s v="Krishi Ghar"/>
    <s v="7031245549"/>
  </r>
  <r>
    <s v="RCF Import"/>
    <s v="Imp 10-26-26"/>
    <s v="WB"/>
    <x v="8"/>
    <s v="Bansihari"/>
    <s v="User Not Mapped"/>
    <s v="User Not Mapped"/>
    <s v="User Not Mapped"/>
    <n v="344049"/>
    <s v="Swapan Das"/>
    <s v="Private Retailer"/>
    <s v="9734980840"/>
    <n v="1"/>
    <n v="61"/>
    <x v="6"/>
    <m/>
    <s v="2026-02-18"/>
    <s v="281503"/>
    <s v="Krishi Ghar"/>
    <s v="7031245549"/>
  </r>
  <r>
    <s v="RCF Thal"/>
    <s v="N.C.Urea(45kg)"/>
    <s v="WB"/>
    <x v="8"/>
    <s v="Gangarampur"/>
    <s v="User Not Mapped"/>
    <s v="User Not Mapped"/>
    <s v="User Not Mapped"/>
    <n v="698559"/>
    <s v="M/S SARKAR FERT. AGENCY"/>
    <s v="Private Retailer"/>
    <s v="6294541084"/>
    <n v="3.645"/>
    <n v="415"/>
    <x v="0"/>
    <m/>
    <s v="2025-03-01"/>
    <s v="1152223"/>
    <s v="M/S BISWAJIT FERTILIZER"/>
    <s v="9733156272"/>
  </r>
  <r>
    <s v="RCF Trombay"/>
    <s v="15-15-15"/>
    <s v="WB"/>
    <x v="8"/>
    <s v="Tapan"/>
    <s v="User Not Mapped"/>
    <s v="User Not Mapped"/>
    <s v="User Not Mapped"/>
    <n v="1402240"/>
    <s v="M/S ANNOPURNA FERTILISER"/>
    <s v="Private Retailer"/>
    <s v="8167049709"/>
    <n v="1"/>
    <n v="65"/>
    <x v="6"/>
    <m/>
    <s v="2026-02-14"/>
    <s v="1258418"/>
    <s v="M/S BISWAJIT KAR"/>
    <s v="8906547307"/>
  </r>
  <r>
    <s v="RCF Trombay"/>
    <s v="15-15-15"/>
    <s v="WB"/>
    <x v="8"/>
    <s v="Tapan"/>
    <s v="User Not Mapped"/>
    <s v="User Not Mapped"/>
    <s v="User Not Mapped"/>
    <n v="1519422"/>
    <s v="M/S Kazi Fertilizer"/>
    <s v="Private Retailer"/>
    <s v="9064510887"/>
    <n v="1"/>
    <n v="64"/>
    <x v="6"/>
    <m/>
    <s v="2026-02-15"/>
    <s v="1258418"/>
    <s v="M/S BISWAJIT KAR"/>
    <s v="8906547307"/>
  </r>
  <r>
    <s v="RCF Thal"/>
    <s v="N.C.Urea(45kg)"/>
    <s v="WB"/>
    <x v="8"/>
    <s v="Tapan"/>
    <s v="User Not Mapped"/>
    <s v="User Not Mapped"/>
    <s v="User Not Mapped"/>
    <n v="1579767"/>
    <s v="M/S MATRI BHUMI"/>
    <s v="Private Retailer"/>
    <s v="9734162180"/>
    <n v="0.91500000000000004"/>
    <n v="95"/>
    <x v="7"/>
    <m/>
    <s v="2026-01-15"/>
    <s v="1258418"/>
    <s v="M/S BISWAJIT KAR"/>
    <s v="8906547307"/>
  </r>
  <r>
    <s v="RCF Thal"/>
    <s v="N.C.Urea(45kg)"/>
    <s v="WB"/>
    <x v="8"/>
    <s v="Tapan"/>
    <s v="User Not Mapped"/>
    <s v="User Not Mapped"/>
    <s v="User Not Mapped"/>
    <n v="390621"/>
    <s v="M/S NIREN SENGUPTA"/>
    <s v="Private Retailer"/>
    <s v="9733467599"/>
    <n v="1.8"/>
    <n v="1210"/>
    <x v="2"/>
    <m/>
    <s v="2022-12-27"/>
    <s v="1258418"/>
    <s v="M/S BISWAJIT KAR"/>
    <s v="8906547307"/>
  </r>
  <r>
    <s v="RCF Trombay"/>
    <s v="15-15-15"/>
    <s v="WB"/>
    <x v="8"/>
    <s v="Tapan"/>
    <s v="User Not Mapped"/>
    <s v="User Not Mapped"/>
    <s v="User Not Mapped"/>
    <n v="601109"/>
    <s v="M/S NURANI SAR BHANDER"/>
    <s v="Private Retailer"/>
    <s v="9733062047"/>
    <n v="4"/>
    <n v="173"/>
    <x v="4"/>
    <m/>
    <s v="2025-10-29"/>
    <s v="1258418"/>
    <s v="M/S BISWAJIT KAR"/>
    <s v="8906547307"/>
  </r>
  <r>
    <s v="RCF Thal"/>
    <s v="N.C.Urea(45kg)"/>
    <s v="WB"/>
    <x v="8"/>
    <s v="Tapan"/>
    <s v="User Not Mapped"/>
    <s v="User Not Mapped"/>
    <s v="User Not Mapped"/>
    <n v="706857"/>
    <s v="M/S RAJU BARMAN"/>
    <s v="Private Retailer"/>
    <s v="7063268698"/>
    <n v="0.09"/>
    <n v="618"/>
    <x v="2"/>
    <m/>
    <s v="2024-08-10"/>
    <s v="1258418"/>
    <s v="M/S BISWAJIT KAR"/>
    <s v="8906547307"/>
  </r>
  <r>
    <s v="RCF Thal"/>
    <s v="N.C.Urea(45kg)"/>
    <s v="WB"/>
    <x v="8"/>
    <s v="Tapan"/>
    <s v="User Not Mapped"/>
    <s v="User Not Mapped"/>
    <s v="User Not Mapped"/>
    <n v="881219"/>
    <s v="MAHABUL ISLAM"/>
    <s v="Private Retailer"/>
    <s v="8145225604"/>
    <n v="0.64"/>
    <n v="119"/>
    <x v="7"/>
    <m/>
    <s v="2025-12-22"/>
    <s v="1258418"/>
    <s v="M/S BISWAJIT KAR"/>
    <s v="8906547307"/>
  </r>
  <r>
    <s v="RCF Thal"/>
    <s v="N.C.Urea(45kg)"/>
    <s v="WB"/>
    <x v="8"/>
    <s v="Tapan"/>
    <s v="User Not Mapped"/>
    <s v="User Not Mapped"/>
    <s v="User Not Mapped"/>
    <n v="836650"/>
    <s v="MOJAMMEL HAQUE MAHALAT N ABDUL"/>
    <s v="Private Retailer"/>
    <s v="9734155883"/>
    <n v="0.1"/>
    <n v="246"/>
    <x v="1"/>
    <m/>
    <s v="2025-08-17"/>
    <s v="1258418"/>
    <s v="M/S BISWAJIT KAR"/>
    <s v="8906547307"/>
  </r>
  <r>
    <s v="RCF Thal"/>
    <s v="N.C.Urea(45kg)"/>
    <s v="WB"/>
    <x v="8"/>
    <s v="Tapan"/>
    <s v="User Not Mapped"/>
    <s v="User Not Mapped"/>
    <s v="User Not Mapped"/>
    <n v="263358"/>
    <s v="Samsul Alam Sarkar"/>
    <s v="Private Retailer"/>
    <s v="9733040519"/>
    <n v="0.01"/>
    <n v="94"/>
    <x v="7"/>
    <m/>
    <s v="2026-01-16"/>
    <s v="1258418"/>
    <s v="M/S BISWAJIT KAR"/>
    <s v="8906547307"/>
  </r>
  <r>
    <s v="RCF Thal"/>
    <s v="N.C.Urea(45kg)"/>
    <s v="WB"/>
    <x v="8"/>
    <s v="Tapan"/>
    <s v="User Not Mapped"/>
    <s v="User Not Mapped"/>
    <s v="User Not Mapped"/>
    <n v="922681"/>
    <s v="SARKAR FERTILIZER"/>
    <s v="Private Retailer"/>
    <s v="9064049835"/>
    <n v="4.4400000000000004"/>
    <n v="120"/>
    <x v="7"/>
    <m/>
    <s v="2025-12-21"/>
    <s v="1258418"/>
    <s v="M/S BISWAJIT KAR"/>
    <s v="8906547307"/>
  </r>
  <r>
    <s v="RCF Trombay"/>
    <s v="15-15-15"/>
    <s v="WB"/>
    <x v="8"/>
    <s v="Tapan"/>
    <s v="User Not Mapped"/>
    <s v="User Not Mapped"/>
    <s v="User Not Mapped"/>
    <n v="922681"/>
    <s v="SARKAR FERTILIZER"/>
    <s v="Private Retailer"/>
    <s v="9064049835"/>
    <n v="5.5"/>
    <n v="65"/>
    <x v="6"/>
    <m/>
    <s v="2026-02-14"/>
    <s v="1258418"/>
    <s v="M/S BISWAJIT KAR"/>
    <s v="8906547307"/>
  </r>
  <r>
    <s v="RCF Thal"/>
    <s v="N.C.Urea(45kg)"/>
    <s v="WB"/>
    <x v="8"/>
    <m/>
    <s v="User Not Mapped"/>
    <s v="User Not Mapped"/>
    <s v="User Not Mapped"/>
    <n v="263361"/>
    <s v="Satya Ranjan Sarkar"/>
    <s v="Private Retailer"/>
    <s v="9614554956"/>
    <n v="0.87"/>
    <n v="2410"/>
    <x v="2"/>
    <m/>
    <s v="2019-09-14"/>
    <s v="1082770"/>
    <s v="M/S DIPANKAR ROY"/>
    <s v="7063173144"/>
  </r>
  <r>
    <s v="RCF Import"/>
    <s v="Imp 10-26-26"/>
    <s v="WB"/>
    <x v="8"/>
    <s v="Gangarampur"/>
    <s v="User Not Mapped"/>
    <s v="User Not Mapped"/>
    <s v="User Not Mapped"/>
    <n v="845345"/>
    <s v="M/S MAHABUB ALAM MIAH"/>
    <s v="Private Retailer"/>
    <s v="9732405720"/>
    <n v="1"/>
    <n v="29"/>
    <x v="5"/>
    <m/>
    <s v="2026-03-22"/>
    <s v="1519430"/>
    <s v="M/S Hoque Fertilizer Agency"/>
    <s v="9775429340"/>
  </r>
  <r>
    <s v="RCF Import"/>
    <s v="Imp 10-26-26"/>
    <s v="WB"/>
    <x v="8"/>
    <m/>
    <s v="User Not Mapped"/>
    <s v="User Not Mapped"/>
    <s v="User Not Mapped"/>
    <n v="934938"/>
    <s v="M/S WASHIM K. B. B. P-A. R. M."/>
    <s v="Private Retailer"/>
    <s v="9593223181"/>
    <n v="2.35"/>
    <n v="29"/>
    <x v="5"/>
    <m/>
    <s v="2026-03-22"/>
    <s v="1519430"/>
    <s v="M/S Hoque Fertilizer Agency"/>
    <s v="9775429340"/>
  </r>
  <r>
    <s v="RCF Import"/>
    <s v="Imp 10-26-26"/>
    <s v="WB"/>
    <x v="8"/>
    <s v="Gangarampur"/>
    <s v="User Not Mapped"/>
    <s v="User Not Mapped"/>
    <s v="User Not Mapped"/>
    <n v="390276"/>
    <s v="NAJIMUL HOQUE"/>
    <s v="Private Retailer"/>
    <s v="9775429340"/>
    <n v="2.5"/>
    <n v="2"/>
    <x v="5"/>
    <m/>
    <s v="2026-04-18"/>
    <s v="1519430"/>
    <s v="M/S Hoque Fertilizer Agency"/>
    <s v="9775429340"/>
  </r>
  <r>
    <s v="RCF Import"/>
    <s v="Imp 10-26-26"/>
    <s v="WB"/>
    <x v="8"/>
    <s v="Kumarganj"/>
    <s v="User Not Mapped"/>
    <s v="User Not Mapped"/>
    <s v="User Not Mapped"/>
    <n v="305689"/>
    <s v="Sudip Roy"/>
    <s v="Private Retailer"/>
    <s v="9932200271"/>
    <n v="1"/>
    <n v="29"/>
    <x v="5"/>
    <m/>
    <s v="2026-03-22"/>
    <s v="1519430"/>
    <s v="M/S Hoque Fertilizer Agency"/>
    <s v="9775429340"/>
  </r>
  <r>
    <s v="RCF Import"/>
    <s v="Imp 10-26-26"/>
    <s v="WB"/>
    <x v="8"/>
    <s v="Kumarganj"/>
    <s v="User Not Mapped"/>
    <s v="User Not Mapped"/>
    <s v="User Not Mapped"/>
    <n v="391481"/>
    <s v="Talebul islam mandal"/>
    <s v="Private Retailer"/>
    <s v="8670611599"/>
    <n v="1"/>
    <n v="29"/>
    <x v="5"/>
    <m/>
    <s v="2026-03-22"/>
    <s v="1519430"/>
    <s v="M/S Hoque Fertilizer Agency"/>
    <s v="9775429340"/>
  </r>
  <r>
    <s v="RCF Trombay"/>
    <s v="N.C.Urea(45kg)"/>
    <s v="WB"/>
    <x v="8"/>
    <s v="Bansihari"/>
    <s v="User Not Mapped"/>
    <s v="User Not Mapped"/>
    <s v="User Not Mapped"/>
    <n v="594586"/>
    <s v="ALAM SAR BHANDAR"/>
    <s v="Private Retailer"/>
    <s v="9733082480"/>
    <n v="0.315"/>
    <n v="1234"/>
    <x v="2"/>
    <m/>
    <s v="2022-12-03"/>
    <s v="1150421"/>
    <s v="M/S KAMAL KUMAR DAS"/>
    <s v="7432910905"/>
  </r>
  <r>
    <s v="RCF Trombay"/>
    <s v="N.C.Urea(45kg)"/>
    <s v="WB"/>
    <x v="8"/>
    <s v="Kushmundi"/>
    <s v="User Not Mapped"/>
    <s v="User Not Mapped"/>
    <s v="User Not Mapped"/>
    <n v="872918"/>
    <s v="BHARAT MAHATO"/>
    <s v="Private Retailer"/>
    <s v="9735909925"/>
    <n v="1.98"/>
    <n v="1234"/>
    <x v="2"/>
    <m/>
    <s v="2022-12-03"/>
    <s v="1150421"/>
    <s v="M/S KAMAL KUMAR DAS"/>
    <s v="7432910905"/>
  </r>
  <r>
    <s v="RCF Thal"/>
    <s v="N.C.Urea(45kg)"/>
    <s v="WB"/>
    <x v="8"/>
    <s v="Tapan"/>
    <s v="User Not Mapped"/>
    <s v="User Not Mapped"/>
    <s v="User Not Mapped"/>
    <n v="1505554"/>
    <s v="M/S BARMAN FERTILIZER"/>
    <s v="Private Retailer"/>
    <s v="9609988416"/>
    <n v="6.75"/>
    <n v="2"/>
    <x v="5"/>
    <m/>
    <s v="2026-04-18"/>
    <s v="1598467"/>
    <s v="M/S Kishok Bazar "/>
    <s v="7479028672"/>
  </r>
  <r>
    <s v="RCF Thal"/>
    <s v="N.C.Urea(45kg)"/>
    <s v="WB"/>
    <x v="8"/>
    <s v="Tapan"/>
    <s v="User Not Mapped"/>
    <s v="User Not Mapped"/>
    <s v="User Not Mapped"/>
    <n v="1519422"/>
    <s v="M/S Kazi Fertilizer"/>
    <s v="Private Retailer"/>
    <s v="9064510887"/>
    <n v="2.835"/>
    <n v="67"/>
    <x v="6"/>
    <m/>
    <s v="2026-02-12"/>
    <s v="1598467"/>
    <s v="M/S Kishok Bazar "/>
    <s v="7479028672"/>
  </r>
  <r>
    <s v="RCF Import"/>
    <s v="Imp 10-26-26"/>
    <s v="WB"/>
    <x v="8"/>
    <s v="Tapan"/>
    <s v="User Not Mapped"/>
    <s v="User Not Mapped"/>
    <s v="User Not Mapped"/>
    <n v="693828"/>
    <s v="M/S. SABUJ BHANDER"/>
    <s v="Private Retailer"/>
    <s v="8617844417"/>
    <n v="1"/>
    <n v="22"/>
    <x v="5"/>
    <m/>
    <s v="2026-03-29"/>
    <s v="1598467"/>
    <s v="M/S Kishok Bazar "/>
    <s v="7479028672"/>
  </r>
  <r>
    <s v="RCF Trombay"/>
    <s v="15-15-15"/>
    <s v="WB"/>
    <x v="8"/>
    <s v="Tapan"/>
    <s v="User Not Mapped"/>
    <s v="User Not Mapped"/>
    <s v="User Not Mapped"/>
    <n v="1451639"/>
    <s v="M/S Gita Fertiliser"/>
    <s v="Private Retailer"/>
    <s v="8167049573"/>
    <n v="0.05"/>
    <n v="219"/>
    <x v="1"/>
    <m/>
    <s v="2025-09-13"/>
    <s v="1265557"/>
    <s v="M/S MRINMOY PAUL"/>
    <s v="9933415457"/>
  </r>
  <r>
    <s v="RCF Trombay"/>
    <s v="15-15-15"/>
    <s v="WB"/>
    <x v="8"/>
    <s v="Bansihari"/>
    <s v="User Not Mapped"/>
    <s v="User Not Mapped"/>
    <s v="User Not Mapped"/>
    <n v="978586"/>
    <s v="M/S-TAPAS SARKAR"/>
    <s v="Private Retailer"/>
    <s v="7797905230"/>
    <n v="0.05"/>
    <n v="1522"/>
    <x v="2"/>
    <m/>
    <s v="2022-02-18"/>
    <s v="1222813"/>
    <s v="M/S NIYATI SARKAR"/>
    <s v="8348696079"/>
  </r>
  <r>
    <s v="RCF Trombay"/>
    <s v="N.C.Urea(45kg)"/>
    <s v="WB"/>
    <x v="8"/>
    <s v="Tapan"/>
    <s v="User Not Mapped"/>
    <s v="User Not Mapped"/>
    <s v="User Not Mapped"/>
    <n v="126414"/>
    <s v="Barman Fertilizer"/>
    <s v="Private Retailer"/>
    <s v="9733302516"/>
    <n v="5.5350000000000001"/>
    <n v="142"/>
    <x v="4"/>
    <m/>
    <s v="2025-11-29"/>
    <s v="501083"/>
    <s v="M/S Raj Laxmi Sar Bhandar"/>
    <s v="9733231915"/>
  </r>
  <r>
    <s v="RCF Thal"/>
    <s v="N.C.Urea(45kg)"/>
    <s v="WB"/>
    <x v="8"/>
    <m/>
    <s v="User Not Mapped"/>
    <s v="User Not Mapped"/>
    <s v="User Not Mapped"/>
    <n v="263309"/>
    <s v="Firdus Sarkar"/>
    <s v="Private Retailer"/>
    <s v="9734993939"/>
    <n v="3.6"/>
    <n v="1853"/>
    <x v="2"/>
    <m/>
    <s v="2021-03-24"/>
    <s v="501083"/>
    <s v="M/S Raj Laxmi Sar Bhandar"/>
    <s v="9733231915"/>
  </r>
  <r>
    <s v="RCF Trombay"/>
    <s v="N.C.Urea(45kg)"/>
    <s v="WB"/>
    <x v="8"/>
    <m/>
    <s v="User Not Mapped"/>
    <s v="User Not Mapped"/>
    <s v="User Not Mapped"/>
    <n v="263309"/>
    <s v="Firdus Sarkar"/>
    <s v="Private Retailer"/>
    <s v="9734993939"/>
    <n v="3.42"/>
    <n v="2281"/>
    <x v="2"/>
    <m/>
    <s v="2020-01-21"/>
    <s v="501083"/>
    <s v="M/S Raj Laxmi Sar Bhandar"/>
    <s v="9733231915"/>
  </r>
  <r>
    <s v="RCF Trombay"/>
    <s v="15-15-15"/>
    <s v="WB"/>
    <x v="8"/>
    <s v="Balurghat"/>
    <s v="User Not Mapped"/>
    <s v="User Not Mapped"/>
    <s v="User Not Mapped"/>
    <n v="596279"/>
    <s v="MAA MANASA FERTILIZER"/>
    <s v="Private Retailer"/>
    <s v="9851602422"/>
    <n v="7.5"/>
    <n v="121"/>
    <x v="4"/>
    <m/>
    <s v="2025-12-20"/>
    <s v="501083"/>
    <s v="M/S Raj Laxmi Sar Bhandar"/>
    <s v="9733231915"/>
  </r>
  <r>
    <s v="RCF Trombay"/>
    <s v="15-15-15"/>
    <s v="WB"/>
    <x v="8"/>
    <s v="Tapan"/>
    <s v="User Not Mapped"/>
    <s v="User Not Mapped"/>
    <s v="User Not Mapped"/>
    <n v="1008738"/>
    <s v="ROY FERTLIZERS"/>
    <s v="Private Retailer"/>
    <s v="9733147286"/>
    <n v="5"/>
    <n v="127"/>
    <x v="4"/>
    <m/>
    <s v="2025-12-14"/>
    <s v="501083"/>
    <s v="M/S Raj Laxmi Sar Bhandar"/>
    <s v="9733231915"/>
  </r>
  <r>
    <s v="RCF Trombay"/>
    <s v="N.C.Urea(45kg)"/>
    <s v="WB"/>
    <x v="8"/>
    <s v="Gangarampur"/>
    <s v="User Not Mapped"/>
    <s v="User Not Mapped"/>
    <s v="User Not Mapped"/>
    <n v="377668"/>
    <s v="Prasanta Kr Biswas"/>
    <s v="Private Retailer"/>
    <s v="9733326175"/>
    <n v="2.4750000000000001"/>
    <n v="1231"/>
    <x v="2"/>
    <m/>
    <s v="2022-12-06"/>
    <s v="657762"/>
    <s v="M/S SHIV DURGA ENTERPRISE"/>
    <s v="8945092494"/>
  </r>
  <r>
    <s v="RCF Thal"/>
    <s v="N.C.Urea(45kg)"/>
    <s v="WB"/>
    <x v="8"/>
    <s v="Balurghat"/>
    <s v="User Not Mapped"/>
    <s v="User Not Mapped"/>
    <s v="User Not Mapped"/>
    <n v="939847"/>
    <s v="ANIL GHOSH"/>
    <s v="Private Retailer"/>
    <s v="7063299724"/>
    <n v="0.44"/>
    <n v="1121"/>
    <x v="2"/>
    <m/>
    <s v="2023-03-26"/>
    <s v="1223571"/>
    <s v="M/S SUBRATA KUMAR LAHA"/>
    <s v="8637363960"/>
  </r>
  <r>
    <s v="RCF Import"/>
    <s v="Imp 10-26-26"/>
    <s v="WB"/>
    <x v="8"/>
    <s v="Hilli"/>
    <s v="User Not Mapped"/>
    <s v="User Not Mapped"/>
    <s v="User Not Mapped"/>
    <n v="225916"/>
    <s v="Bablu Mahata"/>
    <s v="Private Retailer"/>
    <s v="8145760548"/>
    <n v="2.8"/>
    <n v="266"/>
    <x v="1"/>
    <m/>
    <s v="2025-07-28"/>
    <s v="1223571"/>
    <s v="M/S SUBRATA KUMAR LAHA"/>
    <s v="8637363960"/>
  </r>
  <r>
    <s v="RCF Import"/>
    <s v="MOP"/>
    <s v="WB"/>
    <x v="8"/>
    <s v="Hilli"/>
    <s v="User Not Mapped"/>
    <s v="User Not Mapped"/>
    <s v="User Not Mapped"/>
    <n v="653073"/>
    <s v="BHUSHAN KUMAR DAS"/>
    <s v="Private Retailer"/>
    <s v="6294926998"/>
    <n v="0.75"/>
    <n v="492"/>
    <x v="0"/>
    <m/>
    <s v="2024-12-14"/>
    <s v="1223571"/>
    <s v="M/S SUBRATA KUMAR LAHA"/>
    <s v="8637363960"/>
  </r>
  <r>
    <s v="RCF Import"/>
    <s v="MOP"/>
    <s v="WB"/>
    <x v="8"/>
    <s v="Hilli"/>
    <s v="User Not Mapped"/>
    <s v="User Not Mapped"/>
    <s v="User Not Mapped"/>
    <n v="645328"/>
    <s v="JHARNA SARKAR DAS"/>
    <s v="Private Retailer"/>
    <s v="9647802084"/>
    <n v="0.9"/>
    <n v="312"/>
    <x v="1"/>
    <m/>
    <s v="2025-06-12"/>
    <s v="1223571"/>
    <s v="M/S SUBRATA KUMAR LAHA"/>
    <s v="8637363960"/>
  </r>
  <r>
    <s v="RCF Import"/>
    <s v="Imp 10-26-26"/>
    <s v="WB"/>
    <x v="8"/>
    <s v="Hilli"/>
    <s v="User Not Mapped"/>
    <s v="User Not Mapped"/>
    <s v="User Not Mapped"/>
    <n v="645328"/>
    <s v="JHARNA SARKAR DAS"/>
    <s v="Private Retailer"/>
    <s v="9647802084"/>
    <n v="2.8"/>
    <n v="266"/>
    <x v="1"/>
    <m/>
    <s v="2025-07-28"/>
    <s v="1223571"/>
    <s v="M/S SUBRATA KUMAR LAHA"/>
    <s v="8637363960"/>
  </r>
  <r>
    <s v="RCF Import"/>
    <s v="Imp 10-26-26"/>
    <s v="WB"/>
    <x v="8"/>
    <s v="Hilli"/>
    <s v="User Not Mapped"/>
    <s v="User Not Mapped"/>
    <s v="User Not Mapped"/>
    <n v="1444490"/>
    <s v="JOYDEV LAHA"/>
    <s v="Private Retailer"/>
    <s v="6294343669"/>
    <n v="2.1"/>
    <n v="266"/>
    <x v="1"/>
    <m/>
    <s v="2025-07-28"/>
    <s v="1223571"/>
    <s v="M/S SUBRATA KUMAR LAHA"/>
    <s v="8637363960"/>
  </r>
  <r>
    <s v="RCF Trombay"/>
    <s v="15-15-15"/>
    <s v="WB"/>
    <x v="8"/>
    <s v="Balurghat"/>
    <s v="User Not Mapped"/>
    <s v="User Not Mapped"/>
    <s v="User Not Mapped"/>
    <n v="1246191"/>
    <s v="M/S SUJIT BASAK  SUDEB KUMAR "/>
    <s v="Private Retailer"/>
    <s v="8918761139"/>
    <n v="3"/>
    <n v="127"/>
    <x v="4"/>
    <m/>
    <s v="2025-12-14"/>
    <s v="1223571"/>
    <s v="M/S SUBRATA KUMAR LAHA"/>
    <s v="8637363960"/>
  </r>
  <r>
    <s v="RCF Import"/>
    <s v="Imp 10-26-26"/>
    <s v="WB"/>
    <x v="8"/>
    <s v="Balurghat"/>
    <s v="User Not Mapped"/>
    <s v="User Not Mapped"/>
    <s v="User Not Mapped"/>
    <n v="1246191"/>
    <s v="M/S SUJIT BASAK  SUDEB KUMAR "/>
    <s v="Private Retailer"/>
    <s v="8918761139"/>
    <n v="0.3"/>
    <n v="267"/>
    <x v="1"/>
    <m/>
    <s v="2025-07-27"/>
    <s v="1223571"/>
    <s v="M/S SUBRATA KUMAR LAHA"/>
    <s v="8637363960"/>
  </r>
  <r>
    <s v="RCF Thal"/>
    <s v="N.C.Urea(45kg)"/>
    <s v="WB"/>
    <x v="8"/>
    <s v="Hilli"/>
    <s v="User Not Mapped"/>
    <s v="User Not Mapped"/>
    <s v="User Not Mapped"/>
    <n v="126858"/>
    <s v="MS. SANTANA MAHANTA"/>
    <s v="Private Retailer"/>
    <s v="8906300314"/>
    <n v="5.0000000000000001E-3"/>
    <n v="1399"/>
    <x v="2"/>
    <m/>
    <s v="2022-06-21"/>
    <s v="1223571"/>
    <s v="M/S SUBRATA KUMAR LAHA"/>
    <s v="8637363960"/>
  </r>
  <r>
    <s v="RCF Import"/>
    <s v="Imp 10-26-26"/>
    <s v="WB"/>
    <x v="8"/>
    <s v="Balurghat"/>
    <s v="User Not Mapped"/>
    <s v="User Not Mapped"/>
    <s v="User Not Mapped"/>
    <n v="633939"/>
    <s v="SAFALI PAUL"/>
    <s v="Private Retailer"/>
    <s v="7047656280"/>
    <n v="1.4"/>
    <n v="266"/>
    <x v="1"/>
    <m/>
    <s v="2025-07-28"/>
    <s v="1223571"/>
    <s v="M/S SUBRATA KUMAR LAHA"/>
    <s v="8637363960"/>
  </r>
  <r>
    <s v="RCF Thal"/>
    <s v="N.C.Urea(45kg)"/>
    <s v="WB"/>
    <x v="8"/>
    <s v="Balurghat"/>
    <s v="User Not Mapped"/>
    <s v="User Not Mapped"/>
    <s v="User Not Mapped"/>
    <n v="939923"/>
    <s v="SUKHENDU LAHA"/>
    <s v="Private Retailer"/>
    <s v="8918329749"/>
    <n v="3.15"/>
    <n v="1383"/>
    <x v="2"/>
    <m/>
    <s v="2022-07-07"/>
    <s v="1223571"/>
    <s v="M/S SUBRATA KUMAR LAHA"/>
    <s v="8637363960"/>
  </r>
  <r>
    <s v="RCF Trombay"/>
    <s v="15-15-15"/>
    <s v="WB"/>
    <x v="8"/>
    <s v="Tapan"/>
    <s v="User Not Mapped"/>
    <s v="User Not Mapped"/>
    <s v="User Not Mapped"/>
    <n v="601107"/>
    <s v="ARUN KR MALI"/>
    <s v="Private Retailer"/>
    <s v="9733261458"/>
    <n v="2.5000000000000001E-2"/>
    <n v="135"/>
    <x v="4"/>
    <m/>
    <s v="2025-12-06"/>
    <s v="354029"/>
    <s v="M/s. Bhumi Laxmi"/>
    <s v="9153195790"/>
  </r>
  <r>
    <s v="RCF Trombay"/>
    <s v="15-15-15"/>
    <s v="WB"/>
    <x v="8"/>
    <s v="Tapan"/>
    <s v="User Not Mapped"/>
    <s v="User Not Mapped"/>
    <s v="User Not Mapped"/>
    <n v="633376"/>
    <s v="M/S SHIV DURGA ENTERPRISE"/>
    <s v="Private Retailer"/>
    <s v="9609923404"/>
    <n v="2.5000000000000001E-2"/>
    <n v="76"/>
    <x v="6"/>
    <m/>
    <s v="2026-02-03"/>
    <s v="354029"/>
    <s v="M/s. Bhumi Laxmi"/>
    <s v="9153195790"/>
  </r>
  <r>
    <s v="RCF Import"/>
    <s v="Imp 10-26-26"/>
    <s v="WB"/>
    <x v="8"/>
    <s v="Bansihari"/>
    <s v="User Not Mapped"/>
    <s v="User Not Mapped"/>
    <s v="User Not Mapped"/>
    <n v="1173006"/>
    <s v="M/S. JIAUL HUDA"/>
    <s v="Private Retailer"/>
    <s v="9382800240"/>
    <n v="18"/>
    <n v="62"/>
    <x v="6"/>
    <m/>
    <s v="2026-02-17"/>
    <s v="354029"/>
    <s v="M/s. Bhumi Laxmi"/>
    <s v="9153195790"/>
  </r>
  <r>
    <s v="RCF Trombay"/>
    <s v="15-15-15"/>
    <s v="WB"/>
    <x v="8"/>
    <s v="Tapan"/>
    <s v="User Not Mapped"/>
    <s v="User Not Mapped"/>
    <s v="User Not Mapped"/>
    <n v="870296"/>
    <s v="M/S. SITA RANI BARMAN N KARTIK"/>
    <s v="Private Retailer"/>
    <s v="9547957367"/>
    <n v="0.15"/>
    <n v="489"/>
    <x v="0"/>
    <m/>
    <s v="2024-12-17"/>
    <s v="354029"/>
    <s v="M/s. Bhumi Laxmi"/>
    <s v="9153195790"/>
  </r>
  <r>
    <s v="RCF Trombay"/>
    <s v="15-15-15"/>
    <s v="WB"/>
    <x v="8"/>
    <s v="Balurghat"/>
    <s v="User Not Mapped"/>
    <s v="User Not Mapped"/>
    <s v="User Not Mapped"/>
    <n v="216484"/>
    <s v="Sankar Debnath"/>
    <s v="Private Retailer"/>
    <s v="8145810411"/>
    <n v="0.65"/>
    <n v="130"/>
    <x v="4"/>
    <m/>
    <s v="2025-12-11"/>
    <s v="354029"/>
    <s v="M/s. Bhumi Laxmi"/>
    <s v="9153195790"/>
  </r>
  <r>
    <s v="RCF Thal"/>
    <s v="N.C.Urea(45kg)"/>
    <s v="WB"/>
    <x v="8"/>
    <s v="Gangarampur"/>
    <s v="User Not Mapped"/>
    <s v="User Not Mapped"/>
    <s v="User Not Mapped"/>
    <n v="844100"/>
    <s v="ABDUL HAI MIYNA"/>
    <s v="Private Retailer"/>
    <s v="9775941545"/>
    <n v="8.2799999999999994"/>
    <n v="872"/>
    <x v="2"/>
    <m/>
    <s v="2023-11-30"/>
    <s v="263373"/>
    <s v="M/s. Kanailal Kedar Prasad"/>
    <s v="9735692523"/>
  </r>
  <r>
    <s v="RCF Thal"/>
    <s v="N.C.Urea(45kg)"/>
    <s v="WB"/>
    <x v="8"/>
    <s v="Kushmundi"/>
    <s v="User Not Mapped"/>
    <s v="User Not Mapped"/>
    <s v="User Not Mapped"/>
    <n v="126330"/>
    <s v="Abdul Hannan"/>
    <s v="Private Retailer"/>
    <s v="9733313177"/>
    <n v="11.025"/>
    <n v="126"/>
    <x v="4"/>
    <m/>
    <s v="2025-12-15"/>
    <s v="263373"/>
    <s v="M/s. Kanailal Kedar Prasad"/>
    <s v="9735692523"/>
  </r>
  <r>
    <s v="RCF Trombay"/>
    <s v="N.C.Urea(45kg)"/>
    <s v="WB"/>
    <x v="8"/>
    <s v="Kushmundi"/>
    <s v="User Not Mapped"/>
    <s v="User Not Mapped"/>
    <s v="User Not Mapped"/>
    <n v="126330"/>
    <s v="Abdul Hannan"/>
    <s v="Private Retailer"/>
    <s v="9733313177"/>
    <n v="8.91"/>
    <n v="133"/>
    <x v="4"/>
    <m/>
    <s v="2025-12-08"/>
    <s v="263373"/>
    <s v="M/s. Kanailal Kedar Prasad"/>
    <s v="9735692523"/>
  </r>
  <r>
    <s v="RCF Thal"/>
    <s v="N.C.Urea(45kg)"/>
    <s v="WB"/>
    <x v="8"/>
    <s v="Kushmundi"/>
    <s v="User Not Mapped"/>
    <s v="User Not Mapped"/>
    <s v="User Not Mapped"/>
    <n v="126330"/>
    <s v="Abdul Hannan"/>
    <s v="Private Retailer"/>
    <s v="9733313177"/>
    <n v="11.025"/>
    <n v="90"/>
    <x v="6"/>
    <m/>
    <s v="2026-01-20"/>
    <s v="263373"/>
    <s v="M/s. Kanailal Kedar Prasad"/>
    <s v="9735692523"/>
  </r>
  <r>
    <s v="RCF Trombay"/>
    <s v="N.C.Urea(45kg)"/>
    <s v="WB"/>
    <x v="8"/>
    <s v="Tapan"/>
    <s v="User Not Mapped"/>
    <s v="User Not Mapped"/>
    <s v="User Not Mapped"/>
    <n v="126338"/>
    <s v="Abdul Razzak Mia"/>
    <s v="Private Retailer"/>
    <s v="9733191038"/>
    <n v="3.915"/>
    <n v="191"/>
    <x v="1"/>
    <m/>
    <s v="2025-10-11"/>
    <s v="263373"/>
    <s v="M/s. Kanailal Kedar Prasad"/>
    <s v="9735692523"/>
  </r>
  <r>
    <s v="RCF Thal"/>
    <s v="N.C.Urea(45kg)"/>
    <s v="WB"/>
    <x v="8"/>
    <s v="Kumarganj"/>
    <s v="User Not Mapped"/>
    <s v="User Not Mapped"/>
    <s v="User Not Mapped"/>
    <n v="340300"/>
    <s v="AKTARUJ ZAMAN MONDAL"/>
    <s v="Private Retailer"/>
    <s v="9775429596"/>
    <n v="22.05"/>
    <n v="42"/>
    <x v="3"/>
    <m/>
    <s v="2026-03-09"/>
    <s v="263373"/>
    <s v="M/s. Kanailal Kedar Prasad"/>
    <s v="9735692523"/>
  </r>
  <r>
    <s v="RCF Thal"/>
    <s v="N.C.Urea(45kg)"/>
    <s v="WB"/>
    <x v="8"/>
    <s v="Bansihari"/>
    <s v="User Not Mapped"/>
    <s v="User Not Mapped"/>
    <s v="User Not Mapped"/>
    <n v="594586"/>
    <s v="ALAM SAR BHANDAR"/>
    <s v="Private Retailer"/>
    <s v="9733082480"/>
    <n v="2.52"/>
    <n v="1216"/>
    <x v="2"/>
    <m/>
    <s v="2022-12-21"/>
    <s v="263373"/>
    <s v="M/s. Kanailal Kedar Prasad"/>
    <s v="9735692523"/>
  </r>
  <r>
    <s v="RCF Thal"/>
    <s v="N.C.Urea(45kg)"/>
    <s v="WB"/>
    <x v="8"/>
    <s v="Bansihari"/>
    <s v="User Not Mapped"/>
    <s v="User Not Mapped"/>
    <s v="User Not Mapped"/>
    <n v="958822"/>
    <s v="ALAM SARKAR"/>
    <s v="Private Retailer"/>
    <s v="9735557797"/>
    <n v="0.01"/>
    <n v="148"/>
    <x v="4"/>
    <m/>
    <s v="2025-11-23"/>
    <s v="263373"/>
    <s v="M/s. Kanailal Kedar Prasad"/>
    <s v="9735692523"/>
  </r>
  <r>
    <s v="RCF Thal"/>
    <s v="N.C.Urea(45kg)"/>
    <s v="WB"/>
    <x v="8"/>
    <s v="Tapan"/>
    <s v="User Not Mapped"/>
    <s v="User Not Mapped"/>
    <s v="User Not Mapped"/>
    <n v="225933"/>
    <s v="Aminul Islam"/>
    <s v="Private Retailer"/>
    <s v="8918942416"/>
    <n v="1.0349999999999999"/>
    <n v="90"/>
    <x v="6"/>
    <m/>
    <s v="2026-01-20"/>
    <s v="263373"/>
    <s v="M/s. Kanailal Kedar Prasad"/>
    <s v="9735692523"/>
  </r>
  <r>
    <s v="RCF Thal"/>
    <s v="N.C.Urea(45kg)"/>
    <s v="WB"/>
    <x v="8"/>
    <s v="Tapan"/>
    <s v="User Not Mapped"/>
    <s v="User Not Mapped"/>
    <s v="User Not Mapped"/>
    <n v="340302"/>
    <s v="ASHOK Kumar Saha"/>
    <s v="Private Retailer"/>
    <s v="8926449619"/>
    <n v="5.4"/>
    <n v="42"/>
    <x v="3"/>
    <m/>
    <s v="2026-03-09"/>
    <s v="263373"/>
    <s v="M/s. Kanailal Kedar Prasad"/>
    <s v="9735692523"/>
  </r>
  <r>
    <s v="RCF Trombay"/>
    <s v="N.C.Urea(45kg)"/>
    <s v="WB"/>
    <x v="8"/>
    <s v="Tapan"/>
    <s v="User Not Mapped"/>
    <s v="User Not Mapped"/>
    <s v="User Not Mapped"/>
    <n v="340302"/>
    <s v="ASHOK Kumar Saha"/>
    <s v="Private Retailer"/>
    <s v="8926449619"/>
    <n v="3.375"/>
    <n v="125"/>
    <x v="4"/>
    <m/>
    <s v="2025-12-16"/>
    <s v="263373"/>
    <s v="M/s. Kanailal Kedar Prasad"/>
    <s v="9735692523"/>
  </r>
  <r>
    <s v="RCF Thal"/>
    <s v="N.C.Urea(45kg)"/>
    <s v="WB"/>
    <x v="8"/>
    <s v="Hilli"/>
    <s v="User Not Mapped"/>
    <s v="User Not Mapped"/>
    <s v="User Not Mapped"/>
    <n v="225916"/>
    <s v="Bablu Mahata"/>
    <s v="Private Retailer"/>
    <s v="8145760548"/>
    <n v="0.36499999999999999"/>
    <n v="221"/>
    <x v="1"/>
    <m/>
    <s v="2025-09-11"/>
    <s v="263373"/>
    <s v="M/s. Kanailal Kedar Prasad"/>
    <s v="9735692523"/>
  </r>
  <r>
    <s v="RCF Thal"/>
    <s v="N.C.Urea(45kg)"/>
    <s v="WB"/>
    <x v="8"/>
    <s v="Harirampur"/>
    <s v="User Not Mapped"/>
    <s v="User Not Mapped"/>
    <s v="User Not Mapped"/>
    <n v="637415"/>
    <s v="BANESWAR SARKAR"/>
    <s v="Private Retailer"/>
    <s v="9647894451"/>
    <n v="2.79"/>
    <n v="42"/>
    <x v="3"/>
    <m/>
    <s v="2026-03-09"/>
    <s v="263373"/>
    <s v="M/s. Kanailal Kedar Prasad"/>
    <s v="9735692523"/>
  </r>
  <r>
    <s v="RCF Trombay"/>
    <s v="N.C.Urea(45kg)"/>
    <s v="WB"/>
    <x v="8"/>
    <s v="Kushmundi"/>
    <s v="User Not Mapped"/>
    <s v="User Not Mapped"/>
    <s v="User Not Mapped"/>
    <n v="755084"/>
    <s v="BANKIM SARKAR"/>
    <s v="Private Retailer"/>
    <s v="7872956725"/>
    <n v="6.84"/>
    <n v="164"/>
    <x v="4"/>
    <m/>
    <s v="2025-11-07"/>
    <s v="263373"/>
    <s v="M/s. Kanailal Kedar Prasad"/>
    <s v="9735692523"/>
  </r>
  <r>
    <s v="RCF Thal"/>
    <s v="N.C.Urea(45kg)"/>
    <s v="WB"/>
    <x v="8"/>
    <s v="Tapan"/>
    <s v="User Not Mapped"/>
    <s v="User Not Mapped"/>
    <s v="User Not Mapped"/>
    <n v="340314"/>
    <s v="Bapi Sarkar"/>
    <s v="Private Retailer"/>
    <s v="9733316026"/>
    <n v="0.09"/>
    <n v="148"/>
    <x v="4"/>
    <m/>
    <s v="2025-11-23"/>
    <s v="263373"/>
    <s v="M/s. Kanailal Kedar Prasad"/>
    <s v="9735692523"/>
  </r>
  <r>
    <s v="RCF Trombay"/>
    <s v="N.C.Urea(45kg)"/>
    <s v="WB"/>
    <x v="8"/>
    <s v="Tapan"/>
    <s v="User Not Mapped"/>
    <s v="User Not Mapped"/>
    <s v="User Not Mapped"/>
    <n v="340314"/>
    <s v="Bapi Sarkar"/>
    <s v="Private Retailer"/>
    <s v="9733316026"/>
    <n v="5.49"/>
    <n v="133"/>
    <x v="4"/>
    <m/>
    <s v="2025-12-08"/>
    <s v="263373"/>
    <s v="M/s. Kanailal Kedar Prasad"/>
    <s v="9735692523"/>
  </r>
  <r>
    <s v="RCF Thal"/>
    <s v="N.C.Urea(45kg)"/>
    <s v="WB"/>
    <x v="8"/>
    <s v="Tapan"/>
    <s v="User Not Mapped"/>
    <s v="User Not Mapped"/>
    <s v="User Not Mapped"/>
    <n v="340314"/>
    <s v="Bapi Sarkar"/>
    <s v="Private Retailer"/>
    <s v="9733316026"/>
    <n v="6.5250000000000004"/>
    <n v="90"/>
    <x v="6"/>
    <m/>
    <s v="2026-01-20"/>
    <s v="263373"/>
    <s v="M/s. Kanailal Kedar Prasad"/>
    <s v="9735692523"/>
  </r>
  <r>
    <s v="RCF Thal"/>
    <s v="N.C.Urea(45kg)"/>
    <s v="WB"/>
    <x v="8"/>
    <s v="Tapan"/>
    <s v="User Not Mapped"/>
    <s v="User Not Mapped"/>
    <s v="User Not Mapped"/>
    <n v="657738"/>
    <s v="BASANTI BARMAN"/>
    <s v="Private Retailer"/>
    <s v="9733106394"/>
    <n v="5.4"/>
    <n v="90"/>
    <x v="6"/>
    <m/>
    <s v="2026-01-20"/>
    <s v="263373"/>
    <s v="M/s. Kanailal Kedar Prasad"/>
    <s v="9735692523"/>
  </r>
  <r>
    <s v="RCF Thal"/>
    <s v="N.C.Urea(45kg)"/>
    <s v="WB"/>
    <x v="8"/>
    <s v="Gangarampur"/>
    <s v="User Not Mapped"/>
    <s v="User Not Mapped"/>
    <s v="User Not Mapped"/>
    <n v="353959"/>
    <s v="BASUDEB GHOSH"/>
    <s v="Private Retailer"/>
    <s v="9933162339"/>
    <n v="4.4550000000000001"/>
    <n v="121"/>
    <x v="4"/>
    <m/>
    <s v="2025-12-20"/>
    <s v="263373"/>
    <s v="M/s. Kanailal Kedar Prasad"/>
    <s v="9735692523"/>
  </r>
  <r>
    <s v="RCF Thal"/>
    <s v="N.C.Urea(45kg)"/>
    <s v="WB"/>
    <x v="8"/>
    <s v="Balurghat"/>
    <s v="User Not Mapped"/>
    <s v="User Not Mapped"/>
    <s v="User Not Mapped"/>
    <n v="390067"/>
    <s v="Bijan Mahata"/>
    <s v="Private Retailer"/>
    <s v="8670646364"/>
    <n v="3.06"/>
    <n v="87"/>
    <x v="6"/>
    <m/>
    <s v="2026-01-23"/>
    <s v="263373"/>
    <s v="M/s. Kanailal Kedar Prasad"/>
    <s v="9735692523"/>
  </r>
  <r>
    <s v="RCF Thal"/>
    <s v="N.C.Urea(45kg)"/>
    <s v="WB"/>
    <x v="8"/>
    <s v="Hilli"/>
    <s v="User Not Mapped"/>
    <s v="User Not Mapped"/>
    <s v="User Not Mapped"/>
    <n v="678987"/>
    <s v="BINODH MONDAL"/>
    <s v="Private Retailer"/>
    <s v="7407593594"/>
    <n v="0.45"/>
    <n v="117"/>
    <x v="7"/>
    <m/>
    <s v="2025-12-24"/>
    <s v="263373"/>
    <s v="M/s. Kanailal Kedar Prasad"/>
    <s v="9735692523"/>
  </r>
  <r>
    <s v="RCF Thal"/>
    <s v="N.C.Urea(45kg)"/>
    <s v="WB"/>
    <x v="8"/>
    <s v="Kumarganj"/>
    <s v="User Not Mapped"/>
    <s v="User Not Mapped"/>
    <s v="User Not Mapped"/>
    <n v="305675"/>
    <s v="Bipul Kr Roy"/>
    <s v="Private Retailer"/>
    <s v="9734940426"/>
    <n v="3.51"/>
    <n v="42"/>
    <x v="3"/>
    <m/>
    <s v="2026-03-09"/>
    <s v="263373"/>
    <s v="M/s. Kanailal Kedar Prasad"/>
    <s v="9735692523"/>
  </r>
  <r>
    <s v="RCF Trombay"/>
    <s v="N.C.Urea(45kg)"/>
    <s v="WB"/>
    <x v="8"/>
    <m/>
    <s v="User Not Mapped"/>
    <s v="User Not Mapped"/>
    <s v="User Not Mapped"/>
    <n v="1098989"/>
    <s v="BIREN SARKAR"/>
    <s v="Private Retailer"/>
    <s v="9563323725"/>
    <n v="0.45"/>
    <n v="1862"/>
    <x v="2"/>
    <m/>
    <s v="2021-03-15"/>
    <s v="263373"/>
    <s v="M/s. Kanailal Kedar Prasad"/>
    <s v="9735692523"/>
  </r>
  <r>
    <s v="RCF Thal"/>
    <s v="N.C.Urea(45kg)"/>
    <s v="WB"/>
    <x v="8"/>
    <s v="Kumarganj"/>
    <s v="User Not Mapped"/>
    <s v="User Not Mapped"/>
    <s v="User Not Mapped"/>
    <n v="253308"/>
    <s v="Biswajit Kundu"/>
    <s v="Private Retailer"/>
    <s v="8016050030"/>
    <n v="7.67"/>
    <n v="104"/>
    <x v="7"/>
    <m/>
    <s v="2026-01-06"/>
    <s v="263373"/>
    <s v="M/s. Kanailal Kedar Prasad"/>
    <s v="9735692523"/>
  </r>
  <r>
    <s v="RCF Thal"/>
    <s v="N.C.Urea(45kg)"/>
    <s v="WB"/>
    <x v="8"/>
    <s v="Kumarganj"/>
    <s v="User Not Mapped"/>
    <s v="User Not Mapped"/>
    <s v="User Not Mapped"/>
    <n v="946830"/>
    <s v="BISWAJIT SARKAR"/>
    <s v="Private Retailer"/>
    <s v="7001151250"/>
    <n v="4.7249999999999996"/>
    <n v="872"/>
    <x v="2"/>
    <m/>
    <s v="2023-11-30"/>
    <s v="263373"/>
    <s v="M/s. Kanailal Kedar Prasad"/>
    <s v="9735692523"/>
  </r>
  <r>
    <s v="RCF Thal"/>
    <s v="N.C.Urea(45kg)"/>
    <s v="WB"/>
    <x v="8"/>
    <m/>
    <s v="User Not Mapped"/>
    <s v="User Not Mapped"/>
    <s v="User Not Mapped"/>
    <n v="253346"/>
    <s v="Bonashiee Sar Bhandar"/>
    <s v="Private Retailer"/>
    <s v="9932175529"/>
    <n v="9.6300000000000008"/>
    <n v="42"/>
    <x v="3"/>
    <m/>
    <s v="2026-03-09"/>
    <s v="263373"/>
    <s v="M/s. Kanailal Kedar Prasad"/>
    <s v="9735692523"/>
  </r>
  <r>
    <s v="RCF Thal"/>
    <s v="N.C.Urea(45kg)"/>
    <s v="WB"/>
    <x v="8"/>
    <m/>
    <s v="User Not Mapped"/>
    <s v="User Not Mapped"/>
    <s v="User Not Mapped"/>
    <n v="253346"/>
    <s v="Bonashiee Sar Bhandar"/>
    <s v="Private Retailer"/>
    <s v="9932175529"/>
    <n v="9.9"/>
    <n v="21"/>
    <x v="5"/>
    <m/>
    <s v="2026-03-30"/>
    <s v="263373"/>
    <s v="M/s. Kanailal Kedar Prasad"/>
    <s v="9735692523"/>
  </r>
  <r>
    <s v="RCF Thal"/>
    <s v="N.C.Urea(45kg)"/>
    <s v="WB"/>
    <x v="8"/>
    <s v="Bansihari"/>
    <s v="User Not Mapped"/>
    <s v="User Not Mapped"/>
    <s v="User Not Mapped"/>
    <n v="944444"/>
    <s v="BRAJESH ROY"/>
    <s v="Private Retailer"/>
    <s v="8158836248"/>
    <n v="6.5250000000000004"/>
    <n v="42"/>
    <x v="3"/>
    <m/>
    <s v="2026-03-09"/>
    <s v="263373"/>
    <s v="M/s. Kanailal Kedar Prasad"/>
    <s v="9735692523"/>
  </r>
  <r>
    <s v="RCF Thal"/>
    <s v="N.C.Urea(45kg)"/>
    <s v="WB"/>
    <x v="8"/>
    <s v="Balurghat"/>
    <s v="User Not Mapped"/>
    <s v="User Not Mapped"/>
    <s v="User Not Mapped"/>
    <n v="620504"/>
    <s v="CHANDAN LAHA"/>
    <s v="Private Retailer"/>
    <s v="9733348279"/>
    <n v="1.35"/>
    <n v="42"/>
    <x v="3"/>
    <m/>
    <s v="2026-03-09"/>
    <s v="263373"/>
    <s v="M/s. Kanailal Kedar Prasad"/>
    <s v="9735692523"/>
  </r>
  <r>
    <s v="RCF Thal"/>
    <s v="N.C.Urea(45kg)"/>
    <s v="WB"/>
    <x v="8"/>
    <s v="Gangarampur"/>
    <s v="User Not Mapped"/>
    <s v="User Not Mapped"/>
    <s v="User Not Mapped"/>
    <n v="126487"/>
    <s v="Dhirendra Nath Roy"/>
    <s v="Private Retailer"/>
    <s v="7001385679"/>
    <n v="10.125"/>
    <n v="126"/>
    <x v="4"/>
    <m/>
    <s v="2025-12-15"/>
    <s v="263373"/>
    <s v="M/s. Kanailal Kedar Prasad"/>
    <s v="9735692523"/>
  </r>
  <r>
    <s v="RCF Thal"/>
    <s v="N.C.Urea(45kg)"/>
    <s v="WB"/>
    <x v="8"/>
    <s v="Gangarampur"/>
    <s v="User Not Mapped"/>
    <s v="User Not Mapped"/>
    <s v="User Not Mapped"/>
    <n v="126487"/>
    <s v="Dhirendra Nath Roy"/>
    <s v="Private Retailer"/>
    <s v="7001385679"/>
    <n v="11.025"/>
    <n v="61"/>
    <x v="6"/>
    <m/>
    <s v="2026-02-18"/>
    <s v="263373"/>
    <s v="M/s. Kanailal Kedar Prasad"/>
    <s v="9735692523"/>
  </r>
  <r>
    <s v="RCF Thal"/>
    <s v="N.C.Urea(45kg)"/>
    <s v="WB"/>
    <x v="8"/>
    <s v="Kumarganj"/>
    <s v="User Not Mapped"/>
    <s v="User Not Mapped"/>
    <s v="User Not Mapped"/>
    <n v="504447"/>
    <s v="DIPAK MOHON DAS"/>
    <s v="Private Retailer"/>
    <s v="9046484580"/>
    <n v="8.01"/>
    <n v="42"/>
    <x v="3"/>
    <m/>
    <s v="2026-03-09"/>
    <s v="263373"/>
    <s v="M/s. Kanailal Kedar Prasad"/>
    <s v="9735692523"/>
  </r>
  <r>
    <s v="RCF Thal"/>
    <s v="N.C.Urea(45kg)"/>
    <s v="WB"/>
    <x v="8"/>
    <s v="Bansihari"/>
    <s v="User Not Mapped"/>
    <s v="User Not Mapped"/>
    <s v="User Not Mapped"/>
    <n v="389883"/>
    <s v="Farad Hossain"/>
    <s v="Private Retailer"/>
    <s v="9735219222"/>
    <n v="11.025"/>
    <n v="497"/>
    <x v="0"/>
    <m/>
    <s v="2024-12-09"/>
    <s v="263373"/>
    <s v="M/s. Kanailal Kedar Prasad"/>
    <s v="9735692523"/>
  </r>
  <r>
    <s v="RCF Thal"/>
    <s v="N.C.Urea(45kg)"/>
    <s v="WB"/>
    <x v="8"/>
    <s v="Bansihari"/>
    <s v="User Not Mapped"/>
    <s v="User Not Mapped"/>
    <s v="User Not Mapped"/>
    <n v="389883"/>
    <s v="Farad Hossain"/>
    <s v="Private Retailer"/>
    <s v="9735219222"/>
    <n v="6.39"/>
    <n v="526"/>
    <x v="0"/>
    <m/>
    <s v="2024-11-10"/>
    <s v="263373"/>
    <s v="M/s. Kanailal Kedar Prasad"/>
    <s v="9735692523"/>
  </r>
  <r>
    <s v="RCF Thal"/>
    <s v="N.C.Urea(45kg)"/>
    <s v="WB"/>
    <x v="8"/>
    <s v="Balurghat"/>
    <s v="User Not Mapped"/>
    <s v="User Not Mapped"/>
    <s v="User Not Mapped"/>
    <n v="391457"/>
    <s v="Gokul Chandra Mondal"/>
    <s v="Private Retailer"/>
    <s v="9735981800"/>
    <n v="2.2050000000000001"/>
    <n v="64"/>
    <x v="6"/>
    <m/>
    <s v="2026-02-15"/>
    <s v="263373"/>
    <s v="M/s. Kanailal Kedar Prasad"/>
    <s v="9735692523"/>
  </r>
  <r>
    <s v="RCF Thal"/>
    <s v="N.C.Urea(45kg)"/>
    <s v="WB"/>
    <x v="8"/>
    <s v="Gangarampur"/>
    <s v="User Not Mapped"/>
    <s v="User Not Mapped"/>
    <s v="User Not Mapped"/>
    <n v="331261"/>
    <s v="Gopeswar Basak"/>
    <s v="Private Retailer"/>
    <s v="9434305693"/>
    <n v="11.025"/>
    <n v="64"/>
    <x v="6"/>
    <m/>
    <s v="2026-02-15"/>
    <s v="263373"/>
    <s v="M/s. Kanailal Kedar Prasad"/>
    <s v="9735692523"/>
  </r>
  <r>
    <s v="RCF Thal"/>
    <s v="N.C.Urea(45kg)"/>
    <s v="WB"/>
    <x v="8"/>
    <s v="Gangarampur"/>
    <s v="User Not Mapped"/>
    <s v="User Not Mapped"/>
    <s v="User Not Mapped"/>
    <n v="331261"/>
    <s v="Gopeswar Basak"/>
    <s v="Private Retailer"/>
    <s v="9434305693"/>
    <n v="0.18"/>
    <n v="90"/>
    <x v="6"/>
    <m/>
    <s v="2026-01-20"/>
    <s v="263373"/>
    <s v="M/s. Kanailal Kedar Prasad"/>
    <s v="9735692523"/>
  </r>
  <r>
    <s v="RCF Thal"/>
    <s v="N.C.Urea(45kg)"/>
    <s v="WB"/>
    <x v="8"/>
    <s v="Balurghat"/>
    <s v="User Not Mapped"/>
    <s v="User Not Mapped"/>
    <s v="User Not Mapped"/>
    <n v="596283"/>
    <s v="GOUR PADA DUTTA"/>
    <s v="Private Retailer"/>
    <s v="9002155011"/>
    <n v="9.4049999999999994"/>
    <n v="42"/>
    <x v="3"/>
    <m/>
    <s v="2026-03-09"/>
    <s v="263373"/>
    <s v="M/s. Kanailal Kedar Prasad"/>
    <s v="9735692523"/>
  </r>
  <r>
    <s v="RCF Thal"/>
    <s v="N.C.Urea(45kg)"/>
    <s v="WB"/>
    <x v="8"/>
    <s v="Gangarampur"/>
    <s v="User Not Mapped"/>
    <s v="User Not Mapped"/>
    <s v="User Not Mapped"/>
    <n v="391355"/>
    <s v="Goutam Ray"/>
    <s v="Private Retailer"/>
    <s v="7407441887"/>
    <n v="2.16"/>
    <n v="147"/>
    <x v="4"/>
    <m/>
    <s v="2025-11-24"/>
    <s v="263373"/>
    <s v="M/s. Kanailal Kedar Prasad"/>
    <s v="9735692523"/>
  </r>
  <r>
    <s v="RCF Thal"/>
    <s v="N.C.Urea(45kg)"/>
    <s v="WB"/>
    <x v="8"/>
    <s v="Kushmundi"/>
    <s v="User Not Mapped"/>
    <s v="User Not Mapped"/>
    <s v="User Not Mapped"/>
    <n v="126365"/>
    <s v="HAQUE FERTILIZER"/>
    <s v="Private Retailer"/>
    <s v="9647758447"/>
    <n v="0.05"/>
    <n v="147"/>
    <x v="4"/>
    <m/>
    <s v="2025-11-24"/>
    <s v="263373"/>
    <s v="M/s. Kanailal Kedar Prasad"/>
    <s v="9735692523"/>
  </r>
  <r>
    <s v="RCF Thal"/>
    <s v="N.C.Urea(45kg)"/>
    <s v="WB"/>
    <x v="8"/>
    <s v="Tapan"/>
    <s v="User Not Mapped"/>
    <s v="User Not Mapped"/>
    <s v="User Not Mapped"/>
    <n v="390284"/>
    <s v="Hayder Sarkar"/>
    <s v="Private Retailer"/>
    <s v="9733199765"/>
    <n v="2.0249999999999999"/>
    <n v="42"/>
    <x v="3"/>
    <m/>
    <s v="2026-03-09"/>
    <s v="263373"/>
    <s v="M/s. Kanailal Kedar Prasad"/>
    <s v="9735692523"/>
  </r>
  <r>
    <s v="RCF Thal"/>
    <s v="N.C.Urea(45kg)"/>
    <s v="WB"/>
    <x v="8"/>
    <s v="Balurghat"/>
    <s v="User Not Mapped"/>
    <s v="User Not Mapped"/>
    <s v="User Not Mapped"/>
    <n v="649421"/>
    <s v="HIRENDRANATH SARKAR"/>
    <s v="Private Retailer"/>
    <s v="9593610515"/>
    <n v="2.7"/>
    <n v="387"/>
    <x v="0"/>
    <m/>
    <s v="2025-03-29"/>
    <s v="263373"/>
    <s v="M/s. Kanailal Kedar Prasad"/>
    <s v="9735692523"/>
  </r>
  <r>
    <s v="RCF Thal"/>
    <s v="N.C.Urea(45kg)"/>
    <s v="WB"/>
    <x v="8"/>
    <s v="Gangarampur"/>
    <s v="User Not Mapped"/>
    <s v="User Not Mapped"/>
    <s v="User Not Mapped"/>
    <n v="633340"/>
    <s v="HOSSAIN FERT AGENCY"/>
    <s v="Private Retailer"/>
    <s v="9733106035"/>
    <n v="11.025"/>
    <n v="125"/>
    <x v="4"/>
    <m/>
    <s v="2025-12-16"/>
    <s v="263373"/>
    <s v="M/s. Kanailal Kedar Prasad"/>
    <s v="9735692523"/>
  </r>
  <r>
    <s v="RCF Thal"/>
    <s v="N.C.Urea(45kg)"/>
    <s v="WB"/>
    <x v="8"/>
    <s v="Kushmundi"/>
    <s v="User Not Mapped"/>
    <s v="User Not Mapped"/>
    <s v="User Not Mapped"/>
    <n v="648317"/>
    <s v="HOSSAIN FERTILIZER AGENCY"/>
    <s v="Private Retailer"/>
    <s v="6294388519"/>
    <n v="2.9249999999999998"/>
    <n v="89"/>
    <x v="6"/>
    <m/>
    <s v="2026-01-21"/>
    <s v="263373"/>
    <s v="M/s. Kanailal Kedar Prasad"/>
    <s v="9735692523"/>
  </r>
  <r>
    <s v="RCF Trombay"/>
    <s v="N.C.Urea(45kg)"/>
    <s v="WB"/>
    <x v="8"/>
    <s v="Kushmundi"/>
    <s v="User Not Mapped"/>
    <s v="User Not Mapped"/>
    <s v="User Not Mapped"/>
    <n v="648317"/>
    <s v="HOSSAIN FERTILIZER AGENCY"/>
    <s v="Private Retailer"/>
    <s v="6294388519"/>
    <n v="7.38"/>
    <n v="164"/>
    <x v="4"/>
    <m/>
    <s v="2025-11-07"/>
    <s v="263373"/>
    <s v="M/s. Kanailal Kedar Prasad"/>
    <s v="9735692523"/>
  </r>
  <r>
    <s v="RCF Thal"/>
    <s v="N.C.Urea(45kg)"/>
    <s v="WB"/>
    <x v="8"/>
    <s v="Tapan"/>
    <s v="User Not Mapped"/>
    <s v="User Not Mapped"/>
    <s v="User Not Mapped"/>
    <n v="550227"/>
    <s v="Idrish Ali Sarkar"/>
    <s v="Private Retailer"/>
    <s v="9733404666"/>
    <n v="11.025"/>
    <n v="42"/>
    <x v="3"/>
    <m/>
    <s v="2026-03-09"/>
    <s v="263373"/>
    <s v="M/s. Kanailal Kedar Prasad"/>
    <s v="9735692523"/>
  </r>
  <r>
    <s v="RCF Thal"/>
    <s v="N.C.Urea(45kg)"/>
    <s v="WB"/>
    <x v="8"/>
    <s v="Bansihari"/>
    <s v="User Not Mapped"/>
    <s v="User Not Mapped"/>
    <s v="User Not Mapped"/>
    <n v="1449901"/>
    <s v="JARJIS MONDAL AND NOWAJSARIF"/>
    <s v="Private Retailer"/>
    <s v="7866943974"/>
    <n v="8.1449999999999996"/>
    <n v="191"/>
    <x v="1"/>
    <m/>
    <s v="2025-10-11"/>
    <s v="263373"/>
    <s v="M/s. Kanailal Kedar Prasad"/>
    <s v="9735692523"/>
  </r>
  <r>
    <s v="RCF Thal"/>
    <s v="N.C.Urea(45kg)"/>
    <s v="WB"/>
    <x v="8"/>
    <s v="Hilli"/>
    <s v="User Not Mapped"/>
    <s v="User Not Mapped"/>
    <s v="User Not Mapped"/>
    <n v="645328"/>
    <s v="JHARNA SARKAR DAS"/>
    <s v="Private Retailer"/>
    <s v="9647802084"/>
    <n v="5.49"/>
    <n v="42"/>
    <x v="3"/>
    <m/>
    <s v="2026-03-09"/>
    <s v="263373"/>
    <s v="M/s. Kanailal Kedar Prasad"/>
    <s v="9735692523"/>
  </r>
  <r>
    <s v="RCF Thal"/>
    <s v="N.C.Urea(45kg)"/>
    <s v="WB"/>
    <x v="8"/>
    <s v="Hilli"/>
    <s v="User Not Mapped"/>
    <s v="User Not Mapped"/>
    <s v="User Not Mapped"/>
    <n v="645328"/>
    <s v="JHARNA SARKAR DAS"/>
    <s v="Private Retailer"/>
    <s v="9647802084"/>
    <n v="3.1949999999999998"/>
    <n v="497"/>
    <x v="0"/>
    <m/>
    <s v="2024-12-09"/>
    <s v="263373"/>
    <s v="M/s. Kanailal Kedar Prasad"/>
    <s v="9735692523"/>
  </r>
  <r>
    <s v="RCF Thal"/>
    <s v="N.C.Urea(45kg)"/>
    <s v="WB"/>
    <x v="8"/>
    <s v="Tapan"/>
    <s v="User Not Mapped"/>
    <s v="User Not Mapped"/>
    <s v="User Not Mapped"/>
    <n v="340342"/>
    <s v="Jiaulmolla"/>
    <s v="Private Retailer"/>
    <s v="9733342557"/>
    <n v="3.105"/>
    <n v="42"/>
    <x v="3"/>
    <m/>
    <s v="2026-03-09"/>
    <s v="263373"/>
    <s v="M/s. Kanailal Kedar Prasad"/>
    <s v="9735692523"/>
  </r>
  <r>
    <s v="RCF Thal"/>
    <s v="N.C.Urea(45kg)"/>
    <s v="WB"/>
    <x v="8"/>
    <s v="Kushmundi"/>
    <s v="User Not Mapped"/>
    <s v="User Not Mapped"/>
    <s v="User Not Mapped"/>
    <n v="391361"/>
    <s v="JIBAN KUMAR SEN"/>
    <s v="Private Retailer"/>
    <s v="9932739567"/>
    <n v="4.4550000000000001"/>
    <n v="100"/>
    <x v="7"/>
    <m/>
    <s v="2026-01-10"/>
    <s v="263373"/>
    <s v="M/s. Kanailal Kedar Prasad"/>
    <s v="9735692523"/>
  </r>
  <r>
    <s v="RCF Thal"/>
    <s v="N.C.Urea(45kg)"/>
    <s v="WB"/>
    <x v="8"/>
    <s v="Balurghat"/>
    <s v="User Not Mapped"/>
    <s v="User Not Mapped"/>
    <s v="User Not Mapped"/>
    <n v="263321"/>
    <s v="Jogen Mahato"/>
    <s v="Private Retailer"/>
    <s v="9734676323"/>
    <n v="4.04"/>
    <n v="20"/>
    <x v="5"/>
    <m/>
    <s v="2026-03-31"/>
    <s v="263373"/>
    <s v="M/s. Kanailal Kedar Prasad"/>
    <s v="9735692523"/>
  </r>
  <r>
    <s v="RCF Thal"/>
    <s v="N.C.Urea(45kg)"/>
    <s v="WB"/>
    <x v="8"/>
    <s v="Hilli"/>
    <s v="User Not Mapped"/>
    <s v="User Not Mapped"/>
    <s v="User Not Mapped"/>
    <n v="1444490"/>
    <s v="JOYDEV LAHA"/>
    <s v="Private Retailer"/>
    <s v="6294343669"/>
    <n v="4.2750000000000004"/>
    <n v="405"/>
    <x v="0"/>
    <m/>
    <s v="2025-03-11"/>
    <s v="263373"/>
    <s v="M/s. Kanailal Kedar Prasad"/>
    <s v="9735692523"/>
  </r>
  <r>
    <s v="RCF Thal"/>
    <s v="N.C.Urea(45kg)"/>
    <s v="WB"/>
    <x v="8"/>
    <s v="Balurghat"/>
    <s v="User Not Mapped"/>
    <s v="User Not Mapped"/>
    <s v="User Not Mapped"/>
    <n v="487283"/>
    <s v="KANCHAN ROY"/>
    <s v="Private Retailer"/>
    <s v="9775417051"/>
    <n v="3.24"/>
    <n v="87"/>
    <x v="6"/>
    <m/>
    <s v="2026-01-23"/>
    <s v="263373"/>
    <s v="M/s. Kanailal Kedar Prasad"/>
    <s v="9735692523"/>
  </r>
  <r>
    <s v="RCF Thal"/>
    <s v="N.C.Urea(45kg)"/>
    <s v="WB"/>
    <x v="8"/>
    <s v="Balurghat"/>
    <s v="User Not Mapped"/>
    <s v="User Not Mapped"/>
    <s v="User Not Mapped"/>
    <n v="487283"/>
    <s v="KANCHAN ROY"/>
    <s v="Private Retailer"/>
    <s v="9775417051"/>
    <n v="5.49"/>
    <n v="42"/>
    <x v="3"/>
    <m/>
    <s v="2026-03-09"/>
    <s v="263373"/>
    <s v="M/s. Kanailal Kedar Prasad"/>
    <s v="9735692523"/>
  </r>
  <r>
    <s v="RCF Thal"/>
    <s v="N.C.Urea(45kg)"/>
    <s v="WB"/>
    <x v="8"/>
    <s v="Balurghat"/>
    <s v="User Not Mapped"/>
    <s v="User Not Mapped"/>
    <s v="User Not Mapped"/>
    <n v="487283"/>
    <s v="KANCHAN ROY"/>
    <s v="Private Retailer"/>
    <s v="9775417051"/>
    <n v="5.5350000000000001"/>
    <n v="64"/>
    <x v="6"/>
    <m/>
    <s v="2026-02-15"/>
    <s v="263373"/>
    <s v="M/s. Kanailal Kedar Prasad"/>
    <s v="9735692523"/>
  </r>
  <r>
    <s v="RCF Thal"/>
    <s v="N.C.Urea(45kg)"/>
    <s v="WB"/>
    <x v="8"/>
    <s v="Gangarampur"/>
    <s v="User Not Mapped"/>
    <s v="User Not Mapped"/>
    <s v="User Not Mapped"/>
    <n v="340344"/>
    <s v="Kashinath Sarkar"/>
    <s v="Private Retailer"/>
    <s v="9593539627"/>
    <n v="7.875"/>
    <n v="42"/>
    <x v="3"/>
    <m/>
    <s v="2026-03-09"/>
    <s v="263373"/>
    <s v="M/s. Kanailal Kedar Prasad"/>
    <s v="9735692523"/>
  </r>
  <r>
    <s v="RCF Thal"/>
    <s v="N.C.Urea(45kg)"/>
    <s v="WB"/>
    <x v="8"/>
    <s v="Kushmundi"/>
    <s v="User Not Mapped"/>
    <s v="User Not Mapped"/>
    <s v="User Not Mapped"/>
    <n v="286419"/>
    <s v="Keshab Joshi"/>
    <s v="Private Retailer"/>
    <s v="9475163493"/>
    <n v="15.164999999999999"/>
    <n v="61"/>
    <x v="6"/>
    <m/>
    <s v="2026-02-18"/>
    <s v="263373"/>
    <s v="M/s. Kanailal Kedar Prasad"/>
    <s v="9735692523"/>
  </r>
  <r>
    <s v="RCF Trombay"/>
    <s v="15-15-15"/>
    <s v="WB"/>
    <x v="8"/>
    <s v="Kushmundi"/>
    <s v="User Not Mapped"/>
    <s v="User Not Mapped"/>
    <s v="User Not Mapped"/>
    <n v="286427"/>
    <s v="Keshav Joshi"/>
    <s v="Private Wholsaler"/>
    <s v="9475163493"/>
    <n v="9"/>
    <n v="131"/>
    <x v="4"/>
    <s v="'780'"/>
    <s v="2025-12-10"/>
    <s v="263373"/>
    <s v="M/s. Kanailal Kedar Prasad"/>
    <s v="9735692523"/>
  </r>
  <r>
    <s v="RCF Thal"/>
    <s v="N.C.Urea(45kg)"/>
    <s v="WB"/>
    <x v="8"/>
    <s v="Bansihari"/>
    <s v="User Not Mapped"/>
    <s v="User Not Mapped"/>
    <s v="User Not Mapped"/>
    <n v="1605679"/>
    <s v="Krishan Unnyan Seba Kendra"/>
    <s v="Private Retailer"/>
    <s v="9733476251"/>
    <n v="1.17"/>
    <n v="148"/>
    <x v="4"/>
    <m/>
    <s v="2025-11-23"/>
    <s v="263373"/>
    <s v="M/s. Kanailal Kedar Prasad"/>
    <s v="9735692523"/>
  </r>
  <r>
    <s v="RCF Trombay"/>
    <s v="15-15-15"/>
    <s v="WB"/>
    <x v="8"/>
    <s v="Harirampur"/>
    <s v="User Not Mapped"/>
    <s v="User Not Mapped"/>
    <s v="User Not Mapped"/>
    <n v="281503"/>
    <s v="Krishi Ghar"/>
    <s v="Private Wholsaler"/>
    <s v="7031245549"/>
    <n v="4.5"/>
    <n v="90"/>
    <x v="6"/>
    <s v="'861'"/>
    <s v="2026-01-20"/>
    <s v="263373"/>
    <s v="M/s. Kanailal Kedar Prasad"/>
    <s v="9735692523"/>
  </r>
  <r>
    <s v="RCF Import"/>
    <s v="Imp 10-26-26"/>
    <s v="WB"/>
    <x v="8"/>
    <s v="Bansihari"/>
    <s v="User Not Mapped"/>
    <s v="User Not Mapped"/>
    <s v="User Not Mapped"/>
    <n v="1099001"/>
    <s v="KRISHI GHAR"/>
    <s v="Private Retailer"/>
    <s v="9733254501"/>
    <n v="6"/>
    <n v="51"/>
    <x v="3"/>
    <m/>
    <s v="2026-02-28"/>
    <s v="263373"/>
    <s v="M/s. Kanailal Kedar Prasad"/>
    <s v="9735692523"/>
  </r>
  <r>
    <s v="RCF Thal"/>
    <s v="N.C.Urea(45kg)"/>
    <s v="WB"/>
    <x v="8"/>
    <s v="Harirampur"/>
    <s v="User Not Mapped"/>
    <s v="User Not Mapped"/>
    <s v="User Not Mapped"/>
    <n v="126612"/>
    <s v="Krishi Ghar"/>
    <s v="Private Retailer"/>
    <s v="7797951446"/>
    <n v="33.075000000000003"/>
    <n v="148"/>
    <x v="4"/>
    <m/>
    <s v="2025-11-23"/>
    <s v="263373"/>
    <s v="M/s. Kanailal Kedar Prasad"/>
    <s v="9735692523"/>
  </r>
  <r>
    <s v="RCF Thal"/>
    <s v="N.C.Urea(45kg)"/>
    <s v="WB"/>
    <x v="8"/>
    <s v="Bansihari"/>
    <s v="User Not Mapped"/>
    <s v="User Not Mapped"/>
    <s v="User Not Mapped"/>
    <n v="353984"/>
    <s v="KRISHI UNNAYAN KENDRA"/>
    <s v="Private Retailer"/>
    <s v="8759907610"/>
    <n v="11.025"/>
    <n v="42"/>
    <x v="3"/>
    <m/>
    <s v="2026-03-09"/>
    <s v="263373"/>
    <s v="M/s. Kanailal Kedar Prasad"/>
    <s v="9735692523"/>
  </r>
  <r>
    <s v="RCF Thal"/>
    <s v="N.C.Urea(45kg)"/>
    <s v="WB"/>
    <x v="8"/>
    <s v="Bansihari"/>
    <s v="User Not Mapped"/>
    <s v="User Not Mapped"/>
    <s v="User Not Mapped"/>
    <n v="353984"/>
    <s v="KRISHI UNNAYAN KENDRA"/>
    <s v="Private Retailer"/>
    <s v="8759907610"/>
    <n v="6.12"/>
    <n v="90"/>
    <x v="6"/>
    <m/>
    <s v="2026-01-20"/>
    <s v="263373"/>
    <s v="M/s. Kanailal Kedar Prasad"/>
    <s v="9735692523"/>
  </r>
  <r>
    <s v="RCF Thal"/>
    <s v="N.C.Urea(45kg)"/>
    <s v="WB"/>
    <x v="8"/>
    <s v="Tapan"/>
    <s v="User Not Mapped"/>
    <s v="User Not Mapped"/>
    <s v="User Not Mapped"/>
    <n v="340383"/>
    <s v="M/S - RATAN KR LAHA"/>
    <s v="Private Retailer"/>
    <s v="9153350469"/>
    <n v="0.9"/>
    <n v="88"/>
    <x v="6"/>
    <m/>
    <s v="2026-01-22"/>
    <s v="263373"/>
    <s v="M/s. Kanailal Kedar Prasad"/>
    <s v="9735692523"/>
  </r>
  <r>
    <s v="RCF Trombay"/>
    <s v="N.C.Urea(45kg)"/>
    <s v="WB"/>
    <x v="8"/>
    <s v="Tapan"/>
    <s v="User Not Mapped"/>
    <s v="User Not Mapped"/>
    <s v="User Not Mapped"/>
    <n v="340383"/>
    <s v="M/S - RATAN KR LAHA"/>
    <s v="Private Retailer"/>
    <s v="9153350469"/>
    <n v="11.025"/>
    <n v="86"/>
    <x v="6"/>
    <m/>
    <s v="2026-01-24"/>
    <s v="263373"/>
    <s v="M/s. Kanailal Kedar Prasad"/>
    <s v="9735692523"/>
  </r>
  <r>
    <s v="RCF Trombay"/>
    <s v="N.C.Urea(45kg)"/>
    <s v="WB"/>
    <x v="8"/>
    <s v="Tapan"/>
    <s v="User Not Mapped"/>
    <s v="User Not Mapped"/>
    <s v="User Not Mapped"/>
    <n v="340383"/>
    <s v="M/S - RATAN KR LAHA"/>
    <s v="Private Retailer"/>
    <s v="9153350469"/>
    <n v="5.94"/>
    <n v="191"/>
    <x v="1"/>
    <m/>
    <s v="2025-10-11"/>
    <s v="263373"/>
    <s v="M/s. Kanailal Kedar Prasad"/>
    <s v="9735692523"/>
  </r>
  <r>
    <s v="RCF Trombay"/>
    <s v="N.C.Urea(45kg)"/>
    <s v="WB"/>
    <x v="8"/>
    <s v="Tapan"/>
    <s v="User Not Mapped"/>
    <s v="User Not Mapped"/>
    <s v="User Not Mapped"/>
    <n v="340383"/>
    <s v="M/S - RATAN KR LAHA"/>
    <s v="Private Retailer"/>
    <s v="9153350469"/>
    <n v="0.45"/>
    <n v="278"/>
    <x v="1"/>
    <m/>
    <s v="2025-07-16"/>
    <s v="263373"/>
    <s v="M/s. Kanailal Kedar Prasad"/>
    <s v="9735692523"/>
  </r>
  <r>
    <s v="RCF Thal"/>
    <s v="N.C.Urea(45kg)"/>
    <s v="WB"/>
    <x v="8"/>
    <s v="Tapan"/>
    <s v="User Not Mapped"/>
    <s v="User Not Mapped"/>
    <s v="User Not Mapped"/>
    <n v="860875"/>
    <s v="M/S ABDUR RAHIM AHAMAD"/>
    <s v="Private Retailer"/>
    <s v="7001623908"/>
    <n v="5.5350000000000001"/>
    <n v="42"/>
    <x v="3"/>
    <m/>
    <s v="2026-03-09"/>
    <s v="263373"/>
    <s v="M/s. Kanailal Kedar Prasad"/>
    <s v="9735692523"/>
  </r>
  <r>
    <s v="RCF Thal"/>
    <s v="N.C.Urea(45kg)"/>
    <s v="WB"/>
    <x v="8"/>
    <s v="Tapan"/>
    <s v="User Not Mapped"/>
    <s v="User Not Mapped"/>
    <s v="User Not Mapped"/>
    <n v="251722"/>
    <s v="M/S ANICHHUR HAKIM"/>
    <s v="Private Retailer"/>
    <s v="7478305110"/>
    <n v="1.575"/>
    <n v="148"/>
    <x v="4"/>
    <m/>
    <s v="2025-11-23"/>
    <s v="263373"/>
    <s v="M/s. Kanailal Kedar Prasad"/>
    <s v="9735692523"/>
  </r>
  <r>
    <s v="RCF Thal"/>
    <s v="N.C.Urea(45kg)"/>
    <s v="WB"/>
    <x v="8"/>
    <s v="Tapan"/>
    <s v="User Not Mapped"/>
    <s v="User Not Mapped"/>
    <s v="User Not Mapped"/>
    <n v="251722"/>
    <s v="M/S ANICHHUR HAKIM"/>
    <s v="Private Retailer"/>
    <s v="7478305110"/>
    <n v="5.49"/>
    <n v="42"/>
    <x v="3"/>
    <m/>
    <s v="2026-03-09"/>
    <s v="263373"/>
    <s v="M/s. Kanailal Kedar Prasad"/>
    <s v="9735692523"/>
  </r>
  <r>
    <s v="RCF Thal"/>
    <s v="N.C.Urea(45kg)"/>
    <s v="WB"/>
    <x v="8"/>
    <s v="Tapan"/>
    <s v="User Not Mapped"/>
    <s v="User Not Mapped"/>
    <s v="User Not Mapped"/>
    <n v="1335779"/>
    <s v="M/S ARINDAM BISWAS"/>
    <s v="Private Retailer"/>
    <s v="9593211353"/>
    <n v="5.13"/>
    <n v="148"/>
    <x v="4"/>
    <m/>
    <s v="2025-11-23"/>
    <s v="263373"/>
    <s v="M/s. Kanailal Kedar Prasad"/>
    <s v="9735692523"/>
  </r>
  <r>
    <s v="RCF Thal"/>
    <s v="N.C.Urea(45kg)"/>
    <s v="WB"/>
    <x v="8"/>
    <s v="Gangarampur"/>
    <s v="User Not Mapped"/>
    <s v="User Not Mapped"/>
    <s v="User Not Mapped"/>
    <n v="994790"/>
    <s v="M/S BASUDEB GHOSH"/>
    <s v="Private Retailer"/>
    <s v="6294561299"/>
    <n v="11.16"/>
    <n v="64"/>
    <x v="6"/>
    <m/>
    <s v="2026-02-15"/>
    <s v="263373"/>
    <s v="M/s. Kanailal Kedar Prasad"/>
    <s v="9735692523"/>
  </r>
  <r>
    <s v="RCF Thal"/>
    <s v="N.C.Urea(45kg)"/>
    <s v="WB"/>
    <x v="8"/>
    <s v="Balurghat"/>
    <s v="User Not Mapped"/>
    <s v="User Not Mapped"/>
    <s v="User Not Mapped"/>
    <n v="1264117"/>
    <s v="M/S BIPLAB MONDAL PARIJAT GOSW"/>
    <s v="Private Retailer"/>
    <s v="9733139495"/>
    <n v="5.04"/>
    <n v="64"/>
    <x v="6"/>
    <m/>
    <s v="2026-02-15"/>
    <s v="263373"/>
    <s v="M/s. Kanailal Kedar Prasad"/>
    <s v="9735692523"/>
  </r>
  <r>
    <s v="RCF Trombay"/>
    <s v="15-15-15"/>
    <s v="WB"/>
    <x v="8"/>
    <s v="Tapan"/>
    <s v="User Not Mapped"/>
    <s v="User Not Mapped"/>
    <s v="User Not Mapped"/>
    <n v="1258418"/>
    <s v="M/S BISWAJIT KAR"/>
    <s v="Private Wholsaler"/>
    <s v="8906547307"/>
    <n v="7"/>
    <n v="240"/>
    <x v="1"/>
    <s v="'228'"/>
    <s v="2025-08-23"/>
    <s v="263373"/>
    <s v="M/s. Kanailal Kedar Prasad"/>
    <s v="9735692523"/>
  </r>
  <r>
    <s v="RCF Trombay"/>
    <s v="15-15-15"/>
    <s v="WB"/>
    <x v="8"/>
    <s v="Tapan"/>
    <s v="User Not Mapped"/>
    <s v="User Not Mapped"/>
    <s v="User Not Mapped"/>
    <n v="1258418"/>
    <s v="M/S BISWAJIT KAR"/>
    <s v="Private Wholsaler"/>
    <s v="8906547307"/>
    <n v="11.5"/>
    <n v="240"/>
    <x v="1"/>
    <s v="'226'"/>
    <s v="2025-08-23"/>
    <s v="263373"/>
    <s v="M/s. Kanailal Kedar Prasad"/>
    <s v="9735692523"/>
  </r>
  <r>
    <s v="RCF Thal"/>
    <s v="N.C.Urea(45kg)"/>
    <s v="WB"/>
    <x v="8"/>
    <s v="Tapan"/>
    <s v="User Not Mapped"/>
    <s v="User Not Mapped"/>
    <s v="User Not Mapped"/>
    <n v="1598453"/>
    <s v="M/S Burima Shar Bhandar"/>
    <s v="Private Retailer"/>
    <s v="9563325589"/>
    <n v="8.5500000000000007"/>
    <n v="42"/>
    <x v="3"/>
    <m/>
    <s v="2026-03-09"/>
    <s v="263373"/>
    <s v="M/s. Kanailal Kedar Prasad"/>
    <s v="9735692523"/>
  </r>
  <r>
    <s v="RCF Thal"/>
    <s v="N.C.Urea(45kg)"/>
    <s v="WB"/>
    <x v="8"/>
    <s v="Kushmundi"/>
    <s v="User Not Mapped"/>
    <s v="User Not Mapped"/>
    <s v="User Not Mapped"/>
    <n v="796928"/>
    <s v="M/S DADA BHAI FERTILIZER"/>
    <s v="Private Retailer"/>
    <s v="9734193351"/>
    <n v="4.95"/>
    <n v="90"/>
    <x v="6"/>
    <m/>
    <s v="2026-01-20"/>
    <s v="263373"/>
    <s v="M/s. Kanailal Kedar Prasad"/>
    <s v="9735692523"/>
  </r>
  <r>
    <s v="RCF Import"/>
    <s v="Imp 10-26-26"/>
    <s v="WB"/>
    <x v="8"/>
    <s v="Gangarampur"/>
    <s v="User Not Mapped"/>
    <s v="User Not Mapped"/>
    <s v="User Not Mapped"/>
    <n v="645352"/>
    <s v="M/S DEBESH ROY"/>
    <s v="Private Retailer"/>
    <s v="7797952654"/>
    <n v="5.5"/>
    <n v="74"/>
    <x v="6"/>
    <m/>
    <s v="2026-02-05"/>
    <s v="263373"/>
    <s v="M/s. Kanailal Kedar Prasad"/>
    <s v="9735692523"/>
  </r>
  <r>
    <s v="RCF Thal"/>
    <s v="N.C.Urea(45kg)"/>
    <s v="WB"/>
    <x v="8"/>
    <s v="Bansihari"/>
    <s v="User Not Mapped"/>
    <s v="User Not Mapped"/>
    <s v="User Not Mapped"/>
    <n v="654123"/>
    <s v="M/S EMAJUL ISLAM"/>
    <s v="Private Retailer"/>
    <s v="9733030359"/>
    <n v="0.315"/>
    <n v="148"/>
    <x v="4"/>
    <m/>
    <s v="2025-11-23"/>
    <s v="263373"/>
    <s v="M/s. Kanailal Kedar Prasad"/>
    <s v="9735692523"/>
  </r>
  <r>
    <s v="RCF Thal"/>
    <s v="N.C.Urea(45kg)"/>
    <s v="WB"/>
    <x v="8"/>
    <s v="Tapan"/>
    <s v="User Not Mapped"/>
    <s v="User Not Mapped"/>
    <s v="User Not Mapped"/>
    <n v="1527747"/>
    <s v="M/S FAYJAN FERTILIZER"/>
    <s v="Private Retailer"/>
    <s v="8972875013"/>
    <n v="5.5350000000000001"/>
    <n v="42"/>
    <x v="3"/>
    <m/>
    <s v="2026-03-09"/>
    <s v="263373"/>
    <s v="M/s. Kanailal Kedar Prasad"/>
    <s v="9735692523"/>
  </r>
  <r>
    <s v="RCF Thal"/>
    <s v="N.C.Urea(45kg)"/>
    <s v="WB"/>
    <x v="8"/>
    <s v="Tapan"/>
    <s v="User Not Mapped"/>
    <s v="User Not Mapped"/>
    <s v="User Not Mapped"/>
    <n v="1527747"/>
    <s v="M/S FAYJAN FERTILIZER"/>
    <s v="Private Retailer"/>
    <s v="8972875013"/>
    <n v="3.8250000000000002"/>
    <n v="88"/>
    <x v="6"/>
    <m/>
    <s v="2026-01-22"/>
    <s v="263373"/>
    <s v="M/s. Kanailal Kedar Prasad"/>
    <s v="9735692523"/>
  </r>
  <r>
    <s v="RCF Thal"/>
    <s v="N.C.Urea(45kg)"/>
    <s v="WB"/>
    <x v="8"/>
    <s v="Tapan"/>
    <s v="User Not Mapped"/>
    <s v="User Not Mapped"/>
    <s v="User Not Mapped"/>
    <n v="1527747"/>
    <s v="M/S FAYJAN FERTILIZER"/>
    <s v="Private Retailer"/>
    <s v="8972875013"/>
    <n v="5.625"/>
    <n v="142"/>
    <x v="4"/>
    <m/>
    <s v="2025-11-29"/>
    <s v="263373"/>
    <s v="M/s. Kanailal Kedar Prasad"/>
    <s v="9735692523"/>
  </r>
  <r>
    <s v="RCF Thal"/>
    <s v="N.C.Urea(45kg)"/>
    <s v="WB"/>
    <x v="8"/>
    <s v="Tapan"/>
    <s v="User Not Mapped"/>
    <s v="User Not Mapped"/>
    <s v="User Not Mapped"/>
    <n v="1527747"/>
    <s v="M/S FAYJAN FERTILIZER"/>
    <s v="Private Retailer"/>
    <s v="8972875013"/>
    <n v="3.33"/>
    <n v="148"/>
    <x v="4"/>
    <m/>
    <s v="2025-11-23"/>
    <s v="263373"/>
    <s v="M/s. Kanailal Kedar Prasad"/>
    <s v="9735692523"/>
  </r>
  <r>
    <s v="RCF Trombay"/>
    <s v="N.C.Urea(45kg)"/>
    <s v="WB"/>
    <x v="8"/>
    <s v="Tapan"/>
    <s v="User Not Mapped"/>
    <s v="User Not Mapped"/>
    <s v="User Not Mapped"/>
    <n v="1527747"/>
    <s v="M/S FAYJAN FERTILIZER"/>
    <s v="Private Retailer"/>
    <s v="8972875013"/>
    <n v="2.4750000000000001"/>
    <n v="164"/>
    <x v="4"/>
    <m/>
    <s v="2025-11-07"/>
    <s v="263373"/>
    <s v="M/s. Kanailal Kedar Prasad"/>
    <s v="9735692523"/>
  </r>
  <r>
    <s v="RCF Thal"/>
    <s v="N.C.Urea(45kg)"/>
    <s v="WB"/>
    <x v="8"/>
    <s v="Tapan"/>
    <s v="User Not Mapped"/>
    <s v="User Not Mapped"/>
    <s v="User Not Mapped"/>
    <n v="1598457"/>
    <s v="M/S Fresh N Safe Fertilizer"/>
    <s v="Private Retailer"/>
    <s v="9733243824"/>
    <n v="5.4"/>
    <n v="42"/>
    <x v="3"/>
    <m/>
    <s v="2026-03-09"/>
    <s v="263373"/>
    <s v="M/s. Kanailal Kedar Prasad"/>
    <s v="9735692523"/>
  </r>
  <r>
    <s v="RCF Trombay"/>
    <s v="N.C.Urea(45kg)"/>
    <s v="WB"/>
    <x v="8"/>
    <s v="Tapan"/>
    <s v="User Not Mapped"/>
    <s v="User Not Mapped"/>
    <s v="User Not Mapped"/>
    <n v="1354262"/>
    <s v="M/S GAFFAR SARKAR "/>
    <s v="Private Retailer"/>
    <s v="9475677701"/>
    <n v="3.5550000000000002"/>
    <n v="133"/>
    <x v="4"/>
    <m/>
    <s v="2025-12-08"/>
    <s v="263373"/>
    <s v="M/s. Kanailal Kedar Prasad"/>
    <s v="9735692523"/>
  </r>
  <r>
    <s v="RCF Import"/>
    <s v="Imp 10-26-26"/>
    <s v="WB"/>
    <x v="8"/>
    <s v="Balurghat"/>
    <s v="User Not Mapped"/>
    <s v="User Not Mapped"/>
    <s v="User Not Mapped"/>
    <n v="391551"/>
    <s v="M/S Gopal Krishna Samajder"/>
    <s v="Private Retailer"/>
    <s v="8145810280"/>
    <n v="1.45"/>
    <n v="74"/>
    <x v="6"/>
    <m/>
    <s v="2026-02-05"/>
    <s v="263373"/>
    <s v="M/s. Kanailal Kedar Prasad"/>
    <s v="9735692523"/>
  </r>
  <r>
    <s v="RCF Trombay"/>
    <s v="15-15-15"/>
    <s v="WB"/>
    <x v="8"/>
    <s v="Balurghat"/>
    <s v="User Not Mapped"/>
    <s v="User Not Mapped"/>
    <s v="User Not Mapped"/>
    <n v="391551"/>
    <s v="M/S Gopal Krishna Samajder"/>
    <s v="Private Retailer"/>
    <s v="8145810280"/>
    <n v="0.3"/>
    <n v="207"/>
    <x v="1"/>
    <m/>
    <s v="2025-09-25"/>
    <s v="263373"/>
    <s v="M/s. Kanailal Kedar Prasad"/>
    <s v="9735692523"/>
  </r>
  <r>
    <s v="RCF Thal"/>
    <s v="N.C.Urea(45kg)"/>
    <s v="WB"/>
    <x v="8"/>
    <s v="Kumarganj"/>
    <s v="User Not Mapped"/>
    <s v="User Not Mapped"/>
    <s v="User Not Mapped"/>
    <n v="1505051"/>
    <s v="M/S Gopinath Sar Bhandar"/>
    <s v="Private Retailer"/>
    <s v="8116813283"/>
    <n v="6.7050000000000001"/>
    <n v="87"/>
    <x v="6"/>
    <m/>
    <s v="2026-01-23"/>
    <s v="263373"/>
    <s v="M/s. Kanailal Kedar Prasad"/>
    <s v="9735692523"/>
  </r>
  <r>
    <s v="RCF Import"/>
    <s v="Imp 10-26-26"/>
    <s v="WB"/>
    <x v="8"/>
    <s v="Gangarampur"/>
    <s v="User Not Mapped"/>
    <s v="User Not Mapped"/>
    <s v="User Not Mapped"/>
    <n v="1519430"/>
    <s v="M/S Hoque Fertilizer Agency"/>
    <s v="Private Wholsaler"/>
    <s v="9775429340"/>
    <n v="3"/>
    <n v="66"/>
    <x v="6"/>
    <s v="'1045'"/>
    <s v="2026-02-13"/>
    <s v="263373"/>
    <s v="M/s. Kanailal Kedar Prasad"/>
    <s v="9735692523"/>
  </r>
  <r>
    <s v="RCF Thal"/>
    <s v="N.C.Urea(45kg)"/>
    <s v="WB"/>
    <x v="8"/>
    <s v="Kushmundi"/>
    <s v="User Not Mapped"/>
    <s v="User Not Mapped"/>
    <s v="User Not Mapped"/>
    <n v="1029764"/>
    <s v="M/S HOSSAIN FERTILIZER AGENCY"/>
    <s v="Private Retailer"/>
    <s v="8617800650"/>
    <n v="10.035"/>
    <n v="526"/>
    <x v="0"/>
    <m/>
    <s v="2024-11-10"/>
    <s v="263373"/>
    <s v="M/s. Kanailal Kedar Prasad"/>
    <s v="9735692523"/>
  </r>
  <r>
    <s v="RCF Thal"/>
    <s v="N.C.Urea(45kg)"/>
    <s v="WB"/>
    <x v="8"/>
    <s v="Kumarganj"/>
    <s v="User Not Mapped"/>
    <s v="User Not Mapped"/>
    <s v="User Not Mapped"/>
    <n v="946810"/>
    <s v="M/S HOSSAIN SAR BHANDAR"/>
    <s v="Private Retailer"/>
    <s v="8906776849"/>
    <n v="1.71"/>
    <n v="872"/>
    <x v="2"/>
    <m/>
    <s v="2023-11-30"/>
    <s v="263373"/>
    <s v="M/s. Kanailal Kedar Prasad"/>
    <s v="9735692523"/>
  </r>
  <r>
    <s v="RCF Thal"/>
    <s v="N.C.Urea(45kg)"/>
    <s v="WB"/>
    <x v="8"/>
    <s v="Gangarampur"/>
    <s v="User Not Mapped"/>
    <s v="User Not Mapped"/>
    <s v="User Not Mapped"/>
    <n v="1598459"/>
    <s v="M/S Jannat Fertilizer"/>
    <s v="Private Retailer"/>
    <s v="8617076799"/>
    <n v="2.4300000000000002"/>
    <n v="125"/>
    <x v="4"/>
    <m/>
    <s v="2025-12-16"/>
    <s v="263373"/>
    <s v="M/s. Kanailal Kedar Prasad"/>
    <s v="9735692523"/>
  </r>
  <r>
    <s v="RCF Trombay"/>
    <s v="N.C.Urea(45kg)"/>
    <s v="WB"/>
    <x v="8"/>
    <s v="Tapan"/>
    <s v="User Not Mapped"/>
    <s v="User Not Mapped"/>
    <s v="User Not Mapped"/>
    <n v="1006017"/>
    <s v="M/S KALIDAS BISWAS AND AJGAR A"/>
    <s v="Private Retailer"/>
    <s v="8250584056"/>
    <n v="2.16"/>
    <n v="133"/>
    <x v="4"/>
    <m/>
    <s v="2025-12-08"/>
    <s v="263373"/>
    <s v="M/s. Kanailal Kedar Prasad"/>
    <s v="9735692523"/>
  </r>
  <r>
    <s v="RCF Thal"/>
    <s v="N.C.Urea(45kg)"/>
    <s v="WB"/>
    <x v="8"/>
    <s v="Tapan"/>
    <s v="User Not Mapped"/>
    <s v="User Not Mapped"/>
    <s v="User Not Mapped"/>
    <n v="1006017"/>
    <s v="M/S KALIDAS BISWAS AND AJGAR A"/>
    <s v="Private Retailer"/>
    <s v="8250584056"/>
    <n v="7.83"/>
    <n v="123"/>
    <x v="4"/>
    <m/>
    <s v="2025-12-18"/>
    <s v="263373"/>
    <s v="M/s. Kanailal Kedar Prasad"/>
    <s v="9735692523"/>
  </r>
  <r>
    <s v="RCF Thal"/>
    <s v="N.C.Urea(45kg)"/>
    <s v="WB"/>
    <x v="8"/>
    <s v="Tapan"/>
    <s v="User Not Mapped"/>
    <s v="User Not Mapped"/>
    <s v="User Not Mapped"/>
    <n v="693846"/>
    <s v="M/S MAA LAXMI SAR BHANDER"/>
    <s v="Private Retailer"/>
    <s v="9735976429"/>
    <n v="2.97"/>
    <n v="405"/>
    <x v="0"/>
    <m/>
    <s v="2025-03-11"/>
    <s v="263373"/>
    <s v="M/s. Kanailal Kedar Prasad"/>
    <s v="9735692523"/>
  </r>
  <r>
    <s v="RCF Thal"/>
    <s v="N.C.Urea(45kg)"/>
    <s v="WB"/>
    <x v="8"/>
    <s v="Tapan"/>
    <s v="User Not Mapped"/>
    <s v="User Not Mapped"/>
    <s v="User Not Mapped"/>
    <n v="797921"/>
    <s v="M/S MADAN BARMAN"/>
    <s v="Private Retailer"/>
    <s v="9635474895"/>
    <n v="4.41"/>
    <n v="148"/>
    <x v="4"/>
    <m/>
    <s v="2025-11-23"/>
    <s v="263373"/>
    <s v="M/s. Kanailal Kedar Prasad"/>
    <s v="9735692523"/>
  </r>
  <r>
    <s v="RCF Thal"/>
    <s v="N.C.Urea(45kg)"/>
    <s v="WB"/>
    <x v="8"/>
    <s v="Kumarganj"/>
    <s v="User Not Mapped"/>
    <s v="User Not Mapped"/>
    <s v="User Not Mapped"/>
    <n v="391467"/>
    <s v="M/S MALOY GHOSH"/>
    <s v="Private Retailer"/>
    <s v="9593687590"/>
    <n v="18.405000000000001"/>
    <n v="42"/>
    <x v="3"/>
    <m/>
    <s v="2026-03-09"/>
    <s v="263373"/>
    <s v="M/s. Kanailal Kedar Prasad"/>
    <s v="9735692523"/>
  </r>
  <r>
    <s v="RCF Thal"/>
    <s v="N.C.Urea(45kg)"/>
    <s v="WB"/>
    <x v="8"/>
    <s v="Harirampur"/>
    <s v="User Not Mapped"/>
    <s v="User Not Mapped"/>
    <s v="User Not Mapped"/>
    <n v="1292357"/>
    <s v="M/S MASIDUR RAHAMAN"/>
    <s v="Private Retailer"/>
    <s v="7797951308"/>
    <n v="11.025"/>
    <n v="42"/>
    <x v="3"/>
    <m/>
    <s v="2026-03-09"/>
    <s v="263373"/>
    <s v="M/s. Kanailal Kedar Prasad"/>
    <s v="9735692523"/>
  </r>
  <r>
    <s v="RCF Thal"/>
    <s v="N.C.Urea(45kg)"/>
    <s v="WB"/>
    <x v="8"/>
    <s v="Harirampur"/>
    <s v="User Not Mapped"/>
    <s v="User Not Mapped"/>
    <s v="User Not Mapped"/>
    <n v="1292357"/>
    <s v="M/S MASIDUR RAHAMAN"/>
    <s v="Private Retailer"/>
    <s v="7797951308"/>
    <n v="2.7450000000000001"/>
    <n v="126"/>
    <x v="4"/>
    <m/>
    <s v="2025-12-15"/>
    <s v="263373"/>
    <s v="M/s. Kanailal Kedar Prasad"/>
    <s v="9735692523"/>
  </r>
  <r>
    <s v="RCF Thal"/>
    <s v="N.C.Urea(45kg)"/>
    <s v="WB"/>
    <x v="8"/>
    <s v="Tapan"/>
    <s v="User Not Mapped"/>
    <s v="User Not Mapped"/>
    <s v="User Not Mapped"/>
    <n v="1579767"/>
    <s v="M/S MATRI BHUMI"/>
    <s v="Private Retailer"/>
    <s v="9734162180"/>
    <n v="3.6"/>
    <n v="88"/>
    <x v="6"/>
    <m/>
    <s v="2026-01-22"/>
    <s v="263373"/>
    <s v="M/s. Kanailal Kedar Prasad"/>
    <s v="9735692523"/>
  </r>
  <r>
    <s v="RCF Thal"/>
    <s v="N.C.Urea(45kg)"/>
    <s v="WB"/>
    <x v="8"/>
    <s v="Kumarganj"/>
    <s v="User Not Mapped"/>
    <s v="User Not Mapped"/>
    <s v="User Not Mapped"/>
    <n v="1500861"/>
    <s v="M/S MONDAL FERTILZER"/>
    <s v="Private Retailer"/>
    <s v="9126635279"/>
    <n v="11.025"/>
    <n v="89"/>
    <x v="6"/>
    <m/>
    <s v="2026-01-21"/>
    <s v="263373"/>
    <s v="M/s. Kanailal Kedar Prasad"/>
    <s v="9735692523"/>
  </r>
  <r>
    <s v="RCF Thal"/>
    <s v="N.C.Urea(45kg)"/>
    <s v="WB"/>
    <x v="8"/>
    <s v="Harirampur"/>
    <s v="User Not Mapped"/>
    <s v="User Not Mapped"/>
    <s v="User Not Mapped"/>
    <n v="622676"/>
    <s v="M/S NABENDU KISHORE DAS"/>
    <s v="Private Retailer"/>
    <s v="9647712704"/>
    <n v="2.97"/>
    <n v="163"/>
    <x v="4"/>
    <m/>
    <s v="2025-11-08"/>
    <s v="263373"/>
    <s v="M/s. Kanailal Kedar Prasad"/>
    <s v="9735692523"/>
  </r>
  <r>
    <s v="RCF Thal"/>
    <s v="N.C.Urea(45kg)"/>
    <s v="WB"/>
    <x v="8"/>
    <s v="Bansihari"/>
    <s v="User Not Mapped"/>
    <s v="User Not Mapped"/>
    <s v="User Not Mapped"/>
    <n v="126703"/>
    <s v="M/S NAJMUL ISLAM"/>
    <s v="Private Retailer"/>
    <s v="9593729892"/>
    <n v="6.03"/>
    <n v="143"/>
    <x v="4"/>
    <m/>
    <s v="2025-11-28"/>
    <s v="263373"/>
    <s v="M/s. Kanailal Kedar Prasad"/>
    <s v="9735692523"/>
  </r>
  <r>
    <s v="RCF Thal"/>
    <s v="N.C.Urea(45kg)"/>
    <s v="WB"/>
    <x v="8"/>
    <s v="Tapan"/>
    <s v="User Not Mapped"/>
    <s v="User Not Mapped"/>
    <s v="User Not Mapped"/>
    <n v="1286109"/>
    <s v="M/S NARAYAN CHANDRA KAR"/>
    <s v="Private Retailer"/>
    <s v="8906547307"/>
    <n v="5.4"/>
    <n v="42"/>
    <x v="3"/>
    <m/>
    <s v="2026-03-09"/>
    <s v="263373"/>
    <s v="M/s. Kanailal Kedar Prasad"/>
    <s v="9735692523"/>
  </r>
  <r>
    <s v="RCF Thal"/>
    <s v="N.C.Urea(45kg)"/>
    <s v="WB"/>
    <x v="8"/>
    <s v="Tapan"/>
    <s v="User Not Mapped"/>
    <s v="User Not Mapped"/>
    <s v="User Not Mapped"/>
    <n v="1579699"/>
    <s v="M/S NARJINA MANDAL"/>
    <s v="Private Retailer"/>
    <s v="9734960129"/>
    <n v="9.5399999999999991"/>
    <n v="42"/>
    <x v="3"/>
    <m/>
    <s v="2026-03-09"/>
    <s v="263373"/>
    <s v="M/s. Kanailal Kedar Prasad"/>
    <s v="9735692523"/>
  </r>
  <r>
    <s v="RCF Trombay"/>
    <s v="N.C.Urea(45kg)"/>
    <s v="WB"/>
    <x v="8"/>
    <s v="Kushmundi"/>
    <s v="User Not Mapped"/>
    <s v="User Not Mapped"/>
    <s v="User Not Mapped"/>
    <n v="654389"/>
    <s v="M/S NAZARUL ISLAM"/>
    <s v="Private Retailer"/>
    <s v="9734980453"/>
    <n v="1.665"/>
    <n v="164"/>
    <x v="4"/>
    <m/>
    <s v="2025-11-07"/>
    <s v="263373"/>
    <s v="M/s. Kanailal Kedar Prasad"/>
    <s v="9735692523"/>
  </r>
  <r>
    <s v="RCF Thal"/>
    <s v="N.C.Urea(45kg)"/>
    <s v="WB"/>
    <x v="8"/>
    <s v="Tapan"/>
    <s v="User Not Mapped"/>
    <s v="User Not Mapped"/>
    <s v="User Not Mapped"/>
    <n v="390621"/>
    <s v="M/S NIREN SENGUPTA"/>
    <s v="Private Retailer"/>
    <s v="9733467599"/>
    <n v="5.5350000000000001"/>
    <n v="42"/>
    <x v="3"/>
    <m/>
    <s v="2026-03-09"/>
    <s v="263373"/>
    <s v="M/s. Kanailal Kedar Prasad"/>
    <s v="9735692523"/>
  </r>
  <r>
    <s v="RCF Thal"/>
    <s v="N.C.Urea(45kg)"/>
    <s v="WB"/>
    <x v="8"/>
    <s v="Harirampur"/>
    <s v="User Not Mapped"/>
    <s v="User Not Mapped"/>
    <s v="User Not Mapped"/>
    <n v="1187523"/>
    <s v="M/S NOUSAD ISLAM"/>
    <s v="Private Retailer"/>
    <s v="8250737835"/>
    <n v="0.315"/>
    <n v="1278"/>
    <x v="2"/>
    <m/>
    <s v="2022-10-20"/>
    <s v="263373"/>
    <s v="M/s. Kanailal Kedar Prasad"/>
    <s v="9735692523"/>
  </r>
  <r>
    <s v="RCF Thal"/>
    <s v="N.C.Urea(45kg)"/>
    <s v="WB"/>
    <x v="8"/>
    <s v="Tapan"/>
    <s v="User Not Mapped"/>
    <s v="User Not Mapped"/>
    <s v="User Not Mapped"/>
    <n v="637879"/>
    <s v="M/S PAUL FERTILIZERS"/>
    <s v="Private Retailer"/>
    <s v="7872182335"/>
    <n v="5.4"/>
    <n v="221"/>
    <x v="1"/>
    <m/>
    <s v="2025-09-11"/>
    <s v="263373"/>
    <s v="M/s. Kanailal Kedar Prasad"/>
    <s v="9735692523"/>
  </r>
  <r>
    <s v="RCF Thal"/>
    <s v="N.C.Urea(45kg)"/>
    <s v="WB"/>
    <x v="8"/>
    <s v="Tapan"/>
    <s v="User Not Mapped"/>
    <s v="User Not Mapped"/>
    <s v="User Not Mapped"/>
    <n v="126779"/>
    <s v="M/S PRITAM KUMAR MONDAL"/>
    <s v="Private Retailer"/>
    <s v="9635044396"/>
    <n v="11.025"/>
    <n v="42"/>
    <x v="3"/>
    <m/>
    <s v="2026-03-09"/>
    <s v="263373"/>
    <s v="M/s. Kanailal Kedar Prasad"/>
    <s v="9735692523"/>
  </r>
  <r>
    <s v="RCF Thal"/>
    <s v="N.C.Urea(45kg)"/>
    <s v="WB"/>
    <x v="8"/>
    <s v="Tapan"/>
    <s v="User Not Mapped"/>
    <s v="User Not Mapped"/>
    <s v="User Not Mapped"/>
    <n v="126779"/>
    <s v="M/S PRITAM KUMAR MONDAL"/>
    <s v="Private Retailer"/>
    <s v="9635044396"/>
    <n v="9.4049999999999994"/>
    <n v="148"/>
    <x v="4"/>
    <m/>
    <s v="2025-11-23"/>
    <s v="263373"/>
    <s v="M/s. Kanailal Kedar Prasad"/>
    <s v="9735692523"/>
  </r>
  <r>
    <s v="RCF Thal"/>
    <s v="N.C.Urea(45kg)"/>
    <s v="WB"/>
    <x v="8"/>
    <s v="Balurghat"/>
    <s v="User Not Mapped"/>
    <s v="User Not Mapped"/>
    <s v="User Not Mapped"/>
    <n v="653079"/>
    <s v="M/S RANJIT MAHATO"/>
    <s v="Private Retailer"/>
    <s v="8967204007"/>
    <n v="5.5350000000000001"/>
    <n v="87"/>
    <x v="6"/>
    <m/>
    <s v="2026-01-23"/>
    <s v="263373"/>
    <s v="M/s. Kanailal Kedar Prasad"/>
    <s v="9735692523"/>
  </r>
  <r>
    <s v="RCF Thal"/>
    <s v="N.C.Urea(45kg)"/>
    <s v="WB"/>
    <x v="8"/>
    <s v="Tapan"/>
    <s v="User Not Mapped"/>
    <s v="User Not Mapped"/>
    <s v="User Not Mapped"/>
    <n v="340388"/>
    <s v="M/S SABUJ FERTILIZER"/>
    <s v="Private Retailer"/>
    <s v="9733137610"/>
    <n v="2.16"/>
    <n v="163"/>
    <x v="4"/>
    <m/>
    <s v="2025-11-08"/>
    <s v="263373"/>
    <s v="M/s. Kanailal Kedar Prasad"/>
    <s v="9735692523"/>
  </r>
  <r>
    <s v="RCF Trombay"/>
    <s v="N.C.Urea(45kg)"/>
    <s v="WB"/>
    <x v="8"/>
    <s v="Tapan"/>
    <s v="User Not Mapped"/>
    <s v="User Not Mapped"/>
    <s v="User Not Mapped"/>
    <n v="340388"/>
    <s v="M/S SABUJ FERTILIZER"/>
    <s v="Private Retailer"/>
    <s v="9733137610"/>
    <n v="3.42"/>
    <n v="278"/>
    <x v="1"/>
    <m/>
    <s v="2025-07-16"/>
    <s v="263373"/>
    <s v="M/s. Kanailal Kedar Prasad"/>
    <s v="9735692523"/>
  </r>
  <r>
    <s v="RCF Trombay"/>
    <s v="N.C.Urea(45kg)"/>
    <s v="WB"/>
    <x v="8"/>
    <s v="Tapan"/>
    <s v="User Not Mapped"/>
    <s v="User Not Mapped"/>
    <s v="User Not Mapped"/>
    <n v="340388"/>
    <s v="M/S SABUJ FERTILIZER"/>
    <s v="Private Retailer"/>
    <s v="9733137610"/>
    <n v="0.18"/>
    <n v="162"/>
    <x v="4"/>
    <m/>
    <s v="2025-11-09"/>
    <s v="263373"/>
    <s v="M/s. Kanailal Kedar Prasad"/>
    <s v="9735692523"/>
  </r>
  <r>
    <s v="RCF Thal"/>
    <s v="N.C.Urea(45kg)"/>
    <s v="WB"/>
    <x v="8"/>
    <s v="Tapan"/>
    <s v="User Not Mapped"/>
    <s v="User Not Mapped"/>
    <s v="User Not Mapped"/>
    <n v="340388"/>
    <s v="M/S SABUJ FERTILIZER"/>
    <s v="Private Retailer"/>
    <s v="9733137610"/>
    <n v="10.845000000000001"/>
    <n v="162"/>
    <x v="4"/>
    <m/>
    <s v="2025-11-09"/>
    <s v="263373"/>
    <s v="M/s. Kanailal Kedar Prasad"/>
    <s v="9735692523"/>
  </r>
  <r>
    <s v="RCF Import"/>
    <s v="MOP"/>
    <s v="WB"/>
    <x v="8"/>
    <s v="Balurghat"/>
    <s v="User Not Mapped"/>
    <s v="User Not Mapped"/>
    <s v="User Not Mapped"/>
    <n v="391579"/>
    <s v="M/S Sabuj Ghar"/>
    <s v="Private Retailer"/>
    <s v="9734160651"/>
    <n v="0.45"/>
    <n v="587"/>
    <x v="2"/>
    <m/>
    <s v="2024-09-10"/>
    <s v="263373"/>
    <s v="M/s. Kanailal Kedar Prasad"/>
    <s v="9735692523"/>
  </r>
  <r>
    <s v="RCF Thal"/>
    <s v="N.C.Urea(45kg)"/>
    <s v="WB"/>
    <x v="8"/>
    <s v="Bansihari"/>
    <s v="User Not Mapped"/>
    <s v="User Not Mapped"/>
    <s v="User Not Mapped"/>
    <n v="886504"/>
    <s v="M/S SABUJ GHAR"/>
    <s v="Private Retailer"/>
    <s v="8759907610"/>
    <n v="4.05"/>
    <n v="258"/>
    <x v="1"/>
    <m/>
    <s v="2025-08-05"/>
    <s v="263373"/>
    <s v="M/s. Kanailal Kedar Prasad"/>
    <s v="9735692523"/>
  </r>
  <r>
    <s v="RCF Thal"/>
    <s v="N.C.Urea(45kg)"/>
    <s v="WB"/>
    <x v="8"/>
    <s v="Bansihari"/>
    <s v="User Not Mapped"/>
    <s v="User Not Mapped"/>
    <s v="User Not Mapped"/>
    <n v="886504"/>
    <s v="M/S SABUJ GHAR"/>
    <s v="Private Retailer"/>
    <s v="8759907610"/>
    <n v="11.025"/>
    <n v="42"/>
    <x v="3"/>
    <m/>
    <s v="2026-03-09"/>
    <s v="263373"/>
    <s v="M/s. Kanailal Kedar Prasad"/>
    <s v="9735692523"/>
  </r>
  <r>
    <s v="RCF Thal"/>
    <s v="N.C.Urea(45kg)"/>
    <s v="WB"/>
    <x v="8"/>
    <s v="Gangarampur"/>
    <s v="User Not Mapped"/>
    <s v="User Not Mapped"/>
    <s v="User Not Mapped"/>
    <n v="126860"/>
    <s v="M/S SANTOSH KUMAR SARKAR"/>
    <s v="Private Retailer"/>
    <s v="7478193177"/>
    <n v="0.48599999999999999"/>
    <n v="526"/>
    <x v="0"/>
    <m/>
    <s v="2024-11-10"/>
    <s v="263373"/>
    <s v="M/s. Kanailal Kedar Prasad"/>
    <s v="9735692523"/>
  </r>
  <r>
    <s v="RCF Thal"/>
    <s v="N.C.Urea(45kg)"/>
    <s v="WB"/>
    <x v="8"/>
    <s v="Tapan"/>
    <s v="User Not Mapped"/>
    <s v="User Not Mapped"/>
    <s v="User Not Mapped"/>
    <n v="848378"/>
    <s v="M/S SARKAR FERTILIZER"/>
    <s v="Private Retailer"/>
    <s v="9679420161"/>
    <n v="2.9249999999999998"/>
    <n v="386"/>
    <x v="0"/>
    <m/>
    <s v="2025-03-30"/>
    <s v="263373"/>
    <s v="M/s. Kanailal Kedar Prasad"/>
    <s v="9735692523"/>
  </r>
  <r>
    <s v="RCF Thal"/>
    <s v="N.C.Urea(45kg)"/>
    <s v="WB"/>
    <x v="8"/>
    <s v="Kumarganj"/>
    <s v="User Not Mapped"/>
    <s v="User Not Mapped"/>
    <s v="User Not Mapped"/>
    <n v="1286111"/>
    <s v="M/S SAYANTA MONDAL"/>
    <s v="Private Retailer"/>
    <s v="9735559273"/>
    <n v="8.3249999999999993"/>
    <n v="42"/>
    <x v="3"/>
    <m/>
    <s v="2026-03-09"/>
    <s v="263373"/>
    <s v="M/s. Kanailal Kedar Prasad"/>
    <s v="9735692523"/>
  </r>
  <r>
    <s v="RCF Thal"/>
    <s v="N.C.Urea(45kg)"/>
    <s v="WB"/>
    <x v="8"/>
    <s v="Harirampur"/>
    <s v="User Not Mapped"/>
    <s v="User Not Mapped"/>
    <s v="User Not Mapped"/>
    <n v="622684"/>
    <s v="M/S SUBHASISH CHAKRABORTY"/>
    <s v="Private Retailer"/>
    <s v="8250231740"/>
    <n v="0.40500000000000003"/>
    <n v="163"/>
    <x v="4"/>
    <m/>
    <s v="2025-11-08"/>
    <s v="263373"/>
    <s v="M/s. Kanailal Kedar Prasad"/>
    <s v="9735692523"/>
  </r>
  <r>
    <s v="RCF Thal"/>
    <s v="N.C.Urea(45kg)"/>
    <s v="WB"/>
    <x v="8"/>
    <s v="Harirampur"/>
    <s v="User Not Mapped"/>
    <s v="User Not Mapped"/>
    <s v="User Not Mapped"/>
    <n v="622684"/>
    <s v="M/S SUBHASISH CHAKRABORTY"/>
    <s v="Private Retailer"/>
    <s v="8250231740"/>
    <n v="5.4"/>
    <n v="88"/>
    <x v="6"/>
    <m/>
    <s v="2026-01-22"/>
    <s v="263373"/>
    <s v="M/s. Kanailal Kedar Prasad"/>
    <s v="9735692523"/>
  </r>
  <r>
    <s v="RCF Import"/>
    <s v="Imp 10-26-26"/>
    <s v="WB"/>
    <x v="8"/>
    <s v="Bansihari"/>
    <s v="User Not Mapped"/>
    <s v="User Not Mapped"/>
    <s v="User Not Mapped"/>
    <n v="1082768"/>
    <s v="M/S SUBRATA SARKAR"/>
    <s v="Private Retailer"/>
    <s v="8509313949"/>
    <n v="3.15"/>
    <n v="74"/>
    <x v="6"/>
    <m/>
    <s v="2026-02-05"/>
    <s v="263373"/>
    <s v="M/s. Kanailal Kedar Prasad"/>
    <s v="9735692523"/>
  </r>
  <r>
    <s v="RCF Thal"/>
    <s v="N.C.Urea(45kg)"/>
    <s v="WB"/>
    <x v="8"/>
    <s v="Hilli"/>
    <s v="User Not Mapped"/>
    <s v="User Not Mapped"/>
    <s v="User Not Mapped"/>
    <n v="340375"/>
    <s v="M/S SUDHIR SAR BHANDAR"/>
    <s v="Private Retailer"/>
    <s v="9339606047"/>
    <n v="9.8550000000000004"/>
    <n v="64"/>
    <x v="6"/>
    <m/>
    <s v="2026-02-15"/>
    <s v="263373"/>
    <s v="M/s. Kanailal Kedar Prasad"/>
    <s v="9735692523"/>
  </r>
  <r>
    <s v="RCF Thal"/>
    <s v="N.C.Urea(45kg)"/>
    <s v="WB"/>
    <x v="8"/>
    <s v="Balurghat"/>
    <s v="User Not Mapped"/>
    <s v="User Not Mapped"/>
    <s v="User Not Mapped"/>
    <n v="1246191"/>
    <s v="M/S SUJIT BASAK  SUDEB KUMAR "/>
    <s v="Private Retailer"/>
    <s v="8918761139"/>
    <n v="11.025"/>
    <n v="42"/>
    <x v="3"/>
    <m/>
    <s v="2026-03-09"/>
    <s v="263373"/>
    <s v="M/s. Kanailal Kedar Prasad"/>
    <s v="9735692523"/>
  </r>
  <r>
    <s v="RCF Thal"/>
    <s v="N.C.Urea(45kg)"/>
    <s v="WB"/>
    <x v="8"/>
    <s v="Balurghat"/>
    <s v="User Not Mapped"/>
    <s v="User Not Mapped"/>
    <s v="User Not Mapped"/>
    <n v="1246191"/>
    <s v="M/S SUJIT BASAK  SUDEB KUMAR "/>
    <s v="Private Retailer"/>
    <s v="8918761139"/>
    <n v="8.5500000000000007"/>
    <n v="64"/>
    <x v="6"/>
    <m/>
    <s v="2026-02-15"/>
    <s v="263373"/>
    <s v="M/s. Kanailal Kedar Prasad"/>
    <s v="9735692523"/>
  </r>
  <r>
    <s v="RCF Thal"/>
    <s v="N.C.Urea(45kg)"/>
    <s v="WB"/>
    <x v="8"/>
    <s v="Balurghat"/>
    <s v="User Not Mapped"/>
    <s v="User Not Mapped"/>
    <s v="User Not Mapped"/>
    <n v="391577"/>
    <s v="M/S SURESH DEBNATH"/>
    <s v="Private Retailer"/>
    <s v="7602222620"/>
    <n v="2.34"/>
    <n v="360"/>
    <x v="1"/>
    <m/>
    <s v="2025-04-25"/>
    <s v="263373"/>
    <s v="M/s. Kanailal Kedar Prasad"/>
    <s v="9735692523"/>
  </r>
  <r>
    <s v="RCF Thal"/>
    <s v="N.C.Urea(45kg)"/>
    <s v="WB"/>
    <x v="8"/>
    <s v="Kumarganj"/>
    <s v="User Not Mapped"/>
    <s v="User Not Mapped"/>
    <s v="User Not Mapped"/>
    <n v="216452"/>
    <s v="M/S. AMCHERALI MONDAL N AMAJUL"/>
    <s v="Private Retailer"/>
    <s v="9735080739"/>
    <n v="22.05"/>
    <n v="42"/>
    <x v="3"/>
    <m/>
    <s v="2026-03-09"/>
    <s v="263373"/>
    <s v="M/s. Kanailal Kedar Prasad"/>
    <s v="9735692523"/>
  </r>
  <r>
    <s v="RCF Thal"/>
    <s v="N.C.Urea(45kg)"/>
    <s v="WB"/>
    <x v="8"/>
    <s v="Kumarganj"/>
    <s v="User Not Mapped"/>
    <s v="User Not Mapped"/>
    <s v="User Not Mapped"/>
    <n v="216452"/>
    <s v="M/S. AMCHERALI MONDAL N AMAJUL"/>
    <s v="Private Retailer"/>
    <s v="9735080739"/>
    <n v="11.025"/>
    <n v="61"/>
    <x v="6"/>
    <m/>
    <s v="2026-02-18"/>
    <s v="263373"/>
    <s v="M/s. Kanailal Kedar Prasad"/>
    <s v="9735692523"/>
  </r>
  <r>
    <s v="RCF Thal"/>
    <s v="N.C.Urea(45kg)"/>
    <s v="WB"/>
    <x v="8"/>
    <s v="Tapan"/>
    <s v="User Not Mapped"/>
    <s v="User Not Mapped"/>
    <s v="User Not Mapped"/>
    <n v="649401"/>
    <s v="M/S. ANIRBAN SAHA"/>
    <s v="Private Retailer"/>
    <s v="9733473031"/>
    <n v="0.315"/>
    <n v="933"/>
    <x v="2"/>
    <m/>
    <s v="2023-09-30"/>
    <s v="263373"/>
    <s v="M/s. Kanailal Kedar Prasad"/>
    <s v="9735692523"/>
  </r>
  <r>
    <s v="RCF Thal"/>
    <s v="N.C.Urea(45kg)"/>
    <s v="WB"/>
    <x v="8"/>
    <s v="Bansihari"/>
    <s v="User Not Mapped"/>
    <s v="User Not Mapped"/>
    <s v="User Not Mapped"/>
    <n v="1315486"/>
    <s v="M/S. DEY SAR BHANDAR"/>
    <s v="Private Retailer"/>
    <s v="6295156143"/>
    <n v="8.7750000000000004"/>
    <n v="405"/>
    <x v="0"/>
    <m/>
    <s v="2025-03-11"/>
    <s v="263373"/>
    <s v="M/s. Kanailal Kedar Prasad"/>
    <s v="9735692523"/>
  </r>
  <r>
    <s v="RCF Thal"/>
    <s v="N.C.Urea(45kg)"/>
    <s v="WB"/>
    <x v="8"/>
    <s v="Balurghat"/>
    <s v="User Not Mapped"/>
    <s v="User Not Mapped"/>
    <s v="User Not Mapped"/>
    <n v="1021657"/>
    <s v="M/S. DIPANKAR ROY"/>
    <s v="Private Retailer"/>
    <s v="7063173144"/>
    <n v="29.97"/>
    <n v="42"/>
    <x v="3"/>
    <m/>
    <s v="2026-03-09"/>
    <s v="263373"/>
    <s v="M/s. Kanailal Kedar Prasad"/>
    <s v="9735692523"/>
  </r>
  <r>
    <s v="RCF Import"/>
    <s v="Imp 10-26-26"/>
    <s v="WB"/>
    <x v="8"/>
    <s v="Harirampur"/>
    <s v="User Not Mapped"/>
    <s v="User Not Mapped"/>
    <s v="User Not Mapped"/>
    <n v="654385"/>
    <s v="M/S. FARUK HOSSAIN"/>
    <s v="Private Retailer"/>
    <s v="7001425100"/>
    <n v="2.75"/>
    <n v="74"/>
    <x v="6"/>
    <m/>
    <s v="2026-02-05"/>
    <s v="263373"/>
    <s v="M/s. Kanailal Kedar Prasad"/>
    <s v="9735692523"/>
  </r>
  <r>
    <s v="RCF Thal"/>
    <s v="N.C.Urea(45kg)"/>
    <s v="WB"/>
    <x v="8"/>
    <s v="Gangarampur"/>
    <s v="User Not Mapped"/>
    <s v="User Not Mapped"/>
    <s v="User Not Mapped"/>
    <n v="126546"/>
    <s v="M/S. JABED ALI SARKAR"/>
    <s v="Private Retailer"/>
    <s v="9593611330"/>
    <n v="11.025"/>
    <n v="64"/>
    <x v="6"/>
    <m/>
    <s v="2026-02-15"/>
    <s v="263373"/>
    <s v="M/s. Kanailal Kedar Prasad"/>
    <s v="9735692523"/>
  </r>
  <r>
    <s v="RCF Trombay"/>
    <s v="N.C.Urea(45kg)"/>
    <s v="WB"/>
    <x v="8"/>
    <s v="Gangarampur"/>
    <s v="User Not Mapped"/>
    <s v="User Not Mapped"/>
    <s v="User Not Mapped"/>
    <n v="126546"/>
    <s v="M/S. JABED ALI SARKAR"/>
    <s v="Private Retailer"/>
    <s v="9593611330"/>
    <n v="10.755000000000001"/>
    <n v="164"/>
    <x v="4"/>
    <m/>
    <s v="2025-11-07"/>
    <s v="263373"/>
    <s v="M/s. Kanailal Kedar Prasad"/>
    <s v="9735692523"/>
  </r>
  <r>
    <s v="RCF Thal"/>
    <s v="N.C.Urea(45kg)"/>
    <s v="WB"/>
    <x v="8"/>
    <s v="Gangarampur"/>
    <s v="User Not Mapped"/>
    <s v="User Not Mapped"/>
    <s v="User Not Mapped"/>
    <n v="126546"/>
    <s v="M/S. JABED ALI SARKAR"/>
    <s v="Private Retailer"/>
    <s v="9593611330"/>
    <n v="7.7850000000000001"/>
    <n v="90"/>
    <x v="6"/>
    <m/>
    <s v="2026-01-20"/>
    <s v="263373"/>
    <s v="M/s. Kanailal Kedar Prasad"/>
    <s v="9735692523"/>
  </r>
  <r>
    <s v="RCF Trombay"/>
    <s v="N.C.Urea(45kg)"/>
    <s v="WB"/>
    <x v="8"/>
    <s v="Kushmundi"/>
    <s v="User Not Mapped"/>
    <s v="User Not Mapped"/>
    <s v="User Not Mapped"/>
    <n v="768128"/>
    <s v="M/S. JIBAN KR SEN"/>
    <s v="Private Retailer"/>
    <s v="9434144964"/>
    <n v="2.34"/>
    <n v="133"/>
    <x v="4"/>
    <m/>
    <s v="2025-12-08"/>
    <s v="263373"/>
    <s v="M/s. Kanailal Kedar Prasad"/>
    <s v="9735692523"/>
  </r>
  <r>
    <s v="RCF Trombay"/>
    <s v="15-15-15"/>
    <s v="WB"/>
    <x v="8"/>
    <s v="Bansihari"/>
    <s v="User Not Mapped"/>
    <s v="User Not Mapped"/>
    <s v="User Not Mapped"/>
    <n v="263374"/>
    <s v="M/s. Krishi Unnayan Kendra"/>
    <s v="Private Wholsaler"/>
    <s v="8759907610"/>
    <n v="1.625"/>
    <n v="207"/>
    <x v="1"/>
    <s v="'306'"/>
    <s v="2025-09-25"/>
    <s v="263373"/>
    <s v="M/s. Kanailal Kedar Prasad"/>
    <s v="9735692523"/>
  </r>
  <r>
    <s v="RCF Trombay"/>
    <s v="15-15-15"/>
    <s v="WB"/>
    <x v="8"/>
    <s v="Bansihari"/>
    <s v="User Not Mapped"/>
    <s v="User Not Mapped"/>
    <s v="User Not Mapped"/>
    <n v="263374"/>
    <s v="M/s. Krishi Unnayan Kendra"/>
    <s v="Private Wholsaler"/>
    <s v="8759907610"/>
    <n v="11"/>
    <n v="131"/>
    <x v="4"/>
    <s v="'779'"/>
    <s v="2025-12-10"/>
    <s v="263373"/>
    <s v="M/s. Kanailal Kedar Prasad"/>
    <s v="9735692523"/>
  </r>
  <r>
    <s v="RCF Thal"/>
    <s v="N.C.Urea(45kg)"/>
    <s v="WB"/>
    <x v="8"/>
    <s v="Gangarampur"/>
    <s v="User Not Mapped"/>
    <s v="User Not Mapped"/>
    <s v="User Not Mapped"/>
    <n v="949228"/>
    <s v="M/S. MANDAL FERTILZER"/>
    <s v="Private Retailer"/>
    <s v="7407288230"/>
    <n v="8.3249999999999993"/>
    <n v="64"/>
    <x v="6"/>
    <m/>
    <s v="2026-02-15"/>
    <s v="263373"/>
    <s v="M/s. Kanailal Kedar Prasad"/>
    <s v="9735692523"/>
  </r>
  <r>
    <s v="RCF Thal"/>
    <s v="N.C.Urea(45kg)"/>
    <s v="WB"/>
    <x v="8"/>
    <s v="Harirampur"/>
    <s v="User Not Mapped"/>
    <s v="User Not Mapped"/>
    <s v="User Not Mapped"/>
    <n v="1402188"/>
    <s v="M/S. MIRJA FERTILIZER"/>
    <s v="Private Retailer"/>
    <s v="9593875358"/>
    <n v="5.625"/>
    <n v="90"/>
    <x v="6"/>
    <m/>
    <s v="2026-01-20"/>
    <s v="263373"/>
    <s v="M/s. Kanailal Kedar Prasad"/>
    <s v="9735692523"/>
  </r>
  <r>
    <s v="RCF Thal"/>
    <s v="N.C.Urea(45kg)"/>
    <s v="WB"/>
    <x v="8"/>
    <s v="Harirampur"/>
    <s v="User Not Mapped"/>
    <s v="User Not Mapped"/>
    <s v="User Not Mapped"/>
    <n v="1286107"/>
    <s v="M/S. NUR FERTILIZER"/>
    <s v="Private Retailer"/>
    <s v="9339956942"/>
    <n v="0.54"/>
    <n v="475"/>
    <x v="0"/>
    <m/>
    <s v="2024-12-31"/>
    <s v="263373"/>
    <s v="M/s. Kanailal Kedar Prasad"/>
    <s v="9735692523"/>
  </r>
  <r>
    <s v="RCF Thal"/>
    <s v="N.C.Urea(45kg)"/>
    <s v="WB"/>
    <x v="8"/>
    <s v="Tapan"/>
    <s v="User Not Mapped"/>
    <s v="User Not Mapped"/>
    <s v="User Not Mapped"/>
    <n v="768082"/>
    <s v="M/S. RAKESH PAUL"/>
    <s v="Private Retailer"/>
    <s v="9609773354"/>
    <n v="1.125"/>
    <n v="2049"/>
    <x v="2"/>
    <m/>
    <s v="2020-09-09"/>
    <s v="263373"/>
    <s v="M/s. Kanailal Kedar Prasad"/>
    <s v="9735692523"/>
  </r>
  <r>
    <s v="RCF Thal"/>
    <s v="N.C.Urea(45kg)"/>
    <s v="WB"/>
    <x v="8"/>
    <s v="Tapan"/>
    <s v="User Not Mapped"/>
    <s v="User Not Mapped"/>
    <s v="User Not Mapped"/>
    <n v="939841"/>
    <s v="M/S. RANJIT ROY"/>
    <s v="Private Retailer"/>
    <s v="9933434628"/>
    <n v="0.09"/>
    <n v="142"/>
    <x v="4"/>
    <m/>
    <s v="2025-11-29"/>
    <s v="263373"/>
    <s v="M/s. Kanailal Kedar Prasad"/>
    <s v="9735692523"/>
  </r>
  <r>
    <s v="RCF Trombay"/>
    <s v="15-15-15"/>
    <s v="WB"/>
    <x v="8"/>
    <s v="Tapan"/>
    <s v="User Not Mapped"/>
    <s v="User Not Mapped"/>
    <s v="User Not Mapped"/>
    <n v="939841"/>
    <s v="M/S. RANJIT ROY"/>
    <s v="Private Retailer"/>
    <s v="9933434628"/>
    <n v="2"/>
    <n v="159"/>
    <x v="4"/>
    <m/>
    <s v="2025-11-12"/>
    <s v="263373"/>
    <s v="M/s. Kanailal Kedar Prasad"/>
    <s v="9735692523"/>
  </r>
  <r>
    <s v="RCF Thal"/>
    <s v="N.C.Urea(45kg)"/>
    <s v="WB"/>
    <x v="8"/>
    <s v="Gangarampur"/>
    <s v="User Not Mapped"/>
    <s v="User Not Mapped"/>
    <s v="User Not Mapped"/>
    <n v="126953"/>
    <s v="M/S. UJJWAL BARMAN"/>
    <s v="Private Retailer"/>
    <s v="9734957747"/>
    <n v="11.025"/>
    <n v="42"/>
    <x v="3"/>
    <m/>
    <s v="2026-03-09"/>
    <s v="263373"/>
    <s v="M/s. Kanailal Kedar Prasad"/>
    <s v="9735692523"/>
  </r>
  <r>
    <s v="RCF Thal"/>
    <s v="N.C.Urea(45kg)"/>
    <s v="WB"/>
    <x v="8"/>
    <s v="Tapan"/>
    <s v="User Not Mapped"/>
    <s v="User Not Mapped"/>
    <s v="User Not Mapped"/>
    <n v="1007482"/>
    <s v="M/S-NIREN ROY"/>
    <s v="Private Retailer"/>
    <s v="6294685551"/>
    <n v="0.09"/>
    <n v="64"/>
    <x v="6"/>
    <m/>
    <s v="2026-02-15"/>
    <s v="263373"/>
    <s v="M/s. Kanailal Kedar Prasad"/>
    <s v="9735692523"/>
  </r>
  <r>
    <s v="RCF Thal"/>
    <s v="N.C.Urea(45kg)"/>
    <s v="WB"/>
    <x v="8"/>
    <s v="Tapan"/>
    <s v="User Not Mapped"/>
    <s v="User Not Mapped"/>
    <s v="User Not Mapped"/>
    <n v="126649"/>
    <s v="Mandal Fertilizer"/>
    <s v="Private Retailer"/>
    <s v="9775862537"/>
    <n v="4.4999999999999998E-2"/>
    <n v="144"/>
    <x v="4"/>
    <m/>
    <s v="2025-11-27"/>
    <s v="263373"/>
    <s v="M/s. Kanailal Kedar Prasad"/>
    <s v="9735692523"/>
  </r>
  <r>
    <s v="RCF Thal"/>
    <s v="N.C.Urea(45kg)"/>
    <s v="WB"/>
    <x v="8"/>
    <s v="Bansihari"/>
    <s v="User Not Mapped"/>
    <s v="User Not Mapped"/>
    <s v="User Not Mapped"/>
    <n v="1037521"/>
    <s v="MOHABUL HOSSAIN"/>
    <s v="Private Retailer"/>
    <s v="9609470134"/>
    <n v="9.4049999999999994"/>
    <n v="42"/>
    <x v="3"/>
    <m/>
    <s v="2026-03-09"/>
    <s v="263373"/>
    <s v="M/s. Kanailal Kedar Prasad"/>
    <s v="9735692523"/>
  </r>
  <r>
    <s v="RCF Thal"/>
    <s v="N.C.Urea(45kg)"/>
    <s v="WB"/>
    <x v="8"/>
    <s v="Balurghat"/>
    <s v="User Not Mapped"/>
    <s v="User Not Mapped"/>
    <s v="User Not Mapped"/>
    <n v="693367"/>
    <s v="MONDAL FERTILIZER"/>
    <s v="Private Retailer"/>
    <s v="7384244467"/>
    <n v="4.5"/>
    <n v="489"/>
    <x v="0"/>
    <m/>
    <s v="2024-12-17"/>
    <s v="263373"/>
    <s v="M/s. Kanailal Kedar Prasad"/>
    <s v="9735692523"/>
  </r>
  <r>
    <s v="RCF Trombay"/>
    <s v="N.C.Urea(45kg)"/>
    <s v="WB"/>
    <x v="8"/>
    <s v="Tapan"/>
    <s v="User Not Mapped"/>
    <s v="User Not Mapped"/>
    <s v="User Not Mapped"/>
    <n v="1579775"/>
    <s v="MONDAL SAR BHANDAR"/>
    <s v="Private Retailer"/>
    <s v="7001618473"/>
    <n v="2.4300000000000002"/>
    <n v="92"/>
    <x v="7"/>
    <m/>
    <s v="2026-01-18"/>
    <s v="263373"/>
    <s v="M/s. Kanailal Kedar Prasad"/>
    <s v="9735692523"/>
  </r>
  <r>
    <s v="RCF Thal"/>
    <s v="N.C.Urea(45kg)"/>
    <s v="WB"/>
    <x v="8"/>
    <s v="Bansihari"/>
    <s v="User Not Mapped"/>
    <s v="User Not Mapped"/>
    <s v="User Not Mapped"/>
    <n v="341989"/>
    <s v="Montosh Roy"/>
    <s v="Private Retailer"/>
    <s v="9734132593"/>
    <n v="5.5350000000000001"/>
    <n v="64"/>
    <x v="6"/>
    <m/>
    <s v="2026-02-15"/>
    <s v="263373"/>
    <s v="M/s. Kanailal Kedar Prasad"/>
    <s v="9735692523"/>
  </r>
  <r>
    <s v="RCF Thal"/>
    <s v="N.C.Urea(45kg)"/>
    <s v="WB"/>
    <x v="8"/>
    <s v="Balurghat"/>
    <s v="User Not Mapped"/>
    <s v="User Not Mapped"/>
    <s v="User Not Mapped"/>
    <n v="126712"/>
    <s v="Nayan Choudhury"/>
    <s v="Private Retailer"/>
    <s v="8918895375"/>
    <n v="0.9"/>
    <n v="148"/>
    <x v="4"/>
    <m/>
    <s v="2025-11-23"/>
    <s v="263373"/>
    <s v="M/s. Kanailal Kedar Prasad"/>
    <s v="9735692523"/>
  </r>
  <r>
    <s v="RCF Import"/>
    <s v="Imp 10-26-26"/>
    <s v="WB"/>
    <x v="8"/>
    <s v="Hilli"/>
    <s v="User Not Mapped"/>
    <s v="User Not Mapped"/>
    <s v="User Not Mapped"/>
    <n v="126714"/>
    <s v="Nayan Ghosh"/>
    <s v="Private Retailer"/>
    <s v="9933683156"/>
    <n v="4.3499999999999996"/>
    <n v="74"/>
    <x v="6"/>
    <m/>
    <s v="2026-02-05"/>
    <s v="263373"/>
    <s v="M/s. Kanailal Kedar Prasad"/>
    <s v="9735692523"/>
  </r>
  <r>
    <s v="RCF Trombay"/>
    <s v="N.C.Urea(45kg)"/>
    <s v="WB"/>
    <x v="8"/>
    <s v="Tapan"/>
    <s v="User Not Mapped"/>
    <s v="User Not Mapped"/>
    <s v="User Not Mapped"/>
    <n v="657760"/>
    <s v="NIMAI BARMAN"/>
    <s v="Private Retailer"/>
    <s v="8016640331"/>
    <n v="0.09"/>
    <n v="164"/>
    <x v="4"/>
    <m/>
    <s v="2025-11-07"/>
    <s v="263373"/>
    <s v="M/s. Kanailal Kedar Prasad"/>
    <s v="9735692523"/>
  </r>
  <r>
    <s v="RCF Trombay"/>
    <s v="15-15-15"/>
    <s v="WB"/>
    <x v="8"/>
    <s v="Bansihari"/>
    <s v="User Not Mapped"/>
    <s v="User Not Mapped"/>
    <s v="User Not Mapped"/>
    <n v="126733"/>
    <s v="Niyati Sarkar"/>
    <s v="Private Retailer"/>
    <s v="8348696079"/>
    <n v="0.3"/>
    <n v="195"/>
    <x v="1"/>
    <m/>
    <s v="2025-10-07"/>
    <s v="263373"/>
    <s v="M/s. Kanailal Kedar Prasad"/>
    <s v="9735692523"/>
  </r>
  <r>
    <s v="RCF Import"/>
    <s v="Imp 10-26-26"/>
    <s v="WB"/>
    <x v="8"/>
    <s v="Bansihari"/>
    <s v="User Not Mapped"/>
    <s v="User Not Mapped"/>
    <s v="User Not Mapped"/>
    <n v="126733"/>
    <s v="Niyati Sarkar"/>
    <s v="Private Retailer"/>
    <s v="8348696079"/>
    <n v="6.55"/>
    <n v="66"/>
    <x v="6"/>
    <m/>
    <s v="2026-02-13"/>
    <s v="263373"/>
    <s v="M/s. Kanailal Kedar Prasad"/>
    <s v="9735692523"/>
  </r>
  <r>
    <s v="RCF Thal"/>
    <s v="N.C.Urea(45kg)"/>
    <s v="WB"/>
    <x v="8"/>
    <s v="Bansihari"/>
    <s v="User Not Mapped"/>
    <s v="User Not Mapped"/>
    <s v="User Not Mapped"/>
    <n v="126733"/>
    <s v="Niyati Sarkar"/>
    <s v="Private Retailer"/>
    <s v="8348696079"/>
    <n v="8.1"/>
    <n v="42"/>
    <x v="3"/>
    <m/>
    <s v="2026-03-09"/>
    <s v="263373"/>
    <s v="M/s. Kanailal Kedar Prasad"/>
    <s v="9735692523"/>
  </r>
  <r>
    <s v="RCF Thal"/>
    <s v="N.C.Urea(45kg)"/>
    <s v="WB"/>
    <x v="8"/>
    <s v="Kushmundi"/>
    <s v="User Not Mapped"/>
    <s v="User Not Mapped"/>
    <s v="User Not Mapped"/>
    <n v="126735"/>
    <s v="Nojrul Islam"/>
    <s v="Private Retailer"/>
    <s v="7407892228"/>
    <n v="4.9950000000000001"/>
    <n v="126"/>
    <x v="4"/>
    <m/>
    <s v="2025-12-15"/>
    <s v="263373"/>
    <s v="M/s. Kanailal Kedar Prasad"/>
    <s v="9735692523"/>
  </r>
  <r>
    <s v="RCF Thal"/>
    <s v="N.C.Urea(45kg)"/>
    <s v="WB"/>
    <x v="8"/>
    <m/>
    <s v="User Not Mapped"/>
    <s v="User Not Mapped"/>
    <s v="User Not Mapped"/>
    <n v="1099956"/>
    <s v="PARTHA BASAK"/>
    <s v="Private Retailer"/>
    <s v="7797042698"/>
    <n v="2.9249999999999998"/>
    <n v="42"/>
    <x v="3"/>
    <m/>
    <s v="2026-03-09"/>
    <s v="263373"/>
    <s v="M/s. Kanailal Kedar Prasad"/>
    <s v="9735692523"/>
  </r>
  <r>
    <s v="RCF Trombay"/>
    <s v="15-15-15"/>
    <s v="WB"/>
    <x v="8"/>
    <s v="Tapan"/>
    <s v="User Not Mapped"/>
    <s v="User Not Mapped"/>
    <s v="User Not Mapped"/>
    <n v="263345"/>
    <s v="Patkola Skus Ltd."/>
    <s v="State Marketing Federation"/>
    <s v="6297938210"/>
    <n v="4.5999999999999996"/>
    <n v="207"/>
    <x v="1"/>
    <m/>
    <s v="2025-09-25"/>
    <s v="263373"/>
    <s v="M/s. Kanailal Kedar Prasad"/>
    <s v="9735692523"/>
  </r>
  <r>
    <s v="RCF Thal"/>
    <s v="N.C.Urea(45kg)"/>
    <s v="WB"/>
    <x v="8"/>
    <s v="Balurghat"/>
    <s v="User Not Mapped"/>
    <s v="User Not Mapped"/>
    <s v="User Not Mapped"/>
    <n v="263347"/>
    <s v="Pranay Laha"/>
    <s v="Private Retailer"/>
    <s v="9647760647"/>
    <n v="5.98"/>
    <n v="221"/>
    <x v="1"/>
    <m/>
    <s v="2025-09-11"/>
    <s v="263373"/>
    <s v="M/s. Kanailal Kedar Prasad"/>
    <s v="9735692523"/>
  </r>
  <r>
    <s v="RCF Thal"/>
    <s v="N.C.Urea(45kg)"/>
    <s v="WB"/>
    <x v="8"/>
    <s v="Balurghat"/>
    <s v="User Not Mapped"/>
    <s v="User Not Mapped"/>
    <s v="User Not Mapped"/>
    <n v="263347"/>
    <s v="Pranay Laha"/>
    <s v="Private Retailer"/>
    <s v="9647760647"/>
    <n v="4.5"/>
    <n v="117"/>
    <x v="7"/>
    <m/>
    <s v="2025-12-24"/>
    <s v="263373"/>
    <s v="M/s. Kanailal Kedar Prasad"/>
    <s v="9735692523"/>
  </r>
  <r>
    <s v="RCF Thal"/>
    <s v="N.C.Urea(45kg)"/>
    <s v="WB"/>
    <x v="8"/>
    <s v="Kumarganj"/>
    <s v="User Not Mapped"/>
    <s v="User Not Mapped"/>
    <s v="User Not Mapped"/>
    <n v="126777"/>
    <s v="PREMANANDA BASAK"/>
    <s v="Private Retailer"/>
    <s v="9635044403"/>
    <n v="11.025"/>
    <n v="20"/>
    <x v="5"/>
    <m/>
    <s v="2026-03-31"/>
    <s v="263373"/>
    <s v="M/s. Kanailal Kedar Prasad"/>
    <s v="9735692523"/>
  </r>
  <r>
    <s v="RCF Thal"/>
    <s v="N.C.Urea(45kg)"/>
    <s v="WB"/>
    <x v="8"/>
    <s v="Gangarampur"/>
    <s v="User Not Mapped"/>
    <s v="User Not Mapped"/>
    <s v="User Not Mapped"/>
    <n v="126782"/>
    <s v="Purna Chattopadadhyay"/>
    <s v="Private Retailer"/>
    <s v="8670728284"/>
    <n v="11.025"/>
    <n v="42"/>
    <x v="3"/>
    <m/>
    <s v="2026-03-09"/>
    <s v="263373"/>
    <s v="M/s. Kanailal Kedar Prasad"/>
    <s v="9735692523"/>
  </r>
  <r>
    <s v="RCF Trombay"/>
    <s v="N.C.Urea(45kg)"/>
    <s v="WB"/>
    <x v="8"/>
    <s v="Gangarampur"/>
    <s v="User Not Mapped"/>
    <s v="User Not Mapped"/>
    <s v="User Not Mapped"/>
    <n v="126782"/>
    <s v="Purna Chattopadadhyay"/>
    <s v="Private Retailer"/>
    <s v="8670728284"/>
    <n v="11.025"/>
    <n v="125"/>
    <x v="4"/>
    <m/>
    <s v="2025-12-16"/>
    <s v="263373"/>
    <s v="M/s. Kanailal Kedar Prasad"/>
    <s v="9735692523"/>
  </r>
  <r>
    <s v="RCF Thal"/>
    <s v="N.C.Urea(45kg)"/>
    <s v="WB"/>
    <x v="8"/>
    <s v="Gangarampur"/>
    <s v="User Not Mapped"/>
    <s v="User Not Mapped"/>
    <s v="User Not Mapped"/>
    <n v="126782"/>
    <s v="Purna Chattopadadhyay"/>
    <s v="Private Retailer"/>
    <s v="8670728284"/>
    <n v="3.96"/>
    <n v="148"/>
    <x v="4"/>
    <m/>
    <s v="2025-11-23"/>
    <s v="263373"/>
    <s v="M/s. Kanailal Kedar Prasad"/>
    <s v="9735692523"/>
  </r>
  <r>
    <s v="RCF Thal"/>
    <s v="N.C.Urea(45kg)"/>
    <s v="WB"/>
    <x v="8"/>
    <s v="Gangarampur"/>
    <s v="User Not Mapped"/>
    <s v="User Not Mapped"/>
    <s v="User Not Mapped"/>
    <n v="126782"/>
    <s v="Purna Chattopadadhyay"/>
    <s v="Private Retailer"/>
    <s v="8670728284"/>
    <n v="11.025"/>
    <n v="126"/>
    <x v="4"/>
    <m/>
    <s v="2025-12-15"/>
    <s v="263373"/>
    <s v="M/s. Kanailal Kedar Prasad"/>
    <s v="9735692523"/>
  </r>
  <r>
    <s v="RCF Thal"/>
    <s v="N.C.Urea(45kg)"/>
    <s v="WB"/>
    <x v="8"/>
    <s v="Gangarampur"/>
    <s v="User Not Mapped"/>
    <s v="User Not Mapped"/>
    <s v="User Not Mapped"/>
    <n v="126782"/>
    <s v="Purna Chattopadadhyay"/>
    <s v="Private Retailer"/>
    <s v="8670728284"/>
    <n v="11.025"/>
    <n v="64"/>
    <x v="6"/>
    <m/>
    <s v="2026-02-15"/>
    <s v="263373"/>
    <s v="M/s. Kanailal Kedar Prasad"/>
    <s v="9735692523"/>
  </r>
  <r>
    <s v="RCF Thal"/>
    <s v="N.C.Urea(45kg)"/>
    <s v="WB"/>
    <x v="8"/>
    <s v="Gangarampur"/>
    <s v="User Not Mapped"/>
    <s v="User Not Mapped"/>
    <s v="User Not Mapped"/>
    <n v="1057377"/>
    <s v="RAFIKUL ISLAM"/>
    <s v="Private Retailer"/>
    <s v="8514029631"/>
    <n v="9.7200000000000006"/>
    <n v="87"/>
    <x v="6"/>
    <m/>
    <s v="2026-01-23"/>
    <s v="263373"/>
    <s v="M/s. Kanailal Kedar Prasad"/>
    <s v="9735692523"/>
  </r>
  <r>
    <s v="RCF Thal"/>
    <s v="N.C.Urea(45kg)"/>
    <s v="WB"/>
    <x v="8"/>
    <s v="Tapan"/>
    <s v="User Not Mapped"/>
    <s v="User Not Mapped"/>
    <s v="User Not Mapped"/>
    <n v="1610416"/>
    <s v="Rafiuddin Sarkar"/>
    <s v="Private Retailer"/>
    <s v="8145229593"/>
    <n v="5.625"/>
    <n v="42"/>
    <x v="3"/>
    <m/>
    <s v="2026-03-09"/>
    <s v="263373"/>
    <s v="M/s. Kanailal Kedar Prasad"/>
    <s v="9735692523"/>
  </r>
  <r>
    <s v="RCF Thal"/>
    <s v="N.C.Urea(45kg)"/>
    <s v="WB"/>
    <x v="8"/>
    <s v="Kushmundi"/>
    <s v="User Not Mapped"/>
    <s v="User Not Mapped"/>
    <s v="User Not Mapped"/>
    <n v="126790"/>
    <s v="Rahaman Fertilizer Agency"/>
    <s v="Private Retailer"/>
    <s v="6296511594"/>
    <n v="2.4300000000000002"/>
    <n v="289"/>
    <x v="1"/>
    <m/>
    <s v="2025-07-05"/>
    <s v="263373"/>
    <s v="M/s. Kanailal Kedar Prasad"/>
    <s v="9735692523"/>
  </r>
  <r>
    <s v="RCF Thal"/>
    <s v="N.C.Urea(45kg)"/>
    <s v="WB"/>
    <x v="8"/>
    <s v="Kushmundi"/>
    <s v="User Not Mapped"/>
    <s v="User Not Mapped"/>
    <s v="User Not Mapped"/>
    <n v="126790"/>
    <s v="Rahaman Fertilizer Agency"/>
    <s v="Private Retailer"/>
    <s v="6296511594"/>
    <n v="11.025"/>
    <n v="87"/>
    <x v="6"/>
    <m/>
    <s v="2026-01-23"/>
    <s v="263373"/>
    <s v="M/s. Kanailal Kedar Prasad"/>
    <s v="9735692523"/>
  </r>
  <r>
    <s v="RCF Thal"/>
    <s v="N.C.Urea(45kg)"/>
    <s v="WB"/>
    <x v="8"/>
    <s v="Gangarampur"/>
    <s v="User Not Mapped"/>
    <s v="User Not Mapped"/>
    <s v="User Not Mapped"/>
    <n v="1086607"/>
    <s v="RAHED ALI MIA"/>
    <s v="Private Retailer"/>
    <s v="9733407667"/>
    <n v="0.67500000000000004"/>
    <n v="360"/>
    <x v="1"/>
    <m/>
    <s v="2025-04-25"/>
    <s v="263373"/>
    <s v="M/s. Kanailal Kedar Prasad"/>
    <s v="9735692523"/>
  </r>
  <r>
    <s v="RCF Thal"/>
    <s v="N.C.Urea(45kg)"/>
    <s v="WB"/>
    <x v="8"/>
    <s v="Kushmundi"/>
    <s v="User Not Mapped"/>
    <s v="User Not Mapped"/>
    <s v="User Not Mapped"/>
    <n v="1518963"/>
    <s v="RAHUL ALAM"/>
    <s v="Private Retailer"/>
    <s v="8900045531"/>
    <n v="0.22500000000000001"/>
    <n v="328"/>
    <x v="1"/>
    <m/>
    <s v="2025-05-27"/>
    <s v="263373"/>
    <s v="M/s. Kanailal Kedar Prasad"/>
    <s v="9735692523"/>
  </r>
  <r>
    <s v="RCF Thal"/>
    <s v="N.C.Urea(45kg)"/>
    <s v="WB"/>
    <x v="8"/>
    <s v="Kumarganj"/>
    <s v="User Not Mapped"/>
    <s v="User Not Mapped"/>
    <s v="User Not Mapped"/>
    <n v="774876"/>
    <s v="RAJIB SARKAR"/>
    <s v="Private Retailer"/>
    <s v="9775400640"/>
    <n v="1.71"/>
    <n v="64"/>
    <x v="6"/>
    <m/>
    <s v="2026-02-15"/>
    <s v="263373"/>
    <s v="M/s. Kanailal Kedar Prasad"/>
    <s v="9735692523"/>
  </r>
  <r>
    <s v="RCF Thal"/>
    <s v="N.C.Urea(45kg)"/>
    <s v="WB"/>
    <x v="8"/>
    <s v="Tapan"/>
    <s v="User Not Mapped"/>
    <s v="User Not Mapped"/>
    <s v="User Not Mapped"/>
    <n v="978594"/>
    <s v="RAJJATUL HOSSAIN"/>
    <s v="Private Retailer"/>
    <s v="9382948301"/>
    <n v="5.0000000000000001E-3"/>
    <n v="2340"/>
    <x v="2"/>
    <m/>
    <s v="2019-11-23"/>
    <s v="263373"/>
    <s v="M/s. Kanailal Kedar Prasad"/>
    <s v="9735692523"/>
  </r>
  <r>
    <s v="RCF Trombay"/>
    <s v="15-15-15"/>
    <s v="WB"/>
    <x v="8"/>
    <s v="Kumarganj"/>
    <s v="User Not Mapped"/>
    <s v="User Not Mapped"/>
    <s v="User Not Mapped"/>
    <n v="698531"/>
    <s v="RAJU KAR"/>
    <s v="Private Retailer"/>
    <s v="9734915998"/>
    <n v="5.75"/>
    <n v="207"/>
    <x v="1"/>
    <m/>
    <s v="2025-09-25"/>
    <s v="263373"/>
    <s v="M/s. Kanailal Kedar Prasad"/>
    <s v="9735692523"/>
  </r>
  <r>
    <s v="RCF Thal"/>
    <s v="N.C.Urea(45kg)"/>
    <s v="WB"/>
    <x v="8"/>
    <s v="Kumarganj"/>
    <s v="User Not Mapped"/>
    <s v="User Not Mapped"/>
    <s v="User Not Mapped"/>
    <n v="698531"/>
    <s v="RAJU KAR"/>
    <s v="Private Retailer"/>
    <s v="9734915998"/>
    <n v="0.45"/>
    <n v="42"/>
    <x v="3"/>
    <m/>
    <s v="2026-03-09"/>
    <s v="263373"/>
    <s v="M/s. Kanailal Kedar Prasad"/>
    <s v="9735692523"/>
  </r>
  <r>
    <s v="RCF Trombay"/>
    <s v="15-15-15"/>
    <s v="WB"/>
    <x v="8"/>
    <s v="Balurghat"/>
    <s v="User Not Mapped"/>
    <s v="User Not Mapped"/>
    <s v="User Not Mapped"/>
    <n v="354004"/>
    <s v="Ranjan Paul"/>
    <s v="Private Retailer"/>
    <s v="8637544830"/>
    <n v="2.4500000000000002"/>
    <n v="131"/>
    <x v="4"/>
    <m/>
    <s v="2025-12-10"/>
    <s v="263373"/>
    <s v="M/s. Kanailal Kedar Prasad"/>
    <s v="9735692523"/>
  </r>
  <r>
    <s v="RCF Thal"/>
    <s v="N.C.Urea(45kg)"/>
    <s v="WB"/>
    <x v="8"/>
    <s v="Hilli"/>
    <s v="User Not Mapped"/>
    <s v="User Not Mapped"/>
    <s v="User Not Mapped"/>
    <n v="1444480"/>
    <s v="RATAN LAHA"/>
    <s v="Private Retailer"/>
    <s v="7501713890"/>
    <n v="6.39"/>
    <n v="42"/>
    <x v="3"/>
    <m/>
    <s v="2026-03-09"/>
    <s v="263373"/>
    <s v="M/s. Kanailal Kedar Prasad"/>
    <s v="9735692523"/>
  </r>
  <r>
    <s v="RCF Trombay"/>
    <s v="N.C.Urea(45kg)"/>
    <s v="WB"/>
    <x v="8"/>
    <s v="Hilli"/>
    <s v="User Not Mapped"/>
    <s v="User Not Mapped"/>
    <s v="User Not Mapped"/>
    <n v="1444480"/>
    <s v="RATAN LAHA"/>
    <s v="Private Retailer"/>
    <s v="7501713890"/>
    <n v="1.3049999999999999"/>
    <n v="86"/>
    <x v="6"/>
    <m/>
    <s v="2026-01-24"/>
    <s v="263373"/>
    <s v="M/s. Kanailal Kedar Prasad"/>
    <s v="9735692523"/>
  </r>
  <r>
    <s v="RCF Thal"/>
    <s v="N.C.Urea(45kg)"/>
    <s v="WB"/>
    <x v="8"/>
    <s v="Hilli"/>
    <s v="User Not Mapped"/>
    <s v="User Not Mapped"/>
    <s v="User Not Mapped"/>
    <n v="1444480"/>
    <s v="RATAN LAHA"/>
    <s v="Private Retailer"/>
    <s v="7501713890"/>
    <n v="5.5350000000000001"/>
    <n v="20"/>
    <x v="5"/>
    <m/>
    <s v="2026-03-31"/>
    <s v="263373"/>
    <s v="M/s. Kanailal Kedar Prasad"/>
    <s v="9735692523"/>
  </r>
  <r>
    <s v="RCF Trombay"/>
    <s v="N.C.Urea(45kg)"/>
    <s v="WB"/>
    <x v="8"/>
    <s v="Tapan"/>
    <s v="User Not Mapped"/>
    <s v="User Not Mapped"/>
    <s v="User Not Mapped"/>
    <n v="126817"/>
    <s v="Rejaul Karim Mandal"/>
    <s v="Private Retailer"/>
    <s v="9733158785"/>
    <n v="1.62"/>
    <n v="164"/>
    <x v="4"/>
    <m/>
    <s v="2025-11-07"/>
    <s v="263373"/>
    <s v="M/s. Kanailal Kedar Prasad"/>
    <s v="9735692523"/>
  </r>
  <r>
    <s v="RCF Thal"/>
    <s v="N.C.Urea(45kg)"/>
    <s v="WB"/>
    <x v="8"/>
    <s v="Tapan"/>
    <s v="User Not Mapped"/>
    <s v="User Not Mapped"/>
    <s v="User Not Mapped"/>
    <n v="126817"/>
    <s v="Rejaul Karim Mandal"/>
    <s v="Private Retailer"/>
    <s v="9733158785"/>
    <n v="2.2250000000000001"/>
    <n v="90"/>
    <x v="6"/>
    <m/>
    <s v="2026-01-20"/>
    <s v="263373"/>
    <s v="M/s. Kanailal Kedar Prasad"/>
    <s v="9735692523"/>
  </r>
  <r>
    <s v="RCF Thal"/>
    <s v="N.C.Urea(45kg)"/>
    <s v="WB"/>
    <x v="8"/>
    <s v="Hilli"/>
    <s v="User Not Mapped"/>
    <s v="User Not Mapped"/>
    <s v="User Not Mapped"/>
    <n v="706896"/>
    <s v="SABITRI SAR BHANDAR"/>
    <s v="Private Retailer"/>
    <s v="7584057212"/>
    <n v="3.24"/>
    <n v="405"/>
    <x v="0"/>
    <m/>
    <s v="2025-03-11"/>
    <s v="263373"/>
    <s v="M/s. Kanailal Kedar Prasad"/>
    <s v="9735692523"/>
  </r>
  <r>
    <s v="RCF Import"/>
    <s v="Imp 10-26-26"/>
    <s v="WB"/>
    <x v="8"/>
    <s v="Tapan"/>
    <s v="User Not Mapped"/>
    <s v="User Not Mapped"/>
    <s v="User Not Mapped"/>
    <n v="657742"/>
    <s v="SABUJ BIPLAB"/>
    <s v="Private Retailer"/>
    <s v="9734155202"/>
    <n v="3"/>
    <n v="42"/>
    <x v="3"/>
    <m/>
    <s v="2026-03-09"/>
    <s v="263373"/>
    <s v="M/s. Kanailal Kedar Prasad"/>
    <s v="9735692523"/>
  </r>
  <r>
    <s v="RCF Thal"/>
    <s v="N.C.Urea(45kg)"/>
    <s v="WB"/>
    <x v="8"/>
    <s v="Tapan"/>
    <s v="User Not Mapped"/>
    <s v="User Not Mapped"/>
    <s v="User Not Mapped"/>
    <n v="657742"/>
    <s v="SABUJ BIPLAB"/>
    <s v="Private Retailer"/>
    <s v="9734155202"/>
    <n v="4.5"/>
    <n v="42"/>
    <x v="3"/>
    <m/>
    <s v="2026-03-09"/>
    <s v="263373"/>
    <s v="M/s. Kanailal Kedar Prasad"/>
    <s v="9735692523"/>
  </r>
  <r>
    <s v="RCF Thal"/>
    <s v="N.C.Urea(45kg)"/>
    <s v="WB"/>
    <x v="8"/>
    <s v="Tapan"/>
    <s v="User Not Mapped"/>
    <s v="User Not Mapped"/>
    <s v="User Not Mapped"/>
    <n v="657742"/>
    <s v="SABUJ BIPLAB"/>
    <s v="Private Retailer"/>
    <s v="9734155202"/>
    <n v="8.2750000000000004"/>
    <n v="148"/>
    <x v="4"/>
    <m/>
    <s v="2025-11-23"/>
    <s v="263373"/>
    <s v="M/s. Kanailal Kedar Prasad"/>
    <s v="9735692523"/>
  </r>
  <r>
    <s v="RCF Thal"/>
    <s v="N.C.Urea(45kg)"/>
    <s v="WB"/>
    <x v="8"/>
    <s v="Tapan"/>
    <s v="User Not Mapped"/>
    <s v="User Not Mapped"/>
    <s v="User Not Mapped"/>
    <n v="657742"/>
    <s v="SABUJ BIPLAB"/>
    <s v="Private Retailer"/>
    <s v="9734155202"/>
    <n v="7.2"/>
    <n v="138"/>
    <x v="4"/>
    <m/>
    <s v="2025-12-03"/>
    <s v="263373"/>
    <s v="M/s. Kanailal Kedar Prasad"/>
    <s v="9735692523"/>
  </r>
  <r>
    <s v="RCF Trombay"/>
    <s v="N.C.Urea(45kg)"/>
    <s v="WB"/>
    <x v="8"/>
    <s v="Kushmundi"/>
    <s v="User Not Mapped"/>
    <s v="User Not Mapped"/>
    <s v="User Not Mapped"/>
    <n v="126837"/>
    <s v="Sadhan Chakraborty"/>
    <s v="Private Retailer"/>
    <s v="9734981693"/>
    <n v="1.7250000000000001"/>
    <n v="133"/>
    <x v="4"/>
    <m/>
    <s v="2025-12-08"/>
    <s v="263373"/>
    <s v="M/s. Kanailal Kedar Prasad"/>
    <s v="9735692523"/>
  </r>
  <r>
    <s v="RCF Thal"/>
    <s v="N.C.Urea(45kg)"/>
    <s v="WB"/>
    <x v="8"/>
    <s v="Balurghat"/>
    <s v="User Not Mapped"/>
    <s v="User Not Mapped"/>
    <s v="User Not Mapped"/>
    <n v="633939"/>
    <s v="SAFALI PAUL"/>
    <s v="Private Retailer"/>
    <s v="7047656280"/>
    <n v="1.4850000000000001"/>
    <n v="221"/>
    <x v="1"/>
    <m/>
    <s v="2025-09-11"/>
    <s v="263373"/>
    <s v="M/s. Kanailal Kedar Prasad"/>
    <s v="9735692523"/>
  </r>
  <r>
    <s v="RCF Thal"/>
    <s v="N.C.Urea(45kg)"/>
    <s v="WB"/>
    <x v="8"/>
    <s v="Balurghat"/>
    <s v="User Not Mapped"/>
    <s v="User Not Mapped"/>
    <s v="User Not Mapped"/>
    <n v="633939"/>
    <s v="SAFALI PAUL"/>
    <s v="Private Retailer"/>
    <s v="7047656280"/>
    <n v="5.5350000000000001"/>
    <n v="87"/>
    <x v="6"/>
    <m/>
    <s v="2026-01-23"/>
    <s v="263373"/>
    <s v="M/s. Kanailal Kedar Prasad"/>
    <s v="9735692523"/>
  </r>
  <r>
    <s v="RCF Thal"/>
    <s v="N.C.Urea(45kg)"/>
    <s v="WB"/>
    <x v="8"/>
    <s v="Hilli"/>
    <s v="User Not Mapped"/>
    <s v="User Not Mapped"/>
    <s v="User Not Mapped"/>
    <n v="658420"/>
    <s v="SAMAPTA SARKAR"/>
    <s v="Private Retailer"/>
    <s v="7602109542"/>
    <n v="5.5350000000000001"/>
    <n v="42"/>
    <x v="3"/>
    <m/>
    <s v="2026-03-09"/>
    <s v="263373"/>
    <s v="M/s. Kanailal Kedar Prasad"/>
    <s v="9735692523"/>
  </r>
  <r>
    <s v="RCF Thal"/>
    <s v="N.C.Urea(45kg)"/>
    <s v="WB"/>
    <x v="8"/>
    <s v="Hilli"/>
    <s v="User Not Mapped"/>
    <s v="User Not Mapped"/>
    <s v="User Not Mapped"/>
    <n v="658420"/>
    <s v="SAMAPTA SARKAR"/>
    <s v="Private Retailer"/>
    <s v="7602109542"/>
    <n v="0.63"/>
    <n v="87"/>
    <x v="6"/>
    <m/>
    <s v="2026-01-23"/>
    <s v="263373"/>
    <s v="M/s. Kanailal Kedar Prasad"/>
    <s v="9735692523"/>
  </r>
  <r>
    <s v="RCF Thal"/>
    <s v="N.C.Urea(45kg)"/>
    <s v="WB"/>
    <x v="8"/>
    <s v="Balurghat"/>
    <s v="User Not Mapped"/>
    <s v="User Not Mapped"/>
    <s v="User Not Mapped"/>
    <n v="391547"/>
    <s v="Sampa Choudhury(Saha)"/>
    <s v="Private Retailer"/>
    <s v="9475103455"/>
    <n v="2.4750000000000001"/>
    <n v="42"/>
    <x v="3"/>
    <m/>
    <s v="2026-03-09"/>
    <s v="263373"/>
    <s v="M/s. Kanailal Kedar Prasad"/>
    <s v="9735692523"/>
  </r>
  <r>
    <s v="RCF Import"/>
    <s v="Imp 10-26-26"/>
    <s v="WB"/>
    <x v="8"/>
    <s v="Balurghat"/>
    <s v="User Not Mapped"/>
    <s v="User Not Mapped"/>
    <s v="User Not Mapped"/>
    <n v="391547"/>
    <s v="Sampa Choudhury(Saha)"/>
    <s v="Private Retailer"/>
    <s v="9475103455"/>
    <n v="6.5"/>
    <n v="42"/>
    <x v="3"/>
    <m/>
    <s v="2026-03-09"/>
    <s v="263373"/>
    <s v="M/s. Kanailal Kedar Prasad"/>
    <s v="9735692523"/>
  </r>
  <r>
    <s v="RCF Thal"/>
    <s v="N.C.Urea(45kg)"/>
    <s v="WB"/>
    <x v="8"/>
    <s v="Hilli"/>
    <s v="User Not Mapped"/>
    <s v="User Not Mapped"/>
    <s v="User Not Mapped"/>
    <n v="126862"/>
    <s v="SANTU KUMAR LAHA"/>
    <s v="Private Retailer"/>
    <s v="7864981481"/>
    <n v="11.025"/>
    <n v="64"/>
    <x v="6"/>
    <m/>
    <s v="2026-02-15"/>
    <s v="263373"/>
    <s v="M/s. Kanailal Kedar Prasad"/>
    <s v="9735692523"/>
  </r>
  <r>
    <s v="RCF Trombay"/>
    <s v="N.C.Urea(45kg)"/>
    <s v="WB"/>
    <x v="8"/>
    <s v="Kushmundi"/>
    <s v="User Not Mapped"/>
    <s v="User Not Mapped"/>
    <s v="User Not Mapped"/>
    <n v="391383"/>
    <s v="Sarkar Fert. Agency"/>
    <s v="Private Retailer"/>
    <s v="9733105161"/>
    <n v="2.3849999999999998"/>
    <n v="133"/>
    <x v="4"/>
    <m/>
    <s v="2025-12-08"/>
    <s v="263373"/>
    <s v="M/s. Kanailal Kedar Prasad"/>
    <s v="9735692523"/>
  </r>
  <r>
    <s v="RCF Thal"/>
    <s v="N.C.Urea(45kg)"/>
    <s v="WB"/>
    <x v="8"/>
    <s v="Tapan"/>
    <s v="User Not Mapped"/>
    <s v="User Not Mapped"/>
    <s v="User Not Mapped"/>
    <n v="922681"/>
    <s v="SARKAR FERTILIZER"/>
    <s v="Private Retailer"/>
    <s v="9064049835"/>
    <n v="5.8949999999999996"/>
    <n v="148"/>
    <x v="4"/>
    <m/>
    <s v="2025-11-23"/>
    <s v="263373"/>
    <s v="M/s. Kanailal Kedar Prasad"/>
    <s v="9735692523"/>
  </r>
  <r>
    <s v="RCF Thal"/>
    <s v="N.C.Urea(45kg)"/>
    <s v="WB"/>
    <x v="8"/>
    <s v="Tapan"/>
    <s v="User Not Mapped"/>
    <s v="User Not Mapped"/>
    <s v="User Not Mapped"/>
    <n v="922681"/>
    <s v="SARKAR FERTILIZER"/>
    <s v="Private Retailer"/>
    <s v="9064049835"/>
    <n v="11.025"/>
    <n v="90"/>
    <x v="6"/>
    <m/>
    <s v="2026-01-20"/>
    <s v="263373"/>
    <s v="M/s. Kanailal Kedar Prasad"/>
    <s v="9735692523"/>
  </r>
  <r>
    <s v="RCF Thal"/>
    <s v="N.C.Urea(45kg)"/>
    <s v="WB"/>
    <x v="8"/>
    <s v="Tapan"/>
    <s v="User Not Mapped"/>
    <s v="User Not Mapped"/>
    <s v="User Not Mapped"/>
    <n v="642243"/>
    <s v="SATTAR ISLAM"/>
    <s v="Private Retailer"/>
    <s v="9734962632"/>
    <n v="0.36"/>
    <n v="90"/>
    <x v="6"/>
    <m/>
    <s v="2026-01-20"/>
    <s v="263373"/>
    <s v="M/s. Kanailal Kedar Prasad"/>
    <s v="9735692523"/>
  </r>
  <r>
    <s v="RCF Trombay"/>
    <s v="N.C.Urea(45kg)"/>
    <s v="WB"/>
    <x v="8"/>
    <s v="Tapan"/>
    <s v="User Not Mapped"/>
    <s v="User Not Mapped"/>
    <s v="User Not Mapped"/>
    <n v="642243"/>
    <s v="SATTAR ISLAM"/>
    <s v="Private Retailer"/>
    <s v="9734962632"/>
    <n v="1.62"/>
    <n v="133"/>
    <x v="4"/>
    <m/>
    <s v="2025-12-08"/>
    <s v="263373"/>
    <s v="M/s. Kanailal Kedar Prasad"/>
    <s v="9735692523"/>
  </r>
  <r>
    <s v="RCF Thal"/>
    <s v="N.C.Urea(45kg)"/>
    <s v="WB"/>
    <x v="8"/>
    <s v="Tapan"/>
    <s v="User Not Mapped"/>
    <s v="User Not Mapped"/>
    <s v="User Not Mapped"/>
    <n v="340404"/>
    <s v="SEKENDAR MONDAL"/>
    <s v="Private Retailer"/>
    <s v="9734154992"/>
    <n v="8.1449999999999996"/>
    <n v="90"/>
    <x v="6"/>
    <m/>
    <s v="2026-01-20"/>
    <s v="263373"/>
    <s v="M/s. Kanailal Kedar Prasad"/>
    <s v="9735692523"/>
  </r>
  <r>
    <s v="RCF Thal"/>
    <s v="N.C.Urea(45kg)"/>
    <s v="WB"/>
    <x v="8"/>
    <s v="Gangarampur"/>
    <s v="User Not Mapped"/>
    <s v="User Not Mapped"/>
    <s v="User Not Mapped"/>
    <n v="693347"/>
    <s v="Sharmin Chowdhury "/>
    <s v="Private Retailer"/>
    <s v="8972517112"/>
    <n v="6.75"/>
    <n v="126"/>
    <x v="4"/>
    <m/>
    <s v="2025-12-15"/>
    <s v="263373"/>
    <s v="M/s. Kanailal Kedar Prasad"/>
    <s v="9735692523"/>
  </r>
  <r>
    <s v="RCF Thal"/>
    <s v="N.C.Urea(45kg)"/>
    <s v="WB"/>
    <x v="8"/>
    <s v="Balurghat"/>
    <s v="User Not Mapped"/>
    <s v="User Not Mapped"/>
    <s v="User Not Mapped"/>
    <n v="391323"/>
    <s v="SHYAMAL CHOWDHURY"/>
    <s v="Private Retailer"/>
    <s v="9775444243"/>
    <n v="0.40500000000000003"/>
    <n v="42"/>
    <x v="3"/>
    <m/>
    <s v="2026-03-09"/>
    <s v="263373"/>
    <s v="M/s. Kanailal Kedar Prasad"/>
    <s v="9735692523"/>
  </r>
  <r>
    <s v="RCF Thal"/>
    <s v="N.C.Urea(45kg)"/>
    <s v="WB"/>
    <x v="8"/>
    <s v="Bansihari"/>
    <s v="User Not Mapped"/>
    <s v="User Not Mapped"/>
    <s v="User Not Mapped"/>
    <n v="1008554"/>
    <s v="SHYAMAL KARMAKAR  ROHIT KARMAK"/>
    <s v="Private Retailer"/>
    <s v="7718187136"/>
    <n v="5.04"/>
    <n v="64"/>
    <x v="6"/>
    <m/>
    <s v="2026-02-15"/>
    <s v="263373"/>
    <s v="M/s. Kanailal Kedar Prasad"/>
    <s v="9735692523"/>
  </r>
  <r>
    <s v="RCF Import"/>
    <s v="Imp 10-26-26"/>
    <s v="WB"/>
    <x v="8"/>
    <m/>
    <s v="User Not Mapped"/>
    <s v="User Not Mapped"/>
    <s v="User Not Mapped"/>
    <n v="263380"/>
    <s v="Shyamala Agency"/>
    <s v="Private Wholsaler"/>
    <s v="9932733980"/>
    <n v="10"/>
    <n v="74"/>
    <x v="6"/>
    <s v="'1041'"/>
    <s v="2026-02-05"/>
    <s v="263373"/>
    <s v="M/s. Kanailal Kedar Prasad"/>
    <s v="9735692523"/>
  </r>
  <r>
    <s v="RCF Thal"/>
    <s v="N.C.Urea(45kg)"/>
    <s v="WB"/>
    <x v="8"/>
    <s v="Balurghat"/>
    <s v="User Not Mapped"/>
    <s v="User Not Mapped"/>
    <s v="User Not Mapped"/>
    <n v="340411"/>
    <s v="Soumendranath Mondal"/>
    <s v="Private Retailer"/>
    <s v="9933553272"/>
    <n v="8.6850000000000005"/>
    <n v="64"/>
    <x v="6"/>
    <m/>
    <s v="2026-02-15"/>
    <s v="263373"/>
    <s v="M/s. Kanailal Kedar Prasad"/>
    <s v="9735692523"/>
  </r>
  <r>
    <s v="RCF Trombay"/>
    <s v="N.C.Urea(45kg)"/>
    <s v="WB"/>
    <x v="8"/>
    <s v="Hilli"/>
    <s v="User Not Mapped"/>
    <s v="User Not Mapped"/>
    <s v="User Not Mapped"/>
    <n v="126901"/>
    <s v="Subrata Kumar Laha"/>
    <s v="Private Retailer"/>
    <s v="8637363960"/>
    <n v="3.87"/>
    <n v="133"/>
    <x v="4"/>
    <m/>
    <s v="2025-12-08"/>
    <s v="263373"/>
    <s v="M/s. Kanailal Kedar Prasad"/>
    <s v="9735692523"/>
  </r>
  <r>
    <s v="RCF Thal"/>
    <s v="N.C.Urea(45kg)"/>
    <s v="WB"/>
    <x v="8"/>
    <s v="Hilli"/>
    <s v="User Not Mapped"/>
    <s v="User Not Mapped"/>
    <s v="User Not Mapped"/>
    <n v="126901"/>
    <s v="Subrata Kumar Laha"/>
    <s v="Private Retailer"/>
    <s v="8637363960"/>
    <n v="10.08"/>
    <n v="42"/>
    <x v="3"/>
    <m/>
    <s v="2026-03-09"/>
    <s v="263373"/>
    <s v="M/s. Kanailal Kedar Prasad"/>
    <s v="9735692523"/>
  </r>
  <r>
    <s v="RCF Thal"/>
    <s v="N.C.Urea(45kg)"/>
    <s v="WB"/>
    <x v="8"/>
    <m/>
    <s v="User Not Mapped"/>
    <s v="User Not Mapped"/>
    <s v="User Not Mapped"/>
    <n v="126911"/>
    <s v="Sukanti Sarkar"/>
    <s v="Private Retailer"/>
    <s v="9933076350"/>
    <n v="4.32"/>
    <n v="21"/>
    <x v="5"/>
    <m/>
    <s v="2026-03-30"/>
    <s v="263373"/>
    <s v="M/s. Kanailal Kedar Prasad"/>
    <s v="9735692523"/>
  </r>
  <r>
    <s v="RCF Trombay"/>
    <s v="N.C.Urea(45kg)"/>
    <s v="WB"/>
    <x v="8"/>
    <s v="Gangarampur"/>
    <s v="User Not Mapped"/>
    <s v="User Not Mapped"/>
    <s v="User Not Mapped"/>
    <n v="216422"/>
    <s v="Sukumar Saha"/>
    <s v="Private Retailer"/>
    <s v="8972583515"/>
    <n v="4.7249999999999996"/>
    <n v="191"/>
    <x v="1"/>
    <m/>
    <s v="2025-10-11"/>
    <s v="263373"/>
    <s v="M/s. Kanailal Kedar Prasad"/>
    <s v="9735692523"/>
  </r>
  <r>
    <s v="RCF Import"/>
    <s v="Imp 10-26-26"/>
    <s v="WB"/>
    <x v="8"/>
    <s v="Gangarampur"/>
    <s v="User Not Mapped"/>
    <s v="User Not Mapped"/>
    <s v="User Not Mapped"/>
    <n v="216422"/>
    <s v="Sukumar Saha"/>
    <s v="Private Retailer"/>
    <s v="8972583515"/>
    <n v="10.25"/>
    <n v="74"/>
    <x v="6"/>
    <m/>
    <s v="2026-02-05"/>
    <s v="263373"/>
    <s v="M/s. Kanailal Kedar Prasad"/>
    <s v="9735692523"/>
  </r>
  <r>
    <s v="RCF Thal"/>
    <s v="N.C.Urea(45kg)"/>
    <s v="WB"/>
    <x v="8"/>
    <s v="Kumarganj"/>
    <s v="User Not Mapped"/>
    <s v="User Not Mapped"/>
    <s v="User Not Mapped"/>
    <n v="126917"/>
    <s v="SUMIT KARMAKAR"/>
    <s v="Private Retailer"/>
    <s v="9932245369"/>
    <n v="11.025"/>
    <n v="87"/>
    <x v="6"/>
    <m/>
    <s v="2026-01-23"/>
    <s v="263373"/>
    <s v="M/s. Kanailal Kedar Prasad"/>
    <s v="9735692523"/>
  </r>
  <r>
    <s v="RCF Thal"/>
    <s v="N.C.Urea(45kg)"/>
    <s v="WB"/>
    <x v="8"/>
    <s v="Kumarganj"/>
    <s v="User Not Mapped"/>
    <s v="User Not Mapped"/>
    <s v="User Not Mapped"/>
    <n v="126917"/>
    <s v="SUMIT KARMAKAR"/>
    <s v="Private Retailer"/>
    <s v="9932245369"/>
    <n v="4.2300000000000004"/>
    <n v="191"/>
    <x v="1"/>
    <m/>
    <s v="2025-10-11"/>
    <s v="263373"/>
    <s v="M/s. Kanailal Kedar Prasad"/>
    <s v="9735692523"/>
  </r>
  <r>
    <s v="RCF Trombay"/>
    <s v="N.C.Urea(45kg)"/>
    <s v="WB"/>
    <x v="8"/>
    <s v="Kumarganj"/>
    <s v="User Not Mapped"/>
    <s v="User Not Mapped"/>
    <s v="User Not Mapped"/>
    <n v="126917"/>
    <s v="SUMIT KARMAKAR"/>
    <s v="Private Retailer"/>
    <s v="9932245369"/>
    <n v="1.71"/>
    <n v="125"/>
    <x v="4"/>
    <m/>
    <s v="2025-12-16"/>
    <s v="263373"/>
    <s v="M/s. Kanailal Kedar Prasad"/>
    <s v="9735692523"/>
  </r>
  <r>
    <s v="RCF Thal"/>
    <s v="N.C.Urea(45kg)"/>
    <s v="WB"/>
    <x v="8"/>
    <s v="Kumarganj"/>
    <s v="User Not Mapped"/>
    <s v="User Not Mapped"/>
    <s v="User Not Mapped"/>
    <n v="126917"/>
    <s v="SUMIT KARMAKAR"/>
    <s v="Private Retailer"/>
    <s v="9932245369"/>
    <n v="11.025"/>
    <n v="126"/>
    <x v="4"/>
    <m/>
    <s v="2025-12-15"/>
    <s v="263373"/>
    <s v="M/s. Kanailal Kedar Prasad"/>
    <s v="9735692523"/>
  </r>
  <r>
    <s v="RCF Thal"/>
    <s v="N.C.Urea(45kg)"/>
    <s v="WB"/>
    <x v="8"/>
    <s v="Kumarganj"/>
    <s v="User Not Mapped"/>
    <s v="User Not Mapped"/>
    <s v="User Not Mapped"/>
    <n v="126917"/>
    <s v="SUMIT KARMAKAR"/>
    <s v="Private Retailer"/>
    <s v="9932245369"/>
    <n v="22.05"/>
    <n v="64"/>
    <x v="6"/>
    <m/>
    <s v="2026-02-15"/>
    <s v="263373"/>
    <s v="M/s. Kanailal Kedar Prasad"/>
    <s v="9735692523"/>
  </r>
  <r>
    <s v="RCF Thal"/>
    <s v="N.C.Urea(45kg)"/>
    <s v="WB"/>
    <x v="8"/>
    <s v="Tapan"/>
    <s v="User Not Mapped"/>
    <s v="User Not Mapped"/>
    <s v="User Not Mapped"/>
    <n v="225929"/>
    <s v="Tamijuddin Sarkar"/>
    <s v="Private Retailer"/>
    <s v="9609992098"/>
    <n v="8.5050000000000008"/>
    <n v="42"/>
    <x v="3"/>
    <m/>
    <s v="2026-03-09"/>
    <s v="263373"/>
    <s v="M/s. Kanailal Kedar Prasad"/>
    <s v="9735692523"/>
  </r>
  <r>
    <s v="RCF Thal"/>
    <s v="N.C.Urea(45kg)"/>
    <s v="WB"/>
    <x v="8"/>
    <s v="Kumarganj"/>
    <s v="User Not Mapped"/>
    <s v="User Not Mapped"/>
    <s v="User Not Mapped"/>
    <n v="340426"/>
    <s v="Wanur Ali Sarkar"/>
    <s v="Private Retailer"/>
    <s v="8207207313"/>
    <n v="5.94"/>
    <n v="126"/>
    <x v="4"/>
    <m/>
    <s v="2025-12-15"/>
    <s v="263373"/>
    <s v="M/s. Kanailal Kedar Prasad"/>
    <s v="9735692523"/>
  </r>
  <r>
    <s v="RCF Trombay"/>
    <s v="15-15-15"/>
    <s v="WB"/>
    <x v="8"/>
    <s v="Bansihari"/>
    <s v="User Not Mapped"/>
    <s v="User Not Mapped"/>
    <s v="User Not Mapped"/>
    <n v="126532"/>
    <s v="Harekanta Sarkar"/>
    <s v="Private Retailer"/>
    <s v="9083207488"/>
    <n v="0.5"/>
    <n v="91"/>
    <x v="7"/>
    <m/>
    <s v="2026-01-19"/>
    <s v="263374"/>
    <s v="M/s. Krishi Unnayan Kendra"/>
    <s v="8759907610"/>
  </r>
  <r>
    <s v="RCF Trombay"/>
    <s v="15-15-15"/>
    <s v="WB"/>
    <x v="8"/>
    <s v="Bansihari"/>
    <s v="User Not Mapped"/>
    <s v="User Not Mapped"/>
    <s v="User Not Mapped"/>
    <n v="126532"/>
    <s v="Harekanta Sarkar"/>
    <s v="Private Retailer"/>
    <s v="9083207488"/>
    <n v="0.15"/>
    <n v="280"/>
    <x v="1"/>
    <m/>
    <s v="2025-07-14"/>
    <s v="263374"/>
    <s v="M/s. Krishi Unnayan Kendra"/>
    <s v="8759907610"/>
  </r>
  <r>
    <s v="RCF Trombay"/>
    <s v="15-15-15"/>
    <s v="WB"/>
    <x v="8"/>
    <s v="Bansihari"/>
    <s v="User Not Mapped"/>
    <s v="User Not Mapped"/>
    <s v="User Not Mapped"/>
    <n v="126532"/>
    <s v="Harekanta Sarkar"/>
    <s v="Private Retailer"/>
    <s v="9083207488"/>
    <n v="1.5"/>
    <n v="179"/>
    <x v="4"/>
    <m/>
    <s v="2025-10-23"/>
    <s v="263374"/>
    <s v="M/s. Krishi Unnayan Kendra"/>
    <s v="8759907610"/>
  </r>
  <r>
    <s v="RCF Trombay"/>
    <s v="15-15-15"/>
    <s v="WB"/>
    <x v="8"/>
    <s v="Gangarampur"/>
    <s v="User Not Mapped"/>
    <s v="User Not Mapped"/>
    <s v="User Not Mapped"/>
    <n v="774882"/>
    <s v="JIBAN MITRA"/>
    <s v="Private Retailer"/>
    <s v="9609586277"/>
    <n v="0.25"/>
    <n v="60"/>
    <x v="3"/>
    <m/>
    <s v="2026-02-19"/>
    <s v="263374"/>
    <s v="M/s. Krishi Unnayan Kendra"/>
    <s v="8759907610"/>
  </r>
  <r>
    <s v="RCF Import"/>
    <s v="MOP"/>
    <s v="WB"/>
    <x v="8"/>
    <s v="Bansihari"/>
    <s v="User Not Mapped"/>
    <s v="User Not Mapped"/>
    <s v="User Not Mapped"/>
    <n v="1099942"/>
    <s v="JYOTISH MAHATA"/>
    <s v="Private Retailer"/>
    <s v="9593868175"/>
    <n v="0.6"/>
    <n v="547"/>
    <x v="2"/>
    <m/>
    <s v="2024-10-20"/>
    <s v="263374"/>
    <s v="M/s. Krishi Unnayan Kendra"/>
    <s v="8759907610"/>
  </r>
  <r>
    <s v="RCF Thal"/>
    <s v="N.C.Urea(45kg)"/>
    <s v="WB"/>
    <x v="8"/>
    <s v="Bansihari"/>
    <s v="User Not Mapped"/>
    <s v="User Not Mapped"/>
    <s v="User Not Mapped"/>
    <n v="1333354"/>
    <s v="M/S HIREN CHANDRA SAHA"/>
    <s v="Private Retailer"/>
    <s v="9593360344"/>
    <n v="0.45"/>
    <n v="1255"/>
    <x v="2"/>
    <m/>
    <s v="2022-11-12"/>
    <s v="263374"/>
    <s v="M/s. Krishi Unnayan Kendra"/>
    <s v="8759907610"/>
  </r>
  <r>
    <s v="RCF Trombay"/>
    <s v="15-15-15"/>
    <s v="WB"/>
    <x v="8"/>
    <s v="Bansihari"/>
    <s v="User Not Mapped"/>
    <s v="User Not Mapped"/>
    <s v="User Not Mapped"/>
    <n v="1333354"/>
    <s v="M/S HIREN CHANDRA SAHA"/>
    <s v="Private Retailer"/>
    <s v="9593360344"/>
    <n v="0.7"/>
    <n v="977"/>
    <x v="2"/>
    <m/>
    <s v="2023-08-17"/>
    <s v="263374"/>
    <s v="M/s. Krishi Unnayan Kendra"/>
    <s v="8759907610"/>
  </r>
  <r>
    <s v="RCF Trombay"/>
    <s v="15-15-15"/>
    <s v="WB"/>
    <x v="8"/>
    <s v="Kushmundi"/>
    <s v="User Not Mapped"/>
    <s v="User Not Mapped"/>
    <s v="User Not Mapped"/>
    <n v="653526"/>
    <s v="M/S ISLAM FERT. AGENCY"/>
    <s v="Private Retailer"/>
    <s v="9733424178"/>
    <n v="0.35"/>
    <n v="136"/>
    <x v="4"/>
    <m/>
    <s v="2025-12-05"/>
    <s v="263374"/>
    <s v="M/s. Krishi Unnayan Kendra"/>
    <s v="8759907610"/>
  </r>
  <r>
    <s v="RCF Trombay"/>
    <s v="15-15-15"/>
    <s v="WB"/>
    <x v="8"/>
    <s v="Kushmundi"/>
    <s v="User Not Mapped"/>
    <s v="User Not Mapped"/>
    <s v="User Not Mapped"/>
    <n v="1268895"/>
    <s v="M/S ISLAM FERTILIZER AGENCY"/>
    <s v="Private Retailer"/>
    <s v="9733333866"/>
    <n v="0.5"/>
    <n v="246"/>
    <x v="1"/>
    <m/>
    <s v="2025-08-17"/>
    <s v="263374"/>
    <s v="M/s. Krishi Unnayan Kendra"/>
    <s v="8759907610"/>
  </r>
  <r>
    <s v="RCF Trombay"/>
    <s v="15-15-15"/>
    <s v="WB"/>
    <x v="8"/>
    <s v="Kushmundi"/>
    <s v="User Not Mapped"/>
    <s v="User Not Mapped"/>
    <s v="User Not Mapped"/>
    <n v="1268895"/>
    <s v="M/S ISLAM FERTILIZER AGENCY"/>
    <s v="Private Retailer"/>
    <s v="9733333866"/>
    <n v="0.25"/>
    <n v="259"/>
    <x v="1"/>
    <m/>
    <s v="2025-08-04"/>
    <s v="263374"/>
    <s v="M/s. Krishi Unnayan Kendra"/>
    <s v="8759907610"/>
  </r>
  <r>
    <s v="RCF Trombay"/>
    <s v="15-15-15"/>
    <s v="WB"/>
    <x v="8"/>
    <s v="Kushmundi"/>
    <s v="User Not Mapped"/>
    <s v="User Not Mapped"/>
    <s v="User Not Mapped"/>
    <n v="655503"/>
    <s v="M/S MUNTU ROY"/>
    <s v="Private Retailer"/>
    <s v="9733363166"/>
    <n v="0.5"/>
    <n v="246"/>
    <x v="1"/>
    <m/>
    <s v="2025-08-17"/>
    <s v="263374"/>
    <s v="M/s. Krishi Unnayan Kendra"/>
    <s v="8759907610"/>
  </r>
  <r>
    <s v="RCF Trombay"/>
    <s v="15-15-15"/>
    <s v="WB"/>
    <x v="8"/>
    <s v="Kushmundi"/>
    <s v="User Not Mapped"/>
    <s v="User Not Mapped"/>
    <s v="User Not Mapped"/>
    <n v="655503"/>
    <s v="M/S MUNTU ROY"/>
    <s v="Private Retailer"/>
    <s v="9733363166"/>
    <n v="0.75"/>
    <n v="266"/>
    <x v="1"/>
    <m/>
    <s v="2025-07-28"/>
    <s v="263374"/>
    <s v="M/s. Krishi Unnayan Kendra"/>
    <s v="8759907610"/>
  </r>
  <r>
    <s v="RCF Trombay"/>
    <s v="15-15-15"/>
    <s v="WB"/>
    <x v="8"/>
    <s v="Kushmundi"/>
    <s v="User Not Mapped"/>
    <s v="User Not Mapped"/>
    <s v="User Not Mapped"/>
    <n v="1208890"/>
    <s v="M/S NAKUL CHANDRA SARKAR"/>
    <s v="Private Retailer"/>
    <s v="7679351211"/>
    <n v="1"/>
    <n v="265"/>
    <x v="1"/>
    <m/>
    <s v="2025-07-29"/>
    <s v="263374"/>
    <s v="M/s. Krishi Unnayan Kendra"/>
    <s v="8759907610"/>
  </r>
  <r>
    <s v="RCF Thal"/>
    <s v="N.C.Urea(45kg)"/>
    <s v="WB"/>
    <x v="8"/>
    <s v="Bansihari"/>
    <s v="User Not Mapped"/>
    <s v="User Not Mapped"/>
    <s v="User Not Mapped"/>
    <n v="1098995"/>
    <s v="M/S NISHIT DAS"/>
    <s v="Private Retailer"/>
    <s v="8759774096"/>
    <n v="0.01"/>
    <n v="1250"/>
    <x v="2"/>
    <m/>
    <s v="2022-11-17"/>
    <s v="263374"/>
    <s v="M/s. Krishi Unnayan Kendra"/>
    <s v="8759907610"/>
  </r>
  <r>
    <s v="RCF Import"/>
    <s v="MOP"/>
    <s v="WB"/>
    <x v="8"/>
    <s v="Kushmundi"/>
    <s v="User Not Mapped"/>
    <s v="User Not Mapped"/>
    <s v="User Not Mapped"/>
    <n v="1102252"/>
    <s v="M/S POPULER FERT. AGENCY"/>
    <s v="Private Retailer"/>
    <s v="9609773614"/>
    <n v="0.75"/>
    <n v="250"/>
    <x v="1"/>
    <m/>
    <s v="2025-08-13"/>
    <s v="263374"/>
    <s v="M/s. Krishi Unnayan Kendra"/>
    <s v="8759907610"/>
  </r>
  <r>
    <s v="RCF Trombay"/>
    <s v="15-15-15"/>
    <s v="WB"/>
    <x v="8"/>
    <s v="Bansihari"/>
    <s v="User Not Mapped"/>
    <s v="User Not Mapped"/>
    <s v="User Not Mapped"/>
    <n v="654173"/>
    <s v="M/S SANTI NITRA"/>
    <s v="Private Retailer"/>
    <s v="9733311043"/>
    <n v="0.15"/>
    <n v="1259"/>
    <x v="2"/>
    <m/>
    <s v="2022-11-08"/>
    <s v="263374"/>
    <s v="M/s. Krishi Unnayan Kendra"/>
    <s v="8759907610"/>
  </r>
  <r>
    <s v="RCF Trombay"/>
    <s v="15-15-15"/>
    <s v="WB"/>
    <x v="8"/>
    <s v="Bansihari"/>
    <s v="User Not Mapped"/>
    <s v="User Not Mapped"/>
    <s v="User Not Mapped"/>
    <n v="1187525"/>
    <s v="M/S. SAJJAT ALI"/>
    <s v="Private Retailer"/>
    <s v="7407266120"/>
    <n v="0.5"/>
    <n v="172"/>
    <x v="4"/>
    <m/>
    <s v="2025-10-30"/>
    <s v="263374"/>
    <s v="M/s. Krishi Unnayan Kendra"/>
    <s v="8759907610"/>
  </r>
  <r>
    <s v="RCF Trombay"/>
    <s v="15-15-15"/>
    <s v="WB"/>
    <x v="8"/>
    <s v="Bansihari"/>
    <s v="User Not Mapped"/>
    <s v="User Not Mapped"/>
    <s v="User Not Mapped"/>
    <n v="1420901"/>
    <s v="M/S.NARAYAN FERTILIZER"/>
    <s v="Private Retailer"/>
    <s v="8250008668"/>
    <n v="0.05"/>
    <n v="259"/>
    <x v="1"/>
    <m/>
    <s v="2025-08-04"/>
    <s v="263374"/>
    <s v="M/s. Krishi Unnayan Kendra"/>
    <s v="8759907610"/>
  </r>
  <r>
    <s v="RCF Import"/>
    <s v="MOP"/>
    <s v="WB"/>
    <x v="8"/>
    <s v="Bansihari"/>
    <s v="User Not Mapped"/>
    <s v="User Not Mapped"/>
    <s v="User Not Mapped"/>
    <n v="1420901"/>
    <s v="M/S.NARAYAN FERTILIZER"/>
    <s v="Private Retailer"/>
    <s v="8250008668"/>
    <n v="0.25"/>
    <n v="223"/>
    <x v="1"/>
    <m/>
    <s v="2025-09-09"/>
    <s v="263374"/>
    <s v="M/s. Krishi Unnayan Kendra"/>
    <s v="8759907610"/>
  </r>
  <r>
    <s v="RCF Trombay"/>
    <s v="15-15-15"/>
    <s v="WB"/>
    <x v="8"/>
    <s v="Bansihari"/>
    <s v="User Not Mapped"/>
    <s v="User Not Mapped"/>
    <s v="User Not Mapped"/>
    <n v="1258412"/>
    <s v="M/S-PRIYOTOSH KANTI ROY"/>
    <s v="Private Retailer"/>
    <s v="7550904375"/>
    <n v="0.375"/>
    <n v="75"/>
    <x v="6"/>
    <m/>
    <s v="2026-02-04"/>
    <s v="263374"/>
    <s v="M/s. Krishi Unnayan Kendra"/>
    <s v="8759907610"/>
  </r>
  <r>
    <s v="RCF Import"/>
    <s v="Imp 10-26-26"/>
    <s v="WB"/>
    <x v="8"/>
    <s v="Tapan"/>
    <s v="User Not Mapped"/>
    <s v="User Not Mapped"/>
    <s v="User Not Mapped"/>
    <n v="777457"/>
    <s v="NURUL FERTILIZER"/>
    <s v="Private Retailer"/>
    <s v="9734984780"/>
    <n v="0.65"/>
    <n v="881"/>
    <x v="2"/>
    <m/>
    <s v="2023-11-21"/>
    <s v="263374"/>
    <s v="M/s. Krishi Unnayan Kendra"/>
    <s v="8759907610"/>
  </r>
  <r>
    <s v="RCF Trombay"/>
    <s v="15-15-15"/>
    <s v="WB"/>
    <x v="8"/>
    <s v="Gangarampur"/>
    <s v="User Not Mapped"/>
    <s v="User Not Mapped"/>
    <s v="User Not Mapped"/>
    <n v="377668"/>
    <s v="Prasanta Kr Biswas"/>
    <s v="Private Retailer"/>
    <s v="9733326175"/>
    <n v="0.25"/>
    <n v="1222"/>
    <x v="2"/>
    <m/>
    <s v="2022-12-15"/>
    <s v="263374"/>
    <s v="M/s. Krishi Unnayan Kendra"/>
    <s v="8759907610"/>
  </r>
  <r>
    <s v="RCF Trombay"/>
    <s v="15-15-15"/>
    <s v="WB"/>
    <x v="8"/>
    <s v="Gangarampur"/>
    <s v="User Not Mapped"/>
    <s v="User Not Mapped"/>
    <s v="User Not Mapped"/>
    <n v="340425"/>
    <s v="Uttam Sarkar"/>
    <s v="Private Retailer"/>
    <s v="9851567801"/>
    <n v="1"/>
    <n v="141"/>
    <x v="4"/>
    <m/>
    <s v="2025-11-30"/>
    <s v="263374"/>
    <s v="M/s. Krishi Unnayan Kendra"/>
    <s v="8759907610"/>
  </r>
  <r>
    <s v="RCF Trombay"/>
    <s v="15-15-15"/>
    <s v="WB"/>
    <x v="8"/>
    <s v="Gangarampur"/>
    <s v="User Not Mapped"/>
    <s v="User Not Mapped"/>
    <s v="User Not Mapped"/>
    <n v="340425"/>
    <s v="Uttam Sarkar"/>
    <s v="Private Retailer"/>
    <s v="9851567801"/>
    <n v="0.75"/>
    <n v="138"/>
    <x v="4"/>
    <m/>
    <s v="2025-12-03"/>
    <s v="263374"/>
    <s v="M/s. Krishi Unnayan Kendra"/>
    <s v="8759907610"/>
  </r>
  <r>
    <s v="RCF Trombay"/>
    <s v="15-15-15"/>
    <s v="WB"/>
    <x v="8"/>
    <s v="Gangarampur"/>
    <s v="User Not Mapped"/>
    <s v="User Not Mapped"/>
    <s v="User Not Mapped"/>
    <n v="340425"/>
    <s v="Uttam Sarkar"/>
    <s v="Private Retailer"/>
    <s v="9851567801"/>
    <n v="0.75"/>
    <n v="143"/>
    <x v="4"/>
    <m/>
    <s v="2025-11-28"/>
    <s v="263374"/>
    <s v="M/s. Krishi Unnayan Kendra"/>
    <s v="8759907610"/>
  </r>
  <r>
    <s v="RCF Trombay"/>
    <s v="15-15-15"/>
    <s v="WB"/>
    <x v="8"/>
    <s v="Gangarampur"/>
    <s v="User Not Mapped"/>
    <s v="User Not Mapped"/>
    <s v="User Not Mapped"/>
    <n v="340425"/>
    <s v="Uttam Sarkar"/>
    <s v="Private Retailer"/>
    <s v="9851567801"/>
    <n v="0.75"/>
    <n v="139"/>
    <x v="4"/>
    <m/>
    <s v="2025-12-02"/>
    <s v="263374"/>
    <s v="M/s. Krishi Unnayan Kendra"/>
    <s v="8759907610"/>
  </r>
  <r>
    <s v="RCF Thal"/>
    <s v="N.C.Urea(45kg)"/>
    <s v="WB"/>
    <x v="8"/>
    <m/>
    <s v="User Not Mapped"/>
    <s v="User Not Mapped"/>
    <s v="User Not Mapped"/>
    <n v="693359"/>
    <s v="MOJIBAR SARKAR"/>
    <s v="Private Retailer"/>
    <s v="8016395661"/>
    <n v="0.01"/>
    <n v="2601"/>
    <x v="2"/>
    <m/>
    <s v="2019-03-07"/>
    <s v="775214"/>
    <s v="M/s. Sarkar Fertilizer"/>
    <s v="9734008321"/>
  </r>
  <r>
    <s v="RCF Trombay"/>
    <s v="15-15-15"/>
    <s v="WB"/>
    <x v="8"/>
    <s v="Kushmundi"/>
    <s v="User Not Mapped"/>
    <s v="User Not Mapped"/>
    <s v="User Not Mapped"/>
    <n v="216439"/>
    <s v="ABDUL HASAN"/>
    <s v="Private Retailer"/>
    <s v="9593966838"/>
    <n v="0.05"/>
    <n v="1195"/>
    <x v="2"/>
    <m/>
    <s v="2023-01-11"/>
    <s v="263370"/>
    <s v="MS Deepak Kumar Sarkar And Son"/>
    <s v="9851529233"/>
  </r>
  <r>
    <s v="RCF Trombay"/>
    <s v="15-15-15"/>
    <s v="WB"/>
    <x v="8"/>
    <s v="Tapan"/>
    <s v="User Not Mapped"/>
    <s v="User Not Mapped"/>
    <s v="User Not Mapped"/>
    <n v="945141"/>
    <s v="AHMED FERTILIZER"/>
    <s v="Private Retailer"/>
    <s v="9593647280"/>
    <n v="0.75"/>
    <n v="506"/>
    <x v="0"/>
    <m/>
    <s v="2024-11-30"/>
    <s v="263370"/>
    <s v="MS Deepak Kumar Sarkar And Son"/>
    <s v="9851529233"/>
  </r>
  <r>
    <s v="RCF Import"/>
    <s v="Imp 10-26-26"/>
    <s v="WB"/>
    <x v="8"/>
    <s v="Balurghat"/>
    <s v="User Not Mapped"/>
    <s v="User Not Mapped"/>
    <s v="User Not Mapped"/>
    <n v="340321"/>
    <s v="Bimal Chandra  Pramanik"/>
    <s v="Private Retailer"/>
    <s v="9635880128"/>
    <n v="0.6"/>
    <n v="506"/>
    <x v="0"/>
    <m/>
    <s v="2024-11-30"/>
    <s v="263370"/>
    <s v="MS Deepak Kumar Sarkar And Son"/>
    <s v="9851529233"/>
  </r>
  <r>
    <s v="RCF Import"/>
    <s v="Imp 10-26-26"/>
    <s v="WB"/>
    <x v="8"/>
    <s v="Bansihari"/>
    <s v="User Not Mapped"/>
    <s v="User Not Mapped"/>
    <s v="User Not Mapped"/>
    <n v="389883"/>
    <s v="Farad Hossain"/>
    <s v="Private Retailer"/>
    <s v="9735219222"/>
    <n v="0.1"/>
    <n v="876"/>
    <x v="2"/>
    <m/>
    <s v="2023-11-26"/>
    <s v="263370"/>
    <s v="MS Deepak Kumar Sarkar And Son"/>
    <s v="9851529233"/>
  </r>
  <r>
    <s v="RCF Trombay"/>
    <s v="N.C.Urea(45kg)"/>
    <s v="WB"/>
    <x v="8"/>
    <s v="Gangarampur"/>
    <s v="User Not Mapped"/>
    <s v="User Not Mapped"/>
    <s v="User Not Mapped"/>
    <n v="126860"/>
    <s v="M/S SANTOSH KUMAR SARKAR"/>
    <s v="Private Retailer"/>
    <s v="7478193177"/>
    <n v="0.45"/>
    <n v="869"/>
    <x v="2"/>
    <m/>
    <s v="2023-12-03"/>
    <s v="263370"/>
    <s v="MS Deepak Kumar Sarkar And Son"/>
    <s v="9851529233"/>
  </r>
  <r>
    <s v="RCF Import"/>
    <s v="MOP"/>
    <s v="WB"/>
    <x v="8"/>
    <s v="Gangarampur"/>
    <s v="User Not Mapped"/>
    <s v="User Not Mapped"/>
    <s v="User Not Mapped"/>
    <n v="126860"/>
    <s v="M/S SANTOSH KUMAR SARKAR"/>
    <s v="Private Retailer"/>
    <s v="7478193177"/>
    <n v="0.5"/>
    <n v="528"/>
    <x v="0"/>
    <m/>
    <s v="2024-11-08"/>
    <s v="263370"/>
    <s v="MS Deepak Kumar Sarkar And Son"/>
    <s v="9851529233"/>
  </r>
  <r>
    <s v="RCF Trombay"/>
    <s v="15-15-15"/>
    <s v="WB"/>
    <x v="8"/>
    <s v="Gangarampur"/>
    <s v="User Not Mapped"/>
    <s v="User Not Mapped"/>
    <s v="User Not Mapped"/>
    <n v="126860"/>
    <s v="M/S SANTOSH KUMAR SARKAR"/>
    <s v="Private Retailer"/>
    <s v="7478193177"/>
    <n v="0.25"/>
    <n v="771"/>
    <x v="2"/>
    <m/>
    <s v="2024-03-10"/>
    <s v="263370"/>
    <s v="MS Deepak Kumar Sarkar And Son"/>
    <s v="9851529233"/>
  </r>
  <r>
    <s v="RCF Trombay"/>
    <s v="15-15-15"/>
    <s v="WB"/>
    <x v="8"/>
    <s v="Gangarampur"/>
    <s v="User Not Mapped"/>
    <s v="User Not Mapped"/>
    <s v="User Not Mapped"/>
    <n v="126860"/>
    <s v="M/S SANTOSH KUMAR SARKAR"/>
    <s v="Private Retailer"/>
    <s v="7478193177"/>
    <n v="0.17499999999999999"/>
    <n v="1124"/>
    <x v="2"/>
    <m/>
    <s v="2023-03-23"/>
    <s v="263370"/>
    <s v="MS Deepak Kumar Sarkar And Son"/>
    <s v="9851529233"/>
  </r>
  <r>
    <s v="RCF Import"/>
    <s v="Imp 10-26-26"/>
    <s v="WB"/>
    <x v="8"/>
    <s v="Bansihari"/>
    <s v="User Not Mapped"/>
    <s v="User Not Mapped"/>
    <s v="User Not Mapped"/>
    <n v="1449903"/>
    <s v="M/S. MANDAL FERTILIZER A PESTI"/>
    <s v="Private Retailer"/>
    <s v="7872240759"/>
    <n v="0.15"/>
    <n v="506"/>
    <x v="0"/>
    <m/>
    <s v="2024-11-30"/>
    <s v="263370"/>
    <s v="MS Deepak Kumar Sarkar And Son"/>
    <s v="9851529233"/>
  </r>
  <r>
    <s v="RCF Import"/>
    <s v="Imp 10-26-26"/>
    <s v="WB"/>
    <x v="8"/>
    <s v="Tapan"/>
    <s v="User Not Mapped"/>
    <s v="User Not Mapped"/>
    <s v="User Not Mapped"/>
    <n v="126963"/>
    <s v="Wyether Ali Mandal"/>
    <s v="Private Retailer"/>
    <s v="9932757656"/>
    <n v="0.45"/>
    <n v="498"/>
    <x v="0"/>
    <m/>
    <s v="2024-12-08"/>
    <s v="263370"/>
    <s v="MS Deepak Kumar Sarkar And Son"/>
    <s v="9851529233"/>
  </r>
  <r>
    <s v="RCF Trombay"/>
    <s v="15-15-15"/>
    <s v="WB"/>
    <x v="8"/>
    <s v="Tapan"/>
    <s v="User Not Mapped"/>
    <s v="User Not Mapped"/>
    <s v="User Not Mapped"/>
    <n v="340342"/>
    <s v="Jiaulmolla"/>
    <s v="Private Retailer"/>
    <s v="9733342557"/>
    <n v="0.9"/>
    <n v="74"/>
    <x v="6"/>
    <m/>
    <s v="2026-02-05"/>
    <s v="1622168"/>
    <s v="MS Mondal Fertilizer"/>
    <s v="9932723750"/>
  </r>
  <r>
    <s v="RCF Trombay"/>
    <s v="15-15-15"/>
    <s v="WB"/>
    <x v="8"/>
    <s v="Tapan"/>
    <s v="User Not Mapped"/>
    <s v="User Not Mapped"/>
    <s v="User Not Mapped"/>
    <n v="390621"/>
    <s v="M/S NIREN SENGUPTA"/>
    <s v="Private Retailer"/>
    <s v="9733467599"/>
    <n v="0.5"/>
    <n v="73"/>
    <x v="6"/>
    <m/>
    <s v="2026-02-06"/>
    <s v="1622168"/>
    <s v="MS Mondal Fertilizer"/>
    <s v="9932723750"/>
  </r>
  <r>
    <s v="RCF Trombay"/>
    <s v="15-15-15"/>
    <s v="WB"/>
    <x v="8"/>
    <s v="Tapan"/>
    <s v="User Not Mapped"/>
    <s v="User Not Mapped"/>
    <s v="User Not Mapped"/>
    <n v="797925"/>
    <s v="M/S SUJIT SARKAR"/>
    <s v="Private Retailer"/>
    <s v="9002113434"/>
    <n v="4.5"/>
    <n v="28"/>
    <x v="5"/>
    <m/>
    <s v="2026-03-23"/>
    <s v="1622168"/>
    <s v="MS Mondal Fertilizer"/>
    <s v="9932723750"/>
  </r>
  <r>
    <s v="RCF Import"/>
    <s v="MOP"/>
    <s v="WB"/>
    <x v="8"/>
    <s v="Kushmundi"/>
    <s v="User Not Mapped"/>
    <s v="User Not Mapped"/>
    <s v="User Not Mapped"/>
    <n v="1446160"/>
    <s v="BARMAN FERTILIZER"/>
    <s v="Private Retailer"/>
    <s v="7001930206"/>
    <n v="3.3000000000000002E-2"/>
    <n v="390"/>
    <x v="0"/>
    <m/>
    <s v="2025-03-26"/>
    <s v="1216980"/>
    <s v="PURNA CHATTAPADHAYAY"/>
    <s v="8670728284"/>
  </r>
  <r>
    <s v="RCF Import"/>
    <s v="Imp 10-26-26"/>
    <s v="WB"/>
    <x v="8"/>
    <s v="Kushmundi"/>
    <s v="User Not Mapped"/>
    <s v="User Not Mapped"/>
    <s v="User Not Mapped"/>
    <n v="1446160"/>
    <s v="BARMAN FERTILIZER"/>
    <s v="Private Retailer"/>
    <s v="7001930206"/>
    <n v="1"/>
    <n v="174"/>
    <x v="4"/>
    <m/>
    <s v="2025-10-28"/>
    <s v="1216980"/>
    <s v="PURNA CHATTAPADHAYAY"/>
    <s v="8670728284"/>
  </r>
  <r>
    <s v="RCF Trombay"/>
    <s v="15-15-15"/>
    <s v="WB"/>
    <x v="8"/>
    <s v="Gangarampur"/>
    <s v="User Not Mapped"/>
    <s v="User Not Mapped"/>
    <s v="User Not Mapped"/>
    <n v="126471"/>
    <s v="Chandan Das"/>
    <s v="Private Retailer"/>
    <s v="8116831443"/>
    <n v="1.5"/>
    <n v="238"/>
    <x v="1"/>
    <m/>
    <s v="2025-08-25"/>
    <s v="1216980"/>
    <s v="PURNA CHATTAPADHAYAY"/>
    <s v="8670728284"/>
  </r>
  <r>
    <s v="RCF Thal"/>
    <s v="N.C.Urea(45kg)"/>
    <s v="WB"/>
    <x v="8"/>
    <s v="Kushmundi"/>
    <s v="User Not Mapped"/>
    <s v="User Not Mapped"/>
    <s v="User Not Mapped"/>
    <n v="1009432"/>
    <s v="HOSSAIN FERTILIZER AGENCY"/>
    <s v="Private Retailer"/>
    <s v="9609738435"/>
    <n v="1.79"/>
    <n v="1350"/>
    <x v="2"/>
    <m/>
    <s v="2022-08-09"/>
    <s v="1216980"/>
    <s v="PURNA CHATTAPADHAYAY"/>
    <s v="8670728284"/>
  </r>
  <r>
    <s v="RCF Trombay"/>
    <s v="15-15-15"/>
    <s v="WB"/>
    <x v="8"/>
    <s v="Gangarampur"/>
    <s v="User Not Mapped"/>
    <s v="User Not Mapped"/>
    <s v="User Not Mapped"/>
    <n v="1296604"/>
    <s v="M/S. SASFUL HASAN"/>
    <s v="Private Retailer"/>
    <s v="8207027523"/>
    <n v="1.35"/>
    <n v="264"/>
    <x v="1"/>
    <m/>
    <s v="2025-07-30"/>
    <s v="1216980"/>
    <s v="PURNA CHATTAPADHAYAY"/>
    <s v="8670728284"/>
  </r>
  <r>
    <s v="RCF Import"/>
    <s v="MOP"/>
    <s v="WB"/>
    <x v="8"/>
    <s v="Gangarampur"/>
    <s v="User Not Mapped"/>
    <s v="User Not Mapped"/>
    <s v="User Not Mapped"/>
    <n v="968224"/>
    <s v="MOSTAFIJUR RAHAMAN"/>
    <s v="Private Retailer"/>
    <s v="9064179862"/>
    <n v="0.25"/>
    <n v="416"/>
    <x v="0"/>
    <m/>
    <s v="2025-02-28"/>
    <s v="1216980"/>
    <s v="PURNA CHATTAPADHAYAY"/>
    <s v="8670728284"/>
  </r>
  <r>
    <s v="RCF Import"/>
    <s v="Imp 10-26-26"/>
    <s v="WB"/>
    <x v="8"/>
    <s v="Gangarampur"/>
    <s v="User Not Mapped"/>
    <s v="User Not Mapped"/>
    <s v="User Not Mapped"/>
    <n v="126782"/>
    <s v="Purna Chattopadadhyay"/>
    <s v="Private Retailer"/>
    <s v="8670728284"/>
    <n v="9.1"/>
    <n v="105"/>
    <x v="7"/>
    <m/>
    <s v="2026-01-05"/>
    <s v="1216980"/>
    <s v="PURNA CHATTAPADHAYAY"/>
    <s v="8670728284"/>
  </r>
  <r>
    <s v="RCF Import"/>
    <s v="MOP"/>
    <s v="WB"/>
    <x v="8"/>
    <s v="Gangarampur"/>
    <s v="User Not Mapped"/>
    <s v="User Not Mapped"/>
    <s v="User Not Mapped"/>
    <n v="126782"/>
    <s v="Purna Chattopadadhyay"/>
    <s v="Private Retailer"/>
    <s v="8670728284"/>
    <n v="0.25"/>
    <n v="250"/>
    <x v="1"/>
    <m/>
    <s v="2025-08-13"/>
    <s v="1216980"/>
    <s v="PURNA CHATTAPADHAYAY"/>
    <s v="8670728284"/>
  </r>
  <r>
    <s v="RCF Trombay"/>
    <s v="15-15-15"/>
    <s v="WB"/>
    <x v="8"/>
    <s v="Gangarampur"/>
    <s v="User Not Mapped"/>
    <s v="User Not Mapped"/>
    <s v="User Not Mapped"/>
    <n v="126782"/>
    <s v="Purna Chattopadadhyay"/>
    <s v="Private Retailer"/>
    <s v="8670728284"/>
    <n v="23"/>
    <n v="105"/>
    <x v="7"/>
    <m/>
    <s v="2026-01-05"/>
    <s v="1216980"/>
    <s v="PURNA CHATTAPADHAYAY"/>
    <s v="8670728284"/>
  </r>
  <r>
    <s v="RCF Thal"/>
    <s v="N.C.Urea(45kg)"/>
    <s v="WB"/>
    <x v="8"/>
    <s v="Kumarganj"/>
    <s v="User Not Mapped"/>
    <s v="User Not Mapped"/>
    <s v="User Not Mapped"/>
    <n v="126718"/>
    <s v="Nazrul Islam Mondal"/>
    <s v="Private Retailer"/>
    <s v="9733344599"/>
    <n v="5.0000000000000001E-3"/>
    <n v="2235"/>
    <x v="2"/>
    <m/>
    <s v="2020-03-07"/>
    <s v="1138290"/>
    <s v="RABIUL MONDAL"/>
    <s v="9733871314"/>
  </r>
  <r>
    <s v="RCF Import"/>
    <s v="Imp 10-26-26"/>
    <s v="WB"/>
    <x v="8"/>
    <s v="Kushmundi"/>
    <s v="User Not Mapped"/>
    <s v="User Not Mapped"/>
    <s v="User Not Mapped"/>
    <n v="796928"/>
    <s v="M/S DADA BHAI FERTILIZER"/>
    <s v="Private Retailer"/>
    <s v="9734193351"/>
    <n v="0.5"/>
    <n v="503"/>
    <x v="0"/>
    <m/>
    <s v="2024-12-03"/>
    <s v="263377"/>
    <s v="Rahaman Fertilizer Agency"/>
    <s v="9064276670"/>
  </r>
  <r>
    <s v="RCF Trombay"/>
    <s v="15-15-15"/>
    <s v="WB"/>
    <x v="8"/>
    <s v="Kushmundi"/>
    <s v="User Not Mapped"/>
    <s v="User Not Mapped"/>
    <s v="User Not Mapped"/>
    <n v="796928"/>
    <s v="M/S DADA BHAI FERTILIZER"/>
    <s v="Private Retailer"/>
    <s v="9734193351"/>
    <n v="4.2000000000000003E-2"/>
    <n v="129"/>
    <x v="4"/>
    <m/>
    <s v="2025-12-12"/>
    <s v="263377"/>
    <s v="Rahaman Fertilizer Agency"/>
    <s v="9064276670"/>
  </r>
  <r>
    <s v="RCF Trombay"/>
    <s v="15-15-15"/>
    <s v="WB"/>
    <x v="8"/>
    <s v="Kushmundi"/>
    <s v="User Not Mapped"/>
    <s v="User Not Mapped"/>
    <s v="User Not Mapped"/>
    <n v="1102252"/>
    <s v="M/S POPULER FERT. AGENCY"/>
    <s v="Private Retailer"/>
    <s v="9609773614"/>
    <n v="0.9"/>
    <n v="1226"/>
    <x v="2"/>
    <m/>
    <s v="2022-12-11"/>
    <s v="263377"/>
    <s v="Rahaman Fertilizer Agency"/>
    <s v="9064276670"/>
  </r>
  <r>
    <s v="RCF Trombay"/>
    <s v="15-15-15"/>
    <s v="WB"/>
    <x v="8"/>
    <s v="Kushmundi"/>
    <s v="User Not Mapped"/>
    <s v="User Not Mapped"/>
    <s v="User Not Mapped"/>
    <n v="1354264"/>
    <s v="M/S. LAL KASHEM FERTILIZER SHO"/>
    <s v="Private Retailer"/>
    <s v="8637590318"/>
    <n v="3"/>
    <n v="143"/>
    <x v="4"/>
    <m/>
    <s v="2025-11-28"/>
    <s v="263377"/>
    <s v="Rahaman Fertilizer Agency"/>
    <s v="9064276670"/>
  </r>
  <r>
    <s v="RCF Trombay"/>
    <s v="15-15-15"/>
    <s v="WB"/>
    <x v="8"/>
    <s v="Kushmundi"/>
    <s v="User Not Mapped"/>
    <s v="User Not Mapped"/>
    <s v="User Not Mapped"/>
    <n v="708183"/>
    <s v="MAJIBUR RAHAMAN"/>
    <s v="Private Retailer"/>
    <s v="8348624384"/>
    <n v="0.3"/>
    <n v="588"/>
    <x v="2"/>
    <m/>
    <s v="2024-09-09"/>
    <s v="263377"/>
    <s v="Rahaman Fertilizer Agency"/>
    <s v="9064276670"/>
  </r>
  <r>
    <s v="RCF Trombay"/>
    <s v="15-15-15"/>
    <s v="WB"/>
    <x v="8"/>
    <s v="Gangarampur"/>
    <s v="User Not Mapped"/>
    <s v="User Not Mapped"/>
    <s v="User Not Mapped"/>
    <n v="126873"/>
    <s v="Sarkar Fertilizer Agency"/>
    <s v="Private Retailer"/>
    <s v="9733036117"/>
    <n v="2.15"/>
    <n v="143"/>
    <x v="4"/>
    <m/>
    <s v="2025-11-28"/>
    <s v="263377"/>
    <s v="Rahaman Fertilizer Agency"/>
    <s v="9064276670"/>
  </r>
  <r>
    <s v="RCF Import"/>
    <s v="MOP"/>
    <s v="WB"/>
    <x v="8"/>
    <s v="Hilli"/>
    <s v="User Not Mapped"/>
    <s v="User Not Mapped"/>
    <s v="User Not Mapped"/>
    <n v="861766"/>
    <s v="ANITA SARKA N SUSHIL KR SARKAR"/>
    <s v="Private Retailer"/>
    <s v="9609908641"/>
    <n v="0.25"/>
    <n v="501"/>
    <x v="0"/>
    <m/>
    <s v="2024-12-05"/>
    <s v="1183563"/>
    <s v="RAJU KAR"/>
    <s v="9734915998"/>
  </r>
  <r>
    <s v="RCF Import"/>
    <s v="MOP"/>
    <s v="WB"/>
    <x v="8"/>
    <s v="Balurghat"/>
    <s v="User Not Mapped"/>
    <s v="User Not Mapped"/>
    <s v="User Not Mapped"/>
    <n v="653538"/>
    <s v="M/S MOMIN MONDAL"/>
    <s v="Private Retailer"/>
    <s v="9563010434"/>
    <n v="0.5"/>
    <n v="585"/>
    <x v="2"/>
    <m/>
    <s v="2024-09-12"/>
    <s v="1183563"/>
    <s v="RAJU KAR"/>
    <s v="9734915998"/>
  </r>
  <r>
    <s v="RCF Import"/>
    <s v="MOP"/>
    <s v="WB"/>
    <x v="8"/>
    <s v="Balurghat"/>
    <s v="User Not Mapped"/>
    <s v="User Not Mapped"/>
    <s v="User Not Mapped"/>
    <n v="635055"/>
    <s v="RAJU DEBNATH"/>
    <s v="Private Retailer"/>
    <s v="9933087378"/>
    <n v="0.5"/>
    <n v="502"/>
    <x v="0"/>
    <m/>
    <s v="2024-12-04"/>
    <s v="1183563"/>
    <s v="RAJU KAR"/>
    <s v="9734915998"/>
  </r>
  <r>
    <s v="RCF Import"/>
    <s v="MOP"/>
    <s v="WB"/>
    <x v="8"/>
    <s v="Kumarganj"/>
    <s v="User Not Mapped"/>
    <s v="User Not Mapped"/>
    <s v="User Not Mapped"/>
    <n v="126839"/>
    <s v="Sadhan Saha"/>
    <s v="Private Retailer"/>
    <s v="9434964043"/>
    <n v="0.75"/>
    <n v="459"/>
    <x v="0"/>
    <m/>
    <s v="2025-01-16"/>
    <s v="1183563"/>
    <s v="RAJU KAR"/>
    <s v="9734915998"/>
  </r>
  <r>
    <s v="RCF Import"/>
    <s v="Imp 10-26-26"/>
    <s v="WB"/>
    <x v="8"/>
    <s v="Tapan"/>
    <s v="User Not Mapped"/>
    <s v="User Not Mapped"/>
    <s v="User Not Mapped"/>
    <n v="126338"/>
    <s v="Abdul Razzak Mia"/>
    <s v="Private Retailer"/>
    <s v="9733191038"/>
    <n v="11"/>
    <n v="73"/>
    <x v="6"/>
    <m/>
    <s v="2026-02-06"/>
    <s v="739732"/>
    <s v="RATAN KUMAR LAHA"/>
    <s v="9563078662"/>
  </r>
  <r>
    <s v="RCF Import"/>
    <s v="Imp 10-26-26"/>
    <s v="WB"/>
    <x v="8"/>
    <s v="Tapan"/>
    <s v="User Not Mapped"/>
    <s v="User Not Mapped"/>
    <s v="User Not Mapped"/>
    <n v="657738"/>
    <s v="BASANTI BARMAN"/>
    <s v="Private Retailer"/>
    <s v="9733106394"/>
    <n v="4.05"/>
    <n v="73"/>
    <x v="6"/>
    <m/>
    <s v="2026-02-06"/>
    <s v="739732"/>
    <s v="RATAN KUMAR LAHA"/>
    <s v="9563078662"/>
  </r>
  <r>
    <s v="RCF Import"/>
    <s v="Imp 10-26-26"/>
    <s v="WB"/>
    <x v="8"/>
    <s v="Tapan"/>
    <s v="User Not Mapped"/>
    <s v="User Not Mapped"/>
    <s v="User Not Mapped"/>
    <n v="860875"/>
    <s v="M/S ABDUR RAHIM AHAMAD"/>
    <s v="Private Retailer"/>
    <s v="7001623908"/>
    <n v="3"/>
    <n v="73"/>
    <x v="6"/>
    <m/>
    <s v="2026-02-06"/>
    <s v="739732"/>
    <s v="RATAN KUMAR LAHA"/>
    <s v="9563078662"/>
  </r>
  <r>
    <s v="RCF Trombay"/>
    <s v="15-15-15"/>
    <s v="WB"/>
    <x v="8"/>
    <s v="Balurghat"/>
    <s v="User Not Mapped"/>
    <s v="User Not Mapped"/>
    <s v="User Not Mapped"/>
    <n v="1264117"/>
    <s v="M/S BIPLAB MONDAL PARIJAT GOSW"/>
    <s v="Private Retailer"/>
    <s v="9733139495"/>
    <n v="0.3"/>
    <n v="123"/>
    <x v="4"/>
    <m/>
    <s v="2025-12-18"/>
    <s v="739732"/>
    <s v="RATAN KUMAR LAHA"/>
    <s v="9563078662"/>
  </r>
  <r>
    <s v="RCF Trombay"/>
    <s v="N.C.Urea(45kg)"/>
    <s v="WB"/>
    <x v="8"/>
    <s v="Tapan"/>
    <s v="User Not Mapped"/>
    <s v="User Not Mapped"/>
    <s v="User Not Mapped"/>
    <n v="1258418"/>
    <s v="M/S BISWAJIT KAR"/>
    <s v="Private Wholsaler"/>
    <s v="8906547307"/>
    <n v="0.2"/>
    <n v="880"/>
    <x v="2"/>
    <m/>
    <s v="2023-11-22"/>
    <s v="739732"/>
    <s v="RATAN KUMAR LAHA"/>
    <s v="9563078662"/>
  </r>
  <r>
    <s v="RCF Import"/>
    <s v="MOP"/>
    <s v="WB"/>
    <x v="8"/>
    <s v="Tapan"/>
    <s v="User Not Mapped"/>
    <s v="User Not Mapped"/>
    <s v="User Not Mapped"/>
    <n v="768130"/>
    <s v="M/S NITISH KUMAR BISWAS"/>
    <s v="Private Retailer"/>
    <s v="9046625023"/>
    <n v="1.4"/>
    <n v="405"/>
    <x v="0"/>
    <m/>
    <s v="2025-03-11"/>
    <s v="739732"/>
    <s v="RATAN KUMAR LAHA"/>
    <s v="9563078662"/>
  </r>
  <r>
    <s v="RCF Trombay"/>
    <s v="15-15-15"/>
    <s v="WB"/>
    <x v="8"/>
    <s v="Tapan"/>
    <s v="User Not Mapped"/>
    <s v="User Not Mapped"/>
    <s v="User Not Mapped"/>
    <n v="768130"/>
    <s v="M/S NITISH KUMAR BISWAS"/>
    <s v="Private Retailer"/>
    <s v="9046625023"/>
    <n v="1.9"/>
    <n v="124"/>
    <x v="4"/>
    <m/>
    <s v="2025-12-17"/>
    <s v="739732"/>
    <s v="RATAN KUMAR LAHA"/>
    <s v="9563078662"/>
  </r>
  <r>
    <s v="RCF Trombay"/>
    <s v="15-15-15"/>
    <s v="WB"/>
    <x v="8"/>
    <s v="Tapan"/>
    <s v="User Not Mapped"/>
    <s v="User Not Mapped"/>
    <s v="User Not Mapped"/>
    <n v="637879"/>
    <s v="M/S PAUL FERTILIZERS"/>
    <s v="Private Retailer"/>
    <s v="7872182335"/>
    <n v="0.4"/>
    <n v="519"/>
    <x v="0"/>
    <m/>
    <s v="2024-11-17"/>
    <s v="739732"/>
    <s v="RATAN KUMAR LAHA"/>
    <s v="9563078662"/>
  </r>
  <r>
    <s v="RCF Trombay"/>
    <s v="15-15-15"/>
    <s v="WB"/>
    <x v="8"/>
    <s v="Tapan"/>
    <s v="User Not Mapped"/>
    <s v="User Not Mapped"/>
    <s v="User Not Mapped"/>
    <n v="263345"/>
    <s v="Patkola Skus Ltd."/>
    <s v="State Marketing Federation"/>
    <s v="6297938210"/>
    <n v="11"/>
    <n v="124"/>
    <x v="4"/>
    <m/>
    <s v="2025-12-17"/>
    <s v="739732"/>
    <s v="RATAN KUMAR LAHA"/>
    <s v="9563078662"/>
  </r>
  <r>
    <s v="RCF Import"/>
    <s v="Imp 10-26-26"/>
    <s v="WB"/>
    <x v="8"/>
    <s v="Tapan"/>
    <s v="User Not Mapped"/>
    <s v="User Not Mapped"/>
    <s v="User Not Mapped"/>
    <n v="922681"/>
    <s v="SARKAR FERTILIZER"/>
    <s v="Private Retailer"/>
    <s v="9064049835"/>
    <n v="6.1"/>
    <n v="73"/>
    <x v="6"/>
    <m/>
    <s v="2026-02-06"/>
    <s v="739732"/>
    <s v="RATAN KUMAR LAHA"/>
    <s v="9563078662"/>
  </r>
  <r>
    <s v="RCF Trombay"/>
    <s v="N.C.Urea(45kg)"/>
    <s v="WB"/>
    <x v="8"/>
    <s v="Balurghat"/>
    <s v="User Not Mapped"/>
    <s v="User Not Mapped"/>
    <s v="User Not Mapped"/>
    <n v="263382"/>
    <s v="Tushar Kanti Agarwala"/>
    <s v="Private Wholsaler"/>
    <s v="8597190846"/>
    <n v="0.67500000000000004"/>
    <n v="74"/>
    <x v="6"/>
    <s v="'WS3125003297'"/>
    <s v="2026-02-05"/>
    <s v="1"/>
    <s v="rcf"/>
    <m/>
  </r>
  <r>
    <s v="RCF Import"/>
    <s v="Imp 10-26-26"/>
    <s v="WB"/>
    <x v="8"/>
    <s v="Balurghat"/>
    <s v="User Not Mapped"/>
    <s v="User Not Mapped"/>
    <s v="User Not Mapped"/>
    <n v="263382"/>
    <s v="Tushar Kanti Agarwala"/>
    <s v="Private Wholsaler"/>
    <s v="8597190846"/>
    <n v="3"/>
    <n v="76"/>
    <x v="6"/>
    <s v="'WS3125003233'"/>
    <s v="2026-02-03"/>
    <s v="1"/>
    <s v="rcf"/>
    <m/>
  </r>
  <r>
    <s v="RCF Thal"/>
    <s v="N.C.Urea(45kg)"/>
    <s v="WB"/>
    <x v="8"/>
    <s v="Balurghat"/>
    <s v="User Not Mapped"/>
    <s v="User Not Mapped"/>
    <s v="User Not Mapped"/>
    <n v="263382"/>
    <s v="Tushar Kanti Agarwala"/>
    <s v="Private Wholsaler"/>
    <s v="8597190846"/>
    <n v="45"/>
    <n v="42"/>
    <x v="3"/>
    <s v="'WS3125003870'"/>
    <s v="2026-03-09"/>
    <s v="1"/>
    <s v="rcf"/>
    <m/>
  </r>
  <r>
    <s v="RCF Trombay"/>
    <s v="15-15-15"/>
    <s v="WB"/>
    <x v="8"/>
    <s v="Balurghat"/>
    <s v="User Not Mapped"/>
    <s v="User Not Mapped"/>
    <s v="User Not Mapped"/>
    <n v="263382"/>
    <s v="Tushar Kanti Agarwala"/>
    <s v="Private Wholsaler"/>
    <s v="8597190846"/>
    <n v="35.125"/>
    <n v="74"/>
    <x v="6"/>
    <s v="'WS3125003310'"/>
    <s v="2026-02-05"/>
    <s v="1"/>
    <s v="rcf"/>
    <m/>
  </r>
  <r>
    <s v="RCF Thal"/>
    <s v="N.C.Urea(45kg)"/>
    <s v="WB"/>
    <x v="8"/>
    <s v="Balurghat"/>
    <s v="User Not Mapped"/>
    <s v="User Not Mapped"/>
    <s v="User Not Mapped"/>
    <n v="263382"/>
    <s v="Tushar Kanti Agarwala"/>
    <s v="Private Wholsaler"/>
    <s v="8597190846"/>
    <n v="45"/>
    <n v="42"/>
    <x v="3"/>
    <s v="'WS3125003873'"/>
    <s v="2026-03-09"/>
    <s v="1"/>
    <s v="rcf"/>
    <m/>
  </r>
  <r>
    <s v="RCF Thal"/>
    <s v="N.C.Urea(45kg)"/>
    <s v="WB"/>
    <x v="8"/>
    <s v="Balurghat"/>
    <s v="User Not Mapped"/>
    <s v="User Not Mapped"/>
    <s v="User Not Mapped"/>
    <n v="263382"/>
    <s v="Tushar Kanti Agarwala"/>
    <s v="Private Wholsaler"/>
    <s v="8597190846"/>
    <n v="42.84"/>
    <n v="42"/>
    <x v="3"/>
    <s v="'WS3125003871'"/>
    <s v="2026-03-09"/>
    <s v="1"/>
    <s v="rcf"/>
    <m/>
  </r>
  <r>
    <s v="RCF Thal"/>
    <s v="N.C.Urea(45kg)"/>
    <s v="WB"/>
    <x v="8"/>
    <m/>
    <s v="User Not Mapped"/>
    <s v="User Not Mapped"/>
    <s v="User Not Mapped"/>
    <n v="693811"/>
    <s v="SHAWNOAJ ALAM CHOWDHURY"/>
    <s v="Private Retailer"/>
    <s v="9635092564"/>
    <n v="0.45"/>
    <n v="1858"/>
    <x v="2"/>
    <m/>
    <s v="2021-03-19"/>
    <s v="1119058"/>
    <s v="Sarkar Krishi Beej Bhandar"/>
    <s v="7001706957"/>
  </r>
  <r>
    <s v="RCF Thal"/>
    <s v="N.C.Urea(45kg)"/>
    <s v="WB"/>
    <x v="8"/>
    <m/>
    <s v="User Not Mapped"/>
    <s v="User Not Mapped"/>
    <s v="User Not Mapped"/>
    <n v="1101279"/>
    <s v="M/S ASHOK KUMAR SARK"/>
    <s v="Private Retailer"/>
    <s v="8116081917"/>
    <n v="0.85499999999999998"/>
    <n v="2237"/>
    <x v="2"/>
    <m/>
    <s v="2020-03-05"/>
    <s v="263380"/>
    <s v="Shyamala Agency"/>
    <s v="9932733980"/>
  </r>
  <r>
    <s v="RCF Import"/>
    <s v="Imp 10-26-26"/>
    <s v="WB"/>
    <x v="8"/>
    <s v="Hilli"/>
    <s v="User Not Mapped"/>
    <s v="User Not Mapped"/>
    <s v="User Not Mapped"/>
    <n v="354012"/>
    <s v="SHYAMALA AGENCY"/>
    <s v="Private Retailer"/>
    <s v="9932733980"/>
    <n v="6.2119999999999997"/>
    <n v="50"/>
    <x v="3"/>
    <m/>
    <s v="2026-03-01"/>
    <s v="263380"/>
    <s v="Shyamala Agency"/>
    <s v="9932733980"/>
  </r>
  <r>
    <s v="RCF Thal"/>
    <s v="N.C.Urea(45kg)"/>
    <s v="WB"/>
    <x v="8"/>
    <m/>
    <s v="User Not Mapped"/>
    <s v="User Not Mapped"/>
    <s v="User Not Mapped"/>
    <n v="953406"/>
    <s v="DULAL CHANDRA DAS"/>
    <s v="Private Retailer"/>
    <s v="9933630030"/>
    <n v="7.0000000000000001E-3"/>
    <n v="2666"/>
    <x v="2"/>
    <m/>
    <s v="2019-01-01"/>
    <s v="11"/>
    <s v="Too Old Stock"/>
    <m/>
  </r>
  <r>
    <s v="RCF Thal"/>
    <s v="N.C.Urea(45kg)"/>
    <s v="WB"/>
    <x v="8"/>
    <s v="Bansihari"/>
    <s v="User Not Mapped"/>
    <s v="User Not Mapped"/>
    <s v="User Not Mapped"/>
    <n v="1029756"/>
    <s v="Hamidur Rahaman"/>
    <s v="Private Retailer"/>
    <s v="9733286175"/>
    <n v="5.0000000000000001E-3"/>
    <n v="2666"/>
    <x v="2"/>
    <m/>
    <s v="2019-01-01"/>
    <s v="11"/>
    <s v="Too Old Stock"/>
    <m/>
  </r>
  <r>
    <s v="RCF Thal"/>
    <s v="N.C.Urea(45kg)"/>
    <s v="WB"/>
    <x v="8"/>
    <m/>
    <s v="User Not Mapped"/>
    <s v="User Not Mapped"/>
    <s v="User Not Mapped"/>
    <n v="968184"/>
    <s v="M/S. DALIMUDDIN SARKAR"/>
    <s v="Private Retailer"/>
    <s v="9064268586"/>
    <n v="6.5000000000000002E-2"/>
    <n v="2666"/>
    <x v="2"/>
    <m/>
    <s v="2019-01-01"/>
    <s v="11"/>
    <s v="Too Old Stock"/>
    <m/>
  </r>
  <r>
    <s v="RCF Thal"/>
    <s v="N.C.Urea(45kg)"/>
    <s v="WB"/>
    <x v="8"/>
    <s v="Kushmundi"/>
    <s v="User Not Mapped"/>
    <s v="User Not Mapped"/>
    <s v="User Not Mapped"/>
    <n v="126655"/>
    <s v="Manju Krishi Ghar"/>
    <s v="Private Retailer"/>
    <s v="9733183016"/>
    <n v="5.0000000000000001E-3"/>
    <n v="2666"/>
    <x v="2"/>
    <m/>
    <s v="2019-01-01"/>
    <s v="11"/>
    <s v="Too Old Stock"/>
    <m/>
  </r>
  <r>
    <s v="RCF Thal"/>
    <s v="N.C.Urea(45kg)"/>
    <s v="WB"/>
    <x v="8"/>
    <m/>
    <s v="User Not Mapped"/>
    <s v="User Not Mapped"/>
    <s v="User Not Mapped"/>
    <n v="667654"/>
    <s v="MOSTAFA MONDAL SAR BHANDER"/>
    <s v="Private Retailer"/>
    <s v="7384917553"/>
    <n v="1.982"/>
    <n v="2666"/>
    <x v="2"/>
    <m/>
    <s v="2019-01-01"/>
    <s v="11"/>
    <s v="Too Old Stock"/>
    <m/>
  </r>
  <r>
    <s v="RCF Thal"/>
    <s v="N.C.Urea(45kg)"/>
    <s v="WB"/>
    <x v="8"/>
    <s v="Balurghat"/>
    <s v="User Not Mapped"/>
    <s v="User Not Mapped"/>
    <s v="User Not Mapped"/>
    <n v="708167"/>
    <s v="AINUL ISLAM SARKAR"/>
    <s v="Private Retailer"/>
    <s v="9733861667"/>
    <n v="3.15"/>
    <n v="25"/>
    <x v="5"/>
    <m/>
    <s v="2026-03-26"/>
    <s v="263382"/>
    <s v="Tushar Kanti Agarwala"/>
    <s v="8597190846"/>
  </r>
  <r>
    <s v="RCF Trombay"/>
    <s v="15-15-15"/>
    <s v="WB"/>
    <x v="8"/>
    <s v="Balurghat"/>
    <s v="User Not Mapped"/>
    <s v="User Not Mapped"/>
    <s v="User Not Mapped"/>
    <n v="708167"/>
    <s v="AINUL ISLAM SARKAR"/>
    <s v="Private Retailer"/>
    <s v="9733861667"/>
    <n v="0.5"/>
    <n v="7"/>
    <x v="5"/>
    <m/>
    <s v="2026-04-13"/>
    <s v="263382"/>
    <s v="Tushar Kanti Agarwala"/>
    <s v="8597190846"/>
  </r>
  <r>
    <s v="RCF Trombay"/>
    <s v="N.C.Urea(45kg)"/>
    <s v="WB"/>
    <x v="8"/>
    <s v="Kumarganj"/>
    <s v="User Not Mapped"/>
    <s v="User Not Mapped"/>
    <s v="User Not Mapped"/>
    <n v="340300"/>
    <s v="AKTARUJ ZAMAN MONDAL"/>
    <s v="Private Retailer"/>
    <s v="9775429596"/>
    <n v="11.25"/>
    <n v="124"/>
    <x v="4"/>
    <m/>
    <s v="2025-12-17"/>
    <s v="263382"/>
    <s v="Tushar Kanti Agarwala"/>
    <s v="8597190846"/>
  </r>
  <r>
    <s v="RCF Thal"/>
    <s v="N.C.Urea(45kg)"/>
    <s v="WB"/>
    <x v="8"/>
    <s v="Kumarganj"/>
    <s v="User Not Mapped"/>
    <s v="User Not Mapped"/>
    <s v="User Not Mapped"/>
    <n v="340300"/>
    <s v="AKTARUJ ZAMAN MONDAL"/>
    <s v="Private Retailer"/>
    <s v="9775429596"/>
    <n v="10.62"/>
    <n v="90"/>
    <x v="6"/>
    <m/>
    <s v="2026-01-20"/>
    <s v="263382"/>
    <s v="Tushar Kanti Agarwala"/>
    <s v="8597190846"/>
  </r>
  <r>
    <s v="RCF Trombay"/>
    <s v="N.C.Urea(45kg)"/>
    <s v="WB"/>
    <x v="8"/>
    <s v="Kumarganj"/>
    <s v="User Not Mapped"/>
    <s v="User Not Mapped"/>
    <s v="User Not Mapped"/>
    <n v="340300"/>
    <s v="AKTARUJ ZAMAN MONDAL"/>
    <s v="Private Retailer"/>
    <s v="9775429596"/>
    <n v="1.62"/>
    <n v="133"/>
    <x v="4"/>
    <m/>
    <s v="2025-12-08"/>
    <s v="263382"/>
    <s v="Tushar Kanti Agarwala"/>
    <s v="8597190846"/>
  </r>
  <r>
    <s v="RCF Thal"/>
    <s v="N.C.Urea(45kg)"/>
    <s v="WB"/>
    <x v="8"/>
    <s v="Kushmundi"/>
    <s v="User Not Mapped"/>
    <s v="User Not Mapped"/>
    <s v="User Not Mapped"/>
    <n v="391377"/>
    <s v="Ali Fert. Agency"/>
    <s v="Private Retailer"/>
    <s v="8768180108"/>
    <n v="3.15"/>
    <n v="7"/>
    <x v="5"/>
    <m/>
    <s v="2026-04-13"/>
    <s v="263382"/>
    <s v="Tushar Kanti Agarwala"/>
    <s v="8597190846"/>
  </r>
  <r>
    <s v="RCF Trombay"/>
    <s v="15-15-15"/>
    <s v="WB"/>
    <x v="8"/>
    <s v="Kushmundi"/>
    <s v="User Not Mapped"/>
    <s v="User Not Mapped"/>
    <s v="User Not Mapped"/>
    <n v="633342"/>
    <s v="ALI FERTILIZER AGENCY"/>
    <s v="Private Retailer"/>
    <s v="9733248366"/>
    <n v="0.05"/>
    <n v="234"/>
    <x v="1"/>
    <m/>
    <s v="2025-08-29"/>
    <s v="263382"/>
    <s v="Tushar Kanti Agarwala"/>
    <s v="8597190846"/>
  </r>
  <r>
    <s v="RCF Thal"/>
    <s v="N.C.Urea(45kg)"/>
    <s v="WB"/>
    <x v="8"/>
    <s v="Hilli"/>
    <s v="User Not Mapped"/>
    <s v="User Not Mapped"/>
    <s v="User Not Mapped"/>
    <n v="126360"/>
    <s v="AMAL KUMAR DAS"/>
    <s v="Private Retailer"/>
    <s v="9932581857"/>
    <n v="0.63"/>
    <n v="384"/>
    <x v="0"/>
    <m/>
    <s v="2025-04-01"/>
    <s v="263382"/>
    <s v="Tushar Kanti Agarwala"/>
    <s v="8597190846"/>
  </r>
  <r>
    <s v="RCF Thal"/>
    <s v="N.C.Urea(45kg)"/>
    <s v="WB"/>
    <x v="8"/>
    <s v="Balurghat"/>
    <s v="User Not Mapped"/>
    <s v="User Not Mapped"/>
    <s v="User Not Mapped"/>
    <n v="755032"/>
    <s v="AMAL PAUL"/>
    <s v="Private Retailer"/>
    <s v="8637853791"/>
    <n v="5.4"/>
    <n v="25"/>
    <x v="5"/>
    <m/>
    <s v="2026-03-26"/>
    <s v="263382"/>
    <s v="Tushar Kanti Agarwala"/>
    <s v="8597190846"/>
  </r>
  <r>
    <s v="RCF Thal"/>
    <s v="N.C.Urea(45kg)"/>
    <s v="WB"/>
    <x v="8"/>
    <s v="Balurghat"/>
    <s v="User Not Mapped"/>
    <s v="User Not Mapped"/>
    <s v="User Not Mapped"/>
    <n v="755032"/>
    <s v="AMAL PAUL"/>
    <s v="Private Retailer"/>
    <s v="8637853791"/>
    <n v="1.0349999999999999"/>
    <n v="62"/>
    <x v="6"/>
    <m/>
    <s v="2026-02-17"/>
    <s v="263382"/>
    <s v="Tushar Kanti Agarwala"/>
    <s v="8597190846"/>
  </r>
  <r>
    <s v="RCF Thal"/>
    <s v="N.C.Urea(45kg)"/>
    <s v="WB"/>
    <x v="8"/>
    <s v="Balurghat"/>
    <s v="User Not Mapped"/>
    <s v="User Not Mapped"/>
    <s v="User Not Mapped"/>
    <n v="755032"/>
    <s v="AMAL PAUL"/>
    <s v="Private Retailer"/>
    <s v="8637853791"/>
    <n v="5.4"/>
    <n v="31"/>
    <x v="3"/>
    <m/>
    <s v="2026-03-20"/>
    <s v="263382"/>
    <s v="Tushar Kanti Agarwala"/>
    <s v="8597190846"/>
  </r>
  <r>
    <s v="RCF Thal"/>
    <s v="N.C.Urea(45kg)"/>
    <s v="WB"/>
    <x v="8"/>
    <s v="Balurghat"/>
    <s v="User Not Mapped"/>
    <s v="User Not Mapped"/>
    <s v="User Not Mapped"/>
    <n v="709035"/>
    <s v="AMIT SARKAR"/>
    <s v="Private Retailer"/>
    <s v="7586055712"/>
    <n v="5.62"/>
    <n v="49"/>
    <x v="3"/>
    <m/>
    <s v="2026-03-02"/>
    <s v="263382"/>
    <s v="Tushar Kanti Agarwala"/>
    <s v="8597190846"/>
  </r>
  <r>
    <s v="RCF Trombay"/>
    <s v="15-15-15"/>
    <s v="WB"/>
    <x v="8"/>
    <s v="Balurghat"/>
    <s v="User Not Mapped"/>
    <s v="User Not Mapped"/>
    <s v="User Not Mapped"/>
    <n v="251747"/>
    <s v="Animesh Mondal"/>
    <s v="Private Retailer"/>
    <s v="9734182551"/>
    <n v="1.35"/>
    <n v="208"/>
    <x v="1"/>
    <m/>
    <s v="2025-09-24"/>
    <s v="263382"/>
    <s v="Tushar Kanti Agarwala"/>
    <s v="8597190846"/>
  </r>
  <r>
    <s v="RCF Thal"/>
    <s v="N.C.Urea(45kg)"/>
    <s v="WB"/>
    <x v="8"/>
    <s v="Tapan"/>
    <s v="User Not Mapped"/>
    <s v="User Not Mapped"/>
    <s v="User Not Mapped"/>
    <n v="797122"/>
    <s v="ARIF MONDAL"/>
    <s v="Private Retailer"/>
    <s v="9775754250"/>
    <n v="0.45"/>
    <n v="6"/>
    <x v="5"/>
    <m/>
    <s v="2026-04-14"/>
    <s v="263382"/>
    <s v="Tushar Kanti Agarwala"/>
    <s v="8597190846"/>
  </r>
  <r>
    <s v="RCF Trombay"/>
    <s v="15-15-15"/>
    <s v="WB"/>
    <x v="8"/>
    <s v="Tapan"/>
    <s v="User Not Mapped"/>
    <s v="User Not Mapped"/>
    <s v="User Not Mapped"/>
    <n v="797122"/>
    <s v="ARIF MONDAL"/>
    <s v="Private Retailer"/>
    <s v="9775754250"/>
    <n v="0.25"/>
    <n v="59"/>
    <x v="3"/>
    <m/>
    <s v="2026-02-20"/>
    <s v="263382"/>
    <s v="Tushar Kanti Agarwala"/>
    <s v="8597190846"/>
  </r>
  <r>
    <s v="RCF Trombay"/>
    <s v="N.C.Urea(45kg)"/>
    <s v="WB"/>
    <x v="8"/>
    <s v="Tapan"/>
    <s v="User Not Mapped"/>
    <s v="User Not Mapped"/>
    <s v="User Not Mapped"/>
    <n v="797122"/>
    <s v="ARIF MONDAL"/>
    <s v="Private Retailer"/>
    <s v="9775754250"/>
    <n v="0.45"/>
    <n v="59"/>
    <x v="3"/>
    <m/>
    <s v="2026-02-20"/>
    <s v="263382"/>
    <s v="Tushar Kanti Agarwala"/>
    <s v="8597190846"/>
  </r>
  <r>
    <s v="RCF Trombay"/>
    <s v="N.C.Urea(45kg)"/>
    <s v="WB"/>
    <x v="8"/>
    <s v="Kushmundi"/>
    <s v="User Not Mapped"/>
    <s v="User Not Mapped"/>
    <s v="User Not Mapped"/>
    <n v="126390"/>
    <s v="Ashimuddin Ahammed"/>
    <s v="Private Retailer"/>
    <s v="9733848112"/>
    <n v="5.5350000000000001"/>
    <n v="124"/>
    <x v="4"/>
    <m/>
    <s v="2025-12-17"/>
    <s v="263382"/>
    <s v="Tushar Kanti Agarwala"/>
    <s v="8597190846"/>
  </r>
  <r>
    <s v="RCF Trombay"/>
    <s v="15-15-15"/>
    <s v="WB"/>
    <x v="8"/>
    <s v="Balurghat"/>
    <s v="User Not Mapped"/>
    <s v="User Not Mapped"/>
    <s v="User Not Mapped"/>
    <n v="550225"/>
    <s v="Ashit Kumar Paul"/>
    <s v="Private Retailer"/>
    <s v="9733146654"/>
    <n v="0.5"/>
    <n v="26"/>
    <x v="5"/>
    <m/>
    <s v="2026-03-25"/>
    <s v="263382"/>
    <s v="Tushar Kanti Agarwala"/>
    <s v="8597190846"/>
  </r>
  <r>
    <s v="RCF Thal"/>
    <s v="N.C.Urea(45kg)"/>
    <s v="WB"/>
    <x v="8"/>
    <s v="Kushmundi"/>
    <s v="User Not Mapped"/>
    <s v="User Not Mapped"/>
    <s v="User Not Mapped"/>
    <n v="968230"/>
    <s v="BARMAN FERTILIZER"/>
    <s v="Private Retailer"/>
    <s v="8637576120"/>
    <n v="1.3049999999999999"/>
    <n v="124"/>
    <x v="4"/>
    <m/>
    <s v="2025-12-17"/>
    <s v="263382"/>
    <s v="Tushar Kanti Agarwala"/>
    <s v="8597190846"/>
  </r>
  <r>
    <s v="RCF Trombay"/>
    <s v="15-15-15"/>
    <s v="WB"/>
    <x v="8"/>
    <s v="Kumarganj"/>
    <s v="User Not Mapped"/>
    <s v="User Not Mapped"/>
    <s v="User Not Mapped"/>
    <n v="331167"/>
    <s v="Barun Kumar Mondal"/>
    <s v="Private Retailer"/>
    <s v="9474313439"/>
    <n v="8.9499999999999993"/>
    <n v="133"/>
    <x v="4"/>
    <m/>
    <s v="2025-12-08"/>
    <s v="263382"/>
    <s v="Tushar Kanti Agarwala"/>
    <s v="8597190846"/>
  </r>
  <r>
    <s v="RCF Thal"/>
    <s v="N.C.Urea(45kg)"/>
    <s v="WB"/>
    <x v="8"/>
    <s v="Tapan"/>
    <s v="User Not Mapped"/>
    <s v="User Not Mapped"/>
    <s v="User Not Mapped"/>
    <n v="657738"/>
    <s v="BASANTI BARMAN"/>
    <s v="Private Retailer"/>
    <s v="9733106394"/>
    <n v="0.40500000000000003"/>
    <n v="145"/>
    <x v="4"/>
    <m/>
    <s v="2025-11-26"/>
    <s v="263382"/>
    <s v="Tushar Kanti Agarwala"/>
    <s v="8597190846"/>
  </r>
  <r>
    <s v="RCF Trombay"/>
    <s v="15-15-15"/>
    <s v="WB"/>
    <x v="8"/>
    <s v="Kushmundi"/>
    <s v="User Not Mapped"/>
    <s v="User Not Mapped"/>
    <s v="User Not Mapped"/>
    <n v="872918"/>
    <s v="BHARAT MAHATO"/>
    <s v="Private Retailer"/>
    <s v="9735909925"/>
    <n v="2"/>
    <n v="131"/>
    <x v="4"/>
    <m/>
    <s v="2025-12-10"/>
    <s v="263382"/>
    <s v="Tushar Kanti Agarwala"/>
    <s v="8597190846"/>
  </r>
  <r>
    <s v="RCF Trombay"/>
    <s v="15-15-15"/>
    <s v="WB"/>
    <x v="8"/>
    <s v="Kushmundi"/>
    <s v="User Not Mapped"/>
    <s v="User Not Mapped"/>
    <s v="User Not Mapped"/>
    <n v="872918"/>
    <s v="BHARAT MAHATO"/>
    <s v="Private Retailer"/>
    <s v="9735909925"/>
    <n v="2"/>
    <n v="234"/>
    <x v="1"/>
    <m/>
    <s v="2025-08-29"/>
    <s v="263382"/>
    <s v="Tushar Kanti Agarwala"/>
    <s v="8597190846"/>
  </r>
  <r>
    <s v="RCF Thal"/>
    <s v="N.C.Urea(45kg)"/>
    <s v="WB"/>
    <x v="8"/>
    <s v="Tapan"/>
    <s v="User Not Mapped"/>
    <s v="User Not Mapped"/>
    <s v="User Not Mapped"/>
    <n v="768064"/>
    <s v="BHUMI BANDHU FERTILIZER"/>
    <s v="Private Retailer"/>
    <s v="8170862350"/>
    <n v="5.76"/>
    <n v="31"/>
    <x v="3"/>
    <m/>
    <s v="2026-03-20"/>
    <s v="263382"/>
    <s v="Tushar Kanti Agarwala"/>
    <s v="8597190846"/>
  </r>
  <r>
    <s v="RCF Trombay"/>
    <s v="N.C.Urea(45kg)"/>
    <s v="WB"/>
    <x v="8"/>
    <s v="Balurghat"/>
    <s v="User Not Mapped"/>
    <s v="User Not Mapped"/>
    <s v="User Not Mapped"/>
    <n v="126434"/>
    <s v="Bidyut Mohanta"/>
    <s v="Private Retailer"/>
    <s v="9733030897"/>
    <n v="3.5999999999999997E-2"/>
    <n v="62"/>
    <x v="6"/>
    <m/>
    <s v="2026-02-17"/>
    <s v="263382"/>
    <s v="Tushar Kanti Agarwala"/>
    <s v="8597190846"/>
  </r>
  <r>
    <s v="RCF Thal"/>
    <s v="N.C.Urea(45kg)"/>
    <s v="WB"/>
    <x v="8"/>
    <s v="Balurghat"/>
    <s v="User Not Mapped"/>
    <s v="User Not Mapped"/>
    <s v="User Not Mapped"/>
    <n v="126434"/>
    <s v="Bidyut Mohanta"/>
    <s v="Private Retailer"/>
    <s v="9733030897"/>
    <n v="3.6"/>
    <n v="25"/>
    <x v="5"/>
    <m/>
    <s v="2026-03-26"/>
    <s v="263382"/>
    <s v="Tushar Kanti Agarwala"/>
    <s v="8597190846"/>
  </r>
  <r>
    <s v="RCF Trombay"/>
    <s v="15-15-15"/>
    <s v="WB"/>
    <x v="8"/>
    <s v="Kumarganj"/>
    <s v="User Not Mapped"/>
    <s v="User Not Mapped"/>
    <s v="User Not Mapped"/>
    <n v="606125"/>
    <s v="BIJAN DAS"/>
    <s v="Private Retailer"/>
    <s v="9733054664"/>
    <n v="5.35"/>
    <n v="157"/>
    <x v="4"/>
    <m/>
    <s v="2025-11-14"/>
    <s v="263382"/>
    <s v="Tushar Kanti Agarwala"/>
    <s v="8597190846"/>
  </r>
  <r>
    <s v="RCF Import"/>
    <s v="Imp 10-26-26"/>
    <s v="WB"/>
    <x v="8"/>
    <s v="Balurghat"/>
    <s v="User Not Mapped"/>
    <s v="User Not Mapped"/>
    <s v="User Not Mapped"/>
    <n v="391329"/>
    <s v="Bijon Chandra Pramanik"/>
    <s v="Private Retailer"/>
    <s v="9800514216"/>
    <n v="0.25"/>
    <n v="48"/>
    <x v="3"/>
    <m/>
    <s v="2026-03-03"/>
    <s v="263382"/>
    <s v="Tushar Kanti Agarwala"/>
    <s v="8597190846"/>
  </r>
  <r>
    <s v="RCF Thal"/>
    <s v="N.C.Urea(45kg)"/>
    <s v="WB"/>
    <x v="8"/>
    <s v="Balurghat"/>
    <s v="User Not Mapped"/>
    <s v="User Not Mapped"/>
    <s v="User Not Mapped"/>
    <n v="391329"/>
    <s v="Bijon Chandra Pramanik"/>
    <s v="Private Retailer"/>
    <s v="9800514216"/>
    <n v="1.35"/>
    <n v="25"/>
    <x v="5"/>
    <m/>
    <s v="2026-03-26"/>
    <s v="263382"/>
    <s v="Tushar Kanti Agarwala"/>
    <s v="8597190846"/>
  </r>
  <r>
    <s v="RCF Import"/>
    <s v="Imp 10-26-26"/>
    <s v="WB"/>
    <x v="8"/>
    <s v="Balurghat"/>
    <s v="User Not Mapped"/>
    <s v="User Not Mapped"/>
    <s v="User Not Mapped"/>
    <n v="391315"/>
    <s v="Binoy Mondol"/>
    <s v="Private Retailer"/>
    <s v="9734066642"/>
    <n v="1"/>
    <n v="48"/>
    <x v="3"/>
    <m/>
    <s v="2026-03-03"/>
    <s v="263382"/>
    <s v="Tushar Kanti Agarwala"/>
    <s v="8597190846"/>
  </r>
  <r>
    <s v="RCF Thal"/>
    <s v="N.C.Urea(45kg)"/>
    <s v="WB"/>
    <x v="8"/>
    <s v="Balurghat"/>
    <s v="User Not Mapped"/>
    <s v="User Not Mapped"/>
    <s v="User Not Mapped"/>
    <n v="391315"/>
    <s v="Binoy Mondol"/>
    <s v="Private Retailer"/>
    <s v="9734066642"/>
    <n v="2.0249999999999999"/>
    <n v="26"/>
    <x v="5"/>
    <m/>
    <s v="2026-03-25"/>
    <s v="263382"/>
    <s v="Tushar Kanti Agarwala"/>
    <s v="8597190846"/>
  </r>
  <r>
    <s v="RCF Trombay"/>
    <s v="15-15-15"/>
    <s v="WB"/>
    <x v="8"/>
    <s v="Balurghat"/>
    <s v="User Not Mapped"/>
    <s v="User Not Mapped"/>
    <s v="User Not Mapped"/>
    <n v="391315"/>
    <s v="Binoy Mondol"/>
    <s v="Private Retailer"/>
    <s v="9734066642"/>
    <n v="0.25"/>
    <n v="25"/>
    <x v="5"/>
    <m/>
    <s v="2026-03-26"/>
    <s v="263382"/>
    <s v="Tushar Kanti Agarwala"/>
    <s v="8597190846"/>
  </r>
  <r>
    <s v="RCF Trombay"/>
    <s v="15-15-15"/>
    <s v="WB"/>
    <x v="8"/>
    <s v="Balurghat"/>
    <s v="User Not Mapped"/>
    <s v="User Not Mapped"/>
    <s v="User Not Mapped"/>
    <n v="391315"/>
    <s v="Binoy Mondol"/>
    <s v="Private Retailer"/>
    <s v="9734066642"/>
    <n v="0.5"/>
    <n v="26"/>
    <x v="5"/>
    <m/>
    <s v="2026-03-25"/>
    <s v="263382"/>
    <s v="Tushar Kanti Agarwala"/>
    <s v="8597190846"/>
  </r>
  <r>
    <s v="RCF Import"/>
    <s v="Imp 10-26-26"/>
    <s v="WB"/>
    <x v="8"/>
    <s v="Balurghat"/>
    <s v="User Not Mapped"/>
    <s v="User Not Mapped"/>
    <s v="User Not Mapped"/>
    <n v="391315"/>
    <s v="Binoy Mondol"/>
    <s v="Private Retailer"/>
    <s v="9734066642"/>
    <n v="0.25"/>
    <n v="65"/>
    <x v="6"/>
    <m/>
    <s v="2026-02-14"/>
    <s v="263382"/>
    <s v="Tushar Kanti Agarwala"/>
    <s v="8597190846"/>
  </r>
  <r>
    <s v="RCF Import"/>
    <s v="Imp 10-26-26"/>
    <s v="WB"/>
    <x v="8"/>
    <s v="Balurghat"/>
    <s v="User Not Mapped"/>
    <s v="User Not Mapped"/>
    <s v="User Not Mapped"/>
    <n v="391315"/>
    <s v="Binoy Mondol"/>
    <s v="Private Retailer"/>
    <s v="9734066642"/>
    <n v="0.5"/>
    <n v="73"/>
    <x v="6"/>
    <m/>
    <s v="2026-02-06"/>
    <s v="263382"/>
    <s v="Tushar Kanti Agarwala"/>
    <s v="8597190846"/>
  </r>
  <r>
    <s v="RCF Thal"/>
    <s v="N.C.Urea(45kg)"/>
    <s v="WB"/>
    <x v="8"/>
    <s v="Balurghat"/>
    <s v="User Not Mapped"/>
    <s v="User Not Mapped"/>
    <s v="User Not Mapped"/>
    <n v="391315"/>
    <s v="Binoy Mondol"/>
    <s v="Private Retailer"/>
    <s v="9734066642"/>
    <n v="3.43"/>
    <n v="38"/>
    <x v="3"/>
    <m/>
    <s v="2026-03-13"/>
    <s v="263382"/>
    <s v="Tushar Kanti Agarwala"/>
    <s v="8597190846"/>
  </r>
  <r>
    <s v="RCF Trombay"/>
    <s v="N.C.Urea(45kg)"/>
    <s v="WB"/>
    <x v="8"/>
    <s v="Kumarganj"/>
    <s v="User Not Mapped"/>
    <s v="User Not Mapped"/>
    <s v="User Not Mapped"/>
    <n v="340328"/>
    <s v="Difajuddin  Mondal"/>
    <s v="Private Retailer"/>
    <s v="8967596069"/>
    <n v="11.025"/>
    <n v="100"/>
    <x v="7"/>
    <m/>
    <s v="2026-01-10"/>
    <s v="263382"/>
    <s v="Tushar Kanti Agarwala"/>
    <s v="8597190846"/>
  </r>
  <r>
    <s v="RCF Thal"/>
    <s v="N.C.Urea(45kg)"/>
    <s v="WB"/>
    <x v="8"/>
    <s v="Balurghat"/>
    <s v="User Not Mapped"/>
    <s v="User Not Mapped"/>
    <s v="User Not Mapped"/>
    <n v="263314"/>
    <s v="Ghosh Fertilizer"/>
    <s v="Private Retailer"/>
    <s v="8972060014"/>
    <n v="1.35"/>
    <n v="10"/>
    <x v="5"/>
    <m/>
    <s v="2026-04-10"/>
    <s v="263382"/>
    <s v="Tushar Kanti Agarwala"/>
    <s v="8597190846"/>
  </r>
  <r>
    <s v="RCF Thal"/>
    <s v="N.C.Urea(45kg)"/>
    <s v="WB"/>
    <x v="8"/>
    <s v="Balurghat"/>
    <s v="User Not Mapped"/>
    <s v="User Not Mapped"/>
    <s v="User Not Mapped"/>
    <n v="263314"/>
    <s v="Ghosh Fertilizer"/>
    <s v="Private Retailer"/>
    <s v="8972060014"/>
    <n v="11.25"/>
    <n v="62"/>
    <x v="6"/>
    <m/>
    <s v="2026-02-17"/>
    <s v="263382"/>
    <s v="Tushar Kanti Agarwala"/>
    <s v="8597190846"/>
  </r>
  <r>
    <s v="RCF Thal"/>
    <s v="N.C.Urea(45kg)"/>
    <s v="WB"/>
    <x v="8"/>
    <s v="Balurghat"/>
    <s v="User Not Mapped"/>
    <s v="User Not Mapped"/>
    <s v="User Not Mapped"/>
    <n v="263314"/>
    <s v="Ghosh Fertilizer"/>
    <s v="Private Retailer"/>
    <s v="8972060014"/>
    <n v="4.05"/>
    <n v="25"/>
    <x v="5"/>
    <m/>
    <s v="2026-03-26"/>
    <s v="263382"/>
    <s v="Tushar Kanti Agarwala"/>
    <s v="8597190846"/>
  </r>
  <r>
    <s v="RCF Thal"/>
    <s v="N.C.Urea(45kg)"/>
    <s v="WB"/>
    <x v="8"/>
    <s v="Kushmundi"/>
    <s v="User Not Mapped"/>
    <s v="User Not Mapped"/>
    <s v="User Not Mapped"/>
    <n v="340338"/>
    <s v="Golam Rabbani"/>
    <s v="Private Retailer"/>
    <s v="9593828018"/>
    <n v="7.4249999999999998"/>
    <n v="38"/>
    <x v="3"/>
    <m/>
    <s v="2026-03-13"/>
    <s v="263382"/>
    <s v="Tushar Kanti Agarwala"/>
    <s v="8597190846"/>
  </r>
  <r>
    <s v="RCF Trombay"/>
    <s v="15-15-15"/>
    <s v="WB"/>
    <x v="8"/>
    <s v="Balurghat"/>
    <s v="User Not Mapped"/>
    <s v="User Not Mapped"/>
    <s v="User Not Mapped"/>
    <n v="635057"/>
    <s v="HARADHAN SAHA"/>
    <s v="Private Retailer"/>
    <s v="9614161644"/>
    <n v="1.5"/>
    <n v="26"/>
    <x v="5"/>
    <m/>
    <s v="2026-03-25"/>
    <s v="263382"/>
    <s v="Tushar Kanti Agarwala"/>
    <s v="8597190846"/>
  </r>
  <r>
    <s v="RCF Thal"/>
    <s v="N.C.Urea(45kg)"/>
    <s v="WB"/>
    <x v="8"/>
    <s v="Gangarampur"/>
    <s v="User Not Mapped"/>
    <s v="User Not Mapped"/>
    <s v="User Not Mapped"/>
    <n v="633340"/>
    <s v="HOSSAIN FERT AGENCY"/>
    <s v="Private Retailer"/>
    <s v="9733106035"/>
    <n v="2.88"/>
    <n v="233"/>
    <x v="1"/>
    <m/>
    <s v="2025-08-30"/>
    <s v="263382"/>
    <s v="Tushar Kanti Agarwala"/>
    <s v="8597190846"/>
  </r>
  <r>
    <s v="RCF Trombay"/>
    <s v="N.C.Urea(45kg)"/>
    <s v="WB"/>
    <x v="8"/>
    <s v="Kushmundi"/>
    <s v="User Not Mapped"/>
    <s v="User Not Mapped"/>
    <s v="User Not Mapped"/>
    <n v="1105451"/>
    <s v="HOSSAIN FERT. AGENCY"/>
    <s v="Private Retailer"/>
    <s v="7364903877"/>
    <n v="4.05"/>
    <n v="132"/>
    <x v="4"/>
    <m/>
    <s v="2025-12-09"/>
    <s v="263382"/>
    <s v="Tushar Kanti Agarwala"/>
    <s v="8597190846"/>
  </r>
  <r>
    <s v="RCF Thal"/>
    <s v="N.C.Urea(45kg)"/>
    <s v="WB"/>
    <x v="8"/>
    <s v="Kushmundi"/>
    <s v="User Not Mapped"/>
    <s v="User Not Mapped"/>
    <s v="User Not Mapped"/>
    <n v="1105451"/>
    <s v="HOSSAIN FERT. AGENCY"/>
    <s v="Private Retailer"/>
    <s v="7364903877"/>
    <n v="5.85"/>
    <n v="88"/>
    <x v="6"/>
    <m/>
    <s v="2026-01-22"/>
    <s v="263382"/>
    <s v="Tushar Kanti Agarwala"/>
    <s v="8597190846"/>
  </r>
  <r>
    <s v="RCF Thal"/>
    <s v="N.C.Urea(45kg)"/>
    <s v="WB"/>
    <x v="8"/>
    <s v="Tapan"/>
    <s v="User Not Mapped"/>
    <s v="User Not Mapped"/>
    <s v="User Not Mapped"/>
    <n v="550227"/>
    <s v="Idrish Ali Sarkar"/>
    <s v="Private Retailer"/>
    <s v="9733404666"/>
    <n v="1.17"/>
    <n v="145"/>
    <x v="4"/>
    <m/>
    <s v="2025-11-26"/>
    <s v="263382"/>
    <s v="Tushar Kanti Agarwala"/>
    <s v="8597190846"/>
  </r>
  <r>
    <s v="RCF Thal"/>
    <s v="N.C.Urea(45kg)"/>
    <s v="WB"/>
    <x v="8"/>
    <s v="Balurghat"/>
    <s v="User Not Mapped"/>
    <s v="User Not Mapped"/>
    <s v="User Not Mapped"/>
    <n v="126548"/>
    <s v="Jagannathbati Skus Ltd"/>
    <s v="Private Retailer"/>
    <s v="8158865585"/>
    <n v="9.8550000000000004"/>
    <n v="38"/>
    <x v="3"/>
    <m/>
    <s v="2026-03-13"/>
    <s v="263382"/>
    <s v="Tushar Kanti Agarwala"/>
    <s v="8597190846"/>
  </r>
  <r>
    <s v="RCF Trombay"/>
    <s v="15-15-15"/>
    <s v="WB"/>
    <x v="8"/>
    <s v="Gangarampur"/>
    <s v="User Not Mapped"/>
    <s v="User Not Mapped"/>
    <s v="User Not Mapped"/>
    <n v="340430"/>
    <s v="JIBAN KUMAR SEN"/>
    <s v="Private Wholsaler"/>
    <s v="9434144964"/>
    <n v="10"/>
    <n v="25"/>
    <x v="5"/>
    <s v="'FER/25-26/1862'"/>
    <s v="2026-03-26"/>
    <s v="263382"/>
    <s v="Tushar Kanti Agarwala"/>
    <s v="8597190846"/>
  </r>
  <r>
    <s v="RCF Thal"/>
    <s v="N.C.Urea(45kg)"/>
    <s v="WB"/>
    <x v="8"/>
    <s v="Gangarampur"/>
    <s v="User Not Mapped"/>
    <s v="User Not Mapped"/>
    <s v="User Not Mapped"/>
    <n v="774882"/>
    <s v="JIBAN MITRA"/>
    <s v="Private Retailer"/>
    <s v="9609586277"/>
    <n v="0.94499999999999995"/>
    <n v="257"/>
    <x v="1"/>
    <m/>
    <s v="2025-08-06"/>
    <s v="263382"/>
    <s v="Tushar Kanti Agarwala"/>
    <s v="8597190846"/>
  </r>
  <r>
    <s v="RCF Thal"/>
    <s v="N.C.Urea(45kg)"/>
    <s v="WB"/>
    <x v="8"/>
    <s v="Balurghat"/>
    <s v="User Not Mapped"/>
    <s v="User Not Mapped"/>
    <s v="User Not Mapped"/>
    <n v="353986"/>
    <s v="Kanak Debnath"/>
    <s v="Private Retailer"/>
    <s v="9933718665"/>
    <n v="2.7"/>
    <n v="38"/>
    <x v="3"/>
    <m/>
    <s v="2026-03-13"/>
    <s v="263382"/>
    <s v="Tushar Kanti Agarwala"/>
    <s v="8597190846"/>
  </r>
  <r>
    <s v="RCF Thal"/>
    <s v="N.C.Urea(45kg)"/>
    <s v="WB"/>
    <x v="8"/>
    <s v="Kushmundi"/>
    <s v="User Not Mapped"/>
    <s v="User Not Mapped"/>
    <s v="User Not Mapped"/>
    <n v="1101269"/>
    <s v="Khagendra Nath Barman and Mith"/>
    <s v="Private Retailer"/>
    <s v="8637827959"/>
    <n v="0.495"/>
    <n v="126"/>
    <x v="4"/>
    <m/>
    <s v="2025-12-15"/>
    <s v="263382"/>
    <s v="Tushar Kanti Agarwala"/>
    <s v="8597190846"/>
  </r>
  <r>
    <s v="RCF Thal"/>
    <s v="N.C.Urea(45kg)"/>
    <s v="WB"/>
    <x v="8"/>
    <s v="Kushmundi"/>
    <s v="User Not Mapped"/>
    <s v="User Not Mapped"/>
    <s v="User Not Mapped"/>
    <n v="126829"/>
    <s v="M/S AHACHAN ALI NURUL ISLAM"/>
    <s v="Private Retailer"/>
    <s v="9734125747"/>
    <n v="0.54"/>
    <n v="145"/>
    <x v="4"/>
    <m/>
    <s v="2025-11-26"/>
    <s v="263382"/>
    <s v="Tushar Kanti Agarwala"/>
    <s v="8597190846"/>
  </r>
  <r>
    <s v="RCF Thal"/>
    <s v="N.C.Urea(45kg)"/>
    <s v="WB"/>
    <x v="8"/>
    <s v="Balurghat"/>
    <s v="User Not Mapped"/>
    <s v="User Not Mapped"/>
    <s v="User Not Mapped"/>
    <n v="1099936"/>
    <s v="M/S ALOK CHATTARJEE"/>
    <s v="Private Retailer"/>
    <s v="8158977635"/>
    <n v="9.6750000000000007"/>
    <n v="62"/>
    <x v="6"/>
    <m/>
    <s v="2026-02-17"/>
    <s v="263382"/>
    <s v="Tushar Kanti Agarwala"/>
    <s v="8597190846"/>
  </r>
  <r>
    <s v="RCF Trombay"/>
    <s v="15-15-15"/>
    <s v="WB"/>
    <x v="8"/>
    <s v="Balurghat"/>
    <s v="User Not Mapped"/>
    <s v="User Not Mapped"/>
    <s v="User Not Mapped"/>
    <n v="1099936"/>
    <s v="M/S ALOK CHATTARJEE"/>
    <s v="Private Retailer"/>
    <s v="8158977635"/>
    <n v="0.75"/>
    <n v="149"/>
    <x v="4"/>
    <m/>
    <s v="2025-11-22"/>
    <s v="263382"/>
    <s v="Tushar Kanti Agarwala"/>
    <s v="8597190846"/>
  </r>
  <r>
    <s v="RCF Thal"/>
    <s v="N.C.Urea(45kg)"/>
    <s v="WB"/>
    <x v="8"/>
    <s v="Bansihari"/>
    <s v="User Not Mapped"/>
    <s v="User Not Mapped"/>
    <s v="User Not Mapped"/>
    <n v="1208868"/>
    <s v="M/S AMRAN HOSSAIN"/>
    <s v="Private Retailer"/>
    <s v="6295096942"/>
    <n v="0.13500000000000001"/>
    <n v="143"/>
    <x v="4"/>
    <m/>
    <s v="2025-11-28"/>
    <s v="263382"/>
    <s v="Tushar Kanti Agarwala"/>
    <s v="8597190846"/>
  </r>
  <r>
    <s v="RCF Thal"/>
    <s v="N.C.Urea(45kg)"/>
    <s v="WB"/>
    <x v="8"/>
    <s v="Balurghat"/>
    <s v="User Not Mapped"/>
    <s v="User Not Mapped"/>
    <s v="User Not Mapped"/>
    <n v="1258410"/>
    <s v="M/S ANIL CHANDRA MONDAL"/>
    <s v="Private Retailer"/>
    <s v="9593766943"/>
    <n v="0.54"/>
    <n v="7"/>
    <x v="5"/>
    <m/>
    <s v="2026-04-13"/>
    <s v="263382"/>
    <s v="Tushar Kanti Agarwala"/>
    <s v="8597190846"/>
  </r>
  <r>
    <s v="RCF Thal"/>
    <s v="N.C.Urea(45kg)"/>
    <s v="WB"/>
    <x v="8"/>
    <s v="Balurghat"/>
    <s v="User Not Mapped"/>
    <s v="User Not Mapped"/>
    <s v="User Not Mapped"/>
    <n v="1258410"/>
    <s v="M/S ANIL CHANDRA MONDAL"/>
    <s v="Private Retailer"/>
    <s v="9593766943"/>
    <n v="8.6850000000000005"/>
    <n v="62"/>
    <x v="6"/>
    <m/>
    <s v="2026-02-17"/>
    <s v="263382"/>
    <s v="Tushar Kanti Agarwala"/>
    <s v="8597190846"/>
  </r>
  <r>
    <s v="RCF Thal"/>
    <s v="N.C.Urea(45kg)"/>
    <s v="WB"/>
    <x v="8"/>
    <s v="Balurghat"/>
    <s v="User Not Mapped"/>
    <s v="User Not Mapped"/>
    <s v="User Not Mapped"/>
    <n v="554211"/>
    <s v="M/S ASIT MANDAL"/>
    <s v="Private Retailer"/>
    <s v="9635513397"/>
    <n v="0.13500000000000001"/>
    <n v="25"/>
    <x v="5"/>
    <m/>
    <s v="2026-03-26"/>
    <s v="263382"/>
    <s v="Tushar Kanti Agarwala"/>
    <s v="8597190846"/>
  </r>
  <r>
    <s v="RCF Thal"/>
    <s v="N.C.Urea(45kg)"/>
    <s v="WB"/>
    <x v="8"/>
    <m/>
    <s v="User Not Mapped"/>
    <s v="User Not Mapped"/>
    <s v="User Not Mapped"/>
    <n v="986082"/>
    <s v="M/S BARMAN FERTILIZER"/>
    <s v="Private Retailer"/>
    <s v="8170811512"/>
    <n v="5.085"/>
    <n v="1215"/>
    <x v="2"/>
    <m/>
    <s v="2022-12-22"/>
    <s v="263382"/>
    <s v="Tushar Kanti Agarwala"/>
    <s v="8597190846"/>
  </r>
  <r>
    <s v="RCF Thal"/>
    <s v="N.C.Urea(45kg)"/>
    <s v="WB"/>
    <x v="8"/>
    <s v="Bansihari"/>
    <s v="User Not Mapped"/>
    <s v="User Not Mapped"/>
    <s v="User Not Mapped"/>
    <n v="538452"/>
    <s v="M/S CHANDAN SHIL"/>
    <s v="Private Retailer"/>
    <s v="9614125101"/>
    <n v="5.9850000000000003"/>
    <n v="143"/>
    <x v="4"/>
    <m/>
    <s v="2025-11-28"/>
    <s v="263382"/>
    <s v="Tushar Kanti Agarwala"/>
    <s v="8597190846"/>
  </r>
  <r>
    <s v="RCF Trombay"/>
    <s v="N.C.Urea(45kg)"/>
    <s v="WB"/>
    <x v="8"/>
    <s v="Balurghat"/>
    <s v="User Not Mapped"/>
    <s v="User Not Mapped"/>
    <s v="User Not Mapped"/>
    <n v="391327"/>
    <s v="M/S DEBNATH KRISHI BHANDAR"/>
    <s v="Private Retailer"/>
    <s v="8170949333"/>
    <n v="1.2150000000000001"/>
    <n v="62"/>
    <x v="6"/>
    <m/>
    <s v="2026-02-17"/>
    <s v="263382"/>
    <s v="Tushar Kanti Agarwala"/>
    <s v="8597190846"/>
  </r>
  <r>
    <s v="RCF Thal"/>
    <s v="N.C.Urea(45kg)"/>
    <s v="WB"/>
    <x v="8"/>
    <s v="Balurghat"/>
    <s v="User Not Mapped"/>
    <s v="User Not Mapped"/>
    <s v="User Not Mapped"/>
    <n v="391327"/>
    <s v="M/S DEBNATH KRISHI BHANDAR"/>
    <s v="Private Retailer"/>
    <s v="8170949333"/>
    <n v="1.575"/>
    <n v="25"/>
    <x v="5"/>
    <m/>
    <s v="2026-03-26"/>
    <s v="263382"/>
    <s v="Tushar Kanti Agarwala"/>
    <s v="8597190846"/>
  </r>
  <r>
    <s v="RCF Import"/>
    <s v="Imp 10-26-26"/>
    <s v="WB"/>
    <x v="8"/>
    <s v="Balurghat"/>
    <s v="User Not Mapped"/>
    <s v="User Not Mapped"/>
    <s v="User Not Mapped"/>
    <n v="391327"/>
    <s v="M/S DEBNATH KRISHI BHANDAR"/>
    <s v="Private Retailer"/>
    <s v="8170949333"/>
    <n v="0.75"/>
    <n v="62"/>
    <x v="6"/>
    <m/>
    <s v="2026-02-17"/>
    <s v="263382"/>
    <s v="Tushar Kanti Agarwala"/>
    <s v="8597190846"/>
  </r>
  <r>
    <s v="RCF Import"/>
    <s v="Imp 10-26-26"/>
    <s v="WB"/>
    <x v="8"/>
    <s v="Balurghat"/>
    <s v="User Not Mapped"/>
    <s v="User Not Mapped"/>
    <s v="User Not Mapped"/>
    <n v="391327"/>
    <s v="M/S DEBNATH KRISHI BHANDAR"/>
    <s v="Private Retailer"/>
    <s v="8170949333"/>
    <n v="0.75"/>
    <n v="65"/>
    <x v="6"/>
    <m/>
    <s v="2026-02-14"/>
    <s v="263382"/>
    <s v="Tushar Kanti Agarwala"/>
    <s v="8597190846"/>
  </r>
  <r>
    <s v="RCF Import"/>
    <s v="Imp 10-26-26"/>
    <s v="WB"/>
    <x v="8"/>
    <s v="Balurghat"/>
    <s v="User Not Mapped"/>
    <s v="User Not Mapped"/>
    <s v="User Not Mapped"/>
    <n v="391327"/>
    <s v="M/S DEBNATH KRISHI BHANDAR"/>
    <s v="Private Retailer"/>
    <s v="8170949333"/>
    <n v="0.5"/>
    <n v="48"/>
    <x v="3"/>
    <m/>
    <s v="2026-03-03"/>
    <s v="263382"/>
    <s v="Tushar Kanti Agarwala"/>
    <s v="8597190846"/>
  </r>
  <r>
    <s v="RCF Thal"/>
    <s v="N.C.Urea(45kg)"/>
    <s v="WB"/>
    <x v="8"/>
    <s v="Balurghat"/>
    <s v="User Not Mapped"/>
    <s v="User Not Mapped"/>
    <s v="User Not Mapped"/>
    <n v="391327"/>
    <s v="M/S DEBNATH KRISHI BHANDAR"/>
    <s v="Private Retailer"/>
    <s v="8170949333"/>
    <n v="2.0249999999999999"/>
    <n v="7"/>
    <x v="5"/>
    <m/>
    <s v="2026-04-13"/>
    <s v="263382"/>
    <s v="Tushar Kanti Agarwala"/>
    <s v="8597190846"/>
  </r>
  <r>
    <s v="RCF Trombay"/>
    <s v="N.C.Urea(45kg)"/>
    <s v="WB"/>
    <x v="8"/>
    <s v="Kushmundi"/>
    <s v="User Not Mapped"/>
    <s v="User Not Mapped"/>
    <s v="User Not Mapped"/>
    <n v="653518"/>
    <s v="M/S DHANALAKSHMI KRISHI SAR BH"/>
    <s v="Private Retailer"/>
    <s v="7719244770"/>
    <n v="4.5"/>
    <n v="131"/>
    <x v="4"/>
    <m/>
    <s v="2025-12-10"/>
    <s v="263382"/>
    <s v="Tushar Kanti Agarwala"/>
    <s v="8597190846"/>
  </r>
  <r>
    <s v="RCF Thal"/>
    <s v="N.C.Urea(45kg)"/>
    <s v="WB"/>
    <x v="8"/>
    <s v="Balurghat"/>
    <s v="User Not Mapped"/>
    <s v="User Not Mapped"/>
    <s v="User Not Mapped"/>
    <n v="1201826"/>
    <s v="M/S DHANANJAY BHOWMIK"/>
    <s v="Private Retailer"/>
    <s v="8116219149"/>
    <n v="5.49"/>
    <n v="38"/>
    <x v="3"/>
    <m/>
    <s v="2026-03-13"/>
    <s v="263382"/>
    <s v="Tushar Kanti Agarwala"/>
    <s v="8597190846"/>
  </r>
  <r>
    <s v="RCF Thal"/>
    <s v="N.C.Urea(45kg)"/>
    <s v="WB"/>
    <x v="8"/>
    <s v="Balurghat"/>
    <s v="User Not Mapped"/>
    <s v="User Not Mapped"/>
    <s v="User Not Mapped"/>
    <n v="925176"/>
    <s v="M/S DILIP KUMAR PAUL"/>
    <s v="Private Retailer"/>
    <s v="9593608282"/>
    <n v="7.65"/>
    <n v="38"/>
    <x v="3"/>
    <m/>
    <s v="2026-03-13"/>
    <s v="263382"/>
    <s v="Tushar Kanti Agarwala"/>
    <s v="8597190846"/>
  </r>
  <r>
    <s v="RCF Import"/>
    <s v="Imp 10-26-26"/>
    <s v="WB"/>
    <x v="8"/>
    <s v="Balurghat"/>
    <s v="User Not Mapped"/>
    <s v="User Not Mapped"/>
    <s v="User Not Mapped"/>
    <n v="925176"/>
    <s v="M/S DILIP KUMAR PAUL"/>
    <s v="Private Retailer"/>
    <s v="9593608282"/>
    <n v="1"/>
    <n v="59"/>
    <x v="3"/>
    <m/>
    <s v="2026-02-20"/>
    <s v="263382"/>
    <s v="Tushar Kanti Agarwala"/>
    <s v="8597190846"/>
  </r>
  <r>
    <s v="RCF Thal"/>
    <s v="N.C.Urea(45kg)"/>
    <s v="WB"/>
    <x v="8"/>
    <s v="Balurghat"/>
    <s v="User Not Mapped"/>
    <s v="User Not Mapped"/>
    <s v="User Not Mapped"/>
    <n v="925176"/>
    <s v="M/S DILIP KUMAR PAUL"/>
    <s v="Private Retailer"/>
    <s v="9593608282"/>
    <n v="0.9"/>
    <n v="6"/>
    <x v="5"/>
    <m/>
    <s v="2026-04-14"/>
    <s v="263382"/>
    <s v="Tushar Kanti Agarwala"/>
    <s v="8597190846"/>
  </r>
  <r>
    <s v="RCF Thal"/>
    <s v="N.C.Urea(45kg)"/>
    <s v="WB"/>
    <x v="8"/>
    <s v="Balurghat"/>
    <s v="User Not Mapped"/>
    <s v="User Not Mapped"/>
    <s v="User Not Mapped"/>
    <n v="925176"/>
    <s v="M/S DILIP KUMAR PAUL"/>
    <s v="Private Retailer"/>
    <s v="9593608282"/>
    <n v="1.8"/>
    <n v="7"/>
    <x v="5"/>
    <m/>
    <s v="2026-04-13"/>
    <s v="263382"/>
    <s v="Tushar Kanti Agarwala"/>
    <s v="8597190846"/>
  </r>
  <r>
    <s v="RCF Thal"/>
    <s v="N.C.Urea(45kg)"/>
    <s v="WB"/>
    <x v="8"/>
    <s v="Balurghat"/>
    <s v="User Not Mapped"/>
    <s v="User Not Mapped"/>
    <s v="User Not Mapped"/>
    <n v="925176"/>
    <s v="M/S DILIP KUMAR PAUL"/>
    <s v="Private Retailer"/>
    <s v="9593608282"/>
    <n v="0.9"/>
    <n v="25"/>
    <x v="5"/>
    <m/>
    <s v="2026-03-26"/>
    <s v="263382"/>
    <s v="Tushar Kanti Agarwala"/>
    <s v="8597190846"/>
  </r>
  <r>
    <s v="RCF Thal"/>
    <s v="N.C.Urea(45kg)"/>
    <s v="WB"/>
    <x v="8"/>
    <s v="Balurghat"/>
    <s v="User Not Mapped"/>
    <s v="User Not Mapped"/>
    <s v="User Not Mapped"/>
    <n v="925176"/>
    <s v="M/S DILIP KUMAR PAUL"/>
    <s v="Private Retailer"/>
    <s v="9593608282"/>
    <n v="0.67500000000000004"/>
    <n v="26"/>
    <x v="5"/>
    <m/>
    <s v="2026-03-25"/>
    <s v="263382"/>
    <s v="Tushar Kanti Agarwala"/>
    <s v="8597190846"/>
  </r>
  <r>
    <s v="RCF Import"/>
    <s v="Imp 10-26-26"/>
    <s v="WB"/>
    <x v="8"/>
    <s v="Balurghat"/>
    <s v="User Not Mapped"/>
    <s v="User Not Mapped"/>
    <s v="User Not Mapped"/>
    <n v="925176"/>
    <s v="M/S DILIP KUMAR PAUL"/>
    <s v="Private Retailer"/>
    <s v="9593608282"/>
    <n v="1.25"/>
    <n v="62"/>
    <x v="6"/>
    <m/>
    <s v="2026-02-17"/>
    <s v="263382"/>
    <s v="Tushar Kanti Agarwala"/>
    <s v="8597190846"/>
  </r>
  <r>
    <s v="RCF Import"/>
    <s v="Imp 10-26-26"/>
    <s v="WB"/>
    <x v="8"/>
    <s v="Balurghat"/>
    <s v="User Not Mapped"/>
    <s v="User Not Mapped"/>
    <s v="User Not Mapped"/>
    <n v="925176"/>
    <s v="M/S DILIP KUMAR PAUL"/>
    <s v="Private Retailer"/>
    <s v="9593608282"/>
    <n v="0.5"/>
    <n v="65"/>
    <x v="6"/>
    <m/>
    <s v="2026-02-14"/>
    <s v="263382"/>
    <s v="Tushar Kanti Agarwala"/>
    <s v="8597190846"/>
  </r>
  <r>
    <s v="RCF Import"/>
    <s v="Imp 10-26-26"/>
    <s v="WB"/>
    <x v="8"/>
    <s v="Balurghat"/>
    <s v="User Not Mapped"/>
    <s v="User Not Mapped"/>
    <s v="User Not Mapped"/>
    <n v="925176"/>
    <s v="M/S DILIP KUMAR PAUL"/>
    <s v="Private Retailer"/>
    <s v="9593608282"/>
    <n v="2.5"/>
    <n v="73"/>
    <x v="6"/>
    <m/>
    <s v="2026-02-06"/>
    <s v="263382"/>
    <s v="Tushar Kanti Agarwala"/>
    <s v="8597190846"/>
  </r>
  <r>
    <s v="RCF Import"/>
    <s v="Imp 10-26-26"/>
    <s v="WB"/>
    <x v="8"/>
    <s v="Balurghat"/>
    <s v="User Not Mapped"/>
    <s v="User Not Mapped"/>
    <s v="User Not Mapped"/>
    <n v="925176"/>
    <s v="M/S DILIP KUMAR PAUL"/>
    <s v="Private Retailer"/>
    <s v="9593608282"/>
    <n v="1.5"/>
    <n v="48"/>
    <x v="3"/>
    <m/>
    <s v="2026-03-03"/>
    <s v="263382"/>
    <s v="Tushar Kanti Agarwala"/>
    <s v="8597190846"/>
  </r>
  <r>
    <s v="RCF Trombay"/>
    <s v="15-15-15"/>
    <s v="WB"/>
    <x v="8"/>
    <s v="Kumarganj"/>
    <s v="User Not Mapped"/>
    <s v="User Not Mapped"/>
    <s v="User Not Mapped"/>
    <n v="216485"/>
    <s v="M/S DIPAK KUMAR SAHA"/>
    <s v="Private Retailer"/>
    <s v="9800657320"/>
    <n v="0.8"/>
    <n v="124"/>
    <x v="4"/>
    <m/>
    <s v="2025-12-17"/>
    <s v="263382"/>
    <s v="Tushar Kanti Agarwala"/>
    <s v="8597190846"/>
  </r>
  <r>
    <s v="RCF Trombay"/>
    <s v="N.C.Urea(45kg)"/>
    <s v="WB"/>
    <x v="8"/>
    <s v="Gangarampur"/>
    <s v="User Not Mapped"/>
    <s v="User Not Mapped"/>
    <s v="User Not Mapped"/>
    <n v="994794"/>
    <s v="M/S DIPU DEB SHRMA"/>
    <s v="Private Retailer"/>
    <s v="9593872884"/>
    <n v="5.1749999999999998"/>
    <n v="115"/>
    <x v="7"/>
    <m/>
    <s v="2025-12-26"/>
    <s v="263382"/>
    <s v="Tushar Kanti Agarwala"/>
    <s v="8597190846"/>
  </r>
  <r>
    <s v="RCF Thal"/>
    <s v="N.C.Urea(45kg)"/>
    <s v="WB"/>
    <x v="8"/>
    <s v="Balurghat"/>
    <s v="User Not Mapped"/>
    <s v="User Not Mapped"/>
    <s v="User Not Mapped"/>
    <n v="391551"/>
    <s v="M/S Gopal Krishna Samajder"/>
    <s v="Private Retailer"/>
    <s v="8145810280"/>
    <n v="4.4999999999999998E-2"/>
    <n v="7"/>
    <x v="5"/>
    <m/>
    <s v="2026-04-13"/>
    <s v="263382"/>
    <s v="Tushar Kanti Agarwala"/>
    <s v="8597190846"/>
  </r>
  <r>
    <s v="RCF Thal"/>
    <s v="N.C.Urea(45kg)"/>
    <s v="WB"/>
    <x v="8"/>
    <s v="Balurghat"/>
    <s v="User Not Mapped"/>
    <s v="User Not Mapped"/>
    <s v="User Not Mapped"/>
    <n v="1036196"/>
    <s v="M/S GOPESH CHANDRA BARMAN"/>
    <s v="Private Retailer"/>
    <s v="9800834839"/>
    <n v="1.62"/>
    <n v="62"/>
    <x v="6"/>
    <m/>
    <s v="2026-02-17"/>
    <s v="263382"/>
    <s v="Tushar Kanti Agarwala"/>
    <s v="8597190846"/>
  </r>
  <r>
    <s v="RCF Thal"/>
    <s v="N.C.Urea(45kg)"/>
    <s v="WB"/>
    <x v="8"/>
    <s v="Kumarganj"/>
    <s v="User Not Mapped"/>
    <s v="User Not Mapped"/>
    <s v="User Not Mapped"/>
    <n v="946810"/>
    <s v="M/S HOSSAIN SAR BHANDAR"/>
    <s v="Private Retailer"/>
    <s v="8906776849"/>
    <n v="11.25"/>
    <n v="124"/>
    <x v="4"/>
    <m/>
    <s v="2025-12-17"/>
    <s v="263382"/>
    <s v="Tushar Kanti Agarwala"/>
    <s v="8597190846"/>
  </r>
  <r>
    <s v="RCF Thal"/>
    <s v="N.C.Urea(45kg)"/>
    <s v="WB"/>
    <x v="8"/>
    <s v="Gangarampur"/>
    <s v="User Not Mapped"/>
    <s v="User Not Mapped"/>
    <s v="User Not Mapped"/>
    <n v="995010"/>
    <s v="M/S ISLAM FERTILIZER"/>
    <s v="Private Retailer"/>
    <s v="9733281851"/>
    <n v="14.625"/>
    <n v="161"/>
    <x v="4"/>
    <m/>
    <s v="2025-11-10"/>
    <s v="263382"/>
    <s v="Tushar Kanti Agarwala"/>
    <s v="8597190846"/>
  </r>
  <r>
    <s v="RCF Thal"/>
    <s v="N.C.Urea(45kg)"/>
    <s v="WB"/>
    <x v="8"/>
    <s v="Kushmundi"/>
    <s v="User Not Mapped"/>
    <s v="User Not Mapped"/>
    <s v="User Not Mapped"/>
    <n v="1505560"/>
    <s v="M/S Kabier Fertilizer"/>
    <s v="Private Retailer"/>
    <s v="7797252030"/>
    <n v="1.575"/>
    <n v="100"/>
    <x v="7"/>
    <m/>
    <s v="2026-01-10"/>
    <s v="263382"/>
    <s v="Tushar Kanti Agarwala"/>
    <s v="8597190846"/>
  </r>
  <r>
    <s v="RCF Thal"/>
    <s v="N.C.Urea(45kg)"/>
    <s v="WB"/>
    <x v="8"/>
    <s v="Gangarampur"/>
    <s v="User Not Mapped"/>
    <s v="User Not Mapped"/>
    <s v="User Not Mapped"/>
    <n v="654157"/>
    <s v="M/S KALAMUL ISLAM"/>
    <s v="Private Retailer"/>
    <s v="7797246221"/>
    <n v="2.4630000000000001"/>
    <n v="90"/>
    <x v="6"/>
    <m/>
    <s v="2026-01-20"/>
    <s v="263382"/>
    <s v="Tushar Kanti Agarwala"/>
    <s v="8597190846"/>
  </r>
  <r>
    <s v="RCF Thal"/>
    <s v="N.C.Urea(45kg)"/>
    <s v="WB"/>
    <x v="8"/>
    <s v="Gangarampur"/>
    <s v="User Not Mapped"/>
    <s v="User Not Mapped"/>
    <s v="User Not Mapped"/>
    <n v="654157"/>
    <s v="M/S KALAMUL ISLAM"/>
    <s v="Private Retailer"/>
    <s v="7797246221"/>
    <n v="11.25"/>
    <n v="38"/>
    <x v="3"/>
    <m/>
    <s v="2026-03-13"/>
    <s v="263382"/>
    <s v="Tushar Kanti Agarwala"/>
    <s v="8597190846"/>
  </r>
  <r>
    <s v="RCF Trombay"/>
    <s v="N.C.Urea(45kg)"/>
    <s v="WB"/>
    <x v="8"/>
    <s v="Gangarampur"/>
    <s v="User Not Mapped"/>
    <s v="User Not Mapped"/>
    <s v="User Not Mapped"/>
    <n v="654157"/>
    <s v="M/S KALAMUL ISLAM"/>
    <s v="Private Retailer"/>
    <s v="7797246221"/>
    <n v="5.3170000000000002"/>
    <n v="149"/>
    <x v="4"/>
    <m/>
    <s v="2025-11-22"/>
    <s v="263382"/>
    <s v="Tushar Kanti Agarwala"/>
    <s v="8597190846"/>
  </r>
  <r>
    <s v="RCF Thal"/>
    <s v="N.C.Urea(45kg)"/>
    <s v="WB"/>
    <x v="8"/>
    <s v="Kumarganj"/>
    <s v="User Not Mapped"/>
    <s v="User Not Mapped"/>
    <s v="User Not Mapped"/>
    <n v="947632"/>
    <s v="M/S KHARAJUL MONDAL"/>
    <s v="Private Retailer"/>
    <s v="9474434079"/>
    <n v="6.8849999999999998"/>
    <n v="38"/>
    <x v="3"/>
    <m/>
    <s v="2026-03-13"/>
    <s v="263382"/>
    <s v="Tushar Kanti Agarwala"/>
    <s v="8597190846"/>
  </r>
  <r>
    <s v="RCF Trombay"/>
    <s v="15-15-15"/>
    <s v="WB"/>
    <x v="8"/>
    <s v="Gangarampur"/>
    <s v="User Not Mapped"/>
    <s v="User Not Mapped"/>
    <s v="User Not Mapped"/>
    <n v="653530"/>
    <s v="M/S KRISHNA FERTILIZER"/>
    <s v="Private Retailer"/>
    <s v="9593760051"/>
    <n v="0.55000000000000004"/>
    <n v="234"/>
    <x v="1"/>
    <m/>
    <s v="2025-08-29"/>
    <s v="263382"/>
    <s v="Tushar Kanti Agarwala"/>
    <s v="8597190846"/>
  </r>
  <r>
    <s v="RCF Thal"/>
    <s v="N.C.Urea(45kg)"/>
    <s v="WB"/>
    <x v="8"/>
    <m/>
    <s v="User Not Mapped"/>
    <s v="User Not Mapped"/>
    <s v="User Not Mapped"/>
    <n v="1402186"/>
    <s v="M/S LAXMI BHANDAR "/>
    <s v="Private Retailer"/>
    <s v="9800337589"/>
    <n v="1.35"/>
    <n v="9"/>
    <x v="5"/>
    <m/>
    <s v="2026-04-11"/>
    <s v="263382"/>
    <s v="Tushar Kanti Agarwala"/>
    <s v="8597190846"/>
  </r>
  <r>
    <s v="RCF Thal"/>
    <s v="N.C.Urea(45kg)"/>
    <s v="WB"/>
    <x v="8"/>
    <m/>
    <s v="User Not Mapped"/>
    <s v="User Not Mapped"/>
    <s v="User Not Mapped"/>
    <n v="1402186"/>
    <s v="M/S LAXMI BHANDAR "/>
    <s v="Private Retailer"/>
    <s v="9800337589"/>
    <n v="0.67500000000000004"/>
    <n v="26"/>
    <x v="5"/>
    <m/>
    <s v="2026-03-25"/>
    <s v="263382"/>
    <s v="Tushar Kanti Agarwala"/>
    <s v="8597190846"/>
  </r>
  <r>
    <s v="RCF Thal"/>
    <s v="N.C.Urea(45kg)"/>
    <s v="WB"/>
    <x v="8"/>
    <m/>
    <s v="User Not Mapped"/>
    <s v="User Not Mapped"/>
    <s v="User Not Mapped"/>
    <n v="1402186"/>
    <s v="M/S LAXMI BHANDAR "/>
    <s v="Private Retailer"/>
    <s v="9800337589"/>
    <n v="2.7"/>
    <n v="25"/>
    <x v="5"/>
    <m/>
    <s v="2026-03-26"/>
    <s v="263382"/>
    <s v="Tushar Kanti Agarwala"/>
    <s v="8597190846"/>
  </r>
  <r>
    <s v="RCF Thal"/>
    <s v="N.C.Urea(45kg)"/>
    <s v="WB"/>
    <x v="8"/>
    <s v="Balurghat"/>
    <s v="User Not Mapped"/>
    <s v="User Not Mapped"/>
    <s v="User Not Mapped"/>
    <n v="659912"/>
    <s v="M/S LAXMI NARAYAN SAR BHANDAR"/>
    <s v="Private Retailer"/>
    <s v="9734155356"/>
    <n v="36.270000000000003"/>
    <n v="38"/>
    <x v="3"/>
    <m/>
    <s v="2026-03-13"/>
    <s v="263382"/>
    <s v="Tushar Kanti Agarwala"/>
    <s v="8597190846"/>
  </r>
  <r>
    <s v="RCF Import"/>
    <s v="MOP"/>
    <s v="WB"/>
    <x v="8"/>
    <s v="Balurghat"/>
    <s v="User Not Mapped"/>
    <s v="User Not Mapped"/>
    <s v="User Not Mapped"/>
    <n v="659912"/>
    <s v="M/S LAXMI NARAYAN SAR BHANDAR"/>
    <s v="Private Retailer"/>
    <s v="9734155356"/>
    <n v="0.75"/>
    <n v="230"/>
    <x v="1"/>
    <m/>
    <s v="2025-09-02"/>
    <s v="263382"/>
    <s v="Tushar Kanti Agarwala"/>
    <s v="8597190846"/>
  </r>
  <r>
    <s v="RCF Thal"/>
    <s v="N.C.Urea(45kg)"/>
    <s v="WB"/>
    <x v="8"/>
    <s v="Balurghat"/>
    <s v="User Not Mapped"/>
    <s v="User Not Mapped"/>
    <s v="User Not Mapped"/>
    <n v="659912"/>
    <s v="M/S LAXMI NARAYAN SAR BHANDAR"/>
    <s v="Private Retailer"/>
    <s v="9734155356"/>
    <n v="0.36"/>
    <n v="62"/>
    <x v="6"/>
    <m/>
    <s v="2026-02-17"/>
    <s v="263382"/>
    <s v="Tushar Kanti Agarwala"/>
    <s v="8597190846"/>
  </r>
  <r>
    <s v="RCF Thal"/>
    <s v="N.C.Urea(45kg)"/>
    <s v="WB"/>
    <x v="8"/>
    <s v="Gangarampur"/>
    <s v="User Not Mapped"/>
    <s v="User Not Mapped"/>
    <s v="User Not Mapped"/>
    <n v="1333350"/>
    <s v="M/S MA LAXMI KRISHI BHANDAR"/>
    <s v="Private Retailer"/>
    <s v="9734545373"/>
    <n v="10.215"/>
    <n v="145"/>
    <x v="4"/>
    <m/>
    <s v="2025-11-26"/>
    <s v="263382"/>
    <s v="Tushar Kanti Agarwala"/>
    <s v="8597190846"/>
  </r>
  <r>
    <s v="RCF Thal"/>
    <s v="N.C.Urea(45kg)"/>
    <s v="WB"/>
    <x v="8"/>
    <s v="Bansihari"/>
    <s v="User Not Mapped"/>
    <s v="User Not Mapped"/>
    <s v="User Not Mapped"/>
    <n v="1231913"/>
    <s v="M/S MANGAL SARKAR"/>
    <s v="Private Retailer"/>
    <s v="9641963596"/>
    <n v="6.165"/>
    <n v="143"/>
    <x v="4"/>
    <m/>
    <s v="2025-11-28"/>
    <s v="263382"/>
    <s v="Tushar Kanti Agarwala"/>
    <s v="8597190846"/>
  </r>
  <r>
    <s v="RCF Thal"/>
    <s v="N.C.Urea(45kg)"/>
    <s v="WB"/>
    <x v="8"/>
    <s v="Kushmundi"/>
    <s v="User Not Mapped"/>
    <s v="User Not Mapped"/>
    <s v="User Not Mapped"/>
    <n v="1102252"/>
    <s v="M/S POPULER FERT. AGENCY"/>
    <s v="Private Retailer"/>
    <s v="9609773614"/>
    <n v="0.45"/>
    <n v="403"/>
    <x v="0"/>
    <m/>
    <s v="2025-03-13"/>
    <s v="263382"/>
    <s v="Tushar Kanti Agarwala"/>
    <s v="8597190846"/>
  </r>
  <r>
    <s v="RCF Thal"/>
    <s v="N.C.Urea(45kg)"/>
    <s v="WB"/>
    <x v="8"/>
    <s v="Balurghat"/>
    <s v="User Not Mapped"/>
    <s v="User Not Mapped"/>
    <s v="User Not Mapped"/>
    <n v="659908"/>
    <s v="M/S REKHA SAR BHANDER"/>
    <s v="Private Retailer"/>
    <s v="8617507337"/>
    <n v="0.67500000000000004"/>
    <n v="82"/>
    <x v="6"/>
    <m/>
    <s v="2026-01-28"/>
    <s v="263382"/>
    <s v="Tushar Kanti Agarwala"/>
    <s v="8597190846"/>
  </r>
  <r>
    <s v="RCF Trombay"/>
    <s v="N.C.Urea(45kg)"/>
    <s v="WB"/>
    <x v="8"/>
    <s v="Balurghat"/>
    <s v="User Not Mapped"/>
    <s v="User Not Mapped"/>
    <s v="User Not Mapped"/>
    <n v="659908"/>
    <s v="M/S REKHA SAR BHANDER"/>
    <s v="Private Retailer"/>
    <s v="8617507337"/>
    <n v="0.67500000000000004"/>
    <n v="65"/>
    <x v="6"/>
    <m/>
    <s v="2026-02-14"/>
    <s v="263382"/>
    <s v="Tushar Kanti Agarwala"/>
    <s v="8597190846"/>
  </r>
  <r>
    <s v="RCF Trombay"/>
    <s v="N.C.Urea(45kg)"/>
    <s v="WB"/>
    <x v="8"/>
    <s v="Balurghat"/>
    <s v="User Not Mapped"/>
    <s v="User Not Mapped"/>
    <s v="User Not Mapped"/>
    <n v="659908"/>
    <s v="M/S REKHA SAR BHANDER"/>
    <s v="Private Retailer"/>
    <s v="8617507337"/>
    <n v="1.8"/>
    <n v="62"/>
    <x v="6"/>
    <m/>
    <s v="2026-02-17"/>
    <s v="263382"/>
    <s v="Tushar Kanti Agarwala"/>
    <s v="8597190846"/>
  </r>
  <r>
    <s v="RCF Thal"/>
    <s v="N.C.Urea(45kg)"/>
    <s v="WB"/>
    <x v="8"/>
    <s v="Balurghat"/>
    <s v="User Not Mapped"/>
    <s v="User Not Mapped"/>
    <s v="User Not Mapped"/>
    <n v="659908"/>
    <s v="M/S REKHA SAR BHANDER"/>
    <s v="Private Retailer"/>
    <s v="8617507337"/>
    <n v="1.35"/>
    <n v="25"/>
    <x v="5"/>
    <m/>
    <s v="2026-03-26"/>
    <s v="263382"/>
    <s v="Tushar Kanti Agarwala"/>
    <s v="8597190846"/>
  </r>
  <r>
    <s v="RCF Thal"/>
    <s v="N.C.Urea(45kg)"/>
    <s v="WB"/>
    <x v="8"/>
    <s v="Tapan"/>
    <s v="User Not Mapped"/>
    <s v="User Not Mapped"/>
    <s v="User Not Mapped"/>
    <n v="340388"/>
    <s v="M/S SABUJ FERTILIZER"/>
    <s v="Private Retailer"/>
    <s v="9733137610"/>
    <n v="24.975000000000001"/>
    <n v="46"/>
    <x v="3"/>
    <m/>
    <s v="2026-03-05"/>
    <s v="263382"/>
    <s v="Tushar Kanti Agarwala"/>
    <s v="8597190846"/>
  </r>
  <r>
    <s v="RCF Thal"/>
    <s v="N.C.Urea(45kg)"/>
    <s v="WB"/>
    <x v="8"/>
    <s v="Tapan"/>
    <s v="User Not Mapped"/>
    <s v="User Not Mapped"/>
    <s v="User Not Mapped"/>
    <n v="848378"/>
    <s v="M/S SARKAR FERTILIZER"/>
    <s v="Private Retailer"/>
    <s v="9679420161"/>
    <n v="11.25"/>
    <n v="161"/>
    <x v="4"/>
    <m/>
    <s v="2025-11-10"/>
    <s v="263382"/>
    <s v="Tushar Kanti Agarwala"/>
    <s v="8597190846"/>
  </r>
  <r>
    <s v="RCF Import"/>
    <s v="MOP"/>
    <s v="WB"/>
    <x v="8"/>
    <s v="Balurghat"/>
    <s v="User Not Mapped"/>
    <s v="User Not Mapped"/>
    <s v="User Not Mapped"/>
    <n v="1368098"/>
    <s v="M/S SHREE KRISHNA SAR VANDAR  "/>
    <s v="Private Retailer"/>
    <s v="8100153808"/>
    <n v="0.75"/>
    <n v="244"/>
    <x v="1"/>
    <m/>
    <s v="2025-08-19"/>
    <s v="263382"/>
    <s v="Tushar Kanti Agarwala"/>
    <s v="8597190846"/>
  </r>
  <r>
    <s v="RCF Trombay"/>
    <s v="N.C.Urea(45kg)"/>
    <s v="WB"/>
    <x v="8"/>
    <s v="Balurghat"/>
    <s v="User Not Mapped"/>
    <s v="User Not Mapped"/>
    <s v="User Not Mapped"/>
    <n v="391577"/>
    <s v="M/S SURESH DEBNATH"/>
    <s v="Private Retailer"/>
    <s v="7602222620"/>
    <n v="5.625"/>
    <n v="133"/>
    <x v="4"/>
    <m/>
    <s v="2025-12-08"/>
    <s v="263382"/>
    <s v="Tushar Kanti Agarwala"/>
    <s v="8597190846"/>
  </r>
  <r>
    <s v="RCF Thal"/>
    <s v="N.C.Urea(45kg)"/>
    <s v="WB"/>
    <x v="8"/>
    <s v="Kumarganj"/>
    <s v="User Not Mapped"/>
    <s v="User Not Mapped"/>
    <s v="User Not Mapped"/>
    <n v="216452"/>
    <s v="M/S. AMCHERALI MONDAL N AMAJUL"/>
    <s v="Private Retailer"/>
    <s v="9735080739"/>
    <n v="5.7149999999999999"/>
    <n v="164"/>
    <x v="4"/>
    <m/>
    <s v="2025-11-07"/>
    <s v="263382"/>
    <s v="Tushar Kanti Agarwala"/>
    <s v="8597190846"/>
  </r>
  <r>
    <s v="RCF Trombay"/>
    <s v="15-15-15"/>
    <s v="WB"/>
    <x v="8"/>
    <s v="Kumarganj"/>
    <s v="User Not Mapped"/>
    <s v="User Not Mapped"/>
    <s v="User Not Mapped"/>
    <n v="251667"/>
    <s v="M/S. AMJAD MONDAL"/>
    <s v="Private Retailer"/>
    <s v="9851743854"/>
    <n v="1.4"/>
    <n v="157"/>
    <x v="4"/>
    <m/>
    <s v="2025-11-14"/>
    <s v="263382"/>
    <s v="Tushar Kanti Agarwala"/>
    <s v="8597190846"/>
  </r>
  <r>
    <s v="RCF Trombay"/>
    <s v="N.C.Urea(45kg)"/>
    <s v="WB"/>
    <x v="8"/>
    <s v="Kumarganj"/>
    <s v="User Not Mapped"/>
    <s v="User Not Mapped"/>
    <s v="User Not Mapped"/>
    <n v="251667"/>
    <s v="M/S. AMJAD MONDAL"/>
    <s v="Private Retailer"/>
    <s v="9851743854"/>
    <n v="6.75"/>
    <n v="124"/>
    <x v="4"/>
    <m/>
    <s v="2025-12-17"/>
    <s v="263382"/>
    <s v="Tushar Kanti Agarwala"/>
    <s v="8597190846"/>
  </r>
  <r>
    <s v="RCF Thal"/>
    <s v="N.C.Urea(45kg)"/>
    <s v="WB"/>
    <x v="8"/>
    <s v="Balurghat"/>
    <s v="User Not Mapped"/>
    <s v="User Not Mapped"/>
    <s v="User Not Mapped"/>
    <n v="1402212"/>
    <s v="M/S. AMRIT MONDAL"/>
    <s v="Private Retailer"/>
    <s v="8972330652"/>
    <n v="0.18"/>
    <n v="7"/>
    <x v="5"/>
    <m/>
    <s v="2026-04-13"/>
    <s v="263382"/>
    <s v="Tushar Kanti Agarwala"/>
    <s v="8597190846"/>
  </r>
  <r>
    <s v="RCF Trombay"/>
    <s v="15-15-15"/>
    <s v="WB"/>
    <x v="8"/>
    <s v="Tapan"/>
    <s v="User Not Mapped"/>
    <s v="User Not Mapped"/>
    <s v="User Not Mapped"/>
    <n v="658029"/>
    <s v="M/S. BIPUL BARMAN"/>
    <s v="Private Retailer"/>
    <s v="9800163689"/>
    <n v="0.05"/>
    <n v="255"/>
    <x v="1"/>
    <m/>
    <s v="2025-08-08"/>
    <s v="263382"/>
    <s v="Tushar Kanti Agarwala"/>
    <s v="8597190846"/>
  </r>
  <r>
    <s v="RCF Thal"/>
    <s v="N.C.Urea(45kg)"/>
    <s v="WB"/>
    <x v="8"/>
    <s v="Tapan"/>
    <s v="User Not Mapped"/>
    <s v="User Not Mapped"/>
    <s v="User Not Mapped"/>
    <n v="658029"/>
    <s v="M/S. BIPUL BARMAN"/>
    <s v="Private Retailer"/>
    <s v="9800163689"/>
    <n v="4.6349999999999998"/>
    <n v="164"/>
    <x v="4"/>
    <m/>
    <s v="2025-11-07"/>
    <s v="263382"/>
    <s v="Tushar Kanti Agarwala"/>
    <s v="8597190846"/>
  </r>
  <r>
    <s v="RCF Thal"/>
    <s v="N.C.Urea(45kg)"/>
    <s v="WB"/>
    <x v="8"/>
    <s v="Harirampur"/>
    <s v="User Not Mapped"/>
    <s v="User Not Mapped"/>
    <s v="User Not Mapped"/>
    <n v="654385"/>
    <s v="M/S. FARUK HOSSAIN"/>
    <s v="Private Retailer"/>
    <s v="7001425100"/>
    <n v="5.625"/>
    <n v="62"/>
    <x v="6"/>
    <m/>
    <s v="2026-02-17"/>
    <s v="263382"/>
    <s v="Tushar Kanti Agarwala"/>
    <s v="8597190846"/>
  </r>
  <r>
    <s v="RCF Thal"/>
    <s v="N.C.Urea(45kg)"/>
    <s v="WB"/>
    <x v="8"/>
    <s v="Harirampur"/>
    <s v="User Not Mapped"/>
    <s v="User Not Mapped"/>
    <s v="User Not Mapped"/>
    <n v="654385"/>
    <s v="M/S. FARUK HOSSAIN"/>
    <s v="Private Retailer"/>
    <s v="7001425100"/>
    <n v="5.22"/>
    <n v="168"/>
    <x v="4"/>
    <m/>
    <s v="2025-11-03"/>
    <s v="263382"/>
    <s v="Tushar Kanti Agarwala"/>
    <s v="8597190846"/>
  </r>
  <r>
    <s v="RCF Thal"/>
    <s v="N.C.Urea(45kg)"/>
    <s v="WB"/>
    <x v="8"/>
    <s v="Harirampur"/>
    <s v="User Not Mapped"/>
    <s v="User Not Mapped"/>
    <s v="User Not Mapped"/>
    <n v="917417"/>
    <s v="M/S. FIROJ ALAM"/>
    <s v="Private Retailer"/>
    <s v="8250908282"/>
    <n v="4.5"/>
    <n v="143"/>
    <x v="4"/>
    <m/>
    <s v="2025-11-28"/>
    <s v="263382"/>
    <s v="Tushar Kanti Agarwala"/>
    <s v="8597190846"/>
  </r>
  <r>
    <s v="RCF Thal"/>
    <s v="N.C.Urea(45kg)"/>
    <s v="WB"/>
    <x v="8"/>
    <s v="Kushmundi"/>
    <s v="User Not Mapped"/>
    <s v="User Not Mapped"/>
    <s v="User Not Mapped"/>
    <n v="768128"/>
    <s v="M/S. JIBAN KR SEN"/>
    <s v="Private Retailer"/>
    <s v="9434144964"/>
    <n v="11.25"/>
    <n v="38"/>
    <x v="3"/>
    <m/>
    <s v="2026-03-13"/>
    <s v="263382"/>
    <s v="Tushar Kanti Agarwala"/>
    <s v="8597190846"/>
  </r>
  <r>
    <s v="RCF Trombay"/>
    <s v="15-15-15"/>
    <s v="WB"/>
    <x v="8"/>
    <s v="Harirampur"/>
    <s v="User Not Mapped"/>
    <s v="User Not Mapped"/>
    <s v="User Not Mapped"/>
    <n v="1219849"/>
    <s v="M/S. MAKSEDUR RAHAMAN"/>
    <s v="Private Retailer"/>
    <s v="9734958828"/>
    <n v="0.2"/>
    <n v="179"/>
    <x v="4"/>
    <m/>
    <s v="2025-10-23"/>
    <s v="263382"/>
    <s v="Tushar Kanti Agarwala"/>
    <s v="8597190846"/>
  </r>
  <r>
    <s v="RCF Thal"/>
    <s v="N.C.Urea(45kg)"/>
    <s v="WB"/>
    <x v="8"/>
    <s v="Bansihari"/>
    <s v="User Not Mapped"/>
    <s v="User Not Mapped"/>
    <s v="User Not Mapped"/>
    <n v="1449903"/>
    <s v="M/S. MANDAL FERTILIZER A PESTI"/>
    <s v="Private Retailer"/>
    <s v="7872240759"/>
    <n v="0.85499999999999998"/>
    <n v="499"/>
    <x v="0"/>
    <m/>
    <s v="2024-12-07"/>
    <s v="263382"/>
    <s v="Tushar Kanti Agarwala"/>
    <s v="8597190846"/>
  </r>
  <r>
    <s v="RCF Thal"/>
    <s v="N.C.Urea(45kg)"/>
    <s v="WB"/>
    <x v="8"/>
    <s v="Tapan"/>
    <s v="User Not Mapped"/>
    <s v="User Not Mapped"/>
    <s v="User Not Mapped"/>
    <n v="1500863"/>
    <s v="M/S. RADHA KRISHNA SAR BHANDAR"/>
    <s v="Private Retailer"/>
    <s v="8172075046"/>
    <n v="0.63"/>
    <n v="17"/>
    <x v="5"/>
    <m/>
    <s v="2026-04-03"/>
    <s v="263382"/>
    <s v="Tushar Kanti Agarwala"/>
    <s v="8597190846"/>
  </r>
  <r>
    <s v="RCF Thal"/>
    <s v="N.C.Urea(45kg)"/>
    <s v="WB"/>
    <x v="8"/>
    <s v="Tapan"/>
    <s v="User Not Mapped"/>
    <s v="User Not Mapped"/>
    <s v="User Not Mapped"/>
    <n v="861096"/>
    <s v="M/S. SAFIUDDIN SARKAR"/>
    <s v="Private Retailer"/>
    <s v="8927275009"/>
    <n v="11.25"/>
    <n v="38"/>
    <x v="3"/>
    <m/>
    <s v="2026-03-13"/>
    <s v="263382"/>
    <s v="Tushar Kanti Agarwala"/>
    <s v="8597190846"/>
  </r>
  <r>
    <s v="RCF Trombay"/>
    <s v="15-15-15"/>
    <s v="WB"/>
    <x v="8"/>
    <s v="Gangarampur"/>
    <s v="User Not Mapped"/>
    <s v="User Not Mapped"/>
    <s v="User Not Mapped"/>
    <n v="305687"/>
    <s v="M/S. SAYRAPUR S.K.U.S. LTD."/>
    <s v="State Marketing Federation"/>
    <s v="8016144181"/>
    <n v="8"/>
    <n v="167"/>
    <x v="4"/>
    <m/>
    <s v="2025-11-04"/>
    <s v="263382"/>
    <s v="Tushar Kanti Agarwala"/>
    <s v="8597190846"/>
  </r>
  <r>
    <s v="RCF Thal"/>
    <s v="N.C.Urea(45kg)"/>
    <s v="WB"/>
    <x v="8"/>
    <s v="Balurghat"/>
    <s v="User Not Mapped"/>
    <s v="User Not Mapped"/>
    <s v="User Not Mapped"/>
    <n v="391333"/>
    <s v="M/S. SUJIT DAS"/>
    <s v="Private Retailer"/>
    <s v="8101420553"/>
    <n v="0.27"/>
    <n v="6"/>
    <x v="5"/>
    <m/>
    <s v="2026-04-14"/>
    <s v="263382"/>
    <s v="Tushar Kanti Agarwala"/>
    <s v="8597190846"/>
  </r>
  <r>
    <s v="RCF Thal"/>
    <s v="N.C.Urea(45kg)"/>
    <s v="WB"/>
    <x v="8"/>
    <m/>
    <s v="User Not Mapped"/>
    <s v="User Not Mapped"/>
    <s v="User Not Mapped"/>
    <n v="946016"/>
    <s v="M/S. SUKHA RANJAN DAS"/>
    <s v="Private Retailer"/>
    <s v="9593625215"/>
    <n v="21.375"/>
    <n v="25"/>
    <x v="5"/>
    <m/>
    <s v="2026-03-26"/>
    <s v="263382"/>
    <s v="Tushar Kanti Agarwala"/>
    <s v="8597190846"/>
  </r>
  <r>
    <s v="RCF Trombay"/>
    <s v="15-15-15"/>
    <s v="WB"/>
    <x v="8"/>
    <s v="Balurghat"/>
    <s v="User Not Mapped"/>
    <s v="User Not Mapped"/>
    <s v="User Not Mapped"/>
    <n v="1444488"/>
    <s v="M/S.SUBHENDU MAHANTA"/>
    <s v="Private Retailer"/>
    <s v="9775885204"/>
    <n v="0.5"/>
    <n v="25"/>
    <x v="5"/>
    <m/>
    <s v="2026-03-26"/>
    <s v="263382"/>
    <s v="Tushar Kanti Agarwala"/>
    <s v="8597190846"/>
  </r>
  <r>
    <s v="RCF Trombay"/>
    <s v="15-15-15"/>
    <s v="WB"/>
    <x v="8"/>
    <s v="Balurghat"/>
    <s v="User Not Mapped"/>
    <s v="User Not Mapped"/>
    <s v="User Not Mapped"/>
    <n v="1444488"/>
    <s v="M/S.SUBHENDU MAHANTA"/>
    <s v="Private Retailer"/>
    <s v="9775885204"/>
    <n v="0.25"/>
    <n v="62"/>
    <x v="6"/>
    <m/>
    <s v="2026-02-17"/>
    <s v="263382"/>
    <s v="Tushar Kanti Agarwala"/>
    <s v="8597190846"/>
  </r>
  <r>
    <s v="RCF Thal"/>
    <s v="N.C.Urea(45kg)"/>
    <s v="WB"/>
    <x v="8"/>
    <s v="Balurghat"/>
    <s v="User Not Mapped"/>
    <s v="User Not Mapped"/>
    <s v="User Not Mapped"/>
    <n v="1444488"/>
    <s v="M/S.SUBHENDU MAHANTA"/>
    <s v="Private Retailer"/>
    <s v="9775885204"/>
    <n v="1.35"/>
    <n v="25"/>
    <x v="5"/>
    <m/>
    <s v="2026-03-26"/>
    <s v="263382"/>
    <s v="Tushar Kanti Agarwala"/>
    <s v="8597190846"/>
  </r>
  <r>
    <s v="RCF Import"/>
    <s v="Imp 10-26-26"/>
    <s v="WB"/>
    <x v="8"/>
    <s v="Balurghat"/>
    <s v="User Not Mapped"/>
    <s v="User Not Mapped"/>
    <s v="User Not Mapped"/>
    <n v="1444488"/>
    <s v="M/S.SUBHENDU MAHANTA"/>
    <s v="Private Retailer"/>
    <s v="9775885204"/>
    <n v="0.5"/>
    <n v="62"/>
    <x v="6"/>
    <m/>
    <s v="2026-02-17"/>
    <s v="263382"/>
    <s v="Tushar Kanti Agarwala"/>
    <s v="8597190846"/>
  </r>
  <r>
    <s v="RCF Thal"/>
    <s v="N.C.Urea(45kg)"/>
    <s v="WB"/>
    <x v="8"/>
    <s v="Kumarganj"/>
    <s v="User Not Mapped"/>
    <s v="User Not Mapped"/>
    <s v="User Not Mapped"/>
    <n v="1410476"/>
    <s v="MAA MANASA SAR BHANDAR"/>
    <s v="Private Retailer"/>
    <s v="8967579940"/>
    <n v="6.5250000000000004"/>
    <n v="129"/>
    <x v="4"/>
    <m/>
    <s v="2025-12-12"/>
    <s v="263382"/>
    <s v="Tushar Kanti Agarwala"/>
    <s v="8597190846"/>
  </r>
  <r>
    <s v="RCF Thal"/>
    <s v="N.C.Urea(45kg)"/>
    <s v="WB"/>
    <x v="8"/>
    <s v="Gangarampur"/>
    <s v="User Not Mapped"/>
    <s v="User Not Mapped"/>
    <s v="User Not Mapped"/>
    <n v="654393"/>
    <s v="MAA MANASHA FERTILIZER"/>
    <s v="Private Retailer"/>
    <s v="9547458417"/>
    <n v="10.8"/>
    <n v="90"/>
    <x v="6"/>
    <m/>
    <s v="2026-01-20"/>
    <s v="263382"/>
    <s v="Tushar Kanti Agarwala"/>
    <s v="8597190846"/>
  </r>
  <r>
    <s v="RCF Trombay"/>
    <s v="N.C.Urea(45kg)"/>
    <s v="WB"/>
    <x v="8"/>
    <s v="Balurghat"/>
    <s v="User Not Mapped"/>
    <s v="User Not Mapped"/>
    <s v="User Not Mapped"/>
    <n v="126538"/>
    <s v="MADHU CH  HORE"/>
    <s v="Private Retailer"/>
    <s v="6295487970"/>
    <n v="2.25"/>
    <n v="62"/>
    <x v="6"/>
    <m/>
    <s v="2026-02-17"/>
    <s v="263382"/>
    <s v="Tushar Kanti Agarwala"/>
    <s v="8597190846"/>
  </r>
  <r>
    <s v="RCF Trombay"/>
    <s v="15-15-15"/>
    <s v="WB"/>
    <x v="8"/>
    <s v="Balurghat"/>
    <s v="User Not Mapped"/>
    <s v="User Not Mapped"/>
    <s v="User Not Mapped"/>
    <n v="126538"/>
    <s v="MADHU CH  HORE"/>
    <s v="Private Retailer"/>
    <s v="6295487970"/>
    <n v="1.5"/>
    <n v="48"/>
    <x v="3"/>
    <m/>
    <s v="2026-03-03"/>
    <s v="263382"/>
    <s v="Tushar Kanti Agarwala"/>
    <s v="8597190846"/>
  </r>
  <r>
    <s v="RCF Thal"/>
    <s v="N.C.Urea(45kg)"/>
    <s v="WB"/>
    <x v="8"/>
    <s v="Balurghat"/>
    <s v="User Not Mapped"/>
    <s v="User Not Mapped"/>
    <s v="User Not Mapped"/>
    <n v="126538"/>
    <s v="MADHU CH  HORE"/>
    <s v="Private Retailer"/>
    <s v="6295487970"/>
    <n v="0.76500000000000001"/>
    <n v="384"/>
    <x v="0"/>
    <m/>
    <s v="2025-04-01"/>
    <s v="263382"/>
    <s v="Tushar Kanti Agarwala"/>
    <s v="8597190846"/>
  </r>
  <r>
    <s v="RCF Trombay"/>
    <s v="15-15-15"/>
    <s v="WB"/>
    <x v="8"/>
    <s v="Balurghat"/>
    <s v="User Not Mapped"/>
    <s v="User Not Mapped"/>
    <s v="User Not Mapped"/>
    <n v="126538"/>
    <s v="MADHU CH  HORE"/>
    <s v="Private Retailer"/>
    <s v="6295487970"/>
    <n v="0.4"/>
    <n v="82"/>
    <x v="6"/>
    <m/>
    <s v="2026-01-28"/>
    <s v="263382"/>
    <s v="Tushar Kanti Agarwala"/>
    <s v="8597190846"/>
  </r>
  <r>
    <s v="RCF Trombay"/>
    <s v="15-15-15"/>
    <s v="WB"/>
    <x v="8"/>
    <s v="Balurghat"/>
    <s v="User Not Mapped"/>
    <s v="User Not Mapped"/>
    <s v="User Not Mapped"/>
    <n v="126538"/>
    <s v="MADHU CH  HORE"/>
    <s v="Private Retailer"/>
    <s v="6295487970"/>
    <n v="0.5"/>
    <n v="73"/>
    <x v="6"/>
    <m/>
    <s v="2026-02-06"/>
    <s v="263382"/>
    <s v="Tushar Kanti Agarwala"/>
    <s v="8597190846"/>
  </r>
  <r>
    <s v="RCF Import"/>
    <s v="Imp 10-26-26"/>
    <s v="WB"/>
    <x v="8"/>
    <s v="Balurghat"/>
    <s v="User Not Mapped"/>
    <s v="User Not Mapped"/>
    <s v="User Not Mapped"/>
    <n v="263335"/>
    <s v="Mahanta Sar Bhandar"/>
    <s v="Private Retailer"/>
    <s v="9434409598"/>
    <n v="11"/>
    <n v="9"/>
    <x v="5"/>
    <m/>
    <s v="2026-04-11"/>
    <s v="263382"/>
    <s v="Tushar Kanti Agarwala"/>
    <s v="8597190846"/>
  </r>
  <r>
    <s v="RCF Trombay"/>
    <s v="N.C.Urea(45kg)"/>
    <s v="WB"/>
    <x v="8"/>
    <s v="Gangarampur"/>
    <s v="User Not Mapped"/>
    <s v="User Not Mapped"/>
    <s v="User Not Mapped"/>
    <n v="353989"/>
    <s v="Maidur Islam"/>
    <s v="Private Retailer"/>
    <s v="9733148019"/>
    <n v="11.025"/>
    <n v="124"/>
    <x v="4"/>
    <m/>
    <s v="2025-12-17"/>
    <s v="263382"/>
    <s v="Tushar Kanti Agarwala"/>
    <s v="8597190846"/>
  </r>
  <r>
    <s v="RCF Trombay"/>
    <s v="N.C.Urea(45kg)"/>
    <s v="WB"/>
    <x v="8"/>
    <s v="Tapan"/>
    <s v="User Not Mapped"/>
    <s v="User Not Mapped"/>
    <s v="User Not Mapped"/>
    <n v="1008676"/>
    <s v="MAJIBAR RAHAMAN"/>
    <s v="Private Retailer"/>
    <s v="8972633463"/>
    <n v="11.25"/>
    <n v="133"/>
    <x v="4"/>
    <m/>
    <s v="2025-12-08"/>
    <s v="263382"/>
    <s v="Tushar Kanti Agarwala"/>
    <s v="8597190846"/>
  </r>
  <r>
    <s v="RCF Thal"/>
    <s v="N.C.Urea(45kg)"/>
    <s v="WB"/>
    <x v="8"/>
    <s v="Tapan"/>
    <s v="User Not Mapped"/>
    <s v="User Not Mapped"/>
    <s v="User Not Mapped"/>
    <n v="1008676"/>
    <s v="MAJIBAR RAHAMAN"/>
    <s v="Private Retailer"/>
    <s v="8972633463"/>
    <n v="0.13500000000000001"/>
    <n v="145"/>
    <x v="4"/>
    <m/>
    <s v="2025-11-26"/>
    <s v="263382"/>
    <s v="Tushar Kanti Agarwala"/>
    <s v="8597190846"/>
  </r>
  <r>
    <s v="RCF Trombay"/>
    <s v="15-15-15"/>
    <s v="WB"/>
    <x v="8"/>
    <s v="Balurghat"/>
    <s v="User Not Mapped"/>
    <s v="User Not Mapped"/>
    <s v="User Not Mapped"/>
    <n v="126673"/>
    <s v="Milu Das"/>
    <s v="Private Retailer"/>
    <s v="7001324524"/>
    <n v="0.2"/>
    <n v="26"/>
    <x v="5"/>
    <m/>
    <s v="2026-03-25"/>
    <s v="263382"/>
    <s v="Tushar Kanti Agarwala"/>
    <s v="8597190846"/>
  </r>
  <r>
    <s v="RCF Trombay"/>
    <s v="15-15-15"/>
    <s v="WB"/>
    <x v="8"/>
    <s v="Balurghat"/>
    <s v="User Not Mapped"/>
    <s v="User Not Mapped"/>
    <s v="User Not Mapped"/>
    <n v="126673"/>
    <s v="Milu Das"/>
    <s v="Private Retailer"/>
    <s v="7001324524"/>
    <n v="1.5"/>
    <n v="25"/>
    <x v="5"/>
    <m/>
    <s v="2026-03-26"/>
    <s v="263382"/>
    <s v="Tushar Kanti Agarwala"/>
    <s v="8597190846"/>
  </r>
  <r>
    <s v="RCF Trombay"/>
    <s v="N.C.Urea(45kg)"/>
    <s v="WB"/>
    <x v="8"/>
    <s v="Balurghat"/>
    <s v="User Not Mapped"/>
    <s v="User Not Mapped"/>
    <s v="User Not Mapped"/>
    <n v="216431"/>
    <s v="Mosaraf Mondal"/>
    <s v="Private Retailer"/>
    <s v="9474312046"/>
    <n v="0.27500000000000002"/>
    <n v="260"/>
    <x v="1"/>
    <m/>
    <s v="2025-08-03"/>
    <s v="263382"/>
    <s v="Tushar Kanti Agarwala"/>
    <s v="8597190846"/>
  </r>
  <r>
    <s v="RCF Thal"/>
    <s v="N.C.Urea(45kg)"/>
    <s v="WB"/>
    <x v="8"/>
    <s v="Balurghat"/>
    <s v="User Not Mapped"/>
    <s v="User Not Mapped"/>
    <s v="User Not Mapped"/>
    <n v="216431"/>
    <s v="Mosaraf Mondal"/>
    <s v="Private Retailer"/>
    <s v="9474312046"/>
    <n v="0.04"/>
    <n v="260"/>
    <x v="1"/>
    <m/>
    <s v="2025-08-03"/>
    <s v="263382"/>
    <s v="Tushar Kanti Agarwala"/>
    <s v="8597190846"/>
  </r>
  <r>
    <s v="RCF Thal"/>
    <s v="N.C.Urea(45kg)"/>
    <s v="WB"/>
    <x v="8"/>
    <s v="Balurghat"/>
    <s v="User Not Mapped"/>
    <s v="User Not Mapped"/>
    <s v="User Not Mapped"/>
    <n v="746505"/>
    <s v="MUKESH AGARWALA"/>
    <s v="Private Retailer"/>
    <s v="9733335514"/>
    <n v="1.35"/>
    <n v="25"/>
    <x v="5"/>
    <m/>
    <s v="2026-03-26"/>
    <s v="263382"/>
    <s v="Tushar Kanti Agarwala"/>
    <s v="8597190846"/>
  </r>
  <r>
    <s v="RCF Thal"/>
    <s v="N.C.Urea(45kg)"/>
    <s v="WB"/>
    <x v="8"/>
    <s v="Balurghat"/>
    <s v="User Not Mapped"/>
    <s v="User Not Mapped"/>
    <s v="User Not Mapped"/>
    <n v="746505"/>
    <s v="MUKESH AGARWALA"/>
    <s v="Private Retailer"/>
    <s v="9733335514"/>
    <n v="0.13500000000000001"/>
    <n v="62"/>
    <x v="6"/>
    <m/>
    <s v="2026-02-17"/>
    <s v="263382"/>
    <s v="Tushar Kanti Agarwala"/>
    <s v="8597190846"/>
  </r>
  <r>
    <s v="RCF Thal"/>
    <s v="N.C.Urea(45kg)"/>
    <s v="WB"/>
    <x v="8"/>
    <s v="Harirampur"/>
    <s v="User Not Mapped"/>
    <s v="User Not Mapped"/>
    <s v="User Not Mapped"/>
    <n v="263341"/>
    <s v="Mulahat Skus Ltd."/>
    <s v="State Marketing Federation"/>
    <s v="9851383280"/>
    <n v="7.6050000000000004"/>
    <n v="145"/>
    <x v="4"/>
    <m/>
    <s v="2025-11-26"/>
    <s v="263382"/>
    <s v="Tushar Kanti Agarwala"/>
    <s v="8597190846"/>
  </r>
  <r>
    <s v="RCF Thal"/>
    <s v="N.C.Urea(45kg)"/>
    <s v="WB"/>
    <x v="8"/>
    <s v="Harirampur"/>
    <s v="User Not Mapped"/>
    <s v="User Not Mapped"/>
    <s v="User Not Mapped"/>
    <n v="263341"/>
    <s v="Mulahat Skus Ltd."/>
    <s v="State Marketing Federation"/>
    <s v="9851383280"/>
    <n v="11.25"/>
    <n v="62"/>
    <x v="6"/>
    <m/>
    <s v="2026-02-17"/>
    <s v="263382"/>
    <s v="Tushar Kanti Agarwala"/>
    <s v="8597190846"/>
  </r>
  <r>
    <s v="RCF Thal"/>
    <s v="N.C.Urea(45kg)"/>
    <s v="WB"/>
    <x v="8"/>
    <s v="Kumarganj"/>
    <s v="User Not Mapped"/>
    <s v="User Not Mapped"/>
    <s v="User Not Mapped"/>
    <n v="1451641"/>
    <s v="Najmul Alam Mia  Majidur Mond"/>
    <s v="Private Retailer"/>
    <s v="9832721395"/>
    <n v="4.5"/>
    <n v="124"/>
    <x v="4"/>
    <m/>
    <s v="2025-12-17"/>
    <s v="263382"/>
    <s v="Tushar Kanti Agarwala"/>
    <s v="8597190846"/>
  </r>
  <r>
    <s v="RCF Thal"/>
    <s v="N.C.Urea(45kg)"/>
    <s v="WB"/>
    <x v="8"/>
    <s v="Kumarganj"/>
    <s v="User Not Mapped"/>
    <s v="User Not Mapped"/>
    <s v="User Not Mapped"/>
    <n v="225920"/>
    <s v="NARAYAN CHANDRA DAS"/>
    <s v="Private Retailer"/>
    <s v="9733271205"/>
    <n v="0.495"/>
    <n v="209"/>
    <x v="1"/>
    <m/>
    <s v="2025-09-23"/>
    <s v="263382"/>
    <s v="Tushar Kanti Agarwala"/>
    <s v="8597190846"/>
  </r>
  <r>
    <s v="RCF Thal"/>
    <s v="N.C.Urea(45kg)"/>
    <s v="WB"/>
    <x v="8"/>
    <s v="Hilli"/>
    <s v="User Not Mapped"/>
    <s v="User Not Mapped"/>
    <s v="User Not Mapped"/>
    <n v="126714"/>
    <s v="Nayan Ghosh"/>
    <s v="Private Retailer"/>
    <s v="9933683156"/>
    <n v="4.2300000000000004"/>
    <n v="38"/>
    <x v="3"/>
    <m/>
    <s v="2026-03-13"/>
    <s v="263382"/>
    <s v="Tushar Kanti Agarwala"/>
    <s v="8597190846"/>
  </r>
  <r>
    <s v="RCF Import"/>
    <s v="Imp 10-26-26"/>
    <s v="WB"/>
    <x v="8"/>
    <s v="Gangarampur"/>
    <s v="User Not Mapped"/>
    <s v="User Not Mapped"/>
    <s v="User Not Mapped"/>
    <n v="353996"/>
    <s v="Niranjan Kumar  Bose"/>
    <s v="Private Retailer"/>
    <s v="9474440469"/>
    <n v="16.05"/>
    <n v="65"/>
    <x v="6"/>
    <m/>
    <s v="2026-02-14"/>
    <s v="263382"/>
    <s v="Tushar Kanti Agarwala"/>
    <s v="8597190846"/>
  </r>
  <r>
    <s v="RCF Thal"/>
    <s v="N.C.Urea(45kg)"/>
    <s v="WB"/>
    <x v="8"/>
    <s v="Balurghat"/>
    <s v="User Not Mapped"/>
    <s v="User Not Mapped"/>
    <s v="User Not Mapped"/>
    <n v="126720"/>
    <s v="Nirapada Das"/>
    <s v="Private Retailer"/>
    <s v="9933443009"/>
    <n v="0.22500000000000001"/>
    <n v="7"/>
    <x v="5"/>
    <m/>
    <s v="2026-04-13"/>
    <s v="263382"/>
    <s v="Tushar Kanti Agarwala"/>
    <s v="8597190846"/>
  </r>
  <r>
    <s v="RCF Import"/>
    <s v="Imp 10-26-26"/>
    <s v="WB"/>
    <x v="8"/>
    <s v="Balurghat"/>
    <s v="User Not Mapped"/>
    <s v="User Not Mapped"/>
    <s v="User Not Mapped"/>
    <n v="126720"/>
    <s v="Nirapada Das"/>
    <s v="Private Retailer"/>
    <s v="9933443009"/>
    <n v="0.05"/>
    <n v="59"/>
    <x v="3"/>
    <m/>
    <s v="2026-02-20"/>
    <s v="263382"/>
    <s v="Tushar Kanti Agarwala"/>
    <s v="8597190846"/>
  </r>
  <r>
    <s v="RCF Trombay"/>
    <s v="15-15-15"/>
    <s v="WB"/>
    <x v="8"/>
    <s v="Balurghat"/>
    <s v="User Not Mapped"/>
    <s v="User Not Mapped"/>
    <s v="User Not Mapped"/>
    <n v="126720"/>
    <s v="Nirapada Das"/>
    <s v="Private Retailer"/>
    <s v="9933443009"/>
    <n v="0.5"/>
    <n v="7"/>
    <x v="5"/>
    <m/>
    <s v="2026-04-13"/>
    <s v="263382"/>
    <s v="Tushar Kanti Agarwala"/>
    <s v="8597190846"/>
  </r>
  <r>
    <s v="RCF Thal"/>
    <s v="N.C.Urea(45kg)"/>
    <s v="WB"/>
    <x v="8"/>
    <s v="Balurghat"/>
    <s v="User Not Mapped"/>
    <s v="User Not Mapped"/>
    <s v="User Not Mapped"/>
    <n v="126720"/>
    <s v="Nirapada Das"/>
    <s v="Private Retailer"/>
    <s v="9933443009"/>
    <n v="0.18"/>
    <n v="25"/>
    <x v="5"/>
    <m/>
    <s v="2026-03-26"/>
    <s v="263382"/>
    <s v="Tushar Kanti Agarwala"/>
    <s v="8597190846"/>
  </r>
  <r>
    <s v="RCF Thal"/>
    <s v="N.C.Urea(45kg)"/>
    <s v="WB"/>
    <x v="8"/>
    <s v="Balurghat"/>
    <s v="User Not Mapped"/>
    <s v="User Not Mapped"/>
    <s v="User Not Mapped"/>
    <n v="550223"/>
    <s v="NITAI CHANDRA GHOSH"/>
    <s v="Private Retailer"/>
    <s v="7001531914"/>
    <n v="1.0349999999999999"/>
    <n v="31"/>
    <x v="3"/>
    <m/>
    <s v="2026-03-20"/>
    <s v="263382"/>
    <s v="Tushar Kanti Agarwala"/>
    <s v="8597190846"/>
  </r>
  <r>
    <s v="RCF Trombay"/>
    <s v="N.C.Urea(45kg)"/>
    <s v="WB"/>
    <x v="8"/>
    <s v="Balurghat"/>
    <s v="User Not Mapped"/>
    <s v="User Not Mapped"/>
    <s v="User Not Mapped"/>
    <n v="391313"/>
    <s v="NITYANANDA SARKAR"/>
    <s v="Private Retailer"/>
    <s v="8759422108"/>
    <n v="0.67500000000000004"/>
    <n v="62"/>
    <x v="6"/>
    <m/>
    <s v="2026-02-17"/>
    <s v="263382"/>
    <s v="Tushar Kanti Agarwala"/>
    <s v="8597190846"/>
  </r>
  <r>
    <s v="RCF Trombay"/>
    <s v="15-15-15"/>
    <s v="WB"/>
    <x v="8"/>
    <s v="Balurghat"/>
    <s v="User Not Mapped"/>
    <s v="User Not Mapped"/>
    <s v="User Not Mapped"/>
    <n v="391313"/>
    <s v="NITYANANDA SARKAR"/>
    <s v="Private Retailer"/>
    <s v="8759422108"/>
    <n v="0.35"/>
    <n v="48"/>
    <x v="3"/>
    <m/>
    <s v="2026-03-03"/>
    <s v="263382"/>
    <s v="Tushar Kanti Agarwala"/>
    <s v="8597190846"/>
  </r>
  <r>
    <s v="RCF Trombay"/>
    <s v="15-15-15"/>
    <s v="WB"/>
    <x v="8"/>
    <s v="Balurghat"/>
    <s v="User Not Mapped"/>
    <s v="User Not Mapped"/>
    <s v="User Not Mapped"/>
    <n v="391313"/>
    <s v="NITYANANDA SARKAR"/>
    <s v="Private Retailer"/>
    <s v="8759422108"/>
    <n v="1"/>
    <n v="25"/>
    <x v="5"/>
    <m/>
    <s v="2026-03-26"/>
    <s v="263382"/>
    <s v="Tushar Kanti Agarwala"/>
    <s v="8597190846"/>
  </r>
  <r>
    <s v="RCF Thal"/>
    <s v="N.C.Urea(45kg)"/>
    <s v="WB"/>
    <x v="8"/>
    <s v="Balurghat"/>
    <s v="User Not Mapped"/>
    <s v="User Not Mapped"/>
    <s v="User Not Mapped"/>
    <n v="391313"/>
    <s v="NITYANANDA SARKAR"/>
    <s v="Private Retailer"/>
    <s v="8759422108"/>
    <n v="3.5999999999999997E-2"/>
    <n v="158"/>
    <x v="4"/>
    <m/>
    <s v="2025-11-13"/>
    <s v="263382"/>
    <s v="Tushar Kanti Agarwala"/>
    <s v="8597190846"/>
  </r>
  <r>
    <s v="RCF Thal"/>
    <s v="N.C.Urea(45kg)"/>
    <s v="WB"/>
    <x v="8"/>
    <s v="Tapan"/>
    <s v="User Not Mapped"/>
    <s v="User Not Mapped"/>
    <s v="User Not Mapped"/>
    <n v="658033"/>
    <s v="NURUL ISLAM"/>
    <s v="Private Retailer"/>
    <s v="9733360114"/>
    <n v="0.76500000000000001"/>
    <n v="164"/>
    <x v="4"/>
    <m/>
    <s v="2025-11-07"/>
    <s v="263382"/>
    <s v="Tushar Kanti Agarwala"/>
    <s v="8597190846"/>
  </r>
  <r>
    <s v="RCF Trombay"/>
    <s v="15-15-15"/>
    <s v="WB"/>
    <x v="8"/>
    <s v="Balurghat"/>
    <s v="User Not Mapped"/>
    <s v="User Not Mapped"/>
    <s v="User Not Mapped"/>
    <n v="653556"/>
    <s v="PANKAJ MAHANTA"/>
    <s v="Private Retailer"/>
    <s v="9933781362"/>
    <n v="0.125"/>
    <n v="109"/>
    <x v="7"/>
    <m/>
    <s v="2026-01-01"/>
    <s v="263382"/>
    <s v="Tushar Kanti Agarwala"/>
    <s v="8597190846"/>
  </r>
  <r>
    <s v="RCF Thal"/>
    <s v="N.C.Urea(45kg)"/>
    <s v="WB"/>
    <x v="8"/>
    <s v="Balurghat"/>
    <s v="User Not Mapped"/>
    <s v="User Not Mapped"/>
    <s v="User Not Mapped"/>
    <n v="653556"/>
    <s v="PANKAJ MAHANTA"/>
    <s v="Private Retailer"/>
    <s v="9933781362"/>
    <n v="0.67500000000000004"/>
    <n v="13"/>
    <x v="5"/>
    <m/>
    <s v="2026-04-07"/>
    <s v="263382"/>
    <s v="Tushar Kanti Agarwala"/>
    <s v="8597190846"/>
  </r>
  <r>
    <s v="RCF Thal"/>
    <s v="N.C.Urea(45kg)"/>
    <s v="WB"/>
    <x v="8"/>
    <s v="Gangarampur"/>
    <s v="User Not Mapped"/>
    <s v="User Not Mapped"/>
    <s v="User Not Mapped"/>
    <n v="650720"/>
    <s v="PARITOSH BARMAN"/>
    <s v="Private Retailer"/>
    <s v="9609788834"/>
    <n v="0.09"/>
    <n v="124"/>
    <x v="4"/>
    <m/>
    <s v="2025-12-17"/>
    <s v="263382"/>
    <s v="Tushar Kanti Agarwala"/>
    <s v="8597190846"/>
  </r>
  <r>
    <s v="RCF Thal"/>
    <s v="N.C.Urea(45kg)"/>
    <s v="WB"/>
    <x v="8"/>
    <s v="Kumarganj"/>
    <s v="User Not Mapped"/>
    <s v="User Not Mapped"/>
    <s v="User Not Mapped"/>
    <n v="305684"/>
    <s v="PIJUSH KUMAR DAS"/>
    <s v="Private Retailer"/>
    <s v="9735065559"/>
    <n v="0.18"/>
    <n v="38"/>
    <x v="3"/>
    <m/>
    <s v="2026-03-13"/>
    <s v="263382"/>
    <s v="Tushar Kanti Agarwala"/>
    <s v="8597190846"/>
  </r>
  <r>
    <s v="RCF Thal"/>
    <s v="N.C.Urea(45kg)"/>
    <s v="WB"/>
    <x v="8"/>
    <s v="Harirampur"/>
    <s v="User Not Mapped"/>
    <s v="User Not Mapped"/>
    <s v="User Not Mapped"/>
    <n v="126771"/>
    <s v="Prasanta Roy"/>
    <s v="Private Retailer"/>
    <s v="9775484428"/>
    <n v="5.625"/>
    <n v="62"/>
    <x v="6"/>
    <m/>
    <s v="2026-02-17"/>
    <s v="263382"/>
    <s v="Tushar Kanti Agarwala"/>
    <s v="8597190846"/>
  </r>
  <r>
    <s v="RCF Trombay"/>
    <s v="N.C.Urea(45kg)"/>
    <s v="WB"/>
    <x v="8"/>
    <s v="Balurghat"/>
    <s v="User Not Mapped"/>
    <s v="User Not Mapped"/>
    <s v="User Not Mapped"/>
    <n v="340378"/>
    <s v="Rahunath Paul"/>
    <s v="Private Retailer"/>
    <s v="9647848912"/>
    <n v="0.54"/>
    <n v="65"/>
    <x v="6"/>
    <m/>
    <s v="2026-02-14"/>
    <s v="263382"/>
    <s v="Tushar Kanti Agarwala"/>
    <s v="8597190846"/>
  </r>
  <r>
    <s v="RCF Trombay"/>
    <s v="15-15-15"/>
    <s v="WB"/>
    <x v="8"/>
    <s v="Balurghat"/>
    <s v="User Not Mapped"/>
    <s v="User Not Mapped"/>
    <s v="User Not Mapped"/>
    <n v="340378"/>
    <s v="Rahunath Paul"/>
    <s v="Private Retailer"/>
    <s v="9647848912"/>
    <n v="0.75"/>
    <n v="82"/>
    <x v="6"/>
    <m/>
    <s v="2026-01-28"/>
    <s v="263382"/>
    <s v="Tushar Kanti Agarwala"/>
    <s v="8597190846"/>
  </r>
  <r>
    <s v="RCF Import"/>
    <s v="Imp 10-26-26"/>
    <s v="WB"/>
    <x v="8"/>
    <s v="Balurghat"/>
    <s v="User Not Mapped"/>
    <s v="User Not Mapped"/>
    <s v="User Not Mapped"/>
    <n v="340378"/>
    <s v="Rahunath Paul"/>
    <s v="Private Retailer"/>
    <s v="9647848912"/>
    <n v="0.75"/>
    <n v="73"/>
    <x v="6"/>
    <m/>
    <s v="2026-02-06"/>
    <s v="263382"/>
    <s v="Tushar Kanti Agarwala"/>
    <s v="8597190846"/>
  </r>
  <r>
    <s v="RCF Import"/>
    <s v="Imp 10-26-26"/>
    <s v="WB"/>
    <x v="8"/>
    <s v="Balurghat"/>
    <s v="User Not Mapped"/>
    <s v="User Not Mapped"/>
    <s v="User Not Mapped"/>
    <n v="340378"/>
    <s v="Rahunath Paul"/>
    <s v="Private Retailer"/>
    <s v="9647848912"/>
    <n v="0.75"/>
    <n v="65"/>
    <x v="6"/>
    <m/>
    <s v="2026-02-14"/>
    <s v="263382"/>
    <s v="Tushar Kanti Agarwala"/>
    <s v="8597190846"/>
  </r>
  <r>
    <s v="RCF Trombay"/>
    <s v="15-15-15"/>
    <s v="WB"/>
    <x v="8"/>
    <s v="Balurghat"/>
    <s v="User Not Mapped"/>
    <s v="User Not Mapped"/>
    <s v="User Not Mapped"/>
    <n v="340378"/>
    <s v="Rahunath Paul"/>
    <s v="Private Retailer"/>
    <s v="9647848912"/>
    <n v="0.75"/>
    <n v="25"/>
    <x v="5"/>
    <m/>
    <s v="2026-03-26"/>
    <s v="263382"/>
    <s v="Tushar Kanti Agarwala"/>
    <s v="8597190846"/>
  </r>
  <r>
    <s v="RCF Import"/>
    <s v="Imp 10-26-26"/>
    <s v="WB"/>
    <x v="8"/>
    <s v="Balurghat"/>
    <s v="User Not Mapped"/>
    <s v="User Not Mapped"/>
    <s v="User Not Mapped"/>
    <n v="340378"/>
    <s v="Rahunath Paul"/>
    <s v="Private Retailer"/>
    <s v="9647848912"/>
    <n v="1"/>
    <n v="48"/>
    <x v="3"/>
    <m/>
    <s v="2026-03-03"/>
    <s v="263382"/>
    <s v="Tushar Kanti Agarwala"/>
    <s v="8597190846"/>
  </r>
  <r>
    <s v="RCF Thal"/>
    <s v="N.C.Urea(45kg)"/>
    <s v="WB"/>
    <x v="8"/>
    <s v="Balurghat"/>
    <s v="User Not Mapped"/>
    <s v="User Not Mapped"/>
    <s v="User Not Mapped"/>
    <n v="340378"/>
    <s v="Rahunath Paul"/>
    <s v="Private Retailer"/>
    <s v="9647848912"/>
    <n v="0.27"/>
    <n v="82"/>
    <x v="6"/>
    <m/>
    <s v="2026-01-28"/>
    <s v="263382"/>
    <s v="Tushar Kanti Agarwala"/>
    <s v="8597190846"/>
  </r>
  <r>
    <s v="RCF Thal"/>
    <s v="N.C.Urea(45kg)"/>
    <s v="WB"/>
    <x v="8"/>
    <s v="Balurghat"/>
    <s v="User Not Mapped"/>
    <s v="User Not Mapped"/>
    <s v="User Not Mapped"/>
    <n v="340378"/>
    <s v="Rahunath Paul"/>
    <s v="Private Retailer"/>
    <s v="9647848912"/>
    <n v="11.025"/>
    <n v="62"/>
    <x v="6"/>
    <m/>
    <s v="2026-02-17"/>
    <s v="263382"/>
    <s v="Tushar Kanti Agarwala"/>
    <s v="8597190846"/>
  </r>
  <r>
    <s v="RCF Thal"/>
    <s v="N.C.Urea(45kg)"/>
    <s v="WB"/>
    <x v="8"/>
    <s v="Kumarganj"/>
    <s v="User Not Mapped"/>
    <s v="User Not Mapped"/>
    <s v="User Not Mapped"/>
    <n v="391487"/>
    <s v="Rajib Ali Sarkar"/>
    <s v="Private Retailer"/>
    <s v="9735063028"/>
    <n v="0.58499999999999996"/>
    <n v="38"/>
    <x v="3"/>
    <m/>
    <s v="2026-03-13"/>
    <s v="263382"/>
    <s v="Tushar Kanti Agarwala"/>
    <s v="8597190846"/>
  </r>
  <r>
    <s v="RCF Thal"/>
    <s v="N.C.Urea(45kg)"/>
    <s v="WB"/>
    <x v="8"/>
    <s v="Balurghat"/>
    <s v="User Not Mapped"/>
    <s v="User Not Mapped"/>
    <s v="User Not Mapped"/>
    <n v="596281"/>
    <s v="RAM GOPAL SEEDS STORE"/>
    <s v="Private Retailer"/>
    <s v="8016385858"/>
    <n v="11.25"/>
    <n v="90"/>
    <x v="6"/>
    <m/>
    <s v="2026-01-20"/>
    <s v="263382"/>
    <s v="Tushar Kanti Agarwala"/>
    <s v="8597190846"/>
  </r>
  <r>
    <s v="RCF Import"/>
    <s v="Imp 10-26-26"/>
    <s v="WB"/>
    <x v="8"/>
    <s v="Balurghat"/>
    <s v="User Not Mapped"/>
    <s v="User Not Mapped"/>
    <s v="User Not Mapped"/>
    <n v="354004"/>
    <s v="Ranjan Paul"/>
    <s v="Private Retailer"/>
    <s v="8637544830"/>
    <n v="9.75"/>
    <n v="65"/>
    <x v="6"/>
    <m/>
    <s v="2026-02-14"/>
    <s v="263382"/>
    <s v="Tushar Kanti Agarwala"/>
    <s v="8597190846"/>
  </r>
  <r>
    <s v="RCF Trombay"/>
    <s v="N.C.Urea(45kg)"/>
    <s v="WB"/>
    <x v="8"/>
    <s v="Gangarampur"/>
    <s v="User Not Mapped"/>
    <s v="User Not Mapped"/>
    <s v="User Not Mapped"/>
    <n v="126831"/>
    <s v="Sabuj Sar Bhandar"/>
    <s v="Private Retailer"/>
    <s v="9800704751"/>
    <n v="2.1150000000000002"/>
    <n v="132"/>
    <x v="4"/>
    <m/>
    <s v="2025-12-09"/>
    <s v="263382"/>
    <s v="Tushar Kanti Agarwala"/>
    <s v="8597190846"/>
  </r>
  <r>
    <s v="RCF Thal"/>
    <s v="N.C.Urea(45kg)"/>
    <s v="WB"/>
    <x v="8"/>
    <s v="Balurghat"/>
    <s v="User Not Mapped"/>
    <s v="User Not Mapped"/>
    <s v="User Not Mapped"/>
    <n v="768074"/>
    <s v="SANJIT DAS"/>
    <s v="Private Retailer"/>
    <s v="9933062877"/>
    <n v="0.67500000000000004"/>
    <n v="25"/>
    <x v="5"/>
    <m/>
    <s v="2026-03-26"/>
    <s v="263382"/>
    <s v="Tushar Kanti Agarwala"/>
    <s v="8597190846"/>
  </r>
  <r>
    <s v="RCF Trombay"/>
    <s v="15-15-15"/>
    <s v="WB"/>
    <x v="8"/>
    <s v="Balurghat"/>
    <s v="User Not Mapped"/>
    <s v="User Not Mapped"/>
    <s v="User Not Mapped"/>
    <n v="768074"/>
    <s v="SANJIT DAS"/>
    <s v="Private Retailer"/>
    <s v="9933062877"/>
    <n v="1"/>
    <n v="25"/>
    <x v="5"/>
    <m/>
    <s v="2026-03-26"/>
    <s v="263382"/>
    <s v="Tushar Kanti Agarwala"/>
    <s v="8597190846"/>
  </r>
  <r>
    <s v="RCF Thal"/>
    <s v="N.C.Urea(45kg)"/>
    <s v="WB"/>
    <x v="8"/>
    <s v="Gangarampur"/>
    <s v="User Not Mapped"/>
    <s v="User Not Mapped"/>
    <s v="User Not Mapped"/>
    <n v="658747"/>
    <s v="SARKAR KRISHI BEEJ BHANDER AND"/>
    <s v="Private Retailer"/>
    <s v="7001706957"/>
    <n v="1.35"/>
    <n v="38"/>
    <x v="3"/>
    <m/>
    <s v="2026-03-13"/>
    <s v="263382"/>
    <s v="Tushar Kanti Agarwala"/>
    <s v="8597190846"/>
  </r>
  <r>
    <s v="RCF Trombay"/>
    <s v="N.C.Urea(45kg)"/>
    <s v="WB"/>
    <x v="8"/>
    <s v="Kumarganj"/>
    <s v="User Not Mapped"/>
    <s v="User Not Mapped"/>
    <s v="User Not Mapped"/>
    <n v="1605675"/>
    <s v="Sarkar Krishi Bhandar"/>
    <s v="Private Retailer"/>
    <s v="7980816039"/>
    <n v="0.09"/>
    <n v="124"/>
    <x v="4"/>
    <m/>
    <s v="2025-12-17"/>
    <s v="263382"/>
    <s v="Tushar Kanti Agarwala"/>
    <s v="8597190846"/>
  </r>
  <r>
    <s v="RCF Trombay"/>
    <s v="N.C.Urea(45kg)"/>
    <s v="WB"/>
    <x v="8"/>
    <s v="Balurghat"/>
    <s v="User Not Mapped"/>
    <s v="User Not Mapped"/>
    <s v="User Not Mapped"/>
    <n v="1219883"/>
    <s v="SERAJUL ISLAM"/>
    <s v="Private Retailer"/>
    <s v="9734169185"/>
    <n v="0.27"/>
    <n v="51"/>
    <x v="3"/>
    <m/>
    <s v="2026-02-28"/>
    <s v="263382"/>
    <s v="Tushar Kanti Agarwala"/>
    <s v="8597190846"/>
  </r>
  <r>
    <s v="RCF Thal"/>
    <s v="N.C.Urea(45kg)"/>
    <s v="WB"/>
    <x v="8"/>
    <s v="Balurghat"/>
    <s v="User Not Mapped"/>
    <s v="User Not Mapped"/>
    <s v="User Not Mapped"/>
    <n v="1219883"/>
    <s v="SERAJUL ISLAM"/>
    <s v="Private Retailer"/>
    <s v="9734169185"/>
    <n v="0.36"/>
    <n v="51"/>
    <x v="3"/>
    <m/>
    <s v="2026-02-28"/>
    <s v="263382"/>
    <s v="Tushar Kanti Agarwala"/>
    <s v="8597190846"/>
  </r>
  <r>
    <s v="RCF Trombay"/>
    <s v="15-15-15"/>
    <s v="WB"/>
    <x v="8"/>
    <s v="Balurghat"/>
    <s v="User Not Mapped"/>
    <s v="User Not Mapped"/>
    <s v="User Not Mapped"/>
    <n v="391309"/>
    <s v="SHYAMAL KUMAR ROY"/>
    <s v="Private Retailer"/>
    <s v="9474141460"/>
    <n v="0.15"/>
    <n v="26"/>
    <x v="5"/>
    <m/>
    <s v="2026-03-25"/>
    <s v="263382"/>
    <s v="Tushar Kanti Agarwala"/>
    <s v="8597190846"/>
  </r>
  <r>
    <s v="RCF Trombay"/>
    <s v="15-15-15"/>
    <s v="WB"/>
    <x v="8"/>
    <s v="Balurghat"/>
    <s v="User Not Mapped"/>
    <s v="User Not Mapped"/>
    <s v="User Not Mapped"/>
    <n v="391309"/>
    <s v="SHYAMAL KUMAR ROY"/>
    <s v="Private Retailer"/>
    <s v="9474141460"/>
    <n v="0.25"/>
    <n v="48"/>
    <x v="3"/>
    <m/>
    <s v="2026-03-03"/>
    <s v="263382"/>
    <s v="Tushar Kanti Agarwala"/>
    <s v="8597190846"/>
  </r>
  <r>
    <s v="RCF Trombay"/>
    <s v="N.C.Urea(45kg)"/>
    <s v="WB"/>
    <x v="8"/>
    <s v="Balurghat"/>
    <s v="User Not Mapped"/>
    <s v="User Not Mapped"/>
    <s v="User Not Mapped"/>
    <n v="391309"/>
    <s v="SHYAMAL KUMAR ROY"/>
    <s v="Private Retailer"/>
    <s v="9474141460"/>
    <n v="1.35"/>
    <n v="60"/>
    <x v="3"/>
    <m/>
    <s v="2026-02-19"/>
    <s v="263382"/>
    <s v="Tushar Kanti Agarwala"/>
    <s v="8597190846"/>
  </r>
  <r>
    <s v="RCF Trombay"/>
    <s v="15-15-15"/>
    <s v="WB"/>
    <x v="8"/>
    <s v="Balurghat"/>
    <s v="User Not Mapped"/>
    <s v="User Not Mapped"/>
    <s v="User Not Mapped"/>
    <n v="126893"/>
    <s v="Subhankar Mohanta"/>
    <s v="Private Retailer"/>
    <s v="9593768634"/>
    <n v="0.5"/>
    <n v="279"/>
    <x v="1"/>
    <m/>
    <s v="2025-07-15"/>
    <s v="263382"/>
    <s v="Tushar Kanti Agarwala"/>
    <s v="8597190846"/>
  </r>
  <r>
    <s v="RCF Thal"/>
    <s v="N.C.Urea(45kg)"/>
    <s v="WB"/>
    <x v="8"/>
    <s v="Balurghat"/>
    <s v="User Not Mapped"/>
    <s v="User Not Mapped"/>
    <s v="User Not Mapped"/>
    <n v="126893"/>
    <s v="Subhankar Mohanta"/>
    <s v="Private Retailer"/>
    <s v="9593768634"/>
    <n v="0.67500000000000004"/>
    <n v="25"/>
    <x v="5"/>
    <m/>
    <s v="2026-03-26"/>
    <s v="263382"/>
    <s v="Tushar Kanti Agarwala"/>
    <s v="8597190846"/>
  </r>
  <r>
    <s v="RCF Thal"/>
    <s v="N.C.Urea(45kg)"/>
    <s v="WB"/>
    <x v="8"/>
    <s v="Balurghat"/>
    <s v="User Not Mapped"/>
    <s v="User Not Mapped"/>
    <s v="User Not Mapped"/>
    <n v="126893"/>
    <s v="Subhankar Mohanta"/>
    <s v="Private Retailer"/>
    <s v="9593768634"/>
    <n v="17.82"/>
    <n v="62"/>
    <x v="6"/>
    <m/>
    <s v="2026-02-17"/>
    <s v="263382"/>
    <s v="Tushar Kanti Agarwala"/>
    <s v="8597190846"/>
  </r>
  <r>
    <s v="RCF Trombay"/>
    <s v="15-15-15"/>
    <s v="WB"/>
    <x v="8"/>
    <s v="Balurghat"/>
    <s v="User Not Mapped"/>
    <s v="User Not Mapped"/>
    <s v="User Not Mapped"/>
    <n v="126893"/>
    <s v="Subhankar Mohanta"/>
    <s v="Private Retailer"/>
    <s v="9593768634"/>
    <n v="2.25"/>
    <n v="25"/>
    <x v="5"/>
    <m/>
    <s v="2026-03-26"/>
    <s v="263382"/>
    <s v="Tushar Kanti Agarwala"/>
    <s v="8597190846"/>
  </r>
  <r>
    <s v="RCF Trombay"/>
    <s v="15-15-15"/>
    <s v="WB"/>
    <x v="8"/>
    <s v="Hilli"/>
    <s v="User Not Mapped"/>
    <s v="User Not Mapped"/>
    <s v="User Not Mapped"/>
    <n v="798552"/>
    <s v="SUDHANGSHU KRISHI SAMADHAR"/>
    <s v="Private Retailer"/>
    <s v="9804939404"/>
    <n v="0.8"/>
    <n v="220"/>
    <x v="1"/>
    <m/>
    <s v="2025-09-12"/>
    <s v="263382"/>
    <s v="Tushar Kanti Agarwala"/>
    <s v="8597190846"/>
  </r>
  <r>
    <s v="RCF Thal"/>
    <s v="N.C.Urea(45kg)"/>
    <s v="WB"/>
    <x v="8"/>
    <s v="Hilli"/>
    <s v="User Not Mapped"/>
    <s v="User Not Mapped"/>
    <s v="User Not Mapped"/>
    <n v="798552"/>
    <s v="SUDHANGSHU KRISHI SAMADHAR"/>
    <s v="Private Retailer"/>
    <s v="9804939404"/>
    <n v="11.25"/>
    <n v="38"/>
    <x v="3"/>
    <m/>
    <s v="2026-03-13"/>
    <s v="263382"/>
    <s v="Tushar Kanti Agarwala"/>
    <s v="8597190846"/>
  </r>
  <r>
    <s v="RCF Thal"/>
    <s v="N.C.Urea(45kg)"/>
    <s v="WB"/>
    <x v="8"/>
    <s v="Kushmundi"/>
    <s v="User Not Mapped"/>
    <s v="User Not Mapped"/>
    <s v="User Not Mapped"/>
    <n v="945147"/>
    <s v="SUFALA SAR BHANDAR"/>
    <s v="Private Retailer"/>
    <s v="6295620445"/>
    <n v="11.025"/>
    <n v="38"/>
    <x v="3"/>
    <m/>
    <s v="2026-03-13"/>
    <s v="263382"/>
    <s v="Tushar Kanti Agarwala"/>
    <s v="8597190846"/>
  </r>
  <r>
    <s v="RCF Import"/>
    <s v="Imp 10-26-26"/>
    <s v="WB"/>
    <x v="8"/>
    <s v="Balurghat"/>
    <s v="User Not Mapped"/>
    <s v="User Not Mapped"/>
    <s v="User Not Mapped"/>
    <n v="709000"/>
    <s v="SUJOY DAS"/>
    <s v="Private Retailer"/>
    <s v="9932921747"/>
    <n v="0.5"/>
    <n v="59"/>
    <x v="3"/>
    <m/>
    <s v="2026-02-20"/>
    <s v="263382"/>
    <s v="Tushar Kanti Agarwala"/>
    <s v="8597190846"/>
  </r>
  <r>
    <s v="RCF Import"/>
    <s v="Imp 10-26-26"/>
    <s v="WB"/>
    <x v="8"/>
    <s v="Balurghat"/>
    <s v="User Not Mapped"/>
    <s v="User Not Mapped"/>
    <s v="User Not Mapped"/>
    <n v="709000"/>
    <s v="SUJOY DAS"/>
    <s v="Private Retailer"/>
    <s v="9932921747"/>
    <n v="0.1"/>
    <n v="65"/>
    <x v="6"/>
    <m/>
    <s v="2026-02-14"/>
    <s v="263382"/>
    <s v="Tushar Kanti Agarwala"/>
    <s v="8597190846"/>
  </r>
  <r>
    <s v="RCF Trombay"/>
    <s v="N.C.Urea(45kg)"/>
    <s v="WB"/>
    <x v="8"/>
    <s v="Balurghat"/>
    <s v="User Not Mapped"/>
    <s v="User Not Mapped"/>
    <s v="User Not Mapped"/>
    <n v="709000"/>
    <s v="SUJOY DAS"/>
    <s v="Private Retailer"/>
    <s v="9932921747"/>
    <n v="0.495"/>
    <n v="65"/>
    <x v="6"/>
    <m/>
    <s v="2026-02-14"/>
    <s v="263382"/>
    <s v="Tushar Kanti Agarwala"/>
    <s v="8597190846"/>
  </r>
  <r>
    <s v="RCF Thal"/>
    <s v="N.C.Urea(45kg)"/>
    <s v="WB"/>
    <x v="8"/>
    <s v="Balurghat"/>
    <s v="User Not Mapped"/>
    <s v="User Not Mapped"/>
    <s v="User Not Mapped"/>
    <n v="709000"/>
    <s v="SUJOY DAS"/>
    <s v="Private Retailer"/>
    <s v="9932921747"/>
    <n v="1.35"/>
    <n v="25"/>
    <x v="5"/>
    <m/>
    <s v="2026-03-26"/>
    <s v="263382"/>
    <s v="Tushar Kanti Agarwala"/>
    <s v="8597190846"/>
  </r>
  <r>
    <s v="RCF Thal"/>
    <s v="N.C.Urea(45kg)"/>
    <s v="WB"/>
    <x v="8"/>
    <s v="Balurghat"/>
    <s v="User Not Mapped"/>
    <s v="User Not Mapped"/>
    <s v="User Not Mapped"/>
    <n v="709000"/>
    <s v="SUJOY DAS"/>
    <s v="Private Retailer"/>
    <s v="9932921747"/>
    <n v="4.3"/>
    <n v="26"/>
    <x v="5"/>
    <m/>
    <s v="2026-03-25"/>
    <s v="263382"/>
    <s v="Tushar Kanti Agarwala"/>
    <s v="8597190846"/>
  </r>
  <r>
    <s v="RCF Trombay"/>
    <s v="N.C.Urea(45kg)"/>
    <s v="WB"/>
    <x v="8"/>
    <s v="Balurghat"/>
    <s v="User Not Mapped"/>
    <s v="User Not Mapped"/>
    <s v="User Not Mapped"/>
    <n v="709000"/>
    <s v="SUJOY DAS"/>
    <s v="Private Retailer"/>
    <s v="9932921747"/>
    <n v="2.25"/>
    <n v="62"/>
    <x v="6"/>
    <m/>
    <s v="2026-02-17"/>
    <s v="263382"/>
    <s v="Tushar Kanti Agarwala"/>
    <s v="8597190846"/>
  </r>
  <r>
    <s v="RCF Trombay"/>
    <s v="15-15-15"/>
    <s v="WB"/>
    <x v="8"/>
    <s v="Balurghat"/>
    <s v="User Not Mapped"/>
    <s v="User Not Mapped"/>
    <s v="User Not Mapped"/>
    <n v="709000"/>
    <s v="SUJOY DAS"/>
    <s v="Private Retailer"/>
    <s v="9932921747"/>
    <n v="0.25"/>
    <n v="26"/>
    <x v="5"/>
    <m/>
    <s v="2026-03-25"/>
    <s v="263382"/>
    <s v="Tushar Kanti Agarwala"/>
    <s v="8597190846"/>
  </r>
  <r>
    <s v="RCF Import"/>
    <s v="Imp 10-26-26"/>
    <s v="WB"/>
    <x v="8"/>
    <s v="Balurghat"/>
    <s v="User Not Mapped"/>
    <s v="User Not Mapped"/>
    <s v="User Not Mapped"/>
    <n v="709000"/>
    <s v="SUJOY DAS"/>
    <s v="Private Retailer"/>
    <s v="9932921747"/>
    <n v="0.75"/>
    <n v="48"/>
    <x v="3"/>
    <m/>
    <s v="2026-03-03"/>
    <s v="263382"/>
    <s v="Tushar Kanti Agarwala"/>
    <s v="8597190846"/>
  </r>
  <r>
    <s v="RCF Thal"/>
    <s v="N.C.Urea(45kg)"/>
    <s v="WB"/>
    <x v="8"/>
    <s v="Balurghat"/>
    <s v="User Not Mapped"/>
    <s v="User Not Mapped"/>
    <s v="User Not Mapped"/>
    <n v="342526"/>
    <s v="Sunil Chandra  Das"/>
    <s v="Private Retailer"/>
    <s v="9735950106"/>
    <n v="4.4999999999999998E-2"/>
    <n v="48"/>
    <x v="3"/>
    <m/>
    <s v="2026-03-03"/>
    <s v="263382"/>
    <s v="Tushar Kanti Agarwala"/>
    <s v="8597190846"/>
  </r>
  <r>
    <s v="RCF Thal"/>
    <s v="N.C.Urea(45kg)"/>
    <s v="WB"/>
    <x v="8"/>
    <s v="Balurghat"/>
    <s v="User Not Mapped"/>
    <s v="User Not Mapped"/>
    <s v="User Not Mapped"/>
    <n v="342526"/>
    <s v="Sunil Chandra  Das"/>
    <s v="Private Retailer"/>
    <s v="9735950106"/>
    <n v="1.3049999999999999"/>
    <n v="25"/>
    <x v="5"/>
    <m/>
    <s v="2026-03-26"/>
    <s v="263382"/>
    <s v="Tushar Kanti Agarwala"/>
    <s v="8597190846"/>
  </r>
  <r>
    <s v="RCF Trombay"/>
    <s v="N.C.Urea(45kg)"/>
    <s v="WB"/>
    <x v="8"/>
    <s v="Balurghat"/>
    <s v="User Not Mapped"/>
    <s v="User Not Mapped"/>
    <s v="User Not Mapped"/>
    <n v="342526"/>
    <s v="Sunil Chandra  Das"/>
    <s v="Private Retailer"/>
    <s v="9735950106"/>
    <n v="0.45"/>
    <n v="65"/>
    <x v="6"/>
    <m/>
    <s v="2026-02-14"/>
    <s v="263382"/>
    <s v="Tushar Kanti Agarwala"/>
    <s v="8597190846"/>
  </r>
  <r>
    <s v="RCF Trombay"/>
    <s v="N.C.Urea(45kg)"/>
    <s v="WB"/>
    <x v="8"/>
    <s v="Balurghat"/>
    <s v="User Not Mapped"/>
    <s v="User Not Mapped"/>
    <s v="User Not Mapped"/>
    <n v="342526"/>
    <s v="Sunil Chandra  Das"/>
    <s v="Private Retailer"/>
    <s v="9735950106"/>
    <n v="1.8"/>
    <n v="62"/>
    <x v="6"/>
    <m/>
    <s v="2026-02-17"/>
    <s v="263382"/>
    <s v="Tushar Kanti Agarwala"/>
    <s v="8597190846"/>
  </r>
  <r>
    <s v="RCF Trombay"/>
    <s v="15-15-15"/>
    <s v="WB"/>
    <x v="8"/>
    <s v="Balurghat"/>
    <s v="User Not Mapped"/>
    <s v="User Not Mapped"/>
    <s v="User Not Mapped"/>
    <n v="391569"/>
    <s v="Sushil Ranjan Mohanta"/>
    <s v="Private Retailer"/>
    <s v="8918199989"/>
    <n v="1.25"/>
    <n v="243"/>
    <x v="1"/>
    <m/>
    <s v="2025-08-20"/>
    <s v="263382"/>
    <s v="Tushar Kanti Agarwala"/>
    <s v="8597190846"/>
  </r>
  <r>
    <s v="RCF Thal"/>
    <s v="N.C.Urea(45kg)"/>
    <s v="WB"/>
    <x v="8"/>
    <s v="Balurghat"/>
    <s v="User Not Mapped"/>
    <s v="User Not Mapped"/>
    <s v="User Not Mapped"/>
    <n v="758140"/>
    <s v="SWAPAN DEBNATH"/>
    <s v="Private Retailer"/>
    <s v="8158969956"/>
    <n v="1.575"/>
    <n v="25"/>
    <x v="5"/>
    <m/>
    <s v="2026-03-26"/>
    <s v="263382"/>
    <s v="Tushar Kanti Agarwala"/>
    <s v="8597190846"/>
  </r>
  <r>
    <s v="RCF Trombay"/>
    <s v="N.C.Urea(45kg)"/>
    <s v="WB"/>
    <x v="8"/>
    <s v="Balurghat"/>
    <s v="User Not Mapped"/>
    <s v="User Not Mapped"/>
    <s v="User Not Mapped"/>
    <n v="758140"/>
    <s v="SWAPAN DEBNATH"/>
    <s v="Private Retailer"/>
    <s v="8158969956"/>
    <n v="0.67500000000000004"/>
    <n v="208"/>
    <x v="1"/>
    <m/>
    <s v="2025-09-24"/>
    <s v="263382"/>
    <s v="Tushar Kanti Agarwala"/>
    <s v="8597190846"/>
  </r>
  <r>
    <s v="RCF Trombay"/>
    <s v="N.C.Urea(45kg)"/>
    <s v="WB"/>
    <x v="8"/>
    <s v="Balurghat"/>
    <s v="User Not Mapped"/>
    <s v="User Not Mapped"/>
    <s v="User Not Mapped"/>
    <n v="758140"/>
    <s v="SWAPAN DEBNATH"/>
    <s v="Private Retailer"/>
    <s v="8158969956"/>
    <n v="0.67500000000000004"/>
    <n v="158"/>
    <x v="4"/>
    <m/>
    <s v="2025-11-13"/>
    <s v="263382"/>
    <s v="Tushar Kanti Agarwala"/>
    <s v="8597190846"/>
  </r>
  <r>
    <s v="RCF Thal"/>
    <s v="N.C.Urea(45kg)"/>
    <s v="WB"/>
    <x v="8"/>
    <s v="Balurghat"/>
    <s v="User Not Mapped"/>
    <s v="User Not Mapped"/>
    <s v="User Not Mapped"/>
    <n v="758140"/>
    <s v="SWAPAN DEBNATH"/>
    <s v="Private Retailer"/>
    <s v="8158969956"/>
    <n v="0.45"/>
    <n v="26"/>
    <x v="5"/>
    <m/>
    <s v="2026-03-25"/>
    <s v="263382"/>
    <s v="Tushar Kanti Agarwala"/>
    <s v="8597190846"/>
  </r>
  <r>
    <s v="RCF Trombay"/>
    <s v="15-15-15"/>
    <s v="WB"/>
    <x v="9"/>
    <s v="Karandighi"/>
    <s v="User Not Mapped"/>
    <s v="User Not Mapped"/>
    <s v="User Not Mapped"/>
    <n v="1296608"/>
    <s v="HAQUE FERTILIZERS"/>
    <s v="Private Retailer"/>
    <s v="9593269526"/>
    <n v="0.05"/>
    <n v="1122"/>
    <x v="2"/>
    <m/>
    <s v="2023-03-25"/>
    <s v="310820"/>
    <s v=" Balajee Agro Centre"/>
    <s v="9064874336"/>
  </r>
  <r>
    <s v="RCF Trombay"/>
    <s v="15-15-15"/>
    <s v="WB"/>
    <x v="9"/>
    <s v="Raiganj"/>
    <s v="User Not Mapped"/>
    <s v="User Not Mapped"/>
    <s v="User Not Mapped"/>
    <n v="632990"/>
    <s v="M/S Bodirud Zamal"/>
    <s v="Private Retailer"/>
    <s v="8617096481"/>
    <n v="0.5"/>
    <n v="169"/>
    <x v="4"/>
    <m/>
    <s v="2025-11-02"/>
    <s v="1049081"/>
    <s v="ABU TAHIR"/>
    <s v="9733293920"/>
  </r>
  <r>
    <s v="RCF Trombay"/>
    <s v="15-15-15"/>
    <s v="WB"/>
    <x v="9"/>
    <s v="Itahar"/>
    <s v="User Not Mapped"/>
    <s v="User Not Mapped"/>
    <s v="User Not Mapped"/>
    <n v="1029794"/>
    <s v="AMJADUL HAQUE"/>
    <s v="Private Retailer"/>
    <s v="9547914977"/>
    <n v="3"/>
    <n v="191"/>
    <x v="1"/>
    <m/>
    <s v="2025-10-11"/>
    <s v="1000521"/>
    <s v="AFIZUDDIN AHAMMED"/>
    <s v="6297251857"/>
  </r>
  <r>
    <s v="RCF Import"/>
    <s v="MOP"/>
    <s v="WB"/>
    <x v="9"/>
    <s v="Itahar"/>
    <s v="User Not Mapped"/>
    <s v="User Not Mapped"/>
    <s v="User Not Mapped"/>
    <n v="904818"/>
    <s v="HAMEDUR RAHAMAN"/>
    <s v="Private Retailer"/>
    <s v="8617605195"/>
    <n v="0.25"/>
    <n v="420"/>
    <x v="0"/>
    <m/>
    <s v="2025-02-24"/>
    <s v="1000521"/>
    <s v="AFIZUDDIN AHAMMED"/>
    <s v="6297251857"/>
  </r>
  <r>
    <s v="RCF Trombay"/>
    <s v="15-15-15"/>
    <s v="WB"/>
    <x v="9"/>
    <s v="Itahar"/>
    <s v="User Not Mapped"/>
    <s v="User Not Mapped"/>
    <s v="User Not Mapped"/>
    <n v="1032325"/>
    <s v="M/S SAJIRUL HAQUE"/>
    <s v="Private Retailer"/>
    <s v="9734192781"/>
    <n v="2.5"/>
    <n v="191"/>
    <x v="1"/>
    <m/>
    <s v="2025-10-11"/>
    <s v="1000521"/>
    <s v="AFIZUDDIN AHAMMED"/>
    <s v="6297251857"/>
  </r>
  <r>
    <s v="RCF Trombay"/>
    <s v="15-15-15"/>
    <s v="WB"/>
    <x v="9"/>
    <s v="Goalpokhar - I"/>
    <s v="User Not Mapped"/>
    <s v="User Not Mapped"/>
    <s v="User Not Mapped"/>
    <n v="1456013"/>
    <s v="JAY MAA DURGA FERTILIZER SHOP"/>
    <s v="Private Retailer"/>
    <s v="8515928862"/>
    <n v="4.4999999999999998E-2"/>
    <n v="871"/>
    <x v="2"/>
    <m/>
    <s v="2023-12-01"/>
    <s v="893011"/>
    <s v="AKHIL KUMAR BHOWMICK"/>
    <s v="7277816377"/>
  </r>
  <r>
    <s v="RCF Trombay"/>
    <s v="N.C.Urea(45kg)"/>
    <s v="WB"/>
    <x v="9"/>
    <s v="Islampur"/>
    <s v="User Not Mapped"/>
    <s v="User Not Mapped"/>
    <s v="User Not Mapped"/>
    <n v="823553"/>
    <s v="M/S BIMAL KUMAR BISWAS"/>
    <s v="Private Retailer"/>
    <s v="8637875668"/>
    <n v="4.4999999999999998E-2"/>
    <n v="1596"/>
    <x v="2"/>
    <m/>
    <s v="2021-12-06"/>
    <s v="893011"/>
    <s v="AKHIL KUMAR BHOWMICK"/>
    <s v="7277816377"/>
  </r>
  <r>
    <s v="RCF Trombay"/>
    <s v="15-15-15"/>
    <s v="WB"/>
    <x v="9"/>
    <s v="Goalpokhar - I"/>
    <s v="User Not Mapped"/>
    <s v="User Not Mapped"/>
    <s v="User Not Mapped"/>
    <n v="1368070"/>
    <s v="M/S PROSANJIT BISWAS"/>
    <s v="Private Retailer"/>
    <s v="7797887240"/>
    <n v="0.15"/>
    <n v="870"/>
    <x v="2"/>
    <m/>
    <s v="2023-12-02"/>
    <s v="893011"/>
    <s v="AKHIL KUMAR BHOWMICK"/>
    <s v="7277816377"/>
  </r>
  <r>
    <s v="RCF Import"/>
    <s v="Imp 10-26-26"/>
    <s v="WB"/>
    <x v="9"/>
    <s v="Goalpokhar - I"/>
    <s v="User Not Mapped"/>
    <s v="User Not Mapped"/>
    <s v="User Not Mapped"/>
    <n v="1373070"/>
    <s v="S. A. FERTILIZERS SHOP"/>
    <s v="Private Retailer"/>
    <s v="9733073293"/>
    <n v="0.05"/>
    <n v="860"/>
    <x v="2"/>
    <m/>
    <s v="2023-12-12"/>
    <s v="893011"/>
    <s v="AKHIL KUMAR BHOWMICK"/>
    <s v="7277816377"/>
  </r>
  <r>
    <s v="RCF Trombay"/>
    <s v="15-15-15"/>
    <s v="WB"/>
    <x v="9"/>
    <s v="Itahar"/>
    <s v="User Not Mapped"/>
    <s v="User Not Mapped"/>
    <s v="User Not Mapped"/>
    <n v="860869"/>
    <s v="M/S. KISHAN SATHI"/>
    <s v="Private Retailer"/>
    <s v="9734344410"/>
    <n v="5.4"/>
    <n v="129"/>
    <x v="4"/>
    <m/>
    <s v="2025-12-12"/>
    <s v="1086899"/>
    <s v="BANKIM CHANDRA MANDAL"/>
    <s v="7001573946"/>
  </r>
  <r>
    <s v="RCF Import"/>
    <s v="Imp 10-26-26"/>
    <s v="WB"/>
    <x v="9"/>
    <s v="Itahar"/>
    <s v="User Not Mapped"/>
    <s v="User Not Mapped"/>
    <s v="User Not Mapped"/>
    <n v="457478"/>
    <s v="Pradyut Biswas"/>
    <s v="Private Retailer"/>
    <s v="7063862881"/>
    <n v="5"/>
    <n v="503"/>
    <x v="0"/>
    <m/>
    <s v="2024-12-03"/>
    <s v="1086899"/>
    <s v="BANKIM CHANDRA MANDAL"/>
    <s v="7001573946"/>
  </r>
  <r>
    <s v="RCF Import"/>
    <s v="MOP"/>
    <s v="WB"/>
    <x v="9"/>
    <s v="Itahar"/>
    <s v="User Not Mapped"/>
    <s v="User Not Mapped"/>
    <s v="User Not Mapped"/>
    <n v="457478"/>
    <s v="Pradyut Biswas"/>
    <s v="Private Retailer"/>
    <s v="7063862881"/>
    <n v="5.5"/>
    <n v="498"/>
    <x v="0"/>
    <m/>
    <s v="2024-12-08"/>
    <s v="1086899"/>
    <s v="BANKIM CHANDRA MANDAL"/>
    <s v="7001573946"/>
  </r>
  <r>
    <s v="RCF Import"/>
    <s v="Imp 10-26-26"/>
    <s v="WB"/>
    <x v="9"/>
    <s v="Itahar"/>
    <s v="User Not Mapped"/>
    <s v="User Not Mapped"/>
    <s v="User Not Mapped"/>
    <n v="873986"/>
    <s v="RENU KHATUN"/>
    <s v="Private Retailer"/>
    <s v="9932253417"/>
    <n v="0.55000000000000004"/>
    <n v="63"/>
    <x v="6"/>
    <m/>
    <s v="2026-02-16"/>
    <s v="1086899"/>
    <s v="BANKIM CHANDRA MANDAL"/>
    <s v="7001573946"/>
  </r>
  <r>
    <s v="RCF Import"/>
    <s v="Imp 10-26-26"/>
    <s v="WB"/>
    <x v="9"/>
    <s v="Itahar"/>
    <s v="User Not Mapped"/>
    <s v="User Not Mapped"/>
    <s v="User Not Mapped"/>
    <n v="758578"/>
    <s v="SERAJUL ISLAM"/>
    <s v="Private Retailer"/>
    <s v="6294731529"/>
    <n v="7"/>
    <n v="63"/>
    <x v="6"/>
    <m/>
    <s v="2026-02-16"/>
    <s v="1086899"/>
    <s v="BANKIM CHANDRA MANDAL"/>
    <s v="7001573946"/>
  </r>
  <r>
    <s v="RCF Trombay"/>
    <s v="15-15-15"/>
    <s v="WB"/>
    <x v="9"/>
    <s v="Itahar"/>
    <s v="User Not Mapped"/>
    <s v="User Not Mapped"/>
    <s v="User Not Mapped"/>
    <n v="993222"/>
    <s v="SHIBENDU PRAMANIK"/>
    <s v="Private Retailer"/>
    <s v="9851039499"/>
    <n v="0.15"/>
    <n v="268"/>
    <x v="1"/>
    <m/>
    <s v="2025-07-26"/>
    <s v="1086899"/>
    <s v="BANKIM CHANDRA MANDAL"/>
    <s v="7001573946"/>
  </r>
  <r>
    <s v="RCF Trombay"/>
    <s v="15-15-15"/>
    <s v="WB"/>
    <x v="9"/>
    <s v="Islampur"/>
    <s v="User Not Mapped"/>
    <s v="User Not Mapped"/>
    <s v="User Not Mapped"/>
    <n v="389684"/>
    <s v="Bijon Banarjee"/>
    <s v="Private Retailer"/>
    <s v="9609455194"/>
    <n v="1.6"/>
    <n v="25"/>
    <x v="5"/>
    <m/>
    <s v="2026-03-26"/>
    <s v="1071594"/>
    <s v="BIJON BANERJEE"/>
    <s v="9609455194"/>
  </r>
  <r>
    <s v="RCF Trombay"/>
    <s v="15-15-15"/>
    <s v="WB"/>
    <x v="9"/>
    <s v="Islampur"/>
    <s v="User Not Mapped"/>
    <s v="User Not Mapped"/>
    <s v="User Not Mapped"/>
    <n v="233586"/>
    <s v="M/S RAMNARAYAN PRASAD GUPTA"/>
    <s v="Private Retailer"/>
    <s v="8900223459"/>
    <n v="0.25"/>
    <n v="1979"/>
    <x v="2"/>
    <m/>
    <s v="2020-11-18"/>
    <s v="1071594"/>
    <s v="BIJON BANERJEE"/>
    <s v="9609455194"/>
  </r>
  <r>
    <s v="RCF Trombay"/>
    <s v="15-15-15"/>
    <s v="WB"/>
    <x v="9"/>
    <s v="Islampur"/>
    <s v="User Not Mapped"/>
    <s v="User Not Mapped"/>
    <s v="User Not Mapped"/>
    <n v="1327699"/>
    <s v="M/S AHAMAD RAJA "/>
    <s v="Private Retailer"/>
    <s v="8918052546"/>
    <n v="0.5"/>
    <n v="52"/>
    <x v="3"/>
    <m/>
    <s v="2026-02-27"/>
    <s v="385753"/>
    <s v="Binod Kumar Baheti"/>
    <s v="9800885611"/>
  </r>
  <r>
    <s v="RCF Thal"/>
    <s v="N.C.Urea(45kg)"/>
    <s v="WB"/>
    <x v="9"/>
    <s v="Chopra"/>
    <s v="User Not Mapped"/>
    <s v="User Not Mapped"/>
    <s v="User Not Mapped"/>
    <n v="1400066"/>
    <s v="M/S HAQUE FERTILIZER"/>
    <s v="Private Retailer"/>
    <s v="7908749782"/>
    <n v="1.665"/>
    <n v="41"/>
    <x v="3"/>
    <m/>
    <s v="2026-03-10"/>
    <s v="385753"/>
    <s v="Binod Kumar Baheti"/>
    <s v="9800885611"/>
  </r>
  <r>
    <s v="RCF Trombay"/>
    <s v="15-15-15"/>
    <s v="WB"/>
    <x v="9"/>
    <s v="Chopra"/>
    <s v="User Not Mapped"/>
    <s v="User Not Mapped"/>
    <s v="User Not Mapped"/>
    <n v="1400066"/>
    <s v="M/S HAQUE FERTILIZER"/>
    <s v="Private Retailer"/>
    <s v="7908749782"/>
    <n v="2"/>
    <n v="67"/>
    <x v="6"/>
    <m/>
    <s v="2026-02-12"/>
    <s v="385753"/>
    <s v="Binod Kumar Baheti"/>
    <s v="9800885611"/>
  </r>
  <r>
    <s v="RCF Trombay"/>
    <s v="15-15-15"/>
    <s v="WB"/>
    <x v="9"/>
    <s v="Chopra"/>
    <s v="User Not Mapped"/>
    <s v="User Not Mapped"/>
    <s v="User Not Mapped"/>
    <n v="643471"/>
    <s v="M/S RAJAKUL ISLAM"/>
    <s v="Private Retailer"/>
    <s v="7365998588"/>
    <n v="0.5"/>
    <n v="27"/>
    <x v="5"/>
    <m/>
    <s v="2026-03-24"/>
    <s v="385753"/>
    <s v="Binod Kumar Baheti"/>
    <s v="9800885611"/>
  </r>
  <r>
    <s v="RCF Thal"/>
    <s v="N.C.Urea(45kg)"/>
    <s v="WB"/>
    <x v="9"/>
    <s v="Chopra"/>
    <s v="User Not Mapped"/>
    <s v="User Not Mapped"/>
    <s v="User Not Mapped"/>
    <n v="342204"/>
    <s v="M/S SAHA FERTILIZER"/>
    <s v="Private Retailer"/>
    <s v="9932440501"/>
    <n v="7.4249999999999998"/>
    <n v="41"/>
    <x v="3"/>
    <m/>
    <s v="2026-03-10"/>
    <s v="385753"/>
    <s v="Binod Kumar Baheti"/>
    <s v="9800885611"/>
  </r>
  <r>
    <s v="RCF Trombay"/>
    <s v="15-15-15"/>
    <s v="WB"/>
    <x v="9"/>
    <s v="Chopra"/>
    <s v="User Not Mapped"/>
    <s v="User Not Mapped"/>
    <s v="User Not Mapped"/>
    <n v="294903"/>
    <s v="Noori Fertilizers"/>
    <s v="Private Retailer"/>
    <s v="9851275737"/>
    <n v="0.5"/>
    <n v="45"/>
    <x v="3"/>
    <m/>
    <s v="2026-03-06"/>
    <s v="385753"/>
    <s v="Binod Kumar Baheti"/>
    <s v="9800885611"/>
  </r>
  <r>
    <s v="RCF Trombay"/>
    <s v="15-15-15"/>
    <s v="WB"/>
    <x v="9"/>
    <s v="Chopra"/>
    <s v="User Not Mapped"/>
    <s v="User Not Mapped"/>
    <s v="User Not Mapped"/>
    <n v="356124"/>
    <s v="Safiruddin"/>
    <s v="Private Retailer"/>
    <s v="9609456844"/>
    <n v="1"/>
    <n v="26"/>
    <x v="5"/>
    <m/>
    <s v="2026-03-25"/>
    <s v="385753"/>
    <s v="Binod Kumar Baheti"/>
    <s v="9800885611"/>
  </r>
  <r>
    <s v="RCF Trombay"/>
    <s v="15-15-15"/>
    <s v="WB"/>
    <x v="9"/>
    <s v="Chopra"/>
    <s v="User Not Mapped"/>
    <s v="User Not Mapped"/>
    <s v="User Not Mapped"/>
    <n v="637381"/>
    <s v="SUKDEB BISWAS"/>
    <s v="Private Retailer"/>
    <s v="7586827173"/>
    <n v="1.5"/>
    <n v="11"/>
    <x v="5"/>
    <m/>
    <s v="2026-04-09"/>
    <s v="385753"/>
    <s v="Binod Kumar Baheti"/>
    <s v="9800885611"/>
  </r>
  <r>
    <s v="RCF Import"/>
    <s v="Imp 10-26-26"/>
    <s v="WB"/>
    <x v="9"/>
    <s v="Karandighi"/>
    <s v="User Not Mapped"/>
    <s v="User Not Mapped"/>
    <s v="User Not Mapped"/>
    <n v="1455997"/>
    <s v="ALI ENTERPRISE"/>
    <s v="Private Retailer"/>
    <s v="7602809927"/>
    <n v="0.1"/>
    <n v="630"/>
    <x v="2"/>
    <m/>
    <s v="2024-07-29"/>
    <s v="254732"/>
    <s v="Binod Kumar Maskara"/>
    <s v="8250461848"/>
  </r>
  <r>
    <s v="RCF Trombay"/>
    <s v="15-15-15"/>
    <s v="WB"/>
    <x v="9"/>
    <s v="Goalpokhar - II"/>
    <s v="User Not Mapped"/>
    <s v="User Not Mapped"/>
    <s v="User Not Mapped"/>
    <n v="648960"/>
    <s v="M/S PRADIP SARKAR"/>
    <s v="Private Retailer"/>
    <s v="8016097999"/>
    <n v="4.8"/>
    <n v="69"/>
    <x v="6"/>
    <m/>
    <s v="2026-02-10"/>
    <s v="254732"/>
    <s v="Binod Kumar Maskara"/>
    <s v="8250461848"/>
  </r>
  <r>
    <s v="RCF Thal"/>
    <s v="N.C.Urea(45kg)"/>
    <s v="WB"/>
    <x v="9"/>
    <s v="Goalpokhar - II"/>
    <s v="User Not Mapped"/>
    <s v="User Not Mapped"/>
    <s v="User Not Mapped"/>
    <n v="833805"/>
    <s v="M/S SAFIQUL ALAM"/>
    <s v="Private Retailer"/>
    <s v="8371023846"/>
    <n v="0.315"/>
    <n v="234"/>
    <x v="1"/>
    <m/>
    <s v="2025-08-29"/>
    <s v="254732"/>
    <s v="Binod Kumar Maskara"/>
    <s v="8250461848"/>
  </r>
  <r>
    <s v="RCF Thal"/>
    <s v="N.C.Urea(45kg)"/>
    <s v="WB"/>
    <x v="9"/>
    <s v="Goalpokhar - II"/>
    <s v="User Not Mapped"/>
    <s v="User Not Mapped"/>
    <s v="User Not Mapped"/>
    <n v="1574562"/>
    <s v="MS FARHAN FERTILIZER"/>
    <s v="Private Retailer"/>
    <s v="7477518355"/>
    <n v="0.13500000000000001"/>
    <n v="234"/>
    <x v="1"/>
    <m/>
    <s v="2025-08-29"/>
    <s v="254732"/>
    <s v="Binod Kumar Maskara"/>
    <s v="8250461848"/>
  </r>
  <r>
    <s v="RCF Import"/>
    <s v="Imp 10-26-26"/>
    <s v="WB"/>
    <x v="9"/>
    <s v="Itahar"/>
    <s v="User Not Mapped"/>
    <s v="User Not Mapped"/>
    <s v="User Not Mapped"/>
    <n v="1082772"/>
    <s v="KIRAN AGRO"/>
    <s v="Private Wholsaler"/>
    <s v="7001938584"/>
    <n v="12"/>
    <n v="74"/>
    <x v="6"/>
    <s v="'305'"/>
    <s v="2026-02-05"/>
    <s v="281486"/>
    <s v="Birendra Nath Saha"/>
    <s v="9474942172"/>
  </r>
  <r>
    <s v="RCF Trombay"/>
    <s v="N.C.Urea(45kg)"/>
    <s v="WB"/>
    <x v="9"/>
    <s v="Raiganj"/>
    <s v="User Not Mapped"/>
    <s v="User Not Mapped"/>
    <s v="User Not Mapped"/>
    <n v="457527"/>
    <s v="Ajit  Ghosh"/>
    <s v="Private Retailer"/>
    <s v="7001336815"/>
    <n v="0.67500000000000004"/>
    <n v="65"/>
    <x v="6"/>
    <m/>
    <s v="2026-02-14"/>
    <s v="1084859"/>
    <s v="BISWAS FERTILIZER"/>
    <s v="9635905766"/>
  </r>
  <r>
    <s v="RCF Trombay"/>
    <s v="15-15-15"/>
    <s v="WB"/>
    <x v="9"/>
    <s v="Raiganj"/>
    <s v="User Not Mapped"/>
    <s v="User Not Mapped"/>
    <s v="User Not Mapped"/>
    <n v="843280"/>
    <s v="AMIT FERTILIZER"/>
    <s v="Private Retailer"/>
    <s v="9635568286"/>
    <n v="2.35"/>
    <n v="44"/>
    <x v="3"/>
    <m/>
    <s v="2026-03-07"/>
    <s v="1084859"/>
    <s v="BISWAS FERTILIZER"/>
    <s v="9635905766"/>
  </r>
  <r>
    <s v="RCF Trombay"/>
    <s v="15-15-15"/>
    <s v="WB"/>
    <x v="9"/>
    <s v="Itahar"/>
    <s v="User Not Mapped"/>
    <s v="User Not Mapped"/>
    <s v="User Not Mapped"/>
    <n v="1095176"/>
    <s v="ARUN DHAR"/>
    <s v="Private Retailer"/>
    <s v="6295564656"/>
    <n v="0.3"/>
    <n v="33"/>
    <x v="3"/>
    <m/>
    <s v="2026-03-18"/>
    <s v="1084859"/>
    <s v="BISWAS FERTILIZER"/>
    <s v="9635905766"/>
  </r>
  <r>
    <s v="RCF Thal"/>
    <s v="N.C.Urea(45kg)"/>
    <s v="WB"/>
    <x v="9"/>
    <s v="Raiganj"/>
    <s v="User Not Mapped"/>
    <s v="User Not Mapped"/>
    <s v="User Not Mapped"/>
    <n v="893013"/>
    <s v="De and Brother Fertilizer"/>
    <s v="Private Retailer"/>
    <s v="9434486105"/>
    <n v="0.32"/>
    <n v="1174"/>
    <x v="2"/>
    <m/>
    <s v="2023-02-01"/>
    <s v="1084859"/>
    <s v="BISWAS FERTILIZER"/>
    <s v="9635905766"/>
  </r>
  <r>
    <s v="RCF Trombay"/>
    <s v="15-15-15"/>
    <s v="WB"/>
    <x v="9"/>
    <s v="Itahar"/>
    <s v="User Not Mapped"/>
    <s v="User Not Mapped"/>
    <s v="User Not Mapped"/>
    <n v="389840"/>
    <s v="Durgapur Skus Ltd"/>
    <s v="PACS"/>
    <s v="8293160700"/>
    <n v="0.3"/>
    <n v="1369"/>
    <x v="2"/>
    <m/>
    <s v="2022-07-21"/>
    <s v="1084859"/>
    <s v="BISWAS FERTILIZER"/>
    <s v="9635905766"/>
  </r>
  <r>
    <s v="RCF Trombay"/>
    <s v="15-15-15"/>
    <s v="WB"/>
    <x v="9"/>
    <s v="Itahar"/>
    <s v="User Not Mapped"/>
    <s v="User Not Mapped"/>
    <s v="User Not Mapped"/>
    <n v="233526"/>
    <s v="Faijul Khan"/>
    <s v="Private Retailer"/>
    <s v="9593301618"/>
    <n v="1"/>
    <n v="177"/>
    <x v="4"/>
    <m/>
    <s v="2025-10-25"/>
    <s v="1084859"/>
    <s v="BISWAS FERTILIZER"/>
    <s v="9635905766"/>
  </r>
  <r>
    <s v="RCF Trombay"/>
    <s v="15-15-15"/>
    <s v="WB"/>
    <x v="9"/>
    <s v="Itahar"/>
    <s v="User Not Mapped"/>
    <s v="User Not Mapped"/>
    <s v="User Not Mapped"/>
    <n v="233526"/>
    <s v="Faijul Khan"/>
    <s v="Private Retailer"/>
    <s v="9593301618"/>
    <n v="6.5000000000000002E-2"/>
    <n v="1205"/>
    <x v="2"/>
    <m/>
    <s v="2023-01-01"/>
    <s v="1084859"/>
    <s v="BISWAS FERTILIZER"/>
    <s v="9635905766"/>
  </r>
  <r>
    <s v="RCF Trombay"/>
    <s v="15-15-15"/>
    <s v="WB"/>
    <x v="9"/>
    <s v="Raiganj"/>
    <s v="User Not Mapped"/>
    <s v="User Not Mapped"/>
    <s v="User Not Mapped"/>
    <n v="233531"/>
    <s v="Goutam Kumar Saha"/>
    <s v="Private Retailer"/>
    <s v="9475104113"/>
    <n v="7"/>
    <n v="58"/>
    <x v="3"/>
    <m/>
    <s v="2026-02-21"/>
    <s v="1084859"/>
    <s v="BISWAS FERTILIZER"/>
    <s v="9635905766"/>
  </r>
  <r>
    <s v="RCF Trombay"/>
    <s v="15-15-15"/>
    <s v="WB"/>
    <x v="9"/>
    <s v="Itahar"/>
    <s v="User Not Mapped"/>
    <s v="User Not Mapped"/>
    <s v="User Not Mapped"/>
    <n v="859211"/>
    <s v="HABIBUR RAHAMAN"/>
    <s v="Private Retailer"/>
    <s v="8348441507"/>
    <n v="0.25"/>
    <n v="187"/>
    <x v="1"/>
    <m/>
    <s v="2025-10-15"/>
    <s v="1084859"/>
    <s v="BISWAS FERTILIZER"/>
    <s v="9635905766"/>
  </r>
  <r>
    <s v="RCF Trombay"/>
    <s v="15-15-15"/>
    <s v="WB"/>
    <x v="9"/>
    <s v="Itahar"/>
    <s v="User Not Mapped"/>
    <s v="User Not Mapped"/>
    <s v="User Not Mapped"/>
    <n v="233533"/>
    <s v="Haradhan Paul"/>
    <s v="Private Retailer"/>
    <s v="9002462875"/>
    <n v="5"/>
    <n v="68"/>
    <x v="6"/>
    <m/>
    <s v="2026-02-11"/>
    <s v="1084859"/>
    <s v="BISWAS FERTILIZER"/>
    <s v="9635905766"/>
  </r>
  <r>
    <s v="RCF Trombay"/>
    <s v="15-15-15"/>
    <s v="WB"/>
    <x v="9"/>
    <s v="Itahar"/>
    <s v="User Not Mapped"/>
    <s v="User Not Mapped"/>
    <s v="User Not Mapped"/>
    <n v="1432626"/>
    <s v="JOSIMUDDIN SARKAR AND TAJIRUDD"/>
    <s v="Private Retailer"/>
    <s v="6295111312"/>
    <n v="1"/>
    <n v="9"/>
    <x v="5"/>
    <m/>
    <s v="2026-04-11"/>
    <s v="1084859"/>
    <s v="BISWAS FERTILIZER"/>
    <s v="9635905766"/>
  </r>
  <r>
    <s v="RCF Trombay"/>
    <s v="15-15-15"/>
    <s v="WB"/>
    <x v="9"/>
    <s v="Itahar"/>
    <s v="User Not Mapped"/>
    <s v="User Not Mapped"/>
    <s v="User Not Mapped"/>
    <n v="1138646"/>
    <s v="KALAL SAR BHANDER"/>
    <s v="Private Retailer"/>
    <s v="8016230330"/>
    <n v="2.1"/>
    <n v="565"/>
    <x v="2"/>
    <m/>
    <s v="2024-10-02"/>
    <s v="1084859"/>
    <s v="BISWAS FERTILIZER"/>
    <s v="9635905766"/>
  </r>
  <r>
    <s v="RCF Trombay"/>
    <s v="15-15-15"/>
    <s v="WB"/>
    <x v="9"/>
    <s v="Kaliaganj"/>
    <s v="User Not Mapped"/>
    <s v="User Not Mapped"/>
    <s v="User Not Mapped"/>
    <n v="355181"/>
    <s v="Kobaj Ali"/>
    <s v="Private Retailer"/>
    <s v="9434962393"/>
    <n v="1.3"/>
    <n v="68"/>
    <x v="6"/>
    <m/>
    <s v="2026-02-11"/>
    <s v="1084859"/>
    <s v="BISWAS FERTILIZER"/>
    <s v="9635905766"/>
  </r>
  <r>
    <s v="RCF Trombay"/>
    <s v="15-15-15"/>
    <s v="WB"/>
    <x v="9"/>
    <s v="Itahar"/>
    <s v="User Not Mapped"/>
    <s v="User Not Mapped"/>
    <s v="User Not Mapped"/>
    <n v="1005951"/>
    <s v="M/S ABDUL OHAB"/>
    <s v="Private Retailer"/>
    <s v="7908467189"/>
    <n v="0.25"/>
    <n v="93"/>
    <x v="7"/>
    <m/>
    <s v="2026-01-17"/>
    <s v="1084859"/>
    <s v="BISWAS FERTILIZER"/>
    <s v="9635905766"/>
  </r>
  <r>
    <s v="RCF Trombay"/>
    <s v="15-15-15"/>
    <s v="WB"/>
    <x v="9"/>
    <s v="Hemtabad"/>
    <s v="User Not Mapped"/>
    <s v="User Not Mapped"/>
    <s v="User Not Mapped"/>
    <n v="624369"/>
    <s v="M/s AFIF FERTILIZER"/>
    <s v="Private Retailer"/>
    <s v="9851960060"/>
    <n v="3.05"/>
    <n v="272"/>
    <x v="1"/>
    <m/>
    <s v="2025-07-22"/>
    <s v="1084859"/>
    <s v="BISWAS FERTILIZER"/>
    <s v="9635905766"/>
  </r>
  <r>
    <s v="RCF Trombay"/>
    <s v="15-15-15"/>
    <s v="WB"/>
    <x v="9"/>
    <s v="Itahar"/>
    <s v="User Not Mapped"/>
    <s v="User Not Mapped"/>
    <s v="User Not Mapped"/>
    <n v="919828"/>
    <s v="M/S ASHADUL HAQUE"/>
    <s v="Private Retailer"/>
    <s v="9563585817"/>
    <n v="11.4"/>
    <n v="58"/>
    <x v="3"/>
    <m/>
    <s v="2026-02-21"/>
    <s v="1084859"/>
    <s v="BISWAS FERTILIZER"/>
    <s v="9635905766"/>
  </r>
  <r>
    <s v="RCF Thal"/>
    <s v="N.C.Urea(45kg)"/>
    <s v="WB"/>
    <x v="9"/>
    <s v="Raiganj"/>
    <s v="User Not Mapped"/>
    <s v="User Not Mapped"/>
    <s v="User Not Mapped"/>
    <n v="995070"/>
    <s v="M/S GONI MAHAMMAD"/>
    <s v="Private Retailer"/>
    <s v="9775896735"/>
    <n v="3.5999999999999997E-2"/>
    <n v="1400"/>
    <x v="2"/>
    <m/>
    <s v="2022-06-20"/>
    <s v="1084859"/>
    <s v="BISWAS FERTILIZER"/>
    <s v="9635905766"/>
  </r>
  <r>
    <s v="RCF Trombay"/>
    <s v="15-15-15"/>
    <s v="WB"/>
    <x v="9"/>
    <s v="Raiganj"/>
    <s v="User Not Mapped"/>
    <s v="User Not Mapped"/>
    <s v="User Not Mapped"/>
    <n v="730672"/>
    <s v="M/S SANKAR SAR BEEJ BHANDER"/>
    <s v="Private Retailer"/>
    <s v="9800428459"/>
    <n v="0.5"/>
    <n v="71"/>
    <x v="6"/>
    <m/>
    <s v="2026-02-08"/>
    <s v="1084859"/>
    <s v="BISWAS FERTILIZER"/>
    <s v="9635905766"/>
  </r>
  <r>
    <s v="RCF Trombay"/>
    <s v="15-15-15"/>
    <s v="WB"/>
    <x v="9"/>
    <s v="Raiganj"/>
    <s v="User Not Mapped"/>
    <s v="User Not Mapped"/>
    <s v="User Not Mapped"/>
    <n v="659916"/>
    <s v="M/S SULTANA FERTILIZER"/>
    <s v="Private Retailer"/>
    <s v="9002669295"/>
    <n v="3.8"/>
    <n v="131"/>
    <x v="4"/>
    <m/>
    <s v="2025-12-10"/>
    <s v="1084859"/>
    <s v="BISWAS FERTILIZER"/>
    <s v="9635905766"/>
  </r>
  <r>
    <s v="RCF Thal"/>
    <s v="N.C.Urea(45kg)"/>
    <s v="WB"/>
    <x v="9"/>
    <m/>
    <s v="User Not Mapped"/>
    <s v="User Not Mapped"/>
    <s v="User Not Mapped"/>
    <n v="768088"/>
    <s v="M/S. NARGIS BEGAM"/>
    <s v="Private Retailer"/>
    <s v="7029854924"/>
    <n v="1.8"/>
    <n v="2227"/>
    <x v="2"/>
    <m/>
    <s v="2020-03-15"/>
    <s v="1084859"/>
    <s v="BISWAS FERTILIZER"/>
    <s v="9635905766"/>
  </r>
  <r>
    <s v="RCF Thal"/>
    <s v="N.C.Urea(45kg)"/>
    <s v="WB"/>
    <x v="9"/>
    <m/>
    <s v="User Not Mapped"/>
    <s v="User Not Mapped"/>
    <s v="User Not Mapped"/>
    <n v="768088"/>
    <s v="M/S. NARGIS BEGAM"/>
    <s v="Private Retailer"/>
    <s v="7029854924"/>
    <n v="0.77500000000000002"/>
    <n v="2303"/>
    <x v="2"/>
    <m/>
    <s v="2019-12-30"/>
    <s v="1084859"/>
    <s v="BISWAS FERTILIZER"/>
    <s v="9635905766"/>
  </r>
  <r>
    <s v="RCF Trombay"/>
    <s v="15-15-15"/>
    <s v="WB"/>
    <x v="9"/>
    <s v="Raiganj"/>
    <s v="User Not Mapped"/>
    <s v="User Not Mapped"/>
    <s v="User Not Mapped"/>
    <n v="457545"/>
    <s v="Makul  Sarkar"/>
    <s v="Private Retailer"/>
    <s v="9153917925"/>
    <n v="5.5"/>
    <n v="272"/>
    <x v="1"/>
    <m/>
    <s v="2025-07-22"/>
    <s v="1084859"/>
    <s v="BISWAS FERTILIZER"/>
    <s v="9635905766"/>
  </r>
  <r>
    <s v="RCF Trombay"/>
    <s v="15-15-15"/>
    <s v="WB"/>
    <x v="9"/>
    <s v="Itahar"/>
    <s v="User Not Mapped"/>
    <s v="User Not Mapped"/>
    <s v="User Not Mapped"/>
    <n v="913587"/>
    <s v="MOHD. MASUD RAJI"/>
    <s v="Private Retailer"/>
    <s v="8016063130"/>
    <n v="5.25"/>
    <n v="68"/>
    <x v="6"/>
    <m/>
    <s v="2026-02-11"/>
    <s v="1084859"/>
    <s v="BISWAS FERTILIZER"/>
    <s v="9635905766"/>
  </r>
  <r>
    <s v="RCF Trombay"/>
    <s v="15-15-15"/>
    <s v="WB"/>
    <x v="9"/>
    <s v="Karandighi"/>
    <s v="User Not Mapped"/>
    <s v="User Not Mapped"/>
    <s v="User Not Mapped"/>
    <n v="586720"/>
    <s v="PRANAB FERTILIZER"/>
    <s v="Private Retailer"/>
    <s v="9434565654"/>
    <n v="3.4"/>
    <n v="1251"/>
    <x v="2"/>
    <m/>
    <s v="2022-11-16"/>
    <s v="1084859"/>
    <s v="BISWAS FERTILIZER"/>
    <s v="9635905766"/>
  </r>
  <r>
    <s v="RCF Trombay"/>
    <s v="15-15-15"/>
    <s v="WB"/>
    <x v="9"/>
    <s v="Raiganj"/>
    <s v="User Not Mapped"/>
    <s v="User Not Mapped"/>
    <s v="User Not Mapped"/>
    <n v="233580"/>
    <s v="Prasanta Kumar Mandal"/>
    <s v="Private Retailer"/>
    <s v="8348091821"/>
    <n v="1.9E-2"/>
    <n v="256"/>
    <x v="1"/>
    <m/>
    <s v="2025-08-07"/>
    <s v="1084859"/>
    <s v="BISWAS FERTILIZER"/>
    <s v="9635905766"/>
  </r>
  <r>
    <s v="RCF Trombay"/>
    <s v="15-15-15"/>
    <s v="WB"/>
    <x v="9"/>
    <s v="Raiganj"/>
    <s v="User Not Mapped"/>
    <s v="User Not Mapped"/>
    <s v="User Not Mapped"/>
    <n v="233580"/>
    <s v="Prasanta Kumar Mandal"/>
    <s v="Private Retailer"/>
    <s v="8348091821"/>
    <n v="1"/>
    <n v="122"/>
    <x v="4"/>
    <m/>
    <s v="2025-12-19"/>
    <s v="1084859"/>
    <s v="BISWAS FERTILIZER"/>
    <s v="9635905766"/>
  </r>
  <r>
    <s v="RCF Trombay"/>
    <s v="15-15-15"/>
    <s v="WB"/>
    <x v="9"/>
    <s v="Raiganj"/>
    <s v="User Not Mapped"/>
    <s v="User Not Mapped"/>
    <s v="User Not Mapped"/>
    <n v="870667"/>
    <s v="RITU FERTILIZER"/>
    <s v="Private Retailer"/>
    <s v="9547484044"/>
    <n v="1"/>
    <n v="895"/>
    <x v="2"/>
    <m/>
    <s v="2023-11-07"/>
    <s v="1084859"/>
    <s v="BISWAS FERTILIZER"/>
    <s v="9635905766"/>
  </r>
  <r>
    <s v="RCF Trombay"/>
    <s v="15-15-15"/>
    <s v="WB"/>
    <x v="9"/>
    <s v="Itahar"/>
    <s v="User Not Mapped"/>
    <s v="User Not Mapped"/>
    <s v="User Not Mapped"/>
    <n v="457537"/>
    <s v="Romijuddin Ahammed"/>
    <s v="Private Retailer"/>
    <s v="7029120163"/>
    <n v="1"/>
    <n v="9"/>
    <x v="5"/>
    <m/>
    <s v="2026-04-11"/>
    <s v="1084859"/>
    <s v="BISWAS FERTILIZER"/>
    <s v="9635905766"/>
  </r>
  <r>
    <s v="RCF Trombay"/>
    <s v="15-15-15"/>
    <s v="WB"/>
    <x v="9"/>
    <s v="Raiganj"/>
    <s v="User Not Mapped"/>
    <s v="User Not Mapped"/>
    <s v="User Not Mapped"/>
    <n v="1527761"/>
    <s v="SABUJ BIPLAB"/>
    <s v="Private Retailer"/>
    <s v="8016617104"/>
    <n v="0.8"/>
    <n v="152"/>
    <x v="4"/>
    <m/>
    <s v="2025-11-19"/>
    <s v="1084859"/>
    <s v="BISWAS FERTILIZER"/>
    <s v="9635905766"/>
  </r>
  <r>
    <s v="RCF Trombay"/>
    <s v="15-15-15"/>
    <s v="WB"/>
    <x v="9"/>
    <s v="Raiganj"/>
    <s v="User Not Mapped"/>
    <s v="User Not Mapped"/>
    <s v="User Not Mapped"/>
    <n v="1527761"/>
    <s v="SABUJ BIPLAB"/>
    <s v="Private Retailer"/>
    <s v="8016617104"/>
    <n v="3"/>
    <n v="134"/>
    <x v="4"/>
    <m/>
    <s v="2025-12-07"/>
    <s v="1084859"/>
    <s v="BISWAS FERTILIZER"/>
    <s v="9635905766"/>
  </r>
  <r>
    <s v="RCF Trombay"/>
    <s v="15-15-15"/>
    <s v="WB"/>
    <x v="9"/>
    <s v="Raiganj"/>
    <s v="User Not Mapped"/>
    <s v="User Not Mapped"/>
    <s v="User Not Mapped"/>
    <n v="1527761"/>
    <s v="SABUJ BIPLAB"/>
    <s v="Private Retailer"/>
    <s v="8016617104"/>
    <n v="0.75"/>
    <n v="514"/>
    <x v="0"/>
    <m/>
    <s v="2024-11-22"/>
    <s v="1084859"/>
    <s v="BISWAS FERTILIZER"/>
    <s v="9635905766"/>
  </r>
  <r>
    <s v="RCF Trombay"/>
    <s v="15-15-15"/>
    <s v="WB"/>
    <x v="9"/>
    <s v="Raiganj"/>
    <s v="User Not Mapped"/>
    <s v="User Not Mapped"/>
    <s v="User Not Mapped"/>
    <n v="1527761"/>
    <s v="SABUJ BIPLAB"/>
    <s v="Private Retailer"/>
    <s v="8016617104"/>
    <n v="0.5"/>
    <n v="284"/>
    <x v="1"/>
    <m/>
    <s v="2025-07-10"/>
    <s v="1084859"/>
    <s v="BISWAS FERTILIZER"/>
    <s v="9635905766"/>
  </r>
  <r>
    <s v="RCF Trombay"/>
    <s v="15-15-15"/>
    <s v="WB"/>
    <x v="9"/>
    <s v="Raiganj"/>
    <s v="User Not Mapped"/>
    <s v="User Not Mapped"/>
    <s v="User Not Mapped"/>
    <n v="751636"/>
    <s v="SANKAR BARMAN"/>
    <s v="Private Retailer"/>
    <s v="8972843648"/>
    <n v="1"/>
    <n v="285"/>
    <x v="1"/>
    <m/>
    <s v="2025-07-09"/>
    <s v="1084859"/>
    <s v="BISWAS FERTILIZER"/>
    <s v="9635905766"/>
  </r>
  <r>
    <s v="RCF Trombay"/>
    <s v="15-15-15"/>
    <s v="WB"/>
    <x v="9"/>
    <s v="Raiganj"/>
    <s v="User Not Mapped"/>
    <s v="User Not Mapped"/>
    <s v="User Not Mapped"/>
    <n v="606361"/>
    <s v="SHEPAL BISWAS"/>
    <s v="Private Retailer"/>
    <s v="8637078174"/>
    <n v="0.7"/>
    <n v="272"/>
    <x v="1"/>
    <m/>
    <s v="2025-07-22"/>
    <s v="1084859"/>
    <s v="BISWAS FERTILIZER"/>
    <s v="9635905766"/>
  </r>
  <r>
    <s v="RCF Trombay"/>
    <s v="15-15-15"/>
    <s v="WB"/>
    <x v="9"/>
    <s v="Itahar"/>
    <s v="User Not Mapped"/>
    <s v="User Not Mapped"/>
    <s v="User Not Mapped"/>
    <n v="897468"/>
    <s v="SUNIL CHANDRA KARMAKAR"/>
    <s v="Private Retailer"/>
    <s v="9735044906"/>
    <n v="0.14499999999999999"/>
    <n v="135"/>
    <x v="4"/>
    <m/>
    <s v="2025-12-06"/>
    <s v="1084859"/>
    <s v="BISWAS FERTILIZER"/>
    <s v="9635905766"/>
  </r>
  <r>
    <s v="RCF Import"/>
    <s v="Imp 10-26-26"/>
    <s v="WB"/>
    <x v="9"/>
    <s v="Hemtabad"/>
    <s v="User Not Mapped"/>
    <s v="User Not Mapped"/>
    <s v="User Not Mapped"/>
    <n v="1502174"/>
    <s v="SUNRISE KRISHI BHANDAR"/>
    <s v="Private Retailer"/>
    <s v="9563971955"/>
    <n v="0.8"/>
    <n v="493"/>
    <x v="0"/>
    <m/>
    <s v="2024-12-13"/>
    <s v="1084859"/>
    <s v="BISWAS FERTILIZER"/>
    <s v="9635905766"/>
  </r>
  <r>
    <s v="RCF Trombay"/>
    <s v="15-15-15"/>
    <s v="WB"/>
    <x v="9"/>
    <s v="Itahar"/>
    <s v="User Not Mapped"/>
    <s v="User Not Mapped"/>
    <s v="User Not Mapped"/>
    <n v="342435"/>
    <s v="Talebur Rahaman"/>
    <s v="Private Retailer"/>
    <s v="7001896119"/>
    <n v="5"/>
    <n v="68"/>
    <x v="6"/>
    <m/>
    <s v="2026-02-11"/>
    <s v="1084859"/>
    <s v="BISWAS FERTILIZER"/>
    <s v="9635905766"/>
  </r>
  <r>
    <s v="RCF Import"/>
    <s v="Imp 10-26-26"/>
    <s v="WB"/>
    <x v="9"/>
    <s v="Kaliaganj"/>
    <s v="User Not Mapped"/>
    <s v="User Not Mapped"/>
    <s v="User Not Mapped"/>
    <n v="946894"/>
    <s v="AINUL HAQUE"/>
    <s v="Private Retailer"/>
    <s v="9933677149"/>
    <n v="0.1"/>
    <n v="473"/>
    <x v="0"/>
    <m/>
    <s v="2025-01-02"/>
    <s v="333141"/>
    <s v="Biswjit Kundu"/>
    <s v="7001510217"/>
  </r>
  <r>
    <s v="RCF Thal"/>
    <s v="N.C.Urea(45kg)"/>
    <s v="WB"/>
    <x v="9"/>
    <s v="Raiganj"/>
    <s v="User Not Mapped"/>
    <s v="User Not Mapped"/>
    <s v="User Not Mapped"/>
    <n v="839852"/>
    <s v="DURGA ROY"/>
    <s v="Private Retailer"/>
    <s v="9002155441"/>
    <n v="0.02"/>
    <n v="210"/>
    <x v="1"/>
    <m/>
    <s v="2025-09-22"/>
    <s v="333141"/>
    <s v="Biswjit Kundu"/>
    <s v="7001510217"/>
  </r>
  <r>
    <s v="RCF Thal"/>
    <s v="N.C.Urea(45kg)"/>
    <s v="WB"/>
    <x v="9"/>
    <s v="Kaliaganj"/>
    <s v="User Not Mapped"/>
    <s v="User Not Mapped"/>
    <s v="User Not Mapped"/>
    <n v="633484"/>
    <s v="M/S TAIMUR AHAMED"/>
    <s v="Private Retailer"/>
    <s v="9733394897"/>
    <n v="5.94"/>
    <n v="210"/>
    <x v="1"/>
    <m/>
    <s v="2025-09-22"/>
    <s v="333141"/>
    <s v="Biswjit Kundu"/>
    <s v="7001510217"/>
  </r>
  <r>
    <s v="RCF Import"/>
    <s v="Imp 10-26-26"/>
    <s v="WB"/>
    <x v="9"/>
    <s v="Kaliaganj"/>
    <s v="User Not Mapped"/>
    <s v="User Not Mapped"/>
    <s v="User Not Mapped"/>
    <n v="908933"/>
    <s v="MIJANUR HOQUE"/>
    <s v="Private Retailer"/>
    <s v="8101636788"/>
    <n v="0.35"/>
    <n v="485"/>
    <x v="0"/>
    <m/>
    <s v="2024-12-21"/>
    <s v="333141"/>
    <s v="Biswjit Kundu"/>
    <s v="7001510217"/>
  </r>
  <r>
    <s v="RCF Import"/>
    <s v="Imp 10-26-26"/>
    <s v="WB"/>
    <x v="9"/>
    <s v="Kaliaganj"/>
    <s v="User Not Mapped"/>
    <s v="User Not Mapped"/>
    <s v="User Not Mapped"/>
    <n v="978382"/>
    <s v="NEPAL CHANDRA SAHA"/>
    <s v="Private Retailer"/>
    <s v="9126818461"/>
    <n v="0.2"/>
    <n v="485"/>
    <x v="0"/>
    <m/>
    <s v="2024-12-21"/>
    <s v="333141"/>
    <s v="Biswjit Kundu"/>
    <s v="7001510217"/>
  </r>
  <r>
    <s v="RCF Import"/>
    <s v="Imp 10-26-26"/>
    <s v="WB"/>
    <x v="9"/>
    <s v="Kaliaganj"/>
    <s v="User Not Mapped"/>
    <s v="User Not Mapped"/>
    <s v="User Not Mapped"/>
    <n v="1021697"/>
    <s v="NIRMA DEBSARMA"/>
    <s v="Private Retailer"/>
    <s v="8016287172"/>
    <n v="0.1"/>
    <n v="485"/>
    <x v="0"/>
    <m/>
    <s v="2024-12-21"/>
    <s v="333141"/>
    <s v="Biswjit Kundu"/>
    <s v="7001510217"/>
  </r>
  <r>
    <s v="RCF Trombay"/>
    <s v="15-15-15"/>
    <s v="WB"/>
    <x v="9"/>
    <m/>
    <s v="User Not Mapped"/>
    <s v="User Not Mapped"/>
    <s v="User Not Mapped"/>
    <n v="342468"/>
    <s v="Tarun Kanti Ghosh"/>
    <s v="Private Retailer"/>
    <s v="9735974282"/>
    <n v="0.25"/>
    <n v="1350"/>
    <x v="2"/>
    <m/>
    <s v="2022-08-09"/>
    <s v="333141"/>
    <s v="Biswjit Kundu"/>
    <s v="7001510217"/>
  </r>
  <r>
    <s v="RCF Trombay"/>
    <s v="15-15-15"/>
    <s v="WB"/>
    <x v="9"/>
    <s v="Chopra"/>
    <s v="User Not Mapped"/>
    <s v="User Not Mapped"/>
    <s v="User Not Mapped"/>
    <n v="1377430"/>
    <s v="GOURAB KUMAR BHAGAT"/>
    <s v="Private Retailer"/>
    <s v="9614601219"/>
    <n v="0.25"/>
    <n v="186"/>
    <x v="1"/>
    <m/>
    <s v="2025-10-16"/>
    <s v="1285645"/>
    <s v="DUTTA FERTILIZER"/>
    <s v="8250622045"/>
  </r>
  <r>
    <s v="RCF Trombay"/>
    <s v="15-15-15"/>
    <s v="WB"/>
    <x v="9"/>
    <s v="Chopra"/>
    <s v="User Not Mapped"/>
    <s v="User Not Mapped"/>
    <s v="User Not Mapped"/>
    <n v="1377430"/>
    <s v="GOURAB KUMAR BHAGAT"/>
    <s v="Private Retailer"/>
    <s v="9614601219"/>
    <n v="0.5"/>
    <n v="124"/>
    <x v="4"/>
    <m/>
    <s v="2025-12-17"/>
    <s v="1285645"/>
    <s v="DUTTA FERTILIZER"/>
    <s v="8250622045"/>
  </r>
  <r>
    <s v="RCF Trombay"/>
    <s v="15-15-15"/>
    <s v="WB"/>
    <x v="9"/>
    <s v="Chopra"/>
    <s v="User Not Mapped"/>
    <s v="User Not Mapped"/>
    <s v="User Not Mapped"/>
    <n v="1377430"/>
    <s v="GOURAB KUMAR BHAGAT"/>
    <s v="Private Retailer"/>
    <s v="9614601219"/>
    <n v="0.25"/>
    <n v="490"/>
    <x v="0"/>
    <m/>
    <s v="2024-12-16"/>
    <s v="1285645"/>
    <s v="DUTTA FERTILIZER"/>
    <s v="8250622045"/>
  </r>
  <r>
    <s v="RCF Trombay"/>
    <s v="15-15-15"/>
    <s v="WB"/>
    <x v="9"/>
    <s v="Chopra"/>
    <s v="User Not Mapped"/>
    <s v="User Not Mapped"/>
    <s v="User Not Mapped"/>
    <n v="1377430"/>
    <s v="GOURAB KUMAR BHAGAT"/>
    <s v="Private Retailer"/>
    <s v="9614601219"/>
    <n v="0.5"/>
    <n v="27"/>
    <x v="5"/>
    <m/>
    <s v="2026-03-24"/>
    <s v="1285645"/>
    <s v="DUTTA FERTILIZER"/>
    <s v="8250622045"/>
  </r>
  <r>
    <s v="RCF Trombay"/>
    <s v="15-15-15"/>
    <s v="WB"/>
    <x v="9"/>
    <s v="Chopra"/>
    <s v="User Not Mapped"/>
    <s v="User Not Mapped"/>
    <s v="User Not Mapped"/>
    <n v="599993"/>
    <s v="LOKNATH FERTILIZER"/>
    <s v="Private Retailer"/>
    <s v="9932631056"/>
    <n v="2.5"/>
    <n v="156"/>
    <x v="4"/>
    <m/>
    <s v="2025-11-15"/>
    <s v="1285645"/>
    <s v="DUTTA FERTILIZER"/>
    <s v="8250622045"/>
  </r>
  <r>
    <s v="RCF Trombay"/>
    <s v="15-15-15"/>
    <s v="WB"/>
    <x v="9"/>
    <s v="Raiganj"/>
    <s v="User Not Mapped"/>
    <s v="User Not Mapped"/>
    <s v="User Not Mapped"/>
    <n v="843292"/>
    <s v="Ahammad rejaul hoque"/>
    <s v="Private Retailer"/>
    <s v="9434120669"/>
    <n v="0.75"/>
    <n v="50"/>
    <x v="3"/>
    <m/>
    <s v="2026-03-01"/>
    <s v="949278"/>
    <s v="GHOSH FERTILIZER"/>
    <s v="9434967172"/>
  </r>
  <r>
    <s v="RCF Trombay"/>
    <s v="15-15-15"/>
    <s v="WB"/>
    <x v="9"/>
    <s v="Raiganj"/>
    <s v="User Not Mapped"/>
    <s v="User Not Mapped"/>
    <s v="User Not Mapped"/>
    <n v="843292"/>
    <s v="Ahammad rejaul hoque"/>
    <s v="Private Retailer"/>
    <s v="9434120669"/>
    <n v="0.5"/>
    <n v="77"/>
    <x v="6"/>
    <m/>
    <s v="2026-02-02"/>
    <s v="949278"/>
    <s v="GHOSH FERTILIZER"/>
    <s v="9434967172"/>
  </r>
  <r>
    <s v="RCF Trombay"/>
    <s v="15-15-15"/>
    <s v="WB"/>
    <x v="9"/>
    <s v="Raiganj"/>
    <s v="User Not Mapped"/>
    <s v="User Not Mapped"/>
    <s v="User Not Mapped"/>
    <n v="843292"/>
    <s v="Ahammad rejaul hoque"/>
    <s v="Private Retailer"/>
    <s v="9434120669"/>
    <n v="0.75"/>
    <n v="128"/>
    <x v="4"/>
    <m/>
    <s v="2025-12-13"/>
    <s v="949278"/>
    <s v="GHOSH FERTILIZER"/>
    <s v="9434967172"/>
  </r>
  <r>
    <s v="RCF Trombay"/>
    <s v="15-15-15"/>
    <s v="WB"/>
    <x v="9"/>
    <s v="Raiganj"/>
    <s v="User Not Mapped"/>
    <s v="User Not Mapped"/>
    <s v="User Not Mapped"/>
    <n v="843292"/>
    <s v="Ahammad rejaul hoque"/>
    <s v="Private Retailer"/>
    <s v="9434120669"/>
    <n v="0.5"/>
    <n v="22"/>
    <x v="5"/>
    <m/>
    <s v="2026-03-29"/>
    <s v="949278"/>
    <s v="GHOSH FERTILIZER"/>
    <s v="9434967172"/>
  </r>
  <r>
    <s v="RCF Trombay"/>
    <s v="15-15-15"/>
    <s v="WB"/>
    <x v="9"/>
    <s v="Raiganj"/>
    <s v="User Not Mapped"/>
    <s v="User Not Mapped"/>
    <s v="User Not Mapped"/>
    <n v="843292"/>
    <s v="Ahammad rejaul hoque"/>
    <s v="Private Retailer"/>
    <s v="9434120669"/>
    <n v="0.3"/>
    <n v="353"/>
    <x v="1"/>
    <m/>
    <s v="2025-05-02"/>
    <s v="949278"/>
    <s v="GHOSH FERTILIZER"/>
    <s v="9434967172"/>
  </r>
  <r>
    <s v="RCF Trombay"/>
    <s v="15-15-15"/>
    <s v="WB"/>
    <x v="9"/>
    <s v="Raiganj"/>
    <s v="User Not Mapped"/>
    <s v="User Not Mapped"/>
    <s v="User Not Mapped"/>
    <n v="354948"/>
    <s v="Gobinda Chandra  Paul"/>
    <s v="Private Retailer"/>
    <s v="7001347202"/>
    <n v="0.4"/>
    <n v="55"/>
    <x v="3"/>
    <m/>
    <s v="2026-02-24"/>
    <s v="949278"/>
    <s v="GHOSH FERTILIZER"/>
    <s v="9434967172"/>
  </r>
  <r>
    <s v="RCF Trombay"/>
    <s v="15-15-15"/>
    <s v="WB"/>
    <x v="9"/>
    <s v="Raiganj"/>
    <s v="User Not Mapped"/>
    <s v="User Not Mapped"/>
    <s v="User Not Mapped"/>
    <n v="836962"/>
    <s v="M/S NAJAR MOHAMMAD"/>
    <s v="Private Retailer"/>
    <s v="8972404168"/>
    <n v="0.5"/>
    <n v="176"/>
    <x v="4"/>
    <m/>
    <s v="2025-10-26"/>
    <s v="949278"/>
    <s v="GHOSH FERTILIZER"/>
    <s v="9434967172"/>
  </r>
  <r>
    <s v="RCF Trombay"/>
    <s v="15-15-15"/>
    <s v="WB"/>
    <x v="9"/>
    <s v="Raiganj"/>
    <s v="User Not Mapped"/>
    <s v="User Not Mapped"/>
    <s v="User Not Mapped"/>
    <n v="853413"/>
    <s v="M/s. RADHA KANTA SAR BHANDAR"/>
    <s v="Private Retailer"/>
    <s v="7797011050"/>
    <n v="0.5"/>
    <n v="396"/>
    <x v="0"/>
    <m/>
    <s v="2025-03-20"/>
    <s v="949278"/>
    <s v="GHOSH FERTILIZER"/>
    <s v="9434967172"/>
  </r>
  <r>
    <s v="RCF Trombay"/>
    <s v="15-15-15"/>
    <s v="WB"/>
    <x v="9"/>
    <s v="Raiganj"/>
    <s v="User Not Mapped"/>
    <s v="User Not Mapped"/>
    <s v="User Not Mapped"/>
    <n v="853413"/>
    <s v="M/s. RADHA KANTA SAR BHANDAR"/>
    <s v="Private Retailer"/>
    <s v="7797011050"/>
    <n v="0.1"/>
    <n v="1084"/>
    <x v="2"/>
    <m/>
    <s v="2023-05-02"/>
    <s v="949278"/>
    <s v="GHOSH FERTILIZER"/>
    <s v="9434967172"/>
  </r>
  <r>
    <s v="RCF Trombay"/>
    <s v="15-15-15"/>
    <s v="WB"/>
    <x v="9"/>
    <s v="Raiganj"/>
    <s v="User Not Mapped"/>
    <s v="User Not Mapped"/>
    <s v="User Not Mapped"/>
    <n v="853413"/>
    <s v="M/s. RADHA KANTA SAR BHANDAR"/>
    <s v="Private Retailer"/>
    <s v="7797011050"/>
    <n v="0.5"/>
    <n v="77"/>
    <x v="6"/>
    <m/>
    <s v="2026-02-02"/>
    <s v="949278"/>
    <s v="GHOSH FERTILIZER"/>
    <s v="9434967172"/>
  </r>
  <r>
    <s v="RCF Trombay"/>
    <s v="15-15-15"/>
    <s v="WB"/>
    <x v="9"/>
    <s v="Raiganj"/>
    <s v="User Not Mapped"/>
    <s v="User Not Mapped"/>
    <s v="User Not Mapped"/>
    <n v="889514"/>
    <s v="MALEK FERTILIZER"/>
    <s v="Private Retailer"/>
    <s v="7074236967"/>
    <n v="0.5"/>
    <n v="176"/>
    <x v="4"/>
    <m/>
    <s v="2025-10-26"/>
    <s v="949278"/>
    <s v="GHOSH FERTILIZER"/>
    <s v="9434967172"/>
  </r>
  <r>
    <s v="RCF Trombay"/>
    <s v="15-15-15"/>
    <s v="WB"/>
    <x v="9"/>
    <s v="Raiganj"/>
    <s v="User Not Mapped"/>
    <s v="User Not Mapped"/>
    <s v="User Not Mapped"/>
    <n v="341945"/>
    <s v="Modak Sar Bhandar"/>
    <s v="Private Retailer"/>
    <s v="9593212675"/>
    <n v="0.7"/>
    <n v="625"/>
    <x v="2"/>
    <m/>
    <s v="2024-08-03"/>
    <s v="949278"/>
    <s v="GHOSH FERTILIZER"/>
    <s v="9434967172"/>
  </r>
  <r>
    <s v="RCF Trombay"/>
    <s v="15-15-15"/>
    <s v="WB"/>
    <x v="9"/>
    <s v="Raiganj"/>
    <s v="User Not Mapped"/>
    <s v="User Not Mapped"/>
    <s v="User Not Mapped"/>
    <n v="1462022"/>
    <s v="REHAN TRADERS"/>
    <s v="Private Retailer"/>
    <s v="9932389022"/>
    <n v="0.15"/>
    <n v="660"/>
    <x v="2"/>
    <m/>
    <s v="2024-06-29"/>
    <s v="949278"/>
    <s v="GHOSH FERTILIZER"/>
    <s v="9434967172"/>
  </r>
  <r>
    <s v="RCF Trombay"/>
    <s v="15-15-15"/>
    <s v="WB"/>
    <x v="9"/>
    <s v="Raiganj"/>
    <s v="User Not Mapped"/>
    <s v="User Not Mapped"/>
    <s v="User Not Mapped"/>
    <n v="870667"/>
    <s v="RITU FERTILIZER"/>
    <s v="Private Retailer"/>
    <s v="9547484044"/>
    <n v="0.95"/>
    <n v="1582"/>
    <x v="2"/>
    <m/>
    <s v="2021-12-20"/>
    <s v="949278"/>
    <s v="GHOSH FERTILIZER"/>
    <s v="9434967172"/>
  </r>
  <r>
    <s v="RCF Trombay"/>
    <s v="N.C.Urea(45kg)"/>
    <s v="WB"/>
    <x v="9"/>
    <s v="Raiganj"/>
    <s v="User Not Mapped"/>
    <s v="User Not Mapped"/>
    <s v="User Not Mapped"/>
    <n v="870667"/>
    <s v="RITU FERTILIZER"/>
    <s v="Private Retailer"/>
    <s v="9547484044"/>
    <n v="0.18"/>
    <n v="1582"/>
    <x v="2"/>
    <m/>
    <s v="2021-12-20"/>
    <s v="949278"/>
    <s v="GHOSH FERTILIZER"/>
    <s v="9434967172"/>
  </r>
  <r>
    <s v="RCF Trombay"/>
    <s v="15-15-15"/>
    <s v="WB"/>
    <x v="9"/>
    <s v="Kaliaganj"/>
    <s v="User Not Mapped"/>
    <s v="User Not Mapped"/>
    <s v="User Not Mapped"/>
    <n v="586724"/>
    <s v="SABUJ BIPLAB"/>
    <s v="Private Retailer"/>
    <s v="7908359820"/>
    <n v="1.5"/>
    <n v="17"/>
    <x v="5"/>
    <m/>
    <s v="2026-04-03"/>
    <s v="949278"/>
    <s v="GHOSH FERTILIZER"/>
    <s v="9434967172"/>
  </r>
  <r>
    <s v="RCF Trombay"/>
    <s v="15-15-15"/>
    <s v="WB"/>
    <x v="9"/>
    <s v="Raiganj"/>
    <s v="User Not Mapped"/>
    <s v="User Not Mapped"/>
    <s v="User Not Mapped"/>
    <n v="909590"/>
    <s v="SIMA FERTILIZER"/>
    <s v="Private Retailer"/>
    <s v="8637045549"/>
    <n v="0.5"/>
    <n v="458"/>
    <x v="0"/>
    <m/>
    <s v="2025-01-17"/>
    <s v="949278"/>
    <s v="GHOSH FERTILIZER"/>
    <s v="9434967172"/>
  </r>
  <r>
    <s v="RCF Trombay"/>
    <s v="15-15-15"/>
    <s v="WB"/>
    <x v="9"/>
    <m/>
    <s v="User Not Mapped"/>
    <s v="User Not Mapped"/>
    <s v="User Not Mapped"/>
    <n v="355056"/>
    <s v="Jahar Kumar Das"/>
    <s v="Private Retailer"/>
    <s v="8250003688"/>
    <n v="0.8"/>
    <n v="107"/>
    <x v="7"/>
    <m/>
    <s v="2026-01-03"/>
    <s v="1292397"/>
    <s v="JAHAR KUMAR DAS"/>
    <s v="8250003688"/>
  </r>
  <r>
    <s v="RCF Trombay"/>
    <s v="15-15-15"/>
    <s v="WB"/>
    <x v="9"/>
    <m/>
    <s v="User Not Mapped"/>
    <s v="User Not Mapped"/>
    <s v="User Not Mapped"/>
    <n v="355056"/>
    <s v="Jahar Kumar Das"/>
    <s v="Private Retailer"/>
    <s v="8250003688"/>
    <n v="2"/>
    <n v="98"/>
    <x v="7"/>
    <m/>
    <s v="2026-01-12"/>
    <s v="1292397"/>
    <s v="JAHAR KUMAR DAS"/>
    <s v="8250003688"/>
  </r>
  <r>
    <s v="RCF Trombay"/>
    <s v="15-15-15"/>
    <s v="WB"/>
    <x v="9"/>
    <m/>
    <s v="User Not Mapped"/>
    <s v="User Not Mapped"/>
    <s v="User Not Mapped"/>
    <n v="355056"/>
    <s v="Jahar Kumar Das"/>
    <s v="Private Retailer"/>
    <s v="8250003688"/>
    <n v="4"/>
    <n v="20"/>
    <x v="5"/>
    <m/>
    <s v="2026-03-31"/>
    <s v="1292397"/>
    <s v="JAHAR KUMAR DAS"/>
    <s v="8250003688"/>
  </r>
  <r>
    <s v="RCF Trombay"/>
    <s v="15-15-15"/>
    <s v="WB"/>
    <x v="9"/>
    <s v="Raiganj"/>
    <s v="User Not Mapped"/>
    <s v="User Not Mapped"/>
    <s v="User Not Mapped"/>
    <n v="737130"/>
    <s v="MAHATO FERTILIZER SHOP"/>
    <s v="Private Retailer"/>
    <s v="8145760033"/>
    <n v="2.0499999999999998"/>
    <n v="176"/>
    <x v="4"/>
    <m/>
    <s v="2025-10-26"/>
    <s v="1292397"/>
    <s v="JAHAR KUMAR DAS"/>
    <s v="8250003688"/>
  </r>
  <r>
    <s v="RCF Import"/>
    <s v="MOP"/>
    <s v="WB"/>
    <x v="9"/>
    <s v="Kaliaganj"/>
    <s v="User Not Mapped"/>
    <s v="User Not Mapped"/>
    <s v="User Not Mapped"/>
    <n v="949196"/>
    <s v="BIMAL SARKAR"/>
    <s v="Private Retailer"/>
    <s v="9547428532"/>
    <n v="0.25"/>
    <n v="497"/>
    <x v="0"/>
    <m/>
    <s v="2024-12-09"/>
    <s v="1102258"/>
    <s v="KALIAGANJ KRISH GHORE"/>
    <s v="9547474206"/>
  </r>
  <r>
    <s v="RCF Import"/>
    <s v="MOP"/>
    <s v="WB"/>
    <x v="9"/>
    <s v="Kaliaganj"/>
    <s v="User Not Mapped"/>
    <s v="User Not Mapped"/>
    <s v="User Not Mapped"/>
    <n v="1158971"/>
    <s v="KALYAGANJ KUPC LTD"/>
    <s v="Private Retailer"/>
    <s v="8116422580"/>
    <n v="0.06"/>
    <n v="479"/>
    <x v="0"/>
    <m/>
    <s v="2024-12-27"/>
    <s v="1102258"/>
    <s v="KALIAGANJ KRISH GHORE"/>
    <s v="9547474206"/>
  </r>
  <r>
    <s v="RCF Import"/>
    <s v="MOP"/>
    <s v="WB"/>
    <x v="9"/>
    <s v="Kaliaganj"/>
    <s v="User Not Mapped"/>
    <s v="User Not Mapped"/>
    <s v="User Not Mapped"/>
    <n v="888816"/>
    <s v="M/s. KRISHI BHANDER"/>
    <s v="Private Retailer"/>
    <s v="8967246487"/>
    <n v="0.05"/>
    <n v="460"/>
    <x v="0"/>
    <m/>
    <s v="2025-01-15"/>
    <s v="1102258"/>
    <s v="KALIAGANJ KRISH GHORE"/>
    <s v="9547474206"/>
  </r>
  <r>
    <s v="RCF Import"/>
    <s v="MOP"/>
    <s v="WB"/>
    <x v="9"/>
    <s v="Kaliaganj"/>
    <s v="User Not Mapped"/>
    <s v="User Not Mapped"/>
    <s v="User Not Mapped"/>
    <n v="342465"/>
    <s v="Pradip Kumar Sarkar"/>
    <s v="Private Retailer"/>
    <s v="9593636519"/>
    <n v="0.15"/>
    <n v="497"/>
    <x v="0"/>
    <m/>
    <s v="2024-12-09"/>
    <s v="1102258"/>
    <s v="KALIAGANJ KRISH GHORE"/>
    <s v="9547474206"/>
  </r>
  <r>
    <s v="RCF Trombay"/>
    <s v="N.C.Urea(45kg)"/>
    <s v="WB"/>
    <x v="9"/>
    <s v="Hemtabad"/>
    <s v="User Not Mapped"/>
    <s v="User Not Mapped"/>
    <s v="User Not Mapped"/>
    <n v="342403"/>
    <s v="Samsul Haque"/>
    <s v="Private Retailer"/>
    <s v="9932187464"/>
    <n v="0.09"/>
    <n v="466"/>
    <x v="0"/>
    <m/>
    <s v="2025-01-09"/>
    <s v="1412930"/>
    <s v="KARNAJORA CO-OPERATIVE AGRICUL"/>
    <s v="8250457408"/>
  </r>
  <r>
    <s v="RCF Trombay"/>
    <s v="N.C.Urea(45kg)"/>
    <s v="WB"/>
    <x v="9"/>
    <s v="Itahar"/>
    <s v="User Not Mapped"/>
    <s v="User Not Mapped"/>
    <s v="User Not Mapped"/>
    <n v="494665"/>
    <s v="Ful Mahammed"/>
    <s v="Private Retailer"/>
    <s v="9593229030"/>
    <n v="0.01"/>
    <n v="1227"/>
    <x v="2"/>
    <m/>
    <s v="2022-12-10"/>
    <s v="1088936"/>
    <s v="KARUNA SAR BHANDER"/>
    <s v="9851734399"/>
  </r>
  <r>
    <s v="RCF Thal"/>
    <s v="N.C.Urea(45kg)"/>
    <s v="WB"/>
    <x v="9"/>
    <s v="Itahar"/>
    <s v="User Not Mapped"/>
    <s v="User Not Mapped"/>
    <s v="User Not Mapped"/>
    <n v="915442"/>
    <s v="M/S NEPAL CHANDRA ROY"/>
    <s v="Private Retailer"/>
    <s v="8759803614"/>
    <n v="0.64"/>
    <n v="1275"/>
    <x v="2"/>
    <m/>
    <s v="2022-10-23"/>
    <s v="1082772"/>
    <s v="KIRAN AGRO"/>
    <s v="7001938584"/>
  </r>
  <r>
    <s v="RCF Import"/>
    <s v="Imp 10-26-26"/>
    <s v="WB"/>
    <x v="9"/>
    <s v="Itahar"/>
    <s v="User Not Mapped"/>
    <s v="User Not Mapped"/>
    <s v="User Not Mapped"/>
    <n v="915293"/>
    <s v="M/S NIMAI ROY"/>
    <s v="Private Retailer"/>
    <s v="9002228431"/>
    <n v="0.3"/>
    <n v="502"/>
    <x v="0"/>
    <m/>
    <s v="2024-12-04"/>
    <s v="1082772"/>
    <s v="KIRAN AGRO"/>
    <s v="7001938584"/>
  </r>
  <r>
    <s v="RCF Trombay"/>
    <s v="15-15-15"/>
    <s v="WB"/>
    <x v="9"/>
    <s v="Raiganj"/>
    <s v="User Not Mapped"/>
    <s v="User Not Mapped"/>
    <s v="User Not Mapped"/>
    <n v="456540"/>
    <s v="SHYAMAL PAUL"/>
    <s v="Private Retailer"/>
    <s v="8250912870"/>
    <n v="0.2"/>
    <n v="1133"/>
    <x v="2"/>
    <m/>
    <s v="2023-03-14"/>
    <s v="1082772"/>
    <s v="KIRAN AGRO"/>
    <s v="7001938584"/>
  </r>
  <r>
    <s v="RCF Trombay"/>
    <s v="N.C.Urea(45kg)"/>
    <s v="WB"/>
    <x v="9"/>
    <s v="Raiganj"/>
    <s v="User Not Mapped"/>
    <s v="User Not Mapped"/>
    <s v="User Not Mapped"/>
    <n v="861758"/>
    <s v="M/S. Krishi Ghar"/>
    <s v="Private Retailer"/>
    <s v="8016574005"/>
    <n v="1.395"/>
    <n v="1197"/>
    <x v="2"/>
    <m/>
    <s v="2023-01-09"/>
    <s v="1084182"/>
    <s v="KUNDU FERTILIZER"/>
    <s v="8972807161"/>
  </r>
  <r>
    <s v="RCF Thal"/>
    <s v="N.C.Urea(45kg)"/>
    <s v="WB"/>
    <x v="9"/>
    <s v="Raiganj"/>
    <s v="User Not Mapped"/>
    <s v="User Not Mapped"/>
    <s v="User Not Mapped"/>
    <n v="861758"/>
    <s v="M/S. Krishi Ghar"/>
    <s v="Private Retailer"/>
    <s v="8016574005"/>
    <n v="3.6"/>
    <n v="1197"/>
    <x v="2"/>
    <m/>
    <s v="2023-01-09"/>
    <s v="1084182"/>
    <s v="KUNDU FERTILIZER"/>
    <s v="8972807161"/>
  </r>
  <r>
    <s v="RCF Trombay"/>
    <s v="15-15-15"/>
    <s v="WB"/>
    <x v="9"/>
    <s v="Raiganj"/>
    <s v="User Not Mapped"/>
    <s v="User Not Mapped"/>
    <s v="User Not Mapped"/>
    <n v="893013"/>
    <s v="De and Brother Fertilizer"/>
    <s v="Private Retailer"/>
    <s v="9434486105"/>
    <n v="2.2599999999999998"/>
    <n v="491"/>
    <x v="0"/>
    <m/>
    <s v="2024-12-15"/>
    <s v="1265559"/>
    <s v="M/S BASAK AND SONS"/>
    <s v="9434458269"/>
  </r>
  <r>
    <s v="RCF Trombay"/>
    <s v="15-15-15"/>
    <s v="WB"/>
    <x v="9"/>
    <s v="Itahar"/>
    <s v="User Not Mapped"/>
    <s v="User Not Mapped"/>
    <s v="User Not Mapped"/>
    <n v="1341086"/>
    <s v="M/S NIBEDITA FERTILIER"/>
    <s v="Private Retailer"/>
    <s v="9832032428"/>
    <n v="1.7"/>
    <n v="491"/>
    <x v="0"/>
    <m/>
    <s v="2024-12-15"/>
    <s v="1265559"/>
    <s v="M/S BASAK AND SONS"/>
    <s v="9434458269"/>
  </r>
  <r>
    <s v="RCF Trombay"/>
    <s v="15-15-15"/>
    <s v="WB"/>
    <x v="9"/>
    <s v="Raiganj"/>
    <s v="User Not Mapped"/>
    <s v="User Not Mapped"/>
    <s v="User Not Mapped"/>
    <n v="233577"/>
    <s v="Parimal Chanda Das"/>
    <s v="Private Retailer"/>
    <s v="9933392689"/>
    <n v="1"/>
    <n v="1134"/>
    <x v="2"/>
    <m/>
    <s v="2023-03-13"/>
    <s v="1265559"/>
    <s v="M/S BASAK AND SONS"/>
    <s v="9434458269"/>
  </r>
  <r>
    <s v="RCF Trombay"/>
    <s v="15-15-15"/>
    <s v="WB"/>
    <x v="9"/>
    <s v="Karandighi"/>
    <s v="User Not Mapped"/>
    <s v="User Not Mapped"/>
    <s v="User Not Mapped"/>
    <n v="586720"/>
    <s v="PRANAB FERTILIZER"/>
    <s v="Private Retailer"/>
    <s v="9434565654"/>
    <n v="7.5"/>
    <n v="1244"/>
    <x v="2"/>
    <m/>
    <s v="2022-11-23"/>
    <s v="1265559"/>
    <s v="M/S BASAK AND SONS"/>
    <s v="9434458269"/>
  </r>
  <r>
    <s v="RCF Trombay"/>
    <s v="15-15-15"/>
    <s v="WB"/>
    <x v="9"/>
    <s v="Itahar"/>
    <s v="User Not Mapped"/>
    <s v="User Not Mapped"/>
    <s v="User Not Mapped"/>
    <n v="1519103"/>
    <s v="SAHADAT FERTILIZER"/>
    <s v="Private Retailer"/>
    <s v="6294925165"/>
    <n v="1"/>
    <n v="70"/>
    <x v="6"/>
    <m/>
    <s v="2026-02-09"/>
    <s v="1265559"/>
    <s v="M/S BASAK AND SONS"/>
    <s v="9434458269"/>
  </r>
  <r>
    <s v="RCF Trombay"/>
    <s v="15-15-15"/>
    <s v="WB"/>
    <x v="9"/>
    <s v="Itahar"/>
    <s v="User Not Mapped"/>
    <s v="User Not Mapped"/>
    <s v="User Not Mapped"/>
    <n v="1519103"/>
    <s v="SAHADAT FERTILIZER"/>
    <s v="Private Retailer"/>
    <s v="6294925165"/>
    <n v="1.7"/>
    <n v="83"/>
    <x v="6"/>
    <m/>
    <s v="2026-01-27"/>
    <s v="1265559"/>
    <s v="M/S BASAK AND SONS"/>
    <s v="9434458269"/>
  </r>
  <r>
    <s v="RCF Trombay"/>
    <s v="15-15-15"/>
    <s v="WB"/>
    <x v="9"/>
    <s v="Raiganj"/>
    <s v="User Not Mapped"/>
    <s v="User Not Mapped"/>
    <s v="User Not Mapped"/>
    <n v="751636"/>
    <s v="SANKAR BARMAN"/>
    <s v="Private Retailer"/>
    <s v="8972843648"/>
    <n v="0.7"/>
    <n v="784"/>
    <x v="2"/>
    <m/>
    <s v="2024-02-26"/>
    <s v="1265559"/>
    <s v="M/S BASAK AND SONS"/>
    <s v="9434458269"/>
  </r>
  <r>
    <s v="RCF Trombay"/>
    <s v="15-15-15"/>
    <s v="WB"/>
    <x v="9"/>
    <s v="Raiganj"/>
    <s v="User Not Mapped"/>
    <s v="User Not Mapped"/>
    <s v="User Not Mapped"/>
    <n v="950928"/>
    <s v="Sujan Das"/>
    <s v="Private Retailer"/>
    <s v="8116695349"/>
    <n v="2"/>
    <n v="228"/>
    <x v="1"/>
    <m/>
    <s v="2025-09-04"/>
    <s v="1265559"/>
    <s v="M/S BASAK AND SONS"/>
    <s v="9434458269"/>
  </r>
  <r>
    <s v="RCF Trombay"/>
    <s v="15-15-15"/>
    <s v="WB"/>
    <x v="9"/>
    <s v="Raiganj"/>
    <s v="User Not Mapped"/>
    <s v="User Not Mapped"/>
    <s v="User Not Mapped"/>
    <n v="870673"/>
    <s v="SWARUP PAUL"/>
    <s v="Private Retailer"/>
    <s v="9046490313"/>
    <n v="1.8"/>
    <n v="784"/>
    <x v="2"/>
    <m/>
    <s v="2024-02-26"/>
    <s v="1265559"/>
    <s v="M/S BASAK AND SONS"/>
    <s v="9434458269"/>
  </r>
  <r>
    <s v="RCF Import"/>
    <s v="MOP"/>
    <s v="WB"/>
    <x v="9"/>
    <s v="Raiganj"/>
    <s v="User Not Mapped"/>
    <s v="User Not Mapped"/>
    <s v="User Not Mapped"/>
    <n v="768466"/>
    <s v="BAPPY SARKAR"/>
    <s v="Private Retailer"/>
    <s v="8967757282"/>
    <n v="0.5"/>
    <n v="456"/>
    <x v="0"/>
    <m/>
    <s v="2025-01-19"/>
    <s v="1132426"/>
    <s v="M/S KRISHI DISHA"/>
    <s v="6294430316"/>
  </r>
  <r>
    <s v="RCF Trombay"/>
    <s v="15-15-15"/>
    <s v="WB"/>
    <x v="9"/>
    <s v="Raiganj"/>
    <s v="User Not Mapped"/>
    <s v="User Not Mapped"/>
    <s v="User Not Mapped"/>
    <n v="768466"/>
    <s v="BAPPY SARKAR"/>
    <s v="Private Retailer"/>
    <s v="8967757282"/>
    <n v="0.25"/>
    <n v="1147"/>
    <x v="2"/>
    <m/>
    <s v="2023-02-28"/>
    <s v="625071"/>
    <s v="M/S KRISHI DISHA"/>
    <s v="9933571182"/>
  </r>
  <r>
    <s v="RCF Trombay"/>
    <s v="15-15-15"/>
    <s v="WB"/>
    <x v="9"/>
    <s v="Raiganj"/>
    <s v="User Not Mapped"/>
    <s v="User Not Mapped"/>
    <s v="User Not Mapped"/>
    <n v="768466"/>
    <s v="BAPPY SARKAR"/>
    <s v="Private Retailer"/>
    <s v="8967757282"/>
    <n v="0.745"/>
    <n v="1267"/>
    <x v="2"/>
    <m/>
    <s v="2022-10-31"/>
    <s v="625071"/>
    <s v="M/S KRISHI DISHA"/>
    <s v="9933571182"/>
  </r>
  <r>
    <s v="RCF Thal"/>
    <s v="N.C.Urea(45kg)"/>
    <s v="WB"/>
    <x v="9"/>
    <s v="Hemtabad"/>
    <s v="User Not Mapped"/>
    <s v="User Not Mapped"/>
    <s v="User Not Mapped"/>
    <n v="624337"/>
    <s v="M/S ASERA KHATUN"/>
    <s v="Private Retailer"/>
    <s v="8116295440"/>
    <n v="0.315"/>
    <n v="1368"/>
    <x v="2"/>
    <m/>
    <s v="2022-07-22"/>
    <s v="1132426"/>
    <s v="M/S KRISHI DISHA"/>
    <s v="6294430316"/>
  </r>
  <r>
    <s v="RCF Import"/>
    <s v="MOP"/>
    <s v="WB"/>
    <x v="9"/>
    <s v="Hemtabad"/>
    <s v="User Not Mapped"/>
    <s v="User Not Mapped"/>
    <s v="User Not Mapped"/>
    <n v="586734"/>
    <s v="M/S KARTIK CHANDRA BARMAN"/>
    <s v="Private Retailer"/>
    <s v="8159920683"/>
    <n v="0.70499999999999996"/>
    <n v="520"/>
    <x v="0"/>
    <m/>
    <s v="2024-11-16"/>
    <s v="1132426"/>
    <s v="M/S KRISHI DISHA"/>
    <s v="6294430316"/>
  </r>
  <r>
    <s v="RCF Import"/>
    <s v="MOP"/>
    <s v="WB"/>
    <x v="9"/>
    <s v="Raiganj"/>
    <s v="User Not Mapped"/>
    <s v="User Not Mapped"/>
    <s v="User Not Mapped"/>
    <n v="624379"/>
    <s v="M/S SAMAY SARKAR"/>
    <s v="Private Retailer"/>
    <s v="7908016536"/>
    <n v="0.8"/>
    <n v="526"/>
    <x v="0"/>
    <m/>
    <s v="2024-11-10"/>
    <s v="1132426"/>
    <s v="M/S KRISHI DISHA"/>
    <s v="6294430316"/>
  </r>
  <r>
    <s v="RCF Import"/>
    <s v="MOP"/>
    <s v="WB"/>
    <x v="9"/>
    <s v="Hemtabad"/>
    <s v="User Not Mapped"/>
    <s v="User Not Mapped"/>
    <s v="User Not Mapped"/>
    <n v="892277"/>
    <s v="M/S. CHOWDHURY FERTILIZER"/>
    <s v="Private Retailer"/>
    <s v="8900080201"/>
    <n v="0.25"/>
    <n v="513"/>
    <x v="0"/>
    <m/>
    <s v="2024-11-23"/>
    <s v="1132426"/>
    <s v="M/S KRISHI DISHA"/>
    <s v="6294430316"/>
  </r>
  <r>
    <s v="RCF Thal"/>
    <s v="N.C.Urea(45kg)"/>
    <s v="WB"/>
    <x v="9"/>
    <s v="Kaliaganj"/>
    <s v="User Not Mapped"/>
    <s v="User Not Mapped"/>
    <s v="User Not Mapped"/>
    <n v="269057"/>
    <s v="Fatepur Skus Ltd"/>
    <s v="PACS"/>
    <s v="9153867446"/>
    <n v="10.44"/>
    <n v="46"/>
    <x v="3"/>
    <m/>
    <s v="2026-03-05"/>
    <s v="1606985"/>
    <s v="M/S KRISHI GHAR"/>
    <s v="7001196936"/>
  </r>
  <r>
    <s v="RCF Trombay"/>
    <s v="N.C.Urea(45kg)"/>
    <s v="WB"/>
    <x v="9"/>
    <m/>
    <s v="User Not Mapped"/>
    <s v="User Not Mapped"/>
    <s v="User Not Mapped"/>
    <n v="355056"/>
    <s v="Jahar Kumar Das"/>
    <s v="Private Retailer"/>
    <s v="8250003688"/>
    <n v="5.49"/>
    <n v="46"/>
    <x v="3"/>
    <m/>
    <s v="2026-03-05"/>
    <s v="1606985"/>
    <s v="M/S KRISHI GHAR"/>
    <s v="7001196936"/>
  </r>
  <r>
    <s v="RCF Import"/>
    <s v="Imp 10-26-26"/>
    <s v="WB"/>
    <x v="9"/>
    <s v="Hemtabad"/>
    <s v="User Not Mapped"/>
    <s v="User Not Mapped"/>
    <s v="User Not Mapped"/>
    <n v="651626"/>
    <s v="M/S RADHA KRISHNA SAR BHANDAR"/>
    <s v="Private Wholsaler"/>
    <s v="9735437617"/>
    <n v="51.5"/>
    <n v="17"/>
    <x v="5"/>
    <s v="'OFMS2'"/>
    <s v="2026-04-03"/>
    <s v="1259524"/>
    <s v="M/S KRISHI GHAR"/>
    <s v="9064113554"/>
  </r>
  <r>
    <s v="RCF Trombay"/>
    <s v="15-15-15"/>
    <s v="WB"/>
    <x v="9"/>
    <s v="Itahar"/>
    <s v="User Not Mapped"/>
    <s v="User Not Mapped"/>
    <s v="User Not Mapped"/>
    <n v="457535"/>
    <s v="SHIB SANKAR SAHA"/>
    <s v="Private Retailer"/>
    <s v="9733314684"/>
    <n v="0.04"/>
    <n v="152"/>
    <x v="4"/>
    <m/>
    <s v="2025-11-19"/>
    <s v="1606985"/>
    <s v="M/S KRISHI GHAR"/>
    <s v="7001196936"/>
  </r>
  <r>
    <s v="RCF Trombay"/>
    <s v="15-15-15"/>
    <s v="WB"/>
    <x v="9"/>
    <s v="Raiganj"/>
    <s v="User Not Mapped"/>
    <s v="User Not Mapped"/>
    <s v="User Not Mapped"/>
    <n v="341729"/>
    <s v="M/S LAXMI ENTERPRISE"/>
    <s v="Private Retailer"/>
    <s v="9474438816"/>
    <n v="8.5"/>
    <n v="119"/>
    <x v="7"/>
    <m/>
    <s v="2025-12-22"/>
    <s v="1335783"/>
    <s v="M/S LAXMI ENTERPRISE"/>
    <s v="7001660752"/>
  </r>
  <r>
    <s v="RCF Import"/>
    <s v="MOP"/>
    <s v="WB"/>
    <x v="9"/>
    <s v="Raiganj"/>
    <s v="User Not Mapped"/>
    <s v="User Not Mapped"/>
    <s v="User Not Mapped"/>
    <n v="853397"/>
    <s v="M/s. SABUJ SAR BHANDER"/>
    <s v="Private Retailer"/>
    <s v="9735955671"/>
    <n v="1.5"/>
    <n v="517"/>
    <x v="0"/>
    <m/>
    <s v="2024-11-19"/>
    <s v="1335783"/>
    <s v="M/S LAXMI ENTERPRISE"/>
    <s v="7001660752"/>
  </r>
  <r>
    <s v="RCF Trombay"/>
    <s v="N.C.Urea(45kg)"/>
    <s v="WB"/>
    <x v="9"/>
    <s v="Raiganj"/>
    <s v="User Not Mapped"/>
    <s v="User Not Mapped"/>
    <s v="User Not Mapped"/>
    <n v="633428"/>
    <s v="MAJIBUR RAHAMAN"/>
    <s v="Private Retailer"/>
    <s v="9635044685"/>
    <n v="0.63"/>
    <n v="517"/>
    <x v="0"/>
    <m/>
    <s v="2024-11-19"/>
    <s v="1335783"/>
    <s v="M/S LAXMI ENTERPRISE"/>
    <s v="7001660752"/>
  </r>
  <r>
    <s v="RCF Import"/>
    <s v="MOP"/>
    <s v="WB"/>
    <x v="9"/>
    <s v="Raiganj"/>
    <s v="User Not Mapped"/>
    <s v="User Not Mapped"/>
    <s v="User Not Mapped"/>
    <n v="633428"/>
    <s v="MAJIBUR RAHAMAN"/>
    <s v="Private Retailer"/>
    <s v="9635044685"/>
    <n v="0.7"/>
    <n v="517"/>
    <x v="0"/>
    <m/>
    <s v="2024-11-19"/>
    <s v="1335783"/>
    <s v="M/S LAXMI ENTERPRISE"/>
    <s v="7001660752"/>
  </r>
  <r>
    <s v="RCF Import"/>
    <s v="Imp 10-26-26"/>
    <s v="WB"/>
    <x v="9"/>
    <s v="Hemtabad"/>
    <s v="User Not Mapped"/>
    <s v="User Not Mapped"/>
    <s v="User Not Mapped"/>
    <n v="1483422"/>
    <s v="MD MIZANUR RAHAMAN"/>
    <s v="Private Retailer"/>
    <s v="8972604119"/>
    <n v="2.5"/>
    <n v="24"/>
    <x v="5"/>
    <m/>
    <s v="2026-03-27"/>
    <s v="1403333"/>
    <s v="M/S LAXMI FERTILIZER "/>
    <s v="9733431740"/>
  </r>
  <r>
    <s v="RCF Import"/>
    <s v="Imp 10-26-26"/>
    <s v="WB"/>
    <x v="9"/>
    <s v="Hemtabad"/>
    <s v="User Not Mapped"/>
    <s v="User Not Mapped"/>
    <s v="User Not Mapped"/>
    <n v="342417"/>
    <s v="Sar Beej Bhandar"/>
    <s v="Private Retailer"/>
    <s v="7602267519"/>
    <n v="2.7"/>
    <n v="66"/>
    <x v="6"/>
    <m/>
    <s v="2026-02-13"/>
    <s v="1403333"/>
    <s v="M/S LAXMI FERTILIZER "/>
    <s v="9733431740"/>
  </r>
  <r>
    <s v="RCF Import"/>
    <s v="Imp 10-26-26"/>
    <s v="WB"/>
    <x v="9"/>
    <s v="Hemtabad"/>
    <s v="User Not Mapped"/>
    <s v="User Not Mapped"/>
    <s v="User Not Mapped"/>
    <n v="342407"/>
    <s v="Sar Bikray Kendra"/>
    <s v="Private Retailer"/>
    <s v="9775109200"/>
    <n v="0.15"/>
    <n v="24"/>
    <x v="5"/>
    <m/>
    <s v="2026-03-27"/>
    <s v="1403333"/>
    <s v="M/S LAXMI FERTILIZER "/>
    <s v="9733431740"/>
  </r>
  <r>
    <s v="RCF Trombay"/>
    <s v="N.C.Urea(45kg)"/>
    <s v="WB"/>
    <x v="9"/>
    <s v="Raiganj"/>
    <s v="User Not Mapped"/>
    <s v="User Not Mapped"/>
    <s v="User Not Mapped"/>
    <n v="1132576"/>
    <s v="M/S KALABATI AGRICULTURE"/>
    <s v="Private Retailer"/>
    <s v="9933161047"/>
    <n v="0.01"/>
    <n v="1361"/>
    <x v="2"/>
    <m/>
    <s v="2022-07-29"/>
    <s v="1258460"/>
    <s v="M/S MAA TARA FERTILIZER WHOLES"/>
    <s v="6294610027"/>
  </r>
  <r>
    <s v="RCF Trombay"/>
    <s v="15-15-15"/>
    <s v="WB"/>
    <x v="9"/>
    <s v="Raiganj"/>
    <s v="User Not Mapped"/>
    <s v="User Not Mapped"/>
    <s v="User Not Mapped"/>
    <n v="836908"/>
    <s v="M/s. UJJAL DAS"/>
    <s v="Private Retailer"/>
    <s v="8617082147"/>
    <n v="0.75"/>
    <n v="1125"/>
    <x v="2"/>
    <m/>
    <s v="2023-03-22"/>
    <s v="1258460"/>
    <s v="M/S MAA TARA FERTILIZER WHOLES"/>
    <s v="6294610027"/>
  </r>
  <r>
    <s v="RCF Trombay"/>
    <s v="15-15-15"/>
    <s v="WB"/>
    <x v="9"/>
    <s v="Raiganj"/>
    <s v="User Not Mapped"/>
    <s v="User Not Mapped"/>
    <s v="User Not Mapped"/>
    <n v="848368"/>
    <s v="PARESH CHANDRA ROY"/>
    <s v="Private Retailer"/>
    <s v="9775874911"/>
    <n v="0.75"/>
    <n v="218"/>
    <x v="1"/>
    <m/>
    <s v="2025-09-14"/>
    <s v="1258460"/>
    <s v="M/S MAA TARA FERTILIZER WHOLES"/>
    <s v="6294610027"/>
  </r>
  <r>
    <s v="RCF Thal"/>
    <s v="N.C.Urea(45kg)"/>
    <s v="WB"/>
    <x v="9"/>
    <s v="Raiganj"/>
    <s v="User Not Mapped"/>
    <s v="User Not Mapped"/>
    <s v="User Not Mapped"/>
    <n v="909590"/>
    <s v="SIMA FERTILIZER"/>
    <s v="Private Retailer"/>
    <s v="8637045549"/>
    <n v="4.4999999999999998E-2"/>
    <n v="1181"/>
    <x v="2"/>
    <m/>
    <s v="2023-01-25"/>
    <s v="1258460"/>
    <s v="M/S MAA TARA FERTILIZER WHOLES"/>
    <s v="6294610027"/>
  </r>
  <r>
    <s v="RCF Trombay"/>
    <s v="15-15-15"/>
    <s v="WB"/>
    <x v="9"/>
    <s v="Raiganj"/>
    <s v="User Not Mapped"/>
    <s v="User Not Mapped"/>
    <s v="User Not Mapped"/>
    <n v="909590"/>
    <s v="SIMA FERTILIZER"/>
    <s v="Private Retailer"/>
    <s v="8637045549"/>
    <n v="0.05"/>
    <n v="1123"/>
    <x v="2"/>
    <m/>
    <s v="2023-03-24"/>
    <s v="1258460"/>
    <s v="M/S MAA TARA FERTILIZER WHOLES"/>
    <s v="6294610027"/>
  </r>
  <r>
    <s v="RCF Trombay"/>
    <s v="15-15-15"/>
    <s v="WB"/>
    <x v="9"/>
    <s v="Goalpokhar - I"/>
    <s v="User Not Mapped"/>
    <s v="User Not Mapped"/>
    <s v="User Not Mapped"/>
    <n v="1327727"/>
    <s v="M/S MD NIZAMUDDIN"/>
    <s v="Private Retailer"/>
    <s v="7602117389"/>
    <n v="1.45"/>
    <n v="526"/>
    <x v="0"/>
    <m/>
    <s v="2024-11-10"/>
    <s v="1187549"/>
    <s v="M/S MD FAZLUR RAHAMAN"/>
    <s v="9733031760"/>
  </r>
  <r>
    <s v="RCF Trombay"/>
    <s v="15-15-15"/>
    <s v="WB"/>
    <x v="9"/>
    <s v="Chopra"/>
    <s v="User Not Mapped"/>
    <s v="User Not Mapped"/>
    <s v="User Not Mapped"/>
    <n v="1436385"/>
    <s v="JHARNA HALDAR"/>
    <s v="Private Retailer"/>
    <s v="9064378576"/>
    <n v="6.95"/>
    <n v="15"/>
    <x v="5"/>
    <m/>
    <s v="2026-04-05"/>
    <s v="1132410"/>
    <s v="M/S MIRJA FERTILIZER"/>
    <s v="8016016291"/>
  </r>
  <r>
    <s v="RCF Trombay"/>
    <s v="15-15-15"/>
    <s v="WB"/>
    <x v="9"/>
    <m/>
    <s v="User Not Mapped"/>
    <s v="User Not Mapped"/>
    <s v="User Not Mapped"/>
    <n v="1032531"/>
    <s v="M/S BABIB and PESTICIDES"/>
    <s v="Private Retailer"/>
    <s v="9635872888"/>
    <n v="1.85"/>
    <n v="15"/>
    <x v="5"/>
    <m/>
    <s v="2026-04-05"/>
    <s v="1132410"/>
    <s v="M/S MIRJA FERTILIZER"/>
    <s v="8016016291"/>
  </r>
  <r>
    <s v="RCF Trombay"/>
    <s v="N.C.Urea(45kg)"/>
    <s v="WB"/>
    <x v="9"/>
    <s v="Chopra"/>
    <s v="User Not Mapped"/>
    <s v="User Not Mapped"/>
    <s v="User Not Mapped"/>
    <n v="1400074"/>
    <s v="M/S TAIYAB ALI"/>
    <s v="Private Retailer"/>
    <s v="7001109294"/>
    <n v="0.54"/>
    <n v="482"/>
    <x v="0"/>
    <m/>
    <s v="2024-12-24"/>
    <s v="1132410"/>
    <s v="M/S MIRJA FERTILIZER"/>
    <s v="8016016291"/>
  </r>
  <r>
    <s v="RCF Trombay"/>
    <s v="N.C.Urea(45kg)"/>
    <s v="WB"/>
    <x v="9"/>
    <s v="Chopra"/>
    <s v="User Not Mapped"/>
    <s v="User Not Mapped"/>
    <s v="User Not Mapped"/>
    <n v="706878"/>
    <s v="Mirja Ferilizers"/>
    <s v="Private Retailer"/>
    <s v="9064301967"/>
    <n v="0.315"/>
    <n v="408"/>
    <x v="0"/>
    <m/>
    <s v="2025-03-08"/>
    <s v="1132410"/>
    <s v="M/S MIRJA FERTILIZER"/>
    <s v="8016016291"/>
  </r>
  <r>
    <s v="RCF Trombay"/>
    <s v="N.C.Urea(45kg)"/>
    <s v="WB"/>
    <x v="9"/>
    <s v="Chopra"/>
    <s v="User Not Mapped"/>
    <s v="User Not Mapped"/>
    <s v="User Not Mapped"/>
    <n v="300646"/>
    <s v="Subrata Roy"/>
    <s v="Private Retailer"/>
    <s v="9734923689"/>
    <n v="7.7750000000000004"/>
    <n v="193"/>
    <x v="1"/>
    <m/>
    <s v="2025-10-09"/>
    <s v="1132410"/>
    <s v="M/S MIRJA FERTILIZER"/>
    <s v="8016016291"/>
  </r>
  <r>
    <s v="RCF Thal"/>
    <s v="N.C.Urea(45kg)"/>
    <s v="WB"/>
    <x v="9"/>
    <s v="Itahar"/>
    <s v="User Not Mapped"/>
    <s v="User Not Mapped"/>
    <s v="User Not Mapped"/>
    <n v="389840"/>
    <s v="Durgapur Skus Ltd"/>
    <s v="PACS"/>
    <s v="8293160700"/>
    <n v="0.315"/>
    <n v="1604"/>
    <x v="2"/>
    <m/>
    <s v="2021-11-28"/>
    <s v="1161963"/>
    <s v="M/S PANDEY AND SONS"/>
    <s v="9614822447"/>
  </r>
  <r>
    <s v="RCF Trombay"/>
    <s v="15-15-15"/>
    <s v="WB"/>
    <x v="9"/>
    <s v="Raiganj"/>
    <s v="User Not Mapped"/>
    <s v="User Not Mapped"/>
    <s v="User Not Mapped"/>
    <n v="633434"/>
    <s v="M/S ASHA ENTERPRISE"/>
    <s v="Private Retailer"/>
    <s v="9733202386"/>
    <n v="0.45"/>
    <n v="1122"/>
    <x v="2"/>
    <m/>
    <s v="2023-03-25"/>
    <s v="1161963"/>
    <s v="M/S PANDEY AND SONS"/>
    <s v="9614822447"/>
  </r>
  <r>
    <s v="RCF Trombay"/>
    <s v="N.C.Urea(45kg)"/>
    <s v="WB"/>
    <x v="9"/>
    <s v="Raiganj"/>
    <s v="User Not Mapped"/>
    <s v="User Not Mapped"/>
    <s v="User Not Mapped"/>
    <n v="1134410"/>
    <s v="M/S RAKHED ALI"/>
    <s v="Private Retailer"/>
    <s v="8389931831"/>
    <n v="0.13500000000000001"/>
    <n v="1583"/>
    <x v="2"/>
    <m/>
    <s v="2021-12-19"/>
    <s v="1161963"/>
    <s v="M/S PANDEY AND SONS"/>
    <s v="9614822447"/>
  </r>
  <r>
    <s v="RCF Trombay"/>
    <s v="15-15-15"/>
    <s v="WB"/>
    <x v="9"/>
    <s v="Raiganj"/>
    <s v="User Not Mapped"/>
    <s v="User Not Mapped"/>
    <s v="User Not Mapped"/>
    <n v="870667"/>
    <s v="RITU FERTILIZER"/>
    <s v="Private Retailer"/>
    <s v="9547484044"/>
    <n v="0.75"/>
    <n v="520"/>
    <x v="0"/>
    <m/>
    <s v="2024-11-16"/>
    <s v="1161963"/>
    <s v="M/S PANDEY AND SONS"/>
    <s v="9614822447"/>
  </r>
  <r>
    <s v="RCF Trombay"/>
    <s v="15-15-15"/>
    <s v="WB"/>
    <x v="9"/>
    <s v="Raiganj"/>
    <s v="User Not Mapped"/>
    <s v="User Not Mapped"/>
    <s v="User Not Mapped"/>
    <n v="870667"/>
    <s v="RITU FERTILIZER"/>
    <s v="Private Retailer"/>
    <s v="9547484044"/>
    <n v="1.5"/>
    <n v="542"/>
    <x v="0"/>
    <m/>
    <s v="2024-10-25"/>
    <s v="1161963"/>
    <s v="M/S PANDEY AND SONS"/>
    <s v="9614822447"/>
  </r>
  <r>
    <s v="RCF Trombay"/>
    <s v="15-15-15"/>
    <s v="WB"/>
    <x v="9"/>
    <s v="Islampur"/>
    <s v="User Not Mapped"/>
    <s v="User Not Mapped"/>
    <s v="User Not Mapped"/>
    <n v="1457466"/>
    <s v="BASU ENTERPRISE"/>
    <s v="Private Retailer"/>
    <s v="9563050789"/>
    <n v="1.5"/>
    <n v="62"/>
    <x v="6"/>
    <m/>
    <s v="2026-02-17"/>
    <s v="255006"/>
    <s v="M/S PAUL FERTILIZER"/>
    <s v="8617668649"/>
  </r>
  <r>
    <s v="RCF Trombay"/>
    <s v="15-15-15"/>
    <s v="WB"/>
    <x v="9"/>
    <s v="Islampur"/>
    <s v="User Not Mapped"/>
    <s v="User Not Mapped"/>
    <s v="User Not Mapped"/>
    <n v="355226"/>
    <s v="Litan Dey"/>
    <s v="Private Retailer"/>
    <s v="7001263275"/>
    <n v="0.75"/>
    <n v="62"/>
    <x v="6"/>
    <m/>
    <s v="2026-02-17"/>
    <s v="255006"/>
    <s v="M/S PAUL FERTILIZER"/>
    <s v="8617668649"/>
  </r>
  <r>
    <s v="RCF Trombay"/>
    <s v="15-15-15"/>
    <s v="WB"/>
    <x v="9"/>
    <s v="Chopra"/>
    <s v="User Not Mapped"/>
    <s v="User Not Mapped"/>
    <s v="User Not Mapped"/>
    <n v="494297"/>
    <s v="M/S GOUTAM SARKAR"/>
    <s v="Private Retailer"/>
    <s v="8509662290"/>
    <n v="8"/>
    <n v="37"/>
    <x v="3"/>
    <m/>
    <s v="2026-03-14"/>
    <s v="255006"/>
    <s v="M/S PAUL FERTILIZER"/>
    <s v="8617668649"/>
  </r>
  <r>
    <s v="RCF Trombay"/>
    <s v="15-15-15"/>
    <s v="WB"/>
    <x v="9"/>
    <s v="Karandighi"/>
    <s v="User Not Mapped"/>
    <s v="User Not Mapped"/>
    <s v="User Not Mapped"/>
    <n v="1436302"/>
    <s v="M/S MD ANADUL HAQUE"/>
    <s v="Private Retailer"/>
    <s v="7484078279"/>
    <n v="1"/>
    <n v="24"/>
    <x v="5"/>
    <m/>
    <s v="2026-03-27"/>
    <s v="255006"/>
    <s v="M/S PAUL FERTILIZER"/>
    <s v="8617668649"/>
  </r>
  <r>
    <s v="RCF Trombay"/>
    <s v="15-15-15"/>
    <s v="WB"/>
    <x v="9"/>
    <s v="Raiganj"/>
    <s v="User Not Mapped"/>
    <s v="User Not Mapped"/>
    <s v="User Not Mapped"/>
    <n v="657147"/>
    <s v="M/S NOJRUL ISLAM"/>
    <s v="Private Retailer"/>
    <s v="9775496022"/>
    <n v="2.5"/>
    <n v="88"/>
    <x v="6"/>
    <m/>
    <s v="2026-01-22"/>
    <s v="255006"/>
    <s v="M/S PAUL FERTILIZER"/>
    <s v="8617668649"/>
  </r>
  <r>
    <s v="RCF Trombay"/>
    <s v="15-15-15"/>
    <s v="WB"/>
    <x v="9"/>
    <s v="Goalpokhar - II"/>
    <s v="User Not Mapped"/>
    <s v="User Not Mapped"/>
    <s v="User Not Mapped"/>
    <n v="1464275"/>
    <s v="M/S PRATAP MAJUMDER"/>
    <s v="Private Retailer"/>
    <s v="8207226955"/>
    <n v="2"/>
    <n v="34"/>
    <x v="3"/>
    <m/>
    <s v="2026-03-17"/>
    <s v="255006"/>
    <s v="M/S PAUL FERTILIZER"/>
    <s v="8617668649"/>
  </r>
  <r>
    <s v="RCF Trombay"/>
    <s v="15-15-15"/>
    <s v="WB"/>
    <x v="9"/>
    <s v="Goalpokhar - II"/>
    <s v="User Not Mapped"/>
    <s v="User Not Mapped"/>
    <s v="User Not Mapped"/>
    <n v="1464275"/>
    <s v="M/S PRATAP MAJUMDER"/>
    <s v="Private Retailer"/>
    <s v="8207226955"/>
    <n v="0.85"/>
    <n v="142"/>
    <x v="4"/>
    <m/>
    <s v="2025-11-29"/>
    <s v="255006"/>
    <s v="M/S PAUL FERTILIZER"/>
    <s v="8617668649"/>
  </r>
  <r>
    <s v="RCF Thal"/>
    <s v="N.C.Urea(45kg)"/>
    <s v="WB"/>
    <x v="9"/>
    <s v="Karandighi"/>
    <s v="User Not Mapped"/>
    <s v="User Not Mapped"/>
    <s v="User Not Mapped"/>
    <n v="1097550"/>
    <s v="M/S SHILA SINHA"/>
    <s v="Private Retailer"/>
    <s v="9933131045"/>
    <n v="0.13500000000000001"/>
    <n v="1369"/>
    <x v="2"/>
    <m/>
    <s v="2022-07-21"/>
    <s v="255006"/>
    <s v="M/S PAUL FERTILIZER"/>
    <s v="8617668649"/>
  </r>
  <r>
    <s v="RCF Trombay"/>
    <s v="15-15-15"/>
    <s v="WB"/>
    <x v="9"/>
    <s v="Raiganj"/>
    <s v="User Not Mapped"/>
    <s v="User Not Mapped"/>
    <s v="User Not Mapped"/>
    <n v="751639"/>
    <s v="SABITA SAHA ROY"/>
    <s v="Private Retailer"/>
    <s v="9635112549"/>
    <n v="0.6"/>
    <n v="1686"/>
    <x v="2"/>
    <m/>
    <s v="2021-09-07"/>
    <s v="255006"/>
    <s v="M/S PAUL FERTILIZER"/>
    <s v="8617668649"/>
  </r>
  <r>
    <s v="RCF Trombay"/>
    <s v="15-15-15"/>
    <s v="WB"/>
    <x v="9"/>
    <s v="Goalpokhar - I"/>
    <s v="User Not Mapped"/>
    <s v="User Not Mapped"/>
    <s v="User Not Mapped"/>
    <n v="342198"/>
    <s v="Samiran Sarkar"/>
    <s v="Private Retailer"/>
    <s v="8145729493"/>
    <n v="0.25"/>
    <n v="121"/>
    <x v="4"/>
    <m/>
    <s v="2025-12-20"/>
    <s v="255006"/>
    <s v="M/S PAUL FERTILIZER"/>
    <s v="8617668649"/>
  </r>
  <r>
    <s v="RCF Thal"/>
    <s v="N.C.Urea(45kg)"/>
    <s v="WB"/>
    <x v="9"/>
    <s v="Karandighi"/>
    <s v="User Not Mapped"/>
    <s v="User Not Mapped"/>
    <s v="User Not Mapped"/>
    <n v="384578"/>
    <s v="Santi Ranjan Singha"/>
    <s v="Private Retailer"/>
    <s v="8436043383"/>
    <n v="1.125"/>
    <n v="1213"/>
    <x v="2"/>
    <m/>
    <s v="2022-12-24"/>
    <s v="255006"/>
    <s v="M/S PAUL FERTILIZER"/>
    <s v="8617668649"/>
  </r>
  <r>
    <s v="RCF Import"/>
    <s v="MOP"/>
    <s v="WB"/>
    <x v="9"/>
    <s v="Goalpokhar - I"/>
    <s v="User Not Mapped"/>
    <s v="User Not Mapped"/>
    <s v="User Not Mapped"/>
    <n v="864350"/>
    <s v="SURMATUN KHATUN"/>
    <s v="Private Retailer"/>
    <s v="8145539043"/>
    <n v="2.0499999999999998"/>
    <n v="584"/>
    <x v="2"/>
    <m/>
    <s v="2024-09-13"/>
    <s v="255006"/>
    <s v="M/S PAUL FERTILIZER"/>
    <s v="8617668649"/>
  </r>
  <r>
    <s v="RCF Import"/>
    <s v="MOP"/>
    <s v="WB"/>
    <x v="9"/>
    <s v="Goalpokhar - I"/>
    <s v="User Not Mapped"/>
    <s v="User Not Mapped"/>
    <s v="User Not Mapped"/>
    <n v="864350"/>
    <s v="SURMATUN KHATUN"/>
    <s v="Private Retailer"/>
    <s v="8145539043"/>
    <n v="1"/>
    <n v="526"/>
    <x v="0"/>
    <m/>
    <s v="2024-11-10"/>
    <s v="255006"/>
    <s v="M/S PAUL FERTILIZER"/>
    <s v="8617668649"/>
  </r>
  <r>
    <s v="RCF Import"/>
    <s v="MOP"/>
    <s v="WB"/>
    <x v="9"/>
    <s v="Hemtabad"/>
    <s v="User Not Mapped"/>
    <s v="User Not Mapped"/>
    <s v="User Not Mapped"/>
    <n v="924495"/>
    <s v="ABDUL KAFI"/>
    <s v="Private Retailer"/>
    <s v="7074664585"/>
    <n v="1.1499999999999999"/>
    <n v="532"/>
    <x v="0"/>
    <m/>
    <s v="2024-11-04"/>
    <s v="651626"/>
    <s v="M/S RADHA KRISHNA SAR BHANDAR"/>
    <s v="9735437617"/>
  </r>
  <r>
    <s v="RCF Import"/>
    <s v="Imp 10-26-26"/>
    <s v="WB"/>
    <x v="9"/>
    <s v="Hemtabad"/>
    <s v="User Not Mapped"/>
    <s v="User Not Mapped"/>
    <s v="User Not Mapped"/>
    <n v="730794"/>
    <s v="ABDUL KALAM"/>
    <s v="Private Retailer"/>
    <s v="7001557668"/>
    <n v="0.15"/>
    <n v="58"/>
    <x v="3"/>
    <m/>
    <s v="2026-02-21"/>
    <s v="651626"/>
    <s v="M/S RADHA KRISHNA SAR BHANDAR"/>
    <s v="9735437617"/>
  </r>
  <r>
    <s v="RCF Trombay"/>
    <s v="15-15-15"/>
    <s v="WB"/>
    <x v="9"/>
    <s v="Raiganj"/>
    <s v="User Not Mapped"/>
    <s v="User Not Mapped"/>
    <s v="User Not Mapped"/>
    <n v="837351"/>
    <s v="ALI SAR BHANDER"/>
    <s v="Private Retailer"/>
    <s v="8016116367"/>
    <n v="0.25"/>
    <n v="37"/>
    <x v="3"/>
    <m/>
    <s v="2026-03-14"/>
    <s v="651626"/>
    <s v="M/S RADHA KRISHNA SAR BHANDAR"/>
    <s v="9735437617"/>
  </r>
  <r>
    <s v="RCF Trombay"/>
    <s v="15-15-15"/>
    <s v="WB"/>
    <x v="9"/>
    <s v="Raiganj"/>
    <s v="User Not Mapped"/>
    <s v="User Not Mapped"/>
    <s v="User Not Mapped"/>
    <n v="837351"/>
    <s v="ALI SAR BHANDER"/>
    <s v="Private Retailer"/>
    <s v="8016116367"/>
    <n v="0.5"/>
    <n v="75"/>
    <x v="6"/>
    <m/>
    <s v="2026-02-04"/>
    <s v="651626"/>
    <s v="M/S RADHA KRISHNA SAR BHANDAR"/>
    <s v="9735437617"/>
  </r>
  <r>
    <s v="RCF Trombay"/>
    <s v="15-15-15"/>
    <s v="WB"/>
    <x v="9"/>
    <s v="Raiganj"/>
    <s v="User Not Mapped"/>
    <s v="User Not Mapped"/>
    <s v="User Not Mapped"/>
    <n v="737126"/>
    <s v="ANIL DABNATH"/>
    <s v="Private Retailer"/>
    <s v="9932543354"/>
    <n v="0.75"/>
    <n v="287"/>
    <x v="1"/>
    <m/>
    <s v="2025-07-07"/>
    <s v="651626"/>
    <s v="M/S RADHA KRISHNA SAR BHANDAR"/>
    <s v="9735437617"/>
  </r>
  <r>
    <s v="RCF Trombay"/>
    <s v="15-15-15"/>
    <s v="WB"/>
    <x v="9"/>
    <s v="Raiganj"/>
    <s v="User Not Mapped"/>
    <s v="User Not Mapped"/>
    <s v="User Not Mapped"/>
    <n v="737126"/>
    <s v="ANIL DABNATH"/>
    <s v="Private Retailer"/>
    <s v="9932543354"/>
    <n v="0.25"/>
    <n v="50"/>
    <x v="3"/>
    <m/>
    <s v="2026-03-01"/>
    <s v="651626"/>
    <s v="M/S RADHA KRISHNA SAR BHANDAR"/>
    <s v="9735437617"/>
  </r>
  <r>
    <s v="RCF Import"/>
    <s v="Imp 10-26-26"/>
    <s v="WB"/>
    <x v="9"/>
    <s v="Raiganj"/>
    <s v="User Not Mapped"/>
    <s v="User Not Mapped"/>
    <s v="User Not Mapped"/>
    <n v="888871"/>
    <s v="ASRAF SAR BHANDER"/>
    <s v="Private Retailer"/>
    <s v="9734075443"/>
    <n v="0.25"/>
    <n v="54"/>
    <x v="3"/>
    <m/>
    <s v="2026-02-25"/>
    <s v="651626"/>
    <s v="M/S RADHA KRISHNA SAR BHANDAR"/>
    <s v="9735437617"/>
  </r>
  <r>
    <s v="RCF Trombay"/>
    <s v="15-15-15"/>
    <s v="WB"/>
    <x v="9"/>
    <s v="Raiganj"/>
    <s v="User Not Mapped"/>
    <s v="User Not Mapped"/>
    <s v="User Not Mapped"/>
    <n v="768466"/>
    <s v="BAPPY SARKAR"/>
    <s v="Private Retailer"/>
    <s v="8967757282"/>
    <n v="0.25"/>
    <n v="1235"/>
    <x v="2"/>
    <m/>
    <s v="2022-12-02"/>
    <s v="651626"/>
    <s v="M/S RADHA KRISHNA SAR BHANDAR"/>
    <s v="9735437617"/>
  </r>
  <r>
    <s v="RCF Trombay"/>
    <s v="15-15-15"/>
    <s v="WB"/>
    <x v="9"/>
    <s v="Raiganj"/>
    <s v="User Not Mapped"/>
    <s v="User Not Mapped"/>
    <s v="User Not Mapped"/>
    <n v="774739"/>
    <s v="DAS SAR BHANDER"/>
    <s v="Private Retailer"/>
    <s v="8637063610"/>
    <n v="0.5"/>
    <n v="44"/>
    <x v="3"/>
    <m/>
    <s v="2026-03-07"/>
    <s v="651626"/>
    <s v="M/S RADHA KRISHNA SAR BHANDAR"/>
    <s v="9735437617"/>
  </r>
  <r>
    <s v="RCF Import"/>
    <s v="MOP"/>
    <s v="WB"/>
    <x v="9"/>
    <s v="Hemtabad"/>
    <s v="User Not Mapped"/>
    <s v="User Not Mapped"/>
    <s v="User Not Mapped"/>
    <n v="851526"/>
    <s v="G.M. ASIK IQBAL"/>
    <s v="Private Retailer"/>
    <s v="9679065050"/>
    <n v="0.25"/>
    <n v="532"/>
    <x v="0"/>
    <m/>
    <s v="2024-11-04"/>
    <s v="651626"/>
    <s v="M/S RADHA KRISHNA SAR BHANDAR"/>
    <s v="9735437617"/>
  </r>
  <r>
    <s v="RCF Trombay"/>
    <s v="15-15-15"/>
    <s v="WB"/>
    <x v="9"/>
    <s v="Hemtabad"/>
    <s v="User Not Mapped"/>
    <s v="User Not Mapped"/>
    <s v="User Not Mapped"/>
    <n v="1400024"/>
    <s v="HOSSAIN FERTILIZER"/>
    <s v="Private Retailer"/>
    <s v="8918088027"/>
    <n v="0.1"/>
    <n v="32"/>
    <x v="3"/>
    <m/>
    <s v="2026-03-19"/>
    <s v="651626"/>
    <s v="M/S RADHA KRISHNA SAR BHANDAR"/>
    <s v="9735437617"/>
  </r>
  <r>
    <s v="RCF Trombay"/>
    <s v="15-15-15"/>
    <s v="WB"/>
    <x v="9"/>
    <s v="Hemtabad"/>
    <s v="User Not Mapped"/>
    <s v="User Not Mapped"/>
    <s v="User Not Mapped"/>
    <n v="888185"/>
    <s v="JITENDRA NATH ROY"/>
    <s v="Private Retailer"/>
    <s v="9614331600"/>
    <n v="0.15"/>
    <n v="44"/>
    <x v="3"/>
    <m/>
    <s v="2026-03-07"/>
    <s v="651626"/>
    <s v="M/S RADHA KRISHNA SAR BHANDAR"/>
    <s v="9735437617"/>
  </r>
  <r>
    <s v="RCF Trombay"/>
    <s v="15-15-15"/>
    <s v="WB"/>
    <x v="9"/>
    <s v="Hemtabad"/>
    <s v="User Not Mapped"/>
    <s v="User Not Mapped"/>
    <s v="User Not Mapped"/>
    <n v="624333"/>
    <s v="M/S CHAND MOHAMMED"/>
    <s v="Private Retailer"/>
    <s v="9647721042"/>
    <n v="0.5"/>
    <n v="69"/>
    <x v="6"/>
    <m/>
    <s v="2026-02-10"/>
    <s v="651626"/>
    <s v="M/S RADHA KRISHNA SAR BHANDAR"/>
    <s v="9735437617"/>
  </r>
  <r>
    <s v="RCF Import"/>
    <s v="Imp 10-26-26"/>
    <s v="WB"/>
    <x v="9"/>
    <s v="Hemtabad"/>
    <s v="User Not Mapped"/>
    <s v="User Not Mapped"/>
    <s v="User Not Mapped"/>
    <n v="586734"/>
    <s v="M/S KARTIK CHANDRA BARMAN"/>
    <s v="Private Retailer"/>
    <s v="8159920683"/>
    <n v="0.75"/>
    <n v="61"/>
    <x v="6"/>
    <m/>
    <s v="2026-02-18"/>
    <s v="651626"/>
    <s v="M/S RADHA KRISHNA SAR BHANDAR"/>
    <s v="9735437617"/>
  </r>
  <r>
    <s v="RCF Trombay"/>
    <s v="15-15-15"/>
    <s v="WB"/>
    <x v="9"/>
    <s v="Hemtabad"/>
    <s v="User Not Mapped"/>
    <s v="User Not Mapped"/>
    <s v="User Not Mapped"/>
    <n v="586734"/>
    <s v="M/S KARTIK CHANDRA BARMAN"/>
    <s v="Private Retailer"/>
    <s v="8159920683"/>
    <n v="0.75"/>
    <n v="70"/>
    <x v="6"/>
    <m/>
    <s v="2026-02-09"/>
    <s v="651626"/>
    <s v="M/S RADHA KRISHNA SAR BHANDAR"/>
    <s v="9735437617"/>
  </r>
  <r>
    <s v="RCF Trombay"/>
    <s v="15-15-15"/>
    <s v="WB"/>
    <x v="9"/>
    <s v="Hemtabad"/>
    <s v="User Not Mapped"/>
    <s v="User Not Mapped"/>
    <s v="User Not Mapped"/>
    <n v="635385"/>
    <s v="M/S PADMA LOCHAN ROY"/>
    <s v="Private Retailer"/>
    <s v="8250689515"/>
    <n v="0.25"/>
    <n v="84"/>
    <x v="6"/>
    <m/>
    <s v="2026-01-26"/>
    <s v="651626"/>
    <s v="M/S RADHA KRISHNA SAR BHANDAR"/>
    <s v="9735437617"/>
  </r>
  <r>
    <s v="RCF Import"/>
    <s v="Imp 10-26-26"/>
    <s v="WB"/>
    <x v="9"/>
    <s v="Hemtabad"/>
    <s v="User Not Mapped"/>
    <s v="User Not Mapped"/>
    <s v="User Not Mapped"/>
    <n v="708998"/>
    <s v="M/S SIRAJUDDIN AHAMED"/>
    <s v="Private Retailer"/>
    <s v="9733261317"/>
    <n v="0.5"/>
    <n v="39"/>
    <x v="3"/>
    <m/>
    <s v="2026-03-12"/>
    <s v="651626"/>
    <s v="M/S RADHA KRISHNA SAR BHANDAR"/>
    <s v="9735437617"/>
  </r>
  <r>
    <s v="RCF Import"/>
    <s v="Imp 10-26-26"/>
    <s v="WB"/>
    <x v="9"/>
    <s v="Hemtabad"/>
    <s v="User Not Mapped"/>
    <s v="User Not Mapped"/>
    <s v="User Not Mapped"/>
    <n v="708998"/>
    <s v="M/S SIRAJUDDIN AHAMED"/>
    <s v="Private Retailer"/>
    <s v="9733261317"/>
    <n v="0.2"/>
    <n v="44"/>
    <x v="3"/>
    <m/>
    <s v="2026-03-07"/>
    <s v="651626"/>
    <s v="M/S RADHA KRISHNA SAR BHANDAR"/>
    <s v="9735437617"/>
  </r>
  <r>
    <s v="RCF Thal"/>
    <s v="N.C.Urea(45kg)"/>
    <s v="WB"/>
    <x v="9"/>
    <s v="Raiganj"/>
    <s v="User Not Mapped"/>
    <s v="User Not Mapped"/>
    <s v="User Not Mapped"/>
    <n v="837333"/>
    <s v="M/s. SUFAL SARKAR"/>
    <s v="Private Retailer"/>
    <s v="7365058351"/>
    <n v="0.04"/>
    <n v="1495"/>
    <x v="2"/>
    <m/>
    <s v="2022-03-17"/>
    <s v="651626"/>
    <s v="M/S RADHA KRISHNA SAR BHANDAR"/>
    <s v="9735437617"/>
  </r>
  <r>
    <s v="RCF Import"/>
    <s v="MOP"/>
    <s v="WB"/>
    <x v="9"/>
    <s v="Raiganj"/>
    <s v="User Not Mapped"/>
    <s v="User Not Mapped"/>
    <s v="User Not Mapped"/>
    <n v="456550"/>
    <s v="Maa Kali Sar Bhandar"/>
    <s v="Private Retailer"/>
    <s v="9775489507"/>
    <n v="1.75"/>
    <n v="574"/>
    <x v="2"/>
    <m/>
    <s v="2024-09-23"/>
    <s v="651626"/>
    <s v="M/S RADHA KRISHNA SAR BHANDAR"/>
    <s v="9735437617"/>
  </r>
  <r>
    <s v="RCF Trombay"/>
    <s v="15-15-15"/>
    <s v="WB"/>
    <x v="9"/>
    <s v="Raiganj"/>
    <s v="User Not Mapped"/>
    <s v="User Not Mapped"/>
    <s v="User Not Mapped"/>
    <n v="341752"/>
    <s v="MAA LAXMI SAR BHANDER"/>
    <s v="Private Retailer"/>
    <s v="9547479591"/>
    <n v="2.25"/>
    <n v="39"/>
    <x v="3"/>
    <m/>
    <s v="2026-03-12"/>
    <s v="651626"/>
    <s v="M/S RADHA KRISHNA SAR BHANDAR"/>
    <s v="9735437617"/>
  </r>
  <r>
    <s v="RCF Thal"/>
    <s v="N.C.Urea(45kg)"/>
    <s v="WB"/>
    <x v="9"/>
    <m/>
    <s v="User Not Mapped"/>
    <s v="User Not Mapped"/>
    <s v="User Not Mapped"/>
    <n v="888171"/>
    <s v="MAJIJUR RAHAMAN"/>
    <s v="Private Retailer"/>
    <s v="9593968964"/>
    <n v="0.45"/>
    <n v="1750"/>
    <x v="2"/>
    <m/>
    <s v="2021-07-05"/>
    <s v="651626"/>
    <s v="M/S RADHA KRISHNA SAR BHANDAR"/>
    <s v="9735437617"/>
  </r>
  <r>
    <s v="RCF Import"/>
    <s v="Imp 10-26-26"/>
    <s v="WB"/>
    <x v="9"/>
    <s v="Hemtabad"/>
    <s v="User Not Mapped"/>
    <s v="User Not Mapped"/>
    <s v="User Not Mapped"/>
    <n v="341804"/>
    <s v="Makleshur Zaman"/>
    <s v="Private Retailer"/>
    <s v="9734120722"/>
    <n v="0.25"/>
    <n v="39"/>
    <x v="3"/>
    <m/>
    <s v="2026-03-12"/>
    <s v="651626"/>
    <s v="M/S RADHA KRISHNA SAR BHANDAR"/>
    <s v="9735437617"/>
  </r>
  <r>
    <s v="RCF Trombay"/>
    <s v="15-15-15"/>
    <s v="WB"/>
    <x v="9"/>
    <s v="Raiganj"/>
    <s v="User Not Mapped"/>
    <s v="User Not Mapped"/>
    <s v="User Not Mapped"/>
    <n v="889514"/>
    <s v="MALEK FERTILIZER"/>
    <s v="Private Retailer"/>
    <s v="7074236967"/>
    <n v="1"/>
    <n v="50"/>
    <x v="3"/>
    <m/>
    <s v="2026-03-01"/>
    <s v="651626"/>
    <s v="M/S RADHA KRISHNA SAR BHANDAR"/>
    <s v="9735437617"/>
  </r>
  <r>
    <s v="RCF Trombay"/>
    <s v="15-15-15"/>
    <s v="WB"/>
    <x v="9"/>
    <s v="Raiganj"/>
    <s v="User Not Mapped"/>
    <s v="User Not Mapped"/>
    <s v="User Not Mapped"/>
    <n v="893025"/>
    <s v="MANGLU BARMAN"/>
    <s v="Private Retailer"/>
    <s v="8371840455"/>
    <n v="0.25"/>
    <n v="107"/>
    <x v="7"/>
    <m/>
    <s v="2026-01-03"/>
    <s v="651626"/>
    <s v="M/S RADHA KRISHNA SAR BHANDAR"/>
    <s v="9735437617"/>
  </r>
  <r>
    <s v="RCF Trombay"/>
    <s v="15-15-15"/>
    <s v="WB"/>
    <x v="9"/>
    <s v="Raiganj"/>
    <s v="User Not Mapped"/>
    <s v="User Not Mapped"/>
    <s v="User Not Mapped"/>
    <n v="893025"/>
    <s v="MANGLU BARMAN"/>
    <s v="Private Retailer"/>
    <s v="8371840455"/>
    <n v="0.75"/>
    <n v="44"/>
    <x v="3"/>
    <m/>
    <s v="2026-03-07"/>
    <s v="651626"/>
    <s v="M/S RADHA KRISHNA SAR BHANDAR"/>
    <s v="9735437617"/>
  </r>
  <r>
    <s v="RCF Import"/>
    <s v="Imp 10-26-26"/>
    <s v="WB"/>
    <x v="9"/>
    <s v="Hemtabad"/>
    <s v="User Not Mapped"/>
    <s v="User Not Mapped"/>
    <s v="User Not Mapped"/>
    <n v="341842"/>
    <s v="Manoj Kumar Deb"/>
    <s v="Private Retailer"/>
    <s v="9734925686"/>
    <n v="0.15"/>
    <n v="16"/>
    <x v="5"/>
    <m/>
    <s v="2026-04-04"/>
    <s v="651626"/>
    <s v="M/S RADHA KRISHNA SAR BHANDAR"/>
    <s v="9735437617"/>
  </r>
  <r>
    <s v="RCF Trombay"/>
    <s v="15-15-15"/>
    <s v="WB"/>
    <x v="9"/>
    <s v="Hemtabad"/>
    <s v="User Not Mapped"/>
    <s v="User Not Mapped"/>
    <s v="User Not Mapped"/>
    <n v="1562778"/>
    <s v="MIRA FERTILIZER PESTICIDES "/>
    <s v="Private Retailer"/>
    <s v="9641028528"/>
    <n v="0.25"/>
    <n v="273"/>
    <x v="1"/>
    <m/>
    <s v="2025-07-21"/>
    <s v="651626"/>
    <s v="M/S RADHA KRISHNA SAR BHANDAR"/>
    <s v="9735437617"/>
  </r>
  <r>
    <s v="RCF Trombay"/>
    <s v="15-15-15"/>
    <s v="WB"/>
    <x v="9"/>
    <s v="Raiganj"/>
    <s v="User Not Mapped"/>
    <s v="User Not Mapped"/>
    <s v="User Not Mapped"/>
    <n v="1142185"/>
    <s v="PRITI SAR BHANDER"/>
    <s v="Private Retailer"/>
    <s v="9647726399"/>
    <n v="0.246"/>
    <n v="871"/>
    <x v="2"/>
    <m/>
    <s v="2023-12-01"/>
    <s v="651626"/>
    <s v="M/S RADHA KRISHNA SAR BHANDAR"/>
    <s v="9735437617"/>
  </r>
  <r>
    <s v="RCF Trombay"/>
    <s v="15-15-15"/>
    <s v="WB"/>
    <x v="9"/>
    <s v="Raiganj"/>
    <s v="User Not Mapped"/>
    <s v="User Not Mapped"/>
    <s v="User Not Mapped"/>
    <n v="1142185"/>
    <s v="PRITI SAR BHANDER"/>
    <s v="Private Retailer"/>
    <s v="9647726399"/>
    <n v="0.25"/>
    <n v="804"/>
    <x v="2"/>
    <m/>
    <s v="2024-02-06"/>
    <s v="651626"/>
    <s v="M/S RADHA KRISHNA SAR BHANDAR"/>
    <s v="9735437617"/>
  </r>
  <r>
    <s v="RCF Trombay"/>
    <s v="15-15-15"/>
    <s v="WB"/>
    <x v="9"/>
    <s v="Raiganj"/>
    <s v="User Not Mapped"/>
    <s v="User Not Mapped"/>
    <s v="User Not Mapped"/>
    <n v="1142185"/>
    <s v="PRITI SAR BHANDER"/>
    <s v="Private Retailer"/>
    <s v="9647726399"/>
    <n v="0.25"/>
    <n v="775"/>
    <x v="2"/>
    <m/>
    <s v="2024-03-06"/>
    <s v="651626"/>
    <s v="M/S RADHA KRISHNA SAR BHANDAR"/>
    <s v="9735437617"/>
  </r>
  <r>
    <s v="RCF Trombay"/>
    <s v="15-15-15"/>
    <s v="WB"/>
    <x v="9"/>
    <s v="Raiganj"/>
    <s v="User Not Mapped"/>
    <s v="User Not Mapped"/>
    <s v="User Not Mapped"/>
    <n v="1142185"/>
    <s v="PRITI SAR BHANDER"/>
    <s v="Private Retailer"/>
    <s v="9647726399"/>
    <n v="0.25"/>
    <n v="848"/>
    <x v="2"/>
    <m/>
    <s v="2023-12-24"/>
    <s v="651626"/>
    <s v="M/S RADHA KRISHNA SAR BHANDAR"/>
    <s v="9735437617"/>
  </r>
  <r>
    <s v="RCF Trombay"/>
    <s v="15-15-15"/>
    <s v="WB"/>
    <x v="9"/>
    <s v="Raiganj"/>
    <s v="User Not Mapped"/>
    <s v="User Not Mapped"/>
    <s v="User Not Mapped"/>
    <n v="1461990"/>
    <s v="RADHA KRISHNA GREEN HOUSE"/>
    <s v="Private Retailer"/>
    <s v="9641099081"/>
    <n v="0.25"/>
    <n v="50"/>
    <x v="3"/>
    <m/>
    <s v="2026-03-01"/>
    <s v="651626"/>
    <s v="M/S RADHA KRISHNA SAR BHANDAR"/>
    <s v="9735437617"/>
  </r>
  <r>
    <s v="RCF Trombay"/>
    <s v="15-15-15"/>
    <s v="WB"/>
    <x v="9"/>
    <s v="Raiganj"/>
    <s v="User Not Mapped"/>
    <s v="User Not Mapped"/>
    <s v="User Not Mapped"/>
    <n v="540809"/>
    <s v="Sabbir Ali"/>
    <s v="Private Retailer"/>
    <s v="9733462245"/>
    <n v="0.25"/>
    <n v="37"/>
    <x v="3"/>
    <m/>
    <s v="2026-03-14"/>
    <s v="651626"/>
    <s v="M/S RADHA KRISHNA SAR BHANDAR"/>
    <s v="9735437617"/>
  </r>
  <r>
    <s v="RCF Trombay"/>
    <s v="15-15-15"/>
    <s v="WB"/>
    <x v="9"/>
    <s v="Raiganj"/>
    <s v="User Not Mapped"/>
    <s v="User Not Mapped"/>
    <s v="User Not Mapped"/>
    <n v="540809"/>
    <s v="Sabbir Ali"/>
    <s v="Private Retailer"/>
    <s v="9733462245"/>
    <n v="0.25"/>
    <n v="44"/>
    <x v="3"/>
    <m/>
    <s v="2026-03-07"/>
    <s v="651626"/>
    <s v="M/S RADHA KRISHNA SAR BHANDAR"/>
    <s v="9735437617"/>
  </r>
  <r>
    <s v="RCF Trombay"/>
    <s v="15-15-15"/>
    <s v="WB"/>
    <x v="9"/>
    <s v="Raiganj"/>
    <s v="User Not Mapped"/>
    <s v="User Not Mapped"/>
    <s v="User Not Mapped"/>
    <n v="356087"/>
    <s v="Sabnam Fertiliser"/>
    <s v="Private Retailer"/>
    <s v="9933402347"/>
    <n v="0.9"/>
    <n v="75"/>
    <x v="6"/>
    <m/>
    <s v="2026-02-04"/>
    <s v="651626"/>
    <s v="M/S RADHA KRISHNA SAR BHANDAR"/>
    <s v="9735437617"/>
  </r>
  <r>
    <s v="RCF Trombay"/>
    <s v="15-15-15"/>
    <s v="WB"/>
    <x v="9"/>
    <s v="Raiganj"/>
    <s v="User Not Mapped"/>
    <s v="User Not Mapped"/>
    <s v="User Not Mapped"/>
    <n v="356087"/>
    <s v="Sabnam Fertiliser"/>
    <s v="Private Retailer"/>
    <s v="9933402347"/>
    <n v="0.75"/>
    <n v="39"/>
    <x v="3"/>
    <m/>
    <s v="2026-03-12"/>
    <s v="651626"/>
    <s v="M/S RADHA KRISHNA SAR BHANDAR"/>
    <s v="9735437617"/>
  </r>
  <r>
    <s v="RCF Trombay"/>
    <s v="N.C.Urea(45kg)"/>
    <s v="WB"/>
    <x v="9"/>
    <s v="Hemtabad"/>
    <s v="User Not Mapped"/>
    <s v="User Not Mapped"/>
    <s v="User Not Mapped"/>
    <n v="342403"/>
    <s v="Samsul Haque"/>
    <s v="Private Retailer"/>
    <s v="9932187464"/>
    <n v="2.25"/>
    <n v="65"/>
    <x v="6"/>
    <m/>
    <s v="2026-02-14"/>
    <s v="651626"/>
    <s v="M/S RADHA KRISHNA SAR BHANDAR"/>
    <s v="9735437617"/>
  </r>
  <r>
    <s v="RCF Import"/>
    <s v="Imp 10-26-26"/>
    <s v="WB"/>
    <x v="9"/>
    <s v="Hemtabad"/>
    <s v="User Not Mapped"/>
    <s v="User Not Mapped"/>
    <s v="User Not Mapped"/>
    <n v="342403"/>
    <s v="Samsul Haque"/>
    <s v="Private Retailer"/>
    <s v="9932187464"/>
    <n v="0.25"/>
    <n v="65"/>
    <x v="6"/>
    <m/>
    <s v="2026-02-14"/>
    <s v="651626"/>
    <s v="M/S RADHA KRISHNA SAR BHANDAR"/>
    <s v="9735437617"/>
  </r>
  <r>
    <s v="RCF Import"/>
    <s v="Imp 10-26-26"/>
    <s v="WB"/>
    <x v="9"/>
    <s v="Hemtabad"/>
    <s v="User Not Mapped"/>
    <s v="User Not Mapped"/>
    <s v="User Not Mapped"/>
    <n v="342403"/>
    <s v="Samsul Haque"/>
    <s v="Private Retailer"/>
    <s v="9932187464"/>
    <n v="0.25"/>
    <n v="69"/>
    <x v="6"/>
    <m/>
    <s v="2026-02-10"/>
    <s v="651626"/>
    <s v="M/S RADHA KRISHNA SAR BHANDAR"/>
    <s v="9735437617"/>
  </r>
  <r>
    <s v="RCF Import"/>
    <s v="Imp 10-26-26"/>
    <s v="WB"/>
    <x v="9"/>
    <s v="Raiganj"/>
    <s v="User Not Mapped"/>
    <s v="User Not Mapped"/>
    <s v="User Not Mapped"/>
    <n v="1331241"/>
    <s v="SARKAR KRISHI BHANDAR"/>
    <s v="Private Retailer"/>
    <s v="9733270632"/>
    <n v="0.25"/>
    <n v="50"/>
    <x v="3"/>
    <m/>
    <s v="2026-03-01"/>
    <s v="651626"/>
    <s v="M/S RADHA KRISHNA SAR BHANDAR"/>
    <s v="9735437617"/>
  </r>
  <r>
    <s v="RCF Trombay"/>
    <s v="15-15-15"/>
    <s v="WB"/>
    <x v="9"/>
    <s v="Raiganj"/>
    <s v="User Not Mapped"/>
    <s v="User Not Mapped"/>
    <s v="User Not Mapped"/>
    <n v="1101263"/>
    <s v="SUMAN SAR BHANDER"/>
    <s v="Private Retailer"/>
    <s v="9733402375"/>
    <n v="0.25"/>
    <n v="298"/>
    <x v="1"/>
    <m/>
    <s v="2025-06-26"/>
    <s v="651626"/>
    <s v="M/S RADHA KRISHNA SAR BHANDAR"/>
    <s v="9735437617"/>
  </r>
  <r>
    <s v="RCF Trombay"/>
    <s v="15-15-15"/>
    <s v="WB"/>
    <x v="9"/>
    <s v="Hemtabad"/>
    <s v="User Not Mapped"/>
    <s v="User Not Mapped"/>
    <s v="User Not Mapped"/>
    <n v="774725"/>
    <s v="TAGIMUL HOQUE"/>
    <s v="Private Retailer"/>
    <s v="8436322550"/>
    <n v="0.1"/>
    <n v="78"/>
    <x v="6"/>
    <m/>
    <s v="2026-02-01"/>
    <s v="651626"/>
    <s v="M/S RADHA KRISHNA SAR BHANDAR"/>
    <s v="9735437617"/>
  </r>
  <r>
    <s v="RCF Import"/>
    <s v="MOP"/>
    <s v="WB"/>
    <x v="9"/>
    <s v="Chopra"/>
    <s v="User Not Mapped"/>
    <s v="User Not Mapped"/>
    <s v="User Not Mapped"/>
    <n v="598453"/>
    <s v="MD JAHIRUDDIHN"/>
    <s v="Private Retailer"/>
    <s v="9734931865"/>
    <n v="1"/>
    <n v="283"/>
    <x v="1"/>
    <m/>
    <s v="2025-07-11"/>
    <s v="1129415"/>
    <s v="M/S S.P ENTERPRISES"/>
    <s v="7551830155"/>
  </r>
  <r>
    <s v="RCF Import"/>
    <s v="Imp 10-26-26"/>
    <s v="WB"/>
    <x v="9"/>
    <s v="Goalpokhar - II"/>
    <s v="User Not Mapped"/>
    <s v="User Not Mapped"/>
    <s v="User Not Mapped"/>
    <n v="255194"/>
    <s v="M/S SUMIT KUMAR JAIN"/>
    <s v="Private Retailer"/>
    <s v="9932267906"/>
    <n v="5.75"/>
    <n v="46"/>
    <x v="3"/>
    <m/>
    <s v="2026-03-05"/>
    <s v="1278042"/>
    <s v="M/S SUMIT KUMAR JAIN"/>
    <s v="9932267906"/>
  </r>
  <r>
    <s v="RCF Import"/>
    <s v="Imp 10-26-26"/>
    <s v="WB"/>
    <x v="9"/>
    <s v="Goalpokhar - II"/>
    <s v="User Not Mapped"/>
    <s v="User Not Mapped"/>
    <s v="User Not Mapped"/>
    <n v="477013"/>
    <s v="Md Anwar Alam"/>
    <s v="Private Retailer"/>
    <s v="9733111395"/>
    <n v="4.25"/>
    <n v="46"/>
    <x v="3"/>
    <m/>
    <s v="2026-03-05"/>
    <s v="1278042"/>
    <s v="M/S SUMIT KUMAR JAIN"/>
    <s v="9932267906"/>
  </r>
  <r>
    <s v="RCF Import"/>
    <s v="MOP"/>
    <s v="WB"/>
    <x v="9"/>
    <s v="Islampur"/>
    <s v="User Not Mapped"/>
    <s v="User Not Mapped"/>
    <s v="User Not Mapped"/>
    <n v="914076"/>
    <s v="Dipak Fertilizer"/>
    <s v="Private Retailer"/>
    <s v="9851688355"/>
    <n v="9.75"/>
    <n v="443"/>
    <x v="0"/>
    <m/>
    <s v="2025-02-01"/>
    <s v="1265553"/>
    <s v="M/S TARA MAA BEEJ BHANDAR"/>
    <s v="8250390783"/>
  </r>
  <r>
    <s v="RCF Import"/>
    <s v="MOP"/>
    <s v="WB"/>
    <x v="9"/>
    <s v="Islampur"/>
    <s v="User Not Mapped"/>
    <s v="User Not Mapped"/>
    <s v="User Not Mapped"/>
    <n v="494357"/>
    <s v="TAFAZUL ALAM"/>
    <s v="Private Retailer"/>
    <s v="9733216759"/>
    <n v="4.25"/>
    <n v="565"/>
    <x v="2"/>
    <m/>
    <s v="2024-10-02"/>
    <s v="1265553"/>
    <s v="M/S TARA MAA BEEJ BHANDAR"/>
    <s v="8250390783"/>
  </r>
  <r>
    <s v="RCF Trombay"/>
    <s v="15-15-15"/>
    <s v="WB"/>
    <x v="9"/>
    <s v="Raiganj"/>
    <s v="User Not Mapped"/>
    <s v="User Not Mapped"/>
    <s v="User Not Mapped"/>
    <n v="768238"/>
    <s v="DEY FERTILIZER"/>
    <s v="Private Retailer"/>
    <s v="9064812370"/>
    <n v="0.05"/>
    <n v="1964"/>
    <x v="2"/>
    <m/>
    <s v="2020-12-03"/>
    <s v="1187545"/>
    <s v="M/S TUSHAR KANTI AGARWALA"/>
    <s v="8597190846"/>
  </r>
  <r>
    <s v="RCF Import"/>
    <s v="MOP"/>
    <s v="WB"/>
    <x v="9"/>
    <s v="Raiganj"/>
    <s v="User Not Mapped"/>
    <s v="User Not Mapped"/>
    <s v="User Not Mapped"/>
    <n v="737128"/>
    <s v="TULAN DAS"/>
    <s v="Private Retailer"/>
    <s v="9635792361"/>
    <n v="5.5"/>
    <n v="490"/>
    <x v="0"/>
    <m/>
    <s v="2024-12-16"/>
    <s v="268536"/>
    <s v="M/s. A.Saha and Co."/>
    <s v="7908322991"/>
  </r>
  <r>
    <s v="RCF Thal"/>
    <s v="N.C.Urea(45kg)"/>
    <s v="WB"/>
    <x v="9"/>
    <s v="Goalpokhar - I"/>
    <s v="User Not Mapped"/>
    <s v="User Not Mapped"/>
    <s v="User Not Mapped"/>
    <n v="900753"/>
    <s v=" MD. AKKASH ALI"/>
    <s v="Private Retailer"/>
    <s v="9775902451"/>
    <n v="10.26"/>
    <n v="126"/>
    <x v="4"/>
    <m/>
    <s v="2025-12-15"/>
    <s v="342392"/>
    <s v="M/s. Kanailal Kedar Prasad"/>
    <s v="7407719515"/>
  </r>
  <r>
    <s v="RCF Trombay"/>
    <s v="N.C.Urea(45kg)"/>
    <s v="WB"/>
    <x v="9"/>
    <s v="Itahar"/>
    <s v="User Not Mapped"/>
    <s v="User Not Mapped"/>
    <s v="User Not Mapped"/>
    <n v="1029792"/>
    <s v="ABDUL MAJID"/>
    <s v="Private Retailer"/>
    <s v="9091170934"/>
    <n v="0.99"/>
    <n v="560"/>
    <x v="2"/>
    <m/>
    <s v="2024-10-07"/>
    <s v="342392"/>
    <s v="M/s. Kanailal Kedar Prasad"/>
    <s v="7407719515"/>
  </r>
  <r>
    <s v="RCF Thal"/>
    <s v="N.C.Urea(45kg)"/>
    <s v="WB"/>
    <x v="9"/>
    <s v="Itahar"/>
    <s v="User Not Mapped"/>
    <s v="User Not Mapped"/>
    <s v="User Not Mapped"/>
    <n v="1029792"/>
    <s v="ABDUL MAJID"/>
    <s v="Private Retailer"/>
    <s v="9091170934"/>
    <n v="5.49"/>
    <n v="87"/>
    <x v="6"/>
    <m/>
    <s v="2026-01-23"/>
    <s v="342392"/>
    <s v="M/s. Kanailal Kedar Prasad"/>
    <s v="7407719515"/>
  </r>
  <r>
    <s v="RCF Thal"/>
    <s v="N.C.Urea(45kg)"/>
    <s v="WB"/>
    <x v="9"/>
    <s v="Itahar"/>
    <s v="User Not Mapped"/>
    <s v="User Not Mapped"/>
    <s v="User Not Mapped"/>
    <n v="874025"/>
    <s v="ABUL KASHIM"/>
    <s v="Private Retailer"/>
    <s v="9800960430"/>
    <n v="0.18"/>
    <n v="144"/>
    <x v="4"/>
    <m/>
    <s v="2025-11-27"/>
    <s v="342392"/>
    <s v="M/s. Kanailal Kedar Prasad"/>
    <s v="7407719515"/>
  </r>
  <r>
    <s v="RCF Thal"/>
    <s v="N.C.Urea(45kg)"/>
    <s v="WB"/>
    <x v="9"/>
    <s v="Goalpokhar - II"/>
    <s v="User Not Mapped"/>
    <s v="User Not Mapped"/>
    <s v="User Not Mapped"/>
    <n v="477011"/>
    <s v="Agrichem Fertiliser Centre"/>
    <s v="Private Retailer"/>
    <s v="9064311900"/>
    <n v="4.2750000000000004"/>
    <n v="64"/>
    <x v="6"/>
    <m/>
    <s v="2026-02-15"/>
    <s v="342392"/>
    <s v="M/s. Kanailal Kedar Prasad"/>
    <s v="7407719515"/>
  </r>
  <r>
    <s v="RCF Thal"/>
    <s v="N.C.Urea(45kg)"/>
    <s v="WB"/>
    <x v="9"/>
    <s v="Goalpokhar - II"/>
    <s v="User Not Mapped"/>
    <s v="User Not Mapped"/>
    <s v="User Not Mapped"/>
    <n v="477011"/>
    <s v="Agrichem Fertiliser Centre"/>
    <s v="Private Retailer"/>
    <s v="9064311900"/>
    <n v="22.05"/>
    <n v="61"/>
    <x v="6"/>
    <m/>
    <s v="2026-02-18"/>
    <s v="342392"/>
    <s v="M/s. Kanailal Kedar Prasad"/>
    <s v="7407719515"/>
  </r>
  <r>
    <s v="RCF Thal"/>
    <s v="N.C.Urea(45kg)"/>
    <s v="WB"/>
    <x v="9"/>
    <s v="Itahar"/>
    <s v="User Not Mapped"/>
    <s v="User Not Mapped"/>
    <s v="User Not Mapped"/>
    <n v="1505115"/>
    <s v="AHAMMED FERTILIZER"/>
    <s v="Private Retailer"/>
    <s v="8001145567"/>
    <n v="0.495"/>
    <n v="87"/>
    <x v="6"/>
    <m/>
    <s v="2026-01-23"/>
    <s v="342392"/>
    <s v="M/s. Kanailal Kedar Prasad"/>
    <s v="7407719515"/>
  </r>
  <r>
    <s v="RCF Trombay"/>
    <s v="N.C.Urea(45kg)"/>
    <s v="WB"/>
    <x v="9"/>
    <s v="Itahar"/>
    <s v="User Not Mapped"/>
    <s v="User Not Mapped"/>
    <s v="User Not Mapped"/>
    <n v="995562"/>
    <s v="AJIJUR RAHAMAN"/>
    <s v="Private Retailer"/>
    <s v="9733392086"/>
    <n v="5.7149999999999999"/>
    <n v="191"/>
    <x v="1"/>
    <m/>
    <s v="2025-10-11"/>
    <s v="342392"/>
    <s v="M/s. Kanailal Kedar Prasad"/>
    <s v="7407719515"/>
  </r>
  <r>
    <s v="RCF Trombay"/>
    <s v="15-15-15"/>
    <s v="WB"/>
    <x v="9"/>
    <s v="Itahar"/>
    <s v="User Not Mapped"/>
    <s v="User Not Mapped"/>
    <s v="User Not Mapped"/>
    <n v="995562"/>
    <s v="AJIJUR RAHAMAN"/>
    <s v="Private Retailer"/>
    <s v="9733392086"/>
    <n v="4.1500000000000004"/>
    <n v="191"/>
    <x v="1"/>
    <m/>
    <s v="2025-10-11"/>
    <s v="342392"/>
    <s v="M/s. Kanailal Kedar Prasad"/>
    <s v="7407719515"/>
  </r>
  <r>
    <s v="RCF Trombay"/>
    <s v="N.C.Urea(45kg)"/>
    <s v="WB"/>
    <x v="9"/>
    <s v="Itahar"/>
    <s v="User Not Mapped"/>
    <s v="User Not Mapped"/>
    <s v="User Not Mapped"/>
    <n v="1629582"/>
    <s v="AJIM FERTILIZER"/>
    <s v="Private Retailer"/>
    <s v="8509867375"/>
    <n v="4.4999999999999998E-2"/>
    <n v="124"/>
    <x v="4"/>
    <m/>
    <s v="2025-12-17"/>
    <s v="342392"/>
    <s v="M/s. Kanailal Kedar Prasad"/>
    <s v="7407719515"/>
  </r>
  <r>
    <s v="RCF Thal"/>
    <s v="N.C.Urea(45kg)"/>
    <s v="WB"/>
    <x v="9"/>
    <s v="Kaliaganj"/>
    <s v="User Not Mapped"/>
    <s v="User Not Mapped"/>
    <s v="User Not Mapped"/>
    <n v="1483418"/>
    <s v="AKRAM FERTILIZER"/>
    <s v="Private Retailer"/>
    <s v="9932316501"/>
    <n v="9.6300000000000008"/>
    <n v="42"/>
    <x v="3"/>
    <m/>
    <s v="2026-03-09"/>
    <s v="342392"/>
    <s v="M/s. Kanailal Kedar Prasad"/>
    <s v="7407719515"/>
  </r>
  <r>
    <s v="RCF Thal"/>
    <s v="N.C.Urea(45kg)"/>
    <s v="WB"/>
    <x v="9"/>
    <s v="Itahar"/>
    <s v="User Not Mapped"/>
    <s v="User Not Mapped"/>
    <s v="User Not Mapped"/>
    <n v="383979"/>
    <s v="Anil Mondal"/>
    <s v="Private Retailer"/>
    <s v="9609955256"/>
    <n v="4.32"/>
    <n v="42"/>
    <x v="3"/>
    <m/>
    <s v="2026-03-09"/>
    <s v="342392"/>
    <s v="M/s. Kanailal Kedar Prasad"/>
    <s v="7407719515"/>
  </r>
  <r>
    <s v="RCF Thal"/>
    <s v="N.C.Urea(45kg)"/>
    <s v="WB"/>
    <x v="9"/>
    <s v="Itahar"/>
    <s v="User Not Mapped"/>
    <s v="User Not Mapped"/>
    <s v="User Not Mapped"/>
    <n v="533478"/>
    <s v="Anjali Ghosh"/>
    <s v="Private Retailer"/>
    <s v="9933177383"/>
    <n v="3.15"/>
    <n v="126"/>
    <x v="4"/>
    <m/>
    <s v="2025-12-15"/>
    <s v="342392"/>
    <s v="M/s. Kanailal Kedar Prasad"/>
    <s v="7407719515"/>
  </r>
  <r>
    <s v="RCF Trombay"/>
    <s v="N.C.Urea(45kg)"/>
    <s v="WB"/>
    <x v="9"/>
    <s v="Itahar"/>
    <s v="User Not Mapped"/>
    <s v="User Not Mapped"/>
    <s v="User Not Mapped"/>
    <n v="633238"/>
    <s v="ASGAR ALI"/>
    <s v="Private Retailer"/>
    <s v="9932478466"/>
    <n v="1.3049999999999999"/>
    <n v="278"/>
    <x v="1"/>
    <m/>
    <s v="2025-07-16"/>
    <s v="342392"/>
    <s v="M/s. Kanailal Kedar Prasad"/>
    <s v="7407719515"/>
  </r>
  <r>
    <s v="RCF Trombay"/>
    <s v="N.C.Urea(45kg)"/>
    <s v="WB"/>
    <x v="9"/>
    <s v="Hemtabad"/>
    <s v="User Not Mapped"/>
    <s v="User Not Mapped"/>
    <s v="User Not Mapped"/>
    <n v="1419879"/>
    <s v="ASRAFI BEEJ BHANDAR"/>
    <s v="Private Retailer"/>
    <s v="8348713582"/>
    <n v="0.36"/>
    <n v="124"/>
    <x v="4"/>
    <m/>
    <s v="2025-12-17"/>
    <s v="342392"/>
    <s v="M/s. Kanailal Kedar Prasad"/>
    <s v="7407719515"/>
  </r>
  <r>
    <s v="RCF Thal"/>
    <s v="N.C.Urea(45kg)"/>
    <s v="WB"/>
    <x v="9"/>
    <s v="Hemtabad"/>
    <s v="User Not Mapped"/>
    <s v="User Not Mapped"/>
    <s v="User Not Mapped"/>
    <n v="1419879"/>
    <s v="ASRAFI BEEJ BHANDAR"/>
    <s v="Private Retailer"/>
    <s v="8348713582"/>
    <n v="1.9350000000000001"/>
    <n v="87"/>
    <x v="6"/>
    <m/>
    <s v="2026-01-23"/>
    <s v="342392"/>
    <s v="M/s. Kanailal Kedar Prasad"/>
    <s v="7407719515"/>
  </r>
  <r>
    <s v="RCF Trombay"/>
    <s v="15-15-15"/>
    <s v="WB"/>
    <x v="9"/>
    <s v="Hemtabad"/>
    <s v="User Not Mapped"/>
    <s v="User Not Mapped"/>
    <s v="User Not Mapped"/>
    <n v="895792"/>
    <s v="B.S.K.U.S.L"/>
    <s v="Private Retailer"/>
    <s v="8348717512"/>
    <n v="1.1000000000000001"/>
    <n v="263"/>
    <x v="1"/>
    <m/>
    <s v="2025-07-31"/>
    <s v="342392"/>
    <s v="M/s. Kanailal Kedar Prasad"/>
    <s v="7407719515"/>
  </r>
  <r>
    <s v="RCF Thal"/>
    <s v="N.C.Urea(45kg)"/>
    <s v="WB"/>
    <x v="9"/>
    <s v="Raiganj"/>
    <s v="User Not Mapped"/>
    <s v="User Not Mapped"/>
    <s v="User Not Mapped"/>
    <n v="383784"/>
    <s v="BAIDYANATH KUNDU"/>
    <s v="Private Retailer"/>
    <s v="8972807161"/>
    <n v="3.4649999999999999"/>
    <n v="64"/>
    <x v="6"/>
    <m/>
    <s v="2026-02-15"/>
    <s v="342392"/>
    <s v="M/s. Kanailal Kedar Prasad"/>
    <s v="7407719515"/>
  </r>
  <r>
    <s v="RCF Trombay"/>
    <s v="15-15-15"/>
    <s v="WB"/>
    <x v="9"/>
    <s v="Itahar"/>
    <s v="User Not Mapped"/>
    <s v="User Not Mapped"/>
    <s v="User Not Mapped"/>
    <n v="1086899"/>
    <s v="BANKIM CHANDRA MANDAL"/>
    <s v="Private Wholsaler"/>
    <s v="7001573946"/>
    <n v="1"/>
    <n v="133"/>
    <x v="4"/>
    <s v="'2026'"/>
    <s v="2025-12-08"/>
    <s v="342392"/>
    <s v="M/s. Kanailal Kedar Prasad"/>
    <s v="7407719515"/>
  </r>
  <r>
    <s v="RCF Import"/>
    <s v="Imp 10-26-26"/>
    <s v="WB"/>
    <x v="9"/>
    <s v="Itahar"/>
    <s v="User Not Mapped"/>
    <s v="User Not Mapped"/>
    <s v="User Not Mapped"/>
    <n v="1086899"/>
    <s v="BANKIM CHANDRA MANDAL"/>
    <s v="Private Wholsaler"/>
    <s v="7001573946"/>
    <n v="2"/>
    <n v="74"/>
    <x v="6"/>
    <s v="'2883'"/>
    <s v="2026-02-05"/>
    <s v="342392"/>
    <s v="M/s. Kanailal Kedar Prasad"/>
    <s v="7407719515"/>
  </r>
  <r>
    <s v="RCF Import"/>
    <s v="Imp 10-26-26"/>
    <s v="WB"/>
    <x v="9"/>
    <s v="Itahar"/>
    <s v="User Not Mapped"/>
    <s v="User Not Mapped"/>
    <s v="User Not Mapped"/>
    <n v="1086899"/>
    <s v="BANKIM CHANDRA MANDAL"/>
    <s v="Private Wholsaler"/>
    <s v="7001573946"/>
    <n v="12"/>
    <n v="51"/>
    <x v="3"/>
    <s v="'3129'"/>
    <s v="2026-02-28"/>
    <s v="342392"/>
    <s v="M/s. Kanailal Kedar Prasad"/>
    <s v="7407719515"/>
  </r>
  <r>
    <s v="RCF Trombay"/>
    <s v="N.C.Urea(45kg)"/>
    <s v="WB"/>
    <x v="9"/>
    <s v="Itahar"/>
    <s v="User Not Mapped"/>
    <s v="User Not Mapped"/>
    <s v="User Not Mapped"/>
    <n v="979860"/>
    <s v="BANKIM CHANDRA MANDAL"/>
    <s v="Private Retailer"/>
    <s v="7001573946"/>
    <n v="0.36"/>
    <n v="191"/>
    <x v="1"/>
    <m/>
    <s v="2025-10-11"/>
    <s v="342392"/>
    <s v="M/s. Kanailal Kedar Prasad"/>
    <s v="7407719515"/>
  </r>
  <r>
    <s v="RCF Thal"/>
    <s v="N.C.Urea(45kg)"/>
    <s v="WB"/>
    <x v="9"/>
    <s v="Itahar"/>
    <s v="User Not Mapped"/>
    <s v="User Not Mapped"/>
    <s v="User Not Mapped"/>
    <n v="979860"/>
    <s v="BANKIM CHANDRA MANDAL"/>
    <s v="Private Retailer"/>
    <s v="7001573946"/>
    <n v="4.9050000000000002"/>
    <n v="42"/>
    <x v="3"/>
    <m/>
    <s v="2026-03-09"/>
    <s v="342392"/>
    <s v="M/s. Kanailal Kedar Prasad"/>
    <s v="7407719515"/>
  </r>
  <r>
    <s v="RCF Thal"/>
    <s v="N.C.Urea(45kg)"/>
    <s v="WB"/>
    <x v="9"/>
    <s v="Itahar"/>
    <s v="User Not Mapped"/>
    <s v="User Not Mapped"/>
    <s v="User Not Mapped"/>
    <n v="873982"/>
    <s v="BAREN CHANDRA SARKAR"/>
    <s v="Private Retailer"/>
    <s v="9932979855"/>
    <n v="0.13500000000000001"/>
    <n v="148"/>
    <x v="4"/>
    <m/>
    <s v="2025-11-23"/>
    <s v="342392"/>
    <s v="M/s. Kanailal Kedar Prasad"/>
    <s v="7407719515"/>
  </r>
  <r>
    <s v="RCF Thal"/>
    <s v="N.C.Urea(45kg)"/>
    <s v="WB"/>
    <x v="9"/>
    <s v="Itahar"/>
    <s v="User Not Mapped"/>
    <s v="User Not Mapped"/>
    <s v="User Not Mapped"/>
    <n v="873982"/>
    <s v="BAREN CHANDRA SARKAR"/>
    <s v="Private Retailer"/>
    <s v="9932979855"/>
    <n v="5.4"/>
    <n v="64"/>
    <x v="6"/>
    <m/>
    <s v="2026-02-15"/>
    <s v="342392"/>
    <s v="M/s. Kanailal Kedar Prasad"/>
    <s v="7407719515"/>
  </r>
  <r>
    <s v="RCF Thal"/>
    <s v="N.C.Urea(45kg)"/>
    <s v="WB"/>
    <x v="9"/>
    <s v="Itahar"/>
    <s v="User Not Mapped"/>
    <s v="User Not Mapped"/>
    <s v="User Not Mapped"/>
    <n v="873982"/>
    <s v="BAREN CHANDRA SARKAR"/>
    <s v="Private Retailer"/>
    <s v="9932979855"/>
    <n v="5.4"/>
    <n v="42"/>
    <x v="3"/>
    <m/>
    <s v="2026-03-09"/>
    <s v="342392"/>
    <s v="M/s. Kanailal Kedar Prasad"/>
    <s v="7407719515"/>
  </r>
  <r>
    <s v="RCF Thal"/>
    <s v="N.C.Urea(45kg)"/>
    <s v="WB"/>
    <x v="9"/>
    <s v="Goalpokhar - II"/>
    <s v="User Not Mapped"/>
    <s v="User Not Mapped"/>
    <s v="User Not Mapped"/>
    <n v="1457474"/>
    <s v="BHAI BHAI FERTILIZER"/>
    <s v="Private Retailer"/>
    <s v="8116447142"/>
    <n v="4.4999999999999998E-2"/>
    <n v="88"/>
    <x v="6"/>
    <m/>
    <s v="2026-01-22"/>
    <s v="342392"/>
    <s v="M/s. Kanailal Kedar Prasad"/>
    <s v="7407719515"/>
  </r>
  <r>
    <s v="RCF Thal"/>
    <s v="N.C.Urea(45kg)"/>
    <s v="WB"/>
    <x v="9"/>
    <s v="Goalpokhar - I"/>
    <s v="User Not Mapped"/>
    <s v="User Not Mapped"/>
    <s v="User Not Mapped"/>
    <n v="391499"/>
    <s v="Bijoy Debsarma"/>
    <s v="Private Retailer"/>
    <s v="9593867703"/>
    <n v="9.7899999999999991"/>
    <n v="42"/>
    <x v="3"/>
    <m/>
    <s v="2026-03-09"/>
    <s v="342392"/>
    <s v="M/s. Kanailal Kedar Prasad"/>
    <s v="7407719515"/>
  </r>
  <r>
    <s v="RCF Thal"/>
    <s v="N.C.Urea(45kg)"/>
    <s v="WB"/>
    <x v="9"/>
    <s v="Raiganj"/>
    <s v="User Not Mapped"/>
    <s v="User Not Mapped"/>
    <s v="User Not Mapped"/>
    <n v="730617"/>
    <s v="BIJOY RAHA"/>
    <s v="Private Retailer"/>
    <s v="9832085725"/>
    <n v="7.2"/>
    <n v="88"/>
    <x v="6"/>
    <m/>
    <s v="2026-01-22"/>
    <s v="342392"/>
    <s v="M/s. Kanailal Kedar Prasad"/>
    <s v="7407719515"/>
  </r>
  <r>
    <s v="RCF Thal"/>
    <s v="N.C.Urea(45kg)"/>
    <s v="WB"/>
    <x v="9"/>
    <s v="Raiganj"/>
    <s v="User Not Mapped"/>
    <s v="User Not Mapped"/>
    <s v="User Not Mapped"/>
    <n v="730617"/>
    <s v="BIJOY RAHA"/>
    <s v="Private Retailer"/>
    <s v="9832085725"/>
    <n v="11.025"/>
    <n v="64"/>
    <x v="6"/>
    <m/>
    <s v="2026-02-15"/>
    <s v="342392"/>
    <s v="M/s. Kanailal Kedar Prasad"/>
    <s v="7407719515"/>
  </r>
  <r>
    <s v="RCF Thal"/>
    <s v="N.C.Urea(45kg)"/>
    <s v="WB"/>
    <x v="9"/>
    <m/>
    <s v="User Not Mapped"/>
    <s v="User Not Mapped"/>
    <s v="User Not Mapped"/>
    <n v="341074"/>
    <s v="Bikash Fertiliser"/>
    <s v="Private Retailer"/>
    <s v="9434811804"/>
    <n v="9.1349999999999998"/>
    <n v="191"/>
    <x v="1"/>
    <m/>
    <s v="2025-10-11"/>
    <s v="342392"/>
    <s v="M/s. Kanailal Kedar Prasad"/>
    <s v="7407719515"/>
  </r>
  <r>
    <s v="RCF Thal"/>
    <s v="N.C.Urea(45kg)"/>
    <s v="WB"/>
    <x v="9"/>
    <s v="Kaliaganj"/>
    <s v="User Not Mapped"/>
    <s v="User Not Mapped"/>
    <s v="User Not Mapped"/>
    <n v="852134"/>
    <s v="BUDHU ROY"/>
    <s v="Private Retailer"/>
    <s v="9635881493"/>
    <n v="0.82499999999999996"/>
    <n v="87"/>
    <x v="6"/>
    <m/>
    <s v="2026-01-23"/>
    <s v="342392"/>
    <s v="M/s. Kanailal Kedar Prasad"/>
    <s v="7407719515"/>
  </r>
  <r>
    <s v="RCF Thal"/>
    <s v="N.C.Urea(45kg)"/>
    <s v="WB"/>
    <x v="9"/>
    <s v="Kaliaganj"/>
    <s v="User Not Mapped"/>
    <s v="User Not Mapped"/>
    <s v="User Not Mapped"/>
    <n v="474225"/>
    <s v="Debabrata Dutt"/>
    <s v="Private Retailer"/>
    <s v="8016735579"/>
    <n v="7.65"/>
    <n v="387"/>
    <x v="0"/>
    <m/>
    <s v="2025-03-29"/>
    <s v="342392"/>
    <s v="M/s. Kanailal Kedar Prasad"/>
    <s v="7407719515"/>
  </r>
  <r>
    <s v="RCF Thal"/>
    <s v="N.C.Urea(45kg)"/>
    <s v="WB"/>
    <x v="9"/>
    <s v="Itahar"/>
    <s v="User Not Mapped"/>
    <s v="User Not Mapped"/>
    <s v="User Not Mapped"/>
    <n v="963472"/>
    <s v="DEBASHISH DAS"/>
    <s v="Private Retailer"/>
    <s v="7908970587"/>
    <n v="11.025"/>
    <n v="64"/>
    <x v="6"/>
    <m/>
    <s v="2026-02-15"/>
    <s v="342392"/>
    <s v="M/s. Kanailal Kedar Prasad"/>
    <s v="7407719515"/>
  </r>
  <r>
    <s v="RCF Thal"/>
    <s v="N.C.Urea(45kg)"/>
    <s v="WB"/>
    <x v="9"/>
    <s v="Raiganj"/>
    <s v="User Not Mapped"/>
    <s v="User Not Mapped"/>
    <s v="User Not Mapped"/>
    <n v="1399346"/>
    <s v="DEYS FERTILISER"/>
    <s v="Private Retailer"/>
    <s v="9749352931"/>
    <n v="2.34"/>
    <n v="126"/>
    <x v="4"/>
    <m/>
    <s v="2025-12-15"/>
    <s v="342392"/>
    <s v="M/s. Kanailal Kedar Prasad"/>
    <s v="7407719515"/>
  </r>
  <r>
    <s v="RCF Thal"/>
    <s v="N.C.Urea(45kg)"/>
    <s v="WB"/>
    <x v="9"/>
    <s v="Kaliaganj"/>
    <s v="User Not Mapped"/>
    <s v="User Not Mapped"/>
    <s v="User Not Mapped"/>
    <n v="269155"/>
    <s v="Fulatti Skus Ltd"/>
    <s v="PACS"/>
    <s v="7908780559"/>
    <n v="11.025"/>
    <n v="88"/>
    <x v="6"/>
    <m/>
    <s v="2026-01-22"/>
    <s v="342392"/>
    <s v="M/s. Kanailal Kedar Prasad"/>
    <s v="7407719515"/>
  </r>
  <r>
    <s v="RCF Trombay"/>
    <s v="15-15-15"/>
    <s v="WB"/>
    <x v="9"/>
    <s v="Raiganj"/>
    <s v="User Not Mapped"/>
    <s v="User Not Mapped"/>
    <s v="User Not Mapped"/>
    <n v="949278"/>
    <s v="GHOSH FERTILIZER"/>
    <s v="Private Wholsaler"/>
    <s v="9434967172"/>
    <n v="8.4"/>
    <n v="207"/>
    <x v="1"/>
    <s v="'1055'"/>
    <s v="2025-09-25"/>
    <s v="342392"/>
    <s v="M/s. Kanailal Kedar Prasad"/>
    <s v="7407719515"/>
  </r>
  <r>
    <s v="RCF Thal"/>
    <s v="N.C.Urea(45kg)"/>
    <s v="WB"/>
    <x v="9"/>
    <s v="Chopra"/>
    <s v="User Not Mapped"/>
    <s v="User Not Mapped"/>
    <s v="User Not Mapped"/>
    <n v="233530"/>
    <s v="Gopal Chandra Das"/>
    <s v="Private Retailer"/>
    <s v="9614337186"/>
    <n v="2.4750000000000001"/>
    <n v="64"/>
    <x v="6"/>
    <m/>
    <s v="2026-02-15"/>
    <s v="342392"/>
    <s v="M/s. Kanailal Kedar Prasad"/>
    <s v="7407719515"/>
  </r>
  <r>
    <s v="RCF Thal"/>
    <s v="N.C.Urea(45kg)"/>
    <s v="WB"/>
    <x v="9"/>
    <s v="Raiganj"/>
    <s v="User Not Mapped"/>
    <s v="User Not Mapped"/>
    <s v="User Not Mapped"/>
    <n v="1142181"/>
    <s v="GUNADHAR BARMAN"/>
    <s v="Private Retailer"/>
    <s v="8972587840"/>
    <n v="5.8949999999999996"/>
    <n v="126"/>
    <x v="4"/>
    <m/>
    <s v="2025-12-15"/>
    <s v="342392"/>
    <s v="M/s. Kanailal Kedar Prasad"/>
    <s v="7407719515"/>
  </r>
  <r>
    <s v="RCF Thal"/>
    <s v="N.C.Urea(45kg)"/>
    <s v="WB"/>
    <x v="9"/>
    <s v="Raiganj"/>
    <s v="User Not Mapped"/>
    <s v="User Not Mapped"/>
    <s v="User Not Mapped"/>
    <n v="341431"/>
    <s v="Habibur Rahaman"/>
    <s v="Private Retailer"/>
    <s v="9734104004"/>
    <n v="0.09"/>
    <n v="87"/>
    <x v="6"/>
    <m/>
    <s v="2026-01-23"/>
    <s v="342392"/>
    <s v="M/s. Kanailal Kedar Prasad"/>
    <s v="7407719515"/>
  </r>
  <r>
    <s v="RCF Thal"/>
    <s v="N.C.Urea(45kg)"/>
    <s v="WB"/>
    <x v="9"/>
    <s v="Goalpokhar - I"/>
    <s v="User Not Mapped"/>
    <s v="User Not Mapped"/>
    <s v="User Not Mapped"/>
    <n v="355030"/>
    <s v="HARI PADA MAJUMDER"/>
    <s v="Private Retailer"/>
    <s v="8967304357"/>
    <n v="34.424999999999997"/>
    <n v="88"/>
    <x v="6"/>
    <m/>
    <s v="2026-01-22"/>
    <s v="342392"/>
    <s v="M/s. Kanailal Kedar Prasad"/>
    <s v="7407719515"/>
  </r>
  <r>
    <s v="RCF Thal"/>
    <s v="N.C.Urea(45kg)"/>
    <s v="WB"/>
    <x v="9"/>
    <s v="Goalpokhar - I"/>
    <s v="User Not Mapped"/>
    <s v="User Not Mapped"/>
    <s v="User Not Mapped"/>
    <n v="355030"/>
    <s v="HARI PADA MAJUMDER"/>
    <s v="Private Retailer"/>
    <s v="8967304357"/>
    <n v="11.025"/>
    <n v="61"/>
    <x v="6"/>
    <m/>
    <s v="2026-02-18"/>
    <s v="342392"/>
    <s v="M/s. Kanailal Kedar Prasad"/>
    <s v="7407719515"/>
  </r>
  <r>
    <s v="RCF Thal"/>
    <s v="N.C.Urea(45kg)"/>
    <s v="WB"/>
    <x v="9"/>
    <s v="Goalpokhar - I"/>
    <s v="User Not Mapped"/>
    <s v="User Not Mapped"/>
    <s v="User Not Mapped"/>
    <n v="355030"/>
    <s v="HARI PADA MAJUMDER"/>
    <s v="Private Retailer"/>
    <s v="8967304357"/>
    <n v="16.11"/>
    <n v="64"/>
    <x v="6"/>
    <m/>
    <s v="2026-02-15"/>
    <s v="342392"/>
    <s v="M/s. Kanailal Kedar Prasad"/>
    <s v="7407719515"/>
  </r>
  <r>
    <s v="RCF Trombay"/>
    <s v="N.C.Urea(45kg)"/>
    <s v="WB"/>
    <x v="9"/>
    <s v="Goalpokhar - I"/>
    <s v="User Not Mapped"/>
    <s v="User Not Mapped"/>
    <s v="User Not Mapped"/>
    <n v="355030"/>
    <s v="HARI PADA MAJUMDER"/>
    <s v="Private Retailer"/>
    <s v="8967304357"/>
    <n v="3.105"/>
    <n v="90"/>
    <x v="6"/>
    <m/>
    <s v="2026-01-20"/>
    <s v="342392"/>
    <s v="M/s. Kanailal Kedar Prasad"/>
    <s v="7407719515"/>
  </r>
  <r>
    <s v="RCF Thal"/>
    <s v="N.C.Urea(45kg)"/>
    <s v="WB"/>
    <x v="9"/>
    <s v="Raiganj"/>
    <s v="User Not Mapped"/>
    <s v="User Not Mapped"/>
    <s v="User Not Mapped"/>
    <n v="341479"/>
    <s v="Hekim Ali"/>
    <s v="Private Retailer"/>
    <s v="9593628482"/>
    <n v="3.24"/>
    <n v="404"/>
    <x v="0"/>
    <m/>
    <s v="2025-03-12"/>
    <s v="342392"/>
    <s v="M/s. Kanailal Kedar Prasad"/>
    <s v="7407719515"/>
  </r>
  <r>
    <s v="RCF Thal"/>
    <s v="N.C.Urea(45kg)"/>
    <s v="WB"/>
    <x v="9"/>
    <s v="Raiganj"/>
    <s v="User Not Mapped"/>
    <s v="User Not Mapped"/>
    <s v="User Not Mapped"/>
    <n v="1333346"/>
    <s v="J P FERTILIZER"/>
    <s v="Private Retailer"/>
    <s v="9002856833"/>
    <n v="9.3149999999999995"/>
    <n v="64"/>
    <x v="6"/>
    <m/>
    <s v="2026-02-15"/>
    <s v="342392"/>
    <s v="M/s. Kanailal Kedar Prasad"/>
    <s v="7407719515"/>
  </r>
  <r>
    <s v="RCF Thal"/>
    <s v="N.C.Urea(45kg)"/>
    <s v="WB"/>
    <x v="9"/>
    <s v="Itahar"/>
    <s v="User Not Mapped"/>
    <s v="User Not Mapped"/>
    <s v="User Not Mapped"/>
    <n v="922970"/>
    <s v="JIAUL HOQUE"/>
    <s v="Private Retailer"/>
    <s v="9382480003"/>
    <n v="0.40500000000000003"/>
    <n v="64"/>
    <x v="6"/>
    <m/>
    <s v="2026-02-15"/>
    <s v="342392"/>
    <s v="M/s. Kanailal Kedar Prasad"/>
    <s v="7407719515"/>
  </r>
  <r>
    <s v="RCF Thal"/>
    <s v="N.C.Urea(45kg)"/>
    <s v="WB"/>
    <x v="9"/>
    <s v="Raiganj"/>
    <s v="User Not Mapped"/>
    <s v="User Not Mapped"/>
    <s v="User Not Mapped"/>
    <n v="751246"/>
    <s v="JOY BABA LOKNATH SAR BHANDER"/>
    <s v="Private Retailer"/>
    <s v="7001069193"/>
    <n v="11.025"/>
    <n v="42"/>
    <x v="3"/>
    <m/>
    <s v="2026-03-09"/>
    <s v="342392"/>
    <s v="M/s. Kanailal Kedar Prasad"/>
    <s v="7407719515"/>
  </r>
  <r>
    <s v="RCF Thal"/>
    <s v="N.C.Urea(45kg)"/>
    <s v="WB"/>
    <x v="9"/>
    <s v="Raiganj"/>
    <s v="User Not Mapped"/>
    <s v="User Not Mapped"/>
    <s v="User Not Mapped"/>
    <n v="751246"/>
    <s v="JOY BABA LOKNATH SAR BHANDER"/>
    <s v="Private Retailer"/>
    <s v="7001069193"/>
    <n v="0.58499999999999996"/>
    <n v="221"/>
    <x v="1"/>
    <m/>
    <s v="2025-09-11"/>
    <s v="342392"/>
    <s v="M/s. Kanailal Kedar Prasad"/>
    <s v="7407719515"/>
  </r>
  <r>
    <s v="RCF Thal"/>
    <s v="N.C.Urea(45kg)"/>
    <s v="WB"/>
    <x v="9"/>
    <s v="Raiganj"/>
    <s v="User Not Mapped"/>
    <s v="User Not Mapped"/>
    <s v="User Not Mapped"/>
    <n v="751246"/>
    <s v="JOY BABA LOKNATH SAR BHANDER"/>
    <s v="Private Retailer"/>
    <s v="7001069193"/>
    <n v="11.025"/>
    <n v="87"/>
    <x v="6"/>
    <m/>
    <s v="2026-01-23"/>
    <s v="342392"/>
    <s v="M/s. Kanailal Kedar Prasad"/>
    <s v="7407719515"/>
  </r>
  <r>
    <s v="RCF Thal"/>
    <s v="N.C.Urea(45kg)"/>
    <s v="WB"/>
    <x v="9"/>
    <s v="Raiganj"/>
    <s v="User Not Mapped"/>
    <s v="User Not Mapped"/>
    <s v="User Not Mapped"/>
    <n v="1388238"/>
    <s v="KALICHARAN SARKAR AND PABITRA "/>
    <s v="Private Retailer"/>
    <s v="6296518905"/>
    <n v="0.54"/>
    <n v="126"/>
    <x v="4"/>
    <m/>
    <s v="2025-12-15"/>
    <s v="342392"/>
    <s v="M/s. Kanailal Kedar Prasad"/>
    <s v="7407719515"/>
  </r>
  <r>
    <s v="RCF Thal"/>
    <s v="N.C.Urea(45kg)"/>
    <s v="WB"/>
    <x v="9"/>
    <s v="Raiganj"/>
    <s v="User Not Mapped"/>
    <s v="User Not Mapped"/>
    <s v="User Not Mapped"/>
    <n v="1388238"/>
    <s v="KALICHARAN SARKAR AND PABITRA "/>
    <s v="Private Retailer"/>
    <s v="6296518905"/>
    <n v="11.025"/>
    <n v="42"/>
    <x v="3"/>
    <m/>
    <s v="2026-03-09"/>
    <s v="342392"/>
    <s v="M/s. Kanailal Kedar Prasad"/>
    <s v="7407719515"/>
  </r>
  <r>
    <s v="RCF Thal"/>
    <s v="N.C.Urea(45kg)"/>
    <s v="WB"/>
    <x v="9"/>
    <s v="Itahar"/>
    <s v="User Not Mapped"/>
    <s v="User Not Mapped"/>
    <s v="User Not Mapped"/>
    <n v="1029774"/>
    <s v="KAMALUDDIN AHAMED"/>
    <s v="Private Retailer"/>
    <s v="6295191502"/>
    <n v="33.075000000000003"/>
    <n v="42"/>
    <x v="3"/>
    <m/>
    <s v="2026-03-09"/>
    <s v="342392"/>
    <s v="M/s. Kanailal Kedar Prasad"/>
    <s v="7407719515"/>
  </r>
  <r>
    <s v="RCF Thal"/>
    <s v="N.C.Urea(45kg)"/>
    <s v="WB"/>
    <x v="9"/>
    <s v="Itahar"/>
    <s v="User Not Mapped"/>
    <s v="User Not Mapped"/>
    <s v="User Not Mapped"/>
    <n v="1029774"/>
    <s v="KAMALUDDIN AHAMED"/>
    <s v="Private Retailer"/>
    <s v="6295191502"/>
    <n v="4.68"/>
    <n v="64"/>
    <x v="6"/>
    <m/>
    <s v="2026-02-15"/>
    <s v="342392"/>
    <s v="M/s. Kanailal Kedar Prasad"/>
    <s v="7407719515"/>
  </r>
  <r>
    <s v="RCF Thal"/>
    <s v="N.C.Urea(45kg)"/>
    <s v="WB"/>
    <x v="9"/>
    <s v="Itahar"/>
    <s v="User Not Mapped"/>
    <s v="User Not Mapped"/>
    <s v="User Not Mapped"/>
    <n v="937920"/>
    <s v="KANTI BASAK"/>
    <s v="Private Retailer"/>
    <s v="7001552653"/>
    <n v="0.79500000000000004"/>
    <n v="144"/>
    <x v="4"/>
    <m/>
    <s v="2025-11-27"/>
    <s v="342392"/>
    <s v="M/s. Kanailal Kedar Prasad"/>
    <s v="7407719515"/>
  </r>
  <r>
    <s v="RCF Thal"/>
    <s v="N.C.Urea(45kg)"/>
    <s v="WB"/>
    <x v="9"/>
    <s v="Raiganj"/>
    <s v="User Not Mapped"/>
    <s v="User Not Mapped"/>
    <s v="User Not Mapped"/>
    <n v="1450800"/>
    <s v="KARNAJORA CO-OPERATIVE AGRICUL"/>
    <s v="Private Retailer"/>
    <s v="9733175067"/>
    <n v="11.025"/>
    <n v="42"/>
    <x v="3"/>
    <m/>
    <s v="2026-03-09"/>
    <s v="342392"/>
    <s v="M/s. Kanailal Kedar Prasad"/>
    <s v="7407719515"/>
  </r>
  <r>
    <s v="RCF Thal"/>
    <s v="N.C.Urea(45kg)"/>
    <s v="WB"/>
    <x v="9"/>
    <m/>
    <s v="User Not Mapped"/>
    <s v="User Not Mapped"/>
    <s v="User Not Mapped"/>
    <n v="1505109"/>
    <s v="KHUSHI FERTILIZER"/>
    <s v="Private Retailer"/>
    <s v="9002323258"/>
    <n v="8.19"/>
    <n v="41"/>
    <x v="3"/>
    <m/>
    <s v="2026-03-10"/>
    <s v="342392"/>
    <s v="M/s. Kanailal Kedar Prasad"/>
    <s v="7407719515"/>
  </r>
  <r>
    <s v="RCF Thal"/>
    <s v="N.C.Urea(45kg)"/>
    <s v="WB"/>
    <x v="9"/>
    <s v="Karandighi"/>
    <s v="User Not Mapped"/>
    <s v="User Not Mapped"/>
    <s v="User Not Mapped"/>
    <n v="1597160"/>
    <s v="KRISHI BAHAR AGRO ENTERPRISE"/>
    <s v="Private Retailer"/>
    <s v="6295352793"/>
    <n v="11.025"/>
    <n v="124"/>
    <x v="4"/>
    <m/>
    <s v="2025-12-17"/>
    <s v="342392"/>
    <s v="M/s. Kanailal Kedar Prasad"/>
    <s v="7407719515"/>
  </r>
  <r>
    <s v="RCF Thal"/>
    <s v="N.C.Urea(45kg)"/>
    <s v="WB"/>
    <x v="9"/>
    <s v="Karandighi"/>
    <s v="User Not Mapped"/>
    <s v="User Not Mapped"/>
    <s v="User Not Mapped"/>
    <n v="1597160"/>
    <s v="KRISHI BAHAR AGRO ENTERPRISE"/>
    <s v="Private Retailer"/>
    <s v="6295352793"/>
    <n v="8.64"/>
    <n v="257"/>
    <x v="1"/>
    <m/>
    <s v="2025-08-06"/>
    <s v="342392"/>
    <s v="M/s. Kanailal Kedar Prasad"/>
    <s v="7407719515"/>
  </r>
  <r>
    <s v="RCF Trombay"/>
    <s v="N.C.Urea(45kg)"/>
    <s v="WB"/>
    <x v="9"/>
    <s v="Karandighi"/>
    <s v="User Not Mapped"/>
    <s v="User Not Mapped"/>
    <s v="User Not Mapped"/>
    <n v="533350"/>
    <s v="Lakhan Maitra"/>
    <s v="Private Retailer"/>
    <s v="7908826820"/>
    <n v="22.05"/>
    <n v="35"/>
    <x v="3"/>
    <m/>
    <s v="2026-03-16"/>
    <s v="342392"/>
    <s v="M/s. Kanailal Kedar Prasad"/>
    <s v="7407719515"/>
  </r>
  <r>
    <s v="RCF Thal"/>
    <s v="N.C.Urea(45kg)"/>
    <s v="WB"/>
    <x v="9"/>
    <s v="Raiganj"/>
    <s v="User Not Mapped"/>
    <s v="User Not Mapped"/>
    <s v="User Not Mapped"/>
    <n v="1098987"/>
    <s v="LOKNATH KRISHI BHANDAR"/>
    <s v="Private Retailer"/>
    <s v="7001660232"/>
    <n v="3.69"/>
    <n v="289"/>
    <x v="1"/>
    <m/>
    <s v="2025-07-05"/>
    <s v="342392"/>
    <s v="M/s. Kanailal Kedar Prasad"/>
    <s v="7407719515"/>
  </r>
  <r>
    <s v="RCF Thal"/>
    <s v="N.C.Urea(45kg)"/>
    <s v="WB"/>
    <x v="9"/>
    <s v="Raiganj"/>
    <s v="User Not Mapped"/>
    <s v="User Not Mapped"/>
    <s v="User Not Mapped"/>
    <n v="1098987"/>
    <s v="LOKNATH KRISHI BHANDAR"/>
    <s v="Private Retailer"/>
    <s v="7001660232"/>
    <n v="22.05"/>
    <n v="42"/>
    <x v="3"/>
    <m/>
    <s v="2026-03-09"/>
    <s v="342392"/>
    <s v="M/s. Kanailal Kedar Prasad"/>
    <s v="7407719515"/>
  </r>
  <r>
    <s v="RCF Thal"/>
    <s v="N.C.Urea(45kg)"/>
    <s v="WB"/>
    <x v="9"/>
    <s v="Raiganj"/>
    <s v="User Not Mapped"/>
    <s v="User Not Mapped"/>
    <s v="User Not Mapped"/>
    <n v="1098987"/>
    <s v="LOKNATH KRISHI BHANDAR"/>
    <s v="Private Retailer"/>
    <s v="7001660232"/>
    <n v="10.215"/>
    <n v="61"/>
    <x v="6"/>
    <m/>
    <s v="2026-02-18"/>
    <s v="342392"/>
    <s v="M/s. Kanailal Kedar Prasad"/>
    <s v="7407719515"/>
  </r>
  <r>
    <s v="RCF Thal"/>
    <s v="N.C.Urea(45kg)"/>
    <s v="WB"/>
    <x v="9"/>
    <s v="Raiganj"/>
    <s v="User Not Mapped"/>
    <s v="User Not Mapped"/>
    <s v="User Not Mapped"/>
    <n v="1098987"/>
    <s v="LOKNATH KRISHI BHANDAR"/>
    <s v="Private Retailer"/>
    <s v="7001660232"/>
    <n v="11.025"/>
    <n v="64"/>
    <x v="6"/>
    <m/>
    <s v="2026-02-15"/>
    <s v="342392"/>
    <s v="M/s. Kanailal Kedar Prasad"/>
    <s v="7407719515"/>
  </r>
  <r>
    <s v="RCF Thal"/>
    <s v="N.C.Urea(45kg)"/>
    <s v="WB"/>
    <x v="9"/>
    <s v="Raiganj"/>
    <s v="User Not Mapped"/>
    <s v="User Not Mapped"/>
    <s v="User Not Mapped"/>
    <n v="1098987"/>
    <s v="LOKNATH KRISHI BHANDAR"/>
    <s v="Private Retailer"/>
    <s v="7001660232"/>
    <n v="11.025"/>
    <n v="87"/>
    <x v="6"/>
    <m/>
    <s v="2026-01-23"/>
    <s v="342392"/>
    <s v="M/s. Kanailal Kedar Prasad"/>
    <s v="7407719515"/>
  </r>
  <r>
    <s v="RCF Thal"/>
    <s v="N.C.Urea(45kg)"/>
    <s v="WB"/>
    <x v="9"/>
    <s v="Raiganj"/>
    <s v="User Not Mapped"/>
    <s v="User Not Mapped"/>
    <s v="User Not Mapped"/>
    <n v="1098987"/>
    <s v="LOKNATH KRISHI BHANDAR"/>
    <s v="Private Retailer"/>
    <s v="7001660232"/>
    <n v="11.025"/>
    <n v="103"/>
    <x v="7"/>
    <m/>
    <s v="2026-01-07"/>
    <s v="342392"/>
    <s v="M/s. Kanailal Kedar Prasad"/>
    <s v="7407719515"/>
  </r>
  <r>
    <s v="RCF Thal"/>
    <s v="N.C.Urea(45kg)"/>
    <s v="WB"/>
    <x v="9"/>
    <s v="Raiganj"/>
    <s v="User Not Mapped"/>
    <s v="User Not Mapped"/>
    <s v="User Not Mapped"/>
    <n v="1098987"/>
    <s v="LOKNATH KRISHI BHANDAR"/>
    <s v="Private Retailer"/>
    <s v="7001660232"/>
    <n v="22.05"/>
    <n v="163"/>
    <x v="4"/>
    <m/>
    <s v="2025-11-08"/>
    <s v="342392"/>
    <s v="M/s. Kanailal Kedar Prasad"/>
    <s v="7407719515"/>
  </r>
  <r>
    <s v="RCF Trombay"/>
    <s v="15-15-15"/>
    <s v="WB"/>
    <x v="9"/>
    <s v="Raiganj"/>
    <s v="User Not Mapped"/>
    <s v="User Not Mapped"/>
    <s v="User Not Mapped"/>
    <n v="1098987"/>
    <s v="LOKNATH KRISHI BHANDAR"/>
    <s v="Private Retailer"/>
    <s v="7001660232"/>
    <n v="11"/>
    <n v="133"/>
    <x v="4"/>
    <m/>
    <s v="2025-12-08"/>
    <s v="342392"/>
    <s v="M/s. Kanailal Kedar Prasad"/>
    <s v="7407719515"/>
  </r>
  <r>
    <s v="RCF Thal"/>
    <s v="N.C.Urea(45kg)"/>
    <s v="WB"/>
    <x v="9"/>
    <s v="Raiganj"/>
    <s v="User Not Mapped"/>
    <s v="User Not Mapped"/>
    <s v="User Not Mapped"/>
    <n v="1098987"/>
    <s v="LOKNATH KRISHI BHANDAR"/>
    <s v="Private Retailer"/>
    <s v="7001660232"/>
    <n v="22.05"/>
    <n v="191"/>
    <x v="1"/>
    <m/>
    <s v="2025-10-11"/>
    <s v="342392"/>
    <s v="M/s. Kanailal Kedar Prasad"/>
    <s v="7407719515"/>
  </r>
  <r>
    <s v="RCF Thal"/>
    <s v="N.C.Urea(45kg)"/>
    <s v="WB"/>
    <x v="9"/>
    <s v="Goalpokhar - I"/>
    <s v="User Not Mapped"/>
    <s v="User Not Mapped"/>
    <s v="User Not Mapped"/>
    <n v="608005"/>
    <s v="M/S ABU KALAM"/>
    <s v="Private Retailer"/>
    <s v="6297082901"/>
    <n v="1.2150000000000001"/>
    <n v="87"/>
    <x v="6"/>
    <m/>
    <s v="2026-01-23"/>
    <s v="342392"/>
    <s v="M/s. Kanailal Kedar Prasad"/>
    <s v="7407719515"/>
  </r>
  <r>
    <s v="RCF Thal"/>
    <s v="N.C.Urea(45kg)"/>
    <s v="WB"/>
    <x v="9"/>
    <s v="Itahar"/>
    <s v="User Not Mapped"/>
    <s v="User Not Mapped"/>
    <s v="User Not Mapped"/>
    <n v="1029796"/>
    <s v="M/S ABUL BASAR"/>
    <s v="Private Retailer"/>
    <s v="9593231799"/>
    <n v="2.4300000000000002"/>
    <n v="122"/>
    <x v="4"/>
    <m/>
    <s v="2025-12-19"/>
    <s v="342392"/>
    <s v="M/s. Kanailal Kedar Prasad"/>
    <s v="7407719515"/>
  </r>
  <r>
    <s v="RCF Thal"/>
    <s v="N.C.Urea(45kg)"/>
    <s v="WB"/>
    <x v="9"/>
    <s v="Itahar"/>
    <s v="User Not Mapped"/>
    <s v="User Not Mapped"/>
    <s v="User Not Mapped"/>
    <n v="1029796"/>
    <s v="M/S ABUL BASAR"/>
    <s v="Private Retailer"/>
    <s v="9593231799"/>
    <n v="11.025"/>
    <n v="87"/>
    <x v="6"/>
    <m/>
    <s v="2026-01-23"/>
    <s v="342392"/>
    <s v="M/s. Kanailal Kedar Prasad"/>
    <s v="7407719515"/>
  </r>
  <r>
    <s v="RCF Trombay"/>
    <s v="N.C.Urea(45kg)"/>
    <s v="WB"/>
    <x v="9"/>
    <s v="Raiganj"/>
    <s v="User Not Mapped"/>
    <s v="User Not Mapped"/>
    <s v="User Not Mapped"/>
    <n v="632994"/>
    <s v="M/S Abul Mahammad"/>
    <s v="Private Retailer"/>
    <s v="8348923886"/>
    <n v="8.5500000000000007"/>
    <n v="124"/>
    <x v="4"/>
    <m/>
    <s v="2025-12-17"/>
    <s v="342392"/>
    <s v="M/s. Kanailal Kedar Prasad"/>
    <s v="7407719515"/>
  </r>
  <r>
    <s v="RCF Trombay"/>
    <s v="N.C.Urea(45kg)"/>
    <s v="WB"/>
    <x v="9"/>
    <s v="Hemtabad"/>
    <s v="User Not Mapped"/>
    <s v="User Not Mapped"/>
    <s v="User Not Mapped"/>
    <n v="624369"/>
    <s v="M/s AFIF FERTILIZER"/>
    <s v="Private Retailer"/>
    <s v="9851960060"/>
    <n v="3.7349999999999999"/>
    <n v="278"/>
    <x v="1"/>
    <m/>
    <s v="2025-07-16"/>
    <s v="342392"/>
    <s v="M/s. Kanailal Kedar Prasad"/>
    <s v="7407719515"/>
  </r>
  <r>
    <s v="RCF Thal"/>
    <s v="N.C.Urea(45kg)"/>
    <s v="WB"/>
    <x v="9"/>
    <s v="Raiganj"/>
    <s v="User Not Mapped"/>
    <s v="User Not Mapped"/>
    <s v="User Not Mapped"/>
    <n v="633434"/>
    <s v="M/S ASHA ENTERPRISE"/>
    <s v="Private Retailer"/>
    <s v="9733202386"/>
    <n v="0.54"/>
    <n v="259"/>
    <x v="1"/>
    <m/>
    <s v="2025-08-04"/>
    <s v="342392"/>
    <s v="M/s. Kanailal Kedar Prasad"/>
    <s v="7407719515"/>
  </r>
  <r>
    <s v="RCF Trombay"/>
    <s v="N.C.Urea(45kg)"/>
    <s v="WB"/>
    <x v="9"/>
    <s v="Karandighi"/>
    <s v="User Not Mapped"/>
    <s v="User Not Mapped"/>
    <s v="User Not Mapped"/>
    <n v="1607744"/>
    <s v="M/S BAIJ NATH YADAV"/>
    <s v="Private Retailer"/>
    <s v="8918297368"/>
    <n v="10.125"/>
    <n v="125"/>
    <x v="4"/>
    <m/>
    <s v="2025-12-16"/>
    <s v="342392"/>
    <s v="M/s. Kanailal Kedar Prasad"/>
    <s v="7407719515"/>
  </r>
  <r>
    <s v="RCF Thal"/>
    <s v="N.C.Urea(45kg)"/>
    <s v="WB"/>
    <x v="9"/>
    <m/>
    <s v="User Not Mapped"/>
    <s v="User Not Mapped"/>
    <s v="User Not Mapped"/>
    <n v="752277"/>
    <s v="M/S BAREN CHANDRA  SARKAR"/>
    <s v="Private Retailer"/>
    <s v="8016116438"/>
    <n v="1.4999999999999999E-2"/>
    <n v="2341"/>
    <x v="2"/>
    <m/>
    <s v="2019-11-22"/>
    <s v="342392"/>
    <s v="M/s. Kanailal Kedar Prasad"/>
    <s v="7407719515"/>
  </r>
  <r>
    <s v="RCF Trombay"/>
    <s v="15-15-15"/>
    <s v="WB"/>
    <x v="9"/>
    <s v="Raiganj"/>
    <s v="User Not Mapped"/>
    <s v="User Not Mapped"/>
    <s v="User Not Mapped"/>
    <n v="1265559"/>
    <s v="M/S BASAK AND SONS"/>
    <s v="Private Wholsaler"/>
    <s v="9434458269"/>
    <n v="5"/>
    <n v="133"/>
    <x v="4"/>
    <s v="'2029'"/>
    <s v="2025-12-08"/>
    <s v="342392"/>
    <s v="M/s. Kanailal Kedar Prasad"/>
    <s v="7407719515"/>
  </r>
  <r>
    <s v="RCF Thal"/>
    <s v="N.C.Urea(45kg)"/>
    <s v="WB"/>
    <x v="9"/>
    <s v="Itahar"/>
    <s v="User Not Mapped"/>
    <s v="User Not Mapped"/>
    <s v="User Not Mapped"/>
    <n v="1097544"/>
    <s v="M/S BIJAY SARKAR"/>
    <s v="Private Retailer"/>
    <s v="7864023962"/>
    <n v="8.01"/>
    <n v="387"/>
    <x v="0"/>
    <m/>
    <s v="2025-03-29"/>
    <s v="342392"/>
    <s v="M/s. Kanailal Kedar Prasad"/>
    <s v="7407719515"/>
  </r>
  <r>
    <s v="RCF Thal"/>
    <s v="N.C.Urea(45kg)"/>
    <s v="WB"/>
    <x v="9"/>
    <s v="Chopra"/>
    <s v="User Not Mapped"/>
    <s v="User Not Mapped"/>
    <s v="User Not Mapped"/>
    <n v="904448"/>
    <s v="M/S DUTTA FERTILIZER"/>
    <s v="Private Retailer"/>
    <s v="9563579507"/>
    <n v="33.075000000000003"/>
    <n v="64"/>
    <x v="6"/>
    <m/>
    <s v="2026-02-15"/>
    <s v="342392"/>
    <s v="M/s. Kanailal Kedar Prasad"/>
    <s v="7407719515"/>
  </r>
  <r>
    <s v="RCF Thal"/>
    <s v="N.C.Urea(45kg)"/>
    <s v="WB"/>
    <x v="9"/>
    <s v="Goalpokhar - II"/>
    <s v="User Not Mapped"/>
    <s v="User Not Mapped"/>
    <s v="User Not Mapped"/>
    <n v="1095170"/>
    <s v="M/S GALIA KHAD BHANDER"/>
    <s v="Private Retailer"/>
    <s v="9635758719"/>
    <n v="5.5350000000000001"/>
    <n v="64"/>
    <x v="6"/>
    <m/>
    <s v="2026-02-15"/>
    <s v="342392"/>
    <s v="M/s. Kanailal Kedar Prasad"/>
    <s v="7407719515"/>
  </r>
  <r>
    <s v="RCF Thal"/>
    <s v="N.C.Urea(45kg)"/>
    <s v="WB"/>
    <x v="9"/>
    <s v="Itahar"/>
    <s v="User Not Mapped"/>
    <s v="User Not Mapped"/>
    <s v="User Not Mapped"/>
    <n v="922689"/>
    <s v="M/S GOBINDA BISWAS"/>
    <s v="Private Retailer"/>
    <s v="9775411136"/>
    <n v="3.5550000000000002"/>
    <n v="148"/>
    <x v="4"/>
    <m/>
    <s v="2025-11-23"/>
    <s v="342392"/>
    <s v="M/s. Kanailal Kedar Prasad"/>
    <s v="7407719515"/>
  </r>
  <r>
    <s v="RCF Trombay"/>
    <s v="N.C.Urea(45kg)"/>
    <s v="WB"/>
    <x v="9"/>
    <s v="Itahar"/>
    <s v="User Not Mapped"/>
    <s v="User Not Mapped"/>
    <s v="User Not Mapped"/>
    <n v="922689"/>
    <s v="M/S GOBINDA BISWAS"/>
    <s v="Private Retailer"/>
    <s v="9775411136"/>
    <n v="10.664999999999999"/>
    <n v="164"/>
    <x v="4"/>
    <m/>
    <s v="2025-11-07"/>
    <s v="342392"/>
    <s v="M/s. Kanailal Kedar Prasad"/>
    <s v="7407719515"/>
  </r>
  <r>
    <s v="RCF Thal"/>
    <s v="N.C.Urea(45kg)"/>
    <s v="WB"/>
    <x v="9"/>
    <s v="Raiganj"/>
    <s v="User Not Mapped"/>
    <s v="User Not Mapped"/>
    <s v="User Not Mapped"/>
    <n v="751260"/>
    <s v="M/S HAQUE SAR BHANDAR"/>
    <s v="Private Retailer"/>
    <s v="9647847570"/>
    <n v="3.7349999999999999"/>
    <n v="289"/>
    <x v="1"/>
    <m/>
    <s v="2025-07-05"/>
    <s v="342392"/>
    <s v="M/s. Kanailal Kedar Prasad"/>
    <s v="7407719515"/>
  </r>
  <r>
    <s v="RCF Thal"/>
    <s v="N.C.Urea(45kg)"/>
    <s v="WB"/>
    <x v="9"/>
    <s v="Raiganj"/>
    <s v="User Not Mapped"/>
    <s v="User Not Mapped"/>
    <s v="User Not Mapped"/>
    <n v="751260"/>
    <s v="M/S HAQUE SAR BHANDAR"/>
    <s v="Private Retailer"/>
    <s v="9647847570"/>
    <n v="11.025"/>
    <n v="64"/>
    <x v="6"/>
    <m/>
    <s v="2026-02-15"/>
    <s v="342392"/>
    <s v="M/s. Kanailal Kedar Prasad"/>
    <s v="7407719515"/>
  </r>
  <r>
    <s v="RCF Thal"/>
    <s v="N.C.Urea(45kg)"/>
    <s v="WB"/>
    <x v="9"/>
    <s v="Itahar"/>
    <s v="User Not Mapped"/>
    <s v="User Not Mapped"/>
    <s v="User Not Mapped"/>
    <n v="913601"/>
    <s v="M/S HUMAYUN ALAM"/>
    <s v="Private Retailer"/>
    <s v="9547404609"/>
    <n v="4.6349999999999998"/>
    <n v="148"/>
    <x v="4"/>
    <m/>
    <s v="2025-11-23"/>
    <s v="342392"/>
    <s v="M/s. Kanailal Kedar Prasad"/>
    <s v="7407719515"/>
  </r>
  <r>
    <s v="RCF Thal"/>
    <s v="N.C.Urea(45kg)"/>
    <s v="WB"/>
    <x v="9"/>
    <s v="Goalpokhar - II"/>
    <s v="User Not Mapped"/>
    <s v="User Not Mapped"/>
    <s v="User Not Mapped"/>
    <n v="592060"/>
    <s v="M/S JAIN FERTILIZER andAGRICULTU"/>
    <s v="Private Retailer"/>
    <s v="7001409563"/>
    <n v="44.1"/>
    <n v="64"/>
    <x v="6"/>
    <m/>
    <s v="2026-02-15"/>
    <s v="342392"/>
    <s v="M/s. Kanailal Kedar Prasad"/>
    <s v="7407719515"/>
  </r>
  <r>
    <s v="RCF Trombay"/>
    <s v="N.C.Urea(45kg)"/>
    <s v="WB"/>
    <x v="9"/>
    <s v="Goalpokhar - II"/>
    <s v="User Not Mapped"/>
    <s v="User Not Mapped"/>
    <s v="User Not Mapped"/>
    <n v="592060"/>
    <s v="M/S JAIN FERTILIZER andAGRICULTU"/>
    <s v="Private Retailer"/>
    <s v="7001409563"/>
    <n v="11.025"/>
    <n v="125"/>
    <x v="4"/>
    <m/>
    <s v="2025-12-16"/>
    <s v="342392"/>
    <s v="M/s. Kanailal Kedar Prasad"/>
    <s v="7407719515"/>
  </r>
  <r>
    <s v="RCF Thal"/>
    <s v="N.C.Urea(45kg)"/>
    <s v="WB"/>
    <x v="9"/>
    <s v="Goalpokhar - II"/>
    <s v="User Not Mapped"/>
    <s v="User Not Mapped"/>
    <s v="User Not Mapped"/>
    <n v="592060"/>
    <s v="M/S JAIN FERTILIZER andAGRICULTU"/>
    <s v="Private Retailer"/>
    <s v="7001409563"/>
    <n v="6.6150000000000002"/>
    <n v="126"/>
    <x v="4"/>
    <m/>
    <s v="2025-12-15"/>
    <s v="342392"/>
    <s v="M/s. Kanailal Kedar Prasad"/>
    <s v="7407719515"/>
  </r>
  <r>
    <s v="RCF Thal"/>
    <s v="N.C.Urea(45kg)"/>
    <s v="WB"/>
    <x v="9"/>
    <s v="Hemtabad"/>
    <s v="User Not Mapped"/>
    <s v="User Not Mapped"/>
    <s v="User Not Mapped"/>
    <n v="586734"/>
    <s v="M/S KARTIK CHANDRA BARMAN"/>
    <s v="Private Retailer"/>
    <s v="8159920683"/>
    <n v="11.025"/>
    <n v="126"/>
    <x v="4"/>
    <m/>
    <s v="2025-12-15"/>
    <s v="342392"/>
    <s v="M/s. Kanailal Kedar Prasad"/>
    <s v="7407719515"/>
  </r>
  <r>
    <s v="RCF Thal"/>
    <s v="N.C.Urea(45kg)"/>
    <s v="WB"/>
    <x v="9"/>
    <s v="Itahar"/>
    <s v="User Not Mapped"/>
    <s v="User Not Mapped"/>
    <s v="User Not Mapped"/>
    <n v="233520"/>
    <s v="M/S KARUNA SAR BHANDAR"/>
    <s v="Private Retailer"/>
    <s v="9733011308"/>
    <n v="21.69"/>
    <n v="148"/>
    <x v="4"/>
    <m/>
    <s v="2025-11-23"/>
    <s v="342392"/>
    <s v="M/s. Kanailal Kedar Prasad"/>
    <s v="7407719515"/>
  </r>
  <r>
    <s v="RCF Thal"/>
    <s v="N.C.Urea(45kg)"/>
    <s v="WB"/>
    <x v="9"/>
    <s v="Itahar"/>
    <s v="User Not Mapped"/>
    <s v="User Not Mapped"/>
    <s v="User Not Mapped"/>
    <n v="233520"/>
    <s v="M/S KARUNA SAR BHANDAR"/>
    <s v="Private Retailer"/>
    <s v="9733011308"/>
    <n v="11.025"/>
    <n v="42"/>
    <x v="3"/>
    <m/>
    <s v="2026-03-09"/>
    <s v="342392"/>
    <s v="M/s. Kanailal Kedar Prasad"/>
    <s v="7407719515"/>
  </r>
  <r>
    <s v="RCF Thal"/>
    <s v="N.C.Urea(45kg)"/>
    <s v="WB"/>
    <x v="9"/>
    <s v="Goalpokhar - II"/>
    <s v="User Not Mapped"/>
    <s v="User Not Mapped"/>
    <s v="User Not Mapped"/>
    <n v="823766"/>
    <s v="M/S KOHINOOR FERTILIZER"/>
    <s v="Private Retailer"/>
    <s v="9851023252"/>
    <n v="11.025"/>
    <n v="64"/>
    <x v="6"/>
    <m/>
    <s v="2026-02-15"/>
    <s v="342392"/>
    <s v="M/s. Kanailal Kedar Prasad"/>
    <s v="7407719515"/>
  </r>
  <r>
    <s v="RCF Thal"/>
    <s v="N.C.Urea(45kg)"/>
    <s v="WB"/>
    <x v="9"/>
    <s v="Raiganj"/>
    <s v="User Not Mapped"/>
    <s v="User Not Mapped"/>
    <s v="User Not Mapped"/>
    <n v="633438"/>
    <s v="M/S KRISHI BIPLAB"/>
    <s v="Private Retailer"/>
    <s v="8016779594"/>
    <n v="5.5350000000000001"/>
    <n v="259"/>
    <x v="1"/>
    <m/>
    <s v="2025-08-04"/>
    <s v="342392"/>
    <s v="M/s. Kanailal Kedar Prasad"/>
    <s v="7407719515"/>
  </r>
  <r>
    <s v="RCF Thal"/>
    <s v="N.C.Urea(45kg)"/>
    <s v="WB"/>
    <x v="9"/>
    <s v="Raiganj"/>
    <s v="User Not Mapped"/>
    <s v="User Not Mapped"/>
    <s v="User Not Mapped"/>
    <n v="633438"/>
    <s v="M/S KRISHI BIPLAB"/>
    <s v="Private Retailer"/>
    <s v="8016779594"/>
    <n v="2.52"/>
    <n v="360"/>
    <x v="1"/>
    <m/>
    <s v="2025-04-25"/>
    <s v="342392"/>
    <s v="M/s. Kanailal Kedar Prasad"/>
    <s v="7407719515"/>
  </r>
  <r>
    <s v="RCF Import"/>
    <s v="Imp 10-26-26"/>
    <s v="WB"/>
    <x v="9"/>
    <s v="Itahar"/>
    <s v="User Not Mapped"/>
    <s v="User Not Mapped"/>
    <s v="User Not Mapped"/>
    <n v="1606985"/>
    <s v="M/S KRISHI GHAR"/>
    <s v="Private Wholsaler"/>
    <s v="7001196936"/>
    <n v="2"/>
    <n v="74"/>
    <x v="6"/>
    <s v="'2888'"/>
    <s v="2026-02-05"/>
    <s v="342392"/>
    <s v="M/s. Kanailal Kedar Prasad"/>
    <s v="7407719515"/>
  </r>
  <r>
    <s v="RCF Import"/>
    <s v="Imp 10-26-26"/>
    <s v="WB"/>
    <x v="9"/>
    <s v="Itahar"/>
    <s v="User Not Mapped"/>
    <s v="User Not Mapped"/>
    <s v="User Not Mapped"/>
    <n v="1606985"/>
    <s v="M/S KRISHI GHAR"/>
    <s v="Private Wholsaler"/>
    <s v="7001196936"/>
    <n v="11"/>
    <n v="74"/>
    <x v="6"/>
    <s v="'2889'"/>
    <s v="2026-02-05"/>
    <s v="342392"/>
    <s v="M/s. Kanailal Kedar Prasad"/>
    <s v="7407719515"/>
  </r>
  <r>
    <s v="RCF Trombay"/>
    <s v="N.C.Urea(45kg)"/>
    <s v="WB"/>
    <x v="9"/>
    <s v="Raiganj"/>
    <s v="User Not Mapped"/>
    <s v="User Not Mapped"/>
    <s v="User Not Mapped"/>
    <n v="1505107"/>
    <s v="M/S LOKNATH KRISHI BHANDAR"/>
    <s v="Private Retailer"/>
    <s v="8617385804"/>
    <n v="0.13500000000000001"/>
    <n v="164"/>
    <x v="4"/>
    <m/>
    <s v="2025-11-07"/>
    <s v="342392"/>
    <s v="M/s. Kanailal Kedar Prasad"/>
    <s v="7407719515"/>
  </r>
  <r>
    <s v="RCF Thal"/>
    <s v="N.C.Urea(45kg)"/>
    <s v="WB"/>
    <x v="9"/>
    <s v="Raiganj"/>
    <s v="User Not Mapped"/>
    <s v="User Not Mapped"/>
    <s v="User Not Mapped"/>
    <n v="643477"/>
    <s v="M/S MAA TARA FERTLIZER WHOLESA"/>
    <s v="Private Retailer"/>
    <s v="9733253016"/>
    <n v="1.0349999999999999"/>
    <n v="289"/>
    <x v="1"/>
    <m/>
    <s v="2025-07-05"/>
    <s v="342392"/>
    <s v="M/s. Kanailal Kedar Prasad"/>
    <s v="7407719515"/>
  </r>
  <r>
    <s v="RCF Thal"/>
    <s v="N.C.Urea(45kg)"/>
    <s v="WB"/>
    <x v="9"/>
    <s v="Itahar"/>
    <s v="User Not Mapped"/>
    <s v="User Not Mapped"/>
    <s v="User Not Mapped"/>
    <n v="917236"/>
    <s v="M/S MAHAMMAD HOSSAIN"/>
    <s v="Private Retailer"/>
    <s v="9002749871"/>
    <n v="11.025"/>
    <n v="42"/>
    <x v="3"/>
    <m/>
    <s v="2026-03-09"/>
    <s v="342392"/>
    <s v="M/s. Kanailal Kedar Prasad"/>
    <s v="7407719515"/>
  </r>
  <r>
    <s v="RCF Trombay"/>
    <s v="N.C.Urea(45kg)"/>
    <s v="WB"/>
    <x v="9"/>
    <s v="Itahar"/>
    <s v="User Not Mapped"/>
    <s v="User Not Mapped"/>
    <s v="User Not Mapped"/>
    <n v="917236"/>
    <s v="M/S MAHAMMAD HOSSAIN"/>
    <s v="Private Retailer"/>
    <s v="9002749871"/>
    <n v="11.025"/>
    <n v="164"/>
    <x v="4"/>
    <m/>
    <s v="2025-11-07"/>
    <s v="342392"/>
    <s v="M/s. Kanailal Kedar Prasad"/>
    <s v="7407719515"/>
  </r>
  <r>
    <s v="RCF Trombay"/>
    <s v="N.C.Urea(45kg)"/>
    <s v="WB"/>
    <x v="9"/>
    <s v="Islampur"/>
    <s v="User Not Mapped"/>
    <s v="User Not Mapped"/>
    <s v="User Not Mapped"/>
    <n v="1457484"/>
    <s v="M/S MANJUR ALAM"/>
    <s v="Private Retailer"/>
    <s v="9641290147"/>
    <n v="0.45"/>
    <n v="125"/>
    <x v="4"/>
    <m/>
    <s v="2025-12-16"/>
    <s v="342392"/>
    <s v="M/s. Kanailal Kedar Prasad"/>
    <s v="7407719515"/>
  </r>
  <r>
    <s v="RCF Thal"/>
    <s v="N.C.Urea(45kg)"/>
    <s v="WB"/>
    <x v="9"/>
    <s v="Karandighi"/>
    <s v="User Not Mapped"/>
    <s v="User Not Mapped"/>
    <s v="User Not Mapped"/>
    <n v="730632"/>
    <s v="M/S MD.JAMIM AKHTAR"/>
    <s v="Private Retailer"/>
    <s v="9832665533"/>
    <n v="3.645"/>
    <n v="88"/>
    <x v="6"/>
    <m/>
    <s v="2026-01-22"/>
    <s v="342392"/>
    <s v="M/s. Kanailal Kedar Prasad"/>
    <s v="7407719515"/>
  </r>
  <r>
    <s v="RCF Thal"/>
    <s v="N.C.Urea(45kg)"/>
    <s v="WB"/>
    <x v="9"/>
    <s v="Kaliaganj"/>
    <s v="User Not Mapped"/>
    <s v="User Not Mapped"/>
    <s v="User Not Mapped"/>
    <n v="519288"/>
    <s v="M/S Muktarul Islam"/>
    <s v="Private Retailer"/>
    <s v="9733354811"/>
    <n v="11.025"/>
    <n v="148"/>
    <x v="4"/>
    <m/>
    <s v="2025-11-23"/>
    <s v="342392"/>
    <s v="M/s. Kanailal Kedar Prasad"/>
    <s v="7407719515"/>
  </r>
  <r>
    <s v="RCF Thal"/>
    <s v="N.C.Urea(45kg)"/>
    <s v="WB"/>
    <x v="9"/>
    <s v="Kaliaganj"/>
    <s v="User Not Mapped"/>
    <s v="User Not Mapped"/>
    <s v="User Not Mapped"/>
    <n v="519288"/>
    <s v="M/S Muktarul Islam"/>
    <s v="Private Retailer"/>
    <s v="9733354811"/>
    <n v="6.93"/>
    <n v="257"/>
    <x v="1"/>
    <m/>
    <s v="2025-08-06"/>
    <s v="342392"/>
    <s v="M/s. Kanailal Kedar Prasad"/>
    <s v="7407719515"/>
  </r>
  <r>
    <s v="RCF Trombay"/>
    <s v="N.C.Urea(45kg)"/>
    <s v="WB"/>
    <x v="9"/>
    <s v="Kaliaganj"/>
    <s v="User Not Mapped"/>
    <s v="User Not Mapped"/>
    <s v="User Not Mapped"/>
    <n v="519288"/>
    <s v="M/S Muktarul Islam"/>
    <s v="Private Retailer"/>
    <s v="9733354811"/>
    <n v="9.9"/>
    <n v="133"/>
    <x v="4"/>
    <m/>
    <s v="2025-12-08"/>
    <s v="342392"/>
    <s v="M/s. Kanailal Kedar Prasad"/>
    <s v="7407719515"/>
  </r>
  <r>
    <s v="RCF Thal"/>
    <s v="N.C.Urea(45kg)"/>
    <s v="WB"/>
    <x v="9"/>
    <s v="Goalpokhar - II"/>
    <s v="User Not Mapped"/>
    <s v="User Not Mapped"/>
    <s v="User Not Mapped"/>
    <n v="554525"/>
    <s v="M/S Mukul Sarkar"/>
    <s v="Private Retailer"/>
    <s v="9932508690"/>
    <n v="13.05"/>
    <n v="87"/>
    <x v="6"/>
    <m/>
    <s v="2026-01-23"/>
    <s v="342392"/>
    <s v="M/s. Kanailal Kedar Prasad"/>
    <s v="7407719515"/>
  </r>
  <r>
    <s v="RCF Thal"/>
    <s v="N.C.Urea(45kg)"/>
    <s v="WB"/>
    <x v="9"/>
    <s v="Itahar"/>
    <s v="User Not Mapped"/>
    <s v="User Not Mapped"/>
    <s v="User Not Mapped"/>
    <n v="949489"/>
    <s v="M/S NAJIBUL ISLAM"/>
    <s v="Private Retailer"/>
    <s v="9609963743"/>
    <n v="7.65"/>
    <n v="64"/>
    <x v="6"/>
    <m/>
    <s v="2026-02-15"/>
    <s v="342392"/>
    <s v="M/s. Kanailal Kedar Prasad"/>
    <s v="7407719515"/>
  </r>
  <r>
    <s v="RCF Thal"/>
    <s v="N.C.Urea(45kg)"/>
    <s v="WB"/>
    <x v="9"/>
    <s v="Goalpokhar - II"/>
    <s v="User Not Mapped"/>
    <s v="User Not Mapped"/>
    <s v="User Not Mapped"/>
    <n v="477015"/>
    <s v="M/s Najma Khatoon"/>
    <s v="Private Retailer"/>
    <s v="9641100783"/>
    <n v="5.8949999999999996"/>
    <n v="126"/>
    <x v="4"/>
    <m/>
    <s v="2025-12-15"/>
    <s v="342392"/>
    <s v="M/s. Kanailal Kedar Prasad"/>
    <s v="7407719515"/>
  </r>
  <r>
    <s v="RCF Thal"/>
    <s v="N.C.Urea(45kg)"/>
    <s v="WB"/>
    <x v="9"/>
    <s v="Itahar"/>
    <s v="User Not Mapped"/>
    <s v="User Not Mapped"/>
    <s v="User Not Mapped"/>
    <n v="624001"/>
    <s v="M/S NIKHIL MAHALDAR"/>
    <s v="Private Retailer"/>
    <s v="8967643865"/>
    <n v="4.68"/>
    <n v="259"/>
    <x v="1"/>
    <m/>
    <s v="2025-08-04"/>
    <s v="342392"/>
    <s v="M/s. Kanailal Kedar Prasad"/>
    <s v="7407719515"/>
  </r>
  <r>
    <s v="RCF Thal"/>
    <s v="N.C.Urea(45kg)"/>
    <s v="WB"/>
    <x v="9"/>
    <s v="Itahar"/>
    <s v="User Not Mapped"/>
    <s v="User Not Mapped"/>
    <s v="User Not Mapped"/>
    <n v="1505071"/>
    <s v="M/S NIMAI MANDAL"/>
    <s v="Private Retailer"/>
    <s v="7384351919"/>
    <n v="8.2799999999999994"/>
    <n v="42"/>
    <x v="3"/>
    <m/>
    <s v="2026-03-09"/>
    <s v="342392"/>
    <s v="M/s. Kanailal Kedar Prasad"/>
    <s v="7407719515"/>
  </r>
  <r>
    <s v="RCF Thal"/>
    <s v="N.C.Urea(45kg)"/>
    <s v="WB"/>
    <x v="9"/>
    <s v="Goalpokhar - II"/>
    <s v="User Not Mapped"/>
    <s v="User Not Mapped"/>
    <s v="User Not Mapped"/>
    <n v="617035"/>
    <s v="M/s Niranjan Kumar Das"/>
    <s v="Private Retailer"/>
    <s v="9547449703"/>
    <n v="2.25"/>
    <n v="126"/>
    <x v="4"/>
    <m/>
    <s v="2025-12-15"/>
    <s v="342392"/>
    <s v="M/s. Kanailal Kedar Prasad"/>
    <s v="7407719515"/>
  </r>
  <r>
    <s v="RCF Thal"/>
    <s v="N.C.Urea(45kg)"/>
    <s v="WB"/>
    <x v="9"/>
    <s v="Raiganj"/>
    <s v="User Not Mapped"/>
    <s v="User Not Mapped"/>
    <s v="User Not Mapped"/>
    <n v="836460"/>
    <s v="M/S NOORI FERTILIZER"/>
    <s v="Private Retailer"/>
    <s v="8637318820"/>
    <n v="11.385"/>
    <n v="64"/>
    <x v="6"/>
    <m/>
    <s v="2026-02-15"/>
    <s v="342392"/>
    <s v="M/s. Kanailal Kedar Prasad"/>
    <s v="7407719515"/>
  </r>
  <r>
    <s v="RCF Trombay"/>
    <s v="N.C.Urea(45kg)"/>
    <s v="WB"/>
    <x v="9"/>
    <s v="Goalpokhar - I"/>
    <s v="User Not Mapped"/>
    <s v="User Not Mapped"/>
    <s v="User Not Mapped"/>
    <n v="1368070"/>
    <s v="M/S PROSANJIT BISWAS"/>
    <s v="Private Retailer"/>
    <s v="7797887240"/>
    <n v="3.51"/>
    <n v="124"/>
    <x v="4"/>
    <m/>
    <s v="2025-12-17"/>
    <s v="342392"/>
    <s v="M/s. Kanailal Kedar Prasad"/>
    <s v="7407719515"/>
  </r>
  <r>
    <s v="RCF Thal"/>
    <s v="N.C.Urea(45kg)"/>
    <s v="WB"/>
    <x v="9"/>
    <s v="Itahar"/>
    <s v="User Not Mapped"/>
    <s v="User Not Mapped"/>
    <s v="User Not Mapped"/>
    <n v="233557"/>
    <s v="M/S SAHIL AZAD FARTILIZER SHOP"/>
    <s v="Private Retailer"/>
    <s v="8927726054"/>
    <n v="11.025"/>
    <n v="87"/>
    <x v="6"/>
    <m/>
    <s v="2026-01-23"/>
    <s v="342392"/>
    <s v="M/s. Kanailal Kedar Prasad"/>
    <s v="7407719515"/>
  </r>
  <r>
    <s v="RCF Thal"/>
    <s v="N.C.Urea(45kg)"/>
    <s v="WB"/>
    <x v="9"/>
    <s v="Chopra"/>
    <s v="User Not Mapped"/>
    <s v="User Not Mapped"/>
    <s v="User Not Mapped"/>
    <n v="910423"/>
    <s v="M/S SHYAMAL CHANDRA BISWAS"/>
    <s v="Private Retailer"/>
    <s v="9733277914"/>
    <n v="11.025"/>
    <n v="90"/>
    <x v="6"/>
    <m/>
    <s v="2026-01-20"/>
    <s v="342392"/>
    <s v="M/s. Kanailal Kedar Prasad"/>
    <s v="7407719515"/>
  </r>
  <r>
    <s v="RCF Thal"/>
    <s v="N.C.Urea(45kg)"/>
    <s v="WB"/>
    <x v="9"/>
    <s v="Kaliaganj"/>
    <s v="User Not Mapped"/>
    <s v="User Not Mapped"/>
    <s v="User Not Mapped"/>
    <n v="768134"/>
    <s v="M/S. BISWADEB SARKAR"/>
    <s v="Private Retailer"/>
    <s v="8348265865"/>
    <n v="1.125"/>
    <n v="360"/>
    <x v="1"/>
    <m/>
    <s v="2025-04-25"/>
    <s v="342392"/>
    <s v="M/s. Kanailal Kedar Prasad"/>
    <s v="7407719515"/>
  </r>
  <r>
    <s v="RCF Trombay"/>
    <s v="N.C.Urea(45kg)"/>
    <s v="WB"/>
    <x v="9"/>
    <s v="Kaliaganj"/>
    <s v="User Not Mapped"/>
    <s v="User Not Mapped"/>
    <s v="User Not Mapped"/>
    <n v="768134"/>
    <s v="M/S. BISWADEB SARKAR"/>
    <s v="Private Retailer"/>
    <s v="8348265865"/>
    <n v="10.664999999999999"/>
    <n v="164"/>
    <x v="4"/>
    <m/>
    <s v="2025-11-07"/>
    <s v="342392"/>
    <s v="M/s. Kanailal Kedar Prasad"/>
    <s v="7407719515"/>
  </r>
  <r>
    <s v="RCF Trombay"/>
    <s v="N.C.Urea(45kg)"/>
    <s v="WB"/>
    <x v="9"/>
    <s v="Kaliaganj"/>
    <s v="User Not Mapped"/>
    <s v="User Not Mapped"/>
    <s v="User Not Mapped"/>
    <n v="768134"/>
    <s v="M/S. BISWADEB SARKAR"/>
    <s v="Private Retailer"/>
    <s v="8348265865"/>
    <n v="5.5350000000000001"/>
    <n v="124"/>
    <x v="4"/>
    <m/>
    <s v="2025-12-17"/>
    <s v="342392"/>
    <s v="M/s. Kanailal Kedar Prasad"/>
    <s v="7407719515"/>
  </r>
  <r>
    <s v="RCF Thal"/>
    <s v="N.C.Urea(45kg)"/>
    <s v="WB"/>
    <x v="9"/>
    <s v="Itahar"/>
    <s v="User Not Mapped"/>
    <s v="User Not Mapped"/>
    <s v="User Not Mapped"/>
    <n v="768078"/>
    <s v="M/S. CHANDAN KR DEBNATH"/>
    <s v="Private Retailer"/>
    <s v="9851443208"/>
    <n v="3.15"/>
    <n v="42"/>
    <x v="3"/>
    <m/>
    <s v="2026-03-09"/>
    <s v="342392"/>
    <s v="M/s. Kanailal Kedar Prasad"/>
    <s v="7407719515"/>
  </r>
  <r>
    <s v="RCF Trombay"/>
    <s v="N.C.Urea(45kg)"/>
    <s v="WB"/>
    <x v="9"/>
    <s v="Raiganj"/>
    <s v="User Not Mapped"/>
    <s v="User Not Mapped"/>
    <s v="User Not Mapped"/>
    <n v="774731"/>
    <s v="M/S. GHOSH FERTILIZER CENTRE"/>
    <s v="Private Retailer"/>
    <s v="9547348634"/>
    <n v="3.0030000000000001"/>
    <n v="278"/>
    <x v="1"/>
    <m/>
    <s v="2025-07-16"/>
    <s v="342392"/>
    <s v="M/s. Kanailal Kedar Prasad"/>
    <s v="7407719515"/>
  </r>
  <r>
    <s v="RCF Thal"/>
    <s v="N.C.Urea(45kg)"/>
    <s v="WB"/>
    <x v="9"/>
    <s v="Itahar"/>
    <s v="User Not Mapped"/>
    <s v="User Not Mapped"/>
    <s v="User Not Mapped"/>
    <n v="860869"/>
    <s v="M/S. KISHAN SATHI"/>
    <s v="Private Retailer"/>
    <s v="9734344410"/>
    <n v="0.9"/>
    <n v="42"/>
    <x v="3"/>
    <m/>
    <s v="2026-03-09"/>
    <s v="342392"/>
    <s v="M/s. Kanailal Kedar Prasad"/>
    <s v="7407719515"/>
  </r>
  <r>
    <s v="RCF Trombay"/>
    <s v="15-15-15"/>
    <s v="WB"/>
    <x v="9"/>
    <s v="Raiganj"/>
    <s v="User Not Mapped"/>
    <s v="User Not Mapped"/>
    <s v="User Not Mapped"/>
    <n v="465702"/>
    <s v="M/S. MAA LAXMI SAR BHANDER"/>
    <s v="Private Retailer"/>
    <s v="9593831152"/>
    <n v="1.35"/>
    <n v="278"/>
    <x v="1"/>
    <m/>
    <s v="2025-07-16"/>
    <s v="342392"/>
    <s v="M/s. Kanailal Kedar Prasad"/>
    <s v="7407719515"/>
  </r>
  <r>
    <s v="RCF Thal"/>
    <s v="N.C.Urea(45kg)"/>
    <s v="WB"/>
    <x v="9"/>
    <s v="Raiganj"/>
    <s v="User Not Mapped"/>
    <s v="User Not Mapped"/>
    <s v="User Not Mapped"/>
    <n v="768080"/>
    <s v="M/S. MADHAB CH SARKAR"/>
    <s v="Private Retailer"/>
    <s v="6294896852"/>
    <n v="8.5500000000000007"/>
    <n v="148"/>
    <x v="4"/>
    <m/>
    <s v="2025-11-23"/>
    <s v="342392"/>
    <s v="M/s. Kanailal Kedar Prasad"/>
    <s v="7407719515"/>
  </r>
  <r>
    <s v="RCF Thal"/>
    <s v="N.C.Urea(45kg)"/>
    <s v="WB"/>
    <x v="9"/>
    <s v="Karandighi"/>
    <s v="User Not Mapped"/>
    <s v="User Not Mapped"/>
    <s v="User Not Mapped"/>
    <n v="655429"/>
    <s v="M/S. Md. Mafiz Alam"/>
    <s v="Private Retailer"/>
    <s v="9732347319"/>
    <n v="4.7249999999999996"/>
    <n v="116"/>
    <x v="7"/>
    <m/>
    <s v="2025-12-25"/>
    <s v="342392"/>
    <s v="M/s. Kanailal Kedar Prasad"/>
    <s v="7407719515"/>
  </r>
  <r>
    <s v="RCF Thal"/>
    <s v="N.C.Urea(45kg)"/>
    <s v="WB"/>
    <x v="9"/>
    <s v="Goalpokhar - II"/>
    <s v="User Not Mapped"/>
    <s v="User Not Mapped"/>
    <s v="User Not Mapped"/>
    <n v="1278034"/>
    <s v="M/S. NOOR NEYAAZ"/>
    <s v="Private Retailer"/>
    <s v="9563182361"/>
    <n v="3.6"/>
    <n v="126"/>
    <x v="4"/>
    <m/>
    <s v="2025-12-15"/>
    <s v="342392"/>
    <s v="M/s. Kanailal Kedar Prasad"/>
    <s v="7407719515"/>
  </r>
  <r>
    <s v="RCF Trombay"/>
    <s v="N.C.Urea(45kg)"/>
    <s v="WB"/>
    <x v="9"/>
    <s v="Karandighi"/>
    <s v="User Not Mapped"/>
    <s v="User Not Mapped"/>
    <s v="User Not Mapped"/>
    <n v="533318"/>
    <s v="M/S. Raj Lakshmi Sar Bhander"/>
    <s v="Private Retailer"/>
    <s v="7872334757"/>
    <n v="0.54"/>
    <n v="124"/>
    <x v="4"/>
    <m/>
    <s v="2025-12-17"/>
    <s v="342392"/>
    <s v="M/s. Kanailal Kedar Prasad"/>
    <s v="7407719515"/>
  </r>
  <r>
    <s v="RCF Thal"/>
    <s v="N.C.Urea(45kg)"/>
    <s v="WB"/>
    <x v="9"/>
    <s v="Raiganj"/>
    <s v="User Not Mapped"/>
    <s v="User Not Mapped"/>
    <s v="User Not Mapped"/>
    <n v="892211"/>
    <s v="M/s. SABUJ JYOTSNA"/>
    <s v="Private Retailer"/>
    <s v="9474141205"/>
    <n v="8.3699999999999992"/>
    <n v="64"/>
    <x v="6"/>
    <m/>
    <s v="2026-02-15"/>
    <s v="342392"/>
    <s v="M/s. Kanailal Kedar Prasad"/>
    <s v="7407719515"/>
  </r>
  <r>
    <s v="RCF Thal"/>
    <s v="N.C.Urea(45kg)"/>
    <s v="WB"/>
    <x v="9"/>
    <s v="Goalpokhar - II"/>
    <s v="User Not Mapped"/>
    <s v="User Not Mapped"/>
    <s v="User Not Mapped"/>
    <n v="894567"/>
    <s v="M/S. Serajul Islam"/>
    <s v="Private Retailer"/>
    <s v="9733103811"/>
    <n v="3.105"/>
    <n v="125"/>
    <x v="4"/>
    <m/>
    <s v="2025-12-16"/>
    <s v="342392"/>
    <s v="M/s. Kanailal Kedar Prasad"/>
    <s v="7407719515"/>
  </r>
  <r>
    <s v="RCF Thal"/>
    <s v="N.C.Urea(45kg)"/>
    <s v="WB"/>
    <x v="9"/>
    <s v="Karandighi"/>
    <s v="User Not Mapped"/>
    <s v="User Not Mapped"/>
    <s v="User Not Mapped"/>
    <n v="853615"/>
    <s v="M/S-BABUL KUMAR SAHA"/>
    <s v="Private Retailer"/>
    <s v="7602912132"/>
    <n v="8.3699999999999992"/>
    <n v="88"/>
    <x v="6"/>
    <m/>
    <s v="2026-01-22"/>
    <s v="342392"/>
    <s v="M/s. Kanailal Kedar Prasad"/>
    <s v="7407719515"/>
  </r>
  <r>
    <s v="RCF Trombay"/>
    <s v="N.C.Urea(45kg)"/>
    <s v="WB"/>
    <x v="9"/>
    <s v="Raiganj"/>
    <s v="User Not Mapped"/>
    <s v="User Not Mapped"/>
    <s v="User Not Mapped"/>
    <n v="1409498"/>
    <s v="MAHATO SEEDS AND FERTILIZER"/>
    <s v="Private Retailer"/>
    <s v="6295705217"/>
    <n v="8.82"/>
    <n v="164"/>
    <x v="4"/>
    <m/>
    <s v="2025-11-07"/>
    <s v="342392"/>
    <s v="M/s. Kanailal Kedar Prasad"/>
    <s v="7407719515"/>
  </r>
  <r>
    <s v="RCF Trombay"/>
    <s v="N.C.Urea(45kg)"/>
    <s v="WB"/>
    <x v="9"/>
    <s v="Raiganj"/>
    <s v="User Not Mapped"/>
    <s v="User Not Mapped"/>
    <s v="User Not Mapped"/>
    <n v="494653"/>
    <s v="Mahim Mahato"/>
    <s v="Private Retailer"/>
    <s v="9733801540"/>
    <n v="3.8250000000000002"/>
    <n v="116"/>
    <x v="7"/>
    <m/>
    <s v="2025-12-25"/>
    <s v="342392"/>
    <s v="M/s. Kanailal Kedar Prasad"/>
    <s v="7407719515"/>
  </r>
  <r>
    <s v="RCF Trombay"/>
    <s v="N.C.Urea(45kg)"/>
    <s v="WB"/>
    <x v="9"/>
    <s v="Karandighi"/>
    <s v="User Not Mapped"/>
    <s v="User Not Mapped"/>
    <s v="User Not Mapped"/>
    <n v="384558"/>
    <s v="Majibur Rehman"/>
    <s v="Private Retailer"/>
    <s v="9775464244"/>
    <n v="0.09"/>
    <n v="22"/>
    <x v="5"/>
    <m/>
    <s v="2026-03-29"/>
    <s v="342392"/>
    <s v="M/s. Kanailal Kedar Prasad"/>
    <s v="7407719515"/>
  </r>
  <r>
    <s v="RCF Trombay"/>
    <s v="15-15-15"/>
    <s v="WB"/>
    <x v="9"/>
    <s v="Chopra"/>
    <s v="User Not Mapped"/>
    <s v="User Not Mapped"/>
    <s v="User Not Mapped"/>
    <n v="341829"/>
    <s v="Mangal Prasad Bhagat"/>
    <s v="Private Retailer"/>
    <s v="9735053182"/>
    <n v="0.8"/>
    <n v="191"/>
    <x v="1"/>
    <m/>
    <s v="2025-10-11"/>
    <s v="342392"/>
    <s v="M/s. Kanailal Kedar Prasad"/>
    <s v="7407719515"/>
  </r>
  <r>
    <s v="RCF Thal"/>
    <s v="N.C.Urea(45kg)"/>
    <s v="WB"/>
    <x v="9"/>
    <s v="Kaliaganj"/>
    <s v="User Not Mapped"/>
    <s v="User Not Mapped"/>
    <s v="User Not Mapped"/>
    <n v="737088"/>
    <s v="MANGLA ROY"/>
    <s v="Private Retailer"/>
    <s v="9635161135"/>
    <n v="11.025"/>
    <n v="42"/>
    <x v="3"/>
    <m/>
    <s v="2026-03-09"/>
    <s v="342392"/>
    <s v="M/s. Kanailal Kedar Prasad"/>
    <s v="7407719515"/>
  </r>
  <r>
    <s v="RCF Thal"/>
    <s v="N.C.Urea(45kg)"/>
    <s v="WB"/>
    <x v="9"/>
    <s v="Raiganj"/>
    <s v="User Not Mapped"/>
    <s v="User Not Mapped"/>
    <s v="User Not Mapped"/>
    <n v="893025"/>
    <s v="MANGLU BARMAN"/>
    <s v="Private Retailer"/>
    <s v="8371840455"/>
    <n v="9.125"/>
    <n v="64"/>
    <x v="6"/>
    <m/>
    <s v="2026-02-15"/>
    <s v="342392"/>
    <s v="M/s. Kanailal Kedar Prasad"/>
    <s v="7407719515"/>
  </r>
  <r>
    <s v="RCF Thal"/>
    <s v="N.C.Urea(45kg)"/>
    <s v="WB"/>
    <x v="9"/>
    <s v="Itahar"/>
    <s v="User Not Mapped"/>
    <s v="User Not Mapped"/>
    <s v="User Not Mapped"/>
    <n v="233553"/>
    <s v="MD ABDUR RASHID"/>
    <s v="Private Retailer"/>
    <s v="8972815784"/>
    <n v="4.2750000000000004"/>
    <n v="88"/>
    <x v="6"/>
    <m/>
    <s v="2026-01-22"/>
    <s v="342392"/>
    <s v="M/s. Kanailal Kedar Prasad"/>
    <s v="7407719515"/>
  </r>
  <r>
    <s v="RCF Thal"/>
    <s v="N.C.Urea(45kg)"/>
    <s v="WB"/>
    <x v="9"/>
    <s v="Goalpokhar - I"/>
    <s v="User Not Mapped"/>
    <s v="User Not Mapped"/>
    <s v="User Not Mapped"/>
    <n v="460843"/>
    <s v="Md Kamaluddin"/>
    <s v="Private Retailer"/>
    <s v="9735905369"/>
    <n v="6.84"/>
    <n v="64"/>
    <x v="6"/>
    <m/>
    <s v="2026-02-15"/>
    <s v="342392"/>
    <s v="M/s. Kanailal Kedar Prasad"/>
    <s v="7407719515"/>
  </r>
  <r>
    <s v="RCF Trombay"/>
    <s v="N.C.Urea(45kg)"/>
    <s v="WB"/>
    <x v="9"/>
    <s v="Karandighi"/>
    <s v="User Not Mapped"/>
    <s v="User Not Mapped"/>
    <s v="User Not Mapped"/>
    <n v="919531"/>
    <s v="MD KHALID HOSSAIN"/>
    <s v="Private Retailer"/>
    <s v="9851672804"/>
    <n v="4.2750000000000004"/>
    <n v="125"/>
    <x v="4"/>
    <m/>
    <s v="2025-12-16"/>
    <s v="342392"/>
    <s v="M/s. Kanailal Kedar Prasad"/>
    <s v="7407719515"/>
  </r>
  <r>
    <s v="RCF Thal"/>
    <s v="N.C.Urea(45kg)"/>
    <s v="WB"/>
    <x v="9"/>
    <s v="Goalpokhar - I"/>
    <s v="User Not Mapped"/>
    <s v="User Not Mapped"/>
    <s v="User Not Mapped"/>
    <n v="605139"/>
    <s v="MD. SHAMMIM AKTER"/>
    <s v="Private Retailer"/>
    <s v="9932099837"/>
    <n v="8.5950000000000006"/>
    <n v="64"/>
    <x v="6"/>
    <m/>
    <s v="2026-02-15"/>
    <s v="342392"/>
    <s v="M/s. Kanailal Kedar Prasad"/>
    <s v="7407719515"/>
  </r>
  <r>
    <s v="RCF Thal"/>
    <s v="N.C.Urea(45kg)"/>
    <s v="WB"/>
    <x v="9"/>
    <s v="Goalpokhar - II"/>
    <s v="User Not Mapped"/>
    <s v="User Not Mapped"/>
    <s v="User Not Mapped"/>
    <n v="918924"/>
    <s v="MD. TAUSIF REZA"/>
    <s v="Private Retailer"/>
    <s v="9614209364"/>
    <n v="3.6"/>
    <n v="64"/>
    <x v="6"/>
    <m/>
    <s v="2026-02-15"/>
    <s v="342392"/>
    <s v="M/s. Kanailal Kedar Prasad"/>
    <s v="7407719515"/>
  </r>
  <r>
    <s v="RCF Thal"/>
    <s v="N.C.Urea(45kg)"/>
    <s v="WB"/>
    <x v="9"/>
    <s v="Chopra"/>
    <s v="User Not Mapped"/>
    <s v="User Not Mapped"/>
    <s v="User Not Mapped"/>
    <n v="706878"/>
    <s v="Mirja Ferilizers"/>
    <s v="Private Retailer"/>
    <s v="9064301967"/>
    <n v="22.05"/>
    <n v="64"/>
    <x v="6"/>
    <m/>
    <s v="2026-02-15"/>
    <s v="342392"/>
    <s v="M/s. Kanailal Kedar Prasad"/>
    <s v="7407719515"/>
  </r>
  <r>
    <s v="RCF Thal"/>
    <s v="N.C.Urea(45kg)"/>
    <s v="WB"/>
    <x v="9"/>
    <s v="Chopra"/>
    <s v="User Not Mapped"/>
    <s v="User Not Mapped"/>
    <s v="User Not Mapped"/>
    <n v="706878"/>
    <s v="Mirja Ferilizers"/>
    <s v="Private Retailer"/>
    <s v="9064301967"/>
    <n v="8.2349999999999994"/>
    <n v="125"/>
    <x v="4"/>
    <m/>
    <s v="2025-12-16"/>
    <s v="342392"/>
    <s v="M/s. Kanailal Kedar Prasad"/>
    <s v="7407719515"/>
  </r>
  <r>
    <s v="RCF Thal"/>
    <s v="N.C.Urea(45kg)"/>
    <s v="WB"/>
    <x v="9"/>
    <s v="Raiganj"/>
    <s v="User Not Mapped"/>
    <s v="User Not Mapped"/>
    <s v="User Not Mapped"/>
    <n v="341945"/>
    <s v="Modak Sar Bhandar"/>
    <s v="Private Retailer"/>
    <s v="9593212675"/>
    <n v="4.0049999999999999"/>
    <n v="126"/>
    <x v="4"/>
    <m/>
    <s v="2025-12-15"/>
    <s v="342392"/>
    <s v="M/s. Kanailal Kedar Prasad"/>
    <s v="7407719515"/>
  </r>
  <r>
    <s v="RCF Trombay"/>
    <s v="N.C.Urea(45kg)"/>
    <s v="WB"/>
    <x v="9"/>
    <s v="Hemtabad"/>
    <s v="User Not Mapped"/>
    <s v="User Not Mapped"/>
    <s v="User Not Mapped"/>
    <n v="1462030"/>
    <s v="MOHAMMAD MUSA"/>
    <s v="Private Retailer"/>
    <s v="8906981089"/>
    <n v="0.27"/>
    <n v="164"/>
    <x v="4"/>
    <m/>
    <s v="2025-11-07"/>
    <s v="342392"/>
    <s v="M/s. Kanailal Kedar Prasad"/>
    <s v="7407719515"/>
  </r>
  <r>
    <s v="RCF Thal"/>
    <s v="N.C.Urea(45kg)"/>
    <s v="WB"/>
    <x v="9"/>
    <s v="Itahar"/>
    <s v="User Not Mapped"/>
    <s v="User Not Mapped"/>
    <s v="User Not Mapped"/>
    <n v="291305"/>
    <s v="MUKTA DAS"/>
    <s v="Private Retailer"/>
    <s v="9614659657"/>
    <n v="0.72"/>
    <n v="42"/>
    <x v="3"/>
    <m/>
    <s v="2026-03-09"/>
    <s v="342392"/>
    <s v="M/s. Kanailal Kedar Prasad"/>
    <s v="7407719515"/>
  </r>
  <r>
    <s v="RCF Thal"/>
    <s v="N.C.Urea(45kg)"/>
    <s v="WB"/>
    <x v="9"/>
    <s v="Itahar"/>
    <s v="User Not Mapped"/>
    <s v="User Not Mapped"/>
    <s v="User Not Mapped"/>
    <n v="917238"/>
    <s v="NAJMUL HOQUE"/>
    <s v="Private Retailer"/>
    <s v="9593359005"/>
    <n v="0.76500000000000001"/>
    <n v="144"/>
    <x v="4"/>
    <m/>
    <s v="2025-11-27"/>
    <s v="342392"/>
    <s v="M/s. Kanailal Kedar Prasad"/>
    <s v="7407719515"/>
  </r>
  <r>
    <s v="RCF Thal"/>
    <s v="N.C.Urea(45kg)"/>
    <s v="WB"/>
    <x v="9"/>
    <s v="Itahar"/>
    <s v="User Not Mapped"/>
    <s v="User Not Mapped"/>
    <s v="User Not Mapped"/>
    <n v="1505099"/>
    <s v="NAJRUR SAAR BHANDAR"/>
    <s v="Private Retailer"/>
    <s v="8918884037"/>
    <n v="0.40500000000000003"/>
    <n v="163"/>
    <x v="4"/>
    <m/>
    <s v="2025-11-08"/>
    <s v="342392"/>
    <s v="M/s. Kanailal Kedar Prasad"/>
    <s v="7407719515"/>
  </r>
  <r>
    <s v="RCF Thal"/>
    <s v="N.C.Urea(45kg)"/>
    <s v="WB"/>
    <x v="9"/>
    <s v="Raiganj"/>
    <s v="User Not Mapped"/>
    <s v="User Not Mapped"/>
    <s v="User Not Mapped"/>
    <n v="457531"/>
    <s v="New  Laxmi Fertilizers"/>
    <s v="Private Retailer"/>
    <s v="8207270798"/>
    <n v="2.3849999999999998"/>
    <n v="138"/>
    <x v="4"/>
    <m/>
    <s v="2025-12-03"/>
    <s v="342392"/>
    <s v="M/s. Kanailal Kedar Prasad"/>
    <s v="7407719515"/>
  </r>
  <r>
    <s v="RCF Thal"/>
    <s v="N.C.Urea(45kg)"/>
    <s v="WB"/>
    <x v="9"/>
    <s v="Raiganj"/>
    <s v="User Not Mapped"/>
    <s v="User Not Mapped"/>
    <s v="User Not Mapped"/>
    <n v="457531"/>
    <s v="New  Laxmi Fertilizers"/>
    <s v="Private Retailer"/>
    <s v="8207270798"/>
    <n v="11.025"/>
    <n v="64"/>
    <x v="6"/>
    <m/>
    <s v="2026-02-15"/>
    <s v="342392"/>
    <s v="M/s. Kanailal Kedar Prasad"/>
    <s v="7407719515"/>
  </r>
  <r>
    <s v="RCF Thal"/>
    <s v="N.C.Urea(45kg)"/>
    <s v="WB"/>
    <x v="9"/>
    <s v="Raiganj"/>
    <s v="User Not Mapped"/>
    <s v="User Not Mapped"/>
    <s v="User Not Mapped"/>
    <n v="474295"/>
    <s v="NOOR ALAM"/>
    <s v="Private Retailer"/>
    <s v="9002346616"/>
    <n v="7.6050000000000004"/>
    <n v="87"/>
    <x v="6"/>
    <m/>
    <s v="2026-01-23"/>
    <s v="342392"/>
    <s v="M/s. Kanailal Kedar Prasad"/>
    <s v="7407719515"/>
  </r>
  <r>
    <s v="RCF Thal"/>
    <s v="N.C.Urea(45kg)"/>
    <s v="WB"/>
    <x v="9"/>
    <s v="Raiganj"/>
    <s v="User Not Mapped"/>
    <s v="User Not Mapped"/>
    <s v="User Not Mapped"/>
    <n v="545677"/>
    <s v="Osman Gani"/>
    <s v="Private Retailer"/>
    <s v="9733168865"/>
    <n v="2.6549999999999998"/>
    <n v="221"/>
    <x v="1"/>
    <m/>
    <s v="2025-09-11"/>
    <s v="342392"/>
    <s v="M/s. Kanailal Kedar Prasad"/>
    <s v="7407719515"/>
  </r>
  <r>
    <s v="RCF Thal"/>
    <s v="N.C.Urea(45kg)"/>
    <s v="WB"/>
    <x v="9"/>
    <s v="Raiganj"/>
    <s v="User Not Mapped"/>
    <s v="User Not Mapped"/>
    <s v="User Not Mapped"/>
    <n v="545677"/>
    <s v="Osman Gani"/>
    <s v="Private Retailer"/>
    <s v="9733168865"/>
    <n v="22.05"/>
    <n v="90"/>
    <x v="6"/>
    <m/>
    <s v="2026-01-20"/>
    <s v="342392"/>
    <s v="M/s. Kanailal Kedar Prasad"/>
    <s v="7407719515"/>
  </r>
  <r>
    <s v="RCF Thal"/>
    <s v="N.C.Urea(45kg)"/>
    <s v="WB"/>
    <x v="9"/>
    <s v="Itahar"/>
    <s v="User Not Mapped"/>
    <s v="User Not Mapped"/>
    <s v="User Not Mapped"/>
    <n v="1462020"/>
    <s v="P.K.ENTERPRISE"/>
    <s v="Private Retailer"/>
    <s v="8327311751"/>
    <n v="6.5250000000000004"/>
    <n v="64"/>
    <x v="6"/>
    <m/>
    <s v="2026-02-15"/>
    <s v="342392"/>
    <s v="M/s. Kanailal Kedar Prasad"/>
    <s v="7407719515"/>
  </r>
  <r>
    <s v="RCF Thal"/>
    <s v="N.C.Urea(45kg)"/>
    <s v="WB"/>
    <x v="9"/>
    <s v="Itahar"/>
    <s v="User Not Mapped"/>
    <s v="User Not Mapped"/>
    <s v="User Not Mapped"/>
    <n v="873984"/>
    <s v="PABITRA BARMAN"/>
    <s v="Private Retailer"/>
    <s v="9933513145"/>
    <n v="5.13"/>
    <n v="64"/>
    <x v="6"/>
    <m/>
    <s v="2026-02-15"/>
    <s v="342392"/>
    <s v="M/s. Kanailal Kedar Prasad"/>
    <s v="7407719515"/>
  </r>
  <r>
    <s v="RCF Thal"/>
    <s v="N.C.Urea(45kg)"/>
    <s v="WB"/>
    <x v="9"/>
    <s v="Raiganj"/>
    <s v="User Not Mapped"/>
    <s v="User Not Mapped"/>
    <s v="User Not Mapped"/>
    <n v="848368"/>
    <s v="PARESH CHANDRA ROY"/>
    <s v="Private Retailer"/>
    <s v="9775874911"/>
    <n v="0.22500000000000001"/>
    <n v="387"/>
    <x v="0"/>
    <m/>
    <s v="2025-03-29"/>
    <s v="342392"/>
    <s v="M/s. Kanailal Kedar Prasad"/>
    <s v="7407719515"/>
  </r>
  <r>
    <s v="RCF Thal"/>
    <s v="N.C.Urea(45kg)"/>
    <s v="WB"/>
    <x v="9"/>
    <m/>
    <s v="User Not Mapped"/>
    <s v="User Not Mapped"/>
    <s v="User Not Mapped"/>
    <n v="355894"/>
    <s v="Parimaldam"/>
    <s v="Private Retailer"/>
    <s v="7501157923"/>
    <n v="8.7750000000000004"/>
    <n v="126"/>
    <x v="4"/>
    <m/>
    <s v="2025-12-15"/>
    <s v="342392"/>
    <s v="M/s. Kanailal Kedar Prasad"/>
    <s v="7407719515"/>
  </r>
  <r>
    <s v="RCF Thal"/>
    <s v="N.C.Urea(45kg)"/>
    <s v="WB"/>
    <x v="9"/>
    <s v="Itahar"/>
    <s v="User Not Mapped"/>
    <s v="User Not Mapped"/>
    <s v="User Not Mapped"/>
    <n v="457478"/>
    <s v="Pradyut Biswas"/>
    <s v="Private Retailer"/>
    <s v="7063862881"/>
    <n v="5.625"/>
    <n v="331"/>
    <x v="1"/>
    <m/>
    <s v="2025-05-24"/>
    <s v="342392"/>
    <s v="M/s. Kanailal Kedar Prasad"/>
    <s v="7407719515"/>
  </r>
  <r>
    <s v="RCF Thal"/>
    <s v="N.C.Urea(45kg)"/>
    <s v="WB"/>
    <x v="9"/>
    <s v="Itahar"/>
    <s v="User Not Mapped"/>
    <s v="User Not Mapped"/>
    <s v="User Not Mapped"/>
    <n v="457478"/>
    <s v="Pradyut Biswas"/>
    <s v="Private Retailer"/>
    <s v="7063862881"/>
    <n v="11.025"/>
    <n v="42"/>
    <x v="3"/>
    <m/>
    <s v="2026-03-09"/>
    <s v="342392"/>
    <s v="M/s. Kanailal Kedar Prasad"/>
    <s v="7407719515"/>
  </r>
  <r>
    <s v="RCF Thal"/>
    <s v="N.C.Urea(45kg)"/>
    <s v="WB"/>
    <x v="9"/>
    <s v="Itahar"/>
    <s v="User Not Mapped"/>
    <s v="User Not Mapped"/>
    <s v="User Not Mapped"/>
    <n v="457478"/>
    <s v="Pradyut Biswas"/>
    <s v="Private Retailer"/>
    <s v="7063862881"/>
    <n v="7.4249999999999998"/>
    <n v="259"/>
    <x v="1"/>
    <m/>
    <s v="2025-08-04"/>
    <s v="342392"/>
    <s v="M/s. Kanailal Kedar Prasad"/>
    <s v="7407719515"/>
  </r>
  <r>
    <s v="RCF Import"/>
    <s v="Imp 10-26-26"/>
    <s v="WB"/>
    <x v="9"/>
    <s v="Itahar"/>
    <s v="User Not Mapped"/>
    <s v="User Not Mapped"/>
    <s v="User Not Mapped"/>
    <n v="457478"/>
    <s v="Pradyut Biswas"/>
    <s v="Private Retailer"/>
    <s v="7063862881"/>
    <n v="3.95"/>
    <n v="505"/>
    <x v="0"/>
    <m/>
    <s v="2024-12-01"/>
    <s v="342392"/>
    <s v="M/s. Kanailal Kedar Prasad"/>
    <s v="7407719515"/>
  </r>
  <r>
    <s v="RCF Thal"/>
    <s v="N.C.Urea(45kg)"/>
    <s v="WB"/>
    <x v="9"/>
    <s v="Itahar"/>
    <s v="User Not Mapped"/>
    <s v="User Not Mapped"/>
    <s v="User Not Mapped"/>
    <n v="457478"/>
    <s v="Pradyut Biswas"/>
    <s v="Private Retailer"/>
    <s v="7063862881"/>
    <n v="1.9350000000000001"/>
    <n v="387"/>
    <x v="0"/>
    <m/>
    <s v="2025-03-29"/>
    <s v="342392"/>
    <s v="M/s. Kanailal Kedar Prasad"/>
    <s v="7407719515"/>
  </r>
  <r>
    <s v="RCF Thal"/>
    <s v="N.C.Urea(45kg)"/>
    <s v="WB"/>
    <x v="9"/>
    <s v="Itahar"/>
    <s v="User Not Mapped"/>
    <s v="User Not Mapped"/>
    <s v="User Not Mapped"/>
    <n v="457478"/>
    <s v="Pradyut Biswas"/>
    <s v="Private Retailer"/>
    <s v="7063862881"/>
    <n v="5.4"/>
    <n v="148"/>
    <x v="4"/>
    <m/>
    <s v="2025-11-23"/>
    <s v="342392"/>
    <s v="M/s. Kanailal Kedar Prasad"/>
    <s v="7407719515"/>
  </r>
  <r>
    <s v="RCF Trombay"/>
    <s v="N.C.Urea(45kg)"/>
    <s v="WB"/>
    <x v="9"/>
    <s v="Raiganj"/>
    <s v="User Not Mapped"/>
    <s v="User Not Mapped"/>
    <s v="User Not Mapped"/>
    <n v="233579"/>
    <s v="Pranab Narayan Shome"/>
    <s v="Private Retailer"/>
    <s v="7001328091"/>
    <n v="9.36"/>
    <n v="164"/>
    <x v="4"/>
    <m/>
    <s v="2025-11-07"/>
    <s v="342392"/>
    <s v="M/s. Kanailal Kedar Prasad"/>
    <s v="7407719515"/>
  </r>
  <r>
    <s v="RCF Thal"/>
    <s v="N.C.Urea(45kg)"/>
    <s v="WB"/>
    <x v="9"/>
    <s v="Raiganj"/>
    <s v="User Not Mapped"/>
    <s v="User Not Mapped"/>
    <s v="User Not Mapped"/>
    <n v="233579"/>
    <s v="Pranab Narayan Shome"/>
    <s v="Private Retailer"/>
    <s v="7001328091"/>
    <n v="9"/>
    <n v="64"/>
    <x v="6"/>
    <m/>
    <s v="2026-02-15"/>
    <s v="342392"/>
    <s v="M/s. Kanailal Kedar Prasad"/>
    <s v="7407719515"/>
  </r>
  <r>
    <s v="RCF Trombay"/>
    <s v="15-15-15"/>
    <s v="WB"/>
    <x v="9"/>
    <s v="Raiganj"/>
    <s v="User Not Mapped"/>
    <s v="User Not Mapped"/>
    <s v="User Not Mapped"/>
    <n v="281603"/>
    <s v="Pulak Sarkar"/>
    <s v="Private Wholsaler"/>
    <s v="9474141205"/>
    <n v="1"/>
    <n v="583"/>
    <x v="2"/>
    <m/>
    <s v="2024-09-14"/>
    <s v="342392"/>
    <s v="M/s. Kanailal Kedar Prasad"/>
    <s v="7407719515"/>
  </r>
  <r>
    <s v="RCF Thal"/>
    <s v="N.C.Urea(45kg)"/>
    <s v="WB"/>
    <x v="9"/>
    <s v="Raiganj"/>
    <s v="User Not Mapped"/>
    <s v="User Not Mapped"/>
    <s v="User Not Mapped"/>
    <n v="731187"/>
    <s v="R.K.FERTILIZER and SEEDS"/>
    <s v="Private Retailer"/>
    <s v="9563775342"/>
    <n v="7.2"/>
    <n v="88"/>
    <x v="6"/>
    <m/>
    <s v="2026-01-22"/>
    <s v="342392"/>
    <s v="M/s. Kanailal Kedar Prasad"/>
    <s v="7407719515"/>
  </r>
  <r>
    <s v="RCF Trombay"/>
    <s v="N.C.Urea(45kg)"/>
    <s v="WB"/>
    <x v="9"/>
    <s v="Raiganj"/>
    <s v="User Not Mapped"/>
    <s v="User Not Mapped"/>
    <s v="User Not Mapped"/>
    <n v="731187"/>
    <s v="R.K.FERTILIZER and SEEDS"/>
    <s v="Private Retailer"/>
    <s v="9563775342"/>
    <n v="10.35"/>
    <n v="133"/>
    <x v="4"/>
    <m/>
    <s v="2025-12-08"/>
    <s v="342392"/>
    <s v="M/s. Kanailal Kedar Prasad"/>
    <s v="7407719515"/>
  </r>
  <r>
    <s v="RCF Thal"/>
    <s v="N.C.Urea(45kg)"/>
    <s v="WB"/>
    <x v="9"/>
    <s v="Raiganj"/>
    <s v="User Not Mapped"/>
    <s v="User Not Mapped"/>
    <s v="User Not Mapped"/>
    <n v="1519151"/>
    <s v="RAMIZ FERTILIZER "/>
    <s v="Private Retailer"/>
    <s v="9883091547"/>
    <n v="10.574999999999999"/>
    <n v="87"/>
    <x v="6"/>
    <m/>
    <s v="2026-01-23"/>
    <s v="342392"/>
    <s v="M/s. Kanailal Kedar Prasad"/>
    <s v="7407719515"/>
  </r>
  <r>
    <s v="RCF Thal"/>
    <s v="N.C.Urea(45kg)"/>
    <s v="WB"/>
    <x v="9"/>
    <s v="Kaliaganj"/>
    <s v="User Not Mapped"/>
    <s v="User Not Mapped"/>
    <s v="User Not Mapped"/>
    <n v="1412273"/>
    <s v="RANI FERTILIZER"/>
    <s v="Private Retailer"/>
    <s v="9647773618"/>
    <n v="2.6549999999999998"/>
    <n v="163"/>
    <x v="4"/>
    <m/>
    <s v="2025-11-08"/>
    <s v="342392"/>
    <s v="M/s. Kanailal Kedar Prasad"/>
    <s v="7407719515"/>
  </r>
  <r>
    <s v="RCF Trombay"/>
    <s v="N.C.Urea(45kg)"/>
    <s v="WB"/>
    <x v="9"/>
    <s v="Raiganj"/>
    <s v="User Not Mapped"/>
    <s v="User Not Mapped"/>
    <s v="User Not Mapped"/>
    <n v="356060"/>
    <s v="RATAN KUMAR DEB"/>
    <s v="Private Retailer"/>
    <s v="9733114040"/>
    <n v="2.1150000000000002"/>
    <n v="125"/>
    <x v="4"/>
    <m/>
    <s v="2025-12-16"/>
    <s v="342392"/>
    <s v="M/s. Kanailal Kedar Prasad"/>
    <s v="7407719515"/>
  </r>
  <r>
    <s v="RCF Thal"/>
    <s v="N.C.Urea(45kg)"/>
    <s v="WB"/>
    <x v="9"/>
    <s v="Itahar"/>
    <s v="User Not Mapped"/>
    <s v="User Not Mapped"/>
    <s v="User Not Mapped"/>
    <n v="873986"/>
    <s v="RENU KHATUN"/>
    <s v="Private Retailer"/>
    <s v="9932253417"/>
    <n v="2.0699999999999998"/>
    <n v="42"/>
    <x v="3"/>
    <m/>
    <s v="2026-03-09"/>
    <s v="342392"/>
    <s v="M/s. Kanailal Kedar Prasad"/>
    <s v="7407719515"/>
  </r>
  <r>
    <s v="RCF Thal"/>
    <s v="N.C.Urea(45kg)"/>
    <s v="WB"/>
    <x v="9"/>
    <s v="Raiganj"/>
    <s v="User Not Mapped"/>
    <s v="User Not Mapped"/>
    <s v="User Not Mapped"/>
    <n v="491479"/>
    <s v="Roy Fertilizer"/>
    <s v="Private Retailer"/>
    <s v="9733337314"/>
    <n v="9.9450000000000003"/>
    <n v="257"/>
    <x v="1"/>
    <m/>
    <s v="2025-08-06"/>
    <s v="342392"/>
    <s v="M/s. Kanailal Kedar Prasad"/>
    <s v="7407719515"/>
  </r>
  <r>
    <s v="RCF Thal"/>
    <s v="N.C.Urea(45kg)"/>
    <s v="WB"/>
    <x v="9"/>
    <s v="Goalpokhar - I"/>
    <s v="User Not Mapped"/>
    <s v="User Not Mapped"/>
    <s v="User Not Mapped"/>
    <n v="653948"/>
    <s v="SAHAPUR-II BAKA DUMURIA SKUS L"/>
    <s v="PACS"/>
    <s v="7479204323"/>
    <n v="0.315"/>
    <n v="87"/>
    <x v="6"/>
    <m/>
    <s v="2026-01-23"/>
    <s v="342392"/>
    <s v="M/s. Kanailal Kedar Prasad"/>
    <s v="7407719515"/>
  </r>
  <r>
    <s v="RCF Thal"/>
    <s v="N.C.Urea(45kg)"/>
    <s v="WB"/>
    <x v="9"/>
    <s v="Chopra"/>
    <s v="User Not Mapped"/>
    <s v="User Not Mapped"/>
    <s v="User Not Mapped"/>
    <n v="908913"/>
    <s v="SAMIM AKHTAR"/>
    <s v="Private Retailer"/>
    <s v="7679449634"/>
    <n v="1.98"/>
    <n v="88"/>
    <x v="6"/>
    <m/>
    <s v="2026-01-22"/>
    <s v="342392"/>
    <s v="M/s. Kanailal Kedar Prasad"/>
    <s v="7407719515"/>
  </r>
  <r>
    <s v="RCF Thal"/>
    <s v="N.C.Urea(45kg)"/>
    <s v="WB"/>
    <x v="9"/>
    <s v="Raiganj"/>
    <s v="User Not Mapped"/>
    <s v="User Not Mapped"/>
    <s v="User Not Mapped"/>
    <n v="751636"/>
    <s v="SANKAR BARMAN"/>
    <s v="Private Retailer"/>
    <s v="8972843648"/>
    <n v="0.13500000000000001"/>
    <n v="404"/>
    <x v="0"/>
    <m/>
    <s v="2025-03-12"/>
    <s v="342392"/>
    <s v="M/s. Kanailal Kedar Prasad"/>
    <s v="7407719515"/>
  </r>
  <r>
    <s v="RCF Thal"/>
    <s v="N.C.Urea(45kg)"/>
    <s v="WB"/>
    <x v="9"/>
    <s v="Hemtabad"/>
    <s v="User Not Mapped"/>
    <s v="User Not Mapped"/>
    <s v="User Not Mapped"/>
    <n v="342417"/>
    <s v="Sar Beej Bhandar"/>
    <s v="Private Retailer"/>
    <s v="7602267519"/>
    <n v="2.3849999999999998"/>
    <n v="42"/>
    <x v="3"/>
    <m/>
    <s v="2026-03-09"/>
    <s v="342392"/>
    <s v="M/s. Kanailal Kedar Prasad"/>
    <s v="7407719515"/>
  </r>
  <r>
    <s v="RCF Thal"/>
    <s v="N.C.Urea(45kg)"/>
    <s v="WB"/>
    <x v="9"/>
    <s v="Itahar"/>
    <s v="User Not Mapped"/>
    <s v="User Not Mapped"/>
    <s v="User Not Mapped"/>
    <n v="1464153"/>
    <s v="SARKAR BROTHERS FERTILIZER"/>
    <s v="Private Retailer"/>
    <s v="9679276967"/>
    <n v="5.4"/>
    <n v="42"/>
    <x v="3"/>
    <m/>
    <s v="2026-03-09"/>
    <s v="342392"/>
    <s v="M/s. Kanailal Kedar Prasad"/>
    <s v="7407719515"/>
  </r>
  <r>
    <s v="RCF Thal"/>
    <s v="N.C.Urea(45kg)"/>
    <s v="WB"/>
    <x v="9"/>
    <s v="Itahar"/>
    <s v="User Not Mapped"/>
    <s v="User Not Mapped"/>
    <s v="User Not Mapped"/>
    <n v="758578"/>
    <s v="SERAJUL ISLAM"/>
    <s v="Private Retailer"/>
    <s v="6294731529"/>
    <n v="0.09"/>
    <n v="148"/>
    <x v="4"/>
    <m/>
    <s v="2025-11-23"/>
    <s v="342392"/>
    <s v="M/s. Kanailal Kedar Prasad"/>
    <s v="7407719515"/>
  </r>
  <r>
    <s v="RCF Trombay"/>
    <s v="N.C.Urea(45kg)"/>
    <s v="WB"/>
    <x v="9"/>
    <s v="Raiganj"/>
    <s v="User Not Mapped"/>
    <s v="User Not Mapped"/>
    <s v="User Not Mapped"/>
    <n v="836828"/>
    <s v="SETABUL SEKH"/>
    <s v="Private Retailer"/>
    <s v="7872817891"/>
    <n v="1.8"/>
    <n v="134"/>
    <x v="4"/>
    <m/>
    <s v="2025-12-07"/>
    <s v="342392"/>
    <s v="M/s. Kanailal Kedar Prasad"/>
    <s v="7407719515"/>
  </r>
  <r>
    <s v="RCF Thal"/>
    <s v="N.C.Urea(45kg)"/>
    <s v="WB"/>
    <x v="9"/>
    <s v="Raiganj"/>
    <s v="User Not Mapped"/>
    <s v="User Not Mapped"/>
    <s v="User Not Mapped"/>
    <n v="456544"/>
    <s v="Shankar Mandal"/>
    <s v="Private Retailer"/>
    <s v="9474139854"/>
    <n v="6.48"/>
    <n v="444"/>
    <x v="0"/>
    <m/>
    <s v="2025-01-31"/>
    <s v="342392"/>
    <s v="M/s. Kanailal Kedar Prasad"/>
    <s v="7407719515"/>
  </r>
  <r>
    <s v="RCF Thal"/>
    <s v="N.C.Urea(45kg)"/>
    <s v="WB"/>
    <x v="9"/>
    <s v="Itahar"/>
    <s v="User Not Mapped"/>
    <s v="User Not Mapped"/>
    <s v="User Not Mapped"/>
    <n v="457535"/>
    <s v="SHIB SANKAR SAHA"/>
    <s v="Private Retailer"/>
    <s v="9733314684"/>
    <n v="0.315"/>
    <n v="42"/>
    <x v="3"/>
    <m/>
    <s v="2026-03-09"/>
    <s v="342392"/>
    <s v="M/s. Kanailal Kedar Prasad"/>
    <s v="7407719515"/>
  </r>
  <r>
    <s v="RCF Trombay"/>
    <s v="N.C.Urea(45kg)"/>
    <s v="WB"/>
    <x v="9"/>
    <s v="Itahar"/>
    <s v="User Not Mapped"/>
    <s v="User Not Mapped"/>
    <s v="User Not Mapped"/>
    <n v="993222"/>
    <s v="SHIBENDU PRAMANIK"/>
    <s v="Private Retailer"/>
    <s v="9851039499"/>
    <n v="0.27"/>
    <n v="278"/>
    <x v="1"/>
    <m/>
    <s v="2025-07-16"/>
    <s v="342392"/>
    <s v="M/s. Kanailal Kedar Prasad"/>
    <s v="7407719515"/>
  </r>
  <r>
    <s v="RCF Thal"/>
    <s v="N.C.Urea(45kg)"/>
    <s v="WB"/>
    <x v="9"/>
    <s v="Itahar"/>
    <s v="User Not Mapped"/>
    <s v="User Not Mapped"/>
    <s v="User Not Mapped"/>
    <n v="993222"/>
    <s v="SHIBENDU PRAMANIK"/>
    <s v="Private Retailer"/>
    <s v="9851039499"/>
    <n v="11.025"/>
    <n v="88"/>
    <x v="6"/>
    <m/>
    <s v="2026-01-22"/>
    <s v="342392"/>
    <s v="M/s. Kanailal Kedar Prasad"/>
    <s v="7407719515"/>
  </r>
  <r>
    <s v="RCF Thal"/>
    <s v="N.C.Urea(45kg)"/>
    <s v="WB"/>
    <x v="9"/>
    <s v="Itahar"/>
    <s v="User Not Mapped"/>
    <s v="User Not Mapped"/>
    <s v="User Not Mapped"/>
    <n v="993222"/>
    <s v="SHIBENDU PRAMANIK"/>
    <s v="Private Retailer"/>
    <s v="9851039499"/>
    <n v="5.13"/>
    <n v="148"/>
    <x v="4"/>
    <m/>
    <s v="2025-11-23"/>
    <s v="342392"/>
    <s v="M/s. Kanailal Kedar Prasad"/>
    <s v="7407719515"/>
  </r>
  <r>
    <s v="RCF Thal"/>
    <s v="N.C.Urea(45kg)"/>
    <s v="WB"/>
    <x v="9"/>
    <s v="Raiganj"/>
    <s v="User Not Mapped"/>
    <s v="User Not Mapped"/>
    <s v="User Not Mapped"/>
    <n v="843282"/>
    <s v="SHRIBAS DAS"/>
    <s v="Private Retailer"/>
    <s v="9647806954"/>
    <n v="0.81"/>
    <n v="259"/>
    <x v="1"/>
    <m/>
    <s v="2025-08-04"/>
    <s v="342392"/>
    <s v="M/s. Kanailal Kedar Prasad"/>
    <s v="7407719515"/>
  </r>
  <r>
    <s v="RCF Thal"/>
    <s v="N.C.Urea(45kg)"/>
    <s v="WB"/>
    <x v="9"/>
    <s v="Kaliaganj"/>
    <s v="User Not Mapped"/>
    <s v="User Not Mapped"/>
    <s v="User Not Mapped"/>
    <n v="342456"/>
    <s v="Shyamal Baishya"/>
    <s v="Private Retailer"/>
    <s v="7001329038"/>
    <n v="5.31"/>
    <n v="126"/>
    <x v="4"/>
    <m/>
    <s v="2025-12-15"/>
    <s v="342392"/>
    <s v="M/s. Kanailal Kedar Prasad"/>
    <s v="7407719515"/>
  </r>
  <r>
    <s v="RCF Thal"/>
    <s v="N.C.Urea(45kg)"/>
    <s v="WB"/>
    <x v="9"/>
    <s v="Raiganj"/>
    <s v="User Not Mapped"/>
    <s v="User Not Mapped"/>
    <s v="User Not Mapped"/>
    <n v="839844"/>
    <s v="SHYAMLAL PRAMANIK"/>
    <s v="Private Retailer"/>
    <s v="8617576527"/>
    <n v="1.8"/>
    <n v="64"/>
    <x v="6"/>
    <m/>
    <s v="2026-02-15"/>
    <s v="342392"/>
    <s v="M/s. Kanailal Kedar Prasad"/>
    <s v="7407719515"/>
  </r>
  <r>
    <s v="RCF Thal"/>
    <s v="N.C.Urea(45kg)"/>
    <s v="WB"/>
    <x v="9"/>
    <s v="Raiganj"/>
    <s v="User Not Mapped"/>
    <s v="User Not Mapped"/>
    <s v="User Not Mapped"/>
    <n v="839844"/>
    <s v="SHYAMLAL PRAMANIK"/>
    <s v="Private Retailer"/>
    <s v="8617576527"/>
    <n v="5.625"/>
    <n v="42"/>
    <x v="3"/>
    <m/>
    <s v="2026-03-09"/>
    <s v="342392"/>
    <s v="M/s. Kanailal Kedar Prasad"/>
    <s v="7407719515"/>
  </r>
  <r>
    <s v="RCF Thal"/>
    <s v="N.C.Urea(45kg)"/>
    <s v="WB"/>
    <x v="9"/>
    <s v="Itahar"/>
    <s v="User Not Mapped"/>
    <s v="User Not Mapped"/>
    <s v="User Not Mapped"/>
    <n v="624647"/>
    <s v="SISHIR KUMAR SARKAR"/>
    <s v="Private Retailer"/>
    <s v="9932361287"/>
    <n v="3.5550000000000002"/>
    <n v="42"/>
    <x v="3"/>
    <m/>
    <s v="2026-03-09"/>
    <s v="342392"/>
    <s v="M/s. Kanailal Kedar Prasad"/>
    <s v="7407719515"/>
  </r>
  <r>
    <s v="RCF Trombay"/>
    <s v="N.C.Urea(45kg)"/>
    <s v="WB"/>
    <x v="9"/>
    <s v="Itahar"/>
    <s v="User Not Mapped"/>
    <s v="User Not Mapped"/>
    <s v="User Not Mapped"/>
    <n v="624647"/>
    <s v="SISHIR KUMAR SARKAR"/>
    <s v="Private Retailer"/>
    <s v="9932361287"/>
    <n v="0.40500000000000003"/>
    <n v="362"/>
    <x v="1"/>
    <m/>
    <s v="2025-04-23"/>
    <s v="342392"/>
    <s v="M/s. Kanailal Kedar Prasad"/>
    <s v="7407719515"/>
  </r>
  <r>
    <s v="RCF Thal"/>
    <s v="N.C.Urea(45kg)"/>
    <s v="WB"/>
    <x v="9"/>
    <s v="Raiganj"/>
    <s v="User Not Mapped"/>
    <s v="User Not Mapped"/>
    <s v="User Not Mapped"/>
    <n v="281599"/>
    <s v="Sonabari  Uttar O Gobindapur S"/>
    <s v="PACS"/>
    <s v="9734127722"/>
    <n v="4.5449999999999999"/>
    <n v="444"/>
    <x v="0"/>
    <m/>
    <s v="2025-01-31"/>
    <s v="342392"/>
    <s v="M/s. Kanailal Kedar Prasad"/>
    <s v="7407719515"/>
  </r>
  <r>
    <s v="RCF Thal"/>
    <s v="N.C.Urea(45kg)"/>
    <s v="WB"/>
    <x v="9"/>
    <s v="Kaliaganj"/>
    <s v="User Not Mapped"/>
    <s v="User Not Mapped"/>
    <s v="User Not Mapped"/>
    <n v="342458"/>
    <s v="Soumen Kundu"/>
    <s v="Private Retailer"/>
    <s v="9564625952"/>
    <n v="5.7149999999999999"/>
    <n v="42"/>
    <x v="3"/>
    <m/>
    <s v="2026-03-09"/>
    <s v="342392"/>
    <s v="M/s. Kanailal Kedar Prasad"/>
    <s v="7407719515"/>
  </r>
  <r>
    <s v="RCF Trombay"/>
    <s v="N.C.Urea(45kg)"/>
    <s v="WB"/>
    <x v="9"/>
    <s v="Hemtabad"/>
    <s v="User Not Mapped"/>
    <s v="User Not Mapped"/>
    <s v="User Not Mapped"/>
    <n v="342413"/>
    <s v="Subrata Das Chowdhury"/>
    <s v="Private Retailer"/>
    <s v="8900045648"/>
    <n v="1.53"/>
    <n v="164"/>
    <x v="4"/>
    <m/>
    <s v="2025-11-07"/>
    <s v="342392"/>
    <s v="M/s. Kanailal Kedar Prasad"/>
    <s v="7407719515"/>
  </r>
  <r>
    <s v="RCF Trombay"/>
    <s v="15-15-15"/>
    <s v="WB"/>
    <x v="9"/>
    <s v="Raiganj"/>
    <s v="User Not Mapped"/>
    <s v="User Not Mapped"/>
    <s v="User Not Mapped"/>
    <n v="538160"/>
    <s v="Sunendu Ghosh"/>
    <s v="Private Retailer"/>
    <s v="9531738344"/>
    <n v="0.85"/>
    <n v="278"/>
    <x v="1"/>
    <m/>
    <s v="2025-07-16"/>
    <s v="342392"/>
    <s v="M/s. Kanailal Kedar Prasad"/>
    <s v="7407719515"/>
  </r>
  <r>
    <s v="RCF Import"/>
    <s v="Imp 10-26-26"/>
    <s v="WB"/>
    <x v="9"/>
    <s v="Raiganj"/>
    <s v="User Not Mapped"/>
    <s v="User Not Mapped"/>
    <s v="User Not Mapped"/>
    <n v="538160"/>
    <s v="Sunendu Ghosh"/>
    <s v="Private Retailer"/>
    <s v="9531738344"/>
    <n v="0.25"/>
    <n v="51"/>
    <x v="3"/>
    <m/>
    <s v="2026-02-28"/>
    <s v="342392"/>
    <s v="M/s. Kanailal Kedar Prasad"/>
    <s v="7407719515"/>
  </r>
  <r>
    <s v="RCF Trombay"/>
    <s v="N.C.Urea(45kg)"/>
    <s v="WB"/>
    <x v="9"/>
    <s v="Hemtabad"/>
    <s v="User Not Mapped"/>
    <s v="User Not Mapped"/>
    <s v="User Not Mapped"/>
    <n v="1502174"/>
    <s v="SUNRISE KRISHI BHANDAR"/>
    <s v="Private Retailer"/>
    <s v="9563971955"/>
    <n v="6.84"/>
    <n v="278"/>
    <x v="1"/>
    <m/>
    <s v="2025-07-16"/>
    <s v="342392"/>
    <s v="M/s. Kanailal Kedar Prasad"/>
    <s v="7407719515"/>
  </r>
  <r>
    <s v="RCF Thal"/>
    <s v="N.C.Urea(45kg)"/>
    <s v="WB"/>
    <x v="9"/>
    <s v="Hemtabad"/>
    <s v="User Not Mapped"/>
    <s v="User Not Mapped"/>
    <s v="User Not Mapped"/>
    <n v="1502174"/>
    <s v="SUNRISE KRISHI BHANDAR"/>
    <s v="Private Retailer"/>
    <s v="9563971955"/>
    <n v="4.9050000000000002"/>
    <n v="444"/>
    <x v="0"/>
    <m/>
    <s v="2025-01-31"/>
    <s v="342392"/>
    <s v="M/s. Kanailal Kedar Prasad"/>
    <s v="7407719515"/>
  </r>
  <r>
    <s v="RCF Thal"/>
    <s v="N.C.Urea(45kg)"/>
    <s v="WB"/>
    <x v="9"/>
    <s v="Hemtabad"/>
    <s v="User Not Mapped"/>
    <s v="User Not Mapped"/>
    <s v="User Not Mapped"/>
    <n v="1502174"/>
    <s v="SUNRISE KRISHI BHANDAR"/>
    <s v="Private Retailer"/>
    <s v="9563971955"/>
    <n v="5.5350000000000001"/>
    <n v="257"/>
    <x v="1"/>
    <m/>
    <s v="2025-08-06"/>
    <s v="342392"/>
    <s v="M/s. Kanailal Kedar Prasad"/>
    <s v="7407719515"/>
  </r>
  <r>
    <s v="RCF Thal"/>
    <s v="N.C.Urea(45kg)"/>
    <s v="WB"/>
    <x v="9"/>
    <s v="Goalpokhar - II"/>
    <s v="User Not Mapped"/>
    <s v="User Not Mapped"/>
    <s v="User Not Mapped"/>
    <n v="1400084"/>
    <s v="TABREZ FERTILIZER"/>
    <s v="Private Retailer"/>
    <s v="9064164697"/>
    <n v="8.3249999999999993"/>
    <n v="64"/>
    <x v="6"/>
    <m/>
    <s v="2026-02-15"/>
    <s v="342392"/>
    <s v="M/s. Kanailal Kedar Prasad"/>
    <s v="7407719515"/>
  </r>
  <r>
    <s v="RCF Trombay"/>
    <s v="N.C.Urea(45kg)"/>
    <s v="WB"/>
    <x v="9"/>
    <s v="Islampur"/>
    <s v="User Not Mapped"/>
    <s v="User Not Mapped"/>
    <s v="User Not Mapped"/>
    <n v="494357"/>
    <s v="TAFAZUL ALAM"/>
    <s v="Private Retailer"/>
    <s v="9733216759"/>
    <n v="11.025"/>
    <n v="124"/>
    <x v="4"/>
    <m/>
    <s v="2025-12-17"/>
    <s v="342392"/>
    <s v="M/s. Kanailal Kedar Prasad"/>
    <s v="7407719515"/>
  </r>
  <r>
    <s v="RCF Trombay"/>
    <s v="N.C.Urea(45kg)"/>
    <s v="WB"/>
    <x v="9"/>
    <s v="Itahar"/>
    <s v="User Not Mapped"/>
    <s v="User Not Mapped"/>
    <s v="User Not Mapped"/>
    <n v="1082782"/>
    <s v="TAJ SHAR BHANDER"/>
    <s v="Private Retailer"/>
    <s v="9064163846"/>
    <n v="1.665"/>
    <n v="496"/>
    <x v="0"/>
    <m/>
    <s v="2024-12-10"/>
    <s v="342392"/>
    <s v="M/s. Kanailal Kedar Prasad"/>
    <s v="7407719515"/>
  </r>
  <r>
    <s v="RCF Thal"/>
    <s v="N.C.Urea(45kg)"/>
    <s v="WB"/>
    <x v="9"/>
    <s v="Itahar"/>
    <s v="User Not Mapped"/>
    <s v="User Not Mapped"/>
    <s v="User Not Mapped"/>
    <n v="342435"/>
    <s v="Talebur Rahaman"/>
    <s v="Private Retailer"/>
    <s v="7001896119"/>
    <n v="6.7050000000000001"/>
    <n v="221"/>
    <x v="1"/>
    <m/>
    <s v="2025-09-11"/>
    <s v="342392"/>
    <s v="M/s. Kanailal Kedar Prasad"/>
    <s v="7407719515"/>
  </r>
  <r>
    <s v="RCF Thal"/>
    <s v="N.C.Urea(45kg)"/>
    <s v="WB"/>
    <x v="9"/>
    <s v="Itahar"/>
    <s v="User Not Mapped"/>
    <s v="User Not Mapped"/>
    <s v="User Not Mapped"/>
    <n v="342435"/>
    <s v="Talebur Rahaman"/>
    <s v="Private Retailer"/>
    <s v="7001896119"/>
    <n v="5.5350000000000001"/>
    <n v="42"/>
    <x v="3"/>
    <m/>
    <s v="2026-03-09"/>
    <s v="342392"/>
    <s v="M/s. Kanailal Kedar Prasad"/>
    <s v="7407719515"/>
  </r>
  <r>
    <s v="RCF Thal"/>
    <s v="N.C.Urea(45kg)"/>
    <s v="WB"/>
    <x v="9"/>
    <s v="Hemtabad"/>
    <s v="User Not Mapped"/>
    <s v="User Not Mapped"/>
    <s v="User Not Mapped"/>
    <n v="1419881"/>
    <s v="TARIKH FERTILIZER"/>
    <s v="Private Retailer"/>
    <s v="6294766982"/>
    <n v="2.5649999999999999"/>
    <n v="259"/>
    <x v="1"/>
    <m/>
    <s v="2025-08-04"/>
    <s v="342392"/>
    <s v="M/s. Kanailal Kedar Prasad"/>
    <s v="7407719515"/>
  </r>
  <r>
    <s v="RCF Thal"/>
    <s v="N.C.Urea(45kg)"/>
    <s v="WB"/>
    <x v="9"/>
    <s v="Raiganj"/>
    <s v="User Not Mapped"/>
    <s v="User Not Mapped"/>
    <s v="User Not Mapped"/>
    <n v="737128"/>
    <s v="TULAN DAS"/>
    <s v="Private Retailer"/>
    <s v="9635792361"/>
    <n v="6.165"/>
    <n v="259"/>
    <x v="1"/>
    <m/>
    <s v="2025-08-04"/>
    <s v="342392"/>
    <s v="M/s. Kanailal Kedar Prasad"/>
    <s v="7407719515"/>
  </r>
  <r>
    <s v="RCF Thal"/>
    <s v="N.C.Urea(45kg)"/>
    <s v="WB"/>
    <x v="9"/>
    <s v="Itahar"/>
    <s v="User Not Mapped"/>
    <s v="User Not Mapped"/>
    <s v="User Not Mapped"/>
    <n v="979862"/>
    <s v="TUSHAR KANTI CHOWDHURY"/>
    <s v="Private Retailer"/>
    <s v="6295535365"/>
    <n v="2.0699999999999998"/>
    <n v="42"/>
    <x v="3"/>
    <m/>
    <s v="2026-03-09"/>
    <s v="342392"/>
    <s v="M/s. Kanailal Kedar Prasad"/>
    <s v="7407719515"/>
  </r>
  <r>
    <s v="RCF Thal"/>
    <s v="N.C.Urea(45kg)"/>
    <s v="WB"/>
    <x v="9"/>
    <s v="Goalpokhar - I"/>
    <s v="User Not Mapped"/>
    <s v="User Not Mapped"/>
    <s v="User Not Mapped"/>
    <n v="437960"/>
    <s v="Uttar Chunihar Skus Ltd"/>
    <s v="PACS"/>
    <s v="8250894203"/>
    <n v="19.664999999999999"/>
    <n v="126"/>
    <x v="4"/>
    <m/>
    <s v="2025-12-15"/>
    <s v="342392"/>
    <s v="M/s. Kanailal Kedar Prasad"/>
    <s v="7407719515"/>
  </r>
  <r>
    <s v="RCF Thal"/>
    <s v="N.C.Urea(45kg)"/>
    <s v="WB"/>
    <x v="9"/>
    <s v="Islampur"/>
    <s v="User Not Mapped"/>
    <s v="User Not Mapped"/>
    <s v="User Not Mapped"/>
    <n v="620488"/>
    <s v="VIVEKANANDA SKUS LTD"/>
    <s v="PACS"/>
    <s v="9564411200"/>
    <n v="8.01"/>
    <n v="257"/>
    <x v="1"/>
    <m/>
    <s v="2025-08-06"/>
    <s v="342392"/>
    <s v="M/s. Kanailal Kedar Prasad"/>
    <s v="7407719515"/>
  </r>
  <r>
    <s v="RCF Thal"/>
    <s v="N.C.Urea(45kg)"/>
    <s v="WB"/>
    <x v="9"/>
    <s v="Kaliaganj"/>
    <s v="User Not Mapped"/>
    <s v="User Not Mapped"/>
    <s v="User Not Mapped"/>
    <n v="1531046"/>
    <s v="WALIOR RAHAMAN"/>
    <s v="Private Retailer"/>
    <s v="7908096043"/>
    <n v="3.96"/>
    <n v="87"/>
    <x v="6"/>
    <m/>
    <s v="2026-01-23"/>
    <s v="342392"/>
    <s v="M/s. Kanailal Kedar Prasad"/>
    <s v="7407719515"/>
  </r>
  <r>
    <s v="RCF Trombay"/>
    <s v="15-15-15"/>
    <s v="WB"/>
    <x v="9"/>
    <s v="Chopra"/>
    <s v="User Not Mapped"/>
    <s v="User Not Mapped"/>
    <s v="User Not Mapped"/>
    <n v="908913"/>
    <s v="SAMIM AKHTAR"/>
    <s v="Private Retailer"/>
    <s v="7679449634"/>
    <n v="8"/>
    <n v="36"/>
    <x v="3"/>
    <m/>
    <s v="2026-03-15"/>
    <s v="870893"/>
    <s v="M/s. Mithun Bhagat"/>
    <s v="9735950765"/>
  </r>
  <r>
    <s v="RCF Import"/>
    <s v="MOP"/>
    <s v="WB"/>
    <x v="9"/>
    <s v="Chopra"/>
    <s v="User Not Mapped"/>
    <s v="User Not Mapped"/>
    <s v="User Not Mapped"/>
    <n v="342226"/>
    <s v="Shishir Kumar Paul"/>
    <s v="Private Retailer"/>
    <s v="9851832625"/>
    <n v="0.9"/>
    <n v="515"/>
    <x v="0"/>
    <m/>
    <s v="2024-11-21"/>
    <s v="870893"/>
    <s v="M/s. Mithun Bhagat"/>
    <s v="9735950765"/>
  </r>
  <r>
    <s v="RCF Import"/>
    <s v="MOP"/>
    <s v="WB"/>
    <x v="9"/>
    <s v="Raiganj"/>
    <s v="User Not Mapped"/>
    <s v="User Not Mapped"/>
    <s v="User Not Mapped"/>
    <n v="909634"/>
    <s v="BHABANI BARMAN"/>
    <s v="Private Retailer"/>
    <s v="7384455814"/>
    <n v="0.05"/>
    <n v="527"/>
    <x v="0"/>
    <m/>
    <s v="2024-11-09"/>
    <s v="876168"/>
    <s v="M/s. NEW LAXMI FERTILIZERS"/>
    <s v="8207270798"/>
  </r>
  <r>
    <s v="RCF Import"/>
    <s v="MOP"/>
    <s v="WB"/>
    <x v="9"/>
    <s v="Raiganj"/>
    <s v="User Not Mapped"/>
    <s v="User Not Mapped"/>
    <s v="User Not Mapped"/>
    <n v="737120"/>
    <s v="BISWAS SAR BHANDER"/>
    <s v="Private Retailer"/>
    <s v="9932126129"/>
    <n v="0.1"/>
    <n v="410"/>
    <x v="0"/>
    <m/>
    <s v="2025-03-06"/>
    <s v="876168"/>
    <s v="M/s. NEW LAXMI FERTILIZERS"/>
    <s v="8207270798"/>
  </r>
  <r>
    <s v="RCF Trombay"/>
    <s v="15-15-15"/>
    <s v="WB"/>
    <x v="9"/>
    <s v="Raiganj"/>
    <s v="User Not Mapped"/>
    <s v="User Not Mapped"/>
    <s v="User Not Mapped"/>
    <n v="737120"/>
    <s v="BISWAS SAR BHANDER"/>
    <s v="Private Retailer"/>
    <s v="9932126129"/>
    <n v="0.1"/>
    <n v="315"/>
    <x v="1"/>
    <m/>
    <s v="2025-06-09"/>
    <s v="876168"/>
    <s v="M/s. NEW LAXMI FERTILIZERS"/>
    <s v="8207270798"/>
  </r>
  <r>
    <s v="RCF Trombay"/>
    <s v="15-15-15"/>
    <s v="WB"/>
    <x v="9"/>
    <s v="Raiganj"/>
    <s v="User Not Mapped"/>
    <s v="User Not Mapped"/>
    <s v="User Not Mapped"/>
    <n v="1134412"/>
    <s v="M/S SAHA SAR BHANDAR"/>
    <s v="Private Retailer"/>
    <s v="8967055799"/>
    <n v="0.4"/>
    <n v="315"/>
    <x v="1"/>
    <m/>
    <s v="2025-06-09"/>
    <s v="876168"/>
    <s v="M/s. NEW LAXMI FERTILIZERS"/>
    <s v="8207270798"/>
  </r>
  <r>
    <s v="RCF Thal"/>
    <s v="N.C.Urea(45kg)"/>
    <s v="WB"/>
    <x v="9"/>
    <s v="Raiganj"/>
    <s v="User Not Mapped"/>
    <s v="User Not Mapped"/>
    <s v="User Not Mapped"/>
    <n v="1134412"/>
    <s v="M/S SAHA SAR BHANDAR"/>
    <s v="Private Retailer"/>
    <s v="8967055799"/>
    <n v="0.09"/>
    <n v="1147"/>
    <x v="2"/>
    <m/>
    <s v="2023-02-28"/>
    <s v="876168"/>
    <s v="M/s. NEW LAXMI FERTILIZERS"/>
    <s v="8207270798"/>
  </r>
  <r>
    <s v="RCF Trombay"/>
    <s v="15-15-15"/>
    <s v="WB"/>
    <x v="9"/>
    <s v="Raiganj"/>
    <s v="User Not Mapped"/>
    <s v="User Not Mapped"/>
    <s v="User Not Mapped"/>
    <n v="456550"/>
    <s v="Maa Kali Sar Bhandar"/>
    <s v="Private Retailer"/>
    <s v="9775489507"/>
    <n v="0.25"/>
    <n v="725"/>
    <x v="2"/>
    <m/>
    <s v="2024-04-25"/>
    <s v="876168"/>
    <s v="M/s. NEW LAXMI FERTILIZERS"/>
    <s v="8207270798"/>
  </r>
  <r>
    <s v="RCF Thal"/>
    <s v="N.C.Urea(45kg)"/>
    <s v="WB"/>
    <x v="9"/>
    <s v="Raiganj"/>
    <s v="User Not Mapped"/>
    <s v="User Not Mapped"/>
    <s v="User Not Mapped"/>
    <n v="456550"/>
    <s v="Maa Kali Sar Bhandar"/>
    <s v="Private Retailer"/>
    <s v="9775489507"/>
    <n v="0.40500000000000003"/>
    <n v="1130"/>
    <x v="2"/>
    <m/>
    <s v="2023-03-17"/>
    <s v="876168"/>
    <s v="M/s. NEW LAXMI FERTILIZERS"/>
    <s v="8207270798"/>
  </r>
  <r>
    <s v="RCF Import"/>
    <s v="MOP"/>
    <s v="WB"/>
    <x v="9"/>
    <s v="Raiganj"/>
    <s v="User Not Mapped"/>
    <s v="User Not Mapped"/>
    <s v="User Not Mapped"/>
    <n v="456550"/>
    <s v="Maa Kali Sar Bhandar"/>
    <s v="Private Retailer"/>
    <s v="9775489507"/>
    <n v="0.5"/>
    <n v="460"/>
    <x v="0"/>
    <m/>
    <s v="2025-01-15"/>
    <s v="876168"/>
    <s v="M/s. NEW LAXMI FERTILIZERS"/>
    <s v="8207270798"/>
  </r>
  <r>
    <s v="RCF Trombay"/>
    <s v="15-15-15"/>
    <s v="WB"/>
    <x v="9"/>
    <s v="Raiganj"/>
    <s v="User Not Mapped"/>
    <s v="User Not Mapped"/>
    <s v="User Not Mapped"/>
    <n v="456550"/>
    <s v="Maa Kali Sar Bhandar"/>
    <s v="Private Retailer"/>
    <s v="9775489507"/>
    <n v="0.25"/>
    <n v="285"/>
    <x v="1"/>
    <m/>
    <s v="2025-07-09"/>
    <s v="876168"/>
    <s v="M/s. NEW LAXMI FERTILIZERS"/>
    <s v="8207270798"/>
  </r>
  <r>
    <s v="RCF Trombay"/>
    <s v="15-15-15"/>
    <s v="WB"/>
    <x v="9"/>
    <s v="Raiganj"/>
    <s v="User Not Mapped"/>
    <s v="User Not Mapped"/>
    <s v="User Not Mapped"/>
    <n v="456550"/>
    <s v="Maa Kali Sar Bhandar"/>
    <s v="Private Retailer"/>
    <s v="9775489507"/>
    <n v="0.25"/>
    <n v="305"/>
    <x v="1"/>
    <m/>
    <s v="2025-06-19"/>
    <s v="876168"/>
    <s v="M/s. NEW LAXMI FERTILIZERS"/>
    <s v="8207270798"/>
  </r>
  <r>
    <s v="RCF Import"/>
    <s v="MOP"/>
    <s v="WB"/>
    <x v="9"/>
    <s v="Raiganj"/>
    <s v="User Not Mapped"/>
    <s v="User Not Mapped"/>
    <s v="User Not Mapped"/>
    <n v="456550"/>
    <s v="Maa Kali Sar Bhandar"/>
    <s v="Private Retailer"/>
    <s v="9775489507"/>
    <n v="0.25"/>
    <n v="513"/>
    <x v="0"/>
    <m/>
    <s v="2024-11-23"/>
    <s v="876168"/>
    <s v="M/s. NEW LAXMI FERTILIZERS"/>
    <s v="8207270798"/>
  </r>
  <r>
    <s v="RCF Trombay"/>
    <s v="15-15-15"/>
    <s v="WB"/>
    <x v="9"/>
    <s v="Raiganj"/>
    <s v="User Not Mapped"/>
    <s v="User Not Mapped"/>
    <s v="User Not Mapped"/>
    <n v="456550"/>
    <s v="Maa Kali Sar Bhandar"/>
    <s v="Private Retailer"/>
    <s v="9775489507"/>
    <n v="0.5"/>
    <n v="763"/>
    <x v="2"/>
    <m/>
    <s v="2024-03-18"/>
    <s v="876168"/>
    <s v="M/s. NEW LAXMI FERTILIZERS"/>
    <s v="8207270798"/>
  </r>
  <r>
    <s v="RCF Trombay"/>
    <s v="15-15-15"/>
    <s v="WB"/>
    <x v="9"/>
    <s v="Raiganj"/>
    <s v="User Not Mapped"/>
    <s v="User Not Mapped"/>
    <s v="User Not Mapped"/>
    <n v="341945"/>
    <s v="Modak Sar Bhandar"/>
    <s v="Private Retailer"/>
    <s v="9593212675"/>
    <n v="0.5"/>
    <n v="351"/>
    <x v="1"/>
    <m/>
    <s v="2025-05-04"/>
    <s v="876168"/>
    <s v="M/s. NEW LAXMI FERTILIZERS"/>
    <s v="8207270798"/>
  </r>
  <r>
    <s v="RCF Trombay"/>
    <s v="15-15-15"/>
    <s v="WB"/>
    <x v="9"/>
    <s v="Raiganj"/>
    <s v="User Not Mapped"/>
    <s v="User Not Mapped"/>
    <s v="User Not Mapped"/>
    <n v="752295"/>
    <s v="NRIPENDRA BISWAS"/>
    <s v="Private Retailer"/>
    <s v="9382146971"/>
    <n v="0.35"/>
    <n v="651"/>
    <x v="2"/>
    <m/>
    <s v="2024-07-08"/>
    <s v="876168"/>
    <s v="M/s. NEW LAXMI FERTILIZERS"/>
    <s v="8207270798"/>
  </r>
  <r>
    <s v="RCF Trombay"/>
    <s v="15-15-15"/>
    <s v="WB"/>
    <x v="9"/>
    <s v="Hemtabad"/>
    <s v="User Not Mapped"/>
    <s v="User Not Mapped"/>
    <s v="User Not Mapped"/>
    <n v="391985"/>
    <s v="Rabi Pal"/>
    <s v="Private Retailer"/>
    <s v="8670019035"/>
    <n v="0.05"/>
    <n v="1017"/>
    <x v="2"/>
    <m/>
    <s v="2023-07-08"/>
    <s v="876168"/>
    <s v="M/s. NEW LAXMI FERTILIZERS"/>
    <s v="8207270798"/>
  </r>
  <r>
    <s v="RCF Import"/>
    <s v="MOP"/>
    <s v="WB"/>
    <x v="9"/>
    <m/>
    <s v="User Not Mapped"/>
    <s v="User Not Mapped"/>
    <s v="User Not Mapped"/>
    <n v="356000"/>
    <s v="Ramesh Chandra   Debnath"/>
    <s v="Private Retailer"/>
    <s v="9647785225"/>
    <n v="0.15"/>
    <n v="548"/>
    <x v="2"/>
    <m/>
    <s v="2024-10-19"/>
    <s v="876168"/>
    <s v="M/s. NEW LAXMI FERTILIZERS"/>
    <s v="8207270798"/>
  </r>
  <r>
    <s v="RCF Trombay"/>
    <s v="15-15-15"/>
    <s v="WB"/>
    <x v="9"/>
    <s v="Hemtabad"/>
    <s v="User Not Mapped"/>
    <s v="User Not Mapped"/>
    <s v="User Not Mapped"/>
    <n v="342417"/>
    <s v="Sar Beej Bhandar"/>
    <s v="Private Retailer"/>
    <s v="7602267519"/>
    <n v="2.1"/>
    <n v="130"/>
    <x v="4"/>
    <m/>
    <s v="2025-12-11"/>
    <s v="876168"/>
    <s v="M/s. NEW LAXMI FERTILIZERS"/>
    <s v="8207270798"/>
  </r>
  <r>
    <s v="RCF Thal"/>
    <s v="N.C.Urea(45kg)"/>
    <s v="WB"/>
    <x v="9"/>
    <m/>
    <s v="User Not Mapped"/>
    <s v="User Not Mapped"/>
    <s v="User Not Mapped"/>
    <n v="1000477"/>
    <s v="ABDUL RAZZAK"/>
    <s v="Private Retailer"/>
    <s v="9832196396"/>
    <n v="3.15"/>
    <n v="44"/>
    <x v="3"/>
    <m/>
    <s v="2026-03-07"/>
    <s v="254617"/>
    <s v="M/s. R.K.Fertilizers"/>
    <s v="9932191695"/>
  </r>
  <r>
    <s v="RCF Thal"/>
    <s v="N.C.Urea(45kg)"/>
    <s v="WB"/>
    <x v="9"/>
    <s v="Chopra"/>
    <s v="User Not Mapped"/>
    <s v="User Not Mapped"/>
    <s v="User Not Mapped"/>
    <n v="904442"/>
    <s v="BIPLAB BHOWMIK"/>
    <s v="Private Retailer"/>
    <s v="9933497875"/>
    <n v="0.18"/>
    <n v="46"/>
    <x v="3"/>
    <m/>
    <s v="2026-03-05"/>
    <s v="254617"/>
    <s v="M/s. R.K.Fertilizers"/>
    <s v="9932191695"/>
  </r>
  <r>
    <s v="RCF Trombay"/>
    <s v="15-15-15"/>
    <s v="WB"/>
    <x v="9"/>
    <s v="Raiganj"/>
    <s v="User Not Mapped"/>
    <s v="User Not Mapped"/>
    <s v="User Not Mapped"/>
    <n v="1084859"/>
    <s v="BISWAS FERTILIZER"/>
    <s v="Private Wholsaler"/>
    <s v="9635905766"/>
    <n v="6"/>
    <n v="58"/>
    <x v="3"/>
    <s v="'2526RKF2939'"/>
    <s v="2026-02-21"/>
    <s v="254617"/>
    <s v="M/s. R.K.Fertilizers"/>
    <s v="9932191695"/>
  </r>
  <r>
    <s v="RCF Trombay"/>
    <s v="15-15-15"/>
    <s v="WB"/>
    <x v="9"/>
    <s v="Chopra"/>
    <s v="User Not Mapped"/>
    <s v="User Not Mapped"/>
    <s v="User Not Mapped"/>
    <n v="323643"/>
    <s v="M/S ANUP KUMAR MAJUMDAR"/>
    <s v="Private Retailer"/>
    <s v="9733460020"/>
    <n v="3"/>
    <n v="38"/>
    <x v="3"/>
    <m/>
    <s v="2026-03-13"/>
    <s v="254617"/>
    <s v="M/s. R.K.Fertilizers"/>
    <s v="9932191695"/>
  </r>
  <r>
    <s v="RCF Thal"/>
    <s v="N.C.Urea(45kg)"/>
    <s v="WB"/>
    <x v="9"/>
    <s v="Chopra"/>
    <s v="User Not Mapped"/>
    <s v="User Not Mapped"/>
    <s v="User Not Mapped"/>
    <n v="853624"/>
    <s v="M/S BINOY ROY"/>
    <s v="Private Retailer"/>
    <s v="9647708485"/>
    <n v="8.91"/>
    <n v="44"/>
    <x v="3"/>
    <m/>
    <s v="2026-03-07"/>
    <s v="254617"/>
    <s v="M/s. R.K.Fertilizers"/>
    <s v="9932191695"/>
  </r>
  <r>
    <s v="RCF Trombay"/>
    <s v="N.C.Urea(45kg)"/>
    <s v="WB"/>
    <x v="9"/>
    <s v="Islampur"/>
    <s v="User Not Mapped"/>
    <s v="User Not Mapped"/>
    <s v="User Not Mapped"/>
    <n v="1221638"/>
    <s v="M/S DITYA ENTERPRISE"/>
    <s v="Private Retailer"/>
    <s v="9932204040"/>
    <n v="0.67500000000000004"/>
    <n v="65"/>
    <x v="6"/>
    <m/>
    <s v="2026-02-14"/>
    <s v="254617"/>
    <s v="M/s. R.K.Fertilizers"/>
    <s v="9932191695"/>
  </r>
  <r>
    <s v="RCF Thal"/>
    <s v="N.C.Urea(45kg)"/>
    <s v="WB"/>
    <x v="9"/>
    <s v="Chopra"/>
    <s v="User Not Mapped"/>
    <s v="User Not Mapped"/>
    <s v="User Not Mapped"/>
    <n v="904448"/>
    <s v="M/S DUTTA FERTILIZER"/>
    <s v="Private Retailer"/>
    <s v="9563579507"/>
    <n v="9.1349999999999998"/>
    <n v="168"/>
    <x v="4"/>
    <m/>
    <s v="2025-11-03"/>
    <s v="254617"/>
    <s v="M/s. R.K.Fertilizers"/>
    <s v="9932191695"/>
  </r>
  <r>
    <s v="RCF Thal"/>
    <s v="N.C.Urea(45kg)"/>
    <s v="WB"/>
    <x v="9"/>
    <s v="Chopra"/>
    <s v="User Not Mapped"/>
    <s v="User Not Mapped"/>
    <s v="User Not Mapped"/>
    <n v="904448"/>
    <s v="M/S DUTTA FERTILIZER"/>
    <s v="Private Retailer"/>
    <s v="9563579507"/>
    <n v="32.94"/>
    <n v="46"/>
    <x v="3"/>
    <m/>
    <s v="2026-03-05"/>
    <s v="254617"/>
    <s v="M/s. R.K.Fertilizers"/>
    <s v="9932191695"/>
  </r>
  <r>
    <s v="RCF Trombay"/>
    <s v="N.C.Urea(45kg)"/>
    <s v="WB"/>
    <x v="9"/>
    <s v="Chopra"/>
    <s v="User Not Mapped"/>
    <s v="User Not Mapped"/>
    <s v="User Not Mapped"/>
    <n v="904448"/>
    <s v="M/S DUTTA FERTILIZER"/>
    <s v="Private Retailer"/>
    <s v="9563579507"/>
    <n v="1.3049999999999999"/>
    <n v="74"/>
    <x v="6"/>
    <m/>
    <s v="2026-02-05"/>
    <s v="254617"/>
    <s v="M/s. R.K.Fertilizers"/>
    <s v="9932191695"/>
  </r>
  <r>
    <s v="RCF Trombay"/>
    <s v="N.C.Urea(45kg)"/>
    <s v="WB"/>
    <x v="9"/>
    <s v="Islampur"/>
    <s v="User Not Mapped"/>
    <s v="User Not Mapped"/>
    <s v="User Not Mapped"/>
    <n v="608003"/>
    <s v="M/S GALIB HUSSAIN"/>
    <s v="Private Retailer"/>
    <s v="8348567596"/>
    <n v="1.125"/>
    <n v="65"/>
    <x v="6"/>
    <m/>
    <s v="2026-02-14"/>
    <s v="254617"/>
    <s v="M/s. R.K.Fertilizers"/>
    <s v="9932191695"/>
  </r>
  <r>
    <s v="RCF Thal"/>
    <s v="N.C.Urea(45kg)"/>
    <s v="WB"/>
    <x v="9"/>
    <s v="Chopra"/>
    <s v="User Not Mapped"/>
    <s v="User Not Mapped"/>
    <s v="User Not Mapped"/>
    <n v="341609"/>
    <s v="M/S KAMIL AKHTER"/>
    <s v="Private Retailer"/>
    <s v="9932974306"/>
    <n v="10.845000000000001"/>
    <n v="46"/>
    <x v="3"/>
    <m/>
    <s v="2026-03-05"/>
    <s v="254617"/>
    <s v="M/s. R.K.Fertilizers"/>
    <s v="9932191695"/>
  </r>
  <r>
    <s v="RCF Thal"/>
    <s v="N.C.Urea(45kg)"/>
    <s v="WB"/>
    <x v="9"/>
    <s v="Chopra"/>
    <s v="User Not Mapped"/>
    <s v="User Not Mapped"/>
    <s v="User Not Mapped"/>
    <n v="643471"/>
    <s v="M/S RAJAKUL ISLAM"/>
    <s v="Private Retailer"/>
    <s v="7365998588"/>
    <n v="5.0000000000000001E-3"/>
    <n v="1328"/>
    <x v="2"/>
    <m/>
    <s v="2022-08-31"/>
    <s v="254617"/>
    <s v="M/s. R.K.Fertilizers"/>
    <s v="9932191695"/>
  </r>
  <r>
    <s v="RCF Trombay"/>
    <s v="15-15-15"/>
    <s v="WB"/>
    <x v="9"/>
    <s v="Islampur"/>
    <s v="User Not Mapped"/>
    <s v="User Not Mapped"/>
    <s v="User Not Mapped"/>
    <n v="632636"/>
    <s v="M/S S.P. ENTERPRISES"/>
    <s v="Private Retailer"/>
    <s v="7551830155"/>
    <n v="2"/>
    <n v="34"/>
    <x v="3"/>
    <m/>
    <s v="2026-03-17"/>
    <s v="254617"/>
    <s v="M/s. R.K.Fertilizers"/>
    <s v="9932191695"/>
  </r>
  <r>
    <s v="RCF Trombay"/>
    <s v="15-15-15"/>
    <s v="WB"/>
    <x v="9"/>
    <s v="Islampur"/>
    <s v="User Not Mapped"/>
    <s v="User Not Mapped"/>
    <s v="User Not Mapped"/>
    <n v="643481"/>
    <s v="M/S UJJAL DATTA"/>
    <s v="Private Retailer"/>
    <s v="8116759278"/>
    <n v="7.3"/>
    <n v="74"/>
    <x v="6"/>
    <m/>
    <s v="2026-02-05"/>
    <s v="254617"/>
    <s v="M/s. R.K.Fertilizers"/>
    <s v="9932191695"/>
  </r>
  <r>
    <s v="RCF Trombay"/>
    <s v="15-15-15"/>
    <s v="WB"/>
    <x v="9"/>
    <s v="Karandighi"/>
    <s v="User Not Mapped"/>
    <s v="User Not Mapped"/>
    <s v="User Not Mapped"/>
    <n v="647513"/>
    <s v="MANOJ AGARWALA"/>
    <s v="Private Retailer"/>
    <s v="9475673341"/>
    <n v="9.75"/>
    <n v="55"/>
    <x v="3"/>
    <m/>
    <s v="2026-02-24"/>
    <s v="254617"/>
    <s v="M/s. R.K.Fertilizers"/>
    <s v="9932191695"/>
  </r>
  <r>
    <s v="RCF Thal"/>
    <s v="N.C.Urea(45kg)"/>
    <s v="WB"/>
    <x v="9"/>
    <s v="Islampur"/>
    <s v="User Not Mapped"/>
    <s v="User Not Mapped"/>
    <s v="User Not Mapped"/>
    <n v="510720"/>
    <s v="Md. Nasim Ahamed"/>
    <s v="Private Retailer"/>
    <s v="9800503974"/>
    <n v="4.4999999999999998E-2"/>
    <n v="331"/>
    <x v="1"/>
    <m/>
    <s v="2025-05-24"/>
    <s v="254617"/>
    <s v="M/s. R.K.Fertilizers"/>
    <s v="9932191695"/>
  </r>
  <r>
    <s v="RCF Trombay"/>
    <s v="15-15-15"/>
    <s v="WB"/>
    <x v="9"/>
    <s v="Chopra"/>
    <s v="User Not Mapped"/>
    <s v="User Not Mapped"/>
    <s v="User Not Mapped"/>
    <n v="294903"/>
    <s v="Noori Fertilizers"/>
    <s v="Private Retailer"/>
    <s v="9851275737"/>
    <n v="0.95"/>
    <n v="46"/>
    <x v="3"/>
    <m/>
    <s v="2026-03-05"/>
    <s v="254617"/>
    <s v="M/s. R.K.Fertilizers"/>
    <s v="9932191695"/>
  </r>
  <r>
    <s v="RCF Trombay"/>
    <s v="15-15-15"/>
    <s v="WB"/>
    <x v="9"/>
    <s v="Islampur"/>
    <s v="User Not Mapped"/>
    <s v="User Not Mapped"/>
    <s v="User Not Mapped"/>
    <n v="356353"/>
    <s v="Sima Dutta (Das)"/>
    <s v="Private Retailer"/>
    <s v="9474435841"/>
    <n v="5.7"/>
    <n v="74"/>
    <x v="6"/>
    <m/>
    <s v="2026-02-05"/>
    <s v="254617"/>
    <s v="M/s. R.K.Fertilizers"/>
    <s v="9932191695"/>
  </r>
  <r>
    <s v="RCF Trombay"/>
    <s v="N.C.Urea(45kg)"/>
    <s v="WB"/>
    <x v="9"/>
    <s v="Chopra"/>
    <s v="User Not Mapped"/>
    <s v="User Not Mapped"/>
    <s v="User Not Mapped"/>
    <n v="1400693"/>
    <s v="SS ENTERPRISE"/>
    <s v="Private Retailer"/>
    <s v="7908500076"/>
    <n v="1.665"/>
    <n v="489"/>
    <x v="0"/>
    <m/>
    <s v="2024-12-17"/>
    <s v="254617"/>
    <s v="M/s. R.K.Fertilizers"/>
    <s v="9932191695"/>
  </r>
  <r>
    <s v="RCF Trombay"/>
    <s v="15-15-15"/>
    <s v="WB"/>
    <x v="9"/>
    <s v="Chopra"/>
    <s v="User Not Mapped"/>
    <s v="User Not Mapped"/>
    <s v="User Not Mapped"/>
    <n v="1400693"/>
    <s v="SS ENTERPRISE"/>
    <s v="Private Retailer"/>
    <s v="7908500076"/>
    <n v="6"/>
    <n v="489"/>
    <x v="0"/>
    <m/>
    <s v="2024-12-17"/>
    <s v="254617"/>
    <s v="M/s. R.K.Fertilizers"/>
    <s v="9932191695"/>
  </r>
  <r>
    <s v="RCF Trombay"/>
    <s v="15-15-15"/>
    <s v="WB"/>
    <x v="9"/>
    <s v="Raiganj"/>
    <s v="User Not Mapped"/>
    <s v="User Not Mapped"/>
    <s v="User Not Mapped"/>
    <n v="854172"/>
    <s v="M/S USHA FERTILISERS"/>
    <s v="Private Retailer"/>
    <s v="8759543944"/>
    <n v="2"/>
    <n v="48"/>
    <x v="3"/>
    <m/>
    <s v="2026-03-03"/>
    <s v="920966"/>
    <s v="M/S. RATAN KUMAR DEB"/>
    <s v="9733114040"/>
  </r>
  <r>
    <s v="RCF Trombay"/>
    <s v="15-15-15"/>
    <s v="WB"/>
    <x v="9"/>
    <s v="Raiganj"/>
    <s v="User Not Mapped"/>
    <s v="User Not Mapped"/>
    <s v="User Not Mapped"/>
    <n v="854172"/>
    <s v="M/S USHA FERTILISERS"/>
    <s v="Private Retailer"/>
    <s v="8759543944"/>
    <n v="0.75"/>
    <n v="65"/>
    <x v="6"/>
    <m/>
    <s v="2026-02-14"/>
    <s v="920966"/>
    <s v="M/S. RATAN KUMAR DEB"/>
    <s v="9733114040"/>
  </r>
  <r>
    <s v="RCF Trombay"/>
    <s v="15-15-15"/>
    <s v="WB"/>
    <x v="9"/>
    <s v="Raiganj"/>
    <s v="User Not Mapped"/>
    <s v="User Not Mapped"/>
    <s v="User Not Mapped"/>
    <n v="737086"/>
    <s v="UPADHAYAY FERILISER"/>
    <s v="Private Retailer"/>
    <s v="7908991298"/>
    <n v="3"/>
    <n v="2457"/>
    <x v="2"/>
    <m/>
    <s v="2019-07-29"/>
    <s v="920966"/>
    <s v="M/S. RATAN KUMAR DEB"/>
    <s v="9733114040"/>
  </r>
  <r>
    <s v="RCF Thal"/>
    <s v="N.C.Urea(45kg)"/>
    <s v="WB"/>
    <x v="9"/>
    <s v="Raiganj"/>
    <s v="User Not Mapped"/>
    <s v="User Not Mapped"/>
    <s v="User Not Mapped"/>
    <n v="737086"/>
    <s v="UPADHAYAY FERILISER"/>
    <s v="Private Retailer"/>
    <s v="7908991298"/>
    <n v="3.3250000000000002"/>
    <n v="2457"/>
    <x v="2"/>
    <m/>
    <s v="2019-07-29"/>
    <s v="920966"/>
    <s v="M/S. RATAN KUMAR DEB"/>
    <s v="9733114040"/>
  </r>
  <r>
    <s v="RCF Thal"/>
    <s v="N.C.Urea(45kg)"/>
    <s v="WB"/>
    <x v="9"/>
    <s v="Raiganj"/>
    <s v="User Not Mapped"/>
    <s v="User Not Mapped"/>
    <s v="User Not Mapped"/>
    <n v="861758"/>
    <s v="M/S. Krishi Ghar"/>
    <s v="Private Retailer"/>
    <s v="8016574005"/>
    <n v="1.7749999999999999"/>
    <n v="1500"/>
    <x v="2"/>
    <m/>
    <s v="2022-03-12"/>
    <s v="1138638"/>
    <s v="MAHATO FERTILIZER AND SEED"/>
    <s v="8145760033"/>
  </r>
  <r>
    <s v="RCF Trombay"/>
    <s v="15-15-15"/>
    <s v="WB"/>
    <x v="9"/>
    <s v="Islampur"/>
    <s v="User Not Mapped"/>
    <s v="User Not Mapped"/>
    <s v="User Not Mapped"/>
    <n v="1373060"/>
    <s v="M/S MOHAMMAD SHAMIM AKHTER"/>
    <s v="Private Retailer"/>
    <s v="6297896569"/>
    <n v="1"/>
    <n v="494"/>
    <x v="0"/>
    <m/>
    <s v="2024-12-12"/>
    <s v="897266"/>
    <s v="MD. AKHTAR HUSSAIN"/>
    <s v="7908153661"/>
  </r>
  <r>
    <s v="RCF Trombay"/>
    <s v="15-15-15"/>
    <s v="WB"/>
    <x v="9"/>
    <s v="Goalpokhar - I"/>
    <s v="User Not Mapped"/>
    <s v="User Not Mapped"/>
    <s v="User Not Mapped"/>
    <n v="901208"/>
    <s v="MD. IFTEKHAR ALAM"/>
    <s v="Private Retailer"/>
    <s v="9064055280"/>
    <n v="1"/>
    <n v="493"/>
    <x v="0"/>
    <m/>
    <s v="2024-12-13"/>
    <s v="897266"/>
    <s v="MD. AKHTAR HUSSAIN"/>
    <s v="7908153661"/>
  </r>
  <r>
    <s v="RCF Import"/>
    <s v="MOP"/>
    <s v="WB"/>
    <x v="9"/>
    <s v="Itahar"/>
    <s v="User Not Mapped"/>
    <s v="User Not Mapped"/>
    <s v="User Not Mapped"/>
    <n v="233557"/>
    <s v="M/S SAHIL AZAD FARTILIZER SHOP"/>
    <s v="Private Retailer"/>
    <s v="8927726054"/>
    <n v="2"/>
    <n v="179"/>
    <x v="4"/>
    <m/>
    <s v="2025-10-23"/>
    <s v="281210"/>
    <s v="Monsur Alam Azad"/>
    <s v="8927726054"/>
  </r>
  <r>
    <s v="RCF Import"/>
    <s v="MOP"/>
    <s v="WB"/>
    <x v="9"/>
    <s v="Itahar"/>
    <s v="User Not Mapped"/>
    <s v="User Not Mapped"/>
    <s v="User Not Mapped"/>
    <n v="233557"/>
    <s v="M/S SAHIL AZAD FARTILIZER SHOP"/>
    <s v="Private Retailer"/>
    <s v="8927726054"/>
    <n v="2"/>
    <n v="208"/>
    <x v="1"/>
    <m/>
    <s v="2025-09-24"/>
    <s v="281210"/>
    <s v="Monsur Alam Azad"/>
    <s v="8927726054"/>
  </r>
  <r>
    <s v="RCF Import"/>
    <s v="MOP"/>
    <s v="WB"/>
    <x v="9"/>
    <s v="Raiganj"/>
    <s v="User Not Mapped"/>
    <s v="User Not Mapped"/>
    <s v="User Not Mapped"/>
    <n v="947608"/>
    <s v="MAHAMMAD SAFIKUL"/>
    <s v="Private Retailer"/>
    <s v="7797695007"/>
    <n v="0.05"/>
    <n v="304"/>
    <x v="1"/>
    <m/>
    <s v="2025-06-20"/>
    <s v="281210"/>
    <s v="Monsur Alam Azad"/>
    <s v="8927726054"/>
  </r>
  <r>
    <s v="RCF Trombay"/>
    <s v="15-15-15"/>
    <s v="WB"/>
    <x v="9"/>
    <s v="Raiganj"/>
    <s v="User Not Mapped"/>
    <s v="User Not Mapped"/>
    <s v="User Not Mapped"/>
    <n v="1519137"/>
    <s v="SARKAR FERTILIZER "/>
    <s v="Private Retailer"/>
    <s v="9932557970"/>
    <n v="1.75"/>
    <n v="208"/>
    <x v="1"/>
    <m/>
    <s v="2025-09-24"/>
    <s v="281210"/>
    <s v="Monsur Alam Azad"/>
    <s v="8927726054"/>
  </r>
  <r>
    <s v="RCF Trombay"/>
    <s v="15-15-15"/>
    <s v="WB"/>
    <x v="9"/>
    <s v="Itahar"/>
    <s v="User Not Mapped"/>
    <s v="User Not Mapped"/>
    <s v="User Not Mapped"/>
    <n v="1606985"/>
    <s v="M/S KRISHI GHAR"/>
    <s v="Private Wholsaler"/>
    <s v="7001196936"/>
    <n v="13"/>
    <n v="67"/>
    <x v="6"/>
    <s v="'1020'"/>
    <s v="2026-02-12"/>
    <s v="291327"/>
    <s v="Nandalal Agarwala"/>
    <s v="9434106010"/>
  </r>
  <r>
    <s v="RCF Trombay"/>
    <s v="15-15-15"/>
    <s v="WB"/>
    <x v="9"/>
    <s v="Raiganj"/>
    <s v="User Not Mapped"/>
    <s v="User Not Mapped"/>
    <s v="User Not Mapped"/>
    <n v="774731"/>
    <s v="M/S. GHOSH FERTILIZER CENTRE"/>
    <s v="Private Retailer"/>
    <s v="9547348634"/>
    <n v="4.5"/>
    <n v="136"/>
    <x v="4"/>
    <m/>
    <s v="2025-12-05"/>
    <s v="291327"/>
    <s v="Nandalal Agarwala"/>
    <s v="9434106010"/>
  </r>
  <r>
    <s v="RCF Trombay"/>
    <s v="15-15-15"/>
    <s v="WB"/>
    <x v="9"/>
    <s v="Raiganj"/>
    <s v="User Not Mapped"/>
    <s v="User Not Mapped"/>
    <s v="User Not Mapped"/>
    <n v="797118"/>
    <s v="M/s. MAHATO BEEJ BHANDER"/>
    <s v="Private Retailer"/>
    <s v="9734904423"/>
    <n v="3.8"/>
    <n v="312"/>
    <x v="1"/>
    <m/>
    <s v="2025-06-12"/>
    <s v="291329"/>
    <s v="Noor Fert Agency"/>
    <s v="9907316133"/>
  </r>
  <r>
    <s v="RCF Import"/>
    <s v="Imp 10-26-26"/>
    <s v="WB"/>
    <x v="9"/>
    <m/>
    <s v="User Not Mapped"/>
    <s v="User Not Mapped"/>
    <s v="User Not Mapped"/>
    <n v="946018"/>
    <s v="SAMSUDDIN AHAMMAD"/>
    <s v="Private Retailer"/>
    <s v="7047711399"/>
    <n v="2"/>
    <n v="29"/>
    <x v="5"/>
    <m/>
    <s v="2026-03-22"/>
    <s v="291329"/>
    <s v="Noor Fert Agency"/>
    <s v="9907316133"/>
  </r>
  <r>
    <s v="RCF Thal"/>
    <s v="N.C.Urea(45kg)"/>
    <s v="WB"/>
    <x v="9"/>
    <s v="Itahar"/>
    <s v="User Not Mapped"/>
    <s v="User Not Mapped"/>
    <s v="User Not Mapped"/>
    <n v="916450"/>
    <s v="ABDUL KADER"/>
    <s v="Private Retailer"/>
    <s v="9775448205"/>
    <n v="0.9"/>
    <n v="391"/>
    <x v="0"/>
    <m/>
    <s v="2025-03-25"/>
    <s v="1082774"/>
    <s v="PITAMBAR AGARWALA"/>
    <s v="9932496601"/>
  </r>
  <r>
    <s v="RCF Trombay"/>
    <s v="15-15-15"/>
    <s v="WB"/>
    <x v="9"/>
    <s v="Itahar"/>
    <s v="User Not Mapped"/>
    <s v="User Not Mapped"/>
    <s v="User Not Mapped"/>
    <n v="1029794"/>
    <s v="AMJADUL HAQUE"/>
    <s v="Private Retailer"/>
    <s v="9547914977"/>
    <n v="2"/>
    <n v="160"/>
    <x v="4"/>
    <m/>
    <s v="2025-11-11"/>
    <s v="1082774"/>
    <s v="PITAMBAR AGARWALA"/>
    <s v="9932496601"/>
  </r>
  <r>
    <s v="RCF Trombay"/>
    <s v="15-15-15"/>
    <s v="WB"/>
    <x v="9"/>
    <s v="Itahar"/>
    <s v="User Not Mapped"/>
    <s v="User Not Mapped"/>
    <s v="User Not Mapped"/>
    <n v="1029794"/>
    <s v="AMJADUL HAQUE"/>
    <s v="Private Retailer"/>
    <s v="9547914977"/>
    <n v="0.35"/>
    <n v="155"/>
    <x v="4"/>
    <m/>
    <s v="2025-11-16"/>
    <s v="1082774"/>
    <s v="PITAMBAR AGARWALA"/>
    <s v="9932496601"/>
  </r>
  <r>
    <s v="RCF Import"/>
    <s v="Imp 10-26-26"/>
    <s v="WB"/>
    <x v="9"/>
    <s v="Itahar"/>
    <s v="User Not Mapped"/>
    <s v="User Not Mapped"/>
    <s v="User Not Mapped"/>
    <n v="1259530"/>
    <s v="M/S UMA SARKAR"/>
    <s v="Private Retailer"/>
    <s v="9734311826"/>
    <n v="0.4"/>
    <n v="490"/>
    <x v="0"/>
    <m/>
    <s v="2024-12-16"/>
    <s v="1082774"/>
    <s v="PITAMBAR AGARWALA"/>
    <s v="9932496601"/>
  </r>
  <r>
    <s v="RCF Trombay"/>
    <s v="15-15-15"/>
    <s v="WB"/>
    <x v="9"/>
    <s v="Itahar"/>
    <s v="User Not Mapped"/>
    <s v="User Not Mapped"/>
    <s v="User Not Mapped"/>
    <n v="1000892"/>
    <s v="PANCHANAN PAUL"/>
    <s v="Private Retailer"/>
    <s v="9734183484"/>
    <n v="0.25"/>
    <n v="1126"/>
    <x v="2"/>
    <m/>
    <s v="2023-03-21"/>
    <s v="1082774"/>
    <s v="PITAMBAR AGARWALA"/>
    <s v="9932496601"/>
  </r>
  <r>
    <s v="RCF Thal"/>
    <s v="N.C.Urea(45kg)"/>
    <s v="WB"/>
    <x v="9"/>
    <s v="Itahar"/>
    <s v="User Not Mapped"/>
    <s v="User Not Mapped"/>
    <s v="User Not Mapped"/>
    <n v="1097556"/>
    <s v="PARIMAL BARMAN"/>
    <s v="Private Retailer"/>
    <s v="7679479388"/>
    <n v="0.40500000000000003"/>
    <n v="1325"/>
    <x v="2"/>
    <m/>
    <s v="2022-09-03"/>
    <s v="1082774"/>
    <s v="PITAMBAR AGARWALA"/>
    <s v="9932496601"/>
  </r>
  <r>
    <s v="RCF Trombay"/>
    <s v="N.C.Urea(45kg)"/>
    <s v="WB"/>
    <x v="9"/>
    <s v="Itahar"/>
    <s v="User Not Mapped"/>
    <s v="User Not Mapped"/>
    <s v="User Not Mapped"/>
    <n v="1097556"/>
    <s v="PARIMAL BARMAN"/>
    <s v="Private Retailer"/>
    <s v="7679479388"/>
    <n v="2.0249999999999999"/>
    <n v="1227"/>
    <x v="2"/>
    <m/>
    <s v="2022-12-10"/>
    <s v="1082774"/>
    <s v="PITAMBAR AGARWALA"/>
    <s v="9932496601"/>
  </r>
  <r>
    <s v="RCF Trombay"/>
    <s v="15-15-15"/>
    <s v="WB"/>
    <x v="9"/>
    <s v="Itahar"/>
    <s v="User Not Mapped"/>
    <s v="User Not Mapped"/>
    <s v="User Not Mapped"/>
    <n v="1097556"/>
    <s v="PARIMAL BARMAN"/>
    <s v="Private Retailer"/>
    <s v="7679479388"/>
    <n v="1.5"/>
    <n v="1127"/>
    <x v="2"/>
    <m/>
    <s v="2023-03-20"/>
    <s v="1082774"/>
    <s v="PITAMBAR AGARWALA"/>
    <s v="9932496601"/>
  </r>
  <r>
    <s v="RCF Import"/>
    <s v="MOP"/>
    <s v="WB"/>
    <x v="9"/>
    <s v="Raiganj"/>
    <s v="User Not Mapped"/>
    <s v="User Not Mapped"/>
    <s v="User Not Mapped"/>
    <n v="1399346"/>
    <s v="DEYS FERTILISER"/>
    <s v="Private Retailer"/>
    <s v="9749352931"/>
    <n v="0.05"/>
    <n v="453"/>
    <x v="0"/>
    <m/>
    <s v="2025-01-22"/>
    <s v="1036451"/>
    <s v="PRANAB NARAYAN SHOME"/>
    <s v="7001328091"/>
  </r>
  <r>
    <s v="RCF Thal"/>
    <s v="N.C.Urea(45kg)"/>
    <s v="WB"/>
    <x v="9"/>
    <s v="Raiganj"/>
    <s v="User Not Mapped"/>
    <s v="User Not Mapped"/>
    <s v="User Not Mapped"/>
    <n v="924155"/>
    <s v="REKHA SARKAR"/>
    <s v="Private Retailer"/>
    <s v="7076549881"/>
    <n v="0.63"/>
    <n v="485"/>
    <x v="0"/>
    <m/>
    <s v="2024-12-21"/>
    <s v="1036451"/>
    <s v="PRANAB NARAYAN SHOME"/>
    <s v="7001328091"/>
  </r>
  <r>
    <s v="RCF Thal"/>
    <s v="N.C.Urea(45kg)"/>
    <s v="WB"/>
    <x v="9"/>
    <s v="Raiganj"/>
    <s v="User Not Mapped"/>
    <s v="User Not Mapped"/>
    <s v="User Not Mapped"/>
    <n v="457448"/>
    <s v="Sonali Sar Bhandar"/>
    <s v="Private Retailer"/>
    <s v="9734419872"/>
    <n v="1.2150000000000001"/>
    <n v="453"/>
    <x v="0"/>
    <m/>
    <s v="2025-01-22"/>
    <s v="1036451"/>
    <s v="PRANAB NARAYAN SHOME"/>
    <s v="7001328091"/>
  </r>
  <r>
    <s v="RCF Import"/>
    <s v="MOP"/>
    <s v="WB"/>
    <x v="9"/>
    <s v="Raiganj"/>
    <s v="User Not Mapped"/>
    <s v="User Not Mapped"/>
    <s v="User Not Mapped"/>
    <n v="457448"/>
    <s v="Sonali Sar Bhandar"/>
    <s v="Private Retailer"/>
    <s v="9734419872"/>
    <n v="0.95"/>
    <n v="439"/>
    <x v="0"/>
    <m/>
    <s v="2025-02-05"/>
    <s v="1036451"/>
    <s v="PRANAB NARAYAN SHOME"/>
    <s v="7001328091"/>
  </r>
  <r>
    <s v="RCF Import"/>
    <s v="Imp 10-26-26"/>
    <s v="WB"/>
    <x v="9"/>
    <s v="Raiganj"/>
    <s v="User Not Mapped"/>
    <s v="User Not Mapped"/>
    <s v="User Not Mapped"/>
    <n v="994886"/>
    <s v="KRISHI SAR BHANDER"/>
    <s v="Private Retailer"/>
    <s v="6295138228"/>
    <n v="0.4"/>
    <n v="145"/>
    <x v="4"/>
    <m/>
    <s v="2025-11-26"/>
    <s v="281603"/>
    <s v="Pulak Sarkar"/>
    <s v="9474141205"/>
  </r>
  <r>
    <s v="RCF Import"/>
    <s v="Imp 10-26-26"/>
    <s v="WB"/>
    <x v="9"/>
    <s v="Raiganj"/>
    <s v="User Not Mapped"/>
    <s v="User Not Mapped"/>
    <s v="User Not Mapped"/>
    <n v="853413"/>
    <s v="M/s. RADHA KANTA SAR BHANDAR"/>
    <s v="Private Retailer"/>
    <s v="7797011050"/>
    <n v="0.25"/>
    <n v="128"/>
    <x v="4"/>
    <m/>
    <s v="2025-12-13"/>
    <s v="281603"/>
    <s v="Pulak Sarkar"/>
    <s v="9474141205"/>
  </r>
  <r>
    <s v="RCF Thal"/>
    <s v="N.C.Urea(45kg)"/>
    <s v="WB"/>
    <x v="9"/>
    <s v="Raiganj"/>
    <s v="User Not Mapped"/>
    <s v="User Not Mapped"/>
    <s v="User Not Mapped"/>
    <n v="513293"/>
    <s v="Ashim Sarkar"/>
    <s v="Private Retailer"/>
    <s v="9647721481"/>
    <n v="4.0049999999999999"/>
    <n v="146"/>
    <x v="4"/>
    <m/>
    <s v="2025-11-25"/>
    <s v="1146104"/>
    <s v="RAJA FERTILIZERS"/>
    <s v="8370801460"/>
  </r>
  <r>
    <s v="RCF Trombay"/>
    <s v="15-15-15"/>
    <s v="WB"/>
    <x v="9"/>
    <s v="Islampur"/>
    <s v="User Not Mapped"/>
    <s v="User Not Mapped"/>
    <s v="User Not Mapped"/>
    <n v="385753"/>
    <s v="Binod Kumar Baheti"/>
    <s v="Private Wholsaler"/>
    <s v="9800885611"/>
    <n v="5.75"/>
    <n v="75"/>
    <x v="6"/>
    <s v="'WS3125003282'"/>
    <s v="2026-02-04"/>
    <s v="1"/>
    <s v="rcf"/>
    <m/>
  </r>
  <r>
    <s v="RCF Import"/>
    <s v="MOP"/>
    <s v="WB"/>
    <x v="9"/>
    <s v="Raiganj"/>
    <s v="User Not Mapped"/>
    <s v="User Not Mapped"/>
    <s v="User Not Mapped"/>
    <n v="892191"/>
    <s v="AMRIT KR BARMAN"/>
    <s v="Private Retailer"/>
    <s v="8436213173"/>
    <n v="1"/>
    <n v="493"/>
    <x v="0"/>
    <m/>
    <s v="2024-12-13"/>
    <s v="1000525"/>
    <s v="ROY KRISHI BEEJ BHANDER"/>
    <s v="8918953747"/>
  </r>
  <r>
    <s v="RCF Trombay"/>
    <s v="N.C.Urea(45kg)"/>
    <s v="WB"/>
    <x v="9"/>
    <s v="Raiganj"/>
    <s v="User Not Mapped"/>
    <s v="User Not Mapped"/>
    <s v="User Not Mapped"/>
    <n v="1098987"/>
    <s v="LOKNATH KRISHI BHANDAR"/>
    <s v="Private Retailer"/>
    <s v="7001660232"/>
    <n v="1.35"/>
    <n v="419"/>
    <x v="0"/>
    <m/>
    <s v="2025-02-25"/>
    <s v="1000525"/>
    <s v="ROY KRISHI BEEJ BHANDER"/>
    <s v="8918953747"/>
  </r>
  <r>
    <s v="RCF Trombay"/>
    <s v="15-15-15"/>
    <s v="WB"/>
    <x v="9"/>
    <s v="Hemtabad"/>
    <s v="User Not Mapped"/>
    <s v="User Not Mapped"/>
    <s v="User Not Mapped"/>
    <n v="340923"/>
    <s v="Ashraf Ali"/>
    <s v="Private Retailer"/>
    <s v="9733352182"/>
    <n v="0.9"/>
    <n v="16"/>
    <x v="5"/>
    <m/>
    <s v="2026-04-04"/>
    <s v="1058188"/>
    <s v="SAIDUR RAHAMAN"/>
    <s v="9734115820"/>
  </r>
  <r>
    <s v="RCF Trombay"/>
    <s v="15-15-15"/>
    <s v="WB"/>
    <x v="9"/>
    <s v="Hemtabad"/>
    <s v="User Not Mapped"/>
    <s v="User Not Mapped"/>
    <s v="User Not Mapped"/>
    <n v="1057335"/>
    <s v="HEM CHANDRA BHOWMIK"/>
    <s v="Private Retailer"/>
    <s v="9563756078"/>
    <n v="0.05"/>
    <n v="271"/>
    <x v="1"/>
    <m/>
    <s v="2025-07-23"/>
    <s v="1058188"/>
    <s v="SAIDUR RAHAMAN"/>
    <s v="9734115820"/>
  </r>
  <r>
    <s v="RCF Trombay"/>
    <s v="15-15-15"/>
    <s v="WB"/>
    <x v="9"/>
    <s v="Hemtabad"/>
    <s v="User Not Mapped"/>
    <s v="User Not Mapped"/>
    <s v="User Not Mapped"/>
    <n v="774965"/>
    <s v="M/S. NIRENDRA NATH BARMAN"/>
    <s v="Private Retailer"/>
    <s v="9733189488"/>
    <n v="0.05"/>
    <n v="1376"/>
    <x v="2"/>
    <m/>
    <s v="2022-07-14"/>
    <s v="1058188"/>
    <s v="SAIDUR RAHAMAN"/>
    <s v="9734115820"/>
  </r>
  <r>
    <s v="RCF Trombay"/>
    <s v="15-15-15"/>
    <s v="WB"/>
    <x v="9"/>
    <s v="Hemtabad"/>
    <s v="User Not Mapped"/>
    <s v="User Not Mapped"/>
    <s v="User Not Mapped"/>
    <n v="1368064"/>
    <s v="NAODA AGRICULTURE WELFARE SOCI"/>
    <s v="Private Retailer"/>
    <s v="7318762187"/>
    <n v="0.5"/>
    <n v="37"/>
    <x v="3"/>
    <m/>
    <s v="2026-03-14"/>
    <s v="1058188"/>
    <s v="SAIDUR RAHAMAN"/>
    <s v="9734115820"/>
  </r>
  <r>
    <s v="RCF Trombay"/>
    <s v="15-15-15"/>
    <s v="WB"/>
    <x v="9"/>
    <s v="Raiganj"/>
    <s v="User Not Mapped"/>
    <s v="User Not Mapped"/>
    <s v="User Not Mapped"/>
    <n v="848368"/>
    <s v="PARESH CHANDRA ROY"/>
    <s v="Private Retailer"/>
    <s v="9775874911"/>
    <n v="1.1000000000000001"/>
    <n v="271"/>
    <x v="1"/>
    <m/>
    <s v="2025-07-23"/>
    <s v="1058188"/>
    <s v="SAIDUR RAHAMAN"/>
    <s v="9734115820"/>
  </r>
  <r>
    <s v="RCF Trombay"/>
    <s v="15-15-15"/>
    <s v="WB"/>
    <x v="9"/>
    <s v="Hemtabad"/>
    <s v="User Not Mapped"/>
    <s v="User Not Mapped"/>
    <s v="User Not Mapped"/>
    <n v="888179"/>
    <s v="SAMIR MAHAMAD"/>
    <s v="Private Retailer"/>
    <s v="8001893073"/>
    <n v="0.154"/>
    <n v="289"/>
    <x v="1"/>
    <m/>
    <s v="2025-07-05"/>
    <s v="1058188"/>
    <s v="SAIDUR RAHAMAN"/>
    <s v="9734115820"/>
  </r>
  <r>
    <s v="RCF Trombay"/>
    <s v="15-15-15"/>
    <s v="WB"/>
    <x v="9"/>
    <s v="Hemtabad"/>
    <s v="User Not Mapped"/>
    <s v="User Not Mapped"/>
    <s v="User Not Mapped"/>
    <n v="888179"/>
    <s v="SAMIR MAHAMAD"/>
    <s v="Private Retailer"/>
    <s v="8001893073"/>
    <n v="0.5"/>
    <n v="271"/>
    <x v="1"/>
    <m/>
    <s v="2025-07-23"/>
    <s v="1058188"/>
    <s v="SAIDUR RAHAMAN"/>
    <s v="9734115820"/>
  </r>
  <r>
    <s v="RCF Trombay"/>
    <s v="15-15-15"/>
    <s v="WB"/>
    <x v="9"/>
    <s v="Hemtabad"/>
    <s v="User Not Mapped"/>
    <s v="User Not Mapped"/>
    <s v="User Not Mapped"/>
    <n v="1419879"/>
    <s v="ASRAFI BEEJ BHANDAR"/>
    <s v="Private Retailer"/>
    <s v="8348713582"/>
    <n v="5.5"/>
    <n v="119"/>
    <x v="7"/>
    <m/>
    <s v="2025-12-22"/>
    <s v="281226"/>
    <s v="Subuj Supply"/>
    <s v="7001971187"/>
  </r>
  <r>
    <s v="RCF Trombay"/>
    <s v="15-15-15"/>
    <s v="WB"/>
    <x v="9"/>
    <s v="Kaliaganj"/>
    <s v="User Not Mapped"/>
    <s v="User Not Mapped"/>
    <s v="User Not Mapped"/>
    <n v="233517"/>
    <s v="Buddhadeb Sarkar"/>
    <s v="Private Retailer"/>
    <s v="8918680541"/>
    <n v="7.65"/>
    <n v="119"/>
    <x v="7"/>
    <m/>
    <s v="2025-12-22"/>
    <s v="281226"/>
    <s v="Subuj Supply"/>
    <s v="7001971187"/>
  </r>
  <r>
    <s v="RCF Trombay"/>
    <s v="15-15-15"/>
    <s v="WB"/>
    <x v="9"/>
    <s v="Kaliaganj"/>
    <s v="User Not Mapped"/>
    <s v="User Not Mapped"/>
    <s v="User Not Mapped"/>
    <n v="586722"/>
    <s v="JITENDRA NATH SARKAR"/>
    <s v="Private Retailer"/>
    <s v="7001533548"/>
    <n v="2"/>
    <n v="119"/>
    <x v="7"/>
    <m/>
    <s v="2025-12-22"/>
    <s v="281226"/>
    <s v="Subuj Supply"/>
    <s v="7001971187"/>
  </r>
  <r>
    <s v="RCF Trombay"/>
    <s v="15-15-15"/>
    <s v="WB"/>
    <x v="9"/>
    <s v="Hemtabad"/>
    <s v="User Not Mapped"/>
    <s v="User Not Mapped"/>
    <s v="User Not Mapped"/>
    <n v="341688"/>
    <s v="Krishi Biplab Sahayak"/>
    <s v="Private Retailer"/>
    <s v="8436049314"/>
    <n v="1.85"/>
    <n v="1214"/>
    <x v="2"/>
    <m/>
    <s v="2022-12-23"/>
    <s v="281226"/>
    <s v="Subuj Supply"/>
    <s v="7001971187"/>
  </r>
  <r>
    <s v="RCF Trombay"/>
    <s v="15-15-15"/>
    <s v="WB"/>
    <x v="9"/>
    <s v="Kaliaganj"/>
    <s v="User Not Mapped"/>
    <s v="User Not Mapped"/>
    <s v="User Not Mapped"/>
    <n v="519294"/>
    <s v="M/S Anupam Sarkar"/>
    <s v="Private Retailer"/>
    <s v="9593893978"/>
    <n v="0.4"/>
    <n v="1298"/>
    <x v="2"/>
    <m/>
    <s v="2022-09-30"/>
    <s v="281226"/>
    <s v="Subuj Supply"/>
    <s v="7001971187"/>
  </r>
  <r>
    <s v="RCF Thal"/>
    <s v="N.C.Urea(45kg)"/>
    <s v="WB"/>
    <x v="9"/>
    <s v="Hemtabad"/>
    <s v="User Not Mapped"/>
    <s v="User Not Mapped"/>
    <s v="User Not Mapped"/>
    <n v="586734"/>
    <s v="M/S KARTIK CHANDRA BARMAN"/>
    <s v="Private Retailer"/>
    <s v="8159920683"/>
    <n v="4.5250000000000004"/>
    <n v="492"/>
    <x v="0"/>
    <m/>
    <s v="2024-12-14"/>
    <s v="281226"/>
    <s v="Subuj Supply"/>
    <s v="7001971187"/>
  </r>
  <r>
    <s v="RCF Trombay"/>
    <s v="15-15-15"/>
    <s v="WB"/>
    <x v="9"/>
    <s v="Raiganj"/>
    <s v="User Not Mapped"/>
    <s v="User Not Mapped"/>
    <s v="User Not Mapped"/>
    <n v="1505107"/>
    <s v="M/S LOKNATH KRISHI BHANDAR"/>
    <s v="Private Retailer"/>
    <s v="8617385804"/>
    <n v="0.15"/>
    <n v="158"/>
    <x v="4"/>
    <m/>
    <s v="2025-11-13"/>
    <s v="281226"/>
    <s v="Subuj Supply"/>
    <s v="7001971187"/>
  </r>
  <r>
    <s v="RCF Trombay"/>
    <s v="15-15-15"/>
    <s v="WB"/>
    <x v="9"/>
    <s v="Kaliaganj"/>
    <s v="User Not Mapped"/>
    <s v="User Not Mapped"/>
    <s v="User Not Mapped"/>
    <n v="662605"/>
    <s v="M/S NAJBUL HOQUE"/>
    <s v="Private Retailer"/>
    <s v="9733187362"/>
    <n v="3.85"/>
    <n v="126"/>
    <x v="4"/>
    <m/>
    <s v="2025-12-15"/>
    <s v="281226"/>
    <s v="Subuj Supply"/>
    <s v="7001971187"/>
  </r>
  <r>
    <s v="RCF Trombay"/>
    <s v="15-15-15"/>
    <s v="WB"/>
    <x v="9"/>
    <s v="Kaliaganj"/>
    <s v="User Not Mapped"/>
    <s v="User Not Mapped"/>
    <s v="User Not Mapped"/>
    <n v="768134"/>
    <s v="M/S. BISWADEB SARKAR"/>
    <s v="Private Retailer"/>
    <s v="8348265865"/>
    <n v="5.5"/>
    <n v="119"/>
    <x v="7"/>
    <m/>
    <s v="2025-12-22"/>
    <s v="281226"/>
    <s v="Subuj Supply"/>
    <s v="7001971187"/>
  </r>
  <r>
    <s v="RCF Trombay"/>
    <s v="15-15-15"/>
    <s v="WB"/>
    <x v="9"/>
    <m/>
    <s v="User Not Mapped"/>
    <s v="User Not Mapped"/>
    <s v="User Not Mapped"/>
    <n v="355894"/>
    <s v="Parimaldam"/>
    <s v="Private Retailer"/>
    <s v="7501157923"/>
    <n v="2"/>
    <n v="126"/>
    <x v="4"/>
    <m/>
    <s v="2025-12-15"/>
    <s v="281226"/>
    <s v="Subuj Supply"/>
    <s v="7001971187"/>
  </r>
  <r>
    <s v="RCF Trombay"/>
    <s v="15-15-15"/>
    <s v="WB"/>
    <x v="9"/>
    <s v="Kaliaganj"/>
    <s v="User Not Mapped"/>
    <s v="User Not Mapped"/>
    <s v="User Not Mapped"/>
    <n v="342461"/>
    <s v="Shiva Roy"/>
    <s v="Private Retailer"/>
    <s v="9064138334"/>
    <n v="3.25"/>
    <n v="119"/>
    <x v="7"/>
    <m/>
    <s v="2025-12-22"/>
    <s v="281226"/>
    <s v="Subuj Supply"/>
    <s v="7001971187"/>
  </r>
  <r>
    <s v="RCF Trombay"/>
    <s v="15-15-15"/>
    <s v="WB"/>
    <x v="9"/>
    <s v="Hemtabad"/>
    <s v="User Not Mapped"/>
    <s v="User Not Mapped"/>
    <s v="User Not Mapped"/>
    <n v="737048"/>
    <s v="SUHANA KRISHI BHANDAR"/>
    <s v="Private Retailer"/>
    <s v="8918155288"/>
    <n v="2.95"/>
    <n v="158"/>
    <x v="4"/>
    <m/>
    <s v="2025-11-13"/>
    <s v="281226"/>
    <s v="Subuj Supply"/>
    <s v="7001971187"/>
  </r>
  <r>
    <s v="RCF Trombay"/>
    <s v="15-15-15"/>
    <s v="WB"/>
    <x v="9"/>
    <s v="Hemtabad"/>
    <s v="User Not Mapped"/>
    <s v="User Not Mapped"/>
    <s v="User Not Mapped"/>
    <n v="1502174"/>
    <s v="SUNRISE KRISHI BHANDAR"/>
    <s v="Private Retailer"/>
    <s v="9563971955"/>
    <n v="1.55"/>
    <n v="275"/>
    <x v="1"/>
    <m/>
    <s v="2025-07-19"/>
    <s v="281226"/>
    <s v="Subuj Supply"/>
    <s v="7001971187"/>
  </r>
  <r>
    <s v="RCF Trombay"/>
    <s v="15-15-15"/>
    <s v="WB"/>
    <x v="9"/>
    <s v="Hemtabad"/>
    <s v="User Not Mapped"/>
    <s v="User Not Mapped"/>
    <s v="User Not Mapped"/>
    <n v="730993"/>
    <s v="TAJMUL ALI"/>
    <s v="Private Retailer"/>
    <s v="9064084883"/>
    <n v="1.55"/>
    <n v="126"/>
    <x v="4"/>
    <m/>
    <s v="2025-12-15"/>
    <s v="281226"/>
    <s v="Subuj Supply"/>
    <s v="7001971187"/>
  </r>
  <r>
    <s v="RCF Import"/>
    <s v="MOP"/>
    <s v="WB"/>
    <x v="9"/>
    <s v="Itahar"/>
    <s v="User Not Mapped"/>
    <s v="User Not Mapped"/>
    <s v="User Not Mapped"/>
    <n v="1519103"/>
    <s v="SAHADAT FERTILIZER"/>
    <s v="Private Retailer"/>
    <s v="6294925165"/>
    <n v="0.15"/>
    <n v="349"/>
    <x v="1"/>
    <m/>
    <s v="2025-05-06"/>
    <s v="1138640"/>
    <s v="SUNIL CHANDRA BISWAS"/>
    <s v="8759855029"/>
  </r>
  <r>
    <s v="RCF Trombay"/>
    <s v="N.C.Urea(45kg)"/>
    <s v="WB"/>
    <x v="9"/>
    <s v="Itahar"/>
    <s v="User Not Mapped"/>
    <s v="User Not Mapped"/>
    <s v="User Not Mapped"/>
    <n v="916450"/>
    <s v="ABDUL KADER"/>
    <s v="Private Retailer"/>
    <s v="9775448205"/>
    <n v="0.09"/>
    <n v="1269"/>
    <x v="2"/>
    <m/>
    <s v="2022-10-29"/>
    <s v="1086016"/>
    <s v="T. HOSSAIN &amp; SONS"/>
    <s v="9242592770"/>
  </r>
  <r>
    <s v="RCF Trombay"/>
    <s v="15-15-15"/>
    <s v="WB"/>
    <x v="9"/>
    <s v="Itahar"/>
    <s v="User Not Mapped"/>
    <s v="User Not Mapped"/>
    <s v="User Not Mapped"/>
    <n v="916450"/>
    <s v="ABDUL KADER"/>
    <s v="Private Retailer"/>
    <s v="9775448205"/>
    <n v="0.54800000000000004"/>
    <n v="1124"/>
    <x v="2"/>
    <m/>
    <s v="2023-03-23"/>
    <s v="1086016"/>
    <s v="T. HOSSAIN &amp; SONS"/>
    <s v="9242592770"/>
  </r>
  <r>
    <s v="RCF Trombay"/>
    <s v="15-15-15"/>
    <s v="WB"/>
    <x v="9"/>
    <s v="Itahar"/>
    <s v="User Not Mapped"/>
    <s v="User Not Mapped"/>
    <s v="User Not Mapped"/>
    <n v="915285"/>
    <s v="ABUL KALAM AJAD"/>
    <s v="Private Retailer"/>
    <s v="8759242450"/>
    <n v="0.25"/>
    <n v="128"/>
    <x v="4"/>
    <m/>
    <s v="2025-12-13"/>
    <s v="1086016"/>
    <s v="T. HOSSAIN &amp; SONS"/>
    <s v="9242592770"/>
  </r>
  <r>
    <s v="RCF Trombay"/>
    <s v="15-15-15"/>
    <s v="WB"/>
    <x v="9"/>
    <s v="Itahar"/>
    <s v="User Not Mapped"/>
    <s v="User Not Mapped"/>
    <s v="User Not Mapped"/>
    <n v="1029814"/>
    <s v="AKTAR SHAR BHANDER"/>
    <s v="Private Retailer"/>
    <s v="8617032356"/>
    <n v="0.5"/>
    <n v="171"/>
    <x v="4"/>
    <m/>
    <s v="2025-10-31"/>
    <s v="1086016"/>
    <s v="T. HOSSAIN &amp; SONS"/>
    <s v="9242592770"/>
  </r>
  <r>
    <s v="RCF Trombay"/>
    <s v="15-15-15"/>
    <s v="WB"/>
    <x v="9"/>
    <s v="Itahar"/>
    <s v="User Not Mapped"/>
    <s v="User Not Mapped"/>
    <s v="User Not Mapped"/>
    <n v="633232"/>
    <s v="AMINUL ISLAM"/>
    <s v="Private Retailer"/>
    <s v="9851422972"/>
    <n v="2"/>
    <n v="170"/>
    <x v="4"/>
    <m/>
    <s v="2025-11-01"/>
    <s v="1086016"/>
    <s v="T. HOSSAIN &amp; SONS"/>
    <s v="9242592770"/>
  </r>
  <r>
    <s v="RCF Trombay"/>
    <s v="15-15-15"/>
    <s v="WB"/>
    <x v="9"/>
    <s v="Itahar"/>
    <s v="User Not Mapped"/>
    <s v="User Not Mapped"/>
    <s v="User Not Mapped"/>
    <n v="633238"/>
    <s v="ASGAR ALI"/>
    <s v="Private Retailer"/>
    <s v="9932478466"/>
    <n v="1"/>
    <n v="6"/>
    <x v="5"/>
    <m/>
    <s v="2026-04-14"/>
    <s v="1086016"/>
    <s v="T. HOSSAIN &amp; SONS"/>
    <s v="9242592770"/>
  </r>
  <r>
    <s v="RCF Trombay"/>
    <s v="15-15-15"/>
    <s v="WB"/>
    <x v="9"/>
    <s v="Itahar"/>
    <s v="User Not Mapped"/>
    <s v="User Not Mapped"/>
    <s v="User Not Mapped"/>
    <n v="633238"/>
    <s v="ASGAR ALI"/>
    <s v="Private Retailer"/>
    <s v="9932478466"/>
    <n v="2"/>
    <n v="158"/>
    <x v="4"/>
    <m/>
    <s v="2025-11-13"/>
    <s v="1086016"/>
    <s v="T. HOSSAIN &amp; SONS"/>
    <s v="9242592770"/>
  </r>
  <r>
    <s v="RCF Trombay"/>
    <s v="15-15-15"/>
    <s v="WB"/>
    <x v="9"/>
    <s v="Itahar"/>
    <s v="User Not Mapped"/>
    <s v="User Not Mapped"/>
    <s v="User Not Mapped"/>
    <n v="633238"/>
    <s v="ASGAR ALI"/>
    <s v="Private Retailer"/>
    <s v="9932478466"/>
    <n v="0.45"/>
    <n v="263"/>
    <x v="1"/>
    <m/>
    <s v="2025-07-31"/>
    <s v="1086016"/>
    <s v="T. HOSSAIN &amp; SONS"/>
    <s v="9242592770"/>
  </r>
  <r>
    <s v="RCF Trombay"/>
    <s v="15-15-15"/>
    <s v="WB"/>
    <x v="9"/>
    <s v="Itahar"/>
    <s v="User Not Mapped"/>
    <s v="User Not Mapped"/>
    <s v="User Not Mapped"/>
    <n v="633238"/>
    <s v="ASGAR ALI"/>
    <s v="Private Retailer"/>
    <s v="9932478466"/>
    <n v="2"/>
    <n v="168"/>
    <x v="4"/>
    <m/>
    <s v="2025-11-03"/>
    <s v="1086016"/>
    <s v="T. HOSSAIN &amp; SONS"/>
    <s v="9242592770"/>
  </r>
  <r>
    <s v="RCF Trombay"/>
    <s v="15-15-15"/>
    <s v="WB"/>
    <x v="9"/>
    <s v="Itahar"/>
    <s v="User Not Mapped"/>
    <s v="User Not Mapped"/>
    <s v="User Not Mapped"/>
    <n v="900915"/>
    <s v="IMRAN HOSSAIN"/>
    <s v="Private Retailer"/>
    <s v="9933754862"/>
    <n v="2"/>
    <n v="79"/>
    <x v="6"/>
    <m/>
    <s v="2026-01-31"/>
    <s v="1086016"/>
    <s v="T. HOSSAIN &amp; SONS"/>
    <s v="9242592770"/>
  </r>
  <r>
    <s v="RCF Trombay"/>
    <s v="15-15-15"/>
    <s v="WB"/>
    <x v="9"/>
    <s v="Itahar"/>
    <s v="User Not Mapped"/>
    <s v="User Not Mapped"/>
    <s v="User Not Mapped"/>
    <n v="1029772"/>
    <s v="IMRUL KAYESH"/>
    <s v="Private Retailer"/>
    <s v="7864068977"/>
    <n v="0.2"/>
    <n v="498"/>
    <x v="0"/>
    <m/>
    <s v="2024-12-08"/>
    <s v="1086016"/>
    <s v="T. HOSSAIN &amp; SONS"/>
    <s v="9242592770"/>
  </r>
  <r>
    <s v="RCF Trombay"/>
    <s v="15-15-15"/>
    <s v="WB"/>
    <x v="9"/>
    <s v="Itahar"/>
    <s v="User Not Mapped"/>
    <s v="User Not Mapped"/>
    <s v="User Not Mapped"/>
    <n v="233537"/>
    <s v="ISMAIL HOQUE"/>
    <s v="Private Retailer"/>
    <s v="9474099134"/>
    <n v="3.25"/>
    <n v="5"/>
    <x v="5"/>
    <m/>
    <s v="2026-04-15"/>
    <s v="1086016"/>
    <s v="T. HOSSAIN &amp; SONS"/>
    <s v="9242592770"/>
  </r>
  <r>
    <s v="RCF Trombay"/>
    <s v="15-15-15"/>
    <s v="WB"/>
    <x v="9"/>
    <s v="Raiganj"/>
    <s v="User Not Mapped"/>
    <s v="User Not Mapped"/>
    <s v="User Not Mapped"/>
    <n v="1265559"/>
    <s v="M/S BASAK AND SONS"/>
    <s v="Private Wholsaler"/>
    <s v="9434458269"/>
    <n v="15"/>
    <n v="25"/>
    <x v="5"/>
    <s v="'MAR09A'"/>
    <s v="2026-03-26"/>
    <s v="1086016"/>
    <s v="T. HOSSAIN &amp; SONS"/>
    <s v="9242592770"/>
  </r>
  <r>
    <s v="RCF Trombay"/>
    <s v="15-15-15"/>
    <s v="WB"/>
    <x v="9"/>
    <s v="Itahar"/>
    <s v="User Not Mapped"/>
    <s v="User Not Mapped"/>
    <s v="User Not Mapped"/>
    <n v="640071"/>
    <s v="M/S FAJILUDDIN AHAMMAD"/>
    <s v="Private Retailer"/>
    <s v="7797841011"/>
    <n v="1.5"/>
    <n v="60"/>
    <x v="3"/>
    <m/>
    <s v="2026-02-19"/>
    <s v="1086016"/>
    <s v="T. HOSSAIN &amp; SONS"/>
    <s v="9242592770"/>
  </r>
  <r>
    <s v="RCF Trombay"/>
    <s v="15-15-15"/>
    <s v="WB"/>
    <x v="9"/>
    <s v="Itahar"/>
    <s v="User Not Mapped"/>
    <s v="User Not Mapped"/>
    <s v="User Not Mapped"/>
    <n v="932909"/>
    <s v="M/S MITHUN MANDAL"/>
    <s v="Private Retailer"/>
    <s v="7029016359"/>
    <n v="15"/>
    <n v="54"/>
    <x v="3"/>
    <m/>
    <s v="2026-02-25"/>
    <s v="1086016"/>
    <s v="T. HOSSAIN &amp; SONS"/>
    <s v="9242592770"/>
  </r>
  <r>
    <s v="RCF Trombay"/>
    <s v="15-15-15"/>
    <s v="WB"/>
    <x v="9"/>
    <s v="Itahar"/>
    <s v="User Not Mapped"/>
    <s v="User Not Mapped"/>
    <s v="User Not Mapped"/>
    <n v="768078"/>
    <s v="M/S. CHANDAN KR DEBNATH"/>
    <s v="Private Retailer"/>
    <s v="9851443208"/>
    <n v="0.5"/>
    <n v="37"/>
    <x v="3"/>
    <m/>
    <s v="2026-03-14"/>
    <s v="1086016"/>
    <s v="T. HOSSAIN &amp; SONS"/>
    <s v="9242592770"/>
  </r>
  <r>
    <s v="RCF Trombay"/>
    <s v="15-15-15"/>
    <s v="WB"/>
    <x v="9"/>
    <s v="Raiganj"/>
    <s v="User Not Mapped"/>
    <s v="User Not Mapped"/>
    <s v="User Not Mapped"/>
    <n v="768080"/>
    <s v="M/S. MADHAB CH SARKAR"/>
    <s v="Private Retailer"/>
    <s v="6294896852"/>
    <n v="0.7"/>
    <n v="37"/>
    <x v="3"/>
    <m/>
    <s v="2026-03-14"/>
    <s v="1086016"/>
    <s v="T. HOSSAIN &amp; SONS"/>
    <s v="9242592770"/>
  </r>
  <r>
    <s v="RCF Trombay"/>
    <s v="15-15-15"/>
    <s v="WB"/>
    <x v="9"/>
    <s v="Itahar"/>
    <s v="User Not Mapped"/>
    <s v="User Not Mapped"/>
    <s v="User Not Mapped"/>
    <n v="905790"/>
    <s v="MASUD ALI"/>
    <s v="Private Retailer"/>
    <s v="9851248196"/>
    <n v="1"/>
    <n v="170"/>
    <x v="4"/>
    <m/>
    <s v="2025-11-01"/>
    <s v="1086016"/>
    <s v="T. HOSSAIN &amp; SONS"/>
    <s v="9242592770"/>
  </r>
  <r>
    <s v="RCF Trombay"/>
    <s v="15-15-15"/>
    <s v="WB"/>
    <x v="9"/>
    <s v="Itahar"/>
    <s v="User Not Mapped"/>
    <s v="User Not Mapped"/>
    <s v="User Not Mapped"/>
    <n v="640009"/>
    <s v="MINTU CHANDRA DAS"/>
    <s v="Private Retailer"/>
    <s v="9547423157"/>
    <n v="1"/>
    <n v="5"/>
    <x v="5"/>
    <m/>
    <s v="2026-04-15"/>
    <s v="1086016"/>
    <s v="T. HOSSAIN &amp; SONS"/>
    <s v="9242592770"/>
  </r>
  <r>
    <s v="RCF Trombay"/>
    <s v="15-15-15"/>
    <s v="WB"/>
    <x v="9"/>
    <s v="Itahar"/>
    <s v="User Not Mapped"/>
    <s v="User Not Mapped"/>
    <s v="User Not Mapped"/>
    <n v="895736"/>
    <s v="PRADIP ROY"/>
    <s v="Private Retailer"/>
    <s v="8116934423"/>
    <n v="2.5"/>
    <n v="5"/>
    <x v="5"/>
    <m/>
    <s v="2026-04-15"/>
    <s v="1086016"/>
    <s v="T. HOSSAIN &amp; SONS"/>
    <s v="9242592770"/>
  </r>
  <r>
    <s v="RCF Trombay"/>
    <s v="15-15-15"/>
    <s v="WB"/>
    <x v="9"/>
    <s v="Itahar"/>
    <s v="User Not Mapped"/>
    <s v="User Not Mapped"/>
    <s v="User Not Mapped"/>
    <n v="905786"/>
    <s v="SAMSUL HOQUE"/>
    <s v="Private Retailer"/>
    <s v="8967962796"/>
    <n v="1"/>
    <n v="170"/>
    <x v="4"/>
    <m/>
    <s v="2025-11-01"/>
    <s v="1086016"/>
    <s v="T. HOSSAIN &amp; SONS"/>
    <s v="9242592770"/>
  </r>
  <r>
    <s v="RCF Thal"/>
    <s v="N.C.Urea(45kg)"/>
    <s v="WB"/>
    <x v="9"/>
    <s v="Itahar"/>
    <s v="User Not Mapped"/>
    <s v="User Not Mapped"/>
    <s v="User Not Mapped"/>
    <n v="905786"/>
    <s v="SAMSUL HOQUE"/>
    <s v="Private Retailer"/>
    <s v="8967962796"/>
    <n v="3.5000000000000003E-2"/>
    <n v="1335"/>
    <x v="2"/>
    <m/>
    <s v="2022-08-24"/>
    <s v="1086016"/>
    <s v="T. HOSSAIN &amp; SONS"/>
    <s v="9242592770"/>
  </r>
  <r>
    <s v="RCF Trombay"/>
    <s v="15-15-15"/>
    <s v="WB"/>
    <x v="9"/>
    <m/>
    <s v="User Not Mapped"/>
    <s v="User Not Mapped"/>
    <s v="User Not Mapped"/>
    <n v="1029786"/>
    <s v="AJIMUDDIN AHAMMAD"/>
    <s v="Private Retailer"/>
    <s v="9775280542"/>
    <n v="0.09"/>
    <n v="2666"/>
    <x v="2"/>
    <m/>
    <s v="2019-01-01"/>
    <s v="11"/>
    <s v="Too Old Stock"/>
    <m/>
  </r>
  <r>
    <s v="RCF Thal"/>
    <s v="N.C.Urea(45kg)"/>
    <s v="WB"/>
    <x v="9"/>
    <m/>
    <s v="User Not Mapped"/>
    <s v="User Not Mapped"/>
    <s v="User Not Mapped"/>
    <n v="1057337"/>
    <s v="GARIB NAWAZ FERTILIZER"/>
    <s v="Private Retailer"/>
    <s v="8967971380"/>
    <n v="4.5"/>
    <n v="2666"/>
    <x v="2"/>
    <m/>
    <s v="2019-01-01"/>
    <s v="11"/>
    <s v="Too Old Stock"/>
    <m/>
  </r>
  <r>
    <s v="RCF Trombay"/>
    <s v="15-15-15"/>
    <s v="WB"/>
    <x v="9"/>
    <s v="Itahar"/>
    <s v="User Not Mapped"/>
    <s v="User Not Mapped"/>
    <s v="User Not Mapped"/>
    <n v="915442"/>
    <s v="M/S NEPAL CHANDRA ROY"/>
    <s v="Private Retailer"/>
    <s v="8759803614"/>
    <n v="0.15"/>
    <n v="2666"/>
    <x v="2"/>
    <m/>
    <s v="2019-01-01"/>
    <s v="11"/>
    <s v="Too Old Stock"/>
    <m/>
  </r>
  <r>
    <s v="RCF Thal"/>
    <s v="N.C.Urea(45kg)"/>
    <s v="WB"/>
    <x v="9"/>
    <m/>
    <s v="User Not Mapped"/>
    <s v="User Not Mapped"/>
    <s v="User Not Mapped"/>
    <n v="1029810"/>
    <s v="NANDALAL BARMAN"/>
    <s v="Private Retailer"/>
    <s v="9733063212"/>
    <n v="4.4999999999999998E-2"/>
    <n v="2666"/>
    <x v="2"/>
    <m/>
    <s v="2019-01-01"/>
    <s v="11"/>
    <s v="Too Old Stock"/>
    <m/>
  </r>
  <r>
    <s v="RCF Trombay"/>
    <s v="15-15-15"/>
    <s v="WB"/>
    <x v="9"/>
    <m/>
    <s v="User Not Mapped"/>
    <s v="User Not Mapped"/>
    <s v="User Not Mapped"/>
    <n v="737134"/>
    <s v="SALIM ALI"/>
    <s v="Private Retailer"/>
    <s v="7557016573"/>
    <n v="1.86"/>
    <n v="2666"/>
    <x v="2"/>
    <m/>
    <s v="2019-01-01"/>
    <s v="11"/>
    <s v="Too Old Stock"/>
    <m/>
  </r>
  <r>
    <s v="RCF Trombay"/>
    <s v="15-15-15"/>
    <s v="WB"/>
    <x v="9"/>
    <s v="Islampur"/>
    <s v="User Not Mapped"/>
    <s v="User Not Mapped"/>
    <s v="User Not Mapped"/>
    <n v="1071594"/>
    <s v="BIJON BANERJEE"/>
    <s v="Private Wholsaler"/>
    <s v="9609455194"/>
    <n v="1"/>
    <n v="37"/>
    <x v="3"/>
    <s v="'UD/25-26/00065'"/>
    <s v="2026-03-14"/>
    <s v="263382"/>
    <s v="Tushar Kanti Agarwala"/>
    <s v="8597190846"/>
  </r>
  <r>
    <s v="RCF Trombay"/>
    <s v="15-15-15"/>
    <s v="WB"/>
    <x v="9"/>
    <s v="Itahar"/>
    <s v="User Not Mapped"/>
    <s v="User Not Mapped"/>
    <s v="User Not Mapped"/>
    <n v="1086016"/>
    <s v="T. HOSSAIN &amp; SONS"/>
    <s v="Private Wholsaler"/>
    <s v="9242592770"/>
    <n v="0.5"/>
    <n v="44"/>
    <x v="3"/>
    <s v="'VAC/25-26/1377'"/>
    <s v="2026-03-07"/>
    <s v="214204"/>
    <s v="Vikas Agrochemicals"/>
    <s v="9474382706"/>
  </r>
  <r>
    <s v="RCF Trombay"/>
    <s v="15-15-15"/>
    <s v="WB"/>
    <x v="9"/>
    <s v="Itahar"/>
    <s v="User Not Mapped"/>
    <s v="User Not Mapped"/>
    <s v="User Not Mapped"/>
    <n v="1086016"/>
    <s v="T. HOSSAIN &amp; SONS"/>
    <s v="Private Wholsaler"/>
    <s v="9242592770"/>
    <n v="25"/>
    <n v="44"/>
    <x v="3"/>
    <s v="'VAC/25-26/1378'"/>
    <s v="2026-03-07"/>
    <s v="214204"/>
    <s v="Vikas Agrochemicals"/>
    <s v="9474382706"/>
  </r>
  <r>
    <s v="RCF Thal"/>
    <s v="N.C.Urea(45kg)"/>
    <s v="WB"/>
    <x v="10"/>
    <s v="Polba - Dadpur"/>
    <s v="User Not Mapped"/>
    <s v="User Not Mapped"/>
    <s v="User Not Mapped"/>
    <n v="858786"/>
    <s v="BISWAJIT PAL"/>
    <s v="Private Retailer"/>
    <s v="7872560091"/>
    <n v="11.385"/>
    <n v="223"/>
    <x v="1"/>
    <m/>
    <s v="2025-09-09"/>
    <s v="845555"/>
    <s v="BISWAJIT PAL"/>
    <s v="7872560091"/>
  </r>
  <r>
    <s v="RCF Import"/>
    <s v="Imp 10-26-26"/>
    <s v="WB"/>
    <x v="10"/>
    <s v="Balagarh"/>
    <s v="User Not Mapped"/>
    <s v="User Not Mapped"/>
    <s v="User Not Mapped"/>
    <n v="671781"/>
    <s v="M/S Dibakar Sarkar"/>
    <s v="Private Retailer"/>
    <s v="9875347407"/>
    <n v="7.2"/>
    <n v="108"/>
    <x v="7"/>
    <m/>
    <s v="2026-01-02"/>
    <s v="260249"/>
    <s v="Debi Prasad Mondal"/>
    <s v="9153032645"/>
  </r>
  <r>
    <s v="RCF Trombay"/>
    <s v="N.C.Urea(45kg)"/>
    <s v="WB"/>
    <x v="10"/>
    <s v="Balagarh"/>
    <s v="User Not Mapped"/>
    <s v="User Not Mapped"/>
    <s v="User Not Mapped"/>
    <n v="671781"/>
    <s v="M/S Dibakar Sarkar"/>
    <s v="Private Retailer"/>
    <s v="9875347407"/>
    <n v="8.91"/>
    <n v="347"/>
    <x v="1"/>
    <m/>
    <s v="2025-05-08"/>
    <s v="260249"/>
    <s v="Debi Prasad Mondal"/>
    <s v="9153032645"/>
  </r>
  <r>
    <s v="RCF Trombay"/>
    <s v="15-15-15"/>
    <s v="WB"/>
    <x v="10"/>
    <s v="Balagarh"/>
    <s v="User Not Mapped"/>
    <s v="User Not Mapped"/>
    <s v="User Not Mapped"/>
    <n v="671781"/>
    <s v="M/S Dibakar Sarkar"/>
    <s v="Private Retailer"/>
    <s v="9875347407"/>
    <n v="79.3"/>
    <n v="81"/>
    <x v="6"/>
    <m/>
    <s v="2026-01-29"/>
    <s v="260249"/>
    <s v="Debi Prasad Mondal"/>
    <s v="9153032645"/>
  </r>
  <r>
    <s v="RCF Import"/>
    <s v="MOP"/>
    <s v="WB"/>
    <x v="10"/>
    <s v="Balagarh"/>
    <s v="User Not Mapped"/>
    <s v="User Not Mapped"/>
    <s v="User Not Mapped"/>
    <n v="671781"/>
    <s v="M/S Dibakar Sarkar"/>
    <s v="Private Retailer"/>
    <s v="9875347407"/>
    <n v="1.25"/>
    <n v="336"/>
    <x v="1"/>
    <m/>
    <s v="2025-05-19"/>
    <s v="260249"/>
    <s v="Debi Prasad Mondal"/>
    <s v="9153032645"/>
  </r>
  <r>
    <s v="RCF Trombay"/>
    <s v="15-15-15"/>
    <s v="WB"/>
    <x v="10"/>
    <m/>
    <s v="User Not Mapped"/>
    <s v="User Not Mapped"/>
    <s v="User Not Mapped"/>
    <n v="609092"/>
    <s v="BISWANATH DEY"/>
    <s v="Private Retailer"/>
    <s v="9733912741"/>
    <n v="5.8"/>
    <n v="1902"/>
    <x v="2"/>
    <m/>
    <s v="2021-02-03"/>
    <s v="294837"/>
    <s v="Dharma Das Roy"/>
    <s v="9474172444"/>
  </r>
  <r>
    <s v="RCF Trombay"/>
    <s v="N.C.Urea(45kg)"/>
    <s v="WB"/>
    <x v="10"/>
    <m/>
    <s v="User Not Mapped"/>
    <s v="User Not Mapped"/>
    <s v="User Not Mapped"/>
    <n v="609092"/>
    <s v="BISWANATH DEY"/>
    <s v="Private Retailer"/>
    <s v="9733912741"/>
    <n v="17.774999999999999"/>
    <n v="1911"/>
    <x v="2"/>
    <m/>
    <s v="2021-01-25"/>
    <s v="294837"/>
    <s v="Dharma Das Roy"/>
    <s v="9474172444"/>
  </r>
  <r>
    <s v="RCF Thal"/>
    <s v="N.C.Urea(45kg)"/>
    <s v="WB"/>
    <x v="10"/>
    <m/>
    <s v="User Not Mapped"/>
    <s v="User Not Mapped"/>
    <s v="User Not Mapped"/>
    <n v="1027256"/>
    <s v="RANAJIT DE"/>
    <s v="Private Retailer"/>
    <s v="9734457754"/>
    <n v="3.24"/>
    <n v="2336"/>
    <x v="2"/>
    <m/>
    <s v="2019-11-27"/>
    <s v="294837"/>
    <s v="Dharma Das Roy"/>
    <s v="9474172444"/>
  </r>
  <r>
    <s v="RCF Trombay"/>
    <s v="N.C.Urea(45kg)"/>
    <s v="WB"/>
    <x v="10"/>
    <m/>
    <s v="User Not Mapped"/>
    <s v="User Not Mapped"/>
    <s v="User Not Mapped"/>
    <n v="1027256"/>
    <s v="RANAJIT DE"/>
    <s v="Private Retailer"/>
    <s v="9734457754"/>
    <n v="0.495"/>
    <n v="2649"/>
    <x v="2"/>
    <m/>
    <s v="2019-01-18"/>
    <s v="294837"/>
    <s v="Dharma Das Roy"/>
    <s v="9474172444"/>
  </r>
  <r>
    <s v="RCF Thal"/>
    <s v="N.C.Urea(45kg)"/>
    <s v="WB"/>
    <x v="10"/>
    <m/>
    <s v="User Not Mapped"/>
    <s v="User Not Mapped"/>
    <s v="User Not Mapped"/>
    <n v="475855"/>
    <s v="Urbara Traders"/>
    <s v="Private Retailer"/>
    <s v="8900457437"/>
    <n v="0.06"/>
    <n v="2132"/>
    <x v="2"/>
    <m/>
    <s v="2020-06-18"/>
    <s v="294837"/>
    <s v="Dharma Das Roy"/>
    <s v="9474172444"/>
  </r>
  <r>
    <s v="RCF Trombay"/>
    <s v="N.C.Urea(45kg)"/>
    <s v="WB"/>
    <x v="10"/>
    <m/>
    <s v="User Not Mapped"/>
    <s v="User Not Mapped"/>
    <s v="User Not Mapped"/>
    <n v="475855"/>
    <s v="Urbara Traders"/>
    <s v="Private Retailer"/>
    <s v="8900457437"/>
    <n v="0.19"/>
    <n v="2132"/>
    <x v="2"/>
    <m/>
    <s v="2020-06-18"/>
    <s v="294837"/>
    <s v="Dharma Das Roy"/>
    <s v="9474172444"/>
  </r>
  <r>
    <s v="RCF Import"/>
    <s v="Imp 10-26-26"/>
    <s v="WB"/>
    <x v="10"/>
    <s v="Pandua"/>
    <s v="User Not Mapped"/>
    <s v="User Not Mapped"/>
    <s v="User Not Mapped"/>
    <n v="1030275"/>
    <s v="soumen chattopadhaya"/>
    <s v="Private Retailer"/>
    <s v="9732286894"/>
    <n v="0.56999999999999995"/>
    <n v="126"/>
    <x v="4"/>
    <m/>
    <s v="2025-12-15"/>
    <s v="1095867"/>
    <s v="DINABANDHU MONDAL"/>
    <s v="8670226902"/>
  </r>
  <r>
    <s v="RCF Thal"/>
    <s v="N.C.Urea(45kg)"/>
    <s v="WB"/>
    <x v="10"/>
    <s v="Pandua"/>
    <s v="User Not Mapped"/>
    <s v="User Not Mapped"/>
    <s v="User Not Mapped"/>
    <n v="463233"/>
    <s v="Tapas Kumar Banerjee"/>
    <s v="Private Retailer"/>
    <s v="8670139347"/>
    <n v="2.61"/>
    <n v="137"/>
    <x v="4"/>
    <m/>
    <s v="2025-12-04"/>
    <s v="1095867"/>
    <s v="DINABANDHU MONDAL"/>
    <s v="8670226902"/>
  </r>
  <r>
    <s v="RCF Import"/>
    <s v="Imp 10-26-26"/>
    <s v="WB"/>
    <x v="10"/>
    <s v="Khanakul - I"/>
    <s v="User Not Mapped"/>
    <s v="User Not Mapped"/>
    <s v="User Not Mapped"/>
    <n v="237250"/>
    <s v="Chabbispur Skus Ltd"/>
    <s v="PACS"/>
    <s v="9734255607"/>
    <n v="4.7"/>
    <n v="500"/>
    <x v="0"/>
    <m/>
    <s v="2024-12-06"/>
    <s v="269264"/>
    <s v="Goghat Thana L/S PCAMS Ltd "/>
    <s v="9563200492"/>
  </r>
  <r>
    <s v="RCF Import"/>
    <s v="Imp 10-26-26"/>
    <s v="WB"/>
    <x v="10"/>
    <s v="Dhaniakhali"/>
    <s v="User Not Mapped"/>
    <s v="User Not Mapped"/>
    <s v="User Not Mapped"/>
    <n v="242537"/>
    <s v="Jerur Skus Ltd"/>
    <s v="PACS"/>
    <s v="9434415683"/>
    <n v="12.75"/>
    <n v="161"/>
    <x v="4"/>
    <m/>
    <s v="2025-11-10"/>
    <s v="1065092"/>
    <s v="JERUR SKUS LTD"/>
    <s v="9434415683"/>
  </r>
  <r>
    <s v="RCF Thal"/>
    <s v="N.C.Urea(45kg)"/>
    <s v="WB"/>
    <x v="10"/>
    <s v="Serampur Uttarpara"/>
    <s v="User Not Mapped"/>
    <s v="User Not Mapped"/>
    <s v="User Not Mapped"/>
    <n v="672055"/>
    <s v="M/S Abu Sufian Sarkar"/>
    <s v="Private Retailer"/>
    <s v="9434977866"/>
    <n v="2.5649999999999999"/>
    <n v="56"/>
    <x v="3"/>
    <m/>
    <s v="2026-02-23"/>
    <s v="1304250"/>
    <s v="KALIMATA ENTERPRISE"/>
    <s v="9333994707"/>
  </r>
  <r>
    <s v="RCF Thal"/>
    <s v="N.C.Urea(45kg)"/>
    <s v="WB"/>
    <x v="10"/>
    <s v="Serampur Uttarpara"/>
    <s v="User Not Mapped"/>
    <s v="User Not Mapped"/>
    <s v="User Not Mapped"/>
    <n v="672109"/>
    <s v="M/S Maa Monsha Fertilizer"/>
    <s v="Private Retailer"/>
    <s v="9474003699"/>
    <n v="0.18"/>
    <n v="104"/>
    <x v="7"/>
    <m/>
    <s v="2026-01-06"/>
    <s v="1304250"/>
    <s v="KALIMATA ENTERPRISE"/>
    <s v="9333994707"/>
  </r>
  <r>
    <s v="RCF Thal"/>
    <s v="N.C.Urea(45kg)"/>
    <s v="WB"/>
    <x v="10"/>
    <s v="Serampur Uttarpara"/>
    <s v="User Not Mapped"/>
    <s v="User Not Mapped"/>
    <s v="User Not Mapped"/>
    <n v="672109"/>
    <s v="M/S Maa Monsha Fertilizer"/>
    <s v="Private Retailer"/>
    <s v="9474003699"/>
    <n v="1.8"/>
    <n v="56"/>
    <x v="3"/>
    <m/>
    <s v="2026-02-23"/>
    <s v="1304250"/>
    <s v="KALIMATA ENTERPRISE"/>
    <s v="9333994707"/>
  </r>
  <r>
    <s v="RCF Thal"/>
    <s v="N.C.Urea(45kg)"/>
    <s v="WB"/>
    <x v="10"/>
    <s v="Polba - Dadpur"/>
    <s v="User Not Mapped"/>
    <s v="User Not Mapped"/>
    <s v="User Not Mapped"/>
    <n v="1409568"/>
    <s v="MAA KALI KRISHI BHANDER"/>
    <s v="Private Retailer"/>
    <s v="9143411809"/>
    <n v="7.29"/>
    <n v="56"/>
    <x v="3"/>
    <m/>
    <s v="2026-02-23"/>
    <s v="1304250"/>
    <s v="KALIMATA ENTERPRISE"/>
    <s v="9333994707"/>
  </r>
  <r>
    <s v="RCF Thal"/>
    <s v="N.C.Urea(45kg)"/>
    <s v="WB"/>
    <x v="10"/>
    <s v="Pandua"/>
    <s v="User Not Mapped"/>
    <s v="User Not Mapped"/>
    <s v="User Not Mapped"/>
    <n v="1032450"/>
    <s v="RABINDRA NATH MITRA"/>
    <s v="Private Retailer"/>
    <s v="8348769460"/>
    <n v="6.75"/>
    <n v="145"/>
    <x v="4"/>
    <m/>
    <s v="2025-11-26"/>
    <s v="1304250"/>
    <s v="KALIMATA ENTERPRISE"/>
    <s v="9333994707"/>
  </r>
  <r>
    <s v="RCF Thal"/>
    <s v="N.C.Urea(45kg)"/>
    <s v="WB"/>
    <x v="10"/>
    <s v="Pandua"/>
    <s v="User Not Mapped"/>
    <s v="User Not Mapped"/>
    <s v="User Not Mapped"/>
    <n v="1032450"/>
    <s v="RABINDRA NATH MITRA"/>
    <s v="Private Retailer"/>
    <s v="8348769460"/>
    <n v="0.45"/>
    <n v="166"/>
    <x v="4"/>
    <m/>
    <s v="2025-11-05"/>
    <s v="1304250"/>
    <s v="KALIMATA ENTERPRISE"/>
    <s v="9333994707"/>
  </r>
  <r>
    <s v="RCF Thal"/>
    <s v="N.C.Urea(45kg)"/>
    <s v="WB"/>
    <x v="10"/>
    <s v="Pandua"/>
    <s v="User Not Mapped"/>
    <s v="User Not Mapped"/>
    <s v="User Not Mapped"/>
    <n v="1032450"/>
    <s v="RABINDRA NATH MITRA"/>
    <s v="Private Retailer"/>
    <s v="8348769460"/>
    <n v="2.25"/>
    <n v="56"/>
    <x v="3"/>
    <m/>
    <s v="2026-02-23"/>
    <s v="1304250"/>
    <s v="KALIMATA ENTERPRISE"/>
    <s v="9333994707"/>
  </r>
  <r>
    <s v="RCF Thal"/>
    <s v="N.C.Urea(45kg)"/>
    <s v="WB"/>
    <x v="10"/>
    <s v="Polba - Dadpur"/>
    <s v="User Not Mapped"/>
    <s v="User Not Mapped"/>
    <s v="User Not Mapped"/>
    <n v="472695"/>
    <s v="Sk.Basir Ahamed"/>
    <s v="Private Retailer"/>
    <s v="8647960839"/>
    <n v="1.125"/>
    <n v="56"/>
    <x v="3"/>
    <m/>
    <s v="2026-02-23"/>
    <s v="1304250"/>
    <s v="KALIMATA ENTERPRISE"/>
    <s v="9333994707"/>
  </r>
  <r>
    <s v="RCF Import"/>
    <s v="Imp 10-26-26"/>
    <s v="WB"/>
    <x v="10"/>
    <s v="Dhaniakhali"/>
    <s v="User Not Mapped"/>
    <s v="User Not Mapped"/>
    <s v="User Not Mapped"/>
    <n v="354310"/>
    <s v="Rabindra Nath Modak and Bros."/>
    <s v="Private Retailer"/>
    <s v="9474156387"/>
    <n v="3.5"/>
    <n v="237"/>
    <x v="1"/>
    <m/>
    <s v="2025-08-26"/>
    <s v="260240"/>
    <s v="KEDAR NATH BHAKAT SONS"/>
    <s v="9083620937"/>
  </r>
  <r>
    <s v="RCF Import"/>
    <s v="Imp 10-26-26"/>
    <s v="WB"/>
    <x v="10"/>
    <s v="Polba - Dadpur"/>
    <s v="User Not Mapped"/>
    <s v="User Not Mapped"/>
    <s v="User Not Mapped"/>
    <n v="1411145"/>
    <s v="SK KRISHI BHANDER"/>
    <s v="Private Retailer"/>
    <s v="8159825275"/>
    <n v="4.45"/>
    <n v="96"/>
    <x v="7"/>
    <m/>
    <s v="2026-01-14"/>
    <s v="270282"/>
    <s v="Khan Fertilizers"/>
    <s v="7699668433"/>
  </r>
  <r>
    <s v="RCF Trombay"/>
    <s v="N.C.Urea(45kg)"/>
    <s v="WB"/>
    <x v="10"/>
    <s v="Polba - Dadpur"/>
    <s v="User Not Mapped"/>
    <s v="User Not Mapped"/>
    <s v="User Not Mapped"/>
    <n v="488326"/>
    <s v="Nashirul Haque Sarkar"/>
    <s v="Private Retailer"/>
    <s v="8900271947"/>
    <n v="0.13500000000000001"/>
    <n v="631"/>
    <x v="2"/>
    <m/>
    <s v="2024-07-28"/>
    <s v="260227"/>
    <s v="Krishi Bipani "/>
    <s v="9933482498"/>
  </r>
  <r>
    <s v="RCF Import"/>
    <s v="Imp 10-26-26"/>
    <s v="WB"/>
    <x v="10"/>
    <s v="Tarakeswar"/>
    <s v="User Not Mapped"/>
    <s v="User Not Mapped"/>
    <s v="User Not Mapped"/>
    <n v="1107305"/>
    <s v="MAHAPRABHU FERTILISER"/>
    <s v="Private Retailer"/>
    <s v="9733634010"/>
    <n v="0.75"/>
    <n v="241"/>
    <x v="1"/>
    <m/>
    <s v="2025-08-22"/>
    <s v="1541649"/>
    <s v="KUMAR AGRO INPUT"/>
    <s v="6297930583"/>
  </r>
  <r>
    <s v="RCF Thal"/>
    <s v="N.C.Urea(45kg)"/>
    <s v="WB"/>
    <x v="10"/>
    <s v="Khanakul - II"/>
    <s v="User Not Mapped"/>
    <s v="User Not Mapped"/>
    <s v="User Not Mapped"/>
    <n v="637454"/>
    <s v="SHATABDI SHOW"/>
    <s v="Private Retailer"/>
    <s v="9734854579"/>
    <n v="9.5000000000000001E-2"/>
    <n v="1240"/>
    <x v="2"/>
    <m/>
    <s v="2022-11-27"/>
    <s v="1083982"/>
    <s v="Kumar Fertilizer"/>
    <s v="9734379245"/>
  </r>
  <r>
    <s v="RCF Import"/>
    <s v="Imp 10-26-26"/>
    <s v="WB"/>
    <x v="10"/>
    <s v="Polba - Dadpur"/>
    <s v="User Not Mapped"/>
    <s v="User Not Mapped"/>
    <s v="User Not Mapped"/>
    <n v="342343"/>
    <s v="Sri Subhas Chandra Khan"/>
    <s v="Private Wholsaler"/>
    <s v="9804538127"/>
    <n v="6"/>
    <n v="52"/>
    <x v="3"/>
    <s v="'SUBHAS549'"/>
    <s v="2026-02-27"/>
    <s v="223807"/>
    <s v="M.K. Chemical and Fertilizers"/>
    <s v="9051316329"/>
  </r>
  <r>
    <s v="RCF Import"/>
    <s v="Imp 10-26-26"/>
    <s v="WB"/>
    <x v="10"/>
    <s v="Dhaniakhali"/>
    <s v="User Not Mapped"/>
    <s v="User Not Mapped"/>
    <s v="User Not Mapped"/>
    <n v="472687"/>
    <s v=" Jamaluddin Molla"/>
    <s v="Private Retailer"/>
    <s v="8116411524"/>
    <n v="3.15"/>
    <n v="52"/>
    <x v="3"/>
    <m/>
    <s v="2026-02-27"/>
    <s v="888411"/>
    <s v="M/S BIKAS CHANDRA BHANDARI"/>
    <s v="8013238945"/>
  </r>
  <r>
    <s v="RCF Thal"/>
    <s v="N.C.Urea(45kg)"/>
    <s v="WB"/>
    <x v="10"/>
    <s v="Dhaniakhali"/>
    <s v="User Not Mapped"/>
    <s v="User Not Mapped"/>
    <s v="User Not Mapped"/>
    <n v="472687"/>
    <s v=" Jamaluddin Molla"/>
    <s v="Private Retailer"/>
    <s v="8116411524"/>
    <n v="1.62"/>
    <n v="66"/>
    <x v="6"/>
    <m/>
    <s v="2026-02-13"/>
    <s v="888411"/>
    <s v="M/S BIKAS CHANDRA BHANDARI"/>
    <s v="8013238945"/>
  </r>
  <r>
    <s v="RCF Trombay"/>
    <s v="15-15-15"/>
    <s v="WB"/>
    <x v="10"/>
    <s v="Singur"/>
    <s v="User Not Mapped"/>
    <s v="User Not Mapped"/>
    <s v="User Not Mapped"/>
    <n v="340651"/>
    <s v="Aloke Koley"/>
    <s v="Private Retailer"/>
    <s v="9143549170"/>
    <n v="2.5"/>
    <n v="123"/>
    <x v="4"/>
    <m/>
    <s v="2025-12-18"/>
    <s v="888411"/>
    <s v="M/S BIKAS CHANDRA BHANDARI"/>
    <s v="8013238945"/>
  </r>
  <r>
    <s v="RCF Import"/>
    <s v="Imp 10-26-26"/>
    <s v="WB"/>
    <x v="10"/>
    <m/>
    <s v="User Not Mapped"/>
    <s v="User Not Mapped"/>
    <s v="User Not Mapped"/>
    <n v="242464"/>
    <s v="Ashok Kumar Patra"/>
    <s v="Private Retailer"/>
    <s v="9775179690"/>
    <n v="12"/>
    <n v="52"/>
    <x v="3"/>
    <m/>
    <s v="2026-02-27"/>
    <s v="888411"/>
    <s v="M/S BIKAS CHANDRA BHANDARI"/>
    <s v="8013238945"/>
  </r>
  <r>
    <s v="RCF Trombay"/>
    <s v="15-15-15"/>
    <s v="WB"/>
    <x v="10"/>
    <s v="Singur"/>
    <s v="User Not Mapped"/>
    <s v="User Not Mapped"/>
    <s v="User Not Mapped"/>
    <n v="237223"/>
    <s v="Balarampur Laskarpur Skus Ltd."/>
    <s v="PACS"/>
    <s v="9007594510"/>
    <n v="4.3499999999999996"/>
    <n v="216"/>
    <x v="1"/>
    <m/>
    <s v="2025-09-16"/>
    <s v="888411"/>
    <s v="M/S BIKAS CHANDRA BHANDARI"/>
    <s v="8013238945"/>
  </r>
  <r>
    <s v="RCF Trombay"/>
    <s v="15-15-15"/>
    <s v="WB"/>
    <x v="10"/>
    <s v="Haripal"/>
    <s v="User Not Mapped"/>
    <s v="User Not Mapped"/>
    <s v="User Not Mapped"/>
    <n v="354154"/>
    <s v="Bikas Chandra Bhandari"/>
    <s v="Private Retailer"/>
    <s v="8013238945"/>
    <n v="2.95"/>
    <n v="216"/>
    <x v="1"/>
    <m/>
    <s v="2025-09-16"/>
    <s v="888411"/>
    <s v="M/S BIKAS CHANDRA BHANDARI"/>
    <s v="8013238945"/>
  </r>
  <r>
    <s v="RCF Thal"/>
    <s v="N.C.Urea(45kg)"/>
    <s v="WB"/>
    <x v="10"/>
    <s v="Haripal"/>
    <s v="User Not Mapped"/>
    <s v="User Not Mapped"/>
    <s v="User Not Mapped"/>
    <n v="354154"/>
    <s v="Bikas Chandra Bhandari"/>
    <s v="Private Retailer"/>
    <s v="8013238945"/>
    <n v="2.4750000000000001"/>
    <n v="158"/>
    <x v="4"/>
    <m/>
    <s v="2025-11-13"/>
    <s v="888411"/>
    <s v="M/S BIKAS CHANDRA BHANDARI"/>
    <s v="8013238945"/>
  </r>
  <r>
    <s v="RCF Import"/>
    <s v="Imp 10-26-26"/>
    <s v="WB"/>
    <x v="10"/>
    <s v="Polba - Dadpur"/>
    <s v="User Not Mapped"/>
    <s v="User Not Mapped"/>
    <s v="User Not Mapped"/>
    <n v="858786"/>
    <s v="BISWAJIT PAL"/>
    <s v="Private Retailer"/>
    <s v="7872560091"/>
    <n v="6"/>
    <n v="52"/>
    <x v="3"/>
    <m/>
    <s v="2026-02-27"/>
    <s v="888411"/>
    <s v="M/S BIKAS CHANDRA BHANDARI"/>
    <s v="8013238945"/>
  </r>
  <r>
    <s v="RCF Thal"/>
    <s v="N.C.Urea(45kg)"/>
    <s v="WB"/>
    <x v="10"/>
    <s v="Polba - Dadpur"/>
    <s v="User Not Mapped"/>
    <s v="User Not Mapped"/>
    <s v="User Not Mapped"/>
    <n v="858786"/>
    <s v="BISWAJIT PAL"/>
    <s v="Private Retailer"/>
    <s v="7872560091"/>
    <n v="5.9850000000000003"/>
    <n v="66"/>
    <x v="6"/>
    <m/>
    <s v="2026-02-13"/>
    <s v="888411"/>
    <s v="M/S BIKAS CHANDRA BHANDARI"/>
    <s v="8013238945"/>
  </r>
  <r>
    <s v="RCF Trombay"/>
    <s v="15-15-15"/>
    <s v="WB"/>
    <x v="10"/>
    <s v="Haripal"/>
    <s v="User Not Mapped"/>
    <s v="User Not Mapped"/>
    <s v="User Not Mapped"/>
    <n v="242522"/>
    <s v="Gopinath Das"/>
    <s v="Private Retailer"/>
    <s v="9474809901"/>
    <n v="0.05"/>
    <n v="463"/>
    <x v="0"/>
    <m/>
    <s v="2025-01-12"/>
    <s v="888411"/>
    <s v="M/S BIKAS CHANDRA BHANDARI"/>
    <s v="8013238945"/>
  </r>
  <r>
    <s v="RCF Trombay"/>
    <s v="15-15-15"/>
    <s v="WB"/>
    <x v="10"/>
    <s v="Singur"/>
    <s v="User Not Mapped"/>
    <s v="User Not Mapped"/>
    <s v="User Not Mapped"/>
    <n v="1496631"/>
    <s v="GREEN FRIENDS SHOP"/>
    <s v="Private Retailer"/>
    <s v="7980692291"/>
    <n v="2.6"/>
    <n v="216"/>
    <x v="1"/>
    <m/>
    <s v="2025-09-16"/>
    <s v="888411"/>
    <s v="M/S BIKAS CHANDRA BHANDARI"/>
    <s v="8013238945"/>
  </r>
  <r>
    <s v="RCF Thal"/>
    <s v="N.C.Urea(45kg)"/>
    <s v="WB"/>
    <x v="10"/>
    <s v="Jangipara"/>
    <s v="User Not Mapped"/>
    <s v="User Not Mapped"/>
    <s v="User Not Mapped"/>
    <n v="943922"/>
    <s v="HARADHAN SABUI"/>
    <s v="Private Retailer"/>
    <s v="7318871164"/>
    <n v="0.72"/>
    <n v="66"/>
    <x v="6"/>
    <m/>
    <s v="2026-02-13"/>
    <s v="888411"/>
    <s v="M/S BIKAS CHANDRA BHANDARI"/>
    <s v="8013238945"/>
  </r>
  <r>
    <s v="RCF Import"/>
    <s v="Imp 10-26-26"/>
    <s v="WB"/>
    <x v="10"/>
    <s v="Tarakeswar"/>
    <s v="User Not Mapped"/>
    <s v="User Not Mapped"/>
    <s v="User Not Mapped"/>
    <n v="627138"/>
    <s v="HEMANTA HAZRA"/>
    <s v="Private Retailer"/>
    <s v="8670177372"/>
    <n v="0.05"/>
    <n v="503"/>
    <x v="0"/>
    <m/>
    <s v="2024-12-03"/>
    <s v="888411"/>
    <s v="M/S BIKAS CHANDRA BHANDARI"/>
    <s v="8013238945"/>
  </r>
  <r>
    <s v="RCF Trombay"/>
    <s v="15-15-15"/>
    <s v="WB"/>
    <x v="10"/>
    <s v="Haripal"/>
    <s v="User Not Mapped"/>
    <s v="User Not Mapped"/>
    <s v="User Not Mapped"/>
    <n v="1234599"/>
    <s v="KRISHI PRAGATI"/>
    <s v="Private Retailer"/>
    <s v="7798027033"/>
    <n v="1"/>
    <n v="123"/>
    <x v="4"/>
    <m/>
    <s v="2025-12-18"/>
    <s v="888411"/>
    <s v="M/S BIKAS CHANDRA BHANDARI"/>
    <s v="8013238945"/>
  </r>
  <r>
    <s v="RCF Thal"/>
    <s v="N.C.Urea(45kg)"/>
    <s v="WB"/>
    <x v="10"/>
    <s v="Singur"/>
    <s v="User Not Mapped"/>
    <s v="User Not Mapped"/>
    <s v="User Not Mapped"/>
    <n v="672105"/>
    <s v="M/S Swapan Kumar Ghosh"/>
    <s v="Private Retailer"/>
    <s v="9831668032"/>
    <n v="0.63"/>
    <n v="66"/>
    <x v="6"/>
    <m/>
    <s v="2026-02-13"/>
    <s v="888411"/>
    <s v="M/S BIKAS CHANDRA BHANDARI"/>
    <s v="8013238945"/>
  </r>
  <r>
    <s v="RCF Import"/>
    <s v="Imp 10-26-26"/>
    <s v="WB"/>
    <x v="10"/>
    <s v="Singur"/>
    <s v="User Not Mapped"/>
    <s v="User Not Mapped"/>
    <s v="User Not Mapped"/>
    <n v="671349"/>
    <s v="M/S Taramaa Krish Bhander"/>
    <s v="Private Retailer"/>
    <s v="9875595923"/>
    <n v="1"/>
    <n v="52"/>
    <x v="3"/>
    <m/>
    <s v="2026-02-27"/>
    <s v="888411"/>
    <s v="M/S BIKAS CHANDRA BHANDARI"/>
    <s v="8013238945"/>
  </r>
  <r>
    <s v="RCF Thal"/>
    <s v="N.C.Urea(45kg)"/>
    <s v="WB"/>
    <x v="10"/>
    <s v="Singur"/>
    <s v="User Not Mapped"/>
    <s v="User Not Mapped"/>
    <s v="User Not Mapped"/>
    <n v="1268887"/>
    <s v="MAHAPRABHU KRISHI BHANDAR"/>
    <s v="Private Retailer"/>
    <s v="9831733780"/>
    <n v="1.35"/>
    <n v="465"/>
    <x v="0"/>
    <m/>
    <s v="2025-01-10"/>
    <s v="888411"/>
    <s v="M/S BIKAS CHANDRA BHANDARI"/>
    <s v="8013238945"/>
  </r>
  <r>
    <s v="RCF Thal"/>
    <s v="N.C.Urea(45kg)"/>
    <s v="WB"/>
    <x v="10"/>
    <s v="Haripal"/>
    <s v="User Not Mapped"/>
    <s v="User Not Mapped"/>
    <s v="User Not Mapped"/>
    <n v="502959"/>
    <s v="Md. Rafik Mondal"/>
    <s v="Private Retailer"/>
    <s v="8597352044"/>
    <n v="0.94499999999999995"/>
    <n v="144"/>
    <x v="4"/>
    <m/>
    <s v="2025-11-27"/>
    <s v="888411"/>
    <s v="M/S BIKAS CHANDRA BHANDARI"/>
    <s v="8013238945"/>
  </r>
  <r>
    <s v="RCF Trombay"/>
    <s v="15-15-15"/>
    <s v="WB"/>
    <x v="10"/>
    <m/>
    <s v="User Not Mapped"/>
    <s v="User Not Mapped"/>
    <s v="User Not Mapped"/>
    <n v="354264"/>
    <s v="Murari Mohan Goswami"/>
    <s v="Private Retailer"/>
    <s v="7407808894"/>
    <n v="5.4"/>
    <n v="216"/>
    <x v="1"/>
    <m/>
    <s v="2025-09-16"/>
    <s v="888411"/>
    <s v="M/S BIKAS CHANDRA BHANDARI"/>
    <s v="8013238945"/>
  </r>
  <r>
    <s v="RCF Trombay"/>
    <s v="15-15-15"/>
    <s v="WB"/>
    <x v="10"/>
    <s v="Singur"/>
    <s v="User Not Mapped"/>
    <s v="User Not Mapped"/>
    <s v="User Not Mapped"/>
    <n v="671359"/>
    <s v="NARAYAN KOLEY"/>
    <s v="Private Retailer"/>
    <s v="9088090997"/>
    <n v="2.7"/>
    <n v="123"/>
    <x v="4"/>
    <m/>
    <s v="2025-12-18"/>
    <s v="888411"/>
    <s v="M/S BIKAS CHANDRA BHANDARI"/>
    <s v="8013238945"/>
  </r>
  <r>
    <s v="RCF Trombay"/>
    <s v="N.C.Urea(45kg)"/>
    <s v="WB"/>
    <x v="10"/>
    <s v="Pursura"/>
    <s v="User Not Mapped"/>
    <s v="User Not Mapped"/>
    <s v="User Not Mapped"/>
    <n v="831780"/>
    <s v="NARAYAN MIDDE"/>
    <s v="Private Retailer"/>
    <s v="8101463210"/>
    <n v="0.09"/>
    <n v="982"/>
    <x v="2"/>
    <m/>
    <s v="2023-08-12"/>
    <s v="888411"/>
    <s v="M/S BIKAS CHANDRA BHANDARI"/>
    <s v="8013238945"/>
  </r>
  <r>
    <s v="RCF Import"/>
    <s v="Imp 10-26-26"/>
    <s v="WB"/>
    <x v="10"/>
    <s v="Singur"/>
    <s v="User Not Mapped"/>
    <s v="User Not Mapped"/>
    <s v="User Not Mapped"/>
    <n v="237343"/>
    <s v="Pahalampur Skus Ltd."/>
    <s v="PACS"/>
    <s v="9748619779"/>
    <n v="36"/>
    <n v="52"/>
    <x v="3"/>
    <m/>
    <s v="2026-02-27"/>
    <s v="888411"/>
    <s v="M/S BIKAS CHANDRA BHANDARI"/>
    <s v="8013238945"/>
  </r>
  <r>
    <s v="RCF Import"/>
    <s v="Imp 10-26-26"/>
    <s v="WB"/>
    <x v="10"/>
    <m/>
    <s v="User Not Mapped"/>
    <s v="User Not Mapped"/>
    <s v="User Not Mapped"/>
    <n v="1513764"/>
    <s v="PRANOY GHOSH"/>
    <s v="Private Retailer"/>
    <s v="9735287118"/>
    <n v="3.55"/>
    <n v="52"/>
    <x v="3"/>
    <m/>
    <s v="2026-02-27"/>
    <s v="888411"/>
    <s v="M/S BIKAS CHANDRA BHANDARI"/>
    <s v="8013238945"/>
  </r>
  <r>
    <s v="RCF Thal"/>
    <s v="N.C.Urea(45kg)"/>
    <s v="WB"/>
    <x v="10"/>
    <s v="Jangipara"/>
    <s v="User Not Mapped"/>
    <s v="User Not Mapped"/>
    <s v="User Not Mapped"/>
    <n v="829779"/>
    <s v="PRODYUT CHAKRABARTY"/>
    <s v="Private Retailer"/>
    <s v="9609533346"/>
    <n v="2.97"/>
    <n v="66"/>
    <x v="6"/>
    <m/>
    <s v="2026-02-13"/>
    <s v="888411"/>
    <s v="M/S BIKAS CHANDRA BHANDARI"/>
    <s v="8013238945"/>
  </r>
  <r>
    <s v="RCF Thal"/>
    <s v="N.C.Urea(45kg)"/>
    <s v="WB"/>
    <x v="10"/>
    <s v="Haripal"/>
    <s v="User Not Mapped"/>
    <s v="User Not Mapped"/>
    <s v="User Not Mapped"/>
    <n v="1552627"/>
    <s v="S KRISHI BHANDAR"/>
    <s v="Private Retailer"/>
    <s v="6295703159"/>
    <n v="0.13500000000000001"/>
    <n v="311"/>
    <x v="1"/>
    <m/>
    <s v="2025-06-13"/>
    <s v="888411"/>
    <s v="M/S BIKAS CHANDRA BHANDARI"/>
    <s v="8013238945"/>
  </r>
  <r>
    <s v="RCF Import"/>
    <s v="Imp 10-26-26"/>
    <s v="WB"/>
    <x v="10"/>
    <s v="Jangipara"/>
    <s v="User Not Mapped"/>
    <s v="User Not Mapped"/>
    <s v="User Not Mapped"/>
    <n v="896852"/>
    <s v="SAMAR PAL"/>
    <s v="Private Retailer"/>
    <s v="8170993778"/>
    <n v="12"/>
    <n v="52"/>
    <x v="3"/>
    <m/>
    <s v="2026-02-27"/>
    <s v="888411"/>
    <s v="M/S BIKAS CHANDRA BHANDARI"/>
    <s v="8013238945"/>
  </r>
  <r>
    <s v="RCF Trombay"/>
    <s v="N.C.Urea(45kg)"/>
    <s v="WB"/>
    <x v="10"/>
    <s v="Singur"/>
    <s v="User Not Mapped"/>
    <s v="User Not Mapped"/>
    <s v="User Not Mapped"/>
    <n v="1478571"/>
    <s v="SINGURKRISHOK KALYAN AGRO PROD"/>
    <s v="Private Retailer"/>
    <s v="8017478529"/>
    <n v="0.9"/>
    <n v="109"/>
    <x v="7"/>
    <m/>
    <s v="2026-01-01"/>
    <s v="888411"/>
    <s v="M/S BIKAS CHANDRA BHANDARI"/>
    <s v="8013238945"/>
  </r>
  <r>
    <s v="RCF Thal"/>
    <s v="N.C.Urea(45kg)"/>
    <s v="WB"/>
    <x v="10"/>
    <s v="Haripal"/>
    <s v="User Not Mapped"/>
    <s v="User Not Mapped"/>
    <s v="User Not Mapped"/>
    <n v="1380823"/>
    <s v="SURESH CHANDRA DAS"/>
    <s v="Private Retailer"/>
    <s v="7384212039"/>
    <n v="2.9249999999999998"/>
    <n v="216"/>
    <x v="1"/>
    <m/>
    <s v="2025-09-16"/>
    <s v="888411"/>
    <s v="M/S BIKAS CHANDRA BHANDARI"/>
    <s v="8013238945"/>
  </r>
  <r>
    <s v="RCF Trombay"/>
    <s v="15-15-15"/>
    <s v="WB"/>
    <x v="10"/>
    <s v="Tarakeswar"/>
    <s v="User Not Mapped"/>
    <s v="User Not Mapped"/>
    <s v="User Not Mapped"/>
    <n v="626524"/>
    <s v="SUSANTA SAMANTA"/>
    <s v="Private Retailer"/>
    <s v="9734754939"/>
    <n v="6"/>
    <n v="490"/>
    <x v="0"/>
    <m/>
    <s v="2024-12-16"/>
    <s v="888411"/>
    <s v="M/S BIKAS CHANDRA BHANDARI"/>
    <s v="8013238945"/>
  </r>
  <r>
    <s v="RCF Thal"/>
    <s v="N.C.Urea(45kg)"/>
    <s v="WB"/>
    <x v="10"/>
    <s v="Pandua"/>
    <s v="User Not Mapped"/>
    <s v="User Not Mapped"/>
    <s v="User Not Mapped"/>
    <n v="464896"/>
    <s v="M/S KRISHI DARSHAN"/>
    <s v="Private Retailer"/>
    <s v="9434568746"/>
    <n v="0.99"/>
    <n v="60"/>
    <x v="3"/>
    <m/>
    <s v="2026-02-19"/>
    <s v="1444440"/>
    <s v="M/S SADHUKHAN TRADERS"/>
    <s v="9434301601"/>
  </r>
  <r>
    <s v="RCF Thal"/>
    <s v="N.C.Urea(45kg)"/>
    <s v="WB"/>
    <x v="10"/>
    <s v="Pandua"/>
    <s v="User Not Mapped"/>
    <s v="User Not Mapped"/>
    <s v="User Not Mapped"/>
    <n v="242609"/>
    <s v="Satinath Sarkar"/>
    <s v="Private Retailer"/>
    <s v="9434033419"/>
    <n v="1.8"/>
    <n v="138"/>
    <x v="4"/>
    <m/>
    <s v="2025-12-03"/>
    <s v="1444440"/>
    <s v="M/S SADHUKHAN TRADERS"/>
    <s v="9434301601"/>
  </r>
  <r>
    <s v="RCF Thal"/>
    <s v="N.C.Urea(45kg)"/>
    <s v="WB"/>
    <x v="10"/>
    <s v="Pandua"/>
    <s v="User Not Mapped"/>
    <s v="User Not Mapped"/>
    <s v="User Not Mapped"/>
    <n v="242609"/>
    <s v="Satinath Sarkar"/>
    <s v="Private Retailer"/>
    <s v="9434033419"/>
    <n v="0.99"/>
    <n v="119"/>
    <x v="7"/>
    <m/>
    <s v="2025-12-22"/>
    <s v="1444440"/>
    <s v="M/S SADHUKHAN TRADERS"/>
    <s v="9434301601"/>
  </r>
  <r>
    <s v="RCF Thal"/>
    <s v="N.C.Urea(45kg)"/>
    <s v="WB"/>
    <x v="10"/>
    <s v="Pandua"/>
    <s v="User Not Mapped"/>
    <s v="User Not Mapped"/>
    <s v="User Not Mapped"/>
    <n v="242609"/>
    <s v="Satinath Sarkar"/>
    <s v="Private Retailer"/>
    <s v="9434033419"/>
    <n v="2.25"/>
    <n v="56"/>
    <x v="3"/>
    <m/>
    <s v="2026-02-23"/>
    <s v="1444440"/>
    <s v="M/S SADHUKHAN TRADERS"/>
    <s v="9434301601"/>
  </r>
  <r>
    <s v="RCF Thal"/>
    <s v="N.C.Urea(45kg)"/>
    <s v="WB"/>
    <x v="10"/>
    <s v="Pandua"/>
    <s v="User Not Mapped"/>
    <s v="User Not Mapped"/>
    <s v="User Not Mapped"/>
    <n v="242609"/>
    <s v="Satinath Sarkar"/>
    <s v="Private Retailer"/>
    <s v="9434033419"/>
    <n v="1.08"/>
    <n v="100"/>
    <x v="7"/>
    <m/>
    <s v="2026-01-10"/>
    <s v="1444440"/>
    <s v="M/S SADHUKHAN TRADERS"/>
    <s v="9434301601"/>
  </r>
  <r>
    <s v="RCF Thal"/>
    <s v="N.C.Urea(45kg)"/>
    <s v="WB"/>
    <x v="10"/>
    <s v="Pandua"/>
    <s v="User Not Mapped"/>
    <s v="User Not Mapped"/>
    <s v="User Not Mapped"/>
    <n v="242609"/>
    <s v="Satinath Sarkar"/>
    <s v="Private Retailer"/>
    <s v="9434033419"/>
    <n v="1.125"/>
    <n v="114"/>
    <x v="7"/>
    <m/>
    <s v="2025-12-27"/>
    <s v="1444440"/>
    <s v="M/S SADHUKHAN TRADERS"/>
    <s v="9434301601"/>
  </r>
  <r>
    <s v="RCF Thal"/>
    <s v="N.C.Urea(45kg)"/>
    <s v="WB"/>
    <x v="10"/>
    <m/>
    <s v="User Not Mapped"/>
    <s v="User Not Mapped"/>
    <s v="User Not Mapped"/>
    <n v="915091"/>
    <s v="SHYAMSUNDAR ADHIKARY"/>
    <s v="Private Retailer"/>
    <s v="9775711035"/>
    <n v="0.54"/>
    <n v="2307"/>
    <x v="2"/>
    <m/>
    <s v="2019-12-26"/>
    <s v="269333"/>
    <s v="Ma Durga Fetilizer"/>
    <s v="9733686470"/>
  </r>
  <r>
    <s v="RCF Import"/>
    <s v="Imp 10-26-26"/>
    <s v="WB"/>
    <x v="10"/>
    <s v="Haripal"/>
    <s v="User Not Mapped"/>
    <s v="User Not Mapped"/>
    <s v="User Not Mapped"/>
    <n v="272061"/>
    <s v="New Satyanarayan Krishi Bhanda"/>
    <s v="Private Retailer"/>
    <s v="9433127075"/>
    <n v="8"/>
    <n v="103"/>
    <x v="7"/>
    <m/>
    <s v="2026-01-07"/>
    <s v="260246"/>
    <s v="New Satyanarayan Krishi Bhanda"/>
    <s v="9433127075"/>
  </r>
  <r>
    <s v="RCF Trombay"/>
    <s v="15-15-15"/>
    <s v="WB"/>
    <x v="10"/>
    <s v="Haripal"/>
    <s v="User Not Mapped"/>
    <s v="User Not Mapped"/>
    <s v="User Not Mapped"/>
    <n v="1448210"/>
    <s v="SHANKARBABAKRISHI AND BIJ BHAN"/>
    <s v="Private Retailer"/>
    <s v="9831116645"/>
    <n v="0.75"/>
    <n v="251"/>
    <x v="1"/>
    <m/>
    <s v="2025-08-12"/>
    <s v="260246"/>
    <s v="New Satyanarayan Krishi Bhanda"/>
    <s v="9433127075"/>
  </r>
  <r>
    <s v="RCF Trombay"/>
    <s v="N.C.Urea(45kg)"/>
    <s v="WB"/>
    <x v="10"/>
    <s v="Balagarh"/>
    <s v="User Not Mapped"/>
    <s v="User Not Mapped"/>
    <s v="User Not Mapped"/>
    <n v="1056943"/>
    <s v="ASHIM SADHUKHAN"/>
    <s v="Private Retailer"/>
    <s v="7430872009"/>
    <n v="4.1000000000000002E-2"/>
    <n v="1776"/>
    <x v="2"/>
    <m/>
    <s v="2021-06-09"/>
    <s v="937806"/>
    <s v="NIRMAL KUMAR MONDAL"/>
    <s v="9474107277"/>
  </r>
  <r>
    <s v="RCF Thal"/>
    <s v="N.C.Urea(45kg)"/>
    <s v="WB"/>
    <x v="10"/>
    <s v="Balagarh"/>
    <s v="User Not Mapped"/>
    <s v="User Not Mapped"/>
    <s v="User Not Mapped"/>
    <n v="1056963"/>
    <s v="BISWAJIT HALDAR"/>
    <s v="Private Retailer"/>
    <s v="9932943618"/>
    <n v="0.58499999999999996"/>
    <n v="327"/>
    <x v="1"/>
    <m/>
    <s v="2025-05-28"/>
    <s v="937806"/>
    <s v="NIRMAL KUMAR MONDAL"/>
    <s v="9474107277"/>
  </r>
  <r>
    <s v="RCF Thal"/>
    <s v="N.C.Urea(45kg)"/>
    <s v="WB"/>
    <x v="10"/>
    <m/>
    <s v="User Not Mapped"/>
    <s v="User Not Mapped"/>
    <s v="User Not Mapped"/>
    <n v="479745"/>
    <s v="Gopal Chandra Pal"/>
    <s v="Private Retailer"/>
    <s v="9647553939"/>
    <n v="0.27"/>
    <n v="156"/>
    <x v="4"/>
    <m/>
    <s v="2025-11-15"/>
    <s v="937806"/>
    <s v="NIRMAL KUMAR MONDAL"/>
    <s v="9474107277"/>
  </r>
  <r>
    <s v="RCF Thal"/>
    <s v="N.C.Urea(45kg)"/>
    <s v="WB"/>
    <x v="10"/>
    <s v="Serampur Uttarpara"/>
    <s v="User Not Mapped"/>
    <s v="User Not Mapped"/>
    <s v="User Not Mapped"/>
    <n v="671939"/>
    <s v="M/S Biganananda Krishi Bhandar"/>
    <s v="Private Retailer"/>
    <s v="8697585776"/>
    <n v="5.49"/>
    <n v="66"/>
    <x v="6"/>
    <m/>
    <s v="2026-02-13"/>
    <s v="937806"/>
    <s v="NIRMAL KUMAR MONDAL"/>
    <s v="9474107277"/>
  </r>
  <r>
    <s v="RCF Thal"/>
    <s v="N.C.Urea(45kg)"/>
    <s v="WB"/>
    <x v="10"/>
    <s v="Balagarh"/>
    <s v="User Not Mapped"/>
    <s v="User Not Mapped"/>
    <s v="User Not Mapped"/>
    <n v="672049"/>
    <s v="M/S Swapan Ghosh"/>
    <s v="Private Retailer"/>
    <s v="9932140458"/>
    <n v="0.27"/>
    <n v="66"/>
    <x v="6"/>
    <m/>
    <s v="2026-02-13"/>
    <s v="937806"/>
    <s v="NIRMAL KUMAR MONDAL"/>
    <s v="9474107277"/>
  </r>
  <r>
    <s v="RCF Trombay"/>
    <s v="N.C.Urea(45kg)"/>
    <s v="WB"/>
    <x v="10"/>
    <s v="Balagarh"/>
    <s v="User Not Mapped"/>
    <s v="User Not Mapped"/>
    <s v="User Not Mapped"/>
    <n v="672041"/>
    <s v="M/S Swapan Kumar Ghosh"/>
    <s v="Private Retailer"/>
    <s v="7699840733"/>
    <n v="2.4300000000000002"/>
    <n v="1793"/>
    <x v="2"/>
    <m/>
    <s v="2021-05-23"/>
    <s v="937806"/>
    <s v="NIRMAL KUMAR MONDAL"/>
    <s v="9474107277"/>
  </r>
  <r>
    <s v="RCF Thal"/>
    <s v="N.C.Urea(45kg)"/>
    <s v="WB"/>
    <x v="10"/>
    <s v="Balagarh"/>
    <s v="User Not Mapped"/>
    <s v="User Not Mapped"/>
    <s v="User Not Mapped"/>
    <n v="672041"/>
    <s v="M/S Swapan Kumar Ghosh"/>
    <s v="Private Retailer"/>
    <s v="7699840733"/>
    <n v="2.25"/>
    <n v="1867"/>
    <x v="2"/>
    <m/>
    <s v="2021-03-10"/>
    <s v="937806"/>
    <s v="NIRMAL KUMAR MONDAL"/>
    <s v="9474107277"/>
  </r>
  <r>
    <s v="RCF Trombay"/>
    <s v="N.C.Urea(45kg)"/>
    <s v="WB"/>
    <x v="10"/>
    <s v="Balagarh"/>
    <s v="User Not Mapped"/>
    <s v="User Not Mapped"/>
    <s v="User Not Mapped"/>
    <n v="896842"/>
    <s v="NARAYAN CHADRA MONDAL"/>
    <s v="Private Retailer"/>
    <s v="9933584285"/>
    <n v="1.98"/>
    <n v="118"/>
    <x v="7"/>
    <m/>
    <s v="2025-12-23"/>
    <s v="937806"/>
    <s v="NIRMAL KUMAR MONDAL"/>
    <s v="9474107277"/>
  </r>
  <r>
    <s v="RCF Thal"/>
    <s v="N.C.Urea(45kg)"/>
    <s v="WB"/>
    <x v="10"/>
    <s v="Balagarh"/>
    <s v="User Not Mapped"/>
    <s v="User Not Mapped"/>
    <s v="User Not Mapped"/>
    <n v="896778"/>
    <s v="UPANANDA FERTILIZER"/>
    <s v="Private Retailer"/>
    <s v="8158009484"/>
    <n v="0.22500000000000001"/>
    <n v="287"/>
    <x v="1"/>
    <m/>
    <s v="2025-07-07"/>
    <s v="937806"/>
    <s v="NIRMAL KUMAR MONDAL"/>
    <s v="9474107277"/>
  </r>
  <r>
    <s v="RCF Import"/>
    <s v="Imp 10-26-26"/>
    <s v="WB"/>
    <x v="10"/>
    <s v="Khanakul - II"/>
    <s v="User Not Mapped"/>
    <s v="User Not Mapped"/>
    <s v="User Not Mapped"/>
    <n v="831800"/>
    <s v="DIBYENDU BERA"/>
    <s v="Private Retailer"/>
    <s v="9732808225"/>
    <n v="5.35"/>
    <n v="54"/>
    <x v="3"/>
    <m/>
    <s v="2026-02-25"/>
    <s v="1429116"/>
    <s v="PATRA AND SONS"/>
    <s v="8515915342"/>
  </r>
  <r>
    <s v="RCF Thal"/>
    <s v="N.C.Urea(45kg)"/>
    <s v="WB"/>
    <x v="10"/>
    <s v="Khanakul - II"/>
    <s v="User Not Mapped"/>
    <s v="User Not Mapped"/>
    <s v="User Not Mapped"/>
    <n v="831800"/>
    <s v="DIBYENDU BERA"/>
    <s v="Private Retailer"/>
    <s v="9732808225"/>
    <n v="3.645"/>
    <n v="68"/>
    <x v="6"/>
    <m/>
    <s v="2026-02-11"/>
    <s v="1429116"/>
    <s v="PATRA AND SONS"/>
    <s v="8515915342"/>
  </r>
  <r>
    <s v="RCF Import"/>
    <s v="Imp 10-26-26"/>
    <s v="WB"/>
    <x v="10"/>
    <m/>
    <s v="User Not Mapped"/>
    <s v="User Not Mapped"/>
    <s v="User Not Mapped"/>
    <n v="237330"/>
    <s v="Melki Skus Ltd"/>
    <s v="PACS"/>
    <s v="9475361254"/>
    <n v="4.75"/>
    <n v="54"/>
    <x v="3"/>
    <m/>
    <s v="2026-02-25"/>
    <s v="1429116"/>
    <s v="PATRA AND SONS"/>
    <s v="8515915342"/>
  </r>
  <r>
    <s v="RCF Import"/>
    <s v="Imp 10-26-26"/>
    <s v="WB"/>
    <x v="10"/>
    <m/>
    <s v="User Not Mapped"/>
    <s v="User Not Mapped"/>
    <s v="User Not Mapped"/>
    <n v="1629921"/>
    <s v="VIVEKANANDA AGRO COMPLEX"/>
    <s v="Private Retailer"/>
    <s v="9474095395"/>
    <n v="2"/>
    <n v="53"/>
    <x v="3"/>
    <m/>
    <s v="2026-02-26"/>
    <s v="1429116"/>
    <s v="PATRA AND SONS"/>
    <s v="8515915342"/>
  </r>
  <r>
    <s v="RCF Thal"/>
    <s v="N.C.Urea(45kg)"/>
    <s v="WB"/>
    <x v="10"/>
    <s v="Polba - Dadpur"/>
    <s v="User Not Mapped"/>
    <s v="User Not Mapped"/>
    <s v="User Not Mapped"/>
    <n v="864290"/>
    <s v="MD. FIROJE MONDAL"/>
    <s v="Private Retailer"/>
    <s v="9836695509"/>
    <n v="4.1849999999999996"/>
    <n v="1174"/>
    <x v="2"/>
    <m/>
    <s v="2023-02-01"/>
    <s v="921653"/>
    <s v="PROVAS CHAL"/>
    <s v="9635259885"/>
  </r>
  <r>
    <s v="RCF Trombay"/>
    <s v="N.C.Urea(45kg)"/>
    <s v="WB"/>
    <x v="10"/>
    <m/>
    <s v="User Not Mapped"/>
    <s v="User Not Mapped"/>
    <s v="User Not Mapped"/>
    <n v="498188"/>
    <s v="Ranjit Kumar Pan"/>
    <s v="Private Retailer"/>
    <s v="9831143479"/>
    <n v="14.67"/>
    <n v="1479"/>
    <x v="2"/>
    <m/>
    <s v="2022-04-02"/>
    <s v="260223"/>
    <s v="Ranjit Kumar Pan              "/>
    <s v="9831143479"/>
  </r>
  <r>
    <s v="RCF Trombay"/>
    <s v="N.C.Urea(45kg)"/>
    <s v="WB"/>
    <x v="10"/>
    <s v="Jangipara"/>
    <s v="User Not Mapped"/>
    <s v="User Not Mapped"/>
    <s v="User Not Mapped"/>
    <n v="907359"/>
    <s v="BIPLAB SINGHA ROY"/>
    <s v="Private Retailer"/>
    <s v="9734143781"/>
    <n v="0.68"/>
    <n v="240"/>
    <x v="1"/>
    <m/>
    <s v="2025-08-23"/>
    <s v="1292419"/>
    <s v="SRI KRISHNA FERTILISER"/>
    <s v="9875670675"/>
  </r>
  <r>
    <s v="RCF Trombay"/>
    <s v="N.C.Urea(45kg)"/>
    <s v="WB"/>
    <x v="10"/>
    <s v="Chanditala - I"/>
    <s v="User Not Mapped"/>
    <s v="User Not Mapped"/>
    <s v="User Not Mapped"/>
    <n v="1055983"/>
    <s v="M/S SUFAL KRISHI SAMBHAR"/>
    <s v="Private Retailer"/>
    <s v="9932534979"/>
    <n v="7.4999999999999997E-2"/>
    <n v="282"/>
    <x v="1"/>
    <m/>
    <s v="2025-07-12"/>
    <s v="1292419"/>
    <s v="SRI KRISHNA FERTILISER"/>
    <s v="9875670675"/>
  </r>
  <r>
    <s v="RCF Trombay"/>
    <s v="N.C.Urea(45kg)"/>
    <s v="WB"/>
    <x v="10"/>
    <s v="Chanditala - I"/>
    <s v="User Not Mapped"/>
    <s v="User Not Mapped"/>
    <s v="User Not Mapped"/>
    <n v="1463141"/>
    <s v="PRASANTA KHAN"/>
    <s v="Private Retailer"/>
    <s v="9382926362"/>
    <n v="3.97"/>
    <n v="282"/>
    <x v="1"/>
    <m/>
    <s v="2025-07-12"/>
    <s v="1292419"/>
    <s v="SRI KRISHNA FERTILISER"/>
    <s v="9875670675"/>
  </r>
  <r>
    <s v="RCF Thal"/>
    <s v="N.C.Urea(45kg)"/>
    <s v="WB"/>
    <x v="10"/>
    <s v="Polba - Dadpur"/>
    <s v="User Not Mapped"/>
    <s v="User Not Mapped"/>
    <s v="User Not Mapped"/>
    <n v="659298"/>
    <s v="Bhim Chandra Ghosh"/>
    <s v="Private Retailer"/>
    <s v="8170872139"/>
    <n v="0.13500000000000001"/>
    <n v="53"/>
    <x v="3"/>
    <m/>
    <s v="2026-02-26"/>
    <s v="342343"/>
    <s v="Sri Subhas Chandra Khan"/>
    <s v="9804538127"/>
  </r>
  <r>
    <s v="RCF Import"/>
    <s v="Imp 10-26-26"/>
    <s v="WB"/>
    <x v="10"/>
    <s v="Polba - Dadpur"/>
    <s v="User Not Mapped"/>
    <s v="User Not Mapped"/>
    <s v="User Not Mapped"/>
    <n v="862763"/>
    <s v="DILIP HALDER"/>
    <s v="Private Retailer"/>
    <s v="9062373779"/>
    <n v="5"/>
    <n v="51"/>
    <x v="3"/>
    <m/>
    <s v="2026-02-28"/>
    <s v="342343"/>
    <s v="Sri Subhas Chandra Khan"/>
    <s v="9804538127"/>
  </r>
  <r>
    <s v="RCF Thal"/>
    <s v="N.C.Urea(45kg)"/>
    <s v="WB"/>
    <x v="10"/>
    <s v="Polba - Dadpur"/>
    <s v="User Not Mapped"/>
    <s v="User Not Mapped"/>
    <s v="User Not Mapped"/>
    <n v="661585"/>
    <s v="Kartick Chandra Santra"/>
    <s v="Private Retailer"/>
    <s v="9674364824"/>
    <n v="0.36"/>
    <n v="255"/>
    <x v="1"/>
    <m/>
    <s v="2025-08-08"/>
    <s v="342343"/>
    <s v="Sri Subhas Chandra Khan"/>
    <s v="9804538127"/>
  </r>
  <r>
    <s v="RCF Trombay"/>
    <s v="15-15-15"/>
    <s v="WB"/>
    <x v="10"/>
    <s v="Polba - Dadpur"/>
    <s v="User Not Mapped"/>
    <s v="User Not Mapped"/>
    <s v="User Not Mapped"/>
    <n v="661585"/>
    <s v="Kartick Chandra Santra"/>
    <s v="Private Retailer"/>
    <s v="9674364824"/>
    <n v="0.3"/>
    <n v="460"/>
    <x v="0"/>
    <m/>
    <s v="2025-01-15"/>
    <s v="342343"/>
    <s v="Sri Subhas Chandra Khan"/>
    <s v="9804538127"/>
  </r>
  <r>
    <s v="RCF Import"/>
    <s v="MOP"/>
    <s v="WB"/>
    <x v="10"/>
    <s v="Polba - Dadpur"/>
    <s v="User Not Mapped"/>
    <s v="User Not Mapped"/>
    <s v="User Not Mapped"/>
    <n v="1328631"/>
    <s v="KUNDU FERTILISER"/>
    <s v="Private Retailer"/>
    <s v="9474465107"/>
    <n v="0.45"/>
    <n v="423"/>
    <x v="0"/>
    <m/>
    <s v="2025-02-21"/>
    <s v="342343"/>
    <s v="Sri Subhas Chandra Khan"/>
    <s v="9804538127"/>
  </r>
  <r>
    <s v="RCF Thal"/>
    <s v="N.C.Urea(45kg)"/>
    <s v="WB"/>
    <x v="10"/>
    <s v="Polba - Dadpur"/>
    <s v="User Not Mapped"/>
    <s v="User Not Mapped"/>
    <s v="User Not Mapped"/>
    <n v="1328631"/>
    <s v="KUNDU FERTILISER"/>
    <s v="Private Retailer"/>
    <s v="9474465107"/>
    <n v="2.0699999999999998"/>
    <n v="156"/>
    <x v="4"/>
    <m/>
    <s v="2025-11-15"/>
    <s v="342343"/>
    <s v="Sri Subhas Chandra Khan"/>
    <s v="9804538127"/>
  </r>
  <r>
    <s v="RCF Trombay"/>
    <s v="15-15-15"/>
    <s v="WB"/>
    <x v="10"/>
    <s v="Singur"/>
    <s v="User Not Mapped"/>
    <s v="User Not Mapped"/>
    <s v="User Not Mapped"/>
    <n v="671405"/>
    <s v="M/S Ranjit Kokey"/>
    <s v="Private Retailer"/>
    <s v="9007723674"/>
    <n v="3.55"/>
    <n v="118"/>
    <x v="7"/>
    <m/>
    <s v="2025-12-23"/>
    <s v="342343"/>
    <s v="Sri Subhas Chandra Khan"/>
    <s v="9804538127"/>
  </r>
  <r>
    <s v="RCF Import"/>
    <s v="MOP"/>
    <s v="WB"/>
    <x v="10"/>
    <m/>
    <s v="User Not Mapped"/>
    <s v="User Not Mapped"/>
    <s v="User Not Mapped"/>
    <n v="354264"/>
    <s v="Murari Mohan Goswami"/>
    <s v="Private Retailer"/>
    <s v="7407808894"/>
    <n v="0.45"/>
    <n v="423"/>
    <x v="0"/>
    <m/>
    <s v="2025-02-21"/>
    <s v="342343"/>
    <s v="Sri Subhas Chandra Khan"/>
    <s v="9804538127"/>
  </r>
  <r>
    <s v="RCF Thal"/>
    <s v="N.C.Urea(45kg)"/>
    <s v="WB"/>
    <x v="10"/>
    <m/>
    <s v="User Not Mapped"/>
    <s v="User Not Mapped"/>
    <s v="User Not Mapped"/>
    <n v="354264"/>
    <s v="Murari Mohan Goswami"/>
    <s v="Private Retailer"/>
    <s v="7407808894"/>
    <n v="0.76500000000000001"/>
    <n v="64"/>
    <x v="6"/>
    <m/>
    <s v="2026-02-15"/>
    <s v="342343"/>
    <s v="Sri Subhas Chandra Khan"/>
    <s v="9804538127"/>
  </r>
  <r>
    <s v="RCF Thal"/>
    <s v="N.C.Urea(45kg)"/>
    <s v="WB"/>
    <x v="10"/>
    <s v="Polba - Dadpur"/>
    <s v="User Not Mapped"/>
    <s v="User Not Mapped"/>
    <s v="User Not Mapped"/>
    <n v="488326"/>
    <s v="Nashirul Haque Sarkar"/>
    <s v="Private Retailer"/>
    <s v="8900271947"/>
    <n v="4.8150000000000004"/>
    <n v="234"/>
    <x v="1"/>
    <m/>
    <s v="2025-08-29"/>
    <s v="342343"/>
    <s v="Sri Subhas Chandra Khan"/>
    <s v="9804538127"/>
  </r>
  <r>
    <s v="RCF Import"/>
    <s v="Imp 10-26-26"/>
    <s v="WB"/>
    <x v="10"/>
    <s v="Polba - Dadpur"/>
    <s v="User Not Mapped"/>
    <s v="User Not Mapped"/>
    <s v="User Not Mapped"/>
    <n v="488326"/>
    <s v="Nashirul Haque Sarkar"/>
    <s v="Private Retailer"/>
    <s v="8900271947"/>
    <n v="3.5"/>
    <n v="234"/>
    <x v="1"/>
    <m/>
    <s v="2025-08-29"/>
    <s v="342343"/>
    <s v="Sri Subhas Chandra Khan"/>
    <s v="9804538127"/>
  </r>
  <r>
    <s v="RCF Trombay"/>
    <s v="N.C.Urea(45kg)"/>
    <s v="WB"/>
    <x v="10"/>
    <s v="Polba - Dadpur"/>
    <s v="User Not Mapped"/>
    <s v="User Not Mapped"/>
    <s v="User Not Mapped"/>
    <n v="488326"/>
    <s v="Nashirul Haque Sarkar"/>
    <s v="Private Retailer"/>
    <s v="8900271947"/>
    <n v="12"/>
    <n v="253"/>
    <x v="1"/>
    <m/>
    <s v="2025-08-10"/>
    <s v="342343"/>
    <s v="Sri Subhas Chandra Khan"/>
    <s v="9804538127"/>
  </r>
  <r>
    <s v="RCF Trombay"/>
    <s v="15-15-15"/>
    <s v="WB"/>
    <x v="10"/>
    <s v="Singur"/>
    <s v="User Not Mapped"/>
    <s v="User Not Mapped"/>
    <s v="User Not Mapped"/>
    <n v="237343"/>
    <s v="Pahalampur Skus Ltd."/>
    <s v="PACS"/>
    <s v="9748619779"/>
    <n v="14.95"/>
    <n v="120"/>
    <x v="7"/>
    <m/>
    <s v="2025-12-21"/>
    <s v="342343"/>
    <s v="Sri Subhas Chandra Khan"/>
    <s v="9804538127"/>
  </r>
  <r>
    <s v="RCF Import"/>
    <s v="Imp 10-26-26"/>
    <s v="WB"/>
    <x v="10"/>
    <s v="Singur"/>
    <s v="User Not Mapped"/>
    <s v="User Not Mapped"/>
    <s v="User Not Mapped"/>
    <n v="237343"/>
    <s v="Pahalampur Skus Ltd."/>
    <s v="PACS"/>
    <s v="9748619779"/>
    <n v="36"/>
    <n v="51"/>
    <x v="3"/>
    <m/>
    <s v="2026-02-28"/>
    <s v="342343"/>
    <s v="Sri Subhas Chandra Khan"/>
    <s v="9804538127"/>
  </r>
  <r>
    <s v="RCF Import"/>
    <s v="Imp 10-26-26"/>
    <s v="WB"/>
    <x v="10"/>
    <s v="Polba - Dadpur"/>
    <s v="User Not Mapped"/>
    <s v="User Not Mapped"/>
    <s v="User Not Mapped"/>
    <n v="354315"/>
    <s v="Rajesh Ghosh"/>
    <s v="Private Retailer"/>
    <s v="8967460909"/>
    <n v="12"/>
    <n v="54"/>
    <x v="3"/>
    <m/>
    <s v="2026-02-25"/>
    <s v="342343"/>
    <s v="Sri Subhas Chandra Khan"/>
    <s v="9804538127"/>
  </r>
  <r>
    <s v="RCF Thal"/>
    <s v="N.C.Urea(45kg)"/>
    <s v="WB"/>
    <x v="10"/>
    <s v="Pandua"/>
    <s v="User Not Mapped"/>
    <s v="User Not Mapped"/>
    <s v="User Not Mapped"/>
    <n v="411307"/>
    <s v="Sankar Prosad Kumar"/>
    <s v="Private Retailer"/>
    <s v="9476195308"/>
    <n v="2.2050000000000001"/>
    <n v="156"/>
    <x v="4"/>
    <m/>
    <s v="2025-11-15"/>
    <s v="342343"/>
    <s v="Sri Subhas Chandra Khan"/>
    <s v="9804538127"/>
  </r>
  <r>
    <s v="RCF Thal"/>
    <s v="N.C.Urea(45kg)"/>
    <s v="WB"/>
    <x v="10"/>
    <s v="Pandua"/>
    <s v="User Not Mapped"/>
    <s v="User Not Mapped"/>
    <s v="User Not Mapped"/>
    <n v="342351"/>
    <s v="Saomnath Ghosh"/>
    <s v="Private Retailer"/>
    <s v="6295952687"/>
    <n v="1.395"/>
    <n v="255"/>
    <x v="1"/>
    <m/>
    <s v="2025-08-08"/>
    <s v="342343"/>
    <s v="Sri Subhas Chandra Khan"/>
    <s v="9804538127"/>
  </r>
  <r>
    <s v="RCF Thal"/>
    <s v="N.C.Urea(45kg)"/>
    <s v="WB"/>
    <x v="10"/>
    <s v="Polba - Dadpur"/>
    <s v="User Not Mapped"/>
    <s v="User Not Mapped"/>
    <s v="User Not Mapped"/>
    <n v="879523"/>
    <s v="SK AMINUR RAHAMAN"/>
    <s v="Private Retailer"/>
    <s v="9564966345"/>
    <n v="0.67500000000000004"/>
    <n v="87"/>
    <x v="6"/>
    <m/>
    <s v="2026-01-23"/>
    <s v="342343"/>
    <s v="Sri Subhas Chandra Khan"/>
    <s v="9804538127"/>
  </r>
  <r>
    <s v="RCF Thal"/>
    <s v="N.C.Urea(45kg)"/>
    <s v="WB"/>
    <x v="10"/>
    <s v="Polba - Dadpur"/>
    <s v="User Not Mapped"/>
    <s v="User Not Mapped"/>
    <s v="User Not Mapped"/>
    <n v="1411145"/>
    <s v="SK KRISHI BHANDER"/>
    <s v="Private Retailer"/>
    <s v="8159825275"/>
    <n v="0.46500000000000002"/>
    <n v="253"/>
    <x v="1"/>
    <m/>
    <s v="2025-08-10"/>
    <s v="342343"/>
    <s v="Sri Subhas Chandra Khan"/>
    <s v="9804538127"/>
  </r>
  <r>
    <s v="RCF Thal"/>
    <s v="N.C.Urea(45kg)"/>
    <s v="WB"/>
    <x v="10"/>
    <s v="Polba - Dadpur"/>
    <s v="User Not Mapped"/>
    <s v="User Not Mapped"/>
    <s v="User Not Mapped"/>
    <n v="1411145"/>
    <s v="SK KRISHI BHANDER"/>
    <s v="Private Retailer"/>
    <s v="8159825275"/>
    <n v="9"/>
    <n v="147"/>
    <x v="4"/>
    <m/>
    <s v="2025-11-24"/>
    <s v="342343"/>
    <s v="Sri Subhas Chandra Khan"/>
    <s v="9804538127"/>
  </r>
  <r>
    <s v="RCF Trombay"/>
    <s v="N.C.Urea(45kg)"/>
    <s v="WB"/>
    <x v="10"/>
    <s v="Polba - Dadpur"/>
    <s v="User Not Mapped"/>
    <s v="User Not Mapped"/>
    <s v="User Not Mapped"/>
    <n v="1411145"/>
    <s v="SK KRISHI BHANDER"/>
    <s v="Private Retailer"/>
    <s v="8159825275"/>
    <n v="7.56"/>
    <n v="92"/>
    <x v="7"/>
    <m/>
    <s v="2026-01-18"/>
    <s v="342343"/>
    <s v="Sri Subhas Chandra Khan"/>
    <s v="9804538127"/>
  </r>
  <r>
    <s v="RCF Thal"/>
    <s v="N.C.Urea(45kg)"/>
    <s v="WB"/>
    <x v="10"/>
    <s v="Dhaniakhali"/>
    <s v="User Not Mapped"/>
    <s v="User Not Mapped"/>
    <s v="User Not Mapped"/>
    <n v="482150"/>
    <s v="Sk. Masud Ali"/>
    <s v="Private Retailer"/>
    <s v="9735399760"/>
    <n v="0.72"/>
    <n v="141"/>
    <x v="4"/>
    <m/>
    <s v="2025-11-30"/>
    <s v="342343"/>
    <s v="Sri Subhas Chandra Khan"/>
    <s v="9804538127"/>
  </r>
  <r>
    <s v="RCF Trombay"/>
    <s v="N.C.Urea(45kg)"/>
    <s v="WB"/>
    <x v="10"/>
    <s v="Dhaniakhali"/>
    <s v="User Not Mapped"/>
    <s v="User Not Mapped"/>
    <s v="User Not Mapped"/>
    <n v="907371"/>
    <s v="SUNITI KUMAR MUKHOPADHYAY"/>
    <s v="Private Retailer"/>
    <s v="9434438204"/>
    <n v="7.2450000000000001"/>
    <n v="120"/>
    <x v="7"/>
    <m/>
    <s v="2025-12-21"/>
    <s v="342343"/>
    <s v="Sri Subhas Chandra Khan"/>
    <s v="9804538127"/>
  </r>
  <r>
    <s v="RCF Thal"/>
    <s v="N.C.Urea(45kg)"/>
    <s v="WB"/>
    <x v="10"/>
    <s v="Balagarh"/>
    <s v="User Not Mapped"/>
    <s v="User Not Mapped"/>
    <s v="User Not Mapped"/>
    <n v="1056929"/>
    <s v="GHOSH BROTHERS"/>
    <s v="Private Retailer"/>
    <s v="8373809387"/>
    <n v="0.63"/>
    <n v="61"/>
    <x v="6"/>
    <m/>
    <s v="2026-02-18"/>
    <s v="607374"/>
    <s v="SUMON SADHUKHAN"/>
    <s v="7980704821"/>
  </r>
  <r>
    <s v="RCF Trombay"/>
    <s v="N.C.Urea(45kg)"/>
    <s v="WB"/>
    <x v="10"/>
    <s v="Serampur Uttarpara"/>
    <s v="User Not Mapped"/>
    <s v="User Not Mapped"/>
    <s v="User Not Mapped"/>
    <n v="672111"/>
    <s v="M/S Krishbandhu Stores"/>
    <s v="Private Retailer"/>
    <s v="9231524013"/>
    <n v="3.15"/>
    <n v="120"/>
    <x v="7"/>
    <m/>
    <s v="2025-12-21"/>
    <s v="607374"/>
    <s v="SUMON SADHUKHAN"/>
    <s v="7980704821"/>
  </r>
  <r>
    <s v="RCF Thal"/>
    <s v="N.C.Urea(45kg)"/>
    <s v="WB"/>
    <x v="10"/>
    <s v="Serampur Uttarpara"/>
    <s v="User Not Mapped"/>
    <s v="User Not Mapped"/>
    <s v="User Not Mapped"/>
    <n v="672109"/>
    <s v="M/S Maa Monsha Fertilizer"/>
    <s v="Private Retailer"/>
    <s v="9474003699"/>
    <n v="1.8"/>
    <n v="29"/>
    <x v="5"/>
    <m/>
    <s v="2026-03-22"/>
    <s v="607374"/>
    <s v="SUMON SADHUKHAN"/>
    <s v="7980704821"/>
  </r>
  <r>
    <s v="RCF Thal"/>
    <s v="N.C.Urea(45kg)"/>
    <s v="WB"/>
    <x v="10"/>
    <s v="Pandua"/>
    <s v="User Not Mapped"/>
    <s v="User Not Mapped"/>
    <s v="User Not Mapped"/>
    <n v="242609"/>
    <s v="Satinath Sarkar"/>
    <s v="Private Retailer"/>
    <s v="9434033419"/>
    <n v="1.8"/>
    <n v="403"/>
    <x v="0"/>
    <m/>
    <s v="2025-03-13"/>
    <s v="607374"/>
    <s v="SUMON SADHUKHAN"/>
    <s v="7980704821"/>
  </r>
  <r>
    <s v="RCF Thal"/>
    <s v="N.C.Urea(45kg)"/>
    <s v="WB"/>
    <x v="10"/>
    <s v="Pandua"/>
    <s v="User Not Mapped"/>
    <s v="User Not Mapped"/>
    <s v="User Not Mapped"/>
    <n v="242609"/>
    <s v="Satinath Sarkar"/>
    <s v="Private Retailer"/>
    <s v="9434033419"/>
    <n v="2.79"/>
    <n v="233"/>
    <x v="1"/>
    <m/>
    <s v="2025-08-30"/>
    <s v="607374"/>
    <s v="SUMON SADHUKHAN"/>
    <s v="7980704821"/>
  </r>
  <r>
    <s v="RCF Thal"/>
    <s v="N.C.Urea(45kg)"/>
    <s v="WB"/>
    <x v="10"/>
    <s v="Jangipara"/>
    <s v="User Not Mapped"/>
    <s v="User Not Mapped"/>
    <s v="User Not Mapped"/>
    <n v="1527773"/>
    <s v="CHANDRANATH HAZRA"/>
    <s v="Private Retailer"/>
    <s v="9735379927"/>
    <n v="0.63"/>
    <n v="69"/>
    <x v="6"/>
    <m/>
    <s v="2026-02-10"/>
    <s v="260241"/>
    <s v="Tapan Kumar Chel"/>
    <s v="9007410200"/>
  </r>
  <r>
    <s v="RCF Trombay"/>
    <s v="15-15-15"/>
    <s v="WB"/>
    <x v="10"/>
    <s v="Haripal"/>
    <s v="User Not Mapped"/>
    <s v="User Not Mapped"/>
    <s v="User Not Mapped"/>
    <n v="354167"/>
    <s v="Chittaranjan Dey"/>
    <s v="Private Retailer"/>
    <s v="9433222952"/>
    <n v="2.75"/>
    <n v="124"/>
    <x v="4"/>
    <m/>
    <s v="2025-12-17"/>
    <s v="260241"/>
    <s v="Tapan Kumar Chel"/>
    <s v="9007410200"/>
  </r>
  <r>
    <s v="RCF Import"/>
    <s v="Imp 10-26-26"/>
    <s v="WB"/>
    <x v="10"/>
    <s v="Dhaniakhali"/>
    <s v="User Not Mapped"/>
    <s v="User Not Mapped"/>
    <s v="User Not Mapped"/>
    <n v="341229"/>
    <s v="Dasharathi Ghosh"/>
    <s v="Private Retailer"/>
    <s v="9474799508"/>
    <n v="3"/>
    <n v="55"/>
    <x v="3"/>
    <m/>
    <s v="2026-02-24"/>
    <s v="260241"/>
    <s v="Tapan Kumar Chel"/>
    <s v="9007410200"/>
  </r>
  <r>
    <s v="RCF Thal"/>
    <s v="N.C.Urea(45kg)"/>
    <s v="WB"/>
    <x v="10"/>
    <s v="Polba - Dadpur"/>
    <s v="User Not Mapped"/>
    <s v="User Not Mapped"/>
    <s v="User Not Mapped"/>
    <n v="659280"/>
    <s v="Dayamay Ghosh"/>
    <s v="Private Retailer"/>
    <s v="9093168127"/>
    <n v="0.63"/>
    <n v="69"/>
    <x v="6"/>
    <m/>
    <s v="2026-02-10"/>
    <s v="260241"/>
    <s v="Tapan Kumar Chel"/>
    <s v="9007410200"/>
  </r>
  <r>
    <s v="RCF Thal"/>
    <s v="N.C.Urea(45kg)"/>
    <s v="WB"/>
    <x v="10"/>
    <s v="Tarakeswar"/>
    <s v="User Not Mapped"/>
    <s v="User Not Mapped"/>
    <s v="User Not Mapped"/>
    <n v="242508"/>
    <s v="Dilip Chakrobortty"/>
    <s v="Private Retailer"/>
    <s v="9474493616"/>
    <n v="3.8250000000000002"/>
    <n v="146"/>
    <x v="4"/>
    <m/>
    <s v="2025-11-25"/>
    <s v="260241"/>
    <s v="Tapan Kumar Chel"/>
    <s v="9007410200"/>
  </r>
  <r>
    <s v="RCF Thal"/>
    <s v="N.C.Urea(45kg)"/>
    <s v="WB"/>
    <x v="10"/>
    <s v="Singur"/>
    <s v="User Not Mapped"/>
    <s v="User Not Mapped"/>
    <s v="User Not Mapped"/>
    <n v="1406490"/>
    <s v="Dilip Kumar Mallick"/>
    <s v="Private Retailer"/>
    <s v="8013145334"/>
    <n v="0.22500000000000001"/>
    <n v="69"/>
    <x v="6"/>
    <m/>
    <s v="2026-02-10"/>
    <s v="260241"/>
    <s v="Tapan Kumar Chel"/>
    <s v="9007410200"/>
  </r>
  <r>
    <s v="RCF Import"/>
    <s v="Imp 10-26-26"/>
    <s v="WB"/>
    <x v="10"/>
    <s v="Singur"/>
    <s v="User Not Mapped"/>
    <s v="User Not Mapped"/>
    <s v="User Not Mapped"/>
    <n v="1406490"/>
    <s v="Dilip Kumar Mallick"/>
    <s v="Private Retailer"/>
    <s v="8013145334"/>
    <n v="1.3"/>
    <n v="55"/>
    <x v="3"/>
    <m/>
    <s v="2026-02-24"/>
    <s v="260241"/>
    <s v="Tapan Kumar Chel"/>
    <s v="9007410200"/>
  </r>
  <r>
    <s v="RCF Trombay"/>
    <s v="15-15-15"/>
    <s v="WB"/>
    <x v="10"/>
    <s v="Singur"/>
    <s v="User Not Mapped"/>
    <s v="User Not Mapped"/>
    <s v="User Not Mapped"/>
    <n v="1406490"/>
    <s v="Dilip Kumar Mallick"/>
    <s v="Private Retailer"/>
    <s v="8013145334"/>
    <n v="0.2"/>
    <n v="124"/>
    <x v="4"/>
    <m/>
    <s v="2025-12-17"/>
    <s v="260241"/>
    <s v="Tapan Kumar Chel"/>
    <s v="9007410200"/>
  </r>
  <r>
    <s v="RCF Thal"/>
    <s v="N.C.Urea(45kg)"/>
    <s v="WB"/>
    <x v="10"/>
    <s v="Polba - Dadpur"/>
    <s v="User Not Mapped"/>
    <s v="User Not Mapped"/>
    <s v="User Not Mapped"/>
    <n v="306406"/>
    <s v="Halder Fertilizer"/>
    <s v="Private Retailer"/>
    <s v="9434516998"/>
    <n v="1.575"/>
    <n v="69"/>
    <x v="6"/>
    <m/>
    <s v="2026-02-10"/>
    <s v="260241"/>
    <s v="Tapan Kumar Chel"/>
    <s v="9007410200"/>
  </r>
  <r>
    <s v="RCF Thal"/>
    <s v="N.C.Urea(45kg)"/>
    <s v="WB"/>
    <x v="10"/>
    <s v="Polba - Dadpur"/>
    <s v="User Not Mapped"/>
    <s v="User Not Mapped"/>
    <s v="User Not Mapped"/>
    <n v="861762"/>
    <s v="HEMANTA SASMAL"/>
    <s v="Private Retailer"/>
    <s v="7063203637"/>
    <n v="5.9850000000000003"/>
    <n v="107"/>
    <x v="7"/>
    <m/>
    <s v="2026-01-03"/>
    <s v="260241"/>
    <s v="Tapan Kumar Chel"/>
    <s v="9007410200"/>
  </r>
  <r>
    <s v="RCF Trombay"/>
    <s v="15-15-15"/>
    <s v="WB"/>
    <x v="10"/>
    <s v="Haripal"/>
    <s v="User Not Mapped"/>
    <s v="User Not Mapped"/>
    <s v="User Not Mapped"/>
    <n v="354211"/>
    <s v="Jayata Kumar Rakshit"/>
    <s v="Private Retailer"/>
    <s v="9932231756"/>
    <n v="1.35"/>
    <n v="492"/>
    <x v="0"/>
    <m/>
    <s v="2024-12-14"/>
    <s v="260241"/>
    <s v="Tapan Kumar Chel"/>
    <s v="9007410200"/>
  </r>
  <r>
    <s v="RCF Trombay"/>
    <s v="15-15-15"/>
    <s v="WB"/>
    <x v="10"/>
    <s v="Polba - Dadpur"/>
    <s v="User Not Mapped"/>
    <s v="User Not Mapped"/>
    <s v="User Not Mapped"/>
    <n v="1001699"/>
    <s v="KEDAR NATH DAS"/>
    <s v="Private Retailer"/>
    <s v="9007000576"/>
    <n v="1.85"/>
    <n v="124"/>
    <x v="4"/>
    <m/>
    <s v="2025-12-17"/>
    <s v="260241"/>
    <s v="Tapan Kumar Chel"/>
    <s v="9007410200"/>
  </r>
  <r>
    <s v="RCF Import"/>
    <s v="Imp 10-26-26"/>
    <s v="WB"/>
    <x v="10"/>
    <s v="Polba - Dadpur"/>
    <s v="User Not Mapped"/>
    <s v="User Not Mapped"/>
    <s v="User Not Mapped"/>
    <n v="1001699"/>
    <s v="KEDAR NATH DAS"/>
    <s v="Private Retailer"/>
    <s v="9007000576"/>
    <n v="2.65"/>
    <n v="55"/>
    <x v="3"/>
    <m/>
    <s v="2026-02-24"/>
    <s v="260241"/>
    <s v="Tapan Kumar Chel"/>
    <s v="9007410200"/>
  </r>
  <r>
    <s v="RCF Thal"/>
    <s v="N.C.Urea(45kg)"/>
    <s v="WB"/>
    <x v="10"/>
    <s v="Polba - Dadpur"/>
    <s v="User Not Mapped"/>
    <s v="User Not Mapped"/>
    <s v="User Not Mapped"/>
    <n v="488424"/>
    <s v="Krishi Sathi"/>
    <s v="Private Retailer"/>
    <s v="9474703262"/>
    <n v="10.035"/>
    <n v="163"/>
    <x v="4"/>
    <m/>
    <s v="2025-11-08"/>
    <s v="260241"/>
    <s v="Tapan Kumar Chel"/>
    <s v="9007410200"/>
  </r>
  <r>
    <s v="RCF Import"/>
    <s v="MOP"/>
    <s v="WB"/>
    <x v="10"/>
    <m/>
    <s v="User Not Mapped"/>
    <s v="User Not Mapped"/>
    <s v="User Not Mapped"/>
    <n v="242555"/>
    <s v="Krishi Sri"/>
    <s v="Private Retailer"/>
    <s v="9434828636"/>
    <n v="0.55000000000000004"/>
    <n v="428"/>
    <x v="0"/>
    <m/>
    <s v="2025-02-16"/>
    <s v="260241"/>
    <s v="Tapan Kumar Chel"/>
    <s v="9007410200"/>
  </r>
  <r>
    <s v="RCF Trombay"/>
    <s v="15-15-15"/>
    <s v="WB"/>
    <x v="10"/>
    <s v="Haripal"/>
    <s v="User Not Mapped"/>
    <s v="User Not Mapped"/>
    <s v="User Not Mapped"/>
    <n v="888411"/>
    <s v="M/S BIKAS CHANDRA BHANDARI"/>
    <s v="Private Wholsaler"/>
    <s v="8013238945"/>
    <n v="11.5"/>
    <n v="124"/>
    <x v="4"/>
    <s v="'58'"/>
    <s v="2025-12-17"/>
    <s v="260241"/>
    <s v="Tapan Kumar Chel"/>
    <s v="9007410200"/>
  </r>
  <r>
    <s v="RCF Thal"/>
    <s v="N.C.Urea(45kg)"/>
    <s v="WB"/>
    <x v="10"/>
    <s v="Haripal"/>
    <s v="User Not Mapped"/>
    <s v="User Not Mapped"/>
    <s v="User Not Mapped"/>
    <n v="888411"/>
    <s v="M/S BIKAS CHANDRA BHANDARI"/>
    <s v="Private Wholsaler"/>
    <s v="8013238945"/>
    <n v="7.1550000000000002"/>
    <n v="69"/>
    <x v="6"/>
    <s v="'254'"/>
    <s v="2026-02-10"/>
    <s v="260241"/>
    <s v="Tapan Kumar Chel"/>
    <s v="9007410200"/>
  </r>
  <r>
    <s v="RCF Trombay"/>
    <s v="N.C.Urea(45kg)"/>
    <s v="WB"/>
    <x v="10"/>
    <s v="Haripal"/>
    <s v="User Not Mapped"/>
    <s v="User Not Mapped"/>
    <s v="User Not Mapped"/>
    <n v="888411"/>
    <s v="M/S BIKAS CHANDRA BHANDARI"/>
    <s v="Private Wholsaler"/>
    <s v="8013238945"/>
    <n v="1.0349999999999999"/>
    <n v="124"/>
    <x v="4"/>
    <s v="'182'"/>
    <s v="2025-12-17"/>
    <s v="260241"/>
    <s v="Tapan Kumar Chel"/>
    <s v="9007410200"/>
  </r>
  <r>
    <s v="RCF Thal"/>
    <s v="N.C.Urea(45kg)"/>
    <s v="WB"/>
    <x v="10"/>
    <s v="Haripal"/>
    <s v="User Not Mapped"/>
    <s v="User Not Mapped"/>
    <s v="User Not Mapped"/>
    <n v="1354308"/>
    <s v="M/S MALLICK KRISHI BHANDAR"/>
    <s v="Private Retailer"/>
    <s v="9932583732"/>
    <n v="0.99"/>
    <n v="145"/>
    <x v="4"/>
    <m/>
    <s v="2025-11-26"/>
    <s v="260241"/>
    <s v="Tapan Kumar Chel"/>
    <s v="9007410200"/>
  </r>
  <r>
    <s v="RCF Import"/>
    <s v="Imp 10-26-26"/>
    <s v="WB"/>
    <x v="10"/>
    <s v="Haripal"/>
    <s v="User Not Mapped"/>
    <s v="User Not Mapped"/>
    <s v="User Not Mapped"/>
    <n v="1354308"/>
    <s v="M/S MALLICK KRISHI BHANDAR"/>
    <s v="Private Retailer"/>
    <s v="9932583732"/>
    <n v="0.25"/>
    <n v="504"/>
    <x v="0"/>
    <m/>
    <s v="2024-12-02"/>
    <s v="260241"/>
    <s v="Tapan Kumar Chel"/>
    <s v="9007410200"/>
  </r>
  <r>
    <s v="RCF Thal"/>
    <s v="N.C.Urea(45kg)"/>
    <s v="WB"/>
    <x v="10"/>
    <s v="Singur"/>
    <s v="User Not Mapped"/>
    <s v="User Not Mapped"/>
    <s v="User Not Mapped"/>
    <n v="671327"/>
    <s v="M/S Pradip Kumar Das"/>
    <s v="Private Retailer"/>
    <s v="9007409745"/>
    <n v="0.18"/>
    <n v="69"/>
    <x v="6"/>
    <m/>
    <s v="2026-02-10"/>
    <s v="260241"/>
    <s v="Tapan Kumar Chel"/>
    <s v="9007410200"/>
  </r>
  <r>
    <s v="RCF Thal"/>
    <s v="N.C.Urea(45kg)"/>
    <s v="WB"/>
    <x v="10"/>
    <s v="Singur"/>
    <s v="User Not Mapped"/>
    <s v="User Not Mapped"/>
    <s v="User Not Mapped"/>
    <n v="671405"/>
    <s v="M/S Ranjit Kokey"/>
    <s v="Private Retailer"/>
    <s v="9007723674"/>
    <n v="1.6"/>
    <n v="69"/>
    <x v="6"/>
    <m/>
    <s v="2026-02-10"/>
    <s v="260241"/>
    <s v="Tapan Kumar Chel"/>
    <s v="9007410200"/>
  </r>
  <r>
    <s v="RCF Thal"/>
    <s v="N.C.Urea(45kg)"/>
    <s v="WB"/>
    <x v="10"/>
    <s v="Haripal"/>
    <s v="User Not Mapped"/>
    <s v="User Not Mapped"/>
    <s v="User Not Mapped"/>
    <n v="1320506"/>
    <s v="M/S SASTI RAM GHOSH"/>
    <s v="Private Retailer"/>
    <s v="8158002288"/>
    <n v="0.99"/>
    <n v="69"/>
    <x v="6"/>
    <m/>
    <s v="2026-02-10"/>
    <s v="260241"/>
    <s v="Tapan Kumar Chel"/>
    <s v="9007410200"/>
  </r>
  <r>
    <s v="RCF Import"/>
    <s v="Imp 10-26-26"/>
    <s v="WB"/>
    <x v="10"/>
    <s v="Dhaniakhali"/>
    <s v="User Not Mapped"/>
    <s v="User Not Mapped"/>
    <s v="User Not Mapped"/>
    <n v="1469409"/>
    <s v="M/S SRIKRISHNA TRADERS"/>
    <s v="Private Retailer"/>
    <s v="9733692421"/>
    <n v="4.4000000000000004"/>
    <n v="55"/>
    <x v="3"/>
    <m/>
    <s v="2026-02-24"/>
    <s v="260241"/>
    <s v="Tapan Kumar Chel"/>
    <s v="9007410200"/>
  </r>
  <r>
    <s v="RCF Trombay"/>
    <s v="15-15-15"/>
    <s v="WB"/>
    <x v="10"/>
    <s v="Singur"/>
    <s v="User Not Mapped"/>
    <s v="User Not Mapped"/>
    <s v="User Not Mapped"/>
    <n v="949481"/>
    <s v="M/s.Gopinath Koley"/>
    <s v="Private Retailer"/>
    <s v="6290623762"/>
    <n v="3.7"/>
    <n v="124"/>
    <x v="4"/>
    <m/>
    <s v="2025-12-17"/>
    <s v="260241"/>
    <s v="Tapan Kumar Chel"/>
    <s v="9007410200"/>
  </r>
  <r>
    <s v="RCF Thal"/>
    <s v="N.C.Urea(45kg)"/>
    <s v="WB"/>
    <x v="10"/>
    <s v="Jangipara"/>
    <s v="User Not Mapped"/>
    <s v="User Not Mapped"/>
    <s v="User Not Mapped"/>
    <n v="1405245"/>
    <s v="MA RAJBALLAVI KRISHI BHANDAR"/>
    <s v="Private Retailer"/>
    <s v="7001561033"/>
    <n v="3.7349999999999999"/>
    <n v="578"/>
    <x v="2"/>
    <m/>
    <s v="2024-09-19"/>
    <s v="260241"/>
    <s v="Tapan Kumar Chel"/>
    <s v="9007410200"/>
  </r>
  <r>
    <s v="RCF Trombay"/>
    <s v="15-15-15"/>
    <s v="WB"/>
    <x v="10"/>
    <s v="Dhaniakhali"/>
    <s v="User Not Mapped"/>
    <s v="User Not Mapped"/>
    <s v="User Not Mapped"/>
    <n v="411311"/>
    <s v="Manoranjan Krishi Bipani"/>
    <s v="Private Retailer"/>
    <s v="9474094782"/>
    <n v="3"/>
    <n v="255"/>
    <x v="1"/>
    <m/>
    <s v="2025-08-08"/>
    <s v="260241"/>
    <s v="Tapan Kumar Chel"/>
    <s v="9007410200"/>
  </r>
  <r>
    <s v="RCF Import"/>
    <s v="MOP"/>
    <s v="WB"/>
    <x v="10"/>
    <s v="Dhaniakhali"/>
    <s v="User Not Mapped"/>
    <s v="User Not Mapped"/>
    <s v="User Not Mapped"/>
    <n v="411311"/>
    <s v="Manoranjan Krishi Bipani"/>
    <s v="Private Retailer"/>
    <s v="9474094782"/>
    <n v="3.3"/>
    <n v="577"/>
    <x v="2"/>
    <m/>
    <s v="2024-09-20"/>
    <s v="260241"/>
    <s v="Tapan Kumar Chel"/>
    <s v="9007410200"/>
  </r>
  <r>
    <s v="RCF Import"/>
    <s v="MOP"/>
    <s v="WB"/>
    <x v="10"/>
    <s v="Chanditala - II"/>
    <s v="User Not Mapped"/>
    <s v="User Not Mapped"/>
    <s v="User Not Mapped"/>
    <n v="354271"/>
    <s v="New Durgamata Fertiliser"/>
    <s v="Private Retailer"/>
    <s v="9933840911"/>
    <n v="0.7"/>
    <n v="577"/>
    <x v="2"/>
    <m/>
    <s v="2024-09-20"/>
    <s v="260241"/>
    <s v="Tapan Kumar Chel"/>
    <s v="9007410200"/>
  </r>
  <r>
    <s v="RCF Trombay"/>
    <s v="15-15-15"/>
    <s v="WB"/>
    <x v="10"/>
    <s v="Singur"/>
    <s v="User Not Mapped"/>
    <s v="User Not Mapped"/>
    <s v="User Not Mapped"/>
    <n v="237342"/>
    <s v="Noapara Skus Ltd."/>
    <s v="PACS"/>
    <s v="9433652135"/>
    <n v="0.105"/>
    <n v="124"/>
    <x v="4"/>
    <m/>
    <s v="2025-12-17"/>
    <s v="260241"/>
    <s v="Tapan Kumar Chel"/>
    <s v="9007410200"/>
  </r>
  <r>
    <s v="RCF Thal"/>
    <s v="N.C.Urea(45kg)"/>
    <s v="WB"/>
    <x v="10"/>
    <s v="Singur"/>
    <s v="User Not Mapped"/>
    <s v="User Not Mapped"/>
    <s v="User Not Mapped"/>
    <n v="237342"/>
    <s v="Noapara Skus Ltd."/>
    <s v="PACS"/>
    <s v="9433652135"/>
    <n v="4.5049999999999999"/>
    <n v="69"/>
    <x v="6"/>
    <m/>
    <s v="2026-02-10"/>
    <s v="260241"/>
    <s v="Tapan Kumar Chel"/>
    <s v="9007410200"/>
  </r>
  <r>
    <s v="RCF Trombay"/>
    <s v="N.C.Urea(45kg)"/>
    <s v="WB"/>
    <x v="10"/>
    <s v="Pandua"/>
    <s v="User Not Mapped"/>
    <s v="User Not Mapped"/>
    <s v="User Not Mapped"/>
    <n v="411357"/>
    <s v="Pannalal Das"/>
    <s v="Private Retailer"/>
    <s v="7699553080"/>
    <n v="1.98"/>
    <n v="1277"/>
    <x v="2"/>
    <m/>
    <s v="2022-10-21"/>
    <s v="260241"/>
    <s v="Tapan Kumar Chel"/>
    <s v="9007410200"/>
  </r>
  <r>
    <s v="RCF Trombay"/>
    <s v="N.C.Urea(45kg)"/>
    <s v="WB"/>
    <x v="10"/>
    <s v="Pandua"/>
    <s v="User Not Mapped"/>
    <s v="User Not Mapped"/>
    <s v="User Not Mapped"/>
    <n v="411357"/>
    <s v="Pannalal Das"/>
    <s v="Private Retailer"/>
    <s v="7699553080"/>
    <n v="5.49"/>
    <n v="1060"/>
    <x v="2"/>
    <m/>
    <s v="2023-05-26"/>
    <s v="260241"/>
    <s v="Tapan Kumar Chel"/>
    <s v="9007410200"/>
  </r>
  <r>
    <s v="RCF Thal"/>
    <s v="N.C.Urea(45kg)"/>
    <s v="WB"/>
    <x v="10"/>
    <s v="Pandua"/>
    <s v="User Not Mapped"/>
    <s v="User Not Mapped"/>
    <s v="User Not Mapped"/>
    <n v="411357"/>
    <s v="Pannalal Das"/>
    <s v="Private Retailer"/>
    <s v="7699553080"/>
    <n v="3.69"/>
    <n v="1176"/>
    <x v="2"/>
    <m/>
    <s v="2023-01-30"/>
    <s v="260241"/>
    <s v="Tapan Kumar Chel"/>
    <s v="9007410200"/>
  </r>
  <r>
    <s v="RCF Thal"/>
    <s v="N.C.Urea(45kg)"/>
    <s v="WB"/>
    <x v="10"/>
    <s v="Jangipara"/>
    <s v="User Not Mapped"/>
    <s v="User Not Mapped"/>
    <s v="User Not Mapped"/>
    <n v="624283"/>
    <s v="PRADIP KUMAR SEN"/>
    <s v="Private Retailer"/>
    <s v="9775786364"/>
    <n v="2.4300000000000002"/>
    <n v="889"/>
    <x v="2"/>
    <m/>
    <s v="2023-11-13"/>
    <s v="260241"/>
    <s v="Tapan Kumar Chel"/>
    <s v="9007410200"/>
  </r>
  <r>
    <s v="RCF Thal"/>
    <s v="N.C.Urea(45kg)"/>
    <s v="WB"/>
    <x v="10"/>
    <s v="Haripal"/>
    <s v="User Not Mapped"/>
    <s v="User Not Mapped"/>
    <s v="User Not Mapped"/>
    <n v="354303"/>
    <s v="Pravat Kumar Chatterjee"/>
    <s v="Private Retailer"/>
    <s v="8240812278"/>
    <n v="2.7"/>
    <n v="578"/>
    <x v="2"/>
    <m/>
    <s v="2024-09-19"/>
    <s v="260241"/>
    <s v="Tapan Kumar Chel"/>
    <s v="9007410200"/>
  </r>
  <r>
    <s v="RCF Trombay"/>
    <s v="15-15-15"/>
    <s v="WB"/>
    <x v="10"/>
    <s v="Haripal"/>
    <s v="User Not Mapped"/>
    <s v="User Not Mapped"/>
    <s v="User Not Mapped"/>
    <n v="354303"/>
    <s v="Pravat Kumar Chatterjee"/>
    <s v="Private Retailer"/>
    <s v="8240812278"/>
    <n v="0.05"/>
    <n v="861"/>
    <x v="2"/>
    <m/>
    <s v="2023-12-11"/>
    <s v="260241"/>
    <s v="Tapan Kumar Chel"/>
    <s v="9007410200"/>
  </r>
  <r>
    <s v="RCF Thal"/>
    <s v="N.C.Urea(45kg)"/>
    <s v="WB"/>
    <x v="10"/>
    <s v="Haripal"/>
    <s v="User Not Mapped"/>
    <s v="User Not Mapped"/>
    <s v="User Not Mapped"/>
    <n v="1605701"/>
    <s v="RABINDRANATH DAS SAR SHOP"/>
    <s v="Private Retailer"/>
    <s v="9883773601"/>
    <n v="0.45"/>
    <n v="145"/>
    <x v="4"/>
    <m/>
    <s v="2025-11-26"/>
    <s v="260241"/>
    <s v="Tapan Kumar Chel"/>
    <s v="9007410200"/>
  </r>
  <r>
    <s v="RCF Trombay"/>
    <s v="15-15-15"/>
    <s v="WB"/>
    <x v="10"/>
    <s v="Singur"/>
    <s v="User Not Mapped"/>
    <s v="User Not Mapped"/>
    <s v="User Not Mapped"/>
    <n v="354323"/>
    <s v="Ramesh Chandra Das"/>
    <s v="Private Retailer"/>
    <s v="9163724998"/>
    <n v="0.25"/>
    <n v="124"/>
    <x v="4"/>
    <m/>
    <s v="2025-12-17"/>
    <s v="260241"/>
    <s v="Tapan Kumar Chel"/>
    <s v="9007410200"/>
  </r>
  <r>
    <s v="RCF Thal"/>
    <s v="N.C.Urea(45kg)"/>
    <s v="WB"/>
    <x v="10"/>
    <s v="Balagarh"/>
    <s v="User Not Mapped"/>
    <s v="User Not Mapped"/>
    <s v="User Not Mapped"/>
    <n v="498202"/>
    <s v="Samar Sandhukhan"/>
    <s v="Private Retailer"/>
    <s v="8926655586"/>
    <n v="11.97"/>
    <n v="69"/>
    <x v="6"/>
    <m/>
    <s v="2026-02-10"/>
    <s v="260241"/>
    <s v="Tapan Kumar Chel"/>
    <s v="9007410200"/>
  </r>
  <r>
    <s v="RCF Trombay"/>
    <s v="15-15-15"/>
    <s v="WB"/>
    <x v="10"/>
    <s v="Chanditala - II"/>
    <s v="User Not Mapped"/>
    <s v="User Not Mapped"/>
    <s v="User Not Mapped"/>
    <n v="514781"/>
    <s v="SANJOY KOLEY"/>
    <s v="Private Retailer"/>
    <s v="9903235320"/>
    <n v="4"/>
    <n v="124"/>
    <x v="4"/>
    <m/>
    <s v="2025-12-17"/>
    <s v="260241"/>
    <s v="Tapan Kumar Chel"/>
    <s v="9007410200"/>
  </r>
  <r>
    <s v="RCF Trombay"/>
    <s v="15-15-15"/>
    <s v="WB"/>
    <x v="10"/>
    <s v="Chanditala - II"/>
    <s v="User Not Mapped"/>
    <s v="User Not Mapped"/>
    <s v="User Not Mapped"/>
    <n v="514781"/>
    <s v="SANJOY KOLEY"/>
    <s v="Private Retailer"/>
    <s v="9903235320"/>
    <n v="1"/>
    <n v="211"/>
    <x v="1"/>
    <m/>
    <s v="2025-09-21"/>
    <s v="260241"/>
    <s v="Tapan Kumar Chel"/>
    <s v="9007410200"/>
  </r>
  <r>
    <s v="RCF Trombay"/>
    <s v="15-15-15"/>
    <s v="WB"/>
    <x v="10"/>
    <s v="Haripal"/>
    <s v="User Not Mapped"/>
    <s v="User Not Mapped"/>
    <s v="User Not Mapped"/>
    <n v="411105"/>
    <s v="Satya Narayan Krishi Bhander"/>
    <s v="Private Retailer"/>
    <s v="9433893799"/>
    <n v="0.2"/>
    <n v="124"/>
    <x v="4"/>
    <m/>
    <s v="2025-12-17"/>
    <s v="260241"/>
    <s v="Tapan Kumar Chel"/>
    <s v="9007410200"/>
  </r>
  <r>
    <s v="RCF Trombay"/>
    <s v="15-15-15"/>
    <s v="WB"/>
    <x v="10"/>
    <s v="Polba - Dadpur"/>
    <s v="User Not Mapped"/>
    <s v="User Not Mapped"/>
    <s v="User Not Mapped"/>
    <n v="354349"/>
    <s v="Shyamal Jana"/>
    <s v="Private Retailer"/>
    <s v="9434615220"/>
    <n v="6"/>
    <n v="124"/>
    <x v="4"/>
    <m/>
    <s v="2025-12-17"/>
    <s v="260241"/>
    <s v="Tapan Kumar Chel"/>
    <s v="9007410200"/>
  </r>
  <r>
    <s v="RCF Trombay"/>
    <s v="15-15-15"/>
    <s v="WB"/>
    <x v="10"/>
    <s v="Polba - Dadpur"/>
    <s v="User Not Mapped"/>
    <s v="User Not Mapped"/>
    <s v="User Not Mapped"/>
    <n v="354349"/>
    <s v="Shyamal Jana"/>
    <s v="Private Retailer"/>
    <s v="9434615220"/>
    <n v="0.95"/>
    <n v="211"/>
    <x v="1"/>
    <m/>
    <s v="2025-09-21"/>
    <s v="260241"/>
    <s v="Tapan Kumar Chel"/>
    <s v="9007410200"/>
  </r>
  <r>
    <s v="RCF Import"/>
    <s v="Imp 10-26-26"/>
    <s v="WB"/>
    <x v="10"/>
    <s v="Khanakul - I"/>
    <s v="User Not Mapped"/>
    <s v="User Not Mapped"/>
    <s v="User Not Mapped"/>
    <n v="552170"/>
    <s v="Shyamal Khamrui"/>
    <s v="Private Retailer"/>
    <s v="9830488270"/>
    <n v="21.4"/>
    <n v="55"/>
    <x v="3"/>
    <m/>
    <s v="2026-02-24"/>
    <s v="260241"/>
    <s v="Tapan Kumar Chel"/>
    <s v="9007410200"/>
  </r>
  <r>
    <s v="RCF Thal"/>
    <s v="N.C.Urea(45kg)"/>
    <s v="WB"/>
    <x v="10"/>
    <s v="Khanakul - I"/>
    <s v="User Not Mapped"/>
    <s v="User Not Mapped"/>
    <s v="User Not Mapped"/>
    <n v="552170"/>
    <s v="Shyamal Khamrui"/>
    <s v="Private Retailer"/>
    <s v="9830488270"/>
    <n v="17.91"/>
    <n v="69"/>
    <x v="6"/>
    <m/>
    <s v="2026-02-10"/>
    <s v="260241"/>
    <s v="Tapan Kumar Chel"/>
    <s v="9007410200"/>
  </r>
  <r>
    <s v="RCF Trombay"/>
    <s v="15-15-15"/>
    <s v="WB"/>
    <x v="10"/>
    <s v="Singur"/>
    <s v="User Not Mapped"/>
    <s v="User Not Mapped"/>
    <s v="User Not Mapped"/>
    <n v="1053519"/>
    <s v="SOUMEN PATRA"/>
    <s v="Private Retailer"/>
    <s v="7980636709"/>
    <n v="2.2000000000000002"/>
    <n v="211"/>
    <x v="1"/>
    <m/>
    <s v="2025-09-21"/>
    <s v="260241"/>
    <s v="Tapan Kumar Chel"/>
    <s v="9007410200"/>
  </r>
  <r>
    <s v="RCF Trombay"/>
    <s v="15-15-15"/>
    <s v="WB"/>
    <x v="10"/>
    <s v="Polba - Dadpur"/>
    <s v="User Not Mapped"/>
    <s v="User Not Mapped"/>
    <s v="User Not Mapped"/>
    <n v="342343"/>
    <s v="Sri Subhas Chandra Khan"/>
    <s v="Private Wholsaler"/>
    <s v="9804538127"/>
    <n v="6"/>
    <n v="124"/>
    <x v="4"/>
    <s v="'57'"/>
    <s v="2025-12-17"/>
    <s v="260241"/>
    <s v="Tapan Kumar Chel"/>
    <s v="9007410200"/>
  </r>
  <r>
    <s v="RCF Trombay"/>
    <s v="N.C.Urea(45kg)"/>
    <s v="WB"/>
    <x v="10"/>
    <s v="Polba - Dadpur"/>
    <s v="User Not Mapped"/>
    <s v="User Not Mapped"/>
    <s v="User Not Mapped"/>
    <n v="342343"/>
    <s v="Sri Subhas Chandra Khan"/>
    <s v="Private Wholsaler"/>
    <s v="9804538127"/>
    <n v="17.93"/>
    <n v="124"/>
    <x v="4"/>
    <s v="'179'"/>
    <s v="2025-12-17"/>
    <s v="260241"/>
    <s v="Tapan Kumar Chel"/>
    <s v="9007410200"/>
  </r>
  <r>
    <s v="RCF Thal"/>
    <s v="N.C.Urea(45kg)"/>
    <s v="WB"/>
    <x v="10"/>
    <s v="Polba - Dadpur"/>
    <s v="User Not Mapped"/>
    <s v="User Not Mapped"/>
    <s v="User Not Mapped"/>
    <n v="342343"/>
    <s v="Sri Subhas Chandra Khan"/>
    <s v="Private Wholsaler"/>
    <s v="9804538127"/>
    <n v="29.925000000000001"/>
    <n v="69"/>
    <x v="6"/>
    <s v="'251'"/>
    <s v="2026-02-10"/>
    <s v="260241"/>
    <s v="Tapan Kumar Chel"/>
    <s v="9007410200"/>
  </r>
  <r>
    <s v="RCF Thal"/>
    <s v="N.C.Urea(45kg)"/>
    <s v="WB"/>
    <x v="10"/>
    <s v="Polba - Dadpur"/>
    <s v="User Not Mapped"/>
    <s v="User Not Mapped"/>
    <s v="User Not Mapped"/>
    <n v="342343"/>
    <s v="Sri Subhas Chandra Khan"/>
    <s v="Private Wholsaler"/>
    <s v="9804538127"/>
    <n v="2.2200000000000002"/>
    <n v="69"/>
    <x v="6"/>
    <s v="'0251'"/>
    <s v="2026-02-10"/>
    <s v="260241"/>
    <s v="Tapan Kumar Chel"/>
    <s v="9007410200"/>
  </r>
  <r>
    <s v="RCF Trombay"/>
    <s v="15-15-15"/>
    <s v="WB"/>
    <x v="10"/>
    <s v="Singur"/>
    <s v="User Not Mapped"/>
    <s v="User Not Mapped"/>
    <s v="User Not Mapped"/>
    <n v="1110962"/>
    <s v="SRICHARAN DAS"/>
    <s v="Private Retailer"/>
    <s v="6296540117"/>
    <n v="2.25"/>
    <n v="124"/>
    <x v="4"/>
    <m/>
    <s v="2025-12-17"/>
    <s v="260241"/>
    <s v="Tapan Kumar Chel"/>
    <s v="9007410200"/>
  </r>
  <r>
    <s v="RCF Thal"/>
    <s v="N.C.Urea(45kg)"/>
    <s v="WB"/>
    <x v="10"/>
    <s v="Singur"/>
    <s v="User Not Mapped"/>
    <s v="User Not Mapped"/>
    <s v="User Not Mapped"/>
    <n v="1110962"/>
    <s v="SRICHARAN DAS"/>
    <s v="Private Retailer"/>
    <s v="6296540117"/>
    <n v="3.96"/>
    <n v="146"/>
    <x v="4"/>
    <m/>
    <s v="2025-11-25"/>
    <s v="260241"/>
    <s v="Tapan Kumar Chel"/>
    <s v="9007410200"/>
  </r>
  <r>
    <s v="RCF Trombay"/>
    <s v="N.C.Urea(45kg)"/>
    <s v="WB"/>
    <x v="10"/>
    <s v="Khanakul - I"/>
    <s v="User Not Mapped"/>
    <s v="User Not Mapped"/>
    <s v="User Not Mapped"/>
    <n v="1520692"/>
    <s v="SRIKANTA RANA"/>
    <s v="Private Retailer"/>
    <s v="8927452805"/>
    <n v="2.835"/>
    <n v="107"/>
    <x v="7"/>
    <m/>
    <s v="2026-01-03"/>
    <s v="260241"/>
    <s v="Tapan Kumar Chel"/>
    <s v="9007410200"/>
  </r>
  <r>
    <s v="RCF Trombay SCU"/>
    <s v="Sulphur Coated Urea(40Kg)"/>
    <s v="WB"/>
    <x v="10"/>
    <s v="Pursura"/>
    <s v="User Not Mapped"/>
    <s v="User Not Mapped"/>
    <s v="User Not Mapped"/>
    <n v="354373"/>
    <s v="Sukhendu Ghosh"/>
    <s v="Private Retailer"/>
    <s v="9749607273"/>
    <n v="0.8"/>
    <n v="467"/>
    <x v="0"/>
    <m/>
    <s v="2025-01-08"/>
    <s v="260241"/>
    <s v="Tapan Kumar Chel"/>
    <s v="9007410200"/>
  </r>
  <r>
    <s v="RCF Thal"/>
    <s v="N.C.Urea(45kg)"/>
    <s v="WB"/>
    <x v="10"/>
    <s v="Chinsurah - Magra"/>
    <s v="User Not Mapped"/>
    <s v="User Not Mapped"/>
    <s v="User Not Mapped"/>
    <n v="607374"/>
    <s v="SUMON SADHUKHAN"/>
    <s v="Private Wholsaler"/>
    <s v="7980704821"/>
    <n v="7.86"/>
    <n v="69"/>
    <x v="6"/>
    <s v="'253'"/>
    <s v="2026-02-10"/>
    <s v="260241"/>
    <s v="Tapan Kumar Chel"/>
    <s v="9007410200"/>
  </r>
  <r>
    <s v="RCF Trombay"/>
    <s v="15-15-15"/>
    <s v="WB"/>
    <x v="10"/>
    <s v="Chinsurah - Magra"/>
    <s v="User Not Mapped"/>
    <s v="User Not Mapped"/>
    <s v="User Not Mapped"/>
    <n v="607374"/>
    <s v="SUMON SADHUKHAN"/>
    <s v="Private Wholsaler"/>
    <s v="7980704821"/>
    <n v="8"/>
    <n v="124"/>
    <x v="4"/>
    <s v="'59'"/>
    <s v="2025-12-17"/>
    <s v="260241"/>
    <s v="Tapan Kumar Chel"/>
    <s v="9007410200"/>
  </r>
  <r>
    <s v="RCF Thal"/>
    <s v="N.C.Urea(45kg)"/>
    <s v="WB"/>
    <x v="10"/>
    <m/>
    <s v="User Not Mapped"/>
    <s v="User Not Mapped"/>
    <s v="User Not Mapped"/>
    <n v="900869"/>
    <s v="SUVRAJIT SAMANTA"/>
    <s v="Private Retailer"/>
    <s v="9735809652"/>
    <n v="3.06"/>
    <n v="2049"/>
    <x v="2"/>
    <m/>
    <s v="2020-09-09"/>
    <s v="260241"/>
    <s v="Tapan Kumar Chel"/>
    <s v="9007410200"/>
  </r>
  <r>
    <s v="RCF Import"/>
    <s v="Imp 10-26-26"/>
    <s v="WB"/>
    <x v="10"/>
    <s v="Dhaniakhali"/>
    <s v="User Not Mapped"/>
    <s v="User Not Mapped"/>
    <s v="User Not Mapped"/>
    <n v="354388"/>
    <s v="Uday Ghosh"/>
    <s v="Private Retailer"/>
    <s v="9933848535"/>
    <n v="2.4"/>
    <n v="55"/>
    <x v="3"/>
    <m/>
    <s v="2026-02-24"/>
    <s v="260241"/>
    <s v="Tapan Kumar Chel"/>
    <s v="9007410200"/>
  </r>
  <r>
    <s v="RCF Trombay"/>
    <s v="15-15-15"/>
    <s v="WB"/>
    <x v="10"/>
    <m/>
    <s v="User Not Mapped"/>
    <s v="User Not Mapped"/>
    <s v="User Not Mapped"/>
    <n v="459376"/>
    <s v="Lakshman Bag"/>
    <s v="Private Retailer"/>
    <s v="9143069913"/>
    <n v="5"/>
    <n v="2666"/>
    <x v="2"/>
    <m/>
    <s v="2019-01-01"/>
    <s v="11"/>
    <s v="Too Old Stock"/>
    <m/>
  </r>
  <r>
    <s v="RCF Import"/>
    <s v="Imp 10-26-26"/>
    <s v="WB"/>
    <x v="11"/>
    <s v="Udaynarayanpur"/>
    <s v="User Not Mapped"/>
    <s v="User Not Mapped"/>
    <s v="User Not Mapped"/>
    <n v="306292"/>
    <s v="Krishi Bhandar"/>
    <s v="State Marketing Federation"/>
    <s v="9647467701"/>
    <n v="4.55"/>
    <n v="52"/>
    <x v="3"/>
    <m/>
    <s v="2026-02-27"/>
    <s v="332107"/>
    <s v="Kumar Fertilizer"/>
    <s v="9734379245"/>
  </r>
  <r>
    <s v="RCF Import"/>
    <s v="Imp 10-26-26"/>
    <s v="WB"/>
    <x v="11"/>
    <s v="Uluberia - I"/>
    <s v="User Not Mapped"/>
    <s v="User Not Mapped"/>
    <s v="User Not Mapped"/>
    <n v="937876"/>
    <s v="SANTANU PAL"/>
    <s v="Private Retailer"/>
    <s v="9732716397"/>
    <n v="6"/>
    <n v="52"/>
    <x v="3"/>
    <m/>
    <s v="2026-02-27"/>
    <s v="332107"/>
    <s v="Kumar Fertilizer"/>
    <s v="9734379245"/>
  </r>
  <r>
    <s v="RCF Thal"/>
    <s v="N.C.Urea(45kg)"/>
    <s v="WB"/>
    <x v="11"/>
    <s v="Uluberia - I"/>
    <s v="User Not Mapped"/>
    <s v="User Not Mapped"/>
    <s v="User Not Mapped"/>
    <n v="937876"/>
    <s v="SANTANU PAL"/>
    <s v="Private Retailer"/>
    <s v="9732716397"/>
    <n v="0.76500000000000001"/>
    <n v="65"/>
    <x v="6"/>
    <m/>
    <s v="2026-02-14"/>
    <s v="332107"/>
    <s v="Kumar Fertilizer"/>
    <s v="9734379245"/>
  </r>
  <r>
    <s v="RCF Trombay"/>
    <s v="N.C.Urea(45kg)"/>
    <s v="WB"/>
    <x v="11"/>
    <s v="Shyampur - II"/>
    <s v="User Not Mapped"/>
    <s v="User Not Mapped"/>
    <s v="User Not Mapped"/>
    <n v="631987"/>
    <s v=" M/S KAR FERTILISER"/>
    <s v="Private Retailer"/>
    <s v="9733711544"/>
    <n v="1.44"/>
    <n v="227"/>
    <x v="1"/>
    <m/>
    <s v="2025-09-05"/>
    <s v="332581"/>
    <s v="M/S Patra and Sons"/>
    <s v="9434316884"/>
  </r>
  <r>
    <s v="RCF Thal"/>
    <s v="N.C.Urea(45kg)"/>
    <s v="WB"/>
    <x v="11"/>
    <s v="Shyampur - II"/>
    <s v="User Not Mapped"/>
    <s v="User Not Mapped"/>
    <s v="User Not Mapped"/>
    <n v="1542377"/>
    <s v="ADAK FERTILIZERS"/>
    <s v="Private Retailer"/>
    <s v="7679113450"/>
    <n v="0.27"/>
    <n v="68"/>
    <x v="6"/>
    <m/>
    <s v="2026-02-11"/>
    <s v="332581"/>
    <s v="M/S Patra and Sons"/>
    <s v="9434316884"/>
  </r>
  <r>
    <s v="RCF Thal"/>
    <s v="N.C.Urea(45kg)"/>
    <s v="WB"/>
    <x v="11"/>
    <s v="Bagnan - I"/>
    <s v="User Not Mapped"/>
    <s v="User Not Mapped"/>
    <s v="User Not Mapped"/>
    <n v="340435"/>
    <s v="Adhya Sar Bikray Shop"/>
    <s v="Private Retailer"/>
    <s v="9732946292"/>
    <n v="4.4999999999999998E-2"/>
    <n v="166"/>
    <x v="4"/>
    <m/>
    <s v="2025-11-05"/>
    <s v="332581"/>
    <s v="M/S Patra and Sons"/>
    <s v="9434316884"/>
  </r>
  <r>
    <s v="RCF Import"/>
    <s v="Imp 10-26-26"/>
    <s v="WB"/>
    <x v="11"/>
    <s v="Amta - I"/>
    <s v="User Not Mapped"/>
    <s v="User Not Mapped"/>
    <s v="User Not Mapped"/>
    <n v="546830"/>
    <s v="Atanu Koley"/>
    <s v="Private Retailer"/>
    <s v="9732536726"/>
    <n v="5"/>
    <n v="54"/>
    <x v="3"/>
    <m/>
    <s v="2026-02-25"/>
    <s v="332581"/>
    <s v="M/S Patra and Sons"/>
    <s v="9434316884"/>
  </r>
  <r>
    <s v="RCF Trombay"/>
    <s v="N.C.Urea(45kg)"/>
    <s v="WB"/>
    <x v="11"/>
    <s v="Bagnan - II"/>
    <s v="User Not Mapped"/>
    <s v="User Not Mapped"/>
    <s v="User Not Mapped"/>
    <n v="632932"/>
    <s v="KALIMATA FERTILISER"/>
    <s v="Private Retailer"/>
    <s v="8512940502"/>
    <n v="0.18"/>
    <n v="227"/>
    <x v="1"/>
    <m/>
    <s v="2025-09-05"/>
    <s v="332581"/>
    <s v="M/S Patra and Sons"/>
    <s v="9434316884"/>
  </r>
  <r>
    <s v="RCF Import"/>
    <s v="Imp 10-26-26"/>
    <s v="WB"/>
    <x v="11"/>
    <s v="Amta - II"/>
    <s v="User Not Mapped"/>
    <s v="User Not Mapped"/>
    <s v="User Not Mapped"/>
    <n v="1288400"/>
    <s v="M/S MAHAPRABHU FERTILIZER"/>
    <s v="Private Retailer"/>
    <s v="9614666169"/>
    <n v="6"/>
    <n v="54"/>
    <x v="3"/>
    <m/>
    <s v="2026-02-25"/>
    <s v="332581"/>
    <s v="M/S Patra and Sons"/>
    <s v="9434316884"/>
  </r>
  <r>
    <s v="RCF Import"/>
    <s v="Imp 10-26-26"/>
    <s v="WB"/>
    <x v="11"/>
    <s v="Amta - II"/>
    <s v="User Not Mapped"/>
    <s v="User Not Mapped"/>
    <s v="User Not Mapped"/>
    <n v="1407599"/>
    <s v="M/S SHRIDHARNATH FARTILIZER"/>
    <s v="Private Retailer"/>
    <s v="8767407712"/>
    <n v="3"/>
    <n v="50"/>
    <x v="3"/>
    <m/>
    <s v="2026-03-01"/>
    <s v="332581"/>
    <s v="M/S Patra and Sons"/>
    <s v="9434316884"/>
  </r>
  <r>
    <s v="RCF Thal"/>
    <s v="N.C.Urea(45kg)"/>
    <s v="WB"/>
    <x v="11"/>
    <s v="Uluberia - I"/>
    <s v="User Not Mapped"/>
    <s v="User Not Mapped"/>
    <s v="User Not Mapped"/>
    <n v="648207"/>
    <s v="SARKAR FERTILISER"/>
    <s v="Private Retailer"/>
    <s v="9064811126"/>
    <n v="0.22500000000000001"/>
    <n v="247"/>
    <x v="1"/>
    <m/>
    <s v="2025-08-16"/>
    <s v="332581"/>
    <s v="M/S Patra and Sons"/>
    <s v="9434316884"/>
  </r>
  <r>
    <s v="RCF Import"/>
    <s v="Imp 10-26-26"/>
    <s v="WB"/>
    <x v="11"/>
    <m/>
    <s v="User Not Mapped"/>
    <s v="User Not Mapped"/>
    <s v="User Not Mapped"/>
    <n v="918896"/>
    <s v="Sasati SKUS Limited"/>
    <s v="PACS"/>
    <s v="9732902806"/>
    <n v="5.5"/>
    <n v="54"/>
    <x v="3"/>
    <s v="'4215'"/>
    <s v="2026-02-25"/>
    <s v="332581"/>
    <s v="M/S Patra and Sons"/>
    <s v="9434316884"/>
  </r>
  <r>
    <s v="RCF Thal"/>
    <s v="N.C.Urea(45kg)"/>
    <s v="WB"/>
    <x v="11"/>
    <s v="Amta - I"/>
    <s v="User Not Mapped"/>
    <s v="User Not Mapped"/>
    <s v="User Not Mapped"/>
    <n v="693813"/>
    <s v="TARA MAA FERTILISERS"/>
    <s v="Private Retailer"/>
    <s v="9903127339"/>
    <n v="2.61"/>
    <n v="165"/>
    <x v="4"/>
    <m/>
    <s v="2025-11-06"/>
    <s v="332581"/>
    <s v="M/S Patra and Sons"/>
    <s v="9434316884"/>
  </r>
  <r>
    <s v="RCF Import"/>
    <s v="Imp 10-26-26"/>
    <s v="WB"/>
    <x v="11"/>
    <s v="Shyampur - II"/>
    <s v="User Not Mapped"/>
    <s v="User Not Mapped"/>
    <s v="User Not Mapped"/>
    <n v="332581"/>
    <s v="M/S Patra and Sons"/>
    <s v="Private Wholsaler"/>
    <s v="9434316884"/>
    <n v="1.5"/>
    <n v="50"/>
    <x v="3"/>
    <s v="'4222'"/>
    <s v="2026-03-01"/>
    <s v="1429116"/>
    <s v="PATRA AND SONS"/>
    <s v="8515915342"/>
  </r>
  <r>
    <s v="RCF Trombay"/>
    <s v="15-15-15"/>
    <s v="WB"/>
    <x v="12"/>
    <m/>
    <s v="User Not Mapped"/>
    <s v="User Not Mapped"/>
    <s v="User Not Mapped"/>
    <n v="786869"/>
    <s v="ABDUL KHALEK FERTILIZER"/>
    <s v="Private Retailer"/>
    <s v="8436749383"/>
    <n v="1.5"/>
    <n v="1966"/>
    <x v="2"/>
    <m/>
    <s v="2020-12-01"/>
    <s v="222671"/>
    <s v="Adarsha Krishi Bhandar"/>
    <s v="7872827880"/>
  </r>
  <r>
    <s v="RCF Thal"/>
    <s v="N.C.Urea(45kg)"/>
    <s v="WB"/>
    <x v="12"/>
    <s v="Maynaguri"/>
    <s v="User Not Mapped"/>
    <s v="User Not Mapped"/>
    <s v="User Not Mapped"/>
    <n v="514793"/>
    <s v="Adarsha Beej Bhandar"/>
    <s v="Private Retailer"/>
    <s v="9093900163"/>
    <n v="5.85"/>
    <n v="49"/>
    <x v="3"/>
    <m/>
    <s v="2026-03-02"/>
    <s v="222671"/>
    <s v="Adarsha Krishi Bhandar"/>
    <s v="7872827880"/>
  </r>
  <r>
    <s v="RCF Trombay"/>
    <s v="15-15-15"/>
    <s v="WB"/>
    <x v="12"/>
    <s v="Maynaguri"/>
    <s v="User Not Mapped"/>
    <s v="User Not Mapped"/>
    <s v="User Not Mapped"/>
    <n v="185115"/>
    <s v="Basak Krishi Ghar"/>
    <s v="Private Retailer"/>
    <s v="9475195601"/>
    <n v="0.3"/>
    <n v="132"/>
    <x v="4"/>
    <m/>
    <s v="2025-12-09"/>
    <s v="222671"/>
    <s v="Adarsha Krishi Bhandar"/>
    <s v="7872827880"/>
  </r>
  <r>
    <s v="RCF Trombay"/>
    <s v="15-15-15"/>
    <s v="WB"/>
    <x v="12"/>
    <s v="Dhupguri"/>
    <s v="User Not Mapped"/>
    <s v="User Not Mapped"/>
    <s v="User Not Mapped"/>
    <n v="244997"/>
    <s v="Bimal Chandra Roy"/>
    <s v="Private Retailer"/>
    <s v="9832654731"/>
    <n v="0.5"/>
    <n v="103"/>
    <x v="7"/>
    <m/>
    <s v="2026-01-07"/>
    <s v="222671"/>
    <s v="Adarsha Krishi Bhandar"/>
    <s v="7872827880"/>
  </r>
  <r>
    <s v="RCF Trombay"/>
    <s v="15-15-15"/>
    <s v="WB"/>
    <x v="12"/>
    <s v="Rajganj"/>
    <s v="User Not Mapped"/>
    <s v="User Not Mapped"/>
    <s v="User Not Mapped"/>
    <n v="752959"/>
    <s v="DAS FERTILIZER"/>
    <s v="Private Retailer"/>
    <s v="9641529942"/>
    <n v="0.05"/>
    <n v="342"/>
    <x v="1"/>
    <m/>
    <s v="2025-05-13"/>
    <s v="222671"/>
    <s v="Adarsha Krishi Bhandar"/>
    <s v="7872827880"/>
  </r>
  <r>
    <s v="RCF Import"/>
    <s v="MOP"/>
    <s v="WB"/>
    <x v="12"/>
    <s v="Maynaguri"/>
    <s v="User Not Mapped"/>
    <s v="User Not Mapped"/>
    <s v="User Not Mapped"/>
    <n v="185141"/>
    <s v="Dilip Mandal"/>
    <s v="Private Retailer"/>
    <s v="9476277843"/>
    <n v="0.15"/>
    <n v="212"/>
    <x v="1"/>
    <m/>
    <s v="2025-09-20"/>
    <s v="222671"/>
    <s v="Adarsha Krishi Bhandar"/>
    <s v="7872827880"/>
  </r>
  <r>
    <s v="RCF Trombay"/>
    <s v="15-15-15"/>
    <s v="WB"/>
    <x v="12"/>
    <s v="Maynaguri"/>
    <s v="User Not Mapped"/>
    <s v="User Not Mapped"/>
    <s v="User Not Mapped"/>
    <n v="185149"/>
    <s v="Gobinda Sarkar"/>
    <s v="Private Retailer"/>
    <s v="9800262651"/>
    <n v="0.5"/>
    <n v="63"/>
    <x v="6"/>
    <m/>
    <s v="2026-02-16"/>
    <s v="222671"/>
    <s v="Adarsha Krishi Bhandar"/>
    <s v="7872827880"/>
  </r>
  <r>
    <s v="RCF Trombay"/>
    <s v="15-15-15"/>
    <s v="WB"/>
    <x v="12"/>
    <s v="Mal"/>
    <s v="User Not Mapped"/>
    <s v="User Not Mapped"/>
    <s v="User Not Mapped"/>
    <n v="634623"/>
    <s v="Krishi Kalyan"/>
    <s v="Private Retailer"/>
    <s v="7908807557"/>
    <n v="0.25"/>
    <n v="243"/>
    <x v="1"/>
    <m/>
    <s v="2025-08-20"/>
    <s v="222671"/>
    <s v="Adarsha Krishi Bhandar"/>
    <s v="7872827880"/>
  </r>
  <r>
    <s v="RCF Trombay"/>
    <s v="15-15-15"/>
    <s v="WB"/>
    <x v="12"/>
    <s v="Maynaguri"/>
    <s v="User Not Mapped"/>
    <s v="User Not Mapped"/>
    <s v="User Not Mapped"/>
    <n v="742552"/>
    <s v="KRISHI MAHAL"/>
    <s v="Private Retailer"/>
    <s v="6296752101"/>
    <n v="0.15"/>
    <n v="60"/>
    <x v="3"/>
    <m/>
    <s v="2026-02-19"/>
    <s v="222671"/>
    <s v="Adarsha Krishi Bhandar"/>
    <s v="7872827880"/>
  </r>
  <r>
    <s v="RCF Trombay"/>
    <s v="15-15-15"/>
    <s v="WB"/>
    <x v="12"/>
    <s v="Maynaguri"/>
    <s v="User Not Mapped"/>
    <s v="User Not Mapped"/>
    <s v="User Not Mapped"/>
    <n v="316112"/>
    <s v="M/S BANAMALI FERTILIZER"/>
    <s v="Private Retailer"/>
    <s v="9635718572"/>
    <n v="0.25"/>
    <n v="93"/>
    <x v="7"/>
    <m/>
    <s v="2026-01-17"/>
    <s v="222671"/>
    <s v="Adarsha Krishi Bhandar"/>
    <s v="7872827880"/>
  </r>
  <r>
    <s v="RCF Import"/>
    <s v="MOP"/>
    <s v="WB"/>
    <x v="12"/>
    <s v="Dhupguri"/>
    <s v="User Not Mapped"/>
    <s v="User Not Mapped"/>
    <s v="User Not Mapped"/>
    <n v="244993"/>
    <s v="M/S BHAI BHAI BEEJ BHANDAR"/>
    <s v="Private Retailer"/>
    <s v="9734457406"/>
    <n v="0.3"/>
    <n v="147"/>
    <x v="4"/>
    <m/>
    <s v="2025-11-24"/>
    <s v="222671"/>
    <s v="Adarsha Krishi Bhandar"/>
    <s v="7872827880"/>
  </r>
  <r>
    <s v="RCF Import"/>
    <s v="MOP"/>
    <s v="WB"/>
    <x v="12"/>
    <s v="Maynaguri"/>
    <s v="User Not Mapped"/>
    <s v="User Not Mapped"/>
    <s v="User Not Mapped"/>
    <n v="385717"/>
    <s v="Maa Laxmi Beej Bhandar"/>
    <s v="Private Retailer"/>
    <s v="9002143915"/>
    <n v="0.05"/>
    <n v="216"/>
    <x v="1"/>
    <m/>
    <s v="2025-09-16"/>
    <s v="222671"/>
    <s v="Adarsha Krishi Bhandar"/>
    <s v="7872827880"/>
  </r>
  <r>
    <s v="RCF Trombay"/>
    <s v="15-15-15"/>
    <s v="WB"/>
    <x v="12"/>
    <s v="Phansidewa"/>
    <s v="User Not Mapped"/>
    <s v="User Not Mapped"/>
    <s v="User Not Mapped"/>
    <n v="851500"/>
    <s v="MD AFSAR ALI"/>
    <s v="Private Retailer"/>
    <s v="9800660939"/>
    <n v="6.5"/>
    <n v="73"/>
    <x v="6"/>
    <m/>
    <s v="2026-02-06"/>
    <s v="222671"/>
    <s v="Adarsha Krishi Bhandar"/>
    <s v="7872827880"/>
  </r>
  <r>
    <s v="RCF Import"/>
    <s v="MOP"/>
    <s v="WB"/>
    <x v="12"/>
    <s v="Jalpaiguri"/>
    <s v="User Not Mapped"/>
    <s v="User Not Mapped"/>
    <s v="User Not Mapped"/>
    <n v="1319931"/>
    <s v="MS Maa Tara Krishi Sandhan Ke"/>
    <s v="Private Retailer"/>
    <s v="7863945352"/>
    <n v="4.4999999999999998E-2"/>
    <n v="187"/>
    <x v="1"/>
    <m/>
    <s v="2025-10-15"/>
    <s v="222671"/>
    <s v="Adarsha Krishi Bhandar"/>
    <s v="7872827880"/>
  </r>
  <r>
    <s v="RCF Trombay"/>
    <s v="15-15-15"/>
    <s v="WB"/>
    <x v="12"/>
    <s v="Rajganj"/>
    <s v="User Not Mapped"/>
    <s v="User Not Mapped"/>
    <s v="User Not Mapped"/>
    <n v="871071"/>
    <s v="NEW SARKAR KRISHI BHANDAR"/>
    <s v="Private Retailer"/>
    <s v="9679663370"/>
    <n v="0.1"/>
    <n v="160"/>
    <x v="4"/>
    <m/>
    <s v="2025-11-11"/>
    <s v="222671"/>
    <s v="Adarsha Krishi Bhandar"/>
    <s v="7872827880"/>
  </r>
  <r>
    <s v="RCF Trombay"/>
    <s v="15-15-15"/>
    <s v="WB"/>
    <x v="12"/>
    <s v="Kharibari"/>
    <s v="User Not Mapped"/>
    <s v="User Not Mapped"/>
    <s v="User Not Mapped"/>
    <n v="1086893"/>
    <s v="PRASAD AGRO CHEMICALS"/>
    <s v="Private Retailer"/>
    <s v="8327432648"/>
    <n v="11"/>
    <n v="73"/>
    <x v="6"/>
    <m/>
    <s v="2026-02-06"/>
    <s v="222671"/>
    <s v="Adarsha Krishi Bhandar"/>
    <s v="7872827880"/>
  </r>
  <r>
    <s v="RCF Thal"/>
    <s v="N.C.Urea(45kg)"/>
    <s v="WB"/>
    <x v="12"/>
    <s v="Phansidewa"/>
    <s v="User Not Mapped"/>
    <s v="User Not Mapped"/>
    <s v="User Not Mapped"/>
    <n v="1445529"/>
    <s v="SANJU AGRO ENTERPRISE"/>
    <s v="Private Retailer"/>
    <s v="8927614242"/>
    <n v="5.085"/>
    <n v="168"/>
    <x v="4"/>
    <m/>
    <s v="2025-11-03"/>
    <s v="222671"/>
    <s v="Adarsha Krishi Bhandar"/>
    <s v="7872827880"/>
  </r>
  <r>
    <s v="RCF Trombay"/>
    <s v="15-15-15"/>
    <s v="WB"/>
    <x v="12"/>
    <s v="Phansidewa"/>
    <s v="User Not Mapped"/>
    <s v="User Not Mapped"/>
    <s v="User Not Mapped"/>
    <n v="1445529"/>
    <s v="SANJU AGRO ENTERPRISE"/>
    <s v="Private Retailer"/>
    <s v="8927614242"/>
    <n v="0.75"/>
    <n v="205"/>
    <x v="1"/>
    <m/>
    <s v="2025-09-27"/>
    <s v="222671"/>
    <s v="Adarsha Krishi Bhandar"/>
    <s v="7872827880"/>
  </r>
  <r>
    <s v="RCF Import"/>
    <s v="MOP"/>
    <s v="WB"/>
    <x v="12"/>
    <s v="Jalpaiguri"/>
    <s v="User Not Mapped"/>
    <s v="User Not Mapped"/>
    <s v="User Not Mapped"/>
    <n v="1240550"/>
    <s v="SHAW FERTILIZERS"/>
    <s v="Private Retailer"/>
    <s v="9832581806"/>
    <n v="0.15"/>
    <n v="238"/>
    <x v="1"/>
    <m/>
    <s v="2025-08-25"/>
    <s v="222671"/>
    <s v="Adarsha Krishi Bhandar"/>
    <s v="7872827880"/>
  </r>
  <r>
    <s v="RCF Trombay"/>
    <s v="N.C.Urea(45kg)"/>
    <s v="WB"/>
    <x v="12"/>
    <s v="Jalpaiguri"/>
    <s v="User Not Mapped"/>
    <s v="User Not Mapped"/>
    <s v="User Not Mapped"/>
    <n v="1240550"/>
    <s v="SHAW FERTILIZERS"/>
    <s v="Private Retailer"/>
    <s v="9832581806"/>
    <n v="0.22500000000000001"/>
    <n v="272"/>
    <x v="1"/>
    <m/>
    <s v="2025-07-22"/>
    <s v="222671"/>
    <s v="Adarsha Krishi Bhandar"/>
    <s v="7872827880"/>
  </r>
  <r>
    <s v="RCF Trombay"/>
    <s v="15-15-15"/>
    <s v="WB"/>
    <x v="12"/>
    <s v="Maynaguri"/>
    <s v="User Not Mapped"/>
    <s v="User Not Mapped"/>
    <s v="User Not Mapped"/>
    <n v="867788"/>
    <s v="SHYAM KRISHI BHANDAR"/>
    <s v="Private Retailer"/>
    <s v="9832046455"/>
    <n v="1.05"/>
    <n v="107"/>
    <x v="7"/>
    <m/>
    <s v="2026-01-03"/>
    <s v="222671"/>
    <s v="Adarsha Krishi Bhandar"/>
    <s v="7872827880"/>
  </r>
  <r>
    <s v="RCF Trombay"/>
    <s v="15-15-15"/>
    <s v="WB"/>
    <x v="12"/>
    <s v="Dhupguri"/>
    <s v="User Not Mapped"/>
    <s v="User Not Mapped"/>
    <s v="User Not Mapped"/>
    <n v="654417"/>
    <s v="Sudeb Dutta and Trading"/>
    <s v="Private Retailer"/>
    <s v="7076139130"/>
    <n v="1.55"/>
    <n v="73"/>
    <x v="6"/>
    <m/>
    <s v="2026-02-06"/>
    <s v="222671"/>
    <s v="Adarsha Krishi Bhandar"/>
    <s v="7872827880"/>
  </r>
  <r>
    <s v="RCF Trombay"/>
    <s v="15-15-15"/>
    <s v="WB"/>
    <x v="12"/>
    <s v="Mal"/>
    <s v="User Not Mapped"/>
    <s v="User Not Mapped"/>
    <s v="User Not Mapped"/>
    <n v="245111"/>
    <s v="Tapas Das"/>
    <s v="Private Retailer"/>
    <s v="9475906825"/>
    <n v="0.5"/>
    <n v="115"/>
    <x v="7"/>
    <m/>
    <s v="2025-12-26"/>
    <s v="222671"/>
    <s v="Adarsha Krishi Bhandar"/>
    <s v="7872827880"/>
  </r>
  <r>
    <s v="RCF Thal"/>
    <s v="N.C.Urea(45kg)"/>
    <s v="WB"/>
    <x v="12"/>
    <s v="Mal"/>
    <s v="User Not Mapped"/>
    <s v="User Not Mapped"/>
    <s v="User Not Mapped"/>
    <n v="245111"/>
    <s v="Tapas Das"/>
    <s v="Private Retailer"/>
    <s v="9475906825"/>
    <n v="1.4999999999999999E-2"/>
    <n v="1665"/>
    <x v="2"/>
    <m/>
    <s v="2021-09-28"/>
    <s v="222671"/>
    <s v="Adarsha Krishi Bhandar"/>
    <s v="7872827880"/>
  </r>
  <r>
    <s v="RCF Trombay"/>
    <s v="15-15-15"/>
    <s v="WB"/>
    <x v="12"/>
    <s v="Kharibari"/>
    <s v="User Not Mapped"/>
    <s v="User Not Mapped"/>
    <s v="User Not Mapped"/>
    <n v="328166"/>
    <s v="Teesta Fertilizer"/>
    <s v="Private Retailer"/>
    <s v="9800611191"/>
    <n v="10.5"/>
    <n v="73"/>
    <x v="6"/>
    <m/>
    <s v="2026-02-06"/>
    <s v="222671"/>
    <s v="Adarsha Krishi Bhandar"/>
    <s v="7872827880"/>
  </r>
  <r>
    <s v="RCF Trombay"/>
    <s v="N.C.Urea(45kg)"/>
    <s v="WB"/>
    <x v="12"/>
    <s v="Jalpaiguri"/>
    <s v="User Not Mapped"/>
    <s v="User Not Mapped"/>
    <s v="User Not Mapped"/>
    <n v="1000489"/>
    <s v="The New Krishi Bhandar"/>
    <s v="Private Retailer"/>
    <s v="6294005750"/>
    <n v="9.0449999999999999"/>
    <n v="73"/>
    <x v="6"/>
    <m/>
    <s v="2026-02-06"/>
    <s v="222671"/>
    <s v="Adarsha Krishi Bhandar"/>
    <s v="7872827880"/>
  </r>
  <r>
    <s v="RCF Import"/>
    <s v="MOP"/>
    <s v="WB"/>
    <x v="12"/>
    <s v="Maynaguri"/>
    <s v="User Not Mapped"/>
    <s v="User Not Mapped"/>
    <s v="User Not Mapped"/>
    <n v="514797"/>
    <s v="Upananda Roy"/>
    <s v="Private Retailer"/>
    <s v="9679900409"/>
    <n v="0.1"/>
    <n v="546"/>
    <x v="0"/>
    <m/>
    <s v="2024-10-21"/>
    <s v="222671"/>
    <s v="Adarsha Krishi Bhandar"/>
    <s v="7872827880"/>
  </r>
  <r>
    <s v="RCF Import"/>
    <s v="MOP"/>
    <s v="WB"/>
    <x v="12"/>
    <s v="Maynaguri"/>
    <s v="User Not Mapped"/>
    <s v="User Not Mapped"/>
    <s v="User Not Mapped"/>
    <n v="514797"/>
    <s v="Upananda Roy"/>
    <s v="Private Retailer"/>
    <s v="9679900409"/>
    <n v="0.25"/>
    <n v="543"/>
    <x v="0"/>
    <m/>
    <s v="2024-10-24"/>
    <s v="222671"/>
    <s v="Adarsha Krishi Bhandar"/>
    <s v="7872827880"/>
  </r>
  <r>
    <s v="RCF Trombay"/>
    <s v="N.C.Urea(45kg)"/>
    <s v="WB"/>
    <x v="12"/>
    <s v="Kharibari"/>
    <s v="User Not Mapped"/>
    <s v="User Not Mapped"/>
    <s v="User Not Mapped"/>
    <n v="1064248"/>
    <s v="ATUL FERTILIZER"/>
    <s v="Private Retailer"/>
    <s v="9800490901"/>
    <n v="19.98"/>
    <n v="56"/>
    <x v="3"/>
    <m/>
    <s v="2026-02-23"/>
    <s v="1116321"/>
    <s v="ATUL FERTILIZER"/>
    <s v="9800490901"/>
  </r>
  <r>
    <s v="RCF Trombay"/>
    <s v="15-15-15"/>
    <s v="WB"/>
    <x v="12"/>
    <s v="Kharibari"/>
    <s v="User Not Mapped"/>
    <s v="User Not Mapped"/>
    <s v="User Not Mapped"/>
    <n v="1064248"/>
    <s v="ATUL FERTILIZER"/>
    <s v="Private Retailer"/>
    <s v="9800490901"/>
    <n v="31.25"/>
    <n v="56"/>
    <x v="3"/>
    <m/>
    <s v="2026-02-23"/>
    <s v="1116321"/>
    <s v="ATUL FERTILIZER"/>
    <s v="9800490901"/>
  </r>
  <r>
    <s v="RCF Thal"/>
    <s v="N.C.Urea(45kg)"/>
    <s v="WB"/>
    <x v="12"/>
    <s v="Kharibari"/>
    <s v="User Not Mapped"/>
    <s v="User Not Mapped"/>
    <s v="User Not Mapped"/>
    <n v="1086887"/>
    <s v="DURGA FERTILIZER"/>
    <s v="Private Retailer"/>
    <s v="8637026575"/>
    <n v="0.67500000000000004"/>
    <n v="30"/>
    <x v="5"/>
    <m/>
    <s v="2026-03-21"/>
    <s v="1116321"/>
    <s v="ATUL FERTILIZER"/>
    <s v="9800490901"/>
  </r>
  <r>
    <s v="RCF Thal"/>
    <s v="N.C.Urea(45kg)"/>
    <s v="WB"/>
    <x v="12"/>
    <s v="Phansidewa"/>
    <s v="User Not Mapped"/>
    <s v="User Not Mapped"/>
    <s v="User Not Mapped"/>
    <n v="1146815"/>
    <s v="ANJALI AGRO CHEMICALS"/>
    <s v="Private Retailer"/>
    <s v="9749079864"/>
    <n v="22.05"/>
    <n v="42"/>
    <x v="3"/>
    <m/>
    <s v="2026-03-09"/>
    <s v="663873"/>
    <s v="B.G.FERTILIZER"/>
    <s v="9832049926"/>
  </r>
  <r>
    <s v="RCF Trombay"/>
    <s v="N.C.Urea(45kg)"/>
    <s v="WB"/>
    <x v="12"/>
    <m/>
    <s v="User Not Mapped"/>
    <s v="User Not Mapped"/>
    <s v="User Not Mapped"/>
    <n v="1151701"/>
    <s v="BABUL FERTILIZER"/>
    <s v="Private Retailer"/>
    <s v="7001367108"/>
    <n v="3.33"/>
    <n v="916"/>
    <x v="2"/>
    <m/>
    <s v="2023-10-17"/>
    <s v="663873"/>
    <s v="B.G.FERTILIZER"/>
    <s v="9832049926"/>
  </r>
  <r>
    <s v="RCF Thal"/>
    <s v="N.C.Urea(45kg)"/>
    <s v="WB"/>
    <x v="12"/>
    <s v="Phansidewa"/>
    <s v="User Not Mapped"/>
    <s v="User Not Mapped"/>
    <s v="User Not Mapped"/>
    <n v="328119"/>
    <s v="CHOUDHURY AGRO"/>
    <s v="Private Retailer"/>
    <s v="9932389090"/>
    <n v="11.025"/>
    <n v="42"/>
    <x v="3"/>
    <m/>
    <s v="2026-03-09"/>
    <s v="663873"/>
    <s v="B.G.FERTILIZER"/>
    <s v="9832049926"/>
  </r>
  <r>
    <s v="RCF Trombay"/>
    <s v="N.C.Urea(45kg)"/>
    <s v="WB"/>
    <x v="12"/>
    <s v="Jalpaiguri"/>
    <s v="User Not Mapped"/>
    <s v="User Not Mapped"/>
    <s v="User Not Mapped"/>
    <n v="851496"/>
    <s v="DAS FERTILIZER"/>
    <s v="Private Retailer"/>
    <s v="8509883078"/>
    <n v="1.08"/>
    <n v="45"/>
    <x v="3"/>
    <m/>
    <s v="2026-03-06"/>
    <s v="663873"/>
    <s v="B.G.FERTILIZER"/>
    <s v="9832049926"/>
  </r>
  <r>
    <s v="RCF Thal"/>
    <s v="N.C.Urea(45kg)"/>
    <s v="WB"/>
    <x v="12"/>
    <s v="Mal"/>
    <s v="User Not Mapped"/>
    <s v="User Not Mapped"/>
    <s v="User Not Mapped"/>
    <n v="1002883"/>
    <s v="KUMUD ROY"/>
    <s v="Private Retailer"/>
    <s v="8515009449"/>
    <n v="10.26"/>
    <n v="42"/>
    <x v="3"/>
    <m/>
    <s v="2026-03-09"/>
    <s v="663873"/>
    <s v="B.G.FERTILIZER"/>
    <s v="9832049926"/>
  </r>
  <r>
    <s v="RCF Thal"/>
    <s v="N.C.Urea(45kg)"/>
    <s v="WB"/>
    <x v="12"/>
    <s v="Mal"/>
    <s v="User Not Mapped"/>
    <s v="User Not Mapped"/>
    <s v="User Not Mapped"/>
    <n v="1002883"/>
    <s v="KUMUD ROY"/>
    <s v="Private Retailer"/>
    <s v="8515009449"/>
    <n v="1.35"/>
    <n v="37"/>
    <x v="3"/>
    <m/>
    <s v="2026-03-14"/>
    <s v="663873"/>
    <s v="B.G.FERTILIZER"/>
    <s v="9832049926"/>
  </r>
  <r>
    <s v="RCF Trombay"/>
    <s v="15-15-15"/>
    <s v="WB"/>
    <x v="12"/>
    <s v="Phansidewa"/>
    <s v="User Not Mapped"/>
    <s v="User Not Mapped"/>
    <s v="User Not Mapped"/>
    <n v="1519464"/>
    <s v="M/S VERMIGRI"/>
    <s v="Private Retailer"/>
    <s v="8900326031"/>
    <n v="0.75"/>
    <n v="37"/>
    <x v="3"/>
    <m/>
    <s v="2026-03-14"/>
    <s v="663873"/>
    <s v="B.G.FERTILIZER"/>
    <s v="9832049926"/>
  </r>
  <r>
    <s v="RCF Thal"/>
    <s v="N.C.Urea(45kg)"/>
    <s v="WB"/>
    <x v="12"/>
    <s v="Phansidewa"/>
    <s v="User Not Mapped"/>
    <s v="User Not Mapped"/>
    <s v="User Not Mapped"/>
    <n v="1519464"/>
    <s v="M/S VERMIGRI"/>
    <s v="Private Retailer"/>
    <s v="8900326031"/>
    <n v="3.6"/>
    <n v="25"/>
    <x v="5"/>
    <m/>
    <s v="2026-03-26"/>
    <s v="663873"/>
    <s v="B.G.FERTILIZER"/>
    <s v="9832049926"/>
  </r>
  <r>
    <s v="RCF Thal"/>
    <s v="N.C.Urea(45kg)"/>
    <s v="WB"/>
    <x v="12"/>
    <s v="Rajganj"/>
    <s v="User Not Mapped"/>
    <s v="User Not Mapped"/>
    <s v="User Not Mapped"/>
    <n v="1088061"/>
    <s v="MAHABOO FERTILIZER"/>
    <s v="Private Retailer"/>
    <s v="9679892989"/>
    <n v="2.4750000000000001"/>
    <n v="42"/>
    <x v="3"/>
    <m/>
    <s v="2026-03-09"/>
    <s v="663873"/>
    <s v="B.G.FERTILIZER"/>
    <s v="9832049926"/>
  </r>
  <r>
    <s v="RCF Trombay"/>
    <s v="15-15-15"/>
    <s v="WB"/>
    <x v="12"/>
    <s v="Naxalbari"/>
    <s v="User Not Mapped"/>
    <s v="User Not Mapped"/>
    <s v="User Not Mapped"/>
    <n v="1146803"/>
    <s v="PATHAK FERTILIZER"/>
    <s v="Private Retailer"/>
    <s v="9775113217"/>
    <n v="1"/>
    <n v="37"/>
    <x v="3"/>
    <m/>
    <s v="2026-03-14"/>
    <s v="663873"/>
    <s v="B.G.FERTILIZER"/>
    <s v="9832049926"/>
  </r>
  <r>
    <s v="RCF Thal"/>
    <s v="N.C.Urea(45kg)"/>
    <s v="WB"/>
    <x v="12"/>
    <s v="Naxalbari"/>
    <s v="User Not Mapped"/>
    <s v="User Not Mapped"/>
    <s v="User Not Mapped"/>
    <n v="1146803"/>
    <s v="PATHAK FERTILIZER"/>
    <s v="Private Retailer"/>
    <s v="9775113217"/>
    <n v="0.36"/>
    <n v="37"/>
    <x v="3"/>
    <m/>
    <s v="2026-03-14"/>
    <s v="663873"/>
    <s v="B.G.FERTILIZER"/>
    <s v="9832049926"/>
  </r>
  <r>
    <s v="RCF Thal"/>
    <s v="N.C.Urea(45kg)"/>
    <s v="WB"/>
    <x v="12"/>
    <s v="Naxalbari"/>
    <s v="User Not Mapped"/>
    <s v="User Not Mapped"/>
    <s v="User Not Mapped"/>
    <n v="1146803"/>
    <s v="PATHAK FERTILIZER"/>
    <s v="Private Retailer"/>
    <s v="9775113217"/>
    <n v="4.68"/>
    <n v="42"/>
    <x v="3"/>
    <m/>
    <s v="2026-03-09"/>
    <s v="663873"/>
    <s v="B.G.FERTILIZER"/>
    <s v="9832049926"/>
  </r>
  <r>
    <s v="RCF Trombay"/>
    <s v="15-15-15"/>
    <s v="WB"/>
    <x v="12"/>
    <s v="Jalpaiguri"/>
    <s v="User Not Mapped"/>
    <s v="User Not Mapped"/>
    <s v="User Not Mapped"/>
    <n v="1146811"/>
    <s v="VIJAYA SHANKAR PRASAD"/>
    <s v="Private Retailer"/>
    <s v="9134140712"/>
    <n v="1.75"/>
    <n v="63"/>
    <x v="6"/>
    <m/>
    <s v="2026-02-16"/>
    <s v="663873"/>
    <s v="B.G.FERTILIZER"/>
    <s v="9832049926"/>
  </r>
  <r>
    <s v="RCF Thal"/>
    <s v="N.C.Urea(45kg)"/>
    <s v="WB"/>
    <x v="12"/>
    <s v="Maynaguri"/>
    <s v="User Not Mapped"/>
    <s v="User Not Mapped"/>
    <s v="User Not Mapped"/>
    <n v="867788"/>
    <s v="SHYAM KRISHI BHANDAR"/>
    <s v="Private Retailer"/>
    <s v="9832046455"/>
    <n v="11.025"/>
    <n v="44"/>
    <x v="3"/>
    <m/>
    <s v="2026-03-07"/>
    <s v="268704"/>
    <s v="Bijay Agarwala"/>
    <s v="9932936450"/>
  </r>
  <r>
    <s v="RCF Trombay"/>
    <s v="15-15-15"/>
    <s v="WB"/>
    <x v="12"/>
    <s v="Maynaguri"/>
    <s v="User Not Mapped"/>
    <s v="User Not Mapped"/>
    <s v="User Not Mapped"/>
    <n v="287620"/>
    <s v="Dipendra Nath Roy"/>
    <s v="Private Retailer"/>
    <s v="9932674154"/>
    <n v="0.5"/>
    <n v="111"/>
    <x v="7"/>
    <m/>
    <s v="2025-12-30"/>
    <s v="268761"/>
    <s v="Chaki Enterprise"/>
    <s v="8348285333"/>
  </r>
  <r>
    <s v="RCF Trombay"/>
    <s v="15-15-15"/>
    <s v="WB"/>
    <x v="12"/>
    <s v="Maynaguri"/>
    <s v="User Not Mapped"/>
    <s v="User Not Mapped"/>
    <s v="User Not Mapped"/>
    <n v="845359"/>
    <s v="KRISHI UDYAG"/>
    <s v="Private Retailer"/>
    <s v="6297506125"/>
    <n v="0.2"/>
    <n v="2"/>
    <x v="5"/>
    <m/>
    <s v="2026-04-18"/>
    <s v="268761"/>
    <s v="Chaki Enterprise"/>
    <s v="8348285333"/>
  </r>
  <r>
    <s v="RCF Trombay"/>
    <s v="15-15-15"/>
    <s v="WB"/>
    <x v="12"/>
    <s v="Maynaguri"/>
    <s v="User Not Mapped"/>
    <s v="User Not Mapped"/>
    <s v="User Not Mapped"/>
    <n v="316112"/>
    <s v="M/S BANAMALI FERTILIZER"/>
    <s v="Private Retailer"/>
    <s v="9635718572"/>
    <n v="1.7"/>
    <n v="49"/>
    <x v="3"/>
    <m/>
    <s v="2026-03-02"/>
    <s v="268761"/>
    <s v="Chaki Enterprise"/>
    <s v="8348285333"/>
  </r>
  <r>
    <s v="RCF Trombay"/>
    <s v="N.C.Urea(45kg)"/>
    <s v="WB"/>
    <x v="12"/>
    <s v="Maynaguri"/>
    <s v="User Not Mapped"/>
    <s v="User Not Mapped"/>
    <s v="User Not Mapped"/>
    <n v="1246189"/>
    <s v="M/S RAM KRISHNA FERTILIZER"/>
    <s v="Private Retailer"/>
    <s v="7811852311"/>
    <n v="0.85499999999999998"/>
    <n v="1215"/>
    <x v="2"/>
    <m/>
    <s v="2022-12-22"/>
    <s v="268761"/>
    <s v="Chaki Enterprise"/>
    <s v="8348285333"/>
  </r>
  <r>
    <s v="RCF Thal"/>
    <s v="N.C.Urea(45kg)"/>
    <s v="WB"/>
    <x v="12"/>
    <s v="Matigara"/>
    <s v="User Not Mapped"/>
    <s v="User Not Mapped"/>
    <s v="User Not Mapped"/>
    <n v="1375387"/>
    <s v="MANGALA SUPPLY  AGENCIES PVT."/>
    <s v="Private Retailer"/>
    <s v="9830049314"/>
    <n v="5.1749999999999998"/>
    <n v="6"/>
    <x v="5"/>
    <m/>
    <s v="2026-04-14"/>
    <s v="385729"/>
    <s v="Debashis Kundu"/>
    <s v="9641428689"/>
  </r>
  <r>
    <s v="RCF Thal"/>
    <s v="N.C.Urea(45kg)"/>
    <s v="WB"/>
    <x v="12"/>
    <s v="Dhupguri"/>
    <s v="User Not Mapped"/>
    <s v="User Not Mapped"/>
    <s v="User Not Mapped"/>
    <n v="1334061"/>
    <s v="Ankur Krishi Bhandar"/>
    <s v="Private Retailer"/>
    <s v="7384112935"/>
    <n v="0.63"/>
    <n v="136"/>
    <x v="4"/>
    <m/>
    <s v="2025-12-05"/>
    <s v="1286098"/>
    <s v="DUTTA ENTERPRISE"/>
    <s v="9832365365"/>
  </r>
  <r>
    <s v="RCF Import"/>
    <s v="MOP"/>
    <s v="WB"/>
    <x v="12"/>
    <s v="Dhupguri"/>
    <s v="User Not Mapped"/>
    <s v="User Not Mapped"/>
    <s v="User Not Mapped"/>
    <n v="1038754"/>
    <s v="HAZI FERTILIZER"/>
    <s v="Private Retailer"/>
    <s v="8597135730"/>
    <n v="0.25"/>
    <n v="489"/>
    <x v="0"/>
    <m/>
    <s v="2024-12-17"/>
    <s v="1286098"/>
    <s v="DUTTA ENTERPRISE"/>
    <s v="9832365365"/>
  </r>
  <r>
    <s v="RCF Import"/>
    <s v="MOP"/>
    <s v="WB"/>
    <x v="12"/>
    <s v="Jalpaiguri"/>
    <s v="User Not Mapped"/>
    <s v="User Not Mapped"/>
    <s v="User Not Mapped"/>
    <n v="735422"/>
    <s v="KISHAN BEEJ BHANDAR"/>
    <s v="Private Retailer"/>
    <s v="9733049198"/>
    <n v="1"/>
    <n v="489"/>
    <x v="0"/>
    <m/>
    <s v="2024-12-17"/>
    <s v="1286098"/>
    <s v="DUTTA ENTERPRISE"/>
    <s v="9832365365"/>
  </r>
  <r>
    <s v="RCF Thal"/>
    <s v="N.C.Urea(45kg)"/>
    <s v="WB"/>
    <x v="12"/>
    <s v="Dhupguri"/>
    <s v="User Not Mapped"/>
    <s v="User Not Mapped"/>
    <s v="User Not Mapped"/>
    <n v="860955"/>
    <s v="M/S CHANDRA BEEJ BHANDAR"/>
    <s v="Private Retailer"/>
    <s v="6294066589"/>
    <n v="1.08"/>
    <n v="135"/>
    <x v="4"/>
    <m/>
    <s v="2025-12-06"/>
    <s v="1286098"/>
    <s v="DUTTA ENTERPRISE"/>
    <s v="9832365365"/>
  </r>
  <r>
    <s v="RCF Trombay"/>
    <s v="N.C.Urea(45kg)"/>
    <s v="WB"/>
    <x v="12"/>
    <s v="Jalpaiguri"/>
    <s v="User Not Mapped"/>
    <s v="User Not Mapped"/>
    <s v="User Not Mapped"/>
    <n v="1012516"/>
    <s v="MAA DURGA KRISHI BHANDAR"/>
    <s v="Private Retailer"/>
    <s v="9933672161"/>
    <n v="0.13"/>
    <n v="459"/>
    <x v="0"/>
    <m/>
    <s v="2025-01-16"/>
    <s v="222659"/>
    <s v="G.C. Enterprise"/>
    <s v="9749271176"/>
  </r>
  <r>
    <s v="RCF Trombay"/>
    <s v="N.C.Urea(45kg)"/>
    <s v="WB"/>
    <x v="12"/>
    <s v="Jalpaiguri"/>
    <s v="User Not Mapped"/>
    <s v="User Not Mapped"/>
    <s v="User Not Mapped"/>
    <n v="796924"/>
    <s v="M/S JOY DURGA KRISHI BHANDAR"/>
    <s v="Private Retailer"/>
    <s v="9733482955"/>
    <n v="0.99"/>
    <n v="1452"/>
    <x v="2"/>
    <m/>
    <s v="2022-04-29"/>
    <s v="1153940"/>
    <s v="JALPAIGURI CHEMICALS"/>
    <s v="9434412443"/>
  </r>
  <r>
    <s v="RCF Thal"/>
    <s v="N.C.Urea(45kg)"/>
    <s v="WB"/>
    <x v="12"/>
    <s v="Maynaguri"/>
    <s v="User Not Mapped"/>
    <s v="User Not Mapped"/>
    <s v="User Not Mapped"/>
    <n v="421204"/>
    <s v="Gitanjali Fertilizer"/>
    <s v="Private Retailer"/>
    <s v="9932223455"/>
    <n v="1E-3"/>
    <n v="1214"/>
    <x v="2"/>
    <m/>
    <s v="2022-12-23"/>
    <s v="222656"/>
    <s v="Kallol Fertilisers"/>
    <s v="7384223335"/>
  </r>
  <r>
    <s v="RCF Thal"/>
    <s v="N.C.Urea(45kg)"/>
    <s v="WB"/>
    <x v="12"/>
    <m/>
    <s v="User Not Mapped"/>
    <s v="User Not Mapped"/>
    <s v="User Not Mapped"/>
    <n v="953450"/>
    <s v="M/S RUPA SAAR O BEEJ BHANDA"/>
    <s v="Private Retailer"/>
    <s v="9593222933"/>
    <n v="0.01"/>
    <n v="2567"/>
    <x v="2"/>
    <m/>
    <s v="2019-04-10"/>
    <s v="222656"/>
    <s v="Kallol Fertilisers"/>
    <s v="7384223335"/>
  </r>
  <r>
    <s v="RCF Thal"/>
    <s v="N.C.Urea(45kg)"/>
    <s v="WB"/>
    <x v="12"/>
    <m/>
    <s v="User Not Mapped"/>
    <s v="User Not Mapped"/>
    <s v="User Not Mapped"/>
    <n v="385691"/>
    <s v="Madan Mohan Roy"/>
    <s v="Private Retailer"/>
    <s v="9932284403"/>
    <n v="1.125"/>
    <n v="1190"/>
    <x v="2"/>
    <m/>
    <s v="2023-01-16"/>
    <s v="222656"/>
    <s v="Kallol Fertilisers"/>
    <s v="7384223335"/>
  </r>
  <r>
    <s v="RCF Thal"/>
    <s v="N.C.Urea(45kg)"/>
    <s v="WB"/>
    <x v="12"/>
    <s v="Jalpaiguri"/>
    <s v="User Not Mapped"/>
    <s v="User Not Mapped"/>
    <s v="User Not Mapped"/>
    <n v="909056"/>
    <s v="RAHAMAN KRISHI BHANDAR"/>
    <s v="Private Retailer"/>
    <s v="9933547787"/>
    <n v="0.13500000000000001"/>
    <n v="1606"/>
    <x v="2"/>
    <m/>
    <s v="2021-11-26"/>
    <s v="222656"/>
    <s v="Kallol Fertilisers"/>
    <s v="7384223335"/>
  </r>
  <r>
    <s v="RCF Thal"/>
    <s v="N.C.Urea(45kg)"/>
    <s v="WB"/>
    <x v="12"/>
    <s v="Jalpaiguri"/>
    <s v="User Not Mapped"/>
    <s v="User Not Mapped"/>
    <s v="User Not Mapped"/>
    <n v="852494"/>
    <s v="SUKHARANJAN SARKAR"/>
    <s v="Private Retailer"/>
    <s v="9734924582"/>
    <n v="0.03"/>
    <n v="1181"/>
    <x v="2"/>
    <m/>
    <s v="2023-01-25"/>
    <s v="222656"/>
    <s v="Kallol Fertilisers"/>
    <s v="7384223335"/>
  </r>
  <r>
    <s v="RCF Trombay"/>
    <s v="15-15-15"/>
    <s v="WB"/>
    <x v="12"/>
    <m/>
    <s v="User Not Mapped"/>
    <s v="User Not Mapped"/>
    <s v="User Not Mapped"/>
    <n v="185279"/>
    <s v="Swapan Sarkar"/>
    <s v="Private Retailer"/>
    <s v="9800236556"/>
    <n v="0.75"/>
    <n v="1596"/>
    <x v="2"/>
    <m/>
    <s v="2021-12-06"/>
    <s v="222656"/>
    <s v="Kallol Fertilisers"/>
    <s v="7384223335"/>
  </r>
  <r>
    <s v="RCF Trombay"/>
    <s v="15-15-15"/>
    <s v="WB"/>
    <x v="12"/>
    <m/>
    <s v="User Not Mapped"/>
    <s v="User Not Mapped"/>
    <s v="User Not Mapped"/>
    <n v="185279"/>
    <s v="Swapan Sarkar"/>
    <s v="Private Retailer"/>
    <s v="9800236556"/>
    <n v="0.85"/>
    <n v="1587"/>
    <x v="2"/>
    <m/>
    <s v="2021-12-15"/>
    <s v="222656"/>
    <s v="Kallol Fertilisers"/>
    <s v="7384223335"/>
  </r>
  <r>
    <s v="RCF Trombay"/>
    <s v="15-15-15"/>
    <s v="WB"/>
    <x v="12"/>
    <s v="Maynaguri"/>
    <s v="User Not Mapped"/>
    <s v="User Not Mapped"/>
    <s v="User Not Mapped"/>
    <n v="268761"/>
    <s v="Chaki Enterprise"/>
    <s v="Private Wholsaler"/>
    <s v="8348285333"/>
    <n v="6.15"/>
    <n v="131"/>
    <x v="4"/>
    <s v="'AC/25-26/0375'"/>
    <s v="2025-12-10"/>
    <s v="1375345"/>
    <s v="M/S AGRO CARE "/>
    <s v="7908844177"/>
  </r>
  <r>
    <s v="RCF Thal"/>
    <s v="N.C.Urea(45kg)"/>
    <s v="WB"/>
    <x v="12"/>
    <s v="Jalpaiguri"/>
    <s v="User Not Mapped"/>
    <s v="User Not Mapped"/>
    <s v="User Not Mapped"/>
    <n v="185209"/>
    <s v="M/S Jagat Bandhu Fertilizers"/>
    <s v="Private Retailer"/>
    <s v="9832088562"/>
    <n v="4.6349999999999998"/>
    <n v="43"/>
    <x v="3"/>
    <m/>
    <s v="2026-03-08"/>
    <s v="939071"/>
    <s v="M/S ANNAPURNA KRISHI BHANDAR"/>
    <s v="9749004017"/>
  </r>
  <r>
    <s v="RCF Thal"/>
    <s v="N.C.Urea(45kg)"/>
    <s v="WB"/>
    <x v="12"/>
    <s v="Rajganj"/>
    <s v="User Not Mapped"/>
    <s v="User Not Mapped"/>
    <s v="User Not Mapped"/>
    <n v="888249"/>
    <s v="Manjina Khatun"/>
    <s v="Private Retailer"/>
    <s v="9593341461"/>
    <n v="4.1849999999999996"/>
    <n v="43"/>
    <x v="3"/>
    <m/>
    <s v="2026-03-08"/>
    <s v="939071"/>
    <s v="M/S ANNAPURNA KRISHI BHANDAR"/>
    <s v="9749004017"/>
  </r>
  <r>
    <s v="RCF Thal"/>
    <s v="N.C.Urea(45kg)"/>
    <s v="WB"/>
    <x v="12"/>
    <s v="Jalpaiguri"/>
    <s v="User Not Mapped"/>
    <s v="User Not Mapped"/>
    <s v="User Not Mapped"/>
    <n v="796812"/>
    <s v="ROY and SONS"/>
    <s v="Private Retailer"/>
    <s v="8670573165"/>
    <n v="10.484999999999999"/>
    <n v="43"/>
    <x v="3"/>
    <m/>
    <s v="2026-03-08"/>
    <s v="939071"/>
    <s v="M/S ANNAPURNA KRISHI BHANDAR"/>
    <s v="9749004017"/>
  </r>
  <r>
    <s v="RCF Trombay"/>
    <s v="N.C.Urea(45kg)"/>
    <s v="WB"/>
    <x v="12"/>
    <s v="Jalpaiguri"/>
    <s v="User Not Mapped"/>
    <s v="User Not Mapped"/>
    <s v="User Not Mapped"/>
    <n v="966186"/>
    <s v="ARUP SARKAR"/>
    <s v="Private Retailer"/>
    <s v="9932209752"/>
    <n v="0.125"/>
    <n v="1147"/>
    <x v="2"/>
    <m/>
    <s v="2023-02-28"/>
    <s v="268535"/>
    <s v="M/S Arup Sarkar"/>
    <s v="9932209752"/>
  </r>
  <r>
    <s v="RCF Thal"/>
    <s v="N.C.Urea(45kg)"/>
    <s v="WB"/>
    <x v="12"/>
    <s v="Jalpaiguri"/>
    <s v="User Not Mapped"/>
    <s v="User Not Mapped"/>
    <s v="User Not Mapped"/>
    <n v="851477"/>
    <s v="BARMAN FERTLIZER"/>
    <s v="Private Retailer"/>
    <s v="9932010722"/>
    <n v="7.1999999999999995E-2"/>
    <n v="2083"/>
    <x v="2"/>
    <m/>
    <s v="2020-08-06"/>
    <s v="268535"/>
    <s v="M/S Arup Sarkar"/>
    <s v="9932209752"/>
  </r>
  <r>
    <s v="RCF Trombay"/>
    <s v="15-15-15"/>
    <s v="WB"/>
    <x v="12"/>
    <s v="Jalpaiguri"/>
    <s v="User Not Mapped"/>
    <s v="User Not Mapped"/>
    <s v="User Not Mapped"/>
    <n v="328132"/>
    <s v="M/S Atul Chandra Saha"/>
    <s v="Private Retailer"/>
    <s v="9434151902"/>
    <n v="4.1500000000000004"/>
    <n v="195"/>
    <x v="1"/>
    <m/>
    <s v="2025-10-07"/>
    <s v="222657"/>
    <s v="M/S Atul Chandra Saha"/>
    <s v="9434151902"/>
  </r>
  <r>
    <s v="RCF Thal"/>
    <s v="N.C.Urea(45kg)"/>
    <s v="WB"/>
    <x v="12"/>
    <s v="Jalpaiguri"/>
    <s v="User Not Mapped"/>
    <s v="User Not Mapped"/>
    <s v="User Not Mapped"/>
    <n v="484474"/>
    <s v="Kalpana Beej Bhandar"/>
    <s v="Private Retailer"/>
    <s v="9002446562"/>
    <n v="0.45"/>
    <n v="2003"/>
    <x v="2"/>
    <m/>
    <s v="2020-10-25"/>
    <s v="1019557"/>
    <s v="M/S NEW DEEP KRISHI BHANDAR"/>
    <s v="9434257790"/>
  </r>
  <r>
    <s v="RCF Trombay"/>
    <s v="N.C.Urea(45kg)"/>
    <s v="WB"/>
    <x v="12"/>
    <s v="Jalpaiguri"/>
    <s v="User Not Mapped"/>
    <s v="User Not Mapped"/>
    <s v="User Not Mapped"/>
    <n v="484474"/>
    <s v="Kalpana Beej Bhandar"/>
    <s v="Private Retailer"/>
    <s v="9002446562"/>
    <n v="0.22500000000000001"/>
    <n v="1988"/>
    <x v="2"/>
    <m/>
    <s v="2020-11-09"/>
    <s v="1019557"/>
    <s v="M/S NEW DEEP KRISHI BHANDAR"/>
    <s v="9434257790"/>
  </r>
  <r>
    <s v="RCF Trombay"/>
    <s v="15-15-15"/>
    <s v="WB"/>
    <x v="12"/>
    <s v="Jalpaiguri"/>
    <s v="User Not Mapped"/>
    <s v="User Not Mapped"/>
    <s v="User Not Mapped"/>
    <n v="1012512"/>
    <s v="RABINDRA SARKAR"/>
    <s v="Private Retailer"/>
    <s v="9800626375"/>
    <n v="4.4999999999999998E-2"/>
    <n v="1572"/>
    <x v="2"/>
    <m/>
    <s v="2021-12-30"/>
    <s v="1019557"/>
    <s v="M/S NEW DEEP KRISHI BHANDAR"/>
    <s v="9434257790"/>
  </r>
  <r>
    <s v="RCF Thal"/>
    <s v="N.C.Urea(45kg)"/>
    <s v="WB"/>
    <x v="12"/>
    <s v="Jalpaiguri"/>
    <s v="User Not Mapped"/>
    <s v="User Not Mapped"/>
    <s v="User Not Mapped"/>
    <n v="851475"/>
    <s v="SARKAR FERTILIZER"/>
    <s v="Private Retailer"/>
    <s v="6295529606"/>
    <n v="0.18"/>
    <n v="1215"/>
    <x v="2"/>
    <m/>
    <s v="2022-12-22"/>
    <s v="1019557"/>
    <s v="M/S NEW DEEP KRISHI BHANDAR"/>
    <s v="9434257790"/>
  </r>
  <r>
    <s v="RCF Trombay"/>
    <s v="N.C.Urea(45kg)"/>
    <s v="WB"/>
    <x v="12"/>
    <s v="Jalpaiguri"/>
    <s v="User Not Mapped"/>
    <s v="User Not Mapped"/>
    <s v="User Not Mapped"/>
    <n v="851475"/>
    <s v="SARKAR FERTILIZER"/>
    <s v="Private Retailer"/>
    <s v="6295529606"/>
    <n v="4.4999999999999998E-2"/>
    <n v="1553"/>
    <x v="2"/>
    <m/>
    <s v="2022-01-18"/>
    <s v="1019557"/>
    <s v="M/S NEW DEEP KRISHI BHANDAR"/>
    <s v="9434257790"/>
  </r>
  <r>
    <s v="RCF Import"/>
    <s v="Imp 10-26-26"/>
    <s v="WB"/>
    <x v="12"/>
    <s v="Kharibari"/>
    <s v="User Not Mapped"/>
    <s v="User Not Mapped"/>
    <s v="User Not Mapped"/>
    <n v="1073855"/>
    <s v="EVEREST FERTILIZER"/>
    <s v="Private Retailer"/>
    <s v="7076439145"/>
    <n v="0.5"/>
    <n v="863"/>
    <x v="2"/>
    <m/>
    <s v="2023-12-09"/>
    <s v="213285"/>
    <s v="M/S Prodip Kr Ghosh"/>
    <s v="9002771451"/>
  </r>
  <r>
    <s v="RCF Trombay"/>
    <s v="15-15-15"/>
    <s v="WB"/>
    <x v="12"/>
    <s v="Rajganj"/>
    <s v="User Not Mapped"/>
    <s v="User Not Mapped"/>
    <s v="User Not Mapped"/>
    <n v="1073847"/>
    <s v="GOLAKNATH KRISHI BHANDAR"/>
    <s v="Private Retailer"/>
    <s v="9563619604"/>
    <n v="5.0000000000000001E-3"/>
    <n v="2446"/>
    <x v="2"/>
    <m/>
    <s v="2019-08-09"/>
    <s v="213285"/>
    <s v="M/S Prodip Kr Ghosh"/>
    <s v="9002771451"/>
  </r>
  <r>
    <s v="RCF Trombay"/>
    <s v="15-15-15"/>
    <s v="WB"/>
    <x v="12"/>
    <s v="Phansidewa"/>
    <s v="User Not Mapped"/>
    <s v="User Not Mapped"/>
    <s v="User Not Mapped"/>
    <n v="385729"/>
    <s v="Debashis Kundu"/>
    <s v="Private Wholsaler"/>
    <s v="9641428689"/>
    <n v="15"/>
    <n v="67"/>
    <x v="6"/>
    <s v="'697A'"/>
    <s v="2026-02-12"/>
    <s v="268849"/>
    <s v="M/s. Debashis Kundu"/>
    <s v="9641428689"/>
  </r>
  <r>
    <s v="RCF Trombay"/>
    <s v="N.C.Urea(45kg)"/>
    <s v="WB"/>
    <x v="12"/>
    <s v="Maynaguri"/>
    <s v="User Not Mapped"/>
    <s v="User Not Mapped"/>
    <s v="User Not Mapped"/>
    <n v="185229"/>
    <s v=" M/S NIDHIR MANDAL"/>
    <s v="Private Retailer"/>
    <s v="9641251837"/>
    <n v="0.47499999999999998"/>
    <n v="61"/>
    <x v="6"/>
    <m/>
    <s v="2026-02-18"/>
    <s v="222661"/>
    <s v="M/s. Dutta Krishi Bhandar"/>
    <s v="8617691998"/>
  </r>
  <r>
    <s v="RCF Trombay"/>
    <s v="15-15-15"/>
    <s v="WB"/>
    <x v="12"/>
    <s v="Maynaguri"/>
    <s v="User Not Mapped"/>
    <s v="User Not Mapped"/>
    <s v="User Not Mapped"/>
    <n v="868034"/>
    <s v="BAKUL MANDAL"/>
    <s v="Private Retailer"/>
    <s v="9002307838"/>
    <n v="0.25"/>
    <n v="11"/>
    <x v="5"/>
    <m/>
    <s v="2026-04-09"/>
    <s v="222661"/>
    <s v="M/s. Dutta Krishi Bhandar"/>
    <s v="8617691998"/>
  </r>
  <r>
    <s v="RCF Thal"/>
    <s v="N.C.Urea(45kg)"/>
    <s v="WB"/>
    <x v="12"/>
    <s v="Maynaguri"/>
    <s v="User Not Mapped"/>
    <s v="User Not Mapped"/>
    <s v="User Not Mapped"/>
    <n v="868034"/>
    <s v="BAKUL MANDAL"/>
    <s v="Private Retailer"/>
    <s v="9002307838"/>
    <n v="0.67500000000000004"/>
    <n v="41"/>
    <x v="3"/>
    <m/>
    <s v="2026-03-10"/>
    <s v="222661"/>
    <s v="M/s. Dutta Krishi Bhandar"/>
    <s v="8617691998"/>
  </r>
  <r>
    <s v="RCF Thal"/>
    <s v="N.C.Urea(45kg)"/>
    <s v="WB"/>
    <x v="12"/>
    <s v="Maynaguri"/>
    <s v="User Not Mapped"/>
    <s v="User Not Mapped"/>
    <s v="User Not Mapped"/>
    <n v="868034"/>
    <s v="BAKUL MANDAL"/>
    <s v="Private Retailer"/>
    <s v="9002307838"/>
    <n v="0.45"/>
    <n v="11"/>
    <x v="5"/>
    <m/>
    <s v="2026-04-09"/>
    <s v="222661"/>
    <s v="M/s. Dutta Krishi Bhandar"/>
    <s v="8617691998"/>
  </r>
  <r>
    <s v="RCF Trombay"/>
    <s v="N.C.Urea(45kg)"/>
    <s v="WB"/>
    <x v="12"/>
    <s v="Maynaguri"/>
    <s v="User Not Mapped"/>
    <s v="User Not Mapped"/>
    <s v="User Not Mapped"/>
    <n v="1064256"/>
    <s v="BARMAN KRISHI BHANDER"/>
    <s v="Private Retailer"/>
    <s v="9593313158"/>
    <n v="0.67500000000000004"/>
    <n v="61"/>
    <x v="6"/>
    <m/>
    <s v="2026-02-18"/>
    <s v="222661"/>
    <s v="M/s. Dutta Krishi Bhandar"/>
    <s v="8617691998"/>
  </r>
  <r>
    <s v="RCF Trombay"/>
    <s v="15-15-15"/>
    <s v="WB"/>
    <x v="12"/>
    <s v="Maynaguri"/>
    <s v="User Not Mapped"/>
    <s v="User Not Mapped"/>
    <s v="User Not Mapped"/>
    <n v="1064268"/>
    <s v="BIJOY KUMAR ROY"/>
    <s v="Private Retailer"/>
    <s v="8617539921"/>
    <n v="0.5"/>
    <n v="41"/>
    <x v="3"/>
    <m/>
    <s v="2026-03-10"/>
    <s v="222661"/>
    <s v="M/s. Dutta Krishi Bhandar"/>
    <s v="8617691998"/>
  </r>
  <r>
    <s v="RCF Thal"/>
    <s v="N.C.Urea(45kg)"/>
    <s v="WB"/>
    <x v="12"/>
    <s v="Maynaguri"/>
    <s v="User Not Mapped"/>
    <s v="User Not Mapped"/>
    <s v="User Not Mapped"/>
    <n v="1064268"/>
    <s v="BIJOY KUMAR ROY"/>
    <s v="Private Retailer"/>
    <s v="8617539921"/>
    <n v="1.125"/>
    <n v="27"/>
    <x v="5"/>
    <m/>
    <s v="2026-03-24"/>
    <s v="222661"/>
    <s v="M/s. Dutta Krishi Bhandar"/>
    <s v="8617691998"/>
  </r>
  <r>
    <s v="RCF Trombay"/>
    <s v="N.C.Urea(45kg)"/>
    <s v="WB"/>
    <x v="12"/>
    <s v="Maynaguri"/>
    <s v="User Not Mapped"/>
    <s v="User Not Mapped"/>
    <s v="User Not Mapped"/>
    <n v="867994"/>
    <s v="CHARU KRISHI BHANDAR"/>
    <s v="Private Retailer"/>
    <s v="6294579066"/>
    <n v="0.9"/>
    <n v="59"/>
    <x v="3"/>
    <m/>
    <s v="2026-02-20"/>
    <s v="222661"/>
    <s v="M/s. Dutta Krishi Bhandar"/>
    <s v="8617691998"/>
  </r>
  <r>
    <s v="RCF Trombay"/>
    <s v="15-15-15"/>
    <s v="WB"/>
    <x v="12"/>
    <s v="Maynaguri"/>
    <s v="User Not Mapped"/>
    <s v="User Not Mapped"/>
    <s v="User Not Mapped"/>
    <n v="867994"/>
    <s v="CHARU KRISHI BHANDAR"/>
    <s v="Private Retailer"/>
    <s v="6294579066"/>
    <n v="0.25"/>
    <n v="51"/>
    <x v="3"/>
    <m/>
    <s v="2026-02-28"/>
    <s v="222661"/>
    <s v="M/s. Dutta Krishi Bhandar"/>
    <s v="8617691998"/>
  </r>
  <r>
    <s v="RCF Trombay"/>
    <s v="N.C.Urea(45kg)"/>
    <s v="WB"/>
    <x v="12"/>
    <s v="Maynaguri"/>
    <s v="User Not Mapped"/>
    <s v="User Not Mapped"/>
    <s v="User Not Mapped"/>
    <n v="287620"/>
    <s v="Dipendra Nath Roy"/>
    <s v="Private Retailer"/>
    <s v="9932674154"/>
    <n v="2.25"/>
    <n v="59"/>
    <x v="3"/>
    <m/>
    <s v="2026-02-20"/>
    <s v="222661"/>
    <s v="M/s. Dutta Krishi Bhandar"/>
    <s v="8617691998"/>
  </r>
  <r>
    <s v="RCF Trombay"/>
    <s v="N.C.Urea(45kg)"/>
    <s v="WB"/>
    <x v="12"/>
    <s v="Maynaguri"/>
    <s v="User Not Mapped"/>
    <s v="User Not Mapped"/>
    <s v="User Not Mapped"/>
    <n v="287620"/>
    <s v="Dipendra Nath Roy"/>
    <s v="Private Retailer"/>
    <s v="9932674154"/>
    <n v="1.845"/>
    <n v="63"/>
    <x v="6"/>
    <m/>
    <s v="2026-02-16"/>
    <s v="222661"/>
    <s v="M/s. Dutta Krishi Bhandar"/>
    <s v="8617691998"/>
  </r>
  <r>
    <s v="RCF Thal"/>
    <s v="N.C.Urea(45kg)"/>
    <s v="WB"/>
    <x v="12"/>
    <s v="Maynaguri"/>
    <s v="User Not Mapped"/>
    <s v="User Not Mapped"/>
    <s v="User Not Mapped"/>
    <n v="287620"/>
    <s v="Dipendra Nath Roy"/>
    <s v="Private Retailer"/>
    <s v="9932674154"/>
    <n v="0.45"/>
    <n v="44"/>
    <x v="3"/>
    <m/>
    <s v="2026-03-07"/>
    <s v="222661"/>
    <s v="M/s. Dutta Krishi Bhandar"/>
    <s v="8617691998"/>
  </r>
  <r>
    <s v="RCF Thal"/>
    <s v="N.C.Urea(45kg)"/>
    <s v="WB"/>
    <x v="12"/>
    <s v="Maynaguri"/>
    <s v="User Not Mapped"/>
    <s v="User Not Mapped"/>
    <s v="User Not Mapped"/>
    <n v="287620"/>
    <s v="Dipendra Nath Roy"/>
    <s v="Private Retailer"/>
    <s v="9932674154"/>
    <n v="1.575"/>
    <n v="33"/>
    <x v="3"/>
    <m/>
    <s v="2026-03-18"/>
    <s v="222661"/>
    <s v="M/s. Dutta Krishi Bhandar"/>
    <s v="8617691998"/>
  </r>
  <r>
    <s v="RCF Trombay"/>
    <s v="N.C.Urea(45kg)"/>
    <s v="WB"/>
    <x v="12"/>
    <s v="Maynaguri"/>
    <s v="User Not Mapped"/>
    <s v="User Not Mapped"/>
    <s v="User Not Mapped"/>
    <n v="868010"/>
    <s v="JANUDDIN FERTILIZER"/>
    <s v="Private Retailer"/>
    <s v="7602864439"/>
    <n v="0.9"/>
    <n v="61"/>
    <x v="6"/>
    <m/>
    <s v="2026-02-18"/>
    <s v="222661"/>
    <s v="M/s. Dutta Krishi Bhandar"/>
    <s v="8617691998"/>
  </r>
  <r>
    <s v="RCF Thal"/>
    <s v="N.C.Urea(45kg)"/>
    <s v="WB"/>
    <x v="12"/>
    <m/>
    <s v="User Not Mapped"/>
    <s v="User Not Mapped"/>
    <s v="User Not Mapped"/>
    <n v="185163"/>
    <s v="Jhumki Bhowmik"/>
    <s v="Private Retailer"/>
    <s v="9932209174"/>
    <n v="2.0249999999999999"/>
    <n v="28"/>
    <x v="5"/>
    <m/>
    <s v="2026-03-23"/>
    <s v="222661"/>
    <s v="M/s. Dutta Krishi Bhandar"/>
    <s v="8617691998"/>
  </r>
  <r>
    <s v="RCF Trombay"/>
    <s v="N.C.Urea(45kg)"/>
    <s v="WB"/>
    <x v="12"/>
    <s v="Jalpaiguri"/>
    <s v="User Not Mapped"/>
    <s v="User Not Mapped"/>
    <s v="User Not Mapped"/>
    <n v="634567"/>
    <s v="Jyotsna Fertilizer"/>
    <s v="Private Retailer"/>
    <s v="7551032783"/>
    <n v="0.495"/>
    <n v="59"/>
    <x v="3"/>
    <m/>
    <s v="2026-02-20"/>
    <s v="222661"/>
    <s v="M/s. Dutta Krishi Bhandar"/>
    <s v="8617691998"/>
  </r>
  <r>
    <s v="RCF Thal"/>
    <s v="N.C.Urea(45kg)"/>
    <s v="WB"/>
    <x v="12"/>
    <s v="Maynaguri"/>
    <s v="User Not Mapped"/>
    <s v="User Not Mapped"/>
    <s v="User Not Mapped"/>
    <n v="868006"/>
    <s v="KALU BABA KRISHI MAHAL"/>
    <s v="Private Retailer"/>
    <s v="7872005496"/>
    <n v="5.0000000000000001E-3"/>
    <n v="1217"/>
    <x v="2"/>
    <m/>
    <s v="2022-12-20"/>
    <s v="222661"/>
    <s v="M/s. Dutta Krishi Bhandar"/>
    <s v="8617691998"/>
  </r>
  <r>
    <s v="RCF Trombay"/>
    <s v="N.C.Urea(45kg)"/>
    <s v="WB"/>
    <x v="12"/>
    <s v="Maynaguri"/>
    <s v="User Not Mapped"/>
    <s v="User Not Mapped"/>
    <s v="User Not Mapped"/>
    <n v="868006"/>
    <s v="KALU BABA KRISHI MAHAL"/>
    <s v="Private Retailer"/>
    <s v="7872005496"/>
    <n v="5.0000000000000001E-3"/>
    <n v="871"/>
    <x v="2"/>
    <m/>
    <s v="2023-12-01"/>
    <s v="222661"/>
    <s v="M/s. Dutta Krishi Bhandar"/>
    <s v="8617691998"/>
  </r>
  <r>
    <s v="RCF Thal"/>
    <s v="N.C.Urea(45kg)"/>
    <s v="WB"/>
    <x v="12"/>
    <s v="Maynaguri"/>
    <s v="User Not Mapped"/>
    <s v="User Not Mapped"/>
    <s v="User Not Mapped"/>
    <n v="287599"/>
    <s v="M/S CHAKI KRISHI BHANDAR"/>
    <s v="Private Retailer"/>
    <s v="9733246002"/>
    <n v="0.09"/>
    <n v="33"/>
    <x v="3"/>
    <m/>
    <s v="2026-03-18"/>
    <s v="222661"/>
    <s v="M/s. Dutta Krishi Bhandar"/>
    <s v="8617691998"/>
  </r>
  <r>
    <s v="RCF Trombay"/>
    <s v="15-15-15"/>
    <s v="WB"/>
    <x v="12"/>
    <s v="Maynaguri"/>
    <s v="User Not Mapped"/>
    <s v="User Not Mapped"/>
    <s v="User Not Mapped"/>
    <n v="287599"/>
    <s v="M/S CHAKI KRISHI BHANDAR"/>
    <s v="Private Retailer"/>
    <s v="9733246002"/>
    <n v="0.75"/>
    <n v="56"/>
    <x v="3"/>
    <m/>
    <s v="2026-02-23"/>
    <s v="222661"/>
    <s v="M/s. Dutta Krishi Bhandar"/>
    <s v="8617691998"/>
  </r>
  <r>
    <s v="RCF Trombay"/>
    <s v="15-15-15"/>
    <s v="WB"/>
    <x v="12"/>
    <s v="Maynaguri"/>
    <s v="User Not Mapped"/>
    <s v="User Not Mapped"/>
    <s v="User Not Mapped"/>
    <n v="287599"/>
    <s v="M/S CHAKI KRISHI BHANDAR"/>
    <s v="Private Retailer"/>
    <s v="9733246002"/>
    <n v="1"/>
    <n v="14"/>
    <x v="5"/>
    <m/>
    <s v="2026-04-06"/>
    <s v="222661"/>
    <s v="M/s. Dutta Krishi Bhandar"/>
    <s v="8617691998"/>
  </r>
  <r>
    <s v="RCF Trombay"/>
    <s v="N.C.Urea(45kg)"/>
    <s v="WB"/>
    <x v="12"/>
    <s v="Maynaguri"/>
    <s v="User Not Mapped"/>
    <s v="User Not Mapped"/>
    <s v="User Not Mapped"/>
    <n v="1519444"/>
    <s v="M/S MAHALAXMI FERTILIZER"/>
    <s v="Private Retailer"/>
    <s v="9800060450"/>
    <n v="1.125"/>
    <n v="65"/>
    <x v="6"/>
    <m/>
    <s v="2026-02-14"/>
    <s v="222661"/>
    <s v="M/s. Dutta Krishi Bhandar"/>
    <s v="8617691998"/>
  </r>
  <r>
    <s v="RCF Trombay"/>
    <s v="N.C.Urea(45kg)"/>
    <s v="WB"/>
    <x v="12"/>
    <s v="Maynaguri"/>
    <s v="User Not Mapped"/>
    <s v="User Not Mapped"/>
    <s v="User Not Mapped"/>
    <n v="868032"/>
    <s v="M/S SABITRI KRISHI BHANDAR"/>
    <s v="Private Retailer"/>
    <s v="7602342276"/>
    <n v="0.54"/>
    <n v="65"/>
    <x v="6"/>
    <m/>
    <s v="2026-02-14"/>
    <s v="222661"/>
    <s v="M/s. Dutta Krishi Bhandar"/>
    <s v="8617691998"/>
  </r>
  <r>
    <s v="RCF Thal"/>
    <s v="N.C.Urea(45kg)"/>
    <s v="WB"/>
    <x v="12"/>
    <s v="Maynaguri"/>
    <s v="User Not Mapped"/>
    <s v="User Not Mapped"/>
    <s v="User Not Mapped"/>
    <n v="868032"/>
    <s v="M/S SABITRI KRISHI BHANDAR"/>
    <s v="Private Retailer"/>
    <s v="7602342276"/>
    <n v="0.67500000000000004"/>
    <n v="27"/>
    <x v="5"/>
    <m/>
    <s v="2026-03-24"/>
    <s v="222661"/>
    <s v="M/s. Dutta Krishi Bhandar"/>
    <s v="8617691998"/>
  </r>
  <r>
    <s v="RCF Import"/>
    <s v="MOP"/>
    <s v="WB"/>
    <x v="12"/>
    <s v="Maynaguri"/>
    <s v="User Not Mapped"/>
    <s v="User Not Mapped"/>
    <s v="User Not Mapped"/>
    <n v="1519450"/>
    <s v="M/S SHARMA KRISHI BHANDER"/>
    <s v="Private Retailer"/>
    <s v="6294365695"/>
    <n v="0.1"/>
    <n v="569"/>
    <x v="2"/>
    <m/>
    <s v="2024-09-28"/>
    <s v="222661"/>
    <s v="M/s. Dutta Krishi Bhandar"/>
    <s v="8617691998"/>
  </r>
  <r>
    <s v="RCF Trombay"/>
    <s v="15-15-15"/>
    <s v="WB"/>
    <x v="12"/>
    <m/>
    <s v="User Not Mapped"/>
    <s v="User Not Mapped"/>
    <s v="User Not Mapped"/>
    <n v="385691"/>
    <s v="Madan Mohan Roy"/>
    <s v="Private Retailer"/>
    <s v="9932284403"/>
    <n v="0.25"/>
    <n v="305"/>
    <x v="1"/>
    <m/>
    <s v="2025-06-19"/>
    <s v="222661"/>
    <s v="M/s. Dutta Krishi Bhandar"/>
    <s v="8617691998"/>
  </r>
  <r>
    <s v="RCF Thal"/>
    <s v="N.C.Urea(45kg)"/>
    <s v="WB"/>
    <x v="12"/>
    <m/>
    <s v="User Not Mapped"/>
    <s v="User Not Mapped"/>
    <s v="User Not Mapped"/>
    <n v="385691"/>
    <s v="Madan Mohan Roy"/>
    <s v="Private Retailer"/>
    <s v="9932284403"/>
    <n v="0.45"/>
    <n v="1482"/>
    <x v="2"/>
    <m/>
    <s v="2022-03-30"/>
    <s v="222661"/>
    <s v="M/s. Dutta Krishi Bhandar"/>
    <s v="8617691998"/>
  </r>
  <r>
    <s v="RCF Thal"/>
    <s v="N.C.Urea(45kg)"/>
    <s v="WB"/>
    <x v="12"/>
    <m/>
    <s v="User Not Mapped"/>
    <s v="User Not Mapped"/>
    <s v="User Not Mapped"/>
    <n v="385691"/>
    <s v="Madan Mohan Roy"/>
    <s v="Private Retailer"/>
    <s v="9932284403"/>
    <n v="1.125"/>
    <n v="1305"/>
    <x v="2"/>
    <m/>
    <s v="2022-09-23"/>
    <s v="222661"/>
    <s v="M/s. Dutta Krishi Bhandar"/>
    <s v="8617691998"/>
  </r>
  <r>
    <s v="RCF Thal"/>
    <s v="N.C.Urea(45kg)"/>
    <s v="WB"/>
    <x v="12"/>
    <s v="Maynaguri"/>
    <s v="User Not Mapped"/>
    <s v="User Not Mapped"/>
    <s v="User Not Mapped"/>
    <n v="185255"/>
    <s v="Safiul Hakim"/>
    <s v="Private Retailer"/>
    <s v="9382273404"/>
    <n v="1.8"/>
    <n v="28"/>
    <x v="5"/>
    <m/>
    <s v="2026-03-23"/>
    <s v="222661"/>
    <s v="M/s. Dutta Krishi Bhandar"/>
    <s v="8617691998"/>
  </r>
  <r>
    <s v="RCF Trombay"/>
    <s v="15-15-15"/>
    <s v="WB"/>
    <x v="12"/>
    <s v="Maynaguri"/>
    <s v="User Not Mapped"/>
    <s v="User Not Mapped"/>
    <s v="User Not Mapped"/>
    <n v="185255"/>
    <s v="Safiul Hakim"/>
    <s v="Private Retailer"/>
    <s v="9382273404"/>
    <n v="0.25"/>
    <n v="28"/>
    <x v="5"/>
    <m/>
    <s v="2026-03-23"/>
    <s v="222661"/>
    <s v="M/s. Dutta Krishi Bhandar"/>
    <s v="8617691998"/>
  </r>
  <r>
    <s v="RCF Thal"/>
    <s v="N.C.Urea(45kg)"/>
    <s v="WB"/>
    <x v="12"/>
    <s v="Maynaguri"/>
    <s v="User Not Mapped"/>
    <s v="User Not Mapped"/>
    <s v="User Not Mapped"/>
    <n v="1084012"/>
    <s v="SAMBHU KRISHI BEEJ BHANDAR"/>
    <s v="Private Retailer"/>
    <s v="8637819535"/>
    <n v="0.04"/>
    <n v="1308"/>
    <x v="2"/>
    <m/>
    <s v="2022-09-20"/>
    <s v="222661"/>
    <s v="M/s. Dutta Krishi Bhandar"/>
    <s v="8617691998"/>
  </r>
  <r>
    <s v="RCF Trombay"/>
    <s v="N.C.Urea(45kg)"/>
    <s v="WB"/>
    <x v="12"/>
    <s v="Maynaguri"/>
    <s v="User Not Mapped"/>
    <s v="User Not Mapped"/>
    <s v="User Not Mapped"/>
    <n v="868030"/>
    <s v="SEN KRISHI BHANDAR"/>
    <s v="Private Retailer"/>
    <s v="8906162569"/>
    <n v="0.45"/>
    <n v="61"/>
    <x v="6"/>
    <m/>
    <s v="2026-02-18"/>
    <s v="222661"/>
    <s v="M/s. Dutta Krishi Bhandar"/>
    <s v="8617691998"/>
  </r>
  <r>
    <s v="RCF Trombay"/>
    <s v="N.C.Urea(45kg)"/>
    <s v="WB"/>
    <x v="12"/>
    <s v="Maynaguri"/>
    <s v="User Not Mapped"/>
    <s v="User Not Mapped"/>
    <s v="User Not Mapped"/>
    <n v="868036"/>
    <s v="SEN KRISHI KALYANP"/>
    <s v="Private Retailer"/>
    <s v="9733289886"/>
    <n v="0.18"/>
    <n v="11"/>
    <x v="5"/>
    <m/>
    <s v="2026-04-09"/>
    <s v="222661"/>
    <s v="M/s. Dutta Krishi Bhandar"/>
    <s v="8617691998"/>
  </r>
  <r>
    <s v="RCF Trombay"/>
    <s v="15-15-15"/>
    <s v="WB"/>
    <x v="12"/>
    <s v="Kharibari"/>
    <s v="User Not Mapped"/>
    <s v="User Not Mapped"/>
    <s v="User Not Mapped"/>
    <n v="1116321"/>
    <s v="ATUL FERTILIZER"/>
    <s v="Private Wholsaler"/>
    <s v="9800490901"/>
    <n v="10.75"/>
    <n v="75"/>
    <x v="6"/>
    <s v="'2382/2384/2385/2386'"/>
    <s v="2026-02-04"/>
    <s v="280728"/>
    <s v="M/s. Sunil Kumar Kundu"/>
    <s v="9832028729"/>
  </r>
  <r>
    <s v="RCF Import"/>
    <s v="Imp 10-26-26"/>
    <s v="WB"/>
    <x v="12"/>
    <s v="Jalpaiguri"/>
    <s v="User Not Mapped"/>
    <s v="User Not Mapped"/>
    <s v="User Not Mapped"/>
    <n v="1415102"/>
    <s v="AVAYA AGRO"/>
    <s v="Private Retailer"/>
    <s v="6297361521"/>
    <n v="0.75"/>
    <n v="905"/>
    <x v="2"/>
    <m/>
    <s v="2023-10-28"/>
    <n v="280728"/>
    <s v="M/s. Sunil Kumar Kundu"/>
    <s v="9832028729"/>
  </r>
  <r>
    <s v="RCF Thal"/>
    <s v="N.C.Urea(45kg)"/>
    <s v="WB"/>
    <x v="12"/>
    <s v="Phansidewa"/>
    <s v="User Not Mapped"/>
    <s v="User Not Mapped"/>
    <s v="User Not Mapped"/>
    <n v="341680"/>
    <s v="Krishi Bhandar"/>
    <s v="Private Retailer"/>
    <s v="9593692811"/>
    <n v="5.8949999999999996"/>
    <n v="46"/>
    <x v="3"/>
    <m/>
    <s v="2026-03-05"/>
    <s v="280728"/>
    <s v="M/s. Sunil Kumar Kundu"/>
    <s v="9832028729"/>
  </r>
  <r>
    <s v="RCF Thal"/>
    <s v="N.C.Urea(45kg)"/>
    <s v="WB"/>
    <x v="12"/>
    <s v="Kharibari"/>
    <s v="User Not Mapped"/>
    <s v="User Not Mapped"/>
    <s v="User Not Mapped"/>
    <n v="213285"/>
    <s v="M/S Prodip Kr Ghosh"/>
    <s v="Private Wholsaler"/>
    <s v="9002771451"/>
    <n v="11.025"/>
    <n v="46"/>
    <x v="3"/>
    <s v="'2510'"/>
    <s v="2026-03-05"/>
    <s v="280728"/>
    <s v="M/s. Sunil Kumar Kundu"/>
    <s v="9832028729"/>
  </r>
  <r>
    <s v="RCF Trombay"/>
    <s v="15-15-15"/>
    <s v="WB"/>
    <x v="12"/>
    <s v="Naxalbari"/>
    <s v="User Not Mapped"/>
    <s v="User Not Mapped"/>
    <s v="User Not Mapped"/>
    <n v="385430"/>
    <s v="Manajit Pal"/>
    <s v="Private Retailer"/>
    <s v="9851546867"/>
    <n v="0.25"/>
    <n v="1203"/>
    <x v="2"/>
    <m/>
    <s v="2023-01-03"/>
    <s v="280728"/>
    <s v="M/s. Sunil Kumar Kundu"/>
    <s v="9832028729"/>
  </r>
  <r>
    <s v="RCF Trombay"/>
    <s v="15-15-15"/>
    <s v="WB"/>
    <x v="12"/>
    <s v="Kharibari"/>
    <s v="User Not Mapped"/>
    <s v="User Not Mapped"/>
    <s v="User Not Mapped"/>
    <n v="369937"/>
    <s v="New Baba Anandamurti Enterpris"/>
    <s v="Private Retailer"/>
    <s v="8016140658"/>
    <n v="11"/>
    <n v="75"/>
    <x v="6"/>
    <m/>
    <s v="2026-02-04"/>
    <s v="280728"/>
    <s v="M/s. Sunil Kumar Kundu"/>
    <s v="9832028729"/>
  </r>
  <r>
    <s v="RCF Trombay"/>
    <s v="15-15-15"/>
    <s v="WB"/>
    <x v="12"/>
    <s v="Phansidewa"/>
    <s v="User Not Mapped"/>
    <s v="User Not Mapped"/>
    <s v="User Not Mapped"/>
    <n v="328144"/>
    <s v="PAUL FERTILIZER"/>
    <s v="Private Retailer"/>
    <s v="9933066690"/>
    <n v="3.4"/>
    <n v="343"/>
    <x v="1"/>
    <m/>
    <s v="2025-05-12"/>
    <s v="280728"/>
    <s v="M/s. Sunil Kumar Kundu"/>
    <s v="9832028729"/>
  </r>
  <r>
    <s v="RCF Import"/>
    <s v="Imp 10-26-26"/>
    <s v="WB"/>
    <x v="12"/>
    <s v="Dhupguri"/>
    <s v="User Not Mapped"/>
    <s v="User Not Mapped"/>
    <s v="User Not Mapped"/>
    <n v="597358"/>
    <s v="Maa Lakshmi Fertilisers"/>
    <s v="Private Retailer"/>
    <s v="9832488456"/>
    <n v="0.5"/>
    <n v="884"/>
    <x v="2"/>
    <m/>
    <s v="2023-11-18"/>
    <s v="1102246"/>
    <s v="MAA SARADA KRISHI BHANDAR"/>
    <s v="7001049430"/>
  </r>
  <r>
    <s v="RCF Import"/>
    <s v="Imp 10-26-26"/>
    <s v="WB"/>
    <x v="12"/>
    <s v="Dhupguri"/>
    <s v="User Not Mapped"/>
    <s v="User Not Mapped"/>
    <s v="User Not Mapped"/>
    <n v="658408"/>
    <s v=" M/S ALAM FERTILIZER"/>
    <s v="Private Retailer"/>
    <s v="9932866839"/>
    <n v="0.4"/>
    <n v="866"/>
    <x v="2"/>
    <m/>
    <s v="2023-12-06"/>
    <s v="646084"/>
    <s v="NARAYAN CHANDRA DHAR"/>
    <s v="9832375165"/>
  </r>
  <r>
    <s v="RCF Import"/>
    <s v="Imp 10-26-26"/>
    <s v="WB"/>
    <x v="12"/>
    <s v="Dhupguri"/>
    <s v="User Not Mapped"/>
    <s v="User Not Mapped"/>
    <s v="User Not Mapped"/>
    <n v="658408"/>
    <s v=" M/S ALAM FERTILIZER"/>
    <s v="Private Retailer"/>
    <s v="9932866839"/>
    <n v="0.2"/>
    <n v="846"/>
    <x v="2"/>
    <m/>
    <s v="2023-12-26"/>
    <s v="646084"/>
    <s v="NARAYAN CHANDRA DHAR"/>
    <s v="9832375165"/>
  </r>
  <r>
    <s v="RCF Import"/>
    <s v="Imp 10-26-26"/>
    <s v="WB"/>
    <x v="12"/>
    <s v="Dhupguri"/>
    <s v="User Not Mapped"/>
    <s v="User Not Mapped"/>
    <s v="User Not Mapped"/>
    <n v="658408"/>
    <s v=" M/S ALAM FERTILIZER"/>
    <s v="Private Retailer"/>
    <s v="9932866839"/>
    <n v="0.1"/>
    <n v="843"/>
    <x v="2"/>
    <m/>
    <s v="2023-12-29"/>
    <s v="646084"/>
    <s v="NARAYAN CHANDRA DHAR"/>
    <s v="9832375165"/>
  </r>
  <r>
    <s v="RCF Trombay"/>
    <s v="15-15-15"/>
    <s v="WB"/>
    <x v="12"/>
    <s v="Dhupguri"/>
    <s v="User Not Mapped"/>
    <s v="User Not Mapped"/>
    <s v="User Not Mapped"/>
    <n v="1425957"/>
    <s v="HAZI KRISHI BHANDAR"/>
    <s v="Private Retailer"/>
    <s v="8250289024"/>
    <n v="1"/>
    <n v="891"/>
    <x v="2"/>
    <m/>
    <s v="2023-11-11"/>
    <s v="646084"/>
    <s v="NARAYAN CHANDRA DHAR"/>
    <s v="9832375165"/>
  </r>
  <r>
    <s v="RCF Import"/>
    <s v="MOP"/>
    <s v="WB"/>
    <x v="12"/>
    <s v="Dhupguri"/>
    <s v="User Not Mapped"/>
    <s v="User Not Mapped"/>
    <s v="User Not Mapped"/>
    <n v="650994"/>
    <s v="NIRNALA BEEJ BHANDAR"/>
    <s v="Private Retailer"/>
    <s v="9749300004"/>
    <n v="2"/>
    <n v="508"/>
    <x v="0"/>
    <m/>
    <s v="2024-11-28"/>
    <s v="646084"/>
    <s v="NARAYAN CHANDRA DHAR"/>
    <s v="9832375165"/>
  </r>
  <r>
    <s v="RCF Trombay"/>
    <s v="15-15-15"/>
    <s v="WB"/>
    <x v="12"/>
    <s v="Dhupguri"/>
    <s v="User Not Mapped"/>
    <s v="User Not Mapped"/>
    <s v="User Not Mapped"/>
    <n v="650027"/>
    <s v="SABUJ MAHAL"/>
    <s v="Private Retailer"/>
    <s v="9679181239"/>
    <n v="0.15"/>
    <n v="829"/>
    <x v="2"/>
    <m/>
    <s v="2024-01-12"/>
    <s v="646084"/>
    <s v="NARAYAN CHANDRA DHAR"/>
    <s v="9832375165"/>
  </r>
  <r>
    <s v="RCF Trombay"/>
    <s v="15-15-15"/>
    <s v="WB"/>
    <x v="12"/>
    <m/>
    <s v="User Not Mapped"/>
    <s v="User Not Mapped"/>
    <s v="User Not Mapped"/>
    <n v="369933"/>
    <s v="Ganesh Krishi Bhandar"/>
    <s v="Private Retailer"/>
    <s v="9933852064"/>
    <n v="0.1"/>
    <n v="240"/>
    <x v="1"/>
    <m/>
    <s v="2025-08-23"/>
    <s v="214213"/>
    <s v="National Industries"/>
    <s v="9641330052"/>
  </r>
  <r>
    <s v="RCF Trombay"/>
    <s v="15-15-15"/>
    <s v="WB"/>
    <x v="12"/>
    <s v="Maynaguri"/>
    <s v="User Not Mapped"/>
    <s v="User Not Mapped"/>
    <s v="User Not Mapped"/>
    <n v="968160"/>
    <s v="M/S KAMAL ROY"/>
    <s v="Private Retailer"/>
    <s v="8345028558"/>
    <n v="0.1"/>
    <n v="65"/>
    <x v="6"/>
    <m/>
    <s v="2026-02-14"/>
    <s v="214213"/>
    <s v="National Industries"/>
    <s v="9641330052"/>
  </r>
  <r>
    <s v="RCF Trombay"/>
    <s v="15-15-15"/>
    <s v="WB"/>
    <x v="12"/>
    <m/>
    <s v="User Not Mapped"/>
    <s v="User Not Mapped"/>
    <s v="User Not Mapped"/>
    <n v="1578196"/>
    <s v="ROY FERTILIZER"/>
    <s v="Private Retailer"/>
    <s v="9832068505"/>
    <n v="0.4"/>
    <n v="26"/>
    <x v="5"/>
    <m/>
    <s v="2026-03-25"/>
    <s v="214213"/>
    <s v="National Industries"/>
    <s v="9641330052"/>
  </r>
  <r>
    <s v="RCF Thal"/>
    <s v="N.C.Urea(45kg)"/>
    <s v="WB"/>
    <x v="12"/>
    <s v="Jalpaiguri"/>
    <s v="User Not Mapped"/>
    <s v="User Not Mapped"/>
    <s v="User Not Mapped"/>
    <n v="1035475"/>
    <s v="RUPALI FERTILISER"/>
    <s v="Private Retailer"/>
    <s v="7076454373"/>
    <n v="0.13500000000000001"/>
    <n v="2316"/>
    <x v="2"/>
    <m/>
    <s v="2019-12-17"/>
    <s v="1144668"/>
    <s v="NEW AMIYA STORE"/>
    <s v="8250897703"/>
  </r>
  <r>
    <s v="RCF Thal"/>
    <s v="N.C.Urea(45kg)"/>
    <s v="WB"/>
    <x v="12"/>
    <m/>
    <s v="User Not Mapped"/>
    <s v="User Not Mapped"/>
    <s v="User Not Mapped"/>
    <n v="871597"/>
    <s v="ASHOK SARKAR"/>
    <s v="Private Retailer"/>
    <s v="8944095738"/>
    <n v="0.40500000000000003"/>
    <n v="2525"/>
    <x v="2"/>
    <m/>
    <s v="2019-05-22"/>
    <s v="553514"/>
    <s v="Om Prakash Agarwala"/>
    <s v="9233402522"/>
  </r>
  <r>
    <s v="RCF Trombay"/>
    <s v="15-15-15"/>
    <s v="WB"/>
    <x v="12"/>
    <m/>
    <s v="User Not Mapped"/>
    <s v="User Not Mapped"/>
    <s v="User Not Mapped"/>
    <n v="871619"/>
    <s v="SWAPAN KUMAR DAS"/>
    <s v="Private Retailer"/>
    <s v="9832361142"/>
    <n v="0.65"/>
    <n v="1588"/>
    <x v="2"/>
    <m/>
    <s v="2021-12-14"/>
    <s v="553514"/>
    <s v="Om Prakash Agarwala"/>
    <s v="9233402522"/>
  </r>
  <r>
    <s v="RCF Thal"/>
    <s v="N.C.Urea(45kg)"/>
    <s v="WB"/>
    <x v="12"/>
    <s v="Jalpaiguri"/>
    <s v="User Not Mapped"/>
    <s v="User Not Mapped"/>
    <s v="User Not Mapped"/>
    <n v="1083754"/>
    <s v="M/S PRIYA KRISHI BHANDAR"/>
    <s v="Private Retailer"/>
    <s v="8637334248"/>
    <n v="8.9999999999999993E-3"/>
    <n v="1314"/>
    <x v="2"/>
    <m/>
    <s v="2022-09-14"/>
    <s v="1097532"/>
    <s v="Puja Agro Chemicals"/>
    <s v="9734970530"/>
  </r>
  <r>
    <s v="RCF Thal"/>
    <s v="N.C.Urea(45kg)"/>
    <s v="WB"/>
    <x v="12"/>
    <s v="Phansidewa"/>
    <s v="User Not Mapped"/>
    <s v="User Not Mapped"/>
    <s v="User Not Mapped"/>
    <n v="1292823"/>
    <s v="ASHARAFI FERTILIZER "/>
    <s v="Private Retailer"/>
    <s v="6295356054"/>
    <n v="1.125"/>
    <n v="42"/>
    <x v="3"/>
    <m/>
    <s v="2026-03-09"/>
    <s v="214210"/>
    <s v="Raja Fertilizer"/>
    <s v="8370801459"/>
  </r>
  <r>
    <s v="RCF Trombay"/>
    <s v="15-15-15"/>
    <s v="WB"/>
    <x v="12"/>
    <s v="Phansidewa"/>
    <s v="User Not Mapped"/>
    <s v="User Not Mapped"/>
    <s v="User Not Mapped"/>
    <n v="315288"/>
    <s v="BARAI FERTILIZER"/>
    <s v="Private Retailer"/>
    <s v="9832450151"/>
    <n v="0.8"/>
    <n v="115"/>
    <x v="7"/>
    <m/>
    <s v="2025-12-26"/>
    <s v="214210"/>
    <s v="Raja Fertilizer"/>
    <s v="8370801459"/>
  </r>
  <r>
    <s v="RCF Trombay"/>
    <s v="15-15-15"/>
    <s v="WB"/>
    <x v="12"/>
    <s v="Phansidewa"/>
    <s v="User Not Mapped"/>
    <s v="User Not Mapped"/>
    <s v="User Not Mapped"/>
    <n v="315288"/>
    <s v="BARAI FERTILIZER"/>
    <s v="Private Retailer"/>
    <s v="9832450151"/>
    <n v="11"/>
    <n v="75"/>
    <x v="6"/>
    <m/>
    <s v="2026-02-04"/>
    <s v="214210"/>
    <s v="Raja Fertilizer"/>
    <s v="8370801459"/>
  </r>
  <r>
    <s v="RCF Trombay"/>
    <s v="15-15-15"/>
    <s v="WB"/>
    <x v="12"/>
    <s v="Mal"/>
    <s v="User Not Mapped"/>
    <s v="User Not Mapped"/>
    <s v="User Not Mapped"/>
    <n v="245008"/>
    <s v="Dharmendra Singh"/>
    <s v="Private Retailer"/>
    <s v="7407107743"/>
    <n v="11"/>
    <n v="75"/>
    <x v="6"/>
    <m/>
    <s v="2026-02-04"/>
    <s v="214210"/>
    <s v="Raja Fertilizer"/>
    <s v="8370801459"/>
  </r>
  <r>
    <s v="RCF Thal"/>
    <s v="N.C.Urea(45kg)"/>
    <s v="WB"/>
    <x v="12"/>
    <s v="Jalpaiguri"/>
    <s v="User Not Mapped"/>
    <s v="User Not Mapped"/>
    <s v="User Not Mapped"/>
    <n v="1146821"/>
    <s v="GREEN LIFE FERTILIZER"/>
    <s v="Private Retailer"/>
    <s v="8900535919"/>
    <n v="0.495"/>
    <n v="17"/>
    <x v="5"/>
    <m/>
    <s v="2026-04-03"/>
    <s v="214210"/>
    <s v="Raja Fertilizer"/>
    <s v="8370801459"/>
  </r>
  <r>
    <s v="RCF Thal"/>
    <s v="N.C.Urea(45kg)"/>
    <s v="WB"/>
    <x v="12"/>
    <s v="Kharibari"/>
    <s v="User Not Mapped"/>
    <s v="User Not Mapped"/>
    <s v="User Not Mapped"/>
    <n v="1610176"/>
    <s v="JAYANTI FERTILIZER"/>
    <s v="Private Retailer"/>
    <s v="7047305375"/>
    <n v="3.375"/>
    <n v="26"/>
    <x v="5"/>
    <m/>
    <s v="2026-03-25"/>
    <s v="214210"/>
    <s v="Raja Fertilizer"/>
    <s v="8370801459"/>
  </r>
  <r>
    <s v="RCF Trombay"/>
    <s v="15-15-15"/>
    <s v="WB"/>
    <x v="12"/>
    <s v="Mal"/>
    <s v="User Not Mapped"/>
    <s v="User Not Mapped"/>
    <s v="User Not Mapped"/>
    <n v="1322047"/>
    <s v="M/S PANKAJ SARKAR"/>
    <s v="Private Wholsaler"/>
    <s v="9002881602"/>
    <n v="11"/>
    <n v="75"/>
    <x v="6"/>
    <s v="'RF/S/25-26/783'"/>
    <s v="2026-02-04"/>
    <s v="214210"/>
    <s v="Raja Fertilizer"/>
    <s v="8370801459"/>
  </r>
  <r>
    <s v="RCF Trombay"/>
    <s v="15-15-15"/>
    <s v="WB"/>
    <x v="12"/>
    <s v="Dhupguri"/>
    <s v="User Not Mapped"/>
    <s v="User Not Mapped"/>
    <s v="User Not Mapped"/>
    <n v="245109"/>
    <s v="M/S SUJIT FERTILIZER"/>
    <s v="Private Retailer"/>
    <s v="9609923585"/>
    <n v="0.1"/>
    <n v="52"/>
    <x v="3"/>
    <m/>
    <s v="2026-02-27"/>
    <s v="214210"/>
    <s v="Raja Fertilizer"/>
    <s v="8370801459"/>
  </r>
  <r>
    <s v="RCF Trombay"/>
    <s v="15-15-15"/>
    <s v="WB"/>
    <x v="12"/>
    <s v="Jalpaiguri"/>
    <s v="User Not Mapped"/>
    <s v="User Not Mapped"/>
    <s v="User Not Mapped"/>
    <n v="1133856"/>
    <s v="MAGMOON KRISHI BEEJ BHANDAR"/>
    <s v="Private Retailer"/>
    <s v="7001316473"/>
    <n v="8.9499999999999993"/>
    <n v="75"/>
    <x v="6"/>
    <m/>
    <s v="2026-02-04"/>
    <s v="214210"/>
    <s v="Raja Fertilizer"/>
    <s v="8370801459"/>
  </r>
  <r>
    <s v="RCF Thal"/>
    <s v="N.C.Urea(45kg)"/>
    <s v="WB"/>
    <x v="12"/>
    <s v="Kharibari"/>
    <s v="User Not Mapped"/>
    <s v="User Not Mapped"/>
    <s v="User Not Mapped"/>
    <n v="1316868"/>
    <s v="QUADRI FERTILIZER"/>
    <s v="PACS"/>
    <s v="7585084467"/>
    <n v="3.15"/>
    <n v="24"/>
    <x v="5"/>
    <m/>
    <s v="2026-03-27"/>
    <s v="214210"/>
    <s v="Raja Fertilizer"/>
    <s v="8370801459"/>
  </r>
  <r>
    <s v="RCF Thal"/>
    <s v="N.C.Urea(45kg)"/>
    <s v="WB"/>
    <x v="12"/>
    <s v="Dhupguri"/>
    <s v="User Not Mapped"/>
    <s v="User Not Mapped"/>
    <s v="User Not Mapped"/>
    <n v="877346"/>
    <s v="SANTOSH BEEJ BHANDAR"/>
    <s v="Private Retailer"/>
    <s v="9800079583"/>
    <n v="0.54"/>
    <n v="1069"/>
    <x v="2"/>
    <m/>
    <s v="2023-05-17"/>
    <s v="214210"/>
    <s v="Raja Fertilizer"/>
    <s v="8370801459"/>
  </r>
  <r>
    <s v="RCF Trombay"/>
    <s v="15-15-15"/>
    <s v="WB"/>
    <x v="12"/>
    <s v="Maynaguri"/>
    <s v="User Not Mapped"/>
    <s v="User Not Mapped"/>
    <s v="User Not Mapped"/>
    <n v="222671"/>
    <s v="Adarsha Krishi Bhandar"/>
    <s v="Private Wholsaler"/>
    <s v="7872827880"/>
    <n v="33.4"/>
    <n v="74"/>
    <x v="6"/>
    <s v="'WS3125003319'"/>
    <s v="2026-02-05"/>
    <s v="1"/>
    <s v="rcf"/>
    <m/>
  </r>
  <r>
    <s v="RCF Trombay"/>
    <s v="15-15-15"/>
    <s v="WB"/>
    <x v="12"/>
    <s v="Rajganj"/>
    <s v="User Not Mapped"/>
    <s v="User Not Mapped"/>
    <s v="User Not Mapped"/>
    <n v="280728"/>
    <s v="M/s. Sunil Kumar Kundu"/>
    <s v="Private Wholsaler"/>
    <s v="9832028729"/>
    <n v="39.25"/>
    <n v="75"/>
    <x v="6"/>
    <s v="'WS3125003272'"/>
    <s v="2026-02-04"/>
    <s v="1"/>
    <s v="rcf"/>
    <m/>
  </r>
  <r>
    <s v="RCF Trombay"/>
    <s v="15-15-15"/>
    <s v="WB"/>
    <x v="12"/>
    <s v="Matigara"/>
    <s v="User Not Mapped"/>
    <s v="User Not Mapped"/>
    <s v="User Not Mapped"/>
    <n v="214210"/>
    <s v="Raja Fertilizer"/>
    <s v="Private Wholsaler"/>
    <s v="8370801459"/>
    <n v="46"/>
    <n v="75"/>
    <x v="6"/>
    <s v="'WS3125003281'"/>
    <s v="2026-02-04"/>
    <s v="1"/>
    <s v="rcf"/>
    <m/>
  </r>
  <r>
    <s v="RCF Trombay"/>
    <s v="15-15-15"/>
    <s v="WB"/>
    <x v="12"/>
    <s v="Matigara"/>
    <s v="User Not Mapped"/>
    <s v="User Not Mapped"/>
    <s v="User Not Mapped"/>
    <n v="214210"/>
    <s v="Raja Fertilizer"/>
    <s v="Private Wholsaler"/>
    <s v="8370801459"/>
    <n v="47.25"/>
    <n v="75"/>
    <x v="6"/>
    <s v="'WS3125003277'"/>
    <s v="2026-02-04"/>
    <s v="1"/>
    <s v="rcf"/>
    <m/>
  </r>
  <r>
    <s v="RCF Thal"/>
    <s v="N.C.Urea(45kg)"/>
    <s v="WB"/>
    <x v="12"/>
    <s v="Matigara"/>
    <s v="User Not Mapped"/>
    <s v="User Not Mapped"/>
    <s v="User Not Mapped"/>
    <n v="214210"/>
    <s v="Raja Fertilizer"/>
    <s v="Private Wholsaler"/>
    <s v="8370801459"/>
    <n v="54"/>
    <n v="49"/>
    <x v="3"/>
    <s v="'WS3125003795'"/>
    <s v="2026-03-02"/>
    <s v="1"/>
    <s v="rcf"/>
    <m/>
  </r>
  <r>
    <s v="RCF Thal"/>
    <s v="N.C.Urea(45kg)"/>
    <s v="WB"/>
    <x v="12"/>
    <s v="Matigara"/>
    <s v="User Not Mapped"/>
    <s v="User Not Mapped"/>
    <s v="User Not Mapped"/>
    <n v="214210"/>
    <s v="Raja Fertilizer"/>
    <s v="Private Wholsaler"/>
    <s v="8370801459"/>
    <n v="25.04"/>
    <n v="49"/>
    <x v="3"/>
    <s v="'WS3125003790'"/>
    <s v="2026-03-02"/>
    <s v="1"/>
    <s v="rcf"/>
    <m/>
  </r>
  <r>
    <s v="RCF Thal"/>
    <s v="N.C.Urea(45kg)"/>
    <s v="WB"/>
    <x v="12"/>
    <s v="Matigara"/>
    <s v="User Not Mapped"/>
    <s v="User Not Mapped"/>
    <s v="User Not Mapped"/>
    <n v="214210"/>
    <s v="Raja Fertilizer"/>
    <s v="Private Wholsaler"/>
    <s v="8370801459"/>
    <n v="45"/>
    <n v="49"/>
    <x v="3"/>
    <s v="'WS3125003798'"/>
    <s v="2026-03-02"/>
    <s v="1"/>
    <s v="rcf"/>
    <m/>
  </r>
  <r>
    <s v="RCF Thal"/>
    <s v="N.C.Urea(45kg)"/>
    <s v="WB"/>
    <x v="12"/>
    <s v="Matigara"/>
    <s v="User Not Mapped"/>
    <s v="User Not Mapped"/>
    <s v="User Not Mapped"/>
    <n v="214210"/>
    <s v="Raja Fertilizer"/>
    <s v="Private Wholsaler"/>
    <s v="8370801459"/>
    <n v="54"/>
    <n v="49"/>
    <x v="3"/>
    <s v="'WS3125003794'"/>
    <s v="2026-03-02"/>
    <s v="1"/>
    <s v="rcf"/>
    <m/>
  </r>
  <r>
    <s v="RCF Thal"/>
    <s v="N.C.Urea(45kg)"/>
    <s v="WB"/>
    <x v="12"/>
    <s v="Matigara"/>
    <s v="User Not Mapped"/>
    <s v="User Not Mapped"/>
    <s v="User Not Mapped"/>
    <n v="214210"/>
    <s v="Raja Fertilizer"/>
    <s v="Private Wholsaler"/>
    <s v="8370801459"/>
    <n v="54"/>
    <n v="49"/>
    <x v="3"/>
    <s v="'WS3125003796'"/>
    <s v="2026-03-02"/>
    <s v="1"/>
    <s v="rcf"/>
    <m/>
  </r>
  <r>
    <s v="RCF Trombay"/>
    <s v="15-15-15"/>
    <s v="WB"/>
    <x v="12"/>
    <s v="Matigara"/>
    <s v="User Not Mapped"/>
    <s v="User Not Mapped"/>
    <s v="User Not Mapped"/>
    <n v="214210"/>
    <s v="Raja Fertilizer"/>
    <s v="Private Wholsaler"/>
    <s v="8370801459"/>
    <n v="54"/>
    <n v="75"/>
    <x v="6"/>
    <s v="'WS3125003278'"/>
    <s v="2026-02-04"/>
    <s v="1"/>
    <s v="rcf"/>
    <m/>
  </r>
  <r>
    <s v="RCF Trombay"/>
    <s v="15-15-15"/>
    <s v="WB"/>
    <x v="12"/>
    <s v="Matigara"/>
    <s v="User Not Mapped"/>
    <s v="User Not Mapped"/>
    <s v="User Not Mapped"/>
    <n v="214210"/>
    <s v="Raja Fertilizer"/>
    <s v="Private Wholsaler"/>
    <s v="8370801459"/>
    <n v="54"/>
    <n v="75"/>
    <x v="6"/>
    <s v="'WS3125003279'"/>
    <s v="2026-02-04"/>
    <s v="1"/>
    <s v="rcf"/>
    <m/>
  </r>
  <r>
    <s v="RCF Trombay"/>
    <s v="15-15-15"/>
    <s v="WB"/>
    <x v="12"/>
    <s v="Phansidewa"/>
    <s v="User Not Mapped"/>
    <s v="User Not Mapped"/>
    <s v="User Not Mapped"/>
    <n v="214204"/>
    <s v="Vikas Agrochemicals"/>
    <s v="Private Wholsaler"/>
    <s v="9474382706"/>
    <n v="0.75"/>
    <n v="74"/>
    <x v="6"/>
    <s v="'WS3125003304'"/>
    <s v="2026-02-05"/>
    <s v="1"/>
    <s v="rcf"/>
    <m/>
  </r>
  <r>
    <s v="RCF Thal"/>
    <s v="N.C.Urea(45kg)"/>
    <s v="WB"/>
    <x v="12"/>
    <s v="Jalpaiguri"/>
    <s v="User Not Mapped"/>
    <s v="User Not Mapped"/>
    <s v="User Not Mapped"/>
    <n v="185245"/>
    <s v="Rana Prasad Sarkar"/>
    <s v="Private Retailer"/>
    <s v="9749897868"/>
    <n v="0.27"/>
    <n v="28"/>
    <x v="5"/>
    <m/>
    <s v="2026-03-23"/>
    <s v="1320424"/>
    <s v="Roy Beej Bhandar"/>
    <s v="9749085045"/>
  </r>
  <r>
    <s v="RCF Thal"/>
    <s v="N.C.Urea(45kg)"/>
    <s v="WB"/>
    <x v="12"/>
    <s v="Kharibari"/>
    <s v="User Not Mapped"/>
    <s v="User Not Mapped"/>
    <s v="User Not Mapped"/>
    <n v="369941"/>
    <s v="Ganesh Krishi Bhandar"/>
    <s v="Private Retailer"/>
    <s v="9851548131"/>
    <n v="1.35"/>
    <n v="45"/>
    <x v="3"/>
    <m/>
    <s v="2026-03-06"/>
    <s v="214211"/>
    <s v="Sri Balaji Krishi Bhandar"/>
    <s v="9933393621"/>
  </r>
  <r>
    <s v="RCF Trombay"/>
    <s v="15-15-15"/>
    <s v="WB"/>
    <x v="12"/>
    <s v="Jalpaiguri"/>
    <s v="User Not Mapped"/>
    <s v="User Not Mapped"/>
    <s v="User Not Mapped"/>
    <n v="983140"/>
    <s v="KRISHI BHANDAR"/>
    <s v="Private Retailer"/>
    <s v="9002412360"/>
    <n v="7"/>
    <n v="67"/>
    <x v="6"/>
    <m/>
    <s v="2026-02-12"/>
    <s v="214211"/>
    <s v="Sri Balaji Krishi Bhandar"/>
    <s v="9933393621"/>
  </r>
  <r>
    <s v="RCF Trombay"/>
    <s v="15-15-15"/>
    <s v="WB"/>
    <x v="12"/>
    <s v="Kharibari"/>
    <s v="User Not Mapped"/>
    <s v="User Not Mapped"/>
    <s v="User Not Mapped"/>
    <n v="369937"/>
    <s v="New Baba Anandamurti Enterpris"/>
    <s v="Private Retailer"/>
    <s v="8016140658"/>
    <n v="2.5"/>
    <n v="67"/>
    <x v="6"/>
    <m/>
    <s v="2026-02-12"/>
    <s v="214211"/>
    <s v="Sri Balaji Krishi Bhandar"/>
    <s v="9933393621"/>
  </r>
  <r>
    <s v="RCF Thal"/>
    <s v="N.C.Urea(45kg)"/>
    <s v="WB"/>
    <x v="12"/>
    <s v="Kharibari"/>
    <s v="User Not Mapped"/>
    <s v="User Not Mapped"/>
    <s v="User Not Mapped"/>
    <n v="854868"/>
    <s v="VIVEKANANDA  FERTILIZER"/>
    <s v="Private Retailer"/>
    <s v="8918898994"/>
    <n v="11.115"/>
    <n v="45"/>
    <x v="3"/>
    <m/>
    <s v="2026-03-06"/>
    <s v="214211"/>
    <s v="Sri Balaji Krishi Bhandar"/>
    <s v="9933393621"/>
  </r>
  <r>
    <s v="RCF Thal"/>
    <s v="N.C.Urea(45kg)"/>
    <s v="WB"/>
    <x v="12"/>
    <m/>
    <s v="User Not Mapped"/>
    <s v="User Not Mapped"/>
    <s v="User Not Mapped"/>
    <n v="185175"/>
    <s v="Krishi Bhandar"/>
    <s v="Private Retailer"/>
    <s v="8927062138"/>
    <n v="0.22500000000000001"/>
    <n v="2666"/>
    <x v="2"/>
    <m/>
    <s v="2019-01-01"/>
    <s v="11"/>
    <s v="Too Old Stock"/>
    <m/>
  </r>
  <r>
    <s v="RCF Thal"/>
    <s v="N.C.Urea(45kg)"/>
    <s v="WB"/>
    <x v="12"/>
    <s v="Kharibari"/>
    <s v="User Not Mapped"/>
    <s v="User Not Mapped"/>
    <s v="User Not Mapped"/>
    <n v="1116321"/>
    <s v="ATUL FERTILIZER"/>
    <s v="Private Wholsaler"/>
    <s v="9800490901"/>
    <n v="11.025"/>
    <n v="44"/>
    <x v="3"/>
    <s v="'2526USPKSLGF0110'"/>
    <s v="2026-03-07"/>
    <s v="1409662"/>
    <s v="UMA SHANKAR PRADIP KUMAR"/>
    <s v="9831636631"/>
  </r>
  <r>
    <s v="RCF Thal"/>
    <s v="N.C.Urea(45kg)"/>
    <s v="WB"/>
    <x v="12"/>
    <s v="Kharibari"/>
    <s v="User Not Mapped"/>
    <s v="User Not Mapped"/>
    <s v="User Not Mapped"/>
    <n v="1116321"/>
    <s v="ATUL FERTILIZER"/>
    <s v="Private Wholsaler"/>
    <s v="9800490901"/>
    <n v="11.025"/>
    <n v="44"/>
    <x v="3"/>
    <s v="'2526USPKSLGF0112'"/>
    <s v="2026-03-07"/>
    <s v="1409662"/>
    <s v="UMA SHANKAR PRADIP KUMAR"/>
    <s v="9831636631"/>
  </r>
  <r>
    <s v="RCF Thal"/>
    <s v="N.C.Urea(45kg)"/>
    <s v="WB"/>
    <x v="12"/>
    <s v="Kharibari"/>
    <s v="User Not Mapped"/>
    <s v="User Not Mapped"/>
    <s v="User Not Mapped"/>
    <n v="1116321"/>
    <s v="ATUL FERTILIZER"/>
    <s v="Private Wholsaler"/>
    <s v="9800490901"/>
    <n v="11.025"/>
    <n v="44"/>
    <x v="3"/>
    <s v="'2526USPKSLGF0107'"/>
    <s v="2026-03-07"/>
    <s v="1409662"/>
    <s v="UMA SHANKAR PRADIP KUMAR"/>
    <s v="9831636631"/>
  </r>
  <r>
    <s v="RCF Thal"/>
    <s v="N.C.Urea(45kg)"/>
    <s v="WB"/>
    <x v="12"/>
    <s v="Kharibari"/>
    <s v="User Not Mapped"/>
    <s v="User Not Mapped"/>
    <s v="User Not Mapped"/>
    <n v="1116321"/>
    <s v="ATUL FERTILIZER"/>
    <s v="Private Wholsaler"/>
    <s v="9800490901"/>
    <n v="11.025"/>
    <n v="44"/>
    <x v="3"/>
    <s v="'2526USPKSLGF0108'"/>
    <s v="2026-03-07"/>
    <s v="1409662"/>
    <s v="UMA SHANKAR PRADIP KUMAR"/>
    <s v="9831636631"/>
  </r>
  <r>
    <s v="RCF Thal"/>
    <s v="N.C.Urea(45kg)"/>
    <s v="WB"/>
    <x v="12"/>
    <s v="Kharibari"/>
    <s v="User Not Mapped"/>
    <s v="User Not Mapped"/>
    <s v="User Not Mapped"/>
    <n v="1116321"/>
    <s v="ATUL FERTILIZER"/>
    <s v="Private Wholsaler"/>
    <s v="9800490901"/>
    <n v="8.7750000000000004"/>
    <n v="44"/>
    <x v="3"/>
    <s v="'2526USPKSLGF0106'"/>
    <s v="2026-03-07"/>
    <s v="1409662"/>
    <s v="UMA SHANKAR PRADIP KUMAR"/>
    <s v="9831636631"/>
  </r>
  <r>
    <s v="RCF Thal"/>
    <s v="N.C.Urea(45kg)"/>
    <s v="WB"/>
    <x v="12"/>
    <s v="Kharibari"/>
    <s v="User Not Mapped"/>
    <s v="User Not Mapped"/>
    <s v="User Not Mapped"/>
    <n v="1116321"/>
    <s v="ATUL FERTILIZER"/>
    <s v="Private Wholsaler"/>
    <s v="9800490901"/>
    <n v="11.025"/>
    <n v="44"/>
    <x v="3"/>
    <s v="'2526USPKSLGF0111'"/>
    <s v="2026-03-07"/>
    <s v="1409662"/>
    <s v="UMA SHANKAR PRADIP KUMAR"/>
    <s v="9831636631"/>
  </r>
  <r>
    <s v="RCF Thal"/>
    <s v="N.C.Urea(45kg)"/>
    <s v="WB"/>
    <x v="12"/>
    <s v="Kharibari"/>
    <s v="User Not Mapped"/>
    <s v="User Not Mapped"/>
    <s v="User Not Mapped"/>
    <n v="1116321"/>
    <s v="ATUL FERTILIZER"/>
    <s v="Private Wholsaler"/>
    <s v="9800490901"/>
    <n v="11.025"/>
    <n v="44"/>
    <x v="3"/>
    <s v="'2526USPKSLGF0113'"/>
    <s v="2026-03-07"/>
    <s v="1409662"/>
    <s v="UMA SHANKAR PRADIP KUMAR"/>
    <s v="9831636631"/>
  </r>
  <r>
    <s v="RCF Thal"/>
    <s v="N.C.Urea(45kg)"/>
    <s v="WB"/>
    <x v="12"/>
    <s v="Kharibari"/>
    <s v="User Not Mapped"/>
    <s v="User Not Mapped"/>
    <s v="User Not Mapped"/>
    <n v="1116321"/>
    <s v="ATUL FERTILIZER"/>
    <s v="Private Wholsaler"/>
    <s v="9800490901"/>
    <n v="11.025"/>
    <n v="44"/>
    <x v="3"/>
    <s v="'2526USPKSLGF0109'"/>
    <s v="2026-03-07"/>
    <s v="1409662"/>
    <s v="UMA SHANKAR PRADIP KUMAR"/>
    <s v="9831636631"/>
  </r>
  <r>
    <s v="RCF Trombay"/>
    <s v="15-15-15"/>
    <s v="WB"/>
    <x v="12"/>
    <s v="Phansidewa"/>
    <s v="User Not Mapped"/>
    <s v="User Not Mapped"/>
    <s v="User Not Mapped"/>
    <n v="663873"/>
    <s v="B.G.FERTILIZER"/>
    <s v="Private Wholsaler"/>
    <s v="9832049926"/>
    <n v="4.25"/>
    <n v="67"/>
    <x v="6"/>
    <s v="'2526USPKSLGF0092'"/>
    <s v="2026-02-12"/>
    <s v="1409662"/>
    <s v="UMA SHANKAR PRADIP KUMAR"/>
    <s v="9831636631"/>
  </r>
  <r>
    <s v="RCF Thal"/>
    <s v="N.C.Urea(45kg)"/>
    <s v="WB"/>
    <x v="12"/>
    <s v="Phansidewa"/>
    <s v="User Not Mapped"/>
    <s v="User Not Mapped"/>
    <s v="User Not Mapped"/>
    <n v="663873"/>
    <s v="B.G.FERTILIZER"/>
    <s v="Private Wholsaler"/>
    <s v="9832049926"/>
    <n v="2.3849999999999998"/>
    <n v="44"/>
    <x v="3"/>
    <s v="'2526USPKSLGF0123'"/>
    <s v="2026-03-07"/>
    <s v="1409662"/>
    <s v="UMA SHANKAR PRADIP KUMAR"/>
    <s v="9831636631"/>
  </r>
  <r>
    <s v="RCF Thal"/>
    <s v="N.C.Urea(45kg)"/>
    <s v="WB"/>
    <x v="12"/>
    <s v="Phansidewa"/>
    <s v="User Not Mapped"/>
    <s v="User Not Mapped"/>
    <s v="User Not Mapped"/>
    <n v="663873"/>
    <s v="B.G.FERTILIZER"/>
    <s v="Private Wholsaler"/>
    <s v="9832049926"/>
    <n v="6.4349999999999996"/>
    <n v="38"/>
    <x v="3"/>
    <s v="'2526USPKSLGF0126'"/>
    <s v="2026-03-13"/>
    <s v="1409662"/>
    <s v="UMA SHANKAR PRADIP KUMAR"/>
    <s v="9831636631"/>
  </r>
  <r>
    <s v="RCF Thal"/>
    <s v="N.C.Urea(45kg)"/>
    <s v="WB"/>
    <x v="12"/>
    <s v="Phansidewa"/>
    <s v="User Not Mapped"/>
    <s v="User Not Mapped"/>
    <s v="User Not Mapped"/>
    <n v="1544189"/>
    <s v="AADYA SHAKTI ENTERPRISE"/>
    <s v="Private Retailer"/>
    <s v="9614556826"/>
    <n v="0.45"/>
    <n v="117"/>
    <x v="7"/>
    <m/>
    <s v="2025-12-24"/>
    <s v="214204"/>
    <s v="Vikas Agrochemicals"/>
    <s v="9474382706"/>
  </r>
  <r>
    <s v="RCF Thal"/>
    <s v="N.C.Urea(45kg)"/>
    <s v="WB"/>
    <x v="12"/>
    <s v="Phansidewa"/>
    <s v="User Not Mapped"/>
    <s v="User Not Mapped"/>
    <s v="User Not Mapped"/>
    <n v="1150368"/>
    <s v="ABDUL HAKIM FERTILIZER"/>
    <s v="Private Retailer"/>
    <s v="7478191829"/>
    <n v="5.625"/>
    <n v="46"/>
    <x v="3"/>
    <m/>
    <s v="2026-03-05"/>
    <s v="214204"/>
    <s v="Vikas Agrochemicals"/>
    <s v="9474382706"/>
  </r>
  <r>
    <s v="RCF Thal"/>
    <s v="N.C.Urea(45kg)"/>
    <s v="WB"/>
    <x v="12"/>
    <s v="Kharibari"/>
    <s v="User Not Mapped"/>
    <s v="User Not Mapped"/>
    <s v="User Not Mapped"/>
    <n v="1146823"/>
    <s v="BARMAN FERTILIZER"/>
    <s v="Private Retailer"/>
    <s v="9851296034"/>
    <n v="22.05"/>
    <n v="46"/>
    <x v="3"/>
    <m/>
    <s v="2026-03-05"/>
    <s v="214204"/>
    <s v="Vikas Agrochemicals"/>
    <s v="9474382706"/>
  </r>
  <r>
    <s v="RCF Thal"/>
    <s v="N.C.Urea(45kg)"/>
    <s v="WB"/>
    <x v="12"/>
    <s v="Kharibari"/>
    <s v="User Not Mapped"/>
    <s v="User Not Mapped"/>
    <s v="User Not Mapped"/>
    <n v="1146823"/>
    <s v="BARMAN FERTILIZER"/>
    <s v="Private Retailer"/>
    <s v="9851296034"/>
    <n v="1.53"/>
    <n v="88"/>
    <x v="6"/>
    <m/>
    <s v="2026-01-22"/>
    <s v="214204"/>
    <s v="Vikas Agrochemicals"/>
    <s v="9474382706"/>
  </r>
  <r>
    <s v="RCF Trombay"/>
    <s v="15-15-15"/>
    <s v="WB"/>
    <x v="12"/>
    <s v="Jalpaiguri"/>
    <s v="User Not Mapped"/>
    <s v="User Not Mapped"/>
    <s v="User Not Mapped"/>
    <n v="947592"/>
    <s v="BINNABARI AGRO FERTILIZER"/>
    <s v="Private Retailer"/>
    <s v="7908811292"/>
    <n v="1.2"/>
    <n v="74"/>
    <x v="6"/>
    <m/>
    <s v="2026-02-05"/>
    <s v="214204"/>
    <s v="Vikas Agrochemicals"/>
    <s v="9474382706"/>
  </r>
  <r>
    <s v="RCF Trombay"/>
    <s v="15-15-15"/>
    <s v="WB"/>
    <x v="12"/>
    <s v="Jalpaiguri"/>
    <s v="User Not Mapped"/>
    <s v="User Not Mapped"/>
    <s v="User Not Mapped"/>
    <n v="947592"/>
    <s v="BINNABARI AGRO FERTILIZER"/>
    <s v="Private Retailer"/>
    <s v="7908811292"/>
    <n v="1.5"/>
    <n v="14"/>
    <x v="5"/>
    <m/>
    <s v="2026-04-06"/>
    <s v="214204"/>
    <s v="Vikas Agrochemicals"/>
    <s v="9474382706"/>
  </r>
  <r>
    <s v="RCF Thal"/>
    <s v="N.C.Urea(45kg)"/>
    <s v="WB"/>
    <x v="12"/>
    <m/>
    <s v="User Not Mapped"/>
    <s v="User Not Mapped"/>
    <s v="User Not Mapped"/>
    <n v="354422"/>
    <s v="Chowrasia Fertilizer"/>
    <s v="Private Retailer"/>
    <s v="7001947290"/>
    <n v="2.52"/>
    <n v="46"/>
    <x v="3"/>
    <m/>
    <s v="2026-03-05"/>
    <s v="214204"/>
    <s v="Vikas Agrochemicals"/>
    <s v="9474382706"/>
  </r>
  <r>
    <s v="RCF Trombay"/>
    <s v="15-15-15"/>
    <s v="WB"/>
    <x v="12"/>
    <m/>
    <s v="User Not Mapped"/>
    <s v="User Not Mapped"/>
    <s v="User Not Mapped"/>
    <n v="354422"/>
    <s v="Chowrasia Fertilizer"/>
    <s v="Private Retailer"/>
    <s v="7001947290"/>
    <n v="4.4000000000000004"/>
    <n v="74"/>
    <x v="6"/>
    <m/>
    <s v="2026-02-05"/>
    <s v="214204"/>
    <s v="Vikas Agrochemicals"/>
    <s v="9474382706"/>
  </r>
  <r>
    <s v="RCF Thal"/>
    <s v="N.C.Urea(45kg)"/>
    <s v="WB"/>
    <x v="12"/>
    <s v="Mal"/>
    <s v="User Not Mapped"/>
    <s v="User Not Mapped"/>
    <s v="User Not Mapped"/>
    <n v="245008"/>
    <s v="Dharmendra Singh"/>
    <s v="Private Retailer"/>
    <s v="7407107743"/>
    <n v="2.0699999999999998"/>
    <n v="46"/>
    <x v="3"/>
    <m/>
    <s v="2026-03-05"/>
    <s v="214204"/>
    <s v="Vikas Agrochemicals"/>
    <s v="9474382706"/>
  </r>
  <r>
    <s v="RCF Trombay"/>
    <s v="15-15-15"/>
    <s v="WB"/>
    <x v="12"/>
    <s v="Kharibari"/>
    <s v="User Not Mapped"/>
    <s v="User Not Mapped"/>
    <s v="User Not Mapped"/>
    <n v="385440"/>
    <s v="Dutta Krishi Udyog"/>
    <s v="Private Retailer"/>
    <s v="9733243170"/>
    <n v="2"/>
    <n v="74"/>
    <x v="6"/>
    <m/>
    <s v="2026-02-05"/>
    <s v="214204"/>
    <s v="Vikas Agrochemicals"/>
    <s v="9474382706"/>
  </r>
  <r>
    <s v="RCF Trombay"/>
    <s v="15-15-15"/>
    <s v="WB"/>
    <x v="12"/>
    <s v="Jalpaiguri"/>
    <s v="User Not Mapped"/>
    <s v="User Not Mapped"/>
    <s v="User Not Mapped"/>
    <n v="1146821"/>
    <s v="GREEN LIFE FERTILIZER"/>
    <s v="Private Retailer"/>
    <s v="8900535919"/>
    <n v="0.25"/>
    <n v="34"/>
    <x v="3"/>
    <m/>
    <s v="2026-03-17"/>
    <s v="214204"/>
    <s v="Vikas Agrochemicals"/>
    <s v="9474382706"/>
  </r>
  <r>
    <s v="RCF Trombay"/>
    <s v="N.C.Urea(45kg)"/>
    <s v="WB"/>
    <x v="12"/>
    <s v="Jalpaiguri"/>
    <s v="User Not Mapped"/>
    <s v="User Not Mapped"/>
    <s v="User Not Mapped"/>
    <n v="1146821"/>
    <s v="GREEN LIFE FERTILIZER"/>
    <s v="Private Retailer"/>
    <s v="8900535919"/>
    <n v="0.315"/>
    <n v="73"/>
    <x v="6"/>
    <m/>
    <s v="2026-02-06"/>
    <s v="214204"/>
    <s v="Vikas Agrochemicals"/>
    <s v="9474382706"/>
  </r>
  <r>
    <s v="RCF Thal"/>
    <s v="N.C.Urea(45kg)"/>
    <s v="WB"/>
    <x v="12"/>
    <m/>
    <s v="User Not Mapped"/>
    <s v="User Not Mapped"/>
    <s v="User Not Mapped"/>
    <n v="1092532"/>
    <s v="Loknath Enterprise"/>
    <s v="Private Retailer"/>
    <s v="7076645410"/>
    <n v="2.3849999999999998"/>
    <n v="2532"/>
    <x v="2"/>
    <m/>
    <s v="2019-05-15"/>
    <s v="214204"/>
    <s v="Vikas Agrochemicals"/>
    <s v="9474382706"/>
  </r>
  <r>
    <s v="RCF Thal"/>
    <s v="N.C.Urea(45kg)"/>
    <s v="WB"/>
    <x v="12"/>
    <s v="Mal"/>
    <s v="User Not Mapped"/>
    <s v="User Not Mapped"/>
    <s v="User Not Mapped"/>
    <n v="245045"/>
    <s v="M/S BISWAS BEEJ BHANDAR"/>
    <s v="Private Retailer"/>
    <s v="9733283902"/>
    <n v="3.4649999999999999"/>
    <n v="46"/>
    <x v="3"/>
    <m/>
    <s v="2026-03-05"/>
    <s v="214204"/>
    <s v="Vikas Agrochemicals"/>
    <s v="9474382706"/>
  </r>
  <r>
    <s v="RCF Thal"/>
    <s v="N.C.Urea(45kg)"/>
    <s v="WB"/>
    <x v="12"/>
    <s v="Phansidewa"/>
    <s v="User Not Mapped"/>
    <s v="User Not Mapped"/>
    <s v="User Not Mapped"/>
    <n v="1240552"/>
    <s v="M/S KOUSHIK FERTILIZER "/>
    <s v="Private Retailer"/>
    <s v="8945808824"/>
    <n v="0.36"/>
    <n v="46"/>
    <x v="3"/>
    <m/>
    <s v="2026-03-05"/>
    <s v="214204"/>
    <s v="Vikas Agrochemicals"/>
    <s v="9474382706"/>
  </r>
  <r>
    <s v="RCF Trombay"/>
    <s v="N.C.Urea(45kg)"/>
    <s v="WB"/>
    <x v="12"/>
    <s v="Jalpaiguri"/>
    <s v="User Not Mapped"/>
    <s v="User Not Mapped"/>
    <s v="User Not Mapped"/>
    <n v="1064250"/>
    <s v="M/S SEN FERTILIZERS"/>
    <s v="Private Retailer"/>
    <s v="9064160863"/>
    <n v="0.54"/>
    <n v="332"/>
    <x v="1"/>
    <m/>
    <s v="2025-05-23"/>
    <s v="214204"/>
    <s v="Vikas Agrochemicals"/>
    <s v="9474382706"/>
  </r>
  <r>
    <s v="RCF Thal"/>
    <s v="N.C.Urea(45kg)"/>
    <s v="WB"/>
    <x v="12"/>
    <s v="Rajganj"/>
    <s v="User Not Mapped"/>
    <s v="User Not Mapped"/>
    <s v="User Not Mapped"/>
    <n v="1088061"/>
    <s v="MAHABOO FERTILIZER"/>
    <s v="Private Retailer"/>
    <s v="9679892989"/>
    <n v="1.125"/>
    <n v="34"/>
    <x v="3"/>
    <m/>
    <s v="2026-03-17"/>
    <s v="214204"/>
    <s v="Vikas Agrochemicals"/>
    <s v="9474382706"/>
  </r>
  <r>
    <s v="RCF Thal"/>
    <s v="N.C.Urea(45kg)"/>
    <s v="WB"/>
    <x v="12"/>
    <m/>
    <s v="User Not Mapped"/>
    <s v="User Not Mapped"/>
    <s v="User Not Mapped"/>
    <n v="1094713"/>
    <s v="MD FARUQUE ALAM"/>
    <s v="Private Retailer"/>
    <s v="7602386940"/>
    <n v="3.33"/>
    <n v="46"/>
    <x v="3"/>
    <m/>
    <s v="2026-03-05"/>
    <s v="214204"/>
    <s v="Vikas Agrochemicals"/>
    <s v="9474382706"/>
  </r>
  <r>
    <s v="RCF Trombay"/>
    <s v="N.C.Urea(45kg)"/>
    <s v="WB"/>
    <x v="12"/>
    <s v="Jalpaiguri"/>
    <s v="User Not Mapped"/>
    <s v="User Not Mapped"/>
    <s v="User Not Mapped"/>
    <n v="1064168"/>
    <s v="MITRA FERTILIZER"/>
    <s v="Private Retailer"/>
    <s v="9851192553"/>
    <n v="0.40500000000000003"/>
    <n v="68"/>
    <x v="6"/>
    <m/>
    <s v="2026-02-11"/>
    <s v="214204"/>
    <s v="Vikas Agrochemicals"/>
    <s v="9474382706"/>
  </r>
  <r>
    <s v="RCF Thal"/>
    <s v="N.C.Urea(45kg)"/>
    <s v="WB"/>
    <x v="12"/>
    <s v="Jalpaiguri"/>
    <s v="User Not Mapped"/>
    <s v="User Not Mapped"/>
    <s v="User Not Mapped"/>
    <n v="1064168"/>
    <s v="MITRA FERTILIZER"/>
    <s v="Private Retailer"/>
    <s v="9851192553"/>
    <n v="0.27"/>
    <n v="132"/>
    <x v="4"/>
    <m/>
    <s v="2025-12-09"/>
    <s v="214204"/>
    <s v="Vikas Agrochemicals"/>
    <s v="9474382706"/>
  </r>
  <r>
    <s v="RCF Trombay"/>
    <s v="15-15-15"/>
    <s v="WB"/>
    <x v="12"/>
    <s v="Jalpaiguri"/>
    <s v="User Not Mapped"/>
    <s v="User Not Mapped"/>
    <s v="User Not Mapped"/>
    <n v="1002891"/>
    <s v="MUN MUN FERTILIZER"/>
    <s v="Private Retailer"/>
    <s v="9775914501"/>
    <n v="2.1999999999999999E-2"/>
    <n v="289"/>
    <x v="1"/>
    <m/>
    <s v="2025-07-05"/>
    <s v="214204"/>
    <s v="Vikas Agrochemicals"/>
    <s v="9474382706"/>
  </r>
  <r>
    <s v="RCF Thal"/>
    <s v="N.C.Urea(45kg)"/>
    <s v="WB"/>
    <x v="12"/>
    <s v="Phansidewa"/>
    <s v="User Not Mapped"/>
    <s v="User Not Mapped"/>
    <s v="User Not Mapped"/>
    <n v="385422"/>
    <s v="Raj Samim Enterprise"/>
    <s v="Private Retailer"/>
    <s v="9679275040"/>
    <n v="5.85"/>
    <n v="46"/>
    <x v="3"/>
    <m/>
    <s v="2026-03-05"/>
    <s v="214204"/>
    <s v="Vikas Agrochemicals"/>
    <s v="9474382706"/>
  </r>
  <r>
    <s v="RCF Trombay"/>
    <s v="15-15-15"/>
    <s v="WB"/>
    <x v="12"/>
    <s v="Naxalbari"/>
    <s v="User Not Mapped"/>
    <s v="User Not Mapped"/>
    <s v="User Not Mapped"/>
    <n v="1073843"/>
    <s v="RATNA FERTILIZER"/>
    <s v="Private Retailer"/>
    <s v="9800234884"/>
    <n v="0.45"/>
    <n v="17"/>
    <x v="5"/>
    <m/>
    <s v="2026-04-03"/>
    <s v="214204"/>
    <s v="Vikas Agrochemicals"/>
    <s v="9474382706"/>
  </r>
  <r>
    <s v="RCF Trombay"/>
    <s v="N.C.Urea(45kg)"/>
    <s v="WB"/>
    <x v="12"/>
    <s v="Phansidewa"/>
    <s v="User Not Mapped"/>
    <s v="User Not Mapped"/>
    <s v="User Not Mapped"/>
    <n v="328153"/>
    <s v="Roy Fertilizer"/>
    <s v="Private Retailer"/>
    <s v="9933051432"/>
    <n v="0.495"/>
    <n v="68"/>
    <x v="6"/>
    <m/>
    <s v="2026-02-11"/>
    <s v="214204"/>
    <s v="Vikas Agrochemicals"/>
    <s v="9474382706"/>
  </r>
  <r>
    <s v="RCF Trombay"/>
    <s v="N.C.Urea(45kg)"/>
    <s v="WB"/>
    <x v="12"/>
    <s v="Phansidewa"/>
    <s v="User Not Mapped"/>
    <s v="User Not Mapped"/>
    <s v="User Not Mapped"/>
    <n v="328153"/>
    <s v="Roy Fertilizer"/>
    <s v="Private Retailer"/>
    <s v="9933051432"/>
    <n v="0.315"/>
    <n v="63"/>
    <x v="6"/>
    <m/>
    <s v="2026-02-16"/>
    <s v="214204"/>
    <s v="Vikas Agrochemicals"/>
    <s v="9474382706"/>
  </r>
  <r>
    <s v="RCF Thal"/>
    <s v="N.C.Urea(45kg)"/>
    <s v="WB"/>
    <x v="12"/>
    <s v="Phansidewa"/>
    <s v="User Not Mapped"/>
    <s v="User Not Mapped"/>
    <s v="User Not Mapped"/>
    <n v="328153"/>
    <s v="Roy Fertilizer"/>
    <s v="Private Retailer"/>
    <s v="9933051432"/>
    <n v="0.67500000000000004"/>
    <n v="45"/>
    <x v="3"/>
    <m/>
    <s v="2026-03-06"/>
    <s v="214204"/>
    <s v="Vikas Agrochemicals"/>
    <s v="9474382706"/>
  </r>
  <r>
    <s v="RCF Thal"/>
    <s v="N.C.Urea(45kg)"/>
    <s v="WB"/>
    <x v="12"/>
    <s v="Phansidewa"/>
    <s v="User Not Mapped"/>
    <s v="User Not Mapped"/>
    <s v="User Not Mapped"/>
    <n v="328155"/>
    <s v="SABRI FERTILIZER"/>
    <s v="Private Retailer"/>
    <s v="9851910027"/>
    <n v="3.78"/>
    <n v="46"/>
    <x v="3"/>
    <m/>
    <s v="2026-03-05"/>
    <s v="214204"/>
    <s v="Vikas Agrochemicals"/>
    <s v="9474382706"/>
  </r>
  <r>
    <s v="RCF Thal"/>
    <s v="N.C.Urea(45kg)"/>
    <s v="WB"/>
    <x v="12"/>
    <s v="Phansidewa"/>
    <s v="User Not Mapped"/>
    <s v="User Not Mapped"/>
    <s v="User Not Mapped"/>
    <n v="328157"/>
    <s v="Sabuj Krishi Bhandar"/>
    <s v="Private Retailer"/>
    <s v="9434142820"/>
    <n v="0.85499999999999998"/>
    <n v="39"/>
    <x v="3"/>
    <m/>
    <s v="2026-03-12"/>
    <s v="214204"/>
    <s v="Vikas Agrochemicals"/>
    <s v="9474382706"/>
  </r>
  <r>
    <s v="RCF Trombay"/>
    <s v="15-15-15"/>
    <s v="WB"/>
    <x v="12"/>
    <s v="Phansidewa"/>
    <s v="User Not Mapped"/>
    <s v="User Not Mapped"/>
    <s v="User Not Mapped"/>
    <n v="328157"/>
    <s v="Sabuj Krishi Bhandar"/>
    <s v="Private Retailer"/>
    <s v="9434142820"/>
    <n v="0.5"/>
    <n v="25"/>
    <x v="5"/>
    <m/>
    <s v="2026-03-26"/>
    <s v="214204"/>
    <s v="Vikas Agrochemicals"/>
    <s v="9474382706"/>
  </r>
  <r>
    <s v="RCF Thal"/>
    <s v="N.C.Urea(45kg)"/>
    <s v="WB"/>
    <x v="12"/>
    <s v="Rajganj"/>
    <s v="User Not Mapped"/>
    <s v="User Not Mapped"/>
    <s v="User Not Mapped"/>
    <n v="839390"/>
    <s v="Sarkar Agrochem and fertilizer"/>
    <s v="Private Retailer"/>
    <s v="8670525655"/>
    <n v="4.4999999999999998E-2"/>
    <n v="167"/>
    <x v="4"/>
    <m/>
    <s v="2025-11-04"/>
    <s v="214204"/>
    <s v="Vikas Agrochemicals"/>
    <s v="9474382706"/>
  </r>
  <r>
    <s v="RCF Thal"/>
    <s v="N.C.Urea(45kg)"/>
    <s v="WB"/>
    <x v="12"/>
    <s v="Kharibari"/>
    <s v="User Not Mapped"/>
    <s v="User Not Mapped"/>
    <s v="User Not Mapped"/>
    <n v="328160"/>
    <s v="SARKAR KRISHI BHANDAR"/>
    <s v="Private Retailer"/>
    <s v="9002956571"/>
    <n v="0.67500000000000004"/>
    <n v="45"/>
    <x v="3"/>
    <m/>
    <s v="2026-03-06"/>
    <s v="214204"/>
    <s v="Vikas Agrochemicals"/>
    <s v="9474382706"/>
  </r>
  <r>
    <s v="RCF Thal"/>
    <s v="N.C.Urea(45kg)"/>
    <s v="WB"/>
    <x v="12"/>
    <s v="Kharibari"/>
    <s v="User Not Mapped"/>
    <s v="User Not Mapped"/>
    <s v="User Not Mapped"/>
    <n v="328161"/>
    <s v="SIKDAR KRISHI BHANDAR"/>
    <s v="Private Retailer"/>
    <s v="9002631010"/>
    <n v="0.315"/>
    <n v="46"/>
    <x v="3"/>
    <m/>
    <s v="2026-03-05"/>
    <s v="214204"/>
    <s v="Vikas Agrochemicals"/>
    <s v="9474382706"/>
  </r>
  <r>
    <s v="RCF Trombay"/>
    <s v="N.C.Urea(45kg)"/>
    <s v="WB"/>
    <x v="12"/>
    <s v="Rajganj"/>
    <s v="User Not Mapped"/>
    <s v="User Not Mapped"/>
    <s v="User Not Mapped"/>
    <n v="1064162"/>
    <s v="SONO FERTILIZER"/>
    <s v="Private Retailer"/>
    <s v="8972473835"/>
    <n v="2.3849999999999998"/>
    <n v="68"/>
    <x v="6"/>
    <m/>
    <s v="2026-02-11"/>
    <s v="214204"/>
    <s v="Vikas Agrochemicals"/>
    <s v="9474382706"/>
  </r>
  <r>
    <s v="RCF Thal"/>
    <s v="N.C.Urea(45kg)"/>
    <s v="WB"/>
    <x v="12"/>
    <s v="Phansidewa"/>
    <s v="User Not Mapped"/>
    <s v="User Not Mapped"/>
    <s v="User Not Mapped"/>
    <n v="385687"/>
    <s v="SUSHIL KUMAR MONDAL"/>
    <s v="Private Retailer"/>
    <s v="9434462636"/>
    <n v="1.125"/>
    <n v="41"/>
    <x v="3"/>
    <m/>
    <s v="2026-03-10"/>
    <s v="214204"/>
    <s v="Vikas Agrochemicals"/>
    <s v="9474382706"/>
  </r>
  <r>
    <s v="RCF Thal"/>
    <s v="N.C.Urea(45kg)"/>
    <s v="WB"/>
    <x v="12"/>
    <s v="Phansidewa"/>
    <s v="User Not Mapped"/>
    <s v="User Not Mapped"/>
    <s v="User Not Mapped"/>
    <n v="1073865"/>
    <s v="TAMIM FERTILIZER"/>
    <s v="Private Retailer"/>
    <s v="8116507919"/>
    <n v="3.375"/>
    <n v="37"/>
    <x v="3"/>
    <m/>
    <s v="2026-03-14"/>
    <s v="214204"/>
    <s v="Vikas Agrochemicals"/>
    <s v="9474382706"/>
  </r>
  <r>
    <s v="RCF Thal"/>
    <s v="N.C.Urea(45kg)"/>
    <s v="WB"/>
    <x v="12"/>
    <s v="Phansidewa"/>
    <s v="User Not Mapped"/>
    <s v="User Not Mapped"/>
    <s v="User Not Mapped"/>
    <n v="287775"/>
    <s v="Vikas Agrochemicals"/>
    <s v="Private Retailer"/>
    <s v="9474382706"/>
    <n v="0.22500000000000001"/>
    <n v="20"/>
    <x v="5"/>
    <m/>
    <s v="2026-03-31"/>
    <s v="214204"/>
    <s v="Vikas Agrochemicals"/>
    <s v="9474382706"/>
  </r>
  <r>
    <s v="RCF Thal"/>
    <s v="N.C.Urea(45kg)"/>
    <s v="WB"/>
    <x v="13"/>
    <s v="Chanchal - I"/>
    <s v="User Not Mapped"/>
    <s v="User Not Mapped"/>
    <s v="User Not Mapped"/>
    <n v="407824"/>
    <s v="Abdul Khaleque"/>
    <s v="Private Retailer"/>
    <s v="9733061920"/>
    <n v="1.4850000000000001"/>
    <n v="61"/>
    <x v="6"/>
    <m/>
    <s v="2026-02-18"/>
    <s v="260350"/>
    <s v="Adarsha Krishi Bhandar"/>
    <s v="9434422447"/>
  </r>
  <r>
    <s v="RCF Thal"/>
    <s v="N.C.Urea(45kg)"/>
    <s v="WB"/>
    <x v="13"/>
    <s v="Chanchal - I"/>
    <s v="User Not Mapped"/>
    <s v="User Not Mapped"/>
    <s v="User Not Mapped"/>
    <n v="250948"/>
    <s v="Adarsha Krishi Bhandar"/>
    <s v="Private Retailer"/>
    <s v="9434422447"/>
    <n v="0.315"/>
    <n v="23"/>
    <x v="5"/>
    <m/>
    <s v="2026-03-28"/>
    <s v="260350"/>
    <s v="Adarsha Krishi Bhandar"/>
    <s v="9434422447"/>
  </r>
  <r>
    <s v="RCF Trombay"/>
    <s v="15-15-15"/>
    <s v="WB"/>
    <x v="13"/>
    <m/>
    <s v="User Not Mapped"/>
    <s v="User Not Mapped"/>
    <s v="User Not Mapped"/>
    <n v="995307"/>
    <s v="ALAMGIR ALI"/>
    <s v="Private Retailer"/>
    <s v="8101403082"/>
    <n v="0.75"/>
    <n v="2588"/>
    <x v="2"/>
    <m/>
    <s v="2019-03-20"/>
    <s v="260350"/>
    <s v="Adarsha Krishi Bhandar"/>
    <s v="9434422447"/>
  </r>
  <r>
    <s v="RCF Trombay"/>
    <s v="15-15-15"/>
    <s v="WB"/>
    <x v="13"/>
    <m/>
    <s v="User Not Mapped"/>
    <s v="User Not Mapped"/>
    <s v="User Not Mapped"/>
    <n v="637935"/>
    <s v="ALI STORES"/>
    <s v="Private Retailer"/>
    <s v="9733463141"/>
    <n v="1.2749999999999999"/>
    <n v="2229"/>
    <x v="2"/>
    <m/>
    <s v="2020-03-13"/>
    <s v="260350"/>
    <s v="Adarsha Krishi Bhandar"/>
    <s v="9434422447"/>
  </r>
  <r>
    <s v="RCF Trombay"/>
    <s v="N.C.Urea(45kg)"/>
    <s v="WB"/>
    <x v="13"/>
    <s v="Chanchal - I"/>
    <s v="User Not Mapped"/>
    <s v="User Not Mapped"/>
    <s v="User Not Mapped"/>
    <n v="411702"/>
    <s v="Anwar Ali"/>
    <s v="Private Retailer"/>
    <s v="9733270885"/>
    <n v="0.03"/>
    <n v="1530"/>
    <x v="2"/>
    <m/>
    <s v="2022-02-10"/>
    <s v="260350"/>
    <s v="Adarsha Krishi Bhandar"/>
    <s v="9434422447"/>
  </r>
  <r>
    <s v="RCF Thal"/>
    <s v="N.C.Urea(45kg)"/>
    <s v="WB"/>
    <x v="13"/>
    <s v="Chanchal - I"/>
    <s v="User Not Mapped"/>
    <s v="User Not Mapped"/>
    <s v="User Not Mapped"/>
    <n v="638459"/>
    <s v="BADRUL ALAM"/>
    <s v="Private Retailer"/>
    <s v="9734124712"/>
    <n v="0.81"/>
    <n v="1337"/>
    <x v="2"/>
    <m/>
    <s v="2022-08-22"/>
    <s v="260350"/>
    <s v="Adarsha Krishi Bhandar"/>
    <s v="9434422447"/>
  </r>
  <r>
    <s v="RCF Trombay"/>
    <s v="15-15-15"/>
    <s v="WB"/>
    <x v="13"/>
    <s v="Chanchal - I"/>
    <s v="User Not Mapped"/>
    <s v="User Not Mapped"/>
    <s v="User Not Mapped"/>
    <n v="638459"/>
    <s v="BADRUL ALAM"/>
    <s v="Private Retailer"/>
    <s v="9734124712"/>
    <n v="0.1"/>
    <n v="1848"/>
    <x v="2"/>
    <m/>
    <s v="2021-03-29"/>
    <s v="260350"/>
    <s v="Adarsha Krishi Bhandar"/>
    <s v="9434422447"/>
  </r>
  <r>
    <s v="RCF Import"/>
    <s v="Imp 10-26-26"/>
    <s v="WB"/>
    <x v="13"/>
    <s v="Gazole"/>
    <s v="User Not Mapped"/>
    <s v="User Not Mapped"/>
    <s v="User Not Mapped"/>
    <n v="619288"/>
    <s v="BAIDYANATH SAR BHANDAR"/>
    <s v="Private Retailer"/>
    <s v="9735061057"/>
    <n v="3.35"/>
    <n v="73"/>
    <x v="6"/>
    <m/>
    <s v="2026-02-06"/>
    <s v="260350"/>
    <s v="Adarsha Krishi Bhandar"/>
    <s v="9434422447"/>
  </r>
  <r>
    <s v="RCF Thal"/>
    <s v="N.C.Urea(45kg)"/>
    <s v="WB"/>
    <x v="13"/>
    <s v="Gazole"/>
    <s v="User Not Mapped"/>
    <s v="User Not Mapped"/>
    <s v="User Not Mapped"/>
    <n v="288849"/>
    <s v="Bhabanipur Sar Bhander"/>
    <s v="Private Retailer"/>
    <s v="9434682970"/>
    <n v="1.62"/>
    <n v="61"/>
    <x v="6"/>
    <m/>
    <s v="2026-02-18"/>
    <s v="260350"/>
    <s v="Adarsha Krishi Bhandar"/>
    <s v="9434422447"/>
  </r>
  <r>
    <s v="RCF Import"/>
    <s v="Imp 10-26-26"/>
    <s v="WB"/>
    <x v="13"/>
    <s v="Gazole"/>
    <s v="User Not Mapped"/>
    <s v="User Not Mapped"/>
    <s v="User Not Mapped"/>
    <n v="288849"/>
    <s v="Bhabanipur Sar Bhander"/>
    <s v="Private Retailer"/>
    <s v="9434682970"/>
    <n v="2.5499999999999998"/>
    <n v="73"/>
    <x v="6"/>
    <m/>
    <s v="2026-02-06"/>
    <s v="260350"/>
    <s v="Adarsha Krishi Bhandar"/>
    <s v="9434422447"/>
  </r>
  <r>
    <s v="RCF Trombay"/>
    <s v="N.C.Urea(45kg)"/>
    <s v="WB"/>
    <x v="13"/>
    <s v="Chanchal - I"/>
    <s v="User Not Mapped"/>
    <s v="User Not Mapped"/>
    <s v="User Not Mapped"/>
    <n v="909678"/>
    <s v="EMAJUL HOQUE"/>
    <s v="Private Retailer"/>
    <s v="7797901129"/>
    <n v="7.875"/>
    <n v="166"/>
    <x v="4"/>
    <m/>
    <s v="2025-11-05"/>
    <s v="260350"/>
    <s v="Adarsha Krishi Bhandar"/>
    <s v="9434422447"/>
  </r>
  <r>
    <s v="RCF Import"/>
    <s v="Imp 10-26-26"/>
    <s v="WB"/>
    <x v="13"/>
    <s v="Gazole"/>
    <s v="User Not Mapped"/>
    <s v="User Not Mapped"/>
    <s v="User Not Mapped"/>
    <n v="628991"/>
    <s v="INAMUL HOQUE"/>
    <s v="Private Retailer"/>
    <s v="9733270566"/>
    <n v="0.45"/>
    <n v="73"/>
    <x v="6"/>
    <m/>
    <s v="2026-02-06"/>
    <s v="260350"/>
    <s v="Adarsha Krishi Bhandar"/>
    <s v="9434422447"/>
  </r>
  <r>
    <s v="RCF Thal"/>
    <s v="N.C.Urea(45kg)"/>
    <s v="WB"/>
    <x v="13"/>
    <s v="Gazole"/>
    <s v="User Not Mapped"/>
    <s v="User Not Mapped"/>
    <s v="User Not Mapped"/>
    <n v="288876"/>
    <s v="Janani Sar Bhander"/>
    <s v="Private Retailer"/>
    <s v="9932497933"/>
    <n v="3.24"/>
    <n v="86"/>
    <x v="6"/>
    <m/>
    <s v="2026-01-24"/>
    <s v="260350"/>
    <s v="Adarsha Krishi Bhandar"/>
    <s v="9434422447"/>
  </r>
  <r>
    <s v="RCF Thal"/>
    <s v="N.C.Urea(45kg)"/>
    <s v="WB"/>
    <x v="13"/>
    <s v="Harischandrapur - II"/>
    <s v="User Not Mapped"/>
    <s v="User Not Mapped"/>
    <s v="User Not Mapped"/>
    <n v="524856"/>
    <s v="Krishi Bhandar"/>
    <s v="Private Retailer"/>
    <s v="9932737783"/>
    <n v="0.45"/>
    <n v="143"/>
    <x v="4"/>
    <m/>
    <s v="2025-11-28"/>
    <s v="260350"/>
    <s v="Adarsha Krishi Bhandar"/>
    <s v="9434422447"/>
  </r>
  <r>
    <s v="RCF Thal"/>
    <s v="N.C.Urea(45kg)"/>
    <s v="WB"/>
    <x v="13"/>
    <s v="Harischandrapur - II"/>
    <s v="User Not Mapped"/>
    <s v="User Not Mapped"/>
    <s v="User Not Mapped"/>
    <n v="511058"/>
    <s v="Lipon Sar Bhandar"/>
    <s v="Private Retailer"/>
    <s v="9733204657"/>
    <n v="4.2750000000000004"/>
    <n v="30"/>
    <x v="5"/>
    <m/>
    <s v="2026-03-21"/>
    <s v="260350"/>
    <s v="Adarsha Krishi Bhandar"/>
    <s v="9434422447"/>
  </r>
  <r>
    <s v="RCF Thal"/>
    <s v="N.C.Urea(45kg)"/>
    <s v="WB"/>
    <x v="13"/>
    <s v="Gazole"/>
    <s v="User Not Mapped"/>
    <s v="User Not Mapped"/>
    <s v="User Not Mapped"/>
    <n v="288907"/>
    <s v="M/S Akshaya Sar Bhandar"/>
    <s v="Private Retailer"/>
    <s v="8617666761"/>
    <n v="8.2349999999999994"/>
    <n v="138"/>
    <x v="4"/>
    <m/>
    <s v="2025-12-03"/>
    <s v="260350"/>
    <s v="Adarsha Krishi Bhandar"/>
    <s v="9434422447"/>
  </r>
  <r>
    <s v="RCF Trombay"/>
    <s v="N.C.Urea(45kg)"/>
    <s v="WB"/>
    <x v="13"/>
    <m/>
    <s v="User Not Mapped"/>
    <s v="User Not Mapped"/>
    <s v="User Not Mapped"/>
    <n v="626078"/>
    <s v="M/S JOY SANKAR GUPTA"/>
    <s v="Private Retailer"/>
    <s v="7407062443"/>
    <n v="0.85499999999999998"/>
    <n v="1960"/>
    <x v="2"/>
    <m/>
    <s v="2020-12-07"/>
    <s v="260350"/>
    <s v="Adarsha Krishi Bhandar"/>
    <s v="9434422447"/>
  </r>
  <r>
    <s v="RCF Trombay"/>
    <s v="15-15-15"/>
    <s v="WB"/>
    <x v="13"/>
    <s v="Chanchal - I"/>
    <s v="User Not Mapped"/>
    <s v="User Not Mapped"/>
    <s v="User Not Mapped"/>
    <n v="994842"/>
    <s v="M/S MATIUR RAHAMAN"/>
    <s v="Private Retailer"/>
    <s v="9775546182"/>
    <n v="0.5"/>
    <n v="752"/>
    <x v="2"/>
    <m/>
    <s v="2024-03-29"/>
    <s v="260350"/>
    <s v="Adarsha Krishi Bhandar"/>
    <s v="9434422447"/>
  </r>
  <r>
    <s v="RCF Trombay"/>
    <s v="15-15-15"/>
    <s v="WB"/>
    <x v="13"/>
    <s v="Chanchal - I"/>
    <s v="User Not Mapped"/>
    <s v="User Not Mapped"/>
    <s v="User Not Mapped"/>
    <n v="994842"/>
    <s v="M/S MATIUR RAHAMAN"/>
    <s v="Private Retailer"/>
    <s v="9775546182"/>
    <n v="0.41"/>
    <n v="1518"/>
    <x v="2"/>
    <m/>
    <s v="2022-02-22"/>
    <s v="260350"/>
    <s v="Adarsha Krishi Bhandar"/>
    <s v="9434422447"/>
  </r>
  <r>
    <s v="RCF Thal"/>
    <s v="N.C.Urea(45kg)"/>
    <s v="WB"/>
    <x v="13"/>
    <s v="Gazole"/>
    <s v="User Not Mapped"/>
    <s v="User Not Mapped"/>
    <s v="User Not Mapped"/>
    <n v="1475397"/>
    <s v="M/S MOJAHAR FERTILIZER"/>
    <s v="Private Retailer"/>
    <s v="8617084896"/>
    <n v="13.23"/>
    <n v="138"/>
    <x v="4"/>
    <m/>
    <s v="2025-12-03"/>
    <s v="260350"/>
    <s v="Adarsha Krishi Bhandar"/>
    <s v="9434422447"/>
  </r>
  <r>
    <s v="RCF Trombay"/>
    <s v="N.C.Urea(45kg)"/>
    <s v="WB"/>
    <x v="13"/>
    <s v="Chanchal - II"/>
    <s v="User Not Mapped"/>
    <s v="User Not Mapped"/>
    <s v="User Not Mapped"/>
    <n v="916056"/>
    <s v="M/S NILUFA BIBI"/>
    <s v="Private Retailer"/>
    <s v="9609792379"/>
    <n v="4.6349999999999998"/>
    <n v="166"/>
    <x v="4"/>
    <m/>
    <s v="2025-11-05"/>
    <s v="260350"/>
    <s v="Adarsha Krishi Bhandar"/>
    <s v="9434422447"/>
  </r>
  <r>
    <s v="RCF Thal"/>
    <s v="N.C.Urea(45kg)"/>
    <s v="WB"/>
    <x v="13"/>
    <s v="Harischandrapur - I"/>
    <s v="User Not Mapped"/>
    <s v="User Not Mapped"/>
    <s v="User Not Mapped"/>
    <n v="1573251"/>
    <s v="M/S NOWAJ KRISHI BHANDER"/>
    <s v="Private Retailer"/>
    <s v="8145629696"/>
    <n v="1.44"/>
    <n v="30"/>
    <x v="5"/>
    <m/>
    <s v="2026-03-21"/>
    <s v="260350"/>
    <s v="Adarsha Krishi Bhandar"/>
    <s v="9434422447"/>
  </r>
  <r>
    <s v="RCF Thal"/>
    <s v="N.C.Urea(45kg)"/>
    <s v="WB"/>
    <x v="13"/>
    <s v="Chanchal - II"/>
    <s v="User Not Mapped"/>
    <s v="User Not Mapped"/>
    <s v="User Not Mapped"/>
    <n v="280654"/>
    <s v="M/S Prafulla Mandal"/>
    <s v="Private Retailer"/>
    <s v="9733371601"/>
    <n v="4.05"/>
    <n v="440"/>
    <x v="0"/>
    <m/>
    <s v="2025-02-04"/>
    <s v="260350"/>
    <s v="Adarsha Krishi Bhandar"/>
    <s v="9434422447"/>
  </r>
  <r>
    <s v="RCF Thal"/>
    <s v="N.C.Urea(45kg)"/>
    <s v="WB"/>
    <x v="13"/>
    <s v="Gazole"/>
    <s v="User Not Mapped"/>
    <s v="User Not Mapped"/>
    <s v="User Not Mapped"/>
    <n v="919997"/>
    <s v="M/S RADHA KRISHNA SAR BHANDAR"/>
    <s v="Private Retailer"/>
    <s v="9609940154"/>
    <n v="11.025"/>
    <n v="61"/>
    <x v="6"/>
    <m/>
    <s v="2026-02-18"/>
    <s v="260350"/>
    <s v="Adarsha Krishi Bhandar"/>
    <s v="9434422447"/>
  </r>
  <r>
    <s v="RCF Thal"/>
    <s v="N.C.Urea(45kg)"/>
    <s v="WB"/>
    <x v="13"/>
    <s v="Gazole"/>
    <s v="User Not Mapped"/>
    <s v="User Not Mapped"/>
    <s v="User Not Mapped"/>
    <n v="626092"/>
    <s v="M/S SANJOY SARKAR"/>
    <s v="Private Retailer"/>
    <s v="9851424013"/>
    <n v="4.68"/>
    <n v="164"/>
    <x v="4"/>
    <m/>
    <s v="2025-11-07"/>
    <s v="260350"/>
    <s v="Adarsha Krishi Bhandar"/>
    <s v="9434422447"/>
  </r>
  <r>
    <s v="RCF Thal"/>
    <s v="N.C.Urea(45kg)"/>
    <s v="WB"/>
    <x v="13"/>
    <s v="Gazole"/>
    <s v="User Not Mapped"/>
    <s v="User Not Mapped"/>
    <s v="User Not Mapped"/>
    <n v="496331"/>
    <s v="M/S SARKAR KRISHI BIPANI"/>
    <s v="Private Retailer"/>
    <s v="7001889836"/>
    <n v="9.8550000000000004"/>
    <n v="30"/>
    <x v="5"/>
    <m/>
    <s v="2026-03-21"/>
    <s v="260350"/>
    <s v="Adarsha Krishi Bhandar"/>
    <s v="9434422447"/>
  </r>
  <r>
    <s v="RCF Thal"/>
    <s v="N.C.Urea(45kg)"/>
    <s v="WB"/>
    <x v="13"/>
    <s v="Ratua - I"/>
    <s v="User Not Mapped"/>
    <s v="User Not Mapped"/>
    <s v="User Not Mapped"/>
    <n v="280726"/>
    <s v="M/S Sukumar Ch. Thokdar"/>
    <s v="Private Retailer"/>
    <s v="9733093260"/>
    <n v="4.1399999999999997"/>
    <n v="30"/>
    <x v="5"/>
    <m/>
    <s v="2026-03-21"/>
    <s v="260350"/>
    <s v="Adarsha Krishi Bhandar"/>
    <s v="9434422447"/>
  </r>
  <r>
    <s v="RCF Trombay"/>
    <s v="15-15-15"/>
    <s v="WB"/>
    <x v="13"/>
    <s v="Chanchal - I"/>
    <s v="User Not Mapped"/>
    <s v="User Not Mapped"/>
    <s v="User Not Mapped"/>
    <n v="924531"/>
    <s v="M/S-NURUL ISLAM"/>
    <s v="Private Retailer"/>
    <s v="9563007800"/>
    <n v="1"/>
    <n v="1473"/>
    <x v="2"/>
    <m/>
    <s v="2022-04-08"/>
    <s v="260350"/>
    <s v="Adarsha Krishi Bhandar"/>
    <s v="9434422447"/>
  </r>
  <r>
    <s v="RCF Trombay"/>
    <s v="N.C.Urea(45kg)"/>
    <s v="WB"/>
    <x v="13"/>
    <s v="Chanchal - I"/>
    <s v="User Not Mapped"/>
    <s v="User Not Mapped"/>
    <s v="User Not Mapped"/>
    <n v="924531"/>
    <s v="M/S-NURUL ISLAM"/>
    <s v="Private Retailer"/>
    <s v="9563007800"/>
    <n v="0.72"/>
    <n v="1515"/>
    <x v="2"/>
    <m/>
    <s v="2022-02-25"/>
    <s v="260350"/>
    <s v="Adarsha Krishi Bhandar"/>
    <s v="9434422447"/>
  </r>
  <r>
    <s v="RCF Import"/>
    <s v="Imp DAP"/>
    <s v="WB"/>
    <x v="13"/>
    <s v="Chanchal - I"/>
    <s v="User Not Mapped"/>
    <s v="User Not Mapped"/>
    <s v="User Not Mapped"/>
    <n v="924531"/>
    <s v="M/S-NURUL ISLAM"/>
    <s v="Private Retailer"/>
    <s v="9563007800"/>
    <n v="0.85"/>
    <n v="1473"/>
    <x v="2"/>
    <m/>
    <s v="2022-04-08"/>
    <s v="260350"/>
    <s v="Adarsha Krishi Bhandar"/>
    <s v="9434422447"/>
  </r>
  <r>
    <s v="RCF Thal"/>
    <s v="N.C.Urea(45kg)"/>
    <s v="WB"/>
    <x v="13"/>
    <s v="Chanchal - I"/>
    <s v="User Not Mapped"/>
    <s v="User Not Mapped"/>
    <s v="User Not Mapped"/>
    <n v="924531"/>
    <s v="M/S-NURUL ISLAM"/>
    <s v="Private Retailer"/>
    <s v="9563007800"/>
    <n v="5.8949999999999996"/>
    <n v="1503"/>
    <x v="2"/>
    <m/>
    <s v="2022-03-09"/>
    <s v="260350"/>
    <s v="Adarsha Krishi Bhandar"/>
    <s v="9434422447"/>
  </r>
  <r>
    <s v="RCF Trombay"/>
    <s v="15-15-15"/>
    <s v="WB"/>
    <x v="13"/>
    <s v="Chanchal - I"/>
    <s v="User Not Mapped"/>
    <s v="User Not Mapped"/>
    <s v="User Not Mapped"/>
    <n v="924531"/>
    <s v="M/S-NURUL ISLAM"/>
    <s v="Private Retailer"/>
    <s v="9563007800"/>
    <n v="0.55000000000000004"/>
    <n v="1494"/>
    <x v="2"/>
    <m/>
    <s v="2022-03-18"/>
    <s v="260350"/>
    <s v="Adarsha Krishi Bhandar"/>
    <s v="9434422447"/>
  </r>
  <r>
    <s v="RCF Thal"/>
    <s v="N.C.Urea(45kg)"/>
    <s v="WB"/>
    <x v="13"/>
    <m/>
    <s v="User Not Mapped"/>
    <s v="User Not Mapped"/>
    <s v="User Not Mapped"/>
    <n v="514449"/>
    <s v="Md Faruque"/>
    <s v="Private Retailer"/>
    <s v="9932272519"/>
    <n v="0.72"/>
    <n v="1972"/>
    <x v="2"/>
    <m/>
    <s v="2020-11-25"/>
    <s v="260350"/>
    <s v="Adarsha Krishi Bhandar"/>
    <s v="9434422447"/>
  </r>
  <r>
    <s v="RCF Thal"/>
    <s v="N.C.Urea(45kg)"/>
    <s v="WB"/>
    <x v="13"/>
    <s v="Ratua - I"/>
    <s v="User Not Mapped"/>
    <s v="User Not Mapped"/>
    <s v="User Not Mapped"/>
    <n v="1461431"/>
    <s v="MD JALALUDDIN"/>
    <s v="Private Retailer"/>
    <s v="9064717981"/>
    <n v="5.49"/>
    <n v="30"/>
    <x v="5"/>
    <m/>
    <s v="2026-03-21"/>
    <s v="260350"/>
    <s v="Adarsha Krishi Bhandar"/>
    <s v="9434422447"/>
  </r>
  <r>
    <s v="RCF Trombay"/>
    <s v="15-15-15"/>
    <s v="WB"/>
    <x v="13"/>
    <s v="Chanchal - I"/>
    <s v="User Not Mapped"/>
    <s v="User Not Mapped"/>
    <s v="User Not Mapped"/>
    <n v="331488"/>
    <s v="Md Saju"/>
    <s v="Private Retailer"/>
    <s v="9083815172"/>
    <n v="5.4"/>
    <n v="137"/>
    <x v="4"/>
    <m/>
    <s v="2025-12-04"/>
    <s v="260350"/>
    <s v="Adarsha Krishi Bhandar"/>
    <s v="9434422447"/>
  </r>
  <r>
    <s v="RCF Thal"/>
    <s v="N.C.Urea(45kg)"/>
    <s v="WB"/>
    <x v="13"/>
    <s v="Ratua - I"/>
    <s v="User Not Mapped"/>
    <s v="User Not Mapped"/>
    <s v="User Not Mapped"/>
    <n v="411784"/>
    <s v="Md. Sadikul Alam"/>
    <s v="Private Retailer"/>
    <s v="9775497162"/>
    <n v="9.4049999999999994"/>
    <n v="215"/>
    <x v="1"/>
    <m/>
    <s v="2025-09-17"/>
    <s v="260350"/>
    <s v="Adarsha Krishi Bhandar"/>
    <s v="9434422447"/>
  </r>
  <r>
    <s v="RCF Thal"/>
    <s v="N.C.Urea(45kg)"/>
    <s v="WB"/>
    <x v="13"/>
    <s v="Chanchal - II"/>
    <s v="User Not Mapped"/>
    <s v="User Not Mapped"/>
    <s v="User Not Mapped"/>
    <n v="627919"/>
    <s v="MITHUN MANDAL"/>
    <s v="Private Retailer"/>
    <s v="8945848352"/>
    <n v="1.9350000000000001"/>
    <n v="61"/>
    <x v="6"/>
    <m/>
    <s v="2026-02-18"/>
    <s v="260350"/>
    <s v="Adarsha Krishi Bhandar"/>
    <s v="9434422447"/>
  </r>
  <r>
    <s v="RCF Thal"/>
    <s v="N.C.Urea(45kg)"/>
    <s v="WB"/>
    <x v="13"/>
    <s v="Harischandrapur - II"/>
    <s v="User Not Mapped"/>
    <s v="User Not Mapped"/>
    <s v="User Not Mapped"/>
    <n v="973578"/>
    <s v="NASIR HOSSAIN"/>
    <s v="Private Retailer"/>
    <s v="9733977761"/>
    <n v="11.025"/>
    <n v="30"/>
    <x v="5"/>
    <m/>
    <s v="2026-03-21"/>
    <s v="260350"/>
    <s v="Adarsha Krishi Bhandar"/>
    <s v="9434422447"/>
  </r>
  <r>
    <s v="RCF Import"/>
    <s v="Imp 10-26-26"/>
    <s v="WB"/>
    <x v="13"/>
    <s v="Gazole"/>
    <s v="User Not Mapped"/>
    <s v="User Not Mapped"/>
    <s v="User Not Mapped"/>
    <n v="288955"/>
    <s v="Rasu Roy"/>
    <s v="Private Retailer"/>
    <s v="9932408990"/>
    <n v="7.7"/>
    <n v="73"/>
    <x v="6"/>
    <m/>
    <s v="2026-02-06"/>
    <s v="260350"/>
    <s v="Adarsha Krishi Bhandar"/>
    <s v="9434422447"/>
  </r>
  <r>
    <s v="RCF Thal"/>
    <s v="N.C.Urea(45kg)"/>
    <s v="WB"/>
    <x v="13"/>
    <s v="Gazole"/>
    <s v="User Not Mapped"/>
    <s v="User Not Mapped"/>
    <s v="User Not Mapped"/>
    <n v="288956"/>
    <s v="Sabuj Fasal"/>
    <s v="Private Retailer"/>
    <s v="9563182882"/>
    <n v="0.63"/>
    <n v="164"/>
    <x v="4"/>
    <m/>
    <s v="2025-11-07"/>
    <s v="260350"/>
    <s v="Adarsha Krishi Bhandar"/>
    <s v="9434422447"/>
  </r>
  <r>
    <s v="RCF Thal"/>
    <s v="N.C.Urea(45kg)"/>
    <s v="WB"/>
    <x v="13"/>
    <s v="Gazole"/>
    <s v="User Not Mapped"/>
    <s v="User Not Mapped"/>
    <s v="User Not Mapped"/>
    <n v="288958"/>
    <s v="Sabuj Sar Bhandar"/>
    <s v="Private Retailer"/>
    <s v="9932488382"/>
    <n v="2.6549999999999998"/>
    <n v="129"/>
    <x v="4"/>
    <m/>
    <s v="2025-12-12"/>
    <s v="260350"/>
    <s v="Adarsha Krishi Bhandar"/>
    <s v="9434422447"/>
  </r>
  <r>
    <s v="RCF Trombay"/>
    <s v="15-15-15"/>
    <s v="WB"/>
    <x v="13"/>
    <s v="Chanchal - I"/>
    <s v="User Not Mapped"/>
    <s v="User Not Mapped"/>
    <s v="User Not Mapped"/>
    <n v="639027"/>
    <s v="SHYAMAL SAHA"/>
    <s v="Private Retailer"/>
    <s v="8116751866"/>
    <n v="1.23"/>
    <n v="1116"/>
    <x v="2"/>
    <m/>
    <s v="2023-03-31"/>
    <s v="260350"/>
    <s v="Adarsha Krishi Bhandar"/>
    <s v="9434422447"/>
  </r>
  <r>
    <s v="RCF Thal"/>
    <s v="N.C.Urea(45kg)"/>
    <s v="WB"/>
    <x v="13"/>
    <s v="Chanchal - I"/>
    <s v="User Not Mapped"/>
    <s v="User Not Mapped"/>
    <s v="User Not Mapped"/>
    <n v="488372"/>
    <s v="Soheb Sar Bhandar"/>
    <s v="Private Retailer"/>
    <s v="9733431519"/>
    <n v="4.95"/>
    <n v="86"/>
    <x v="6"/>
    <m/>
    <s v="2026-01-24"/>
    <s v="260350"/>
    <s v="Adarsha Krishi Bhandar"/>
    <s v="9434422447"/>
  </r>
  <r>
    <s v="RCF Thal"/>
    <s v="N.C.Urea(45kg)"/>
    <s v="WB"/>
    <x v="13"/>
    <m/>
    <s v="User Not Mapped"/>
    <s v="User Not Mapped"/>
    <s v="User Not Mapped"/>
    <n v="288969"/>
    <s v="Susama Sar Bhandar"/>
    <s v="Private Retailer"/>
    <s v="9800832746"/>
    <n v="5.49"/>
    <n v="1277"/>
    <x v="2"/>
    <m/>
    <s v="2022-10-21"/>
    <s v="260350"/>
    <s v="Adarsha Krishi Bhandar"/>
    <s v="9434422447"/>
  </r>
  <r>
    <s v="RCF Thal"/>
    <s v="N.C.Urea(45kg)"/>
    <s v="WB"/>
    <x v="13"/>
    <s v="Maldah (Old)"/>
    <s v="User Not Mapped"/>
    <s v="User Not Mapped"/>
    <s v="User Not Mapped"/>
    <n v="973387"/>
    <s v="SUSMITASAR BHANDAR"/>
    <s v="Private Retailer"/>
    <s v="9547180632"/>
    <n v="11.025"/>
    <n v="61"/>
    <x v="6"/>
    <m/>
    <s v="2026-02-18"/>
    <s v="260350"/>
    <s v="Adarsha Krishi Bhandar"/>
    <s v="9434422447"/>
  </r>
  <r>
    <s v="RCF Trombay"/>
    <s v="15-15-15"/>
    <s v="WB"/>
    <x v="13"/>
    <s v="Chanchal - I"/>
    <s v="User Not Mapped"/>
    <s v="User Not Mapped"/>
    <s v="User Not Mapped"/>
    <n v="411798"/>
    <s v="SRIDAM CHANDRA SAHA"/>
    <s v="Private Retailer"/>
    <s v="9002360398"/>
    <n v="0.85"/>
    <n v="546"/>
    <x v="0"/>
    <m/>
    <s v="2024-10-21"/>
    <s v="1116231"/>
    <s v="CHAS - BAAS"/>
    <s v="9126050773"/>
  </r>
  <r>
    <s v="RCF Thal"/>
    <s v="N.C.Urea(45kg)"/>
    <s v="WB"/>
    <x v="13"/>
    <s v="Maldah (Old)"/>
    <s v="User Not Mapped"/>
    <s v="User Not Mapped"/>
    <s v="User Not Mapped"/>
    <n v="1573217"/>
    <s v="Jatradanga Krishighar"/>
    <s v="Private Retailer"/>
    <s v="8918149791"/>
    <n v="0.18"/>
    <n v="36"/>
    <x v="3"/>
    <m/>
    <s v="2026-03-15"/>
    <s v="288977"/>
    <s v="Golok Chandra Mondal "/>
    <s v="8016366836"/>
  </r>
  <r>
    <s v="RCF Thal"/>
    <s v="N.C.Urea(45kg)"/>
    <s v="WB"/>
    <x v="13"/>
    <s v="Gazole"/>
    <s v="User Not Mapped"/>
    <s v="User Not Mapped"/>
    <s v="User Not Mapped"/>
    <n v="626052"/>
    <s v="M/S PRAFULLA SARKAR"/>
    <s v="Private Retailer"/>
    <s v="9933474882"/>
    <n v="2.7"/>
    <n v="84"/>
    <x v="6"/>
    <m/>
    <s v="2026-01-26"/>
    <s v="288977"/>
    <s v="Golok Chandra Mondal "/>
    <s v="8016366836"/>
  </r>
  <r>
    <s v="RCF Thal"/>
    <s v="N.C.Urea(45kg)"/>
    <s v="WB"/>
    <x v="13"/>
    <s v="Maldah (Old)"/>
    <s v="User Not Mapped"/>
    <s v="User Not Mapped"/>
    <s v="User Not Mapped"/>
    <n v="1573253"/>
    <s v="M/S SABUJ KRISHI GHAR"/>
    <s v="Private Retailer"/>
    <s v="8159838115"/>
    <n v="0.54"/>
    <n v="36"/>
    <x v="3"/>
    <m/>
    <s v="2026-03-15"/>
    <s v="288977"/>
    <s v="Golok Chandra Mondal "/>
    <s v="8016366836"/>
  </r>
  <r>
    <s v="RCF Thal"/>
    <s v="N.C.Urea(45kg)"/>
    <s v="WB"/>
    <x v="13"/>
    <s v="Gazole"/>
    <s v="User Not Mapped"/>
    <s v="User Not Mapped"/>
    <s v="User Not Mapped"/>
    <n v="626922"/>
    <s v="SARKAR SAR BHANDAR"/>
    <s v="Private Retailer"/>
    <s v="9933454813"/>
    <n v="0.99"/>
    <n v="500"/>
    <x v="0"/>
    <m/>
    <s v="2024-12-06"/>
    <s v="288977"/>
    <s v="Golok Chandra Mondal "/>
    <s v="8016366836"/>
  </r>
  <r>
    <s v="RCF Trombay"/>
    <s v="15-15-15"/>
    <s v="WB"/>
    <x v="13"/>
    <s v="Ratua - II"/>
    <s v="User Not Mapped"/>
    <s v="User Not Mapped"/>
    <s v="User Not Mapped"/>
    <n v="1005132"/>
    <s v="M/S SAIFUJJAMAN"/>
    <s v="Private Retailer"/>
    <s v="9593334854"/>
    <n v="0.35"/>
    <n v="149"/>
    <x v="4"/>
    <m/>
    <s v="2025-11-22"/>
    <s v="1265873"/>
    <s v="IFFDC-KBSK  PROP-AHMAD HOSSAIN"/>
    <s v="8942098019"/>
  </r>
  <r>
    <s v="RCF Trombay"/>
    <s v="15-15-15"/>
    <s v="WB"/>
    <x v="13"/>
    <s v="Bamangola"/>
    <s v="User Not Mapped"/>
    <s v="User Not Mapped"/>
    <s v="User Not Mapped"/>
    <n v="876971"/>
    <s v="M/S BANOMALA FERTILIZER"/>
    <s v="Private Retailer"/>
    <s v="7797915265"/>
    <n v="0.2"/>
    <n v="452"/>
    <x v="0"/>
    <m/>
    <s v="2025-01-23"/>
    <s v="270122"/>
    <s v="Kallol Banerjee"/>
    <s v="9434518179"/>
  </r>
  <r>
    <s v="RCF Thal"/>
    <s v="N.C.Urea(45kg)"/>
    <s v="WB"/>
    <x v="13"/>
    <s v="Bamangola"/>
    <s v="User Not Mapped"/>
    <s v="User Not Mapped"/>
    <s v="User Not Mapped"/>
    <n v="328225"/>
    <s v="M/S Kallol Banerjee"/>
    <s v="Private Retailer"/>
    <s v="9434518179"/>
    <n v="2.2949999999999999"/>
    <n v="69"/>
    <x v="6"/>
    <m/>
    <s v="2026-02-10"/>
    <s v="270122"/>
    <s v="Kallol Banerjee"/>
    <s v="9434518179"/>
  </r>
  <r>
    <s v="RCF Trombay"/>
    <s v="15-15-15"/>
    <s v="WB"/>
    <x v="13"/>
    <s v="Bamangola"/>
    <s v="User Not Mapped"/>
    <s v="User Not Mapped"/>
    <s v="User Not Mapped"/>
    <n v="461179"/>
    <s v="Mondal Sar Bhandar"/>
    <s v="Private Retailer"/>
    <s v="9734990930"/>
    <n v="0.75"/>
    <n v="159"/>
    <x v="4"/>
    <m/>
    <s v="2025-11-12"/>
    <s v="270122"/>
    <s v="Kallol Banerjee"/>
    <s v="9434518179"/>
  </r>
  <r>
    <s v="RCF Import"/>
    <s v="Imp 10-26-26"/>
    <s v="WB"/>
    <x v="13"/>
    <s v="English Bazar"/>
    <s v="User Not Mapped"/>
    <s v="User Not Mapped"/>
    <s v="User Not Mapped"/>
    <n v="475108"/>
    <s v="Basundhara Krishi Bhandar"/>
    <s v="Private Retailer"/>
    <s v="9735048108"/>
    <n v="0.3"/>
    <n v="471"/>
    <x v="0"/>
    <m/>
    <s v="2025-01-04"/>
    <s v="281277"/>
    <s v="Krishi Bipani"/>
    <s v="9434981339"/>
  </r>
  <r>
    <s v="RCF Thal"/>
    <s v="N.C.Urea(45kg)"/>
    <s v="WB"/>
    <x v="13"/>
    <s v="Ratua - II"/>
    <s v="User Not Mapped"/>
    <s v="User Not Mapped"/>
    <s v="User Not Mapped"/>
    <n v="411772"/>
    <s v="Enamul Haque"/>
    <s v="Private Retailer"/>
    <s v="8768059666"/>
    <n v="0.64500000000000002"/>
    <n v="1788"/>
    <x v="2"/>
    <m/>
    <s v="2021-05-28"/>
    <s v="281277"/>
    <s v="Krishi Bipani"/>
    <s v="9434981339"/>
  </r>
  <r>
    <s v="RCF Thal"/>
    <s v="N.C.Urea(45kg)"/>
    <s v="WB"/>
    <x v="13"/>
    <m/>
    <s v="User Not Mapped"/>
    <s v="User Not Mapped"/>
    <s v="User Not Mapped"/>
    <n v="649171"/>
    <s v="M/S SK. INSAN"/>
    <s v="Private Retailer"/>
    <s v="9641038628"/>
    <n v="1.125"/>
    <n v="2025"/>
    <x v="2"/>
    <m/>
    <s v="2020-10-03"/>
    <s v="281277"/>
    <s v="Krishi Bipani"/>
    <s v="9434981339"/>
  </r>
  <r>
    <s v="RCF Thal"/>
    <s v="N.C.Urea(45kg)"/>
    <s v="WB"/>
    <x v="13"/>
    <m/>
    <s v="User Not Mapped"/>
    <s v="User Not Mapped"/>
    <s v="User Not Mapped"/>
    <n v="649171"/>
    <s v="M/S SK. INSAN"/>
    <s v="Private Retailer"/>
    <s v="9641038628"/>
    <n v="0.54"/>
    <n v="2208"/>
    <x v="2"/>
    <m/>
    <s v="2020-04-03"/>
    <s v="281277"/>
    <s v="Krishi Bipani"/>
    <s v="9434981339"/>
  </r>
  <r>
    <s v="RCF Trombay"/>
    <s v="N.C.Urea(45kg)"/>
    <s v="WB"/>
    <x v="13"/>
    <s v="Ratua - II"/>
    <s v="User Not Mapped"/>
    <s v="User Not Mapped"/>
    <s v="User Not Mapped"/>
    <n v="411770"/>
    <s v="S.K. Tamijuddin"/>
    <s v="Private Retailer"/>
    <s v="9800518388"/>
    <n v="0.81"/>
    <n v="1284"/>
    <x v="2"/>
    <m/>
    <s v="2022-10-14"/>
    <s v="281277"/>
    <s v="Krishi Bipani"/>
    <s v="9434981339"/>
  </r>
  <r>
    <s v="RCF Trombay"/>
    <s v="15-15-15"/>
    <s v="WB"/>
    <x v="13"/>
    <s v="Harischandrapur - I"/>
    <s v="User Not Mapped"/>
    <s v="User Not Mapped"/>
    <s v="User Not Mapped"/>
    <n v="644192"/>
    <s v="ATAUR"/>
    <s v="Private Retailer"/>
    <s v="8617583851"/>
    <n v="2.5000000000000001E-2"/>
    <n v="1646"/>
    <x v="2"/>
    <m/>
    <s v="2021-10-17"/>
    <s v="281266"/>
    <s v="Krishi Sangastha              "/>
    <s v="9434040109"/>
  </r>
  <r>
    <s v="RCF Trombay"/>
    <s v="N.C.Urea(45kg)"/>
    <s v="WB"/>
    <x v="13"/>
    <s v="Harischandrapur - I"/>
    <s v="User Not Mapped"/>
    <s v="User Not Mapped"/>
    <s v="User Not Mapped"/>
    <n v="639381"/>
    <s v="BABLU SINGHA"/>
    <s v="Private Retailer"/>
    <s v="9593417804"/>
    <n v="2.5000000000000001E-2"/>
    <n v="1230"/>
    <x v="2"/>
    <m/>
    <s v="2022-12-07"/>
    <s v="281266"/>
    <s v="Krishi Sangastha              "/>
    <s v="9434040109"/>
  </r>
  <r>
    <s v="RCF Thal"/>
    <s v="N.C.Urea(45kg)"/>
    <s v="WB"/>
    <x v="13"/>
    <s v="Harischandrapur - II"/>
    <s v="User Not Mapped"/>
    <s v="User Not Mapped"/>
    <s v="User Not Mapped"/>
    <n v="411756"/>
    <s v="Bhai Bhai Sar Bhandar"/>
    <s v="Private Retailer"/>
    <s v="9733361210"/>
    <n v="10.050000000000001"/>
    <n v="34"/>
    <x v="3"/>
    <m/>
    <s v="2026-03-17"/>
    <s v="1375345"/>
    <s v="M/S AGRO CARE "/>
    <s v="7908844177"/>
  </r>
  <r>
    <s v="RCF Trombay"/>
    <s v="N.C.Urea(45kg)"/>
    <s v="WB"/>
    <x v="13"/>
    <s v="Ratua - I"/>
    <s v="User Not Mapped"/>
    <s v="User Not Mapped"/>
    <s v="User Not Mapped"/>
    <n v="1001467"/>
    <s v="M/S KHALILUR RAHAMAN"/>
    <s v="Private Retailer"/>
    <s v="9775473574"/>
    <n v="0.28499999999999998"/>
    <n v="270"/>
    <x v="1"/>
    <m/>
    <s v="2025-07-24"/>
    <s v="1375345"/>
    <s v="M/S AGRO CARE "/>
    <s v="7908844177"/>
  </r>
  <r>
    <s v="RCF Trombay"/>
    <s v="15-15-15"/>
    <s v="WB"/>
    <x v="13"/>
    <s v="Ratua - I"/>
    <s v="User Not Mapped"/>
    <s v="User Not Mapped"/>
    <s v="User Not Mapped"/>
    <n v="978588"/>
    <s v="MD TANJAMAL HOQUE"/>
    <s v="Private Retailer"/>
    <s v="9733204372"/>
    <n v="11"/>
    <n v="144"/>
    <x v="4"/>
    <m/>
    <s v="2025-11-27"/>
    <s v="1375345"/>
    <s v="M/S AGRO CARE "/>
    <s v="7908844177"/>
  </r>
  <r>
    <s v="RCF Trombay"/>
    <s v="15-15-15"/>
    <s v="WB"/>
    <x v="13"/>
    <s v="Ratua - I"/>
    <s v="User Not Mapped"/>
    <s v="User Not Mapped"/>
    <s v="User Not Mapped"/>
    <n v="288895"/>
    <s v="Md. Aftabuddin Biswas"/>
    <s v="Private Retailer"/>
    <s v="9775495403"/>
    <n v="6.5"/>
    <n v="144"/>
    <x v="4"/>
    <m/>
    <s v="2025-11-27"/>
    <s v="1375345"/>
    <s v="M/S AGRO CARE "/>
    <s v="7908844177"/>
  </r>
  <r>
    <s v="RCF Import"/>
    <s v="Imp 10-26-26"/>
    <s v="WB"/>
    <x v="13"/>
    <s v="Bamangola"/>
    <s v="User Not Mapped"/>
    <s v="User Not Mapped"/>
    <s v="User Not Mapped"/>
    <n v="492351"/>
    <s v="Akash Sar Bhandar"/>
    <s v="Private Retailer"/>
    <s v="9733373567"/>
    <n v="0.35"/>
    <n v="499"/>
    <x v="0"/>
    <m/>
    <s v="2024-12-07"/>
    <s v="1000527"/>
    <s v="M/s Bhumi Laxmi"/>
    <s v="9932113924"/>
  </r>
  <r>
    <s v="RCF Thal"/>
    <s v="N.C.Urea(45kg)"/>
    <s v="WB"/>
    <x v="13"/>
    <s v="Chanchal - II"/>
    <s v="User Not Mapped"/>
    <s v="User Not Mapped"/>
    <s v="User Not Mapped"/>
    <n v="280654"/>
    <s v="M/S Prafulla Mandal"/>
    <s v="Private Retailer"/>
    <s v="9733371601"/>
    <n v="1.2649999999999999"/>
    <n v="492"/>
    <x v="0"/>
    <m/>
    <s v="2024-12-14"/>
    <s v="1000527"/>
    <s v="M/s Bhumi Laxmi"/>
    <s v="9932113924"/>
  </r>
  <r>
    <s v="RCF Thal"/>
    <s v="N.C.Urea(45kg)"/>
    <s v="WB"/>
    <x v="13"/>
    <s v="Harischandrapur - II"/>
    <s v="User Not Mapped"/>
    <s v="User Not Mapped"/>
    <s v="User Not Mapped"/>
    <n v="510510"/>
    <s v="Sk Mosim"/>
    <s v="Private Retailer"/>
    <s v="9593326516"/>
    <n v="2.79"/>
    <n v="40"/>
    <x v="3"/>
    <m/>
    <s v="2026-03-11"/>
    <s v="1000527"/>
    <s v="M/s Bhumi Laxmi"/>
    <s v="9932113924"/>
  </r>
  <r>
    <s v="RCF Thal"/>
    <s v="N.C.Urea(45kg)"/>
    <s v="WB"/>
    <x v="13"/>
    <s v="Chanchal - II"/>
    <s v="User Not Mapped"/>
    <s v="User Not Mapped"/>
    <s v="User Not Mapped"/>
    <n v="411870"/>
    <s v="Abdul Halim"/>
    <s v="Private Retailer"/>
    <s v="9735009967"/>
    <n v="6.48"/>
    <n v="285"/>
    <x v="1"/>
    <m/>
    <s v="2025-07-09"/>
    <s v="268712"/>
    <s v="M/s BirendraNathSaha O Partner"/>
    <s v="9232761461"/>
  </r>
  <r>
    <s v="RCF Thal"/>
    <s v="N.C.Urea(45kg)"/>
    <s v="WB"/>
    <x v="13"/>
    <s v="Chanchal - II"/>
    <s v="User Not Mapped"/>
    <s v="User Not Mapped"/>
    <s v="User Not Mapped"/>
    <n v="288837"/>
    <s v="Akmal Hossain"/>
    <s v="Private Retailer"/>
    <s v="9733458122"/>
    <n v="2.52"/>
    <n v="42"/>
    <x v="3"/>
    <m/>
    <s v="2026-03-09"/>
    <s v="268712"/>
    <s v="M/s BirendraNathSaha O Partner"/>
    <s v="9232761461"/>
  </r>
  <r>
    <s v="RCF Trombay"/>
    <s v="N.C.Urea(45kg)"/>
    <s v="WB"/>
    <x v="13"/>
    <s v="Kaliachak - III"/>
    <s v="User Not Mapped"/>
    <s v="User Not Mapped"/>
    <s v="User Not Mapped"/>
    <n v="288842"/>
    <s v="Baishnabnagar Acms Ltd"/>
    <s v="District Cooperative Marketing Society"/>
    <s v="9734195824"/>
    <n v="0.18"/>
    <n v="122"/>
    <x v="4"/>
    <m/>
    <s v="2025-12-19"/>
    <s v="268712"/>
    <s v="M/s BirendraNathSaha O Partner"/>
    <s v="9232761461"/>
  </r>
  <r>
    <s v="RCF Thal"/>
    <s v="N.C.Urea(45kg)"/>
    <s v="WB"/>
    <x v="13"/>
    <s v="English Bazar"/>
    <s v="User Not Mapped"/>
    <s v="User Not Mapped"/>
    <s v="User Not Mapped"/>
    <n v="617043"/>
    <s v="M/S ADHUNIK SAR BHANDAR"/>
    <s v="Private Retailer"/>
    <s v="8016529652"/>
    <n v="4.95"/>
    <n v="65"/>
    <x v="6"/>
    <m/>
    <s v="2026-02-14"/>
    <s v="268712"/>
    <s v="M/s BirendraNathSaha O Partner"/>
    <s v="9232761461"/>
  </r>
  <r>
    <s v="RCF Thal"/>
    <s v="N.C.Urea(45kg)"/>
    <s v="WB"/>
    <x v="13"/>
    <s v="Kaliachak - II"/>
    <s v="User Not Mapped"/>
    <s v="User Not Mapped"/>
    <s v="User Not Mapped"/>
    <n v="595555"/>
    <s v="M/S Bapi Mondal"/>
    <s v="Private Retailer"/>
    <s v="9733020929"/>
    <n v="10.89"/>
    <n v="42"/>
    <x v="3"/>
    <m/>
    <s v="2026-03-09"/>
    <s v="268712"/>
    <s v="M/s BirendraNathSaha O Partner"/>
    <s v="9232761461"/>
  </r>
  <r>
    <s v="RCF Thal"/>
    <s v="N.C.Urea(45kg)"/>
    <s v="WB"/>
    <x v="13"/>
    <s v="Kaliachak - II"/>
    <s v="User Not Mapped"/>
    <s v="User Not Mapped"/>
    <s v="User Not Mapped"/>
    <n v="595555"/>
    <s v="M/S Bapi Mondal"/>
    <s v="Private Retailer"/>
    <s v="9733020929"/>
    <n v="1.2150000000000001"/>
    <n v="91"/>
    <x v="7"/>
    <m/>
    <s v="2026-01-19"/>
    <s v="268712"/>
    <s v="M/s BirendraNathSaha O Partner"/>
    <s v="9232761461"/>
  </r>
  <r>
    <s v="RCF Thal"/>
    <s v="N.C.Urea(45kg)"/>
    <s v="WB"/>
    <x v="13"/>
    <s v="Gazole"/>
    <s v="User Not Mapped"/>
    <s v="User Not Mapped"/>
    <s v="User Not Mapped"/>
    <n v="1148495"/>
    <s v="M/S BHOWMIK SAR BHANDER"/>
    <s v="Private Retailer"/>
    <s v="9635107579"/>
    <n v="5.3550000000000004"/>
    <n v="65"/>
    <x v="6"/>
    <m/>
    <s v="2026-02-14"/>
    <s v="268712"/>
    <s v="M/s BirendraNathSaha O Partner"/>
    <s v="9232761461"/>
  </r>
  <r>
    <s v="RCF Thal"/>
    <s v="N.C.Urea(45kg)"/>
    <s v="WB"/>
    <x v="13"/>
    <s v="Habibpur"/>
    <s v="User Not Mapped"/>
    <s v="User Not Mapped"/>
    <s v="User Not Mapped"/>
    <n v="328220"/>
    <s v="M/S Bimal Chandra Sarkar"/>
    <s v="Private Retailer"/>
    <s v="9434981194"/>
    <n v="5.085"/>
    <n v="146"/>
    <x v="4"/>
    <m/>
    <s v="2025-11-25"/>
    <s v="268712"/>
    <s v="M/s BirendraNathSaha O Partner"/>
    <s v="9232761461"/>
  </r>
  <r>
    <s v="RCF Trombay"/>
    <s v="N.C.Urea(45kg)"/>
    <s v="WB"/>
    <x v="13"/>
    <s v="Habibpur"/>
    <s v="User Not Mapped"/>
    <s v="User Not Mapped"/>
    <s v="User Not Mapped"/>
    <n v="328220"/>
    <s v="M/S Bimal Chandra Sarkar"/>
    <s v="Private Retailer"/>
    <s v="9434981194"/>
    <n v="6.7949999999999999"/>
    <n v="124"/>
    <x v="4"/>
    <m/>
    <s v="2025-12-17"/>
    <s v="268712"/>
    <s v="M/s BirendraNathSaha O Partner"/>
    <s v="9232761461"/>
  </r>
  <r>
    <s v="RCF Trombay"/>
    <s v="15-15-15"/>
    <s v="WB"/>
    <x v="13"/>
    <s v="Habibpur"/>
    <s v="User Not Mapped"/>
    <s v="User Not Mapped"/>
    <s v="User Not Mapped"/>
    <n v="328220"/>
    <s v="M/S Bimal Chandra Sarkar"/>
    <s v="Private Retailer"/>
    <s v="9434981194"/>
    <n v="13"/>
    <n v="122"/>
    <x v="4"/>
    <m/>
    <s v="2025-12-19"/>
    <s v="268712"/>
    <s v="M/s BirendraNathSaha O Partner"/>
    <s v="9232761461"/>
  </r>
  <r>
    <s v="RCF Thal"/>
    <s v="N.C.Urea(45kg)"/>
    <s v="WB"/>
    <x v="13"/>
    <s v="Kaliachak - II"/>
    <s v="User Not Mapped"/>
    <s v="User Not Mapped"/>
    <s v="User Not Mapped"/>
    <n v="631039"/>
    <s v="M/S HASANAT SAR BHANDAR"/>
    <s v="Private Retailer"/>
    <s v="9734193274"/>
    <n v="4.9050000000000002"/>
    <n v="91"/>
    <x v="7"/>
    <m/>
    <s v="2026-01-19"/>
    <s v="268712"/>
    <s v="M/s BirendraNathSaha O Partner"/>
    <s v="9232761461"/>
  </r>
  <r>
    <s v="RCF Thal"/>
    <s v="N.C.Urea(45kg)"/>
    <s v="WB"/>
    <x v="13"/>
    <s v="Kaliachak - II"/>
    <s v="User Not Mapped"/>
    <s v="User Not Mapped"/>
    <s v="User Not Mapped"/>
    <n v="643479"/>
    <s v="M/S HOQUE SAR BHANDAR"/>
    <s v="Private Retailer"/>
    <s v="9733030478"/>
    <n v="11.25"/>
    <n v="65"/>
    <x v="6"/>
    <m/>
    <s v="2026-02-14"/>
    <s v="268712"/>
    <s v="M/s BirendraNathSaha O Partner"/>
    <s v="9232761461"/>
  </r>
  <r>
    <s v="RCF Trombay"/>
    <s v="N.C.Urea(45kg)"/>
    <s v="WB"/>
    <x v="13"/>
    <s v="Kaliachak - II"/>
    <s v="User Not Mapped"/>
    <s v="User Not Mapped"/>
    <s v="User Not Mapped"/>
    <n v="643479"/>
    <s v="M/S HOQUE SAR BHANDAR"/>
    <s v="Private Retailer"/>
    <s v="9733030478"/>
    <n v="10.17"/>
    <n v="136"/>
    <x v="4"/>
    <m/>
    <s v="2025-12-05"/>
    <s v="268712"/>
    <s v="M/s BirendraNathSaha O Partner"/>
    <s v="9232761461"/>
  </r>
  <r>
    <s v="RCF Thal"/>
    <s v="N.C.Urea(45kg)"/>
    <s v="WB"/>
    <x v="13"/>
    <s v="Kaliachak - I"/>
    <s v="User Not Mapped"/>
    <s v="User Not Mapped"/>
    <s v="User Not Mapped"/>
    <n v="1524863"/>
    <s v="M/S LAL KRIHI SEVA KENDRA"/>
    <s v="Private Retailer"/>
    <s v="9734098420"/>
    <n v="0.01"/>
    <n v="503"/>
    <x v="0"/>
    <m/>
    <s v="2024-12-03"/>
    <s v="268712"/>
    <s v="M/s BirendraNathSaha O Partner"/>
    <s v="9232761461"/>
  </r>
  <r>
    <s v="RCF Thal"/>
    <s v="N.C.Urea(45kg)"/>
    <s v="WB"/>
    <x v="13"/>
    <m/>
    <s v="User Not Mapped"/>
    <s v="User Not Mapped"/>
    <s v="User Not Mapped"/>
    <n v="858768"/>
    <s v="M/S MANJUR ALI"/>
    <s v="Private Retailer"/>
    <s v="9932582056"/>
    <n v="4.4999999999999998E-2"/>
    <n v="1728"/>
    <x v="2"/>
    <m/>
    <s v="2021-07-27"/>
    <s v="268712"/>
    <s v="M/s BirendraNathSaha O Partner"/>
    <s v="9232761461"/>
  </r>
  <r>
    <s v="RCF Thal"/>
    <s v="N.C.Urea(45kg)"/>
    <s v="WB"/>
    <x v="13"/>
    <s v="Kaliachak - III"/>
    <s v="User Not Mapped"/>
    <s v="User Not Mapped"/>
    <s v="User Not Mapped"/>
    <n v="300589"/>
    <s v="M/S Md. Anisur Rahaman"/>
    <s v="Private Retailer"/>
    <s v="9593181716"/>
    <n v="6.3"/>
    <n v="65"/>
    <x v="6"/>
    <m/>
    <s v="2026-02-14"/>
    <s v="268712"/>
    <s v="M/s BirendraNathSaha O Partner"/>
    <s v="9232761461"/>
  </r>
  <r>
    <s v="RCF Import"/>
    <s v="Imp 10-26-26"/>
    <s v="WB"/>
    <x v="13"/>
    <s v="Habibpur"/>
    <s v="User Not Mapped"/>
    <s v="User Not Mapped"/>
    <s v="User Not Mapped"/>
    <n v="328233"/>
    <s v="M/S Mondal Sar Bhandar"/>
    <s v="Private Retailer"/>
    <s v="9733266313"/>
    <n v="10.9"/>
    <n v="64"/>
    <x v="6"/>
    <m/>
    <s v="2026-02-15"/>
    <s v="268712"/>
    <s v="M/s BirendraNathSaha O Partner"/>
    <s v="9232761461"/>
  </r>
  <r>
    <s v="RCF Thal"/>
    <s v="N.C.Urea(45kg)"/>
    <s v="WB"/>
    <x v="13"/>
    <s v="Gazole"/>
    <s v="User Not Mapped"/>
    <s v="User Not Mapped"/>
    <s v="User Not Mapped"/>
    <n v="288926"/>
    <s v="M/S Nazima Sar Bhandar"/>
    <s v="Private Retailer"/>
    <s v="9733189407"/>
    <n v="10.89"/>
    <n v="42"/>
    <x v="3"/>
    <m/>
    <s v="2026-03-09"/>
    <s v="268712"/>
    <s v="M/s BirendraNathSaha O Partner"/>
    <s v="9232761461"/>
  </r>
  <r>
    <s v="RCF Thal"/>
    <s v="N.C.Urea(45kg)"/>
    <s v="WB"/>
    <x v="13"/>
    <s v="Gazole"/>
    <s v="User Not Mapped"/>
    <s v="User Not Mapped"/>
    <s v="User Not Mapped"/>
    <n v="626046"/>
    <s v="M/S NUR AMINA HOQUE"/>
    <s v="Private Retailer"/>
    <s v="9564352143"/>
    <n v="0.36"/>
    <n v="146"/>
    <x v="4"/>
    <m/>
    <s v="2025-11-25"/>
    <s v="268712"/>
    <s v="M/s BirendraNathSaha O Partner"/>
    <s v="9232761461"/>
  </r>
  <r>
    <s v="RCF Thal"/>
    <s v="N.C.Urea(45kg)"/>
    <s v="WB"/>
    <x v="13"/>
    <s v="Manikchak"/>
    <s v="User Not Mapped"/>
    <s v="User Not Mapped"/>
    <s v="User Not Mapped"/>
    <n v="1534968"/>
    <s v="M/S RAHAMAN SAR BHANDER"/>
    <s v="Private Retailer"/>
    <s v="6296269908"/>
    <n v="5.1749999999999998"/>
    <n v="126"/>
    <x v="4"/>
    <m/>
    <s v="2025-12-15"/>
    <s v="268712"/>
    <s v="M/s BirendraNathSaha O Partner"/>
    <s v="9232761461"/>
  </r>
  <r>
    <s v="RCF Trombay"/>
    <s v="N.C.Urea(45kg)"/>
    <s v="WB"/>
    <x v="13"/>
    <s v="Manikchak"/>
    <s v="User Not Mapped"/>
    <s v="User Not Mapped"/>
    <s v="User Not Mapped"/>
    <n v="1534968"/>
    <s v="M/S RAHAMAN SAR BHANDER"/>
    <s v="Private Retailer"/>
    <s v="6296269908"/>
    <n v="4.8150000000000004"/>
    <n v="124"/>
    <x v="4"/>
    <m/>
    <s v="2025-12-17"/>
    <s v="268712"/>
    <s v="M/s BirendraNathSaha O Partner"/>
    <s v="9232761461"/>
  </r>
  <r>
    <s v="RCF Thal"/>
    <s v="N.C.Urea(45kg)"/>
    <s v="WB"/>
    <x v="13"/>
    <s v="Gazole"/>
    <s v="User Not Mapped"/>
    <s v="User Not Mapped"/>
    <s v="User Not Mapped"/>
    <n v="288930"/>
    <s v="M/S Raja Sar Bhandar"/>
    <s v="Private Retailer"/>
    <s v="9734989297"/>
    <n v="6.5250000000000004"/>
    <n v="91"/>
    <x v="7"/>
    <m/>
    <s v="2026-01-19"/>
    <s v="268712"/>
    <s v="M/s BirendraNathSaha O Partner"/>
    <s v="9232761461"/>
  </r>
  <r>
    <s v="RCF Thal"/>
    <s v="N.C.Urea(45kg)"/>
    <s v="WB"/>
    <x v="13"/>
    <s v="Habibpur"/>
    <s v="User Not Mapped"/>
    <s v="User Not Mapped"/>
    <s v="User Not Mapped"/>
    <n v="1234617"/>
    <s v="M/S REBA FERTILIZER"/>
    <s v="Private Retailer"/>
    <s v="9734011627"/>
    <n v="7.5149999999999997"/>
    <n v="42"/>
    <x v="3"/>
    <m/>
    <s v="2026-03-09"/>
    <s v="268712"/>
    <s v="M/s BirendraNathSaha O Partner"/>
    <s v="9232761461"/>
  </r>
  <r>
    <s v="RCF Thal"/>
    <s v="N.C.Urea(45kg)"/>
    <s v="WB"/>
    <x v="13"/>
    <s v="Manikchak"/>
    <s v="User Not Mapped"/>
    <s v="User Not Mapped"/>
    <s v="User Not Mapped"/>
    <n v="1524879"/>
    <s v="M/S SONALI SAR BHANDAR"/>
    <s v="Private Retailer"/>
    <s v="8371010611"/>
    <n v="10.215"/>
    <n v="91"/>
    <x v="7"/>
    <m/>
    <s v="2026-01-19"/>
    <s v="268712"/>
    <s v="M/s BirendraNathSaha O Partner"/>
    <s v="9232761461"/>
  </r>
  <r>
    <s v="RCF Trombay"/>
    <s v="N.C.Urea(45kg)"/>
    <s v="WB"/>
    <x v="13"/>
    <s v="Harischandrapur - II"/>
    <s v="User Not Mapped"/>
    <s v="User Not Mapped"/>
    <s v="User Not Mapped"/>
    <n v="1126081"/>
    <s v="M/S SUBASH PRAMANIK"/>
    <s v="Private Retailer"/>
    <s v="6294135245"/>
    <n v="0.18"/>
    <n v="276"/>
    <x v="1"/>
    <m/>
    <s v="2025-07-18"/>
    <s v="268712"/>
    <s v="M/s BirendraNathSaha O Partner"/>
    <s v="9232761461"/>
  </r>
  <r>
    <s v="RCF Thal"/>
    <s v="N.C.Urea(45kg)"/>
    <s v="WB"/>
    <x v="13"/>
    <m/>
    <s v="User Not Mapped"/>
    <s v="User Not Mapped"/>
    <s v="User Not Mapped"/>
    <n v="328247"/>
    <s v="M/S Sunil Kumar Saha"/>
    <s v="Private Retailer"/>
    <s v="9733133918"/>
    <n v="1.575"/>
    <n v="1922"/>
    <x v="2"/>
    <m/>
    <s v="2021-01-14"/>
    <s v="268712"/>
    <s v="M/s BirendraNathSaha O Partner"/>
    <s v="9232761461"/>
  </r>
  <r>
    <s v="RCF Trombay"/>
    <s v="N.C.Urea(45kg)"/>
    <s v="WB"/>
    <x v="13"/>
    <s v="Kaliachak - II"/>
    <s v="User Not Mapped"/>
    <s v="User Not Mapped"/>
    <s v="User Not Mapped"/>
    <n v="1002921"/>
    <s v="M/S-KRISHI SEBA SAR BHANDAR"/>
    <s v="Private Retailer"/>
    <s v="9735455454"/>
    <n v="2.0249999999999999"/>
    <n v="756"/>
    <x v="2"/>
    <m/>
    <s v="2024-03-25"/>
    <s v="268712"/>
    <s v="M/s BirendraNathSaha O Partner"/>
    <s v="9232761461"/>
  </r>
  <r>
    <s v="RCF Thal"/>
    <s v="N.C.Urea(45kg)"/>
    <s v="WB"/>
    <x v="13"/>
    <s v="Maldah (Old)"/>
    <s v="User Not Mapped"/>
    <s v="User Not Mapped"/>
    <s v="User Not Mapped"/>
    <n v="988085"/>
    <s v="MAA LAXMI SAR BHANDAR"/>
    <s v="Private Retailer"/>
    <s v="6297695229"/>
    <n v="10.664999999999999"/>
    <n v="91"/>
    <x v="7"/>
    <m/>
    <s v="2026-01-19"/>
    <s v="268712"/>
    <s v="M/s BirendraNathSaha O Partner"/>
    <s v="9232761461"/>
  </r>
  <r>
    <s v="RCF Thal"/>
    <s v="N.C.Urea(45kg)"/>
    <s v="WB"/>
    <x v="13"/>
    <s v="Harischandrapur - II"/>
    <s v="User Not Mapped"/>
    <s v="User Not Mapped"/>
    <s v="User Not Mapped"/>
    <n v="331477"/>
    <s v="Md Akbar Ali"/>
    <s v="Private Retailer"/>
    <s v="7479120656"/>
    <n v="10.215"/>
    <n v="42"/>
    <x v="3"/>
    <m/>
    <s v="2026-03-09"/>
    <s v="268712"/>
    <s v="M/s BirendraNathSaha O Partner"/>
    <s v="9232761461"/>
  </r>
  <r>
    <s v="RCF Thal"/>
    <s v="N.C.Urea(45kg)"/>
    <s v="WB"/>
    <x v="13"/>
    <s v="Ratua - I"/>
    <s v="User Not Mapped"/>
    <s v="User Not Mapped"/>
    <s v="User Not Mapped"/>
    <n v="1021751"/>
    <s v="MD MUKTAR ALAM"/>
    <s v="Private Retailer"/>
    <s v="9734020352"/>
    <n v="2.7E-2"/>
    <n v="1861"/>
    <x v="2"/>
    <m/>
    <s v="2021-03-16"/>
    <s v="268712"/>
    <s v="M/s BirendraNathSaha O Partner"/>
    <s v="9232761461"/>
  </r>
  <r>
    <s v="RCF Thal"/>
    <s v="N.C.Urea(45kg)"/>
    <s v="WB"/>
    <x v="13"/>
    <s v="Chanchal - II"/>
    <s v="User Not Mapped"/>
    <s v="User Not Mapped"/>
    <s v="User Not Mapped"/>
    <n v="892269"/>
    <s v="MD. JALAL"/>
    <s v="Private Retailer"/>
    <s v="9733848634"/>
    <n v="2.5000000000000001E-2"/>
    <n v="285"/>
    <x v="1"/>
    <m/>
    <s v="2025-07-09"/>
    <s v="268712"/>
    <s v="M/s BirendraNathSaha O Partner"/>
    <s v="9232761461"/>
  </r>
  <r>
    <s v="RCF Thal"/>
    <s v="N.C.Urea(45kg)"/>
    <s v="WB"/>
    <x v="13"/>
    <s v="Manikchak"/>
    <s v="User Not Mapped"/>
    <s v="User Not Mapped"/>
    <s v="User Not Mapped"/>
    <n v="475889"/>
    <s v="Md. Rafiqul Islam"/>
    <s v="Private Retailer"/>
    <s v="9641209433"/>
    <n v="4.7249999999999996"/>
    <n v="123"/>
    <x v="4"/>
    <m/>
    <s v="2025-12-18"/>
    <s v="268712"/>
    <s v="M/s BirendraNathSaha O Partner"/>
    <s v="9232761461"/>
  </r>
  <r>
    <s v="RCF Thal"/>
    <s v="N.C.Urea(45kg)"/>
    <s v="WB"/>
    <x v="13"/>
    <s v="Gazole"/>
    <s v="User Not Mapped"/>
    <s v="User Not Mapped"/>
    <s v="User Not Mapped"/>
    <n v="626930"/>
    <s v="MONDAL SAR BHANDAR"/>
    <s v="Private Retailer"/>
    <s v="9800962982"/>
    <n v="4.3650000000000002"/>
    <n v="129"/>
    <x v="4"/>
    <m/>
    <s v="2025-12-12"/>
    <s v="268712"/>
    <s v="M/s BirendraNathSaha O Partner"/>
    <s v="9232761461"/>
  </r>
  <r>
    <s v="RCF Thal"/>
    <s v="N.C.Urea(45kg)"/>
    <s v="WB"/>
    <x v="13"/>
    <s v="Gazole"/>
    <s v="User Not Mapped"/>
    <s v="User Not Mapped"/>
    <s v="User Not Mapped"/>
    <n v="1475407"/>
    <s v="PABITRA KUMAR MANDAL"/>
    <s v="Private Retailer"/>
    <s v="7001915828"/>
    <n v="10.89"/>
    <n v="42"/>
    <x v="3"/>
    <m/>
    <s v="2026-03-09"/>
    <s v="268712"/>
    <s v="M/s BirendraNathSaha O Partner"/>
    <s v="9232761461"/>
  </r>
  <r>
    <s v="RCF Thal"/>
    <s v="N.C.Urea(45kg)"/>
    <s v="WB"/>
    <x v="13"/>
    <s v="Gazole"/>
    <s v="User Not Mapped"/>
    <s v="User Not Mapped"/>
    <s v="User Not Mapped"/>
    <n v="1475407"/>
    <s v="PABITRA KUMAR MANDAL"/>
    <s v="Private Retailer"/>
    <s v="7001915828"/>
    <n v="5.94"/>
    <n v="65"/>
    <x v="6"/>
    <m/>
    <s v="2026-02-14"/>
    <s v="268712"/>
    <s v="M/s BirendraNathSaha O Partner"/>
    <s v="9232761461"/>
  </r>
  <r>
    <s v="RCF Thal"/>
    <s v="N.C.Urea(45kg)"/>
    <s v="WB"/>
    <x v="13"/>
    <s v="Bamangola"/>
    <s v="User Not Mapped"/>
    <s v="User Not Mapped"/>
    <s v="User Not Mapped"/>
    <n v="1300150"/>
    <s v="SABUJ SARBHANDAR"/>
    <s v="Private Retailer"/>
    <s v="9851545981"/>
    <n v="1.7549999999999999"/>
    <n v="501"/>
    <x v="0"/>
    <m/>
    <s v="2024-12-05"/>
    <s v="268712"/>
    <s v="M/s BirendraNathSaha O Partner"/>
    <s v="9232761461"/>
  </r>
  <r>
    <s v="RCF Thal"/>
    <s v="N.C.Urea(45kg)"/>
    <s v="WB"/>
    <x v="13"/>
    <s v="Harischandrapur - II"/>
    <s v="User Not Mapped"/>
    <s v="User Not Mapped"/>
    <s v="User Not Mapped"/>
    <n v="408710"/>
    <s v="Safiqul Alam"/>
    <s v="Private Retailer"/>
    <s v="9733261628"/>
    <n v="18.495000000000001"/>
    <n v="123"/>
    <x v="4"/>
    <m/>
    <s v="2025-12-18"/>
    <s v="268712"/>
    <s v="M/s BirendraNathSaha O Partner"/>
    <s v="9232761461"/>
  </r>
  <r>
    <s v="RCF Trombay"/>
    <s v="N.C.Urea(45kg)"/>
    <s v="WB"/>
    <x v="13"/>
    <s v="Ratua - II"/>
    <s v="User Not Mapped"/>
    <s v="User Not Mapped"/>
    <s v="User Not Mapped"/>
    <n v="595559"/>
    <s v="SAHA SAR BHANDAR"/>
    <s v="Private Retailer"/>
    <s v="9647205334"/>
    <n v="0.18"/>
    <n v="210"/>
    <x v="1"/>
    <m/>
    <s v="2025-09-22"/>
    <s v="268712"/>
    <s v="M/s BirendraNathSaha O Partner"/>
    <s v="9232761461"/>
  </r>
  <r>
    <s v="RCF Thal"/>
    <s v="N.C.Urea(45kg)"/>
    <s v="WB"/>
    <x v="13"/>
    <s v="Ratua - I"/>
    <s v="User Not Mapped"/>
    <s v="User Not Mapped"/>
    <s v="User Not Mapped"/>
    <n v="280708"/>
    <s v="Trilochan Mondal"/>
    <s v="Private Retailer"/>
    <s v="8250445054"/>
    <n v="6.5000000000000002E-2"/>
    <n v="91"/>
    <x v="7"/>
    <m/>
    <s v="2026-01-19"/>
    <s v="268712"/>
    <s v="M/s BirendraNathSaha O Partner"/>
    <s v="9232761461"/>
  </r>
  <r>
    <s v="RCF Thal"/>
    <s v="N.C.Urea(45kg)"/>
    <s v="WB"/>
    <x v="13"/>
    <s v="Chanchal - I"/>
    <s v="User Not Mapped"/>
    <s v="User Not Mapped"/>
    <s v="User Not Mapped"/>
    <n v="637921"/>
    <s v="ZAKIR HOSSAIN SAR BHANDAR"/>
    <s v="Private Retailer"/>
    <s v="9735933672"/>
    <n v="9.6750000000000007"/>
    <n v="122"/>
    <x v="4"/>
    <m/>
    <s v="2025-12-19"/>
    <s v="268712"/>
    <s v="M/s BirendraNathSaha O Partner"/>
    <s v="9232761461"/>
  </r>
  <r>
    <s v="RCF Trombay"/>
    <s v="N.C.Urea(45kg)"/>
    <s v="WB"/>
    <x v="13"/>
    <s v="Gazole"/>
    <s v="User Not Mapped"/>
    <s v="User Not Mapped"/>
    <s v="User Not Mapped"/>
    <n v="628503"/>
    <s v="A to Z SAR BHANDAR"/>
    <s v="Private Retailer"/>
    <s v="8967576601"/>
    <n v="5.7149999999999999"/>
    <n v="136"/>
    <x v="4"/>
    <m/>
    <s v="2025-12-05"/>
    <s v="269982"/>
    <s v="M/s Jatindra Nath Saha"/>
    <s v="7431922103"/>
  </r>
  <r>
    <s v="RCF Thal"/>
    <s v="N.C.Urea(45kg)"/>
    <s v="WB"/>
    <x v="13"/>
    <s v="Ratua - I"/>
    <s v="User Not Mapped"/>
    <s v="User Not Mapped"/>
    <s v="User Not Mapped"/>
    <n v="411776"/>
    <s v="Ajit Saha"/>
    <s v="Private Retailer"/>
    <s v="9734989817"/>
    <n v="0.9"/>
    <n v="525"/>
    <x v="0"/>
    <m/>
    <s v="2024-11-11"/>
    <s v="269982"/>
    <s v="M/s Jatindra Nath Saha"/>
    <s v="7431922103"/>
  </r>
  <r>
    <s v="RCF Trombay"/>
    <s v="N.C.Urea(45kg)"/>
    <s v="WB"/>
    <x v="13"/>
    <s v="Gazole"/>
    <s v="User Not Mapped"/>
    <s v="User Not Mapped"/>
    <s v="User Not Mapped"/>
    <n v="974624"/>
    <s v="ALINA SAR BHANDAR"/>
    <s v="Private Retailer"/>
    <s v="9002580610"/>
    <n v="10.845000000000001"/>
    <n v="136"/>
    <x v="4"/>
    <m/>
    <s v="2025-12-05"/>
    <s v="269982"/>
    <s v="M/s Jatindra Nath Saha"/>
    <s v="7431922103"/>
  </r>
  <r>
    <s v="RCF Trombay"/>
    <s v="N.C.Urea(45kg)"/>
    <s v="WB"/>
    <x v="13"/>
    <s v="Chanchal - I"/>
    <s v="User Not Mapped"/>
    <s v="User Not Mapped"/>
    <s v="User Not Mapped"/>
    <n v="989678"/>
    <s v="AZMIRA SAR BHANDAR "/>
    <s v="Private Retailer"/>
    <s v="8926731825"/>
    <n v="9.9450000000000003"/>
    <n v="136"/>
    <x v="4"/>
    <m/>
    <s v="2025-12-05"/>
    <s v="269982"/>
    <s v="M/s Jatindra Nath Saha"/>
    <s v="7431922103"/>
  </r>
  <r>
    <s v="RCF Trombay"/>
    <s v="N.C.Urea(45kg)"/>
    <s v="WB"/>
    <x v="13"/>
    <s v="Manikchak"/>
    <s v="User Not Mapped"/>
    <s v="User Not Mapped"/>
    <s v="User Not Mapped"/>
    <n v="1391477"/>
    <s v="BAJRANGBALI SAR BHANDAR"/>
    <s v="Private Retailer"/>
    <s v="6294636394"/>
    <n v="16.29"/>
    <n v="125"/>
    <x v="4"/>
    <m/>
    <s v="2025-12-16"/>
    <s v="269982"/>
    <s v="M/s Jatindra Nath Saha"/>
    <s v="7431922103"/>
  </r>
  <r>
    <s v="RCF Trombay"/>
    <s v="N.C.Urea(45kg)"/>
    <s v="WB"/>
    <x v="13"/>
    <s v="Ratua - II"/>
    <s v="User Not Mapped"/>
    <s v="User Not Mapped"/>
    <s v="User Not Mapped"/>
    <n v="874020"/>
    <s v="BARIK"/>
    <s v="Private Retailer"/>
    <s v="9735276139"/>
    <n v="5.31"/>
    <n v="137"/>
    <x v="4"/>
    <m/>
    <s v="2025-12-04"/>
    <s v="269982"/>
    <s v="M/s Jatindra Nath Saha"/>
    <s v="7431922103"/>
  </r>
  <r>
    <s v="RCF Thal"/>
    <s v="N.C.Urea(45kg)"/>
    <s v="WB"/>
    <x v="13"/>
    <s v="Gazole"/>
    <s v="User Not Mapped"/>
    <s v="User Not Mapped"/>
    <s v="User Not Mapped"/>
    <n v="328206"/>
    <s v="Biswanath Jha"/>
    <s v="Private Retailer"/>
    <s v="9475702597"/>
    <n v="2.16"/>
    <n v="221"/>
    <x v="1"/>
    <m/>
    <s v="2025-09-11"/>
    <s v="269982"/>
    <s v="M/s Jatindra Nath Saha"/>
    <s v="7431922103"/>
  </r>
  <r>
    <s v="RCF Thal"/>
    <s v="N.C.Urea(45kg)"/>
    <s v="WB"/>
    <x v="13"/>
    <s v="Gazole"/>
    <s v="User Not Mapped"/>
    <s v="User Not Mapped"/>
    <s v="User Not Mapped"/>
    <n v="288863"/>
    <s v="Dipak Sarkar"/>
    <s v="Private Retailer"/>
    <s v="9932366393"/>
    <n v="3.2850000000000001"/>
    <n v="129"/>
    <x v="4"/>
    <m/>
    <s v="2025-12-12"/>
    <s v="269982"/>
    <s v="M/s Jatindra Nath Saha"/>
    <s v="7431922103"/>
  </r>
  <r>
    <s v="RCF Thal"/>
    <s v="N.C.Urea(45kg)"/>
    <s v="WB"/>
    <x v="13"/>
    <s v="Harischandrapur - II"/>
    <s v="User Not Mapped"/>
    <s v="User Not Mapped"/>
    <s v="User Not Mapped"/>
    <n v="1002903"/>
    <s v="FERASAT ALI"/>
    <s v="Private Retailer"/>
    <s v="8436758243"/>
    <n v="11.025"/>
    <n v="61"/>
    <x v="6"/>
    <m/>
    <s v="2026-02-18"/>
    <s v="269982"/>
    <s v="M/s Jatindra Nath Saha"/>
    <s v="7431922103"/>
  </r>
  <r>
    <s v="RCF Thal"/>
    <s v="N.C.Urea(45kg)"/>
    <s v="WB"/>
    <x v="13"/>
    <s v="Habibpur"/>
    <s v="User Not Mapped"/>
    <s v="User Not Mapped"/>
    <s v="User Not Mapped"/>
    <n v="640307"/>
    <s v="GANESH SAR BHANDAR"/>
    <s v="Private Retailer"/>
    <s v="8172033713"/>
    <n v="0.81"/>
    <n v="40"/>
    <x v="3"/>
    <m/>
    <s v="2026-03-11"/>
    <s v="269982"/>
    <s v="M/s Jatindra Nath Saha"/>
    <s v="7431922103"/>
  </r>
  <r>
    <s v="RCF Import"/>
    <s v="Imp 10-26-26"/>
    <s v="WB"/>
    <x v="13"/>
    <s v="Gazole"/>
    <s v="User Not Mapped"/>
    <s v="User Not Mapped"/>
    <s v="User Not Mapped"/>
    <n v="1429126"/>
    <s v="HIRA FASAL RAKSA KRISHI GHAR"/>
    <s v="Private Retailer"/>
    <s v="7602901665"/>
    <n v="0.1"/>
    <n v="49"/>
    <x v="3"/>
    <m/>
    <s v="2026-03-02"/>
    <s v="269982"/>
    <s v="M/s Jatindra Nath Saha"/>
    <s v="7431922103"/>
  </r>
  <r>
    <s v="RCF Trombay"/>
    <s v="N.C.Urea(45kg)"/>
    <s v="WB"/>
    <x v="13"/>
    <s v="Kaliachak - I"/>
    <s v="User Not Mapped"/>
    <s v="User Not Mapped"/>
    <s v="User Not Mapped"/>
    <n v="541367"/>
    <s v="Iffdc-Kbsk Jalalpur"/>
    <s v="Private Retailer"/>
    <s v="9593440116"/>
    <n v="3.2850000000000001"/>
    <n v="124"/>
    <x v="4"/>
    <m/>
    <s v="2025-12-17"/>
    <s v="269982"/>
    <s v="M/s Jatindra Nath Saha"/>
    <s v="7431922103"/>
  </r>
  <r>
    <s v="RCF Thal"/>
    <s v="N.C.Urea(45kg)"/>
    <s v="WB"/>
    <x v="13"/>
    <s v="Gazole"/>
    <s v="User Not Mapped"/>
    <s v="User Not Mapped"/>
    <s v="User Not Mapped"/>
    <n v="630298"/>
    <s v="INDRAMOHAN SAHA SAR BHANDAR"/>
    <s v="Private Retailer"/>
    <s v="9933799234"/>
    <n v="7.0000000000000007E-2"/>
    <n v="147"/>
    <x v="4"/>
    <m/>
    <s v="2025-11-24"/>
    <s v="269982"/>
    <s v="M/s Jatindra Nath Saha"/>
    <s v="7431922103"/>
  </r>
  <r>
    <s v="RCF Thal"/>
    <s v="N.C.Urea(45kg)"/>
    <s v="WB"/>
    <x v="13"/>
    <s v="Bamangola"/>
    <s v="User Not Mapped"/>
    <s v="User Not Mapped"/>
    <s v="User Not Mapped"/>
    <n v="467193"/>
    <s v="Jagadish Sar Bhandar"/>
    <s v="Private Retailer"/>
    <s v="9733445498"/>
    <n v="2.2949999999999999"/>
    <n v="88"/>
    <x v="6"/>
    <m/>
    <s v="2026-01-22"/>
    <s v="269982"/>
    <s v="M/s Jatindra Nath Saha"/>
    <s v="7431922103"/>
  </r>
  <r>
    <s v="RCF Thal"/>
    <s v="N.C.Urea(45kg)"/>
    <s v="WB"/>
    <x v="13"/>
    <s v="Gazole"/>
    <s v="User Not Mapped"/>
    <s v="User Not Mapped"/>
    <s v="User Not Mapped"/>
    <n v="354637"/>
    <s v="Jaimasantoshiserbhandar"/>
    <s v="Private Retailer"/>
    <s v="9733329805"/>
    <n v="1.89"/>
    <n v="165"/>
    <x v="4"/>
    <m/>
    <s v="2025-11-06"/>
    <s v="269982"/>
    <s v="M/s Jatindra Nath Saha"/>
    <s v="7431922103"/>
  </r>
  <r>
    <s v="RCF Thal"/>
    <s v="N.C.Urea(45kg)"/>
    <s v="WB"/>
    <x v="13"/>
    <s v="Gazole"/>
    <s v="User Not Mapped"/>
    <s v="User Not Mapped"/>
    <s v="User Not Mapped"/>
    <n v="1515546"/>
    <s v="JOY GURU SAR BHANDAR"/>
    <s v="Private Retailer"/>
    <s v="9547321658"/>
    <n v="2.2949999999999999"/>
    <n v="129"/>
    <x v="4"/>
    <m/>
    <s v="2025-12-12"/>
    <s v="269982"/>
    <s v="M/s Jatindra Nath Saha"/>
    <s v="7431922103"/>
  </r>
  <r>
    <s v="RCF Trombay"/>
    <s v="15-15-15"/>
    <s v="WB"/>
    <x v="13"/>
    <s v="Bamangola"/>
    <s v="User Not Mapped"/>
    <s v="User Not Mapped"/>
    <s v="User Not Mapped"/>
    <n v="460651"/>
    <s v="Joyma Santosi Sar Bhandar"/>
    <s v="Private Retailer"/>
    <s v="9735994704"/>
    <n v="0.9"/>
    <n v="209"/>
    <x v="1"/>
    <m/>
    <s v="2025-09-23"/>
    <s v="269982"/>
    <s v="M/s Jatindra Nath Saha"/>
    <s v="7431922103"/>
  </r>
  <r>
    <s v="RCF Thal"/>
    <s v="N.C.Urea(45kg)"/>
    <s v="WB"/>
    <x v="13"/>
    <s v="Bamangola"/>
    <s v="User Not Mapped"/>
    <s v="User Not Mapped"/>
    <s v="User Not Mapped"/>
    <n v="460651"/>
    <s v="Joyma Santosi Sar Bhandar"/>
    <s v="Private Retailer"/>
    <s v="9735994704"/>
    <n v="1.125"/>
    <n v="88"/>
    <x v="6"/>
    <m/>
    <s v="2026-01-22"/>
    <s v="269982"/>
    <s v="M/s Jatindra Nath Saha"/>
    <s v="7431922103"/>
  </r>
  <r>
    <s v="RCF Thal"/>
    <s v="N.C.Urea(45kg)"/>
    <s v="WB"/>
    <x v="13"/>
    <s v="Kaliachak - I"/>
    <s v="User Not Mapped"/>
    <s v="User Not Mapped"/>
    <s v="User Not Mapped"/>
    <n v="387289"/>
    <s v="Kallol Kumar Saha"/>
    <s v="Private Retailer"/>
    <s v="9733080138"/>
    <n v="4.0000000000000001E-3"/>
    <n v="1804"/>
    <x v="2"/>
    <m/>
    <s v="2021-05-12"/>
    <s v="269982"/>
    <s v="M/s Jatindra Nath Saha"/>
    <s v="7431922103"/>
  </r>
  <r>
    <s v="RCF Thal"/>
    <s v="N.C.Urea(45kg)"/>
    <s v="WB"/>
    <x v="13"/>
    <s v="Chanchal - II"/>
    <s v="User Not Mapped"/>
    <s v="User Not Mapped"/>
    <s v="User Not Mapped"/>
    <n v="916058"/>
    <s v="M/S ABDUL AZIZ"/>
    <s v="Private Retailer"/>
    <s v="6294429282"/>
    <n v="2.9"/>
    <n v="147"/>
    <x v="4"/>
    <m/>
    <s v="2025-11-24"/>
    <s v="269982"/>
    <s v="M/s Jatindra Nath Saha"/>
    <s v="7431922103"/>
  </r>
  <r>
    <s v="RCF Thal"/>
    <s v="N.C.Urea(45kg)"/>
    <s v="WB"/>
    <x v="13"/>
    <s v="Chanchal - II"/>
    <s v="User Not Mapped"/>
    <s v="User Not Mapped"/>
    <s v="User Not Mapped"/>
    <n v="916058"/>
    <s v="M/S ABDUL AZIZ"/>
    <s v="Private Retailer"/>
    <s v="6294429282"/>
    <n v="5.625"/>
    <n v="61"/>
    <x v="6"/>
    <m/>
    <s v="2026-02-18"/>
    <s v="269982"/>
    <s v="M/s Jatindra Nath Saha"/>
    <s v="7431922103"/>
  </r>
  <r>
    <s v="RCF Thal"/>
    <s v="N.C.Urea(45kg)"/>
    <s v="WB"/>
    <x v="13"/>
    <s v="Harischandrapur - I"/>
    <s v="User Not Mapped"/>
    <s v="User Not Mapped"/>
    <s v="User Not Mapped"/>
    <n v="1324732"/>
    <s v="M/S BABLU SAHA"/>
    <s v="Private Retailer"/>
    <s v="9933019710"/>
    <n v="10.574999999999999"/>
    <n v="58"/>
    <x v="3"/>
    <m/>
    <s v="2026-02-21"/>
    <s v="269982"/>
    <s v="M/s Jatindra Nath Saha"/>
    <s v="7431922103"/>
  </r>
  <r>
    <s v="RCF Trombay"/>
    <s v="N.C.Urea(45kg)"/>
    <s v="WB"/>
    <x v="13"/>
    <s v="Gazole"/>
    <s v="User Not Mapped"/>
    <s v="User Not Mapped"/>
    <s v="User Not Mapped"/>
    <n v="1236315"/>
    <s v="M/S BISWANATH MAJUMDAR"/>
    <s v="Private Retailer"/>
    <s v="9593877940"/>
    <n v="4.5"/>
    <n v="189"/>
    <x v="1"/>
    <m/>
    <s v="2025-10-13"/>
    <s v="269982"/>
    <s v="M/s Jatindra Nath Saha"/>
    <s v="7431922103"/>
  </r>
  <r>
    <s v="RCF Thal"/>
    <s v="N.C.Urea(45kg)"/>
    <s v="WB"/>
    <x v="13"/>
    <s v="Gazole"/>
    <s v="User Not Mapped"/>
    <s v="User Not Mapped"/>
    <s v="User Not Mapped"/>
    <n v="953474"/>
    <s v="M/S BISWAS SAR BHANDAR"/>
    <s v="Private Retailer"/>
    <s v="7001007048"/>
    <n v="9.6750000000000007"/>
    <n v="88"/>
    <x v="6"/>
    <m/>
    <s v="2026-01-22"/>
    <s v="269982"/>
    <s v="M/s Jatindra Nath Saha"/>
    <s v="7431922103"/>
  </r>
  <r>
    <s v="RCF Thal"/>
    <s v="N.C.Urea(45kg)"/>
    <s v="WB"/>
    <x v="13"/>
    <s v="Manikchak"/>
    <s v="User Not Mapped"/>
    <s v="User Not Mapped"/>
    <s v="User Not Mapped"/>
    <n v="880226"/>
    <s v="M/S DEBASHREE FERTILISERS"/>
    <s v="Private Retailer"/>
    <s v="7797988044"/>
    <n v="9.5850000000000009"/>
    <n v="61"/>
    <x v="6"/>
    <m/>
    <s v="2026-02-18"/>
    <s v="269982"/>
    <s v="M/s Jatindra Nath Saha"/>
    <s v="7431922103"/>
  </r>
  <r>
    <s v="RCF Thal"/>
    <s v="N.C.Urea(45kg)"/>
    <s v="WB"/>
    <x v="13"/>
    <s v="English Bazar"/>
    <s v="User Not Mapped"/>
    <s v="User Not Mapped"/>
    <s v="User Not Mapped"/>
    <n v="624307"/>
    <s v="M/S DIPALI SAR BHANDER"/>
    <s v="Private Retailer"/>
    <s v="9434681497"/>
    <n v="12.15"/>
    <n v="61"/>
    <x v="6"/>
    <m/>
    <s v="2026-02-18"/>
    <s v="269982"/>
    <s v="M/s Jatindra Nath Saha"/>
    <s v="7431922103"/>
  </r>
  <r>
    <s v="RCF Thal"/>
    <s v="N.C.Urea(45kg)"/>
    <s v="WB"/>
    <x v="13"/>
    <s v="Habibpur"/>
    <s v="User Not Mapped"/>
    <s v="User Not Mapped"/>
    <s v="User Not Mapped"/>
    <n v="1388240"/>
    <s v="M/S DULAL FERTILIZER A PESTICI"/>
    <s v="Private Retailer"/>
    <s v="8145268207"/>
    <n v="6.9749999999999996"/>
    <n v="61"/>
    <x v="6"/>
    <m/>
    <s v="2026-02-18"/>
    <s v="269982"/>
    <s v="M/s Jatindra Nath Saha"/>
    <s v="7431922103"/>
  </r>
  <r>
    <s v="RCF Thal"/>
    <s v="N.C.Urea(45kg)"/>
    <s v="WB"/>
    <x v="13"/>
    <s v="Habibpur"/>
    <s v="User Not Mapped"/>
    <s v="User Not Mapped"/>
    <s v="User Not Mapped"/>
    <n v="1388240"/>
    <s v="M/S DULAL FERTILIZER A PESTICI"/>
    <s v="Private Retailer"/>
    <s v="8145268207"/>
    <n v="11.025"/>
    <n v="40"/>
    <x v="3"/>
    <m/>
    <s v="2026-03-11"/>
    <s v="269982"/>
    <s v="M/s Jatindra Nath Saha"/>
    <s v="7431922103"/>
  </r>
  <r>
    <s v="RCF Thal"/>
    <s v="N.C.Urea(45kg)"/>
    <s v="WB"/>
    <x v="13"/>
    <s v="Gazole"/>
    <s v="User Not Mapped"/>
    <s v="User Not Mapped"/>
    <s v="User Not Mapped"/>
    <n v="918972"/>
    <s v="M/S KRISHI BANDHU SARER DOKAN"/>
    <s v="Private Retailer"/>
    <s v="9064295446"/>
    <n v="22.05"/>
    <n v="39"/>
    <x v="3"/>
    <m/>
    <s v="2026-03-12"/>
    <s v="269982"/>
    <s v="M/s Jatindra Nath Saha"/>
    <s v="7431922103"/>
  </r>
  <r>
    <s v="RCF Thal"/>
    <s v="N.C.Urea(45kg)"/>
    <s v="WB"/>
    <x v="13"/>
    <s v="Kaliachak - I"/>
    <s v="User Not Mapped"/>
    <s v="User Not Mapped"/>
    <s v="User Not Mapped"/>
    <n v="1461407"/>
    <s v="M/S KRISHI GHAR"/>
    <s v="Private Retailer"/>
    <s v="9851359358"/>
    <n v="9.2249999999999996"/>
    <n v="61"/>
    <x v="6"/>
    <m/>
    <s v="2026-02-18"/>
    <s v="269982"/>
    <s v="M/s Jatindra Nath Saha"/>
    <s v="7431922103"/>
  </r>
  <r>
    <s v="RCF Thal"/>
    <s v="N.C.Urea(45kg)"/>
    <s v="WB"/>
    <x v="13"/>
    <s v="Manikchak"/>
    <s v="User Not Mapped"/>
    <s v="User Not Mapped"/>
    <s v="User Not Mapped"/>
    <n v="853438"/>
    <s v="M/S KRISHI SAR BHANDER"/>
    <s v="Private Retailer"/>
    <s v="7872312122"/>
    <n v="8.01"/>
    <n v="222"/>
    <x v="1"/>
    <m/>
    <s v="2025-09-10"/>
    <s v="269982"/>
    <s v="M/s Jatindra Nath Saha"/>
    <s v="7431922103"/>
  </r>
  <r>
    <s v="RCF Thal"/>
    <s v="N.C.Urea(45kg)"/>
    <s v="WB"/>
    <x v="13"/>
    <s v="Gazole"/>
    <s v="User Not Mapped"/>
    <s v="User Not Mapped"/>
    <s v="User Not Mapped"/>
    <n v="619132"/>
    <s v="M/S LASMON SAR BHANDAR"/>
    <s v="Private Retailer"/>
    <s v="9932979348"/>
    <n v="2.7450000000000001"/>
    <n v="129"/>
    <x v="4"/>
    <m/>
    <s v="2025-12-12"/>
    <s v="269982"/>
    <s v="M/s Jatindra Nath Saha"/>
    <s v="7431922103"/>
  </r>
  <r>
    <s v="RCF Trombay"/>
    <s v="N.C.Urea(45kg)"/>
    <s v="WB"/>
    <x v="13"/>
    <s v="Gazole"/>
    <s v="User Not Mapped"/>
    <s v="User Not Mapped"/>
    <s v="User Not Mapped"/>
    <n v="625223"/>
    <s v="M/S MAA KALI SAR BHANDAR"/>
    <s v="Private Retailer"/>
    <s v="9932752783"/>
    <n v="1.7549999999999999"/>
    <n v="136"/>
    <x v="4"/>
    <m/>
    <s v="2025-12-05"/>
    <s v="269982"/>
    <s v="M/s Jatindra Nath Saha"/>
    <s v="7431922103"/>
  </r>
  <r>
    <s v="RCF Thal"/>
    <s v="N.C.Urea(45kg)"/>
    <s v="WB"/>
    <x v="13"/>
    <s v="Kaliachak - III"/>
    <s v="User Not Mapped"/>
    <s v="User Not Mapped"/>
    <s v="User Not Mapped"/>
    <n v="983699"/>
    <s v="M/S MAMLAT SK"/>
    <s v="Private Retailer"/>
    <s v="9733165070"/>
    <n v="0.09"/>
    <n v="139"/>
    <x v="4"/>
    <m/>
    <s v="2025-12-02"/>
    <s v="269982"/>
    <s v="M/s Jatindra Nath Saha"/>
    <s v="7431922103"/>
  </r>
  <r>
    <s v="RCF Thal"/>
    <s v="N.C.Urea(45kg)"/>
    <s v="WB"/>
    <x v="13"/>
    <s v="Ratua - I"/>
    <s v="User Not Mapped"/>
    <s v="User Not Mapped"/>
    <s v="User Not Mapped"/>
    <n v="1429136"/>
    <s v="M/S MD ASHIQUE"/>
    <s v="Private Retailer"/>
    <s v="6294025140"/>
    <n v="4.9950000000000001"/>
    <n v="189"/>
    <x v="1"/>
    <m/>
    <s v="2025-10-13"/>
    <s v="269982"/>
    <s v="M/s Jatindra Nath Saha"/>
    <s v="7431922103"/>
  </r>
  <r>
    <s v="RCF Import"/>
    <s v="Imp 10-26-26"/>
    <s v="WB"/>
    <x v="13"/>
    <s v="Gazole"/>
    <s v="User Not Mapped"/>
    <s v="User Not Mapped"/>
    <s v="User Not Mapped"/>
    <n v="1475397"/>
    <s v="M/S MOJAHAR FERTILIZER"/>
    <s v="Private Retailer"/>
    <s v="8617084896"/>
    <n v="0.4"/>
    <n v="502"/>
    <x v="0"/>
    <m/>
    <s v="2024-12-04"/>
    <s v="269982"/>
    <s v="M/s Jatindra Nath Saha"/>
    <s v="7431922103"/>
  </r>
  <r>
    <s v="RCF Thal"/>
    <s v="N.C.Urea(45kg)"/>
    <s v="WB"/>
    <x v="13"/>
    <s v="Bamangola"/>
    <s v="User Not Mapped"/>
    <s v="User Not Mapped"/>
    <s v="User Not Mapped"/>
    <n v="1395548"/>
    <s v="M/S NUR SAR BHANDAR"/>
    <s v="Private Retailer"/>
    <s v="9732299002"/>
    <n v="1.125"/>
    <n v="88"/>
    <x v="6"/>
    <m/>
    <s v="2026-01-22"/>
    <s v="269982"/>
    <s v="M/s Jatindra Nath Saha"/>
    <s v="7431922103"/>
  </r>
  <r>
    <s v="RCF Import"/>
    <s v="Imp 10-26-26"/>
    <s v="WB"/>
    <x v="13"/>
    <s v="Gazole"/>
    <s v="User Not Mapped"/>
    <s v="User Not Mapped"/>
    <s v="User Not Mapped"/>
    <n v="288915"/>
    <s v="M/S RAJLAXMI SAR BHANDAR"/>
    <s v="Private Retailer"/>
    <s v="9434511160"/>
    <n v="3.75"/>
    <n v="70"/>
    <x v="6"/>
    <m/>
    <s v="2026-02-09"/>
    <s v="269982"/>
    <s v="M/s Jatindra Nath Saha"/>
    <s v="7431922103"/>
  </r>
  <r>
    <s v="RCF Trombay"/>
    <s v="N.C.Urea(45kg)"/>
    <s v="WB"/>
    <x v="13"/>
    <s v="Gazole"/>
    <s v="User Not Mapped"/>
    <s v="User Not Mapped"/>
    <s v="User Not Mapped"/>
    <n v="1524875"/>
    <s v="M/S RIPAN SARKAR"/>
    <s v="Private Retailer"/>
    <s v="7001382274"/>
    <n v="4.9050000000000002"/>
    <n v="165"/>
    <x v="4"/>
    <m/>
    <s v="2025-11-06"/>
    <s v="269982"/>
    <s v="M/s Jatindra Nath Saha"/>
    <s v="7431922103"/>
  </r>
  <r>
    <s v="RCF Thal"/>
    <s v="N.C.Urea(45kg)"/>
    <s v="WB"/>
    <x v="13"/>
    <s v="Kaliachak - III"/>
    <s v="User Not Mapped"/>
    <s v="User Not Mapped"/>
    <s v="User Not Mapped"/>
    <n v="1534820"/>
    <s v="M/S RUNA SAR BHANDER"/>
    <s v="Private Retailer"/>
    <s v="8327363169"/>
    <n v="11.025"/>
    <n v="61"/>
    <x v="6"/>
    <m/>
    <s v="2026-02-18"/>
    <s v="269982"/>
    <s v="M/s Jatindra Nath Saha"/>
    <s v="7431922103"/>
  </r>
  <r>
    <s v="RCF Thal"/>
    <s v="N.C.Urea(45kg)"/>
    <s v="WB"/>
    <x v="13"/>
    <s v="Gazole"/>
    <s v="User Not Mapped"/>
    <s v="User Not Mapped"/>
    <s v="User Not Mapped"/>
    <n v="288934"/>
    <s v="M/S Sabuj Krishi Sar Bhandra"/>
    <s v="Private Retailer"/>
    <s v="9732487462"/>
    <n v="5.5350000000000001"/>
    <n v="40"/>
    <x v="3"/>
    <m/>
    <s v="2026-03-11"/>
    <s v="269982"/>
    <s v="M/s Jatindra Nath Saha"/>
    <s v="7431922103"/>
  </r>
  <r>
    <s v="RCF Thal"/>
    <s v="N.C.Urea(45kg)"/>
    <s v="WB"/>
    <x v="13"/>
    <s v="Kaliachak - III"/>
    <s v="User Not Mapped"/>
    <s v="User Not Mapped"/>
    <s v="User Not Mapped"/>
    <n v="874562"/>
    <s v="M/S SAHA ENTERPRISE"/>
    <s v="Private Retailer"/>
    <s v="9732647093"/>
    <n v="12.6"/>
    <n v="129"/>
    <x v="4"/>
    <m/>
    <s v="2025-12-12"/>
    <s v="269982"/>
    <s v="M/s Jatindra Nath Saha"/>
    <s v="7431922103"/>
  </r>
  <r>
    <s v="RCF Thal"/>
    <s v="N.C.Urea(45kg)"/>
    <s v="WB"/>
    <x v="13"/>
    <s v="Kaliachak - III"/>
    <s v="User Not Mapped"/>
    <s v="User Not Mapped"/>
    <s v="User Not Mapped"/>
    <n v="1391465"/>
    <s v="M/S SAHIDUL ISLAM"/>
    <s v="Private Retailer"/>
    <s v="9647759260"/>
    <n v="21.24"/>
    <n v="254"/>
    <x v="1"/>
    <m/>
    <s v="2025-08-09"/>
    <s v="269982"/>
    <s v="M/s Jatindra Nath Saha"/>
    <s v="7431922103"/>
  </r>
  <r>
    <s v="RCF Thal"/>
    <s v="N.C.Urea(45kg)"/>
    <s v="WB"/>
    <x v="13"/>
    <s v="Ratua - II"/>
    <s v="User Not Mapped"/>
    <s v="User Not Mapped"/>
    <s v="User Not Mapped"/>
    <n v="1005132"/>
    <s v="M/S SAIFUJJAMAN"/>
    <s v="Private Retailer"/>
    <s v="9593334854"/>
    <n v="13.5"/>
    <n v="61"/>
    <x v="6"/>
    <m/>
    <s v="2026-02-18"/>
    <s v="269982"/>
    <s v="M/s Jatindra Nath Saha"/>
    <s v="7431922103"/>
  </r>
  <r>
    <s v="RCF Thal"/>
    <s v="N.C.Urea(45kg)"/>
    <s v="WB"/>
    <x v="13"/>
    <s v="Ratua - II"/>
    <s v="User Not Mapped"/>
    <s v="User Not Mapped"/>
    <s v="User Not Mapped"/>
    <n v="916062"/>
    <s v="M/S SAMAUN REJA"/>
    <s v="Private Retailer"/>
    <s v="8637572794"/>
    <n v="13.95"/>
    <n v="40"/>
    <x v="3"/>
    <m/>
    <s v="2026-03-11"/>
    <s v="269982"/>
    <s v="M/s Jatindra Nath Saha"/>
    <s v="7431922103"/>
  </r>
  <r>
    <s v="RCF Thal"/>
    <s v="N.C.Urea(45kg)"/>
    <s v="WB"/>
    <x v="13"/>
    <s v="Ratua - II"/>
    <s v="User Not Mapped"/>
    <s v="User Not Mapped"/>
    <s v="User Not Mapped"/>
    <n v="916062"/>
    <s v="M/S SAMAUN REJA"/>
    <s v="Private Retailer"/>
    <s v="8637572794"/>
    <n v="5.4"/>
    <n v="61"/>
    <x v="6"/>
    <m/>
    <s v="2026-02-18"/>
    <s v="269982"/>
    <s v="M/s Jatindra Nath Saha"/>
    <s v="7431922103"/>
  </r>
  <r>
    <s v="RCF Thal"/>
    <s v="N.C.Urea(45kg)"/>
    <s v="WB"/>
    <x v="13"/>
    <s v="Gazole"/>
    <s v="User Not Mapped"/>
    <s v="User Not Mapped"/>
    <s v="User Not Mapped"/>
    <n v="1534822"/>
    <s v="M/S SAMRAT MIA"/>
    <s v="Private Retailer"/>
    <s v="9609988875"/>
    <n v="3.8250000000000002"/>
    <n v="129"/>
    <x v="4"/>
    <m/>
    <s v="2025-12-12"/>
    <s v="269982"/>
    <s v="M/s Jatindra Nath Saha"/>
    <s v="7431922103"/>
  </r>
  <r>
    <s v="RCF Thal"/>
    <s v="N.C.Urea(45kg)"/>
    <s v="WB"/>
    <x v="13"/>
    <s v="Gazole"/>
    <s v="User Not Mapped"/>
    <s v="User Not Mapped"/>
    <s v="User Not Mapped"/>
    <n v="1268891"/>
    <s v="M/S SANGTA SAR BHANDAR"/>
    <s v="Private Retailer"/>
    <s v="9800734474"/>
    <n v="11.025"/>
    <n v="126"/>
    <x v="4"/>
    <m/>
    <s v="2025-12-15"/>
    <s v="269982"/>
    <s v="M/s Jatindra Nath Saha"/>
    <s v="7431922103"/>
  </r>
  <r>
    <s v="RCF Thal"/>
    <s v="N.C.Urea(45kg)"/>
    <s v="WB"/>
    <x v="13"/>
    <s v="Kaliachak - III"/>
    <s v="User Not Mapped"/>
    <s v="User Not Mapped"/>
    <s v="User Not Mapped"/>
    <n v="876106"/>
    <s v="M/S SHOVA KRISHI UNNAYANKENDRA"/>
    <s v="Private Retailer"/>
    <s v="9733296666"/>
    <n v="9.5850000000000009"/>
    <n v="61"/>
    <x v="6"/>
    <m/>
    <s v="2026-02-18"/>
    <s v="269982"/>
    <s v="M/s Jatindra Nath Saha"/>
    <s v="7431922103"/>
  </r>
  <r>
    <s v="RCF Thal"/>
    <s v="N.C.Urea(45kg)"/>
    <s v="WB"/>
    <x v="13"/>
    <s v="Gazole"/>
    <s v="User Not Mapped"/>
    <s v="User Not Mapped"/>
    <s v="User Not Mapped"/>
    <n v="496341"/>
    <s v="M/S Siraj Sar Bhandar"/>
    <s v="Private Retailer"/>
    <s v="9734135301"/>
    <n v="0.40500000000000003"/>
    <n v="256"/>
    <x v="1"/>
    <m/>
    <s v="2025-08-07"/>
    <s v="269982"/>
    <s v="M/s Jatindra Nath Saha"/>
    <s v="7431922103"/>
  </r>
  <r>
    <s v="RCF Thal"/>
    <s v="N.C.Urea(45kg)"/>
    <s v="WB"/>
    <x v="13"/>
    <s v="Manikchak"/>
    <s v="User Not Mapped"/>
    <s v="User Not Mapped"/>
    <s v="User Not Mapped"/>
    <n v="626036"/>
    <s v="M/S SUCHITRA SAR BHANDAR"/>
    <s v="Private Retailer"/>
    <s v="8670101611"/>
    <n v="13.5"/>
    <n v="70"/>
    <x v="6"/>
    <m/>
    <s v="2026-02-09"/>
    <s v="269982"/>
    <s v="M/s Jatindra Nath Saha"/>
    <s v="7431922103"/>
  </r>
  <r>
    <s v="RCF Trombay"/>
    <s v="N.C.Urea(45kg)"/>
    <s v="WB"/>
    <x v="13"/>
    <s v="Bamangola"/>
    <s v="User Not Mapped"/>
    <s v="User Not Mapped"/>
    <s v="User Not Mapped"/>
    <n v="461181"/>
    <s v="Maa Durga Sar Bhandar"/>
    <s v="Private Retailer"/>
    <s v="9593360814"/>
    <n v="5.22"/>
    <n v="165"/>
    <x v="4"/>
    <m/>
    <s v="2025-11-06"/>
    <s v="269982"/>
    <s v="M/s Jatindra Nath Saha"/>
    <s v="7431922103"/>
  </r>
  <r>
    <s v="RCF Thal"/>
    <s v="N.C.Urea(45kg)"/>
    <s v="WB"/>
    <x v="13"/>
    <s v="Gazole"/>
    <s v="User Not Mapped"/>
    <s v="User Not Mapped"/>
    <s v="User Not Mapped"/>
    <n v="354649"/>
    <s v="Maa Kali Krishi Bhandar"/>
    <s v="Private Retailer"/>
    <s v="7407813301"/>
    <n v="10.53"/>
    <n v="39"/>
    <x v="3"/>
    <m/>
    <s v="2026-03-12"/>
    <s v="269982"/>
    <s v="M/s Jatindra Nath Saha"/>
    <s v="7431922103"/>
  </r>
  <r>
    <s v="RCF Thal"/>
    <s v="N.C.Urea(45kg)"/>
    <s v="WB"/>
    <x v="13"/>
    <m/>
    <s v="User Not Mapped"/>
    <s v="User Not Mapped"/>
    <s v="User Not Mapped"/>
    <n v="496957"/>
    <s v="Maa Manasha Sar Bhandar"/>
    <s v="Private Retailer"/>
    <s v="6296271337"/>
    <n v="11.025"/>
    <n v="24"/>
    <x v="5"/>
    <m/>
    <s v="2026-03-27"/>
    <s v="269982"/>
    <s v="M/s Jatindra Nath Saha"/>
    <s v="7431922103"/>
  </r>
  <r>
    <s v="RCF Trombay"/>
    <s v="15-15-15"/>
    <s v="WB"/>
    <x v="13"/>
    <s v="Habibpur"/>
    <s v="User Not Mapped"/>
    <s v="User Not Mapped"/>
    <s v="User Not Mapped"/>
    <n v="331464"/>
    <s v="Manoka Sar Bhandar"/>
    <s v="Private Retailer"/>
    <s v="9932292971"/>
    <n v="10.5"/>
    <n v="126"/>
    <x v="4"/>
    <m/>
    <s v="2025-12-15"/>
    <s v="269982"/>
    <s v="M/s Jatindra Nath Saha"/>
    <s v="7431922103"/>
  </r>
  <r>
    <s v="RCF Thal"/>
    <s v="N.C.Urea(45kg)"/>
    <s v="WB"/>
    <x v="13"/>
    <s v="Habibpur"/>
    <s v="User Not Mapped"/>
    <s v="User Not Mapped"/>
    <s v="User Not Mapped"/>
    <n v="331464"/>
    <s v="Manoka Sar Bhandar"/>
    <s v="Private Retailer"/>
    <s v="9932292971"/>
    <n v="4.32"/>
    <n v="40"/>
    <x v="3"/>
    <m/>
    <s v="2026-03-11"/>
    <s v="269982"/>
    <s v="M/s Jatindra Nath Saha"/>
    <s v="7431922103"/>
  </r>
  <r>
    <s v="RCF Thal"/>
    <s v="N.C.Urea(45kg)"/>
    <s v="WB"/>
    <x v="13"/>
    <s v="Chanchal - II"/>
    <s v="User Not Mapped"/>
    <s v="User Not Mapped"/>
    <s v="User Not Mapped"/>
    <n v="917264"/>
    <s v="MASREKUL ALAM"/>
    <s v="Private Retailer"/>
    <s v="8371813561"/>
    <n v="0.09"/>
    <n v="380"/>
    <x v="0"/>
    <m/>
    <s v="2025-04-05"/>
    <s v="269982"/>
    <s v="M/s Jatindra Nath Saha"/>
    <s v="7431922103"/>
  </r>
  <r>
    <s v="RCF Thal"/>
    <s v="N.C.Urea(45kg)"/>
    <s v="WB"/>
    <x v="13"/>
    <s v="Ratua - I"/>
    <s v="User Not Mapped"/>
    <s v="User Not Mapped"/>
    <s v="User Not Mapped"/>
    <n v="1461431"/>
    <s v="MD JALALUDDIN"/>
    <s v="Private Retailer"/>
    <s v="9064717981"/>
    <n v="16.155000000000001"/>
    <n v="222"/>
    <x v="1"/>
    <m/>
    <s v="2025-09-10"/>
    <s v="269982"/>
    <s v="M/s Jatindra Nath Saha"/>
    <s v="7431922103"/>
  </r>
  <r>
    <s v="RCF Trombay"/>
    <s v="N.C.Urea(45kg)"/>
    <s v="WB"/>
    <x v="13"/>
    <s v="Ratua - II"/>
    <s v="User Not Mapped"/>
    <s v="User Not Mapped"/>
    <s v="User Not Mapped"/>
    <n v="288896"/>
    <s v="Md. Emadur Rahaman"/>
    <s v="Private Retailer"/>
    <s v="9434120053"/>
    <n v="1.2150000000000001"/>
    <n v="559"/>
    <x v="2"/>
    <m/>
    <s v="2024-10-08"/>
    <s v="269982"/>
    <s v="M/s Jatindra Nath Saha"/>
    <s v="7431922103"/>
  </r>
  <r>
    <s v="RCF Trombay"/>
    <s v="N.C.Urea(45kg)"/>
    <s v="WB"/>
    <x v="13"/>
    <s v="Ratua - II"/>
    <s v="User Not Mapped"/>
    <s v="User Not Mapped"/>
    <s v="User Not Mapped"/>
    <n v="888301"/>
    <s v="MD. NAJMUL HOQUE"/>
    <s v="Private Retailer"/>
    <s v="9932788332"/>
    <n v="11.025"/>
    <n v="226"/>
    <x v="1"/>
    <m/>
    <s v="2025-09-06"/>
    <s v="269982"/>
    <s v="M/s Jatindra Nath Saha"/>
    <s v="7431922103"/>
  </r>
  <r>
    <s v="RCF Thal"/>
    <s v="N.C.Urea(45kg)"/>
    <s v="WB"/>
    <x v="13"/>
    <s v="Chanchal - II"/>
    <s v="User Not Mapped"/>
    <s v="User Not Mapped"/>
    <s v="User Not Mapped"/>
    <n v="307700"/>
    <s v="Md. Niamataulah"/>
    <s v="Private Retailer"/>
    <s v="9775968084"/>
    <n v="11.025"/>
    <n v="61"/>
    <x v="6"/>
    <m/>
    <s v="2026-02-18"/>
    <s v="269982"/>
    <s v="M/s Jatindra Nath Saha"/>
    <s v="7431922103"/>
  </r>
  <r>
    <s v="RCF Thal"/>
    <s v="N.C.Urea(45kg)"/>
    <s v="WB"/>
    <x v="13"/>
    <s v="Chanchal - II"/>
    <s v="User Not Mapped"/>
    <s v="User Not Mapped"/>
    <s v="User Not Mapped"/>
    <n v="307700"/>
    <s v="Md. Niamataulah"/>
    <s v="Private Retailer"/>
    <s v="9775968084"/>
    <n v="6.39"/>
    <n v="147"/>
    <x v="4"/>
    <m/>
    <s v="2025-11-24"/>
    <s v="269982"/>
    <s v="M/s Jatindra Nath Saha"/>
    <s v="7431922103"/>
  </r>
  <r>
    <s v="RCF Trombay"/>
    <s v="N.C.Urea(45kg)"/>
    <s v="WB"/>
    <x v="13"/>
    <s v="Chanchal - II"/>
    <s v="User Not Mapped"/>
    <s v="User Not Mapped"/>
    <s v="User Not Mapped"/>
    <n v="307700"/>
    <s v="Md. Niamataulah"/>
    <s v="Private Retailer"/>
    <s v="9775968084"/>
    <n v="9.2249999999999996"/>
    <n v="136"/>
    <x v="4"/>
    <m/>
    <s v="2025-12-05"/>
    <s v="269982"/>
    <s v="M/s Jatindra Nath Saha"/>
    <s v="7431922103"/>
  </r>
  <r>
    <s v="RCF Thal"/>
    <s v="N.C.Urea(45kg)"/>
    <s v="WB"/>
    <x v="13"/>
    <s v="Ratua - I"/>
    <s v="User Not Mapped"/>
    <s v="User Not Mapped"/>
    <s v="User Not Mapped"/>
    <n v="873980"/>
    <s v="MD.BORHAN ALI"/>
    <s v="Private Retailer"/>
    <s v="9733220533"/>
    <n v="3.6"/>
    <n v="61"/>
    <x v="6"/>
    <m/>
    <s v="2026-02-18"/>
    <s v="269982"/>
    <s v="M/s Jatindra Nath Saha"/>
    <s v="7431922103"/>
  </r>
  <r>
    <s v="RCF Thal"/>
    <s v="N.C.Urea(45kg)"/>
    <s v="WB"/>
    <x v="13"/>
    <s v="Bamangola"/>
    <s v="User Not Mapped"/>
    <s v="User Not Mapped"/>
    <s v="User Not Mapped"/>
    <n v="655513"/>
    <s v="MILAN DEV FERTILISERS"/>
    <s v="Private Retailer"/>
    <s v="9564989902"/>
    <n v="0.63"/>
    <n v="88"/>
    <x v="6"/>
    <m/>
    <s v="2026-01-22"/>
    <s v="269982"/>
    <s v="M/s Jatindra Nath Saha"/>
    <s v="7431922103"/>
  </r>
  <r>
    <s v="RCF Thal"/>
    <s v="N.C.Urea(45kg)"/>
    <s v="WB"/>
    <x v="13"/>
    <s v="Gazole"/>
    <s v="User Not Mapped"/>
    <s v="User Not Mapped"/>
    <s v="User Not Mapped"/>
    <n v="1300152"/>
    <s v="MS AROHI SAR BHANDAR"/>
    <s v="Private Retailer"/>
    <s v="9800679406"/>
    <n v="11.025"/>
    <n v="40"/>
    <x v="3"/>
    <m/>
    <s v="2026-03-11"/>
    <s v="269982"/>
    <s v="M/s Jatindra Nath Saha"/>
    <s v="7431922103"/>
  </r>
  <r>
    <s v="RCF Thal"/>
    <s v="N.C.Urea(45kg)"/>
    <s v="WB"/>
    <x v="13"/>
    <s v="Gazole"/>
    <s v="User Not Mapped"/>
    <s v="User Not Mapped"/>
    <s v="User Not Mapped"/>
    <n v="1316664"/>
    <s v="MS HABIL MAHAMMAD"/>
    <s v="Private Retailer"/>
    <s v="8383850633"/>
    <n v="5.49"/>
    <n v="40"/>
    <x v="3"/>
    <m/>
    <s v="2026-03-11"/>
    <s v="269982"/>
    <s v="M/s Jatindra Nath Saha"/>
    <s v="7431922103"/>
  </r>
  <r>
    <s v="RCF Thal"/>
    <s v="N.C.Urea(45kg)"/>
    <s v="WB"/>
    <x v="13"/>
    <s v="Gazole"/>
    <s v="User Not Mapped"/>
    <s v="User Not Mapped"/>
    <s v="User Not Mapped"/>
    <n v="1300154"/>
    <s v="MS HIMANGSHU KUMAR SAHA"/>
    <s v="Private Retailer"/>
    <s v="9932070100"/>
    <n v="4.9050000000000002"/>
    <n v="82"/>
    <x v="6"/>
    <m/>
    <s v="2026-01-28"/>
    <s v="269982"/>
    <s v="M/s Jatindra Nath Saha"/>
    <s v="7431922103"/>
  </r>
  <r>
    <s v="RCF Thal"/>
    <s v="N.C.Urea(45kg)"/>
    <s v="WB"/>
    <x v="13"/>
    <m/>
    <s v="User Not Mapped"/>
    <s v="User Not Mapped"/>
    <s v="User Not Mapped"/>
    <n v="1573271"/>
    <s v="NIVRITY BEEJ BHANDAR"/>
    <s v="Private Retailer"/>
    <s v="9614120703"/>
    <n v="7.7850000000000001"/>
    <n v="39"/>
    <x v="3"/>
    <m/>
    <s v="2026-03-12"/>
    <s v="269982"/>
    <s v="M/s Jatindra Nath Saha"/>
    <s v="7431922103"/>
  </r>
  <r>
    <s v="RCF Thal"/>
    <s v="N.C.Urea(45kg)"/>
    <s v="WB"/>
    <x v="13"/>
    <s v="Gazole"/>
    <s v="User Not Mapped"/>
    <s v="User Not Mapped"/>
    <s v="User Not Mapped"/>
    <n v="919969"/>
    <s v="PALLABY FERTILIZER SHOP"/>
    <s v="Private Retailer"/>
    <s v="8670763380"/>
    <n v="2.9249999999999998"/>
    <n v="82"/>
    <x v="6"/>
    <m/>
    <s v="2026-01-28"/>
    <s v="269982"/>
    <s v="M/s Jatindra Nath Saha"/>
    <s v="7431922103"/>
  </r>
  <r>
    <s v="RCF Thal"/>
    <s v="N.C.Urea(45kg)"/>
    <s v="WB"/>
    <x v="13"/>
    <s v="Kaliachak - III"/>
    <s v="User Not Mapped"/>
    <s v="User Not Mapped"/>
    <s v="User Not Mapped"/>
    <n v="411826"/>
    <s v="Sahida Sar Kendra"/>
    <s v="Private Retailer"/>
    <s v="9734989585"/>
    <n v="0.13500000000000001"/>
    <n v="2293"/>
    <x v="2"/>
    <m/>
    <s v="2020-01-09"/>
    <s v="269982"/>
    <s v="M/s Jatindra Nath Saha"/>
    <s v="7431922103"/>
  </r>
  <r>
    <s v="RCF Thal"/>
    <s v="N.C.Urea(45kg)"/>
    <s v="WB"/>
    <x v="13"/>
    <s v="Gazole"/>
    <s v="User Not Mapped"/>
    <s v="User Not Mapped"/>
    <s v="User Not Mapped"/>
    <n v="1622396"/>
    <s v="SARKAR SAR BHANDAR"/>
    <s v="Private Retailer"/>
    <s v="7001992187"/>
    <n v="3.42"/>
    <n v="129"/>
    <x v="4"/>
    <m/>
    <s v="2025-12-12"/>
    <s v="269982"/>
    <s v="M/s Jatindra Nath Saha"/>
    <s v="7431922103"/>
  </r>
  <r>
    <s v="RCF Thal"/>
    <s v="N.C.Urea(45kg)"/>
    <s v="WB"/>
    <x v="13"/>
    <s v="Harischandrapur - II"/>
    <s v="User Not Mapped"/>
    <s v="User Not Mapped"/>
    <s v="User Not Mapped"/>
    <n v="1461437"/>
    <s v="SK NAJIM FERTILIZER"/>
    <s v="Private Retailer"/>
    <s v="9733084192"/>
    <n v="0.99"/>
    <n v="61"/>
    <x v="6"/>
    <m/>
    <s v="2026-02-18"/>
    <s v="269982"/>
    <s v="M/s Jatindra Nath Saha"/>
    <s v="7431922103"/>
  </r>
  <r>
    <s v="RCF Thal"/>
    <s v="N.C.Urea(45kg)"/>
    <s v="WB"/>
    <x v="13"/>
    <s v="Harischandrapur - I"/>
    <s v="User Not Mapped"/>
    <s v="User Not Mapped"/>
    <s v="User Not Mapped"/>
    <n v="1005965"/>
    <s v="SK. MAHEDUL ISLAM"/>
    <s v="Private Retailer"/>
    <s v="8116512969"/>
    <n v="11.025"/>
    <n v="40"/>
    <x v="3"/>
    <m/>
    <s v="2026-03-11"/>
    <s v="269982"/>
    <s v="M/s Jatindra Nath Saha"/>
    <s v="7431922103"/>
  </r>
  <r>
    <s v="RCF Thal"/>
    <s v="N.C.Urea(45kg)"/>
    <s v="WB"/>
    <x v="13"/>
    <s v="Kaliachak - II"/>
    <s v="User Not Mapped"/>
    <s v="User Not Mapped"/>
    <s v="User Not Mapped"/>
    <n v="1226637"/>
    <s v="SOHAN FERTILISER"/>
    <s v="Private Retailer"/>
    <s v="8101819526"/>
    <n v="5.4"/>
    <n v="58"/>
    <x v="3"/>
    <m/>
    <s v="2026-02-21"/>
    <s v="269982"/>
    <s v="M/s Jatindra Nath Saha"/>
    <s v="7431922103"/>
  </r>
  <r>
    <s v="RCF Thal"/>
    <s v="N.C.Urea(45kg)"/>
    <s v="WB"/>
    <x v="13"/>
    <s v="Harischandrapur - I"/>
    <s v="User Not Mapped"/>
    <s v="User Not Mapped"/>
    <s v="User Not Mapped"/>
    <n v="892231"/>
    <s v="SUKRA SAHA"/>
    <s v="Private Retailer"/>
    <s v="9907051987"/>
    <n v="18.63"/>
    <n v="146"/>
    <x v="4"/>
    <m/>
    <s v="2025-11-25"/>
    <s v="269982"/>
    <s v="M/s Jatindra Nath Saha"/>
    <s v="7431922103"/>
  </r>
  <r>
    <s v="RCF Thal"/>
    <s v="N.C.Urea(45kg)"/>
    <s v="WB"/>
    <x v="13"/>
    <s v="Chanchal - II"/>
    <s v="User Not Mapped"/>
    <s v="User Not Mapped"/>
    <s v="User Not Mapped"/>
    <n v="888151"/>
    <s v="SWAPAN YADAB"/>
    <s v="Private Retailer"/>
    <s v="7679733246"/>
    <n v="0.40500000000000003"/>
    <n v="403"/>
    <x v="0"/>
    <m/>
    <s v="2025-03-13"/>
    <s v="269982"/>
    <s v="M/s Jatindra Nath Saha"/>
    <s v="7431922103"/>
  </r>
  <r>
    <s v="RCF Trombay"/>
    <s v="15-15-15"/>
    <s v="WB"/>
    <x v="13"/>
    <m/>
    <s v="User Not Mapped"/>
    <s v="User Not Mapped"/>
    <s v="User Not Mapped"/>
    <n v="461380"/>
    <s v="Taj Enterprise"/>
    <s v="Private Retailer"/>
    <s v="9434371721"/>
    <n v="2"/>
    <n v="1298"/>
    <x v="2"/>
    <m/>
    <s v="2022-09-30"/>
    <s v="269982"/>
    <s v="M/s Jatindra Nath Saha"/>
    <s v="7431922103"/>
  </r>
  <r>
    <s v="RCF Import"/>
    <s v="MOP"/>
    <s v="WB"/>
    <x v="13"/>
    <s v="Gazole"/>
    <s v="User Not Mapped"/>
    <s v="User Not Mapped"/>
    <s v="User Not Mapped"/>
    <n v="1534902"/>
    <s v="CHANDAN SARKAR"/>
    <s v="Private Retailer"/>
    <s v="9733447990"/>
    <n v="0.3"/>
    <n v="496"/>
    <x v="0"/>
    <m/>
    <s v="2024-12-10"/>
    <s v="1259524"/>
    <s v="M/S KRISHI GHAR"/>
    <s v="9064113554"/>
  </r>
  <r>
    <s v="RCF Trombay"/>
    <s v="N.C.Urea(45kg)"/>
    <s v="WB"/>
    <x v="13"/>
    <m/>
    <s v="User Not Mapped"/>
    <s v="User Not Mapped"/>
    <s v="User Not Mapped"/>
    <n v="634873"/>
    <s v="M/S FURSHED ALI"/>
    <s v="Private Retailer"/>
    <s v="9733193188"/>
    <n v="9.4949999999999992"/>
    <n v="1451"/>
    <x v="2"/>
    <m/>
    <s v="2022-04-30"/>
    <s v="1259524"/>
    <s v="M/S KRISHI GHAR"/>
    <s v="9064113554"/>
  </r>
  <r>
    <s v="RCF Trombay"/>
    <s v="N.C.Urea(45kg)"/>
    <s v="WB"/>
    <x v="13"/>
    <s v="Harischandrapur - II"/>
    <s v="User Not Mapped"/>
    <s v="User Not Mapped"/>
    <s v="User Not Mapped"/>
    <n v="641501"/>
    <s v="M/S IMAMUDDIN"/>
    <s v="Private Retailer"/>
    <s v="8372930692"/>
    <n v="2.52"/>
    <n v="888"/>
    <x v="2"/>
    <m/>
    <s v="2023-11-14"/>
    <s v="1259524"/>
    <s v="M/S KRISHI GHAR"/>
    <s v="9064113554"/>
  </r>
  <r>
    <s v="RCF Trombay"/>
    <s v="N.C.Urea(45kg)"/>
    <s v="WB"/>
    <x v="13"/>
    <s v="Gazole"/>
    <s v="User Not Mapped"/>
    <s v="User Not Mapped"/>
    <s v="User Not Mapped"/>
    <n v="1475397"/>
    <s v="M/S MOJAHAR FERTILIZER"/>
    <s v="Private Retailer"/>
    <s v="8617084896"/>
    <n v="6.66"/>
    <n v="195"/>
    <x v="1"/>
    <m/>
    <s v="2025-10-07"/>
    <s v="1259524"/>
    <s v="M/S KRISHI GHAR"/>
    <s v="9064113554"/>
  </r>
  <r>
    <s v="RCF Import"/>
    <s v="Imp 10-26-26"/>
    <s v="WB"/>
    <x v="13"/>
    <s v="Gazole"/>
    <s v="User Not Mapped"/>
    <s v="User Not Mapped"/>
    <s v="User Not Mapped"/>
    <n v="288934"/>
    <s v="M/S Sabuj Krishi Sar Bhandra"/>
    <s v="Private Retailer"/>
    <s v="9732487462"/>
    <n v="11"/>
    <n v="45"/>
    <x v="3"/>
    <m/>
    <s v="2026-03-06"/>
    <s v="1259524"/>
    <s v="M/S KRISHI GHAR"/>
    <s v="9064113554"/>
  </r>
  <r>
    <s v="RCF Thal"/>
    <s v="N.C.Urea(45kg)"/>
    <s v="WB"/>
    <x v="13"/>
    <s v="Gazole"/>
    <s v="User Not Mapped"/>
    <s v="User Not Mapped"/>
    <s v="User Not Mapped"/>
    <n v="626092"/>
    <s v="M/S SANJOY SARKAR"/>
    <s v="Private Retailer"/>
    <s v="9851424013"/>
    <n v="4.95"/>
    <n v="154"/>
    <x v="4"/>
    <m/>
    <s v="2025-11-17"/>
    <s v="1259524"/>
    <s v="M/S KRISHI GHAR"/>
    <s v="9064113554"/>
  </r>
  <r>
    <s v="RCF Trombay"/>
    <s v="N.C.Urea(45kg)"/>
    <s v="WB"/>
    <x v="13"/>
    <s v="Gazole"/>
    <s v="User Not Mapped"/>
    <s v="User Not Mapped"/>
    <s v="User Not Mapped"/>
    <n v="626092"/>
    <s v="M/S SANJOY SARKAR"/>
    <s v="Private Retailer"/>
    <s v="9851424013"/>
    <n v="4.7249999999999996"/>
    <n v="154"/>
    <x v="4"/>
    <m/>
    <s v="2025-11-17"/>
    <s v="1259524"/>
    <s v="M/S KRISHI GHAR"/>
    <s v="9064113554"/>
  </r>
  <r>
    <s v="RCF Trombay"/>
    <s v="15-15-15"/>
    <s v="WB"/>
    <x v="13"/>
    <s v="Gazole"/>
    <s v="User Not Mapped"/>
    <s v="User Not Mapped"/>
    <s v="User Not Mapped"/>
    <n v="288893"/>
    <s v="Mandal Sar Bhandar"/>
    <s v="Private Retailer"/>
    <s v="9733174782"/>
    <n v="0.85"/>
    <n v="139"/>
    <x v="4"/>
    <m/>
    <s v="2025-12-02"/>
    <s v="652957"/>
    <s v="M/S MAITRA FERTILIZER"/>
    <s v="7908844177"/>
  </r>
  <r>
    <s v="RCF Trombay"/>
    <s v="15-15-15"/>
    <s v="WB"/>
    <x v="13"/>
    <s v="Kaliachak - III"/>
    <s v="User Not Mapped"/>
    <s v="User Not Mapped"/>
    <s v="User Not Mapped"/>
    <n v="876106"/>
    <s v="M/S SHOVA KRISHI UNNAYANKENDRA"/>
    <s v="Private Retailer"/>
    <s v="9733296666"/>
    <n v="10.25"/>
    <n v="80"/>
    <x v="6"/>
    <m/>
    <s v="2026-01-30"/>
    <s v="1245434"/>
    <s v="M/S MD ABU AZAM "/>
    <s v="8001343778"/>
  </r>
  <r>
    <s v="RCF Thal"/>
    <s v="N.C.Urea(45kg)"/>
    <s v="WB"/>
    <x v="13"/>
    <s v="Kaliachak - II"/>
    <s v="User Not Mapped"/>
    <s v="User Not Mapped"/>
    <s v="User Not Mapped"/>
    <n v="839834"/>
    <s v="RICHA SAR BHANDAR"/>
    <s v="Private Retailer"/>
    <s v="8145880721"/>
    <n v="0.315"/>
    <n v="1161"/>
    <x v="2"/>
    <m/>
    <s v="2023-02-14"/>
    <s v="1245434"/>
    <s v="M/S MD ABU AZAM "/>
    <s v="8001343778"/>
  </r>
  <r>
    <s v="RCF Thal"/>
    <s v="N.C.Urea(45kg)"/>
    <s v="WB"/>
    <x v="13"/>
    <m/>
    <s v="User Not Mapped"/>
    <s v="User Not Mapped"/>
    <s v="User Not Mapped"/>
    <n v="988244"/>
    <s v="M/S HASANUZAMMAN SAR BHANDER"/>
    <s v="Private Retailer"/>
    <s v="9735926746"/>
    <n v="0.58499999999999996"/>
    <n v="1594"/>
    <x v="2"/>
    <m/>
    <s v="2021-12-08"/>
    <s v="739727"/>
    <s v="M/S MD SABIR ALI"/>
    <s v="8617066067"/>
  </r>
  <r>
    <s v="RCF Thal"/>
    <s v="N.C.Urea(45kg)"/>
    <s v="WB"/>
    <x v="13"/>
    <s v="Kaliachak - II"/>
    <s v="User Not Mapped"/>
    <s v="User Not Mapped"/>
    <s v="User Not Mapped"/>
    <n v="1037481"/>
    <s v="SAFIQUL ISLAM"/>
    <s v="Private Retailer"/>
    <s v="9775450876"/>
    <n v="1.65"/>
    <n v="1843"/>
    <x v="2"/>
    <m/>
    <s v="2021-04-03"/>
    <s v="739727"/>
    <s v="M/S MD SABIR ALI"/>
    <s v="8617066067"/>
  </r>
  <r>
    <s v="RCF Trombay"/>
    <s v="15-15-15"/>
    <s v="WB"/>
    <x v="13"/>
    <s v="Bamangola"/>
    <s v="User Not Mapped"/>
    <s v="User Not Mapped"/>
    <s v="User Not Mapped"/>
    <n v="1005246"/>
    <s v="M/S HARIPADA SARKAR"/>
    <s v="Private Retailer"/>
    <s v="9593797269"/>
    <n v="1"/>
    <n v="187"/>
    <x v="1"/>
    <m/>
    <s v="2025-10-15"/>
    <s v="1268897"/>
    <s v="M/S NEPAL MAHATO"/>
    <s v="9933020708"/>
  </r>
  <r>
    <s v="RCF Trombay"/>
    <s v="15-15-15"/>
    <s v="WB"/>
    <x v="13"/>
    <s v="Bamangola"/>
    <s v="User Not Mapped"/>
    <s v="User Not Mapped"/>
    <s v="User Not Mapped"/>
    <n v="331762"/>
    <s v="Narayani Krishi Bhandar"/>
    <s v="Private Retailer"/>
    <s v="9733205004"/>
    <n v="5"/>
    <n v="130"/>
    <x v="4"/>
    <m/>
    <s v="2025-12-11"/>
    <s v="1268897"/>
    <s v="M/S NEPAL MAHATO"/>
    <s v="9933020708"/>
  </r>
  <r>
    <s v="RCF Trombay"/>
    <s v="15-15-15"/>
    <s v="WB"/>
    <x v="13"/>
    <s v="Chanchal - I"/>
    <s v="User Not Mapped"/>
    <s v="User Not Mapped"/>
    <s v="User Not Mapped"/>
    <n v="639391"/>
    <s v="ALI KRISHI GHAR"/>
    <s v="Private Retailer"/>
    <s v="7431823739"/>
    <n v="4.6500000000000004"/>
    <n v="1213"/>
    <x v="2"/>
    <m/>
    <s v="2022-12-24"/>
    <s v="741258"/>
    <s v="M/S SAHA FERTILIZER"/>
    <s v="8101653961"/>
  </r>
  <r>
    <s v="RCF Thal"/>
    <s v="N.C.Urea(45kg)"/>
    <s v="WB"/>
    <x v="13"/>
    <m/>
    <s v="User Not Mapped"/>
    <s v="User Not Mapped"/>
    <s v="User Not Mapped"/>
    <n v="354606"/>
    <s v="Ar Sara Bhandar"/>
    <s v="Private Retailer"/>
    <s v="9564772558"/>
    <n v="19.260000000000002"/>
    <n v="2433"/>
    <x v="2"/>
    <m/>
    <s v="2019-08-22"/>
    <s v="741258"/>
    <s v="M/S SAHA FERTILIZER"/>
    <s v="8101653961"/>
  </r>
  <r>
    <s v="RCF Import"/>
    <s v="Imp 10-26-26"/>
    <s v="WB"/>
    <x v="13"/>
    <s v="Gazole"/>
    <s v="User Not Mapped"/>
    <s v="User Not Mapped"/>
    <s v="User Not Mapped"/>
    <n v="288847"/>
    <s v="Bardanga Skus Ltd"/>
    <s v="PACS"/>
    <s v="9775243276"/>
    <n v="3.45"/>
    <n v="506"/>
    <x v="0"/>
    <m/>
    <s v="2024-11-30"/>
    <s v="741258"/>
    <s v="M/S SAHA FERTILIZER"/>
    <s v="8101653961"/>
  </r>
  <r>
    <s v="RCF Thal"/>
    <s v="N.C.Urea(45kg)"/>
    <s v="WB"/>
    <x v="13"/>
    <s v="Gazole"/>
    <s v="User Not Mapped"/>
    <s v="User Not Mapped"/>
    <s v="User Not Mapped"/>
    <n v="918972"/>
    <s v="M/S KRISHI BANDHU SARER DOKAN"/>
    <s v="Private Retailer"/>
    <s v="9064295446"/>
    <n v="4.8600000000000003"/>
    <n v="1213"/>
    <x v="2"/>
    <m/>
    <s v="2022-12-24"/>
    <s v="741258"/>
    <s v="M/S SAHA FERTILIZER"/>
    <s v="8101653961"/>
  </r>
  <r>
    <s v="RCF Thal"/>
    <s v="N.C.Urea(45kg)"/>
    <s v="WB"/>
    <x v="13"/>
    <s v="Ratua - II"/>
    <s v="User Not Mapped"/>
    <s v="User Not Mapped"/>
    <s v="User Not Mapped"/>
    <n v="408728"/>
    <s v="Md. Mostufa"/>
    <s v="Private Retailer"/>
    <s v="9593916635"/>
    <n v="9.5399999999999991"/>
    <n v="41"/>
    <x v="3"/>
    <m/>
    <s v="2026-03-10"/>
    <s v="741258"/>
    <s v="M/S SAHA FERTILIZER"/>
    <s v="8101653961"/>
  </r>
  <r>
    <s v="RCF Import"/>
    <s v="Imp 10-26-26"/>
    <s v="WB"/>
    <x v="13"/>
    <s v="Gazole"/>
    <s v="User Not Mapped"/>
    <s v="User Not Mapped"/>
    <s v="User Not Mapped"/>
    <n v="288945"/>
    <s v="Nabaday Skus Ltd."/>
    <s v="PACS"/>
    <s v="7001269283"/>
    <n v="0.45"/>
    <n v="504"/>
    <x v="0"/>
    <m/>
    <s v="2024-12-02"/>
    <s v="741258"/>
    <s v="M/S SAHA FERTILIZER"/>
    <s v="8101653961"/>
  </r>
  <r>
    <s v="RCF Thal"/>
    <s v="N.C.Urea(45kg)"/>
    <s v="WB"/>
    <x v="13"/>
    <s v="Chanchal - II"/>
    <s v="User Not Mapped"/>
    <s v="User Not Mapped"/>
    <s v="User Not Mapped"/>
    <n v="916038"/>
    <s v="M/S WAKIBUL HASSAN"/>
    <s v="Private Retailer"/>
    <s v="9851859430"/>
    <n v="0.02"/>
    <n v="1142"/>
    <x v="2"/>
    <m/>
    <s v="2023-03-05"/>
    <s v="533562"/>
    <s v="M/S Samaun Reja"/>
    <s v="9734975754"/>
  </r>
  <r>
    <s v="RCF Thal"/>
    <s v="N.C.Urea(45kg)"/>
    <s v="WB"/>
    <x v="13"/>
    <s v="Chanchal - II"/>
    <s v="User Not Mapped"/>
    <s v="User Not Mapped"/>
    <s v="User Not Mapped"/>
    <n v="913689"/>
    <s v="PRAKASH SARKAR"/>
    <s v="Private Retailer"/>
    <s v="7872933931"/>
    <n v="2.4750000000000001"/>
    <n v="1539"/>
    <x v="2"/>
    <m/>
    <s v="2022-02-01"/>
    <s v="533562"/>
    <s v="M/S Samaun Reja"/>
    <s v="9734975754"/>
  </r>
  <r>
    <s v="RCF Thal"/>
    <s v="N.C.Urea(45kg)"/>
    <s v="WB"/>
    <x v="13"/>
    <s v="Chanchal - II"/>
    <s v="User Not Mapped"/>
    <s v="User Not Mapped"/>
    <s v="User Not Mapped"/>
    <n v="639443"/>
    <s v="RAJ KR GHOSH"/>
    <s v="Private Retailer"/>
    <s v="9733208934"/>
    <n v="0.09"/>
    <n v="1539"/>
    <x v="2"/>
    <m/>
    <s v="2022-02-01"/>
    <s v="533562"/>
    <s v="M/S Samaun Reja"/>
    <s v="9734975754"/>
  </r>
  <r>
    <s v="RCF Import"/>
    <s v="Imp 10-26-26"/>
    <s v="WB"/>
    <x v="13"/>
    <s v="Bamangola"/>
    <s v="User Not Mapped"/>
    <s v="User Not Mapped"/>
    <s v="User Not Mapped"/>
    <n v="876967"/>
    <s v="M/S BADRUDDOJA HOSSAIN"/>
    <s v="Private Retailer"/>
    <s v="9593291475"/>
    <n v="0.5"/>
    <n v="500"/>
    <x v="0"/>
    <m/>
    <s v="2024-12-06"/>
    <s v="1315537"/>
    <s v="M/S SIKDAR SAR BHANDAR"/>
    <s v="9474473351"/>
  </r>
  <r>
    <s v="RCF Import"/>
    <s v="Imp 10-26-26"/>
    <s v="WB"/>
    <x v="13"/>
    <s v="Bamangola"/>
    <s v="User Not Mapped"/>
    <s v="User Not Mapped"/>
    <s v="User Not Mapped"/>
    <n v="876969"/>
    <s v="M/S JAGABANDHU SAR BHANDAR"/>
    <s v="Private Retailer"/>
    <s v="9083461641"/>
    <n v="2.5"/>
    <n v="500"/>
    <x v="0"/>
    <m/>
    <s v="2024-12-06"/>
    <s v="1315537"/>
    <s v="M/S SIKDAR SAR BHANDAR"/>
    <s v="9474473351"/>
  </r>
  <r>
    <s v="RCF Thal"/>
    <s v="N.C.Urea(45kg)"/>
    <s v="WB"/>
    <x v="13"/>
    <s v="Harischandrapur - I"/>
    <s v="User Not Mapped"/>
    <s v="User Not Mapped"/>
    <s v="User Not Mapped"/>
    <n v="331139"/>
    <s v="Ananda Agarwal"/>
    <s v="Private Retailer"/>
    <s v="9733239104"/>
    <n v="6.93"/>
    <n v="32"/>
    <x v="3"/>
    <m/>
    <s v="2026-03-19"/>
    <s v="281272"/>
    <s v="M/s. Bimal Chandra Das"/>
    <s v="8617802084"/>
  </r>
  <r>
    <s v="RCF Thal"/>
    <s v="N.C.Urea(45kg)"/>
    <s v="WB"/>
    <x v="13"/>
    <s v="Kaliachak - II"/>
    <s v="User Not Mapped"/>
    <s v="User Not Mapped"/>
    <s v="User Not Mapped"/>
    <n v="354641"/>
    <s v="Juthika Sar Bhandar"/>
    <s v="Private Retailer"/>
    <s v="9609015054"/>
    <n v="3.105"/>
    <n v="89"/>
    <x v="6"/>
    <m/>
    <s v="2026-01-21"/>
    <s v="281272"/>
    <s v="M/s. Bimal Chandra Das"/>
    <s v="8617802084"/>
  </r>
  <r>
    <s v="RCF Thal"/>
    <s v="N.C.Urea(45kg)"/>
    <s v="WB"/>
    <x v="13"/>
    <s v="Kaliachak - II"/>
    <s v="User Not Mapped"/>
    <s v="User Not Mapped"/>
    <s v="User Not Mapped"/>
    <n v="644170"/>
    <s v="M/S DIL DAR HOSSAIN"/>
    <s v="Private Retailer"/>
    <s v="8145522762"/>
    <n v="8.82"/>
    <n v="54"/>
    <x v="3"/>
    <m/>
    <s v="2026-02-25"/>
    <s v="281272"/>
    <s v="M/s. Bimal Chandra Das"/>
    <s v="8617802084"/>
  </r>
  <r>
    <s v="RCF Thal"/>
    <s v="N.C.Urea(45kg)"/>
    <s v="WB"/>
    <x v="13"/>
    <s v="Kaliachak - III"/>
    <s v="User Not Mapped"/>
    <s v="User Not Mapped"/>
    <s v="User Not Mapped"/>
    <n v="634425"/>
    <s v="M/S HALIM KRISHI SAR BHANDER"/>
    <s v="Private Retailer"/>
    <s v="9733031514"/>
    <n v="9"/>
    <n v="32"/>
    <x v="3"/>
    <m/>
    <s v="2026-03-19"/>
    <s v="281272"/>
    <s v="M/s. Bimal Chandra Das"/>
    <s v="8617802084"/>
  </r>
  <r>
    <s v="RCF Thal"/>
    <s v="N.C.Urea(45kg)"/>
    <s v="WB"/>
    <x v="13"/>
    <s v="Kaliachak - II"/>
    <s v="User Not Mapped"/>
    <s v="User Not Mapped"/>
    <s v="User Not Mapped"/>
    <n v="631039"/>
    <s v="M/S HASANAT SAR BHANDAR"/>
    <s v="Private Retailer"/>
    <s v="9734193274"/>
    <n v="10.125"/>
    <n v="73"/>
    <x v="6"/>
    <m/>
    <s v="2026-02-06"/>
    <s v="281272"/>
    <s v="M/s. Bimal Chandra Das"/>
    <s v="8617802084"/>
  </r>
  <r>
    <s v="RCF Import"/>
    <s v="Imp 10-26-26"/>
    <s v="WB"/>
    <x v="13"/>
    <s v="Gazole"/>
    <s v="User Not Mapped"/>
    <s v="User Not Mapped"/>
    <s v="User Not Mapped"/>
    <n v="1524859"/>
    <s v="M/S JAYA KRISHI BHANDAR"/>
    <s v="Private Retailer"/>
    <s v="8967776464"/>
    <n v="0.45"/>
    <n v="488"/>
    <x v="0"/>
    <m/>
    <s v="2024-12-18"/>
    <s v="281272"/>
    <s v="M/s. Bimal Chandra Das"/>
    <s v="8617802084"/>
  </r>
  <r>
    <s v="RCF Thal"/>
    <s v="N.C.Urea(45kg)"/>
    <s v="WB"/>
    <x v="13"/>
    <s v="Gazole"/>
    <s v="User Not Mapped"/>
    <s v="User Not Mapped"/>
    <s v="User Not Mapped"/>
    <n v="944056"/>
    <s v="M/S MAA MANASA SAR BHANDAR"/>
    <s v="Private Retailer"/>
    <s v="8116476184"/>
    <n v="5.4450000000000003"/>
    <n v="54"/>
    <x v="3"/>
    <m/>
    <s v="2026-02-25"/>
    <s v="281272"/>
    <s v="M/s. Bimal Chandra Das"/>
    <s v="8617802084"/>
  </r>
  <r>
    <s v="RCF Thal"/>
    <s v="N.C.Urea(45kg)"/>
    <s v="WB"/>
    <x v="13"/>
    <s v="Gazole"/>
    <s v="User Not Mapped"/>
    <s v="User Not Mapped"/>
    <s v="User Not Mapped"/>
    <n v="1475397"/>
    <s v="M/S MOJAHAR FERTILIZER"/>
    <s v="Private Retailer"/>
    <s v="8617084896"/>
    <n v="11.025"/>
    <n v="130"/>
    <x v="4"/>
    <m/>
    <s v="2025-12-11"/>
    <s v="281272"/>
    <s v="M/s. Bimal Chandra Das"/>
    <s v="8617802084"/>
  </r>
  <r>
    <s v="RCF Thal"/>
    <s v="N.C.Urea(45kg)"/>
    <s v="WB"/>
    <x v="13"/>
    <s v="Kaliachak - III"/>
    <s v="User Not Mapped"/>
    <s v="User Not Mapped"/>
    <s v="User Not Mapped"/>
    <n v="634415"/>
    <s v="M/S NASIMA SAR BHANDAR"/>
    <s v="Private Retailer"/>
    <s v="9733180161"/>
    <n v="10.8"/>
    <n v="86"/>
    <x v="6"/>
    <m/>
    <s v="2026-01-24"/>
    <s v="281272"/>
    <s v="M/s. Bimal Chandra Das"/>
    <s v="8617802084"/>
  </r>
  <r>
    <s v="RCF Thal"/>
    <s v="N.C.Urea(45kg)"/>
    <s v="WB"/>
    <x v="13"/>
    <s v="Ratua - II"/>
    <s v="User Not Mapped"/>
    <s v="User Not Mapped"/>
    <s v="User Not Mapped"/>
    <n v="907397"/>
    <s v="M/S RAIHAN SARBHANDAR"/>
    <s v="Private Retailer"/>
    <s v="9933613047"/>
    <n v="0.27"/>
    <n v="53"/>
    <x v="3"/>
    <m/>
    <s v="2026-02-26"/>
    <s v="281272"/>
    <s v="M/s. Bimal Chandra Das"/>
    <s v="8617802084"/>
  </r>
  <r>
    <s v="RCF Thal"/>
    <s v="N.C.Urea(45kg)"/>
    <s v="WB"/>
    <x v="13"/>
    <s v="Gazole"/>
    <s v="User Not Mapped"/>
    <s v="User Not Mapped"/>
    <s v="User Not Mapped"/>
    <n v="496327"/>
    <s v="M/S SANTOSH KUMAR DEBNATH"/>
    <s v="Private Retailer"/>
    <s v="9933541474"/>
    <n v="7.0650000000000004"/>
    <n v="493"/>
    <x v="0"/>
    <m/>
    <s v="2024-12-13"/>
    <s v="281272"/>
    <s v="M/s. Bimal Chandra Das"/>
    <s v="8617802084"/>
  </r>
  <r>
    <s v="RCF Trombay"/>
    <s v="15-15-15"/>
    <s v="WB"/>
    <x v="13"/>
    <s v="Harischandrapur - II"/>
    <s v="User Not Mapped"/>
    <s v="User Not Mapped"/>
    <s v="User Not Mapped"/>
    <n v="639301"/>
    <s v="M/S TAIMUR HOQUE"/>
    <s v="Private Retailer"/>
    <s v="9735944181"/>
    <n v="0.75"/>
    <n v="135"/>
    <x v="4"/>
    <m/>
    <s v="2025-12-06"/>
    <s v="281272"/>
    <s v="M/s. Bimal Chandra Das"/>
    <s v="8617802084"/>
  </r>
  <r>
    <s v="RCF Trombay"/>
    <s v="N.C.Urea(45kg)"/>
    <s v="WB"/>
    <x v="13"/>
    <s v="Harischandrapur - II"/>
    <s v="User Not Mapped"/>
    <s v="User Not Mapped"/>
    <s v="User Not Mapped"/>
    <n v="639301"/>
    <s v="M/S TAIMUR HOQUE"/>
    <s v="Private Retailer"/>
    <s v="9735944181"/>
    <n v="4.4999999999999998E-2"/>
    <n v="135"/>
    <x v="4"/>
    <m/>
    <s v="2025-12-06"/>
    <s v="281272"/>
    <s v="M/s. Bimal Chandra Das"/>
    <s v="8617802084"/>
  </r>
  <r>
    <s v="RCF Thal"/>
    <s v="N.C.Urea(45kg)"/>
    <s v="WB"/>
    <x v="13"/>
    <s v="English Bazar"/>
    <s v="User Not Mapped"/>
    <s v="User Not Mapped"/>
    <s v="User Not Mapped"/>
    <n v="281269"/>
    <s v="M/s. Butto Krishna Paul"/>
    <s v="Private Wholsaler"/>
    <s v="7908580984"/>
    <n v="7.47"/>
    <n v="40"/>
    <x v="3"/>
    <s v="'BCD/0241/25-26'"/>
    <s v="2026-03-11"/>
    <s v="281272"/>
    <s v="M/s. Bimal Chandra Das"/>
    <s v="8617802084"/>
  </r>
  <r>
    <s v="RCF Thal"/>
    <s v="N.C.Urea(45kg)"/>
    <s v="WB"/>
    <x v="13"/>
    <s v="Maldah (Old)"/>
    <s v="User Not Mapped"/>
    <s v="User Not Mapped"/>
    <s v="User Not Mapped"/>
    <n v="606123"/>
    <s v="M/S. ENAMUL HOQUE"/>
    <s v="Private Retailer"/>
    <s v="9775974397"/>
    <n v="4.6349999999999998"/>
    <n v="500"/>
    <x v="0"/>
    <m/>
    <s v="2024-12-06"/>
    <s v="281272"/>
    <s v="M/s. Bimal Chandra Das"/>
    <s v="8617802084"/>
  </r>
  <r>
    <s v="RCF Thal"/>
    <s v="N.C.Urea(45kg)"/>
    <s v="WB"/>
    <x v="13"/>
    <s v="Ratua - II"/>
    <s v="User Not Mapped"/>
    <s v="User Not Mapped"/>
    <s v="User Not Mapped"/>
    <n v="355344"/>
    <s v="Masadur Rahman"/>
    <s v="Private Retailer"/>
    <s v="9734882043"/>
    <n v="3.5550000000000002"/>
    <n v="128"/>
    <x v="4"/>
    <m/>
    <s v="2025-12-13"/>
    <s v="281272"/>
    <s v="M/s. Bimal Chandra Das"/>
    <s v="8617802084"/>
  </r>
  <r>
    <s v="RCF Thal"/>
    <s v="N.C.Urea(45kg)"/>
    <s v="WB"/>
    <x v="13"/>
    <s v="Ratua - I"/>
    <s v="User Not Mapped"/>
    <s v="User Not Mapped"/>
    <s v="User Not Mapped"/>
    <n v="873980"/>
    <s v="MD.BORHAN ALI"/>
    <s v="Private Retailer"/>
    <s v="9733220533"/>
    <n v="10.8"/>
    <n v="53"/>
    <x v="3"/>
    <m/>
    <s v="2026-02-26"/>
    <s v="281272"/>
    <s v="M/s. Bimal Chandra Das"/>
    <s v="8617802084"/>
  </r>
  <r>
    <s v="RCF Thal"/>
    <s v="N.C.Urea(45kg)"/>
    <s v="WB"/>
    <x v="13"/>
    <s v="Harischandrapur - I"/>
    <s v="User Not Mapped"/>
    <s v="User Not Mapped"/>
    <s v="User Not Mapped"/>
    <n v="938190"/>
    <s v="PINTU CH DAS"/>
    <s v="Private Retailer"/>
    <s v="8597065868"/>
    <n v="11.025"/>
    <n v="129"/>
    <x v="4"/>
    <m/>
    <s v="2025-12-12"/>
    <s v="281272"/>
    <s v="M/s. Bimal Chandra Das"/>
    <s v="8617802084"/>
  </r>
  <r>
    <s v="RCF Thal"/>
    <s v="N.C.Urea(45kg)"/>
    <s v="WB"/>
    <x v="13"/>
    <s v="Gazole"/>
    <s v="User Not Mapped"/>
    <s v="User Not Mapped"/>
    <s v="User Not Mapped"/>
    <n v="630292"/>
    <s v="RAFIQUL ISLAM"/>
    <s v="Private Retailer"/>
    <s v="9382703463"/>
    <n v="11.025"/>
    <n v="32"/>
    <x v="3"/>
    <m/>
    <s v="2026-03-19"/>
    <s v="281272"/>
    <s v="M/s. Bimal Chandra Das"/>
    <s v="8617802084"/>
  </r>
  <r>
    <s v="RCF Trombay"/>
    <s v="N.C.Urea(45kg)"/>
    <s v="WB"/>
    <x v="13"/>
    <s v="Kaliachak - II"/>
    <s v="User Not Mapped"/>
    <s v="User Not Mapped"/>
    <s v="User Not Mapped"/>
    <n v="839834"/>
    <s v="RICHA SAR BHANDAR"/>
    <s v="Private Retailer"/>
    <s v="8145880721"/>
    <n v="0.22500000000000001"/>
    <n v="1076"/>
    <x v="2"/>
    <m/>
    <s v="2023-05-10"/>
    <s v="281272"/>
    <s v="M/s. Bimal Chandra Das"/>
    <s v="8617802084"/>
  </r>
  <r>
    <s v="RCF Thal"/>
    <s v="N.C.Urea(45kg)"/>
    <s v="WB"/>
    <x v="13"/>
    <s v="Gazole"/>
    <s v="User Not Mapped"/>
    <s v="User Not Mapped"/>
    <s v="User Not Mapped"/>
    <n v="288956"/>
    <s v="Sabuj Fasal"/>
    <s v="Private Retailer"/>
    <s v="9563182882"/>
    <n v="5.4450000000000003"/>
    <n v="54"/>
    <x v="3"/>
    <m/>
    <s v="2026-02-25"/>
    <s v="281272"/>
    <s v="M/s. Bimal Chandra Das"/>
    <s v="8617802084"/>
  </r>
  <r>
    <s v="RCF Thal"/>
    <s v="N.C.Urea(45kg)"/>
    <s v="WB"/>
    <x v="13"/>
    <s v="Habibpur"/>
    <s v="User Not Mapped"/>
    <s v="User Not Mapped"/>
    <s v="User Not Mapped"/>
    <n v="328207"/>
    <s v="Brajendra Nath Barman"/>
    <s v="Private Retailer"/>
    <s v="9775821574"/>
    <n v="8.5950000000000006"/>
    <n v="65"/>
    <x v="6"/>
    <m/>
    <s v="2026-02-14"/>
    <s v="281269"/>
    <s v="M/s. Butto Krishna Paul"/>
    <s v="7908580984"/>
  </r>
  <r>
    <s v="RCF Thal"/>
    <s v="N.C.Urea(45kg)"/>
    <s v="WB"/>
    <x v="13"/>
    <s v="English Bazar"/>
    <s v="User Not Mapped"/>
    <s v="User Not Mapped"/>
    <s v="User Not Mapped"/>
    <n v="384646"/>
    <s v="Doli Saha"/>
    <s v="Private Retailer"/>
    <s v="7797969162"/>
    <n v="3.5550000000000002"/>
    <n v="40"/>
    <x v="3"/>
    <m/>
    <s v="2026-03-11"/>
    <s v="281269"/>
    <s v="M/s. Butto Krishna Paul"/>
    <s v="7908580984"/>
  </r>
  <r>
    <s v="RCF Thal"/>
    <s v="N.C.Urea(45kg)"/>
    <s v="WB"/>
    <x v="13"/>
    <s v="Kaliachak - II"/>
    <s v="User Not Mapped"/>
    <s v="User Not Mapped"/>
    <s v="User Not Mapped"/>
    <n v="462072"/>
    <s v="Firoja Sar Bhandar"/>
    <s v="Private Retailer"/>
    <s v="8768075100"/>
    <n v="2.2949999999999999"/>
    <n v="476"/>
    <x v="0"/>
    <m/>
    <s v="2024-12-30"/>
    <s v="281269"/>
    <s v="M/s. Butto Krishna Paul"/>
    <s v="7908580984"/>
  </r>
  <r>
    <s v="RCF Thal"/>
    <s v="N.C.Urea(45kg)"/>
    <s v="WB"/>
    <x v="13"/>
    <s v="Gazole"/>
    <s v="User Not Mapped"/>
    <s v="User Not Mapped"/>
    <s v="User Not Mapped"/>
    <n v="288977"/>
    <s v="Golok Chandra Mondal "/>
    <s v="Private Wholsaler"/>
    <s v="8016366836"/>
    <n v="8.0549999999999997"/>
    <n v="40"/>
    <x v="3"/>
    <s v="'BKP/F-1071'"/>
    <s v="2026-03-11"/>
    <s v="281269"/>
    <s v="M/s. Butto Krishna Paul"/>
    <s v="7908580984"/>
  </r>
  <r>
    <s v="RCF Thal"/>
    <s v="N.C.Urea(45kg)"/>
    <s v="WB"/>
    <x v="13"/>
    <s v="Maldah (Old)"/>
    <s v="User Not Mapped"/>
    <s v="User Not Mapped"/>
    <s v="User Not Mapped"/>
    <n v="411906"/>
    <s v="Hoque Sar Bhandar"/>
    <s v="Private Retailer"/>
    <s v="9733149280"/>
    <n v="4.32"/>
    <n v="131"/>
    <x v="4"/>
    <m/>
    <s v="2025-12-10"/>
    <s v="281269"/>
    <s v="M/s. Butto Krishna Paul"/>
    <s v="7908580984"/>
  </r>
  <r>
    <s v="RCF Thal"/>
    <s v="N.C.Urea(45kg)"/>
    <s v="WB"/>
    <x v="13"/>
    <s v="Bamangola"/>
    <s v="User Not Mapped"/>
    <s v="User Not Mapped"/>
    <s v="User Not Mapped"/>
    <n v="467193"/>
    <s v="Jagadish Sar Bhandar"/>
    <s v="Private Retailer"/>
    <s v="9733445498"/>
    <n v="5.4"/>
    <n v="65"/>
    <x v="6"/>
    <m/>
    <s v="2026-02-14"/>
    <s v="281269"/>
    <s v="M/s. Butto Krishna Paul"/>
    <s v="7908580984"/>
  </r>
  <r>
    <s v="RCF Trombay"/>
    <s v="N.C.Urea(45kg)"/>
    <s v="WB"/>
    <x v="13"/>
    <s v="Maldah (Old)"/>
    <s v="User Not Mapped"/>
    <s v="User Not Mapped"/>
    <s v="User Not Mapped"/>
    <n v="617075"/>
    <s v="JOY MAA LAXMI SAR BHANDAR"/>
    <s v="Private Retailer"/>
    <s v="9002069362"/>
    <n v="0.13500000000000001"/>
    <n v="128"/>
    <x v="4"/>
    <m/>
    <s v="2025-12-13"/>
    <s v="281269"/>
    <s v="M/s. Butto Krishna Paul"/>
    <s v="7908580984"/>
  </r>
  <r>
    <s v="RCF Import"/>
    <s v="MOP"/>
    <s v="WB"/>
    <x v="13"/>
    <s v="Maldah (Old)"/>
    <s v="User Not Mapped"/>
    <s v="User Not Mapped"/>
    <s v="User Not Mapped"/>
    <n v="617075"/>
    <s v="JOY MAA LAXMI SAR BHANDAR"/>
    <s v="Private Retailer"/>
    <s v="9002069362"/>
    <n v="0.05"/>
    <n v="517"/>
    <x v="0"/>
    <m/>
    <s v="2024-11-19"/>
    <s v="281269"/>
    <s v="M/s. Butto Krishna Paul"/>
    <s v="7908580984"/>
  </r>
  <r>
    <s v="RCF Thal"/>
    <s v="N.C.Urea(45kg)"/>
    <s v="WB"/>
    <x v="13"/>
    <s v="Gazole"/>
    <s v="User Not Mapped"/>
    <s v="User Not Mapped"/>
    <s v="User Not Mapped"/>
    <n v="465368"/>
    <s v="Joydeep Sar Bhandar"/>
    <s v="Private Retailer"/>
    <s v="8918597086"/>
    <n v="1.3049999999999999"/>
    <n v="1861"/>
    <x v="2"/>
    <m/>
    <s v="2021-03-16"/>
    <s v="281269"/>
    <s v="M/s. Butto Krishna Paul"/>
    <s v="7908580984"/>
  </r>
  <r>
    <s v="RCF Thal"/>
    <s v="N.C.Urea(45kg)"/>
    <s v="WB"/>
    <x v="13"/>
    <s v="Bamangola"/>
    <s v="User Not Mapped"/>
    <s v="User Not Mapped"/>
    <s v="User Not Mapped"/>
    <n v="460651"/>
    <s v="Joyma Santosi Sar Bhandar"/>
    <s v="Private Retailer"/>
    <s v="9735994704"/>
    <n v="5.4"/>
    <n v="65"/>
    <x v="6"/>
    <m/>
    <s v="2026-02-14"/>
    <s v="281269"/>
    <s v="M/s. Butto Krishna Paul"/>
    <s v="7908580984"/>
  </r>
  <r>
    <s v="RCF Thal"/>
    <s v="N.C.Urea(45kg)"/>
    <s v="WB"/>
    <x v="13"/>
    <s v="Bamangola"/>
    <s v="User Not Mapped"/>
    <s v="User Not Mapped"/>
    <s v="User Not Mapped"/>
    <n v="270122"/>
    <s v="Kallol Banerjee"/>
    <s v="Private Wholsaler"/>
    <s v="9434518179"/>
    <n v="5.625"/>
    <n v="88"/>
    <x v="6"/>
    <s v="'BKP/F-808'"/>
    <s v="2026-01-22"/>
    <s v="281269"/>
    <s v="M/s. Butto Krishna Paul"/>
    <s v="7908580984"/>
  </r>
  <r>
    <s v="RCF Thal"/>
    <s v="N.C.Urea(45kg)"/>
    <s v="WB"/>
    <x v="13"/>
    <s v="Gazole"/>
    <s v="User Not Mapped"/>
    <s v="User Not Mapped"/>
    <s v="User Not Mapped"/>
    <n v="628917"/>
    <s v="KRISHNADEB MAHATO"/>
    <s v="Private Retailer"/>
    <s v="9593876974"/>
    <n v="11.025"/>
    <n v="91"/>
    <x v="7"/>
    <m/>
    <s v="2026-01-19"/>
    <s v="281269"/>
    <s v="M/s. Butto Krishna Paul"/>
    <s v="7908580984"/>
  </r>
  <r>
    <s v="RCF Thal"/>
    <s v="N.C.Urea(45kg)"/>
    <s v="WB"/>
    <x v="13"/>
    <s v="Habibpur"/>
    <s v="User Not Mapped"/>
    <s v="User Not Mapped"/>
    <s v="User Not Mapped"/>
    <n v="1510450"/>
    <s v="M/S BRAJENDRANATH BARMAN "/>
    <s v="Private Retailer"/>
    <s v="9851427663"/>
    <n v="5.1749999999999998"/>
    <n v="42"/>
    <x v="3"/>
    <m/>
    <s v="2026-03-09"/>
    <s v="281269"/>
    <s v="M/s. Butto Krishna Paul"/>
    <s v="7908580984"/>
  </r>
  <r>
    <s v="RCF Trombay"/>
    <s v="15-15-15"/>
    <s v="WB"/>
    <x v="13"/>
    <s v="Habibpur"/>
    <s v="User Not Mapped"/>
    <s v="User Not Mapped"/>
    <s v="User Not Mapped"/>
    <n v="1204353"/>
    <s v="M/S CHOWDHURY SAR BHANDAR"/>
    <s v="Private Retailer"/>
    <s v="7872803677"/>
    <n v="0.65"/>
    <n v="101"/>
    <x v="7"/>
    <m/>
    <s v="2026-01-09"/>
    <s v="281269"/>
    <s v="M/s. Butto Krishna Paul"/>
    <s v="7908580984"/>
  </r>
  <r>
    <s v="RCF Thal"/>
    <s v="N.C.Urea(45kg)"/>
    <s v="WB"/>
    <x v="13"/>
    <m/>
    <s v="User Not Mapped"/>
    <s v="User Not Mapped"/>
    <s v="User Not Mapped"/>
    <n v="1148493"/>
    <s v="M/S KRISHAK BANDHU"/>
    <s v="Private Retailer"/>
    <s v="9635487990"/>
    <n v="1.125"/>
    <n v="859"/>
    <x v="2"/>
    <m/>
    <s v="2023-12-13"/>
    <s v="281269"/>
    <s v="M/s. Butto Krishna Paul"/>
    <s v="7908580984"/>
  </r>
  <r>
    <s v="RCF Thal"/>
    <s v="N.C.Urea(45kg)"/>
    <s v="WB"/>
    <x v="13"/>
    <m/>
    <s v="User Not Mapped"/>
    <s v="User Not Mapped"/>
    <s v="User Not Mapped"/>
    <n v="1148493"/>
    <s v="M/S KRISHAK BANDHU"/>
    <s v="Private Retailer"/>
    <s v="9635487990"/>
    <n v="0.27"/>
    <n v="886"/>
    <x v="2"/>
    <m/>
    <s v="2023-11-16"/>
    <s v="281269"/>
    <s v="M/s. Butto Krishna Paul"/>
    <s v="7908580984"/>
  </r>
  <r>
    <s v="RCF Thal"/>
    <s v="N.C.Urea(45kg)"/>
    <s v="WB"/>
    <x v="13"/>
    <s v="Bamangola"/>
    <s v="User Not Mapped"/>
    <s v="User Not Mapped"/>
    <s v="User Not Mapped"/>
    <n v="328228"/>
    <s v="M/S Maa Laxmi Sar Bhandar"/>
    <s v="Private Retailer"/>
    <s v="9733393072"/>
    <n v="8.4149999999999991"/>
    <n v="149"/>
    <x v="4"/>
    <m/>
    <s v="2025-11-22"/>
    <s v="281269"/>
    <s v="M/s. Butto Krishna Paul"/>
    <s v="7908580984"/>
  </r>
  <r>
    <s v="RCF Trombay"/>
    <s v="15-15-15"/>
    <s v="WB"/>
    <x v="13"/>
    <s v="Bamangola"/>
    <s v="User Not Mapped"/>
    <s v="User Not Mapped"/>
    <s v="User Not Mapped"/>
    <n v="1395548"/>
    <s v="M/S NUR SAR BHANDAR"/>
    <s v="Private Retailer"/>
    <s v="9732299002"/>
    <n v="2.4"/>
    <n v="210"/>
    <x v="1"/>
    <m/>
    <s v="2025-09-22"/>
    <s v="281269"/>
    <s v="M/s. Butto Krishna Paul"/>
    <s v="7908580984"/>
  </r>
  <r>
    <s v="RCF Import"/>
    <s v="MOP"/>
    <s v="WB"/>
    <x v="13"/>
    <s v="Gazole"/>
    <s v="User Not Mapped"/>
    <s v="User Not Mapped"/>
    <s v="User Not Mapped"/>
    <n v="462040"/>
    <s v="M/S Sabuj Krishi Ghar"/>
    <s v="Private Retailer"/>
    <s v="8371887665"/>
    <n v="0.75"/>
    <n v="515"/>
    <x v="0"/>
    <m/>
    <s v="2024-11-21"/>
    <s v="281269"/>
    <s v="M/s. Butto Krishna Paul"/>
    <s v="7908580984"/>
  </r>
  <r>
    <s v="RCF Thal"/>
    <s v="N.C.Urea(45kg)"/>
    <s v="WB"/>
    <x v="13"/>
    <s v="Gazole"/>
    <s v="User Not Mapped"/>
    <s v="User Not Mapped"/>
    <s v="User Not Mapped"/>
    <n v="462040"/>
    <s v="M/S Sabuj Krishi Ghar"/>
    <s v="Private Retailer"/>
    <s v="8371887665"/>
    <n v="3.15"/>
    <n v="222"/>
    <x v="1"/>
    <m/>
    <s v="2025-09-10"/>
    <s v="281269"/>
    <s v="M/s. Butto Krishna Paul"/>
    <s v="7908580984"/>
  </r>
  <r>
    <s v="RCF Thal"/>
    <s v="N.C.Urea(45kg)"/>
    <s v="WB"/>
    <x v="13"/>
    <s v="Maldah (Old)"/>
    <s v="User Not Mapped"/>
    <s v="User Not Mapped"/>
    <s v="User Not Mapped"/>
    <n v="606123"/>
    <s v="M/S. ENAMUL HOQUE"/>
    <s v="Private Retailer"/>
    <s v="9775974397"/>
    <n v="11.25"/>
    <n v="91"/>
    <x v="7"/>
    <m/>
    <s v="2026-01-19"/>
    <s v="281269"/>
    <s v="M/s. Butto Krishna Paul"/>
    <s v="7908580984"/>
  </r>
  <r>
    <s v="RCF Thal"/>
    <s v="N.C.Urea(45kg)"/>
    <s v="WB"/>
    <x v="13"/>
    <s v="Bamangola"/>
    <s v="User Not Mapped"/>
    <s v="User Not Mapped"/>
    <s v="User Not Mapped"/>
    <n v="461181"/>
    <s v="Maa Durga Sar Bhandar"/>
    <s v="Private Retailer"/>
    <s v="9593360814"/>
    <n v="11.07"/>
    <n v="42"/>
    <x v="3"/>
    <m/>
    <s v="2026-03-09"/>
    <s v="281269"/>
    <s v="M/s. Butto Krishna Paul"/>
    <s v="7908580984"/>
  </r>
  <r>
    <s v="RCF Trombay"/>
    <s v="N.C.Urea(45kg)"/>
    <s v="WB"/>
    <x v="13"/>
    <s v="Gazole"/>
    <s v="User Not Mapped"/>
    <s v="User Not Mapped"/>
    <s v="User Not Mapped"/>
    <n v="630340"/>
    <s v="MAA LAXMI SAR BHANDAR"/>
    <s v="Private Retailer"/>
    <s v="9434981181"/>
    <n v="0.17"/>
    <n v="145"/>
    <x v="4"/>
    <m/>
    <s v="2025-11-26"/>
    <s v="281269"/>
    <s v="M/s. Butto Krishna Paul"/>
    <s v="7908580984"/>
  </r>
  <r>
    <s v="RCF Thal"/>
    <s v="N.C.Urea(45kg)"/>
    <s v="WB"/>
    <x v="13"/>
    <s v="Ratua - I"/>
    <s v="User Not Mapped"/>
    <s v="User Not Mapped"/>
    <s v="User Not Mapped"/>
    <n v="978588"/>
    <s v="MD TANJAMAL HOQUE"/>
    <s v="Private Retailer"/>
    <s v="9733204372"/>
    <n v="0.18"/>
    <n v="65"/>
    <x v="6"/>
    <m/>
    <s v="2026-02-14"/>
    <s v="281269"/>
    <s v="M/s. Butto Krishna Paul"/>
    <s v="7908580984"/>
  </r>
  <r>
    <s v="RCF Thal"/>
    <s v="N.C.Urea(45kg)"/>
    <s v="WB"/>
    <x v="13"/>
    <s v="Maldah (Old)"/>
    <s v="User Not Mapped"/>
    <s v="User Not Mapped"/>
    <s v="User Not Mapped"/>
    <n v="411932"/>
    <s v="Md. Matiur Rahaman"/>
    <s v="Private Retailer"/>
    <s v="9733140002"/>
    <n v="0.36"/>
    <n v="163"/>
    <x v="4"/>
    <m/>
    <s v="2025-11-08"/>
    <s v="281269"/>
    <s v="M/s. Butto Krishna Paul"/>
    <s v="7908580984"/>
  </r>
  <r>
    <s v="RCF Thal"/>
    <s v="N.C.Urea(45kg)"/>
    <s v="WB"/>
    <x v="13"/>
    <m/>
    <s v="User Not Mapped"/>
    <s v="User Not Mapped"/>
    <s v="User Not Mapped"/>
    <n v="1338618"/>
    <s v="MITHUN MANDAL"/>
    <s v="Private Retailer"/>
    <s v="9734053014"/>
    <n v="3.51"/>
    <n v="12"/>
    <x v="5"/>
    <m/>
    <s v="2026-04-08"/>
    <s v="281269"/>
    <s v="M/s. Butto Krishna Paul"/>
    <s v="7908580984"/>
  </r>
  <r>
    <s v="RCF Thal"/>
    <s v="N.C.Urea(45kg)"/>
    <s v="WB"/>
    <x v="13"/>
    <s v="Bamangola"/>
    <s v="User Not Mapped"/>
    <s v="User Not Mapped"/>
    <s v="User Not Mapped"/>
    <n v="331762"/>
    <s v="Narayani Krishi Bhandar"/>
    <s v="Private Retailer"/>
    <s v="9733205004"/>
    <n v="11.07"/>
    <n v="42"/>
    <x v="3"/>
    <m/>
    <s v="2026-03-09"/>
    <s v="281269"/>
    <s v="M/s. Butto Krishna Paul"/>
    <s v="7908580984"/>
  </r>
  <r>
    <s v="RCF Trombay"/>
    <s v="15-15-15"/>
    <s v="WB"/>
    <x v="13"/>
    <s v="Manikchak"/>
    <s v="User Not Mapped"/>
    <s v="User Not Mapped"/>
    <s v="User Not Mapped"/>
    <n v="411912"/>
    <s v="Reja Krishi Sar Bhandar"/>
    <s v="Private Retailer"/>
    <s v="9749390224"/>
    <n v="1.4"/>
    <n v="210"/>
    <x v="1"/>
    <m/>
    <s v="2025-09-22"/>
    <s v="281269"/>
    <s v="M/s. Butto Krishna Paul"/>
    <s v="7908580984"/>
  </r>
  <r>
    <s v="RCF Thal"/>
    <s v="N.C.Urea(45kg)"/>
    <s v="WB"/>
    <x v="13"/>
    <s v="Maldah (Old)"/>
    <s v="User Not Mapped"/>
    <s v="User Not Mapped"/>
    <s v="User Not Mapped"/>
    <n v="986094"/>
    <s v="ROBAIT ISLAM"/>
    <s v="Private Retailer"/>
    <s v="9775714381"/>
    <n v="11.025"/>
    <n v="91"/>
    <x v="7"/>
    <m/>
    <s v="2026-01-19"/>
    <s v="281269"/>
    <s v="M/s. Butto Krishna Paul"/>
    <s v="7908580984"/>
  </r>
  <r>
    <s v="RCF Thal"/>
    <s v="N.C.Urea(45kg)"/>
    <s v="WB"/>
    <x v="13"/>
    <s v="English Bazar"/>
    <s v="User Not Mapped"/>
    <s v="User Not Mapped"/>
    <s v="User Not Mapped"/>
    <n v="548270"/>
    <s v="Salema Krishi Sar Bhandar"/>
    <s v="Private Retailer"/>
    <s v="9734951604"/>
    <n v="0.46500000000000002"/>
    <n v="149"/>
    <x v="4"/>
    <m/>
    <s v="2025-11-22"/>
    <s v="281269"/>
    <s v="M/s. Butto Krishna Paul"/>
    <s v="7908580984"/>
  </r>
  <r>
    <s v="RCF Thal"/>
    <s v="N.C.Urea(45kg)"/>
    <s v="WB"/>
    <x v="13"/>
    <s v="Gazole"/>
    <s v="User Not Mapped"/>
    <s v="User Not Mapped"/>
    <s v="User Not Mapped"/>
    <n v="626954"/>
    <s v="SUNIL KUMAR SARKAR"/>
    <s v="Private Retailer"/>
    <s v="9733483132"/>
    <n v="10.71"/>
    <n v="40"/>
    <x v="3"/>
    <m/>
    <s v="2026-03-11"/>
    <s v="281269"/>
    <s v="M/s. Butto Krishna Paul"/>
    <s v="7908580984"/>
  </r>
  <r>
    <s v="RCF Thal"/>
    <s v="N.C.Urea(45kg)"/>
    <s v="WB"/>
    <x v="13"/>
    <s v="Maldah (Old)"/>
    <s v="User Not Mapped"/>
    <s v="User Not Mapped"/>
    <s v="User Not Mapped"/>
    <n v="973387"/>
    <s v="SUSMITASAR BHANDAR"/>
    <s v="Private Retailer"/>
    <s v="9547180632"/>
    <n v="6.7050000000000001"/>
    <n v="131"/>
    <x v="4"/>
    <m/>
    <s v="2025-12-10"/>
    <s v="281269"/>
    <s v="M/s. Butto Krishna Paul"/>
    <s v="7908580984"/>
  </r>
  <r>
    <s v="RCF Thal"/>
    <s v="N.C.Urea(45kg)"/>
    <s v="WB"/>
    <x v="13"/>
    <s v="Maldah (Old)"/>
    <s v="User Not Mapped"/>
    <s v="User Not Mapped"/>
    <s v="User Not Mapped"/>
    <n v="462050"/>
    <s v="Tanushree Krishi Sar Bhandar"/>
    <s v="Private Retailer"/>
    <s v="9800877031"/>
    <n v="10.35"/>
    <n v="65"/>
    <x v="6"/>
    <m/>
    <s v="2026-02-14"/>
    <s v="281269"/>
    <s v="M/s. Butto Krishna Paul"/>
    <s v="7908580984"/>
  </r>
  <r>
    <s v="RCF Thal"/>
    <s v="N.C.Urea(45kg)"/>
    <s v="WB"/>
    <x v="13"/>
    <s v="Bamangola"/>
    <s v="User Not Mapped"/>
    <s v="User Not Mapped"/>
    <s v="User Not Mapped"/>
    <n v="631233"/>
    <s v=" AGRO TRADING and SEED BHANDAR"/>
    <s v="Private Retailer"/>
    <s v="7557810644"/>
    <n v="9.6750000000000007"/>
    <n v="42"/>
    <x v="3"/>
    <m/>
    <s v="2026-03-09"/>
    <s v="270157"/>
    <s v="M/s. Kanailal Keder Prasad"/>
    <s v="9474075544"/>
  </r>
  <r>
    <s v="RCF Thal"/>
    <s v="N.C.Urea(45kg)"/>
    <s v="WB"/>
    <x v="13"/>
    <s v="Gazole"/>
    <s v="User Not Mapped"/>
    <s v="User Not Mapped"/>
    <s v="User Not Mapped"/>
    <n v="628503"/>
    <s v="A to Z SAR BHANDAR"/>
    <s v="Private Retailer"/>
    <s v="8967576601"/>
    <n v="8.4149999999999991"/>
    <n v="62"/>
    <x v="6"/>
    <m/>
    <s v="2026-02-17"/>
    <s v="270157"/>
    <s v="M/s. Kanailal Keder Prasad"/>
    <s v="9474075544"/>
  </r>
  <r>
    <s v="RCF Thal"/>
    <s v="N.C.Urea(45kg)"/>
    <s v="WB"/>
    <x v="13"/>
    <s v="Gazole"/>
    <s v="User Not Mapped"/>
    <s v="User Not Mapped"/>
    <s v="User Not Mapped"/>
    <n v="628503"/>
    <s v="A to Z SAR BHANDAR"/>
    <s v="Private Retailer"/>
    <s v="8967576601"/>
    <n v="11.025"/>
    <n v="42"/>
    <x v="3"/>
    <m/>
    <s v="2026-03-09"/>
    <s v="270157"/>
    <s v="M/s. Kanailal Keder Prasad"/>
    <s v="9474075544"/>
  </r>
  <r>
    <s v="RCF Trombay"/>
    <s v="15-15-15"/>
    <s v="WB"/>
    <x v="13"/>
    <s v="Gazole"/>
    <s v="User Not Mapped"/>
    <s v="User Not Mapped"/>
    <s v="User Not Mapped"/>
    <n v="628503"/>
    <s v="A to Z SAR BHANDAR"/>
    <s v="Private Retailer"/>
    <s v="8967576601"/>
    <n v="5.5"/>
    <n v="191"/>
    <x v="1"/>
    <m/>
    <s v="2025-10-11"/>
    <s v="270157"/>
    <s v="M/s. Kanailal Keder Prasad"/>
    <s v="9474075544"/>
  </r>
  <r>
    <s v="RCF Trombay"/>
    <s v="N.C.Urea(45kg)"/>
    <s v="WB"/>
    <x v="13"/>
    <s v="Chanchal - II"/>
    <s v="User Not Mapped"/>
    <s v="User Not Mapped"/>
    <s v="User Not Mapped"/>
    <n v="411548"/>
    <s v="Abdul Halim"/>
    <s v="Private Retailer"/>
    <s v="9593604016"/>
    <n v="5.1749999999999998"/>
    <n v="165"/>
    <x v="4"/>
    <m/>
    <s v="2025-11-06"/>
    <s v="270157"/>
    <s v="M/s. Kanailal Keder Prasad"/>
    <s v="9474075544"/>
  </r>
  <r>
    <s v="RCF Thal"/>
    <s v="N.C.Urea(45kg)"/>
    <s v="WB"/>
    <x v="13"/>
    <s v="Chanchal - II"/>
    <s v="User Not Mapped"/>
    <s v="User Not Mapped"/>
    <s v="User Not Mapped"/>
    <n v="411548"/>
    <s v="Abdul Halim"/>
    <s v="Private Retailer"/>
    <s v="9593604016"/>
    <n v="0.18"/>
    <n v="360"/>
    <x v="1"/>
    <m/>
    <s v="2025-04-25"/>
    <s v="270157"/>
    <s v="M/s. Kanailal Keder Prasad"/>
    <s v="9474075544"/>
  </r>
  <r>
    <s v="RCF Thal"/>
    <s v="N.C.Urea(45kg)"/>
    <s v="WB"/>
    <x v="13"/>
    <s v="Harischandrapur - II"/>
    <s v="User Not Mapped"/>
    <s v="User Not Mapped"/>
    <s v="User Not Mapped"/>
    <n v="1020257"/>
    <s v="ABDUL TAYEB"/>
    <s v="Private Retailer"/>
    <s v="8001445862"/>
    <n v="4.7699999999999996"/>
    <n v="142"/>
    <x v="4"/>
    <m/>
    <s v="2025-11-29"/>
    <s v="270157"/>
    <s v="M/s. Kanailal Keder Prasad"/>
    <s v="9474075544"/>
  </r>
  <r>
    <s v="RCF Thal"/>
    <s v="N.C.Urea(45kg)"/>
    <s v="WB"/>
    <x v="13"/>
    <s v="English Bazar"/>
    <s v="User Not Mapped"/>
    <s v="User Not Mapped"/>
    <s v="User Not Mapped"/>
    <n v="387285"/>
    <s v="Adarsha Krishi Sar Bhandar"/>
    <s v="Private Retailer"/>
    <s v="9609747466"/>
    <n v="3.2850000000000001"/>
    <n v="42"/>
    <x v="3"/>
    <m/>
    <s v="2026-03-09"/>
    <s v="270157"/>
    <s v="M/s. Kanailal Keder Prasad"/>
    <s v="9474075544"/>
  </r>
  <r>
    <s v="RCF Thal"/>
    <s v="N.C.Urea(45kg)"/>
    <s v="WB"/>
    <x v="13"/>
    <s v="Harischandrapur - I"/>
    <s v="User Not Mapped"/>
    <s v="User Not Mapped"/>
    <s v="User Not Mapped"/>
    <n v="354597"/>
    <s v="Adarsha Sar Bhandarpropsanatan Das"/>
    <s v="Private Retailer"/>
    <s v="9635554052"/>
    <n v="10.71"/>
    <n v="42"/>
    <x v="3"/>
    <m/>
    <s v="2026-03-09"/>
    <s v="270157"/>
    <s v="M/s. Kanailal Keder Prasad"/>
    <s v="9474075544"/>
  </r>
  <r>
    <s v="RCF Thal"/>
    <s v="N.C.Urea(45kg)"/>
    <s v="WB"/>
    <x v="13"/>
    <s v="Habibpur"/>
    <s v="User Not Mapped"/>
    <s v="User Not Mapped"/>
    <s v="User Not Mapped"/>
    <n v="288835"/>
    <s v="Aiho Skus Ltd"/>
    <s v="PACS"/>
    <s v="9733018260"/>
    <n v="9.4949999999999992"/>
    <n v="62"/>
    <x v="6"/>
    <m/>
    <s v="2026-02-17"/>
    <s v="270157"/>
    <s v="M/s. Kanailal Keder Prasad"/>
    <s v="9474075544"/>
  </r>
  <r>
    <s v="RCF Thal"/>
    <s v="N.C.Urea(45kg)"/>
    <s v="WB"/>
    <x v="13"/>
    <s v="Gazole"/>
    <s v="User Not Mapped"/>
    <s v="User Not Mapped"/>
    <s v="User Not Mapped"/>
    <n v="974624"/>
    <s v="ALINA SAR BHANDAR"/>
    <s v="Private Retailer"/>
    <s v="9002580610"/>
    <n v="8.1449999999999996"/>
    <n v="62"/>
    <x v="6"/>
    <m/>
    <s v="2026-02-17"/>
    <s v="270157"/>
    <s v="M/s. Kanailal Keder Prasad"/>
    <s v="9474075544"/>
  </r>
  <r>
    <s v="RCF Trombay"/>
    <s v="N.C.Urea(45kg)"/>
    <s v="WB"/>
    <x v="13"/>
    <s v="Manikchak"/>
    <s v="User Not Mapped"/>
    <s v="User Not Mapped"/>
    <s v="User Not Mapped"/>
    <n v="475885"/>
    <s v="Amader Sar Bhandar"/>
    <s v="Private Retailer"/>
    <s v="9734127694"/>
    <n v="8.73"/>
    <n v="124"/>
    <x v="4"/>
    <m/>
    <s v="2025-12-17"/>
    <s v="270157"/>
    <s v="M/s. Kanailal Keder Prasad"/>
    <s v="9474075544"/>
  </r>
  <r>
    <s v="RCF Thal"/>
    <s v="N.C.Urea(45kg)"/>
    <s v="WB"/>
    <x v="13"/>
    <s v="Ratua - I"/>
    <s v="User Not Mapped"/>
    <s v="User Not Mapped"/>
    <s v="User Not Mapped"/>
    <n v="988976"/>
    <s v="AMIT MANDAL"/>
    <s v="Private Retailer"/>
    <s v="9593863722"/>
    <n v="6.39"/>
    <n v="360"/>
    <x v="1"/>
    <m/>
    <s v="2025-04-25"/>
    <s v="270157"/>
    <s v="M/s. Kanailal Keder Prasad"/>
    <s v="9474075544"/>
  </r>
  <r>
    <s v="RCF Thal"/>
    <s v="N.C.Urea(45kg)"/>
    <s v="WB"/>
    <x v="13"/>
    <s v="Harischandrapur - II"/>
    <s v="User Not Mapped"/>
    <s v="User Not Mapped"/>
    <s v="User Not Mapped"/>
    <n v="1461405"/>
    <s v="ANKITA FERTILIZER SHOP"/>
    <s v="Private Retailer"/>
    <s v="9609950525"/>
    <n v="4.05"/>
    <n v="42"/>
    <x v="3"/>
    <m/>
    <s v="2026-03-09"/>
    <s v="270157"/>
    <s v="M/s. Kanailal Keder Prasad"/>
    <s v="9474075544"/>
  </r>
  <r>
    <s v="RCF Thal"/>
    <s v="N.C.Urea(45kg)"/>
    <s v="WB"/>
    <x v="13"/>
    <s v="Chanchal - II"/>
    <s v="User Not Mapped"/>
    <s v="User Not Mapped"/>
    <s v="User Not Mapped"/>
    <n v="354607"/>
    <s v="Asfaque Hossainchoudhury"/>
    <s v="Private Retailer"/>
    <s v="9733358066"/>
    <n v="11.025"/>
    <n v="148"/>
    <x v="4"/>
    <m/>
    <s v="2025-11-23"/>
    <s v="270157"/>
    <s v="M/s. Kanailal Keder Prasad"/>
    <s v="9474075544"/>
  </r>
  <r>
    <s v="RCF Trombay"/>
    <s v="N.C.Urea(45kg)"/>
    <s v="WB"/>
    <x v="13"/>
    <s v="Habibpur"/>
    <s v="User Not Mapped"/>
    <s v="User Not Mapped"/>
    <s v="User Not Mapped"/>
    <n v="407808"/>
    <s v="Asit Baran Dutta"/>
    <s v="Private Retailer"/>
    <s v="9800715363"/>
    <n v="1.395"/>
    <n v="278"/>
    <x v="1"/>
    <m/>
    <s v="2025-07-16"/>
    <s v="270157"/>
    <s v="M/s. Kanailal Keder Prasad"/>
    <s v="9474075544"/>
  </r>
  <r>
    <s v="RCF Trombay"/>
    <s v="15-15-15"/>
    <s v="WB"/>
    <x v="13"/>
    <s v="Habibpur"/>
    <s v="User Not Mapped"/>
    <s v="User Not Mapped"/>
    <s v="User Not Mapped"/>
    <n v="407808"/>
    <s v="Asit Baran Dutta"/>
    <s v="Private Retailer"/>
    <s v="9800715363"/>
    <n v="0.05"/>
    <n v="277"/>
    <x v="1"/>
    <m/>
    <s v="2025-07-17"/>
    <s v="270157"/>
    <s v="M/s. Kanailal Keder Prasad"/>
    <s v="9474075544"/>
  </r>
  <r>
    <s v="RCF Thal"/>
    <s v="N.C.Urea(45kg)"/>
    <s v="WB"/>
    <x v="13"/>
    <s v="Habibpur"/>
    <s v="User Not Mapped"/>
    <s v="User Not Mapped"/>
    <s v="User Not Mapped"/>
    <n v="600001"/>
    <s v="BAISHNAB SAR BHANDAR"/>
    <s v="Private Retailer"/>
    <s v="9733336710"/>
    <n v="5.22"/>
    <n v="42"/>
    <x v="3"/>
    <m/>
    <s v="2026-03-09"/>
    <s v="270157"/>
    <s v="M/s. Kanailal Keder Prasad"/>
    <s v="9474075544"/>
  </r>
  <r>
    <s v="RCF Trombay"/>
    <s v="15-15-15"/>
    <s v="WB"/>
    <x v="13"/>
    <s v="Habibpur"/>
    <s v="User Not Mapped"/>
    <s v="User Not Mapped"/>
    <s v="User Not Mapped"/>
    <n v="600001"/>
    <s v="BAISHNAB SAR BHANDAR"/>
    <s v="Private Retailer"/>
    <s v="9733336710"/>
    <n v="1.5"/>
    <n v="134"/>
    <x v="4"/>
    <m/>
    <s v="2025-12-07"/>
    <s v="270157"/>
    <s v="M/s. Kanailal Keder Prasad"/>
    <s v="9474075544"/>
  </r>
  <r>
    <s v="RCF Thal"/>
    <s v="N.C.Urea(45kg)"/>
    <s v="WB"/>
    <x v="13"/>
    <s v="Habibpur"/>
    <s v="User Not Mapped"/>
    <s v="User Not Mapped"/>
    <s v="User Not Mapped"/>
    <n v="622702"/>
    <s v="Basanta Sar Bhandar"/>
    <s v="Private Retailer"/>
    <s v="8967160512"/>
    <n v="11.025"/>
    <n v="62"/>
    <x v="6"/>
    <m/>
    <s v="2026-02-17"/>
    <s v="270157"/>
    <s v="M/s. Kanailal Keder Prasad"/>
    <s v="9474075544"/>
  </r>
  <r>
    <s v="RCF Thal"/>
    <s v="N.C.Urea(45kg)"/>
    <s v="WB"/>
    <x v="13"/>
    <s v="Habibpur"/>
    <s v="User Not Mapped"/>
    <s v="User Not Mapped"/>
    <s v="User Not Mapped"/>
    <n v="622702"/>
    <s v="Basanta Sar Bhandar"/>
    <s v="Private Retailer"/>
    <s v="8967160512"/>
    <n v="9.5850000000000009"/>
    <n v="90"/>
    <x v="6"/>
    <m/>
    <s v="2026-01-20"/>
    <s v="270157"/>
    <s v="M/s. Kanailal Keder Prasad"/>
    <s v="9474075544"/>
  </r>
  <r>
    <s v="RCF Thal"/>
    <s v="N.C.Urea(45kg)"/>
    <s v="WB"/>
    <x v="13"/>
    <s v="Bamangola"/>
    <s v="User Not Mapped"/>
    <s v="User Not Mapped"/>
    <s v="User Not Mapped"/>
    <n v="661019"/>
    <s v="BHAI BHAI SAR BHANDAR"/>
    <s v="Private Retailer"/>
    <s v="9735994083"/>
    <n v="2.88"/>
    <n v="220"/>
    <x v="1"/>
    <m/>
    <s v="2025-09-12"/>
    <s v="270157"/>
    <s v="M/s. Kanailal Keder Prasad"/>
    <s v="9474075544"/>
  </r>
  <r>
    <s v="RCF Thal"/>
    <s v="N.C.Urea(45kg)"/>
    <s v="WB"/>
    <x v="13"/>
    <m/>
    <s v="User Not Mapped"/>
    <s v="User Not Mapped"/>
    <s v="User Not Mapped"/>
    <n v="622655"/>
    <s v="Bijoy Laxmi krishi bhandar"/>
    <s v="Private Retailer"/>
    <s v="9609160958"/>
    <n v="11.654999999999999"/>
    <n v="2423"/>
    <x v="2"/>
    <m/>
    <s v="2019-09-01"/>
    <s v="270157"/>
    <s v="M/s. Kanailal Keder Prasad"/>
    <s v="9474075544"/>
  </r>
  <r>
    <s v="RCF Thal"/>
    <s v="N.C.Urea(45kg)"/>
    <s v="WB"/>
    <x v="13"/>
    <s v="Habibpur"/>
    <s v="User Not Mapped"/>
    <s v="User Not Mapped"/>
    <s v="User Not Mapped"/>
    <n v="461159"/>
    <s v="Bishnu Sarkar"/>
    <s v="Private Retailer"/>
    <s v="9002809742"/>
    <n v="11.025"/>
    <n v="42"/>
    <x v="3"/>
    <m/>
    <s v="2026-03-09"/>
    <s v="270157"/>
    <s v="M/s. Kanailal Keder Prasad"/>
    <s v="9474075544"/>
  </r>
  <r>
    <s v="RCF Trombay"/>
    <s v="15-15-15"/>
    <s v="WB"/>
    <x v="13"/>
    <s v="Habibpur"/>
    <s v="User Not Mapped"/>
    <s v="User Not Mapped"/>
    <s v="User Not Mapped"/>
    <n v="461159"/>
    <s v="Bishnu Sarkar"/>
    <s v="Private Retailer"/>
    <s v="9002809742"/>
    <n v="0.35"/>
    <n v="191"/>
    <x v="1"/>
    <m/>
    <s v="2025-10-11"/>
    <s v="270157"/>
    <s v="M/s. Kanailal Keder Prasad"/>
    <s v="9474075544"/>
  </r>
  <r>
    <s v="RCF Thal"/>
    <s v="N.C.Urea(45kg)"/>
    <s v="WB"/>
    <x v="13"/>
    <s v="Habibpur"/>
    <s v="User Not Mapped"/>
    <s v="User Not Mapped"/>
    <s v="User Not Mapped"/>
    <n v="461159"/>
    <s v="Bishnu Sarkar"/>
    <s v="Private Retailer"/>
    <s v="9002809742"/>
    <n v="3.375"/>
    <n v="90"/>
    <x v="6"/>
    <m/>
    <s v="2026-01-20"/>
    <s v="270157"/>
    <s v="M/s. Kanailal Keder Prasad"/>
    <s v="9474075544"/>
  </r>
  <r>
    <s v="RCF Trombay"/>
    <s v="N.C.Urea(45kg)"/>
    <s v="WB"/>
    <x v="13"/>
    <s v="Habibpur"/>
    <s v="User Not Mapped"/>
    <s v="User Not Mapped"/>
    <s v="User Not Mapped"/>
    <n v="461159"/>
    <s v="Bishnu Sarkar"/>
    <s v="Private Retailer"/>
    <s v="9002809742"/>
    <n v="1.395"/>
    <n v="165"/>
    <x v="4"/>
    <m/>
    <s v="2025-11-06"/>
    <s v="270157"/>
    <s v="M/s. Kanailal Keder Prasad"/>
    <s v="9474075544"/>
  </r>
  <r>
    <s v="RCF Thal"/>
    <s v="N.C.Urea(45kg)"/>
    <s v="WB"/>
    <x v="13"/>
    <s v="Manikchak"/>
    <s v="User Not Mapped"/>
    <s v="User Not Mapped"/>
    <s v="User Not Mapped"/>
    <n v="1338630"/>
    <s v="BISWAJIT CHOWDHURY"/>
    <s v="Private Retailer"/>
    <s v="9735096420"/>
    <n v="4.7249999999999996"/>
    <n v="90"/>
    <x v="6"/>
    <m/>
    <s v="2026-01-20"/>
    <s v="270157"/>
    <s v="M/s. Kanailal Keder Prasad"/>
    <s v="9474075544"/>
  </r>
  <r>
    <s v="RCF Thal"/>
    <s v="N.C.Urea(45kg)"/>
    <s v="WB"/>
    <x v="13"/>
    <s v="Gazole"/>
    <s v="User Not Mapped"/>
    <s v="User Not Mapped"/>
    <s v="User Not Mapped"/>
    <n v="1395216"/>
    <s v="BISWAS KRISHI GHAR"/>
    <s v="Private Retailer"/>
    <s v="9614770266"/>
    <n v="6.75"/>
    <n v="90"/>
    <x v="6"/>
    <m/>
    <s v="2026-01-20"/>
    <s v="270157"/>
    <s v="M/s. Kanailal Keder Prasad"/>
    <s v="9474075544"/>
  </r>
  <r>
    <s v="RCF Trombay"/>
    <s v="15-15-15"/>
    <s v="WB"/>
    <x v="13"/>
    <s v="Habibpur"/>
    <s v="User Not Mapped"/>
    <s v="User Not Mapped"/>
    <s v="User Not Mapped"/>
    <n v="328207"/>
    <s v="Brajendra Nath Barman"/>
    <s v="Private Retailer"/>
    <s v="9775821574"/>
    <n v="3.75"/>
    <n v="134"/>
    <x v="4"/>
    <m/>
    <s v="2025-12-07"/>
    <s v="270157"/>
    <s v="M/s. Kanailal Keder Prasad"/>
    <s v="9474075544"/>
  </r>
  <r>
    <s v="RCF Thal"/>
    <s v="N.C.Urea(45kg)"/>
    <s v="WB"/>
    <x v="13"/>
    <s v="Habibpur"/>
    <s v="User Not Mapped"/>
    <s v="User Not Mapped"/>
    <s v="User Not Mapped"/>
    <n v="288852"/>
    <s v="Brindabanbati Skus Ltd."/>
    <s v="PACS"/>
    <s v="8116912524"/>
    <n v="5.3550000000000004"/>
    <n v="42"/>
    <x v="3"/>
    <m/>
    <s v="2026-03-09"/>
    <s v="270157"/>
    <s v="M/s. Kanailal Keder Prasad"/>
    <s v="9474075544"/>
  </r>
  <r>
    <s v="RCF Trombay"/>
    <s v="15-15-15"/>
    <s v="WB"/>
    <x v="13"/>
    <s v="Habibpur"/>
    <s v="User Not Mapped"/>
    <s v="User Not Mapped"/>
    <s v="User Not Mapped"/>
    <n v="288852"/>
    <s v="Brindabanbati Skus Ltd."/>
    <s v="PACS"/>
    <s v="8116912524"/>
    <n v="0.05"/>
    <n v="165"/>
    <x v="4"/>
    <m/>
    <s v="2025-11-06"/>
    <s v="270157"/>
    <s v="M/s. Kanailal Keder Prasad"/>
    <s v="9474075544"/>
  </r>
  <r>
    <s v="RCF Thal"/>
    <s v="N.C.Urea(45kg)"/>
    <s v="WB"/>
    <x v="13"/>
    <s v="Gazole"/>
    <s v="User Not Mapped"/>
    <s v="User Not Mapped"/>
    <s v="User Not Mapped"/>
    <n v="1429146"/>
    <s v="CHIRANJIT MANDAL"/>
    <s v="Private Retailer"/>
    <s v="8617039831"/>
    <n v="3.51"/>
    <n v="42"/>
    <x v="3"/>
    <m/>
    <s v="2026-03-09"/>
    <s v="270157"/>
    <s v="M/s. Kanailal Keder Prasad"/>
    <s v="9474075544"/>
  </r>
  <r>
    <s v="RCF Thal"/>
    <s v="N.C.Urea(45kg)"/>
    <s v="WB"/>
    <x v="13"/>
    <s v="Gazole"/>
    <s v="User Not Mapped"/>
    <s v="User Not Mapped"/>
    <s v="User Not Mapped"/>
    <n v="619138"/>
    <s v="CHITTA RANJAN SAR BHANDAR"/>
    <s v="Private Retailer"/>
    <s v="7585036315"/>
    <n v="4.59"/>
    <n v="90"/>
    <x v="6"/>
    <m/>
    <s v="2026-01-20"/>
    <s v="270157"/>
    <s v="M/s. Kanailal Keder Prasad"/>
    <s v="9474075544"/>
  </r>
  <r>
    <s v="RCF Trombay"/>
    <s v="N.C.Urea(45kg)"/>
    <s v="WB"/>
    <x v="13"/>
    <s v="Gazole"/>
    <s v="User Not Mapped"/>
    <s v="User Not Mapped"/>
    <s v="User Not Mapped"/>
    <n v="619138"/>
    <s v="CHITTA RANJAN SAR BHANDAR"/>
    <s v="Private Retailer"/>
    <s v="7585036315"/>
    <n v="5.67"/>
    <n v="191"/>
    <x v="1"/>
    <m/>
    <s v="2025-10-11"/>
    <s v="270157"/>
    <s v="M/s. Kanailal Keder Prasad"/>
    <s v="9474075544"/>
  </r>
  <r>
    <s v="RCF Thal"/>
    <s v="N.C.Urea(45kg)"/>
    <s v="WB"/>
    <x v="13"/>
    <s v="Maldah (Old)"/>
    <s v="User Not Mapped"/>
    <s v="User Not Mapped"/>
    <s v="User Not Mapped"/>
    <n v="288860"/>
    <s v="Das Sar Bhandar"/>
    <s v="Private Retailer"/>
    <s v="9775412770"/>
    <n v="7.0650000000000004"/>
    <n v="62"/>
    <x v="6"/>
    <m/>
    <s v="2026-02-17"/>
    <s v="270157"/>
    <s v="M/s. Kanailal Keder Prasad"/>
    <s v="9474075544"/>
  </r>
  <r>
    <s v="RCF Thal"/>
    <s v="N.C.Urea(45kg)"/>
    <s v="WB"/>
    <x v="13"/>
    <s v="Harischandrapur - I"/>
    <s v="User Not Mapped"/>
    <s v="User Not Mapped"/>
    <s v="User Not Mapped"/>
    <n v="331233"/>
    <s v="Dipu Sar Bhandar"/>
    <s v="Private Retailer"/>
    <s v="7602620120"/>
    <n v="4.59"/>
    <n v="42"/>
    <x v="3"/>
    <m/>
    <s v="2026-03-09"/>
    <s v="270157"/>
    <s v="M/s. Kanailal Keder Prasad"/>
    <s v="9474075544"/>
  </r>
  <r>
    <s v="RCF Thal"/>
    <s v="N.C.Urea(45kg)"/>
    <s v="WB"/>
    <x v="13"/>
    <s v="Habibpur"/>
    <s v="User Not Mapped"/>
    <s v="User Not Mapped"/>
    <s v="User Not Mapped"/>
    <n v="458408"/>
    <s v="Ganesh Ram Paul"/>
    <s v="Private Retailer"/>
    <s v="9932103978"/>
    <n v="5.94"/>
    <n v="42"/>
    <x v="3"/>
    <m/>
    <s v="2026-03-09"/>
    <s v="270157"/>
    <s v="M/s. Kanailal Keder Prasad"/>
    <s v="9474075544"/>
  </r>
  <r>
    <s v="RCF Trombay"/>
    <s v="N.C.Urea(45kg)"/>
    <s v="WB"/>
    <x v="13"/>
    <s v="Habibpur"/>
    <s v="User Not Mapped"/>
    <s v="User Not Mapped"/>
    <s v="User Not Mapped"/>
    <n v="458408"/>
    <s v="Ganesh Ram Paul"/>
    <s v="Private Retailer"/>
    <s v="9932103978"/>
    <n v="10.305"/>
    <n v="165"/>
    <x v="4"/>
    <m/>
    <s v="2025-11-06"/>
    <s v="270157"/>
    <s v="M/s. Kanailal Keder Prasad"/>
    <s v="9474075544"/>
  </r>
  <r>
    <s v="RCF Trombay"/>
    <s v="15-15-15"/>
    <s v="WB"/>
    <x v="13"/>
    <s v="Habibpur"/>
    <s v="User Not Mapped"/>
    <s v="User Not Mapped"/>
    <s v="User Not Mapped"/>
    <n v="587271"/>
    <s v="GUPTA KISHAN CENTER"/>
    <s v="Private Retailer"/>
    <s v="8348389221"/>
    <n v="8.4499999999999993"/>
    <n v="133"/>
    <x v="4"/>
    <m/>
    <s v="2025-12-08"/>
    <s v="270157"/>
    <s v="M/s. Kanailal Keder Prasad"/>
    <s v="9474075544"/>
  </r>
  <r>
    <s v="RCF Thal"/>
    <s v="N.C.Urea(45kg)"/>
    <s v="WB"/>
    <x v="13"/>
    <s v="Gazole"/>
    <s v="User Not Mapped"/>
    <s v="User Not Mapped"/>
    <s v="User Not Mapped"/>
    <n v="465360"/>
    <s v="Hassain Sar Bhandar"/>
    <s v="Private Retailer"/>
    <s v="9733264432"/>
    <n v="8.2349999999999994"/>
    <n v="126"/>
    <x v="4"/>
    <m/>
    <s v="2025-12-15"/>
    <s v="270157"/>
    <s v="M/s. Kanailal Keder Prasad"/>
    <s v="9474075544"/>
  </r>
  <r>
    <s v="RCF Thal"/>
    <s v="N.C.Urea(45kg)"/>
    <s v="WB"/>
    <x v="13"/>
    <s v="Chanchal - II"/>
    <s v="User Not Mapped"/>
    <s v="User Not Mapped"/>
    <s v="User Not Mapped"/>
    <n v="639389"/>
    <s v="HOBIBUR RAHAMAN"/>
    <s v="Private Retailer"/>
    <s v="9733048317"/>
    <n v="4.1399999999999997"/>
    <n v="42"/>
    <x v="3"/>
    <m/>
    <s v="2026-03-09"/>
    <s v="270157"/>
    <s v="M/s. Kanailal Keder Prasad"/>
    <s v="9474075544"/>
  </r>
  <r>
    <s v="RCF Thal"/>
    <s v="N.C.Urea(45kg)"/>
    <s v="WB"/>
    <x v="13"/>
    <s v="Maldah (Old)"/>
    <s v="User Not Mapped"/>
    <s v="User Not Mapped"/>
    <s v="User Not Mapped"/>
    <n v="626924"/>
    <s v="INDRAJIT SAHA"/>
    <s v="Private Retailer"/>
    <s v="9932402625"/>
    <n v="7.335"/>
    <n v="41"/>
    <x v="3"/>
    <m/>
    <s v="2026-03-10"/>
    <s v="270157"/>
    <s v="M/s. Kanailal Keder Prasad"/>
    <s v="9474075544"/>
  </r>
  <r>
    <s v="RCF Thal"/>
    <s v="N.C.Urea(45kg)"/>
    <s v="WB"/>
    <x v="13"/>
    <s v="Chanchal - II"/>
    <s v="User Not Mapped"/>
    <s v="User Not Mapped"/>
    <s v="User Not Mapped"/>
    <n v="553430"/>
    <s v="Jahangir Hossain"/>
    <s v="Private Retailer"/>
    <s v="9153481569"/>
    <n v="5.13"/>
    <n v="42"/>
    <x v="3"/>
    <m/>
    <s v="2026-03-09"/>
    <s v="270157"/>
    <s v="M/s. Kanailal Keder Prasad"/>
    <s v="9474075544"/>
  </r>
  <r>
    <s v="RCF Thal"/>
    <s v="N.C.Urea(45kg)"/>
    <s v="WB"/>
    <x v="13"/>
    <s v="Habibpur"/>
    <s v="User Not Mapped"/>
    <s v="User Not Mapped"/>
    <s v="User Not Mapped"/>
    <n v="622627"/>
    <s v="Janaki Krishi sava kandra"/>
    <s v="Private Retailer"/>
    <s v="9775856463"/>
    <n v="2.52"/>
    <n v="62"/>
    <x v="6"/>
    <m/>
    <s v="2026-02-17"/>
    <s v="270157"/>
    <s v="M/s. Kanailal Keder Prasad"/>
    <s v="9474075544"/>
  </r>
  <r>
    <s v="RCF Trombay"/>
    <s v="N.C.Urea(45kg)"/>
    <s v="WB"/>
    <x v="13"/>
    <s v="Habibpur"/>
    <s v="User Not Mapped"/>
    <s v="User Not Mapped"/>
    <s v="User Not Mapped"/>
    <n v="622627"/>
    <s v="Janaki Krishi sava kandra"/>
    <s v="Private Retailer"/>
    <s v="9775856463"/>
    <n v="6.0570000000000004"/>
    <n v="165"/>
    <x v="4"/>
    <m/>
    <s v="2025-11-06"/>
    <s v="270157"/>
    <s v="M/s. Kanailal Keder Prasad"/>
    <s v="9474075544"/>
  </r>
  <r>
    <s v="RCF Thal"/>
    <s v="N.C.Urea(45kg)"/>
    <s v="WB"/>
    <x v="13"/>
    <s v="Habibpur"/>
    <s v="User Not Mapped"/>
    <s v="User Not Mapped"/>
    <s v="User Not Mapped"/>
    <n v="622627"/>
    <s v="Janaki Krishi sava kandra"/>
    <s v="Private Retailer"/>
    <s v="9775856463"/>
    <n v="11.025"/>
    <n v="42"/>
    <x v="3"/>
    <m/>
    <s v="2026-03-09"/>
    <s v="270157"/>
    <s v="M/s. Kanailal Keder Prasad"/>
    <s v="9474075544"/>
  </r>
  <r>
    <s v="RCF Thal"/>
    <s v="N.C.Urea(45kg)"/>
    <s v="WB"/>
    <x v="13"/>
    <s v="Ratua - II"/>
    <s v="User Not Mapped"/>
    <s v="User Not Mapped"/>
    <s v="User Not Mapped"/>
    <n v="411518"/>
    <s v="Joy Maa Durga Sar Bhandar"/>
    <s v="Private Retailer"/>
    <s v="9800717917"/>
    <n v="4.3650000000000002"/>
    <n v="42"/>
    <x v="3"/>
    <m/>
    <s v="2026-03-09"/>
    <s v="270157"/>
    <s v="M/s. Kanailal Keder Prasad"/>
    <s v="9474075544"/>
  </r>
  <r>
    <s v="RCF Thal"/>
    <s v="N.C.Urea(45kg)"/>
    <s v="WB"/>
    <x v="13"/>
    <s v="Maldah (Old)"/>
    <s v="User Not Mapped"/>
    <s v="User Not Mapped"/>
    <s v="User Not Mapped"/>
    <n v="913619"/>
    <s v="Juli Mili Sar Bhandar"/>
    <s v="Private Retailer"/>
    <s v="9593688879"/>
    <n v="11.025"/>
    <n v="57"/>
    <x v="3"/>
    <m/>
    <s v="2026-02-22"/>
    <s v="270157"/>
    <s v="M/s. Kanailal Keder Prasad"/>
    <s v="9474075544"/>
  </r>
  <r>
    <s v="RCF Thal"/>
    <s v="N.C.Urea(45kg)"/>
    <s v="WB"/>
    <x v="13"/>
    <s v="Maldah (Old)"/>
    <s v="User Not Mapped"/>
    <s v="User Not Mapped"/>
    <s v="User Not Mapped"/>
    <n v="913619"/>
    <s v="Juli Mili Sar Bhandar"/>
    <s v="Private Retailer"/>
    <s v="9593688879"/>
    <n v="1.44"/>
    <n v="475"/>
    <x v="0"/>
    <m/>
    <s v="2024-12-31"/>
    <s v="270157"/>
    <s v="M/s. Kanailal Keder Prasad"/>
    <s v="9474075544"/>
  </r>
  <r>
    <s v="RCF Thal"/>
    <s v="N.C.Urea(45kg)"/>
    <s v="WB"/>
    <x v="13"/>
    <s v="Harischandrapur - I"/>
    <s v="User Not Mapped"/>
    <s v="User Not Mapped"/>
    <s v="User Not Mapped"/>
    <n v="482098"/>
    <s v="Kamal Kanta Das"/>
    <s v="Private Retailer"/>
    <s v="9800695901"/>
    <n v="5.8049999999999997"/>
    <n v="126"/>
    <x v="4"/>
    <m/>
    <s v="2025-12-15"/>
    <s v="270157"/>
    <s v="M/s. Kanailal Keder Prasad"/>
    <s v="9474075544"/>
  </r>
  <r>
    <s v="RCF Thal"/>
    <s v="N.C.Urea(45kg)"/>
    <s v="WB"/>
    <x v="13"/>
    <s v="Gazole"/>
    <s v="User Not Mapped"/>
    <s v="User Not Mapped"/>
    <s v="User Not Mapped"/>
    <n v="411928"/>
    <s v="Kartik Choudhury"/>
    <s v="Private Retailer"/>
    <s v="9733307838"/>
    <n v="1.44"/>
    <n v="42"/>
    <x v="3"/>
    <m/>
    <s v="2026-03-09"/>
    <s v="270157"/>
    <s v="M/s. Kanailal Keder Prasad"/>
    <s v="9474075544"/>
  </r>
  <r>
    <s v="RCF Trombay"/>
    <s v="N.C.Urea(45kg)"/>
    <s v="WB"/>
    <x v="13"/>
    <s v="Manikchak"/>
    <s v="User Not Mapped"/>
    <s v="User Not Mapped"/>
    <s v="User Not Mapped"/>
    <n v="517269"/>
    <s v="Keshab Chandra Singha"/>
    <s v="Private Retailer"/>
    <s v="9775988064"/>
    <n v="9.9"/>
    <n v="124"/>
    <x v="4"/>
    <m/>
    <s v="2025-12-17"/>
    <s v="270157"/>
    <s v="M/s. Kanailal Keder Prasad"/>
    <s v="9474075544"/>
  </r>
  <r>
    <s v="RCF Thal"/>
    <s v="N.C.Urea(45kg)"/>
    <s v="WB"/>
    <x v="13"/>
    <s v="Harischandrapur - I"/>
    <s v="User Not Mapped"/>
    <s v="User Not Mapped"/>
    <s v="User Not Mapped"/>
    <n v="331405"/>
    <s v="Krishi Sangastha              "/>
    <s v="Private Retailer"/>
    <s v="9434040109"/>
    <n v="10.35"/>
    <n v="42"/>
    <x v="3"/>
    <m/>
    <s v="2026-03-09"/>
    <s v="270157"/>
    <s v="M/s. Kanailal Keder Prasad"/>
    <s v="9474075544"/>
  </r>
  <r>
    <s v="RCF Thal"/>
    <s v="N.C.Urea(45kg)"/>
    <s v="WB"/>
    <x v="13"/>
    <s v="Maldah (Old)"/>
    <s v="User Not Mapped"/>
    <s v="User Not Mapped"/>
    <s v="User Not Mapped"/>
    <n v="328213"/>
    <s v="Lakshmi Sar Bhandar"/>
    <s v="Private Retailer"/>
    <s v="9474159751"/>
    <n v="9.81"/>
    <n v="42"/>
    <x v="3"/>
    <m/>
    <s v="2026-03-09"/>
    <s v="270157"/>
    <s v="M/s. Kanailal Keder Prasad"/>
    <s v="9474075544"/>
  </r>
  <r>
    <s v="RCF Thal"/>
    <s v="N.C.Urea(45kg)"/>
    <s v="WB"/>
    <x v="13"/>
    <s v="Maldah (Old)"/>
    <s v="User Not Mapped"/>
    <s v="User Not Mapped"/>
    <s v="User Not Mapped"/>
    <n v="288888"/>
    <s v="Loknath Sar Bhandar"/>
    <s v="Private Retailer"/>
    <s v="9932184917"/>
    <n v="4.8150000000000004"/>
    <n v="62"/>
    <x v="6"/>
    <m/>
    <s v="2026-02-17"/>
    <s v="270157"/>
    <s v="M/s. Kanailal Keder Prasad"/>
    <s v="9474075544"/>
  </r>
  <r>
    <s v="RCF Thal"/>
    <s v="N.C.Urea(45kg)"/>
    <s v="WB"/>
    <x v="13"/>
    <s v="Chanchal - II"/>
    <s v="User Not Mapped"/>
    <s v="User Not Mapped"/>
    <s v="User Not Mapped"/>
    <n v="986730"/>
    <s v="M/S ABDUL ALIM"/>
    <s v="Private Retailer"/>
    <s v="9593996350"/>
    <n v="4.05"/>
    <n v="42"/>
    <x v="3"/>
    <m/>
    <s v="2026-03-09"/>
    <s v="270157"/>
    <s v="M/s. Kanailal Keder Prasad"/>
    <s v="9474075544"/>
  </r>
  <r>
    <s v="RCF Thal"/>
    <s v="N.C.Urea(45kg)"/>
    <s v="WB"/>
    <x v="13"/>
    <s v="Chanchal - II"/>
    <s v="User Not Mapped"/>
    <s v="User Not Mapped"/>
    <s v="User Not Mapped"/>
    <n v="916058"/>
    <s v="M/S ABDUL AZIZ"/>
    <s v="Private Retailer"/>
    <s v="6294429282"/>
    <n v="5.625"/>
    <n v="42"/>
    <x v="3"/>
    <m/>
    <s v="2026-03-09"/>
    <s v="270157"/>
    <s v="M/s. Kanailal Keder Prasad"/>
    <s v="9474075544"/>
  </r>
  <r>
    <s v="RCF Thal"/>
    <s v="N.C.Urea(45kg)"/>
    <s v="WB"/>
    <x v="13"/>
    <s v="Kaliachak - I"/>
    <s v="User Not Mapped"/>
    <s v="User Not Mapped"/>
    <s v="User Not Mapped"/>
    <n v="737040"/>
    <s v="M/S ABU AJAM"/>
    <s v="Private Retailer"/>
    <s v="7063844048"/>
    <n v="11.025"/>
    <n v="17"/>
    <x v="5"/>
    <m/>
    <s v="2026-04-03"/>
    <s v="270157"/>
    <s v="M/s. Kanailal Keder Prasad"/>
    <s v="9474075544"/>
  </r>
  <r>
    <s v="RCF Thal"/>
    <s v="N.C.Urea(45kg)"/>
    <s v="WB"/>
    <x v="13"/>
    <s v="Kaliachak - I"/>
    <s v="User Not Mapped"/>
    <s v="User Not Mapped"/>
    <s v="User Not Mapped"/>
    <n v="737040"/>
    <s v="M/S ABU AJAM"/>
    <s v="Private Retailer"/>
    <s v="7063844048"/>
    <n v="32.715000000000003"/>
    <n v="62"/>
    <x v="6"/>
    <m/>
    <s v="2026-02-17"/>
    <s v="270157"/>
    <s v="M/s. Kanailal Keder Prasad"/>
    <s v="9474075544"/>
  </r>
  <r>
    <s v="RCF Thal"/>
    <s v="N.C.Urea(45kg)"/>
    <s v="WB"/>
    <x v="13"/>
    <m/>
    <s v="User Not Mapped"/>
    <s v="User Not Mapped"/>
    <s v="User Not Mapped"/>
    <n v="1513367"/>
    <s v="M/S AJIJUL SAR BHANDAR "/>
    <s v="Private Retailer"/>
    <s v="7550922426"/>
    <n v="4.7249999999999996"/>
    <n v="42"/>
    <x v="3"/>
    <m/>
    <s v="2026-03-09"/>
    <s v="270157"/>
    <s v="M/s. Kanailal Keder Prasad"/>
    <s v="9474075544"/>
  </r>
  <r>
    <s v="RCF Thal"/>
    <s v="N.C.Urea(45kg)"/>
    <s v="WB"/>
    <x v="13"/>
    <s v="Gazole"/>
    <s v="User Not Mapped"/>
    <s v="User Not Mapped"/>
    <s v="User Not Mapped"/>
    <n v="288907"/>
    <s v="M/S Akshaya Sar Bhandar"/>
    <s v="Private Retailer"/>
    <s v="8617666761"/>
    <n v="11.025"/>
    <n v="90"/>
    <x v="6"/>
    <m/>
    <s v="2026-01-20"/>
    <s v="270157"/>
    <s v="M/s. Kanailal Keder Prasad"/>
    <s v="9474075544"/>
  </r>
  <r>
    <s v="RCF Thal"/>
    <s v="N.C.Urea(45kg)"/>
    <s v="WB"/>
    <x v="13"/>
    <s v="Ratua - II"/>
    <s v="User Not Mapped"/>
    <s v="User Not Mapped"/>
    <s v="User Not Mapped"/>
    <n v="882123"/>
    <s v="M/S AZIZUR RAHAMAN"/>
    <s v="Private Retailer"/>
    <s v="6295269051"/>
    <n v="9.9450000000000003"/>
    <n v="148"/>
    <x v="4"/>
    <m/>
    <s v="2025-11-23"/>
    <s v="270157"/>
    <s v="M/s. Kanailal Keder Prasad"/>
    <s v="9474075544"/>
  </r>
  <r>
    <s v="RCF Thal"/>
    <s v="N.C.Urea(45kg)"/>
    <s v="WB"/>
    <x v="13"/>
    <s v="Habibpur"/>
    <s v="User Not Mapped"/>
    <s v="User Not Mapped"/>
    <s v="User Not Mapped"/>
    <n v="709121"/>
    <s v="M/S BABA LOKNATH SAR BHANDER"/>
    <s v="Private Retailer"/>
    <s v="7718380186"/>
    <n v="9.9450000000000003"/>
    <n v="62"/>
    <x v="6"/>
    <m/>
    <s v="2026-02-17"/>
    <s v="270157"/>
    <s v="M/s. Kanailal Keder Prasad"/>
    <s v="9474075544"/>
  </r>
  <r>
    <s v="RCF Trombay"/>
    <s v="N.C.Urea(45kg)"/>
    <s v="WB"/>
    <x v="13"/>
    <s v="Gazole"/>
    <s v="User Not Mapped"/>
    <s v="User Not Mapped"/>
    <s v="User Not Mapped"/>
    <n v="1303312"/>
    <s v="M/S BANALATA SAR BHANDAR"/>
    <s v="Private Retailer"/>
    <s v="9775456497"/>
    <n v="0.9"/>
    <n v="134"/>
    <x v="4"/>
    <m/>
    <s v="2025-12-07"/>
    <s v="270157"/>
    <s v="M/s. Kanailal Keder Prasad"/>
    <s v="9474075544"/>
  </r>
  <r>
    <s v="RCF Thal"/>
    <s v="N.C.Urea(45kg)"/>
    <s v="WB"/>
    <x v="13"/>
    <s v="Bamangola"/>
    <s v="User Not Mapped"/>
    <s v="User Not Mapped"/>
    <s v="User Not Mapped"/>
    <n v="876971"/>
    <s v="M/S BANOMALA FERTILIZER"/>
    <s v="Private Retailer"/>
    <s v="7797915265"/>
    <n v="0.48599999999999999"/>
    <n v="140"/>
    <x v="4"/>
    <m/>
    <s v="2025-12-01"/>
    <s v="270157"/>
    <s v="M/s. Kanailal Keder Prasad"/>
    <s v="9474075544"/>
  </r>
  <r>
    <s v="RCF Thal"/>
    <s v="N.C.Urea(45kg)"/>
    <s v="WB"/>
    <x v="13"/>
    <s v="Ratua - II"/>
    <s v="User Not Mapped"/>
    <s v="User Not Mapped"/>
    <s v="User Not Mapped"/>
    <n v="516354"/>
    <s v="M/S- BELIRA BIBI"/>
    <s v="Private Retailer"/>
    <s v="9153217302"/>
    <n v="11.025"/>
    <n v="42"/>
    <x v="3"/>
    <m/>
    <s v="2026-03-09"/>
    <s v="270157"/>
    <s v="M/s. Kanailal Keder Prasad"/>
    <s v="9474075544"/>
  </r>
  <r>
    <s v="RCF Thal"/>
    <s v="N.C.Urea(45kg)"/>
    <s v="WB"/>
    <x v="13"/>
    <s v="Habibpur"/>
    <s v="User Not Mapped"/>
    <s v="User Not Mapped"/>
    <s v="User Not Mapped"/>
    <n v="307708"/>
    <s v="M/S Bharti Sar Bhandar"/>
    <s v="Private Retailer"/>
    <s v="9932974311"/>
    <n v="5.3949999999999996"/>
    <n v="148"/>
    <x v="4"/>
    <m/>
    <s v="2025-11-23"/>
    <s v="270157"/>
    <s v="M/s. Kanailal Keder Prasad"/>
    <s v="9474075544"/>
  </r>
  <r>
    <s v="RCF Thal"/>
    <s v="N.C.Urea(45kg)"/>
    <s v="WB"/>
    <x v="13"/>
    <s v="Habibpur"/>
    <s v="User Not Mapped"/>
    <s v="User Not Mapped"/>
    <s v="User Not Mapped"/>
    <n v="328220"/>
    <s v="M/S Bimal Chandra Sarkar"/>
    <s v="Private Retailer"/>
    <s v="9434981194"/>
    <n v="11.025"/>
    <n v="62"/>
    <x v="6"/>
    <m/>
    <s v="2026-02-17"/>
    <s v="270157"/>
    <s v="M/s. Kanailal Keder Prasad"/>
    <s v="9474075544"/>
  </r>
  <r>
    <s v="RCF Thal"/>
    <s v="N.C.Urea(45kg)"/>
    <s v="WB"/>
    <x v="13"/>
    <s v="Habibpur"/>
    <s v="User Not Mapped"/>
    <s v="User Not Mapped"/>
    <s v="User Not Mapped"/>
    <n v="328220"/>
    <s v="M/S Bimal Chandra Sarkar"/>
    <s v="Private Retailer"/>
    <s v="9434981194"/>
    <n v="6.7050000000000001"/>
    <n v="90"/>
    <x v="6"/>
    <m/>
    <s v="2026-01-20"/>
    <s v="270157"/>
    <s v="M/s. Kanailal Keder Prasad"/>
    <s v="9474075544"/>
  </r>
  <r>
    <s v="RCF Trombay"/>
    <s v="N.C.Urea(45kg)"/>
    <s v="WB"/>
    <x v="13"/>
    <s v="Maldah (Old)"/>
    <s v="User Not Mapped"/>
    <s v="User Not Mapped"/>
    <s v="User Not Mapped"/>
    <n v="631037"/>
    <s v="M/S BIMAL CHANDRA SARKAR"/>
    <s v="Private Retailer"/>
    <s v="9933828393"/>
    <n v="2.16"/>
    <n v="124"/>
    <x v="4"/>
    <m/>
    <s v="2025-12-17"/>
    <s v="270157"/>
    <s v="M/s. Kanailal Keder Prasad"/>
    <s v="9474075544"/>
  </r>
  <r>
    <s v="RCF Thal"/>
    <s v="N.C.Urea(45kg)"/>
    <s v="WB"/>
    <x v="13"/>
    <s v="Gazole"/>
    <s v="User Not Mapped"/>
    <s v="User Not Mapped"/>
    <s v="User Not Mapped"/>
    <n v="1236315"/>
    <s v="M/S BISWANATH MAJUMDAR"/>
    <s v="Private Retailer"/>
    <s v="9593877940"/>
    <n v="5.085"/>
    <n v="496"/>
    <x v="0"/>
    <m/>
    <s v="2024-12-10"/>
    <s v="270157"/>
    <s v="M/s. Kanailal Keder Prasad"/>
    <s v="9474075544"/>
  </r>
  <r>
    <s v="RCF Import"/>
    <s v="Imp 10-26-26"/>
    <s v="WB"/>
    <x v="13"/>
    <s v="Habibpur"/>
    <s v="User Not Mapped"/>
    <s v="User Not Mapped"/>
    <s v="User Not Mapped"/>
    <n v="507598"/>
    <s v="M/S Biswanath Sar Bhander"/>
    <s v="Private Retailer"/>
    <s v="8170819030"/>
    <n v="11"/>
    <n v="74"/>
    <x v="6"/>
    <m/>
    <s v="2026-02-05"/>
    <s v="270157"/>
    <s v="M/s. Kanailal Keder Prasad"/>
    <s v="9474075544"/>
  </r>
  <r>
    <s v="RCF Thal"/>
    <s v="N.C.Urea(45kg)"/>
    <s v="WB"/>
    <x v="13"/>
    <s v="Habibpur"/>
    <s v="User Not Mapped"/>
    <s v="User Not Mapped"/>
    <s v="User Not Mapped"/>
    <n v="507598"/>
    <s v="M/S Biswanath Sar Bhander"/>
    <s v="Private Retailer"/>
    <s v="8170819030"/>
    <n v="11.025"/>
    <n v="42"/>
    <x v="3"/>
    <m/>
    <s v="2026-03-09"/>
    <s v="270157"/>
    <s v="M/s. Kanailal Keder Prasad"/>
    <s v="9474075544"/>
  </r>
  <r>
    <s v="RCF Trombay"/>
    <s v="15-15-15"/>
    <s v="WB"/>
    <x v="13"/>
    <s v="Habibpur"/>
    <s v="User Not Mapped"/>
    <s v="User Not Mapped"/>
    <s v="User Not Mapped"/>
    <n v="507598"/>
    <s v="M/S Biswanath Sar Bhander"/>
    <s v="Private Retailer"/>
    <s v="8170819030"/>
    <n v="13.75"/>
    <n v="191"/>
    <x v="1"/>
    <m/>
    <s v="2025-10-11"/>
    <s v="270157"/>
    <s v="M/s. Kanailal Keder Prasad"/>
    <s v="9474075544"/>
  </r>
  <r>
    <s v="RCF Trombay"/>
    <s v="15-15-15"/>
    <s v="WB"/>
    <x v="13"/>
    <s v="Habibpur"/>
    <s v="User Not Mapped"/>
    <s v="User Not Mapped"/>
    <s v="User Not Mapped"/>
    <n v="507598"/>
    <s v="M/S Biswanath Sar Bhander"/>
    <s v="Private Retailer"/>
    <s v="8170819030"/>
    <n v="12"/>
    <n v="134"/>
    <x v="4"/>
    <m/>
    <s v="2025-12-07"/>
    <s v="270157"/>
    <s v="M/s. Kanailal Keder Prasad"/>
    <s v="9474075544"/>
  </r>
  <r>
    <s v="RCF Thal"/>
    <s v="N.C.Urea(45kg)"/>
    <s v="WB"/>
    <x v="13"/>
    <s v="Habibpur"/>
    <s v="User Not Mapped"/>
    <s v="User Not Mapped"/>
    <s v="User Not Mapped"/>
    <n v="507598"/>
    <s v="M/S Biswanath Sar Bhander"/>
    <s v="Private Retailer"/>
    <s v="8170819030"/>
    <n v="5.3550000000000004"/>
    <n v="90"/>
    <x v="6"/>
    <m/>
    <s v="2026-01-20"/>
    <s v="270157"/>
    <s v="M/s. Kanailal Keder Prasad"/>
    <s v="9474075544"/>
  </r>
  <r>
    <s v="RCF Thal"/>
    <s v="N.C.Urea(45kg)"/>
    <s v="WB"/>
    <x v="13"/>
    <s v="Gazole"/>
    <s v="User Not Mapped"/>
    <s v="User Not Mapped"/>
    <s v="User Not Mapped"/>
    <n v="1461419"/>
    <s v="M/S BISWAS SEEDS AND PESTICIDE"/>
    <s v="Private Retailer"/>
    <s v="7063858352"/>
    <n v="4.5"/>
    <n v="90"/>
    <x v="6"/>
    <m/>
    <s v="2026-01-20"/>
    <s v="270157"/>
    <s v="M/s. Kanailal Keder Prasad"/>
    <s v="9474075544"/>
  </r>
  <r>
    <s v="RCF Trombay"/>
    <s v="15-15-15"/>
    <s v="WB"/>
    <x v="13"/>
    <s v="Habibpur"/>
    <s v="User Not Mapped"/>
    <s v="User Not Mapped"/>
    <s v="User Not Mapped"/>
    <n v="731105"/>
    <s v="M/S CHAND MOHAN BARMAN"/>
    <s v="Private Retailer"/>
    <s v="9735047376"/>
    <n v="3.4"/>
    <n v="124"/>
    <x v="4"/>
    <m/>
    <s v="2025-12-17"/>
    <s v="270157"/>
    <s v="M/s. Kanailal Keder Prasad"/>
    <s v="9474075544"/>
  </r>
  <r>
    <s v="RCF Thal"/>
    <s v="N.C.Urea(45kg)"/>
    <s v="WB"/>
    <x v="13"/>
    <s v="Habibpur"/>
    <s v="User Not Mapped"/>
    <s v="User Not Mapped"/>
    <s v="User Not Mapped"/>
    <n v="307710"/>
    <s v="M/S Chhotelal Sar Bhandar"/>
    <s v="Private Retailer"/>
    <s v="9800471722"/>
    <n v="6.3449999999999998"/>
    <n v="42"/>
    <x v="3"/>
    <m/>
    <s v="2026-03-09"/>
    <s v="270157"/>
    <s v="M/s. Kanailal Keder Prasad"/>
    <s v="9474075544"/>
  </r>
  <r>
    <s v="RCF Import"/>
    <s v="Imp 10-26-26"/>
    <s v="WB"/>
    <x v="13"/>
    <s v="Habibpur"/>
    <s v="User Not Mapped"/>
    <s v="User Not Mapped"/>
    <s v="User Not Mapped"/>
    <n v="307710"/>
    <s v="M/S Chhotelal Sar Bhandar"/>
    <s v="Private Retailer"/>
    <s v="9800471722"/>
    <n v="5.3"/>
    <n v="51"/>
    <x v="3"/>
    <m/>
    <s v="2026-02-28"/>
    <s v="270157"/>
    <s v="M/s. Kanailal Keder Prasad"/>
    <s v="9474075544"/>
  </r>
  <r>
    <s v="RCF Thal"/>
    <s v="N.C.Urea(45kg)"/>
    <s v="WB"/>
    <x v="13"/>
    <s v="Habibpur"/>
    <s v="User Not Mapped"/>
    <s v="User Not Mapped"/>
    <s v="User Not Mapped"/>
    <n v="1029854"/>
    <s v="M/S CHOWDHARY SAR BHANDER"/>
    <s v="Private Retailer"/>
    <s v="8337839150"/>
    <n v="11.025"/>
    <n v="62"/>
    <x v="6"/>
    <m/>
    <s v="2026-02-17"/>
    <s v="270157"/>
    <s v="M/s. Kanailal Keder Prasad"/>
    <s v="9474075544"/>
  </r>
  <r>
    <s v="RCF Thal"/>
    <s v="N.C.Urea(45kg)"/>
    <s v="WB"/>
    <x v="13"/>
    <s v="Habibpur"/>
    <s v="User Not Mapped"/>
    <s v="User Not Mapped"/>
    <s v="User Not Mapped"/>
    <n v="1029854"/>
    <s v="M/S CHOWDHARY SAR BHANDER"/>
    <s v="Private Retailer"/>
    <s v="8337839150"/>
    <n v="2.7"/>
    <n v="258"/>
    <x v="1"/>
    <m/>
    <s v="2025-08-05"/>
    <s v="270157"/>
    <s v="M/s. Kanailal Keder Prasad"/>
    <s v="9474075544"/>
  </r>
  <r>
    <s v="RCF Thal"/>
    <s v="N.C.Urea(45kg)"/>
    <s v="WB"/>
    <x v="13"/>
    <s v="Habibpur"/>
    <s v="User Not Mapped"/>
    <s v="User Not Mapped"/>
    <s v="User Not Mapped"/>
    <n v="1029854"/>
    <s v="M/S CHOWDHARY SAR BHANDER"/>
    <s v="Private Retailer"/>
    <s v="8337839150"/>
    <n v="11.025"/>
    <n v="191"/>
    <x v="1"/>
    <m/>
    <s v="2025-10-11"/>
    <s v="270157"/>
    <s v="M/s. Kanailal Keder Prasad"/>
    <s v="9474075544"/>
  </r>
  <r>
    <s v="RCF Thal"/>
    <s v="N.C.Urea(45kg)"/>
    <s v="WB"/>
    <x v="13"/>
    <s v="Habibpur"/>
    <s v="User Not Mapped"/>
    <s v="User Not Mapped"/>
    <s v="User Not Mapped"/>
    <n v="1534932"/>
    <s v="M/S Dhananjay Sathi Pesticides"/>
    <s v="Private Retailer"/>
    <s v="8670558624"/>
    <n v="0.67500000000000004"/>
    <n v="90"/>
    <x v="6"/>
    <m/>
    <s v="2026-01-20"/>
    <s v="270157"/>
    <s v="M/s. Kanailal Keder Prasad"/>
    <s v="9474075544"/>
  </r>
  <r>
    <s v="RCF Import"/>
    <s v="Imp 10-26-26"/>
    <s v="WB"/>
    <x v="13"/>
    <s v="Habibpur"/>
    <s v="User Not Mapped"/>
    <s v="User Not Mapped"/>
    <s v="User Not Mapped"/>
    <n v="1534932"/>
    <s v="M/S Dhananjay Sathi Pesticides"/>
    <s v="Private Retailer"/>
    <s v="8670558624"/>
    <n v="2.7"/>
    <n v="51"/>
    <x v="3"/>
    <m/>
    <s v="2026-02-28"/>
    <s v="270157"/>
    <s v="M/s. Kanailal Keder Prasad"/>
    <s v="9474075544"/>
  </r>
  <r>
    <s v="RCF Thal"/>
    <s v="N.C.Urea(45kg)"/>
    <s v="WB"/>
    <x v="13"/>
    <s v="Maldah (Old)"/>
    <s v="User Not Mapped"/>
    <s v="User Not Mapped"/>
    <s v="User Not Mapped"/>
    <n v="1461413"/>
    <s v="M/S DHIREN KRISHI BHANDAR"/>
    <s v="Private Retailer"/>
    <s v="9800442548"/>
    <n v="6.3449999999999998"/>
    <n v="148"/>
    <x v="4"/>
    <m/>
    <s v="2025-11-23"/>
    <s v="270157"/>
    <s v="M/s. Kanailal Keder Prasad"/>
    <s v="9474075544"/>
  </r>
  <r>
    <s v="RCF Trombay"/>
    <s v="N.C.Urea(45kg)"/>
    <s v="WB"/>
    <x v="13"/>
    <s v="Chanchal - II"/>
    <s v="User Not Mapped"/>
    <s v="User Not Mapped"/>
    <s v="User Not Mapped"/>
    <n v="917262"/>
    <s v="M/S DILUYAR HOSSAN"/>
    <s v="Private Retailer"/>
    <s v="9832724234"/>
    <n v="4.0949999999999998"/>
    <n v="1885"/>
    <x v="2"/>
    <m/>
    <s v="2021-02-20"/>
    <s v="270157"/>
    <s v="M/s. Kanailal Keder Prasad"/>
    <s v="9474075544"/>
  </r>
  <r>
    <s v="RCF Thal"/>
    <s v="N.C.Urea(45kg)"/>
    <s v="WB"/>
    <x v="13"/>
    <s v="Chanchal - II"/>
    <s v="User Not Mapped"/>
    <s v="User Not Mapped"/>
    <s v="User Not Mapped"/>
    <n v="917262"/>
    <s v="M/S DILUYAR HOSSAN"/>
    <s v="Private Retailer"/>
    <s v="9832724234"/>
    <n v="5.49"/>
    <n v="15"/>
    <x v="5"/>
    <m/>
    <s v="2026-04-05"/>
    <s v="270157"/>
    <s v="M/s. Kanailal Keder Prasad"/>
    <s v="9474075544"/>
  </r>
  <r>
    <s v="RCF Thal"/>
    <s v="N.C.Urea(45kg)"/>
    <s v="WB"/>
    <x v="13"/>
    <s v="Manikchak"/>
    <s v="User Not Mapped"/>
    <s v="User Not Mapped"/>
    <s v="User Not Mapped"/>
    <n v="626050"/>
    <s v="M/S DULALI SAR BHANDAR"/>
    <s v="Private Retailer"/>
    <s v="8371939394"/>
    <n v="11.025"/>
    <n v="87"/>
    <x v="6"/>
    <m/>
    <s v="2026-01-23"/>
    <s v="270157"/>
    <s v="M/s. Kanailal Keder Prasad"/>
    <s v="9474075544"/>
  </r>
  <r>
    <s v="RCF Thal"/>
    <s v="N.C.Urea(45kg)"/>
    <s v="WB"/>
    <x v="13"/>
    <s v="Manikchak"/>
    <s v="User Not Mapped"/>
    <s v="User Not Mapped"/>
    <s v="User Not Mapped"/>
    <n v="626050"/>
    <s v="M/S DULALI SAR BHANDAR"/>
    <s v="Private Retailer"/>
    <s v="8371939394"/>
    <n v="6.21"/>
    <n v="90"/>
    <x v="6"/>
    <m/>
    <s v="2026-01-20"/>
    <s v="270157"/>
    <s v="M/s. Kanailal Keder Prasad"/>
    <s v="9474075544"/>
  </r>
  <r>
    <s v="RCF Thal"/>
    <s v="N.C.Urea(45kg)"/>
    <s v="WB"/>
    <x v="13"/>
    <s v="Gazole"/>
    <s v="User Not Mapped"/>
    <s v="User Not Mapped"/>
    <s v="User Not Mapped"/>
    <n v="1436246"/>
    <s v="M/S GOURANGA MANDAL"/>
    <s v="Private Retailer"/>
    <s v="9614101270"/>
    <n v="4.5449999999999999"/>
    <n v="42"/>
    <x v="3"/>
    <m/>
    <s v="2026-03-09"/>
    <s v="270157"/>
    <s v="M/s. Kanailal Keder Prasad"/>
    <s v="9474075544"/>
  </r>
  <r>
    <s v="RCF Trombay"/>
    <s v="N.C.Urea(45kg)"/>
    <s v="WB"/>
    <x v="13"/>
    <s v="Maldah (Old)"/>
    <s v="User Not Mapped"/>
    <s v="User Not Mapped"/>
    <s v="User Not Mapped"/>
    <n v="1260943"/>
    <s v="M/S J KRISHAK BANDHU"/>
    <s v="Private Retailer"/>
    <s v="8116915287"/>
    <n v="0.22500000000000001"/>
    <n v="165"/>
    <x v="4"/>
    <m/>
    <s v="2025-11-06"/>
    <s v="270157"/>
    <s v="M/s. Kanailal Keder Prasad"/>
    <s v="9474075544"/>
  </r>
  <r>
    <s v="RCF Trombay"/>
    <s v="15-15-15"/>
    <s v="WB"/>
    <x v="13"/>
    <s v="Bamangola"/>
    <s v="User Not Mapped"/>
    <s v="User Not Mapped"/>
    <s v="User Not Mapped"/>
    <n v="876969"/>
    <s v="M/S JAGABANDHU SAR BHANDAR"/>
    <s v="Private Retailer"/>
    <s v="9083461641"/>
    <n v="0.9"/>
    <n v="559"/>
    <x v="2"/>
    <m/>
    <s v="2024-10-08"/>
    <s v="270157"/>
    <s v="M/s. Kanailal Keder Prasad"/>
    <s v="9474075544"/>
  </r>
  <r>
    <s v="RCF Trombay"/>
    <s v="N.C.Urea(45kg)"/>
    <s v="WB"/>
    <x v="13"/>
    <m/>
    <s v="User Not Mapped"/>
    <s v="User Not Mapped"/>
    <s v="User Not Mapped"/>
    <n v="411986"/>
    <s v="M/S Joy Durga Krishi Bhandar"/>
    <s v="Private Retailer"/>
    <s v="9735972420"/>
    <n v="4.4999999999999998E-2"/>
    <n v="207"/>
    <x v="1"/>
    <m/>
    <s v="2025-09-25"/>
    <s v="270157"/>
    <s v="M/s. Kanailal Keder Prasad"/>
    <s v="9474075544"/>
  </r>
  <r>
    <s v="RCF Thal"/>
    <s v="N.C.Urea(45kg)"/>
    <s v="WB"/>
    <x v="13"/>
    <s v="Bamangola"/>
    <s v="User Not Mapped"/>
    <s v="User Not Mapped"/>
    <s v="User Not Mapped"/>
    <n v="328225"/>
    <s v="M/S Kallol Banerjee"/>
    <s v="Private Retailer"/>
    <s v="9434518179"/>
    <n v="38.475000000000001"/>
    <n v="42"/>
    <x v="3"/>
    <m/>
    <s v="2026-03-09"/>
    <s v="270157"/>
    <s v="M/s. Kanailal Keder Prasad"/>
    <s v="9474075544"/>
  </r>
  <r>
    <s v="RCF Thal"/>
    <s v="N.C.Urea(45kg)"/>
    <s v="WB"/>
    <x v="13"/>
    <s v="Habibpur"/>
    <s v="User Not Mapped"/>
    <s v="User Not Mapped"/>
    <s v="User Not Mapped"/>
    <n v="1260945"/>
    <s v="M/S KHIRODHAR SAR VANDAR"/>
    <s v="Private Retailer"/>
    <s v="9933127624"/>
    <n v="10.26"/>
    <n v="42"/>
    <x v="3"/>
    <m/>
    <s v="2026-03-09"/>
    <s v="270157"/>
    <s v="M/s. Kanailal Keder Prasad"/>
    <s v="9474075544"/>
  </r>
  <r>
    <s v="RCF Import"/>
    <s v="MOP"/>
    <s v="WB"/>
    <x v="13"/>
    <s v="Gazole"/>
    <s v="User Not Mapped"/>
    <s v="User Not Mapped"/>
    <s v="User Not Mapped"/>
    <n v="920011"/>
    <s v="M/S KIRTONIA SAR BHANDAR"/>
    <s v="Private Retailer"/>
    <s v="9775414004"/>
    <n v="0.55000000000000004"/>
    <n v="587"/>
    <x v="2"/>
    <m/>
    <s v="2024-09-10"/>
    <s v="270157"/>
    <s v="M/s. Kanailal Keder Prasad"/>
    <s v="9474075544"/>
  </r>
  <r>
    <s v="RCF Trombay"/>
    <s v="15-15-15"/>
    <s v="WB"/>
    <x v="13"/>
    <s v="Habibpur"/>
    <s v="User Not Mapped"/>
    <s v="User Not Mapped"/>
    <s v="User Not Mapped"/>
    <n v="1573237"/>
    <s v="M/S Krishi Ghar"/>
    <s v="Private Retailer"/>
    <s v="8637814147"/>
    <n v="1.5"/>
    <n v="134"/>
    <x v="4"/>
    <m/>
    <s v="2025-12-07"/>
    <s v="270157"/>
    <s v="M/s. Kanailal Keder Prasad"/>
    <s v="9474075544"/>
  </r>
  <r>
    <s v="RCF Thal"/>
    <s v="N.C.Urea(45kg)"/>
    <s v="WB"/>
    <x v="13"/>
    <s v="Habibpur"/>
    <s v="User Not Mapped"/>
    <s v="User Not Mapped"/>
    <s v="User Not Mapped"/>
    <n v="1005126"/>
    <s v="M/S LAXMI NARAYAN SAR BHANDAR"/>
    <s v="Private Retailer"/>
    <s v="7478860009"/>
    <n v="13.904999999999999"/>
    <n v="42"/>
    <x v="3"/>
    <m/>
    <s v="2026-03-09"/>
    <s v="270157"/>
    <s v="M/s. Kanailal Keder Prasad"/>
    <s v="9474075544"/>
  </r>
  <r>
    <s v="RCF Thal"/>
    <s v="N.C.Urea(45kg)"/>
    <s v="WB"/>
    <x v="13"/>
    <s v="Gazole"/>
    <s v="User Not Mapped"/>
    <s v="User Not Mapped"/>
    <s v="User Not Mapped"/>
    <n v="1295898"/>
    <s v="M/S MAA DURGA BHANDAR"/>
    <s v="Private Retailer"/>
    <s v="8250235456"/>
    <n v="3.375"/>
    <n v="126"/>
    <x v="4"/>
    <m/>
    <s v="2025-12-15"/>
    <s v="270157"/>
    <s v="M/s. Kanailal Keder Prasad"/>
    <s v="9474075544"/>
  </r>
  <r>
    <s v="RCF Trombay"/>
    <s v="N.C.Urea(45kg)"/>
    <s v="WB"/>
    <x v="13"/>
    <s v="Habibpur"/>
    <s v="User Not Mapped"/>
    <s v="User Not Mapped"/>
    <s v="User Not Mapped"/>
    <n v="328226"/>
    <s v="M/S Maa Durga Sar Bhandar"/>
    <s v="Private Retailer"/>
    <s v="9733365384"/>
    <n v="0.36"/>
    <n v="278"/>
    <x v="1"/>
    <m/>
    <s v="2025-07-16"/>
    <s v="270157"/>
    <s v="M/s. Kanailal Keder Prasad"/>
    <s v="9474075544"/>
  </r>
  <r>
    <s v="RCF Thal"/>
    <s v="N.C.Urea(45kg)"/>
    <s v="WB"/>
    <x v="13"/>
    <s v="Habibpur"/>
    <s v="User Not Mapped"/>
    <s v="User Not Mapped"/>
    <s v="User Not Mapped"/>
    <n v="768498"/>
    <s v="M/S MAA DURGA SAR BHANDER"/>
    <s v="Private Retailer"/>
    <s v="9609372769"/>
    <n v="0.36"/>
    <n v="87"/>
    <x v="6"/>
    <m/>
    <s v="2026-01-23"/>
    <s v="270157"/>
    <s v="M/s. Kanailal Keder Prasad"/>
    <s v="9474075544"/>
  </r>
  <r>
    <s v="RCF Thal"/>
    <s v="N.C.Urea(45kg)"/>
    <s v="WB"/>
    <x v="13"/>
    <s v="Habibpur"/>
    <s v="User Not Mapped"/>
    <s v="User Not Mapped"/>
    <s v="User Not Mapped"/>
    <n v="1391519"/>
    <s v="M/S MAA DURGA SAR VANDAR"/>
    <s v="Private Retailer"/>
    <s v="7908210052"/>
    <n v="5.7149999999999999"/>
    <n v="42"/>
    <x v="3"/>
    <m/>
    <s v="2026-03-09"/>
    <s v="270157"/>
    <s v="M/s. Kanailal Keder Prasad"/>
    <s v="9474075544"/>
  </r>
  <r>
    <s v="RCF Trombay"/>
    <s v="N.C.Urea(45kg)"/>
    <s v="WB"/>
    <x v="13"/>
    <s v="Bamangola"/>
    <s v="User Not Mapped"/>
    <s v="User Not Mapped"/>
    <s v="User Not Mapped"/>
    <n v="328228"/>
    <s v="M/S Maa Laxmi Sar Bhandar"/>
    <s v="Private Retailer"/>
    <s v="9733393072"/>
    <n v="4.4550000000000001"/>
    <n v="191"/>
    <x v="1"/>
    <m/>
    <s v="2025-10-11"/>
    <s v="270157"/>
    <s v="M/s. Kanailal Keder Prasad"/>
    <s v="9474075544"/>
  </r>
  <r>
    <s v="RCF Thal"/>
    <s v="N.C.Urea(45kg)"/>
    <s v="WB"/>
    <x v="13"/>
    <s v="Gazole"/>
    <s v="User Not Mapped"/>
    <s v="User Not Mapped"/>
    <s v="User Not Mapped"/>
    <n v="626068"/>
    <s v="M/S MAA LAXMI SAR BHANDAR"/>
    <s v="Private Retailer"/>
    <s v="9932931680"/>
    <n v="6.48"/>
    <n v="163"/>
    <x v="4"/>
    <m/>
    <s v="2025-11-08"/>
    <s v="270157"/>
    <s v="M/s. Kanailal Keder Prasad"/>
    <s v="9474075544"/>
  </r>
  <r>
    <s v="RCF Trombay"/>
    <s v="N.C.Urea(45kg)"/>
    <s v="WB"/>
    <x v="13"/>
    <s v="Gazole"/>
    <s v="User Not Mapped"/>
    <s v="User Not Mapped"/>
    <s v="User Not Mapped"/>
    <n v="595549"/>
    <s v="M/S Maa Monosa Sar Bhandar"/>
    <s v="Private Retailer"/>
    <s v="7001038593"/>
    <n v="10.305"/>
    <n v="124"/>
    <x v="4"/>
    <m/>
    <s v="2025-12-17"/>
    <s v="270157"/>
    <s v="M/s. Kanailal Keder Prasad"/>
    <s v="9474075544"/>
  </r>
  <r>
    <s v="RCF Thal"/>
    <s v="N.C.Urea(45kg)"/>
    <s v="WB"/>
    <x v="13"/>
    <s v="Kaliachak - III"/>
    <s v="User Not Mapped"/>
    <s v="User Not Mapped"/>
    <s v="User Not Mapped"/>
    <n v="988234"/>
    <s v="M/S MADINA FERTILIZER"/>
    <s v="Private Retailer"/>
    <s v="7602800322"/>
    <n v="7.7850000000000001"/>
    <n v="526"/>
    <x v="0"/>
    <m/>
    <s v="2024-11-10"/>
    <s v="270157"/>
    <s v="M/s. Kanailal Keder Prasad"/>
    <s v="9474075544"/>
  </r>
  <r>
    <s v="RCF Trombay"/>
    <s v="N.C.Urea(45kg)"/>
    <s v="WB"/>
    <x v="13"/>
    <s v="Bamangola"/>
    <s v="User Not Mapped"/>
    <s v="User Not Mapped"/>
    <s v="User Not Mapped"/>
    <n v="1449897"/>
    <s v="M/S MANDAL BEEJ BHANDER"/>
    <s v="Private Retailer"/>
    <s v="7864034530"/>
    <n v="0.94499999999999995"/>
    <n v="207"/>
    <x v="1"/>
    <m/>
    <s v="2025-09-25"/>
    <s v="270157"/>
    <s v="M/s. Kanailal Keder Prasad"/>
    <s v="9474075544"/>
  </r>
  <r>
    <s v="RCF Thal"/>
    <s v="N.C.Urea(45kg)"/>
    <s v="WB"/>
    <x v="13"/>
    <s v="Kaliachak - III"/>
    <s v="User Not Mapped"/>
    <s v="User Not Mapped"/>
    <s v="User Not Mapped"/>
    <n v="858766"/>
    <s v="M/S MANDAL FERTILIZER"/>
    <s v="Private Retailer"/>
    <s v="9382240788"/>
    <n v="4.4550000000000001"/>
    <n v="90"/>
    <x v="6"/>
    <m/>
    <s v="2026-01-20"/>
    <s v="270157"/>
    <s v="M/s. Kanailal Keder Prasad"/>
    <s v="9474075544"/>
  </r>
  <r>
    <s v="RCF Trombay"/>
    <s v="N.C.Urea(45kg)"/>
    <s v="WB"/>
    <x v="13"/>
    <m/>
    <s v="User Not Mapped"/>
    <s v="User Not Mapped"/>
    <s v="User Not Mapped"/>
    <n v="876740"/>
    <s v="M/S MATHATO SAR BHANDER"/>
    <s v="Private Retailer"/>
    <s v="8167458801"/>
    <n v="0.04"/>
    <n v="2294"/>
    <x v="2"/>
    <m/>
    <s v="2020-01-08"/>
    <s v="270157"/>
    <s v="M/s. Kanailal Keder Prasad"/>
    <s v="9474075544"/>
  </r>
  <r>
    <s v="RCF Thal"/>
    <s v="N.C.Urea(45kg)"/>
    <s v="WB"/>
    <x v="13"/>
    <m/>
    <s v="User Not Mapped"/>
    <s v="User Not Mapped"/>
    <s v="User Not Mapped"/>
    <n v="876740"/>
    <s v="M/S MATHATO SAR BHANDER"/>
    <s v="Private Retailer"/>
    <s v="8167458801"/>
    <n v="9"/>
    <n v="1939"/>
    <x v="2"/>
    <m/>
    <s v="2020-12-28"/>
    <s v="270157"/>
    <s v="M/s. Kanailal Keder Prasad"/>
    <s v="9474075544"/>
  </r>
  <r>
    <s v="RCF Thal"/>
    <s v="N.C.Urea(45kg)"/>
    <s v="WB"/>
    <x v="13"/>
    <m/>
    <s v="User Not Mapped"/>
    <s v="User Not Mapped"/>
    <s v="User Not Mapped"/>
    <n v="876740"/>
    <s v="M/S MATHATO SAR BHANDER"/>
    <s v="Private Retailer"/>
    <s v="8167458801"/>
    <n v="4.5"/>
    <n v="1960"/>
    <x v="2"/>
    <m/>
    <s v="2020-12-07"/>
    <s v="270157"/>
    <s v="M/s. Kanailal Keder Prasad"/>
    <s v="9474075544"/>
  </r>
  <r>
    <s v="RCF Thal"/>
    <s v="N.C.Urea(45kg)"/>
    <s v="WB"/>
    <x v="13"/>
    <m/>
    <s v="User Not Mapped"/>
    <s v="User Not Mapped"/>
    <s v="User Not Mapped"/>
    <n v="876740"/>
    <s v="M/S MATHATO SAR BHANDER"/>
    <s v="Private Retailer"/>
    <s v="8167458801"/>
    <n v="5.85"/>
    <n v="2101"/>
    <x v="2"/>
    <m/>
    <s v="2020-07-19"/>
    <s v="270157"/>
    <s v="M/s. Kanailal Keder Prasad"/>
    <s v="9474075544"/>
  </r>
  <r>
    <s v="RCF Thal"/>
    <s v="N.C.Urea(45kg)"/>
    <s v="WB"/>
    <x v="13"/>
    <s v="Chanchal - I"/>
    <s v="User Not Mapped"/>
    <s v="User Not Mapped"/>
    <s v="User Not Mapped"/>
    <n v="649689"/>
    <s v="M/S MD. ROFIQUL ALAM"/>
    <s v="Private Retailer"/>
    <s v="9734303070"/>
    <n v="10.26"/>
    <n v="191"/>
    <x v="1"/>
    <m/>
    <s v="2025-10-11"/>
    <s v="270157"/>
    <s v="M/s. Kanailal Keder Prasad"/>
    <s v="9474075544"/>
  </r>
  <r>
    <s v="RCF Thal"/>
    <s v="N.C.Urea(45kg)"/>
    <s v="WB"/>
    <x v="13"/>
    <s v="Chanchal - I"/>
    <s v="User Not Mapped"/>
    <s v="User Not Mapped"/>
    <s v="User Not Mapped"/>
    <n v="649689"/>
    <s v="M/S MD. ROFIQUL ALAM"/>
    <s v="Private Retailer"/>
    <s v="9734303070"/>
    <n v="5.5350000000000001"/>
    <n v="90"/>
    <x v="6"/>
    <m/>
    <s v="2026-01-20"/>
    <s v="270157"/>
    <s v="M/s. Kanailal Keder Prasad"/>
    <s v="9474075544"/>
  </r>
  <r>
    <s v="RCF Import"/>
    <s v="Imp 10-26-26"/>
    <s v="WB"/>
    <x v="13"/>
    <s v="Gazole"/>
    <s v="User Not Mapped"/>
    <s v="User Not Mapped"/>
    <s v="User Not Mapped"/>
    <n v="1475397"/>
    <s v="M/S MOJAHAR FERTILIZER"/>
    <s v="Private Retailer"/>
    <s v="8617084896"/>
    <n v="5.5"/>
    <n v="74"/>
    <x v="6"/>
    <m/>
    <s v="2026-02-05"/>
    <s v="270157"/>
    <s v="M/s. Kanailal Keder Prasad"/>
    <s v="9474075544"/>
  </r>
  <r>
    <s v="RCF Thal"/>
    <s v="N.C.Urea(45kg)"/>
    <s v="WB"/>
    <x v="13"/>
    <s v="Gazole"/>
    <s v="User Not Mapped"/>
    <s v="User Not Mapped"/>
    <s v="User Not Mapped"/>
    <n v="626054"/>
    <s v="M/S NAGEN SAR BHANDAR"/>
    <s v="Private Retailer"/>
    <s v="7384420608"/>
    <n v="4.1399999999999997"/>
    <n v="42"/>
    <x v="3"/>
    <m/>
    <s v="2026-03-09"/>
    <s v="270157"/>
    <s v="M/s. Kanailal Keder Prasad"/>
    <s v="9474075544"/>
  </r>
  <r>
    <s v="RCF Thal"/>
    <s v="N.C.Urea(45kg)"/>
    <s v="WB"/>
    <x v="13"/>
    <s v="Chanchal - II"/>
    <s v="User Not Mapped"/>
    <s v="User Not Mapped"/>
    <s v="User Not Mapped"/>
    <n v="916048"/>
    <s v="M/S NAUSAD ALI"/>
    <s v="Private Retailer"/>
    <s v="9735721944"/>
    <n v="4.95"/>
    <n v="42"/>
    <x v="3"/>
    <m/>
    <s v="2026-03-09"/>
    <s v="270157"/>
    <s v="M/s. Kanailal Keder Prasad"/>
    <s v="9474075544"/>
  </r>
  <r>
    <s v="RCF Thal"/>
    <s v="N.C.Urea(45kg)"/>
    <s v="WB"/>
    <x v="13"/>
    <s v="Gazole"/>
    <s v="User Not Mapped"/>
    <s v="User Not Mapped"/>
    <s v="User Not Mapped"/>
    <n v="328236"/>
    <s v="M/S Nepal Chandra Mondal"/>
    <s v="Private Retailer"/>
    <s v="9933346772"/>
    <n v="0.63"/>
    <n v="126"/>
    <x v="4"/>
    <m/>
    <s v="2025-12-15"/>
    <s v="270157"/>
    <s v="M/s. Kanailal Keder Prasad"/>
    <s v="9474075544"/>
  </r>
  <r>
    <s v="RCF Thal"/>
    <s v="N.C.Urea(45kg)"/>
    <s v="WB"/>
    <x v="13"/>
    <s v="Bamangola"/>
    <s v="User Not Mapped"/>
    <s v="User Not Mapped"/>
    <s v="User Not Mapped"/>
    <n v="328237"/>
    <s v="M/S Nepal Mahato"/>
    <s v="Private Retailer"/>
    <s v="9933020708"/>
    <n v="4.95"/>
    <n v="164"/>
    <x v="4"/>
    <m/>
    <s v="2025-11-07"/>
    <s v="270157"/>
    <s v="M/s. Kanailal Keder Prasad"/>
    <s v="9474075544"/>
  </r>
  <r>
    <s v="RCF Thal"/>
    <s v="N.C.Urea(45kg)"/>
    <s v="WB"/>
    <x v="13"/>
    <s v="Bamangola"/>
    <s v="User Not Mapped"/>
    <s v="User Not Mapped"/>
    <s v="User Not Mapped"/>
    <n v="328237"/>
    <s v="M/S Nepal Mahato"/>
    <s v="Private Retailer"/>
    <s v="9933020708"/>
    <n v="11.025"/>
    <n v="62"/>
    <x v="6"/>
    <m/>
    <s v="2026-02-17"/>
    <s v="270157"/>
    <s v="M/s. Kanailal Keder Prasad"/>
    <s v="9474075544"/>
  </r>
  <r>
    <s v="RCF Trombay"/>
    <s v="N.C.Urea(45kg)"/>
    <s v="WB"/>
    <x v="13"/>
    <s v="Bamangola"/>
    <s v="User Not Mapped"/>
    <s v="User Not Mapped"/>
    <s v="User Not Mapped"/>
    <n v="1320538"/>
    <s v="M/S NEW BINA SAR BHANDAR"/>
    <s v="Private Retailer"/>
    <s v="9733287287"/>
    <n v="3.1949999999999998"/>
    <n v="134"/>
    <x v="4"/>
    <m/>
    <s v="2025-12-07"/>
    <s v="270157"/>
    <s v="M/s. Kanailal Keder Prasad"/>
    <s v="9474075544"/>
  </r>
  <r>
    <s v="RCF Thal"/>
    <s v="N.C.Urea(45kg)"/>
    <s v="WB"/>
    <x v="13"/>
    <s v="Bamangola"/>
    <s v="User Not Mapped"/>
    <s v="User Not Mapped"/>
    <s v="User Not Mapped"/>
    <n v="1320538"/>
    <s v="M/S NEW BINA SAR BHANDAR"/>
    <s v="Private Retailer"/>
    <s v="9733287287"/>
    <n v="17.864999999999998"/>
    <n v="42"/>
    <x v="3"/>
    <m/>
    <s v="2026-03-09"/>
    <s v="270157"/>
    <s v="M/s. Kanailal Keder Prasad"/>
    <s v="9474075544"/>
  </r>
  <r>
    <s v="RCF Thal"/>
    <s v="N.C.Urea(45kg)"/>
    <s v="WB"/>
    <x v="13"/>
    <s v="Habibpur"/>
    <s v="User Not Mapped"/>
    <s v="User Not Mapped"/>
    <s v="User Not Mapped"/>
    <n v="1391467"/>
    <s v="M/S OM FERTILIZER AND PESTICID"/>
    <s v="Private Retailer"/>
    <s v="7908227004"/>
    <n v="0.36"/>
    <n v="62"/>
    <x v="6"/>
    <m/>
    <s v="2026-02-17"/>
    <s v="270157"/>
    <s v="M/s. Kanailal Keder Prasad"/>
    <s v="9474075544"/>
  </r>
  <r>
    <s v="RCF Trombay"/>
    <s v="15-15-15"/>
    <s v="WB"/>
    <x v="13"/>
    <s v="Habibpur"/>
    <s v="User Not Mapped"/>
    <s v="User Not Mapped"/>
    <s v="User Not Mapped"/>
    <n v="1391467"/>
    <s v="M/S OM FERTILIZER AND PESTICID"/>
    <s v="Private Retailer"/>
    <s v="7908227004"/>
    <n v="0.25"/>
    <n v="207"/>
    <x v="1"/>
    <m/>
    <s v="2025-09-25"/>
    <s v="270157"/>
    <s v="M/s. Kanailal Keder Prasad"/>
    <s v="9474075544"/>
  </r>
  <r>
    <s v="RCF Trombay"/>
    <s v="N.C.Urea(45kg)"/>
    <s v="WB"/>
    <x v="13"/>
    <s v="Habibpur"/>
    <s v="User Not Mapped"/>
    <s v="User Not Mapped"/>
    <s v="User Not Mapped"/>
    <n v="507596"/>
    <s v="M/S Phani Bhushan Mondal"/>
    <s v="Private Retailer"/>
    <s v="7583911018"/>
    <n v="2.52"/>
    <n v="128"/>
    <x v="4"/>
    <m/>
    <s v="2025-12-13"/>
    <s v="270157"/>
    <s v="M/s. Kanailal Keder Prasad"/>
    <s v="9474075544"/>
  </r>
  <r>
    <s v="RCF Thal"/>
    <s v="N.C.Urea(45kg)"/>
    <s v="WB"/>
    <x v="13"/>
    <s v="Habibpur"/>
    <s v="User Not Mapped"/>
    <s v="User Not Mapped"/>
    <s v="User Not Mapped"/>
    <n v="507596"/>
    <s v="M/S Phani Bhushan Mondal"/>
    <s v="Private Retailer"/>
    <s v="7583911018"/>
    <n v="7.92"/>
    <n v="42"/>
    <x v="3"/>
    <m/>
    <s v="2026-03-09"/>
    <s v="270157"/>
    <s v="M/s. Kanailal Keder Prasad"/>
    <s v="9474075544"/>
  </r>
  <r>
    <s v="RCF Thal"/>
    <s v="N.C.Urea(45kg)"/>
    <s v="WB"/>
    <x v="13"/>
    <s v="Gazole"/>
    <s v="User Not Mapped"/>
    <s v="User Not Mapped"/>
    <s v="User Not Mapped"/>
    <n v="626052"/>
    <s v="M/S PRAFULLA SARKAR"/>
    <s v="Private Retailer"/>
    <s v="9933474882"/>
    <n v="2.88"/>
    <n v="126"/>
    <x v="4"/>
    <m/>
    <s v="2025-12-15"/>
    <s v="270157"/>
    <s v="M/s. Kanailal Keder Prasad"/>
    <s v="9474075544"/>
  </r>
  <r>
    <s v="RCF Thal"/>
    <s v="N.C.Urea(45kg)"/>
    <s v="WB"/>
    <x v="13"/>
    <s v="Gazole"/>
    <s v="User Not Mapped"/>
    <s v="User Not Mapped"/>
    <s v="User Not Mapped"/>
    <n v="626052"/>
    <s v="M/S PRAFULLA SARKAR"/>
    <s v="Private Retailer"/>
    <s v="9933474882"/>
    <n v="5.5350000000000001"/>
    <n v="90"/>
    <x v="6"/>
    <m/>
    <s v="2026-01-20"/>
    <s v="270157"/>
    <s v="M/s. Kanailal Keder Prasad"/>
    <s v="9474075544"/>
  </r>
  <r>
    <s v="RCF Trombay"/>
    <s v="15-15-15"/>
    <s v="WB"/>
    <x v="13"/>
    <s v="Maldah (Old)"/>
    <s v="User Not Mapped"/>
    <s v="User Not Mapped"/>
    <s v="User Not Mapped"/>
    <n v="1135221"/>
    <s v="M/S PRITI SAR BHANDAR"/>
    <s v="Private Retailer"/>
    <s v="9932073491"/>
    <n v="9.65"/>
    <n v="207"/>
    <x v="1"/>
    <m/>
    <s v="2025-09-25"/>
    <s v="270157"/>
    <s v="M/s. Kanailal Keder Prasad"/>
    <s v="9474075544"/>
  </r>
  <r>
    <s v="RCF Trombay"/>
    <s v="15-15-15"/>
    <s v="WB"/>
    <x v="13"/>
    <s v="Habibpur"/>
    <s v="User Not Mapped"/>
    <s v="User Not Mapped"/>
    <s v="User Not Mapped"/>
    <n v="510732"/>
    <s v="M/S Promotho Nath Mondal"/>
    <s v="Private Retailer"/>
    <s v="9635509354"/>
    <n v="0.7"/>
    <n v="207"/>
    <x v="1"/>
    <m/>
    <s v="2025-09-25"/>
    <s v="270157"/>
    <s v="M/s. Kanailal Keder Prasad"/>
    <s v="9474075544"/>
  </r>
  <r>
    <s v="RCF Thal"/>
    <s v="N.C.Urea(45kg)"/>
    <s v="WB"/>
    <x v="13"/>
    <s v="Manikchak"/>
    <s v="User Not Mapped"/>
    <s v="User Not Mapped"/>
    <s v="User Not Mapped"/>
    <n v="617055"/>
    <s v="M/S PROTAP MONDAL"/>
    <s v="Private Retailer"/>
    <s v="9733208514"/>
    <n v="11.025"/>
    <n v="90"/>
    <x v="6"/>
    <m/>
    <s v="2026-01-20"/>
    <s v="270157"/>
    <s v="M/s. Kanailal Keder Prasad"/>
    <s v="9474075544"/>
  </r>
  <r>
    <s v="RCF Thal"/>
    <s v="N.C.Urea(45kg)"/>
    <s v="WB"/>
    <x v="13"/>
    <s v="Gazole"/>
    <s v="User Not Mapped"/>
    <s v="User Not Mapped"/>
    <s v="User Not Mapped"/>
    <n v="626082"/>
    <s v="M/S RABINDRANATH MONDAL"/>
    <s v="Private Retailer"/>
    <s v="9800397585"/>
    <n v="0.85499999999999998"/>
    <n v="126"/>
    <x v="4"/>
    <m/>
    <s v="2025-12-15"/>
    <s v="270157"/>
    <s v="M/s. Kanailal Keder Prasad"/>
    <s v="9474075544"/>
  </r>
  <r>
    <s v="RCF Thal"/>
    <s v="N.C.Urea(45kg)"/>
    <s v="WB"/>
    <x v="13"/>
    <s v="Maldah (Old)"/>
    <s v="User Not Mapped"/>
    <s v="User Not Mapped"/>
    <s v="User Not Mapped"/>
    <n v="634879"/>
    <s v="M/S RADHARANI SAR BHANDAR"/>
    <s v="Private Retailer"/>
    <s v="7602527179"/>
    <n v="3.51"/>
    <n v="126"/>
    <x v="4"/>
    <m/>
    <s v="2025-12-15"/>
    <s v="270157"/>
    <s v="M/s. Kanailal Keder Prasad"/>
    <s v="9474075544"/>
  </r>
  <r>
    <s v="RCF Thal"/>
    <s v="N.C.Urea(45kg)"/>
    <s v="WB"/>
    <x v="13"/>
    <s v="Chanchal - II"/>
    <s v="User Not Mapped"/>
    <s v="User Not Mapped"/>
    <s v="User Not Mapped"/>
    <n v="916034"/>
    <s v="M/S RAFIKUL ALAM"/>
    <s v="Private Retailer"/>
    <s v="8348571935"/>
    <n v="0.54"/>
    <n v="42"/>
    <x v="3"/>
    <m/>
    <s v="2026-03-09"/>
    <s v="270157"/>
    <s v="M/s. Kanailal Keder Prasad"/>
    <s v="9474075544"/>
  </r>
  <r>
    <s v="RCF Thal"/>
    <s v="N.C.Urea(45kg)"/>
    <s v="WB"/>
    <x v="13"/>
    <s v="Chanchal - II"/>
    <s v="User Not Mapped"/>
    <s v="User Not Mapped"/>
    <s v="User Not Mapped"/>
    <n v="917270"/>
    <s v="M/S RAHUL KUMAR SAHA"/>
    <s v="Private Retailer"/>
    <s v="7432825789"/>
    <n v="5.4"/>
    <n v="62"/>
    <x v="6"/>
    <m/>
    <s v="2026-02-17"/>
    <s v="270157"/>
    <s v="M/s. Kanailal Keder Prasad"/>
    <s v="9474075544"/>
  </r>
  <r>
    <s v="RCF Thal"/>
    <s v="N.C.Urea(45kg)"/>
    <s v="WB"/>
    <x v="13"/>
    <s v="Gazole"/>
    <s v="User Not Mapped"/>
    <s v="User Not Mapped"/>
    <s v="User Not Mapped"/>
    <n v="1269183"/>
    <s v="M/S RAJ SAR BHANDAR"/>
    <s v="Private Retailer"/>
    <s v="7098037050"/>
    <n v="0.27"/>
    <n v="360"/>
    <x v="1"/>
    <m/>
    <s v="2025-04-25"/>
    <s v="270157"/>
    <s v="M/s. Kanailal Keder Prasad"/>
    <s v="9474075544"/>
  </r>
  <r>
    <s v="RCF Trombay"/>
    <s v="N.C.Urea(45kg)"/>
    <s v="WB"/>
    <x v="13"/>
    <s v="Gazole"/>
    <s v="User Not Mapped"/>
    <s v="User Not Mapped"/>
    <s v="User Not Mapped"/>
    <n v="931347"/>
    <s v="M/S RAJESWAR MANDAL"/>
    <s v="Private Retailer"/>
    <s v="9733070265"/>
    <n v="9.3149999999999995"/>
    <n v="191"/>
    <x v="1"/>
    <m/>
    <s v="2025-10-11"/>
    <s v="270157"/>
    <s v="M/s. Kanailal Keder Prasad"/>
    <s v="9474075544"/>
  </r>
  <r>
    <s v="RCF Trombay"/>
    <s v="N.C.Urea(45kg)"/>
    <s v="WB"/>
    <x v="13"/>
    <s v="Habibpur"/>
    <s v="User Not Mapped"/>
    <s v="User Not Mapped"/>
    <s v="User Not Mapped"/>
    <n v="1534804"/>
    <s v="M/S Roy Fertilizer"/>
    <s v="Private Retailer"/>
    <s v="9932398989"/>
    <n v="4.4999999999999998E-2"/>
    <n v="90"/>
    <x v="6"/>
    <m/>
    <s v="2026-01-20"/>
    <s v="270157"/>
    <s v="M/s. Kanailal Keder Prasad"/>
    <s v="9474075544"/>
  </r>
  <r>
    <s v="RCF Thal"/>
    <s v="N.C.Urea(45kg)"/>
    <s v="WB"/>
    <x v="13"/>
    <s v="Chanchal - I"/>
    <s v="User Not Mapped"/>
    <s v="User Not Mapped"/>
    <s v="User Not Mapped"/>
    <n v="1395270"/>
    <s v="M/S RUBEL KRISHI BHANDAR"/>
    <s v="Private Retailer"/>
    <s v="6294184442"/>
    <n v="3.8250000000000002"/>
    <n v="62"/>
    <x v="6"/>
    <m/>
    <s v="2026-02-17"/>
    <s v="270157"/>
    <s v="M/s. Kanailal Keder Prasad"/>
    <s v="9474075544"/>
  </r>
  <r>
    <s v="RCF Thal"/>
    <s v="N.C.Urea(45kg)"/>
    <s v="WB"/>
    <x v="13"/>
    <s v="Kaliachak - III"/>
    <s v="User Not Mapped"/>
    <s v="User Not Mapped"/>
    <s v="User Not Mapped"/>
    <n v="874562"/>
    <s v="M/S SAHA ENTERPRISE"/>
    <s v="Private Retailer"/>
    <s v="9732647093"/>
    <n v="22.05"/>
    <n v="62"/>
    <x v="6"/>
    <m/>
    <s v="2026-02-17"/>
    <s v="270157"/>
    <s v="M/s. Kanailal Keder Prasad"/>
    <s v="9474075544"/>
  </r>
  <r>
    <s v="RCF Thal"/>
    <s v="N.C.Urea(45kg)"/>
    <s v="WB"/>
    <x v="13"/>
    <s v="Ratua - II"/>
    <s v="User Not Mapped"/>
    <s v="User Not Mapped"/>
    <s v="User Not Mapped"/>
    <n v="916062"/>
    <s v="M/S SAMAUN REJA"/>
    <s v="Private Retailer"/>
    <s v="8637572794"/>
    <n v="26.145"/>
    <n v="62"/>
    <x v="6"/>
    <m/>
    <s v="2026-02-17"/>
    <s v="270157"/>
    <s v="M/s. Kanailal Keder Prasad"/>
    <s v="9474075544"/>
  </r>
  <r>
    <s v="RCF Thal"/>
    <s v="N.C.Urea(45kg)"/>
    <s v="WB"/>
    <x v="13"/>
    <s v="Ratua - II"/>
    <s v="User Not Mapped"/>
    <s v="User Not Mapped"/>
    <s v="User Not Mapped"/>
    <n v="916062"/>
    <s v="M/S SAMAUN REJA"/>
    <s v="Private Retailer"/>
    <s v="8637572794"/>
    <n v="22.05"/>
    <n v="42"/>
    <x v="3"/>
    <m/>
    <s v="2026-03-09"/>
    <s v="270157"/>
    <s v="M/s. Kanailal Keder Prasad"/>
    <s v="9474075544"/>
  </r>
  <r>
    <s v="RCF Thal"/>
    <s v="N.C.Urea(45kg)"/>
    <s v="WB"/>
    <x v="13"/>
    <s v="Gazole"/>
    <s v="User Not Mapped"/>
    <s v="User Not Mapped"/>
    <s v="User Not Mapped"/>
    <n v="328244"/>
    <s v="M/S Sankar Chandra Saha"/>
    <s v="Private Retailer"/>
    <s v="9733150821"/>
    <n v="10.305"/>
    <n v="86"/>
    <x v="6"/>
    <m/>
    <s v="2026-01-24"/>
    <s v="270157"/>
    <s v="M/s. Kanailal Keder Prasad"/>
    <s v="9474075544"/>
  </r>
  <r>
    <s v="RCF Thal"/>
    <s v="N.C.Urea(45kg)"/>
    <s v="WB"/>
    <x v="13"/>
    <s v="Gazole"/>
    <s v="User Not Mapped"/>
    <s v="User Not Mapped"/>
    <s v="User Not Mapped"/>
    <n v="328244"/>
    <s v="M/S Sankar Chandra Saha"/>
    <s v="Private Retailer"/>
    <s v="9733150821"/>
    <n v="11.025"/>
    <n v="42"/>
    <x v="3"/>
    <m/>
    <s v="2026-03-09"/>
    <s v="270157"/>
    <s v="M/s. Kanailal Keder Prasad"/>
    <s v="9474075544"/>
  </r>
  <r>
    <s v="RCF Import"/>
    <s v="Imp 10-26-26"/>
    <s v="WB"/>
    <x v="13"/>
    <s v="Habibpur"/>
    <s v="User Not Mapped"/>
    <s v="User Not Mapped"/>
    <s v="User Not Mapped"/>
    <n v="307724"/>
    <s v="M/S Sarathi Sar Bhandar"/>
    <s v="Private Retailer"/>
    <s v="9775954040"/>
    <n v="23.35"/>
    <n v="42"/>
    <x v="3"/>
    <m/>
    <s v="2026-03-09"/>
    <s v="270157"/>
    <s v="M/s. Kanailal Keder Prasad"/>
    <s v="9474075544"/>
  </r>
  <r>
    <s v="RCF Import"/>
    <s v="Imp 10-26-26"/>
    <s v="WB"/>
    <x v="13"/>
    <s v="Gazole"/>
    <s v="User Not Mapped"/>
    <s v="User Not Mapped"/>
    <s v="User Not Mapped"/>
    <n v="496331"/>
    <s v="M/S SARKAR KRISHI BIPANI"/>
    <s v="Private Retailer"/>
    <s v="7001889836"/>
    <n v="11"/>
    <n v="74"/>
    <x v="6"/>
    <m/>
    <s v="2026-02-05"/>
    <s v="270157"/>
    <s v="M/s. Kanailal Keder Prasad"/>
    <s v="9474075544"/>
  </r>
  <r>
    <s v="RCF Thal"/>
    <s v="N.C.Urea(45kg)"/>
    <s v="WB"/>
    <x v="13"/>
    <s v="Chanchal - I"/>
    <s v="User Not Mapped"/>
    <s v="User Not Mapped"/>
    <s v="User Not Mapped"/>
    <n v="390625"/>
    <s v="M/S SONALI KRISHI GHAR"/>
    <s v="Private Retailer"/>
    <s v="8617412950"/>
    <n v="6.165"/>
    <n v="42"/>
    <x v="3"/>
    <m/>
    <s v="2026-03-09"/>
    <s v="270157"/>
    <s v="M/s. Kanailal Keder Prasad"/>
    <s v="9474075544"/>
  </r>
  <r>
    <s v="RCF Thal"/>
    <s v="N.C.Urea(45kg)"/>
    <s v="WB"/>
    <x v="13"/>
    <s v="Habibpur"/>
    <s v="User Not Mapped"/>
    <s v="User Not Mapped"/>
    <s v="User Not Mapped"/>
    <n v="1008768"/>
    <s v="M/S SOREN SAR BHANDER"/>
    <s v="Private Retailer"/>
    <s v="9547530259"/>
    <n v="8.5950000000000006"/>
    <n v="148"/>
    <x v="4"/>
    <m/>
    <s v="2025-11-23"/>
    <s v="270157"/>
    <s v="M/s. Kanailal Keder Prasad"/>
    <s v="9474075544"/>
  </r>
  <r>
    <s v="RCF Thal"/>
    <s v="N.C.Urea(45kg)"/>
    <s v="WB"/>
    <x v="13"/>
    <s v="English Bazar"/>
    <s v="User Not Mapped"/>
    <s v="User Not Mapped"/>
    <s v="User Not Mapped"/>
    <n v="407802"/>
    <s v="M/S SOVANAGAR AGRO INPUTS AGEN"/>
    <s v="Private Retailer"/>
    <s v="9733250547"/>
    <n v="2.7"/>
    <n v="163"/>
    <x v="4"/>
    <m/>
    <s v="2025-11-08"/>
    <s v="270157"/>
    <s v="M/s. Kanailal Keder Prasad"/>
    <s v="9474075544"/>
  </r>
  <r>
    <s v="RCF Thal"/>
    <s v="N.C.Urea(45kg)"/>
    <s v="WB"/>
    <x v="13"/>
    <s v="English Bazar"/>
    <s v="User Not Mapped"/>
    <s v="User Not Mapped"/>
    <s v="User Not Mapped"/>
    <n v="407802"/>
    <s v="M/S SOVANAGAR AGRO INPUTS AGEN"/>
    <s v="Private Retailer"/>
    <s v="9733250547"/>
    <n v="11.025"/>
    <n v="42"/>
    <x v="3"/>
    <m/>
    <s v="2026-03-09"/>
    <s v="270157"/>
    <s v="M/s. Kanailal Keder Prasad"/>
    <s v="9474075544"/>
  </r>
  <r>
    <s v="RCF Thal"/>
    <s v="N.C.Urea(45kg)"/>
    <s v="WB"/>
    <x v="13"/>
    <s v="Gazole"/>
    <s v="User Not Mapped"/>
    <s v="User Not Mapped"/>
    <s v="User Not Mapped"/>
    <n v="1515119"/>
    <s v="M/S SWAPAN KUMAR ROY"/>
    <s v="Private Retailer"/>
    <s v="9733161002"/>
    <n v="8.19"/>
    <n v="289"/>
    <x v="1"/>
    <m/>
    <s v="2025-07-05"/>
    <s v="270157"/>
    <s v="M/s. Kanailal Keder Prasad"/>
    <s v="9474075544"/>
  </r>
  <r>
    <s v="RCF Trombay"/>
    <s v="15-15-15"/>
    <s v="WB"/>
    <x v="13"/>
    <s v="Bamangola"/>
    <s v="User Not Mapped"/>
    <s v="User Not Mapped"/>
    <s v="User Not Mapped"/>
    <n v="1265575"/>
    <s v="M/S TAPAN KUMAR PRAMANIK"/>
    <s v="Private Wholsaler"/>
    <s v="9800845175"/>
    <n v="7"/>
    <n v="207"/>
    <x v="1"/>
    <s v="'652'"/>
    <s v="2025-09-25"/>
    <s v="270157"/>
    <s v="M/s. Kanailal Keder Prasad"/>
    <s v="9474075544"/>
  </r>
  <r>
    <s v="RCF Thal"/>
    <s v="N.C.Urea(45kg)"/>
    <s v="WB"/>
    <x v="13"/>
    <s v="Chanchal - II"/>
    <s v="User Not Mapped"/>
    <s v="User Not Mapped"/>
    <s v="User Not Mapped"/>
    <n v="916038"/>
    <s v="M/S WAKIBUL HASSAN"/>
    <s v="Private Retailer"/>
    <s v="9851859430"/>
    <n v="5.625"/>
    <n v="62"/>
    <x v="6"/>
    <m/>
    <s v="2026-02-17"/>
    <s v="270157"/>
    <s v="M/s. Kanailal Keder Prasad"/>
    <s v="9474075544"/>
  </r>
  <r>
    <s v="RCF Thal"/>
    <s v="N.C.Urea(45kg)"/>
    <s v="WB"/>
    <x v="13"/>
    <s v="Maldah (Old)"/>
    <s v="User Not Mapped"/>
    <s v="User Not Mapped"/>
    <s v="User Not Mapped"/>
    <n v="893079"/>
    <s v="M/S-MOJAHID SAR BHANDAR"/>
    <s v="Private Retailer"/>
    <s v="8967706414"/>
    <n v="4.5"/>
    <n v="496"/>
    <x v="0"/>
    <m/>
    <s v="2024-12-10"/>
    <s v="270157"/>
    <s v="M/s. Kanailal Keder Prasad"/>
    <s v="9474075544"/>
  </r>
  <r>
    <s v="RCF Thal"/>
    <s v="N.C.Urea(45kg)"/>
    <s v="WB"/>
    <x v="13"/>
    <s v="Bamangola"/>
    <s v="User Not Mapped"/>
    <s v="User Not Mapped"/>
    <s v="User Not Mapped"/>
    <n v="461181"/>
    <s v="Maa Durga Sar Bhandar"/>
    <s v="Private Retailer"/>
    <s v="9593360814"/>
    <n v="3.915"/>
    <n v="88"/>
    <x v="6"/>
    <m/>
    <s v="2026-01-22"/>
    <s v="270157"/>
    <s v="M/s. Kanailal Keder Prasad"/>
    <s v="9474075544"/>
  </r>
  <r>
    <s v="RCF Thal"/>
    <s v="N.C.Urea(45kg)"/>
    <s v="WB"/>
    <x v="13"/>
    <s v="Bamangola"/>
    <s v="User Not Mapped"/>
    <s v="User Not Mapped"/>
    <s v="User Not Mapped"/>
    <n v="610266"/>
    <s v="MAA DURGA SAR BHANDAR"/>
    <s v="Private Retailer"/>
    <s v="8972666383"/>
    <n v="6.0750000000000002"/>
    <n v="90"/>
    <x v="6"/>
    <m/>
    <s v="2026-01-20"/>
    <s v="270157"/>
    <s v="M/s. Kanailal Keder Prasad"/>
    <s v="9474075544"/>
  </r>
  <r>
    <s v="RCF Thal"/>
    <s v="N.C.Urea(45kg)"/>
    <s v="WB"/>
    <x v="13"/>
    <s v="Chanchal - I"/>
    <s v="User Not Mapped"/>
    <s v="User Not Mapped"/>
    <s v="User Not Mapped"/>
    <n v="1534976"/>
    <s v="MAHBUB ALAM"/>
    <s v="Private Retailer"/>
    <s v="9775196297"/>
    <n v="7.56"/>
    <n v="17"/>
    <x v="5"/>
    <m/>
    <s v="2026-04-03"/>
    <s v="270157"/>
    <s v="M/s. Kanailal Keder Prasad"/>
    <s v="9474075544"/>
  </r>
  <r>
    <s v="RCF Thal"/>
    <s v="N.C.Urea(45kg)"/>
    <s v="WB"/>
    <x v="13"/>
    <s v="Bamangola"/>
    <s v="User Not Mapped"/>
    <s v="User Not Mapped"/>
    <s v="User Not Mapped"/>
    <n v="466425"/>
    <s v="Mala Sar Bhandar"/>
    <s v="Private Retailer"/>
    <s v="9735935910"/>
    <n v="9.1349999999999998"/>
    <n v="126"/>
    <x v="4"/>
    <m/>
    <s v="2025-12-15"/>
    <s v="270157"/>
    <s v="M/s. Kanailal Keder Prasad"/>
    <s v="9474075544"/>
  </r>
  <r>
    <s v="RCF Thal"/>
    <s v="N.C.Urea(45kg)"/>
    <s v="WB"/>
    <x v="13"/>
    <s v="Harischandrapur - II"/>
    <s v="User Not Mapped"/>
    <s v="User Not Mapped"/>
    <s v="User Not Mapped"/>
    <n v="639883"/>
    <s v="MANDAL ENTERPRISE"/>
    <s v="Private Retailer"/>
    <s v="9775470102"/>
    <n v="10.395"/>
    <n v="42"/>
    <x v="3"/>
    <m/>
    <s v="2026-03-09"/>
    <s v="270157"/>
    <s v="M/s. Kanailal Keder Prasad"/>
    <s v="9474075544"/>
  </r>
  <r>
    <s v="RCF Thal"/>
    <s v="N.C.Urea(45kg)"/>
    <s v="WB"/>
    <x v="13"/>
    <s v="Harischandrapur - II"/>
    <s v="User Not Mapped"/>
    <s v="User Not Mapped"/>
    <s v="User Not Mapped"/>
    <n v="1429132"/>
    <s v="Mandal Fertilizer Shop"/>
    <s v="Private Retailer"/>
    <s v="9733437001"/>
    <n v="0.27"/>
    <n v="42"/>
    <x v="3"/>
    <m/>
    <s v="2026-03-09"/>
    <s v="270157"/>
    <s v="M/s. Kanailal Keder Prasad"/>
    <s v="9474075544"/>
  </r>
  <r>
    <s v="RCF Thal"/>
    <s v="N.C.Urea(45kg)"/>
    <s v="WB"/>
    <x v="13"/>
    <s v="Gazole"/>
    <s v="User Not Mapped"/>
    <s v="User Not Mapped"/>
    <s v="User Not Mapped"/>
    <n v="288893"/>
    <s v="Mandal Sar Bhandar"/>
    <s v="Private Retailer"/>
    <s v="9733174782"/>
    <n v="10.845000000000001"/>
    <n v="42"/>
    <x v="3"/>
    <m/>
    <s v="2026-03-09"/>
    <s v="270157"/>
    <s v="M/s. Kanailal Keder Prasad"/>
    <s v="9474075544"/>
  </r>
  <r>
    <s v="RCF Import"/>
    <s v="Imp 10-26-26"/>
    <s v="WB"/>
    <x v="13"/>
    <s v="Gazole"/>
    <s v="User Not Mapped"/>
    <s v="User Not Mapped"/>
    <s v="User Not Mapped"/>
    <n v="288893"/>
    <s v="Mandal Sar Bhandar"/>
    <s v="Private Retailer"/>
    <s v="9733174782"/>
    <n v="0.45"/>
    <n v="51"/>
    <x v="3"/>
    <m/>
    <s v="2026-02-28"/>
    <s v="270157"/>
    <s v="M/s. Kanailal Keder Prasad"/>
    <s v="9474075544"/>
  </r>
  <r>
    <s v="RCF Thal"/>
    <s v="N.C.Urea(45kg)"/>
    <s v="WB"/>
    <x v="13"/>
    <s v="Habibpur"/>
    <s v="User Not Mapped"/>
    <s v="User Not Mapped"/>
    <s v="User Not Mapped"/>
    <n v="288894"/>
    <s v="Manohar Gupta"/>
    <s v="Private Retailer"/>
    <s v="9547452811"/>
    <n v="20.52"/>
    <n v="42"/>
    <x v="3"/>
    <m/>
    <s v="2026-03-09"/>
    <s v="270157"/>
    <s v="M/s. Kanailal Keder Prasad"/>
    <s v="9474075544"/>
  </r>
  <r>
    <s v="RCF Trombay"/>
    <s v="15-15-15"/>
    <s v="WB"/>
    <x v="13"/>
    <s v="Habibpur"/>
    <s v="User Not Mapped"/>
    <s v="User Not Mapped"/>
    <s v="User Not Mapped"/>
    <n v="288894"/>
    <s v="Manohar Gupta"/>
    <s v="Private Retailer"/>
    <s v="9547452811"/>
    <n v="4"/>
    <n v="134"/>
    <x v="4"/>
    <m/>
    <s v="2025-12-07"/>
    <s v="270157"/>
    <s v="M/s. Kanailal Keder Prasad"/>
    <s v="9474075544"/>
  </r>
  <r>
    <s v="RCF Trombay"/>
    <s v="N.C.Urea(45kg)"/>
    <s v="WB"/>
    <x v="13"/>
    <s v="Habibpur"/>
    <s v="User Not Mapped"/>
    <s v="User Not Mapped"/>
    <s v="User Not Mapped"/>
    <n v="288894"/>
    <s v="Manohar Gupta"/>
    <s v="Private Retailer"/>
    <s v="9547452811"/>
    <n v="5.31"/>
    <n v="134"/>
    <x v="4"/>
    <m/>
    <s v="2025-12-07"/>
    <s v="270157"/>
    <s v="M/s. Kanailal Keder Prasad"/>
    <s v="9474075544"/>
  </r>
  <r>
    <s v="RCF Import"/>
    <s v="Imp 10-26-26"/>
    <s v="WB"/>
    <x v="13"/>
    <s v="Harischandrapur - I"/>
    <s v="User Not Mapped"/>
    <s v="User Not Mapped"/>
    <s v="User Not Mapped"/>
    <n v="355337"/>
    <s v="Manojram"/>
    <s v="Private Retailer"/>
    <s v="9475309044"/>
    <n v="3"/>
    <n v="5"/>
    <x v="5"/>
    <m/>
    <s v="2026-04-15"/>
    <s v="270157"/>
    <s v="M/s. Kanailal Keder Prasad"/>
    <s v="9474075544"/>
  </r>
  <r>
    <s v="RCF Import"/>
    <s v="Imp 10-26-26"/>
    <s v="WB"/>
    <x v="13"/>
    <s v="Habibpur"/>
    <s v="User Not Mapped"/>
    <s v="User Not Mapped"/>
    <s v="User Not Mapped"/>
    <n v="331464"/>
    <s v="Manoka Sar Bhandar"/>
    <s v="Private Retailer"/>
    <s v="9932292971"/>
    <n v="0.4"/>
    <n v="51"/>
    <x v="3"/>
    <m/>
    <s v="2026-02-28"/>
    <s v="270157"/>
    <s v="M/s. Kanailal Keder Prasad"/>
    <s v="9474075544"/>
  </r>
  <r>
    <s v="RCF Thal"/>
    <s v="N.C.Urea(45kg)"/>
    <s v="WB"/>
    <x v="13"/>
    <s v="Maldah (Old)"/>
    <s v="User Not Mapped"/>
    <s v="User Not Mapped"/>
    <s v="User Not Mapped"/>
    <n v="411996"/>
    <s v="Masidur Rahaman"/>
    <s v="Private Retailer"/>
    <s v="9734951274"/>
    <n v="2.97"/>
    <n v="62"/>
    <x v="6"/>
    <m/>
    <s v="2026-02-17"/>
    <s v="270157"/>
    <s v="M/s. Kanailal Keder Prasad"/>
    <s v="9474075544"/>
  </r>
  <r>
    <s v="RCF Thal"/>
    <s v="N.C.Urea(45kg)"/>
    <s v="WB"/>
    <x v="13"/>
    <s v="Chanchal - II"/>
    <s v="User Not Mapped"/>
    <s v="User Not Mapped"/>
    <s v="User Not Mapped"/>
    <n v="917264"/>
    <s v="MASREKUL ALAM"/>
    <s v="Private Retailer"/>
    <s v="8371813561"/>
    <n v="5.625"/>
    <n v="62"/>
    <x v="6"/>
    <m/>
    <s v="2026-02-17"/>
    <s v="270157"/>
    <s v="M/s. Kanailal Keder Prasad"/>
    <s v="9474075544"/>
  </r>
  <r>
    <s v="RCF Thal"/>
    <s v="N.C.Urea(45kg)"/>
    <s v="WB"/>
    <x v="13"/>
    <s v="Chanchal - II"/>
    <s v="User Not Mapped"/>
    <s v="User Not Mapped"/>
    <s v="User Not Mapped"/>
    <n v="1461395"/>
    <s v="MD ALAUDDIN"/>
    <s v="Private Retailer"/>
    <s v="8617671015"/>
    <n v="4.9050000000000002"/>
    <n v="42"/>
    <x v="3"/>
    <m/>
    <s v="2026-03-09"/>
    <s v="270157"/>
    <s v="M/s. Kanailal Keder Prasad"/>
    <s v="9474075544"/>
  </r>
  <r>
    <s v="RCF Thal"/>
    <s v="N.C.Urea(45kg)"/>
    <s v="WB"/>
    <x v="13"/>
    <s v="Ratua - I"/>
    <s v="User Not Mapped"/>
    <s v="User Not Mapped"/>
    <s v="User Not Mapped"/>
    <n v="627923"/>
    <s v="MD HUMAYUN REJA"/>
    <s v="Private Retailer"/>
    <s v="7872527238"/>
    <n v="5.49"/>
    <n v="42"/>
    <x v="3"/>
    <m/>
    <s v="2026-03-09"/>
    <s v="270157"/>
    <s v="M/s. Kanailal Keder Prasad"/>
    <s v="9474075544"/>
  </r>
  <r>
    <s v="RCF Thal"/>
    <s v="N.C.Urea(45kg)"/>
    <s v="WB"/>
    <x v="13"/>
    <s v="Ratua - I"/>
    <s v="User Not Mapped"/>
    <s v="User Not Mapped"/>
    <s v="User Not Mapped"/>
    <n v="637925"/>
    <s v="MD KAUSAR ALI"/>
    <s v="Private Retailer"/>
    <s v="9734324896"/>
    <n v="8.64"/>
    <n v="42"/>
    <x v="3"/>
    <m/>
    <s v="2026-03-09"/>
    <s v="270157"/>
    <s v="M/s. Kanailal Keder Prasad"/>
    <s v="9474075544"/>
  </r>
  <r>
    <s v="RCF Thal"/>
    <s v="N.C.Urea(45kg)"/>
    <s v="WB"/>
    <x v="13"/>
    <s v="Ratua - I"/>
    <s v="User Not Mapped"/>
    <s v="User Not Mapped"/>
    <s v="User Not Mapped"/>
    <n v="627939"/>
    <s v="MD MOKHLESUR RAHAMAN"/>
    <s v="Private Retailer"/>
    <s v="9733007019"/>
    <n v="5.625"/>
    <n v="62"/>
    <x v="6"/>
    <m/>
    <s v="2026-02-17"/>
    <s v="270157"/>
    <s v="M/s. Kanailal Keder Prasad"/>
    <s v="9474075544"/>
  </r>
  <r>
    <s v="RCF Thal"/>
    <s v="N.C.Urea(45kg)"/>
    <s v="WB"/>
    <x v="13"/>
    <m/>
    <s v="User Not Mapped"/>
    <s v="User Not Mapped"/>
    <s v="User Not Mapped"/>
    <n v="1021759"/>
    <s v="MD SHAFIKUL ALAM"/>
    <s v="Private Retailer"/>
    <s v="9734866131"/>
    <n v="11.025"/>
    <n v="881"/>
    <x v="2"/>
    <m/>
    <s v="2023-11-21"/>
    <s v="270157"/>
    <s v="M/s. Kanailal Keder Prasad"/>
    <s v="9474075544"/>
  </r>
  <r>
    <s v="RCF Thal"/>
    <s v="N.C.Urea(45kg)"/>
    <s v="WB"/>
    <x v="13"/>
    <m/>
    <s v="User Not Mapped"/>
    <s v="User Not Mapped"/>
    <s v="User Not Mapped"/>
    <n v="411944"/>
    <s v="Md. Manirujjaman"/>
    <s v="Private Retailer"/>
    <s v="7908174375"/>
    <n v="11.025"/>
    <n v="62"/>
    <x v="6"/>
    <m/>
    <s v="2026-02-17"/>
    <s v="270157"/>
    <s v="M/s. Kanailal Keder Prasad"/>
    <s v="9474075544"/>
  </r>
  <r>
    <s v="RCF Thal"/>
    <s v="N.C.Urea(45kg)"/>
    <s v="WB"/>
    <x v="13"/>
    <s v="Ratua - I"/>
    <s v="User Not Mapped"/>
    <s v="User Not Mapped"/>
    <s v="User Not Mapped"/>
    <n v="411784"/>
    <s v="Md. Sadikul Alam"/>
    <s v="Private Retailer"/>
    <s v="9775497162"/>
    <n v="11.025"/>
    <n v="42"/>
    <x v="3"/>
    <m/>
    <s v="2026-03-09"/>
    <s v="270157"/>
    <s v="M/s. Kanailal Keder Prasad"/>
    <s v="9474075544"/>
  </r>
  <r>
    <s v="RCF Thal"/>
    <s v="N.C.Urea(45kg)"/>
    <s v="WB"/>
    <x v="13"/>
    <s v="Ratua - I"/>
    <s v="User Not Mapped"/>
    <s v="User Not Mapped"/>
    <s v="User Not Mapped"/>
    <n v="411784"/>
    <s v="Md. Sadikul Alam"/>
    <s v="Private Retailer"/>
    <s v="9775497162"/>
    <n v="11.025"/>
    <n v="87"/>
    <x v="6"/>
    <m/>
    <s v="2026-01-23"/>
    <s v="270157"/>
    <s v="M/s. Kanailal Keder Prasad"/>
    <s v="9474075544"/>
  </r>
  <r>
    <s v="RCF Thal"/>
    <s v="N.C.Urea(45kg)"/>
    <s v="WB"/>
    <x v="13"/>
    <s v="Maldah (Old)"/>
    <s v="User Not Mapped"/>
    <s v="User Not Mapped"/>
    <s v="User Not Mapped"/>
    <n v="288902"/>
    <s v="Md. Wahedur Rahaman"/>
    <s v="Private Retailer"/>
    <s v="7602267744"/>
    <n v="3.8250000000000002"/>
    <n v="87"/>
    <x v="6"/>
    <m/>
    <s v="2026-01-23"/>
    <s v="270157"/>
    <s v="M/s. Kanailal Keder Prasad"/>
    <s v="9474075544"/>
  </r>
  <r>
    <s v="RCF Thal"/>
    <s v="N.C.Urea(45kg)"/>
    <s v="WB"/>
    <x v="13"/>
    <s v="Gazole"/>
    <s v="User Not Mapped"/>
    <s v="User Not Mapped"/>
    <s v="User Not Mapped"/>
    <n v="626058"/>
    <s v="MD.IMDADUL ISLAM"/>
    <s v="Private Retailer"/>
    <s v="9933645651"/>
    <n v="0.25"/>
    <n v="258"/>
    <x v="1"/>
    <m/>
    <s v="2025-08-05"/>
    <s v="270157"/>
    <s v="M/s. Kanailal Keder Prasad"/>
    <s v="9474075544"/>
  </r>
  <r>
    <s v="RCF Thal"/>
    <s v="N.C.Urea(45kg)"/>
    <s v="WB"/>
    <x v="13"/>
    <s v="Ratua - II"/>
    <s v="User Not Mapped"/>
    <s v="User Not Mapped"/>
    <s v="User Not Mapped"/>
    <n v="882149"/>
    <s v="MD.MOHISUDDIN"/>
    <s v="Private Retailer"/>
    <s v="8116257571"/>
    <n v="19.125"/>
    <n v="289"/>
    <x v="1"/>
    <m/>
    <s v="2025-07-05"/>
    <s v="270157"/>
    <s v="M/s. Kanailal Keder Prasad"/>
    <s v="9474075544"/>
  </r>
  <r>
    <s v="RCF Trombay"/>
    <s v="N.C.Urea(45kg)"/>
    <s v="WB"/>
    <x v="13"/>
    <s v="Ratua - II"/>
    <s v="User Not Mapped"/>
    <s v="User Not Mapped"/>
    <s v="User Not Mapped"/>
    <n v="882149"/>
    <s v="MD.MOHISUDDIN"/>
    <s v="Private Retailer"/>
    <s v="8116257571"/>
    <n v="9.3149999999999995"/>
    <n v="560"/>
    <x v="2"/>
    <m/>
    <s v="2024-10-07"/>
    <s v="270157"/>
    <s v="M/s. Kanailal Keder Prasad"/>
    <s v="9474075544"/>
  </r>
  <r>
    <s v="RCF Thal"/>
    <s v="N.C.Urea(45kg)"/>
    <s v="WB"/>
    <x v="13"/>
    <s v="Ratua - II"/>
    <s v="User Not Mapped"/>
    <s v="User Not Mapped"/>
    <s v="User Not Mapped"/>
    <n v="513939"/>
    <s v="Md.Mosarraf Hossain"/>
    <s v="Private Retailer"/>
    <s v="7584999937"/>
    <n v="22.05"/>
    <n v="20"/>
    <x v="5"/>
    <m/>
    <s v="2026-03-31"/>
    <s v="270157"/>
    <s v="M/s. Kanailal Keder Prasad"/>
    <s v="9474075544"/>
  </r>
  <r>
    <s v="RCF Trombay"/>
    <s v="N.C.Urea(45kg)"/>
    <s v="WB"/>
    <x v="13"/>
    <s v="Ratua - II"/>
    <s v="User Not Mapped"/>
    <s v="User Not Mapped"/>
    <s v="User Not Mapped"/>
    <n v="513939"/>
    <s v="Md.Mosarraf Hossain"/>
    <s v="Private Retailer"/>
    <s v="7584999937"/>
    <n v="6.84"/>
    <n v="134"/>
    <x v="4"/>
    <m/>
    <s v="2025-12-07"/>
    <s v="270157"/>
    <s v="M/s. Kanailal Keder Prasad"/>
    <s v="9474075544"/>
  </r>
  <r>
    <s v="RCF Thal"/>
    <s v="N.C.Urea(45kg)"/>
    <s v="WB"/>
    <x v="13"/>
    <s v="Ratua - II"/>
    <s v="User Not Mapped"/>
    <s v="User Not Mapped"/>
    <s v="User Not Mapped"/>
    <n v="513939"/>
    <s v="Md.Mosarraf Hossain"/>
    <s v="Private Retailer"/>
    <s v="7584999937"/>
    <n v="11.025"/>
    <n v="42"/>
    <x v="3"/>
    <m/>
    <s v="2026-03-09"/>
    <s v="270157"/>
    <s v="M/s. Kanailal Keder Prasad"/>
    <s v="9474075544"/>
  </r>
  <r>
    <s v="RCF Thal"/>
    <s v="N.C.Urea(45kg)"/>
    <s v="WB"/>
    <x v="13"/>
    <s v="Ratua - II"/>
    <s v="User Not Mapped"/>
    <s v="User Not Mapped"/>
    <s v="User Not Mapped"/>
    <n v="513939"/>
    <s v="Md.Mosarraf Hossain"/>
    <s v="Private Retailer"/>
    <s v="7584999937"/>
    <n v="11.025"/>
    <n v="87"/>
    <x v="6"/>
    <m/>
    <s v="2026-01-23"/>
    <s v="270157"/>
    <s v="M/s. Kanailal Keder Prasad"/>
    <s v="9474075544"/>
  </r>
  <r>
    <s v="RCF Thal"/>
    <s v="N.C.Urea(45kg)"/>
    <s v="WB"/>
    <x v="13"/>
    <s v="Bamangola"/>
    <s v="User Not Mapped"/>
    <s v="User Not Mapped"/>
    <s v="User Not Mapped"/>
    <n v="655513"/>
    <s v="MILAN DEV FERTILISERS"/>
    <s v="Private Retailer"/>
    <s v="9564989902"/>
    <n v="5.625"/>
    <n v="42"/>
    <x v="3"/>
    <m/>
    <s v="2026-03-09"/>
    <s v="270157"/>
    <s v="M/s. Kanailal Keder Prasad"/>
    <s v="9474075544"/>
  </r>
  <r>
    <s v="RCF Import"/>
    <s v="Imp 10-26-26"/>
    <s v="WB"/>
    <x v="13"/>
    <s v="Habibpur"/>
    <s v="User Not Mapped"/>
    <s v="User Not Mapped"/>
    <s v="User Not Mapped"/>
    <n v="458416"/>
    <s v="Minati Sar Bhandar"/>
    <s v="Private Retailer"/>
    <s v="9735044366"/>
    <n v="0.65"/>
    <n v="51"/>
    <x v="3"/>
    <m/>
    <s v="2026-02-28"/>
    <s v="270157"/>
    <s v="M/s. Kanailal Keder Prasad"/>
    <s v="9474075544"/>
  </r>
  <r>
    <s v="RCF Thal"/>
    <s v="N.C.Urea(45kg)"/>
    <s v="WB"/>
    <x v="13"/>
    <s v="Habibpur"/>
    <s v="User Not Mapped"/>
    <s v="User Not Mapped"/>
    <s v="User Not Mapped"/>
    <n v="458416"/>
    <s v="Minati Sar Bhandar"/>
    <s v="Private Retailer"/>
    <s v="9735044366"/>
    <n v="2.4300000000000002"/>
    <n v="62"/>
    <x v="6"/>
    <m/>
    <s v="2026-02-17"/>
    <s v="270157"/>
    <s v="M/s. Kanailal Keder Prasad"/>
    <s v="9474075544"/>
  </r>
  <r>
    <s v="RCF Trombay"/>
    <s v="N.C.Urea(45kg)"/>
    <s v="WB"/>
    <x v="13"/>
    <s v="Bamangola"/>
    <s v="User Not Mapped"/>
    <s v="User Not Mapped"/>
    <s v="User Not Mapped"/>
    <n v="461087"/>
    <s v="Mondal Sar Bhandar"/>
    <s v="Private Retailer"/>
    <s v="7602956185"/>
    <n v="5.13"/>
    <n v="134"/>
    <x v="4"/>
    <m/>
    <s v="2025-12-07"/>
    <s v="270157"/>
    <s v="M/s. Kanailal Keder Prasad"/>
    <s v="9474075544"/>
  </r>
  <r>
    <s v="RCF Trombay"/>
    <s v="15-15-15"/>
    <s v="WB"/>
    <x v="13"/>
    <s v="Bamangola"/>
    <s v="User Not Mapped"/>
    <s v="User Not Mapped"/>
    <s v="User Not Mapped"/>
    <n v="355727"/>
    <s v="Motilal Sar Bhandar"/>
    <s v="Private Retailer"/>
    <s v="9593755265"/>
    <n v="10.25"/>
    <n v="277"/>
    <x v="1"/>
    <m/>
    <s v="2025-07-17"/>
    <s v="270157"/>
    <s v="M/s. Kanailal Keder Prasad"/>
    <s v="9474075544"/>
  </r>
  <r>
    <s v="RCF Thal"/>
    <s v="N.C.Urea(45kg)"/>
    <s v="WB"/>
    <x v="13"/>
    <s v="Gazole"/>
    <s v="User Not Mapped"/>
    <s v="User Not Mapped"/>
    <s v="User Not Mapped"/>
    <n v="1300152"/>
    <s v="MS AROHI SAR BHANDAR"/>
    <s v="Private Retailer"/>
    <s v="9800679406"/>
    <n v="7.335"/>
    <n v="62"/>
    <x v="6"/>
    <m/>
    <s v="2026-02-17"/>
    <s v="270157"/>
    <s v="M/s. Kanailal Keder Prasad"/>
    <s v="9474075544"/>
  </r>
  <r>
    <s v="RCF Trombay"/>
    <s v="N.C.Urea(45kg)"/>
    <s v="WB"/>
    <x v="13"/>
    <s v="Gazole"/>
    <s v="User Not Mapped"/>
    <s v="User Not Mapped"/>
    <s v="User Not Mapped"/>
    <n v="1300152"/>
    <s v="MS AROHI SAR BHANDAR"/>
    <s v="Private Retailer"/>
    <s v="9800679406"/>
    <n v="11.025"/>
    <n v="124"/>
    <x v="4"/>
    <m/>
    <s v="2025-12-17"/>
    <s v="270157"/>
    <s v="M/s. Kanailal Keder Prasad"/>
    <s v="9474075544"/>
  </r>
  <r>
    <s v="RCF Thal"/>
    <s v="N.C.Urea(45kg)"/>
    <s v="WB"/>
    <x v="13"/>
    <s v="Gazole"/>
    <s v="User Not Mapped"/>
    <s v="User Not Mapped"/>
    <s v="User Not Mapped"/>
    <n v="1429138"/>
    <s v="MS BISHAKHA KRISHI BHANDAR"/>
    <s v="Private Retailer"/>
    <s v="9333731404"/>
    <n v="0.27"/>
    <n v="406"/>
    <x v="0"/>
    <m/>
    <s v="2025-03-10"/>
    <s v="270157"/>
    <s v="M/s. Kanailal Keder Prasad"/>
    <s v="9474075544"/>
  </r>
  <r>
    <s v="RCF Import"/>
    <s v="Imp 10-26-26"/>
    <s v="WB"/>
    <x v="13"/>
    <s v="Gazole"/>
    <s v="User Not Mapped"/>
    <s v="User Not Mapped"/>
    <s v="User Not Mapped"/>
    <n v="1429138"/>
    <s v="MS BISHAKHA KRISHI BHANDAR"/>
    <s v="Private Retailer"/>
    <s v="9333731404"/>
    <n v="0.4"/>
    <n v="504"/>
    <x v="0"/>
    <m/>
    <s v="2024-12-02"/>
    <s v="270157"/>
    <s v="M/s. Kanailal Keder Prasad"/>
    <s v="9474075544"/>
  </r>
  <r>
    <s v="RCF Thal"/>
    <s v="N.C.Urea(45kg)"/>
    <s v="WB"/>
    <x v="13"/>
    <s v="Bamangola"/>
    <s v="User Not Mapped"/>
    <s v="User Not Mapped"/>
    <s v="User Not Mapped"/>
    <n v="1654376"/>
    <s v="MS UTTAM BHAKAT"/>
    <s v="Private Retailer"/>
    <s v="8759488093"/>
    <n v="11.025"/>
    <n v="17"/>
    <x v="5"/>
    <m/>
    <s v="2026-04-03"/>
    <s v="270157"/>
    <s v="M/s. Kanailal Keder Prasad"/>
    <s v="9474075544"/>
  </r>
  <r>
    <s v="RCF Thal"/>
    <s v="N.C.Urea(45kg)"/>
    <s v="WB"/>
    <x v="13"/>
    <s v="Ratua - I"/>
    <s v="User Not Mapped"/>
    <s v="User Not Mapped"/>
    <s v="User Not Mapped"/>
    <n v="1001513"/>
    <s v="MUSLEMA BIBI"/>
    <s v="Private Retailer"/>
    <s v="8016405520"/>
    <n v="8.1449999999999996"/>
    <n v="42"/>
    <x v="3"/>
    <m/>
    <s v="2026-03-09"/>
    <s v="270157"/>
    <s v="M/s. Kanailal Keder Prasad"/>
    <s v="9474075544"/>
  </r>
  <r>
    <s v="RCF Thal"/>
    <s v="N.C.Urea(45kg)"/>
    <s v="WB"/>
    <x v="13"/>
    <s v="Bamangola"/>
    <s v="User Not Mapped"/>
    <s v="User Not Mapped"/>
    <s v="User Not Mapped"/>
    <n v="331762"/>
    <s v="Narayani Krishi Bhandar"/>
    <s v="Private Retailer"/>
    <s v="9733205004"/>
    <n v="5.85"/>
    <n v="140"/>
    <x v="4"/>
    <m/>
    <s v="2025-12-01"/>
    <s v="270157"/>
    <s v="M/s. Kanailal Keder Prasad"/>
    <s v="9474075544"/>
  </r>
  <r>
    <s v="RCF Thal"/>
    <s v="N.C.Urea(45kg)"/>
    <s v="WB"/>
    <x v="13"/>
    <s v="Habibpur"/>
    <s v="User Not Mapped"/>
    <s v="User Not Mapped"/>
    <s v="User Not Mapped"/>
    <n v="288949"/>
    <s v="Nimbari Skus Ltd"/>
    <s v="PACS"/>
    <s v="9933501021"/>
    <n v="10.71"/>
    <n v="42"/>
    <x v="3"/>
    <m/>
    <s v="2026-03-09"/>
    <s v="270157"/>
    <s v="M/s. Kanailal Keder Prasad"/>
    <s v="9474075544"/>
  </r>
  <r>
    <s v="RCF Trombay"/>
    <s v="15-15-15"/>
    <s v="WB"/>
    <x v="13"/>
    <s v="Habibpur"/>
    <s v="User Not Mapped"/>
    <s v="User Not Mapped"/>
    <s v="User Not Mapped"/>
    <n v="288949"/>
    <s v="Nimbari Skus Ltd"/>
    <s v="PACS"/>
    <s v="9933501021"/>
    <n v="2.4500000000000002"/>
    <n v="277"/>
    <x v="1"/>
    <m/>
    <s v="2025-07-17"/>
    <s v="270157"/>
    <s v="M/s. Kanailal Keder Prasad"/>
    <s v="9474075544"/>
  </r>
  <r>
    <s v="RCF Trombay"/>
    <s v="N.C.Urea(45kg)"/>
    <s v="WB"/>
    <x v="13"/>
    <s v="Habibpur"/>
    <s v="User Not Mapped"/>
    <s v="User Not Mapped"/>
    <s v="User Not Mapped"/>
    <n v="288949"/>
    <s v="Nimbari Skus Ltd"/>
    <s v="PACS"/>
    <s v="9933501021"/>
    <n v="9.99"/>
    <n v="134"/>
    <x v="4"/>
    <m/>
    <s v="2025-12-07"/>
    <s v="270157"/>
    <s v="M/s. Kanailal Keder Prasad"/>
    <s v="9474075544"/>
  </r>
  <r>
    <s v="RCF Trombay"/>
    <s v="N.C.Urea(45kg)"/>
    <s v="WB"/>
    <x v="13"/>
    <s v="Ratua - I"/>
    <s v="User Not Mapped"/>
    <s v="User Not Mapped"/>
    <s v="User Not Mapped"/>
    <n v="411754"/>
    <s v="Paban Kumar Singh"/>
    <s v="Private Retailer"/>
    <s v="9832698558"/>
    <n v="0.72"/>
    <n v="891"/>
    <x v="2"/>
    <m/>
    <s v="2023-11-11"/>
    <s v="270157"/>
    <s v="M/s. Kanailal Keder Prasad"/>
    <s v="9474075544"/>
  </r>
  <r>
    <s v="RCF Thal"/>
    <s v="N.C.Urea(45kg)"/>
    <s v="WB"/>
    <x v="13"/>
    <s v="Ratua - I"/>
    <s v="User Not Mapped"/>
    <s v="User Not Mapped"/>
    <s v="User Not Mapped"/>
    <n v="411754"/>
    <s v="Paban Kumar Singh"/>
    <s v="Private Retailer"/>
    <s v="9832698558"/>
    <n v="1.44"/>
    <n v="258"/>
    <x v="1"/>
    <m/>
    <s v="2025-08-05"/>
    <s v="270157"/>
    <s v="M/s. Kanailal Keder Prasad"/>
    <s v="9474075544"/>
  </r>
  <r>
    <s v="RCF Thal"/>
    <s v="N.C.Urea(45kg)"/>
    <s v="WB"/>
    <x v="13"/>
    <s v="Ratua - I"/>
    <s v="User Not Mapped"/>
    <s v="User Not Mapped"/>
    <s v="User Not Mapped"/>
    <n v="411754"/>
    <s v="Paban Kumar Singh"/>
    <s v="Private Retailer"/>
    <s v="9832698558"/>
    <n v="11.025"/>
    <n v="220"/>
    <x v="1"/>
    <m/>
    <s v="2025-09-12"/>
    <s v="270157"/>
    <s v="M/s. Kanailal Keder Prasad"/>
    <s v="9474075544"/>
  </r>
  <r>
    <s v="RCF Thal"/>
    <s v="N.C.Urea(45kg)"/>
    <s v="WB"/>
    <x v="13"/>
    <s v="Ratua - I"/>
    <s v="User Not Mapped"/>
    <s v="User Not Mapped"/>
    <s v="User Not Mapped"/>
    <n v="411754"/>
    <s v="Paban Kumar Singh"/>
    <s v="Private Retailer"/>
    <s v="9832698558"/>
    <n v="11.025"/>
    <n v="87"/>
    <x v="6"/>
    <m/>
    <s v="2026-01-23"/>
    <s v="270157"/>
    <s v="M/s. Kanailal Keder Prasad"/>
    <s v="9474075544"/>
  </r>
  <r>
    <s v="RCF Trombay"/>
    <s v="15-15-15"/>
    <s v="WB"/>
    <x v="13"/>
    <s v="Ratua - I"/>
    <s v="User Not Mapped"/>
    <s v="User Not Mapped"/>
    <s v="User Not Mapped"/>
    <n v="411754"/>
    <s v="Paban Kumar Singh"/>
    <s v="Private Retailer"/>
    <s v="9832698558"/>
    <n v="0.95"/>
    <n v="892"/>
    <x v="2"/>
    <m/>
    <s v="2023-11-10"/>
    <s v="270157"/>
    <s v="M/s. Kanailal Keder Prasad"/>
    <s v="9474075544"/>
  </r>
  <r>
    <s v="RCF Thal"/>
    <s v="N.C.Urea(45kg)"/>
    <s v="WB"/>
    <x v="13"/>
    <s v="Habibpur"/>
    <s v="User Not Mapped"/>
    <s v="User Not Mapped"/>
    <s v="User Not Mapped"/>
    <n v="622682"/>
    <s v="Pal  Fertilizer"/>
    <s v="Private Retailer"/>
    <s v="9593433356"/>
    <n v="2.88"/>
    <n v="42"/>
    <x v="3"/>
    <m/>
    <s v="2026-03-09"/>
    <s v="270157"/>
    <s v="M/s. Kanailal Keder Prasad"/>
    <s v="9474075544"/>
  </r>
  <r>
    <s v="RCF Thal"/>
    <s v="N.C.Urea(45kg)"/>
    <s v="WB"/>
    <x v="13"/>
    <s v="Harischandrapur - II"/>
    <s v="User Not Mapped"/>
    <s v="User Not Mapped"/>
    <s v="User Not Mapped"/>
    <n v="807124"/>
    <s v="PIARUL HOQUE"/>
    <s v="Private Retailer"/>
    <s v="8926114880"/>
    <n v="1.365"/>
    <n v="42"/>
    <x v="3"/>
    <m/>
    <s v="2026-03-09"/>
    <s v="270157"/>
    <s v="M/s. Kanailal Keder Prasad"/>
    <s v="9474075544"/>
  </r>
  <r>
    <s v="RCF Trombay"/>
    <s v="N.C.Urea(45kg)"/>
    <s v="WB"/>
    <x v="13"/>
    <s v="Gazole"/>
    <s v="User Not Mapped"/>
    <s v="User Not Mapped"/>
    <s v="User Not Mapped"/>
    <n v="1461441"/>
    <s v="POLADANGA MULTIPURPOSE COOPERA"/>
    <s v="PACS"/>
    <s v="6295136361"/>
    <n v="5.94"/>
    <n v="278"/>
    <x v="1"/>
    <m/>
    <s v="2025-07-16"/>
    <s v="270157"/>
    <s v="M/s. Kanailal Keder Prasad"/>
    <s v="9474075544"/>
  </r>
  <r>
    <s v="RCF Import"/>
    <s v="Imp 10-26-26"/>
    <s v="WB"/>
    <x v="13"/>
    <s v="Habibpur"/>
    <s v="User Not Mapped"/>
    <s v="User Not Mapped"/>
    <s v="User Not Mapped"/>
    <n v="622647"/>
    <s v="Prosad fertiliser"/>
    <s v="Private Retailer"/>
    <s v="9733027900"/>
    <n v="15.35"/>
    <n v="74"/>
    <x v="6"/>
    <m/>
    <s v="2026-02-05"/>
    <s v="270157"/>
    <s v="M/s. Kanailal Keder Prasad"/>
    <s v="9474075544"/>
  </r>
  <r>
    <s v="RCF Thal"/>
    <s v="N.C.Urea(45kg)"/>
    <s v="WB"/>
    <x v="13"/>
    <s v="Gazole"/>
    <s v="User Not Mapped"/>
    <s v="User Not Mapped"/>
    <s v="User Not Mapped"/>
    <n v="630292"/>
    <s v="RAFIQUL ISLAM"/>
    <s v="Private Retailer"/>
    <s v="9382703463"/>
    <n v="2.5649999999999999"/>
    <n v="62"/>
    <x v="6"/>
    <m/>
    <s v="2026-02-17"/>
    <s v="270157"/>
    <s v="M/s. Kanailal Keder Prasad"/>
    <s v="9474075544"/>
  </r>
  <r>
    <s v="RCF Thal"/>
    <s v="N.C.Urea(45kg)"/>
    <s v="WB"/>
    <x v="13"/>
    <s v="Gazole"/>
    <s v="User Not Mapped"/>
    <s v="User Not Mapped"/>
    <s v="User Not Mapped"/>
    <n v="986070"/>
    <s v="RAMPROSAD MANDAL"/>
    <s v="Private Retailer"/>
    <s v="9547311031"/>
    <n v="5.31"/>
    <n v="163"/>
    <x v="4"/>
    <m/>
    <s v="2025-11-08"/>
    <s v="270157"/>
    <s v="M/s. Kanailal Keder Prasad"/>
    <s v="9474075544"/>
  </r>
  <r>
    <s v="RCF Thal"/>
    <s v="N.C.Urea(45kg)"/>
    <s v="WB"/>
    <x v="13"/>
    <s v="Ratua - I"/>
    <s v="User Not Mapped"/>
    <s v="User Not Mapped"/>
    <s v="User Not Mapped"/>
    <n v="1021773"/>
    <s v="SABUJ SAR BHANDAR"/>
    <s v="Private Retailer"/>
    <s v="7407330724"/>
    <n v="0.85499999999999998"/>
    <n v="475"/>
    <x v="0"/>
    <m/>
    <s v="2024-12-31"/>
    <s v="270157"/>
    <s v="M/s. Kanailal Keder Prasad"/>
    <s v="9474075544"/>
  </r>
  <r>
    <s v="RCF Trombay"/>
    <s v="N.C.Urea(45kg)"/>
    <s v="WB"/>
    <x v="13"/>
    <s v="Chanchal - I"/>
    <s v="User Not Mapped"/>
    <s v="User Not Mapped"/>
    <s v="User Not Mapped"/>
    <n v="639385"/>
    <s v="SAFIUL ALAM"/>
    <s v="Private Retailer"/>
    <s v="9734906440"/>
    <n v="9"/>
    <n v="124"/>
    <x v="4"/>
    <m/>
    <s v="2025-12-17"/>
    <s v="270157"/>
    <s v="M/s. Kanailal Keder Prasad"/>
    <s v="9474075544"/>
  </r>
  <r>
    <s v="RCF Thal"/>
    <s v="N.C.Urea(45kg)"/>
    <s v="WB"/>
    <x v="13"/>
    <s v="Ratua - II"/>
    <s v="User Not Mapped"/>
    <s v="User Not Mapped"/>
    <s v="User Not Mapped"/>
    <n v="595559"/>
    <s v="SAHA SAR BHANDAR"/>
    <s v="Private Retailer"/>
    <s v="9647205334"/>
    <n v="11.025"/>
    <n v="42"/>
    <x v="3"/>
    <m/>
    <s v="2026-03-09"/>
    <s v="270157"/>
    <s v="M/s. Kanailal Keder Prasad"/>
    <s v="9474075544"/>
  </r>
  <r>
    <s v="RCF Thal"/>
    <s v="N.C.Urea(45kg)"/>
    <s v="WB"/>
    <x v="13"/>
    <s v="Ratua - II"/>
    <s v="User Not Mapped"/>
    <s v="User Not Mapped"/>
    <s v="User Not Mapped"/>
    <n v="595559"/>
    <s v="SAHA SAR BHANDAR"/>
    <s v="Private Retailer"/>
    <s v="9647205334"/>
    <n v="0.81"/>
    <n v="140"/>
    <x v="4"/>
    <m/>
    <s v="2025-12-01"/>
    <s v="270157"/>
    <s v="M/s. Kanailal Keder Prasad"/>
    <s v="9474075544"/>
  </r>
  <r>
    <s v="RCF Thal"/>
    <s v="N.C.Urea(45kg)"/>
    <s v="WB"/>
    <x v="13"/>
    <s v="Chanchal - I"/>
    <s v="User Not Mapped"/>
    <s v="User Not Mapped"/>
    <s v="User Not Mapped"/>
    <n v="993240"/>
    <s v="SAHABUDDIN AHAMED"/>
    <s v="Private Retailer"/>
    <s v="9635983584"/>
    <n v="2.5649999999999999"/>
    <n v="62"/>
    <x v="6"/>
    <m/>
    <s v="2026-02-17"/>
    <s v="270157"/>
    <s v="M/s. Kanailal Keder Prasad"/>
    <s v="9474075544"/>
  </r>
  <r>
    <s v="RCF Thal"/>
    <s v="N.C.Urea(45kg)"/>
    <s v="WB"/>
    <x v="13"/>
    <s v="Gazole"/>
    <s v="User Not Mapped"/>
    <s v="User Not Mapped"/>
    <s v="User Not Mapped"/>
    <n v="1552292"/>
    <s v="SARADA KRISHI BHANDAR"/>
    <s v="Private Retailer"/>
    <s v="8967885772"/>
    <n v="5.31"/>
    <n v="147"/>
    <x v="4"/>
    <m/>
    <s v="2025-11-24"/>
    <s v="270157"/>
    <s v="M/s. Kanailal Keder Prasad"/>
    <s v="9474075544"/>
  </r>
  <r>
    <s v="RCF Thal"/>
    <s v="N.C.Urea(45kg)"/>
    <s v="WB"/>
    <x v="13"/>
    <s v="Gazole"/>
    <s v="User Not Mapped"/>
    <s v="User Not Mapped"/>
    <s v="User Not Mapped"/>
    <n v="626922"/>
    <s v="SARKAR SAR BHANDAR"/>
    <s v="Private Retailer"/>
    <s v="9933454813"/>
    <n v="5.4"/>
    <n v="496"/>
    <x v="0"/>
    <m/>
    <s v="2024-12-10"/>
    <s v="270157"/>
    <s v="M/s. Kanailal Keder Prasad"/>
    <s v="9474075544"/>
  </r>
  <r>
    <s v="RCF Trombay"/>
    <s v="N.C.Urea(45kg)"/>
    <s v="WB"/>
    <x v="13"/>
    <s v="Gazole"/>
    <s v="User Not Mapped"/>
    <s v="User Not Mapped"/>
    <s v="User Not Mapped"/>
    <n v="1622396"/>
    <s v="SARKAR SAR BHANDAR"/>
    <s v="Private Retailer"/>
    <s v="7001992187"/>
    <n v="3.7349999999999999"/>
    <n v="134"/>
    <x v="4"/>
    <m/>
    <s v="2025-12-07"/>
    <s v="270157"/>
    <s v="M/s. Kanailal Keder Prasad"/>
    <s v="9474075544"/>
  </r>
  <r>
    <s v="RCF Thal"/>
    <s v="N.C.Urea(45kg)"/>
    <s v="WB"/>
    <x v="13"/>
    <m/>
    <s v="User Not Mapped"/>
    <s v="User Not Mapped"/>
    <s v="User Not Mapped"/>
    <n v="941102"/>
    <s v="SHIB SHANKAR MANDAL"/>
    <s v="Private Retailer"/>
    <s v="9733443171"/>
    <n v="1.665"/>
    <n v="2006"/>
    <x v="2"/>
    <m/>
    <s v="2020-10-22"/>
    <s v="270157"/>
    <s v="M/s. Kanailal Keder Prasad"/>
    <s v="9474075544"/>
  </r>
  <r>
    <s v="RCF Thal"/>
    <s v="N.C.Urea(45kg)"/>
    <s v="WB"/>
    <x v="13"/>
    <m/>
    <s v="User Not Mapped"/>
    <s v="User Not Mapped"/>
    <s v="User Not Mapped"/>
    <n v="941102"/>
    <s v="SHIB SHANKAR MANDAL"/>
    <s v="Private Retailer"/>
    <s v="9733443171"/>
    <n v="4.5"/>
    <n v="1861"/>
    <x v="2"/>
    <m/>
    <s v="2021-03-16"/>
    <s v="270157"/>
    <s v="M/s. Kanailal Keder Prasad"/>
    <s v="9474075544"/>
  </r>
  <r>
    <s v="RCF Thal"/>
    <s v="N.C.Urea(45kg)"/>
    <s v="WB"/>
    <x v="13"/>
    <s v="Bamangola"/>
    <s v="User Not Mapped"/>
    <s v="User Not Mapped"/>
    <s v="User Not Mapped"/>
    <n v="331945"/>
    <s v="Sikdar Sar Bhandar. "/>
    <s v="Private Retailer"/>
    <s v="9474473351"/>
    <n v="0.13500000000000001"/>
    <n v="140"/>
    <x v="4"/>
    <m/>
    <s v="2025-12-01"/>
    <s v="270157"/>
    <s v="M/s. Kanailal Keder Prasad"/>
    <s v="9474075544"/>
  </r>
  <r>
    <s v="RCF Thal"/>
    <s v="N.C.Urea(45kg)"/>
    <s v="WB"/>
    <x v="13"/>
    <s v="Ratua - II"/>
    <s v="User Not Mapped"/>
    <s v="User Not Mapped"/>
    <s v="User Not Mapped"/>
    <n v="995099"/>
    <s v="SK ANISUR RAHAMAN"/>
    <s v="Private Retailer"/>
    <s v="9382506498"/>
    <n v="2.79"/>
    <n v="90"/>
    <x v="6"/>
    <m/>
    <s v="2026-01-20"/>
    <s v="270157"/>
    <s v="M/s. Kanailal Keder Prasad"/>
    <s v="9474075544"/>
  </r>
  <r>
    <s v="RCF Trombay"/>
    <s v="N.C.Urea(45kg)"/>
    <s v="WB"/>
    <x v="13"/>
    <s v="Harischandrapur - II"/>
    <s v="User Not Mapped"/>
    <s v="User Not Mapped"/>
    <s v="User Not Mapped"/>
    <n v="1461437"/>
    <s v="SK NAJIM FERTILIZER"/>
    <s v="Private Retailer"/>
    <s v="9733084192"/>
    <n v="9.9"/>
    <n v="117"/>
    <x v="7"/>
    <m/>
    <s v="2025-12-24"/>
    <s v="270157"/>
    <s v="M/s. Kanailal Keder Prasad"/>
    <s v="9474075544"/>
  </r>
  <r>
    <s v="RCF Thal"/>
    <s v="N.C.Urea(45kg)"/>
    <s v="WB"/>
    <x v="13"/>
    <s v="Harischandrapur - I"/>
    <s v="User Not Mapped"/>
    <s v="User Not Mapped"/>
    <s v="User Not Mapped"/>
    <n v="1005965"/>
    <s v="SK. MAHEDUL ISLAM"/>
    <s v="Private Retailer"/>
    <s v="8116512969"/>
    <n v="2.7450000000000001"/>
    <n v="42"/>
    <x v="3"/>
    <m/>
    <s v="2026-03-09"/>
    <s v="270157"/>
    <s v="M/s. Kanailal Keder Prasad"/>
    <s v="9474075544"/>
  </r>
  <r>
    <s v="RCF Thal"/>
    <s v="N.C.Urea(45kg)"/>
    <s v="WB"/>
    <x v="13"/>
    <s v="Kaliachak - II"/>
    <s v="User Not Mapped"/>
    <s v="User Not Mapped"/>
    <s v="User Not Mapped"/>
    <n v="1226637"/>
    <s v="SOHAN FERTILISER"/>
    <s v="Private Retailer"/>
    <s v="8101819526"/>
    <n v="4.5"/>
    <n v="42"/>
    <x v="3"/>
    <m/>
    <s v="2026-03-09"/>
    <s v="270157"/>
    <s v="M/s. Kanailal Keder Prasad"/>
    <s v="9474075544"/>
  </r>
  <r>
    <s v="RCF Trombay"/>
    <s v="N.C.Urea(45kg)"/>
    <s v="WB"/>
    <x v="13"/>
    <s v="Habibpur"/>
    <s v="User Not Mapped"/>
    <s v="User Not Mapped"/>
    <s v="User Not Mapped"/>
    <n v="288965"/>
    <s v="Soladanga Skus Ltd."/>
    <s v="PACS"/>
    <s v="9932172867"/>
    <n v="1.4850000000000001"/>
    <n v="128"/>
    <x v="4"/>
    <m/>
    <s v="2025-12-13"/>
    <s v="270157"/>
    <s v="M/s. Kanailal Keder Prasad"/>
    <s v="9474075544"/>
  </r>
  <r>
    <s v="RCF Trombay"/>
    <s v="N.C.Urea(45kg)"/>
    <s v="WB"/>
    <x v="13"/>
    <s v="Bamangola"/>
    <s v="User Not Mapped"/>
    <s v="User Not Mapped"/>
    <s v="User Not Mapped"/>
    <n v="467195"/>
    <s v="Sonali Fasal"/>
    <s v="Private Retailer"/>
    <s v="9733233108"/>
    <n v="9.3149999999999995"/>
    <n v="134"/>
    <x v="4"/>
    <m/>
    <s v="2025-12-07"/>
    <s v="270157"/>
    <s v="M/s. Kanailal Keder Prasad"/>
    <s v="9474075544"/>
  </r>
  <r>
    <s v="RCF Trombay"/>
    <s v="15-15-15"/>
    <s v="WB"/>
    <x v="13"/>
    <s v="Chanchal - I"/>
    <s v="User Not Mapped"/>
    <s v="User Not Mapped"/>
    <s v="User Not Mapped"/>
    <n v="514215"/>
    <s v="Soumendra Nath Saha"/>
    <s v="Private Retailer"/>
    <s v="8436645877"/>
    <n v="0.45"/>
    <n v="207"/>
    <x v="1"/>
    <m/>
    <s v="2025-09-25"/>
    <s v="270157"/>
    <s v="M/s. Kanailal Keder Prasad"/>
    <s v="9474075544"/>
  </r>
  <r>
    <s v="RCF Thal"/>
    <s v="N.C.Urea(45kg)"/>
    <s v="WB"/>
    <x v="13"/>
    <s v="Chanchal - I"/>
    <s v="User Not Mapped"/>
    <s v="User Not Mapped"/>
    <s v="User Not Mapped"/>
    <n v="514215"/>
    <s v="Soumendra Nath Saha"/>
    <s v="Private Retailer"/>
    <s v="8436645877"/>
    <n v="3.0150000000000001"/>
    <n v="42"/>
    <x v="3"/>
    <m/>
    <s v="2026-03-09"/>
    <s v="270157"/>
    <s v="M/s. Kanailal Keder Prasad"/>
    <s v="9474075544"/>
  </r>
  <r>
    <s v="RCF Thal"/>
    <s v="N.C.Urea(45kg)"/>
    <s v="WB"/>
    <x v="13"/>
    <s v="Gazole"/>
    <s v="User Not Mapped"/>
    <s v="User Not Mapped"/>
    <s v="User Not Mapped"/>
    <n v="626926"/>
    <s v="SUKUMAR SARKAR"/>
    <s v="Private Retailer"/>
    <s v="8768848422"/>
    <n v="8.82"/>
    <n v="126"/>
    <x v="4"/>
    <m/>
    <s v="2025-12-15"/>
    <s v="270157"/>
    <s v="M/s. Kanailal Keder Prasad"/>
    <s v="9474075544"/>
  </r>
  <r>
    <s v="RCF Thal"/>
    <s v="N.C.Urea(45kg)"/>
    <s v="WB"/>
    <x v="13"/>
    <m/>
    <s v="User Not Mapped"/>
    <s v="User Not Mapped"/>
    <s v="User Not Mapped"/>
    <n v="307734"/>
    <s v="Sunilchandra Barman"/>
    <s v="Private Retailer"/>
    <s v="9851307400"/>
    <n v="0.09"/>
    <n v="1861"/>
    <x v="2"/>
    <m/>
    <s v="2021-03-16"/>
    <s v="270157"/>
    <s v="M/s. Kanailal Keder Prasad"/>
    <s v="9474075544"/>
  </r>
  <r>
    <s v="RCF Trombay"/>
    <s v="15-15-15"/>
    <s v="WB"/>
    <x v="13"/>
    <m/>
    <s v="User Not Mapped"/>
    <s v="User Not Mapped"/>
    <s v="User Not Mapped"/>
    <n v="307734"/>
    <s v="Sunilchandra Barman"/>
    <s v="Private Retailer"/>
    <s v="9851307400"/>
    <n v="0.45"/>
    <n v="1628"/>
    <x v="2"/>
    <m/>
    <s v="2021-11-04"/>
    <s v="270157"/>
    <s v="M/s. Kanailal Keder Prasad"/>
    <s v="9474075544"/>
  </r>
  <r>
    <s v="RCF Trombay"/>
    <s v="N.C.Urea(45kg)"/>
    <s v="WB"/>
    <x v="13"/>
    <m/>
    <s v="User Not Mapped"/>
    <s v="User Not Mapped"/>
    <s v="User Not Mapped"/>
    <n v="307734"/>
    <s v="Sunilchandra Barman"/>
    <s v="Private Retailer"/>
    <s v="9851307400"/>
    <n v="0.58499999999999996"/>
    <n v="1968"/>
    <x v="2"/>
    <m/>
    <s v="2020-11-29"/>
    <s v="270157"/>
    <s v="M/s. Kanailal Keder Prasad"/>
    <s v="9474075544"/>
  </r>
  <r>
    <s v="RCF Thal"/>
    <s v="N.C.Urea(45kg)"/>
    <s v="WB"/>
    <x v="13"/>
    <m/>
    <s v="User Not Mapped"/>
    <s v="User Not Mapped"/>
    <s v="User Not Mapped"/>
    <n v="281487"/>
    <s v="Sushmita Sar Bhandar"/>
    <s v="Private Retailer"/>
    <s v="9933375978"/>
    <n v="9.5850000000000009"/>
    <n v="42"/>
    <x v="3"/>
    <m/>
    <s v="2026-03-09"/>
    <s v="270157"/>
    <s v="M/s. Kanailal Keder Prasad"/>
    <s v="9474075544"/>
  </r>
  <r>
    <s v="RCF Trombay"/>
    <s v="15-15-15"/>
    <s v="WB"/>
    <x v="13"/>
    <m/>
    <s v="User Not Mapped"/>
    <s v="User Not Mapped"/>
    <s v="User Not Mapped"/>
    <n v="281487"/>
    <s v="Sushmita Sar Bhandar"/>
    <s v="Private Retailer"/>
    <s v="9933375978"/>
    <n v="0.25"/>
    <n v="207"/>
    <x v="1"/>
    <m/>
    <s v="2025-09-25"/>
    <s v="270157"/>
    <s v="M/s. Kanailal Keder Prasad"/>
    <s v="9474075544"/>
  </r>
  <r>
    <s v="RCF Trombay"/>
    <s v="N.C.Urea(45kg)"/>
    <s v="WB"/>
    <x v="13"/>
    <s v="Maldah (Old)"/>
    <s v="User Not Mapped"/>
    <s v="User Not Mapped"/>
    <s v="User Not Mapped"/>
    <n v="973387"/>
    <s v="SUSMITASAR BHANDAR"/>
    <s v="Private Retailer"/>
    <s v="9547180632"/>
    <n v="4.4999999999999998E-2"/>
    <n v="191"/>
    <x v="1"/>
    <m/>
    <s v="2025-10-11"/>
    <s v="270157"/>
    <s v="M/s. Kanailal Keder Prasad"/>
    <s v="9474075544"/>
  </r>
  <r>
    <s v="RCF Thal"/>
    <s v="N.C.Urea(45kg)"/>
    <s v="WB"/>
    <x v="13"/>
    <s v="Maldah (Old)"/>
    <s v="User Not Mapped"/>
    <s v="User Not Mapped"/>
    <s v="User Not Mapped"/>
    <n v="462050"/>
    <s v="Tanushree Krishi Sar Bhandar"/>
    <s v="Private Retailer"/>
    <s v="9800877031"/>
    <n v="11.025"/>
    <n v="62"/>
    <x v="6"/>
    <m/>
    <s v="2026-02-17"/>
    <s v="270157"/>
    <s v="M/s. Kanailal Keder Prasad"/>
    <s v="9474075544"/>
  </r>
  <r>
    <s v="RCF Thal"/>
    <s v="N.C.Urea(45kg)"/>
    <s v="WB"/>
    <x v="13"/>
    <s v="Chanchal - II"/>
    <s v="User Not Mapped"/>
    <s v="User Not Mapped"/>
    <s v="User Not Mapped"/>
    <n v="639431"/>
    <s v="TARIK AHAMED"/>
    <s v="Private Retailer"/>
    <s v="9647710125"/>
    <n v="3.87"/>
    <n v="42"/>
    <x v="3"/>
    <m/>
    <s v="2026-03-09"/>
    <s v="270157"/>
    <s v="M/s. Kanailal Keder Prasad"/>
    <s v="9474075544"/>
  </r>
  <r>
    <s v="RCF Trombay"/>
    <s v="N.C.Urea(45kg)"/>
    <s v="WB"/>
    <x v="13"/>
    <s v="Maldah (Old)"/>
    <s v="User Not Mapped"/>
    <s v="User Not Mapped"/>
    <s v="User Not Mapped"/>
    <n v="986092"/>
    <s v="TRINATH ROY"/>
    <s v="Private Retailer"/>
    <s v="7602124603"/>
    <n v="5.49"/>
    <n v="165"/>
    <x v="4"/>
    <m/>
    <s v="2025-11-06"/>
    <s v="270157"/>
    <s v="M/s. Kanailal Keder Prasad"/>
    <s v="9474075544"/>
  </r>
  <r>
    <s v="RCF Trombay"/>
    <s v="N.C.Urea(45kg)"/>
    <s v="WB"/>
    <x v="13"/>
    <m/>
    <s v="User Not Mapped"/>
    <s v="User Not Mapped"/>
    <s v="User Not Mapped"/>
    <n v="625227"/>
    <s v="TRISHNAPROTIPPESTICIDESandFERTIL"/>
    <s v="Private Retailer"/>
    <s v="9735380187"/>
    <n v="4.41"/>
    <n v="1237"/>
    <x v="2"/>
    <m/>
    <s v="2022-11-30"/>
    <s v="270157"/>
    <s v="M/s. Kanailal Keder Prasad"/>
    <s v="9474075544"/>
  </r>
  <r>
    <s v="RCF Thal"/>
    <s v="N.C.Urea(45kg)"/>
    <s v="WB"/>
    <x v="13"/>
    <m/>
    <s v="User Not Mapped"/>
    <s v="User Not Mapped"/>
    <s v="User Not Mapped"/>
    <n v="625227"/>
    <s v="TRISHNAPROTIPPESTICIDESandFERTIL"/>
    <s v="Private Retailer"/>
    <s v="9735380187"/>
    <n v="8.5050000000000008"/>
    <n v="1217"/>
    <x v="2"/>
    <m/>
    <s v="2022-12-20"/>
    <s v="270157"/>
    <s v="M/s. Kanailal Keder Prasad"/>
    <s v="9474075544"/>
  </r>
  <r>
    <s v="RCF Trombay"/>
    <s v="15-15-15"/>
    <s v="WB"/>
    <x v="13"/>
    <m/>
    <s v="User Not Mapped"/>
    <s v="User Not Mapped"/>
    <s v="User Not Mapped"/>
    <n v="625227"/>
    <s v="TRISHNAPROTIPPESTICIDESandFERTIL"/>
    <s v="Private Retailer"/>
    <s v="9735380187"/>
    <n v="2"/>
    <n v="1250"/>
    <x v="2"/>
    <m/>
    <s v="2022-11-17"/>
    <s v="270157"/>
    <s v="M/s. Kanailal Keder Prasad"/>
    <s v="9474075544"/>
  </r>
  <r>
    <s v="RCF Thal"/>
    <s v="N.C.Urea(45kg)"/>
    <s v="WB"/>
    <x v="13"/>
    <s v="Bamangola"/>
    <s v="User Not Mapped"/>
    <s v="User Not Mapped"/>
    <s v="User Not Mapped"/>
    <n v="332025"/>
    <s v="Utpal Swarnakar"/>
    <s v="Private Retailer"/>
    <s v="9733360655"/>
    <n v="8.9550000000000001"/>
    <n v="496"/>
    <x v="0"/>
    <m/>
    <s v="2024-12-10"/>
    <s v="270157"/>
    <s v="M/s. Kanailal Keder Prasad"/>
    <s v="9474075544"/>
  </r>
  <r>
    <s v="RCF Thal"/>
    <s v="N.C.Urea(45kg)"/>
    <s v="WB"/>
    <x v="13"/>
    <s v="Maldah (Old)"/>
    <s v="User Not Mapped"/>
    <s v="User Not Mapped"/>
    <s v="User Not Mapped"/>
    <n v="281276"/>
    <s v="Well Culture"/>
    <s v="Private Retailer"/>
    <s v="9775061855"/>
    <n v="6.66"/>
    <n v="62"/>
    <x v="6"/>
    <m/>
    <s v="2026-02-17"/>
    <s v="270157"/>
    <s v="M/s. Kanailal Keder Prasad"/>
    <s v="9474075544"/>
  </r>
  <r>
    <s v="RCF Thal"/>
    <s v="N.C.Urea(45kg)"/>
    <s v="WB"/>
    <x v="13"/>
    <s v="Gazole"/>
    <s v="User Not Mapped"/>
    <s v="User Not Mapped"/>
    <s v="User Not Mapped"/>
    <n v="918942"/>
    <s v="ALOK DSR BHSNDAR"/>
    <s v="Private Retailer"/>
    <s v="9733083860"/>
    <n v="0.45"/>
    <n v="1188"/>
    <x v="2"/>
    <m/>
    <s v="2023-01-18"/>
    <s v="861204"/>
    <s v="M/s. Shankar Chandra Saha"/>
    <s v="9002479146"/>
  </r>
  <r>
    <s v="RCF Trombay"/>
    <s v="N.C.Urea(45kg)"/>
    <s v="WB"/>
    <x v="13"/>
    <s v="Maldah (Old)"/>
    <s v="User Not Mapped"/>
    <s v="User Not Mapped"/>
    <s v="User Not Mapped"/>
    <n v="1204357"/>
    <s v="M/S MEHERPUR KRISHI BHAVAN"/>
    <s v="Private Retailer"/>
    <s v="8159832946"/>
    <n v="0.34"/>
    <n v="1214"/>
    <x v="2"/>
    <m/>
    <s v="2022-12-23"/>
    <s v="861204"/>
    <s v="M/s. Shankar Chandra Saha"/>
    <s v="9002479146"/>
  </r>
  <r>
    <s v="RCF Trombay"/>
    <s v="N.C.Urea(45kg)"/>
    <s v="WB"/>
    <x v="13"/>
    <m/>
    <s v="User Not Mapped"/>
    <s v="User Not Mapped"/>
    <s v="User Not Mapped"/>
    <n v="411944"/>
    <s v="Md. Manirujjaman"/>
    <s v="Private Retailer"/>
    <s v="7908174375"/>
    <n v="0.18"/>
    <n v="1528"/>
    <x v="2"/>
    <m/>
    <s v="2022-02-12"/>
    <s v="861204"/>
    <s v="M/s. Shankar Chandra Saha"/>
    <s v="9002479146"/>
  </r>
  <r>
    <s v="RCF Thal"/>
    <s v="N.C.Urea(45kg)"/>
    <s v="WB"/>
    <x v="13"/>
    <m/>
    <s v="User Not Mapped"/>
    <s v="User Not Mapped"/>
    <s v="User Not Mapped"/>
    <n v="411944"/>
    <s v="Md. Manirujjaman"/>
    <s v="Private Retailer"/>
    <s v="7908174375"/>
    <n v="5.0000000000000001E-3"/>
    <n v="1188"/>
    <x v="2"/>
    <m/>
    <s v="2023-01-18"/>
    <s v="861204"/>
    <s v="M/s. Shankar Chandra Saha"/>
    <s v="9002479146"/>
  </r>
  <r>
    <s v="RCF Thal"/>
    <s v="N.C.Urea(45kg)"/>
    <s v="WB"/>
    <x v="13"/>
    <s v="Gazole"/>
    <s v="User Not Mapped"/>
    <s v="User Not Mapped"/>
    <s v="User Not Mapped"/>
    <n v="919529"/>
    <s v="MONOJ SAHA"/>
    <s v="Private Retailer"/>
    <s v="9800149945"/>
    <n v="0.55000000000000004"/>
    <n v="1593"/>
    <x v="2"/>
    <m/>
    <s v="2021-12-09"/>
    <s v="861204"/>
    <s v="M/s. Shankar Chandra Saha"/>
    <s v="9002479146"/>
  </r>
  <r>
    <s v="RCF Thal"/>
    <s v="N.C.Urea(45kg)"/>
    <s v="WB"/>
    <x v="13"/>
    <m/>
    <s v="User Not Mapped"/>
    <s v="User Not Mapped"/>
    <s v="User Not Mapped"/>
    <n v="639405"/>
    <s v="JAGADISH SAHA"/>
    <s v="Private Retailer"/>
    <s v="9593301014"/>
    <n v="2.3090000000000002"/>
    <n v="1925"/>
    <x v="2"/>
    <m/>
    <s v="2021-01-11"/>
    <s v="223195"/>
    <s v="M/s. Tarakeswar Roy "/>
    <s v="9775858507"/>
  </r>
  <r>
    <s v="RCF Trombay"/>
    <s v="15-15-15"/>
    <s v="WB"/>
    <x v="13"/>
    <s v="Chanchal - II"/>
    <s v="User Not Mapped"/>
    <s v="User Not Mapped"/>
    <s v="User Not Mapped"/>
    <n v="994768"/>
    <s v="M/S HASEBUL HOQUE"/>
    <s v="Private Retailer"/>
    <s v="9932969520"/>
    <n v="0.55000000000000004"/>
    <n v="1150"/>
    <x v="2"/>
    <m/>
    <s v="2023-02-25"/>
    <s v="288983"/>
    <s v="Naba Kumar Saha"/>
    <s v="9733139884"/>
  </r>
  <r>
    <s v="RCF Trombay"/>
    <s v="15-15-15"/>
    <s v="WB"/>
    <x v="13"/>
    <s v="Ratua - I"/>
    <s v="User Not Mapped"/>
    <s v="User Not Mapped"/>
    <s v="User Not Mapped"/>
    <n v="637937"/>
    <s v="MANIK CHANDRA SAHA"/>
    <s v="Private Retailer"/>
    <s v="6296995105"/>
    <n v="0.3"/>
    <n v="1164"/>
    <x v="2"/>
    <m/>
    <s v="2023-02-11"/>
    <s v="288983"/>
    <s v="Naba Kumar Saha"/>
    <s v="9733139884"/>
  </r>
  <r>
    <s v="RCF Thal"/>
    <s v="N.C.Urea(45kg)"/>
    <s v="WB"/>
    <x v="13"/>
    <s v="Gazole"/>
    <s v="User Not Mapped"/>
    <s v="User Not Mapped"/>
    <s v="User Not Mapped"/>
    <n v="625229"/>
    <s v="M/S JAHANGIR SAR BHANDAR"/>
    <s v="Private Retailer"/>
    <s v="8370931670"/>
    <n v="0.04"/>
    <n v="1210"/>
    <x v="2"/>
    <m/>
    <s v="2022-12-27"/>
    <s v="1324728"/>
    <s v="RAJLAXMI SAR BHANDER"/>
    <s v="9775843959"/>
  </r>
  <r>
    <s v="RCF Trombay"/>
    <s v="N.C.Urea(45kg)"/>
    <s v="WB"/>
    <x v="13"/>
    <s v="Gazole"/>
    <s v="User Not Mapped"/>
    <s v="User Not Mapped"/>
    <s v="User Not Mapped"/>
    <n v="496307"/>
    <s v="M/S Nityananda Roy"/>
    <s v="Private Retailer"/>
    <s v="8348996693"/>
    <n v="7.4999999999999997E-2"/>
    <n v="1246"/>
    <x v="2"/>
    <m/>
    <s v="2022-11-21"/>
    <s v="1324728"/>
    <s v="RAJLAXMI SAR BHANDER"/>
    <s v="9775843959"/>
  </r>
  <r>
    <s v="RCF Thal"/>
    <s v="N.C.Urea(45kg)"/>
    <s v="WB"/>
    <x v="13"/>
    <s v="Gazole"/>
    <s v="User Not Mapped"/>
    <s v="User Not Mapped"/>
    <s v="User Not Mapped"/>
    <n v="496307"/>
    <s v="M/S Nityananda Roy"/>
    <s v="Private Retailer"/>
    <s v="8348996693"/>
    <n v="5.0000000000000001E-3"/>
    <n v="1210"/>
    <x v="2"/>
    <m/>
    <s v="2022-12-27"/>
    <s v="1324728"/>
    <s v="RAJLAXMI SAR BHANDER"/>
    <s v="9775843959"/>
  </r>
  <r>
    <s v="RCF Trombay"/>
    <s v="15-15-15"/>
    <s v="WB"/>
    <x v="13"/>
    <s v="Gazole"/>
    <s v="User Not Mapped"/>
    <s v="User Not Mapped"/>
    <s v="User Not Mapped"/>
    <n v="288915"/>
    <s v="M/S RAJLAXMI SAR BHANDAR"/>
    <s v="Private Retailer"/>
    <s v="9434511160"/>
    <n v="3.75"/>
    <n v="131"/>
    <x v="4"/>
    <m/>
    <s v="2025-12-10"/>
    <s v="1324728"/>
    <s v="RAJLAXMI SAR BHANDER"/>
    <s v="9775843959"/>
  </r>
  <r>
    <s v="RCF Thal"/>
    <s v="N.C.Urea(45kg)"/>
    <s v="WB"/>
    <x v="13"/>
    <s v="Kaliachak - I"/>
    <s v="User Not Mapped"/>
    <s v="User Not Mapped"/>
    <s v="User Not Mapped"/>
    <n v="268712"/>
    <s v="M/s BirendraNathSaha O Partner"/>
    <s v="Private Wholsaler"/>
    <s v="9232761461"/>
    <n v="34.11"/>
    <n v="42"/>
    <x v="3"/>
    <s v="'WS3125003849'"/>
    <s v="2026-03-09"/>
    <s v="1"/>
    <s v="rcf"/>
    <m/>
  </r>
  <r>
    <s v="RCF Thal"/>
    <s v="N.C.Urea(45kg)"/>
    <s v="WB"/>
    <x v="13"/>
    <s v="Kaliachak - I"/>
    <s v="User Not Mapped"/>
    <s v="User Not Mapped"/>
    <s v="User Not Mapped"/>
    <n v="269982"/>
    <s v="M/s Jatindra Nath Saha"/>
    <s v="Private Wholsaler"/>
    <s v="7431922103"/>
    <n v="1.08"/>
    <n v="42"/>
    <x v="3"/>
    <s v="'WS3125003861'"/>
    <s v="2026-03-09"/>
    <s v="1"/>
    <s v="rcf"/>
    <m/>
  </r>
  <r>
    <s v="RCF Import"/>
    <s v="Imp 10-26-26"/>
    <s v="WB"/>
    <x v="13"/>
    <s v="Kaliachak - I"/>
    <s v="User Not Mapped"/>
    <s v="User Not Mapped"/>
    <s v="User Not Mapped"/>
    <n v="269982"/>
    <s v="M/s Jatindra Nath Saha"/>
    <s v="Private Wholsaler"/>
    <s v="7431922103"/>
    <n v="11"/>
    <n v="76"/>
    <x v="6"/>
    <s v="'WS3125003240'"/>
    <s v="2026-02-03"/>
    <s v="1"/>
    <s v="rcf"/>
    <m/>
  </r>
  <r>
    <s v="RCF Import"/>
    <s v="Imp 10-26-26"/>
    <s v="WB"/>
    <x v="13"/>
    <s v="Kaliachak - II"/>
    <s v="User Not Mapped"/>
    <s v="User Not Mapped"/>
    <s v="User Not Mapped"/>
    <n v="281272"/>
    <s v="M/s. Bimal Chandra Das"/>
    <s v="Private Wholsaler"/>
    <s v="8617802084"/>
    <n v="33"/>
    <n v="76"/>
    <x v="6"/>
    <s v="'WS3125003236'"/>
    <s v="2026-02-03"/>
    <s v="1"/>
    <s v="rcf"/>
    <m/>
  </r>
  <r>
    <s v="RCF Import"/>
    <s v="Imp 10-26-26"/>
    <s v="WB"/>
    <x v="13"/>
    <s v="Habibpur"/>
    <s v="User Not Mapped"/>
    <s v="User Not Mapped"/>
    <s v="User Not Mapped"/>
    <n v="270157"/>
    <s v="M/s. Kanailal Keder Prasad"/>
    <s v="Private Wholsaler"/>
    <s v="9474075544"/>
    <n v="54"/>
    <n v="37"/>
    <x v="3"/>
    <s v="'3125004079'"/>
    <s v="2026-03-14"/>
    <s v="1"/>
    <s v="rcf"/>
    <m/>
  </r>
  <r>
    <s v="RCF Import"/>
    <s v="Imp 10-26-26"/>
    <s v="WB"/>
    <x v="13"/>
    <s v="Habibpur"/>
    <s v="User Not Mapped"/>
    <s v="User Not Mapped"/>
    <s v="User Not Mapped"/>
    <n v="270157"/>
    <s v="M/s. Kanailal Keder Prasad"/>
    <s v="Private Wholsaler"/>
    <s v="9474075544"/>
    <n v="54"/>
    <n v="37"/>
    <x v="3"/>
    <s v="'3125004077'"/>
    <s v="2026-03-14"/>
    <s v="1"/>
    <s v="rcf"/>
    <m/>
  </r>
  <r>
    <s v="RCF Import"/>
    <s v="Imp 10-26-26"/>
    <s v="WB"/>
    <x v="13"/>
    <s v="Habibpur"/>
    <s v="User Not Mapped"/>
    <s v="User Not Mapped"/>
    <s v="User Not Mapped"/>
    <n v="270157"/>
    <s v="M/s. Kanailal Keder Prasad"/>
    <s v="Private Wholsaler"/>
    <s v="9474075544"/>
    <n v="50"/>
    <n v="34"/>
    <x v="3"/>
    <s v="'3125004086'"/>
    <s v="2026-03-17"/>
    <s v="1"/>
    <s v="rcf"/>
    <m/>
  </r>
  <r>
    <s v="RCF Import"/>
    <s v="Imp 10-26-26"/>
    <s v="WB"/>
    <x v="13"/>
    <s v="Habibpur"/>
    <s v="User Not Mapped"/>
    <s v="User Not Mapped"/>
    <s v="User Not Mapped"/>
    <n v="270157"/>
    <s v="M/s. Kanailal Keder Prasad"/>
    <s v="Private Wholsaler"/>
    <s v="9474075544"/>
    <n v="39"/>
    <n v="37"/>
    <x v="3"/>
    <s v="'3125004081'"/>
    <s v="2026-03-14"/>
    <s v="1"/>
    <s v="rcf"/>
    <m/>
  </r>
  <r>
    <s v="RCF Import"/>
    <s v="Imp 10-26-26"/>
    <s v="WB"/>
    <x v="13"/>
    <s v="Habibpur"/>
    <s v="User Not Mapped"/>
    <s v="User Not Mapped"/>
    <s v="User Not Mapped"/>
    <n v="270157"/>
    <s v="M/s. Kanailal Keder Prasad"/>
    <s v="Private Wholsaler"/>
    <s v="9474075544"/>
    <n v="5"/>
    <n v="31"/>
    <x v="3"/>
    <s v="'3125004100'"/>
    <s v="2026-03-20"/>
    <s v="1"/>
    <s v="rcf"/>
    <m/>
  </r>
  <r>
    <s v="RCF Import"/>
    <s v="Imp 10-26-26"/>
    <s v="WB"/>
    <x v="13"/>
    <s v="Habibpur"/>
    <s v="User Not Mapped"/>
    <s v="User Not Mapped"/>
    <s v="User Not Mapped"/>
    <n v="270157"/>
    <s v="M/s. Kanailal Keder Prasad"/>
    <s v="Private Wholsaler"/>
    <s v="9474075544"/>
    <n v="45"/>
    <n v="34"/>
    <x v="3"/>
    <s v="'3125004089'"/>
    <s v="2026-03-17"/>
    <s v="1"/>
    <s v="rcf"/>
    <m/>
  </r>
  <r>
    <s v="RCF Import"/>
    <s v="Imp 10-26-26"/>
    <s v="WB"/>
    <x v="13"/>
    <s v="Habibpur"/>
    <s v="User Not Mapped"/>
    <s v="User Not Mapped"/>
    <s v="User Not Mapped"/>
    <n v="270157"/>
    <s v="M/s. Kanailal Keder Prasad"/>
    <s v="Private Wholsaler"/>
    <s v="9474075544"/>
    <n v="45"/>
    <n v="37"/>
    <x v="3"/>
    <s v="'3125004078'"/>
    <s v="2026-03-14"/>
    <s v="1"/>
    <s v="rcf"/>
    <m/>
  </r>
  <r>
    <s v="RCF Import"/>
    <s v="Imp 10-26-26"/>
    <s v="WB"/>
    <x v="13"/>
    <s v="Habibpur"/>
    <s v="User Not Mapped"/>
    <s v="User Not Mapped"/>
    <s v="User Not Mapped"/>
    <n v="270157"/>
    <s v="M/s. Kanailal Keder Prasad"/>
    <s v="Private Wholsaler"/>
    <s v="9474075544"/>
    <n v="50"/>
    <n v="34"/>
    <x v="3"/>
    <s v="'3125004088'"/>
    <s v="2026-03-17"/>
    <s v="1"/>
    <s v="rcf"/>
    <m/>
  </r>
  <r>
    <s v="RCF Import"/>
    <s v="Imp 10-26-26"/>
    <s v="WB"/>
    <x v="13"/>
    <s v="Habibpur"/>
    <s v="User Not Mapped"/>
    <s v="User Not Mapped"/>
    <s v="User Not Mapped"/>
    <n v="270157"/>
    <s v="M/s. Kanailal Keder Prasad"/>
    <s v="Private Wholsaler"/>
    <s v="9474075544"/>
    <n v="50"/>
    <n v="34"/>
    <x v="3"/>
    <s v="'3125004087'"/>
    <s v="2026-03-17"/>
    <s v="1"/>
    <s v="rcf"/>
    <m/>
  </r>
  <r>
    <s v="RCF Import"/>
    <s v="Imp 10-26-26"/>
    <s v="WB"/>
    <x v="13"/>
    <s v="Habibpur"/>
    <s v="User Not Mapped"/>
    <s v="User Not Mapped"/>
    <s v="User Not Mapped"/>
    <n v="270157"/>
    <s v="M/s. Kanailal Keder Prasad"/>
    <s v="Private Wholsaler"/>
    <s v="9474075544"/>
    <n v="50"/>
    <n v="33"/>
    <x v="3"/>
    <s v="'3125004091'"/>
    <s v="2026-03-18"/>
    <s v="1"/>
    <s v="rcf"/>
    <m/>
  </r>
  <r>
    <s v="RCF Import"/>
    <s v="Imp 10-26-26"/>
    <s v="WB"/>
    <x v="13"/>
    <s v="Habibpur"/>
    <s v="User Not Mapped"/>
    <s v="User Not Mapped"/>
    <s v="User Not Mapped"/>
    <n v="270157"/>
    <s v="M/s. Kanailal Keder Prasad"/>
    <s v="Private Wholsaler"/>
    <s v="9474075544"/>
    <n v="54"/>
    <n v="37"/>
    <x v="3"/>
    <s v="'3125004080'"/>
    <s v="2026-03-14"/>
    <s v="1"/>
    <s v="rcf"/>
    <m/>
  </r>
  <r>
    <s v="RCF Trombay"/>
    <s v="15-15-15"/>
    <s v="WB"/>
    <x v="13"/>
    <s v="Chanchal - I"/>
    <s v="User Not Mapped"/>
    <s v="User Not Mapped"/>
    <s v="User Not Mapped"/>
    <n v="919985"/>
    <s v="M/S NOWSAD ALI"/>
    <s v="Private Retailer"/>
    <s v="9734955750"/>
    <n v="0.04"/>
    <n v="2666"/>
    <x v="2"/>
    <m/>
    <s v="2019-01-01"/>
    <s v="11"/>
    <s v="Too Old Stock"/>
    <m/>
  </r>
  <r>
    <s v="RCF Thal"/>
    <s v="N.C.Urea(45kg)"/>
    <s v="WB"/>
    <x v="13"/>
    <m/>
    <s v="User Not Mapped"/>
    <s v="User Not Mapped"/>
    <s v="User Not Mapped"/>
    <n v="983062"/>
    <s v="MAYER DOWA"/>
    <s v="Private Retailer"/>
    <s v="9933668241"/>
    <n v="3.375"/>
    <n v="2666"/>
    <x v="2"/>
    <m/>
    <s v="2019-01-01"/>
    <s v="11"/>
    <s v="Too Old Stock"/>
    <m/>
  </r>
  <r>
    <s v="RCF Trombay"/>
    <s v="N.C.Urea(45kg)"/>
    <s v="WB"/>
    <x v="13"/>
    <m/>
    <s v="User Not Mapped"/>
    <s v="User Not Mapped"/>
    <s v="User Not Mapped"/>
    <n v="1005977"/>
    <s v="MONGLI SAR BHANDAR"/>
    <s v="Private Retailer"/>
    <s v="9735974220"/>
    <n v="8.3249999999999993"/>
    <n v="2666"/>
    <x v="2"/>
    <m/>
    <s v="2019-01-01"/>
    <s v="11"/>
    <s v="Too Old Stock"/>
    <m/>
  </r>
  <r>
    <s v="RCF Trombay"/>
    <s v="15-15-15"/>
    <s v="WB"/>
    <x v="13"/>
    <s v="Chanchal - II"/>
    <s v="User Not Mapped"/>
    <s v="User Not Mapped"/>
    <s v="User Not Mapped"/>
    <n v="1202059"/>
    <s v="BIDYANANDAPUR ABUJ BAHINI FAR "/>
    <s v="Private Retailer"/>
    <s v="7031942786"/>
    <n v="5.4"/>
    <n v="143"/>
    <x v="4"/>
    <m/>
    <s v="2025-11-28"/>
    <s v="280849"/>
    <s v="Z Haque"/>
    <s v="9733413973"/>
  </r>
  <r>
    <s v="RCF Thal"/>
    <s v="N.C.Urea(45kg)"/>
    <s v="WB"/>
    <x v="14"/>
    <s v="Panskura"/>
    <s v="User Not Mapped"/>
    <s v="User Not Mapped"/>
    <s v="User Not Mapped"/>
    <n v="592801"/>
    <s v=" M/S AGRO FERTILISER "/>
    <s v="Private Retailer"/>
    <s v="9933931871"/>
    <n v="4.41"/>
    <n v="247"/>
    <x v="1"/>
    <m/>
    <s v="2025-08-16"/>
    <s v="281502"/>
    <s v="M/s. Mishra and Co."/>
    <s v="7602075590"/>
  </r>
  <r>
    <s v="RCF Import"/>
    <s v="Imp 10-26-26"/>
    <s v="WB"/>
    <x v="14"/>
    <s v="Egra - I"/>
    <s v="User Not Mapped"/>
    <s v="User Not Mapped"/>
    <s v="User Not Mapped"/>
    <n v="617093"/>
    <s v="BANKIM CHANDRA SAHOO"/>
    <s v="Private Retailer"/>
    <s v="8001943338"/>
    <n v="0.25"/>
    <n v="55"/>
    <x v="3"/>
    <m/>
    <s v="2026-02-24"/>
    <s v="281502"/>
    <s v="M/s. Mishra and Co."/>
    <s v="7602075590"/>
  </r>
  <r>
    <s v="RCF Trombay"/>
    <s v="15-15-15"/>
    <s v="WB"/>
    <x v="14"/>
    <s v="Contai - I"/>
    <s v="User Not Mapped"/>
    <s v="User Not Mapped"/>
    <s v="User Not Mapped"/>
    <n v="399660"/>
    <s v="Bikash Manna"/>
    <s v="Private Retailer"/>
    <s v="9635325294"/>
    <n v="1.5"/>
    <n v="258"/>
    <x v="1"/>
    <m/>
    <s v="2025-08-05"/>
    <s v="281502"/>
    <s v="M/s. Mishra and Co."/>
    <s v="7602075590"/>
  </r>
  <r>
    <s v="RCF Trombay"/>
    <s v="15-15-15"/>
    <s v="WB"/>
    <x v="14"/>
    <s v="Contai - I"/>
    <s v="User Not Mapped"/>
    <s v="User Not Mapped"/>
    <s v="User Not Mapped"/>
    <n v="399660"/>
    <s v="Bikash Manna"/>
    <s v="Private Retailer"/>
    <s v="9635325294"/>
    <n v="5.5"/>
    <n v="122"/>
    <x v="4"/>
    <m/>
    <s v="2025-12-19"/>
    <s v="281502"/>
    <s v="M/s. Mishra and Co."/>
    <s v="7602075590"/>
  </r>
  <r>
    <s v="RCF Import"/>
    <s v="Imp 10-26-26"/>
    <s v="WB"/>
    <x v="14"/>
    <s v="Contai - I"/>
    <s v="User Not Mapped"/>
    <s v="User Not Mapped"/>
    <s v="User Not Mapped"/>
    <n v="656506"/>
    <s v="GIRI FERTILISER"/>
    <s v="Private Retailer"/>
    <s v="9932972938"/>
    <n v="2.2000000000000002"/>
    <n v="55"/>
    <x v="3"/>
    <m/>
    <s v="2026-02-24"/>
    <s v="281502"/>
    <s v="M/s. Mishra and Co."/>
    <s v="7602075590"/>
  </r>
  <r>
    <s v="RCF Thal"/>
    <s v="N.C.Urea(45kg)"/>
    <s v="WB"/>
    <x v="14"/>
    <s v="Contai - I"/>
    <s v="User Not Mapped"/>
    <s v="User Not Mapped"/>
    <s v="User Not Mapped"/>
    <n v="656506"/>
    <s v="GIRI FERTILISER"/>
    <s v="Private Retailer"/>
    <s v="9932972938"/>
    <n v="0.9"/>
    <n v="68"/>
    <x v="6"/>
    <m/>
    <s v="2026-02-11"/>
    <s v="281502"/>
    <s v="M/s. Mishra and Co."/>
    <s v="7602075590"/>
  </r>
  <r>
    <s v="RCF Thal"/>
    <s v="N.C.Urea(45kg)"/>
    <s v="WB"/>
    <x v="14"/>
    <s v="Panskura"/>
    <s v="User Not Mapped"/>
    <s v="User Not Mapped"/>
    <s v="User Not Mapped"/>
    <n v="647772"/>
    <s v="KALIPADA JANA"/>
    <s v="Private Retailer"/>
    <s v="9932523671"/>
    <n v="7.38"/>
    <n v="237"/>
    <x v="1"/>
    <m/>
    <s v="2025-08-26"/>
    <s v="281502"/>
    <s v="M/s. Mishra and Co."/>
    <s v="7602075590"/>
  </r>
  <r>
    <s v="RCF Thal"/>
    <s v="N.C.Urea(45kg)"/>
    <s v="WB"/>
    <x v="14"/>
    <s v="Egra - I"/>
    <s v="User Not Mapped"/>
    <s v="User Not Mapped"/>
    <s v="User Not Mapped"/>
    <n v="1213363"/>
    <s v="krishi bhander"/>
    <s v="Private Retailer"/>
    <s v="9547755896"/>
    <n v="2.97"/>
    <n v="68"/>
    <x v="6"/>
    <m/>
    <s v="2026-02-11"/>
    <s v="281502"/>
    <s v="M/s. Mishra and Co."/>
    <s v="7602075590"/>
  </r>
  <r>
    <s v="RCF Thal"/>
    <s v="N.C.Urea(45kg)"/>
    <s v="WB"/>
    <x v="14"/>
    <s v="Contai - I"/>
    <s v="User Not Mapped"/>
    <s v="User Not Mapped"/>
    <s v="User Not Mapped"/>
    <n v="1086708"/>
    <s v="MAA LAKHEM VANDER"/>
    <s v="Private Retailer"/>
    <s v="9933493494"/>
    <n v="6.57"/>
    <n v="68"/>
    <x v="6"/>
    <m/>
    <s v="2026-02-11"/>
    <s v="281502"/>
    <s v="M/s. Mishra and Co."/>
    <s v="7602075590"/>
  </r>
  <r>
    <s v="RCF Trombay"/>
    <s v="15-15-15"/>
    <s v="WB"/>
    <x v="14"/>
    <s v="Deshopran"/>
    <s v="User Not Mapped"/>
    <s v="User Not Mapped"/>
    <s v="User Not Mapped"/>
    <n v="846547"/>
    <s v="Makali fertiliser (Gurudeb)"/>
    <s v="Private Retailer"/>
    <s v="7797459018"/>
    <n v="3.5"/>
    <n v="122"/>
    <x v="4"/>
    <m/>
    <s v="2025-12-19"/>
    <s v="281502"/>
    <s v="M/s. Mishra and Co."/>
    <s v="7602075590"/>
  </r>
  <r>
    <s v="RCF Import"/>
    <s v="Imp 10-26-26"/>
    <s v="WB"/>
    <x v="14"/>
    <s v="Contai - I"/>
    <s v="User Not Mapped"/>
    <s v="User Not Mapped"/>
    <s v="User Not Mapped"/>
    <n v="407452"/>
    <s v="Manindranath Panigrahi"/>
    <s v="Private Retailer"/>
    <s v="9933313286"/>
    <n v="6"/>
    <n v="55"/>
    <x v="3"/>
    <m/>
    <s v="2026-02-24"/>
    <s v="281502"/>
    <s v="M/s. Mishra and Co."/>
    <s v="7602075590"/>
  </r>
  <r>
    <s v="RCF Trombay"/>
    <s v="N.C.Urea(45kg)"/>
    <s v="WB"/>
    <x v="14"/>
    <s v="Contai - I"/>
    <s v="User Not Mapped"/>
    <s v="User Not Mapped"/>
    <s v="User Not Mapped"/>
    <n v="407452"/>
    <s v="Manindranath Panigrahi"/>
    <s v="Private Retailer"/>
    <s v="9933313286"/>
    <n v="5.49"/>
    <n v="122"/>
    <x v="4"/>
    <m/>
    <s v="2025-12-19"/>
    <s v="281502"/>
    <s v="M/s. Mishra and Co."/>
    <s v="7602075590"/>
  </r>
  <r>
    <s v="RCF Trombay"/>
    <s v="15-15-15"/>
    <s v="WB"/>
    <x v="14"/>
    <s v="Contai - I"/>
    <s v="User Not Mapped"/>
    <s v="User Not Mapped"/>
    <s v="User Not Mapped"/>
    <n v="407452"/>
    <s v="Manindranath Panigrahi"/>
    <s v="Private Retailer"/>
    <s v="9933313286"/>
    <n v="4.5"/>
    <n v="122"/>
    <x v="4"/>
    <m/>
    <s v="2025-12-19"/>
    <s v="281502"/>
    <s v="M/s. Mishra and Co."/>
    <s v="7602075590"/>
  </r>
  <r>
    <s v="RCF Thal"/>
    <s v="N.C.Urea(45kg)"/>
    <s v="WB"/>
    <x v="14"/>
    <s v="Contai - I"/>
    <s v="User Not Mapped"/>
    <s v="User Not Mapped"/>
    <s v="User Not Mapped"/>
    <n v="407452"/>
    <s v="Manindranath Panigrahi"/>
    <s v="Private Retailer"/>
    <s v="9933313286"/>
    <n v="3.78"/>
    <n v="68"/>
    <x v="6"/>
    <m/>
    <s v="2026-02-11"/>
    <s v="281502"/>
    <s v="M/s. Mishra and Co."/>
    <s v="7602075590"/>
  </r>
  <r>
    <s v="RCF Trombay"/>
    <s v="N.C.Urea(45kg)"/>
    <s v="WB"/>
    <x v="14"/>
    <m/>
    <s v="User Not Mapped"/>
    <s v="User Not Mapped"/>
    <s v="User Not Mapped"/>
    <n v="1610396"/>
    <s v="NEW JYOTSNA ENTERPRISE"/>
    <s v="Private Retailer"/>
    <s v="9143164465"/>
    <n v="4.4999999999999998E-2"/>
    <n v="29"/>
    <x v="5"/>
    <m/>
    <s v="2026-03-22"/>
    <s v="281502"/>
    <s v="M/s. Mishra and Co."/>
    <s v="7602075590"/>
  </r>
  <r>
    <s v="RCF Thal"/>
    <s v="N.C.Urea(45kg)"/>
    <s v="WB"/>
    <x v="14"/>
    <s v="Contai - I"/>
    <s v="User Not Mapped"/>
    <s v="User Not Mapped"/>
    <s v="User Not Mapped"/>
    <n v="631743"/>
    <s v="PATIT PABAN JANA"/>
    <s v="Private Retailer"/>
    <s v="9732437663"/>
    <n v="6.57"/>
    <n v="167"/>
    <x v="4"/>
    <m/>
    <s v="2025-11-04"/>
    <s v="281502"/>
    <s v="M/s. Mishra and Co."/>
    <s v="7602075590"/>
  </r>
  <r>
    <s v="RCF Trombay"/>
    <s v="15-15-15"/>
    <s v="WB"/>
    <x v="14"/>
    <s v="Potashpur - II"/>
    <s v="User Not Mapped"/>
    <s v="User Not Mapped"/>
    <s v="User Not Mapped"/>
    <n v="270607"/>
    <s v="Pintu Das"/>
    <s v="Private Retailer"/>
    <s v="9564405168"/>
    <n v="5.5"/>
    <n v="93"/>
    <x v="7"/>
    <m/>
    <s v="2026-01-17"/>
    <s v="281502"/>
    <s v="M/s. Mishra and Co."/>
    <s v="7602075590"/>
  </r>
  <r>
    <s v="RCF Trombay"/>
    <s v="15-15-15"/>
    <s v="WB"/>
    <x v="14"/>
    <s v="Potashpur - II"/>
    <s v="User Not Mapped"/>
    <s v="User Not Mapped"/>
    <s v="User Not Mapped"/>
    <n v="270607"/>
    <s v="Pintu Das"/>
    <s v="Private Retailer"/>
    <s v="9564405168"/>
    <n v="0.85"/>
    <n v="122"/>
    <x v="4"/>
    <m/>
    <s v="2025-12-19"/>
    <s v="281502"/>
    <s v="M/s. Mishra and Co."/>
    <s v="7602075590"/>
  </r>
  <r>
    <s v="RCF Trombay"/>
    <s v="N.C.Urea(45kg)"/>
    <s v="WB"/>
    <x v="14"/>
    <s v="Potashpur - II"/>
    <s v="User Not Mapped"/>
    <s v="User Not Mapped"/>
    <s v="User Not Mapped"/>
    <n v="270607"/>
    <s v="Pintu Das"/>
    <s v="Private Retailer"/>
    <s v="9564405168"/>
    <n v="0.76500000000000001"/>
    <n v="93"/>
    <x v="7"/>
    <m/>
    <s v="2026-01-17"/>
    <s v="281502"/>
    <s v="M/s. Mishra and Co."/>
    <s v="7602075590"/>
  </r>
  <r>
    <s v="RCF Trombay"/>
    <s v="15-15-15"/>
    <s v="WB"/>
    <x v="14"/>
    <s v="Contai - III"/>
    <s v="User Not Mapped"/>
    <s v="User Not Mapped"/>
    <s v="User Not Mapped"/>
    <n v="555451"/>
    <s v="Pranab Kumar Das"/>
    <s v="Private Retailer"/>
    <s v="8001332504"/>
    <n v="2.5"/>
    <n v="122"/>
    <x v="4"/>
    <m/>
    <s v="2025-12-19"/>
    <s v="281502"/>
    <s v="M/s. Mishra and Co."/>
    <s v="7602075590"/>
  </r>
  <r>
    <s v="RCF Trombay"/>
    <s v="N.C.Urea(45kg)"/>
    <s v="WB"/>
    <x v="14"/>
    <s v="Egra - I"/>
    <s v="User Not Mapped"/>
    <s v="User Not Mapped"/>
    <s v="User Not Mapped"/>
    <n v="621542"/>
    <s v="Prasenjit Mahapatra"/>
    <s v="Private Retailer"/>
    <s v="9547575393"/>
    <n v="0.94499999999999995"/>
    <n v="122"/>
    <x v="4"/>
    <m/>
    <s v="2025-12-19"/>
    <s v="281502"/>
    <s v="M/s. Mishra and Co."/>
    <s v="7602075590"/>
  </r>
  <r>
    <s v="RCF Thal"/>
    <s v="N.C.Urea(45kg)"/>
    <s v="WB"/>
    <x v="14"/>
    <s v="Contai - I"/>
    <s v="User Not Mapped"/>
    <s v="User Not Mapped"/>
    <s v="User Not Mapped"/>
    <n v="612040"/>
    <s v="RABINDRA NATH ROUTH"/>
    <s v="Private Retailer"/>
    <s v="7319169766"/>
    <n v="0.27"/>
    <n v="151"/>
    <x v="4"/>
    <m/>
    <s v="2025-11-20"/>
    <s v="281502"/>
    <s v="M/s. Mishra and Co."/>
    <s v="7602075590"/>
  </r>
  <r>
    <s v="RCF Thal"/>
    <s v="N.C.Urea(45kg)"/>
    <s v="WB"/>
    <x v="14"/>
    <s v="Egra - II"/>
    <s v="User Not Mapped"/>
    <s v="User Not Mapped"/>
    <s v="User Not Mapped"/>
    <n v="253386"/>
    <s v="Rebati Fertilizers Brindaban G"/>
    <s v="Private Retailer"/>
    <s v="8016925757"/>
    <n v="0.495"/>
    <n v="944"/>
    <x v="2"/>
    <m/>
    <s v="2023-09-19"/>
    <s v="281502"/>
    <s v="M/s. Mishra and Co."/>
    <s v="7602075590"/>
  </r>
  <r>
    <s v="RCF Thal"/>
    <s v="N.C.Urea(45kg)"/>
    <s v="WB"/>
    <x v="14"/>
    <s v="Egra - I"/>
    <s v="User Not Mapped"/>
    <s v="User Not Mapped"/>
    <s v="User Not Mapped"/>
    <n v="767640"/>
    <s v="Sri Uttam Kumar Pradhan"/>
    <s v="Private Retailer"/>
    <s v="9679056700"/>
    <n v="1.7549999999999999"/>
    <n v="68"/>
    <x v="6"/>
    <m/>
    <s v="2026-02-11"/>
    <s v="281502"/>
    <s v="M/s. Mishra and Co."/>
    <s v="7602075590"/>
  </r>
  <r>
    <s v="RCF Import"/>
    <s v="Imp 10-26-26"/>
    <s v="WB"/>
    <x v="14"/>
    <s v="Egra - I"/>
    <s v="User Not Mapped"/>
    <s v="User Not Mapped"/>
    <s v="User Not Mapped"/>
    <n v="767640"/>
    <s v="Sri Uttam Kumar Pradhan"/>
    <s v="Private Retailer"/>
    <s v="9679056700"/>
    <n v="3.8"/>
    <n v="55"/>
    <x v="3"/>
    <m/>
    <s v="2026-02-24"/>
    <s v="281502"/>
    <s v="M/s. Mishra and Co."/>
    <s v="7602075590"/>
  </r>
  <r>
    <s v="RCF Thal"/>
    <s v="N.C.Urea(45kg)"/>
    <s v="WB"/>
    <x v="14"/>
    <s v="Egra - II"/>
    <s v="User Not Mapped"/>
    <s v="User Not Mapped"/>
    <s v="User Not Mapped"/>
    <n v="344116"/>
    <s v="Srichandan Das"/>
    <s v="Private Retailer"/>
    <s v="9733545528"/>
    <n v="3.105"/>
    <n v="68"/>
    <x v="6"/>
    <m/>
    <s v="2026-02-11"/>
    <s v="281502"/>
    <s v="M/s. Mishra and Co."/>
    <s v="7602075590"/>
  </r>
  <r>
    <s v="RCF Thal"/>
    <s v="N.C.Urea(45kg)"/>
    <s v="WB"/>
    <x v="14"/>
    <s v="Nandigram - II"/>
    <s v="User Not Mapped"/>
    <s v="User Not Mapped"/>
    <s v="User Not Mapped"/>
    <n v="875786"/>
    <s v="SUSANTA BERA"/>
    <s v="Private Retailer"/>
    <s v="8145950322"/>
    <n v="0.9"/>
    <n v="167"/>
    <x v="4"/>
    <m/>
    <s v="2025-11-04"/>
    <s v="281502"/>
    <s v="M/s. Mishra and Co."/>
    <s v="7602075590"/>
  </r>
  <r>
    <s v="RCF Thal"/>
    <s v="N.C.Urea(45kg)"/>
    <s v="WB"/>
    <x v="14"/>
    <s v="Khejuri - II"/>
    <s v="User Not Mapped"/>
    <s v="User Not Mapped"/>
    <s v="User Not Mapped"/>
    <n v="328586"/>
    <s v="Susanta Kumar Giri"/>
    <s v="Private Retailer"/>
    <s v="9732921329"/>
    <n v="1.0249999999999999"/>
    <n v="160"/>
    <x v="4"/>
    <m/>
    <s v="2025-11-11"/>
    <s v="281502"/>
    <s v="M/s. Mishra and Co."/>
    <s v="7602075590"/>
  </r>
  <r>
    <s v="RCF Thal"/>
    <s v="N.C.Urea(45kg)"/>
    <s v="WB"/>
    <x v="14"/>
    <s v="Khejuri - II"/>
    <s v="User Not Mapped"/>
    <s v="User Not Mapped"/>
    <s v="User Not Mapped"/>
    <n v="603176"/>
    <s v="Madhumita Jana"/>
    <s v="Private Retailer"/>
    <s v="9749738649"/>
    <n v="0.09"/>
    <n v="1857"/>
    <x v="2"/>
    <m/>
    <s v="2021-03-20"/>
    <s v="586666"/>
    <s v="MANI SANKAR SAU"/>
    <s v="9732974217"/>
  </r>
  <r>
    <s v="RCF Import"/>
    <s v="Imp 10-26-26"/>
    <s v="WB"/>
    <x v="14"/>
    <s v="Egra - I"/>
    <s v="User Not Mapped"/>
    <s v="User Not Mapped"/>
    <s v="User Not Mapped"/>
    <n v="280604"/>
    <s v="Sabuj Mita"/>
    <s v="Private Wholsaler"/>
    <s v="9932091544"/>
    <n v="36"/>
    <n v="58"/>
    <x v="3"/>
    <s v="'WS3125003668'"/>
    <s v="2026-02-21"/>
    <s v="1"/>
    <s v="rcf"/>
    <m/>
  </r>
  <r>
    <s v="RCF Thal"/>
    <s v="N.C.Urea(45kg)"/>
    <s v="WB"/>
    <x v="14"/>
    <s v="Egra - I"/>
    <s v="User Not Mapped"/>
    <s v="User Not Mapped"/>
    <s v="User Not Mapped"/>
    <n v="280604"/>
    <s v="Sabuj Mita"/>
    <s v="Private Wholsaler"/>
    <s v="9932091544"/>
    <n v="0.17"/>
    <n v="70"/>
    <x v="6"/>
    <s v="'WS3125003345'"/>
    <s v="2026-02-09"/>
    <s v="1"/>
    <s v="rcf"/>
    <m/>
  </r>
  <r>
    <s v="RCF Thal"/>
    <s v="N.C.Urea(45kg)"/>
    <s v="WB"/>
    <x v="14"/>
    <s v="Potashpur - II"/>
    <s v="User Not Mapped"/>
    <s v="User Not Mapped"/>
    <s v="User Not Mapped"/>
    <n v="953434"/>
    <s v="AMBIKESH SEN"/>
    <s v="Private Retailer"/>
    <s v="9609071208"/>
    <n v="2.0699999999999998"/>
    <n v="146"/>
    <x v="4"/>
    <m/>
    <s v="2025-11-25"/>
    <s v="280604"/>
    <s v="Sabuj Mita"/>
    <s v="9932091544"/>
  </r>
  <r>
    <s v="RCF Thal"/>
    <s v="N.C.Urea(45kg)"/>
    <s v="WB"/>
    <x v="14"/>
    <s v="Egra - I"/>
    <s v="User Not Mapped"/>
    <s v="User Not Mapped"/>
    <s v="User Not Mapped"/>
    <n v="652977"/>
    <s v="BHARGABI SAR SARBARAHA KENDRA"/>
    <s v="Private Retailer"/>
    <s v="9800154079"/>
    <n v="4.4999999999999998E-2"/>
    <n v="593"/>
    <x v="2"/>
    <m/>
    <s v="2024-09-04"/>
    <s v="280604"/>
    <s v="Sabuj Mita"/>
    <s v="9932091544"/>
  </r>
  <r>
    <s v="RCF Thal"/>
    <s v="N.C.Urea(45kg)"/>
    <s v="WB"/>
    <x v="14"/>
    <s v="Egra - I"/>
    <s v="User Not Mapped"/>
    <s v="User Not Mapped"/>
    <s v="User Not Mapped"/>
    <n v="1030015"/>
    <s v="CHANDAN KUMAR JANA"/>
    <s v="Private Retailer"/>
    <s v="9732534264"/>
    <n v="0.9"/>
    <n v="67"/>
    <x v="6"/>
    <m/>
    <s v="2026-02-12"/>
    <s v="280604"/>
    <s v="Sabuj Mita"/>
    <s v="9932091544"/>
  </r>
  <r>
    <s v="RCF Thal"/>
    <s v="N.C.Urea(45kg)"/>
    <s v="WB"/>
    <x v="14"/>
    <s v="Contai - I"/>
    <s v="User Not Mapped"/>
    <s v="User Not Mapped"/>
    <s v="User Not Mapped"/>
    <n v="649693"/>
    <s v="KANAI KAMILA"/>
    <s v="Private Retailer"/>
    <s v="8001861562"/>
    <n v="1.62"/>
    <n v="171"/>
    <x v="4"/>
    <m/>
    <s v="2025-10-31"/>
    <s v="280604"/>
    <s v="Sabuj Mita"/>
    <s v="9932091544"/>
  </r>
  <r>
    <s v="RCF Trombay"/>
    <s v="N.C.Urea(45kg)"/>
    <s v="WB"/>
    <x v="14"/>
    <m/>
    <s v="User Not Mapped"/>
    <s v="User Not Mapped"/>
    <s v="User Not Mapped"/>
    <n v="270203"/>
    <s v="Kartic Das"/>
    <s v="Private Retailer"/>
    <s v="9932243897"/>
    <n v="1.8"/>
    <n v="1905"/>
    <x v="2"/>
    <m/>
    <s v="2021-01-31"/>
    <s v="280604"/>
    <s v="Sabuj Mita"/>
    <s v="9932091544"/>
  </r>
  <r>
    <s v="RCF Import"/>
    <s v="MOP"/>
    <s v="WB"/>
    <x v="14"/>
    <s v="Egra - I"/>
    <s v="User Not Mapped"/>
    <s v="User Not Mapped"/>
    <s v="User Not Mapped"/>
    <n v="759282"/>
    <s v="KSHUDIRAM  JANA"/>
    <s v="Private Retailer"/>
    <s v="9735408420"/>
    <n v="0.1"/>
    <n v="380"/>
    <x v="0"/>
    <m/>
    <s v="2025-04-05"/>
    <s v="280604"/>
    <s v="Sabuj Mita"/>
    <s v="9932091544"/>
  </r>
  <r>
    <s v="RCF Thal"/>
    <s v="N.C.Urea(45kg)"/>
    <s v="WB"/>
    <x v="14"/>
    <s v="Egra - II"/>
    <s v="User Not Mapped"/>
    <s v="User Not Mapped"/>
    <s v="User Not Mapped"/>
    <n v="652999"/>
    <s v="MAHALAKSHMI BHANDAR"/>
    <s v="Private Retailer"/>
    <s v="9093701719"/>
    <n v="0.27"/>
    <n v="66"/>
    <x v="6"/>
    <m/>
    <s v="2026-02-13"/>
    <s v="280604"/>
    <s v="Sabuj Mita"/>
    <s v="9932091544"/>
  </r>
  <r>
    <s v="RCF Thal"/>
    <s v="N.C.Urea(45kg)"/>
    <s v="WB"/>
    <x v="14"/>
    <m/>
    <s v="User Not Mapped"/>
    <s v="User Not Mapped"/>
    <s v="User Not Mapped"/>
    <n v="631759"/>
    <s v="MAITY FERTILIZERS"/>
    <s v="Private Retailer"/>
    <s v="9732360363"/>
    <n v="3.69"/>
    <n v="2464"/>
    <x v="2"/>
    <m/>
    <s v="2019-07-22"/>
    <s v="280604"/>
    <s v="Sabuj Mita"/>
    <s v="9932091544"/>
  </r>
  <r>
    <s v="RCF Trombay"/>
    <s v="15-15-15"/>
    <s v="WB"/>
    <x v="14"/>
    <m/>
    <s v="User Not Mapped"/>
    <s v="User Not Mapped"/>
    <s v="User Not Mapped"/>
    <n v="630350"/>
    <s v="MANJU DAS"/>
    <s v="Private Retailer"/>
    <s v="9732598778"/>
    <n v="0.05"/>
    <n v="1737"/>
    <x v="2"/>
    <m/>
    <s v="2021-07-18"/>
    <s v="280604"/>
    <s v="Sabuj Mita"/>
    <s v="9932091544"/>
  </r>
  <r>
    <s v="RCF Thal"/>
    <s v="N.C.Urea(45kg)"/>
    <s v="WB"/>
    <x v="14"/>
    <s v="Egra - I"/>
    <s v="User Not Mapped"/>
    <s v="User Not Mapped"/>
    <s v="User Not Mapped"/>
    <n v="407450"/>
    <s v="Manna Enterprise"/>
    <s v="Private Retailer"/>
    <s v="7501929063"/>
    <n v="0.99"/>
    <n v="80"/>
    <x v="6"/>
    <m/>
    <s v="2026-01-30"/>
    <s v="280604"/>
    <s v="Sabuj Mita"/>
    <s v="9932091544"/>
  </r>
  <r>
    <s v="RCF Trombay"/>
    <s v="N.C.Urea(45kg)"/>
    <s v="WB"/>
    <x v="14"/>
    <s v="Egra - I"/>
    <s v="User Not Mapped"/>
    <s v="User Not Mapped"/>
    <s v="User Not Mapped"/>
    <n v="407450"/>
    <s v="Manna Enterprise"/>
    <s v="Private Retailer"/>
    <s v="7501929063"/>
    <n v="1.35"/>
    <n v="85"/>
    <x v="6"/>
    <m/>
    <s v="2026-01-25"/>
    <s v="280604"/>
    <s v="Sabuj Mita"/>
    <s v="9932091544"/>
  </r>
  <r>
    <s v="RCF Trombay"/>
    <s v="N.C.Urea(45kg)"/>
    <s v="WB"/>
    <x v="14"/>
    <s v="Potashpur - II"/>
    <s v="User Not Mapped"/>
    <s v="User Not Mapped"/>
    <s v="User Not Mapped"/>
    <n v="1629210"/>
    <s v="MS TILOTTAMA KRISHI BHANDER"/>
    <s v="Private Retailer"/>
    <s v="9732762126"/>
    <n v="3.84"/>
    <n v="83"/>
    <x v="6"/>
    <m/>
    <s v="2026-01-27"/>
    <s v="280604"/>
    <s v="Sabuj Mita"/>
    <s v="9932091544"/>
  </r>
  <r>
    <s v="RCF Thal"/>
    <s v="N.C.Urea(45kg)"/>
    <s v="WB"/>
    <x v="14"/>
    <s v="Potashpur - II"/>
    <s v="User Not Mapped"/>
    <s v="User Not Mapped"/>
    <s v="User Not Mapped"/>
    <n v="407502"/>
    <s v="Nabakumar Shee"/>
    <s v="Private Retailer"/>
    <s v="9733614848"/>
    <n v="0.94499999999999995"/>
    <n v="66"/>
    <x v="6"/>
    <m/>
    <s v="2026-02-13"/>
    <s v="280604"/>
    <s v="Sabuj Mita"/>
    <s v="9932091544"/>
  </r>
  <r>
    <s v="RCF Trombay"/>
    <s v="N.C.Urea(45kg)"/>
    <s v="WB"/>
    <x v="14"/>
    <s v="Contai - I"/>
    <s v="User Not Mapped"/>
    <s v="User Not Mapped"/>
    <s v="User Not Mapped"/>
    <n v="631165"/>
    <s v="NEW KAR FERTILIZER"/>
    <s v="Private Retailer"/>
    <s v="9732715711"/>
    <n v="0.13100000000000001"/>
    <n v="178"/>
    <x v="4"/>
    <m/>
    <s v="2025-10-24"/>
    <s v="280604"/>
    <s v="Sabuj Mita"/>
    <s v="9932091544"/>
  </r>
  <r>
    <s v="RCF Thal"/>
    <s v="N.C.Urea(45kg)"/>
    <s v="WB"/>
    <x v="14"/>
    <s v="Contai - I"/>
    <s v="User Not Mapped"/>
    <s v="User Not Mapped"/>
    <s v="User Not Mapped"/>
    <n v="631165"/>
    <s v="NEW KAR FERTILIZER"/>
    <s v="Private Retailer"/>
    <s v="9732715711"/>
    <n v="3.8250000000000002"/>
    <n v="66"/>
    <x v="6"/>
    <m/>
    <s v="2026-02-13"/>
    <s v="280604"/>
    <s v="Sabuj Mita"/>
    <s v="9932091544"/>
  </r>
  <r>
    <s v="RCF Thal"/>
    <s v="N.C.Urea(45kg)"/>
    <s v="WB"/>
    <x v="14"/>
    <s v="Egra - I"/>
    <s v="User Not Mapped"/>
    <s v="User Not Mapped"/>
    <s v="User Not Mapped"/>
    <n v="846557"/>
    <s v="Nimai Pandit"/>
    <s v="Private Retailer"/>
    <s v="9933938616"/>
    <n v="1.0349999999999999"/>
    <n v="153"/>
    <x v="4"/>
    <m/>
    <s v="2025-11-18"/>
    <s v="280604"/>
    <s v="Sabuj Mita"/>
    <s v="9932091544"/>
  </r>
  <r>
    <s v="RCF Thal"/>
    <s v="N.C.Urea(45kg)"/>
    <s v="WB"/>
    <x v="14"/>
    <s v="Egra - I"/>
    <s v="User Not Mapped"/>
    <s v="User Not Mapped"/>
    <s v="User Not Mapped"/>
    <n v="1114451"/>
    <s v="NIMAI SAU"/>
    <s v="Private Retailer"/>
    <s v="8101098593"/>
    <n v="4.9050000000000002"/>
    <n v="150"/>
    <x v="4"/>
    <m/>
    <s v="2025-11-21"/>
    <s v="280604"/>
    <s v="Sabuj Mita"/>
    <s v="9932091544"/>
  </r>
  <r>
    <s v="RCF Trombay"/>
    <s v="N.C.Urea(45kg)"/>
    <s v="WB"/>
    <x v="14"/>
    <s v="Contai - I"/>
    <s v="User Not Mapped"/>
    <s v="User Not Mapped"/>
    <s v="User Not Mapped"/>
    <n v="631743"/>
    <s v="PATIT PABAN JANA"/>
    <s v="Private Retailer"/>
    <s v="9732437663"/>
    <n v="6.3"/>
    <n v="124"/>
    <x v="4"/>
    <m/>
    <s v="2025-12-17"/>
    <s v="280604"/>
    <s v="Sabuj Mita"/>
    <s v="9932091544"/>
  </r>
  <r>
    <s v="RCF Trombay"/>
    <s v="15-15-15"/>
    <s v="WB"/>
    <x v="14"/>
    <s v="Contai - I"/>
    <s v="User Not Mapped"/>
    <s v="User Not Mapped"/>
    <s v="User Not Mapped"/>
    <n v="631743"/>
    <s v="PATIT PABAN JANA"/>
    <s v="Private Retailer"/>
    <s v="9732437663"/>
    <n v="5.25"/>
    <n v="124"/>
    <x v="4"/>
    <m/>
    <s v="2025-12-17"/>
    <s v="280604"/>
    <s v="Sabuj Mita"/>
    <s v="9932091544"/>
  </r>
  <r>
    <s v="RCF Trombay"/>
    <s v="N.C.Urea(45kg)"/>
    <s v="WB"/>
    <x v="14"/>
    <m/>
    <s v="User Not Mapped"/>
    <s v="User Not Mapped"/>
    <s v="User Not Mapped"/>
    <n v="406119"/>
    <s v="Pradhan Fertilizer"/>
    <s v="Private Retailer"/>
    <s v="9647358436"/>
    <n v="1.8"/>
    <n v="1721"/>
    <x v="2"/>
    <m/>
    <s v="2021-08-03"/>
    <s v="280604"/>
    <s v="Sabuj Mita"/>
    <s v="9932091544"/>
  </r>
  <r>
    <s v="RCF Trombay"/>
    <s v="N.C.Urea(45kg)"/>
    <s v="WB"/>
    <x v="14"/>
    <s v="Contai - III"/>
    <s v="User Not Mapped"/>
    <s v="User Not Mapped"/>
    <s v="User Not Mapped"/>
    <n v="555451"/>
    <s v="Pranab Kumar Das"/>
    <s v="Private Retailer"/>
    <s v="8001332504"/>
    <n v="4.41"/>
    <n v="124"/>
    <x v="4"/>
    <m/>
    <s v="2025-12-17"/>
    <s v="280604"/>
    <s v="Sabuj Mita"/>
    <s v="9932091544"/>
  </r>
  <r>
    <s v="RCF Trombay"/>
    <s v="15-15-15"/>
    <s v="WB"/>
    <x v="14"/>
    <s v="Egra - I"/>
    <s v="User Not Mapped"/>
    <s v="User Not Mapped"/>
    <s v="User Not Mapped"/>
    <n v="953408"/>
    <s v="PRANAB PRADHAN"/>
    <s v="Private Retailer"/>
    <s v="8370924569"/>
    <n v="2.5"/>
    <n v="251"/>
    <x v="1"/>
    <m/>
    <s v="2025-08-12"/>
    <s v="280604"/>
    <s v="Sabuj Mita"/>
    <s v="9932091544"/>
  </r>
  <r>
    <s v="RCF Thal"/>
    <s v="N.C.Urea(45kg)"/>
    <s v="WB"/>
    <x v="14"/>
    <s v="Tamluk"/>
    <s v="User Not Mapped"/>
    <s v="User Not Mapped"/>
    <s v="User Not Mapped"/>
    <n v="1094974"/>
    <s v="PULAK SAU"/>
    <s v="Private Retailer"/>
    <s v="8348576593"/>
    <n v="0.19500000000000001"/>
    <n v="159"/>
    <x v="4"/>
    <m/>
    <s v="2025-11-12"/>
    <s v="280604"/>
    <s v="Sabuj Mita"/>
    <s v="9932091544"/>
  </r>
  <r>
    <s v="RCF Thal"/>
    <s v="N.C.Urea(45kg)"/>
    <s v="WB"/>
    <x v="14"/>
    <s v="Egra - I"/>
    <s v="User Not Mapped"/>
    <s v="User Not Mapped"/>
    <s v="User Not Mapped"/>
    <n v="1053881"/>
    <s v="PUTUL MISHRA"/>
    <s v="Private Retailer"/>
    <s v="9933033012"/>
    <n v="2.97"/>
    <n v="143"/>
    <x v="4"/>
    <m/>
    <s v="2025-11-28"/>
    <s v="280604"/>
    <s v="Sabuj Mita"/>
    <s v="9932091544"/>
  </r>
  <r>
    <s v="RCF Thal"/>
    <s v="N.C.Urea(45kg)"/>
    <s v="WB"/>
    <x v="14"/>
    <s v="Egra - I"/>
    <s v="User Not Mapped"/>
    <s v="User Not Mapped"/>
    <s v="User Not Mapped"/>
    <n v="406171"/>
    <s v="Saktipada Patra"/>
    <s v="Private Retailer"/>
    <s v="9800210251"/>
    <n v="0.40500000000000003"/>
    <n v="150"/>
    <x v="4"/>
    <m/>
    <s v="2025-11-21"/>
    <s v="280604"/>
    <s v="Sabuj Mita"/>
    <s v="9932091544"/>
  </r>
  <r>
    <s v="RCF Thal"/>
    <s v="N.C.Urea(45kg)"/>
    <s v="WB"/>
    <x v="14"/>
    <s v="Egra - I"/>
    <s v="User Not Mapped"/>
    <s v="User Not Mapped"/>
    <s v="User Not Mapped"/>
    <n v="1025992"/>
    <s v="SANJIB CHANDA"/>
    <s v="Private Retailer"/>
    <s v="9732861489"/>
    <n v="0.18"/>
    <n v="603"/>
    <x v="2"/>
    <m/>
    <s v="2024-08-25"/>
    <s v="280604"/>
    <s v="Sabuj Mita"/>
    <s v="9932091544"/>
  </r>
  <r>
    <s v="RCF Thal"/>
    <s v="N.C.Urea(45kg)"/>
    <s v="WB"/>
    <x v="14"/>
    <s v="Egra - I"/>
    <s v="User Not Mapped"/>
    <s v="User Not Mapped"/>
    <s v="User Not Mapped"/>
    <n v="560707"/>
    <s v="SANKHA MAYEE KRISHI BHANDERS"/>
    <s v="Private Retailer"/>
    <s v="9732564306"/>
    <n v="12.6"/>
    <n v="944"/>
    <x v="2"/>
    <m/>
    <s v="2023-09-19"/>
    <s v="280604"/>
    <s v="Sabuj Mita"/>
    <s v="9932091544"/>
  </r>
  <r>
    <s v="RCF Thal"/>
    <s v="N.C.Urea(45kg)"/>
    <s v="WB"/>
    <x v="14"/>
    <s v="Egra - II"/>
    <s v="User Not Mapped"/>
    <s v="User Not Mapped"/>
    <s v="User Not Mapped"/>
    <n v="407734"/>
    <s v="Sukumar Patra"/>
    <s v="Private Retailer"/>
    <s v="7407170626"/>
    <n v="0.18"/>
    <n v="66"/>
    <x v="6"/>
    <m/>
    <s v="2026-02-13"/>
    <s v="280604"/>
    <s v="Sabuj Mita"/>
    <s v="9932091544"/>
  </r>
  <r>
    <s v="RCF Trombay"/>
    <s v="N.C.Urea(45kg)"/>
    <s v="WB"/>
    <x v="14"/>
    <s v="Bhagawanpur - II"/>
    <s v="User Not Mapped"/>
    <s v="User Not Mapped"/>
    <s v="User Not Mapped"/>
    <n v="487007"/>
    <s v="Tarun Kanti Bera"/>
    <s v="Private Retailer"/>
    <s v="9732723630"/>
    <n v="3.4649999999999999"/>
    <n v="124"/>
    <x v="4"/>
    <m/>
    <s v="2025-12-17"/>
    <s v="280604"/>
    <s v="Sabuj Mita"/>
    <s v="9932091544"/>
  </r>
  <r>
    <s v="RCF Thal"/>
    <s v="N.C.Urea(45kg)"/>
    <s v="WB"/>
    <x v="14"/>
    <s v="Bhagawanpur - II"/>
    <s v="User Not Mapped"/>
    <s v="User Not Mapped"/>
    <s v="User Not Mapped"/>
    <n v="487007"/>
    <s v="Tarun Kanti Bera"/>
    <s v="Private Retailer"/>
    <s v="9732723630"/>
    <n v="5.58"/>
    <n v="66"/>
    <x v="6"/>
    <m/>
    <s v="2026-02-13"/>
    <s v="280604"/>
    <s v="Sabuj Mita"/>
    <s v="9932091544"/>
  </r>
  <r>
    <s v="RCF Trombay"/>
    <s v="15-15-15"/>
    <s v="WB"/>
    <x v="14"/>
    <s v="Khejuri - II"/>
    <s v="User Not Mapped"/>
    <s v="User Not Mapped"/>
    <s v="User Not Mapped"/>
    <n v="909600"/>
    <s v="ASHOK KUMAR DOLAI"/>
    <s v="Private Retailer"/>
    <s v="8317853890"/>
    <n v="0.4"/>
    <n v="2478"/>
    <x v="2"/>
    <m/>
    <s v="2019-07-08"/>
    <s v="501379"/>
    <s v="SANGITA ENTERPRISE"/>
    <s v="9932977059"/>
  </r>
  <r>
    <s v="RCF Trombay"/>
    <s v="15-15-15"/>
    <s v="WB"/>
    <x v="14"/>
    <m/>
    <s v="User Not Mapped"/>
    <s v="User Not Mapped"/>
    <s v="User Not Mapped"/>
    <n v="593434"/>
    <s v="BALIARPUR SKUS LTD"/>
    <s v="PACS"/>
    <s v="9933038934"/>
    <n v="0.2"/>
    <n v="2666"/>
    <x v="2"/>
    <m/>
    <s v="2019-01-01"/>
    <s v="11"/>
    <s v="Too Old Stock"/>
    <m/>
  </r>
  <r>
    <s v="RCF Trombay"/>
    <s v="15-15-15"/>
    <s v="WB"/>
    <x v="14"/>
    <s v="Contai - III"/>
    <s v="User Not Mapped"/>
    <s v="User Not Mapped"/>
    <s v="User Not Mapped"/>
    <n v="768068"/>
    <s v="M/s Tapas shit"/>
    <s v="Private Retailer"/>
    <s v="9732948979"/>
    <n v="0.03"/>
    <n v="2666"/>
    <x v="2"/>
    <m/>
    <s v="2019-01-01"/>
    <s v="11"/>
    <s v="Too Old Stock"/>
    <m/>
  </r>
  <r>
    <s v="RCF Trombay"/>
    <s v="15-15-15"/>
    <s v="WB"/>
    <x v="14"/>
    <m/>
    <s v="User Not Mapped"/>
    <s v="User Not Mapped"/>
    <s v="User Not Mapped"/>
    <n v="270590"/>
    <s v="Nayaput Skus Ltd."/>
    <s v="PACS"/>
    <s v="8972547784"/>
    <n v="2.1999999999999999E-2"/>
    <n v="2666"/>
    <x v="2"/>
    <m/>
    <s v="2019-01-01"/>
    <s v="11"/>
    <s v="Too Old Stock"/>
    <m/>
  </r>
  <r>
    <s v="RCF Thal"/>
    <s v="N.C.Urea(45kg)"/>
    <s v="WB"/>
    <x v="15"/>
    <s v="Daspur - II"/>
    <s v="User Not Mapped"/>
    <s v="User Not Mapped"/>
    <s v="User Not Mapped"/>
    <n v="922982"/>
    <s v="Vivekanand Banerjee"/>
    <s v="Private Retailer"/>
    <s v="9564449239"/>
    <n v="0.01"/>
    <n v="538"/>
    <x v="0"/>
    <m/>
    <s v="2024-10-29"/>
    <s v="1094193"/>
    <s v="ASHOK KUMAR NANDI"/>
    <s v="9749310530"/>
  </r>
  <r>
    <s v="RCF Thal"/>
    <s v="N.C.Urea(45kg)"/>
    <s v="WB"/>
    <x v="15"/>
    <s v="Garbeta - III"/>
    <s v="User Not Mapped"/>
    <s v="User Not Mapped"/>
    <s v="User Not Mapped"/>
    <n v="1335655"/>
    <s v="BABA BASANTARAY KRISHI BHANDER"/>
    <s v="Private Retailer"/>
    <s v="9382081276"/>
    <n v="0.85499999999999998"/>
    <n v="156"/>
    <x v="4"/>
    <m/>
    <s v="2025-11-15"/>
    <s v="281719"/>
    <s v="M/s. Lalmohan De"/>
    <s v="9153622851"/>
  </r>
  <r>
    <s v="RCF Thal"/>
    <s v="N.C.Urea(45kg)"/>
    <s v="WB"/>
    <x v="15"/>
    <s v="Garbeta - III"/>
    <s v="User Not Mapped"/>
    <s v="User Not Mapped"/>
    <s v="User Not Mapped"/>
    <n v="1448254"/>
    <s v="M/S SATYA SAMANTA"/>
    <s v="Private Retailer"/>
    <s v="8016374171"/>
    <n v="1.9350000000000001"/>
    <n v="170"/>
    <x v="4"/>
    <m/>
    <s v="2025-11-01"/>
    <s v="281719"/>
    <s v="M/s. Lalmohan De"/>
    <s v="9153622851"/>
  </r>
  <r>
    <s v="RCF Thal"/>
    <s v="N.C.Urea(45kg)"/>
    <s v="WB"/>
    <x v="15"/>
    <m/>
    <s v="User Not Mapped"/>
    <s v="User Not Mapped"/>
    <s v="User Not Mapped"/>
    <n v="328477"/>
    <s v="Sk Hafijul Rahaman"/>
    <s v="Private Retailer"/>
    <s v="8158925457"/>
    <n v="7.47"/>
    <n v="69"/>
    <x v="6"/>
    <m/>
    <s v="2026-02-10"/>
    <s v="281719"/>
    <s v="M/s. Lalmohan De"/>
    <s v="9153622851"/>
  </r>
  <r>
    <s v="RCF Thal"/>
    <s v="N.C.Urea(45kg)"/>
    <s v="WB"/>
    <x v="15"/>
    <m/>
    <s v="User Not Mapped"/>
    <s v="User Not Mapped"/>
    <s v="User Not Mapped"/>
    <n v="328477"/>
    <s v="Sk Hafijul Rahaman"/>
    <s v="Private Retailer"/>
    <s v="8158925457"/>
    <n v="0.72"/>
    <n v="247"/>
    <x v="1"/>
    <m/>
    <s v="2025-08-16"/>
    <s v="281719"/>
    <s v="M/s. Lalmohan De"/>
    <s v="9153622851"/>
  </r>
  <r>
    <s v="RCF Thal"/>
    <s v="N.C.Urea(45kg)"/>
    <s v="WB"/>
    <x v="15"/>
    <s v="Ghatal"/>
    <s v="User Not Mapped"/>
    <s v="User Not Mapped"/>
    <s v="User Not Mapped"/>
    <n v="511030"/>
    <s v="Sunil Kumar Mondal"/>
    <s v="Private Retailer"/>
    <s v="7602075215"/>
    <n v="2.4300000000000002"/>
    <n v="69"/>
    <x v="6"/>
    <m/>
    <s v="2026-02-10"/>
    <s v="281719"/>
    <s v="M/s. Lalmohan De"/>
    <s v="9153622851"/>
  </r>
  <r>
    <s v="RCF Trombay"/>
    <s v="15-15-15"/>
    <s v="WB"/>
    <x v="15"/>
    <m/>
    <s v="User Not Mapped"/>
    <s v="User Not Mapped"/>
    <s v="User Not Mapped"/>
    <n v="328342"/>
    <s v="Mondal Krishi Bhander"/>
    <s v="Private Retailer"/>
    <s v="9434991808"/>
    <n v="0.55000000000000004"/>
    <n v="2578"/>
    <x v="2"/>
    <m/>
    <s v="2019-03-30"/>
    <s v="281708"/>
    <s v="Ramkayal Upadhyay             "/>
    <s v="9434138314"/>
  </r>
  <r>
    <s v="RCF Thal"/>
    <s v="N.C.Urea(45kg)"/>
    <s v="WB"/>
    <x v="15"/>
    <s v="Garbeta - III"/>
    <s v="User Not Mapped"/>
    <s v="User Not Mapped"/>
    <s v="User Not Mapped"/>
    <n v="894569"/>
    <s v="RAJESH SAMANTA"/>
    <s v="Private Retailer"/>
    <s v="9932522935"/>
    <n v="1.575"/>
    <n v="1139"/>
    <x v="2"/>
    <m/>
    <s v="2023-03-08"/>
    <s v="281708"/>
    <s v="Ramkayal Upadhyay             "/>
    <s v="9434138314"/>
  </r>
  <r>
    <s v="RCF Trombay"/>
    <s v="N.C.Urea(45kg)"/>
    <s v="WB"/>
    <x v="15"/>
    <s v="Garbeta - III"/>
    <s v="User Not Mapped"/>
    <s v="User Not Mapped"/>
    <s v="User Not Mapped"/>
    <n v="328491"/>
    <s v="Sreema Krishi Bhandar"/>
    <s v="Private Retailer"/>
    <s v="9932274676"/>
    <n v="4.9950000000000001"/>
    <n v="849"/>
    <x v="2"/>
    <m/>
    <s v="2023-12-23"/>
    <s v="281708"/>
    <s v="Ramkayal Upadhyay             "/>
    <s v="9434138314"/>
  </r>
  <r>
    <s v="RCF Trombay"/>
    <s v="15-15-15"/>
    <s v="WB"/>
    <x v="15"/>
    <s v="Garbeta - III"/>
    <s v="User Not Mapped"/>
    <s v="User Not Mapped"/>
    <s v="User Not Mapped"/>
    <n v="328491"/>
    <s v="Sreema Krishi Bhandar"/>
    <s v="Private Retailer"/>
    <s v="9932274676"/>
    <n v="0.6"/>
    <n v="848"/>
    <x v="2"/>
    <m/>
    <s v="2023-12-24"/>
    <s v="281708"/>
    <s v="Ramkayal Upadhyay             "/>
    <s v="9434138314"/>
  </r>
  <r>
    <s v="RCF Thal"/>
    <s v="N.C.Urea(45kg)"/>
    <s v="WB"/>
    <x v="15"/>
    <s v="Garbeta - III"/>
    <s v="User Not Mapped"/>
    <s v="User Not Mapped"/>
    <s v="User Not Mapped"/>
    <n v="1575639"/>
    <s v="JAHARLAL KRISHI BHANDER"/>
    <s v="Private Retailer"/>
    <s v="9564234467"/>
    <n v="8.2349999999999994"/>
    <n v="168"/>
    <x v="4"/>
    <m/>
    <s v="2025-11-03"/>
    <s v="281717"/>
    <s v="Saktipada Roy"/>
    <s v="9932821183"/>
  </r>
  <r>
    <s v="RCF Trombay"/>
    <s v="N.C.Urea(45kg)"/>
    <s v="WB"/>
    <x v="15"/>
    <s v="Garbeta - III"/>
    <s v="User Not Mapped"/>
    <s v="User Not Mapped"/>
    <s v="User Not Mapped"/>
    <n v="1147551"/>
    <s v="M/S SADHAN BISWAS"/>
    <s v="Private Retailer"/>
    <s v="9679499955"/>
    <n v="0.85499999999999998"/>
    <n v="189"/>
    <x v="1"/>
    <m/>
    <s v="2025-10-13"/>
    <s v="281717"/>
    <s v="Saktipada Roy"/>
    <s v="9932821183"/>
  </r>
  <r>
    <s v="RCF Thal"/>
    <s v="N.C.Urea(45kg)"/>
    <s v="WB"/>
    <x v="15"/>
    <s v="Garbeta - III"/>
    <s v="User Not Mapped"/>
    <s v="User Not Mapped"/>
    <s v="User Not Mapped"/>
    <n v="1147551"/>
    <s v="M/S SADHAN BISWAS"/>
    <s v="Private Retailer"/>
    <s v="9679499955"/>
    <n v="6.8849999999999998"/>
    <n v="189"/>
    <x v="1"/>
    <m/>
    <s v="2025-10-13"/>
    <s v="281717"/>
    <s v="Saktipada Roy"/>
    <s v="9932821183"/>
  </r>
  <r>
    <s v="RCF Trombay"/>
    <s v="15-15-15"/>
    <s v="WB"/>
    <x v="16"/>
    <s v="Nawda"/>
    <s v="User Not Mapped"/>
    <s v="User Not Mapped"/>
    <s v="User Not Mapped"/>
    <n v="1249772"/>
    <s v="ASIF IKBAL "/>
    <s v="Private Retailer"/>
    <s v="8373007836"/>
    <n v="3"/>
    <n v="158"/>
    <x v="4"/>
    <m/>
    <s v="2025-11-13"/>
    <s v="1223223"/>
    <s v="AKASH SAHIN"/>
    <s v="8944813733"/>
  </r>
  <r>
    <s v="RCF Trombay"/>
    <s v="15-15-15"/>
    <s v="WB"/>
    <x v="16"/>
    <s v="Nawda"/>
    <s v="User Not Mapped"/>
    <s v="User Not Mapped"/>
    <s v="User Not Mapped"/>
    <n v="1187804"/>
    <s v="MONDAL FERTLIZER"/>
    <s v="Private Retailer"/>
    <s v="8145537003"/>
    <n v="2.5"/>
    <n v="158"/>
    <x v="4"/>
    <m/>
    <s v="2025-11-13"/>
    <s v="1223223"/>
    <s v="AKASH SAHIN"/>
    <s v="8944813733"/>
  </r>
  <r>
    <s v="RCF Trombay"/>
    <s v="15-15-15"/>
    <s v="WB"/>
    <x v="16"/>
    <s v="Nawda"/>
    <s v="User Not Mapped"/>
    <s v="User Not Mapped"/>
    <s v="User Not Mapped"/>
    <n v="471018"/>
    <s v="Mrityunjoy Mondal"/>
    <s v="Private Retailer"/>
    <s v="9733772359"/>
    <n v="2"/>
    <n v="176"/>
    <x v="4"/>
    <m/>
    <s v="2025-10-26"/>
    <s v="1223223"/>
    <s v="AKASH SAHIN"/>
    <s v="8944813733"/>
  </r>
  <r>
    <s v="RCF Import"/>
    <s v="Imp 10-26-26"/>
    <s v="WB"/>
    <x v="16"/>
    <s v="Nawda"/>
    <s v="User Not Mapped"/>
    <s v="User Not Mapped"/>
    <s v="User Not Mapped"/>
    <n v="828491"/>
    <s v="NURIMAN SK"/>
    <s v="Private Retailer"/>
    <s v="9775227221"/>
    <n v="2.2000000000000002"/>
    <n v="480"/>
    <x v="0"/>
    <m/>
    <s v="2024-12-26"/>
    <s v="1223223"/>
    <s v="AKASH SAHIN"/>
    <s v="8944813733"/>
  </r>
  <r>
    <s v="RCF Trombay"/>
    <s v="15-15-15"/>
    <s v="WB"/>
    <x v="16"/>
    <s v="Nawda"/>
    <s v="User Not Mapped"/>
    <s v="User Not Mapped"/>
    <s v="User Not Mapped"/>
    <n v="828491"/>
    <s v="NURIMAN SK"/>
    <s v="Private Retailer"/>
    <s v="9775227221"/>
    <n v="2.8"/>
    <n v="480"/>
    <x v="0"/>
    <m/>
    <s v="2024-12-26"/>
    <s v="1223223"/>
    <s v="AKASH SAHIN"/>
    <s v="8944813733"/>
  </r>
  <r>
    <s v="RCF Trombay"/>
    <s v="15-15-15"/>
    <s v="WB"/>
    <x v="16"/>
    <s v="Murshidabad Jiaganj"/>
    <s v="User Not Mapped"/>
    <s v="User Not Mapped"/>
    <s v="User Not Mapped"/>
    <n v="631827"/>
    <s v="BISHWAJIT MONDAL "/>
    <s v="Private Retailer"/>
    <s v="9564828440"/>
    <n v="1.3049999999999999"/>
    <n v="349"/>
    <x v="1"/>
    <m/>
    <s v="2025-05-06"/>
    <s v="223287"/>
    <s v="Arup Kumar Majumder           "/>
    <s v="9476172453"/>
  </r>
  <r>
    <s v="RCF Trombay"/>
    <s v="15-15-15"/>
    <s v="WB"/>
    <x v="16"/>
    <s v="Bhagawangola - I"/>
    <s v="User Not Mapped"/>
    <s v="User Not Mapped"/>
    <s v="User Not Mapped"/>
    <n v="596289"/>
    <s v="DULAB BIBI"/>
    <s v="Private Retailer"/>
    <s v="8158844686"/>
    <n v="3.25"/>
    <n v="319"/>
    <x v="1"/>
    <m/>
    <s v="2025-06-05"/>
    <s v="223287"/>
    <s v="Arup Kumar Majumder           "/>
    <s v="9476172453"/>
  </r>
  <r>
    <s v="RCF Thal"/>
    <s v="N.C.Urea(45kg)"/>
    <s v="WB"/>
    <x v="16"/>
    <s v="Bhagawangola - I"/>
    <s v="User Not Mapped"/>
    <s v="User Not Mapped"/>
    <s v="User Not Mapped"/>
    <n v="596289"/>
    <s v="DULAB BIBI"/>
    <s v="Private Retailer"/>
    <s v="8158844686"/>
    <n v="6.5250000000000004"/>
    <n v="319"/>
    <x v="1"/>
    <m/>
    <s v="2025-06-05"/>
    <s v="223287"/>
    <s v="Arup Kumar Majumder           "/>
    <s v="9476172453"/>
  </r>
  <r>
    <s v="RCF Trombay"/>
    <s v="N.C.Urea(45kg)"/>
    <s v="WB"/>
    <x v="16"/>
    <m/>
    <s v="User Not Mapped"/>
    <s v="User Not Mapped"/>
    <s v="User Not Mapped"/>
    <n v="1059358"/>
    <s v="MD NAJRUL ISLAM"/>
    <s v="Private Retailer"/>
    <s v="8972072730"/>
    <n v="0.04"/>
    <n v="2279"/>
    <x v="2"/>
    <m/>
    <s v="2020-01-23"/>
    <s v="223287"/>
    <s v="Arup Kumar Majumder           "/>
    <s v="9476172453"/>
  </r>
  <r>
    <s v="RCF Trombay"/>
    <s v="15-15-15"/>
    <s v="WB"/>
    <x v="16"/>
    <m/>
    <s v="User Not Mapped"/>
    <s v="User Not Mapped"/>
    <s v="User Not Mapped"/>
    <n v="1059358"/>
    <s v="MD NAJRUL ISLAM"/>
    <s v="Private Retailer"/>
    <s v="8972072730"/>
    <n v="0.1"/>
    <n v="2279"/>
    <x v="2"/>
    <m/>
    <s v="2020-01-23"/>
    <s v="223287"/>
    <s v="Arup Kumar Majumder           "/>
    <s v="9476172453"/>
  </r>
  <r>
    <s v="RCF Trombay"/>
    <s v="N.C.Urea(45kg)"/>
    <s v="WB"/>
    <x v="16"/>
    <s v="Lalgola"/>
    <s v="User Not Mapped"/>
    <s v="User Not Mapped"/>
    <s v="User Not Mapped"/>
    <n v="235706"/>
    <s v="Md Ashraf Ali"/>
    <s v="Private Retailer"/>
    <s v="9733973220"/>
    <n v="0.04"/>
    <n v="270"/>
    <x v="1"/>
    <m/>
    <s v="2025-07-24"/>
    <s v="355437"/>
    <s v="Asraf Ali"/>
    <s v="9733973220"/>
  </r>
  <r>
    <s v="RCF Thal"/>
    <s v="N.C.Urea(45kg)"/>
    <s v="WB"/>
    <x v="16"/>
    <s v="Lalgola"/>
    <s v="User Not Mapped"/>
    <s v="User Not Mapped"/>
    <s v="User Not Mapped"/>
    <n v="235706"/>
    <s v="Md Ashraf Ali"/>
    <s v="Private Retailer"/>
    <s v="9733973220"/>
    <n v="8.52"/>
    <n v="125"/>
    <x v="4"/>
    <m/>
    <s v="2025-12-16"/>
    <s v="355437"/>
    <s v="Asraf Ali"/>
    <s v="9733973220"/>
  </r>
  <r>
    <s v="RCF Thal"/>
    <s v="N.C.Urea(45kg)"/>
    <s v="WB"/>
    <x v="16"/>
    <s v="Lalgola"/>
    <s v="User Not Mapped"/>
    <s v="User Not Mapped"/>
    <s v="User Not Mapped"/>
    <n v="1422202"/>
    <s v="MD SHAFI KAMAL"/>
    <s v="Private Retailer"/>
    <s v="8609080035"/>
    <n v="2.7E-2"/>
    <n v="228"/>
    <x v="1"/>
    <m/>
    <s v="2025-09-04"/>
    <s v="355437"/>
    <s v="Asraf Ali"/>
    <s v="9733973220"/>
  </r>
  <r>
    <s v="RCF Thal"/>
    <s v="N.C.Urea(45kg)"/>
    <s v="WB"/>
    <x v="16"/>
    <m/>
    <s v="User Not Mapped"/>
    <s v="User Not Mapped"/>
    <s v="User Not Mapped"/>
    <n v="235616"/>
    <s v="Bikash Mandal"/>
    <s v="Private Retailer"/>
    <s v="9153940481"/>
    <n v="0.214"/>
    <n v="2483"/>
    <x v="2"/>
    <m/>
    <s v="2019-07-03"/>
    <s v="223283"/>
    <s v="B Mukherjee  And Company"/>
    <s v="7430990680"/>
  </r>
  <r>
    <s v="RCF Compost"/>
    <s v="City Compost"/>
    <s v="WB"/>
    <x v="16"/>
    <m/>
    <s v="User Not Mapped"/>
    <s v="User Not Mapped"/>
    <s v="User Not Mapped"/>
    <n v="843306"/>
    <s v="HASANUJJAMAN MONDAL"/>
    <s v="Private Retailer"/>
    <s v="9647044012"/>
    <n v="0.5"/>
    <n v="2279"/>
    <x v="2"/>
    <m/>
    <s v="2020-01-23"/>
    <s v="223283"/>
    <s v="B Mukherjee  And Company"/>
    <s v="7430990680"/>
  </r>
  <r>
    <s v="RCF Import"/>
    <s v="Imp 10-26-26"/>
    <s v="WB"/>
    <x v="16"/>
    <s v="Kandi"/>
    <s v="User Not Mapped"/>
    <s v="User Not Mapped"/>
    <s v="User Not Mapped"/>
    <n v="449075"/>
    <s v="M/S Hasanur Jaman"/>
    <s v="Private Retailer"/>
    <s v="9564397848"/>
    <n v="11"/>
    <n v="76"/>
    <x v="6"/>
    <m/>
    <s v="2026-02-03"/>
    <s v="223283"/>
    <s v="B Mukherjee  And Company"/>
    <s v="7430990680"/>
  </r>
  <r>
    <s v="RCF Trombay"/>
    <s v="N.C.Urea(45kg)"/>
    <s v="WB"/>
    <x v="16"/>
    <s v="Kandi"/>
    <s v="User Not Mapped"/>
    <s v="User Not Mapped"/>
    <s v="User Not Mapped"/>
    <n v="449075"/>
    <s v="M/S Hasanur Jaman"/>
    <s v="Private Retailer"/>
    <s v="9564397848"/>
    <n v="9.0449999999999999"/>
    <n v="37"/>
    <x v="3"/>
    <m/>
    <s v="2026-03-14"/>
    <s v="223283"/>
    <s v="B Mukherjee  And Company"/>
    <s v="7430990680"/>
  </r>
  <r>
    <s v="RCF Trombay"/>
    <s v="15-15-15"/>
    <s v="WB"/>
    <x v="16"/>
    <s v="Kandi"/>
    <s v="User Not Mapped"/>
    <s v="User Not Mapped"/>
    <s v="User Not Mapped"/>
    <n v="449075"/>
    <s v="M/S Hasanur Jaman"/>
    <s v="Private Retailer"/>
    <s v="9564397848"/>
    <n v="10.25"/>
    <n v="31"/>
    <x v="3"/>
    <m/>
    <s v="2026-03-20"/>
    <s v="223283"/>
    <s v="B Mukherjee  And Company"/>
    <s v="7430990680"/>
  </r>
  <r>
    <s v="RCF Thal"/>
    <s v="N.C.Urea(45kg)"/>
    <s v="WB"/>
    <x v="16"/>
    <s v="Kandi"/>
    <s v="User Not Mapped"/>
    <s v="User Not Mapped"/>
    <s v="User Not Mapped"/>
    <n v="449075"/>
    <s v="M/S Hasanur Jaman"/>
    <s v="Private Retailer"/>
    <s v="9564397848"/>
    <n v="20.25"/>
    <n v="37"/>
    <x v="3"/>
    <m/>
    <s v="2026-03-14"/>
    <s v="223283"/>
    <s v="B Mukherjee  And Company"/>
    <s v="7430990680"/>
  </r>
  <r>
    <s v="RCF Trombay"/>
    <s v="15-15-15"/>
    <s v="WB"/>
    <x v="16"/>
    <s v="Kandi"/>
    <s v="User Not Mapped"/>
    <s v="User Not Mapped"/>
    <s v="User Not Mapped"/>
    <n v="449075"/>
    <s v="M/S Hasanur Jaman"/>
    <s v="Private Retailer"/>
    <s v="9564397848"/>
    <n v="8.3000000000000007"/>
    <n v="149"/>
    <x v="4"/>
    <m/>
    <s v="2025-11-22"/>
    <s v="223283"/>
    <s v="B Mukherjee  And Company"/>
    <s v="7430990680"/>
  </r>
  <r>
    <s v="RCF Trombay"/>
    <s v="15-15-15"/>
    <s v="WB"/>
    <x v="16"/>
    <s v="Hariharpara"/>
    <s v="User Not Mapped"/>
    <s v="User Not Mapped"/>
    <s v="User Not Mapped"/>
    <n v="839504"/>
    <s v="MONDAL FERTILIZER"/>
    <s v="Private Retailer"/>
    <s v="7872179550"/>
    <n v="2.9"/>
    <n v="37"/>
    <x v="3"/>
    <m/>
    <s v="2026-03-14"/>
    <s v="223283"/>
    <s v="B Mukherjee  And Company"/>
    <s v="7430990680"/>
  </r>
  <r>
    <s v="RCF Trombay"/>
    <s v="N.C.Urea(45kg)"/>
    <s v="WB"/>
    <x v="16"/>
    <s v="Berhampore"/>
    <s v="User Not Mapped"/>
    <s v="User Not Mapped"/>
    <s v="User Not Mapped"/>
    <n v="961086"/>
    <s v="N ALAM FERTILIZER"/>
    <s v="Private Retailer"/>
    <s v="8515926009"/>
    <n v="6.3E-2"/>
    <n v="2089"/>
    <x v="2"/>
    <m/>
    <s v="2020-07-31"/>
    <s v="223283"/>
    <s v="B Mukherjee  And Company"/>
    <s v="7430990680"/>
  </r>
  <r>
    <s v="RCF Trombay"/>
    <s v="15-15-15"/>
    <s v="WB"/>
    <x v="16"/>
    <s v="Berhampore"/>
    <s v="User Not Mapped"/>
    <s v="User Not Mapped"/>
    <s v="User Not Mapped"/>
    <n v="961086"/>
    <s v="N ALAM FERTILIZER"/>
    <s v="Private Retailer"/>
    <s v="8515926009"/>
    <n v="0.24299999999999999"/>
    <n v="2008"/>
    <x v="2"/>
    <m/>
    <s v="2020-10-20"/>
    <s v="223283"/>
    <s v="B Mukherjee  And Company"/>
    <s v="7430990680"/>
  </r>
  <r>
    <s v="RCF Thal"/>
    <s v="N.C.Urea(45kg)"/>
    <s v="WB"/>
    <x v="16"/>
    <s v="Berhampore"/>
    <s v="User Not Mapped"/>
    <s v="User Not Mapped"/>
    <s v="User Not Mapped"/>
    <n v="961086"/>
    <s v="N ALAM FERTILIZER"/>
    <s v="Private Retailer"/>
    <s v="8515926009"/>
    <n v="3.6999999999999998E-2"/>
    <n v="2664"/>
    <x v="2"/>
    <m/>
    <s v="2019-01-03"/>
    <s v="223283"/>
    <s v="B Mukherjee  And Company"/>
    <s v="7430990680"/>
  </r>
  <r>
    <s v="RCF Trombay"/>
    <s v="15-15-15"/>
    <s v="WB"/>
    <x v="16"/>
    <s v="Berhampore"/>
    <s v="User Not Mapped"/>
    <s v="User Not Mapped"/>
    <s v="User Not Mapped"/>
    <n v="247487"/>
    <s v="Rajib Kar "/>
    <s v="Private Retailer"/>
    <s v="9434666978"/>
    <n v="0.35"/>
    <n v="290"/>
    <x v="1"/>
    <m/>
    <s v="2025-07-04"/>
    <s v="223283"/>
    <s v="B Mukherjee  And Company"/>
    <s v="7430990680"/>
  </r>
  <r>
    <s v="RCF Trombay"/>
    <s v="15-15-15"/>
    <s v="WB"/>
    <x v="16"/>
    <s v="Berhampore"/>
    <s v="User Not Mapped"/>
    <s v="User Not Mapped"/>
    <s v="User Not Mapped"/>
    <n v="247487"/>
    <s v="Rajib Kar "/>
    <s v="Private Retailer"/>
    <s v="9434666978"/>
    <n v="0.75"/>
    <n v="7"/>
    <x v="5"/>
    <m/>
    <s v="2026-04-13"/>
    <s v="223283"/>
    <s v="B Mukherjee  And Company"/>
    <s v="7430990680"/>
  </r>
  <r>
    <s v="RCF Trombay"/>
    <s v="15-15-15"/>
    <s v="WB"/>
    <x v="16"/>
    <s v="Berhampore"/>
    <s v="User Not Mapped"/>
    <s v="User Not Mapped"/>
    <s v="User Not Mapped"/>
    <n v="247487"/>
    <s v="Rajib Kar "/>
    <s v="Private Retailer"/>
    <s v="9434666978"/>
    <n v="3"/>
    <n v="11"/>
    <x v="5"/>
    <m/>
    <s v="2026-04-09"/>
    <s v="223283"/>
    <s v="B Mukherjee  And Company"/>
    <s v="7430990680"/>
  </r>
  <r>
    <s v="RCF Trombay"/>
    <s v="15-15-15"/>
    <s v="WB"/>
    <x v="16"/>
    <m/>
    <s v="User Not Mapped"/>
    <s v="User Not Mapped"/>
    <s v="User Not Mapped"/>
    <n v="235812"/>
    <s v="Umapada Pal "/>
    <s v="Private Retailer"/>
    <s v="9932497810"/>
    <n v="0.5"/>
    <n v="2574"/>
    <x v="2"/>
    <m/>
    <s v="2019-04-03"/>
    <s v="223283"/>
    <s v="B Mukherjee  And Company"/>
    <s v="7430990680"/>
  </r>
  <r>
    <s v="RCF Trombay"/>
    <s v="15-15-15"/>
    <s v="WB"/>
    <x v="16"/>
    <m/>
    <s v="User Not Mapped"/>
    <s v="User Not Mapped"/>
    <s v="User Not Mapped"/>
    <n v="235812"/>
    <s v="Umapada Pal "/>
    <s v="Private Retailer"/>
    <s v="9932497810"/>
    <n v="0.25"/>
    <n v="2666"/>
    <x v="2"/>
    <m/>
    <s v="2019-01-01"/>
    <s v="223283"/>
    <s v="B Mukherjee  And Company"/>
    <s v="7430990680"/>
  </r>
  <r>
    <s v="RCF Thal"/>
    <s v="N.C.Urea(45kg)"/>
    <s v="WB"/>
    <x v="16"/>
    <m/>
    <s v="User Not Mapped"/>
    <s v="User Not Mapped"/>
    <s v="User Not Mapped"/>
    <n v="994824"/>
    <s v="HABIBUR RAHAMAN"/>
    <s v="Private Retailer"/>
    <s v="7407282526"/>
    <n v="6.11"/>
    <n v="1337"/>
    <x v="2"/>
    <m/>
    <s v="2022-08-22"/>
    <s v="1225739"/>
    <s v="BAHARUL ISLAM"/>
    <s v="9932460909"/>
  </r>
  <r>
    <s v="RCF Trombay"/>
    <s v="N.C.Urea(45kg)"/>
    <s v="WB"/>
    <x v="16"/>
    <s v="Burwan"/>
    <s v="User Not Mapped"/>
    <s v="User Not Mapped"/>
    <s v="User Not Mapped"/>
    <n v="473799"/>
    <s v="Harasankar Pandey"/>
    <s v="Private Retailer"/>
    <s v="9732870422"/>
    <n v="0.02"/>
    <n v="2586"/>
    <x v="2"/>
    <m/>
    <s v="2019-03-22"/>
    <s v="256526"/>
    <s v="Bankashyam Dutta"/>
    <s v="7384555867"/>
  </r>
  <r>
    <s v="RCF Import"/>
    <s v="Imp 10-26-26"/>
    <s v="WB"/>
    <x v="16"/>
    <s v="Kandi"/>
    <s v="User Not Mapped"/>
    <s v="User Not Mapped"/>
    <s v="User Not Mapped"/>
    <n v="503033"/>
    <s v="Sachidananda Dutta"/>
    <s v="Private Retailer"/>
    <s v="8900029393"/>
    <n v="3.25"/>
    <n v="50"/>
    <x v="3"/>
    <m/>
    <s v="2026-03-01"/>
    <s v="256526"/>
    <s v="Bankashyam Dutta"/>
    <s v="7384555867"/>
  </r>
  <r>
    <s v="RCF Thal"/>
    <s v="N.C.Urea(45kg)"/>
    <s v="WB"/>
    <x v="16"/>
    <s v="Burwan"/>
    <s v="User Not Mapped"/>
    <s v="User Not Mapped"/>
    <s v="User Not Mapped"/>
    <n v="1507071"/>
    <s v="SRIKRISHNA MONDAL"/>
    <s v="Private Retailer"/>
    <s v="9064790171"/>
    <n v="3.2850000000000001"/>
    <n v="282"/>
    <x v="1"/>
    <m/>
    <s v="2025-07-12"/>
    <s v="256526"/>
    <s v="Bankashyam Dutta"/>
    <s v="7384555867"/>
  </r>
  <r>
    <s v="RCF Trombay"/>
    <s v="15-15-15"/>
    <s v="WB"/>
    <x v="16"/>
    <s v="Bhagawangola - I"/>
    <s v="User Not Mapped"/>
    <s v="User Not Mapped"/>
    <s v="User Not Mapped"/>
    <n v="235562"/>
    <s v="Abdus Samad"/>
    <s v="Private Retailer"/>
    <s v="9933117980"/>
    <n v="10"/>
    <n v="81"/>
    <x v="6"/>
    <m/>
    <s v="2026-01-29"/>
    <s v="1320516"/>
    <s v="BIDHAN CHANDRA BISWAS"/>
    <s v="9732816547"/>
  </r>
  <r>
    <s v="RCF Trombay"/>
    <s v="N.C.Urea(45kg)"/>
    <s v="WB"/>
    <x v="16"/>
    <s v="Bhagawangola - I"/>
    <s v="User Not Mapped"/>
    <s v="User Not Mapped"/>
    <s v="User Not Mapped"/>
    <n v="235562"/>
    <s v="Abdus Samad"/>
    <s v="Private Retailer"/>
    <s v="9933117980"/>
    <n v="2.1150000000000002"/>
    <n v="81"/>
    <x v="6"/>
    <m/>
    <s v="2026-01-29"/>
    <s v="1320516"/>
    <s v="BIDHAN CHANDRA BISWAS"/>
    <s v="9732816547"/>
  </r>
  <r>
    <s v="RCF Thal"/>
    <s v="N.C.Urea(45kg)"/>
    <s v="WB"/>
    <x v="16"/>
    <s v="Bhagawangola - I"/>
    <s v="User Not Mapped"/>
    <s v="User Not Mapped"/>
    <s v="User Not Mapped"/>
    <n v="235562"/>
    <s v="Abdus Samad"/>
    <s v="Private Retailer"/>
    <s v="9933117980"/>
    <n v="11.07"/>
    <n v="39"/>
    <x v="3"/>
    <m/>
    <s v="2026-03-12"/>
    <s v="1320516"/>
    <s v="BIDHAN CHANDRA BISWAS"/>
    <s v="9732816547"/>
  </r>
  <r>
    <s v="RCF Trombay"/>
    <s v="N.C.Urea(45kg)"/>
    <s v="WB"/>
    <x v="16"/>
    <s v="Murshidabad Jiaganj"/>
    <s v="User Not Mapped"/>
    <s v="User Not Mapped"/>
    <s v="User Not Mapped"/>
    <n v="1339999"/>
    <s v="DEBASHIS GHOSH"/>
    <s v="Private Retailer"/>
    <s v="9733849084"/>
    <n v="3.96"/>
    <n v="281"/>
    <x v="1"/>
    <m/>
    <s v="2025-07-13"/>
    <s v="1320516"/>
    <s v="BIDHAN CHANDRA BISWAS"/>
    <s v="9732816547"/>
  </r>
  <r>
    <s v="RCF Trombay"/>
    <s v="15-15-15"/>
    <s v="WB"/>
    <x v="16"/>
    <s v="Lalgola"/>
    <s v="User Not Mapped"/>
    <s v="User Not Mapped"/>
    <s v="User Not Mapped"/>
    <n v="592805"/>
    <s v="DIPTI KUMAR DAS"/>
    <s v="Private Retailer"/>
    <s v="9775115765"/>
    <n v="7"/>
    <n v="81"/>
    <x v="6"/>
    <m/>
    <s v="2026-01-29"/>
    <s v="1320516"/>
    <s v="BIDHAN CHANDRA BISWAS"/>
    <s v="9732816547"/>
  </r>
  <r>
    <s v="RCF Thal"/>
    <s v="N.C.Urea(45kg)"/>
    <s v="WB"/>
    <x v="16"/>
    <s v="Bhagawangola - II"/>
    <s v="User Not Mapped"/>
    <s v="User Not Mapped"/>
    <s v="User Not Mapped"/>
    <n v="1142454"/>
    <s v="FULBAS ALI"/>
    <s v="Private Retailer"/>
    <s v="8016413468"/>
    <n v="0.85499999999999998"/>
    <n v="289"/>
    <x v="1"/>
    <m/>
    <s v="2025-07-05"/>
    <s v="1320516"/>
    <s v="BIDHAN CHANDRA BISWAS"/>
    <s v="9732816547"/>
  </r>
  <r>
    <s v="RCF Trombay"/>
    <s v="15-15-15"/>
    <s v="WB"/>
    <x v="16"/>
    <s v="Bhagawangola - I"/>
    <s v="User Not Mapped"/>
    <s v="User Not Mapped"/>
    <s v="User Not Mapped"/>
    <n v="1059372"/>
    <s v="JAYANTA SINGHA "/>
    <s v="Private Retailer"/>
    <s v="7908403768"/>
    <n v="2.8"/>
    <n v="81"/>
    <x v="6"/>
    <m/>
    <s v="2026-01-29"/>
    <s v="1320516"/>
    <s v="BIDHAN CHANDRA BISWAS"/>
    <s v="9732816547"/>
  </r>
  <r>
    <s v="RCF Trombay"/>
    <s v="N.C.Urea(45kg)"/>
    <s v="WB"/>
    <x v="16"/>
    <m/>
    <s v="User Not Mapped"/>
    <s v="User Not Mapped"/>
    <s v="User Not Mapped"/>
    <n v="648127"/>
    <s v="Krishi Fertilizer"/>
    <s v="Private Retailer"/>
    <s v="9732445110"/>
    <n v="6.165"/>
    <n v="1267"/>
    <x v="2"/>
    <m/>
    <s v="2022-10-31"/>
    <s v="1320516"/>
    <s v="BIDHAN CHANDRA BISWAS"/>
    <s v="9732816547"/>
  </r>
  <r>
    <s v="RCF Trombay"/>
    <s v="15-15-15"/>
    <s v="WB"/>
    <x v="16"/>
    <s v="Bhagawangola - I"/>
    <s v="User Not Mapped"/>
    <s v="User Not Mapped"/>
    <s v="User Not Mapped"/>
    <n v="281533"/>
    <s v="Md Asraful Haque"/>
    <s v="Private Retailer"/>
    <s v="9932976822"/>
    <n v="2.15"/>
    <n v="81"/>
    <x v="6"/>
    <m/>
    <s v="2026-01-29"/>
    <s v="1320516"/>
    <s v="BIDHAN CHANDRA BISWAS"/>
    <s v="9732816547"/>
  </r>
  <r>
    <s v="RCF Thal"/>
    <s v="N.C.Urea(45kg)"/>
    <s v="WB"/>
    <x v="16"/>
    <s v="Domkal"/>
    <s v="User Not Mapped"/>
    <s v="User Not Mapped"/>
    <s v="User Not Mapped"/>
    <n v="1484101"/>
    <s v="SAJAHAN MONDAL"/>
    <s v="Private Retailer"/>
    <s v="9775631563"/>
    <n v="2.1150000000000002"/>
    <n v="110"/>
    <x v="7"/>
    <m/>
    <s v="2025-12-31"/>
    <s v="1320516"/>
    <s v="BIDHAN CHANDRA BISWAS"/>
    <s v="9732816547"/>
  </r>
  <r>
    <s v="RCF Thal"/>
    <s v="N.C.Urea(45kg)"/>
    <s v="WB"/>
    <x v="16"/>
    <s v="Burwan"/>
    <s v="User Not Mapped"/>
    <s v="User Not Mapped"/>
    <s v="User Not Mapped"/>
    <n v="1321891"/>
    <s v="SOUMEN DAS"/>
    <s v="Private Retailer"/>
    <s v="8642010995"/>
    <n v="1.44"/>
    <n v="188"/>
    <x v="1"/>
    <m/>
    <s v="2025-10-14"/>
    <s v="1320516"/>
    <s v="BIDHAN CHANDRA BISWAS"/>
    <s v="9732816547"/>
  </r>
  <r>
    <s v="RCF Import"/>
    <s v="Imp 10-26-26"/>
    <s v="WB"/>
    <x v="16"/>
    <s v="Kandi"/>
    <s v="User Not Mapped"/>
    <s v="User Not Mapped"/>
    <s v="User Not Mapped"/>
    <n v="1445525"/>
    <s v="SRI SRI RAMKRISHNA SAR GHAR"/>
    <s v="Private Retailer"/>
    <s v="6295223848"/>
    <n v="2.5499999999999998"/>
    <n v="49"/>
    <x v="3"/>
    <m/>
    <s v="2026-03-02"/>
    <s v="1320516"/>
    <s v="BIDHAN CHANDRA BISWAS"/>
    <s v="9732816547"/>
  </r>
  <r>
    <s v="RCF Trombay"/>
    <s v="N.C.Urea(45kg)"/>
    <s v="WB"/>
    <x v="16"/>
    <s v="Berhampore"/>
    <s v="User Not Mapped"/>
    <s v="User Not Mapped"/>
    <s v="User Not Mapped"/>
    <n v="525360"/>
    <s v="Abdul Mannan Sekh"/>
    <s v="Private Retailer"/>
    <s v="9635399732"/>
    <n v="36.225000000000001"/>
    <n v="134"/>
    <x v="4"/>
    <m/>
    <s v="2025-12-07"/>
    <s v="223293"/>
    <s v="Bisanka Chandra Mondal And Son"/>
    <s v="9609521133"/>
  </r>
  <r>
    <s v="RCF Thal"/>
    <s v="N.C.Urea(45kg)"/>
    <s v="WB"/>
    <x v="16"/>
    <s v="Berhampore"/>
    <s v="User Not Mapped"/>
    <s v="User Not Mapped"/>
    <s v="User Not Mapped"/>
    <n v="525360"/>
    <s v="Abdul Mannan Sekh"/>
    <s v="Private Retailer"/>
    <s v="9635399732"/>
    <n v="6.12"/>
    <n v="32"/>
    <x v="3"/>
    <m/>
    <s v="2026-03-19"/>
    <s v="223293"/>
    <s v="Bisanka Chandra Mondal And Son"/>
    <s v="9609521133"/>
  </r>
  <r>
    <s v="RCF Import"/>
    <s v="Imp 10-26-26"/>
    <s v="WB"/>
    <x v="16"/>
    <s v="Raninagar - I"/>
    <s v="User Not Mapped"/>
    <s v="User Not Mapped"/>
    <s v="User Not Mapped"/>
    <n v="289144"/>
    <s v="Abdur Rahaman"/>
    <s v="Private Retailer"/>
    <s v="9734311532"/>
    <n v="4"/>
    <n v="39"/>
    <x v="3"/>
    <m/>
    <s v="2026-03-12"/>
    <s v="223293"/>
    <s v="Bisanka Chandra Mondal And Son"/>
    <s v="9609521133"/>
  </r>
  <r>
    <s v="RCF Trombay"/>
    <s v="N.C.Urea(45kg)"/>
    <s v="WB"/>
    <x v="16"/>
    <s v="Sagardighi"/>
    <s v="User Not Mapped"/>
    <s v="User Not Mapped"/>
    <s v="User Not Mapped"/>
    <n v="876977"/>
    <s v="ABUL BASAR"/>
    <s v="Private Retailer"/>
    <s v="9851071199"/>
    <n v="0.09"/>
    <n v="38"/>
    <x v="3"/>
    <m/>
    <s v="2026-03-13"/>
    <s v="223293"/>
    <s v="Bisanka Chandra Mondal And Son"/>
    <s v="9609521133"/>
  </r>
  <r>
    <s v="RCF Trombay"/>
    <s v="15-15-15"/>
    <s v="WB"/>
    <x v="16"/>
    <s v="Domkal"/>
    <s v="User Not Mapped"/>
    <s v="User Not Mapped"/>
    <s v="User Not Mapped"/>
    <n v="908412"/>
    <s v="ALI HOSSAIN SHA"/>
    <s v="Private Retailer"/>
    <s v="7602311669"/>
    <n v="4.4000000000000004"/>
    <n v="39"/>
    <x v="3"/>
    <m/>
    <s v="2026-03-12"/>
    <s v="223293"/>
    <s v="Bisanka Chandra Mondal And Son"/>
    <s v="9609521133"/>
  </r>
  <r>
    <s v="RCF Trombay"/>
    <s v="N.C.Urea(45kg)"/>
    <s v="WB"/>
    <x v="16"/>
    <s v="Bhagawangola - I"/>
    <s v="User Not Mapped"/>
    <s v="User Not Mapped"/>
    <s v="User Not Mapped"/>
    <n v="1499744"/>
    <s v="AMJAD HOSSAIN FERTILIZER"/>
    <s v="Private Retailer"/>
    <s v="7047477621"/>
    <n v="7.47"/>
    <n v="242"/>
    <x v="1"/>
    <m/>
    <s v="2025-08-21"/>
    <s v="223293"/>
    <s v="Bisanka Chandra Mondal And Son"/>
    <s v="9609521133"/>
  </r>
  <r>
    <s v="RCF Thal"/>
    <s v="N.C.Urea(45kg)"/>
    <s v="WB"/>
    <x v="16"/>
    <s v="Bhagawangola - I"/>
    <s v="User Not Mapped"/>
    <s v="User Not Mapped"/>
    <s v="User Not Mapped"/>
    <n v="1499744"/>
    <s v="AMJAD HOSSAIN FERTILIZER"/>
    <s v="Private Retailer"/>
    <s v="7047477621"/>
    <n v="12.015000000000001"/>
    <n v="111"/>
    <x v="7"/>
    <m/>
    <s v="2025-12-30"/>
    <s v="223293"/>
    <s v="Bisanka Chandra Mondal And Son"/>
    <s v="9609521133"/>
  </r>
  <r>
    <s v="RCF Trombay"/>
    <s v="N.C.Urea(45kg)"/>
    <s v="WB"/>
    <x v="16"/>
    <s v="Suti - II"/>
    <s v="User Not Mapped"/>
    <s v="User Not Mapped"/>
    <s v="User Not Mapped"/>
    <n v="600141"/>
    <s v="Apurba Das"/>
    <s v="Private Retailer"/>
    <s v="9564185880"/>
    <n v="0.54"/>
    <n v="83"/>
    <x v="6"/>
    <m/>
    <s v="2026-01-27"/>
    <s v="223293"/>
    <s v="Bisanka Chandra Mondal And Son"/>
    <s v="9609521133"/>
  </r>
  <r>
    <s v="RCF Trombay"/>
    <s v="N.C.Urea(45kg)"/>
    <s v="WB"/>
    <x v="16"/>
    <s v="Lalgola"/>
    <s v="User Not Mapped"/>
    <s v="User Not Mapped"/>
    <s v="User Not Mapped"/>
    <n v="1391269"/>
    <s v="ASIF AGRO CHEMICALS"/>
    <s v="Private Retailer"/>
    <s v="7699153369"/>
    <n v="0.09"/>
    <n v="83"/>
    <x v="6"/>
    <m/>
    <s v="2026-01-27"/>
    <s v="223293"/>
    <s v="Bisanka Chandra Mondal And Son"/>
    <s v="9609521133"/>
  </r>
  <r>
    <s v="RCF Trombay"/>
    <s v="N.C.Urea(45kg)"/>
    <s v="WB"/>
    <x v="16"/>
    <s v="Sagardighi"/>
    <s v="User Not Mapped"/>
    <s v="User Not Mapped"/>
    <s v="User Not Mapped"/>
    <n v="953494"/>
    <s v="BAHAL DEWAN"/>
    <s v="Private Retailer"/>
    <s v="9609474035"/>
    <n v="0.22500000000000001"/>
    <n v="38"/>
    <x v="3"/>
    <m/>
    <s v="2026-03-13"/>
    <s v="223293"/>
    <s v="Bisanka Chandra Mondal And Son"/>
    <s v="9609521133"/>
  </r>
  <r>
    <s v="RCF Thal"/>
    <s v="N.C.Urea(45kg)"/>
    <s v="WB"/>
    <x v="16"/>
    <s v="Jalangi"/>
    <s v="User Not Mapped"/>
    <s v="User Not Mapped"/>
    <s v="User Not Mapped"/>
    <n v="1391259"/>
    <s v="BASARUL ISLAM"/>
    <s v="Private Retailer"/>
    <s v="6294876299"/>
    <n v="14.04"/>
    <n v="41"/>
    <x v="3"/>
    <m/>
    <s v="2026-03-10"/>
    <s v="223293"/>
    <s v="Bisanka Chandra Mondal And Son"/>
    <s v="9609521133"/>
  </r>
  <r>
    <s v="RCF Thal"/>
    <s v="N.C.Urea(45kg)"/>
    <s v="WB"/>
    <x v="16"/>
    <s v="Suti - II"/>
    <s v="User Not Mapped"/>
    <s v="User Not Mapped"/>
    <s v="User Not Mapped"/>
    <n v="999046"/>
    <s v="BHAGBAT MONDAL"/>
    <s v="Private Retailer"/>
    <s v="7908949169"/>
    <n v="0.58499999999999996"/>
    <n v="112"/>
    <x v="7"/>
    <m/>
    <s v="2025-12-29"/>
    <s v="223293"/>
    <s v="Bisanka Chandra Mondal And Son"/>
    <s v="9609521133"/>
  </r>
  <r>
    <s v="RCF Trombay"/>
    <s v="N.C.Urea(45kg)"/>
    <s v="WB"/>
    <x v="16"/>
    <s v="Lalgola"/>
    <s v="User Not Mapped"/>
    <s v="User Not Mapped"/>
    <s v="User Not Mapped"/>
    <n v="341071"/>
    <s v="Bikash Chandra Das"/>
    <s v="Private Retailer"/>
    <s v="8926555548"/>
    <n v="0.3"/>
    <n v="83"/>
    <x v="6"/>
    <m/>
    <s v="2026-01-27"/>
    <s v="223293"/>
    <s v="Bisanka Chandra Mondal And Son"/>
    <s v="9609521133"/>
  </r>
  <r>
    <s v="RCF Trombay"/>
    <s v="N.C.Urea(45kg)"/>
    <s v="WB"/>
    <x v="16"/>
    <s v="Burwan"/>
    <s v="User Not Mapped"/>
    <s v="User Not Mapped"/>
    <s v="User Not Mapped"/>
    <n v="235631"/>
    <s v="Chand Gopal Paul"/>
    <s v="Private Retailer"/>
    <s v="9732975001"/>
    <n v="2.25"/>
    <n v="125"/>
    <x v="4"/>
    <m/>
    <s v="2025-12-16"/>
    <s v="223293"/>
    <s v="Bisanka Chandra Mondal And Son"/>
    <s v="9609521133"/>
  </r>
  <r>
    <s v="RCF Thal"/>
    <s v="N.C.Urea(45kg)"/>
    <s v="WB"/>
    <x v="16"/>
    <s v="Murshidabad Jiaganj"/>
    <s v="User Not Mapped"/>
    <s v="User Not Mapped"/>
    <s v="User Not Mapped"/>
    <n v="797129"/>
    <s v="CHARITRA CHOWDHURY"/>
    <s v="Private Retailer"/>
    <s v="7076453159"/>
    <n v="12.645"/>
    <n v="111"/>
    <x v="7"/>
    <m/>
    <s v="2025-12-30"/>
    <s v="223293"/>
    <s v="Bisanka Chandra Mondal And Son"/>
    <s v="9609521133"/>
  </r>
  <r>
    <s v="RCF Thal"/>
    <s v="N.C.Urea(45kg)"/>
    <s v="WB"/>
    <x v="16"/>
    <s v="Suti - I"/>
    <s v="User Not Mapped"/>
    <s v="User Not Mapped"/>
    <s v="User Not Mapped"/>
    <n v="553428"/>
    <s v="Dutta Fertilizer"/>
    <s v="Private Retailer"/>
    <s v="9002990776"/>
    <n v="3.2850000000000001"/>
    <n v="111"/>
    <x v="7"/>
    <m/>
    <s v="2025-12-30"/>
    <s v="223293"/>
    <s v="Bisanka Chandra Mondal And Son"/>
    <s v="9609521133"/>
  </r>
  <r>
    <s v="RCF Trombay"/>
    <s v="15-15-15"/>
    <s v="WB"/>
    <x v="16"/>
    <s v="Domkal"/>
    <s v="User Not Mapped"/>
    <s v="User Not Mapped"/>
    <s v="User Not Mapped"/>
    <n v="1392337"/>
    <s v="ENAMUL HAQUE"/>
    <s v="Private Retailer"/>
    <s v="7872413509"/>
    <n v="7"/>
    <n v="84"/>
    <x v="6"/>
    <m/>
    <s v="2026-01-26"/>
    <s v="223293"/>
    <s v="Bisanka Chandra Mondal And Son"/>
    <s v="9609521133"/>
  </r>
  <r>
    <s v="RCF Import"/>
    <s v="Imp 10-26-26"/>
    <s v="WB"/>
    <x v="16"/>
    <s v="Sagardighi"/>
    <s v="User Not Mapped"/>
    <s v="User Not Mapped"/>
    <s v="User Not Mapped"/>
    <n v="269055"/>
    <s v="Fatema Begum"/>
    <s v="Private Retailer"/>
    <s v="9733510936"/>
    <n v="12.5"/>
    <n v="32"/>
    <x v="3"/>
    <m/>
    <s v="2026-03-19"/>
    <s v="223293"/>
    <s v="Bisanka Chandra Mondal And Son"/>
    <s v="9609521133"/>
  </r>
  <r>
    <s v="RCF Trombay"/>
    <s v="N.C.Urea(45kg)"/>
    <s v="WB"/>
    <x v="16"/>
    <s v="Bharatpur - I"/>
    <s v="User Not Mapped"/>
    <s v="User Not Mapped"/>
    <s v="User Not Mapped"/>
    <n v="1058845"/>
    <s v="GOLAM MUSTAFA"/>
    <s v="Private Retailer"/>
    <s v="9735001344"/>
    <n v="1.7549999999999999"/>
    <n v="38"/>
    <x v="3"/>
    <m/>
    <s v="2026-03-13"/>
    <s v="223293"/>
    <s v="Bisanka Chandra Mondal And Son"/>
    <s v="9609521133"/>
  </r>
  <r>
    <s v="RCF Import"/>
    <s v="Imp 10-26-26"/>
    <s v="WB"/>
    <x v="16"/>
    <s v="Sagardighi"/>
    <s v="User Not Mapped"/>
    <s v="User Not Mapped"/>
    <s v="User Not Mapped"/>
    <n v="269480"/>
    <s v="Harhari Skus Ltd"/>
    <s v="PACS"/>
    <s v="9434394715"/>
    <n v="11.85"/>
    <n v="32"/>
    <x v="3"/>
    <m/>
    <s v="2026-03-19"/>
    <s v="223293"/>
    <s v="Bisanka Chandra Mondal And Son"/>
    <s v="9609521133"/>
  </r>
  <r>
    <s v="RCF Trombay"/>
    <s v="15-15-15"/>
    <s v="WB"/>
    <x v="16"/>
    <s v="Domkal"/>
    <s v="User Not Mapped"/>
    <s v="User Not Mapped"/>
    <s v="User Not Mapped"/>
    <n v="751486"/>
    <s v="HIRENDRANATH BISWAS"/>
    <s v="Private Retailer"/>
    <s v="9564671803"/>
    <n v="5.15"/>
    <n v="84"/>
    <x v="6"/>
    <m/>
    <s v="2026-01-26"/>
    <s v="223293"/>
    <s v="Bisanka Chandra Mondal And Son"/>
    <s v="9609521133"/>
  </r>
  <r>
    <s v="RCF Thal"/>
    <s v="N.C.Urea(45kg)"/>
    <s v="WB"/>
    <x v="16"/>
    <s v="Kandi"/>
    <s v="User Not Mapped"/>
    <s v="User Not Mapped"/>
    <s v="User Not Mapped"/>
    <n v="1491316"/>
    <s v="KALIMUDDIN FERTILIZER"/>
    <s v="Private Retailer"/>
    <s v="7602224306"/>
    <n v="0.67500000000000004"/>
    <n v="231"/>
    <x v="1"/>
    <m/>
    <s v="2025-09-01"/>
    <s v="223293"/>
    <s v="Bisanka Chandra Mondal And Son"/>
    <s v="9609521133"/>
  </r>
  <r>
    <s v="RCF Thal"/>
    <s v="N.C.Urea(45kg)"/>
    <s v="WB"/>
    <x v="16"/>
    <s v="Suti - I"/>
    <s v="User Not Mapped"/>
    <s v="User Not Mapped"/>
    <s v="User Not Mapped"/>
    <n v="946050"/>
    <s v="KISHORE KANTI DAS "/>
    <s v="Private Retailer"/>
    <s v="8001560150"/>
    <n v="5.8049999999999997"/>
    <n v="9"/>
    <x v="5"/>
    <m/>
    <s v="2026-04-11"/>
    <s v="223293"/>
    <s v="Bisanka Chandra Mondal And Son"/>
    <s v="9609521133"/>
  </r>
  <r>
    <s v="RCF Thal"/>
    <s v="N.C.Urea(45kg)"/>
    <s v="WB"/>
    <x v="16"/>
    <m/>
    <s v="User Not Mapped"/>
    <s v="User Not Mapped"/>
    <s v="User Not Mapped"/>
    <n v="648127"/>
    <s v="Krishi Fertilizer"/>
    <s v="Private Retailer"/>
    <s v="9732445110"/>
    <n v="0.51"/>
    <n v="1944"/>
    <x v="2"/>
    <m/>
    <s v="2020-12-23"/>
    <s v="223293"/>
    <s v="Bisanka Chandra Mondal And Son"/>
    <s v="9609521133"/>
  </r>
  <r>
    <s v="RCF Thal"/>
    <s v="N.C.Urea(45kg)"/>
    <s v="WB"/>
    <x v="16"/>
    <s v="Bharatpur - I"/>
    <s v="User Not Mapped"/>
    <s v="User Not Mapped"/>
    <s v="User Not Mapped"/>
    <n v="533544"/>
    <s v="M/S Amanur Rahaman"/>
    <s v="Private Retailer"/>
    <s v="9735450777"/>
    <n v="4.7699999999999996"/>
    <n v="41"/>
    <x v="3"/>
    <m/>
    <s v="2026-03-10"/>
    <s v="223293"/>
    <s v="Bisanka Chandra Mondal And Son"/>
    <s v="9609521133"/>
  </r>
  <r>
    <s v="RCF Thal"/>
    <s v="N.C.Urea(45kg)"/>
    <s v="WB"/>
    <x v="16"/>
    <s v="Hariharpara"/>
    <s v="User Not Mapped"/>
    <s v="User Not Mapped"/>
    <s v="User Not Mapped"/>
    <n v="1288410"/>
    <s v="M/S MOLLA FERTILIZER"/>
    <s v="Private Retailer"/>
    <s v="6296453102"/>
    <n v="19.035"/>
    <n v="111"/>
    <x v="7"/>
    <m/>
    <s v="2025-12-30"/>
    <s v="223293"/>
    <s v="Bisanka Chandra Mondal And Son"/>
    <s v="9609521133"/>
  </r>
  <r>
    <s v="RCF Thal"/>
    <s v="N.C.Urea(45kg)"/>
    <s v="WB"/>
    <x v="16"/>
    <s v="Bhagawangola - I"/>
    <s v="User Not Mapped"/>
    <s v="User Not Mapped"/>
    <s v="User Not Mapped"/>
    <n v="1614729"/>
    <s v="M/S SIDDHARTHA FERTILIZER"/>
    <s v="Private Retailer"/>
    <s v="9735115763"/>
    <n v="7.02"/>
    <n v="93"/>
    <x v="7"/>
    <m/>
    <s v="2026-01-17"/>
    <s v="223293"/>
    <s v="Bisanka Chandra Mondal And Son"/>
    <s v="9609521133"/>
  </r>
  <r>
    <s v="RCF Import"/>
    <s v="Imp 10-26-26"/>
    <s v="WB"/>
    <x v="16"/>
    <s v="Sagardighi"/>
    <s v="User Not Mapped"/>
    <s v="User Not Mapped"/>
    <s v="User Not Mapped"/>
    <n v="223281"/>
    <s v="M/s. Padam Chand"/>
    <s v="Private Wholsaler"/>
    <s v="9434009550"/>
    <n v="9.5"/>
    <n v="37"/>
    <x v="3"/>
    <s v="'BCMS/F502/25-26'"/>
    <s v="2026-03-14"/>
    <s v="223293"/>
    <s v="Bisanka Chandra Mondal And Son"/>
    <s v="9609521133"/>
  </r>
  <r>
    <s v="RCF Thal"/>
    <s v="N.C.Urea(45kg)"/>
    <s v="WB"/>
    <x v="16"/>
    <s v="Bhagawangola - I"/>
    <s v="User Not Mapped"/>
    <s v="User Not Mapped"/>
    <s v="User Not Mapped"/>
    <n v="247458"/>
    <s v="MAHATABUDDIN"/>
    <s v="Private Retailer"/>
    <s v="9153061838"/>
    <n v="7.02"/>
    <n v="41"/>
    <x v="3"/>
    <m/>
    <s v="2026-03-10"/>
    <s v="223293"/>
    <s v="Bisanka Chandra Mondal And Son"/>
    <s v="9609521133"/>
  </r>
  <r>
    <s v="RCF Trombay"/>
    <s v="15-15-15"/>
    <s v="WB"/>
    <x v="16"/>
    <s v="Domkal"/>
    <s v="User Not Mapped"/>
    <s v="User Not Mapped"/>
    <s v="User Not Mapped"/>
    <n v="456370"/>
    <s v="Manirujjaman Biswas"/>
    <s v="Private Retailer"/>
    <s v="9734388583"/>
    <n v="5"/>
    <n v="39"/>
    <x v="3"/>
    <m/>
    <s v="2026-03-12"/>
    <s v="223293"/>
    <s v="Bisanka Chandra Mondal And Son"/>
    <s v="9609521133"/>
  </r>
  <r>
    <s v="RCF Thal"/>
    <s v="N.C.Urea(45kg)"/>
    <s v="WB"/>
    <x v="16"/>
    <s v="Murshidabad Jiaganj"/>
    <s v="User Not Mapped"/>
    <s v="User Not Mapped"/>
    <s v="User Not Mapped"/>
    <n v="950994"/>
    <s v="MD ABDUL KHABIR"/>
    <s v="Private Retailer"/>
    <s v="9734115502"/>
    <n v="11.43"/>
    <n v="112"/>
    <x v="7"/>
    <m/>
    <s v="2025-12-29"/>
    <s v="223293"/>
    <s v="Bisanka Chandra Mondal And Son"/>
    <s v="9609521133"/>
  </r>
  <r>
    <s v="RCF Thal"/>
    <s v="N.C.Urea(45kg)"/>
    <s v="WB"/>
    <x v="16"/>
    <s v="Murshidabad Jiaganj"/>
    <s v="User Not Mapped"/>
    <s v="User Not Mapped"/>
    <s v="User Not Mapped"/>
    <n v="950994"/>
    <s v="MD ABDUL KHABIR"/>
    <s v="Private Retailer"/>
    <s v="9734115502"/>
    <n v="9.99"/>
    <n v="111"/>
    <x v="7"/>
    <m/>
    <s v="2025-12-30"/>
    <s v="223293"/>
    <s v="Bisanka Chandra Mondal And Son"/>
    <s v="9609521133"/>
  </r>
  <r>
    <s v="RCF Thal"/>
    <s v="N.C.Urea(45kg)"/>
    <s v="WB"/>
    <x v="16"/>
    <s v="Nabagram"/>
    <s v="User Not Mapped"/>
    <s v="User Not Mapped"/>
    <s v="User Not Mapped"/>
    <n v="289211"/>
    <s v="Md Jakir Hossain"/>
    <s v="Private Retailer"/>
    <s v="9064490313"/>
    <n v="7.7850000000000001"/>
    <n v="41"/>
    <x v="3"/>
    <m/>
    <s v="2026-03-10"/>
    <s v="223293"/>
    <s v="Bisanka Chandra Mondal And Son"/>
    <s v="9609521133"/>
  </r>
  <r>
    <s v="RCF Trombay"/>
    <s v="N.C.Urea(45kg)"/>
    <s v="WB"/>
    <x v="16"/>
    <s v="Sagardighi"/>
    <s v="User Not Mapped"/>
    <s v="User Not Mapped"/>
    <s v="User Not Mapped"/>
    <n v="915383"/>
    <s v="MEHEDI HASAN"/>
    <s v="Private Retailer"/>
    <s v="7076654340"/>
    <n v="4.5"/>
    <n v="38"/>
    <x v="3"/>
    <m/>
    <s v="2026-03-13"/>
    <s v="223293"/>
    <s v="Bisanka Chandra Mondal And Son"/>
    <s v="9609521133"/>
  </r>
  <r>
    <s v="RCF Trombay"/>
    <s v="15-15-15"/>
    <s v="WB"/>
    <x v="16"/>
    <s v="Raninagar - I"/>
    <s v="User Not Mapped"/>
    <s v="User Not Mapped"/>
    <s v="User Not Mapped"/>
    <n v="549876"/>
    <s v="Mihir Mandal"/>
    <s v="Private Retailer"/>
    <s v="9775809486"/>
    <n v="3.8"/>
    <n v="39"/>
    <x v="3"/>
    <m/>
    <s v="2026-03-12"/>
    <s v="223293"/>
    <s v="Bisanka Chandra Mondal And Son"/>
    <s v="9609521133"/>
  </r>
  <r>
    <s v="RCF Trombay"/>
    <s v="N.C.Urea(45kg)"/>
    <s v="WB"/>
    <x v="16"/>
    <s v="Raghunathganj - II"/>
    <s v="User Not Mapped"/>
    <s v="User Not Mapped"/>
    <s v="User Not Mapped"/>
    <n v="480907"/>
    <s v="Mijanur Rahaman"/>
    <s v="Private Retailer"/>
    <s v="9733744732"/>
    <n v="9.99"/>
    <n v="83"/>
    <x v="6"/>
    <m/>
    <s v="2026-01-27"/>
    <s v="223293"/>
    <s v="Bisanka Chandra Mondal And Son"/>
    <s v="9609521133"/>
  </r>
  <r>
    <s v="RCF Trombay"/>
    <s v="N.C.Urea(45kg)"/>
    <s v="WB"/>
    <x v="16"/>
    <s v="Nabagram"/>
    <s v="User Not Mapped"/>
    <s v="User Not Mapped"/>
    <s v="User Not Mapped"/>
    <n v="1081706"/>
    <s v="MILI KHATUN"/>
    <s v="Private Retailer"/>
    <s v="8637859409"/>
    <n v="3.51"/>
    <n v="38"/>
    <x v="3"/>
    <m/>
    <s v="2026-03-13"/>
    <s v="223293"/>
    <s v="Bisanka Chandra Mondal And Son"/>
    <s v="9609521133"/>
  </r>
  <r>
    <s v="RCF Trombay"/>
    <s v="15-15-15"/>
    <s v="WB"/>
    <x v="16"/>
    <s v="Domkal"/>
    <s v="User Not Mapped"/>
    <s v="User Not Mapped"/>
    <s v="User Not Mapped"/>
    <n v="1340003"/>
    <s v="MOSTAFA SEKH"/>
    <s v="Private Retailer"/>
    <s v="9083012508"/>
    <n v="4.5"/>
    <n v="39"/>
    <x v="3"/>
    <m/>
    <s v="2026-03-12"/>
    <s v="223293"/>
    <s v="Bisanka Chandra Mondal And Son"/>
    <s v="9609521133"/>
  </r>
  <r>
    <s v="RCF Thal"/>
    <s v="N.C.Urea(45kg)"/>
    <s v="WB"/>
    <x v="16"/>
    <m/>
    <s v="User Not Mapped"/>
    <s v="User Not Mapped"/>
    <s v="User Not Mapped"/>
    <n v="289246"/>
    <s v="Muklesh Biswas"/>
    <s v="State Marketing Federation"/>
    <s v="9733941741"/>
    <n v="7.02"/>
    <n v="41"/>
    <x v="3"/>
    <m/>
    <s v="2026-03-10"/>
    <s v="223293"/>
    <s v="Bisanka Chandra Mondal And Son"/>
    <s v="9609521133"/>
  </r>
  <r>
    <s v="RCF Trombay"/>
    <s v="15-15-15"/>
    <s v="WB"/>
    <x v="16"/>
    <s v="Domkal"/>
    <s v="User Not Mapped"/>
    <s v="User Not Mapped"/>
    <s v="User Not Mapped"/>
    <n v="653546"/>
    <s v="MUKULA BIBI"/>
    <s v="Private Retailer"/>
    <s v="8637854188"/>
    <n v="7"/>
    <n v="39"/>
    <x v="3"/>
    <m/>
    <s v="2026-03-12"/>
    <s v="223293"/>
    <s v="Bisanka Chandra Mondal And Son"/>
    <s v="9609521133"/>
  </r>
  <r>
    <s v="RCF Trombay"/>
    <s v="N.C.Urea(45kg)"/>
    <s v="WB"/>
    <x v="16"/>
    <s v="Sagardighi"/>
    <s v="User Not Mapped"/>
    <s v="User Not Mapped"/>
    <s v="User Not Mapped"/>
    <n v="1506618"/>
    <s v="MUNTAJ ALI"/>
    <s v="Private Retailer"/>
    <s v="9641325732"/>
    <n v="3.42"/>
    <n v="38"/>
    <x v="3"/>
    <m/>
    <s v="2026-03-13"/>
    <s v="223293"/>
    <s v="Bisanka Chandra Mondal And Son"/>
    <s v="9609521133"/>
  </r>
  <r>
    <s v="RCF Thal"/>
    <s v="N.C.Urea(45kg)"/>
    <s v="WB"/>
    <x v="16"/>
    <s v="Raninagar - II"/>
    <s v="User Not Mapped"/>
    <s v="User Not Mapped"/>
    <s v="User Not Mapped"/>
    <n v="735494"/>
    <s v="NRIPENDRA NATH MONDAL"/>
    <s v="Private Retailer"/>
    <s v="9732917409"/>
    <n v="8.19"/>
    <n v="41"/>
    <x v="3"/>
    <m/>
    <s v="2026-03-10"/>
    <s v="223293"/>
    <s v="Bisanka Chandra Mondal And Son"/>
    <s v="9609521133"/>
  </r>
  <r>
    <s v="RCF Thal"/>
    <s v="N.C.Urea(45kg)"/>
    <s v="WB"/>
    <x v="16"/>
    <s v="Nawda"/>
    <s v="User Not Mapped"/>
    <s v="User Not Mapped"/>
    <s v="User Not Mapped"/>
    <n v="1029327"/>
    <s v="NURIL MIL NUR ALAM"/>
    <s v="Private Retailer"/>
    <s v="9064507391"/>
    <n v="1.4999999999999999E-2"/>
    <n v="405"/>
    <x v="0"/>
    <m/>
    <s v="2025-03-11"/>
    <s v="223293"/>
    <s v="Bisanka Chandra Mondal And Son"/>
    <s v="9609521133"/>
  </r>
  <r>
    <s v="RCF Trombay"/>
    <s v="N.C.Urea(45kg)"/>
    <s v="WB"/>
    <x v="16"/>
    <s v="Nabagram"/>
    <s v="User Not Mapped"/>
    <s v="User Not Mapped"/>
    <s v="User Not Mapped"/>
    <n v="1513341"/>
    <s v="R FERTILISER AND PESTICIDE"/>
    <s v="Private Retailer"/>
    <s v="8972781623"/>
    <n v="3.51"/>
    <n v="38"/>
    <x v="3"/>
    <m/>
    <s v="2026-03-13"/>
    <s v="223293"/>
    <s v="Bisanka Chandra Mondal And Son"/>
    <s v="9609521133"/>
  </r>
  <r>
    <s v="RCF Thal"/>
    <s v="N.C.Urea(45kg)"/>
    <s v="WB"/>
    <x v="16"/>
    <s v="Nabagram"/>
    <s v="User Not Mapped"/>
    <s v="User Not Mapped"/>
    <s v="User Not Mapped"/>
    <n v="1086653"/>
    <s v="RABIN MONDAL"/>
    <s v="Private Retailer"/>
    <s v="8016055479"/>
    <n v="8.5950000000000006"/>
    <n v="93"/>
    <x v="7"/>
    <m/>
    <s v="2026-01-17"/>
    <s v="223293"/>
    <s v="Bisanka Chandra Mondal And Son"/>
    <s v="9609521133"/>
  </r>
  <r>
    <s v="RCF Thal"/>
    <s v="N.C.Urea(45kg)"/>
    <s v="WB"/>
    <x v="16"/>
    <s v="Nawda"/>
    <s v="User Not Mapped"/>
    <s v="User Not Mapped"/>
    <s v="User Not Mapped"/>
    <n v="497614"/>
    <s v="Rajjak Malitya"/>
    <s v="Private Retailer"/>
    <s v="9647661711"/>
    <n v="3.15"/>
    <n v="244"/>
    <x v="1"/>
    <m/>
    <s v="2025-08-19"/>
    <s v="223293"/>
    <s v="Bisanka Chandra Mondal And Son"/>
    <s v="9609521133"/>
  </r>
  <r>
    <s v="RCF Trombay"/>
    <s v="N.C.Urea(45kg)"/>
    <s v="WB"/>
    <x v="16"/>
    <s v="Lalgola"/>
    <s v="User Not Mapped"/>
    <s v="User Not Mapped"/>
    <s v="User Not Mapped"/>
    <n v="845401"/>
    <s v="RAMIZ HASAN"/>
    <s v="Private Retailer"/>
    <s v="9733753285"/>
    <n v="4.5449999999999999"/>
    <n v="38"/>
    <x v="3"/>
    <m/>
    <s v="2026-03-13"/>
    <s v="223293"/>
    <s v="Bisanka Chandra Mondal And Son"/>
    <s v="9609521133"/>
  </r>
  <r>
    <s v="RCF Thal"/>
    <s v="N.C.Urea(45kg)"/>
    <s v="WB"/>
    <x v="16"/>
    <s v="Berhampore"/>
    <s v="User Not Mapped"/>
    <s v="User Not Mapped"/>
    <s v="User Not Mapped"/>
    <n v="235775"/>
    <s v="Rana Fertiliser Store"/>
    <s v="Private Retailer"/>
    <s v="8350079945"/>
    <n v="9.99"/>
    <n v="41"/>
    <x v="3"/>
    <m/>
    <s v="2026-03-10"/>
    <s v="223293"/>
    <s v="Bisanka Chandra Mondal And Son"/>
    <s v="9609521133"/>
  </r>
  <r>
    <s v="RCF Trombay"/>
    <s v="15-15-15"/>
    <s v="WB"/>
    <x v="16"/>
    <s v="Hariharpara"/>
    <s v="User Not Mapped"/>
    <s v="User Not Mapped"/>
    <s v="User Not Mapped"/>
    <n v="235781"/>
    <s v="Rejaul Hoque"/>
    <s v="Private Retailer"/>
    <s v="6295858619"/>
    <n v="10"/>
    <n v="38"/>
    <x v="3"/>
    <m/>
    <s v="2026-03-13"/>
    <s v="223293"/>
    <s v="Bisanka Chandra Mondal And Son"/>
    <s v="9609521133"/>
  </r>
  <r>
    <s v="RCF Thal"/>
    <s v="N.C.Urea(45kg)"/>
    <s v="WB"/>
    <x v="16"/>
    <s v="Bharatpur - II"/>
    <s v="User Not Mapped"/>
    <s v="User Not Mapped"/>
    <s v="User Not Mapped"/>
    <n v="256024"/>
    <s v="Samsul Alam Chowdhury"/>
    <s v="Private Retailer"/>
    <s v="9732100934"/>
    <n v="9.27"/>
    <n v="41"/>
    <x v="3"/>
    <m/>
    <s v="2026-03-10"/>
    <s v="223293"/>
    <s v="Bisanka Chandra Mondal And Son"/>
    <s v="9609521133"/>
  </r>
  <r>
    <s v="RCF Import"/>
    <s v="Imp 10-26-26"/>
    <s v="WB"/>
    <x v="16"/>
    <s v="Bhagawangola - I"/>
    <s v="User Not Mapped"/>
    <s v="User Not Mapped"/>
    <s v="User Not Mapped"/>
    <n v="289276"/>
    <s v="Sanjiban Das "/>
    <s v="State Marketing Federation"/>
    <s v="9932808970"/>
    <n v="4.2"/>
    <n v="39"/>
    <x v="3"/>
    <m/>
    <s v="2026-03-12"/>
    <s v="223293"/>
    <s v="Bisanka Chandra Mondal And Son"/>
    <s v="9609521133"/>
  </r>
  <r>
    <s v="RCF Trombay"/>
    <s v="N.C.Urea(45kg)"/>
    <s v="WB"/>
    <x v="16"/>
    <s v="Berhampore"/>
    <s v="User Not Mapped"/>
    <s v="User Not Mapped"/>
    <s v="User Not Mapped"/>
    <n v="342164"/>
    <s v="Sankar Mondal"/>
    <s v="Private Retailer"/>
    <s v="9932588231"/>
    <n v="7.4249999999999998"/>
    <n v="38"/>
    <x v="3"/>
    <m/>
    <s v="2026-03-13"/>
    <s v="223293"/>
    <s v="Bisanka Chandra Mondal And Son"/>
    <s v="9609521133"/>
  </r>
  <r>
    <s v="RCF Trombay"/>
    <s v="15-15-15"/>
    <s v="WB"/>
    <x v="16"/>
    <s v="Domkal"/>
    <s v="User Not Mapped"/>
    <s v="User Not Mapped"/>
    <s v="User Not Mapped"/>
    <n v="951617"/>
    <s v="SARIFUL ISLAM"/>
    <s v="Private Retailer"/>
    <s v="9732955301"/>
    <n v="1"/>
    <n v="84"/>
    <x v="6"/>
    <m/>
    <s v="2026-01-26"/>
    <s v="223293"/>
    <s v="Bisanka Chandra Mondal And Son"/>
    <s v="9609521133"/>
  </r>
  <r>
    <s v="RCF Trombay"/>
    <s v="15-15-15"/>
    <s v="WB"/>
    <x v="16"/>
    <s v="Raninagar - I"/>
    <s v="User Not Mapped"/>
    <s v="User Not Mapped"/>
    <s v="User Not Mapped"/>
    <n v="491475"/>
    <s v="Sariful Islam"/>
    <s v="Private Retailer"/>
    <s v="8001097836"/>
    <n v="3"/>
    <n v="39"/>
    <x v="3"/>
    <m/>
    <s v="2026-03-12"/>
    <s v="223293"/>
    <s v="Bisanka Chandra Mondal And Son"/>
    <s v="9609521133"/>
  </r>
  <r>
    <s v="RCF Trombay"/>
    <s v="N.C.Urea(45kg)"/>
    <s v="WB"/>
    <x v="16"/>
    <s v="Sagardighi"/>
    <s v="User Not Mapped"/>
    <s v="User Not Mapped"/>
    <s v="User Not Mapped"/>
    <n v="342255"/>
    <s v="Sk. Abdullah"/>
    <s v="Private Retailer"/>
    <s v="8001972353"/>
    <n v="1.0349999999999999"/>
    <n v="38"/>
    <x v="3"/>
    <m/>
    <s v="2026-03-13"/>
    <s v="223293"/>
    <s v="Bisanka Chandra Mondal And Son"/>
    <s v="9609521133"/>
  </r>
  <r>
    <s v="RCF Trombay"/>
    <s v="N.C.Urea(45kg)"/>
    <s v="WB"/>
    <x v="16"/>
    <s v="Sagardighi"/>
    <s v="User Not Mapped"/>
    <s v="User Not Mapped"/>
    <s v="User Not Mapped"/>
    <n v="915387"/>
    <s v="SUKHEN KUMAR MANDAL"/>
    <s v="Private Retailer"/>
    <s v="9563809720"/>
    <n v="2.2050000000000001"/>
    <n v="38"/>
    <x v="3"/>
    <m/>
    <s v="2026-03-13"/>
    <s v="223293"/>
    <s v="Bisanka Chandra Mondal And Son"/>
    <s v="9609521133"/>
  </r>
  <r>
    <s v="RCF Thal"/>
    <s v="N.C.Urea(45kg)"/>
    <s v="WB"/>
    <x v="16"/>
    <s v="Murshidabad Jiaganj"/>
    <s v="User Not Mapped"/>
    <s v="User Not Mapped"/>
    <s v="User Not Mapped"/>
    <n v="342552"/>
    <s v="Swapan Kumar Das"/>
    <s v="Private Retailer"/>
    <s v="9735950815"/>
    <n v="5.4450000000000003"/>
    <n v="41"/>
    <x v="3"/>
    <m/>
    <s v="2026-03-10"/>
    <s v="223293"/>
    <s v="Bisanka Chandra Mondal And Son"/>
    <s v="9609521133"/>
  </r>
  <r>
    <s v="RCF Trombay"/>
    <s v="15-15-15"/>
    <s v="WB"/>
    <x v="16"/>
    <s v="Murshidabad Jiaganj"/>
    <s v="User Not Mapped"/>
    <s v="User Not Mapped"/>
    <s v="User Not Mapped"/>
    <n v="607087"/>
    <s v="TOPIKUL ISLAM"/>
    <s v="Private Retailer"/>
    <s v="9434532762"/>
    <n v="3.9"/>
    <n v="84"/>
    <x v="6"/>
    <m/>
    <s v="2026-01-26"/>
    <s v="223293"/>
    <s v="Bisanka Chandra Mondal And Son"/>
    <s v="9609521133"/>
  </r>
  <r>
    <s v="RCF Trombay"/>
    <s v="N.C.Urea(45kg)"/>
    <s v="WB"/>
    <x v="16"/>
    <s v="Lalgola"/>
    <s v="User Not Mapped"/>
    <s v="User Not Mapped"/>
    <s v="User Not Mapped"/>
    <n v="1146185"/>
    <s v="TOUFIK AHMED"/>
    <s v="Private Retailer"/>
    <s v="8348697100"/>
    <n v="0.45"/>
    <n v="83"/>
    <x v="6"/>
    <m/>
    <s v="2026-01-27"/>
    <s v="223293"/>
    <s v="Bisanka Chandra Mondal And Son"/>
    <s v="9609521133"/>
  </r>
  <r>
    <s v="RCF Trombay"/>
    <s v="15-15-15"/>
    <s v="WB"/>
    <x v="16"/>
    <s v="Berhampore"/>
    <s v="User Not Mapped"/>
    <s v="User Not Mapped"/>
    <s v="User Not Mapped"/>
    <n v="478935"/>
    <s v="Uma Rani Mondal"/>
    <s v="Private Retailer"/>
    <s v="9434638185"/>
    <n v="10"/>
    <n v="38"/>
    <x v="3"/>
    <m/>
    <s v="2026-03-13"/>
    <s v="223293"/>
    <s v="Bisanka Chandra Mondal And Son"/>
    <s v="9609521133"/>
  </r>
  <r>
    <s v="RCF Trombay"/>
    <s v="N.C.Urea(45kg)"/>
    <s v="WB"/>
    <x v="16"/>
    <s v="Sagardighi"/>
    <s v="User Not Mapped"/>
    <s v="User Not Mapped"/>
    <s v="User Not Mapped"/>
    <n v="473381"/>
    <s v="Utpal Debnath"/>
    <s v="Private Retailer"/>
    <s v="6295755957"/>
    <n v="2.88"/>
    <n v="38"/>
    <x v="3"/>
    <m/>
    <s v="2026-03-13"/>
    <s v="223293"/>
    <s v="Bisanka Chandra Mondal And Son"/>
    <s v="9609521133"/>
  </r>
  <r>
    <s v="RCF Trombay"/>
    <s v="N.C.Urea(45kg)"/>
    <s v="WB"/>
    <x v="16"/>
    <s v="Suti - II"/>
    <s v="User Not Mapped"/>
    <s v="User Not Mapped"/>
    <s v="User Not Mapped"/>
    <n v="1581060"/>
    <s v="UTTAM ROY"/>
    <s v="Private Retailer"/>
    <s v="7384755446"/>
    <n v="9.99"/>
    <n v="83"/>
    <x v="6"/>
    <m/>
    <s v="2026-01-27"/>
    <s v="223293"/>
    <s v="Bisanka Chandra Mondal And Son"/>
    <s v="9609521133"/>
  </r>
  <r>
    <s v="RCF Thal"/>
    <s v="N.C.Urea(45kg)"/>
    <s v="WB"/>
    <x v="16"/>
    <s v="Burwan"/>
    <s v="User Not Mapped"/>
    <s v="User Not Mapped"/>
    <s v="User Not Mapped"/>
    <n v="235600"/>
    <s v="Bakkar Ali"/>
    <s v="Private Retailer"/>
    <s v="9434851844"/>
    <n v="3.4649999999999999"/>
    <n v="91"/>
    <x v="7"/>
    <m/>
    <s v="2026-01-19"/>
    <s v="876174"/>
    <s v="CHAND GOPAL PAUL"/>
    <s v="9732975001"/>
  </r>
  <r>
    <s v="RCF Thal"/>
    <s v="N.C.Urea(45kg)"/>
    <s v="WB"/>
    <x v="16"/>
    <s v="Burwan"/>
    <s v="User Not Mapped"/>
    <s v="User Not Mapped"/>
    <s v="User Not Mapped"/>
    <n v="1027533"/>
    <s v="CHANDRA SEKHAR DAS"/>
    <s v="Private Retailer"/>
    <s v="9641470785"/>
    <n v="0.94499999999999995"/>
    <n v="229"/>
    <x v="1"/>
    <m/>
    <s v="2025-09-03"/>
    <s v="876174"/>
    <s v="CHAND GOPAL PAUL"/>
    <s v="9732975001"/>
  </r>
  <r>
    <s v="RCF Thal"/>
    <s v="N.C.Urea(45kg)"/>
    <s v="WB"/>
    <x v="16"/>
    <s v="Burwan"/>
    <s v="User Not Mapped"/>
    <s v="User Not Mapped"/>
    <s v="User Not Mapped"/>
    <n v="1072111"/>
    <s v="GOLAM MORTUZA"/>
    <s v="Private Retailer"/>
    <s v="9734678022"/>
    <n v="1.125"/>
    <n v="91"/>
    <x v="7"/>
    <m/>
    <s v="2026-01-19"/>
    <s v="876174"/>
    <s v="CHAND GOPAL PAUL"/>
    <s v="9732975001"/>
  </r>
  <r>
    <s v="RCF Thal"/>
    <s v="N.C.Urea(45kg)"/>
    <s v="WB"/>
    <x v="16"/>
    <s v="Burwan"/>
    <s v="User Not Mapped"/>
    <s v="User Not Mapped"/>
    <s v="User Not Mapped"/>
    <n v="1072111"/>
    <s v="GOLAM MORTUZA"/>
    <s v="Private Retailer"/>
    <s v="9734678022"/>
    <n v="2.25"/>
    <n v="282"/>
    <x v="1"/>
    <m/>
    <s v="2025-07-12"/>
    <s v="876174"/>
    <s v="CHAND GOPAL PAUL"/>
    <s v="9732975001"/>
  </r>
  <r>
    <s v="RCF Thal"/>
    <s v="N.C.Urea(45kg)"/>
    <s v="WB"/>
    <x v="16"/>
    <s v="Burwan"/>
    <s v="User Not Mapped"/>
    <s v="User Not Mapped"/>
    <s v="User Not Mapped"/>
    <n v="1470462"/>
    <s v="JALALUDDIN HOSSAIN"/>
    <s v="Private Retailer"/>
    <s v="7001592720"/>
    <n v="5.0000000000000001E-3"/>
    <n v="373"/>
    <x v="0"/>
    <m/>
    <s v="2025-04-12"/>
    <s v="876174"/>
    <s v="CHAND GOPAL PAUL"/>
    <s v="9732975001"/>
  </r>
  <r>
    <s v="RCF Thal"/>
    <s v="N.C.Urea(45kg)"/>
    <s v="WB"/>
    <x v="16"/>
    <s v="Kandi"/>
    <s v="User Not Mapped"/>
    <s v="User Not Mapped"/>
    <s v="User Not Mapped"/>
    <n v="270497"/>
    <s v="M/S Dinabandhu Ghosh"/>
    <s v="Private Retailer"/>
    <s v="9474308001"/>
    <n v="3.15"/>
    <n v="282"/>
    <x v="1"/>
    <m/>
    <s v="2025-07-12"/>
    <s v="876174"/>
    <s v="CHAND GOPAL PAUL"/>
    <s v="9732975001"/>
  </r>
  <r>
    <s v="RCF Import"/>
    <s v="Imp 10-26-26"/>
    <s v="WB"/>
    <x v="16"/>
    <s v="Kandi"/>
    <s v="User Not Mapped"/>
    <s v="User Not Mapped"/>
    <s v="User Not Mapped"/>
    <n v="270497"/>
    <s v="M/S Dinabandhu Ghosh"/>
    <s v="Private Retailer"/>
    <s v="9474308001"/>
    <n v="2.5"/>
    <n v="275"/>
    <x v="1"/>
    <m/>
    <s v="2025-07-19"/>
    <s v="876174"/>
    <s v="CHAND GOPAL PAUL"/>
    <s v="9732975001"/>
  </r>
  <r>
    <s v="RCF Trombay"/>
    <s v="N.C.Urea(45kg)"/>
    <s v="WB"/>
    <x v="16"/>
    <s v="Burwan"/>
    <s v="User Not Mapped"/>
    <s v="User Not Mapped"/>
    <s v="User Not Mapped"/>
    <n v="1072109"/>
    <s v="MD SABURUDDIN SK"/>
    <s v="Private Retailer"/>
    <s v="9907052361"/>
    <n v="4.4999999999999998E-2"/>
    <n v="411"/>
    <x v="0"/>
    <m/>
    <s v="2025-03-05"/>
    <s v="876174"/>
    <s v="CHAND GOPAL PAUL"/>
    <s v="9732975001"/>
  </r>
  <r>
    <s v="RCF Thal"/>
    <s v="N.C.Urea(45kg)"/>
    <s v="WB"/>
    <x v="16"/>
    <s v="Burwan"/>
    <s v="User Not Mapped"/>
    <s v="User Not Mapped"/>
    <s v="User Not Mapped"/>
    <n v="1072109"/>
    <s v="MD SABURUDDIN SK"/>
    <s v="Private Retailer"/>
    <s v="9907052361"/>
    <n v="0.67500000000000004"/>
    <n v="91"/>
    <x v="7"/>
    <m/>
    <s v="2026-01-19"/>
    <s v="876174"/>
    <s v="CHAND GOPAL PAUL"/>
    <s v="9732975001"/>
  </r>
  <r>
    <s v="RCF Import"/>
    <s v="MOP"/>
    <s v="WB"/>
    <x v="16"/>
    <s v="Burwan"/>
    <s v="User Not Mapped"/>
    <s v="User Not Mapped"/>
    <s v="User Not Mapped"/>
    <n v="467919"/>
    <s v="Md. Abu Hasanat Ali"/>
    <s v="Private Retailer"/>
    <s v="9732359612"/>
    <n v="0.2"/>
    <n v="246"/>
    <x v="1"/>
    <m/>
    <s v="2025-08-17"/>
    <s v="876174"/>
    <s v="CHAND GOPAL PAUL"/>
    <s v="9732975001"/>
  </r>
  <r>
    <s v="RCF Trombay"/>
    <s v="15-15-15"/>
    <s v="WB"/>
    <x v="16"/>
    <s v="Burwan"/>
    <s v="User Not Mapped"/>
    <s v="User Not Mapped"/>
    <s v="User Not Mapped"/>
    <n v="467919"/>
    <s v="Md. Abu Hasanat Ali"/>
    <s v="Private Retailer"/>
    <s v="9732359612"/>
    <n v="0.5"/>
    <n v="461"/>
    <x v="0"/>
    <m/>
    <s v="2025-01-14"/>
    <s v="876174"/>
    <s v="CHAND GOPAL PAUL"/>
    <s v="9732975001"/>
  </r>
  <r>
    <s v="RCF Trombay"/>
    <s v="N.C.Urea(45kg)"/>
    <s v="WB"/>
    <x v="16"/>
    <s v="Burwan"/>
    <s v="User Not Mapped"/>
    <s v="User Not Mapped"/>
    <s v="User Not Mapped"/>
    <n v="467919"/>
    <s v="Md. Abu Hasanat Ali"/>
    <s v="Private Retailer"/>
    <s v="9732359612"/>
    <n v="4.4999999999999998E-2"/>
    <n v="1024"/>
    <x v="2"/>
    <m/>
    <s v="2023-07-01"/>
    <s v="876174"/>
    <s v="CHAND GOPAL PAUL"/>
    <s v="9732975001"/>
  </r>
  <r>
    <s v="RCF Thal"/>
    <s v="N.C.Urea(45kg)"/>
    <s v="WB"/>
    <x v="16"/>
    <s v="Burwan"/>
    <s v="User Not Mapped"/>
    <s v="User Not Mapped"/>
    <s v="User Not Mapped"/>
    <n v="467919"/>
    <s v="Md. Abu Hasanat Ali"/>
    <s v="Private Retailer"/>
    <s v="9732359612"/>
    <n v="0.16500000000000001"/>
    <n v="435"/>
    <x v="0"/>
    <m/>
    <s v="2025-02-09"/>
    <s v="876174"/>
    <s v="CHAND GOPAL PAUL"/>
    <s v="9732975001"/>
  </r>
  <r>
    <s v="RCF Import"/>
    <s v="Imp 10-26-26"/>
    <s v="WB"/>
    <x v="16"/>
    <s v="Burwan"/>
    <s v="User Not Mapped"/>
    <s v="User Not Mapped"/>
    <s v="User Not Mapped"/>
    <n v="473807"/>
    <s v="Syed Haniuzzman"/>
    <s v="Private Retailer"/>
    <s v="9732219980"/>
    <n v="0.25"/>
    <n v="275"/>
    <x v="1"/>
    <m/>
    <s v="2025-07-19"/>
    <s v="876174"/>
    <s v="CHAND GOPAL PAUL"/>
    <s v="9732975001"/>
  </r>
  <r>
    <s v="RCF Import"/>
    <s v="Imp 10-26-26"/>
    <s v="WB"/>
    <x v="16"/>
    <s v="Burwan"/>
    <s v="User Not Mapped"/>
    <s v="User Not Mapped"/>
    <s v="User Not Mapped"/>
    <n v="473807"/>
    <s v="Syed Haniuzzman"/>
    <s v="Private Retailer"/>
    <s v="9732219980"/>
    <n v="0.25"/>
    <n v="282"/>
    <x v="1"/>
    <m/>
    <s v="2025-07-12"/>
    <s v="876174"/>
    <s v="CHAND GOPAL PAUL"/>
    <s v="9732975001"/>
  </r>
  <r>
    <s v="RCF Thal"/>
    <s v="N.C.Urea(45kg)"/>
    <s v="WB"/>
    <x v="16"/>
    <s v="Burwan"/>
    <s v="User Not Mapped"/>
    <s v="User Not Mapped"/>
    <s v="User Not Mapped"/>
    <n v="1059124"/>
    <s v="TARUN KUMAR DEY"/>
    <s v="Private Retailer"/>
    <s v="8597415922"/>
    <n v="1.665"/>
    <n v="282"/>
    <x v="1"/>
    <m/>
    <s v="2025-07-12"/>
    <s v="876174"/>
    <s v="CHAND GOPAL PAUL"/>
    <s v="9732975001"/>
  </r>
  <r>
    <s v="RCF Thal"/>
    <s v="N.C.Urea(45kg)"/>
    <s v="WB"/>
    <x v="16"/>
    <s v="Burwan"/>
    <s v="User Not Mapped"/>
    <s v="User Not Mapped"/>
    <s v="User Not Mapped"/>
    <n v="1059124"/>
    <s v="TARUN KUMAR DEY"/>
    <s v="Private Retailer"/>
    <s v="8597415922"/>
    <n v="2.1150000000000002"/>
    <n v="91"/>
    <x v="7"/>
    <m/>
    <s v="2026-01-19"/>
    <s v="876174"/>
    <s v="CHAND GOPAL PAUL"/>
    <s v="9732975001"/>
  </r>
  <r>
    <s v="RCF Thal"/>
    <s v="N.C.Urea(45kg)"/>
    <s v="WB"/>
    <x v="16"/>
    <s v="Burwan"/>
    <s v="User Not Mapped"/>
    <s v="User Not Mapped"/>
    <s v="User Not Mapped"/>
    <n v="1059124"/>
    <s v="TARUN KUMAR DEY"/>
    <s v="Private Retailer"/>
    <s v="8597415922"/>
    <n v="8.01"/>
    <n v="266"/>
    <x v="1"/>
    <m/>
    <s v="2025-07-28"/>
    <s v="876174"/>
    <s v="CHAND GOPAL PAUL"/>
    <s v="9732975001"/>
  </r>
  <r>
    <s v="RCF Import"/>
    <s v="MOP"/>
    <s v="WB"/>
    <x v="16"/>
    <s v="Burwan"/>
    <s v="User Not Mapped"/>
    <s v="User Not Mapped"/>
    <s v="User Not Mapped"/>
    <n v="1059124"/>
    <s v="TARUN KUMAR DEY"/>
    <s v="Private Retailer"/>
    <s v="8597415922"/>
    <n v="1"/>
    <n v="398"/>
    <x v="0"/>
    <m/>
    <s v="2025-03-18"/>
    <s v="876174"/>
    <s v="CHAND GOPAL PAUL"/>
    <s v="9732975001"/>
  </r>
  <r>
    <s v="RCF Thal"/>
    <s v="N.C.Urea(45kg)"/>
    <s v="WB"/>
    <x v="16"/>
    <s v="Burwan"/>
    <s v="User Not Mapped"/>
    <s v="User Not Mapped"/>
    <s v="User Not Mapped"/>
    <n v="467925"/>
    <s v="Tarun Saha"/>
    <s v="Private Retailer"/>
    <s v="9775173450"/>
    <n v="0.45"/>
    <n v="91"/>
    <x v="7"/>
    <m/>
    <s v="2026-01-19"/>
    <s v="876174"/>
    <s v="CHAND GOPAL PAUL"/>
    <s v="9732975001"/>
  </r>
  <r>
    <s v="RCF Import"/>
    <s v="MOP"/>
    <s v="WB"/>
    <x v="16"/>
    <s v="Kandi"/>
    <s v="User Not Mapped"/>
    <s v="User Not Mapped"/>
    <s v="User Not Mapped"/>
    <n v="945305"/>
    <s v="UDAY CHANDRA SAHA"/>
    <s v="Private Retailer"/>
    <s v="9732269768"/>
    <n v="0.2"/>
    <n v="229"/>
    <x v="1"/>
    <m/>
    <s v="2025-09-03"/>
    <s v="876174"/>
    <s v="CHAND GOPAL PAUL"/>
    <s v="9732975001"/>
  </r>
  <r>
    <s v="RCF Import"/>
    <s v="MOP"/>
    <s v="WB"/>
    <x v="16"/>
    <s v="Kandi"/>
    <s v="User Not Mapped"/>
    <s v="User Not Mapped"/>
    <s v="User Not Mapped"/>
    <n v="945305"/>
    <s v="UDAY CHANDRA SAHA"/>
    <s v="Private Retailer"/>
    <s v="9732269768"/>
    <n v="1"/>
    <n v="221"/>
    <x v="1"/>
    <m/>
    <s v="2025-09-11"/>
    <s v="876174"/>
    <s v="CHAND GOPAL PAUL"/>
    <s v="9732975001"/>
  </r>
  <r>
    <s v="RCF Thal"/>
    <s v="N.C.Urea(45kg)"/>
    <s v="WB"/>
    <x v="16"/>
    <s v="Kandi"/>
    <s v="User Not Mapped"/>
    <s v="User Not Mapped"/>
    <s v="User Not Mapped"/>
    <n v="626644"/>
    <s v="ALAM ENTERPRISE"/>
    <s v="Private Retailer"/>
    <s v="9647488366"/>
    <n v="14.04"/>
    <n v="38"/>
    <x v="3"/>
    <m/>
    <s v="2026-03-13"/>
    <s v="1463904"/>
    <s v="DEB NARAYAN BARAL"/>
    <s v="7585040500"/>
  </r>
  <r>
    <s v="RCF Thal"/>
    <s v="N.C.Urea(45kg)"/>
    <s v="WB"/>
    <x v="16"/>
    <s v="Kandi"/>
    <s v="User Not Mapped"/>
    <s v="User Not Mapped"/>
    <s v="User Not Mapped"/>
    <n v="626644"/>
    <s v="ALAM ENTERPRISE"/>
    <s v="Private Retailer"/>
    <s v="9647488366"/>
    <n v="3.7349999999999999"/>
    <n v="106"/>
    <x v="7"/>
    <m/>
    <s v="2026-01-04"/>
    <s v="1463904"/>
    <s v="DEB NARAYAN BARAL"/>
    <s v="7585040500"/>
  </r>
  <r>
    <s v="RCF Thal"/>
    <s v="N.C.Urea(45kg)"/>
    <s v="WB"/>
    <x v="16"/>
    <s v="Khargram"/>
    <s v="User Not Mapped"/>
    <s v="User Not Mapped"/>
    <s v="User Not Mapped"/>
    <n v="1519077"/>
    <s v="BARKET MAYE KRISHI BHANDER"/>
    <s v="Private Retailer"/>
    <s v="9735255107"/>
    <n v="0.99"/>
    <n v="106"/>
    <x v="7"/>
    <m/>
    <s v="2026-01-04"/>
    <s v="1463904"/>
    <s v="DEB NARAYAN BARAL"/>
    <s v="7585040500"/>
  </r>
  <r>
    <s v="RCF Trombay"/>
    <s v="N.C.Urea(45kg)"/>
    <s v="WB"/>
    <x v="16"/>
    <s v="Kandi"/>
    <s v="User Not Mapped"/>
    <s v="User Not Mapped"/>
    <s v="User Not Mapped"/>
    <n v="945307"/>
    <s v="DEBASIS MONDAL"/>
    <s v="Private Retailer"/>
    <s v="9735684001"/>
    <n v="6.3"/>
    <n v="36"/>
    <x v="3"/>
    <m/>
    <s v="2026-03-15"/>
    <s v="1463904"/>
    <s v="DEB NARAYAN BARAL"/>
    <s v="7585040500"/>
  </r>
  <r>
    <s v="RCF Import"/>
    <s v="Imp 10-26-26"/>
    <s v="WB"/>
    <x v="16"/>
    <s v="Berhampore"/>
    <s v="User Not Mapped"/>
    <s v="User Not Mapped"/>
    <s v="User Not Mapped"/>
    <n v="417844"/>
    <s v="Debnarayan Baral"/>
    <s v="Private Retailer"/>
    <s v="9434315385"/>
    <n v="3.5"/>
    <n v="66"/>
    <x v="6"/>
    <m/>
    <s v="2026-02-13"/>
    <s v="1463904"/>
    <s v="DEB NARAYAN BARAL"/>
    <s v="7585040500"/>
  </r>
  <r>
    <s v="RCF Thal"/>
    <s v="N.C.Urea(45kg)"/>
    <s v="WB"/>
    <x v="16"/>
    <s v="Kandi"/>
    <s v="User Not Mapped"/>
    <s v="User Not Mapped"/>
    <s v="User Not Mapped"/>
    <n v="945301"/>
    <s v="HAZARAT ALI"/>
    <s v="Private Retailer"/>
    <s v="9734586079"/>
    <n v="3.7349999999999999"/>
    <n v="106"/>
    <x v="7"/>
    <m/>
    <s v="2026-01-04"/>
    <s v="1463904"/>
    <s v="DEB NARAYAN BARAL"/>
    <s v="7585040500"/>
  </r>
  <r>
    <s v="RCF Trombay"/>
    <s v="N.C.Urea(45kg)"/>
    <s v="WB"/>
    <x v="16"/>
    <s v="Berhampore"/>
    <s v="User Not Mapped"/>
    <s v="User Not Mapped"/>
    <s v="User Not Mapped"/>
    <n v="1377530"/>
    <s v="PROSENJIT CHANDRA"/>
    <s v="Private Retailer"/>
    <s v="9732814323"/>
    <n v="1.44"/>
    <n v="146"/>
    <x v="4"/>
    <m/>
    <s v="2025-11-25"/>
    <s v="1463904"/>
    <s v="DEB NARAYAN BARAL"/>
    <s v="7585040500"/>
  </r>
  <r>
    <s v="RCF Thal"/>
    <s v="N.C.Urea(45kg)"/>
    <s v="WB"/>
    <x v="16"/>
    <s v="Berhampore"/>
    <s v="User Not Mapped"/>
    <s v="User Not Mapped"/>
    <s v="User Not Mapped"/>
    <n v="1377530"/>
    <s v="PROSENJIT CHANDRA"/>
    <s v="Private Retailer"/>
    <s v="9732814323"/>
    <n v="1.0349999999999999"/>
    <n v="106"/>
    <x v="7"/>
    <m/>
    <s v="2026-01-04"/>
    <s v="1463904"/>
    <s v="DEB NARAYAN BARAL"/>
    <s v="7585040500"/>
  </r>
  <r>
    <s v="RCF Trombay"/>
    <s v="N.C.Urea(45kg)"/>
    <s v="WB"/>
    <x v="16"/>
    <s v="Kandi"/>
    <s v="User Not Mapped"/>
    <s v="User Not Mapped"/>
    <s v="User Not Mapped"/>
    <n v="1019625"/>
    <s v="RAJIB LOCHAN GHOSH"/>
    <s v="Private Retailer"/>
    <s v="7797417730"/>
    <n v="7.02"/>
    <n v="74"/>
    <x v="6"/>
    <m/>
    <s v="2026-02-05"/>
    <s v="1463904"/>
    <s v="DEB NARAYAN BARAL"/>
    <s v="7585040500"/>
  </r>
  <r>
    <s v="RCF Thal"/>
    <s v="N.C.Urea(45kg)"/>
    <s v="WB"/>
    <x v="16"/>
    <s v="Berhampore"/>
    <s v="User Not Mapped"/>
    <s v="User Not Mapped"/>
    <s v="User Not Mapped"/>
    <n v="797887"/>
    <s v="SUBODH MONDAL"/>
    <s v="Private Retailer"/>
    <s v="9434355017"/>
    <n v="0.27"/>
    <n v="106"/>
    <x v="7"/>
    <m/>
    <s v="2026-01-04"/>
    <s v="1463904"/>
    <s v="DEB NARAYAN BARAL"/>
    <s v="7585040500"/>
  </r>
  <r>
    <s v="RCF Thal"/>
    <s v="N.C.Urea(45kg)"/>
    <s v="WB"/>
    <x v="16"/>
    <s v="Kandi"/>
    <s v="User Not Mapped"/>
    <s v="User Not Mapped"/>
    <s v="User Not Mapped"/>
    <n v="1449877"/>
    <s v="SUN AGRO"/>
    <s v="Private Retailer"/>
    <s v="7797935269"/>
    <n v="4.59"/>
    <n v="38"/>
    <x v="3"/>
    <m/>
    <s v="2026-03-13"/>
    <s v="1463904"/>
    <s v="DEB NARAYAN BARAL"/>
    <s v="7585040500"/>
  </r>
  <r>
    <s v="RCF Thal"/>
    <s v="N.C.Urea(45kg)"/>
    <s v="WB"/>
    <x v="16"/>
    <s v="Kandi"/>
    <s v="User Not Mapped"/>
    <s v="User Not Mapped"/>
    <s v="User Not Mapped"/>
    <n v="945303"/>
    <s v="TAPASH SAHA"/>
    <s v="Private Retailer"/>
    <s v="7872079462"/>
    <n v="3.1949999999999998"/>
    <n v="38"/>
    <x v="3"/>
    <m/>
    <s v="2026-03-13"/>
    <s v="1463904"/>
    <s v="DEB NARAYAN BARAL"/>
    <s v="7585040500"/>
  </r>
  <r>
    <s v="RCF Trombay"/>
    <s v="15-15-15"/>
    <s v="WB"/>
    <x v="16"/>
    <s v="Domkal"/>
    <s v="User Not Mapped"/>
    <s v="User Not Mapped"/>
    <s v="User Not Mapped"/>
    <n v="354757"/>
    <s v="Azizul Islam"/>
    <s v="Private Retailer"/>
    <s v="9647830460"/>
    <n v="6.05"/>
    <n v="69"/>
    <x v="6"/>
    <m/>
    <s v="2026-02-10"/>
    <s v="1557438"/>
    <s v="DEBASHIS SAHA"/>
    <s v="9732566286"/>
  </r>
  <r>
    <s v="RCF Trombay"/>
    <s v="15-15-15"/>
    <s v="WB"/>
    <x v="16"/>
    <s v="Domkal"/>
    <s v="User Not Mapped"/>
    <s v="User Not Mapped"/>
    <s v="User Not Mapped"/>
    <n v="1392337"/>
    <s v="ENAMUL HAQUE"/>
    <s v="Private Retailer"/>
    <s v="7872413509"/>
    <n v="0.75"/>
    <n v="246"/>
    <x v="1"/>
    <m/>
    <s v="2025-08-17"/>
    <s v="1557438"/>
    <s v="DEBASHIS SAHA"/>
    <s v="9732566286"/>
  </r>
  <r>
    <s v="RCF Trombay"/>
    <s v="N.C.Urea(45kg)"/>
    <s v="WB"/>
    <x v="16"/>
    <s v="Domkal"/>
    <s v="User Not Mapped"/>
    <s v="User Not Mapped"/>
    <s v="User Not Mapped"/>
    <n v="1354284"/>
    <s v="HABIBUR RAHAMAN"/>
    <s v="Private Retailer"/>
    <s v="9593491424"/>
    <n v="4.5"/>
    <n v="29"/>
    <x v="5"/>
    <m/>
    <s v="2026-03-22"/>
    <s v="1557438"/>
    <s v="DEBASHIS SAHA"/>
    <s v="9732566286"/>
  </r>
  <r>
    <s v="RCF Trombay"/>
    <s v="15-15-15"/>
    <s v="WB"/>
    <x v="16"/>
    <s v="Jalangi"/>
    <s v="User Not Mapped"/>
    <s v="User Not Mapped"/>
    <s v="User Not Mapped"/>
    <n v="596277"/>
    <s v="Prasanta Kumar Halder"/>
    <s v="Private Retailer"/>
    <s v="9732617579"/>
    <n v="1.5"/>
    <n v="283"/>
    <x v="1"/>
    <m/>
    <s v="2025-07-11"/>
    <s v="1557438"/>
    <s v="DEBASHIS SAHA"/>
    <s v="9732566286"/>
  </r>
  <r>
    <s v="RCF Trombay"/>
    <s v="N.C.Urea(45kg)"/>
    <s v="WB"/>
    <x v="16"/>
    <s v="Domkal"/>
    <s v="User Not Mapped"/>
    <s v="User Not Mapped"/>
    <s v="User Not Mapped"/>
    <n v="951609"/>
    <s v="RAKIBUL ISLAM"/>
    <s v="Private Retailer"/>
    <s v="8637358611"/>
    <n v="7.65"/>
    <n v="29"/>
    <x v="5"/>
    <m/>
    <s v="2026-03-22"/>
    <s v="1557438"/>
    <s v="DEBASHIS SAHA"/>
    <s v="9732566286"/>
  </r>
  <r>
    <s v="RCF Thal"/>
    <s v="N.C.Urea(45kg)"/>
    <s v="WB"/>
    <x v="16"/>
    <s v="Beldanga - II"/>
    <s v="User Not Mapped"/>
    <s v="User Not Mapped"/>
    <s v="User Not Mapped"/>
    <n v="1395252"/>
    <s v="ATAUR RAHAMAN"/>
    <s v="Private Retailer"/>
    <s v="7602651995"/>
    <n v="2.0699999999999998"/>
    <n v="38"/>
    <x v="3"/>
    <m/>
    <s v="2026-03-13"/>
    <s v="223286"/>
    <s v="Dutta Pramanik Enterprise"/>
    <s v="9475520520"/>
  </r>
  <r>
    <s v="RCF Thal"/>
    <s v="N.C.Urea(45kg)"/>
    <s v="WB"/>
    <x v="16"/>
    <s v="Jalangi"/>
    <s v="User Not Mapped"/>
    <s v="User Not Mapped"/>
    <s v="User Not Mapped"/>
    <n v="247440"/>
    <s v="Debabrata Saha"/>
    <s v="Private Retailer"/>
    <s v="9932064467"/>
    <n v="7.02"/>
    <n v="101"/>
    <x v="7"/>
    <m/>
    <s v="2026-01-09"/>
    <s v="223286"/>
    <s v="Dutta Pramanik Enterprise"/>
    <s v="9475520520"/>
  </r>
  <r>
    <s v="RCF Thal"/>
    <s v="N.C.Urea(45kg)"/>
    <s v="WB"/>
    <x v="16"/>
    <s v="Berhampore"/>
    <s v="User Not Mapped"/>
    <s v="User Not Mapped"/>
    <s v="User Not Mapped"/>
    <n v="1594919"/>
    <s v="DEY ENTERPRISE"/>
    <s v="Private Retailer"/>
    <s v="9153824305"/>
    <n v="3.0150000000000001"/>
    <n v="38"/>
    <x v="3"/>
    <m/>
    <s v="2026-03-13"/>
    <s v="223286"/>
    <s v="Dutta Pramanik Enterprise"/>
    <s v="9475520520"/>
  </r>
  <r>
    <s v="RCF Thal"/>
    <s v="N.C.Urea(45kg)"/>
    <s v="WB"/>
    <x v="16"/>
    <s v="Beldanga - II"/>
    <s v="User Not Mapped"/>
    <s v="User Not Mapped"/>
    <s v="User Not Mapped"/>
    <n v="259693"/>
    <s v="Dutta Parmanik Enterprise"/>
    <s v="Private Retailer"/>
    <s v="9475520520"/>
    <n v="1.8"/>
    <n v="10"/>
    <x v="5"/>
    <m/>
    <s v="2026-04-10"/>
    <s v="223286"/>
    <s v="Dutta Pramanik Enterprise"/>
    <s v="9475520520"/>
  </r>
  <r>
    <s v="RCF Thal"/>
    <s v="N.C.Urea(45kg)"/>
    <s v="WB"/>
    <x v="16"/>
    <s v="Beldanga - II"/>
    <s v="User Not Mapped"/>
    <s v="User Not Mapped"/>
    <s v="User Not Mapped"/>
    <n v="943466"/>
    <s v="FAJIUR RAHAMAN MOLLA"/>
    <s v="Private Retailer"/>
    <s v="7407873843"/>
    <n v="4.1849999999999996"/>
    <n v="38"/>
    <x v="3"/>
    <m/>
    <s v="2026-03-13"/>
    <s v="223286"/>
    <s v="Dutta Pramanik Enterprise"/>
    <s v="9475520520"/>
  </r>
  <r>
    <s v="RCF Thal"/>
    <s v="N.C.Urea(45kg)"/>
    <s v="WB"/>
    <x v="16"/>
    <s v="Nabagram"/>
    <s v="User Not Mapped"/>
    <s v="User Not Mapped"/>
    <s v="User Not Mapped"/>
    <n v="355293"/>
    <s v="Mahadev Mondal"/>
    <s v="Private Retailer"/>
    <s v="9475194960"/>
    <n v="0.9"/>
    <n v="227"/>
    <x v="1"/>
    <m/>
    <s v="2025-09-05"/>
    <s v="223286"/>
    <s v="Dutta Pramanik Enterprise"/>
    <s v="9475520520"/>
  </r>
  <r>
    <s v="RCF Thal"/>
    <s v="N.C.Urea(45kg)"/>
    <s v="WB"/>
    <x v="16"/>
    <s v="Berhampore"/>
    <s v="User Not Mapped"/>
    <s v="User Not Mapped"/>
    <s v="User Not Mapped"/>
    <n v="289283"/>
    <s v="MANDAL SAR BHANDAR"/>
    <s v="Private Retailer"/>
    <s v="9475880508"/>
    <n v="0.22500000000000001"/>
    <n v="38"/>
    <x v="3"/>
    <m/>
    <s v="2026-03-13"/>
    <s v="223286"/>
    <s v="Dutta Pramanik Enterprise"/>
    <s v="9475520520"/>
  </r>
  <r>
    <s v="RCF Thal"/>
    <s v="N.C.Urea(45kg)"/>
    <s v="WB"/>
    <x v="16"/>
    <s v="Nabagram"/>
    <s v="User Not Mapped"/>
    <s v="User Not Mapped"/>
    <s v="User Not Mapped"/>
    <n v="1036300"/>
    <s v="MOSLEM SK"/>
    <s v="Private Retailer"/>
    <s v="7430051292"/>
    <n v="8.2799999999999994"/>
    <n v="101"/>
    <x v="7"/>
    <m/>
    <s v="2026-01-09"/>
    <s v="223286"/>
    <s v="Dutta Pramanik Enterprise"/>
    <s v="9475520520"/>
  </r>
  <r>
    <s v="RCF Thal"/>
    <s v="N.C.Urea(45kg)"/>
    <s v="WB"/>
    <x v="16"/>
    <s v="Beldanga - II"/>
    <s v="User Not Mapped"/>
    <s v="User Not Mapped"/>
    <s v="User Not Mapped"/>
    <n v="1071432"/>
    <s v="NIKHIL KUMAR MONDAL"/>
    <s v="Private Retailer"/>
    <s v="7427963364"/>
    <n v="0.315"/>
    <n v="603"/>
    <x v="2"/>
    <m/>
    <s v="2024-08-25"/>
    <s v="223286"/>
    <s v="Dutta Pramanik Enterprise"/>
    <s v="9475520520"/>
  </r>
  <r>
    <s v="RCF Thal"/>
    <s v="N.C.Urea(45kg)"/>
    <s v="WB"/>
    <x v="16"/>
    <s v="Murshidabad Jiaganj"/>
    <s v="User Not Mapped"/>
    <s v="User Not Mapped"/>
    <s v="User Not Mapped"/>
    <n v="767982"/>
    <s v="SUBHAMAY MONDAL"/>
    <s v="Private Retailer"/>
    <s v="9002220406"/>
    <n v="0.13500000000000001"/>
    <n v="227"/>
    <x v="1"/>
    <m/>
    <s v="2025-09-05"/>
    <s v="223286"/>
    <s v="Dutta Pramanik Enterprise"/>
    <s v="9475520520"/>
  </r>
  <r>
    <s v="RCF Trombay"/>
    <s v="N.C.Urea(45kg)"/>
    <s v="WB"/>
    <x v="16"/>
    <s v="Berhampore"/>
    <s v="User Not Mapped"/>
    <s v="User Not Mapped"/>
    <s v="User Not Mapped"/>
    <n v="797887"/>
    <s v="SUBODH MONDAL"/>
    <s v="Private Retailer"/>
    <s v="9434355017"/>
    <n v="2.5649999999999999"/>
    <n v="75"/>
    <x v="6"/>
    <m/>
    <s v="2026-02-04"/>
    <s v="223286"/>
    <s v="Dutta Pramanik Enterprise"/>
    <s v="9475520520"/>
  </r>
  <r>
    <s v="RCF Thal"/>
    <s v="N.C.Urea(45kg)"/>
    <s v="WB"/>
    <x v="16"/>
    <s v="Sagardighi"/>
    <s v="User Not Mapped"/>
    <s v="User Not Mapped"/>
    <s v="User Not Mapped"/>
    <n v="1059626"/>
    <s v="ABDUR RAHAMAN CHOWDHURY"/>
    <s v="Private Retailer"/>
    <s v="8918511061"/>
    <n v="0.9"/>
    <n v="26"/>
    <x v="5"/>
    <m/>
    <s v="2026-03-25"/>
    <s v="289309"/>
    <s v="Fatema Begam"/>
    <s v="9733510936"/>
  </r>
  <r>
    <s v="RCF Thal"/>
    <s v="N.C.Urea(45kg)"/>
    <s v="WB"/>
    <x v="16"/>
    <s v="Beldanga - II"/>
    <s v="User Not Mapped"/>
    <s v="User Not Mapped"/>
    <s v="User Not Mapped"/>
    <n v="1470454"/>
    <s v="ABUHENA SK"/>
    <s v="Private Retailer"/>
    <s v="7001391093"/>
    <n v="7.29"/>
    <n v="39"/>
    <x v="3"/>
    <m/>
    <s v="2026-03-12"/>
    <s v="289309"/>
    <s v="Fatema Begam"/>
    <s v="9733510936"/>
  </r>
  <r>
    <s v="RCF Thal"/>
    <s v="N.C.Urea(45kg)"/>
    <s v="WB"/>
    <x v="16"/>
    <s v="Sagardighi"/>
    <s v="User Not Mapped"/>
    <s v="User Not Mapped"/>
    <s v="User Not Mapped"/>
    <n v="876977"/>
    <s v="ABUL BASAR"/>
    <s v="Private Retailer"/>
    <s v="9851071199"/>
    <n v="4.4999999999999998E-2"/>
    <n v="39"/>
    <x v="3"/>
    <m/>
    <s v="2026-03-12"/>
    <s v="289309"/>
    <s v="Fatema Begam"/>
    <s v="9733510936"/>
  </r>
  <r>
    <s v="RCF Import"/>
    <s v="Imp 10-26-26"/>
    <s v="WB"/>
    <x v="16"/>
    <s v="Sagardighi"/>
    <s v="User Not Mapped"/>
    <s v="User Not Mapped"/>
    <s v="User Not Mapped"/>
    <n v="876977"/>
    <s v="ABUL BASAR"/>
    <s v="Private Retailer"/>
    <s v="9851071199"/>
    <n v="0.5"/>
    <n v="255"/>
    <x v="1"/>
    <m/>
    <s v="2025-08-08"/>
    <s v="289309"/>
    <s v="Fatema Begam"/>
    <s v="9733510936"/>
  </r>
  <r>
    <s v="RCF Trombay"/>
    <s v="N.C.Urea(45kg)"/>
    <s v="WB"/>
    <x v="16"/>
    <s v="Sagardighi"/>
    <s v="User Not Mapped"/>
    <s v="User Not Mapped"/>
    <s v="User Not Mapped"/>
    <n v="913639"/>
    <s v="ALAMGIR SK"/>
    <s v="Private Retailer"/>
    <s v="9932360442"/>
    <n v="1.71"/>
    <n v="37"/>
    <x v="3"/>
    <m/>
    <s v="2026-03-14"/>
    <s v="289309"/>
    <s v="Fatema Begam"/>
    <s v="9733510936"/>
  </r>
  <r>
    <s v="RCF Thal"/>
    <s v="N.C.Urea(45kg)"/>
    <s v="WB"/>
    <x v="16"/>
    <s v="Sagardighi"/>
    <s v="User Not Mapped"/>
    <s v="User Not Mapped"/>
    <s v="User Not Mapped"/>
    <n v="1461443"/>
    <s v="ALAMGIR SK"/>
    <s v="Private Retailer"/>
    <s v="7699945296"/>
    <n v="0.72"/>
    <n v="39"/>
    <x v="3"/>
    <m/>
    <s v="2026-03-12"/>
    <s v="289309"/>
    <s v="Fatema Begam"/>
    <s v="9733510936"/>
  </r>
  <r>
    <s v="RCF Thal"/>
    <s v="N.C.Urea(45kg)"/>
    <s v="WB"/>
    <x v="16"/>
    <s v="Sagardighi"/>
    <s v="User Not Mapped"/>
    <s v="User Not Mapped"/>
    <s v="User Not Mapped"/>
    <n v="235587"/>
    <s v="Asraf Ali"/>
    <s v="Private Retailer"/>
    <s v="9733694045"/>
    <n v="1.79"/>
    <n v="39"/>
    <x v="3"/>
    <m/>
    <s v="2026-03-12"/>
    <s v="289309"/>
    <s v="Fatema Begam"/>
    <s v="9733510936"/>
  </r>
  <r>
    <s v="RCF Thal"/>
    <s v="N.C.Urea(45kg)"/>
    <s v="WB"/>
    <x v="16"/>
    <s v="Sagardighi"/>
    <s v="User Not Mapped"/>
    <s v="User Not Mapped"/>
    <s v="User Not Mapped"/>
    <n v="252249"/>
    <s v="Badaruddin Ahmed"/>
    <s v="Private Retailer"/>
    <s v="9002518466"/>
    <n v="3.51"/>
    <n v="39"/>
    <x v="3"/>
    <m/>
    <s v="2026-03-12"/>
    <s v="289309"/>
    <s v="Fatema Begam"/>
    <s v="9733510936"/>
  </r>
  <r>
    <s v="RCF Thal"/>
    <s v="N.C.Urea(45kg)"/>
    <s v="WB"/>
    <x v="16"/>
    <s v="Sagardighi"/>
    <s v="User Not Mapped"/>
    <s v="User Not Mapped"/>
    <s v="User Not Mapped"/>
    <n v="587026"/>
    <s v="BISWAJIT PRAMANIK"/>
    <s v="Private Retailer"/>
    <s v="8348739303"/>
    <n v="0.09"/>
    <n v="39"/>
    <x v="3"/>
    <m/>
    <s v="2026-03-12"/>
    <s v="289309"/>
    <s v="Fatema Begam"/>
    <s v="9733510936"/>
  </r>
  <r>
    <s v="RCF Thal"/>
    <s v="N.C.Urea(45kg)"/>
    <s v="WB"/>
    <x v="16"/>
    <s v="Nabagram"/>
    <s v="User Not Mapped"/>
    <s v="User Not Mapped"/>
    <s v="User Not Mapped"/>
    <n v="1081768"/>
    <s v="Debapriya Mandal"/>
    <s v="Private Retailer"/>
    <s v="9002557657"/>
    <n v="6.6150000000000002"/>
    <n v="39"/>
    <x v="3"/>
    <m/>
    <s v="2026-03-12"/>
    <s v="289309"/>
    <s v="Fatema Begam"/>
    <s v="9733510936"/>
  </r>
  <r>
    <s v="RCF Trombay"/>
    <s v="N.C.Urea(45kg)"/>
    <s v="WB"/>
    <x v="16"/>
    <s v="Sagardighi"/>
    <s v="User Not Mapped"/>
    <s v="User Not Mapped"/>
    <s v="User Not Mapped"/>
    <n v="1463830"/>
    <s v="DEBASHIS PRAMANIK"/>
    <s v="Private Retailer"/>
    <s v="9641748879"/>
    <n v="0.45"/>
    <n v="35"/>
    <x v="3"/>
    <m/>
    <s v="2026-03-16"/>
    <s v="289309"/>
    <s v="Fatema Begam"/>
    <s v="9733510936"/>
  </r>
  <r>
    <s v="RCF Thal"/>
    <s v="N.C.Urea(45kg)"/>
    <s v="WB"/>
    <x v="16"/>
    <s v="Khargram"/>
    <s v="User Not Mapped"/>
    <s v="User Not Mapped"/>
    <s v="User Not Mapped"/>
    <n v="1461449"/>
    <s v="FAIJUL KABIR SK"/>
    <s v="Private Retailer"/>
    <s v="8250688142"/>
    <n v="7.02"/>
    <n v="35"/>
    <x v="3"/>
    <m/>
    <s v="2026-03-16"/>
    <s v="289309"/>
    <s v="Fatema Begam"/>
    <s v="9733510936"/>
  </r>
  <r>
    <s v="RCF Thal"/>
    <s v="N.C.Urea(45kg)"/>
    <s v="WB"/>
    <x v="16"/>
    <s v="Sagardighi"/>
    <s v="User Not Mapped"/>
    <s v="User Not Mapped"/>
    <s v="User Not Mapped"/>
    <n v="269055"/>
    <s v="Fatema Begum"/>
    <s v="Private Retailer"/>
    <s v="9733510936"/>
    <n v="3.15"/>
    <n v="7"/>
    <x v="5"/>
    <m/>
    <s v="2026-04-13"/>
    <s v="289309"/>
    <s v="Fatema Begam"/>
    <s v="9733510936"/>
  </r>
  <r>
    <s v="RCF Import"/>
    <s v="Imp 10-26-26"/>
    <s v="WB"/>
    <x v="16"/>
    <s v="Sagardighi"/>
    <s v="User Not Mapped"/>
    <s v="User Not Mapped"/>
    <s v="User Not Mapped"/>
    <n v="269055"/>
    <s v="Fatema Begum"/>
    <s v="Private Retailer"/>
    <s v="9733510936"/>
    <n v="0.05"/>
    <n v="7"/>
    <x v="5"/>
    <m/>
    <s v="2026-04-13"/>
    <s v="289309"/>
    <s v="Fatema Begam"/>
    <s v="9733510936"/>
  </r>
  <r>
    <s v="RCF Trombay"/>
    <s v="N.C.Urea(45kg)"/>
    <s v="WB"/>
    <x v="16"/>
    <s v="Raghunathganj - I"/>
    <s v="User Not Mapped"/>
    <s v="User Not Mapped"/>
    <s v="User Not Mapped"/>
    <n v="226094"/>
    <s v="Golam Mustak Ahmed"/>
    <s v="Private Retailer"/>
    <s v="9732584898"/>
    <n v="3.6"/>
    <n v="35"/>
    <x v="3"/>
    <m/>
    <s v="2026-03-16"/>
    <s v="289309"/>
    <s v="Fatema Begam"/>
    <s v="9733510936"/>
  </r>
  <r>
    <s v="RCF Trombay"/>
    <s v="N.C.Urea(45kg)"/>
    <s v="WB"/>
    <x v="16"/>
    <s v="Samserganj"/>
    <s v="User Not Mapped"/>
    <s v="User Not Mapped"/>
    <s v="User Not Mapped"/>
    <n v="643069"/>
    <s v="HAZIBUL RAHMAN"/>
    <s v="Private Retailer"/>
    <s v="9734874290"/>
    <n v="0.495"/>
    <n v="350"/>
    <x v="1"/>
    <m/>
    <s v="2025-05-05"/>
    <s v="289309"/>
    <s v="Fatema Begam"/>
    <s v="9733510936"/>
  </r>
  <r>
    <s v="RCF Trombay"/>
    <s v="N.C.Urea(45kg)"/>
    <s v="WB"/>
    <x v="16"/>
    <s v="Sagardighi"/>
    <s v="User Not Mapped"/>
    <s v="User Not Mapped"/>
    <s v="User Not Mapped"/>
    <n v="915327"/>
    <s v="JOY KRISHNA DUTTA"/>
    <s v="Private Retailer"/>
    <s v="6294896190"/>
    <n v="1.125"/>
    <n v="35"/>
    <x v="3"/>
    <m/>
    <s v="2026-03-16"/>
    <s v="289309"/>
    <s v="Fatema Begam"/>
    <s v="9733510936"/>
  </r>
  <r>
    <s v="RCF Thal"/>
    <s v="N.C.Urea(45kg)"/>
    <s v="WB"/>
    <x v="16"/>
    <s v="Sagardighi"/>
    <s v="User Not Mapped"/>
    <s v="User Not Mapped"/>
    <s v="User Not Mapped"/>
    <n v="915327"/>
    <s v="JOY KRISHNA DUTTA"/>
    <s v="Private Retailer"/>
    <s v="6294896190"/>
    <n v="0.45"/>
    <n v="26"/>
    <x v="5"/>
    <m/>
    <s v="2026-03-25"/>
    <s v="289309"/>
    <s v="Fatema Begam"/>
    <s v="9733510936"/>
  </r>
  <r>
    <s v="RCF Thal"/>
    <s v="N.C.Urea(45kg)"/>
    <s v="WB"/>
    <x v="16"/>
    <s v="Sagardighi"/>
    <s v="User Not Mapped"/>
    <s v="User Not Mapped"/>
    <s v="User Not Mapped"/>
    <n v="1403067"/>
    <s v="JYOTSNA KHATUN BIBI"/>
    <s v="Private Retailer"/>
    <s v="9734746331"/>
    <n v="1.17"/>
    <n v="102"/>
    <x v="7"/>
    <m/>
    <s v="2026-01-08"/>
    <s v="289309"/>
    <s v="Fatema Begam"/>
    <s v="9733510936"/>
  </r>
  <r>
    <s v="RCF Trombay"/>
    <s v="N.C.Urea(45kg)"/>
    <s v="WB"/>
    <x v="16"/>
    <s v="Sagardighi"/>
    <s v="User Not Mapped"/>
    <s v="User Not Mapped"/>
    <s v="User Not Mapped"/>
    <n v="1403067"/>
    <s v="JYOTSNA KHATUN BIBI"/>
    <s v="Private Retailer"/>
    <s v="9734746331"/>
    <n v="7.02"/>
    <n v="37"/>
    <x v="3"/>
    <m/>
    <s v="2026-03-14"/>
    <s v="289309"/>
    <s v="Fatema Begam"/>
    <s v="9733510936"/>
  </r>
  <r>
    <s v="RCF Thal"/>
    <s v="N.C.Urea(45kg)"/>
    <s v="WB"/>
    <x v="16"/>
    <m/>
    <s v="User Not Mapped"/>
    <s v="User Not Mapped"/>
    <s v="User Not Mapped"/>
    <n v="1519075"/>
    <s v="KABIR FERTILIZER"/>
    <s v="Private Retailer"/>
    <s v="9647434057"/>
    <n v="1.89"/>
    <n v="39"/>
    <x v="3"/>
    <m/>
    <s v="2026-03-12"/>
    <s v="289309"/>
    <s v="Fatema Begam"/>
    <s v="9733510936"/>
  </r>
  <r>
    <s v="RCF Trombay"/>
    <s v="N.C.Urea(45kg)"/>
    <s v="WB"/>
    <x v="16"/>
    <s v="Sagardighi"/>
    <s v="User Not Mapped"/>
    <s v="User Not Mapped"/>
    <s v="User Not Mapped"/>
    <n v="913577"/>
    <s v="KAMALA KANTA MONDAL"/>
    <s v="Private Retailer"/>
    <s v="9002117192"/>
    <n v="0.72"/>
    <n v="37"/>
    <x v="3"/>
    <m/>
    <s v="2026-03-14"/>
    <s v="289309"/>
    <s v="Fatema Begam"/>
    <s v="9733510936"/>
  </r>
  <r>
    <s v="RCF Thal"/>
    <s v="N.C.Urea(45kg)"/>
    <s v="WB"/>
    <x v="16"/>
    <s v="Sagardighi"/>
    <s v="User Not Mapped"/>
    <s v="User Not Mapped"/>
    <s v="User Not Mapped"/>
    <n v="1444442"/>
    <s v="KUDROT ALI"/>
    <s v="Private Retailer"/>
    <s v="8768221628"/>
    <n v="4.6349999999999998"/>
    <n v="35"/>
    <x v="3"/>
    <m/>
    <s v="2026-03-16"/>
    <s v="289309"/>
    <s v="Fatema Begam"/>
    <s v="9733510936"/>
  </r>
  <r>
    <s v="RCF Trombay"/>
    <s v="15-15-15"/>
    <s v="WB"/>
    <x v="16"/>
    <s v="Lalgola"/>
    <s v="User Not Mapped"/>
    <s v="User Not Mapped"/>
    <s v="User Not Mapped"/>
    <n v="893045"/>
    <s v="MD AZIZUR RAHAMAN"/>
    <s v="Private Retailer"/>
    <s v="9932236541"/>
    <n v="9.25"/>
    <n v="75"/>
    <x v="6"/>
    <m/>
    <s v="2026-02-04"/>
    <s v="289309"/>
    <s v="Fatema Begam"/>
    <s v="9733510936"/>
  </r>
  <r>
    <s v="RCF Thal"/>
    <s v="N.C.Urea(45kg)"/>
    <s v="WB"/>
    <x v="16"/>
    <s v="Sagardighi"/>
    <s v="User Not Mapped"/>
    <s v="User Not Mapped"/>
    <s v="User Not Mapped"/>
    <n v="289210"/>
    <s v="Md Ibrahim"/>
    <s v="Private Retailer"/>
    <s v="9064358844"/>
    <n v="4.4999999999999998E-2"/>
    <n v="439"/>
    <x v="0"/>
    <m/>
    <s v="2025-02-05"/>
    <s v="289309"/>
    <s v="Fatema Begam"/>
    <s v="9733510936"/>
  </r>
  <r>
    <s v="RCF Thal"/>
    <s v="N.C.Urea(45kg)"/>
    <s v="WB"/>
    <x v="16"/>
    <s v="Sagardighi"/>
    <s v="User Not Mapped"/>
    <s v="User Not Mapped"/>
    <s v="User Not Mapped"/>
    <n v="913635"/>
    <s v="MD RABIUL ALAM DEWAN"/>
    <s v="Private Retailer"/>
    <s v="8637031245"/>
    <n v="2.25"/>
    <n v="35"/>
    <x v="3"/>
    <m/>
    <s v="2026-03-16"/>
    <s v="289309"/>
    <s v="Fatema Begam"/>
    <s v="9733510936"/>
  </r>
  <r>
    <s v="RCF Thal"/>
    <s v="N.C.Urea(45kg)"/>
    <s v="WB"/>
    <x v="16"/>
    <s v="Sagardighi"/>
    <s v="User Not Mapped"/>
    <s v="User Not Mapped"/>
    <s v="User Not Mapped"/>
    <n v="913635"/>
    <s v="MD RABIUL ALAM DEWAN"/>
    <s v="Private Retailer"/>
    <s v="8637031245"/>
    <n v="0.9"/>
    <n v="32"/>
    <x v="3"/>
    <m/>
    <s v="2026-03-19"/>
    <s v="289309"/>
    <s v="Fatema Begam"/>
    <s v="9733510936"/>
  </r>
  <r>
    <s v="RCF Thal"/>
    <s v="N.C.Urea(45kg)"/>
    <s v="WB"/>
    <x v="16"/>
    <s v="Sagardighi"/>
    <s v="User Not Mapped"/>
    <s v="User Not Mapped"/>
    <s v="User Not Mapped"/>
    <n v="915383"/>
    <s v="MEHEDI HASAN"/>
    <s v="Private Retailer"/>
    <s v="7076654340"/>
    <n v="4.5"/>
    <n v="39"/>
    <x v="3"/>
    <m/>
    <s v="2026-03-12"/>
    <s v="289309"/>
    <s v="Fatema Begam"/>
    <s v="9733510936"/>
  </r>
  <r>
    <s v="RCF Import"/>
    <s v="Imp 10-26-26"/>
    <s v="WB"/>
    <x v="16"/>
    <s v="Sagardighi"/>
    <s v="User Not Mapped"/>
    <s v="User Not Mapped"/>
    <s v="User Not Mapped"/>
    <n v="1506618"/>
    <s v="MUNTAJ ALI"/>
    <s v="Private Retailer"/>
    <s v="9641325732"/>
    <n v="1"/>
    <n v="37"/>
    <x v="3"/>
    <m/>
    <s v="2026-03-14"/>
    <s v="289309"/>
    <s v="Fatema Begam"/>
    <s v="9733510936"/>
  </r>
  <r>
    <s v="RCF Trombay"/>
    <s v="N.C.Urea(45kg)"/>
    <s v="WB"/>
    <x v="16"/>
    <s v="Sagardighi"/>
    <s v="User Not Mapped"/>
    <s v="User Not Mapped"/>
    <s v="User Not Mapped"/>
    <n v="1506618"/>
    <s v="MUNTAJ ALI"/>
    <s v="Private Retailer"/>
    <s v="9641325732"/>
    <n v="4.9950000000000001"/>
    <n v="37"/>
    <x v="3"/>
    <m/>
    <s v="2026-03-14"/>
    <s v="289309"/>
    <s v="Fatema Begam"/>
    <s v="9733510936"/>
  </r>
  <r>
    <s v="RCF Import"/>
    <s v="Imp 10-26-26"/>
    <s v="WB"/>
    <x v="16"/>
    <s v="Sagardighi"/>
    <s v="User Not Mapped"/>
    <s v="User Not Mapped"/>
    <s v="User Not Mapped"/>
    <n v="1506618"/>
    <s v="MUNTAJ ALI"/>
    <s v="Private Retailer"/>
    <s v="9641325732"/>
    <n v="0.5"/>
    <n v="52"/>
    <x v="3"/>
    <m/>
    <s v="2026-02-27"/>
    <s v="289309"/>
    <s v="Fatema Begam"/>
    <s v="9733510936"/>
  </r>
  <r>
    <s v="RCF Thal"/>
    <s v="N.C.Urea(45kg)"/>
    <s v="WB"/>
    <x v="16"/>
    <m/>
    <s v="User Not Mapped"/>
    <s v="User Not Mapped"/>
    <s v="User Not Mapped"/>
    <n v="1534850"/>
    <s v="NAJIRA KHATUN"/>
    <s v="Private Retailer"/>
    <s v="9382198195"/>
    <n v="0.45"/>
    <n v="39"/>
    <x v="3"/>
    <m/>
    <s v="2026-03-12"/>
    <s v="289309"/>
    <s v="Fatema Begam"/>
    <s v="9733510936"/>
  </r>
  <r>
    <s v="RCF Trombay"/>
    <s v="N.C.Urea(45kg)"/>
    <s v="WB"/>
    <x v="16"/>
    <s v="Sagardighi"/>
    <s v="User Not Mapped"/>
    <s v="User Not Mapped"/>
    <s v="User Not Mapped"/>
    <n v="915379"/>
    <s v="NASIRA BIBI"/>
    <s v="Private Retailer"/>
    <s v="7001186591"/>
    <n v="4.59"/>
    <n v="35"/>
    <x v="3"/>
    <m/>
    <s v="2026-03-16"/>
    <s v="289309"/>
    <s v="Fatema Begam"/>
    <s v="9733510936"/>
  </r>
  <r>
    <s v="RCF Trombay"/>
    <s v="N.C.Urea(45kg)"/>
    <s v="WB"/>
    <x v="16"/>
    <s v="Raghunathganj - I"/>
    <s v="User Not Mapped"/>
    <s v="User Not Mapped"/>
    <s v="User Not Mapped"/>
    <n v="537852"/>
    <s v="Partha Pratim Dutta"/>
    <s v="Private Retailer"/>
    <s v="9733718753"/>
    <n v="4.9950000000000001"/>
    <n v="35"/>
    <x v="3"/>
    <m/>
    <s v="2026-03-16"/>
    <s v="289309"/>
    <s v="Fatema Begam"/>
    <s v="9733510936"/>
  </r>
  <r>
    <s v="RCF Thal"/>
    <s v="N.C.Urea(45kg)"/>
    <s v="WB"/>
    <x v="16"/>
    <s v="Suti - I"/>
    <s v="User Not Mapped"/>
    <s v="User Not Mapped"/>
    <s v="User Not Mapped"/>
    <n v="1375361"/>
    <s v="PRONAB MAJHI"/>
    <s v="Private Retailer"/>
    <s v="9735346695"/>
    <n v="7.02"/>
    <n v="31"/>
    <x v="3"/>
    <m/>
    <s v="2026-03-20"/>
    <s v="289309"/>
    <s v="Fatema Begam"/>
    <s v="9733510936"/>
  </r>
  <r>
    <s v="RCF Import"/>
    <s v="Imp 10-26-26"/>
    <s v="WB"/>
    <x v="16"/>
    <s v="Nabagram"/>
    <s v="User Not Mapped"/>
    <s v="User Not Mapped"/>
    <s v="User Not Mapped"/>
    <n v="1513341"/>
    <s v="R FERTILISER AND PESTICIDE"/>
    <s v="Private Retailer"/>
    <s v="8972781623"/>
    <n v="0.5"/>
    <n v="46"/>
    <x v="3"/>
    <m/>
    <s v="2026-03-05"/>
    <s v="289309"/>
    <s v="Fatema Begam"/>
    <s v="9733510936"/>
  </r>
  <r>
    <s v="RCF Thal"/>
    <s v="N.C.Urea(45kg)"/>
    <s v="WB"/>
    <x v="16"/>
    <s v="Nabagram"/>
    <s v="User Not Mapped"/>
    <s v="User Not Mapped"/>
    <s v="User Not Mapped"/>
    <n v="1513341"/>
    <s v="R FERTILISER AND PESTICIDE"/>
    <s v="Private Retailer"/>
    <s v="8972781623"/>
    <n v="0.94499999999999995"/>
    <n v="39"/>
    <x v="3"/>
    <m/>
    <s v="2026-03-12"/>
    <s v="289309"/>
    <s v="Fatema Begam"/>
    <s v="9733510936"/>
  </r>
  <r>
    <s v="RCF Import"/>
    <s v="MOP"/>
    <s v="WB"/>
    <x v="16"/>
    <s v="Sagardighi"/>
    <s v="User Not Mapped"/>
    <s v="User Not Mapped"/>
    <s v="User Not Mapped"/>
    <n v="289263"/>
    <s v="Rajeswari Mahara"/>
    <s v="Private Retailer"/>
    <s v="9609438474"/>
    <n v="0.5"/>
    <n v="251"/>
    <x v="1"/>
    <m/>
    <s v="2025-08-12"/>
    <s v="289309"/>
    <s v="Fatema Begam"/>
    <s v="9733510936"/>
  </r>
  <r>
    <s v="RCF Trombay"/>
    <s v="15-15-15"/>
    <s v="WB"/>
    <x v="16"/>
    <s v="Murshidabad Jiaganj"/>
    <s v="User Not Mapped"/>
    <s v="User Not Mapped"/>
    <s v="User Not Mapped"/>
    <n v="767632"/>
    <s v="RAMESH MANDAL"/>
    <s v="Private Retailer"/>
    <s v="9732854170"/>
    <n v="3"/>
    <n v="23"/>
    <x v="5"/>
    <m/>
    <s v="2026-03-28"/>
    <s v="289309"/>
    <s v="Fatema Begam"/>
    <s v="9733510936"/>
  </r>
  <r>
    <s v="RCF Trombay"/>
    <s v="15-15-15"/>
    <s v="WB"/>
    <x v="16"/>
    <s v="Lalgola"/>
    <s v="User Not Mapped"/>
    <s v="User Not Mapped"/>
    <s v="User Not Mapped"/>
    <n v="845401"/>
    <s v="RAMIZ HASAN"/>
    <s v="Private Retailer"/>
    <s v="9733753285"/>
    <n v="0.7"/>
    <n v="23"/>
    <x v="5"/>
    <m/>
    <s v="2026-03-28"/>
    <s v="289309"/>
    <s v="Fatema Begam"/>
    <s v="9733510936"/>
  </r>
  <r>
    <s v="RCF Thal"/>
    <s v="N.C.Urea(45kg)"/>
    <s v="WB"/>
    <x v="16"/>
    <s v="Nabagram"/>
    <s v="User Not Mapped"/>
    <s v="User Not Mapped"/>
    <s v="User Not Mapped"/>
    <n v="507766"/>
    <s v="Sabana Fertiliser"/>
    <s v="Private Retailer"/>
    <s v="9732835690"/>
    <n v="0.13500000000000001"/>
    <n v="35"/>
    <x v="3"/>
    <m/>
    <s v="2026-03-16"/>
    <s v="289309"/>
    <s v="Fatema Begam"/>
    <s v="9733510936"/>
  </r>
  <r>
    <s v="RCF Trombay"/>
    <s v="15-15-15"/>
    <s v="WB"/>
    <x v="16"/>
    <s v="Lalgola"/>
    <s v="User Not Mapped"/>
    <s v="User Not Mapped"/>
    <s v="User Not Mapped"/>
    <n v="647557"/>
    <s v="SADANANDA DAS"/>
    <s v="Private Retailer"/>
    <s v="9735782731"/>
    <n v="7"/>
    <n v="23"/>
    <x v="5"/>
    <m/>
    <s v="2026-03-28"/>
    <s v="289309"/>
    <s v="Fatema Begam"/>
    <s v="9733510936"/>
  </r>
  <r>
    <s v="RCF Import"/>
    <s v="Imp 10-26-26"/>
    <s v="WB"/>
    <x v="16"/>
    <s v="Sagardighi"/>
    <s v="User Not Mapped"/>
    <s v="User Not Mapped"/>
    <s v="User Not Mapped"/>
    <n v="915347"/>
    <s v="SADER ALI"/>
    <s v="Private Retailer"/>
    <s v="7583925523"/>
    <n v="0.5"/>
    <n v="247"/>
    <x v="1"/>
    <m/>
    <s v="2025-08-16"/>
    <s v="289309"/>
    <s v="Fatema Begam"/>
    <s v="9733510936"/>
  </r>
  <r>
    <s v="RCF Import"/>
    <s v="Imp 10-26-26"/>
    <s v="WB"/>
    <x v="16"/>
    <s v="Sagardighi"/>
    <s v="User Not Mapped"/>
    <s v="User Not Mapped"/>
    <s v="User Not Mapped"/>
    <n v="915347"/>
    <s v="SADER ALI"/>
    <s v="Private Retailer"/>
    <s v="7583925523"/>
    <n v="0.5"/>
    <n v="249"/>
    <x v="1"/>
    <m/>
    <s v="2025-08-14"/>
    <s v="289309"/>
    <s v="Fatema Begam"/>
    <s v="9733510936"/>
  </r>
  <r>
    <s v="RCF Import"/>
    <s v="Imp 10-26-26"/>
    <s v="WB"/>
    <x v="16"/>
    <s v="Sagardighi"/>
    <s v="User Not Mapped"/>
    <s v="User Not Mapped"/>
    <s v="User Not Mapped"/>
    <n v="915347"/>
    <s v="SADER ALI"/>
    <s v="Private Retailer"/>
    <s v="7583925523"/>
    <n v="0.75"/>
    <n v="52"/>
    <x v="3"/>
    <m/>
    <s v="2026-02-27"/>
    <s v="289309"/>
    <s v="Fatema Begam"/>
    <s v="9733510936"/>
  </r>
  <r>
    <s v="RCF Import"/>
    <s v="Imp 10-26-26"/>
    <s v="WB"/>
    <x v="16"/>
    <s v="Sagardighi"/>
    <s v="User Not Mapped"/>
    <s v="User Not Mapped"/>
    <s v="User Not Mapped"/>
    <n v="915347"/>
    <s v="SADER ALI"/>
    <s v="Private Retailer"/>
    <s v="7583925523"/>
    <n v="1"/>
    <n v="46"/>
    <x v="3"/>
    <m/>
    <s v="2026-03-05"/>
    <s v="289309"/>
    <s v="Fatema Begam"/>
    <s v="9733510936"/>
  </r>
  <r>
    <s v="RCF Thal"/>
    <s v="N.C.Urea(45kg)"/>
    <s v="WB"/>
    <x v="16"/>
    <s v="Sagardighi"/>
    <s v="User Not Mapped"/>
    <s v="User Not Mapped"/>
    <s v="User Not Mapped"/>
    <n v="915347"/>
    <s v="SADER ALI"/>
    <s v="Private Retailer"/>
    <s v="7583925523"/>
    <n v="5.04"/>
    <n v="39"/>
    <x v="3"/>
    <m/>
    <s v="2026-03-12"/>
    <s v="289309"/>
    <s v="Fatema Begam"/>
    <s v="9733510936"/>
  </r>
  <r>
    <s v="RCF Import"/>
    <s v="Imp 10-26-26"/>
    <s v="WB"/>
    <x v="16"/>
    <s v="Sagardighi"/>
    <s v="User Not Mapped"/>
    <s v="User Not Mapped"/>
    <s v="User Not Mapped"/>
    <n v="915347"/>
    <s v="SADER ALI"/>
    <s v="Private Retailer"/>
    <s v="7583925523"/>
    <n v="0.5"/>
    <n v="251"/>
    <x v="1"/>
    <m/>
    <s v="2025-08-12"/>
    <s v="289309"/>
    <s v="Fatema Begam"/>
    <s v="9733510936"/>
  </r>
  <r>
    <s v="RCF Thal"/>
    <s v="N.C.Urea(45kg)"/>
    <s v="WB"/>
    <x v="16"/>
    <s v="Raghunathganj - I"/>
    <s v="User Not Mapped"/>
    <s v="User Not Mapped"/>
    <s v="User Not Mapped"/>
    <n v="953492"/>
    <s v="SADRUL ALAM"/>
    <s v="Private Retailer"/>
    <s v="7908855303"/>
    <n v="0.36"/>
    <n v="26"/>
    <x v="5"/>
    <m/>
    <s v="2026-03-25"/>
    <s v="289309"/>
    <s v="Fatema Begam"/>
    <s v="9733510936"/>
  </r>
  <r>
    <s v="RCF Thal"/>
    <s v="N.C.Urea(45kg)"/>
    <s v="WB"/>
    <x v="16"/>
    <s v="Sagardighi"/>
    <s v="User Not Mapped"/>
    <s v="User Not Mapped"/>
    <s v="User Not Mapped"/>
    <n v="1510470"/>
    <s v="SAMEYA ZAMAN NURI"/>
    <s v="Private Retailer"/>
    <s v="9775248211"/>
    <n v="2.97"/>
    <n v="39"/>
    <x v="3"/>
    <m/>
    <s v="2026-03-12"/>
    <s v="289309"/>
    <s v="Fatema Begam"/>
    <s v="9733510936"/>
  </r>
  <r>
    <s v="RCF Thal"/>
    <s v="N.C.Urea(45kg)"/>
    <s v="WB"/>
    <x v="16"/>
    <s v="Sagardighi"/>
    <s v="User Not Mapped"/>
    <s v="User Not Mapped"/>
    <s v="User Not Mapped"/>
    <n v="550100"/>
    <s v="Samim Parwaz"/>
    <s v="Private Retailer"/>
    <s v="9564683939"/>
    <n v="0.67500000000000004"/>
    <n v="273"/>
    <x v="1"/>
    <m/>
    <s v="2025-07-21"/>
    <s v="289309"/>
    <s v="Fatema Begam"/>
    <s v="9733510936"/>
  </r>
  <r>
    <s v="RCF Thal"/>
    <s v="N.C.Urea(45kg)"/>
    <s v="WB"/>
    <x v="16"/>
    <s v="Nabagram"/>
    <s v="User Not Mapped"/>
    <s v="User Not Mapped"/>
    <s v="User Not Mapped"/>
    <n v="516916"/>
    <s v="Sib Sankar Mondal"/>
    <s v="Private Retailer"/>
    <s v="9851867788"/>
    <n v="0.45"/>
    <n v="33"/>
    <x v="3"/>
    <m/>
    <s v="2026-03-18"/>
    <s v="289309"/>
    <s v="Fatema Begam"/>
    <s v="9733510936"/>
  </r>
  <r>
    <s v="RCF Trombay"/>
    <s v="15-15-15"/>
    <s v="WB"/>
    <x v="16"/>
    <s v="Sagardighi"/>
    <s v="User Not Mapped"/>
    <s v="User Not Mapped"/>
    <s v="User Not Mapped"/>
    <n v="915313"/>
    <s v="SK SAFAR ALI"/>
    <s v="Private Retailer"/>
    <s v="9679012749"/>
    <n v="0.75"/>
    <n v="61"/>
    <x v="6"/>
    <m/>
    <s v="2026-02-18"/>
    <s v="289309"/>
    <s v="Fatema Begam"/>
    <s v="9733510936"/>
  </r>
  <r>
    <s v="RCF Trombay"/>
    <s v="N.C.Urea(45kg)"/>
    <s v="WB"/>
    <x v="16"/>
    <s v="Sagardighi"/>
    <s v="User Not Mapped"/>
    <s v="User Not Mapped"/>
    <s v="User Not Mapped"/>
    <n v="915313"/>
    <s v="SK SAFAR ALI"/>
    <s v="Private Retailer"/>
    <s v="9679012749"/>
    <n v="2.25"/>
    <n v="35"/>
    <x v="3"/>
    <m/>
    <s v="2026-03-16"/>
    <s v="289309"/>
    <s v="Fatema Begam"/>
    <s v="9733510936"/>
  </r>
  <r>
    <s v="RCF Thal"/>
    <s v="N.C.Urea(45kg)"/>
    <s v="WB"/>
    <x v="16"/>
    <s v="Sagardighi"/>
    <s v="User Not Mapped"/>
    <s v="User Not Mapped"/>
    <s v="User Not Mapped"/>
    <n v="587022"/>
    <s v="SOHEL HODA"/>
    <s v="Private Retailer"/>
    <s v="9734616979"/>
    <n v="1.98"/>
    <n v="32"/>
    <x v="3"/>
    <m/>
    <s v="2026-03-19"/>
    <s v="289309"/>
    <s v="Fatema Begam"/>
    <s v="9733510936"/>
  </r>
  <r>
    <s v="RCF Thal"/>
    <s v="N.C.Urea(45kg)"/>
    <s v="WB"/>
    <x v="16"/>
    <s v="Nabagram"/>
    <s v="User Not Mapped"/>
    <s v="User Not Mapped"/>
    <s v="User Not Mapped"/>
    <n v="1081704"/>
    <s v="SUMON MONDAL"/>
    <s v="Private Retailer"/>
    <s v="6294672895"/>
    <n v="1.53"/>
    <n v="35"/>
    <x v="3"/>
    <m/>
    <s v="2026-03-16"/>
    <s v="289309"/>
    <s v="Fatema Begam"/>
    <s v="9733510936"/>
  </r>
  <r>
    <s v="RCF Thal"/>
    <s v="N.C.Urea(45kg)"/>
    <s v="WB"/>
    <x v="16"/>
    <s v="Sagardighi"/>
    <s v="User Not Mapped"/>
    <s v="User Not Mapped"/>
    <s v="User Not Mapped"/>
    <n v="915389"/>
    <s v="SURENDRA NATHY MONDAL"/>
    <s v="Private Retailer"/>
    <s v="9593955615"/>
    <n v="2.0699999999999998"/>
    <n v="39"/>
    <x v="3"/>
    <m/>
    <s v="2026-03-12"/>
    <s v="289309"/>
    <s v="Fatema Begam"/>
    <s v="9733510936"/>
  </r>
  <r>
    <s v="RCF Thal"/>
    <s v="N.C.Urea(45kg)"/>
    <s v="WB"/>
    <x v="16"/>
    <s v="Farakka"/>
    <s v="User Not Mapped"/>
    <s v="User Not Mapped"/>
    <s v="User Not Mapped"/>
    <n v="946615"/>
    <s v="TINKU KRISHI GHAR"/>
    <s v="Private Retailer"/>
    <s v="9002162712"/>
    <n v="0.22500000000000001"/>
    <n v="1217"/>
    <x v="2"/>
    <m/>
    <s v="2022-12-20"/>
    <s v="289309"/>
    <s v="Fatema Begam"/>
    <s v="9733510936"/>
  </r>
  <r>
    <s v="RCF Trombay"/>
    <s v="15-15-15"/>
    <s v="WB"/>
    <x v="16"/>
    <s v="Sagardighi"/>
    <s v="User Not Mapped"/>
    <s v="User Not Mapped"/>
    <s v="User Not Mapped"/>
    <n v="473381"/>
    <s v="Utpal Debnath"/>
    <s v="Private Retailer"/>
    <s v="6295755957"/>
    <n v="0.1"/>
    <n v="340"/>
    <x v="1"/>
    <m/>
    <s v="2025-05-15"/>
    <s v="289309"/>
    <s v="Fatema Begam"/>
    <s v="9733510936"/>
  </r>
  <r>
    <s v="RCF Trombay"/>
    <s v="N.C.Urea(45kg)"/>
    <s v="WB"/>
    <x v="16"/>
    <s v="Berhampore"/>
    <s v="User Not Mapped"/>
    <s v="User Not Mapped"/>
    <s v="User Not Mapped"/>
    <n v="525360"/>
    <s v="Abdul Mannan Sekh"/>
    <s v="Private Retailer"/>
    <s v="9635399732"/>
    <n v="9.6050000000000004"/>
    <n v="124"/>
    <x v="4"/>
    <m/>
    <s v="2025-12-17"/>
    <s v="269139"/>
    <s v="Firoj Ali"/>
    <s v="9932787296"/>
  </r>
  <r>
    <s v="RCF Thal"/>
    <s v="N.C.Urea(45kg)"/>
    <s v="WB"/>
    <x v="16"/>
    <s v="Berhampore"/>
    <s v="User Not Mapped"/>
    <s v="User Not Mapped"/>
    <s v="User Not Mapped"/>
    <n v="525360"/>
    <s v="Abdul Mannan Sekh"/>
    <s v="Private Retailer"/>
    <s v="9635399732"/>
    <n v="39.96"/>
    <n v="98"/>
    <x v="7"/>
    <m/>
    <s v="2026-01-12"/>
    <s v="269139"/>
    <s v="Firoj Ali"/>
    <s v="9932787296"/>
  </r>
  <r>
    <s v="RCF Trombay"/>
    <s v="N.C.Urea(45kg)"/>
    <s v="WB"/>
    <x v="16"/>
    <s v="Bhagawangola - I"/>
    <s v="User Not Mapped"/>
    <s v="User Not Mapped"/>
    <s v="User Not Mapped"/>
    <n v="552525"/>
    <s v="Alamin Sekh"/>
    <s v="Private Retailer"/>
    <s v="9800157720"/>
    <n v="0.81"/>
    <n v="1445"/>
    <x v="2"/>
    <m/>
    <s v="2022-05-06"/>
    <s v="269139"/>
    <s v="Firoj Ali"/>
    <s v="9932787296"/>
  </r>
  <r>
    <s v="RCF Thal"/>
    <s v="N.C.Urea(45kg)"/>
    <s v="WB"/>
    <x v="16"/>
    <s v="Nabagram"/>
    <s v="User Not Mapped"/>
    <s v="User Not Mapped"/>
    <s v="User Not Mapped"/>
    <n v="1085493"/>
    <s v="ASIF HOSSAIN"/>
    <s v="Private Retailer"/>
    <s v="7407086897"/>
    <n v="1.08"/>
    <n v="1233"/>
    <x v="2"/>
    <m/>
    <s v="2022-12-04"/>
    <s v="269139"/>
    <s v="Firoj Ali"/>
    <s v="9932787296"/>
  </r>
  <r>
    <s v="RCF Trombay"/>
    <s v="15-15-15"/>
    <s v="WB"/>
    <x v="16"/>
    <s v="Nabagram"/>
    <s v="User Not Mapped"/>
    <s v="User Not Mapped"/>
    <s v="User Not Mapped"/>
    <n v="1085493"/>
    <s v="ASIF HOSSAIN"/>
    <s v="Private Retailer"/>
    <s v="7407086897"/>
    <n v="0.3"/>
    <n v="1233"/>
    <x v="2"/>
    <m/>
    <s v="2022-12-04"/>
    <s v="269139"/>
    <s v="Firoj Ali"/>
    <s v="9932787296"/>
  </r>
  <r>
    <s v="RCF Thal"/>
    <s v="N.C.Urea(45kg)"/>
    <s v="WB"/>
    <x v="16"/>
    <s v="Bhagawangola - II"/>
    <s v="User Not Mapped"/>
    <s v="User Not Mapped"/>
    <s v="User Not Mapped"/>
    <n v="606363"/>
    <s v="DILIP KUMAR MONDAL"/>
    <s v="Private Retailer"/>
    <s v="9153730230"/>
    <n v="0.08"/>
    <n v="854"/>
    <x v="2"/>
    <m/>
    <s v="2023-12-18"/>
    <s v="269139"/>
    <s v="Firoj Ali"/>
    <s v="9932787296"/>
  </r>
  <r>
    <s v="RCF Thal"/>
    <s v="N.C.Urea(45kg)"/>
    <s v="WB"/>
    <x v="16"/>
    <s v="Nawda"/>
    <s v="User Not Mapped"/>
    <s v="User Not Mapped"/>
    <s v="User Not Mapped"/>
    <n v="269051"/>
    <s v="Faruk Biswas"/>
    <s v="Private Retailer"/>
    <s v="9735315594"/>
    <n v="1.98"/>
    <n v="157"/>
    <x v="4"/>
    <m/>
    <s v="2025-11-14"/>
    <s v="269139"/>
    <s v="Firoj Ali"/>
    <s v="9932787296"/>
  </r>
  <r>
    <s v="RCF Trombay"/>
    <s v="N.C.Urea(45kg)"/>
    <s v="WB"/>
    <x v="16"/>
    <s v="Bhagawangola - I"/>
    <s v="User Not Mapped"/>
    <s v="User Not Mapped"/>
    <s v="User Not Mapped"/>
    <n v="1086505"/>
    <s v="FERDOUSA BIBI"/>
    <s v="Private Retailer"/>
    <s v="8967559962"/>
    <n v="0.27"/>
    <n v="117"/>
    <x v="7"/>
    <m/>
    <s v="2025-12-24"/>
    <s v="269139"/>
    <s v="Firoj Ali"/>
    <s v="9932787296"/>
  </r>
  <r>
    <s v="RCF Import"/>
    <s v="Imp 10-26-26"/>
    <s v="WB"/>
    <x v="16"/>
    <s v="Berhampore"/>
    <s v="User Not Mapped"/>
    <s v="User Not Mapped"/>
    <s v="User Not Mapped"/>
    <n v="235647"/>
    <s v="Firoj Ali"/>
    <s v="Private Retailer"/>
    <s v="9932787296"/>
    <n v="20"/>
    <n v="2"/>
    <x v="5"/>
    <m/>
    <s v="2026-04-18"/>
    <s v="269139"/>
    <s v="Firoj Ali"/>
    <s v="9932787296"/>
  </r>
  <r>
    <s v="RCF Trombay"/>
    <s v="15-15-15"/>
    <s v="WB"/>
    <x v="16"/>
    <s v="Berhampore"/>
    <s v="User Not Mapped"/>
    <s v="User Not Mapped"/>
    <s v="User Not Mapped"/>
    <n v="235647"/>
    <s v="Firoj Ali"/>
    <s v="Private Retailer"/>
    <s v="9932787296"/>
    <n v="55"/>
    <n v="2"/>
    <x v="5"/>
    <m/>
    <s v="2026-04-18"/>
    <s v="269139"/>
    <s v="Firoj Ali"/>
    <s v="9932787296"/>
  </r>
  <r>
    <s v="RCF Thal"/>
    <s v="N.C.Urea(45kg)"/>
    <s v="WB"/>
    <x v="16"/>
    <s v="Berhampore"/>
    <s v="User Not Mapped"/>
    <s v="User Not Mapped"/>
    <s v="User Not Mapped"/>
    <n v="341541"/>
    <s v="Jayanta Mondal"/>
    <s v="Private Retailer"/>
    <s v="9732987429"/>
    <n v="1.98"/>
    <n v="105"/>
    <x v="7"/>
    <m/>
    <s v="2026-01-05"/>
    <s v="269139"/>
    <s v="Firoj Ali"/>
    <s v="9932787296"/>
  </r>
  <r>
    <s v="RCF Thal"/>
    <s v="N.C.Urea(45kg)"/>
    <s v="WB"/>
    <x v="16"/>
    <s v="Lalgola"/>
    <s v="User Not Mapped"/>
    <s v="User Not Mapped"/>
    <s v="User Not Mapped"/>
    <n v="235739"/>
    <s v="M/S Debasis Das"/>
    <s v="Private Retailer"/>
    <s v="9733940640"/>
    <n v="9.99"/>
    <n v="32"/>
    <x v="3"/>
    <m/>
    <s v="2026-03-19"/>
    <s v="269139"/>
    <s v="Firoj Ali"/>
    <s v="9932787296"/>
  </r>
  <r>
    <s v="RCF Thal"/>
    <s v="N.C.Urea(45kg)"/>
    <s v="WB"/>
    <x v="16"/>
    <s v="Berhampore"/>
    <s v="User Not Mapped"/>
    <s v="User Not Mapped"/>
    <s v="User Not Mapped"/>
    <n v="558331"/>
    <s v="M/S MAINUL ISLAM"/>
    <s v="Private Retailer"/>
    <s v="9679999888"/>
    <n v="27"/>
    <n v="98"/>
    <x v="7"/>
    <m/>
    <s v="2026-01-12"/>
    <s v="269139"/>
    <s v="Firoj Ali"/>
    <s v="9932787296"/>
  </r>
  <r>
    <s v="RCF Trombay"/>
    <s v="N.C.Urea(45kg)"/>
    <s v="WB"/>
    <x v="16"/>
    <s v="Berhampore"/>
    <s v="User Not Mapped"/>
    <s v="User Not Mapped"/>
    <s v="User Not Mapped"/>
    <n v="558331"/>
    <s v="M/S MAINUL ISLAM"/>
    <s v="Private Retailer"/>
    <s v="9679999888"/>
    <n v="13.86"/>
    <n v="283"/>
    <x v="1"/>
    <m/>
    <s v="2025-07-11"/>
    <s v="269139"/>
    <s v="Firoj Ali"/>
    <s v="9932787296"/>
  </r>
  <r>
    <s v="RCF Thal"/>
    <s v="N.C.Urea(45kg)"/>
    <s v="WB"/>
    <x v="16"/>
    <s v="Berhampore"/>
    <s v="User Not Mapped"/>
    <s v="User Not Mapped"/>
    <s v="User Not Mapped"/>
    <n v="1029848"/>
    <s v="M/S. ROKI FERTILIZER"/>
    <s v="Private Retailer"/>
    <s v="9734531616"/>
    <n v="3.08"/>
    <n v="255"/>
    <x v="1"/>
    <m/>
    <s v="2025-08-08"/>
    <s v="269139"/>
    <s v="Firoj Ali"/>
    <s v="9932787296"/>
  </r>
  <r>
    <s v="RCF Trombay"/>
    <s v="N.C.Urea(45kg)"/>
    <s v="WB"/>
    <x v="16"/>
    <s v="Bhagawangola - I"/>
    <s v="User Not Mapped"/>
    <s v="User Not Mapped"/>
    <s v="User Not Mapped"/>
    <n v="995066"/>
    <s v="MD ASHIM AKRAM"/>
    <s v="Private Retailer"/>
    <s v="8972539980"/>
    <n v="6.21"/>
    <n v="124"/>
    <x v="4"/>
    <m/>
    <s v="2025-12-17"/>
    <s v="269139"/>
    <s v="Firoj Ali"/>
    <s v="9932787296"/>
  </r>
  <r>
    <s v="RCF Trombay"/>
    <s v="N.C.Urea(45kg)"/>
    <s v="WB"/>
    <x v="16"/>
    <s v="Bhagawangola - I"/>
    <s v="User Not Mapped"/>
    <s v="User Not Mapped"/>
    <s v="User Not Mapped"/>
    <n v="610025"/>
    <s v="MD MILON BASAR"/>
    <s v="Private Retailer"/>
    <s v="9775544717"/>
    <n v="3.96"/>
    <n v="1101"/>
    <x v="2"/>
    <m/>
    <s v="2023-04-15"/>
    <s v="269139"/>
    <s v="Firoj Ali"/>
    <s v="9932787296"/>
  </r>
  <r>
    <s v="RCF Trombay"/>
    <s v="15-15-15"/>
    <s v="WB"/>
    <x v="16"/>
    <s v="Murshidabad Jiaganj"/>
    <s v="User Not Mapped"/>
    <s v="User Not Mapped"/>
    <s v="User Not Mapped"/>
    <n v="940292"/>
    <s v="MD SAJIBUR SHAIKH"/>
    <s v="Private Retailer"/>
    <s v="9800546933"/>
    <n v="0.6"/>
    <n v="294"/>
    <x v="1"/>
    <m/>
    <s v="2025-06-30"/>
    <s v="269139"/>
    <s v="Firoj Ali"/>
    <s v="9932787296"/>
  </r>
  <r>
    <s v="RCF Trombay"/>
    <s v="N.C.Urea(45kg)"/>
    <s v="WB"/>
    <x v="16"/>
    <s v="Murshidabad Jiaganj"/>
    <s v="User Not Mapped"/>
    <s v="User Not Mapped"/>
    <s v="User Not Mapped"/>
    <n v="940292"/>
    <s v="MD SAJIBUR SHAIKH"/>
    <s v="Private Retailer"/>
    <s v="9800546933"/>
    <n v="4.32"/>
    <n v="294"/>
    <x v="1"/>
    <m/>
    <s v="2025-06-30"/>
    <s v="269139"/>
    <s v="Firoj Ali"/>
    <s v="9932787296"/>
  </r>
  <r>
    <s v="RCF Trombay"/>
    <s v="15-15-15"/>
    <s v="WB"/>
    <x v="16"/>
    <m/>
    <s v="User Not Mapped"/>
    <s v="User Not Mapped"/>
    <s v="User Not Mapped"/>
    <n v="597370"/>
    <s v="MINTU SEKH"/>
    <s v="Private Retailer"/>
    <s v="8001816012"/>
    <n v="0.15"/>
    <n v="2548"/>
    <x v="2"/>
    <m/>
    <s v="2019-04-29"/>
    <s v="269139"/>
    <s v="Firoj Ali"/>
    <s v="9932787296"/>
  </r>
  <r>
    <s v="RCF Thal"/>
    <s v="N.C.Urea(45kg)"/>
    <s v="WB"/>
    <x v="16"/>
    <m/>
    <s v="User Not Mapped"/>
    <s v="User Not Mapped"/>
    <s v="User Not Mapped"/>
    <n v="597370"/>
    <s v="MINTU SEKH"/>
    <s v="Private Retailer"/>
    <s v="8001816012"/>
    <n v="4.4999999999999998E-2"/>
    <n v="2548"/>
    <x v="2"/>
    <m/>
    <s v="2019-04-29"/>
    <s v="269139"/>
    <s v="Firoj Ali"/>
    <s v="9932787296"/>
  </r>
  <r>
    <s v="RCF Trombay"/>
    <s v="N.C.Urea(45kg)"/>
    <s v="WB"/>
    <x v="16"/>
    <m/>
    <s v="User Not Mapped"/>
    <s v="User Not Mapped"/>
    <s v="User Not Mapped"/>
    <n v="876502"/>
    <s v="MONDAL FERTILISER"/>
    <s v="Private Retailer"/>
    <s v="9475259698"/>
    <n v="0.45"/>
    <n v="2410"/>
    <x v="2"/>
    <m/>
    <s v="2019-09-14"/>
    <s v="269139"/>
    <s v="Firoj Ali"/>
    <s v="9932787296"/>
  </r>
  <r>
    <s v="RCF Import"/>
    <s v="Imp 10-26-26"/>
    <s v="WB"/>
    <x v="16"/>
    <s v="Bhagawangola - I"/>
    <s v="User Not Mapped"/>
    <s v="User Not Mapped"/>
    <s v="User Not Mapped"/>
    <n v="1541179"/>
    <s v="MST. JULEMA BIBI"/>
    <s v="Private Retailer"/>
    <s v="9832721993"/>
    <n v="3.5"/>
    <n v="236"/>
    <x v="1"/>
    <m/>
    <s v="2025-08-27"/>
    <s v="269139"/>
    <s v="Firoj Ali"/>
    <s v="9932787296"/>
  </r>
  <r>
    <s v="RCF Import"/>
    <s v="Imp 10-26-26"/>
    <s v="WB"/>
    <x v="16"/>
    <s v="Sagardighi"/>
    <s v="User Not Mapped"/>
    <s v="User Not Mapped"/>
    <s v="User Not Mapped"/>
    <n v="553440"/>
    <s v="Mumtaz Begum"/>
    <s v="Private Retailer"/>
    <s v="8001009866"/>
    <n v="0.4"/>
    <n v="255"/>
    <x v="1"/>
    <m/>
    <s v="2025-08-08"/>
    <s v="269139"/>
    <s v="Firoj Ali"/>
    <s v="9932787296"/>
  </r>
  <r>
    <s v="RCF Thal"/>
    <s v="N.C.Urea(45kg)"/>
    <s v="WB"/>
    <x v="16"/>
    <s v="Bharatpur - I"/>
    <s v="User Not Mapped"/>
    <s v="User Not Mapped"/>
    <s v="User Not Mapped"/>
    <n v="289252"/>
    <s v="Nirmal Kumar Saha"/>
    <s v="Private Retailer"/>
    <s v="9434860209"/>
    <n v="10.935"/>
    <n v="32"/>
    <x v="3"/>
    <m/>
    <s v="2026-03-19"/>
    <s v="269139"/>
    <s v="Firoj Ali"/>
    <s v="9932787296"/>
  </r>
  <r>
    <s v="RCF Thal"/>
    <s v="N.C.Urea(45kg)"/>
    <s v="WB"/>
    <x v="16"/>
    <s v="Bhagawangola - II"/>
    <s v="User Not Mapped"/>
    <s v="User Not Mapped"/>
    <s v="User Not Mapped"/>
    <n v="247484"/>
    <s v="Rabiul Haque"/>
    <s v="Private Retailer"/>
    <s v="8926510164"/>
    <n v="7.02"/>
    <n v="32"/>
    <x v="3"/>
    <m/>
    <s v="2026-03-19"/>
    <s v="269139"/>
    <s v="Firoj Ali"/>
    <s v="9932787296"/>
  </r>
  <r>
    <s v="RCF Thal"/>
    <s v="N.C.Urea(45kg)"/>
    <s v="WB"/>
    <x v="16"/>
    <s v="Hariharpara"/>
    <s v="User Not Mapped"/>
    <s v="User Not Mapped"/>
    <s v="User Not Mapped"/>
    <n v="1286605"/>
    <s v="REKSONA KHATUN"/>
    <s v="Private Retailer"/>
    <s v="9749486216"/>
    <n v="7.165"/>
    <n v="157"/>
    <x v="4"/>
    <m/>
    <s v="2025-11-14"/>
    <s v="269139"/>
    <s v="Firoj Ali"/>
    <s v="9932787296"/>
  </r>
  <r>
    <s v="RCF Trombay"/>
    <s v="N.C.Urea(45kg)"/>
    <s v="WB"/>
    <x v="16"/>
    <s v="Hariharpara"/>
    <s v="User Not Mapped"/>
    <s v="User Not Mapped"/>
    <s v="User Not Mapped"/>
    <n v="1286605"/>
    <s v="REKSONA KHATUN"/>
    <s v="Private Retailer"/>
    <s v="9749486216"/>
    <n v="11.71"/>
    <n v="157"/>
    <x v="4"/>
    <m/>
    <s v="2025-11-14"/>
    <s v="269139"/>
    <s v="Firoj Ali"/>
    <s v="9932787296"/>
  </r>
  <r>
    <s v="RCF Trombay"/>
    <s v="N.C.Urea(45kg)"/>
    <s v="WB"/>
    <x v="16"/>
    <s v="Farakka"/>
    <s v="User Not Mapped"/>
    <s v="User Not Mapped"/>
    <s v="User Not Mapped"/>
    <n v="484030"/>
    <s v="Sk Samsher Ali"/>
    <s v="Private Retailer"/>
    <s v="9733018344"/>
    <n v="5.49"/>
    <n v="1471"/>
    <x v="2"/>
    <m/>
    <s v="2022-04-10"/>
    <s v="269139"/>
    <s v="Firoj Ali"/>
    <s v="9932787296"/>
  </r>
  <r>
    <s v="RCF Thal"/>
    <s v="N.C.Urea(45kg)"/>
    <s v="WB"/>
    <x v="16"/>
    <s v="Farakka"/>
    <s v="User Not Mapped"/>
    <s v="User Not Mapped"/>
    <s v="User Not Mapped"/>
    <n v="484030"/>
    <s v="Sk Samsher Ali"/>
    <s v="Private Retailer"/>
    <s v="9733018344"/>
    <n v="9.99"/>
    <n v="240"/>
    <x v="1"/>
    <m/>
    <s v="2025-08-23"/>
    <s v="269139"/>
    <s v="Firoj Ali"/>
    <s v="9932787296"/>
  </r>
  <r>
    <s v="RCF Import"/>
    <s v="MOP"/>
    <s v="WB"/>
    <x v="16"/>
    <s v="Kandi"/>
    <s v="User Not Mapped"/>
    <s v="User Not Mapped"/>
    <s v="User Not Mapped"/>
    <n v="945303"/>
    <s v="TAPASH SAHA"/>
    <s v="Private Retailer"/>
    <s v="7872079462"/>
    <n v="0.1"/>
    <n v="443"/>
    <x v="0"/>
    <m/>
    <s v="2025-02-01"/>
    <s v="269139"/>
    <s v="Firoj Ali"/>
    <s v="9932787296"/>
  </r>
  <r>
    <s v="RCF Thal"/>
    <s v="N.C.Urea(45kg)"/>
    <s v="WB"/>
    <x v="16"/>
    <s v="Murshidabad Jiaganj"/>
    <s v="User Not Mapped"/>
    <s v="User Not Mapped"/>
    <s v="User Not Mapped"/>
    <n v="603690"/>
    <s v="DIPANKAR DAS"/>
    <s v="Private Retailer"/>
    <s v="8145348851"/>
    <n v="4.8250000000000002"/>
    <n v="42"/>
    <x v="3"/>
    <m/>
    <s v="2026-03-09"/>
    <s v="289310"/>
    <s v="Gopal Fertilizer"/>
    <s v="8170003423"/>
  </r>
  <r>
    <s v="RCF Import"/>
    <s v="MOP"/>
    <s v="WB"/>
    <x v="16"/>
    <s v="Raghunathganj - II"/>
    <s v="User Not Mapped"/>
    <s v="User Not Mapped"/>
    <s v="User Not Mapped"/>
    <n v="1475345"/>
    <s v="FULLTUSHI KRISHI GHAR"/>
    <s v="Private Retailer"/>
    <s v="8637547308"/>
    <n v="0.55000000000000004"/>
    <n v="474"/>
    <x v="0"/>
    <m/>
    <s v="2025-01-01"/>
    <s v="289310"/>
    <s v="Gopal Fertilizer"/>
    <s v="8170003423"/>
  </r>
  <r>
    <s v="RCF Trombay"/>
    <s v="15-15-15"/>
    <s v="WB"/>
    <x v="16"/>
    <s v="Murshidabad Jiaganj"/>
    <s v="User Not Mapped"/>
    <s v="User Not Mapped"/>
    <s v="User Not Mapped"/>
    <n v="354998"/>
    <s v="Gopal Fertilizer"/>
    <s v="Private Retailer"/>
    <s v="7076732185"/>
    <n v="4.25"/>
    <n v="4"/>
    <x v="5"/>
    <m/>
    <s v="2026-04-16"/>
    <s v="289310"/>
    <s v="Gopal Fertilizer"/>
    <s v="8170003423"/>
  </r>
  <r>
    <s v="RCF Trombay"/>
    <s v="N.C.Urea(45kg)"/>
    <s v="WB"/>
    <x v="16"/>
    <s v="Murshidabad Jiaganj"/>
    <s v="User Not Mapped"/>
    <s v="User Not Mapped"/>
    <s v="User Not Mapped"/>
    <n v="354998"/>
    <s v="Gopal Fertilizer"/>
    <s v="Private Retailer"/>
    <s v="7076732185"/>
    <n v="7.73"/>
    <n v="16"/>
    <x v="5"/>
    <m/>
    <s v="2026-04-04"/>
    <s v="289310"/>
    <s v="Gopal Fertilizer"/>
    <s v="8170003423"/>
  </r>
  <r>
    <s v="RCF Thal"/>
    <s v="N.C.Urea(45kg)"/>
    <s v="WB"/>
    <x v="16"/>
    <s v="Bhagawangola - II"/>
    <s v="User Not Mapped"/>
    <s v="User Not Mapped"/>
    <s v="User Not Mapped"/>
    <n v="289188"/>
    <s v="Gour Gopal Mondal"/>
    <s v="Private Retailer"/>
    <s v="7584986591"/>
    <n v="7.02"/>
    <n v="42"/>
    <x v="3"/>
    <m/>
    <s v="2026-03-09"/>
    <s v="289310"/>
    <s v="Gopal Fertilizer"/>
    <s v="8170003423"/>
  </r>
  <r>
    <s v="RCF Thal"/>
    <s v="N.C.Urea(45kg)"/>
    <s v="WB"/>
    <x v="16"/>
    <s v="Bhagawangola - I"/>
    <s v="User Not Mapped"/>
    <s v="User Not Mapped"/>
    <s v="User Not Mapped"/>
    <n v="593923"/>
    <s v="GOUTAM KUMAR DAS"/>
    <s v="Private Retailer"/>
    <s v="8145053832"/>
    <n v="7.02"/>
    <n v="42"/>
    <x v="3"/>
    <m/>
    <s v="2026-03-09"/>
    <s v="289310"/>
    <s v="Gopal Fertilizer"/>
    <s v="8170003423"/>
  </r>
  <r>
    <s v="RCF Thal"/>
    <s v="N.C.Urea(45kg)"/>
    <s v="WB"/>
    <x v="16"/>
    <s v="Raninagar - I"/>
    <s v="User Not Mapped"/>
    <s v="User Not Mapped"/>
    <s v="User Not Mapped"/>
    <n v="459658"/>
    <s v="Harendra Nath Mondal"/>
    <s v="Private Retailer"/>
    <s v="7029969108"/>
    <n v="3.33"/>
    <n v="42"/>
    <x v="3"/>
    <m/>
    <s v="2026-03-09"/>
    <s v="289310"/>
    <s v="Gopal Fertilizer"/>
    <s v="8170003423"/>
  </r>
  <r>
    <s v="RCF Thal"/>
    <s v="N.C.Urea(45kg)"/>
    <s v="WB"/>
    <x v="16"/>
    <s v="Murshidabad Jiaganj"/>
    <s v="User Not Mapped"/>
    <s v="User Not Mapped"/>
    <s v="User Not Mapped"/>
    <n v="1029612"/>
    <s v="MIRA KHATUN"/>
    <s v="Private Retailer"/>
    <s v="9641361946"/>
    <n v="0.02"/>
    <n v="111"/>
    <x v="7"/>
    <m/>
    <s v="2025-12-30"/>
    <s v="289310"/>
    <s v="Gopal Fertilizer"/>
    <s v="8170003423"/>
  </r>
  <r>
    <s v="RCF Trombay"/>
    <s v="N.C.Urea(45kg)"/>
    <s v="WB"/>
    <x v="16"/>
    <s v="Murshidabad Jiaganj"/>
    <s v="User Not Mapped"/>
    <s v="User Not Mapped"/>
    <s v="User Not Mapped"/>
    <n v="1029612"/>
    <s v="MIRA KHATUN"/>
    <s v="Private Retailer"/>
    <s v="9641361946"/>
    <n v="0.03"/>
    <n v="83"/>
    <x v="6"/>
    <m/>
    <s v="2026-01-27"/>
    <s v="289310"/>
    <s v="Gopal Fertilizer"/>
    <s v="8170003423"/>
  </r>
  <r>
    <s v="RCF Trombay"/>
    <s v="15-15-15"/>
    <s v="WB"/>
    <x v="16"/>
    <s v="Murshidabad Jiaganj"/>
    <s v="User Not Mapped"/>
    <s v="User Not Mapped"/>
    <s v="User Not Mapped"/>
    <n v="1029612"/>
    <s v="MIRA KHATUN"/>
    <s v="Private Retailer"/>
    <s v="9641361946"/>
    <n v="1"/>
    <n v="83"/>
    <x v="6"/>
    <m/>
    <s v="2026-01-27"/>
    <s v="289310"/>
    <s v="Gopal Fertilizer"/>
    <s v="8170003423"/>
  </r>
  <r>
    <s v="RCF Thal"/>
    <s v="N.C.Urea(45kg)"/>
    <s v="WB"/>
    <x v="16"/>
    <s v="Murshidabad Jiaganj"/>
    <s v="User Not Mapped"/>
    <s v="User Not Mapped"/>
    <s v="User Not Mapped"/>
    <n v="1236311"/>
    <s v="NABIRUL ISLAM"/>
    <s v="Private Retailer"/>
    <s v="9735450676"/>
    <n v="2.97"/>
    <n v="42"/>
    <x v="3"/>
    <m/>
    <s v="2026-03-09"/>
    <s v="289310"/>
    <s v="Gopal Fertilizer"/>
    <s v="8170003423"/>
  </r>
  <r>
    <s v="RCF Trombay"/>
    <s v="15-15-15"/>
    <s v="WB"/>
    <x v="16"/>
    <s v="Bhagawangola - II"/>
    <s v="User Not Mapped"/>
    <s v="User Not Mapped"/>
    <s v="User Not Mapped"/>
    <n v="599999"/>
    <s v="NIHARANJAN SARKAR"/>
    <s v="Private Retailer"/>
    <s v="9679853785"/>
    <n v="7"/>
    <n v="39"/>
    <x v="3"/>
    <m/>
    <s v="2026-03-12"/>
    <s v="289310"/>
    <s v="Gopal Fertilizer"/>
    <s v="8170003423"/>
  </r>
  <r>
    <s v="RCF Trombay"/>
    <s v="N.C.Urea(45kg)"/>
    <s v="WB"/>
    <x v="16"/>
    <s v="Bhagawangola - II"/>
    <s v="User Not Mapped"/>
    <s v="User Not Mapped"/>
    <s v="User Not Mapped"/>
    <n v="599999"/>
    <s v="NIHARANJAN SARKAR"/>
    <s v="Private Retailer"/>
    <s v="9679853785"/>
    <n v="7.25"/>
    <n v="83"/>
    <x v="6"/>
    <m/>
    <s v="2026-01-27"/>
    <s v="289310"/>
    <s v="Gopal Fertilizer"/>
    <s v="8170003423"/>
  </r>
  <r>
    <s v="RCF Trombay"/>
    <s v="N.C.Urea(45kg)"/>
    <s v="WB"/>
    <x v="16"/>
    <s v="Bhagawangola - II"/>
    <s v="User Not Mapped"/>
    <s v="User Not Mapped"/>
    <s v="User Not Mapped"/>
    <n v="599999"/>
    <s v="NIHARANJAN SARKAR"/>
    <s v="Private Retailer"/>
    <s v="9679853785"/>
    <n v="3"/>
    <n v="39"/>
    <x v="3"/>
    <m/>
    <s v="2026-03-12"/>
    <s v="289310"/>
    <s v="Gopal Fertilizer"/>
    <s v="8170003423"/>
  </r>
  <r>
    <s v="RCF Thal"/>
    <s v="N.C.Urea(45kg)"/>
    <s v="WB"/>
    <x v="16"/>
    <s v="Bhagawangola - II"/>
    <s v="User Not Mapped"/>
    <s v="User Not Mapped"/>
    <s v="User Not Mapped"/>
    <n v="599999"/>
    <s v="NIHARANJAN SARKAR"/>
    <s v="Private Retailer"/>
    <s v="9679853785"/>
    <n v="7.02"/>
    <n v="42"/>
    <x v="3"/>
    <m/>
    <s v="2026-03-09"/>
    <s v="289310"/>
    <s v="Gopal Fertilizer"/>
    <s v="8170003423"/>
  </r>
  <r>
    <s v="RCF Trombay"/>
    <s v="15-15-15"/>
    <s v="WB"/>
    <x v="16"/>
    <s v="Bhagawangola - II"/>
    <s v="User Not Mapped"/>
    <s v="User Not Mapped"/>
    <s v="User Not Mapped"/>
    <n v="599999"/>
    <s v="NIHARANJAN SARKAR"/>
    <s v="Private Retailer"/>
    <s v="9679853785"/>
    <n v="3.75"/>
    <n v="83"/>
    <x v="6"/>
    <m/>
    <s v="2026-01-27"/>
    <s v="289310"/>
    <s v="Gopal Fertilizer"/>
    <s v="8170003423"/>
  </r>
  <r>
    <s v="RCF Trombay"/>
    <s v="15-15-15"/>
    <s v="WB"/>
    <x v="16"/>
    <s v="Lalgola"/>
    <s v="User Not Mapped"/>
    <s v="User Not Mapped"/>
    <s v="User Not Mapped"/>
    <n v="1524790"/>
    <s v="NIRANANDA DAS"/>
    <s v="Private Retailer"/>
    <s v="9635326757"/>
    <n v="0.8"/>
    <n v="83"/>
    <x v="6"/>
    <m/>
    <s v="2026-01-27"/>
    <s v="289310"/>
    <s v="Gopal Fertilizer"/>
    <s v="8170003423"/>
  </r>
  <r>
    <s v="RCF Trombay"/>
    <s v="N.C.Urea(45kg)"/>
    <s v="WB"/>
    <x v="16"/>
    <s v="Raninagar - I"/>
    <s v="User Not Mapped"/>
    <s v="User Not Mapped"/>
    <s v="User Not Mapped"/>
    <n v="342118"/>
    <s v="Nitish Kumar  Mondal"/>
    <s v="Private Retailer"/>
    <s v="9153910792"/>
    <n v="0.28999999999999998"/>
    <n v="83"/>
    <x v="6"/>
    <m/>
    <s v="2026-01-27"/>
    <s v="289310"/>
    <s v="Gopal Fertilizer"/>
    <s v="8170003423"/>
  </r>
  <r>
    <s v="RCF Trombay"/>
    <s v="15-15-15"/>
    <s v="WB"/>
    <x v="16"/>
    <s v="Raninagar - I"/>
    <s v="User Not Mapped"/>
    <s v="User Not Mapped"/>
    <s v="User Not Mapped"/>
    <n v="342118"/>
    <s v="Nitish Kumar  Mondal"/>
    <s v="Private Retailer"/>
    <s v="9153910792"/>
    <n v="2.5"/>
    <n v="83"/>
    <x v="6"/>
    <m/>
    <s v="2026-01-27"/>
    <s v="289310"/>
    <s v="Gopal Fertilizer"/>
    <s v="8170003423"/>
  </r>
  <r>
    <s v="RCF Import"/>
    <s v="Imp 10-26-26"/>
    <s v="WB"/>
    <x v="16"/>
    <s v="Murshidabad Jiaganj"/>
    <s v="User Not Mapped"/>
    <s v="User Not Mapped"/>
    <s v="User Not Mapped"/>
    <n v="355973"/>
    <s v="Radhamadhab Fertilizer"/>
    <s v="Private Retailer"/>
    <s v="8170003892"/>
    <n v="1"/>
    <n v="16"/>
    <x v="5"/>
    <m/>
    <s v="2026-04-04"/>
    <s v="289310"/>
    <s v="Gopal Fertilizer"/>
    <s v="8170003423"/>
  </r>
  <r>
    <s v="RCF Trombay"/>
    <s v="N.C.Urea(45kg)"/>
    <s v="WB"/>
    <x v="16"/>
    <s v="Nabagram"/>
    <s v="User Not Mapped"/>
    <s v="User Not Mapped"/>
    <s v="User Not Mapped"/>
    <n v="342551"/>
    <s v="Sanjoy Kumar Mondal"/>
    <s v="Private Retailer"/>
    <s v="7430088741"/>
    <n v="0.03"/>
    <n v="149"/>
    <x v="4"/>
    <m/>
    <s v="2025-11-22"/>
    <s v="289310"/>
    <s v="Gopal Fertilizer"/>
    <s v="8170003423"/>
  </r>
  <r>
    <s v="RCF Thal"/>
    <s v="N.C.Urea(45kg)"/>
    <s v="WB"/>
    <x v="16"/>
    <s v="Bhagawangola - II"/>
    <s v="User Not Mapped"/>
    <s v="User Not Mapped"/>
    <s v="User Not Mapped"/>
    <n v="270541"/>
    <s v="Sokhina Bibi"/>
    <s v="Private Retailer"/>
    <s v="9609220484"/>
    <n v="0.73"/>
    <n v="111"/>
    <x v="7"/>
    <m/>
    <s v="2025-12-30"/>
    <s v="289310"/>
    <s v="Gopal Fertilizer"/>
    <s v="8170003423"/>
  </r>
  <r>
    <s v="RCF Trombay"/>
    <s v="15-15-15"/>
    <s v="WB"/>
    <x v="16"/>
    <s v="Bhagawangola - I"/>
    <s v="User Not Mapped"/>
    <s v="User Not Mapped"/>
    <s v="User Not Mapped"/>
    <n v="235804"/>
    <s v="Subir Kumar Das"/>
    <s v="Private Retailer"/>
    <s v="8670478011"/>
    <n v="2.9"/>
    <n v="83"/>
    <x v="6"/>
    <m/>
    <s v="2026-01-27"/>
    <s v="289310"/>
    <s v="Gopal Fertilizer"/>
    <s v="8170003423"/>
  </r>
  <r>
    <s v="RCF Trombay"/>
    <s v="15-15-15"/>
    <s v="WB"/>
    <x v="16"/>
    <s v="Bhagawangola - I"/>
    <s v="User Not Mapped"/>
    <s v="User Not Mapped"/>
    <s v="User Not Mapped"/>
    <n v="235804"/>
    <s v="Subir Kumar Das"/>
    <s v="Private Retailer"/>
    <s v="8670478011"/>
    <n v="7"/>
    <n v="39"/>
    <x v="3"/>
    <m/>
    <s v="2026-03-12"/>
    <s v="289310"/>
    <s v="Gopal Fertilizer"/>
    <s v="8170003423"/>
  </r>
  <r>
    <s v="RCF Trombay"/>
    <s v="15-15-15"/>
    <s v="WB"/>
    <x v="16"/>
    <s v="Bhagawangola - II"/>
    <s v="User Not Mapped"/>
    <s v="User Not Mapped"/>
    <s v="User Not Mapped"/>
    <n v="1576575"/>
    <s v="TARIKUL ISLAM"/>
    <s v="Private Retailer"/>
    <s v="9153165350"/>
    <n v="0.5"/>
    <n v="271"/>
    <x v="1"/>
    <m/>
    <s v="2025-07-23"/>
    <s v="289310"/>
    <s v="Gopal Fertilizer"/>
    <s v="8170003423"/>
  </r>
  <r>
    <s v="RCF Thal"/>
    <s v="N.C.Urea(45kg)"/>
    <s v="WB"/>
    <x v="16"/>
    <s v="Bhagawangola - II"/>
    <s v="User Not Mapped"/>
    <s v="User Not Mapped"/>
    <s v="User Not Mapped"/>
    <n v="623099"/>
    <s v="TIPU SULTAN FERTILISER"/>
    <s v="Private Retailer"/>
    <s v="9002087881"/>
    <n v="3.15"/>
    <n v="111"/>
    <x v="7"/>
    <m/>
    <s v="2025-12-30"/>
    <s v="289310"/>
    <s v="Gopal Fertilizer"/>
    <s v="8170003423"/>
  </r>
  <r>
    <s v="RCF Thal"/>
    <s v="N.C.Urea(45kg)"/>
    <s v="WB"/>
    <x v="16"/>
    <s v="Bhagawangola - I"/>
    <s v="User Not Mapped"/>
    <s v="User Not Mapped"/>
    <s v="User Not Mapped"/>
    <n v="1054083"/>
    <s v="UJJAL CHANDRA DAS"/>
    <s v="Private Retailer"/>
    <s v="9749175489"/>
    <n v="1.53"/>
    <n v="286"/>
    <x v="1"/>
    <m/>
    <s v="2025-07-08"/>
    <s v="289310"/>
    <s v="Gopal Fertilizer"/>
    <s v="8170003423"/>
  </r>
  <r>
    <s v="RCF Trombay"/>
    <s v="N.C.Urea(45kg)"/>
    <s v="WB"/>
    <x v="16"/>
    <s v="Sagardighi"/>
    <s v="User Not Mapped"/>
    <s v="User Not Mapped"/>
    <s v="User Not Mapped"/>
    <n v="269480"/>
    <s v="Harhari Skus Ltd"/>
    <s v="PACS"/>
    <s v="9434394715"/>
    <n v="8.4149999999999991"/>
    <n v="29"/>
    <x v="5"/>
    <m/>
    <s v="2026-03-22"/>
    <s v="1050194"/>
    <s v="HARHARI SKUS LTD"/>
    <s v="9434394715"/>
  </r>
  <r>
    <s v="RCF Thal"/>
    <s v="N.C.Urea(45kg)"/>
    <s v="WB"/>
    <x v="16"/>
    <m/>
    <s v="User Not Mapped"/>
    <s v="User Not Mapped"/>
    <s v="User Not Mapped"/>
    <n v="873912"/>
    <s v="MD SABIR AKBAR AMED"/>
    <s v="Private Retailer"/>
    <s v="9775294127"/>
    <n v="7.02"/>
    <n v="40"/>
    <x v="3"/>
    <m/>
    <s v="2026-03-11"/>
    <s v="589743"/>
    <s v="JOY SHANKAR DUTTA &amp; SONS FERTI"/>
    <s v="7699039330"/>
  </r>
  <r>
    <s v="RCF Trombay"/>
    <s v="N.C.Urea(45kg)"/>
    <s v="WB"/>
    <x v="16"/>
    <s v="Burwan"/>
    <s v="User Not Mapped"/>
    <s v="User Not Mapped"/>
    <s v="User Not Mapped"/>
    <n v="1325660"/>
    <s v="SUJIT KUMAR PAL"/>
    <s v="Private Retailer"/>
    <s v="6294581873"/>
    <n v="0.04"/>
    <n v="1269"/>
    <x v="2"/>
    <m/>
    <s v="2022-10-29"/>
    <s v="223290"/>
    <s v="Joydev Paul"/>
    <s v="9474318098"/>
  </r>
  <r>
    <s v="RCF Trombay"/>
    <s v="15-15-15"/>
    <s v="WB"/>
    <x v="16"/>
    <s v="Murshidabad Jiaganj"/>
    <s v="User Not Mapped"/>
    <s v="User Not Mapped"/>
    <s v="User Not Mapped"/>
    <n v="235584"/>
    <s v="Ashutosh Das"/>
    <s v="Private Retailer"/>
    <s v="9434859178"/>
    <n v="0.5"/>
    <n v="84"/>
    <x v="6"/>
    <m/>
    <s v="2026-01-26"/>
    <s v="465152"/>
    <s v="Keshri Mal Jain"/>
    <s v="9932820672"/>
  </r>
  <r>
    <s v="RCF Trombay"/>
    <s v="15-15-15"/>
    <s v="WB"/>
    <x v="16"/>
    <s v="Sagardighi"/>
    <s v="User Not Mapped"/>
    <s v="User Not Mapped"/>
    <s v="User Not Mapped"/>
    <n v="252249"/>
    <s v="Badaruddin Ahmed"/>
    <s v="Private Retailer"/>
    <s v="9002518466"/>
    <n v="0.05"/>
    <n v="354"/>
    <x v="1"/>
    <m/>
    <s v="2025-05-01"/>
    <s v="465152"/>
    <s v="Keshri Mal Jain"/>
    <s v="9932820672"/>
  </r>
  <r>
    <s v="RCF Trombay"/>
    <s v="15-15-15"/>
    <s v="WB"/>
    <x v="16"/>
    <s v="Lalgola"/>
    <s v="User Not Mapped"/>
    <s v="User Not Mapped"/>
    <s v="User Not Mapped"/>
    <n v="354763"/>
    <s v="Baduruddin Sarkar"/>
    <s v="Private Retailer"/>
    <s v="9732653906"/>
    <n v="3.5"/>
    <n v="40"/>
    <x v="3"/>
    <m/>
    <s v="2026-03-11"/>
    <s v="465152"/>
    <s v="Keshri Mal Jain"/>
    <s v="9932820672"/>
  </r>
  <r>
    <s v="RCF Trombay"/>
    <s v="15-15-15"/>
    <s v="WB"/>
    <x v="16"/>
    <s v="Lalgola"/>
    <s v="User Not Mapped"/>
    <s v="User Not Mapped"/>
    <s v="User Not Mapped"/>
    <n v="354763"/>
    <s v="Baduruddin Sarkar"/>
    <s v="Private Retailer"/>
    <s v="9732653906"/>
    <n v="4"/>
    <n v="84"/>
    <x v="6"/>
    <m/>
    <s v="2026-01-26"/>
    <s v="465152"/>
    <s v="Keshri Mal Jain"/>
    <s v="9932820672"/>
  </r>
  <r>
    <s v="RCF Import"/>
    <s v="Imp 10-26-26"/>
    <s v="WB"/>
    <x v="16"/>
    <s v="Berhampore"/>
    <s v="User Not Mapped"/>
    <s v="User Not Mapped"/>
    <s v="User Not Mapped"/>
    <n v="482164"/>
    <s v="Gajendra Nath Das"/>
    <s v="Private Retailer"/>
    <s v="9733589158"/>
    <n v="0.5"/>
    <n v="7"/>
    <x v="5"/>
    <m/>
    <s v="2026-04-13"/>
    <s v="465152"/>
    <s v="Keshri Mal Jain"/>
    <s v="9932820672"/>
  </r>
  <r>
    <s v="RCF Trombay"/>
    <s v="15-15-15"/>
    <s v="WB"/>
    <x v="16"/>
    <m/>
    <s v="User Not Mapped"/>
    <s v="User Not Mapped"/>
    <s v="User Not Mapped"/>
    <n v="270153"/>
    <s v="Kamrujjman"/>
    <s v="Private Retailer"/>
    <s v="9800102017"/>
    <n v="0.3"/>
    <n v="361"/>
    <x v="1"/>
    <m/>
    <s v="2025-04-24"/>
    <s v="465152"/>
    <s v="Keshri Mal Jain"/>
    <s v="9932820672"/>
  </r>
  <r>
    <s v="RCF Trombay"/>
    <s v="15-15-15"/>
    <s v="WB"/>
    <x v="16"/>
    <s v="Bhagawangola - I"/>
    <s v="User Not Mapped"/>
    <s v="User Not Mapped"/>
    <s v="User Not Mapped"/>
    <n v="457328"/>
    <s v="Md Samsul Haque"/>
    <s v="Private Retailer"/>
    <s v="9051621048"/>
    <n v="1.75"/>
    <n v="40"/>
    <x v="3"/>
    <m/>
    <s v="2026-03-11"/>
    <s v="465152"/>
    <s v="Keshri Mal Jain"/>
    <s v="9932820672"/>
  </r>
  <r>
    <s v="RCF Trombay"/>
    <s v="15-15-15"/>
    <s v="WB"/>
    <x v="16"/>
    <s v="Lalgola"/>
    <s v="User Not Mapped"/>
    <s v="User Not Mapped"/>
    <s v="User Not Mapped"/>
    <n v="341907"/>
    <s v="Md. Nurabul Alam"/>
    <s v="Private Retailer"/>
    <s v="9732889880"/>
    <n v="5"/>
    <n v="40"/>
    <x v="3"/>
    <m/>
    <s v="2026-03-11"/>
    <s v="465152"/>
    <s v="Keshri Mal Jain"/>
    <s v="9932820672"/>
  </r>
  <r>
    <s v="RCF Trombay"/>
    <s v="15-15-15"/>
    <s v="WB"/>
    <x v="16"/>
    <s v="Lalgola"/>
    <s v="User Not Mapped"/>
    <s v="User Not Mapped"/>
    <s v="User Not Mapped"/>
    <n v="341907"/>
    <s v="Md. Nurabul Alam"/>
    <s v="Private Retailer"/>
    <s v="9732889880"/>
    <n v="0.05"/>
    <n v="84"/>
    <x v="6"/>
    <m/>
    <s v="2026-01-26"/>
    <s v="465152"/>
    <s v="Keshri Mal Jain"/>
    <s v="9932820672"/>
  </r>
  <r>
    <s v="RCF Thal"/>
    <s v="N.C.Urea(45kg)"/>
    <s v="WB"/>
    <x v="16"/>
    <s v="Berhampore"/>
    <s v="User Not Mapped"/>
    <s v="User Not Mapped"/>
    <s v="User Not Mapped"/>
    <n v="436300"/>
    <s v="Muktipada Nandi"/>
    <s v="Private Retailer"/>
    <s v="9002843810"/>
    <n v="3.0150000000000001"/>
    <n v="42"/>
    <x v="3"/>
    <m/>
    <s v="2026-03-09"/>
    <s v="465152"/>
    <s v="Keshri Mal Jain"/>
    <s v="9932820672"/>
  </r>
  <r>
    <s v="RCF Trombay"/>
    <s v="N.C.Urea(45kg)"/>
    <s v="WB"/>
    <x v="16"/>
    <s v="Murshidabad Jiaganj"/>
    <s v="User Not Mapped"/>
    <s v="User Not Mapped"/>
    <s v="User Not Mapped"/>
    <n v="479689"/>
    <s v="Sachin Enterprise"/>
    <s v="Private Retailer"/>
    <s v="8145187101"/>
    <n v="0.45"/>
    <n v="40"/>
    <x v="3"/>
    <m/>
    <s v="2026-03-11"/>
    <s v="465152"/>
    <s v="Keshri Mal Jain"/>
    <s v="9932820672"/>
  </r>
  <r>
    <s v="RCF Trombay"/>
    <s v="15-15-15"/>
    <s v="WB"/>
    <x v="16"/>
    <s v="Murshidabad Jiaganj"/>
    <s v="User Not Mapped"/>
    <s v="User Not Mapped"/>
    <s v="User Not Mapped"/>
    <n v="479689"/>
    <s v="Sachin Enterprise"/>
    <s v="Private Retailer"/>
    <s v="8145187101"/>
    <n v="1.5"/>
    <n v="40"/>
    <x v="3"/>
    <m/>
    <s v="2026-03-11"/>
    <s v="465152"/>
    <s v="Keshri Mal Jain"/>
    <s v="9932820672"/>
  </r>
  <r>
    <s v="RCF Trombay"/>
    <s v="15-15-15"/>
    <s v="WB"/>
    <x v="16"/>
    <s v="Murshidabad Jiaganj"/>
    <s v="User Not Mapped"/>
    <s v="User Not Mapped"/>
    <s v="User Not Mapped"/>
    <n v="479689"/>
    <s v="Sachin Enterprise"/>
    <s v="Private Retailer"/>
    <s v="8145187101"/>
    <n v="1.45"/>
    <n v="150"/>
    <x v="4"/>
    <m/>
    <s v="2025-11-21"/>
    <s v="465152"/>
    <s v="Keshri Mal Jain"/>
    <s v="9932820672"/>
  </r>
  <r>
    <s v="RCF Trombay"/>
    <s v="15-15-15"/>
    <s v="WB"/>
    <x v="16"/>
    <s v="Murshidabad Jiaganj"/>
    <s v="User Not Mapped"/>
    <s v="User Not Mapped"/>
    <s v="User Not Mapped"/>
    <n v="270537"/>
    <s v="Shyamal Kumar Mondal"/>
    <s v="Private Retailer"/>
    <s v="9734426924"/>
    <n v="2"/>
    <n v="40"/>
    <x v="3"/>
    <m/>
    <s v="2026-03-11"/>
    <s v="465152"/>
    <s v="Keshri Mal Jain"/>
    <s v="9932820672"/>
  </r>
  <r>
    <s v="RCF Trombay"/>
    <s v="N.C.Urea(45kg)"/>
    <s v="WB"/>
    <x v="16"/>
    <s v="Murshidabad Jiaganj"/>
    <s v="User Not Mapped"/>
    <s v="User Not Mapped"/>
    <s v="User Not Mapped"/>
    <n v="270537"/>
    <s v="Shyamal Kumar Mondal"/>
    <s v="Private Retailer"/>
    <s v="9734426924"/>
    <n v="1.125"/>
    <n v="40"/>
    <x v="3"/>
    <m/>
    <s v="2026-03-11"/>
    <s v="465152"/>
    <s v="Keshri Mal Jain"/>
    <s v="9932820672"/>
  </r>
  <r>
    <s v="RCF Trombay"/>
    <s v="15-15-15"/>
    <s v="WB"/>
    <x v="16"/>
    <s v="Murshidabad Jiaganj"/>
    <s v="User Not Mapped"/>
    <s v="User Not Mapped"/>
    <s v="User Not Mapped"/>
    <n v="235807"/>
    <s v="Sunil Kumar Kundu"/>
    <s v="Private Retailer"/>
    <s v="9732580847"/>
    <n v="1.8"/>
    <n v="150"/>
    <x v="4"/>
    <m/>
    <s v="2025-11-21"/>
    <s v="465152"/>
    <s v="Keshri Mal Jain"/>
    <s v="9932820672"/>
  </r>
  <r>
    <s v="RCF Thal"/>
    <s v="N.C.Urea(45kg)"/>
    <s v="WB"/>
    <x v="16"/>
    <s v="Murshidabad Jiaganj"/>
    <s v="User Not Mapped"/>
    <s v="User Not Mapped"/>
    <s v="User Not Mapped"/>
    <n v="235807"/>
    <s v="Sunil Kumar Kundu"/>
    <s v="Private Retailer"/>
    <s v="9732580847"/>
    <n v="10.035"/>
    <n v="42"/>
    <x v="3"/>
    <m/>
    <s v="2026-03-09"/>
    <s v="465152"/>
    <s v="Keshri Mal Jain"/>
    <s v="9932820672"/>
  </r>
  <r>
    <s v="RCF Import"/>
    <s v="Imp 10-26-26"/>
    <s v="WB"/>
    <x v="16"/>
    <s v="Murshidabad Jiaganj"/>
    <s v="User Not Mapped"/>
    <s v="User Not Mapped"/>
    <s v="User Not Mapped"/>
    <n v="235807"/>
    <s v="Sunil Kumar Kundu"/>
    <s v="Private Retailer"/>
    <s v="9732580847"/>
    <n v="3.25"/>
    <n v="77"/>
    <x v="6"/>
    <m/>
    <s v="2026-02-02"/>
    <s v="465152"/>
    <s v="Keshri Mal Jain"/>
    <s v="9932820672"/>
  </r>
  <r>
    <s v="RCF Trombay"/>
    <s v="N.C.Urea(45kg)"/>
    <s v="WB"/>
    <x v="16"/>
    <m/>
    <s v="User Not Mapped"/>
    <s v="User Not Mapped"/>
    <s v="User Not Mapped"/>
    <n v="1059374"/>
    <s v="BISWAS FERTILIZER"/>
    <s v="Private Retailer"/>
    <s v="8640971120"/>
    <n v="6.12"/>
    <n v="1396"/>
    <x v="2"/>
    <m/>
    <s v="2022-06-24"/>
    <s v="1116227"/>
    <s v="KISHAN BANDHU"/>
    <s v="9732811913"/>
  </r>
  <r>
    <s v="RCF Trombay"/>
    <s v="15-15-15"/>
    <s v="WB"/>
    <x v="16"/>
    <m/>
    <s v="User Not Mapped"/>
    <s v="User Not Mapped"/>
    <s v="User Not Mapped"/>
    <n v="1059374"/>
    <s v="BISWAS FERTILIZER"/>
    <s v="Private Retailer"/>
    <s v="8640971120"/>
    <n v="2.25"/>
    <n v="1396"/>
    <x v="2"/>
    <m/>
    <s v="2022-06-24"/>
    <s v="1116227"/>
    <s v="KISHAN BANDHU"/>
    <s v="9732811913"/>
  </r>
  <r>
    <s v="RCF Trombay"/>
    <s v="15-15-15"/>
    <s v="WB"/>
    <x v="16"/>
    <s v="Berhampore"/>
    <s v="User Not Mapped"/>
    <s v="User Not Mapped"/>
    <s v="User Not Mapped"/>
    <n v="1249196"/>
    <s v="JAMILA KHATUN"/>
    <s v="Private Retailer"/>
    <s v="9382487068"/>
    <n v="1"/>
    <n v="1097"/>
    <x v="2"/>
    <m/>
    <s v="2023-04-19"/>
    <s v="1116227"/>
    <s v="KISHAN BANDHU"/>
    <s v="9732811913"/>
  </r>
  <r>
    <s v="RCF Trombay"/>
    <s v="15-15-15"/>
    <s v="WB"/>
    <x v="16"/>
    <s v="Lalgola"/>
    <s v="User Not Mapped"/>
    <s v="User Not Mapped"/>
    <s v="User Not Mapped"/>
    <n v="994826"/>
    <s v="KISHAN BANDHU"/>
    <s v="Private Retailer"/>
    <s v="9733773222"/>
    <n v="4"/>
    <n v="37"/>
    <x v="3"/>
    <m/>
    <s v="2026-03-14"/>
    <s v="1116227"/>
    <s v="KISHAN BANDHU"/>
    <s v="9732811913"/>
  </r>
  <r>
    <s v="RCF Thal"/>
    <s v="N.C.Urea(45kg)"/>
    <s v="WB"/>
    <x v="16"/>
    <s v="Lalgola"/>
    <s v="User Not Mapped"/>
    <s v="User Not Mapped"/>
    <s v="User Not Mapped"/>
    <n v="1059400"/>
    <s v="MST JAIBAN NESHA"/>
    <s v="Private Retailer"/>
    <s v="9093261036"/>
    <n v="4.5"/>
    <n v="280"/>
    <x v="1"/>
    <m/>
    <s v="2025-07-14"/>
    <s v="1116227"/>
    <s v="KISHAN BANDHU"/>
    <s v="9732811913"/>
  </r>
  <r>
    <s v="RCF Trombay"/>
    <s v="15-15-15"/>
    <s v="WB"/>
    <x v="16"/>
    <s v="Lalgola"/>
    <s v="User Not Mapped"/>
    <s v="User Not Mapped"/>
    <s v="User Not Mapped"/>
    <n v="867683"/>
    <s v="Sirifa Bibi"/>
    <s v="Private Retailer"/>
    <s v="8609489532"/>
    <n v="3"/>
    <n v="37"/>
    <x v="3"/>
    <m/>
    <s v="2026-03-14"/>
    <s v="1116227"/>
    <s v="KISHAN BANDHU"/>
    <s v="9732811913"/>
  </r>
  <r>
    <s v="RCF Trombay"/>
    <s v="15-15-15"/>
    <s v="WB"/>
    <x v="16"/>
    <s v="Berhampore"/>
    <s v="User Not Mapped"/>
    <s v="User Not Mapped"/>
    <s v="User Not Mapped"/>
    <n v="462054"/>
    <s v="Tanmoy Choudhury"/>
    <s v="Private Retailer"/>
    <s v="9547304050"/>
    <n v="8.5"/>
    <n v="13"/>
    <x v="5"/>
    <m/>
    <s v="2026-04-07"/>
    <s v="661791"/>
    <s v="KRISHI KALYAN"/>
    <s v="9434640551"/>
  </r>
  <r>
    <s v="RCF Trombay"/>
    <s v="N.C.Urea(45kg)"/>
    <s v="WB"/>
    <x v="16"/>
    <s v="Nabagram"/>
    <s v="User Not Mapped"/>
    <s v="User Not Mapped"/>
    <s v="User Not Mapped"/>
    <n v="341326"/>
    <s v="Ekramul Houque"/>
    <s v="Private Retailer"/>
    <s v="6294152251"/>
    <n v="4.6349999999999998"/>
    <n v="35"/>
    <x v="3"/>
    <m/>
    <s v="2026-03-16"/>
    <s v="281698"/>
    <s v="Krishi Mahal"/>
    <s v="8536856527"/>
  </r>
  <r>
    <s v="RCF Thal"/>
    <s v="N.C.Urea(45kg)"/>
    <s v="WB"/>
    <x v="16"/>
    <s v="Kandi"/>
    <s v="User Not Mapped"/>
    <s v="User Not Mapped"/>
    <s v="User Not Mapped"/>
    <n v="1499772"/>
    <s v="IMRAN ALI"/>
    <s v="Private Retailer"/>
    <s v="9609049281"/>
    <n v="7.02"/>
    <n v="35"/>
    <x v="3"/>
    <m/>
    <s v="2026-03-16"/>
    <s v="281698"/>
    <s v="Krishi Mahal"/>
    <s v="8536856527"/>
  </r>
  <r>
    <s v="RCF Thal"/>
    <s v="N.C.Urea(45kg)"/>
    <s v="WB"/>
    <x v="16"/>
    <m/>
    <s v="User Not Mapped"/>
    <s v="User Not Mapped"/>
    <s v="User Not Mapped"/>
    <n v="1598594"/>
    <s v="KIRTIPUR MATIR GOLPO FPC LTD"/>
    <s v="Private Retailer"/>
    <s v="7407137103"/>
    <n v="7.02"/>
    <n v="33"/>
    <x v="3"/>
    <m/>
    <s v="2026-03-18"/>
    <s v="281698"/>
    <s v="Krishi Mahal"/>
    <s v="8536856527"/>
  </r>
  <r>
    <s v="RCF Thal"/>
    <s v="N.C.Urea(45kg)"/>
    <s v="WB"/>
    <x v="16"/>
    <s v="Nabagram"/>
    <s v="User Not Mapped"/>
    <s v="User Not Mapped"/>
    <s v="User Not Mapped"/>
    <n v="1377498"/>
    <s v="MD FERTILIZER"/>
    <s v="Private Retailer"/>
    <s v="9732618685"/>
    <n v="1.2"/>
    <n v="556"/>
    <x v="2"/>
    <m/>
    <s v="2024-10-11"/>
    <s v="281698"/>
    <s v="Krishi Mahal"/>
    <s v="8536856527"/>
  </r>
  <r>
    <s v="RCF Thal"/>
    <s v="N.C.Urea(45kg)"/>
    <s v="WB"/>
    <x v="16"/>
    <s v="Murshidabad Jiaganj"/>
    <s v="User Not Mapped"/>
    <s v="User Not Mapped"/>
    <s v="User Not Mapped"/>
    <n v="623105"/>
    <s v="NAJRUL SK"/>
    <s v="Private Retailer"/>
    <s v="9002135447"/>
    <n v="0.27"/>
    <n v="225"/>
    <x v="1"/>
    <m/>
    <s v="2025-09-07"/>
    <s v="281698"/>
    <s v="Krishi Mahal"/>
    <s v="8536856527"/>
  </r>
  <r>
    <s v="RCF Trombay"/>
    <s v="N.C.Urea(45kg)"/>
    <s v="WB"/>
    <x v="16"/>
    <s v="Nabagram"/>
    <s v="User Not Mapped"/>
    <s v="User Not Mapped"/>
    <s v="User Not Mapped"/>
    <n v="599460"/>
    <s v="Nizamuddin Seikh"/>
    <s v="Private Retailer"/>
    <s v="9733404559"/>
    <n v="2.5649999999999999"/>
    <n v="35"/>
    <x v="3"/>
    <m/>
    <s v="2026-03-16"/>
    <s v="281698"/>
    <s v="Krishi Mahal"/>
    <s v="8536856527"/>
  </r>
  <r>
    <s v="RCF Thal"/>
    <s v="N.C.Urea(45kg)"/>
    <s v="WB"/>
    <x v="16"/>
    <s v="Nabagram"/>
    <s v="User Not Mapped"/>
    <s v="User Not Mapped"/>
    <s v="User Not Mapped"/>
    <n v="599460"/>
    <s v="Nizamuddin Seikh"/>
    <s v="Private Retailer"/>
    <s v="9733404559"/>
    <n v="1.26"/>
    <n v="35"/>
    <x v="3"/>
    <m/>
    <s v="2026-03-16"/>
    <s v="281698"/>
    <s v="Krishi Mahal"/>
    <s v="8536856527"/>
  </r>
  <r>
    <s v="RCF Thal"/>
    <s v="N.C.Urea(45kg)"/>
    <s v="WB"/>
    <x v="16"/>
    <s v="Khargram"/>
    <s v="User Not Mapped"/>
    <s v="User Not Mapped"/>
    <s v="User Not Mapped"/>
    <n v="1542381"/>
    <s v="PAL FERTILIZER"/>
    <s v="Private Retailer"/>
    <s v="7063374230"/>
    <n v="2.97"/>
    <n v="35"/>
    <x v="3"/>
    <m/>
    <s v="2026-03-16"/>
    <s v="281698"/>
    <s v="Krishi Mahal"/>
    <s v="8536856527"/>
  </r>
  <r>
    <s v="RCF Thal"/>
    <s v="N.C.Urea(45kg)"/>
    <s v="WB"/>
    <x v="16"/>
    <m/>
    <s v="User Not Mapped"/>
    <s v="User Not Mapped"/>
    <s v="User Not Mapped"/>
    <n v="874429"/>
    <s v="RAINBOW FERTILIZER"/>
    <s v="Private Retailer"/>
    <s v="8373888180"/>
    <n v="0.01"/>
    <n v="1754"/>
    <x v="2"/>
    <m/>
    <s v="2021-07-01"/>
    <s v="281698"/>
    <s v="Krishi Mahal"/>
    <s v="8536856527"/>
  </r>
  <r>
    <s v="RCF Thal"/>
    <s v="N.C.Urea(45kg)"/>
    <s v="WB"/>
    <x v="16"/>
    <s v="Nabagram"/>
    <s v="User Not Mapped"/>
    <s v="User Not Mapped"/>
    <s v="User Not Mapped"/>
    <n v="634761"/>
    <s v="SABANA FERTILIZER"/>
    <s v="Private Retailer"/>
    <s v="9564190124"/>
    <n v="0.99"/>
    <n v="35"/>
    <x v="3"/>
    <m/>
    <s v="2026-03-16"/>
    <s v="281698"/>
    <s v="Krishi Mahal"/>
    <s v="8536856527"/>
  </r>
  <r>
    <s v="RCF Thal"/>
    <s v="N.C.Urea(45kg)"/>
    <s v="WB"/>
    <x v="16"/>
    <m/>
    <s v="User Not Mapped"/>
    <s v="User Not Mapped"/>
    <s v="User Not Mapped"/>
    <n v="1510472"/>
    <s v="SARKAR FERTILIZER"/>
    <s v="Private Retailer"/>
    <s v="9733980109"/>
    <n v="6.6150000000000002"/>
    <n v="35"/>
    <x v="3"/>
    <m/>
    <s v="2026-03-16"/>
    <s v="281698"/>
    <s v="Krishi Mahal"/>
    <s v="8536856527"/>
  </r>
  <r>
    <s v="RCF Trombay"/>
    <s v="15-15-15"/>
    <s v="WB"/>
    <x v="16"/>
    <s v="Lalgola"/>
    <s v="User Not Mapped"/>
    <s v="User Not Mapped"/>
    <s v="User Not Mapped"/>
    <n v="469736"/>
    <s v="Md. Moyjuddin"/>
    <s v="Private Retailer"/>
    <s v="7797094059"/>
    <n v="0.25"/>
    <n v="846"/>
    <x v="2"/>
    <m/>
    <s v="2023-12-26"/>
    <s v="1255882"/>
    <s v="KRISHI MELA"/>
    <s v="9851341063"/>
  </r>
  <r>
    <s v="RCF Thal"/>
    <s v="N.C.Urea(45kg)"/>
    <s v="WB"/>
    <x v="16"/>
    <s v="Kandi"/>
    <s v="User Not Mapped"/>
    <s v="User Not Mapped"/>
    <s v="User Not Mapped"/>
    <n v="211681"/>
    <s v="Md. Giasuddin Sk"/>
    <s v="Private Wholsaler"/>
    <s v="9734652237"/>
    <n v="10.574999999999999"/>
    <n v="40"/>
    <x v="3"/>
    <s v="'368'"/>
    <s v="2026-03-11"/>
    <s v="262597"/>
    <s v="M/S JOY SHANKAR DUTTA AND SONS"/>
    <s v="9433002237"/>
  </r>
  <r>
    <s v="RCF Thal"/>
    <s v="N.C.Urea(45kg)"/>
    <s v="WB"/>
    <x v="16"/>
    <s v="Beldanga - I"/>
    <s v="User Not Mapped"/>
    <s v="User Not Mapped"/>
    <s v="User Not Mapped"/>
    <n v="951601"/>
    <s v="MAHADEB PAL"/>
    <s v="Private Retailer"/>
    <s v="9593175291"/>
    <n v="2.2050000000000001"/>
    <n v="265"/>
    <x v="1"/>
    <m/>
    <s v="2025-07-29"/>
    <s v="1118894"/>
    <s v="M/S KABIR BEEJ BHANDAR"/>
    <s v="9153171759"/>
  </r>
  <r>
    <s v="RCF Trombay"/>
    <s v="15-15-15"/>
    <s v="WB"/>
    <x v="16"/>
    <s v="Lalgola"/>
    <s v="User Not Mapped"/>
    <s v="User Not Mapped"/>
    <s v="User Not Mapped"/>
    <n v="634765"/>
    <s v="MD OBAIDUR RAHOMAN"/>
    <s v="Private Retailer"/>
    <s v="9775964199"/>
    <n v="0.4"/>
    <n v="424"/>
    <x v="0"/>
    <m/>
    <s v="2025-02-20"/>
    <s v="223291"/>
    <s v="M/S Keshri Mal Jain"/>
    <s v="7718281841"/>
  </r>
  <r>
    <s v="RCF Trombay"/>
    <s v="N.C.Urea(45kg)"/>
    <s v="WB"/>
    <x v="16"/>
    <m/>
    <s v="User Not Mapped"/>
    <s v="User Not Mapped"/>
    <s v="User Not Mapped"/>
    <n v="270546"/>
    <s v="Swapan Kumar Roy"/>
    <s v="Private Retailer"/>
    <s v="9732949896"/>
    <n v="4.4999999999999998E-2"/>
    <n v="1239"/>
    <x v="2"/>
    <m/>
    <s v="2022-11-28"/>
    <s v="223291"/>
    <s v="M/S Keshri Mal Jain"/>
    <s v="7718281841"/>
  </r>
  <r>
    <s v="RCF Trombay"/>
    <s v="15-15-15"/>
    <s v="WB"/>
    <x v="16"/>
    <s v="Raninagar - I"/>
    <s v="User Not Mapped"/>
    <s v="User Not Mapped"/>
    <s v="User Not Mapped"/>
    <n v="235571"/>
    <s v="A.K.M. Tahiduzzaman"/>
    <s v="Private Retailer"/>
    <s v="9434393944"/>
    <n v="4.2"/>
    <n v="37"/>
    <x v="3"/>
    <m/>
    <s v="2026-03-14"/>
    <s v="289315"/>
    <s v="M/S Monoranjan Dey"/>
    <s v="9733893312"/>
  </r>
  <r>
    <s v="RCF Trombay"/>
    <s v="N.C.Urea(45kg)"/>
    <s v="WB"/>
    <x v="16"/>
    <s v="Raninagar - I"/>
    <s v="User Not Mapped"/>
    <s v="User Not Mapped"/>
    <s v="User Not Mapped"/>
    <n v="235571"/>
    <s v="A.K.M. Tahiduzzaman"/>
    <s v="Private Retailer"/>
    <s v="9434393944"/>
    <n v="3.5550000000000002"/>
    <n v="37"/>
    <x v="3"/>
    <m/>
    <s v="2026-03-14"/>
    <s v="289315"/>
    <s v="M/S Monoranjan Dey"/>
    <s v="9733893312"/>
  </r>
  <r>
    <s v="RCF Thal"/>
    <s v="N.C.Urea(45kg)"/>
    <s v="WB"/>
    <x v="16"/>
    <s v="Bhagawangola - I"/>
    <s v="User Not Mapped"/>
    <s v="User Not Mapped"/>
    <s v="User Not Mapped"/>
    <n v="945137"/>
    <s v="ABDUS SALAM "/>
    <s v="Private Retailer"/>
    <s v="9775102385"/>
    <n v="1.53"/>
    <n v="112"/>
    <x v="7"/>
    <m/>
    <s v="2025-12-29"/>
    <s v="289315"/>
    <s v="M/S Monoranjan Dey"/>
    <s v="9733893312"/>
  </r>
  <r>
    <s v="RCF Thal"/>
    <s v="N.C.Urea(45kg)"/>
    <s v="WB"/>
    <x v="16"/>
    <s v="Bhagawangola - I"/>
    <s v="User Not Mapped"/>
    <s v="User Not Mapped"/>
    <s v="User Not Mapped"/>
    <n v="1499744"/>
    <s v="AMJAD HOSSAIN FERTILIZER"/>
    <s v="Private Retailer"/>
    <s v="7047477621"/>
    <n v="0.18"/>
    <n v="233"/>
    <x v="1"/>
    <m/>
    <s v="2025-08-30"/>
    <s v="289315"/>
    <s v="M/S Monoranjan Dey"/>
    <s v="9733893312"/>
  </r>
  <r>
    <s v="RCF Import"/>
    <s v="Imp 10-26-26"/>
    <s v="WB"/>
    <x v="16"/>
    <s v="Murshidabad Jiaganj"/>
    <s v="User Not Mapped"/>
    <s v="User Not Mapped"/>
    <s v="User Not Mapped"/>
    <n v="235576"/>
    <s v="Anirul Islam"/>
    <s v="Private Retailer"/>
    <s v="9734557230"/>
    <n v="4.05"/>
    <n v="77"/>
    <x v="6"/>
    <m/>
    <s v="2026-02-02"/>
    <s v="289315"/>
    <s v="M/S Monoranjan Dey"/>
    <s v="9733893312"/>
  </r>
  <r>
    <s v="RCF Trombay"/>
    <s v="15-15-15"/>
    <s v="WB"/>
    <x v="16"/>
    <s v="Nawda"/>
    <s v="User Not Mapped"/>
    <s v="User Not Mapped"/>
    <s v="User Not Mapped"/>
    <n v="941136"/>
    <s v="Dipak Kumar Das"/>
    <s v="Private Retailer"/>
    <s v="8927414136"/>
    <n v="6"/>
    <n v="84"/>
    <x v="6"/>
    <m/>
    <s v="2026-01-26"/>
    <s v="289315"/>
    <s v="M/S Monoranjan Dey"/>
    <s v="9733893312"/>
  </r>
  <r>
    <s v="RCF Thal"/>
    <s v="N.C.Urea(45kg)"/>
    <s v="WB"/>
    <x v="16"/>
    <s v="Beldanga - I"/>
    <s v="User Not Mapped"/>
    <s v="User Not Mapped"/>
    <s v="User Not Mapped"/>
    <n v="797120"/>
    <s v="ISLAM FERTILISER"/>
    <s v="Private Retailer"/>
    <s v="9933382218"/>
    <n v="7.02"/>
    <n v="41"/>
    <x v="3"/>
    <m/>
    <s v="2026-03-10"/>
    <s v="289315"/>
    <s v="M/S Monoranjan Dey"/>
    <s v="9733893312"/>
  </r>
  <r>
    <s v="RCF Trombay"/>
    <s v="N.C.Urea(45kg)"/>
    <s v="WB"/>
    <x v="16"/>
    <s v="Beldanga - I"/>
    <s v="User Not Mapped"/>
    <s v="User Not Mapped"/>
    <s v="User Not Mapped"/>
    <n v="797120"/>
    <s v="ISLAM FERTILISER"/>
    <s v="Private Retailer"/>
    <s v="9933382218"/>
    <n v="4.4999999999999998E-2"/>
    <n v="39"/>
    <x v="3"/>
    <m/>
    <s v="2026-03-12"/>
    <s v="289315"/>
    <s v="M/S Monoranjan Dey"/>
    <s v="9733893312"/>
  </r>
  <r>
    <s v="RCF Trombay"/>
    <s v="15-15-15"/>
    <s v="WB"/>
    <x v="16"/>
    <s v="Raninagar - I"/>
    <s v="User Not Mapped"/>
    <s v="User Not Mapped"/>
    <s v="User Not Mapped"/>
    <n v="341520"/>
    <s v="Jahiruddin Sk"/>
    <s v="Private Retailer"/>
    <s v="9647138309"/>
    <n v="1.9750000000000001"/>
    <n v="37"/>
    <x v="3"/>
    <m/>
    <s v="2026-03-14"/>
    <s v="289315"/>
    <s v="M/S Monoranjan Dey"/>
    <s v="9733893312"/>
  </r>
  <r>
    <s v="RCF Trombay"/>
    <s v="15-15-15"/>
    <s v="WB"/>
    <x v="16"/>
    <s v="Raninagar - II"/>
    <s v="User Not Mapped"/>
    <s v="User Not Mapped"/>
    <s v="User Not Mapped"/>
    <n v="1395256"/>
    <s v="JISAN FERTILIZER"/>
    <s v="Private Retailer"/>
    <s v="7076163815"/>
    <n v="7"/>
    <n v="39"/>
    <x v="3"/>
    <m/>
    <s v="2026-03-12"/>
    <s v="289315"/>
    <s v="M/S Monoranjan Dey"/>
    <s v="9733893312"/>
  </r>
  <r>
    <s v="RCF Thal"/>
    <s v="N.C.Urea(45kg)"/>
    <s v="WB"/>
    <x v="16"/>
    <s v="Raninagar - II"/>
    <s v="User Not Mapped"/>
    <s v="User Not Mapped"/>
    <s v="User Not Mapped"/>
    <n v="1395256"/>
    <s v="JISAN FERTILIZER"/>
    <s v="Private Retailer"/>
    <s v="7076163815"/>
    <n v="3.87"/>
    <n v="41"/>
    <x v="3"/>
    <m/>
    <s v="2026-03-10"/>
    <s v="289315"/>
    <s v="M/S Monoranjan Dey"/>
    <s v="9733893312"/>
  </r>
  <r>
    <s v="RCF Trombay"/>
    <s v="15-15-15"/>
    <s v="WB"/>
    <x v="16"/>
    <s v="Raninagar - II"/>
    <s v="User Not Mapped"/>
    <s v="User Not Mapped"/>
    <s v="User Not Mapped"/>
    <n v="1395256"/>
    <s v="JISAN FERTILIZER"/>
    <s v="Private Retailer"/>
    <s v="7076163815"/>
    <n v="0.75"/>
    <n v="84"/>
    <x v="6"/>
    <m/>
    <s v="2026-01-26"/>
    <s v="289315"/>
    <s v="M/S Monoranjan Dey"/>
    <s v="9733893312"/>
  </r>
  <r>
    <s v="RCF Trombay"/>
    <s v="N.C.Urea(45kg)"/>
    <s v="WB"/>
    <x v="16"/>
    <s v="Raninagar - II"/>
    <s v="User Not Mapped"/>
    <s v="User Not Mapped"/>
    <s v="User Not Mapped"/>
    <n v="1395256"/>
    <s v="JISAN FERTILIZER"/>
    <s v="Private Retailer"/>
    <s v="7076163815"/>
    <n v="5.22"/>
    <n v="84"/>
    <x v="6"/>
    <m/>
    <s v="2026-01-26"/>
    <s v="289315"/>
    <s v="M/S Monoranjan Dey"/>
    <s v="9733893312"/>
  </r>
  <r>
    <s v="RCF Trombay"/>
    <s v="N.C.Urea(45kg)"/>
    <s v="WB"/>
    <x v="16"/>
    <s v="Raninagar - II"/>
    <s v="User Not Mapped"/>
    <s v="User Not Mapped"/>
    <s v="User Not Mapped"/>
    <n v="1395256"/>
    <s v="JISAN FERTILIZER"/>
    <s v="Private Retailer"/>
    <s v="7076163815"/>
    <n v="3.06"/>
    <n v="39"/>
    <x v="3"/>
    <m/>
    <s v="2026-03-12"/>
    <s v="289315"/>
    <s v="M/S Monoranjan Dey"/>
    <s v="9733893312"/>
  </r>
  <r>
    <s v="RCF Import"/>
    <s v="Imp 10-26-26"/>
    <s v="WB"/>
    <x v="16"/>
    <s v="Sagardighi"/>
    <s v="User Not Mapped"/>
    <s v="User Not Mapped"/>
    <s v="User Not Mapped"/>
    <n v="235740"/>
    <s v="M/S Hari Kishan Bhakat"/>
    <s v="Private Retailer"/>
    <s v="8158975209"/>
    <n v="10"/>
    <n v="68"/>
    <x v="6"/>
    <m/>
    <s v="2026-02-11"/>
    <s v="289315"/>
    <s v="M/S Monoranjan Dey"/>
    <s v="9733893312"/>
  </r>
  <r>
    <s v="RCF Trombay"/>
    <s v="15-15-15"/>
    <s v="WB"/>
    <x v="16"/>
    <s v="Berhampore"/>
    <s v="User Not Mapped"/>
    <s v="User Not Mapped"/>
    <s v="User Not Mapped"/>
    <n v="459636"/>
    <s v="M/S Md Ali"/>
    <s v="Private Retailer"/>
    <s v="9775059364"/>
    <n v="1.9"/>
    <n v="37"/>
    <x v="3"/>
    <m/>
    <s v="2026-03-14"/>
    <s v="289315"/>
    <s v="M/S Monoranjan Dey"/>
    <s v="9733893312"/>
  </r>
  <r>
    <s v="RCF Trombay"/>
    <s v="N.C.Urea(45kg)"/>
    <s v="WB"/>
    <x v="16"/>
    <s v="Berhampore"/>
    <s v="User Not Mapped"/>
    <s v="User Not Mapped"/>
    <s v="User Not Mapped"/>
    <n v="459636"/>
    <s v="M/S Md Ali"/>
    <s v="Private Retailer"/>
    <s v="9775059364"/>
    <n v="0.99"/>
    <n v="37"/>
    <x v="3"/>
    <m/>
    <s v="2026-03-14"/>
    <s v="289315"/>
    <s v="M/S Monoranjan Dey"/>
    <s v="9733893312"/>
  </r>
  <r>
    <s v="RCF Thal"/>
    <s v="N.C.Urea(45kg)"/>
    <s v="WB"/>
    <x v="16"/>
    <s v="Beldanga - I"/>
    <s v="User Not Mapped"/>
    <s v="User Not Mapped"/>
    <s v="User Not Mapped"/>
    <n v="289244"/>
    <s v="M/S Monoranjan Dey"/>
    <s v="District Cooperative Marketing Society"/>
    <s v="9733893312"/>
    <n v="0.02"/>
    <n v="28"/>
    <x v="5"/>
    <m/>
    <s v="2026-03-23"/>
    <s v="289315"/>
    <s v="M/S Monoranjan Dey"/>
    <s v="9733893312"/>
  </r>
  <r>
    <s v="RCF Trombay"/>
    <s v="N.C.Urea(45kg)"/>
    <s v="WB"/>
    <x v="16"/>
    <s v="Beldanga - I"/>
    <s v="User Not Mapped"/>
    <s v="User Not Mapped"/>
    <s v="User Not Mapped"/>
    <n v="289244"/>
    <s v="M/S Monoranjan Dey"/>
    <s v="District Cooperative Marketing Society"/>
    <s v="9733893312"/>
    <n v="1.2949999999999999"/>
    <n v="272"/>
    <x v="1"/>
    <m/>
    <s v="2025-07-22"/>
    <s v="289315"/>
    <s v="M/S Monoranjan Dey"/>
    <s v="9733893312"/>
  </r>
  <r>
    <s v="RCF Trombay"/>
    <s v="15-15-15"/>
    <s v="WB"/>
    <x v="16"/>
    <s v="Beldanga - I"/>
    <s v="User Not Mapped"/>
    <s v="User Not Mapped"/>
    <s v="User Not Mapped"/>
    <n v="289244"/>
    <s v="M/S Monoranjan Dey"/>
    <s v="District Cooperative Marketing Society"/>
    <s v="9733893312"/>
    <n v="10.85"/>
    <n v="73"/>
    <x v="6"/>
    <m/>
    <s v="2026-02-06"/>
    <s v="289315"/>
    <s v="M/S Monoranjan Dey"/>
    <s v="9733893312"/>
  </r>
  <r>
    <s v="RCF Import"/>
    <s v="Imp 10-26-26"/>
    <s v="WB"/>
    <x v="16"/>
    <s v="Beldanga - I"/>
    <s v="User Not Mapped"/>
    <s v="User Not Mapped"/>
    <s v="User Not Mapped"/>
    <n v="289244"/>
    <s v="M/S Monoranjan Dey"/>
    <s v="District Cooperative Marketing Society"/>
    <s v="9733893312"/>
    <n v="10"/>
    <n v="73"/>
    <x v="6"/>
    <m/>
    <s v="2026-02-06"/>
    <s v="289315"/>
    <s v="M/S Monoranjan Dey"/>
    <s v="9733893312"/>
  </r>
  <r>
    <s v="RCF Thal"/>
    <s v="N.C.Urea(45kg)"/>
    <s v="WB"/>
    <x v="16"/>
    <s v="Beldanga - I"/>
    <s v="User Not Mapped"/>
    <s v="User Not Mapped"/>
    <s v="User Not Mapped"/>
    <n v="289244"/>
    <s v="M/S Monoranjan Dey"/>
    <s v="District Cooperative Marketing Society"/>
    <s v="9733893312"/>
    <n v="2.25"/>
    <n v="206"/>
    <x v="1"/>
    <m/>
    <s v="2025-09-26"/>
    <s v="289315"/>
    <s v="M/S Monoranjan Dey"/>
    <s v="9733893312"/>
  </r>
  <r>
    <s v="RCF Thal"/>
    <s v="N.C.Urea(45kg)"/>
    <s v="WB"/>
    <x v="16"/>
    <s v="Nabagram"/>
    <s v="User Not Mapped"/>
    <s v="User Not Mapped"/>
    <s v="User Not Mapped"/>
    <n v="289254"/>
    <s v="M/s Ohida Bibi"/>
    <s v="Private Retailer"/>
    <s v="8972056519"/>
    <n v="9.99"/>
    <n v="41"/>
    <x v="3"/>
    <m/>
    <s v="2026-03-10"/>
    <s v="289315"/>
    <s v="M/S Monoranjan Dey"/>
    <s v="9733893312"/>
  </r>
  <r>
    <s v="RCF Thal"/>
    <s v="N.C.Urea(45kg)"/>
    <s v="WB"/>
    <x v="16"/>
    <s v="Lalgola"/>
    <s v="User Not Mapped"/>
    <s v="User Not Mapped"/>
    <s v="User Not Mapped"/>
    <n v="646114"/>
    <s v="MD AKMAL HOSSAIN"/>
    <s v="Private Retailer"/>
    <s v="9775172133"/>
    <n v="0.9"/>
    <n v="112"/>
    <x v="7"/>
    <m/>
    <s v="2025-12-29"/>
    <s v="289315"/>
    <s v="M/S Monoranjan Dey"/>
    <s v="9733893312"/>
  </r>
  <r>
    <s v="RCF Trombay"/>
    <s v="N.C.Urea(45kg)"/>
    <s v="WB"/>
    <x v="16"/>
    <s v="Sagardighi"/>
    <s v="User Not Mapped"/>
    <s v="User Not Mapped"/>
    <s v="User Not Mapped"/>
    <n v="289209"/>
    <s v="Md Ataullah"/>
    <s v="Private Retailer"/>
    <s v="7548941434"/>
    <n v="4.68"/>
    <n v="37"/>
    <x v="3"/>
    <m/>
    <s v="2026-03-14"/>
    <s v="289315"/>
    <s v="M/S Monoranjan Dey"/>
    <s v="9733893312"/>
  </r>
  <r>
    <s v="RCF Thal"/>
    <s v="N.C.Urea(45kg)"/>
    <s v="WB"/>
    <x v="16"/>
    <s v="Sagardighi"/>
    <s v="User Not Mapped"/>
    <s v="User Not Mapped"/>
    <s v="User Not Mapped"/>
    <n v="289209"/>
    <s v="Md Ataullah"/>
    <s v="Private Retailer"/>
    <s v="7548941434"/>
    <n v="1.5549999999999999"/>
    <n v="37"/>
    <x v="3"/>
    <m/>
    <s v="2026-03-14"/>
    <s v="289315"/>
    <s v="M/S Monoranjan Dey"/>
    <s v="9733893312"/>
  </r>
  <r>
    <s v="RCF Trombay"/>
    <s v="N.C.Urea(45kg)"/>
    <s v="WB"/>
    <x v="16"/>
    <s v="Raghunathganj - I"/>
    <s v="User Not Mapped"/>
    <s v="User Not Mapped"/>
    <s v="User Not Mapped"/>
    <n v="1020911"/>
    <s v="MotaharHossain"/>
    <s v="Private Retailer"/>
    <s v="8348977181"/>
    <n v="3.2850000000000001"/>
    <n v="143"/>
    <x v="4"/>
    <m/>
    <s v="2025-11-28"/>
    <s v="289315"/>
    <s v="M/S Monoranjan Dey"/>
    <s v="9733893312"/>
  </r>
  <r>
    <s v="RCF Thal"/>
    <s v="N.C.Urea(45kg)"/>
    <s v="WB"/>
    <x v="16"/>
    <s v="Berhampore"/>
    <s v="User Not Mapped"/>
    <s v="User Not Mapped"/>
    <s v="User Not Mapped"/>
    <n v="436300"/>
    <s v="Muktipada Nandi"/>
    <s v="Private Retailer"/>
    <s v="9002843810"/>
    <n v="6.03"/>
    <n v="112"/>
    <x v="7"/>
    <m/>
    <s v="2025-12-29"/>
    <s v="289315"/>
    <s v="M/S Monoranjan Dey"/>
    <s v="9733893312"/>
  </r>
  <r>
    <s v="RCF Import"/>
    <s v="Imp 10-26-26"/>
    <s v="WB"/>
    <x v="16"/>
    <s v="Berhampore"/>
    <s v="User Not Mapped"/>
    <s v="User Not Mapped"/>
    <s v="User Not Mapped"/>
    <n v="436300"/>
    <s v="Muktipada Nandi"/>
    <s v="Private Retailer"/>
    <s v="9002843810"/>
    <n v="1.75"/>
    <n v="77"/>
    <x v="6"/>
    <m/>
    <s v="2026-02-02"/>
    <s v="289315"/>
    <s v="M/S Monoranjan Dey"/>
    <s v="9733893312"/>
  </r>
  <r>
    <s v="RCF Thal"/>
    <s v="N.C.Urea(45kg)"/>
    <s v="WB"/>
    <x v="16"/>
    <s v="Beldanga - II"/>
    <s v="User Not Mapped"/>
    <s v="User Not Mapped"/>
    <s v="User Not Mapped"/>
    <n v="1403063"/>
    <s v="NAZERA BIBI"/>
    <s v="Private Retailer"/>
    <s v="9800848154"/>
    <n v="4.4550000000000001"/>
    <n v="41"/>
    <x v="3"/>
    <m/>
    <s v="2026-03-10"/>
    <s v="289315"/>
    <s v="M/S Monoranjan Dey"/>
    <s v="9733893312"/>
  </r>
  <r>
    <s v="RCF Trombay"/>
    <s v="N.C.Urea(45kg)"/>
    <s v="WB"/>
    <x v="16"/>
    <s v="Beldanga - II"/>
    <s v="User Not Mapped"/>
    <s v="User Not Mapped"/>
    <s v="User Not Mapped"/>
    <n v="1403063"/>
    <s v="NAZERA BIBI"/>
    <s v="Private Retailer"/>
    <s v="9800848154"/>
    <n v="3.06"/>
    <n v="39"/>
    <x v="3"/>
    <m/>
    <s v="2026-03-12"/>
    <s v="289315"/>
    <s v="M/S Monoranjan Dey"/>
    <s v="9733893312"/>
  </r>
  <r>
    <s v="RCF Trombay"/>
    <s v="15-15-15"/>
    <s v="WB"/>
    <x v="16"/>
    <s v="Beldanga - II"/>
    <s v="User Not Mapped"/>
    <s v="User Not Mapped"/>
    <s v="User Not Mapped"/>
    <n v="1403063"/>
    <s v="NAZERA BIBI"/>
    <s v="Private Retailer"/>
    <s v="9800848154"/>
    <n v="4"/>
    <n v="39"/>
    <x v="3"/>
    <m/>
    <s v="2026-03-12"/>
    <s v="289315"/>
    <s v="M/S Monoranjan Dey"/>
    <s v="9733893312"/>
  </r>
  <r>
    <s v="RCF Import"/>
    <s v="Imp 10-26-26"/>
    <s v="WB"/>
    <x v="16"/>
    <s v="Beldanga - II"/>
    <s v="User Not Mapped"/>
    <s v="User Not Mapped"/>
    <s v="User Not Mapped"/>
    <n v="1403063"/>
    <s v="NAZERA BIBI"/>
    <s v="Private Retailer"/>
    <s v="9800848154"/>
    <n v="1.4"/>
    <n v="77"/>
    <x v="6"/>
    <m/>
    <s v="2026-02-02"/>
    <s v="289315"/>
    <s v="M/S Monoranjan Dey"/>
    <s v="9733893312"/>
  </r>
  <r>
    <s v="RCF Thal"/>
    <s v="N.C.Urea(45kg)"/>
    <s v="WB"/>
    <x v="16"/>
    <s v="Sagardighi"/>
    <s v="User Not Mapped"/>
    <s v="User Not Mapped"/>
    <s v="User Not Mapped"/>
    <n v="915397"/>
    <s v="NAZIR HOSSAIN"/>
    <s v="Private Retailer"/>
    <s v="9735048007"/>
    <n v="1.2150000000000001"/>
    <n v="37"/>
    <x v="3"/>
    <m/>
    <s v="2026-03-14"/>
    <s v="289315"/>
    <s v="M/S Monoranjan Dey"/>
    <s v="9733893312"/>
  </r>
  <r>
    <s v="RCF Thal"/>
    <s v="N.C.Urea(45kg)"/>
    <s v="WB"/>
    <x v="16"/>
    <s v="Bhagawangola - I"/>
    <s v="User Not Mapped"/>
    <s v="User Not Mapped"/>
    <s v="User Not Mapped"/>
    <n v="996214"/>
    <s v="NEFAJUDDIN"/>
    <s v="Private Retailer"/>
    <s v="9800463074"/>
    <n v="2.5649999999999999"/>
    <n v="112"/>
    <x v="7"/>
    <m/>
    <s v="2025-12-29"/>
    <s v="289315"/>
    <s v="M/S Monoranjan Dey"/>
    <s v="9733893312"/>
  </r>
  <r>
    <s v="RCF Thal"/>
    <s v="N.C.Urea(45kg)"/>
    <s v="WB"/>
    <x v="16"/>
    <s v="Khargram"/>
    <s v="User Not Mapped"/>
    <s v="User Not Mapped"/>
    <s v="User Not Mapped"/>
    <n v="247481"/>
    <s v="Netai Kumar Saha"/>
    <s v="Private Retailer"/>
    <s v="9732465235"/>
    <n v="2.3849999999999998"/>
    <n v="39"/>
    <x v="3"/>
    <m/>
    <s v="2026-03-12"/>
    <s v="289315"/>
    <s v="M/S Monoranjan Dey"/>
    <s v="9733893312"/>
  </r>
  <r>
    <s v="RCF Thal"/>
    <s v="N.C.Urea(45kg)"/>
    <s v="WB"/>
    <x v="16"/>
    <s v="Murshidabad Jiaganj"/>
    <s v="User Not Mapped"/>
    <s v="User Not Mapped"/>
    <s v="User Not Mapped"/>
    <n v="235774"/>
    <s v="Ram Prasad Basak"/>
    <s v="Private Retailer"/>
    <s v="9434534523"/>
    <n v="6.57"/>
    <n v="112"/>
    <x v="7"/>
    <m/>
    <s v="2025-12-29"/>
    <s v="289315"/>
    <s v="M/S Monoranjan Dey"/>
    <s v="9733893312"/>
  </r>
  <r>
    <s v="RCF Trombay"/>
    <s v="15-15-15"/>
    <s v="WB"/>
    <x v="16"/>
    <s v="Murshidabad Jiaganj"/>
    <s v="User Not Mapped"/>
    <s v="User Not Mapped"/>
    <s v="User Not Mapped"/>
    <n v="767632"/>
    <s v="RAMESH MANDAL"/>
    <s v="Private Retailer"/>
    <s v="9732854170"/>
    <n v="5.5"/>
    <n v="84"/>
    <x v="6"/>
    <m/>
    <s v="2026-01-26"/>
    <s v="289315"/>
    <s v="M/S Monoranjan Dey"/>
    <s v="9733893312"/>
  </r>
  <r>
    <s v="RCF Trombay"/>
    <s v="15-15-15"/>
    <s v="WB"/>
    <x v="16"/>
    <s v="Domkal"/>
    <s v="User Not Mapped"/>
    <s v="User Not Mapped"/>
    <s v="User Not Mapped"/>
    <n v="603266"/>
    <s v="SABUR ALI"/>
    <s v="Private Retailer"/>
    <s v="9735729821"/>
    <n v="7"/>
    <n v="37"/>
    <x v="3"/>
    <m/>
    <s v="2026-03-14"/>
    <s v="289315"/>
    <s v="M/S Monoranjan Dey"/>
    <s v="9733893312"/>
  </r>
  <r>
    <s v="RCF Import"/>
    <s v="Imp 10-26-26"/>
    <s v="WB"/>
    <x v="16"/>
    <s v="Murshidabad Jiaganj"/>
    <s v="User Not Mapped"/>
    <s v="User Not Mapped"/>
    <s v="User Not Mapped"/>
    <n v="270550"/>
    <s v="Tarani Dhar Biswas"/>
    <s v="Private Retailer"/>
    <s v="8101716723"/>
    <n v="0.9"/>
    <n v="77"/>
    <x v="6"/>
    <m/>
    <s v="2026-02-02"/>
    <s v="289315"/>
    <s v="M/S Monoranjan Dey"/>
    <s v="9733893312"/>
  </r>
  <r>
    <s v="RCF Thal"/>
    <s v="N.C.Urea(45kg)"/>
    <s v="WB"/>
    <x v="16"/>
    <s v="Murshidabad Jiaganj"/>
    <s v="User Not Mapped"/>
    <s v="User Not Mapped"/>
    <s v="User Not Mapped"/>
    <n v="270550"/>
    <s v="Tarani Dhar Biswas"/>
    <s v="Private Retailer"/>
    <s v="8101716723"/>
    <n v="7.11"/>
    <n v="41"/>
    <x v="3"/>
    <m/>
    <s v="2026-03-10"/>
    <s v="289315"/>
    <s v="M/S Monoranjan Dey"/>
    <s v="9733893312"/>
  </r>
  <r>
    <s v="RCF Trombay"/>
    <s v="15-15-15"/>
    <s v="WB"/>
    <x v="16"/>
    <s v="Murshidabad Jiaganj"/>
    <s v="User Not Mapped"/>
    <s v="User Not Mapped"/>
    <s v="User Not Mapped"/>
    <n v="270550"/>
    <s v="Tarani Dhar Biswas"/>
    <s v="Private Retailer"/>
    <s v="8101716723"/>
    <n v="6"/>
    <n v="39"/>
    <x v="3"/>
    <m/>
    <s v="2026-03-12"/>
    <s v="289315"/>
    <s v="M/S Monoranjan Dey"/>
    <s v="9733893312"/>
  </r>
  <r>
    <s v="RCF Thal"/>
    <s v="N.C.Urea(45kg)"/>
    <s v="WB"/>
    <x v="16"/>
    <s v="Nabagram"/>
    <s v="User Not Mapped"/>
    <s v="User Not Mapped"/>
    <s v="User Not Mapped"/>
    <n v="506864"/>
    <s v="Timir Roychoudhury"/>
    <s v="Private Retailer"/>
    <s v="8001490205"/>
    <n v="5.8049999999999997"/>
    <n v="39"/>
    <x v="3"/>
    <m/>
    <s v="2026-03-12"/>
    <s v="289315"/>
    <s v="M/S Monoranjan Dey"/>
    <s v="9733893312"/>
  </r>
  <r>
    <s v="RCF Trombay"/>
    <s v="15-15-15"/>
    <s v="WB"/>
    <x v="16"/>
    <s v="Nawda"/>
    <s v="User Not Mapped"/>
    <s v="User Not Mapped"/>
    <s v="User Not Mapped"/>
    <n v="1027314"/>
    <s v="USUF ALI MALITYA"/>
    <s v="Private Retailer"/>
    <s v="7601960516"/>
    <n v="10"/>
    <n v="39"/>
    <x v="3"/>
    <m/>
    <s v="2026-03-12"/>
    <s v="289315"/>
    <s v="M/S Monoranjan Dey"/>
    <s v="9733893312"/>
  </r>
  <r>
    <s v="RCF Trombay"/>
    <s v="N.C.Urea(45kg)"/>
    <s v="WB"/>
    <x v="16"/>
    <s v="Nawda"/>
    <s v="User Not Mapped"/>
    <s v="User Not Mapped"/>
    <s v="User Not Mapped"/>
    <n v="1027314"/>
    <s v="USUF ALI MALITYA"/>
    <s v="Private Retailer"/>
    <s v="7601960516"/>
    <n v="7.02"/>
    <n v="39"/>
    <x v="3"/>
    <m/>
    <s v="2026-03-12"/>
    <s v="289315"/>
    <s v="M/S Monoranjan Dey"/>
    <s v="9733893312"/>
  </r>
  <r>
    <s v="RCF Trombay"/>
    <s v="15-15-15"/>
    <s v="WB"/>
    <x v="16"/>
    <s v="Nawda"/>
    <s v="User Not Mapped"/>
    <s v="User Not Mapped"/>
    <s v="User Not Mapped"/>
    <n v="1027314"/>
    <s v="USUF ALI MALITYA"/>
    <s v="Private Retailer"/>
    <s v="7601960516"/>
    <n v="12"/>
    <n v="84"/>
    <x v="6"/>
    <m/>
    <s v="2026-01-26"/>
    <s v="289315"/>
    <s v="M/S Monoranjan Dey"/>
    <s v="9733893312"/>
  </r>
  <r>
    <s v="RCF Thal"/>
    <s v="N.C.Urea(45kg)"/>
    <s v="WB"/>
    <x v="16"/>
    <s v="Nawda"/>
    <s v="User Not Mapped"/>
    <s v="User Not Mapped"/>
    <s v="User Not Mapped"/>
    <n v="1027314"/>
    <s v="USUF ALI MALITYA"/>
    <s v="Private Retailer"/>
    <s v="7601960516"/>
    <n v="9.99"/>
    <n v="112"/>
    <x v="7"/>
    <m/>
    <s v="2025-12-29"/>
    <s v="289315"/>
    <s v="M/S Monoranjan Dey"/>
    <s v="9733893312"/>
  </r>
  <r>
    <s v="RCF Thal"/>
    <s v="N.C.Urea(45kg)"/>
    <s v="WB"/>
    <x v="16"/>
    <s v="Nawda"/>
    <s v="User Not Mapped"/>
    <s v="User Not Mapped"/>
    <s v="User Not Mapped"/>
    <n v="1027314"/>
    <s v="USUF ALI MALITYA"/>
    <s v="Private Retailer"/>
    <s v="7601960516"/>
    <n v="19.98"/>
    <n v="41"/>
    <x v="3"/>
    <m/>
    <s v="2026-03-10"/>
    <s v="289315"/>
    <s v="M/S Monoranjan Dey"/>
    <s v="9733893312"/>
  </r>
  <r>
    <s v="RCF Trombay"/>
    <s v="N.C.Urea(45kg)"/>
    <s v="WB"/>
    <x v="16"/>
    <s v="Nawda"/>
    <s v="User Not Mapped"/>
    <s v="User Not Mapped"/>
    <s v="User Not Mapped"/>
    <n v="1027314"/>
    <s v="USUF ALI MALITYA"/>
    <s v="Private Retailer"/>
    <s v="7601960516"/>
    <n v="7.02"/>
    <n v="84"/>
    <x v="6"/>
    <m/>
    <s v="2026-01-26"/>
    <s v="289315"/>
    <s v="M/S Monoranjan Dey"/>
    <s v="9733893312"/>
  </r>
  <r>
    <s v="RCF Trombay"/>
    <s v="15-15-15"/>
    <s v="WB"/>
    <x v="16"/>
    <s v="Raninagar - I"/>
    <s v="User Not Mapped"/>
    <s v="User Not Mapped"/>
    <s v="User Not Mapped"/>
    <n v="247527"/>
    <s v="Utpal Kumar Dutta"/>
    <s v="Private Retailer"/>
    <s v="9434173910"/>
    <n v="22"/>
    <n v="37"/>
    <x v="3"/>
    <m/>
    <s v="2026-03-14"/>
    <s v="289315"/>
    <s v="M/S Monoranjan Dey"/>
    <s v="9733893312"/>
  </r>
  <r>
    <s v="RCF Trombay"/>
    <s v="15-15-15"/>
    <s v="WB"/>
    <x v="16"/>
    <s v="Domkal"/>
    <s v="User Not Mapped"/>
    <s v="User Not Mapped"/>
    <s v="User Not Mapped"/>
    <n v="951751"/>
    <s v="GANGADASPARA SKUS LTD"/>
    <s v="PACS"/>
    <s v="9733758482"/>
    <n v="10"/>
    <n v="34"/>
    <x v="3"/>
    <m/>
    <s v="2026-03-17"/>
    <s v="596479"/>
    <s v="M/S RANA FERTILISERS STORES"/>
    <s v="8350079945"/>
  </r>
  <r>
    <s v="RCF Trombay"/>
    <s v="N.C.Urea(45kg)"/>
    <s v="WB"/>
    <x v="16"/>
    <s v="Berhampore"/>
    <s v="User Not Mapped"/>
    <s v="User Not Mapped"/>
    <s v="User Not Mapped"/>
    <n v="289227"/>
    <s v="Mirkaram Mohd Sirajul Huda"/>
    <s v="Private Retailer"/>
    <s v="9734397731"/>
    <n v="2.5000000000000001E-2"/>
    <n v="1022"/>
    <x v="2"/>
    <m/>
    <s v="2023-07-03"/>
    <s v="596479"/>
    <s v="M/S RANA FERTILISERS STORES"/>
    <s v="8350079945"/>
  </r>
  <r>
    <s v="RCF Trombay"/>
    <s v="15-15-15"/>
    <s v="WB"/>
    <x v="16"/>
    <s v="Raninagar - I"/>
    <s v="User Not Mapped"/>
    <s v="User Not Mapped"/>
    <s v="User Not Mapped"/>
    <n v="951093"/>
    <s v="NUR ISLAM SAIKH"/>
    <s v="Private Retailer"/>
    <s v="9647396107"/>
    <n v="1"/>
    <n v="253"/>
    <x v="1"/>
    <m/>
    <s v="2025-08-10"/>
    <s v="596479"/>
    <s v="M/S RANA FERTILISERS STORES"/>
    <s v="8350079945"/>
  </r>
  <r>
    <s v="RCF Trombay"/>
    <s v="15-15-15"/>
    <s v="WB"/>
    <x v="16"/>
    <s v="Lalgola"/>
    <s v="User Not Mapped"/>
    <s v="User Not Mapped"/>
    <s v="User Not Mapped"/>
    <n v="289260"/>
    <s v="Rabindra Nath Mandal"/>
    <s v="Private Retailer"/>
    <s v="9735631803"/>
    <n v="0.05"/>
    <n v="298"/>
    <x v="1"/>
    <m/>
    <s v="2025-06-26"/>
    <s v="596479"/>
    <s v="M/S RANA FERTILISERS STORES"/>
    <s v="8350079945"/>
  </r>
  <r>
    <s v="RCF Trombay"/>
    <s v="15-15-15"/>
    <s v="WB"/>
    <x v="16"/>
    <s v="Berhampore"/>
    <s v="User Not Mapped"/>
    <s v="User Not Mapped"/>
    <s v="User Not Mapped"/>
    <n v="235775"/>
    <s v="Rana Fertiliser Store"/>
    <s v="Private Retailer"/>
    <s v="8350079945"/>
    <n v="8.9"/>
    <n v="4"/>
    <x v="5"/>
    <m/>
    <s v="2026-04-16"/>
    <s v="596479"/>
    <s v="M/S RANA FERTILISERS STORES"/>
    <s v="8350079945"/>
  </r>
  <r>
    <s v="RCF Trombay"/>
    <s v="15-15-15"/>
    <s v="WB"/>
    <x v="16"/>
    <s v="Domkal"/>
    <s v="User Not Mapped"/>
    <s v="User Not Mapped"/>
    <s v="User Not Mapped"/>
    <n v="1519067"/>
    <s v="SOHEL RANA"/>
    <s v="Private Retailer"/>
    <s v="9735086449"/>
    <n v="15"/>
    <n v="34"/>
    <x v="3"/>
    <m/>
    <s v="2026-03-17"/>
    <s v="596479"/>
    <s v="M/S RANA FERTILISERS STORES"/>
    <s v="8350079945"/>
  </r>
  <r>
    <s v="RCF Trombay"/>
    <s v="15-15-15"/>
    <s v="WB"/>
    <x v="16"/>
    <s v="Berhampore"/>
    <s v="User Not Mapped"/>
    <s v="User Not Mapped"/>
    <s v="User Not Mapped"/>
    <n v="491689"/>
    <s v="Subuktigin"/>
    <s v="Private Retailer"/>
    <s v="9733633578"/>
    <n v="20"/>
    <n v="34"/>
    <x v="3"/>
    <m/>
    <s v="2026-03-17"/>
    <s v="596479"/>
    <s v="M/S RANA FERTILISERS STORES"/>
    <s v="8350079945"/>
  </r>
  <r>
    <s v="RCF Trombay"/>
    <s v="15-15-15"/>
    <s v="WB"/>
    <x v="16"/>
    <s v="Murshidabad Jiaganj"/>
    <s v="User Not Mapped"/>
    <s v="User Not Mapped"/>
    <s v="User Not Mapped"/>
    <n v="774985"/>
    <s v="SUMANTA MANDAL"/>
    <s v="Private Retailer"/>
    <s v="9547368252"/>
    <n v="0.05"/>
    <n v="298"/>
    <x v="1"/>
    <m/>
    <s v="2025-06-26"/>
    <s v="596479"/>
    <s v="M/S RANA FERTILISERS STORES"/>
    <s v="8350079945"/>
  </r>
  <r>
    <s v="RCF Thal"/>
    <s v="N.C.Urea(45kg)"/>
    <s v="WB"/>
    <x v="16"/>
    <s v="Lalgola"/>
    <s v="User Not Mapped"/>
    <s v="User Not Mapped"/>
    <s v="User Not Mapped"/>
    <n v="1019621"/>
    <s v="MD. MILTON"/>
    <s v="Private Retailer"/>
    <s v="9735448002"/>
    <n v="3"/>
    <n v="97"/>
    <x v="7"/>
    <m/>
    <s v="2026-01-13"/>
    <s v="1159343"/>
    <s v="M/S TOHADDESH ALI"/>
    <s v="9932007562"/>
  </r>
  <r>
    <s v="RCF Thal"/>
    <s v="N.C.Urea(45kg)"/>
    <s v="WB"/>
    <x v="16"/>
    <s v="Bhagawangola - II"/>
    <s v="User Not Mapped"/>
    <s v="User Not Mapped"/>
    <s v="User Not Mapped"/>
    <n v="994830"/>
    <s v="PIARUL ISLAM"/>
    <s v="Private Retailer"/>
    <s v="8537052791"/>
    <n v="0.495"/>
    <n v="1821"/>
    <x v="2"/>
    <m/>
    <s v="2021-04-25"/>
    <s v="1159343"/>
    <s v="M/S TOHADDESH ALI"/>
    <s v="9932007562"/>
  </r>
  <r>
    <s v="RCF Thal"/>
    <s v="N.C.Urea(45kg)"/>
    <s v="WB"/>
    <x v="16"/>
    <m/>
    <s v="User Not Mapped"/>
    <s v="User Not Mapped"/>
    <s v="User Not Mapped"/>
    <n v="1589369"/>
    <s v="SAMIM FERTILIZER"/>
    <s v="Private Retailer"/>
    <s v="8972973494"/>
    <n v="0.53"/>
    <n v="37"/>
    <x v="3"/>
    <m/>
    <s v="2026-03-14"/>
    <s v="1159343"/>
    <s v="M/S TOHADDESH ALI"/>
    <s v="9932007562"/>
  </r>
  <r>
    <s v="RCF Trombay"/>
    <s v="15-15-15"/>
    <s v="WB"/>
    <x v="16"/>
    <s v="Lalgola"/>
    <s v="User Not Mapped"/>
    <s v="User Not Mapped"/>
    <s v="User Not Mapped"/>
    <n v="604332"/>
    <s v="SUBHAS CHANDRA DAS"/>
    <s v="Private Retailer"/>
    <s v="9732828178"/>
    <n v="4"/>
    <n v="37"/>
    <x v="3"/>
    <m/>
    <s v="2026-03-14"/>
    <s v="1159343"/>
    <s v="M/S TOHADDESH ALI"/>
    <s v="9932007562"/>
  </r>
  <r>
    <s v="RCF Thal"/>
    <s v="N.C.Urea(45kg)"/>
    <s v="WB"/>
    <x v="16"/>
    <s v="Lalgola"/>
    <s v="User Not Mapped"/>
    <s v="User Not Mapped"/>
    <s v="User Not Mapped"/>
    <n v="505634"/>
    <s v="Umar Ali"/>
    <s v="Private Retailer"/>
    <s v="9732466939"/>
    <n v="5.0000000000000001E-3"/>
    <n v="903"/>
    <x v="2"/>
    <m/>
    <s v="2023-10-30"/>
    <s v="1159343"/>
    <s v="M/S TOHADDESH ALI"/>
    <s v="9932007562"/>
  </r>
  <r>
    <s v="RCF Trombay"/>
    <s v="N.C.Urea(45kg)"/>
    <s v="WB"/>
    <x v="16"/>
    <s v="Lalgola"/>
    <s v="User Not Mapped"/>
    <s v="User Not Mapped"/>
    <s v="User Not Mapped"/>
    <n v="505634"/>
    <s v="Umar Ali"/>
    <s v="Private Retailer"/>
    <s v="9732466939"/>
    <n v="0.01"/>
    <n v="904"/>
    <x v="2"/>
    <m/>
    <s v="2023-10-29"/>
    <s v="1159343"/>
    <s v="M/S TOHADDESH ALI"/>
    <s v="9932007562"/>
  </r>
  <r>
    <s v="RCF Trombay"/>
    <s v="N.C.Urea(45kg)"/>
    <s v="WB"/>
    <x v="16"/>
    <m/>
    <s v="User Not Mapped"/>
    <s v="User Not Mapped"/>
    <s v="User Not Mapped"/>
    <n v="235558"/>
    <s v="Abdul Khalil"/>
    <s v="District Cooperative Marketing Society"/>
    <s v="9002834095"/>
    <n v="2.0249999999999999"/>
    <n v="30"/>
    <x v="5"/>
    <m/>
    <s v="2026-03-21"/>
    <s v="978672"/>
    <s v="M/s. Abu Raihan Mondal"/>
    <s v="9733607656"/>
  </r>
  <r>
    <s v="RCF Trombay"/>
    <s v="15-15-15"/>
    <s v="WB"/>
    <x v="16"/>
    <s v="Domkal"/>
    <s v="User Not Mapped"/>
    <s v="User Not Mapped"/>
    <s v="User Not Mapped"/>
    <n v="354661"/>
    <s v="Abdus Salam"/>
    <s v="Private Retailer"/>
    <s v="7908931025"/>
    <n v="10"/>
    <n v="8"/>
    <x v="5"/>
    <m/>
    <s v="2026-04-12"/>
    <s v="978672"/>
    <s v="M/s. Abu Raihan Mondal"/>
    <s v="9733607656"/>
  </r>
  <r>
    <s v="RCF Trombay"/>
    <s v="N.C.Urea(45kg)"/>
    <s v="WB"/>
    <x v="16"/>
    <s v="Khargram"/>
    <s v="User Not Mapped"/>
    <s v="User Not Mapped"/>
    <s v="User Not Mapped"/>
    <n v="931169"/>
    <s v="INDRANI KRISHI SEVA KENDRA"/>
    <s v="Private Retailer"/>
    <s v="8250244820"/>
    <n v="9.99"/>
    <n v="30"/>
    <x v="5"/>
    <m/>
    <s v="2026-03-21"/>
    <s v="978672"/>
    <s v="M/s. Abu Raihan Mondal"/>
    <s v="9733607656"/>
  </r>
  <r>
    <s v="RCF Trombay"/>
    <s v="N.C.Urea(45kg)"/>
    <s v="WB"/>
    <x v="16"/>
    <s v="Nabagram"/>
    <s v="User Not Mapped"/>
    <s v="User Not Mapped"/>
    <s v="User Not Mapped"/>
    <n v="289211"/>
    <s v="Md Jakir Hossain"/>
    <s v="Private Retailer"/>
    <s v="9064490313"/>
    <n v="3.915"/>
    <n v="30"/>
    <x v="5"/>
    <m/>
    <s v="2026-03-21"/>
    <s v="978672"/>
    <s v="M/s. Abu Raihan Mondal"/>
    <s v="9733607656"/>
  </r>
  <r>
    <s v="RCF Trombay"/>
    <s v="N.C.Urea(45kg)"/>
    <s v="WB"/>
    <x v="16"/>
    <s v="Berhampore"/>
    <s v="User Not Mapped"/>
    <s v="User Not Mapped"/>
    <s v="User Not Mapped"/>
    <n v="247492"/>
    <s v="Ratan Kr. Paul"/>
    <s v="Private Retailer"/>
    <s v="9749444347"/>
    <n v="4.7699999999999996"/>
    <n v="30"/>
    <x v="5"/>
    <m/>
    <s v="2026-03-21"/>
    <s v="978672"/>
    <s v="M/s. Abu Raihan Mondal"/>
    <s v="9733607656"/>
  </r>
  <r>
    <s v="RCF Trombay"/>
    <s v="15-15-15"/>
    <s v="WB"/>
    <x v="16"/>
    <s v="Nawda"/>
    <s v="User Not Mapped"/>
    <s v="User Not Mapped"/>
    <s v="User Not Mapped"/>
    <n v="1223223"/>
    <s v="AKASH SAHIN"/>
    <s v="Private Wholsaler"/>
    <s v="8944813733"/>
    <n v="14"/>
    <n v="36"/>
    <x v="3"/>
    <s v="'DKD/F/174/25-26'"/>
    <s v="2026-03-15"/>
    <s v="211642"/>
    <s v="M/s. D.K.Dutta and Co."/>
    <s v="7797341354"/>
  </r>
  <r>
    <s v="RCF Trombay"/>
    <s v="15-15-15"/>
    <s v="WB"/>
    <x v="16"/>
    <s v="Nawda"/>
    <s v="User Not Mapped"/>
    <s v="User Not Mapped"/>
    <s v="User Not Mapped"/>
    <n v="1223223"/>
    <s v="AKASH SAHIN"/>
    <s v="Private Wholsaler"/>
    <s v="8944813733"/>
    <n v="5"/>
    <n v="83"/>
    <x v="6"/>
    <s v="'DKD/F/145/25-26'"/>
    <s v="2026-01-27"/>
    <s v="211642"/>
    <s v="M/s. D.K.Dutta and Co."/>
    <s v="7797341354"/>
  </r>
  <r>
    <s v="RCF Trombay"/>
    <s v="15-15-15"/>
    <s v="WB"/>
    <x v="16"/>
    <s v="Berhampore"/>
    <s v="User Not Mapped"/>
    <s v="User Not Mapped"/>
    <s v="User Not Mapped"/>
    <n v="654211"/>
    <s v="DEBENDRA NATH GHOSH"/>
    <s v="Private Retailer"/>
    <s v="9732958905"/>
    <n v="0.1"/>
    <n v="149"/>
    <x v="4"/>
    <m/>
    <s v="2025-11-22"/>
    <s v="211642"/>
    <s v="M/s. D.K.Dutta and Co."/>
    <s v="7797341354"/>
  </r>
  <r>
    <s v="RCF Trombay"/>
    <s v="N.C.Urea(45kg)"/>
    <s v="WB"/>
    <x v="16"/>
    <s v="Berhampore"/>
    <s v="User Not Mapped"/>
    <s v="User Not Mapped"/>
    <s v="User Not Mapped"/>
    <n v="654211"/>
    <s v="DEBENDRA NATH GHOSH"/>
    <s v="Private Retailer"/>
    <s v="9732958905"/>
    <n v="0.1"/>
    <n v="149"/>
    <x v="4"/>
    <m/>
    <s v="2025-11-22"/>
    <s v="211642"/>
    <s v="M/s. D.K.Dutta and Co."/>
    <s v="7797341354"/>
  </r>
  <r>
    <s v="RCF Trombay"/>
    <s v="15-15-15"/>
    <s v="WB"/>
    <x v="16"/>
    <s v="Sagardighi"/>
    <s v="User Not Mapped"/>
    <s v="User Not Mapped"/>
    <s v="User Not Mapped"/>
    <n v="289309"/>
    <s v="Fatema Begam"/>
    <s v="Private Wholsaler"/>
    <s v="9733510936"/>
    <n v="4.5"/>
    <n v="36"/>
    <x v="3"/>
    <s v="'DKD/F/172/25-26'"/>
    <s v="2026-03-15"/>
    <s v="211642"/>
    <s v="M/s. D.K.Dutta and Co."/>
    <s v="7797341354"/>
  </r>
  <r>
    <s v="RCF Thal"/>
    <s v="N.C.Urea(45kg)"/>
    <s v="WB"/>
    <x v="16"/>
    <s v="Murshidabad Jiaganj"/>
    <s v="User Not Mapped"/>
    <s v="User Not Mapped"/>
    <s v="User Not Mapped"/>
    <n v="341467"/>
    <s v="Harinarayan Dey"/>
    <s v="Private Retailer"/>
    <s v="9475368855"/>
    <n v="0.81"/>
    <n v="36"/>
    <x v="3"/>
    <m/>
    <s v="2026-03-15"/>
    <s v="211642"/>
    <s v="M/s. D.K.Dutta and Co."/>
    <s v="7797341354"/>
  </r>
  <r>
    <s v="RCF Trombay"/>
    <s v="15-15-15"/>
    <s v="WB"/>
    <x v="16"/>
    <s v="Berhampore"/>
    <s v="User Not Mapped"/>
    <s v="User Not Mapped"/>
    <s v="User Not Mapped"/>
    <n v="632328"/>
    <s v="Nirmal Kumar Banerjee"/>
    <s v="Private Retailer"/>
    <s v="8373818740"/>
    <n v="5.0000000000000001E-3"/>
    <n v="149"/>
    <x v="4"/>
    <m/>
    <s v="2025-11-22"/>
    <s v="211642"/>
    <s v="M/s. D.K.Dutta and Co."/>
    <s v="7797341354"/>
  </r>
  <r>
    <s v="RCF Trombay"/>
    <s v="N.C.Urea(45kg)"/>
    <s v="WB"/>
    <x v="16"/>
    <s v="Berhampore"/>
    <s v="User Not Mapped"/>
    <s v="User Not Mapped"/>
    <s v="User Not Mapped"/>
    <n v="632328"/>
    <s v="Nirmal Kumar Banerjee"/>
    <s v="Private Retailer"/>
    <s v="8373818740"/>
    <n v="4.4999999999999998E-2"/>
    <n v="149"/>
    <x v="4"/>
    <m/>
    <s v="2025-11-22"/>
    <s v="211642"/>
    <s v="M/s. D.K.Dutta and Co."/>
    <s v="7797341354"/>
  </r>
  <r>
    <s v="RCF Trombay"/>
    <s v="N.C.Urea(45kg)"/>
    <s v="WB"/>
    <x v="16"/>
    <s v="Nawda"/>
    <s v="User Not Mapped"/>
    <s v="User Not Mapped"/>
    <s v="User Not Mapped"/>
    <n v="257313"/>
    <s v="Taj Ali Mondal"/>
    <s v="Private Retailer"/>
    <s v="9732688378"/>
    <n v="9.0449999999999999"/>
    <n v="83"/>
    <x v="6"/>
    <m/>
    <s v="2026-01-27"/>
    <s v="211642"/>
    <s v="M/s. D.K.Dutta and Co."/>
    <s v="7797341354"/>
  </r>
  <r>
    <s v="RCF Trombay"/>
    <s v="N.C.Urea(45kg)"/>
    <s v="WB"/>
    <x v="16"/>
    <s v="Nawda"/>
    <s v="User Not Mapped"/>
    <s v="User Not Mapped"/>
    <s v="User Not Mapped"/>
    <n v="257313"/>
    <s v="Taj Ali Mondal"/>
    <s v="Private Retailer"/>
    <s v="9732688378"/>
    <n v="7.9649999999999999"/>
    <n v="36"/>
    <x v="3"/>
    <m/>
    <s v="2026-03-15"/>
    <s v="211642"/>
    <s v="M/s. D.K.Dutta and Co."/>
    <s v="7797341354"/>
  </r>
  <r>
    <s v="RCF Import"/>
    <s v="Imp 10-26-26"/>
    <s v="WB"/>
    <x v="16"/>
    <s v="Nawda"/>
    <s v="User Not Mapped"/>
    <s v="User Not Mapped"/>
    <s v="User Not Mapped"/>
    <n v="257313"/>
    <s v="Taj Ali Mondal"/>
    <s v="Private Retailer"/>
    <s v="9732688378"/>
    <n v="12"/>
    <n v="75"/>
    <x v="6"/>
    <m/>
    <s v="2026-02-04"/>
    <s v="211642"/>
    <s v="M/s. D.K.Dutta and Co."/>
    <s v="7797341354"/>
  </r>
  <r>
    <s v="RCF Trombay"/>
    <s v="15-15-15"/>
    <s v="WB"/>
    <x v="16"/>
    <s v="Nawda"/>
    <s v="User Not Mapped"/>
    <s v="User Not Mapped"/>
    <s v="User Not Mapped"/>
    <n v="257313"/>
    <s v="Taj Ali Mondal"/>
    <s v="Private Retailer"/>
    <s v="9732688378"/>
    <n v="7"/>
    <n v="36"/>
    <x v="3"/>
    <m/>
    <s v="2026-03-15"/>
    <s v="211642"/>
    <s v="M/s. D.K.Dutta and Co."/>
    <s v="7797341354"/>
  </r>
  <r>
    <s v="RCF Thal"/>
    <s v="N.C.Urea(45kg)"/>
    <s v="WB"/>
    <x v="16"/>
    <s v="Berhampore"/>
    <s v="User Not Mapped"/>
    <s v="User Not Mapped"/>
    <s v="User Not Mapped"/>
    <n v="619272"/>
    <s v="ABBAS SK"/>
    <s v="Private Retailer"/>
    <s v="9734335580"/>
    <n v="7.02"/>
    <n v="41"/>
    <x v="3"/>
    <m/>
    <s v="2026-03-10"/>
    <s v="223285"/>
    <s v="M/s. Golam Kibria"/>
    <s v="8371889332"/>
  </r>
  <r>
    <s v="RCF Import"/>
    <s v="Imp 10-26-26"/>
    <s v="WB"/>
    <x v="16"/>
    <s v="Khargram"/>
    <s v="User Not Mapped"/>
    <s v="User Not Mapped"/>
    <s v="User Not Mapped"/>
    <n v="968272"/>
    <s v="Abdul Karim"/>
    <s v="Private Retailer"/>
    <s v="9064641541"/>
    <n v="7"/>
    <n v="59"/>
    <x v="3"/>
    <m/>
    <s v="2026-02-20"/>
    <s v="223285"/>
    <s v="M/s. Golam Kibria"/>
    <s v="8371889332"/>
  </r>
  <r>
    <s v="RCF Trombay"/>
    <s v="15-15-15"/>
    <s v="WB"/>
    <x v="16"/>
    <s v="Domkal"/>
    <s v="User Not Mapped"/>
    <s v="User Not Mapped"/>
    <s v="User Not Mapped"/>
    <n v="354661"/>
    <s v="Abdus Salam"/>
    <s v="Private Retailer"/>
    <s v="7908931025"/>
    <n v="5"/>
    <n v="35"/>
    <x v="3"/>
    <m/>
    <s v="2026-03-16"/>
    <s v="223285"/>
    <s v="M/s. Golam Kibria"/>
    <s v="8371889332"/>
  </r>
  <r>
    <s v="RCF Import"/>
    <s v="Imp 10-26-26"/>
    <s v="WB"/>
    <x v="16"/>
    <s v="Bhagawangola - I"/>
    <s v="User Not Mapped"/>
    <s v="User Not Mapped"/>
    <s v="User Not Mapped"/>
    <n v="235562"/>
    <s v="Abdus Samad"/>
    <s v="Private Retailer"/>
    <s v="9933117980"/>
    <n v="10"/>
    <n v="75"/>
    <x v="6"/>
    <m/>
    <s v="2026-02-04"/>
    <s v="223285"/>
    <s v="M/s. Golam Kibria"/>
    <s v="8371889332"/>
  </r>
  <r>
    <s v="RCF Trombay"/>
    <s v="N.C.Urea(45kg)"/>
    <s v="WB"/>
    <x v="16"/>
    <s v="Bhagawangola - I"/>
    <s v="User Not Mapped"/>
    <s v="User Not Mapped"/>
    <s v="User Not Mapped"/>
    <n v="235562"/>
    <s v="Abdus Samad"/>
    <s v="Private Retailer"/>
    <s v="9933117980"/>
    <n v="7.02"/>
    <n v="84"/>
    <x v="6"/>
    <m/>
    <s v="2026-01-26"/>
    <s v="223285"/>
    <s v="M/s. Golam Kibria"/>
    <s v="8371889332"/>
  </r>
  <r>
    <s v="RCF Trombay"/>
    <s v="N.C.Urea(45kg)"/>
    <s v="WB"/>
    <x v="16"/>
    <s v="Khargram"/>
    <s v="User Not Mapped"/>
    <s v="User Not Mapped"/>
    <s v="User Not Mapped"/>
    <n v="624305"/>
    <s v="ABHIJIT GHOSH"/>
    <s v="Private Retailer"/>
    <s v="9733745026"/>
    <n v="3.69"/>
    <n v="873"/>
    <x v="2"/>
    <m/>
    <s v="2023-11-29"/>
    <s v="223285"/>
    <s v="M/s. Golam Kibria"/>
    <s v="8371889332"/>
  </r>
  <r>
    <s v="RCF Trombay"/>
    <s v="15-15-15"/>
    <s v="WB"/>
    <x v="16"/>
    <s v="Nawda"/>
    <s v="User Not Mapped"/>
    <s v="User Not Mapped"/>
    <s v="User Not Mapped"/>
    <n v="235567"/>
    <s v="Afarid Molla"/>
    <s v="Private Retailer"/>
    <s v="9732947892"/>
    <n v="3"/>
    <n v="149"/>
    <x v="4"/>
    <m/>
    <s v="2025-11-22"/>
    <s v="223285"/>
    <s v="M/s. Golam Kibria"/>
    <s v="8371889332"/>
  </r>
  <r>
    <s v="RCF Trombay"/>
    <s v="N.C.Urea(45kg)"/>
    <s v="WB"/>
    <x v="16"/>
    <s v="Nawda"/>
    <s v="User Not Mapped"/>
    <s v="User Not Mapped"/>
    <s v="User Not Mapped"/>
    <n v="235567"/>
    <s v="Afarid Molla"/>
    <s v="Private Retailer"/>
    <s v="9732947892"/>
    <n v="3.33"/>
    <n v="149"/>
    <x v="4"/>
    <m/>
    <s v="2025-11-22"/>
    <s v="223285"/>
    <s v="M/s. Golam Kibria"/>
    <s v="8371889332"/>
  </r>
  <r>
    <s v="RCF Trombay"/>
    <s v="15-15-15"/>
    <s v="WB"/>
    <x v="16"/>
    <s v="Berhampore"/>
    <s v="User Not Mapped"/>
    <s v="User Not Mapped"/>
    <s v="User Not Mapped"/>
    <n v="268438"/>
    <s v="Akman Sk"/>
    <s v="Private Retailer"/>
    <s v="7872125945"/>
    <n v="3.5999999999999997E-2"/>
    <n v="189"/>
    <x v="1"/>
    <m/>
    <s v="2025-10-13"/>
    <s v="223285"/>
    <s v="M/s. Golam Kibria"/>
    <s v="8371889332"/>
  </r>
  <r>
    <s v="RCF Thal"/>
    <s v="N.C.Urea(45kg)"/>
    <s v="WB"/>
    <x v="16"/>
    <s v="Berhampore"/>
    <s v="User Not Mapped"/>
    <s v="User Not Mapped"/>
    <s v="User Not Mapped"/>
    <n v="268438"/>
    <s v="Akman Sk"/>
    <s v="Private Retailer"/>
    <s v="7872125945"/>
    <n v="6.0750000000000002"/>
    <n v="112"/>
    <x v="7"/>
    <m/>
    <s v="2025-12-29"/>
    <s v="223285"/>
    <s v="M/s. Golam Kibria"/>
    <s v="8371889332"/>
  </r>
  <r>
    <s v="RCF Thal"/>
    <s v="N.C.Urea(45kg)"/>
    <s v="WB"/>
    <x v="16"/>
    <s v="Beldanga - II"/>
    <s v="User Not Mapped"/>
    <s v="User Not Mapped"/>
    <s v="User Not Mapped"/>
    <n v="953464"/>
    <s v="ANISUR HOSSAIN MONDAL"/>
    <s v="Private Retailer"/>
    <s v="8926590832"/>
    <n v="0.495"/>
    <n v="857"/>
    <x v="2"/>
    <m/>
    <s v="2023-12-15"/>
    <s v="223285"/>
    <s v="M/s. Golam Kibria"/>
    <s v="8371889332"/>
  </r>
  <r>
    <s v="RCF Trombay"/>
    <s v="N.C.Urea(45kg)"/>
    <s v="WB"/>
    <x v="16"/>
    <s v="Domkal"/>
    <s v="User Not Mapped"/>
    <s v="User Not Mapped"/>
    <s v="User Not Mapped"/>
    <n v="340872"/>
    <s v="Arman Ali"/>
    <s v="Private Retailer"/>
    <s v="9735282343"/>
    <n v="1.98"/>
    <n v="31"/>
    <x v="3"/>
    <m/>
    <s v="2026-03-20"/>
    <s v="223285"/>
    <s v="M/s. Golam Kibria"/>
    <s v="8371889332"/>
  </r>
  <r>
    <s v="RCF Import"/>
    <s v="Imp 10-26-26"/>
    <s v="WB"/>
    <x v="16"/>
    <s v="Berhampore"/>
    <s v="User Not Mapped"/>
    <s v="User Not Mapped"/>
    <s v="User Not Mapped"/>
    <n v="478229"/>
    <s v="Asgar Ali Seikh"/>
    <s v="Private Retailer"/>
    <s v="9733639100"/>
    <n v="0.55000000000000004"/>
    <n v="306"/>
    <x v="1"/>
    <m/>
    <s v="2025-06-18"/>
    <s v="223285"/>
    <s v="M/s. Golam Kibria"/>
    <s v="8371889332"/>
  </r>
  <r>
    <s v="RCF Trombay"/>
    <s v="15-15-15"/>
    <s v="WB"/>
    <x v="16"/>
    <s v="Domkal"/>
    <s v="User Not Mapped"/>
    <s v="User Not Mapped"/>
    <s v="User Not Mapped"/>
    <n v="354750"/>
    <s v="Asmat Ali Mondal"/>
    <s v="Private Retailer"/>
    <s v="8001195193"/>
    <n v="9.6999999999999993"/>
    <n v="39"/>
    <x v="3"/>
    <m/>
    <s v="2026-03-12"/>
    <s v="223285"/>
    <s v="M/s. Golam Kibria"/>
    <s v="8371889332"/>
  </r>
  <r>
    <s v="RCF Thal"/>
    <s v="N.C.Urea(45kg)"/>
    <s v="WB"/>
    <x v="16"/>
    <s v="Domkal"/>
    <s v="User Not Mapped"/>
    <s v="User Not Mapped"/>
    <s v="User Not Mapped"/>
    <n v="354750"/>
    <s v="Asmat Ali Mondal"/>
    <s v="Private Retailer"/>
    <s v="8001195193"/>
    <n v="6.66"/>
    <n v="41"/>
    <x v="3"/>
    <m/>
    <s v="2026-03-10"/>
    <s v="223285"/>
    <s v="M/s. Golam Kibria"/>
    <s v="8371889332"/>
  </r>
  <r>
    <s v="RCF Trombay"/>
    <s v="N.C.Urea(45kg)"/>
    <s v="WB"/>
    <x v="16"/>
    <s v="Domkal"/>
    <s v="User Not Mapped"/>
    <s v="User Not Mapped"/>
    <s v="User Not Mapped"/>
    <n v="354750"/>
    <s v="Asmat Ali Mondal"/>
    <s v="Private Retailer"/>
    <s v="8001195193"/>
    <n v="0.58499999999999996"/>
    <n v="84"/>
    <x v="6"/>
    <m/>
    <s v="2026-01-26"/>
    <s v="223285"/>
    <s v="M/s. Golam Kibria"/>
    <s v="8371889332"/>
  </r>
  <r>
    <s v="RCF Thal"/>
    <s v="N.C.Urea(45kg)"/>
    <s v="WB"/>
    <x v="16"/>
    <s v="Raninagar - II"/>
    <s v="User Not Mapped"/>
    <s v="User Not Mapped"/>
    <s v="User Not Mapped"/>
    <n v="281081"/>
    <s v="Azizur Rahaman "/>
    <s v="State Marketing Federation"/>
    <s v="9735325352"/>
    <n v="5.94"/>
    <n v="112"/>
    <x v="7"/>
    <m/>
    <s v="2025-12-29"/>
    <s v="223285"/>
    <s v="M/s. Golam Kibria"/>
    <s v="8371889332"/>
  </r>
  <r>
    <s v="RCF Trombay"/>
    <s v="15-15-15"/>
    <s v="WB"/>
    <x v="16"/>
    <s v="Raninagar - II"/>
    <s v="User Not Mapped"/>
    <s v="User Not Mapped"/>
    <s v="User Not Mapped"/>
    <n v="281081"/>
    <s v="Azizur Rahaman "/>
    <s v="State Marketing Federation"/>
    <s v="9735325352"/>
    <n v="1E-3"/>
    <n v="149"/>
    <x v="4"/>
    <m/>
    <s v="2025-11-22"/>
    <s v="223285"/>
    <s v="M/s. Golam Kibria"/>
    <s v="8371889332"/>
  </r>
  <r>
    <s v="RCF Import"/>
    <s v="Imp 10-26-26"/>
    <s v="WB"/>
    <x v="16"/>
    <s v="Raninagar - II"/>
    <s v="User Not Mapped"/>
    <s v="User Not Mapped"/>
    <s v="User Not Mapped"/>
    <n v="281081"/>
    <s v="Azizur Rahaman "/>
    <s v="State Marketing Federation"/>
    <s v="9735325352"/>
    <n v="7"/>
    <n v="28"/>
    <x v="5"/>
    <m/>
    <s v="2026-03-23"/>
    <s v="223285"/>
    <s v="M/s. Golam Kibria"/>
    <s v="8371889332"/>
  </r>
  <r>
    <s v="RCF Trombay"/>
    <s v="N.C.Urea(45kg)"/>
    <s v="WB"/>
    <x v="16"/>
    <s v="Raninagar - II"/>
    <s v="User Not Mapped"/>
    <s v="User Not Mapped"/>
    <s v="User Not Mapped"/>
    <n v="281081"/>
    <s v="Azizur Rahaman "/>
    <s v="State Marketing Federation"/>
    <s v="9735325352"/>
    <n v="5.9850000000000003"/>
    <n v="84"/>
    <x v="6"/>
    <m/>
    <s v="2026-01-26"/>
    <s v="223285"/>
    <s v="M/s. Golam Kibria"/>
    <s v="8371889332"/>
  </r>
  <r>
    <s v="RCF Trombay"/>
    <s v="15-15-15"/>
    <s v="WB"/>
    <x v="16"/>
    <s v="Raninagar - II"/>
    <s v="User Not Mapped"/>
    <s v="User Not Mapped"/>
    <s v="User Not Mapped"/>
    <n v="281081"/>
    <s v="Azizur Rahaman "/>
    <s v="State Marketing Federation"/>
    <s v="9735325352"/>
    <n v="1"/>
    <n v="84"/>
    <x v="6"/>
    <m/>
    <s v="2026-01-26"/>
    <s v="223285"/>
    <s v="M/s. Golam Kibria"/>
    <s v="8371889332"/>
  </r>
  <r>
    <s v="RCF Thal"/>
    <s v="N.C.Urea(45kg)"/>
    <s v="WB"/>
    <x v="16"/>
    <s v="Khargram"/>
    <s v="User Not Mapped"/>
    <s v="User Not Mapped"/>
    <s v="User Not Mapped"/>
    <n v="1006479"/>
    <s v="BAPAN MONDAL"/>
    <s v="Private Retailer"/>
    <s v="9775808030"/>
    <n v="1.26"/>
    <n v="112"/>
    <x v="7"/>
    <m/>
    <s v="2025-12-29"/>
    <s v="223285"/>
    <s v="M/s. Golam Kibria"/>
    <s v="8371889332"/>
  </r>
  <r>
    <s v="RCF Thal"/>
    <s v="N.C.Urea(45kg)"/>
    <s v="WB"/>
    <x v="16"/>
    <s v="Kandi"/>
    <s v="User Not Mapped"/>
    <s v="User Not Mapped"/>
    <s v="User Not Mapped"/>
    <n v="477251"/>
    <s v="Bidyut Dutta"/>
    <s v="Private Retailer"/>
    <s v="9126767044"/>
    <n v="8.5050000000000008"/>
    <n v="39"/>
    <x v="3"/>
    <m/>
    <s v="2026-03-12"/>
    <s v="223285"/>
    <s v="M/s. Golam Kibria"/>
    <s v="8371889332"/>
  </r>
  <r>
    <s v="RCF Trombay"/>
    <s v="15-15-15"/>
    <s v="WB"/>
    <x v="16"/>
    <s v="Hariharpara"/>
    <s v="User Not Mapped"/>
    <s v="User Not Mapped"/>
    <s v="User Not Mapped"/>
    <n v="1499768"/>
    <s v="BITTU BANERJEE"/>
    <s v="Private Retailer"/>
    <s v="8617445543"/>
    <n v="1"/>
    <n v="349"/>
    <x v="1"/>
    <m/>
    <s v="2025-05-06"/>
    <s v="223285"/>
    <s v="M/s. Golam Kibria"/>
    <s v="8371889332"/>
  </r>
  <r>
    <s v="RCF Trombay"/>
    <s v="N.C.Urea(45kg)"/>
    <s v="WB"/>
    <x v="16"/>
    <s v="Hariharpara"/>
    <s v="User Not Mapped"/>
    <s v="User Not Mapped"/>
    <s v="User Not Mapped"/>
    <n v="1499768"/>
    <s v="BITTU BANERJEE"/>
    <s v="Private Retailer"/>
    <s v="8617445543"/>
    <n v="2.97"/>
    <n v="353"/>
    <x v="1"/>
    <m/>
    <s v="2025-05-02"/>
    <s v="223285"/>
    <s v="M/s. Golam Kibria"/>
    <s v="8371889332"/>
  </r>
  <r>
    <s v="RCF Trombay"/>
    <s v="15-15-15"/>
    <s v="WB"/>
    <x v="16"/>
    <s v="Kandi"/>
    <s v="User Not Mapped"/>
    <s v="User Not Mapped"/>
    <s v="User Not Mapped"/>
    <n v="945307"/>
    <s v="DEBASIS MONDAL"/>
    <s v="Private Retailer"/>
    <s v="9735684001"/>
    <n v="1"/>
    <n v="72"/>
    <x v="6"/>
    <m/>
    <s v="2026-02-07"/>
    <s v="223285"/>
    <s v="M/s. Golam Kibria"/>
    <s v="8371889332"/>
  </r>
  <r>
    <s v="RCF Import"/>
    <s v="Imp 10-26-26"/>
    <s v="WB"/>
    <x v="16"/>
    <s v="Kandi"/>
    <s v="User Not Mapped"/>
    <s v="User Not Mapped"/>
    <s v="User Not Mapped"/>
    <n v="945307"/>
    <s v="DEBASIS MONDAL"/>
    <s v="Private Retailer"/>
    <s v="9735684001"/>
    <n v="5.4"/>
    <n v="59"/>
    <x v="3"/>
    <m/>
    <s v="2026-02-20"/>
    <s v="223285"/>
    <s v="M/s. Golam Kibria"/>
    <s v="8371889332"/>
  </r>
  <r>
    <s v="RCF Thal"/>
    <s v="N.C.Urea(45kg)"/>
    <s v="WB"/>
    <x v="16"/>
    <s v="Kandi"/>
    <s v="User Not Mapped"/>
    <s v="User Not Mapped"/>
    <s v="User Not Mapped"/>
    <n v="341295"/>
    <s v="Dipak Kumar Das"/>
    <s v="Private Retailer"/>
    <s v="9732094778"/>
    <n v="4.2300000000000004"/>
    <n v="41"/>
    <x v="3"/>
    <m/>
    <s v="2026-03-10"/>
    <s v="223285"/>
    <s v="M/s. Golam Kibria"/>
    <s v="8371889332"/>
  </r>
  <r>
    <s v="RCF Thal"/>
    <s v="N.C.Urea(45kg)"/>
    <s v="WB"/>
    <x v="16"/>
    <s v="Bharatpur - I"/>
    <s v="User Not Mapped"/>
    <s v="User Not Mapped"/>
    <s v="User Not Mapped"/>
    <n v="493953"/>
    <s v="Dulal Chandra Mondal"/>
    <s v="Private Retailer"/>
    <s v="9732785861"/>
    <n v="2.835"/>
    <n v="40"/>
    <x v="3"/>
    <m/>
    <s v="2026-03-11"/>
    <s v="223285"/>
    <s v="M/s. Golam Kibria"/>
    <s v="8371889332"/>
  </r>
  <r>
    <s v="RCF Trombay"/>
    <s v="N.C.Urea(45kg)"/>
    <s v="WB"/>
    <x v="16"/>
    <s v="Khargram"/>
    <s v="User Not Mapped"/>
    <s v="User Not Mapped"/>
    <s v="User Not Mapped"/>
    <n v="280624"/>
    <s v="Faijuddin Mondal"/>
    <s v="Private Retailer"/>
    <s v="9932618608"/>
    <n v="0.45"/>
    <n v="39"/>
    <x v="3"/>
    <m/>
    <s v="2026-03-12"/>
    <s v="223285"/>
    <s v="M/s. Golam Kibria"/>
    <s v="8371889332"/>
  </r>
  <r>
    <s v="RCF Trombay"/>
    <s v="N.C.Urea(45kg)"/>
    <s v="WB"/>
    <x v="16"/>
    <s v="Jalangi"/>
    <s v="User Not Mapped"/>
    <s v="User Not Mapped"/>
    <s v="User Not Mapped"/>
    <n v="862777"/>
    <s v="FARHIN AFROZ"/>
    <s v="Private Retailer"/>
    <s v="9734585698"/>
    <n v="4.9950000000000001"/>
    <n v="39"/>
    <x v="3"/>
    <m/>
    <s v="2026-03-12"/>
    <s v="223285"/>
    <s v="M/s. Golam Kibria"/>
    <s v="8371889332"/>
  </r>
  <r>
    <s v="RCF Import"/>
    <s v="Imp 10-26-26"/>
    <s v="WB"/>
    <x v="16"/>
    <s v="Jalangi"/>
    <s v="User Not Mapped"/>
    <s v="User Not Mapped"/>
    <s v="User Not Mapped"/>
    <n v="862777"/>
    <s v="FARHIN AFROZ"/>
    <s v="Private Retailer"/>
    <s v="9734585698"/>
    <n v="7"/>
    <n v="75"/>
    <x v="6"/>
    <m/>
    <s v="2026-02-04"/>
    <s v="223285"/>
    <s v="M/s. Golam Kibria"/>
    <s v="8371889332"/>
  </r>
  <r>
    <s v="RCF Thal"/>
    <s v="N.C.Urea(45kg)"/>
    <s v="WB"/>
    <x v="16"/>
    <m/>
    <s v="User Not Mapped"/>
    <s v="User Not Mapped"/>
    <s v="User Not Mapped"/>
    <n v="1581062"/>
    <s v="GHOSH FERTILIZER SEED"/>
    <s v="Private Retailer"/>
    <s v="9153432828"/>
    <n v="2.97"/>
    <n v="40"/>
    <x v="3"/>
    <m/>
    <s v="2026-03-11"/>
    <s v="223285"/>
    <s v="M/s. Golam Kibria"/>
    <s v="8371889332"/>
  </r>
  <r>
    <s v="RCF Thal"/>
    <s v="N.C.Urea(45kg)"/>
    <s v="WB"/>
    <x v="16"/>
    <s v="Berhampore"/>
    <s v="User Not Mapped"/>
    <s v="User Not Mapped"/>
    <s v="User Not Mapped"/>
    <n v="464434"/>
    <s v="Golam Martoj Ali"/>
    <s v="Private Retailer"/>
    <s v="9933722475"/>
    <n v="2.97"/>
    <n v="41"/>
    <x v="3"/>
    <m/>
    <s v="2026-03-10"/>
    <s v="223285"/>
    <s v="M/s. Golam Kibria"/>
    <s v="8371889332"/>
  </r>
  <r>
    <s v="RCF Thal"/>
    <s v="N.C.Urea(45kg)"/>
    <s v="WB"/>
    <x v="16"/>
    <s v="Burwan"/>
    <s v="User Not Mapped"/>
    <s v="User Not Mapped"/>
    <s v="User Not Mapped"/>
    <n v="1449883"/>
    <s v="GUJJHA KALI FARMER PRODUCER CO"/>
    <s v="Private Retailer"/>
    <s v="6297068815"/>
    <n v="7.02"/>
    <n v="286"/>
    <x v="1"/>
    <m/>
    <s v="2025-07-08"/>
    <s v="223285"/>
    <s v="M/s. Golam Kibria"/>
    <s v="8371889332"/>
  </r>
  <r>
    <s v="RCF Import"/>
    <s v="Imp 10-26-26"/>
    <s v="WB"/>
    <x v="16"/>
    <m/>
    <s v="User Not Mapped"/>
    <s v="User Not Mapped"/>
    <s v="User Not Mapped"/>
    <n v="355050"/>
    <s v="Jadupati Sarkar"/>
    <s v="Private Retailer"/>
    <s v="9474927312"/>
    <n v="2.1"/>
    <n v="59"/>
    <x v="3"/>
    <m/>
    <s v="2026-02-20"/>
    <s v="223285"/>
    <s v="M/s. Golam Kibria"/>
    <s v="8371889332"/>
  </r>
  <r>
    <s v="RCF Thal"/>
    <s v="N.C.Urea(45kg)"/>
    <s v="WB"/>
    <x v="16"/>
    <m/>
    <s v="User Not Mapped"/>
    <s v="User Not Mapped"/>
    <s v="User Not Mapped"/>
    <n v="355050"/>
    <s v="Jadupati Sarkar"/>
    <s v="Private Retailer"/>
    <s v="9474927312"/>
    <n v="6.7949999999999999"/>
    <n v="41"/>
    <x v="3"/>
    <m/>
    <s v="2026-03-10"/>
    <s v="223285"/>
    <s v="M/s. Golam Kibria"/>
    <s v="8371889332"/>
  </r>
  <r>
    <s v="RCF Thal"/>
    <s v="N.C.Urea(45kg)"/>
    <s v="WB"/>
    <x v="16"/>
    <m/>
    <s v="User Not Mapped"/>
    <s v="User Not Mapped"/>
    <s v="User Not Mapped"/>
    <n v="1414120"/>
    <s v="JAMAL SK"/>
    <s v="Private Retailer"/>
    <s v="8617564882"/>
    <n v="7.02"/>
    <n v="39"/>
    <x v="3"/>
    <m/>
    <s v="2026-03-12"/>
    <s v="223285"/>
    <s v="M/s. Golam Kibria"/>
    <s v="8371889332"/>
  </r>
  <r>
    <s v="RCF Thal"/>
    <s v="N.C.Urea(45kg)"/>
    <s v="WB"/>
    <x v="16"/>
    <s v="Sagardighi"/>
    <s v="User Not Mapped"/>
    <s v="User Not Mapped"/>
    <s v="User Not Mapped"/>
    <n v="913643"/>
    <s v="KARID HASAN"/>
    <s v="Private Retailer"/>
    <s v="9647379894"/>
    <n v="6.93"/>
    <n v="39"/>
    <x v="3"/>
    <m/>
    <s v="2026-03-12"/>
    <s v="223285"/>
    <s v="M/s. Golam Kibria"/>
    <s v="8371889332"/>
  </r>
  <r>
    <s v="RCF Thal"/>
    <s v="N.C.Urea(45kg)"/>
    <s v="WB"/>
    <x v="16"/>
    <m/>
    <s v="User Not Mapped"/>
    <s v="User Not Mapped"/>
    <s v="User Not Mapped"/>
    <n v="235688"/>
    <s v="Kashi Nath Saha"/>
    <s v="Private Retailer"/>
    <s v="9474322438"/>
    <n v="0.315"/>
    <n v="112"/>
    <x v="7"/>
    <m/>
    <s v="2025-12-29"/>
    <s v="223285"/>
    <s v="M/s. Golam Kibria"/>
    <s v="8371889332"/>
  </r>
  <r>
    <s v="RCF Thal"/>
    <s v="N.C.Urea(45kg)"/>
    <s v="WB"/>
    <x v="16"/>
    <s v="Bharatpur - II"/>
    <s v="User Not Mapped"/>
    <s v="User Not Mapped"/>
    <s v="User Not Mapped"/>
    <n v="1480300"/>
    <s v="KRISHI MELA"/>
    <s v="Private Retailer"/>
    <s v="6295816890"/>
    <n v="7.02"/>
    <n v="40"/>
    <x v="3"/>
    <m/>
    <s v="2026-03-11"/>
    <s v="223285"/>
    <s v="M/s. Golam Kibria"/>
    <s v="8371889332"/>
  </r>
  <r>
    <s v="RCF Thal"/>
    <s v="N.C.Urea(45kg)"/>
    <s v="WB"/>
    <x v="16"/>
    <s v="Bharatpur - I"/>
    <s v="User Not Mapped"/>
    <s v="User Not Mapped"/>
    <s v="User Not Mapped"/>
    <n v="533544"/>
    <s v="M/S Amanur Rahaman"/>
    <s v="Private Retailer"/>
    <s v="9735450777"/>
    <n v="12.24"/>
    <n v="41"/>
    <x v="3"/>
    <m/>
    <s v="2026-03-10"/>
    <s v="223285"/>
    <s v="M/s. Golam Kibria"/>
    <s v="8371889332"/>
  </r>
  <r>
    <s v="RCF Thal"/>
    <s v="N.C.Urea(45kg)"/>
    <s v="WB"/>
    <x v="16"/>
    <s v="Beldanga - I"/>
    <s v="User Not Mapped"/>
    <s v="User Not Mapped"/>
    <s v="User Not Mapped"/>
    <n v="1157827"/>
    <s v="M/S MENOKA FERTILIZER"/>
    <s v="Private Retailer"/>
    <s v="9733528547"/>
    <n v="11.61"/>
    <n v="112"/>
    <x v="7"/>
    <m/>
    <s v="2025-12-29"/>
    <s v="223285"/>
    <s v="M/s. Golam Kibria"/>
    <s v="8371889332"/>
  </r>
  <r>
    <s v="RCF Thal"/>
    <s v="N.C.Urea(45kg)"/>
    <s v="WB"/>
    <x v="16"/>
    <s v="Nabagram"/>
    <s v="User Not Mapped"/>
    <s v="User Not Mapped"/>
    <s v="User Not Mapped"/>
    <n v="289254"/>
    <s v="M/s Ohida Bibi"/>
    <s v="Private Retailer"/>
    <s v="8972056519"/>
    <n v="0.72"/>
    <n v="112"/>
    <x v="7"/>
    <m/>
    <s v="2025-12-29"/>
    <s v="223285"/>
    <s v="M/s. Golam Kibria"/>
    <s v="8371889332"/>
  </r>
  <r>
    <s v="RCF Trombay"/>
    <s v="N.C.Urea(45kg)"/>
    <s v="WB"/>
    <x v="16"/>
    <s v="Nabagram"/>
    <s v="User Not Mapped"/>
    <s v="User Not Mapped"/>
    <s v="User Not Mapped"/>
    <n v="289254"/>
    <s v="M/s Ohida Bibi"/>
    <s v="Private Retailer"/>
    <s v="8972056519"/>
    <n v="6.2549999999999999"/>
    <n v="39"/>
    <x v="3"/>
    <m/>
    <s v="2026-03-12"/>
    <s v="223285"/>
    <s v="M/s. Golam Kibria"/>
    <s v="8371889332"/>
  </r>
  <r>
    <s v="RCF Trombay"/>
    <s v="15-15-15"/>
    <s v="WB"/>
    <x v="16"/>
    <s v="Nabagram"/>
    <s v="User Not Mapped"/>
    <s v="User Not Mapped"/>
    <s v="User Not Mapped"/>
    <n v="289254"/>
    <s v="M/s Ohida Bibi"/>
    <s v="Private Retailer"/>
    <s v="8972056519"/>
    <n v="5"/>
    <n v="39"/>
    <x v="3"/>
    <m/>
    <s v="2026-03-12"/>
    <s v="223285"/>
    <s v="M/s. Golam Kibria"/>
    <s v="8371889332"/>
  </r>
  <r>
    <s v="RCF Thal"/>
    <s v="N.C.Urea(45kg)"/>
    <s v="WB"/>
    <x v="16"/>
    <s v="Kandi"/>
    <s v="User Not Mapped"/>
    <s v="User Not Mapped"/>
    <s v="User Not Mapped"/>
    <n v="464426"/>
    <s v="M/S.Siddiqui Fertilizer"/>
    <s v="Private Retailer"/>
    <s v="9932886779"/>
    <n v="9.99"/>
    <n v="41"/>
    <x v="3"/>
    <m/>
    <s v="2026-03-10"/>
    <s v="223285"/>
    <s v="M/s. Golam Kibria"/>
    <s v="8371889332"/>
  </r>
  <r>
    <s v="RCF Trombay"/>
    <s v="15-15-15"/>
    <s v="WB"/>
    <x v="16"/>
    <s v="Nabagram"/>
    <s v="User Not Mapped"/>
    <s v="User Not Mapped"/>
    <s v="User Not Mapped"/>
    <n v="871583"/>
    <s v="MD AMIN ALI"/>
    <s v="Private Retailer"/>
    <s v="9800429560"/>
    <n v="0.7"/>
    <n v="82"/>
    <x v="6"/>
    <m/>
    <s v="2026-01-28"/>
    <s v="223285"/>
    <s v="M/s. Golam Kibria"/>
    <s v="8371889332"/>
  </r>
  <r>
    <s v="RCF Import"/>
    <s v="Imp 10-26-26"/>
    <s v="WB"/>
    <x v="16"/>
    <s v="Nabagram"/>
    <s v="User Not Mapped"/>
    <s v="User Not Mapped"/>
    <s v="User Not Mapped"/>
    <n v="871583"/>
    <s v="MD AMIN ALI"/>
    <s v="Private Retailer"/>
    <s v="9800429560"/>
    <n v="3.2"/>
    <n v="70"/>
    <x v="6"/>
    <m/>
    <s v="2026-02-09"/>
    <s v="223285"/>
    <s v="M/s. Golam Kibria"/>
    <s v="8371889332"/>
  </r>
  <r>
    <s v="RCF Trombay"/>
    <s v="N.C.Urea(45kg)"/>
    <s v="WB"/>
    <x v="16"/>
    <s v="Nabagram"/>
    <s v="User Not Mapped"/>
    <s v="User Not Mapped"/>
    <s v="User Not Mapped"/>
    <n v="871583"/>
    <s v="MD AMIN ALI"/>
    <s v="Private Retailer"/>
    <s v="9800429560"/>
    <n v="3.42"/>
    <n v="149"/>
    <x v="4"/>
    <m/>
    <s v="2025-11-22"/>
    <s v="223285"/>
    <s v="M/s. Golam Kibria"/>
    <s v="8371889332"/>
  </r>
  <r>
    <s v="RCF Thal"/>
    <s v="N.C.Urea(45kg)"/>
    <s v="WB"/>
    <x v="16"/>
    <s v="Lalgola"/>
    <s v="User Not Mapped"/>
    <s v="User Not Mapped"/>
    <s v="User Not Mapped"/>
    <n v="235706"/>
    <s v="Md Ashraf Ali"/>
    <s v="Private Retailer"/>
    <s v="9733973220"/>
    <n v="7.02"/>
    <n v="112"/>
    <x v="7"/>
    <m/>
    <s v="2025-12-29"/>
    <s v="223285"/>
    <s v="M/s. Golam Kibria"/>
    <s v="8371889332"/>
  </r>
  <r>
    <s v="RCF Thal"/>
    <s v="N.C.Urea(45kg)"/>
    <s v="WB"/>
    <x v="16"/>
    <s v="Raghunathganj - I"/>
    <s v="User Not Mapped"/>
    <s v="User Not Mapped"/>
    <s v="User Not Mapped"/>
    <n v="1320508"/>
    <s v="MD DARBESH ALI"/>
    <s v="Private Retailer"/>
    <s v="7602360766"/>
    <n v="5.3550000000000004"/>
    <n v="40"/>
    <x v="3"/>
    <m/>
    <s v="2026-03-11"/>
    <s v="223285"/>
    <s v="M/s. Golam Kibria"/>
    <s v="8371889332"/>
  </r>
  <r>
    <s v="RCF Thal"/>
    <s v="N.C.Urea(45kg)"/>
    <s v="WB"/>
    <x v="16"/>
    <s v="Nabagram"/>
    <s v="User Not Mapped"/>
    <s v="User Not Mapped"/>
    <s v="User Not Mapped"/>
    <n v="289211"/>
    <s v="Md Jakir Hossain"/>
    <s v="Private Retailer"/>
    <s v="9064490313"/>
    <n v="7.02"/>
    <n v="41"/>
    <x v="3"/>
    <m/>
    <s v="2026-03-10"/>
    <s v="223285"/>
    <s v="M/s. Golam Kibria"/>
    <s v="8371889332"/>
  </r>
  <r>
    <s v="RCF Trombay"/>
    <s v="15-15-15"/>
    <s v="WB"/>
    <x v="16"/>
    <s v="Murshidabad Jiaganj"/>
    <s v="User Not Mapped"/>
    <s v="User Not Mapped"/>
    <s v="User Not Mapped"/>
    <n v="940302"/>
    <s v="MD JALAUDDIN SK"/>
    <s v="Private Retailer"/>
    <s v="9733844510"/>
    <n v="1"/>
    <n v="37"/>
    <x v="3"/>
    <m/>
    <s v="2026-03-14"/>
    <s v="223285"/>
    <s v="M/s. Golam Kibria"/>
    <s v="8371889332"/>
  </r>
  <r>
    <s v="RCF Trombay"/>
    <s v="15-15-15"/>
    <s v="WB"/>
    <x v="16"/>
    <m/>
    <s v="User Not Mapped"/>
    <s v="User Not Mapped"/>
    <s v="User Not Mapped"/>
    <n v="1019619"/>
    <s v="MD KUDRATULLAH"/>
    <s v="Private Retailer"/>
    <s v="9800004585"/>
    <n v="0.01"/>
    <n v="2579"/>
    <x v="2"/>
    <m/>
    <s v="2019-03-29"/>
    <s v="223285"/>
    <s v="M/s. Golam Kibria"/>
    <s v="8371889332"/>
  </r>
  <r>
    <s v="RCF Import"/>
    <s v="Imp 10-26-26"/>
    <s v="WB"/>
    <x v="16"/>
    <s v="Murshidabad Jiaganj"/>
    <s v="User Not Mapped"/>
    <s v="User Not Mapped"/>
    <s v="User Not Mapped"/>
    <n v="853393"/>
    <s v="MD MAZED RAHAMAN"/>
    <s v="Private Retailer"/>
    <s v="9564754886"/>
    <n v="4"/>
    <n v="75"/>
    <x v="6"/>
    <m/>
    <s v="2026-02-04"/>
    <s v="223285"/>
    <s v="M/s. Golam Kibria"/>
    <s v="8371889332"/>
  </r>
  <r>
    <s v="RCF Trombay"/>
    <s v="15-15-15"/>
    <s v="WB"/>
    <x v="16"/>
    <s v="Bhagawangola - II"/>
    <s v="User Not Mapped"/>
    <s v="User Not Mapped"/>
    <s v="User Not Mapped"/>
    <n v="341874"/>
    <s v="Md..Habibur Rahman"/>
    <s v="Private Retailer"/>
    <s v="9933398447"/>
    <n v="0.3"/>
    <n v="134"/>
    <x v="4"/>
    <m/>
    <s v="2025-12-07"/>
    <s v="223285"/>
    <s v="M/s. Golam Kibria"/>
    <s v="8371889332"/>
  </r>
  <r>
    <s v="RCF Import"/>
    <s v="Imp 10-26-26"/>
    <s v="WB"/>
    <x v="16"/>
    <s v="Bhagawangola - II"/>
    <s v="User Not Mapped"/>
    <s v="User Not Mapped"/>
    <s v="User Not Mapped"/>
    <n v="341874"/>
    <s v="Md..Habibur Rahman"/>
    <s v="Private Retailer"/>
    <s v="9933398447"/>
    <n v="0.65"/>
    <n v="134"/>
    <x v="4"/>
    <m/>
    <s v="2025-12-07"/>
    <s v="223285"/>
    <s v="M/s. Golam Kibria"/>
    <s v="8371889332"/>
  </r>
  <r>
    <s v="RCF Import"/>
    <s v="Imp 10-26-26"/>
    <s v="WB"/>
    <x v="16"/>
    <s v="Sagardighi"/>
    <s v="User Not Mapped"/>
    <s v="User Not Mapped"/>
    <s v="User Not Mapped"/>
    <n v="473797"/>
    <s v="Minarul Sk"/>
    <s v="Private Retailer"/>
    <s v="8617655438"/>
    <n v="0.5"/>
    <n v="244"/>
    <x v="1"/>
    <m/>
    <s v="2025-08-19"/>
    <s v="223285"/>
    <s v="M/s. Golam Kibria"/>
    <s v="8371889332"/>
  </r>
  <r>
    <s v="RCF Trombay"/>
    <s v="15-15-15"/>
    <s v="WB"/>
    <x v="16"/>
    <s v="Sagardighi"/>
    <s v="User Not Mapped"/>
    <s v="User Not Mapped"/>
    <s v="User Not Mapped"/>
    <n v="473797"/>
    <s v="Minarul Sk"/>
    <s v="Private Retailer"/>
    <s v="8617655438"/>
    <n v="1"/>
    <n v="37"/>
    <x v="3"/>
    <m/>
    <s v="2026-03-14"/>
    <s v="223285"/>
    <s v="M/s. Golam Kibria"/>
    <s v="8371889332"/>
  </r>
  <r>
    <s v="RCF Trombay"/>
    <s v="15-15-15"/>
    <s v="WB"/>
    <x v="16"/>
    <s v="Sagardighi"/>
    <s v="User Not Mapped"/>
    <s v="User Not Mapped"/>
    <s v="User Not Mapped"/>
    <n v="473797"/>
    <s v="Minarul Sk"/>
    <s v="Private Retailer"/>
    <s v="8617655438"/>
    <n v="1"/>
    <n v="39"/>
    <x v="3"/>
    <m/>
    <s v="2026-03-12"/>
    <s v="223285"/>
    <s v="M/s. Golam Kibria"/>
    <s v="8371889332"/>
  </r>
  <r>
    <s v="RCF Thal"/>
    <s v="N.C.Urea(45kg)"/>
    <s v="WB"/>
    <x v="16"/>
    <s v="Kandi"/>
    <s v="User Not Mapped"/>
    <s v="User Not Mapped"/>
    <s v="User Not Mapped"/>
    <n v="555329"/>
    <s v="Mir Sirajul Islam"/>
    <s v="Private Retailer"/>
    <s v="7872522944"/>
    <n v="7.02"/>
    <n v="112"/>
    <x v="7"/>
    <m/>
    <s v="2025-12-29"/>
    <s v="223285"/>
    <s v="M/s. Golam Kibria"/>
    <s v="8371889332"/>
  </r>
  <r>
    <s v="RCF Trombay"/>
    <s v="N.C.Urea(45kg)"/>
    <s v="WB"/>
    <x v="16"/>
    <s v="Kandi"/>
    <s v="User Not Mapped"/>
    <s v="User Not Mapped"/>
    <s v="User Not Mapped"/>
    <n v="555329"/>
    <s v="Mir Sirajul Islam"/>
    <s v="Private Retailer"/>
    <s v="7872522944"/>
    <n v="7.02"/>
    <n v="39"/>
    <x v="3"/>
    <m/>
    <s v="2026-03-12"/>
    <s v="223285"/>
    <s v="M/s. Golam Kibria"/>
    <s v="8371889332"/>
  </r>
  <r>
    <s v="RCF Import"/>
    <s v="Imp 10-26-26"/>
    <s v="WB"/>
    <x v="16"/>
    <s v="Kandi"/>
    <s v="User Not Mapped"/>
    <s v="User Not Mapped"/>
    <s v="User Not Mapped"/>
    <n v="555329"/>
    <s v="Mir Sirajul Islam"/>
    <s v="Private Retailer"/>
    <s v="7872522944"/>
    <n v="3.5"/>
    <n v="59"/>
    <x v="3"/>
    <m/>
    <s v="2026-02-20"/>
    <s v="223285"/>
    <s v="M/s. Golam Kibria"/>
    <s v="8371889332"/>
  </r>
  <r>
    <s v="RCF Thal"/>
    <s v="N.C.Urea(45kg)"/>
    <s v="WB"/>
    <x v="16"/>
    <s v="Bharatpur - II"/>
    <s v="User Not Mapped"/>
    <s v="User Not Mapped"/>
    <s v="User Not Mapped"/>
    <n v="1480305"/>
    <s v="MONDAL KRISHI STORE"/>
    <s v="Private Retailer"/>
    <s v="9733847014"/>
    <n v="0.40500000000000003"/>
    <n v="40"/>
    <x v="3"/>
    <m/>
    <s v="2026-03-11"/>
    <s v="223285"/>
    <s v="M/s. Golam Kibria"/>
    <s v="8371889332"/>
  </r>
  <r>
    <s v="RCF Trombay"/>
    <s v="15-15-15"/>
    <s v="WB"/>
    <x v="16"/>
    <s v="Raninagar - II"/>
    <s v="User Not Mapped"/>
    <s v="User Not Mapped"/>
    <s v="User Not Mapped"/>
    <n v="459540"/>
    <s v="Motiul Islam"/>
    <s v="Private Retailer"/>
    <s v="9735404741"/>
    <n v="17"/>
    <n v="7"/>
    <x v="5"/>
    <m/>
    <s v="2026-04-13"/>
    <s v="223285"/>
    <s v="M/s. Golam Kibria"/>
    <s v="8371889332"/>
  </r>
  <r>
    <s v="RCF Trombay"/>
    <s v="15-15-15"/>
    <s v="WB"/>
    <x v="16"/>
    <s v="Raninagar - II"/>
    <s v="User Not Mapped"/>
    <s v="User Not Mapped"/>
    <s v="User Not Mapped"/>
    <n v="668528"/>
    <s v="MOZAMMEL HAQUE"/>
    <s v="Private Retailer"/>
    <s v="9093601414"/>
    <n v="0.35"/>
    <n v="704"/>
    <x v="2"/>
    <m/>
    <s v="2024-05-16"/>
    <s v="223285"/>
    <s v="M/s. Golam Kibria"/>
    <s v="8371889332"/>
  </r>
  <r>
    <s v="RCF Thal"/>
    <s v="N.C.Urea(45kg)"/>
    <s v="WB"/>
    <x v="16"/>
    <s v="Lalgola"/>
    <s v="User Not Mapped"/>
    <s v="User Not Mapped"/>
    <s v="User Not Mapped"/>
    <n v="1035319"/>
    <s v="MUKLEMA BIBI"/>
    <s v="Private Retailer"/>
    <s v="9647089462"/>
    <n v="0.45"/>
    <n v="231"/>
    <x v="1"/>
    <m/>
    <s v="2025-09-01"/>
    <s v="223285"/>
    <s v="M/s. Golam Kibria"/>
    <s v="8371889332"/>
  </r>
  <r>
    <s v="RCF Thal"/>
    <s v="N.C.Urea(45kg)"/>
    <s v="WB"/>
    <x v="16"/>
    <s v="Khargram"/>
    <s v="User Not Mapped"/>
    <s v="User Not Mapped"/>
    <s v="User Not Mapped"/>
    <n v="270506"/>
    <s v="Naba Kumar Pal"/>
    <s v="Private Retailer"/>
    <s v="9734851750"/>
    <n v="0.18"/>
    <n v="41"/>
    <x v="3"/>
    <m/>
    <s v="2026-03-10"/>
    <s v="223285"/>
    <s v="M/s. Golam Kibria"/>
    <s v="8371889332"/>
  </r>
  <r>
    <s v="RCF Thal"/>
    <s v="N.C.Urea(45kg)"/>
    <s v="WB"/>
    <x v="16"/>
    <s v="Burwan"/>
    <s v="User Not Mapped"/>
    <s v="User Not Mapped"/>
    <s v="User Not Mapped"/>
    <n v="470870"/>
    <s v="Nasirul Islam"/>
    <s v="Private Retailer"/>
    <s v="9647456240"/>
    <n v="14.04"/>
    <n v="41"/>
    <x v="3"/>
    <m/>
    <s v="2026-03-10"/>
    <s v="223285"/>
    <s v="M/s. Golam Kibria"/>
    <s v="8371889332"/>
  </r>
  <r>
    <s v="RCF Trombay"/>
    <s v="N.C.Urea(45kg)"/>
    <s v="WB"/>
    <x v="16"/>
    <s v="Burwan"/>
    <s v="User Not Mapped"/>
    <s v="User Not Mapped"/>
    <s v="User Not Mapped"/>
    <n v="470870"/>
    <s v="Nasirul Islam"/>
    <s v="Private Retailer"/>
    <s v="9647456240"/>
    <n v="0.63"/>
    <n v="84"/>
    <x v="6"/>
    <m/>
    <s v="2026-01-26"/>
    <s v="223285"/>
    <s v="M/s. Golam Kibria"/>
    <s v="8371889332"/>
  </r>
  <r>
    <s v="RCF Trombay"/>
    <s v="N.C.Urea(45kg)"/>
    <s v="WB"/>
    <x v="16"/>
    <s v="Burwan"/>
    <s v="User Not Mapped"/>
    <s v="User Not Mapped"/>
    <s v="User Not Mapped"/>
    <n v="470870"/>
    <s v="Nasirul Islam"/>
    <s v="Private Retailer"/>
    <s v="9647456240"/>
    <n v="14.04"/>
    <n v="39"/>
    <x v="3"/>
    <m/>
    <s v="2026-03-12"/>
    <s v="223285"/>
    <s v="M/s. Golam Kibria"/>
    <s v="8371889332"/>
  </r>
  <r>
    <s v="RCF Trombay"/>
    <s v="15-15-15"/>
    <s v="WB"/>
    <x v="16"/>
    <s v="Kandi"/>
    <s v="User Not Mapped"/>
    <s v="User Not Mapped"/>
    <s v="User Not Mapped"/>
    <n v="1249200"/>
    <s v="NEW PRAMANIK FERTILIZER"/>
    <s v="Private Retailer"/>
    <s v="9732171683"/>
    <n v="0.7"/>
    <n v="149"/>
    <x v="4"/>
    <m/>
    <s v="2025-11-22"/>
    <s v="223285"/>
    <s v="M/s. Golam Kibria"/>
    <s v="8371889332"/>
  </r>
  <r>
    <s v="RCF Thal"/>
    <s v="N.C.Urea(45kg)"/>
    <s v="WB"/>
    <x v="16"/>
    <s v="Sagardighi"/>
    <s v="User Not Mapped"/>
    <s v="User Not Mapped"/>
    <s v="User Not Mapped"/>
    <n v="473389"/>
    <s v="Nure Alam Dewan"/>
    <s v="Private Retailer"/>
    <s v="9733510936"/>
    <n v="7.02"/>
    <n v="9"/>
    <x v="5"/>
    <m/>
    <s v="2026-04-11"/>
    <s v="223285"/>
    <s v="M/s. Golam Kibria"/>
    <s v="8371889332"/>
  </r>
  <r>
    <s v="RCF Thal"/>
    <s v="N.C.Urea(45kg)"/>
    <s v="WB"/>
    <x v="16"/>
    <s v="Khargram"/>
    <s v="User Not Mapped"/>
    <s v="User Not Mapped"/>
    <s v="User Not Mapped"/>
    <n v="1542381"/>
    <s v="PAL FERTILIZER"/>
    <s v="Private Retailer"/>
    <s v="7063374230"/>
    <n v="4.7699999999999996"/>
    <n v="212"/>
    <x v="1"/>
    <m/>
    <s v="2025-09-20"/>
    <s v="223285"/>
    <s v="M/s. Golam Kibria"/>
    <s v="8371889332"/>
  </r>
  <r>
    <s v="RCF Trombay"/>
    <s v="15-15-15"/>
    <s v="WB"/>
    <x v="16"/>
    <s v="Bhagawangola - I"/>
    <s v="User Not Mapped"/>
    <s v="User Not Mapped"/>
    <s v="User Not Mapped"/>
    <n v="476861"/>
    <s v="Rafiqul Islam"/>
    <s v="Private Retailer"/>
    <s v="9732438814"/>
    <n v="4"/>
    <n v="39"/>
    <x v="3"/>
    <m/>
    <s v="2026-03-12"/>
    <s v="223285"/>
    <s v="M/s. Golam Kibria"/>
    <s v="8371889332"/>
  </r>
  <r>
    <s v="RCF Trombay"/>
    <s v="15-15-15"/>
    <s v="WB"/>
    <x v="16"/>
    <s v="Jalangi"/>
    <s v="User Not Mapped"/>
    <s v="User Not Mapped"/>
    <s v="User Not Mapped"/>
    <n v="247488"/>
    <s v="Rajjak Molla"/>
    <s v="Private Retailer"/>
    <s v="9734398462"/>
    <n v="0.7"/>
    <n v="134"/>
    <x v="4"/>
    <m/>
    <s v="2025-12-07"/>
    <s v="223285"/>
    <s v="M/s. Golam Kibria"/>
    <s v="8371889332"/>
  </r>
  <r>
    <s v="RCF Import"/>
    <s v="Imp 10-26-26"/>
    <s v="WB"/>
    <x v="16"/>
    <s v="Jalangi"/>
    <s v="User Not Mapped"/>
    <s v="User Not Mapped"/>
    <s v="User Not Mapped"/>
    <n v="247488"/>
    <s v="Rajjak Molla"/>
    <s v="Private Retailer"/>
    <s v="9734398462"/>
    <n v="5.6"/>
    <n v="75"/>
    <x v="6"/>
    <m/>
    <s v="2026-02-04"/>
    <s v="223285"/>
    <s v="M/s. Golam Kibria"/>
    <s v="8371889332"/>
  </r>
  <r>
    <s v="RCF Thal"/>
    <s v="N.C.Urea(45kg)"/>
    <s v="WB"/>
    <x v="16"/>
    <s v="Raghunathganj - I"/>
    <s v="User Not Mapped"/>
    <s v="User Not Mapped"/>
    <s v="User Not Mapped"/>
    <n v="854854"/>
    <s v="RAKIBUL ISLAM"/>
    <s v="Private Retailer"/>
    <s v="7797226213"/>
    <n v="7.02"/>
    <n v="39"/>
    <x v="3"/>
    <m/>
    <s v="2026-03-12"/>
    <s v="223285"/>
    <s v="M/s. Golam Kibria"/>
    <s v="8371889332"/>
  </r>
  <r>
    <s v="RCF Trombay"/>
    <s v="15-15-15"/>
    <s v="WB"/>
    <x v="16"/>
    <s v="Kandi"/>
    <s v="User Not Mapped"/>
    <s v="User Not Mapped"/>
    <s v="User Not Mapped"/>
    <n v="937828"/>
    <s v="SABINA KHATUN"/>
    <s v="Private Retailer"/>
    <s v="8001636440"/>
    <n v="1"/>
    <n v="72"/>
    <x v="6"/>
    <m/>
    <s v="2026-02-07"/>
    <s v="223285"/>
    <s v="M/s. Golam Kibria"/>
    <s v="8371889332"/>
  </r>
  <r>
    <s v="RCF Trombay"/>
    <s v="15-15-15"/>
    <s v="WB"/>
    <x v="16"/>
    <s v="Kandi"/>
    <s v="User Not Mapped"/>
    <s v="User Not Mapped"/>
    <s v="User Not Mapped"/>
    <n v="937828"/>
    <s v="SABINA KHATUN"/>
    <s v="Private Retailer"/>
    <s v="8001636440"/>
    <n v="2"/>
    <n v="70"/>
    <x v="6"/>
    <m/>
    <s v="2026-02-09"/>
    <s v="223285"/>
    <s v="M/s. Golam Kibria"/>
    <s v="8371889332"/>
  </r>
  <r>
    <s v="RCF Trombay"/>
    <s v="N.C.Urea(45kg)"/>
    <s v="WB"/>
    <x v="16"/>
    <s v="Sagardighi"/>
    <s v="User Not Mapped"/>
    <s v="User Not Mapped"/>
    <s v="User Not Mapped"/>
    <n v="915347"/>
    <s v="SADER ALI"/>
    <s v="Private Retailer"/>
    <s v="7583925523"/>
    <n v="1.915"/>
    <n v="38"/>
    <x v="3"/>
    <m/>
    <s v="2026-03-13"/>
    <s v="223285"/>
    <s v="M/s. Golam Kibria"/>
    <s v="8371889332"/>
  </r>
  <r>
    <s v="RCF Trombay"/>
    <s v="15-15-15"/>
    <s v="WB"/>
    <x v="16"/>
    <s v="Domkal"/>
    <s v="User Not Mapped"/>
    <s v="User Not Mapped"/>
    <s v="User Not Mapped"/>
    <n v="951625"/>
    <s v="SAHABUDDIN MONDAL"/>
    <s v="Private Retailer"/>
    <s v="8001385101"/>
    <n v="8.85"/>
    <n v="84"/>
    <x v="6"/>
    <m/>
    <s v="2026-01-26"/>
    <s v="223285"/>
    <s v="M/s. Golam Kibria"/>
    <s v="8371889332"/>
  </r>
  <r>
    <s v="RCF Trombay"/>
    <s v="15-15-15"/>
    <s v="WB"/>
    <x v="16"/>
    <s v="Bhagawangola - I"/>
    <s v="User Not Mapped"/>
    <s v="User Not Mapped"/>
    <s v="User Not Mapped"/>
    <n v="966188"/>
    <s v="SAHAJUDDIN SK"/>
    <s v="Private Retailer"/>
    <s v="9679390964"/>
    <n v="3"/>
    <n v="53"/>
    <x v="3"/>
    <m/>
    <s v="2026-02-26"/>
    <s v="223285"/>
    <s v="M/s. Golam Kibria"/>
    <s v="8371889332"/>
  </r>
  <r>
    <s v="RCF Import"/>
    <s v="Imp 10-26-26"/>
    <s v="WB"/>
    <x v="16"/>
    <s v="Domkal"/>
    <s v="User Not Mapped"/>
    <s v="User Not Mapped"/>
    <s v="User Not Mapped"/>
    <n v="270530"/>
    <s v="Saiful Islam"/>
    <s v="State Marketing Federation"/>
    <s v="9733591556"/>
    <n v="6"/>
    <n v="28"/>
    <x v="5"/>
    <m/>
    <s v="2026-03-23"/>
    <s v="223285"/>
    <s v="M/s. Golam Kibria"/>
    <s v="8371889332"/>
  </r>
  <r>
    <s v="RCF Thal"/>
    <s v="N.C.Urea(45kg)"/>
    <s v="WB"/>
    <x v="16"/>
    <s v="Kandi"/>
    <s v="User Not Mapped"/>
    <s v="User Not Mapped"/>
    <s v="User Not Mapped"/>
    <n v="342211"/>
    <s v="Samir Kumar P Alit"/>
    <s v="Private Retailer"/>
    <s v="8016519354"/>
    <n v="1.4850000000000001"/>
    <n v="231"/>
    <x v="1"/>
    <m/>
    <s v="2025-09-01"/>
    <s v="223285"/>
    <s v="M/s. Golam Kibria"/>
    <s v="8371889332"/>
  </r>
  <r>
    <s v="RCF Thal"/>
    <s v="N.C.Urea(45kg)"/>
    <s v="WB"/>
    <x v="16"/>
    <s v="Samserganj"/>
    <s v="User Not Mapped"/>
    <s v="User Not Mapped"/>
    <s v="User Not Mapped"/>
    <n v="1140145"/>
    <s v="SAMPA KRISHI GHAR"/>
    <s v="Private Wholsaler"/>
    <s v="9775055288"/>
    <n v="0.05"/>
    <n v="231"/>
    <x v="1"/>
    <s v="'GK/1230'"/>
    <s v="2025-09-01"/>
    <s v="223285"/>
    <s v="M/s. Golam Kibria"/>
    <s v="8371889332"/>
  </r>
  <r>
    <s v="RCF Thal"/>
    <s v="N.C.Urea(45kg)"/>
    <s v="WB"/>
    <x v="16"/>
    <s v="Bhagawangola - I"/>
    <s v="User Not Mapped"/>
    <s v="User Not Mapped"/>
    <s v="User Not Mapped"/>
    <n v="476863"/>
    <s v="Shekh Sadi"/>
    <s v="Private Retailer"/>
    <s v="9064648603"/>
    <n v="3.87"/>
    <n v="231"/>
    <x v="1"/>
    <m/>
    <s v="2025-09-01"/>
    <s v="223285"/>
    <s v="M/s. Golam Kibria"/>
    <s v="8371889332"/>
  </r>
  <r>
    <s v="RCF Thal"/>
    <s v="N.C.Urea(45kg)"/>
    <s v="WB"/>
    <x v="16"/>
    <s v="Raghunathganj - I"/>
    <s v="User Not Mapped"/>
    <s v="User Not Mapped"/>
    <s v="User Not Mapped"/>
    <n v="869187"/>
    <s v="Sk Hasanuzzaman"/>
    <s v="Private Retailer"/>
    <s v="7872104580"/>
    <n v="2.97"/>
    <n v="39"/>
    <x v="3"/>
    <m/>
    <s v="2026-03-12"/>
    <s v="223285"/>
    <s v="M/s. Golam Kibria"/>
    <s v="8371889332"/>
  </r>
  <r>
    <s v="RCF Thal"/>
    <s v="N.C.Urea(45kg)"/>
    <s v="WB"/>
    <x v="16"/>
    <s v="Sagardighi"/>
    <s v="User Not Mapped"/>
    <s v="User Not Mapped"/>
    <s v="User Not Mapped"/>
    <n v="587022"/>
    <s v="SOHEL HODA"/>
    <s v="Private Retailer"/>
    <s v="9734616979"/>
    <n v="3.69"/>
    <n v="40"/>
    <x v="3"/>
    <m/>
    <s v="2026-03-11"/>
    <s v="223285"/>
    <s v="M/s. Golam Kibria"/>
    <s v="8371889332"/>
  </r>
  <r>
    <s v="RCF Trombay"/>
    <s v="15-15-15"/>
    <s v="WB"/>
    <x v="16"/>
    <s v="Raninagar - I"/>
    <s v="User Not Mapped"/>
    <s v="User Not Mapped"/>
    <s v="User Not Mapped"/>
    <n v="270542"/>
    <s v="Soumendra Nath Saha"/>
    <s v="Private Retailer"/>
    <s v="7699547814"/>
    <n v="25"/>
    <n v="14"/>
    <x v="5"/>
    <m/>
    <s v="2026-04-06"/>
    <s v="223285"/>
    <s v="M/s. Golam Kibria"/>
    <s v="8371889332"/>
  </r>
  <r>
    <s v="RCF Trombay"/>
    <s v="15-15-15"/>
    <s v="WB"/>
    <x v="16"/>
    <s v="Domkal"/>
    <s v="User Not Mapped"/>
    <s v="User Not Mapped"/>
    <s v="User Not Mapped"/>
    <n v="356309"/>
    <s v="Sujahan Mondal"/>
    <s v="Private Retailer"/>
    <s v="9732889878"/>
    <n v="6.75"/>
    <n v="39"/>
    <x v="3"/>
    <m/>
    <s v="2026-03-12"/>
    <s v="223285"/>
    <s v="M/s. Golam Kibria"/>
    <s v="8371889332"/>
  </r>
  <r>
    <s v="RCF Trombay"/>
    <s v="N.C.Urea(45kg)"/>
    <s v="WB"/>
    <x v="16"/>
    <s v="Khargram"/>
    <s v="User Not Mapped"/>
    <s v="User Not Mapped"/>
    <s v="User Not Mapped"/>
    <n v="280646"/>
    <s v="SUMIT PRAMANIK"/>
    <s v="Private Retailer"/>
    <s v="9732921396"/>
    <n v="5.8049999999999997"/>
    <n v="39"/>
    <x v="3"/>
    <m/>
    <s v="2026-03-12"/>
    <s v="223285"/>
    <s v="M/s. Golam Kibria"/>
    <s v="8371889332"/>
  </r>
  <r>
    <s v="RCF Trombay"/>
    <s v="15-15-15"/>
    <s v="WB"/>
    <x v="16"/>
    <s v="Khargram"/>
    <s v="User Not Mapped"/>
    <s v="User Not Mapped"/>
    <s v="User Not Mapped"/>
    <n v="280646"/>
    <s v="SUMIT PRAMANIK"/>
    <s v="Private Retailer"/>
    <s v="9732921396"/>
    <n v="1"/>
    <n v="308"/>
    <x v="1"/>
    <m/>
    <s v="2025-06-16"/>
    <s v="223285"/>
    <s v="M/s. Golam Kibria"/>
    <s v="8371889332"/>
  </r>
  <r>
    <s v="RCF Import"/>
    <s v="Imp 10-26-26"/>
    <s v="WB"/>
    <x v="16"/>
    <s v="Bharatpur - I"/>
    <s v="User Not Mapped"/>
    <s v="User Not Mapped"/>
    <s v="User Not Mapped"/>
    <n v="875515"/>
    <s v="SUMSUL HAQUE"/>
    <s v="Private Retailer"/>
    <s v="9734305080"/>
    <n v="1.9"/>
    <n v="329"/>
    <x v="1"/>
    <m/>
    <s v="2025-05-26"/>
    <s v="223285"/>
    <s v="M/s. Golam Kibria"/>
    <s v="8371889332"/>
  </r>
  <r>
    <s v="RCF Trombay"/>
    <s v="N.C.Urea(45kg)"/>
    <s v="WB"/>
    <x v="16"/>
    <m/>
    <s v="User Not Mapped"/>
    <s v="User Not Mapped"/>
    <s v="User Not Mapped"/>
    <n v="1071480"/>
    <s v="TAPAS JOWARDAR"/>
    <s v="Private Retailer"/>
    <s v="8906269371"/>
    <n v="9.5399999999999991"/>
    <n v="839"/>
    <x v="2"/>
    <m/>
    <s v="2024-01-02"/>
    <s v="223285"/>
    <s v="M/s. Golam Kibria"/>
    <s v="8371889332"/>
  </r>
  <r>
    <s v="RCF Thal"/>
    <s v="N.C.Urea(45kg)"/>
    <s v="WB"/>
    <x v="16"/>
    <s v="Suti - II"/>
    <s v="User Not Mapped"/>
    <s v="User Not Mapped"/>
    <s v="User Not Mapped"/>
    <n v="1581060"/>
    <s v="UTTAM ROY"/>
    <s v="Private Retailer"/>
    <s v="7384755446"/>
    <n v="7.02"/>
    <n v="39"/>
    <x v="3"/>
    <m/>
    <s v="2026-03-12"/>
    <s v="223285"/>
    <s v="M/s. Golam Kibria"/>
    <s v="8371889332"/>
  </r>
  <r>
    <s v="RCF Import"/>
    <s v="Imp 10-26-26"/>
    <s v="WB"/>
    <x v="16"/>
    <s v="Hariharpara"/>
    <s v="User Not Mapped"/>
    <s v="User Not Mapped"/>
    <s v="User Not Mapped"/>
    <n v="1581064"/>
    <s v="WASHIM FERTILIZER"/>
    <s v="Private Retailer"/>
    <s v="7031325937"/>
    <n v="7"/>
    <n v="59"/>
    <x v="3"/>
    <m/>
    <s v="2026-02-20"/>
    <s v="223285"/>
    <s v="M/s. Golam Kibria"/>
    <s v="8371889332"/>
  </r>
  <r>
    <s v="RCF Thal"/>
    <s v="N.C.Urea(45kg)"/>
    <s v="WB"/>
    <x v="16"/>
    <s v="Berhampore"/>
    <s v="User Not Mapped"/>
    <s v="User Not Mapped"/>
    <s v="User Not Mapped"/>
    <n v="250925"/>
    <s v="A B Siddique"/>
    <s v="Private Retailer"/>
    <s v="8926049581"/>
    <n v="0.495"/>
    <n v="105"/>
    <x v="7"/>
    <m/>
    <s v="2026-01-05"/>
    <s v="223292"/>
    <s v="M/s. Gouri Sankar Mandal"/>
    <s v="7365965125"/>
  </r>
  <r>
    <s v="RCF Trombay"/>
    <s v="15-15-15"/>
    <s v="WB"/>
    <x v="16"/>
    <s v="Raninagar - II"/>
    <s v="User Not Mapped"/>
    <s v="User Not Mapped"/>
    <s v="User Not Mapped"/>
    <n v="1484105"/>
    <s v="A N AGRO CARE"/>
    <s v="Private Retailer"/>
    <s v="9733068802"/>
    <n v="5"/>
    <n v="147"/>
    <x v="4"/>
    <m/>
    <s v="2025-11-24"/>
    <s v="223292"/>
    <s v="M/s. Gouri Sankar Mandal"/>
    <s v="7365965125"/>
  </r>
  <r>
    <s v="RCF Thal"/>
    <s v="N.C.Urea(45kg)"/>
    <s v="WB"/>
    <x v="16"/>
    <s v="Khargram"/>
    <s v="User Not Mapped"/>
    <s v="User Not Mapped"/>
    <s v="User Not Mapped"/>
    <n v="247427"/>
    <s v="Abdur Roshid"/>
    <s v="Private Retailer"/>
    <s v="9735209940"/>
    <n v="7.02"/>
    <n v="40"/>
    <x v="3"/>
    <m/>
    <s v="2026-03-11"/>
    <s v="223292"/>
    <s v="M/s. Gouri Sankar Mandal"/>
    <s v="7365965125"/>
  </r>
  <r>
    <s v="RCF Thal"/>
    <s v="N.C.Urea(45kg)"/>
    <s v="WB"/>
    <x v="16"/>
    <s v="Suti - I"/>
    <s v="User Not Mapped"/>
    <s v="User Not Mapped"/>
    <s v="User Not Mapped"/>
    <n v="479687"/>
    <s v="Abu Bakkar"/>
    <s v="Private Retailer"/>
    <s v="7384512531"/>
    <n v="1.8"/>
    <n v="30"/>
    <x v="5"/>
    <m/>
    <s v="2026-03-21"/>
    <s v="223292"/>
    <s v="M/s. Gouri Sankar Mandal"/>
    <s v="7365965125"/>
  </r>
  <r>
    <s v="RCF Thal"/>
    <s v="N.C.Urea(45kg)"/>
    <s v="WB"/>
    <x v="16"/>
    <s v="Khargram"/>
    <s v="User Not Mapped"/>
    <s v="User Not Mapped"/>
    <s v="User Not Mapped"/>
    <n v="461910"/>
    <s v="Abul Barkat"/>
    <s v="Private Retailer"/>
    <s v="9733895918"/>
    <n v="7.02"/>
    <n v="40"/>
    <x v="3"/>
    <m/>
    <s v="2026-03-11"/>
    <s v="223292"/>
    <s v="M/s. Gouri Sankar Mandal"/>
    <s v="7365965125"/>
  </r>
  <r>
    <s v="RCF Thal"/>
    <s v="N.C.Urea(45kg)"/>
    <s v="WB"/>
    <x v="16"/>
    <s v="Hariharpara"/>
    <s v="User Not Mapped"/>
    <s v="User Not Mapped"/>
    <s v="User Not Mapped"/>
    <n v="1099735"/>
    <s v="AFROJA BIBI"/>
    <s v="Private Retailer"/>
    <s v="6297448021"/>
    <n v="3.24"/>
    <n v="40"/>
    <x v="3"/>
    <m/>
    <s v="2026-03-11"/>
    <s v="223292"/>
    <s v="M/s. Gouri Sankar Mandal"/>
    <s v="7365965125"/>
  </r>
  <r>
    <s v="RCF Thal"/>
    <s v="N.C.Urea(45kg)"/>
    <s v="WB"/>
    <x v="16"/>
    <m/>
    <s v="User Not Mapped"/>
    <s v="User Not Mapped"/>
    <s v="User Not Mapped"/>
    <n v="946115"/>
    <s v="AKBOR SK"/>
    <s v="Private Retailer"/>
    <s v="8971085856"/>
    <n v="0.22500000000000001"/>
    <n v="2284"/>
    <x v="2"/>
    <m/>
    <s v="2020-01-18"/>
    <s v="223292"/>
    <s v="M/s. Gouri Sankar Mandal"/>
    <s v="7365965125"/>
  </r>
  <r>
    <s v="RCF Thal"/>
    <s v="N.C.Urea(45kg)"/>
    <s v="WB"/>
    <x v="16"/>
    <s v="Sagardighi"/>
    <s v="User Not Mapped"/>
    <s v="User Not Mapped"/>
    <s v="User Not Mapped"/>
    <n v="481122"/>
    <s v="Alimuddin Sk"/>
    <s v="Private Retailer"/>
    <s v="9614003151"/>
    <n v="14.04"/>
    <n v="40"/>
    <x v="3"/>
    <m/>
    <s v="2026-03-11"/>
    <s v="223292"/>
    <s v="M/s. Gouri Sankar Mandal"/>
    <s v="7365965125"/>
  </r>
  <r>
    <s v="RCF Thal"/>
    <s v="N.C.Urea(45kg)"/>
    <s v="WB"/>
    <x v="16"/>
    <s v="Nabagram"/>
    <s v="User Not Mapped"/>
    <s v="User Not Mapped"/>
    <s v="User Not Mapped"/>
    <n v="340769"/>
    <s v="Altafur Rahaman"/>
    <s v="Private Retailer"/>
    <s v="7407912717"/>
    <n v="9.99"/>
    <n v="40"/>
    <x v="3"/>
    <m/>
    <s v="2026-03-11"/>
    <s v="223292"/>
    <s v="M/s. Gouri Sankar Mandal"/>
    <s v="7365965125"/>
  </r>
  <r>
    <s v="RCF Trombay"/>
    <s v="15-15-15"/>
    <s v="WB"/>
    <x v="16"/>
    <s v="Domkal"/>
    <s v="User Not Mapped"/>
    <s v="User Not Mapped"/>
    <s v="User Not Mapped"/>
    <n v="1213343"/>
    <s v="AMRUL ISLAM"/>
    <s v="Private Retailer"/>
    <s v="9647338462"/>
    <n v="7"/>
    <n v="247"/>
    <x v="1"/>
    <m/>
    <s v="2025-08-16"/>
    <s v="223292"/>
    <s v="M/s. Gouri Sankar Mandal"/>
    <s v="7365965125"/>
  </r>
  <r>
    <s v="RCF Import"/>
    <s v="MOP"/>
    <s v="WB"/>
    <x v="16"/>
    <s v="Raghunathganj - I"/>
    <s v="User Not Mapped"/>
    <s v="User Not Mapped"/>
    <s v="User Not Mapped"/>
    <n v="587024"/>
    <s v="ANANTA MONDAL"/>
    <s v="Private Retailer"/>
    <s v="9475678724"/>
    <n v="0.35"/>
    <n v="467"/>
    <x v="0"/>
    <m/>
    <s v="2025-01-08"/>
    <s v="223292"/>
    <s v="M/s. Gouri Sankar Mandal"/>
    <s v="7365965125"/>
  </r>
  <r>
    <s v="RCF Thal"/>
    <s v="N.C.Urea(45kg)"/>
    <s v="WB"/>
    <x v="16"/>
    <s v="Raghunathganj - I"/>
    <s v="User Not Mapped"/>
    <s v="User Not Mapped"/>
    <s v="User Not Mapped"/>
    <n v="587024"/>
    <s v="ANANTA MONDAL"/>
    <s v="Private Retailer"/>
    <s v="9475678724"/>
    <n v="7.02"/>
    <n v="40"/>
    <x v="3"/>
    <m/>
    <s v="2026-03-11"/>
    <s v="223292"/>
    <s v="M/s. Gouri Sankar Mandal"/>
    <s v="7365965125"/>
  </r>
  <r>
    <s v="RCF Import"/>
    <s v="Imp 10-26-26"/>
    <s v="WB"/>
    <x v="16"/>
    <s v="Raghunathganj - I"/>
    <s v="User Not Mapped"/>
    <s v="User Not Mapped"/>
    <s v="User Not Mapped"/>
    <n v="587024"/>
    <s v="ANANTA MONDAL"/>
    <s v="Private Retailer"/>
    <s v="9475678724"/>
    <n v="2"/>
    <n v="136"/>
    <x v="4"/>
    <m/>
    <s v="2025-12-05"/>
    <s v="223292"/>
    <s v="M/s. Gouri Sankar Mandal"/>
    <s v="7365965125"/>
  </r>
  <r>
    <s v="RCF Trombay"/>
    <s v="15-15-15"/>
    <s v="WB"/>
    <x v="16"/>
    <m/>
    <s v="User Not Mapped"/>
    <s v="User Not Mapped"/>
    <s v="User Not Mapped"/>
    <n v="1012492"/>
    <s v="ANOWAR HOSSAIN"/>
    <s v="Private Retailer"/>
    <s v="9732575558"/>
    <n v="1.4"/>
    <n v="2112"/>
    <x v="2"/>
    <m/>
    <s v="2020-07-08"/>
    <s v="223292"/>
    <s v="M/s. Gouri Sankar Mandal"/>
    <s v="7365965125"/>
  </r>
  <r>
    <s v="RCF Thal"/>
    <s v="N.C.Urea(45kg)"/>
    <s v="WB"/>
    <x v="16"/>
    <s v="Nabagram"/>
    <s v="User Not Mapped"/>
    <s v="User Not Mapped"/>
    <s v="User Not Mapped"/>
    <n v="1084833"/>
    <s v="ARFUL MONDAL"/>
    <s v="Private Retailer"/>
    <s v="7029132387"/>
    <n v="7.02"/>
    <n v="40"/>
    <x v="3"/>
    <m/>
    <s v="2026-03-11"/>
    <s v="223292"/>
    <s v="M/s. Gouri Sankar Mandal"/>
    <s v="7365965125"/>
  </r>
  <r>
    <s v="RCF Thal"/>
    <s v="N.C.Urea(45kg)"/>
    <s v="WB"/>
    <x v="16"/>
    <s v="Nabagram"/>
    <s v="User Not Mapped"/>
    <s v="User Not Mapped"/>
    <s v="User Not Mapped"/>
    <n v="1084833"/>
    <s v="ARFUL MONDAL"/>
    <s v="Private Retailer"/>
    <s v="7029132387"/>
    <n v="4.9050000000000002"/>
    <n v="110"/>
    <x v="7"/>
    <m/>
    <s v="2025-12-31"/>
    <s v="223292"/>
    <s v="M/s. Gouri Sankar Mandal"/>
    <s v="7365965125"/>
  </r>
  <r>
    <s v="RCF Thal"/>
    <s v="N.C.Urea(45kg)"/>
    <s v="WB"/>
    <x v="16"/>
    <s v="Sagardighi"/>
    <s v="User Not Mapped"/>
    <s v="User Not Mapped"/>
    <s v="User Not Mapped"/>
    <n v="534612"/>
    <s v="Ashis Bhakat"/>
    <s v="Private Retailer"/>
    <s v="6296349506"/>
    <n v="9.99"/>
    <n v="40"/>
    <x v="3"/>
    <m/>
    <s v="2026-03-11"/>
    <s v="223292"/>
    <s v="M/s. Gouri Sankar Mandal"/>
    <s v="7365965125"/>
  </r>
  <r>
    <s v="RCF Thal"/>
    <s v="N.C.Urea(45kg)"/>
    <s v="WB"/>
    <x v="16"/>
    <s v="Nawda"/>
    <s v="User Not Mapped"/>
    <s v="User Not Mapped"/>
    <s v="User Not Mapped"/>
    <n v="235586"/>
    <s v="Asit Kumar Mondal"/>
    <s v="Private Retailer"/>
    <s v="9732666684"/>
    <n v="6.6150000000000002"/>
    <n v="110"/>
    <x v="7"/>
    <m/>
    <s v="2025-12-31"/>
    <s v="223292"/>
    <s v="M/s. Gouri Sankar Mandal"/>
    <s v="7365965125"/>
  </r>
  <r>
    <s v="RCF Thal"/>
    <s v="N.C.Urea(45kg)"/>
    <s v="WB"/>
    <x v="16"/>
    <s v="Raghunathganj - I"/>
    <s v="User Not Mapped"/>
    <s v="User Not Mapped"/>
    <s v="User Not Mapped"/>
    <n v="483162"/>
    <s v="Babulal Paul"/>
    <s v="Private Retailer"/>
    <s v="7407309046"/>
    <n v="4.7699999999999996"/>
    <n v="40"/>
    <x v="3"/>
    <m/>
    <s v="2026-03-11"/>
    <s v="223292"/>
    <s v="M/s. Gouri Sankar Mandal"/>
    <s v="7365965125"/>
  </r>
  <r>
    <s v="RCF Trombay"/>
    <s v="N.C.Urea(45kg)"/>
    <s v="WB"/>
    <x v="16"/>
    <s v="Sagardighi"/>
    <s v="User Not Mapped"/>
    <s v="User Not Mapped"/>
    <s v="User Not Mapped"/>
    <n v="604418"/>
    <s v="BASIR ALAM"/>
    <s v="Private Retailer"/>
    <s v="9734631024"/>
    <n v="5.67"/>
    <n v="82"/>
    <x v="6"/>
    <m/>
    <s v="2026-01-28"/>
    <s v="223292"/>
    <s v="M/s. Gouri Sankar Mandal"/>
    <s v="7365965125"/>
  </r>
  <r>
    <s v="RCF Import"/>
    <s v="Imp 10-26-26"/>
    <s v="WB"/>
    <x v="16"/>
    <s v="Sagardighi"/>
    <s v="User Not Mapped"/>
    <s v="User Not Mapped"/>
    <s v="User Not Mapped"/>
    <n v="604418"/>
    <s v="BASIR ALAM"/>
    <s v="Private Retailer"/>
    <s v="9734631024"/>
    <n v="7"/>
    <n v="67"/>
    <x v="6"/>
    <m/>
    <s v="2026-02-12"/>
    <s v="223292"/>
    <s v="M/s. Gouri Sankar Mandal"/>
    <s v="7365965125"/>
  </r>
  <r>
    <s v="RCF Thal"/>
    <s v="N.C.Urea(45kg)"/>
    <s v="WB"/>
    <x v="16"/>
    <s v="Sagardighi"/>
    <s v="User Not Mapped"/>
    <s v="User Not Mapped"/>
    <s v="User Not Mapped"/>
    <n v="604418"/>
    <s v="BASIR ALAM"/>
    <s v="Private Retailer"/>
    <s v="9734631024"/>
    <n v="14.04"/>
    <n v="40"/>
    <x v="3"/>
    <m/>
    <s v="2026-03-11"/>
    <s v="223292"/>
    <s v="M/s. Gouri Sankar Mandal"/>
    <s v="7365965125"/>
  </r>
  <r>
    <s v="RCF Thal"/>
    <s v="N.C.Urea(45kg)"/>
    <s v="WB"/>
    <x v="16"/>
    <s v="Nabagram"/>
    <s v="User Not Mapped"/>
    <s v="User Not Mapped"/>
    <s v="User Not Mapped"/>
    <n v="281529"/>
    <s v="Bidhan Mitra"/>
    <s v="Private Retailer"/>
    <s v="9474748450"/>
    <n v="9.99"/>
    <n v="34"/>
    <x v="3"/>
    <m/>
    <s v="2026-03-17"/>
    <s v="223292"/>
    <s v="M/s. Gouri Sankar Mandal"/>
    <s v="7365965125"/>
  </r>
  <r>
    <s v="RCF Thal"/>
    <s v="N.C.Urea(45kg)"/>
    <s v="WB"/>
    <x v="16"/>
    <s v="Nabagram"/>
    <s v="User Not Mapped"/>
    <s v="User Not Mapped"/>
    <s v="User Not Mapped"/>
    <n v="281529"/>
    <s v="Bidhan Mitra"/>
    <s v="Private Retailer"/>
    <s v="9474748450"/>
    <n v="2.0249999999999999"/>
    <n v="158"/>
    <x v="4"/>
    <m/>
    <s v="2025-11-13"/>
    <s v="223292"/>
    <s v="M/s. Gouri Sankar Mandal"/>
    <s v="7365965125"/>
  </r>
  <r>
    <s v="RCF Trombay"/>
    <s v="N.C.Urea(45kg)"/>
    <s v="WB"/>
    <x v="16"/>
    <s v="Sagardighi"/>
    <s v="User Not Mapped"/>
    <s v="User Not Mapped"/>
    <s v="User Not Mapped"/>
    <n v="882155"/>
    <s v="BIKASH MITRA"/>
    <s v="Private Retailer"/>
    <s v="9647491795"/>
    <n v="1.89"/>
    <n v="822"/>
    <x v="2"/>
    <m/>
    <s v="2024-01-19"/>
    <s v="223292"/>
    <s v="M/s. Gouri Sankar Mandal"/>
    <s v="7365965125"/>
  </r>
  <r>
    <s v="RCF Import"/>
    <s v="MOP"/>
    <s v="WB"/>
    <x v="16"/>
    <s v="Sagardighi"/>
    <s v="User Not Mapped"/>
    <s v="User Not Mapped"/>
    <s v="User Not Mapped"/>
    <n v="882155"/>
    <s v="BIKASH MITRA"/>
    <s v="Private Retailer"/>
    <s v="9647491795"/>
    <n v="0.5"/>
    <n v="388"/>
    <x v="0"/>
    <m/>
    <s v="2025-03-28"/>
    <s v="223292"/>
    <s v="M/s. Gouri Sankar Mandal"/>
    <s v="7365965125"/>
  </r>
  <r>
    <s v="RCF Import"/>
    <s v="MOP"/>
    <s v="WB"/>
    <x v="16"/>
    <s v="Murshidabad Jiaganj"/>
    <s v="User Not Mapped"/>
    <s v="User Not Mapped"/>
    <s v="User Not Mapped"/>
    <n v="767924"/>
    <s v="BIMAN MONDAL"/>
    <s v="Private Retailer"/>
    <s v="9732334722"/>
    <n v="0.5"/>
    <n v="258"/>
    <x v="1"/>
    <m/>
    <s v="2025-08-05"/>
    <s v="223292"/>
    <s v="M/s. Gouri Sankar Mandal"/>
    <s v="7365965125"/>
  </r>
  <r>
    <s v="RCF Trombay"/>
    <s v="15-15-15"/>
    <s v="WB"/>
    <x v="16"/>
    <s v="Nabagram"/>
    <s v="User Not Mapped"/>
    <s v="User Not Mapped"/>
    <s v="User Not Mapped"/>
    <n v="533396"/>
    <s v="CHASHI GHAR"/>
    <s v="Private Retailer"/>
    <s v="9732877862"/>
    <n v="1.5"/>
    <n v="30"/>
    <x v="5"/>
    <m/>
    <s v="2026-03-21"/>
    <s v="223292"/>
    <s v="M/s. Gouri Sankar Mandal"/>
    <s v="7365965125"/>
  </r>
  <r>
    <s v="RCF Thal"/>
    <s v="N.C.Urea(45kg)"/>
    <s v="WB"/>
    <x v="16"/>
    <s v="Domkal"/>
    <s v="User Not Mapped"/>
    <s v="User Not Mapped"/>
    <s v="User Not Mapped"/>
    <n v="1289100"/>
    <s v="ENAFUL ISLAM MONDAL"/>
    <s v="Private Retailer"/>
    <s v="9733780198"/>
    <n v="0.22500000000000001"/>
    <n v="280"/>
    <x v="1"/>
    <m/>
    <s v="2025-07-14"/>
    <s v="223292"/>
    <s v="M/s. Gouri Sankar Mandal"/>
    <s v="7365965125"/>
  </r>
  <r>
    <s v="RCF Thal"/>
    <s v="N.C.Urea(45kg)"/>
    <s v="WB"/>
    <x v="16"/>
    <s v="Hariharpara"/>
    <s v="User Not Mapped"/>
    <s v="User Not Mapped"/>
    <s v="User Not Mapped"/>
    <n v="1249794"/>
    <s v="FARUK SAIKH"/>
    <s v="Private Retailer"/>
    <s v="9647978943"/>
    <n v="0.76500000000000001"/>
    <n v="453"/>
    <x v="0"/>
    <m/>
    <s v="2025-01-22"/>
    <s v="223292"/>
    <s v="M/s. Gouri Sankar Mandal"/>
    <s v="7365965125"/>
  </r>
  <r>
    <s v="RCF Thal"/>
    <s v="N.C.Urea(45kg)"/>
    <s v="WB"/>
    <x v="16"/>
    <s v="Burwan"/>
    <s v="User Not Mapped"/>
    <s v="User Not Mapped"/>
    <s v="User Not Mapped"/>
    <n v="247446"/>
    <s v="Firoze Shaikh"/>
    <s v="Private Retailer"/>
    <s v="9734773573"/>
    <n v="4.32"/>
    <n v="283"/>
    <x v="1"/>
    <m/>
    <s v="2025-07-11"/>
    <s v="223292"/>
    <s v="M/s. Gouri Sankar Mandal"/>
    <s v="7365965125"/>
  </r>
  <r>
    <s v="RCF Thal"/>
    <s v="N.C.Urea(45kg)"/>
    <s v="WB"/>
    <x v="16"/>
    <s v="Hariharpara"/>
    <s v="User Not Mapped"/>
    <s v="User Not Mapped"/>
    <s v="User Not Mapped"/>
    <n v="1071576"/>
    <s v="HABIBUR RAHAMAN"/>
    <s v="Private Retailer"/>
    <s v="7908405263"/>
    <n v="6.0750000000000002"/>
    <n v="105"/>
    <x v="7"/>
    <m/>
    <s v="2026-01-05"/>
    <s v="223292"/>
    <s v="M/s. Gouri Sankar Mandal"/>
    <s v="7365965125"/>
  </r>
  <r>
    <s v="RCF Thal"/>
    <s v="N.C.Urea(45kg)"/>
    <s v="WB"/>
    <x v="16"/>
    <s v="Hariharpara"/>
    <s v="User Not Mapped"/>
    <s v="User Not Mapped"/>
    <s v="User Not Mapped"/>
    <n v="341472"/>
    <s v="Hasanuzzaman"/>
    <s v="Private Retailer"/>
    <s v="8945938909"/>
    <n v="2.79"/>
    <n v="111"/>
    <x v="7"/>
    <m/>
    <s v="2025-12-30"/>
    <s v="223292"/>
    <s v="M/s. Gouri Sankar Mandal"/>
    <s v="7365965125"/>
  </r>
  <r>
    <s v="RCF Thal"/>
    <s v="N.C.Urea(45kg)"/>
    <s v="WB"/>
    <x v="16"/>
    <s v="Nawda"/>
    <s v="User Not Mapped"/>
    <s v="User Not Mapped"/>
    <s v="User Not Mapped"/>
    <n v="1298261"/>
    <s v="JAKIA KHATUN"/>
    <s v="Private Retailer"/>
    <s v="9735465985"/>
    <n v="2.16"/>
    <n v="105"/>
    <x v="7"/>
    <m/>
    <s v="2026-01-05"/>
    <s v="223292"/>
    <s v="M/s. Gouri Sankar Mandal"/>
    <s v="7365965125"/>
  </r>
  <r>
    <s v="RCF Thal"/>
    <s v="N.C.Urea(45kg)"/>
    <s v="WB"/>
    <x v="16"/>
    <s v="Nabagram"/>
    <s v="User Not Mapped"/>
    <s v="User Not Mapped"/>
    <s v="User Not Mapped"/>
    <n v="269974"/>
    <s v="Jasimuddin S.K."/>
    <s v="Private Retailer"/>
    <s v="9933557942"/>
    <n v="4.95"/>
    <n v="40"/>
    <x v="3"/>
    <m/>
    <s v="2026-03-11"/>
    <s v="223292"/>
    <s v="M/s. Gouri Sankar Mandal"/>
    <s v="7365965125"/>
  </r>
  <r>
    <s v="RCF Trombay"/>
    <s v="N.C.Urea(45kg)"/>
    <s v="WB"/>
    <x v="16"/>
    <s v="Hariharpara"/>
    <s v="User Not Mapped"/>
    <s v="User Not Mapped"/>
    <s v="User Not Mapped"/>
    <n v="289200"/>
    <s v="Khairul Hasan"/>
    <s v="Private Retailer"/>
    <s v="9434639541"/>
    <n v="12.69"/>
    <n v="29"/>
    <x v="5"/>
    <m/>
    <s v="2026-03-22"/>
    <s v="223292"/>
    <s v="M/s. Gouri Sankar Mandal"/>
    <s v="7365965125"/>
  </r>
  <r>
    <s v="RCF Trombay"/>
    <s v="N.C.Urea(45kg)"/>
    <s v="WB"/>
    <x v="16"/>
    <s v="Sagardighi"/>
    <s v="User Not Mapped"/>
    <s v="User Not Mapped"/>
    <s v="User Not Mapped"/>
    <n v="1594915"/>
    <s v="KRISHI GHAR"/>
    <s v="Private Retailer"/>
    <s v="8016412410"/>
    <n v="7.02"/>
    <n v="29"/>
    <x v="5"/>
    <m/>
    <s v="2026-03-22"/>
    <s v="223292"/>
    <s v="M/s. Gouri Sankar Mandal"/>
    <s v="7365965125"/>
  </r>
  <r>
    <s v="RCF Trombay"/>
    <s v="N.C.Urea(45kg)"/>
    <s v="WB"/>
    <x v="16"/>
    <s v="Nabagram"/>
    <s v="User Not Mapped"/>
    <s v="User Not Mapped"/>
    <s v="User Not Mapped"/>
    <n v="270496"/>
    <s v="M/S Adhir Singha"/>
    <s v="Private Retailer"/>
    <s v="9733653392"/>
    <n v="12.015000000000001"/>
    <n v="29"/>
    <x v="5"/>
    <m/>
    <s v="2026-03-22"/>
    <s v="223292"/>
    <s v="M/s. Gouri Sankar Mandal"/>
    <s v="7365965125"/>
  </r>
  <r>
    <s v="RCF Thal"/>
    <s v="N.C.Urea(45kg)"/>
    <s v="WB"/>
    <x v="16"/>
    <s v="Domkal"/>
    <s v="User Not Mapped"/>
    <s v="User Not Mapped"/>
    <s v="User Not Mapped"/>
    <n v="1150972"/>
    <s v="M/S BISWAS FERTILISER"/>
    <s v="Private Retailer"/>
    <s v="9775444732"/>
    <n v="0.94499999999999995"/>
    <n v="110"/>
    <x v="7"/>
    <m/>
    <s v="2025-12-31"/>
    <s v="223292"/>
    <s v="M/s. Gouri Sankar Mandal"/>
    <s v="7365965125"/>
  </r>
  <r>
    <s v="RCF Trombay"/>
    <s v="N.C.Urea(45kg)"/>
    <s v="WB"/>
    <x v="16"/>
    <s v="Beldanga - I"/>
    <s v="User Not Mapped"/>
    <s v="User Not Mapped"/>
    <s v="User Not Mapped"/>
    <n v="1157827"/>
    <s v="M/S MENOKA FERTILIZER"/>
    <s v="Private Retailer"/>
    <s v="9733528547"/>
    <n v="12.015000000000001"/>
    <n v="29"/>
    <x v="5"/>
    <m/>
    <s v="2026-03-22"/>
    <s v="223292"/>
    <s v="M/s. Gouri Sankar Mandal"/>
    <s v="7365965125"/>
  </r>
  <r>
    <s v="RCF Thal"/>
    <s v="N.C.Urea(45kg)"/>
    <s v="WB"/>
    <x v="16"/>
    <s v="Hariharpara"/>
    <s v="User Not Mapped"/>
    <s v="User Not Mapped"/>
    <s v="User Not Mapped"/>
    <n v="1288410"/>
    <s v="M/S MOLLA FERTILIZER"/>
    <s v="Private Retailer"/>
    <s v="6296453102"/>
    <n v="8.64"/>
    <n v="111"/>
    <x v="7"/>
    <m/>
    <s v="2025-12-30"/>
    <s v="223292"/>
    <s v="M/s. Gouri Sankar Mandal"/>
    <s v="7365965125"/>
  </r>
  <r>
    <s v="RCF Trombay"/>
    <s v="15-15-15"/>
    <s v="WB"/>
    <x v="16"/>
    <s v="Nabagram"/>
    <s v="User Not Mapped"/>
    <s v="User Not Mapped"/>
    <s v="User Not Mapped"/>
    <n v="1054075"/>
    <s v="M/S RABIUL ALAM"/>
    <s v="Private Retailer"/>
    <s v="8436080205"/>
    <n v="0.75"/>
    <n v="446"/>
    <x v="0"/>
    <m/>
    <s v="2025-01-29"/>
    <s v="223292"/>
    <s v="M/s. Gouri Sankar Mandal"/>
    <s v="7365965125"/>
  </r>
  <r>
    <s v="RCF Thal"/>
    <s v="N.C.Urea(45kg)"/>
    <s v="WB"/>
    <x v="16"/>
    <s v="Nabagram"/>
    <s v="User Not Mapped"/>
    <s v="User Not Mapped"/>
    <s v="User Not Mapped"/>
    <n v="1054075"/>
    <s v="M/S RABIUL ALAM"/>
    <s v="Private Retailer"/>
    <s v="8436080205"/>
    <n v="5.58"/>
    <n v="446"/>
    <x v="0"/>
    <m/>
    <s v="2025-01-29"/>
    <s v="223292"/>
    <s v="M/s. Gouri Sankar Mandal"/>
    <s v="7365965125"/>
  </r>
  <r>
    <s v="RCF Thal"/>
    <s v="N.C.Urea(45kg)"/>
    <s v="WB"/>
    <x v="16"/>
    <s v="Kandi"/>
    <s v="User Not Mapped"/>
    <s v="User Not Mapped"/>
    <s v="User Not Mapped"/>
    <n v="464426"/>
    <s v="M/S.Siddiqui Fertilizer"/>
    <s v="Private Retailer"/>
    <s v="9932886779"/>
    <n v="9.99"/>
    <n v="40"/>
    <x v="3"/>
    <m/>
    <s v="2026-03-11"/>
    <s v="223292"/>
    <s v="M/s. Gouri Sankar Mandal"/>
    <s v="7365965125"/>
  </r>
  <r>
    <s v="RCF Thal"/>
    <s v="N.C.Urea(45kg)"/>
    <s v="WB"/>
    <x v="16"/>
    <s v="Nawda"/>
    <s v="User Not Mapped"/>
    <s v="User Not Mapped"/>
    <s v="User Not Mapped"/>
    <n v="879505"/>
    <s v="Manjarul sheikh"/>
    <s v="Private Retailer"/>
    <s v="8926606163"/>
    <n v="3.87"/>
    <n v="105"/>
    <x v="7"/>
    <m/>
    <s v="2026-01-05"/>
    <s v="223292"/>
    <s v="M/s. Gouri Sankar Mandal"/>
    <s v="7365965125"/>
  </r>
  <r>
    <s v="RCF Trombay"/>
    <s v="N.C.Urea(45kg)"/>
    <s v="WB"/>
    <x v="16"/>
    <s v="Murshidabad Jiaganj"/>
    <s v="User Not Mapped"/>
    <s v="User Not Mapped"/>
    <s v="User Not Mapped"/>
    <n v="640980"/>
    <s v="MD GOLABUR RAHAMAN"/>
    <s v="Private Retailer"/>
    <s v="8918047011"/>
    <n v="3.87"/>
    <n v="147"/>
    <x v="4"/>
    <m/>
    <s v="2025-11-24"/>
    <s v="223292"/>
    <s v="M/s. Gouri Sankar Mandal"/>
    <s v="7365965125"/>
  </r>
  <r>
    <s v="RCF Thal"/>
    <s v="N.C.Urea(45kg)"/>
    <s v="WB"/>
    <x v="16"/>
    <s v="Burwan"/>
    <s v="User Not Mapped"/>
    <s v="User Not Mapped"/>
    <s v="User Not Mapped"/>
    <n v="247467"/>
    <s v="Md Kafarul Hossain"/>
    <s v="Private Retailer"/>
    <s v="9732618645"/>
    <n v="10.215"/>
    <n v="34"/>
    <x v="3"/>
    <m/>
    <s v="2026-03-17"/>
    <s v="223292"/>
    <s v="M/s. Gouri Sankar Mandal"/>
    <s v="7365965125"/>
  </r>
  <r>
    <s v="RCF Thal"/>
    <s v="N.C.Urea(45kg)"/>
    <s v="WB"/>
    <x v="16"/>
    <s v="Bhagawangola - I"/>
    <s v="User Not Mapped"/>
    <s v="User Not Mapped"/>
    <s v="User Not Mapped"/>
    <n v="949990"/>
    <s v="MD NABIUL SK"/>
    <s v="Private Retailer"/>
    <s v="9733812230"/>
    <n v="1.2150000000000001"/>
    <n v="34"/>
    <x v="3"/>
    <m/>
    <s v="2026-03-17"/>
    <s v="223292"/>
    <s v="M/s. Gouri Sankar Mandal"/>
    <s v="7365965125"/>
  </r>
  <r>
    <s v="RCF Trombay"/>
    <s v="N.C.Urea(45kg)"/>
    <s v="WB"/>
    <x v="16"/>
    <s v="Lalgola"/>
    <s v="User Not Mapped"/>
    <s v="User Not Mapped"/>
    <s v="User Not Mapped"/>
    <n v="845407"/>
    <s v="MD PIARUL ISLAM"/>
    <s v="Private Retailer"/>
    <s v="7585003731"/>
    <n v="7.02"/>
    <n v="454"/>
    <x v="0"/>
    <m/>
    <s v="2025-01-21"/>
    <s v="223292"/>
    <s v="M/s. Gouri Sankar Mandal"/>
    <s v="7365965125"/>
  </r>
  <r>
    <s v="RCF Trombay"/>
    <s v="N.C.Urea(45kg)"/>
    <s v="WB"/>
    <x v="16"/>
    <s v="Lalgola"/>
    <s v="User Not Mapped"/>
    <s v="User Not Mapped"/>
    <s v="User Not Mapped"/>
    <n v="845407"/>
    <s v="MD PIARUL ISLAM"/>
    <s v="Private Retailer"/>
    <s v="7585003731"/>
    <n v="5.13"/>
    <n v="511"/>
    <x v="0"/>
    <m/>
    <s v="2024-11-25"/>
    <s v="223292"/>
    <s v="M/s. Gouri Sankar Mandal"/>
    <s v="7365965125"/>
  </r>
  <r>
    <s v="RCF Trombay"/>
    <s v="15-15-15"/>
    <s v="WB"/>
    <x v="16"/>
    <s v="Lalgola"/>
    <s v="User Not Mapped"/>
    <s v="User Not Mapped"/>
    <s v="User Not Mapped"/>
    <n v="845407"/>
    <s v="MD PIARUL ISLAM"/>
    <s v="Private Retailer"/>
    <s v="7585003731"/>
    <n v="0.5"/>
    <n v="454"/>
    <x v="0"/>
    <m/>
    <s v="2025-01-21"/>
    <s v="223292"/>
    <s v="M/s. Gouri Sankar Mandal"/>
    <s v="7365965125"/>
  </r>
  <r>
    <s v="RCF Thal"/>
    <s v="N.C.Urea(45kg)"/>
    <s v="WB"/>
    <x v="16"/>
    <s v="Bharatpur - II"/>
    <s v="User Not Mapped"/>
    <s v="User Not Mapped"/>
    <s v="User Not Mapped"/>
    <n v="1034470"/>
    <s v="MD SAIFUDDIN"/>
    <s v="Private Retailer"/>
    <s v="8327617593"/>
    <n v="1.62"/>
    <n v="277"/>
    <x v="1"/>
    <m/>
    <s v="2025-07-17"/>
    <s v="223292"/>
    <s v="M/s. Gouri Sankar Mandal"/>
    <s v="7365965125"/>
  </r>
  <r>
    <s v="RCF Trombay"/>
    <s v="N.C.Urea(45kg)"/>
    <s v="WB"/>
    <x v="16"/>
    <s v="Sagardighi"/>
    <s v="User Not Mapped"/>
    <s v="User Not Mapped"/>
    <s v="User Not Mapped"/>
    <n v="913579"/>
    <s v="MD ZINARUL SEKH"/>
    <s v="Private Retailer"/>
    <s v="6297394266"/>
    <n v="2.2050000000000001"/>
    <n v="118"/>
    <x v="7"/>
    <m/>
    <s v="2025-12-23"/>
    <s v="223292"/>
    <s v="M/s. Gouri Sankar Mandal"/>
    <s v="7365965125"/>
  </r>
  <r>
    <s v="RCF Import"/>
    <s v="MOP"/>
    <s v="WB"/>
    <x v="16"/>
    <s v="Sagardighi"/>
    <s v="User Not Mapped"/>
    <s v="User Not Mapped"/>
    <s v="User Not Mapped"/>
    <n v="913579"/>
    <s v="MD ZINARUL SEKH"/>
    <s v="Private Retailer"/>
    <s v="6297394266"/>
    <n v="0.25"/>
    <n v="208"/>
    <x v="1"/>
    <m/>
    <s v="2025-09-24"/>
    <s v="223292"/>
    <s v="M/s. Gouri Sankar Mandal"/>
    <s v="7365965125"/>
  </r>
  <r>
    <s v="RCF Thal"/>
    <s v="N.C.Urea(45kg)"/>
    <s v="WB"/>
    <x v="16"/>
    <s v="Sagardighi"/>
    <s v="User Not Mapped"/>
    <s v="User Not Mapped"/>
    <s v="User Not Mapped"/>
    <n v="913579"/>
    <s v="MD ZINARUL SEKH"/>
    <s v="Private Retailer"/>
    <s v="6297394266"/>
    <n v="4.8600000000000003"/>
    <n v="40"/>
    <x v="3"/>
    <m/>
    <s v="2026-03-11"/>
    <s v="223292"/>
    <s v="M/s. Gouri Sankar Mandal"/>
    <s v="7365965125"/>
  </r>
  <r>
    <s v="RCF Trombay"/>
    <s v="15-15-15"/>
    <s v="WB"/>
    <x v="16"/>
    <s v="Murshidabad Jiaganj"/>
    <s v="User Not Mapped"/>
    <s v="User Not Mapped"/>
    <s v="User Not Mapped"/>
    <n v="553436"/>
    <s v="Md.Sariful Biswas"/>
    <s v="Private Retailer"/>
    <s v="9734430509"/>
    <n v="0.5"/>
    <n v="82"/>
    <x v="6"/>
    <m/>
    <s v="2026-01-28"/>
    <s v="223292"/>
    <s v="M/s. Gouri Sankar Mandal"/>
    <s v="7365965125"/>
  </r>
  <r>
    <s v="RCF Thal"/>
    <s v="N.C.Urea(45kg)"/>
    <s v="WB"/>
    <x v="16"/>
    <s v="Suti - II"/>
    <s v="User Not Mapped"/>
    <s v="User Not Mapped"/>
    <s v="User Not Mapped"/>
    <n v="998698"/>
    <s v="MITHUN DAS"/>
    <s v="Private Retailer"/>
    <s v="7430956957"/>
    <n v="5.085"/>
    <n v="98"/>
    <x v="7"/>
    <m/>
    <s v="2026-01-12"/>
    <s v="223292"/>
    <s v="M/s. Gouri Sankar Mandal"/>
    <s v="7365965125"/>
  </r>
  <r>
    <s v="RCF Thal"/>
    <s v="N.C.Urea(45kg)"/>
    <s v="WB"/>
    <x v="16"/>
    <s v="Sagardighi"/>
    <s v="User Not Mapped"/>
    <s v="User Not Mapped"/>
    <s v="User Not Mapped"/>
    <n v="289230"/>
    <s v="Mominul Shaikh"/>
    <s v="Private Retailer"/>
    <s v="9775634052"/>
    <n v="2.0249999999999999"/>
    <n v="40"/>
    <x v="3"/>
    <m/>
    <s v="2026-03-11"/>
    <s v="223292"/>
    <s v="M/s. Gouri Sankar Mandal"/>
    <s v="7365965125"/>
  </r>
  <r>
    <s v="RCF Thal"/>
    <s v="N.C.Urea(45kg)"/>
    <s v="WB"/>
    <x v="16"/>
    <s v="Nabagram"/>
    <s v="User Not Mapped"/>
    <s v="User Not Mapped"/>
    <s v="User Not Mapped"/>
    <n v="1116674"/>
    <s v="Motiur Rahaman"/>
    <s v="Private Retailer"/>
    <s v="7908069607"/>
    <n v="9.1349999999999998"/>
    <n v="40"/>
    <x v="3"/>
    <m/>
    <s v="2026-03-11"/>
    <s v="223292"/>
    <s v="M/s. Gouri Sankar Mandal"/>
    <s v="7365965125"/>
  </r>
  <r>
    <s v="RCF Thal"/>
    <s v="N.C.Urea(45kg)"/>
    <s v="WB"/>
    <x v="16"/>
    <m/>
    <s v="User Not Mapped"/>
    <s v="User Not Mapped"/>
    <s v="User Not Mapped"/>
    <n v="289246"/>
    <s v="Muklesh Biswas"/>
    <s v="State Marketing Federation"/>
    <s v="9733941741"/>
    <n v="9.99"/>
    <n v="40"/>
    <x v="3"/>
    <m/>
    <s v="2026-03-11"/>
    <s v="223292"/>
    <s v="M/s. Gouri Sankar Mandal"/>
    <s v="7365965125"/>
  </r>
  <r>
    <s v="RCF Thal"/>
    <s v="N.C.Urea(45kg)"/>
    <s v="WB"/>
    <x v="16"/>
    <s v="Bhagawangola - I"/>
    <s v="User Not Mapped"/>
    <s v="User Not Mapped"/>
    <s v="User Not Mapped"/>
    <n v="317723"/>
    <s v="Muktar Ali"/>
    <s v="Private Retailer"/>
    <s v="9800128705"/>
    <n v="6.3449999999999998"/>
    <n v="34"/>
    <x v="3"/>
    <m/>
    <s v="2026-03-17"/>
    <s v="223292"/>
    <s v="M/s. Gouri Sankar Mandal"/>
    <s v="7365965125"/>
  </r>
  <r>
    <s v="RCF Trombay"/>
    <s v="N.C.Urea(45kg)"/>
    <s v="WB"/>
    <x v="16"/>
    <s v="Khargram"/>
    <s v="User Not Mapped"/>
    <s v="User Not Mapped"/>
    <s v="User Not Mapped"/>
    <n v="599078"/>
    <s v="Nabir Ali"/>
    <s v="Private Retailer"/>
    <s v="9734468325"/>
    <n v="7.02"/>
    <n v="82"/>
    <x v="6"/>
    <m/>
    <s v="2026-01-28"/>
    <s v="223292"/>
    <s v="M/s. Gouri Sankar Mandal"/>
    <s v="7365965125"/>
  </r>
  <r>
    <s v="RCF Thal"/>
    <s v="N.C.Urea(45kg)"/>
    <s v="WB"/>
    <x v="16"/>
    <s v="Burwan"/>
    <s v="User Not Mapped"/>
    <s v="User Not Mapped"/>
    <s v="User Not Mapped"/>
    <n v="470870"/>
    <s v="Nasirul Islam"/>
    <s v="Private Retailer"/>
    <s v="9647456240"/>
    <n v="4.1399999999999997"/>
    <n v="85"/>
    <x v="6"/>
    <m/>
    <s v="2026-01-25"/>
    <s v="223292"/>
    <s v="M/s. Gouri Sankar Mandal"/>
    <s v="7365965125"/>
  </r>
  <r>
    <s v="RCF Import"/>
    <s v="MOP"/>
    <s v="WB"/>
    <x v="16"/>
    <s v="Nabagram"/>
    <s v="User Not Mapped"/>
    <s v="User Not Mapped"/>
    <s v="User Not Mapped"/>
    <n v="473377"/>
    <s v="Nikhil Roychowdhury"/>
    <s v="Private Retailer"/>
    <s v="8900387230"/>
    <n v="0.65"/>
    <n v="251"/>
    <x v="1"/>
    <m/>
    <s v="2025-08-12"/>
    <s v="223292"/>
    <s v="M/s. Gouri Sankar Mandal"/>
    <s v="7365965125"/>
  </r>
  <r>
    <s v="RCF Trombay"/>
    <s v="15-15-15"/>
    <s v="WB"/>
    <x v="16"/>
    <s v="Nawda"/>
    <s v="User Not Mapped"/>
    <s v="User Not Mapped"/>
    <s v="User Not Mapped"/>
    <n v="1286611"/>
    <s v="NUMAN KRISHI GHAR"/>
    <s v="Private Retailer"/>
    <s v="9734562696"/>
    <n v="0.35"/>
    <n v="331"/>
    <x v="1"/>
    <m/>
    <s v="2025-05-24"/>
    <s v="223292"/>
    <s v="M/s. Gouri Sankar Mandal"/>
    <s v="7365965125"/>
  </r>
  <r>
    <s v="RCF Thal"/>
    <s v="N.C.Urea(45kg)"/>
    <s v="WB"/>
    <x v="16"/>
    <s v="Nabagram"/>
    <s v="User Not Mapped"/>
    <s v="User Not Mapped"/>
    <s v="User Not Mapped"/>
    <n v="1542391"/>
    <s v="NUR KRISHI BHANDAR"/>
    <s v="Private Retailer"/>
    <s v="8697822932"/>
    <n v="6.75"/>
    <n v="20"/>
    <x v="5"/>
    <m/>
    <s v="2026-03-31"/>
    <s v="223292"/>
    <s v="M/s. Gouri Sankar Mandal"/>
    <s v="7365965125"/>
  </r>
  <r>
    <s v="RCF Trombay"/>
    <s v="N.C.Urea(45kg)"/>
    <s v="WB"/>
    <x v="16"/>
    <s v="Nabagram"/>
    <s v="User Not Mapped"/>
    <s v="User Not Mapped"/>
    <s v="User Not Mapped"/>
    <n v="1542391"/>
    <s v="NUR KRISHI BHANDAR"/>
    <s v="Private Retailer"/>
    <s v="8697822932"/>
    <n v="1.3049999999999999"/>
    <n v="405"/>
    <x v="0"/>
    <m/>
    <s v="2025-03-11"/>
    <s v="223292"/>
    <s v="M/s. Gouri Sankar Mandal"/>
    <s v="7365965125"/>
  </r>
  <r>
    <s v="RCF Import"/>
    <s v="MOP"/>
    <s v="WB"/>
    <x v="16"/>
    <s v="Nabagram"/>
    <s v="User Not Mapped"/>
    <s v="User Not Mapped"/>
    <s v="User Not Mapped"/>
    <n v="1542391"/>
    <s v="NUR KRISHI BHANDAR"/>
    <s v="Private Retailer"/>
    <s v="8697822932"/>
    <n v="0.4"/>
    <n v="269"/>
    <x v="1"/>
    <m/>
    <s v="2025-07-25"/>
    <s v="223292"/>
    <s v="M/s. Gouri Sankar Mandal"/>
    <s v="7365965125"/>
  </r>
  <r>
    <s v="RCF Trombay"/>
    <s v="N.C.Urea(45kg)"/>
    <s v="WB"/>
    <x v="16"/>
    <s v="Nabagram"/>
    <s v="User Not Mapped"/>
    <s v="User Not Mapped"/>
    <s v="User Not Mapped"/>
    <n v="1542391"/>
    <s v="NUR KRISHI BHANDAR"/>
    <s v="Private Retailer"/>
    <s v="8697822932"/>
    <n v="2.0249999999999999"/>
    <n v="136"/>
    <x v="4"/>
    <m/>
    <s v="2025-12-05"/>
    <s v="223292"/>
    <s v="M/s. Gouri Sankar Mandal"/>
    <s v="7365965125"/>
  </r>
  <r>
    <s v="RCF Trombay"/>
    <s v="N.C.Urea(45kg)"/>
    <s v="WB"/>
    <x v="16"/>
    <s v="Khargram"/>
    <s v="User Not Mapped"/>
    <s v="User Not Mapped"/>
    <s v="User Not Mapped"/>
    <n v="1085495"/>
    <s v="PANKAJ GHOSH"/>
    <s v="Private Retailer"/>
    <s v="9932044443"/>
    <n v="3.51"/>
    <n v="29"/>
    <x v="5"/>
    <m/>
    <s v="2026-03-22"/>
    <s v="223292"/>
    <s v="M/s. Gouri Sankar Mandal"/>
    <s v="7365965125"/>
  </r>
  <r>
    <s v="RCF Trombay"/>
    <s v="N.C.Urea(45kg)"/>
    <s v="WB"/>
    <x v="16"/>
    <s v="Khargram"/>
    <s v="User Not Mapped"/>
    <s v="User Not Mapped"/>
    <s v="User Not Mapped"/>
    <n v="1085495"/>
    <s v="PANKAJ GHOSH"/>
    <s v="Private Retailer"/>
    <s v="9932044443"/>
    <n v="4.4999999999999998E-2"/>
    <n v="129"/>
    <x v="4"/>
    <m/>
    <s v="2025-12-12"/>
    <s v="223292"/>
    <s v="M/s. Gouri Sankar Mandal"/>
    <s v="7365965125"/>
  </r>
  <r>
    <s v="RCF Thal"/>
    <s v="N.C.Urea(45kg)"/>
    <s v="WB"/>
    <x v="16"/>
    <s v="Khargram"/>
    <s v="User Not Mapped"/>
    <s v="User Not Mapped"/>
    <s v="User Not Mapped"/>
    <n v="1085495"/>
    <s v="PANKAJ GHOSH"/>
    <s v="Private Retailer"/>
    <s v="9932044443"/>
    <n v="9.09"/>
    <n v="40"/>
    <x v="3"/>
    <m/>
    <s v="2026-03-11"/>
    <s v="223292"/>
    <s v="M/s. Gouri Sankar Mandal"/>
    <s v="7365965125"/>
  </r>
  <r>
    <s v="RCF Thal"/>
    <s v="N.C.Urea(45kg)"/>
    <s v="WB"/>
    <x v="16"/>
    <s v="Sagardighi"/>
    <s v="User Not Mapped"/>
    <s v="User Not Mapped"/>
    <s v="User Not Mapped"/>
    <n v="913571"/>
    <s v="PARESH CHANDRA MONDAL"/>
    <s v="Private Retailer"/>
    <s v="9476408894"/>
    <n v="0.72"/>
    <n v="40"/>
    <x v="3"/>
    <m/>
    <s v="2026-03-11"/>
    <s v="223292"/>
    <s v="M/s. Gouri Sankar Mandal"/>
    <s v="7365965125"/>
  </r>
  <r>
    <s v="RCF Trombay"/>
    <s v="N.C.Urea(45kg)"/>
    <s v="WB"/>
    <x v="16"/>
    <s v="Sagardighi"/>
    <s v="User Not Mapped"/>
    <s v="User Not Mapped"/>
    <s v="User Not Mapped"/>
    <n v="913571"/>
    <s v="PARESH CHANDRA MONDAL"/>
    <s v="Private Retailer"/>
    <s v="9476408894"/>
    <n v="2.25"/>
    <n v="23"/>
    <x v="5"/>
    <m/>
    <s v="2026-03-28"/>
    <s v="223292"/>
    <s v="M/s. Gouri Sankar Mandal"/>
    <s v="7365965125"/>
  </r>
  <r>
    <s v="RCF Thal"/>
    <s v="N.C.Urea(45kg)"/>
    <s v="WB"/>
    <x v="16"/>
    <s v="Sagardighi"/>
    <s v="User Not Mapped"/>
    <s v="User Not Mapped"/>
    <s v="User Not Mapped"/>
    <n v="913571"/>
    <s v="PARESH CHANDRA MONDAL"/>
    <s v="Private Retailer"/>
    <s v="9476408894"/>
    <n v="4.5"/>
    <n v="30"/>
    <x v="5"/>
    <m/>
    <s v="2026-03-21"/>
    <s v="223292"/>
    <s v="M/s. Gouri Sankar Mandal"/>
    <s v="7365965125"/>
  </r>
  <r>
    <s v="RCF Thal"/>
    <s v="N.C.Urea(45kg)"/>
    <s v="WB"/>
    <x v="16"/>
    <s v="Nabagram"/>
    <s v="User Not Mapped"/>
    <s v="User Not Mapped"/>
    <s v="User Not Mapped"/>
    <n v="1614737"/>
    <s v="PRADIP MONDAL"/>
    <s v="Private Retailer"/>
    <s v="8900069180"/>
    <n v="5.8949999999999996"/>
    <n v="40"/>
    <x v="3"/>
    <m/>
    <s v="2026-03-11"/>
    <s v="223292"/>
    <s v="M/s. Gouri Sankar Mandal"/>
    <s v="7365965125"/>
  </r>
  <r>
    <s v="RCF Trombay"/>
    <s v="15-15-15"/>
    <s v="WB"/>
    <x v="16"/>
    <s v="Nabagram"/>
    <s v="User Not Mapped"/>
    <s v="User Not Mapped"/>
    <s v="User Not Mapped"/>
    <n v="1614737"/>
    <s v="PRADIP MONDAL"/>
    <s v="Private Retailer"/>
    <s v="8900069180"/>
    <n v="8.5"/>
    <n v="25"/>
    <x v="5"/>
    <m/>
    <s v="2026-03-26"/>
    <s v="223292"/>
    <s v="M/s. Gouri Sankar Mandal"/>
    <s v="7365965125"/>
  </r>
  <r>
    <s v="RCF Thal"/>
    <s v="N.C.Urea(45kg)"/>
    <s v="WB"/>
    <x v="16"/>
    <s v="Nabagram"/>
    <s v="User Not Mapped"/>
    <s v="User Not Mapped"/>
    <s v="User Not Mapped"/>
    <n v="1338602"/>
    <s v="RAHAMAN FERTILIZER"/>
    <s v="Private Retailer"/>
    <s v="9733212353"/>
    <n v="2.0699999999999998"/>
    <n v="34"/>
    <x v="3"/>
    <m/>
    <s v="2026-03-17"/>
    <s v="223292"/>
    <s v="M/s. Gouri Sankar Mandal"/>
    <s v="7365965125"/>
  </r>
  <r>
    <s v="RCF Thal"/>
    <s v="N.C.Urea(45kg)"/>
    <s v="WB"/>
    <x v="16"/>
    <s v="Suti - I"/>
    <s v="User Not Mapped"/>
    <s v="User Not Mapped"/>
    <s v="User Not Mapped"/>
    <n v="478967"/>
    <s v="Rajib Khamaru"/>
    <s v="Private Retailer"/>
    <s v="7908900539"/>
    <n v="9.4499999999999993"/>
    <n v="40"/>
    <x v="3"/>
    <m/>
    <s v="2026-03-11"/>
    <s v="223292"/>
    <s v="M/s. Gouri Sankar Mandal"/>
    <s v="7365965125"/>
  </r>
  <r>
    <s v="RCF Trombay"/>
    <s v="15-15-15"/>
    <s v="WB"/>
    <x v="16"/>
    <s v="Raninagar - II"/>
    <s v="User Not Mapped"/>
    <s v="User Not Mapped"/>
    <s v="User Not Mapped"/>
    <n v="1138964"/>
    <s v="RAKESH FERTILIZER"/>
    <s v="Private Wholsaler"/>
    <s v="9733026828"/>
    <n v="43"/>
    <n v="34"/>
    <x v="3"/>
    <s v="'4969-4971'"/>
    <s v="2026-03-17"/>
    <s v="223292"/>
    <s v="M/s. Gouri Sankar Mandal"/>
    <s v="7365965125"/>
  </r>
  <r>
    <s v="RCF Thal"/>
    <s v="N.C.Urea(45kg)"/>
    <s v="WB"/>
    <x v="16"/>
    <s v="Nabagram"/>
    <s v="User Not Mapped"/>
    <s v="User Not Mapped"/>
    <s v="User Not Mapped"/>
    <n v="356048"/>
    <s v="Ranajoy Mandal"/>
    <s v="Private Retailer"/>
    <s v="9851238769"/>
    <n v="12.015000000000001"/>
    <n v="40"/>
    <x v="3"/>
    <m/>
    <s v="2026-03-11"/>
    <s v="223292"/>
    <s v="M/s. Gouri Sankar Mandal"/>
    <s v="7365965125"/>
  </r>
  <r>
    <s v="RCF Trombay"/>
    <s v="N.C.Urea(45kg)"/>
    <s v="WB"/>
    <x v="16"/>
    <s v="Nabagram"/>
    <s v="User Not Mapped"/>
    <s v="User Not Mapped"/>
    <s v="User Not Mapped"/>
    <n v="356048"/>
    <s v="Ranajoy Mandal"/>
    <s v="Private Retailer"/>
    <s v="9851238769"/>
    <n v="8.8650000000000002"/>
    <n v="29"/>
    <x v="5"/>
    <m/>
    <s v="2026-03-22"/>
    <s v="223292"/>
    <s v="M/s. Gouri Sankar Mandal"/>
    <s v="7365965125"/>
  </r>
  <r>
    <s v="RCF Thal"/>
    <s v="N.C.Urea(45kg)"/>
    <s v="WB"/>
    <x v="16"/>
    <s v="Khargram"/>
    <s v="User Not Mapped"/>
    <s v="User Not Mapped"/>
    <s v="User Not Mapped"/>
    <n v="461688"/>
    <s v="Rejaul Haque"/>
    <s v="Private Retailer"/>
    <s v="8900233049"/>
    <n v="6.12"/>
    <n v="34"/>
    <x v="3"/>
    <m/>
    <s v="2026-03-17"/>
    <s v="223292"/>
    <s v="M/s. Gouri Sankar Mandal"/>
    <s v="7365965125"/>
  </r>
  <r>
    <s v="RCF Trombay"/>
    <s v="15-15-15"/>
    <s v="WB"/>
    <x v="16"/>
    <s v="Nabagram"/>
    <s v="User Not Mapped"/>
    <s v="User Not Mapped"/>
    <s v="User Not Mapped"/>
    <n v="1085503"/>
    <s v="ROBIUL ISLAM"/>
    <s v="Private Retailer"/>
    <s v="9609203979"/>
    <n v="0.75"/>
    <n v="424"/>
    <x v="0"/>
    <m/>
    <s v="2025-02-20"/>
    <s v="223292"/>
    <s v="M/s. Gouri Sankar Mandal"/>
    <s v="7365965125"/>
  </r>
  <r>
    <s v="RCF Thal"/>
    <s v="N.C.Urea(45kg)"/>
    <s v="WB"/>
    <x v="16"/>
    <s v="Nabagram"/>
    <s v="User Not Mapped"/>
    <s v="User Not Mapped"/>
    <s v="User Not Mapped"/>
    <n v="1085503"/>
    <s v="ROBIUL ISLAM"/>
    <s v="Private Retailer"/>
    <s v="9609203979"/>
    <n v="9.99"/>
    <n v="40"/>
    <x v="3"/>
    <m/>
    <s v="2026-03-11"/>
    <s v="223292"/>
    <s v="M/s. Gouri Sankar Mandal"/>
    <s v="7365965125"/>
  </r>
  <r>
    <s v="RCF Trombay"/>
    <s v="N.C.Urea(45kg)"/>
    <s v="WB"/>
    <x v="16"/>
    <s v="Nabagram"/>
    <s v="User Not Mapped"/>
    <s v="User Not Mapped"/>
    <s v="User Not Mapped"/>
    <n v="1085503"/>
    <s v="ROBIUL ISLAM"/>
    <s v="Private Retailer"/>
    <s v="9609203979"/>
    <n v="13.23"/>
    <n v="34"/>
    <x v="3"/>
    <m/>
    <s v="2026-03-17"/>
    <s v="223292"/>
    <s v="M/s. Gouri Sankar Mandal"/>
    <s v="7365965125"/>
  </r>
  <r>
    <s v="RCF Thal"/>
    <s v="N.C.Urea(45kg)"/>
    <s v="WB"/>
    <x v="16"/>
    <s v="Sagardighi"/>
    <s v="User Not Mapped"/>
    <s v="User Not Mapped"/>
    <s v="User Not Mapped"/>
    <n v="1581044"/>
    <s v="RUMI MAL"/>
    <s v="Private Retailer"/>
    <s v="8927377124"/>
    <n v="4.5"/>
    <n v="40"/>
    <x v="3"/>
    <m/>
    <s v="2026-03-11"/>
    <s v="223292"/>
    <s v="M/s. Gouri Sankar Mandal"/>
    <s v="7365965125"/>
  </r>
  <r>
    <s v="RCF Thal"/>
    <s v="N.C.Urea(45kg)"/>
    <s v="WB"/>
    <x v="16"/>
    <s v="Sagardighi"/>
    <s v="User Not Mapped"/>
    <s v="User Not Mapped"/>
    <s v="User Not Mapped"/>
    <n v="1581044"/>
    <s v="RUMI MAL"/>
    <s v="Private Retailer"/>
    <s v="8927377124"/>
    <n v="1.98"/>
    <n v="106"/>
    <x v="7"/>
    <m/>
    <s v="2026-01-04"/>
    <s v="223292"/>
    <s v="M/s. Gouri Sankar Mandal"/>
    <s v="7365965125"/>
  </r>
  <r>
    <s v="RCF Import"/>
    <s v="Imp 10-26-26"/>
    <s v="WB"/>
    <x v="16"/>
    <s v="Suti - II"/>
    <s v="User Not Mapped"/>
    <s v="User Not Mapped"/>
    <s v="User Not Mapped"/>
    <n v="587273"/>
    <s v="S P M FERTILIZER SHOP"/>
    <s v="Private Retailer"/>
    <s v="9734858104"/>
    <n v="0.5"/>
    <n v="140"/>
    <x v="4"/>
    <m/>
    <s v="2025-12-01"/>
    <s v="223292"/>
    <s v="M/s. Gouri Sankar Mandal"/>
    <s v="7365965125"/>
  </r>
  <r>
    <s v="RCF Import"/>
    <s v="Imp 10-26-26"/>
    <s v="WB"/>
    <x v="16"/>
    <s v="Bhagawangola - I"/>
    <s v="User Not Mapped"/>
    <s v="User Not Mapped"/>
    <s v="User Not Mapped"/>
    <n v="218842"/>
    <s v="Safikul Islam"/>
    <s v="Private Retailer"/>
    <s v="9153131785"/>
    <n v="1.1000000000000001"/>
    <n v="136"/>
    <x v="4"/>
    <m/>
    <s v="2025-12-05"/>
    <s v="223292"/>
    <s v="M/s. Gouri Sankar Mandal"/>
    <s v="7365965125"/>
  </r>
  <r>
    <s v="RCF Trombay"/>
    <s v="15-15-15"/>
    <s v="WB"/>
    <x v="16"/>
    <s v="Jalangi"/>
    <s v="User Not Mapped"/>
    <s v="User Not Mapped"/>
    <s v="User Not Mapped"/>
    <n v="1116229"/>
    <s v="SAIFUL ISLAM"/>
    <s v="Private Wholsaler"/>
    <s v="9733591556"/>
    <n v="7"/>
    <n v="82"/>
    <x v="6"/>
    <s v="'04123'"/>
    <s v="2026-01-28"/>
    <s v="223292"/>
    <s v="M/s. Gouri Sankar Mandal"/>
    <s v="7365965125"/>
  </r>
  <r>
    <s v="RCF Import"/>
    <s v="Imp 10-26-26"/>
    <s v="WB"/>
    <x v="16"/>
    <s v="Jalangi"/>
    <s v="User Not Mapped"/>
    <s v="User Not Mapped"/>
    <s v="User Not Mapped"/>
    <n v="1116229"/>
    <s v="SAIFUL ISLAM"/>
    <s v="Private Wholsaler"/>
    <s v="9733591556"/>
    <n v="7"/>
    <n v="67"/>
    <x v="6"/>
    <s v="'4368'"/>
    <s v="2026-02-12"/>
    <s v="223292"/>
    <s v="M/s. Gouri Sankar Mandal"/>
    <s v="7365965125"/>
  </r>
  <r>
    <s v="RCF Thal"/>
    <s v="N.C.Urea(45kg)"/>
    <s v="WB"/>
    <x v="16"/>
    <s v="Domkal"/>
    <s v="User Not Mapped"/>
    <s v="User Not Mapped"/>
    <s v="User Not Mapped"/>
    <n v="270530"/>
    <s v="Saiful Islam"/>
    <s v="State Marketing Federation"/>
    <s v="9733591556"/>
    <n v="14.04"/>
    <n v="40"/>
    <x v="3"/>
    <m/>
    <s v="2026-03-11"/>
    <s v="223292"/>
    <s v="M/s. Gouri Sankar Mandal"/>
    <s v="7365965125"/>
  </r>
  <r>
    <s v="RCF Trombay"/>
    <s v="N.C.Urea(45kg)"/>
    <s v="WB"/>
    <x v="16"/>
    <s v="Nabagram"/>
    <s v="User Not Mapped"/>
    <s v="User Not Mapped"/>
    <s v="User Not Mapped"/>
    <n v="289275"/>
    <s v="Samsul Alam"/>
    <s v="Private Retailer"/>
    <s v="6294957247"/>
    <n v="0.67500000000000004"/>
    <n v="205"/>
    <x v="1"/>
    <m/>
    <s v="2025-09-27"/>
    <s v="223292"/>
    <s v="M/s. Gouri Sankar Mandal"/>
    <s v="7365965125"/>
  </r>
  <r>
    <s v="RCF Thal"/>
    <s v="N.C.Urea(45kg)"/>
    <s v="WB"/>
    <x v="16"/>
    <s v="Nabagram"/>
    <s v="User Not Mapped"/>
    <s v="User Not Mapped"/>
    <s v="User Not Mapped"/>
    <n v="289275"/>
    <s v="Samsul Alam"/>
    <s v="Private Retailer"/>
    <s v="6294957247"/>
    <n v="7.02"/>
    <n v="40"/>
    <x v="3"/>
    <m/>
    <s v="2026-03-11"/>
    <s v="223292"/>
    <s v="M/s. Gouri Sankar Mandal"/>
    <s v="7365965125"/>
  </r>
  <r>
    <s v="RCF Trombay"/>
    <s v="N.C.Urea(45kg)"/>
    <s v="WB"/>
    <x v="16"/>
    <s v="Nabagram"/>
    <s v="User Not Mapped"/>
    <s v="User Not Mapped"/>
    <s v="User Not Mapped"/>
    <n v="289275"/>
    <s v="Samsul Alam"/>
    <s v="Private Retailer"/>
    <s v="6294957247"/>
    <n v="7.02"/>
    <n v="29"/>
    <x v="5"/>
    <m/>
    <s v="2026-03-22"/>
    <s v="223292"/>
    <s v="M/s. Gouri Sankar Mandal"/>
    <s v="7365965125"/>
  </r>
  <r>
    <s v="RCF Import"/>
    <s v="Imp 10-26-26"/>
    <s v="WB"/>
    <x v="16"/>
    <s v="Nabagram"/>
    <s v="User Not Mapped"/>
    <s v="User Not Mapped"/>
    <s v="User Not Mapped"/>
    <n v="289275"/>
    <s v="Samsul Alam"/>
    <s v="Private Retailer"/>
    <s v="6294957247"/>
    <n v="6"/>
    <n v="45"/>
    <x v="3"/>
    <m/>
    <s v="2026-03-06"/>
    <s v="223292"/>
    <s v="M/s. Gouri Sankar Mandal"/>
    <s v="7365965125"/>
  </r>
  <r>
    <s v="RCF Trombay"/>
    <s v="N.C.Urea(45kg)"/>
    <s v="WB"/>
    <x v="16"/>
    <s v="Nabagram"/>
    <s v="User Not Mapped"/>
    <s v="User Not Mapped"/>
    <s v="User Not Mapped"/>
    <n v="289275"/>
    <s v="Samsul Alam"/>
    <s v="Private Retailer"/>
    <s v="6294957247"/>
    <n v="4.0049999999999999"/>
    <n v="305"/>
    <x v="1"/>
    <m/>
    <s v="2025-06-19"/>
    <s v="223292"/>
    <s v="M/s. Gouri Sankar Mandal"/>
    <s v="7365965125"/>
  </r>
  <r>
    <s v="RCF Import"/>
    <s v="MOP"/>
    <s v="WB"/>
    <x v="16"/>
    <s v="Nabagram"/>
    <s v="User Not Mapped"/>
    <s v="User Not Mapped"/>
    <s v="User Not Mapped"/>
    <n v="289275"/>
    <s v="Samsul Alam"/>
    <s v="Private Retailer"/>
    <s v="6294957247"/>
    <n v="0.25"/>
    <n v="262"/>
    <x v="1"/>
    <m/>
    <s v="2025-08-01"/>
    <s v="223292"/>
    <s v="M/s. Gouri Sankar Mandal"/>
    <s v="7365965125"/>
  </r>
  <r>
    <s v="RCF Trombay"/>
    <s v="15-15-15"/>
    <s v="WB"/>
    <x v="16"/>
    <s v="Nabagram"/>
    <s v="User Not Mapped"/>
    <s v="User Not Mapped"/>
    <s v="User Not Mapped"/>
    <n v="289275"/>
    <s v="Samsul Alam"/>
    <s v="Private Retailer"/>
    <s v="6294957247"/>
    <n v="0.45"/>
    <n v="233"/>
    <x v="1"/>
    <m/>
    <s v="2025-08-30"/>
    <s v="223292"/>
    <s v="M/s. Gouri Sankar Mandal"/>
    <s v="7365965125"/>
  </r>
  <r>
    <s v="RCF Thal"/>
    <s v="N.C.Urea(45kg)"/>
    <s v="WB"/>
    <x v="16"/>
    <s v="Nabagram"/>
    <s v="User Not Mapped"/>
    <s v="User Not Mapped"/>
    <s v="User Not Mapped"/>
    <n v="289275"/>
    <s v="Samsul Alam"/>
    <s v="Private Retailer"/>
    <s v="6294957247"/>
    <n v="0.9"/>
    <n v="406"/>
    <x v="0"/>
    <m/>
    <s v="2025-03-10"/>
    <s v="223292"/>
    <s v="M/s. Gouri Sankar Mandal"/>
    <s v="7365965125"/>
  </r>
  <r>
    <s v="RCF Trombay"/>
    <s v="N.C.Urea(45kg)"/>
    <s v="WB"/>
    <x v="16"/>
    <s v="Nabagram"/>
    <s v="User Not Mapped"/>
    <s v="User Not Mapped"/>
    <s v="User Not Mapped"/>
    <n v="289275"/>
    <s v="Samsul Alam"/>
    <s v="Private Retailer"/>
    <s v="6294957247"/>
    <n v="0.81"/>
    <n v="511"/>
    <x v="0"/>
    <m/>
    <s v="2024-11-25"/>
    <s v="223292"/>
    <s v="M/s. Gouri Sankar Mandal"/>
    <s v="7365965125"/>
  </r>
  <r>
    <s v="RCF Thal"/>
    <s v="N.C.Urea(45kg)"/>
    <s v="WB"/>
    <x v="16"/>
    <s v="Bharatpur - II"/>
    <s v="User Not Mapped"/>
    <s v="User Not Mapped"/>
    <s v="User Not Mapped"/>
    <n v="256024"/>
    <s v="Samsul Alam Chowdhury"/>
    <s v="Private Retailer"/>
    <s v="9732100934"/>
    <n v="14.04"/>
    <n v="40"/>
    <x v="3"/>
    <m/>
    <s v="2026-03-11"/>
    <s v="223292"/>
    <s v="M/s. Gouri Sankar Mandal"/>
    <s v="7365965125"/>
  </r>
  <r>
    <s v="RCF Trombay"/>
    <s v="N.C.Urea(45kg)"/>
    <s v="WB"/>
    <x v="16"/>
    <s v="Domkal"/>
    <s v="User Not Mapped"/>
    <s v="User Not Mapped"/>
    <s v="User Not Mapped"/>
    <n v="951738"/>
    <s v="SETABUDDIN BISWAS"/>
    <s v="Private Retailer"/>
    <s v="9732900553"/>
    <n v="8.1000000000000003E-2"/>
    <n v="282"/>
    <x v="1"/>
    <m/>
    <s v="2025-07-12"/>
    <s v="223292"/>
    <s v="M/s. Gouri Sankar Mandal"/>
    <s v="7365965125"/>
  </r>
  <r>
    <s v="RCF Trombay"/>
    <s v="15-15-15"/>
    <s v="WB"/>
    <x v="16"/>
    <s v="Sagardighi"/>
    <s v="User Not Mapped"/>
    <s v="User Not Mapped"/>
    <s v="User Not Mapped"/>
    <n v="289282"/>
    <s v="Shyamal Krishna Chandra"/>
    <s v="Private Retailer"/>
    <s v="9474557547"/>
    <n v="0.45"/>
    <n v="140"/>
    <x v="4"/>
    <m/>
    <s v="2025-12-01"/>
    <s v="223292"/>
    <s v="M/s. Gouri Sankar Mandal"/>
    <s v="7365965125"/>
  </r>
  <r>
    <s v="RCF Trombay"/>
    <s v="N.C.Urea(45kg)"/>
    <s v="WB"/>
    <x v="16"/>
    <s v="Raghunathganj - I"/>
    <s v="User Not Mapped"/>
    <s v="User Not Mapped"/>
    <s v="User Not Mapped"/>
    <n v="1140302"/>
    <s v="SIMA DAS"/>
    <s v="Private Retailer"/>
    <s v="8972737440"/>
    <n v="6.0750000000000002"/>
    <n v="144"/>
    <x v="4"/>
    <m/>
    <s v="2025-11-27"/>
    <s v="223292"/>
    <s v="M/s. Gouri Sankar Mandal"/>
    <s v="7365965125"/>
  </r>
  <r>
    <s v="RCF Import"/>
    <s v="MOP"/>
    <s v="WB"/>
    <x v="16"/>
    <s v="Raghunathganj - I"/>
    <s v="User Not Mapped"/>
    <s v="User Not Mapped"/>
    <s v="User Not Mapped"/>
    <n v="1140302"/>
    <s v="SIMA DAS"/>
    <s v="Private Retailer"/>
    <s v="8972737440"/>
    <n v="1.1499999999999999"/>
    <n v="208"/>
    <x v="1"/>
    <m/>
    <s v="2025-09-24"/>
    <s v="223292"/>
    <s v="M/s. Gouri Sankar Mandal"/>
    <s v="7365965125"/>
  </r>
  <r>
    <s v="RCF Import"/>
    <s v="Imp 10-26-26"/>
    <s v="WB"/>
    <x v="16"/>
    <s v="Raghunathganj - I"/>
    <s v="User Not Mapped"/>
    <s v="User Not Mapped"/>
    <s v="User Not Mapped"/>
    <n v="1140302"/>
    <s v="SIMA DAS"/>
    <s v="Private Retailer"/>
    <s v="8972737440"/>
    <n v="2.5"/>
    <n v="31"/>
    <x v="3"/>
    <m/>
    <s v="2026-03-20"/>
    <s v="223292"/>
    <s v="M/s. Gouri Sankar Mandal"/>
    <s v="7365965125"/>
  </r>
  <r>
    <s v="RCF Trombay"/>
    <s v="15-15-15"/>
    <s v="WB"/>
    <x v="16"/>
    <s v="Raghunathganj - I"/>
    <s v="User Not Mapped"/>
    <s v="User Not Mapped"/>
    <s v="User Not Mapped"/>
    <n v="1140302"/>
    <s v="SIMA DAS"/>
    <s v="Private Retailer"/>
    <s v="8972737440"/>
    <n v="2.75"/>
    <n v="31"/>
    <x v="3"/>
    <m/>
    <s v="2026-03-20"/>
    <s v="223292"/>
    <s v="M/s. Gouri Sankar Mandal"/>
    <s v="7365965125"/>
  </r>
  <r>
    <s v="RCF Trombay"/>
    <s v="15-15-15"/>
    <s v="WB"/>
    <x v="16"/>
    <s v="Domkal"/>
    <s v="User Not Mapped"/>
    <s v="User Not Mapped"/>
    <s v="User Not Mapped"/>
    <n v="853403"/>
    <s v="SOMNATH PAL"/>
    <s v="Private Retailer"/>
    <s v="8016147944"/>
    <n v="4.5"/>
    <n v="82"/>
    <x v="6"/>
    <m/>
    <s v="2026-01-28"/>
    <s v="223292"/>
    <s v="M/s. Gouri Sankar Mandal"/>
    <s v="7365965125"/>
  </r>
  <r>
    <s v="RCF Import"/>
    <s v="MOP"/>
    <s v="WB"/>
    <x v="16"/>
    <s v="Sagardighi"/>
    <s v="User Not Mapped"/>
    <s v="User Not Mapped"/>
    <s v="User Not Mapped"/>
    <n v="1560568"/>
    <s v="SONALI GHOSH MONDAL"/>
    <s v="Private Retailer"/>
    <s v="8145661513"/>
    <n v="0.5"/>
    <n v="240"/>
    <x v="1"/>
    <m/>
    <s v="2025-08-23"/>
    <s v="223292"/>
    <s v="M/s. Gouri Sankar Mandal"/>
    <s v="7365965125"/>
  </r>
  <r>
    <s v="RCF Thal"/>
    <s v="N.C.Urea(45kg)"/>
    <s v="WB"/>
    <x v="16"/>
    <s v="Sagardighi"/>
    <s v="User Not Mapped"/>
    <s v="User Not Mapped"/>
    <s v="User Not Mapped"/>
    <n v="1560568"/>
    <s v="SONALI GHOSH MONDAL"/>
    <s v="Private Retailer"/>
    <s v="8145661513"/>
    <n v="2.25"/>
    <n v="29"/>
    <x v="5"/>
    <m/>
    <s v="2026-03-22"/>
    <s v="223292"/>
    <s v="M/s. Gouri Sankar Mandal"/>
    <s v="7365965125"/>
  </r>
  <r>
    <s v="RCF Import"/>
    <s v="MOP"/>
    <s v="WB"/>
    <x v="16"/>
    <s v="Sagardighi"/>
    <s v="User Not Mapped"/>
    <s v="User Not Mapped"/>
    <s v="User Not Mapped"/>
    <n v="1560568"/>
    <s v="SONALI GHOSH MONDAL"/>
    <s v="Private Retailer"/>
    <s v="8145661513"/>
    <n v="0.35"/>
    <n v="255"/>
    <x v="1"/>
    <m/>
    <s v="2025-08-08"/>
    <s v="223292"/>
    <s v="M/s. Gouri Sankar Mandal"/>
    <s v="7365965125"/>
  </r>
  <r>
    <s v="RCF Trombay"/>
    <s v="15-15-15"/>
    <s v="WB"/>
    <x v="16"/>
    <s v="Raninagar - I"/>
    <s v="User Not Mapped"/>
    <s v="User Not Mapped"/>
    <s v="User Not Mapped"/>
    <n v="618196"/>
    <s v="SUDIPTO SARKAR"/>
    <s v="Private Retailer"/>
    <s v="9153928208"/>
    <n v="0.6"/>
    <n v="82"/>
    <x v="6"/>
    <m/>
    <s v="2026-01-28"/>
    <s v="223292"/>
    <s v="M/s. Gouri Sankar Mandal"/>
    <s v="7365965125"/>
  </r>
  <r>
    <s v="RCF Thal"/>
    <s v="N.C.Urea(45kg)"/>
    <s v="WB"/>
    <x v="16"/>
    <s v="Sagardighi"/>
    <s v="User Not Mapped"/>
    <s v="User Not Mapped"/>
    <s v="User Not Mapped"/>
    <n v="270548"/>
    <s v="Takbir Ali"/>
    <s v="Private Retailer"/>
    <s v="9434440674"/>
    <n v="6.4349999999999996"/>
    <n v="40"/>
    <x v="3"/>
    <m/>
    <s v="2026-03-11"/>
    <s v="223292"/>
    <s v="M/s. Gouri Sankar Mandal"/>
    <s v="7365965125"/>
  </r>
  <r>
    <s v="RCF Thal"/>
    <s v="N.C.Urea(45kg)"/>
    <s v="WB"/>
    <x v="16"/>
    <s v="Khargram"/>
    <s v="User Not Mapped"/>
    <s v="User Not Mapped"/>
    <s v="User Not Mapped"/>
    <n v="625892"/>
    <s v="TARAK NATH SAHA"/>
    <s v="Private Retailer"/>
    <s v="9732214919"/>
    <n v="1.7549999999999999"/>
    <n v="111"/>
    <x v="7"/>
    <m/>
    <s v="2025-12-30"/>
    <s v="223292"/>
    <s v="M/s. Gouri Sankar Mandal"/>
    <s v="7365965125"/>
  </r>
  <r>
    <s v="RCF Thal"/>
    <s v="N.C.Urea(45kg)"/>
    <s v="WB"/>
    <x v="16"/>
    <s v="Murshidabad Jiaganj"/>
    <s v="User Not Mapped"/>
    <s v="User Not Mapped"/>
    <s v="User Not Mapped"/>
    <n v="270550"/>
    <s v="Tarani Dhar Biswas"/>
    <s v="Private Retailer"/>
    <s v="8101716723"/>
    <n v="2.0249999999999999"/>
    <n v="101"/>
    <x v="7"/>
    <m/>
    <s v="2026-01-09"/>
    <s v="223292"/>
    <s v="M/s. Gouri Sankar Mandal"/>
    <s v="7365965125"/>
  </r>
  <r>
    <s v="RCF Trombay"/>
    <s v="15-15-15"/>
    <s v="WB"/>
    <x v="16"/>
    <s v="Nabagram"/>
    <s v="User Not Mapped"/>
    <s v="User Not Mapped"/>
    <s v="User Not Mapped"/>
    <n v="473363"/>
    <s v="Uma Mondal"/>
    <s v="Private Retailer"/>
    <s v="9732432415"/>
    <n v="15"/>
    <n v="27"/>
    <x v="5"/>
    <m/>
    <s v="2026-03-24"/>
    <s v="223292"/>
    <s v="M/s. Gouri Sankar Mandal"/>
    <s v="7365965125"/>
  </r>
  <r>
    <s v="RCF Thal"/>
    <s v="N.C.Urea(45kg)"/>
    <s v="WB"/>
    <x v="16"/>
    <s v="Nabagram"/>
    <s v="User Not Mapped"/>
    <s v="User Not Mapped"/>
    <s v="User Not Mapped"/>
    <n v="473363"/>
    <s v="Uma Mondal"/>
    <s v="Private Retailer"/>
    <s v="9732432415"/>
    <n v="4.4999999999999998E-2"/>
    <n v="29"/>
    <x v="5"/>
    <m/>
    <s v="2026-03-22"/>
    <s v="223292"/>
    <s v="M/s. Gouri Sankar Mandal"/>
    <s v="7365965125"/>
  </r>
  <r>
    <s v="RCF Trombay"/>
    <s v="N.C.Urea(45kg)"/>
    <s v="WB"/>
    <x v="16"/>
    <s v="Nabagram"/>
    <s v="User Not Mapped"/>
    <s v="User Not Mapped"/>
    <s v="User Not Mapped"/>
    <n v="473363"/>
    <s v="Uma Mondal"/>
    <s v="Private Retailer"/>
    <s v="9732432415"/>
    <n v="0.85499999999999998"/>
    <n v="29"/>
    <x v="5"/>
    <m/>
    <s v="2026-03-22"/>
    <s v="223292"/>
    <s v="M/s. Gouri Sankar Mandal"/>
    <s v="7365965125"/>
  </r>
  <r>
    <s v="RCF Trombay"/>
    <s v="15-15-15"/>
    <s v="WB"/>
    <x v="16"/>
    <s v="Nabagram"/>
    <s v="User Not Mapped"/>
    <s v="User Not Mapped"/>
    <s v="User Not Mapped"/>
    <n v="473363"/>
    <s v="Uma Mondal"/>
    <s v="Private Retailer"/>
    <s v="9732432415"/>
    <n v="15"/>
    <n v="26"/>
    <x v="5"/>
    <m/>
    <s v="2026-03-25"/>
    <s v="223292"/>
    <s v="M/s. Gouri Sankar Mandal"/>
    <s v="7365965125"/>
  </r>
  <r>
    <s v="RCF Trombay"/>
    <s v="N.C.Urea(45kg)"/>
    <s v="WB"/>
    <x v="16"/>
    <s v="Sagardighi"/>
    <s v="User Not Mapped"/>
    <s v="User Not Mapped"/>
    <s v="User Not Mapped"/>
    <n v="913641"/>
    <s v="HELALUDDIN SEIKH"/>
    <s v="Private Retailer"/>
    <s v="9563963457"/>
    <n v="2.79"/>
    <n v="72"/>
    <x v="6"/>
    <m/>
    <s v="2026-02-07"/>
    <s v="223281"/>
    <s v="M/s. Padam Chand"/>
    <s v="9434009550"/>
  </r>
  <r>
    <s v="RCF Trombay"/>
    <s v="N.C.Urea(45kg)"/>
    <s v="WB"/>
    <x v="16"/>
    <s v="Sagardighi"/>
    <s v="User Not Mapped"/>
    <s v="User Not Mapped"/>
    <s v="User Not Mapped"/>
    <n v="913641"/>
    <s v="HELALUDDIN SEIKH"/>
    <s v="Private Retailer"/>
    <s v="9563963457"/>
    <n v="0.58499999999999996"/>
    <n v="149"/>
    <x v="4"/>
    <m/>
    <s v="2025-11-22"/>
    <s v="223281"/>
    <s v="M/s. Padam Chand"/>
    <s v="9434009550"/>
  </r>
  <r>
    <s v="RCF Import"/>
    <s v="Imp 10-26-26"/>
    <s v="WB"/>
    <x v="16"/>
    <s v="Raghunathganj - I"/>
    <s v="User Not Mapped"/>
    <s v="User Not Mapped"/>
    <s v="User Not Mapped"/>
    <n v="869253"/>
    <s v="JANTA KRISHI BHANDAR"/>
    <s v="Private Retailer"/>
    <s v="8348854756"/>
    <n v="0.95"/>
    <n v="233"/>
    <x v="1"/>
    <m/>
    <s v="2025-08-30"/>
    <s v="223281"/>
    <s v="M/s. Padam Chand"/>
    <s v="9434009550"/>
  </r>
  <r>
    <s v="RCF Trombay"/>
    <s v="N.C.Urea(45kg)"/>
    <s v="WB"/>
    <x v="16"/>
    <s v="Raghunathganj - I"/>
    <s v="User Not Mapped"/>
    <s v="User Not Mapped"/>
    <s v="User Not Mapped"/>
    <n v="342012"/>
    <s v="Murselim Sekh"/>
    <s v="Private Retailer"/>
    <s v="9734526947"/>
    <n v="0.495"/>
    <n v="72"/>
    <x v="6"/>
    <m/>
    <s v="2026-02-07"/>
    <s v="223281"/>
    <s v="M/s. Padam Chand"/>
    <s v="9434009550"/>
  </r>
  <r>
    <s v="RCF Thal"/>
    <s v="N.C.Urea(45kg)"/>
    <s v="WB"/>
    <x v="16"/>
    <s v="Raghunathganj - I"/>
    <s v="User Not Mapped"/>
    <s v="User Not Mapped"/>
    <s v="User Not Mapped"/>
    <n v="342012"/>
    <s v="Murselim Sekh"/>
    <s v="Private Retailer"/>
    <s v="9734526947"/>
    <n v="1.125"/>
    <n v="38"/>
    <x v="3"/>
    <m/>
    <s v="2026-03-13"/>
    <s v="223281"/>
    <s v="M/s. Padam Chand"/>
    <s v="9434009550"/>
  </r>
  <r>
    <s v="RCF Import"/>
    <s v="Imp 10-26-26"/>
    <s v="WB"/>
    <x v="16"/>
    <s v="Sagardighi"/>
    <s v="User Not Mapped"/>
    <s v="User Not Mapped"/>
    <s v="User Not Mapped"/>
    <n v="270512"/>
    <s v="Padam Chand"/>
    <s v="Private Retailer"/>
    <s v="9434009550"/>
    <n v="3.05"/>
    <n v="157"/>
    <x v="4"/>
    <m/>
    <s v="2025-11-14"/>
    <s v="223281"/>
    <s v="M/s. Padam Chand"/>
    <s v="9434009550"/>
  </r>
  <r>
    <s v="RCF Trombay"/>
    <s v="N.C.Urea(45kg)"/>
    <s v="WB"/>
    <x v="16"/>
    <s v="Sagardighi"/>
    <s v="User Not Mapped"/>
    <s v="User Not Mapped"/>
    <s v="User Not Mapped"/>
    <n v="270512"/>
    <s v="Padam Chand"/>
    <s v="Private Retailer"/>
    <s v="9434009550"/>
    <n v="2.88"/>
    <n v="23"/>
    <x v="5"/>
    <m/>
    <s v="2026-03-28"/>
    <s v="223281"/>
    <s v="M/s. Padam Chand"/>
    <s v="9434009550"/>
  </r>
  <r>
    <s v="RCF Trombay"/>
    <s v="N.C.Urea(45kg)"/>
    <s v="WB"/>
    <x v="16"/>
    <s v="Sagardighi"/>
    <s v="User Not Mapped"/>
    <s v="User Not Mapped"/>
    <s v="User Not Mapped"/>
    <n v="289263"/>
    <s v="Rajeswari Mahara"/>
    <s v="Private Retailer"/>
    <s v="9609438474"/>
    <n v="4.4999999999999998E-2"/>
    <n v="73"/>
    <x v="6"/>
    <m/>
    <s v="2026-02-06"/>
    <s v="223281"/>
    <s v="M/s. Padam Chand"/>
    <s v="9434009550"/>
  </r>
  <r>
    <s v="RCF Import"/>
    <s v="Imp 10-26-26"/>
    <s v="WB"/>
    <x v="16"/>
    <s v="Sagardighi"/>
    <s v="User Not Mapped"/>
    <s v="User Not Mapped"/>
    <s v="User Not Mapped"/>
    <n v="289263"/>
    <s v="Rajeswari Mahara"/>
    <s v="Private Retailer"/>
    <s v="9609438474"/>
    <n v="0.5"/>
    <n v="283"/>
    <x v="1"/>
    <m/>
    <s v="2025-07-11"/>
    <s v="223281"/>
    <s v="M/s. Padam Chand"/>
    <s v="9434009550"/>
  </r>
  <r>
    <s v="RCF Import"/>
    <s v="MOP"/>
    <s v="WB"/>
    <x v="16"/>
    <s v="Sagardighi"/>
    <s v="User Not Mapped"/>
    <s v="User Not Mapped"/>
    <s v="User Not Mapped"/>
    <n v="289263"/>
    <s v="Rajeswari Mahara"/>
    <s v="Private Retailer"/>
    <s v="9609438474"/>
    <n v="0.05"/>
    <n v="289"/>
    <x v="1"/>
    <m/>
    <s v="2025-07-05"/>
    <s v="223281"/>
    <s v="M/s. Padam Chand"/>
    <s v="9434009550"/>
  </r>
  <r>
    <s v="RCF Import"/>
    <s v="Imp 10-26-26"/>
    <s v="WB"/>
    <x v="16"/>
    <s v="Sagardighi"/>
    <s v="User Not Mapped"/>
    <s v="User Not Mapped"/>
    <s v="User Not Mapped"/>
    <n v="1556397"/>
    <s v="ROJINA KHATUN"/>
    <s v="Private Wholsaler"/>
    <s v="8327685821"/>
    <n v="7"/>
    <n v="77"/>
    <x v="6"/>
    <s v="'E00161'"/>
    <s v="2026-02-02"/>
    <s v="223281"/>
    <s v="M/s. Padam Chand"/>
    <s v="9434009550"/>
  </r>
  <r>
    <s v="RCF Trombay"/>
    <s v="N.C.Urea(45kg)"/>
    <s v="WB"/>
    <x v="16"/>
    <s v="Sagardighi"/>
    <s v="User Not Mapped"/>
    <s v="User Not Mapped"/>
    <s v="User Not Mapped"/>
    <n v="1556397"/>
    <s v="ROJINA KHATUN"/>
    <s v="Private Wholsaler"/>
    <s v="8327685821"/>
    <n v="9.99"/>
    <n v="73"/>
    <x v="6"/>
    <s v="'E-165'"/>
    <s v="2026-02-06"/>
    <s v="223281"/>
    <s v="M/s. Padam Chand"/>
    <s v="9434009550"/>
  </r>
  <r>
    <s v="RCF Trombay"/>
    <s v="N.C.Urea(45kg)"/>
    <s v="WB"/>
    <x v="16"/>
    <s v="Sagardighi"/>
    <s v="User Not Mapped"/>
    <s v="User Not Mapped"/>
    <s v="User Not Mapped"/>
    <n v="1556397"/>
    <s v="ROJINA KHATUN"/>
    <s v="Private Wholsaler"/>
    <s v="8327685821"/>
    <n v="7.02"/>
    <n v="37"/>
    <x v="3"/>
    <s v="'E00186'"/>
    <s v="2026-03-14"/>
    <s v="223281"/>
    <s v="M/s. Padam Chand"/>
    <s v="9434009550"/>
  </r>
  <r>
    <s v="RCF Trombay"/>
    <s v="N.C.Urea(45kg)"/>
    <s v="WB"/>
    <x v="16"/>
    <s v="Sagardighi"/>
    <s v="User Not Mapped"/>
    <s v="User Not Mapped"/>
    <s v="User Not Mapped"/>
    <n v="1576569"/>
    <s v="TOTAN MONDAL"/>
    <s v="Private Retailer"/>
    <s v="7319441699"/>
    <n v="1.35"/>
    <n v="72"/>
    <x v="6"/>
    <m/>
    <s v="2026-02-07"/>
    <s v="223281"/>
    <s v="M/s. Padam Chand"/>
    <s v="9434009550"/>
  </r>
  <r>
    <s v="RCF Thal"/>
    <s v="N.C.Urea(45kg)"/>
    <s v="WB"/>
    <x v="16"/>
    <s v="Beldanga - I"/>
    <s v="User Not Mapped"/>
    <s v="User Not Mapped"/>
    <s v="User Not Mapped"/>
    <n v="484227"/>
    <s v="Amod Ali"/>
    <s v="Private Retailer"/>
    <s v="9933632966"/>
    <n v="0.18"/>
    <n v="445"/>
    <x v="0"/>
    <m/>
    <s v="2025-01-30"/>
    <s v="1111397"/>
    <s v="M/s. Urbara"/>
    <s v="9126512188"/>
  </r>
  <r>
    <s v="RCF Trombay"/>
    <s v="15-15-15"/>
    <s v="WB"/>
    <x v="16"/>
    <s v="Beldanga - I"/>
    <s v="User Not Mapped"/>
    <s v="User Not Mapped"/>
    <s v="User Not Mapped"/>
    <n v="495566"/>
    <s v="Ananda Kundu"/>
    <s v="Private Retailer"/>
    <s v="9735456222"/>
    <n v="0.35"/>
    <n v="2601"/>
    <x v="2"/>
    <m/>
    <s v="2019-03-07"/>
    <s v="1111397"/>
    <s v="M/s. Urbara"/>
    <s v="9126512188"/>
  </r>
  <r>
    <s v="RCF Thal"/>
    <s v="N.C.Urea(45kg)"/>
    <s v="WB"/>
    <x v="16"/>
    <s v="Nawda"/>
    <s v="User Not Mapped"/>
    <s v="User Not Mapped"/>
    <s v="User Not Mapped"/>
    <n v="1032056"/>
    <s v="Dinesh Kumar Biswas"/>
    <s v="Private Retailer"/>
    <s v="9932166980"/>
    <n v="3.5000000000000003E-2"/>
    <n v="170"/>
    <x v="4"/>
    <m/>
    <s v="2025-11-01"/>
    <s v="1111397"/>
    <s v="M/s. Urbara"/>
    <s v="9126512188"/>
  </r>
  <r>
    <s v="RCF Thal"/>
    <s v="N.C.Urea(45kg)"/>
    <s v="WB"/>
    <x v="16"/>
    <s v="Nawda"/>
    <s v="User Not Mapped"/>
    <s v="User Not Mapped"/>
    <s v="User Not Mapped"/>
    <n v="941901"/>
    <s v="Nikhil Biswas "/>
    <s v="Private Retailer"/>
    <s v="9932180634"/>
    <n v="2.1150000000000002"/>
    <n v="106"/>
    <x v="7"/>
    <m/>
    <s v="2026-01-04"/>
    <s v="1111397"/>
    <s v="M/s. Urbara"/>
    <s v="9126512188"/>
  </r>
  <r>
    <s v="RCF Thal"/>
    <s v="N.C.Urea(45kg)"/>
    <s v="WB"/>
    <x v="16"/>
    <s v="Beldanga - II"/>
    <s v="User Not Mapped"/>
    <s v="User Not Mapped"/>
    <s v="User Not Mapped"/>
    <n v="1288396"/>
    <s v="SONALI MONDAL"/>
    <s v="Private Retailer"/>
    <s v="8926399586"/>
    <n v="1.08"/>
    <n v="109"/>
    <x v="7"/>
    <m/>
    <s v="2026-01-01"/>
    <s v="1111397"/>
    <s v="M/s. Urbara"/>
    <s v="9126512188"/>
  </r>
  <r>
    <s v="RCF Trombay"/>
    <s v="N.C.Urea(45kg)"/>
    <s v="WB"/>
    <x v="16"/>
    <m/>
    <s v="User Not Mapped"/>
    <s v="User Not Mapped"/>
    <s v="User Not Mapped"/>
    <n v="235558"/>
    <s v="Abdul Khalil"/>
    <s v="District Cooperative Marketing Society"/>
    <s v="9002834095"/>
    <n v="2.16"/>
    <n v="38"/>
    <x v="3"/>
    <m/>
    <s v="2026-03-13"/>
    <s v="281704"/>
    <s v="Maa Fertilizer"/>
    <s v="9800042039"/>
  </r>
  <r>
    <s v="RCF Import"/>
    <s v="Imp 10-26-26"/>
    <s v="WB"/>
    <x v="16"/>
    <m/>
    <s v="User Not Mapped"/>
    <s v="User Not Mapped"/>
    <s v="User Not Mapped"/>
    <n v="235558"/>
    <s v="Abdul Khalil"/>
    <s v="District Cooperative Marketing Society"/>
    <s v="9002834095"/>
    <n v="2"/>
    <n v="53"/>
    <x v="3"/>
    <m/>
    <s v="2026-02-26"/>
    <s v="281704"/>
    <s v="Maa Fertilizer"/>
    <s v="9800042039"/>
  </r>
  <r>
    <s v="RCF Trombay"/>
    <s v="15-15-15"/>
    <s v="WB"/>
    <x v="16"/>
    <m/>
    <s v="User Not Mapped"/>
    <s v="User Not Mapped"/>
    <s v="User Not Mapped"/>
    <n v="235558"/>
    <s v="Abdul Khalil"/>
    <s v="District Cooperative Marketing Society"/>
    <s v="9002834095"/>
    <n v="2.75"/>
    <n v="38"/>
    <x v="3"/>
    <m/>
    <s v="2026-03-13"/>
    <s v="281704"/>
    <s v="Maa Fertilizer"/>
    <s v="9800042039"/>
  </r>
  <r>
    <s v="RCF Thal"/>
    <s v="N.C.Urea(45kg)"/>
    <s v="WB"/>
    <x v="16"/>
    <m/>
    <s v="User Not Mapped"/>
    <s v="User Not Mapped"/>
    <s v="User Not Mapped"/>
    <n v="235559"/>
    <s v="Abdul Latif"/>
    <s v="Private Retailer"/>
    <s v="9647289560"/>
    <n v="0.02"/>
    <n v="2410"/>
    <x v="2"/>
    <m/>
    <s v="2019-09-14"/>
    <s v="281704"/>
    <s v="Maa Fertilizer"/>
    <s v="9800042039"/>
  </r>
  <r>
    <s v="RCF Thal"/>
    <s v="N.C.Urea(45kg)"/>
    <s v="WB"/>
    <x v="16"/>
    <s v="Hariharpara"/>
    <s v="User Not Mapped"/>
    <s v="User Not Mapped"/>
    <s v="User Not Mapped"/>
    <n v="289146"/>
    <s v="Abul Kalam"/>
    <s v="Private Retailer"/>
    <s v="9641028033"/>
    <n v="4.1399999999999997"/>
    <n v="230"/>
    <x v="1"/>
    <m/>
    <s v="2025-09-02"/>
    <s v="281704"/>
    <s v="Maa Fertilizer"/>
    <s v="9800042039"/>
  </r>
  <r>
    <s v="RCF Trombay"/>
    <s v="N.C.Urea(45kg)"/>
    <s v="WB"/>
    <x v="16"/>
    <s v="Hariharpara"/>
    <s v="User Not Mapped"/>
    <s v="User Not Mapped"/>
    <s v="User Not Mapped"/>
    <n v="289146"/>
    <s v="Abul Kalam"/>
    <s v="Private Retailer"/>
    <s v="9641028033"/>
    <n v="9.5850000000000009"/>
    <n v="296"/>
    <x v="1"/>
    <m/>
    <s v="2025-06-28"/>
    <s v="281704"/>
    <s v="Maa Fertilizer"/>
    <s v="9800042039"/>
  </r>
  <r>
    <s v="RCF Trombay"/>
    <s v="N.C.Urea(45kg)"/>
    <s v="WB"/>
    <x v="16"/>
    <s v="Hariharpara"/>
    <s v="User Not Mapped"/>
    <s v="User Not Mapped"/>
    <s v="User Not Mapped"/>
    <n v="289146"/>
    <s v="Abul Kalam"/>
    <s v="Private Retailer"/>
    <s v="9641028033"/>
    <n v="6.0750000000000002"/>
    <n v="245"/>
    <x v="1"/>
    <m/>
    <s v="2025-08-18"/>
    <s v="281704"/>
    <s v="Maa Fertilizer"/>
    <s v="9800042039"/>
  </r>
  <r>
    <s v="RCF Thal"/>
    <s v="N.C.Urea(45kg)"/>
    <s v="WB"/>
    <x v="16"/>
    <s v="Hariharpara"/>
    <s v="User Not Mapped"/>
    <s v="User Not Mapped"/>
    <s v="User Not Mapped"/>
    <n v="289146"/>
    <s v="Abul Kalam"/>
    <s v="Private Retailer"/>
    <s v="9641028033"/>
    <n v="3.0150000000000001"/>
    <n v="108"/>
    <x v="7"/>
    <m/>
    <s v="2026-01-02"/>
    <s v="281704"/>
    <s v="Maa Fertilizer"/>
    <s v="9800042039"/>
  </r>
  <r>
    <s v="RCF Thal"/>
    <s v="N.C.Urea(45kg)"/>
    <s v="WB"/>
    <x v="16"/>
    <s v="Nawda"/>
    <s v="User Not Mapped"/>
    <s v="User Not Mapped"/>
    <s v="User Not Mapped"/>
    <n v="940578"/>
    <s v="Afajuddin Mondal"/>
    <s v="Private Retailer"/>
    <s v="9735358708"/>
    <n v="6.3449999999999998"/>
    <n v="104"/>
    <x v="7"/>
    <m/>
    <s v="2026-01-06"/>
    <s v="281704"/>
    <s v="Maa Fertilizer"/>
    <s v="9800042039"/>
  </r>
  <r>
    <s v="RCF Trombay"/>
    <s v="15-15-15"/>
    <s v="WB"/>
    <x v="16"/>
    <s v="Raninagar - II"/>
    <s v="User Not Mapped"/>
    <s v="User Not Mapped"/>
    <s v="User Not Mapped"/>
    <n v="462565"/>
    <s v="Alauddin Sk"/>
    <s v="Private Retailer"/>
    <s v="9732664445"/>
    <n v="6.3"/>
    <n v="146"/>
    <x v="4"/>
    <m/>
    <s v="2025-11-25"/>
    <s v="281704"/>
    <s v="Maa Fertilizer"/>
    <s v="9800042039"/>
  </r>
  <r>
    <s v="RCF Trombay"/>
    <s v="N.C.Urea(45kg)"/>
    <s v="WB"/>
    <x v="16"/>
    <s v="Jalangi"/>
    <s v="User Not Mapped"/>
    <s v="User Not Mapped"/>
    <s v="User Not Mapped"/>
    <n v="427086"/>
    <s v="Azimuddin Mandal"/>
    <s v="Private Retailer"/>
    <s v="9732568461"/>
    <n v="2.97"/>
    <n v="146"/>
    <x v="4"/>
    <m/>
    <s v="2025-11-25"/>
    <s v="281704"/>
    <s v="Maa Fertilizer"/>
    <s v="9800042039"/>
  </r>
  <r>
    <s v="RCF Import"/>
    <s v="Imp 10-26-26"/>
    <s v="WB"/>
    <x v="16"/>
    <s v="Beldanga - I"/>
    <s v="User Not Mapped"/>
    <s v="User Not Mapped"/>
    <s v="User Not Mapped"/>
    <n v="551539"/>
    <s v="Bankim Bihari Dutta"/>
    <s v="Private Retailer"/>
    <s v="9153865879"/>
    <n v="0.45"/>
    <n v="20"/>
    <x v="5"/>
    <m/>
    <s v="2026-03-31"/>
    <s v="281704"/>
    <s v="Maa Fertilizer"/>
    <s v="9800042039"/>
  </r>
  <r>
    <s v="RCF Trombay"/>
    <s v="N.C.Urea(45kg)"/>
    <s v="WB"/>
    <x v="16"/>
    <s v="Beldanga - I"/>
    <s v="User Not Mapped"/>
    <s v="User Not Mapped"/>
    <s v="User Not Mapped"/>
    <n v="551539"/>
    <s v="Bankim Bihari Dutta"/>
    <s v="Private Retailer"/>
    <s v="9153865879"/>
    <n v="0.94499999999999995"/>
    <n v="20"/>
    <x v="5"/>
    <m/>
    <s v="2026-03-31"/>
    <s v="281704"/>
    <s v="Maa Fertilizer"/>
    <s v="9800042039"/>
  </r>
  <r>
    <s v="RCF Trombay"/>
    <s v="15-15-15"/>
    <s v="WB"/>
    <x v="16"/>
    <s v="Beldanga - I"/>
    <s v="User Not Mapped"/>
    <s v="User Not Mapped"/>
    <s v="User Not Mapped"/>
    <n v="551539"/>
    <s v="Bankim Bihari Dutta"/>
    <s v="Private Retailer"/>
    <s v="9153865879"/>
    <n v="3"/>
    <n v="6"/>
    <x v="5"/>
    <m/>
    <s v="2026-04-14"/>
    <s v="281704"/>
    <s v="Maa Fertilizer"/>
    <s v="9800042039"/>
  </r>
  <r>
    <s v="RCF Thal"/>
    <s v="N.C.Urea(45kg)"/>
    <s v="WB"/>
    <x v="16"/>
    <s v="Murshidabad Jiaganj"/>
    <s v="User Not Mapped"/>
    <s v="User Not Mapped"/>
    <s v="User Not Mapped"/>
    <n v="487169"/>
    <s v="Bidyut Sarkar"/>
    <s v="Private Retailer"/>
    <s v="9734329823"/>
    <n v="3.0150000000000001"/>
    <n v="104"/>
    <x v="7"/>
    <m/>
    <s v="2026-01-06"/>
    <s v="281704"/>
    <s v="Maa Fertilizer"/>
    <s v="9800042039"/>
  </r>
  <r>
    <s v="RCF Trombay"/>
    <s v="15-15-15"/>
    <s v="WB"/>
    <x v="16"/>
    <s v="Domkal"/>
    <s v="User Not Mapped"/>
    <s v="User Not Mapped"/>
    <s v="User Not Mapped"/>
    <n v="253196"/>
    <s v="Billal Hossain"/>
    <s v="Private Retailer"/>
    <s v="9735482065"/>
    <n v="2.35"/>
    <n v="146"/>
    <x v="4"/>
    <m/>
    <s v="2025-11-25"/>
    <s v="281704"/>
    <s v="Maa Fertilizer"/>
    <s v="9800042039"/>
  </r>
  <r>
    <s v="RCF Trombay"/>
    <s v="15-15-15"/>
    <s v="WB"/>
    <x v="16"/>
    <s v="Murshidabad Jiaganj"/>
    <s v="User Not Mapped"/>
    <s v="User Not Mapped"/>
    <s v="User Not Mapped"/>
    <n v="865253"/>
    <s v="BISWANATH PAUL"/>
    <s v="Private Retailer"/>
    <s v="8513004597"/>
    <n v="3.25"/>
    <n v="5"/>
    <x v="5"/>
    <m/>
    <s v="2026-04-15"/>
    <s v="281704"/>
    <s v="Maa Fertilizer"/>
    <s v="9800042039"/>
  </r>
  <r>
    <s v="RCF Thal"/>
    <s v="N.C.Urea(45kg)"/>
    <s v="WB"/>
    <x v="16"/>
    <s v="Murshidabad Jiaganj"/>
    <s v="User Not Mapped"/>
    <s v="User Not Mapped"/>
    <s v="User Not Mapped"/>
    <n v="865253"/>
    <s v="BISWANATH PAUL"/>
    <s v="Private Retailer"/>
    <s v="8513004597"/>
    <n v="6.99"/>
    <n v="41"/>
    <x v="3"/>
    <m/>
    <s v="2026-03-10"/>
    <s v="281704"/>
    <s v="Maa Fertilizer"/>
    <s v="9800042039"/>
  </r>
  <r>
    <s v="RCF Import"/>
    <s v="Imp 10-26-26"/>
    <s v="WB"/>
    <x v="16"/>
    <s v="Burwan"/>
    <s v="User Not Mapped"/>
    <s v="User Not Mapped"/>
    <s v="User Not Mapped"/>
    <n v="876174"/>
    <s v="CHAND GOPAL PAUL"/>
    <s v="Private Wholsaler"/>
    <s v="9732975001"/>
    <n v="7"/>
    <n v="68"/>
    <x v="6"/>
    <s v="'1507'"/>
    <s v="2026-02-11"/>
    <s v="281704"/>
    <s v="Maa Fertilizer"/>
    <s v="9800042039"/>
  </r>
  <r>
    <s v="RCF Trombay"/>
    <s v="N.C.Urea(45kg)"/>
    <s v="WB"/>
    <x v="16"/>
    <s v="Burwan"/>
    <s v="User Not Mapped"/>
    <s v="User Not Mapped"/>
    <s v="User Not Mapped"/>
    <n v="1027533"/>
    <s v="CHANDRA SEKHAR DAS"/>
    <s v="Private Retailer"/>
    <s v="9641470785"/>
    <n v="10.035"/>
    <n v="6"/>
    <x v="5"/>
    <m/>
    <s v="2026-04-14"/>
    <s v="281704"/>
    <s v="Maa Fertilizer"/>
    <s v="9800042039"/>
  </r>
  <r>
    <s v="RCF Thal"/>
    <s v="N.C.Urea(45kg)"/>
    <s v="WB"/>
    <x v="16"/>
    <s v="Jalangi"/>
    <s v="User Not Mapped"/>
    <s v="User Not Mapped"/>
    <s v="User Not Mapped"/>
    <n v="247440"/>
    <s v="Debabrata Saha"/>
    <s v="Private Retailer"/>
    <s v="9932064467"/>
    <n v="7.02"/>
    <n v="40"/>
    <x v="3"/>
    <m/>
    <s v="2026-03-11"/>
    <s v="281704"/>
    <s v="Maa Fertilizer"/>
    <s v="9800042039"/>
  </r>
  <r>
    <s v="RCF Thal"/>
    <s v="N.C.Urea(45kg)"/>
    <s v="WB"/>
    <x v="16"/>
    <s v="Jalangi"/>
    <s v="User Not Mapped"/>
    <s v="User Not Mapped"/>
    <s v="User Not Mapped"/>
    <n v="247440"/>
    <s v="Debabrata Saha"/>
    <s v="Private Retailer"/>
    <s v="9932064467"/>
    <n v="8.3699999999999992"/>
    <n v="111"/>
    <x v="7"/>
    <m/>
    <s v="2025-12-30"/>
    <s v="281704"/>
    <s v="Maa Fertilizer"/>
    <s v="9800042039"/>
  </r>
  <r>
    <s v="RCF Import"/>
    <s v="Imp 10-26-26"/>
    <s v="WB"/>
    <x v="16"/>
    <s v="Jalangi"/>
    <s v="User Not Mapped"/>
    <s v="User Not Mapped"/>
    <s v="User Not Mapped"/>
    <n v="247440"/>
    <s v="Debabrata Saha"/>
    <s v="Private Retailer"/>
    <s v="9932064467"/>
    <n v="3.5"/>
    <n v="55"/>
    <x v="3"/>
    <m/>
    <s v="2026-02-24"/>
    <s v="281704"/>
    <s v="Maa Fertilizer"/>
    <s v="9800042039"/>
  </r>
  <r>
    <s v="RCF Import"/>
    <s v="Imp 10-26-26"/>
    <s v="WB"/>
    <x v="16"/>
    <s v="Jalangi"/>
    <s v="User Not Mapped"/>
    <s v="User Not Mapped"/>
    <s v="User Not Mapped"/>
    <n v="1557438"/>
    <s v="DEBASHIS SAHA"/>
    <s v="Private Wholsaler"/>
    <s v="9732566286"/>
    <n v="10"/>
    <n v="68"/>
    <x v="6"/>
    <s v="'1508'"/>
    <s v="2026-02-11"/>
    <s v="281704"/>
    <s v="Maa Fertilizer"/>
    <s v="9800042039"/>
  </r>
  <r>
    <s v="RCF Trombay"/>
    <s v="N.C.Urea(45kg)"/>
    <s v="WB"/>
    <x v="16"/>
    <s v="Jalangi"/>
    <s v="User Not Mapped"/>
    <s v="User Not Mapped"/>
    <s v="User Not Mapped"/>
    <n v="1557438"/>
    <s v="DEBASHIS SAHA"/>
    <s v="Private Wholsaler"/>
    <s v="9732566286"/>
    <n v="1.89"/>
    <n v="37"/>
    <x v="3"/>
    <s v="'1534'"/>
    <s v="2026-03-14"/>
    <s v="281704"/>
    <s v="Maa Fertilizer"/>
    <s v="9800042039"/>
  </r>
  <r>
    <s v="RCF Trombay"/>
    <s v="15-15-15"/>
    <s v="WB"/>
    <x v="16"/>
    <s v="Jalangi"/>
    <s v="User Not Mapped"/>
    <s v="User Not Mapped"/>
    <s v="User Not Mapped"/>
    <n v="1557438"/>
    <s v="DEBASHIS SAHA"/>
    <s v="Private Wholsaler"/>
    <s v="9732566286"/>
    <n v="9"/>
    <n v="81"/>
    <x v="6"/>
    <s v="'1487'"/>
    <s v="2026-01-29"/>
    <s v="281704"/>
    <s v="Maa Fertilizer"/>
    <s v="9800042039"/>
  </r>
  <r>
    <s v="RCF Trombay"/>
    <s v="15-15-15"/>
    <s v="WB"/>
    <x v="16"/>
    <s v="Jalangi"/>
    <s v="User Not Mapped"/>
    <s v="User Not Mapped"/>
    <s v="User Not Mapped"/>
    <n v="1557438"/>
    <s v="DEBASHIS SAHA"/>
    <s v="Private Wholsaler"/>
    <s v="9732566286"/>
    <n v="14"/>
    <n v="37"/>
    <x v="3"/>
    <s v="'1535'"/>
    <s v="2026-03-14"/>
    <s v="281704"/>
    <s v="Maa Fertilizer"/>
    <s v="9800042039"/>
  </r>
  <r>
    <s v="RCF Thal"/>
    <s v="N.C.Urea(45kg)"/>
    <s v="WB"/>
    <x v="16"/>
    <s v="Jalangi"/>
    <s v="User Not Mapped"/>
    <s v="User Not Mapped"/>
    <s v="User Not Mapped"/>
    <n v="1557438"/>
    <s v="DEBASHIS SAHA"/>
    <s v="Private Wholsaler"/>
    <s v="9732566286"/>
    <n v="14.13"/>
    <n v="37"/>
    <x v="3"/>
    <s v="'1532'"/>
    <s v="2026-03-14"/>
    <s v="281704"/>
    <s v="Maa Fertilizer"/>
    <s v="9800042039"/>
  </r>
  <r>
    <s v="RCF Trombay"/>
    <s v="15-15-15"/>
    <s v="WB"/>
    <x v="16"/>
    <s v="Bhagawangola - II"/>
    <s v="User Not Mapped"/>
    <s v="User Not Mapped"/>
    <s v="User Not Mapped"/>
    <n v="413780"/>
    <s v="Dipti Sarkar"/>
    <s v="Private Retailer"/>
    <s v="9734398339"/>
    <n v="3"/>
    <n v="38"/>
    <x v="3"/>
    <m/>
    <s v="2026-03-13"/>
    <s v="281704"/>
    <s v="Maa Fertilizer"/>
    <s v="9800042039"/>
  </r>
  <r>
    <s v="RCF Import"/>
    <s v="MOP"/>
    <s v="WB"/>
    <x v="16"/>
    <s v="Lalgola"/>
    <s v="User Not Mapped"/>
    <s v="User Not Mapped"/>
    <s v="User Not Mapped"/>
    <n v="996250"/>
    <s v="DULAL KUMAR SHIL"/>
    <s v="Private Retailer"/>
    <s v="9093969906"/>
    <n v="1.1000000000000001"/>
    <n v="434"/>
    <x v="0"/>
    <m/>
    <s v="2025-02-10"/>
    <s v="281704"/>
    <s v="Maa Fertilizer"/>
    <s v="9800042039"/>
  </r>
  <r>
    <s v="RCF Thal"/>
    <s v="N.C.Urea(45kg)"/>
    <s v="WB"/>
    <x v="16"/>
    <s v="Berhampore"/>
    <s v="User Not Mapped"/>
    <s v="User Not Mapped"/>
    <s v="User Not Mapped"/>
    <n v="247443"/>
    <s v="Fakrul Molla"/>
    <s v="Private Retailer"/>
    <s v="9002421400"/>
    <n v="0.36"/>
    <n v="273"/>
    <x v="1"/>
    <m/>
    <s v="2025-07-21"/>
    <s v="281704"/>
    <s v="Maa Fertilizer"/>
    <s v="9800042039"/>
  </r>
  <r>
    <s v="RCF Import"/>
    <s v="Imp 10-26-26"/>
    <s v="WB"/>
    <x v="16"/>
    <s v="Berhampore"/>
    <s v="User Not Mapped"/>
    <s v="User Not Mapped"/>
    <s v="User Not Mapped"/>
    <n v="247443"/>
    <s v="Fakrul Molla"/>
    <s v="Private Retailer"/>
    <s v="9002421400"/>
    <n v="1.5"/>
    <n v="52"/>
    <x v="3"/>
    <m/>
    <s v="2026-02-27"/>
    <s v="281704"/>
    <s v="Maa Fertilizer"/>
    <s v="9800042039"/>
  </r>
  <r>
    <s v="RCF Trombay"/>
    <s v="15-15-15"/>
    <s v="WB"/>
    <x v="16"/>
    <s v="Bhagawangola - II"/>
    <s v="User Not Mapped"/>
    <s v="User Not Mapped"/>
    <s v="User Not Mapped"/>
    <n v="1142454"/>
    <s v="FULBAS ALI"/>
    <s v="Private Retailer"/>
    <s v="8016413468"/>
    <n v="2"/>
    <n v="38"/>
    <x v="3"/>
    <m/>
    <s v="2026-03-13"/>
    <s v="281704"/>
    <s v="Maa Fertilizer"/>
    <s v="9800042039"/>
  </r>
  <r>
    <s v="RCF Trombay"/>
    <s v="N.C.Urea(45kg)"/>
    <s v="WB"/>
    <x v="16"/>
    <s v="Bhagawangola - II"/>
    <s v="User Not Mapped"/>
    <s v="User Not Mapped"/>
    <s v="User Not Mapped"/>
    <n v="1142454"/>
    <s v="FULBAS ALI"/>
    <s v="Private Retailer"/>
    <s v="8016413468"/>
    <n v="0.76500000000000001"/>
    <n v="146"/>
    <x v="4"/>
    <m/>
    <s v="2025-11-25"/>
    <s v="281704"/>
    <s v="Maa Fertilizer"/>
    <s v="9800042039"/>
  </r>
  <r>
    <s v="RCF Thal"/>
    <s v="N.C.Urea(45kg)"/>
    <s v="WB"/>
    <x v="16"/>
    <s v="Bhagawangola - II"/>
    <s v="User Not Mapped"/>
    <s v="User Not Mapped"/>
    <s v="User Not Mapped"/>
    <n v="1142454"/>
    <s v="FULBAS ALI"/>
    <s v="Private Retailer"/>
    <s v="8016413468"/>
    <n v="1.98"/>
    <n v="230"/>
    <x v="1"/>
    <m/>
    <s v="2025-09-02"/>
    <s v="281704"/>
    <s v="Maa Fertilizer"/>
    <s v="9800042039"/>
  </r>
  <r>
    <s v="RCF Trombay"/>
    <s v="N.C.Urea(45kg)"/>
    <s v="WB"/>
    <x v="16"/>
    <s v="Bhagawangola - II"/>
    <s v="User Not Mapped"/>
    <s v="User Not Mapped"/>
    <s v="User Not Mapped"/>
    <n v="1142454"/>
    <s v="FULBAS ALI"/>
    <s v="Private Retailer"/>
    <s v="8016413468"/>
    <n v="2.0249999999999999"/>
    <n v="38"/>
    <x v="3"/>
    <m/>
    <s v="2026-03-13"/>
    <s v="281704"/>
    <s v="Maa Fertilizer"/>
    <s v="9800042039"/>
  </r>
  <r>
    <s v="RCF Import"/>
    <s v="Imp 10-26-26"/>
    <s v="WB"/>
    <x v="16"/>
    <s v="Khargram"/>
    <s v="User Not Mapped"/>
    <s v="User Not Mapped"/>
    <s v="User Not Mapped"/>
    <n v="998684"/>
    <s v="GOUTAM KUMAR SARKAR"/>
    <s v="Other"/>
    <s v="9734867506"/>
    <n v="3.5"/>
    <n v="55"/>
    <x v="3"/>
    <m/>
    <s v="2026-02-24"/>
    <s v="281704"/>
    <s v="Maa Fertilizer"/>
    <s v="9800042039"/>
  </r>
  <r>
    <s v="RCF Thal"/>
    <s v="N.C.Urea(45kg)"/>
    <s v="WB"/>
    <x v="16"/>
    <s v="Khargram"/>
    <s v="User Not Mapped"/>
    <s v="User Not Mapped"/>
    <s v="User Not Mapped"/>
    <n v="998684"/>
    <s v="GOUTAM KUMAR SARKAR"/>
    <s v="Other"/>
    <s v="9734867506"/>
    <n v="3.51"/>
    <n v="41"/>
    <x v="3"/>
    <m/>
    <s v="2026-03-10"/>
    <s v="281704"/>
    <s v="Maa Fertilizer"/>
    <s v="9800042039"/>
  </r>
  <r>
    <s v="RCF Thal"/>
    <s v="N.C.Urea(45kg)"/>
    <s v="WB"/>
    <x v="16"/>
    <s v="Jalangi"/>
    <s v="User Not Mapped"/>
    <s v="User Not Mapped"/>
    <s v="User Not Mapped"/>
    <n v="1445517"/>
    <s v="HAQUE FERTILIZER"/>
    <s v="Private Retailer"/>
    <s v="9735671615"/>
    <n v="7.02"/>
    <n v="195"/>
    <x v="1"/>
    <m/>
    <s v="2025-10-07"/>
    <s v="281704"/>
    <s v="Maa Fertilizer"/>
    <s v="9800042039"/>
  </r>
  <r>
    <s v="RCF Import"/>
    <s v="Imp 10-26-26"/>
    <s v="WB"/>
    <x v="16"/>
    <s v="Jalangi"/>
    <s v="User Not Mapped"/>
    <s v="User Not Mapped"/>
    <s v="User Not Mapped"/>
    <n v="289194"/>
    <s v="Jnanaranjon Sarkar"/>
    <s v="Private Retailer"/>
    <s v="9732920471"/>
    <n v="0.1"/>
    <n v="55"/>
    <x v="3"/>
    <m/>
    <s v="2026-02-24"/>
    <s v="281704"/>
    <s v="Maa Fertilizer"/>
    <s v="9800042039"/>
  </r>
  <r>
    <s v="RCF Thal"/>
    <s v="N.C.Urea(45kg)"/>
    <s v="WB"/>
    <x v="16"/>
    <s v="Jalangi"/>
    <s v="User Not Mapped"/>
    <s v="User Not Mapped"/>
    <s v="User Not Mapped"/>
    <n v="289194"/>
    <s v="Jnanaranjon Sarkar"/>
    <s v="Private Retailer"/>
    <s v="9732920471"/>
    <n v="2.16"/>
    <n v="40"/>
    <x v="3"/>
    <m/>
    <s v="2026-03-11"/>
    <s v="281704"/>
    <s v="Maa Fertilizer"/>
    <s v="9800042039"/>
  </r>
  <r>
    <s v="RCF Import"/>
    <s v="Imp 10-26-26"/>
    <s v="WB"/>
    <x v="16"/>
    <m/>
    <s v="User Not Mapped"/>
    <s v="User Not Mapped"/>
    <s v="User Not Mapped"/>
    <n v="235688"/>
    <s v="Kashi Nath Saha"/>
    <s v="Private Retailer"/>
    <s v="9474322438"/>
    <n v="4.4000000000000004"/>
    <n v="68"/>
    <x v="6"/>
    <m/>
    <s v="2026-02-11"/>
    <s v="281704"/>
    <s v="Maa Fertilizer"/>
    <s v="9800042039"/>
  </r>
  <r>
    <s v="RCF Thal"/>
    <s v="N.C.Urea(45kg)"/>
    <s v="WB"/>
    <x v="16"/>
    <s v="Kandi"/>
    <s v="User Not Mapped"/>
    <s v="User Not Mapped"/>
    <s v="User Not Mapped"/>
    <n v="945313"/>
    <s v="KIRONMOY CHANDRA"/>
    <s v="Private Retailer"/>
    <s v="8016288941"/>
    <n v="2.1150000000000002"/>
    <n v="38"/>
    <x v="3"/>
    <m/>
    <s v="2026-03-13"/>
    <s v="281704"/>
    <s v="Maa Fertilizer"/>
    <s v="9800042039"/>
  </r>
  <r>
    <s v="RCF Trombay"/>
    <s v="15-15-15"/>
    <s v="WB"/>
    <x v="16"/>
    <s v="Berhampore"/>
    <s v="User Not Mapped"/>
    <s v="User Not Mapped"/>
    <s v="User Not Mapped"/>
    <n v="1096156"/>
    <s v="KRISHI ENTERPRISE"/>
    <s v="Private Retailer"/>
    <s v="9733808266"/>
    <n v="1.25"/>
    <n v="324"/>
    <x v="1"/>
    <m/>
    <s v="2025-05-31"/>
    <s v="281704"/>
    <s v="Maa Fertilizer"/>
    <s v="9800042039"/>
  </r>
  <r>
    <s v="RCF Trombay"/>
    <s v="15-15-15"/>
    <s v="WB"/>
    <x v="16"/>
    <s v="Berhampore"/>
    <s v="User Not Mapped"/>
    <s v="User Not Mapped"/>
    <s v="User Not Mapped"/>
    <n v="1096156"/>
    <s v="KRISHI ENTERPRISE"/>
    <s v="Private Retailer"/>
    <s v="9733808266"/>
    <n v="0.1"/>
    <n v="832"/>
    <x v="2"/>
    <m/>
    <s v="2024-01-09"/>
    <s v="281704"/>
    <s v="Maa Fertilizer"/>
    <s v="9800042039"/>
  </r>
  <r>
    <s v="RCF Trombay"/>
    <s v="15-15-15"/>
    <s v="WB"/>
    <x v="16"/>
    <s v="Berhampore"/>
    <s v="User Not Mapped"/>
    <s v="User Not Mapped"/>
    <s v="User Not Mapped"/>
    <n v="1096156"/>
    <s v="KRISHI ENTERPRISE"/>
    <s v="Private Retailer"/>
    <s v="9733808266"/>
    <n v="0.5"/>
    <n v="655"/>
    <x v="2"/>
    <m/>
    <s v="2024-07-04"/>
    <s v="281704"/>
    <s v="Maa Fertilizer"/>
    <s v="9800042039"/>
  </r>
  <r>
    <s v="RCF Trombay"/>
    <s v="15-15-15"/>
    <s v="WB"/>
    <x v="16"/>
    <s v="Berhampore"/>
    <s v="User Not Mapped"/>
    <s v="User Not Mapped"/>
    <s v="User Not Mapped"/>
    <n v="1096156"/>
    <s v="KRISHI ENTERPRISE"/>
    <s v="Private Retailer"/>
    <s v="9733808266"/>
    <n v="0.35"/>
    <n v="609"/>
    <x v="2"/>
    <m/>
    <s v="2024-08-19"/>
    <s v="281704"/>
    <s v="Maa Fertilizer"/>
    <s v="9800042039"/>
  </r>
  <r>
    <s v="RCF Trombay"/>
    <s v="15-15-15"/>
    <s v="WB"/>
    <x v="16"/>
    <s v="Berhampore"/>
    <s v="User Not Mapped"/>
    <s v="User Not Mapped"/>
    <s v="User Not Mapped"/>
    <n v="1096156"/>
    <s v="KRISHI ENTERPRISE"/>
    <s v="Private Retailer"/>
    <s v="9733808266"/>
    <n v="0.5"/>
    <n v="578"/>
    <x v="2"/>
    <m/>
    <s v="2024-09-19"/>
    <s v="281704"/>
    <s v="Maa Fertilizer"/>
    <s v="9800042039"/>
  </r>
  <r>
    <s v="RCF Trombay"/>
    <s v="15-15-15"/>
    <s v="WB"/>
    <x v="16"/>
    <s v="Berhampore"/>
    <s v="User Not Mapped"/>
    <s v="User Not Mapped"/>
    <s v="User Not Mapped"/>
    <n v="1096156"/>
    <s v="KRISHI ENTERPRISE"/>
    <s v="Private Retailer"/>
    <s v="9733808266"/>
    <n v="0.25"/>
    <n v="370"/>
    <x v="0"/>
    <m/>
    <s v="2025-04-15"/>
    <s v="281704"/>
    <s v="Maa Fertilizer"/>
    <s v="9800042039"/>
  </r>
  <r>
    <s v="RCF Import"/>
    <s v="MOP"/>
    <s v="WB"/>
    <x v="16"/>
    <s v="Berhampore"/>
    <s v="User Not Mapped"/>
    <s v="User Not Mapped"/>
    <s v="User Not Mapped"/>
    <n v="1096156"/>
    <s v="KRISHI ENTERPRISE"/>
    <s v="Private Retailer"/>
    <s v="9733808266"/>
    <n v="0.25"/>
    <n v="370"/>
    <x v="0"/>
    <m/>
    <s v="2025-04-15"/>
    <s v="281704"/>
    <s v="Maa Fertilizer"/>
    <s v="9800042039"/>
  </r>
  <r>
    <s v="RCF Trombay"/>
    <s v="15-15-15"/>
    <s v="WB"/>
    <x v="16"/>
    <s v="Berhampore"/>
    <s v="User Not Mapped"/>
    <s v="User Not Mapped"/>
    <s v="User Not Mapped"/>
    <n v="1096156"/>
    <s v="KRISHI ENTERPRISE"/>
    <s v="Private Retailer"/>
    <s v="9733808266"/>
    <n v="1"/>
    <n v="331"/>
    <x v="1"/>
    <m/>
    <s v="2025-05-24"/>
    <s v="281704"/>
    <s v="Maa Fertilizer"/>
    <s v="9800042039"/>
  </r>
  <r>
    <s v="RCF Import"/>
    <s v="Imp 10-26-26"/>
    <s v="WB"/>
    <x v="16"/>
    <s v="Berhampore"/>
    <s v="User Not Mapped"/>
    <s v="User Not Mapped"/>
    <s v="User Not Mapped"/>
    <n v="1096156"/>
    <s v="KRISHI ENTERPRISE"/>
    <s v="Private Retailer"/>
    <s v="9733808266"/>
    <n v="0.5"/>
    <n v="331"/>
    <x v="1"/>
    <m/>
    <s v="2025-05-24"/>
    <s v="281704"/>
    <s v="Maa Fertilizer"/>
    <s v="9800042039"/>
  </r>
  <r>
    <s v="RCF Import"/>
    <s v="Imp 10-26-26"/>
    <s v="WB"/>
    <x v="16"/>
    <s v="Berhampore"/>
    <s v="User Not Mapped"/>
    <s v="User Not Mapped"/>
    <s v="User Not Mapped"/>
    <n v="1096156"/>
    <s v="KRISHI ENTERPRISE"/>
    <s v="Private Retailer"/>
    <s v="9733808266"/>
    <n v="0.75"/>
    <n v="324"/>
    <x v="1"/>
    <m/>
    <s v="2025-05-31"/>
    <s v="281704"/>
    <s v="Maa Fertilizer"/>
    <s v="9800042039"/>
  </r>
  <r>
    <s v="RCF Trombay"/>
    <s v="N.C.Urea(45kg)"/>
    <s v="WB"/>
    <x v="16"/>
    <s v="Berhampore"/>
    <s v="User Not Mapped"/>
    <s v="User Not Mapped"/>
    <s v="User Not Mapped"/>
    <n v="1096156"/>
    <s v="KRISHI ENTERPRISE"/>
    <s v="Private Retailer"/>
    <s v="9733808266"/>
    <n v="3.0150000000000001"/>
    <n v="328"/>
    <x v="1"/>
    <m/>
    <s v="2025-05-27"/>
    <s v="281704"/>
    <s v="Maa Fertilizer"/>
    <s v="9800042039"/>
  </r>
  <r>
    <s v="RCF Thal"/>
    <s v="N.C.Urea(45kg)"/>
    <s v="WB"/>
    <x v="16"/>
    <s v="Bhagawangola - I"/>
    <s v="User Not Mapped"/>
    <s v="User Not Mapped"/>
    <s v="User Not Mapped"/>
    <n v="1072013"/>
    <s v="M/S MILAN CHANDRA DAS"/>
    <s v="Private Retailer"/>
    <s v="6297156471"/>
    <n v="5.31"/>
    <n v="25"/>
    <x v="5"/>
    <m/>
    <s v="2026-03-26"/>
    <s v="281704"/>
    <s v="Maa Fertilizer"/>
    <s v="9800042039"/>
  </r>
  <r>
    <s v="RCF Trombay"/>
    <s v="N.C.Urea(45kg)"/>
    <s v="WB"/>
    <x v="16"/>
    <s v="Kandi"/>
    <s v="User Not Mapped"/>
    <s v="User Not Mapped"/>
    <s v="User Not Mapped"/>
    <n v="270500"/>
    <s v="M/S Nirmal Krishna Ghosh"/>
    <s v="Private Retailer"/>
    <s v="9732452150"/>
    <n v="3.5550000000000002"/>
    <n v="82"/>
    <x v="6"/>
    <m/>
    <s v="2026-01-28"/>
    <s v="281704"/>
    <s v="Maa Fertilizer"/>
    <s v="9800042039"/>
  </r>
  <r>
    <s v="RCF Trombay"/>
    <s v="15-15-15"/>
    <s v="WB"/>
    <x v="16"/>
    <s v="Berhampore"/>
    <s v="User Not Mapped"/>
    <s v="User Not Mapped"/>
    <s v="User Not Mapped"/>
    <n v="281704"/>
    <s v="Maa Fertilizer"/>
    <s v="Private Wholsaler"/>
    <s v="9800042039"/>
    <n v="26"/>
    <n v="9"/>
    <x v="5"/>
    <s v="'1557'"/>
    <s v="2026-04-11"/>
    <s v="888407"/>
    <s v="MAA FERTILIZER"/>
    <s v="9800042039"/>
  </r>
  <r>
    <s v="RCF Import"/>
    <s v="Imp 10-26-26"/>
    <s v="WB"/>
    <x v="16"/>
    <s v="Berhampore"/>
    <s v="User Not Mapped"/>
    <s v="User Not Mapped"/>
    <s v="User Not Mapped"/>
    <n v="548855"/>
    <s v="Maa Fertilizer"/>
    <s v="Private Retailer"/>
    <s v="9800042039"/>
    <n v="3.05"/>
    <n v="181"/>
    <x v="1"/>
    <m/>
    <s v="2025-10-21"/>
    <s v="281704"/>
    <s v="Maa Fertilizer"/>
    <s v="9800042039"/>
  </r>
  <r>
    <s v="RCF Trombay"/>
    <s v="15-15-15"/>
    <s v="WB"/>
    <x v="16"/>
    <s v="Berhampore"/>
    <s v="User Not Mapped"/>
    <s v="User Not Mapped"/>
    <s v="User Not Mapped"/>
    <n v="548855"/>
    <s v="Maa Fertilizer"/>
    <s v="Private Retailer"/>
    <s v="9800042039"/>
    <n v="6"/>
    <n v="20"/>
    <x v="5"/>
    <m/>
    <s v="2026-03-31"/>
    <s v="281704"/>
    <s v="Maa Fertilizer"/>
    <s v="9800042039"/>
  </r>
  <r>
    <s v="RCF Import"/>
    <s v="Imp 10-26-26"/>
    <s v="WB"/>
    <x v="16"/>
    <s v="Berhampore"/>
    <s v="User Not Mapped"/>
    <s v="User Not Mapped"/>
    <s v="User Not Mapped"/>
    <n v="548855"/>
    <s v="Maa Fertilizer"/>
    <s v="Private Retailer"/>
    <s v="9800042039"/>
    <n v="0.2"/>
    <n v="122"/>
    <x v="4"/>
    <m/>
    <s v="2025-12-19"/>
    <s v="281704"/>
    <s v="Maa Fertilizer"/>
    <s v="9800042039"/>
  </r>
  <r>
    <s v="RCF Import"/>
    <s v="Imp 10-26-26"/>
    <s v="WB"/>
    <x v="16"/>
    <s v="Berhampore"/>
    <s v="User Not Mapped"/>
    <s v="User Not Mapped"/>
    <s v="User Not Mapped"/>
    <n v="280716"/>
    <s v="Majibur Rahaman"/>
    <s v="Private Retailer"/>
    <s v="9593416442"/>
    <n v="3.5"/>
    <n v="55"/>
    <x v="3"/>
    <m/>
    <s v="2026-02-24"/>
    <s v="281704"/>
    <s v="Maa Fertilizer"/>
    <s v="9800042039"/>
  </r>
  <r>
    <s v="RCF Thal"/>
    <s v="N.C.Urea(45kg)"/>
    <s v="WB"/>
    <x v="16"/>
    <s v="Berhampore"/>
    <s v="User Not Mapped"/>
    <s v="User Not Mapped"/>
    <s v="User Not Mapped"/>
    <n v="280716"/>
    <s v="Majibur Rahaman"/>
    <s v="Private Retailer"/>
    <s v="9593416442"/>
    <n v="3.1949999999999998"/>
    <n v="41"/>
    <x v="3"/>
    <m/>
    <s v="2026-03-10"/>
    <s v="281704"/>
    <s v="Maa Fertilizer"/>
    <s v="9800042039"/>
  </r>
  <r>
    <s v="RCF Trombay"/>
    <s v="N.C.Urea(45kg)"/>
    <s v="WB"/>
    <x v="16"/>
    <s v="Berhampore"/>
    <s v="User Not Mapped"/>
    <s v="User Not Mapped"/>
    <s v="User Not Mapped"/>
    <n v="280716"/>
    <s v="Majibur Rahaman"/>
    <s v="Private Retailer"/>
    <s v="9593416442"/>
    <n v="2.7"/>
    <n v="82"/>
    <x v="6"/>
    <m/>
    <s v="2026-01-28"/>
    <s v="281704"/>
    <s v="Maa Fertilizer"/>
    <s v="9800042039"/>
  </r>
  <r>
    <s v="RCF Thal"/>
    <s v="N.C.Urea(45kg)"/>
    <s v="WB"/>
    <x v="16"/>
    <s v="Murshidabad Jiaganj"/>
    <s v="User Not Mapped"/>
    <s v="User Not Mapped"/>
    <s v="User Not Mapped"/>
    <n v="1059364"/>
    <s v="MARJINA BIBI"/>
    <s v="Private Retailer"/>
    <s v="7797683930"/>
    <n v="9.5850000000000009"/>
    <n v="111"/>
    <x v="7"/>
    <m/>
    <s v="2025-12-30"/>
    <s v="281704"/>
    <s v="Maa Fertilizer"/>
    <s v="9800042039"/>
  </r>
  <r>
    <s v="RCF Thal"/>
    <s v="N.C.Urea(45kg)"/>
    <s v="WB"/>
    <x v="16"/>
    <m/>
    <s v="User Not Mapped"/>
    <s v="User Not Mapped"/>
    <s v="User Not Mapped"/>
    <n v="1463824"/>
    <s v="MATLEB ALI"/>
    <s v="Private Retailer"/>
    <s v="9735340126"/>
    <n v="3.96"/>
    <n v="38"/>
    <x v="3"/>
    <m/>
    <s v="2026-03-13"/>
    <s v="281704"/>
    <s v="Maa Fertilizer"/>
    <s v="9800042039"/>
  </r>
  <r>
    <s v="RCF Trombay"/>
    <s v="15-15-15"/>
    <s v="WB"/>
    <x v="16"/>
    <s v="Nabagram"/>
    <s v="User Not Mapped"/>
    <s v="User Not Mapped"/>
    <s v="User Not Mapped"/>
    <n v="289211"/>
    <s v="Md Jakir Hossain"/>
    <s v="Private Retailer"/>
    <s v="9064490313"/>
    <n v="0.25"/>
    <n v="38"/>
    <x v="3"/>
    <m/>
    <s v="2026-03-13"/>
    <s v="281704"/>
    <s v="Maa Fertilizer"/>
    <s v="9800042039"/>
  </r>
  <r>
    <s v="RCF Trombay"/>
    <s v="N.C.Urea(45kg)"/>
    <s v="WB"/>
    <x v="16"/>
    <s v="Nabagram"/>
    <s v="User Not Mapped"/>
    <s v="User Not Mapped"/>
    <s v="User Not Mapped"/>
    <n v="289211"/>
    <s v="Md Jakir Hossain"/>
    <s v="Private Retailer"/>
    <s v="9064490313"/>
    <n v="7.02"/>
    <n v="38"/>
    <x v="3"/>
    <m/>
    <s v="2026-03-13"/>
    <s v="281704"/>
    <s v="Maa Fertilizer"/>
    <s v="9800042039"/>
  </r>
  <r>
    <s v="RCF Trombay"/>
    <s v="N.C.Urea(45kg)"/>
    <s v="WB"/>
    <x v="16"/>
    <s v="Nabagram"/>
    <s v="User Not Mapped"/>
    <s v="User Not Mapped"/>
    <s v="User Not Mapped"/>
    <n v="289211"/>
    <s v="Md Jakir Hossain"/>
    <s v="Private Retailer"/>
    <s v="9064490313"/>
    <n v="4.1849999999999996"/>
    <n v="82"/>
    <x v="6"/>
    <m/>
    <s v="2026-01-28"/>
    <s v="281704"/>
    <s v="Maa Fertilizer"/>
    <s v="9800042039"/>
  </r>
  <r>
    <s v="RCF Trombay"/>
    <s v="15-15-15"/>
    <s v="WB"/>
    <x v="16"/>
    <s v="Lalgola"/>
    <s v="User Not Mapped"/>
    <s v="User Not Mapped"/>
    <s v="User Not Mapped"/>
    <n v="270488"/>
    <s v="Md Mirjahan Ali"/>
    <s v="Private Retailer"/>
    <s v="9851341063"/>
    <n v="7"/>
    <n v="38"/>
    <x v="3"/>
    <m/>
    <s v="2026-03-13"/>
    <s v="281704"/>
    <s v="Maa Fertilizer"/>
    <s v="9800042039"/>
  </r>
  <r>
    <s v="RCF Thal"/>
    <s v="N.C.Urea(45kg)"/>
    <s v="WB"/>
    <x v="16"/>
    <s v="Nabagram"/>
    <s v="User Not Mapped"/>
    <s v="User Not Mapped"/>
    <s v="User Not Mapped"/>
    <n v="281697"/>
    <s v="Md Samiruddin"/>
    <s v="Private Wholsaler"/>
    <s v="7550808353"/>
    <n v="23.49"/>
    <n v="37"/>
    <x v="3"/>
    <s v="'1530'"/>
    <s v="2026-03-14"/>
    <s v="281704"/>
    <s v="Maa Fertilizer"/>
    <s v="9800042039"/>
  </r>
  <r>
    <s v="RCF Trombay"/>
    <s v="15-15-15"/>
    <s v="WB"/>
    <x v="16"/>
    <s v="Bhagawangola - I"/>
    <s v="User Not Mapped"/>
    <s v="User Not Mapped"/>
    <s v="User Not Mapped"/>
    <n v="270490"/>
    <s v="Md Samsuzzoha"/>
    <s v="Private Retailer"/>
    <s v="9933642334"/>
    <n v="2.5"/>
    <n v="146"/>
    <x v="4"/>
    <m/>
    <s v="2025-11-25"/>
    <s v="281704"/>
    <s v="Maa Fertilizer"/>
    <s v="9800042039"/>
  </r>
  <r>
    <s v="RCF Trombay"/>
    <s v="N.C.Urea(45kg)"/>
    <s v="WB"/>
    <x v="16"/>
    <s v="Raghunathganj - II"/>
    <s v="User Not Mapped"/>
    <s v="User Not Mapped"/>
    <s v="User Not Mapped"/>
    <n v="289226"/>
    <s v="Md Yeasuddin Sk"/>
    <s v="Private Retailer"/>
    <s v="9732953932"/>
    <n v="5.85"/>
    <n v="38"/>
    <x v="3"/>
    <m/>
    <s v="2026-03-13"/>
    <s v="281704"/>
    <s v="Maa Fertilizer"/>
    <s v="9800042039"/>
  </r>
  <r>
    <s v="RCF Thal"/>
    <s v="N.C.Urea(45kg)"/>
    <s v="WB"/>
    <x v="16"/>
    <s v="Lalgola"/>
    <s v="User Not Mapped"/>
    <s v="User Not Mapped"/>
    <s v="User Not Mapped"/>
    <n v="355392"/>
    <s v="Md. Minarul Islam "/>
    <s v="Private Retailer"/>
    <s v="9635304081"/>
    <n v="11.025"/>
    <n v="108"/>
    <x v="7"/>
    <m/>
    <s v="2026-01-02"/>
    <s v="281704"/>
    <s v="Maa Fertilizer"/>
    <s v="9800042039"/>
  </r>
  <r>
    <s v="RCF Thal"/>
    <s v="N.C.Urea(45kg)"/>
    <s v="WB"/>
    <x v="16"/>
    <s v="Lalgola"/>
    <s v="User Not Mapped"/>
    <s v="User Not Mapped"/>
    <s v="User Not Mapped"/>
    <n v="355392"/>
    <s v="Md. Minarul Islam "/>
    <s v="Private Retailer"/>
    <s v="9635304081"/>
    <n v="7.02"/>
    <n v="40"/>
    <x v="3"/>
    <m/>
    <s v="2026-03-11"/>
    <s v="281704"/>
    <s v="Maa Fertilizer"/>
    <s v="9800042039"/>
  </r>
  <r>
    <s v="RCF Import"/>
    <s v="Imp 10-26-26"/>
    <s v="WB"/>
    <x v="16"/>
    <s v="Lalgola"/>
    <s v="User Not Mapped"/>
    <s v="User Not Mapped"/>
    <s v="User Not Mapped"/>
    <n v="355392"/>
    <s v="Md. Minarul Islam "/>
    <s v="Private Retailer"/>
    <s v="9635304081"/>
    <n v="7"/>
    <n v="37"/>
    <x v="3"/>
    <m/>
    <s v="2026-03-14"/>
    <s v="281704"/>
    <s v="Maa Fertilizer"/>
    <s v="9800042039"/>
  </r>
  <r>
    <s v="RCF Import"/>
    <s v="Imp 10-26-26"/>
    <s v="WB"/>
    <x v="16"/>
    <s v="Lalgola"/>
    <s v="User Not Mapped"/>
    <s v="User Not Mapped"/>
    <s v="User Not Mapped"/>
    <n v="355392"/>
    <s v="Md. Minarul Islam "/>
    <s v="Private Retailer"/>
    <s v="9635304081"/>
    <n v="0.4"/>
    <n v="226"/>
    <x v="1"/>
    <m/>
    <s v="2025-09-06"/>
    <s v="281704"/>
    <s v="Maa Fertilizer"/>
    <s v="9800042039"/>
  </r>
  <r>
    <s v="RCF Trombay"/>
    <s v="N.C.Urea(45kg)"/>
    <s v="WB"/>
    <x v="16"/>
    <s v="Lalgola"/>
    <s v="User Not Mapped"/>
    <s v="User Not Mapped"/>
    <s v="User Not Mapped"/>
    <n v="355392"/>
    <s v="Md. Minarul Islam "/>
    <s v="Private Retailer"/>
    <s v="9635304081"/>
    <n v="7.02"/>
    <n v="82"/>
    <x v="6"/>
    <m/>
    <s v="2026-01-28"/>
    <s v="281704"/>
    <s v="Maa Fertilizer"/>
    <s v="9800042039"/>
  </r>
  <r>
    <s v="RCF Trombay"/>
    <s v="15-15-15"/>
    <s v="WB"/>
    <x v="16"/>
    <s v="Lalgola"/>
    <s v="User Not Mapped"/>
    <s v="User Not Mapped"/>
    <s v="User Not Mapped"/>
    <n v="355392"/>
    <s v="Md. Minarul Islam "/>
    <s v="Private Retailer"/>
    <s v="9635304081"/>
    <n v="3"/>
    <n v="82"/>
    <x v="6"/>
    <m/>
    <s v="2026-01-28"/>
    <s v="281704"/>
    <s v="Maa Fertilizer"/>
    <s v="9800042039"/>
  </r>
  <r>
    <s v="RCF Thal"/>
    <s v="N.C.Urea(45kg)"/>
    <s v="WB"/>
    <x v="16"/>
    <s v="Kandi"/>
    <s v="User Not Mapped"/>
    <s v="User Not Mapped"/>
    <s v="User Not Mapped"/>
    <n v="484756"/>
    <s v="Md.Rustam Sk."/>
    <s v="Private Retailer"/>
    <s v="9800661452"/>
    <n v="3.51"/>
    <n v="38"/>
    <x v="3"/>
    <m/>
    <s v="2026-03-13"/>
    <s v="281704"/>
    <s v="Maa Fertilizer"/>
    <s v="9800042039"/>
  </r>
  <r>
    <s v="RCF Thal"/>
    <s v="N.C.Urea(45kg)"/>
    <s v="WB"/>
    <x v="16"/>
    <s v="Burwan"/>
    <s v="User Not Mapped"/>
    <s v="User Not Mapped"/>
    <s v="User Not Mapped"/>
    <n v="489193"/>
    <s v="Mehadul Hossain"/>
    <s v="Private Retailer"/>
    <s v="7797205662"/>
    <n v="0.18"/>
    <n v="111"/>
    <x v="7"/>
    <m/>
    <s v="2025-12-30"/>
    <s v="281704"/>
    <s v="Maa Fertilizer"/>
    <s v="9800042039"/>
  </r>
  <r>
    <s v="RCF Thal"/>
    <s v="N.C.Urea(45kg)"/>
    <s v="WB"/>
    <x v="16"/>
    <s v="Raghunathganj - II"/>
    <s v="User Not Mapped"/>
    <s v="User Not Mapped"/>
    <s v="User Not Mapped"/>
    <n v="480907"/>
    <s v="Mijanur Rahaman"/>
    <s v="Private Retailer"/>
    <s v="9733744732"/>
    <n v="6.12"/>
    <n v="229"/>
    <x v="1"/>
    <m/>
    <s v="2025-09-03"/>
    <s v="281704"/>
    <s v="Maa Fertilizer"/>
    <s v="9800042039"/>
  </r>
  <r>
    <s v="RCF Thal"/>
    <s v="N.C.Urea(45kg)"/>
    <s v="WB"/>
    <x v="16"/>
    <s v="Berhampore"/>
    <s v="User Not Mapped"/>
    <s v="User Not Mapped"/>
    <s v="User Not Mapped"/>
    <n v="341934"/>
    <s v="Milan Kumar Ghosh"/>
    <s v="Private Retailer"/>
    <s v="9735050231"/>
    <n v="2.61"/>
    <n v="38"/>
    <x v="3"/>
    <m/>
    <s v="2026-03-13"/>
    <s v="281704"/>
    <s v="Maa Fertilizer"/>
    <s v="9800042039"/>
  </r>
  <r>
    <s v="RCF Trombay"/>
    <s v="15-15-15"/>
    <s v="WB"/>
    <x v="16"/>
    <s v="Berhampore"/>
    <s v="User Not Mapped"/>
    <s v="User Not Mapped"/>
    <s v="User Not Mapped"/>
    <n v="641008"/>
    <s v="MONDAL FERTILIZER"/>
    <s v="Private Retailer"/>
    <s v="7797956501"/>
    <n v="4.25"/>
    <n v="38"/>
    <x v="3"/>
    <m/>
    <s v="2026-03-13"/>
    <s v="281704"/>
    <s v="Maa Fertilizer"/>
    <s v="9800042039"/>
  </r>
  <r>
    <s v="RCF Trombay"/>
    <s v="N.C.Urea(45kg)"/>
    <s v="WB"/>
    <x v="16"/>
    <s v="Sagardighi"/>
    <s v="User Not Mapped"/>
    <s v="User Not Mapped"/>
    <s v="User Not Mapped"/>
    <n v="1449905"/>
    <s v="MOTAHAR HOSSAIN"/>
    <s v="Private Retailer"/>
    <s v="7908716018"/>
    <n v="21.33"/>
    <n v="38"/>
    <x v="3"/>
    <m/>
    <s v="2026-03-13"/>
    <s v="281704"/>
    <s v="Maa Fertilizer"/>
    <s v="9800042039"/>
  </r>
  <r>
    <s v="RCF Thal"/>
    <s v="N.C.Urea(45kg)"/>
    <s v="WB"/>
    <x v="16"/>
    <s v="Sagardighi"/>
    <s v="User Not Mapped"/>
    <s v="User Not Mapped"/>
    <s v="User Not Mapped"/>
    <n v="1449905"/>
    <s v="MOTAHAR HOSSAIN"/>
    <s v="Private Retailer"/>
    <s v="7908716018"/>
    <n v="15.615"/>
    <n v="38"/>
    <x v="3"/>
    <m/>
    <s v="2026-03-13"/>
    <s v="281704"/>
    <s v="Maa Fertilizer"/>
    <s v="9800042039"/>
  </r>
  <r>
    <s v="RCF Trombay"/>
    <s v="N.C.Urea(45kg)"/>
    <s v="WB"/>
    <x v="16"/>
    <s v="Domkal"/>
    <s v="User Not Mapped"/>
    <s v="User Not Mapped"/>
    <s v="User Not Mapped"/>
    <n v="1157813"/>
    <s v="MS RAHAT FERTILIZER"/>
    <s v="Private Retailer"/>
    <s v="7718584390"/>
    <n v="0.54"/>
    <n v="137"/>
    <x v="4"/>
    <m/>
    <s v="2025-12-04"/>
    <s v="281704"/>
    <s v="Maa Fertilizer"/>
    <s v="9800042039"/>
  </r>
  <r>
    <s v="RCF Thal"/>
    <s v="N.C.Urea(45kg)"/>
    <s v="WB"/>
    <x v="16"/>
    <s v="Domkal"/>
    <s v="User Not Mapped"/>
    <s v="User Not Mapped"/>
    <s v="User Not Mapped"/>
    <n v="1157813"/>
    <s v="MS RAHAT FERTILIZER"/>
    <s v="Private Retailer"/>
    <s v="7718584390"/>
    <n v="7.02"/>
    <n v="40"/>
    <x v="3"/>
    <m/>
    <s v="2026-03-11"/>
    <s v="281704"/>
    <s v="Maa Fertilizer"/>
    <s v="9800042039"/>
  </r>
  <r>
    <s v="RCF Trombay"/>
    <s v="15-15-15"/>
    <s v="WB"/>
    <x v="16"/>
    <s v="Domkal"/>
    <s v="User Not Mapped"/>
    <s v="User Not Mapped"/>
    <s v="User Not Mapped"/>
    <n v="1157813"/>
    <s v="MS RAHAT FERTILIZER"/>
    <s v="Private Retailer"/>
    <s v="7718584390"/>
    <n v="1.25"/>
    <n v="146"/>
    <x v="4"/>
    <m/>
    <s v="2025-11-25"/>
    <s v="281704"/>
    <s v="Maa Fertilizer"/>
    <s v="9800042039"/>
  </r>
  <r>
    <s v="RCF Import"/>
    <s v="Imp 10-26-26"/>
    <s v="WB"/>
    <x v="16"/>
    <s v="Domkal"/>
    <s v="User Not Mapped"/>
    <s v="User Not Mapped"/>
    <s v="User Not Mapped"/>
    <n v="1157813"/>
    <s v="MS RAHAT FERTILIZER"/>
    <s v="Private Retailer"/>
    <s v="7718584390"/>
    <n v="1"/>
    <n v="146"/>
    <x v="4"/>
    <m/>
    <s v="2025-11-25"/>
    <s v="281704"/>
    <s v="Maa Fertilizer"/>
    <s v="9800042039"/>
  </r>
  <r>
    <s v="RCF Thal"/>
    <s v="N.C.Urea(45kg)"/>
    <s v="WB"/>
    <x v="16"/>
    <s v="Domkal"/>
    <s v="User Not Mapped"/>
    <s v="User Not Mapped"/>
    <s v="User Not Mapped"/>
    <n v="1157813"/>
    <s v="MS RAHAT FERTILIZER"/>
    <s v="Private Retailer"/>
    <s v="7718584390"/>
    <n v="6.3449999999999998"/>
    <n v="111"/>
    <x v="7"/>
    <m/>
    <s v="2025-12-30"/>
    <s v="281704"/>
    <s v="Maa Fertilizer"/>
    <s v="9800042039"/>
  </r>
  <r>
    <s v="RCF Thal"/>
    <s v="N.C.Urea(45kg)"/>
    <s v="WB"/>
    <x v="16"/>
    <s v="Domkal"/>
    <s v="User Not Mapped"/>
    <s v="User Not Mapped"/>
    <s v="User Not Mapped"/>
    <n v="1157813"/>
    <s v="MS RAHAT FERTILIZER"/>
    <s v="Private Retailer"/>
    <s v="7718584390"/>
    <n v="3.0150000000000001"/>
    <n v="108"/>
    <x v="7"/>
    <m/>
    <s v="2026-01-02"/>
    <s v="281704"/>
    <s v="Maa Fertilizer"/>
    <s v="9800042039"/>
  </r>
  <r>
    <s v="RCF Trombay"/>
    <s v="N.C.Urea(45kg)"/>
    <s v="WB"/>
    <x v="16"/>
    <s v="Berhampore"/>
    <s v="User Not Mapped"/>
    <s v="User Not Mapped"/>
    <s v="User Not Mapped"/>
    <n v="436300"/>
    <s v="Muktipada Nandi"/>
    <s v="Private Retailer"/>
    <s v="9002843810"/>
    <n v="6.6150000000000002"/>
    <n v="38"/>
    <x v="3"/>
    <m/>
    <s v="2026-03-13"/>
    <s v="281704"/>
    <s v="Maa Fertilizer"/>
    <s v="9800042039"/>
  </r>
  <r>
    <s v="RCF Trombay"/>
    <s v="15-15-15"/>
    <s v="WB"/>
    <x v="16"/>
    <s v="Kandi"/>
    <s v="User Not Mapped"/>
    <s v="User Not Mapped"/>
    <s v="User Not Mapped"/>
    <n v="289248"/>
    <s v="Nandadulal Rajbanshi"/>
    <s v="Private Retailer"/>
    <s v="9932985846"/>
    <n v="3.3"/>
    <n v="91"/>
    <x v="7"/>
    <m/>
    <s v="2026-01-19"/>
    <s v="281704"/>
    <s v="Maa Fertilizer"/>
    <s v="9800042039"/>
  </r>
  <r>
    <s v="RCF Thal"/>
    <s v="N.C.Urea(45kg)"/>
    <s v="WB"/>
    <x v="16"/>
    <s v="Bhagawangola - II"/>
    <s v="User Not Mapped"/>
    <s v="User Not Mapped"/>
    <s v="User Not Mapped"/>
    <n v="599999"/>
    <s v="NIHARANJAN SARKAR"/>
    <s v="Private Retailer"/>
    <s v="9679853785"/>
    <n v="3.15"/>
    <n v="108"/>
    <x v="7"/>
    <m/>
    <s v="2026-01-02"/>
    <s v="281704"/>
    <s v="Maa Fertilizer"/>
    <s v="9800042039"/>
  </r>
  <r>
    <s v="RCF Thal"/>
    <s v="N.C.Urea(45kg)"/>
    <s v="WB"/>
    <x v="16"/>
    <s v="Kandi"/>
    <s v="User Not Mapped"/>
    <s v="User Not Mapped"/>
    <s v="User Not Mapped"/>
    <n v="602571"/>
    <s v="NIJAMUDDIN SK"/>
    <s v="Private Retailer"/>
    <s v="9647489312"/>
    <n v="3.51"/>
    <n v="111"/>
    <x v="7"/>
    <m/>
    <s v="2025-12-30"/>
    <s v="281704"/>
    <s v="Maa Fertilizer"/>
    <s v="9800042039"/>
  </r>
  <r>
    <s v="RCF Thal"/>
    <s v="N.C.Urea(45kg)"/>
    <s v="WB"/>
    <x v="16"/>
    <s v="Bharatpur - I"/>
    <s v="User Not Mapped"/>
    <s v="User Not Mapped"/>
    <s v="User Not Mapped"/>
    <n v="289252"/>
    <s v="Nirmal Kumar Saha"/>
    <s v="Private Retailer"/>
    <s v="9434860209"/>
    <n v="7.02"/>
    <n v="40"/>
    <x v="3"/>
    <m/>
    <s v="2026-03-11"/>
    <s v="281704"/>
    <s v="Maa Fertilizer"/>
    <s v="9800042039"/>
  </r>
  <r>
    <s v="RCF Import"/>
    <s v="Imp 10-26-26"/>
    <s v="WB"/>
    <x v="16"/>
    <s v="Bharatpur - I"/>
    <s v="User Not Mapped"/>
    <s v="User Not Mapped"/>
    <s v="User Not Mapped"/>
    <n v="594182"/>
    <s v="NIZAM SK"/>
    <s v="Private Retailer"/>
    <s v="9732750173"/>
    <n v="0.4"/>
    <n v="37"/>
    <x v="3"/>
    <m/>
    <s v="2026-03-14"/>
    <s v="281704"/>
    <s v="Maa Fertilizer"/>
    <s v="9800042039"/>
  </r>
  <r>
    <s v="RCF Import"/>
    <s v="Imp 10-26-26"/>
    <s v="WB"/>
    <x v="16"/>
    <s v="Bharatpur - I"/>
    <s v="User Not Mapped"/>
    <s v="User Not Mapped"/>
    <s v="User Not Mapped"/>
    <n v="594182"/>
    <s v="NIZAM SK"/>
    <s v="Private Retailer"/>
    <s v="9732750173"/>
    <n v="3.4"/>
    <n v="13"/>
    <x v="5"/>
    <m/>
    <s v="2026-04-07"/>
    <s v="281704"/>
    <s v="Maa Fertilizer"/>
    <s v="9800042039"/>
  </r>
  <r>
    <s v="RCF Thal"/>
    <s v="N.C.Urea(45kg)"/>
    <s v="WB"/>
    <x v="16"/>
    <s v="Bharatpur - I"/>
    <s v="User Not Mapped"/>
    <s v="User Not Mapped"/>
    <s v="User Not Mapped"/>
    <n v="594182"/>
    <s v="NIZAM SK"/>
    <s v="Private Retailer"/>
    <s v="9732750173"/>
    <n v="6.8849999999999998"/>
    <n v="40"/>
    <x v="3"/>
    <m/>
    <s v="2026-03-11"/>
    <s v="281704"/>
    <s v="Maa Fertilizer"/>
    <s v="9800042039"/>
  </r>
  <r>
    <s v="RCF Import"/>
    <s v="Imp 10-26-26"/>
    <s v="WB"/>
    <x v="16"/>
    <s v="Kandi"/>
    <s v="User Not Mapped"/>
    <s v="User Not Mapped"/>
    <s v="User Not Mapped"/>
    <n v="449069"/>
    <s v="Nurjamat Haque"/>
    <s v="Private Retailer"/>
    <s v="9002800582"/>
    <n v="0.7"/>
    <n v="256"/>
    <x v="1"/>
    <m/>
    <s v="2025-08-07"/>
    <s v="281704"/>
    <s v="Maa Fertilizer"/>
    <s v="9800042039"/>
  </r>
  <r>
    <s v="RCF Thal"/>
    <s v="N.C.Urea(45kg)"/>
    <s v="WB"/>
    <x v="16"/>
    <s v="Kandi"/>
    <s v="User Not Mapped"/>
    <s v="User Not Mapped"/>
    <s v="User Not Mapped"/>
    <n v="449069"/>
    <s v="Nurjamat Haque"/>
    <s v="Private Retailer"/>
    <s v="9002800582"/>
    <n v="2.0249999999999999"/>
    <n v="230"/>
    <x v="1"/>
    <m/>
    <s v="2025-09-02"/>
    <s v="281704"/>
    <s v="Maa Fertilizer"/>
    <s v="9800042039"/>
  </r>
  <r>
    <s v="RCF Import"/>
    <s v="MOP"/>
    <s v="WB"/>
    <x v="16"/>
    <s v="Kandi"/>
    <s v="User Not Mapped"/>
    <s v="User Not Mapped"/>
    <s v="User Not Mapped"/>
    <n v="449069"/>
    <s v="Nurjamat Haque"/>
    <s v="Private Retailer"/>
    <s v="9002800582"/>
    <n v="0.25"/>
    <n v="256"/>
    <x v="1"/>
    <m/>
    <s v="2025-08-07"/>
    <s v="281704"/>
    <s v="Maa Fertilizer"/>
    <s v="9800042039"/>
  </r>
  <r>
    <s v="RCF Thal"/>
    <s v="N.C.Urea(45kg)"/>
    <s v="WB"/>
    <x v="16"/>
    <s v="Berhampore"/>
    <s v="User Not Mapped"/>
    <s v="User Not Mapped"/>
    <s v="User Not Mapped"/>
    <n v="1463826"/>
    <s v="NURSHIA KHATUN"/>
    <s v="Private Retailer"/>
    <s v="9734644102"/>
    <n v="1.0349999999999999"/>
    <n v="40"/>
    <x v="3"/>
    <m/>
    <s v="2026-03-11"/>
    <s v="281704"/>
    <s v="Maa Fertilizer"/>
    <s v="9800042039"/>
  </r>
  <r>
    <s v="RCF Trombay"/>
    <s v="15-15-15"/>
    <s v="WB"/>
    <x v="16"/>
    <s v="Berhampore"/>
    <s v="User Not Mapped"/>
    <s v="User Not Mapped"/>
    <s v="User Not Mapped"/>
    <n v="1463826"/>
    <s v="NURSHIA KHATUN"/>
    <s v="Private Retailer"/>
    <s v="9734644102"/>
    <n v="0.6"/>
    <n v="82"/>
    <x v="6"/>
    <m/>
    <s v="2026-01-28"/>
    <s v="281704"/>
    <s v="Maa Fertilizer"/>
    <s v="9800042039"/>
  </r>
  <r>
    <s v="RCF Thal"/>
    <s v="N.C.Urea(45kg)"/>
    <s v="WB"/>
    <x v="16"/>
    <s v="Bharatpur - II"/>
    <s v="User Not Mapped"/>
    <s v="User Not Mapped"/>
    <s v="User Not Mapped"/>
    <n v="1037982"/>
    <s v="PATKARI DE"/>
    <s v="Private Retailer"/>
    <s v="9564241218"/>
    <n v="3.0150000000000001"/>
    <n v="186"/>
    <x v="1"/>
    <m/>
    <s v="2025-10-16"/>
    <s v="281704"/>
    <s v="Maa Fertilizer"/>
    <s v="9800042039"/>
  </r>
  <r>
    <s v="RCF Trombay"/>
    <s v="N.C.Urea(45kg)"/>
    <s v="WB"/>
    <x v="16"/>
    <s v="Domkal"/>
    <s v="User Not Mapped"/>
    <s v="User Not Mapped"/>
    <s v="User Not Mapped"/>
    <n v="270515"/>
    <s v="Paul Fertiliser"/>
    <s v="State Marketing Federation"/>
    <s v="8637580277"/>
    <n v="1.845"/>
    <n v="1075"/>
    <x v="2"/>
    <m/>
    <s v="2023-05-11"/>
    <s v="281704"/>
    <s v="Maa Fertilizer"/>
    <s v="9800042039"/>
  </r>
  <r>
    <s v="RCF Trombay"/>
    <s v="15-15-15"/>
    <s v="WB"/>
    <x v="16"/>
    <s v="Domkal"/>
    <s v="User Not Mapped"/>
    <s v="User Not Mapped"/>
    <s v="User Not Mapped"/>
    <n v="270515"/>
    <s v="Paul Fertiliser"/>
    <s v="State Marketing Federation"/>
    <s v="8637580277"/>
    <n v="2.75"/>
    <n v="1075"/>
    <x v="2"/>
    <m/>
    <s v="2023-05-11"/>
    <s v="281704"/>
    <s v="Maa Fertilizer"/>
    <s v="9800042039"/>
  </r>
  <r>
    <s v="RCF Trombay"/>
    <s v="15-15-15"/>
    <s v="WB"/>
    <x v="16"/>
    <s v="Bhagawangola - II"/>
    <s v="User Not Mapped"/>
    <s v="User Not Mapped"/>
    <s v="User Not Mapped"/>
    <n v="1029564"/>
    <s v="PRASANTA KUMAR MONDAL"/>
    <s v="Private Retailer"/>
    <s v="9609255278"/>
    <n v="0.27600000000000002"/>
    <n v="282"/>
    <x v="1"/>
    <m/>
    <s v="2025-07-12"/>
    <s v="281704"/>
    <s v="Maa Fertilizer"/>
    <s v="9800042039"/>
  </r>
  <r>
    <s v="RCF Thal"/>
    <s v="N.C.Urea(45kg)"/>
    <s v="WB"/>
    <x v="16"/>
    <s v="Nawda"/>
    <s v="User Not Mapped"/>
    <s v="User Not Mapped"/>
    <s v="User Not Mapped"/>
    <n v="235767"/>
    <s v="Rabindra Nath Mondal "/>
    <s v="Private Retailer"/>
    <s v="8900149235"/>
    <n v="1.0349999999999999"/>
    <n v="104"/>
    <x v="7"/>
    <m/>
    <s v="2026-01-06"/>
    <s v="281704"/>
    <s v="Maa Fertilizer"/>
    <s v="9800042039"/>
  </r>
  <r>
    <s v="RCF Trombay"/>
    <s v="15-15-15"/>
    <s v="WB"/>
    <x v="16"/>
    <s v="Nawda"/>
    <s v="User Not Mapped"/>
    <s v="User Not Mapped"/>
    <s v="User Not Mapped"/>
    <n v="235767"/>
    <s v="Rabindra Nath Mondal "/>
    <s v="Private Retailer"/>
    <s v="8900149235"/>
    <n v="0.5"/>
    <n v="146"/>
    <x v="4"/>
    <m/>
    <s v="2025-11-25"/>
    <s v="281704"/>
    <s v="Maa Fertilizer"/>
    <s v="9800042039"/>
  </r>
  <r>
    <s v="RCF Trombay"/>
    <s v="N.C.Urea(45kg)"/>
    <s v="WB"/>
    <x v="16"/>
    <s v="Nawda"/>
    <s v="User Not Mapped"/>
    <s v="User Not Mapped"/>
    <s v="User Not Mapped"/>
    <n v="235767"/>
    <s v="Rabindra Nath Mondal "/>
    <s v="Private Retailer"/>
    <s v="8900149235"/>
    <n v="3.0150000000000001"/>
    <n v="20"/>
    <x v="5"/>
    <m/>
    <s v="2026-03-31"/>
    <s v="281704"/>
    <s v="Maa Fertilizer"/>
    <s v="9800042039"/>
  </r>
  <r>
    <s v="RCF Trombay"/>
    <s v="15-15-15"/>
    <s v="WB"/>
    <x v="16"/>
    <s v="Nawda"/>
    <s v="User Not Mapped"/>
    <s v="User Not Mapped"/>
    <s v="User Not Mapped"/>
    <n v="235767"/>
    <s v="Rabindra Nath Mondal "/>
    <s v="Private Retailer"/>
    <s v="8900149235"/>
    <n v="8"/>
    <n v="20"/>
    <x v="5"/>
    <m/>
    <s v="2026-03-31"/>
    <s v="281704"/>
    <s v="Maa Fertilizer"/>
    <s v="9800042039"/>
  </r>
  <r>
    <s v="RCF Trombay"/>
    <s v="N.C.Urea(45kg)"/>
    <s v="WB"/>
    <x v="16"/>
    <s v="Domkal"/>
    <s v="User Not Mapped"/>
    <s v="User Not Mapped"/>
    <s v="User Not Mapped"/>
    <n v="951609"/>
    <s v="RAKIBUL ISLAM"/>
    <s v="Private Retailer"/>
    <s v="8637358611"/>
    <n v="4.8600000000000003"/>
    <n v="146"/>
    <x v="4"/>
    <m/>
    <s v="2025-11-25"/>
    <s v="281704"/>
    <s v="Maa Fertilizer"/>
    <s v="9800042039"/>
  </r>
  <r>
    <s v="RCF Trombay"/>
    <s v="N.C.Urea(45kg)"/>
    <s v="WB"/>
    <x v="16"/>
    <s v="Domkal"/>
    <s v="User Not Mapped"/>
    <s v="User Not Mapped"/>
    <s v="User Not Mapped"/>
    <n v="951609"/>
    <s v="RAKIBUL ISLAM"/>
    <s v="Private Retailer"/>
    <s v="8637358611"/>
    <n v="4.9950000000000001"/>
    <n v="70"/>
    <x v="6"/>
    <m/>
    <s v="2026-02-09"/>
    <s v="281704"/>
    <s v="Maa Fertilizer"/>
    <s v="9800042039"/>
  </r>
  <r>
    <s v="RCF Trombay"/>
    <s v="N.C.Urea(45kg)"/>
    <s v="WB"/>
    <x v="16"/>
    <s v="Berhampore"/>
    <s v="User Not Mapped"/>
    <s v="User Not Mapped"/>
    <s v="User Not Mapped"/>
    <n v="1249818"/>
    <s v="RENTU GHOSH"/>
    <s v="Private Retailer"/>
    <s v="8768966709"/>
    <n v="0.63"/>
    <n v="82"/>
    <x v="6"/>
    <m/>
    <s v="2026-01-28"/>
    <s v="281704"/>
    <s v="Maa Fertilizer"/>
    <s v="9800042039"/>
  </r>
  <r>
    <s v="RCF Trombay"/>
    <s v="N.C.Urea(45kg)"/>
    <s v="WB"/>
    <x v="16"/>
    <s v="Berhampore"/>
    <s v="User Not Mapped"/>
    <s v="User Not Mapped"/>
    <s v="User Not Mapped"/>
    <n v="1249818"/>
    <s v="RENTU GHOSH"/>
    <s v="Private Retailer"/>
    <s v="8768966709"/>
    <n v="7.02"/>
    <n v="38"/>
    <x v="3"/>
    <m/>
    <s v="2026-03-13"/>
    <s v="281704"/>
    <s v="Maa Fertilizer"/>
    <s v="9800042039"/>
  </r>
  <r>
    <s v="RCF Trombay"/>
    <s v="15-15-15"/>
    <s v="WB"/>
    <x v="16"/>
    <s v="Berhampore"/>
    <s v="User Not Mapped"/>
    <s v="User Not Mapped"/>
    <s v="User Not Mapped"/>
    <n v="1249818"/>
    <s v="RENTU GHOSH"/>
    <s v="Private Retailer"/>
    <s v="8768966709"/>
    <n v="2.35"/>
    <n v="82"/>
    <x v="6"/>
    <m/>
    <s v="2026-01-28"/>
    <s v="281704"/>
    <s v="Maa Fertilizer"/>
    <s v="9800042039"/>
  </r>
  <r>
    <s v="RCF Thal"/>
    <s v="N.C.Urea(45kg)"/>
    <s v="WB"/>
    <x v="16"/>
    <s v="Berhampore"/>
    <s v="User Not Mapped"/>
    <s v="User Not Mapped"/>
    <s v="User Not Mapped"/>
    <n v="1249818"/>
    <s v="RENTU GHOSH"/>
    <s v="Private Retailer"/>
    <s v="8768966709"/>
    <n v="1.71"/>
    <n v="111"/>
    <x v="7"/>
    <m/>
    <s v="2025-12-30"/>
    <s v="281704"/>
    <s v="Maa Fertilizer"/>
    <s v="9800042039"/>
  </r>
  <r>
    <s v="RCF Thal"/>
    <s v="N.C.Urea(45kg)"/>
    <s v="WB"/>
    <x v="16"/>
    <s v="Berhampore"/>
    <s v="User Not Mapped"/>
    <s v="User Not Mapped"/>
    <s v="User Not Mapped"/>
    <n v="342178"/>
    <s v="Rintu Hossain"/>
    <s v="Private Retailer"/>
    <s v="9002736109"/>
    <n v="1.2150000000000001"/>
    <n v="111"/>
    <x v="7"/>
    <m/>
    <s v="2025-12-30"/>
    <s v="281704"/>
    <s v="Maa Fertilizer"/>
    <s v="9800042039"/>
  </r>
  <r>
    <s v="RCF Trombay"/>
    <s v="15-15-15"/>
    <s v="WB"/>
    <x v="16"/>
    <s v="Berhampore"/>
    <s v="User Not Mapped"/>
    <s v="User Not Mapped"/>
    <s v="User Not Mapped"/>
    <n v="342178"/>
    <s v="Rintu Hossain"/>
    <s v="Private Retailer"/>
    <s v="9002736109"/>
    <n v="2.4500000000000002"/>
    <n v="146"/>
    <x v="4"/>
    <m/>
    <s v="2025-11-25"/>
    <s v="281704"/>
    <s v="Maa Fertilizer"/>
    <s v="9800042039"/>
  </r>
  <r>
    <s v="RCF Trombay"/>
    <s v="N.C.Urea(45kg)"/>
    <s v="WB"/>
    <x v="16"/>
    <s v="Burwan"/>
    <s v="User Not Mapped"/>
    <s v="User Not Mapped"/>
    <s v="User Not Mapped"/>
    <n v="235782"/>
    <s v="Royal Enterprises"/>
    <s v="Private Retailer"/>
    <s v="9734652237"/>
    <n v="7.02"/>
    <n v="38"/>
    <x v="3"/>
    <m/>
    <s v="2026-03-13"/>
    <s v="281704"/>
    <s v="Maa Fertilizer"/>
    <s v="9800042039"/>
  </r>
  <r>
    <s v="RCF Trombay"/>
    <s v="N.C.Urea(45kg)"/>
    <s v="WB"/>
    <x v="16"/>
    <s v="Burwan"/>
    <s v="User Not Mapped"/>
    <s v="User Not Mapped"/>
    <s v="User Not Mapped"/>
    <n v="235782"/>
    <s v="Royal Enterprises"/>
    <s v="Private Retailer"/>
    <s v="9734652237"/>
    <n v="6.0750000000000002"/>
    <n v="82"/>
    <x v="6"/>
    <m/>
    <s v="2026-01-28"/>
    <s v="281704"/>
    <s v="Maa Fertilizer"/>
    <s v="9800042039"/>
  </r>
  <r>
    <s v="RCF Trombay"/>
    <s v="15-15-15"/>
    <s v="WB"/>
    <x v="16"/>
    <s v="Kandi"/>
    <s v="User Not Mapped"/>
    <s v="User Not Mapped"/>
    <s v="User Not Mapped"/>
    <n v="503033"/>
    <s v="Sachidananda Dutta"/>
    <s v="Private Retailer"/>
    <s v="8900029393"/>
    <n v="1.65"/>
    <n v="214"/>
    <x v="1"/>
    <m/>
    <s v="2025-09-18"/>
    <s v="281704"/>
    <s v="Maa Fertilizer"/>
    <s v="9800042039"/>
  </r>
  <r>
    <s v="RCF Trombay"/>
    <s v="N.C.Urea(45kg)"/>
    <s v="WB"/>
    <x v="16"/>
    <s v="Murshidabad Jiaganj"/>
    <s v="User Not Mapped"/>
    <s v="User Not Mapped"/>
    <s v="User Not Mapped"/>
    <n v="1059388"/>
    <s v="SADIKUL ISLAM"/>
    <s v="Private Retailer"/>
    <s v="7797058361"/>
    <n v="2.97"/>
    <n v="70"/>
    <x v="6"/>
    <m/>
    <s v="2026-02-09"/>
    <s v="281704"/>
    <s v="Maa Fertilizer"/>
    <s v="9800042039"/>
  </r>
  <r>
    <s v="RCF Trombay"/>
    <s v="15-15-15"/>
    <s v="WB"/>
    <x v="16"/>
    <s v="Murshidabad Jiaganj"/>
    <s v="User Not Mapped"/>
    <s v="User Not Mapped"/>
    <s v="User Not Mapped"/>
    <n v="1059388"/>
    <s v="SADIKUL ISLAM"/>
    <s v="Private Retailer"/>
    <s v="7797058361"/>
    <n v="0.5"/>
    <n v="146"/>
    <x v="4"/>
    <m/>
    <s v="2025-11-25"/>
    <s v="281704"/>
    <s v="Maa Fertilizer"/>
    <s v="9800042039"/>
  </r>
  <r>
    <s v="RCF Thal"/>
    <s v="N.C.Urea(45kg)"/>
    <s v="WB"/>
    <x v="16"/>
    <s v="Kandi"/>
    <s v="User Not Mapped"/>
    <s v="User Not Mapped"/>
    <s v="User Not Mapped"/>
    <n v="1354278"/>
    <s v="SAFIKUL ISLAM"/>
    <s v="Private Retailer"/>
    <s v="9091907350"/>
    <n v="2.97"/>
    <n v="122"/>
    <x v="4"/>
    <m/>
    <s v="2025-12-19"/>
    <s v="281704"/>
    <s v="Maa Fertilizer"/>
    <s v="9800042039"/>
  </r>
  <r>
    <s v="RCF Trombay"/>
    <s v="N.C.Urea(45kg)"/>
    <s v="WB"/>
    <x v="16"/>
    <s v="Kandi"/>
    <s v="User Not Mapped"/>
    <s v="User Not Mapped"/>
    <s v="User Not Mapped"/>
    <n v="1354278"/>
    <s v="SAFIKUL ISLAM"/>
    <s v="Private Retailer"/>
    <s v="9091907350"/>
    <n v="2.97"/>
    <n v="257"/>
    <x v="1"/>
    <m/>
    <s v="2025-08-06"/>
    <s v="281704"/>
    <s v="Maa Fertilizer"/>
    <s v="9800042039"/>
  </r>
  <r>
    <s v="RCF Thal"/>
    <s v="N.C.Urea(45kg)"/>
    <s v="WB"/>
    <x v="16"/>
    <s v="Bhagawangola - II"/>
    <s v="User Not Mapped"/>
    <s v="User Not Mapped"/>
    <s v="User Not Mapped"/>
    <n v="994818"/>
    <s v="SAHO ALAM"/>
    <s v="Private Retailer"/>
    <s v="9932070173"/>
    <n v="5.0000000000000001E-3"/>
    <n v="2663"/>
    <x v="2"/>
    <m/>
    <s v="2019-01-04"/>
    <s v="281704"/>
    <s v="Maa Fertilizer"/>
    <s v="9800042039"/>
  </r>
  <r>
    <s v="RCF Thal"/>
    <s v="N.C.Urea(45kg)"/>
    <s v="WB"/>
    <x v="16"/>
    <s v="Bhagawangola - II"/>
    <s v="User Not Mapped"/>
    <s v="User Not Mapped"/>
    <s v="User Not Mapped"/>
    <n v="342558"/>
    <s v="Saibur Ali"/>
    <s v="Private Retailer"/>
    <s v="9002223031"/>
    <n v="4.9950000000000001"/>
    <n v="38"/>
    <x v="3"/>
    <m/>
    <s v="2026-03-13"/>
    <s v="281704"/>
    <s v="Maa Fertilizer"/>
    <s v="9800042039"/>
  </r>
  <r>
    <s v="RCF Import"/>
    <s v="Imp 10-26-26"/>
    <s v="WB"/>
    <x v="16"/>
    <s v="Raghunathganj - II"/>
    <s v="User Not Mapped"/>
    <s v="User Not Mapped"/>
    <s v="User Not Mapped"/>
    <n v="517683"/>
    <s v="Saiful Khan"/>
    <s v="Private Retailer"/>
    <s v="9732586075"/>
    <n v="0.25"/>
    <n v="124"/>
    <x v="4"/>
    <m/>
    <s v="2025-12-17"/>
    <s v="281704"/>
    <s v="Maa Fertilizer"/>
    <s v="9800042039"/>
  </r>
  <r>
    <s v="RCF Import"/>
    <s v="Imp 10-26-26"/>
    <s v="WB"/>
    <x v="16"/>
    <s v="Berhampore"/>
    <s v="User Not Mapped"/>
    <s v="User Not Mapped"/>
    <s v="User Not Mapped"/>
    <n v="289271"/>
    <s v="SAIFUL SK"/>
    <s v="Private Retailer"/>
    <s v="9475069898"/>
    <n v="0.65"/>
    <n v="124"/>
    <x v="4"/>
    <m/>
    <s v="2025-12-17"/>
    <s v="281704"/>
    <s v="Maa Fertilizer"/>
    <s v="9800042039"/>
  </r>
  <r>
    <s v="RCF Trombay"/>
    <s v="15-15-15"/>
    <s v="WB"/>
    <x v="16"/>
    <s v="Murshidabad Jiaganj"/>
    <s v="User Not Mapped"/>
    <s v="User Not Mapped"/>
    <s v="User Not Mapped"/>
    <n v="289274"/>
    <s v="Sambhu Charan Mandal"/>
    <s v="Private Retailer"/>
    <s v="8001985916"/>
    <n v="2"/>
    <n v="38"/>
    <x v="3"/>
    <m/>
    <s v="2026-03-13"/>
    <s v="281704"/>
    <s v="Maa Fertilizer"/>
    <s v="9800042039"/>
  </r>
  <r>
    <s v="RCF Thal"/>
    <s v="N.C.Urea(45kg)"/>
    <s v="WB"/>
    <x v="16"/>
    <s v="Murshidabad Jiaganj"/>
    <s v="User Not Mapped"/>
    <s v="User Not Mapped"/>
    <s v="User Not Mapped"/>
    <n v="289274"/>
    <s v="Sambhu Charan Mandal"/>
    <s v="Private Retailer"/>
    <s v="8001985916"/>
    <n v="2.25"/>
    <n v="40"/>
    <x v="3"/>
    <m/>
    <s v="2026-03-11"/>
    <s v="281704"/>
    <s v="Maa Fertilizer"/>
    <s v="9800042039"/>
  </r>
  <r>
    <s v="RCF Trombay"/>
    <s v="N.C.Urea(45kg)"/>
    <s v="WB"/>
    <x v="16"/>
    <s v="Murshidabad Jiaganj"/>
    <s v="User Not Mapped"/>
    <s v="User Not Mapped"/>
    <s v="User Not Mapped"/>
    <n v="289274"/>
    <s v="Sambhu Charan Mandal"/>
    <s v="Private Retailer"/>
    <s v="8001985916"/>
    <n v="1.0349999999999999"/>
    <n v="38"/>
    <x v="3"/>
    <m/>
    <s v="2026-03-13"/>
    <s v="281704"/>
    <s v="Maa Fertilizer"/>
    <s v="9800042039"/>
  </r>
  <r>
    <s v="RCF Trombay"/>
    <s v="15-15-15"/>
    <s v="WB"/>
    <x v="16"/>
    <s v="Jalangi"/>
    <s v="User Not Mapped"/>
    <s v="User Not Mapped"/>
    <s v="User Not Mapped"/>
    <n v="1071629"/>
    <s v="SAMIM AKHTAR"/>
    <s v="Private Retailer"/>
    <s v="9153185418"/>
    <n v="7"/>
    <n v="38"/>
    <x v="3"/>
    <m/>
    <s v="2026-03-13"/>
    <s v="281704"/>
    <s v="Maa Fertilizer"/>
    <s v="9800042039"/>
  </r>
  <r>
    <s v="RCF Import"/>
    <s v="Imp 10-26-26"/>
    <s v="WB"/>
    <x v="16"/>
    <s v="Jalangi"/>
    <s v="User Not Mapped"/>
    <s v="User Not Mapped"/>
    <s v="User Not Mapped"/>
    <n v="1071629"/>
    <s v="SAMIM AKHTAR"/>
    <s v="Private Retailer"/>
    <s v="9153185418"/>
    <n v="3.5"/>
    <n v="55"/>
    <x v="3"/>
    <m/>
    <s v="2026-02-24"/>
    <s v="281704"/>
    <s v="Maa Fertilizer"/>
    <s v="9800042039"/>
  </r>
  <r>
    <s v="RCF Thal"/>
    <s v="N.C.Urea(45kg)"/>
    <s v="WB"/>
    <x v="16"/>
    <s v="Jalangi"/>
    <s v="User Not Mapped"/>
    <s v="User Not Mapped"/>
    <s v="User Not Mapped"/>
    <n v="1071629"/>
    <s v="SAMIM AKHTAR"/>
    <s v="Private Retailer"/>
    <s v="9153185418"/>
    <n v="0.64800000000000002"/>
    <n v="40"/>
    <x v="3"/>
    <m/>
    <s v="2026-03-11"/>
    <s v="281704"/>
    <s v="Maa Fertilizer"/>
    <s v="9800042039"/>
  </r>
  <r>
    <s v="RCF Import"/>
    <s v="Imp 10-26-26"/>
    <s v="WB"/>
    <x v="16"/>
    <s v="Murshidabad Jiaganj"/>
    <s v="User Not Mapped"/>
    <s v="User Not Mapped"/>
    <s v="User Not Mapped"/>
    <n v="462573"/>
    <s v="Sarjuma Bibi"/>
    <s v="Private Retailer"/>
    <s v="9647033819"/>
    <n v="0.5"/>
    <n v="208"/>
    <x v="1"/>
    <m/>
    <s v="2025-09-24"/>
    <s v="281704"/>
    <s v="Maa Fertilizer"/>
    <s v="9800042039"/>
  </r>
  <r>
    <s v="RCF Thal"/>
    <s v="N.C.Urea(45kg)"/>
    <s v="WB"/>
    <x v="16"/>
    <s v="Murshidabad Jiaganj"/>
    <s v="User Not Mapped"/>
    <s v="User Not Mapped"/>
    <s v="User Not Mapped"/>
    <n v="462573"/>
    <s v="Sarjuma Bibi"/>
    <s v="Private Retailer"/>
    <s v="9647033819"/>
    <n v="1.98"/>
    <n v="13"/>
    <x v="5"/>
    <m/>
    <s v="2026-04-07"/>
    <s v="281704"/>
    <s v="Maa Fertilizer"/>
    <s v="9800042039"/>
  </r>
  <r>
    <s v="RCF Thal"/>
    <s v="N.C.Urea(45kg)"/>
    <s v="WB"/>
    <x v="16"/>
    <s v="Murshidabad Jiaganj"/>
    <s v="User Not Mapped"/>
    <s v="User Not Mapped"/>
    <s v="User Not Mapped"/>
    <n v="462573"/>
    <s v="Sarjuma Bibi"/>
    <s v="Private Retailer"/>
    <s v="9647033819"/>
    <n v="2.5649999999999999"/>
    <n v="40"/>
    <x v="3"/>
    <m/>
    <s v="2026-03-11"/>
    <s v="281704"/>
    <s v="Maa Fertilizer"/>
    <s v="9800042039"/>
  </r>
  <r>
    <s v="RCF Import"/>
    <s v="Imp 10-26-26"/>
    <s v="WB"/>
    <x v="16"/>
    <s v="Murshidabad Jiaganj"/>
    <s v="User Not Mapped"/>
    <s v="User Not Mapped"/>
    <s v="User Not Mapped"/>
    <n v="462573"/>
    <s v="Sarjuma Bibi"/>
    <s v="Private Retailer"/>
    <s v="9647033819"/>
    <n v="0.5"/>
    <n v="226"/>
    <x v="1"/>
    <m/>
    <s v="2025-09-06"/>
    <s v="281704"/>
    <s v="Maa Fertilizer"/>
    <s v="9800042039"/>
  </r>
  <r>
    <s v="RCF Trombay"/>
    <s v="15-15-15"/>
    <s v="WB"/>
    <x v="16"/>
    <s v="Beldanga - II"/>
    <s v="User Not Mapped"/>
    <s v="User Not Mapped"/>
    <s v="User Not Mapped"/>
    <n v="943358"/>
    <s v="SARKAR FERTILIZER"/>
    <s v="Private Retailer"/>
    <s v="9153559191"/>
    <n v="1"/>
    <n v="146"/>
    <x v="4"/>
    <m/>
    <s v="2025-11-25"/>
    <s v="281704"/>
    <s v="Maa Fertilizer"/>
    <s v="9800042039"/>
  </r>
  <r>
    <s v="RCF Import"/>
    <s v="Imp 10-26-26"/>
    <s v="WB"/>
    <x v="16"/>
    <s v="Beldanga - II"/>
    <s v="User Not Mapped"/>
    <s v="User Not Mapped"/>
    <s v="User Not Mapped"/>
    <n v="943358"/>
    <s v="SARKAR FERTILIZER"/>
    <s v="Private Retailer"/>
    <s v="9153559191"/>
    <n v="1"/>
    <n v="256"/>
    <x v="1"/>
    <m/>
    <s v="2025-08-07"/>
    <s v="281704"/>
    <s v="Maa Fertilizer"/>
    <s v="9800042039"/>
  </r>
  <r>
    <s v="RCF Import"/>
    <s v="Imp 10-26-26"/>
    <s v="WB"/>
    <x v="16"/>
    <s v="Beldanga - II"/>
    <s v="User Not Mapped"/>
    <s v="User Not Mapped"/>
    <s v="User Not Mapped"/>
    <n v="943358"/>
    <s v="SARKAR FERTILIZER"/>
    <s v="Private Retailer"/>
    <s v="9153559191"/>
    <n v="1"/>
    <n v="146"/>
    <x v="4"/>
    <m/>
    <s v="2025-11-25"/>
    <s v="281704"/>
    <s v="Maa Fertilizer"/>
    <s v="9800042039"/>
  </r>
  <r>
    <s v="RCF Trombay"/>
    <s v="15-15-15"/>
    <s v="WB"/>
    <x v="16"/>
    <s v="Nabagram"/>
    <s v="User Not Mapped"/>
    <s v="User Not Mapped"/>
    <s v="User Not Mapped"/>
    <n v="874055"/>
    <s v="SATYA KINKAR DUTTA"/>
    <s v="Private Retailer"/>
    <s v="8001888025"/>
    <n v="0.9"/>
    <n v="205"/>
    <x v="1"/>
    <m/>
    <s v="2025-09-27"/>
    <s v="281704"/>
    <s v="Maa Fertilizer"/>
    <s v="9800042039"/>
  </r>
  <r>
    <s v="RCF Trombay"/>
    <s v="15-15-15"/>
    <s v="WB"/>
    <x v="16"/>
    <s v="Jalangi"/>
    <s v="User Not Mapped"/>
    <s v="User Not Mapped"/>
    <s v="User Not Mapped"/>
    <n v="289281"/>
    <s v="Shikha Rani Saha"/>
    <s v="Private Retailer"/>
    <s v="9800140000"/>
    <n v="1"/>
    <n v="146"/>
    <x v="4"/>
    <m/>
    <s v="2025-11-25"/>
    <s v="281704"/>
    <s v="Maa Fertilizer"/>
    <s v="9800042039"/>
  </r>
  <r>
    <s v="RCF Thal"/>
    <s v="N.C.Urea(45kg)"/>
    <s v="WB"/>
    <x v="16"/>
    <s v="Kandi"/>
    <s v="User Not Mapped"/>
    <s v="User Not Mapped"/>
    <s v="User Not Mapped"/>
    <n v="235797"/>
    <s v="SOUMITRA CHANDRA"/>
    <s v="Private Retailer"/>
    <s v="9475245438"/>
    <n v="0.27"/>
    <n v="40"/>
    <x v="3"/>
    <m/>
    <s v="2026-03-11"/>
    <s v="281704"/>
    <s v="Maa Fertilizer"/>
    <s v="9800042039"/>
  </r>
  <r>
    <s v="RCF Thal"/>
    <s v="N.C.Urea(45kg)"/>
    <s v="WB"/>
    <x v="16"/>
    <s v="Raninagar - I"/>
    <s v="User Not Mapped"/>
    <s v="User Not Mapped"/>
    <s v="User Not Mapped"/>
    <n v="618196"/>
    <s v="SUDIPTO SARKAR"/>
    <s v="Private Retailer"/>
    <s v="9153928208"/>
    <n v="9.99"/>
    <n v="40"/>
    <x v="3"/>
    <m/>
    <s v="2026-03-11"/>
    <s v="281704"/>
    <s v="Maa Fertilizer"/>
    <s v="9800042039"/>
  </r>
  <r>
    <s v="RCF Import"/>
    <s v="MOP"/>
    <s v="WB"/>
    <x v="16"/>
    <s v="Murshidabad Jiaganj"/>
    <s v="User Not Mapped"/>
    <s v="User Not Mapped"/>
    <s v="User Not Mapped"/>
    <n v="552056"/>
    <s v="Sujit Kumar Pal"/>
    <s v="Private Retailer"/>
    <s v="9933384680"/>
    <n v="1"/>
    <n v="285"/>
    <x v="1"/>
    <m/>
    <s v="2025-07-09"/>
    <s v="281704"/>
    <s v="Maa Fertilizer"/>
    <s v="9800042039"/>
  </r>
  <r>
    <s v="RCF Thal"/>
    <s v="N.C.Urea(45kg)"/>
    <s v="WB"/>
    <x v="16"/>
    <s v="Kandi"/>
    <s v="User Not Mapped"/>
    <s v="User Not Mapped"/>
    <s v="User Not Mapped"/>
    <n v="289245"/>
    <s v="Sukurulla Sk"/>
    <s v="Private Retailer"/>
    <s v="9733868194"/>
    <n v="7.02"/>
    <n v="40"/>
    <x v="3"/>
    <m/>
    <s v="2026-03-11"/>
    <s v="281704"/>
    <s v="Maa Fertilizer"/>
    <s v="9800042039"/>
  </r>
  <r>
    <s v="RCF Thal"/>
    <s v="N.C.Urea(45kg)"/>
    <s v="WB"/>
    <x v="16"/>
    <s v="Kandi"/>
    <s v="User Not Mapped"/>
    <s v="User Not Mapped"/>
    <s v="User Not Mapped"/>
    <n v="289245"/>
    <s v="Sukurulla Sk"/>
    <s v="Private Retailer"/>
    <s v="9733868194"/>
    <n v="0.01"/>
    <n v="108"/>
    <x v="7"/>
    <m/>
    <s v="2026-01-02"/>
    <s v="281704"/>
    <s v="Maa Fertilizer"/>
    <s v="9800042039"/>
  </r>
  <r>
    <s v="RCF Thal"/>
    <s v="N.C.Urea(45kg)"/>
    <s v="WB"/>
    <x v="16"/>
    <s v="Nawda"/>
    <s v="User Not Mapped"/>
    <s v="User Not Mapped"/>
    <s v="User Not Mapped"/>
    <n v="257313"/>
    <s v="Taj Ali Mondal"/>
    <s v="Private Retailer"/>
    <s v="9732688378"/>
    <n v="6.7949999999999999"/>
    <n v="41"/>
    <x v="3"/>
    <m/>
    <s v="2026-03-10"/>
    <s v="281704"/>
    <s v="Maa Fertilizer"/>
    <s v="9800042039"/>
  </r>
  <r>
    <s v="RCF Trombay"/>
    <s v="N.C.Urea(45kg)"/>
    <s v="WB"/>
    <x v="16"/>
    <s v="Nawda"/>
    <s v="User Not Mapped"/>
    <s v="User Not Mapped"/>
    <s v="User Not Mapped"/>
    <n v="257313"/>
    <s v="Taj Ali Mondal"/>
    <s v="Private Retailer"/>
    <s v="9732688378"/>
    <n v="9.99"/>
    <n v="82"/>
    <x v="6"/>
    <m/>
    <s v="2026-01-28"/>
    <s v="281704"/>
    <s v="Maa Fertilizer"/>
    <s v="9800042039"/>
  </r>
  <r>
    <s v="RCF Import"/>
    <s v="Imp 10-26-26"/>
    <s v="WB"/>
    <x v="16"/>
    <s v="Nawda"/>
    <s v="User Not Mapped"/>
    <s v="User Not Mapped"/>
    <s v="User Not Mapped"/>
    <n v="257313"/>
    <s v="Taj Ali Mondal"/>
    <s v="Private Retailer"/>
    <s v="9732688378"/>
    <n v="10"/>
    <n v="55"/>
    <x v="3"/>
    <m/>
    <s v="2026-02-24"/>
    <s v="281704"/>
    <s v="Maa Fertilizer"/>
    <s v="9800042039"/>
  </r>
  <r>
    <s v="RCF Trombay"/>
    <s v="15-15-15"/>
    <s v="WB"/>
    <x v="16"/>
    <s v="Nawda"/>
    <s v="User Not Mapped"/>
    <s v="User Not Mapped"/>
    <s v="User Not Mapped"/>
    <n v="257313"/>
    <s v="Taj Ali Mondal"/>
    <s v="Private Retailer"/>
    <s v="9732688378"/>
    <n v="8"/>
    <n v="27"/>
    <x v="5"/>
    <m/>
    <s v="2026-03-24"/>
    <s v="281704"/>
    <s v="Maa Fertilizer"/>
    <s v="9800042039"/>
  </r>
  <r>
    <s v="RCF Trombay"/>
    <s v="15-15-15"/>
    <s v="WB"/>
    <x v="16"/>
    <s v="Nawda"/>
    <s v="User Not Mapped"/>
    <s v="User Not Mapped"/>
    <s v="User Not Mapped"/>
    <n v="257313"/>
    <s v="Taj Ali Mondal"/>
    <s v="Private Retailer"/>
    <s v="9732688378"/>
    <n v="2"/>
    <n v="82"/>
    <x v="6"/>
    <m/>
    <s v="2026-01-28"/>
    <s v="281704"/>
    <s v="Maa Fertilizer"/>
    <s v="9800042039"/>
  </r>
  <r>
    <s v="RCF Thal"/>
    <s v="N.C.Urea(45kg)"/>
    <s v="WB"/>
    <x v="16"/>
    <m/>
    <s v="User Not Mapped"/>
    <s v="User Not Mapped"/>
    <s v="User Not Mapped"/>
    <n v="730628"/>
    <s v="TINKU FERTILIZER"/>
    <s v="Private Retailer"/>
    <s v="9734831186"/>
    <n v="7.02"/>
    <n v="1181"/>
    <x v="2"/>
    <m/>
    <s v="2023-01-25"/>
    <s v="281704"/>
    <s v="Maa Fertilizer"/>
    <s v="9800042039"/>
  </r>
  <r>
    <s v="RCF Trombay"/>
    <s v="15-15-15"/>
    <s v="WB"/>
    <x v="16"/>
    <s v="Raninagar - I"/>
    <s v="User Not Mapped"/>
    <s v="User Not Mapped"/>
    <s v="User Not Mapped"/>
    <n v="289319"/>
    <s v="Utpal Kumar Dutta"/>
    <s v="Private Wholsaler"/>
    <s v="9434173910"/>
    <n v="2"/>
    <n v="37"/>
    <x v="3"/>
    <s v="'1537'"/>
    <s v="2026-03-14"/>
    <s v="281704"/>
    <s v="Maa Fertilizer"/>
    <s v="9800042039"/>
  </r>
  <r>
    <s v="RCF Trombay"/>
    <s v="N.C.Urea(45kg)"/>
    <s v="WB"/>
    <x v="16"/>
    <s v="Raninagar - I"/>
    <s v="User Not Mapped"/>
    <s v="User Not Mapped"/>
    <s v="User Not Mapped"/>
    <n v="289319"/>
    <s v="Utpal Kumar Dutta"/>
    <s v="Private Wholsaler"/>
    <s v="9434173910"/>
    <n v="2.52"/>
    <n v="37"/>
    <x v="3"/>
    <s v="'1536'"/>
    <s v="2026-03-14"/>
    <s v="281704"/>
    <s v="Maa Fertilizer"/>
    <s v="9800042039"/>
  </r>
  <r>
    <s v="RCF Thal"/>
    <s v="N.C.Urea(45kg)"/>
    <s v="WB"/>
    <x v="16"/>
    <s v="Domkal"/>
    <s v="User Not Mapped"/>
    <s v="User Not Mapped"/>
    <s v="User Not Mapped"/>
    <n v="1150970"/>
    <s v="ABDUR RASID MANDAL"/>
    <s v="Private Retailer"/>
    <s v="9641246822"/>
    <n v="0.33500000000000002"/>
    <n v="1910"/>
    <x v="2"/>
    <m/>
    <s v="2021-01-26"/>
    <s v="281705"/>
    <s v="MAHABAT ALI"/>
    <s v="9434013573"/>
  </r>
  <r>
    <s v="RCF Thal"/>
    <s v="N.C.Urea(45kg)"/>
    <s v="WB"/>
    <x v="16"/>
    <m/>
    <s v="User Not Mapped"/>
    <s v="User Not Mapped"/>
    <s v="User Not Mapped"/>
    <n v="622621"/>
    <s v="M/S PRASANTA KUMAR MONDAL"/>
    <s v="Private Retailer"/>
    <s v="9647829862"/>
    <n v="2.0099999999999998"/>
    <n v="1878"/>
    <x v="2"/>
    <m/>
    <s v="2021-02-27"/>
    <s v="281705"/>
    <s v="MAHABAT ALI"/>
    <s v="9434013573"/>
  </r>
  <r>
    <s v="RCF Thal"/>
    <s v="N.C.Urea(45kg)"/>
    <s v="WB"/>
    <x v="16"/>
    <s v="Domkal"/>
    <s v="User Not Mapped"/>
    <s v="User Not Mapped"/>
    <s v="User Not Mapped"/>
    <n v="235696"/>
    <s v="Mahabat Ali"/>
    <s v="Private Retailer"/>
    <s v="9434013573"/>
    <n v="7.02"/>
    <n v="9"/>
    <x v="5"/>
    <m/>
    <s v="2026-04-11"/>
    <s v="281705"/>
    <s v="MAHABAT ALI"/>
    <s v="9434013573"/>
  </r>
  <r>
    <s v="RCF Trombay"/>
    <s v="15-15-15"/>
    <s v="WB"/>
    <x v="16"/>
    <s v="Raghunathganj - II"/>
    <s v="User Not Mapped"/>
    <s v="User Not Mapped"/>
    <s v="User Not Mapped"/>
    <n v="999186"/>
    <s v="SANTANU SARKAR"/>
    <s v="Private Retailer"/>
    <s v="7797942076"/>
    <n v="1.95"/>
    <n v="1041"/>
    <x v="2"/>
    <m/>
    <s v="2023-06-14"/>
    <s v="1288378"/>
    <s v="MD ABDUL KHABIR"/>
    <s v="9734115502"/>
  </r>
  <r>
    <s v="RCF Trombay"/>
    <s v="15-15-15"/>
    <s v="WB"/>
    <x v="16"/>
    <s v="Lalgola"/>
    <s v="User Not Mapped"/>
    <s v="User Not Mapped"/>
    <s v="User Not Mapped"/>
    <n v="893051"/>
    <s v="MD JOHARUL ISLAM"/>
    <s v="Private Retailer"/>
    <s v="8513008432"/>
    <n v="1"/>
    <n v="503"/>
    <x v="0"/>
    <m/>
    <s v="2024-12-03"/>
    <s v="658735"/>
    <s v="MD MINARUL ISLAM"/>
    <s v="9635304081"/>
  </r>
  <r>
    <s v="RCF Thal"/>
    <s v="N.C.Urea(45kg)"/>
    <s v="WB"/>
    <x v="16"/>
    <s v="Raghunathganj - II"/>
    <s v="User Not Mapped"/>
    <s v="User Not Mapped"/>
    <s v="User Not Mapped"/>
    <n v="999068"/>
    <s v="ASMA BEEJ BHANDAR"/>
    <s v="Private Retailer"/>
    <s v="8145189697"/>
    <n v="1.365"/>
    <n v="864"/>
    <x v="2"/>
    <m/>
    <s v="2023-12-08"/>
    <s v="281697"/>
    <s v="Md Samiruddin"/>
    <s v="7550808353"/>
  </r>
  <r>
    <s v="RCF Thal"/>
    <s v="N.C.Urea(45kg)"/>
    <s v="WB"/>
    <x v="16"/>
    <m/>
    <s v="User Not Mapped"/>
    <s v="User Not Mapped"/>
    <s v="User Not Mapped"/>
    <n v="1507063"/>
    <s v="BRAJA KUMAR MANDAL"/>
    <s v="Private Retailer"/>
    <s v="9614602677"/>
    <n v="0.09"/>
    <n v="26"/>
    <x v="5"/>
    <m/>
    <s v="2026-03-25"/>
    <s v="281697"/>
    <s v="Md Samiruddin"/>
    <s v="7550808353"/>
  </r>
  <r>
    <s v="RCF Thal"/>
    <s v="N.C.Urea(45kg)"/>
    <s v="WB"/>
    <x v="16"/>
    <s v="Raghunathganj - I"/>
    <s v="User Not Mapped"/>
    <s v="User Not Mapped"/>
    <s v="User Not Mapped"/>
    <n v="640295"/>
    <s v="DAS KRISHI BHANDER"/>
    <s v="Private Retailer"/>
    <s v="7432807399"/>
    <n v="0.9"/>
    <n v="228"/>
    <x v="1"/>
    <m/>
    <s v="2025-09-04"/>
    <s v="281697"/>
    <s v="Md Samiruddin"/>
    <s v="7550808353"/>
  </r>
  <r>
    <s v="RCF Thal"/>
    <s v="N.C.Urea(45kg)"/>
    <s v="WB"/>
    <x v="16"/>
    <s v="Raghunathganj - I"/>
    <s v="User Not Mapped"/>
    <s v="User Not Mapped"/>
    <s v="User Not Mapped"/>
    <n v="869273"/>
    <s v="JOY DUTTA"/>
    <s v="Private Retailer"/>
    <s v="9474746169"/>
    <n v="0.81"/>
    <n v="227"/>
    <x v="1"/>
    <m/>
    <s v="2025-09-05"/>
    <s v="281697"/>
    <s v="Md Samiruddin"/>
    <s v="7550808353"/>
  </r>
  <r>
    <s v="RCF Trombay"/>
    <s v="N.C.Urea(45kg)"/>
    <s v="WB"/>
    <x v="16"/>
    <s v="Khargram"/>
    <s v="User Not Mapped"/>
    <s v="User Not Mapped"/>
    <s v="User Not Mapped"/>
    <n v="1524808"/>
    <s v="M/S MAA FERTILIZER"/>
    <s v="Private Retailer"/>
    <s v="9002269237"/>
    <n v="4.41"/>
    <n v="264"/>
    <x v="1"/>
    <m/>
    <s v="2025-07-30"/>
    <s v="281697"/>
    <s v="Md Samiruddin"/>
    <s v="7550808353"/>
  </r>
  <r>
    <s v="RCF Thal"/>
    <s v="N.C.Urea(45kg)"/>
    <s v="WB"/>
    <x v="16"/>
    <s v="Raghunathganj - I"/>
    <s v="User Not Mapped"/>
    <s v="User Not Mapped"/>
    <s v="User Not Mapped"/>
    <n v="656510"/>
    <s v="SAJU FERTILIZER"/>
    <s v="Private Retailer"/>
    <s v="8001600893"/>
    <n v="3.15"/>
    <n v="272"/>
    <x v="1"/>
    <m/>
    <s v="2025-07-22"/>
    <s v="281697"/>
    <s v="Md Samiruddin"/>
    <s v="7550808353"/>
  </r>
  <r>
    <s v="RCF Thal"/>
    <s v="N.C.Urea(45kg)"/>
    <s v="WB"/>
    <x v="16"/>
    <s v="Suti - I"/>
    <s v="User Not Mapped"/>
    <s v="User Not Mapped"/>
    <s v="User Not Mapped"/>
    <n v="1524792"/>
    <s v="SOHIDUL ISLAM"/>
    <s v="Private Retailer"/>
    <s v="8637011788"/>
    <n v="14.984999999999999"/>
    <n v="38"/>
    <x v="3"/>
    <m/>
    <s v="2026-03-13"/>
    <s v="281697"/>
    <s v="Md Samiruddin"/>
    <s v="7550808353"/>
  </r>
  <r>
    <s v="RCF Thal"/>
    <s v="N.C.Urea(45kg)"/>
    <s v="WB"/>
    <x v="16"/>
    <s v="Burwan"/>
    <s v="User Not Mapped"/>
    <s v="User Not Mapped"/>
    <s v="User Not Mapped"/>
    <n v="235782"/>
    <s v="Royal Enterprises"/>
    <s v="Private Retailer"/>
    <s v="9734652237"/>
    <n v="4.8600000000000003"/>
    <n v="95"/>
    <x v="7"/>
    <m/>
    <s v="2026-01-15"/>
    <s v="211681"/>
    <s v="Md. Giasuddin Sk"/>
    <s v="9734652237"/>
  </r>
  <r>
    <s v="RCF Trombay"/>
    <s v="15-15-15"/>
    <s v="WB"/>
    <x v="16"/>
    <s v="Bhagawangola - I"/>
    <s v="User Not Mapped"/>
    <s v="User Not Mapped"/>
    <s v="User Not Mapped"/>
    <n v="552525"/>
    <s v="Alamin Sekh"/>
    <s v="Private Retailer"/>
    <s v="9800157720"/>
    <n v="1"/>
    <n v="546"/>
    <x v="0"/>
    <m/>
    <s v="2024-10-21"/>
    <s v="1096940"/>
    <s v="MD.-SAMSUZZOHA"/>
    <s v="9933642334"/>
  </r>
  <r>
    <s v="RCF Trombay"/>
    <s v="15-15-15"/>
    <s v="WB"/>
    <x v="16"/>
    <s v="Lalgola"/>
    <s v="User Not Mapped"/>
    <s v="User Not Mapped"/>
    <s v="User Not Mapped"/>
    <n v="988278"/>
    <s v="AMAL KR SAHA"/>
    <s v="Private Retailer"/>
    <s v="8670745723"/>
    <n v="1.5"/>
    <n v="510"/>
    <x v="0"/>
    <m/>
    <s v="2024-11-26"/>
    <s v="1096940"/>
    <s v="MD.-SAMSUZZOHA"/>
    <s v="9933642334"/>
  </r>
  <r>
    <s v="RCF Trombay"/>
    <s v="N.C.Urea(45kg)"/>
    <s v="WB"/>
    <x v="16"/>
    <s v="Beldanga - I"/>
    <s v="User Not Mapped"/>
    <s v="User Not Mapped"/>
    <s v="User Not Mapped"/>
    <n v="1157827"/>
    <s v="M/S MENOKA FERTILIZER"/>
    <s v="Private Retailer"/>
    <s v="9733528547"/>
    <n v="4.99"/>
    <n v="231"/>
    <x v="1"/>
    <m/>
    <s v="2025-09-01"/>
    <s v="1101819"/>
    <s v="MENAKA FERTILIZER"/>
    <s v="9733528547"/>
  </r>
  <r>
    <s v="RCF Trombay"/>
    <s v="15-15-15"/>
    <s v="WB"/>
    <x v="16"/>
    <s v="Domkal"/>
    <s v="User Not Mapped"/>
    <s v="User Not Mapped"/>
    <s v="User Not Mapped"/>
    <n v="289161"/>
    <s v="Arjam Biswas"/>
    <s v="Private Retailer"/>
    <s v="9593052290"/>
    <n v="2.5000000000000001E-2"/>
    <n v="225"/>
    <x v="1"/>
    <m/>
    <s v="2025-09-07"/>
    <s v="1225743"/>
    <s v="MS BISWAS FERTILIZER"/>
    <s v="9735978597"/>
  </r>
  <r>
    <s v="RCF Trombay"/>
    <s v="N.C.Urea(45kg)"/>
    <s v="WB"/>
    <x v="16"/>
    <s v="Domkal"/>
    <s v="User Not Mapped"/>
    <s v="User Not Mapped"/>
    <s v="User Not Mapped"/>
    <n v="1354284"/>
    <s v="HABIBUR RAHAMAN"/>
    <s v="Private Retailer"/>
    <s v="9593491424"/>
    <n v="7.02"/>
    <n v="37"/>
    <x v="3"/>
    <m/>
    <s v="2026-03-14"/>
    <s v="1225743"/>
    <s v="MS BISWAS FERTILIZER"/>
    <s v="9735978597"/>
  </r>
  <r>
    <s v="RCF Trombay"/>
    <s v="N.C.Urea(45kg)"/>
    <s v="WB"/>
    <x v="16"/>
    <s v="Bhagawangola - II"/>
    <s v="User Not Mapped"/>
    <s v="User Not Mapped"/>
    <s v="User Not Mapped"/>
    <n v="1142416"/>
    <s v="M/S BELAL SK"/>
    <s v="Private Retailer"/>
    <s v="6297473535"/>
    <n v="7.02"/>
    <n v="223"/>
    <x v="1"/>
    <m/>
    <s v="2025-09-09"/>
    <s v="1225743"/>
    <s v="MS BISWAS FERTILIZER"/>
    <s v="9735978597"/>
  </r>
  <r>
    <s v="RCF Thal"/>
    <s v="N.C.Urea(45kg)"/>
    <s v="WB"/>
    <x v="16"/>
    <s v="Raninagar - I"/>
    <s v="User Not Mapped"/>
    <s v="User Not Mapped"/>
    <s v="User Not Mapped"/>
    <n v="1266903"/>
    <s v="MONIENDIR FERTILIZER"/>
    <s v="Private Retailer"/>
    <s v="9775682321"/>
    <n v="0.72"/>
    <n v="97"/>
    <x v="7"/>
    <m/>
    <s v="2026-01-13"/>
    <s v="1225743"/>
    <s v="MS BISWAS FERTILIZER"/>
    <s v="9735978597"/>
  </r>
  <r>
    <s v="RCF Thal"/>
    <s v="N.C.Urea(45kg)"/>
    <s v="WB"/>
    <x v="16"/>
    <s v="Raninagar - I"/>
    <s v="User Not Mapped"/>
    <s v="User Not Mapped"/>
    <s v="User Not Mapped"/>
    <n v="1266903"/>
    <s v="MONIENDIR FERTILIZER"/>
    <s v="Private Retailer"/>
    <s v="9775682321"/>
    <n v="14.04"/>
    <n v="37"/>
    <x v="3"/>
    <m/>
    <s v="2026-03-14"/>
    <s v="1225743"/>
    <s v="MS BISWAS FERTILIZER"/>
    <s v="9735978597"/>
  </r>
  <r>
    <s v="RCF Trombay"/>
    <s v="15-15-15"/>
    <s v="WB"/>
    <x v="16"/>
    <s v="Jalangi"/>
    <s v="User Not Mapped"/>
    <s v="User Not Mapped"/>
    <s v="User Not Mapped"/>
    <n v="342163"/>
    <s v="Pradip Joardar"/>
    <s v="Private Retailer"/>
    <s v="9734013788"/>
    <n v="7"/>
    <n v="57"/>
    <x v="3"/>
    <m/>
    <s v="2026-02-22"/>
    <s v="1225743"/>
    <s v="MS BISWAS FERTILIZER"/>
    <s v="9735978597"/>
  </r>
  <r>
    <s v="RCF Thal"/>
    <s v="N.C.Urea(45kg)"/>
    <s v="WB"/>
    <x v="16"/>
    <s v="Domkal"/>
    <s v="User Not Mapped"/>
    <s v="User Not Mapped"/>
    <s v="User Not Mapped"/>
    <n v="951609"/>
    <s v="RAKIBUL ISLAM"/>
    <s v="Private Retailer"/>
    <s v="8637358611"/>
    <n v="5.13"/>
    <n v="97"/>
    <x v="7"/>
    <m/>
    <s v="2026-01-13"/>
    <s v="1225743"/>
    <s v="MS BISWAS FERTILIZER"/>
    <s v="9735978597"/>
  </r>
  <r>
    <s v="RCF Trombay"/>
    <s v="15-15-15"/>
    <s v="WB"/>
    <x v="16"/>
    <s v="Jalangi"/>
    <s v="User Not Mapped"/>
    <s v="User Not Mapped"/>
    <s v="User Not Mapped"/>
    <n v="235770"/>
    <s v="Ramen Kumar Mandal"/>
    <s v="Private Retailer"/>
    <s v="8250446228"/>
    <n v="2.75"/>
    <n v="37"/>
    <x v="3"/>
    <m/>
    <s v="2026-03-14"/>
    <s v="1225743"/>
    <s v="MS BISWAS FERTILIZER"/>
    <s v="9735978597"/>
  </r>
  <r>
    <s v="RCF Trombay"/>
    <s v="N.C.Urea(45kg)"/>
    <s v="WB"/>
    <x v="16"/>
    <s v="Murshidabad Jiaganj"/>
    <s v="User Not Mapped"/>
    <s v="User Not Mapped"/>
    <s v="User Not Mapped"/>
    <n v="289267"/>
    <s v="Rejaul Hoque"/>
    <s v="Private Retailer"/>
    <s v="8926678664"/>
    <n v="4.68"/>
    <n v="223"/>
    <x v="1"/>
    <m/>
    <s v="2025-09-09"/>
    <s v="1225743"/>
    <s v="MS BISWAS FERTILIZER"/>
    <s v="9735978597"/>
  </r>
  <r>
    <s v="RCF Trombay"/>
    <s v="15-15-15"/>
    <s v="WB"/>
    <x v="16"/>
    <s v="Domkal"/>
    <s v="User Not Mapped"/>
    <s v="User Not Mapped"/>
    <s v="User Not Mapped"/>
    <n v="730985"/>
    <s v="TARIKUL ISLAM"/>
    <s v="Private Retailer"/>
    <s v="9832405040"/>
    <n v="4"/>
    <n v="225"/>
    <x v="1"/>
    <m/>
    <s v="2025-09-07"/>
    <s v="1225743"/>
    <s v="MS BISWAS FERTILIZER"/>
    <s v="9735978597"/>
  </r>
  <r>
    <s v="RCF Thal"/>
    <s v="N.C.Urea(45kg)"/>
    <s v="WB"/>
    <x v="16"/>
    <s v="Domkal"/>
    <s v="User Not Mapped"/>
    <s v="User Not Mapped"/>
    <s v="User Not Mapped"/>
    <n v="730985"/>
    <s v="TARIKUL ISLAM"/>
    <s v="Private Retailer"/>
    <s v="9832405040"/>
    <n v="6.165"/>
    <n v="97"/>
    <x v="7"/>
    <m/>
    <s v="2026-01-13"/>
    <s v="1225743"/>
    <s v="MS BISWAS FERTILIZER"/>
    <s v="9735978597"/>
  </r>
  <r>
    <s v="RCF Thal"/>
    <s v="N.C.Urea(45kg)"/>
    <s v="WB"/>
    <x v="16"/>
    <s v="Hariharpara"/>
    <s v="User Not Mapped"/>
    <s v="User Not Mapped"/>
    <s v="User Not Mapped"/>
    <n v="1288388"/>
    <s v="GOLAM MUSTAFA MONDAL"/>
    <s v="Private Retailer"/>
    <s v="6294648719"/>
    <n v="0.435"/>
    <n v="244"/>
    <x v="1"/>
    <m/>
    <s v="2025-08-19"/>
    <s v="1272718"/>
    <s v="MUKLESH BISWAS"/>
    <s v="9733941741"/>
  </r>
  <r>
    <s v="RCF Thal"/>
    <s v="N.C.Urea(45kg)"/>
    <s v="WB"/>
    <x v="16"/>
    <s v="Nawda"/>
    <s v="User Not Mapped"/>
    <s v="User Not Mapped"/>
    <s v="User Not Mapped"/>
    <n v="1027310"/>
    <s v="MATIUR RAHAMAN MANDAL"/>
    <s v="Private Retailer"/>
    <s v="9153865825"/>
    <n v="3"/>
    <n v="244"/>
    <x v="1"/>
    <m/>
    <s v="2025-08-19"/>
    <s v="1272718"/>
    <s v="MUKLESH BISWAS"/>
    <s v="9733941741"/>
  </r>
  <r>
    <s v="RCF Trombay"/>
    <s v="15-15-15"/>
    <s v="WB"/>
    <x v="16"/>
    <s v="Nawda"/>
    <s v="User Not Mapped"/>
    <s v="User Not Mapped"/>
    <s v="User Not Mapped"/>
    <n v="1298257"/>
    <s v="NAJBUL SK"/>
    <s v="Private Retailer"/>
    <s v="8509495368"/>
    <n v="0.05"/>
    <n v="577"/>
    <x v="2"/>
    <m/>
    <s v="2024-09-20"/>
    <s v="1272718"/>
    <s v="MUKLESH BISWAS"/>
    <s v="9733941741"/>
  </r>
  <r>
    <s v="RCF Thal"/>
    <s v="N.C.Urea(45kg)"/>
    <s v="WB"/>
    <x v="16"/>
    <s v="Nawda"/>
    <s v="User Not Mapped"/>
    <s v="User Not Mapped"/>
    <s v="User Not Mapped"/>
    <n v="1298221"/>
    <s v="NARGIS KHATUN"/>
    <s v="Private Retailer"/>
    <s v="9609522366"/>
    <n v="0.02"/>
    <n v="402"/>
    <x v="0"/>
    <m/>
    <s v="2025-03-14"/>
    <s v="1272718"/>
    <s v="MUKLESH BISWAS"/>
    <s v="9733941741"/>
  </r>
  <r>
    <s v="RCF Import"/>
    <s v="Imp 10-26-26"/>
    <s v="WB"/>
    <x v="16"/>
    <s v="Nawda"/>
    <s v="User Not Mapped"/>
    <s v="User Not Mapped"/>
    <s v="User Not Mapped"/>
    <n v="1292445"/>
    <s v="RIPON SK"/>
    <s v="Private Retailer"/>
    <s v="9647428373"/>
    <n v="0.1"/>
    <n v="449"/>
    <x v="0"/>
    <m/>
    <s v="2025-01-26"/>
    <s v="1272718"/>
    <s v="MUKLESH BISWAS"/>
    <s v="9733941741"/>
  </r>
  <r>
    <s v="RCF Thal"/>
    <s v="N.C.Urea(45kg)"/>
    <s v="WB"/>
    <x v="16"/>
    <s v="Nawda"/>
    <s v="User Not Mapped"/>
    <s v="User Not Mapped"/>
    <s v="User Not Mapped"/>
    <n v="1292445"/>
    <s v="RIPON SK"/>
    <s v="Private Retailer"/>
    <s v="9647428373"/>
    <n v="0.255"/>
    <n v="244"/>
    <x v="1"/>
    <m/>
    <s v="2025-08-19"/>
    <s v="1272718"/>
    <s v="MUKLESH BISWAS"/>
    <s v="9733941741"/>
  </r>
  <r>
    <s v="RCF Trombay"/>
    <s v="15-15-15"/>
    <s v="WB"/>
    <x v="16"/>
    <s v="Nawda"/>
    <s v="User Not Mapped"/>
    <s v="User Not Mapped"/>
    <s v="User Not Mapped"/>
    <n v="280645"/>
    <s v="Sirajul Biswas"/>
    <s v="Private Retailer"/>
    <s v="9775200133"/>
    <n v="0.2"/>
    <n v="217"/>
    <x v="1"/>
    <m/>
    <s v="2025-09-15"/>
    <s v="1272718"/>
    <s v="MUKLESH BISWAS"/>
    <s v="9733941741"/>
  </r>
  <r>
    <s v="RCF Thal"/>
    <s v="N.C.Urea(45kg)"/>
    <s v="WB"/>
    <x v="16"/>
    <s v="Nawda"/>
    <s v="User Not Mapped"/>
    <s v="User Not Mapped"/>
    <s v="User Not Mapped"/>
    <n v="280645"/>
    <s v="Sirajul Biswas"/>
    <s v="Private Retailer"/>
    <s v="9775200133"/>
    <n v="9.5000000000000001E-2"/>
    <n v="402"/>
    <x v="0"/>
    <m/>
    <s v="2025-03-14"/>
    <s v="1272718"/>
    <s v="MUKLESH BISWAS"/>
    <s v="9733941741"/>
  </r>
  <r>
    <s v="RCF Thal"/>
    <s v="N.C.Urea(45kg)"/>
    <s v="WB"/>
    <x v="16"/>
    <s v="Nawda"/>
    <s v="User Not Mapped"/>
    <s v="User Not Mapped"/>
    <s v="User Not Mapped"/>
    <n v="1027314"/>
    <s v="USUF ALI MALITYA"/>
    <s v="Private Retailer"/>
    <s v="7601960516"/>
    <n v="2.3250000000000002"/>
    <n v="257"/>
    <x v="1"/>
    <m/>
    <s v="2025-08-06"/>
    <s v="1272718"/>
    <s v="MUKLESH BISWAS"/>
    <s v="9733941741"/>
  </r>
  <r>
    <s v="RCF Thal"/>
    <s v="N.C.Urea(45kg)"/>
    <s v="WB"/>
    <x v="16"/>
    <s v="Nabagram"/>
    <s v="User Not Mapped"/>
    <s v="User Not Mapped"/>
    <s v="User Not Mapped"/>
    <n v="1377540"/>
    <s v="KOUSHIK MANDAL"/>
    <s v="Private Retailer"/>
    <s v="9679780708"/>
    <n v="2.5"/>
    <n v="38"/>
    <x v="3"/>
    <m/>
    <s v="2026-03-13"/>
    <s v="281689"/>
    <s v="Nanda Dulal Mondal            "/>
    <s v="9153141062"/>
  </r>
  <r>
    <s v="RCF Thal"/>
    <s v="N.C.Urea(45kg)"/>
    <s v="WB"/>
    <x v="16"/>
    <s v="Murshidabad Jiaganj"/>
    <s v="User Not Mapped"/>
    <s v="User Not Mapped"/>
    <s v="User Not Mapped"/>
    <n v="655427"/>
    <s v="MD SAZZAD ALI"/>
    <s v="Private Retailer"/>
    <s v="9775616642"/>
    <n v="0.09"/>
    <n v="35"/>
    <x v="3"/>
    <m/>
    <s v="2026-03-16"/>
    <s v="281689"/>
    <s v="Nanda Dulal Mondal            "/>
    <s v="9153141062"/>
  </r>
  <r>
    <s v="RCF Trombay"/>
    <s v="N.C.Urea(45kg)"/>
    <s v="WB"/>
    <x v="16"/>
    <s v="Lalgola"/>
    <s v="User Not Mapped"/>
    <s v="User Not Mapped"/>
    <s v="User Not Mapped"/>
    <n v="341910"/>
    <s v="Md. Rafikul Islam"/>
    <s v="Private Retailer"/>
    <s v="9647006281"/>
    <n v="2.7"/>
    <n v="67"/>
    <x v="6"/>
    <m/>
    <s v="2026-02-12"/>
    <s v="281689"/>
    <s v="Nanda Dulal Mondal            "/>
    <s v="9153141062"/>
  </r>
  <r>
    <s v="RCF Trombay"/>
    <s v="N.C.Urea(45kg)"/>
    <s v="WB"/>
    <x v="16"/>
    <s v="Murshidabad Jiaganj"/>
    <s v="User Not Mapped"/>
    <s v="User Not Mapped"/>
    <s v="User Not Mapped"/>
    <n v="342034"/>
    <s v="Nandadulal  Mondal"/>
    <s v="Private Retailer"/>
    <s v="9153141062"/>
    <n v="3.24"/>
    <n v="146"/>
    <x v="4"/>
    <m/>
    <s v="2025-11-25"/>
    <s v="281689"/>
    <s v="Nanda Dulal Mondal            "/>
    <s v="9153141062"/>
  </r>
  <r>
    <s v="RCF Thal"/>
    <s v="N.C.Urea(45kg)"/>
    <s v="WB"/>
    <x v="16"/>
    <s v="Murshidabad Jiaganj"/>
    <s v="User Not Mapped"/>
    <s v="User Not Mapped"/>
    <s v="User Not Mapped"/>
    <n v="648736"/>
    <s v="Probir Sarkar"/>
    <s v="Private Retailer"/>
    <s v="9564298276"/>
    <n v="0.54"/>
    <n v="222"/>
    <x v="1"/>
    <m/>
    <s v="2025-09-10"/>
    <s v="281689"/>
    <s v="Nanda Dulal Mondal            "/>
    <s v="9153141062"/>
  </r>
  <r>
    <s v="RCF Thal"/>
    <s v="N.C.Urea(45kg)"/>
    <s v="WB"/>
    <x v="16"/>
    <s v="Murshidabad Jiaganj"/>
    <s v="User Not Mapped"/>
    <s v="User Not Mapped"/>
    <s v="User Not Mapped"/>
    <n v="767930"/>
    <s v="SAGAR MONDAL"/>
    <s v="Private Retailer"/>
    <s v="9126619290"/>
    <n v="2.0699999999999998"/>
    <n v="35"/>
    <x v="3"/>
    <m/>
    <s v="2026-03-16"/>
    <s v="281689"/>
    <s v="Nanda Dulal Mondal            "/>
    <s v="9153141062"/>
  </r>
  <r>
    <s v="RCF Thal"/>
    <s v="N.C.Urea(45kg)"/>
    <s v="WB"/>
    <x v="16"/>
    <s v="Murshidabad Jiaganj"/>
    <s v="User Not Mapped"/>
    <s v="User Not Mapped"/>
    <s v="User Not Mapped"/>
    <n v="767930"/>
    <s v="SAGAR MONDAL"/>
    <s v="Private Retailer"/>
    <s v="9126619290"/>
    <n v="1.53"/>
    <n v="192"/>
    <x v="1"/>
    <m/>
    <s v="2025-10-10"/>
    <s v="281689"/>
    <s v="Nanda Dulal Mondal            "/>
    <s v="9153141062"/>
  </r>
  <r>
    <s v="RCF Thal"/>
    <s v="N.C.Urea(45kg)"/>
    <s v="WB"/>
    <x v="16"/>
    <s v="Nabagram"/>
    <s v="User Not Mapped"/>
    <s v="User Not Mapped"/>
    <s v="User Not Mapped"/>
    <n v="342551"/>
    <s v="Sanjoy Kumar Mondal"/>
    <s v="Private Retailer"/>
    <s v="7430088741"/>
    <n v="4.4999999999999998E-2"/>
    <n v="221"/>
    <x v="1"/>
    <m/>
    <s v="2025-09-11"/>
    <s v="281689"/>
    <s v="Nanda Dulal Mondal            "/>
    <s v="9153141062"/>
  </r>
  <r>
    <s v="RCF Thal"/>
    <s v="N.C.Urea(45kg)"/>
    <s v="WB"/>
    <x v="16"/>
    <s v="Nabagram"/>
    <s v="User Not Mapped"/>
    <s v="User Not Mapped"/>
    <s v="User Not Mapped"/>
    <n v="342551"/>
    <s v="Sanjoy Kumar Mondal"/>
    <s v="Private Retailer"/>
    <s v="7430088741"/>
    <n v="4.9950000000000001"/>
    <n v="35"/>
    <x v="3"/>
    <m/>
    <s v="2026-03-16"/>
    <s v="281689"/>
    <s v="Nanda Dulal Mondal            "/>
    <s v="9153141062"/>
  </r>
  <r>
    <s v="RCF Thal"/>
    <s v="N.C.Urea(45kg)"/>
    <s v="WB"/>
    <x v="16"/>
    <s v="Nabagram"/>
    <s v="User Not Mapped"/>
    <s v="User Not Mapped"/>
    <s v="User Not Mapped"/>
    <n v="235801"/>
    <s v="Soumen Mandal"/>
    <s v="Private Retailer"/>
    <s v="9475952050"/>
    <n v="8.64"/>
    <n v="38"/>
    <x v="3"/>
    <m/>
    <s v="2026-03-13"/>
    <s v="281689"/>
    <s v="Nanda Dulal Mondal            "/>
    <s v="9153141062"/>
  </r>
  <r>
    <s v="RCF Thal"/>
    <s v="N.C.Urea(45kg)"/>
    <s v="WB"/>
    <x v="16"/>
    <s v="Murshidabad Jiaganj"/>
    <s v="User Not Mapped"/>
    <s v="User Not Mapped"/>
    <s v="User Not Mapped"/>
    <n v="767982"/>
    <s v="SUBHAMAY MONDAL"/>
    <s v="Private Retailer"/>
    <s v="9002220406"/>
    <n v="4.9950000000000001"/>
    <n v="35"/>
    <x v="3"/>
    <m/>
    <s v="2026-03-16"/>
    <s v="281689"/>
    <s v="Nanda Dulal Mondal            "/>
    <s v="9153141062"/>
  </r>
  <r>
    <s v="RCF Trombay"/>
    <s v="15-15-15"/>
    <s v="WB"/>
    <x v="16"/>
    <s v="Murshidabad Jiaganj"/>
    <s v="User Not Mapped"/>
    <s v="User Not Mapped"/>
    <s v="User Not Mapped"/>
    <n v="739680"/>
    <s v="TARUN GHOSH"/>
    <s v="Private Retailer"/>
    <s v="7407986344"/>
    <n v="1"/>
    <n v="146"/>
    <x v="4"/>
    <m/>
    <s v="2025-11-25"/>
    <s v="281689"/>
    <s v="Nanda Dulal Mondal            "/>
    <s v="9153141062"/>
  </r>
  <r>
    <s v="RCF Trombay"/>
    <s v="15-15-15"/>
    <s v="WB"/>
    <x v="16"/>
    <s v="Bhagawangola - II"/>
    <s v="User Not Mapped"/>
    <s v="User Not Mapped"/>
    <s v="User Not Mapped"/>
    <n v="994818"/>
    <s v="SAHO ALAM"/>
    <s v="Private Retailer"/>
    <s v="9932070173"/>
    <n v="1.5"/>
    <n v="1470"/>
    <x v="2"/>
    <m/>
    <s v="2022-04-11"/>
    <s v="223289"/>
    <s v="Parbati Shankar Nandi"/>
    <s v="8972180003"/>
  </r>
  <r>
    <s v="RCF Trombay"/>
    <s v="15-15-15"/>
    <s v="WB"/>
    <x v="16"/>
    <s v="Bhagawangola - I"/>
    <s v="User Not Mapped"/>
    <s v="User Not Mapped"/>
    <s v="User Not Mapped"/>
    <n v="289276"/>
    <s v="Sanjiban Das "/>
    <s v="State Marketing Federation"/>
    <s v="9932808970"/>
    <n v="8"/>
    <n v="37"/>
    <x v="3"/>
    <m/>
    <s v="2026-03-14"/>
    <s v="223289"/>
    <s v="Parbati Shankar Nandi"/>
    <s v="8972180003"/>
  </r>
  <r>
    <s v="RCF Trombay"/>
    <s v="15-15-15"/>
    <s v="WB"/>
    <x v="16"/>
    <s v="Murshidabad Jiaganj"/>
    <s v="User Not Mapped"/>
    <s v="User Not Mapped"/>
    <s v="User Not Mapped"/>
    <n v="413758"/>
    <s v="Soumabrata Mandal"/>
    <s v="Private Retailer"/>
    <s v="9907319390"/>
    <n v="8"/>
    <n v="80"/>
    <x v="6"/>
    <m/>
    <s v="2026-01-30"/>
    <s v="223289"/>
    <s v="Parbati Shankar Nandi"/>
    <s v="8972180003"/>
  </r>
  <r>
    <s v="RCF Import"/>
    <s v="Imp 10-26-26"/>
    <s v="WB"/>
    <x v="16"/>
    <s v="Murshidabad Jiaganj"/>
    <s v="User Not Mapped"/>
    <s v="User Not Mapped"/>
    <s v="User Not Mapped"/>
    <n v="413758"/>
    <s v="Soumabrata Mandal"/>
    <s v="Private Retailer"/>
    <s v="9907319390"/>
    <n v="4.75"/>
    <n v="77"/>
    <x v="6"/>
    <m/>
    <s v="2026-02-02"/>
    <s v="223289"/>
    <s v="Parbati Shankar Nandi"/>
    <s v="8972180003"/>
  </r>
  <r>
    <s v="RCF Trombay"/>
    <s v="N.C.Urea(45kg)"/>
    <s v="WB"/>
    <x v="16"/>
    <s v="Murshidabad Jiaganj"/>
    <s v="User Not Mapped"/>
    <s v="User Not Mapped"/>
    <s v="User Not Mapped"/>
    <n v="413758"/>
    <s v="Soumabrata Mandal"/>
    <s v="Private Retailer"/>
    <s v="9907319390"/>
    <n v="3.15"/>
    <n v="80"/>
    <x v="6"/>
    <m/>
    <s v="2026-01-30"/>
    <s v="223289"/>
    <s v="Parbati Shankar Nandi"/>
    <s v="8972180003"/>
  </r>
  <r>
    <s v="RCF Thal"/>
    <s v="N.C.Urea(45kg)"/>
    <s v="WB"/>
    <x v="16"/>
    <s v="Murshidabad Jiaganj"/>
    <s v="User Not Mapped"/>
    <s v="User Not Mapped"/>
    <s v="User Not Mapped"/>
    <n v="289297"/>
    <s v="Sunit Kumar Mandal"/>
    <s v="Private Retailer"/>
    <s v="9333260205"/>
    <n v="0.36"/>
    <n v="37"/>
    <x v="3"/>
    <m/>
    <s v="2026-03-14"/>
    <s v="223289"/>
    <s v="Parbati Shankar Nandi"/>
    <s v="8972180003"/>
  </r>
  <r>
    <s v="RCF Thal"/>
    <s v="N.C.Urea(45kg)"/>
    <s v="WB"/>
    <x v="16"/>
    <s v="Kandi"/>
    <s v="User Not Mapped"/>
    <s v="User Not Mapped"/>
    <s v="User Not Mapped"/>
    <n v="1491316"/>
    <s v="KALIMUDDIN FERTILIZER"/>
    <s v="Private Retailer"/>
    <s v="7602224306"/>
    <n v="7.02"/>
    <n v="224"/>
    <x v="1"/>
    <m/>
    <s v="2025-09-08"/>
    <s v="1220453"/>
    <s v="PIARUL SEIKH"/>
    <s v="9735313600"/>
  </r>
  <r>
    <s v="RCF Thal"/>
    <s v="N.C.Urea(45kg)"/>
    <s v="WB"/>
    <x v="16"/>
    <s v="Kandi"/>
    <s v="User Not Mapped"/>
    <s v="User Not Mapped"/>
    <s v="User Not Mapped"/>
    <n v="1491316"/>
    <s v="KALIMUDDIN FERTILIZER"/>
    <s v="Private Retailer"/>
    <s v="7602224306"/>
    <n v="1.35"/>
    <n v="179"/>
    <x v="4"/>
    <m/>
    <s v="2025-10-23"/>
    <s v="1220453"/>
    <s v="PIARUL SEIKH"/>
    <s v="9735313600"/>
  </r>
  <r>
    <s v="RCF Thal"/>
    <s v="N.C.Urea(45kg)"/>
    <s v="WB"/>
    <x v="16"/>
    <s v="Berhampore"/>
    <s v="User Not Mapped"/>
    <s v="User Not Mapped"/>
    <s v="User Not Mapped"/>
    <n v="1298213"/>
    <s v="RAJESH SK"/>
    <s v="Private Retailer"/>
    <s v="6297187663"/>
    <n v="0.13500000000000001"/>
    <n v="179"/>
    <x v="4"/>
    <m/>
    <s v="2025-10-23"/>
    <s v="1220453"/>
    <s v="PIARUL SEIKH"/>
    <s v="9735313600"/>
  </r>
  <r>
    <s v="RCF Trombay"/>
    <s v="N.C.Urea(45kg)"/>
    <s v="WB"/>
    <x v="16"/>
    <s v="Berhampore"/>
    <s v="User Not Mapped"/>
    <s v="User Not Mapped"/>
    <s v="User Not Mapped"/>
    <n v="235572"/>
    <s v="Amanul Haque"/>
    <s v="Private Retailer"/>
    <s v="9800966746"/>
    <n v="4.4550000000000001"/>
    <n v="147"/>
    <x v="4"/>
    <m/>
    <s v="2025-11-24"/>
    <s v="280775"/>
    <s v="R A Kheria"/>
    <s v="9830290085"/>
  </r>
  <r>
    <s v="RCF Trombay"/>
    <s v="15-15-15"/>
    <s v="WB"/>
    <x v="16"/>
    <s v="Raninagar - II"/>
    <s v="User Not Mapped"/>
    <s v="User Not Mapped"/>
    <s v="User Not Mapped"/>
    <n v="340811"/>
    <s v="Anarul Islam"/>
    <s v="Private Retailer"/>
    <s v="9732770288"/>
    <n v="3.5"/>
    <n v="148"/>
    <x v="4"/>
    <m/>
    <s v="2025-11-23"/>
    <s v="280775"/>
    <s v="R A Kheria"/>
    <s v="9830290085"/>
  </r>
  <r>
    <s v="RCF Thal"/>
    <s v="N.C.Urea(45kg)"/>
    <s v="WB"/>
    <x v="16"/>
    <s v="Raninagar - II"/>
    <s v="User Not Mapped"/>
    <s v="User Not Mapped"/>
    <s v="User Not Mapped"/>
    <n v="340811"/>
    <s v="Anarul Islam"/>
    <s v="Private Retailer"/>
    <s v="9732770288"/>
    <n v="3.42"/>
    <n v="40"/>
    <x v="3"/>
    <m/>
    <s v="2026-03-11"/>
    <s v="280775"/>
    <s v="R A Kheria"/>
    <s v="9830290085"/>
  </r>
  <r>
    <s v="RCF Trombay"/>
    <s v="15-15-15"/>
    <s v="WB"/>
    <x v="16"/>
    <s v="Jalangi"/>
    <s v="User Not Mapped"/>
    <s v="User Not Mapped"/>
    <s v="User Not Mapped"/>
    <n v="1391259"/>
    <s v="BASARUL ISLAM"/>
    <s v="Private Retailer"/>
    <s v="6294876299"/>
    <n v="6"/>
    <n v="77"/>
    <x v="6"/>
    <m/>
    <s v="2026-02-02"/>
    <s v="280775"/>
    <s v="R A Kheria"/>
    <s v="9830290085"/>
  </r>
  <r>
    <s v="RCF Thal"/>
    <s v="N.C.Urea(45kg)"/>
    <s v="WB"/>
    <x v="16"/>
    <m/>
    <s v="User Not Mapped"/>
    <s v="User Not Mapped"/>
    <s v="User Not Mapped"/>
    <n v="868304"/>
    <s v="BIJALI ENTERPRISE"/>
    <s v="Private Retailer"/>
    <s v="9732677911"/>
    <n v="6.93"/>
    <n v="2001"/>
    <x v="2"/>
    <m/>
    <s v="2020-10-27"/>
    <s v="280775"/>
    <s v="R A Kheria"/>
    <s v="9830290085"/>
  </r>
  <r>
    <s v="RCF Thal"/>
    <s v="N.C.Urea(45kg)"/>
    <s v="WB"/>
    <x v="16"/>
    <s v="Berhampore"/>
    <s v="User Not Mapped"/>
    <s v="User Not Mapped"/>
    <s v="User Not Mapped"/>
    <n v="1463904"/>
    <s v="DEB NARAYAN BARAL"/>
    <s v="Private Wholsaler"/>
    <s v="7585040500"/>
    <n v="2.52"/>
    <n v="40"/>
    <x v="3"/>
    <s v="'2526RAMSDF1039'"/>
    <s v="2026-03-11"/>
    <s v="280775"/>
    <s v="R A Kheria"/>
    <s v="9830290085"/>
  </r>
  <r>
    <s v="RCF Thal"/>
    <s v="N.C.Urea(45kg)"/>
    <s v="WB"/>
    <x v="16"/>
    <s v="Suti - I"/>
    <s v="User Not Mapped"/>
    <s v="User Not Mapped"/>
    <s v="User Not Mapped"/>
    <n v="1043454"/>
    <s v="DIPANKAR GHOSH"/>
    <s v="Private Retailer"/>
    <s v="8116027505"/>
    <n v="18"/>
    <n v="34"/>
    <x v="3"/>
    <m/>
    <s v="2026-03-17"/>
    <s v="280775"/>
    <s v="R A Kheria"/>
    <s v="9830290085"/>
  </r>
  <r>
    <s v="RCF Thal"/>
    <s v="N.C.Urea(45kg)"/>
    <s v="WB"/>
    <x v="16"/>
    <s v="Beldanga - II"/>
    <s v="User Not Mapped"/>
    <s v="User Not Mapped"/>
    <s v="User Not Mapped"/>
    <n v="223286"/>
    <s v="Dutta Pramanik Enterprise"/>
    <s v="Private Wholsaler"/>
    <s v="9475520520"/>
    <n v="4.5"/>
    <n v="40"/>
    <x v="3"/>
    <s v="'2526RAMSDF1056'"/>
    <s v="2026-03-11"/>
    <s v="280775"/>
    <s v="R A Kheria"/>
    <s v="9830290085"/>
  </r>
  <r>
    <s v="RCF Trombay"/>
    <s v="N.C.Urea(45kg)"/>
    <s v="WB"/>
    <x v="16"/>
    <s v="Nawda"/>
    <s v="User Not Mapped"/>
    <s v="User Not Mapped"/>
    <s v="User Not Mapped"/>
    <n v="269051"/>
    <s v="Faruk Biswas"/>
    <s v="Private Retailer"/>
    <s v="9735315594"/>
    <n v="6.39"/>
    <n v="77"/>
    <x v="6"/>
    <m/>
    <s v="2026-02-02"/>
    <s v="280775"/>
    <s v="R A Kheria"/>
    <s v="9830290085"/>
  </r>
  <r>
    <s v="RCF Thal"/>
    <s v="N.C.Urea(45kg)"/>
    <s v="WB"/>
    <x v="16"/>
    <s v="Nawda"/>
    <s v="User Not Mapped"/>
    <s v="User Not Mapped"/>
    <s v="User Not Mapped"/>
    <n v="269051"/>
    <s v="Faruk Biswas"/>
    <s v="Private Retailer"/>
    <s v="9735315594"/>
    <n v="9.99"/>
    <n v="109"/>
    <x v="7"/>
    <m/>
    <s v="2026-01-01"/>
    <s v="280775"/>
    <s v="R A Kheria"/>
    <s v="9830290085"/>
  </r>
  <r>
    <s v="RCF Thal"/>
    <s v="N.C.Urea(45kg)"/>
    <s v="WB"/>
    <x v="16"/>
    <s v="Bhagawangola - I"/>
    <s v="User Not Mapped"/>
    <s v="User Not Mapped"/>
    <s v="User Not Mapped"/>
    <n v="995079"/>
    <s v="HAKIM SK"/>
    <s v="Private Retailer"/>
    <s v="9800892034"/>
    <n v="2.52"/>
    <n v="40"/>
    <x v="3"/>
    <m/>
    <s v="2026-03-11"/>
    <s v="280775"/>
    <s v="R A Kheria"/>
    <s v="9830290085"/>
  </r>
  <r>
    <s v="RCF Thal"/>
    <s v="N.C.Urea(45kg)"/>
    <s v="WB"/>
    <x v="16"/>
    <m/>
    <s v="User Not Mapped"/>
    <s v="User Not Mapped"/>
    <s v="User Not Mapped"/>
    <n v="1398644"/>
    <s v="INDRANI KRISHI SEVA KENDRA"/>
    <s v="Private Wholsaler"/>
    <s v="8250244820"/>
    <n v="14.04"/>
    <n v="40"/>
    <x v="3"/>
    <s v="'2526RAMSDF1050'"/>
    <s v="2026-03-11"/>
    <s v="280775"/>
    <s v="R A Kheria"/>
    <s v="9830290085"/>
  </r>
  <r>
    <s v="RCF Thal"/>
    <s v="N.C.Urea(45kg)"/>
    <s v="WB"/>
    <x v="16"/>
    <s v="Bhagawangola - I"/>
    <s v="User Not Mapped"/>
    <s v="User Not Mapped"/>
    <s v="User Not Mapped"/>
    <n v="1059372"/>
    <s v="JAYANTA SINGHA "/>
    <s v="Private Retailer"/>
    <s v="7908403768"/>
    <n v="2.52"/>
    <n v="40"/>
    <x v="3"/>
    <m/>
    <s v="2026-03-11"/>
    <s v="280775"/>
    <s v="R A Kheria"/>
    <s v="9830290085"/>
  </r>
  <r>
    <s v="RCF Thal"/>
    <s v="N.C.Urea(45kg)"/>
    <s v="WB"/>
    <x v="16"/>
    <s v="Lalgola"/>
    <s v="User Not Mapped"/>
    <s v="User Not Mapped"/>
    <s v="User Not Mapped"/>
    <n v="1116227"/>
    <s v="KISHAN BANDHU"/>
    <s v="Private Wholsaler"/>
    <s v="9732811913"/>
    <n v="7.02"/>
    <n v="40"/>
    <x v="3"/>
    <s v="'2526RAMSDF1036'"/>
    <s v="2026-03-11"/>
    <s v="280775"/>
    <s v="R A Kheria"/>
    <s v="9830290085"/>
  </r>
  <r>
    <s v="RCF Trombay"/>
    <s v="N.C.Urea(45kg)"/>
    <s v="WB"/>
    <x v="16"/>
    <s v="Lalgola"/>
    <s v="User Not Mapped"/>
    <s v="User Not Mapped"/>
    <s v="User Not Mapped"/>
    <n v="1116227"/>
    <s v="KISHAN BANDHU"/>
    <s v="Private Wholsaler"/>
    <s v="9732811913"/>
    <n v="14.04"/>
    <n v="77"/>
    <x v="6"/>
    <s v="'2526RAMSDF0865'"/>
    <s v="2026-02-02"/>
    <s v="280775"/>
    <s v="R A Kheria"/>
    <s v="9830290085"/>
  </r>
  <r>
    <s v="RCF Thal"/>
    <s v="N.C.Urea(45kg)"/>
    <s v="WB"/>
    <x v="16"/>
    <s v="Lalgola"/>
    <s v="User Not Mapped"/>
    <s v="User Not Mapped"/>
    <s v="User Not Mapped"/>
    <n v="1116227"/>
    <s v="KISHAN BANDHU"/>
    <s v="Private Wholsaler"/>
    <s v="9732811913"/>
    <n v="9.99"/>
    <n v="40"/>
    <x v="3"/>
    <s v="'2526RAMSDF1037'"/>
    <s v="2026-03-11"/>
    <s v="280775"/>
    <s v="R A Kheria"/>
    <s v="9830290085"/>
  </r>
  <r>
    <s v="RCF Thal"/>
    <s v="N.C.Urea(45kg)"/>
    <s v="WB"/>
    <x v="16"/>
    <s v="Lalgola"/>
    <s v="User Not Mapped"/>
    <s v="User Not Mapped"/>
    <s v="User Not Mapped"/>
    <n v="994826"/>
    <s v="KISHAN BANDHU"/>
    <s v="Private Retailer"/>
    <s v="9733773222"/>
    <n v="6.6150000000000002"/>
    <n v="109"/>
    <x v="7"/>
    <m/>
    <s v="2026-01-01"/>
    <s v="280775"/>
    <s v="R A Kheria"/>
    <s v="9830290085"/>
  </r>
  <r>
    <s v="RCF Thal"/>
    <s v="N.C.Urea(45kg)"/>
    <s v="WB"/>
    <x v="16"/>
    <s v="Beldanga - I"/>
    <s v="User Not Mapped"/>
    <s v="User Not Mapped"/>
    <s v="User Not Mapped"/>
    <n v="661791"/>
    <s v="KRISHI KALYAN"/>
    <s v="Private Wholsaler"/>
    <s v="9434640551"/>
    <n v="14.04"/>
    <n v="40"/>
    <x v="3"/>
    <s v="'2526RAMSDF1058'"/>
    <s v="2026-03-11"/>
    <s v="280775"/>
    <s v="R A Kheria"/>
    <s v="9830290085"/>
  </r>
  <r>
    <s v="RCF Thal"/>
    <s v="N.C.Urea(45kg)"/>
    <s v="WB"/>
    <x v="16"/>
    <s v="Berhampore"/>
    <s v="User Not Mapped"/>
    <s v="User Not Mapped"/>
    <s v="User Not Mapped"/>
    <n v="281698"/>
    <s v="Krishi Mahal"/>
    <s v="Private Wholsaler"/>
    <s v="8536856527"/>
    <n v="1.89"/>
    <n v="40"/>
    <x v="3"/>
    <s v="'2526RAMSDF1044'"/>
    <s v="2026-03-11"/>
    <s v="280775"/>
    <s v="R A Kheria"/>
    <s v="9830290085"/>
  </r>
  <r>
    <s v="RCF Trombay"/>
    <s v="N.C.Urea(45kg)"/>
    <s v="WB"/>
    <x v="16"/>
    <s v="Berhampore"/>
    <s v="User Not Mapped"/>
    <s v="User Not Mapped"/>
    <s v="User Not Mapped"/>
    <n v="281698"/>
    <s v="Krishi Mahal"/>
    <s v="Private Wholsaler"/>
    <s v="8536856527"/>
    <n v="5.94"/>
    <n v="37"/>
    <x v="3"/>
    <s v="'2526RAMSDF1103'"/>
    <s v="2026-03-14"/>
    <s v="280775"/>
    <s v="R A Kheria"/>
    <s v="9830290085"/>
  </r>
  <r>
    <s v="RCF Import"/>
    <s v="Imp 10-26-26"/>
    <s v="WB"/>
    <x v="16"/>
    <s v="Berhampore"/>
    <s v="User Not Mapped"/>
    <s v="User Not Mapped"/>
    <s v="User Not Mapped"/>
    <n v="281698"/>
    <s v="Krishi Mahal"/>
    <s v="Private Wholsaler"/>
    <s v="8536856527"/>
    <n v="1.75"/>
    <n v="68"/>
    <x v="6"/>
    <s v="'2526RAMSDF0916'"/>
    <s v="2026-02-11"/>
    <s v="280775"/>
    <s v="R A Kheria"/>
    <s v="9830290085"/>
  </r>
  <r>
    <s v="RCF Thal"/>
    <s v="N.C.Urea(45kg)"/>
    <s v="WB"/>
    <x v="16"/>
    <s v="Berhampore"/>
    <s v="User Not Mapped"/>
    <s v="User Not Mapped"/>
    <s v="User Not Mapped"/>
    <n v="558331"/>
    <s v="M/S MAINUL ISLAM"/>
    <s v="Private Retailer"/>
    <s v="9679999888"/>
    <n v="16.829999999999998"/>
    <n v="64"/>
    <x v="6"/>
    <m/>
    <s v="2026-02-15"/>
    <s v="280775"/>
    <s v="R A Kheria"/>
    <s v="9830290085"/>
  </r>
  <r>
    <s v="RCF Thal"/>
    <s v="N.C.Urea(45kg)"/>
    <s v="WB"/>
    <x v="16"/>
    <s v="Beldanga - I"/>
    <s v="User Not Mapped"/>
    <s v="User Not Mapped"/>
    <s v="User Not Mapped"/>
    <n v="1157827"/>
    <s v="M/S MENOKA FERTILIZER"/>
    <s v="Private Retailer"/>
    <s v="9733528547"/>
    <n v="9.99"/>
    <n v="109"/>
    <x v="7"/>
    <m/>
    <s v="2026-01-01"/>
    <s v="280775"/>
    <s v="R A Kheria"/>
    <s v="9830290085"/>
  </r>
  <r>
    <s v="RCF Thal"/>
    <s v="N.C.Urea(45kg)"/>
    <s v="WB"/>
    <x v="16"/>
    <s v="Kandi"/>
    <s v="User Not Mapped"/>
    <s v="User Not Mapped"/>
    <s v="User Not Mapped"/>
    <n v="270500"/>
    <s v="M/S Nirmal Krishna Ghosh"/>
    <s v="Private Retailer"/>
    <s v="9732452150"/>
    <n v="1.125"/>
    <n v="109"/>
    <x v="7"/>
    <m/>
    <s v="2026-01-01"/>
    <s v="280775"/>
    <s v="R A Kheria"/>
    <s v="9830290085"/>
  </r>
  <r>
    <s v="RCF Trombay"/>
    <s v="15-15-15"/>
    <s v="WB"/>
    <x v="16"/>
    <s v="Berhampore"/>
    <s v="User Not Mapped"/>
    <s v="User Not Mapped"/>
    <s v="User Not Mapped"/>
    <n v="596479"/>
    <s v="M/S RANA FERTILISERS STORES"/>
    <s v="Private Wholsaler"/>
    <s v="8350079945"/>
    <n v="10.5"/>
    <n v="37"/>
    <x v="3"/>
    <s v="'2526RAMSDF1080'"/>
    <s v="2026-03-14"/>
    <s v="280775"/>
    <s v="R A Kheria"/>
    <s v="9830290085"/>
  </r>
  <r>
    <s v="RCF Trombay"/>
    <s v="15-15-15"/>
    <s v="WB"/>
    <x v="16"/>
    <s v="Bhagawangola - II"/>
    <s v="User Not Mapped"/>
    <s v="User Not Mapped"/>
    <s v="User Not Mapped"/>
    <n v="1159343"/>
    <s v="M/S TOHADDESH ALI"/>
    <s v="Private Wholsaler"/>
    <s v="9932007562"/>
    <n v="10"/>
    <n v="37"/>
    <x v="3"/>
    <s v="'2526RAMSDF1082'"/>
    <s v="2026-03-14"/>
    <s v="280775"/>
    <s v="R A Kheria"/>
    <s v="9830290085"/>
  </r>
  <r>
    <s v="RCF Trombay"/>
    <s v="15-15-15"/>
    <s v="WB"/>
    <x v="16"/>
    <s v="Beldanga - I"/>
    <s v="User Not Mapped"/>
    <s v="User Not Mapped"/>
    <s v="User Not Mapped"/>
    <n v="280727"/>
    <s v="M/S Zarman Ali"/>
    <s v="Private Retailer"/>
    <s v="9153236209"/>
    <n v="10"/>
    <n v="65"/>
    <x v="6"/>
    <m/>
    <s v="2026-02-14"/>
    <s v="280775"/>
    <s v="R A Kheria"/>
    <s v="9830290085"/>
  </r>
  <r>
    <s v="RCF Trombay"/>
    <s v="N.C.Urea(45kg)"/>
    <s v="WB"/>
    <x v="16"/>
    <s v="Sagardighi"/>
    <s v="User Not Mapped"/>
    <s v="User Not Mapped"/>
    <s v="User Not Mapped"/>
    <n v="223281"/>
    <s v="M/s. Padam Chand"/>
    <s v="Private Wholsaler"/>
    <s v="9434009550"/>
    <n v="12.33"/>
    <n v="37"/>
    <x v="3"/>
    <s v="'2526RAMSDF1102'"/>
    <s v="2026-03-14"/>
    <s v="280775"/>
    <s v="R A Kheria"/>
    <s v="9830290085"/>
  </r>
  <r>
    <s v="RCF Trombay"/>
    <s v="N.C.Urea(45kg)"/>
    <s v="WB"/>
    <x v="16"/>
    <s v="Sagardighi"/>
    <s v="User Not Mapped"/>
    <s v="User Not Mapped"/>
    <s v="User Not Mapped"/>
    <n v="223281"/>
    <s v="M/s. Padam Chand"/>
    <s v="Private Wholsaler"/>
    <s v="9434009550"/>
    <n v="7.56"/>
    <n v="37"/>
    <x v="3"/>
    <s v="'2526RAMSDF1100'"/>
    <s v="2026-03-14"/>
    <s v="280775"/>
    <s v="R A Kheria"/>
    <s v="9830290085"/>
  </r>
  <r>
    <s v="RCF Trombay"/>
    <s v="N.C.Urea(45kg)"/>
    <s v="WB"/>
    <x v="16"/>
    <s v="Sagardighi"/>
    <s v="User Not Mapped"/>
    <s v="User Not Mapped"/>
    <s v="User Not Mapped"/>
    <n v="223281"/>
    <s v="M/s. Padam Chand"/>
    <s v="Private Wholsaler"/>
    <s v="9434009550"/>
    <n v="12.33"/>
    <n v="37"/>
    <x v="3"/>
    <s v="'2526RAMSDF1101'"/>
    <s v="2026-03-14"/>
    <s v="280775"/>
    <s v="R A Kheria"/>
    <s v="9830290085"/>
  </r>
  <r>
    <s v="RCF Import"/>
    <s v="Imp 10-26-26"/>
    <s v="WB"/>
    <x v="16"/>
    <s v="Nabagram"/>
    <s v="User Not Mapped"/>
    <s v="User Not Mapped"/>
    <s v="User Not Mapped"/>
    <n v="355293"/>
    <s v="Mahadev Mondal"/>
    <s v="Private Retailer"/>
    <s v="9475194960"/>
    <n v="1.45"/>
    <n v="276"/>
    <x v="1"/>
    <m/>
    <s v="2025-07-18"/>
    <s v="280775"/>
    <s v="R A Kheria"/>
    <s v="9830290085"/>
  </r>
  <r>
    <s v="RCF Import"/>
    <s v="Imp 10-26-26"/>
    <s v="WB"/>
    <x v="16"/>
    <s v="Nabagram"/>
    <s v="User Not Mapped"/>
    <s v="User Not Mapped"/>
    <s v="User Not Mapped"/>
    <n v="355293"/>
    <s v="Mahadev Mondal"/>
    <s v="Private Retailer"/>
    <s v="9475194960"/>
    <n v="3.5"/>
    <n v="266"/>
    <x v="1"/>
    <m/>
    <s v="2025-07-28"/>
    <s v="280775"/>
    <s v="R A Kheria"/>
    <s v="9830290085"/>
  </r>
  <r>
    <s v="RCF Thal"/>
    <s v="N.C.Urea(45kg)"/>
    <s v="WB"/>
    <x v="16"/>
    <s v="Sagardighi"/>
    <s v="User Not Mapped"/>
    <s v="User Not Mapped"/>
    <s v="User Not Mapped"/>
    <n v="1576583"/>
    <s v="MANIRUL ISLAM"/>
    <s v="Private Retailer"/>
    <s v="7864065409"/>
    <n v="4.4999999999999998E-2"/>
    <n v="87"/>
    <x v="6"/>
    <m/>
    <s v="2026-01-23"/>
    <s v="280775"/>
    <s v="R A Kheria"/>
    <s v="9830290085"/>
  </r>
  <r>
    <s v="RCF Thal"/>
    <s v="N.C.Urea(45kg)"/>
    <s v="WB"/>
    <x v="16"/>
    <s v="Bhagawangola - I"/>
    <s v="User Not Mapped"/>
    <s v="User Not Mapped"/>
    <s v="User Not Mapped"/>
    <n v="281533"/>
    <s v="Md Asraful Haque"/>
    <s v="Private Retailer"/>
    <s v="9932976822"/>
    <n v="1.665"/>
    <n v="101"/>
    <x v="7"/>
    <m/>
    <s v="2026-01-09"/>
    <s v="280775"/>
    <s v="R A Kheria"/>
    <s v="9830290085"/>
  </r>
  <r>
    <s v="RCF Thal"/>
    <s v="N.C.Urea(45kg)"/>
    <s v="WB"/>
    <x v="16"/>
    <s v="Bhagawangola - I"/>
    <s v="User Not Mapped"/>
    <s v="User Not Mapped"/>
    <s v="User Not Mapped"/>
    <n v="281533"/>
    <s v="Md Asraful Haque"/>
    <s v="Private Retailer"/>
    <s v="9932976822"/>
    <n v="1.98"/>
    <n v="40"/>
    <x v="3"/>
    <m/>
    <s v="2026-03-11"/>
    <s v="280775"/>
    <s v="R A Kheria"/>
    <s v="9830290085"/>
  </r>
  <r>
    <s v="RCF Thal"/>
    <s v="N.C.Urea(45kg)"/>
    <s v="WB"/>
    <x v="16"/>
    <s v="Nabagram"/>
    <s v="User Not Mapped"/>
    <s v="User Not Mapped"/>
    <s v="User Not Mapped"/>
    <n v="281697"/>
    <s v="Md Samiruddin"/>
    <s v="Private Wholsaler"/>
    <s v="7550808353"/>
    <n v="15.21"/>
    <n v="40"/>
    <x v="3"/>
    <s v="'2526RAMSDF1042'"/>
    <s v="2026-03-11"/>
    <s v="280775"/>
    <s v="R A Kheria"/>
    <s v="9830290085"/>
  </r>
  <r>
    <s v="RCF Thal"/>
    <s v="N.C.Urea(45kg)"/>
    <s v="WB"/>
    <x v="16"/>
    <m/>
    <s v="User Not Mapped"/>
    <s v="User Not Mapped"/>
    <s v="User Not Mapped"/>
    <n v="983691"/>
    <s v="MD SORIFUL ISLAM"/>
    <s v="Private Retailer"/>
    <s v="9732640157"/>
    <n v="0.72"/>
    <n v="1944"/>
    <x v="2"/>
    <m/>
    <s v="2020-12-23"/>
    <s v="280775"/>
    <s v="R A Kheria"/>
    <s v="9830290085"/>
  </r>
  <r>
    <s v="RCF Thal"/>
    <s v="N.C.Urea(45kg)"/>
    <s v="WB"/>
    <x v="16"/>
    <s v="Beldanga - I"/>
    <s v="User Not Mapped"/>
    <s v="User Not Mapped"/>
    <s v="User Not Mapped"/>
    <n v="484223"/>
    <s v="Md.Sabir Ahmed"/>
    <s v="Private Retailer"/>
    <s v="9851022800"/>
    <n v="0.54"/>
    <n v="448"/>
    <x v="0"/>
    <m/>
    <s v="2025-01-27"/>
    <s v="280775"/>
    <s v="R A Kheria"/>
    <s v="9830290085"/>
  </r>
  <r>
    <s v="RCF Thal"/>
    <s v="N.C.Urea(45kg)"/>
    <s v="WB"/>
    <x v="16"/>
    <s v="Sagardighi"/>
    <s v="User Not Mapped"/>
    <s v="User Not Mapped"/>
    <s v="User Not Mapped"/>
    <n v="473797"/>
    <s v="Minarul Sk"/>
    <s v="Private Retailer"/>
    <s v="8617655438"/>
    <n v="14.04"/>
    <n v="40"/>
    <x v="3"/>
    <m/>
    <s v="2026-03-11"/>
    <s v="280775"/>
    <s v="R A Kheria"/>
    <s v="9830290085"/>
  </r>
  <r>
    <s v="RCF Trombay"/>
    <s v="15-15-15"/>
    <s v="WB"/>
    <x v="16"/>
    <s v="Beldanga - I"/>
    <s v="User Not Mapped"/>
    <s v="User Not Mapped"/>
    <s v="User Not Mapped"/>
    <n v="1220445"/>
    <s v="MS ABDUR RAHAMAN"/>
    <s v="Private Wholsaler"/>
    <s v="7872545334"/>
    <n v="10"/>
    <n v="77"/>
    <x v="6"/>
    <s v="'2526RAMSDF0883'"/>
    <s v="2026-02-02"/>
    <s v="280775"/>
    <s v="R A Kheria"/>
    <s v="9830290085"/>
  </r>
  <r>
    <s v="RCF Trombay"/>
    <s v="15-15-15"/>
    <s v="WB"/>
    <x v="16"/>
    <s v="Berhampore"/>
    <s v="User Not Mapped"/>
    <s v="User Not Mapped"/>
    <s v="User Not Mapped"/>
    <n v="1225743"/>
    <s v="MS BISWAS FERTILIZER"/>
    <s v="Private Wholsaler"/>
    <s v="9735978597"/>
    <n v="5.9749999999999996"/>
    <n v="77"/>
    <x v="6"/>
    <s v="'2526RAMSDF0888'"/>
    <s v="2026-02-02"/>
    <s v="280775"/>
    <s v="R A Kheria"/>
    <s v="9830290085"/>
  </r>
  <r>
    <s v="RCF Trombay"/>
    <s v="15-15-15"/>
    <s v="WB"/>
    <x v="16"/>
    <s v="Berhampore"/>
    <s v="User Not Mapped"/>
    <s v="User Not Mapped"/>
    <s v="User Not Mapped"/>
    <n v="1225743"/>
    <s v="MS BISWAS FERTILIZER"/>
    <s v="Private Wholsaler"/>
    <s v="9735978597"/>
    <n v="21"/>
    <n v="37"/>
    <x v="3"/>
    <s v="'2526RAMSDF1081'"/>
    <s v="2026-03-14"/>
    <s v="280775"/>
    <s v="R A Kheria"/>
    <s v="9830290085"/>
  </r>
  <r>
    <s v="RCF Trombay"/>
    <s v="N.C.Urea(45kg)"/>
    <s v="WB"/>
    <x v="16"/>
    <s v="Berhampore"/>
    <s v="User Not Mapped"/>
    <s v="User Not Mapped"/>
    <s v="User Not Mapped"/>
    <n v="1225743"/>
    <s v="MS BISWAS FERTILIZER"/>
    <s v="Private Wholsaler"/>
    <s v="9735978597"/>
    <n v="2.97"/>
    <n v="77"/>
    <x v="6"/>
    <s v="'2526RAMSDF0878'"/>
    <s v="2026-02-02"/>
    <s v="280775"/>
    <s v="R A Kheria"/>
    <s v="9830290085"/>
  </r>
  <r>
    <s v="RCF Trombay"/>
    <s v="N.C.Urea(45kg)"/>
    <s v="WB"/>
    <x v="16"/>
    <s v="Berhampore"/>
    <s v="User Not Mapped"/>
    <s v="User Not Mapped"/>
    <s v="User Not Mapped"/>
    <n v="1225743"/>
    <s v="MS BISWAS FERTILIZER"/>
    <s v="Private Wholsaler"/>
    <s v="9735978597"/>
    <n v="9.99"/>
    <n v="77"/>
    <x v="6"/>
    <s v="'2526RAMSDF0879'"/>
    <s v="2026-02-02"/>
    <s v="280775"/>
    <s v="R A Kheria"/>
    <s v="9830290085"/>
  </r>
  <r>
    <s v="RCF Trombay"/>
    <s v="15-15-15"/>
    <s v="WB"/>
    <x v="16"/>
    <s v="Berhampore"/>
    <s v="User Not Mapped"/>
    <s v="User Not Mapped"/>
    <s v="User Not Mapped"/>
    <n v="1225743"/>
    <s v="MS BISWAS FERTILIZER"/>
    <s v="Private Wholsaler"/>
    <s v="9735978597"/>
    <n v="10"/>
    <n v="77"/>
    <x v="6"/>
    <s v="'2526RAMSDF0889'"/>
    <s v="2026-02-02"/>
    <s v="280775"/>
    <s v="R A Kheria"/>
    <s v="9830290085"/>
  </r>
  <r>
    <s v="RCF Thal"/>
    <s v="N.C.Urea(45kg)"/>
    <s v="WB"/>
    <x v="16"/>
    <s v="Berhampore"/>
    <s v="User Not Mapped"/>
    <s v="User Not Mapped"/>
    <s v="User Not Mapped"/>
    <n v="1225743"/>
    <s v="MS BISWAS FERTILIZER"/>
    <s v="Private Wholsaler"/>
    <s v="9735978597"/>
    <n v="12.96"/>
    <n v="40"/>
    <x v="3"/>
    <s v="'2526RAMSDF1060'"/>
    <s v="2026-03-11"/>
    <s v="280775"/>
    <s v="R A Kheria"/>
    <s v="9830290085"/>
  </r>
  <r>
    <s v="RCF Trombay"/>
    <s v="N.C.Urea(45kg)"/>
    <s v="WB"/>
    <x v="16"/>
    <s v="Berhampore"/>
    <s v="User Not Mapped"/>
    <s v="User Not Mapped"/>
    <s v="User Not Mapped"/>
    <n v="1286912"/>
    <s v="MUKTIMOHAN MONDAL"/>
    <s v="Private Retailer"/>
    <s v="9434254700"/>
    <n v="10.89"/>
    <n v="37"/>
    <x v="3"/>
    <m/>
    <s v="2026-03-14"/>
    <s v="280775"/>
    <s v="R A Kheria"/>
    <s v="9830290085"/>
  </r>
  <r>
    <s v="RCF Thal"/>
    <s v="N.C.Urea(45kg)"/>
    <s v="WB"/>
    <x v="16"/>
    <s v="Sagardighi"/>
    <s v="User Not Mapped"/>
    <s v="User Not Mapped"/>
    <s v="User Not Mapped"/>
    <n v="553440"/>
    <s v="Mumtaz Begum"/>
    <s v="Private Retailer"/>
    <s v="8001009866"/>
    <n v="6.4349999999999996"/>
    <n v="40"/>
    <x v="3"/>
    <m/>
    <s v="2026-03-11"/>
    <s v="280775"/>
    <s v="R A Kheria"/>
    <s v="9830290085"/>
  </r>
  <r>
    <s v="RCF Import"/>
    <s v="Imp 10-26-26"/>
    <s v="WB"/>
    <x v="16"/>
    <m/>
    <s v="User Not Mapped"/>
    <s v="User Not Mapped"/>
    <s v="User Not Mapped"/>
    <n v="281689"/>
    <s v="Nanda Dulal Mondal            "/>
    <s v="Private Wholsaler"/>
    <s v="9153141062"/>
    <n v="10"/>
    <n v="68"/>
    <x v="6"/>
    <s v="'2526RAMSDF0915'"/>
    <s v="2026-02-11"/>
    <s v="280775"/>
    <s v="R A Kheria"/>
    <s v="9830290085"/>
  </r>
  <r>
    <s v="RCF Trombay"/>
    <s v="N.C.Urea(45kg)"/>
    <s v="WB"/>
    <x v="16"/>
    <m/>
    <s v="User Not Mapped"/>
    <s v="User Not Mapped"/>
    <s v="User Not Mapped"/>
    <n v="281689"/>
    <s v="Nanda Dulal Mondal            "/>
    <s v="Private Wholsaler"/>
    <s v="9153141062"/>
    <n v="1.0349999999999999"/>
    <n v="77"/>
    <x v="6"/>
    <s v="'2526RAMSDF0877'"/>
    <s v="2026-02-02"/>
    <s v="280775"/>
    <s v="R A Kheria"/>
    <s v="9830290085"/>
  </r>
  <r>
    <s v="RCF Thal"/>
    <s v="N.C.Urea(45kg)"/>
    <s v="WB"/>
    <x v="16"/>
    <s v="Murshidabad Jiaganj"/>
    <s v="User Not Mapped"/>
    <s v="User Not Mapped"/>
    <s v="User Not Mapped"/>
    <n v="342034"/>
    <s v="Nandadulal  Mondal"/>
    <s v="Private Retailer"/>
    <s v="9153141062"/>
    <n v="1.665"/>
    <n v="109"/>
    <x v="7"/>
    <m/>
    <s v="2026-01-01"/>
    <s v="280775"/>
    <s v="R A Kheria"/>
    <s v="9830290085"/>
  </r>
  <r>
    <s v="RCF Thal"/>
    <s v="N.C.Urea(45kg)"/>
    <s v="WB"/>
    <x v="16"/>
    <s v="Berhampore"/>
    <s v="User Not Mapped"/>
    <s v="User Not Mapped"/>
    <s v="User Not Mapped"/>
    <n v="247480"/>
    <s v="Narayan Chandra Mondal"/>
    <s v="Private Retailer"/>
    <s v="9800623787"/>
    <n v="9.3149999999999995"/>
    <n v="34"/>
    <x v="3"/>
    <m/>
    <s v="2026-03-17"/>
    <s v="280775"/>
    <s v="R A Kheria"/>
    <s v="9830290085"/>
  </r>
  <r>
    <s v="RCF Trombay"/>
    <s v="N.C.Urea(45kg)"/>
    <s v="WB"/>
    <x v="16"/>
    <s v="Berhampore"/>
    <s v="User Not Mapped"/>
    <s v="User Not Mapped"/>
    <s v="User Not Mapped"/>
    <n v="247480"/>
    <s v="Narayan Chandra Mondal"/>
    <s v="Private Retailer"/>
    <s v="9800623787"/>
    <n v="9.99"/>
    <n v="37"/>
    <x v="3"/>
    <m/>
    <s v="2026-03-14"/>
    <s v="280775"/>
    <s v="R A Kheria"/>
    <s v="9830290085"/>
  </r>
  <r>
    <s v="RCF Trombay"/>
    <s v="15-15-15"/>
    <s v="WB"/>
    <x v="16"/>
    <s v="Khargram"/>
    <s v="User Not Mapped"/>
    <s v="User Not Mapped"/>
    <s v="User Not Mapped"/>
    <n v="247481"/>
    <s v="Netai Kumar Saha"/>
    <s v="Private Retailer"/>
    <s v="9732465235"/>
    <n v="7"/>
    <n v="37"/>
    <x v="3"/>
    <m/>
    <s v="2026-03-14"/>
    <s v="280775"/>
    <s v="R A Kheria"/>
    <s v="9830290085"/>
  </r>
  <r>
    <s v="RCF Trombay"/>
    <s v="N.C.Urea(45kg)"/>
    <s v="WB"/>
    <x v="16"/>
    <s v="Khargram"/>
    <s v="User Not Mapped"/>
    <s v="User Not Mapped"/>
    <s v="User Not Mapped"/>
    <n v="247481"/>
    <s v="Netai Kumar Saha"/>
    <s v="Private Retailer"/>
    <s v="9732465235"/>
    <n v="4.59"/>
    <n v="37"/>
    <x v="3"/>
    <m/>
    <s v="2026-03-14"/>
    <s v="280775"/>
    <s v="R A Kheria"/>
    <s v="9830290085"/>
  </r>
  <r>
    <s v="RCF Thal"/>
    <s v="N.C.Urea(45kg)"/>
    <s v="WB"/>
    <x v="16"/>
    <s v="Bhagawangola - II"/>
    <s v="User Not Mapped"/>
    <s v="User Not Mapped"/>
    <s v="User Not Mapped"/>
    <n v="247484"/>
    <s v="Rabiul Haque"/>
    <s v="Private Retailer"/>
    <s v="8926510164"/>
    <n v="7.02"/>
    <n v="40"/>
    <x v="3"/>
    <m/>
    <s v="2026-03-11"/>
    <s v="280775"/>
    <s v="R A Kheria"/>
    <s v="9830290085"/>
  </r>
  <r>
    <s v="RCF Thal"/>
    <s v="N.C.Urea(45kg)"/>
    <s v="WB"/>
    <x v="16"/>
    <s v="Raninagar - II"/>
    <s v="User Not Mapped"/>
    <s v="User Not Mapped"/>
    <s v="User Not Mapped"/>
    <n v="1138964"/>
    <s v="RAKESH FERTILIZER"/>
    <s v="Private Wholsaler"/>
    <s v="9733026828"/>
    <n v="4.68"/>
    <n v="25"/>
    <x v="5"/>
    <s v="'2526RAMSDF1063'"/>
    <s v="2026-03-26"/>
    <s v="280775"/>
    <s v="R A Kheria"/>
    <s v="9830290085"/>
  </r>
  <r>
    <s v="RCF Trombay"/>
    <s v="N.C.Urea(45kg)"/>
    <s v="WB"/>
    <x v="16"/>
    <s v="Raninagar - II"/>
    <s v="User Not Mapped"/>
    <s v="User Not Mapped"/>
    <s v="User Not Mapped"/>
    <n v="1138964"/>
    <s v="RAKESH FERTILIZER"/>
    <s v="Private Wholsaler"/>
    <s v="9733026828"/>
    <n v="9.0449999999999999"/>
    <n v="37"/>
    <x v="3"/>
    <s v="'2526RAMSDF1097'"/>
    <s v="2026-03-14"/>
    <s v="280775"/>
    <s v="R A Kheria"/>
    <s v="9830290085"/>
  </r>
  <r>
    <s v="RCF Thal"/>
    <s v="N.C.Urea(45kg)"/>
    <s v="WB"/>
    <x v="16"/>
    <s v="Raninagar - II"/>
    <s v="User Not Mapped"/>
    <s v="User Not Mapped"/>
    <s v="User Not Mapped"/>
    <n v="1138964"/>
    <s v="RAKESH FERTILIZER"/>
    <s v="Private Wholsaler"/>
    <s v="9733026828"/>
    <n v="17.010000000000002"/>
    <n v="25"/>
    <x v="5"/>
    <s v="'2526RAMSDF1064'"/>
    <s v="2026-03-26"/>
    <s v="280775"/>
    <s v="R A Kheria"/>
    <s v="9830290085"/>
  </r>
  <r>
    <s v="RCF Import"/>
    <s v="Imp 10-26-26"/>
    <s v="WB"/>
    <x v="16"/>
    <s v="Murshidabad Jiaganj"/>
    <s v="User Not Mapped"/>
    <s v="User Not Mapped"/>
    <s v="User Not Mapped"/>
    <n v="235774"/>
    <s v="Ram Prasad Basak"/>
    <s v="Private Retailer"/>
    <s v="9434534523"/>
    <n v="3.5"/>
    <n v="68"/>
    <x v="6"/>
    <m/>
    <s v="2026-02-11"/>
    <s v="280775"/>
    <s v="R A Kheria"/>
    <s v="9830290085"/>
  </r>
  <r>
    <s v="RCF Trombay"/>
    <s v="N.C.Urea(45kg)"/>
    <s v="WB"/>
    <x v="16"/>
    <s v="Murshidabad Jiaganj"/>
    <s v="User Not Mapped"/>
    <s v="User Not Mapped"/>
    <s v="User Not Mapped"/>
    <n v="235774"/>
    <s v="Ram Prasad Basak"/>
    <s v="Private Retailer"/>
    <s v="9434534523"/>
    <n v="9.99"/>
    <n v="77"/>
    <x v="6"/>
    <m/>
    <s v="2026-02-02"/>
    <s v="280775"/>
    <s v="R A Kheria"/>
    <s v="9830290085"/>
  </r>
  <r>
    <s v="RCF Thal"/>
    <s v="N.C.Urea(45kg)"/>
    <s v="WB"/>
    <x v="16"/>
    <s v="Berhampore"/>
    <s v="User Not Mapped"/>
    <s v="User Not Mapped"/>
    <s v="User Not Mapped"/>
    <n v="235775"/>
    <s v="Rana Fertiliser Store"/>
    <s v="Private Retailer"/>
    <s v="8350079945"/>
    <n v="4.3650000000000002"/>
    <n v="109"/>
    <x v="7"/>
    <m/>
    <s v="2026-01-01"/>
    <s v="280775"/>
    <s v="R A Kheria"/>
    <s v="9830290085"/>
  </r>
  <r>
    <s v="RCF Thal"/>
    <s v="N.C.Urea(45kg)"/>
    <s v="WB"/>
    <x v="16"/>
    <s v="Sagardighi"/>
    <s v="User Not Mapped"/>
    <s v="User Not Mapped"/>
    <s v="User Not Mapped"/>
    <n v="915347"/>
    <s v="SADER ALI"/>
    <s v="Private Retailer"/>
    <s v="7583925523"/>
    <n v="5.24"/>
    <n v="40"/>
    <x v="3"/>
    <m/>
    <s v="2026-03-11"/>
    <s v="280775"/>
    <s v="R A Kheria"/>
    <s v="9830290085"/>
  </r>
  <r>
    <s v="RCF Thal"/>
    <s v="N.C.Urea(45kg)"/>
    <s v="WB"/>
    <x v="16"/>
    <s v="Hariharpara"/>
    <s v="User Not Mapped"/>
    <s v="User Not Mapped"/>
    <s v="User Not Mapped"/>
    <n v="247495"/>
    <s v="Sahajahan Biswas"/>
    <s v="Private Retailer"/>
    <s v="7718459645"/>
    <n v="7.38"/>
    <n v="40"/>
    <x v="3"/>
    <m/>
    <s v="2026-03-11"/>
    <s v="280775"/>
    <s v="R A Kheria"/>
    <s v="9830290085"/>
  </r>
  <r>
    <s v="RCF Thal"/>
    <s v="N.C.Urea(45kg)"/>
    <s v="WB"/>
    <x v="16"/>
    <s v="Burwan"/>
    <s v="User Not Mapped"/>
    <s v="User Not Mapped"/>
    <s v="User Not Mapped"/>
    <n v="247513"/>
    <s v="Shyamal Kumar Ghosh"/>
    <s v="Private Retailer"/>
    <s v="9434482160"/>
    <n v="0.09"/>
    <n v="40"/>
    <x v="3"/>
    <m/>
    <s v="2026-03-11"/>
    <s v="280775"/>
    <s v="R A Kheria"/>
    <s v="9830290085"/>
  </r>
  <r>
    <s v="RCF Import"/>
    <s v="Imp 10-26-26"/>
    <s v="WB"/>
    <x v="16"/>
    <s v="Burwan"/>
    <s v="User Not Mapped"/>
    <s v="User Not Mapped"/>
    <s v="User Not Mapped"/>
    <n v="247513"/>
    <s v="Shyamal Kumar Ghosh"/>
    <s v="Private Retailer"/>
    <s v="9434482160"/>
    <n v="3"/>
    <n v="198"/>
    <x v="1"/>
    <m/>
    <s v="2025-10-04"/>
    <s v="280775"/>
    <s v="R A Kheria"/>
    <s v="9830290085"/>
  </r>
  <r>
    <s v="RCF Thal"/>
    <s v="N.C.Urea(45kg)"/>
    <s v="WB"/>
    <x v="16"/>
    <s v="Murshidabad Jiaganj"/>
    <s v="User Not Mapped"/>
    <s v="User Not Mapped"/>
    <s v="User Not Mapped"/>
    <n v="413758"/>
    <s v="Soumabrata Mandal"/>
    <s v="Private Retailer"/>
    <s v="9907319390"/>
    <n v="9.99"/>
    <n v="109"/>
    <x v="7"/>
    <m/>
    <s v="2026-01-01"/>
    <s v="280775"/>
    <s v="R A Kheria"/>
    <s v="9830290085"/>
  </r>
  <r>
    <s v="RCF Thal"/>
    <s v="N.C.Urea(45kg)"/>
    <s v="WB"/>
    <x v="16"/>
    <s v="Khargram"/>
    <s v="User Not Mapped"/>
    <s v="User Not Mapped"/>
    <s v="User Not Mapped"/>
    <n v="916044"/>
    <s v="SUBRATA MONDAL"/>
    <s v="Private Retailer"/>
    <s v="8170950955"/>
    <n v="8.4149999999999991"/>
    <n v="34"/>
    <x v="3"/>
    <m/>
    <s v="2026-03-17"/>
    <s v="280775"/>
    <s v="R A Kheria"/>
    <s v="9830290085"/>
  </r>
  <r>
    <s v="RCF Thal"/>
    <s v="N.C.Urea(45kg)"/>
    <s v="WB"/>
    <x v="16"/>
    <s v="Berhampore"/>
    <s v="User Not Mapped"/>
    <s v="User Not Mapped"/>
    <s v="User Not Mapped"/>
    <n v="491689"/>
    <s v="Subuktigin"/>
    <s v="Private Retailer"/>
    <s v="9733633578"/>
    <n v="7.79"/>
    <n v="109"/>
    <x v="7"/>
    <m/>
    <s v="2026-01-01"/>
    <s v="280775"/>
    <s v="R A Kheria"/>
    <s v="9830290085"/>
  </r>
  <r>
    <s v="RCF Import"/>
    <s v="Imp 10-26-26"/>
    <s v="WB"/>
    <x v="16"/>
    <s v="Murshidabad Jiaganj"/>
    <s v="User Not Mapped"/>
    <s v="User Not Mapped"/>
    <s v="User Not Mapped"/>
    <n v="342552"/>
    <s v="Swapan Kumar Das"/>
    <s v="Private Retailer"/>
    <s v="9735950815"/>
    <n v="4"/>
    <n v="20"/>
    <x v="5"/>
    <m/>
    <s v="2026-03-31"/>
    <s v="280775"/>
    <s v="R A Kheria"/>
    <s v="9830290085"/>
  </r>
  <r>
    <s v="RCF Trombay"/>
    <s v="N.C.Urea(45kg)"/>
    <s v="WB"/>
    <x v="16"/>
    <s v="Beldanga - I"/>
    <s v="User Not Mapped"/>
    <s v="User Not Mapped"/>
    <s v="User Not Mapped"/>
    <n v="1220165"/>
    <s v="UTPAL MONDAL"/>
    <s v="Private Retailer"/>
    <s v="9735525746"/>
    <n v="9.99"/>
    <n v="77"/>
    <x v="6"/>
    <m/>
    <s v="2026-02-02"/>
    <s v="280775"/>
    <s v="R A Kheria"/>
    <s v="9830290085"/>
  </r>
  <r>
    <s v="RCF Thal"/>
    <s v="N.C.Urea(45kg)"/>
    <s v="WB"/>
    <x v="16"/>
    <s v="Murshidabad Jiaganj"/>
    <s v="User Not Mapped"/>
    <s v="User Not Mapped"/>
    <s v="User Not Mapped"/>
    <n v="247429"/>
    <s v="Abdus Sattar "/>
    <s v="Private Retailer"/>
    <s v="9732585310"/>
    <n v="0.02"/>
    <n v="1236"/>
    <x v="2"/>
    <m/>
    <s v="2022-12-01"/>
    <s v="1098131"/>
    <s v="RABIUL-HOQUE"/>
    <s v="7477374559"/>
  </r>
  <r>
    <s v="RCF Trombay"/>
    <s v="N.C.Urea(45kg)"/>
    <s v="WB"/>
    <x v="16"/>
    <s v="Raninagar - I"/>
    <s v="User Not Mapped"/>
    <s v="User Not Mapped"/>
    <s v="User Not Mapped"/>
    <n v="1059670"/>
    <s v="M/S MOMOTAZ BIBI"/>
    <s v="Private Retailer"/>
    <s v="8967674381"/>
    <n v="0.01"/>
    <n v="1063"/>
    <x v="2"/>
    <m/>
    <s v="2023-05-23"/>
    <s v="1098131"/>
    <s v="RABIUL-HOQUE"/>
    <s v="7477374559"/>
  </r>
  <r>
    <s v="RCF Trombay"/>
    <s v="15-15-15"/>
    <s v="WB"/>
    <x v="16"/>
    <s v="Bhagawangola - II"/>
    <s v="User Not Mapped"/>
    <s v="User Not Mapped"/>
    <s v="User Not Mapped"/>
    <n v="247484"/>
    <s v="Rabiul Haque"/>
    <s v="Private Retailer"/>
    <s v="8926510164"/>
    <n v="4.2999999999999997E-2"/>
    <n v="123"/>
    <x v="4"/>
    <m/>
    <s v="2025-12-18"/>
    <s v="1098131"/>
    <s v="RABIUL-HOQUE"/>
    <s v="7477374559"/>
  </r>
  <r>
    <s v="RCF Trombay"/>
    <s v="N.C.Urea(45kg)"/>
    <s v="WB"/>
    <x v="16"/>
    <s v="Bhagawangola - II"/>
    <s v="User Not Mapped"/>
    <s v="User Not Mapped"/>
    <s v="User Not Mapped"/>
    <n v="247484"/>
    <s v="Rabiul Haque"/>
    <s v="Private Retailer"/>
    <s v="8926510164"/>
    <n v="6.165"/>
    <n v="123"/>
    <x v="4"/>
    <m/>
    <s v="2025-12-18"/>
    <s v="1098131"/>
    <s v="RABIUL-HOQUE"/>
    <s v="7477374559"/>
  </r>
  <r>
    <s v="RCF Trombay"/>
    <s v="15-15-15"/>
    <s v="WB"/>
    <x v="16"/>
    <s v="Raninagar - II"/>
    <s v="User Not Mapped"/>
    <s v="User Not Mapped"/>
    <s v="User Not Mapped"/>
    <n v="270472"/>
    <s v="Mainul Islam"/>
    <s v="Private Retailer"/>
    <s v="9735936571"/>
    <n v="4.4000000000000004"/>
    <n v="1301"/>
    <x v="2"/>
    <m/>
    <s v="2022-09-27"/>
    <s v="599997"/>
    <s v="RADHA MADHAB FERTILISER"/>
    <s v="8170003423"/>
  </r>
  <r>
    <s v="RCF Trombay"/>
    <s v="N.C.Urea(45kg)"/>
    <s v="WB"/>
    <x v="16"/>
    <m/>
    <s v="User Not Mapped"/>
    <s v="User Not Mapped"/>
    <s v="User Not Mapped"/>
    <n v="940005"/>
    <s v="MD NAKSAR ALI"/>
    <s v="Private Retailer"/>
    <s v="9775575745"/>
    <n v="0.51500000000000001"/>
    <n v="1439"/>
    <x v="2"/>
    <m/>
    <s v="2022-05-12"/>
    <s v="599997"/>
    <s v="RADHA MADHAB FERTILISER"/>
    <s v="8170003423"/>
  </r>
  <r>
    <s v="RCF Trombay"/>
    <s v="15-15-15"/>
    <s v="WB"/>
    <x v="16"/>
    <m/>
    <s v="User Not Mapped"/>
    <s v="User Not Mapped"/>
    <s v="User Not Mapped"/>
    <n v="940005"/>
    <s v="MD NAKSAR ALI"/>
    <s v="Private Retailer"/>
    <s v="9775575745"/>
    <n v="0.7"/>
    <n v="1439"/>
    <x v="2"/>
    <m/>
    <s v="2022-05-12"/>
    <s v="599997"/>
    <s v="RADHA MADHAB FERTILISER"/>
    <s v="8170003423"/>
  </r>
  <r>
    <s v="RCF Trombay"/>
    <s v="15-15-15"/>
    <s v="WB"/>
    <x v="16"/>
    <m/>
    <s v="User Not Mapped"/>
    <s v="User Not Mapped"/>
    <s v="User Not Mapped"/>
    <n v="270483"/>
    <s v="Md. Jamal Uddin"/>
    <s v="Private Retailer"/>
    <s v="9732873078"/>
    <n v="2"/>
    <n v="1320"/>
    <x v="2"/>
    <m/>
    <s v="2022-09-08"/>
    <s v="599997"/>
    <s v="RADHA MADHAB FERTILISER"/>
    <s v="8170003423"/>
  </r>
  <r>
    <s v="RCF Trombay"/>
    <s v="15-15-15"/>
    <s v="WB"/>
    <x v="16"/>
    <m/>
    <s v="User Not Mapped"/>
    <s v="User Not Mapped"/>
    <s v="User Not Mapped"/>
    <n v="270483"/>
    <s v="Md. Jamal Uddin"/>
    <s v="Private Retailer"/>
    <s v="9732873078"/>
    <n v="0.80900000000000005"/>
    <n v="1352"/>
    <x v="2"/>
    <m/>
    <s v="2022-08-07"/>
    <s v="599997"/>
    <s v="RADHA MADHAB FERTILISER"/>
    <s v="8170003423"/>
  </r>
  <r>
    <s v="RCF Trombay"/>
    <s v="N.C.Urea(45kg)"/>
    <s v="WB"/>
    <x v="16"/>
    <s v="Raninagar - II"/>
    <s v="User Not Mapped"/>
    <s v="User Not Mapped"/>
    <s v="User Not Mapped"/>
    <n v="281540"/>
    <s v="Abdul Jabbar"/>
    <s v="Private Retailer"/>
    <s v="9734170950"/>
    <n v="4.8600000000000003"/>
    <n v="33"/>
    <x v="3"/>
    <m/>
    <s v="2026-03-18"/>
    <s v="1138964"/>
    <s v="RAKESH FERTILIZER"/>
    <s v="9733026828"/>
  </r>
  <r>
    <s v="RCF Trombay"/>
    <s v="15-15-15"/>
    <s v="WB"/>
    <x v="16"/>
    <s v="Domkal"/>
    <s v="User Not Mapped"/>
    <s v="User Not Mapped"/>
    <s v="User Not Mapped"/>
    <n v="751478"/>
    <s v="BISWAJI BISWAS"/>
    <s v="Private Retailer"/>
    <s v="9733884785"/>
    <n v="3"/>
    <n v="33"/>
    <x v="3"/>
    <m/>
    <s v="2026-03-18"/>
    <s v="1138964"/>
    <s v="RAKESH FERTILIZER"/>
    <s v="9733026828"/>
  </r>
  <r>
    <s v="RCF Trombay"/>
    <s v="N.C.Urea(45kg)"/>
    <s v="WB"/>
    <x v="16"/>
    <s v="Domkal"/>
    <s v="User Not Mapped"/>
    <s v="User Not Mapped"/>
    <s v="User Not Mapped"/>
    <n v="751478"/>
    <s v="BISWAJI BISWAS"/>
    <s v="Private Retailer"/>
    <s v="9733884785"/>
    <n v="3.96"/>
    <n v="33"/>
    <x v="3"/>
    <m/>
    <s v="2026-03-18"/>
    <s v="1138964"/>
    <s v="RAKESH FERTILIZER"/>
    <s v="9733026828"/>
  </r>
  <r>
    <s v="RCF Trombay"/>
    <s v="N.C.Urea(45kg)"/>
    <s v="WB"/>
    <x v="16"/>
    <s v="Bharatpur - I"/>
    <s v="User Not Mapped"/>
    <s v="User Not Mapped"/>
    <s v="User Not Mapped"/>
    <n v="493953"/>
    <s v="Dulal Chandra Mondal"/>
    <s v="Private Retailer"/>
    <s v="9732785861"/>
    <n v="0.36"/>
    <n v="307"/>
    <x v="1"/>
    <m/>
    <s v="2025-06-17"/>
    <s v="1138964"/>
    <s v="RAKESH FERTILIZER"/>
    <s v="9733026828"/>
  </r>
  <r>
    <s v="RCF Trombay"/>
    <s v="15-15-15"/>
    <s v="WB"/>
    <x v="16"/>
    <s v="Raninagar - II"/>
    <s v="User Not Mapped"/>
    <s v="User Not Mapped"/>
    <s v="User Not Mapped"/>
    <n v="289185"/>
    <s v="Emdadul Hoque"/>
    <s v="Private Retailer"/>
    <s v="9434534501"/>
    <n v="6.1"/>
    <n v="33"/>
    <x v="3"/>
    <m/>
    <s v="2026-03-18"/>
    <s v="1138964"/>
    <s v="RAKESH FERTILIZER"/>
    <s v="9733026828"/>
  </r>
  <r>
    <s v="RCF Trombay"/>
    <s v="N.C.Urea(45kg)"/>
    <s v="WB"/>
    <x v="16"/>
    <s v="Khargram"/>
    <s v="User Not Mapped"/>
    <s v="User Not Mapped"/>
    <s v="User Not Mapped"/>
    <n v="931169"/>
    <s v="INDRANI KRISHI SEVA KENDRA"/>
    <s v="Private Retailer"/>
    <s v="8250244820"/>
    <n v="9.99"/>
    <n v="33"/>
    <x v="3"/>
    <m/>
    <s v="2026-03-18"/>
    <s v="1138964"/>
    <s v="RAKESH FERTILIZER"/>
    <s v="9733026828"/>
  </r>
  <r>
    <s v="RCF Thal"/>
    <s v="N.C.Urea(45kg)"/>
    <s v="WB"/>
    <x v="16"/>
    <s v="Suti - I"/>
    <s v="User Not Mapped"/>
    <s v="User Not Mapped"/>
    <s v="User Not Mapped"/>
    <n v="915395"/>
    <s v="MD BABUL SAIKH"/>
    <s v="Private Retailer"/>
    <s v="9735480644"/>
    <n v="7.335"/>
    <n v="194"/>
    <x v="1"/>
    <m/>
    <s v="2025-10-08"/>
    <s v="1138964"/>
    <s v="RAKESH FERTILIZER"/>
    <s v="9733026828"/>
  </r>
  <r>
    <s v="RCF Thal"/>
    <s v="N.C.Urea(45kg)"/>
    <s v="WB"/>
    <x v="16"/>
    <s v="Khargram"/>
    <s v="User Not Mapped"/>
    <s v="User Not Mapped"/>
    <s v="User Not Mapped"/>
    <n v="1316652"/>
    <s v="MD SAYER ALI"/>
    <s v="Private Retailer"/>
    <s v="9475881453"/>
    <n v="19.98"/>
    <n v="18"/>
    <x v="5"/>
    <m/>
    <s v="2026-04-02"/>
    <s v="1138964"/>
    <s v="RAKESH FERTILIZER"/>
    <s v="9733026828"/>
  </r>
  <r>
    <s v="RCF Trombay"/>
    <s v="N.C.Urea(45kg)"/>
    <s v="WB"/>
    <x v="16"/>
    <s v="Raninagar - II"/>
    <s v="User Not Mapped"/>
    <s v="User Not Mapped"/>
    <s v="User Not Mapped"/>
    <n v="1445527"/>
    <s v="RAKESH FERTILIZER"/>
    <s v="Private Retailer"/>
    <s v="9733026828"/>
    <n v="19.215"/>
    <n v="16"/>
    <x v="5"/>
    <m/>
    <s v="2026-04-04"/>
    <s v="1138964"/>
    <s v="RAKESH FERTILIZER"/>
    <s v="9733026828"/>
  </r>
  <r>
    <s v="RCF Thal"/>
    <s v="N.C.Urea(45kg)"/>
    <s v="WB"/>
    <x v="16"/>
    <s v="Lalgola"/>
    <s v="User Not Mapped"/>
    <s v="User Not Mapped"/>
    <s v="User Not Mapped"/>
    <n v="647557"/>
    <s v="SADANANDA DAS"/>
    <s v="Private Retailer"/>
    <s v="9735782731"/>
    <n v="9.99"/>
    <n v="18"/>
    <x v="5"/>
    <m/>
    <s v="2026-04-02"/>
    <s v="1138964"/>
    <s v="RAKESH FERTILIZER"/>
    <s v="9733026828"/>
  </r>
  <r>
    <s v="RCF Trombay"/>
    <s v="N.C.Urea(45kg)"/>
    <s v="WB"/>
    <x v="16"/>
    <s v="Jalangi"/>
    <s v="User Not Mapped"/>
    <s v="User Not Mapped"/>
    <s v="User Not Mapped"/>
    <n v="1008774"/>
    <s v="SAFIKUL ISLAM MONDAL"/>
    <s v="Private Retailer"/>
    <s v="9564177837"/>
    <n v="0.27"/>
    <n v="184"/>
    <x v="1"/>
    <m/>
    <s v="2025-10-18"/>
    <s v="1138964"/>
    <s v="RAKESH FERTILIZER"/>
    <s v="9733026828"/>
  </r>
  <r>
    <s v="RCF Trombay"/>
    <s v="15-15-15"/>
    <s v="WB"/>
    <x v="16"/>
    <s v="Domkal"/>
    <s v="User Not Mapped"/>
    <s v="User Not Mapped"/>
    <s v="User Not Mapped"/>
    <n v="1484101"/>
    <s v="SAJAHAN MONDAL"/>
    <s v="Private Retailer"/>
    <s v="9775631563"/>
    <n v="7"/>
    <n v="33"/>
    <x v="3"/>
    <m/>
    <s v="2026-03-18"/>
    <s v="1138964"/>
    <s v="RAKESH FERTILIZER"/>
    <s v="9733026828"/>
  </r>
  <r>
    <s v="RCF Trombay"/>
    <s v="N.C.Urea(45kg)"/>
    <s v="WB"/>
    <x v="16"/>
    <s v="Domkal"/>
    <s v="User Not Mapped"/>
    <s v="User Not Mapped"/>
    <s v="User Not Mapped"/>
    <n v="1484101"/>
    <s v="SAJAHAN MONDAL"/>
    <s v="Private Retailer"/>
    <s v="9775631563"/>
    <n v="7.02"/>
    <n v="33"/>
    <x v="3"/>
    <m/>
    <s v="2026-03-18"/>
    <s v="1138964"/>
    <s v="RAKESH FERTILIZER"/>
    <s v="9733026828"/>
  </r>
  <r>
    <s v="RCF Trombay"/>
    <s v="15-15-15"/>
    <s v="WB"/>
    <x v="16"/>
    <s v="Domkal"/>
    <s v="User Not Mapped"/>
    <s v="User Not Mapped"/>
    <s v="User Not Mapped"/>
    <n v="356309"/>
    <s v="Sujahan Mondal"/>
    <s v="Private Retailer"/>
    <s v="9732889878"/>
    <n v="5"/>
    <n v="33"/>
    <x v="3"/>
    <m/>
    <s v="2026-03-18"/>
    <s v="1138964"/>
    <s v="RAKESH FERTILIZER"/>
    <s v="9733026828"/>
  </r>
  <r>
    <s v="RCF Trombay"/>
    <s v="N.C.Urea(45kg)"/>
    <s v="WB"/>
    <x v="16"/>
    <s v="Domkal"/>
    <s v="User Not Mapped"/>
    <s v="User Not Mapped"/>
    <s v="User Not Mapped"/>
    <n v="356309"/>
    <s v="Sujahan Mondal"/>
    <s v="Private Retailer"/>
    <s v="9732889878"/>
    <n v="0.495"/>
    <n v="33"/>
    <x v="3"/>
    <m/>
    <s v="2026-03-18"/>
    <s v="1138964"/>
    <s v="RAKESH FERTILIZER"/>
    <s v="9733026828"/>
  </r>
  <r>
    <s v="RCF Trombay"/>
    <s v="15-15-15"/>
    <s v="WB"/>
    <x v="16"/>
    <m/>
    <s v="User Not Mapped"/>
    <s v="User Not Mapped"/>
    <s v="User Not Mapped"/>
    <n v="590453"/>
    <s v="Sumanta Kumar Saha"/>
    <s v="Private Retailer"/>
    <s v="9641198469"/>
    <n v="0.85"/>
    <n v="33"/>
    <x v="3"/>
    <m/>
    <s v="2026-03-18"/>
    <s v="1138964"/>
    <s v="RAKESH FERTILIZER"/>
    <s v="9733026828"/>
  </r>
  <r>
    <s v="RCF Trombay"/>
    <s v="15-15-15"/>
    <s v="WB"/>
    <x v="16"/>
    <s v="Domkal"/>
    <s v="User Not Mapped"/>
    <s v="User Not Mapped"/>
    <s v="User Not Mapped"/>
    <n v="464436"/>
    <s v="Susanta Kr.Saha"/>
    <s v="Private Retailer"/>
    <s v="9775054127"/>
    <n v="0.3"/>
    <n v="33"/>
    <x v="3"/>
    <m/>
    <s v="2026-03-18"/>
    <s v="1138964"/>
    <s v="RAKESH FERTILIZER"/>
    <s v="9733026828"/>
  </r>
  <r>
    <s v="RCF Trombay"/>
    <s v="N.C.Urea(45kg)"/>
    <s v="WB"/>
    <x v="16"/>
    <s v="Domkal"/>
    <s v="User Not Mapped"/>
    <s v="User Not Mapped"/>
    <s v="User Not Mapped"/>
    <n v="730985"/>
    <s v="TARIKUL ISLAM"/>
    <s v="Private Retailer"/>
    <s v="9832405040"/>
    <n v="0.09"/>
    <n v="33"/>
    <x v="3"/>
    <m/>
    <s v="2026-03-18"/>
    <s v="1138964"/>
    <s v="RAKESH FERTILIZER"/>
    <s v="9733026828"/>
  </r>
  <r>
    <s v="RCF Trombay"/>
    <s v="15-15-15"/>
    <s v="WB"/>
    <x v="16"/>
    <s v="Berhampore"/>
    <s v="User Not Mapped"/>
    <s v="User Not Mapped"/>
    <s v="User Not Mapped"/>
    <n v="223293"/>
    <s v="Bisanka Chandra Mondal And Son"/>
    <s v="Private Wholsaler"/>
    <s v="9609521133"/>
    <n v="50"/>
    <n v="40"/>
    <x v="3"/>
    <s v="'WS3125004039'"/>
    <s v="2026-03-11"/>
    <s v="1"/>
    <s v="rcf"/>
    <m/>
  </r>
  <r>
    <s v="RCF Import"/>
    <s v="Imp 10-26-26"/>
    <s v="WB"/>
    <x v="16"/>
    <s v="Berhampore"/>
    <s v="User Not Mapped"/>
    <s v="User Not Mapped"/>
    <s v="User Not Mapped"/>
    <n v="223293"/>
    <s v="Bisanka Chandra Mondal And Son"/>
    <s v="Private Wholsaler"/>
    <s v="9609521133"/>
    <n v="37"/>
    <n v="41"/>
    <x v="3"/>
    <s v="'3125004005'"/>
    <s v="2026-03-10"/>
    <s v="1"/>
    <s v="rcf"/>
    <m/>
  </r>
  <r>
    <s v="RCF Import"/>
    <s v="Imp 10-26-26"/>
    <s v="WB"/>
    <x v="16"/>
    <s v="Berhampore"/>
    <s v="User Not Mapped"/>
    <s v="User Not Mapped"/>
    <s v="User Not Mapped"/>
    <n v="223293"/>
    <s v="Bisanka Chandra Mondal And Son"/>
    <s v="Private Wholsaler"/>
    <s v="9609521133"/>
    <n v="46.5"/>
    <n v="41"/>
    <x v="3"/>
    <s v="'3125004004'"/>
    <s v="2026-03-10"/>
    <s v="1"/>
    <s v="rcf"/>
    <m/>
  </r>
  <r>
    <s v="RCF Thal"/>
    <s v="N.C.Urea(45kg)"/>
    <s v="WB"/>
    <x v="16"/>
    <s v="Berhampore"/>
    <s v="User Not Mapped"/>
    <s v="User Not Mapped"/>
    <s v="User Not Mapped"/>
    <n v="223293"/>
    <s v="Bisanka Chandra Mondal And Son"/>
    <s v="Private Wholsaler"/>
    <s v="9609521133"/>
    <n v="7.02"/>
    <n v="42"/>
    <x v="3"/>
    <s v="'WS3125003888'"/>
    <s v="2026-03-09"/>
    <s v="1"/>
    <s v="rcf"/>
    <m/>
  </r>
  <r>
    <s v="RCF Trombay"/>
    <s v="15-15-15"/>
    <s v="WB"/>
    <x v="16"/>
    <s v="Berhampore"/>
    <s v="User Not Mapped"/>
    <s v="User Not Mapped"/>
    <s v="User Not Mapped"/>
    <n v="223293"/>
    <s v="Bisanka Chandra Mondal And Son"/>
    <s v="Private Wholsaler"/>
    <s v="9609521133"/>
    <n v="8"/>
    <n v="40"/>
    <x v="3"/>
    <s v="'WS3125004038'"/>
    <s v="2026-03-11"/>
    <s v="1"/>
    <s v="rcf"/>
    <m/>
  </r>
  <r>
    <s v="RCF Trombay"/>
    <s v="N.C.Urea(45kg)"/>
    <s v="WB"/>
    <x v="16"/>
    <s v="Berhampore"/>
    <s v="User Not Mapped"/>
    <s v="User Not Mapped"/>
    <s v="User Not Mapped"/>
    <n v="223293"/>
    <s v="Bisanka Chandra Mondal And Son"/>
    <s v="Private Wholsaler"/>
    <s v="9609521133"/>
    <n v="8.2349999999999994"/>
    <n v="40"/>
    <x v="3"/>
    <s v="'WS3125004031'"/>
    <s v="2026-03-11"/>
    <s v="1"/>
    <s v="rcf"/>
    <m/>
  </r>
  <r>
    <s v="RCF Thal"/>
    <s v="N.C.Urea(45kg)"/>
    <s v="WB"/>
    <x v="16"/>
    <m/>
    <s v="User Not Mapped"/>
    <s v="User Not Mapped"/>
    <s v="User Not Mapped"/>
    <n v="269139"/>
    <s v="Firoj Ali"/>
    <s v="Private Wholsaler"/>
    <s v="9932787296"/>
    <n v="5.085"/>
    <n v="42"/>
    <x v="3"/>
    <s v="'WS3125003880'"/>
    <s v="2026-03-09"/>
    <s v="1"/>
    <s v="rcf"/>
    <m/>
  </r>
  <r>
    <s v="RCF Trombay"/>
    <s v="N.C.Urea(45kg)"/>
    <s v="WB"/>
    <x v="16"/>
    <m/>
    <s v="User Not Mapped"/>
    <s v="User Not Mapped"/>
    <s v="User Not Mapped"/>
    <n v="269139"/>
    <s v="Firoj Ali"/>
    <s v="Private Wholsaler"/>
    <s v="9932787296"/>
    <n v="41.85"/>
    <n v="86"/>
    <x v="6"/>
    <s v="'WS3125003152'"/>
    <s v="2026-01-24"/>
    <s v="1"/>
    <s v="rcf"/>
    <m/>
  </r>
  <r>
    <s v="RCF Trombay"/>
    <s v="N.C.Urea(45kg)"/>
    <s v="WB"/>
    <x v="16"/>
    <m/>
    <s v="User Not Mapped"/>
    <s v="User Not Mapped"/>
    <s v="User Not Mapped"/>
    <n v="269139"/>
    <s v="Firoj Ali"/>
    <s v="Private Wholsaler"/>
    <s v="9932787296"/>
    <n v="46.98"/>
    <n v="40"/>
    <x v="3"/>
    <s v="'WS3125004023'"/>
    <s v="2026-03-11"/>
    <s v="1"/>
    <s v="rcf"/>
    <m/>
  </r>
  <r>
    <s v="RCF Import"/>
    <s v="Imp 10-26-26"/>
    <s v="WB"/>
    <x v="16"/>
    <m/>
    <s v="User Not Mapped"/>
    <s v="User Not Mapped"/>
    <s v="User Not Mapped"/>
    <n v="289310"/>
    <s v="Gopal Fertilizer"/>
    <s v="Private Wholsaler"/>
    <s v="8170003423"/>
    <n v="15"/>
    <n v="77"/>
    <x v="6"/>
    <s v="'WS3125003230'"/>
    <s v="2026-02-02"/>
    <s v="1"/>
    <s v="rcf"/>
    <m/>
  </r>
  <r>
    <s v="RCF Trombay"/>
    <s v="15-15-15"/>
    <s v="WB"/>
    <x v="16"/>
    <m/>
    <s v="User Not Mapped"/>
    <s v="User Not Mapped"/>
    <s v="User Not Mapped"/>
    <n v="289310"/>
    <s v="Gopal Fertilizer"/>
    <s v="Private Wholsaler"/>
    <s v="8170003423"/>
    <n v="7"/>
    <n v="40"/>
    <x v="3"/>
    <s v="'WS3125004037'"/>
    <s v="2026-03-11"/>
    <s v="1"/>
    <s v="rcf"/>
    <m/>
  </r>
  <r>
    <s v="RCF Import"/>
    <s v="Imp 10-26-26"/>
    <s v="WB"/>
    <x v="16"/>
    <s v="Murshidabad Jiaganj"/>
    <s v="User Not Mapped"/>
    <s v="User Not Mapped"/>
    <s v="User Not Mapped"/>
    <n v="465152"/>
    <s v="Keshri Mal Jain"/>
    <s v="Private Wholsaler"/>
    <s v="9932820672"/>
    <n v="2.5"/>
    <n v="77"/>
    <x v="6"/>
    <s v="'WS3125003218'"/>
    <s v="2026-02-02"/>
    <s v="1"/>
    <s v="rcf"/>
    <m/>
  </r>
  <r>
    <s v="RCF Trombay"/>
    <s v="15-15-15"/>
    <s v="WB"/>
    <x v="16"/>
    <s v="Berhampore"/>
    <s v="User Not Mapped"/>
    <s v="User Not Mapped"/>
    <s v="User Not Mapped"/>
    <n v="289315"/>
    <s v="M/S Monoranjan Dey"/>
    <s v="Private Wholsaler"/>
    <s v="9733893312"/>
    <n v="20"/>
    <n v="40"/>
    <x v="3"/>
    <s v="'WS3125004059'"/>
    <s v="2026-03-11"/>
    <s v="1"/>
    <s v="rcf"/>
    <m/>
  </r>
  <r>
    <s v="RCF Import"/>
    <s v="Imp 10-26-26"/>
    <s v="WB"/>
    <x v="16"/>
    <s v="Nabagram"/>
    <s v="User Not Mapped"/>
    <s v="User Not Mapped"/>
    <s v="User Not Mapped"/>
    <n v="223292"/>
    <s v="M/s. Gouri Sankar Mandal"/>
    <s v="Private Wholsaler"/>
    <s v="7365965125"/>
    <n v="20"/>
    <n v="56"/>
    <x v="3"/>
    <s v="'3125003701'"/>
    <s v="2026-02-23"/>
    <s v="1"/>
    <s v="rcf"/>
    <m/>
  </r>
  <r>
    <s v="RCF Import"/>
    <s v="Imp 10-26-26"/>
    <s v="WB"/>
    <x v="16"/>
    <s v="Nabagram"/>
    <s v="User Not Mapped"/>
    <s v="User Not Mapped"/>
    <s v="User Not Mapped"/>
    <n v="223292"/>
    <s v="M/s. Gouri Sankar Mandal"/>
    <s v="Private Wholsaler"/>
    <s v="7365965125"/>
    <n v="10"/>
    <n v="31"/>
    <x v="3"/>
    <s v="'3125004098'"/>
    <s v="2026-03-20"/>
    <s v="1"/>
    <s v="rcf"/>
    <m/>
  </r>
  <r>
    <s v="RCF Trombay"/>
    <s v="15-15-15"/>
    <s v="WB"/>
    <x v="16"/>
    <s v="Nabagram"/>
    <s v="User Not Mapped"/>
    <s v="User Not Mapped"/>
    <s v="User Not Mapped"/>
    <n v="223292"/>
    <s v="M/s. Gouri Sankar Mandal"/>
    <s v="Private Wholsaler"/>
    <s v="7365965125"/>
    <n v="54"/>
    <n v="40"/>
    <x v="3"/>
    <s v="'WS3125004054'"/>
    <s v="2026-03-11"/>
    <s v="1"/>
    <s v="rcf"/>
    <m/>
  </r>
  <r>
    <s v="RCF Trombay"/>
    <s v="N.C.Urea(45kg)"/>
    <s v="WB"/>
    <x v="16"/>
    <s v="Nabagram"/>
    <s v="User Not Mapped"/>
    <s v="User Not Mapped"/>
    <s v="User Not Mapped"/>
    <n v="223292"/>
    <s v="M/s. Gouri Sankar Mandal"/>
    <s v="Private Wholsaler"/>
    <s v="7365965125"/>
    <n v="7.74"/>
    <n v="40"/>
    <x v="3"/>
    <s v="'WS3125004052'"/>
    <s v="2026-03-11"/>
    <s v="1"/>
    <s v="rcf"/>
    <m/>
  </r>
  <r>
    <s v="RCF Import"/>
    <s v="Imp 10-26-26"/>
    <s v="WB"/>
    <x v="16"/>
    <s v="Nabagram"/>
    <s v="User Not Mapped"/>
    <s v="User Not Mapped"/>
    <s v="User Not Mapped"/>
    <n v="223292"/>
    <s v="M/s. Gouri Sankar Mandal"/>
    <s v="Private Wholsaler"/>
    <s v="7365965125"/>
    <n v="50"/>
    <n v="56"/>
    <x v="3"/>
    <s v="'3125003700'"/>
    <s v="2026-02-23"/>
    <s v="1"/>
    <s v="rcf"/>
    <m/>
  </r>
  <r>
    <s v="RCF Trombay"/>
    <s v="15-15-15"/>
    <s v="WB"/>
    <x v="16"/>
    <s v="Nabagram"/>
    <s v="User Not Mapped"/>
    <s v="User Not Mapped"/>
    <s v="User Not Mapped"/>
    <n v="223292"/>
    <s v="M/s. Gouri Sankar Mandal"/>
    <s v="Private Wholsaler"/>
    <s v="7365965125"/>
    <n v="28.25"/>
    <n v="40"/>
    <x v="3"/>
    <s v="'WS3125004056'"/>
    <s v="2026-03-11"/>
    <s v="1"/>
    <s v="rcf"/>
    <m/>
  </r>
  <r>
    <s v="RCF Trombay"/>
    <s v="15-15-15"/>
    <s v="WB"/>
    <x v="16"/>
    <s v="Nabagram"/>
    <s v="User Not Mapped"/>
    <s v="User Not Mapped"/>
    <s v="User Not Mapped"/>
    <n v="223292"/>
    <s v="M/s. Gouri Sankar Mandal"/>
    <s v="Private Wholsaler"/>
    <s v="7365965125"/>
    <n v="50"/>
    <n v="40"/>
    <x v="3"/>
    <s v="'WS3125004057'"/>
    <s v="2026-03-11"/>
    <s v="1"/>
    <s v="rcf"/>
    <m/>
  </r>
  <r>
    <s v="RCF Import"/>
    <s v="Imp 10-26-26"/>
    <s v="WB"/>
    <x v="16"/>
    <s v="Nabagram"/>
    <s v="User Not Mapped"/>
    <s v="User Not Mapped"/>
    <s v="User Not Mapped"/>
    <n v="223292"/>
    <s v="M/s. Gouri Sankar Mandal"/>
    <s v="Private Wholsaler"/>
    <s v="7365965125"/>
    <n v="46"/>
    <n v="56"/>
    <x v="3"/>
    <s v="'3125003663'"/>
    <s v="2026-02-23"/>
    <s v="1"/>
    <s v="rcf"/>
    <m/>
  </r>
  <r>
    <s v="RCF Thal"/>
    <s v="N.C.Urea(45kg)"/>
    <s v="WB"/>
    <x v="16"/>
    <s v="Sagardighi"/>
    <s v="User Not Mapped"/>
    <s v="User Not Mapped"/>
    <s v="User Not Mapped"/>
    <n v="223281"/>
    <s v="M/s. Padam Chand"/>
    <s v="Private Wholsaler"/>
    <s v="9434009550"/>
    <n v="4.1399999999999997"/>
    <n v="42"/>
    <x v="3"/>
    <s v="'WS3125003912'"/>
    <s v="2026-03-09"/>
    <s v="1"/>
    <s v="rcf"/>
    <m/>
  </r>
  <r>
    <s v="RCF Import"/>
    <s v="Imp 10-26-26"/>
    <s v="WB"/>
    <x v="16"/>
    <s v="Sagardighi"/>
    <s v="User Not Mapped"/>
    <s v="User Not Mapped"/>
    <s v="User Not Mapped"/>
    <n v="223281"/>
    <s v="M/s. Padam Chand"/>
    <s v="Private Wholsaler"/>
    <s v="9434009550"/>
    <n v="4"/>
    <n v="77"/>
    <x v="6"/>
    <s v="'WS3125003223'"/>
    <s v="2026-02-02"/>
    <s v="1"/>
    <s v="rcf"/>
    <m/>
  </r>
  <r>
    <s v="RCF Trombay"/>
    <s v="15-15-15"/>
    <s v="WB"/>
    <x v="16"/>
    <s v="Sagardighi"/>
    <s v="User Not Mapped"/>
    <s v="User Not Mapped"/>
    <s v="User Not Mapped"/>
    <n v="223281"/>
    <s v="M/s. Padam Chand"/>
    <s v="Private Wholsaler"/>
    <s v="9434009550"/>
    <n v="11.5"/>
    <n v="40"/>
    <x v="3"/>
    <s v="'WS3125004033'"/>
    <s v="2026-03-11"/>
    <s v="1"/>
    <s v="rcf"/>
    <m/>
  </r>
  <r>
    <s v="RCF Thal"/>
    <s v="N.C.Urea(45kg)"/>
    <s v="WB"/>
    <x v="16"/>
    <s v="Berhampore"/>
    <s v="User Not Mapped"/>
    <s v="User Not Mapped"/>
    <s v="User Not Mapped"/>
    <n v="281704"/>
    <s v="Maa Fertilizer"/>
    <s v="Private Wholsaler"/>
    <s v="9800042039"/>
    <n v="9.09"/>
    <n v="42"/>
    <x v="3"/>
    <s v="'WS3125003943'"/>
    <s v="2026-03-09"/>
    <s v="1"/>
    <s v="rcf"/>
    <m/>
  </r>
  <r>
    <s v="RCF Import"/>
    <s v="Imp 10-26-26"/>
    <s v="WB"/>
    <x v="16"/>
    <s v="Berhampore"/>
    <s v="User Not Mapped"/>
    <s v="User Not Mapped"/>
    <s v="User Not Mapped"/>
    <n v="281704"/>
    <s v="Maa Fertilizer"/>
    <s v="Private Wholsaler"/>
    <s v="9800042039"/>
    <n v="10"/>
    <n v="27"/>
    <x v="5"/>
    <s v="'3125004104'"/>
    <s v="2026-03-24"/>
    <s v="1"/>
    <s v="rcf"/>
    <m/>
  </r>
  <r>
    <s v="RCF Import"/>
    <s v="Imp 10-26-26"/>
    <s v="WB"/>
    <x v="16"/>
    <s v="Berhampore"/>
    <s v="User Not Mapped"/>
    <s v="User Not Mapped"/>
    <s v="User Not Mapped"/>
    <n v="281704"/>
    <s v="Maa Fertilizer"/>
    <s v="Private Wholsaler"/>
    <s v="9800042039"/>
    <n v="1.35"/>
    <n v="52"/>
    <x v="3"/>
    <s v="'3125003750'"/>
    <s v="2026-02-27"/>
    <s v="1"/>
    <s v="rcf"/>
    <m/>
  </r>
  <r>
    <s v="RCF Import"/>
    <s v="Imp 10-26-26"/>
    <s v="WB"/>
    <x v="16"/>
    <s v="Berhampore"/>
    <s v="User Not Mapped"/>
    <s v="User Not Mapped"/>
    <s v="User Not Mapped"/>
    <n v="281704"/>
    <s v="Maa Fertilizer"/>
    <s v="Private Wholsaler"/>
    <s v="9800042039"/>
    <n v="16"/>
    <n v="28"/>
    <x v="5"/>
    <s v="'3125004103'"/>
    <s v="2026-03-23"/>
    <s v="1"/>
    <s v="rcf"/>
    <m/>
  </r>
  <r>
    <s v="RCF Thal"/>
    <s v="N.C.Urea(45kg)"/>
    <s v="WB"/>
    <x v="16"/>
    <s v="Berhampore"/>
    <s v="User Not Mapped"/>
    <s v="User Not Mapped"/>
    <s v="User Not Mapped"/>
    <n v="281704"/>
    <s v="Maa Fertilizer"/>
    <s v="Private Wholsaler"/>
    <s v="9800042039"/>
    <n v="54"/>
    <n v="42"/>
    <x v="3"/>
    <s v="'WS3125003933'"/>
    <s v="2026-03-09"/>
    <s v="1"/>
    <s v="rcf"/>
    <m/>
  </r>
  <r>
    <s v="RCF Import"/>
    <s v="Imp 10-26-26"/>
    <s v="WB"/>
    <x v="16"/>
    <s v="Berhampore"/>
    <s v="User Not Mapped"/>
    <s v="User Not Mapped"/>
    <s v="User Not Mapped"/>
    <n v="281704"/>
    <s v="Maa Fertilizer"/>
    <s v="Private Wholsaler"/>
    <s v="9800042039"/>
    <n v="10"/>
    <n v="46"/>
    <x v="3"/>
    <s v="'3125003809'"/>
    <s v="2026-03-05"/>
    <s v="1"/>
    <s v="rcf"/>
    <m/>
  </r>
  <r>
    <s v="RCF Import"/>
    <s v="Imp 10-26-26"/>
    <s v="WB"/>
    <x v="16"/>
    <s v="Berhampore"/>
    <s v="User Not Mapped"/>
    <s v="User Not Mapped"/>
    <s v="User Not Mapped"/>
    <n v="281704"/>
    <s v="Maa Fertilizer"/>
    <s v="Private Wholsaler"/>
    <s v="9800042039"/>
    <n v="16"/>
    <n v="32"/>
    <x v="3"/>
    <s v="'3125004097'"/>
    <s v="2026-03-19"/>
    <s v="1"/>
    <s v="rcf"/>
    <m/>
  </r>
  <r>
    <s v="RCF Import"/>
    <s v="Imp 10-26-26"/>
    <s v="WB"/>
    <x v="16"/>
    <s v="Berhampore"/>
    <s v="User Not Mapped"/>
    <s v="User Not Mapped"/>
    <s v="User Not Mapped"/>
    <n v="280775"/>
    <s v="R A Kheria"/>
    <s v="Private Wholsaler"/>
    <s v="9830290085"/>
    <n v="55"/>
    <n v="23"/>
    <x v="5"/>
    <s v="'3125004112'"/>
    <s v="2026-03-28"/>
    <s v="1"/>
    <s v="rcf"/>
    <m/>
  </r>
  <r>
    <s v="RCF Trombay"/>
    <s v="N.C.Urea(45kg)"/>
    <s v="WB"/>
    <x v="16"/>
    <s v="Berhampore"/>
    <s v="User Not Mapped"/>
    <s v="User Not Mapped"/>
    <s v="User Not Mapped"/>
    <n v="280775"/>
    <s v="R A Kheria"/>
    <s v="Private Wholsaler"/>
    <s v="9830290085"/>
    <n v="14.984999999999999"/>
    <n v="40"/>
    <x v="3"/>
    <s v="'WS3125004066'"/>
    <s v="2026-03-11"/>
    <s v="1"/>
    <s v="rcf"/>
    <m/>
  </r>
  <r>
    <s v="RCF Thal"/>
    <s v="N.C.Urea(45kg)"/>
    <s v="WB"/>
    <x v="16"/>
    <s v="Berhampore"/>
    <s v="User Not Mapped"/>
    <s v="User Not Mapped"/>
    <s v="User Not Mapped"/>
    <n v="280775"/>
    <s v="R A Kheria"/>
    <s v="Private Wholsaler"/>
    <s v="9830290085"/>
    <n v="12.96"/>
    <n v="42"/>
    <x v="3"/>
    <s v="'WS3125003950'"/>
    <s v="2026-03-09"/>
    <s v="1"/>
    <s v="rcf"/>
    <m/>
  </r>
  <r>
    <s v="RCF Import"/>
    <s v="Imp 10-26-26"/>
    <s v="WB"/>
    <x v="16"/>
    <s v="Berhampore"/>
    <s v="User Not Mapped"/>
    <s v="User Not Mapped"/>
    <s v="User Not Mapped"/>
    <n v="280775"/>
    <s v="R A Kheria"/>
    <s v="Private Wholsaler"/>
    <s v="9830290085"/>
    <n v="29.7"/>
    <n v="21"/>
    <x v="5"/>
    <s v="'3125004114'"/>
    <s v="2026-03-30"/>
    <s v="1"/>
    <s v="rcf"/>
    <m/>
  </r>
  <r>
    <s v="RCF Import"/>
    <s v="Imp 10-26-26"/>
    <s v="WB"/>
    <x v="16"/>
    <s v="Berhampore"/>
    <s v="User Not Mapped"/>
    <s v="User Not Mapped"/>
    <s v="User Not Mapped"/>
    <n v="280775"/>
    <s v="R A Kheria"/>
    <s v="Private Wholsaler"/>
    <s v="9830290085"/>
    <n v="51"/>
    <n v="31"/>
    <x v="3"/>
    <s v="'3125004102'"/>
    <s v="2026-03-20"/>
    <s v="1"/>
    <s v="rcf"/>
    <m/>
  </r>
  <r>
    <s v="RCF Import"/>
    <s v="Imp 10-26-26"/>
    <s v="WB"/>
    <x v="16"/>
    <s v="Berhampore"/>
    <s v="User Not Mapped"/>
    <s v="User Not Mapped"/>
    <s v="User Not Mapped"/>
    <n v="280775"/>
    <s v="R A Kheria"/>
    <s v="Private Wholsaler"/>
    <s v="9830290085"/>
    <n v="9"/>
    <n v="55"/>
    <x v="3"/>
    <s v="'3125003705'"/>
    <s v="2026-02-24"/>
    <s v="1"/>
    <s v="rcf"/>
    <m/>
  </r>
  <r>
    <s v="RCF Import"/>
    <s v="Imp 10-26-26"/>
    <s v="WB"/>
    <x v="16"/>
    <s v="Berhampore"/>
    <s v="User Not Mapped"/>
    <s v="User Not Mapped"/>
    <s v="User Not Mapped"/>
    <n v="280775"/>
    <s v="R A Kheria"/>
    <s v="Private Wholsaler"/>
    <s v="9830290085"/>
    <n v="51"/>
    <n v="31"/>
    <x v="3"/>
    <s v="'3125004101'"/>
    <s v="2026-03-20"/>
    <s v="1"/>
    <s v="rcf"/>
    <m/>
  </r>
  <r>
    <s v="RCF Trombay"/>
    <s v="15-15-15"/>
    <s v="WB"/>
    <x v="16"/>
    <m/>
    <s v="User Not Mapped"/>
    <s v="User Not Mapped"/>
    <s v="User Not Mapped"/>
    <n v="1029842"/>
    <s v="FULKUMARI MONDAL"/>
    <s v="Private Retailer"/>
    <s v="9775025354"/>
    <n v="0.2"/>
    <n v="1694"/>
    <x v="2"/>
    <m/>
    <s v="2021-08-30"/>
    <s v="1116229"/>
    <s v="SAIFUL ISLAM"/>
    <s v="9733591556"/>
  </r>
  <r>
    <s v="RCF Trombay"/>
    <s v="15-15-15"/>
    <s v="WB"/>
    <x v="16"/>
    <s v="Domkal"/>
    <s v="User Not Mapped"/>
    <s v="User Not Mapped"/>
    <s v="User Not Mapped"/>
    <n v="951661"/>
    <s v="SUMIT BISWAS"/>
    <s v="Private Retailer"/>
    <s v="8768030152"/>
    <n v="0.5"/>
    <n v="708"/>
    <x v="2"/>
    <m/>
    <s v="2024-05-12"/>
    <s v="1116229"/>
    <s v="SAIFUL ISLAM"/>
    <s v="9733591556"/>
  </r>
  <r>
    <s v="RCF Thal"/>
    <s v="N.C.Urea(45kg)"/>
    <s v="WB"/>
    <x v="16"/>
    <s v="Suti - I"/>
    <s v="User Not Mapped"/>
    <s v="User Not Mapped"/>
    <s v="User Not Mapped"/>
    <n v="946103"/>
    <s v="ANJALI KRISHI GHAR"/>
    <s v="Private Retailer"/>
    <s v="9635535630"/>
    <n v="4.2000000000000003E-2"/>
    <n v="716"/>
    <x v="2"/>
    <m/>
    <s v="2024-05-04"/>
    <s v="1140145"/>
    <s v="SAMPA KRISHI GHAR"/>
    <s v="9775055288"/>
  </r>
  <r>
    <s v="RCF Thal"/>
    <s v="N.C.Urea(45kg)"/>
    <s v="WB"/>
    <x v="16"/>
    <s v="Farakka"/>
    <s v="User Not Mapped"/>
    <s v="User Not Mapped"/>
    <s v="User Not Mapped"/>
    <n v="1483430"/>
    <s v="PRADIP KUMAR MONDAL"/>
    <s v="Private Retailer"/>
    <s v="7001258568"/>
    <n v="0.36499999999999999"/>
    <n v="231"/>
    <x v="1"/>
    <m/>
    <s v="2025-09-01"/>
    <s v="1140145"/>
    <s v="SAMPA KRISHI GHAR"/>
    <s v="9775055288"/>
  </r>
  <r>
    <s v="RCF Thal"/>
    <s v="N.C.Urea(45kg)"/>
    <s v="WB"/>
    <x v="16"/>
    <m/>
    <s v="User Not Mapped"/>
    <s v="User Not Mapped"/>
    <s v="User Not Mapped"/>
    <n v="1140310"/>
    <s v="SURAYA YEASMIN"/>
    <s v="Private Retailer"/>
    <s v="9073393149"/>
    <n v="1.35"/>
    <n v="849"/>
    <x v="2"/>
    <m/>
    <s v="2023-12-23"/>
    <s v="1140145"/>
    <s v="SAMPA KRISHI GHAR"/>
    <s v="9775055288"/>
  </r>
  <r>
    <s v="RCF Import"/>
    <s v="Imp 10-26-26"/>
    <s v="WB"/>
    <x v="16"/>
    <s v="Nawda"/>
    <s v="User Not Mapped"/>
    <s v="User Not Mapped"/>
    <s v="User Not Mapped"/>
    <n v="1286904"/>
    <s v="SAJAMAL SHEIKH"/>
    <s v="Private Retailer"/>
    <s v="9734106174"/>
    <n v="10"/>
    <n v="143"/>
    <x v="4"/>
    <m/>
    <s v="2025-11-28"/>
    <s v="1377494"/>
    <s v="SELIM REJA SARDAR"/>
    <s v="9647284847"/>
  </r>
  <r>
    <s v="RCF Trombay"/>
    <s v="N.C.Urea(45kg)"/>
    <s v="WB"/>
    <x v="16"/>
    <m/>
    <s v="User Not Mapped"/>
    <s v="User Not Mapped"/>
    <s v="User Not Mapped"/>
    <n v="489647"/>
    <s v="Shyamal Kumar Ghosh"/>
    <s v="Private Retailer"/>
    <s v="9733507660"/>
    <n v="5.0000000000000001E-3"/>
    <n v="612"/>
    <x v="2"/>
    <m/>
    <s v="2024-08-16"/>
    <s v="1141448"/>
    <s v="Shyamal Kumar Ghosh"/>
    <s v="9733507660"/>
  </r>
  <r>
    <s v="RCF Thal"/>
    <s v="N.C.Urea(45kg)"/>
    <s v="WB"/>
    <x v="16"/>
    <m/>
    <s v="User Not Mapped"/>
    <s v="User Not Mapped"/>
    <s v="User Not Mapped"/>
    <n v="600957"/>
    <s v="Md. Hamidul Sk."/>
    <s v="Private Retailer"/>
    <s v="9749156253"/>
    <n v="5.2649999999999997"/>
    <n v="2335"/>
    <x v="2"/>
    <m/>
    <s v="2019-11-28"/>
    <s v="1098674"/>
    <s v="SOUMENDRA NATH SAHA"/>
    <s v="7699547814"/>
  </r>
  <r>
    <s v="RCF Trombay"/>
    <s v="15-15-15"/>
    <s v="WB"/>
    <x v="16"/>
    <s v="Bhagawangola - II"/>
    <s v="User Not Mapped"/>
    <s v="User Not Mapped"/>
    <s v="User Not Mapped"/>
    <n v="247484"/>
    <s v="Rabiul Haque"/>
    <s v="Private Retailer"/>
    <s v="8926510164"/>
    <n v="3"/>
    <n v="37"/>
    <x v="3"/>
    <m/>
    <s v="2026-03-14"/>
    <s v="223279"/>
    <s v="Sudhir Ranjan Chakraborty"/>
    <s v="9434364324"/>
  </r>
  <r>
    <s v="RCF Trombay"/>
    <s v="N.C.Urea(45kg)"/>
    <s v="WB"/>
    <x v="16"/>
    <s v="Bhagawangola - II"/>
    <s v="User Not Mapped"/>
    <s v="User Not Mapped"/>
    <s v="User Not Mapped"/>
    <n v="247484"/>
    <s v="Rabiul Haque"/>
    <s v="Private Retailer"/>
    <s v="8926510164"/>
    <n v="0.9"/>
    <n v="37"/>
    <x v="3"/>
    <m/>
    <s v="2026-03-14"/>
    <s v="223279"/>
    <s v="Sudhir Ranjan Chakraborty"/>
    <s v="9434364324"/>
  </r>
  <r>
    <s v="RCF Thal"/>
    <s v="N.C.Urea(45kg)"/>
    <s v="WB"/>
    <x v="16"/>
    <s v="Murshidabad Jiaganj"/>
    <s v="User Not Mapped"/>
    <s v="User Not Mapped"/>
    <s v="User Not Mapped"/>
    <n v="939915"/>
    <s v="rANJIT MONDAL"/>
    <s v="Private Retailer"/>
    <s v="9735357835"/>
    <n v="0.03"/>
    <n v="1878"/>
    <x v="2"/>
    <m/>
    <s v="2021-02-27"/>
    <s v="223279"/>
    <s v="Sudhir Ranjan Chakraborty"/>
    <s v="9434364324"/>
  </r>
  <r>
    <s v="RCF Trombay"/>
    <s v="N.C.Urea(45kg)"/>
    <s v="WB"/>
    <x v="16"/>
    <s v="Murshidabad Jiaganj"/>
    <s v="User Not Mapped"/>
    <s v="User Not Mapped"/>
    <s v="User Not Mapped"/>
    <n v="939915"/>
    <s v="rANJIT MONDAL"/>
    <s v="Private Retailer"/>
    <s v="9735357835"/>
    <n v="1.17"/>
    <n v="1894"/>
    <x v="2"/>
    <m/>
    <s v="2021-02-11"/>
    <s v="223279"/>
    <s v="Sudhir Ranjan Chakraborty"/>
    <s v="9434364324"/>
  </r>
  <r>
    <s v="RCF Thal"/>
    <s v="N.C.Urea(45kg)"/>
    <s v="WB"/>
    <x v="16"/>
    <s v="Murshidabad Jiaganj"/>
    <s v="User Not Mapped"/>
    <s v="User Not Mapped"/>
    <s v="User Not Mapped"/>
    <n v="455976"/>
    <s v="Shuvra Chakraborty"/>
    <s v="Private Retailer"/>
    <s v="9475548889"/>
    <n v="2.3149999999999999"/>
    <n v="108"/>
    <x v="7"/>
    <m/>
    <s v="2026-01-02"/>
    <s v="223279"/>
    <s v="Sudhir Ranjan Chakraborty"/>
    <s v="9434364324"/>
  </r>
  <r>
    <s v="RCF Thal"/>
    <s v="N.C.Urea(45kg)"/>
    <s v="WB"/>
    <x v="16"/>
    <s v="Murshidabad Jiaganj"/>
    <s v="User Not Mapped"/>
    <s v="User Not Mapped"/>
    <s v="User Not Mapped"/>
    <n v="455976"/>
    <s v="Shuvra Chakraborty"/>
    <s v="Private Retailer"/>
    <s v="9475548889"/>
    <n v="3.6"/>
    <n v="27"/>
    <x v="5"/>
    <m/>
    <s v="2026-03-24"/>
    <s v="223279"/>
    <s v="Sudhir Ranjan Chakraborty"/>
    <s v="9434364324"/>
  </r>
  <r>
    <s v="RCF Import"/>
    <s v="Imp 10-26-26"/>
    <s v="WB"/>
    <x v="16"/>
    <s v="Murshidabad Jiaganj"/>
    <s v="User Not Mapped"/>
    <s v="User Not Mapped"/>
    <s v="User Not Mapped"/>
    <n v="455976"/>
    <s v="Shuvra Chakraborty"/>
    <s v="Private Retailer"/>
    <s v="9475548889"/>
    <n v="0.85"/>
    <n v="54"/>
    <x v="3"/>
    <m/>
    <s v="2026-02-25"/>
    <s v="223279"/>
    <s v="Sudhir Ranjan Chakraborty"/>
    <s v="9434364324"/>
  </r>
  <r>
    <s v="RCF Trombay"/>
    <s v="N.C.Urea(45kg)"/>
    <s v="WB"/>
    <x v="16"/>
    <s v="Sagardighi"/>
    <s v="User Not Mapped"/>
    <s v="User Not Mapped"/>
    <s v="User Not Mapped"/>
    <n v="1461443"/>
    <s v="ALAMGIR SK"/>
    <s v="Private Retailer"/>
    <s v="7699945296"/>
    <n v="1.35"/>
    <n v="81"/>
    <x v="6"/>
    <m/>
    <s v="2026-01-29"/>
    <s v="281687"/>
    <s v="Tapash  Kr Das"/>
    <s v="9064408878"/>
  </r>
  <r>
    <s v="RCF Thal"/>
    <s v="N.C.Urea(45kg)"/>
    <s v="WB"/>
    <x v="16"/>
    <s v="Nabagram"/>
    <s v="User Not Mapped"/>
    <s v="User Not Mapped"/>
    <s v="User Not Mapped"/>
    <n v="1552310"/>
    <s v="ANSARI KRISHIGHAR"/>
    <s v="Private Retailer"/>
    <s v="6294265618"/>
    <n v="0.18"/>
    <n v="228"/>
    <x v="1"/>
    <m/>
    <s v="2025-09-04"/>
    <s v="281687"/>
    <s v="Tapash  Kr Das"/>
    <s v="9064408878"/>
  </r>
  <r>
    <s v="RCF Thal"/>
    <s v="N.C.Urea(45kg)"/>
    <s v="WB"/>
    <x v="16"/>
    <s v="Sagardighi"/>
    <s v="User Not Mapped"/>
    <s v="User Not Mapped"/>
    <s v="User Not Mapped"/>
    <n v="252249"/>
    <s v="Badaruddin Ahmed"/>
    <s v="Private Retailer"/>
    <s v="9002518466"/>
    <n v="0.27"/>
    <n v="228"/>
    <x v="1"/>
    <m/>
    <s v="2025-09-04"/>
    <s v="281687"/>
    <s v="Tapash  Kr Das"/>
    <s v="9064408878"/>
  </r>
  <r>
    <s v="RCF Trombay"/>
    <s v="N.C.Urea(45kg)"/>
    <s v="WB"/>
    <x v="16"/>
    <s v="Sagardighi"/>
    <s v="User Not Mapped"/>
    <s v="User Not Mapped"/>
    <s v="User Not Mapped"/>
    <n v="252249"/>
    <s v="Badaruddin Ahmed"/>
    <s v="Private Retailer"/>
    <s v="9002518466"/>
    <n v="0.99"/>
    <n v="145"/>
    <x v="4"/>
    <m/>
    <s v="2025-11-26"/>
    <s v="281687"/>
    <s v="Tapash  Kr Das"/>
    <s v="9064408878"/>
  </r>
  <r>
    <s v="RCF Import"/>
    <s v="Imp 10-26-26"/>
    <s v="WB"/>
    <x v="16"/>
    <s v="Lalgola"/>
    <s v="User Not Mapped"/>
    <s v="User Not Mapped"/>
    <s v="User Not Mapped"/>
    <n v="354763"/>
    <s v="Baduruddin Sarkar"/>
    <s v="Private Retailer"/>
    <s v="9732653906"/>
    <n v="6.05"/>
    <n v="72"/>
    <x v="6"/>
    <m/>
    <s v="2026-02-07"/>
    <s v="281687"/>
    <s v="Tapash  Kr Das"/>
    <s v="9064408878"/>
  </r>
  <r>
    <s v="RCF Thal"/>
    <s v="N.C.Urea(45kg)"/>
    <s v="WB"/>
    <x v="16"/>
    <s v="Berhampore"/>
    <s v="User Not Mapped"/>
    <s v="User Not Mapped"/>
    <s v="User Not Mapped"/>
    <n v="1614749"/>
    <s v="BHIM MONDAL"/>
    <s v="Private Retailer"/>
    <s v="9474748981"/>
    <n v="0.76500000000000001"/>
    <n v="110"/>
    <x v="7"/>
    <m/>
    <s v="2025-12-31"/>
    <s v="281687"/>
    <s v="Tapash  Kr Das"/>
    <s v="9064408878"/>
  </r>
  <r>
    <s v="RCF Thal"/>
    <s v="N.C.Urea(45kg)"/>
    <s v="WB"/>
    <x v="16"/>
    <s v="Burwan"/>
    <s v="User Not Mapped"/>
    <s v="User Not Mapped"/>
    <s v="User Not Mapped"/>
    <n v="235631"/>
    <s v="Chand Gopal Paul"/>
    <s v="Private Retailer"/>
    <s v="9732975001"/>
    <n v="4.68"/>
    <n v="110"/>
    <x v="7"/>
    <m/>
    <s v="2025-12-31"/>
    <s v="281687"/>
    <s v="Tapash  Kr Das"/>
    <s v="9064408878"/>
  </r>
  <r>
    <s v="RCF Thal"/>
    <s v="N.C.Urea(45kg)"/>
    <s v="WB"/>
    <x v="16"/>
    <s v="Murshidabad Jiaganj"/>
    <s v="User Not Mapped"/>
    <s v="User Not Mapped"/>
    <s v="User Not Mapped"/>
    <n v="340744"/>
    <s v="M/S AKHIL GHOSH"/>
    <s v="Private Retailer"/>
    <s v="9734424337"/>
    <n v="3.69"/>
    <n v="262"/>
    <x v="1"/>
    <m/>
    <s v="2025-08-01"/>
    <s v="281687"/>
    <s v="Tapash  Kr Das"/>
    <s v="9064408878"/>
  </r>
  <r>
    <s v="RCF Thal"/>
    <s v="N.C.Urea(45kg)"/>
    <s v="WB"/>
    <x v="16"/>
    <s v="Murshidabad Jiaganj"/>
    <s v="User Not Mapped"/>
    <s v="User Not Mapped"/>
    <s v="User Not Mapped"/>
    <n v="340744"/>
    <s v="M/S AKHIL GHOSH"/>
    <s v="Private Retailer"/>
    <s v="9734424337"/>
    <n v="6.9749999999999996"/>
    <n v="11"/>
    <x v="5"/>
    <m/>
    <s v="2026-04-09"/>
    <s v="281687"/>
    <s v="Tapash  Kr Das"/>
    <s v="9064408878"/>
  </r>
  <r>
    <s v="RCF Trombay"/>
    <s v="N.C.Urea(45kg)"/>
    <s v="WB"/>
    <x v="16"/>
    <s v="Sagardighi"/>
    <s v="User Not Mapped"/>
    <s v="User Not Mapped"/>
    <s v="User Not Mapped"/>
    <n v="1576581"/>
    <s v="MD SOHEL RANA"/>
    <s v="Private Retailer"/>
    <s v="9064011109"/>
    <n v="1.17"/>
    <n v="71"/>
    <x v="6"/>
    <m/>
    <s v="2026-02-08"/>
    <s v="281687"/>
    <s v="Tapash  Kr Das"/>
    <s v="9064408878"/>
  </r>
  <r>
    <s v="RCF Trombay"/>
    <s v="15-15-15"/>
    <s v="WB"/>
    <x v="16"/>
    <s v="Nabagram"/>
    <s v="User Not Mapped"/>
    <s v="User Not Mapped"/>
    <s v="User Not Mapped"/>
    <n v="342566"/>
    <s v="Rakesul Kader"/>
    <s v="Private Retailer"/>
    <s v="9733890158"/>
    <n v="2.5000000000000001E-2"/>
    <n v="807"/>
    <x v="2"/>
    <m/>
    <s v="2024-02-03"/>
    <s v="281687"/>
    <s v="Tapash  Kr Das"/>
    <s v="9064408878"/>
  </r>
  <r>
    <s v="RCF Import"/>
    <s v="Imp 10-26-26"/>
    <s v="WB"/>
    <x v="16"/>
    <s v="Nabagram"/>
    <s v="User Not Mapped"/>
    <s v="User Not Mapped"/>
    <s v="User Not Mapped"/>
    <n v="342551"/>
    <s v="Sanjoy Kumar Mondal"/>
    <s v="Private Retailer"/>
    <s v="7430088741"/>
    <n v="6"/>
    <n v="31"/>
    <x v="3"/>
    <m/>
    <s v="2026-03-20"/>
    <s v="281687"/>
    <s v="Tapash  Kr Das"/>
    <s v="9064408878"/>
  </r>
  <r>
    <s v="RCF Thal"/>
    <s v="N.C.Urea(45kg)"/>
    <s v="WB"/>
    <x v="16"/>
    <s v="Nabagram"/>
    <s v="User Not Mapped"/>
    <s v="User Not Mapped"/>
    <s v="User Not Mapped"/>
    <n v="342551"/>
    <s v="Sanjoy Kumar Mondal"/>
    <s v="Private Retailer"/>
    <s v="7430088741"/>
    <n v="8.2799999999999994"/>
    <n v="31"/>
    <x v="3"/>
    <m/>
    <s v="2026-03-20"/>
    <s v="281687"/>
    <s v="Tapash  Kr Das"/>
    <s v="9064408878"/>
  </r>
  <r>
    <s v="RCF Import"/>
    <s v="Imp 10-26-26"/>
    <s v="WB"/>
    <x v="16"/>
    <s v="Murshidabad Jiaganj"/>
    <s v="User Not Mapped"/>
    <s v="User Not Mapped"/>
    <s v="User Not Mapped"/>
    <n v="342539"/>
    <s v="Tapas Kumar Das"/>
    <s v="Private Retailer"/>
    <s v="9434041540"/>
    <n v="4.3499999999999996"/>
    <n v="23"/>
    <x v="5"/>
    <m/>
    <s v="2026-03-28"/>
    <s v="281687"/>
    <s v="Tapash  Kr Das"/>
    <s v="9064408878"/>
  </r>
  <r>
    <s v="RCF Thal"/>
    <s v="N.C.Urea(45kg)"/>
    <s v="WB"/>
    <x v="16"/>
    <s v="Murshidabad Jiaganj"/>
    <s v="User Not Mapped"/>
    <s v="User Not Mapped"/>
    <s v="User Not Mapped"/>
    <n v="342539"/>
    <s v="Tapas Kumar Das"/>
    <s v="Private Retailer"/>
    <s v="9434041540"/>
    <n v="5.3550000000000004"/>
    <n v="21"/>
    <x v="5"/>
    <m/>
    <s v="2026-03-30"/>
    <s v="281687"/>
    <s v="Tapash  Kr Das"/>
    <s v="9064408878"/>
  </r>
  <r>
    <s v="RCF Trombay"/>
    <s v="N.C.Urea(45kg)"/>
    <s v="WB"/>
    <x v="16"/>
    <s v="Murshidabad Jiaganj"/>
    <s v="User Not Mapped"/>
    <s v="User Not Mapped"/>
    <s v="User Not Mapped"/>
    <n v="1055349"/>
    <s v="TRISHNA SINGHA"/>
    <s v="Private Retailer"/>
    <s v="8348844918"/>
    <n v="2.5649999999999999"/>
    <n v="1445"/>
    <x v="2"/>
    <m/>
    <s v="2022-05-06"/>
    <s v="281687"/>
    <s v="Tapash  Kr Das"/>
    <s v="9064408878"/>
  </r>
  <r>
    <s v="RCF Thal"/>
    <s v="N.C.Urea(45kg)"/>
    <s v="WB"/>
    <x v="16"/>
    <m/>
    <s v="User Not Mapped"/>
    <s v="User Not Mapped"/>
    <s v="User Not Mapped"/>
    <n v="473801"/>
    <s v="Afroj Hossain"/>
    <s v="Private Retailer"/>
    <s v="7797423955"/>
    <n v="4.0000000000000001E-3"/>
    <n v="2666"/>
    <x v="2"/>
    <m/>
    <s v="2019-01-01"/>
    <s v="11"/>
    <s v="Too Old Stock"/>
    <m/>
  </r>
  <r>
    <s v="RCF Trombay"/>
    <s v="15-15-15"/>
    <s v="WB"/>
    <x v="16"/>
    <s v="Bhagawangola - I"/>
    <s v="User Not Mapped"/>
    <s v="User Not Mapped"/>
    <s v="User Not Mapped"/>
    <n v="1059796"/>
    <s v="ATIKUR RAHAMAN"/>
    <s v="Private Retailer"/>
    <s v="7074691226"/>
    <n v="0.1"/>
    <n v="2666"/>
    <x v="2"/>
    <m/>
    <s v="2019-01-01"/>
    <s v="11"/>
    <s v="Too Old Stock"/>
    <m/>
  </r>
  <r>
    <s v="RCF Trombay"/>
    <s v="15-15-15"/>
    <s v="WB"/>
    <x v="16"/>
    <m/>
    <s v="User Not Mapped"/>
    <s v="User Not Mapped"/>
    <s v="User Not Mapped"/>
    <n v="235616"/>
    <s v="Bikash Mandal"/>
    <s v="Private Retailer"/>
    <s v="9153940481"/>
    <n v="2.5000000000000001E-2"/>
    <n v="2666"/>
    <x v="2"/>
    <m/>
    <s v="2019-01-01"/>
    <s v="11"/>
    <s v="Too Old Stock"/>
    <m/>
  </r>
  <r>
    <s v="RCF Thal"/>
    <s v="N.C.Urea(45kg)"/>
    <s v="WB"/>
    <x v="16"/>
    <m/>
    <s v="User Not Mapped"/>
    <s v="User Not Mapped"/>
    <s v="User Not Mapped"/>
    <n v="913569"/>
    <s v="BIPLAB CHAKRABORTY"/>
    <s v="Private Retailer"/>
    <s v="8207248058"/>
    <n v="1.575"/>
    <n v="2666"/>
    <x v="2"/>
    <m/>
    <s v="2019-01-01"/>
    <s v="11"/>
    <s v="Too Old Stock"/>
    <m/>
  </r>
  <r>
    <s v="RCF Trombay"/>
    <s v="N.C.Urea(45kg)"/>
    <s v="WB"/>
    <x v="16"/>
    <m/>
    <s v="User Not Mapped"/>
    <s v="User Not Mapped"/>
    <s v="User Not Mapped"/>
    <n v="600957"/>
    <s v="Md. Hamidul Sk."/>
    <s v="Private Retailer"/>
    <s v="9749156253"/>
    <n v="0.03"/>
    <n v="2666"/>
    <x v="2"/>
    <m/>
    <s v="2019-01-01"/>
    <s v="11"/>
    <s v="Too Old Stock"/>
    <m/>
  </r>
  <r>
    <s v="RCF Trombay"/>
    <s v="15-15-15"/>
    <s v="WB"/>
    <x v="16"/>
    <m/>
    <s v="User Not Mapped"/>
    <s v="User Not Mapped"/>
    <s v="User Not Mapped"/>
    <n v="947606"/>
    <s v="NARAYAN PAUL"/>
    <s v="Private Retailer"/>
    <s v="8768222943"/>
    <n v="0.05"/>
    <n v="2666"/>
    <x v="2"/>
    <m/>
    <s v="2019-01-01"/>
    <s v="11"/>
    <s v="Too Old Stock"/>
    <m/>
  </r>
  <r>
    <s v="RCF Trombay"/>
    <s v="15-15-15"/>
    <s v="WB"/>
    <x v="16"/>
    <m/>
    <s v="User Not Mapped"/>
    <s v="User Not Mapped"/>
    <s v="User Not Mapped"/>
    <n v="947604"/>
    <s v="SAIMAN ALI"/>
    <s v="Private Retailer"/>
    <s v="8001956608"/>
    <n v="0.25"/>
    <n v="2666"/>
    <x v="2"/>
    <m/>
    <s v="2019-01-01"/>
    <s v="11"/>
    <s v="Too Old Stock"/>
    <m/>
  </r>
  <r>
    <s v="RCF Trombay"/>
    <s v="N.C.Urea(45kg)"/>
    <s v="WB"/>
    <x v="16"/>
    <m/>
    <s v="User Not Mapped"/>
    <s v="User Not Mapped"/>
    <s v="User Not Mapped"/>
    <n v="235812"/>
    <s v="Umapada Pal "/>
    <s v="Private Retailer"/>
    <s v="9932497810"/>
    <n v="0.45"/>
    <n v="2666"/>
    <x v="2"/>
    <m/>
    <s v="2019-01-01"/>
    <s v="11"/>
    <s v="Too Old Stock"/>
    <m/>
  </r>
  <r>
    <s v="RCF Trombay"/>
    <s v="15-15-15"/>
    <s v="WB"/>
    <x v="16"/>
    <m/>
    <s v="User Not Mapped"/>
    <s v="User Not Mapped"/>
    <s v="User Not Mapped"/>
    <n v="235812"/>
    <s v="Umapada Pal "/>
    <s v="Private Retailer"/>
    <s v="9932497810"/>
    <n v="0.3"/>
    <n v="2666"/>
    <x v="2"/>
    <m/>
    <s v="2019-01-01"/>
    <s v="11"/>
    <s v="Too Old Stock"/>
    <m/>
  </r>
  <r>
    <s v="RCF Trombay"/>
    <s v="15-15-15"/>
    <s v="WB"/>
    <x v="16"/>
    <s v="Berhampore"/>
    <s v="User Not Mapped"/>
    <s v="User Not Mapped"/>
    <s v="User Not Mapped"/>
    <n v="1225743"/>
    <s v="MS BISWAS FERTILIZER"/>
    <s v="Private Wholsaler"/>
    <s v="9735978597"/>
    <n v="25"/>
    <n v="18"/>
    <x v="5"/>
    <s v="'2526USPKSLG0'"/>
    <s v="2026-04-02"/>
    <s v="1409662"/>
    <s v="UMA SHANKAR PRADIP KUMAR"/>
    <s v="9831636631"/>
  </r>
  <r>
    <s v="RCF Trombay"/>
    <s v="15-15-15"/>
    <s v="WB"/>
    <x v="16"/>
    <s v="Raninagar - I"/>
    <s v="User Not Mapped"/>
    <s v="User Not Mapped"/>
    <s v="User Not Mapped"/>
    <n v="499579"/>
    <s v="Merajul Islam"/>
    <s v="Private Retailer"/>
    <s v="8768362937"/>
    <n v="1.95"/>
    <n v="33"/>
    <x v="3"/>
    <m/>
    <s v="2026-03-18"/>
    <s v="289319"/>
    <s v="Utpal Kumar Dutta"/>
    <s v="9434173910"/>
  </r>
  <r>
    <s v="RCF Trombay"/>
    <s v="15-15-15"/>
    <s v="WB"/>
    <x v="16"/>
    <s v="Lalgola"/>
    <s v="User Not Mapped"/>
    <s v="User Not Mapped"/>
    <s v="User Not Mapped"/>
    <n v="235735"/>
    <s v="Mojibur Rahaman"/>
    <s v="Private Retailer"/>
    <s v="9735440035"/>
    <n v="2.0499999999999998"/>
    <n v="827"/>
    <x v="2"/>
    <m/>
    <s v="2024-01-14"/>
    <s v="289319"/>
    <s v="Utpal Kumar Dutta"/>
    <s v="9434173910"/>
  </r>
  <r>
    <s v="RCF Trombay"/>
    <s v="15-15-15"/>
    <s v="WB"/>
    <x v="17"/>
    <s v="Nakashipara"/>
    <s v="User Not Mapped"/>
    <s v="User Not Mapped"/>
    <s v="User Not Mapped"/>
    <n v="939799"/>
    <s v="KIAMAT SHAIKH"/>
    <s v="Private Retailer"/>
    <s v="9732076612"/>
    <n v="3.5"/>
    <n v="244"/>
    <x v="1"/>
    <m/>
    <s v="2025-08-19"/>
    <s v="1221148"/>
    <s v="ARINDAM DAS"/>
    <s v="8509566548"/>
  </r>
  <r>
    <s v="RCF Thal"/>
    <s v="N.C.Urea(45kg)"/>
    <s v="WB"/>
    <x v="17"/>
    <s v="Nakashipara"/>
    <s v="User Not Mapped"/>
    <s v="User Not Mapped"/>
    <s v="User Not Mapped"/>
    <n v="939985"/>
    <s v="YEAKUB SARKAR"/>
    <s v="Private Retailer"/>
    <s v="8250557175"/>
    <n v="0.315"/>
    <n v="332"/>
    <x v="1"/>
    <m/>
    <s v="2025-05-23"/>
    <s v="1221148"/>
    <s v="ARINDAM DAS"/>
    <s v="8509566548"/>
  </r>
  <r>
    <s v="RCF Thal"/>
    <s v="N.C.Urea(45kg)"/>
    <s v="WB"/>
    <x v="17"/>
    <s v="Nakashipara"/>
    <s v="User Not Mapped"/>
    <s v="User Not Mapped"/>
    <s v="User Not Mapped"/>
    <n v="628987"/>
    <s v="Abdul Halim Sk"/>
    <s v="Private Retailer"/>
    <s v="7477595519"/>
    <n v="0.01"/>
    <n v="1955"/>
    <x v="2"/>
    <m/>
    <s v="2020-12-12"/>
    <s v="902197"/>
    <s v="AVIJIT DUTTA"/>
    <s v="7384408110"/>
  </r>
  <r>
    <s v="RCF Trombay"/>
    <s v="15-15-15"/>
    <s v="WB"/>
    <x v="17"/>
    <s v="Chakdah"/>
    <s v="User Not Mapped"/>
    <s v="User Not Mapped"/>
    <s v="User Not Mapped"/>
    <n v="340774"/>
    <s v="Amal Mondal"/>
    <s v="Private Retailer"/>
    <s v="9733620254"/>
    <n v="0.1"/>
    <n v="77"/>
    <x v="6"/>
    <m/>
    <s v="2026-02-02"/>
    <s v="281285"/>
    <s v="Bhabani Prosad Chattopadhy"/>
    <s v="7548026544"/>
  </r>
  <r>
    <s v="RCF Import"/>
    <s v="MOP"/>
    <s v="WB"/>
    <x v="17"/>
    <s v="Chakdah"/>
    <s v="User Not Mapped"/>
    <s v="User Not Mapped"/>
    <s v="User Not Mapped"/>
    <n v="340774"/>
    <s v="Amal Mondal"/>
    <s v="Private Retailer"/>
    <s v="9733620254"/>
    <n v="0.15"/>
    <n v="57"/>
    <x v="3"/>
    <m/>
    <s v="2026-02-22"/>
    <s v="281285"/>
    <s v="Bhabani Prosad Chattopadhy"/>
    <s v="7548026544"/>
  </r>
  <r>
    <s v="RCF Trombay"/>
    <s v="15-15-15"/>
    <s v="WB"/>
    <x v="17"/>
    <s v="Chakdah"/>
    <s v="User Not Mapped"/>
    <s v="User Not Mapped"/>
    <s v="User Not Mapped"/>
    <n v="340774"/>
    <s v="Amal Mondal"/>
    <s v="Private Retailer"/>
    <s v="9733620254"/>
    <n v="0.5"/>
    <n v="57"/>
    <x v="3"/>
    <m/>
    <s v="2026-02-22"/>
    <s v="281285"/>
    <s v="Bhabani Prosad Chattopadhy"/>
    <s v="7548026544"/>
  </r>
  <r>
    <s v="RCF Trombay"/>
    <s v="15-15-15"/>
    <s v="WB"/>
    <x v="17"/>
    <s v="Chakdah"/>
    <s v="User Not Mapped"/>
    <s v="User Not Mapped"/>
    <s v="User Not Mapped"/>
    <n v="340774"/>
    <s v="Amal Mondal"/>
    <s v="Private Retailer"/>
    <s v="9733620254"/>
    <n v="0.5"/>
    <n v="15"/>
    <x v="5"/>
    <m/>
    <s v="2026-04-05"/>
    <s v="281285"/>
    <s v="Bhabani Prosad Chattopadhy"/>
    <s v="7548026544"/>
  </r>
  <r>
    <s v="RCF Trombay"/>
    <s v="15-15-15"/>
    <s v="WB"/>
    <x v="17"/>
    <s v="Chakdah"/>
    <s v="User Not Mapped"/>
    <s v="User Not Mapped"/>
    <s v="User Not Mapped"/>
    <n v="340774"/>
    <s v="Amal Mondal"/>
    <s v="Private Retailer"/>
    <s v="9733620254"/>
    <n v="0.25"/>
    <n v="68"/>
    <x v="6"/>
    <m/>
    <s v="2026-02-11"/>
    <s v="281285"/>
    <s v="Bhabani Prosad Chattopadhy"/>
    <s v="7548026544"/>
  </r>
  <r>
    <s v="RCF Trombay"/>
    <s v="N.C.Urea(45kg)"/>
    <s v="WB"/>
    <x v="17"/>
    <s v="Chakdah"/>
    <s v="User Not Mapped"/>
    <s v="User Not Mapped"/>
    <s v="User Not Mapped"/>
    <n v="340808"/>
    <s v="Ananda Tarafder"/>
    <s v="Private Retailer"/>
    <s v="9609366643"/>
    <n v="9.7000000000000003E-2"/>
    <n v="77"/>
    <x v="6"/>
    <m/>
    <s v="2026-02-02"/>
    <s v="281285"/>
    <s v="Bhabani Prosad Chattopadhy"/>
    <s v="7548026544"/>
  </r>
  <r>
    <s v="RCF Import"/>
    <s v="Imp 10-26-26"/>
    <s v="WB"/>
    <x v="17"/>
    <s v="Chakdah"/>
    <s v="User Not Mapped"/>
    <s v="User Not Mapped"/>
    <s v="User Not Mapped"/>
    <n v="340808"/>
    <s v="Ananda Tarafder"/>
    <s v="Private Retailer"/>
    <s v="9609366643"/>
    <n v="8.9999999999999993E-3"/>
    <n v="281"/>
    <x v="1"/>
    <m/>
    <s v="2025-07-13"/>
    <s v="281285"/>
    <s v="Bhabani Prosad Chattopadhy"/>
    <s v="7548026544"/>
  </r>
  <r>
    <s v="RCF Import"/>
    <s v="Imp 10-26-26"/>
    <s v="WB"/>
    <x v="17"/>
    <s v="Chakdah"/>
    <s v="User Not Mapped"/>
    <s v="User Not Mapped"/>
    <s v="User Not Mapped"/>
    <n v="340808"/>
    <s v="Ananda Tarafder"/>
    <s v="Private Retailer"/>
    <s v="9609366643"/>
    <n v="0.1"/>
    <n v="38"/>
    <x v="3"/>
    <m/>
    <s v="2026-03-13"/>
    <s v="281285"/>
    <s v="Bhabani Prosad Chattopadhy"/>
    <s v="7548026544"/>
  </r>
  <r>
    <s v="RCF Thal"/>
    <s v="N.C.Urea(45kg)"/>
    <s v="WB"/>
    <x v="17"/>
    <s v="Chakdah"/>
    <s v="User Not Mapped"/>
    <s v="User Not Mapped"/>
    <s v="User Not Mapped"/>
    <n v="340808"/>
    <s v="Ananda Tarafder"/>
    <s v="Private Retailer"/>
    <s v="9609366643"/>
    <n v="0.21199999999999999"/>
    <n v="36"/>
    <x v="3"/>
    <m/>
    <s v="2026-03-15"/>
    <s v="281285"/>
    <s v="Bhabani Prosad Chattopadhy"/>
    <s v="7548026544"/>
  </r>
  <r>
    <s v="RCF Trombay"/>
    <s v="15-15-15"/>
    <s v="WB"/>
    <x v="17"/>
    <s v="Ranaghat - II"/>
    <s v="User Not Mapped"/>
    <s v="User Not Mapped"/>
    <s v="User Not Mapped"/>
    <n v="943326"/>
    <s v="ANUP DAS"/>
    <s v="Private Retailer"/>
    <s v="8637087771"/>
    <n v="0.45"/>
    <n v="68"/>
    <x v="6"/>
    <m/>
    <s v="2026-02-11"/>
    <s v="281285"/>
    <s v="Bhabani Prosad Chattopadhy"/>
    <s v="7548026544"/>
  </r>
  <r>
    <s v="RCF Trombay"/>
    <s v="N.C.Urea(45kg)"/>
    <s v="WB"/>
    <x v="17"/>
    <s v="Ranaghat - II"/>
    <s v="User Not Mapped"/>
    <s v="User Not Mapped"/>
    <s v="User Not Mapped"/>
    <n v="943326"/>
    <s v="ANUP DAS"/>
    <s v="Private Retailer"/>
    <s v="8637087771"/>
    <n v="3.42"/>
    <n v="57"/>
    <x v="3"/>
    <m/>
    <s v="2026-02-22"/>
    <s v="281285"/>
    <s v="Bhabani Prosad Chattopadhy"/>
    <s v="7548026544"/>
  </r>
  <r>
    <s v="RCF Import"/>
    <s v="MOP"/>
    <s v="WB"/>
    <x v="17"/>
    <s v="Ranaghat - II"/>
    <s v="User Not Mapped"/>
    <s v="User Not Mapped"/>
    <s v="User Not Mapped"/>
    <n v="943326"/>
    <s v="ANUP DAS"/>
    <s v="Private Retailer"/>
    <s v="8637087771"/>
    <n v="3"/>
    <n v="57"/>
    <x v="3"/>
    <m/>
    <s v="2026-02-22"/>
    <s v="281285"/>
    <s v="Bhabani Prosad Chattopadhy"/>
    <s v="7548026544"/>
  </r>
  <r>
    <s v="RCF Trombay"/>
    <s v="15-15-15"/>
    <s v="WB"/>
    <x v="17"/>
    <s v="Ranaghat - II"/>
    <s v="User Not Mapped"/>
    <s v="User Not Mapped"/>
    <s v="User Not Mapped"/>
    <n v="943326"/>
    <s v="ANUP DAS"/>
    <s v="Private Retailer"/>
    <s v="8637087771"/>
    <n v="5"/>
    <n v="57"/>
    <x v="3"/>
    <m/>
    <s v="2026-02-22"/>
    <s v="281285"/>
    <s v="Bhabani Prosad Chattopadhy"/>
    <s v="7548026544"/>
  </r>
  <r>
    <s v="RCF Import"/>
    <s v="Imp 10-26-26"/>
    <s v="WB"/>
    <x v="17"/>
    <s v="Ranaghat - II"/>
    <s v="User Not Mapped"/>
    <s v="User Not Mapped"/>
    <s v="User Not Mapped"/>
    <n v="943326"/>
    <s v="ANUP DAS"/>
    <s v="Private Retailer"/>
    <s v="8637087771"/>
    <n v="0.3"/>
    <n v="316"/>
    <x v="1"/>
    <m/>
    <s v="2025-06-08"/>
    <s v="281285"/>
    <s v="Bhabani Prosad Chattopadhy"/>
    <s v="7548026544"/>
  </r>
  <r>
    <s v="RCF Import"/>
    <s v="MOP"/>
    <s v="WB"/>
    <x v="17"/>
    <s v="Chakdah"/>
    <s v="User Not Mapped"/>
    <s v="User Not Mapped"/>
    <s v="User Not Mapped"/>
    <n v="340913"/>
    <s v="Ashoke Kr. Ghosh"/>
    <s v="Private Retailer"/>
    <s v="9002479294"/>
    <n v="0.1"/>
    <n v="36"/>
    <x v="3"/>
    <m/>
    <s v="2026-03-15"/>
    <s v="281285"/>
    <s v="Bhabani Prosad Chattopadhy"/>
    <s v="7548026544"/>
  </r>
  <r>
    <s v="RCF Import"/>
    <s v="Imp 10-26-26"/>
    <s v="WB"/>
    <x v="17"/>
    <s v="Ranaghat - I"/>
    <s v="User Not Mapped"/>
    <s v="User Not Mapped"/>
    <s v="User Not Mapped"/>
    <n v="340939"/>
    <s v="Asit Pramanick"/>
    <s v="Private Retailer"/>
    <s v="7001446523"/>
    <n v="1.25"/>
    <n v="50"/>
    <x v="3"/>
    <m/>
    <s v="2026-03-01"/>
    <s v="281285"/>
    <s v="Bhabani Prosad Chattopadhy"/>
    <s v="7548026544"/>
  </r>
  <r>
    <s v="RCF Thal"/>
    <s v="N.C.Urea(45kg)"/>
    <s v="WB"/>
    <x v="17"/>
    <s v="Ranaghat - I"/>
    <s v="User Not Mapped"/>
    <s v="User Not Mapped"/>
    <s v="User Not Mapped"/>
    <n v="340939"/>
    <s v="Asit Pramanick"/>
    <s v="Private Retailer"/>
    <s v="7001446523"/>
    <n v="5.49"/>
    <n v="36"/>
    <x v="3"/>
    <m/>
    <s v="2026-03-15"/>
    <s v="281285"/>
    <s v="Bhabani Prosad Chattopadhy"/>
    <s v="7548026544"/>
  </r>
  <r>
    <s v="RCF Trombay"/>
    <s v="15-15-15"/>
    <s v="WB"/>
    <x v="17"/>
    <s v="Ranaghat - I"/>
    <s v="User Not Mapped"/>
    <s v="User Not Mapped"/>
    <s v="User Not Mapped"/>
    <n v="340939"/>
    <s v="Asit Pramanick"/>
    <s v="Private Retailer"/>
    <s v="7001446523"/>
    <n v="0.28000000000000003"/>
    <n v="57"/>
    <x v="3"/>
    <m/>
    <s v="2026-02-22"/>
    <s v="281285"/>
    <s v="Bhabani Prosad Chattopadhy"/>
    <s v="7548026544"/>
  </r>
  <r>
    <s v="RCF Trombay"/>
    <s v="N.C.Urea(45kg)"/>
    <s v="WB"/>
    <x v="17"/>
    <s v="Ranaghat - I"/>
    <s v="User Not Mapped"/>
    <s v="User Not Mapped"/>
    <s v="User Not Mapped"/>
    <n v="340939"/>
    <s v="Asit Pramanick"/>
    <s v="Private Retailer"/>
    <s v="7001446523"/>
    <n v="4.9950000000000001"/>
    <n v="17"/>
    <x v="5"/>
    <m/>
    <s v="2026-04-03"/>
    <s v="281285"/>
    <s v="Bhabani Prosad Chattopadhy"/>
    <s v="7548026544"/>
  </r>
  <r>
    <s v="RCF Import"/>
    <s v="MOP"/>
    <s v="WB"/>
    <x v="17"/>
    <s v="Ranaghat - I"/>
    <s v="User Not Mapped"/>
    <s v="User Not Mapped"/>
    <s v="User Not Mapped"/>
    <n v="340939"/>
    <s v="Asit Pramanick"/>
    <s v="Private Retailer"/>
    <s v="7001446523"/>
    <n v="1.75"/>
    <n v="57"/>
    <x v="3"/>
    <m/>
    <s v="2026-02-22"/>
    <s v="281285"/>
    <s v="Bhabani Prosad Chattopadhy"/>
    <s v="7548026544"/>
  </r>
  <r>
    <s v="RCF Thal"/>
    <s v="N.C.Urea(45kg)"/>
    <s v="WB"/>
    <x v="17"/>
    <s v="Ranaghat - I"/>
    <s v="User Not Mapped"/>
    <s v="User Not Mapped"/>
    <s v="User Not Mapped"/>
    <n v="340939"/>
    <s v="Asit Pramanick"/>
    <s v="Private Retailer"/>
    <s v="7001446523"/>
    <n v="0.1"/>
    <n v="191"/>
    <x v="1"/>
    <m/>
    <s v="2025-10-11"/>
    <s v="281285"/>
    <s v="Bhabani Prosad Chattopadhy"/>
    <s v="7548026544"/>
  </r>
  <r>
    <s v="RCF Import"/>
    <s v="MOP"/>
    <s v="WB"/>
    <x v="17"/>
    <s v="Ranaghat - II"/>
    <s v="User Not Mapped"/>
    <s v="User Not Mapped"/>
    <s v="User Not Mapped"/>
    <n v="630531"/>
    <s v="Bandana Chowdhury"/>
    <s v="Private Retailer"/>
    <s v="9382732250"/>
    <n v="0.2"/>
    <n v="456"/>
    <x v="0"/>
    <m/>
    <s v="2025-01-19"/>
    <s v="281285"/>
    <s v="Bhabani Prosad Chattopadhy"/>
    <s v="7548026544"/>
  </r>
  <r>
    <s v="RCF Import"/>
    <s v="MOP"/>
    <s v="WB"/>
    <x v="17"/>
    <s v="Ranaghat - II"/>
    <s v="User Not Mapped"/>
    <s v="User Not Mapped"/>
    <s v="User Not Mapped"/>
    <n v="630531"/>
    <s v="Bandana Chowdhury"/>
    <s v="Private Retailer"/>
    <s v="9382732250"/>
    <n v="0.25"/>
    <n v="442"/>
    <x v="0"/>
    <m/>
    <s v="2025-02-02"/>
    <s v="281285"/>
    <s v="Bhabani Prosad Chattopadhy"/>
    <s v="7548026544"/>
  </r>
  <r>
    <s v="RCF Trombay"/>
    <s v="15-15-15"/>
    <s v="WB"/>
    <x v="17"/>
    <s v="Ranaghat - II"/>
    <s v="User Not Mapped"/>
    <s v="User Not Mapped"/>
    <s v="User Not Mapped"/>
    <n v="630531"/>
    <s v="Bandana Chowdhury"/>
    <s v="Private Retailer"/>
    <s v="9382732250"/>
    <n v="0.5"/>
    <n v="106"/>
    <x v="7"/>
    <m/>
    <s v="2026-01-04"/>
    <s v="281285"/>
    <s v="Bhabani Prosad Chattopadhy"/>
    <s v="7548026544"/>
  </r>
  <r>
    <s v="RCF Trombay"/>
    <s v="15-15-15"/>
    <s v="WB"/>
    <x v="17"/>
    <s v="Ranaghat - II"/>
    <s v="User Not Mapped"/>
    <s v="User Not Mapped"/>
    <s v="User Not Mapped"/>
    <n v="630531"/>
    <s v="Bandana Chowdhury"/>
    <s v="Private Retailer"/>
    <s v="9382732250"/>
    <n v="1.25"/>
    <n v="82"/>
    <x v="6"/>
    <m/>
    <s v="2026-01-28"/>
    <s v="281285"/>
    <s v="Bhabani Prosad Chattopadhy"/>
    <s v="7548026544"/>
  </r>
  <r>
    <s v="RCF Trombay"/>
    <s v="N.C.Urea(45kg)"/>
    <s v="WB"/>
    <x v="17"/>
    <s v="Ranaghat - II"/>
    <s v="User Not Mapped"/>
    <s v="User Not Mapped"/>
    <s v="User Not Mapped"/>
    <n v="630531"/>
    <s v="Bandana Chowdhury"/>
    <s v="Private Retailer"/>
    <s v="9382732250"/>
    <n v="5.0000000000000001E-3"/>
    <n v="349"/>
    <x v="1"/>
    <m/>
    <s v="2025-05-06"/>
    <s v="281285"/>
    <s v="Bhabani Prosad Chattopadhy"/>
    <s v="7548026544"/>
  </r>
  <r>
    <s v="RCF Trombay"/>
    <s v="N.C.Urea(45kg)"/>
    <s v="WB"/>
    <x v="17"/>
    <s v="Ranaghat - II"/>
    <s v="User Not Mapped"/>
    <s v="User Not Mapped"/>
    <s v="User Not Mapped"/>
    <n v="630531"/>
    <s v="Bandana Chowdhury"/>
    <s v="Private Retailer"/>
    <s v="9382732250"/>
    <n v="0.45"/>
    <n v="57"/>
    <x v="3"/>
    <m/>
    <s v="2026-02-22"/>
    <s v="281285"/>
    <s v="Bhabani Prosad Chattopadhy"/>
    <s v="7548026544"/>
  </r>
  <r>
    <s v="RCF Trombay"/>
    <s v="N.C.Urea(45kg)"/>
    <s v="WB"/>
    <x v="17"/>
    <s v="Ranaghat - II"/>
    <s v="User Not Mapped"/>
    <s v="User Not Mapped"/>
    <s v="User Not Mapped"/>
    <n v="630531"/>
    <s v="Bandana Chowdhury"/>
    <s v="Private Retailer"/>
    <s v="9382732250"/>
    <n v="0.9"/>
    <n v="106"/>
    <x v="7"/>
    <m/>
    <s v="2026-01-04"/>
    <s v="281285"/>
    <s v="Bhabani Prosad Chattopadhy"/>
    <s v="7548026544"/>
  </r>
  <r>
    <s v="RCF Import"/>
    <s v="MOP"/>
    <s v="WB"/>
    <x v="17"/>
    <s v="Ranaghat - II"/>
    <s v="User Not Mapped"/>
    <s v="User Not Mapped"/>
    <s v="User Not Mapped"/>
    <n v="630531"/>
    <s v="Bandana Chowdhury"/>
    <s v="Private Retailer"/>
    <s v="9382732250"/>
    <n v="0.25"/>
    <n v="57"/>
    <x v="3"/>
    <m/>
    <s v="2026-02-22"/>
    <s v="281285"/>
    <s v="Bhabani Prosad Chattopadhy"/>
    <s v="7548026544"/>
  </r>
  <r>
    <s v="RCF Import"/>
    <s v="Imp 10-26-26"/>
    <s v="WB"/>
    <x v="17"/>
    <s v="Ranaghat - II"/>
    <s v="User Not Mapped"/>
    <s v="User Not Mapped"/>
    <s v="User Not Mapped"/>
    <n v="630531"/>
    <s v="Bandana Chowdhury"/>
    <s v="Private Retailer"/>
    <s v="9382732250"/>
    <n v="0.5"/>
    <n v="38"/>
    <x v="3"/>
    <m/>
    <s v="2026-03-13"/>
    <s v="281285"/>
    <s v="Bhabani Prosad Chattopadhy"/>
    <s v="7548026544"/>
  </r>
  <r>
    <s v="RCF Trombay"/>
    <s v="15-15-15"/>
    <s v="WB"/>
    <x v="17"/>
    <s v="Ranaghat - II"/>
    <s v="User Not Mapped"/>
    <s v="User Not Mapped"/>
    <s v="User Not Mapped"/>
    <n v="630531"/>
    <s v="Bandana Chowdhury"/>
    <s v="Private Retailer"/>
    <s v="9382732250"/>
    <n v="0.5"/>
    <n v="38"/>
    <x v="3"/>
    <m/>
    <s v="2026-03-13"/>
    <s v="281285"/>
    <s v="Bhabani Prosad Chattopadhy"/>
    <s v="7548026544"/>
  </r>
  <r>
    <s v="RCF Import"/>
    <s v="MOP"/>
    <s v="WB"/>
    <x v="17"/>
    <s v="Ranaghat - II"/>
    <s v="User Not Mapped"/>
    <s v="User Not Mapped"/>
    <s v="User Not Mapped"/>
    <n v="630531"/>
    <s v="Bandana Chowdhury"/>
    <s v="Private Retailer"/>
    <s v="9382732250"/>
    <n v="0.5"/>
    <n v="38"/>
    <x v="3"/>
    <m/>
    <s v="2026-03-13"/>
    <s v="281285"/>
    <s v="Bhabani Prosad Chattopadhy"/>
    <s v="7548026544"/>
  </r>
  <r>
    <s v="RCF Import"/>
    <s v="MOP"/>
    <s v="WB"/>
    <x v="17"/>
    <s v="Haringhata"/>
    <s v="User Not Mapped"/>
    <s v="User Not Mapped"/>
    <s v="User Not Mapped"/>
    <n v="341044"/>
    <s v="Bholanath Ghosh"/>
    <s v="Private Retailer"/>
    <s v="9609372146"/>
    <n v="0.65"/>
    <n v="50"/>
    <x v="3"/>
    <m/>
    <s v="2026-03-01"/>
    <s v="281285"/>
    <s v="Bhabani Prosad Chattopadhy"/>
    <s v="7548026544"/>
  </r>
  <r>
    <s v="RCF Import"/>
    <s v="MOP"/>
    <s v="WB"/>
    <x v="17"/>
    <s v="Haringhata"/>
    <s v="User Not Mapped"/>
    <s v="User Not Mapped"/>
    <s v="User Not Mapped"/>
    <n v="341044"/>
    <s v="Bholanath Ghosh"/>
    <s v="Private Retailer"/>
    <s v="9609372146"/>
    <n v="0.4"/>
    <n v="17"/>
    <x v="5"/>
    <m/>
    <s v="2026-04-03"/>
    <s v="281285"/>
    <s v="Bhabani Prosad Chattopadhy"/>
    <s v="7548026544"/>
  </r>
  <r>
    <s v="RCF Trombay"/>
    <s v="15-15-15"/>
    <s v="WB"/>
    <x v="17"/>
    <s v="Haringhata"/>
    <s v="User Not Mapped"/>
    <s v="User Not Mapped"/>
    <s v="User Not Mapped"/>
    <n v="341044"/>
    <s v="Bholanath Ghosh"/>
    <s v="Private Retailer"/>
    <s v="9609372146"/>
    <n v="0.75"/>
    <n v="15"/>
    <x v="5"/>
    <m/>
    <s v="2026-04-05"/>
    <s v="281285"/>
    <s v="Bhabani Prosad Chattopadhy"/>
    <s v="7548026544"/>
  </r>
  <r>
    <s v="RCF Trombay"/>
    <s v="15-15-15"/>
    <s v="WB"/>
    <x v="17"/>
    <s v="Haringhata"/>
    <s v="User Not Mapped"/>
    <s v="User Not Mapped"/>
    <s v="User Not Mapped"/>
    <n v="341044"/>
    <s v="Bholanath Ghosh"/>
    <s v="Private Retailer"/>
    <s v="9609372146"/>
    <n v="0.3"/>
    <n v="17"/>
    <x v="5"/>
    <m/>
    <s v="2026-04-03"/>
    <s v="281285"/>
    <s v="Bhabani Prosad Chattopadhy"/>
    <s v="7548026544"/>
  </r>
  <r>
    <s v="RCF Import"/>
    <s v="MOP"/>
    <s v="WB"/>
    <x v="17"/>
    <s v="Haringhata"/>
    <s v="User Not Mapped"/>
    <s v="User Not Mapped"/>
    <s v="User Not Mapped"/>
    <n v="341044"/>
    <s v="Bholanath Ghosh"/>
    <s v="Private Retailer"/>
    <s v="9609372146"/>
    <n v="1.25"/>
    <n v="36"/>
    <x v="3"/>
    <m/>
    <s v="2026-03-15"/>
    <s v="281285"/>
    <s v="Bhabani Prosad Chattopadhy"/>
    <s v="7548026544"/>
  </r>
  <r>
    <s v="RCF Import"/>
    <s v="MOP"/>
    <s v="WB"/>
    <x v="17"/>
    <s v="Haringhata"/>
    <s v="User Not Mapped"/>
    <s v="User Not Mapped"/>
    <s v="User Not Mapped"/>
    <n v="341044"/>
    <s v="Bholanath Ghosh"/>
    <s v="Private Retailer"/>
    <s v="9609372146"/>
    <n v="0.5"/>
    <n v="57"/>
    <x v="3"/>
    <m/>
    <s v="2026-02-22"/>
    <s v="281285"/>
    <s v="Bhabani Prosad Chattopadhy"/>
    <s v="7548026544"/>
  </r>
  <r>
    <s v="RCF Import"/>
    <s v="Imp 10-26-26"/>
    <s v="WB"/>
    <x v="17"/>
    <s v="Haringhata"/>
    <s v="User Not Mapped"/>
    <s v="User Not Mapped"/>
    <s v="User Not Mapped"/>
    <n v="341044"/>
    <s v="Bholanath Ghosh"/>
    <s v="Private Retailer"/>
    <s v="9609372146"/>
    <n v="0.25"/>
    <n v="36"/>
    <x v="3"/>
    <m/>
    <s v="2026-03-15"/>
    <s v="281285"/>
    <s v="Bhabani Prosad Chattopadhy"/>
    <s v="7548026544"/>
  </r>
  <r>
    <s v="RCF Import"/>
    <s v="Imp 10-26-26"/>
    <s v="WB"/>
    <x v="17"/>
    <s v="Haringhata"/>
    <s v="User Not Mapped"/>
    <s v="User Not Mapped"/>
    <s v="User Not Mapped"/>
    <n v="341044"/>
    <s v="Bholanath Ghosh"/>
    <s v="Private Retailer"/>
    <s v="9609372146"/>
    <n v="0.25"/>
    <n v="50"/>
    <x v="3"/>
    <m/>
    <s v="2026-03-01"/>
    <s v="281285"/>
    <s v="Bhabani Prosad Chattopadhy"/>
    <s v="7548026544"/>
  </r>
  <r>
    <s v="RCF Trombay"/>
    <s v="15-15-15"/>
    <s v="WB"/>
    <x v="17"/>
    <s v="Ranaghat - I"/>
    <s v="User Not Mapped"/>
    <s v="User Not Mapped"/>
    <s v="User Not Mapped"/>
    <n v="341087"/>
    <s v="Bimal Kumar Ghosh"/>
    <s v="Private Retailer"/>
    <s v="9434451440"/>
    <n v="1.05"/>
    <n v="239"/>
    <x v="1"/>
    <m/>
    <s v="2025-08-24"/>
    <s v="281285"/>
    <s v="Bhabani Prosad Chattopadhy"/>
    <s v="7548026544"/>
  </r>
  <r>
    <s v="RCF Trombay"/>
    <s v="N.C.Urea(45kg)"/>
    <s v="WB"/>
    <x v="17"/>
    <s v="Ranaghat - II"/>
    <s v="User Not Mapped"/>
    <s v="User Not Mapped"/>
    <s v="User Not Mapped"/>
    <n v="943310"/>
    <s v="BISWAJIT BISWAS"/>
    <s v="Private Retailer"/>
    <s v="9564169662"/>
    <n v="0.45"/>
    <n v="526"/>
    <x v="0"/>
    <m/>
    <s v="2024-11-10"/>
    <s v="281285"/>
    <s v="Bhabani Prosad Chattopadhy"/>
    <s v="7548026544"/>
  </r>
  <r>
    <s v="RCF Trombay"/>
    <s v="N.C.Urea(45kg)"/>
    <s v="WB"/>
    <x v="17"/>
    <s v="Ranaghat - II"/>
    <s v="User Not Mapped"/>
    <s v="User Not Mapped"/>
    <s v="User Not Mapped"/>
    <n v="1478874"/>
    <s v="BISWAS FERTILIZERS A PESTICIDE"/>
    <s v="Private Retailer"/>
    <s v="7908685504"/>
    <n v="0.315"/>
    <n v="462"/>
    <x v="0"/>
    <m/>
    <s v="2025-01-13"/>
    <s v="281285"/>
    <s v="Bhabani Prosad Chattopadhy"/>
    <s v="7548026544"/>
  </r>
  <r>
    <s v="RCF Import"/>
    <s v="Imp 10-26-26"/>
    <s v="WB"/>
    <x v="17"/>
    <s v="Chakdah"/>
    <s v="User Not Mapped"/>
    <s v="User Not Mapped"/>
    <s v="User Not Mapped"/>
    <n v="413914"/>
    <s v="Dinabandhu Sadhukha"/>
    <s v="Private Retailer"/>
    <s v="9932809427"/>
    <n v="0.75"/>
    <n v="316"/>
    <x v="1"/>
    <m/>
    <s v="2025-06-08"/>
    <s v="281285"/>
    <s v="Bhabani Prosad Chattopadhy"/>
    <s v="7548026544"/>
  </r>
  <r>
    <s v="RCF Trombay"/>
    <s v="15-15-15"/>
    <s v="WB"/>
    <x v="17"/>
    <s v="Chakdah"/>
    <s v="User Not Mapped"/>
    <s v="User Not Mapped"/>
    <s v="User Not Mapped"/>
    <n v="413914"/>
    <s v="Dinabandhu Sadhukha"/>
    <s v="Private Retailer"/>
    <s v="9932809427"/>
    <n v="0.25"/>
    <n v="316"/>
    <x v="1"/>
    <m/>
    <s v="2025-06-08"/>
    <s v="281285"/>
    <s v="Bhabani Prosad Chattopadhy"/>
    <s v="7548026544"/>
  </r>
  <r>
    <s v="RCF Import"/>
    <s v="MOP"/>
    <s v="WB"/>
    <x v="17"/>
    <s v="Ranaghat - II"/>
    <s v="User Not Mapped"/>
    <s v="User Not Mapped"/>
    <s v="User Not Mapped"/>
    <n v="943312"/>
    <s v="DIPAK GHOSH"/>
    <s v="Private Retailer"/>
    <s v="9333244766"/>
    <n v="0.25"/>
    <n v="57"/>
    <x v="3"/>
    <m/>
    <s v="2026-02-22"/>
    <s v="281285"/>
    <s v="Bhabani Prosad Chattopadhy"/>
    <s v="7548026544"/>
  </r>
  <r>
    <s v="RCF Trombay"/>
    <s v="15-15-15"/>
    <s v="WB"/>
    <x v="17"/>
    <s v="Ranaghat - II"/>
    <s v="User Not Mapped"/>
    <s v="User Not Mapped"/>
    <s v="User Not Mapped"/>
    <n v="943312"/>
    <s v="DIPAK GHOSH"/>
    <s v="Private Retailer"/>
    <s v="9333244766"/>
    <n v="0.65"/>
    <n v="15"/>
    <x v="5"/>
    <m/>
    <s v="2026-04-05"/>
    <s v="281285"/>
    <s v="Bhabani Prosad Chattopadhy"/>
    <s v="7548026544"/>
  </r>
  <r>
    <s v="RCF Import"/>
    <s v="MOP"/>
    <s v="WB"/>
    <x v="17"/>
    <s v="Ranaghat - II"/>
    <s v="User Not Mapped"/>
    <s v="User Not Mapped"/>
    <s v="User Not Mapped"/>
    <n v="943312"/>
    <s v="DIPAK GHOSH"/>
    <s v="Private Retailer"/>
    <s v="9333244766"/>
    <n v="0.25"/>
    <n v="36"/>
    <x v="3"/>
    <m/>
    <s v="2026-03-15"/>
    <s v="281285"/>
    <s v="Bhabani Prosad Chattopadhy"/>
    <s v="7548026544"/>
  </r>
  <r>
    <s v="RCF Import"/>
    <s v="Imp 10-26-26"/>
    <s v="WB"/>
    <x v="17"/>
    <s v="Chakdah"/>
    <s v="User Not Mapped"/>
    <s v="User Not Mapped"/>
    <s v="User Not Mapped"/>
    <n v="504034"/>
    <s v="Eliash Uddin Mondal"/>
    <s v="Private Retailer"/>
    <s v="9093662652"/>
    <n v="0.5"/>
    <n v="38"/>
    <x v="3"/>
    <m/>
    <s v="2026-03-13"/>
    <s v="281285"/>
    <s v="Bhabani Prosad Chattopadhy"/>
    <s v="7548026544"/>
  </r>
  <r>
    <s v="RCF Import"/>
    <s v="Imp 10-26-26"/>
    <s v="WB"/>
    <x v="17"/>
    <s v="Chakdah"/>
    <s v="User Not Mapped"/>
    <s v="User Not Mapped"/>
    <s v="User Not Mapped"/>
    <n v="504034"/>
    <s v="Eliash Uddin Mondal"/>
    <s v="Private Retailer"/>
    <s v="9093662652"/>
    <n v="0.1"/>
    <n v="50"/>
    <x v="3"/>
    <m/>
    <s v="2026-03-01"/>
    <s v="281285"/>
    <s v="Bhabani Prosad Chattopadhy"/>
    <s v="7548026544"/>
  </r>
  <r>
    <s v="RCF Trombay"/>
    <s v="15-15-15"/>
    <s v="WB"/>
    <x v="17"/>
    <s v="Chakdah"/>
    <s v="User Not Mapped"/>
    <s v="User Not Mapped"/>
    <s v="User Not Mapped"/>
    <n v="504034"/>
    <s v="Eliash Uddin Mondal"/>
    <s v="Private Retailer"/>
    <s v="9093662652"/>
    <n v="0.25"/>
    <n v="36"/>
    <x v="3"/>
    <m/>
    <s v="2026-03-15"/>
    <s v="281285"/>
    <s v="Bhabani Prosad Chattopadhy"/>
    <s v="7548026544"/>
  </r>
  <r>
    <s v="RCF Import"/>
    <s v="MOP"/>
    <s v="WB"/>
    <x v="17"/>
    <s v="Chakdah"/>
    <s v="User Not Mapped"/>
    <s v="User Not Mapped"/>
    <s v="User Not Mapped"/>
    <n v="504034"/>
    <s v="Eliash Uddin Mondal"/>
    <s v="Private Retailer"/>
    <s v="9093662652"/>
    <n v="0.1"/>
    <n v="473"/>
    <x v="0"/>
    <m/>
    <s v="2025-01-02"/>
    <s v="281285"/>
    <s v="Bhabani Prosad Chattopadhy"/>
    <s v="7548026544"/>
  </r>
  <r>
    <s v="RCF Thal"/>
    <s v="N.C.Urea(45kg)"/>
    <s v="WB"/>
    <x v="17"/>
    <s v="Chakdah"/>
    <s v="User Not Mapped"/>
    <s v="User Not Mapped"/>
    <s v="User Not Mapped"/>
    <n v="504034"/>
    <s v="Eliash Uddin Mondal"/>
    <s v="Private Retailer"/>
    <s v="9093662652"/>
    <n v="0.45"/>
    <n v="36"/>
    <x v="3"/>
    <m/>
    <s v="2026-03-15"/>
    <s v="281285"/>
    <s v="Bhabani Prosad Chattopadhy"/>
    <s v="7548026544"/>
  </r>
  <r>
    <s v="RCF Import"/>
    <s v="MOP"/>
    <s v="WB"/>
    <x v="17"/>
    <s v="Chakdah"/>
    <s v="User Not Mapped"/>
    <s v="User Not Mapped"/>
    <s v="User Not Mapped"/>
    <n v="504034"/>
    <s v="Eliash Uddin Mondal"/>
    <s v="Private Retailer"/>
    <s v="9093662652"/>
    <n v="0.1"/>
    <n v="462"/>
    <x v="0"/>
    <m/>
    <s v="2025-01-13"/>
    <s v="281285"/>
    <s v="Bhabani Prosad Chattopadhy"/>
    <s v="7548026544"/>
  </r>
  <r>
    <s v="RCF Import"/>
    <s v="MOP"/>
    <s v="WB"/>
    <x v="17"/>
    <s v="Chakdah"/>
    <s v="User Not Mapped"/>
    <s v="User Not Mapped"/>
    <s v="User Not Mapped"/>
    <n v="504034"/>
    <s v="Eliash Uddin Mondal"/>
    <s v="Private Retailer"/>
    <s v="9093662652"/>
    <n v="0.05"/>
    <n v="36"/>
    <x v="3"/>
    <m/>
    <s v="2026-03-15"/>
    <s v="281285"/>
    <s v="Bhabani Prosad Chattopadhy"/>
    <s v="7548026544"/>
  </r>
  <r>
    <s v="RCF Trombay"/>
    <s v="15-15-15"/>
    <s v="WB"/>
    <x v="17"/>
    <s v="Chakdah"/>
    <s v="User Not Mapped"/>
    <s v="User Not Mapped"/>
    <s v="User Not Mapped"/>
    <n v="504034"/>
    <s v="Eliash Uddin Mondal"/>
    <s v="Private Retailer"/>
    <s v="9093662652"/>
    <n v="0.1"/>
    <n v="77"/>
    <x v="6"/>
    <m/>
    <s v="2026-02-02"/>
    <s v="281285"/>
    <s v="Bhabani Prosad Chattopadhy"/>
    <s v="7548026544"/>
  </r>
  <r>
    <s v="RCF Import"/>
    <s v="Imp 10-26-26"/>
    <s v="WB"/>
    <x v="17"/>
    <s v="Chakdah"/>
    <s v="User Not Mapped"/>
    <s v="User Not Mapped"/>
    <s v="User Not Mapped"/>
    <n v="504034"/>
    <s v="Eliash Uddin Mondal"/>
    <s v="Private Retailer"/>
    <s v="9093662652"/>
    <n v="0.05"/>
    <n v="36"/>
    <x v="3"/>
    <m/>
    <s v="2026-03-15"/>
    <s v="281285"/>
    <s v="Bhabani Prosad Chattopadhy"/>
    <s v="7548026544"/>
  </r>
  <r>
    <s v="RCF Trombay"/>
    <s v="15-15-15"/>
    <s v="WB"/>
    <x v="17"/>
    <s v="Chakdah"/>
    <s v="User Not Mapped"/>
    <s v="User Not Mapped"/>
    <s v="User Not Mapped"/>
    <n v="1444452"/>
    <s v="FERDOUSI FERTILIZER"/>
    <s v="Private Retailer"/>
    <s v="7866057055"/>
    <n v="0.1"/>
    <n v="38"/>
    <x v="3"/>
    <m/>
    <s v="2026-03-13"/>
    <s v="281285"/>
    <s v="Bhabani Prosad Chattopadhy"/>
    <s v="7548026544"/>
  </r>
  <r>
    <s v="RCF Trombay"/>
    <s v="15-15-15"/>
    <s v="WB"/>
    <x v="17"/>
    <s v="Chakdah"/>
    <s v="User Not Mapped"/>
    <s v="User Not Mapped"/>
    <s v="User Not Mapped"/>
    <n v="1444452"/>
    <s v="FERDOUSI FERTILIZER"/>
    <s v="Private Retailer"/>
    <s v="7866057055"/>
    <n v="0.15"/>
    <n v="166"/>
    <x v="4"/>
    <m/>
    <s v="2025-11-05"/>
    <s v="281285"/>
    <s v="Bhabani Prosad Chattopadhy"/>
    <s v="7548026544"/>
  </r>
  <r>
    <s v="RCF Trombay"/>
    <s v="15-15-15"/>
    <s v="WB"/>
    <x v="17"/>
    <s v="Chakdah"/>
    <s v="User Not Mapped"/>
    <s v="User Not Mapped"/>
    <s v="User Not Mapped"/>
    <n v="1444452"/>
    <s v="FERDOUSI FERTILIZER"/>
    <s v="Private Retailer"/>
    <s v="7866057055"/>
    <n v="0.1"/>
    <n v="36"/>
    <x v="3"/>
    <m/>
    <s v="2026-03-15"/>
    <s v="281285"/>
    <s v="Bhabani Prosad Chattopadhy"/>
    <s v="7548026544"/>
  </r>
  <r>
    <s v="RCF Trombay"/>
    <s v="15-15-15"/>
    <s v="WB"/>
    <x v="17"/>
    <s v="Chakdah"/>
    <s v="User Not Mapped"/>
    <s v="User Not Mapped"/>
    <s v="User Not Mapped"/>
    <n v="1444452"/>
    <s v="FERDOUSI FERTILIZER"/>
    <s v="Private Retailer"/>
    <s v="7866057055"/>
    <n v="0.1"/>
    <n v="138"/>
    <x v="4"/>
    <m/>
    <s v="2025-12-03"/>
    <s v="281285"/>
    <s v="Bhabani Prosad Chattopadhy"/>
    <s v="7548026544"/>
  </r>
  <r>
    <s v="RCF Trombay"/>
    <s v="N.C.Urea(45kg)"/>
    <s v="WB"/>
    <x v="17"/>
    <s v="Chakdah"/>
    <s v="User Not Mapped"/>
    <s v="User Not Mapped"/>
    <s v="User Not Mapped"/>
    <n v="1444452"/>
    <s v="FERDOUSI FERTILIZER"/>
    <s v="Private Retailer"/>
    <s v="7866057055"/>
    <n v="0.19"/>
    <n v="138"/>
    <x v="4"/>
    <m/>
    <s v="2025-12-03"/>
    <s v="281285"/>
    <s v="Bhabani Prosad Chattopadhy"/>
    <s v="7548026544"/>
  </r>
  <r>
    <s v="RCF Trombay"/>
    <s v="15-15-15"/>
    <s v="WB"/>
    <x v="17"/>
    <s v="Chakdah"/>
    <s v="User Not Mapped"/>
    <s v="User Not Mapped"/>
    <s v="User Not Mapped"/>
    <n v="1444452"/>
    <s v="FERDOUSI FERTILIZER"/>
    <s v="Private Retailer"/>
    <s v="7866057055"/>
    <n v="0.6"/>
    <n v="191"/>
    <x v="1"/>
    <m/>
    <s v="2025-10-11"/>
    <s v="281285"/>
    <s v="Bhabani Prosad Chattopadhy"/>
    <s v="7548026544"/>
  </r>
  <r>
    <s v="RCF Thal"/>
    <s v="N.C.Urea(45kg)"/>
    <s v="WB"/>
    <x v="17"/>
    <s v="Chakdah"/>
    <s v="User Not Mapped"/>
    <s v="User Not Mapped"/>
    <s v="User Not Mapped"/>
    <n v="1444452"/>
    <s v="FERDOUSI FERTILIZER"/>
    <s v="Private Retailer"/>
    <s v="7866057055"/>
    <n v="4.4999999999999998E-2"/>
    <n v="36"/>
    <x v="3"/>
    <m/>
    <s v="2026-03-15"/>
    <s v="281285"/>
    <s v="Bhabani Prosad Chattopadhy"/>
    <s v="7548026544"/>
  </r>
  <r>
    <s v="RCF Import"/>
    <s v="MOP"/>
    <s v="WB"/>
    <x v="17"/>
    <s v="Chakdah"/>
    <s v="User Not Mapped"/>
    <s v="User Not Mapped"/>
    <s v="User Not Mapped"/>
    <n v="1444452"/>
    <s v="FERDOUSI FERTILIZER"/>
    <s v="Private Retailer"/>
    <s v="7866057055"/>
    <n v="0.1"/>
    <n v="36"/>
    <x v="3"/>
    <m/>
    <s v="2026-03-15"/>
    <s v="281285"/>
    <s v="Bhabani Prosad Chattopadhy"/>
    <s v="7548026544"/>
  </r>
  <r>
    <s v="RCF Import"/>
    <s v="MOP"/>
    <s v="WB"/>
    <x v="17"/>
    <s v="Chakdah"/>
    <s v="User Not Mapped"/>
    <s v="User Not Mapped"/>
    <s v="User Not Mapped"/>
    <n v="1444452"/>
    <s v="FERDOUSI FERTILIZER"/>
    <s v="Private Retailer"/>
    <s v="7866057055"/>
    <n v="0.05"/>
    <n v="38"/>
    <x v="3"/>
    <m/>
    <s v="2026-03-13"/>
    <s v="281285"/>
    <s v="Bhabani Prosad Chattopadhy"/>
    <s v="7548026544"/>
  </r>
  <r>
    <s v="RCF Trombay"/>
    <s v="N.C.Urea(45kg)"/>
    <s v="WB"/>
    <x v="17"/>
    <s v="Kalyani"/>
    <s v="User Not Mapped"/>
    <s v="User Not Mapped"/>
    <s v="User Not Mapped"/>
    <n v="1572412"/>
    <s v="GHOSH FERTILIZER "/>
    <s v="Private Retailer"/>
    <s v="8328772283"/>
    <n v="4.4999999999999998E-2"/>
    <n v="138"/>
    <x v="4"/>
    <m/>
    <s v="2025-12-03"/>
    <s v="281285"/>
    <s v="Bhabani Prosad Chattopadhy"/>
    <s v="7548026544"/>
  </r>
  <r>
    <s v="RCF Thal"/>
    <s v="N.C.Urea(45kg)"/>
    <s v="WB"/>
    <x v="17"/>
    <s v="Kalyani"/>
    <s v="User Not Mapped"/>
    <s v="User Not Mapped"/>
    <s v="User Not Mapped"/>
    <n v="1572412"/>
    <s v="GHOSH FERTILIZER "/>
    <s v="Private Retailer"/>
    <s v="8328772283"/>
    <n v="0.13500000000000001"/>
    <n v="191"/>
    <x v="1"/>
    <m/>
    <s v="2025-10-11"/>
    <s v="281285"/>
    <s v="Bhabani Prosad Chattopadhy"/>
    <s v="7548026544"/>
  </r>
  <r>
    <s v="RCF Import"/>
    <s v="Imp 10-26-26"/>
    <s v="WB"/>
    <x v="17"/>
    <s v="Kalyani"/>
    <s v="User Not Mapped"/>
    <s v="User Not Mapped"/>
    <s v="User Not Mapped"/>
    <n v="1572412"/>
    <s v="GHOSH FERTILIZER "/>
    <s v="Private Retailer"/>
    <s v="8328772283"/>
    <n v="3.6999999999999998E-2"/>
    <n v="335"/>
    <x v="1"/>
    <m/>
    <s v="2025-05-20"/>
    <s v="281285"/>
    <s v="Bhabani Prosad Chattopadhy"/>
    <s v="7548026544"/>
  </r>
  <r>
    <s v="RCF Import"/>
    <s v="MOP"/>
    <s v="WB"/>
    <x v="17"/>
    <s v="Kalyani"/>
    <s v="User Not Mapped"/>
    <s v="User Not Mapped"/>
    <s v="User Not Mapped"/>
    <n v="1572412"/>
    <s v="GHOSH FERTILIZER "/>
    <s v="Private Retailer"/>
    <s v="8328772283"/>
    <n v="0.5"/>
    <n v="17"/>
    <x v="5"/>
    <m/>
    <s v="2026-04-03"/>
    <s v="281285"/>
    <s v="Bhabani Prosad Chattopadhy"/>
    <s v="7548026544"/>
  </r>
  <r>
    <s v="RCF Trombay"/>
    <s v="15-15-15"/>
    <s v="WB"/>
    <x v="17"/>
    <s v="Kalyani"/>
    <s v="User Not Mapped"/>
    <s v="User Not Mapped"/>
    <s v="User Not Mapped"/>
    <n v="1572412"/>
    <s v="GHOSH FERTILIZER "/>
    <s v="Private Retailer"/>
    <s v="8328772283"/>
    <n v="1.5"/>
    <n v="17"/>
    <x v="5"/>
    <m/>
    <s v="2026-04-03"/>
    <s v="281285"/>
    <s v="Bhabani Prosad Chattopadhy"/>
    <s v="7548026544"/>
  </r>
  <r>
    <s v="RCF Trombay"/>
    <s v="N.C.Urea(45kg)"/>
    <s v="WB"/>
    <x v="17"/>
    <s v="Kalyani"/>
    <s v="User Not Mapped"/>
    <s v="User Not Mapped"/>
    <s v="User Not Mapped"/>
    <n v="1572412"/>
    <s v="GHOSH FERTILIZER "/>
    <s v="Private Retailer"/>
    <s v="8328772283"/>
    <n v="0.9"/>
    <n v="64"/>
    <x v="6"/>
    <m/>
    <s v="2026-02-15"/>
    <s v="281285"/>
    <s v="Bhabani Prosad Chattopadhy"/>
    <s v="7548026544"/>
  </r>
  <r>
    <s v="RCF Trombay"/>
    <s v="N.C.Urea(45kg)"/>
    <s v="WB"/>
    <x v="17"/>
    <s v="Kalyani"/>
    <s v="User Not Mapped"/>
    <s v="User Not Mapped"/>
    <s v="User Not Mapped"/>
    <n v="1572412"/>
    <s v="GHOSH FERTILIZER "/>
    <s v="Private Retailer"/>
    <s v="8328772283"/>
    <n v="0.67500000000000004"/>
    <n v="85"/>
    <x v="6"/>
    <m/>
    <s v="2026-01-25"/>
    <s v="281285"/>
    <s v="Bhabani Prosad Chattopadhy"/>
    <s v="7548026544"/>
  </r>
  <r>
    <s v="RCF Trombay"/>
    <s v="15-15-15"/>
    <s v="WB"/>
    <x v="17"/>
    <s v="Kalyani"/>
    <s v="User Not Mapped"/>
    <s v="User Not Mapped"/>
    <s v="User Not Mapped"/>
    <n v="1572412"/>
    <s v="GHOSH FERTILIZER "/>
    <s v="Private Retailer"/>
    <s v="8328772283"/>
    <n v="0.1"/>
    <n v="85"/>
    <x v="6"/>
    <m/>
    <s v="2026-01-25"/>
    <s v="281285"/>
    <s v="Bhabani Prosad Chattopadhy"/>
    <s v="7548026544"/>
  </r>
  <r>
    <s v="RCF Import"/>
    <s v="MOP"/>
    <s v="WB"/>
    <x v="17"/>
    <s v="Kalyani"/>
    <s v="User Not Mapped"/>
    <s v="User Not Mapped"/>
    <s v="User Not Mapped"/>
    <n v="1572412"/>
    <s v="GHOSH FERTILIZER "/>
    <s v="Private Retailer"/>
    <s v="8328772283"/>
    <n v="0.5"/>
    <n v="50"/>
    <x v="3"/>
    <m/>
    <s v="2026-03-01"/>
    <s v="281285"/>
    <s v="Bhabani Prosad Chattopadhy"/>
    <s v="7548026544"/>
  </r>
  <r>
    <s v="RCF Import"/>
    <s v="Imp 10-26-26"/>
    <s v="WB"/>
    <x v="17"/>
    <s v="Kalyani"/>
    <s v="User Not Mapped"/>
    <s v="User Not Mapped"/>
    <s v="User Not Mapped"/>
    <n v="1572412"/>
    <s v="GHOSH FERTILIZER "/>
    <s v="Private Retailer"/>
    <s v="8328772283"/>
    <n v="0.25"/>
    <n v="50"/>
    <x v="3"/>
    <m/>
    <s v="2026-03-01"/>
    <s v="281285"/>
    <s v="Bhabani Prosad Chattopadhy"/>
    <s v="7548026544"/>
  </r>
  <r>
    <s v="RCF Trombay"/>
    <s v="15-15-15"/>
    <s v="WB"/>
    <x v="17"/>
    <s v="Chakdah"/>
    <s v="User Not Mapped"/>
    <s v="User Not Mapped"/>
    <s v="User Not Mapped"/>
    <n v="938953"/>
    <s v="HARIDAS SADHUKHAN"/>
    <s v="Private Retailer"/>
    <s v="9083388490"/>
    <n v="1"/>
    <n v="15"/>
    <x v="5"/>
    <m/>
    <s v="2026-04-05"/>
    <s v="281285"/>
    <s v="Bhabani Prosad Chattopadhy"/>
    <s v="7548026544"/>
  </r>
  <r>
    <s v="RCF Trombay"/>
    <s v="15-15-15"/>
    <s v="WB"/>
    <x v="17"/>
    <s v="Chakdah"/>
    <s v="User Not Mapped"/>
    <s v="User Not Mapped"/>
    <s v="User Not Mapped"/>
    <n v="938953"/>
    <s v="HARIDAS SADHUKHAN"/>
    <s v="Private Retailer"/>
    <s v="9083388490"/>
    <n v="1.2"/>
    <n v="38"/>
    <x v="3"/>
    <m/>
    <s v="2026-03-13"/>
    <s v="281285"/>
    <s v="Bhabani Prosad Chattopadhy"/>
    <s v="7548026544"/>
  </r>
  <r>
    <s v="RCF Import"/>
    <s v="MOP"/>
    <s v="WB"/>
    <x v="17"/>
    <s v="Ranaghat - II"/>
    <s v="User Not Mapped"/>
    <s v="User Not Mapped"/>
    <s v="User Not Mapped"/>
    <n v="341487"/>
    <s v="Hasen Ali Mondal"/>
    <s v="Private Retailer"/>
    <s v="9434551524"/>
    <n v="0.1"/>
    <n v="50"/>
    <x v="3"/>
    <m/>
    <s v="2026-03-01"/>
    <s v="281285"/>
    <s v="Bhabani Prosad Chattopadhy"/>
    <s v="7548026544"/>
  </r>
  <r>
    <s v="RCF Import"/>
    <s v="Imp 10-26-26"/>
    <s v="WB"/>
    <x v="17"/>
    <s v="Ranaghat - II"/>
    <s v="User Not Mapped"/>
    <s v="User Not Mapped"/>
    <s v="User Not Mapped"/>
    <n v="341487"/>
    <s v="Hasen Ali Mondal"/>
    <s v="Private Retailer"/>
    <s v="9434551524"/>
    <n v="0.1"/>
    <n v="50"/>
    <x v="3"/>
    <m/>
    <s v="2026-03-01"/>
    <s v="281285"/>
    <s v="Bhabani Prosad Chattopadhy"/>
    <s v="7548026544"/>
  </r>
  <r>
    <s v="RCF Thal"/>
    <s v="N.C.Urea(45kg)"/>
    <s v="WB"/>
    <x v="17"/>
    <s v="Ranaghat - II"/>
    <s v="User Not Mapped"/>
    <s v="User Not Mapped"/>
    <s v="User Not Mapped"/>
    <n v="341487"/>
    <s v="Hasen Ali Mondal"/>
    <s v="Private Retailer"/>
    <s v="9434551524"/>
    <n v="0.18"/>
    <n v="36"/>
    <x v="3"/>
    <m/>
    <s v="2026-03-15"/>
    <s v="281285"/>
    <s v="Bhabani Prosad Chattopadhy"/>
    <s v="7548026544"/>
  </r>
  <r>
    <s v="RCF Trombay"/>
    <s v="N.C.Urea(45kg)"/>
    <s v="WB"/>
    <x v="17"/>
    <s v="Ranaghat - II"/>
    <s v="User Not Mapped"/>
    <s v="User Not Mapped"/>
    <s v="User Not Mapped"/>
    <n v="341487"/>
    <s v="Hasen Ali Mondal"/>
    <s v="Private Retailer"/>
    <s v="9434551524"/>
    <n v="8.1000000000000003E-2"/>
    <n v="50"/>
    <x v="3"/>
    <m/>
    <s v="2026-03-01"/>
    <s v="281285"/>
    <s v="Bhabani Prosad Chattopadhy"/>
    <s v="7548026544"/>
  </r>
  <r>
    <s v="RCF Import"/>
    <s v="Imp 10-26-26"/>
    <s v="WB"/>
    <x v="17"/>
    <s v="Ranaghat - II"/>
    <s v="User Not Mapped"/>
    <s v="User Not Mapped"/>
    <s v="User Not Mapped"/>
    <n v="341487"/>
    <s v="Hasen Ali Mondal"/>
    <s v="Private Retailer"/>
    <s v="9434551524"/>
    <n v="0.15"/>
    <n v="16"/>
    <x v="5"/>
    <m/>
    <s v="2026-04-04"/>
    <s v="281285"/>
    <s v="Bhabani Prosad Chattopadhy"/>
    <s v="7548026544"/>
  </r>
  <r>
    <s v="RCF Trombay"/>
    <s v="15-15-15"/>
    <s v="WB"/>
    <x v="17"/>
    <s v="Ranaghat - II"/>
    <s v="User Not Mapped"/>
    <s v="User Not Mapped"/>
    <s v="User Not Mapped"/>
    <n v="341487"/>
    <s v="Hasen Ali Mondal"/>
    <s v="Private Retailer"/>
    <s v="9434551524"/>
    <n v="0.1"/>
    <n v="50"/>
    <x v="3"/>
    <m/>
    <s v="2026-03-01"/>
    <s v="281285"/>
    <s v="Bhabani Prosad Chattopadhy"/>
    <s v="7548026544"/>
  </r>
  <r>
    <s v="RCF Trombay"/>
    <s v="N.C.Urea(45kg)"/>
    <s v="WB"/>
    <x v="17"/>
    <s v="Haringhata"/>
    <s v="User Not Mapped"/>
    <s v="User Not Mapped"/>
    <s v="User Not Mapped"/>
    <n v="341495"/>
    <s v="Indrajit Golder And Brothers"/>
    <s v="Private Retailer"/>
    <s v="9734819271"/>
    <n v="0.25"/>
    <n v="134"/>
    <x v="4"/>
    <m/>
    <s v="2025-12-07"/>
    <s v="281285"/>
    <s v="Bhabani Prosad Chattopadhy"/>
    <s v="7548026544"/>
  </r>
  <r>
    <s v="RCF Trombay"/>
    <s v="15-15-15"/>
    <s v="WB"/>
    <x v="17"/>
    <s v="Haringhata"/>
    <s v="User Not Mapped"/>
    <s v="User Not Mapped"/>
    <s v="User Not Mapped"/>
    <n v="341495"/>
    <s v="Indrajit Golder And Brothers"/>
    <s v="Private Retailer"/>
    <s v="9734819271"/>
    <n v="0.25"/>
    <n v="154"/>
    <x v="4"/>
    <m/>
    <s v="2025-11-17"/>
    <s v="281285"/>
    <s v="Bhabani Prosad Chattopadhy"/>
    <s v="7548026544"/>
  </r>
  <r>
    <s v="RCF Trombay"/>
    <s v="15-15-15"/>
    <s v="WB"/>
    <x v="17"/>
    <s v="Haringhata"/>
    <s v="User Not Mapped"/>
    <s v="User Not Mapped"/>
    <s v="User Not Mapped"/>
    <n v="341495"/>
    <s v="Indrajit Golder And Brothers"/>
    <s v="Private Retailer"/>
    <s v="9734819271"/>
    <n v="0.1"/>
    <n v="148"/>
    <x v="4"/>
    <m/>
    <s v="2025-11-23"/>
    <s v="281285"/>
    <s v="Bhabani Prosad Chattopadhy"/>
    <s v="7548026544"/>
  </r>
  <r>
    <s v="RCF Trombay"/>
    <s v="15-15-15"/>
    <s v="WB"/>
    <x v="17"/>
    <s v="Haringhata"/>
    <s v="User Not Mapped"/>
    <s v="User Not Mapped"/>
    <s v="User Not Mapped"/>
    <n v="341495"/>
    <s v="Indrajit Golder And Brothers"/>
    <s v="Private Retailer"/>
    <s v="9734819271"/>
    <n v="0.25"/>
    <n v="153"/>
    <x v="4"/>
    <m/>
    <s v="2025-11-18"/>
    <s v="281285"/>
    <s v="Bhabani Prosad Chattopadhy"/>
    <s v="7548026544"/>
  </r>
  <r>
    <s v="RCF Trombay"/>
    <s v="15-15-15"/>
    <s v="WB"/>
    <x v="17"/>
    <s v="Haringhata"/>
    <s v="User Not Mapped"/>
    <s v="User Not Mapped"/>
    <s v="User Not Mapped"/>
    <n v="341495"/>
    <s v="Indrajit Golder And Brothers"/>
    <s v="Private Retailer"/>
    <s v="9734819271"/>
    <n v="0.25"/>
    <n v="106"/>
    <x v="7"/>
    <m/>
    <s v="2026-01-04"/>
    <s v="281285"/>
    <s v="Bhabani Prosad Chattopadhy"/>
    <s v="7548026544"/>
  </r>
  <r>
    <s v="RCF Trombay"/>
    <s v="15-15-15"/>
    <s v="WB"/>
    <x v="17"/>
    <s v="Haringhata"/>
    <s v="User Not Mapped"/>
    <s v="User Not Mapped"/>
    <s v="User Not Mapped"/>
    <n v="341495"/>
    <s v="Indrajit Golder And Brothers"/>
    <s v="Private Retailer"/>
    <s v="9734819271"/>
    <n v="0.25"/>
    <n v="134"/>
    <x v="4"/>
    <m/>
    <s v="2025-12-07"/>
    <s v="281285"/>
    <s v="Bhabani Prosad Chattopadhy"/>
    <s v="7548026544"/>
  </r>
  <r>
    <s v="RCF Trombay"/>
    <s v="15-15-15"/>
    <s v="WB"/>
    <x v="17"/>
    <s v="Haringhata"/>
    <s v="User Not Mapped"/>
    <s v="User Not Mapped"/>
    <s v="User Not Mapped"/>
    <n v="341495"/>
    <s v="Indrajit Golder And Brothers"/>
    <s v="Private Retailer"/>
    <s v="9734819271"/>
    <n v="0.25"/>
    <n v="82"/>
    <x v="6"/>
    <m/>
    <s v="2026-01-28"/>
    <s v="281285"/>
    <s v="Bhabani Prosad Chattopadhy"/>
    <s v="7548026544"/>
  </r>
  <r>
    <s v="RCF Thal"/>
    <s v="N.C.Urea(45kg)"/>
    <s v="WB"/>
    <x v="17"/>
    <s v="Haringhata"/>
    <s v="User Not Mapped"/>
    <s v="User Not Mapped"/>
    <s v="User Not Mapped"/>
    <n v="341495"/>
    <s v="Indrajit Golder And Brothers"/>
    <s v="Private Retailer"/>
    <s v="9734819271"/>
    <n v="0.67500000000000004"/>
    <n v="118"/>
    <x v="7"/>
    <m/>
    <s v="2025-12-23"/>
    <s v="281285"/>
    <s v="Bhabani Prosad Chattopadhy"/>
    <s v="7548026544"/>
  </r>
  <r>
    <s v="RCF Trombay"/>
    <s v="15-15-15"/>
    <s v="WB"/>
    <x v="17"/>
    <s v="Haringhata"/>
    <s v="User Not Mapped"/>
    <s v="User Not Mapped"/>
    <s v="User Not Mapped"/>
    <n v="341495"/>
    <s v="Indrajit Golder And Brothers"/>
    <s v="Private Retailer"/>
    <s v="9734819271"/>
    <n v="0.25"/>
    <n v="190"/>
    <x v="1"/>
    <m/>
    <s v="2025-10-12"/>
    <s v="281285"/>
    <s v="Bhabani Prosad Chattopadhy"/>
    <s v="7548026544"/>
  </r>
  <r>
    <s v="RCF Thal"/>
    <s v="N.C.Urea(45kg)"/>
    <s v="WB"/>
    <x v="17"/>
    <s v="Haringhata"/>
    <s v="User Not Mapped"/>
    <s v="User Not Mapped"/>
    <s v="User Not Mapped"/>
    <n v="341495"/>
    <s v="Indrajit Golder And Brothers"/>
    <s v="Private Retailer"/>
    <s v="9734819271"/>
    <n v="0.36"/>
    <n v="36"/>
    <x v="3"/>
    <m/>
    <s v="2026-03-15"/>
    <s v="281285"/>
    <s v="Bhabani Prosad Chattopadhy"/>
    <s v="7548026544"/>
  </r>
  <r>
    <s v="RCF Trombay"/>
    <s v="N.C.Urea(45kg)"/>
    <s v="WB"/>
    <x v="17"/>
    <s v="Haringhata"/>
    <s v="User Not Mapped"/>
    <s v="User Not Mapped"/>
    <s v="User Not Mapped"/>
    <n v="341495"/>
    <s v="Indrajit Golder And Brothers"/>
    <s v="Private Retailer"/>
    <s v="9734819271"/>
    <n v="0.495"/>
    <n v="57"/>
    <x v="3"/>
    <m/>
    <s v="2026-02-22"/>
    <s v="281285"/>
    <s v="Bhabani Prosad Chattopadhy"/>
    <s v="7548026544"/>
  </r>
  <r>
    <s v="RCF Import"/>
    <s v="MOP"/>
    <s v="WB"/>
    <x v="17"/>
    <s v="Haringhata"/>
    <s v="User Not Mapped"/>
    <s v="User Not Mapped"/>
    <s v="User Not Mapped"/>
    <n v="341495"/>
    <s v="Indrajit Golder And Brothers"/>
    <s v="Private Retailer"/>
    <s v="9734819271"/>
    <n v="0.3"/>
    <n v="38"/>
    <x v="3"/>
    <m/>
    <s v="2026-03-13"/>
    <s v="281285"/>
    <s v="Bhabani Prosad Chattopadhy"/>
    <s v="7548026544"/>
  </r>
  <r>
    <s v="RCF Import"/>
    <s v="MOP"/>
    <s v="WB"/>
    <x v="17"/>
    <s v="Haringhata"/>
    <s v="User Not Mapped"/>
    <s v="User Not Mapped"/>
    <s v="User Not Mapped"/>
    <n v="341495"/>
    <s v="Indrajit Golder And Brothers"/>
    <s v="Private Retailer"/>
    <s v="9734819271"/>
    <n v="0.2"/>
    <n v="57"/>
    <x v="3"/>
    <m/>
    <s v="2026-02-22"/>
    <s v="281285"/>
    <s v="Bhabani Prosad Chattopadhy"/>
    <s v="7548026544"/>
  </r>
  <r>
    <s v="RCF Import"/>
    <s v="Imp 10-26-26"/>
    <s v="WB"/>
    <x v="17"/>
    <s v="Haringhata"/>
    <s v="User Not Mapped"/>
    <s v="User Not Mapped"/>
    <s v="User Not Mapped"/>
    <n v="341495"/>
    <s v="Indrajit Golder And Brothers"/>
    <s v="Private Retailer"/>
    <s v="9734819271"/>
    <n v="0.2"/>
    <n v="36"/>
    <x v="3"/>
    <m/>
    <s v="2026-03-15"/>
    <s v="281285"/>
    <s v="Bhabani Prosad Chattopadhy"/>
    <s v="7548026544"/>
  </r>
  <r>
    <s v="RCF Trombay"/>
    <s v="15-15-15"/>
    <s v="WB"/>
    <x v="17"/>
    <s v="Haringhata"/>
    <s v="User Not Mapped"/>
    <s v="User Not Mapped"/>
    <s v="User Not Mapped"/>
    <n v="341495"/>
    <s v="Indrajit Golder And Brothers"/>
    <s v="Private Retailer"/>
    <s v="9734819271"/>
    <n v="0.2"/>
    <n v="36"/>
    <x v="3"/>
    <m/>
    <s v="2026-03-15"/>
    <s v="281285"/>
    <s v="Bhabani Prosad Chattopadhy"/>
    <s v="7548026544"/>
  </r>
  <r>
    <s v="RCF Trombay"/>
    <s v="15-15-15"/>
    <s v="WB"/>
    <x v="17"/>
    <s v="Haringhata"/>
    <s v="User Not Mapped"/>
    <s v="User Not Mapped"/>
    <s v="User Not Mapped"/>
    <n v="341495"/>
    <s v="Indrajit Golder And Brothers"/>
    <s v="Private Retailer"/>
    <s v="9734819271"/>
    <n v="0.25"/>
    <n v="57"/>
    <x v="3"/>
    <m/>
    <s v="2026-02-22"/>
    <s v="281285"/>
    <s v="Bhabani Prosad Chattopadhy"/>
    <s v="7548026544"/>
  </r>
  <r>
    <s v="RCF Trombay"/>
    <s v="N.C.Urea(45kg)"/>
    <s v="WB"/>
    <x v="17"/>
    <s v="Haringhata"/>
    <s v="User Not Mapped"/>
    <s v="User Not Mapped"/>
    <s v="User Not Mapped"/>
    <n v="341495"/>
    <s v="Indrajit Golder And Brothers"/>
    <s v="Private Retailer"/>
    <s v="9734819271"/>
    <n v="0.67500000000000004"/>
    <n v="82"/>
    <x v="6"/>
    <m/>
    <s v="2026-01-28"/>
    <s v="281285"/>
    <s v="Bhabani Prosad Chattopadhy"/>
    <s v="7548026544"/>
  </r>
  <r>
    <s v="RCF Trombay"/>
    <s v="15-15-15"/>
    <s v="WB"/>
    <x v="17"/>
    <s v="Haringhata"/>
    <s v="User Not Mapped"/>
    <s v="User Not Mapped"/>
    <s v="User Not Mapped"/>
    <n v="341495"/>
    <s v="Indrajit Golder And Brothers"/>
    <s v="Private Retailer"/>
    <s v="9734819271"/>
    <n v="0.15"/>
    <n v="68"/>
    <x v="6"/>
    <m/>
    <s v="2026-02-11"/>
    <s v="281285"/>
    <s v="Bhabani Prosad Chattopadhy"/>
    <s v="7548026544"/>
  </r>
  <r>
    <s v="RCF Trombay"/>
    <s v="15-15-15"/>
    <s v="WB"/>
    <x v="17"/>
    <s v="Ranaghat - II"/>
    <s v="User Not Mapped"/>
    <s v="User Not Mapped"/>
    <s v="User Not Mapped"/>
    <n v="943863"/>
    <s v="JAGADISH CHAKRABORTY"/>
    <s v="Private Retailer"/>
    <s v="8016458336"/>
    <n v="0.2"/>
    <n v="264"/>
    <x v="1"/>
    <m/>
    <s v="2025-07-30"/>
    <s v="281285"/>
    <s v="Bhabani Prosad Chattopadhy"/>
    <s v="7548026544"/>
  </r>
  <r>
    <s v="RCF Trombay"/>
    <s v="15-15-15"/>
    <s v="WB"/>
    <x v="17"/>
    <s v="Ranaghat - II"/>
    <s v="User Not Mapped"/>
    <s v="User Not Mapped"/>
    <s v="User Not Mapped"/>
    <n v="943863"/>
    <s v="JAGADISH CHAKRABORTY"/>
    <s v="Private Retailer"/>
    <s v="8016458336"/>
    <n v="0.1"/>
    <n v="281"/>
    <x v="1"/>
    <m/>
    <s v="2025-07-13"/>
    <s v="281285"/>
    <s v="Bhabani Prosad Chattopadhy"/>
    <s v="7548026544"/>
  </r>
  <r>
    <s v="RCF Thal"/>
    <s v="N.C.Urea(45kg)"/>
    <s v="WB"/>
    <x v="17"/>
    <s v="Ranaghat - II"/>
    <s v="User Not Mapped"/>
    <s v="User Not Mapped"/>
    <s v="User Not Mapped"/>
    <n v="943863"/>
    <s v="JAGADISH CHAKRABORTY"/>
    <s v="Private Retailer"/>
    <s v="8016458336"/>
    <n v="0.13500000000000001"/>
    <n v="1009"/>
    <x v="2"/>
    <m/>
    <s v="2023-07-16"/>
    <s v="281285"/>
    <s v="Bhabani Prosad Chattopadhy"/>
    <s v="7548026544"/>
  </r>
  <r>
    <s v="RCF Trombay"/>
    <s v="N.C.Urea(45kg)"/>
    <s v="WB"/>
    <x v="17"/>
    <s v="Ranaghat - II"/>
    <s v="User Not Mapped"/>
    <s v="User Not Mapped"/>
    <s v="User Not Mapped"/>
    <n v="943863"/>
    <s v="JAGADISH CHAKRABORTY"/>
    <s v="Private Retailer"/>
    <s v="8016458336"/>
    <n v="0.28000000000000003"/>
    <n v="470"/>
    <x v="0"/>
    <m/>
    <s v="2025-01-05"/>
    <s v="281285"/>
    <s v="Bhabani Prosad Chattopadhy"/>
    <s v="7548026544"/>
  </r>
  <r>
    <s v="RCF Trombay"/>
    <s v="N.C.Urea(45kg)"/>
    <s v="WB"/>
    <x v="17"/>
    <s v="Ranaghat - II"/>
    <s v="User Not Mapped"/>
    <s v="User Not Mapped"/>
    <s v="User Not Mapped"/>
    <n v="943863"/>
    <s v="JAGADISH CHAKRABORTY"/>
    <s v="Private Retailer"/>
    <s v="8016458336"/>
    <n v="0.45"/>
    <n v="232"/>
    <x v="1"/>
    <m/>
    <s v="2025-08-31"/>
    <s v="281285"/>
    <s v="Bhabani Prosad Chattopadhy"/>
    <s v="7548026544"/>
  </r>
  <r>
    <s v="RCF Trombay"/>
    <s v="15-15-15"/>
    <s v="WB"/>
    <x v="17"/>
    <s v="Ranaghat - II"/>
    <s v="User Not Mapped"/>
    <s v="User Not Mapped"/>
    <s v="User Not Mapped"/>
    <n v="943863"/>
    <s v="JAGADISH CHAKRABORTY"/>
    <s v="Private Retailer"/>
    <s v="8016458336"/>
    <n v="0.1"/>
    <n v="253"/>
    <x v="1"/>
    <m/>
    <s v="2025-08-10"/>
    <s v="281285"/>
    <s v="Bhabani Prosad Chattopadhy"/>
    <s v="7548026544"/>
  </r>
  <r>
    <s v="RCF Trombay"/>
    <s v="15-15-15"/>
    <s v="WB"/>
    <x v="17"/>
    <s v="Ranaghat - II"/>
    <s v="User Not Mapped"/>
    <s v="User Not Mapped"/>
    <s v="User Not Mapped"/>
    <n v="943863"/>
    <s v="JAGADISH CHAKRABORTY"/>
    <s v="Private Retailer"/>
    <s v="8016458336"/>
    <n v="0.1"/>
    <n v="316"/>
    <x v="1"/>
    <m/>
    <s v="2025-06-08"/>
    <s v="281285"/>
    <s v="Bhabani Prosad Chattopadhy"/>
    <s v="7548026544"/>
  </r>
  <r>
    <s v="RCF Import"/>
    <s v="Imp 10-26-26"/>
    <s v="WB"/>
    <x v="17"/>
    <s v="Ranaghat - II"/>
    <s v="User Not Mapped"/>
    <s v="User Not Mapped"/>
    <s v="User Not Mapped"/>
    <n v="943863"/>
    <s v="JAGADISH CHAKRABORTY"/>
    <s v="Private Retailer"/>
    <s v="8016458336"/>
    <n v="0.1"/>
    <n v="495"/>
    <x v="0"/>
    <m/>
    <s v="2024-12-11"/>
    <s v="281285"/>
    <s v="Bhabani Prosad Chattopadhy"/>
    <s v="7548026544"/>
  </r>
  <r>
    <s v="RCF Trombay"/>
    <s v="N.C.Urea(45kg)"/>
    <s v="WB"/>
    <x v="17"/>
    <s v="Ranaghat - II"/>
    <s v="User Not Mapped"/>
    <s v="User Not Mapped"/>
    <s v="User Not Mapped"/>
    <n v="943863"/>
    <s v="JAGADISH CHAKRABORTY"/>
    <s v="Private Retailer"/>
    <s v="8016458336"/>
    <n v="0.22500000000000001"/>
    <n v="383"/>
    <x v="0"/>
    <m/>
    <s v="2025-04-02"/>
    <s v="281285"/>
    <s v="Bhabani Prosad Chattopadhy"/>
    <s v="7548026544"/>
  </r>
  <r>
    <s v="RCF Trombay"/>
    <s v="15-15-15"/>
    <s v="WB"/>
    <x v="17"/>
    <s v="Ranaghat - II"/>
    <s v="User Not Mapped"/>
    <s v="User Not Mapped"/>
    <s v="User Not Mapped"/>
    <n v="943863"/>
    <s v="JAGADISH CHAKRABORTY"/>
    <s v="Private Retailer"/>
    <s v="8016458336"/>
    <n v="0.25"/>
    <n v="232"/>
    <x v="1"/>
    <m/>
    <s v="2025-08-31"/>
    <s v="281285"/>
    <s v="Bhabani Prosad Chattopadhy"/>
    <s v="7548026544"/>
  </r>
  <r>
    <s v="RCF Trombay"/>
    <s v="15-15-15"/>
    <s v="WB"/>
    <x v="17"/>
    <s v="Ranaghat - II"/>
    <s v="User Not Mapped"/>
    <s v="User Not Mapped"/>
    <s v="User Not Mapped"/>
    <n v="943863"/>
    <s v="JAGADISH CHAKRABORTY"/>
    <s v="Private Retailer"/>
    <s v="8016458336"/>
    <n v="0.2"/>
    <n v="295"/>
    <x v="1"/>
    <m/>
    <s v="2025-06-29"/>
    <s v="281285"/>
    <s v="Bhabani Prosad Chattopadhy"/>
    <s v="7548026544"/>
  </r>
  <r>
    <s v="RCF Thal"/>
    <s v="N.C.Urea(45kg)"/>
    <s v="WB"/>
    <x v="17"/>
    <s v="Ranaghat - II"/>
    <s v="User Not Mapped"/>
    <s v="User Not Mapped"/>
    <s v="User Not Mapped"/>
    <n v="943863"/>
    <s v="JAGADISH CHAKRABORTY"/>
    <s v="Private Retailer"/>
    <s v="8016458336"/>
    <n v="0.36"/>
    <n v="442"/>
    <x v="0"/>
    <m/>
    <s v="2025-02-02"/>
    <s v="281285"/>
    <s v="Bhabani Prosad Chattopadhy"/>
    <s v="7548026544"/>
  </r>
  <r>
    <s v="RCF Import"/>
    <s v="MOP"/>
    <s v="WB"/>
    <x v="17"/>
    <s v="Ranaghat - II"/>
    <s v="User Not Mapped"/>
    <s v="User Not Mapped"/>
    <s v="User Not Mapped"/>
    <n v="943863"/>
    <s v="JAGADISH CHAKRABORTY"/>
    <s v="Private Retailer"/>
    <s v="8016458336"/>
    <n v="9.6000000000000002E-2"/>
    <n v="434"/>
    <x v="0"/>
    <m/>
    <s v="2025-02-10"/>
    <s v="281285"/>
    <s v="Bhabani Prosad Chattopadhy"/>
    <s v="7548026544"/>
  </r>
  <r>
    <s v="RCF Trombay"/>
    <s v="N.C.Urea(45kg)"/>
    <s v="WB"/>
    <x v="17"/>
    <s v="Ranaghat - II"/>
    <s v="User Not Mapped"/>
    <s v="User Not Mapped"/>
    <s v="User Not Mapped"/>
    <n v="341557"/>
    <s v="Joydeb Paul"/>
    <s v="Private Retailer"/>
    <s v="9735234671"/>
    <n v="5.0000000000000001E-3"/>
    <n v="75"/>
    <x v="6"/>
    <m/>
    <s v="2026-02-04"/>
    <s v="281285"/>
    <s v="Bhabani Prosad Chattopadhy"/>
    <s v="7548026544"/>
  </r>
  <r>
    <s v="RCF Trombay"/>
    <s v="15-15-15"/>
    <s v="WB"/>
    <x v="17"/>
    <s v="Ranaghat - II"/>
    <s v="User Not Mapped"/>
    <s v="User Not Mapped"/>
    <s v="User Not Mapped"/>
    <n v="341557"/>
    <s v="Joydeb Paul"/>
    <s v="Private Retailer"/>
    <s v="9735234671"/>
    <n v="0.13"/>
    <n v="75"/>
    <x v="6"/>
    <m/>
    <s v="2026-02-04"/>
    <s v="281285"/>
    <s v="Bhabani Prosad Chattopadhy"/>
    <s v="7548026544"/>
  </r>
  <r>
    <s v="RCF Thal"/>
    <s v="N.C.Urea(45kg)"/>
    <s v="WB"/>
    <x v="17"/>
    <m/>
    <s v="User Not Mapped"/>
    <s v="User Not Mapped"/>
    <s v="User Not Mapped"/>
    <n v="341615"/>
    <s v="Kanailal Ghosh"/>
    <s v="Private Retailer"/>
    <s v="9614468172"/>
    <n v="0.04"/>
    <n v="106"/>
    <x v="7"/>
    <m/>
    <s v="2026-01-04"/>
    <s v="281285"/>
    <s v="Bhabani Prosad Chattopadhy"/>
    <s v="7548026544"/>
  </r>
  <r>
    <s v="RCF Import"/>
    <s v="Imp 10-26-26"/>
    <s v="WB"/>
    <x v="17"/>
    <m/>
    <s v="User Not Mapped"/>
    <s v="User Not Mapped"/>
    <s v="User Not Mapped"/>
    <n v="341615"/>
    <s v="Kanailal Ghosh"/>
    <s v="Private Retailer"/>
    <s v="9614468172"/>
    <n v="0.5"/>
    <n v="38"/>
    <x v="3"/>
    <m/>
    <s v="2026-03-13"/>
    <s v="281285"/>
    <s v="Bhabani Prosad Chattopadhy"/>
    <s v="7548026544"/>
  </r>
  <r>
    <s v="RCF Trombay"/>
    <s v="N.C.Urea(45kg)"/>
    <s v="WB"/>
    <x v="17"/>
    <m/>
    <s v="User Not Mapped"/>
    <s v="User Not Mapped"/>
    <s v="User Not Mapped"/>
    <n v="341615"/>
    <s v="Kanailal Ghosh"/>
    <s v="Private Retailer"/>
    <s v="9614468172"/>
    <n v="5.0000000000000001E-3"/>
    <n v="106"/>
    <x v="7"/>
    <m/>
    <s v="2026-01-04"/>
    <s v="281285"/>
    <s v="Bhabani Prosad Chattopadhy"/>
    <s v="7548026544"/>
  </r>
  <r>
    <s v="RCF Trombay"/>
    <s v="15-15-15"/>
    <s v="WB"/>
    <x v="17"/>
    <m/>
    <s v="User Not Mapped"/>
    <s v="User Not Mapped"/>
    <s v="User Not Mapped"/>
    <n v="341615"/>
    <s v="Kanailal Ghosh"/>
    <s v="Private Retailer"/>
    <s v="9614468172"/>
    <n v="0.1"/>
    <n v="38"/>
    <x v="3"/>
    <m/>
    <s v="2026-03-13"/>
    <s v="281285"/>
    <s v="Bhabani Prosad Chattopadhy"/>
    <s v="7548026544"/>
  </r>
  <r>
    <s v="RCF Trombay"/>
    <s v="15-15-15"/>
    <s v="WB"/>
    <x v="17"/>
    <s v="Chakdah"/>
    <s v="User Not Mapped"/>
    <s v="User Not Mapped"/>
    <s v="User Not Mapped"/>
    <n v="341624"/>
    <s v="Karabina Mondal"/>
    <s v="Private Retailer"/>
    <s v="9073508177"/>
    <n v="5.2"/>
    <n v="85"/>
    <x v="6"/>
    <m/>
    <s v="2026-01-25"/>
    <s v="281285"/>
    <s v="Bhabani Prosad Chattopadhy"/>
    <s v="7548026544"/>
  </r>
  <r>
    <s v="RCF Thal"/>
    <s v="N.C.Urea(45kg)"/>
    <s v="WB"/>
    <x v="17"/>
    <s v="Ranaghat - II"/>
    <s v="User Not Mapped"/>
    <s v="User Not Mapped"/>
    <s v="User Not Mapped"/>
    <n v="1612688"/>
    <s v="M/S ABU SIDDIQUE FERTILIZER"/>
    <s v="Private Retailer"/>
    <s v="9733984141"/>
    <n v="1.17"/>
    <n v="36"/>
    <x v="3"/>
    <m/>
    <s v="2026-03-15"/>
    <s v="281285"/>
    <s v="Bhabani Prosad Chattopadhy"/>
    <s v="7548026544"/>
  </r>
  <r>
    <s v="RCF Trombay"/>
    <s v="15-15-15"/>
    <s v="WB"/>
    <x v="17"/>
    <s v="Ranaghat - II"/>
    <s v="User Not Mapped"/>
    <s v="User Not Mapped"/>
    <s v="User Not Mapped"/>
    <n v="1612688"/>
    <s v="M/S ABU SIDDIQUE FERTILIZER"/>
    <s v="Private Retailer"/>
    <s v="9733984141"/>
    <n v="0.45"/>
    <n v="38"/>
    <x v="3"/>
    <m/>
    <s v="2026-03-13"/>
    <s v="281285"/>
    <s v="Bhabani Prosad Chattopadhy"/>
    <s v="7548026544"/>
  </r>
  <r>
    <s v="RCF Import"/>
    <s v="MOP"/>
    <s v="WB"/>
    <x v="17"/>
    <s v="Ranaghat - II"/>
    <s v="User Not Mapped"/>
    <s v="User Not Mapped"/>
    <s v="User Not Mapped"/>
    <n v="1612688"/>
    <s v="M/S ABU SIDDIQUE FERTILIZER"/>
    <s v="Private Retailer"/>
    <s v="9733984141"/>
    <n v="0.35"/>
    <n v="38"/>
    <x v="3"/>
    <m/>
    <s v="2026-03-13"/>
    <s v="281285"/>
    <s v="Bhabani Prosad Chattopadhy"/>
    <s v="7548026544"/>
  </r>
  <r>
    <s v="RCF Trombay"/>
    <s v="15-15-15"/>
    <s v="WB"/>
    <x v="17"/>
    <s v="Ranaghat - II"/>
    <s v="User Not Mapped"/>
    <s v="User Not Mapped"/>
    <s v="User Not Mapped"/>
    <n v="1137563"/>
    <s v="M/S Biswajit Ghosh"/>
    <s v="Private Retailer"/>
    <s v="9332394355"/>
    <n v="0.15"/>
    <n v="166"/>
    <x v="4"/>
    <m/>
    <s v="2025-11-05"/>
    <s v="281285"/>
    <s v="Bhabani Prosad Chattopadhy"/>
    <s v="7548026544"/>
  </r>
  <r>
    <s v="RCF Trombay"/>
    <s v="15-15-15"/>
    <s v="WB"/>
    <x v="17"/>
    <s v="Ranaghat - II"/>
    <s v="User Not Mapped"/>
    <s v="User Not Mapped"/>
    <s v="User Not Mapped"/>
    <n v="1137563"/>
    <s v="M/S Biswajit Ghosh"/>
    <s v="Private Retailer"/>
    <s v="9332394355"/>
    <n v="0.1"/>
    <n v="153"/>
    <x v="4"/>
    <m/>
    <s v="2025-11-18"/>
    <s v="281285"/>
    <s v="Bhabani Prosad Chattopadhy"/>
    <s v="7548026544"/>
  </r>
  <r>
    <s v="RCF Trombay"/>
    <s v="N.C.Urea(45kg)"/>
    <s v="WB"/>
    <x v="17"/>
    <s v="Ranaghat - II"/>
    <s v="User Not Mapped"/>
    <s v="User Not Mapped"/>
    <s v="User Not Mapped"/>
    <n v="1137563"/>
    <s v="M/S Biswajit Ghosh"/>
    <s v="Private Retailer"/>
    <s v="9332394355"/>
    <n v="0.45"/>
    <n v="166"/>
    <x v="4"/>
    <m/>
    <s v="2025-11-05"/>
    <s v="281285"/>
    <s v="Bhabani Prosad Chattopadhy"/>
    <s v="7548026544"/>
  </r>
  <r>
    <s v="RCF Trombay"/>
    <s v="15-15-15"/>
    <s v="WB"/>
    <x v="17"/>
    <s v="Ranaghat - II"/>
    <s v="User Not Mapped"/>
    <s v="User Not Mapped"/>
    <s v="User Not Mapped"/>
    <n v="1137563"/>
    <s v="M/S Biswajit Ghosh"/>
    <s v="Private Retailer"/>
    <s v="9332394355"/>
    <n v="0.15"/>
    <n v="68"/>
    <x v="6"/>
    <m/>
    <s v="2026-02-11"/>
    <s v="281285"/>
    <s v="Bhabani Prosad Chattopadhy"/>
    <s v="7548026544"/>
  </r>
  <r>
    <s v="RCF Trombay"/>
    <s v="N.C.Urea(45kg)"/>
    <s v="WB"/>
    <x v="17"/>
    <s v="Ranaghat - II"/>
    <s v="User Not Mapped"/>
    <s v="User Not Mapped"/>
    <s v="User Not Mapped"/>
    <n v="1137563"/>
    <s v="M/S Biswajit Ghosh"/>
    <s v="Private Retailer"/>
    <s v="9332394355"/>
    <n v="0.16500000000000001"/>
    <n v="264"/>
    <x v="1"/>
    <m/>
    <s v="2025-07-30"/>
    <s v="281285"/>
    <s v="Bhabani Prosad Chattopadhy"/>
    <s v="7548026544"/>
  </r>
  <r>
    <s v="RCF Trombay"/>
    <s v="N.C.Urea(45kg)"/>
    <s v="WB"/>
    <x v="17"/>
    <s v="Ranaghat - II"/>
    <s v="User Not Mapped"/>
    <s v="User Not Mapped"/>
    <s v="User Not Mapped"/>
    <n v="1137563"/>
    <s v="M/S Biswajit Ghosh"/>
    <s v="Private Retailer"/>
    <s v="9332394355"/>
    <n v="0.45"/>
    <n v="232"/>
    <x v="1"/>
    <m/>
    <s v="2025-08-31"/>
    <s v="281285"/>
    <s v="Bhabani Prosad Chattopadhy"/>
    <s v="7548026544"/>
  </r>
  <r>
    <s v="RCF Import"/>
    <s v="Imp 10-26-26"/>
    <s v="WB"/>
    <x v="17"/>
    <s v="Ranaghat - II"/>
    <s v="User Not Mapped"/>
    <s v="User Not Mapped"/>
    <s v="User Not Mapped"/>
    <n v="1137563"/>
    <s v="M/S Biswajit Ghosh"/>
    <s v="Private Retailer"/>
    <s v="9332394355"/>
    <n v="0.1"/>
    <n v="309"/>
    <x v="1"/>
    <m/>
    <s v="2025-06-15"/>
    <s v="281285"/>
    <s v="Bhabani Prosad Chattopadhy"/>
    <s v="7548026544"/>
  </r>
  <r>
    <s v="RCF Trombay"/>
    <s v="N.C.Urea(45kg)"/>
    <s v="WB"/>
    <x v="17"/>
    <s v="Ranaghat - II"/>
    <s v="User Not Mapped"/>
    <s v="User Not Mapped"/>
    <s v="User Not Mapped"/>
    <n v="1137563"/>
    <s v="M/S Biswajit Ghosh"/>
    <s v="Private Retailer"/>
    <s v="9332394355"/>
    <n v="0.45"/>
    <n v="239"/>
    <x v="1"/>
    <m/>
    <s v="2025-08-24"/>
    <s v="281285"/>
    <s v="Bhabani Prosad Chattopadhy"/>
    <s v="7548026544"/>
  </r>
  <r>
    <s v="RCF Trombay"/>
    <s v="15-15-15"/>
    <s v="WB"/>
    <x v="17"/>
    <s v="Ranaghat - II"/>
    <s v="User Not Mapped"/>
    <s v="User Not Mapped"/>
    <s v="User Not Mapped"/>
    <n v="1560789"/>
    <s v="M/S CHABI DAS"/>
    <s v="Private Retailer"/>
    <s v="8207249410"/>
    <n v="0.3"/>
    <n v="15"/>
    <x v="5"/>
    <m/>
    <s v="2026-04-05"/>
    <s v="281285"/>
    <s v="Bhabani Prosad Chattopadhy"/>
    <s v="7548026544"/>
  </r>
  <r>
    <s v="RCF Trombay"/>
    <s v="15-15-15"/>
    <s v="WB"/>
    <x v="17"/>
    <s v="Chakdah"/>
    <s v="User Not Mapped"/>
    <s v="User Not Mapped"/>
    <s v="User Not Mapped"/>
    <n v="389772"/>
    <s v="M/S Nasarat Ali Mondal"/>
    <s v="Private Retailer"/>
    <s v="7001181704"/>
    <n v="1.25"/>
    <n v="85"/>
    <x v="6"/>
    <m/>
    <s v="2026-01-25"/>
    <s v="281285"/>
    <s v="Bhabani Prosad Chattopadhy"/>
    <s v="7548026544"/>
  </r>
  <r>
    <s v="RCF Trombay"/>
    <s v="15-15-15"/>
    <s v="WB"/>
    <x v="17"/>
    <s v="Chakdah"/>
    <s v="User Not Mapped"/>
    <s v="User Not Mapped"/>
    <s v="User Not Mapped"/>
    <n v="389772"/>
    <s v="M/S Nasarat Ali Mondal"/>
    <s v="Private Retailer"/>
    <s v="7001181704"/>
    <n v="2.5"/>
    <n v="166"/>
    <x v="4"/>
    <m/>
    <s v="2025-11-05"/>
    <s v="281285"/>
    <s v="Bhabani Prosad Chattopadhy"/>
    <s v="7548026544"/>
  </r>
  <r>
    <s v="RCF Trombay"/>
    <s v="15-15-15"/>
    <s v="WB"/>
    <x v="17"/>
    <s v="Chakdah"/>
    <s v="User Not Mapped"/>
    <s v="User Not Mapped"/>
    <s v="User Not Mapped"/>
    <n v="389772"/>
    <s v="M/S Nasarat Ali Mondal"/>
    <s v="Private Retailer"/>
    <s v="7001181704"/>
    <n v="1"/>
    <n v="106"/>
    <x v="7"/>
    <m/>
    <s v="2026-01-04"/>
    <s v="281285"/>
    <s v="Bhabani Prosad Chattopadhy"/>
    <s v="7548026544"/>
  </r>
  <r>
    <s v="RCF Trombay"/>
    <s v="N.C.Urea(45kg)"/>
    <s v="WB"/>
    <x v="17"/>
    <s v="Chakdah"/>
    <s v="User Not Mapped"/>
    <s v="User Not Mapped"/>
    <s v="User Not Mapped"/>
    <n v="389772"/>
    <s v="M/S Nasarat Ali Mondal"/>
    <s v="Private Retailer"/>
    <s v="7001181704"/>
    <n v="0.85499999999999998"/>
    <n v="85"/>
    <x v="6"/>
    <m/>
    <s v="2026-01-25"/>
    <s v="281285"/>
    <s v="Bhabani Prosad Chattopadhy"/>
    <s v="7548026544"/>
  </r>
  <r>
    <s v="RCF Trombay"/>
    <s v="15-15-15"/>
    <s v="WB"/>
    <x v="17"/>
    <s v="Chakdah"/>
    <s v="User Not Mapped"/>
    <s v="User Not Mapped"/>
    <s v="User Not Mapped"/>
    <n v="389772"/>
    <s v="M/S Nasarat Ali Mondal"/>
    <s v="Private Retailer"/>
    <s v="7001181704"/>
    <n v="2"/>
    <n v="138"/>
    <x v="4"/>
    <m/>
    <s v="2025-12-03"/>
    <s v="281285"/>
    <s v="Bhabani Prosad Chattopadhy"/>
    <s v="7548026544"/>
  </r>
  <r>
    <s v="RCF Trombay"/>
    <s v="15-15-15"/>
    <s v="WB"/>
    <x v="17"/>
    <s v="Chakdah"/>
    <s v="User Not Mapped"/>
    <s v="User Not Mapped"/>
    <s v="User Not Mapped"/>
    <n v="389772"/>
    <s v="M/S Nasarat Ali Mondal"/>
    <s v="Private Retailer"/>
    <s v="7001181704"/>
    <n v="0.5"/>
    <n v="68"/>
    <x v="6"/>
    <m/>
    <s v="2026-02-11"/>
    <s v="281285"/>
    <s v="Bhabani Prosad Chattopadhy"/>
    <s v="7548026544"/>
  </r>
  <r>
    <s v="RCF Trombay"/>
    <s v="15-15-15"/>
    <s v="WB"/>
    <x v="17"/>
    <s v="Chakdah"/>
    <s v="User Not Mapped"/>
    <s v="User Not Mapped"/>
    <s v="User Not Mapped"/>
    <n v="389772"/>
    <s v="M/S Nasarat Ali Mondal"/>
    <s v="Private Retailer"/>
    <s v="7001181704"/>
    <n v="1"/>
    <n v="50"/>
    <x v="3"/>
    <m/>
    <s v="2026-03-01"/>
    <s v="281285"/>
    <s v="Bhabani Prosad Chattopadhy"/>
    <s v="7548026544"/>
  </r>
  <r>
    <s v="RCF Import"/>
    <s v="MOP"/>
    <s v="WB"/>
    <x v="17"/>
    <s v="Ranaghat - II"/>
    <s v="User Not Mapped"/>
    <s v="User Not Mapped"/>
    <s v="User Not Mapped"/>
    <n v="516928"/>
    <s v="M/S Ranjit Pal"/>
    <s v="Private Retailer"/>
    <s v="9609034473"/>
    <n v="0.4"/>
    <n v="38"/>
    <x v="3"/>
    <m/>
    <s v="2026-03-13"/>
    <s v="281285"/>
    <s v="Bhabani Prosad Chattopadhy"/>
    <s v="7548026544"/>
  </r>
  <r>
    <s v="RCF Trombay"/>
    <s v="15-15-15"/>
    <s v="WB"/>
    <x v="17"/>
    <s v="Ranaghat - II"/>
    <s v="User Not Mapped"/>
    <s v="User Not Mapped"/>
    <s v="User Not Mapped"/>
    <n v="516928"/>
    <s v="M/S Ranjit Pal"/>
    <s v="Private Retailer"/>
    <s v="9609034473"/>
    <n v="0.4"/>
    <n v="15"/>
    <x v="5"/>
    <m/>
    <s v="2026-04-05"/>
    <s v="281285"/>
    <s v="Bhabani Prosad Chattopadhy"/>
    <s v="7548026544"/>
  </r>
  <r>
    <s v="RCF Import"/>
    <s v="MOP"/>
    <s v="WB"/>
    <x v="17"/>
    <s v="Ranaghat - II"/>
    <s v="User Not Mapped"/>
    <s v="User Not Mapped"/>
    <s v="User Not Mapped"/>
    <n v="516928"/>
    <s v="M/S Ranjit Pal"/>
    <s v="Private Retailer"/>
    <s v="9609034473"/>
    <n v="0.1"/>
    <n v="50"/>
    <x v="3"/>
    <m/>
    <s v="2026-03-01"/>
    <s v="281285"/>
    <s v="Bhabani Prosad Chattopadhy"/>
    <s v="7548026544"/>
  </r>
  <r>
    <s v="RCF Trombay"/>
    <s v="15-15-15"/>
    <s v="WB"/>
    <x v="17"/>
    <s v="Chakdah"/>
    <s v="User Not Mapped"/>
    <s v="User Not Mapped"/>
    <s v="User Not Mapped"/>
    <n v="941947"/>
    <s v="M/s SAHIDUL MONDAL"/>
    <s v="Private Retailer"/>
    <s v="9083370528"/>
    <n v="0.01"/>
    <n v="36"/>
    <x v="3"/>
    <m/>
    <s v="2026-03-15"/>
    <s v="281285"/>
    <s v="Bhabani Prosad Chattopadhy"/>
    <s v="7548026544"/>
  </r>
  <r>
    <s v="RCF Trombay"/>
    <s v="N.C.Urea(45kg)"/>
    <s v="WB"/>
    <x v="17"/>
    <s v="Chakdah"/>
    <s v="User Not Mapped"/>
    <s v="User Not Mapped"/>
    <s v="User Not Mapped"/>
    <n v="941947"/>
    <s v="M/s SAHIDUL MONDAL"/>
    <s v="Private Retailer"/>
    <s v="9083370528"/>
    <n v="0.495"/>
    <n v="50"/>
    <x v="3"/>
    <m/>
    <s v="2026-03-01"/>
    <s v="281285"/>
    <s v="Bhabani Prosad Chattopadhy"/>
    <s v="7548026544"/>
  </r>
  <r>
    <s v="RCF Thal"/>
    <s v="N.C.Urea(45kg)"/>
    <s v="WB"/>
    <x v="17"/>
    <s v="Chakdah"/>
    <s v="User Not Mapped"/>
    <s v="User Not Mapped"/>
    <s v="User Not Mapped"/>
    <n v="941947"/>
    <s v="M/s SAHIDUL MONDAL"/>
    <s v="Private Retailer"/>
    <s v="9083370528"/>
    <n v="0.13500000000000001"/>
    <n v="36"/>
    <x v="3"/>
    <m/>
    <s v="2026-03-15"/>
    <s v="281285"/>
    <s v="Bhabani Prosad Chattopadhy"/>
    <s v="7548026544"/>
  </r>
  <r>
    <s v="RCF Trombay"/>
    <s v="15-15-15"/>
    <s v="WB"/>
    <x v="17"/>
    <s v="Chakdah"/>
    <s v="User Not Mapped"/>
    <s v="User Not Mapped"/>
    <s v="User Not Mapped"/>
    <n v="941947"/>
    <s v="M/s SAHIDUL MONDAL"/>
    <s v="Private Retailer"/>
    <s v="9083370528"/>
    <n v="0.25"/>
    <n v="29"/>
    <x v="5"/>
    <m/>
    <s v="2026-03-22"/>
    <s v="281285"/>
    <s v="Bhabani Prosad Chattopadhy"/>
    <s v="7548026544"/>
  </r>
  <r>
    <s v="RCF Import"/>
    <s v="MOP"/>
    <s v="WB"/>
    <x v="17"/>
    <s v="Ranaghat - II"/>
    <s v="User Not Mapped"/>
    <s v="User Not Mapped"/>
    <s v="User Not Mapped"/>
    <n v="341832"/>
    <s v="Manindra Chandra Sil"/>
    <s v="Private Retailer"/>
    <s v="9333375933"/>
    <n v="0.35"/>
    <n v="17"/>
    <x v="5"/>
    <m/>
    <s v="2026-04-03"/>
    <s v="281285"/>
    <s v="Bhabani Prosad Chattopadhy"/>
    <s v="7548026544"/>
  </r>
  <r>
    <s v="RCF Trombay"/>
    <s v="N.C.Urea(45kg)"/>
    <s v="WB"/>
    <x v="17"/>
    <s v="Ranaghat - II"/>
    <s v="User Not Mapped"/>
    <s v="User Not Mapped"/>
    <s v="User Not Mapped"/>
    <n v="341832"/>
    <s v="Manindra Chandra Sil"/>
    <s v="Private Retailer"/>
    <s v="9333375933"/>
    <n v="0.45"/>
    <n v="82"/>
    <x v="6"/>
    <m/>
    <s v="2026-01-28"/>
    <s v="281285"/>
    <s v="Bhabani Prosad Chattopadhy"/>
    <s v="7548026544"/>
  </r>
  <r>
    <s v="RCF Import"/>
    <s v="Imp 10-26-26"/>
    <s v="WB"/>
    <x v="17"/>
    <s v="Ranaghat - II"/>
    <s v="User Not Mapped"/>
    <s v="User Not Mapped"/>
    <s v="User Not Mapped"/>
    <n v="341832"/>
    <s v="Manindra Chandra Sil"/>
    <s v="Private Retailer"/>
    <s v="9333375933"/>
    <n v="0.5"/>
    <n v="17"/>
    <x v="5"/>
    <m/>
    <s v="2026-04-03"/>
    <s v="281285"/>
    <s v="Bhabani Prosad Chattopadhy"/>
    <s v="7548026544"/>
  </r>
  <r>
    <s v="RCF Import"/>
    <s v="Imp 10-26-26"/>
    <s v="WB"/>
    <x v="17"/>
    <s v="Ranaghat - II"/>
    <s v="User Not Mapped"/>
    <s v="User Not Mapped"/>
    <s v="User Not Mapped"/>
    <n v="341832"/>
    <s v="Manindra Chandra Sil"/>
    <s v="Private Retailer"/>
    <s v="9333375933"/>
    <n v="0.25"/>
    <n v="29"/>
    <x v="5"/>
    <m/>
    <s v="2026-03-22"/>
    <s v="281285"/>
    <s v="Bhabani Prosad Chattopadhy"/>
    <s v="7548026544"/>
  </r>
  <r>
    <s v="RCF Trombay"/>
    <s v="15-15-15"/>
    <s v="WB"/>
    <x v="17"/>
    <s v="Ranaghat - II"/>
    <s v="User Not Mapped"/>
    <s v="User Not Mapped"/>
    <s v="User Not Mapped"/>
    <n v="341832"/>
    <s v="Manindra Chandra Sil"/>
    <s v="Private Retailer"/>
    <s v="9333375933"/>
    <n v="0.7"/>
    <n v="15"/>
    <x v="5"/>
    <m/>
    <s v="2026-04-05"/>
    <s v="281285"/>
    <s v="Bhabani Prosad Chattopadhy"/>
    <s v="7548026544"/>
  </r>
  <r>
    <s v="RCF Import"/>
    <s v="Imp 10-26-26"/>
    <s v="WB"/>
    <x v="17"/>
    <s v="Ranaghat - II"/>
    <s v="User Not Mapped"/>
    <s v="User Not Mapped"/>
    <s v="User Not Mapped"/>
    <n v="341832"/>
    <s v="Manindra Chandra Sil"/>
    <s v="Private Retailer"/>
    <s v="9333375933"/>
    <n v="0.25"/>
    <n v="38"/>
    <x v="3"/>
    <m/>
    <s v="2026-03-13"/>
    <s v="281285"/>
    <s v="Bhabani Prosad Chattopadhy"/>
    <s v="7548026544"/>
  </r>
  <r>
    <s v="RCF Trombay"/>
    <s v="N.C.Urea(45kg)"/>
    <s v="WB"/>
    <x v="17"/>
    <s v="Ranaghat - II"/>
    <s v="User Not Mapped"/>
    <s v="User Not Mapped"/>
    <s v="User Not Mapped"/>
    <n v="341832"/>
    <s v="Manindra Chandra Sil"/>
    <s v="Private Retailer"/>
    <s v="9333375933"/>
    <n v="0.09"/>
    <n v="171"/>
    <x v="4"/>
    <m/>
    <s v="2025-10-31"/>
    <s v="281285"/>
    <s v="Bhabani Prosad Chattopadhy"/>
    <s v="7548026544"/>
  </r>
  <r>
    <s v="RCF Trombay"/>
    <s v="N.C.Urea(45kg)"/>
    <s v="WB"/>
    <x v="17"/>
    <s v="Ranaghat - II"/>
    <s v="User Not Mapped"/>
    <s v="User Not Mapped"/>
    <s v="User Not Mapped"/>
    <n v="341832"/>
    <s v="Manindra Chandra Sil"/>
    <s v="Private Retailer"/>
    <s v="9333375933"/>
    <n v="0.45"/>
    <n v="128"/>
    <x v="4"/>
    <m/>
    <s v="2025-12-13"/>
    <s v="281285"/>
    <s v="Bhabani Prosad Chattopadhy"/>
    <s v="7548026544"/>
  </r>
  <r>
    <s v="RCF Trombay"/>
    <s v="15-15-15"/>
    <s v="WB"/>
    <x v="17"/>
    <m/>
    <s v="User Not Mapped"/>
    <s v="User Not Mapped"/>
    <s v="User Not Mapped"/>
    <n v="341838"/>
    <s v="Manju Ghosh"/>
    <s v="Private Retailer"/>
    <s v="9933839802"/>
    <n v="0.35"/>
    <n v="54"/>
    <x v="3"/>
    <m/>
    <s v="2026-02-25"/>
    <s v="281285"/>
    <s v="Bhabani Prosad Chattopadhy"/>
    <s v="7548026544"/>
  </r>
  <r>
    <s v="RCF Trombay"/>
    <s v="N.C.Urea(45kg)"/>
    <s v="WB"/>
    <x v="17"/>
    <s v="Ranaghat - I"/>
    <s v="User Not Mapped"/>
    <s v="User Not Mapped"/>
    <s v="User Not Mapped"/>
    <n v="342595"/>
    <s v="Mls. SAIDUL ALI SEKH"/>
    <s v="Private Retailer"/>
    <s v="7407767537"/>
    <n v="0.09"/>
    <n v="17"/>
    <x v="5"/>
    <m/>
    <s v="2026-04-03"/>
    <s v="281285"/>
    <s v="Bhabani Prosad Chattopadhy"/>
    <s v="7548026544"/>
  </r>
  <r>
    <s v="RCF Import"/>
    <s v="MOP"/>
    <s v="WB"/>
    <x v="17"/>
    <s v="Ranaghat - I"/>
    <s v="User Not Mapped"/>
    <s v="User Not Mapped"/>
    <s v="User Not Mapped"/>
    <n v="342595"/>
    <s v="Mls. SAIDUL ALI SEKH"/>
    <s v="Private Retailer"/>
    <s v="7407767537"/>
    <n v="0.05"/>
    <n v="36"/>
    <x v="3"/>
    <m/>
    <s v="2026-03-15"/>
    <s v="281285"/>
    <s v="Bhabani Prosad Chattopadhy"/>
    <s v="7548026544"/>
  </r>
  <r>
    <s v="RCF Thal"/>
    <s v="N.C.Urea(45kg)"/>
    <s v="WB"/>
    <x v="17"/>
    <s v="Ranaghat - I"/>
    <s v="User Not Mapped"/>
    <s v="User Not Mapped"/>
    <s v="User Not Mapped"/>
    <n v="342595"/>
    <s v="Mls. SAIDUL ALI SEKH"/>
    <s v="Private Retailer"/>
    <s v="7407767537"/>
    <n v="5.0000000000000001E-3"/>
    <n v="36"/>
    <x v="3"/>
    <m/>
    <s v="2026-03-15"/>
    <s v="281285"/>
    <s v="Bhabani Prosad Chattopadhy"/>
    <s v="7548026544"/>
  </r>
  <r>
    <s v="RCF Trombay"/>
    <s v="15-15-15"/>
    <s v="WB"/>
    <x v="17"/>
    <s v="Ranaghat - I"/>
    <s v="User Not Mapped"/>
    <s v="User Not Mapped"/>
    <s v="User Not Mapped"/>
    <n v="342595"/>
    <s v="Mls. SAIDUL ALI SEKH"/>
    <s v="Private Retailer"/>
    <s v="7407767537"/>
    <n v="0.25"/>
    <n v="17"/>
    <x v="5"/>
    <m/>
    <s v="2026-04-03"/>
    <s v="281285"/>
    <s v="Bhabani Prosad Chattopadhy"/>
    <s v="7548026544"/>
  </r>
  <r>
    <s v="RCF Import"/>
    <s v="Imp 10-26-26"/>
    <s v="WB"/>
    <x v="17"/>
    <s v="Ranaghat - I"/>
    <s v="User Not Mapped"/>
    <s v="User Not Mapped"/>
    <s v="User Not Mapped"/>
    <n v="342595"/>
    <s v="Mls. SAIDUL ALI SEKH"/>
    <s v="Private Retailer"/>
    <s v="7407767537"/>
    <n v="0.25"/>
    <n v="17"/>
    <x v="5"/>
    <m/>
    <s v="2026-04-03"/>
    <s v="281285"/>
    <s v="Bhabani Prosad Chattopadhy"/>
    <s v="7548026544"/>
  </r>
  <r>
    <s v="RCF Import"/>
    <s v="Imp 10-26-26"/>
    <s v="WB"/>
    <x v="17"/>
    <s v="Ranaghat - I"/>
    <s v="User Not Mapped"/>
    <s v="User Not Mapped"/>
    <s v="User Not Mapped"/>
    <n v="342595"/>
    <s v="Mls. SAIDUL ALI SEKH"/>
    <s v="Private Retailer"/>
    <s v="7407767537"/>
    <n v="0.25"/>
    <n v="16"/>
    <x v="5"/>
    <m/>
    <s v="2026-04-04"/>
    <s v="281285"/>
    <s v="Bhabani Prosad Chattopadhy"/>
    <s v="7548026544"/>
  </r>
  <r>
    <s v="RCF Import"/>
    <s v="MOP"/>
    <s v="WB"/>
    <x v="17"/>
    <s v="Ranaghat - I"/>
    <s v="User Not Mapped"/>
    <s v="User Not Mapped"/>
    <s v="User Not Mapped"/>
    <n v="342595"/>
    <s v="Mls. SAIDUL ALI SEKH"/>
    <s v="Private Retailer"/>
    <s v="7407767537"/>
    <n v="0.1"/>
    <n v="16"/>
    <x v="5"/>
    <m/>
    <s v="2026-04-04"/>
    <s v="281285"/>
    <s v="Bhabani Prosad Chattopadhy"/>
    <s v="7548026544"/>
  </r>
  <r>
    <s v="RCF Trombay"/>
    <s v="N.C.Urea(45kg)"/>
    <s v="WB"/>
    <x v="17"/>
    <s v="Ranaghat - I"/>
    <s v="User Not Mapped"/>
    <s v="User Not Mapped"/>
    <s v="User Not Mapped"/>
    <n v="1025130"/>
    <s v="MONDAL FERTILIZER"/>
    <s v="Private Retailer"/>
    <s v="9476186183"/>
    <n v="0.27"/>
    <n v="392"/>
    <x v="0"/>
    <m/>
    <s v="2025-03-24"/>
    <s v="281285"/>
    <s v="Bhabani Prosad Chattopadhy"/>
    <s v="7548026544"/>
  </r>
  <r>
    <s v="RCF Trombay"/>
    <s v="15-15-15"/>
    <s v="WB"/>
    <x v="17"/>
    <s v="Ranaghat - I"/>
    <s v="User Not Mapped"/>
    <s v="User Not Mapped"/>
    <s v="User Not Mapped"/>
    <n v="1025130"/>
    <s v="MONDAL FERTILIZER"/>
    <s v="Private Retailer"/>
    <s v="9476186183"/>
    <n v="0.1"/>
    <n v="15"/>
    <x v="5"/>
    <m/>
    <s v="2026-04-05"/>
    <s v="281285"/>
    <s v="Bhabani Prosad Chattopadhy"/>
    <s v="7548026544"/>
  </r>
  <r>
    <s v="RCF Trombay"/>
    <s v="15-15-15"/>
    <s v="WB"/>
    <x v="17"/>
    <s v="Haringhata"/>
    <s v="User Not Mapped"/>
    <s v="User Not Mapped"/>
    <s v="User Not Mapped"/>
    <n v="218900"/>
    <s v="MONDAL KRISHI BHANDAR"/>
    <s v="Private Retailer"/>
    <s v="9735422115"/>
    <n v="0.9"/>
    <n v="68"/>
    <x v="6"/>
    <m/>
    <s v="2026-02-11"/>
    <s v="281285"/>
    <s v="Bhabani Prosad Chattopadhy"/>
    <s v="7548026544"/>
  </r>
  <r>
    <s v="RCF Trombay"/>
    <s v="15-15-15"/>
    <s v="WB"/>
    <x v="17"/>
    <s v="Ranaghat - II"/>
    <s v="User Not Mapped"/>
    <s v="User Not Mapped"/>
    <s v="User Not Mapped"/>
    <n v="943284"/>
    <s v="MS BISWAS FERTILIZER"/>
    <s v="Private Retailer"/>
    <s v="9734860094"/>
    <n v="1.7999999999999999E-2"/>
    <n v="392"/>
    <x v="0"/>
    <m/>
    <s v="2025-03-24"/>
    <s v="281285"/>
    <s v="Bhabani Prosad Chattopadhy"/>
    <s v="7548026544"/>
  </r>
  <r>
    <s v="RCF Import"/>
    <s v="Imp 10-26-26"/>
    <s v="WB"/>
    <x v="17"/>
    <s v="Ranaghat - II"/>
    <s v="User Not Mapped"/>
    <s v="User Not Mapped"/>
    <s v="User Not Mapped"/>
    <n v="943284"/>
    <s v="MS BISWAS FERTILIZER"/>
    <s v="Private Retailer"/>
    <s v="9734860094"/>
    <n v="0.05"/>
    <n v="484"/>
    <x v="0"/>
    <m/>
    <s v="2024-12-22"/>
    <s v="281285"/>
    <s v="Bhabani Prosad Chattopadhy"/>
    <s v="7548026544"/>
  </r>
  <r>
    <s v="RCF Trombay"/>
    <s v="N.C.Urea(45kg)"/>
    <s v="WB"/>
    <x v="17"/>
    <s v="Ranaghat - II"/>
    <s v="User Not Mapped"/>
    <s v="User Not Mapped"/>
    <s v="User Not Mapped"/>
    <n v="943284"/>
    <s v="MS BISWAS FERTILIZER"/>
    <s v="Private Retailer"/>
    <s v="9734860094"/>
    <n v="5.0000000000000001E-3"/>
    <n v="529"/>
    <x v="0"/>
    <m/>
    <s v="2024-11-07"/>
    <s v="281285"/>
    <s v="Bhabani Prosad Chattopadhy"/>
    <s v="7548026544"/>
  </r>
  <r>
    <s v="RCF Thal"/>
    <s v="N.C.Urea(45kg)"/>
    <s v="WB"/>
    <x v="17"/>
    <s v="Ranaghat - II"/>
    <s v="User Not Mapped"/>
    <s v="User Not Mapped"/>
    <s v="User Not Mapped"/>
    <n v="943284"/>
    <s v="MS BISWAS FERTILIZER"/>
    <s v="Private Retailer"/>
    <s v="9734860094"/>
    <n v="0.04"/>
    <n v="939"/>
    <x v="2"/>
    <m/>
    <s v="2023-09-24"/>
    <s v="281285"/>
    <s v="Bhabani Prosad Chattopadhy"/>
    <s v="7548026544"/>
  </r>
  <r>
    <s v="RCF Trombay"/>
    <s v="15-15-15"/>
    <s v="WB"/>
    <x v="17"/>
    <s v="Chakdah"/>
    <s v="User Not Mapped"/>
    <s v="User Not Mapped"/>
    <s v="User Not Mapped"/>
    <n v="1274577"/>
    <s v="MS RABIUL MONDAL"/>
    <s v="Private Retailer"/>
    <s v="9064793495"/>
    <n v="0.25"/>
    <n v="29"/>
    <x v="5"/>
    <m/>
    <s v="2026-03-22"/>
    <s v="281285"/>
    <s v="Bhabani Prosad Chattopadhy"/>
    <s v="7548026544"/>
  </r>
  <r>
    <s v="RCF Trombay"/>
    <s v="15-15-15"/>
    <s v="WB"/>
    <x v="17"/>
    <s v="Chakdah"/>
    <s v="User Not Mapped"/>
    <s v="User Not Mapped"/>
    <s v="User Not Mapped"/>
    <n v="1274577"/>
    <s v="MS RABIUL MONDAL"/>
    <s v="Private Retailer"/>
    <s v="9064793495"/>
    <n v="0.5"/>
    <n v="50"/>
    <x v="3"/>
    <m/>
    <s v="2026-03-01"/>
    <s v="281285"/>
    <s v="Bhabani Prosad Chattopadhy"/>
    <s v="7548026544"/>
  </r>
  <r>
    <s v="RCF Trombay"/>
    <s v="15-15-15"/>
    <s v="WB"/>
    <x v="17"/>
    <s v="Chakdah"/>
    <s v="User Not Mapped"/>
    <s v="User Not Mapped"/>
    <s v="User Not Mapped"/>
    <n v="1274577"/>
    <s v="MS RABIUL MONDAL"/>
    <s v="Private Retailer"/>
    <s v="9064793495"/>
    <n v="0.25"/>
    <n v="36"/>
    <x v="3"/>
    <m/>
    <s v="2026-03-15"/>
    <s v="281285"/>
    <s v="Bhabani Prosad Chattopadhy"/>
    <s v="7548026544"/>
  </r>
  <r>
    <s v="RCF Import"/>
    <s v="Imp 10-26-26"/>
    <s v="WB"/>
    <x v="17"/>
    <s v="Chakdah"/>
    <s v="User Not Mapped"/>
    <s v="User Not Mapped"/>
    <s v="User Not Mapped"/>
    <n v="1274577"/>
    <s v="MS RABIUL MONDAL"/>
    <s v="Private Retailer"/>
    <s v="9064793495"/>
    <n v="0.15"/>
    <n v="36"/>
    <x v="3"/>
    <m/>
    <s v="2026-03-15"/>
    <s v="281285"/>
    <s v="Bhabani Prosad Chattopadhy"/>
    <s v="7548026544"/>
  </r>
  <r>
    <s v="RCF Import"/>
    <s v="MOP"/>
    <s v="WB"/>
    <x v="17"/>
    <s v="Chakdah"/>
    <s v="User Not Mapped"/>
    <s v="User Not Mapped"/>
    <s v="User Not Mapped"/>
    <n v="1274577"/>
    <s v="MS RABIUL MONDAL"/>
    <s v="Private Retailer"/>
    <s v="9064793495"/>
    <n v="7.0000000000000007E-2"/>
    <n v="36"/>
    <x v="3"/>
    <m/>
    <s v="2026-03-15"/>
    <s v="281285"/>
    <s v="Bhabani Prosad Chattopadhy"/>
    <s v="7548026544"/>
  </r>
  <r>
    <s v="RCF Trombay"/>
    <s v="15-15-15"/>
    <s v="WB"/>
    <x v="17"/>
    <s v="Chakdah"/>
    <s v="User Not Mapped"/>
    <s v="User Not Mapped"/>
    <s v="User Not Mapped"/>
    <n v="1274577"/>
    <s v="MS RABIUL MONDAL"/>
    <s v="Private Retailer"/>
    <s v="9064793495"/>
    <n v="7.4999999999999997E-2"/>
    <n v="85"/>
    <x v="6"/>
    <m/>
    <s v="2026-01-25"/>
    <s v="281285"/>
    <s v="Bhabani Prosad Chattopadhy"/>
    <s v="7548026544"/>
  </r>
  <r>
    <s v="RCF Trombay"/>
    <s v="15-15-15"/>
    <s v="WB"/>
    <x v="17"/>
    <s v="Chakdah"/>
    <s v="User Not Mapped"/>
    <s v="User Not Mapped"/>
    <s v="User Not Mapped"/>
    <n v="1274577"/>
    <s v="MS RABIUL MONDAL"/>
    <s v="Private Retailer"/>
    <s v="9064793495"/>
    <n v="0.25"/>
    <n v="68"/>
    <x v="6"/>
    <m/>
    <s v="2026-02-11"/>
    <s v="281285"/>
    <s v="Bhabani Prosad Chattopadhy"/>
    <s v="7548026544"/>
  </r>
  <r>
    <s v="RCF Import"/>
    <s v="MOP"/>
    <s v="WB"/>
    <x v="17"/>
    <s v="Ranaghat - II"/>
    <s v="User Not Mapped"/>
    <s v="User Not Mapped"/>
    <s v="User Not Mapped"/>
    <n v="943290"/>
    <s v="NETAIPADA DEY"/>
    <s v="Private Retailer"/>
    <s v="9434129741"/>
    <n v="2.75"/>
    <n v="29"/>
    <x v="5"/>
    <m/>
    <s v="2026-03-22"/>
    <s v="281285"/>
    <s v="Bhabani Prosad Chattopadhy"/>
    <s v="7548026544"/>
  </r>
  <r>
    <s v="RCF Trombay"/>
    <s v="15-15-15"/>
    <s v="WB"/>
    <x v="17"/>
    <s v="Ranaghat - II"/>
    <s v="User Not Mapped"/>
    <s v="User Not Mapped"/>
    <s v="User Not Mapped"/>
    <n v="943290"/>
    <s v="NETAIPADA DEY"/>
    <s v="Private Retailer"/>
    <s v="9434129741"/>
    <n v="1.5"/>
    <n v="50"/>
    <x v="3"/>
    <m/>
    <s v="2026-03-01"/>
    <s v="281285"/>
    <s v="Bhabani Prosad Chattopadhy"/>
    <s v="7548026544"/>
  </r>
  <r>
    <s v="RCF Thal"/>
    <s v="N.C.Urea(45kg)"/>
    <s v="WB"/>
    <x v="17"/>
    <s v="Ranaghat - II"/>
    <s v="User Not Mapped"/>
    <s v="User Not Mapped"/>
    <s v="User Not Mapped"/>
    <n v="943290"/>
    <s v="NETAIPADA DEY"/>
    <s v="Private Retailer"/>
    <s v="9434129741"/>
    <n v="4.32"/>
    <n v="36"/>
    <x v="3"/>
    <m/>
    <s v="2026-03-15"/>
    <s v="281285"/>
    <s v="Bhabani Prosad Chattopadhy"/>
    <s v="7548026544"/>
  </r>
  <r>
    <s v="RCF Trombay"/>
    <s v="15-15-15"/>
    <s v="WB"/>
    <x v="17"/>
    <s v="Ranaghat - II"/>
    <s v="User Not Mapped"/>
    <s v="User Not Mapped"/>
    <s v="User Not Mapped"/>
    <n v="943290"/>
    <s v="NETAIPADA DEY"/>
    <s v="Private Retailer"/>
    <s v="9434129741"/>
    <n v="0.1"/>
    <n v="75"/>
    <x v="6"/>
    <m/>
    <s v="2026-02-04"/>
    <s v="281285"/>
    <s v="Bhabani Prosad Chattopadhy"/>
    <s v="7548026544"/>
  </r>
  <r>
    <s v="RCF Import"/>
    <s v="MOP"/>
    <s v="WB"/>
    <x v="17"/>
    <s v="Chakdah"/>
    <s v="User Not Mapped"/>
    <s v="User Not Mapped"/>
    <s v="User Not Mapped"/>
    <n v="342104"/>
    <s v="Nirmal Kr. Ghosh"/>
    <s v="Private Retailer"/>
    <s v="7699015408"/>
    <n v="0.24299999999999999"/>
    <n v="38"/>
    <x v="3"/>
    <m/>
    <s v="2026-03-13"/>
    <s v="281285"/>
    <s v="Bhabani Prosad Chattopadhy"/>
    <s v="7548026544"/>
  </r>
  <r>
    <s v="RCF Trombay"/>
    <s v="15-15-15"/>
    <s v="WB"/>
    <x v="17"/>
    <s v="Chakdah"/>
    <s v="User Not Mapped"/>
    <s v="User Not Mapped"/>
    <s v="User Not Mapped"/>
    <n v="342104"/>
    <s v="Nirmal Kr. Ghosh"/>
    <s v="Private Retailer"/>
    <s v="7699015408"/>
    <n v="0.36"/>
    <n v="38"/>
    <x v="3"/>
    <m/>
    <s v="2026-03-13"/>
    <s v="281285"/>
    <s v="Bhabani Prosad Chattopadhy"/>
    <s v="7548026544"/>
  </r>
  <r>
    <s v="RCF Import"/>
    <s v="Imp 10-26-26"/>
    <s v="WB"/>
    <x v="17"/>
    <s v="Chakdah"/>
    <s v="User Not Mapped"/>
    <s v="User Not Mapped"/>
    <s v="User Not Mapped"/>
    <n v="342104"/>
    <s v="Nirmal Kr. Ghosh"/>
    <s v="Private Retailer"/>
    <s v="7699015408"/>
    <n v="0.25"/>
    <n v="38"/>
    <x v="3"/>
    <m/>
    <s v="2026-03-13"/>
    <s v="281285"/>
    <s v="Bhabani Prosad Chattopadhy"/>
    <s v="7548026544"/>
  </r>
  <r>
    <s v="RCF Trombay"/>
    <s v="N.C.Urea(45kg)"/>
    <s v="WB"/>
    <x v="17"/>
    <m/>
    <s v="User Not Mapped"/>
    <s v="User Not Mapped"/>
    <s v="User Not Mapped"/>
    <n v="342153"/>
    <s v="Paresh Ch. Tarafder"/>
    <s v="Private Retailer"/>
    <s v="7431855016"/>
    <n v="1.35"/>
    <n v="281"/>
    <x v="1"/>
    <m/>
    <s v="2025-07-13"/>
    <s v="281285"/>
    <s v="Bhabani Prosad Chattopadhy"/>
    <s v="7548026544"/>
  </r>
  <r>
    <s v="RCF Trombay"/>
    <s v="15-15-15"/>
    <s v="WB"/>
    <x v="17"/>
    <m/>
    <s v="User Not Mapped"/>
    <s v="User Not Mapped"/>
    <s v="User Not Mapped"/>
    <n v="342153"/>
    <s v="Paresh Ch. Tarafder"/>
    <s v="Private Retailer"/>
    <s v="7431855016"/>
    <n v="1.55"/>
    <n v="239"/>
    <x v="1"/>
    <m/>
    <s v="2025-08-24"/>
    <s v="281285"/>
    <s v="Bhabani Prosad Chattopadhy"/>
    <s v="7548026544"/>
  </r>
  <r>
    <s v="RCF Import"/>
    <s v="Imp 10-26-26"/>
    <s v="WB"/>
    <x v="17"/>
    <m/>
    <s v="User Not Mapped"/>
    <s v="User Not Mapped"/>
    <s v="User Not Mapped"/>
    <n v="342153"/>
    <s v="Paresh Ch. Tarafder"/>
    <s v="Private Retailer"/>
    <s v="7431855016"/>
    <n v="1.5"/>
    <n v="330"/>
    <x v="1"/>
    <m/>
    <s v="2025-05-25"/>
    <s v="281285"/>
    <s v="Bhabani Prosad Chattopadhy"/>
    <s v="7548026544"/>
  </r>
  <r>
    <s v="RCF Import"/>
    <s v="Imp 10-26-26"/>
    <s v="WB"/>
    <x v="17"/>
    <m/>
    <s v="User Not Mapped"/>
    <s v="User Not Mapped"/>
    <s v="User Not Mapped"/>
    <n v="342153"/>
    <s v="Paresh Ch. Tarafder"/>
    <s v="Private Retailer"/>
    <s v="7431855016"/>
    <n v="0.55000000000000004"/>
    <n v="337"/>
    <x v="1"/>
    <m/>
    <s v="2025-05-18"/>
    <s v="281285"/>
    <s v="Bhabani Prosad Chattopadhy"/>
    <s v="7548026544"/>
  </r>
  <r>
    <s v="RCF Trombay"/>
    <s v="15-15-15"/>
    <s v="WB"/>
    <x v="17"/>
    <m/>
    <s v="User Not Mapped"/>
    <s v="User Not Mapped"/>
    <s v="User Not Mapped"/>
    <n v="342153"/>
    <s v="Paresh Ch. Tarafder"/>
    <s v="Private Retailer"/>
    <s v="7431855016"/>
    <n v="1"/>
    <n v="281"/>
    <x v="1"/>
    <m/>
    <s v="2025-07-13"/>
    <s v="281285"/>
    <s v="Bhabani Prosad Chattopadhy"/>
    <s v="7548026544"/>
  </r>
  <r>
    <s v="RCF Trombay"/>
    <s v="N.C.Urea(45kg)"/>
    <s v="WB"/>
    <x v="17"/>
    <s v="Chakdah"/>
    <s v="User Not Mapped"/>
    <s v="User Not Mapped"/>
    <s v="User Not Mapped"/>
    <n v="941626"/>
    <s v="PRADIP KUMAR DAS"/>
    <s v="Private Retailer"/>
    <s v="8317855607"/>
    <n v="0.05"/>
    <n v="785"/>
    <x v="2"/>
    <m/>
    <s v="2024-02-25"/>
    <s v="281285"/>
    <s v="Bhabani Prosad Chattopadhy"/>
    <s v="7548026544"/>
  </r>
  <r>
    <s v="RCF Trombay"/>
    <s v="15-15-15"/>
    <s v="WB"/>
    <x v="17"/>
    <m/>
    <s v="User Not Mapped"/>
    <s v="User Not Mapped"/>
    <s v="User Not Mapped"/>
    <n v="342635"/>
    <s v="Prasanta Ghosh"/>
    <s v="Private Retailer"/>
    <s v="8101229222"/>
    <n v="1.9"/>
    <n v="85"/>
    <x v="6"/>
    <m/>
    <s v="2026-01-25"/>
    <s v="281285"/>
    <s v="Bhabani Prosad Chattopadhy"/>
    <s v="7548026544"/>
  </r>
  <r>
    <s v="RCF Import"/>
    <s v="MOP"/>
    <s v="WB"/>
    <x v="17"/>
    <s v="Chakdah"/>
    <s v="User Not Mapped"/>
    <s v="User Not Mapped"/>
    <s v="User Not Mapped"/>
    <n v="941921"/>
    <s v="RABIYAL HOSSAIN"/>
    <s v="Private Retailer"/>
    <s v="8250672496"/>
    <n v="1.4"/>
    <n v="462"/>
    <x v="0"/>
    <m/>
    <s v="2025-01-13"/>
    <s v="281285"/>
    <s v="Bhabani Prosad Chattopadhy"/>
    <s v="7548026544"/>
  </r>
  <r>
    <s v="RCF Trombay"/>
    <s v="15-15-15"/>
    <s v="WB"/>
    <x v="17"/>
    <s v="Chakdah"/>
    <s v="User Not Mapped"/>
    <s v="User Not Mapped"/>
    <s v="User Not Mapped"/>
    <n v="941921"/>
    <s v="RABIYAL HOSSAIN"/>
    <s v="Private Retailer"/>
    <s v="8250672496"/>
    <n v="2.5499999999999998"/>
    <n v="138"/>
    <x v="4"/>
    <m/>
    <s v="2025-12-03"/>
    <s v="281285"/>
    <s v="Bhabani Prosad Chattopadhy"/>
    <s v="7548026544"/>
  </r>
  <r>
    <s v="RCF Thal"/>
    <s v="N.C.Urea(45kg)"/>
    <s v="WB"/>
    <x v="17"/>
    <s v="Chakdah"/>
    <s v="User Not Mapped"/>
    <s v="User Not Mapped"/>
    <s v="User Not Mapped"/>
    <n v="941921"/>
    <s v="RABIYAL HOSSAIN"/>
    <s v="Private Retailer"/>
    <s v="8250672496"/>
    <n v="1.575"/>
    <n v="36"/>
    <x v="3"/>
    <m/>
    <s v="2026-03-15"/>
    <s v="281285"/>
    <s v="Bhabani Prosad Chattopadhy"/>
    <s v="7548026544"/>
  </r>
  <r>
    <s v="RCF Trombay"/>
    <s v="N.C.Urea(45kg)"/>
    <s v="WB"/>
    <x v="17"/>
    <m/>
    <s v="User Not Mapped"/>
    <s v="User Not Mapped"/>
    <s v="User Not Mapped"/>
    <n v="1032578"/>
    <s v="RAKIBUL HAQUE"/>
    <s v="Private Retailer"/>
    <s v="9564724839"/>
    <n v="0.35499999999999998"/>
    <n v="2584"/>
    <x v="2"/>
    <m/>
    <s v="2019-03-24"/>
    <s v="281285"/>
    <s v="Bhabani Prosad Chattopadhy"/>
    <s v="7548026544"/>
  </r>
  <r>
    <s v="RCF Trombay"/>
    <s v="15-15-15"/>
    <s v="WB"/>
    <x v="17"/>
    <m/>
    <s v="User Not Mapped"/>
    <s v="User Not Mapped"/>
    <s v="User Not Mapped"/>
    <n v="1032578"/>
    <s v="RAKIBUL HAQUE"/>
    <s v="Private Retailer"/>
    <s v="9564724839"/>
    <n v="0.14499999999999999"/>
    <n v="2584"/>
    <x v="2"/>
    <m/>
    <s v="2019-03-24"/>
    <s v="281285"/>
    <s v="Bhabani Prosad Chattopadhy"/>
    <s v="7548026544"/>
  </r>
  <r>
    <s v="RCF Trombay"/>
    <s v="15-15-15"/>
    <s v="WB"/>
    <x v="17"/>
    <s v="Ranaghat - II"/>
    <s v="User Not Mapped"/>
    <s v="User Not Mapped"/>
    <s v="User Not Mapped"/>
    <n v="943314"/>
    <s v="RAMJAN ALI SEIKH"/>
    <s v="Private Retailer"/>
    <s v="9609696884"/>
    <n v="0.25"/>
    <n v="29"/>
    <x v="5"/>
    <m/>
    <s v="2026-03-22"/>
    <s v="281285"/>
    <s v="Bhabani Prosad Chattopadhy"/>
    <s v="7548026544"/>
  </r>
  <r>
    <s v="RCF Trombay"/>
    <s v="15-15-15"/>
    <s v="WB"/>
    <x v="17"/>
    <s v="Ranaghat - II"/>
    <s v="User Not Mapped"/>
    <s v="User Not Mapped"/>
    <s v="User Not Mapped"/>
    <n v="943314"/>
    <s v="RAMJAN ALI SEIKH"/>
    <s v="Private Retailer"/>
    <s v="9609696884"/>
    <n v="0.25"/>
    <n v="50"/>
    <x v="3"/>
    <m/>
    <s v="2026-03-01"/>
    <s v="281285"/>
    <s v="Bhabani Prosad Chattopadhy"/>
    <s v="7548026544"/>
  </r>
  <r>
    <s v="RCF Import"/>
    <s v="Imp 10-26-26"/>
    <s v="WB"/>
    <x v="17"/>
    <s v="Ranaghat - II"/>
    <s v="User Not Mapped"/>
    <s v="User Not Mapped"/>
    <s v="User Not Mapped"/>
    <n v="943314"/>
    <s v="RAMJAN ALI SEIKH"/>
    <s v="Private Retailer"/>
    <s v="9609696884"/>
    <n v="0.25"/>
    <n v="17"/>
    <x v="5"/>
    <m/>
    <s v="2026-04-03"/>
    <s v="281285"/>
    <s v="Bhabani Prosad Chattopadhy"/>
    <s v="7548026544"/>
  </r>
  <r>
    <s v="RCF Import"/>
    <s v="Imp 10-26-26"/>
    <s v="WB"/>
    <x v="17"/>
    <s v="Ranaghat - II"/>
    <s v="User Not Mapped"/>
    <s v="User Not Mapped"/>
    <s v="User Not Mapped"/>
    <n v="943314"/>
    <s v="RAMJAN ALI SEIKH"/>
    <s v="Private Retailer"/>
    <s v="9609696884"/>
    <n v="0.25"/>
    <n v="29"/>
    <x v="5"/>
    <m/>
    <s v="2026-03-22"/>
    <s v="281285"/>
    <s v="Bhabani Prosad Chattopadhy"/>
    <s v="7548026544"/>
  </r>
  <r>
    <s v="RCF Trombay"/>
    <s v="15-15-15"/>
    <s v="WB"/>
    <x v="17"/>
    <s v="Ranaghat - II"/>
    <s v="User Not Mapped"/>
    <s v="User Not Mapped"/>
    <s v="User Not Mapped"/>
    <n v="943314"/>
    <s v="RAMJAN ALI SEIKH"/>
    <s v="Private Retailer"/>
    <s v="9609696884"/>
    <n v="0.25"/>
    <n v="17"/>
    <x v="5"/>
    <m/>
    <s v="2026-04-03"/>
    <s v="281285"/>
    <s v="Bhabani Prosad Chattopadhy"/>
    <s v="7548026544"/>
  </r>
  <r>
    <s v="RCF Trombay"/>
    <s v="N.C.Urea(45kg)"/>
    <s v="WB"/>
    <x v="17"/>
    <s v="Ranaghat - II"/>
    <s v="User Not Mapped"/>
    <s v="User Not Mapped"/>
    <s v="User Not Mapped"/>
    <n v="943314"/>
    <s v="RAMJAN ALI SEIKH"/>
    <s v="Private Retailer"/>
    <s v="9609696884"/>
    <n v="0.40500000000000003"/>
    <n v="64"/>
    <x v="6"/>
    <m/>
    <s v="2026-02-15"/>
    <s v="281285"/>
    <s v="Bhabani Prosad Chattopadhy"/>
    <s v="7548026544"/>
  </r>
  <r>
    <s v="RCF Trombay"/>
    <s v="N.C.Urea(45kg)"/>
    <s v="WB"/>
    <x v="17"/>
    <s v="Ranaghat - II"/>
    <s v="User Not Mapped"/>
    <s v="User Not Mapped"/>
    <s v="User Not Mapped"/>
    <n v="943314"/>
    <s v="RAMJAN ALI SEIKH"/>
    <s v="Private Retailer"/>
    <s v="9609696884"/>
    <n v="0.9"/>
    <n v="85"/>
    <x v="6"/>
    <m/>
    <s v="2026-01-25"/>
    <s v="281285"/>
    <s v="Bhabani Prosad Chattopadhy"/>
    <s v="7548026544"/>
  </r>
  <r>
    <s v="RCF Trombay"/>
    <s v="15-15-15"/>
    <s v="WB"/>
    <x v="17"/>
    <s v="Ranaghat - II"/>
    <s v="User Not Mapped"/>
    <s v="User Not Mapped"/>
    <s v="User Not Mapped"/>
    <n v="943314"/>
    <s v="RAMJAN ALI SEIKH"/>
    <s v="Private Retailer"/>
    <s v="9609696884"/>
    <n v="0.5"/>
    <n v="75"/>
    <x v="6"/>
    <m/>
    <s v="2026-02-04"/>
    <s v="281285"/>
    <s v="Bhabani Prosad Chattopadhy"/>
    <s v="7548026544"/>
  </r>
  <r>
    <s v="RCF Trombay"/>
    <s v="15-15-15"/>
    <s v="WB"/>
    <x v="17"/>
    <s v="Ranaghat - II"/>
    <s v="User Not Mapped"/>
    <s v="User Not Mapped"/>
    <s v="User Not Mapped"/>
    <n v="943314"/>
    <s v="RAMJAN ALI SEIKH"/>
    <s v="Private Retailer"/>
    <s v="9609696884"/>
    <n v="0.25"/>
    <n v="85"/>
    <x v="6"/>
    <m/>
    <s v="2026-01-25"/>
    <s v="281285"/>
    <s v="Bhabani Prosad Chattopadhy"/>
    <s v="7548026544"/>
  </r>
  <r>
    <s v="RCF Import"/>
    <s v="MOP"/>
    <s v="WB"/>
    <x v="17"/>
    <s v="Ranaghat - II"/>
    <s v="User Not Mapped"/>
    <s v="User Not Mapped"/>
    <s v="User Not Mapped"/>
    <n v="943314"/>
    <s v="RAMJAN ALI SEIKH"/>
    <s v="Private Retailer"/>
    <s v="9609696884"/>
    <n v="0.25"/>
    <n v="38"/>
    <x v="3"/>
    <m/>
    <s v="2026-03-13"/>
    <s v="281285"/>
    <s v="Bhabani Prosad Chattopadhy"/>
    <s v="7548026544"/>
  </r>
  <r>
    <s v="RCF Import"/>
    <s v="MOP"/>
    <s v="WB"/>
    <x v="17"/>
    <s v="Ranaghat - II"/>
    <s v="User Not Mapped"/>
    <s v="User Not Mapped"/>
    <s v="User Not Mapped"/>
    <n v="943314"/>
    <s v="RAMJAN ALI SEIKH"/>
    <s v="Private Retailer"/>
    <s v="9609696884"/>
    <n v="0.45"/>
    <n v="50"/>
    <x v="3"/>
    <m/>
    <s v="2026-03-01"/>
    <s v="281285"/>
    <s v="Bhabani Prosad Chattopadhy"/>
    <s v="7548026544"/>
  </r>
  <r>
    <s v="RCF Import"/>
    <s v="Imp 10-26-26"/>
    <s v="WB"/>
    <x v="17"/>
    <s v="Ranaghat - II"/>
    <s v="User Not Mapped"/>
    <s v="User Not Mapped"/>
    <s v="User Not Mapped"/>
    <n v="943314"/>
    <s v="RAMJAN ALI SEIKH"/>
    <s v="Private Retailer"/>
    <s v="9609696884"/>
    <n v="0.15"/>
    <n v="50"/>
    <x v="3"/>
    <m/>
    <s v="2026-03-01"/>
    <s v="281285"/>
    <s v="Bhabani Prosad Chattopadhy"/>
    <s v="7548026544"/>
  </r>
  <r>
    <s v="RCF Thal"/>
    <s v="N.C.Urea(45kg)"/>
    <s v="WB"/>
    <x v="17"/>
    <s v="Ranaghat - II"/>
    <s v="User Not Mapped"/>
    <s v="User Not Mapped"/>
    <s v="User Not Mapped"/>
    <n v="943861"/>
    <s v="RANJIT CHAKRABORTY"/>
    <s v="Private Retailer"/>
    <s v="7318776584"/>
    <n v="0.27"/>
    <n v="441"/>
    <x v="0"/>
    <m/>
    <s v="2025-02-03"/>
    <s v="281285"/>
    <s v="Bhabani Prosad Chattopadhy"/>
    <s v="7548026544"/>
  </r>
  <r>
    <s v="RCF Trombay"/>
    <s v="N.C.Urea(45kg)"/>
    <s v="WB"/>
    <x v="17"/>
    <s v="Ranaghat - II"/>
    <s v="User Not Mapped"/>
    <s v="User Not Mapped"/>
    <s v="User Not Mapped"/>
    <n v="943861"/>
    <s v="RANJIT CHAKRABORTY"/>
    <s v="Private Retailer"/>
    <s v="7318776584"/>
    <n v="0.315"/>
    <n v="428"/>
    <x v="0"/>
    <m/>
    <s v="2025-02-16"/>
    <s v="281285"/>
    <s v="Bhabani Prosad Chattopadhy"/>
    <s v="7548026544"/>
  </r>
  <r>
    <s v="RCF Trombay"/>
    <s v="N.C.Urea(45kg)"/>
    <s v="WB"/>
    <x v="17"/>
    <s v="Ranaghat - II"/>
    <s v="User Not Mapped"/>
    <s v="User Not Mapped"/>
    <s v="User Not Mapped"/>
    <n v="943861"/>
    <s v="RANJIT CHAKRABORTY"/>
    <s v="Private Retailer"/>
    <s v="7318776584"/>
    <n v="0.45"/>
    <n v="383"/>
    <x v="0"/>
    <m/>
    <s v="2025-04-02"/>
    <s v="281285"/>
    <s v="Bhabani Prosad Chattopadhy"/>
    <s v="7548026544"/>
  </r>
  <r>
    <s v="RCF Trombay"/>
    <s v="15-15-15"/>
    <s v="WB"/>
    <x v="17"/>
    <s v="Ranaghat - II"/>
    <s v="User Not Mapped"/>
    <s v="User Not Mapped"/>
    <s v="User Not Mapped"/>
    <n v="943861"/>
    <s v="RANJIT CHAKRABORTY"/>
    <s v="Private Retailer"/>
    <s v="7318776584"/>
    <n v="0.223"/>
    <n v="342"/>
    <x v="1"/>
    <m/>
    <s v="2025-05-13"/>
    <s v="281285"/>
    <s v="Bhabani Prosad Chattopadhy"/>
    <s v="7548026544"/>
  </r>
  <r>
    <s v="RCF Import"/>
    <s v="Imp 10-26-26"/>
    <s v="WB"/>
    <x v="17"/>
    <s v="Ranaghat - II"/>
    <s v="User Not Mapped"/>
    <s v="User Not Mapped"/>
    <s v="User Not Mapped"/>
    <n v="943861"/>
    <s v="RANJIT CHAKRABORTY"/>
    <s v="Private Retailer"/>
    <s v="7318776584"/>
    <n v="0.05"/>
    <n v="330"/>
    <x v="1"/>
    <m/>
    <s v="2025-05-25"/>
    <s v="281285"/>
    <s v="Bhabani Prosad Chattopadhy"/>
    <s v="7548026544"/>
  </r>
  <r>
    <s v="RCF Trombay"/>
    <s v="N.C.Urea(45kg)"/>
    <s v="WB"/>
    <x v="17"/>
    <s v="Ranaghat - II"/>
    <s v="User Not Mapped"/>
    <s v="User Not Mapped"/>
    <s v="User Not Mapped"/>
    <n v="943861"/>
    <s v="RANJIT CHAKRABORTY"/>
    <s v="Private Retailer"/>
    <s v="7318776584"/>
    <n v="0.33"/>
    <n v="463"/>
    <x v="0"/>
    <m/>
    <s v="2025-01-12"/>
    <s v="281285"/>
    <s v="Bhabani Prosad Chattopadhy"/>
    <s v="7548026544"/>
  </r>
  <r>
    <s v="RCF Trombay"/>
    <s v="15-15-15"/>
    <s v="WB"/>
    <x v="17"/>
    <s v="Haringhata"/>
    <s v="User Not Mapped"/>
    <s v="User Not Mapped"/>
    <s v="User Not Mapped"/>
    <n v="356077"/>
    <s v="Robiyal Hossain"/>
    <s v="Private Retailer"/>
    <s v="9434554536"/>
    <n v="0.75"/>
    <n v="713"/>
    <x v="2"/>
    <m/>
    <s v="2024-05-07"/>
    <s v="281285"/>
    <s v="Bhabani Prosad Chattopadhy"/>
    <s v="7548026544"/>
  </r>
  <r>
    <s v="RCF Trombay"/>
    <s v="N.C.Urea(45kg)"/>
    <s v="WB"/>
    <x v="17"/>
    <s v="Haringhata"/>
    <s v="User Not Mapped"/>
    <s v="User Not Mapped"/>
    <s v="User Not Mapped"/>
    <n v="356077"/>
    <s v="Robiyal Hossain"/>
    <s v="Private Retailer"/>
    <s v="9434554536"/>
    <n v="0.01"/>
    <n v="861"/>
    <x v="2"/>
    <m/>
    <s v="2023-12-11"/>
    <s v="281285"/>
    <s v="Bhabani Prosad Chattopadhy"/>
    <s v="7548026544"/>
  </r>
  <r>
    <s v="RCF Trombay"/>
    <s v="15-15-15"/>
    <s v="WB"/>
    <x v="17"/>
    <s v="Ranaghat - II"/>
    <s v="User Not Mapped"/>
    <s v="User Not Mapped"/>
    <s v="User Not Mapped"/>
    <n v="1062106"/>
    <s v="SAKENDER ALI SEKH BHANGI"/>
    <s v="Private Retailer"/>
    <s v="8250019668"/>
    <n v="0.1"/>
    <n v="64"/>
    <x v="6"/>
    <m/>
    <s v="2026-02-15"/>
    <s v="281285"/>
    <s v="Bhabani Prosad Chattopadhy"/>
    <s v="7548026544"/>
  </r>
  <r>
    <s v="RCF Thal"/>
    <s v="N.C.Urea(45kg)"/>
    <s v="WB"/>
    <x v="17"/>
    <s v="Ranaghat - II"/>
    <s v="User Not Mapped"/>
    <s v="User Not Mapped"/>
    <s v="User Not Mapped"/>
    <n v="1062106"/>
    <s v="SAKENDER ALI SEKH BHANGI"/>
    <s v="Private Retailer"/>
    <s v="8250019668"/>
    <n v="0.45"/>
    <n v="1014"/>
    <x v="2"/>
    <m/>
    <s v="2023-07-11"/>
    <s v="281285"/>
    <s v="Bhabani Prosad Chattopadhy"/>
    <s v="7548026544"/>
  </r>
  <r>
    <s v="RCF Trombay"/>
    <s v="15-15-15"/>
    <s v="WB"/>
    <x v="17"/>
    <s v="Ranaghat - II"/>
    <s v="User Not Mapped"/>
    <s v="User Not Mapped"/>
    <s v="User Not Mapped"/>
    <n v="1062106"/>
    <s v="SAKENDER ALI SEKH BHANGI"/>
    <s v="Private Retailer"/>
    <s v="8250019668"/>
    <n v="0.25"/>
    <n v="587"/>
    <x v="2"/>
    <m/>
    <s v="2024-09-10"/>
    <s v="281285"/>
    <s v="Bhabani Prosad Chattopadhy"/>
    <s v="7548026544"/>
  </r>
  <r>
    <s v="RCF Trombay"/>
    <s v="15-15-15"/>
    <s v="WB"/>
    <x v="17"/>
    <s v="Ranaghat - II"/>
    <s v="User Not Mapped"/>
    <s v="User Not Mapped"/>
    <s v="User Not Mapped"/>
    <n v="1062106"/>
    <s v="SAKENDER ALI SEKH BHANGI"/>
    <s v="Private Retailer"/>
    <s v="8250019668"/>
    <n v="0.5"/>
    <n v="631"/>
    <x v="2"/>
    <m/>
    <s v="2024-07-28"/>
    <s v="281285"/>
    <s v="Bhabani Prosad Chattopadhy"/>
    <s v="7548026544"/>
  </r>
  <r>
    <s v="RCF Trombay"/>
    <s v="15-15-15"/>
    <s v="WB"/>
    <x v="17"/>
    <s v="Ranaghat - II"/>
    <s v="User Not Mapped"/>
    <s v="User Not Mapped"/>
    <s v="User Not Mapped"/>
    <n v="1062106"/>
    <s v="SAKENDER ALI SEKH BHANGI"/>
    <s v="Private Retailer"/>
    <s v="8250019668"/>
    <n v="0.1"/>
    <n v="660"/>
    <x v="2"/>
    <m/>
    <s v="2024-06-29"/>
    <s v="281285"/>
    <s v="Bhabani Prosad Chattopadhy"/>
    <s v="7548026544"/>
  </r>
  <r>
    <s v="RCF Trombay"/>
    <s v="15-15-15"/>
    <s v="WB"/>
    <x v="17"/>
    <s v="Ranaghat - II"/>
    <s v="User Not Mapped"/>
    <s v="User Not Mapped"/>
    <s v="User Not Mapped"/>
    <n v="1062106"/>
    <s v="SAKENDER ALI SEKH BHANGI"/>
    <s v="Private Retailer"/>
    <s v="8250019668"/>
    <n v="0.39900000000000002"/>
    <n v="713"/>
    <x v="2"/>
    <m/>
    <s v="2024-05-07"/>
    <s v="281285"/>
    <s v="Bhabani Prosad Chattopadhy"/>
    <s v="7548026544"/>
  </r>
  <r>
    <s v="RCF Trombay"/>
    <s v="15-15-15"/>
    <s v="WB"/>
    <x v="17"/>
    <s v="Ranaghat - II"/>
    <s v="User Not Mapped"/>
    <s v="User Not Mapped"/>
    <s v="User Not Mapped"/>
    <n v="1062106"/>
    <s v="SAKENDER ALI SEKH BHANGI"/>
    <s v="Private Retailer"/>
    <s v="8250019668"/>
    <n v="0.15"/>
    <n v="29"/>
    <x v="5"/>
    <m/>
    <s v="2026-03-22"/>
    <s v="281285"/>
    <s v="Bhabani Prosad Chattopadhy"/>
    <s v="7548026544"/>
  </r>
  <r>
    <s v="RCF Thal"/>
    <s v="N.C.Urea(45kg)"/>
    <s v="WB"/>
    <x v="17"/>
    <s v="Ranaghat - II"/>
    <s v="User Not Mapped"/>
    <s v="User Not Mapped"/>
    <s v="User Not Mapped"/>
    <n v="1062106"/>
    <s v="SAKENDER ALI SEKH BHANGI"/>
    <s v="Private Retailer"/>
    <s v="8250019668"/>
    <n v="0.18"/>
    <n v="1193"/>
    <x v="2"/>
    <m/>
    <s v="2023-01-13"/>
    <s v="281285"/>
    <s v="Bhabani Prosad Chattopadhy"/>
    <s v="7548026544"/>
  </r>
  <r>
    <s v="RCF Import"/>
    <s v="Imp 10-26-26"/>
    <s v="WB"/>
    <x v="17"/>
    <s v="Ranaghat - II"/>
    <s v="User Not Mapped"/>
    <s v="User Not Mapped"/>
    <s v="User Not Mapped"/>
    <n v="1062106"/>
    <s v="SAKENDER ALI SEKH BHANGI"/>
    <s v="Private Retailer"/>
    <s v="8250019668"/>
    <n v="0.05"/>
    <n v="918"/>
    <x v="2"/>
    <m/>
    <s v="2023-10-15"/>
    <s v="281285"/>
    <s v="Bhabani Prosad Chattopadhy"/>
    <s v="7548026544"/>
  </r>
  <r>
    <s v="RCF Trombay"/>
    <s v="N.C.Urea(45kg)"/>
    <s v="WB"/>
    <x v="17"/>
    <s v="Ranaghat - II"/>
    <s v="User Not Mapped"/>
    <s v="User Not Mapped"/>
    <s v="User Not Mapped"/>
    <n v="943732"/>
    <s v="SANDIP SAHA"/>
    <s v="Private Retailer"/>
    <s v="9932887755"/>
    <n v="0.36"/>
    <n v="134"/>
    <x v="4"/>
    <m/>
    <s v="2025-12-07"/>
    <s v="281285"/>
    <s v="Bhabani Prosad Chattopadhy"/>
    <s v="7548026544"/>
  </r>
  <r>
    <s v="RCF Import"/>
    <s v="MOP"/>
    <s v="WB"/>
    <x v="17"/>
    <s v="Haringhata"/>
    <s v="User Not Mapped"/>
    <s v="User Not Mapped"/>
    <s v="User Not Mapped"/>
    <n v="943822"/>
    <s v="SARAPHUDDIN MANDAL"/>
    <s v="Private Retailer"/>
    <s v="9775172258"/>
    <n v="0.35"/>
    <n v="29"/>
    <x v="5"/>
    <m/>
    <s v="2026-03-22"/>
    <s v="281285"/>
    <s v="Bhabani Prosad Chattopadhy"/>
    <s v="7548026544"/>
  </r>
  <r>
    <s v="RCF Trombay"/>
    <s v="15-15-15"/>
    <s v="WB"/>
    <x v="17"/>
    <s v="Chakdah"/>
    <s v="User Not Mapped"/>
    <s v="User Not Mapped"/>
    <s v="User Not Mapped"/>
    <n v="487039"/>
    <s v="Shayam Sundar"/>
    <s v="Private Retailer"/>
    <s v="9732934585"/>
    <n v="0.15"/>
    <n v="36"/>
    <x v="3"/>
    <m/>
    <s v="2026-03-15"/>
    <s v="281285"/>
    <s v="Bhabani Prosad Chattopadhy"/>
    <s v="7548026544"/>
  </r>
  <r>
    <s v="RCF Import"/>
    <s v="MOP"/>
    <s v="WB"/>
    <x v="17"/>
    <s v="Chakdah"/>
    <s v="User Not Mapped"/>
    <s v="User Not Mapped"/>
    <s v="User Not Mapped"/>
    <n v="487039"/>
    <s v="Shayam Sundar"/>
    <s v="Private Retailer"/>
    <s v="9732934585"/>
    <n v="0.25"/>
    <n v="36"/>
    <x v="3"/>
    <m/>
    <s v="2026-03-15"/>
    <s v="281285"/>
    <s v="Bhabani Prosad Chattopadhy"/>
    <s v="7548026544"/>
  </r>
  <r>
    <s v="RCF Trombay"/>
    <s v="15-15-15"/>
    <s v="WB"/>
    <x v="17"/>
    <s v="Chakdah"/>
    <s v="User Not Mapped"/>
    <s v="User Not Mapped"/>
    <s v="User Not Mapped"/>
    <n v="487039"/>
    <s v="Shayam Sundar"/>
    <s v="Private Retailer"/>
    <s v="9732934585"/>
    <n v="0.15"/>
    <n v="68"/>
    <x v="6"/>
    <m/>
    <s v="2026-02-11"/>
    <s v="281285"/>
    <s v="Bhabani Prosad Chattopadhy"/>
    <s v="7548026544"/>
  </r>
  <r>
    <s v="RCF Trombay"/>
    <s v="15-15-15"/>
    <s v="WB"/>
    <x v="17"/>
    <m/>
    <s v="User Not Mapped"/>
    <s v="User Not Mapped"/>
    <s v="User Not Mapped"/>
    <n v="943316"/>
    <s v="UNNAYAN "/>
    <s v="Private Retailer"/>
    <s v="9333658415"/>
    <n v="1.75"/>
    <n v="1170"/>
    <x v="2"/>
    <m/>
    <s v="2023-02-05"/>
    <s v="281285"/>
    <s v="Bhabani Prosad Chattopadhy"/>
    <s v="7548026544"/>
  </r>
  <r>
    <s v="RCF Trombay"/>
    <s v="15-15-15"/>
    <s v="WB"/>
    <x v="17"/>
    <s v="Tehatta - I"/>
    <s v="User Not Mapped"/>
    <s v="User Not Mapped"/>
    <s v="User Not Mapped"/>
    <n v="649485"/>
    <s v=" Chakraborty Fertilizer"/>
    <s v="Private Retailer"/>
    <s v="6296323468"/>
    <n v="0.1"/>
    <n v="549"/>
    <x v="2"/>
    <m/>
    <s v="2024-10-18"/>
    <s v="1470444"/>
    <s v="Billal Malitya"/>
    <s v="7074281871"/>
  </r>
  <r>
    <s v="RCF Trombay"/>
    <s v="15-15-15"/>
    <s v="WB"/>
    <x v="17"/>
    <s v="Tehatta - I"/>
    <s v="User Not Mapped"/>
    <s v="User Not Mapped"/>
    <s v="User Not Mapped"/>
    <n v="935697"/>
    <s v="BIBHUTI SARKAR"/>
    <s v="Private Retailer"/>
    <s v="8906020200"/>
    <n v="0.25"/>
    <n v="549"/>
    <x v="2"/>
    <m/>
    <s v="2024-10-18"/>
    <s v="1470444"/>
    <s v="Billal Malitya"/>
    <s v="7074281871"/>
  </r>
  <r>
    <s v="RCF Trombay"/>
    <s v="15-15-15"/>
    <s v="WB"/>
    <x v="17"/>
    <s v="Chapra"/>
    <s v="User Not Mapped"/>
    <s v="User Not Mapped"/>
    <s v="User Not Mapped"/>
    <n v="341371"/>
    <s v="MONDAL FERTILIZER"/>
    <s v="Private Retailer"/>
    <s v="9093964409"/>
    <n v="0.05"/>
    <n v="687"/>
    <x v="2"/>
    <m/>
    <s v="2024-06-02"/>
    <s v="260184"/>
    <s v="Bimal Kumar Kundu"/>
    <s v="9732685190"/>
  </r>
  <r>
    <s v="RCF Trombay"/>
    <s v="15-15-15"/>
    <s v="WB"/>
    <x v="17"/>
    <s v="Chapra"/>
    <s v="User Not Mapped"/>
    <s v="User Not Mapped"/>
    <s v="User Not Mapped"/>
    <n v="836729"/>
    <s v="MONDAL FERTILIZER"/>
    <s v="Private Retailer"/>
    <s v="8768714218"/>
    <n v="0.3"/>
    <n v="597"/>
    <x v="2"/>
    <m/>
    <s v="2024-08-31"/>
    <s v="260184"/>
    <s v="Bimal Kumar Kundu"/>
    <s v="9732685190"/>
  </r>
  <r>
    <s v="RCF Trombay"/>
    <s v="15-15-15"/>
    <s v="WB"/>
    <x v="17"/>
    <s v="Chapra"/>
    <s v="User Not Mapped"/>
    <s v="User Not Mapped"/>
    <s v="User Not Mapped"/>
    <n v="836729"/>
    <s v="MONDAL FERTILIZER"/>
    <s v="Private Retailer"/>
    <s v="8768714218"/>
    <n v="1"/>
    <n v="569"/>
    <x v="2"/>
    <m/>
    <s v="2024-09-28"/>
    <s v="260184"/>
    <s v="Bimal Kumar Kundu"/>
    <s v="9732685190"/>
  </r>
  <r>
    <s v="RCF Trombay"/>
    <s v="15-15-15"/>
    <s v="WB"/>
    <x v="17"/>
    <s v="Chapra"/>
    <s v="User Not Mapped"/>
    <s v="User Not Mapped"/>
    <s v="User Not Mapped"/>
    <n v="836729"/>
    <s v="MONDAL FERTILIZER"/>
    <s v="Private Retailer"/>
    <s v="8768714218"/>
    <n v="0.25"/>
    <n v="578"/>
    <x v="2"/>
    <m/>
    <s v="2024-09-19"/>
    <s v="260184"/>
    <s v="Bimal Kumar Kundu"/>
    <s v="9732685190"/>
  </r>
  <r>
    <s v="RCF Trombay"/>
    <s v="15-15-15"/>
    <s v="WB"/>
    <x v="17"/>
    <m/>
    <s v="User Not Mapped"/>
    <s v="User Not Mapped"/>
    <s v="User Not Mapped"/>
    <n v="440558"/>
    <s v="Rafikul Mondal"/>
    <s v="Private Retailer"/>
    <s v="8101278103"/>
    <n v="1.7999999999999999E-2"/>
    <n v="1875"/>
    <x v="2"/>
    <m/>
    <s v="2021-03-02"/>
    <s v="260184"/>
    <s v="Bimal Kumar Kundu"/>
    <s v="9732685190"/>
  </r>
  <r>
    <s v="RCF Trombay"/>
    <s v="N.C.Urea(45kg)"/>
    <s v="WB"/>
    <x v="17"/>
    <m/>
    <s v="User Not Mapped"/>
    <s v="User Not Mapped"/>
    <s v="User Not Mapped"/>
    <n v="839560"/>
    <s v="NIRMAL KUMAR PAUL"/>
    <s v="Private Retailer"/>
    <s v="9647355727"/>
    <n v="5.5E-2"/>
    <n v="1839"/>
    <x v="2"/>
    <m/>
    <s v="2021-04-07"/>
    <s v="342685"/>
    <s v="Bipul Sarkar"/>
    <s v="8536068296"/>
  </r>
  <r>
    <s v="RCF Thal"/>
    <s v="N.C.Urea(45kg)"/>
    <s v="WB"/>
    <x v="17"/>
    <s v="Karimpur - II"/>
    <s v="User Not Mapped"/>
    <s v="User Not Mapped"/>
    <s v="User Not Mapped"/>
    <n v="1062653"/>
    <s v="Abdul Hannan Biswas"/>
    <s v="Private Retailer"/>
    <s v="9732446633"/>
    <n v="2.7"/>
    <n v="85"/>
    <x v="6"/>
    <m/>
    <s v="2026-01-25"/>
    <s v="939069"/>
    <s v="BIRENDRA NATH SAHA AND  SON"/>
    <s v="7074375038"/>
  </r>
  <r>
    <s v="RCF Thal"/>
    <s v="N.C.Urea(45kg)"/>
    <s v="WB"/>
    <x v="17"/>
    <s v="Karimpur - I"/>
    <s v="User Not Mapped"/>
    <s v="User Not Mapped"/>
    <s v="User Not Mapped"/>
    <n v="517561"/>
    <s v="BISWAJIT SAHA"/>
    <s v="Private Retailer"/>
    <s v="7074375038"/>
    <n v="1.44"/>
    <n v="7"/>
    <x v="5"/>
    <m/>
    <s v="2026-04-13"/>
    <s v="939069"/>
    <s v="BIRENDRA NATH SAHA AND  SON"/>
    <s v="7074375038"/>
  </r>
  <r>
    <s v="RCF Thal"/>
    <s v="N.C.Urea(45kg)"/>
    <s v="WB"/>
    <x v="17"/>
    <s v="Karimpur - I"/>
    <s v="User Not Mapped"/>
    <s v="User Not Mapped"/>
    <s v="User Not Mapped"/>
    <n v="1004426"/>
    <s v="SAJAHAN SHAIKH"/>
    <s v="Private Retailer"/>
    <s v="9564396922"/>
    <n v="1.35"/>
    <n v="85"/>
    <x v="6"/>
    <m/>
    <s v="2026-01-25"/>
    <s v="939069"/>
    <s v="BIRENDRA NATH SAHA AND  SON"/>
    <s v="7074375038"/>
  </r>
  <r>
    <s v="RCF Thal"/>
    <s v="N.C.Urea(45kg)"/>
    <s v="WB"/>
    <x v="17"/>
    <s v="Karimpur - I"/>
    <s v="User Not Mapped"/>
    <s v="User Not Mapped"/>
    <s v="User Not Mapped"/>
    <n v="1004420"/>
    <s v="SWAPAN KUMAR BISWAS"/>
    <s v="Private Retailer"/>
    <s v="8944003666"/>
    <n v="1.125"/>
    <n v="85"/>
    <x v="6"/>
    <m/>
    <s v="2026-01-25"/>
    <s v="939069"/>
    <s v="BIRENDRA NATH SAHA AND  SON"/>
    <s v="7074375038"/>
  </r>
  <r>
    <s v="RCF Trombay"/>
    <s v="N.C.Urea(45kg)"/>
    <s v="WB"/>
    <x v="17"/>
    <m/>
    <s v="User Not Mapped"/>
    <s v="User Not Mapped"/>
    <s v="User Not Mapped"/>
    <n v="919912"/>
    <s v="GHOSH FARTILIZER "/>
    <s v="Private Retailer"/>
    <s v="9932743535"/>
    <n v="0.9"/>
    <n v="1904"/>
    <x v="2"/>
    <m/>
    <s v="2021-02-01"/>
    <s v="755099"/>
    <s v="BWOWMICK TRADERS"/>
    <s v="9734838585"/>
  </r>
  <r>
    <s v="RCF Trombay"/>
    <s v="15-15-15"/>
    <s v="WB"/>
    <x v="17"/>
    <s v="Krishnaganj"/>
    <s v="User Not Mapped"/>
    <s v="User Not Mapped"/>
    <s v="User Not Mapped"/>
    <n v="387968"/>
    <s v="Rajkumar Krishi Bhaban"/>
    <s v="Private Retailer"/>
    <s v="9093539497"/>
    <n v="0.45"/>
    <n v="1415"/>
    <x v="2"/>
    <m/>
    <s v="2022-06-05"/>
    <s v="755099"/>
    <s v="BWOWMICK TRADERS"/>
    <s v="9734838585"/>
  </r>
  <r>
    <s v="RCF Trombay"/>
    <s v="15-15-15"/>
    <s v="WB"/>
    <x v="17"/>
    <s v="Haringhata"/>
    <s v="User Not Mapped"/>
    <s v="User Not Mapped"/>
    <s v="User Not Mapped"/>
    <n v="218868"/>
    <s v="Biswajit Ganguli"/>
    <s v="Private Retailer"/>
    <s v="9564257897"/>
    <n v="7.15"/>
    <n v="90"/>
    <x v="6"/>
    <m/>
    <s v="2026-01-20"/>
    <s v="1354434"/>
    <s v="CHANCHAL KUMAR DEY"/>
    <s v="7908362192"/>
  </r>
  <r>
    <s v="RCF Trombay"/>
    <s v="15-15-15"/>
    <s v="WB"/>
    <x v="17"/>
    <s v="Haringhata"/>
    <s v="User Not Mapped"/>
    <s v="User Not Mapped"/>
    <s v="User Not Mapped"/>
    <n v="441495"/>
    <s v="Swapna Das"/>
    <s v="Private Retailer"/>
    <s v="9733758968"/>
    <n v="5.5"/>
    <n v="68"/>
    <x v="6"/>
    <m/>
    <s v="2026-02-11"/>
    <s v="1354434"/>
    <s v="CHANCHAL KUMAR DEY"/>
    <s v="7908362192"/>
  </r>
  <r>
    <s v="RCF Thal"/>
    <s v="N.C.Urea(45kg)"/>
    <s v="WB"/>
    <x v="17"/>
    <m/>
    <s v="User Not Mapped"/>
    <s v="User Not Mapped"/>
    <s v="User Not Mapped"/>
    <n v="1061902"/>
    <s v="ANANDA KUMAR BISWAS"/>
    <s v="Private Retailer"/>
    <s v="9735624788"/>
    <n v="2.7"/>
    <n v="1190"/>
    <x v="2"/>
    <m/>
    <s v="2023-01-16"/>
    <s v="268776"/>
    <s v="Chandra Kanta Das"/>
    <s v="9830307100"/>
  </r>
  <r>
    <s v="RCF Trombay"/>
    <s v="15-15-15"/>
    <s v="WB"/>
    <x v="17"/>
    <s v="Krishnagar - II"/>
    <s v="User Not Mapped"/>
    <s v="User Not Mapped"/>
    <s v="User Not Mapped"/>
    <n v="919989"/>
    <s v="BISWAS FERTILIZER"/>
    <s v="Private Retailer"/>
    <s v="8373074182"/>
    <n v="0.45"/>
    <n v="163"/>
    <x v="4"/>
    <m/>
    <s v="2025-11-08"/>
    <s v="268776"/>
    <s v="Chandra Kanta Das"/>
    <s v="9830307100"/>
  </r>
  <r>
    <s v="RCF Trombay"/>
    <s v="N.C.Urea(45kg)"/>
    <s v="WB"/>
    <x v="17"/>
    <s v="Krishnagar - II"/>
    <s v="User Not Mapped"/>
    <s v="User Not Mapped"/>
    <s v="User Not Mapped"/>
    <n v="439408"/>
    <s v="Krishi Biplab"/>
    <s v="Private Retailer"/>
    <s v="9641871921"/>
    <n v="0.58499999999999996"/>
    <n v="58"/>
    <x v="3"/>
    <m/>
    <s v="2026-02-21"/>
    <s v="268776"/>
    <s v="Chandra Kanta Das"/>
    <s v="9830307100"/>
  </r>
  <r>
    <s v="RCF Trombay"/>
    <s v="15-15-15"/>
    <s v="WB"/>
    <x v="17"/>
    <s v="Krishnagar - II"/>
    <s v="User Not Mapped"/>
    <s v="User Not Mapped"/>
    <s v="User Not Mapped"/>
    <n v="439418"/>
    <s v="M/S Pritom Enterprice"/>
    <s v="Private Retailer"/>
    <s v="9732774657"/>
    <n v="0.25"/>
    <n v="248"/>
    <x v="1"/>
    <m/>
    <s v="2025-08-15"/>
    <s v="268776"/>
    <s v="Chandra Kanta Das"/>
    <s v="9830307100"/>
  </r>
  <r>
    <s v="RCF Trombay"/>
    <s v="15-15-15"/>
    <s v="WB"/>
    <x v="17"/>
    <s v="Krishnagar - II"/>
    <s v="User Not Mapped"/>
    <s v="User Not Mapped"/>
    <s v="User Not Mapped"/>
    <n v="439478"/>
    <s v="M/S SHAIKH FERTILIZER"/>
    <s v="Private Retailer"/>
    <s v="9547442493"/>
    <n v="1.45"/>
    <n v="163"/>
    <x v="4"/>
    <m/>
    <s v="2025-11-08"/>
    <s v="268776"/>
    <s v="Chandra Kanta Das"/>
    <s v="9830307100"/>
  </r>
  <r>
    <s v="RCF Trombay"/>
    <s v="15-15-15"/>
    <s v="WB"/>
    <x v="17"/>
    <s v="Nakashipara"/>
    <s v="User Not Mapped"/>
    <s v="User Not Mapped"/>
    <s v="User Not Mapped"/>
    <n v="940091"/>
    <s v="MS HOSSAIN ALI SHAIKH"/>
    <s v="Private Retailer"/>
    <s v="9933067958"/>
    <n v="0.35"/>
    <n v="223"/>
    <x v="1"/>
    <m/>
    <s v="2025-09-09"/>
    <s v="268776"/>
    <s v="Chandra Kanta Das"/>
    <s v="9830307100"/>
  </r>
  <r>
    <s v="RCF Thal"/>
    <s v="N.C.Urea(45kg)"/>
    <s v="WB"/>
    <x v="17"/>
    <s v="Nakashipara"/>
    <s v="User Not Mapped"/>
    <s v="User Not Mapped"/>
    <s v="User Not Mapped"/>
    <n v="940091"/>
    <s v="MS HOSSAIN ALI SHAIKH"/>
    <s v="Private Retailer"/>
    <s v="9933067958"/>
    <n v="9.99"/>
    <n v="185"/>
    <x v="1"/>
    <m/>
    <s v="2025-10-17"/>
    <s v="268776"/>
    <s v="Chandra Kanta Das"/>
    <s v="9830307100"/>
  </r>
  <r>
    <s v="RCF Trombay"/>
    <s v="N.C.Urea(45kg)"/>
    <s v="WB"/>
    <x v="17"/>
    <s v="Nakashipara"/>
    <s v="User Not Mapped"/>
    <s v="User Not Mapped"/>
    <s v="User Not Mapped"/>
    <n v="940091"/>
    <s v="MS HOSSAIN ALI SHAIKH"/>
    <s v="Private Retailer"/>
    <s v="9933067958"/>
    <n v="4.9950000000000001"/>
    <n v="104"/>
    <x v="7"/>
    <m/>
    <s v="2026-01-06"/>
    <s v="268776"/>
    <s v="Chandra Kanta Das"/>
    <s v="9830307100"/>
  </r>
  <r>
    <s v="RCF Trombay"/>
    <s v="15-15-15"/>
    <s v="WB"/>
    <x v="17"/>
    <s v="Krishnagar - II"/>
    <s v="User Not Mapped"/>
    <s v="User Not Mapped"/>
    <s v="User Not Mapped"/>
    <n v="439460"/>
    <s v="New Taraknath Beeze Bhander"/>
    <s v="Private Retailer"/>
    <s v="9641540108"/>
    <n v="7.95"/>
    <n v="79"/>
    <x v="6"/>
    <m/>
    <s v="2026-01-31"/>
    <s v="268776"/>
    <s v="Chandra Kanta Das"/>
    <s v="9830307100"/>
  </r>
  <r>
    <s v="RCF Trombay"/>
    <s v="N.C.Urea(45kg)"/>
    <s v="WB"/>
    <x v="17"/>
    <s v="Krishnagar - II"/>
    <s v="User Not Mapped"/>
    <s v="User Not Mapped"/>
    <s v="User Not Mapped"/>
    <n v="439460"/>
    <s v="New Taraknath Beeze Bhander"/>
    <s v="Private Retailer"/>
    <s v="9641540108"/>
    <n v="9.99"/>
    <n v="163"/>
    <x v="4"/>
    <m/>
    <s v="2025-11-08"/>
    <s v="268776"/>
    <s v="Chandra Kanta Das"/>
    <s v="9830307100"/>
  </r>
  <r>
    <s v="RCF Thal"/>
    <s v="N.C.Urea(45kg)"/>
    <s v="WB"/>
    <x v="17"/>
    <s v="Hanskhali"/>
    <s v="User Not Mapped"/>
    <s v="User Not Mapped"/>
    <s v="User Not Mapped"/>
    <n v="750348"/>
    <s v="PRAMANICK FERTILIZER"/>
    <s v="Private Retailer"/>
    <s v="8597750555"/>
    <n v="0.18"/>
    <n v="448"/>
    <x v="0"/>
    <m/>
    <s v="2025-01-27"/>
    <s v="268776"/>
    <s v="Chandra Kanta Das"/>
    <s v="9830307100"/>
  </r>
  <r>
    <s v="RCF Trombay"/>
    <s v="N.C.Urea(45kg)"/>
    <s v="WB"/>
    <x v="17"/>
    <s v="Krishnagar - I"/>
    <s v="User Not Mapped"/>
    <s v="User Not Mapped"/>
    <s v="User Not Mapped"/>
    <n v="501704"/>
    <s v="Rajib Maitra"/>
    <s v="Private Retailer"/>
    <s v="9434174349"/>
    <n v="2.02"/>
    <n v="58"/>
    <x v="3"/>
    <m/>
    <s v="2026-02-21"/>
    <s v="268776"/>
    <s v="Chandra Kanta Das"/>
    <s v="9830307100"/>
  </r>
  <r>
    <s v="RCF Trombay"/>
    <s v="15-15-15"/>
    <s v="WB"/>
    <x v="17"/>
    <s v="Krishnagar - I"/>
    <s v="User Not Mapped"/>
    <s v="User Not Mapped"/>
    <s v="User Not Mapped"/>
    <n v="501704"/>
    <s v="Rajib Maitra"/>
    <s v="Private Retailer"/>
    <s v="9434174349"/>
    <n v="2"/>
    <n v="117"/>
    <x v="7"/>
    <m/>
    <s v="2025-12-24"/>
    <s v="268776"/>
    <s v="Chandra Kanta Das"/>
    <s v="9830307100"/>
  </r>
  <r>
    <s v="RCF Thal"/>
    <s v="N.C.Urea(45kg)"/>
    <s v="WB"/>
    <x v="17"/>
    <s v="Krishnagar - I"/>
    <s v="User Not Mapped"/>
    <s v="User Not Mapped"/>
    <s v="User Not Mapped"/>
    <n v="501704"/>
    <s v="Rajib Maitra"/>
    <s v="Private Retailer"/>
    <s v="9434174349"/>
    <n v="3.5000000000000003E-2"/>
    <n v="430"/>
    <x v="0"/>
    <m/>
    <s v="2025-02-14"/>
    <s v="268776"/>
    <s v="Chandra Kanta Das"/>
    <s v="9830307100"/>
  </r>
  <r>
    <s v="RCF Import"/>
    <s v="Imp 10-26-26"/>
    <s v="WB"/>
    <x v="17"/>
    <s v="Krishnagar - I"/>
    <s v="User Not Mapped"/>
    <s v="User Not Mapped"/>
    <s v="User Not Mapped"/>
    <n v="501704"/>
    <s v="Rajib Maitra"/>
    <s v="Private Retailer"/>
    <s v="9434174349"/>
    <n v="0.4"/>
    <n v="275"/>
    <x v="1"/>
    <m/>
    <s v="2025-07-19"/>
    <s v="268776"/>
    <s v="Chandra Kanta Das"/>
    <s v="9830307100"/>
  </r>
  <r>
    <s v="RCF Import"/>
    <s v="Imp 10-26-26"/>
    <s v="WB"/>
    <x v="17"/>
    <s v="Krishnagar - I"/>
    <s v="User Not Mapped"/>
    <s v="User Not Mapped"/>
    <s v="User Not Mapped"/>
    <n v="501704"/>
    <s v="Rajib Maitra"/>
    <s v="Private Retailer"/>
    <s v="9434174349"/>
    <n v="1"/>
    <n v="248"/>
    <x v="1"/>
    <m/>
    <s v="2025-08-15"/>
    <s v="268776"/>
    <s v="Chandra Kanta Das"/>
    <s v="9830307100"/>
  </r>
  <r>
    <s v="RCF Trombay"/>
    <s v="15-15-15"/>
    <s v="WB"/>
    <x v="17"/>
    <s v="Krishnagar - I"/>
    <s v="User Not Mapped"/>
    <s v="User Not Mapped"/>
    <s v="User Not Mapped"/>
    <n v="501704"/>
    <s v="Rajib Maitra"/>
    <s v="Private Retailer"/>
    <s v="9434174349"/>
    <n v="0.53"/>
    <n v="144"/>
    <x v="4"/>
    <m/>
    <s v="2025-11-27"/>
    <s v="268776"/>
    <s v="Chandra Kanta Das"/>
    <s v="9830307100"/>
  </r>
  <r>
    <s v="RCF Trombay"/>
    <s v="15-15-15"/>
    <s v="WB"/>
    <x v="17"/>
    <s v="Krishnagar - I"/>
    <s v="User Not Mapped"/>
    <s v="User Not Mapped"/>
    <s v="User Not Mapped"/>
    <n v="501704"/>
    <s v="Rajib Maitra"/>
    <s v="Private Retailer"/>
    <s v="9434174349"/>
    <n v="1.5"/>
    <n v="12"/>
    <x v="5"/>
    <m/>
    <s v="2026-04-08"/>
    <s v="268776"/>
    <s v="Chandra Kanta Das"/>
    <s v="9830307100"/>
  </r>
  <r>
    <s v="RCF Trombay"/>
    <s v="N.C.Urea(45kg)"/>
    <s v="WB"/>
    <x v="17"/>
    <s v="Krishnagar - I"/>
    <s v="User Not Mapped"/>
    <s v="User Not Mapped"/>
    <s v="User Not Mapped"/>
    <n v="440973"/>
    <s v="Ranat Kr Paul"/>
    <s v="Private Retailer"/>
    <s v="9800656522"/>
    <n v="0.18"/>
    <n v="445"/>
    <x v="0"/>
    <m/>
    <s v="2025-01-30"/>
    <s v="268776"/>
    <s v="Chandra Kanta Das"/>
    <s v="9830307100"/>
  </r>
  <r>
    <s v="RCF Trombay"/>
    <s v="15-15-15"/>
    <s v="WB"/>
    <x v="17"/>
    <s v="Krishnagar - II"/>
    <s v="User Not Mapped"/>
    <s v="User Not Mapped"/>
    <s v="User Not Mapped"/>
    <n v="892193"/>
    <s v="SMRITY FERTILIZER"/>
    <s v="Private Retailer"/>
    <s v="9641540108"/>
    <n v="2.4"/>
    <n v="223"/>
    <x v="1"/>
    <m/>
    <s v="2025-09-09"/>
    <s v="268776"/>
    <s v="Chandra Kanta Das"/>
    <s v="9830307100"/>
  </r>
  <r>
    <s v="RCF Trombay"/>
    <s v="N.C.Urea(45kg)"/>
    <s v="WB"/>
    <x v="17"/>
    <s v="Krishnagar - I"/>
    <s v="User Not Mapped"/>
    <s v="User Not Mapped"/>
    <s v="User Not Mapped"/>
    <n v="1029834"/>
    <s v="SOURAV FERTILIZER"/>
    <s v="Private Retailer"/>
    <s v="9635010583"/>
    <n v="0.36"/>
    <n v="209"/>
    <x v="1"/>
    <m/>
    <s v="2025-09-23"/>
    <s v="268776"/>
    <s v="Chandra Kanta Das"/>
    <s v="9830307100"/>
  </r>
  <r>
    <s v="RCF Trombay"/>
    <s v="15-15-15"/>
    <s v="WB"/>
    <x v="17"/>
    <s v="Krishnagar - I"/>
    <s v="User Not Mapped"/>
    <s v="User Not Mapped"/>
    <s v="User Not Mapped"/>
    <n v="1029834"/>
    <s v="SOURAV FERTILIZER"/>
    <s v="Private Retailer"/>
    <s v="9635010583"/>
    <n v="0.25"/>
    <n v="49"/>
    <x v="3"/>
    <m/>
    <s v="2026-03-02"/>
    <s v="268776"/>
    <s v="Chandra Kanta Das"/>
    <s v="9830307100"/>
  </r>
  <r>
    <s v="RCF Trombay"/>
    <s v="15-15-15"/>
    <s v="WB"/>
    <x v="17"/>
    <s v="Krishnagar - I"/>
    <s v="User Not Mapped"/>
    <s v="User Not Mapped"/>
    <s v="User Not Mapped"/>
    <n v="1029834"/>
    <s v="SOURAV FERTILIZER"/>
    <s v="Private Retailer"/>
    <s v="9635010583"/>
    <n v="0.5"/>
    <n v="38"/>
    <x v="3"/>
    <m/>
    <s v="2026-03-13"/>
    <s v="268776"/>
    <s v="Chandra Kanta Das"/>
    <s v="9830307100"/>
  </r>
  <r>
    <s v="RCF Trombay"/>
    <s v="15-15-15"/>
    <s v="WB"/>
    <x v="17"/>
    <s v="Krishnagar - I"/>
    <s v="User Not Mapped"/>
    <s v="User Not Mapped"/>
    <s v="User Not Mapped"/>
    <n v="1029834"/>
    <s v="SOURAV FERTILIZER"/>
    <s v="Private Retailer"/>
    <s v="9635010583"/>
    <n v="0.25"/>
    <n v="82"/>
    <x v="6"/>
    <m/>
    <s v="2026-01-28"/>
    <s v="268776"/>
    <s v="Chandra Kanta Das"/>
    <s v="9830307100"/>
  </r>
  <r>
    <s v="RCF Trombay"/>
    <s v="N.C.Urea(45kg)"/>
    <s v="WB"/>
    <x v="17"/>
    <s v="Krishnagar - I"/>
    <s v="User Not Mapped"/>
    <s v="User Not Mapped"/>
    <s v="User Not Mapped"/>
    <n v="1029834"/>
    <s v="SOURAV FERTILIZER"/>
    <s v="Private Retailer"/>
    <s v="9635010583"/>
    <n v="1.125"/>
    <n v="135"/>
    <x v="4"/>
    <m/>
    <s v="2025-12-06"/>
    <s v="268776"/>
    <s v="Chandra Kanta Das"/>
    <s v="9830307100"/>
  </r>
  <r>
    <s v="RCF Trombay"/>
    <s v="N.C.Urea(45kg)"/>
    <s v="WB"/>
    <x v="17"/>
    <s v="Krishnagar - I"/>
    <s v="User Not Mapped"/>
    <s v="User Not Mapped"/>
    <s v="User Not Mapped"/>
    <n v="1029834"/>
    <s v="SOURAV FERTILIZER"/>
    <s v="Private Retailer"/>
    <s v="9635010583"/>
    <n v="0.54"/>
    <n v="170"/>
    <x v="4"/>
    <m/>
    <s v="2025-11-01"/>
    <s v="268776"/>
    <s v="Chandra Kanta Das"/>
    <s v="9830307100"/>
  </r>
  <r>
    <s v="RCF Trombay"/>
    <s v="15-15-15"/>
    <s v="WB"/>
    <x v="17"/>
    <s v="Krishnagar - I"/>
    <s v="User Not Mapped"/>
    <s v="User Not Mapped"/>
    <s v="User Not Mapped"/>
    <n v="1029834"/>
    <s v="SOURAV FERTILIZER"/>
    <s v="Private Retailer"/>
    <s v="9635010583"/>
    <n v="0.5"/>
    <n v="135"/>
    <x v="4"/>
    <m/>
    <s v="2025-12-06"/>
    <s v="268776"/>
    <s v="Chandra Kanta Das"/>
    <s v="9830307100"/>
  </r>
  <r>
    <s v="RCF Trombay"/>
    <s v="15-15-15"/>
    <s v="WB"/>
    <x v="17"/>
    <s v="Krishnagar - I"/>
    <s v="User Not Mapped"/>
    <s v="User Not Mapped"/>
    <s v="User Not Mapped"/>
    <n v="1029834"/>
    <s v="SOURAV FERTILIZER"/>
    <s v="Private Retailer"/>
    <s v="9635010583"/>
    <n v="0.75"/>
    <n v="209"/>
    <x v="1"/>
    <m/>
    <s v="2025-09-23"/>
    <s v="268776"/>
    <s v="Chandra Kanta Das"/>
    <s v="9830307100"/>
  </r>
  <r>
    <s v="RCF Trombay"/>
    <s v="15-15-15"/>
    <s v="WB"/>
    <x v="17"/>
    <s v="Krishnagar - I"/>
    <s v="User Not Mapped"/>
    <s v="User Not Mapped"/>
    <s v="User Not Mapped"/>
    <n v="1029834"/>
    <s v="SOURAV FERTILIZER"/>
    <s v="Private Retailer"/>
    <s v="9635010583"/>
    <n v="0.5"/>
    <n v="185"/>
    <x v="1"/>
    <m/>
    <s v="2025-10-17"/>
    <s v="268776"/>
    <s v="Chandra Kanta Das"/>
    <s v="9830307100"/>
  </r>
  <r>
    <s v="RCF Trombay"/>
    <s v="15-15-15"/>
    <s v="WB"/>
    <x v="17"/>
    <s v="Krishnagar - I"/>
    <s v="User Not Mapped"/>
    <s v="User Not Mapped"/>
    <s v="User Not Mapped"/>
    <n v="1029834"/>
    <s v="SOURAV FERTILIZER"/>
    <s v="Private Retailer"/>
    <s v="9635010583"/>
    <n v="0.85"/>
    <n v="265"/>
    <x v="1"/>
    <m/>
    <s v="2025-07-29"/>
    <s v="268776"/>
    <s v="Chandra Kanta Das"/>
    <s v="9830307100"/>
  </r>
  <r>
    <s v="RCF Trombay"/>
    <s v="N.C.Urea(45kg)"/>
    <s v="WB"/>
    <x v="17"/>
    <s v="Krishnagar - I"/>
    <s v="User Not Mapped"/>
    <s v="User Not Mapped"/>
    <s v="User Not Mapped"/>
    <n v="1029834"/>
    <s v="SOURAV FERTILIZER"/>
    <s v="Private Retailer"/>
    <s v="9635010583"/>
    <n v="1.35"/>
    <n v="82"/>
    <x v="6"/>
    <m/>
    <s v="2026-01-28"/>
    <s v="268776"/>
    <s v="Chandra Kanta Das"/>
    <s v="9830307100"/>
  </r>
  <r>
    <s v="RCF Trombay"/>
    <s v="N.C.Urea(45kg)"/>
    <s v="WB"/>
    <x v="17"/>
    <m/>
    <s v="User Not Mapped"/>
    <s v="User Not Mapped"/>
    <s v="User Not Mapped"/>
    <n v="438888"/>
    <s v="Sri Narayan Chandra Biswas"/>
    <s v="Private Retailer"/>
    <s v="9732939797"/>
    <n v="0.02"/>
    <n v="1531"/>
    <x v="2"/>
    <m/>
    <s v="2022-02-09"/>
    <s v="268776"/>
    <s v="Chandra Kanta Das"/>
    <s v="9830307100"/>
  </r>
  <r>
    <s v="RCF Trombay"/>
    <s v="15-15-15"/>
    <s v="WB"/>
    <x v="17"/>
    <m/>
    <s v="User Not Mapped"/>
    <s v="User Not Mapped"/>
    <s v="User Not Mapped"/>
    <n v="438888"/>
    <s v="Sri Narayan Chandra Biswas"/>
    <s v="Private Retailer"/>
    <s v="9732939797"/>
    <n v="0.15"/>
    <n v="1409"/>
    <x v="2"/>
    <m/>
    <s v="2022-06-11"/>
    <s v="268776"/>
    <s v="Chandra Kanta Das"/>
    <s v="9830307100"/>
  </r>
  <r>
    <s v="RCF Trombay"/>
    <s v="N.C.Urea(45kg)"/>
    <s v="WB"/>
    <x v="17"/>
    <s v="Krishnagar - I"/>
    <s v="User Not Mapped"/>
    <s v="User Not Mapped"/>
    <s v="User Not Mapped"/>
    <n v="503289"/>
    <s v="Utpal Ghosh"/>
    <s v="Private Retailer"/>
    <s v="9382731177"/>
    <n v="0.9"/>
    <n v="238"/>
    <x v="1"/>
    <m/>
    <s v="2025-08-25"/>
    <s v="268776"/>
    <s v="Chandra Kanta Das"/>
    <s v="9830307100"/>
  </r>
  <r>
    <s v="RCF Thal"/>
    <s v="N.C.Urea(45kg)"/>
    <s v="WB"/>
    <x v="17"/>
    <s v="Ranaghat - II"/>
    <s v="User Not Mapped"/>
    <s v="User Not Mapped"/>
    <s v="User Not Mapped"/>
    <n v="943728"/>
    <s v="KRISHNA SARKAR"/>
    <s v="Private Retailer"/>
    <s v="6295925639"/>
    <n v="2.5999999999999999E-2"/>
    <n v="1837"/>
    <x v="2"/>
    <m/>
    <s v="2021-04-09"/>
    <s v="668026"/>
    <s v="CHIRANJIT DAS"/>
    <s v="7501332793"/>
  </r>
  <r>
    <s v="RCF Trombay"/>
    <s v="15-15-15"/>
    <s v="WB"/>
    <x v="17"/>
    <m/>
    <s v="User Not Mapped"/>
    <s v="User Not Mapped"/>
    <s v="User Not Mapped"/>
    <n v="855719"/>
    <s v="RADHA RANI MODAK"/>
    <s v="Private Retailer"/>
    <s v="8509822995"/>
    <n v="0.49"/>
    <n v="2289"/>
    <x v="2"/>
    <m/>
    <s v="2020-01-13"/>
    <s v="668026"/>
    <s v="CHIRANJIT DAS"/>
    <s v="7501332793"/>
  </r>
  <r>
    <s v="RCF Trombay"/>
    <s v="15-15-15"/>
    <s v="WB"/>
    <x v="17"/>
    <s v="Ranaghat - II"/>
    <s v="User Not Mapped"/>
    <s v="User Not Mapped"/>
    <s v="User Not Mapped"/>
    <n v="341481"/>
    <s v="Hemanta Nath"/>
    <s v="Private Retailer"/>
    <s v="7865052947"/>
    <n v="0.05"/>
    <n v="2238"/>
    <x v="2"/>
    <m/>
    <s v="2020-03-04"/>
    <s v="952447"/>
    <s v="DEBNATH FERTILIZER"/>
    <s v="9434148418"/>
  </r>
  <r>
    <s v="RCF Trombay"/>
    <s v="15-15-15"/>
    <s v="WB"/>
    <x v="17"/>
    <s v="Ranaghat - II"/>
    <s v="User Not Mapped"/>
    <s v="User Not Mapped"/>
    <s v="User Not Mapped"/>
    <n v="341481"/>
    <s v="Hemanta Nath"/>
    <s v="Private Retailer"/>
    <s v="7865052947"/>
    <n v="0.25"/>
    <n v="2229"/>
    <x v="2"/>
    <m/>
    <s v="2020-03-13"/>
    <s v="952447"/>
    <s v="DEBNATH FERTILIZER"/>
    <s v="9434148418"/>
  </r>
  <r>
    <s v="RCF Thal"/>
    <s v="N.C.Urea(45kg)"/>
    <s v="WB"/>
    <x v="17"/>
    <s v="Ranaghat - II"/>
    <s v="User Not Mapped"/>
    <s v="User Not Mapped"/>
    <s v="User Not Mapped"/>
    <n v="341481"/>
    <s v="Hemanta Nath"/>
    <s v="Private Retailer"/>
    <s v="7865052947"/>
    <n v="0.36"/>
    <n v="2238"/>
    <x v="2"/>
    <m/>
    <s v="2020-03-04"/>
    <s v="952447"/>
    <s v="DEBNATH FERTILIZER"/>
    <s v="9434148418"/>
  </r>
  <r>
    <s v="RCF Trombay"/>
    <s v="N.C.Urea(45kg)"/>
    <s v="WB"/>
    <x v="17"/>
    <m/>
    <s v="User Not Mapped"/>
    <s v="User Not Mapped"/>
    <s v="User Not Mapped"/>
    <n v="441449"/>
    <s v="Das Fertilizer"/>
    <s v="Private Retailer"/>
    <s v="9046124106"/>
    <n v="3.5000000000000003E-2"/>
    <n v="2410"/>
    <x v="2"/>
    <m/>
    <s v="2019-09-14"/>
    <s v="260185"/>
    <s v="Faroj Ali Shaikh"/>
    <s v="7797070086"/>
  </r>
  <r>
    <s v="RCF Import"/>
    <s v="Imp 10-26-26"/>
    <s v="WB"/>
    <x v="17"/>
    <s v="Hanskhali"/>
    <s v="User Not Mapped"/>
    <s v="User Not Mapped"/>
    <s v="User Not Mapped"/>
    <n v="280732"/>
    <s v="M/S-MADHUSUDAN GHOSH"/>
    <s v="Private Wholsaler"/>
    <s v="9434823432"/>
    <n v="11"/>
    <n v="24"/>
    <x v="5"/>
    <s v="'66'"/>
    <s v="2026-03-27"/>
    <s v="260185"/>
    <s v="Faroj Ali Shaikh"/>
    <s v="7797070086"/>
  </r>
  <r>
    <s v="RCF Trombay"/>
    <s v="N.C.Urea(45kg)"/>
    <s v="WB"/>
    <x v="17"/>
    <s v="Hanskhali"/>
    <s v="User Not Mapped"/>
    <s v="User Not Mapped"/>
    <s v="User Not Mapped"/>
    <n v="280732"/>
    <s v="M/S-MADHUSUDAN GHOSH"/>
    <s v="Private Wholsaler"/>
    <s v="9434823432"/>
    <n v="1.395"/>
    <n v="55"/>
    <x v="3"/>
    <s v="'22'"/>
    <s v="2026-02-24"/>
    <s v="260185"/>
    <s v="Faroj Ali Shaikh"/>
    <s v="7797070086"/>
  </r>
  <r>
    <s v="RCF Import"/>
    <s v="Imp 10-26-26"/>
    <s v="WB"/>
    <x v="17"/>
    <s v="Hanskhali"/>
    <s v="User Not Mapped"/>
    <s v="User Not Mapped"/>
    <s v="User Not Mapped"/>
    <n v="280732"/>
    <s v="M/S-MADHUSUDAN GHOSH"/>
    <s v="Private Wholsaler"/>
    <s v="9434823432"/>
    <n v="11"/>
    <n v="24"/>
    <x v="5"/>
    <s v="'65'"/>
    <s v="2026-03-27"/>
    <s v="260185"/>
    <s v="Faroj Ali Shaikh"/>
    <s v="7797070086"/>
  </r>
  <r>
    <s v="RCF Thal"/>
    <s v="N.C.Urea(45kg)"/>
    <s v="WB"/>
    <x v="17"/>
    <s v="Hanskhali"/>
    <s v="User Not Mapped"/>
    <s v="User Not Mapped"/>
    <s v="User Not Mapped"/>
    <n v="280732"/>
    <s v="M/S-MADHUSUDAN GHOSH"/>
    <s v="Private Wholsaler"/>
    <s v="9434823432"/>
    <n v="15.885"/>
    <n v="15"/>
    <x v="5"/>
    <s v="'001'"/>
    <s v="2026-04-05"/>
    <s v="260185"/>
    <s v="Faroj Ali Shaikh"/>
    <s v="7797070086"/>
  </r>
  <r>
    <s v="RCF Import"/>
    <s v="Imp 10-26-26"/>
    <s v="WB"/>
    <x v="17"/>
    <s v="Krishnagar - II"/>
    <s v="User Not Mapped"/>
    <s v="User Not Mapped"/>
    <s v="User Not Mapped"/>
    <n v="741286"/>
    <s v="MONDAL FERTILISER"/>
    <s v="Private Retailer"/>
    <s v="7364022732"/>
    <n v="0.05"/>
    <n v="503"/>
    <x v="0"/>
    <m/>
    <s v="2024-12-03"/>
    <s v="260185"/>
    <s v="Faroj Ali Shaikh"/>
    <s v="7797070086"/>
  </r>
  <r>
    <s v="RCF Thal"/>
    <s v="N.C.Urea(45kg)"/>
    <s v="WB"/>
    <x v="17"/>
    <m/>
    <s v="User Not Mapped"/>
    <s v="User Not Mapped"/>
    <s v="User Not Mapped"/>
    <n v="341993"/>
    <s v="Mousmi Biswas"/>
    <s v="Private Retailer"/>
    <s v="9153338472"/>
    <n v="7.0650000000000004"/>
    <n v="15"/>
    <x v="5"/>
    <m/>
    <s v="2026-04-05"/>
    <s v="260185"/>
    <s v="Faroj Ali Shaikh"/>
    <s v="7797070086"/>
  </r>
  <r>
    <s v="RCF Trombay"/>
    <s v="15-15-15"/>
    <s v="WB"/>
    <x v="17"/>
    <m/>
    <s v="User Not Mapped"/>
    <s v="User Not Mapped"/>
    <s v="User Not Mapped"/>
    <n v="593322"/>
    <s v="MUNSHI ABUL HASSAN"/>
    <s v="Private Retailer"/>
    <s v="9775859034"/>
    <n v="5"/>
    <n v="1261"/>
    <x v="2"/>
    <m/>
    <s v="2022-11-06"/>
    <s v="260185"/>
    <s v="Faroj Ali Shaikh"/>
    <s v="7797070086"/>
  </r>
  <r>
    <s v="RCF Trombay"/>
    <s v="N.C.Urea(45kg)"/>
    <s v="WB"/>
    <x v="17"/>
    <m/>
    <s v="User Not Mapped"/>
    <s v="User Not Mapped"/>
    <s v="User Not Mapped"/>
    <n v="593322"/>
    <s v="MUNSHI ABUL HASSAN"/>
    <s v="Private Retailer"/>
    <s v="9775859034"/>
    <n v="2.25"/>
    <n v="1915"/>
    <x v="2"/>
    <m/>
    <s v="2021-01-21"/>
    <s v="260185"/>
    <s v="Faroj Ali Shaikh"/>
    <s v="7797070086"/>
  </r>
  <r>
    <s v="RCF Trombay"/>
    <s v="15-15-15"/>
    <s v="WB"/>
    <x v="17"/>
    <s v="Krishnagar - I"/>
    <s v="User Not Mapped"/>
    <s v="User Not Mapped"/>
    <s v="User Not Mapped"/>
    <n v="280913"/>
    <s v="S.S.P Enterprise"/>
    <s v="Private Wholsaler"/>
    <s v="9732669190"/>
    <n v="2.5"/>
    <n v="55"/>
    <x v="3"/>
    <s v="'26'"/>
    <s v="2026-02-24"/>
    <s v="260185"/>
    <s v="Faroj Ali Shaikh"/>
    <s v="7797070086"/>
  </r>
  <r>
    <s v="RCF Import"/>
    <s v="MOP"/>
    <s v="WB"/>
    <x v="17"/>
    <s v="Krishnagar - I"/>
    <s v="User Not Mapped"/>
    <s v="User Not Mapped"/>
    <s v="User Not Mapped"/>
    <n v="280913"/>
    <s v="S.S.P Enterprise"/>
    <s v="Private Wholsaler"/>
    <s v="9732669190"/>
    <n v="1.25"/>
    <n v="55"/>
    <x v="3"/>
    <s v="'25'"/>
    <s v="2026-02-24"/>
    <s v="260185"/>
    <s v="Faroj Ali Shaikh"/>
    <s v="7797070086"/>
  </r>
  <r>
    <s v="RCF Thal"/>
    <s v="N.C.Urea(45kg)"/>
    <s v="WB"/>
    <x v="17"/>
    <s v="Hanskhali"/>
    <s v="User Not Mapped"/>
    <s v="User Not Mapped"/>
    <s v="User Not Mapped"/>
    <n v="1061906"/>
    <s v="AMALESH CHANDRA BASAK"/>
    <s v="Private Retailer"/>
    <s v="8967757120"/>
    <n v="3.6"/>
    <n v="16"/>
    <x v="5"/>
    <m/>
    <s v="2026-04-04"/>
    <s v="269287"/>
    <s v="Gopal Krishna Kundu"/>
    <s v="9732644921"/>
  </r>
  <r>
    <s v="RCF Thal"/>
    <s v="N.C.Urea(45kg)"/>
    <s v="WB"/>
    <x v="17"/>
    <s v="Hanskhali"/>
    <s v="User Not Mapped"/>
    <s v="User Not Mapped"/>
    <s v="User Not Mapped"/>
    <n v="340918"/>
    <s v="Ashok Kumar Biswas"/>
    <s v="Private Retailer"/>
    <s v="8967346265"/>
    <n v="2.3849999999999998"/>
    <n v="28"/>
    <x v="5"/>
    <m/>
    <s v="2026-03-23"/>
    <s v="269287"/>
    <s v="Gopal Krishna Kundu"/>
    <s v="9732644921"/>
  </r>
  <r>
    <s v="RCF Import"/>
    <s v="Imp 10-26-26"/>
    <s v="WB"/>
    <x v="17"/>
    <s v="Chapra"/>
    <s v="User Not Mapped"/>
    <s v="User Not Mapped"/>
    <s v="User Not Mapped"/>
    <n v="427120"/>
    <s v="Bishal Fertilizer"/>
    <s v="Private Retailer"/>
    <s v="8768165918"/>
    <n v="0.6"/>
    <n v="54"/>
    <x v="3"/>
    <m/>
    <s v="2026-02-25"/>
    <s v="269287"/>
    <s v="Gopal Krishna Kundu"/>
    <s v="9732644921"/>
  </r>
  <r>
    <s v="RCF Thal"/>
    <s v="N.C.Urea(45kg)"/>
    <s v="WB"/>
    <x v="17"/>
    <s v="Hanskhali"/>
    <s v="User Not Mapped"/>
    <s v="User Not Mapped"/>
    <s v="User Not Mapped"/>
    <n v="1370989"/>
    <s v="BISWAS FERTILIZER"/>
    <s v="Private Retailer"/>
    <s v="9732452183"/>
    <n v="4.5449999999999999"/>
    <n v="28"/>
    <x v="5"/>
    <m/>
    <s v="2026-03-23"/>
    <s v="269287"/>
    <s v="Gopal Krishna Kundu"/>
    <s v="9732644921"/>
  </r>
  <r>
    <s v="RCF Trombay"/>
    <s v="15-15-15"/>
    <s v="WB"/>
    <x v="17"/>
    <s v="Hanskhali"/>
    <s v="User Not Mapped"/>
    <s v="User Not Mapped"/>
    <s v="User Not Mapped"/>
    <n v="938162"/>
    <s v="JAGANNATH BISWAS"/>
    <s v="Private Retailer"/>
    <s v="9932233429"/>
    <n v="4.8920000000000003"/>
    <n v="84"/>
    <x v="6"/>
    <m/>
    <s v="2026-01-26"/>
    <s v="269287"/>
    <s v="Gopal Krishna Kundu"/>
    <s v="9732644921"/>
  </r>
  <r>
    <s v="RCF Import"/>
    <s v="Imp 10-26-26"/>
    <s v="WB"/>
    <x v="17"/>
    <s v="Chapra"/>
    <s v="User Not Mapped"/>
    <s v="User Not Mapped"/>
    <s v="User Not Mapped"/>
    <n v="1022868"/>
    <s v="MADON MOHAN GARAI"/>
    <s v="Private Retailer"/>
    <s v="9233043453"/>
    <n v="0.9"/>
    <n v="54"/>
    <x v="3"/>
    <m/>
    <s v="2026-02-25"/>
    <s v="269287"/>
    <s v="Gopal Krishna Kundu"/>
    <s v="9732644921"/>
  </r>
  <r>
    <s v="RCF Trombay"/>
    <s v="N.C.Urea(45kg)"/>
    <s v="WB"/>
    <x v="17"/>
    <s v="Tehatta - I"/>
    <s v="User Not Mapped"/>
    <s v="User Not Mapped"/>
    <s v="User Not Mapped"/>
    <n v="323500"/>
    <s v="Motiur Rahaman Mollick"/>
    <s v="Private Retailer"/>
    <s v="9933858405"/>
    <n v="4.2750000000000004"/>
    <n v="54"/>
    <x v="3"/>
    <m/>
    <s v="2026-02-25"/>
    <s v="269287"/>
    <s v="Gopal Krishna Kundu"/>
    <s v="9732644921"/>
  </r>
  <r>
    <s v="RCF Import"/>
    <s v="MOP"/>
    <s v="WB"/>
    <x v="17"/>
    <s v="Tehatta - I"/>
    <s v="User Not Mapped"/>
    <s v="User Not Mapped"/>
    <s v="User Not Mapped"/>
    <n v="323500"/>
    <s v="Motiur Rahaman Mollick"/>
    <s v="Private Retailer"/>
    <s v="9933858405"/>
    <n v="9.3000000000000007"/>
    <n v="61"/>
    <x v="6"/>
    <m/>
    <s v="2026-02-18"/>
    <s v="269287"/>
    <s v="Gopal Krishna Kundu"/>
    <s v="9732644921"/>
  </r>
  <r>
    <s v="RCF Trombay"/>
    <s v="15-15-15"/>
    <s v="WB"/>
    <x v="17"/>
    <m/>
    <s v="User Not Mapped"/>
    <s v="User Not Mapped"/>
    <s v="User Not Mapped"/>
    <n v="593322"/>
    <s v="MUNSHI ABUL HASSAN"/>
    <s v="Private Retailer"/>
    <s v="9775859034"/>
    <n v="1.7"/>
    <n v="1713"/>
    <x v="2"/>
    <m/>
    <s v="2021-08-11"/>
    <s v="269287"/>
    <s v="Gopal Krishna Kundu"/>
    <s v="9732644921"/>
  </r>
  <r>
    <s v="RCF Thal"/>
    <s v="N.C.Urea(45kg)"/>
    <s v="WB"/>
    <x v="17"/>
    <s v="Hanskhali"/>
    <s v="User Not Mapped"/>
    <s v="User Not Mapped"/>
    <s v="User Not Mapped"/>
    <n v="1062027"/>
    <s v="NAKUMUDDIN MONDAL"/>
    <s v="Private Retailer"/>
    <s v="9732525558"/>
    <n v="0.13500000000000001"/>
    <n v="28"/>
    <x v="5"/>
    <m/>
    <s v="2026-03-23"/>
    <s v="269287"/>
    <s v="Gopal Krishna Kundu"/>
    <s v="9732644921"/>
  </r>
  <r>
    <s v="RCF Trombay"/>
    <s v="N.C.Urea(45kg)"/>
    <s v="WB"/>
    <x v="17"/>
    <m/>
    <s v="User Not Mapped"/>
    <s v="User Not Mapped"/>
    <s v="User Not Mapped"/>
    <n v="342669"/>
    <s v="Ratan Sadhukhan"/>
    <s v="Private Retailer"/>
    <s v="9932390429"/>
    <n v="4.9950000000000001"/>
    <n v="1151"/>
    <x v="2"/>
    <m/>
    <s v="2023-02-24"/>
    <s v="269287"/>
    <s v="Gopal Krishna Kundu"/>
    <s v="9732644921"/>
  </r>
  <r>
    <s v="RCF Trombay"/>
    <s v="N.C.Urea(45kg)"/>
    <s v="WB"/>
    <x v="17"/>
    <s v="Hanskhali"/>
    <s v="User Not Mapped"/>
    <s v="User Not Mapped"/>
    <s v="User Not Mapped"/>
    <n v="1061999"/>
    <s v="SAMIR SARKAR"/>
    <s v="Private Retailer"/>
    <s v="8944898501"/>
    <n v="1.575"/>
    <n v="54"/>
    <x v="3"/>
    <m/>
    <s v="2026-02-25"/>
    <s v="269287"/>
    <s v="Gopal Krishna Kundu"/>
    <s v="9732644921"/>
  </r>
  <r>
    <s v="RCF Thal"/>
    <s v="N.C.Urea(45kg)"/>
    <s v="WB"/>
    <x v="17"/>
    <s v="Hanskhali"/>
    <s v="User Not Mapped"/>
    <s v="User Not Mapped"/>
    <s v="User Not Mapped"/>
    <n v="1061999"/>
    <s v="SAMIR SARKAR"/>
    <s v="Private Retailer"/>
    <s v="8944898501"/>
    <n v="4.9950000000000001"/>
    <n v="11"/>
    <x v="5"/>
    <m/>
    <s v="2026-04-09"/>
    <s v="269287"/>
    <s v="Gopal Krishna Kundu"/>
    <s v="9732644921"/>
  </r>
  <r>
    <s v="RCF Trombay"/>
    <s v="15-15-15"/>
    <s v="WB"/>
    <x v="17"/>
    <s v="Hanskhali"/>
    <s v="User Not Mapped"/>
    <s v="User Not Mapped"/>
    <s v="User Not Mapped"/>
    <n v="1061999"/>
    <s v="SAMIR SARKAR"/>
    <s v="Private Retailer"/>
    <s v="8944898501"/>
    <n v="12.2"/>
    <n v="54"/>
    <x v="3"/>
    <m/>
    <s v="2026-02-25"/>
    <s v="269287"/>
    <s v="Gopal Krishna Kundu"/>
    <s v="9732644921"/>
  </r>
  <r>
    <s v="RCF Trombay"/>
    <s v="N.C.Urea(45kg)"/>
    <s v="WB"/>
    <x v="17"/>
    <s v="Hanskhali"/>
    <s v="User Not Mapped"/>
    <s v="User Not Mapped"/>
    <s v="User Not Mapped"/>
    <n v="441531"/>
    <s v="SANJAY SAHA"/>
    <s v="Private Retailer"/>
    <s v="9474341221"/>
    <n v="4.9950000000000001"/>
    <n v="84"/>
    <x v="6"/>
    <m/>
    <s v="2026-01-26"/>
    <s v="269287"/>
    <s v="Gopal Krishna Kundu"/>
    <s v="9732644921"/>
  </r>
  <r>
    <s v="RCF Import"/>
    <s v="Imp 10-26-26"/>
    <s v="WB"/>
    <x v="17"/>
    <s v="Chapra"/>
    <s v="User Not Mapped"/>
    <s v="User Not Mapped"/>
    <s v="User Not Mapped"/>
    <n v="440927"/>
    <s v="Sankar Kr Biswas"/>
    <s v="Private Retailer"/>
    <s v="9800154829"/>
    <n v="1.05"/>
    <n v="54"/>
    <x v="3"/>
    <m/>
    <s v="2026-02-25"/>
    <s v="269287"/>
    <s v="Gopal Krishna Kundu"/>
    <s v="9732644921"/>
  </r>
  <r>
    <s v="RCF Thal"/>
    <s v="N.C.Urea(45kg)"/>
    <s v="WB"/>
    <x v="17"/>
    <s v="Hanskhali"/>
    <s v="User Not Mapped"/>
    <s v="User Not Mapped"/>
    <s v="User Not Mapped"/>
    <n v="1062052"/>
    <s v="SUDHENDU SAHA"/>
    <s v="Private Retailer"/>
    <s v="6294824935"/>
    <n v="4.9950000000000001"/>
    <n v="16"/>
    <x v="5"/>
    <m/>
    <s v="2026-04-04"/>
    <s v="269287"/>
    <s v="Gopal Krishna Kundu"/>
    <s v="9732644921"/>
  </r>
  <r>
    <s v="RCF Thal"/>
    <s v="N.C.Urea(45kg)"/>
    <s v="WB"/>
    <x v="17"/>
    <s v="Tehatta - II"/>
    <s v="User Not Mapped"/>
    <s v="User Not Mapped"/>
    <s v="User Not Mapped"/>
    <n v="894571"/>
    <s v="M/s BIJAYA KRISHI BHANDAR"/>
    <s v="Private Retailer"/>
    <s v="9434551050"/>
    <n v="0.63"/>
    <n v="1785"/>
    <x v="2"/>
    <m/>
    <s v="2021-05-31"/>
    <s v="269300"/>
    <s v="Gopinath Mollick"/>
    <s v="8348154015"/>
  </r>
  <r>
    <s v="RCF Trombay"/>
    <s v="15-15-15"/>
    <s v="WB"/>
    <x v="17"/>
    <s v="Haringhata"/>
    <s v="User Not Mapped"/>
    <s v="User Not Mapped"/>
    <s v="User Not Mapped"/>
    <n v="388046"/>
    <s v=" Banerjee Fertilisers"/>
    <s v="Private Retailer"/>
    <s v="7872086892"/>
    <n v="0.05"/>
    <n v="23"/>
    <x v="5"/>
    <m/>
    <s v="2026-03-28"/>
    <s v="260210"/>
    <s v="Gouri Sankar Kundu            "/>
    <s v="9064539774"/>
  </r>
  <r>
    <s v="RCF Thal"/>
    <s v="N.C.Urea(45kg)"/>
    <s v="WB"/>
    <x v="17"/>
    <s v="Haringhata"/>
    <s v="User Not Mapped"/>
    <s v="User Not Mapped"/>
    <s v="User Not Mapped"/>
    <n v="388046"/>
    <s v=" Banerjee Fertilisers"/>
    <s v="Private Retailer"/>
    <s v="7872086892"/>
    <n v="0.315"/>
    <n v="9"/>
    <x v="5"/>
    <m/>
    <s v="2026-04-11"/>
    <s v="260210"/>
    <s v="Gouri Sankar Kundu            "/>
    <s v="9064539774"/>
  </r>
  <r>
    <s v="RCF Trombay"/>
    <s v="15-15-15"/>
    <s v="WB"/>
    <x v="17"/>
    <s v="Chakdah"/>
    <s v="User Not Mapped"/>
    <s v="User Not Mapped"/>
    <s v="User Not Mapped"/>
    <n v="599879"/>
    <s v="Abulkalam Azad Khan"/>
    <s v="Private Retailer"/>
    <s v="9800215835"/>
    <n v="1.5"/>
    <n v="23"/>
    <x v="5"/>
    <m/>
    <s v="2026-03-28"/>
    <s v="260210"/>
    <s v="Gouri Sankar Kundu            "/>
    <s v="9064539774"/>
  </r>
  <r>
    <s v="RCF Import"/>
    <s v="MOP"/>
    <s v="WB"/>
    <x v="17"/>
    <s v="Chakdah"/>
    <s v="User Not Mapped"/>
    <s v="User Not Mapped"/>
    <s v="User Not Mapped"/>
    <n v="599879"/>
    <s v="Abulkalam Azad Khan"/>
    <s v="Private Retailer"/>
    <s v="9800215835"/>
    <n v="0.4"/>
    <n v="23"/>
    <x v="5"/>
    <m/>
    <s v="2026-03-28"/>
    <s v="260210"/>
    <s v="Gouri Sankar Kundu            "/>
    <s v="9064539774"/>
  </r>
  <r>
    <s v="RCF Thal"/>
    <s v="N.C.Urea(45kg)"/>
    <s v="WB"/>
    <x v="17"/>
    <s v="Chakdah"/>
    <s v="User Not Mapped"/>
    <s v="User Not Mapped"/>
    <s v="User Not Mapped"/>
    <n v="599879"/>
    <s v="Abulkalam Azad Khan"/>
    <s v="Private Retailer"/>
    <s v="9800215835"/>
    <n v="0.94499999999999995"/>
    <n v="14"/>
    <x v="5"/>
    <m/>
    <s v="2026-04-06"/>
    <s v="260210"/>
    <s v="Gouri Sankar Kundu            "/>
    <s v="9064539774"/>
  </r>
  <r>
    <s v="RCF Import"/>
    <s v="Imp 10-26-26"/>
    <s v="WB"/>
    <x v="17"/>
    <s v="Chakdah"/>
    <s v="User Not Mapped"/>
    <s v="User Not Mapped"/>
    <s v="User Not Mapped"/>
    <n v="941498"/>
    <s v="AJIT KUMAR SARKAR"/>
    <s v="Private Retailer"/>
    <s v="9775668237"/>
    <n v="0.15"/>
    <n v="193"/>
    <x v="1"/>
    <m/>
    <s v="2025-10-09"/>
    <s v="260210"/>
    <s v="Gouri Sankar Kundu            "/>
    <s v="9064539774"/>
  </r>
  <r>
    <s v="RCF Trombay"/>
    <s v="N.C.Urea(45kg)"/>
    <s v="WB"/>
    <x v="17"/>
    <s v="Chakdah"/>
    <s v="User Not Mapped"/>
    <s v="User Not Mapped"/>
    <s v="User Not Mapped"/>
    <n v="340774"/>
    <s v="Amal Mondal"/>
    <s v="Private Retailer"/>
    <s v="9733620254"/>
    <n v="0.58499999999999996"/>
    <n v="53"/>
    <x v="3"/>
    <m/>
    <s v="2026-02-26"/>
    <s v="260210"/>
    <s v="Gouri Sankar Kundu            "/>
    <s v="9064539774"/>
  </r>
  <r>
    <s v="RCF Import"/>
    <s v="MOP"/>
    <s v="WB"/>
    <x v="17"/>
    <s v="Chakdah"/>
    <s v="User Not Mapped"/>
    <s v="User Not Mapped"/>
    <s v="User Not Mapped"/>
    <n v="340774"/>
    <s v="Amal Mondal"/>
    <s v="Private Retailer"/>
    <s v="9733620254"/>
    <n v="0.85"/>
    <n v="37"/>
    <x v="3"/>
    <m/>
    <s v="2026-03-14"/>
    <s v="260210"/>
    <s v="Gouri Sankar Kundu            "/>
    <s v="9064539774"/>
  </r>
  <r>
    <s v="RCF Trombay"/>
    <s v="15-15-15"/>
    <s v="WB"/>
    <x v="17"/>
    <s v="Chakdah"/>
    <s v="User Not Mapped"/>
    <s v="User Not Mapped"/>
    <s v="User Not Mapped"/>
    <n v="340774"/>
    <s v="Amal Mondal"/>
    <s v="Private Retailer"/>
    <s v="9733620254"/>
    <n v="0.25"/>
    <n v="61"/>
    <x v="6"/>
    <m/>
    <s v="2026-02-18"/>
    <s v="260210"/>
    <s v="Gouri Sankar Kundu            "/>
    <s v="9064539774"/>
  </r>
  <r>
    <s v="RCF Import"/>
    <s v="MOP"/>
    <s v="WB"/>
    <x v="17"/>
    <s v="Chakdah"/>
    <s v="User Not Mapped"/>
    <s v="User Not Mapped"/>
    <s v="User Not Mapped"/>
    <n v="340774"/>
    <s v="Amal Mondal"/>
    <s v="Private Retailer"/>
    <s v="9733620254"/>
    <n v="0.5"/>
    <n v="23"/>
    <x v="5"/>
    <m/>
    <s v="2026-03-28"/>
    <s v="260210"/>
    <s v="Gouri Sankar Kundu            "/>
    <s v="9064539774"/>
  </r>
  <r>
    <s v="RCF Import"/>
    <s v="MOP"/>
    <s v="WB"/>
    <x v="17"/>
    <s v="Chakdah"/>
    <s v="User Not Mapped"/>
    <s v="User Not Mapped"/>
    <s v="User Not Mapped"/>
    <n v="631185"/>
    <s v="Amit Sarkar"/>
    <s v="Private Retailer"/>
    <s v="9836461215"/>
    <n v="0.1"/>
    <n v="58"/>
    <x v="3"/>
    <m/>
    <s v="2026-02-21"/>
    <s v="260210"/>
    <s v="Gouri Sankar Kundu            "/>
    <s v="9064539774"/>
  </r>
  <r>
    <s v="RCF Thal"/>
    <s v="N.C.Urea(45kg)"/>
    <s v="WB"/>
    <x v="17"/>
    <s v="Chakdah"/>
    <s v="User Not Mapped"/>
    <s v="User Not Mapped"/>
    <s v="User Not Mapped"/>
    <n v="631185"/>
    <s v="Amit Sarkar"/>
    <s v="Private Retailer"/>
    <s v="9836461215"/>
    <n v="1.35"/>
    <n v="14"/>
    <x v="5"/>
    <m/>
    <s v="2026-04-06"/>
    <s v="260210"/>
    <s v="Gouri Sankar Kundu            "/>
    <s v="9064539774"/>
  </r>
  <r>
    <s v="RCF Trombay"/>
    <s v="15-15-15"/>
    <s v="WB"/>
    <x v="17"/>
    <s v="Chakdah"/>
    <s v="User Not Mapped"/>
    <s v="User Not Mapped"/>
    <s v="User Not Mapped"/>
    <n v="631185"/>
    <s v="Amit Sarkar"/>
    <s v="Private Retailer"/>
    <s v="9836461215"/>
    <n v="0.75"/>
    <n v="45"/>
    <x v="3"/>
    <m/>
    <s v="2026-03-06"/>
    <s v="260210"/>
    <s v="Gouri Sankar Kundu            "/>
    <s v="9064539774"/>
  </r>
  <r>
    <s v="RCF Trombay"/>
    <s v="15-15-15"/>
    <s v="WB"/>
    <x v="17"/>
    <s v="Chakdah"/>
    <s v="User Not Mapped"/>
    <s v="User Not Mapped"/>
    <s v="User Not Mapped"/>
    <n v="631185"/>
    <s v="Amit Sarkar"/>
    <s v="Private Retailer"/>
    <s v="9836461215"/>
    <n v="0.05"/>
    <n v="83"/>
    <x v="6"/>
    <m/>
    <s v="2026-01-27"/>
    <s v="260210"/>
    <s v="Gouri Sankar Kundu            "/>
    <s v="9064539774"/>
  </r>
  <r>
    <s v="RCF Trombay"/>
    <s v="15-15-15"/>
    <s v="WB"/>
    <x v="17"/>
    <s v="Chakdah"/>
    <s v="User Not Mapped"/>
    <s v="User Not Mapped"/>
    <s v="User Not Mapped"/>
    <n v="631185"/>
    <s v="Amit Sarkar"/>
    <s v="Private Retailer"/>
    <s v="9836461215"/>
    <n v="0.75"/>
    <n v="70"/>
    <x v="6"/>
    <m/>
    <s v="2026-02-09"/>
    <s v="260210"/>
    <s v="Gouri Sankar Kundu            "/>
    <s v="9064539774"/>
  </r>
  <r>
    <s v="RCF Trombay"/>
    <s v="15-15-15"/>
    <s v="WB"/>
    <x v="17"/>
    <s v="Chakdah"/>
    <s v="User Not Mapped"/>
    <s v="User Not Mapped"/>
    <s v="User Not Mapped"/>
    <n v="340975"/>
    <s v="Babul Ch. Bala"/>
    <s v="Private Retailer"/>
    <s v="9831441598"/>
    <n v="0.83499999999999996"/>
    <n v="135"/>
    <x v="4"/>
    <m/>
    <s v="2025-12-06"/>
    <s v="260210"/>
    <s v="Gouri Sankar Kundu            "/>
    <s v="9064539774"/>
  </r>
  <r>
    <s v="RCF Trombay"/>
    <s v="15-15-15"/>
    <s v="WB"/>
    <x v="17"/>
    <s v="Chakdah"/>
    <s v="User Not Mapped"/>
    <s v="User Not Mapped"/>
    <s v="User Not Mapped"/>
    <n v="340975"/>
    <s v="Babul Ch. Bala"/>
    <s v="Private Retailer"/>
    <s v="9831441598"/>
    <n v="0.5"/>
    <n v="74"/>
    <x v="6"/>
    <m/>
    <s v="2026-02-05"/>
    <s v="260210"/>
    <s v="Gouri Sankar Kundu            "/>
    <s v="9064539774"/>
  </r>
  <r>
    <s v="RCF Thal"/>
    <s v="N.C.Urea(45kg)"/>
    <s v="WB"/>
    <x v="17"/>
    <s v="Chakdah"/>
    <s v="User Not Mapped"/>
    <s v="User Not Mapped"/>
    <s v="User Not Mapped"/>
    <n v="340975"/>
    <s v="Babul Ch. Bala"/>
    <s v="Private Retailer"/>
    <s v="9831441598"/>
    <n v="0.13500000000000001"/>
    <n v="14"/>
    <x v="5"/>
    <m/>
    <s v="2026-04-06"/>
    <s v="260210"/>
    <s v="Gouri Sankar Kundu            "/>
    <s v="9064539774"/>
  </r>
  <r>
    <s v="RCF Import"/>
    <s v="MOP"/>
    <s v="WB"/>
    <x v="17"/>
    <s v="Chakdah"/>
    <s v="User Not Mapped"/>
    <s v="User Not Mapped"/>
    <s v="User Not Mapped"/>
    <n v="340998"/>
    <s v="Bapi Biswas"/>
    <s v="Private Retailer"/>
    <s v="9332939212"/>
    <n v="0.14000000000000001"/>
    <n v="37"/>
    <x v="3"/>
    <m/>
    <s v="2026-03-14"/>
    <s v="260210"/>
    <s v="Gouri Sankar Kundu            "/>
    <s v="9064539774"/>
  </r>
  <r>
    <s v="RCF Thal"/>
    <s v="N.C.Urea(45kg)"/>
    <s v="WB"/>
    <x v="17"/>
    <s v="Chakdah"/>
    <s v="User Not Mapped"/>
    <s v="User Not Mapped"/>
    <s v="User Not Mapped"/>
    <n v="340998"/>
    <s v="Bapi Biswas"/>
    <s v="Private Retailer"/>
    <s v="9332939212"/>
    <n v="0.09"/>
    <n v="32"/>
    <x v="3"/>
    <m/>
    <s v="2026-03-19"/>
    <s v="260210"/>
    <s v="Gouri Sankar Kundu            "/>
    <s v="9064539774"/>
  </r>
  <r>
    <s v="RCF Import"/>
    <s v="MOP"/>
    <s v="WB"/>
    <x v="17"/>
    <s v="Chakdah"/>
    <s v="User Not Mapped"/>
    <s v="User Not Mapped"/>
    <s v="User Not Mapped"/>
    <n v="340998"/>
    <s v="Bapi Biswas"/>
    <s v="Private Retailer"/>
    <s v="9332939212"/>
    <n v="0.15"/>
    <n v="32"/>
    <x v="3"/>
    <m/>
    <s v="2026-03-19"/>
    <s v="260210"/>
    <s v="Gouri Sankar Kundu            "/>
    <s v="9064539774"/>
  </r>
  <r>
    <s v="RCF Import"/>
    <s v="MOP"/>
    <s v="WB"/>
    <x v="17"/>
    <s v="Chakdah"/>
    <s v="User Not Mapped"/>
    <s v="User Not Mapped"/>
    <s v="User Not Mapped"/>
    <n v="340998"/>
    <s v="Bapi Biswas"/>
    <s v="Private Retailer"/>
    <s v="9332939212"/>
    <n v="0.3"/>
    <n v="30"/>
    <x v="5"/>
    <m/>
    <s v="2026-03-21"/>
    <s v="260210"/>
    <s v="Gouri Sankar Kundu            "/>
    <s v="9064539774"/>
  </r>
  <r>
    <s v="RCF Trombay"/>
    <s v="15-15-15"/>
    <s v="WB"/>
    <x v="17"/>
    <s v="Chakdah"/>
    <s v="User Not Mapped"/>
    <s v="User Not Mapped"/>
    <s v="User Not Mapped"/>
    <n v="340998"/>
    <s v="Bapi Biswas"/>
    <s v="Private Retailer"/>
    <s v="9332939212"/>
    <n v="0.15"/>
    <n v="49"/>
    <x v="3"/>
    <m/>
    <s v="2026-03-02"/>
    <s v="260210"/>
    <s v="Gouri Sankar Kundu            "/>
    <s v="9064539774"/>
  </r>
  <r>
    <s v="RCF Thal"/>
    <s v="N.C.Urea(45kg)"/>
    <s v="WB"/>
    <x v="17"/>
    <s v="Chakdah"/>
    <s v="User Not Mapped"/>
    <s v="User Not Mapped"/>
    <s v="User Not Mapped"/>
    <n v="340998"/>
    <s v="Bapi Biswas"/>
    <s v="Private Retailer"/>
    <s v="9332939212"/>
    <n v="0.67500000000000004"/>
    <n v="30"/>
    <x v="5"/>
    <m/>
    <s v="2026-03-21"/>
    <s v="260210"/>
    <s v="Gouri Sankar Kundu            "/>
    <s v="9064539774"/>
  </r>
  <r>
    <s v="RCF Import"/>
    <s v="MOP"/>
    <s v="WB"/>
    <x v="17"/>
    <s v="Chakdah"/>
    <s v="User Not Mapped"/>
    <s v="User Not Mapped"/>
    <s v="User Not Mapped"/>
    <n v="340998"/>
    <s v="Bapi Biswas"/>
    <s v="Private Retailer"/>
    <s v="9332939212"/>
    <n v="0.25"/>
    <n v="20"/>
    <x v="5"/>
    <m/>
    <s v="2026-03-31"/>
    <s v="260210"/>
    <s v="Gouri Sankar Kundu            "/>
    <s v="9064539774"/>
  </r>
  <r>
    <s v="RCF Trombay"/>
    <s v="15-15-15"/>
    <s v="WB"/>
    <x v="17"/>
    <s v="Chakdah"/>
    <s v="User Not Mapped"/>
    <s v="User Not Mapped"/>
    <s v="User Not Mapped"/>
    <n v="340998"/>
    <s v="Bapi Biswas"/>
    <s v="Private Retailer"/>
    <s v="9332939212"/>
    <n v="0.20499999999999999"/>
    <n v="64"/>
    <x v="6"/>
    <m/>
    <s v="2026-02-15"/>
    <s v="260210"/>
    <s v="Gouri Sankar Kundu            "/>
    <s v="9064539774"/>
  </r>
  <r>
    <s v="RCF Trombay"/>
    <s v="15-15-15"/>
    <s v="WB"/>
    <x v="17"/>
    <s v="Chakdah"/>
    <s v="User Not Mapped"/>
    <s v="User Not Mapped"/>
    <s v="User Not Mapped"/>
    <n v="340998"/>
    <s v="Bapi Biswas"/>
    <s v="Private Retailer"/>
    <s v="9332939212"/>
    <n v="0.1"/>
    <n v="37"/>
    <x v="3"/>
    <m/>
    <s v="2026-03-14"/>
    <s v="260210"/>
    <s v="Gouri Sankar Kundu            "/>
    <s v="9064539774"/>
  </r>
  <r>
    <s v="RCF Thal"/>
    <s v="N.C.Urea(45kg)"/>
    <s v="WB"/>
    <x v="17"/>
    <s v="Chakdah"/>
    <s v="User Not Mapped"/>
    <s v="User Not Mapped"/>
    <s v="User Not Mapped"/>
    <n v="340998"/>
    <s v="Bapi Biswas"/>
    <s v="Private Retailer"/>
    <s v="9332939212"/>
    <n v="0.13500000000000001"/>
    <n v="4"/>
    <x v="5"/>
    <m/>
    <s v="2026-04-16"/>
    <s v="260210"/>
    <s v="Gouri Sankar Kundu            "/>
    <s v="9064539774"/>
  </r>
  <r>
    <s v="RCF Trombay"/>
    <s v="15-15-15"/>
    <s v="WB"/>
    <x v="17"/>
    <s v="Chakdah"/>
    <s v="User Not Mapped"/>
    <s v="User Not Mapped"/>
    <s v="User Not Mapped"/>
    <n v="1062054"/>
    <s v="BARKAT ALI MISTRI"/>
    <s v="Private Retailer"/>
    <s v="7319225021"/>
    <n v="0.15"/>
    <n v="37"/>
    <x v="3"/>
    <m/>
    <s v="2026-03-14"/>
    <s v="260210"/>
    <s v="Gouri Sankar Kundu            "/>
    <s v="9064539774"/>
  </r>
  <r>
    <s v="RCF Thal"/>
    <s v="N.C.Urea(45kg)"/>
    <s v="WB"/>
    <x v="17"/>
    <s v="Chakdah"/>
    <s v="User Not Mapped"/>
    <s v="User Not Mapped"/>
    <s v="User Not Mapped"/>
    <n v="1062054"/>
    <s v="BARKAT ALI MISTRI"/>
    <s v="Private Retailer"/>
    <s v="7319225021"/>
    <n v="0.67500000000000004"/>
    <n v="37"/>
    <x v="3"/>
    <m/>
    <s v="2026-03-14"/>
    <s v="260210"/>
    <s v="Gouri Sankar Kundu            "/>
    <s v="9064539774"/>
  </r>
  <r>
    <s v="RCF Trombay"/>
    <s v="N.C.Urea(45kg)"/>
    <s v="WB"/>
    <x v="17"/>
    <s v="Chakdah"/>
    <s v="User Not Mapped"/>
    <s v="User Not Mapped"/>
    <s v="User Not Mapped"/>
    <n v="938971"/>
    <s v="BHAKTI PRASANTA DEY"/>
    <s v="Private Retailer"/>
    <s v="9593271950"/>
    <n v="0.22500000000000001"/>
    <n v="972"/>
    <x v="2"/>
    <m/>
    <s v="2023-08-22"/>
    <s v="260210"/>
    <s v="Gouri Sankar Kundu            "/>
    <s v="9064539774"/>
  </r>
  <r>
    <s v="RCF Import"/>
    <s v="MOP"/>
    <s v="WB"/>
    <x v="17"/>
    <s v="Chakdah"/>
    <s v="User Not Mapped"/>
    <s v="User Not Mapped"/>
    <s v="User Not Mapped"/>
    <n v="938971"/>
    <s v="BHAKTI PRASANTA DEY"/>
    <s v="Private Retailer"/>
    <s v="9593271950"/>
    <n v="0.2"/>
    <n v="450"/>
    <x v="0"/>
    <m/>
    <s v="2025-01-25"/>
    <s v="260210"/>
    <s v="Gouri Sankar Kundu            "/>
    <s v="9064539774"/>
  </r>
  <r>
    <s v="RCF Thal"/>
    <s v="N.C.Urea(45kg)"/>
    <s v="WB"/>
    <x v="17"/>
    <s v="Chakdah"/>
    <s v="User Not Mapped"/>
    <s v="User Not Mapped"/>
    <s v="User Not Mapped"/>
    <n v="938971"/>
    <s v="BHAKTI PRASANTA DEY"/>
    <s v="Private Retailer"/>
    <s v="9593271950"/>
    <n v="0.45"/>
    <n v="450"/>
    <x v="0"/>
    <m/>
    <s v="2025-01-25"/>
    <s v="260210"/>
    <s v="Gouri Sankar Kundu            "/>
    <s v="9064539774"/>
  </r>
  <r>
    <s v="RCF Trombay"/>
    <s v="15-15-15"/>
    <s v="WB"/>
    <x v="17"/>
    <s v="Chakdah"/>
    <s v="User Not Mapped"/>
    <s v="User Not Mapped"/>
    <s v="User Not Mapped"/>
    <n v="938971"/>
    <s v="BHAKTI PRASANTA DEY"/>
    <s v="Private Retailer"/>
    <s v="9593271950"/>
    <n v="0.15"/>
    <n v="592"/>
    <x v="2"/>
    <m/>
    <s v="2024-09-05"/>
    <s v="260210"/>
    <s v="Gouri Sankar Kundu            "/>
    <s v="9064539774"/>
  </r>
  <r>
    <s v="RCF Trombay"/>
    <s v="15-15-15"/>
    <s v="WB"/>
    <x v="17"/>
    <s v="Chakdah"/>
    <s v="User Not Mapped"/>
    <s v="User Not Mapped"/>
    <s v="User Not Mapped"/>
    <n v="938971"/>
    <s v="BHAKTI PRASANTA DEY"/>
    <s v="Private Retailer"/>
    <s v="9593271950"/>
    <n v="0.15"/>
    <n v="246"/>
    <x v="1"/>
    <m/>
    <s v="2025-08-17"/>
    <s v="260210"/>
    <s v="Gouri Sankar Kundu            "/>
    <s v="9064539774"/>
  </r>
  <r>
    <s v="RCF Trombay"/>
    <s v="15-15-15"/>
    <s v="WB"/>
    <x v="17"/>
    <s v="Chakdah"/>
    <s v="User Not Mapped"/>
    <s v="User Not Mapped"/>
    <s v="User Not Mapped"/>
    <n v="938971"/>
    <s v="BHAKTI PRASANTA DEY"/>
    <s v="Private Retailer"/>
    <s v="9593271950"/>
    <n v="7.4999999999999997E-2"/>
    <n v="661"/>
    <x v="2"/>
    <m/>
    <s v="2024-06-28"/>
    <s v="260210"/>
    <s v="Gouri Sankar Kundu            "/>
    <s v="9064539774"/>
  </r>
  <r>
    <s v="RCF Trombay"/>
    <s v="15-15-15"/>
    <s v="WB"/>
    <x v="17"/>
    <s v="Chakdah"/>
    <s v="User Not Mapped"/>
    <s v="User Not Mapped"/>
    <s v="User Not Mapped"/>
    <n v="938971"/>
    <s v="BHAKTI PRASANTA DEY"/>
    <s v="Private Retailer"/>
    <s v="9593271950"/>
    <n v="0.15"/>
    <n v="616"/>
    <x v="2"/>
    <m/>
    <s v="2024-08-12"/>
    <s v="260210"/>
    <s v="Gouri Sankar Kundu            "/>
    <s v="9064539774"/>
  </r>
  <r>
    <s v="RCF Trombay"/>
    <s v="15-15-15"/>
    <s v="WB"/>
    <x v="17"/>
    <s v="Chakdah"/>
    <s v="User Not Mapped"/>
    <s v="User Not Mapped"/>
    <s v="User Not Mapped"/>
    <n v="938971"/>
    <s v="BHAKTI PRASANTA DEY"/>
    <s v="Private Retailer"/>
    <s v="9593271950"/>
    <n v="0.25"/>
    <n v="450"/>
    <x v="0"/>
    <m/>
    <s v="2025-01-25"/>
    <s v="260210"/>
    <s v="Gouri Sankar Kundu            "/>
    <s v="9064539774"/>
  </r>
  <r>
    <s v="RCF Import"/>
    <s v="MOP"/>
    <s v="WB"/>
    <x v="17"/>
    <s v="Chakdah"/>
    <s v="User Not Mapped"/>
    <s v="User Not Mapped"/>
    <s v="User Not Mapped"/>
    <n v="938971"/>
    <s v="BHAKTI PRASANTA DEY"/>
    <s v="Private Retailer"/>
    <s v="9593271950"/>
    <n v="0.05"/>
    <n v="431"/>
    <x v="0"/>
    <m/>
    <s v="2025-02-13"/>
    <s v="260210"/>
    <s v="Gouri Sankar Kundu            "/>
    <s v="9064539774"/>
  </r>
  <r>
    <s v="RCF Trombay"/>
    <s v="N.C.Urea(45kg)"/>
    <s v="WB"/>
    <x v="17"/>
    <s v="Chakdah"/>
    <s v="User Not Mapped"/>
    <s v="User Not Mapped"/>
    <s v="User Not Mapped"/>
    <n v="938973"/>
    <s v="BHARAT BISWAS"/>
    <s v="Private Retailer"/>
    <s v="9153360143"/>
    <n v="0.09"/>
    <n v="81"/>
    <x v="6"/>
    <m/>
    <s v="2026-01-29"/>
    <s v="260210"/>
    <s v="Gouri Sankar Kundu            "/>
    <s v="9064539774"/>
  </r>
  <r>
    <s v="RCF Trombay"/>
    <s v="15-15-15"/>
    <s v="WB"/>
    <x v="17"/>
    <s v="Chakdah"/>
    <s v="User Not Mapped"/>
    <s v="User Not Mapped"/>
    <s v="User Not Mapped"/>
    <n v="938973"/>
    <s v="BHARAT BISWAS"/>
    <s v="Private Retailer"/>
    <s v="9153360143"/>
    <n v="5.0000000000000001E-3"/>
    <n v="37"/>
    <x v="3"/>
    <m/>
    <s v="2026-03-14"/>
    <s v="260210"/>
    <s v="Gouri Sankar Kundu            "/>
    <s v="9064539774"/>
  </r>
  <r>
    <s v="RCF Thal"/>
    <s v="N.C.Urea(45kg)"/>
    <s v="WB"/>
    <x v="17"/>
    <s v="Chakdah"/>
    <s v="User Not Mapped"/>
    <s v="User Not Mapped"/>
    <s v="User Not Mapped"/>
    <n v="938973"/>
    <s v="BHARAT BISWAS"/>
    <s v="Private Retailer"/>
    <s v="9153360143"/>
    <n v="0.09"/>
    <n v="30"/>
    <x v="5"/>
    <m/>
    <s v="2026-03-21"/>
    <s v="260210"/>
    <s v="Gouri Sankar Kundu            "/>
    <s v="9064539774"/>
  </r>
  <r>
    <s v="RCF Import"/>
    <s v="Imp 10-26-26"/>
    <s v="WB"/>
    <x v="17"/>
    <s v="Chakdah"/>
    <s v="User Not Mapped"/>
    <s v="User Not Mapped"/>
    <s v="User Not Mapped"/>
    <n v="938973"/>
    <s v="BHARAT BISWAS"/>
    <s v="Private Retailer"/>
    <s v="9153360143"/>
    <n v="0.05"/>
    <n v="30"/>
    <x v="5"/>
    <m/>
    <s v="2026-03-21"/>
    <s v="260210"/>
    <s v="Gouri Sankar Kundu            "/>
    <s v="9064539774"/>
  </r>
  <r>
    <s v="RCF Thal"/>
    <s v="N.C.Urea(45kg)"/>
    <s v="WB"/>
    <x v="17"/>
    <s v="Chakdah"/>
    <s v="User Not Mapped"/>
    <s v="User Not Mapped"/>
    <s v="User Not Mapped"/>
    <n v="938973"/>
    <s v="BHARAT BISWAS"/>
    <s v="Private Retailer"/>
    <s v="9153360143"/>
    <n v="0.27"/>
    <n v="37"/>
    <x v="3"/>
    <m/>
    <s v="2026-03-14"/>
    <s v="260210"/>
    <s v="Gouri Sankar Kundu            "/>
    <s v="9064539774"/>
  </r>
  <r>
    <s v="RCF Import"/>
    <s v="Imp 10-26-26"/>
    <s v="WB"/>
    <x v="17"/>
    <s v="Chakdah"/>
    <s v="User Not Mapped"/>
    <s v="User Not Mapped"/>
    <s v="User Not Mapped"/>
    <n v="938973"/>
    <s v="BHARAT BISWAS"/>
    <s v="Private Retailer"/>
    <s v="9153360143"/>
    <n v="0.05"/>
    <n v="152"/>
    <x v="4"/>
    <m/>
    <s v="2025-11-19"/>
    <s v="260210"/>
    <s v="Gouri Sankar Kundu            "/>
    <s v="9064539774"/>
  </r>
  <r>
    <s v="RCF Trombay"/>
    <s v="15-15-15"/>
    <s v="WB"/>
    <x v="17"/>
    <s v="Chakdah"/>
    <s v="User Not Mapped"/>
    <s v="User Not Mapped"/>
    <s v="User Not Mapped"/>
    <n v="940796"/>
    <s v="BIJIT DAS"/>
    <s v="Private Retailer"/>
    <s v="8389982870"/>
    <n v="0.05"/>
    <n v="57"/>
    <x v="3"/>
    <m/>
    <s v="2026-02-22"/>
    <s v="260210"/>
    <s v="Gouri Sankar Kundu            "/>
    <s v="9064539774"/>
  </r>
  <r>
    <s v="RCF Import"/>
    <s v="MOP"/>
    <s v="WB"/>
    <x v="17"/>
    <s v="Chakdah"/>
    <s v="User Not Mapped"/>
    <s v="User Not Mapped"/>
    <s v="User Not Mapped"/>
    <n v="940796"/>
    <s v="BIJIT DAS"/>
    <s v="Private Retailer"/>
    <s v="8389982870"/>
    <n v="0.05"/>
    <n v="30"/>
    <x v="5"/>
    <m/>
    <s v="2026-03-21"/>
    <s v="260210"/>
    <s v="Gouri Sankar Kundu            "/>
    <s v="9064539774"/>
  </r>
  <r>
    <s v="RCF Thal"/>
    <s v="N.C.Urea(45kg)"/>
    <s v="WB"/>
    <x v="17"/>
    <s v="Chakdah"/>
    <s v="User Not Mapped"/>
    <s v="User Not Mapped"/>
    <s v="User Not Mapped"/>
    <n v="940796"/>
    <s v="BIJIT DAS"/>
    <s v="Private Retailer"/>
    <s v="8389982870"/>
    <n v="0.495"/>
    <n v="30"/>
    <x v="5"/>
    <m/>
    <s v="2026-03-21"/>
    <s v="260210"/>
    <s v="Gouri Sankar Kundu            "/>
    <s v="9064539774"/>
  </r>
  <r>
    <s v="RCF Import"/>
    <s v="MOP"/>
    <s v="WB"/>
    <x v="17"/>
    <s v="Chakdah"/>
    <s v="User Not Mapped"/>
    <s v="User Not Mapped"/>
    <s v="User Not Mapped"/>
    <n v="940796"/>
    <s v="BIJIT DAS"/>
    <s v="Private Retailer"/>
    <s v="8389982870"/>
    <n v="0.05"/>
    <n v="32"/>
    <x v="3"/>
    <m/>
    <s v="2026-03-19"/>
    <s v="260210"/>
    <s v="Gouri Sankar Kundu            "/>
    <s v="9064539774"/>
  </r>
  <r>
    <s v="RCF Trombay"/>
    <s v="15-15-15"/>
    <s v="WB"/>
    <x v="17"/>
    <s v="Chakdah"/>
    <s v="User Not Mapped"/>
    <s v="User Not Mapped"/>
    <s v="User Not Mapped"/>
    <n v="940796"/>
    <s v="BIJIT DAS"/>
    <s v="Private Retailer"/>
    <s v="8389982870"/>
    <n v="0.05"/>
    <n v="215"/>
    <x v="1"/>
    <m/>
    <s v="2025-09-17"/>
    <s v="260210"/>
    <s v="Gouri Sankar Kundu            "/>
    <s v="9064539774"/>
  </r>
  <r>
    <s v="RCF Thal"/>
    <s v="N.C.Urea(45kg)"/>
    <s v="WB"/>
    <x v="17"/>
    <s v="Chakdah"/>
    <s v="User Not Mapped"/>
    <s v="User Not Mapped"/>
    <s v="User Not Mapped"/>
    <n v="940796"/>
    <s v="BIJIT DAS"/>
    <s v="Private Retailer"/>
    <s v="8389982870"/>
    <n v="0.09"/>
    <n v="23"/>
    <x v="5"/>
    <m/>
    <s v="2026-03-28"/>
    <s v="260210"/>
    <s v="Gouri Sankar Kundu            "/>
    <s v="9064539774"/>
  </r>
  <r>
    <s v="RCF Import"/>
    <s v="MOP"/>
    <s v="WB"/>
    <x v="17"/>
    <s v="Chakdah"/>
    <s v="User Not Mapped"/>
    <s v="User Not Mapped"/>
    <s v="User Not Mapped"/>
    <n v="940796"/>
    <s v="BIJIT DAS"/>
    <s v="Private Retailer"/>
    <s v="8389982870"/>
    <n v="0.05"/>
    <n v="34"/>
    <x v="3"/>
    <m/>
    <s v="2026-03-17"/>
    <s v="260210"/>
    <s v="Gouri Sankar Kundu            "/>
    <s v="9064539774"/>
  </r>
  <r>
    <s v="RCF Import"/>
    <s v="MOP"/>
    <s v="WB"/>
    <x v="17"/>
    <s v="Chakdah"/>
    <s v="User Not Mapped"/>
    <s v="User Not Mapped"/>
    <s v="User Not Mapped"/>
    <n v="940796"/>
    <s v="BIJIT DAS"/>
    <s v="Private Retailer"/>
    <s v="8389982870"/>
    <n v="0.05"/>
    <n v="23"/>
    <x v="5"/>
    <m/>
    <s v="2026-03-28"/>
    <s v="260210"/>
    <s v="Gouri Sankar Kundu            "/>
    <s v="9064539774"/>
  </r>
  <r>
    <s v="RCF Trombay"/>
    <s v="15-15-15"/>
    <s v="WB"/>
    <x v="17"/>
    <s v="Chakdah"/>
    <s v="User Not Mapped"/>
    <s v="User Not Mapped"/>
    <s v="User Not Mapped"/>
    <n v="940796"/>
    <s v="BIJIT DAS"/>
    <s v="Private Retailer"/>
    <s v="8389982870"/>
    <n v="0.05"/>
    <n v="45"/>
    <x v="3"/>
    <m/>
    <s v="2026-03-06"/>
    <s v="260210"/>
    <s v="Gouri Sankar Kundu            "/>
    <s v="9064539774"/>
  </r>
  <r>
    <s v="RCF Thal"/>
    <s v="N.C.Urea(45kg)"/>
    <s v="WB"/>
    <x v="17"/>
    <s v="Chakdah"/>
    <s v="User Not Mapped"/>
    <s v="User Not Mapped"/>
    <s v="User Not Mapped"/>
    <n v="940796"/>
    <s v="BIJIT DAS"/>
    <s v="Private Retailer"/>
    <s v="8389982870"/>
    <n v="0.09"/>
    <n v="32"/>
    <x v="3"/>
    <m/>
    <s v="2026-03-19"/>
    <s v="260210"/>
    <s v="Gouri Sankar Kundu            "/>
    <s v="9064539774"/>
  </r>
  <r>
    <s v="RCF Trombay"/>
    <s v="15-15-15"/>
    <s v="WB"/>
    <x v="17"/>
    <s v="Chakdah"/>
    <s v="User Not Mapped"/>
    <s v="User Not Mapped"/>
    <s v="User Not Mapped"/>
    <n v="940796"/>
    <s v="BIJIT DAS"/>
    <s v="Private Retailer"/>
    <s v="8389982870"/>
    <n v="0.05"/>
    <n v="68"/>
    <x v="6"/>
    <m/>
    <s v="2026-02-11"/>
    <s v="260210"/>
    <s v="Gouri Sankar Kundu            "/>
    <s v="9064539774"/>
  </r>
  <r>
    <s v="RCF Trombay"/>
    <s v="15-15-15"/>
    <s v="WB"/>
    <x v="17"/>
    <s v="Chakdah"/>
    <s v="User Not Mapped"/>
    <s v="User Not Mapped"/>
    <s v="User Not Mapped"/>
    <n v="940796"/>
    <s v="BIJIT DAS"/>
    <s v="Private Retailer"/>
    <s v="8389982870"/>
    <n v="0.05"/>
    <n v="51"/>
    <x v="3"/>
    <m/>
    <s v="2026-02-28"/>
    <s v="260210"/>
    <s v="Gouri Sankar Kundu            "/>
    <s v="9064539774"/>
  </r>
  <r>
    <s v="RCF Trombay"/>
    <s v="15-15-15"/>
    <s v="WB"/>
    <x v="17"/>
    <s v="Chakdah"/>
    <s v="User Not Mapped"/>
    <s v="User Not Mapped"/>
    <s v="User Not Mapped"/>
    <n v="940796"/>
    <s v="BIJIT DAS"/>
    <s v="Private Retailer"/>
    <s v="8389982870"/>
    <n v="0.05"/>
    <n v="61"/>
    <x v="6"/>
    <m/>
    <s v="2026-02-18"/>
    <s v="260210"/>
    <s v="Gouri Sankar Kundu            "/>
    <s v="9064539774"/>
  </r>
  <r>
    <s v="RCF Trombay"/>
    <s v="15-15-15"/>
    <s v="WB"/>
    <x v="17"/>
    <s v="Chakdah"/>
    <s v="User Not Mapped"/>
    <s v="User Not Mapped"/>
    <s v="User Not Mapped"/>
    <n v="413914"/>
    <s v="Dinabandhu Sadhukha"/>
    <s v="Private Retailer"/>
    <s v="9932809427"/>
    <n v="0.25"/>
    <n v="395"/>
    <x v="0"/>
    <m/>
    <s v="2025-03-21"/>
    <s v="260210"/>
    <s v="Gouri Sankar Kundu            "/>
    <s v="9064539774"/>
  </r>
  <r>
    <s v="RCF Trombay"/>
    <s v="15-15-15"/>
    <s v="WB"/>
    <x v="17"/>
    <s v="Chakdah"/>
    <s v="User Not Mapped"/>
    <s v="User Not Mapped"/>
    <s v="User Not Mapped"/>
    <n v="941654"/>
    <s v="FAIJUL HAQUE MONDAL"/>
    <s v="Private Retailer"/>
    <s v="9775472001"/>
    <n v="0.25"/>
    <n v="70"/>
    <x v="6"/>
    <m/>
    <s v="2026-02-09"/>
    <s v="260210"/>
    <s v="Gouri Sankar Kundu            "/>
    <s v="9064539774"/>
  </r>
  <r>
    <s v="RCF Trombay"/>
    <s v="15-15-15"/>
    <s v="WB"/>
    <x v="17"/>
    <s v="Chakdah"/>
    <s v="User Not Mapped"/>
    <s v="User Not Mapped"/>
    <s v="User Not Mapped"/>
    <n v="941654"/>
    <s v="FAIJUL HAQUE MONDAL"/>
    <s v="Private Retailer"/>
    <s v="9775472001"/>
    <n v="0.25"/>
    <n v="83"/>
    <x v="6"/>
    <m/>
    <s v="2026-01-27"/>
    <s v="260210"/>
    <s v="Gouri Sankar Kundu            "/>
    <s v="9064539774"/>
  </r>
  <r>
    <s v="RCF Thal"/>
    <s v="N.C.Urea(45kg)"/>
    <s v="WB"/>
    <x v="17"/>
    <s v="Chakdah"/>
    <s v="User Not Mapped"/>
    <s v="User Not Mapped"/>
    <s v="User Not Mapped"/>
    <n v="941654"/>
    <s v="FAIJUL HAQUE MONDAL"/>
    <s v="Private Retailer"/>
    <s v="9775472001"/>
    <n v="0.67500000000000004"/>
    <n v="32"/>
    <x v="3"/>
    <m/>
    <s v="2026-03-19"/>
    <s v="260210"/>
    <s v="Gouri Sankar Kundu            "/>
    <s v="9064539774"/>
  </r>
  <r>
    <s v="RCF Import"/>
    <s v="Imp 10-26-26"/>
    <s v="WB"/>
    <x v="17"/>
    <s v="Chakdah"/>
    <s v="User Not Mapped"/>
    <s v="User Not Mapped"/>
    <s v="User Not Mapped"/>
    <n v="941654"/>
    <s v="FAIJUL HAQUE MONDAL"/>
    <s v="Private Retailer"/>
    <s v="9775472001"/>
    <n v="0.25"/>
    <n v="51"/>
    <x v="3"/>
    <m/>
    <s v="2026-02-28"/>
    <s v="260210"/>
    <s v="Gouri Sankar Kundu            "/>
    <s v="9064539774"/>
  </r>
  <r>
    <s v="RCF Trombay"/>
    <s v="15-15-15"/>
    <s v="WB"/>
    <x v="17"/>
    <s v="Chakdah"/>
    <s v="User Not Mapped"/>
    <s v="User Not Mapped"/>
    <s v="User Not Mapped"/>
    <n v="941654"/>
    <s v="FAIJUL HAQUE MONDAL"/>
    <s v="Private Retailer"/>
    <s v="9775472001"/>
    <n v="0.25"/>
    <n v="45"/>
    <x v="3"/>
    <m/>
    <s v="2026-03-06"/>
    <s v="260210"/>
    <s v="Gouri Sankar Kundu            "/>
    <s v="9064539774"/>
  </r>
  <r>
    <s v="RCF Trombay"/>
    <s v="15-15-15"/>
    <s v="WB"/>
    <x v="17"/>
    <s v="Chakdah"/>
    <s v="User Not Mapped"/>
    <s v="User Not Mapped"/>
    <s v="User Not Mapped"/>
    <n v="941654"/>
    <s v="FAIJUL HAQUE MONDAL"/>
    <s v="Private Retailer"/>
    <s v="9775472001"/>
    <n v="0.25"/>
    <n v="57"/>
    <x v="3"/>
    <m/>
    <s v="2026-02-22"/>
    <s v="260210"/>
    <s v="Gouri Sankar Kundu            "/>
    <s v="9064539774"/>
  </r>
  <r>
    <s v="RCF Import"/>
    <s v="Imp 10-26-26"/>
    <s v="WB"/>
    <x v="17"/>
    <s v="Chakdah"/>
    <s v="User Not Mapped"/>
    <s v="User Not Mapped"/>
    <s v="User Not Mapped"/>
    <n v="941654"/>
    <s v="FAIJUL HAQUE MONDAL"/>
    <s v="Private Retailer"/>
    <s v="9775472001"/>
    <n v="0.25"/>
    <n v="22"/>
    <x v="5"/>
    <m/>
    <s v="2026-03-29"/>
    <s v="260210"/>
    <s v="Gouri Sankar Kundu            "/>
    <s v="9064539774"/>
  </r>
  <r>
    <s v="RCF Trombay"/>
    <s v="15-15-15"/>
    <s v="WB"/>
    <x v="17"/>
    <s v="Chakdah"/>
    <s v="User Not Mapped"/>
    <s v="User Not Mapped"/>
    <s v="User Not Mapped"/>
    <n v="941654"/>
    <s v="FAIJUL HAQUE MONDAL"/>
    <s v="Private Retailer"/>
    <s v="9775472001"/>
    <n v="0.25"/>
    <n v="22"/>
    <x v="5"/>
    <m/>
    <s v="2026-03-29"/>
    <s v="260210"/>
    <s v="Gouri Sankar Kundu            "/>
    <s v="9064539774"/>
  </r>
  <r>
    <s v="RCF Trombay"/>
    <s v="15-15-15"/>
    <s v="WB"/>
    <x v="17"/>
    <s v="Chakdah"/>
    <s v="User Not Mapped"/>
    <s v="User Not Mapped"/>
    <s v="User Not Mapped"/>
    <n v="941654"/>
    <s v="FAIJUL HAQUE MONDAL"/>
    <s v="Private Retailer"/>
    <s v="9775472001"/>
    <n v="0.5"/>
    <n v="30"/>
    <x v="5"/>
    <m/>
    <s v="2026-03-21"/>
    <s v="260210"/>
    <s v="Gouri Sankar Kundu            "/>
    <s v="9064539774"/>
  </r>
  <r>
    <s v="RCF Import"/>
    <s v="MOP"/>
    <s v="WB"/>
    <x v="17"/>
    <s v="Chakdah"/>
    <s v="User Not Mapped"/>
    <s v="User Not Mapped"/>
    <s v="User Not Mapped"/>
    <n v="941628"/>
    <s v="FAJU MONDAL"/>
    <s v="Private Retailer"/>
    <s v="9126436512"/>
    <n v="0.15"/>
    <n v="30"/>
    <x v="5"/>
    <m/>
    <s v="2026-03-21"/>
    <s v="260210"/>
    <s v="Gouri Sankar Kundu            "/>
    <s v="9064539774"/>
  </r>
  <r>
    <s v="RCF Thal"/>
    <s v="N.C.Urea(45kg)"/>
    <s v="WB"/>
    <x v="17"/>
    <s v="Chakdah"/>
    <s v="User Not Mapped"/>
    <s v="User Not Mapped"/>
    <s v="User Not Mapped"/>
    <n v="941628"/>
    <s v="FAJU MONDAL"/>
    <s v="Private Retailer"/>
    <s v="9126436512"/>
    <n v="0.45"/>
    <n v="14"/>
    <x v="5"/>
    <m/>
    <s v="2026-04-06"/>
    <s v="260210"/>
    <s v="Gouri Sankar Kundu            "/>
    <s v="9064539774"/>
  </r>
  <r>
    <s v="RCF Trombay"/>
    <s v="N.C.Urea(45kg)"/>
    <s v="WB"/>
    <x v="17"/>
    <s v="Chakdah"/>
    <s v="User Not Mapped"/>
    <s v="User Not Mapped"/>
    <s v="User Not Mapped"/>
    <n v="341342"/>
    <s v="Firoj Ali Mondal"/>
    <s v="Private Retailer"/>
    <s v="9153754765"/>
    <n v="0.22500000000000001"/>
    <n v="83"/>
    <x v="6"/>
    <m/>
    <s v="2026-01-27"/>
    <s v="260210"/>
    <s v="Gouri Sankar Kundu            "/>
    <s v="9064539774"/>
  </r>
  <r>
    <s v="RCF Trombay"/>
    <s v="15-15-15"/>
    <s v="WB"/>
    <x v="17"/>
    <s v="Chakdah"/>
    <s v="User Not Mapped"/>
    <s v="User Not Mapped"/>
    <s v="User Not Mapped"/>
    <n v="341342"/>
    <s v="Firoj Ali Mondal"/>
    <s v="Private Retailer"/>
    <s v="9153754765"/>
    <n v="0.85"/>
    <n v="70"/>
    <x v="6"/>
    <m/>
    <s v="2026-02-09"/>
    <s v="260210"/>
    <s v="Gouri Sankar Kundu            "/>
    <s v="9064539774"/>
  </r>
  <r>
    <s v="RCF Trombay"/>
    <s v="N.C.Urea(45kg)"/>
    <s v="WB"/>
    <x v="17"/>
    <s v="Chakdah"/>
    <s v="User Not Mapped"/>
    <s v="User Not Mapped"/>
    <s v="User Not Mapped"/>
    <n v="341342"/>
    <s v="Firoj Ali Mondal"/>
    <s v="Private Retailer"/>
    <s v="9153754765"/>
    <n v="0.45"/>
    <n v="53"/>
    <x v="3"/>
    <m/>
    <s v="2026-02-26"/>
    <s v="260210"/>
    <s v="Gouri Sankar Kundu            "/>
    <s v="9064539774"/>
  </r>
  <r>
    <s v="RCF Trombay"/>
    <s v="15-15-15"/>
    <s v="WB"/>
    <x v="17"/>
    <s v="Chakdah"/>
    <s v="User Not Mapped"/>
    <s v="User Not Mapped"/>
    <s v="User Not Mapped"/>
    <n v="341342"/>
    <s v="Firoj Ali Mondal"/>
    <s v="Private Retailer"/>
    <s v="9153754765"/>
    <n v="1.5"/>
    <n v="53"/>
    <x v="3"/>
    <m/>
    <s v="2026-02-26"/>
    <s v="260210"/>
    <s v="Gouri Sankar Kundu            "/>
    <s v="9064539774"/>
  </r>
  <r>
    <s v="RCF Thal"/>
    <s v="N.C.Urea(45kg)"/>
    <s v="WB"/>
    <x v="17"/>
    <m/>
    <s v="User Not Mapped"/>
    <s v="User Not Mapped"/>
    <s v="User Not Mapped"/>
    <n v="1062023"/>
    <s v="HARI CHARAN SADHUKHAN"/>
    <s v="Private Retailer"/>
    <s v="8513808902"/>
    <n v="0.68"/>
    <n v="1900"/>
    <x v="2"/>
    <m/>
    <s v="2021-02-05"/>
    <s v="260210"/>
    <s v="Gouri Sankar Kundu            "/>
    <s v="9064539774"/>
  </r>
  <r>
    <s v="RCF Thal"/>
    <s v="N.C.Urea(45kg)"/>
    <s v="WB"/>
    <x v="17"/>
    <s v="Chakdah"/>
    <s v="User Not Mapped"/>
    <s v="User Not Mapped"/>
    <s v="User Not Mapped"/>
    <n v="341477"/>
    <s v="Hayder Ali Mondal"/>
    <s v="Private Retailer"/>
    <s v="9735761621"/>
    <n v="0.67500000000000004"/>
    <n v="9"/>
    <x v="5"/>
    <m/>
    <s v="2026-04-11"/>
    <s v="260210"/>
    <s v="Gouri Sankar Kundu            "/>
    <s v="9064539774"/>
  </r>
  <r>
    <s v="RCF Trombay"/>
    <s v="15-15-15"/>
    <s v="WB"/>
    <x v="17"/>
    <s v="Chakdah"/>
    <s v="User Not Mapped"/>
    <s v="User Not Mapped"/>
    <s v="User Not Mapped"/>
    <n v="341477"/>
    <s v="Hayder Ali Mondal"/>
    <s v="Private Retailer"/>
    <s v="9735761621"/>
    <n v="0.45"/>
    <n v="22"/>
    <x v="5"/>
    <m/>
    <s v="2026-03-29"/>
    <s v="260210"/>
    <s v="Gouri Sankar Kundu            "/>
    <s v="9064539774"/>
  </r>
  <r>
    <s v="RCF Trombay"/>
    <s v="15-15-15"/>
    <s v="WB"/>
    <x v="17"/>
    <s v="Chakdah"/>
    <s v="User Not Mapped"/>
    <s v="User Not Mapped"/>
    <s v="User Not Mapped"/>
    <n v="341477"/>
    <s v="Hayder Ali Mondal"/>
    <s v="Private Retailer"/>
    <s v="9735761621"/>
    <n v="0.5"/>
    <n v="30"/>
    <x v="5"/>
    <m/>
    <s v="2026-03-21"/>
    <s v="260210"/>
    <s v="Gouri Sankar Kundu            "/>
    <s v="9064539774"/>
  </r>
  <r>
    <s v="RCF Thal"/>
    <s v="N.C.Urea(45kg)"/>
    <s v="WB"/>
    <x v="17"/>
    <s v="Chakdah"/>
    <s v="User Not Mapped"/>
    <s v="User Not Mapped"/>
    <s v="User Not Mapped"/>
    <n v="341477"/>
    <s v="Hayder Ali Mondal"/>
    <s v="Private Retailer"/>
    <s v="9735761621"/>
    <n v="0.45"/>
    <n v="12"/>
    <x v="5"/>
    <m/>
    <s v="2026-04-08"/>
    <s v="260210"/>
    <s v="Gouri Sankar Kundu            "/>
    <s v="9064539774"/>
  </r>
  <r>
    <s v="RCF Thal"/>
    <s v="N.C.Urea(45kg)"/>
    <s v="WB"/>
    <x v="17"/>
    <s v="Chakdah"/>
    <s v="User Not Mapped"/>
    <s v="User Not Mapped"/>
    <s v="User Not Mapped"/>
    <n v="341477"/>
    <s v="Hayder Ali Mondal"/>
    <s v="Private Retailer"/>
    <s v="9735761621"/>
    <n v="0.63"/>
    <n v="30"/>
    <x v="5"/>
    <m/>
    <s v="2026-03-21"/>
    <s v="260210"/>
    <s v="Gouri Sankar Kundu            "/>
    <s v="9064539774"/>
  </r>
  <r>
    <s v="RCF Thal"/>
    <s v="N.C.Urea(45kg)"/>
    <s v="WB"/>
    <x v="17"/>
    <s v="Chakdah"/>
    <s v="User Not Mapped"/>
    <s v="User Not Mapped"/>
    <s v="User Not Mapped"/>
    <n v="341477"/>
    <s v="Hayder Ali Mondal"/>
    <s v="Private Retailer"/>
    <s v="9735761621"/>
    <n v="0.67500000000000004"/>
    <n v="14"/>
    <x v="5"/>
    <m/>
    <s v="2026-04-06"/>
    <s v="260210"/>
    <s v="Gouri Sankar Kundu            "/>
    <s v="9064539774"/>
  </r>
  <r>
    <s v="RCF Trombay"/>
    <s v="15-15-15"/>
    <s v="WB"/>
    <x v="17"/>
    <s v="Chakdah"/>
    <s v="User Not Mapped"/>
    <s v="User Not Mapped"/>
    <s v="User Not Mapped"/>
    <n v="341477"/>
    <s v="Hayder Ali Mondal"/>
    <s v="Private Retailer"/>
    <s v="9735761621"/>
    <n v="0.2"/>
    <n v="45"/>
    <x v="3"/>
    <m/>
    <s v="2026-03-06"/>
    <s v="260210"/>
    <s v="Gouri Sankar Kundu            "/>
    <s v="9064539774"/>
  </r>
  <r>
    <s v="RCF Import"/>
    <s v="Imp 10-26-26"/>
    <s v="WB"/>
    <x v="17"/>
    <s v="Krishnagar - I"/>
    <s v="User Not Mapped"/>
    <s v="User Not Mapped"/>
    <s v="User Not Mapped"/>
    <n v="341494"/>
    <s v="Indrajit Ghosh"/>
    <s v="Private Retailer"/>
    <s v="8250886767"/>
    <n v="0.95"/>
    <n v="22"/>
    <x v="5"/>
    <m/>
    <s v="2026-03-29"/>
    <s v="260210"/>
    <s v="Gouri Sankar Kundu            "/>
    <s v="9064539774"/>
  </r>
  <r>
    <s v="RCF Trombay"/>
    <s v="15-15-15"/>
    <s v="WB"/>
    <x v="17"/>
    <s v="Krishnagar - I"/>
    <s v="User Not Mapped"/>
    <s v="User Not Mapped"/>
    <s v="User Not Mapped"/>
    <n v="341494"/>
    <s v="Indrajit Ghosh"/>
    <s v="Private Retailer"/>
    <s v="8250886767"/>
    <n v="0.5"/>
    <n v="39"/>
    <x v="3"/>
    <m/>
    <s v="2026-03-12"/>
    <s v="260210"/>
    <s v="Gouri Sankar Kundu            "/>
    <s v="9064539774"/>
  </r>
  <r>
    <s v="RCF Import"/>
    <s v="MOP"/>
    <s v="WB"/>
    <x v="17"/>
    <s v="Krishnagar - I"/>
    <s v="User Not Mapped"/>
    <s v="User Not Mapped"/>
    <s v="User Not Mapped"/>
    <n v="341494"/>
    <s v="Indrajit Ghosh"/>
    <s v="Private Retailer"/>
    <s v="8250886767"/>
    <n v="0.25"/>
    <n v="39"/>
    <x v="3"/>
    <m/>
    <s v="2026-03-12"/>
    <s v="260210"/>
    <s v="Gouri Sankar Kundu            "/>
    <s v="9064539774"/>
  </r>
  <r>
    <s v="RCF Import"/>
    <s v="MOP"/>
    <s v="WB"/>
    <x v="17"/>
    <s v="Krishnagar - I"/>
    <s v="User Not Mapped"/>
    <s v="User Not Mapped"/>
    <s v="User Not Mapped"/>
    <n v="341494"/>
    <s v="Indrajit Ghosh"/>
    <s v="Private Retailer"/>
    <s v="8250886767"/>
    <n v="0.5"/>
    <n v="22"/>
    <x v="5"/>
    <m/>
    <s v="2026-03-29"/>
    <s v="260210"/>
    <s v="Gouri Sankar Kundu            "/>
    <s v="9064539774"/>
  </r>
  <r>
    <s v="RCF Thal"/>
    <s v="N.C.Urea(45kg)"/>
    <s v="WB"/>
    <x v="17"/>
    <s v="Krishnagar - I"/>
    <s v="User Not Mapped"/>
    <s v="User Not Mapped"/>
    <s v="User Not Mapped"/>
    <n v="341494"/>
    <s v="Indrajit Ghosh"/>
    <s v="Private Retailer"/>
    <s v="8250886767"/>
    <n v="3.15"/>
    <n v="14"/>
    <x v="5"/>
    <m/>
    <s v="2026-04-06"/>
    <s v="260210"/>
    <s v="Gouri Sankar Kundu            "/>
    <s v="9064539774"/>
  </r>
  <r>
    <s v="RCF Trombay"/>
    <s v="15-15-15"/>
    <s v="WB"/>
    <x v="17"/>
    <s v="Krishnagar - I"/>
    <s v="User Not Mapped"/>
    <s v="User Not Mapped"/>
    <s v="User Not Mapped"/>
    <n v="341494"/>
    <s v="Indrajit Ghosh"/>
    <s v="Private Retailer"/>
    <s v="8250886767"/>
    <n v="0.3"/>
    <n v="70"/>
    <x v="6"/>
    <m/>
    <s v="2026-02-09"/>
    <s v="260210"/>
    <s v="Gouri Sankar Kundu            "/>
    <s v="9064539774"/>
  </r>
  <r>
    <s v="RCF Import"/>
    <s v="MOP"/>
    <s v="WB"/>
    <x v="17"/>
    <s v="Ranaghat - I"/>
    <s v="User Not Mapped"/>
    <s v="User Not Mapped"/>
    <s v="User Not Mapped"/>
    <n v="341503"/>
    <s v="Jafar Ali Mondal"/>
    <s v="Private Retailer"/>
    <s v="7980138263"/>
    <n v="1"/>
    <n v="4"/>
    <x v="5"/>
    <m/>
    <s v="2026-04-16"/>
    <s v="260210"/>
    <s v="Gouri Sankar Kundu            "/>
    <s v="9064539774"/>
  </r>
  <r>
    <s v="RCF Trombay"/>
    <s v="15-15-15"/>
    <s v="WB"/>
    <x v="17"/>
    <s v="Ranaghat - I"/>
    <s v="User Not Mapped"/>
    <s v="User Not Mapped"/>
    <s v="User Not Mapped"/>
    <n v="341503"/>
    <s v="Jafar Ali Mondal"/>
    <s v="Private Retailer"/>
    <s v="7980138263"/>
    <n v="0.5"/>
    <n v="172"/>
    <x v="4"/>
    <m/>
    <s v="2025-10-30"/>
    <s v="260210"/>
    <s v="Gouri Sankar Kundu            "/>
    <s v="9064539774"/>
  </r>
  <r>
    <s v="RCF Import"/>
    <s v="Imp 10-26-26"/>
    <s v="WB"/>
    <x v="17"/>
    <s v="Haringhata"/>
    <s v="User Not Mapped"/>
    <s v="User Not Mapped"/>
    <s v="User Not Mapped"/>
    <n v="341537"/>
    <s v="Jasimuddin Mia"/>
    <s v="Private Retailer"/>
    <s v="9775613896"/>
    <n v="0.1"/>
    <n v="49"/>
    <x v="3"/>
    <m/>
    <s v="2026-03-02"/>
    <s v="260210"/>
    <s v="Gouri Sankar Kundu            "/>
    <s v="9064539774"/>
  </r>
  <r>
    <s v="RCF Import"/>
    <s v="MOP"/>
    <s v="WB"/>
    <x v="17"/>
    <s v="Haringhata"/>
    <s v="User Not Mapped"/>
    <s v="User Not Mapped"/>
    <s v="User Not Mapped"/>
    <n v="341537"/>
    <s v="Jasimuddin Mia"/>
    <s v="Private Retailer"/>
    <s v="9775613896"/>
    <n v="0.15"/>
    <n v="37"/>
    <x v="3"/>
    <m/>
    <s v="2026-03-14"/>
    <s v="260210"/>
    <s v="Gouri Sankar Kundu            "/>
    <s v="9064539774"/>
  </r>
  <r>
    <s v="RCF Thal"/>
    <s v="N.C.Urea(45kg)"/>
    <s v="WB"/>
    <x v="17"/>
    <s v="Haringhata"/>
    <s v="User Not Mapped"/>
    <s v="User Not Mapped"/>
    <s v="User Not Mapped"/>
    <n v="341537"/>
    <s v="Jasimuddin Mia"/>
    <s v="Private Retailer"/>
    <s v="9775613896"/>
    <n v="0.18"/>
    <n v="37"/>
    <x v="3"/>
    <m/>
    <s v="2026-03-14"/>
    <s v="260210"/>
    <s v="Gouri Sankar Kundu            "/>
    <s v="9064539774"/>
  </r>
  <r>
    <s v="RCF Trombay"/>
    <s v="15-15-15"/>
    <s v="WB"/>
    <x v="17"/>
    <s v="Haringhata"/>
    <s v="User Not Mapped"/>
    <s v="User Not Mapped"/>
    <s v="User Not Mapped"/>
    <n v="341537"/>
    <s v="Jasimuddin Mia"/>
    <s v="Private Retailer"/>
    <s v="9775613896"/>
    <n v="0.2"/>
    <n v="129"/>
    <x v="4"/>
    <m/>
    <s v="2025-12-12"/>
    <s v="260210"/>
    <s v="Gouri Sankar Kundu            "/>
    <s v="9064539774"/>
  </r>
  <r>
    <s v="RCF Import"/>
    <s v="MOP"/>
    <s v="WB"/>
    <x v="17"/>
    <s v="Haringhata"/>
    <s v="User Not Mapped"/>
    <s v="User Not Mapped"/>
    <s v="User Not Mapped"/>
    <n v="341537"/>
    <s v="Jasimuddin Mia"/>
    <s v="Private Retailer"/>
    <s v="9775613896"/>
    <n v="0.25"/>
    <n v="49"/>
    <x v="3"/>
    <m/>
    <s v="2026-03-02"/>
    <s v="260210"/>
    <s v="Gouri Sankar Kundu            "/>
    <s v="9064539774"/>
  </r>
  <r>
    <s v="RCF Import"/>
    <s v="MOP"/>
    <s v="WB"/>
    <x v="17"/>
    <s v="Chakdah"/>
    <s v="User Not Mapped"/>
    <s v="User Not Mapped"/>
    <s v="User Not Mapped"/>
    <n v="941656"/>
    <s v="JAYDEB DEBNATH"/>
    <s v="Private Retailer"/>
    <s v="9883196894"/>
    <n v="0.25"/>
    <n v="23"/>
    <x v="5"/>
    <m/>
    <s v="2026-03-28"/>
    <s v="260210"/>
    <s v="Gouri Sankar Kundu            "/>
    <s v="9064539774"/>
  </r>
  <r>
    <s v="RCF Trombay"/>
    <s v="15-15-15"/>
    <s v="WB"/>
    <x v="17"/>
    <s v="Chakdah"/>
    <s v="User Not Mapped"/>
    <s v="User Not Mapped"/>
    <s v="User Not Mapped"/>
    <n v="941656"/>
    <s v="JAYDEB DEBNATH"/>
    <s v="Private Retailer"/>
    <s v="9883196894"/>
    <n v="0.4"/>
    <n v="23"/>
    <x v="5"/>
    <m/>
    <s v="2026-03-28"/>
    <s v="260210"/>
    <s v="Gouri Sankar Kundu            "/>
    <s v="9064539774"/>
  </r>
  <r>
    <s v="RCF Thal"/>
    <s v="N.C.Urea(45kg)"/>
    <s v="WB"/>
    <x v="17"/>
    <s v="Haringhata"/>
    <s v="User Not Mapped"/>
    <s v="User Not Mapped"/>
    <s v="User Not Mapped"/>
    <n v="341558"/>
    <s v="Joydeb Sadhukha"/>
    <s v="Private Retailer"/>
    <s v="7551070518"/>
    <n v="0.18"/>
    <n v="23"/>
    <x v="5"/>
    <m/>
    <s v="2026-03-28"/>
    <s v="260210"/>
    <s v="Gouri Sankar Kundu            "/>
    <s v="9064539774"/>
  </r>
  <r>
    <s v="RCF Import"/>
    <s v="MOP"/>
    <s v="WB"/>
    <x v="17"/>
    <s v="Haringhata"/>
    <s v="User Not Mapped"/>
    <s v="User Not Mapped"/>
    <s v="User Not Mapped"/>
    <n v="341558"/>
    <s v="Joydeb Sadhukha"/>
    <s v="Private Retailer"/>
    <s v="7551070518"/>
    <n v="0.5"/>
    <n v="49"/>
    <x v="3"/>
    <m/>
    <s v="2026-03-02"/>
    <s v="260210"/>
    <s v="Gouri Sankar Kundu            "/>
    <s v="9064539774"/>
  </r>
  <r>
    <s v="RCF Import"/>
    <s v="MOP"/>
    <s v="WB"/>
    <x v="17"/>
    <s v="Haringhata"/>
    <s v="User Not Mapped"/>
    <s v="User Not Mapped"/>
    <s v="User Not Mapped"/>
    <n v="341558"/>
    <s v="Joydeb Sadhukha"/>
    <s v="Private Retailer"/>
    <s v="7551070518"/>
    <n v="0.5"/>
    <n v="37"/>
    <x v="3"/>
    <m/>
    <s v="2026-03-14"/>
    <s v="260210"/>
    <s v="Gouri Sankar Kundu            "/>
    <s v="9064539774"/>
  </r>
  <r>
    <s v="RCF Trombay"/>
    <s v="N.C.Urea(45kg)"/>
    <s v="WB"/>
    <x v="17"/>
    <s v="Haringhata"/>
    <s v="User Not Mapped"/>
    <s v="User Not Mapped"/>
    <s v="User Not Mapped"/>
    <n v="341558"/>
    <s v="Joydeb Sadhukha"/>
    <s v="Private Retailer"/>
    <s v="7551070518"/>
    <n v="0.22500000000000001"/>
    <n v="53"/>
    <x v="3"/>
    <m/>
    <s v="2026-02-26"/>
    <s v="260210"/>
    <s v="Gouri Sankar Kundu            "/>
    <s v="9064539774"/>
  </r>
  <r>
    <s v="RCF Import"/>
    <s v="MOP"/>
    <s v="WB"/>
    <x v="17"/>
    <s v="Haringhata"/>
    <s v="User Not Mapped"/>
    <s v="User Not Mapped"/>
    <s v="User Not Mapped"/>
    <n v="341558"/>
    <s v="Joydeb Sadhukha"/>
    <s v="Private Retailer"/>
    <s v="7551070518"/>
    <n v="0.25"/>
    <n v="23"/>
    <x v="5"/>
    <m/>
    <s v="2026-03-28"/>
    <s v="260210"/>
    <s v="Gouri Sankar Kundu            "/>
    <s v="9064539774"/>
  </r>
  <r>
    <s v="RCF Thal"/>
    <s v="N.C.Urea(45kg)"/>
    <s v="WB"/>
    <x v="17"/>
    <s v="Haringhata"/>
    <s v="User Not Mapped"/>
    <s v="User Not Mapped"/>
    <s v="User Not Mapped"/>
    <n v="341558"/>
    <s v="Joydeb Sadhukha"/>
    <s v="Private Retailer"/>
    <s v="7551070518"/>
    <n v="0.45"/>
    <n v="30"/>
    <x v="5"/>
    <m/>
    <s v="2026-03-21"/>
    <s v="260210"/>
    <s v="Gouri Sankar Kundu            "/>
    <s v="9064539774"/>
  </r>
  <r>
    <s v="RCF Trombay"/>
    <s v="15-15-15"/>
    <s v="WB"/>
    <x v="17"/>
    <s v="Chakdah"/>
    <s v="User Not Mapped"/>
    <s v="User Not Mapped"/>
    <s v="User Not Mapped"/>
    <n v="938979"/>
    <s v="KARTICK DEBNATH"/>
    <s v="Private Retailer"/>
    <s v="9088865680"/>
    <n v="1"/>
    <n v="57"/>
    <x v="3"/>
    <m/>
    <s v="2026-02-22"/>
    <s v="260210"/>
    <s v="Gouri Sankar Kundu            "/>
    <s v="9064539774"/>
  </r>
  <r>
    <s v="RCF Trombay"/>
    <s v="15-15-15"/>
    <s v="WB"/>
    <x v="17"/>
    <s v="Chakdah"/>
    <s v="User Not Mapped"/>
    <s v="User Not Mapped"/>
    <s v="User Not Mapped"/>
    <n v="938979"/>
    <s v="KARTICK DEBNATH"/>
    <s v="Private Retailer"/>
    <s v="9088865680"/>
    <n v="0.4"/>
    <n v="133"/>
    <x v="4"/>
    <m/>
    <s v="2025-12-08"/>
    <s v="260210"/>
    <s v="Gouri Sankar Kundu            "/>
    <s v="9064539774"/>
  </r>
  <r>
    <s v="RCF Trombay"/>
    <s v="N.C.Urea(45kg)"/>
    <s v="WB"/>
    <x v="17"/>
    <s v="Chakdah"/>
    <s v="User Not Mapped"/>
    <s v="User Not Mapped"/>
    <s v="User Not Mapped"/>
    <n v="938979"/>
    <s v="KARTICK DEBNATH"/>
    <s v="Private Retailer"/>
    <s v="9088865680"/>
    <n v="0.495"/>
    <n v="57"/>
    <x v="3"/>
    <m/>
    <s v="2026-02-22"/>
    <s v="260210"/>
    <s v="Gouri Sankar Kundu            "/>
    <s v="9064539774"/>
  </r>
  <r>
    <s v="RCF Trombay"/>
    <s v="N.C.Urea(45kg)"/>
    <s v="WB"/>
    <x v="17"/>
    <s v="Ranaghat - II"/>
    <s v="User Not Mapped"/>
    <s v="User Not Mapped"/>
    <s v="User Not Mapped"/>
    <n v="777431"/>
    <s v="KASHI NATH MONDAL"/>
    <s v="Private Retailer"/>
    <s v="9153723610"/>
    <n v="0.45"/>
    <n v="244"/>
    <x v="1"/>
    <m/>
    <s v="2025-08-19"/>
    <s v="260210"/>
    <s v="Gouri Sankar Kundu            "/>
    <s v="9064539774"/>
  </r>
  <r>
    <s v="RCF Thal"/>
    <s v="N.C.Urea(45kg)"/>
    <s v="WB"/>
    <x v="17"/>
    <s v="Ranaghat - II"/>
    <s v="User Not Mapped"/>
    <s v="User Not Mapped"/>
    <s v="User Not Mapped"/>
    <n v="777431"/>
    <s v="KASHI NATH MONDAL"/>
    <s v="Private Retailer"/>
    <s v="9153723610"/>
    <n v="0.9"/>
    <n v="450"/>
    <x v="0"/>
    <m/>
    <s v="2025-01-25"/>
    <s v="260210"/>
    <s v="Gouri Sankar Kundu            "/>
    <s v="9064539774"/>
  </r>
  <r>
    <s v="RCF Import"/>
    <s v="MOP"/>
    <s v="WB"/>
    <x v="17"/>
    <s v="Ranaghat - II"/>
    <s v="User Not Mapped"/>
    <s v="User Not Mapped"/>
    <s v="User Not Mapped"/>
    <n v="777431"/>
    <s v="KASHI NATH MONDAL"/>
    <s v="Private Retailer"/>
    <s v="9153723610"/>
    <n v="0.1"/>
    <n v="410"/>
    <x v="0"/>
    <m/>
    <s v="2025-03-06"/>
    <s v="260210"/>
    <s v="Gouri Sankar Kundu            "/>
    <s v="9064539774"/>
  </r>
  <r>
    <s v="RCF Import"/>
    <s v="MOP"/>
    <s v="WB"/>
    <x v="17"/>
    <s v="Ranaghat - II"/>
    <s v="User Not Mapped"/>
    <s v="User Not Mapped"/>
    <s v="User Not Mapped"/>
    <n v="777431"/>
    <s v="KASHI NATH MONDAL"/>
    <s v="Private Retailer"/>
    <s v="9153723610"/>
    <n v="0.05"/>
    <n v="415"/>
    <x v="0"/>
    <m/>
    <s v="2025-03-01"/>
    <s v="260210"/>
    <s v="Gouri Sankar Kundu            "/>
    <s v="9064539774"/>
  </r>
  <r>
    <s v="RCF Import"/>
    <s v="MOP"/>
    <s v="WB"/>
    <x v="17"/>
    <s v="Ranaghat - II"/>
    <s v="User Not Mapped"/>
    <s v="User Not Mapped"/>
    <s v="User Not Mapped"/>
    <n v="777431"/>
    <s v="KASHI NATH MONDAL"/>
    <s v="Private Retailer"/>
    <s v="9153723610"/>
    <n v="0.1"/>
    <n v="418"/>
    <x v="0"/>
    <m/>
    <s v="2025-02-26"/>
    <s v="260210"/>
    <s v="Gouri Sankar Kundu            "/>
    <s v="9064539774"/>
  </r>
  <r>
    <s v="RCF Import"/>
    <s v="MOP"/>
    <s v="WB"/>
    <x v="17"/>
    <s v="Ranaghat - II"/>
    <s v="User Not Mapped"/>
    <s v="User Not Mapped"/>
    <s v="User Not Mapped"/>
    <n v="777431"/>
    <s v="KASHI NATH MONDAL"/>
    <s v="Private Retailer"/>
    <s v="9153723610"/>
    <n v="0.1"/>
    <n v="425"/>
    <x v="0"/>
    <m/>
    <s v="2025-02-19"/>
    <s v="260210"/>
    <s v="Gouri Sankar Kundu            "/>
    <s v="9064539774"/>
  </r>
  <r>
    <s v="RCF Import"/>
    <s v="MOP"/>
    <s v="WB"/>
    <x v="17"/>
    <s v="Ranaghat - II"/>
    <s v="User Not Mapped"/>
    <s v="User Not Mapped"/>
    <s v="User Not Mapped"/>
    <n v="777431"/>
    <s v="KASHI NATH MONDAL"/>
    <s v="Private Retailer"/>
    <s v="9153723610"/>
    <n v="0.1"/>
    <n v="431"/>
    <x v="0"/>
    <m/>
    <s v="2025-02-13"/>
    <s v="260210"/>
    <s v="Gouri Sankar Kundu            "/>
    <s v="9064539774"/>
  </r>
  <r>
    <s v="RCF Trombay"/>
    <s v="N.C.Urea(45kg)"/>
    <s v="WB"/>
    <x v="17"/>
    <s v="Ranaghat - II"/>
    <s v="User Not Mapped"/>
    <s v="User Not Mapped"/>
    <s v="User Not Mapped"/>
    <n v="777431"/>
    <s v="KASHI NATH MONDAL"/>
    <s v="Private Retailer"/>
    <s v="9153723610"/>
    <n v="0.67500000000000004"/>
    <n v="42"/>
    <x v="3"/>
    <m/>
    <s v="2026-03-09"/>
    <s v="260210"/>
    <s v="Gouri Sankar Kundu            "/>
    <s v="9064539774"/>
  </r>
  <r>
    <s v="RCF Import"/>
    <s v="MOP"/>
    <s v="WB"/>
    <x v="17"/>
    <s v="Ranaghat - II"/>
    <s v="User Not Mapped"/>
    <s v="User Not Mapped"/>
    <s v="User Not Mapped"/>
    <n v="777431"/>
    <s v="KASHI NATH MONDAL"/>
    <s v="Private Retailer"/>
    <s v="9153723610"/>
    <n v="0.2"/>
    <n v="436"/>
    <x v="0"/>
    <m/>
    <s v="2025-02-08"/>
    <s v="260210"/>
    <s v="Gouri Sankar Kundu            "/>
    <s v="9064539774"/>
  </r>
  <r>
    <s v="RCF Thal"/>
    <s v="N.C.Urea(45kg)"/>
    <s v="WB"/>
    <x v="17"/>
    <s v="Ranaghat - II"/>
    <s v="User Not Mapped"/>
    <s v="User Not Mapped"/>
    <s v="User Not Mapped"/>
    <n v="777431"/>
    <s v="KASHI NATH MONDAL"/>
    <s v="Private Retailer"/>
    <s v="9153723610"/>
    <n v="0.54"/>
    <n v="959"/>
    <x v="2"/>
    <m/>
    <s v="2023-09-04"/>
    <s v="260210"/>
    <s v="Gouri Sankar Kundu            "/>
    <s v="9064539774"/>
  </r>
  <r>
    <s v="RCF Trombay"/>
    <s v="15-15-15"/>
    <s v="WB"/>
    <x v="17"/>
    <s v="Chakdah"/>
    <s v="User Not Mapped"/>
    <s v="User Not Mapped"/>
    <s v="User Not Mapped"/>
    <n v="341633"/>
    <s v="Kawcher Ali Mondal"/>
    <s v="Private Retailer"/>
    <s v="9734321237"/>
    <n v="0.2"/>
    <n v="32"/>
    <x v="3"/>
    <m/>
    <s v="2026-03-19"/>
    <s v="260210"/>
    <s v="Gouri Sankar Kundu            "/>
    <s v="9064539774"/>
  </r>
  <r>
    <s v="RCF Trombay"/>
    <s v="15-15-15"/>
    <s v="WB"/>
    <x v="17"/>
    <s v="Chakdah"/>
    <s v="User Not Mapped"/>
    <s v="User Not Mapped"/>
    <s v="User Not Mapped"/>
    <n v="341633"/>
    <s v="Kawcher Ali Mondal"/>
    <s v="Private Retailer"/>
    <s v="9734321237"/>
    <n v="0.1"/>
    <n v="53"/>
    <x v="3"/>
    <m/>
    <s v="2026-02-26"/>
    <s v="260210"/>
    <s v="Gouri Sankar Kundu            "/>
    <s v="9064539774"/>
  </r>
  <r>
    <s v="RCF Import"/>
    <s v="MOP"/>
    <s v="WB"/>
    <x v="17"/>
    <s v="Chakdah"/>
    <s v="User Not Mapped"/>
    <s v="User Not Mapped"/>
    <s v="User Not Mapped"/>
    <n v="940794"/>
    <s v="M/S ANUP SINGHARAY"/>
    <s v="Private Retailer"/>
    <s v="9647727317"/>
    <n v="0.25"/>
    <n v="23"/>
    <x v="5"/>
    <m/>
    <s v="2026-03-28"/>
    <s v="260210"/>
    <s v="Gouri Sankar Kundu            "/>
    <s v="9064539774"/>
  </r>
  <r>
    <s v="RCF Import"/>
    <s v="MOP"/>
    <s v="WB"/>
    <x v="17"/>
    <s v="Chakdah"/>
    <s v="User Not Mapped"/>
    <s v="User Not Mapped"/>
    <s v="User Not Mapped"/>
    <n v="940794"/>
    <s v="M/S ANUP SINGHARAY"/>
    <s v="Private Retailer"/>
    <s v="9647727317"/>
    <n v="0.2"/>
    <n v="39"/>
    <x v="3"/>
    <m/>
    <s v="2026-03-12"/>
    <s v="260210"/>
    <s v="Gouri Sankar Kundu            "/>
    <s v="9064539774"/>
  </r>
  <r>
    <s v="RCF Thal"/>
    <s v="N.C.Urea(45kg)"/>
    <s v="WB"/>
    <x v="17"/>
    <s v="Chakdah"/>
    <s v="User Not Mapped"/>
    <s v="User Not Mapped"/>
    <s v="User Not Mapped"/>
    <n v="940794"/>
    <s v="M/S ANUP SINGHARAY"/>
    <s v="Private Retailer"/>
    <s v="9647727317"/>
    <n v="0.63"/>
    <n v="32"/>
    <x v="3"/>
    <m/>
    <s v="2026-03-19"/>
    <s v="260210"/>
    <s v="Gouri Sankar Kundu            "/>
    <s v="9064539774"/>
  </r>
  <r>
    <s v="RCF Thal"/>
    <s v="N.C.Urea(45kg)"/>
    <s v="WB"/>
    <x v="17"/>
    <s v="Chakdah"/>
    <s v="User Not Mapped"/>
    <s v="User Not Mapped"/>
    <s v="User Not Mapped"/>
    <n v="940794"/>
    <s v="M/S ANUP SINGHARAY"/>
    <s v="Private Retailer"/>
    <s v="9647727317"/>
    <n v="1.0349999999999999"/>
    <n v="37"/>
    <x v="3"/>
    <m/>
    <s v="2026-03-14"/>
    <s v="260210"/>
    <s v="Gouri Sankar Kundu            "/>
    <s v="9064539774"/>
  </r>
  <r>
    <s v="RCF Trombay"/>
    <s v="N.C.Urea(45kg)"/>
    <s v="WB"/>
    <x v="17"/>
    <s v="Chakdah"/>
    <s v="User Not Mapped"/>
    <s v="User Not Mapped"/>
    <s v="User Not Mapped"/>
    <n v="940794"/>
    <s v="M/S ANUP SINGHARAY"/>
    <s v="Private Retailer"/>
    <s v="9647727317"/>
    <n v="0.67500000000000004"/>
    <n v="53"/>
    <x v="3"/>
    <m/>
    <s v="2026-02-26"/>
    <s v="260210"/>
    <s v="Gouri Sankar Kundu            "/>
    <s v="9064539774"/>
  </r>
  <r>
    <s v="RCF Trombay"/>
    <s v="N.C.Urea(45kg)"/>
    <s v="WB"/>
    <x v="17"/>
    <s v="Chakdah"/>
    <s v="User Not Mapped"/>
    <s v="User Not Mapped"/>
    <s v="User Not Mapped"/>
    <n v="940794"/>
    <s v="M/S ANUP SINGHARAY"/>
    <s v="Private Retailer"/>
    <s v="9647727317"/>
    <n v="0.22500000000000001"/>
    <n v="57"/>
    <x v="3"/>
    <m/>
    <s v="2026-02-22"/>
    <s v="260210"/>
    <s v="Gouri Sankar Kundu            "/>
    <s v="9064539774"/>
  </r>
  <r>
    <s v="RCF Import"/>
    <s v="MOP"/>
    <s v="WB"/>
    <x v="17"/>
    <s v="Chakdah"/>
    <s v="User Not Mapped"/>
    <s v="User Not Mapped"/>
    <s v="User Not Mapped"/>
    <n v="940794"/>
    <s v="M/S ANUP SINGHARAY"/>
    <s v="Private Retailer"/>
    <s v="9647727317"/>
    <n v="0.1"/>
    <n v="32"/>
    <x v="3"/>
    <m/>
    <s v="2026-03-19"/>
    <s v="260210"/>
    <s v="Gouri Sankar Kundu            "/>
    <s v="9064539774"/>
  </r>
  <r>
    <s v="RCF Import"/>
    <s v="MOP"/>
    <s v="WB"/>
    <x v="17"/>
    <s v="Chakdah"/>
    <s v="User Not Mapped"/>
    <s v="User Not Mapped"/>
    <s v="User Not Mapped"/>
    <n v="940794"/>
    <s v="M/S ANUP SINGHARAY"/>
    <s v="Private Retailer"/>
    <s v="9647727317"/>
    <n v="0.5"/>
    <n v="37"/>
    <x v="3"/>
    <m/>
    <s v="2026-03-14"/>
    <s v="260210"/>
    <s v="Gouri Sankar Kundu            "/>
    <s v="9064539774"/>
  </r>
  <r>
    <s v="RCF Import"/>
    <s v="MOP"/>
    <s v="WB"/>
    <x v="17"/>
    <s v="Chakdah"/>
    <s v="User Not Mapped"/>
    <s v="User Not Mapped"/>
    <s v="User Not Mapped"/>
    <n v="940794"/>
    <s v="M/S ANUP SINGHARAY"/>
    <s v="Private Retailer"/>
    <s v="9647727317"/>
    <n v="0.3"/>
    <n v="42"/>
    <x v="3"/>
    <m/>
    <s v="2026-03-09"/>
    <s v="260210"/>
    <s v="Gouri Sankar Kundu            "/>
    <s v="9064539774"/>
  </r>
  <r>
    <s v="RCF Import"/>
    <s v="MOP"/>
    <s v="WB"/>
    <x v="17"/>
    <s v="Chakdah"/>
    <s v="User Not Mapped"/>
    <s v="User Not Mapped"/>
    <s v="User Not Mapped"/>
    <n v="940794"/>
    <s v="M/S ANUP SINGHARAY"/>
    <s v="Private Retailer"/>
    <s v="9647727317"/>
    <n v="0.45"/>
    <n v="45"/>
    <x v="3"/>
    <m/>
    <s v="2026-03-06"/>
    <s v="260210"/>
    <s v="Gouri Sankar Kundu            "/>
    <s v="9064539774"/>
  </r>
  <r>
    <s v="RCF Import"/>
    <s v="MOP"/>
    <s v="WB"/>
    <x v="17"/>
    <s v="Chakdah"/>
    <s v="User Not Mapped"/>
    <s v="User Not Mapped"/>
    <s v="User Not Mapped"/>
    <n v="940794"/>
    <s v="M/S ANUP SINGHARAY"/>
    <s v="Private Retailer"/>
    <s v="9647727317"/>
    <n v="0.15"/>
    <n v="49"/>
    <x v="3"/>
    <m/>
    <s v="2026-03-02"/>
    <s v="260210"/>
    <s v="Gouri Sankar Kundu            "/>
    <s v="9064539774"/>
  </r>
  <r>
    <s v="RCF Import"/>
    <s v="MOP"/>
    <s v="WB"/>
    <x v="17"/>
    <s v="Chakdah"/>
    <s v="User Not Mapped"/>
    <s v="User Not Mapped"/>
    <s v="User Not Mapped"/>
    <n v="940794"/>
    <s v="M/S ANUP SINGHARAY"/>
    <s v="Private Retailer"/>
    <s v="9647727317"/>
    <n v="0.05"/>
    <n v="51"/>
    <x v="3"/>
    <m/>
    <s v="2026-02-28"/>
    <s v="260210"/>
    <s v="Gouri Sankar Kundu            "/>
    <s v="9064539774"/>
  </r>
  <r>
    <s v="RCF Import"/>
    <s v="Imp 10-26-26"/>
    <s v="WB"/>
    <x v="17"/>
    <s v="Chakdah"/>
    <s v="User Not Mapped"/>
    <s v="User Not Mapped"/>
    <s v="User Not Mapped"/>
    <n v="940794"/>
    <s v="M/S ANUP SINGHARAY"/>
    <s v="Private Retailer"/>
    <s v="9647727317"/>
    <n v="0.05"/>
    <n v="190"/>
    <x v="1"/>
    <m/>
    <s v="2025-10-12"/>
    <s v="260210"/>
    <s v="Gouri Sankar Kundu            "/>
    <s v="9064539774"/>
  </r>
  <r>
    <s v="RCF Thal"/>
    <s v="N.C.Urea(45kg)"/>
    <s v="WB"/>
    <x v="17"/>
    <s v="Chakdah"/>
    <s v="User Not Mapped"/>
    <s v="User Not Mapped"/>
    <s v="User Not Mapped"/>
    <n v="940794"/>
    <s v="M/S ANUP SINGHARAY"/>
    <s v="Private Retailer"/>
    <s v="9647727317"/>
    <n v="0.58499999999999996"/>
    <n v="23"/>
    <x v="5"/>
    <m/>
    <s v="2026-03-28"/>
    <s v="260210"/>
    <s v="Gouri Sankar Kundu            "/>
    <s v="9064539774"/>
  </r>
  <r>
    <s v="RCF Import"/>
    <s v="MOP"/>
    <s v="WB"/>
    <x v="17"/>
    <s v="Chakdah"/>
    <s v="User Not Mapped"/>
    <s v="User Not Mapped"/>
    <s v="User Not Mapped"/>
    <n v="940794"/>
    <s v="M/S ANUP SINGHARAY"/>
    <s v="Private Retailer"/>
    <s v="9647727317"/>
    <n v="0.15"/>
    <n v="30"/>
    <x v="5"/>
    <m/>
    <s v="2026-03-21"/>
    <s v="260210"/>
    <s v="Gouri Sankar Kundu            "/>
    <s v="9064539774"/>
  </r>
  <r>
    <s v="RCF Import"/>
    <s v="MOP"/>
    <s v="WB"/>
    <x v="17"/>
    <s v="Chakdah"/>
    <s v="User Not Mapped"/>
    <s v="User Not Mapped"/>
    <s v="User Not Mapped"/>
    <n v="940794"/>
    <s v="M/S ANUP SINGHARAY"/>
    <s v="Private Retailer"/>
    <s v="9647727317"/>
    <n v="0.1"/>
    <n v="20"/>
    <x v="5"/>
    <m/>
    <s v="2026-03-31"/>
    <s v="260210"/>
    <s v="Gouri Sankar Kundu            "/>
    <s v="9064539774"/>
  </r>
  <r>
    <s v="RCF Import"/>
    <s v="Imp 10-26-26"/>
    <s v="WB"/>
    <x v="17"/>
    <s v="Chakdah"/>
    <s v="User Not Mapped"/>
    <s v="User Not Mapped"/>
    <s v="User Not Mapped"/>
    <n v="940794"/>
    <s v="M/S ANUP SINGHARAY"/>
    <s v="Private Retailer"/>
    <s v="9647727317"/>
    <n v="0.1"/>
    <n v="23"/>
    <x v="5"/>
    <m/>
    <s v="2026-03-28"/>
    <s v="260210"/>
    <s v="Gouri Sankar Kundu            "/>
    <s v="9064539774"/>
  </r>
  <r>
    <s v="RCF Trombay"/>
    <s v="15-15-15"/>
    <s v="WB"/>
    <x v="17"/>
    <s v="Krishnaganj"/>
    <s v="User Not Mapped"/>
    <s v="User Not Mapped"/>
    <s v="User Not Mapped"/>
    <n v="440764"/>
    <s v="M/S Bhaumik Traders"/>
    <s v="Private Retailer"/>
    <s v="7908928310"/>
    <n v="1.6"/>
    <n v="53"/>
    <x v="3"/>
    <m/>
    <s v="2026-02-26"/>
    <s v="260210"/>
    <s v="Gouri Sankar Kundu            "/>
    <s v="9064539774"/>
  </r>
  <r>
    <s v="RCF Thal"/>
    <s v="N.C.Urea(45kg)"/>
    <s v="WB"/>
    <x v="17"/>
    <s v="Chakdah"/>
    <s v="User Not Mapped"/>
    <s v="User Not Mapped"/>
    <s v="User Not Mapped"/>
    <n v="341273"/>
    <s v="M/S DILIP KUMAR BALA"/>
    <s v="Private Retailer"/>
    <s v="8250938260"/>
    <n v="0.40500000000000003"/>
    <n v="23"/>
    <x v="5"/>
    <m/>
    <s v="2026-03-28"/>
    <s v="260210"/>
    <s v="Gouri Sankar Kundu            "/>
    <s v="9064539774"/>
  </r>
  <r>
    <s v="RCF Import"/>
    <s v="MOP"/>
    <s v="WB"/>
    <x v="17"/>
    <s v="Chakdah"/>
    <s v="User Not Mapped"/>
    <s v="User Not Mapped"/>
    <s v="User Not Mapped"/>
    <n v="341273"/>
    <s v="M/S DILIP KUMAR BALA"/>
    <s v="Private Retailer"/>
    <s v="8250938260"/>
    <n v="0.3"/>
    <n v="23"/>
    <x v="5"/>
    <m/>
    <s v="2026-03-28"/>
    <s v="260210"/>
    <s v="Gouri Sankar Kundu            "/>
    <s v="9064539774"/>
  </r>
  <r>
    <s v="RCF Import"/>
    <s v="MOP"/>
    <s v="WB"/>
    <x v="17"/>
    <s v="Chakdah"/>
    <s v="User Not Mapped"/>
    <s v="User Not Mapped"/>
    <s v="User Not Mapped"/>
    <n v="1086767"/>
    <s v="M/S DINESH CHANDRA MAJJUMDER"/>
    <s v="Private Retailer"/>
    <s v="7001446262"/>
    <n v="0.25"/>
    <n v="22"/>
    <x v="5"/>
    <m/>
    <s v="2026-03-29"/>
    <s v="260210"/>
    <s v="Gouri Sankar Kundu            "/>
    <s v="9064539774"/>
  </r>
  <r>
    <s v="RCF Import"/>
    <s v="MOP"/>
    <s v="WB"/>
    <x v="17"/>
    <s v="Chakdah"/>
    <s v="User Not Mapped"/>
    <s v="User Not Mapped"/>
    <s v="User Not Mapped"/>
    <n v="1086767"/>
    <s v="M/S DINESH CHANDRA MAJJUMDER"/>
    <s v="Private Retailer"/>
    <s v="7001446262"/>
    <n v="0.2"/>
    <n v="39"/>
    <x v="3"/>
    <m/>
    <s v="2026-03-12"/>
    <s v="260210"/>
    <s v="Gouri Sankar Kundu            "/>
    <s v="9064539774"/>
  </r>
  <r>
    <s v="RCF Trombay"/>
    <s v="15-15-15"/>
    <s v="WB"/>
    <x v="17"/>
    <s v="Chakdah"/>
    <s v="User Not Mapped"/>
    <s v="User Not Mapped"/>
    <s v="User Not Mapped"/>
    <n v="1086767"/>
    <s v="M/S DINESH CHANDRA MAJJUMDER"/>
    <s v="Private Retailer"/>
    <s v="7001446262"/>
    <n v="0.25"/>
    <n v="39"/>
    <x v="3"/>
    <m/>
    <s v="2026-03-12"/>
    <s v="260210"/>
    <s v="Gouri Sankar Kundu            "/>
    <s v="9064539774"/>
  </r>
  <r>
    <s v="RCF Import"/>
    <s v="MOP"/>
    <s v="WB"/>
    <x v="17"/>
    <s v="Chakdah"/>
    <s v="User Not Mapped"/>
    <s v="User Not Mapped"/>
    <s v="User Not Mapped"/>
    <n v="1086767"/>
    <s v="M/S DINESH CHANDRA MAJJUMDER"/>
    <s v="Private Retailer"/>
    <s v="7001446262"/>
    <n v="0.1"/>
    <n v="37"/>
    <x v="3"/>
    <m/>
    <s v="2026-03-14"/>
    <s v="260210"/>
    <s v="Gouri Sankar Kundu            "/>
    <s v="9064539774"/>
  </r>
  <r>
    <s v="RCF Trombay"/>
    <s v="15-15-15"/>
    <s v="WB"/>
    <x v="17"/>
    <s v="Chakdah"/>
    <s v="User Not Mapped"/>
    <s v="User Not Mapped"/>
    <s v="User Not Mapped"/>
    <n v="1086767"/>
    <s v="M/S DINESH CHANDRA MAJJUMDER"/>
    <s v="Private Retailer"/>
    <s v="7001446262"/>
    <n v="0.25"/>
    <n v="45"/>
    <x v="3"/>
    <m/>
    <s v="2026-03-06"/>
    <s v="260210"/>
    <s v="Gouri Sankar Kundu            "/>
    <s v="9064539774"/>
  </r>
  <r>
    <s v="RCF Thal"/>
    <s v="N.C.Urea(45kg)"/>
    <s v="WB"/>
    <x v="17"/>
    <s v="Chakdah"/>
    <s v="User Not Mapped"/>
    <s v="User Not Mapped"/>
    <s v="User Not Mapped"/>
    <n v="1086767"/>
    <s v="M/S DINESH CHANDRA MAJJUMDER"/>
    <s v="Private Retailer"/>
    <s v="7001446262"/>
    <n v="0.45"/>
    <n v="23"/>
    <x v="5"/>
    <m/>
    <s v="2026-03-28"/>
    <s v="260210"/>
    <s v="Gouri Sankar Kundu            "/>
    <s v="9064539774"/>
  </r>
  <r>
    <s v="RCF Thal"/>
    <s v="N.C.Urea(45kg)"/>
    <s v="WB"/>
    <x v="17"/>
    <s v="Chakdah"/>
    <s v="User Not Mapped"/>
    <s v="User Not Mapped"/>
    <s v="User Not Mapped"/>
    <n v="1086767"/>
    <s v="M/S DINESH CHANDRA MAJJUMDER"/>
    <s v="Private Retailer"/>
    <s v="7001446262"/>
    <n v="0.9"/>
    <n v="37"/>
    <x v="3"/>
    <m/>
    <s v="2026-03-14"/>
    <s v="260210"/>
    <s v="Gouri Sankar Kundu            "/>
    <s v="9064539774"/>
  </r>
  <r>
    <s v="RCF Trombay"/>
    <s v="15-15-15"/>
    <s v="WB"/>
    <x v="17"/>
    <s v="Chakdah"/>
    <s v="User Not Mapped"/>
    <s v="User Not Mapped"/>
    <s v="User Not Mapped"/>
    <n v="1086767"/>
    <s v="M/S DINESH CHANDRA MAJJUMDER"/>
    <s v="Private Retailer"/>
    <s v="7001446262"/>
    <n v="0.25"/>
    <n v="30"/>
    <x v="5"/>
    <m/>
    <s v="2026-03-21"/>
    <s v="260210"/>
    <s v="Gouri Sankar Kundu            "/>
    <s v="9064539774"/>
  </r>
  <r>
    <s v="RCF Import"/>
    <s v="MOP"/>
    <s v="WB"/>
    <x v="17"/>
    <s v="Chakdah"/>
    <s v="User Not Mapped"/>
    <s v="User Not Mapped"/>
    <s v="User Not Mapped"/>
    <n v="1086767"/>
    <s v="M/S DINESH CHANDRA MAJJUMDER"/>
    <s v="Private Retailer"/>
    <s v="7001446262"/>
    <n v="0.25"/>
    <n v="30"/>
    <x v="5"/>
    <m/>
    <s v="2026-03-21"/>
    <s v="260210"/>
    <s v="Gouri Sankar Kundu            "/>
    <s v="9064539774"/>
  </r>
  <r>
    <s v="RCF Thal"/>
    <s v="N.C.Urea(45kg)"/>
    <s v="WB"/>
    <x v="17"/>
    <s v="Chakdah"/>
    <s v="User Not Mapped"/>
    <s v="User Not Mapped"/>
    <s v="User Not Mapped"/>
    <n v="1086767"/>
    <s v="M/S DINESH CHANDRA MAJJUMDER"/>
    <s v="Private Retailer"/>
    <s v="7001446262"/>
    <n v="0.45"/>
    <n v="30"/>
    <x v="5"/>
    <m/>
    <s v="2026-03-21"/>
    <s v="260210"/>
    <s v="Gouri Sankar Kundu            "/>
    <s v="9064539774"/>
  </r>
  <r>
    <s v="RCF Import"/>
    <s v="MOP"/>
    <s v="WB"/>
    <x v="17"/>
    <s v="Chakdah"/>
    <s v="User Not Mapped"/>
    <s v="User Not Mapped"/>
    <s v="User Not Mapped"/>
    <n v="341303"/>
    <s v="M/S Dipankar Sen"/>
    <s v="Private Retailer"/>
    <s v="9153546074"/>
    <n v="0.25"/>
    <n v="57"/>
    <x v="3"/>
    <m/>
    <s v="2026-02-22"/>
    <s v="260210"/>
    <s v="Gouri Sankar Kundu            "/>
    <s v="9064539774"/>
  </r>
  <r>
    <s v="RCF Import"/>
    <s v="MOP"/>
    <s v="WB"/>
    <x v="17"/>
    <s v="Chakdah"/>
    <s v="User Not Mapped"/>
    <s v="User Not Mapped"/>
    <s v="User Not Mapped"/>
    <n v="341303"/>
    <s v="M/S Dipankar Sen"/>
    <s v="Private Retailer"/>
    <s v="9153546074"/>
    <n v="0.25"/>
    <n v="58"/>
    <x v="3"/>
    <m/>
    <s v="2026-02-21"/>
    <s v="260210"/>
    <s v="Gouri Sankar Kundu            "/>
    <s v="9064539774"/>
  </r>
  <r>
    <s v="RCF Trombay"/>
    <s v="15-15-15"/>
    <s v="WB"/>
    <x v="17"/>
    <s v="Chakdah"/>
    <s v="User Not Mapped"/>
    <s v="User Not Mapped"/>
    <s v="User Not Mapped"/>
    <n v="341303"/>
    <s v="M/S Dipankar Sen"/>
    <s v="Private Retailer"/>
    <s v="9153546074"/>
    <n v="0.05"/>
    <n v="23"/>
    <x v="5"/>
    <m/>
    <s v="2026-03-28"/>
    <s v="260210"/>
    <s v="Gouri Sankar Kundu            "/>
    <s v="9064539774"/>
  </r>
  <r>
    <s v="RCF Import"/>
    <s v="MOP"/>
    <s v="WB"/>
    <x v="17"/>
    <s v="Chakdah"/>
    <s v="User Not Mapped"/>
    <s v="User Not Mapped"/>
    <s v="User Not Mapped"/>
    <n v="341303"/>
    <s v="M/S Dipankar Sen"/>
    <s v="Private Retailer"/>
    <s v="9153546074"/>
    <n v="2.5"/>
    <n v="32"/>
    <x v="3"/>
    <m/>
    <s v="2026-03-19"/>
    <s v="260210"/>
    <s v="Gouri Sankar Kundu            "/>
    <s v="9064539774"/>
  </r>
  <r>
    <s v="RCF Import"/>
    <s v="MOP"/>
    <s v="WB"/>
    <x v="17"/>
    <s v="Chakdah"/>
    <s v="User Not Mapped"/>
    <s v="User Not Mapped"/>
    <s v="User Not Mapped"/>
    <n v="341303"/>
    <s v="M/S Dipankar Sen"/>
    <s v="Private Retailer"/>
    <s v="9153546074"/>
    <n v="0.75"/>
    <n v="42"/>
    <x v="3"/>
    <m/>
    <s v="2026-03-09"/>
    <s v="260210"/>
    <s v="Gouri Sankar Kundu            "/>
    <s v="9064539774"/>
  </r>
  <r>
    <s v="RCF Import"/>
    <s v="MOP"/>
    <s v="WB"/>
    <x v="17"/>
    <s v="Chakdah"/>
    <s v="User Not Mapped"/>
    <s v="User Not Mapped"/>
    <s v="User Not Mapped"/>
    <n v="341303"/>
    <s v="M/S Dipankar Sen"/>
    <s v="Private Retailer"/>
    <s v="9153546074"/>
    <n v="0.25"/>
    <n v="45"/>
    <x v="3"/>
    <m/>
    <s v="2026-03-06"/>
    <s v="260210"/>
    <s v="Gouri Sankar Kundu            "/>
    <s v="9064539774"/>
  </r>
  <r>
    <s v="RCF Import"/>
    <s v="MOP"/>
    <s v="WB"/>
    <x v="17"/>
    <s v="Chakdah"/>
    <s v="User Not Mapped"/>
    <s v="User Not Mapped"/>
    <s v="User Not Mapped"/>
    <n v="341303"/>
    <s v="M/S Dipankar Sen"/>
    <s v="Private Retailer"/>
    <s v="9153546074"/>
    <n v="0.25"/>
    <n v="49"/>
    <x v="3"/>
    <m/>
    <s v="2026-03-02"/>
    <s v="260210"/>
    <s v="Gouri Sankar Kundu            "/>
    <s v="9064539774"/>
  </r>
  <r>
    <s v="RCF Import"/>
    <s v="MOP"/>
    <s v="WB"/>
    <x v="17"/>
    <s v="Chakdah"/>
    <s v="User Not Mapped"/>
    <s v="User Not Mapped"/>
    <s v="User Not Mapped"/>
    <n v="341303"/>
    <s v="M/S Dipankar Sen"/>
    <s v="Private Retailer"/>
    <s v="9153546074"/>
    <n v="0.25"/>
    <n v="53"/>
    <x v="3"/>
    <m/>
    <s v="2026-02-26"/>
    <s v="260210"/>
    <s v="Gouri Sankar Kundu            "/>
    <s v="9064539774"/>
  </r>
  <r>
    <s v="RCF Thal"/>
    <s v="N.C.Urea(45kg)"/>
    <s v="WB"/>
    <x v="17"/>
    <s v="Chakdah"/>
    <s v="User Not Mapped"/>
    <s v="User Not Mapped"/>
    <s v="User Not Mapped"/>
    <n v="515298"/>
    <s v="M/S Narayan Ch Biswas"/>
    <s v="Private Retailer"/>
    <s v="7797107220"/>
    <n v="0.67500000000000004"/>
    <n v="9"/>
    <x v="5"/>
    <m/>
    <s v="2026-04-11"/>
    <s v="260210"/>
    <s v="Gouri Sankar Kundu            "/>
    <s v="9064539774"/>
  </r>
  <r>
    <s v="RCF Import"/>
    <s v="MOP"/>
    <s v="WB"/>
    <x v="17"/>
    <s v="Chakdah"/>
    <s v="User Not Mapped"/>
    <s v="User Not Mapped"/>
    <s v="User Not Mapped"/>
    <n v="515298"/>
    <s v="M/S Narayan Ch Biswas"/>
    <s v="Private Retailer"/>
    <s v="7797107220"/>
    <n v="0.1"/>
    <n v="37"/>
    <x v="3"/>
    <m/>
    <s v="2026-03-14"/>
    <s v="260210"/>
    <s v="Gouri Sankar Kundu            "/>
    <s v="9064539774"/>
  </r>
  <r>
    <s v="RCF Trombay"/>
    <s v="15-15-15"/>
    <s v="WB"/>
    <x v="17"/>
    <s v="Chakdah"/>
    <s v="User Not Mapped"/>
    <s v="User Not Mapped"/>
    <s v="User Not Mapped"/>
    <n v="515298"/>
    <s v="M/S Narayan Ch Biswas"/>
    <s v="Private Retailer"/>
    <s v="7797107220"/>
    <n v="0.1"/>
    <n v="37"/>
    <x v="3"/>
    <m/>
    <s v="2026-03-14"/>
    <s v="260210"/>
    <s v="Gouri Sankar Kundu            "/>
    <s v="9064539774"/>
  </r>
  <r>
    <s v="RCF Thal"/>
    <s v="N.C.Urea(45kg)"/>
    <s v="WB"/>
    <x v="17"/>
    <s v="Chakdah"/>
    <s v="User Not Mapped"/>
    <s v="User Not Mapped"/>
    <s v="User Not Mapped"/>
    <n v="342077"/>
    <s v="M/s Nihar Ranjan Das"/>
    <s v="Private Retailer"/>
    <s v="9564345480"/>
    <n v="0.67500000000000004"/>
    <n v="14"/>
    <x v="5"/>
    <m/>
    <s v="2026-04-06"/>
    <s v="260210"/>
    <s v="Gouri Sankar Kundu            "/>
    <s v="9064539774"/>
  </r>
  <r>
    <s v="RCF Thal"/>
    <s v="N.C.Urea(45kg)"/>
    <s v="WB"/>
    <x v="17"/>
    <s v="Chakdah"/>
    <s v="User Not Mapped"/>
    <s v="User Not Mapped"/>
    <s v="User Not Mapped"/>
    <n v="342592"/>
    <s v="M/S PROBODH KIJMAR CHANDA"/>
    <s v="Private Retailer"/>
    <s v="9333386196"/>
    <n v="0.25"/>
    <n v="12"/>
    <x v="5"/>
    <m/>
    <s v="2026-04-08"/>
    <s v="260210"/>
    <s v="Gouri Sankar Kundu            "/>
    <s v="9064539774"/>
  </r>
  <r>
    <s v="RCF Thal"/>
    <s v="N.C.Urea(45kg)"/>
    <s v="WB"/>
    <x v="17"/>
    <s v="Chakdah"/>
    <s v="User Not Mapped"/>
    <s v="User Not Mapped"/>
    <s v="User Not Mapped"/>
    <n v="941947"/>
    <s v="M/s SAHIDUL MONDAL"/>
    <s v="Private Retailer"/>
    <s v="9083370528"/>
    <n v="0.45"/>
    <n v="9"/>
    <x v="5"/>
    <m/>
    <s v="2026-04-11"/>
    <s v="260210"/>
    <s v="Gouri Sankar Kundu            "/>
    <s v="9064539774"/>
  </r>
  <r>
    <s v="RCF Trombay"/>
    <s v="15-15-15"/>
    <s v="WB"/>
    <x v="17"/>
    <s v="Chakdah"/>
    <s v="User Not Mapped"/>
    <s v="User Not Mapped"/>
    <s v="User Not Mapped"/>
    <n v="389802"/>
    <s v="M/S Subrata Mondal"/>
    <s v="Private Retailer"/>
    <s v="9748872388"/>
    <n v="0.25"/>
    <n v="79"/>
    <x v="6"/>
    <m/>
    <s v="2026-01-31"/>
    <s v="260210"/>
    <s v="Gouri Sankar Kundu            "/>
    <s v="9064539774"/>
  </r>
  <r>
    <s v="RCF Import"/>
    <s v="Imp 10-26-26"/>
    <s v="WB"/>
    <x v="17"/>
    <s v="Chakdah"/>
    <s v="User Not Mapped"/>
    <s v="User Not Mapped"/>
    <s v="User Not Mapped"/>
    <n v="1249454"/>
    <s v="M/S SUKANTA ACHARYA"/>
    <s v="Private Retailer"/>
    <s v="9330418353"/>
    <n v="0.5"/>
    <n v="295"/>
    <x v="1"/>
    <m/>
    <s v="2025-06-29"/>
    <s v="260210"/>
    <s v="Gouri Sankar Kundu            "/>
    <s v="9064539774"/>
  </r>
  <r>
    <s v="RCF Import"/>
    <s v="MOP"/>
    <s v="WB"/>
    <x v="17"/>
    <s v="Chakdah"/>
    <s v="User Not Mapped"/>
    <s v="User Not Mapped"/>
    <s v="User Not Mapped"/>
    <n v="1249454"/>
    <s v="M/S SUKANTA ACHARYA"/>
    <s v="Private Retailer"/>
    <s v="9330418353"/>
    <n v="1.35"/>
    <n v="37"/>
    <x v="3"/>
    <m/>
    <s v="2026-03-14"/>
    <s v="260210"/>
    <s v="Gouri Sankar Kundu            "/>
    <s v="9064539774"/>
  </r>
  <r>
    <s v="RCF Trombay"/>
    <s v="N.C.Urea(45kg)"/>
    <s v="WB"/>
    <x v="17"/>
    <s v="Chakdah"/>
    <s v="User Not Mapped"/>
    <s v="User Not Mapped"/>
    <s v="User Not Mapped"/>
    <n v="1249454"/>
    <s v="M/S SUKANTA ACHARYA"/>
    <s v="Private Retailer"/>
    <s v="9330418353"/>
    <n v="0.45"/>
    <n v="135"/>
    <x v="4"/>
    <m/>
    <s v="2025-12-06"/>
    <s v="260210"/>
    <s v="Gouri Sankar Kundu            "/>
    <s v="9064539774"/>
  </r>
  <r>
    <s v="RCF Import"/>
    <s v="MOP"/>
    <s v="WB"/>
    <x v="17"/>
    <s v="Chakdah"/>
    <s v="User Not Mapped"/>
    <s v="User Not Mapped"/>
    <s v="User Not Mapped"/>
    <n v="1249454"/>
    <s v="M/S SUKANTA ACHARYA"/>
    <s v="Private Retailer"/>
    <s v="9330418353"/>
    <n v="0.5"/>
    <n v="51"/>
    <x v="3"/>
    <m/>
    <s v="2026-02-28"/>
    <s v="260210"/>
    <s v="Gouri Sankar Kundu            "/>
    <s v="9064539774"/>
  </r>
  <r>
    <s v="RCF Import"/>
    <s v="MOP"/>
    <s v="WB"/>
    <x v="17"/>
    <s v="Chakdah"/>
    <s v="User Not Mapped"/>
    <s v="User Not Mapped"/>
    <s v="User Not Mapped"/>
    <n v="1249454"/>
    <s v="M/S SUKANTA ACHARYA"/>
    <s v="Private Retailer"/>
    <s v="9330418353"/>
    <n v="0.5"/>
    <n v="59"/>
    <x v="3"/>
    <m/>
    <s v="2026-02-20"/>
    <s v="260210"/>
    <s v="Gouri Sankar Kundu            "/>
    <s v="9064539774"/>
  </r>
  <r>
    <s v="RCF Trombay"/>
    <s v="15-15-15"/>
    <s v="WB"/>
    <x v="17"/>
    <s v="Chakdah"/>
    <s v="User Not Mapped"/>
    <s v="User Not Mapped"/>
    <s v="User Not Mapped"/>
    <n v="1249454"/>
    <s v="M/S SUKANTA ACHARYA"/>
    <s v="Private Retailer"/>
    <s v="9330418353"/>
    <n v="1.5"/>
    <n v="45"/>
    <x v="3"/>
    <m/>
    <s v="2026-03-06"/>
    <s v="260210"/>
    <s v="Gouri Sankar Kundu            "/>
    <s v="9064539774"/>
  </r>
  <r>
    <s v="RCF Trombay"/>
    <s v="15-15-15"/>
    <s v="WB"/>
    <x v="17"/>
    <s v="Chakdah"/>
    <s v="User Not Mapped"/>
    <s v="User Not Mapped"/>
    <s v="User Not Mapped"/>
    <n v="1249454"/>
    <s v="M/S SUKANTA ACHARYA"/>
    <s v="Private Retailer"/>
    <s v="9330418353"/>
    <n v="1.25"/>
    <n v="30"/>
    <x v="5"/>
    <m/>
    <s v="2026-03-21"/>
    <s v="260210"/>
    <s v="Gouri Sankar Kundu            "/>
    <s v="9064539774"/>
  </r>
  <r>
    <s v="RCF Trombay"/>
    <s v="15-15-15"/>
    <s v="WB"/>
    <x v="17"/>
    <s v="Chakdah"/>
    <s v="User Not Mapped"/>
    <s v="User Not Mapped"/>
    <s v="User Not Mapped"/>
    <n v="1249454"/>
    <s v="M/S SUKANTA ACHARYA"/>
    <s v="Private Retailer"/>
    <s v="9330418353"/>
    <n v="0.75"/>
    <n v="23"/>
    <x v="5"/>
    <m/>
    <s v="2026-03-28"/>
    <s v="260210"/>
    <s v="Gouri Sankar Kundu            "/>
    <s v="9064539774"/>
  </r>
  <r>
    <s v="RCF Trombay"/>
    <s v="15-15-15"/>
    <s v="WB"/>
    <x v="17"/>
    <s v="Chakdah"/>
    <s v="User Not Mapped"/>
    <s v="User Not Mapped"/>
    <s v="User Not Mapped"/>
    <n v="1249454"/>
    <s v="M/S SUKANTA ACHARYA"/>
    <s v="Private Retailer"/>
    <s v="9330418353"/>
    <n v="0.25"/>
    <n v="51"/>
    <x v="3"/>
    <m/>
    <s v="2026-02-28"/>
    <s v="260210"/>
    <s v="Gouri Sankar Kundu            "/>
    <s v="9064539774"/>
  </r>
  <r>
    <s v="RCF Import"/>
    <s v="MOP"/>
    <s v="WB"/>
    <x v="17"/>
    <s v="Chakdah"/>
    <s v="User Not Mapped"/>
    <s v="User Not Mapped"/>
    <s v="User Not Mapped"/>
    <n v="1249454"/>
    <s v="M/S SUKANTA ACHARYA"/>
    <s v="Private Retailer"/>
    <s v="9330418353"/>
    <n v="0.55000000000000004"/>
    <n v="23"/>
    <x v="5"/>
    <m/>
    <s v="2026-03-28"/>
    <s v="260210"/>
    <s v="Gouri Sankar Kundu            "/>
    <s v="9064539774"/>
  </r>
  <r>
    <s v="RCF Thal"/>
    <s v="N.C.Urea(45kg)"/>
    <s v="WB"/>
    <x v="17"/>
    <s v="Chakdah"/>
    <s v="User Not Mapped"/>
    <s v="User Not Mapped"/>
    <s v="User Not Mapped"/>
    <n v="1249454"/>
    <s v="M/S SUKANTA ACHARYA"/>
    <s v="Private Retailer"/>
    <s v="9330418353"/>
    <n v="0.54"/>
    <n v="30"/>
    <x v="5"/>
    <m/>
    <s v="2026-03-21"/>
    <s v="260210"/>
    <s v="Gouri Sankar Kundu            "/>
    <s v="9064539774"/>
  </r>
  <r>
    <s v="RCF Trombay"/>
    <s v="15-15-15"/>
    <s v="WB"/>
    <x v="17"/>
    <s v="Chakdah"/>
    <s v="User Not Mapped"/>
    <s v="User Not Mapped"/>
    <s v="User Not Mapped"/>
    <n v="1249454"/>
    <s v="M/S SUKANTA ACHARYA"/>
    <s v="Private Retailer"/>
    <s v="9330418353"/>
    <n v="0.95"/>
    <n v="83"/>
    <x v="6"/>
    <m/>
    <s v="2026-01-27"/>
    <s v="260210"/>
    <s v="Gouri Sankar Kundu            "/>
    <s v="9064539774"/>
  </r>
  <r>
    <s v="RCF Trombay"/>
    <s v="N.C.Urea(45kg)"/>
    <s v="WB"/>
    <x v="17"/>
    <s v="Chakdah"/>
    <s v="User Not Mapped"/>
    <s v="User Not Mapped"/>
    <s v="User Not Mapped"/>
    <n v="1249454"/>
    <s v="M/S SUKANTA ACHARYA"/>
    <s v="Private Retailer"/>
    <s v="9330418353"/>
    <n v="0.45"/>
    <n v="83"/>
    <x v="6"/>
    <m/>
    <s v="2026-01-27"/>
    <s v="260210"/>
    <s v="Gouri Sankar Kundu            "/>
    <s v="9064539774"/>
  </r>
  <r>
    <s v="RCF Import"/>
    <s v="MOP"/>
    <s v="WB"/>
    <x v="17"/>
    <s v="Chakdah"/>
    <s v="User Not Mapped"/>
    <s v="User Not Mapped"/>
    <s v="User Not Mapped"/>
    <n v="1249454"/>
    <s v="M/S SUKANTA ACHARYA"/>
    <s v="Private Retailer"/>
    <s v="9330418353"/>
    <n v="0.25"/>
    <n v="410"/>
    <x v="0"/>
    <m/>
    <s v="2025-03-06"/>
    <s v="260210"/>
    <s v="Gouri Sankar Kundu            "/>
    <s v="9064539774"/>
  </r>
  <r>
    <s v="RCF Import"/>
    <s v="Imp 10-26-26"/>
    <s v="WB"/>
    <x v="17"/>
    <s v="Chakdah"/>
    <s v="User Not Mapped"/>
    <s v="User Not Mapped"/>
    <s v="User Not Mapped"/>
    <n v="1249454"/>
    <s v="M/S SUKANTA ACHARYA"/>
    <s v="Private Retailer"/>
    <s v="9330418353"/>
    <n v="0.05"/>
    <n v="463"/>
    <x v="0"/>
    <m/>
    <s v="2025-01-12"/>
    <s v="260210"/>
    <s v="Gouri Sankar Kundu            "/>
    <s v="9064539774"/>
  </r>
  <r>
    <s v="RCF Import"/>
    <s v="Imp 10-26-26"/>
    <s v="WB"/>
    <x v="17"/>
    <s v="Chakdah"/>
    <s v="User Not Mapped"/>
    <s v="User Not Mapped"/>
    <s v="User Not Mapped"/>
    <n v="387453"/>
    <s v="M/S Talab Bari Mondal "/>
    <s v="Private Retailer"/>
    <s v="9434954297"/>
    <n v="0.1"/>
    <n v="177"/>
    <x v="4"/>
    <m/>
    <s v="2025-10-25"/>
    <s v="260210"/>
    <s v="Gouri Sankar Kundu            "/>
    <s v="9064539774"/>
  </r>
  <r>
    <s v="RCF Thal"/>
    <s v="N.C.Urea(45kg)"/>
    <s v="WB"/>
    <x v="17"/>
    <s v="Chakdah"/>
    <s v="User Not Mapped"/>
    <s v="User Not Mapped"/>
    <s v="User Not Mapped"/>
    <n v="387453"/>
    <s v="M/S Talab Bari Mondal "/>
    <s v="Private Retailer"/>
    <s v="9434954297"/>
    <n v="0.36"/>
    <n v="9"/>
    <x v="5"/>
    <m/>
    <s v="2026-04-11"/>
    <s v="260210"/>
    <s v="Gouri Sankar Kundu            "/>
    <s v="9064539774"/>
  </r>
  <r>
    <s v="RCF Import"/>
    <s v="MOP"/>
    <s v="WB"/>
    <x v="17"/>
    <s v="Chakdah"/>
    <s v="User Not Mapped"/>
    <s v="User Not Mapped"/>
    <s v="User Not Mapped"/>
    <n v="387453"/>
    <s v="M/S Talab Bari Mondal "/>
    <s v="Private Retailer"/>
    <s v="9434954297"/>
    <n v="0.05"/>
    <n v="410"/>
    <x v="0"/>
    <m/>
    <s v="2025-03-06"/>
    <s v="260210"/>
    <s v="Gouri Sankar Kundu            "/>
    <s v="9064539774"/>
  </r>
  <r>
    <s v="RCF Import"/>
    <s v="MOP"/>
    <s v="WB"/>
    <x v="17"/>
    <s v="Chakdah"/>
    <s v="User Not Mapped"/>
    <s v="User Not Mapped"/>
    <s v="User Not Mapped"/>
    <n v="387453"/>
    <s v="M/S Talab Bari Mondal "/>
    <s v="Private Retailer"/>
    <s v="9434954297"/>
    <n v="0.25"/>
    <n v="53"/>
    <x v="3"/>
    <m/>
    <s v="2026-02-26"/>
    <s v="260210"/>
    <s v="Gouri Sankar Kundu            "/>
    <s v="9064539774"/>
  </r>
  <r>
    <s v="RCF Import"/>
    <s v="MOP"/>
    <s v="WB"/>
    <x v="17"/>
    <s v="Chakdah"/>
    <s v="User Not Mapped"/>
    <s v="User Not Mapped"/>
    <s v="User Not Mapped"/>
    <n v="440622"/>
    <s v="M/S Umesh Chandra  Mallick"/>
    <s v="Private Retailer"/>
    <s v="8670464285"/>
    <n v="0.05"/>
    <n v="58"/>
    <x v="3"/>
    <m/>
    <s v="2026-02-21"/>
    <s v="260210"/>
    <s v="Gouri Sankar Kundu            "/>
    <s v="9064539774"/>
  </r>
  <r>
    <s v="RCF Import"/>
    <s v="MOP"/>
    <s v="WB"/>
    <x v="17"/>
    <s v="Chakdah"/>
    <s v="User Not Mapped"/>
    <s v="User Not Mapped"/>
    <s v="User Not Mapped"/>
    <n v="440622"/>
    <s v="M/S Umesh Chandra  Mallick"/>
    <s v="Private Retailer"/>
    <s v="8670464285"/>
    <n v="0.25"/>
    <n v="37"/>
    <x v="3"/>
    <m/>
    <s v="2026-03-14"/>
    <s v="260210"/>
    <s v="Gouri Sankar Kundu            "/>
    <s v="9064539774"/>
  </r>
  <r>
    <s v="RCF Import"/>
    <s v="MOP"/>
    <s v="WB"/>
    <x v="17"/>
    <s v="Chakdah"/>
    <s v="User Not Mapped"/>
    <s v="User Not Mapped"/>
    <s v="User Not Mapped"/>
    <n v="440622"/>
    <s v="M/S Umesh Chandra  Mallick"/>
    <s v="Private Retailer"/>
    <s v="8670464285"/>
    <n v="0.25"/>
    <n v="45"/>
    <x v="3"/>
    <m/>
    <s v="2026-03-06"/>
    <s v="260210"/>
    <s v="Gouri Sankar Kundu            "/>
    <s v="9064539774"/>
  </r>
  <r>
    <s v="RCF Import"/>
    <s v="MOP"/>
    <s v="WB"/>
    <x v="17"/>
    <s v="Chakdah"/>
    <s v="User Not Mapped"/>
    <s v="User Not Mapped"/>
    <s v="User Not Mapped"/>
    <n v="440622"/>
    <s v="M/S Umesh Chandra  Mallick"/>
    <s v="Private Retailer"/>
    <s v="8670464285"/>
    <n v="0.25"/>
    <n v="53"/>
    <x v="3"/>
    <m/>
    <s v="2026-02-26"/>
    <s v="260210"/>
    <s v="Gouri Sankar Kundu            "/>
    <s v="9064539774"/>
  </r>
  <r>
    <s v="RCF Trombay"/>
    <s v="15-15-15"/>
    <s v="WB"/>
    <x v="17"/>
    <s v="Chakdah"/>
    <s v="User Not Mapped"/>
    <s v="User Not Mapped"/>
    <s v="User Not Mapped"/>
    <n v="341777"/>
    <s v="Madhusudan Debnath"/>
    <s v="Private Retailer"/>
    <s v="9933038999"/>
    <n v="0.03"/>
    <n v="23"/>
    <x v="5"/>
    <m/>
    <s v="2026-03-28"/>
    <s v="260210"/>
    <s v="Gouri Sankar Kundu            "/>
    <s v="9064539774"/>
  </r>
  <r>
    <s v="RCF Trombay"/>
    <s v="15-15-15"/>
    <s v="WB"/>
    <x v="17"/>
    <s v="Chakdah"/>
    <s v="User Not Mapped"/>
    <s v="User Not Mapped"/>
    <s v="User Not Mapped"/>
    <n v="341788"/>
    <s v="Mahadeb Santra"/>
    <s v="Private Retailer"/>
    <s v="9735617186"/>
    <n v="0.25"/>
    <n v="37"/>
    <x v="3"/>
    <m/>
    <s v="2026-03-14"/>
    <s v="260210"/>
    <s v="Gouri Sankar Kundu            "/>
    <s v="9064539774"/>
  </r>
  <r>
    <s v="RCF Import"/>
    <s v="MOP"/>
    <s v="WB"/>
    <x v="17"/>
    <s v="Chakdah"/>
    <s v="User Not Mapped"/>
    <s v="User Not Mapped"/>
    <s v="User Not Mapped"/>
    <n v="341788"/>
    <s v="Mahadeb Santra"/>
    <s v="Private Retailer"/>
    <s v="9735617186"/>
    <n v="0.25"/>
    <n v="4"/>
    <x v="5"/>
    <m/>
    <s v="2026-04-16"/>
    <s v="260210"/>
    <s v="Gouri Sankar Kundu            "/>
    <s v="9064539774"/>
  </r>
  <r>
    <s v="RCF Trombay"/>
    <s v="15-15-15"/>
    <s v="WB"/>
    <x v="17"/>
    <s v="Chakdah"/>
    <s v="User Not Mapped"/>
    <s v="User Not Mapped"/>
    <s v="User Not Mapped"/>
    <n v="341788"/>
    <s v="Mahadeb Santra"/>
    <s v="Private Retailer"/>
    <s v="9735617186"/>
    <n v="0.2"/>
    <n v="49"/>
    <x v="3"/>
    <m/>
    <s v="2026-03-02"/>
    <s v="260210"/>
    <s v="Gouri Sankar Kundu            "/>
    <s v="9064539774"/>
  </r>
  <r>
    <s v="RCF Import"/>
    <s v="MOP"/>
    <s v="WB"/>
    <x v="17"/>
    <s v="Chakdah"/>
    <s v="User Not Mapped"/>
    <s v="User Not Mapped"/>
    <s v="User Not Mapped"/>
    <n v="341788"/>
    <s v="Mahadeb Santra"/>
    <s v="Private Retailer"/>
    <s v="9735617186"/>
    <n v="0.15"/>
    <n v="37"/>
    <x v="3"/>
    <m/>
    <s v="2026-03-14"/>
    <s v="260210"/>
    <s v="Gouri Sankar Kundu            "/>
    <s v="9064539774"/>
  </r>
  <r>
    <s v="RCF Thal"/>
    <s v="N.C.Urea(45kg)"/>
    <s v="WB"/>
    <x v="17"/>
    <s v="Chakdah"/>
    <s v="User Not Mapped"/>
    <s v="User Not Mapped"/>
    <s v="User Not Mapped"/>
    <n v="341788"/>
    <s v="Mahadeb Santra"/>
    <s v="Private Retailer"/>
    <s v="9735617186"/>
    <n v="0.9"/>
    <n v="32"/>
    <x v="3"/>
    <m/>
    <s v="2026-03-19"/>
    <s v="260210"/>
    <s v="Gouri Sankar Kundu            "/>
    <s v="9064539774"/>
  </r>
  <r>
    <s v="RCF Import"/>
    <s v="Imp 10-26-26"/>
    <s v="WB"/>
    <x v="17"/>
    <s v="Chakdah"/>
    <s v="User Not Mapped"/>
    <s v="User Not Mapped"/>
    <s v="User Not Mapped"/>
    <n v="341788"/>
    <s v="Mahadeb Santra"/>
    <s v="Private Retailer"/>
    <s v="9735617186"/>
    <n v="0.1"/>
    <n v="488"/>
    <x v="0"/>
    <m/>
    <s v="2024-12-18"/>
    <s v="260210"/>
    <s v="Gouri Sankar Kundu            "/>
    <s v="9064539774"/>
  </r>
  <r>
    <s v="RCF Thal"/>
    <s v="N.C.Urea(45kg)"/>
    <s v="WB"/>
    <x v="17"/>
    <s v="Chakdah"/>
    <s v="User Not Mapped"/>
    <s v="User Not Mapped"/>
    <s v="User Not Mapped"/>
    <n v="341788"/>
    <s v="Mahadeb Santra"/>
    <s v="Private Retailer"/>
    <s v="9735617186"/>
    <n v="0.45"/>
    <n v="37"/>
    <x v="3"/>
    <m/>
    <s v="2026-03-14"/>
    <s v="260210"/>
    <s v="Gouri Sankar Kundu            "/>
    <s v="9064539774"/>
  </r>
  <r>
    <s v="RCF Import"/>
    <s v="Imp 10-26-26"/>
    <s v="WB"/>
    <x v="17"/>
    <s v="Chakdah"/>
    <s v="User Not Mapped"/>
    <s v="User Not Mapped"/>
    <s v="User Not Mapped"/>
    <n v="341788"/>
    <s v="Mahadeb Santra"/>
    <s v="Private Retailer"/>
    <s v="9735617186"/>
    <n v="0.1"/>
    <n v="37"/>
    <x v="3"/>
    <m/>
    <s v="2026-03-14"/>
    <s v="260210"/>
    <s v="Gouri Sankar Kundu            "/>
    <s v="9064539774"/>
  </r>
  <r>
    <s v="RCF Import"/>
    <s v="Imp 10-26-26"/>
    <s v="WB"/>
    <x v="17"/>
    <s v="Chakdah"/>
    <s v="User Not Mapped"/>
    <s v="User Not Mapped"/>
    <s v="User Not Mapped"/>
    <n v="341796"/>
    <s v="Mainul Haque"/>
    <s v="Private Retailer"/>
    <s v="9153744930"/>
    <n v="0.35"/>
    <n v="158"/>
    <x v="4"/>
    <m/>
    <s v="2025-11-13"/>
    <s v="260210"/>
    <s v="Gouri Sankar Kundu            "/>
    <s v="9064539774"/>
  </r>
  <r>
    <s v="RCF Trombay"/>
    <s v="N.C.Urea(45kg)"/>
    <s v="WB"/>
    <x v="17"/>
    <s v="Chakdah"/>
    <s v="User Not Mapped"/>
    <s v="User Not Mapped"/>
    <s v="User Not Mapped"/>
    <n v="341796"/>
    <s v="Mainul Haque"/>
    <s v="Private Retailer"/>
    <s v="9153744930"/>
    <n v="0.45"/>
    <n v="85"/>
    <x v="6"/>
    <m/>
    <s v="2026-01-25"/>
    <s v="260210"/>
    <s v="Gouri Sankar Kundu            "/>
    <s v="9064539774"/>
  </r>
  <r>
    <s v="RCF Trombay"/>
    <s v="N.C.Urea(45kg)"/>
    <s v="WB"/>
    <x v="17"/>
    <s v="Chakdah"/>
    <s v="User Not Mapped"/>
    <s v="User Not Mapped"/>
    <s v="User Not Mapped"/>
    <n v="341796"/>
    <s v="Mainul Haque"/>
    <s v="Private Retailer"/>
    <s v="9153744930"/>
    <n v="0.45"/>
    <n v="80"/>
    <x v="6"/>
    <m/>
    <s v="2026-01-30"/>
    <s v="260210"/>
    <s v="Gouri Sankar Kundu            "/>
    <s v="9064539774"/>
  </r>
  <r>
    <s v="RCF Trombay"/>
    <s v="15-15-15"/>
    <s v="WB"/>
    <x v="17"/>
    <s v="Chakdah"/>
    <s v="User Not Mapped"/>
    <s v="User Not Mapped"/>
    <s v="User Not Mapped"/>
    <n v="341796"/>
    <s v="Mainul Haque"/>
    <s v="Private Retailer"/>
    <s v="9153744930"/>
    <n v="0.25"/>
    <n v="39"/>
    <x v="3"/>
    <m/>
    <s v="2026-03-12"/>
    <s v="260210"/>
    <s v="Gouri Sankar Kundu            "/>
    <s v="9064539774"/>
  </r>
  <r>
    <s v="RCF Import"/>
    <s v="MOP"/>
    <s v="WB"/>
    <x v="17"/>
    <s v="Chakdah"/>
    <s v="User Not Mapped"/>
    <s v="User Not Mapped"/>
    <s v="User Not Mapped"/>
    <n v="341796"/>
    <s v="Mainul Haque"/>
    <s v="Private Retailer"/>
    <s v="9153744930"/>
    <n v="0.15"/>
    <n v="437"/>
    <x v="0"/>
    <m/>
    <s v="2025-02-07"/>
    <s v="260210"/>
    <s v="Gouri Sankar Kundu            "/>
    <s v="9064539774"/>
  </r>
  <r>
    <s v="RCF Thal"/>
    <s v="N.C.Urea(45kg)"/>
    <s v="WB"/>
    <x v="17"/>
    <s v="Chakdah"/>
    <s v="User Not Mapped"/>
    <s v="User Not Mapped"/>
    <s v="User Not Mapped"/>
    <n v="341796"/>
    <s v="Mainul Haque"/>
    <s v="Private Retailer"/>
    <s v="9153744930"/>
    <n v="0.9"/>
    <n v="37"/>
    <x v="3"/>
    <m/>
    <s v="2026-03-14"/>
    <s v="260210"/>
    <s v="Gouri Sankar Kundu            "/>
    <s v="9064539774"/>
  </r>
  <r>
    <s v="RCF Import"/>
    <s v="MOP"/>
    <s v="WB"/>
    <x v="17"/>
    <s v="Chakdah"/>
    <s v="User Not Mapped"/>
    <s v="User Not Mapped"/>
    <s v="User Not Mapped"/>
    <n v="341796"/>
    <s v="Mainul Haque"/>
    <s v="Private Retailer"/>
    <s v="9153744930"/>
    <n v="0.25"/>
    <n v="416"/>
    <x v="0"/>
    <m/>
    <s v="2025-02-28"/>
    <s v="260210"/>
    <s v="Gouri Sankar Kundu            "/>
    <s v="9064539774"/>
  </r>
  <r>
    <s v="RCF Import"/>
    <s v="Imp 10-26-26"/>
    <s v="WB"/>
    <x v="17"/>
    <s v="Chakdah"/>
    <s v="User Not Mapped"/>
    <s v="User Not Mapped"/>
    <s v="User Not Mapped"/>
    <n v="341796"/>
    <s v="Mainul Haque"/>
    <s v="Private Retailer"/>
    <s v="9153744930"/>
    <n v="0.5"/>
    <n v="232"/>
    <x v="1"/>
    <m/>
    <s v="2025-08-31"/>
    <s v="260210"/>
    <s v="Gouri Sankar Kundu            "/>
    <s v="9064539774"/>
  </r>
  <r>
    <s v="RCF Import"/>
    <s v="Imp 10-26-26"/>
    <s v="WB"/>
    <x v="17"/>
    <s v="Chakdah"/>
    <s v="User Not Mapped"/>
    <s v="User Not Mapped"/>
    <s v="User Not Mapped"/>
    <n v="341796"/>
    <s v="Mainul Haque"/>
    <s v="Private Retailer"/>
    <s v="9153744930"/>
    <n v="0.15"/>
    <n v="263"/>
    <x v="1"/>
    <m/>
    <s v="2025-07-31"/>
    <s v="260210"/>
    <s v="Gouri Sankar Kundu            "/>
    <s v="9064539774"/>
  </r>
  <r>
    <s v="RCF Import"/>
    <s v="Imp 10-26-26"/>
    <s v="WB"/>
    <x v="17"/>
    <s v="Chakdah"/>
    <s v="User Not Mapped"/>
    <s v="User Not Mapped"/>
    <s v="User Not Mapped"/>
    <n v="341796"/>
    <s v="Mainul Haque"/>
    <s v="Private Retailer"/>
    <s v="9153744930"/>
    <n v="0.25"/>
    <n v="499"/>
    <x v="0"/>
    <m/>
    <s v="2024-12-07"/>
    <s v="260210"/>
    <s v="Gouri Sankar Kundu            "/>
    <s v="9064539774"/>
  </r>
  <r>
    <s v="RCF Import"/>
    <s v="Imp 10-26-26"/>
    <s v="WB"/>
    <x v="17"/>
    <s v="Chakdah"/>
    <s v="User Not Mapped"/>
    <s v="User Not Mapped"/>
    <s v="User Not Mapped"/>
    <n v="341796"/>
    <s v="Mainul Haque"/>
    <s v="Private Retailer"/>
    <s v="9153744930"/>
    <n v="0.25"/>
    <n v="488"/>
    <x v="0"/>
    <m/>
    <s v="2024-12-18"/>
    <s v="260210"/>
    <s v="Gouri Sankar Kundu            "/>
    <s v="9064539774"/>
  </r>
  <r>
    <s v="RCF Import"/>
    <s v="Imp 10-26-26"/>
    <s v="WB"/>
    <x v="17"/>
    <s v="Chakdah"/>
    <s v="User Not Mapped"/>
    <s v="User Not Mapped"/>
    <s v="User Not Mapped"/>
    <n v="341796"/>
    <s v="Mainul Haque"/>
    <s v="Private Retailer"/>
    <s v="9153744930"/>
    <n v="2"/>
    <n v="485"/>
    <x v="0"/>
    <m/>
    <s v="2024-12-21"/>
    <s v="260210"/>
    <s v="Gouri Sankar Kundu            "/>
    <s v="9064539774"/>
  </r>
  <r>
    <s v="RCF Import"/>
    <s v="Imp 10-26-26"/>
    <s v="WB"/>
    <x v="17"/>
    <s v="Chakdah"/>
    <s v="User Not Mapped"/>
    <s v="User Not Mapped"/>
    <s v="User Not Mapped"/>
    <n v="341796"/>
    <s v="Mainul Haque"/>
    <s v="Private Retailer"/>
    <s v="9153744930"/>
    <n v="0.5"/>
    <n v="470"/>
    <x v="0"/>
    <m/>
    <s v="2025-01-05"/>
    <s v="260210"/>
    <s v="Gouri Sankar Kundu            "/>
    <s v="9064539774"/>
  </r>
  <r>
    <s v="RCF Import"/>
    <s v="Imp 10-26-26"/>
    <s v="WB"/>
    <x v="17"/>
    <s v="Chakdah"/>
    <s v="User Not Mapped"/>
    <s v="User Not Mapped"/>
    <s v="User Not Mapped"/>
    <n v="341796"/>
    <s v="Mainul Haque"/>
    <s v="Private Retailer"/>
    <s v="9153744930"/>
    <n v="0.25"/>
    <n v="150"/>
    <x v="4"/>
    <m/>
    <s v="2025-11-21"/>
    <s v="260210"/>
    <s v="Gouri Sankar Kundu            "/>
    <s v="9064539774"/>
  </r>
  <r>
    <s v="RCF Trombay"/>
    <s v="N.C.Urea(45kg)"/>
    <s v="WB"/>
    <x v="17"/>
    <s v="Chakdah"/>
    <s v="User Not Mapped"/>
    <s v="User Not Mapped"/>
    <s v="User Not Mapped"/>
    <n v="341796"/>
    <s v="Mainul Haque"/>
    <s v="Private Retailer"/>
    <s v="9153744930"/>
    <n v="1.08"/>
    <n v="135"/>
    <x v="4"/>
    <m/>
    <s v="2025-12-06"/>
    <s v="260210"/>
    <s v="Gouri Sankar Kundu            "/>
    <s v="9064539774"/>
  </r>
  <r>
    <s v="RCF Trombay"/>
    <s v="15-15-15"/>
    <s v="WB"/>
    <x v="17"/>
    <s v="Ranaghat - I"/>
    <s v="User Not Mapped"/>
    <s v="User Not Mapped"/>
    <s v="User Not Mapped"/>
    <n v="1025170"/>
    <s v="MAINUL HAQUE"/>
    <s v="Private Retailer"/>
    <s v="8972990957"/>
    <n v="0.05"/>
    <n v="362"/>
    <x v="1"/>
    <m/>
    <s v="2025-04-23"/>
    <s v="260210"/>
    <s v="Gouri Sankar Kundu            "/>
    <s v="9064539774"/>
  </r>
  <r>
    <s v="RCF Thal"/>
    <s v="N.C.Urea(45kg)"/>
    <s v="WB"/>
    <x v="17"/>
    <s v="Ranaghat - I"/>
    <s v="User Not Mapped"/>
    <s v="User Not Mapped"/>
    <s v="User Not Mapped"/>
    <n v="1025170"/>
    <s v="MAINUL HAQUE"/>
    <s v="Private Retailer"/>
    <s v="8972990957"/>
    <n v="0.09"/>
    <n v="450"/>
    <x v="0"/>
    <m/>
    <s v="2025-01-25"/>
    <s v="260210"/>
    <s v="Gouri Sankar Kundu            "/>
    <s v="9064539774"/>
  </r>
  <r>
    <s v="RCF Trombay"/>
    <s v="15-15-15"/>
    <s v="WB"/>
    <x v="17"/>
    <s v="Ranaghat - I"/>
    <s v="User Not Mapped"/>
    <s v="User Not Mapped"/>
    <s v="User Not Mapped"/>
    <n v="1025170"/>
    <s v="MAINUL HAQUE"/>
    <s v="Private Retailer"/>
    <s v="8972990957"/>
    <n v="0.1"/>
    <n v="226"/>
    <x v="1"/>
    <m/>
    <s v="2025-09-06"/>
    <s v="260210"/>
    <s v="Gouri Sankar Kundu            "/>
    <s v="9064539774"/>
  </r>
  <r>
    <s v="RCF Trombay"/>
    <s v="N.C.Urea(45kg)"/>
    <s v="WB"/>
    <x v="17"/>
    <s v="Ranaghat - I"/>
    <s v="User Not Mapped"/>
    <s v="User Not Mapped"/>
    <s v="User Not Mapped"/>
    <n v="1025170"/>
    <s v="MAINUL HAQUE"/>
    <s v="Private Retailer"/>
    <s v="8972990957"/>
    <n v="4.4999999999999998E-2"/>
    <n v="616"/>
    <x v="2"/>
    <m/>
    <s v="2024-08-12"/>
    <s v="260210"/>
    <s v="Gouri Sankar Kundu            "/>
    <s v="9064539774"/>
  </r>
  <r>
    <s v="RCF Trombay"/>
    <s v="15-15-15"/>
    <s v="WB"/>
    <x v="17"/>
    <s v="Ranaghat - I"/>
    <s v="User Not Mapped"/>
    <s v="User Not Mapped"/>
    <s v="User Not Mapped"/>
    <n v="1025170"/>
    <s v="MAINUL HAQUE"/>
    <s v="Private Retailer"/>
    <s v="8972990957"/>
    <n v="0.1"/>
    <n v="246"/>
    <x v="1"/>
    <m/>
    <s v="2025-08-17"/>
    <s v="260210"/>
    <s v="Gouri Sankar Kundu            "/>
    <s v="9064539774"/>
  </r>
  <r>
    <s v="RCF Trombay"/>
    <s v="15-15-15"/>
    <s v="WB"/>
    <x v="17"/>
    <s v="Ranaghat - I"/>
    <s v="User Not Mapped"/>
    <s v="User Not Mapped"/>
    <s v="User Not Mapped"/>
    <n v="1025170"/>
    <s v="MAINUL HAQUE"/>
    <s v="Private Retailer"/>
    <s v="8972990957"/>
    <n v="0.25"/>
    <n v="271"/>
    <x v="1"/>
    <m/>
    <s v="2025-07-23"/>
    <s v="260210"/>
    <s v="Gouri Sankar Kundu            "/>
    <s v="9064539774"/>
  </r>
  <r>
    <s v="RCF Trombay"/>
    <s v="15-15-15"/>
    <s v="WB"/>
    <x v="17"/>
    <s v="Ranaghat - I"/>
    <s v="User Not Mapped"/>
    <s v="User Not Mapped"/>
    <s v="User Not Mapped"/>
    <n v="1025142"/>
    <s v="MATRI KRISHI BHANDER"/>
    <s v="Private Retailer"/>
    <s v="9732968272"/>
    <n v="0.1"/>
    <n v="37"/>
    <x v="3"/>
    <m/>
    <s v="2026-03-14"/>
    <s v="260210"/>
    <s v="Gouri Sankar Kundu            "/>
    <s v="9064539774"/>
  </r>
  <r>
    <s v="RCF Trombay"/>
    <s v="15-15-15"/>
    <s v="WB"/>
    <x v="17"/>
    <s v="Ranaghat - I"/>
    <s v="User Not Mapped"/>
    <s v="User Not Mapped"/>
    <s v="User Not Mapped"/>
    <n v="1025142"/>
    <s v="MATRI KRISHI BHANDER"/>
    <s v="Private Retailer"/>
    <s v="9732968272"/>
    <n v="0.35"/>
    <n v="32"/>
    <x v="3"/>
    <m/>
    <s v="2026-03-19"/>
    <s v="260210"/>
    <s v="Gouri Sankar Kundu            "/>
    <s v="9064539774"/>
  </r>
  <r>
    <s v="RCF Import"/>
    <s v="Imp 10-26-26"/>
    <s v="WB"/>
    <x v="17"/>
    <s v="Ranaghat - I"/>
    <s v="User Not Mapped"/>
    <s v="User Not Mapped"/>
    <s v="User Not Mapped"/>
    <n v="1025142"/>
    <s v="MATRI KRISHI BHANDER"/>
    <s v="Private Retailer"/>
    <s v="9732968272"/>
    <n v="0.1"/>
    <n v="23"/>
    <x v="5"/>
    <m/>
    <s v="2026-03-28"/>
    <s v="260210"/>
    <s v="Gouri Sankar Kundu            "/>
    <s v="9064539774"/>
  </r>
  <r>
    <s v="RCF Import"/>
    <s v="MOP"/>
    <s v="WB"/>
    <x v="17"/>
    <s v="Ranaghat - I"/>
    <s v="User Not Mapped"/>
    <s v="User Not Mapped"/>
    <s v="User Not Mapped"/>
    <n v="1025142"/>
    <s v="MATRI KRISHI BHANDER"/>
    <s v="Private Retailer"/>
    <s v="9732968272"/>
    <n v="0.1"/>
    <n v="14"/>
    <x v="5"/>
    <m/>
    <s v="2026-04-06"/>
    <s v="260210"/>
    <s v="Gouri Sankar Kundu            "/>
    <s v="9064539774"/>
  </r>
  <r>
    <s v="RCF Thal"/>
    <s v="N.C.Urea(45kg)"/>
    <s v="WB"/>
    <x v="17"/>
    <s v="Ranaghat - I"/>
    <s v="User Not Mapped"/>
    <s v="User Not Mapped"/>
    <s v="User Not Mapped"/>
    <n v="1025142"/>
    <s v="MATRI KRISHI BHANDER"/>
    <s v="Private Retailer"/>
    <s v="9732968272"/>
    <n v="0.63"/>
    <n v="14"/>
    <x v="5"/>
    <m/>
    <s v="2026-04-06"/>
    <s v="260210"/>
    <s v="Gouri Sankar Kundu            "/>
    <s v="9064539774"/>
  </r>
  <r>
    <s v="RCF Thal"/>
    <s v="N.C.Urea(45kg)"/>
    <s v="WB"/>
    <x v="17"/>
    <s v="Ranaghat - I"/>
    <s v="User Not Mapped"/>
    <s v="User Not Mapped"/>
    <s v="User Not Mapped"/>
    <n v="1025142"/>
    <s v="MATRI KRISHI BHANDER"/>
    <s v="Private Retailer"/>
    <s v="9732968272"/>
    <n v="0.13500000000000001"/>
    <n v="37"/>
    <x v="3"/>
    <m/>
    <s v="2026-03-14"/>
    <s v="260210"/>
    <s v="Gouri Sankar Kundu            "/>
    <s v="9064539774"/>
  </r>
  <r>
    <s v="RCF Thal"/>
    <s v="N.C.Urea(45kg)"/>
    <s v="WB"/>
    <x v="17"/>
    <s v="Ranaghat - I"/>
    <s v="User Not Mapped"/>
    <s v="User Not Mapped"/>
    <s v="User Not Mapped"/>
    <n v="1025142"/>
    <s v="MATRI KRISHI BHANDER"/>
    <s v="Private Retailer"/>
    <s v="9732968272"/>
    <n v="0.72"/>
    <n v="23"/>
    <x v="5"/>
    <m/>
    <s v="2026-03-28"/>
    <s v="260210"/>
    <s v="Gouri Sankar Kundu            "/>
    <s v="9064539774"/>
  </r>
  <r>
    <s v="RCF Trombay"/>
    <s v="N.C.Urea(45kg)"/>
    <s v="WB"/>
    <x v="17"/>
    <m/>
    <s v="User Not Mapped"/>
    <s v="User Not Mapped"/>
    <s v="User Not Mapped"/>
    <n v="289380"/>
    <s v="Md Abdul Matin"/>
    <s v="State Marketing Federation"/>
    <s v="7501569288"/>
    <n v="8.9550000000000001"/>
    <n v="235"/>
    <x v="1"/>
    <m/>
    <s v="2025-08-28"/>
    <s v="260210"/>
    <s v="Gouri Sankar Kundu            "/>
    <s v="9064539774"/>
  </r>
  <r>
    <s v="RCF Thal"/>
    <s v="N.C.Urea(45kg)"/>
    <s v="WB"/>
    <x v="17"/>
    <s v="Chakdah"/>
    <s v="User Not Mapped"/>
    <s v="User Not Mapped"/>
    <s v="User Not Mapped"/>
    <n v="941658"/>
    <s v="MIHIR DAS"/>
    <s v="Private Retailer"/>
    <s v="9734316641"/>
    <n v="0.09"/>
    <n v="23"/>
    <x v="5"/>
    <m/>
    <s v="2026-03-28"/>
    <s v="260210"/>
    <s v="Gouri Sankar Kundu            "/>
    <s v="9064539774"/>
  </r>
  <r>
    <s v="RCF Import"/>
    <s v="MOP"/>
    <s v="WB"/>
    <x v="17"/>
    <s v="Chakdah"/>
    <s v="User Not Mapped"/>
    <s v="User Not Mapped"/>
    <s v="User Not Mapped"/>
    <n v="941658"/>
    <s v="MIHIR DAS"/>
    <s v="Private Retailer"/>
    <s v="9734316641"/>
    <n v="0.4"/>
    <n v="32"/>
    <x v="3"/>
    <m/>
    <s v="2026-03-19"/>
    <s v="260210"/>
    <s v="Gouri Sankar Kundu            "/>
    <s v="9064539774"/>
  </r>
  <r>
    <s v="RCF Trombay"/>
    <s v="15-15-15"/>
    <s v="WB"/>
    <x v="17"/>
    <s v="Chakdah"/>
    <s v="User Not Mapped"/>
    <s v="User Not Mapped"/>
    <s v="User Not Mapped"/>
    <n v="941658"/>
    <s v="MIHIR DAS"/>
    <s v="Private Retailer"/>
    <s v="9734316641"/>
    <n v="0.1"/>
    <n v="39"/>
    <x v="3"/>
    <m/>
    <s v="2026-03-12"/>
    <s v="260210"/>
    <s v="Gouri Sankar Kundu            "/>
    <s v="9064539774"/>
  </r>
  <r>
    <s v="RCF Import"/>
    <s v="MOP"/>
    <s v="WB"/>
    <x v="17"/>
    <s v="Chakdah"/>
    <s v="User Not Mapped"/>
    <s v="User Not Mapped"/>
    <s v="User Not Mapped"/>
    <n v="941658"/>
    <s v="MIHIR DAS"/>
    <s v="Private Retailer"/>
    <s v="9734316641"/>
    <n v="0.6"/>
    <n v="37"/>
    <x v="3"/>
    <m/>
    <s v="2026-03-14"/>
    <s v="260210"/>
    <s v="Gouri Sankar Kundu            "/>
    <s v="9064539774"/>
  </r>
  <r>
    <s v="RCF Trombay"/>
    <s v="15-15-15"/>
    <s v="WB"/>
    <x v="17"/>
    <s v="Chakdah"/>
    <s v="User Not Mapped"/>
    <s v="User Not Mapped"/>
    <s v="User Not Mapped"/>
    <n v="941658"/>
    <s v="MIHIR DAS"/>
    <s v="Private Retailer"/>
    <s v="9734316641"/>
    <n v="0.45"/>
    <n v="45"/>
    <x v="3"/>
    <m/>
    <s v="2026-03-06"/>
    <s v="260210"/>
    <s v="Gouri Sankar Kundu            "/>
    <s v="9064539774"/>
  </r>
  <r>
    <s v="RCF Trombay"/>
    <s v="15-15-15"/>
    <s v="WB"/>
    <x v="17"/>
    <s v="Chakdah"/>
    <s v="User Not Mapped"/>
    <s v="User Not Mapped"/>
    <s v="User Not Mapped"/>
    <n v="941658"/>
    <s v="MIHIR DAS"/>
    <s v="Private Retailer"/>
    <s v="9734316641"/>
    <n v="0.2"/>
    <n v="49"/>
    <x v="3"/>
    <m/>
    <s v="2026-03-02"/>
    <s v="260210"/>
    <s v="Gouri Sankar Kundu            "/>
    <s v="9064539774"/>
  </r>
  <r>
    <s v="RCF Trombay"/>
    <s v="15-15-15"/>
    <s v="WB"/>
    <x v="17"/>
    <s v="Chakdah"/>
    <s v="User Not Mapped"/>
    <s v="User Not Mapped"/>
    <s v="User Not Mapped"/>
    <n v="941658"/>
    <s v="MIHIR DAS"/>
    <s v="Private Retailer"/>
    <s v="9734316641"/>
    <n v="0.2"/>
    <n v="54"/>
    <x v="3"/>
    <m/>
    <s v="2026-02-25"/>
    <s v="260210"/>
    <s v="Gouri Sankar Kundu            "/>
    <s v="9064539774"/>
  </r>
  <r>
    <s v="RCF Import"/>
    <s v="MOP"/>
    <s v="WB"/>
    <x v="17"/>
    <s v="Chakdah"/>
    <s v="User Not Mapped"/>
    <s v="User Not Mapped"/>
    <s v="User Not Mapped"/>
    <n v="941658"/>
    <s v="MIHIR DAS"/>
    <s v="Private Retailer"/>
    <s v="9734316641"/>
    <n v="0.25"/>
    <n v="23"/>
    <x v="5"/>
    <m/>
    <s v="2026-03-28"/>
    <s v="260210"/>
    <s v="Gouri Sankar Kundu            "/>
    <s v="9064539774"/>
  </r>
  <r>
    <s v="RCF Thal"/>
    <s v="N.C.Urea(45kg)"/>
    <s v="WB"/>
    <x v="17"/>
    <s v="Chakdah"/>
    <s v="User Not Mapped"/>
    <s v="User Not Mapped"/>
    <s v="User Not Mapped"/>
    <n v="941658"/>
    <s v="MIHIR DAS"/>
    <s v="Private Retailer"/>
    <s v="9734316641"/>
    <n v="0.13500000000000001"/>
    <n v="9"/>
    <x v="5"/>
    <m/>
    <s v="2026-04-11"/>
    <s v="260210"/>
    <s v="Gouri Sankar Kundu            "/>
    <s v="9064539774"/>
  </r>
  <r>
    <s v="RCF Import"/>
    <s v="MOP"/>
    <s v="WB"/>
    <x v="17"/>
    <s v="Chakdah"/>
    <s v="User Not Mapped"/>
    <s v="User Not Mapped"/>
    <s v="User Not Mapped"/>
    <n v="941658"/>
    <s v="MIHIR DAS"/>
    <s v="Private Retailer"/>
    <s v="9734316641"/>
    <n v="0.3"/>
    <n v="39"/>
    <x v="3"/>
    <m/>
    <s v="2026-03-12"/>
    <s v="260210"/>
    <s v="Gouri Sankar Kundu            "/>
    <s v="9064539774"/>
  </r>
  <r>
    <s v="RCF Import"/>
    <s v="MOP"/>
    <s v="WB"/>
    <x v="17"/>
    <s v="Chakdah"/>
    <s v="User Not Mapped"/>
    <s v="User Not Mapped"/>
    <s v="User Not Mapped"/>
    <n v="941658"/>
    <s v="MIHIR DAS"/>
    <s v="Private Retailer"/>
    <s v="9734316641"/>
    <n v="0.15"/>
    <n v="30"/>
    <x v="5"/>
    <m/>
    <s v="2026-03-21"/>
    <s v="260210"/>
    <s v="Gouri Sankar Kundu            "/>
    <s v="9064539774"/>
  </r>
  <r>
    <s v="RCF Trombay"/>
    <s v="15-15-15"/>
    <s v="WB"/>
    <x v="17"/>
    <s v="Chakdah"/>
    <s v="User Not Mapped"/>
    <s v="User Not Mapped"/>
    <s v="User Not Mapped"/>
    <n v="941658"/>
    <s v="MIHIR DAS"/>
    <s v="Private Retailer"/>
    <s v="9734316641"/>
    <n v="0.05"/>
    <n v="53"/>
    <x v="3"/>
    <m/>
    <s v="2026-02-26"/>
    <s v="260210"/>
    <s v="Gouri Sankar Kundu            "/>
    <s v="9064539774"/>
  </r>
  <r>
    <s v="RCF Import"/>
    <s v="Imp 10-26-26"/>
    <s v="WB"/>
    <x v="17"/>
    <s v="Chakdah"/>
    <s v="User Not Mapped"/>
    <s v="User Not Mapped"/>
    <s v="User Not Mapped"/>
    <n v="941658"/>
    <s v="MIHIR DAS"/>
    <s v="Private Retailer"/>
    <s v="9734316641"/>
    <n v="0.05"/>
    <n v="9"/>
    <x v="5"/>
    <m/>
    <s v="2026-04-11"/>
    <s v="260210"/>
    <s v="Gouri Sankar Kundu            "/>
    <s v="9064539774"/>
  </r>
  <r>
    <s v="RCF Trombay"/>
    <s v="15-15-15"/>
    <s v="WB"/>
    <x v="17"/>
    <s v="Chakdah"/>
    <s v="User Not Mapped"/>
    <s v="User Not Mapped"/>
    <s v="User Not Mapped"/>
    <n v="941658"/>
    <s v="MIHIR DAS"/>
    <s v="Private Retailer"/>
    <s v="9734316641"/>
    <n v="0.1"/>
    <n v="23"/>
    <x v="5"/>
    <m/>
    <s v="2026-03-28"/>
    <s v="260210"/>
    <s v="Gouri Sankar Kundu            "/>
    <s v="9064539774"/>
  </r>
  <r>
    <s v="RCF Trombay"/>
    <s v="15-15-15"/>
    <s v="WB"/>
    <x v="17"/>
    <s v="Chakdah"/>
    <s v="User Not Mapped"/>
    <s v="User Not Mapped"/>
    <s v="User Not Mapped"/>
    <n v="941658"/>
    <s v="MIHIR DAS"/>
    <s v="Private Retailer"/>
    <s v="9734316641"/>
    <n v="0.1"/>
    <n v="30"/>
    <x v="5"/>
    <m/>
    <s v="2026-03-21"/>
    <s v="260210"/>
    <s v="Gouri Sankar Kundu            "/>
    <s v="9064539774"/>
  </r>
  <r>
    <s v="RCF Trombay"/>
    <s v="15-15-15"/>
    <s v="WB"/>
    <x v="17"/>
    <s v="Chakdah"/>
    <s v="User Not Mapped"/>
    <s v="User Not Mapped"/>
    <s v="User Not Mapped"/>
    <n v="941658"/>
    <s v="MIHIR DAS"/>
    <s v="Private Retailer"/>
    <s v="9734316641"/>
    <n v="0.2"/>
    <n v="32"/>
    <x v="3"/>
    <m/>
    <s v="2026-03-19"/>
    <s v="260210"/>
    <s v="Gouri Sankar Kundu            "/>
    <s v="9064539774"/>
  </r>
  <r>
    <s v="RCF Trombay"/>
    <s v="15-15-15"/>
    <s v="WB"/>
    <x v="17"/>
    <s v="Chakdah"/>
    <s v="User Not Mapped"/>
    <s v="User Not Mapped"/>
    <s v="User Not Mapped"/>
    <n v="941658"/>
    <s v="MIHIR DAS"/>
    <s v="Private Retailer"/>
    <s v="9734316641"/>
    <n v="0.2"/>
    <n v="37"/>
    <x v="3"/>
    <m/>
    <s v="2026-03-14"/>
    <s v="260210"/>
    <s v="Gouri Sankar Kundu            "/>
    <s v="9064539774"/>
  </r>
  <r>
    <s v="RCF Trombay"/>
    <s v="15-15-15"/>
    <s v="WB"/>
    <x v="17"/>
    <s v="Chakdah"/>
    <s v="User Not Mapped"/>
    <s v="User Not Mapped"/>
    <s v="User Not Mapped"/>
    <n v="941658"/>
    <s v="MIHIR DAS"/>
    <s v="Private Retailer"/>
    <s v="9734316641"/>
    <n v="0.05"/>
    <n v="41"/>
    <x v="3"/>
    <m/>
    <s v="2026-03-10"/>
    <s v="260210"/>
    <s v="Gouri Sankar Kundu            "/>
    <s v="9064539774"/>
  </r>
  <r>
    <s v="RCF Trombay"/>
    <s v="15-15-15"/>
    <s v="WB"/>
    <x v="17"/>
    <s v="Krishnagar - I"/>
    <s v="User Not Mapped"/>
    <s v="User Not Mapped"/>
    <s v="User Not Mapped"/>
    <n v="387339"/>
    <s v="Monotosh Kr Sen"/>
    <s v="Private Retailer"/>
    <s v="9434206245"/>
    <n v="0.02"/>
    <n v="51"/>
    <x v="3"/>
    <m/>
    <s v="2026-02-28"/>
    <s v="260210"/>
    <s v="Gouri Sankar Kundu            "/>
    <s v="9064539774"/>
  </r>
  <r>
    <s v="RCF Trombay"/>
    <s v="N.C.Urea(45kg)"/>
    <s v="WB"/>
    <x v="17"/>
    <s v="Chapra"/>
    <s v="User Not Mapped"/>
    <s v="User Not Mapped"/>
    <s v="User Not Mapped"/>
    <n v="441477"/>
    <s v="MS KABIRUL FERTILIZERS"/>
    <s v="Private Retailer"/>
    <s v="9800892511"/>
    <n v="2.7"/>
    <n v="83"/>
    <x v="6"/>
    <m/>
    <s v="2026-01-27"/>
    <s v="260210"/>
    <s v="Gouri Sankar Kundu            "/>
    <s v="9064539774"/>
  </r>
  <r>
    <s v="RCF Trombay"/>
    <s v="15-15-15"/>
    <s v="WB"/>
    <x v="17"/>
    <s v="Chakdah"/>
    <s v="User Not Mapped"/>
    <s v="User Not Mapped"/>
    <s v="User Not Mapped"/>
    <n v="1274577"/>
    <s v="MS RABIUL MONDAL"/>
    <s v="Private Retailer"/>
    <s v="9064793495"/>
    <n v="0.25"/>
    <n v="32"/>
    <x v="3"/>
    <m/>
    <s v="2026-03-19"/>
    <s v="260210"/>
    <s v="Gouri Sankar Kundu            "/>
    <s v="9064539774"/>
  </r>
  <r>
    <s v="RCF Trombay"/>
    <s v="15-15-15"/>
    <s v="WB"/>
    <x v="17"/>
    <s v="Chakdah"/>
    <s v="User Not Mapped"/>
    <s v="User Not Mapped"/>
    <s v="User Not Mapped"/>
    <n v="1541139"/>
    <s v="MS REHAN FERTILIZER AN PESTICI"/>
    <s v="Private Retailer"/>
    <s v="7076117902"/>
    <n v="0.25"/>
    <n v="57"/>
    <x v="3"/>
    <m/>
    <s v="2026-02-22"/>
    <s v="260210"/>
    <s v="Gouri Sankar Kundu            "/>
    <s v="9064539774"/>
  </r>
  <r>
    <s v="RCF Import"/>
    <s v="MOP"/>
    <s v="WB"/>
    <x v="17"/>
    <s v="Chakdah"/>
    <s v="User Not Mapped"/>
    <s v="User Not Mapped"/>
    <s v="User Not Mapped"/>
    <n v="1541139"/>
    <s v="MS REHAN FERTILIZER AN PESTICI"/>
    <s v="Private Retailer"/>
    <s v="7076117902"/>
    <n v="0.1"/>
    <n v="57"/>
    <x v="3"/>
    <m/>
    <s v="2026-02-22"/>
    <s v="260210"/>
    <s v="Gouri Sankar Kundu            "/>
    <s v="9064539774"/>
  </r>
  <r>
    <s v="RCF Trombay"/>
    <s v="N.C.Urea(45kg)"/>
    <s v="WB"/>
    <x v="17"/>
    <s v="Chakdah"/>
    <s v="User Not Mapped"/>
    <s v="User Not Mapped"/>
    <s v="User Not Mapped"/>
    <n v="1541139"/>
    <s v="MS REHAN FERTILIZER AN PESTICI"/>
    <s v="Private Retailer"/>
    <s v="7076117902"/>
    <n v="0.45"/>
    <n v="57"/>
    <x v="3"/>
    <m/>
    <s v="2026-02-22"/>
    <s v="260210"/>
    <s v="Gouri Sankar Kundu            "/>
    <s v="9064539774"/>
  </r>
  <r>
    <s v="RCF Import"/>
    <s v="Imp 10-26-26"/>
    <s v="WB"/>
    <x v="17"/>
    <s v="Chakdah"/>
    <s v="User Not Mapped"/>
    <s v="User Not Mapped"/>
    <s v="User Not Mapped"/>
    <n v="1541139"/>
    <s v="MS REHAN FERTILIZER AN PESTICI"/>
    <s v="Private Retailer"/>
    <s v="7076117902"/>
    <n v="0.15"/>
    <n v="177"/>
    <x v="4"/>
    <m/>
    <s v="2025-10-25"/>
    <s v="260210"/>
    <s v="Gouri Sankar Kundu            "/>
    <s v="9064539774"/>
  </r>
  <r>
    <s v="RCF Trombay"/>
    <s v="15-15-15"/>
    <s v="WB"/>
    <x v="17"/>
    <s v="Chakdah"/>
    <s v="User Not Mapped"/>
    <s v="User Not Mapped"/>
    <s v="User Not Mapped"/>
    <n v="355770"/>
    <s v="Najibuddin Mondal"/>
    <s v="Private Retailer"/>
    <s v="9836729512"/>
    <n v="0.15"/>
    <n v="135"/>
    <x v="4"/>
    <m/>
    <s v="2025-12-06"/>
    <s v="260210"/>
    <s v="Gouri Sankar Kundu            "/>
    <s v="9064539774"/>
  </r>
  <r>
    <s v="RCF Trombay"/>
    <s v="15-15-15"/>
    <s v="WB"/>
    <x v="17"/>
    <s v="Chakdah"/>
    <s v="User Not Mapped"/>
    <s v="User Not Mapped"/>
    <s v="User Not Mapped"/>
    <n v="355770"/>
    <s v="Najibuddin Mondal"/>
    <s v="Private Retailer"/>
    <s v="9836729512"/>
    <n v="1"/>
    <n v="74"/>
    <x v="6"/>
    <m/>
    <s v="2026-02-05"/>
    <s v="260210"/>
    <s v="Gouri Sankar Kundu            "/>
    <s v="9064539774"/>
  </r>
  <r>
    <s v="RCF Thal"/>
    <s v="N.C.Urea(45kg)"/>
    <s v="WB"/>
    <x v="17"/>
    <s v="Chakdah"/>
    <s v="User Not Mapped"/>
    <s v="User Not Mapped"/>
    <s v="User Not Mapped"/>
    <n v="355770"/>
    <s v="Najibuddin Mondal"/>
    <s v="Private Retailer"/>
    <s v="9836729512"/>
    <n v="0.81"/>
    <n v="14"/>
    <x v="5"/>
    <m/>
    <s v="2026-04-06"/>
    <s v="260210"/>
    <s v="Gouri Sankar Kundu            "/>
    <s v="9064539774"/>
  </r>
  <r>
    <s v="RCF Thal"/>
    <s v="N.C.Urea(45kg)"/>
    <s v="WB"/>
    <x v="17"/>
    <s v="Hanskhali"/>
    <s v="User Not Mapped"/>
    <s v="User Not Mapped"/>
    <s v="User Not Mapped"/>
    <n v="342042"/>
    <s v="Narayan Ch. Biswas"/>
    <s v="Private Retailer"/>
    <s v="9732971230"/>
    <n v="9.6750000000000007"/>
    <n v="14"/>
    <x v="5"/>
    <m/>
    <s v="2026-04-06"/>
    <s v="260210"/>
    <s v="Gouri Sankar Kundu            "/>
    <s v="9064539774"/>
  </r>
  <r>
    <s v="RCF Trombay"/>
    <s v="15-15-15"/>
    <s v="WB"/>
    <x v="17"/>
    <m/>
    <s v="User Not Mapped"/>
    <s v="User Not Mapped"/>
    <s v="User Not Mapped"/>
    <n v="342080"/>
    <s v="Nikhil Chandra Dutta"/>
    <s v="Private Retailer"/>
    <s v="9775592888"/>
    <n v="0.25"/>
    <n v="54"/>
    <x v="3"/>
    <m/>
    <s v="2026-02-25"/>
    <s v="260210"/>
    <s v="Gouri Sankar Kundu            "/>
    <s v="9064539774"/>
  </r>
  <r>
    <s v="RCF Trombay"/>
    <s v="15-15-15"/>
    <s v="WB"/>
    <x v="17"/>
    <m/>
    <s v="User Not Mapped"/>
    <s v="User Not Mapped"/>
    <s v="User Not Mapped"/>
    <n v="342080"/>
    <s v="Nikhil Chandra Dutta"/>
    <s v="Private Retailer"/>
    <s v="9775592888"/>
    <n v="0.1"/>
    <n v="77"/>
    <x v="6"/>
    <m/>
    <s v="2026-02-02"/>
    <s v="260210"/>
    <s v="Gouri Sankar Kundu            "/>
    <s v="9064539774"/>
  </r>
  <r>
    <s v="RCF Trombay"/>
    <s v="15-15-15"/>
    <s v="WB"/>
    <x v="17"/>
    <m/>
    <s v="User Not Mapped"/>
    <s v="User Not Mapped"/>
    <s v="User Not Mapped"/>
    <n v="342080"/>
    <s v="Nikhil Chandra Dutta"/>
    <s v="Private Retailer"/>
    <s v="9775592888"/>
    <n v="0.5"/>
    <n v="85"/>
    <x v="6"/>
    <m/>
    <s v="2026-01-25"/>
    <s v="260210"/>
    <s v="Gouri Sankar Kundu            "/>
    <s v="9064539774"/>
  </r>
  <r>
    <s v="RCF Trombay"/>
    <s v="15-15-15"/>
    <s v="WB"/>
    <x v="17"/>
    <m/>
    <s v="User Not Mapped"/>
    <s v="User Not Mapped"/>
    <s v="User Not Mapped"/>
    <n v="342080"/>
    <s v="Nikhil Chandra Dutta"/>
    <s v="Private Retailer"/>
    <s v="9775592888"/>
    <n v="0.2"/>
    <n v="135"/>
    <x v="4"/>
    <m/>
    <s v="2025-12-06"/>
    <s v="260210"/>
    <s v="Gouri Sankar Kundu            "/>
    <s v="9064539774"/>
  </r>
  <r>
    <s v="RCF Import"/>
    <s v="Imp 10-26-26"/>
    <s v="WB"/>
    <x v="17"/>
    <m/>
    <s v="User Not Mapped"/>
    <s v="User Not Mapped"/>
    <s v="User Not Mapped"/>
    <n v="342080"/>
    <s v="Nikhil Chandra Dutta"/>
    <s v="Private Retailer"/>
    <s v="9775592888"/>
    <n v="0.15"/>
    <n v="49"/>
    <x v="3"/>
    <m/>
    <s v="2026-03-02"/>
    <s v="260210"/>
    <s v="Gouri Sankar Kundu            "/>
    <s v="9064539774"/>
  </r>
  <r>
    <s v="RCF Import"/>
    <s v="MOP"/>
    <s v="WB"/>
    <x v="17"/>
    <m/>
    <s v="User Not Mapped"/>
    <s v="User Not Mapped"/>
    <s v="User Not Mapped"/>
    <n v="342080"/>
    <s v="Nikhil Chandra Dutta"/>
    <s v="Private Retailer"/>
    <s v="9775592888"/>
    <n v="0.25"/>
    <n v="57"/>
    <x v="3"/>
    <m/>
    <s v="2026-02-22"/>
    <s v="260210"/>
    <s v="Gouri Sankar Kundu            "/>
    <s v="9064539774"/>
  </r>
  <r>
    <s v="RCF Import"/>
    <s v="MOP"/>
    <s v="WB"/>
    <x v="17"/>
    <m/>
    <s v="User Not Mapped"/>
    <s v="User Not Mapped"/>
    <s v="User Not Mapped"/>
    <n v="342080"/>
    <s v="Nikhil Chandra Dutta"/>
    <s v="Private Retailer"/>
    <s v="9775592888"/>
    <n v="0.4"/>
    <n v="54"/>
    <x v="3"/>
    <m/>
    <s v="2026-02-25"/>
    <s v="260210"/>
    <s v="Gouri Sankar Kundu            "/>
    <s v="9064539774"/>
  </r>
  <r>
    <s v="RCF Import"/>
    <s v="MOP"/>
    <s v="WB"/>
    <x v="17"/>
    <m/>
    <s v="User Not Mapped"/>
    <s v="User Not Mapped"/>
    <s v="User Not Mapped"/>
    <n v="342080"/>
    <s v="Nikhil Chandra Dutta"/>
    <s v="Private Retailer"/>
    <s v="9775592888"/>
    <n v="0.1"/>
    <n v="49"/>
    <x v="3"/>
    <m/>
    <s v="2026-03-02"/>
    <s v="260210"/>
    <s v="Gouri Sankar Kundu            "/>
    <s v="9064539774"/>
  </r>
  <r>
    <s v="RCF Trombay"/>
    <s v="N.C.Urea(45kg)"/>
    <s v="WB"/>
    <x v="17"/>
    <m/>
    <s v="User Not Mapped"/>
    <s v="User Not Mapped"/>
    <s v="User Not Mapped"/>
    <n v="342080"/>
    <s v="Nikhil Chandra Dutta"/>
    <s v="Private Retailer"/>
    <s v="9775592888"/>
    <n v="0.67500000000000004"/>
    <n v="57"/>
    <x v="3"/>
    <m/>
    <s v="2026-02-22"/>
    <s v="260210"/>
    <s v="Gouri Sankar Kundu            "/>
    <s v="9064539774"/>
  </r>
  <r>
    <s v="RCF Thal"/>
    <s v="N.C.Urea(45kg)"/>
    <s v="WB"/>
    <x v="17"/>
    <m/>
    <s v="User Not Mapped"/>
    <s v="User Not Mapped"/>
    <s v="User Not Mapped"/>
    <n v="342080"/>
    <s v="Nikhil Chandra Dutta"/>
    <s v="Private Retailer"/>
    <s v="9775592888"/>
    <n v="0.45"/>
    <n v="37"/>
    <x v="3"/>
    <m/>
    <s v="2026-03-14"/>
    <s v="260210"/>
    <s v="Gouri Sankar Kundu            "/>
    <s v="9064539774"/>
  </r>
  <r>
    <s v="RCF Import"/>
    <s v="Imp 10-26-26"/>
    <s v="WB"/>
    <x v="17"/>
    <m/>
    <s v="User Not Mapped"/>
    <s v="User Not Mapped"/>
    <s v="User Not Mapped"/>
    <n v="342080"/>
    <s v="Nikhil Chandra Dutta"/>
    <s v="Private Retailer"/>
    <s v="9775592888"/>
    <n v="0.25"/>
    <n v="223"/>
    <x v="1"/>
    <m/>
    <s v="2025-09-09"/>
    <s v="260210"/>
    <s v="Gouri Sankar Kundu            "/>
    <s v="9064539774"/>
  </r>
  <r>
    <s v="RCF Import"/>
    <s v="MOP"/>
    <s v="WB"/>
    <x v="17"/>
    <m/>
    <s v="User Not Mapped"/>
    <s v="User Not Mapped"/>
    <s v="User Not Mapped"/>
    <n v="342080"/>
    <s v="Nikhil Chandra Dutta"/>
    <s v="Private Retailer"/>
    <s v="9775592888"/>
    <n v="0.5"/>
    <n v="23"/>
    <x v="5"/>
    <m/>
    <s v="2026-03-28"/>
    <s v="260210"/>
    <s v="Gouri Sankar Kundu            "/>
    <s v="9064539774"/>
  </r>
  <r>
    <s v="RCF Thal"/>
    <s v="N.C.Urea(45kg)"/>
    <s v="WB"/>
    <x v="17"/>
    <m/>
    <s v="User Not Mapped"/>
    <s v="User Not Mapped"/>
    <s v="User Not Mapped"/>
    <n v="342080"/>
    <s v="Nikhil Chandra Dutta"/>
    <s v="Private Retailer"/>
    <s v="9775592888"/>
    <n v="0.9"/>
    <n v="23"/>
    <x v="5"/>
    <m/>
    <s v="2026-03-28"/>
    <s v="260210"/>
    <s v="Gouri Sankar Kundu            "/>
    <s v="9064539774"/>
  </r>
  <r>
    <s v="RCF Trombay"/>
    <s v="15-15-15"/>
    <s v="WB"/>
    <x v="17"/>
    <m/>
    <s v="User Not Mapped"/>
    <s v="User Not Mapped"/>
    <s v="User Not Mapped"/>
    <n v="342080"/>
    <s v="Nikhil Chandra Dutta"/>
    <s v="Private Retailer"/>
    <s v="9775592888"/>
    <n v="0.25"/>
    <n v="61"/>
    <x v="6"/>
    <m/>
    <s v="2026-02-18"/>
    <s v="260210"/>
    <s v="Gouri Sankar Kundu            "/>
    <s v="9064539774"/>
  </r>
  <r>
    <s v="RCF Trombay"/>
    <s v="15-15-15"/>
    <s v="WB"/>
    <x v="17"/>
    <m/>
    <s v="User Not Mapped"/>
    <s v="User Not Mapped"/>
    <s v="User Not Mapped"/>
    <n v="342109"/>
    <s v="Nirmal Kumar Biswas"/>
    <s v="Private Retailer"/>
    <s v="7872757057"/>
    <n v="0.15"/>
    <n v="308"/>
    <x v="1"/>
    <m/>
    <s v="2025-06-16"/>
    <s v="260210"/>
    <s v="Gouri Sankar Kundu            "/>
    <s v="9064539774"/>
  </r>
  <r>
    <s v="RCF Trombay"/>
    <s v="N.C.Urea(45kg)"/>
    <s v="WB"/>
    <x v="17"/>
    <m/>
    <s v="User Not Mapped"/>
    <s v="User Not Mapped"/>
    <s v="User Not Mapped"/>
    <n v="839560"/>
    <s v="NIRMAL KUMAR PAUL"/>
    <s v="Private Retailer"/>
    <s v="9647355727"/>
    <n v="0.22500000000000001"/>
    <n v="1818"/>
    <x v="2"/>
    <m/>
    <s v="2021-04-28"/>
    <s v="260210"/>
    <s v="Gouri Sankar Kundu            "/>
    <s v="9064539774"/>
  </r>
  <r>
    <s v="RCF Thal"/>
    <s v="N.C.Urea(45kg)"/>
    <s v="WB"/>
    <x v="17"/>
    <s v="Santipur"/>
    <s v="User Not Mapped"/>
    <s v="User Not Mapped"/>
    <s v="User Not Mapped"/>
    <n v="1025128"/>
    <s v="NIRMAL KUNDU"/>
    <s v="Private Retailer"/>
    <s v="8926337089"/>
    <n v="2.34"/>
    <n v="14"/>
    <x v="5"/>
    <m/>
    <s v="2026-04-06"/>
    <s v="260210"/>
    <s v="Gouri Sankar Kundu            "/>
    <s v="9064539774"/>
  </r>
  <r>
    <s v="RCF Import"/>
    <s v="Imp 10-26-26"/>
    <s v="WB"/>
    <x v="17"/>
    <s v="Santipur"/>
    <s v="User Not Mapped"/>
    <s v="User Not Mapped"/>
    <s v="User Not Mapped"/>
    <n v="1025128"/>
    <s v="NIRMAL KUNDU"/>
    <s v="Private Retailer"/>
    <s v="8926337089"/>
    <n v="0.05"/>
    <n v="160"/>
    <x v="4"/>
    <m/>
    <s v="2025-11-11"/>
    <s v="260210"/>
    <s v="Gouri Sankar Kundu            "/>
    <s v="9064539774"/>
  </r>
  <r>
    <s v="RCF Trombay"/>
    <s v="15-15-15"/>
    <s v="WB"/>
    <x v="17"/>
    <s v="Santipur"/>
    <s v="User Not Mapped"/>
    <s v="User Not Mapped"/>
    <s v="User Not Mapped"/>
    <n v="1025128"/>
    <s v="NIRMAL KUNDU"/>
    <s v="Private Retailer"/>
    <s v="8926337089"/>
    <n v="0.25"/>
    <n v="160"/>
    <x v="4"/>
    <m/>
    <s v="2025-11-11"/>
    <s v="260210"/>
    <s v="Gouri Sankar Kundu            "/>
    <s v="9064539774"/>
  </r>
  <r>
    <s v="RCF Trombay"/>
    <s v="15-15-15"/>
    <s v="WB"/>
    <x v="17"/>
    <s v="Santipur"/>
    <s v="User Not Mapped"/>
    <s v="User Not Mapped"/>
    <s v="User Not Mapped"/>
    <n v="1025128"/>
    <s v="NIRMAL KUNDU"/>
    <s v="Private Retailer"/>
    <s v="8926337089"/>
    <n v="0.1"/>
    <n v="278"/>
    <x v="1"/>
    <m/>
    <s v="2025-07-16"/>
    <s v="260210"/>
    <s v="Gouri Sankar Kundu            "/>
    <s v="9064539774"/>
  </r>
  <r>
    <s v="RCF Import"/>
    <s v="MOP"/>
    <s v="WB"/>
    <x v="17"/>
    <m/>
    <s v="User Not Mapped"/>
    <s v="User Not Mapped"/>
    <s v="User Not Mapped"/>
    <n v="342153"/>
    <s v="Paresh Ch. Tarafder"/>
    <s v="Private Retailer"/>
    <s v="7431855016"/>
    <n v="0.75"/>
    <n v="418"/>
    <x v="0"/>
    <m/>
    <s v="2025-02-26"/>
    <s v="260210"/>
    <s v="Gouri Sankar Kundu            "/>
    <s v="9064539774"/>
  </r>
  <r>
    <s v="RCF Trombay"/>
    <s v="N.C.Urea(45kg)"/>
    <s v="WB"/>
    <x v="17"/>
    <s v="Chakdah"/>
    <s v="User Not Mapped"/>
    <s v="User Not Mapped"/>
    <s v="User Not Mapped"/>
    <n v="593294"/>
    <s v="PARITOSH BISWAS"/>
    <s v="Private Retailer"/>
    <s v="8348243306"/>
    <n v="0.45"/>
    <n v="85"/>
    <x v="6"/>
    <m/>
    <s v="2026-01-25"/>
    <s v="260210"/>
    <s v="Gouri Sankar Kundu            "/>
    <s v="9064539774"/>
  </r>
  <r>
    <s v="RCF Trombay"/>
    <s v="15-15-15"/>
    <s v="WB"/>
    <x v="17"/>
    <s v="Chakdah"/>
    <s v="User Not Mapped"/>
    <s v="User Not Mapped"/>
    <s v="User Not Mapped"/>
    <n v="593294"/>
    <s v="PARITOSH BISWAS"/>
    <s v="Private Retailer"/>
    <s v="8348243306"/>
    <n v="0.4"/>
    <n v="85"/>
    <x v="6"/>
    <m/>
    <s v="2026-01-25"/>
    <s v="260210"/>
    <s v="Gouri Sankar Kundu            "/>
    <s v="9064539774"/>
  </r>
  <r>
    <s v="RCF Thal"/>
    <s v="N.C.Urea(45kg)"/>
    <s v="WB"/>
    <x v="17"/>
    <s v="Chakdah"/>
    <s v="User Not Mapped"/>
    <s v="User Not Mapped"/>
    <s v="User Not Mapped"/>
    <n v="593294"/>
    <s v="PARITOSH BISWAS"/>
    <s v="Private Retailer"/>
    <s v="8348243306"/>
    <n v="0.315"/>
    <n v="12"/>
    <x v="5"/>
    <m/>
    <s v="2026-04-08"/>
    <s v="260210"/>
    <s v="Gouri Sankar Kundu            "/>
    <s v="9064539774"/>
  </r>
  <r>
    <s v="RCF Thal"/>
    <s v="N.C.Urea(45kg)"/>
    <s v="WB"/>
    <x v="17"/>
    <s v="Chakdah"/>
    <s v="User Not Mapped"/>
    <s v="User Not Mapped"/>
    <s v="User Not Mapped"/>
    <n v="593294"/>
    <s v="PARITOSH BISWAS"/>
    <s v="Private Retailer"/>
    <s v="8348243306"/>
    <n v="0.45"/>
    <n v="37"/>
    <x v="3"/>
    <m/>
    <s v="2026-03-14"/>
    <s v="260210"/>
    <s v="Gouri Sankar Kundu            "/>
    <s v="9064539774"/>
  </r>
  <r>
    <s v="RCF Trombay"/>
    <s v="N.C.Urea(45kg)"/>
    <s v="WB"/>
    <x v="17"/>
    <s v="Chakdah"/>
    <s v="User Not Mapped"/>
    <s v="User Not Mapped"/>
    <s v="User Not Mapped"/>
    <n v="593294"/>
    <s v="PARITOSH BISWAS"/>
    <s v="Private Retailer"/>
    <s v="8348243306"/>
    <n v="0.36"/>
    <n v="344"/>
    <x v="1"/>
    <m/>
    <s v="2025-05-11"/>
    <s v="260210"/>
    <s v="Gouri Sankar Kundu            "/>
    <s v="9064539774"/>
  </r>
  <r>
    <s v="RCF Trombay"/>
    <s v="15-15-15"/>
    <s v="WB"/>
    <x v="17"/>
    <m/>
    <s v="User Not Mapped"/>
    <s v="User Not Mapped"/>
    <s v="User Not Mapped"/>
    <n v="342600"/>
    <s v="Pasupati Ghosh"/>
    <s v="Private Retailer"/>
    <s v="9647218490"/>
    <n v="1.85"/>
    <n v="319"/>
    <x v="1"/>
    <m/>
    <s v="2025-06-05"/>
    <s v="260210"/>
    <s v="Gouri Sankar Kundu            "/>
    <s v="9064539774"/>
  </r>
  <r>
    <s v="RCF Trombay"/>
    <s v="15-15-15"/>
    <s v="WB"/>
    <x v="17"/>
    <m/>
    <s v="User Not Mapped"/>
    <s v="User Not Mapped"/>
    <s v="User Not Mapped"/>
    <n v="342666"/>
    <s v="Pradip Kumar Mitra"/>
    <s v="Private Retailer"/>
    <s v="9733825665"/>
    <n v="0.45"/>
    <n v="1208"/>
    <x v="2"/>
    <m/>
    <s v="2022-12-29"/>
    <s v="260210"/>
    <s v="Gouri Sankar Kundu            "/>
    <s v="9064539774"/>
  </r>
  <r>
    <s v="RCF Trombay"/>
    <s v="15-15-15"/>
    <s v="WB"/>
    <x v="17"/>
    <m/>
    <s v="User Not Mapped"/>
    <s v="User Not Mapped"/>
    <s v="User Not Mapped"/>
    <n v="342666"/>
    <s v="Pradip Kumar Mitra"/>
    <s v="Private Retailer"/>
    <s v="9733825665"/>
    <n v="0.5"/>
    <n v="1132"/>
    <x v="2"/>
    <m/>
    <s v="2023-03-15"/>
    <s v="260210"/>
    <s v="Gouri Sankar Kundu            "/>
    <s v="9064539774"/>
  </r>
  <r>
    <s v="RCF Thal"/>
    <s v="N.C.Urea(45kg)"/>
    <s v="WB"/>
    <x v="17"/>
    <s v="Hanskhali"/>
    <s v="User Not Mapped"/>
    <s v="User Not Mapped"/>
    <s v="User Not Mapped"/>
    <n v="342582"/>
    <s v="Prodyut Joarder"/>
    <s v="Private Retailer"/>
    <s v="9144068324"/>
    <n v="9.2249999999999996"/>
    <n v="14"/>
    <x v="5"/>
    <m/>
    <s v="2026-04-06"/>
    <s v="260210"/>
    <s v="Gouri Sankar Kundu            "/>
    <s v="9064539774"/>
  </r>
  <r>
    <s v="RCF Import"/>
    <s v="Imp 10-26-26"/>
    <s v="WB"/>
    <x v="17"/>
    <s v="Chakdah"/>
    <s v="User Not Mapped"/>
    <s v="User Not Mapped"/>
    <s v="User Not Mapped"/>
    <n v="1061892"/>
    <s v="RABINDRA MONDAL"/>
    <s v="Private Retailer"/>
    <s v="7908527443"/>
    <n v="0.05"/>
    <n v="14"/>
    <x v="5"/>
    <m/>
    <s v="2026-04-06"/>
    <s v="260210"/>
    <s v="Gouri Sankar Kundu            "/>
    <s v="9064539774"/>
  </r>
  <r>
    <s v="RCF Thal"/>
    <s v="N.C.Urea(45kg)"/>
    <s v="WB"/>
    <x v="17"/>
    <s v="Chakdah"/>
    <s v="User Not Mapped"/>
    <s v="User Not Mapped"/>
    <s v="User Not Mapped"/>
    <n v="1061892"/>
    <s v="RABINDRA MONDAL"/>
    <s v="Private Retailer"/>
    <s v="7908527443"/>
    <n v="0.22500000000000001"/>
    <n v="4"/>
    <x v="5"/>
    <m/>
    <s v="2026-04-16"/>
    <s v="260210"/>
    <s v="Gouri Sankar Kundu            "/>
    <s v="9064539774"/>
  </r>
  <r>
    <s v="RCF Thal"/>
    <s v="N.C.Urea(45kg)"/>
    <s v="WB"/>
    <x v="17"/>
    <s v="Chakdah"/>
    <s v="User Not Mapped"/>
    <s v="User Not Mapped"/>
    <s v="User Not Mapped"/>
    <n v="1061892"/>
    <s v="RABINDRA MONDAL"/>
    <s v="Private Retailer"/>
    <s v="7908527443"/>
    <n v="0.9"/>
    <n v="9"/>
    <x v="5"/>
    <m/>
    <s v="2026-04-11"/>
    <s v="260210"/>
    <s v="Gouri Sankar Kundu            "/>
    <s v="9064539774"/>
  </r>
  <r>
    <s v="RCF Thal"/>
    <s v="N.C.Urea(45kg)"/>
    <s v="WB"/>
    <x v="17"/>
    <s v="Chakdah"/>
    <s v="User Not Mapped"/>
    <s v="User Not Mapped"/>
    <s v="User Not Mapped"/>
    <n v="1061892"/>
    <s v="RABINDRA MONDAL"/>
    <s v="Private Retailer"/>
    <s v="7908527443"/>
    <n v="0.13500000000000001"/>
    <n v="12"/>
    <x v="5"/>
    <m/>
    <s v="2026-04-08"/>
    <s v="260210"/>
    <s v="Gouri Sankar Kundu            "/>
    <s v="9064539774"/>
  </r>
  <r>
    <s v="RCF Import"/>
    <s v="MOP"/>
    <s v="WB"/>
    <x v="17"/>
    <s v="Chakdah"/>
    <s v="User Not Mapped"/>
    <s v="User Not Mapped"/>
    <s v="User Not Mapped"/>
    <n v="1061892"/>
    <s v="RABINDRA MONDAL"/>
    <s v="Private Retailer"/>
    <s v="7908527443"/>
    <n v="0.05"/>
    <n v="4"/>
    <x v="5"/>
    <m/>
    <s v="2026-04-16"/>
    <s v="260210"/>
    <s v="Gouri Sankar Kundu            "/>
    <s v="9064539774"/>
  </r>
  <r>
    <s v="RCF Import"/>
    <s v="MOP"/>
    <s v="WB"/>
    <x v="17"/>
    <s v="Ranaghat - II"/>
    <s v="User Not Mapped"/>
    <s v="User Not Mapped"/>
    <s v="User Not Mapped"/>
    <n v="943808"/>
    <s v="RAGHU-JASAR-NAGAR SKUS"/>
    <s v="PACS"/>
    <s v="9434370845"/>
    <n v="1"/>
    <n v="455"/>
    <x v="0"/>
    <m/>
    <s v="2025-01-20"/>
    <s v="260210"/>
    <s v="Gouri Sankar Kundu            "/>
    <s v="9064539774"/>
  </r>
  <r>
    <s v="RCF Import"/>
    <s v="MOP"/>
    <s v="WB"/>
    <x v="17"/>
    <s v="Ranaghat - II"/>
    <s v="User Not Mapped"/>
    <s v="User Not Mapped"/>
    <s v="User Not Mapped"/>
    <n v="943808"/>
    <s v="RAGHU-JASAR-NAGAR SKUS"/>
    <s v="PACS"/>
    <s v="9434370845"/>
    <n v="0.5"/>
    <n v="415"/>
    <x v="0"/>
    <m/>
    <s v="2025-03-01"/>
    <s v="260210"/>
    <s v="Gouri Sankar Kundu            "/>
    <s v="9064539774"/>
  </r>
  <r>
    <s v="RCF Thal"/>
    <s v="N.C.Urea(45kg)"/>
    <s v="WB"/>
    <x v="17"/>
    <s v="Chakdah"/>
    <s v="User Not Mapped"/>
    <s v="User Not Mapped"/>
    <s v="User Not Mapped"/>
    <n v="356046"/>
    <s v="Ram Prasad Mandal"/>
    <s v="Private Retailer"/>
    <s v="9735923820"/>
    <n v="0.45"/>
    <n v="23"/>
    <x v="5"/>
    <m/>
    <s v="2026-03-28"/>
    <s v="260210"/>
    <s v="Gouri Sankar Kundu            "/>
    <s v="9064539774"/>
  </r>
  <r>
    <s v="RCF Trombay"/>
    <s v="15-15-15"/>
    <s v="WB"/>
    <x v="17"/>
    <s v="Chakdah"/>
    <s v="User Not Mapped"/>
    <s v="User Not Mapped"/>
    <s v="User Not Mapped"/>
    <n v="356046"/>
    <s v="Ram Prasad Mandal"/>
    <s v="Private Retailer"/>
    <s v="9735923820"/>
    <n v="0.35"/>
    <n v="45"/>
    <x v="3"/>
    <m/>
    <s v="2026-03-06"/>
    <s v="260210"/>
    <s v="Gouri Sankar Kundu            "/>
    <s v="9064539774"/>
  </r>
  <r>
    <s v="RCF Thal"/>
    <s v="N.C.Urea(45kg)"/>
    <s v="WB"/>
    <x v="17"/>
    <s v="Chakdah"/>
    <s v="User Not Mapped"/>
    <s v="User Not Mapped"/>
    <s v="User Not Mapped"/>
    <n v="342637"/>
    <s v="Ranjan Sadhukhan"/>
    <s v="Private Retailer"/>
    <s v="7001181876"/>
    <n v="0.99"/>
    <n v="37"/>
    <x v="3"/>
    <m/>
    <s v="2026-03-14"/>
    <s v="260210"/>
    <s v="Gouri Sankar Kundu            "/>
    <s v="9064539774"/>
  </r>
  <r>
    <s v="RCF Trombay"/>
    <s v="15-15-15"/>
    <s v="WB"/>
    <x v="17"/>
    <s v="Chakdah"/>
    <s v="User Not Mapped"/>
    <s v="User Not Mapped"/>
    <s v="User Not Mapped"/>
    <n v="342637"/>
    <s v="Ranjan Sadhukhan"/>
    <s v="Private Retailer"/>
    <s v="7001181876"/>
    <n v="0.15"/>
    <n v="133"/>
    <x v="4"/>
    <m/>
    <s v="2025-12-08"/>
    <s v="260210"/>
    <s v="Gouri Sankar Kundu            "/>
    <s v="9064539774"/>
  </r>
  <r>
    <s v="RCF Import"/>
    <s v="MOP"/>
    <s v="WB"/>
    <x v="17"/>
    <s v="Chakdah"/>
    <s v="User Not Mapped"/>
    <s v="User Not Mapped"/>
    <s v="User Not Mapped"/>
    <n v="342637"/>
    <s v="Ranjan Sadhukhan"/>
    <s v="Private Retailer"/>
    <s v="7001181876"/>
    <n v="0.25"/>
    <n v="45"/>
    <x v="3"/>
    <m/>
    <s v="2026-03-06"/>
    <s v="260210"/>
    <s v="Gouri Sankar Kundu            "/>
    <s v="9064539774"/>
  </r>
  <r>
    <s v="RCF Trombay"/>
    <s v="15-15-15"/>
    <s v="WB"/>
    <x v="17"/>
    <s v="Chakdah"/>
    <s v="User Not Mapped"/>
    <s v="User Not Mapped"/>
    <s v="User Not Mapped"/>
    <n v="342637"/>
    <s v="Ranjan Sadhukhan"/>
    <s v="Private Retailer"/>
    <s v="7001181876"/>
    <n v="0.05"/>
    <n v="174"/>
    <x v="4"/>
    <m/>
    <s v="2025-10-28"/>
    <s v="260210"/>
    <s v="Gouri Sankar Kundu            "/>
    <s v="9064539774"/>
  </r>
  <r>
    <s v="RCF Import"/>
    <s v="MOP"/>
    <s v="WB"/>
    <x v="17"/>
    <s v="Chakdah"/>
    <s v="User Not Mapped"/>
    <s v="User Not Mapped"/>
    <s v="User Not Mapped"/>
    <n v="342637"/>
    <s v="Ranjan Sadhukhan"/>
    <s v="Private Retailer"/>
    <s v="7001181876"/>
    <n v="0.15"/>
    <n v="37"/>
    <x v="3"/>
    <m/>
    <s v="2026-03-14"/>
    <s v="260210"/>
    <s v="Gouri Sankar Kundu            "/>
    <s v="9064539774"/>
  </r>
  <r>
    <s v="RCF Import"/>
    <s v="Imp 10-26-26"/>
    <s v="WB"/>
    <x v="17"/>
    <s v="Chakdah"/>
    <s v="User Not Mapped"/>
    <s v="User Not Mapped"/>
    <s v="User Not Mapped"/>
    <n v="342637"/>
    <s v="Ranjan Sadhukhan"/>
    <s v="Private Retailer"/>
    <s v="7001181876"/>
    <n v="0.25"/>
    <n v="22"/>
    <x v="5"/>
    <m/>
    <s v="2026-03-29"/>
    <s v="260210"/>
    <s v="Gouri Sankar Kundu            "/>
    <s v="9064539774"/>
  </r>
  <r>
    <s v="RCF Trombay"/>
    <s v="15-15-15"/>
    <s v="WB"/>
    <x v="17"/>
    <s v="Chakdah"/>
    <s v="User Not Mapped"/>
    <s v="User Not Mapped"/>
    <s v="User Not Mapped"/>
    <n v="342637"/>
    <s v="Ranjan Sadhukhan"/>
    <s v="Private Retailer"/>
    <s v="7001181876"/>
    <n v="0.4"/>
    <n v="45"/>
    <x v="3"/>
    <m/>
    <s v="2026-03-06"/>
    <s v="260210"/>
    <s v="Gouri Sankar Kundu            "/>
    <s v="9064539774"/>
  </r>
  <r>
    <s v="RCF Import"/>
    <s v="Imp 10-26-26"/>
    <s v="WB"/>
    <x v="17"/>
    <s v="Chakdah"/>
    <s v="User Not Mapped"/>
    <s v="User Not Mapped"/>
    <s v="User Not Mapped"/>
    <n v="342637"/>
    <s v="Ranjan Sadhukhan"/>
    <s v="Private Retailer"/>
    <s v="7001181876"/>
    <n v="0.15"/>
    <n v="45"/>
    <x v="3"/>
    <m/>
    <s v="2026-03-06"/>
    <s v="260210"/>
    <s v="Gouri Sankar Kundu            "/>
    <s v="9064539774"/>
  </r>
  <r>
    <s v="RCF Trombay"/>
    <s v="15-15-15"/>
    <s v="WB"/>
    <x v="17"/>
    <s v="Nabadwip"/>
    <s v="User Not Mapped"/>
    <s v="User Not Mapped"/>
    <s v="User Not Mapped"/>
    <n v="342586"/>
    <s v="Ranjit Das"/>
    <s v="Private Retailer"/>
    <s v="8013270338"/>
    <n v="0.39"/>
    <n v="23"/>
    <x v="5"/>
    <m/>
    <s v="2026-03-28"/>
    <s v="260210"/>
    <s v="Gouri Sankar Kundu            "/>
    <s v="9064539774"/>
  </r>
  <r>
    <s v="RCF Thal"/>
    <s v="N.C.Urea(45kg)"/>
    <s v="WB"/>
    <x v="17"/>
    <s v="Santipur"/>
    <s v="User Not Mapped"/>
    <s v="User Not Mapped"/>
    <s v="User Not Mapped"/>
    <n v="1025180"/>
    <s v="SALIL BARAN GHOSH"/>
    <s v="Private Retailer"/>
    <s v="9153568697"/>
    <n v="3.105"/>
    <n v="14"/>
    <x v="5"/>
    <m/>
    <s v="2026-04-06"/>
    <s v="260210"/>
    <s v="Gouri Sankar Kundu            "/>
    <s v="9064539774"/>
  </r>
  <r>
    <s v="RCF Trombay"/>
    <s v="15-15-15"/>
    <s v="WB"/>
    <x v="17"/>
    <s v="Santipur"/>
    <s v="User Not Mapped"/>
    <s v="User Not Mapped"/>
    <s v="User Not Mapped"/>
    <n v="1025180"/>
    <s v="SALIL BARAN GHOSH"/>
    <s v="Private Retailer"/>
    <s v="9153568697"/>
    <n v="0.5"/>
    <n v="39"/>
    <x v="3"/>
    <m/>
    <s v="2026-03-12"/>
    <s v="260210"/>
    <s v="Gouri Sankar Kundu            "/>
    <s v="9064539774"/>
  </r>
  <r>
    <s v="RCF Trombay"/>
    <s v="15-15-15"/>
    <s v="WB"/>
    <x v="17"/>
    <s v="Nabadwip"/>
    <s v="User Not Mapped"/>
    <s v="User Not Mapped"/>
    <s v="User Not Mapped"/>
    <n v="356245"/>
    <s v="Sanjit Ghosh"/>
    <s v="Private Retailer"/>
    <s v="9836120241"/>
    <n v="0.21"/>
    <n v="172"/>
    <x v="4"/>
    <m/>
    <s v="2025-10-30"/>
    <s v="260210"/>
    <s v="Gouri Sankar Kundu            "/>
    <s v="9064539774"/>
  </r>
  <r>
    <s v="RCF Trombay"/>
    <s v="15-15-15"/>
    <s v="WB"/>
    <x v="17"/>
    <m/>
    <s v="User Not Mapped"/>
    <s v="User Not Mapped"/>
    <s v="User Not Mapped"/>
    <n v="941941"/>
    <s v="SARIYAT MONDAL"/>
    <s v="Private Retailer"/>
    <s v="9144452203"/>
    <n v="0.25"/>
    <n v="1569"/>
    <x v="2"/>
    <m/>
    <s v="2022-01-02"/>
    <s v="260210"/>
    <s v="Gouri Sankar Kundu            "/>
    <s v="9064539774"/>
  </r>
  <r>
    <s v="RCF Trombay"/>
    <s v="15-15-15"/>
    <s v="WB"/>
    <x v="17"/>
    <m/>
    <s v="User Not Mapped"/>
    <s v="User Not Mapped"/>
    <s v="User Not Mapped"/>
    <n v="941941"/>
    <s v="SARIYAT MONDAL"/>
    <s v="Private Retailer"/>
    <s v="9144452203"/>
    <n v="0.5"/>
    <n v="1481"/>
    <x v="2"/>
    <m/>
    <s v="2022-03-31"/>
    <s v="260210"/>
    <s v="Gouri Sankar Kundu            "/>
    <s v="9064539774"/>
  </r>
  <r>
    <s v="RCF Trombay"/>
    <s v="15-15-15"/>
    <s v="WB"/>
    <x v="17"/>
    <m/>
    <s v="User Not Mapped"/>
    <s v="User Not Mapped"/>
    <s v="User Not Mapped"/>
    <n v="941941"/>
    <s v="SARIYAT MONDAL"/>
    <s v="Private Retailer"/>
    <s v="9144452203"/>
    <n v="0.05"/>
    <n v="1630"/>
    <x v="2"/>
    <m/>
    <s v="2021-11-02"/>
    <s v="260210"/>
    <s v="Gouri Sankar Kundu            "/>
    <s v="9064539774"/>
  </r>
  <r>
    <s v="RCF Trombay"/>
    <s v="15-15-15"/>
    <s v="WB"/>
    <x v="17"/>
    <s v="Chakdah"/>
    <s v="User Not Mapped"/>
    <s v="User Not Mapped"/>
    <s v="User Not Mapped"/>
    <n v="938975"/>
    <s v="SHYAMA PADA BISWAS"/>
    <s v="Private Retailer"/>
    <s v="8617635873"/>
    <n v="0.5"/>
    <n v="135"/>
    <x v="4"/>
    <m/>
    <s v="2025-12-06"/>
    <s v="260210"/>
    <s v="Gouri Sankar Kundu            "/>
    <s v="9064539774"/>
  </r>
  <r>
    <s v="RCF Trombay"/>
    <s v="15-15-15"/>
    <s v="WB"/>
    <x v="17"/>
    <s v="Chakdah"/>
    <s v="User Not Mapped"/>
    <s v="User Not Mapped"/>
    <s v="User Not Mapped"/>
    <n v="938975"/>
    <s v="SHYAMA PADA BISWAS"/>
    <s v="Private Retailer"/>
    <s v="8617635873"/>
    <n v="0.5"/>
    <n v="133"/>
    <x v="4"/>
    <m/>
    <s v="2025-12-08"/>
    <s v="260210"/>
    <s v="Gouri Sankar Kundu            "/>
    <s v="9064539774"/>
  </r>
  <r>
    <s v="RCF Trombay"/>
    <s v="N.C.Urea(45kg)"/>
    <s v="WB"/>
    <x v="17"/>
    <s v="Chapra"/>
    <s v="User Not Mapped"/>
    <s v="User Not Mapped"/>
    <s v="User Not Mapped"/>
    <n v="892265"/>
    <s v="SIDHARTHA BISWAS"/>
    <s v="Private Retailer"/>
    <s v="9153084316"/>
    <n v="4.9950000000000001"/>
    <n v="53"/>
    <x v="3"/>
    <m/>
    <s v="2026-02-26"/>
    <s v="260210"/>
    <s v="Gouri Sankar Kundu            "/>
    <s v="9064539774"/>
  </r>
  <r>
    <s v="RCF Trombay"/>
    <s v="15-15-15"/>
    <s v="WB"/>
    <x v="17"/>
    <s v="Chapra"/>
    <s v="User Not Mapped"/>
    <s v="User Not Mapped"/>
    <s v="User Not Mapped"/>
    <n v="892265"/>
    <s v="SIDHARTHA BISWAS"/>
    <s v="Private Retailer"/>
    <s v="9153084316"/>
    <n v="5"/>
    <n v="53"/>
    <x v="3"/>
    <m/>
    <s v="2026-02-26"/>
    <s v="260210"/>
    <s v="Gouri Sankar Kundu            "/>
    <s v="9064539774"/>
  </r>
  <r>
    <s v="RCF Trombay"/>
    <s v="15-15-15"/>
    <s v="WB"/>
    <x v="17"/>
    <s v="Chapra"/>
    <s v="User Not Mapped"/>
    <s v="User Not Mapped"/>
    <s v="User Not Mapped"/>
    <n v="892265"/>
    <s v="SIDHARTHA BISWAS"/>
    <s v="Private Retailer"/>
    <s v="9153084316"/>
    <n v="4"/>
    <n v="82"/>
    <x v="6"/>
    <m/>
    <s v="2026-01-28"/>
    <s v="260210"/>
    <s v="Gouri Sankar Kundu            "/>
    <s v="9064539774"/>
  </r>
  <r>
    <s v="RCF Thal"/>
    <s v="N.C.Urea(45kg)"/>
    <s v="WB"/>
    <x v="17"/>
    <s v="Chapra"/>
    <s v="User Not Mapped"/>
    <s v="User Not Mapped"/>
    <s v="User Not Mapped"/>
    <n v="892265"/>
    <s v="SIDHARTHA BISWAS"/>
    <s v="Private Retailer"/>
    <s v="9153084316"/>
    <n v="4.1849999999999996"/>
    <n v="206"/>
    <x v="1"/>
    <m/>
    <s v="2025-09-26"/>
    <s v="260210"/>
    <s v="Gouri Sankar Kundu            "/>
    <s v="9064539774"/>
  </r>
  <r>
    <s v="RCF Trombay"/>
    <s v="N.C.Urea(45kg)"/>
    <s v="WB"/>
    <x v="17"/>
    <s v="Chapra"/>
    <s v="User Not Mapped"/>
    <s v="User Not Mapped"/>
    <s v="User Not Mapped"/>
    <n v="892265"/>
    <s v="SIDHARTHA BISWAS"/>
    <s v="Private Retailer"/>
    <s v="9153084316"/>
    <n v="0.44500000000000001"/>
    <n v="83"/>
    <x v="6"/>
    <m/>
    <s v="2026-01-27"/>
    <s v="260210"/>
    <s v="Gouri Sankar Kundu            "/>
    <s v="9064539774"/>
  </r>
  <r>
    <s v="RCF Thal"/>
    <s v="N.C.Urea(45kg)"/>
    <s v="WB"/>
    <x v="17"/>
    <s v="Nakashipara"/>
    <s v="User Not Mapped"/>
    <s v="User Not Mapped"/>
    <s v="User Not Mapped"/>
    <n v="413634"/>
    <s v="Sirjul Hoque Sekh "/>
    <s v="Private Retailer"/>
    <s v="9775057010"/>
    <n v="9.99"/>
    <n v="206"/>
    <x v="1"/>
    <m/>
    <s v="2025-09-26"/>
    <s v="260210"/>
    <s v="Gouri Sankar Kundu            "/>
    <s v="9064539774"/>
  </r>
  <r>
    <s v="RCF Thal"/>
    <s v="N.C.Urea(45kg)"/>
    <s v="WB"/>
    <x v="17"/>
    <s v="Chakdah"/>
    <s v="User Not Mapped"/>
    <s v="User Not Mapped"/>
    <s v="User Not Mapped"/>
    <n v="599877"/>
    <s v="Soumen Mandal"/>
    <s v="Private Retailer"/>
    <s v="9614804881"/>
    <n v="0.9"/>
    <n v="9"/>
    <x v="5"/>
    <m/>
    <s v="2026-04-11"/>
    <s v="260210"/>
    <s v="Gouri Sankar Kundu            "/>
    <s v="9064539774"/>
  </r>
  <r>
    <s v="RCF Thal"/>
    <s v="N.C.Urea(45kg)"/>
    <s v="WB"/>
    <x v="17"/>
    <s v="Chakdah"/>
    <s v="User Not Mapped"/>
    <s v="User Not Mapped"/>
    <s v="User Not Mapped"/>
    <n v="599877"/>
    <s v="Soumen Mandal"/>
    <s v="Private Retailer"/>
    <s v="9614804881"/>
    <n v="0.67500000000000004"/>
    <n v="4"/>
    <x v="5"/>
    <m/>
    <s v="2026-04-16"/>
    <s v="260210"/>
    <s v="Gouri Sankar Kundu            "/>
    <s v="9064539774"/>
  </r>
  <r>
    <s v="RCF Thal"/>
    <s v="N.C.Urea(45kg)"/>
    <s v="WB"/>
    <x v="17"/>
    <s v="Chakdah"/>
    <s v="User Not Mapped"/>
    <s v="User Not Mapped"/>
    <s v="User Not Mapped"/>
    <n v="599877"/>
    <s v="Soumen Mandal"/>
    <s v="Private Retailer"/>
    <s v="9614804881"/>
    <n v="0.27"/>
    <n v="14"/>
    <x v="5"/>
    <m/>
    <s v="2026-04-06"/>
    <s v="260210"/>
    <s v="Gouri Sankar Kundu            "/>
    <s v="9064539774"/>
  </r>
  <r>
    <s v="RCF Trombay"/>
    <s v="15-15-15"/>
    <s v="WB"/>
    <x v="17"/>
    <s v="Chakdah"/>
    <s v="User Not Mapped"/>
    <s v="User Not Mapped"/>
    <s v="User Not Mapped"/>
    <n v="599877"/>
    <s v="Soumen Mandal"/>
    <s v="Private Retailer"/>
    <s v="9614804881"/>
    <n v="0.5"/>
    <n v="37"/>
    <x v="3"/>
    <m/>
    <s v="2026-03-14"/>
    <s v="260210"/>
    <s v="Gouri Sankar Kundu            "/>
    <s v="9064539774"/>
  </r>
  <r>
    <s v="RCF Import"/>
    <s v="MOP"/>
    <s v="WB"/>
    <x v="17"/>
    <s v="Chakdah"/>
    <s v="User Not Mapped"/>
    <s v="User Not Mapped"/>
    <s v="User Not Mapped"/>
    <n v="413924"/>
    <s v="Subhash Ch Dey"/>
    <s v="Private Retailer"/>
    <s v="9734061348"/>
    <n v="0.25"/>
    <n v="57"/>
    <x v="3"/>
    <m/>
    <s v="2026-02-22"/>
    <s v="260210"/>
    <s v="Gouri Sankar Kundu            "/>
    <s v="9064539774"/>
  </r>
  <r>
    <s v="RCF Thal"/>
    <s v="N.C.Urea(45kg)"/>
    <s v="WB"/>
    <x v="17"/>
    <s v="Chakdah"/>
    <s v="User Not Mapped"/>
    <s v="User Not Mapped"/>
    <s v="User Not Mapped"/>
    <n v="413924"/>
    <s v="Subhash Ch Dey"/>
    <s v="Private Retailer"/>
    <s v="9734061348"/>
    <n v="0.27"/>
    <n v="274"/>
    <x v="1"/>
    <m/>
    <s v="2025-07-20"/>
    <s v="260210"/>
    <s v="Gouri Sankar Kundu            "/>
    <s v="9064539774"/>
  </r>
  <r>
    <s v="RCF Import"/>
    <s v="MOP"/>
    <s v="WB"/>
    <x v="17"/>
    <s v="Chakdah"/>
    <s v="User Not Mapped"/>
    <s v="User Not Mapped"/>
    <s v="User Not Mapped"/>
    <n v="1519462"/>
    <s v="SUJIT BISWAS"/>
    <s v="Private Retailer"/>
    <s v="9378350457"/>
    <n v="0.25"/>
    <n v="45"/>
    <x v="3"/>
    <m/>
    <s v="2026-03-06"/>
    <s v="260210"/>
    <s v="Gouri Sankar Kundu            "/>
    <s v="9064539774"/>
  </r>
  <r>
    <s v="RCF Import"/>
    <s v="MOP"/>
    <s v="WB"/>
    <x v="17"/>
    <s v="Chakdah"/>
    <s v="User Not Mapped"/>
    <s v="User Not Mapped"/>
    <s v="User Not Mapped"/>
    <n v="1519462"/>
    <s v="SUJIT BISWAS"/>
    <s v="Private Retailer"/>
    <s v="9378350457"/>
    <n v="1"/>
    <n v="37"/>
    <x v="3"/>
    <m/>
    <s v="2026-03-14"/>
    <s v="260210"/>
    <s v="Gouri Sankar Kundu            "/>
    <s v="9064539774"/>
  </r>
  <r>
    <s v="RCF Thal"/>
    <s v="N.C.Urea(45kg)"/>
    <s v="WB"/>
    <x v="17"/>
    <s v="Chakdah"/>
    <s v="User Not Mapped"/>
    <s v="User Not Mapped"/>
    <s v="User Not Mapped"/>
    <n v="1519462"/>
    <s v="SUJIT BISWAS"/>
    <s v="Private Retailer"/>
    <s v="9378350457"/>
    <n v="1.35"/>
    <n v="39"/>
    <x v="3"/>
    <m/>
    <s v="2026-03-12"/>
    <s v="260210"/>
    <s v="Gouri Sankar Kundu            "/>
    <s v="9064539774"/>
  </r>
  <r>
    <s v="RCF Import"/>
    <s v="Imp 10-26-26"/>
    <s v="WB"/>
    <x v="17"/>
    <s v="Chakdah"/>
    <s v="User Not Mapped"/>
    <s v="User Not Mapped"/>
    <s v="User Not Mapped"/>
    <n v="1519462"/>
    <s v="SUJIT BISWAS"/>
    <s v="Private Retailer"/>
    <s v="9378350457"/>
    <n v="0.25"/>
    <n v="14"/>
    <x v="5"/>
    <m/>
    <s v="2026-04-06"/>
    <s v="260210"/>
    <s v="Gouri Sankar Kundu            "/>
    <s v="9064539774"/>
  </r>
  <r>
    <s v="RCF Import"/>
    <s v="MOP"/>
    <s v="WB"/>
    <x v="17"/>
    <s v="Chakdah"/>
    <s v="User Not Mapped"/>
    <s v="User Not Mapped"/>
    <s v="User Not Mapped"/>
    <n v="1519462"/>
    <s v="SUJIT BISWAS"/>
    <s v="Private Retailer"/>
    <s v="9378350457"/>
    <n v="1"/>
    <n v="23"/>
    <x v="5"/>
    <m/>
    <s v="2026-03-28"/>
    <s v="260210"/>
    <s v="Gouri Sankar Kundu            "/>
    <s v="9064539774"/>
  </r>
  <r>
    <s v="RCF Import"/>
    <s v="Imp 10-26-26"/>
    <s v="WB"/>
    <x v="17"/>
    <s v="Chakdah"/>
    <s v="User Not Mapped"/>
    <s v="User Not Mapped"/>
    <s v="User Not Mapped"/>
    <n v="1519462"/>
    <s v="SUJIT BISWAS"/>
    <s v="Private Retailer"/>
    <s v="9378350457"/>
    <n v="0.25"/>
    <n v="285"/>
    <x v="1"/>
    <m/>
    <s v="2025-07-09"/>
    <s v="260210"/>
    <s v="Gouri Sankar Kundu            "/>
    <s v="9064539774"/>
  </r>
  <r>
    <s v="RCF Import"/>
    <s v="MOP"/>
    <s v="WB"/>
    <x v="17"/>
    <s v="Chakdah"/>
    <s v="User Not Mapped"/>
    <s v="User Not Mapped"/>
    <s v="User Not Mapped"/>
    <n v="1519462"/>
    <s v="SUJIT BISWAS"/>
    <s v="Private Retailer"/>
    <s v="9378350457"/>
    <n v="0.5"/>
    <n v="49"/>
    <x v="3"/>
    <m/>
    <s v="2026-03-02"/>
    <s v="260210"/>
    <s v="Gouri Sankar Kundu            "/>
    <s v="9064539774"/>
  </r>
  <r>
    <s v="RCF Thal"/>
    <s v="N.C.Urea(45kg)"/>
    <s v="WB"/>
    <x v="17"/>
    <s v="Chakdah"/>
    <s v="User Not Mapped"/>
    <s v="User Not Mapped"/>
    <s v="User Not Mapped"/>
    <n v="356356"/>
    <s v="Sujit Dutta"/>
    <s v="Private Retailer"/>
    <s v="9732783803"/>
    <n v="1.35"/>
    <n v="2"/>
    <x v="5"/>
    <m/>
    <s v="2026-04-18"/>
    <s v="260210"/>
    <s v="Gouri Sankar Kundu            "/>
    <s v="9064539774"/>
  </r>
  <r>
    <s v="RCF Thal"/>
    <s v="N.C.Urea(45kg)"/>
    <s v="WB"/>
    <x v="17"/>
    <s v="Chakdah"/>
    <s v="User Not Mapped"/>
    <s v="User Not Mapped"/>
    <s v="User Not Mapped"/>
    <n v="356356"/>
    <s v="Sujit Dutta"/>
    <s v="Private Retailer"/>
    <s v="9732783803"/>
    <n v="1.8"/>
    <n v="4"/>
    <x v="5"/>
    <m/>
    <s v="2026-04-16"/>
    <s v="260210"/>
    <s v="Gouri Sankar Kundu            "/>
    <s v="9064539774"/>
  </r>
  <r>
    <s v="RCF Trombay"/>
    <s v="15-15-15"/>
    <s v="WB"/>
    <x v="17"/>
    <s v="Tehatta - I"/>
    <s v="User Not Mapped"/>
    <s v="User Not Mapped"/>
    <s v="User Not Mapped"/>
    <n v="413616"/>
    <s v="Sukdab Biswas"/>
    <s v="Private Retailer"/>
    <s v="9735388150"/>
    <n v="0.75"/>
    <n v="1582"/>
    <x v="2"/>
    <m/>
    <s v="2021-12-20"/>
    <s v="260210"/>
    <s v="Gouri Sankar Kundu            "/>
    <s v="9064539774"/>
  </r>
  <r>
    <s v="RCF Thal"/>
    <s v="N.C.Urea(45kg)"/>
    <s v="WB"/>
    <x v="17"/>
    <s v="Tehatta - I"/>
    <s v="User Not Mapped"/>
    <s v="User Not Mapped"/>
    <s v="User Not Mapped"/>
    <n v="413616"/>
    <s v="Sukdab Biswas"/>
    <s v="Private Retailer"/>
    <s v="9735388150"/>
    <n v="0.85499999999999998"/>
    <n v="1582"/>
    <x v="2"/>
    <m/>
    <s v="2021-12-20"/>
    <s v="260210"/>
    <s v="Gouri Sankar Kundu            "/>
    <s v="9064539774"/>
  </r>
  <r>
    <s v="RCF Trombay"/>
    <s v="15-15-15"/>
    <s v="WB"/>
    <x v="17"/>
    <s v="Haringhata"/>
    <s v="User Not Mapped"/>
    <s v="User Not Mapped"/>
    <s v="User Not Mapped"/>
    <n v="452373"/>
    <s v="Suprabir Biswas"/>
    <s v="Private Retailer"/>
    <s v="9800401289"/>
    <n v="0.05"/>
    <n v="41"/>
    <x v="3"/>
    <m/>
    <s v="2026-03-10"/>
    <s v="260210"/>
    <s v="Gouri Sankar Kundu            "/>
    <s v="9064539774"/>
  </r>
  <r>
    <s v="RCF Trombay"/>
    <s v="N.C.Urea(45kg)"/>
    <s v="WB"/>
    <x v="17"/>
    <s v="Haringhata"/>
    <s v="User Not Mapped"/>
    <s v="User Not Mapped"/>
    <s v="User Not Mapped"/>
    <n v="452373"/>
    <s v="Suprabir Biswas"/>
    <s v="Private Retailer"/>
    <s v="9800401289"/>
    <n v="0.36"/>
    <n v="85"/>
    <x v="6"/>
    <m/>
    <s v="2026-01-25"/>
    <s v="260210"/>
    <s v="Gouri Sankar Kundu            "/>
    <s v="9064539774"/>
  </r>
  <r>
    <s v="RCF Trombay"/>
    <s v="15-15-15"/>
    <s v="WB"/>
    <x v="17"/>
    <s v="Haringhata"/>
    <s v="User Not Mapped"/>
    <s v="User Not Mapped"/>
    <s v="User Not Mapped"/>
    <n v="452373"/>
    <s v="Suprabir Biswas"/>
    <s v="Private Retailer"/>
    <s v="9800401289"/>
    <n v="0.5"/>
    <n v="61"/>
    <x v="6"/>
    <m/>
    <s v="2026-02-18"/>
    <s v="260210"/>
    <s v="Gouri Sankar Kundu            "/>
    <s v="9064539774"/>
  </r>
  <r>
    <s v="RCF Import"/>
    <s v="Imp 10-26-26"/>
    <s v="WB"/>
    <x v="17"/>
    <s v="Haringhata"/>
    <s v="User Not Mapped"/>
    <s v="User Not Mapped"/>
    <s v="User Not Mapped"/>
    <n v="452373"/>
    <s v="Suprabir Biswas"/>
    <s v="Private Retailer"/>
    <s v="9800401289"/>
    <n v="0.4"/>
    <n v="23"/>
    <x v="5"/>
    <m/>
    <s v="2026-03-28"/>
    <s v="260210"/>
    <s v="Gouri Sankar Kundu            "/>
    <s v="9064539774"/>
  </r>
  <r>
    <s v="RCF Import"/>
    <s v="MOP"/>
    <s v="WB"/>
    <x v="17"/>
    <s v="Haringhata"/>
    <s v="User Not Mapped"/>
    <s v="User Not Mapped"/>
    <s v="User Not Mapped"/>
    <n v="452373"/>
    <s v="Suprabir Biswas"/>
    <s v="Private Retailer"/>
    <s v="9800401289"/>
    <n v="0.25"/>
    <n v="41"/>
    <x v="3"/>
    <m/>
    <s v="2026-03-10"/>
    <s v="260210"/>
    <s v="Gouri Sankar Kundu            "/>
    <s v="9064539774"/>
  </r>
  <r>
    <s v="RCF Thal"/>
    <s v="N.C.Urea(45kg)"/>
    <s v="WB"/>
    <x v="17"/>
    <s v="Chakdah"/>
    <s v="User Not Mapped"/>
    <s v="User Not Mapped"/>
    <s v="User Not Mapped"/>
    <n v="1061912"/>
    <s v="SUSHIL CHANDRA CHANDA"/>
    <s v="Private Retailer"/>
    <s v="9153696476"/>
    <n v="2.2949999999999999"/>
    <n v="30"/>
    <x v="5"/>
    <m/>
    <s v="2026-03-21"/>
    <s v="260210"/>
    <s v="Gouri Sankar Kundu            "/>
    <s v="9064539774"/>
  </r>
  <r>
    <s v="RCF Trombay"/>
    <s v="N.C.Urea(45kg)"/>
    <s v="WB"/>
    <x v="17"/>
    <s v="Chakdah"/>
    <s v="User Not Mapped"/>
    <s v="User Not Mapped"/>
    <s v="User Not Mapped"/>
    <n v="1061912"/>
    <s v="SUSHIL CHANDRA CHANDA"/>
    <s v="Private Retailer"/>
    <s v="9153696476"/>
    <n v="4.9950000000000001"/>
    <n v="53"/>
    <x v="3"/>
    <m/>
    <s v="2026-02-26"/>
    <s v="260210"/>
    <s v="Gouri Sankar Kundu            "/>
    <s v="9064539774"/>
  </r>
  <r>
    <s v="RCF Trombay"/>
    <s v="15-15-15"/>
    <s v="WB"/>
    <x v="17"/>
    <s v="Chakdah"/>
    <s v="User Not Mapped"/>
    <s v="User Not Mapped"/>
    <s v="User Not Mapped"/>
    <n v="1061912"/>
    <s v="SUSHIL CHANDRA CHANDA"/>
    <s v="Private Retailer"/>
    <s v="9153696476"/>
    <n v="5"/>
    <n v="53"/>
    <x v="3"/>
    <m/>
    <s v="2026-02-26"/>
    <s v="260210"/>
    <s v="Gouri Sankar Kundu            "/>
    <s v="9064539774"/>
  </r>
  <r>
    <s v="RCF Trombay"/>
    <s v="15-15-15"/>
    <s v="WB"/>
    <x v="17"/>
    <s v="Chakdah"/>
    <s v="User Not Mapped"/>
    <s v="User Not Mapped"/>
    <s v="User Not Mapped"/>
    <n v="1061912"/>
    <s v="SUSHIL CHANDRA CHANDA"/>
    <s v="Private Retailer"/>
    <s v="9153696476"/>
    <n v="1"/>
    <n v="59"/>
    <x v="3"/>
    <m/>
    <s v="2026-02-20"/>
    <s v="260210"/>
    <s v="Gouri Sankar Kundu            "/>
    <s v="9064539774"/>
  </r>
  <r>
    <s v="RCF Trombay"/>
    <s v="N.C.Urea(45kg)"/>
    <s v="WB"/>
    <x v="17"/>
    <s v="Chakdah"/>
    <s v="User Not Mapped"/>
    <s v="User Not Mapped"/>
    <s v="User Not Mapped"/>
    <n v="1061912"/>
    <s v="SUSHIL CHANDRA CHANDA"/>
    <s v="Private Retailer"/>
    <s v="9153696476"/>
    <n v="1.35"/>
    <n v="135"/>
    <x v="4"/>
    <m/>
    <s v="2025-12-06"/>
    <s v="260210"/>
    <s v="Gouri Sankar Kundu            "/>
    <s v="9064539774"/>
  </r>
  <r>
    <s v="RCF Import"/>
    <s v="Imp 10-26-26"/>
    <s v="WB"/>
    <x v="17"/>
    <s v="Chakdah"/>
    <s v="User Not Mapped"/>
    <s v="User Not Mapped"/>
    <s v="User Not Mapped"/>
    <n v="941860"/>
    <s v="SWAPN MONDAL"/>
    <s v="Private Retailer"/>
    <s v="9333167102"/>
    <n v="0.25"/>
    <n v="175"/>
    <x v="4"/>
    <m/>
    <s v="2025-10-27"/>
    <s v="260210"/>
    <s v="Gouri Sankar Kundu            "/>
    <s v="9064539774"/>
  </r>
  <r>
    <s v="RCF Trombay"/>
    <s v="N.C.Urea(45kg)"/>
    <s v="WB"/>
    <x v="17"/>
    <s v="Chakdah"/>
    <s v="User Not Mapped"/>
    <s v="User Not Mapped"/>
    <s v="User Not Mapped"/>
    <n v="941860"/>
    <s v="SWAPN MONDAL"/>
    <s v="Private Retailer"/>
    <s v="9333167102"/>
    <n v="0.22500000000000001"/>
    <n v="23"/>
    <x v="5"/>
    <m/>
    <s v="2026-03-28"/>
    <s v="260210"/>
    <s v="Gouri Sankar Kundu            "/>
    <s v="9064539774"/>
  </r>
  <r>
    <s v="RCF Thal"/>
    <s v="N.C.Urea(45kg)"/>
    <s v="WB"/>
    <x v="17"/>
    <s v="Chakdah"/>
    <s v="User Not Mapped"/>
    <s v="User Not Mapped"/>
    <s v="User Not Mapped"/>
    <n v="941860"/>
    <s v="SWAPN MONDAL"/>
    <s v="Private Retailer"/>
    <s v="9333167102"/>
    <n v="0.45"/>
    <n v="12"/>
    <x v="5"/>
    <m/>
    <s v="2026-04-08"/>
    <s v="260210"/>
    <s v="Gouri Sankar Kundu            "/>
    <s v="9064539774"/>
  </r>
  <r>
    <s v="RCF Import"/>
    <s v="Imp 10-26-26"/>
    <s v="WB"/>
    <x v="17"/>
    <s v="Chakdah"/>
    <s v="User Not Mapped"/>
    <s v="User Not Mapped"/>
    <s v="User Not Mapped"/>
    <n v="941860"/>
    <s v="SWAPN MONDAL"/>
    <s v="Private Retailer"/>
    <s v="9333167102"/>
    <n v="0.1"/>
    <n v="221"/>
    <x v="1"/>
    <m/>
    <s v="2025-09-11"/>
    <s v="260210"/>
    <s v="Gouri Sankar Kundu            "/>
    <s v="9064539774"/>
  </r>
  <r>
    <s v="RCF Trombay"/>
    <s v="15-15-15"/>
    <s v="WB"/>
    <x v="17"/>
    <s v="Chakdah"/>
    <s v="User Not Mapped"/>
    <s v="User Not Mapped"/>
    <s v="User Not Mapped"/>
    <n v="941860"/>
    <s v="SWAPN MONDAL"/>
    <s v="Private Retailer"/>
    <s v="9333167102"/>
    <n v="0.35"/>
    <n v="83"/>
    <x v="6"/>
    <m/>
    <s v="2026-01-27"/>
    <s v="260210"/>
    <s v="Gouri Sankar Kundu            "/>
    <s v="9064539774"/>
  </r>
  <r>
    <s v="RCF Import"/>
    <s v="Imp 10-26-26"/>
    <s v="WB"/>
    <x v="17"/>
    <s v="Ranaghat - II"/>
    <s v="User Not Mapped"/>
    <s v="User Not Mapped"/>
    <s v="User Not Mapped"/>
    <n v="412388"/>
    <s v="Umesh Biswas "/>
    <s v="Private Retailer"/>
    <s v="8145236575"/>
    <n v="2"/>
    <n v="221"/>
    <x v="1"/>
    <m/>
    <s v="2025-09-11"/>
    <s v="260210"/>
    <s v="Gouri Sankar Kundu            "/>
    <s v="9064539774"/>
  </r>
  <r>
    <s v="RCF Import"/>
    <s v="Imp 10-26-26"/>
    <s v="WB"/>
    <x v="17"/>
    <s v="Ranaghat - II"/>
    <s v="User Not Mapped"/>
    <s v="User Not Mapped"/>
    <s v="User Not Mapped"/>
    <n v="412388"/>
    <s v="Umesh Biswas "/>
    <s v="Private Retailer"/>
    <s v="8145236575"/>
    <n v="0.1"/>
    <n v="239"/>
    <x v="1"/>
    <m/>
    <s v="2025-08-24"/>
    <s v="260210"/>
    <s v="Gouri Sankar Kundu            "/>
    <s v="9064539774"/>
  </r>
  <r>
    <s v="RCF Trombay"/>
    <s v="15-15-15"/>
    <s v="WB"/>
    <x v="17"/>
    <s v="Ranaghat - II"/>
    <s v="User Not Mapped"/>
    <s v="User Not Mapped"/>
    <s v="User Not Mapped"/>
    <n v="774884"/>
    <s v="UTTAM KUMAR CHOWDHURY"/>
    <s v="Private Retailer"/>
    <s v="8653609954"/>
    <n v="0.2"/>
    <n v="232"/>
    <x v="1"/>
    <m/>
    <s v="2025-08-31"/>
    <s v="260210"/>
    <s v="Gouri Sankar Kundu            "/>
    <s v="9064539774"/>
  </r>
  <r>
    <s v="RCF Thal"/>
    <s v="N.C.Urea(45kg)"/>
    <s v="WB"/>
    <x v="17"/>
    <s v="Ranaghat - II"/>
    <s v="User Not Mapped"/>
    <s v="User Not Mapped"/>
    <s v="User Not Mapped"/>
    <n v="774884"/>
    <s v="UTTAM KUMAR CHOWDHURY"/>
    <s v="Private Retailer"/>
    <s v="8653609954"/>
    <n v="0.36"/>
    <n v="193"/>
    <x v="1"/>
    <m/>
    <s v="2025-10-09"/>
    <s v="260210"/>
    <s v="Gouri Sankar Kundu            "/>
    <s v="9064539774"/>
  </r>
  <r>
    <s v="RCF Trombay"/>
    <s v="N.C.Urea(45kg)"/>
    <s v="WB"/>
    <x v="17"/>
    <s v="Haringhata"/>
    <s v="User Not Mapped"/>
    <s v="User Not Mapped"/>
    <s v="User Not Mapped"/>
    <n v="444067"/>
    <s v="Wajedul Islam"/>
    <s v="Private Retailer"/>
    <s v="7003465160"/>
    <n v="0.13500000000000001"/>
    <n v="470"/>
    <x v="0"/>
    <m/>
    <s v="2025-01-05"/>
    <s v="260210"/>
    <s v="Gouri Sankar Kundu            "/>
    <s v="9064539774"/>
  </r>
  <r>
    <s v="RCF Trombay"/>
    <s v="N.C.Urea(45kg)"/>
    <s v="WB"/>
    <x v="17"/>
    <s v="Haringhata"/>
    <s v="User Not Mapped"/>
    <s v="User Not Mapped"/>
    <s v="User Not Mapped"/>
    <n v="444067"/>
    <s v="Wajedul Islam"/>
    <s v="Private Retailer"/>
    <s v="7003465160"/>
    <n v="0.27"/>
    <n v="450"/>
    <x v="0"/>
    <m/>
    <s v="2025-01-25"/>
    <s v="260210"/>
    <s v="Gouri Sankar Kundu            "/>
    <s v="9064539774"/>
  </r>
  <r>
    <s v="RCF Trombay"/>
    <s v="15-15-15"/>
    <s v="WB"/>
    <x v="17"/>
    <s v="Haringhata"/>
    <s v="User Not Mapped"/>
    <s v="User Not Mapped"/>
    <s v="User Not Mapped"/>
    <n v="444067"/>
    <s v="Wajedul Islam"/>
    <s v="Private Retailer"/>
    <s v="7003465160"/>
    <n v="0.5"/>
    <n v="246"/>
    <x v="1"/>
    <m/>
    <s v="2025-08-17"/>
    <s v="260210"/>
    <s v="Gouri Sankar Kundu            "/>
    <s v="9064539774"/>
  </r>
  <r>
    <s v="RCF Trombay"/>
    <s v="N.C.Urea(45kg)"/>
    <s v="WB"/>
    <x v="17"/>
    <s v="Haringhata"/>
    <s v="User Not Mapped"/>
    <s v="User Not Mapped"/>
    <s v="User Not Mapped"/>
    <n v="444067"/>
    <s v="Wajedul Islam"/>
    <s v="Private Retailer"/>
    <s v="7003465160"/>
    <n v="2.5000000000000001E-2"/>
    <n v="507"/>
    <x v="0"/>
    <m/>
    <s v="2024-11-29"/>
    <s v="260210"/>
    <s v="Gouri Sankar Kundu            "/>
    <s v="9064539774"/>
  </r>
  <r>
    <s v="RCF Trombay"/>
    <s v="N.C.Urea(45kg)"/>
    <s v="WB"/>
    <x v="17"/>
    <s v="Haringhata"/>
    <s v="User Not Mapped"/>
    <s v="User Not Mapped"/>
    <s v="User Not Mapped"/>
    <n v="444067"/>
    <s v="Wajedul Islam"/>
    <s v="Private Retailer"/>
    <s v="7003465160"/>
    <n v="0.40500000000000003"/>
    <n v="505"/>
    <x v="0"/>
    <m/>
    <s v="2024-12-01"/>
    <s v="260210"/>
    <s v="Gouri Sankar Kundu            "/>
    <s v="9064539774"/>
  </r>
  <r>
    <s v="RCF Trombay"/>
    <s v="15-15-15"/>
    <s v="WB"/>
    <x v="17"/>
    <s v="Haringhata"/>
    <s v="User Not Mapped"/>
    <s v="User Not Mapped"/>
    <s v="User Not Mapped"/>
    <n v="444067"/>
    <s v="Wajedul Islam"/>
    <s v="Private Retailer"/>
    <s v="7003465160"/>
    <n v="0.14299999999999999"/>
    <n v="285"/>
    <x v="1"/>
    <m/>
    <s v="2025-07-09"/>
    <s v="260210"/>
    <s v="Gouri Sankar Kundu            "/>
    <s v="9064539774"/>
  </r>
  <r>
    <s v="RCF Thal"/>
    <s v="N.C.Urea(45kg)"/>
    <s v="WB"/>
    <x v="17"/>
    <s v="Haringhata"/>
    <s v="User Not Mapped"/>
    <s v="User Not Mapped"/>
    <s v="User Not Mapped"/>
    <n v="340800"/>
    <s v="Ananda Chakraborty"/>
    <s v="Private Retailer"/>
    <s v="9733503247"/>
    <n v="4.7699999999999996"/>
    <n v="40"/>
    <x v="3"/>
    <m/>
    <s v="2026-03-11"/>
    <s v="270129"/>
    <s v="Kalyan Kr. Nandi"/>
    <s v="8250914797"/>
  </r>
  <r>
    <s v="RCF Trombay"/>
    <s v="N.C.Urea(45kg)"/>
    <s v="WB"/>
    <x v="17"/>
    <s v="Krishnagar - I"/>
    <s v="User Not Mapped"/>
    <s v="User Not Mapped"/>
    <s v="User Not Mapped"/>
    <n v="444117"/>
    <s v="Anup Kr Dey"/>
    <s v="Private Retailer"/>
    <s v="7407968750"/>
    <n v="2.25"/>
    <n v="84"/>
    <x v="6"/>
    <m/>
    <s v="2026-01-26"/>
    <s v="270129"/>
    <s v="Kalyan Kr. Nandi"/>
    <s v="8250914797"/>
  </r>
  <r>
    <s v="RCF Trombay"/>
    <s v="15-15-15"/>
    <s v="WB"/>
    <x v="17"/>
    <s v="Krishnagar - I"/>
    <s v="User Not Mapped"/>
    <s v="User Not Mapped"/>
    <s v="User Not Mapped"/>
    <n v="444117"/>
    <s v="Anup Kr Dey"/>
    <s v="Private Retailer"/>
    <s v="7407968750"/>
    <n v="1.8"/>
    <n v="142"/>
    <x v="4"/>
    <m/>
    <s v="2025-11-29"/>
    <s v="270129"/>
    <s v="Kalyan Kr. Nandi"/>
    <s v="8250914797"/>
  </r>
  <r>
    <s v="RCF Trombay"/>
    <s v="15-15-15"/>
    <s v="WB"/>
    <x v="17"/>
    <s v="Krishnagar - I"/>
    <s v="User Not Mapped"/>
    <s v="User Not Mapped"/>
    <s v="User Not Mapped"/>
    <n v="444117"/>
    <s v="Anup Kr Dey"/>
    <s v="Private Retailer"/>
    <s v="7407968750"/>
    <n v="2.5"/>
    <n v="84"/>
    <x v="6"/>
    <m/>
    <s v="2026-01-26"/>
    <s v="270129"/>
    <s v="Kalyan Kr. Nandi"/>
    <s v="8250914797"/>
  </r>
  <r>
    <s v="RCF Thal"/>
    <s v="N.C.Urea(45kg)"/>
    <s v="WB"/>
    <x v="17"/>
    <s v="Haringhata"/>
    <s v="User Not Mapped"/>
    <s v="User Not Mapped"/>
    <s v="User Not Mapped"/>
    <n v="449049"/>
    <s v="Apurba Mondal"/>
    <s v="Private Retailer"/>
    <s v="8509388700"/>
    <n v="1.44"/>
    <n v="40"/>
    <x v="3"/>
    <m/>
    <s v="2026-03-11"/>
    <s v="270129"/>
    <s v="Kalyan Kr. Nandi"/>
    <s v="8250914797"/>
  </r>
  <r>
    <s v="RCF Trombay"/>
    <s v="N.C.Urea(45kg)"/>
    <s v="WB"/>
    <x v="17"/>
    <s v="Krishnagar - I"/>
    <s v="User Not Mapped"/>
    <s v="User Not Mapped"/>
    <s v="User Not Mapped"/>
    <n v="946210"/>
    <s v="AYUB NABI SHEIKH"/>
    <s v="Private Retailer"/>
    <s v="9679387895"/>
    <n v="2.61"/>
    <n v="86"/>
    <x v="6"/>
    <m/>
    <s v="2026-01-24"/>
    <s v="270129"/>
    <s v="Kalyan Kr. Nandi"/>
    <s v="8250914797"/>
  </r>
  <r>
    <s v="RCF Trombay"/>
    <s v="15-15-15"/>
    <s v="WB"/>
    <x v="17"/>
    <s v="Chakdah"/>
    <s v="User Not Mapped"/>
    <s v="User Not Mapped"/>
    <s v="User Not Mapped"/>
    <n v="938981"/>
    <s v="BABLU PAUL"/>
    <s v="Private Retailer"/>
    <s v="6296565256"/>
    <n v="0.9"/>
    <n v="55"/>
    <x v="3"/>
    <m/>
    <s v="2026-02-24"/>
    <s v="270129"/>
    <s v="Kalyan Kr. Nandi"/>
    <s v="8250914797"/>
  </r>
  <r>
    <s v="RCF Thal"/>
    <s v="N.C.Urea(45kg)"/>
    <s v="WB"/>
    <x v="17"/>
    <s v="Haringhata"/>
    <s v="User Not Mapped"/>
    <s v="User Not Mapped"/>
    <s v="User Not Mapped"/>
    <n v="341102"/>
    <s v="Biplab Debnath"/>
    <s v="Private Retailer"/>
    <s v="9903465745"/>
    <n v="4.68"/>
    <n v="40"/>
    <x v="3"/>
    <m/>
    <s v="2026-03-11"/>
    <s v="270129"/>
    <s v="Kalyan Kr. Nandi"/>
    <s v="8250914797"/>
  </r>
  <r>
    <s v="RCF Trombay"/>
    <s v="15-15-15"/>
    <s v="WB"/>
    <x v="17"/>
    <s v="Hanskhali"/>
    <s v="User Not Mapped"/>
    <s v="User Not Mapped"/>
    <s v="User Not Mapped"/>
    <n v="341115"/>
    <s v="Birendra Nath Mondal"/>
    <s v="Private Retailer"/>
    <s v="9474337972"/>
    <n v="5"/>
    <n v="55"/>
    <x v="3"/>
    <m/>
    <s v="2026-02-24"/>
    <s v="270129"/>
    <s v="Kalyan Kr. Nandi"/>
    <s v="8250914797"/>
  </r>
  <r>
    <s v="RCF Trombay"/>
    <s v="15-15-15"/>
    <s v="WB"/>
    <x v="17"/>
    <s v="Hanskhali"/>
    <s v="User Not Mapped"/>
    <s v="User Not Mapped"/>
    <s v="User Not Mapped"/>
    <n v="341115"/>
    <s v="Birendra Nath Mondal"/>
    <s v="Private Retailer"/>
    <s v="9474337972"/>
    <n v="6"/>
    <n v="86"/>
    <x v="6"/>
    <m/>
    <s v="2026-01-24"/>
    <s v="270129"/>
    <s v="Kalyan Kr. Nandi"/>
    <s v="8250914797"/>
  </r>
  <r>
    <s v="RCF Thal"/>
    <s v="N.C.Urea(45kg)"/>
    <s v="WB"/>
    <x v="17"/>
    <s v="Haringhata"/>
    <s v="User Not Mapped"/>
    <s v="User Not Mapped"/>
    <s v="User Not Mapped"/>
    <n v="341124"/>
    <s v="Biswajit Ghosh"/>
    <s v="Private Retailer"/>
    <s v="9733815798"/>
    <n v="9"/>
    <n v="18"/>
    <x v="5"/>
    <m/>
    <s v="2026-04-02"/>
    <s v="270129"/>
    <s v="Kalyan Kr. Nandi"/>
    <s v="8250914797"/>
  </r>
  <r>
    <s v="RCF Trombay"/>
    <s v="15-15-15"/>
    <s v="WB"/>
    <x v="17"/>
    <s v="Haringhata"/>
    <s v="User Not Mapped"/>
    <s v="User Not Mapped"/>
    <s v="User Not Mapped"/>
    <n v="341124"/>
    <s v="Biswajit Ghosh"/>
    <s v="Private Retailer"/>
    <s v="9733815798"/>
    <n v="13"/>
    <n v="86"/>
    <x v="6"/>
    <m/>
    <s v="2026-01-24"/>
    <s v="270129"/>
    <s v="Kalyan Kr. Nandi"/>
    <s v="8250914797"/>
  </r>
  <r>
    <s v="RCF Thal"/>
    <s v="N.C.Urea(45kg)"/>
    <s v="WB"/>
    <x v="17"/>
    <s v="Krishnaganj"/>
    <s v="User Not Mapped"/>
    <s v="User Not Mapped"/>
    <s v="User Not Mapped"/>
    <n v="854870"/>
    <s v="BISWAJIT MONDAL"/>
    <s v="Private Retailer"/>
    <s v="6296285059"/>
    <n v="4.9950000000000001"/>
    <n v="7"/>
    <x v="5"/>
    <m/>
    <s v="2026-04-13"/>
    <s v="270129"/>
    <s v="Kalyan Kr. Nandi"/>
    <s v="8250914797"/>
  </r>
  <r>
    <s v="RCF Thal"/>
    <s v="N.C.Urea(45kg)"/>
    <s v="WB"/>
    <x v="17"/>
    <s v="Hanskhali"/>
    <s v="User Not Mapped"/>
    <s v="User Not Mapped"/>
    <s v="User Not Mapped"/>
    <n v="341132"/>
    <s v="Biswajit Saha"/>
    <s v="Private Retailer"/>
    <s v="9434452018"/>
    <n v="1.62"/>
    <n v="273"/>
    <x v="1"/>
    <m/>
    <s v="2025-07-21"/>
    <s v="270129"/>
    <s v="Kalyan Kr. Nandi"/>
    <s v="8250914797"/>
  </r>
  <r>
    <s v="RCF Trombay"/>
    <s v="N.C.Urea(45kg)"/>
    <s v="WB"/>
    <x v="17"/>
    <s v="Chapra"/>
    <s v="User Not Mapped"/>
    <s v="User Not Mapped"/>
    <s v="User Not Mapped"/>
    <n v="941032"/>
    <s v="BISWAS FERTILIZER"/>
    <s v="Private Retailer"/>
    <s v="9564288096"/>
    <n v="9.99"/>
    <n v="55"/>
    <x v="3"/>
    <m/>
    <s v="2026-02-24"/>
    <s v="270129"/>
    <s v="Kalyan Kr. Nandi"/>
    <s v="8250914797"/>
  </r>
  <r>
    <s v="RCF Thal"/>
    <s v="N.C.Urea(45kg)"/>
    <s v="WB"/>
    <x v="17"/>
    <s v="Krishnagar - I"/>
    <s v="User Not Mapped"/>
    <s v="User Not Mapped"/>
    <s v="User Not Mapped"/>
    <n v="457821"/>
    <s v="BOSE FERTILIZERS"/>
    <s v="Private Retailer"/>
    <s v="8001979216"/>
    <n v="9.99"/>
    <n v="10"/>
    <x v="5"/>
    <m/>
    <s v="2026-04-10"/>
    <s v="270129"/>
    <s v="Kalyan Kr. Nandi"/>
    <s v="8250914797"/>
  </r>
  <r>
    <s v="RCF Thal"/>
    <s v="N.C.Urea(45kg)"/>
    <s v="WB"/>
    <x v="17"/>
    <s v="Krishnaganj"/>
    <s v="User Not Mapped"/>
    <s v="User Not Mapped"/>
    <s v="User Not Mapped"/>
    <n v="1462374"/>
    <s v="DEBASHISH DAS"/>
    <s v="Private Retailer"/>
    <s v="7908043471"/>
    <n v="0.13500000000000001"/>
    <n v="272"/>
    <x v="1"/>
    <m/>
    <s v="2025-07-22"/>
    <s v="270129"/>
    <s v="Kalyan Kr. Nandi"/>
    <s v="8250914797"/>
  </r>
  <r>
    <s v="RCF Trombay"/>
    <s v="15-15-15"/>
    <s v="WB"/>
    <x v="17"/>
    <s v="Krishnagar - I"/>
    <s v="User Not Mapped"/>
    <s v="User Not Mapped"/>
    <s v="User Not Mapped"/>
    <n v="281283"/>
    <s v="Debnath Fertilizer"/>
    <s v="Private Retailer"/>
    <s v="9434148418"/>
    <n v="7.7960000000000003"/>
    <n v="55"/>
    <x v="3"/>
    <m/>
    <s v="2026-02-24"/>
    <s v="270129"/>
    <s v="Kalyan Kr. Nandi"/>
    <s v="8250914797"/>
  </r>
  <r>
    <s v="RCF Import"/>
    <s v="Imp 10-26-26"/>
    <s v="WB"/>
    <x v="17"/>
    <s v="Ranaghat - I"/>
    <s v="User Not Mapped"/>
    <s v="User Not Mapped"/>
    <s v="User Not Mapped"/>
    <n v="1219879"/>
    <s v="DIPANKAR DAS"/>
    <s v="Private Retailer"/>
    <s v="9153844241"/>
    <n v="3.25"/>
    <n v="224"/>
    <x v="1"/>
    <m/>
    <s v="2025-09-08"/>
    <s v="270129"/>
    <s v="Kalyan Kr. Nandi"/>
    <s v="8250914797"/>
  </r>
  <r>
    <s v="RCF Trombay"/>
    <s v="15-15-15"/>
    <s v="WB"/>
    <x v="17"/>
    <s v="Chapra"/>
    <s v="User Not Mapped"/>
    <s v="User Not Mapped"/>
    <s v="User Not Mapped"/>
    <n v="918662"/>
    <s v="GHOSH FERTILIZER"/>
    <s v="Private Retailer"/>
    <s v="6295153079"/>
    <n v="9.5"/>
    <n v="55"/>
    <x v="3"/>
    <m/>
    <s v="2026-02-24"/>
    <s v="270129"/>
    <s v="Kalyan Kr. Nandi"/>
    <s v="8250914797"/>
  </r>
  <r>
    <s v="RCF Thal"/>
    <s v="N.C.Urea(45kg)"/>
    <s v="WB"/>
    <x v="17"/>
    <s v="Nakashipara"/>
    <s v="User Not Mapped"/>
    <s v="User Not Mapped"/>
    <s v="User Not Mapped"/>
    <n v="939975"/>
    <s v="JAYDEB SARKAR"/>
    <s v="Private Retailer"/>
    <s v="8918717206"/>
    <n v="4.4999999999999998E-2"/>
    <n v="208"/>
    <x v="1"/>
    <m/>
    <s v="2025-09-24"/>
    <s v="270129"/>
    <s v="Kalyan Kr. Nandi"/>
    <s v="8250914797"/>
  </r>
  <r>
    <s v="RCF Trombay"/>
    <s v="15-15-15"/>
    <s v="WB"/>
    <x v="17"/>
    <m/>
    <s v="User Not Mapped"/>
    <s v="User Not Mapped"/>
    <s v="User Not Mapped"/>
    <n v="471787"/>
    <s v="Keshob Saha"/>
    <s v="Private Retailer"/>
    <s v="8617836550"/>
    <n v="5"/>
    <n v="1087"/>
    <x v="2"/>
    <m/>
    <s v="2023-04-29"/>
    <s v="270129"/>
    <s v="Kalyan Kr. Nandi"/>
    <s v="8250914797"/>
  </r>
  <r>
    <s v="RCF Trombay"/>
    <s v="15-15-15"/>
    <s v="WB"/>
    <x v="17"/>
    <s v="Krishnagar - II"/>
    <s v="User Not Mapped"/>
    <s v="User Not Mapped"/>
    <s v="User Not Mapped"/>
    <n v="439414"/>
    <s v="Lokenah Sar Bhander"/>
    <s v="Private Retailer"/>
    <s v="9733923230"/>
    <n v="2.25"/>
    <n v="55"/>
    <x v="3"/>
    <m/>
    <s v="2026-02-24"/>
    <s v="270129"/>
    <s v="Kalyan Kr. Nandi"/>
    <s v="8250914797"/>
  </r>
  <r>
    <s v="RCF Thal"/>
    <s v="N.C.Urea(45kg)"/>
    <s v="WB"/>
    <x v="17"/>
    <s v="Haringhata"/>
    <s v="User Not Mapped"/>
    <s v="User Not Mapped"/>
    <s v="User Not Mapped"/>
    <n v="354777"/>
    <s v="M/s Asim Kanti Basak"/>
    <s v="Private Retailer"/>
    <s v="9434554554"/>
    <n v="3.6"/>
    <n v="40"/>
    <x v="3"/>
    <m/>
    <s v="2026-03-11"/>
    <s v="270129"/>
    <s v="Kalyan Kr. Nandi"/>
    <s v="8250914797"/>
  </r>
  <r>
    <s v="RCF Thal"/>
    <s v="N.C.Urea(45kg)"/>
    <s v="WB"/>
    <x v="17"/>
    <s v="Haringhata"/>
    <s v="User Not Mapped"/>
    <s v="User Not Mapped"/>
    <s v="User Not Mapped"/>
    <n v="545710"/>
    <s v="M/S Azim Mondal"/>
    <s v="Private Retailer"/>
    <s v="9083443252"/>
    <n v="4.68"/>
    <n v="40"/>
    <x v="3"/>
    <m/>
    <s v="2026-03-11"/>
    <s v="270129"/>
    <s v="Kalyan Kr. Nandi"/>
    <s v="8250914797"/>
  </r>
  <r>
    <s v="RCF Thal"/>
    <s v="N.C.Urea(45kg)"/>
    <s v="WB"/>
    <x v="17"/>
    <s v="Haringhata"/>
    <s v="User Not Mapped"/>
    <s v="User Not Mapped"/>
    <s v="User Not Mapped"/>
    <n v="637939"/>
    <s v="M/S BASIRUL MANDAL"/>
    <s v="Private Retailer"/>
    <s v="7407412841"/>
    <n v="0.54"/>
    <n v="40"/>
    <x v="3"/>
    <m/>
    <s v="2026-03-11"/>
    <s v="270129"/>
    <s v="Kalyan Kr. Nandi"/>
    <s v="8250914797"/>
  </r>
  <r>
    <s v="RCF Trombay"/>
    <s v="N.C.Urea(45kg)"/>
    <s v="WB"/>
    <x v="17"/>
    <s v="Krishnaganj"/>
    <s v="User Not Mapped"/>
    <s v="User Not Mapped"/>
    <s v="User Not Mapped"/>
    <n v="500913"/>
    <s v="M/s Ghosh Fertilizer"/>
    <s v="Private Retailer"/>
    <s v="9735630917"/>
    <n v="0.13500000000000001"/>
    <n v="55"/>
    <x v="3"/>
    <m/>
    <s v="2026-02-24"/>
    <s v="270129"/>
    <s v="Kalyan Kr. Nandi"/>
    <s v="8250914797"/>
  </r>
  <r>
    <s v="RCF Import"/>
    <s v="MOP"/>
    <s v="WB"/>
    <x v="17"/>
    <s v="Krishnaganj"/>
    <s v="User Not Mapped"/>
    <s v="User Not Mapped"/>
    <s v="User Not Mapped"/>
    <n v="500913"/>
    <s v="M/s Ghosh Fertilizer"/>
    <s v="Private Retailer"/>
    <s v="9735630917"/>
    <n v="2.5"/>
    <n v="55"/>
    <x v="3"/>
    <m/>
    <s v="2026-02-24"/>
    <s v="270129"/>
    <s v="Kalyan Kr. Nandi"/>
    <s v="8250914797"/>
  </r>
  <r>
    <s v="RCF Trombay"/>
    <s v="15-15-15"/>
    <s v="WB"/>
    <x v="17"/>
    <s v="Santipur"/>
    <s v="User Not Mapped"/>
    <s v="User Not Mapped"/>
    <s v="User Not Mapped"/>
    <n v="440955"/>
    <s v="M/S GOBINDA FERTILIZER"/>
    <s v="Private Retailer"/>
    <s v="9831222954"/>
    <n v="0.65"/>
    <n v="86"/>
    <x v="6"/>
    <m/>
    <s v="2026-01-24"/>
    <s v="270129"/>
    <s v="Kalyan Kr. Nandi"/>
    <s v="8250914797"/>
  </r>
  <r>
    <s v="RCF Trombay"/>
    <s v="N.C.Urea(45kg)"/>
    <s v="WB"/>
    <x v="17"/>
    <s v="Santipur"/>
    <s v="User Not Mapped"/>
    <s v="User Not Mapped"/>
    <s v="User Not Mapped"/>
    <n v="440955"/>
    <s v="M/S GOBINDA FERTILIZER"/>
    <s v="Private Retailer"/>
    <s v="9831222954"/>
    <n v="1.17"/>
    <n v="86"/>
    <x v="6"/>
    <m/>
    <s v="2026-01-24"/>
    <s v="270129"/>
    <s v="Kalyan Kr. Nandi"/>
    <s v="8250914797"/>
  </r>
  <r>
    <s v="RCF Import"/>
    <s v="MOP"/>
    <s v="WB"/>
    <x v="17"/>
    <s v="Krishnagar - I"/>
    <s v="User Not Mapped"/>
    <s v="User Not Mapped"/>
    <s v="User Not Mapped"/>
    <n v="1399518"/>
    <s v="M/S MAA TARA KRISHI BHANDAR"/>
    <s v="Private Retailer"/>
    <s v="9002633643"/>
    <n v="5"/>
    <n v="55"/>
    <x v="3"/>
    <m/>
    <s v="2026-02-24"/>
    <s v="270129"/>
    <s v="Kalyan Kr. Nandi"/>
    <s v="8250914797"/>
  </r>
  <r>
    <s v="RCF Thal"/>
    <s v="N.C.Urea(45kg)"/>
    <s v="WB"/>
    <x v="17"/>
    <s v="Haringhata"/>
    <s v="User Not Mapped"/>
    <s v="User Not Mapped"/>
    <s v="User Not Mapped"/>
    <n v="560219"/>
    <s v="M/S PANCHUGOPAL SARKAR"/>
    <s v="Private Retailer"/>
    <s v="7797120773"/>
    <n v="0.81"/>
    <n v="40"/>
    <x v="3"/>
    <m/>
    <s v="2026-03-11"/>
    <s v="270129"/>
    <s v="Kalyan Kr. Nandi"/>
    <s v="8250914797"/>
  </r>
  <r>
    <s v="RCF Import"/>
    <s v="Imp 10-26-26"/>
    <s v="WB"/>
    <x v="17"/>
    <s v="Haringhata"/>
    <s v="User Not Mapped"/>
    <s v="User Not Mapped"/>
    <s v="User Not Mapped"/>
    <n v="260211"/>
    <s v="M/s. Jaiswal Enterprise "/>
    <s v="Private Wholsaler"/>
    <s v="8116105006"/>
    <n v="10.45"/>
    <n v="21"/>
    <x v="5"/>
    <s v="'261'"/>
    <s v="2026-03-30"/>
    <s v="270129"/>
    <s v="Kalyan Kr. Nandi"/>
    <s v="8250914797"/>
  </r>
  <r>
    <s v="RCF Import"/>
    <s v="Imp 10-26-26"/>
    <s v="WB"/>
    <x v="17"/>
    <s v="Haringhata"/>
    <s v="User Not Mapped"/>
    <s v="User Not Mapped"/>
    <s v="User Not Mapped"/>
    <n v="260211"/>
    <s v="M/s. Jaiswal Enterprise "/>
    <s v="Private Wholsaler"/>
    <s v="8116105006"/>
    <n v="0.55000000000000004"/>
    <n v="24"/>
    <x v="5"/>
    <s v="'261'"/>
    <s v="2026-03-27"/>
    <s v="270129"/>
    <s v="Kalyan Kr. Nandi"/>
    <s v="8250914797"/>
  </r>
  <r>
    <s v="RCF Import"/>
    <s v="Imp 10-26-26"/>
    <s v="WB"/>
    <x v="17"/>
    <s v="Haringhata"/>
    <s v="User Not Mapped"/>
    <s v="User Not Mapped"/>
    <s v="User Not Mapped"/>
    <n v="260211"/>
    <s v="M/s. Jaiswal Enterprise "/>
    <s v="Private Wholsaler"/>
    <s v="8116105006"/>
    <n v="8.65"/>
    <n v="35"/>
    <x v="3"/>
    <s v="'260'"/>
    <s v="2026-03-16"/>
    <s v="270129"/>
    <s v="Kalyan Kr. Nandi"/>
    <s v="8250914797"/>
  </r>
  <r>
    <s v="RCF Thal"/>
    <s v="N.C.Urea(45kg)"/>
    <s v="WB"/>
    <x v="17"/>
    <s v="Santipur"/>
    <s v="User Not Mapped"/>
    <s v="User Not Mapped"/>
    <s v="User Not Mapped"/>
    <n v="441527"/>
    <s v="M/S. Uttam Ghosh"/>
    <s v="Private Retailer"/>
    <s v="9475032034"/>
    <n v="5.8049999999999997"/>
    <n v="40"/>
    <x v="3"/>
    <m/>
    <s v="2026-03-11"/>
    <s v="270129"/>
    <s v="Kalyan Kr. Nandi"/>
    <s v="8250914797"/>
  </r>
  <r>
    <s v="RCF Thal"/>
    <s v="N.C.Urea(45kg)"/>
    <s v="WB"/>
    <x v="17"/>
    <s v="Chapra"/>
    <s v="User Not Mapped"/>
    <s v="User Not Mapped"/>
    <s v="User Not Mapped"/>
    <n v="440524"/>
    <s v="MAHATPUR FERTILIZER"/>
    <s v="Private Retailer"/>
    <s v="8972404740"/>
    <n v="6.6150000000000002"/>
    <n v="16"/>
    <x v="5"/>
    <m/>
    <s v="2026-04-04"/>
    <s v="270129"/>
    <s v="Kalyan Kr. Nandi"/>
    <s v="8250914797"/>
  </r>
  <r>
    <s v="RCF Thal"/>
    <s v="N.C.Urea(45kg)"/>
    <s v="WB"/>
    <x v="17"/>
    <m/>
    <s v="User Not Mapped"/>
    <s v="User Not Mapped"/>
    <s v="User Not Mapped"/>
    <n v="413568"/>
    <s v="Mayarani Fertilizers"/>
    <s v="Private Retailer"/>
    <s v="9733882437"/>
    <n v="14.625"/>
    <n v="18"/>
    <x v="5"/>
    <m/>
    <s v="2026-04-02"/>
    <s v="270129"/>
    <s v="Kalyan Kr. Nandi"/>
    <s v="8250914797"/>
  </r>
  <r>
    <s v="RCF Thal"/>
    <s v="N.C.Urea(45kg)"/>
    <s v="WB"/>
    <x v="17"/>
    <s v="Chakdah"/>
    <s v="User Not Mapped"/>
    <s v="User Not Mapped"/>
    <s v="User Not Mapped"/>
    <n v="341906"/>
    <s v="Md. Nazrul Islam"/>
    <s v="Private Retailer"/>
    <s v="9733946322"/>
    <n v="3.105"/>
    <n v="40"/>
    <x v="3"/>
    <m/>
    <s v="2026-03-11"/>
    <s v="270129"/>
    <s v="Kalyan Kr. Nandi"/>
    <s v="8250914797"/>
  </r>
  <r>
    <s v="RCF Thal"/>
    <s v="N.C.Urea(45kg)"/>
    <s v="WB"/>
    <x v="17"/>
    <s v="Haringhata"/>
    <s v="User Not Mapped"/>
    <s v="User Not Mapped"/>
    <s v="User Not Mapped"/>
    <n v="440438"/>
    <s v="Md. Sirajul Haq"/>
    <s v="Private Retailer"/>
    <s v="7001266140"/>
    <n v="4.95"/>
    <n v="40"/>
    <x v="3"/>
    <m/>
    <s v="2026-03-11"/>
    <s v="270129"/>
    <s v="Kalyan Kr. Nandi"/>
    <s v="8250914797"/>
  </r>
  <r>
    <s v="RCF Thal"/>
    <s v="N.C.Urea(45kg)"/>
    <s v="WB"/>
    <x v="17"/>
    <s v="Nakashipara"/>
    <s v="User Not Mapped"/>
    <s v="User Not Mapped"/>
    <s v="User Not Mapped"/>
    <n v="388000"/>
    <s v="Mondal Fertilizer"/>
    <s v="Private Retailer"/>
    <s v="9732532405"/>
    <n v="4.9950000000000001"/>
    <n v="18"/>
    <x v="5"/>
    <m/>
    <s v="2026-04-02"/>
    <s v="270129"/>
    <s v="Kalyan Kr. Nandi"/>
    <s v="8250914797"/>
  </r>
  <r>
    <s v="RCF Trombay"/>
    <s v="15-15-15"/>
    <s v="WB"/>
    <x v="17"/>
    <s v="Krishnagar - I"/>
    <s v="User Not Mapped"/>
    <s v="User Not Mapped"/>
    <s v="User Not Mapped"/>
    <n v="709017"/>
    <s v="MS KALIPADA BISWAS"/>
    <s v="Private Retailer"/>
    <s v="9647349267"/>
    <n v="3.75"/>
    <n v="55"/>
    <x v="3"/>
    <m/>
    <s v="2026-02-24"/>
    <s v="270129"/>
    <s v="Kalyan Kr. Nandi"/>
    <s v="8250914797"/>
  </r>
  <r>
    <s v="RCF Import"/>
    <s v="MOP"/>
    <s v="WB"/>
    <x v="17"/>
    <s v="Krishnagar - I"/>
    <s v="User Not Mapped"/>
    <s v="User Not Mapped"/>
    <s v="User Not Mapped"/>
    <n v="709017"/>
    <s v="MS KALIPADA BISWAS"/>
    <s v="Private Retailer"/>
    <s v="9647349267"/>
    <n v="2.5"/>
    <n v="55"/>
    <x v="3"/>
    <m/>
    <s v="2026-02-24"/>
    <s v="270129"/>
    <s v="Kalyan Kr. Nandi"/>
    <s v="8250914797"/>
  </r>
  <r>
    <s v="RCF Trombay"/>
    <s v="N.C.Urea(45kg)"/>
    <s v="WB"/>
    <x v="17"/>
    <s v="Krishnagar - I"/>
    <s v="User Not Mapped"/>
    <s v="User Not Mapped"/>
    <s v="User Not Mapped"/>
    <n v="709017"/>
    <s v="MS KALIPADA BISWAS"/>
    <s v="Private Retailer"/>
    <s v="9647349267"/>
    <n v="4.32"/>
    <n v="55"/>
    <x v="3"/>
    <m/>
    <s v="2026-02-24"/>
    <s v="270129"/>
    <s v="Kalyan Kr. Nandi"/>
    <s v="8250914797"/>
  </r>
  <r>
    <s v="RCF Trombay"/>
    <s v="N.C.Urea(45kg)"/>
    <s v="WB"/>
    <x v="17"/>
    <s v="Kaliganj"/>
    <s v="User Not Mapped"/>
    <s v="User Not Mapped"/>
    <s v="User Not Mapped"/>
    <n v="1377512"/>
    <s v="NATIONAL KRISHI FERTILIZER "/>
    <s v="Private Retailer"/>
    <s v="7602666631"/>
    <n v="0.72"/>
    <n v="55"/>
    <x v="3"/>
    <m/>
    <s v="2026-02-24"/>
    <s v="270129"/>
    <s v="Kalyan Kr. Nandi"/>
    <s v="8250914797"/>
  </r>
  <r>
    <s v="RCF Thal"/>
    <s v="N.C.Urea(45kg)"/>
    <s v="WB"/>
    <x v="17"/>
    <s v="Haringhata"/>
    <s v="User Not Mapped"/>
    <s v="User Not Mapped"/>
    <s v="User Not Mapped"/>
    <n v="943334"/>
    <s v="NITAI GHOSH"/>
    <s v="Private Retailer"/>
    <s v="9474194341"/>
    <n v="0.94499999999999995"/>
    <n v="40"/>
    <x v="3"/>
    <m/>
    <s v="2026-03-11"/>
    <s v="270129"/>
    <s v="Kalyan Kr. Nandi"/>
    <s v="8250914797"/>
  </r>
  <r>
    <s v="RCF Thal"/>
    <s v="N.C.Urea(45kg)"/>
    <s v="WB"/>
    <x v="17"/>
    <s v="Krishnagar - I"/>
    <s v="User Not Mapped"/>
    <s v="User Not Mapped"/>
    <s v="User Not Mapped"/>
    <n v="212865"/>
    <s v="Nitai Mallick"/>
    <s v="Private Retailer"/>
    <s v="8617362776"/>
    <n v="9.99"/>
    <n v="18"/>
    <x v="5"/>
    <m/>
    <s v="2026-04-02"/>
    <s v="270129"/>
    <s v="Kalyan Kr. Nandi"/>
    <s v="8250914797"/>
  </r>
  <r>
    <s v="RCF Trombay"/>
    <s v="N.C.Urea(45kg)"/>
    <s v="WB"/>
    <x v="17"/>
    <s v="Kaliganj"/>
    <s v="User Not Mapped"/>
    <s v="User Not Mapped"/>
    <s v="User Not Mapped"/>
    <n v="342132"/>
    <s v="Nurul Fertilizer"/>
    <s v="Private Retailer"/>
    <s v="9434945164"/>
    <n v="7.47"/>
    <n v="535"/>
    <x v="0"/>
    <m/>
    <s v="2024-11-01"/>
    <s v="270129"/>
    <s v="Kalyan Kr. Nandi"/>
    <s v="8250914797"/>
  </r>
  <r>
    <s v="RCF Thal"/>
    <s v="N.C.Urea(45kg)"/>
    <s v="WB"/>
    <x v="17"/>
    <m/>
    <s v="User Not Mapped"/>
    <s v="User Not Mapped"/>
    <s v="User Not Mapped"/>
    <n v="342606"/>
    <s v="Pradip Bir"/>
    <s v="Private Retailer"/>
    <s v="9153535388"/>
    <n v="9.99"/>
    <n v="18"/>
    <x v="5"/>
    <m/>
    <s v="2026-04-02"/>
    <s v="270129"/>
    <s v="Kalyan Kr. Nandi"/>
    <s v="8250914797"/>
  </r>
  <r>
    <s v="RCF Trombay"/>
    <s v="N.C.Urea(45kg)"/>
    <s v="WB"/>
    <x v="17"/>
    <m/>
    <s v="User Not Mapped"/>
    <s v="User Not Mapped"/>
    <s v="User Not Mapped"/>
    <n v="342606"/>
    <s v="Pradip Bir"/>
    <s v="Private Retailer"/>
    <s v="9153535388"/>
    <n v="4.9950000000000001"/>
    <n v="56"/>
    <x v="3"/>
    <m/>
    <s v="2026-02-23"/>
    <s v="270129"/>
    <s v="Kalyan Kr. Nandi"/>
    <s v="8250914797"/>
  </r>
  <r>
    <s v="RCF Trombay"/>
    <s v="15-15-15"/>
    <s v="WB"/>
    <x v="17"/>
    <m/>
    <s v="User Not Mapped"/>
    <s v="User Not Mapped"/>
    <s v="User Not Mapped"/>
    <n v="342606"/>
    <s v="Pradip Bir"/>
    <s v="Private Retailer"/>
    <s v="9153535388"/>
    <n v="5"/>
    <n v="56"/>
    <x v="3"/>
    <m/>
    <s v="2026-02-23"/>
    <s v="270129"/>
    <s v="Kalyan Kr. Nandi"/>
    <s v="8250914797"/>
  </r>
  <r>
    <s v="RCF Trombay"/>
    <s v="15-15-15"/>
    <s v="WB"/>
    <x v="17"/>
    <m/>
    <s v="User Not Mapped"/>
    <s v="User Not Mapped"/>
    <s v="User Not Mapped"/>
    <n v="342606"/>
    <s v="Pradip Bir"/>
    <s v="Private Retailer"/>
    <s v="9153535388"/>
    <n v="8.1999999999999993"/>
    <n v="86"/>
    <x v="6"/>
    <m/>
    <s v="2026-01-24"/>
    <s v="270129"/>
    <s v="Kalyan Kr. Nandi"/>
    <s v="8250914797"/>
  </r>
  <r>
    <s v="RCF Trombay"/>
    <s v="N.C.Urea(45kg)"/>
    <s v="WB"/>
    <x v="17"/>
    <m/>
    <s v="User Not Mapped"/>
    <s v="User Not Mapped"/>
    <s v="User Not Mapped"/>
    <n v="342606"/>
    <s v="Pradip Bir"/>
    <s v="Private Retailer"/>
    <s v="9153535388"/>
    <n v="2.25"/>
    <n v="86"/>
    <x v="6"/>
    <m/>
    <s v="2026-01-24"/>
    <s v="270129"/>
    <s v="Kalyan Kr. Nandi"/>
    <s v="8250914797"/>
  </r>
  <r>
    <s v="RCF Thal"/>
    <s v="N.C.Urea(45kg)"/>
    <s v="WB"/>
    <x v="17"/>
    <s v="Ranaghat - I"/>
    <s v="User Not Mapped"/>
    <s v="User Not Mapped"/>
    <s v="User Not Mapped"/>
    <n v="653542"/>
    <s v="PRADIP KUMAR CHANDA"/>
    <s v="Private Retailer"/>
    <s v="9733490091"/>
    <n v="0.63"/>
    <n v="40"/>
    <x v="3"/>
    <m/>
    <s v="2026-03-11"/>
    <s v="270129"/>
    <s v="Kalyan Kr. Nandi"/>
    <s v="8250914797"/>
  </r>
  <r>
    <s v="RCF Trombay"/>
    <s v="15-15-15"/>
    <s v="WB"/>
    <x v="17"/>
    <s v="Ranaghat - I"/>
    <s v="User Not Mapped"/>
    <s v="User Not Mapped"/>
    <s v="User Not Mapped"/>
    <n v="617103"/>
    <s v="PRASANTA SARKAR"/>
    <s v="Private Retailer"/>
    <s v="9734017891"/>
    <n v="10"/>
    <n v="55"/>
    <x v="3"/>
    <m/>
    <s v="2026-02-24"/>
    <s v="270129"/>
    <s v="Kalyan Kr. Nandi"/>
    <s v="8250914797"/>
  </r>
  <r>
    <s v="RCF Thal"/>
    <s v="N.C.Urea(45kg)"/>
    <s v="WB"/>
    <x v="17"/>
    <s v="Krishnaganj"/>
    <s v="User Not Mapped"/>
    <s v="User Not Mapped"/>
    <s v="User Not Mapped"/>
    <n v="323532"/>
    <s v="Pravash Ch. Biswas"/>
    <s v="Private Retailer"/>
    <s v="9609467078"/>
    <n v="9.99"/>
    <n v="16"/>
    <x v="5"/>
    <m/>
    <s v="2026-04-04"/>
    <s v="270129"/>
    <s v="Kalyan Kr. Nandi"/>
    <s v="8250914797"/>
  </r>
  <r>
    <s v="RCF Trombay"/>
    <s v="N.C.Urea(45kg)"/>
    <s v="WB"/>
    <x v="17"/>
    <s v="Nakashipara"/>
    <s v="User Not Mapped"/>
    <s v="User Not Mapped"/>
    <s v="User Not Mapped"/>
    <n v="388016"/>
    <s v="Rumpi Fertilisers"/>
    <s v="Private Retailer"/>
    <s v="9735642582"/>
    <n v="3.7349999999999999"/>
    <n v="55"/>
    <x v="3"/>
    <m/>
    <s v="2026-02-24"/>
    <s v="270129"/>
    <s v="Kalyan Kr. Nandi"/>
    <s v="8250914797"/>
  </r>
  <r>
    <s v="RCF Thal"/>
    <s v="N.C.Urea(45kg)"/>
    <s v="WB"/>
    <x v="17"/>
    <s v="Nakashipara"/>
    <s v="User Not Mapped"/>
    <s v="User Not Mapped"/>
    <s v="User Not Mapped"/>
    <n v="388016"/>
    <s v="Rumpi Fertilisers"/>
    <s v="Private Retailer"/>
    <s v="9735642582"/>
    <n v="4.9950000000000001"/>
    <n v="18"/>
    <x v="5"/>
    <m/>
    <s v="2026-04-02"/>
    <s v="270129"/>
    <s v="Kalyan Kr. Nandi"/>
    <s v="8250914797"/>
  </r>
  <r>
    <s v="RCF Trombay"/>
    <s v="N.C.Urea(45kg)"/>
    <s v="WB"/>
    <x v="17"/>
    <s v="Hanskhali"/>
    <s v="User Not Mapped"/>
    <s v="User Not Mapped"/>
    <s v="User Not Mapped"/>
    <n v="441531"/>
    <s v="SANJAY SAHA"/>
    <s v="Private Retailer"/>
    <s v="9474341221"/>
    <n v="9.99"/>
    <n v="82"/>
    <x v="6"/>
    <m/>
    <s v="2026-01-28"/>
    <s v="270129"/>
    <s v="Kalyan Kr. Nandi"/>
    <s v="8250914797"/>
  </r>
  <r>
    <s v="RCF Trombay"/>
    <s v="15-15-15"/>
    <s v="WB"/>
    <x v="17"/>
    <s v="Chapra"/>
    <s v="User Not Mapped"/>
    <s v="User Not Mapped"/>
    <s v="User Not Mapped"/>
    <n v="440927"/>
    <s v="Sankar Kr Biswas"/>
    <s v="Private Retailer"/>
    <s v="9800154829"/>
    <n v="2.35"/>
    <n v="86"/>
    <x v="6"/>
    <m/>
    <s v="2026-01-24"/>
    <s v="270129"/>
    <s v="Kalyan Kr. Nandi"/>
    <s v="8250914797"/>
  </r>
  <r>
    <s v="RCF Trombay"/>
    <s v="N.C.Urea(45kg)"/>
    <s v="WB"/>
    <x v="17"/>
    <s v="Krishnagar - I"/>
    <s v="User Not Mapped"/>
    <s v="User Not Mapped"/>
    <s v="User Not Mapped"/>
    <n v="444043"/>
    <s v="Sarkar Fertilizer"/>
    <s v="Private Retailer"/>
    <s v="9434822065"/>
    <n v="1.08"/>
    <n v="55"/>
    <x v="3"/>
    <m/>
    <s v="2026-02-24"/>
    <s v="270129"/>
    <s v="Kalyan Kr. Nandi"/>
    <s v="8250914797"/>
  </r>
  <r>
    <s v="RCF Import"/>
    <s v="MOP"/>
    <s v="WB"/>
    <x v="17"/>
    <s v="Krishnagar - I"/>
    <s v="User Not Mapped"/>
    <s v="User Not Mapped"/>
    <s v="User Not Mapped"/>
    <n v="444043"/>
    <s v="Sarkar Fertilizer"/>
    <s v="Private Retailer"/>
    <s v="9434822065"/>
    <n v="4.0999999999999996"/>
    <n v="56"/>
    <x v="3"/>
    <m/>
    <s v="2026-02-23"/>
    <s v="270129"/>
    <s v="Kalyan Kr. Nandi"/>
    <s v="8250914797"/>
  </r>
  <r>
    <s v="RCF Import"/>
    <s v="MOP"/>
    <s v="WB"/>
    <x v="17"/>
    <s v="Krishnaganj"/>
    <s v="User Not Mapped"/>
    <s v="User Not Mapped"/>
    <s v="User Not Mapped"/>
    <n v="1005236"/>
    <s v="SASANKA SEKHAR KUNDU"/>
    <s v="Private Wholsaler"/>
    <s v="8250640930"/>
    <n v="10"/>
    <n v="20"/>
    <x v="5"/>
    <s v="'262'"/>
    <s v="2026-03-31"/>
    <s v="270129"/>
    <s v="Kalyan Kr. Nandi"/>
    <s v="8250914797"/>
  </r>
  <r>
    <s v="RCF Import"/>
    <s v="MOP"/>
    <s v="WB"/>
    <x v="17"/>
    <s v="Krishnaganj"/>
    <s v="User Not Mapped"/>
    <s v="User Not Mapped"/>
    <s v="User Not Mapped"/>
    <n v="1005236"/>
    <s v="SASANKA SEKHAR KUNDU"/>
    <s v="Private Wholsaler"/>
    <s v="8250640930"/>
    <n v="10"/>
    <n v="18"/>
    <x v="5"/>
    <s v="'264'"/>
    <s v="2026-04-02"/>
    <s v="270129"/>
    <s v="Kalyan Kr. Nandi"/>
    <s v="8250914797"/>
  </r>
  <r>
    <s v="RCF Import"/>
    <s v="MOP"/>
    <s v="WB"/>
    <x v="17"/>
    <s v="Krishnaganj"/>
    <s v="User Not Mapped"/>
    <s v="User Not Mapped"/>
    <s v="User Not Mapped"/>
    <n v="1005236"/>
    <s v="SASANKA SEKHAR KUNDU"/>
    <s v="Private Wholsaler"/>
    <s v="8250640930"/>
    <n v="4.25"/>
    <n v="20"/>
    <x v="5"/>
    <s v="'263'"/>
    <s v="2026-03-31"/>
    <s v="270129"/>
    <s v="Kalyan Kr. Nandi"/>
    <s v="8250914797"/>
  </r>
  <r>
    <s v="RCF Import"/>
    <s v="MOP"/>
    <s v="WB"/>
    <x v="17"/>
    <s v="Krishnaganj"/>
    <s v="User Not Mapped"/>
    <s v="User Not Mapped"/>
    <s v="User Not Mapped"/>
    <n v="1005236"/>
    <s v="SASANKA SEKHAR KUNDU"/>
    <s v="Private Wholsaler"/>
    <s v="8250640930"/>
    <n v="10"/>
    <n v="18"/>
    <x v="5"/>
    <s v="'265'"/>
    <s v="2026-04-02"/>
    <s v="270129"/>
    <s v="Kalyan Kr. Nandi"/>
    <s v="8250914797"/>
  </r>
  <r>
    <s v="RCF Thal"/>
    <s v="N.C.Urea(45kg)"/>
    <s v="WB"/>
    <x v="17"/>
    <s v="Krishnaganj"/>
    <s v="User Not Mapped"/>
    <s v="User Not Mapped"/>
    <s v="User Not Mapped"/>
    <n v="498190"/>
    <s v="Sasanka Sekhar Kundu"/>
    <s v="Private Retailer"/>
    <s v="8250640930"/>
    <n v="39.96"/>
    <n v="17"/>
    <x v="5"/>
    <m/>
    <s v="2026-04-03"/>
    <s v="270129"/>
    <s v="Kalyan Kr. Nandi"/>
    <s v="8250914797"/>
  </r>
  <r>
    <s v="RCF Trombay"/>
    <s v="N.C.Urea(45kg)"/>
    <s v="WB"/>
    <x v="17"/>
    <s v="Krishnaganj"/>
    <s v="User Not Mapped"/>
    <s v="User Not Mapped"/>
    <s v="User Not Mapped"/>
    <n v="498190"/>
    <s v="Sasanka Sekhar Kundu"/>
    <s v="Private Retailer"/>
    <s v="8250640930"/>
    <n v="11.744999999999999"/>
    <n v="55"/>
    <x v="3"/>
    <m/>
    <s v="2026-02-24"/>
    <s v="270129"/>
    <s v="Kalyan Kr. Nandi"/>
    <s v="8250914797"/>
  </r>
  <r>
    <s v="RCF Import"/>
    <s v="MOP"/>
    <s v="WB"/>
    <x v="17"/>
    <s v="Krishnaganj"/>
    <s v="User Not Mapped"/>
    <s v="User Not Mapped"/>
    <s v="User Not Mapped"/>
    <n v="498190"/>
    <s v="Sasanka Sekhar Kundu"/>
    <s v="Private Retailer"/>
    <s v="8250640930"/>
    <n v="14.5"/>
    <n v="56"/>
    <x v="3"/>
    <m/>
    <s v="2026-02-23"/>
    <s v="270129"/>
    <s v="Kalyan Kr. Nandi"/>
    <s v="8250914797"/>
  </r>
  <r>
    <s v="RCF Trombay"/>
    <s v="15-15-15"/>
    <s v="WB"/>
    <x v="17"/>
    <s v="Krishnaganj"/>
    <s v="User Not Mapped"/>
    <s v="User Not Mapped"/>
    <s v="User Not Mapped"/>
    <n v="498190"/>
    <s v="Sasanka Sekhar Kundu"/>
    <s v="Private Retailer"/>
    <s v="8250640930"/>
    <n v="20.65"/>
    <n v="55"/>
    <x v="3"/>
    <m/>
    <s v="2026-02-24"/>
    <s v="270129"/>
    <s v="Kalyan Kr. Nandi"/>
    <s v="8250914797"/>
  </r>
  <r>
    <s v="RCF Trombay"/>
    <s v="N.C.Urea(45kg)"/>
    <s v="WB"/>
    <x v="17"/>
    <s v="Chapra"/>
    <s v="User Not Mapped"/>
    <s v="User Not Mapped"/>
    <s v="User Not Mapped"/>
    <n v="439374"/>
    <s v="Shaikh Fertilizer"/>
    <s v="Private Retailer"/>
    <s v="9932678483"/>
    <n v="0.72"/>
    <n v="357"/>
    <x v="1"/>
    <m/>
    <s v="2025-04-28"/>
    <s v="270129"/>
    <s v="Kalyan Kr. Nandi"/>
    <s v="8250914797"/>
  </r>
  <r>
    <s v="RCF Trombay"/>
    <s v="15-15-15"/>
    <s v="WB"/>
    <x v="17"/>
    <s v="Chakdah"/>
    <s v="User Not Mapped"/>
    <s v="User Not Mapped"/>
    <s v="User Not Mapped"/>
    <n v="941909"/>
    <s v="SHYAMRAM DAS"/>
    <s v="Private Retailer"/>
    <s v="8509318887"/>
    <n v="2"/>
    <n v="55"/>
    <x v="3"/>
    <m/>
    <s v="2026-02-24"/>
    <s v="270129"/>
    <s v="Kalyan Kr. Nandi"/>
    <s v="8250914797"/>
  </r>
  <r>
    <s v="RCF Trombay"/>
    <s v="15-15-15"/>
    <s v="WB"/>
    <x v="17"/>
    <s v="Krishnagar - II"/>
    <s v="User Not Mapped"/>
    <s v="User Not Mapped"/>
    <s v="User Not Mapped"/>
    <n v="950661"/>
    <s v="SINGHATI SKUS LTD SONDANGA"/>
    <s v="PACS"/>
    <s v="8509164691"/>
    <n v="2.25"/>
    <n v="86"/>
    <x v="6"/>
    <m/>
    <s v="2026-01-24"/>
    <s v="270129"/>
    <s v="Kalyan Kr. Nandi"/>
    <s v="8250914797"/>
  </r>
  <r>
    <s v="RCF Trombay"/>
    <s v="15-15-15"/>
    <s v="WB"/>
    <x v="17"/>
    <s v="Nakashipara"/>
    <s v="User Not Mapped"/>
    <s v="User Not Mapped"/>
    <s v="User Not Mapped"/>
    <n v="1132428"/>
    <s v="SINGHATI SKUS LTD-SALIGRAM"/>
    <s v="PACS"/>
    <s v="9635972328"/>
    <n v="10"/>
    <n v="86"/>
    <x v="6"/>
    <m/>
    <s v="2026-01-24"/>
    <s v="270129"/>
    <s v="Kalyan Kr. Nandi"/>
    <s v="8250914797"/>
  </r>
  <r>
    <s v="RCF Trombay"/>
    <s v="15-15-15"/>
    <s v="WB"/>
    <x v="17"/>
    <s v="Krishnagar - I"/>
    <s v="User Not Mapped"/>
    <s v="User Not Mapped"/>
    <s v="User Not Mapped"/>
    <n v="1063064"/>
    <s v="SUBHAS CHAKRABORTY"/>
    <s v="Private Retailer"/>
    <s v="9475113365"/>
    <n v="2.5"/>
    <n v="899"/>
    <x v="2"/>
    <m/>
    <s v="2023-11-03"/>
    <s v="270129"/>
    <s v="Kalyan Kr. Nandi"/>
    <s v="8250914797"/>
  </r>
  <r>
    <s v="RCF Trombay"/>
    <s v="15-15-15"/>
    <s v="WB"/>
    <x v="17"/>
    <s v="Krishnagar - I"/>
    <s v="User Not Mapped"/>
    <s v="User Not Mapped"/>
    <s v="User Not Mapped"/>
    <n v="1063064"/>
    <s v="SUBHAS CHAKRABORTY"/>
    <s v="Private Retailer"/>
    <s v="9475113365"/>
    <n v="2.5"/>
    <n v="1011"/>
    <x v="2"/>
    <m/>
    <s v="2023-07-14"/>
    <s v="270129"/>
    <s v="Kalyan Kr. Nandi"/>
    <s v="8250914797"/>
  </r>
  <r>
    <s v="RCF Trombay"/>
    <s v="N.C.Urea(45kg)"/>
    <s v="WB"/>
    <x v="17"/>
    <s v="Krishnagar - I"/>
    <s v="User Not Mapped"/>
    <s v="User Not Mapped"/>
    <s v="User Not Mapped"/>
    <n v="459356"/>
    <s v="Sunil Kumar Biswas"/>
    <s v="Private Retailer"/>
    <s v="8371912180"/>
    <n v="2.2949999999999999"/>
    <n v="245"/>
    <x v="1"/>
    <m/>
    <s v="2025-08-18"/>
    <s v="270129"/>
    <s v="Kalyan Kr. Nandi"/>
    <s v="8250914797"/>
  </r>
  <r>
    <s v="RCF Thal"/>
    <s v="N.C.Urea(45kg)"/>
    <s v="WB"/>
    <x v="17"/>
    <s v="Ranaghat - II"/>
    <s v="User Not Mapped"/>
    <s v="User Not Mapped"/>
    <s v="User Not Mapped"/>
    <n v="452367"/>
    <s v="Uttam Karmokar"/>
    <s v="Private Retailer"/>
    <s v="9733772588"/>
    <n v="9.9"/>
    <n v="40"/>
    <x v="3"/>
    <m/>
    <s v="2026-03-11"/>
    <s v="270129"/>
    <s v="Kalyan Kr. Nandi"/>
    <s v="8250914797"/>
  </r>
  <r>
    <s v="RCF Trombay"/>
    <s v="15-15-15"/>
    <s v="WB"/>
    <x v="17"/>
    <s v="Krishnagar - I"/>
    <s v="User Not Mapped"/>
    <s v="User Not Mapped"/>
    <s v="User Not Mapped"/>
    <n v="796826"/>
    <s v="MS UTPAL MONDAL"/>
    <s v="Private Retailer"/>
    <s v="7384402918"/>
    <n v="0.9"/>
    <n v="769"/>
    <x v="2"/>
    <m/>
    <s v="2024-03-12"/>
    <s v="258838"/>
    <s v="Kartik Chandra Pramanik"/>
    <s v="9382413330"/>
  </r>
  <r>
    <s v="RCF Trombay"/>
    <s v="N.C.Urea(45kg)"/>
    <s v="WB"/>
    <x v="17"/>
    <s v="Karimpur - I"/>
    <s v="User Not Mapped"/>
    <s v="User Not Mapped"/>
    <s v="User Not Mapped"/>
    <n v="464412"/>
    <s v="Dokari Mondol"/>
    <s v="Private Retailer"/>
    <s v="8670487768"/>
    <n v="0.81"/>
    <n v="1206"/>
    <x v="2"/>
    <m/>
    <s v="2022-12-31"/>
    <s v="1258420"/>
    <s v="M.A.C COMPANY"/>
    <s v="9433152053"/>
  </r>
  <r>
    <s v="RCF Trombay"/>
    <s v="15-15-15"/>
    <s v="WB"/>
    <x v="17"/>
    <m/>
    <s v="User Not Mapped"/>
    <s v="User Not Mapped"/>
    <s v="User Not Mapped"/>
    <n v="471787"/>
    <s v="Keshob Saha"/>
    <s v="Private Retailer"/>
    <s v="8617836550"/>
    <n v="0.75"/>
    <n v="1143"/>
    <x v="2"/>
    <m/>
    <s v="2023-03-04"/>
    <s v="1258420"/>
    <s v="M.A.C COMPANY"/>
    <s v="9433152053"/>
  </r>
  <r>
    <s v="RCF Trombay"/>
    <s v="N.C.Urea(45kg)"/>
    <s v="WB"/>
    <x v="17"/>
    <m/>
    <s v="User Not Mapped"/>
    <s v="User Not Mapped"/>
    <s v="User Not Mapped"/>
    <n v="1107808"/>
    <s v="MS SAFIUR FERTILIZER"/>
    <s v="Private Retailer"/>
    <s v="8967130897"/>
    <n v="4.7249999999999996"/>
    <n v="1173"/>
    <x v="2"/>
    <m/>
    <s v="2023-02-02"/>
    <s v="1258420"/>
    <s v="M.A.C COMPANY"/>
    <s v="9433152053"/>
  </r>
  <r>
    <s v="RCF Trombay"/>
    <s v="15-15-15"/>
    <s v="WB"/>
    <x v="17"/>
    <m/>
    <s v="User Not Mapped"/>
    <s v="User Not Mapped"/>
    <s v="User Not Mapped"/>
    <n v="1062015"/>
    <s v="NARU GOPAL BISWAS"/>
    <s v="Private Retailer"/>
    <s v="9732419513"/>
    <n v="0.75"/>
    <n v="1236"/>
    <x v="2"/>
    <m/>
    <s v="2022-12-01"/>
    <s v="1258420"/>
    <s v="M.A.C COMPANY"/>
    <s v="9433152053"/>
  </r>
  <r>
    <s v="RCF Trombay"/>
    <s v="15-15-15"/>
    <s v="WB"/>
    <x v="17"/>
    <s v="Nakashipara"/>
    <s v="User Not Mapped"/>
    <s v="User Not Mapped"/>
    <s v="User Not Mapped"/>
    <n v="1544207"/>
    <s v="SAMIMA KRISHI SEVA KENDRA"/>
    <s v="Private Retailer"/>
    <s v="9093690024"/>
    <n v="0.75"/>
    <n v="118"/>
    <x v="7"/>
    <m/>
    <s v="2025-12-23"/>
    <s v="1258420"/>
    <s v="M.A.C COMPANY"/>
    <s v="9433152053"/>
  </r>
  <r>
    <s v="RCF Trombay"/>
    <s v="15-15-15"/>
    <s v="WB"/>
    <x v="17"/>
    <s v="Nakashipara"/>
    <s v="User Not Mapped"/>
    <s v="User Not Mapped"/>
    <s v="User Not Mapped"/>
    <n v="413634"/>
    <s v="Sirjul Hoque Sekh "/>
    <s v="Private Retailer"/>
    <s v="9775057010"/>
    <n v="0.05"/>
    <n v="118"/>
    <x v="7"/>
    <m/>
    <s v="2025-12-23"/>
    <s v="1258420"/>
    <s v="M.A.C COMPANY"/>
    <s v="9433152053"/>
  </r>
  <r>
    <s v="RCF Thal"/>
    <s v="N.C.Urea(45kg)"/>
    <s v="WB"/>
    <x v="17"/>
    <s v="Tehatta - I"/>
    <s v="User Not Mapped"/>
    <s v="User Not Mapped"/>
    <s v="User Not Mapped"/>
    <n v="935340"/>
    <s v="SUPRIYA BISWAS"/>
    <s v="Private Retailer"/>
    <s v="9002577092"/>
    <n v="0.129"/>
    <n v="1196"/>
    <x v="2"/>
    <m/>
    <s v="2023-01-10"/>
    <s v="1258420"/>
    <s v="M.A.C COMPANY"/>
    <s v="9433152053"/>
  </r>
  <r>
    <s v="RCF Import"/>
    <s v="MOP"/>
    <s v="WB"/>
    <x v="17"/>
    <s v="Krishnagar - I"/>
    <s v="User Not Mapped"/>
    <s v="User Not Mapped"/>
    <s v="User Not Mapped"/>
    <n v="549643"/>
    <s v="M/S RATAN BISWAS"/>
    <s v="Private Wholsaler"/>
    <s v="8617364808"/>
    <n v="1.4"/>
    <n v="61"/>
    <x v="6"/>
    <s v="'RATAN493'"/>
    <s v="2026-02-18"/>
    <s v="223807"/>
    <s v="M.K. Chemical and Fertilizers"/>
    <s v="9051316329"/>
  </r>
  <r>
    <s v="RCF Trombay"/>
    <s v="15-15-15"/>
    <s v="WB"/>
    <x v="17"/>
    <s v="Tehatta - II"/>
    <s v="User Not Mapped"/>
    <s v="User Not Mapped"/>
    <s v="User Not Mapped"/>
    <n v="1482361"/>
    <s v="M/S MOHONA FERTILIZER AND INSE"/>
    <s v="Private Retailer"/>
    <s v="8250332479"/>
    <n v="0.1"/>
    <n v="584"/>
    <x v="2"/>
    <m/>
    <s v="2024-09-13"/>
    <s v="1157492"/>
    <s v="M/S APARNA DEY"/>
    <s v="8597753337"/>
  </r>
  <r>
    <s v="RCF Trombay"/>
    <s v="15-15-15"/>
    <s v="WB"/>
    <x v="17"/>
    <s v="Haringhata"/>
    <s v="User Not Mapped"/>
    <s v="User Not Mapped"/>
    <s v="User Not Mapped"/>
    <n v="272878"/>
    <s v="Badal Mallick"/>
    <s v="Private Retailer"/>
    <s v="9153453448"/>
    <n v="0.25"/>
    <n v="174"/>
    <x v="4"/>
    <m/>
    <s v="2025-10-28"/>
    <s v="1420181"/>
    <s v="M/S BINAY DAS"/>
    <s v="7797613134"/>
  </r>
  <r>
    <s v="RCF Trombay"/>
    <s v="15-15-15"/>
    <s v="WB"/>
    <x v="17"/>
    <s v="Haringhata"/>
    <s v="User Not Mapped"/>
    <s v="User Not Mapped"/>
    <s v="User Not Mapped"/>
    <n v="341930"/>
    <s v="Mijanur Rahaman Mondal"/>
    <s v="Private Retailer"/>
    <s v="7407525078"/>
    <n v="0.3"/>
    <n v="174"/>
    <x v="4"/>
    <m/>
    <s v="2025-10-28"/>
    <s v="1420181"/>
    <s v="M/S BINAY DAS"/>
    <s v="7797613134"/>
  </r>
  <r>
    <s v="RCF Trombay"/>
    <s v="15-15-15"/>
    <s v="WB"/>
    <x v="17"/>
    <s v="Haringhata"/>
    <s v="User Not Mapped"/>
    <s v="User Not Mapped"/>
    <s v="User Not Mapped"/>
    <n v="341931"/>
    <s v="Mikail Mondal"/>
    <s v="Private Retailer"/>
    <s v="8001582562"/>
    <n v="0.5"/>
    <n v="174"/>
    <x v="4"/>
    <m/>
    <s v="2025-10-28"/>
    <s v="1420181"/>
    <s v="M/S BINAY DAS"/>
    <s v="7797613134"/>
  </r>
  <r>
    <s v="RCF Trombay"/>
    <s v="15-15-15"/>
    <s v="WB"/>
    <x v="17"/>
    <s v="Haringhata"/>
    <s v="User Not Mapped"/>
    <s v="User Not Mapped"/>
    <s v="User Not Mapped"/>
    <n v="342048"/>
    <s v="Narendra Nath Das"/>
    <s v="Private Retailer"/>
    <s v="9735664569"/>
    <n v="0.1"/>
    <n v="174"/>
    <x v="4"/>
    <m/>
    <s v="2025-10-28"/>
    <s v="1420181"/>
    <s v="M/S BINAY DAS"/>
    <s v="7797613134"/>
  </r>
  <r>
    <s v="RCF Trombay"/>
    <s v="15-15-15"/>
    <s v="WB"/>
    <x v="17"/>
    <s v="Chapra"/>
    <s v="User Not Mapped"/>
    <s v="User Not Mapped"/>
    <s v="User Not Mapped"/>
    <n v="942007"/>
    <s v="MONDAL FERTILIZER"/>
    <s v="Private Retailer"/>
    <s v="9734087491"/>
    <n v="0.3"/>
    <n v="1227"/>
    <x v="2"/>
    <m/>
    <s v="2022-12-10"/>
    <s v="1132412"/>
    <s v="M/S MLLICK FERTILIZER"/>
    <s v="9775925747"/>
  </r>
  <r>
    <s v="RCF Trombay"/>
    <s v="N.C.Urea(45kg)"/>
    <s v="WB"/>
    <x v="17"/>
    <m/>
    <s v="User Not Mapped"/>
    <s v="User Not Mapped"/>
    <s v="User Not Mapped"/>
    <n v="1107804"/>
    <s v="MONDAL FERTILIZER"/>
    <s v="Private Retailer"/>
    <s v="9091598802"/>
    <n v="0.03"/>
    <n v="1821"/>
    <x v="2"/>
    <m/>
    <s v="2021-04-25"/>
    <s v="1132412"/>
    <s v="M/S MLLICK FERTILIZER"/>
    <s v="9775925747"/>
  </r>
  <r>
    <s v="RCF Import"/>
    <s v="MOP"/>
    <s v="WB"/>
    <x v="17"/>
    <s v="Chapra"/>
    <s v="User Not Mapped"/>
    <s v="User Not Mapped"/>
    <s v="User Not Mapped"/>
    <n v="620244"/>
    <s v="SAHAR UDDIN MONDAL"/>
    <s v="Private Retailer"/>
    <s v="8159875454"/>
    <n v="0.05"/>
    <n v="474"/>
    <x v="0"/>
    <m/>
    <s v="2025-01-01"/>
    <s v="1132412"/>
    <s v="M/S MLLICK FERTILIZER"/>
    <s v="9775925747"/>
  </r>
  <r>
    <s v="RCF Import"/>
    <s v="MOP"/>
    <s v="WB"/>
    <x v="17"/>
    <s v="Chapra"/>
    <s v="User Not Mapped"/>
    <s v="User Not Mapped"/>
    <s v="User Not Mapped"/>
    <n v="488430"/>
    <s v="Shaikh Fertilizer"/>
    <s v="Private Retailer"/>
    <s v="9153018011"/>
    <n v="0.25"/>
    <n v="482"/>
    <x v="0"/>
    <m/>
    <s v="2024-12-24"/>
    <s v="1132412"/>
    <s v="M/S MLLICK FERTILIZER"/>
    <s v="9775925747"/>
  </r>
  <r>
    <s v="RCF Import"/>
    <s v="Imp 10-26-26"/>
    <s v="WB"/>
    <x v="17"/>
    <s v="Chakdah"/>
    <s v="User Not Mapped"/>
    <s v="User Not Mapped"/>
    <s v="User Not Mapped"/>
    <n v="941498"/>
    <s v="AJIT KUMAR SARKAR"/>
    <s v="Private Retailer"/>
    <s v="9775668237"/>
    <n v="0.85"/>
    <n v="292"/>
    <x v="1"/>
    <m/>
    <s v="2025-07-02"/>
    <s v="441419"/>
    <s v="M/S Namita Chanda"/>
    <s v="9775677020"/>
  </r>
  <r>
    <s v="RCF Trombay"/>
    <s v="15-15-15"/>
    <s v="WB"/>
    <x v="17"/>
    <s v="Haringhata"/>
    <s v="User Not Mapped"/>
    <s v="User Not Mapped"/>
    <s v="User Not Mapped"/>
    <n v="1506616"/>
    <s v="AMMA CHASHI GHAR"/>
    <s v="Private Retailer"/>
    <s v="9002018084"/>
    <n v="0.1"/>
    <n v="302"/>
    <x v="1"/>
    <m/>
    <s v="2025-06-22"/>
    <s v="441419"/>
    <s v="M/S Namita Chanda"/>
    <s v="9775677020"/>
  </r>
  <r>
    <s v="RCF Import"/>
    <s v="Imp 10-26-26"/>
    <s v="WB"/>
    <x v="17"/>
    <m/>
    <s v="User Not Mapped"/>
    <s v="User Not Mapped"/>
    <s v="User Not Mapped"/>
    <n v="340968"/>
    <s v="Azizul Sardar"/>
    <s v="Private Retailer"/>
    <s v="9775177828"/>
    <n v="0.25"/>
    <n v="193"/>
    <x v="1"/>
    <m/>
    <s v="2025-10-09"/>
    <s v="441419"/>
    <s v="M/S Namita Chanda"/>
    <s v="9775677020"/>
  </r>
  <r>
    <s v="RCF Import"/>
    <s v="Imp 10-26-26"/>
    <s v="WB"/>
    <x v="17"/>
    <s v="Chakdah"/>
    <s v="User Not Mapped"/>
    <s v="User Not Mapped"/>
    <s v="User Not Mapped"/>
    <n v="653554"/>
    <s v="ETI BISWAS"/>
    <s v="Private Retailer"/>
    <s v="8972595641"/>
    <n v="0.75"/>
    <n v="186"/>
    <x v="1"/>
    <m/>
    <s v="2025-10-16"/>
    <s v="441419"/>
    <s v="M/S Namita Chanda"/>
    <s v="9775677020"/>
  </r>
  <r>
    <s v="RCF Import"/>
    <s v="Imp 10-26-26"/>
    <s v="WB"/>
    <x v="17"/>
    <s v="Chakdah"/>
    <s v="User Not Mapped"/>
    <s v="User Not Mapped"/>
    <s v="User Not Mapped"/>
    <n v="653554"/>
    <s v="ETI BISWAS"/>
    <s v="Private Retailer"/>
    <s v="8972595641"/>
    <n v="1"/>
    <n v="209"/>
    <x v="1"/>
    <m/>
    <s v="2025-09-23"/>
    <s v="441419"/>
    <s v="M/S Namita Chanda"/>
    <s v="9775677020"/>
  </r>
  <r>
    <s v="RCF Trombay"/>
    <s v="15-15-15"/>
    <s v="WB"/>
    <x v="17"/>
    <s v="Ranaghat - II"/>
    <s v="User Not Mapped"/>
    <s v="User Not Mapped"/>
    <s v="User Not Mapped"/>
    <n v="943324"/>
    <s v="GHOSH FERTILIZER AND PESTICIDE"/>
    <s v="Private Retailer"/>
    <s v="9732800291"/>
    <n v="0.3"/>
    <n v="765"/>
    <x v="2"/>
    <m/>
    <s v="2024-03-16"/>
    <s v="441419"/>
    <s v="M/S Namita Chanda"/>
    <s v="9775677020"/>
  </r>
  <r>
    <s v="RCF Trombay"/>
    <s v="15-15-15"/>
    <s v="WB"/>
    <x v="17"/>
    <s v="Chakdah"/>
    <s v="User Not Mapped"/>
    <s v="User Not Mapped"/>
    <s v="User Not Mapped"/>
    <n v="852174"/>
    <s v="GIYARUL MONDAL"/>
    <s v="Private Retailer"/>
    <s v="7003064629"/>
    <n v="0.69"/>
    <n v="467"/>
    <x v="0"/>
    <m/>
    <s v="2025-01-08"/>
    <s v="441419"/>
    <s v="M/S Namita Chanda"/>
    <s v="9775677020"/>
  </r>
  <r>
    <s v="RCF Import"/>
    <s v="MOP"/>
    <s v="WB"/>
    <x v="17"/>
    <s v="Haringhata"/>
    <s v="User Not Mapped"/>
    <s v="User Not Mapped"/>
    <s v="User Not Mapped"/>
    <n v="341537"/>
    <s v="Jasimuddin Mia"/>
    <s v="Private Retailer"/>
    <s v="9775613896"/>
    <n v="0.25"/>
    <n v="52"/>
    <x v="3"/>
    <m/>
    <s v="2026-02-27"/>
    <s v="441419"/>
    <s v="M/S Namita Chanda"/>
    <s v="9775677020"/>
  </r>
  <r>
    <s v="RCF Import"/>
    <s v="MOP"/>
    <s v="WB"/>
    <x v="17"/>
    <s v="Chakdah"/>
    <s v="User Not Mapped"/>
    <s v="User Not Mapped"/>
    <s v="User Not Mapped"/>
    <n v="340708"/>
    <s v="M/S Achinta Kr Das"/>
    <s v="Private Retailer"/>
    <s v="7432976986"/>
    <n v="0.6"/>
    <n v="52"/>
    <x v="3"/>
    <m/>
    <s v="2026-02-27"/>
    <s v="441419"/>
    <s v="M/S Namita Chanda"/>
    <s v="9775677020"/>
  </r>
  <r>
    <s v="RCF Import"/>
    <s v="Imp 10-26-26"/>
    <s v="WB"/>
    <x v="17"/>
    <s v="Chakdah"/>
    <s v="User Not Mapped"/>
    <s v="User Not Mapped"/>
    <s v="User Not Mapped"/>
    <n v="941688"/>
    <s v="M/S KRISHI GHAR"/>
    <s v="Private Retailer"/>
    <s v="7872124739"/>
    <n v="0.2"/>
    <n v="168"/>
    <x v="4"/>
    <m/>
    <s v="2025-11-03"/>
    <s v="441419"/>
    <s v="M/S Namita Chanda"/>
    <s v="9775677020"/>
  </r>
  <r>
    <s v="RCF Trombay"/>
    <s v="15-15-15"/>
    <s v="WB"/>
    <x v="17"/>
    <s v="Chakdah"/>
    <s v="User Not Mapped"/>
    <s v="User Not Mapped"/>
    <s v="User Not Mapped"/>
    <n v="941688"/>
    <s v="M/S KRISHI GHAR"/>
    <s v="Private Retailer"/>
    <s v="7872124739"/>
    <n v="0.1"/>
    <n v="320"/>
    <x v="1"/>
    <m/>
    <s v="2025-06-04"/>
    <s v="441419"/>
    <s v="M/S Namita Chanda"/>
    <s v="9775677020"/>
  </r>
  <r>
    <s v="RCF Import"/>
    <s v="MOP"/>
    <s v="WB"/>
    <x v="17"/>
    <s v="Chakdah"/>
    <s v="User Not Mapped"/>
    <s v="User Not Mapped"/>
    <s v="User Not Mapped"/>
    <n v="1325664"/>
    <s v="M/S MONDAL FERTILIZER AND PEST"/>
    <s v="Private Retailer"/>
    <s v="9064069522"/>
    <n v="1"/>
    <n v="52"/>
    <x v="3"/>
    <m/>
    <s v="2026-02-27"/>
    <s v="441419"/>
    <s v="M/S Namita Chanda"/>
    <s v="9775677020"/>
  </r>
  <r>
    <s v="RCF Import"/>
    <s v="MOP"/>
    <s v="WB"/>
    <x v="17"/>
    <s v="Chakdah"/>
    <s v="User Not Mapped"/>
    <s v="User Not Mapped"/>
    <s v="User Not Mapped"/>
    <n v="342592"/>
    <s v="M/S PROBODH KIJMAR CHANDA"/>
    <s v="Private Retailer"/>
    <s v="9333386196"/>
    <n v="1"/>
    <n v="52"/>
    <x v="3"/>
    <m/>
    <s v="2026-02-27"/>
    <s v="441419"/>
    <s v="M/S Namita Chanda"/>
    <s v="9775677020"/>
  </r>
  <r>
    <s v="RCF Import"/>
    <s v="MOP"/>
    <s v="WB"/>
    <x v="17"/>
    <s v="Chakdah"/>
    <s v="User Not Mapped"/>
    <s v="User Not Mapped"/>
    <s v="User Not Mapped"/>
    <n v="440624"/>
    <s v="M/S Ramesh Debnath"/>
    <s v="Private Retailer"/>
    <s v="8159974692"/>
    <n v="4.6500000000000004"/>
    <n v="52"/>
    <x v="3"/>
    <m/>
    <s v="2026-02-27"/>
    <s v="441419"/>
    <s v="M/S Namita Chanda"/>
    <s v="9775677020"/>
  </r>
  <r>
    <s v="RCF Import"/>
    <s v="MOP"/>
    <s v="WB"/>
    <x v="17"/>
    <s v="Haringhata"/>
    <s v="User Not Mapped"/>
    <s v="User Not Mapped"/>
    <s v="User Not Mapped"/>
    <n v="1445511"/>
    <s v="MAA TARA KRISHI BHANDER"/>
    <s v="Private Retailer"/>
    <s v="9734614362"/>
    <n v="0.2"/>
    <n v="416"/>
    <x v="0"/>
    <m/>
    <s v="2025-02-28"/>
    <s v="441419"/>
    <s v="M/S Namita Chanda"/>
    <s v="9775677020"/>
  </r>
  <r>
    <s v="RCF Trombay"/>
    <s v="15-15-15"/>
    <s v="WB"/>
    <x v="17"/>
    <s v="Chakdah"/>
    <s v="User Not Mapped"/>
    <s v="User Not Mapped"/>
    <s v="User Not Mapped"/>
    <n v="941852"/>
    <s v="MALAY KUMAR SAHA"/>
    <s v="Private Retailer"/>
    <s v="9733623635"/>
    <n v="0.04"/>
    <n v="545"/>
    <x v="0"/>
    <m/>
    <s v="2024-10-22"/>
    <s v="441419"/>
    <s v="M/S Namita Chanda"/>
    <s v="9775677020"/>
  </r>
  <r>
    <s v="RCF Import"/>
    <s v="MOP"/>
    <s v="WB"/>
    <x v="17"/>
    <s v="Chakdah"/>
    <s v="User Not Mapped"/>
    <s v="User Not Mapped"/>
    <s v="User Not Mapped"/>
    <n v="939013"/>
    <s v="MANORANJAN MONDAL"/>
    <s v="Private Retailer"/>
    <s v="9434129505"/>
    <n v="0.25"/>
    <n v="52"/>
    <x v="3"/>
    <m/>
    <s v="2026-02-27"/>
    <s v="441419"/>
    <s v="M/S Namita Chanda"/>
    <s v="9775677020"/>
  </r>
  <r>
    <s v="RCF Import"/>
    <s v="Imp 10-26-26"/>
    <s v="WB"/>
    <x v="17"/>
    <s v="Chakdah"/>
    <s v="User Not Mapped"/>
    <s v="User Not Mapped"/>
    <s v="User Not Mapped"/>
    <n v="341947"/>
    <s v="Mofijul Haque"/>
    <s v="Private Retailer"/>
    <s v="9674001278"/>
    <n v="0.25"/>
    <n v="292"/>
    <x v="1"/>
    <m/>
    <s v="2025-07-02"/>
    <s v="441419"/>
    <s v="M/S Namita Chanda"/>
    <s v="9775677020"/>
  </r>
  <r>
    <s v="RCF Trombay"/>
    <s v="15-15-15"/>
    <s v="WB"/>
    <x v="17"/>
    <s v="Chakdah"/>
    <s v="User Not Mapped"/>
    <s v="User Not Mapped"/>
    <s v="User Not Mapped"/>
    <n v="341947"/>
    <s v="Mofijul Haque"/>
    <s v="Private Retailer"/>
    <s v="9674001278"/>
    <n v="8.0000000000000002E-3"/>
    <n v="292"/>
    <x v="1"/>
    <m/>
    <s v="2025-07-02"/>
    <s v="441419"/>
    <s v="M/S Namita Chanda"/>
    <s v="9775677020"/>
  </r>
  <r>
    <s v="RCF Trombay"/>
    <s v="15-15-15"/>
    <s v="WB"/>
    <x v="17"/>
    <s v="Chakdah"/>
    <s v="User Not Mapped"/>
    <s v="User Not Mapped"/>
    <s v="User Not Mapped"/>
    <n v="941166"/>
    <s v="PRABHAT KUMAR BISWAS"/>
    <s v="Private Retailer"/>
    <s v="9091402471"/>
    <n v="1"/>
    <n v="448"/>
    <x v="0"/>
    <m/>
    <s v="2025-01-27"/>
    <s v="441419"/>
    <s v="M/S Namita Chanda"/>
    <s v="9775677020"/>
  </r>
  <r>
    <s v="RCF Import"/>
    <s v="MOP"/>
    <s v="WB"/>
    <x v="17"/>
    <s v="Chakdah"/>
    <s v="User Not Mapped"/>
    <s v="User Not Mapped"/>
    <s v="User Not Mapped"/>
    <n v="941166"/>
    <s v="PRABHAT KUMAR BISWAS"/>
    <s v="Private Retailer"/>
    <s v="9091402471"/>
    <n v="0.75"/>
    <n v="417"/>
    <x v="0"/>
    <m/>
    <s v="2025-02-27"/>
    <s v="441419"/>
    <s v="M/S Namita Chanda"/>
    <s v="9775677020"/>
  </r>
  <r>
    <s v="RCF Import"/>
    <s v="Imp 10-26-26"/>
    <s v="WB"/>
    <x v="17"/>
    <s v="Chakdah"/>
    <s v="User Not Mapped"/>
    <s v="User Not Mapped"/>
    <s v="User Not Mapped"/>
    <n v="356046"/>
    <s v="Ram Prasad Mandal"/>
    <s v="Private Retailer"/>
    <s v="9735923820"/>
    <n v="0.5"/>
    <n v="152"/>
    <x v="4"/>
    <m/>
    <s v="2025-11-19"/>
    <s v="441419"/>
    <s v="M/S Namita Chanda"/>
    <s v="9775677020"/>
  </r>
  <r>
    <s v="RCF Thal"/>
    <s v="N.C.Urea(45kg)"/>
    <s v="WB"/>
    <x v="17"/>
    <s v="Haringhata"/>
    <s v="User Not Mapped"/>
    <s v="User Not Mapped"/>
    <s v="User Not Mapped"/>
    <n v="1029832"/>
    <s v="Sahabuddin Mondal"/>
    <s v="Private Retailer"/>
    <s v="9749267628"/>
    <n v="4.4999999999999998E-2"/>
    <n v="2008"/>
    <x v="2"/>
    <m/>
    <s v="2020-10-20"/>
    <s v="441419"/>
    <s v="M/S Namita Chanda"/>
    <s v="9775677020"/>
  </r>
  <r>
    <s v="RCF Trombay"/>
    <s v="15-15-15"/>
    <s v="WB"/>
    <x v="17"/>
    <m/>
    <s v="User Not Mapped"/>
    <s v="User Not Mapped"/>
    <s v="User Not Mapped"/>
    <n v="487598"/>
    <s v="Sudip Kr Das"/>
    <s v="Private Retailer"/>
    <s v="7557858885"/>
    <n v="0.92"/>
    <n v="2479"/>
    <x v="2"/>
    <m/>
    <s v="2019-07-07"/>
    <s v="441419"/>
    <s v="M/S Namita Chanda"/>
    <s v="9775677020"/>
  </r>
  <r>
    <s v="RCF Trombay"/>
    <s v="15-15-15"/>
    <s v="WB"/>
    <x v="17"/>
    <m/>
    <s v="User Not Mapped"/>
    <s v="User Not Mapped"/>
    <s v="User Not Mapped"/>
    <n v="487598"/>
    <s v="Sudip Kr Das"/>
    <s v="Private Retailer"/>
    <s v="7557858885"/>
    <n v="1.5"/>
    <n v="2417"/>
    <x v="2"/>
    <m/>
    <s v="2019-09-07"/>
    <s v="441419"/>
    <s v="M/S Namita Chanda"/>
    <s v="9775677020"/>
  </r>
  <r>
    <s v="RCF Trombay"/>
    <s v="15-15-15"/>
    <s v="WB"/>
    <x v="17"/>
    <m/>
    <s v="User Not Mapped"/>
    <s v="User Not Mapped"/>
    <s v="User Not Mapped"/>
    <n v="1079568"/>
    <s v="ANANDANAGAR SKUS LTD"/>
    <s v="PACS"/>
    <s v="8640958444"/>
    <n v="0.18"/>
    <n v="2193"/>
    <x v="2"/>
    <m/>
    <s v="2020-04-18"/>
    <s v="549643"/>
    <s v="M/S RATAN BISWAS"/>
    <s v="8617364808"/>
  </r>
  <r>
    <s v="RCF Thal"/>
    <s v="N.C.Urea(45kg)"/>
    <s v="WB"/>
    <x v="17"/>
    <m/>
    <s v="User Not Mapped"/>
    <s v="User Not Mapped"/>
    <s v="User Not Mapped"/>
    <n v="620260"/>
    <s v="BIJOY KRISHNA SEN"/>
    <s v="Private Retailer"/>
    <s v="9635048566"/>
    <n v="0.18"/>
    <n v="1883"/>
    <x v="2"/>
    <m/>
    <s v="2021-02-22"/>
    <s v="549643"/>
    <s v="M/S RATAN BISWAS"/>
    <s v="8617364808"/>
  </r>
  <r>
    <s v="RCF Trombay"/>
    <s v="15-15-15"/>
    <s v="WB"/>
    <x v="17"/>
    <m/>
    <s v="User Not Mapped"/>
    <s v="User Not Mapped"/>
    <s v="User Not Mapped"/>
    <n v="620260"/>
    <s v="BIJOY KRISHNA SEN"/>
    <s v="Private Retailer"/>
    <s v="9635048566"/>
    <n v="0.6"/>
    <n v="1952"/>
    <x v="2"/>
    <m/>
    <s v="2020-12-15"/>
    <s v="549643"/>
    <s v="M/S RATAN BISWAS"/>
    <s v="8617364808"/>
  </r>
  <r>
    <s v="RCF Trombay"/>
    <s v="15-15-15"/>
    <s v="WB"/>
    <x v="17"/>
    <s v="Chapra"/>
    <s v="User Not Mapped"/>
    <s v="User Not Mapped"/>
    <s v="User Not Mapped"/>
    <n v="941144"/>
    <s v="DEBNATH PAL"/>
    <s v="Private Retailer"/>
    <s v="8642047532"/>
    <n v="0.25"/>
    <n v="165"/>
    <x v="4"/>
    <m/>
    <s v="2025-11-06"/>
    <s v="549643"/>
    <s v="M/S RATAN BISWAS"/>
    <s v="8617364808"/>
  </r>
  <r>
    <s v="RCF Trombay"/>
    <s v="15-15-15"/>
    <s v="WB"/>
    <x v="17"/>
    <s v="Karimpur - I"/>
    <s v="User Not Mapped"/>
    <s v="User Not Mapped"/>
    <s v="User Not Mapped"/>
    <n v="464412"/>
    <s v="Dokari Mondol"/>
    <s v="Private Retailer"/>
    <s v="8670487768"/>
    <n v="1.5"/>
    <n v="873"/>
    <x v="2"/>
    <m/>
    <s v="2023-11-29"/>
    <s v="549643"/>
    <s v="M/S RATAN BISWAS"/>
    <s v="8617364808"/>
  </r>
  <r>
    <s v="RCF Trombay"/>
    <s v="15-15-15"/>
    <s v="WB"/>
    <x v="17"/>
    <s v="Krishnagar - I"/>
    <s v="User Not Mapped"/>
    <s v="User Not Mapped"/>
    <s v="User Not Mapped"/>
    <n v="1024444"/>
    <s v="GHOSH FERTILISER"/>
    <s v="Private Retailer"/>
    <s v="7797272940"/>
    <n v="1.7"/>
    <n v="173"/>
    <x v="4"/>
    <m/>
    <s v="2025-10-29"/>
    <s v="549643"/>
    <s v="M/S RATAN BISWAS"/>
    <s v="8617364808"/>
  </r>
  <r>
    <s v="RCF Thal"/>
    <s v="N.C.Urea(45kg)"/>
    <s v="WB"/>
    <x v="17"/>
    <s v="Krishnagar - I"/>
    <s v="User Not Mapped"/>
    <s v="User Not Mapped"/>
    <s v="User Not Mapped"/>
    <n v="439038"/>
    <s v="Jagabandhu Mondal"/>
    <s v="Private Retailer"/>
    <s v="9832856750"/>
    <n v="1.4999999999999999E-2"/>
    <n v="1818"/>
    <x v="2"/>
    <m/>
    <s v="2021-04-28"/>
    <s v="549643"/>
    <s v="M/S RATAN BISWAS"/>
    <s v="8617364808"/>
  </r>
  <r>
    <s v="RCF Import"/>
    <s v="MOP"/>
    <s v="WB"/>
    <x v="17"/>
    <s v="Chapra"/>
    <s v="User Not Mapped"/>
    <s v="User Not Mapped"/>
    <s v="User Not Mapped"/>
    <n v="1538175"/>
    <s v="M/S BISWAS FERTILIZER PROP MOS"/>
    <s v="Private Retailer"/>
    <s v="7507942072"/>
    <n v="0.45"/>
    <n v="35"/>
    <x v="3"/>
    <m/>
    <s v="2026-03-16"/>
    <s v="549643"/>
    <s v="M/S RATAN BISWAS"/>
    <s v="8617364808"/>
  </r>
  <r>
    <s v="RCF Trombay"/>
    <s v="15-15-15"/>
    <s v="WB"/>
    <x v="17"/>
    <s v="Ranaghat - I"/>
    <s v="User Not Mapped"/>
    <s v="User Not Mapped"/>
    <s v="User Not Mapped"/>
    <n v="444085"/>
    <s v="M/S Debosree Biswas"/>
    <s v="Private Retailer"/>
    <s v="6295381772"/>
    <n v="0.5"/>
    <n v="165"/>
    <x v="4"/>
    <m/>
    <s v="2025-11-06"/>
    <s v="549643"/>
    <s v="M/S RATAN BISWAS"/>
    <s v="8617364808"/>
  </r>
  <r>
    <s v="RCF Thal"/>
    <s v="N.C.Urea(45kg)"/>
    <s v="WB"/>
    <x v="17"/>
    <s v="Ranaghat - I"/>
    <s v="User Not Mapped"/>
    <s v="User Not Mapped"/>
    <s v="User Not Mapped"/>
    <n v="973572"/>
    <s v="M/S MAJUMDAR FERTILIZER"/>
    <s v="Private Retailer"/>
    <s v="8367830499"/>
    <n v="0.09"/>
    <n v="1818"/>
    <x v="2"/>
    <m/>
    <s v="2021-04-28"/>
    <s v="549643"/>
    <s v="M/S RATAN BISWAS"/>
    <s v="8617364808"/>
  </r>
  <r>
    <s v="RCF Import"/>
    <s v="MOP"/>
    <s v="WB"/>
    <x v="17"/>
    <s v="Ranaghat - I"/>
    <s v="User Not Mapped"/>
    <s v="User Not Mapped"/>
    <s v="User Not Mapped"/>
    <n v="340809"/>
    <s v="MlS  ANANTA DUTTA"/>
    <s v="Private Retailer"/>
    <s v="9734877585"/>
    <n v="3"/>
    <n v="35"/>
    <x v="3"/>
    <m/>
    <s v="2026-03-16"/>
    <s v="549643"/>
    <s v="M/S RATAN BISWAS"/>
    <s v="8617364808"/>
  </r>
  <r>
    <s v="RCF Trombay"/>
    <s v="15-15-15"/>
    <s v="WB"/>
    <x v="17"/>
    <s v="Chapra"/>
    <s v="User Not Mapped"/>
    <s v="User Not Mapped"/>
    <s v="User Not Mapped"/>
    <n v="1051585"/>
    <s v="MONDAL FERTILIZER"/>
    <s v="Private Retailer"/>
    <s v="8597432313"/>
    <n v="9.6"/>
    <n v="65"/>
    <x v="6"/>
    <m/>
    <s v="2026-02-14"/>
    <s v="549643"/>
    <s v="M/S RATAN BISWAS"/>
    <s v="8617364808"/>
  </r>
  <r>
    <s v="RCF Trombay"/>
    <s v="15-15-15"/>
    <s v="WB"/>
    <x v="17"/>
    <s v="Chapra"/>
    <s v="User Not Mapped"/>
    <s v="User Not Mapped"/>
    <s v="User Not Mapped"/>
    <n v="940924"/>
    <s v="MS DAYAL FERTILIZER"/>
    <s v="Private Retailer"/>
    <s v="8597071021"/>
    <n v="5.6"/>
    <n v="84"/>
    <x v="6"/>
    <m/>
    <s v="2026-01-26"/>
    <s v="549643"/>
    <s v="M/S RATAN BISWAS"/>
    <s v="8617364808"/>
  </r>
  <r>
    <s v="RCF Trombay"/>
    <s v="15-15-15"/>
    <s v="WB"/>
    <x v="17"/>
    <s v="Chapra"/>
    <s v="User Not Mapped"/>
    <s v="User Not Mapped"/>
    <s v="User Not Mapped"/>
    <n v="441477"/>
    <s v="MS KABIRUL FERTILIZERS"/>
    <s v="Private Retailer"/>
    <s v="9800892511"/>
    <n v="8"/>
    <n v="192"/>
    <x v="1"/>
    <m/>
    <s v="2025-10-10"/>
    <s v="549643"/>
    <s v="M/S RATAN BISWAS"/>
    <s v="8617364808"/>
  </r>
  <r>
    <s v="RCF Trombay"/>
    <s v="N.C.Urea(45kg)"/>
    <s v="WB"/>
    <x v="17"/>
    <s v="Krishnaganj"/>
    <s v="User Not Mapped"/>
    <s v="User Not Mapped"/>
    <s v="User Not Mapped"/>
    <n v="919965"/>
    <s v="PARIMAL BISWAS"/>
    <s v="Private Retailer"/>
    <s v="9547284054"/>
    <n v="0.73"/>
    <n v="217"/>
    <x v="1"/>
    <m/>
    <s v="2025-09-15"/>
    <s v="549643"/>
    <s v="M/S RATAN BISWAS"/>
    <s v="8617364808"/>
  </r>
  <r>
    <s v="RCF Import"/>
    <s v="MOP"/>
    <s v="WB"/>
    <x v="17"/>
    <m/>
    <s v="User Not Mapped"/>
    <s v="User Not Mapped"/>
    <s v="User Not Mapped"/>
    <n v="342635"/>
    <s v="Prasanta Ghosh"/>
    <s v="Private Retailer"/>
    <s v="8101229222"/>
    <n v="5"/>
    <n v="47"/>
    <x v="3"/>
    <m/>
    <s v="2026-03-04"/>
    <s v="549643"/>
    <s v="M/S RATAN BISWAS"/>
    <s v="8617364808"/>
  </r>
  <r>
    <s v="RCF Trombay"/>
    <s v="15-15-15"/>
    <s v="WB"/>
    <x v="17"/>
    <s v="Ranaghat - I"/>
    <s v="User Not Mapped"/>
    <s v="User Not Mapped"/>
    <s v="User Not Mapped"/>
    <n v="617103"/>
    <s v="PRASANTA SARKAR"/>
    <s v="Private Retailer"/>
    <s v="9734017891"/>
    <n v="5.9"/>
    <n v="124"/>
    <x v="4"/>
    <m/>
    <s v="2025-12-17"/>
    <s v="549643"/>
    <s v="M/S RATAN BISWAS"/>
    <s v="8617364808"/>
  </r>
  <r>
    <s v="RCF Trombay"/>
    <s v="15-15-15"/>
    <s v="WB"/>
    <x v="17"/>
    <s v="Ranaghat - I"/>
    <s v="User Not Mapped"/>
    <s v="User Not Mapped"/>
    <s v="User Not Mapped"/>
    <n v="617103"/>
    <s v="PRASANTA SARKAR"/>
    <s v="Private Retailer"/>
    <s v="9734017891"/>
    <n v="5"/>
    <n v="84"/>
    <x v="6"/>
    <m/>
    <s v="2026-01-26"/>
    <s v="549643"/>
    <s v="M/S RATAN BISWAS"/>
    <s v="8617364808"/>
  </r>
  <r>
    <s v="RCF Trombay"/>
    <s v="15-15-15"/>
    <s v="WB"/>
    <x v="17"/>
    <s v="Krishnaganj"/>
    <s v="User Not Mapped"/>
    <s v="User Not Mapped"/>
    <s v="User Not Mapped"/>
    <n v="323532"/>
    <s v="Pravash Ch. Biswas"/>
    <s v="Private Retailer"/>
    <s v="9609467078"/>
    <n v="5.4"/>
    <n v="124"/>
    <x v="4"/>
    <m/>
    <s v="2025-12-17"/>
    <s v="549643"/>
    <s v="M/S RATAN BISWAS"/>
    <s v="8617364808"/>
  </r>
  <r>
    <s v="RCF Trombay"/>
    <s v="15-15-15"/>
    <s v="WB"/>
    <x v="17"/>
    <s v="Chapra"/>
    <s v="User Not Mapped"/>
    <s v="User Not Mapped"/>
    <s v="User Not Mapped"/>
    <n v="417896"/>
    <s v="Shefali Sarkar"/>
    <s v="Private Retailer"/>
    <s v="9775546437"/>
    <n v="0.05"/>
    <n v="189"/>
    <x v="1"/>
    <m/>
    <s v="2025-10-13"/>
    <s v="549643"/>
    <s v="M/S RATAN BISWAS"/>
    <s v="8617364808"/>
  </r>
  <r>
    <s v="RCF Trombay"/>
    <s v="15-15-15"/>
    <s v="WB"/>
    <x v="17"/>
    <s v="Ranaghat - II"/>
    <s v="User Not Mapped"/>
    <s v="User Not Mapped"/>
    <s v="User Not Mapped"/>
    <n v="491343"/>
    <s v="Shibo Prosad Ghosh"/>
    <s v="Private Retailer"/>
    <s v="9734229111"/>
    <n v="7.2759999999999998"/>
    <n v="167"/>
    <x v="4"/>
    <m/>
    <s v="2025-11-04"/>
    <s v="549643"/>
    <s v="M/S RATAN BISWAS"/>
    <s v="8617364808"/>
  </r>
  <r>
    <s v="RCF Thal"/>
    <s v="N.C.Urea(45kg)"/>
    <s v="WB"/>
    <x v="17"/>
    <s v="Chakdah"/>
    <s v="User Not Mapped"/>
    <s v="User Not Mapped"/>
    <s v="User Not Mapped"/>
    <n v="938963"/>
    <s v="SHIKHA BISWAS"/>
    <s v="Private Retailer"/>
    <s v="8926870552"/>
    <n v="0.9"/>
    <n v="793"/>
    <x v="2"/>
    <m/>
    <s v="2024-02-17"/>
    <s v="549643"/>
    <s v="M/S RATAN BISWAS"/>
    <s v="8617364808"/>
  </r>
  <r>
    <s v="RCF Import"/>
    <s v="MOP"/>
    <s v="WB"/>
    <x v="17"/>
    <m/>
    <s v="User Not Mapped"/>
    <s v="User Not Mapped"/>
    <s v="User Not Mapped"/>
    <n v="323570"/>
    <s v="Subhasish Ghosh"/>
    <s v="Private Retailer"/>
    <s v="9800361240"/>
    <n v="1"/>
    <n v="35"/>
    <x v="3"/>
    <m/>
    <s v="2026-03-16"/>
    <s v="549643"/>
    <s v="M/S RATAN BISWAS"/>
    <s v="8617364808"/>
  </r>
  <r>
    <s v="RCF Trombay"/>
    <s v="15-15-15"/>
    <s v="WB"/>
    <x v="17"/>
    <s v="Krishnagar - I"/>
    <s v="User Not Mapped"/>
    <s v="User Not Mapped"/>
    <s v="User Not Mapped"/>
    <n v="459356"/>
    <s v="Sunil Kumar Biswas"/>
    <s v="Private Retailer"/>
    <s v="8371912180"/>
    <n v="0.4"/>
    <n v="173"/>
    <x v="4"/>
    <m/>
    <s v="2025-10-29"/>
    <s v="549643"/>
    <s v="M/S RATAN BISWAS"/>
    <s v="8617364808"/>
  </r>
  <r>
    <s v="RCF Trombay"/>
    <s v="15-15-15"/>
    <s v="WB"/>
    <x v="17"/>
    <s v="Haringhata"/>
    <s v="User Not Mapped"/>
    <s v="User Not Mapped"/>
    <s v="User Not Mapped"/>
    <n v="441495"/>
    <s v="Swapna Das"/>
    <s v="Private Retailer"/>
    <s v="9733758968"/>
    <n v="8.75"/>
    <n v="124"/>
    <x v="4"/>
    <m/>
    <s v="2025-12-17"/>
    <s v="549643"/>
    <s v="M/S RATAN BISWAS"/>
    <s v="8617364808"/>
  </r>
  <r>
    <s v="RCF Thal"/>
    <s v="N.C.Urea(45kg)"/>
    <s v="WB"/>
    <x v="17"/>
    <m/>
    <s v="User Not Mapped"/>
    <s v="User Not Mapped"/>
    <s v="User Not Mapped"/>
    <n v="341857"/>
    <s v="Md. Abdul Karim Sk"/>
    <s v="Private Retailer"/>
    <s v="9635563204"/>
    <n v="0.45"/>
    <n v="1844"/>
    <x v="2"/>
    <m/>
    <s v="2021-04-02"/>
    <s v="441017"/>
    <s v="M/S S M. Abdul Matin"/>
    <s v="7501569288"/>
  </r>
  <r>
    <s v="RCF Thal"/>
    <s v="N.C.Urea(45kg)"/>
    <s v="WB"/>
    <x v="17"/>
    <s v="Kaliganj"/>
    <s v="User Not Mapped"/>
    <s v="User Not Mapped"/>
    <s v="User Not Mapped"/>
    <n v="439308"/>
    <s v="Shikh Brothers"/>
    <s v="Private Retailer"/>
    <s v="8436141877"/>
    <n v="0.315"/>
    <n v="265"/>
    <x v="1"/>
    <m/>
    <s v="2025-07-29"/>
    <s v="441017"/>
    <s v="M/S S M. Abdul Matin"/>
    <s v="7501569288"/>
  </r>
  <r>
    <s v="RCF Trombay"/>
    <s v="15-15-15"/>
    <s v="WB"/>
    <x v="17"/>
    <m/>
    <s v="User Not Mapped"/>
    <s v="User Not Mapped"/>
    <s v="User Not Mapped"/>
    <n v="212330"/>
    <s v="Sakti Pada Bhattacharya"/>
    <s v="Private Retailer"/>
    <s v="6295869635"/>
    <n v="0.3"/>
    <n v="2247"/>
    <x v="2"/>
    <m/>
    <s v="2020-02-24"/>
    <s v="1107761"/>
    <s v="M/S SAKTI PADA BHATTACHARYA"/>
    <s v="6295869635"/>
  </r>
  <r>
    <s v="RCF Trombay"/>
    <s v="N.C.Urea(45kg)"/>
    <s v="WB"/>
    <x v="17"/>
    <m/>
    <s v="User Not Mapped"/>
    <s v="User Not Mapped"/>
    <s v="User Not Mapped"/>
    <n v="212330"/>
    <s v="Sakti Pada Bhattacharya"/>
    <s v="Private Retailer"/>
    <s v="6295869635"/>
    <n v="0.81"/>
    <n v="2010"/>
    <x v="2"/>
    <m/>
    <s v="2020-10-18"/>
    <s v="1107761"/>
    <s v="M/S SAKTI PADA BHATTACHARYA"/>
    <s v="6295869635"/>
  </r>
  <r>
    <s v="RCF Trombay"/>
    <s v="N.C.Urea(45kg)"/>
    <s v="WB"/>
    <x v="17"/>
    <s v="Chakdah"/>
    <s v="User Not Mapped"/>
    <s v="User Not Mapped"/>
    <s v="User Not Mapped"/>
    <n v="340674"/>
    <s v="Abdul Ohab Gharami"/>
    <s v="Private Retailer"/>
    <s v="7872001104"/>
    <n v="1.8"/>
    <n v="42"/>
    <x v="3"/>
    <m/>
    <s v="2026-03-09"/>
    <s v="260209"/>
    <s v="M/S SUNIL KUMAR SAHA       "/>
    <s v="9434110995"/>
  </r>
  <r>
    <s v="RCF Thal"/>
    <s v="N.C.Urea(45kg)"/>
    <s v="WB"/>
    <x v="17"/>
    <s v="Chakdah"/>
    <s v="User Not Mapped"/>
    <s v="User Not Mapped"/>
    <s v="User Not Mapped"/>
    <n v="340674"/>
    <s v="Abdul Ohab Gharami"/>
    <s v="Private Retailer"/>
    <s v="7872001104"/>
    <n v="1.35"/>
    <n v="36"/>
    <x v="3"/>
    <m/>
    <s v="2026-03-15"/>
    <s v="260209"/>
    <s v="M/S SUNIL KUMAR SAHA       "/>
    <s v="9434110995"/>
  </r>
  <r>
    <s v="RCF Trombay"/>
    <s v="N.C.Urea(45kg)"/>
    <s v="WB"/>
    <x v="17"/>
    <s v="Chakdah"/>
    <s v="User Not Mapped"/>
    <s v="User Not Mapped"/>
    <s v="User Not Mapped"/>
    <n v="340674"/>
    <s v="Abdul Ohab Gharami"/>
    <s v="Private Retailer"/>
    <s v="7872001104"/>
    <n v="1.2150000000000001"/>
    <n v="55"/>
    <x v="3"/>
    <m/>
    <s v="2026-02-24"/>
    <s v="260209"/>
    <s v="M/S SUNIL KUMAR SAHA       "/>
    <s v="9434110995"/>
  </r>
  <r>
    <s v="RCF Thal"/>
    <s v="N.C.Urea(45kg)"/>
    <s v="WB"/>
    <x v="17"/>
    <s v="Chakdah"/>
    <s v="User Not Mapped"/>
    <s v="User Not Mapped"/>
    <s v="User Not Mapped"/>
    <n v="340674"/>
    <s v="Abdul Ohab Gharami"/>
    <s v="Private Retailer"/>
    <s v="7872001104"/>
    <n v="4.8600000000000003"/>
    <n v="207"/>
    <x v="1"/>
    <m/>
    <s v="2025-09-25"/>
    <s v="260209"/>
    <s v="M/S SUNIL KUMAR SAHA       "/>
    <s v="9434110995"/>
  </r>
  <r>
    <s v="RCF Thal"/>
    <s v="N.C.Urea(45kg)"/>
    <s v="WB"/>
    <x v="17"/>
    <s v="Chakdah"/>
    <s v="User Not Mapped"/>
    <s v="User Not Mapped"/>
    <s v="User Not Mapped"/>
    <n v="340674"/>
    <s v="Abdul Ohab Gharami"/>
    <s v="Private Retailer"/>
    <s v="7872001104"/>
    <n v="9.99"/>
    <n v="13"/>
    <x v="5"/>
    <m/>
    <s v="2026-04-07"/>
    <s v="260209"/>
    <s v="M/S SUNIL KUMAR SAHA       "/>
    <s v="9434110995"/>
  </r>
  <r>
    <s v="RCF Import"/>
    <s v="Imp 10-26-26"/>
    <s v="WB"/>
    <x v="17"/>
    <s v="Chakdah"/>
    <s v="User Not Mapped"/>
    <s v="User Not Mapped"/>
    <s v="User Not Mapped"/>
    <n v="340674"/>
    <s v="Abdul Ohab Gharami"/>
    <s v="Private Retailer"/>
    <s v="7872001104"/>
    <n v="0.5"/>
    <n v="13"/>
    <x v="5"/>
    <m/>
    <s v="2026-04-07"/>
    <s v="260209"/>
    <s v="M/S SUNIL KUMAR SAHA       "/>
    <s v="9434110995"/>
  </r>
  <r>
    <s v="RCF Trombay"/>
    <s v="15-15-15"/>
    <s v="WB"/>
    <x v="17"/>
    <s v="Chakdah"/>
    <s v="User Not Mapped"/>
    <s v="User Not Mapped"/>
    <s v="User Not Mapped"/>
    <n v="340674"/>
    <s v="Abdul Ohab Gharami"/>
    <s v="Private Retailer"/>
    <s v="7872001104"/>
    <n v="0.43"/>
    <n v="67"/>
    <x v="6"/>
    <m/>
    <s v="2026-02-12"/>
    <s v="260209"/>
    <s v="M/S SUNIL KUMAR SAHA       "/>
    <s v="9434110995"/>
  </r>
  <r>
    <s v="RCF Import"/>
    <s v="Imp 10-26-26"/>
    <s v="WB"/>
    <x v="17"/>
    <s v="Chakdah"/>
    <s v="User Not Mapped"/>
    <s v="User Not Mapped"/>
    <s v="User Not Mapped"/>
    <n v="340913"/>
    <s v="Ashoke Kr. Ghosh"/>
    <s v="Private Retailer"/>
    <s v="9002479294"/>
    <n v="1.5"/>
    <n v="13"/>
    <x v="5"/>
    <m/>
    <s v="2026-04-07"/>
    <s v="260209"/>
    <s v="M/S SUNIL KUMAR SAHA       "/>
    <s v="9434110995"/>
  </r>
  <r>
    <s v="RCF Trombay"/>
    <s v="15-15-15"/>
    <s v="WB"/>
    <x v="17"/>
    <m/>
    <s v="User Not Mapped"/>
    <s v="User Not Mapped"/>
    <s v="User Not Mapped"/>
    <n v="340942"/>
    <s v="Asmaul Mondal"/>
    <s v="Private Retailer"/>
    <s v="7468962377"/>
    <n v="0.25"/>
    <n v="1815"/>
    <x v="2"/>
    <m/>
    <s v="2021-05-01"/>
    <s v="260209"/>
    <s v="M/S SUNIL KUMAR SAHA       "/>
    <s v="9434110995"/>
  </r>
  <r>
    <s v="RCF Trombay"/>
    <s v="15-15-15"/>
    <s v="WB"/>
    <x v="17"/>
    <m/>
    <s v="User Not Mapped"/>
    <s v="User Not Mapped"/>
    <s v="User Not Mapped"/>
    <n v="340942"/>
    <s v="Asmaul Mondal"/>
    <s v="Private Retailer"/>
    <s v="7468962377"/>
    <n v="0.7"/>
    <n v="1825"/>
    <x v="2"/>
    <m/>
    <s v="2021-04-21"/>
    <s v="260209"/>
    <s v="M/S SUNIL KUMAR SAHA       "/>
    <s v="9434110995"/>
  </r>
  <r>
    <s v="RCF Thal"/>
    <s v="N.C.Urea(45kg)"/>
    <s v="WB"/>
    <x v="17"/>
    <m/>
    <s v="User Not Mapped"/>
    <s v="User Not Mapped"/>
    <s v="User Not Mapped"/>
    <n v="340942"/>
    <s v="Asmaul Mondal"/>
    <s v="Private Retailer"/>
    <s v="7468962377"/>
    <n v="1.2150000000000001"/>
    <n v="1837"/>
    <x v="2"/>
    <m/>
    <s v="2021-04-09"/>
    <s v="260209"/>
    <s v="M/S SUNIL KUMAR SAHA       "/>
    <s v="9434110995"/>
  </r>
  <r>
    <s v="RCF Trombay"/>
    <s v="N.C.Urea(45kg)"/>
    <s v="WB"/>
    <x v="17"/>
    <s v="Chakdah"/>
    <s v="User Not Mapped"/>
    <s v="User Not Mapped"/>
    <s v="User Not Mapped"/>
    <n v="340975"/>
    <s v="Babul Ch. Bala"/>
    <s v="Private Retailer"/>
    <s v="9831441598"/>
    <n v="0.16500000000000001"/>
    <n v="53"/>
    <x v="3"/>
    <m/>
    <s v="2026-02-26"/>
    <s v="260209"/>
    <s v="M/S SUNIL KUMAR SAHA       "/>
    <s v="9434110995"/>
  </r>
  <r>
    <s v="RCF Trombay"/>
    <s v="N.C.Urea(45kg)"/>
    <s v="WB"/>
    <x v="17"/>
    <s v="Chakdah"/>
    <s v="User Not Mapped"/>
    <s v="User Not Mapped"/>
    <s v="User Not Mapped"/>
    <n v="941955"/>
    <s v="BARUN HALDER"/>
    <s v="Private Retailer"/>
    <s v="9123333751"/>
    <n v="1.8"/>
    <n v="49"/>
    <x v="3"/>
    <m/>
    <s v="2026-03-02"/>
    <s v="260209"/>
    <s v="M/S SUNIL KUMAR SAHA       "/>
    <s v="9434110995"/>
  </r>
  <r>
    <s v="RCF Trombay"/>
    <s v="N.C.Urea(45kg)"/>
    <s v="WB"/>
    <x v="17"/>
    <s v="Chakdah"/>
    <s v="User Not Mapped"/>
    <s v="User Not Mapped"/>
    <s v="User Not Mapped"/>
    <n v="941955"/>
    <s v="BARUN HALDER"/>
    <s v="Private Retailer"/>
    <s v="9123333751"/>
    <n v="0.45"/>
    <n v="50"/>
    <x v="3"/>
    <m/>
    <s v="2026-03-01"/>
    <s v="260209"/>
    <s v="M/S SUNIL KUMAR SAHA       "/>
    <s v="9434110995"/>
  </r>
  <r>
    <s v="RCF Trombay SCU"/>
    <s v="Sulphur Coated Urea(40Kg)"/>
    <s v="WB"/>
    <x v="17"/>
    <s v="Chakdah"/>
    <s v="User Not Mapped"/>
    <s v="User Not Mapped"/>
    <s v="User Not Mapped"/>
    <n v="341236"/>
    <s v="Debasish Ghosh"/>
    <s v="Private Retailer"/>
    <s v="9832266306"/>
    <n v="0.03"/>
    <n v="504"/>
    <x v="0"/>
    <m/>
    <s v="2024-12-02"/>
    <s v="260209"/>
    <s v="M/S SUNIL KUMAR SAHA       "/>
    <s v="9434110995"/>
  </r>
  <r>
    <s v="RCF Thal"/>
    <s v="N.C.Urea(45kg)"/>
    <s v="WB"/>
    <x v="17"/>
    <s v="Chakdah"/>
    <s v="User Not Mapped"/>
    <s v="User Not Mapped"/>
    <s v="User Not Mapped"/>
    <n v="341236"/>
    <s v="Debasish Ghosh"/>
    <s v="Private Retailer"/>
    <s v="9832266306"/>
    <n v="1.8"/>
    <n v="29"/>
    <x v="5"/>
    <m/>
    <s v="2026-03-22"/>
    <s v="260209"/>
    <s v="M/S SUNIL KUMAR SAHA       "/>
    <s v="9434110995"/>
  </r>
  <r>
    <s v="RCF Thal"/>
    <s v="N.C.Urea(45kg)"/>
    <s v="WB"/>
    <x v="17"/>
    <s v="Chakdah"/>
    <s v="User Not Mapped"/>
    <s v="User Not Mapped"/>
    <s v="User Not Mapped"/>
    <n v="341236"/>
    <s v="Debasish Ghosh"/>
    <s v="Private Retailer"/>
    <s v="9832266306"/>
    <n v="1.125"/>
    <n v="35"/>
    <x v="3"/>
    <m/>
    <s v="2026-03-16"/>
    <s v="260209"/>
    <s v="M/S SUNIL KUMAR SAHA       "/>
    <s v="9434110995"/>
  </r>
  <r>
    <s v="RCF Thal"/>
    <s v="N.C.Urea(45kg)"/>
    <s v="WB"/>
    <x v="17"/>
    <s v="Chakdah"/>
    <s v="User Not Mapped"/>
    <s v="User Not Mapped"/>
    <s v="User Not Mapped"/>
    <n v="341236"/>
    <s v="Debasish Ghosh"/>
    <s v="Private Retailer"/>
    <s v="9832266306"/>
    <n v="0.22500000000000001"/>
    <n v="31"/>
    <x v="3"/>
    <m/>
    <s v="2026-03-20"/>
    <s v="260209"/>
    <s v="M/S SUNIL KUMAR SAHA       "/>
    <s v="9434110995"/>
  </r>
  <r>
    <s v="RCF Thal"/>
    <s v="N.C.Urea(45kg)"/>
    <s v="WB"/>
    <x v="17"/>
    <s v="Chakdah"/>
    <s v="User Not Mapped"/>
    <s v="User Not Mapped"/>
    <s v="User Not Mapped"/>
    <n v="341236"/>
    <s v="Debasish Ghosh"/>
    <s v="Private Retailer"/>
    <s v="9832266306"/>
    <n v="0.45"/>
    <n v="38"/>
    <x v="3"/>
    <m/>
    <s v="2026-03-13"/>
    <s v="260209"/>
    <s v="M/S SUNIL KUMAR SAHA       "/>
    <s v="9434110995"/>
  </r>
  <r>
    <s v="RCF Trombay"/>
    <s v="N.C.Urea(45kg)"/>
    <s v="WB"/>
    <x v="17"/>
    <s v="Chakdah"/>
    <s v="User Not Mapped"/>
    <s v="User Not Mapped"/>
    <s v="User Not Mapped"/>
    <n v="941650"/>
    <s v="DIDAR BOX MONDAL"/>
    <s v="Private Retailer"/>
    <s v="8017613180"/>
    <n v="4.4999999999999998E-2"/>
    <n v="49"/>
    <x v="3"/>
    <m/>
    <s v="2026-03-02"/>
    <s v="260209"/>
    <s v="M/S SUNIL KUMAR SAHA       "/>
    <s v="9434110995"/>
  </r>
  <r>
    <s v="RCF Import"/>
    <s v="Imp 10-26-26"/>
    <s v="WB"/>
    <x v="17"/>
    <s v="Chakdah"/>
    <s v="User Not Mapped"/>
    <s v="User Not Mapped"/>
    <s v="User Not Mapped"/>
    <n v="941650"/>
    <s v="DIDAR BOX MONDAL"/>
    <s v="Private Retailer"/>
    <s v="8017613180"/>
    <n v="0.1"/>
    <n v="233"/>
    <x v="1"/>
    <m/>
    <s v="2025-08-30"/>
    <s v="260209"/>
    <s v="M/S SUNIL KUMAR SAHA       "/>
    <s v="9434110995"/>
  </r>
  <r>
    <s v="RCF Trombay"/>
    <s v="15-15-15"/>
    <s v="WB"/>
    <x v="17"/>
    <s v="Chakdah"/>
    <s v="User Not Mapped"/>
    <s v="User Not Mapped"/>
    <s v="User Not Mapped"/>
    <n v="941650"/>
    <s v="DIDAR BOX MONDAL"/>
    <s v="Private Retailer"/>
    <s v="8017613180"/>
    <n v="0.2"/>
    <n v="233"/>
    <x v="1"/>
    <m/>
    <s v="2025-08-30"/>
    <s v="260209"/>
    <s v="M/S SUNIL KUMAR SAHA       "/>
    <s v="9434110995"/>
  </r>
  <r>
    <s v="RCF Trombay"/>
    <s v="15-15-15"/>
    <s v="WB"/>
    <x v="17"/>
    <s v="Chakdah"/>
    <s v="User Not Mapped"/>
    <s v="User Not Mapped"/>
    <s v="User Not Mapped"/>
    <n v="941650"/>
    <s v="DIDAR BOX MONDAL"/>
    <s v="Private Retailer"/>
    <s v="8017613180"/>
    <n v="0.35"/>
    <n v="49"/>
    <x v="3"/>
    <m/>
    <s v="2026-03-02"/>
    <s v="260209"/>
    <s v="M/S SUNIL KUMAR SAHA       "/>
    <s v="9434110995"/>
  </r>
  <r>
    <s v="RCF Import"/>
    <s v="Imp 10-26-26"/>
    <s v="WB"/>
    <x v="17"/>
    <s v="Haringhata"/>
    <s v="User Not Mapped"/>
    <s v="User Not Mapped"/>
    <s v="User Not Mapped"/>
    <n v="341324"/>
    <s v="Ebadat Hoque Mondal"/>
    <s v="Private Retailer"/>
    <s v="9800596419"/>
    <n v="0.35"/>
    <n v="13"/>
    <x v="5"/>
    <m/>
    <s v="2026-04-07"/>
    <s v="260209"/>
    <s v="M/S SUNIL KUMAR SAHA       "/>
    <s v="9434110995"/>
  </r>
  <r>
    <s v="RCF Thal"/>
    <s v="N.C.Urea(45kg)"/>
    <s v="WB"/>
    <x v="17"/>
    <s v="Haringhata"/>
    <s v="User Not Mapped"/>
    <s v="User Not Mapped"/>
    <s v="User Not Mapped"/>
    <n v="341324"/>
    <s v="Ebadat Hoque Mondal"/>
    <s v="Private Retailer"/>
    <s v="9800596419"/>
    <n v="4.9950000000000001"/>
    <n v="13"/>
    <x v="5"/>
    <m/>
    <s v="2026-04-07"/>
    <s v="260209"/>
    <s v="M/S SUNIL KUMAR SAHA       "/>
    <s v="9434110995"/>
  </r>
  <r>
    <s v="RCF Trombay"/>
    <s v="15-15-15"/>
    <s v="WB"/>
    <x v="17"/>
    <s v="Haringhata"/>
    <s v="User Not Mapped"/>
    <s v="User Not Mapped"/>
    <s v="User Not Mapped"/>
    <n v="341324"/>
    <s v="Ebadat Hoque Mondal"/>
    <s v="Private Retailer"/>
    <s v="9800596419"/>
    <n v="0.81"/>
    <n v="84"/>
    <x v="6"/>
    <m/>
    <s v="2026-01-26"/>
    <s v="260209"/>
    <s v="M/S SUNIL KUMAR SAHA       "/>
    <s v="9434110995"/>
  </r>
  <r>
    <s v="RCF Trombay"/>
    <s v="15-15-15"/>
    <s v="WB"/>
    <x v="17"/>
    <s v="Chakdah"/>
    <s v="User Not Mapped"/>
    <s v="User Not Mapped"/>
    <s v="User Not Mapped"/>
    <n v="941905"/>
    <s v="FAIJUL HAQUE"/>
    <s v="Private Retailer"/>
    <s v="9614369129"/>
    <n v="0.7"/>
    <n v="235"/>
    <x v="1"/>
    <m/>
    <s v="2025-08-28"/>
    <s v="260209"/>
    <s v="M/S SUNIL KUMAR SAHA       "/>
    <s v="9434110995"/>
  </r>
  <r>
    <s v="RCF Trombay"/>
    <s v="15-15-15"/>
    <s v="WB"/>
    <x v="17"/>
    <s v="Kalyani"/>
    <s v="User Not Mapped"/>
    <s v="User Not Mapped"/>
    <s v="User Not Mapped"/>
    <n v="1613095"/>
    <s v="GREEN ENTERPRISE"/>
    <s v="Private Retailer"/>
    <s v="9547777017"/>
    <n v="0.95"/>
    <n v="80"/>
    <x v="6"/>
    <m/>
    <s v="2026-01-30"/>
    <s v="260209"/>
    <s v="M/S SUNIL KUMAR SAHA       "/>
    <s v="9434110995"/>
  </r>
  <r>
    <s v="RCF Trombay"/>
    <s v="15-15-15"/>
    <s v="WB"/>
    <x v="17"/>
    <s v="Kalyani"/>
    <s v="User Not Mapped"/>
    <s v="User Not Mapped"/>
    <s v="User Not Mapped"/>
    <n v="1613095"/>
    <s v="GREEN ENTERPRISE"/>
    <s v="Private Retailer"/>
    <s v="9547777017"/>
    <n v="0.25"/>
    <n v="74"/>
    <x v="6"/>
    <m/>
    <s v="2026-02-05"/>
    <s v="260209"/>
    <s v="M/S SUNIL KUMAR SAHA       "/>
    <s v="9434110995"/>
  </r>
  <r>
    <s v="RCF Trombay"/>
    <s v="N.C.Urea(45kg)"/>
    <s v="WB"/>
    <x v="17"/>
    <m/>
    <s v="User Not Mapped"/>
    <s v="User Not Mapped"/>
    <s v="User Not Mapped"/>
    <n v="1062023"/>
    <s v="HARI CHARAN SADHUKHAN"/>
    <s v="Private Retailer"/>
    <s v="8513808902"/>
    <n v="0.85"/>
    <n v="1164"/>
    <x v="2"/>
    <m/>
    <s v="2023-02-11"/>
    <s v="260209"/>
    <s v="M/S SUNIL KUMAR SAHA       "/>
    <s v="9434110995"/>
  </r>
  <r>
    <s v="RCF Thal"/>
    <s v="N.C.Urea(45kg)"/>
    <s v="WB"/>
    <x v="17"/>
    <s v="Ranaghat - I"/>
    <s v="User Not Mapped"/>
    <s v="User Not Mapped"/>
    <s v="User Not Mapped"/>
    <n v="341503"/>
    <s v="Jafar Ali Mondal"/>
    <s v="Private Retailer"/>
    <s v="7980138263"/>
    <n v="0.83"/>
    <n v="33"/>
    <x v="3"/>
    <m/>
    <s v="2026-03-18"/>
    <s v="260209"/>
    <s v="M/S SUNIL KUMAR SAHA       "/>
    <s v="9434110995"/>
  </r>
  <r>
    <s v="RCF Trombay"/>
    <s v="15-15-15"/>
    <s v="WB"/>
    <x v="17"/>
    <s v="Chakdah"/>
    <s v="User Not Mapped"/>
    <s v="User Not Mapped"/>
    <s v="User Not Mapped"/>
    <n v="941280"/>
    <s v="JAYANTI DAS"/>
    <s v="Private Retailer"/>
    <s v="8101139960"/>
    <n v="1"/>
    <n v="70"/>
    <x v="6"/>
    <m/>
    <s v="2026-02-09"/>
    <s v="260209"/>
    <s v="M/S SUNIL KUMAR SAHA       "/>
    <s v="9434110995"/>
  </r>
  <r>
    <s v="RCF Trombay"/>
    <s v="N.C.Urea(45kg)"/>
    <s v="WB"/>
    <x v="17"/>
    <s v="Chakdah"/>
    <s v="User Not Mapped"/>
    <s v="User Not Mapped"/>
    <s v="User Not Mapped"/>
    <n v="941280"/>
    <s v="JAYANTI DAS"/>
    <s v="Private Retailer"/>
    <s v="8101139960"/>
    <n v="0.9"/>
    <n v="82"/>
    <x v="6"/>
    <m/>
    <s v="2026-01-28"/>
    <s v="260209"/>
    <s v="M/S SUNIL KUMAR SAHA       "/>
    <s v="9434110995"/>
  </r>
  <r>
    <s v="RCF Trombay"/>
    <s v="N.C.Urea(45kg)"/>
    <s v="WB"/>
    <x v="17"/>
    <s v="Chakdah"/>
    <s v="User Not Mapped"/>
    <s v="User Not Mapped"/>
    <s v="User Not Mapped"/>
    <n v="941280"/>
    <s v="JAYANTI DAS"/>
    <s v="Private Retailer"/>
    <s v="8101139960"/>
    <n v="0.46500000000000002"/>
    <n v="213"/>
    <x v="1"/>
    <m/>
    <s v="2025-09-19"/>
    <s v="260209"/>
    <s v="M/S SUNIL KUMAR SAHA       "/>
    <s v="9434110995"/>
  </r>
  <r>
    <s v="RCF Trombay"/>
    <s v="15-15-15"/>
    <s v="WB"/>
    <x v="17"/>
    <s v="Chakdah"/>
    <s v="User Not Mapped"/>
    <s v="User Not Mapped"/>
    <s v="User Not Mapped"/>
    <n v="941280"/>
    <s v="JAYANTI DAS"/>
    <s v="Private Retailer"/>
    <s v="8101139960"/>
    <n v="0.25"/>
    <n v="232"/>
    <x v="1"/>
    <m/>
    <s v="2025-08-31"/>
    <s v="260209"/>
    <s v="M/S SUNIL KUMAR SAHA       "/>
    <s v="9434110995"/>
  </r>
  <r>
    <s v="RCF Trombay"/>
    <s v="15-15-15"/>
    <s v="WB"/>
    <x v="17"/>
    <s v="Chakdah"/>
    <s v="User Not Mapped"/>
    <s v="User Not Mapped"/>
    <s v="User Not Mapped"/>
    <n v="941280"/>
    <s v="JAYANTI DAS"/>
    <s v="Private Retailer"/>
    <s v="8101139960"/>
    <n v="0.26500000000000001"/>
    <n v="256"/>
    <x v="1"/>
    <m/>
    <s v="2025-08-07"/>
    <s v="260209"/>
    <s v="M/S SUNIL KUMAR SAHA       "/>
    <s v="9434110995"/>
  </r>
  <r>
    <s v="RCF Import"/>
    <s v="Imp 10-26-26"/>
    <s v="WB"/>
    <x v="17"/>
    <s v="Chakdah"/>
    <s v="User Not Mapped"/>
    <s v="User Not Mapped"/>
    <s v="User Not Mapped"/>
    <n v="941280"/>
    <s v="JAYANTI DAS"/>
    <s v="Private Retailer"/>
    <s v="8101139960"/>
    <n v="0.44600000000000001"/>
    <n v="232"/>
    <x v="1"/>
    <m/>
    <s v="2025-08-31"/>
    <s v="260209"/>
    <s v="M/S SUNIL KUMAR SAHA       "/>
    <s v="9434110995"/>
  </r>
  <r>
    <s v="RCF Trombay"/>
    <s v="N.C.Urea(45kg)"/>
    <s v="WB"/>
    <x v="17"/>
    <s v="Haringhata"/>
    <s v="User Not Mapped"/>
    <s v="User Not Mapped"/>
    <s v="User Not Mapped"/>
    <n v="341558"/>
    <s v="Joydeb Sadhukha"/>
    <s v="Private Retailer"/>
    <s v="7551070518"/>
    <n v="0.18"/>
    <n v="79"/>
    <x v="6"/>
    <m/>
    <s v="2026-01-31"/>
    <s v="260209"/>
    <s v="M/S SUNIL KUMAR SAHA       "/>
    <s v="9434110995"/>
  </r>
  <r>
    <s v="RCF Trombay"/>
    <s v="N.C.Urea(45kg)"/>
    <s v="WB"/>
    <x v="17"/>
    <s v="Haringhata"/>
    <s v="User Not Mapped"/>
    <s v="User Not Mapped"/>
    <s v="User Not Mapped"/>
    <n v="341558"/>
    <s v="Joydeb Sadhukha"/>
    <s v="Private Retailer"/>
    <s v="7551070518"/>
    <n v="0.67500000000000004"/>
    <n v="56"/>
    <x v="3"/>
    <m/>
    <s v="2026-02-23"/>
    <s v="260209"/>
    <s v="M/S SUNIL KUMAR SAHA       "/>
    <s v="9434110995"/>
  </r>
  <r>
    <s v="RCF Thal"/>
    <s v="N.C.Urea(45kg)"/>
    <s v="WB"/>
    <x v="17"/>
    <s v="Haringhata"/>
    <s v="User Not Mapped"/>
    <s v="User Not Mapped"/>
    <s v="User Not Mapped"/>
    <n v="341558"/>
    <s v="Joydeb Sadhukha"/>
    <s v="Private Retailer"/>
    <s v="7551070518"/>
    <n v="1.4850000000000001"/>
    <n v="33"/>
    <x v="3"/>
    <m/>
    <s v="2026-03-18"/>
    <s v="260209"/>
    <s v="M/S SUNIL KUMAR SAHA       "/>
    <s v="9434110995"/>
  </r>
  <r>
    <s v="RCF Trombay"/>
    <s v="N.C.Urea(45kg)"/>
    <s v="WB"/>
    <x v="17"/>
    <s v="Haringhata"/>
    <s v="User Not Mapped"/>
    <s v="User Not Mapped"/>
    <s v="User Not Mapped"/>
    <n v="517095"/>
    <s v="Kadura Khatun Bibi"/>
    <s v="Private Retailer"/>
    <s v="9339222799"/>
    <n v="0.315"/>
    <n v="373"/>
    <x v="0"/>
    <m/>
    <s v="2025-04-12"/>
    <s v="260209"/>
    <s v="M/S SUNIL KUMAR SAHA       "/>
    <s v="9434110995"/>
  </r>
  <r>
    <s v="RCF Trombay"/>
    <s v="15-15-15"/>
    <s v="WB"/>
    <x v="17"/>
    <s v="Haringhata"/>
    <s v="User Not Mapped"/>
    <s v="User Not Mapped"/>
    <s v="User Not Mapped"/>
    <n v="517095"/>
    <s v="Kadura Khatun Bibi"/>
    <s v="Private Retailer"/>
    <s v="9339222799"/>
    <n v="0.25"/>
    <n v="404"/>
    <x v="0"/>
    <m/>
    <s v="2025-03-12"/>
    <s v="260209"/>
    <s v="M/S SUNIL KUMAR SAHA       "/>
    <s v="9434110995"/>
  </r>
  <r>
    <s v="RCF Trombay"/>
    <s v="N.C.Urea(45kg)"/>
    <s v="WB"/>
    <x v="17"/>
    <s v="Chakdah"/>
    <s v="User Not Mapped"/>
    <s v="User Not Mapped"/>
    <s v="User Not Mapped"/>
    <n v="341624"/>
    <s v="Karabina Mondal"/>
    <s v="Private Retailer"/>
    <s v="9073508177"/>
    <n v="3.78"/>
    <n v="170"/>
    <x v="4"/>
    <m/>
    <s v="2025-11-01"/>
    <s v="260209"/>
    <s v="M/S SUNIL KUMAR SAHA       "/>
    <s v="9434110995"/>
  </r>
  <r>
    <s v="RCF Trombay"/>
    <s v="N.C.Urea(45kg)"/>
    <s v="WB"/>
    <x v="17"/>
    <s v="Chakdah"/>
    <s v="User Not Mapped"/>
    <s v="User Not Mapped"/>
    <s v="User Not Mapped"/>
    <n v="341624"/>
    <s v="Karabina Mondal"/>
    <s v="Private Retailer"/>
    <s v="9073508177"/>
    <n v="0.9"/>
    <n v="144"/>
    <x v="4"/>
    <m/>
    <s v="2025-11-27"/>
    <s v="260209"/>
    <s v="M/S SUNIL KUMAR SAHA       "/>
    <s v="9434110995"/>
  </r>
  <r>
    <s v="RCF Trombay"/>
    <s v="N.C.Urea(45kg)"/>
    <s v="WB"/>
    <x v="17"/>
    <s v="Chakdah"/>
    <s v="User Not Mapped"/>
    <s v="User Not Mapped"/>
    <s v="User Not Mapped"/>
    <n v="341624"/>
    <s v="Karabina Mondal"/>
    <s v="Private Retailer"/>
    <s v="9073508177"/>
    <n v="4.9950000000000001"/>
    <n v="142"/>
    <x v="4"/>
    <m/>
    <s v="2025-11-29"/>
    <s v="260209"/>
    <s v="M/S SUNIL KUMAR SAHA       "/>
    <s v="9434110995"/>
  </r>
  <r>
    <s v="RCF Trombay"/>
    <s v="15-15-15"/>
    <s v="WB"/>
    <x v="17"/>
    <s v="Haringhata"/>
    <s v="User Not Mapped"/>
    <s v="User Not Mapped"/>
    <s v="User Not Mapped"/>
    <n v="943796"/>
    <s v="KETAB ALI MONDAL"/>
    <s v="Private Retailer"/>
    <s v="7478526480"/>
    <n v="0.1"/>
    <n v="135"/>
    <x v="4"/>
    <m/>
    <s v="2025-12-06"/>
    <s v="260209"/>
    <s v="M/S SUNIL KUMAR SAHA       "/>
    <s v="9434110995"/>
  </r>
  <r>
    <s v="RCF Trombay"/>
    <s v="15-15-15"/>
    <s v="WB"/>
    <x v="17"/>
    <s v="Haringhata"/>
    <s v="User Not Mapped"/>
    <s v="User Not Mapped"/>
    <s v="User Not Mapped"/>
    <n v="943796"/>
    <s v="KETAB ALI MONDAL"/>
    <s v="Private Retailer"/>
    <s v="7478526480"/>
    <n v="0.4"/>
    <n v="125"/>
    <x v="4"/>
    <m/>
    <s v="2025-12-16"/>
    <s v="260209"/>
    <s v="M/S SUNIL KUMAR SAHA       "/>
    <s v="9434110995"/>
  </r>
  <r>
    <s v="RCF Import"/>
    <s v="Imp 10-26-26"/>
    <s v="WB"/>
    <x v="17"/>
    <s v="Chakdah"/>
    <s v="User Not Mapped"/>
    <s v="User Not Mapped"/>
    <s v="User Not Mapped"/>
    <n v="340739"/>
    <s v="M/S Ajoy Ghosh"/>
    <s v="Private Retailer"/>
    <s v="9002018117"/>
    <n v="0.5"/>
    <n v="13"/>
    <x v="5"/>
    <m/>
    <s v="2026-04-07"/>
    <s v="260209"/>
    <s v="M/S SUNIL KUMAR SAHA       "/>
    <s v="9434110995"/>
  </r>
  <r>
    <s v="RCF Trombay"/>
    <s v="15-15-15"/>
    <s v="WB"/>
    <x v="17"/>
    <s v="Chakdah"/>
    <s v="User Not Mapped"/>
    <s v="User Not Mapped"/>
    <s v="User Not Mapped"/>
    <n v="340739"/>
    <s v="M/S Ajoy Ghosh"/>
    <s v="Private Retailer"/>
    <s v="9002018117"/>
    <n v="0.5"/>
    <n v="42"/>
    <x v="3"/>
    <m/>
    <s v="2026-03-09"/>
    <s v="260209"/>
    <s v="M/S SUNIL KUMAR SAHA       "/>
    <s v="9434110995"/>
  </r>
  <r>
    <s v="RCF Trombay"/>
    <s v="15-15-15"/>
    <s v="WB"/>
    <x v="17"/>
    <s v="Chakdah"/>
    <s v="User Not Mapped"/>
    <s v="User Not Mapped"/>
    <s v="User Not Mapped"/>
    <n v="340739"/>
    <s v="M/S Ajoy Ghosh"/>
    <s v="Private Retailer"/>
    <s v="9002018117"/>
    <n v="0.05"/>
    <n v="52"/>
    <x v="3"/>
    <m/>
    <s v="2026-02-27"/>
    <s v="260209"/>
    <s v="M/S SUNIL KUMAR SAHA       "/>
    <s v="9434110995"/>
  </r>
  <r>
    <s v="RCF Trombay"/>
    <s v="N.C.Urea(45kg)"/>
    <s v="WB"/>
    <x v="17"/>
    <s v="Chakdah"/>
    <s v="User Not Mapped"/>
    <s v="User Not Mapped"/>
    <s v="User Not Mapped"/>
    <n v="340963"/>
    <s v="M/S Ayub Hossain"/>
    <s v="Private Retailer"/>
    <s v="8101160879"/>
    <n v="0.13500000000000001"/>
    <n v="764"/>
    <x v="2"/>
    <m/>
    <s v="2024-03-17"/>
    <s v="260209"/>
    <s v="M/S SUNIL KUMAR SAHA       "/>
    <s v="9434110995"/>
  </r>
  <r>
    <s v="RCF Thal"/>
    <s v="N.C.Urea(45kg)"/>
    <s v="WB"/>
    <x v="17"/>
    <s v="Chakdah"/>
    <s v="User Not Mapped"/>
    <s v="User Not Mapped"/>
    <s v="User Not Mapped"/>
    <n v="340963"/>
    <s v="M/S Ayub Hossain"/>
    <s v="Private Retailer"/>
    <s v="8101160879"/>
    <n v="3.5000000000000003E-2"/>
    <n v="1194"/>
    <x v="2"/>
    <m/>
    <s v="2023-01-12"/>
    <s v="260209"/>
    <s v="M/S SUNIL KUMAR SAHA       "/>
    <s v="9434110995"/>
  </r>
  <r>
    <s v="RCF Trombay"/>
    <s v="15-15-15"/>
    <s v="WB"/>
    <x v="17"/>
    <s v="Chakdah"/>
    <s v="User Not Mapped"/>
    <s v="User Not Mapped"/>
    <s v="User Not Mapped"/>
    <n v="341084"/>
    <s v="M/S BIMAL KUMAR PAUL"/>
    <s v="Private Retailer"/>
    <s v="7699566571"/>
    <n v="0.25"/>
    <n v="37"/>
    <x v="3"/>
    <m/>
    <s v="2026-03-14"/>
    <s v="260209"/>
    <s v="M/S SUNIL KUMAR SAHA       "/>
    <s v="9434110995"/>
  </r>
  <r>
    <s v="RCF Thal"/>
    <s v="N.C.Urea(45kg)"/>
    <s v="WB"/>
    <x v="17"/>
    <s v="Chakdah"/>
    <s v="User Not Mapped"/>
    <s v="User Not Mapped"/>
    <s v="User Not Mapped"/>
    <n v="341273"/>
    <s v="M/S DILIP KUMAR BALA"/>
    <s v="Private Retailer"/>
    <s v="8250938260"/>
    <n v="19.98"/>
    <n v="13"/>
    <x v="5"/>
    <m/>
    <s v="2026-04-07"/>
    <s v="260209"/>
    <s v="M/S SUNIL KUMAR SAHA       "/>
    <s v="9434110995"/>
  </r>
  <r>
    <s v="RCF Import"/>
    <s v="Imp 10-26-26"/>
    <s v="WB"/>
    <x v="17"/>
    <s v="Chakdah"/>
    <s v="User Not Mapped"/>
    <s v="User Not Mapped"/>
    <s v="User Not Mapped"/>
    <n v="341273"/>
    <s v="M/S DILIP KUMAR BALA"/>
    <s v="Private Retailer"/>
    <s v="8250938260"/>
    <n v="1"/>
    <n v="13"/>
    <x v="5"/>
    <m/>
    <s v="2026-04-07"/>
    <s v="260209"/>
    <s v="M/S SUNIL KUMAR SAHA       "/>
    <s v="9434110995"/>
  </r>
  <r>
    <s v="RCF Trombay"/>
    <s v="N.C.Urea(45kg)"/>
    <s v="WB"/>
    <x v="17"/>
    <s v="Chakdah"/>
    <s v="User Not Mapped"/>
    <s v="User Not Mapped"/>
    <s v="User Not Mapped"/>
    <n v="341273"/>
    <s v="M/S DILIP KUMAR BALA"/>
    <s v="Private Retailer"/>
    <s v="8250938260"/>
    <n v="2.25"/>
    <n v="84"/>
    <x v="6"/>
    <m/>
    <s v="2026-01-26"/>
    <s v="260209"/>
    <s v="M/S SUNIL KUMAR SAHA       "/>
    <s v="9434110995"/>
  </r>
  <r>
    <s v="RCF Import"/>
    <s v="Imp 10-26-26"/>
    <s v="WB"/>
    <x v="17"/>
    <s v="Chakdah"/>
    <s v="User Not Mapped"/>
    <s v="User Not Mapped"/>
    <s v="User Not Mapped"/>
    <n v="341303"/>
    <s v="M/S Dipankar Sen"/>
    <s v="Private Retailer"/>
    <s v="9153546074"/>
    <n v="0.35"/>
    <n v="21"/>
    <x v="5"/>
    <m/>
    <s v="2026-03-30"/>
    <s v="260209"/>
    <s v="M/S SUNIL KUMAR SAHA       "/>
    <s v="9434110995"/>
  </r>
  <r>
    <s v="RCF Trombay"/>
    <s v="15-15-15"/>
    <s v="WB"/>
    <x v="17"/>
    <s v="Haringhata"/>
    <s v="User Not Mapped"/>
    <s v="User Not Mapped"/>
    <s v="User Not Mapped"/>
    <n v="226096"/>
    <s v="M/S Hamedul Mandal"/>
    <s v="Private Retailer"/>
    <s v="8972155036"/>
    <n v="0.25"/>
    <n v="53"/>
    <x v="3"/>
    <m/>
    <s v="2026-02-26"/>
    <s v="260209"/>
    <s v="M/S SUNIL KUMAR SAHA       "/>
    <s v="9434110995"/>
  </r>
  <r>
    <s v="RCF Trombay"/>
    <s v="N.C.Urea(45kg)"/>
    <s v="WB"/>
    <x v="17"/>
    <s v="Chakdah"/>
    <s v="User Not Mapped"/>
    <s v="User Not Mapped"/>
    <s v="User Not Mapped"/>
    <n v="938993"/>
    <s v="M/S ILIYAS KHAN"/>
    <s v="Private Retailer"/>
    <s v="9153827362"/>
    <n v="0.22500000000000001"/>
    <n v="42"/>
    <x v="3"/>
    <m/>
    <s v="2026-03-09"/>
    <s v="260209"/>
    <s v="M/S SUNIL KUMAR SAHA       "/>
    <s v="9434110995"/>
  </r>
  <r>
    <s v="RCF Trombay"/>
    <s v="15-15-15"/>
    <s v="WB"/>
    <x v="17"/>
    <s v="Chakdah"/>
    <s v="User Not Mapped"/>
    <s v="User Not Mapped"/>
    <s v="User Not Mapped"/>
    <n v="938993"/>
    <s v="M/S ILIYAS KHAN"/>
    <s v="Private Retailer"/>
    <s v="9153827362"/>
    <n v="0.35"/>
    <n v="58"/>
    <x v="3"/>
    <m/>
    <s v="2026-02-21"/>
    <s v="260209"/>
    <s v="M/S SUNIL KUMAR SAHA       "/>
    <s v="9434110995"/>
  </r>
  <r>
    <s v="RCF Trombay"/>
    <s v="15-15-15"/>
    <s v="WB"/>
    <x v="17"/>
    <s v="Chakdah"/>
    <s v="User Not Mapped"/>
    <s v="User Not Mapped"/>
    <s v="User Not Mapped"/>
    <n v="938993"/>
    <s v="M/S ILIYAS KHAN"/>
    <s v="Private Retailer"/>
    <s v="9153827362"/>
    <n v="0.35"/>
    <n v="42"/>
    <x v="3"/>
    <m/>
    <s v="2026-03-09"/>
    <s v="260209"/>
    <s v="M/S SUNIL KUMAR SAHA       "/>
    <s v="9434110995"/>
  </r>
  <r>
    <s v="RCF Trombay"/>
    <s v="15-15-15"/>
    <s v="WB"/>
    <x v="17"/>
    <s v="Chakdah"/>
    <s v="User Not Mapped"/>
    <s v="User Not Mapped"/>
    <s v="User Not Mapped"/>
    <n v="938993"/>
    <s v="M/S ILIYAS KHAN"/>
    <s v="Private Retailer"/>
    <s v="9153827362"/>
    <n v="0.4"/>
    <n v="69"/>
    <x v="6"/>
    <m/>
    <s v="2026-02-10"/>
    <s v="260209"/>
    <s v="M/S SUNIL KUMAR SAHA       "/>
    <s v="9434110995"/>
  </r>
  <r>
    <s v="RCF Trombay"/>
    <s v="15-15-15"/>
    <s v="WB"/>
    <x v="17"/>
    <s v="Chakdah"/>
    <s v="User Not Mapped"/>
    <s v="User Not Mapped"/>
    <s v="User Not Mapped"/>
    <n v="938993"/>
    <s v="M/S ILIYAS KHAN"/>
    <s v="Private Retailer"/>
    <s v="9153827362"/>
    <n v="0.1"/>
    <n v="75"/>
    <x v="6"/>
    <m/>
    <s v="2026-02-04"/>
    <s v="260209"/>
    <s v="M/S SUNIL KUMAR SAHA       "/>
    <s v="9434110995"/>
  </r>
  <r>
    <s v="RCF Import"/>
    <s v="Imp 10-26-26"/>
    <s v="WB"/>
    <x v="17"/>
    <s v="Chakdah"/>
    <s v="User Not Mapped"/>
    <s v="User Not Mapped"/>
    <s v="User Not Mapped"/>
    <n v="341779"/>
    <s v="M/S MADHU SUDAN GHOSH"/>
    <s v="Private Retailer"/>
    <s v="9434418179"/>
    <n v="2"/>
    <n v="13"/>
    <x v="5"/>
    <m/>
    <s v="2026-04-07"/>
    <s v="260209"/>
    <s v="M/S SUNIL KUMAR SAHA       "/>
    <s v="9434110995"/>
  </r>
  <r>
    <s v="RCF Thal"/>
    <s v="N.C.Urea(45kg)"/>
    <s v="WB"/>
    <x v="17"/>
    <s v="Chakdah"/>
    <s v="User Not Mapped"/>
    <s v="User Not Mapped"/>
    <s v="User Not Mapped"/>
    <n v="341779"/>
    <s v="M/S MADHU SUDAN GHOSH"/>
    <s v="Private Retailer"/>
    <s v="9434418179"/>
    <n v="0.85499999999999998"/>
    <n v="26"/>
    <x v="5"/>
    <m/>
    <s v="2026-03-25"/>
    <s v="260209"/>
    <s v="M/S SUNIL KUMAR SAHA       "/>
    <s v="9434110995"/>
  </r>
  <r>
    <s v="RCF Trombay"/>
    <s v="15-15-15"/>
    <s v="WB"/>
    <x v="17"/>
    <s v="Chakdah"/>
    <s v="User Not Mapped"/>
    <s v="User Not Mapped"/>
    <s v="User Not Mapped"/>
    <n v="341779"/>
    <s v="M/S MADHU SUDAN GHOSH"/>
    <s v="Private Retailer"/>
    <s v="9434418179"/>
    <n v="0.1"/>
    <n v="168"/>
    <x v="4"/>
    <m/>
    <s v="2025-11-03"/>
    <s v="260209"/>
    <s v="M/S SUNIL KUMAR SAHA       "/>
    <s v="9434110995"/>
  </r>
  <r>
    <s v="RCF Thal"/>
    <s v="N.C.Urea(45kg)"/>
    <s v="WB"/>
    <x v="17"/>
    <s v="Chakdah"/>
    <s v="User Not Mapped"/>
    <s v="User Not Mapped"/>
    <s v="User Not Mapped"/>
    <n v="342077"/>
    <s v="M/s Nihar Ranjan Das"/>
    <s v="Private Retailer"/>
    <s v="9564345480"/>
    <n v="0.13500000000000001"/>
    <n v="9"/>
    <x v="5"/>
    <m/>
    <s v="2026-04-11"/>
    <s v="260209"/>
    <s v="M/S SUNIL KUMAR SAHA       "/>
    <s v="9434110995"/>
  </r>
  <r>
    <s v="RCF Trombay"/>
    <s v="15-15-15"/>
    <s v="WB"/>
    <x v="17"/>
    <s v="Chakdah"/>
    <s v="User Not Mapped"/>
    <s v="User Not Mapped"/>
    <s v="User Not Mapped"/>
    <n v="342119"/>
    <s v="M/s Nityagopal Paul"/>
    <s v="Private Retailer"/>
    <s v="9232611517"/>
    <n v="0.15"/>
    <n v="42"/>
    <x v="3"/>
    <m/>
    <s v="2026-03-09"/>
    <s v="260209"/>
    <s v="M/S SUNIL KUMAR SAHA       "/>
    <s v="9434110995"/>
  </r>
  <r>
    <s v="RCF Thal"/>
    <s v="N.C.Urea(45kg)"/>
    <s v="WB"/>
    <x v="17"/>
    <s v="Chakdah"/>
    <s v="User Not Mapped"/>
    <s v="User Not Mapped"/>
    <s v="User Not Mapped"/>
    <n v="342119"/>
    <s v="M/s Nityagopal Paul"/>
    <s v="Private Retailer"/>
    <s v="9232611517"/>
    <n v="0.9"/>
    <n v="26"/>
    <x v="5"/>
    <m/>
    <s v="2026-03-25"/>
    <s v="260209"/>
    <s v="M/S SUNIL KUMAR SAHA       "/>
    <s v="9434110995"/>
  </r>
  <r>
    <s v="RCF Thal"/>
    <s v="N.C.Urea(45kg)"/>
    <s v="WB"/>
    <x v="17"/>
    <s v="Chakdah"/>
    <s v="User Not Mapped"/>
    <s v="User Not Mapped"/>
    <s v="User Not Mapped"/>
    <n v="342119"/>
    <s v="M/s Nityagopal Paul"/>
    <s v="Private Retailer"/>
    <s v="9232611517"/>
    <n v="4.4999999999999998E-2"/>
    <n v="31"/>
    <x v="3"/>
    <m/>
    <s v="2026-03-20"/>
    <s v="260209"/>
    <s v="M/S SUNIL KUMAR SAHA       "/>
    <s v="9434110995"/>
  </r>
  <r>
    <s v="RCF Import"/>
    <s v="Imp 10-26-26"/>
    <s v="WB"/>
    <x v="17"/>
    <s v="Haringhata"/>
    <s v="User Not Mapped"/>
    <s v="User Not Mapped"/>
    <s v="User Not Mapped"/>
    <n v="342651"/>
    <s v="M/s Prangopal Nandi"/>
    <s v="Private Retailer"/>
    <s v="9475343946"/>
    <n v="0.7"/>
    <n v="13"/>
    <x v="5"/>
    <m/>
    <s v="2026-04-07"/>
    <s v="260209"/>
    <s v="M/S SUNIL KUMAR SAHA       "/>
    <s v="9434110995"/>
  </r>
  <r>
    <s v="RCF Trombay"/>
    <s v="15-15-15"/>
    <s v="WB"/>
    <x v="17"/>
    <m/>
    <s v="User Not Mapped"/>
    <s v="User Not Mapped"/>
    <s v="User Not Mapped"/>
    <n v="487586"/>
    <s v="M/S S S Fertilizers"/>
    <s v="Private Retailer"/>
    <s v="8001981998"/>
    <n v="0.32400000000000001"/>
    <n v="1885"/>
    <x v="2"/>
    <m/>
    <s v="2021-02-20"/>
    <s v="260209"/>
    <s v="M/S SUNIL KUMAR SAHA       "/>
    <s v="9434110995"/>
  </r>
  <r>
    <s v="RCF Thal"/>
    <s v="N.C.Urea(45kg)"/>
    <s v="WB"/>
    <x v="17"/>
    <s v="Chakdah"/>
    <s v="User Not Mapped"/>
    <s v="User Not Mapped"/>
    <s v="User Not Mapped"/>
    <n v="1538244"/>
    <s v="M/S SAFAR HOSSAIN"/>
    <s v="Private Retailer"/>
    <s v="9734860849"/>
    <n v="0.18"/>
    <n v="13"/>
    <x v="5"/>
    <m/>
    <s v="2026-04-07"/>
    <s v="260209"/>
    <s v="M/S SUNIL KUMAR SAHA       "/>
    <s v="9434110995"/>
  </r>
  <r>
    <s v="RCF Trombay"/>
    <s v="15-15-15"/>
    <s v="WB"/>
    <x v="17"/>
    <s v="Chakdah"/>
    <s v="User Not Mapped"/>
    <s v="User Not Mapped"/>
    <s v="User Not Mapped"/>
    <n v="1242455"/>
    <s v="M/S SONA FERTILIZER"/>
    <s v="Private Retailer"/>
    <s v="9153423472"/>
    <n v="0.75"/>
    <n v="57"/>
    <x v="3"/>
    <m/>
    <s v="2026-02-22"/>
    <s v="260209"/>
    <s v="M/S SUNIL KUMAR SAHA       "/>
    <s v="9434110995"/>
  </r>
  <r>
    <s v="RCF Thal"/>
    <s v="N.C.Urea(45kg)"/>
    <s v="WB"/>
    <x v="17"/>
    <s v="Chakdah"/>
    <s v="User Not Mapped"/>
    <s v="User Not Mapped"/>
    <s v="User Not Mapped"/>
    <n v="1242455"/>
    <s v="M/S SONA FERTILIZER"/>
    <s v="Private Retailer"/>
    <s v="9153423472"/>
    <n v="3.87"/>
    <n v="13"/>
    <x v="5"/>
    <m/>
    <s v="2026-04-07"/>
    <s v="260209"/>
    <s v="M/S SUNIL KUMAR SAHA       "/>
    <s v="9434110995"/>
  </r>
  <r>
    <s v="RCF Import"/>
    <s v="Imp 10-26-26"/>
    <s v="WB"/>
    <x v="17"/>
    <s v="Chakdah"/>
    <s v="User Not Mapped"/>
    <s v="User Not Mapped"/>
    <s v="User Not Mapped"/>
    <n v="1242455"/>
    <s v="M/S SONA FERTILIZER"/>
    <s v="Private Retailer"/>
    <s v="9153423472"/>
    <n v="1.25"/>
    <n v="13"/>
    <x v="5"/>
    <m/>
    <s v="2026-04-07"/>
    <s v="260209"/>
    <s v="M/S SUNIL KUMAR SAHA       "/>
    <s v="9434110995"/>
  </r>
  <r>
    <s v="RCF Thal"/>
    <s v="N.C.Urea(45kg)"/>
    <s v="WB"/>
    <x v="17"/>
    <s v="Chakdah"/>
    <s v="User Not Mapped"/>
    <s v="User Not Mapped"/>
    <s v="User Not Mapped"/>
    <n v="388060"/>
    <s v="M/S Subhash Majumder"/>
    <s v="Private Retailer"/>
    <s v="9733902845"/>
    <n v="0.09"/>
    <n v="39"/>
    <x v="3"/>
    <m/>
    <s v="2026-03-12"/>
    <s v="260209"/>
    <s v="M/S SUNIL KUMAR SAHA       "/>
    <s v="9434110995"/>
  </r>
  <r>
    <s v="RCF Trombay"/>
    <s v="N.C.Urea(45kg)"/>
    <s v="WB"/>
    <x v="17"/>
    <s v="Chakdah"/>
    <s v="User Not Mapped"/>
    <s v="User Not Mapped"/>
    <s v="User Not Mapped"/>
    <n v="388060"/>
    <s v="M/S Subhash Majumder"/>
    <s v="Private Retailer"/>
    <s v="9733902845"/>
    <n v="0.22500000000000001"/>
    <n v="53"/>
    <x v="3"/>
    <m/>
    <s v="2026-02-26"/>
    <s v="260209"/>
    <s v="M/S SUNIL KUMAR SAHA       "/>
    <s v="9434110995"/>
  </r>
  <r>
    <s v="RCF Trombay"/>
    <s v="15-15-15"/>
    <s v="WB"/>
    <x v="17"/>
    <s v="Chakdah"/>
    <s v="User Not Mapped"/>
    <s v="User Not Mapped"/>
    <s v="User Not Mapped"/>
    <n v="388060"/>
    <s v="M/S Subhash Majumder"/>
    <s v="Private Retailer"/>
    <s v="9733902845"/>
    <n v="0.5"/>
    <n v="70"/>
    <x v="6"/>
    <m/>
    <s v="2026-02-09"/>
    <s v="260209"/>
    <s v="M/S SUNIL KUMAR SAHA       "/>
    <s v="9434110995"/>
  </r>
  <r>
    <s v="RCF Trombay"/>
    <s v="15-15-15"/>
    <s v="WB"/>
    <x v="17"/>
    <s v="Haringhata"/>
    <s v="User Not Mapped"/>
    <s v="User Not Mapped"/>
    <s v="User Not Mapped"/>
    <n v="463329"/>
    <s v="M/S Subrata Biswas"/>
    <s v="Private Retailer"/>
    <s v="9434956763"/>
    <n v="0.4"/>
    <n v="136"/>
    <x v="4"/>
    <m/>
    <s v="2025-12-05"/>
    <s v="260209"/>
    <s v="M/S SUNIL KUMAR SAHA       "/>
    <s v="9434110995"/>
  </r>
  <r>
    <s v="RCF Import"/>
    <s v="Imp 10-26-26"/>
    <s v="WB"/>
    <x v="17"/>
    <s v="Chakdah"/>
    <s v="User Not Mapped"/>
    <s v="User Not Mapped"/>
    <s v="User Not Mapped"/>
    <n v="1540539"/>
    <s v="M/S SUNIL KUMAR SAHA"/>
    <s v="Private Retailer"/>
    <s v="9434110995"/>
    <n v="0.5"/>
    <n v="3"/>
    <x v="5"/>
    <m/>
    <s v="2026-04-17"/>
    <s v="260209"/>
    <s v="M/S SUNIL KUMAR SAHA       "/>
    <s v="9434110995"/>
  </r>
  <r>
    <s v="RCF Thal"/>
    <s v="N.C.Urea(45kg)"/>
    <s v="WB"/>
    <x v="17"/>
    <s v="Chakdah"/>
    <s v="User Not Mapped"/>
    <s v="User Not Mapped"/>
    <s v="User Not Mapped"/>
    <n v="1540539"/>
    <s v="M/S SUNIL KUMAR SAHA"/>
    <s v="Private Retailer"/>
    <s v="9434110995"/>
    <n v="1.35"/>
    <n v="3"/>
    <x v="5"/>
    <m/>
    <s v="2026-04-17"/>
    <s v="260209"/>
    <s v="M/S SUNIL KUMAR SAHA       "/>
    <s v="9434110995"/>
  </r>
  <r>
    <s v="RCF Thal"/>
    <s v="N.C.Urea(45kg)"/>
    <s v="WB"/>
    <x v="17"/>
    <s v="Ranaghat - II"/>
    <s v="User Not Mapped"/>
    <s v="User Not Mapped"/>
    <s v="User Not Mapped"/>
    <n v="498176"/>
    <s v="M/S Swapan Biswas"/>
    <s v="Private Retailer"/>
    <s v="7679780430"/>
    <n v="0.9"/>
    <n v="5"/>
    <x v="5"/>
    <m/>
    <s v="2026-04-15"/>
    <s v="260209"/>
    <s v="M/S SUNIL KUMAR SAHA       "/>
    <s v="9434110995"/>
  </r>
  <r>
    <s v="RCF Import"/>
    <s v="Imp 10-26-26"/>
    <s v="WB"/>
    <x v="17"/>
    <s v="Ranaghat - II"/>
    <s v="User Not Mapped"/>
    <s v="User Not Mapped"/>
    <s v="User Not Mapped"/>
    <n v="498176"/>
    <s v="M/S Swapan Biswas"/>
    <s v="Private Retailer"/>
    <s v="7679780430"/>
    <n v="0.25"/>
    <n v="5"/>
    <x v="5"/>
    <m/>
    <s v="2026-04-15"/>
    <s v="260209"/>
    <s v="M/S SUNIL KUMAR SAHA       "/>
    <s v="9434110995"/>
  </r>
  <r>
    <s v="RCF Trombay"/>
    <s v="15-15-15"/>
    <s v="WB"/>
    <x v="17"/>
    <s v="Chakdah"/>
    <s v="User Not Mapped"/>
    <s v="User Not Mapped"/>
    <s v="User Not Mapped"/>
    <n v="389764"/>
    <s v="M/S Swapan Kumar Saha"/>
    <s v="Private Retailer"/>
    <s v="9593820668"/>
    <n v="0.5"/>
    <n v="54"/>
    <x v="3"/>
    <m/>
    <s v="2026-02-25"/>
    <s v="260209"/>
    <s v="M/S SUNIL KUMAR SAHA       "/>
    <s v="9434110995"/>
  </r>
  <r>
    <s v="RCF Trombay"/>
    <s v="15-15-15"/>
    <s v="WB"/>
    <x v="17"/>
    <s v="Chakdah"/>
    <s v="User Not Mapped"/>
    <s v="User Not Mapped"/>
    <s v="User Not Mapped"/>
    <n v="389764"/>
    <s v="M/S Swapan Kumar Saha"/>
    <s v="Private Retailer"/>
    <s v="9593820668"/>
    <n v="0.98"/>
    <n v="81"/>
    <x v="6"/>
    <m/>
    <s v="2026-01-29"/>
    <s v="260209"/>
    <s v="M/S SUNIL KUMAR SAHA       "/>
    <s v="9434110995"/>
  </r>
  <r>
    <s v="RCF Import"/>
    <s v="Imp 10-26-26"/>
    <s v="WB"/>
    <x v="17"/>
    <s v="Chakdah"/>
    <s v="User Not Mapped"/>
    <s v="User Not Mapped"/>
    <s v="User Not Mapped"/>
    <n v="389764"/>
    <s v="M/S Swapan Kumar Saha"/>
    <s v="Private Retailer"/>
    <s v="9593820668"/>
    <n v="0.75"/>
    <n v="13"/>
    <x v="5"/>
    <m/>
    <s v="2026-04-07"/>
    <s v="260209"/>
    <s v="M/S SUNIL KUMAR SAHA       "/>
    <s v="9434110995"/>
  </r>
  <r>
    <s v="RCF Trombay"/>
    <s v="15-15-15"/>
    <s v="WB"/>
    <x v="17"/>
    <s v="Chakdah"/>
    <s v="User Not Mapped"/>
    <s v="User Not Mapped"/>
    <s v="User Not Mapped"/>
    <n v="440622"/>
    <s v="M/S Umesh Chandra  Mallick"/>
    <s v="Private Retailer"/>
    <s v="8670464285"/>
    <n v="0.1"/>
    <n v="77"/>
    <x v="6"/>
    <m/>
    <s v="2026-02-02"/>
    <s v="260209"/>
    <s v="M/S SUNIL KUMAR SAHA       "/>
    <s v="9434110995"/>
  </r>
  <r>
    <s v="RCF Trombay"/>
    <s v="15-15-15"/>
    <s v="WB"/>
    <x v="17"/>
    <s v="Chakdah"/>
    <s v="User Not Mapped"/>
    <s v="User Not Mapped"/>
    <s v="User Not Mapped"/>
    <n v="440622"/>
    <s v="M/S Umesh Chandra  Mallick"/>
    <s v="Private Retailer"/>
    <s v="8670464285"/>
    <n v="0.5"/>
    <n v="41"/>
    <x v="3"/>
    <m/>
    <s v="2026-03-10"/>
    <s v="260209"/>
    <s v="M/S SUNIL KUMAR SAHA       "/>
    <s v="9434110995"/>
  </r>
  <r>
    <s v="RCF Trombay"/>
    <s v="15-15-15"/>
    <s v="WB"/>
    <x v="17"/>
    <s v="Santipur"/>
    <s v="User Not Mapped"/>
    <s v="User Not Mapped"/>
    <s v="User Not Mapped"/>
    <n v="1024408"/>
    <s v="M/S. GHOSH FERTILIZER"/>
    <s v="Private Retailer"/>
    <s v="8670409448"/>
    <n v="0.55000000000000004"/>
    <n v="450"/>
    <x v="0"/>
    <m/>
    <s v="2025-01-25"/>
    <s v="260209"/>
    <s v="M/S SUNIL KUMAR SAHA       "/>
    <s v="9434110995"/>
  </r>
  <r>
    <s v="RCF Trombay"/>
    <s v="15-15-15"/>
    <s v="WB"/>
    <x v="17"/>
    <s v="Chakdah"/>
    <s v="User Not Mapped"/>
    <s v="User Not Mapped"/>
    <s v="User Not Mapped"/>
    <n v="440636"/>
    <s v="M/S. Sura Bala Mondal"/>
    <s v="Private Retailer"/>
    <s v="9679288403"/>
    <n v="0.5"/>
    <n v="367"/>
    <x v="0"/>
    <m/>
    <s v="2025-04-18"/>
    <s v="260209"/>
    <s v="M/S SUNIL KUMAR SAHA       "/>
    <s v="9434110995"/>
  </r>
  <r>
    <s v="RCF Trombay"/>
    <s v="15-15-15"/>
    <s v="WB"/>
    <x v="17"/>
    <s v="Chakdah"/>
    <s v="User Not Mapped"/>
    <s v="User Not Mapped"/>
    <s v="User Not Mapped"/>
    <n v="440636"/>
    <s v="M/S. Sura Bala Mondal"/>
    <s v="Private Retailer"/>
    <s v="9679288403"/>
    <n v="0.05"/>
    <n v="392"/>
    <x v="0"/>
    <m/>
    <s v="2025-03-24"/>
    <s v="260209"/>
    <s v="M/S SUNIL KUMAR SAHA       "/>
    <s v="9434110995"/>
  </r>
  <r>
    <s v="RCF Trombay"/>
    <s v="N.C.Urea(45kg)"/>
    <s v="WB"/>
    <x v="17"/>
    <m/>
    <s v="User Not Mapped"/>
    <s v="User Not Mapped"/>
    <s v="User Not Mapped"/>
    <n v="1107798"/>
    <s v="MD SAFIUDDIN MONDAL"/>
    <s v="Private Retailer"/>
    <s v="8609030963"/>
    <n v="0.45"/>
    <n v="2577"/>
    <x v="2"/>
    <m/>
    <s v="2019-03-31"/>
    <s v="260209"/>
    <s v="M/S SUNIL KUMAR SAHA       "/>
    <s v="9434110995"/>
  </r>
  <r>
    <s v="RCF Trombay"/>
    <s v="15-15-15"/>
    <s v="WB"/>
    <x v="17"/>
    <m/>
    <s v="User Not Mapped"/>
    <s v="User Not Mapped"/>
    <s v="User Not Mapped"/>
    <n v="1107798"/>
    <s v="MD SAFIUDDIN MONDAL"/>
    <s v="Private Retailer"/>
    <s v="8609030963"/>
    <n v="0.15"/>
    <n v="2577"/>
    <x v="2"/>
    <m/>
    <s v="2019-03-31"/>
    <s v="260209"/>
    <s v="M/S SUNIL KUMAR SAHA       "/>
    <s v="9434110995"/>
  </r>
  <r>
    <s v="RCF Import"/>
    <s v="Imp 10-26-26"/>
    <s v="WB"/>
    <x v="17"/>
    <s v="Chakdah"/>
    <s v="User Not Mapped"/>
    <s v="User Not Mapped"/>
    <s v="User Not Mapped"/>
    <n v="341906"/>
    <s v="Md. Nazrul Islam"/>
    <s v="Private Retailer"/>
    <s v="9733946322"/>
    <n v="0.45"/>
    <n v="221"/>
    <x v="1"/>
    <m/>
    <s v="2025-09-11"/>
    <s v="260209"/>
    <s v="M/S SUNIL KUMAR SAHA       "/>
    <s v="9434110995"/>
  </r>
  <r>
    <s v="RCF Trombay"/>
    <s v="15-15-15"/>
    <s v="WB"/>
    <x v="17"/>
    <s v="Chakdah"/>
    <s v="User Not Mapped"/>
    <s v="User Not Mapped"/>
    <s v="User Not Mapped"/>
    <n v="341906"/>
    <s v="Md. Nazrul Islam"/>
    <s v="Private Retailer"/>
    <s v="9733946322"/>
    <n v="1.65"/>
    <n v="354"/>
    <x v="1"/>
    <m/>
    <s v="2025-05-01"/>
    <s v="260209"/>
    <s v="M/S SUNIL KUMAR SAHA       "/>
    <s v="9434110995"/>
  </r>
  <r>
    <s v="RCF Import"/>
    <s v="Imp 10-26-26"/>
    <s v="WB"/>
    <x v="17"/>
    <s v="Chakdah"/>
    <s v="User Not Mapped"/>
    <s v="User Not Mapped"/>
    <s v="User Not Mapped"/>
    <n v="341906"/>
    <s v="Md. Nazrul Islam"/>
    <s v="Private Retailer"/>
    <s v="9733946322"/>
    <n v="1.25"/>
    <n v="13"/>
    <x v="5"/>
    <m/>
    <s v="2026-04-07"/>
    <s v="260209"/>
    <s v="M/S SUNIL KUMAR SAHA       "/>
    <s v="9434110995"/>
  </r>
  <r>
    <s v="RCF Trombay"/>
    <s v="15-15-15"/>
    <s v="WB"/>
    <x v="17"/>
    <s v="Chakdah"/>
    <s v="User Not Mapped"/>
    <s v="User Not Mapped"/>
    <s v="User Not Mapped"/>
    <n v="440702"/>
    <s v="Minajul Mondal"/>
    <s v="Private Retailer"/>
    <s v="9830689042"/>
    <n v="0.1"/>
    <n v="42"/>
    <x v="3"/>
    <m/>
    <s v="2026-03-09"/>
    <s v="260209"/>
    <s v="M/S SUNIL KUMAR SAHA       "/>
    <s v="9434110995"/>
  </r>
  <r>
    <s v="RCF Import"/>
    <s v="Imp 10-26-26"/>
    <s v="WB"/>
    <x v="17"/>
    <s v="Chakdah"/>
    <s v="User Not Mapped"/>
    <s v="User Not Mapped"/>
    <s v="User Not Mapped"/>
    <n v="440702"/>
    <s v="Minajul Mondal"/>
    <s v="Private Retailer"/>
    <s v="9830689042"/>
    <n v="1"/>
    <n v="13"/>
    <x v="5"/>
    <m/>
    <s v="2026-04-07"/>
    <s v="260209"/>
    <s v="M/S SUNIL KUMAR SAHA       "/>
    <s v="9434110995"/>
  </r>
  <r>
    <s v="RCF Import"/>
    <s v="Imp 10-26-26"/>
    <s v="WB"/>
    <x v="17"/>
    <s v="Chakdah"/>
    <s v="User Not Mapped"/>
    <s v="User Not Mapped"/>
    <s v="User Not Mapped"/>
    <n v="440702"/>
    <s v="Minajul Mondal"/>
    <s v="Private Retailer"/>
    <s v="9830689042"/>
    <n v="1"/>
    <n v="9"/>
    <x v="5"/>
    <m/>
    <s v="2026-04-11"/>
    <s v="260209"/>
    <s v="M/S SUNIL KUMAR SAHA       "/>
    <s v="9434110995"/>
  </r>
  <r>
    <s v="RCF Thal"/>
    <s v="N.C.Urea(45kg)"/>
    <s v="WB"/>
    <x v="17"/>
    <s v="Ranaghat - I"/>
    <s v="User Not Mapped"/>
    <s v="User Not Mapped"/>
    <s v="User Not Mapped"/>
    <n v="341549"/>
    <s v="MIS JITENDHA KUMAR MODAK"/>
    <s v="Private Retailer"/>
    <s v="7363069026"/>
    <n v="0.09"/>
    <n v="13"/>
    <x v="5"/>
    <m/>
    <s v="2026-04-07"/>
    <s v="260209"/>
    <s v="M/S SUNIL KUMAR SAHA       "/>
    <s v="9434110995"/>
  </r>
  <r>
    <s v="RCF Import"/>
    <s v="Imp 10-26-26"/>
    <s v="WB"/>
    <x v="17"/>
    <s v="Ranaghat - I"/>
    <s v="User Not Mapped"/>
    <s v="User Not Mapped"/>
    <s v="User Not Mapped"/>
    <n v="341549"/>
    <s v="MIS JITENDHA KUMAR MODAK"/>
    <s v="Private Retailer"/>
    <s v="7363069026"/>
    <n v="0.75"/>
    <n v="13"/>
    <x v="5"/>
    <m/>
    <s v="2026-04-07"/>
    <s v="260209"/>
    <s v="M/S SUNIL KUMAR SAHA       "/>
    <s v="9434110995"/>
  </r>
  <r>
    <s v="RCF Trombay SCU"/>
    <s v="Sulphur Coated Urea(40Kg)"/>
    <s v="WB"/>
    <x v="17"/>
    <s v="Ranaghat - I"/>
    <s v="User Not Mapped"/>
    <s v="User Not Mapped"/>
    <s v="User Not Mapped"/>
    <n v="341549"/>
    <s v="MIS JITENDHA KUMAR MODAK"/>
    <s v="Private Retailer"/>
    <s v="7363069026"/>
    <n v="0.01"/>
    <n v="589"/>
    <x v="2"/>
    <m/>
    <s v="2024-09-08"/>
    <s v="260209"/>
    <s v="M/S SUNIL KUMAR SAHA       "/>
    <s v="9434110995"/>
  </r>
  <r>
    <s v="RCF Thal"/>
    <s v="N.C.Urea(45kg)"/>
    <s v="WB"/>
    <x v="17"/>
    <s v="Ranaghat - I"/>
    <s v="User Not Mapped"/>
    <s v="User Not Mapped"/>
    <s v="User Not Mapped"/>
    <n v="341549"/>
    <s v="MIS JITENDHA KUMAR MODAK"/>
    <s v="Private Retailer"/>
    <s v="7363069026"/>
    <n v="0.45"/>
    <n v="5"/>
    <x v="5"/>
    <m/>
    <s v="2026-04-15"/>
    <s v="260209"/>
    <s v="M/S SUNIL KUMAR SAHA       "/>
    <s v="9434110995"/>
  </r>
  <r>
    <s v="RCF Trombay"/>
    <s v="N.C.Urea(45kg)"/>
    <s v="WB"/>
    <x v="17"/>
    <s v="Kalyani"/>
    <s v="User Not Mapped"/>
    <s v="User Not Mapped"/>
    <s v="User Not Mapped"/>
    <n v="1572408"/>
    <s v="MS TASLIMA MONDAL"/>
    <s v="Private Retailer"/>
    <s v="7864853034"/>
    <n v="0.09"/>
    <n v="42"/>
    <x v="3"/>
    <m/>
    <s v="2026-03-09"/>
    <s v="260209"/>
    <s v="M/S SUNIL KUMAR SAHA       "/>
    <s v="9434110995"/>
  </r>
  <r>
    <s v="RCF Trombay"/>
    <s v="15-15-15"/>
    <s v="WB"/>
    <x v="17"/>
    <s v="Ranaghat - I"/>
    <s v="User Not Mapped"/>
    <s v="User Not Mapped"/>
    <s v="User Not Mapped"/>
    <n v="854866"/>
    <s v="NILADRI SARKAR"/>
    <s v="Private Retailer"/>
    <s v="9153319303"/>
    <n v="6.05"/>
    <n v="57"/>
    <x v="3"/>
    <m/>
    <s v="2026-02-22"/>
    <s v="260209"/>
    <s v="M/S SUNIL KUMAR SAHA       "/>
    <s v="9434110995"/>
  </r>
  <r>
    <s v="RCF Import"/>
    <s v="Imp 10-26-26"/>
    <s v="WB"/>
    <x v="17"/>
    <s v="Chakdah"/>
    <s v="User Not Mapped"/>
    <s v="User Not Mapped"/>
    <s v="User Not Mapped"/>
    <n v="342638"/>
    <s v="Pijush Kanti Das"/>
    <s v="Private Retailer"/>
    <s v="9733894146"/>
    <n v="0.5"/>
    <n v="13"/>
    <x v="5"/>
    <m/>
    <s v="2026-04-07"/>
    <s v="260209"/>
    <s v="M/S SUNIL KUMAR SAHA       "/>
    <s v="9434110995"/>
  </r>
  <r>
    <s v="RCF Import"/>
    <s v="Imp 10-26-26"/>
    <s v="WB"/>
    <x v="17"/>
    <s v="Chakdah"/>
    <s v="User Not Mapped"/>
    <s v="User Not Mapped"/>
    <s v="User Not Mapped"/>
    <n v="342638"/>
    <s v="Pijush Kanti Das"/>
    <s v="Private Retailer"/>
    <s v="9733894146"/>
    <n v="0.5"/>
    <n v="7"/>
    <x v="5"/>
    <m/>
    <s v="2026-04-13"/>
    <s v="260209"/>
    <s v="M/S SUNIL KUMAR SAHA       "/>
    <s v="9434110995"/>
  </r>
  <r>
    <s v="RCF Trombay"/>
    <s v="15-15-15"/>
    <s v="WB"/>
    <x v="17"/>
    <s v="Chakdah"/>
    <s v="User Not Mapped"/>
    <s v="User Not Mapped"/>
    <s v="User Not Mapped"/>
    <n v="342638"/>
    <s v="Pijush Kanti Das"/>
    <s v="Private Retailer"/>
    <s v="9733894146"/>
    <n v="0.25"/>
    <n v="54"/>
    <x v="3"/>
    <m/>
    <s v="2026-02-25"/>
    <s v="260209"/>
    <s v="M/S SUNIL KUMAR SAHA       "/>
    <s v="9434110995"/>
  </r>
  <r>
    <s v="RCF Trombay"/>
    <s v="15-15-15"/>
    <s v="WB"/>
    <x v="17"/>
    <s v="Chakdah"/>
    <s v="User Not Mapped"/>
    <s v="User Not Mapped"/>
    <s v="User Not Mapped"/>
    <n v="342638"/>
    <s v="Pijush Kanti Das"/>
    <s v="Private Retailer"/>
    <s v="9733894146"/>
    <n v="0.5"/>
    <n v="42"/>
    <x v="3"/>
    <m/>
    <s v="2026-03-09"/>
    <s v="260209"/>
    <s v="M/S SUNIL KUMAR SAHA       "/>
    <s v="9434110995"/>
  </r>
  <r>
    <s v="RCF Trombay"/>
    <s v="N.C.Urea(45kg)"/>
    <s v="WB"/>
    <x v="17"/>
    <m/>
    <s v="User Not Mapped"/>
    <s v="User Not Mapped"/>
    <s v="User Not Mapped"/>
    <n v="342654"/>
    <s v="Premchand Mahato"/>
    <s v="Private Retailer"/>
    <s v="9143570315"/>
    <n v="0.02"/>
    <n v="303"/>
    <x v="1"/>
    <m/>
    <s v="2025-06-21"/>
    <s v="260209"/>
    <s v="M/S SUNIL KUMAR SAHA       "/>
    <s v="9434110995"/>
  </r>
  <r>
    <s v="RCF Trombay"/>
    <s v="N.C.Urea(45kg)"/>
    <s v="WB"/>
    <x v="17"/>
    <m/>
    <s v="User Not Mapped"/>
    <s v="User Not Mapped"/>
    <s v="User Not Mapped"/>
    <n v="342654"/>
    <s v="Premchand Mahato"/>
    <s v="Private Retailer"/>
    <s v="9143570315"/>
    <n v="0.45"/>
    <n v="55"/>
    <x v="3"/>
    <m/>
    <s v="2026-02-24"/>
    <s v="260209"/>
    <s v="M/S SUNIL KUMAR SAHA       "/>
    <s v="9434110995"/>
  </r>
  <r>
    <s v="RCF Trombay"/>
    <s v="N.C.Urea(45kg)"/>
    <s v="WB"/>
    <x v="17"/>
    <m/>
    <s v="User Not Mapped"/>
    <s v="User Not Mapped"/>
    <s v="User Not Mapped"/>
    <n v="342654"/>
    <s v="Premchand Mahato"/>
    <s v="Private Retailer"/>
    <s v="9143570315"/>
    <n v="1.8"/>
    <n v="84"/>
    <x v="6"/>
    <m/>
    <s v="2026-01-26"/>
    <s v="260209"/>
    <s v="M/S SUNIL KUMAR SAHA       "/>
    <s v="9434110995"/>
  </r>
  <r>
    <s v="RCF Trombay"/>
    <s v="15-15-15"/>
    <s v="WB"/>
    <x v="17"/>
    <m/>
    <s v="User Not Mapped"/>
    <s v="User Not Mapped"/>
    <s v="User Not Mapped"/>
    <n v="342654"/>
    <s v="Premchand Mahato"/>
    <s v="Private Retailer"/>
    <s v="9143570315"/>
    <n v="0.05"/>
    <n v="228"/>
    <x v="1"/>
    <m/>
    <s v="2025-09-04"/>
    <s v="260209"/>
    <s v="M/S SUNIL KUMAR SAHA       "/>
    <s v="9434110995"/>
  </r>
  <r>
    <s v="RCF Trombay"/>
    <s v="N.C.Urea(45kg)"/>
    <s v="WB"/>
    <x v="17"/>
    <s v="Chakdah"/>
    <s v="User Not Mapped"/>
    <s v="User Not Mapped"/>
    <s v="User Not Mapped"/>
    <n v="1538248"/>
    <s v="PURNIMA KRISHI BHANDAR"/>
    <s v="Private Retailer"/>
    <s v="7001095033"/>
    <n v="0.22500000000000001"/>
    <n v="219"/>
    <x v="1"/>
    <m/>
    <s v="2025-09-13"/>
    <s v="260209"/>
    <s v="M/S SUNIL KUMAR SAHA       "/>
    <s v="9434110995"/>
  </r>
  <r>
    <s v="RCF Trombay"/>
    <s v="15-15-15"/>
    <s v="WB"/>
    <x v="17"/>
    <s v="Chakdah"/>
    <s v="User Not Mapped"/>
    <s v="User Not Mapped"/>
    <s v="User Not Mapped"/>
    <n v="1538248"/>
    <s v="PURNIMA KRISHI BHANDAR"/>
    <s v="Private Retailer"/>
    <s v="7001095033"/>
    <n v="0.2"/>
    <n v="290"/>
    <x v="1"/>
    <m/>
    <s v="2025-07-04"/>
    <s v="260209"/>
    <s v="M/S SUNIL KUMAR SAHA       "/>
    <s v="9434110995"/>
  </r>
  <r>
    <s v="RCF Trombay"/>
    <s v="15-15-15"/>
    <s v="WB"/>
    <x v="17"/>
    <s v="Chakdah"/>
    <s v="User Not Mapped"/>
    <s v="User Not Mapped"/>
    <s v="User Not Mapped"/>
    <n v="1538248"/>
    <s v="PURNIMA KRISHI BHANDAR"/>
    <s v="Private Retailer"/>
    <s v="7001095033"/>
    <n v="0.25"/>
    <n v="137"/>
    <x v="4"/>
    <m/>
    <s v="2025-12-04"/>
    <s v="260209"/>
    <s v="M/S SUNIL KUMAR SAHA       "/>
    <s v="9434110995"/>
  </r>
  <r>
    <s v="RCF Trombay"/>
    <s v="15-15-15"/>
    <s v="WB"/>
    <x v="17"/>
    <s v="Chakdah"/>
    <s v="User Not Mapped"/>
    <s v="User Not Mapped"/>
    <s v="User Not Mapped"/>
    <n v="498174"/>
    <s v="Rajesh Mondal"/>
    <s v="Private Retailer"/>
    <s v="8116832836"/>
    <n v="5"/>
    <n v="57"/>
    <x v="3"/>
    <m/>
    <s v="2026-02-22"/>
    <s v="260209"/>
    <s v="M/S SUNIL KUMAR SAHA       "/>
    <s v="9434110995"/>
  </r>
  <r>
    <s v="RCF Trombay"/>
    <s v="15-15-15"/>
    <s v="WB"/>
    <x v="17"/>
    <s v="Chakdah"/>
    <s v="User Not Mapped"/>
    <s v="User Not Mapped"/>
    <s v="User Not Mapped"/>
    <n v="498174"/>
    <s v="Rajesh Mondal"/>
    <s v="Private Retailer"/>
    <s v="8116832836"/>
    <n v="1"/>
    <n v="79"/>
    <x v="6"/>
    <m/>
    <s v="2026-01-31"/>
    <s v="260209"/>
    <s v="M/S SUNIL KUMAR SAHA       "/>
    <s v="9434110995"/>
  </r>
  <r>
    <s v="RCF Import"/>
    <s v="MOP"/>
    <s v="WB"/>
    <x v="17"/>
    <s v="Chakdah"/>
    <s v="User Not Mapped"/>
    <s v="User Not Mapped"/>
    <s v="User Not Mapped"/>
    <n v="498174"/>
    <s v="Rajesh Mondal"/>
    <s v="Private Retailer"/>
    <s v="8116832836"/>
    <n v="0.45"/>
    <n v="453"/>
    <x v="0"/>
    <m/>
    <s v="2025-01-22"/>
    <s v="260209"/>
    <s v="M/S SUNIL KUMAR SAHA       "/>
    <s v="9434110995"/>
  </r>
  <r>
    <s v="RCF Import"/>
    <s v="Imp 10-26-26"/>
    <s v="WB"/>
    <x v="17"/>
    <s v="Chakdah"/>
    <s v="User Not Mapped"/>
    <s v="User Not Mapped"/>
    <s v="User Not Mapped"/>
    <n v="342642"/>
    <s v="Ranjan Biswas"/>
    <s v="Private Retailer"/>
    <s v="8918323240"/>
    <n v="0.25"/>
    <n v="9"/>
    <x v="5"/>
    <m/>
    <s v="2026-04-11"/>
    <s v="260209"/>
    <s v="M/S SUNIL KUMAR SAHA       "/>
    <s v="9434110995"/>
  </r>
  <r>
    <s v="RCF Thal"/>
    <s v="N.C.Urea(45kg)"/>
    <s v="WB"/>
    <x v="17"/>
    <s v="Chakdah"/>
    <s v="User Not Mapped"/>
    <s v="User Not Mapped"/>
    <s v="User Not Mapped"/>
    <n v="342642"/>
    <s v="Ranjan Biswas"/>
    <s v="Private Retailer"/>
    <s v="8918323240"/>
    <n v="1.08"/>
    <n v="9"/>
    <x v="5"/>
    <m/>
    <s v="2026-04-11"/>
    <s v="260209"/>
    <s v="M/S SUNIL KUMAR SAHA       "/>
    <s v="9434110995"/>
  </r>
  <r>
    <s v="RCF Trombay"/>
    <s v="15-15-15"/>
    <s v="WB"/>
    <x v="17"/>
    <s v="Chakdah"/>
    <s v="User Not Mapped"/>
    <s v="User Not Mapped"/>
    <s v="User Not Mapped"/>
    <n v="342642"/>
    <s v="Ranjan Biswas"/>
    <s v="Private Retailer"/>
    <s v="8918323240"/>
    <n v="0.27500000000000002"/>
    <n v="42"/>
    <x v="3"/>
    <m/>
    <s v="2026-03-09"/>
    <s v="260209"/>
    <s v="M/S SUNIL KUMAR SAHA       "/>
    <s v="9434110995"/>
  </r>
  <r>
    <s v="RCF Trombay"/>
    <s v="N.C.Urea(45kg)"/>
    <s v="WB"/>
    <x v="17"/>
    <s v="Chakdah"/>
    <s v="User Not Mapped"/>
    <s v="User Not Mapped"/>
    <s v="User Not Mapped"/>
    <n v="593290"/>
    <s v="SAHADAT MONDAL"/>
    <s v="Private Retailer"/>
    <s v="6296565441"/>
    <n v="1.71"/>
    <n v="49"/>
    <x v="3"/>
    <m/>
    <s v="2026-03-02"/>
    <s v="260209"/>
    <s v="M/S SUNIL KUMAR SAHA       "/>
    <s v="9434110995"/>
  </r>
  <r>
    <s v="RCF Thal"/>
    <s v="N.C.Urea(45kg)"/>
    <s v="WB"/>
    <x v="17"/>
    <s v="Chakdah"/>
    <s v="User Not Mapped"/>
    <s v="User Not Mapped"/>
    <s v="User Not Mapped"/>
    <n v="593290"/>
    <s v="SAHADAT MONDAL"/>
    <s v="Private Retailer"/>
    <s v="6296565441"/>
    <n v="3.6"/>
    <n v="36"/>
    <x v="3"/>
    <m/>
    <s v="2026-03-15"/>
    <s v="260209"/>
    <s v="M/S SUNIL KUMAR SAHA       "/>
    <s v="9434110995"/>
  </r>
  <r>
    <s v="RCF Trombay"/>
    <s v="15-15-15"/>
    <s v="WB"/>
    <x v="17"/>
    <s v="Chakdah"/>
    <s v="User Not Mapped"/>
    <s v="User Not Mapped"/>
    <s v="User Not Mapped"/>
    <n v="593290"/>
    <s v="SAHADAT MONDAL"/>
    <s v="Private Retailer"/>
    <s v="6296565441"/>
    <n v="0.5"/>
    <n v="58"/>
    <x v="3"/>
    <m/>
    <s v="2026-02-21"/>
    <s v="260209"/>
    <s v="M/S SUNIL KUMAR SAHA       "/>
    <s v="9434110995"/>
  </r>
  <r>
    <s v="RCF Trombay"/>
    <s v="15-15-15"/>
    <s v="WB"/>
    <x v="17"/>
    <s v="Chakdah"/>
    <s v="User Not Mapped"/>
    <s v="User Not Mapped"/>
    <s v="User Not Mapped"/>
    <n v="593290"/>
    <s v="SAHADAT MONDAL"/>
    <s v="Private Retailer"/>
    <s v="6296565441"/>
    <n v="0.5"/>
    <n v="41"/>
    <x v="3"/>
    <m/>
    <s v="2026-03-10"/>
    <s v="260209"/>
    <s v="M/S SUNIL KUMAR SAHA       "/>
    <s v="9434110995"/>
  </r>
  <r>
    <s v="RCF Trombay"/>
    <s v="15-15-15"/>
    <s v="WB"/>
    <x v="17"/>
    <s v="Chakdah"/>
    <s v="User Not Mapped"/>
    <s v="User Not Mapped"/>
    <s v="User Not Mapped"/>
    <n v="356198"/>
    <s v="Sailesh Chandra Basu"/>
    <s v="Private Retailer"/>
    <s v="9434302639"/>
    <n v="0.3"/>
    <n v="85"/>
    <x v="6"/>
    <m/>
    <s v="2026-01-25"/>
    <s v="260209"/>
    <s v="M/S SUNIL KUMAR SAHA       "/>
    <s v="9434110995"/>
  </r>
  <r>
    <s v="RCF Trombay"/>
    <s v="N.C.Urea(45kg)"/>
    <s v="WB"/>
    <x v="17"/>
    <s v="Chakdah"/>
    <s v="User Not Mapped"/>
    <s v="User Not Mapped"/>
    <s v="User Not Mapped"/>
    <n v="356198"/>
    <s v="Sailesh Chandra Basu"/>
    <s v="Private Retailer"/>
    <s v="9434302639"/>
    <n v="0.315"/>
    <n v="144"/>
    <x v="4"/>
    <m/>
    <s v="2025-11-27"/>
    <s v="260209"/>
    <s v="M/S SUNIL KUMAR SAHA       "/>
    <s v="9434110995"/>
  </r>
  <r>
    <s v="RCF Thal"/>
    <s v="N.C.Urea(45kg)"/>
    <s v="WB"/>
    <x v="17"/>
    <m/>
    <s v="User Not Mapped"/>
    <s v="User Not Mapped"/>
    <s v="User Not Mapped"/>
    <n v="944066"/>
    <s v="SALAM MONDAL"/>
    <s v="Private Retailer"/>
    <s v="8145090203"/>
    <n v="0.35499999999999998"/>
    <n v="1974"/>
    <x v="2"/>
    <m/>
    <s v="2020-11-23"/>
    <s v="260209"/>
    <s v="M/S SUNIL KUMAR SAHA       "/>
    <s v="9434110995"/>
  </r>
  <r>
    <s v="RCF Trombay"/>
    <s v="15-15-15"/>
    <s v="WB"/>
    <x v="17"/>
    <s v="Chakdah"/>
    <s v="User Not Mapped"/>
    <s v="User Not Mapped"/>
    <s v="User Not Mapped"/>
    <n v="356243"/>
    <s v="Sanjib Kumar Ghosh"/>
    <s v="Private Retailer"/>
    <s v="9733351600"/>
    <n v="0.05"/>
    <n v="137"/>
    <x v="4"/>
    <m/>
    <s v="2025-12-04"/>
    <s v="260209"/>
    <s v="M/S SUNIL KUMAR SAHA       "/>
    <s v="9434110995"/>
  </r>
  <r>
    <s v="RCF Trombay"/>
    <s v="N.C.Urea(45kg)"/>
    <s v="WB"/>
    <x v="17"/>
    <s v="Nabadwip"/>
    <s v="User Not Mapped"/>
    <s v="User Not Mapped"/>
    <s v="User Not Mapped"/>
    <n v="356245"/>
    <s v="Sanjit Ghosh"/>
    <s v="Private Retailer"/>
    <s v="9836120241"/>
    <n v="0.45"/>
    <n v="80"/>
    <x v="6"/>
    <m/>
    <s v="2026-01-30"/>
    <s v="260209"/>
    <s v="M/S SUNIL KUMAR SAHA       "/>
    <s v="9434110995"/>
  </r>
  <r>
    <s v="RCF Trombay"/>
    <s v="15-15-15"/>
    <s v="WB"/>
    <x v="17"/>
    <s v="Nabadwip"/>
    <s v="User Not Mapped"/>
    <s v="User Not Mapped"/>
    <s v="User Not Mapped"/>
    <n v="356245"/>
    <s v="Sanjit Ghosh"/>
    <s v="Private Retailer"/>
    <s v="9836120241"/>
    <n v="0.5"/>
    <n v="42"/>
    <x v="3"/>
    <m/>
    <s v="2026-03-09"/>
    <s v="260209"/>
    <s v="M/S SUNIL KUMAR SAHA       "/>
    <s v="9434110995"/>
  </r>
  <r>
    <s v="RCF Trombay"/>
    <s v="15-15-15"/>
    <s v="WB"/>
    <x v="17"/>
    <s v="Nabadwip"/>
    <s v="User Not Mapped"/>
    <s v="User Not Mapped"/>
    <s v="User Not Mapped"/>
    <n v="356245"/>
    <s v="Sanjit Ghosh"/>
    <s v="Private Retailer"/>
    <s v="9836120241"/>
    <n v="1"/>
    <n v="80"/>
    <x v="6"/>
    <m/>
    <s v="2026-01-30"/>
    <s v="260209"/>
    <s v="M/S SUNIL KUMAR SAHA       "/>
    <s v="9434110995"/>
  </r>
  <r>
    <s v="RCF Trombay"/>
    <s v="N.C.Urea(45kg)"/>
    <s v="WB"/>
    <x v="17"/>
    <s v="Nabadwip"/>
    <s v="User Not Mapped"/>
    <s v="User Not Mapped"/>
    <s v="User Not Mapped"/>
    <n v="356245"/>
    <s v="Sanjit Ghosh"/>
    <s v="Private Retailer"/>
    <s v="9836120241"/>
    <n v="1.2"/>
    <n v="148"/>
    <x v="4"/>
    <m/>
    <s v="2025-11-23"/>
    <s v="260209"/>
    <s v="M/S SUNIL KUMAR SAHA       "/>
    <s v="9434110995"/>
  </r>
  <r>
    <s v="RCF Trombay"/>
    <s v="N.C.Urea(45kg)"/>
    <s v="WB"/>
    <x v="17"/>
    <s v="Chakdah"/>
    <s v="User Not Mapped"/>
    <s v="User Not Mapped"/>
    <s v="User Not Mapped"/>
    <n v="356267"/>
    <s v="Sankar Sarkar"/>
    <s v="Private Retailer"/>
    <s v="9733997844"/>
    <n v="0.27"/>
    <n v="568"/>
    <x v="2"/>
    <m/>
    <s v="2024-09-29"/>
    <s v="260209"/>
    <s v="M/S SUNIL KUMAR SAHA       "/>
    <s v="9434110995"/>
  </r>
  <r>
    <s v="RCF Trombay"/>
    <s v="N.C.Urea(45kg)"/>
    <s v="WB"/>
    <x v="17"/>
    <s v="Chakdah"/>
    <s v="User Not Mapped"/>
    <s v="User Not Mapped"/>
    <s v="User Not Mapped"/>
    <n v="356267"/>
    <s v="Sankar Sarkar"/>
    <s v="Private Retailer"/>
    <s v="9733997844"/>
    <n v="1.35"/>
    <n v="504"/>
    <x v="0"/>
    <m/>
    <s v="2024-12-02"/>
    <s v="260209"/>
    <s v="M/S SUNIL KUMAR SAHA       "/>
    <s v="9434110995"/>
  </r>
  <r>
    <s v="RCF Trombay"/>
    <s v="N.C.Urea(45kg)"/>
    <s v="WB"/>
    <x v="17"/>
    <s v="Chakdah"/>
    <s v="User Not Mapped"/>
    <s v="User Not Mapped"/>
    <s v="User Not Mapped"/>
    <n v="356267"/>
    <s v="Sankar Sarkar"/>
    <s v="Private Retailer"/>
    <s v="9733997844"/>
    <n v="0.9"/>
    <n v="427"/>
    <x v="0"/>
    <m/>
    <s v="2025-02-17"/>
    <s v="260209"/>
    <s v="M/S SUNIL KUMAR SAHA       "/>
    <s v="9434110995"/>
  </r>
  <r>
    <s v="RCF Trombay"/>
    <s v="N.C.Urea(45kg)"/>
    <s v="WB"/>
    <x v="17"/>
    <s v="Chakdah"/>
    <s v="User Not Mapped"/>
    <s v="User Not Mapped"/>
    <s v="User Not Mapped"/>
    <n v="356267"/>
    <s v="Sankar Sarkar"/>
    <s v="Private Retailer"/>
    <s v="9733997844"/>
    <n v="0.9"/>
    <n v="85"/>
    <x v="6"/>
    <m/>
    <s v="2026-01-25"/>
    <s v="260209"/>
    <s v="M/S SUNIL KUMAR SAHA       "/>
    <s v="9434110995"/>
  </r>
  <r>
    <s v="RCF Trombay"/>
    <s v="N.C.Urea(45kg)"/>
    <s v="WB"/>
    <x v="17"/>
    <s v="Chakdah"/>
    <s v="User Not Mapped"/>
    <s v="User Not Mapped"/>
    <s v="User Not Mapped"/>
    <n v="356267"/>
    <s v="Sankar Sarkar"/>
    <s v="Private Retailer"/>
    <s v="9733997844"/>
    <n v="0.9"/>
    <n v="52"/>
    <x v="3"/>
    <m/>
    <s v="2026-02-27"/>
    <s v="260209"/>
    <s v="M/S SUNIL KUMAR SAHA       "/>
    <s v="9434110995"/>
  </r>
  <r>
    <s v="RCF Trombay"/>
    <s v="15-15-15"/>
    <s v="WB"/>
    <x v="17"/>
    <s v="Chakdah"/>
    <s v="User Not Mapped"/>
    <s v="User Not Mapped"/>
    <s v="User Not Mapped"/>
    <n v="487588"/>
    <s v="Shib  Prosad Dutta"/>
    <s v="Private Retailer"/>
    <s v="9832701729"/>
    <n v="0.9"/>
    <n v="138"/>
    <x v="4"/>
    <m/>
    <s v="2025-12-03"/>
    <s v="260209"/>
    <s v="M/S SUNIL KUMAR SAHA       "/>
    <s v="9434110995"/>
  </r>
  <r>
    <s v="RCF Trombay"/>
    <s v="N.C.Urea(45kg)"/>
    <s v="WB"/>
    <x v="17"/>
    <s v="Chakdah"/>
    <s v="User Not Mapped"/>
    <s v="User Not Mapped"/>
    <s v="User Not Mapped"/>
    <n v="487588"/>
    <s v="Shib  Prosad Dutta"/>
    <s v="Private Retailer"/>
    <s v="9832701729"/>
    <n v="1.35"/>
    <n v="49"/>
    <x v="3"/>
    <m/>
    <s v="2026-03-02"/>
    <s v="260209"/>
    <s v="M/S SUNIL KUMAR SAHA       "/>
    <s v="9434110995"/>
  </r>
  <r>
    <s v="RCF Thal"/>
    <s v="N.C.Urea(45kg)"/>
    <s v="WB"/>
    <x v="17"/>
    <s v="Chakdah"/>
    <s v="User Not Mapped"/>
    <s v="User Not Mapped"/>
    <s v="User Not Mapped"/>
    <n v="938975"/>
    <s v="SHYAMA PADA BISWAS"/>
    <s v="Private Retailer"/>
    <s v="8617635873"/>
    <n v="0.22500000000000001"/>
    <n v="9"/>
    <x v="5"/>
    <m/>
    <s v="2026-04-11"/>
    <s v="260209"/>
    <s v="M/S SUNIL KUMAR SAHA       "/>
    <s v="9434110995"/>
  </r>
  <r>
    <s v="RCF Trombay"/>
    <s v="15-15-15"/>
    <s v="WB"/>
    <x v="17"/>
    <s v="Chakdah"/>
    <s v="User Not Mapped"/>
    <s v="User Not Mapped"/>
    <s v="User Not Mapped"/>
    <n v="938975"/>
    <s v="SHYAMA PADA BISWAS"/>
    <s v="Private Retailer"/>
    <s v="8617635873"/>
    <n v="0.25"/>
    <n v="78"/>
    <x v="6"/>
    <m/>
    <s v="2026-02-01"/>
    <s v="260209"/>
    <s v="M/S SUNIL KUMAR SAHA       "/>
    <s v="9434110995"/>
  </r>
  <r>
    <s v="RCF Trombay"/>
    <s v="15-15-15"/>
    <s v="WB"/>
    <x v="17"/>
    <s v="Chakdah"/>
    <s v="User Not Mapped"/>
    <s v="User Not Mapped"/>
    <s v="User Not Mapped"/>
    <n v="938975"/>
    <s v="SHYAMA PADA BISWAS"/>
    <s v="Private Retailer"/>
    <s v="8617635873"/>
    <n v="0.45"/>
    <n v="170"/>
    <x v="4"/>
    <m/>
    <s v="2025-11-01"/>
    <s v="260209"/>
    <s v="M/S SUNIL KUMAR SAHA       "/>
    <s v="9434110995"/>
  </r>
  <r>
    <s v="RCF Trombay"/>
    <s v="15-15-15"/>
    <s v="WB"/>
    <x v="17"/>
    <s v="Chakdah"/>
    <s v="User Not Mapped"/>
    <s v="User Not Mapped"/>
    <s v="User Not Mapped"/>
    <n v="938975"/>
    <s v="SHYAMA PADA BISWAS"/>
    <s v="Private Retailer"/>
    <s v="8617635873"/>
    <n v="0.75"/>
    <n v="162"/>
    <x v="4"/>
    <m/>
    <s v="2025-11-09"/>
    <s v="260209"/>
    <s v="M/S SUNIL KUMAR SAHA       "/>
    <s v="9434110995"/>
  </r>
  <r>
    <s v="RCF Trombay"/>
    <s v="N.C.Urea(45kg)"/>
    <s v="WB"/>
    <x v="17"/>
    <s v="Chakdah"/>
    <s v="User Not Mapped"/>
    <s v="User Not Mapped"/>
    <s v="User Not Mapped"/>
    <n v="938975"/>
    <s v="SHYAMA PADA BISWAS"/>
    <s v="Private Retailer"/>
    <s v="8617635873"/>
    <n v="1.575"/>
    <n v="144"/>
    <x v="4"/>
    <m/>
    <s v="2025-11-27"/>
    <s v="260209"/>
    <s v="M/S SUNIL KUMAR SAHA       "/>
    <s v="9434110995"/>
  </r>
  <r>
    <s v="RCF Import"/>
    <s v="Imp 10-26-26"/>
    <s v="WB"/>
    <x v="17"/>
    <s v="Chakdah"/>
    <s v="User Not Mapped"/>
    <s v="User Not Mapped"/>
    <s v="User Not Mapped"/>
    <n v="938975"/>
    <s v="SHYAMA PADA BISWAS"/>
    <s v="Private Retailer"/>
    <s v="8617635873"/>
    <n v="0.5"/>
    <n v="13"/>
    <x v="5"/>
    <m/>
    <s v="2026-04-07"/>
    <s v="260209"/>
    <s v="M/S SUNIL KUMAR SAHA       "/>
    <s v="9434110995"/>
  </r>
  <r>
    <s v="RCF Trombay"/>
    <s v="N.C.Urea(45kg)"/>
    <s v="WB"/>
    <x v="17"/>
    <s v="Chakdah"/>
    <s v="User Not Mapped"/>
    <s v="User Not Mapped"/>
    <s v="User Not Mapped"/>
    <n v="599877"/>
    <s v="Soumen Mandal"/>
    <s v="Private Retailer"/>
    <s v="9614804881"/>
    <n v="0.13500000000000001"/>
    <n v="79"/>
    <x v="6"/>
    <m/>
    <s v="2026-01-31"/>
    <s v="260209"/>
    <s v="M/S SUNIL KUMAR SAHA       "/>
    <s v="9434110995"/>
  </r>
  <r>
    <s v="RCF Thal"/>
    <s v="N.C.Urea(45kg)"/>
    <s v="WB"/>
    <x v="17"/>
    <s v="Chakdah"/>
    <s v="User Not Mapped"/>
    <s v="User Not Mapped"/>
    <s v="User Not Mapped"/>
    <n v="599877"/>
    <s v="Soumen Mandal"/>
    <s v="Private Retailer"/>
    <s v="9614804881"/>
    <n v="0.67500000000000004"/>
    <n v="13"/>
    <x v="5"/>
    <m/>
    <s v="2026-04-07"/>
    <s v="260209"/>
    <s v="M/S SUNIL KUMAR SAHA       "/>
    <s v="9434110995"/>
  </r>
  <r>
    <s v="RCF Trombay"/>
    <s v="N.C.Urea(45kg)"/>
    <s v="WB"/>
    <x v="17"/>
    <s v="Chakdah"/>
    <s v="User Not Mapped"/>
    <s v="User Not Mapped"/>
    <s v="User Not Mapped"/>
    <n v="599877"/>
    <s v="Soumen Mandal"/>
    <s v="Private Retailer"/>
    <s v="9614804881"/>
    <n v="0.45"/>
    <n v="78"/>
    <x v="6"/>
    <m/>
    <s v="2026-02-01"/>
    <s v="260209"/>
    <s v="M/S SUNIL KUMAR SAHA       "/>
    <s v="9434110995"/>
  </r>
  <r>
    <s v="RCF Trombay"/>
    <s v="N.C.Urea(45kg)"/>
    <s v="WB"/>
    <x v="17"/>
    <s v="Ranaghat - I"/>
    <s v="User Not Mapped"/>
    <s v="User Not Mapped"/>
    <s v="User Not Mapped"/>
    <n v="498558"/>
    <s v="Subahas Rudra"/>
    <s v="Private Retailer"/>
    <s v="9333555080"/>
    <n v="0.27"/>
    <n v="231"/>
    <x v="1"/>
    <m/>
    <s v="2025-09-01"/>
    <s v="260209"/>
    <s v="M/S SUNIL KUMAR SAHA       "/>
    <s v="9434110995"/>
  </r>
  <r>
    <s v="RCF Import"/>
    <s v="Imp 10-26-26"/>
    <s v="WB"/>
    <x v="17"/>
    <s v="Ranaghat - I"/>
    <s v="User Not Mapped"/>
    <s v="User Not Mapped"/>
    <s v="User Not Mapped"/>
    <n v="498558"/>
    <s v="Subahas Rudra"/>
    <s v="Private Retailer"/>
    <s v="9333555080"/>
    <n v="0.1"/>
    <n v="231"/>
    <x v="1"/>
    <m/>
    <s v="2025-09-01"/>
    <s v="260209"/>
    <s v="M/S SUNIL KUMAR SAHA       "/>
    <s v="9434110995"/>
  </r>
  <r>
    <s v="RCF Trombay"/>
    <s v="15-15-15"/>
    <s v="WB"/>
    <x v="17"/>
    <s v="Ranaghat - I"/>
    <s v="User Not Mapped"/>
    <s v="User Not Mapped"/>
    <s v="User Not Mapped"/>
    <n v="498558"/>
    <s v="Subahas Rudra"/>
    <s v="Private Retailer"/>
    <s v="9333555080"/>
    <n v="0.05"/>
    <n v="231"/>
    <x v="1"/>
    <m/>
    <s v="2025-09-01"/>
    <s v="260209"/>
    <s v="M/S SUNIL KUMAR SAHA       "/>
    <s v="9434110995"/>
  </r>
  <r>
    <s v="RCF Trombay"/>
    <s v="15-15-15"/>
    <s v="WB"/>
    <x v="17"/>
    <s v="Ranaghat - II"/>
    <s v="User Not Mapped"/>
    <s v="User Not Mapped"/>
    <s v="User Not Mapped"/>
    <n v="498182"/>
    <s v="Subrata Banerjee"/>
    <s v="Private Retailer"/>
    <s v="9732960701"/>
    <n v="1"/>
    <n v="786"/>
    <x v="2"/>
    <m/>
    <s v="2024-02-24"/>
    <s v="260209"/>
    <s v="M/S SUNIL KUMAR SAHA       "/>
    <s v="9434110995"/>
  </r>
  <r>
    <s v="RCF Trombay"/>
    <s v="15-15-15"/>
    <s v="WB"/>
    <x v="17"/>
    <s v="Ranaghat - II"/>
    <s v="User Not Mapped"/>
    <s v="User Not Mapped"/>
    <s v="User Not Mapped"/>
    <n v="498182"/>
    <s v="Subrata Banerjee"/>
    <s v="Private Retailer"/>
    <s v="9732960701"/>
    <n v="0.1"/>
    <n v="1127"/>
    <x v="2"/>
    <m/>
    <s v="2023-03-20"/>
    <s v="260209"/>
    <s v="M/S SUNIL KUMAR SAHA       "/>
    <s v="9434110995"/>
  </r>
  <r>
    <s v="RCF Thal"/>
    <s v="N.C.Urea(45kg)"/>
    <s v="WB"/>
    <x v="17"/>
    <s v="Ranaghat - II"/>
    <s v="User Not Mapped"/>
    <s v="User Not Mapped"/>
    <s v="User Not Mapped"/>
    <n v="498182"/>
    <s v="Subrata Banerjee"/>
    <s v="Private Retailer"/>
    <s v="9732960701"/>
    <n v="7.6050000000000004"/>
    <n v="276"/>
    <x v="1"/>
    <m/>
    <s v="2025-07-18"/>
    <s v="260209"/>
    <s v="M/S SUNIL KUMAR SAHA       "/>
    <s v="9434110995"/>
  </r>
  <r>
    <s v="RCF Trombay"/>
    <s v="15-15-15"/>
    <s v="WB"/>
    <x v="17"/>
    <s v="Ranaghat - II"/>
    <s v="User Not Mapped"/>
    <s v="User Not Mapped"/>
    <s v="User Not Mapped"/>
    <n v="498182"/>
    <s v="Subrata Banerjee"/>
    <s v="Private Retailer"/>
    <s v="9732960701"/>
    <n v="1"/>
    <n v="782"/>
    <x v="2"/>
    <m/>
    <s v="2024-02-28"/>
    <s v="260209"/>
    <s v="M/S SUNIL KUMAR SAHA       "/>
    <s v="9434110995"/>
  </r>
  <r>
    <s v="RCF Trombay"/>
    <s v="15-15-15"/>
    <s v="WB"/>
    <x v="17"/>
    <s v="Ranaghat - II"/>
    <s v="User Not Mapped"/>
    <s v="User Not Mapped"/>
    <s v="User Not Mapped"/>
    <n v="498182"/>
    <s v="Subrata Banerjee"/>
    <s v="Private Retailer"/>
    <s v="9732960701"/>
    <n v="0.5"/>
    <n v="939"/>
    <x v="2"/>
    <m/>
    <s v="2023-09-24"/>
    <s v="260209"/>
    <s v="M/S SUNIL KUMAR SAHA       "/>
    <s v="9434110995"/>
  </r>
  <r>
    <s v="RCF Trombay"/>
    <s v="N.C.Urea(45kg)"/>
    <s v="WB"/>
    <x v="17"/>
    <m/>
    <s v="User Not Mapped"/>
    <s v="User Not Mapped"/>
    <s v="User Not Mapped"/>
    <n v="487598"/>
    <s v="Sudip Kr Das"/>
    <s v="Private Retailer"/>
    <s v="7557858885"/>
    <n v="4.68"/>
    <n v="2454"/>
    <x v="2"/>
    <m/>
    <s v="2019-08-01"/>
    <s v="260209"/>
    <s v="M/S SUNIL KUMAR SAHA       "/>
    <s v="9434110995"/>
  </r>
  <r>
    <s v="RCF Thal"/>
    <s v="N.C.Urea(45kg)"/>
    <s v="WB"/>
    <x v="17"/>
    <s v="Chakdah"/>
    <s v="User Not Mapped"/>
    <s v="User Not Mapped"/>
    <s v="User Not Mapped"/>
    <n v="356356"/>
    <s v="Sujit Dutta"/>
    <s v="Private Retailer"/>
    <s v="9732783803"/>
    <n v="9.6300000000000008"/>
    <n v="13"/>
    <x v="5"/>
    <m/>
    <s v="2026-04-07"/>
    <s v="260209"/>
    <s v="M/S SUNIL KUMAR SAHA       "/>
    <s v="9434110995"/>
  </r>
  <r>
    <s v="RCF Trombay"/>
    <s v="15-15-15"/>
    <s v="WB"/>
    <x v="17"/>
    <s v="Chakdah"/>
    <s v="User Not Mapped"/>
    <s v="User Not Mapped"/>
    <s v="User Not Mapped"/>
    <n v="843286"/>
    <s v="UJJWAL MONDAL"/>
    <s v="Private Retailer"/>
    <s v="9748333061"/>
    <n v="0.36"/>
    <n v="79"/>
    <x v="6"/>
    <m/>
    <s v="2026-01-31"/>
    <s v="260209"/>
    <s v="M/S SUNIL KUMAR SAHA       "/>
    <s v="9434110995"/>
  </r>
  <r>
    <s v="RCF Trombay"/>
    <s v="N.C.Urea(45kg)"/>
    <s v="WB"/>
    <x v="17"/>
    <s v="Chakdah"/>
    <s v="User Not Mapped"/>
    <s v="User Not Mapped"/>
    <s v="User Not Mapped"/>
    <n v="843286"/>
    <s v="UJJWAL MONDAL"/>
    <s v="Private Retailer"/>
    <s v="9748333061"/>
    <n v="0.435"/>
    <n v="79"/>
    <x v="6"/>
    <m/>
    <s v="2026-01-31"/>
    <s v="260209"/>
    <s v="M/S SUNIL KUMAR SAHA       "/>
    <s v="9434110995"/>
  </r>
  <r>
    <s v="RCF Trombay"/>
    <s v="15-15-15"/>
    <s v="WB"/>
    <x v="17"/>
    <s v="Ranaghat - II"/>
    <s v="User Not Mapped"/>
    <s v="User Not Mapped"/>
    <s v="User Not Mapped"/>
    <n v="943286"/>
    <s v="SUSHANTA BISWAS"/>
    <s v="Private Retailer"/>
    <s v="9733626507"/>
    <n v="0.28499999999999998"/>
    <n v="549"/>
    <x v="2"/>
    <m/>
    <s v="2024-10-18"/>
    <s v="662593"/>
    <s v="M/S. BISWAS KRISHI BHANDER"/>
    <s v="9733645039"/>
  </r>
  <r>
    <s v="RCF Trombay"/>
    <s v="15-15-15"/>
    <s v="WB"/>
    <x v="17"/>
    <s v="Chakdah"/>
    <s v="User Not Mapped"/>
    <s v="User Not Mapped"/>
    <s v="User Not Mapped"/>
    <n v="941652"/>
    <s v="SUSHANTA KUMAR DAS"/>
    <s v="Private Retailer"/>
    <s v="9332629649"/>
    <n v="4.2000000000000003E-2"/>
    <n v="724"/>
    <x v="2"/>
    <m/>
    <s v="2024-04-26"/>
    <s v="662593"/>
    <s v="M/S. BISWAS KRISHI BHANDER"/>
    <s v="9733645039"/>
  </r>
  <r>
    <s v="RCF Trombay"/>
    <s v="15-15-15"/>
    <s v="WB"/>
    <x v="17"/>
    <s v="Nakashipara"/>
    <s v="User Not Mapped"/>
    <s v="User Not Mapped"/>
    <s v="User Not Mapped"/>
    <n v="1221148"/>
    <s v="ARINDAM DAS"/>
    <s v="Private Wholsaler"/>
    <s v="8509566548"/>
    <n v="7"/>
    <n v="79"/>
    <x v="6"/>
    <s v="'2856'"/>
    <s v="2026-01-31"/>
    <s v="223285"/>
    <s v="M/s. Golam Kibria"/>
    <s v="8371889332"/>
  </r>
  <r>
    <s v="RCF Import"/>
    <s v="Imp 10-26-26"/>
    <s v="WB"/>
    <x v="17"/>
    <s v="Haringhata"/>
    <s v="User Not Mapped"/>
    <s v="User Not Mapped"/>
    <s v="User Not Mapped"/>
    <n v="340731"/>
    <s v="Ajit Kr. Mondal"/>
    <s v="Private Retailer"/>
    <s v="9647340142"/>
    <n v="0.75"/>
    <n v="38"/>
    <x v="3"/>
    <m/>
    <s v="2026-03-13"/>
    <s v="260211"/>
    <s v="M/s. Jaiswal Enterprise "/>
    <s v="8116105006"/>
  </r>
  <r>
    <s v="RCF Import"/>
    <s v="Imp 10-26-26"/>
    <s v="WB"/>
    <x v="17"/>
    <s v="Haringhata"/>
    <s v="User Not Mapped"/>
    <s v="User Not Mapped"/>
    <s v="User Not Mapped"/>
    <n v="340734"/>
    <s v="Ajit Kr. Sarkar"/>
    <s v="Private Retailer"/>
    <s v="9732951201"/>
    <n v="0.5"/>
    <n v="13"/>
    <x v="5"/>
    <m/>
    <s v="2026-04-07"/>
    <s v="260211"/>
    <s v="M/s. Jaiswal Enterprise "/>
    <s v="8116105006"/>
  </r>
  <r>
    <s v="RCF Import"/>
    <s v="Imp 10-26-26"/>
    <s v="WB"/>
    <x v="17"/>
    <s v="Haringhata"/>
    <s v="User Not Mapped"/>
    <s v="User Not Mapped"/>
    <s v="User Not Mapped"/>
    <n v="340800"/>
    <s v="Ananda Chakraborty"/>
    <s v="Private Retailer"/>
    <s v="9733503247"/>
    <n v="0.75"/>
    <n v="16"/>
    <x v="5"/>
    <m/>
    <s v="2026-04-04"/>
    <s v="260211"/>
    <s v="M/s. Jaiswal Enterprise "/>
    <s v="8116105006"/>
  </r>
  <r>
    <s v="RCF Import"/>
    <s v="Imp 10-26-26"/>
    <s v="WB"/>
    <x v="17"/>
    <s v="Haringhata"/>
    <s v="User Not Mapped"/>
    <s v="User Not Mapped"/>
    <s v="User Not Mapped"/>
    <n v="388044"/>
    <s v="Ghosh Krishi Bhander"/>
    <s v="Private Retailer"/>
    <s v="9735327235"/>
    <n v="0.25"/>
    <n v="16"/>
    <x v="5"/>
    <m/>
    <s v="2026-04-04"/>
    <s v="260211"/>
    <s v="M/s. Jaiswal Enterprise "/>
    <s v="8116105006"/>
  </r>
  <r>
    <s v="RCF Trombay"/>
    <s v="15-15-15"/>
    <s v="WB"/>
    <x v="17"/>
    <s v="Haringhata"/>
    <s v="User Not Mapped"/>
    <s v="User Not Mapped"/>
    <s v="User Not Mapped"/>
    <n v="341499"/>
    <s v="Jadab Chandra Gain"/>
    <s v="Private Retailer"/>
    <s v="8016521001"/>
    <n v="0.15"/>
    <n v="45"/>
    <x v="3"/>
    <m/>
    <s v="2026-03-06"/>
    <s v="260211"/>
    <s v="M/s. Jaiswal Enterprise "/>
    <s v="8116105006"/>
  </r>
  <r>
    <s v="RCF Import"/>
    <s v="Imp 10-26-26"/>
    <s v="WB"/>
    <x v="17"/>
    <s v="Haringhata"/>
    <s v="User Not Mapped"/>
    <s v="User Not Mapped"/>
    <s v="User Not Mapped"/>
    <n v="243864"/>
    <s v="Jaiswal Enterprise "/>
    <s v="Private Retailer"/>
    <s v="8116105006"/>
    <n v="1"/>
    <n v="2"/>
    <x v="5"/>
    <m/>
    <s v="2026-04-18"/>
    <s v="260211"/>
    <s v="M/s. Jaiswal Enterprise "/>
    <s v="8116105006"/>
  </r>
  <r>
    <s v="RCF Import"/>
    <s v="Imp 10-26-26"/>
    <s v="WB"/>
    <x v="17"/>
    <s v="Haringhata"/>
    <s v="User Not Mapped"/>
    <s v="User Not Mapped"/>
    <s v="User Not Mapped"/>
    <n v="1031345"/>
    <s v="JAYNUL MOLLA"/>
    <s v="Private Retailer"/>
    <s v="8016892344"/>
    <n v="0.25"/>
    <n v="237"/>
    <x v="1"/>
    <m/>
    <s v="2025-08-26"/>
    <s v="260211"/>
    <s v="M/s. Jaiswal Enterprise "/>
    <s v="8116105006"/>
  </r>
  <r>
    <s v="RCF Trombay"/>
    <s v="15-15-15"/>
    <s v="WB"/>
    <x v="17"/>
    <s v="Haringhata"/>
    <s v="User Not Mapped"/>
    <s v="User Not Mapped"/>
    <s v="User Not Mapped"/>
    <n v="1031345"/>
    <s v="JAYNUL MOLLA"/>
    <s v="Private Retailer"/>
    <s v="8016892344"/>
    <n v="0.25"/>
    <n v="34"/>
    <x v="3"/>
    <m/>
    <s v="2026-03-17"/>
    <s v="260211"/>
    <s v="M/s. Jaiswal Enterprise "/>
    <s v="8116105006"/>
  </r>
  <r>
    <s v="RCF Trombay"/>
    <s v="15-15-15"/>
    <s v="WB"/>
    <x v="17"/>
    <s v="Haringhata"/>
    <s v="User Not Mapped"/>
    <s v="User Not Mapped"/>
    <s v="User Not Mapped"/>
    <n v="1031345"/>
    <s v="JAYNUL MOLLA"/>
    <s v="Private Retailer"/>
    <s v="8016892344"/>
    <n v="0.1"/>
    <n v="212"/>
    <x v="1"/>
    <m/>
    <s v="2025-09-20"/>
    <s v="260211"/>
    <s v="M/s. Jaiswal Enterprise "/>
    <s v="8116105006"/>
  </r>
  <r>
    <s v="RCF Import"/>
    <s v="Imp 10-26-26"/>
    <s v="WB"/>
    <x v="17"/>
    <s v="Haringhata"/>
    <s v="User Not Mapped"/>
    <s v="User Not Mapped"/>
    <s v="User Not Mapped"/>
    <n v="341574"/>
    <s v="Julfikkar Mandal"/>
    <s v="Private Retailer"/>
    <s v="9733524101"/>
    <n v="0.8"/>
    <n v="25"/>
    <x v="5"/>
    <m/>
    <s v="2026-03-26"/>
    <s v="260211"/>
    <s v="M/s. Jaiswal Enterprise "/>
    <s v="8116105006"/>
  </r>
  <r>
    <s v="RCF Import"/>
    <s v="Imp 10-26-26"/>
    <s v="WB"/>
    <x v="17"/>
    <s v="Haringhata"/>
    <s v="User Not Mapped"/>
    <s v="User Not Mapped"/>
    <s v="User Not Mapped"/>
    <n v="340723"/>
    <s v="M/S Ajay Chaube"/>
    <s v="Private Retailer"/>
    <s v="8768295846"/>
    <n v="0.3"/>
    <n v="27"/>
    <x v="5"/>
    <m/>
    <s v="2026-03-24"/>
    <s v="260211"/>
    <s v="M/s. Jaiswal Enterprise "/>
    <s v="8116105006"/>
  </r>
  <r>
    <s v="RCF Import"/>
    <s v="Imp 10-26-26"/>
    <s v="WB"/>
    <x v="17"/>
    <s v="Haringhata"/>
    <s v="User Not Mapped"/>
    <s v="User Not Mapped"/>
    <s v="User Not Mapped"/>
    <n v="597366"/>
    <s v="M/S CHIDDIKI-RH-KRISHI BHANDER"/>
    <s v="Private Retailer"/>
    <s v="8159975890"/>
    <n v="4.4000000000000004"/>
    <n v="44"/>
    <x v="3"/>
    <m/>
    <s v="2026-03-07"/>
    <s v="260211"/>
    <s v="M/s. Jaiswal Enterprise "/>
    <s v="8116105006"/>
  </r>
  <r>
    <s v="RCF Import"/>
    <s v="Imp 10-26-26"/>
    <s v="WB"/>
    <x v="17"/>
    <s v="Haringhata"/>
    <s v="User Not Mapped"/>
    <s v="User Not Mapped"/>
    <s v="User Not Mapped"/>
    <n v="341328"/>
    <s v="M/S Emanuddin Mondal"/>
    <s v="Private Retailer"/>
    <s v="9734578192"/>
    <n v="0.35"/>
    <n v="25"/>
    <x v="5"/>
    <m/>
    <s v="2026-03-26"/>
    <s v="260211"/>
    <s v="M/s. Jaiswal Enterprise "/>
    <s v="8116105006"/>
  </r>
  <r>
    <s v="RCF Trombay"/>
    <s v="15-15-15"/>
    <s v="WB"/>
    <x v="17"/>
    <s v="Haringhata"/>
    <s v="User Not Mapped"/>
    <s v="User Not Mapped"/>
    <s v="User Not Mapped"/>
    <n v="598611"/>
    <s v="M/S MAULA BOX KRISHI BHANDER"/>
    <s v="Private Retailer"/>
    <s v="9884175890"/>
    <n v="0.5"/>
    <n v="55"/>
    <x v="3"/>
    <m/>
    <s v="2026-02-24"/>
    <s v="260211"/>
    <s v="M/s. Jaiswal Enterprise "/>
    <s v="8116105006"/>
  </r>
  <r>
    <s v="RCF Import"/>
    <s v="Imp 10-26-26"/>
    <s v="WB"/>
    <x v="17"/>
    <s v="Haringhata"/>
    <s v="User Not Mapped"/>
    <s v="User Not Mapped"/>
    <s v="User Not Mapped"/>
    <n v="943770"/>
    <s v="M/S MINHASUDDIN HAQUE"/>
    <s v="Private Retailer"/>
    <s v="8001180400"/>
    <n v="0.4"/>
    <n v="10"/>
    <x v="5"/>
    <m/>
    <s v="2026-04-10"/>
    <s v="260211"/>
    <s v="M/s. Jaiswal Enterprise "/>
    <s v="8116105006"/>
  </r>
  <r>
    <s v="RCF Trombay"/>
    <s v="15-15-15"/>
    <s v="WB"/>
    <x v="17"/>
    <s v="Haringhata"/>
    <s v="User Not Mapped"/>
    <s v="User Not Mapped"/>
    <s v="User Not Mapped"/>
    <n v="943770"/>
    <s v="M/S MINHASUDDIN HAQUE"/>
    <s v="Private Retailer"/>
    <s v="8001180400"/>
    <n v="0.25"/>
    <n v="38"/>
    <x v="3"/>
    <m/>
    <s v="2026-03-13"/>
    <s v="260211"/>
    <s v="M/s. Jaiswal Enterprise "/>
    <s v="8116105006"/>
  </r>
  <r>
    <s v="RCF Import"/>
    <s v="Imp 10-26-26"/>
    <s v="WB"/>
    <x v="17"/>
    <s v="Haringhata"/>
    <s v="User Not Mapped"/>
    <s v="User Not Mapped"/>
    <s v="User Not Mapped"/>
    <n v="943770"/>
    <s v="M/S MINHASUDDIN HAQUE"/>
    <s v="Private Retailer"/>
    <s v="8001180400"/>
    <n v="0.25"/>
    <n v="20"/>
    <x v="5"/>
    <m/>
    <s v="2026-03-31"/>
    <s v="260211"/>
    <s v="M/s. Jaiswal Enterprise "/>
    <s v="8116105006"/>
  </r>
  <r>
    <s v="RCF Import"/>
    <s v="Imp 10-26-26"/>
    <s v="WB"/>
    <x v="17"/>
    <s v="Haringhata"/>
    <s v="User Not Mapped"/>
    <s v="User Not Mapped"/>
    <s v="User Not Mapped"/>
    <n v="560219"/>
    <s v="M/S PANCHUGOPAL SARKAR"/>
    <s v="Private Retailer"/>
    <s v="7797120773"/>
    <n v="0.5"/>
    <n v="17"/>
    <x v="5"/>
    <m/>
    <s v="2026-04-03"/>
    <s v="260211"/>
    <s v="M/s. Jaiswal Enterprise "/>
    <s v="8116105006"/>
  </r>
  <r>
    <s v="RCF Import"/>
    <s v="Imp 10-26-26"/>
    <s v="WB"/>
    <x v="17"/>
    <s v="Haringhata"/>
    <s v="User Not Mapped"/>
    <s v="User Not Mapped"/>
    <s v="User Not Mapped"/>
    <n v="560219"/>
    <s v="M/S PANCHUGOPAL SARKAR"/>
    <s v="Private Retailer"/>
    <s v="7797120773"/>
    <n v="2"/>
    <n v="26"/>
    <x v="5"/>
    <m/>
    <s v="2026-03-25"/>
    <s v="260211"/>
    <s v="M/s. Jaiswal Enterprise "/>
    <s v="8116105006"/>
  </r>
  <r>
    <s v="RCF Trombay"/>
    <s v="15-15-15"/>
    <s v="WB"/>
    <x v="17"/>
    <m/>
    <s v="User Not Mapped"/>
    <s v="User Not Mapped"/>
    <s v="User Not Mapped"/>
    <n v="637417"/>
    <s v="Maa Tara Krishi Bhander"/>
    <s v="Private Retailer"/>
    <s v="9932649458"/>
    <n v="0.22500000000000001"/>
    <n v="2554"/>
    <x v="2"/>
    <m/>
    <s v="2019-04-23"/>
    <s v="260211"/>
    <s v="M/s. Jaiswal Enterprise "/>
    <s v="8116105006"/>
  </r>
  <r>
    <s v="RCF Import"/>
    <s v="Imp 10-26-26"/>
    <s v="WB"/>
    <x v="17"/>
    <s v="Haringhata"/>
    <s v="User Not Mapped"/>
    <s v="User Not Mapped"/>
    <s v="User Not Mapped"/>
    <n v="341797"/>
    <s v="Mainul Hossain"/>
    <s v="Private Retailer"/>
    <s v="9735237015"/>
    <n v="0.5"/>
    <n v="21"/>
    <x v="5"/>
    <m/>
    <s v="2026-03-30"/>
    <s v="260211"/>
    <s v="M/s. Jaiswal Enterprise "/>
    <s v="8116105006"/>
  </r>
  <r>
    <s v="RCF Trombay"/>
    <s v="15-15-15"/>
    <s v="WB"/>
    <x v="17"/>
    <s v="Haringhata"/>
    <s v="User Not Mapped"/>
    <s v="User Not Mapped"/>
    <s v="User Not Mapped"/>
    <n v="341797"/>
    <s v="Mainul Hossain"/>
    <s v="Private Retailer"/>
    <s v="9735237015"/>
    <n v="0.25"/>
    <n v="46"/>
    <x v="3"/>
    <m/>
    <s v="2026-03-05"/>
    <s v="260211"/>
    <s v="M/s. Jaiswal Enterprise "/>
    <s v="8116105006"/>
  </r>
  <r>
    <s v="RCF Trombay"/>
    <s v="15-15-15"/>
    <s v="WB"/>
    <x v="17"/>
    <s v="Haringhata"/>
    <s v="User Not Mapped"/>
    <s v="User Not Mapped"/>
    <s v="User Not Mapped"/>
    <n v="341807"/>
    <s v="Malay Kumar Debnath"/>
    <s v="Private Retailer"/>
    <s v="9775055073"/>
    <n v="0.25"/>
    <n v="38"/>
    <x v="3"/>
    <m/>
    <s v="2026-03-13"/>
    <s v="260211"/>
    <s v="M/s. Jaiswal Enterprise "/>
    <s v="8116105006"/>
  </r>
  <r>
    <s v="RCF Import"/>
    <s v="Imp 10-26-26"/>
    <s v="WB"/>
    <x v="17"/>
    <s v="Haringhata"/>
    <s v="User Not Mapped"/>
    <s v="User Not Mapped"/>
    <s v="User Not Mapped"/>
    <n v="341807"/>
    <s v="Malay Kumar Debnath"/>
    <s v="Private Retailer"/>
    <s v="9775055073"/>
    <n v="0.1"/>
    <n v="17"/>
    <x v="5"/>
    <m/>
    <s v="2026-04-03"/>
    <s v="260211"/>
    <s v="M/s. Jaiswal Enterprise "/>
    <s v="8116105006"/>
  </r>
  <r>
    <s v="RCF Trombay"/>
    <s v="15-15-15"/>
    <s v="WB"/>
    <x v="17"/>
    <s v="Haringhata"/>
    <s v="User Not Mapped"/>
    <s v="User Not Mapped"/>
    <s v="User Not Mapped"/>
    <n v="853417"/>
    <s v="MANDAL KRISHI BHANDER"/>
    <s v="Private Retailer"/>
    <s v="9564381102"/>
    <n v="1"/>
    <n v="46"/>
    <x v="3"/>
    <m/>
    <s v="2026-03-05"/>
    <s v="260211"/>
    <s v="M/s. Jaiswal Enterprise "/>
    <s v="8116105006"/>
  </r>
  <r>
    <s v="RCF Trombay"/>
    <s v="15-15-15"/>
    <s v="WB"/>
    <x v="17"/>
    <s v="Haringhata"/>
    <s v="User Not Mapped"/>
    <s v="User Not Mapped"/>
    <s v="User Not Mapped"/>
    <n v="853417"/>
    <s v="MANDAL KRISHI BHANDER"/>
    <s v="Private Retailer"/>
    <s v="9564381102"/>
    <n v="0.5"/>
    <n v="247"/>
    <x v="1"/>
    <m/>
    <s v="2025-08-16"/>
    <s v="260211"/>
    <s v="M/s. Jaiswal Enterprise "/>
    <s v="8116105006"/>
  </r>
  <r>
    <s v="RCF Import"/>
    <s v="Imp 10-26-26"/>
    <s v="WB"/>
    <x v="17"/>
    <s v="Haringhata"/>
    <s v="User Not Mapped"/>
    <s v="User Not Mapped"/>
    <s v="User Not Mapped"/>
    <n v="341881"/>
    <s v="Md. Jalauddin Mia"/>
    <s v="Private Retailer"/>
    <s v="9732763411"/>
    <n v="0.5"/>
    <n v="13"/>
    <x v="5"/>
    <m/>
    <s v="2026-04-07"/>
    <s v="260211"/>
    <s v="M/s. Jaiswal Enterprise "/>
    <s v="8116105006"/>
  </r>
  <r>
    <s v="RCF Trombay"/>
    <s v="15-15-15"/>
    <s v="WB"/>
    <x v="17"/>
    <s v="Haringhata"/>
    <s v="User Not Mapped"/>
    <s v="User Not Mapped"/>
    <s v="User Not Mapped"/>
    <n v="341901"/>
    <s v="Md. Mozaffar Hossain"/>
    <s v="Private Retailer"/>
    <s v="9732709161"/>
    <n v="0.5"/>
    <n v="27"/>
    <x v="5"/>
    <m/>
    <s v="2026-03-24"/>
    <s v="260211"/>
    <s v="M/s. Jaiswal Enterprise "/>
    <s v="8116105006"/>
  </r>
  <r>
    <s v="RCF Import"/>
    <s v="Imp 10-26-26"/>
    <s v="WB"/>
    <x v="17"/>
    <s v="Haringhata"/>
    <s v="User Not Mapped"/>
    <s v="User Not Mapped"/>
    <s v="User Not Mapped"/>
    <n v="440438"/>
    <s v="Md. Sirajul Haq"/>
    <s v="Private Retailer"/>
    <s v="7001266140"/>
    <n v="1.25"/>
    <n v="18"/>
    <x v="5"/>
    <m/>
    <s v="2026-04-02"/>
    <s v="260211"/>
    <s v="M/s. Jaiswal Enterprise "/>
    <s v="8116105006"/>
  </r>
  <r>
    <s v="RCF Trombay"/>
    <s v="15-15-15"/>
    <s v="WB"/>
    <x v="17"/>
    <s v="Haringhata"/>
    <s v="User Not Mapped"/>
    <s v="User Not Mapped"/>
    <s v="User Not Mapped"/>
    <n v="440438"/>
    <s v="Md. Sirajul Haq"/>
    <s v="Private Retailer"/>
    <s v="7001266140"/>
    <n v="0.4"/>
    <n v="45"/>
    <x v="3"/>
    <m/>
    <s v="2026-03-06"/>
    <s v="260211"/>
    <s v="M/s. Jaiswal Enterprise "/>
    <s v="8116105006"/>
  </r>
  <r>
    <s v="RCF Trombay"/>
    <s v="15-15-15"/>
    <s v="WB"/>
    <x v="17"/>
    <s v="Haringhata"/>
    <s v="User Not Mapped"/>
    <s v="User Not Mapped"/>
    <s v="User Not Mapped"/>
    <n v="1061918"/>
    <s v="MOMINUL MONDAL"/>
    <s v="Private Retailer"/>
    <s v="9233650162"/>
    <n v="0.5"/>
    <n v="34"/>
    <x v="3"/>
    <m/>
    <s v="2026-03-17"/>
    <s v="260211"/>
    <s v="M/s. Jaiswal Enterprise "/>
    <s v="8116105006"/>
  </r>
  <r>
    <s v="RCF Import"/>
    <s v="Imp 10-26-26"/>
    <s v="WB"/>
    <x v="17"/>
    <s v="Haringhata"/>
    <s v="User Not Mapped"/>
    <s v="User Not Mapped"/>
    <s v="User Not Mapped"/>
    <n v="1061918"/>
    <s v="MOMINUL MONDAL"/>
    <s v="Private Retailer"/>
    <s v="9233650162"/>
    <n v="0.25"/>
    <n v="34"/>
    <x v="3"/>
    <m/>
    <s v="2026-03-17"/>
    <s v="260211"/>
    <s v="M/s. Jaiswal Enterprise "/>
    <s v="8116105006"/>
  </r>
  <r>
    <s v="RCF Trombay"/>
    <s v="15-15-15"/>
    <s v="WB"/>
    <x v="17"/>
    <s v="Haringhata"/>
    <s v="User Not Mapped"/>
    <s v="User Not Mapped"/>
    <s v="User Not Mapped"/>
    <n v="1061918"/>
    <s v="MOMINUL MONDAL"/>
    <s v="Private Retailer"/>
    <s v="9233650162"/>
    <n v="0.2"/>
    <n v="56"/>
    <x v="3"/>
    <m/>
    <s v="2026-02-23"/>
    <s v="260211"/>
    <s v="M/s. Jaiswal Enterprise "/>
    <s v="8116105006"/>
  </r>
  <r>
    <s v="RCF Import"/>
    <s v="Imp 10-26-26"/>
    <s v="WB"/>
    <x v="17"/>
    <s v="Haringhata"/>
    <s v="User Not Mapped"/>
    <s v="User Not Mapped"/>
    <s v="User Not Mapped"/>
    <n v="1061918"/>
    <s v="MOMINUL MONDAL"/>
    <s v="Private Retailer"/>
    <s v="9233650162"/>
    <n v="0.5"/>
    <n v="19"/>
    <x v="5"/>
    <m/>
    <s v="2026-04-01"/>
    <s v="260211"/>
    <s v="M/s. Jaiswal Enterprise "/>
    <s v="8116105006"/>
  </r>
  <r>
    <s v="RCF Import"/>
    <s v="Imp 10-26-26"/>
    <s v="WB"/>
    <x v="17"/>
    <s v="Chakdah"/>
    <s v="User Not Mapped"/>
    <s v="User Not Mapped"/>
    <s v="User Not Mapped"/>
    <n v="1274575"/>
    <s v="MS NATAKISHORE SARKAR"/>
    <s v="Private Retailer"/>
    <s v="7076800478"/>
    <n v="0.75"/>
    <n v="13"/>
    <x v="5"/>
    <m/>
    <s v="2026-04-07"/>
    <s v="260211"/>
    <s v="M/s. Jaiswal Enterprise "/>
    <s v="8116105006"/>
  </r>
  <r>
    <s v="RCF Import"/>
    <s v="Imp 10-26-26"/>
    <s v="WB"/>
    <x v="17"/>
    <s v="Chakdah"/>
    <s v="User Not Mapped"/>
    <s v="User Not Mapped"/>
    <s v="User Not Mapped"/>
    <n v="1274575"/>
    <s v="MS NATAKISHORE SARKAR"/>
    <s v="Private Retailer"/>
    <s v="7076800478"/>
    <n v="0.75"/>
    <n v="20"/>
    <x v="5"/>
    <m/>
    <s v="2026-03-31"/>
    <s v="260211"/>
    <s v="M/s. Jaiswal Enterprise "/>
    <s v="8116105006"/>
  </r>
  <r>
    <s v="RCF Import"/>
    <s v="Imp 10-26-26"/>
    <s v="WB"/>
    <x v="17"/>
    <s v="Chakdah"/>
    <s v="User Not Mapped"/>
    <s v="User Not Mapped"/>
    <s v="User Not Mapped"/>
    <n v="1274575"/>
    <s v="MS NATAKISHORE SARKAR"/>
    <s v="Private Retailer"/>
    <s v="7076800478"/>
    <n v="0.03"/>
    <n v="23"/>
    <x v="5"/>
    <m/>
    <s v="2026-03-28"/>
    <s v="260211"/>
    <s v="M/s. Jaiswal Enterprise "/>
    <s v="8116105006"/>
  </r>
  <r>
    <s v="RCF Trombay"/>
    <s v="N.C.Urea(45kg)"/>
    <s v="WB"/>
    <x v="17"/>
    <s v="Ranaghat - I"/>
    <s v="User Not Mapped"/>
    <s v="User Not Mapped"/>
    <s v="User Not Mapped"/>
    <n v="630527"/>
    <s v="MS Sushil Samajder"/>
    <s v="Private Retailer"/>
    <s v="9609687074"/>
    <n v="2.2949999999999999"/>
    <n v="56"/>
    <x v="3"/>
    <m/>
    <s v="2026-02-23"/>
    <s v="260211"/>
    <s v="M/s. Jaiswal Enterprise "/>
    <s v="8116105006"/>
  </r>
  <r>
    <s v="RCF Trombay"/>
    <s v="15-15-15"/>
    <s v="WB"/>
    <x v="17"/>
    <s v="Haringhata"/>
    <s v="User Not Mapped"/>
    <s v="User Not Mapped"/>
    <s v="User Not Mapped"/>
    <n v="342027"/>
    <s v="Nabyendu Pathak"/>
    <s v="Private Retailer"/>
    <s v="7003717016"/>
    <n v="0.3"/>
    <n v="38"/>
    <x v="3"/>
    <m/>
    <s v="2026-03-13"/>
    <s v="260211"/>
    <s v="M/s. Jaiswal Enterprise "/>
    <s v="8116105006"/>
  </r>
  <r>
    <s v="RCF Import"/>
    <s v="Imp 10-26-26"/>
    <s v="WB"/>
    <x v="17"/>
    <s v="Haringhata"/>
    <s v="User Not Mapped"/>
    <s v="User Not Mapped"/>
    <s v="User Not Mapped"/>
    <n v="342058"/>
    <s v="Nasiruddin Mia"/>
    <s v="Private Retailer"/>
    <s v="9732819248"/>
    <n v="1"/>
    <n v="23"/>
    <x v="5"/>
    <m/>
    <s v="2026-03-28"/>
    <s v="260211"/>
    <s v="M/s. Jaiswal Enterprise "/>
    <s v="8116105006"/>
  </r>
  <r>
    <s v="RCF Import"/>
    <s v="Imp 10-26-26"/>
    <s v="WB"/>
    <x v="17"/>
    <s v="Haringhata"/>
    <s v="User Not Mapped"/>
    <s v="User Not Mapped"/>
    <s v="User Not Mapped"/>
    <n v="943334"/>
    <s v="NITAI GHOSH"/>
    <s v="Private Retailer"/>
    <s v="9474194341"/>
    <n v="0.05"/>
    <n v="17"/>
    <x v="5"/>
    <m/>
    <s v="2026-04-03"/>
    <s v="260211"/>
    <s v="M/s. Jaiswal Enterprise "/>
    <s v="8116105006"/>
  </r>
  <r>
    <s v="RCF Trombay"/>
    <s v="15-15-15"/>
    <s v="WB"/>
    <x v="17"/>
    <s v="Haringhata"/>
    <s v="User Not Mapped"/>
    <s v="User Not Mapped"/>
    <s v="User Not Mapped"/>
    <n v="355799"/>
    <s v="NITYA NANDA GHOSH"/>
    <s v="Private Retailer"/>
    <s v="9775544109"/>
    <n v="0.25"/>
    <n v="34"/>
    <x v="3"/>
    <m/>
    <s v="2026-03-17"/>
    <s v="260211"/>
    <s v="M/s. Jaiswal Enterprise "/>
    <s v="8116105006"/>
  </r>
  <r>
    <s v="RCF Trombay"/>
    <s v="15-15-15"/>
    <s v="WB"/>
    <x v="17"/>
    <s v="Haringhata"/>
    <s v="User Not Mapped"/>
    <s v="User Not Mapped"/>
    <s v="User Not Mapped"/>
    <n v="355799"/>
    <s v="NITYA NANDA GHOSH"/>
    <s v="Private Retailer"/>
    <s v="9775544109"/>
    <n v="0.498"/>
    <n v="44"/>
    <x v="3"/>
    <m/>
    <s v="2026-03-07"/>
    <s v="260211"/>
    <s v="M/s. Jaiswal Enterprise "/>
    <s v="8116105006"/>
  </r>
  <r>
    <s v="RCF Import"/>
    <s v="Imp 10-26-26"/>
    <s v="WB"/>
    <x v="17"/>
    <s v="Ranaghat - I"/>
    <s v="User Not Mapped"/>
    <s v="User Not Mapped"/>
    <s v="User Not Mapped"/>
    <n v="498214"/>
    <s v="Oyaseb Mondal"/>
    <s v="Private Retailer"/>
    <s v="6291159716"/>
    <n v="0.4"/>
    <n v="26"/>
    <x v="5"/>
    <m/>
    <s v="2026-03-25"/>
    <s v="260211"/>
    <s v="M/s. Jaiswal Enterprise "/>
    <s v="8116105006"/>
  </r>
  <r>
    <s v="RCF Import"/>
    <s v="Imp 10-26-26"/>
    <s v="WB"/>
    <x v="17"/>
    <s v="Haringhata"/>
    <s v="User Not Mapped"/>
    <s v="User Not Mapped"/>
    <s v="User Not Mapped"/>
    <n v="413932"/>
    <s v="Rafique Mondal"/>
    <s v="Private Retailer"/>
    <s v="9775182620"/>
    <n v="5.5"/>
    <n v="34"/>
    <x v="3"/>
    <m/>
    <s v="2026-03-17"/>
    <s v="260211"/>
    <s v="M/s. Jaiswal Enterprise "/>
    <s v="8116105006"/>
  </r>
  <r>
    <s v="RCF Import"/>
    <s v="Imp 10-26-26"/>
    <s v="WB"/>
    <x v="17"/>
    <s v="Haringhata"/>
    <s v="User Not Mapped"/>
    <s v="User Not Mapped"/>
    <s v="User Not Mapped"/>
    <n v="342675"/>
    <s v="Ranjit Mondal"/>
    <s v="Private Retailer"/>
    <s v="9735527921"/>
    <n v="0.5"/>
    <n v="12"/>
    <x v="5"/>
    <m/>
    <s v="2026-04-08"/>
    <s v="260211"/>
    <s v="M/s. Jaiswal Enterprise "/>
    <s v="8116105006"/>
  </r>
  <r>
    <s v="RCF Import"/>
    <s v="Imp 10-26-26"/>
    <s v="WB"/>
    <x v="17"/>
    <m/>
    <s v="User Not Mapped"/>
    <s v="User Not Mapped"/>
    <s v="User Not Mapped"/>
    <n v="1636192"/>
    <s v="SABITA KRISHI GHAR"/>
    <s v="Private Retailer"/>
    <s v="9734594738"/>
    <n v="0.25"/>
    <n v="31"/>
    <x v="3"/>
    <m/>
    <s v="2026-03-20"/>
    <s v="260211"/>
    <s v="M/s. Jaiswal Enterprise "/>
    <s v="8116105006"/>
  </r>
  <r>
    <s v="RCF Trombay"/>
    <s v="15-15-15"/>
    <s v="WB"/>
    <x v="17"/>
    <m/>
    <s v="User Not Mapped"/>
    <s v="User Not Mapped"/>
    <s v="User Not Mapped"/>
    <n v="1636192"/>
    <s v="SABITA KRISHI GHAR"/>
    <s v="Private Retailer"/>
    <s v="9734594738"/>
    <n v="0.05"/>
    <n v="31"/>
    <x v="3"/>
    <m/>
    <s v="2026-03-20"/>
    <s v="260211"/>
    <s v="M/s. Jaiswal Enterprise "/>
    <s v="8116105006"/>
  </r>
  <r>
    <s v="RCF Import"/>
    <s v="Imp 10-26-26"/>
    <s v="WB"/>
    <x v="17"/>
    <s v="Haringhata"/>
    <s v="User Not Mapped"/>
    <s v="User Not Mapped"/>
    <s v="User Not Mapped"/>
    <n v="342650"/>
    <s v="Saifuddin Mandal"/>
    <s v="Private Retailer"/>
    <s v="9064438628"/>
    <n v="0.5"/>
    <n v="12"/>
    <x v="5"/>
    <m/>
    <s v="2026-04-08"/>
    <s v="260211"/>
    <s v="M/s. Jaiswal Enterprise "/>
    <s v="8116105006"/>
  </r>
  <r>
    <s v="RCF Import"/>
    <s v="Imp 10-26-26"/>
    <s v="WB"/>
    <x v="17"/>
    <s v="Haringhata"/>
    <s v="User Not Mapped"/>
    <s v="User Not Mapped"/>
    <s v="User Not Mapped"/>
    <n v="342650"/>
    <s v="Saifuddin Mandal"/>
    <s v="Private Retailer"/>
    <s v="9064438628"/>
    <n v="0.5"/>
    <n v="224"/>
    <x v="1"/>
    <m/>
    <s v="2025-09-08"/>
    <s v="260211"/>
    <s v="M/s. Jaiswal Enterprise "/>
    <s v="8116105006"/>
  </r>
  <r>
    <s v="RCF Trombay"/>
    <s v="15-15-15"/>
    <s v="WB"/>
    <x v="17"/>
    <s v="Haringhata"/>
    <s v="User Not Mapped"/>
    <s v="User Not Mapped"/>
    <s v="User Not Mapped"/>
    <n v="484478"/>
    <s v="Samar Nath Singha Roy"/>
    <s v="Private Retailer"/>
    <s v="9734432762"/>
    <n v="0.1"/>
    <n v="52"/>
    <x v="3"/>
    <m/>
    <s v="2026-02-27"/>
    <s v="260211"/>
    <s v="M/s. Jaiswal Enterprise "/>
    <s v="8116105006"/>
  </r>
  <r>
    <s v="RCF Trombay"/>
    <s v="15-15-15"/>
    <s v="WB"/>
    <x v="17"/>
    <s v="Haringhata"/>
    <s v="User Not Mapped"/>
    <s v="User Not Mapped"/>
    <s v="User Not Mapped"/>
    <n v="637799"/>
    <s v="Sannyasi Mandal"/>
    <s v="Private Retailer"/>
    <s v="9883970857"/>
    <n v="0.03"/>
    <n v="243"/>
    <x v="1"/>
    <m/>
    <s v="2025-08-20"/>
    <s v="260211"/>
    <s v="M/s. Jaiswal Enterprise "/>
    <s v="8116105006"/>
  </r>
  <r>
    <s v="RCF Trombay"/>
    <s v="15-15-15"/>
    <s v="WB"/>
    <x v="17"/>
    <s v="Haringhata"/>
    <s v="User Not Mapped"/>
    <s v="User Not Mapped"/>
    <s v="User Not Mapped"/>
    <n v="637799"/>
    <s v="Sannyasi Mandal"/>
    <s v="Private Retailer"/>
    <s v="9883970857"/>
    <n v="0.2"/>
    <n v="40"/>
    <x v="3"/>
    <m/>
    <s v="2026-03-11"/>
    <s v="260211"/>
    <s v="M/s. Jaiswal Enterprise "/>
    <s v="8116105006"/>
  </r>
  <r>
    <s v="RCF Import"/>
    <s v="Imp 10-26-26"/>
    <s v="WB"/>
    <x v="17"/>
    <s v="Haringhata"/>
    <s v="User Not Mapped"/>
    <s v="User Not Mapped"/>
    <s v="User Not Mapped"/>
    <n v="637799"/>
    <s v="Sannyasi Mandal"/>
    <s v="Private Retailer"/>
    <s v="9883970857"/>
    <n v="0.25"/>
    <n v="16"/>
    <x v="5"/>
    <m/>
    <s v="2026-04-04"/>
    <s v="260211"/>
    <s v="M/s. Jaiswal Enterprise "/>
    <s v="8116105006"/>
  </r>
  <r>
    <s v="RCF Import"/>
    <s v="Imp 10-26-26"/>
    <s v="WB"/>
    <x v="17"/>
    <s v="Haringhata"/>
    <s v="User Not Mapped"/>
    <s v="User Not Mapped"/>
    <s v="User Not Mapped"/>
    <n v="943774"/>
    <s v="SHIBU SAHA"/>
    <s v="Private Retailer"/>
    <s v="9064287297"/>
    <n v="0.75"/>
    <n v="23"/>
    <x v="5"/>
    <m/>
    <s v="2026-03-28"/>
    <s v="260211"/>
    <s v="M/s. Jaiswal Enterprise "/>
    <s v="8116105006"/>
  </r>
  <r>
    <s v="RCF Trombay"/>
    <s v="15-15-15"/>
    <s v="WB"/>
    <x v="17"/>
    <s v="Haringhata"/>
    <s v="User Not Mapped"/>
    <s v="User Not Mapped"/>
    <s v="User Not Mapped"/>
    <n v="641776"/>
    <s v="Subrata Sau"/>
    <s v="Private Retailer"/>
    <s v="9734063042"/>
    <n v="0.35"/>
    <n v="215"/>
    <x v="1"/>
    <m/>
    <s v="2025-09-17"/>
    <s v="260211"/>
    <s v="M/s. Jaiswal Enterprise "/>
    <s v="8116105006"/>
  </r>
  <r>
    <s v="RCF Trombay"/>
    <s v="15-15-15"/>
    <s v="WB"/>
    <x v="17"/>
    <s v="Haringhata"/>
    <s v="User Not Mapped"/>
    <s v="User Not Mapped"/>
    <s v="User Not Mapped"/>
    <n v="641776"/>
    <s v="Subrata Sau"/>
    <s v="Private Retailer"/>
    <s v="9734063042"/>
    <n v="0.1"/>
    <n v="248"/>
    <x v="1"/>
    <m/>
    <s v="2025-08-15"/>
    <s v="260211"/>
    <s v="M/s. Jaiswal Enterprise "/>
    <s v="8116105006"/>
  </r>
  <r>
    <s v="RCF Trombay"/>
    <s v="15-15-15"/>
    <s v="WB"/>
    <x v="17"/>
    <s v="Haringhata"/>
    <s v="User Not Mapped"/>
    <s v="User Not Mapped"/>
    <s v="User Not Mapped"/>
    <n v="641776"/>
    <s v="Subrata Sau"/>
    <s v="Private Retailer"/>
    <s v="9734063042"/>
    <n v="0.25"/>
    <n v="27"/>
    <x v="5"/>
    <m/>
    <s v="2026-03-24"/>
    <s v="260211"/>
    <s v="M/s. Jaiswal Enterprise "/>
    <s v="8116105006"/>
  </r>
  <r>
    <s v="RCF Trombay"/>
    <s v="15-15-15"/>
    <s v="WB"/>
    <x v="17"/>
    <s v="Haringhata"/>
    <s v="User Not Mapped"/>
    <s v="User Not Mapped"/>
    <s v="User Not Mapped"/>
    <n v="641776"/>
    <s v="Subrata Sau"/>
    <s v="Private Retailer"/>
    <s v="9734063042"/>
    <n v="0.25"/>
    <n v="54"/>
    <x v="3"/>
    <m/>
    <s v="2026-02-25"/>
    <s v="260211"/>
    <s v="M/s. Jaiswal Enterprise "/>
    <s v="8116105006"/>
  </r>
  <r>
    <s v="RCF Trombay"/>
    <s v="15-15-15"/>
    <s v="WB"/>
    <x v="17"/>
    <s v="Haringhata"/>
    <s v="User Not Mapped"/>
    <s v="User Not Mapped"/>
    <s v="User Not Mapped"/>
    <n v="641776"/>
    <s v="Subrata Sau"/>
    <s v="Private Retailer"/>
    <s v="9734063042"/>
    <n v="0.15"/>
    <n v="275"/>
    <x v="1"/>
    <m/>
    <s v="2025-07-19"/>
    <s v="260211"/>
    <s v="M/s. Jaiswal Enterprise "/>
    <s v="8116105006"/>
  </r>
  <r>
    <s v="RCF Trombay"/>
    <s v="15-15-15"/>
    <s v="WB"/>
    <x v="17"/>
    <s v="Haringhata"/>
    <s v="User Not Mapped"/>
    <s v="User Not Mapped"/>
    <s v="User Not Mapped"/>
    <n v="641776"/>
    <s v="Subrata Sau"/>
    <s v="Private Retailer"/>
    <s v="9734063042"/>
    <n v="0.15"/>
    <n v="242"/>
    <x v="1"/>
    <m/>
    <s v="2025-08-21"/>
    <s v="260211"/>
    <s v="M/s. Jaiswal Enterprise "/>
    <s v="8116105006"/>
  </r>
  <r>
    <s v="RCF Import"/>
    <s v="Imp 10-26-26"/>
    <s v="WB"/>
    <x v="17"/>
    <s v="Haringhata"/>
    <s v="User Not Mapped"/>
    <s v="User Not Mapped"/>
    <s v="User Not Mapped"/>
    <n v="872908"/>
    <s v="SURJA SARKAR"/>
    <s v="Private Retailer"/>
    <s v="7407790051"/>
    <n v="0.25"/>
    <n v="13"/>
    <x v="5"/>
    <m/>
    <s v="2026-04-07"/>
    <s v="260211"/>
    <s v="M/s. Jaiswal Enterprise "/>
    <s v="8116105006"/>
  </r>
  <r>
    <s v="RCF Import"/>
    <s v="Imp 10-26-26"/>
    <s v="WB"/>
    <x v="17"/>
    <s v="Haringhata"/>
    <s v="User Not Mapped"/>
    <s v="User Not Mapped"/>
    <s v="User Not Mapped"/>
    <n v="1061966"/>
    <s v="SUSANTI MONDAL GOLDAR"/>
    <s v="Private Retailer"/>
    <s v="8167369776"/>
    <n v="0.2"/>
    <n v="17"/>
    <x v="5"/>
    <m/>
    <s v="2026-04-03"/>
    <s v="260211"/>
    <s v="M/s. Jaiswal Enterprise "/>
    <s v="8116105006"/>
  </r>
  <r>
    <s v="RCF Trombay"/>
    <s v="15-15-15"/>
    <s v="WB"/>
    <x v="17"/>
    <s v="Haringhata"/>
    <s v="User Not Mapped"/>
    <s v="User Not Mapped"/>
    <s v="User Not Mapped"/>
    <n v="1061966"/>
    <s v="SUSANTI MONDAL GOLDAR"/>
    <s v="Private Retailer"/>
    <s v="8167369776"/>
    <n v="0.10299999999999999"/>
    <n v="51"/>
    <x v="3"/>
    <m/>
    <s v="2026-02-28"/>
    <s v="260211"/>
    <s v="M/s. Jaiswal Enterprise "/>
    <s v="8116105006"/>
  </r>
  <r>
    <s v="RCF Trombay"/>
    <s v="N.C.Urea(45kg)"/>
    <s v="WB"/>
    <x v="17"/>
    <s v="Ranaghat - II"/>
    <s v="User Not Mapped"/>
    <s v="User Not Mapped"/>
    <s v="User Not Mapped"/>
    <n v="452367"/>
    <s v="Uttam Karmokar"/>
    <s v="Private Retailer"/>
    <s v="9733772588"/>
    <n v="4.9950000000000001"/>
    <n v="55"/>
    <x v="3"/>
    <m/>
    <s v="2026-02-24"/>
    <s v="260211"/>
    <s v="M/s. Jaiswal Enterprise "/>
    <s v="8116105006"/>
  </r>
  <r>
    <s v="RCF Trombay"/>
    <s v="15-15-15"/>
    <s v="WB"/>
    <x v="17"/>
    <s v="Nabadwip"/>
    <s v="User Not Mapped"/>
    <s v="User Not Mapped"/>
    <s v="User Not Mapped"/>
    <n v="1219911"/>
    <s v="Abdul Jillal sheikh Bhavan Tru"/>
    <s v="Private Retailer"/>
    <s v="9734064030"/>
    <n v="0.25"/>
    <n v="136"/>
    <x v="4"/>
    <m/>
    <s v="2025-12-05"/>
    <s v="280729"/>
    <s v="M/s. Naresh Chandra Das"/>
    <s v="7365868045"/>
  </r>
  <r>
    <s v="RCF Trombay"/>
    <s v="15-15-15"/>
    <s v="WB"/>
    <x v="17"/>
    <s v="Nabadwip"/>
    <s v="User Not Mapped"/>
    <s v="User Not Mapped"/>
    <s v="User Not Mapped"/>
    <n v="1219911"/>
    <s v="Abdul Jillal sheikh Bhavan Tru"/>
    <s v="Private Retailer"/>
    <s v="9734064030"/>
    <n v="0.25"/>
    <n v="102"/>
    <x v="7"/>
    <m/>
    <s v="2026-01-08"/>
    <s v="280729"/>
    <s v="M/s. Naresh Chandra Das"/>
    <s v="7365868045"/>
  </r>
  <r>
    <s v="RCF Import"/>
    <s v="MOP"/>
    <s v="WB"/>
    <x v="17"/>
    <s v="Tehatta - II"/>
    <s v="User Not Mapped"/>
    <s v="User Not Mapped"/>
    <s v="User Not Mapped"/>
    <n v="777461"/>
    <s v="ABDUL RAJJAK SK"/>
    <s v="Private Retailer"/>
    <s v="7074622908"/>
    <n v="2.5"/>
    <n v="53"/>
    <x v="3"/>
    <m/>
    <s v="2026-02-26"/>
    <s v="280729"/>
    <s v="M/s. Naresh Chandra Das"/>
    <s v="7365868045"/>
  </r>
  <r>
    <s v="RCF Import"/>
    <s v="MOP"/>
    <s v="WB"/>
    <x v="17"/>
    <s v="Krishnagar - I"/>
    <s v="User Not Mapped"/>
    <s v="User Not Mapped"/>
    <s v="User Not Mapped"/>
    <n v="916446"/>
    <s v="ABDUL SATTAR MONDAL"/>
    <s v="Private Retailer"/>
    <s v="9062702907"/>
    <n v="0.35"/>
    <n v="25"/>
    <x v="5"/>
    <m/>
    <s v="2026-03-26"/>
    <s v="280729"/>
    <s v="M/s. Naresh Chandra Das"/>
    <s v="7365868045"/>
  </r>
  <r>
    <s v="RCF Trombay"/>
    <s v="15-15-15"/>
    <s v="WB"/>
    <x v="17"/>
    <s v="Krishnagar - I"/>
    <s v="User Not Mapped"/>
    <s v="User Not Mapped"/>
    <s v="User Not Mapped"/>
    <n v="916446"/>
    <s v="ABDUL SATTAR MONDAL"/>
    <s v="Private Retailer"/>
    <s v="9062702907"/>
    <n v="0.25"/>
    <n v="31"/>
    <x v="3"/>
    <m/>
    <s v="2026-03-20"/>
    <s v="280729"/>
    <s v="M/s. Naresh Chandra Das"/>
    <s v="7365868045"/>
  </r>
  <r>
    <s v="RCF Import"/>
    <s v="MOP"/>
    <s v="WB"/>
    <x v="17"/>
    <s v="Krishnagar - I"/>
    <s v="User Not Mapped"/>
    <s v="User Not Mapped"/>
    <s v="User Not Mapped"/>
    <n v="444103"/>
    <s v="Adatya Pal"/>
    <s v="Private Retailer"/>
    <s v="7872339204"/>
    <n v="0.5"/>
    <n v="10"/>
    <x v="5"/>
    <m/>
    <s v="2026-04-10"/>
    <s v="280729"/>
    <s v="M/s. Naresh Chandra Das"/>
    <s v="7365868045"/>
  </r>
  <r>
    <s v="RCF Trombay"/>
    <s v="15-15-15"/>
    <s v="WB"/>
    <x v="17"/>
    <s v="Haringhata"/>
    <s v="User Not Mapped"/>
    <s v="User Not Mapped"/>
    <s v="User Not Mapped"/>
    <n v="218901"/>
    <s v="Ajijul Haque"/>
    <s v="Private Retailer"/>
    <s v="9933910657"/>
    <n v="2.5449999999999999"/>
    <n v="1603"/>
    <x v="2"/>
    <m/>
    <s v="2021-11-29"/>
    <s v="280729"/>
    <s v="M/s. Naresh Chandra Das"/>
    <s v="7365868045"/>
  </r>
  <r>
    <s v="RCF Trombay"/>
    <s v="15-15-15"/>
    <s v="WB"/>
    <x v="17"/>
    <s v="Haringhata"/>
    <s v="User Not Mapped"/>
    <s v="User Not Mapped"/>
    <s v="User Not Mapped"/>
    <n v="340731"/>
    <s v="Ajit Kr. Mondal"/>
    <s v="Private Retailer"/>
    <s v="9647340142"/>
    <n v="4.3499999999999996"/>
    <n v="53"/>
    <x v="3"/>
    <m/>
    <s v="2026-02-26"/>
    <s v="280729"/>
    <s v="M/s. Naresh Chandra Das"/>
    <s v="7365868045"/>
  </r>
  <r>
    <s v="RCF Trombay"/>
    <s v="N.C.Urea(45kg)"/>
    <s v="WB"/>
    <x v="17"/>
    <s v="Haringhata"/>
    <s v="User Not Mapped"/>
    <s v="User Not Mapped"/>
    <s v="User Not Mapped"/>
    <n v="340731"/>
    <s v="Ajit Kr. Mondal"/>
    <s v="Private Retailer"/>
    <s v="9647340142"/>
    <n v="0.58499999999999996"/>
    <n v="53"/>
    <x v="3"/>
    <m/>
    <s v="2026-02-26"/>
    <s v="280729"/>
    <s v="M/s. Naresh Chandra Das"/>
    <s v="7365868045"/>
  </r>
  <r>
    <s v="RCF Trombay"/>
    <s v="N.C.Urea(45kg)"/>
    <s v="WB"/>
    <x v="17"/>
    <s v="Krishnagar - I"/>
    <s v="User Not Mapped"/>
    <s v="User Not Mapped"/>
    <s v="User Not Mapped"/>
    <n v="777441"/>
    <s v="ALAUDDIN SEKH"/>
    <s v="Private Retailer"/>
    <s v="6296796698"/>
    <n v="3.87"/>
    <n v="150"/>
    <x v="4"/>
    <m/>
    <s v="2025-11-21"/>
    <s v="280729"/>
    <s v="M/s. Naresh Chandra Das"/>
    <s v="7365868045"/>
  </r>
  <r>
    <s v="RCF Import"/>
    <s v="MOP"/>
    <s v="WB"/>
    <x v="17"/>
    <s v="Krishnagar - I"/>
    <s v="User Not Mapped"/>
    <s v="User Not Mapped"/>
    <s v="User Not Mapped"/>
    <n v="916684"/>
    <s v="ALOKE KUMAR BISWAS"/>
    <s v="Private Retailer"/>
    <s v="7318804689"/>
    <n v="1.7"/>
    <n v="53"/>
    <x v="3"/>
    <m/>
    <s v="2026-02-26"/>
    <s v="280729"/>
    <s v="M/s. Naresh Chandra Das"/>
    <s v="7365868045"/>
  </r>
  <r>
    <s v="RCF Trombay"/>
    <s v="15-15-15"/>
    <s v="WB"/>
    <x v="17"/>
    <s v="Krishnagar - I"/>
    <s v="User Not Mapped"/>
    <s v="User Not Mapped"/>
    <s v="User Not Mapped"/>
    <n v="916684"/>
    <s v="ALOKE KUMAR BISWAS"/>
    <s v="Private Retailer"/>
    <s v="7318804689"/>
    <n v="1"/>
    <n v="79"/>
    <x v="6"/>
    <m/>
    <s v="2026-01-31"/>
    <s v="280729"/>
    <s v="M/s. Naresh Chandra Das"/>
    <s v="7365868045"/>
  </r>
  <r>
    <s v="RCF Thal"/>
    <s v="N.C.Urea(45kg)"/>
    <s v="WB"/>
    <x v="17"/>
    <s v="Krishnagar - I"/>
    <s v="User Not Mapped"/>
    <s v="User Not Mapped"/>
    <s v="User Not Mapped"/>
    <n v="889366"/>
    <s v="AMAL BISWAS"/>
    <s v="Private Retailer"/>
    <s v="8670680299"/>
    <n v="2.7E-2"/>
    <n v="1467"/>
    <x v="2"/>
    <m/>
    <s v="2022-04-14"/>
    <s v="280729"/>
    <s v="M/s. Naresh Chandra Das"/>
    <s v="7365868045"/>
  </r>
  <r>
    <s v="RCF Trombay"/>
    <s v="15-15-15"/>
    <s v="WB"/>
    <x v="17"/>
    <s v="Krishnagar - I"/>
    <s v="User Not Mapped"/>
    <s v="User Not Mapped"/>
    <s v="User Not Mapped"/>
    <n v="889366"/>
    <s v="AMAL BISWAS"/>
    <s v="Private Retailer"/>
    <s v="8670680299"/>
    <n v="0.3"/>
    <n v="244"/>
    <x v="1"/>
    <m/>
    <s v="2025-08-19"/>
    <s v="280729"/>
    <s v="M/s. Naresh Chandra Das"/>
    <s v="7365868045"/>
  </r>
  <r>
    <s v="RCF Trombay"/>
    <s v="N.C.Urea(45kg)"/>
    <s v="WB"/>
    <x v="17"/>
    <s v="Krishnagar - I"/>
    <s v="User Not Mapped"/>
    <s v="User Not Mapped"/>
    <s v="User Not Mapped"/>
    <n v="889366"/>
    <s v="AMAL BISWAS"/>
    <s v="Private Retailer"/>
    <s v="8670680299"/>
    <n v="0.09"/>
    <n v="1601"/>
    <x v="2"/>
    <m/>
    <s v="2021-12-01"/>
    <s v="280729"/>
    <s v="M/s. Naresh Chandra Das"/>
    <s v="7365868045"/>
  </r>
  <r>
    <s v="RCF Trombay"/>
    <s v="15-15-15"/>
    <s v="WB"/>
    <x v="17"/>
    <s v="Krishnagar - I"/>
    <s v="User Not Mapped"/>
    <s v="User Not Mapped"/>
    <s v="User Not Mapped"/>
    <n v="440989"/>
    <s v="Ananda Gopal Garai"/>
    <s v="Private Retailer"/>
    <s v="9735173321"/>
    <n v="5"/>
    <n v="53"/>
    <x v="3"/>
    <m/>
    <s v="2026-02-26"/>
    <s v="280729"/>
    <s v="M/s. Naresh Chandra Das"/>
    <s v="7365868045"/>
  </r>
  <r>
    <s v="RCF Thal"/>
    <s v="N.C.Urea(45kg)"/>
    <s v="WB"/>
    <x v="17"/>
    <s v="Krishnagar - I"/>
    <s v="User Not Mapped"/>
    <s v="User Not Mapped"/>
    <s v="User Not Mapped"/>
    <n v="440989"/>
    <s v="Ananda Gopal Garai"/>
    <s v="Private Retailer"/>
    <s v="9735173321"/>
    <n v="4.9950000000000001"/>
    <n v="53"/>
    <x v="3"/>
    <m/>
    <s v="2026-02-26"/>
    <s v="280729"/>
    <s v="M/s. Naresh Chandra Das"/>
    <s v="7365868045"/>
  </r>
  <r>
    <s v="RCF Trombay"/>
    <s v="15-15-15"/>
    <s v="WB"/>
    <x v="17"/>
    <s v="Krishnagar - I"/>
    <s v="User Not Mapped"/>
    <s v="User Not Mapped"/>
    <s v="User Not Mapped"/>
    <n v="440989"/>
    <s v="Ananda Gopal Garai"/>
    <s v="Private Retailer"/>
    <s v="9735173321"/>
    <n v="1.2"/>
    <n v="84"/>
    <x v="6"/>
    <m/>
    <s v="2026-01-26"/>
    <s v="280729"/>
    <s v="M/s. Naresh Chandra Das"/>
    <s v="7365868045"/>
  </r>
  <r>
    <s v="RCF Trombay"/>
    <s v="15-15-15"/>
    <s v="WB"/>
    <x v="17"/>
    <m/>
    <s v="User Not Mapped"/>
    <s v="User Not Mapped"/>
    <s v="User Not Mapped"/>
    <n v="1061902"/>
    <s v="ANANDA KUMAR BISWAS"/>
    <s v="Private Retailer"/>
    <s v="9735624788"/>
    <n v="2.0499999999999998"/>
    <n v="1145"/>
    <x v="2"/>
    <m/>
    <s v="2023-03-02"/>
    <s v="280729"/>
    <s v="M/s. Naresh Chandra Das"/>
    <s v="7365868045"/>
  </r>
  <r>
    <s v="RCF Trombay"/>
    <s v="15-15-15"/>
    <s v="WB"/>
    <x v="17"/>
    <s v="Krishnagar - I"/>
    <s v="User Not Mapped"/>
    <s v="User Not Mapped"/>
    <s v="User Not Mapped"/>
    <n v="340823"/>
    <s v="Animesh  Majumder"/>
    <s v="Private Retailer"/>
    <s v="8536809024"/>
    <n v="2"/>
    <n v="79"/>
    <x v="6"/>
    <m/>
    <s v="2026-01-31"/>
    <s v="280729"/>
    <s v="M/s. Naresh Chandra Das"/>
    <s v="7365868045"/>
  </r>
  <r>
    <s v="RCF Trombay"/>
    <s v="15-15-15"/>
    <s v="WB"/>
    <x v="17"/>
    <m/>
    <s v="User Not Mapped"/>
    <s v="User Not Mapped"/>
    <s v="User Not Mapped"/>
    <n v="1470902"/>
    <s v="ANISA FERTILIZER"/>
    <s v="Private Retailer"/>
    <s v="9593045146"/>
    <n v="5"/>
    <n v="53"/>
    <x v="3"/>
    <m/>
    <s v="2026-02-26"/>
    <s v="280729"/>
    <s v="M/s. Naresh Chandra Das"/>
    <s v="7365868045"/>
  </r>
  <r>
    <s v="RCF Trombay"/>
    <s v="15-15-15"/>
    <s v="WB"/>
    <x v="17"/>
    <m/>
    <s v="User Not Mapped"/>
    <s v="User Not Mapped"/>
    <s v="User Not Mapped"/>
    <n v="340827"/>
    <s v="Anita Biswas"/>
    <s v="Private Retailer"/>
    <s v="8116120085"/>
    <n v="1.87"/>
    <n v="546"/>
    <x v="0"/>
    <m/>
    <s v="2024-10-21"/>
    <s v="280729"/>
    <s v="M/s. Naresh Chandra Das"/>
    <s v="7365868045"/>
  </r>
  <r>
    <s v="RCF Trombay"/>
    <s v="N.C.Urea(45kg)"/>
    <s v="WB"/>
    <x v="17"/>
    <m/>
    <s v="User Not Mapped"/>
    <s v="User Not Mapped"/>
    <s v="User Not Mapped"/>
    <n v="340827"/>
    <s v="Anita Biswas"/>
    <s v="Private Retailer"/>
    <s v="8116120085"/>
    <n v="1.98"/>
    <n v="546"/>
    <x v="0"/>
    <m/>
    <s v="2024-10-21"/>
    <s v="280729"/>
    <s v="M/s. Naresh Chandra Das"/>
    <s v="7365868045"/>
  </r>
  <r>
    <s v="RCF Trombay"/>
    <s v="15-15-15"/>
    <s v="WB"/>
    <x v="17"/>
    <s v="Haringhata"/>
    <s v="User Not Mapped"/>
    <s v="User Not Mapped"/>
    <s v="User Not Mapped"/>
    <n v="449049"/>
    <s v="Apurba Mondal"/>
    <s v="Private Retailer"/>
    <s v="8509388700"/>
    <n v="4.0999999999999996"/>
    <n v="51"/>
    <x v="3"/>
    <m/>
    <s v="2026-02-28"/>
    <s v="280729"/>
    <s v="M/s. Naresh Chandra Das"/>
    <s v="7365868045"/>
  </r>
  <r>
    <s v="RCF Import"/>
    <s v="Imp 10-26-26"/>
    <s v="WB"/>
    <x v="17"/>
    <s v="Haringhata"/>
    <s v="User Not Mapped"/>
    <s v="User Not Mapped"/>
    <s v="User Not Mapped"/>
    <n v="449049"/>
    <s v="Apurba Mondal"/>
    <s v="Private Retailer"/>
    <s v="8509388700"/>
    <n v="3.75"/>
    <n v="44"/>
    <x v="3"/>
    <m/>
    <s v="2026-03-07"/>
    <s v="280729"/>
    <s v="M/s. Naresh Chandra Das"/>
    <s v="7365868045"/>
  </r>
  <r>
    <s v="RCF Trombay"/>
    <s v="N.C.Urea(45kg)"/>
    <s v="WB"/>
    <x v="17"/>
    <s v="Haringhata"/>
    <s v="User Not Mapped"/>
    <s v="User Not Mapped"/>
    <s v="User Not Mapped"/>
    <n v="449049"/>
    <s v="Apurba Mondal"/>
    <s v="Private Retailer"/>
    <s v="8509388700"/>
    <n v="7.1550000000000002"/>
    <n v="60"/>
    <x v="3"/>
    <m/>
    <s v="2026-02-19"/>
    <s v="280729"/>
    <s v="M/s. Naresh Chandra Das"/>
    <s v="7365868045"/>
  </r>
  <r>
    <s v="RCF Import"/>
    <s v="MOP"/>
    <s v="WB"/>
    <x v="17"/>
    <s v="Haringhata"/>
    <s v="User Not Mapped"/>
    <s v="User Not Mapped"/>
    <s v="User Not Mapped"/>
    <n v="449049"/>
    <s v="Apurba Mondal"/>
    <s v="Private Retailer"/>
    <s v="8509388700"/>
    <n v="4.75"/>
    <n v="52"/>
    <x v="3"/>
    <m/>
    <s v="2026-02-27"/>
    <s v="280729"/>
    <s v="M/s. Naresh Chandra Das"/>
    <s v="7365868045"/>
  </r>
  <r>
    <s v="RCF Trombay"/>
    <s v="N.C.Urea(45kg)"/>
    <s v="WB"/>
    <x v="17"/>
    <s v="Nakashipara"/>
    <s v="User Not Mapped"/>
    <s v="User Not Mapped"/>
    <s v="User Not Mapped"/>
    <n v="441519"/>
    <s v="Arijul Shaikh"/>
    <s v="Private Retailer"/>
    <s v="8389906442"/>
    <n v="4.9950000000000001"/>
    <n v="52"/>
    <x v="3"/>
    <m/>
    <s v="2026-02-27"/>
    <s v="280729"/>
    <s v="M/s. Naresh Chandra Das"/>
    <s v="7365868045"/>
  </r>
  <r>
    <s v="RCF Import"/>
    <s v="MOP"/>
    <s v="WB"/>
    <x v="17"/>
    <s v="Nakashipara"/>
    <s v="User Not Mapped"/>
    <s v="User Not Mapped"/>
    <s v="User Not Mapped"/>
    <n v="441519"/>
    <s v="Arijul Shaikh"/>
    <s v="Private Retailer"/>
    <s v="8389906442"/>
    <n v="5"/>
    <n v="53"/>
    <x v="3"/>
    <m/>
    <s v="2026-02-26"/>
    <s v="280729"/>
    <s v="M/s. Naresh Chandra Das"/>
    <s v="7365868045"/>
  </r>
  <r>
    <s v="RCF Thal"/>
    <s v="N.C.Urea(45kg)"/>
    <s v="WB"/>
    <x v="17"/>
    <s v="Chakdah"/>
    <s v="User Not Mapped"/>
    <s v="User Not Mapped"/>
    <s v="User Not Mapped"/>
    <n v="941875"/>
    <s v="ARJUN KUMAR GHOSH"/>
    <s v="Private Retailer"/>
    <s v="9733885869"/>
    <n v="5.04"/>
    <n v="132"/>
    <x v="4"/>
    <m/>
    <s v="2025-12-09"/>
    <s v="280729"/>
    <s v="M/s. Naresh Chandra Das"/>
    <s v="7365868045"/>
  </r>
  <r>
    <s v="RCF Thal"/>
    <s v="N.C.Urea(45kg)"/>
    <s v="WB"/>
    <x v="17"/>
    <s v="Haringhata"/>
    <s v="User Not Mapped"/>
    <s v="User Not Mapped"/>
    <s v="User Not Mapped"/>
    <n v="943798"/>
    <s v="ASHIT DAS"/>
    <s v="Private Retailer"/>
    <s v="9593197519"/>
    <n v="0.39500000000000002"/>
    <n v="1057"/>
    <x v="2"/>
    <m/>
    <s v="2023-05-29"/>
    <s v="280729"/>
    <s v="M/s. Naresh Chandra Das"/>
    <s v="7365868045"/>
  </r>
  <r>
    <s v="RCF Thal"/>
    <s v="N.C.Urea(45kg)"/>
    <s v="WB"/>
    <x v="17"/>
    <s v="Krishnagar - I"/>
    <s v="User Not Mapped"/>
    <s v="User Not Mapped"/>
    <s v="User Not Mapped"/>
    <n v="946210"/>
    <s v="AYUB NABI SHEIKH"/>
    <s v="Private Retailer"/>
    <s v="9679387895"/>
    <n v="1.35"/>
    <n v="5"/>
    <x v="5"/>
    <m/>
    <s v="2026-04-15"/>
    <s v="280729"/>
    <s v="M/s. Naresh Chandra Das"/>
    <s v="7365868045"/>
  </r>
  <r>
    <s v="RCF Trombay"/>
    <s v="N.C.Urea(45kg)"/>
    <s v="WB"/>
    <x v="17"/>
    <s v="Nabadwip"/>
    <s v="User Not Mapped"/>
    <s v="User Not Mapped"/>
    <s v="User Not Mapped"/>
    <n v="491677"/>
    <s v="Azahar Mondal"/>
    <s v="Private Retailer"/>
    <s v="8001662810"/>
    <n v="8.0549999999999997"/>
    <n v="115"/>
    <x v="7"/>
    <m/>
    <s v="2025-12-26"/>
    <s v="280729"/>
    <s v="M/s. Naresh Chandra Das"/>
    <s v="7365868045"/>
  </r>
  <r>
    <s v="RCF Trombay"/>
    <s v="15-15-15"/>
    <s v="WB"/>
    <x v="17"/>
    <s v="Krishnagar - I"/>
    <s v="User Not Mapped"/>
    <s v="User Not Mapped"/>
    <s v="User Not Mapped"/>
    <n v="440985"/>
    <s v="Balai Chandra Khan"/>
    <s v="Private Retailer"/>
    <s v="9614263523"/>
    <n v="0.6"/>
    <n v="79"/>
    <x v="6"/>
    <m/>
    <s v="2026-01-31"/>
    <s v="280729"/>
    <s v="M/s. Naresh Chandra Das"/>
    <s v="7365868045"/>
  </r>
  <r>
    <s v="RCF Trombay"/>
    <s v="N.C.Urea(45kg)"/>
    <s v="WB"/>
    <x v="17"/>
    <s v="Krishnagar - I"/>
    <s v="User Not Mapped"/>
    <s v="User Not Mapped"/>
    <s v="User Not Mapped"/>
    <n v="440985"/>
    <s v="Balai Chandra Khan"/>
    <s v="Private Retailer"/>
    <s v="9614263523"/>
    <n v="1.17"/>
    <n v="79"/>
    <x v="6"/>
    <m/>
    <s v="2026-01-31"/>
    <s v="280729"/>
    <s v="M/s. Naresh Chandra Das"/>
    <s v="7365868045"/>
  </r>
  <r>
    <s v="RCF Import"/>
    <s v="Imp 10-26-26"/>
    <s v="WB"/>
    <x v="17"/>
    <s v="Haringhata"/>
    <s v="User Not Mapped"/>
    <s v="User Not Mapped"/>
    <s v="User Not Mapped"/>
    <n v="341044"/>
    <s v="Bholanath Ghosh"/>
    <s v="Private Retailer"/>
    <s v="9609372146"/>
    <n v="2.5"/>
    <n v="6"/>
    <x v="5"/>
    <m/>
    <s v="2026-04-14"/>
    <s v="280729"/>
    <s v="M/s. Naresh Chandra Das"/>
    <s v="7365868045"/>
  </r>
  <r>
    <s v="RCF Thal"/>
    <s v="N.C.Urea(45kg)"/>
    <s v="WB"/>
    <x v="17"/>
    <m/>
    <s v="User Not Mapped"/>
    <s v="User Not Mapped"/>
    <s v="User Not Mapped"/>
    <n v="272883"/>
    <s v="Bibekananda Ball"/>
    <s v="Private Retailer"/>
    <s v="9474482399"/>
    <n v="6.93"/>
    <n v="13"/>
    <x v="5"/>
    <m/>
    <s v="2026-04-07"/>
    <s v="280729"/>
    <s v="M/s. Naresh Chandra Das"/>
    <s v="7365868045"/>
  </r>
  <r>
    <s v="RCF Trombay"/>
    <s v="15-15-15"/>
    <s v="WB"/>
    <x v="17"/>
    <s v="Tehatta - I"/>
    <s v="User Not Mapped"/>
    <s v="User Not Mapped"/>
    <s v="User Not Mapped"/>
    <n v="934918"/>
    <s v="BIDHAN CHANDRA MONDAL"/>
    <s v="Private Retailer"/>
    <s v="9564828580"/>
    <n v="0.5"/>
    <n v="168"/>
    <x v="4"/>
    <m/>
    <s v="2025-11-03"/>
    <s v="280729"/>
    <s v="M/s. Naresh Chandra Das"/>
    <s v="7365868045"/>
  </r>
  <r>
    <s v="RCF Trombay"/>
    <s v="15-15-15"/>
    <s v="WB"/>
    <x v="17"/>
    <m/>
    <s v="User Not Mapped"/>
    <s v="User Not Mapped"/>
    <s v="User Not Mapped"/>
    <n v="341060"/>
    <s v="Bidyut Karmakar"/>
    <s v="Private Retailer"/>
    <s v="9475068396"/>
    <n v="0.35"/>
    <n v="79"/>
    <x v="6"/>
    <m/>
    <s v="2026-01-31"/>
    <s v="280729"/>
    <s v="M/s. Naresh Chandra Das"/>
    <s v="7365868045"/>
  </r>
  <r>
    <s v="RCF Trombay"/>
    <s v="N.C.Urea(45kg)"/>
    <s v="WB"/>
    <x v="17"/>
    <m/>
    <s v="User Not Mapped"/>
    <s v="User Not Mapped"/>
    <s v="User Not Mapped"/>
    <n v="341060"/>
    <s v="Bidyut Karmakar"/>
    <s v="Private Retailer"/>
    <s v="9475068396"/>
    <n v="0.09"/>
    <n v="79"/>
    <x v="6"/>
    <m/>
    <s v="2026-01-31"/>
    <s v="280729"/>
    <s v="M/s. Naresh Chandra Das"/>
    <s v="7365868045"/>
  </r>
  <r>
    <s v="RCF Trombay"/>
    <s v="15-15-15"/>
    <s v="WB"/>
    <x v="17"/>
    <s v="Krishnagar - I"/>
    <s v="User Not Mapped"/>
    <s v="User Not Mapped"/>
    <s v="User Not Mapped"/>
    <n v="218887"/>
    <s v="Bimal Podder"/>
    <s v="Private Retailer"/>
    <s v="9474424236"/>
    <n v="6.25"/>
    <n v="53"/>
    <x v="3"/>
    <m/>
    <s v="2026-02-26"/>
    <s v="280729"/>
    <s v="M/s. Naresh Chandra Das"/>
    <s v="7365868045"/>
  </r>
  <r>
    <s v="RCF Trombay"/>
    <s v="N.C.Urea(45kg)"/>
    <s v="WB"/>
    <x v="17"/>
    <s v="Haringhata"/>
    <s v="User Not Mapped"/>
    <s v="User Not Mapped"/>
    <s v="User Not Mapped"/>
    <n v="341094"/>
    <s v="Binay Das"/>
    <s v="Private Retailer"/>
    <s v="9775787102"/>
    <n v="8.01"/>
    <n v="133"/>
    <x v="4"/>
    <m/>
    <s v="2025-12-08"/>
    <s v="280729"/>
    <s v="M/s. Naresh Chandra Das"/>
    <s v="7365868045"/>
  </r>
  <r>
    <s v="RCF Trombay"/>
    <s v="15-15-15"/>
    <s v="WB"/>
    <x v="17"/>
    <s v="Krishnagar - II"/>
    <s v="User Not Mapped"/>
    <s v="User Not Mapped"/>
    <s v="User Not Mapped"/>
    <n v="930787"/>
    <s v="BISWAJIT GHOSH"/>
    <s v="Private Retailer"/>
    <s v="9775313126"/>
    <n v="0.75"/>
    <n v="42"/>
    <x v="3"/>
    <m/>
    <s v="2026-03-09"/>
    <s v="280729"/>
    <s v="M/s. Naresh Chandra Das"/>
    <s v="7365868045"/>
  </r>
  <r>
    <s v="RCF Thal"/>
    <s v="N.C.Urea(45kg)"/>
    <s v="WB"/>
    <x v="17"/>
    <s v="Krishnagar - II"/>
    <s v="User Not Mapped"/>
    <s v="User Not Mapped"/>
    <s v="User Not Mapped"/>
    <n v="930787"/>
    <s v="BISWAJIT GHOSH"/>
    <s v="Private Retailer"/>
    <s v="9775313126"/>
    <n v="1.395"/>
    <n v="19"/>
    <x v="5"/>
    <m/>
    <s v="2026-04-01"/>
    <s v="280729"/>
    <s v="M/s. Naresh Chandra Das"/>
    <s v="7365868045"/>
  </r>
  <r>
    <s v="RCF Import"/>
    <s v="MOP"/>
    <s v="WB"/>
    <x v="17"/>
    <s v="Krishnagar - II"/>
    <s v="User Not Mapped"/>
    <s v="User Not Mapped"/>
    <s v="User Not Mapped"/>
    <n v="930787"/>
    <s v="BISWAJIT GHOSH"/>
    <s v="Private Retailer"/>
    <s v="9775313126"/>
    <n v="1"/>
    <n v="53"/>
    <x v="3"/>
    <m/>
    <s v="2026-02-26"/>
    <s v="280729"/>
    <s v="M/s. Naresh Chandra Das"/>
    <s v="7365868045"/>
  </r>
  <r>
    <s v="RCF Trombay"/>
    <s v="N.C.Urea(45kg)"/>
    <s v="WB"/>
    <x v="17"/>
    <s v="Krishnagar - II"/>
    <s v="User Not Mapped"/>
    <s v="User Not Mapped"/>
    <s v="User Not Mapped"/>
    <n v="930787"/>
    <s v="BISWAJIT GHOSH"/>
    <s v="Private Retailer"/>
    <s v="9775313126"/>
    <n v="1.35"/>
    <n v="79"/>
    <x v="6"/>
    <m/>
    <s v="2026-01-31"/>
    <s v="280729"/>
    <s v="M/s. Naresh Chandra Das"/>
    <s v="7365868045"/>
  </r>
  <r>
    <s v="RCF Trombay"/>
    <s v="15-15-15"/>
    <s v="WB"/>
    <x v="17"/>
    <s v="Krishnagar - II"/>
    <s v="User Not Mapped"/>
    <s v="User Not Mapped"/>
    <s v="User Not Mapped"/>
    <n v="930787"/>
    <s v="BISWAJIT GHOSH"/>
    <s v="Private Retailer"/>
    <s v="9775313126"/>
    <n v="1"/>
    <n v="66"/>
    <x v="6"/>
    <m/>
    <s v="2026-02-13"/>
    <s v="280729"/>
    <s v="M/s. Naresh Chandra Das"/>
    <s v="7365868045"/>
  </r>
  <r>
    <s v="RCF Trombay"/>
    <s v="15-15-15"/>
    <s v="WB"/>
    <x v="17"/>
    <s v="Krishnagar - II"/>
    <s v="User Not Mapped"/>
    <s v="User Not Mapped"/>
    <s v="User Not Mapped"/>
    <n v="930787"/>
    <s v="BISWAJIT GHOSH"/>
    <s v="Private Retailer"/>
    <s v="9775313126"/>
    <n v="0.5"/>
    <n v="69"/>
    <x v="6"/>
    <m/>
    <s v="2026-02-10"/>
    <s v="280729"/>
    <s v="M/s. Naresh Chandra Das"/>
    <s v="7365868045"/>
  </r>
  <r>
    <s v="RCF Trombay"/>
    <s v="15-15-15"/>
    <s v="WB"/>
    <x v="17"/>
    <s v="Krishnagar - II"/>
    <s v="User Not Mapped"/>
    <s v="User Not Mapped"/>
    <s v="User Not Mapped"/>
    <n v="930787"/>
    <s v="BISWAJIT GHOSH"/>
    <s v="Private Retailer"/>
    <s v="9775313126"/>
    <n v="0.45"/>
    <n v="79"/>
    <x v="6"/>
    <m/>
    <s v="2026-01-31"/>
    <s v="280729"/>
    <s v="M/s. Naresh Chandra Das"/>
    <s v="7365868045"/>
  </r>
  <r>
    <s v="RCF Trombay"/>
    <s v="15-15-15"/>
    <s v="WB"/>
    <x v="17"/>
    <s v="Krishnagar - II"/>
    <s v="User Not Mapped"/>
    <s v="User Not Mapped"/>
    <s v="User Not Mapped"/>
    <n v="930787"/>
    <s v="BISWAJIT GHOSH"/>
    <s v="Private Retailer"/>
    <s v="9775313126"/>
    <n v="2"/>
    <n v="150"/>
    <x v="4"/>
    <m/>
    <s v="2025-11-21"/>
    <s v="280729"/>
    <s v="M/s. Naresh Chandra Das"/>
    <s v="7365868045"/>
  </r>
  <r>
    <s v="RCF Trombay"/>
    <s v="N.C.Urea(45kg)"/>
    <s v="WB"/>
    <x v="17"/>
    <s v="Chapra"/>
    <s v="User Not Mapped"/>
    <s v="User Not Mapped"/>
    <s v="User Not Mapped"/>
    <n v="941032"/>
    <s v="BISWAS FERTILIZER"/>
    <s v="Private Retailer"/>
    <s v="9564288096"/>
    <n v="3.5550000000000002"/>
    <n v="84"/>
    <x v="6"/>
    <m/>
    <s v="2026-01-26"/>
    <s v="280729"/>
    <s v="M/s. Naresh Chandra Das"/>
    <s v="7365868045"/>
  </r>
  <r>
    <s v="RCF Trombay"/>
    <s v="15-15-15"/>
    <s v="WB"/>
    <x v="17"/>
    <s v="Chapra"/>
    <s v="User Not Mapped"/>
    <s v="User Not Mapped"/>
    <s v="User Not Mapped"/>
    <n v="941032"/>
    <s v="BISWAS FERTILIZER"/>
    <s v="Private Retailer"/>
    <s v="9564288096"/>
    <n v="5"/>
    <n v="84"/>
    <x v="6"/>
    <m/>
    <s v="2026-01-26"/>
    <s v="280729"/>
    <s v="M/s. Naresh Chandra Das"/>
    <s v="7365868045"/>
  </r>
  <r>
    <s v="RCF Thal"/>
    <s v="N.C.Urea(45kg)"/>
    <s v="WB"/>
    <x v="17"/>
    <s v="Chapra"/>
    <s v="User Not Mapped"/>
    <s v="User Not Mapped"/>
    <s v="User Not Mapped"/>
    <n v="1063021"/>
    <s v="BISWAS FERTILIZER"/>
    <s v="Private Retailer"/>
    <s v="9733075231"/>
    <n v="5.0000000000000001E-3"/>
    <n v="1242"/>
    <x v="2"/>
    <m/>
    <s v="2022-11-25"/>
    <s v="280729"/>
    <s v="M/s. Naresh Chandra Das"/>
    <s v="7365868045"/>
  </r>
  <r>
    <s v="RCF Trombay"/>
    <s v="15-15-15"/>
    <s v="WB"/>
    <x v="17"/>
    <s v="Chapra"/>
    <s v="User Not Mapped"/>
    <s v="User Not Mapped"/>
    <s v="User Not Mapped"/>
    <n v="1063021"/>
    <s v="BISWAS FERTILIZER"/>
    <s v="Private Retailer"/>
    <s v="9733075231"/>
    <n v="1.5"/>
    <n v="216"/>
    <x v="1"/>
    <m/>
    <s v="2025-09-16"/>
    <s v="280729"/>
    <s v="M/s. Naresh Chandra Das"/>
    <s v="7365868045"/>
  </r>
  <r>
    <s v="RCF Trombay"/>
    <s v="15-15-15"/>
    <s v="WB"/>
    <x v="17"/>
    <s v="Chapra"/>
    <s v="User Not Mapped"/>
    <s v="User Not Mapped"/>
    <s v="User Not Mapped"/>
    <n v="1063021"/>
    <s v="BISWAS FERTILIZER"/>
    <s v="Private Retailer"/>
    <s v="9733075231"/>
    <n v="1.4999999999999999E-2"/>
    <n v="1242"/>
    <x v="2"/>
    <m/>
    <s v="2022-11-25"/>
    <s v="280729"/>
    <s v="M/s. Naresh Chandra Das"/>
    <s v="7365868045"/>
  </r>
  <r>
    <s v="RCF Trombay"/>
    <s v="15-15-15"/>
    <s v="WB"/>
    <x v="17"/>
    <s v="Krishnagar - I"/>
    <s v="User Not Mapped"/>
    <s v="User Not Mapped"/>
    <s v="User Not Mapped"/>
    <n v="1024446"/>
    <s v="BISWAS FERTILIZER"/>
    <s v="Private Retailer"/>
    <s v="9749088438"/>
    <n v="1"/>
    <n v="69"/>
    <x v="6"/>
    <m/>
    <s v="2026-02-10"/>
    <s v="280729"/>
    <s v="M/s. Naresh Chandra Das"/>
    <s v="7365868045"/>
  </r>
  <r>
    <s v="RCF Import"/>
    <s v="MOP"/>
    <s v="WB"/>
    <x v="17"/>
    <s v="Krishnagar - I"/>
    <s v="User Not Mapped"/>
    <s v="User Not Mapped"/>
    <s v="User Not Mapped"/>
    <n v="1024446"/>
    <s v="BISWAS FERTILIZER"/>
    <s v="Private Retailer"/>
    <s v="9749088438"/>
    <n v="0.25"/>
    <n v="25"/>
    <x v="5"/>
    <m/>
    <s v="2026-03-26"/>
    <s v="280729"/>
    <s v="M/s. Naresh Chandra Das"/>
    <s v="7365868045"/>
  </r>
  <r>
    <s v="RCF Trombay"/>
    <s v="15-15-15"/>
    <s v="WB"/>
    <x v="17"/>
    <s v="Krishnagar - II"/>
    <s v="User Not Mapped"/>
    <s v="User Not Mapped"/>
    <s v="User Not Mapped"/>
    <n v="892203"/>
    <s v="BISWAS FERTILIZER"/>
    <s v="Private Retailer"/>
    <s v="8597003763"/>
    <n v="4.5"/>
    <n v="688"/>
    <x v="2"/>
    <m/>
    <s v="2024-06-01"/>
    <s v="280729"/>
    <s v="M/s. Naresh Chandra Das"/>
    <s v="7365868045"/>
  </r>
  <r>
    <s v="RCF Thal"/>
    <s v="N.C.Urea(45kg)"/>
    <s v="WB"/>
    <x v="17"/>
    <s v="Krishnagar - I"/>
    <s v="User Not Mapped"/>
    <s v="User Not Mapped"/>
    <s v="User Not Mapped"/>
    <n v="413498"/>
    <s v="Biswas Fertilizers"/>
    <s v="Private Retailer"/>
    <s v="9800494055"/>
    <n v="9.99"/>
    <n v="13"/>
    <x v="5"/>
    <m/>
    <s v="2026-04-07"/>
    <s v="280729"/>
    <s v="M/s. Naresh Chandra Das"/>
    <s v="7365868045"/>
  </r>
  <r>
    <s v="RCF Import"/>
    <s v="MOP"/>
    <s v="WB"/>
    <x v="17"/>
    <s v="Krishnagar - I"/>
    <s v="User Not Mapped"/>
    <s v="User Not Mapped"/>
    <s v="User Not Mapped"/>
    <n v="950671"/>
    <s v="BISWAS FPSB"/>
    <s v="Private Retailer"/>
    <s v="9046825275"/>
    <n v="5"/>
    <n v="58"/>
    <x v="3"/>
    <m/>
    <s v="2026-02-21"/>
    <s v="280729"/>
    <s v="M/s. Naresh Chandra Das"/>
    <s v="7365868045"/>
  </r>
  <r>
    <s v="RCF Trombay"/>
    <s v="15-15-15"/>
    <s v="WB"/>
    <x v="17"/>
    <s v="Krishnagar - I"/>
    <s v="User Not Mapped"/>
    <s v="User Not Mapped"/>
    <s v="User Not Mapped"/>
    <n v="950671"/>
    <s v="BISWAS FPSB"/>
    <s v="Private Retailer"/>
    <s v="9046825275"/>
    <n v="5"/>
    <n v="52"/>
    <x v="3"/>
    <m/>
    <s v="2026-02-27"/>
    <s v="280729"/>
    <s v="M/s. Naresh Chandra Das"/>
    <s v="7365868045"/>
  </r>
  <r>
    <s v="RCF Thal"/>
    <s v="N.C.Urea(45kg)"/>
    <s v="WB"/>
    <x v="17"/>
    <s v="Krishnagar - I"/>
    <s v="User Not Mapped"/>
    <s v="User Not Mapped"/>
    <s v="User Not Mapped"/>
    <n v="950671"/>
    <s v="BISWAS FPSB"/>
    <s v="Private Retailer"/>
    <s v="9046825275"/>
    <n v="4.9950000000000001"/>
    <n v="53"/>
    <x v="3"/>
    <m/>
    <s v="2026-02-26"/>
    <s v="280729"/>
    <s v="M/s. Naresh Chandra Das"/>
    <s v="7365868045"/>
  </r>
  <r>
    <s v="RCF Trombay"/>
    <s v="15-15-15"/>
    <s v="WB"/>
    <x v="17"/>
    <s v="Krishnagar - I"/>
    <s v="User Not Mapped"/>
    <s v="User Not Mapped"/>
    <s v="User Not Mapped"/>
    <n v="950671"/>
    <s v="BISWAS FPSB"/>
    <s v="Private Retailer"/>
    <s v="9046825275"/>
    <n v="4"/>
    <n v="136"/>
    <x v="4"/>
    <m/>
    <s v="2025-12-05"/>
    <s v="280729"/>
    <s v="M/s. Naresh Chandra Das"/>
    <s v="7365868045"/>
  </r>
  <r>
    <s v="RCF Trombay"/>
    <s v="15-15-15"/>
    <s v="WB"/>
    <x v="17"/>
    <s v="Santipur"/>
    <s v="User Not Mapped"/>
    <s v="User Not Mapped"/>
    <s v="User Not Mapped"/>
    <n v="1043456"/>
    <s v="BISWAS SAR BHANDAR"/>
    <s v="Private Retailer"/>
    <s v="8637085034"/>
    <n v="0.5"/>
    <n v="115"/>
    <x v="7"/>
    <m/>
    <s v="2025-12-26"/>
    <s v="280729"/>
    <s v="M/s. Naresh Chandra Das"/>
    <s v="7365868045"/>
  </r>
  <r>
    <s v="RCF Trombay"/>
    <s v="N.C.Urea(45kg)"/>
    <s v="WB"/>
    <x v="17"/>
    <m/>
    <s v="User Not Mapped"/>
    <s v="User Not Mapped"/>
    <s v="User Not Mapped"/>
    <n v="1062931"/>
    <s v="BOKKOR BISWAS "/>
    <s v="Private Retailer"/>
    <s v="7551014576"/>
    <n v="1.97"/>
    <n v="1193"/>
    <x v="2"/>
    <m/>
    <s v="2023-01-13"/>
    <s v="280729"/>
    <s v="M/s. Naresh Chandra Das"/>
    <s v="7365868045"/>
  </r>
  <r>
    <s v="RCF Trombay"/>
    <s v="15-15-15"/>
    <s v="WB"/>
    <x v="17"/>
    <s v="Krishnagar - I"/>
    <s v="User Not Mapped"/>
    <s v="User Not Mapped"/>
    <s v="User Not Mapped"/>
    <n v="444109"/>
    <s v="Brindaban Saha"/>
    <s v="Private Retailer"/>
    <s v="9153067921"/>
    <n v="0.45"/>
    <n v="31"/>
    <x v="3"/>
    <m/>
    <s v="2026-03-20"/>
    <s v="280729"/>
    <s v="M/s. Naresh Chandra Das"/>
    <s v="7365868045"/>
  </r>
  <r>
    <s v="RCF Import"/>
    <s v="MOP"/>
    <s v="WB"/>
    <x v="17"/>
    <s v="Krishnagar - I"/>
    <s v="User Not Mapped"/>
    <s v="User Not Mapped"/>
    <s v="User Not Mapped"/>
    <n v="444109"/>
    <s v="Brindaban Saha"/>
    <s v="Private Retailer"/>
    <s v="9153067921"/>
    <n v="0.25"/>
    <n v="25"/>
    <x v="5"/>
    <m/>
    <s v="2026-03-26"/>
    <s v="280729"/>
    <s v="M/s. Naresh Chandra Das"/>
    <s v="7365868045"/>
  </r>
  <r>
    <s v="RCF Trombay"/>
    <s v="N.C.Urea(45kg)"/>
    <s v="WB"/>
    <x v="17"/>
    <s v="Krishnagar - I"/>
    <s v="User Not Mapped"/>
    <s v="User Not Mapped"/>
    <s v="User Not Mapped"/>
    <n v="774963"/>
    <s v="BROJESWAR FERTILIZER"/>
    <s v="Private Retailer"/>
    <s v="9679615223"/>
    <n v="18.45"/>
    <n v="215"/>
    <x v="1"/>
    <m/>
    <s v="2025-09-17"/>
    <s v="280729"/>
    <s v="M/s. Naresh Chandra Das"/>
    <s v="7365868045"/>
  </r>
  <r>
    <s v="RCF Trombay"/>
    <s v="15-15-15"/>
    <s v="WB"/>
    <x v="17"/>
    <s v="Krishnagar - I"/>
    <s v="User Not Mapped"/>
    <s v="User Not Mapped"/>
    <s v="User Not Mapped"/>
    <n v="1395176"/>
    <s v="BUDDHADEB MANDAL"/>
    <s v="Private Retailer"/>
    <s v="8918643201"/>
    <n v="1.95"/>
    <n v="79"/>
    <x v="6"/>
    <m/>
    <s v="2026-01-31"/>
    <s v="280729"/>
    <s v="M/s. Naresh Chandra Das"/>
    <s v="7365868045"/>
  </r>
  <r>
    <s v="RCF Thal"/>
    <s v="N.C.Urea(45kg)"/>
    <s v="WB"/>
    <x v="17"/>
    <s v="Tehatta - I"/>
    <s v="User Not Mapped"/>
    <s v="User Not Mapped"/>
    <s v="User Not Mapped"/>
    <n v="914036"/>
    <s v="CHAITANYA KUMAR MONDAL"/>
    <s v="Private Retailer"/>
    <s v="8116308599"/>
    <n v="9.09"/>
    <n v="13"/>
    <x v="5"/>
    <m/>
    <s v="2026-04-07"/>
    <s v="280729"/>
    <s v="M/s. Naresh Chandra Das"/>
    <s v="7365868045"/>
  </r>
  <r>
    <s v="RCF Trombay"/>
    <s v="15-15-15"/>
    <s v="WB"/>
    <x v="17"/>
    <s v="Krishnagar - I"/>
    <s v="User Not Mapped"/>
    <s v="User Not Mapped"/>
    <s v="User Not Mapped"/>
    <n v="1461465"/>
    <s v="CHAKDIKNAGAR MAHILA FPC"/>
    <s v="Private Retailer"/>
    <s v="9547285891"/>
    <n v="0.03"/>
    <n v="52"/>
    <x v="3"/>
    <m/>
    <s v="2026-02-27"/>
    <s v="280729"/>
    <s v="M/s. Naresh Chandra Das"/>
    <s v="7365868045"/>
  </r>
  <r>
    <s v="RCF Thal"/>
    <s v="N.C.Urea(45kg)"/>
    <s v="WB"/>
    <x v="17"/>
    <s v="Krishnagar - I"/>
    <s v="User Not Mapped"/>
    <s v="User Not Mapped"/>
    <s v="User Not Mapped"/>
    <n v="1461465"/>
    <s v="CHAKDIKNAGAR MAHILA FPC"/>
    <s v="Private Retailer"/>
    <s v="9547285891"/>
    <n v="0.9"/>
    <n v="53"/>
    <x v="3"/>
    <m/>
    <s v="2026-02-26"/>
    <s v="280729"/>
    <s v="M/s. Naresh Chandra Das"/>
    <s v="7365868045"/>
  </r>
  <r>
    <s v="RCF Thal"/>
    <s v="N.C.Urea(45kg)"/>
    <s v="WB"/>
    <x v="17"/>
    <s v="Krishnagar - I"/>
    <s v="User Not Mapped"/>
    <s v="User Not Mapped"/>
    <s v="User Not Mapped"/>
    <n v="1461465"/>
    <s v="CHAKDIKNAGAR MAHILA FPC"/>
    <s v="Private Retailer"/>
    <s v="9547285891"/>
    <n v="1.125"/>
    <n v="42"/>
    <x v="3"/>
    <m/>
    <s v="2026-03-09"/>
    <s v="280729"/>
    <s v="M/s. Naresh Chandra Das"/>
    <s v="7365868045"/>
  </r>
  <r>
    <s v="RCF Trombay"/>
    <s v="N.C.Urea(45kg)"/>
    <s v="WB"/>
    <x v="17"/>
    <s v="Krishnagar - I"/>
    <s v="User Not Mapped"/>
    <s v="User Not Mapped"/>
    <s v="User Not Mapped"/>
    <n v="1461465"/>
    <s v="CHAKDIKNAGAR MAHILA FPC"/>
    <s v="Private Retailer"/>
    <s v="9547285891"/>
    <n v="0.18"/>
    <n v="531"/>
    <x v="0"/>
    <m/>
    <s v="2024-11-05"/>
    <s v="280729"/>
    <s v="M/s. Naresh Chandra Das"/>
    <s v="7365868045"/>
  </r>
  <r>
    <s v="RCF Trombay"/>
    <s v="15-15-15"/>
    <s v="WB"/>
    <x v="17"/>
    <s v="Krishnagar - I"/>
    <s v="User Not Mapped"/>
    <s v="User Not Mapped"/>
    <s v="User Not Mapped"/>
    <n v="1017512"/>
    <s v="CHANDI CHARAN HALDAR"/>
    <s v="Private Retailer"/>
    <s v="8348677616"/>
    <n v="0.35"/>
    <n v="40"/>
    <x v="3"/>
    <m/>
    <s v="2026-03-11"/>
    <s v="280729"/>
    <s v="M/s. Naresh Chandra Das"/>
    <s v="7365868045"/>
  </r>
  <r>
    <s v="RCF Trombay"/>
    <s v="15-15-15"/>
    <s v="WB"/>
    <x v="17"/>
    <s v="Ranaghat - II"/>
    <s v="User Not Mapped"/>
    <s v="User Not Mapped"/>
    <s v="User Not Mapped"/>
    <n v="243830"/>
    <s v="Chapra Dhantala Skus Ltd"/>
    <s v="PACS"/>
    <s v="9679278555"/>
    <n v="10"/>
    <n v="35"/>
    <x v="3"/>
    <m/>
    <s v="2026-03-16"/>
    <s v="280729"/>
    <s v="M/s. Naresh Chandra Das"/>
    <s v="7365868045"/>
  </r>
  <r>
    <s v="RCF Import"/>
    <s v="MOP"/>
    <s v="WB"/>
    <x v="17"/>
    <s v="Ranaghat - II"/>
    <s v="User Not Mapped"/>
    <s v="User Not Mapped"/>
    <s v="User Not Mapped"/>
    <n v="243830"/>
    <s v="Chapra Dhantala Skus Ltd"/>
    <s v="PACS"/>
    <s v="9679278555"/>
    <n v="5"/>
    <n v="37"/>
    <x v="3"/>
    <m/>
    <s v="2026-03-14"/>
    <s v="280729"/>
    <s v="M/s. Naresh Chandra Das"/>
    <s v="7365868045"/>
  </r>
  <r>
    <s v="RCF Trombay"/>
    <s v="15-15-15"/>
    <s v="WB"/>
    <x v="17"/>
    <s v="Ranaghat - II"/>
    <s v="User Not Mapped"/>
    <s v="User Not Mapped"/>
    <s v="User Not Mapped"/>
    <n v="243830"/>
    <s v="Chapra Dhantala Skus Ltd"/>
    <s v="PACS"/>
    <s v="9679278555"/>
    <n v="5"/>
    <n v="37"/>
    <x v="3"/>
    <m/>
    <s v="2026-03-14"/>
    <s v="280729"/>
    <s v="M/s. Naresh Chandra Das"/>
    <s v="7365868045"/>
  </r>
  <r>
    <s v="RCF Trombay"/>
    <s v="15-15-15"/>
    <s v="WB"/>
    <x v="17"/>
    <s v="Ranaghat - II"/>
    <s v="User Not Mapped"/>
    <s v="User Not Mapped"/>
    <s v="User Not Mapped"/>
    <n v="243830"/>
    <s v="Chapra Dhantala Skus Ltd"/>
    <s v="PACS"/>
    <s v="9679278555"/>
    <n v="5.95"/>
    <n v="411"/>
    <x v="0"/>
    <m/>
    <s v="2025-03-05"/>
    <s v="280729"/>
    <s v="M/s. Naresh Chandra Das"/>
    <s v="7365868045"/>
  </r>
  <r>
    <s v="RCF Trombay"/>
    <s v="15-15-15"/>
    <s v="WB"/>
    <x v="17"/>
    <s v="Krishnagar - I"/>
    <s v="User Not Mapped"/>
    <s v="User Not Mapped"/>
    <s v="User Not Mapped"/>
    <n v="919472"/>
    <s v="CHOUDHURY FERTILIZER"/>
    <s v="Private Retailer"/>
    <s v="9932288808"/>
    <n v="0.2"/>
    <n v="459"/>
    <x v="0"/>
    <m/>
    <s v="2025-01-16"/>
    <s v="280729"/>
    <s v="M/s. Naresh Chandra Das"/>
    <s v="7365868045"/>
  </r>
  <r>
    <s v="RCF Trombay"/>
    <s v="15-15-15"/>
    <s v="WB"/>
    <x v="17"/>
    <s v="Krishnagar - I"/>
    <s v="User Not Mapped"/>
    <s v="User Not Mapped"/>
    <s v="User Not Mapped"/>
    <n v="919472"/>
    <s v="CHOUDHURY FERTILIZER"/>
    <s v="Private Retailer"/>
    <s v="9932288808"/>
    <n v="0.15"/>
    <n v="150"/>
    <x v="4"/>
    <m/>
    <s v="2025-11-21"/>
    <s v="280729"/>
    <s v="M/s. Naresh Chandra Das"/>
    <s v="7365868045"/>
  </r>
  <r>
    <s v="RCF Thal"/>
    <s v="N.C.Urea(45kg)"/>
    <s v="WB"/>
    <x v="17"/>
    <s v="Krishnagar - I"/>
    <s v="User Not Mapped"/>
    <s v="User Not Mapped"/>
    <s v="User Not Mapped"/>
    <n v="919472"/>
    <s v="CHOUDHURY FERTILIZER"/>
    <s v="Private Retailer"/>
    <s v="9932288808"/>
    <n v="4.4999999999999998E-2"/>
    <n v="163"/>
    <x v="4"/>
    <m/>
    <s v="2025-11-08"/>
    <s v="280729"/>
    <s v="M/s. Naresh Chandra Das"/>
    <s v="7365868045"/>
  </r>
  <r>
    <s v="RCF Import"/>
    <s v="MOP"/>
    <s v="WB"/>
    <x v="17"/>
    <s v="Krishnagar - I"/>
    <s v="User Not Mapped"/>
    <s v="User Not Mapped"/>
    <s v="User Not Mapped"/>
    <n v="1023940"/>
    <s v="DEBASISH DAS"/>
    <s v="Private Retailer"/>
    <s v="8967426236"/>
    <n v="0.05"/>
    <n v="10"/>
    <x v="5"/>
    <m/>
    <s v="2026-04-10"/>
    <s v="280729"/>
    <s v="M/s. Naresh Chandra Das"/>
    <s v="7365868045"/>
  </r>
  <r>
    <s v="RCF Trombay"/>
    <s v="15-15-15"/>
    <s v="WB"/>
    <x v="17"/>
    <s v="Krishnagar - I"/>
    <s v="User Not Mapped"/>
    <s v="User Not Mapped"/>
    <s v="User Not Mapped"/>
    <n v="836840"/>
    <s v="DEBASWISH HALDER"/>
    <s v="Private Retailer"/>
    <s v="7866942709"/>
    <n v="1.4"/>
    <n v="53"/>
    <x v="3"/>
    <m/>
    <s v="2026-02-26"/>
    <s v="280729"/>
    <s v="M/s. Naresh Chandra Das"/>
    <s v="7365868045"/>
  </r>
  <r>
    <s v="RCF Import"/>
    <s v="MOP"/>
    <s v="WB"/>
    <x v="17"/>
    <s v="Krishnagar - I"/>
    <s v="User Not Mapped"/>
    <s v="User Not Mapped"/>
    <s v="User Not Mapped"/>
    <n v="281283"/>
    <s v="Debnath Fertilizer"/>
    <s v="Private Retailer"/>
    <s v="9434148418"/>
    <n v="1.5"/>
    <n v="53"/>
    <x v="3"/>
    <m/>
    <s v="2026-02-26"/>
    <s v="280729"/>
    <s v="M/s. Naresh Chandra Das"/>
    <s v="7365868045"/>
  </r>
  <r>
    <s v="RCF Thal"/>
    <s v="N.C.Urea(45kg)"/>
    <s v="WB"/>
    <x v="17"/>
    <s v="Karimpur - II"/>
    <s v="User Not Mapped"/>
    <s v="User Not Mapped"/>
    <s v="User Not Mapped"/>
    <n v="1269198"/>
    <s v="DELUAR HOSSAIN SAIKH"/>
    <s v="Private Retailer"/>
    <s v="7029038874"/>
    <n v="0.09"/>
    <n v="1244"/>
    <x v="2"/>
    <m/>
    <s v="2022-11-23"/>
    <s v="280729"/>
    <s v="M/s. Naresh Chandra Das"/>
    <s v="7365868045"/>
  </r>
  <r>
    <s v="RCF Trombay"/>
    <s v="15-15-15"/>
    <s v="WB"/>
    <x v="17"/>
    <s v="Tehatta - I"/>
    <s v="User Not Mapped"/>
    <s v="User Not Mapped"/>
    <s v="User Not Mapped"/>
    <n v="413622"/>
    <s v="Dilip Kr Joarder"/>
    <s v="Private Retailer"/>
    <s v="8001233197"/>
    <n v="1.325"/>
    <n v="84"/>
    <x v="6"/>
    <m/>
    <s v="2026-01-26"/>
    <s v="280729"/>
    <s v="M/s. Naresh Chandra Das"/>
    <s v="7365868045"/>
  </r>
  <r>
    <s v="RCF Import"/>
    <s v="MOP"/>
    <s v="WB"/>
    <x v="17"/>
    <s v="Tehatta - II"/>
    <s v="User Not Mapped"/>
    <s v="User Not Mapped"/>
    <s v="User Not Mapped"/>
    <n v="438932"/>
    <s v="Emdadul Hoque"/>
    <s v="Private Retailer"/>
    <s v="9733944926"/>
    <n v="10"/>
    <n v="58"/>
    <x v="3"/>
    <m/>
    <s v="2026-02-21"/>
    <s v="280729"/>
    <s v="M/s. Naresh Chandra Das"/>
    <s v="7365868045"/>
  </r>
  <r>
    <s v="RCF Trombay"/>
    <s v="15-15-15"/>
    <s v="WB"/>
    <x v="17"/>
    <s v="Chapra"/>
    <s v="User Not Mapped"/>
    <s v="User Not Mapped"/>
    <s v="User Not Mapped"/>
    <n v="941260"/>
    <s v="ETI GHOSH"/>
    <s v="Private Retailer"/>
    <s v="6297538359"/>
    <n v="3"/>
    <n v="42"/>
    <x v="3"/>
    <m/>
    <s v="2026-03-09"/>
    <s v="280729"/>
    <s v="M/s. Naresh Chandra Das"/>
    <s v="7365868045"/>
  </r>
  <r>
    <s v="RCF Trombay"/>
    <s v="15-15-15"/>
    <s v="WB"/>
    <x v="17"/>
    <s v="Nabadwip"/>
    <s v="User Not Mapped"/>
    <s v="User Not Mapped"/>
    <s v="User Not Mapped"/>
    <n v="1470904"/>
    <s v="Ganga Traders"/>
    <s v="Private Retailer"/>
    <s v="8637093711"/>
    <n v="0.25"/>
    <n v="355"/>
    <x v="1"/>
    <m/>
    <s v="2025-04-30"/>
    <s v="280729"/>
    <s v="M/s. Naresh Chandra Das"/>
    <s v="7365868045"/>
  </r>
  <r>
    <s v="RCF Trombay"/>
    <s v="15-15-15"/>
    <s v="WB"/>
    <x v="17"/>
    <s v="Krishnagar - I"/>
    <s v="User Not Mapped"/>
    <s v="User Not Mapped"/>
    <s v="User Not Mapped"/>
    <n v="218905"/>
    <s v="GAUTAM KUNDU"/>
    <s v="Private Retailer"/>
    <s v="8967715814"/>
    <n v="0.25"/>
    <n v="65"/>
    <x v="6"/>
    <m/>
    <s v="2026-02-14"/>
    <s v="280729"/>
    <s v="M/s. Naresh Chandra Das"/>
    <s v="7365868045"/>
  </r>
  <r>
    <s v="RCF Trombay"/>
    <s v="15-15-15"/>
    <s v="WB"/>
    <x v="17"/>
    <s v="Krishnagar - I"/>
    <s v="User Not Mapped"/>
    <s v="User Not Mapped"/>
    <s v="User Not Mapped"/>
    <n v="218905"/>
    <s v="GAUTAM KUNDU"/>
    <s v="Private Retailer"/>
    <s v="8967715814"/>
    <n v="0.1"/>
    <n v="150"/>
    <x v="4"/>
    <m/>
    <s v="2025-11-21"/>
    <s v="280729"/>
    <s v="M/s. Naresh Chandra Das"/>
    <s v="7365868045"/>
  </r>
  <r>
    <s v="RCF Trombay"/>
    <s v="15-15-15"/>
    <s v="WB"/>
    <x v="17"/>
    <s v="Krishnagar - I"/>
    <s v="User Not Mapped"/>
    <s v="User Not Mapped"/>
    <s v="User Not Mapped"/>
    <n v="1002899"/>
    <s v="GHOSH FERTILISER "/>
    <s v="Private Retailer"/>
    <s v="9733065729"/>
    <n v="0.15"/>
    <n v="69"/>
    <x v="6"/>
    <m/>
    <s v="2026-02-10"/>
    <s v="280729"/>
    <s v="M/s. Naresh Chandra Das"/>
    <s v="7365868045"/>
  </r>
  <r>
    <s v="RCF Trombay"/>
    <s v="15-15-15"/>
    <s v="WB"/>
    <x v="17"/>
    <s v="Krishnagar - I"/>
    <s v="User Not Mapped"/>
    <s v="User Not Mapped"/>
    <s v="User Not Mapped"/>
    <n v="1002899"/>
    <s v="GHOSH FERTILISER "/>
    <s v="Private Retailer"/>
    <s v="9733065729"/>
    <n v="0.15"/>
    <n v="40"/>
    <x v="3"/>
    <m/>
    <s v="2026-03-11"/>
    <s v="280729"/>
    <s v="M/s. Naresh Chandra Das"/>
    <s v="7365868045"/>
  </r>
  <r>
    <s v="RCF Trombay"/>
    <s v="N.C.Urea(45kg)"/>
    <s v="WB"/>
    <x v="17"/>
    <s v="Krishnagar - I"/>
    <s v="User Not Mapped"/>
    <s v="User Not Mapped"/>
    <s v="User Not Mapped"/>
    <n v="1002899"/>
    <s v="GHOSH FERTILISER "/>
    <s v="Private Retailer"/>
    <s v="9733065729"/>
    <n v="0.9"/>
    <n v="79"/>
    <x v="6"/>
    <m/>
    <s v="2026-01-31"/>
    <s v="280729"/>
    <s v="M/s. Naresh Chandra Das"/>
    <s v="7365868045"/>
  </r>
  <r>
    <s v="RCF Thal"/>
    <s v="N.C.Urea(45kg)"/>
    <s v="WB"/>
    <x v="17"/>
    <s v="Krishnagar - I"/>
    <s v="User Not Mapped"/>
    <s v="User Not Mapped"/>
    <s v="User Not Mapped"/>
    <n v="1002899"/>
    <s v="GHOSH FERTILISER "/>
    <s v="Private Retailer"/>
    <s v="9733065729"/>
    <n v="0.81"/>
    <n v="186"/>
    <x v="1"/>
    <m/>
    <s v="2025-10-16"/>
    <s v="280729"/>
    <s v="M/s. Naresh Chandra Das"/>
    <s v="7365868045"/>
  </r>
  <r>
    <s v="RCF Thal"/>
    <s v="N.C.Urea(45kg)"/>
    <s v="WB"/>
    <x v="17"/>
    <s v="Krishnagar - I"/>
    <s v="User Not Mapped"/>
    <s v="User Not Mapped"/>
    <s v="User Not Mapped"/>
    <n v="1002899"/>
    <s v="GHOSH FERTILISER "/>
    <s v="Private Retailer"/>
    <s v="9733065729"/>
    <n v="1.26"/>
    <n v="195"/>
    <x v="1"/>
    <m/>
    <s v="2025-10-07"/>
    <s v="280729"/>
    <s v="M/s. Naresh Chandra Das"/>
    <s v="7365868045"/>
  </r>
  <r>
    <s v="RCF Trombay"/>
    <s v="15-15-15"/>
    <s v="WB"/>
    <x v="17"/>
    <s v="Chapra"/>
    <s v="User Not Mapped"/>
    <s v="User Not Mapped"/>
    <s v="User Not Mapped"/>
    <n v="1062935"/>
    <s v="GHOSH FERTILIZER"/>
    <s v="Private Retailer"/>
    <s v="8972507624"/>
    <n v="1.35"/>
    <n v="52"/>
    <x v="3"/>
    <m/>
    <s v="2026-02-27"/>
    <s v="280729"/>
    <s v="M/s. Naresh Chandra Das"/>
    <s v="7365868045"/>
  </r>
  <r>
    <s v="RCF Trombay"/>
    <s v="N.C.Urea(45kg)"/>
    <s v="WB"/>
    <x v="17"/>
    <s v="Krishnagar - I"/>
    <s v="User Not Mapped"/>
    <s v="User Not Mapped"/>
    <s v="User Not Mapped"/>
    <n v="440424"/>
    <s v="Ghosh Fertilizer"/>
    <s v="Private Retailer"/>
    <s v="9635624240"/>
    <n v="0.315"/>
    <n v="52"/>
    <x v="3"/>
    <m/>
    <s v="2026-02-27"/>
    <s v="280729"/>
    <s v="M/s. Naresh Chandra Das"/>
    <s v="7365868045"/>
  </r>
  <r>
    <s v="RCF Import"/>
    <s v="Imp 10-26-26"/>
    <s v="WB"/>
    <x v="17"/>
    <s v="Krishnagar - I"/>
    <s v="User Not Mapped"/>
    <s v="User Not Mapped"/>
    <s v="User Not Mapped"/>
    <n v="440424"/>
    <s v="Ghosh Fertilizer"/>
    <s v="Private Retailer"/>
    <s v="9635624240"/>
    <n v="0.25"/>
    <n v="452"/>
    <x v="0"/>
    <m/>
    <s v="2025-01-23"/>
    <s v="280729"/>
    <s v="M/s. Naresh Chandra Das"/>
    <s v="7365868045"/>
  </r>
  <r>
    <s v="RCF Trombay"/>
    <s v="N.C.Urea(45kg)"/>
    <s v="WB"/>
    <x v="17"/>
    <s v="Krishnagar - I"/>
    <s v="User Not Mapped"/>
    <s v="User Not Mapped"/>
    <s v="User Not Mapped"/>
    <n v="440424"/>
    <s v="Ghosh Fertilizer"/>
    <s v="Private Retailer"/>
    <s v="9635624240"/>
    <n v="1.35"/>
    <n v="220"/>
    <x v="1"/>
    <m/>
    <s v="2025-09-12"/>
    <s v="280729"/>
    <s v="M/s. Naresh Chandra Das"/>
    <s v="7365868045"/>
  </r>
  <r>
    <s v="RCF Trombay"/>
    <s v="N.C.Urea(45kg)"/>
    <s v="WB"/>
    <x v="17"/>
    <s v="Krishnagar - I"/>
    <s v="User Not Mapped"/>
    <s v="User Not Mapped"/>
    <s v="User Not Mapped"/>
    <n v="440424"/>
    <s v="Ghosh Fertilizer"/>
    <s v="Private Retailer"/>
    <s v="9635624240"/>
    <n v="0.72"/>
    <n v="236"/>
    <x v="1"/>
    <m/>
    <s v="2025-08-27"/>
    <s v="280729"/>
    <s v="M/s. Naresh Chandra Das"/>
    <s v="7365868045"/>
  </r>
  <r>
    <s v="RCF Trombay"/>
    <s v="N.C.Urea(45kg)"/>
    <s v="WB"/>
    <x v="17"/>
    <s v="Krishnagar - I"/>
    <s v="User Not Mapped"/>
    <s v="User Not Mapped"/>
    <s v="User Not Mapped"/>
    <n v="440424"/>
    <s v="Ghosh Fertilizer"/>
    <s v="Private Retailer"/>
    <s v="9635624240"/>
    <n v="0.67500000000000004"/>
    <n v="136"/>
    <x v="4"/>
    <m/>
    <s v="2025-12-05"/>
    <s v="280729"/>
    <s v="M/s. Naresh Chandra Das"/>
    <s v="7365868045"/>
  </r>
  <r>
    <s v="RCF Trombay"/>
    <s v="15-15-15"/>
    <s v="WB"/>
    <x v="17"/>
    <s v="Krishnagar - I"/>
    <s v="User Not Mapped"/>
    <s v="User Not Mapped"/>
    <s v="User Not Mapped"/>
    <n v="440424"/>
    <s v="Ghosh Fertilizer"/>
    <s v="Private Retailer"/>
    <s v="9635624240"/>
    <n v="0.4"/>
    <n v="79"/>
    <x v="6"/>
    <m/>
    <s v="2026-01-31"/>
    <s v="280729"/>
    <s v="M/s. Naresh Chandra Das"/>
    <s v="7365868045"/>
  </r>
  <r>
    <s v="RCF Trombay"/>
    <s v="15-15-15"/>
    <s v="WB"/>
    <x v="17"/>
    <s v="Krishnagar - I"/>
    <s v="User Not Mapped"/>
    <s v="User Not Mapped"/>
    <s v="User Not Mapped"/>
    <n v="440424"/>
    <s v="Ghosh Fertilizer"/>
    <s v="Private Retailer"/>
    <s v="9635624240"/>
    <n v="0.5"/>
    <n v="66"/>
    <x v="6"/>
    <m/>
    <s v="2026-02-13"/>
    <s v="280729"/>
    <s v="M/s. Naresh Chandra Das"/>
    <s v="7365868045"/>
  </r>
  <r>
    <s v="RCF Import"/>
    <s v="MOP"/>
    <s v="WB"/>
    <x v="17"/>
    <s v="Krishnagar - I"/>
    <s v="User Not Mapped"/>
    <s v="User Not Mapped"/>
    <s v="User Not Mapped"/>
    <n v="440424"/>
    <s v="Ghosh Fertilizer"/>
    <s v="Private Retailer"/>
    <s v="9635624240"/>
    <n v="0.25"/>
    <n v="52"/>
    <x v="3"/>
    <m/>
    <s v="2026-02-27"/>
    <s v="280729"/>
    <s v="M/s. Naresh Chandra Das"/>
    <s v="7365868045"/>
  </r>
  <r>
    <s v="RCF Thal"/>
    <s v="N.C.Urea(45kg)"/>
    <s v="WB"/>
    <x v="17"/>
    <s v="Krishnagar - I"/>
    <s v="User Not Mapped"/>
    <s v="User Not Mapped"/>
    <s v="User Not Mapped"/>
    <n v="440424"/>
    <s v="Ghosh Fertilizer"/>
    <s v="Private Retailer"/>
    <s v="9635624240"/>
    <n v="0.45"/>
    <n v="31"/>
    <x v="3"/>
    <m/>
    <s v="2026-03-20"/>
    <s v="280729"/>
    <s v="M/s. Naresh Chandra Das"/>
    <s v="7365868045"/>
  </r>
  <r>
    <s v="RCF Trombay"/>
    <s v="15-15-15"/>
    <s v="WB"/>
    <x v="17"/>
    <s v="Krishnagar - I"/>
    <s v="User Not Mapped"/>
    <s v="User Not Mapped"/>
    <s v="User Not Mapped"/>
    <n v="440424"/>
    <s v="Ghosh Fertilizer"/>
    <s v="Private Retailer"/>
    <s v="9635624240"/>
    <n v="0.5"/>
    <n v="31"/>
    <x v="3"/>
    <m/>
    <s v="2026-03-20"/>
    <s v="280729"/>
    <s v="M/s. Naresh Chandra Das"/>
    <s v="7365868045"/>
  </r>
  <r>
    <s v="RCF Trombay"/>
    <s v="15-15-15"/>
    <s v="WB"/>
    <x v="17"/>
    <s v="Krishnagar - I"/>
    <s v="User Not Mapped"/>
    <s v="User Not Mapped"/>
    <s v="User Not Mapped"/>
    <n v="440424"/>
    <s v="Ghosh Fertilizer"/>
    <s v="Private Retailer"/>
    <s v="9635624240"/>
    <n v="0.25"/>
    <n v="25"/>
    <x v="5"/>
    <m/>
    <s v="2026-03-26"/>
    <s v="280729"/>
    <s v="M/s. Naresh Chandra Das"/>
    <s v="7365868045"/>
  </r>
  <r>
    <s v="RCF Import"/>
    <s v="MOP"/>
    <s v="WB"/>
    <x v="17"/>
    <s v="Krishnagar - I"/>
    <s v="User Not Mapped"/>
    <s v="User Not Mapped"/>
    <s v="User Not Mapped"/>
    <n v="440424"/>
    <s v="Ghosh Fertilizer"/>
    <s v="Private Retailer"/>
    <s v="9635624240"/>
    <n v="0.65"/>
    <n v="25"/>
    <x v="5"/>
    <m/>
    <s v="2026-03-26"/>
    <s v="280729"/>
    <s v="M/s. Naresh Chandra Das"/>
    <s v="7365868045"/>
  </r>
  <r>
    <s v="RCF Thal"/>
    <s v="N.C.Urea(45kg)"/>
    <s v="WB"/>
    <x v="17"/>
    <s v="Ranaghat - I"/>
    <s v="User Not Mapped"/>
    <s v="User Not Mapped"/>
    <s v="User Not Mapped"/>
    <n v="487956"/>
    <s v="Ghosh Fertilizer"/>
    <s v="Private Retailer"/>
    <s v="8972431535"/>
    <n v="0.18"/>
    <n v="1057"/>
    <x v="2"/>
    <m/>
    <s v="2023-05-29"/>
    <s v="280729"/>
    <s v="M/s. Naresh Chandra Das"/>
    <s v="7365868045"/>
  </r>
  <r>
    <s v="RCF Thal"/>
    <s v="N.C.Urea(45kg)"/>
    <s v="WB"/>
    <x v="17"/>
    <s v="Santipur"/>
    <s v="User Not Mapped"/>
    <s v="User Not Mapped"/>
    <s v="User Not Mapped"/>
    <n v="1037493"/>
    <s v="GOPAL CHANDRA DHANI"/>
    <s v="Private Retailer"/>
    <s v="9474127741"/>
    <n v="0.45"/>
    <n v="5"/>
    <x v="5"/>
    <m/>
    <s v="2026-04-15"/>
    <s v="280729"/>
    <s v="M/s. Naresh Chandra Das"/>
    <s v="7365868045"/>
  </r>
  <r>
    <s v="RCF Thal"/>
    <s v="N.C.Urea(45kg)"/>
    <s v="WB"/>
    <x v="17"/>
    <m/>
    <s v="User Not Mapped"/>
    <s v="User Not Mapped"/>
    <s v="User Not Mapped"/>
    <n v="1063058"/>
    <s v="GOPAL FERTILIZER"/>
    <s v="Private Retailer"/>
    <s v="8116986309"/>
    <n v="2.835"/>
    <n v="1192"/>
    <x v="2"/>
    <m/>
    <s v="2023-01-14"/>
    <s v="280729"/>
    <s v="M/s. Naresh Chandra Das"/>
    <s v="7365868045"/>
  </r>
  <r>
    <s v="RCF Trombay"/>
    <s v="15-15-15"/>
    <s v="WB"/>
    <x v="17"/>
    <s v="Krishnagar - II"/>
    <s v="User Not Mapped"/>
    <s v="User Not Mapped"/>
    <s v="User Not Mapped"/>
    <n v="212097"/>
    <s v="Goutam Biswas"/>
    <s v="Private Retailer"/>
    <s v="9064160771"/>
    <n v="1.25"/>
    <n v="84"/>
    <x v="6"/>
    <m/>
    <s v="2026-01-26"/>
    <s v="280729"/>
    <s v="M/s. Naresh Chandra Das"/>
    <s v="7365868045"/>
  </r>
  <r>
    <s v="RCF Trombay"/>
    <s v="N.C.Urea(45kg)"/>
    <s v="WB"/>
    <x v="17"/>
    <s v="Krishnagar - II"/>
    <s v="User Not Mapped"/>
    <s v="User Not Mapped"/>
    <s v="User Not Mapped"/>
    <n v="212097"/>
    <s v="Goutam Biswas"/>
    <s v="Private Retailer"/>
    <s v="9064160771"/>
    <n v="2.0699999999999998"/>
    <n v="84"/>
    <x v="6"/>
    <m/>
    <s v="2026-01-26"/>
    <s v="280729"/>
    <s v="M/s. Naresh Chandra Das"/>
    <s v="7365868045"/>
  </r>
  <r>
    <s v="RCF Thal"/>
    <s v="N.C.Urea(45kg)"/>
    <s v="WB"/>
    <x v="17"/>
    <s v="Ranaghat - II"/>
    <s v="User Not Mapped"/>
    <s v="User Not Mapped"/>
    <s v="User Not Mapped"/>
    <n v="463343"/>
    <s v="HALDAR FERTILIZERS"/>
    <s v="Private Retailer"/>
    <s v="9735356582"/>
    <n v="4.8600000000000003"/>
    <n v="31"/>
    <x v="3"/>
    <m/>
    <s v="2026-03-20"/>
    <s v="280729"/>
    <s v="M/s. Naresh Chandra Das"/>
    <s v="7365868045"/>
  </r>
  <r>
    <s v="RCF Trombay"/>
    <s v="15-15-15"/>
    <s v="WB"/>
    <x v="17"/>
    <s v="Chapra"/>
    <s v="User Not Mapped"/>
    <s v="User Not Mapped"/>
    <s v="User Not Mapped"/>
    <n v="440446"/>
    <s v="Halder Fertilizer"/>
    <s v="Private Retailer"/>
    <s v="9734668006"/>
    <n v="4"/>
    <n v="52"/>
    <x v="3"/>
    <m/>
    <s v="2026-02-27"/>
    <s v="280729"/>
    <s v="M/s. Naresh Chandra Das"/>
    <s v="7365868045"/>
  </r>
  <r>
    <s v="RCF Thal"/>
    <s v="N.C.Urea(45kg)"/>
    <s v="WB"/>
    <x v="17"/>
    <s v="Ranaghat - II"/>
    <s v="User Not Mapped"/>
    <s v="User Not Mapped"/>
    <s v="User Not Mapped"/>
    <n v="943300"/>
    <s v="HARALAL ROY"/>
    <s v="Private Retailer"/>
    <s v="9679478452"/>
    <n v="4.79"/>
    <n v="1176"/>
    <x v="2"/>
    <m/>
    <s v="2023-01-30"/>
    <s v="280729"/>
    <s v="M/s. Naresh Chandra Das"/>
    <s v="7365868045"/>
  </r>
  <r>
    <s v="RCF Trombay"/>
    <s v="15-15-15"/>
    <s v="WB"/>
    <x v="17"/>
    <s v="Tehatta - I"/>
    <s v="User Not Mapped"/>
    <s v="User Not Mapped"/>
    <s v="User Not Mapped"/>
    <n v="294880"/>
    <s v="HARIPADA PAL"/>
    <s v="Private Retailer"/>
    <s v="9046278214"/>
    <n v="4.55"/>
    <n v="168"/>
    <x v="4"/>
    <m/>
    <s v="2025-11-03"/>
    <s v="280729"/>
    <s v="M/s. Naresh Chandra Das"/>
    <s v="7365868045"/>
  </r>
  <r>
    <s v="RCF Trombay"/>
    <s v="N.C.Urea(45kg)"/>
    <s v="WB"/>
    <x v="17"/>
    <s v="Nakashipara"/>
    <s v="User Not Mapped"/>
    <s v="User Not Mapped"/>
    <s v="User Not Mapped"/>
    <n v="630234"/>
    <s v="Indrajit Dey"/>
    <s v="Private Retailer"/>
    <s v="8945070441"/>
    <n v="1.35"/>
    <n v="508"/>
    <x v="0"/>
    <m/>
    <s v="2024-11-28"/>
    <s v="280729"/>
    <s v="M/s. Naresh Chandra Das"/>
    <s v="7365868045"/>
  </r>
  <r>
    <s v="RCF Thal"/>
    <s v="N.C.Urea(45kg)"/>
    <s v="WB"/>
    <x v="17"/>
    <s v="Santipur"/>
    <s v="User Not Mapped"/>
    <s v="User Not Mapped"/>
    <s v="User Not Mapped"/>
    <n v="355044"/>
    <s v="Intaz Ali Jahangir"/>
    <s v="Private Retailer"/>
    <s v="9064381128"/>
    <n v="1.53"/>
    <n v="31"/>
    <x v="3"/>
    <m/>
    <s v="2026-03-20"/>
    <s v="280729"/>
    <s v="M/s. Naresh Chandra Das"/>
    <s v="7365868045"/>
  </r>
  <r>
    <s v="RCF Trombay"/>
    <s v="N.C.Urea(45kg)"/>
    <s v="WB"/>
    <x v="17"/>
    <s v="Hanskhali"/>
    <s v="User Not Mapped"/>
    <s v="User Not Mapped"/>
    <s v="User Not Mapped"/>
    <n v="341502"/>
    <s v="Jadugopal Ray"/>
    <s v="Private Retailer"/>
    <s v="9547202753"/>
    <n v="0.9"/>
    <n v="2296"/>
    <x v="2"/>
    <m/>
    <s v="2020-01-06"/>
    <s v="280729"/>
    <s v="M/s. Naresh Chandra Das"/>
    <s v="7365868045"/>
  </r>
  <r>
    <s v="RCF Trombay"/>
    <s v="15-15-15"/>
    <s v="WB"/>
    <x v="17"/>
    <s v="Krishnagar - I"/>
    <s v="User Not Mapped"/>
    <s v="User Not Mapped"/>
    <s v="User Not Mapped"/>
    <n v="439038"/>
    <s v="Jagabandhu Mondal"/>
    <s v="Private Retailer"/>
    <s v="9832856750"/>
    <n v="0.8"/>
    <n v="172"/>
    <x v="4"/>
    <m/>
    <s v="2025-10-30"/>
    <s v="280729"/>
    <s v="M/s. Naresh Chandra Das"/>
    <s v="7365868045"/>
  </r>
  <r>
    <s v="RCF Trombay"/>
    <s v="N.C.Urea(45kg)"/>
    <s v="WB"/>
    <x v="17"/>
    <s v="Krishnagar - I"/>
    <s v="User Not Mapped"/>
    <s v="User Not Mapped"/>
    <s v="User Not Mapped"/>
    <n v="439038"/>
    <s v="Jagabandhu Mondal"/>
    <s v="Private Retailer"/>
    <s v="9832856750"/>
    <n v="0.09"/>
    <n v="223"/>
    <x v="1"/>
    <m/>
    <s v="2025-09-09"/>
    <s v="280729"/>
    <s v="M/s. Naresh Chandra Das"/>
    <s v="7365868045"/>
  </r>
  <r>
    <s v="RCF Trombay"/>
    <s v="N.C.Urea(45kg)"/>
    <s v="WB"/>
    <x v="17"/>
    <s v="Nakashipara"/>
    <s v="User Not Mapped"/>
    <s v="User Not Mapped"/>
    <s v="User Not Mapped"/>
    <n v="412352"/>
    <s v="Jahangir Alam"/>
    <s v="Private Retailer"/>
    <s v="9733506526"/>
    <n v="0.36"/>
    <n v="851"/>
    <x v="2"/>
    <m/>
    <s v="2023-12-21"/>
    <s v="280729"/>
    <s v="M/s. Naresh Chandra Das"/>
    <s v="7365868045"/>
  </r>
  <r>
    <s v="RCF Trombay"/>
    <s v="15-15-15"/>
    <s v="WB"/>
    <x v="17"/>
    <m/>
    <s v="User Not Mapped"/>
    <s v="User Not Mapped"/>
    <s v="User Not Mapped"/>
    <n v="440730"/>
    <s v="Jatin Biswas"/>
    <s v="Private Retailer"/>
    <s v="8798144535"/>
    <n v="0.25"/>
    <n v="919"/>
    <x v="2"/>
    <m/>
    <s v="2023-10-14"/>
    <s v="280729"/>
    <s v="M/s. Naresh Chandra Das"/>
    <s v="7365868045"/>
  </r>
  <r>
    <s v="RCF Trombay"/>
    <s v="N.C.Urea(45kg)"/>
    <s v="WB"/>
    <x v="17"/>
    <s v="Nakashipara"/>
    <s v="User Not Mapped"/>
    <s v="User Not Mapped"/>
    <s v="User Not Mapped"/>
    <n v="413564"/>
    <s v="Jayanta Kumar Ghosh"/>
    <s v="Private Retailer"/>
    <s v="9932243784"/>
    <n v="0.27"/>
    <n v="569"/>
    <x v="2"/>
    <m/>
    <s v="2024-09-28"/>
    <s v="280729"/>
    <s v="M/s. Naresh Chandra Das"/>
    <s v="7365868045"/>
  </r>
  <r>
    <s v="RCF Thal"/>
    <s v="N.C.Urea(45kg)"/>
    <s v="WB"/>
    <x v="17"/>
    <s v="Krishnagar - I"/>
    <s v="User Not Mapped"/>
    <s v="User Not Mapped"/>
    <s v="User Not Mapped"/>
    <n v="1017516"/>
    <s v="JAYDEB GHOSH"/>
    <s v="Private Retailer"/>
    <s v="9563444742"/>
    <n v="0.67500000000000004"/>
    <n v="5"/>
    <x v="5"/>
    <m/>
    <s v="2026-04-15"/>
    <s v="280729"/>
    <s v="M/s. Naresh Chandra Das"/>
    <s v="7365868045"/>
  </r>
  <r>
    <s v="RCF Thal"/>
    <s v="N.C.Urea(45kg)"/>
    <s v="WB"/>
    <x v="17"/>
    <s v="Hanskhali"/>
    <s v="User Not Mapped"/>
    <s v="User Not Mapped"/>
    <s v="User Not Mapped"/>
    <n v="341553"/>
    <s v="Joyanta Sarkar"/>
    <s v="Private Retailer"/>
    <s v="9800102524"/>
    <n v="2.9249999999999998"/>
    <n v="189"/>
    <x v="1"/>
    <m/>
    <s v="2025-10-13"/>
    <s v="280729"/>
    <s v="M/s. Naresh Chandra Das"/>
    <s v="7365868045"/>
  </r>
  <r>
    <s v="RCF Trombay"/>
    <s v="15-15-15"/>
    <s v="WB"/>
    <x v="17"/>
    <s v="Krishnagar - I"/>
    <s v="User Not Mapped"/>
    <s v="User Not Mapped"/>
    <s v="User Not Mapped"/>
    <n v="1063154"/>
    <s v="JOYDEB GHOSH"/>
    <s v="Private Retailer"/>
    <s v="9474677183"/>
    <n v="0.3"/>
    <n v="69"/>
    <x v="6"/>
    <m/>
    <s v="2026-02-10"/>
    <s v="280729"/>
    <s v="M/s. Naresh Chandra Das"/>
    <s v="7365868045"/>
  </r>
  <r>
    <s v="RCF Trombay"/>
    <s v="N.C.Urea(45kg)"/>
    <s v="WB"/>
    <x v="17"/>
    <s v="Krishnagar - I"/>
    <s v="User Not Mapped"/>
    <s v="User Not Mapped"/>
    <s v="User Not Mapped"/>
    <n v="1063154"/>
    <s v="JOYDEB GHOSH"/>
    <s v="Private Retailer"/>
    <s v="9474677183"/>
    <n v="0.495"/>
    <n v="69"/>
    <x v="6"/>
    <m/>
    <s v="2026-02-10"/>
    <s v="280729"/>
    <s v="M/s. Naresh Chandra Das"/>
    <s v="7365868045"/>
  </r>
  <r>
    <s v="RCF Thal"/>
    <s v="N.C.Urea(45kg)"/>
    <s v="WB"/>
    <x v="17"/>
    <s v="Krishnagar - I"/>
    <s v="User Not Mapped"/>
    <s v="User Not Mapped"/>
    <s v="User Not Mapped"/>
    <n v="355089"/>
    <s v="Kalam Uddin Shaikh"/>
    <s v="Private Retailer"/>
    <s v="9474867019"/>
    <n v="0.45"/>
    <n v="128"/>
    <x v="4"/>
    <m/>
    <s v="2025-12-13"/>
    <s v="280729"/>
    <s v="M/s. Naresh Chandra Das"/>
    <s v="7365868045"/>
  </r>
  <r>
    <s v="RCF Trombay"/>
    <s v="15-15-15"/>
    <s v="WB"/>
    <x v="17"/>
    <s v="Krishnagar - I"/>
    <s v="User Not Mapped"/>
    <s v="User Not Mapped"/>
    <s v="User Not Mapped"/>
    <n v="355089"/>
    <s v="Kalam Uddin Shaikh"/>
    <s v="Private Retailer"/>
    <s v="9474867019"/>
    <n v="0.05"/>
    <n v="69"/>
    <x v="6"/>
    <m/>
    <s v="2026-02-10"/>
    <s v="280729"/>
    <s v="M/s. Naresh Chandra Das"/>
    <s v="7365868045"/>
  </r>
  <r>
    <s v="RCF Trombay"/>
    <s v="N.C.Urea(45kg)"/>
    <s v="WB"/>
    <x v="17"/>
    <s v="Krishnagar - I"/>
    <s v="User Not Mapped"/>
    <s v="User Not Mapped"/>
    <s v="User Not Mapped"/>
    <n v="355089"/>
    <s v="Kalam Uddin Shaikh"/>
    <s v="Private Retailer"/>
    <s v="9474867019"/>
    <n v="0.22500000000000001"/>
    <n v="79"/>
    <x v="6"/>
    <m/>
    <s v="2026-01-31"/>
    <s v="280729"/>
    <s v="M/s. Naresh Chandra Das"/>
    <s v="7365868045"/>
  </r>
  <r>
    <s v="RCF Trombay"/>
    <s v="15-15-15"/>
    <s v="WB"/>
    <x v="17"/>
    <s v="Krishnagar - I"/>
    <s v="User Not Mapped"/>
    <s v="User Not Mapped"/>
    <s v="User Not Mapped"/>
    <n v="355089"/>
    <s v="Kalam Uddin Shaikh"/>
    <s v="Private Retailer"/>
    <s v="9474867019"/>
    <n v="0.05"/>
    <n v="53"/>
    <x v="3"/>
    <m/>
    <s v="2026-02-26"/>
    <s v="280729"/>
    <s v="M/s. Naresh Chandra Das"/>
    <s v="7365868045"/>
  </r>
  <r>
    <s v="RCF Trombay"/>
    <s v="15-15-15"/>
    <s v="WB"/>
    <x v="17"/>
    <s v="Krishnagar - I"/>
    <s v="User Not Mapped"/>
    <s v="User Not Mapped"/>
    <s v="User Not Mapped"/>
    <n v="355089"/>
    <s v="Kalam Uddin Shaikh"/>
    <s v="Private Retailer"/>
    <s v="9474867019"/>
    <n v="0.05"/>
    <n v="40"/>
    <x v="3"/>
    <m/>
    <s v="2026-03-11"/>
    <s v="280729"/>
    <s v="M/s. Naresh Chandra Das"/>
    <s v="7365868045"/>
  </r>
  <r>
    <s v="RCF Trombay"/>
    <s v="15-15-15"/>
    <s v="WB"/>
    <x v="17"/>
    <s v="Krishnagar - I"/>
    <s v="User Not Mapped"/>
    <s v="User Not Mapped"/>
    <s v="User Not Mapped"/>
    <n v="355089"/>
    <s v="Kalam Uddin Shaikh"/>
    <s v="Private Retailer"/>
    <s v="9474867019"/>
    <n v="0.1"/>
    <n v="459"/>
    <x v="0"/>
    <m/>
    <s v="2025-01-16"/>
    <s v="280729"/>
    <s v="M/s. Naresh Chandra Das"/>
    <s v="7365868045"/>
  </r>
  <r>
    <s v="RCF Trombay"/>
    <s v="N.C.Urea(45kg)"/>
    <s v="WB"/>
    <x v="17"/>
    <s v="Krishnagar - I"/>
    <s v="User Not Mapped"/>
    <s v="User Not Mapped"/>
    <s v="User Not Mapped"/>
    <n v="355089"/>
    <s v="Kalam Uddin Shaikh"/>
    <s v="Private Retailer"/>
    <s v="9474867019"/>
    <n v="4.4999999999999998E-2"/>
    <n v="430"/>
    <x v="0"/>
    <m/>
    <s v="2025-02-14"/>
    <s v="280729"/>
    <s v="M/s. Naresh Chandra Das"/>
    <s v="7365868045"/>
  </r>
  <r>
    <s v="RCF Trombay"/>
    <s v="N.C.Urea(45kg)"/>
    <s v="WB"/>
    <x v="17"/>
    <s v="Krishnagar - I"/>
    <s v="User Not Mapped"/>
    <s v="User Not Mapped"/>
    <s v="User Not Mapped"/>
    <n v="355089"/>
    <s v="Kalam Uddin Shaikh"/>
    <s v="Private Retailer"/>
    <s v="9474867019"/>
    <n v="0.13500000000000001"/>
    <n v="420"/>
    <x v="0"/>
    <m/>
    <s v="2025-02-24"/>
    <s v="280729"/>
    <s v="M/s. Naresh Chandra Das"/>
    <s v="7365868045"/>
  </r>
  <r>
    <s v="RCF Thal"/>
    <s v="N.C.Urea(45kg)"/>
    <s v="WB"/>
    <x v="17"/>
    <s v="Krishnagar - I"/>
    <s v="User Not Mapped"/>
    <s v="User Not Mapped"/>
    <s v="User Not Mapped"/>
    <n v="355089"/>
    <s v="Kalam Uddin Shaikh"/>
    <s v="Private Retailer"/>
    <s v="9474867019"/>
    <n v="0.22500000000000001"/>
    <n v="40"/>
    <x v="3"/>
    <m/>
    <s v="2026-03-11"/>
    <s v="280729"/>
    <s v="M/s. Naresh Chandra Das"/>
    <s v="7365868045"/>
  </r>
  <r>
    <s v="RCF Trombay"/>
    <s v="15-15-15"/>
    <s v="WB"/>
    <x v="17"/>
    <s v="Krishnagar - I"/>
    <s v="User Not Mapped"/>
    <s v="User Not Mapped"/>
    <s v="User Not Mapped"/>
    <n v="355089"/>
    <s v="Kalam Uddin Shaikh"/>
    <s v="Private Retailer"/>
    <s v="9474867019"/>
    <n v="0.35"/>
    <n v="394"/>
    <x v="0"/>
    <m/>
    <s v="2025-03-22"/>
    <s v="280729"/>
    <s v="M/s. Naresh Chandra Das"/>
    <s v="7365868045"/>
  </r>
  <r>
    <s v="RCF Trombay"/>
    <s v="15-15-15"/>
    <s v="WB"/>
    <x v="17"/>
    <s v="Krishnagar - I"/>
    <s v="User Not Mapped"/>
    <s v="User Not Mapped"/>
    <s v="User Not Mapped"/>
    <n v="355089"/>
    <s v="Kalam Uddin Shaikh"/>
    <s v="Private Retailer"/>
    <s v="9474867019"/>
    <n v="0.05"/>
    <n v="306"/>
    <x v="1"/>
    <m/>
    <s v="2025-06-18"/>
    <s v="280729"/>
    <s v="M/s. Naresh Chandra Das"/>
    <s v="7365868045"/>
  </r>
  <r>
    <s v="RCF Trombay"/>
    <s v="15-15-15"/>
    <s v="WB"/>
    <x v="17"/>
    <s v="Krishnagar - I"/>
    <s v="User Not Mapped"/>
    <s v="User Not Mapped"/>
    <s v="User Not Mapped"/>
    <n v="355089"/>
    <s v="Kalam Uddin Shaikh"/>
    <s v="Private Retailer"/>
    <s v="9474867019"/>
    <n v="0.05"/>
    <n v="420"/>
    <x v="0"/>
    <m/>
    <s v="2025-02-24"/>
    <s v="280729"/>
    <s v="M/s. Naresh Chandra Das"/>
    <s v="7365868045"/>
  </r>
  <r>
    <s v="RCF Trombay"/>
    <s v="15-15-15"/>
    <s v="WB"/>
    <x v="17"/>
    <s v="Krishnagar - I"/>
    <s v="User Not Mapped"/>
    <s v="User Not Mapped"/>
    <s v="User Not Mapped"/>
    <n v="355089"/>
    <s v="Kalam Uddin Shaikh"/>
    <s v="Private Retailer"/>
    <s v="9474867019"/>
    <n v="0.05"/>
    <n v="172"/>
    <x v="4"/>
    <m/>
    <s v="2025-10-30"/>
    <s v="280729"/>
    <s v="M/s. Naresh Chandra Das"/>
    <s v="7365868045"/>
  </r>
  <r>
    <s v="RCF Trombay"/>
    <s v="N.C.Urea(45kg)"/>
    <s v="WB"/>
    <x v="17"/>
    <s v="Krishnagar - I"/>
    <s v="User Not Mapped"/>
    <s v="User Not Mapped"/>
    <s v="User Not Mapped"/>
    <n v="355089"/>
    <s v="Kalam Uddin Shaikh"/>
    <s v="Private Retailer"/>
    <s v="9474867019"/>
    <n v="0.22500000000000001"/>
    <n v="236"/>
    <x v="1"/>
    <m/>
    <s v="2025-08-27"/>
    <s v="280729"/>
    <s v="M/s. Naresh Chandra Das"/>
    <s v="7365868045"/>
  </r>
  <r>
    <s v="RCF Import"/>
    <s v="MOP"/>
    <s v="WB"/>
    <x v="17"/>
    <s v="Krishnagar - I"/>
    <s v="User Not Mapped"/>
    <s v="User Not Mapped"/>
    <s v="User Not Mapped"/>
    <n v="355089"/>
    <s v="Kalam Uddin Shaikh"/>
    <s v="Private Retailer"/>
    <s v="9474867019"/>
    <n v="0.05"/>
    <n v="480"/>
    <x v="0"/>
    <m/>
    <s v="2024-12-26"/>
    <s v="280729"/>
    <s v="M/s. Naresh Chandra Das"/>
    <s v="7365868045"/>
  </r>
  <r>
    <s v="RCF Trombay"/>
    <s v="N.C.Urea(45kg)"/>
    <s v="WB"/>
    <x v="17"/>
    <s v="Krishnagar - I"/>
    <s v="User Not Mapped"/>
    <s v="User Not Mapped"/>
    <s v="User Not Mapped"/>
    <n v="355089"/>
    <s v="Kalam Uddin Shaikh"/>
    <s v="Private Retailer"/>
    <s v="9474867019"/>
    <n v="0.315"/>
    <n v="53"/>
    <x v="3"/>
    <m/>
    <s v="2026-02-26"/>
    <s v="280729"/>
    <s v="M/s. Naresh Chandra Das"/>
    <s v="7365868045"/>
  </r>
  <r>
    <s v="RCF Trombay"/>
    <s v="N.C.Urea(45kg)"/>
    <s v="WB"/>
    <x v="17"/>
    <s v="Krishnagar - I"/>
    <s v="User Not Mapped"/>
    <s v="User Not Mapped"/>
    <s v="User Not Mapped"/>
    <n v="355089"/>
    <s v="Kalam Uddin Shaikh"/>
    <s v="Private Retailer"/>
    <s v="9474867019"/>
    <n v="0.09"/>
    <n v="426"/>
    <x v="0"/>
    <m/>
    <s v="2025-02-18"/>
    <s v="280729"/>
    <s v="M/s. Naresh Chandra Das"/>
    <s v="7365868045"/>
  </r>
  <r>
    <s v="RCF Trombay"/>
    <s v="15-15-15"/>
    <s v="WB"/>
    <x v="17"/>
    <s v="Krishnaganj"/>
    <s v="User Not Mapped"/>
    <s v="User Not Mapped"/>
    <s v="User Not Mapped"/>
    <n v="517121"/>
    <s v="Krishak Sathi"/>
    <s v="Private Retailer"/>
    <s v="9609260081"/>
    <n v="8.5500000000000007"/>
    <n v="1045"/>
    <x v="2"/>
    <m/>
    <s v="2023-06-10"/>
    <s v="280729"/>
    <s v="M/s. Naresh Chandra Das"/>
    <s v="7365868045"/>
  </r>
  <r>
    <s v="RCF Trombay"/>
    <s v="15-15-15"/>
    <s v="WB"/>
    <x v="17"/>
    <s v="Chapra"/>
    <s v="User Not Mapped"/>
    <s v="User Not Mapped"/>
    <s v="User Not Mapped"/>
    <n v="387423"/>
    <s v="Krishi Laxmi"/>
    <s v="Private Retailer"/>
    <s v="6294521849"/>
    <n v="3.5"/>
    <n v="136"/>
    <x v="4"/>
    <m/>
    <s v="2025-12-05"/>
    <s v="280729"/>
    <s v="M/s. Naresh Chandra Das"/>
    <s v="7365868045"/>
  </r>
  <r>
    <s v="RCF Trombay"/>
    <s v="15-15-15"/>
    <s v="WB"/>
    <x v="17"/>
    <s v="Krishnagar - I"/>
    <s v="User Not Mapped"/>
    <s v="User Not Mapped"/>
    <s v="User Not Mapped"/>
    <n v="516766"/>
    <s v="Krishna Saha"/>
    <s v="Private Retailer"/>
    <s v="9933422153"/>
    <n v="10"/>
    <n v="52"/>
    <x v="3"/>
    <m/>
    <s v="2026-02-27"/>
    <s v="280729"/>
    <s v="M/s. Naresh Chandra Das"/>
    <s v="7365868045"/>
  </r>
  <r>
    <s v="RCF Thal"/>
    <s v="N.C.Urea(45kg)"/>
    <s v="WB"/>
    <x v="17"/>
    <s v="Ranaghat - I"/>
    <s v="User Not Mapped"/>
    <s v="User Not Mapped"/>
    <s v="User Not Mapped"/>
    <n v="625842"/>
    <s v="LOKNATH FERTILIZER"/>
    <s v="Private Retailer"/>
    <s v="7076356669"/>
    <n v="0.94499999999999995"/>
    <n v="1192"/>
    <x v="2"/>
    <m/>
    <s v="2023-01-14"/>
    <s v="280729"/>
    <s v="M/s. Naresh Chandra Das"/>
    <s v="7365868045"/>
  </r>
  <r>
    <s v="RCF Trombay"/>
    <s v="15-15-15"/>
    <s v="WB"/>
    <x v="17"/>
    <s v="Nabadwip"/>
    <s v="User Not Mapped"/>
    <s v="User Not Mapped"/>
    <s v="User Not Mapped"/>
    <n v="356330"/>
    <s v="LOKNATH SEEDS BHANDER"/>
    <s v="Private Retailer"/>
    <s v="9064234700"/>
    <n v="0.5"/>
    <n v="1143"/>
    <x v="2"/>
    <m/>
    <s v="2023-03-04"/>
    <s v="280729"/>
    <s v="M/s. Naresh Chandra Das"/>
    <s v="7365868045"/>
  </r>
  <r>
    <s v="RCF Thal"/>
    <s v="N.C.Urea(45kg)"/>
    <s v="WB"/>
    <x v="17"/>
    <s v="Chakdah"/>
    <s v="User Not Mapped"/>
    <s v="User Not Mapped"/>
    <s v="User Not Mapped"/>
    <n v="340739"/>
    <s v="M/S Ajoy Ghosh"/>
    <s v="Private Retailer"/>
    <s v="9002018117"/>
    <n v="5.085"/>
    <n v="35"/>
    <x v="3"/>
    <m/>
    <s v="2026-03-16"/>
    <s v="280729"/>
    <s v="M/s. Naresh Chandra Das"/>
    <s v="7365868045"/>
  </r>
  <r>
    <s v="RCF Trombay"/>
    <s v="15-15-15"/>
    <s v="WB"/>
    <x v="17"/>
    <s v="Haringhata"/>
    <s v="User Not Mapped"/>
    <s v="User Not Mapped"/>
    <s v="User Not Mapped"/>
    <n v="354777"/>
    <s v="M/s Asim Kanti Basak"/>
    <s v="Private Retailer"/>
    <s v="9434554554"/>
    <n v="3.9"/>
    <n v="53"/>
    <x v="3"/>
    <m/>
    <s v="2026-02-26"/>
    <s v="280729"/>
    <s v="M/s. Naresh Chandra Das"/>
    <s v="7365868045"/>
  </r>
  <r>
    <s v="RCF Trombay"/>
    <s v="15-15-15"/>
    <s v="WB"/>
    <x v="17"/>
    <s v="Chapra"/>
    <s v="User Not Mapped"/>
    <s v="User Not Mapped"/>
    <s v="User Not Mapped"/>
    <n v="1391275"/>
    <s v="M/S AYAN FERTILIZER(PROP.AZHAR"/>
    <s v="Private Retailer"/>
    <s v="8945893815"/>
    <n v="0.16500000000000001"/>
    <n v="159"/>
    <x v="4"/>
    <m/>
    <s v="2025-11-12"/>
    <s v="280729"/>
    <s v="M/s. Naresh Chandra Das"/>
    <s v="7365868045"/>
  </r>
  <r>
    <s v="RCF Import"/>
    <s v="Imp 10-26-26"/>
    <s v="WB"/>
    <x v="17"/>
    <s v="Haringhata"/>
    <s v="User Not Mapped"/>
    <s v="User Not Mapped"/>
    <s v="User Not Mapped"/>
    <n v="637939"/>
    <s v="M/S BASIRUL MANDAL"/>
    <s v="Private Retailer"/>
    <s v="7407412841"/>
    <n v="1.65"/>
    <n v="44"/>
    <x v="3"/>
    <m/>
    <s v="2026-03-07"/>
    <s v="280729"/>
    <s v="M/s. Naresh Chandra Das"/>
    <s v="7365868045"/>
  </r>
  <r>
    <s v="RCF Trombay"/>
    <s v="15-15-15"/>
    <s v="WB"/>
    <x v="17"/>
    <s v="Haringhata"/>
    <s v="User Not Mapped"/>
    <s v="User Not Mapped"/>
    <s v="User Not Mapped"/>
    <n v="637939"/>
    <s v="M/S BASIRUL MANDAL"/>
    <s v="Private Retailer"/>
    <s v="7407412841"/>
    <n v="0.4"/>
    <n v="51"/>
    <x v="3"/>
    <m/>
    <s v="2026-02-28"/>
    <s v="280729"/>
    <s v="M/s. Naresh Chandra Das"/>
    <s v="7365868045"/>
  </r>
  <r>
    <s v="RCF Import"/>
    <s v="MOP"/>
    <s v="WB"/>
    <x v="17"/>
    <s v="Haringhata"/>
    <s v="User Not Mapped"/>
    <s v="User Not Mapped"/>
    <s v="User Not Mapped"/>
    <n v="637939"/>
    <s v="M/S BASIRUL MANDAL"/>
    <s v="Private Retailer"/>
    <s v="7407412841"/>
    <n v="11"/>
    <n v="52"/>
    <x v="3"/>
    <m/>
    <s v="2026-02-27"/>
    <s v="280729"/>
    <s v="M/s. Naresh Chandra Das"/>
    <s v="7365868045"/>
  </r>
  <r>
    <s v="RCF Trombay"/>
    <s v="N.C.Urea(45kg)"/>
    <s v="WB"/>
    <x v="17"/>
    <s v="Krishnagar - I"/>
    <s v="User Not Mapped"/>
    <s v="User Not Mapped"/>
    <s v="User Not Mapped"/>
    <n v="1580690"/>
    <s v="M/S Bhai Bhai Fertilizer (Prop"/>
    <s v="Private Retailer"/>
    <s v="8250256519"/>
    <n v="0.40500000000000003"/>
    <n v="28"/>
    <x v="5"/>
    <m/>
    <s v="2026-03-23"/>
    <s v="280729"/>
    <s v="M/s. Naresh Chandra Das"/>
    <s v="7365868045"/>
  </r>
  <r>
    <s v="RCF Import"/>
    <s v="MOP"/>
    <s v="WB"/>
    <x v="17"/>
    <s v="Krishnagar - I"/>
    <s v="User Not Mapped"/>
    <s v="User Not Mapped"/>
    <s v="User Not Mapped"/>
    <n v="1580690"/>
    <s v="M/S Bhai Bhai Fertilizer (Prop"/>
    <s v="Private Retailer"/>
    <s v="8250256519"/>
    <n v="0.3"/>
    <n v="25"/>
    <x v="5"/>
    <m/>
    <s v="2026-03-26"/>
    <s v="280729"/>
    <s v="M/s. Naresh Chandra Das"/>
    <s v="7365868045"/>
  </r>
  <r>
    <s v="RCF Trombay"/>
    <s v="15-15-15"/>
    <s v="WB"/>
    <x v="17"/>
    <s v="Chakdah"/>
    <s v="User Not Mapped"/>
    <s v="User Not Mapped"/>
    <s v="User Not Mapped"/>
    <n v="938985"/>
    <s v="M/s BISWAJIT MONDAL"/>
    <s v="Private Retailer"/>
    <s v="7548032450"/>
    <n v="7.5999999999999998E-2"/>
    <n v="324"/>
    <x v="1"/>
    <m/>
    <s v="2025-05-31"/>
    <s v="280729"/>
    <s v="M/s. Naresh Chandra Das"/>
    <s v="7365868045"/>
  </r>
  <r>
    <s v="RCF Trombay"/>
    <s v="15-15-15"/>
    <s v="WB"/>
    <x v="17"/>
    <s v="Santipur"/>
    <s v="User Not Mapped"/>
    <s v="User Not Mapped"/>
    <s v="User Not Mapped"/>
    <n v="440676"/>
    <s v="M/S BISWAS FERTILIZER"/>
    <s v="Private Retailer"/>
    <s v="9748511668"/>
    <n v="5"/>
    <n v="83"/>
    <x v="6"/>
    <m/>
    <s v="2026-01-27"/>
    <s v="280729"/>
    <s v="M/s. Naresh Chandra Das"/>
    <s v="7365868045"/>
  </r>
  <r>
    <s v="RCF Trombay"/>
    <s v="N.C.Urea(45kg)"/>
    <s v="WB"/>
    <x v="17"/>
    <s v="Santipur"/>
    <s v="User Not Mapped"/>
    <s v="User Not Mapped"/>
    <s v="User Not Mapped"/>
    <n v="440676"/>
    <s v="M/S BISWAS FERTILIZER"/>
    <s v="Private Retailer"/>
    <s v="9748511668"/>
    <n v="4.9950000000000001"/>
    <n v="53"/>
    <x v="3"/>
    <m/>
    <s v="2026-02-26"/>
    <s v="280729"/>
    <s v="M/s. Naresh Chandra Das"/>
    <s v="7365868045"/>
  </r>
  <r>
    <s v="RCF Import"/>
    <s v="MOP"/>
    <s v="WB"/>
    <x v="17"/>
    <s v="Santipur"/>
    <s v="User Not Mapped"/>
    <s v="User Not Mapped"/>
    <s v="User Not Mapped"/>
    <n v="440676"/>
    <s v="M/S BISWAS FERTILIZER"/>
    <s v="Private Retailer"/>
    <s v="9748511668"/>
    <n v="0.5"/>
    <n v="7"/>
    <x v="5"/>
    <m/>
    <s v="2026-04-13"/>
    <s v="280729"/>
    <s v="M/s. Naresh Chandra Das"/>
    <s v="7365868045"/>
  </r>
  <r>
    <s v="RCF Trombay"/>
    <s v="15-15-15"/>
    <s v="WB"/>
    <x v="17"/>
    <s v="Chapra"/>
    <s v="User Not Mapped"/>
    <s v="User Not Mapped"/>
    <s v="User Not Mapped"/>
    <n v="1538175"/>
    <s v="M/S BISWAS FERTILIZER PROP MOS"/>
    <s v="Private Retailer"/>
    <s v="7507942072"/>
    <n v="0.35"/>
    <n v="143"/>
    <x v="4"/>
    <m/>
    <s v="2025-11-28"/>
    <s v="280729"/>
    <s v="M/s. Naresh Chandra Das"/>
    <s v="7365868045"/>
  </r>
  <r>
    <s v="RCF Trombay"/>
    <s v="15-15-15"/>
    <s v="WB"/>
    <x v="17"/>
    <s v="Haringhata"/>
    <s v="User Not Mapped"/>
    <s v="User Not Mapped"/>
    <s v="User Not Mapped"/>
    <n v="597366"/>
    <s v="M/S CHIDDIKI-RH-KRISHI BHANDER"/>
    <s v="Private Retailer"/>
    <s v="8159975890"/>
    <n v="3.2"/>
    <n v="51"/>
    <x v="3"/>
    <m/>
    <s v="2026-02-28"/>
    <s v="280729"/>
    <s v="M/s. Naresh Chandra Das"/>
    <s v="7365868045"/>
  </r>
  <r>
    <s v="RCF Trombay"/>
    <s v="15-15-15"/>
    <s v="WB"/>
    <x v="17"/>
    <s v="Ranaghat - I"/>
    <s v="User Not Mapped"/>
    <s v="User Not Mapped"/>
    <s v="User Not Mapped"/>
    <n v="444085"/>
    <s v="M/S Debosree Biswas"/>
    <s v="Private Retailer"/>
    <s v="6295381772"/>
    <n v="5.0999999999999996"/>
    <n v="60"/>
    <x v="3"/>
    <m/>
    <s v="2026-02-19"/>
    <s v="280729"/>
    <s v="M/s. Naresh Chandra Das"/>
    <s v="7365868045"/>
  </r>
  <r>
    <s v="RCF Trombay"/>
    <s v="N.C.Urea(45kg)"/>
    <s v="WB"/>
    <x v="17"/>
    <s v="Krishnagar - I"/>
    <s v="User Not Mapped"/>
    <s v="User Not Mapped"/>
    <s v="User Not Mapped"/>
    <n v="1368112"/>
    <s v="M/S Ghosh Fertilizer"/>
    <s v="Private Retailer"/>
    <s v="7047806532"/>
    <n v="4.4999999999999998E-2"/>
    <n v="53"/>
    <x v="3"/>
    <m/>
    <s v="2026-02-26"/>
    <s v="280729"/>
    <s v="M/s. Naresh Chandra Das"/>
    <s v="7365868045"/>
  </r>
  <r>
    <s v="RCF Trombay"/>
    <s v="15-15-15"/>
    <s v="WB"/>
    <x v="17"/>
    <s v="Chapra"/>
    <s v="User Not Mapped"/>
    <s v="User Not Mapped"/>
    <s v="User Not Mapped"/>
    <n v="1107818"/>
    <s v="M/S GOUTAM BAG"/>
    <s v="Private Retailer"/>
    <s v="8327615200"/>
    <n v="0.45"/>
    <n v="53"/>
    <x v="3"/>
    <m/>
    <s v="2026-02-26"/>
    <s v="280729"/>
    <s v="M/s. Naresh Chandra Das"/>
    <s v="7365868045"/>
  </r>
  <r>
    <s v="RCF Trombay"/>
    <s v="15-15-15"/>
    <s v="WB"/>
    <x v="17"/>
    <s v="Krishnagar - I"/>
    <s v="User Not Mapped"/>
    <s v="User Not Mapped"/>
    <s v="User Not Mapped"/>
    <n v="243871"/>
    <s v="M/S KARTICK CHANDRA GHOSH"/>
    <s v="Private Retailer"/>
    <s v="9382630245"/>
    <n v="0.45"/>
    <n v="66"/>
    <x v="6"/>
    <m/>
    <s v="2026-02-13"/>
    <s v="280729"/>
    <s v="M/s. Naresh Chandra Das"/>
    <s v="7365868045"/>
  </r>
  <r>
    <s v="RCF Trombay"/>
    <s v="15-15-15"/>
    <s v="WB"/>
    <x v="17"/>
    <s v="Krishnagar - I"/>
    <s v="User Not Mapped"/>
    <s v="User Not Mapped"/>
    <s v="User Not Mapped"/>
    <n v="438900"/>
    <s v="M/S MAA LAXMi FERTILIZER"/>
    <s v="Private Retailer"/>
    <s v="9775103862"/>
    <n v="6.7"/>
    <n v="53"/>
    <x v="3"/>
    <m/>
    <s v="2026-02-26"/>
    <s v="280729"/>
    <s v="M/s. Naresh Chandra Das"/>
    <s v="7365868045"/>
  </r>
  <r>
    <s v="RCF Trombay"/>
    <s v="15-15-15"/>
    <s v="WB"/>
    <x v="17"/>
    <s v="Haringhata"/>
    <s v="User Not Mapped"/>
    <s v="User Not Mapped"/>
    <s v="User Not Mapped"/>
    <n v="598611"/>
    <s v="M/S MAULA BOX KRISHI BHANDER"/>
    <s v="Private Retailer"/>
    <s v="9884175890"/>
    <n v="3"/>
    <n v="51"/>
    <x v="3"/>
    <m/>
    <s v="2026-02-28"/>
    <s v="280729"/>
    <s v="M/s. Naresh Chandra Das"/>
    <s v="7365868045"/>
  </r>
  <r>
    <s v="RCF Trombay"/>
    <s v="15-15-15"/>
    <s v="WB"/>
    <x v="17"/>
    <s v="Chapra"/>
    <s v="User Not Mapped"/>
    <s v="User Not Mapped"/>
    <s v="User Not Mapped"/>
    <n v="1480322"/>
    <s v="M/S MONDAL FERTILIZER"/>
    <s v="Private Retailer"/>
    <s v="7003398751"/>
    <n v="2"/>
    <n v="65"/>
    <x v="6"/>
    <m/>
    <s v="2026-02-14"/>
    <s v="280729"/>
    <s v="M/s. Naresh Chandra Das"/>
    <s v="7365868045"/>
  </r>
  <r>
    <s v="RCF Trombay"/>
    <s v="15-15-15"/>
    <s v="WB"/>
    <x v="17"/>
    <s v="Chapra"/>
    <s v="User Not Mapped"/>
    <s v="User Not Mapped"/>
    <s v="User Not Mapped"/>
    <n v="1480322"/>
    <s v="M/S MONDAL FERTILIZER"/>
    <s v="Private Retailer"/>
    <s v="7003398751"/>
    <n v="1.2"/>
    <n v="228"/>
    <x v="1"/>
    <m/>
    <s v="2025-09-04"/>
    <s v="280729"/>
    <s v="M/s. Naresh Chandra Das"/>
    <s v="7365868045"/>
  </r>
  <r>
    <s v="RCF Trombay"/>
    <s v="N.C.Urea(45kg)"/>
    <s v="WB"/>
    <x v="17"/>
    <s v="Tehatta - II"/>
    <s v="User Not Mapped"/>
    <s v="User Not Mapped"/>
    <s v="User Not Mapped"/>
    <n v="915754"/>
    <s v="M/S MONDAL FERTILIZER"/>
    <s v="Private Retailer"/>
    <s v="9093016916"/>
    <n v="49.59"/>
    <n v="136"/>
    <x v="4"/>
    <m/>
    <s v="2025-12-05"/>
    <s v="280729"/>
    <s v="M/s. Naresh Chandra Das"/>
    <s v="7365868045"/>
  </r>
  <r>
    <s v="RCF Trombay"/>
    <s v="N.C.Urea(45kg)"/>
    <s v="WB"/>
    <x v="17"/>
    <s v="Nabadwip"/>
    <s v="User Not Mapped"/>
    <s v="User Not Mapped"/>
    <s v="User Not Mapped"/>
    <n v="650193"/>
    <s v="M/S MOUMITA FERTILIZER"/>
    <s v="Private Retailer"/>
    <s v="9735587223"/>
    <n v="4.4550000000000001"/>
    <n v="215"/>
    <x v="1"/>
    <m/>
    <s v="2025-09-17"/>
    <s v="280729"/>
    <s v="M/s. Naresh Chandra Das"/>
    <s v="7365868045"/>
  </r>
  <r>
    <s v="RCF Thal"/>
    <s v="N.C.Urea(45kg)"/>
    <s v="WB"/>
    <x v="17"/>
    <s v="Ranaghat - I"/>
    <s v="User Not Mapped"/>
    <s v="User Not Mapped"/>
    <s v="User Not Mapped"/>
    <n v="356263"/>
    <s v="M/S PRAFULLA FERTILIZER"/>
    <s v="Private Retailer"/>
    <s v="9333249705"/>
    <n v="3.71"/>
    <n v="1057"/>
    <x v="2"/>
    <m/>
    <s v="2023-05-29"/>
    <s v="280729"/>
    <s v="M/s. Naresh Chandra Das"/>
    <s v="7365868045"/>
  </r>
  <r>
    <s v="RCF Import"/>
    <s v="Imp 10-26-26"/>
    <s v="WB"/>
    <x v="17"/>
    <s v="Chakdah"/>
    <s v="User Not Mapped"/>
    <s v="User Not Mapped"/>
    <s v="User Not Mapped"/>
    <n v="342592"/>
    <s v="M/S PROBODH KIJMAR CHANDA"/>
    <s v="Private Retailer"/>
    <s v="9333386196"/>
    <n v="2.5"/>
    <n v="6"/>
    <x v="5"/>
    <m/>
    <s v="2026-04-14"/>
    <s v="280729"/>
    <s v="M/s. Naresh Chandra Das"/>
    <s v="7365868045"/>
  </r>
  <r>
    <s v="RCF Trombay"/>
    <s v="15-15-15"/>
    <s v="WB"/>
    <x v="17"/>
    <s v="Hanskhali"/>
    <s v="User Not Mapped"/>
    <s v="User Not Mapped"/>
    <s v="User Not Mapped"/>
    <n v="387986"/>
    <s v="M/S Rabindranath Majumder"/>
    <s v="Private Retailer"/>
    <s v="9832606732"/>
    <n v="8.75"/>
    <n v="84"/>
    <x v="6"/>
    <m/>
    <s v="2026-01-26"/>
    <s v="280729"/>
    <s v="M/s. Naresh Chandra Das"/>
    <s v="7365868045"/>
  </r>
  <r>
    <s v="RCF Trombay"/>
    <s v="15-15-15"/>
    <s v="WB"/>
    <x v="17"/>
    <s v="Hanskhali"/>
    <s v="User Not Mapped"/>
    <s v="User Not Mapped"/>
    <s v="User Not Mapped"/>
    <n v="387998"/>
    <s v="M/S Reboti Mohon Saha"/>
    <s v="Private Retailer"/>
    <s v="9153149461"/>
    <n v="5"/>
    <n v="79"/>
    <x v="6"/>
    <m/>
    <s v="2026-01-31"/>
    <s v="280729"/>
    <s v="M/s. Naresh Chandra Das"/>
    <s v="7365868045"/>
  </r>
  <r>
    <s v="RCF Trombay"/>
    <s v="15-15-15"/>
    <s v="WB"/>
    <x v="17"/>
    <s v="Krishnagar - I"/>
    <s v="User Not Mapped"/>
    <s v="User Not Mapped"/>
    <s v="User Not Mapped"/>
    <n v="1333386"/>
    <s v="M/S SAHA FERTILIZER"/>
    <s v="Private Retailer"/>
    <s v="7585096985"/>
    <n v="0.2"/>
    <n v="52"/>
    <x v="3"/>
    <m/>
    <s v="2026-02-27"/>
    <s v="280729"/>
    <s v="M/s. Naresh Chandra Das"/>
    <s v="7365868045"/>
  </r>
  <r>
    <s v="RCF Trombay"/>
    <s v="N.C.Urea(45kg)"/>
    <s v="WB"/>
    <x v="17"/>
    <s v="Haringhata"/>
    <s v="User Not Mapped"/>
    <s v="User Not Mapped"/>
    <s v="User Not Mapped"/>
    <n v="870284"/>
    <s v="M/S SAHIDUL HOQUE MONDAL"/>
    <s v="Private Retailer"/>
    <s v="8101881454"/>
    <n v="1.9350000000000001"/>
    <n v="392"/>
    <x v="0"/>
    <m/>
    <s v="2025-03-24"/>
    <s v="280729"/>
    <s v="M/s. Naresh Chandra Das"/>
    <s v="7365868045"/>
  </r>
  <r>
    <s v="RCF Thal"/>
    <s v="N.C.Urea(45kg)"/>
    <s v="WB"/>
    <x v="17"/>
    <s v="Chakdah"/>
    <s v="User Not Mapped"/>
    <s v="User Not Mapped"/>
    <s v="User Not Mapped"/>
    <n v="1553884"/>
    <s v="M/S SHANKU MONDAL"/>
    <s v="Private Retailer"/>
    <s v="7872333513"/>
    <n v="2.97"/>
    <n v="195"/>
    <x v="1"/>
    <m/>
    <s v="2025-10-07"/>
    <s v="280729"/>
    <s v="M/s. Naresh Chandra Das"/>
    <s v="7365868045"/>
  </r>
  <r>
    <s v="RCF Trombay"/>
    <s v="15-15-15"/>
    <s v="WB"/>
    <x v="17"/>
    <s v="Krishnagar - I"/>
    <s v="User Not Mapped"/>
    <s v="User Not Mapped"/>
    <s v="User Not Mapped"/>
    <n v="438916"/>
    <s v="M/S Sukumar Modok"/>
    <s v="Private Retailer"/>
    <s v="9564118393"/>
    <n v="0.2"/>
    <n v="79"/>
    <x v="6"/>
    <m/>
    <s v="2026-01-31"/>
    <s v="280729"/>
    <s v="M/s. Naresh Chandra Das"/>
    <s v="7365868045"/>
  </r>
  <r>
    <s v="RCF Trombay"/>
    <s v="15-15-15"/>
    <s v="WB"/>
    <x v="17"/>
    <s v="Krishnagar - I"/>
    <s v="User Not Mapped"/>
    <s v="User Not Mapped"/>
    <s v="User Not Mapped"/>
    <n v="438916"/>
    <s v="M/S Sukumar Modok"/>
    <s v="Private Retailer"/>
    <s v="9564118393"/>
    <n v="0.5"/>
    <n v="18"/>
    <x v="5"/>
    <m/>
    <s v="2026-04-02"/>
    <s v="280729"/>
    <s v="M/s. Naresh Chandra Das"/>
    <s v="7365868045"/>
  </r>
  <r>
    <s v="RCF Import"/>
    <s v="MOP"/>
    <s v="WB"/>
    <x v="17"/>
    <s v="Krishnagar - I"/>
    <s v="User Not Mapped"/>
    <s v="User Not Mapped"/>
    <s v="User Not Mapped"/>
    <n v="438916"/>
    <s v="M/S Sukumar Modok"/>
    <s v="Private Retailer"/>
    <s v="9564118393"/>
    <n v="0.5"/>
    <n v="18"/>
    <x v="5"/>
    <m/>
    <s v="2026-04-02"/>
    <s v="280729"/>
    <s v="M/s. Naresh Chandra Das"/>
    <s v="7365868045"/>
  </r>
  <r>
    <s v="RCF Trombay"/>
    <s v="15-15-15"/>
    <s v="WB"/>
    <x v="17"/>
    <s v="Haringhata"/>
    <s v="User Not Mapped"/>
    <s v="User Not Mapped"/>
    <s v="User Not Mapped"/>
    <n v="1537831"/>
    <s v="M/s TARAFDER ENTERPRISE"/>
    <s v="Private Retailer"/>
    <s v="9064110296"/>
    <n v="0.75"/>
    <n v="6"/>
    <x v="5"/>
    <m/>
    <s v="2026-04-14"/>
    <s v="280729"/>
    <s v="M/s. Naresh Chandra Das"/>
    <s v="7365868045"/>
  </r>
  <r>
    <s v="RCF Trombay"/>
    <s v="15-15-15"/>
    <s v="WB"/>
    <x v="17"/>
    <s v="Hanskhali"/>
    <s v="User Not Mapped"/>
    <s v="User Not Mapped"/>
    <s v="User Not Mapped"/>
    <n v="440280"/>
    <s v="M/S Tilok Das"/>
    <s v="Private Retailer"/>
    <s v="8371888851"/>
    <n v="1.4"/>
    <n v="84"/>
    <x v="6"/>
    <m/>
    <s v="2026-01-26"/>
    <s v="280729"/>
    <s v="M/s. Naresh Chandra Das"/>
    <s v="7365868045"/>
  </r>
  <r>
    <s v="RCF Trombay"/>
    <s v="15-15-15"/>
    <s v="WB"/>
    <x v="17"/>
    <s v="Hanskhali"/>
    <s v="User Not Mapped"/>
    <s v="User Not Mapped"/>
    <s v="User Not Mapped"/>
    <n v="440280"/>
    <s v="M/S Tilok Das"/>
    <s v="Private Retailer"/>
    <s v="8371888851"/>
    <n v="5"/>
    <n v="52"/>
    <x v="3"/>
    <m/>
    <s v="2026-02-27"/>
    <s v="280729"/>
    <s v="M/s. Naresh Chandra Das"/>
    <s v="7365868045"/>
  </r>
  <r>
    <s v="RCF Trombay"/>
    <s v="15-15-15"/>
    <s v="WB"/>
    <x v="17"/>
    <s v="Hanskhali"/>
    <s v="User Not Mapped"/>
    <s v="User Not Mapped"/>
    <s v="User Not Mapped"/>
    <n v="1577414"/>
    <s v="M/S UTTAM MONDAL"/>
    <s v="Private Retailer"/>
    <s v="8967159722"/>
    <n v="0.75"/>
    <n v="160"/>
    <x v="4"/>
    <m/>
    <s v="2025-11-11"/>
    <s v="280729"/>
    <s v="M/s. Naresh Chandra Das"/>
    <s v="7365868045"/>
  </r>
  <r>
    <s v="RCF Import"/>
    <s v="MOP"/>
    <s v="WB"/>
    <x v="17"/>
    <s v="Santipur"/>
    <s v="User Not Mapped"/>
    <s v="User Not Mapped"/>
    <s v="User Not Mapped"/>
    <n v="1029830"/>
    <s v="M/S. GOLAM RASUL DHABAK"/>
    <s v="Private Retailer"/>
    <s v="9732317694"/>
    <n v="0.35"/>
    <n v="53"/>
    <x v="3"/>
    <m/>
    <s v="2026-02-26"/>
    <s v="280729"/>
    <s v="M/s. Naresh Chandra Das"/>
    <s v="7365868045"/>
  </r>
  <r>
    <s v="RCF Thal"/>
    <s v="N.C.Urea(45kg)"/>
    <s v="WB"/>
    <x v="17"/>
    <s v="Santipur"/>
    <s v="User Not Mapped"/>
    <s v="User Not Mapped"/>
    <s v="User Not Mapped"/>
    <n v="1037509"/>
    <s v="M/S. HABIBULLA SK"/>
    <s v="Private Retailer"/>
    <s v="7365881598"/>
    <n v="0.76500000000000001"/>
    <n v="193"/>
    <x v="1"/>
    <m/>
    <s v="2025-10-09"/>
    <s v="280729"/>
    <s v="M/s. Naresh Chandra Das"/>
    <s v="7365868045"/>
  </r>
  <r>
    <s v="RCF Thal"/>
    <s v="N.C.Urea(45kg)"/>
    <s v="WB"/>
    <x v="17"/>
    <s v="Santipur"/>
    <s v="User Not Mapped"/>
    <s v="User Not Mapped"/>
    <s v="User Not Mapped"/>
    <n v="1037509"/>
    <s v="M/S. HABIBULLA SK"/>
    <s v="Private Retailer"/>
    <s v="7365881598"/>
    <n v="1.2150000000000001"/>
    <n v="5"/>
    <x v="5"/>
    <m/>
    <s v="2026-04-15"/>
    <s v="280729"/>
    <s v="M/s. Naresh Chandra Das"/>
    <s v="7365868045"/>
  </r>
  <r>
    <s v="RCF Trombay"/>
    <s v="N.C.Urea(45kg)"/>
    <s v="WB"/>
    <x v="17"/>
    <s v="Santipur"/>
    <s v="User Not Mapped"/>
    <s v="User Not Mapped"/>
    <s v="User Not Mapped"/>
    <n v="1037509"/>
    <s v="M/S. HABIBULLA SK"/>
    <s v="Private Retailer"/>
    <s v="7365881598"/>
    <n v="0.99"/>
    <n v="136"/>
    <x v="4"/>
    <m/>
    <s v="2025-12-05"/>
    <s v="280729"/>
    <s v="M/s. Naresh Chandra Das"/>
    <s v="7365868045"/>
  </r>
  <r>
    <s v="RCF Trombay"/>
    <s v="15-15-15"/>
    <s v="WB"/>
    <x v="17"/>
    <s v="Santipur"/>
    <s v="User Not Mapped"/>
    <s v="User Not Mapped"/>
    <s v="User Not Mapped"/>
    <n v="441527"/>
    <s v="M/S. Uttam Ghosh"/>
    <s v="Private Retailer"/>
    <s v="9475032034"/>
    <n v="0.45"/>
    <n v="277"/>
    <x v="1"/>
    <m/>
    <s v="2025-07-17"/>
    <s v="280729"/>
    <s v="M/s. Naresh Chandra Das"/>
    <s v="7365868045"/>
  </r>
  <r>
    <s v="RCF Import"/>
    <s v="Imp 10-26-26"/>
    <s v="WB"/>
    <x v="17"/>
    <s v="Ranaghat - I"/>
    <s v="User Not Mapped"/>
    <s v="User Not Mapped"/>
    <s v="User Not Mapped"/>
    <n v="341627"/>
    <s v="M/s.Kartick Chandra Roy"/>
    <s v="Private Retailer"/>
    <s v="7047183154"/>
    <n v="4.8499999999999996"/>
    <n v="234"/>
    <x v="1"/>
    <m/>
    <s v="2025-08-29"/>
    <s v="280729"/>
    <s v="M/s. Naresh Chandra Das"/>
    <s v="7365868045"/>
  </r>
  <r>
    <s v="RCF Import"/>
    <s v="MOP"/>
    <s v="WB"/>
    <x v="17"/>
    <s v="Ranaghat - I"/>
    <s v="User Not Mapped"/>
    <s v="User Not Mapped"/>
    <s v="User Not Mapped"/>
    <n v="341627"/>
    <s v="M/s.Kartick Chandra Roy"/>
    <s v="Private Retailer"/>
    <s v="7047183154"/>
    <n v="2"/>
    <n v="10"/>
    <x v="5"/>
    <m/>
    <s v="2026-04-10"/>
    <s v="280729"/>
    <s v="M/s. Naresh Chandra Das"/>
    <s v="7365868045"/>
  </r>
  <r>
    <s v="RCF Trombay"/>
    <s v="15-15-15"/>
    <s v="WB"/>
    <x v="17"/>
    <s v="Chapra"/>
    <s v="User Not Mapped"/>
    <s v="User Not Mapped"/>
    <s v="User Not Mapped"/>
    <n v="602283"/>
    <s v="MA LAXMI FERTILIZER"/>
    <s v="Private Retailer"/>
    <s v="9932706262"/>
    <n v="0.25"/>
    <n v="167"/>
    <x v="4"/>
    <m/>
    <s v="2025-11-04"/>
    <s v="280729"/>
    <s v="M/s. Naresh Chandra Das"/>
    <s v="7365868045"/>
  </r>
  <r>
    <s v="RCF Trombay"/>
    <s v="15-15-15"/>
    <s v="WB"/>
    <x v="17"/>
    <s v="Santipur"/>
    <s v="User Not Mapped"/>
    <s v="User Not Mapped"/>
    <s v="User Not Mapped"/>
    <n v="1024369"/>
    <s v="MAA KALI KRISHI BHANDAR"/>
    <s v="Private Retailer"/>
    <s v="9064932651"/>
    <n v="0.4"/>
    <n v="83"/>
    <x v="6"/>
    <m/>
    <s v="2026-01-27"/>
    <s v="280729"/>
    <s v="M/s. Naresh Chandra Das"/>
    <s v="7365868045"/>
  </r>
  <r>
    <s v="RCF Import"/>
    <s v="MOP"/>
    <s v="WB"/>
    <x v="17"/>
    <s v="Krishnagar - I"/>
    <s v="User Not Mapped"/>
    <s v="User Not Mapped"/>
    <s v="User Not Mapped"/>
    <n v="889374"/>
    <s v="MAA MANASA FERTILIZER"/>
    <s v="Private Retailer"/>
    <s v="9382413330"/>
    <n v="9.6"/>
    <n v="58"/>
    <x v="3"/>
    <m/>
    <s v="2026-02-21"/>
    <s v="280729"/>
    <s v="M/s. Naresh Chandra Das"/>
    <s v="7365868045"/>
  </r>
  <r>
    <s v="RCF Trombay"/>
    <s v="N.C.Urea(45kg)"/>
    <s v="WB"/>
    <x v="17"/>
    <s v="Ranaghat - II"/>
    <s v="User Not Mapped"/>
    <s v="User Not Mapped"/>
    <s v="User Not Mapped"/>
    <n v="1061976"/>
    <s v="MADAN MOHAN PAL"/>
    <s v="Private Retailer"/>
    <s v="9002014081"/>
    <n v="0.52300000000000002"/>
    <n v="1202"/>
    <x v="2"/>
    <m/>
    <s v="2023-01-04"/>
    <s v="280729"/>
    <s v="M/s. Naresh Chandra Das"/>
    <s v="7365868045"/>
  </r>
  <r>
    <s v="RCF Thal"/>
    <s v="N.C.Urea(45kg)"/>
    <s v="WB"/>
    <x v="17"/>
    <s v="Ranaghat - II"/>
    <s v="User Not Mapped"/>
    <s v="User Not Mapped"/>
    <s v="User Not Mapped"/>
    <n v="1061976"/>
    <s v="MADAN MOHAN PAL"/>
    <s v="Private Retailer"/>
    <s v="9002014081"/>
    <n v="4.4999999999999998E-2"/>
    <n v="1432"/>
    <x v="2"/>
    <m/>
    <s v="2022-05-19"/>
    <s v="280729"/>
    <s v="M/s. Naresh Chandra Das"/>
    <s v="7365868045"/>
  </r>
  <r>
    <s v="RCF Import"/>
    <s v="Imp 10-26-26"/>
    <s v="WB"/>
    <x v="17"/>
    <s v="Ranaghat - II"/>
    <s v="User Not Mapped"/>
    <s v="User Not Mapped"/>
    <s v="User Not Mapped"/>
    <n v="1061976"/>
    <s v="MADAN MOHAN PAL"/>
    <s v="Private Retailer"/>
    <s v="9002014081"/>
    <n v="0.5"/>
    <n v="242"/>
    <x v="1"/>
    <m/>
    <s v="2025-08-21"/>
    <s v="280729"/>
    <s v="M/s. Naresh Chandra Das"/>
    <s v="7365868045"/>
  </r>
  <r>
    <s v="RCF Trombay"/>
    <s v="15-15-15"/>
    <s v="WB"/>
    <x v="17"/>
    <s v="Ranaghat - II"/>
    <s v="User Not Mapped"/>
    <s v="User Not Mapped"/>
    <s v="User Not Mapped"/>
    <n v="1061976"/>
    <s v="MADAN MOHAN PAL"/>
    <s v="Private Retailer"/>
    <s v="9002014081"/>
    <n v="1"/>
    <n v="143"/>
    <x v="4"/>
    <m/>
    <s v="2025-11-28"/>
    <s v="280729"/>
    <s v="M/s. Naresh Chandra Das"/>
    <s v="7365868045"/>
  </r>
  <r>
    <s v="RCF Thal"/>
    <s v="N.C.Urea(45kg)"/>
    <s v="WB"/>
    <x v="17"/>
    <s v="Krishnagar - I"/>
    <s v="User Not Mapped"/>
    <s v="User Not Mapped"/>
    <s v="User Not Mapped"/>
    <n v="1025124"/>
    <s v="MADAN SADHUKHAN"/>
    <s v="Private Retailer"/>
    <s v="9046197800"/>
    <n v="0.94499999999999995"/>
    <n v="425"/>
    <x v="0"/>
    <m/>
    <s v="2025-02-19"/>
    <s v="280729"/>
    <s v="M/s. Naresh Chandra Das"/>
    <s v="7365868045"/>
  </r>
  <r>
    <s v="RCF Trombay"/>
    <s v="N.C.Urea(45kg)"/>
    <s v="WB"/>
    <x v="17"/>
    <s v="Krishnagar - I"/>
    <s v="User Not Mapped"/>
    <s v="User Not Mapped"/>
    <s v="User Not Mapped"/>
    <n v="1025124"/>
    <s v="MADAN SADHUKHAN"/>
    <s v="Private Retailer"/>
    <s v="9046197800"/>
    <n v="2.25"/>
    <n v="240"/>
    <x v="1"/>
    <m/>
    <s v="2025-08-23"/>
    <s v="280729"/>
    <s v="M/s. Naresh Chandra Das"/>
    <s v="7365868045"/>
  </r>
  <r>
    <s v="RCF Trombay"/>
    <s v="N.C.Urea(45kg)"/>
    <s v="WB"/>
    <x v="17"/>
    <s v="Krishnagar - I"/>
    <s v="User Not Mapped"/>
    <s v="User Not Mapped"/>
    <s v="User Not Mapped"/>
    <n v="1025124"/>
    <s v="MADAN SADHUKHAN"/>
    <s v="Private Retailer"/>
    <s v="9046197800"/>
    <n v="0.58499999999999996"/>
    <n v="420"/>
    <x v="0"/>
    <m/>
    <s v="2025-02-24"/>
    <s v="280729"/>
    <s v="M/s. Naresh Chandra Das"/>
    <s v="7365868045"/>
  </r>
  <r>
    <s v="RCF Trombay"/>
    <s v="15-15-15"/>
    <s v="WB"/>
    <x v="17"/>
    <s v="Krishnagar - I"/>
    <s v="User Not Mapped"/>
    <s v="User Not Mapped"/>
    <s v="User Not Mapped"/>
    <n v="1025124"/>
    <s v="MADAN SADHUKHAN"/>
    <s v="Private Retailer"/>
    <s v="9046197800"/>
    <n v="2"/>
    <n v="968"/>
    <x v="2"/>
    <m/>
    <s v="2023-08-26"/>
    <s v="280729"/>
    <s v="M/s. Naresh Chandra Das"/>
    <s v="7365868045"/>
  </r>
  <r>
    <s v="RCF Trombay"/>
    <s v="15-15-15"/>
    <s v="WB"/>
    <x v="17"/>
    <s v="Krishnagar - I"/>
    <s v="User Not Mapped"/>
    <s v="User Not Mapped"/>
    <s v="User Not Mapped"/>
    <n v="1025124"/>
    <s v="MADAN SADHUKHAN"/>
    <s v="Private Retailer"/>
    <s v="9046197800"/>
    <n v="0.5"/>
    <n v="727"/>
    <x v="2"/>
    <m/>
    <s v="2024-04-23"/>
    <s v="280729"/>
    <s v="M/s. Naresh Chandra Das"/>
    <s v="7365868045"/>
  </r>
  <r>
    <s v="RCF Trombay"/>
    <s v="15-15-15"/>
    <s v="WB"/>
    <x v="17"/>
    <s v="Krishnagar - I"/>
    <s v="User Not Mapped"/>
    <s v="User Not Mapped"/>
    <s v="User Not Mapped"/>
    <n v="1025124"/>
    <s v="MADAN SADHUKHAN"/>
    <s v="Private Retailer"/>
    <s v="9046197800"/>
    <n v="1"/>
    <n v="654"/>
    <x v="2"/>
    <m/>
    <s v="2024-07-05"/>
    <s v="280729"/>
    <s v="M/s. Naresh Chandra Das"/>
    <s v="7365868045"/>
  </r>
  <r>
    <s v="RCF Trombay"/>
    <s v="15-15-15"/>
    <s v="WB"/>
    <x v="17"/>
    <s v="Krishnagar - I"/>
    <s v="User Not Mapped"/>
    <s v="User Not Mapped"/>
    <s v="User Not Mapped"/>
    <n v="317121"/>
    <s v="Madhusudan Ghosh"/>
    <s v="Private Retailer"/>
    <s v="9474340996"/>
    <n v="0.05"/>
    <n v="172"/>
    <x v="4"/>
    <m/>
    <s v="2025-10-30"/>
    <s v="280729"/>
    <s v="M/s. Naresh Chandra Das"/>
    <s v="7365868045"/>
  </r>
  <r>
    <s v="RCF Trombay"/>
    <s v="N.C.Urea(45kg)"/>
    <s v="WB"/>
    <x v="17"/>
    <s v="Nakashipara"/>
    <s v="User Not Mapped"/>
    <s v="User Not Mapped"/>
    <s v="User Not Mapped"/>
    <n v="461269"/>
    <s v="MAFIJUL SK"/>
    <s v="Private Retailer"/>
    <s v="9735354919"/>
    <n v="29.76"/>
    <n v="215"/>
    <x v="1"/>
    <m/>
    <s v="2025-09-17"/>
    <s v="280729"/>
    <s v="M/s. Naresh Chandra Das"/>
    <s v="7365868045"/>
  </r>
  <r>
    <s v="RCF Thal"/>
    <s v="N.C.Urea(45kg)"/>
    <s v="WB"/>
    <x v="17"/>
    <s v="Nakashipara"/>
    <s v="User Not Mapped"/>
    <s v="User Not Mapped"/>
    <s v="User Not Mapped"/>
    <n v="461269"/>
    <s v="MAFIJUL SK"/>
    <s v="Private Retailer"/>
    <s v="9735354919"/>
    <n v="42.15"/>
    <n v="194"/>
    <x v="1"/>
    <m/>
    <s v="2025-10-08"/>
    <s v="280729"/>
    <s v="M/s. Naresh Chandra Das"/>
    <s v="7365868045"/>
  </r>
  <r>
    <s v="RCF Import"/>
    <s v="MOP"/>
    <s v="WB"/>
    <x v="17"/>
    <s v="Krishnagar - I"/>
    <s v="User Not Mapped"/>
    <s v="User Not Mapped"/>
    <s v="User Not Mapped"/>
    <n v="459368"/>
    <s v="Mahananda Ghosh"/>
    <s v="Private Retailer"/>
    <s v="9083913187"/>
    <n v="0.15"/>
    <n v="25"/>
    <x v="5"/>
    <m/>
    <s v="2026-03-26"/>
    <s v="280729"/>
    <s v="M/s. Naresh Chandra Das"/>
    <s v="7365868045"/>
  </r>
  <r>
    <s v="RCF Trombay"/>
    <s v="15-15-15"/>
    <s v="WB"/>
    <x v="17"/>
    <s v="Krishnagar - I"/>
    <s v="User Not Mapped"/>
    <s v="User Not Mapped"/>
    <s v="User Not Mapped"/>
    <n v="459368"/>
    <s v="Mahananda Ghosh"/>
    <s v="Private Retailer"/>
    <s v="9083913187"/>
    <n v="0.05"/>
    <n v="25"/>
    <x v="5"/>
    <m/>
    <s v="2026-03-26"/>
    <s v="280729"/>
    <s v="M/s. Naresh Chandra Das"/>
    <s v="7365868045"/>
  </r>
  <r>
    <s v="RCF Trombay"/>
    <s v="15-15-15"/>
    <s v="WB"/>
    <x v="17"/>
    <s v="Chakdah"/>
    <s v="User Not Mapped"/>
    <s v="User Not Mapped"/>
    <s v="User Not Mapped"/>
    <n v="341796"/>
    <s v="Mainul Haque"/>
    <s v="Private Retailer"/>
    <s v="9153744930"/>
    <n v="5"/>
    <n v="84"/>
    <x v="6"/>
    <m/>
    <s v="2026-01-26"/>
    <s v="280729"/>
    <s v="M/s. Naresh Chandra Das"/>
    <s v="7365868045"/>
  </r>
  <r>
    <s v="RCF Import"/>
    <s v="MOP"/>
    <s v="WB"/>
    <x v="17"/>
    <m/>
    <s v="User Not Mapped"/>
    <s v="User Not Mapped"/>
    <s v="User Not Mapped"/>
    <n v="1572394"/>
    <s v="MAJIDUL FERTILIZER"/>
    <s v="Private Retailer"/>
    <s v="8637389585"/>
    <n v="0.8"/>
    <n v="53"/>
    <x v="3"/>
    <m/>
    <s v="2026-02-26"/>
    <s v="280729"/>
    <s v="M/s. Naresh Chandra Das"/>
    <s v="7365868045"/>
  </r>
  <r>
    <s v="RCF Trombay"/>
    <s v="N.C.Urea(45kg)"/>
    <s v="WB"/>
    <x v="17"/>
    <s v="Krishnagar - I"/>
    <s v="User Not Mapped"/>
    <s v="User Not Mapped"/>
    <s v="User Not Mapped"/>
    <n v="440995"/>
    <s v="Majumder Fertilizer"/>
    <s v="Private Retailer"/>
    <s v="9593061941"/>
    <n v="1.665"/>
    <n v="53"/>
    <x v="3"/>
    <m/>
    <s v="2026-02-26"/>
    <s v="280729"/>
    <s v="M/s. Naresh Chandra Das"/>
    <s v="7365868045"/>
  </r>
  <r>
    <s v="RCF Trombay"/>
    <s v="15-15-15"/>
    <s v="WB"/>
    <x v="17"/>
    <s v="Krishnagar - I"/>
    <s v="User Not Mapped"/>
    <s v="User Not Mapped"/>
    <s v="User Not Mapped"/>
    <n v="440995"/>
    <s v="Majumder Fertilizer"/>
    <s v="Private Retailer"/>
    <s v="9593061941"/>
    <n v="1.2"/>
    <n v="52"/>
    <x v="3"/>
    <m/>
    <s v="2026-02-27"/>
    <s v="280729"/>
    <s v="M/s. Naresh Chandra Das"/>
    <s v="7365868045"/>
  </r>
  <r>
    <s v="RCF Trombay"/>
    <s v="N.C.Urea(45kg)"/>
    <s v="WB"/>
    <x v="17"/>
    <s v="Krishnagar - I"/>
    <s v="User Not Mapped"/>
    <s v="User Not Mapped"/>
    <s v="User Not Mapped"/>
    <n v="864312"/>
    <s v="MANDAL FERTILIZER"/>
    <s v="Private Retailer"/>
    <s v="7047448915"/>
    <n v="0.04"/>
    <n v="391"/>
    <x v="0"/>
    <m/>
    <s v="2025-03-25"/>
    <s v="280729"/>
    <s v="M/s. Naresh Chandra Das"/>
    <s v="7365868045"/>
  </r>
  <r>
    <s v="RCF Trombay"/>
    <s v="N.C.Urea(45kg)"/>
    <s v="WB"/>
    <x v="17"/>
    <s v="Tehatta - I"/>
    <s v="User Not Mapped"/>
    <s v="User Not Mapped"/>
    <s v="User Not Mapped"/>
    <n v="464446"/>
    <s v="Mandal Fertilizers"/>
    <s v="Private Retailer"/>
    <s v="9800553725"/>
    <n v="0.45"/>
    <n v="132"/>
    <x v="4"/>
    <m/>
    <s v="2025-12-09"/>
    <s v="280729"/>
    <s v="M/s. Naresh Chandra Das"/>
    <s v="7365868045"/>
  </r>
  <r>
    <s v="RCF Thal"/>
    <s v="N.C.Urea(45kg)"/>
    <s v="WB"/>
    <x v="17"/>
    <s v="Krishnagar - I"/>
    <s v="User Not Mapped"/>
    <s v="User Not Mapped"/>
    <s v="User Not Mapped"/>
    <n v="440756"/>
    <s v="Manik Ch Ghosh"/>
    <s v="Private Retailer"/>
    <s v="6294509390"/>
    <n v="0.9"/>
    <n v="5"/>
    <x v="5"/>
    <m/>
    <s v="2026-04-15"/>
    <s v="280729"/>
    <s v="M/s. Naresh Chandra Das"/>
    <s v="7365868045"/>
  </r>
  <r>
    <s v="RCF Import"/>
    <s v="MOP"/>
    <s v="WB"/>
    <x v="17"/>
    <s v="Chapra"/>
    <s v="User Not Mapped"/>
    <s v="User Not Mapped"/>
    <s v="User Not Mapped"/>
    <n v="1063015"/>
    <s v="MANOJ KUMAR MONDAL"/>
    <s v="Private Retailer"/>
    <s v="7797475920"/>
    <n v="7.3"/>
    <n v="33"/>
    <x v="3"/>
    <m/>
    <s v="2026-03-18"/>
    <s v="280729"/>
    <s v="M/s. Naresh Chandra Das"/>
    <s v="7365868045"/>
  </r>
  <r>
    <s v="RCF Trombay"/>
    <s v="N.C.Urea(45kg)"/>
    <s v="WB"/>
    <x v="17"/>
    <s v="Karimpur - II"/>
    <s v="User Not Mapped"/>
    <s v="User Not Mapped"/>
    <s v="User Not Mapped"/>
    <n v="1062559"/>
    <s v="MASIBUL SARDAR"/>
    <s v="Private Retailer"/>
    <s v="9733028608"/>
    <n v="0.22500000000000001"/>
    <n v="1193"/>
    <x v="2"/>
    <m/>
    <s v="2023-01-13"/>
    <s v="280729"/>
    <s v="M/s. Naresh Chandra Das"/>
    <s v="7365868045"/>
  </r>
  <r>
    <s v="RCF Trombay"/>
    <s v="15-15-15"/>
    <s v="WB"/>
    <x v="17"/>
    <s v="Krishnagar - I"/>
    <s v="User Not Mapped"/>
    <s v="User Not Mapped"/>
    <s v="User Not Mapped"/>
    <n v="1042533"/>
    <s v="MD ISLAM SHAIK"/>
    <s v="Private Retailer"/>
    <s v="9832525359"/>
    <n v="1.5"/>
    <n v="172"/>
    <x v="4"/>
    <m/>
    <s v="2025-10-30"/>
    <s v="280729"/>
    <s v="M/s. Naresh Chandra Das"/>
    <s v="7365868045"/>
  </r>
  <r>
    <s v="RCF Trombay"/>
    <s v="15-15-15"/>
    <s v="WB"/>
    <x v="17"/>
    <s v="Nabadwip"/>
    <s v="User Not Mapped"/>
    <s v="User Not Mapped"/>
    <s v="User Not Mapped"/>
    <n v="944028"/>
    <s v="MD KAMAL ALI SK"/>
    <s v="Private Retailer"/>
    <s v="9749809074"/>
    <n v="3.2"/>
    <n v="53"/>
    <x v="3"/>
    <m/>
    <s v="2026-02-26"/>
    <s v="280729"/>
    <s v="M/s. Naresh Chandra Das"/>
    <s v="7365868045"/>
  </r>
  <r>
    <s v="RCF Trombay"/>
    <s v="N.C.Urea(45kg)"/>
    <s v="WB"/>
    <x v="17"/>
    <s v="Haringhata"/>
    <s v="User Not Mapped"/>
    <s v="User Not Mapped"/>
    <s v="User Not Mapped"/>
    <n v="341931"/>
    <s v="Mikail Mondal"/>
    <s v="Private Retailer"/>
    <s v="8001582562"/>
    <n v="0.01"/>
    <n v="797"/>
    <x v="2"/>
    <m/>
    <s v="2024-02-13"/>
    <s v="280729"/>
    <s v="M/s. Naresh Chandra Das"/>
    <s v="7365868045"/>
  </r>
  <r>
    <s v="RCF Trombay"/>
    <s v="15-15-15"/>
    <s v="WB"/>
    <x v="17"/>
    <s v="Krishnagar - I"/>
    <s v="User Not Mapped"/>
    <s v="User Not Mapped"/>
    <s v="User Not Mapped"/>
    <n v="777491"/>
    <s v="MIRJA HAKIM MONDAL"/>
    <s v="Private Retailer"/>
    <s v="9735385205"/>
    <n v="0.05"/>
    <n v="69"/>
    <x v="6"/>
    <m/>
    <s v="2026-02-10"/>
    <s v="280729"/>
    <s v="M/s. Naresh Chandra Das"/>
    <s v="7365868045"/>
  </r>
  <r>
    <s v="RCF Trombay"/>
    <s v="15-15-15"/>
    <s v="WB"/>
    <x v="17"/>
    <s v="Ranaghat - I"/>
    <s v="User Not Mapped"/>
    <s v="User Not Mapped"/>
    <s v="User Not Mapped"/>
    <n v="340809"/>
    <s v="MlS  ANANTA DUTTA"/>
    <s v="Private Retailer"/>
    <s v="9734877585"/>
    <n v="7.95"/>
    <n v="52"/>
    <x v="3"/>
    <m/>
    <s v="2026-02-27"/>
    <s v="280729"/>
    <s v="M/s. Naresh Chandra Das"/>
    <s v="7365868045"/>
  </r>
  <r>
    <s v="RCF Thal"/>
    <s v="N.C.Urea(45kg)"/>
    <s v="WB"/>
    <x v="17"/>
    <s v="Ranaghat - I"/>
    <s v="User Not Mapped"/>
    <s v="User Not Mapped"/>
    <s v="User Not Mapped"/>
    <n v="340809"/>
    <s v="MlS  ANANTA DUTTA"/>
    <s v="Private Retailer"/>
    <s v="9734877585"/>
    <n v="0.495"/>
    <n v="53"/>
    <x v="3"/>
    <m/>
    <s v="2026-02-26"/>
    <s v="280729"/>
    <s v="M/s. Naresh Chandra Das"/>
    <s v="7365868045"/>
  </r>
  <r>
    <s v="RCF Trombay"/>
    <s v="N.C.Urea(45kg)"/>
    <s v="WB"/>
    <x v="17"/>
    <s v="Ranaghat - I"/>
    <s v="User Not Mapped"/>
    <s v="User Not Mapped"/>
    <s v="User Not Mapped"/>
    <n v="340809"/>
    <s v="MlS  ANANTA DUTTA"/>
    <s v="Private Retailer"/>
    <s v="9734877585"/>
    <n v="4.4999999999999998E-2"/>
    <n v="81"/>
    <x v="6"/>
    <m/>
    <s v="2026-01-29"/>
    <s v="280729"/>
    <s v="M/s. Naresh Chandra Das"/>
    <s v="7365868045"/>
  </r>
  <r>
    <s v="RCF Trombay"/>
    <s v="N.C.Urea(45kg)"/>
    <s v="WB"/>
    <x v="17"/>
    <m/>
    <s v="User Not Mapped"/>
    <s v="User Not Mapped"/>
    <s v="User Not Mapped"/>
    <n v="470908"/>
    <s v="MONDAL FEHTILIZEH"/>
    <s v="Private Retailer"/>
    <s v="9064300814"/>
    <n v="8.4600000000000009"/>
    <n v="390"/>
    <x v="0"/>
    <m/>
    <s v="2025-03-26"/>
    <s v="280729"/>
    <s v="M/s. Naresh Chandra Das"/>
    <s v="7365868045"/>
  </r>
  <r>
    <s v="RCF Trombay"/>
    <s v="N.C.Urea(45kg)"/>
    <s v="WB"/>
    <x v="17"/>
    <m/>
    <s v="User Not Mapped"/>
    <s v="User Not Mapped"/>
    <s v="User Not Mapped"/>
    <n v="1636196"/>
    <s v="MONDAL FERTILIZER PROP ATAUR MONDAL"/>
    <s v="Private Retailer"/>
    <s v="7908831973"/>
    <n v="4.4999999999999998E-2"/>
    <n v="33"/>
    <x v="3"/>
    <m/>
    <s v="2026-03-18"/>
    <s v="280729"/>
    <s v="M/s. Naresh Chandra Das"/>
    <s v="7365868045"/>
  </r>
  <r>
    <s v="RCF Trombay"/>
    <s v="15-15-15"/>
    <s v="WB"/>
    <x v="17"/>
    <s v="Chapra"/>
    <s v="User Not Mapped"/>
    <s v="User Not Mapped"/>
    <s v="User Not Mapped"/>
    <n v="1059602"/>
    <s v="MONDAL FERTILIZER PROP SADAR A"/>
    <s v="Private Retailer"/>
    <s v="6294254573"/>
    <n v="1.65"/>
    <n v="508"/>
    <x v="0"/>
    <m/>
    <s v="2024-11-28"/>
    <s v="280729"/>
    <s v="M/s. Naresh Chandra Das"/>
    <s v="7365868045"/>
  </r>
  <r>
    <s v="RCF Trombay"/>
    <s v="N.C.Urea(45kg)"/>
    <s v="WB"/>
    <x v="17"/>
    <s v="Chapra"/>
    <s v="User Not Mapped"/>
    <s v="User Not Mapped"/>
    <s v="User Not Mapped"/>
    <n v="1059602"/>
    <s v="MONDAL FERTILIZER PROP SADAR A"/>
    <s v="Private Retailer"/>
    <s v="6294254573"/>
    <n v="4.5"/>
    <n v="508"/>
    <x v="0"/>
    <m/>
    <s v="2024-11-28"/>
    <s v="280729"/>
    <s v="M/s. Naresh Chandra Das"/>
    <s v="7365868045"/>
  </r>
  <r>
    <s v="RCF Trombay"/>
    <s v="N.C.Urea(45kg)"/>
    <s v="WB"/>
    <x v="17"/>
    <s v="Krishnagar - I"/>
    <s v="User Not Mapped"/>
    <s v="User Not Mapped"/>
    <s v="User Not Mapped"/>
    <n v="440981"/>
    <s v="Mondal Traders"/>
    <s v="Private Retailer"/>
    <s v="8509974742"/>
    <n v="2.4750000000000001"/>
    <n v="79"/>
    <x v="6"/>
    <m/>
    <s v="2026-01-31"/>
    <s v="280729"/>
    <s v="M/s. Naresh Chandra Das"/>
    <s v="7365868045"/>
  </r>
  <r>
    <s v="RCF Trombay"/>
    <s v="15-15-15"/>
    <s v="WB"/>
    <x v="17"/>
    <s v="Krishnagar - I"/>
    <s v="User Not Mapped"/>
    <s v="User Not Mapped"/>
    <s v="User Not Mapped"/>
    <n v="440981"/>
    <s v="Mondal Traders"/>
    <s v="Private Retailer"/>
    <s v="8509974742"/>
    <n v="2.35"/>
    <n v="79"/>
    <x v="6"/>
    <m/>
    <s v="2026-01-31"/>
    <s v="280729"/>
    <s v="M/s. Naresh Chandra Das"/>
    <s v="7365868045"/>
  </r>
  <r>
    <s v="RCF Trombay"/>
    <s v="N.C.Urea(45kg)"/>
    <s v="WB"/>
    <x v="17"/>
    <s v="Hanskhali"/>
    <s v="User Not Mapped"/>
    <s v="User Not Mapped"/>
    <s v="User Not Mapped"/>
    <n v="1062070"/>
    <s v="MONGAL CHANDRA MONDAL"/>
    <s v="Private Retailer"/>
    <s v="8158896785"/>
    <n v="2.4300000000000002"/>
    <n v="1298"/>
    <x v="2"/>
    <m/>
    <s v="2022-09-30"/>
    <s v="280729"/>
    <s v="M/s. Naresh Chandra Das"/>
    <s v="7365868045"/>
  </r>
  <r>
    <s v="RCF Trombay"/>
    <s v="15-15-15"/>
    <s v="WB"/>
    <x v="17"/>
    <s v="Hanskhali"/>
    <s v="User Not Mapped"/>
    <s v="User Not Mapped"/>
    <s v="User Not Mapped"/>
    <n v="1062070"/>
    <s v="MONGAL CHANDRA MONDAL"/>
    <s v="Private Retailer"/>
    <s v="8158896785"/>
    <n v="7.25"/>
    <n v="1298"/>
    <x v="2"/>
    <m/>
    <s v="2022-09-30"/>
    <s v="280729"/>
    <s v="M/s. Naresh Chandra Das"/>
    <s v="7365868045"/>
  </r>
  <r>
    <s v="RCF Thal"/>
    <s v="N.C.Urea(45kg)"/>
    <s v="WB"/>
    <x v="17"/>
    <s v="Hanskhali"/>
    <s v="User Not Mapped"/>
    <s v="User Not Mapped"/>
    <s v="User Not Mapped"/>
    <n v="438822"/>
    <s v="Monimohan Samajpati"/>
    <s v="Private Retailer"/>
    <s v="8537091720"/>
    <n v="15.93"/>
    <n v="390"/>
    <x v="0"/>
    <m/>
    <s v="2025-03-26"/>
    <s v="280729"/>
    <s v="M/s. Naresh Chandra Das"/>
    <s v="7365868045"/>
  </r>
  <r>
    <s v="RCF Trombay"/>
    <s v="15-15-15"/>
    <s v="WB"/>
    <x v="17"/>
    <s v="Haringhata"/>
    <s v="User Not Mapped"/>
    <s v="User Not Mapped"/>
    <s v="User Not Mapped"/>
    <n v="341981"/>
    <s v="Monirul Mondal"/>
    <s v="Private Retailer"/>
    <s v="9647351779"/>
    <n v="2.355"/>
    <n v="51"/>
    <x v="3"/>
    <m/>
    <s v="2026-02-28"/>
    <s v="280729"/>
    <s v="M/s. Naresh Chandra Das"/>
    <s v="7365868045"/>
  </r>
  <r>
    <s v="RCF Import"/>
    <s v="MOP"/>
    <s v="WB"/>
    <x v="17"/>
    <s v="Haringhata"/>
    <s v="User Not Mapped"/>
    <s v="User Not Mapped"/>
    <s v="User Not Mapped"/>
    <n v="341981"/>
    <s v="Monirul Mondal"/>
    <s v="Private Retailer"/>
    <s v="9647351779"/>
    <n v="5.5"/>
    <n v="52"/>
    <x v="3"/>
    <m/>
    <s v="2026-02-27"/>
    <s v="280729"/>
    <s v="M/s. Naresh Chandra Das"/>
    <s v="7365868045"/>
  </r>
  <r>
    <s v="RCF Import"/>
    <s v="Imp 10-26-26"/>
    <s v="WB"/>
    <x v="17"/>
    <s v="Haringhata"/>
    <s v="User Not Mapped"/>
    <s v="User Not Mapped"/>
    <s v="User Not Mapped"/>
    <n v="341981"/>
    <s v="Monirul Mondal"/>
    <s v="Private Retailer"/>
    <s v="9647351779"/>
    <n v="1.4"/>
    <n v="44"/>
    <x v="3"/>
    <m/>
    <s v="2026-03-07"/>
    <s v="280729"/>
    <s v="M/s. Naresh Chandra Das"/>
    <s v="7365868045"/>
  </r>
  <r>
    <s v="RCF Trombay"/>
    <s v="15-15-15"/>
    <s v="WB"/>
    <x v="17"/>
    <s v="Nabadwip"/>
    <s v="User Not Mapped"/>
    <s v="User Not Mapped"/>
    <s v="User Not Mapped"/>
    <n v="464366"/>
    <s v="Monowar Mondal"/>
    <s v="Private Retailer"/>
    <s v="9153130834"/>
    <n v="10"/>
    <n v="52"/>
    <x v="3"/>
    <m/>
    <s v="2026-02-27"/>
    <s v="280729"/>
    <s v="M/s. Naresh Chandra Das"/>
    <s v="7365868045"/>
  </r>
  <r>
    <s v="RCF Trombay"/>
    <s v="15-15-15"/>
    <s v="WB"/>
    <x v="17"/>
    <m/>
    <s v="User Not Mapped"/>
    <s v="User Not Mapped"/>
    <s v="User Not Mapped"/>
    <n v="355699"/>
    <s v="Montaz Alijahangir"/>
    <s v="Private Retailer"/>
    <s v="9153050137"/>
    <n v="0.25"/>
    <n v="228"/>
    <x v="1"/>
    <m/>
    <s v="2025-09-04"/>
    <s v="280729"/>
    <s v="M/s. Naresh Chandra Das"/>
    <s v="7365868045"/>
  </r>
  <r>
    <s v="RCF Trombay"/>
    <s v="N.C.Urea(45kg)"/>
    <s v="WB"/>
    <x v="17"/>
    <s v="Haringhata"/>
    <s v="User Not Mapped"/>
    <s v="User Not Mapped"/>
    <s v="User Not Mapped"/>
    <n v="951407"/>
    <s v="MONTU MONDAL"/>
    <s v="Private Retailer"/>
    <s v="9593285638"/>
    <n v="5.0049999999999999"/>
    <n v="797"/>
    <x v="2"/>
    <m/>
    <s v="2024-02-13"/>
    <s v="280729"/>
    <s v="M/s. Naresh Chandra Das"/>
    <s v="7365868045"/>
  </r>
  <r>
    <s v="RCF Thal"/>
    <s v="N.C.Urea(45kg)"/>
    <s v="WB"/>
    <x v="17"/>
    <s v="Haringhata"/>
    <s v="User Not Mapped"/>
    <s v="User Not Mapped"/>
    <s v="User Not Mapped"/>
    <n v="951407"/>
    <s v="MONTU MONDAL"/>
    <s v="Private Retailer"/>
    <s v="9593285638"/>
    <n v="2.0699999999999998"/>
    <n v="1057"/>
    <x v="2"/>
    <m/>
    <s v="2023-05-29"/>
    <s v="280729"/>
    <s v="M/s. Naresh Chandra Das"/>
    <s v="7365868045"/>
  </r>
  <r>
    <s v="RCF Trombay"/>
    <s v="15-15-15"/>
    <s v="WB"/>
    <x v="17"/>
    <m/>
    <s v="User Not Mapped"/>
    <s v="User Not Mapped"/>
    <s v="User Not Mapped"/>
    <n v="341995"/>
    <s v="Mousumi Fertilizer"/>
    <s v="Private Retailer"/>
    <s v="8609026761"/>
    <n v="0.5"/>
    <n v="1355"/>
    <x v="2"/>
    <m/>
    <s v="2022-08-04"/>
    <s v="280729"/>
    <s v="M/s. Naresh Chandra Das"/>
    <s v="7365868045"/>
  </r>
  <r>
    <s v="RCF Trombay"/>
    <s v="15-15-15"/>
    <s v="WB"/>
    <x v="17"/>
    <m/>
    <s v="User Not Mapped"/>
    <s v="User Not Mapped"/>
    <s v="User Not Mapped"/>
    <n v="341995"/>
    <s v="Mousumi Fertilizer"/>
    <s v="Private Retailer"/>
    <s v="8609026761"/>
    <n v="0.25"/>
    <n v="1146"/>
    <x v="2"/>
    <m/>
    <s v="2023-03-01"/>
    <s v="280729"/>
    <s v="M/s. Naresh Chandra Das"/>
    <s v="7365868045"/>
  </r>
  <r>
    <s v="RCF Trombay"/>
    <s v="N.C.Urea(45kg)"/>
    <s v="WB"/>
    <x v="17"/>
    <m/>
    <s v="User Not Mapped"/>
    <s v="User Not Mapped"/>
    <s v="User Not Mapped"/>
    <n v="341995"/>
    <s v="Mousumi Fertilizer"/>
    <s v="Private Retailer"/>
    <s v="8609026761"/>
    <n v="0.63"/>
    <n v="1146"/>
    <x v="2"/>
    <m/>
    <s v="2023-03-01"/>
    <s v="280729"/>
    <s v="M/s. Naresh Chandra Das"/>
    <s v="7365868045"/>
  </r>
  <r>
    <s v="RCF Trombay"/>
    <s v="15-15-15"/>
    <s v="WB"/>
    <x v="17"/>
    <m/>
    <s v="User Not Mapped"/>
    <s v="User Not Mapped"/>
    <s v="User Not Mapped"/>
    <n v="341995"/>
    <s v="Mousumi Fertilizer"/>
    <s v="Private Retailer"/>
    <s v="8609026761"/>
    <n v="0.5"/>
    <n v="1509"/>
    <x v="2"/>
    <m/>
    <s v="2022-03-03"/>
    <s v="280729"/>
    <s v="M/s. Naresh Chandra Das"/>
    <s v="7365868045"/>
  </r>
  <r>
    <s v="RCF Thal"/>
    <s v="N.C.Urea(45kg)"/>
    <s v="WB"/>
    <x v="17"/>
    <m/>
    <s v="User Not Mapped"/>
    <s v="User Not Mapped"/>
    <s v="User Not Mapped"/>
    <n v="341995"/>
    <s v="Mousumi Fertilizer"/>
    <s v="Private Retailer"/>
    <s v="8609026761"/>
    <n v="1.8"/>
    <n v="1459"/>
    <x v="2"/>
    <m/>
    <s v="2022-04-22"/>
    <s v="280729"/>
    <s v="M/s. Naresh Chandra Das"/>
    <s v="7365868045"/>
  </r>
  <r>
    <s v="RCF Trombay"/>
    <s v="15-15-15"/>
    <s v="WB"/>
    <x v="17"/>
    <m/>
    <s v="User Not Mapped"/>
    <s v="User Not Mapped"/>
    <s v="User Not Mapped"/>
    <n v="341998"/>
    <s v="Mrinal Kanti Karmakar"/>
    <s v="Private Retailer"/>
    <s v="8001519461"/>
    <n v="0.25"/>
    <n v="206"/>
    <x v="1"/>
    <m/>
    <s v="2025-09-26"/>
    <s v="280729"/>
    <s v="M/s. Naresh Chandra Das"/>
    <s v="7365868045"/>
  </r>
  <r>
    <s v="RCF Trombay"/>
    <s v="15-15-15"/>
    <s v="WB"/>
    <x v="17"/>
    <s v="Hanskhali"/>
    <s v="User Not Mapped"/>
    <s v="User Not Mapped"/>
    <s v="User Not Mapped"/>
    <n v="940240"/>
    <s v="MS ASIT KUMAR BAIDYA"/>
    <s v="Private Retailer"/>
    <s v="9932032662"/>
    <n v="1.75"/>
    <n v="84"/>
    <x v="6"/>
    <m/>
    <s v="2026-01-26"/>
    <s v="280729"/>
    <s v="M/s. Naresh Chandra Das"/>
    <s v="7365868045"/>
  </r>
  <r>
    <s v="RCF Import"/>
    <s v="MOP"/>
    <s v="WB"/>
    <x v="17"/>
    <s v="Hanskhali"/>
    <s v="User Not Mapped"/>
    <s v="User Not Mapped"/>
    <s v="User Not Mapped"/>
    <n v="940240"/>
    <s v="MS ASIT KUMAR BAIDYA"/>
    <s v="Private Retailer"/>
    <s v="9932032662"/>
    <n v="0.75"/>
    <n v="25"/>
    <x v="5"/>
    <m/>
    <s v="2026-03-26"/>
    <s v="280729"/>
    <s v="M/s. Naresh Chandra Das"/>
    <s v="7365868045"/>
  </r>
  <r>
    <s v="RCF Trombay"/>
    <s v="15-15-15"/>
    <s v="WB"/>
    <x v="17"/>
    <s v="Chapra"/>
    <s v="User Not Mapped"/>
    <s v="User Not Mapped"/>
    <s v="User Not Mapped"/>
    <n v="440506"/>
    <s v="MS BHUMI LAXMI FERTILIZERS"/>
    <s v="Private Retailer"/>
    <s v="9382703922"/>
    <n v="0.65"/>
    <n v="65"/>
    <x v="6"/>
    <m/>
    <s v="2026-02-14"/>
    <s v="280729"/>
    <s v="M/s. Naresh Chandra Das"/>
    <s v="7365868045"/>
  </r>
  <r>
    <s v="RCF Trombay"/>
    <s v="15-15-15"/>
    <s v="WB"/>
    <x v="17"/>
    <s v="Santipur"/>
    <s v="User Not Mapped"/>
    <s v="User Not Mapped"/>
    <s v="User Not Mapped"/>
    <n v="1033484"/>
    <s v="MS BISWAS FERTIIZER"/>
    <s v="Private Retailer"/>
    <s v="7031728188"/>
    <n v="1"/>
    <n v="69"/>
    <x v="6"/>
    <m/>
    <s v="2026-02-10"/>
    <s v="280729"/>
    <s v="M/s. Naresh Chandra Das"/>
    <s v="7365868045"/>
  </r>
  <r>
    <s v="RCF Trombay"/>
    <s v="15-15-15"/>
    <s v="WB"/>
    <x v="17"/>
    <s v="Santipur"/>
    <s v="User Not Mapped"/>
    <s v="User Not Mapped"/>
    <s v="User Not Mapped"/>
    <n v="218912"/>
    <s v="MS BISWAS FERTILIZER"/>
    <s v="Private Retailer"/>
    <s v="9647146919"/>
    <n v="0.5"/>
    <n v="53"/>
    <x v="3"/>
    <m/>
    <s v="2026-02-26"/>
    <s v="280729"/>
    <s v="M/s. Naresh Chandra Das"/>
    <s v="7365868045"/>
  </r>
  <r>
    <s v="RCF Trombay"/>
    <s v="15-15-15"/>
    <s v="WB"/>
    <x v="17"/>
    <s v="Chapra"/>
    <s v="User Not Mapped"/>
    <s v="User Not Mapped"/>
    <s v="User Not Mapped"/>
    <n v="940924"/>
    <s v="MS DAYAL FERTILIZER"/>
    <s v="Private Retailer"/>
    <s v="8597071021"/>
    <n v="2"/>
    <n v="79"/>
    <x v="6"/>
    <m/>
    <s v="2026-01-31"/>
    <s v="280729"/>
    <s v="M/s. Naresh Chandra Das"/>
    <s v="7365868045"/>
  </r>
  <r>
    <s v="RCF Trombay"/>
    <s v="15-15-15"/>
    <s v="WB"/>
    <x v="17"/>
    <s v="Chapra"/>
    <s v="User Not Mapped"/>
    <s v="User Not Mapped"/>
    <s v="User Not Mapped"/>
    <n v="441479"/>
    <s v="MS Debrata Biswas"/>
    <s v="Private Retailer"/>
    <s v="9735726465"/>
    <n v="1"/>
    <n v="60"/>
    <x v="3"/>
    <m/>
    <s v="2026-02-19"/>
    <s v="280729"/>
    <s v="M/s. Naresh Chandra Das"/>
    <s v="7365868045"/>
  </r>
  <r>
    <s v="RCF Trombay"/>
    <s v="15-15-15"/>
    <s v="WB"/>
    <x v="17"/>
    <s v="Krishnagar - I"/>
    <s v="User Not Mapped"/>
    <s v="User Not Mapped"/>
    <s v="User Not Mapped"/>
    <n v="916458"/>
    <s v="MS GANESH CHANDRA MONDAL"/>
    <s v="Private Retailer"/>
    <s v="6297898687"/>
    <n v="0.75"/>
    <n v="10"/>
    <x v="5"/>
    <m/>
    <s v="2026-04-10"/>
    <s v="280729"/>
    <s v="M/s. Naresh Chandra Das"/>
    <s v="7365868045"/>
  </r>
  <r>
    <s v="RCF Trombay"/>
    <s v="15-15-15"/>
    <s v="WB"/>
    <x v="17"/>
    <s v="Krishnagar - I"/>
    <s v="User Not Mapped"/>
    <s v="User Not Mapped"/>
    <s v="User Not Mapped"/>
    <n v="916458"/>
    <s v="MS GANESH CHANDRA MONDAL"/>
    <s v="Private Retailer"/>
    <s v="6297898687"/>
    <n v="1.6850000000000001"/>
    <n v="53"/>
    <x v="3"/>
    <m/>
    <s v="2026-02-26"/>
    <s v="280729"/>
    <s v="M/s. Naresh Chandra Das"/>
    <s v="7365868045"/>
  </r>
  <r>
    <s v="RCF Trombay"/>
    <s v="N.C.Urea(45kg)"/>
    <s v="WB"/>
    <x v="17"/>
    <s v="Krishnagar - I"/>
    <s v="User Not Mapped"/>
    <s v="User Not Mapped"/>
    <s v="User Not Mapped"/>
    <n v="1063098"/>
    <s v="MS IKBAL JAFAR"/>
    <s v="Private Retailer"/>
    <s v="9734616920"/>
    <n v="0.45"/>
    <n v="58"/>
    <x v="3"/>
    <m/>
    <s v="2026-02-21"/>
    <s v="280729"/>
    <s v="M/s. Naresh Chandra Das"/>
    <s v="7365868045"/>
  </r>
  <r>
    <s v="RCF Trombay"/>
    <s v="15-15-15"/>
    <s v="WB"/>
    <x v="17"/>
    <s v="Krishnagar - I"/>
    <s v="User Not Mapped"/>
    <s v="User Not Mapped"/>
    <s v="User Not Mapped"/>
    <n v="1063098"/>
    <s v="MS IKBAL JAFAR"/>
    <s v="Private Retailer"/>
    <s v="9734616920"/>
    <n v="0.3"/>
    <n v="58"/>
    <x v="3"/>
    <m/>
    <s v="2026-02-21"/>
    <s v="280729"/>
    <s v="M/s. Naresh Chandra Das"/>
    <s v="7365868045"/>
  </r>
  <r>
    <s v="RCF Trombay"/>
    <s v="N.C.Urea(45kg)"/>
    <s v="WB"/>
    <x v="17"/>
    <s v="Chapra"/>
    <s v="User Not Mapped"/>
    <s v="User Not Mapped"/>
    <s v="User Not Mapped"/>
    <n v="341215"/>
    <s v="MS MA KALI FERTILIZER"/>
    <s v="Private Retailer"/>
    <s v="7585871157"/>
    <n v="1.4850000000000001"/>
    <n v="167"/>
    <x v="4"/>
    <m/>
    <s v="2025-11-04"/>
    <s v="280729"/>
    <s v="M/s. Naresh Chandra Das"/>
    <s v="7365868045"/>
  </r>
  <r>
    <s v="RCF Trombay"/>
    <s v="N.C.Urea(45kg)"/>
    <s v="WB"/>
    <x v="17"/>
    <s v="Chapra"/>
    <s v="User Not Mapped"/>
    <s v="User Not Mapped"/>
    <s v="User Not Mapped"/>
    <n v="341215"/>
    <s v="MS MA KALI FERTILIZER"/>
    <s v="Private Retailer"/>
    <s v="7585871157"/>
    <n v="4.9950000000000001"/>
    <n v="32"/>
    <x v="3"/>
    <m/>
    <s v="2026-03-19"/>
    <s v="280729"/>
    <s v="M/s. Naresh Chandra Das"/>
    <s v="7365868045"/>
  </r>
  <r>
    <s v="RCF Import"/>
    <s v="MOP"/>
    <s v="WB"/>
    <x v="17"/>
    <s v="Chapra"/>
    <s v="User Not Mapped"/>
    <s v="User Not Mapped"/>
    <s v="User Not Mapped"/>
    <n v="341215"/>
    <s v="MS MA KALI FERTILIZER"/>
    <s v="Private Retailer"/>
    <s v="7585871157"/>
    <n v="0.75"/>
    <n v="32"/>
    <x v="3"/>
    <m/>
    <s v="2026-03-19"/>
    <s v="280729"/>
    <s v="M/s. Naresh Chandra Das"/>
    <s v="7365868045"/>
  </r>
  <r>
    <s v="RCF Trombay"/>
    <s v="15-15-15"/>
    <s v="WB"/>
    <x v="17"/>
    <s v="Chapra"/>
    <s v="User Not Mapped"/>
    <s v="User Not Mapped"/>
    <s v="User Not Mapped"/>
    <n v="341215"/>
    <s v="MS MA KALI FERTILIZER"/>
    <s v="Private Retailer"/>
    <s v="7585871157"/>
    <n v="1"/>
    <n v="32"/>
    <x v="3"/>
    <m/>
    <s v="2026-03-19"/>
    <s v="280729"/>
    <s v="M/s. Naresh Chandra Das"/>
    <s v="7365868045"/>
  </r>
  <r>
    <s v="RCF Trombay"/>
    <s v="N.C.Urea(45kg)"/>
    <s v="WB"/>
    <x v="17"/>
    <s v="Chapra"/>
    <s v="User Not Mapped"/>
    <s v="User Not Mapped"/>
    <s v="User Not Mapped"/>
    <n v="341215"/>
    <s v="MS MA KALI FERTILIZER"/>
    <s v="Private Retailer"/>
    <s v="7585871157"/>
    <n v="4.9950000000000001"/>
    <n v="82"/>
    <x v="6"/>
    <m/>
    <s v="2026-01-28"/>
    <s v="280729"/>
    <s v="M/s. Naresh Chandra Das"/>
    <s v="7365868045"/>
  </r>
  <r>
    <s v="RCF Trombay"/>
    <s v="15-15-15"/>
    <s v="WB"/>
    <x v="17"/>
    <s v="Chapra"/>
    <s v="User Not Mapped"/>
    <s v="User Not Mapped"/>
    <s v="User Not Mapped"/>
    <n v="440963"/>
    <s v="MS MARUF FERTILIZER"/>
    <s v="Private Retailer"/>
    <s v="7029928848"/>
    <n v="0.95"/>
    <n v="159"/>
    <x v="4"/>
    <m/>
    <s v="2025-11-12"/>
    <s v="280729"/>
    <s v="M/s. Naresh Chandra Das"/>
    <s v="7365868045"/>
  </r>
  <r>
    <s v="RCF Trombay"/>
    <s v="15-15-15"/>
    <s v="WB"/>
    <x v="17"/>
    <s v="Hanskhali"/>
    <s v="User Not Mapped"/>
    <s v="User Not Mapped"/>
    <s v="User Not Mapped"/>
    <n v="243889"/>
    <s v="MS NABAYUG LS CO OP AGRIL CR S"/>
    <s v="PACS"/>
    <s v="9475236410"/>
    <n v="9.1"/>
    <n v="84"/>
    <x v="6"/>
    <m/>
    <s v="2026-01-26"/>
    <s v="280729"/>
    <s v="M/s. Naresh Chandra Das"/>
    <s v="7365868045"/>
  </r>
  <r>
    <s v="RCF Import"/>
    <s v="MOP"/>
    <s v="WB"/>
    <x v="17"/>
    <s v="Hanskhali"/>
    <s v="User Not Mapped"/>
    <s v="User Not Mapped"/>
    <s v="User Not Mapped"/>
    <n v="342028"/>
    <s v="MS Nadiram Sarkar"/>
    <s v="Private Retailer"/>
    <s v="8250333873"/>
    <n v="0.25"/>
    <n v="25"/>
    <x v="5"/>
    <m/>
    <s v="2026-03-26"/>
    <s v="280729"/>
    <s v="M/s. Naresh Chandra Das"/>
    <s v="7365868045"/>
  </r>
  <r>
    <s v="RCF Trombay"/>
    <s v="15-15-15"/>
    <s v="WB"/>
    <x v="17"/>
    <s v="Hanskhali"/>
    <s v="User Not Mapped"/>
    <s v="User Not Mapped"/>
    <s v="User Not Mapped"/>
    <n v="342028"/>
    <s v="MS Nadiram Sarkar"/>
    <s v="Private Retailer"/>
    <s v="8250333873"/>
    <n v="0.5"/>
    <n v="84"/>
    <x v="6"/>
    <m/>
    <s v="2026-01-26"/>
    <s v="280729"/>
    <s v="M/s. Naresh Chandra Das"/>
    <s v="7365868045"/>
  </r>
  <r>
    <s v="RCF Trombay"/>
    <s v="15-15-15"/>
    <s v="WB"/>
    <x v="17"/>
    <s v="Hanskhali"/>
    <s v="User Not Mapped"/>
    <s v="User Not Mapped"/>
    <s v="User Not Mapped"/>
    <n v="342028"/>
    <s v="MS Nadiram Sarkar"/>
    <s v="Private Retailer"/>
    <s v="8250333873"/>
    <n v="0.25"/>
    <n v="160"/>
    <x v="4"/>
    <m/>
    <s v="2025-11-11"/>
    <s v="280729"/>
    <s v="M/s. Naresh Chandra Das"/>
    <s v="7365868045"/>
  </r>
  <r>
    <s v="RCF Trombay"/>
    <s v="N.C.Urea(45kg)"/>
    <s v="WB"/>
    <x v="17"/>
    <s v="Tehatta - II"/>
    <s v="User Not Mapped"/>
    <s v="User Not Mapped"/>
    <s v="User Not Mapped"/>
    <n v="902193"/>
    <s v="MS RAJ FERTILIZER"/>
    <s v="Private Retailer"/>
    <s v="9732950221"/>
    <n v="0.54"/>
    <n v="1214"/>
    <x v="2"/>
    <m/>
    <s v="2022-12-23"/>
    <s v="280729"/>
    <s v="M/s. Naresh Chandra Das"/>
    <s v="7365868045"/>
  </r>
  <r>
    <s v="RCF Trombay"/>
    <s v="N.C.Urea(45kg)"/>
    <s v="WB"/>
    <x v="17"/>
    <s v="Krishnagar - I"/>
    <s v="User Not Mapped"/>
    <s v="User Not Mapped"/>
    <s v="User Not Mapped"/>
    <n v="1017508"/>
    <s v="MS SATTYEN BISWAS"/>
    <s v="Private Retailer"/>
    <s v="7908240989"/>
    <n v="4.9950000000000001"/>
    <n v="52"/>
    <x v="3"/>
    <m/>
    <s v="2026-02-27"/>
    <s v="280729"/>
    <s v="M/s. Naresh Chandra Das"/>
    <s v="7365868045"/>
  </r>
  <r>
    <s v="RCF Thal"/>
    <s v="N.C.Urea(45kg)"/>
    <s v="WB"/>
    <x v="17"/>
    <s v="Krishnagar - I"/>
    <s v="User Not Mapped"/>
    <s v="User Not Mapped"/>
    <s v="User Not Mapped"/>
    <n v="1017508"/>
    <s v="MS SATTYEN BISWAS"/>
    <s v="Private Retailer"/>
    <s v="7908240989"/>
    <n v="7.875"/>
    <n v="205"/>
    <x v="1"/>
    <m/>
    <s v="2025-09-27"/>
    <s v="280729"/>
    <s v="M/s. Naresh Chandra Das"/>
    <s v="7365868045"/>
  </r>
  <r>
    <s v="RCF Trombay"/>
    <s v="15-15-15"/>
    <s v="WB"/>
    <x v="17"/>
    <s v="Krishnagar - I"/>
    <s v="User Not Mapped"/>
    <s v="User Not Mapped"/>
    <s v="User Not Mapped"/>
    <n v="1017508"/>
    <s v="MS SATTYEN BISWAS"/>
    <s v="Private Retailer"/>
    <s v="7908240989"/>
    <n v="10"/>
    <n v="84"/>
    <x v="6"/>
    <m/>
    <s v="2026-01-26"/>
    <s v="280729"/>
    <s v="M/s. Naresh Chandra Das"/>
    <s v="7365868045"/>
  </r>
  <r>
    <s v="RCF Trombay"/>
    <s v="15-15-15"/>
    <s v="WB"/>
    <x v="17"/>
    <s v="Krishnagar - I"/>
    <s v="User Not Mapped"/>
    <s v="User Not Mapped"/>
    <s v="User Not Mapped"/>
    <n v="1017508"/>
    <s v="MS SATTYEN BISWAS"/>
    <s v="Private Retailer"/>
    <s v="7908240989"/>
    <n v="10"/>
    <n v="52"/>
    <x v="3"/>
    <m/>
    <s v="2026-02-27"/>
    <s v="280729"/>
    <s v="M/s. Naresh Chandra Das"/>
    <s v="7365868045"/>
  </r>
  <r>
    <s v="RCF Import"/>
    <s v="MOP"/>
    <s v="WB"/>
    <x v="17"/>
    <s v="Krishnagar - I"/>
    <s v="User Not Mapped"/>
    <s v="User Not Mapped"/>
    <s v="User Not Mapped"/>
    <n v="1017508"/>
    <s v="MS SATTYEN BISWAS"/>
    <s v="Private Retailer"/>
    <s v="7908240989"/>
    <n v="10"/>
    <n v="58"/>
    <x v="3"/>
    <m/>
    <s v="2026-02-21"/>
    <s v="280729"/>
    <s v="M/s. Naresh Chandra Das"/>
    <s v="7365868045"/>
  </r>
  <r>
    <s v="RCF Trombay"/>
    <s v="N.C.Urea(45kg)"/>
    <s v="WB"/>
    <x v="17"/>
    <s v="Krishnagar - I"/>
    <s v="User Not Mapped"/>
    <s v="User Not Mapped"/>
    <s v="User Not Mapped"/>
    <n v="1017508"/>
    <s v="MS SATTYEN BISWAS"/>
    <s v="Private Retailer"/>
    <s v="7908240989"/>
    <n v="4.9950000000000001"/>
    <n v="167"/>
    <x v="4"/>
    <m/>
    <s v="2025-11-04"/>
    <s v="280729"/>
    <s v="M/s. Naresh Chandra Das"/>
    <s v="7365868045"/>
  </r>
  <r>
    <s v="RCF Trombay"/>
    <s v="N.C.Urea(45kg)"/>
    <s v="WB"/>
    <x v="17"/>
    <s v="Krishnagar - I"/>
    <s v="User Not Mapped"/>
    <s v="User Not Mapped"/>
    <s v="User Not Mapped"/>
    <n v="1017508"/>
    <s v="MS SATTYEN BISWAS"/>
    <s v="Private Retailer"/>
    <s v="7908240989"/>
    <n v="3.7349999999999999"/>
    <n v="355"/>
    <x v="1"/>
    <m/>
    <s v="2025-04-30"/>
    <s v="280729"/>
    <s v="M/s. Naresh Chandra Das"/>
    <s v="7365868045"/>
  </r>
  <r>
    <s v="RCF Trombay"/>
    <s v="15-15-15"/>
    <s v="WB"/>
    <x v="17"/>
    <s v="Hanskhali"/>
    <s v="User Not Mapped"/>
    <s v="User Not Mapped"/>
    <s v="User Not Mapped"/>
    <n v="938166"/>
    <s v="MS SHASHTI CHARAN MANDAL"/>
    <s v="Private Retailer"/>
    <s v="9679712777"/>
    <n v="4"/>
    <n v="84"/>
    <x v="6"/>
    <m/>
    <s v="2026-01-26"/>
    <s v="280729"/>
    <s v="M/s. Naresh Chandra Das"/>
    <s v="7365868045"/>
  </r>
  <r>
    <s v="RCF Trombay"/>
    <s v="15-15-15"/>
    <s v="WB"/>
    <x v="17"/>
    <s v="Hanskhali"/>
    <s v="User Not Mapped"/>
    <s v="User Not Mapped"/>
    <s v="User Not Mapped"/>
    <n v="938166"/>
    <s v="MS SHASHTI CHARAN MANDAL"/>
    <s v="Private Retailer"/>
    <s v="9679712777"/>
    <n v="1.2"/>
    <n v="136"/>
    <x v="4"/>
    <m/>
    <s v="2025-12-05"/>
    <s v="280729"/>
    <s v="M/s. Naresh Chandra Das"/>
    <s v="7365868045"/>
  </r>
  <r>
    <s v="RCF Trombay"/>
    <s v="15-15-15"/>
    <s v="WB"/>
    <x v="17"/>
    <s v="Hanskhali"/>
    <s v="User Not Mapped"/>
    <s v="User Not Mapped"/>
    <s v="User Not Mapped"/>
    <n v="441509"/>
    <s v="MS Sukumar Biswas"/>
    <s v="Private Retailer"/>
    <s v="9002622210"/>
    <n v="0.25"/>
    <n v="18"/>
    <x v="5"/>
    <m/>
    <s v="2026-04-02"/>
    <s v="280729"/>
    <s v="M/s. Naresh Chandra Das"/>
    <s v="7365868045"/>
  </r>
  <r>
    <s v="RCF Import"/>
    <s v="MOP"/>
    <s v="WB"/>
    <x v="17"/>
    <s v="Hanskhali"/>
    <s v="User Not Mapped"/>
    <s v="User Not Mapped"/>
    <s v="User Not Mapped"/>
    <n v="441509"/>
    <s v="MS Sukumar Biswas"/>
    <s v="Private Retailer"/>
    <s v="9002622210"/>
    <n v="0.25"/>
    <n v="18"/>
    <x v="5"/>
    <m/>
    <s v="2026-04-02"/>
    <s v="280729"/>
    <s v="M/s. Naresh Chandra Das"/>
    <s v="7365868045"/>
  </r>
  <r>
    <s v="RCF Trombay"/>
    <s v="15-15-15"/>
    <s v="WB"/>
    <x v="17"/>
    <s v="Hanskhali"/>
    <s v="User Not Mapped"/>
    <s v="User Not Mapped"/>
    <s v="User Not Mapped"/>
    <n v="441509"/>
    <s v="MS Sukumar Biswas"/>
    <s v="Private Retailer"/>
    <s v="9002622210"/>
    <n v="0.8"/>
    <n v="42"/>
    <x v="3"/>
    <m/>
    <s v="2026-03-09"/>
    <s v="280729"/>
    <s v="M/s. Naresh Chandra Das"/>
    <s v="7365868045"/>
  </r>
  <r>
    <s v="RCF Import"/>
    <s v="MOP"/>
    <s v="WB"/>
    <x v="17"/>
    <m/>
    <s v="User Not Mapped"/>
    <s v="User Not Mapped"/>
    <s v="User Not Mapped"/>
    <n v="1636232"/>
    <s v="MS TOTA MONDAL"/>
    <s v="Private Retailer"/>
    <s v="7063622422"/>
    <n v="0.5"/>
    <n v="19"/>
    <x v="5"/>
    <m/>
    <s v="2026-04-01"/>
    <s v="280729"/>
    <s v="M/s. Naresh Chandra Das"/>
    <s v="7365868045"/>
  </r>
  <r>
    <s v="RCF Trombay"/>
    <s v="15-15-15"/>
    <s v="WB"/>
    <x v="17"/>
    <m/>
    <s v="User Not Mapped"/>
    <s v="User Not Mapped"/>
    <s v="User Not Mapped"/>
    <n v="1636232"/>
    <s v="MS TOTA MONDAL"/>
    <s v="Private Retailer"/>
    <s v="7063622422"/>
    <n v="0.5"/>
    <n v="19"/>
    <x v="5"/>
    <m/>
    <s v="2026-04-01"/>
    <s v="280729"/>
    <s v="M/s. Naresh Chandra Das"/>
    <s v="7365868045"/>
  </r>
  <r>
    <s v="RCF Trombay"/>
    <s v="N.C.Urea(45kg)"/>
    <s v="WB"/>
    <x v="17"/>
    <s v="Krishnagar - I"/>
    <s v="User Not Mapped"/>
    <s v="User Not Mapped"/>
    <s v="User Not Mapped"/>
    <n v="796826"/>
    <s v="MS UTPAL MONDAL"/>
    <s v="Private Retailer"/>
    <s v="7384402918"/>
    <n v="2.2949999999999999"/>
    <n v="76"/>
    <x v="6"/>
    <m/>
    <s v="2026-02-03"/>
    <s v="280729"/>
    <s v="M/s. Naresh Chandra Das"/>
    <s v="7365868045"/>
  </r>
  <r>
    <s v="RCF Trombay"/>
    <s v="N.C.Urea(45kg)"/>
    <s v="WB"/>
    <x v="17"/>
    <s v="Krishnagar - I"/>
    <s v="User Not Mapped"/>
    <s v="User Not Mapped"/>
    <s v="User Not Mapped"/>
    <n v="796826"/>
    <s v="MS UTPAL MONDAL"/>
    <s v="Private Retailer"/>
    <s v="7384402918"/>
    <n v="0.45"/>
    <n v="809"/>
    <x v="2"/>
    <m/>
    <s v="2024-02-01"/>
    <s v="280729"/>
    <s v="M/s. Naresh Chandra Das"/>
    <s v="7365868045"/>
  </r>
  <r>
    <s v="RCF Trombay"/>
    <s v="15-15-15"/>
    <s v="WB"/>
    <x v="17"/>
    <s v="Ranaghat - II"/>
    <s v="User Not Mapped"/>
    <s v="User Not Mapped"/>
    <s v="User Not Mapped"/>
    <n v="342037"/>
    <s v="Narayan Biswas"/>
    <s v="Private Retailer"/>
    <s v="9732759302"/>
    <n v="0.2"/>
    <n v="84"/>
    <x v="6"/>
    <m/>
    <s v="2026-01-26"/>
    <s v="280729"/>
    <s v="M/s. Naresh Chandra Das"/>
    <s v="7365868045"/>
  </r>
  <r>
    <s v="RCF Trombay"/>
    <s v="N.C.Urea(45kg)"/>
    <s v="WB"/>
    <x v="17"/>
    <s v="Ranaghat - II"/>
    <s v="User Not Mapped"/>
    <s v="User Not Mapped"/>
    <s v="User Not Mapped"/>
    <n v="342037"/>
    <s v="Narayan Biswas"/>
    <s v="Private Retailer"/>
    <s v="9732759302"/>
    <n v="5.22"/>
    <n v="31"/>
    <x v="3"/>
    <m/>
    <s v="2026-03-20"/>
    <s v="280729"/>
    <s v="M/s. Naresh Chandra Das"/>
    <s v="7365868045"/>
  </r>
  <r>
    <s v="RCF Import"/>
    <s v="MOP"/>
    <s v="WB"/>
    <x v="17"/>
    <s v="Ranaghat - II"/>
    <s v="User Not Mapped"/>
    <s v="User Not Mapped"/>
    <s v="User Not Mapped"/>
    <n v="342037"/>
    <s v="Narayan Biswas"/>
    <s v="Private Retailer"/>
    <s v="9732759302"/>
    <n v="5"/>
    <n v="3"/>
    <x v="5"/>
    <m/>
    <s v="2026-04-17"/>
    <s v="280729"/>
    <s v="M/s. Naresh Chandra Das"/>
    <s v="7365868045"/>
  </r>
  <r>
    <s v="RCF Thal"/>
    <s v="N.C.Urea(45kg)"/>
    <s v="WB"/>
    <x v="17"/>
    <m/>
    <s v="User Not Mapped"/>
    <s v="User Not Mapped"/>
    <s v="User Not Mapped"/>
    <n v="1062015"/>
    <s v="NARU GOPAL BISWAS"/>
    <s v="Private Retailer"/>
    <s v="9732419513"/>
    <n v="3.78"/>
    <n v="1241"/>
    <x v="2"/>
    <m/>
    <s v="2022-11-26"/>
    <s v="280729"/>
    <s v="M/s. Naresh Chandra Das"/>
    <s v="7365868045"/>
  </r>
  <r>
    <s v="RCF Trombay"/>
    <s v="N.C.Urea(45kg)"/>
    <s v="WB"/>
    <x v="17"/>
    <m/>
    <s v="User Not Mapped"/>
    <s v="User Not Mapped"/>
    <s v="User Not Mapped"/>
    <n v="1062015"/>
    <s v="NARU GOPAL BISWAS"/>
    <s v="Private Retailer"/>
    <s v="9732419513"/>
    <n v="1.125"/>
    <n v="1419"/>
    <x v="2"/>
    <m/>
    <s v="2022-06-01"/>
    <s v="280729"/>
    <s v="M/s. Naresh Chandra Das"/>
    <s v="7365868045"/>
  </r>
  <r>
    <s v="RCF Trombay"/>
    <s v="15-15-15"/>
    <s v="WB"/>
    <x v="17"/>
    <m/>
    <s v="User Not Mapped"/>
    <s v="User Not Mapped"/>
    <s v="User Not Mapped"/>
    <n v="342067"/>
    <s v="Netai Bhowmick"/>
    <s v="Private Retailer"/>
    <s v="9647435631"/>
    <n v="1"/>
    <n v="52"/>
    <x v="3"/>
    <m/>
    <s v="2026-02-27"/>
    <s v="280729"/>
    <s v="M/s. Naresh Chandra Das"/>
    <s v="7365868045"/>
  </r>
  <r>
    <s v="RCF Trombay"/>
    <s v="15-15-15"/>
    <s v="WB"/>
    <x v="17"/>
    <m/>
    <s v="User Not Mapped"/>
    <s v="User Not Mapped"/>
    <s v="User Not Mapped"/>
    <n v="342067"/>
    <s v="Netai Bhowmick"/>
    <s v="Private Retailer"/>
    <s v="9647435631"/>
    <n v="0.27500000000000002"/>
    <n v="83"/>
    <x v="6"/>
    <m/>
    <s v="2026-01-27"/>
    <s v="280729"/>
    <s v="M/s. Naresh Chandra Das"/>
    <s v="7365868045"/>
  </r>
  <r>
    <s v="RCF Thal"/>
    <s v="N.C.Urea(45kg)"/>
    <s v="WB"/>
    <x v="17"/>
    <m/>
    <s v="User Not Mapped"/>
    <s v="User Not Mapped"/>
    <s v="User Not Mapped"/>
    <n v="342067"/>
    <s v="Netai Bhowmick"/>
    <s v="Private Retailer"/>
    <s v="9647435631"/>
    <n v="1.575"/>
    <n v="5"/>
    <x v="5"/>
    <m/>
    <s v="2026-04-15"/>
    <s v="280729"/>
    <s v="M/s. Naresh Chandra Das"/>
    <s v="7365868045"/>
  </r>
  <r>
    <s v="RCF Trombay"/>
    <s v="15-15-15"/>
    <s v="WB"/>
    <x v="17"/>
    <m/>
    <s v="User Not Mapped"/>
    <s v="User Not Mapped"/>
    <s v="User Not Mapped"/>
    <n v="440977"/>
    <s v="Netai Modak"/>
    <s v="Private Retailer"/>
    <s v="9333252622"/>
    <n v="0.35"/>
    <n v="2351"/>
    <x v="2"/>
    <m/>
    <s v="2019-11-12"/>
    <s v="280729"/>
    <s v="M/s. Naresh Chandra Das"/>
    <s v="7365868045"/>
  </r>
  <r>
    <s v="RCF Thal"/>
    <s v="N.C.Urea(45kg)"/>
    <s v="WB"/>
    <x v="17"/>
    <s v="Krishnaganj"/>
    <s v="User Not Mapped"/>
    <s v="User Not Mapped"/>
    <s v="User Not Mapped"/>
    <n v="487606"/>
    <s v="New Probir Biswas"/>
    <s v="Private Retailer"/>
    <s v="9434800014"/>
    <n v="3.6"/>
    <n v="136"/>
    <x v="4"/>
    <m/>
    <s v="2025-12-05"/>
    <s v="280729"/>
    <s v="M/s. Naresh Chandra Das"/>
    <s v="7365868045"/>
  </r>
  <r>
    <s v="RCF Trombay"/>
    <s v="N.C.Urea(45kg)"/>
    <s v="WB"/>
    <x v="17"/>
    <s v="Krishnaganj"/>
    <s v="User Not Mapped"/>
    <s v="User Not Mapped"/>
    <s v="User Not Mapped"/>
    <n v="487606"/>
    <s v="New Probir Biswas"/>
    <s v="Private Retailer"/>
    <s v="9434800014"/>
    <n v="0.67500000000000004"/>
    <n v="168"/>
    <x v="4"/>
    <m/>
    <s v="2025-11-03"/>
    <s v="280729"/>
    <s v="M/s. Naresh Chandra Das"/>
    <s v="7365868045"/>
  </r>
  <r>
    <s v="RCF Trombay"/>
    <s v="N.C.Urea(45kg)"/>
    <s v="WB"/>
    <x v="17"/>
    <s v="Krishnaganj"/>
    <s v="User Not Mapped"/>
    <s v="User Not Mapped"/>
    <s v="User Not Mapped"/>
    <n v="487606"/>
    <s v="New Probir Biswas"/>
    <s v="Private Retailer"/>
    <s v="9434800014"/>
    <n v="1.395"/>
    <n v="136"/>
    <x v="4"/>
    <m/>
    <s v="2025-12-05"/>
    <s v="280729"/>
    <s v="M/s. Naresh Chandra Das"/>
    <s v="7365868045"/>
  </r>
  <r>
    <s v="RCF Trombay"/>
    <s v="N.C.Urea(45kg)"/>
    <s v="WB"/>
    <x v="17"/>
    <s v="Ranaghat - I"/>
    <s v="User Not Mapped"/>
    <s v="User Not Mapped"/>
    <s v="User Not Mapped"/>
    <n v="854866"/>
    <s v="NILADRI SARKAR"/>
    <s v="Private Retailer"/>
    <s v="9153319303"/>
    <n v="2.52"/>
    <n v="52"/>
    <x v="3"/>
    <m/>
    <s v="2026-02-27"/>
    <s v="280729"/>
    <s v="M/s. Naresh Chandra Das"/>
    <s v="7365868045"/>
  </r>
  <r>
    <s v="RCF Trombay"/>
    <s v="N.C.Urea(45kg)"/>
    <s v="WB"/>
    <x v="17"/>
    <s v="Ranaghat - I"/>
    <s v="User Not Mapped"/>
    <s v="User Not Mapped"/>
    <s v="User Not Mapped"/>
    <n v="854866"/>
    <s v="NILADRI SARKAR"/>
    <s v="Private Retailer"/>
    <s v="9153319303"/>
    <n v="10.98"/>
    <n v="33"/>
    <x v="3"/>
    <m/>
    <s v="2026-03-18"/>
    <s v="280729"/>
    <s v="M/s. Naresh Chandra Das"/>
    <s v="7365868045"/>
  </r>
  <r>
    <s v="RCF Trombay"/>
    <s v="15-15-15"/>
    <s v="WB"/>
    <x v="17"/>
    <s v="Ranaghat - I"/>
    <s v="User Not Mapped"/>
    <s v="User Not Mapped"/>
    <s v="User Not Mapped"/>
    <n v="854866"/>
    <s v="NILADRI SARKAR"/>
    <s v="Private Retailer"/>
    <s v="9153319303"/>
    <n v="1.25"/>
    <n v="10"/>
    <x v="5"/>
    <m/>
    <s v="2026-04-10"/>
    <s v="280729"/>
    <s v="M/s. Naresh Chandra Das"/>
    <s v="7365868045"/>
  </r>
  <r>
    <s v="RCF Trombay"/>
    <s v="15-15-15"/>
    <s v="WB"/>
    <x v="17"/>
    <s v="Ranaghat - I"/>
    <s v="User Not Mapped"/>
    <s v="User Not Mapped"/>
    <s v="User Not Mapped"/>
    <n v="854866"/>
    <s v="NILADRI SARKAR"/>
    <s v="Private Retailer"/>
    <s v="9153319303"/>
    <n v="10"/>
    <n v="52"/>
    <x v="3"/>
    <m/>
    <s v="2026-02-27"/>
    <s v="280729"/>
    <s v="M/s. Naresh Chandra Das"/>
    <s v="7365868045"/>
  </r>
  <r>
    <s v="RCF Import"/>
    <s v="MOP"/>
    <s v="WB"/>
    <x v="17"/>
    <s v="Ranaghat - I"/>
    <s v="User Not Mapped"/>
    <s v="User Not Mapped"/>
    <s v="User Not Mapped"/>
    <n v="854866"/>
    <s v="NILADRI SARKAR"/>
    <s v="Private Retailer"/>
    <s v="9153319303"/>
    <n v="4.45"/>
    <n v="58"/>
    <x v="3"/>
    <m/>
    <s v="2026-02-21"/>
    <s v="280729"/>
    <s v="M/s. Naresh Chandra Das"/>
    <s v="7365868045"/>
  </r>
  <r>
    <s v="RCF Import"/>
    <s v="MOP"/>
    <s v="WB"/>
    <x v="17"/>
    <s v="Hanskhali"/>
    <s v="User Not Mapped"/>
    <s v="User Not Mapped"/>
    <s v="User Not Mapped"/>
    <n v="441535"/>
    <s v="Nirmal Kr. Biswas"/>
    <s v="Private Retailer"/>
    <s v="8016266445"/>
    <n v="0.5"/>
    <n v="19"/>
    <x v="5"/>
    <m/>
    <s v="2026-04-01"/>
    <s v="280729"/>
    <s v="M/s. Naresh Chandra Das"/>
    <s v="7365868045"/>
  </r>
  <r>
    <s v="RCF Import"/>
    <s v="MOP"/>
    <s v="WB"/>
    <x v="17"/>
    <s v="Hanskhali"/>
    <s v="User Not Mapped"/>
    <s v="User Not Mapped"/>
    <s v="User Not Mapped"/>
    <n v="441535"/>
    <s v="Nirmal Kr. Biswas"/>
    <s v="Private Retailer"/>
    <s v="8016266445"/>
    <n v="0.5"/>
    <n v="24"/>
    <x v="5"/>
    <m/>
    <s v="2026-03-27"/>
    <s v="280729"/>
    <s v="M/s. Naresh Chandra Das"/>
    <s v="7365868045"/>
  </r>
  <r>
    <s v="RCF Trombay"/>
    <s v="15-15-15"/>
    <s v="WB"/>
    <x v="17"/>
    <s v="Hanskhali"/>
    <s v="User Not Mapped"/>
    <s v="User Not Mapped"/>
    <s v="User Not Mapped"/>
    <n v="441535"/>
    <s v="Nirmal Kr. Biswas"/>
    <s v="Private Retailer"/>
    <s v="8016266445"/>
    <n v="1"/>
    <n v="24"/>
    <x v="5"/>
    <m/>
    <s v="2026-03-27"/>
    <s v="280729"/>
    <s v="M/s. Naresh Chandra Das"/>
    <s v="7365868045"/>
  </r>
  <r>
    <s v="RCF Trombay"/>
    <s v="N.C.Urea(45kg)"/>
    <s v="WB"/>
    <x v="17"/>
    <s v="Krishnagar - I"/>
    <s v="User Not Mapped"/>
    <s v="User Not Mapped"/>
    <s v="User Not Mapped"/>
    <n v="212865"/>
    <s v="Nitai Mallick"/>
    <s v="Private Retailer"/>
    <s v="8617362776"/>
    <n v="2.1150000000000002"/>
    <n v="206"/>
    <x v="1"/>
    <m/>
    <s v="2025-09-26"/>
    <s v="280729"/>
    <s v="M/s. Naresh Chandra Das"/>
    <s v="7365868045"/>
  </r>
  <r>
    <s v="RCF Trombay"/>
    <s v="N.C.Urea(45kg)"/>
    <s v="WB"/>
    <x v="17"/>
    <s v="Krishnagar - I"/>
    <s v="User Not Mapped"/>
    <s v="User Not Mapped"/>
    <s v="User Not Mapped"/>
    <n v="901218"/>
    <s v="NITYA NANDA MAJUMDAR"/>
    <s v="Private Retailer"/>
    <s v="8967756870"/>
    <n v="0.21"/>
    <n v="242"/>
    <x v="1"/>
    <m/>
    <s v="2025-08-21"/>
    <s v="280729"/>
    <s v="M/s. Naresh Chandra Das"/>
    <s v="7365868045"/>
  </r>
  <r>
    <s v="RCF Trombay"/>
    <s v="15-15-15"/>
    <s v="WB"/>
    <x v="17"/>
    <s v="Krishnagar - I"/>
    <s v="User Not Mapped"/>
    <s v="User Not Mapped"/>
    <s v="User Not Mapped"/>
    <n v="901218"/>
    <s v="NITYA NANDA MAJUMDAR"/>
    <s v="Private Retailer"/>
    <s v="8967756870"/>
    <n v="3.1"/>
    <n v="62"/>
    <x v="6"/>
    <m/>
    <s v="2026-02-17"/>
    <s v="280729"/>
    <s v="M/s. Naresh Chandra Das"/>
    <s v="7365868045"/>
  </r>
  <r>
    <s v="RCF Trombay"/>
    <s v="15-15-15"/>
    <s v="WB"/>
    <x v="17"/>
    <s v="Ranaghat - II"/>
    <s v="User Not Mapped"/>
    <s v="User Not Mapped"/>
    <s v="User Not Mapped"/>
    <n v="950719"/>
    <s v="NOKARI SKUS LTD"/>
    <s v="PACS"/>
    <s v="7001779360"/>
    <n v="18.149999999999999"/>
    <n v="37"/>
    <x v="3"/>
    <m/>
    <s v="2026-03-14"/>
    <s v="280729"/>
    <s v="M/s. Naresh Chandra Das"/>
    <s v="7365868045"/>
  </r>
  <r>
    <s v="RCF Trombay"/>
    <s v="N.C.Urea(45kg)"/>
    <s v="WB"/>
    <x v="17"/>
    <s v="Nabadwip"/>
    <s v="User Not Mapped"/>
    <s v="User Not Mapped"/>
    <s v="User Not Mapped"/>
    <n v="944086"/>
    <s v="NURSLAM SK"/>
    <s v="Private Retailer"/>
    <s v="7318978896"/>
    <n v="1.89"/>
    <n v="215"/>
    <x v="1"/>
    <m/>
    <s v="2025-09-17"/>
    <s v="280729"/>
    <s v="M/s. Naresh Chandra Das"/>
    <s v="7365868045"/>
  </r>
  <r>
    <s v="RCF Trombay"/>
    <s v="15-15-15"/>
    <s v="WB"/>
    <x v="17"/>
    <s v="Krishnaganj"/>
    <s v="User Not Mapped"/>
    <s v="User Not Mapped"/>
    <s v="User Not Mapped"/>
    <n v="852156"/>
    <s v="Pal Fertilizer"/>
    <s v="Private Retailer"/>
    <s v="9932336085"/>
    <n v="2.4500000000000002"/>
    <n v="83"/>
    <x v="6"/>
    <m/>
    <s v="2026-01-27"/>
    <s v="280729"/>
    <s v="M/s. Naresh Chandra Das"/>
    <s v="7365868045"/>
  </r>
  <r>
    <s v="RCF Thal"/>
    <s v="N.C.Urea(45kg)"/>
    <s v="WB"/>
    <x v="17"/>
    <m/>
    <s v="User Not Mapped"/>
    <s v="User Not Mapped"/>
    <s v="User Not Mapped"/>
    <n v="342150"/>
    <s v="Paresh Chandra Dey"/>
    <s v="Private Retailer"/>
    <s v="9932885196"/>
    <n v="9.99"/>
    <n v="13"/>
    <x v="5"/>
    <m/>
    <s v="2026-04-07"/>
    <s v="280729"/>
    <s v="M/s. Naresh Chandra Das"/>
    <s v="7365868045"/>
  </r>
  <r>
    <s v="RCF Trombay"/>
    <s v="15-15-15"/>
    <s v="WB"/>
    <x v="17"/>
    <m/>
    <s v="User Not Mapped"/>
    <s v="User Not Mapped"/>
    <s v="User Not Mapped"/>
    <n v="342150"/>
    <s v="Paresh Chandra Dey"/>
    <s v="Private Retailer"/>
    <s v="9932885196"/>
    <n v="0.5"/>
    <n v="84"/>
    <x v="6"/>
    <m/>
    <s v="2026-01-26"/>
    <s v="280729"/>
    <s v="M/s. Naresh Chandra Das"/>
    <s v="7365868045"/>
  </r>
  <r>
    <s v="RCF Thal"/>
    <s v="N.C.Urea(45kg)"/>
    <s v="WB"/>
    <x v="17"/>
    <s v="Hanskhali"/>
    <s v="User Not Mapped"/>
    <s v="User Not Mapped"/>
    <s v="User Not Mapped"/>
    <n v="1062021"/>
    <s v="PIJUSH KANTI KUNDU"/>
    <s v="Private Retailer"/>
    <s v="8514886640"/>
    <n v="0.09"/>
    <n v="1192"/>
    <x v="2"/>
    <m/>
    <s v="2023-01-14"/>
    <s v="280729"/>
    <s v="M/s. Naresh Chandra Das"/>
    <s v="7365868045"/>
  </r>
  <r>
    <s v="RCF Trombay"/>
    <s v="15-15-15"/>
    <s v="WB"/>
    <x v="17"/>
    <s v="Hanskhali"/>
    <s v="User Not Mapped"/>
    <s v="User Not Mapped"/>
    <s v="User Not Mapped"/>
    <n v="1062021"/>
    <s v="PIJUSH KANTI KUNDU"/>
    <s v="Private Retailer"/>
    <s v="8514886640"/>
    <n v="0.15"/>
    <n v="1377"/>
    <x v="2"/>
    <m/>
    <s v="2022-07-13"/>
    <s v="280729"/>
    <s v="M/s. Naresh Chandra Das"/>
    <s v="7365868045"/>
  </r>
  <r>
    <s v="RCF Trombay"/>
    <s v="N.C.Urea(45kg)"/>
    <s v="WB"/>
    <x v="17"/>
    <s v="Hanskhali"/>
    <s v="User Not Mapped"/>
    <s v="User Not Mapped"/>
    <s v="User Not Mapped"/>
    <n v="1062021"/>
    <s v="PIJUSH KANTI KUNDU"/>
    <s v="Private Retailer"/>
    <s v="8514886640"/>
    <n v="0.18"/>
    <n v="1377"/>
    <x v="2"/>
    <m/>
    <s v="2022-07-13"/>
    <s v="280729"/>
    <s v="M/s. Naresh Chandra Das"/>
    <s v="7365868045"/>
  </r>
  <r>
    <s v="RCF Import"/>
    <s v="MOP"/>
    <s v="WB"/>
    <x v="17"/>
    <s v="Hanskhali"/>
    <s v="User Not Mapped"/>
    <s v="User Not Mapped"/>
    <s v="User Not Mapped"/>
    <n v="939911"/>
    <s v="PRONOTI SARKAR"/>
    <s v="Private Retailer"/>
    <s v="8609032314"/>
    <n v="3.6"/>
    <n v="52"/>
    <x v="3"/>
    <m/>
    <s v="2026-02-27"/>
    <s v="280729"/>
    <s v="M/s. Naresh Chandra Das"/>
    <s v="7365868045"/>
  </r>
  <r>
    <s v="RCF Trombay"/>
    <s v="15-15-15"/>
    <s v="WB"/>
    <x v="17"/>
    <s v="Hanskhali"/>
    <s v="User Not Mapped"/>
    <s v="User Not Mapped"/>
    <s v="User Not Mapped"/>
    <n v="939911"/>
    <s v="PRONOTI SARKAR"/>
    <s v="Private Retailer"/>
    <s v="8609032314"/>
    <n v="0.25"/>
    <n v="52"/>
    <x v="3"/>
    <m/>
    <s v="2026-02-27"/>
    <s v="280729"/>
    <s v="M/s. Naresh Chandra Das"/>
    <s v="7365868045"/>
  </r>
  <r>
    <s v="RCF Trombay"/>
    <s v="N.C.Urea(45kg)"/>
    <s v="WB"/>
    <x v="17"/>
    <s v="Krishnagar - I"/>
    <s v="User Not Mapped"/>
    <s v="User Not Mapped"/>
    <s v="User Not Mapped"/>
    <n v="916430"/>
    <s v="RABINDRA NATH BISWAS"/>
    <s v="Private Retailer"/>
    <s v="7098424705"/>
    <n v="0.67500000000000004"/>
    <n v="430"/>
    <x v="0"/>
    <m/>
    <s v="2025-02-14"/>
    <s v="280729"/>
    <s v="M/s. Naresh Chandra Das"/>
    <s v="7365868045"/>
  </r>
  <r>
    <s v="RCF Trombay"/>
    <s v="15-15-15"/>
    <s v="WB"/>
    <x v="17"/>
    <s v="Krishnagar - I"/>
    <s v="User Not Mapped"/>
    <s v="User Not Mapped"/>
    <s v="User Not Mapped"/>
    <n v="916430"/>
    <s v="RABINDRA NATH BISWAS"/>
    <s v="Private Retailer"/>
    <s v="7098424705"/>
    <n v="0.1"/>
    <n v="69"/>
    <x v="6"/>
    <m/>
    <s v="2026-02-10"/>
    <s v="280729"/>
    <s v="M/s. Naresh Chandra Das"/>
    <s v="7365868045"/>
  </r>
  <r>
    <s v="RCF Trombay"/>
    <s v="15-15-15"/>
    <s v="WB"/>
    <x v="17"/>
    <s v="Krishnagar - I"/>
    <s v="User Not Mapped"/>
    <s v="User Not Mapped"/>
    <s v="User Not Mapped"/>
    <n v="916430"/>
    <s v="RABINDRA NATH BISWAS"/>
    <s v="Private Retailer"/>
    <s v="7098424705"/>
    <n v="0.2"/>
    <n v="494"/>
    <x v="0"/>
    <m/>
    <s v="2024-12-12"/>
    <s v="280729"/>
    <s v="M/s. Naresh Chandra Das"/>
    <s v="7365868045"/>
  </r>
  <r>
    <s v="RCF Trombay"/>
    <s v="N.C.Urea(45kg)"/>
    <s v="WB"/>
    <x v="17"/>
    <s v="Ranaghat - I"/>
    <s v="User Not Mapped"/>
    <s v="User Not Mapped"/>
    <s v="User Not Mapped"/>
    <n v="323536"/>
    <s v="Rabindra Nath Biswas"/>
    <s v="Private Retailer"/>
    <s v="9434197359"/>
    <n v="0.45"/>
    <n v="65"/>
    <x v="6"/>
    <m/>
    <s v="2026-02-14"/>
    <s v="280729"/>
    <s v="M/s. Naresh Chandra Das"/>
    <s v="7365868045"/>
  </r>
  <r>
    <s v="RCF Trombay"/>
    <s v="15-15-15"/>
    <s v="WB"/>
    <x v="17"/>
    <s v="Krishnagar - I"/>
    <s v="User Not Mapped"/>
    <s v="User Not Mapped"/>
    <s v="User Not Mapped"/>
    <n v="838083"/>
    <s v="RABINDRA NATH SAHA"/>
    <s v="Private Retailer"/>
    <s v="8972279774"/>
    <n v="0.1"/>
    <n v="235"/>
    <x v="1"/>
    <m/>
    <s v="2025-08-28"/>
    <s v="280729"/>
    <s v="M/s. Naresh Chandra Das"/>
    <s v="7365868045"/>
  </r>
  <r>
    <s v="RCF Trombay"/>
    <s v="15-15-15"/>
    <s v="WB"/>
    <x v="17"/>
    <s v="Santipur"/>
    <s v="User Not Mapped"/>
    <s v="User Not Mapped"/>
    <s v="User Not Mapped"/>
    <n v="342262"/>
    <s v="Rabindro Nath Saha"/>
    <s v="Private Retailer"/>
    <s v="9153545459"/>
    <n v="1"/>
    <n v="136"/>
    <x v="4"/>
    <m/>
    <s v="2025-12-05"/>
    <s v="280729"/>
    <s v="M/s. Naresh Chandra Das"/>
    <s v="7365868045"/>
  </r>
  <r>
    <s v="RCF Thal"/>
    <s v="N.C.Urea(45kg)"/>
    <s v="WB"/>
    <x v="17"/>
    <s v="Santipur"/>
    <s v="User Not Mapped"/>
    <s v="User Not Mapped"/>
    <s v="User Not Mapped"/>
    <n v="342262"/>
    <s v="Rabindro Nath Saha"/>
    <s v="Private Retailer"/>
    <s v="9153545459"/>
    <n v="1.125"/>
    <n v="5"/>
    <x v="5"/>
    <m/>
    <s v="2026-04-15"/>
    <s v="280729"/>
    <s v="M/s. Naresh Chandra Das"/>
    <s v="7365868045"/>
  </r>
  <r>
    <s v="RCF Thal"/>
    <s v="N.C.Urea(45kg)"/>
    <s v="WB"/>
    <x v="17"/>
    <m/>
    <s v="User Not Mapped"/>
    <s v="User Not Mapped"/>
    <s v="User Not Mapped"/>
    <n v="1062306"/>
    <s v="RAFIKUL MALITHA"/>
    <s v="Private Retailer"/>
    <s v="8767459888"/>
    <n v="9.18"/>
    <n v="389"/>
    <x v="0"/>
    <m/>
    <s v="2025-03-27"/>
    <s v="280729"/>
    <s v="M/s. Naresh Chandra Das"/>
    <s v="7365868045"/>
  </r>
  <r>
    <s v="RCF Trombay"/>
    <s v="15-15-15"/>
    <s v="WB"/>
    <x v="17"/>
    <s v="Ranaghat - II"/>
    <s v="User Not Mapped"/>
    <s v="User Not Mapped"/>
    <s v="User Not Mapped"/>
    <n v="943808"/>
    <s v="RAGHU-JASAR-NAGAR SKUS"/>
    <s v="PACS"/>
    <s v="9434370845"/>
    <n v="1.05"/>
    <n v="487"/>
    <x v="0"/>
    <m/>
    <s v="2024-12-19"/>
    <s v="280729"/>
    <s v="M/s. Naresh Chandra Das"/>
    <s v="7365868045"/>
  </r>
  <r>
    <s v="RCF Trombay"/>
    <s v="15-15-15"/>
    <s v="WB"/>
    <x v="17"/>
    <s v="Krishnagar - I"/>
    <s v="User Not Mapped"/>
    <s v="User Not Mapped"/>
    <s v="User Not Mapped"/>
    <n v="916690"/>
    <s v="RAM SARKAR"/>
    <s v="Private Retailer"/>
    <s v="8348552690"/>
    <n v="4.55"/>
    <n v="84"/>
    <x v="6"/>
    <m/>
    <s v="2026-01-26"/>
    <s v="280729"/>
    <s v="M/s. Naresh Chandra Das"/>
    <s v="7365868045"/>
  </r>
  <r>
    <s v="RCF Thal"/>
    <s v="N.C.Urea(45kg)"/>
    <s v="WB"/>
    <x v="17"/>
    <s v="Krishnagar - I"/>
    <s v="User Not Mapped"/>
    <s v="User Not Mapped"/>
    <s v="User Not Mapped"/>
    <n v="916690"/>
    <s v="RAM SARKAR"/>
    <s v="Private Retailer"/>
    <s v="8348552690"/>
    <n v="0.45"/>
    <n v="31"/>
    <x v="3"/>
    <m/>
    <s v="2026-03-20"/>
    <s v="280729"/>
    <s v="M/s. Naresh Chandra Das"/>
    <s v="7365868045"/>
  </r>
  <r>
    <s v="RCF Trombay"/>
    <s v="N.C.Urea(45kg)"/>
    <s v="WB"/>
    <x v="17"/>
    <s v="Krishnagar - I"/>
    <s v="User Not Mapped"/>
    <s v="User Not Mapped"/>
    <s v="User Not Mapped"/>
    <n v="916690"/>
    <s v="RAM SARKAR"/>
    <s v="Private Retailer"/>
    <s v="8348552690"/>
    <n v="0.45"/>
    <n v="11"/>
    <x v="5"/>
    <m/>
    <s v="2026-04-09"/>
    <s v="280729"/>
    <s v="M/s. Naresh Chandra Das"/>
    <s v="7365868045"/>
  </r>
  <r>
    <s v="RCF Thal"/>
    <s v="N.C.Urea(45kg)"/>
    <s v="WB"/>
    <x v="17"/>
    <s v="Karimpur - II"/>
    <s v="User Not Mapped"/>
    <s v="User Not Mapped"/>
    <s v="User Not Mapped"/>
    <n v="1560628"/>
    <s v="RAMIZ HOSSAIN SHAIKH"/>
    <s v="Private Retailer"/>
    <s v="8768804756"/>
    <n v="1.8"/>
    <n v="271"/>
    <x v="1"/>
    <m/>
    <s v="2025-07-23"/>
    <s v="280729"/>
    <s v="M/s. Naresh Chandra Das"/>
    <s v="7365868045"/>
  </r>
  <r>
    <s v="RCF Thal"/>
    <s v="N.C.Urea(45kg)"/>
    <s v="WB"/>
    <x v="17"/>
    <s v="Karimpur - II"/>
    <s v="User Not Mapped"/>
    <s v="User Not Mapped"/>
    <s v="User Not Mapped"/>
    <n v="1063148"/>
    <s v="RAMJAN MONDAL"/>
    <s v="Private Retailer"/>
    <s v="9144167626"/>
    <n v="1.0349999999999999"/>
    <n v="1243"/>
    <x v="2"/>
    <m/>
    <s v="2022-11-24"/>
    <s v="280729"/>
    <s v="M/s. Naresh Chandra Das"/>
    <s v="7365868045"/>
  </r>
  <r>
    <s v="RCF Thal"/>
    <s v="N.C.Urea(45kg)"/>
    <s v="WB"/>
    <x v="17"/>
    <s v="Kaliganj"/>
    <s v="User Not Mapped"/>
    <s v="User Not Mapped"/>
    <s v="User Not Mapped"/>
    <n v="387974"/>
    <s v="Ramprasad Dutta"/>
    <s v="Private Retailer"/>
    <s v="8436512151"/>
    <n v="2.0249999999999999"/>
    <n v="13"/>
    <x v="5"/>
    <m/>
    <s v="2026-04-07"/>
    <s v="280729"/>
    <s v="M/s. Naresh Chandra Das"/>
    <s v="7365868045"/>
  </r>
  <r>
    <s v="RCF Trombay"/>
    <s v="N.C.Urea(45kg)"/>
    <s v="WB"/>
    <x v="17"/>
    <s v="Krishnagar - I"/>
    <s v="User Not Mapped"/>
    <s v="User Not Mapped"/>
    <s v="User Not Mapped"/>
    <n v="441501"/>
    <s v="Ratan Kr Majumder"/>
    <s v="Private Retailer"/>
    <s v="9735544761"/>
    <n v="0.9"/>
    <n v="83"/>
    <x v="6"/>
    <m/>
    <s v="2026-01-27"/>
    <s v="280729"/>
    <s v="M/s. Naresh Chandra Das"/>
    <s v="7365868045"/>
  </r>
  <r>
    <s v="RCF Trombay"/>
    <s v="15-15-15"/>
    <s v="WB"/>
    <x v="17"/>
    <s v="Krishnagar - I"/>
    <s v="User Not Mapped"/>
    <s v="User Not Mapped"/>
    <s v="User Not Mapped"/>
    <n v="323544"/>
    <s v="Ratan Kumar Ghosh"/>
    <s v="Private Retailer"/>
    <s v="8942954298"/>
    <n v="0.15"/>
    <n v="136"/>
    <x v="4"/>
    <m/>
    <s v="2025-12-05"/>
    <s v="280729"/>
    <s v="M/s. Naresh Chandra Das"/>
    <s v="7365868045"/>
  </r>
  <r>
    <s v="RCF Trombay"/>
    <s v="N.C.Urea(45kg)"/>
    <s v="WB"/>
    <x v="17"/>
    <s v="Krishnagar - I"/>
    <s v="User Not Mapped"/>
    <s v="User Not Mapped"/>
    <s v="User Not Mapped"/>
    <n v="323544"/>
    <s v="Ratan Kumar Ghosh"/>
    <s v="Private Retailer"/>
    <s v="8942954298"/>
    <n v="0.22500000000000001"/>
    <n v="33"/>
    <x v="3"/>
    <m/>
    <s v="2026-03-18"/>
    <s v="280729"/>
    <s v="M/s. Naresh Chandra Das"/>
    <s v="7365868045"/>
  </r>
  <r>
    <s v="RCF Thal"/>
    <s v="N.C.Urea(45kg)"/>
    <s v="WB"/>
    <x v="17"/>
    <m/>
    <s v="User Not Mapped"/>
    <s v="User Not Mapped"/>
    <s v="User Not Mapped"/>
    <n v="342669"/>
    <s v="Ratan Sadhukhan"/>
    <s v="Private Retailer"/>
    <s v="9932390429"/>
    <n v="4.3650000000000002"/>
    <n v="1157"/>
    <x v="2"/>
    <m/>
    <s v="2023-02-18"/>
    <s v="280729"/>
    <s v="M/s. Naresh Chandra Das"/>
    <s v="7365868045"/>
  </r>
  <r>
    <s v="RCF Thal"/>
    <s v="N.C.Urea(45kg)"/>
    <s v="WB"/>
    <x v="17"/>
    <s v="Haringhata"/>
    <s v="User Not Mapped"/>
    <s v="User Not Mapped"/>
    <s v="User Not Mapped"/>
    <n v="342672"/>
    <s v="Rekha Roy"/>
    <s v="Private Retailer"/>
    <s v="9609294434"/>
    <n v="10.98"/>
    <n v="39"/>
    <x v="3"/>
    <m/>
    <s v="2026-03-12"/>
    <s v="280729"/>
    <s v="M/s. Naresh Chandra Das"/>
    <s v="7365868045"/>
  </r>
  <r>
    <s v="RCF Thal"/>
    <s v="N.C.Urea(45kg)"/>
    <s v="WB"/>
    <x v="17"/>
    <s v="Ranaghat - II"/>
    <s v="User Not Mapped"/>
    <s v="User Not Mapped"/>
    <s v="User Not Mapped"/>
    <n v="342692"/>
    <s v="Robiul Hassan Mondal"/>
    <s v="Private Retailer"/>
    <s v="9775265646"/>
    <n v="8.9550000000000001"/>
    <n v="216"/>
    <x v="1"/>
    <m/>
    <s v="2025-09-16"/>
    <s v="280729"/>
    <s v="M/s. Naresh Chandra Das"/>
    <s v="7365868045"/>
  </r>
  <r>
    <s v="RCF Trombay"/>
    <s v="15-15-15"/>
    <s v="WB"/>
    <x v="17"/>
    <s v="Krishnagar - I"/>
    <s v="User Not Mapped"/>
    <s v="User Not Mapped"/>
    <s v="User Not Mapped"/>
    <n v="440728"/>
    <s v="ROY FERTILIZER"/>
    <s v="Private Retailer"/>
    <s v="9734089519"/>
    <n v="1"/>
    <n v="53"/>
    <x v="3"/>
    <m/>
    <s v="2026-02-26"/>
    <s v="280729"/>
    <s v="M/s. Naresh Chandra Das"/>
    <s v="7365868045"/>
  </r>
  <r>
    <s v="RCF Trombay"/>
    <s v="15-15-15"/>
    <s v="WB"/>
    <x v="17"/>
    <s v="Santipur"/>
    <s v="User Not Mapped"/>
    <s v="User Not Mapped"/>
    <s v="User Not Mapped"/>
    <n v="356109"/>
    <s v="Sadhan Ch. Ghosh"/>
    <s v="Private Retailer"/>
    <s v="8926398290"/>
    <n v="1"/>
    <n v="83"/>
    <x v="6"/>
    <m/>
    <s v="2026-01-27"/>
    <s v="280729"/>
    <s v="M/s. Naresh Chandra Das"/>
    <s v="7365868045"/>
  </r>
  <r>
    <s v="RCF Trombay"/>
    <s v="N.C.Urea(45kg)"/>
    <s v="WB"/>
    <x v="17"/>
    <s v="Nabadwip"/>
    <s v="User Not Mapped"/>
    <s v="User Not Mapped"/>
    <s v="User Not Mapped"/>
    <n v="944084"/>
    <s v="SAHAYRA FERTILIZER"/>
    <s v="Private Retailer"/>
    <s v="9593255259"/>
    <n v="8.3699999999999992"/>
    <n v="83"/>
    <x v="6"/>
    <m/>
    <s v="2026-01-27"/>
    <s v="280729"/>
    <s v="M/s. Naresh Chandra Das"/>
    <s v="7365868045"/>
  </r>
  <r>
    <s v="RCF Thal"/>
    <s v="N.C.Urea(45kg)"/>
    <s v="WB"/>
    <x v="17"/>
    <s v="Karimpur - I"/>
    <s v="User Not Mapped"/>
    <s v="User Not Mapped"/>
    <s v="User Not Mapped"/>
    <n v="1132999"/>
    <s v="SALIMUDDIN SHAIKH"/>
    <s v="Private Retailer"/>
    <s v="9593153849"/>
    <n v="2.25"/>
    <n v="13"/>
    <x v="5"/>
    <m/>
    <s v="2026-04-07"/>
    <s v="280729"/>
    <s v="M/s. Naresh Chandra Das"/>
    <s v="7365868045"/>
  </r>
  <r>
    <s v="RCF Trombay"/>
    <s v="N.C.Urea(45kg)"/>
    <s v="WB"/>
    <x v="17"/>
    <s v="Nabadwip"/>
    <s v="User Not Mapped"/>
    <s v="User Not Mapped"/>
    <s v="User Not Mapped"/>
    <n v="901210"/>
    <s v="SAMIR DUTTA"/>
    <s v="Private Retailer"/>
    <s v="8250255314"/>
    <n v="0.35299999999999998"/>
    <n v="242"/>
    <x v="1"/>
    <m/>
    <s v="2025-08-21"/>
    <s v="280729"/>
    <s v="M/s. Naresh Chandra Das"/>
    <s v="7365868045"/>
  </r>
  <r>
    <s v="RCF Trombay"/>
    <s v="15-15-15"/>
    <s v="WB"/>
    <x v="17"/>
    <s v="Nabadwip"/>
    <s v="User Not Mapped"/>
    <s v="User Not Mapped"/>
    <s v="User Not Mapped"/>
    <n v="901210"/>
    <s v="SAMIR DUTTA"/>
    <s v="Private Retailer"/>
    <s v="8250255314"/>
    <n v="0.85"/>
    <n v="242"/>
    <x v="1"/>
    <m/>
    <s v="2025-08-21"/>
    <s v="280729"/>
    <s v="M/s. Naresh Chandra Das"/>
    <s v="7365868045"/>
  </r>
  <r>
    <s v="RCF Trombay"/>
    <s v="N.C.Urea(45kg)"/>
    <s v="WB"/>
    <x v="17"/>
    <s v="Ranaghat - I"/>
    <s v="User Not Mapped"/>
    <s v="User Not Mapped"/>
    <s v="User Not Mapped"/>
    <n v="1172581"/>
    <s v="SAMPA BISWAS"/>
    <s v="Private Retailer"/>
    <s v="7003580631"/>
    <n v="2.1150000000000002"/>
    <n v="74"/>
    <x v="6"/>
    <m/>
    <s v="2026-02-05"/>
    <s v="280729"/>
    <s v="M/s. Naresh Chandra Das"/>
    <s v="7365868045"/>
  </r>
  <r>
    <s v="RCF Trombay"/>
    <s v="15-15-15"/>
    <s v="WB"/>
    <x v="17"/>
    <s v="Ranaghat - I"/>
    <s v="User Not Mapped"/>
    <s v="User Not Mapped"/>
    <s v="User Not Mapped"/>
    <n v="1172581"/>
    <s v="SAMPA BISWAS"/>
    <s v="Private Retailer"/>
    <s v="7003580631"/>
    <n v="2.7"/>
    <n v="74"/>
    <x v="6"/>
    <m/>
    <s v="2026-02-05"/>
    <s v="280729"/>
    <s v="M/s. Naresh Chandra Das"/>
    <s v="7365868045"/>
  </r>
  <r>
    <s v="RCF Trombay"/>
    <s v="15-15-15"/>
    <s v="WB"/>
    <x v="17"/>
    <s v="Ranaghat - II"/>
    <s v="User Not Mapped"/>
    <s v="User Not Mapped"/>
    <s v="User Not Mapped"/>
    <n v="943732"/>
    <s v="SANDIP SAHA"/>
    <s v="Private Retailer"/>
    <s v="9932887755"/>
    <n v="2.5"/>
    <n v="6"/>
    <x v="5"/>
    <m/>
    <s v="2026-04-14"/>
    <s v="280729"/>
    <s v="M/s. Naresh Chandra Das"/>
    <s v="7365868045"/>
  </r>
  <r>
    <s v="RCF Import"/>
    <s v="Imp 10-26-26"/>
    <s v="WB"/>
    <x v="17"/>
    <s v="Ranaghat - II"/>
    <s v="User Not Mapped"/>
    <s v="User Not Mapped"/>
    <s v="User Not Mapped"/>
    <n v="943732"/>
    <s v="SANDIP SAHA"/>
    <s v="Private Retailer"/>
    <s v="9932887755"/>
    <n v="2.5"/>
    <n v="6"/>
    <x v="5"/>
    <m/>
    <s v="2026-04-14"/>
    <s v="280729"/>
    <s v="M/s. Naresh Chandra Das"/>
    <s v="7365868045"/>
  </r>
  <r>
    <s v="RCF Import"/>
    <s v="MOP"/>
    <s v="WB"/>
    <x v="17"/>
    <s v="Hanskhali"/>
    <s v="User Not Mapped"/>
    <s v="User Not Mapped"/>
    <s v="User Not Mapped"/>
    <n v="441531"/>
    <s v="SANJAY SAHA"/>
    <s v="Private Retailer"/>
    <s v="9474341221"/>
    <n v="1"/>
    <n v="18"/>
    <x v="5"/>
    <m/>
    <s v="2026-04-02"/>
    <s v="280729"/>
    <s v="M/s. Naresh Chandra Das"/>
    <s v="7365868045"/>
  </r>
  <r>
    <s v="RCF Trombay"/>
    <s v="15-15-15"/>
    <s v="WB"/>
    <x v="17"/>
    <s v="Hanskhali"/>
    <s v="User Not Mapped"/>
    <s v="User Not Mapped"/>
    <s v="User Not Mapped"/>
    <n v="441531"/>
    <s v="SANJAY SAHA"/>
    <s v="Private Retailer"/>
    <s v="9474341221"/>
    <n v="0.75"/>
    <n v="18"/>
    <x v="5"/>
    <m/>
    <s v="2026-04-02"/>
    <s v="280729"/>
    <s v="M/s. Naresh Chandra Das"/>
    <s v="7365868045"/>
  </r>
  <r>
    <s v="RCF Thal"/>
    <s v="N.C.Urea(45kg)"/>
    <s v="WB"/>
    <x v="17"/>
    <s v="Hanskhali"/>
    <s v="User Not Mapped"/>
    <s v="User Not Mapped"/>
    <s v="User Not Mapped"/>
    <n v="441531"/>
    <s v="SANJAY SAHA"/>
    <s v="Private Retailer"/>
    <s v="9474341221"/>
    <n v="1.575"/>
    <n v="42"/>
    <x v="3"/>
    <m/>
    <s v="2026-03-09"/>
    <s v="280729"/>
    <s v="M/s. Naresh Chandra Das"/>
    <s v="7365868045"/>
  </r>
  <r>
    <s v="RCF Trombay"/>
    <s v="15-15-15"/>
    <s v="WB"/>
    <x v="17"/>
    <s v="Hanskhali"/>
    <s v="User Not Mapped"/>
    <s v="User Not Mapped"/>
    <s v="User Not Mapped"/>
    <n v="441531"/>
    <s v="SANJAY SAHA"/>
    <s v="Private Retailer"/>
    <s v="9474341221"/>
    <n v="0.25"/>
    <n v="42"/>
    <x v="3"/>
    <m/>
    <s v="2026-03-09"/>
    <s v="280729"/>
    <s v="M/s. Naresh Chandra Das"/>
    <s v="7365868045"/>
  </r>
  <r>
    <s v="RCF Trombay"/>
    <s v="N.C.Urea(45kg)"/>
    <s v="WB"/>
    <x v="17"/>
    <s v="Hanskhali"/>
    <s v="User Not Mapped"/>
    <s v="User Not Mapped"/>
    <s v="User Not Mapped"/>
    <n v="441531"/>
    <s v="SANJAY SAHA"/>
    <s v="Private Retailer"/>
    <s v="9474341221"/>
    <n v="4.1849999999999996"/>
    <n v="136"/>
    <x v="4"/>
    <m/>
    <s v="2025-12-05"/>
    <s v="280729"/>
    <s v="M/s. Naresh Chandra Das"/>
    <s v="7365868045"/>
  </r>
  <r>
    <s v="RCF Thal"/>
    <s v="N.C.Urea(45kg)"/>
    <s v="WB"/>
    <x v="17"/>
    <s v="Hanskhali"/>
    <s v="User Not Mapped"/>
    <s v="User Not Mapped"/>
    <s v="User Not Mapped"/>
    <n v="441531"/>
    <s v="SANJAY SAHA"/>
    <s v="Private Retailer"/>
    <s v="9474341221"/>
    <n v="1.05"/>
    <n v="250"/>
    <x v="1"/>
    <m/>
    <s v="2025-08-13"/>
    <s v="280729"/>
    <s v="M/s. Naresh Chandra Das"/>
    <s v="7365868045"/>
  </r>
  <r>
    <s v="RCF Thal"/>
    <s v="N.C.Urea(45kg)"/>
    <s v="WB"/>
    <x v="17"/>
    <s v="Hanskhali"/>
    <s v="User Not Mapped"/>
    <s v="User Not Mapped"/>
    <s v="User Not Mapped"/>
    <n v="441531"/>
    <s v="SANJAY SAHA"/>
    <s v="Private Retailer"/>
    <s v="9474341221"/>
    <n v="6.3"/>
    <n v="223"/>
    <x v="1"/>
    <m/>
    <s v="2025-09-09"/>
    <s v="280729"/>
    <s v="M/s. Naresh Chandra Das"/>
    <s v="7365868045"/>
  </r>
  <r>
    <s v="RCF Trombay"/>
    <s v="15-15-15"/>
    <s v="WB"/>
    <x v="17"/>
    <s v="Chakdah"/>
    <s v="User Not Mapped"/>
    <s v="User Not Mapped"/>
    <s v="User Not Mapped"/>
    <n v="356243"/>
    <s v="Sanjib Kumar Ghosh"/>
    <s v="Private Retailer"/>
    <s v="9733351600"/>
    <n v="2.5"/>
    <n v="6"/>
    <x v="5"/>
    <m/>
    <s v="2026-04-14"/>
    <s v="280729"/>
    <s v="M/s. Naresh Chandra Das"/>
    <s v="7365868045"/>
  </r>
  <r>
    <s v="RCF Import"/>
    <s v="Imp 10-26-26"/>
    <s v="WB"/>
    <x v="17"/>
    <s v="Chakdah"/>
    <s v="User Not Mapped"/>
    <s v="User Not Mapped"/>
    <s v="User Not Mapped"/>
    <n v="356243"/>
    <s v="Sanjib Kumar Ghosh"/>
    <s v="Private Retailer"/>
    <s v="9733351600"/>
    <n v="2.5"/>
    <n v="6"/>
    <x v="5"/>
    <m/>
    <s v="2026-04-14"/>
    <s v="280729"/>
    <s v="M/s. Naresh Chandra Das"/>
    <s v="7365868045"/>
  </r>
  <r>
    <s v="RCF Trombay"/>
    <s v="15-15-15"/>
    <s v="WB"/>
    <x v="17"/>
    <s v="Haringhata"/>
    <s v="User Not Mapped"/>
    <s v="User Not Mapped"/>
    <s v="User Not Mapped"/>
    <n v="356261"/>
    <s v="Sankar Kr. Ghosh"/>
    <s v="Private Retailer"/>
    <s v="9800999930"/>
    <n v="0.25"/>
    <n v="714"/>
    <x v="2"/>
    <m/>
    <s v="2024-05-06"/>
    <s v="280729"/>
    <s v="M/s. Naresh Chandra Das"/>
    <s v="7365868045"/>
  </r>
  <r>
    <s v="RCF Trombay"/>
    <s v="N.C.Urea(45kg)"/>
    <s v="WB"/>
    <x v="17"/>
    <m/>
    <s v="User Not Mapped"/>
    <s v="User Not Mapped"/>
    <s v="User Not Mapped"/>
    <n v="323555"/>
    <s v="Sankar Sarkar"/>
    <s v="Private Retailer"/>
    <s v="9434343362"/>
    <n v="0.36499999999999999"/>
    <n v="1420"/>
    <x v="2"/>
    <m/>
    <s v="2022-05-31"/>
    <s v="280729"/>
    <s v="M/s. Naresh Chandra Das"/>
    <s v="7365868045"/>
  </r>
  <r>
    <s v="RCF Trombay"/>
    <s v="15-15-15"/>
    <s v="WB"/>
    <x v="17"/>
    <m/>
    <s v="User Not Mapped"/>
    <s v="User Not Mapped"/>
    <s v="User Not Mapped"/>
    <n v="323555"/>
    <s v="Sankar Sarkar"/>
    <s v="Private Retailer"/>
    <s v="9434343362"/>
    <n v="5.85"/>
    <n v="1420"/>
    <x v="2"/>
    <m/>
    <s v="2022-05-31"/>
    <s v="280729"/>
    <s v="M/s. Naresh Chandra Das"/>
    <s v="7365868045"/>
  </r>
  <r>
    <s v="RCF Thal"/>
    <s v="N.C.Urea(45kg)"/>
    <s v="WB"/>
    <x v="17"/>
    <s v="Ranaghat - II"/>
    <s v="User Not Mapped"/>
    <s v="User Not Mapped"/>
    <s v="User Not Mapped"/>
    <n v="1062050"/>
    <s v="SANTI RANJAN SARKAR"/>
    <s v="Private Retailer"/>
    <s v="8116120085"/>
    <n v="0.01"/>
    <n v="513"/>
    <x v="0"/>
    <m/>
    <s v="2024-11-23"/>
    <s v="280729"/>
    <s v="M/s. Naresh Chandra Das"/>
    <s v="7365868045"/>
  </r>
  <r>
    <s v="RCF Thal"/>
    <s v="N.C.Urea(45kg)"/>
    <s v="WB"/>
    <x v="17"/>
    <m/>
    <s v="User Not Mapped"/>
    <s v="User Not Mapped"/>
    <s v="User Not Mapped"/>
    <n v="1015802"/>
    <s v="SARAFAT ALI SK"/>
    <s v="Private Retailer"/>
    <s v="8240553372"/>
    <n v="1.17"/>
    <n v="1242"/>
    <x v="2"/>
    <m/>
    <s v="2022-11-25"/>
    <s v="280729"/>
    <s v="M/s. Naresh Chandra Das"/>
    <s v="7365868045"/>
  </r>
  <r>
    <s v="RCF Trombay"/>
    <s v="15-15-15"/>
    <s v="WB"/>
    <x v="17"/>
    <s v="Chapra"/>
    <s v="User Not Mapped"/>
    <s v="User Not Mapped"/>
    <s v="User Not Mapped"/>
    <n v="1063042"/>
    <s v="SARASWATI FERTILIZER"/>
    <s v="Private Retailer"/>
    <s v="7063250336"/>
    <n v="2.5"/>
    <n v="83"/>
    <x v="6"/>
    <m/>
    <s v="2026-01-27"/>
    <s v="280729"/>
    <s v="M/s. Naresh Chandra Das"/>
    <s v="7365868045"/>
  </r>
  <r>
    <s v="RCF Trombay"/>
    <s v="15-15-15"/>
    <s v="WB"/>
    <x v="17"/>
    <s v="Chapra"/>
    <s v="User Not Mapped"/>
    <s v="User Not Mapped"/>
    <s v="User Not Mapped"/>
    <n v="1063042"/>
    <s v="SARASWATI FERTILIZER"/>
    <s v="Private Retailer"/>
    <s v="7063250336"/>
    <n v="2"/>
    <n v="241"/>
    <x v="1"/>
    <m/>
    <s v="2025-08-22"/>
    <s v="280729"/>
    <s v="M/s. Naresh Chandra Das"/>
    <s v="7365868045"/>
  </r>
  <r>
    <s v="RCF Import"/>
    <s v="MOP"/>
    <s v="WB"/>
    <x v="17"/>
    <s v="Krishnagar - II"/>
    <s v="User Not Mapped"/>
    <s v="User Not Mapped"/>
    <s v="User Not Mapped"/>
    <n v="709117"/>
    <s v="SARITION FERTILIZER"/>
    <s v="Private Retailer"/>
    <s v="8641023683"/>
    <n v="0.25"/>
    <n v="486"/>
    <x v="0"/>
    <m/>
    <s v="2024-12-20"/>
    <s v="280729"/>
    <s v="M/s. Naresh Chandra Das"/>
    <s v="7365868045"/>
  </r>
  <r>
    <s v="RCF Import"/>
    <s v="Imp 10-26-26"/>
    <s v="WB"/>
    <x v="17"/>
    <s v="Krishnagar - II"/>
    <s v="User Not Mapped"/>
    <s v="User Not Mapped"/>
    <s v="User Not Mapped"/>
    <n v="709117"/>
    <s v="SARITION FERTILIZER"/>
    <s v="Private Retailer"/>
    <s v="8641023683"/>
    <n v="0.5"/>
    <n v="486"/>
    <x v="0"/>
    <m/>
    <s v="2024-12-20"/>
    <s v="280729"/>
    <s v="M/s. Naresh Chandra Das"/>
    <s v="7365868045"/>
  </r>
  <r>
    <s v="RCF Thal"/>
    <s v="N.C.Urea(45kg)"/>
    <s v="WB"/>
    <x v="17"/>
    <s v="Krishnagar - II"/>
    <s v="User Not Mapped"/>
    <s v="User Not Mapped"/>
    <s v="User Not Mapped"/>
    <n v="709117"/>
    <s v="SARITION FERTILIZER"/>
    <s v="Private Retailer"/>
    <s v="8641023683"/>
    <n v="4.32"/>
    <n v="13"/>
    <x v="5"/>
    <m/>
    <s v="2026-04-07"/>
    <s v="280729"/>
    <s v="M/s. Naresh Chandra Das"/>
    <s v="7365868045"/>
  </r>
  <r>
    <s v="RCF Trombay"/>
    <s v="N.C.Urea(45kg)"/>
    <s v="WB"/>
    <x v="17"/>
    <s v="Krishnagar - II"/>
    <s v="User Not Mapped"/>
    <s v="User Not Mapped"/>
    <s v="User Not Mapped"/>
    <n v="709117"/>
    <s v="SARITION FERTILIZER"/>
    <s v="Private Retailer"/>
    <s v="8641023683"/>
    <n v="0.495"/>
    <n v="430"/>
    <x v="0"/>
    <m/>
    <s v="2025-02-14"/>
    <s v="280729"/>
    <s v="M/s. Naresh Chandra Das"/>
    <s v="7365868045"/>
  </r>
  <r>
    <s v="RCF Trombay"/>
    <s v="15-15-15"/>
    <s v="WB"/>
    <x v="17"/>
    <s v="Krishnagar - II"/>
    <s v="User Not Mapped"/>
    <s v="User Not Mapped"/>
    <s v="User Not Mapped"/>
    <n v="709117"/>
    <s v="SARITION FERTILIZER"/>
    <s v="Private Retailer"/>
    <s v="8641023683"/>
    <n v="0.2"/>
    <n v="390"/>
    <x v="0"/>
    <m/>
    <s v="2025-03-26"/>
    <s v="280729"/>
    <s v="M/s. Naresh Chandra Das"/>
    <s v="7365868045"/>
  </r>
  <r>
    <s v="RCF Import"/>
    <s v="MOP"/>
    <s v="WB"/>
    <x v="17"/>
    <s v="Haringhata"/>
    <s v="User Not Mapped"/>
    <s v="User Not Mapped"/>
    <s v="User Not Mapped"/>
    <n v="441505"/>
    <s v="Sarkar Krishi Bhander"/>
    <s v="Private Retailer"/>
    <s v="9732629523"/>
    <n v="4.5999999999999996"/>
    <n v="56"/>
    <x v="3"/>
    <m/>
    <s v="2026-02-23"/>
    <s v="280729"/>
    <s v="M/s. Naresh Chandra Das"/>
    <s v="7365868045"/>
  </r>
  <r>
    <s v="RCF Trombay"/>
    <s v="15-15-15"/>
    <s v="WB"/>
    <x v="17"/>
    <s v="Ranaghat - II"/>
    <s v="User Not Mapped"/>
    <s v="User Not Mapped"/>
    <s v="User Not Mapped"/>
    <n v="1036520"/>
    <s v="SEC NANDIGHAT SKUS"/>
    <s v="PACS"/>
    <s v="8001561647"/>
    <n v="2.5499999999999998"/>
    <n v="446"/>
    <x v="0"/>
    <m/>
    <s v="2025-01-29"/>
    <s v="280729"/>
    <s v="M/s. Naresh Chandra Das"/>
    <s v="7365868045"/>
  </r>
  <r>
    <s v="RCF Trombay"/>
    <s v="15-15-15"/>
    <s v="WB"/>
    <x v="17"/>
    <s v="Ranaghat - I"/>
    <s v="User Not Mapped"/>
    <s v="User Not Mapped"/>
    <s v="User Not Mapped"/>
    <n v="1031280"/>
    <s v="Sec. Nandighat SKUS ltd."/>
    <s v="PACS"/>
    <s v="9564312784"/>
    <n v="7.15"/>
    <n v="35"/>
    <x v="3"/>
    <m/>
    <s v="2026-03-16"/>
    <s v="280729"/>
    <s v="M/s. Naresh Chandra Das"/>
    <s v="7365868045"/>
  </r>
  <r>
    <s v="RCF Trombay"/>
    <s v="15-15-15"/>
    <s v="WB"/>
    <x v="17"/>
    <s v="Ranaghat - I"/>
    <s v="User Not Mapped"/>
    <s v="User Not Mapped"/>
    <s v="User Not Mapped"/>
    <n v="1031276"/>
    <s v="Sec. Sambhupur SKUS ltd"/>
    <s v="PACS"/>
    <s v="9474683700"/>
    <n v="9.09"/>
    <n v="35"/>
    <x v="3"/>
    <m/>
    <s v="2026-03-16"/>
    <s v="280729"/>
    <s v="M/s. Naresh Chandra Das"/>
    <s v="7365868045"/>
  </r>
  <r>
    <s v="RCF Trombay"/>
    <s v="N.C.Urea(45kg)"/>
    <s v="WB"/>
    <x v="17"/>
    <s v="Nakashipara"/>
    <s v="User Not Mapped"/>
    <s v="User Not Mapped"/>
    <s v="User Not Mapped"/>
    <n v="940053"/>
    <s v="SHAIFUL ASLAM KHAN"/>
    <s v="Private Retailer"/>
    <s v="7602222411"/>
    <n v="3.69"/>
    <n v="52"/>
    <x v="3"/>
    <m/>
    <s v="2026-02-27"/>
    <s v="280729"/>
    <s v="M/s. Naresh Chandra Das"/>
    <s v="7365868045"/>
  </r>
  <r>
    <s v="RCF Trombay"/>
    <s v="15-15-15"/>
    <s v="WB"/>
    <x v="17"/>
    <s v="Chapra"/>
    <s v="User Not Mapped"/>
    <s v="User Not Mapped"/>
    <s v="User Not Mapped"/>
    <n v="759264"/>
    <s v="SHAIKH FERTILIZER"/>
    <s v="Private Retailer"/>
    <s v="7699494900"/>
    <n v="0.45"/>
    <n v="243"/>
    <x v="1"/>
    <m/>
    <s v="2025-08-20"/>
    <s v="280729"/>
    <s v="M/s. Naresh Chandra Das"/>
    <s v="7365868045"/>
  </r>
  <r>
    <s v="RCF Trombay"/>
    <s v="N.C.Urea(45kg)"/>
    <s v="WB"/>
    <x v="17"/>
    <s v="Hanskhali"/>
    <s v="User Not Mapped"/>
    <s v="User Not Mapped"/>
    <s v="User Not Mapped"/>
    <n v="441533"/>
    <s v="SHIBKINKAR SARKAR"/>
    <s v="Private Retailer"/>
    <s v="9679389753"/>
    <n v="2.25"/>
    <n v="459"/>
    <x v="0"/>
    <m/>
    <s v="2025-01-16"/>
    <s v="280729"/>
    <s v="M/s. Naresh Chandra Das"/>
    <s v="7365868045"/>
  </r>
  <r>
    <s v="RCF Trombay"/>
    <s v="N.C.Urea(45kg)"/>
    <s v="WB"/>
    <x v="17"/>
    <m/>
    <s v="User Not Mapped"/>
    <s v="User Not Mapped"/>
    <s v="User Not Mapped"/>
    <n v="492853"/>
    <s v="Shital Prasad Ghosh"/>
    <s v="Private Retailer"/>
    <s v="8116120085"/>
    <n v="7.6150000000000002"/>
    <n v="346"/>
    <x v="1"/>
    <m/>
    <s v="2025-05-09"/>
    <s v="280729"/>
    <s v="M/s. Naresh Chandra Das"/>
    <s v="7365868045"/>
  </r>
  <r>
    <s v="RCF Thal"/>
    <s v="N.C.Urea(45kg)"/>
    <s v="WB"/>
    <x v="17"/>
    <m/>
    <s v="User Not Mapped"/>
    <s v="User Not Mapped"/>
    <s v="User Not Mapped"/>
    <n v="492853"/>
    <s v="Shital Prasad Ghosh"/>
    <s v="Private Retailer"/>
    <s v="8116120085"/>
    <n v="4.13"/>
    <n v="346"/>
    <x v="1"/>
    <m/>
    <s v="2025-05-09"/>
    <s v="280729"/>
    <s v="M/s. Naresh Chandra Das"/>
    <s v="7365868045"/>
  </r>
  <r>
    <s v="RCF Thal"/>
    <s v="N.C.Urea(45kg)"/>
    <s v="WB"/>
    <x v="17"/>
    <s v="Tehatta - I"/>
    <s v="User Not Mapped"/>
    <s v="User Not Mapped"/>
    <s v="User Not Mapped"/>
    <n v="914363"/>
    <s v="SINDHU HALDER"/>
    <s v="Private Retailer"/>
    <s v="9732994967"/>
    <n v="9.99"/>
    <n v="13"/>
    <x v="5"/>
    <m/>
    <s v="2026-04-07"/>
    <s v="280729"/>
    <s v="M/s. Naresh Chandra Das"/>
    <s v="7365868045"/>
  </r>
  <r>
    <s v="RCF Trombay"/>
    <s v="N.C.Urea(45kg)"/>
    <s v="WB"/>
    <x v="17"/>
    <s v="Chapra"/>
    <s v="User Not Mapped"/>
    <s v="User Not Mapped"/>
    <s v="User Not Mapped"/>
    <n v="1062933"/>
    <s v="SOHANA FERTILIZER"/>
    <s v="Private Retailer"/>
    <s v="7076115427"/>
    <n v="1.35"/>
    <n v="629"/>
    <x v="2"/>
    <m/>
    <s v="2024-07-30"/>
    <s v="280729"/>
    <s v="M/s. Naresh Chandra Das"/>
    <s v="7365868045"/>
  </r>
  <r>
    <s v="RCF Trombay"/>
    <s v="N.C.Urea(45kg)"/>
    <s v="WB"/>
    <x v="17"/>
    <s v="Nakashipara"/>
    <s v="User Not Mapped"/>
    <s v="User Not Mapped"/>
    <s v="User Not Mapped"/>
    <n v="777477"/>
    <s v="SONALI KHATUN"/>
    <s v="Private Retailer"/>
    <s v="9932944070"/>
    <n v="0.36"/>
    <n v="231"/>
    <x v="1"/>
    <m/>
    <s v="2025-09-01"/>
    <s v="280729"/>
    <s v="M/s. Naresh Chandra Das"/>
    <s v="7365868045"/>
  </r>
  <r>
    <s v="RCF Trombay"/>
    <s v="15-15-15"/>
    <s v="WB"/>
    <x v="17"/>
    <s v="Ranaghat - I"/>
    <s v="User Not Mapped"/>
    <s v="User Not Mapped"/>
    <s v="User Not Mapped"/>
    <n v="463361"/>
    <s v="Sswapan Kr Bhowmik"/>
    <s v="Private Retailer"/>
    <s v="9064110327"/>
    <n v="0.04"/>
    <n v="633"/>
    <x v="2"/>
    <m/>
    <s v="2024-07-26"/>
    <s v="280729"/>
    <s v="M/s. Naresh Chandra Das"/>
    <s v="7365868045"/>
  </r>
  <r>
    <s v="RCF Trombay"/>
    <s v="15-15-15"/>
    <s v="WB"/>
    <x v="17"/>
    <s v="Hanskhali"/>
    <s v="User Not Mapped"/>
    <s v="User Not Mapped"/>
    <s v="User Not Mapped"/>
    <n v="938192"/>
    <s v="SUBHASH CHANDRA KHAN"/>
    <s v="Private Retailer"/>
    <s v="8116999920"/>
    <n v="0.5"/>
    <n v="42"/>
    <x v="3"/>
    <m/>
    <s v="2026-03-09"/>
    <s v="280729"/>
    <s v="M/s. Naresh Chandra Das"/>
    <s v="7365868045"/>
  </r>
  <r>
    <s v="RCF Thal"/>
    <s v="N.C.Urea(45kg)"/>
    <s v="WB"/>
    <x v="17"/>
    <m/>
    <s v="User Not Mapped"/>
    <s v="User Not Mapped"/>
    <s v="User Not Mapped"/>
    <n v="1087517"/>
    <s v="SUBODH KUMAR MANDAL"/>
    <s v="Private Retailer"/>
    <s v="7699717737"/>
    <n v="0.04"/>
    <n v="2656"/>
    <x v="2"/>
    <m/>
    <s v="2019-01-11"/>
    <s v="280729"/>
    <s v="M/s. Naresh Chandra Das"/>
    <s v="7365868045"/>
  </r>
  <r>
    <s v="RCF Trombay"/>
    <s v="15-15-15"/>
    <s v="WB"/>
    <x v="17"/>
    <s v="Tehatta - I"/>
    <s v="User Not Mapped"/>
    <s v="User Not Mapped"/>
    <s v="User Not Mapped"/>
    <n v="595024"/>
    <s v="SUDEVI BHOWMIK"/>
    <s v="Private Retailer"/>
    <s v="9635084345"/>
    <n v="0.15"/>
    <n v="84"/>
    <x v="6"/>
    <m/>
    <s v="2026-01-26"/>
    <s v="280729"/>
    <s v="M/s. Naresh Chandra Das"/>
    <s v="7365868045"/>
  </r>
  <r>
    <s v="RCF Trombay"/>
    <s v="15-15-15"/>
    <s v="WB"/>
    <x v="17"/>
    <s v="Hanskhali"/>
    <s v="User Not Mapped"/>
    <s v="User Not Mapped"/>
    <s v="User Not Mapped"/>
    <n v="1062052"/>
    <s v="SUDHENDU SAHA"/>
    <s v="Private Retailer"/>
    <s v="6294824935"/>
    <n v="3.65"/>
    <n v="52"/>
    <x v="3"/>
    <m/>
    <s v="2026-02-27"/>
    <s v="280729"/>
    <s v="M/s. Naresh Chandra Das"/>
    <s v="7365868045"/>
  </r>
  <r>
    <s v="RCF Thal"/>
    <s v="N.C.Urea(45kg)"/>
    <s v="WB"/>
    <x v="17"/>
    <s v="Hanskhali"/>
    <s v="User Not Mapped"/>
    <s v="User Not Mapped"/>
    <s v="User Not Mapped"/>
    <n v="1062052"/>
    <s v="SUDHENDU SAHA"/>
    <s v="Private Retailer"/>
    <s v="6294824935"/>
    <n v="5.13"/>
    <n v="205"/>
    <x v="1"/>
    <m/>
    <s v="2025-09-27"/>
    <s v="280729"/>
    <s v="M/s. Naresh Chandra Das"/>
    <s v="7365868045"/>
  </r>
  <r>
    <s v="RCF Import"/>
    <s v="MOP"/>
    <s v="WB"/>
    <x v="17"/>
    <s v="Hanskhali"/>
    <s v="User Not Mapped"/>
    <s v="User Not Mapped"/>
    <s v="User Not Mapped"/>
    <n v="1062052"/>
    <s v="SUDHENDU SAHA"/>
    <s v="Private Retailer"/>
    <s v="6294824935"/>
    <n v="1.35"/>
    <n v="58"/>
    <x v="3"/>
    <m/>
    <s v="2026-02-21"/>
    <s v="280729"/>
    <s v="M/s. Naresh Chandra Das"/>
    <s v="7365868045"/>
  </r>
  <r>
    <s v="RCF Trombay"/>
    <s v="N.C.Urea(45kg)"/>
    <s v="WB"/>
    <x v="17"/>
    <s v="Hanskhali"/>
    <s v="User Not Mapped"/>
    <s v="User Not Mapped"/>
    <s v="User Not Mapped"/>
    <n v="1062052"/>
    <s v="SUDHENDU SAHA"/>
    <s v="Private Retailer"/>
    <s v="6294824935"/>
    <n v="9.99"/>
    <n v="52"/>
    <x v="3"/>
    <m/>
    <s v="2026-02-27"/>
    <s v="280729"/>
    <s v="M/s. Naresh Chandra Das"/>
    <s v="7365868045"/>
  </r>
  <r>
    <s v="RCF Trombay"/>
    <s v="N.C.Urea(45kg)"/>
    <s v="WB"/>
    <x v="17"/>
    <s v="Hanskhali"/>
    <s v="User Not Mapped"/>
    <s v="User Not Mapped"/>
    <s v="User Not Mapped"/>
    <n v="1062052"/>
    <s v="SUDHENDU SAHA"/>
    <s v="Private Retailer"/>
    <s v="6294824935"/>
    <n v="3.06"/>
    <n v="355"/>
    <x v="1"/>
    <m/>
    <s v="2025-04-30"/>
    <s v="280729"/>
    <s v="M/s. Naresh Chandra Das"/>
    <s v="7365868045"/>
  </r>
  <r>
    <s v="RCF Trombay"/>
    <s v="15-15-15"/>
    <s v="WB"/>
    <x v="17"/>
    <s v="Hanskhali"/>
    <s v="User Not Mapped"/>
    <s v="User Not Mapped"/>
    <s v="User Not Mapped"/>
    <n v="1062052"/>
    <s v="SUDHENDU SAHA"/>
    <s v="Private Retailer"/>
    <s v="6294824935"/>
    <n v="5"/>
    <n v="35"/>
    <x v="3"/>
    <m/>
    <s v="2026-03-16"/>
    <s v="280729"/>
    <s v="M/s. Naresh Chandra Das"/>
    <s v="7365868045"/>
  </r>
  <r>
    <s v="RCF Trombay"/>
    <s v="15-15-15"/>
    <s v="WB"/>
    <x v="17"/>
    <s v="Krishnagar - I"/>
    <s v="User Not Mapped"/>
    <s v="User Not Mapped"/>
    <s v="User Not Mapped"/>
    <n v="901198"/>
    <s v="SUFAL SADHUKHAN"/>
    <s v="Private Retailer"/>
    <s v="9735909878"/>
    <n v="1.5"/>
    <n v="242"/>
    <x v="1"/>
    <m/>
    <s v="2025-08-21"/>
    <s v="280729"/>
    <s v="M/s. Naresh Chandra Das"/>
    <s v="7365868045"/>
  </r>
  <r>
    <s v="RCF Trombay"/>
    <s v="15-15-15"/>
    <s v="WB"/>
    <x v="17"/>
    <s v="Santipur"/>
    <s v="User Not Mapped"/>
    <s v="User Not Mapped"/>
    <s v="User Not Mapped"/>
    <n v="633632"/>
    <s v="Sujit Saha"/>
    <s v="Private Retailer"/>
    <s v="9932652188"/>
    <n v="0.25"/>
    <n v="235"/>
    <x v="1"/>
    <m/>
    <s v="2025-08-28"/>
    <s v="280729"/>
    <s v="M/s. Naresh Chandra Das"/>
    <s v="7365868045"/>
  </r>
  <r>
    <s v="RCF Trombay"/>
    <s v="N.C.Urea(45kg)"/>
    <s v="WB"/>
    <x v="17"/>
    <s v="Santipur"/>
    <s v="User Not Mapped"/>
    <s v="User Not Mapped"/>
    <s v="User Not Mapped"/>
    <n v="622720"/>
    <s v="SUKUMAR BISWAS"/>
    <s v="Private Retailer"/>
    <s v="9932328961"/>
    <n v="1.8"/>
    <n v="84"/>
    <x v="6"/>
    <m/>
    <s v="2026-01-26"/>
    <s v="280729"/>
    <s v="M/s. Naresh Chandra Das"/>
    <s v="7365868045"/>
  </r>
  <r>
    <s v="RCF Trombay"/>
    <s v="15-15-15"/>
    <s v="WB"/>
    <x v="17"/>
    <s v="Santipur"/>
    <s v="User Not Mapped"/>
    <s v="User Not Mapped"/>
    <s v="User Not Mapped"/>
    <n v="622720"/>
    <s v="SUKUMAR BISWAS"/>
    <s v="Private Retailer"/>
    <s v="9932328961"/>
    <n v="3.5"/>
    <n v="84"/>
    <x v="6"/>
    <m/>
    <s v="2026-01-26"/>
    <s v="280729"/>
    <s v="M/s. Naresh Chandra Das"/>
    <s v="7365868045"/>
  </r>
  <r>
    <s v="RCF Trombay"/>
    <s v="15-15-15"/>
    <s v="WB"/>
    <x v="17"/>
    <s v="Ranaghat - II"/>
    <s v="User Not Mapped"/>
    <s v="User Not Mapped"/>
    <s v="User Not Mapped"/>
    <n v="323575"/>
    <s v="Sukumar Ghsoh"/>
    <s v="Private Retailer"/>
    <s v="9732592744"/>
    <n v="0.5"/>
    <n v="52"/>
    <x v="3"/>
    <m/>
    <s v="2026-02-27"/>
    <s v="280729"/>
    <s v="M/s. Naresh Chandra Das"/>
    <s v="7365868045"/>
  </r>
  <r>
    <s v="RCF Thal"/>
    <s v="N.C.Urea(45kg)"/>
    <s v="WB"/>
    <x v="17"/>
    <s v="Ranaghat - II"/>
    <s v="User Not Mapped"/>
    <s v="User Not Mapped"/>
    <s v="User Not Mapped"/>
    <n v="323575"/>
    <s v="Sukumar Ghsoh"/>
    <s v="Private Retailer"/>
    <s v="9732592744"/>
    <n v="9.99"/>
    <n v="13"/>
    <x v="5"/>
    <m/>
    <s v="2026-04-07"/>
    <s v="280729"/>
    <s v="M/s. Naresh Chandra Das"/>
    <s v="7365868045"/>
  </r>
  <r>
    <s v="RCF Import"/>
    <s v="MOP"/>
    <s v="WB"/>
    <x v="17"/>
    <s v="Ranaghat - II"/>
    <s v="User Not Mapped"/>
    <s v="User Not Mapped"/>
    <s v="User Not Mapped"/>
    <n v="323575"/>
    <s v="Sukumar Ghsoh"/>
    <s v="Private Retailer"/>
    <s v="9732592744"/>
    <n v="5"/>
    <n v="25"/>
    <x v="5"/>
    <m/>
    <s v="2026-03-26"/>
    <s v="280729"/>
    <s v="M/s. Naresh Chandra Das"/>
    <s v="7365868045"/>
  </r>
  <r>
    <s v="RCF Trombay"/>
    <s v="15-15-15"/>
    <s v="WB"/>
    <x v="17"/>
    <s v="Krishnagar - I"/>
    <s v="User Not Mapped"/>
    <s v="User Not Mapped"/>
    <s v="User Not Mapped"/>
    <n v="901200"/>
    <s v="SUKUMAR SADHUKHAN"/>
    <s v="Private Retailer"/>
    <s v="9733094882"/>
    <n v="1.8"/>
    <n v="62"/>
    <x v="6"/>
    <m/>
    <s v="2026-02-17"/>
    <s v="280729"/>
    <s v="M/s. Naresh Chandra Das"/>
    <s v="7365868045"/>
  </r>
  <r>
    <s v="RCF Thal"/>
    <s v="N.C.Urea(45kg)"/>
    <s v="WB"/>
    <x v="17"/>
    <m/>
    <s v="User Not Mapped"/>
    <s v="User Not Mapped"/>
    <s v="User Not Mapped"/>
    <n v="1565680"/>
    <s v="SUMAN AGRI TECH"/>
    <s v="Private Retailer"/>
    <s v="8906012218"/>
    <n v="4.9950000000000001"/>
    <n v="9"/>
    <x v="5"/>
    <m/>
    <s v="2026-04-11"/>
    <s v="280729"/>
    <s v="M/s. Naresh Chandra Das"/>
    <s v="7365868045"/>
  </r>
  <r>
    <s v="RCF Trombay"/>
    <s v="15-15-15"/>
    <s v="WB"/>
    <x v="17"/>
    <s v="Krishnagar - I"/>
    <s v="User Not Mapped"/>
    <s v="User Not Mapped"/>
    <s v="User Not Mapped"/>
    <n v="356313"/>
    <s v="Sunil Kumar Biswas"/>
    <s v="Private Retailer"/>
    <s v="9635938901"/>
    <n v="7"/>
    <n v="60"/>
    <x v="3"/>
    <m/>
    <s v="2026-02-19"/>
    <s v="280729"/>
    <s v="M/s. Naresh Chandra Das"/>
    <s v="7365868045"/>
  </r>
  <r>
    <s v="RCF Thal"/>
    <s v="N.C.Urea(45kg)"/>
    <s v="WB"/>
    <x v="17"/>
    <s v="Haringhata"/>
    <s v="User Not Mapped"/>
    <s v="User Not Mapped"/>
    <s v="User Not Mapped"/>
    <n v="452373"/>
    <s v="Suprabir Biswas"/>
    <s v="Private Retailer"/>
    <s v="9800401289"/>
    <n v="4.41"/>
    <n v="9"/>
    <x v="5"/>
    <m/>
    <s v="2026-04-11"/>
    <s v="280729"/>
    <s v="M/s. Naresh Chandra Das"/>
    <s v="7365868045"/>
  </r>
  <r>
    <s v="RCF Trombay"/>
    <s v="N.C.Urea(45kg)"/>
    <s v="WB"/>
    <x v="17"/>
    <s v="Krishnagar - I"/>
    <s v="User Not Mapped"/>
    <s v="User Not Mapped"/>
    <s v="User Not Mapped"/>
    <n v="935689"/>
    <s v="SUSANTA BISWAS"/>
    <s v="Private Retailer"/>
    <s v="9732738901"/>
    <n v="1.575"/>
    <n v="459"/>
    <x v="0"/>
    <m/>
    <s v="2025-01-16"/>
    <s v="280729"/>
    <s v="M/s. Naresh Chandra Das"/>
    <s v="7365868045"/>
  </r>
  <r>
    <s v="RCF Trombay"/>
    <s v="15-15-15"/>
    <s v="WB"/>
    <x v="17"/>
    <s v="Krishnagar - I"/>
    <s v="User Not Mapped"/>
    <s v="User Not Mapped"/>
    <s v="User Not Mapped"/>
    <n v="935689"/>
    <s v="SUSANTA BISWAS"/>
    <s v="Private Retailer"/>
    <s v="9732738901"/>
    <n v="1.25"/>
    <n v="355"/>
    <x v="1"/>
    <m/>
    <s v="2025-04-30"/>
    <s v="280729"/>
    <s v="M/s. Naresh Chandra Das"/>
    <s v="7365868045"/>
  </r>
  <r>
    <s v="RCF Thal"/>
    <s v="N.C.Urea(45kg)"/>
    <s v="WB"/>
    <x v="17"/>
    <s v="Santipur"/>
    <s v="User Not Mapped"/>
    <s v="User Not Mapped"/>
    <s v="User Not Mapped"/>
    <n v="870268"/>
    <s v="SUSHANTA ADHIKARI"/>
    <s v="Private Retailer"/>
    <s v="9333208940"/>
    <n v="0.76500000000000001"/>
    <n v="936"/>
    <x v="2"/>
    <m/>
    <s v="2023-09-27"/>
    <s v="280729"/>
    <s v="M/s. Naresh Chandra Das"/>
    <s v="7365868045"/>
  </r>
  <r>
    <s v="RCF Trombay"/>
    <s v="N.C.Urea(45kg)"/>
    <s v="WB"/>
    <x v="17"/>
    <s v="Krishnagar - I"/>
    <s v="User Not Mapped"/>
    <s v="User Not Mapped"/>
    <s v="User Not Mapped"/>
    <n v="945143"/>
    <s v="SUSHIL KUMAR DAS"/>
    <s v="Private Retailer"/>
    <s v="9883374437"/>
    <n v="1.8"/>
    <n v="25"/>
    <x v="5"/>
    <m/>
    <s v="2026-03-26"/>
    <s v="280729"/>
    <s v="M/s. Naresh Chandra Das"/>
    <s v="7365868045"/>
  </r>
  <r>
    <s v="RCF Thal"/>
    <s v="N.C.Urea(45kg)"/>
    <s v="WB"/>
    <x v="17"/>
    <s v="Ranaghat - II"/>
    <s v="User Not Mapped"/>
    <s v="User Not Mapped"/>
    <s v="User Not Mapped"/>
    <n v="739706"/>
    <s v="Swapan Sarkar"/>
    <s v="Private Retailer"/>
    <s v="9732686648"/>
    <n v="9.7110000000000003"/>
    <n v="40"/>
    <x v="3"/>
    <m/>
    <s v="2026-03-11"/>
    <s v="280729"/>
    <s v="M/s. Naresh Chandra Das"/>
    <s v="7365868045"/>
  </r>
  <r>
    <s v="RCF Trombay"/>
    <s v="15-15-15"/>
    <s v="WB"/>
    <x v="17"/>
    <s v="Santipur"/>
    <s v="User Not Mapped"/>
    <s v="User Not Mapped"/>
    <s v="User Not Mapped"/>
    <n v="218888"/>
    <s v="Tapan Kr Mallick"/>
    <s v="Private Retailer"/>
    <s v="9333321159"/>
    <n v="1.5"/>
    <n v="53"/>
    <x v="3"/>
    <m/>
    <s v="2026-02-26"/>
    <s v="280729"/>
    <s v="M/s. Naresh Chandra Das"/>
    <s v="7365868045"/>
  </r>
  <r>
    <s v="RCF Trombay"/>
    <s v="N.C.Urea(45kg)"/>
    <s v="WB"/>
    <x v="17"/>
    <s v="Krishnagar - I"/>
    <s v="User Not Mapped"/>
    <s v="User Not Mapped"/>
    <s v="User Not Mapped"/>
    <n v="602863"/>
    <s v="TAPAN KUMAR PAUL"/>
    <s v="Private Retailer"/>
    <s v="8145068460"/>
    <n v="1.17"/>
    <n v="391"/>
    <x v="0"/>
    <m/>
    <s v="2025-03-25"/>
    <s v="280729"/>
    <s v="M/s. Naresh Chandra Das"/>
    <s v="7365868045"/>
  </r>
  <r>
    <s v="RCF Trombay"/>
    <s v="15-15-15"/>
    <s v="WB"/>
    <x v="17"/>
    <s v="Krishnagar - I"/>
    <s v="User Not Mapped"/>
    <s v="User Not Mapped"/>
    <s v="User Not Mapped"/>
    <n v="243927"/>
    <s v="Tapas Kr Sadhukhan"/>
    <s v="Private Retailer"/>
    <s v="9749807346"/>
    <n v="2.75"/>
    <n v="135"/>
    <x v="4"/>
    <m/>
    <s v="2025-12-06"/>
    <s v="280729"/>
    <s v="M/s. Naresh Chandra Das"/>
    <s v="7365868045"/>
  </r>
  <r>
    <s v="RCF Thal"/>
    <s v="N.C.Urea(45kg)"/>
    <s v="WB"/>
    <x v="17"/>
    <s v="Krishnagar - II"/>
    <s v="User Not Mapped"/>
    <s v="User Not Mapped"/>
    <s v="User Not Mapped"/>
    <n v="389756"/>
    <s v="Tara Ma Fertiliser"/>
    <s v="Private Retailer"/>
    <s v="7470272914"/>
    <n v="9.99"/>
    <n v="13"/>
    <x v="5"/>
    <m/>
    <s v="2026-04-07"/>
    <s v="280729"/>
    <s v="M/s. Naresh Chandra Das"/>
    <s v="7365868045"/>
  </r>
  <r>
    <s v="RCF Trombay"/>
    <s v="15-15-15"/>
    <s v="WB"/>
    <x v="17"/>
    <s v="Krishnagar - II"/>
    <s v="User Not Mapped"/>
    <s v="User Not Mapped"/>
    <s v="User Not Mapped"/>
    <n v="389756"/>
    <s v="Tara Ma Fertiliser"/>
    <s v="Private Retailer"/>
    <s v="7470272914"/>
    <n v="0.22500000000000001"/>
    <n v="244"/>
    <x v="1"/>
    <m/>
    <s v="2025-08-19"/>
    <s v="280729"/>
    <s v="M/s. Naresh Chandra Das"/>
    <s v="7365868045"/>
  </r>
  <r>
    <s v="RCF Trombay"/>
    <s v="15-15-15"/>
    <s v="WB"/>
    <x v="17"/>
    <s v="Krishnagar - II"/>
    <s v="User Not Mapped"/>
    <s v="User Not Mapped"/>
    <s v="User Not Mapped"/>
    <n v="389756"/>
    <s v="Tara Ma Fertiliser"/>
    <s v="Private Retailer"/>
    <s v="7470272914"/>
    <n v="2.5"/>
    <n v="18"/>
    <x v="5"/>
    <m/>
    <s v="2026-04-02"/>
    <s v="280729"/>
    <s v="M/s. Naresh Chandra Das"/>
    <s v="7365868045"/>
  </r>
  <r>
    <s v="RCF Import"/>
    <s v="MOP"/>
    <s v="WB"/>
    <x v="17"/>
    <s v="Krishnagar - II"/>
    <s v="User Not Mapped"/>
    <s v="User Not Mapped"/>
    <s v="User Not Mapped"/>
    <n v="389756"/>
    <s v="Tara Ma Fertiliser"/>
    <s v="Private Retailer"/>
    <s v="7470272914"/>
    <n v="2.5"/>
    <n v="18"/>
    <x v="5"/>
    <m/>
    <s v="2026-04-02"/>
    <s v="280729"/>
    <s v="M/s. Naresh Chandra Das"/>
    <s v="7365868045"/>
  </r>
  <r>
    <s v="RCF Trombay"/>
    <s v="15-15-15"/>
    <s v="WB"/>
    <x v="17"/>
    <s v="Ranaghat - II"/>
    <s v="User Not Mapped"/>
    <s v="User Not Mapped"/>
    <s v="User Not Mapped"/>
    <n v="452367"/>
    <s v="Uttam Karmokar"/>
    <s v="Private Retailer"/>
    <s v="9733772588"/>
    <n v="8.8000000000000007"/>
    <n v="47"/>
    <x v="3"/>
    <m/>
    <s v="2026-03-04"/>
    <s v="280729"/>
    <s v="M/s. Naresh Chandra Das"/>
    <s v="7365868045"/>
  </r>
  <r>
    <s v="RCF Trombay"/>
    <s v="15-15-15"/>
    <s v="WB"/>
    <x v="17"/>
    <s v="Tehatta - I"/>
    <s v="User Not Mapped"/>
    <s v="User Not Mapped"/>
    <s v="User Not Mapped"/>
    <n v="1219899"/>
    <s v="ALAMGIR ISLAM"/>
    <s v="Private Retailer"/>
    <s v="8001359103"/>
    <n v="0.25"/>
    <n v="196"/>
    <x v="1"/>
    <m/>
    <s v="2025-10-06"/>
    <s v="260178"/>
    <s v="M/s. Uttamendu Sarkar"/>
    <s v="9002483836"/>
  </r>
  <r>
    <s v="RCF Trombay"/>
    <s v="N.C.Urea(45kg)"/>
    <s v="WB"/>
    <x v="17"/>
    <s v="Krishnagar - II"/>
    <s v="User Not Mapped"/>
    <s v="User Not Mapped"/>
    <s v="User Not Mapped"/>
    <n v="440312"/>
    <s v="Allarakha Biswas"/>
    <s v="Private Retailer"/>
    <s v="8509925075"/>
    <n v="4.9950000000000001"/>
    <n v="83"/>
    <x v="6"/>
    <m/>
    <s v="2026-01-27"/>
    <s v="260178"/>
    <s v="M/s. Uttamendu Sarkar"/>
    <s v="9002483836"/>
  </r>
  <r>
    <s v="RCF Trombay"/>
    <s v="15-15-15"/>
    <s v="WB"/>
    <x v="17"/>
    <s v="Krishnagar - II"/>
    <s v="User Not Mapped"/>
    <s v="User Not Mapped"/>
    <s v="User Not Mapped"/>
    <n v="440312"/>
    <s v="Allarakha Biswas"/>
    <s v="Private Retailer"/>
    <s v="8509925075"/>
    <n v="5"/>
    <n v="83"/>
    <x v="6"/>
    <m/>
    <s v="2026-01-27"/>
    <s v="260178"/>
    <s v="M/s. Uttamendu Sarkar"/>
    <s v="9002483836"/>
  </r>
  <r>
    <s v="RCF Thal"/>
    <s v="N.C.Urea(45kg)"/>
    <s v="WB"/>
    <x v="17"/>
    <s v="Ranaghat - II"/>
    <s v="User Not Mapped"/>
    <s v="User Not Mapped"/>
    <s v="User Not Mapped"/>
    <n v="354691"/>
    <s v="Amal Mitra"/>
    <s v="Private Retailer"/>
    <s v="8768260342"/>
    <n v="7.56"/>
    <n v="41"/>
    <x v="3"/>
    <m/>
    <s v="2026-03-10"/>
    <s v="260178"/>
    <s v="M/s. Uttamendu Sarkar"/>
    <s v="9002483836"/>
  </r>
  <r>
    <s v="RCF Import"/>
    <s v="MOP"/>
    <s v="WB"/>
    <x v="17"/>
    <s v="Ranaghat - II"/>
    <s v="User Not Mapped"/>
    <s v="User Not Mapped"/>
    <s v="User Not Mapped"/>
    <n v="354691"/>
    <s v="Amal Mitra"/>
    <s v="Private Retailer"/>
    <s v="8768260342"/>
    <n v="5"/>
    <n v="58"/>
    <x v="3"/>
    <m/>
    <s v="2026-02-21"/>
    <s v="260178"/>
    <s v="M/s. Uttamendu Sarkar"/>
    <s v="9002483836"/>
  </r>
  <r>
    <s v="RCF Trombay"/>
    <s v="15-15-15"/>
    <s v="WB"/>
    <x v="17"/>
    <m/>
    <s v="User Not Mapped"/>
    <s v="User Not Mapped"/>
    <s v="User Not Mapped"/>
    <n v="385532"/>
    <s v="Amalendu Biswas"/>
    <s v="Private Retailer"/>
    <s v="9093436700"/>
    <n v="0.6"/>
    <n v="2300"/>
    <x v="2"/>
    <m/>
    <s v="2020-01-02"/>
    <s v="260178"/>
    <s v="M/s. Uttamendu Sarkar"/>
    <s v="9002483836"/>
  </r>
  <r>
    <s v="RCF Trombay"/>
    <s v="15-15-15"/>
    <s v="WB"/>
    <x v="17"/>
    <s v="Ranaghat - II"/>
    <s v="User Not Mapped"/>
    <s v="User Not Mapped"/>
    <s v="User Not Mapped"/>
    <n v="340778"/>
    <s v="Amanul Tarafder"/>
    <s v="Private Retailer"/>
    <s v="9732662948"/>
    <n v="0.1"/>
    <n v="73"/>
    <x v="6"/>
    <m/>
    <s v="2026-02-06"/>
    <s v="260178"/>
    <s v="M/s. Uttamendu Sarkar"/>
    <s v="9002483836"/>
  </r>
  <r>
    <s v="RCF Import"/>
    <s v="MOP"/>
    <s v="WB"/>
    <x v="17"/>
    <s v="Ranaghat - II"/>
    <s v="User Not Mapped"/>
    <s v="User Not Mapped"/>
    <s v="User Not Mapped"/>
    <n v="340778"/>
    <s v="Amanul Tarafder"/>
    <s v="Private Retailer"/>
    <s v="9732662948"/>
    <n v="0.8"/>
    <n v="26"/>
    <x v="5"/>
    <m/>
    <s v="2026-03-25"/>
    <s v="260178"/>
    <s v="M/s. Uttamendu Sarkar"/>
    <s v="9002483836"/>
  </r>
  <r>
    <s v="RCF Trombay"/>
    <s v="15-15-15"/>
    <s v="WB"/>
    <x v="17"/>
    <m/>
    <s v="User Not Mapped"/>
    <s v="User Not Mapped"/>
    <s v="User Not Mapped"/>
    <n v="412384"/>
    <s v="Aminur Mondal "/>
    <s v="Private Retailer"/>
    <s v="9800554679"/>
    <n v="0.5"/>
    <n v="520"/>
    <x v="0"/>
    <m/>
    <s v="2024-11-16"/>
    <s v="260178"/>
    <s v="M/s. Uttamendu Sarkar"/>
    <s v="9002483836"/>
  </r>
  <r>
    <s v="RCF Trombay"/>
    <s v="15-15-15"/>
    <s v="WB"/>
    <x v="17"/>
    <s v="Krishnagar - I"/>
    <s v="User Not Mapped"/>
    <s v="User Not Mapped"/>
    <s v="User Not Mapped"/>
    <n v="1549776"/>
    <s v="ANIRBAN SARKAR"/>
    <s v="Private Retailer"/>
    <s v="9775802031"/>
    <n v="1"/>
    <n v="26"/>
    <x v="5"/>
    <m/>
    <s v="2026-03-25"/>
    <s v="260178"/>
    <s v="M/s. Uttamendu Sarkar"/>
    <s v="9002483836"/>
  </r>
  <r>
    <s v="RCF Trombay"/>
    <s v="15-15-15"/>
    <s v="WB"/>
    <x v="17"/>
    <s v="Krishnagar - I"/>
    <s v="User Not Mapped"/>
    <s v="User Not Mapped"/>
    <s v="User Not Mapped"/>
    <n v="500909"/>
    <s v="Apurba Biswas"/>
    <s v="Private Retailer"/>
    <s v="9333741209"/>
    <n v="0.5"/>
    <n v="83"/>
    <x v="6"/>
    <m/>
    <s v="2026-01-27"/>
    <s v="260178"/>
    <s v="M/s. Uttamendu Sarkar"/>
    <s v="9002483836"/>
  </r>
  <r>
    <s v="RCF Trombay"/>
    <s v="N.C.Urea(45kg)"/>
    <s v="WB"/>
    <x v="17"/>
    <s v="Krishnagar - I"/>
    <s v="User Not Mapped"/>
    <s v="User Not Mapped"/>
    <s v="User Not Mapped"/>
    <n v="500909"/>
    <s v="Apurba Biswas"/>
    <s v="Private Retailer"/>
    <s v="9333741209"/>
    <n v="3.15"/>
    <n v="83"/>
    <x v="6"/>
    <m/>
    <s v="2026-01-27"/>
    <s v="260178"/>
    <s v="M/s. Uttamendu Sarkar"/>
    <s v="9002483836"/>
  </r>
  <r>
    <s v="RCF Thal"/>
    <s v="N.C.Urea(45kg)"/>
    <s v="WB"/>
    <x v="17"/>
    <s v="Chakdah"/>
    <s v="User Not Mapped"/>
    <s v="User Not Mapped"/>
    <s v="User Not Mapped"/>
    <n v="941875"/>
    <s v="ARJUN KUMAR GHOSH"/>
    <s v="Private Retailer"/>
    <s v="9733885869"/>
    <n v="49.95"/>
    <n v="13"/>
    <x v="5"/>
    <m/>
    <s v="2026-04-07"/>
    <s v="260178"/>
    <s v="M/s. Uttamendu Sarkar"/>
    <s v="9002483836"/>
  </r>
  <r>
    <s v="RCF Trombay"/>
    <s v="15-15-15"/>
    <s v="WB"/>
    <x v="17"/>
    <s v="Chakdah"/>
    <s v="User Not Mapped"/>
    <s v="User Not Mapped"/>
    <s v="User Not Mapped"/>
    <n v="941875"/>
    <s v="ARJUN KUMAR GHOSH"/>
    <s v="Private Retailer"/>
    <s v="9733885869"/>
    <n v="1.2949999999999999"/>
    <n v="156"/>
    <x v="4"/>
    <m/>
    <s v="2025-11-15"/>
    <s v="260178"/>
    <s v="M/s. Uttamendu Sarkar"/>
    <s v="9002483836"/>
  </r>
  <r>
    <s v="RCF Trombay"/>
    <s v="N.C.Urea(45kg)"/>
    <s v="WB"/>
    <x v="17"/>
    <s v="Chapra"/>
    <s v="User Not Mapped"/>
    <s v="User Not Mapped"/>
    <s v="User Not Mapped"/>
    <n v="1107825"/>
    <s v="ASHA FERTILIZER"/>
    <s v="Private Retailer"/>
    <s v="7679021159"/>
    <n v="3.33"/>
    <n v="237"/>
    <x v="1"/>
    <m/>
    <s v="2025-08-26"/>
    <s v="260178"/>
    <s v="M/s. Uttamendu Sarkar"/>
    <s v="9002483836"/>
  </r>
  <r>
    <s v="RCF Import"/>
    <s v="MOP"/>
    <s v="WB"/>
    <x v="17"/>
    <s v="Hanskhali"/>
    <s v="User Not Mapped"/>
    <s v="User Not Mapped"/>
    <s v="User Not Mapped"/>
    <n v="550846"/>
    <s v="Ashim Ghosh"/>
    <s v="Private Retailer"/>
    <s v="7865906921"/>
    <n v="0.5"/>
    <n v="26"/>
    <x v="5"/>
    <m/>
    <s v="2026-03-25"/>
    <s v="260178"/>
    <s v="M/s. Uttamendu Sarkar"/>
    <s v="9002483836"/>
  </r>
  <r>
    <s v="RCF Thal"/>
    <s v="N.C.Urea(45kg)"/>
    <s v="WB"/>
    <x v="17"/>
    <s v="Hanskhali"/>
    <s v="User Not Mapped"/>
    <s v="User Not Mapped"/>
    <s v="User Not Mapped"/>
    <n v="550846"/>
    <s v="Ashim Ghosh"/>
    <s v="Private Retailer"/>
    <s v="7865906921"/>
    <n v="3.15"/>
    <n v="13"/>
    <x v="5"/>
    <m/>
    <s v="2026-04-07"/>
    <s v="260178"/>
    <s v="M/s. Uttamendu Sarkar"/>
    <s v="9002483836"/>
  </r>
  <r>
    <s v="RCF Trombay"/>
    <s v="15-15-15"/>
    <s v="WB"/>
    <x v="17"/>
    <s v="Tehatta - II"/>
    <s v="User Not Mapped"/>
    <s v="User Not Mapped"/>
    <s v="User Not Mapped"/>
    <n v="853407"/>
    <s v="ASIRUSDIN SK"/>
    <s v="Private Retailer"/>
    <s v="8116674709"/>
    <n v="0.25"/>
    <n v="229"/>
    <x v="1"/>
    <m/>
    <s v="2025-09-03"/>
    <s v="260178"/>
    <s v="M/s. Uttamendu Sarkar"/>
    <s v="9002483836"/>
  </r>
  <r>
    <s v="RCF Trombay"/>
    <s v="15-15-15"/>
    <s v="WB"/>
    <x v="17"/>
    <s v="Hanskhali"/>
    <s v="User Not Mapped"/>
    <s v="User Not Mapped"/>
    <s v="User Not Mapped"/>
    <n v="341011"/>
    <s v="Basudeb Majumder"/>
    <s v="Private Retailer"/>
    <s v="6296478831"/>
    <n v="0.2"/>
    <n v="173"/>
    <x v="4"/>
    <m/>
    <s v="2025-10-29"/>
    <s v="260178"/>
    <s v="M/s. Uttamendu Sarkar"/>
    <s v="9002483836"/>
  </r>
  <r>
    <s v="RCF Trombay"/>
    <s v="15-15-15"/>
    <s v="WB"/>
    <x v="17"/>
    <s v="Krishnaganj"/>
    <s v="User Not Mapped"/>
    <s v="User Not Mapped"/>
    <s v="User Not Mapped"/>
    <n v="882147"/>
    <s v="BIMAL KUMAR BISWAS"/>
    <s v="Private Retailer"/>
    <s v="9733905974"/>
    <n v="0.15"/>
    <n v="290"/>
    <x v="1"/>
    <m/>
    <s v="2025-07-04"/>
    <s v="260178"/>
    <s v="M/s. Uttamendu Sarkar"/>
    <s v="9002483836"/>
  </r>
  <r>
    <s v="RCF Thal"/>
    <s v="N.C.Urea(45kg)"/>
    <s v="WB"/>
    <x v="17"/>
    <s v="Ranaghat - I"/>
    <s v="User Not Mapped"/>
    <s v="User Not Mapped"/>
    <s v="User Not Mapped"/>
    <n v="341087"/>
    <s v="Bimal Kumar Ghosh"/>
    <s v="Private Retailer"/>
    <s v="9434451440"/>
    <n v="19.98"/>
    <n v="13"/>
    <x v="5"/>
    <m/>
    <s v="2026-04-07"/>
    <s v="260178"/>
    <s v="M/s. Uttamendu Sarkar"/>
    <s v="9002483836"/>
  </r>
  <r>
    <s v="RCF Trombay"/>
    <s v="15-15-15"/>
    <s v="WB"/>
    <x v="17"/>
    <s v="Ranaghat - I"/>
    <s v="User Not Mapped"/>
    <s v="User Not Mapped"/>
    <s v="User Not Mapped"/>
    <n v="341087"/>
    <s v="Bimal Kumar Ghosh"/>
    <s v="Private Retailer"/>
    <s v="9434451440"/>
    <n v="2"/>
    <n v="26"/>
    <x v="5"/>
    <m/>
    <s v="2026-03-25"/>
    <s v="260178"/>
    <s v="M/s. Uttamendu Sarkar"/>
    <s v="9002483836"/>
  </r>
  <r>
    <s v="RCF Trombay"/>
    <s v="N.C.Urea(45kg)"/>
    <s v="WB"/>
    <x v="17"/>
    <s v="Hanskhali"/>
    <s v="User Not Mapped"/>
    <s v="User Not Mapped"/>
    <s v="User Not Mapped"/>
    <n v="438802"/>
    <s v="Binoy Krishna Ghosh"/>
    <s v="Private Retailer"/>
    <s v="8001983122"/>
    <n v="7.4999999999999997E-2"/>
    <n v="135"/>
    <x v="4"/>
    <m/>
    <s v="2025-12-06"/>
    <s v="260178"/>
    <s v="M/s. Uttamendu Sarkar"/>
    <s v="9002483836"/>
  </r>
  <r>
    <s v="RCF Trombay"/>
    <s v="15-15-15"/>
    <s v="WB"/>
    <x v="17"/>
    <s v="Hanskhali"/>
    <s v="User Not Mapped"/>
    <s v="User Not Mapped"/>
    <s v="User Not Mapped"/>
    <n v="438802"/>
    <s v="Binoy Krishna Ghosh"/>
    <s v="Private Retailer"/>
    <s v="8001983122"/>
    <n v="0.15"/>
    <n v="143"/>
    <x v="4"/>
    <m/>
    <s v="2025-11-28"/>
    <s v="260178"/>
    <s v="M/s. Uttamendu Sarkar"/>
    <s v="9002483836"/>
  </r>
  <r>
    <s v="RCF Thal"/>
    <s v="N.C.Urea(45kg)"/>
    <s v="WB"/>
    <x v="17"/>
    <s v="Hanskhali"/>
    <s v="User Not Mapped"/>
    <s v="User Not Mapped"/>
    <s v="User Not Mapped"/>
    <n v="438802"/>
    <s v="Binoy Krishna Ghosh"/>
    <s v="Private Retailer"/>
    <s v="8001983122"/>
    <n v="0.15"/>
    <n v="206"/>
    <x v="1"/>
    <m/>
    <s v="2025-09-26"/>
    <s v="260178"/>
    <s v="M/s. Uttamendu Sarkar"/>
    <s v="9002483836"/>
  </r>
  <r>
    <s v="RCF Trombay"/>
    <s v="15-15-15"/>
    <s v="WB"/>
    <x v="17"/>
    <s v="Krishnagar - I"/>
    <s v="User Not Mapped"/>
    <s v="User Not Mapped"/>
    <s v="User Not Mapped"/>
    <n v="1024446"/>
    <s v="BISWAS FERTILIZER"/>
    <s v="Private Retailer"/>
    <s v="9749088438"/>
    <n v="1"/>
    <n v="168"/>
    <x v="4"/>
    <m/>
    <s v="2025-11-03"/>
    <s v="260178"/>
    <s v="M/s. Uttamendu Sarkar"/>
    <s v="9002483836"/>
  </r>
  <r>
    <s v="RCF Trombay"/>
    <s v="15-15-15"/>
    <s v="WB"/>
    <x v="17"/>
    <s v="Krishnagar - I"/>
    <s v="User Not Mapped"/>
    <s v="User Not Mapped"/>
    <s v="User Not Mapped"/>
    <n v="950671"/>
    <s v="BISWAS FPSB"/>
    <s v="Private Retailer"/>
    <s v="9046825275"/>
    <n v="5"/>
    <n v="55"/>
    <x v="3"/>
    <m/>
    <s v="2026-02-24"/>
    <s v="260178"/>
    <s v="M/s. Uttamendu Sarkar"/>
    <s v="9002483836"/>
  </r>
  <r>
    <s v="RCF Import"/>
    <s v="MOP"/>
    <s v="WB"/>
    <x v="17"/>
    <s v="Krishnagar - I"/>
    <s v="User Not Mapped"/>
    <s v="User Not Mapped"/>
    <s v="User Not Mapped"/>
    <n v="950671"/>
    <s v="BISWAS FPSB"/>
    <s v="Private Retailer"/>
    <s v="9046825275"/>
    <n v="10"/>
    <n v="58"/>
    <x v="3"/>
    <m/>
    <s v="2026-02-21"/>
    <s v="260178"/>
    <s v="M/s. Uttamendu Sarkar"/>
    <s v="9002483836"/>
  </r>
  <r>
    <s v="RCF Thal"/>
    <s v="N.C.Urea(45kg)"/>
    <s v="WB"/>
    <x v="17"/>
    <s v="Krishnagar - I"/>
    <s v="User Not Mapped"/>
    <s v="User Not Mapped"/>
    <s v="User Not Mapped"/>
    <n v="950671"/>
    <s v="BISWAS FPSB"/>
    <s v="Private Retailer"/>
    <s v="9046825275"/>
    <n v="9.99"/>
    <n v="13"/>
    <x v="5"/>
    <m/>
    <s v="2026-04-07"/>
    <s v="260178"/>
    <s v="M/s. Uttamendu Sarkar"/>
    <s v="9002483836"/>
  </r>
  <r>
    <s v="RCF Trombay"/>
    <s v="N.C.Urea(45kg)"/>
    <s v="WB"/>
    <x v="17"/>
    <s v="Krishnagar - I"/>
    <s v="User Not Mapped"/>
    <s v="User Not Mapped"/>
    <s v="User Not Mapped"/>
    <n v="950671"/>
    <s v="BISWAS FPSB"/>
    <s v="Private Retailer"/>
    <s v="9046825275"/>
    <n v="4.9950000000000001"/>
    <n v="55"/>
    <x v="3"/>
    <m/>
    <s v="2026-02-24"/>
    <s v="260178"/>
    <s v="M/s. Uttamendu Sarkar"/>
    <s v="9002483836"/>
  </r>
  <r>
    <s v="RCF Trombay"/>
    <s v="N.C.Urea(45kg)"/>
    <s v="WB"/>
    <x v="17"/>
    <s v="Tehatta - I"/>
    <s v="User Not Mapped"/>
    <s v="User Not Mapped"/>
    <s v="User Not Mapped"/>
    <n v="935542"/>
    <s v="BRISHA KETU BISWAS"/>
    <s v="Private Retailer"/>
    <s v="7384386775"/>
    <n v="0.22"/>
    <n v="741"/>
    <x v="2"/>
    <m/>
    <s v="2024-04-09"/>
    <s v="260178"/>
    <s v="M/s. Uttamendu Sarkar"/>
    <s v="9002483836"/>
  </r>
  <r>
    <s v="RCF Thal"/>
    <s v="N.C.Urea(45kg)"/>
    <s v="WB"/>
    <x v="17"/>
    <s v="Karimpur - I"/>
    <s v="User Not Mapped"/>
    <s v="User Not Mapped"/>
    <s v="User Not Mapped"/>
    <n v="549657"/>
    <s v="Brojo Gopal Nath"/>
    <s v="Private Retailer"/>
    <s v="9002728328"/>
    <n v="4.3650000000000002"/>
    <n v="1248"/>
    <x v="2"/>
    <m/>
    <s v="2022-11-19"/>
    <s v="260178"/>
    <s v="M/s. Uttamendu Sarkar"/>
    <s v="9002483836"/>
  </r>
  <r>
    <s v="RCF Import"/>
    <s v="MOP"/>
    <s v="WB"/>
    <x v="17"/>
    <s v="Krishnaganj"/>
    <s v="User Not Mapped"/>
    <s v="User Not Mapped"/>
    <s v="User Not Mapped"/>
    <n v="280883"/>
    <s v="Chashi Ghar"/>
    <s v="Private Retailer"/>
    <s v="9434951519"/>
    <n v="5"/>
    <n v="58"/>
    <x v="3"/>
    <m/>
    <s v="2026-02-21"/>
    <s v="260178"/>
    <s v="M/s. Uttamendu Sarkar"/>
    <s v="9002483836"/>
  </r>
  <r>
    <s v="RCF Trombay"/>
    <s v="15-15-15"/>
    <s v="WB"/>
    <x v="17"/>
    <s v="Ranaghat - II"/>
    <s v="User Not Mapped"/>
    <s v="User Not Mapped"/>
    <s v="User Not Mapped"/>
    <n v="1062090"/>
    <s v="DILIP KU BISWAS"/>
    <s v="Private Retailer"/>
    <s v="9735229895"/>
    <n v="0.55000000000000004"/>
    <n v="2072"/>
    <x v="2"/>
    <m/>
    <s v="2020-08-17"/>
    <s v="260178"/>
    <s v="M/s. Uttamendu Sarkar"/>
    <s v="9002483836"/>
  </r>
  <r>
    <s v="RCF Trombay"/>
    <s v="N.C.Urea(45kg)"/>
    <s v="WB"/>
    <x v="17"/>
    <s v="Ranaghat - II"/>
    <s v="User Not Mapped"/>
    <s v="User Not Mapped"/>
    <s v="User Not Mapped"/>
    <n v="1062090"/>
    <s v="DILIP KU BISWAS"/>
    <s v="Private Retailer"/>
    <s v="9735229895"/>
    <n v="0.04"/>
    <n v="2630"/>
    <x v="2"/>
    <m/>
    <s v="2019-02-06"/>
    <s v="260178"/>
    <s v="M/s. Uttamendu Sarkar"/>
    <s v="9002483836"/>
  </r>
  <r>
    <s v="RCF Trombay"/>
    <s v="15-15-15"/>
    <s v="WB"/>
    <x v="17"/>
    <s v="Hanskhali"/>
    <s v="User Not Mapped"/>
    <s v="User Not Mapped"/>
    <s v="User Not Mapped"/>
    <n v="616475"/>
    <s v="DILIP KUMAR ROY"/>
    <s v="Private Retailer"/>
    <s v="9932765300"/>
    <n v="1.65"/>
    <n v="83"/>
    <x v="6"/>
    <m/>
    <s v="2026-01-27"/>
    <s v="260178"/>
    <s v="M/s. Uttamendu Sarkar"/>
    <s v="9002483836"/>
  </r>
  <r>
    <s v="RCF Trombay"/>
    <s v="15-15-15"/>
    <s v="WB"/>
    <x v="17"/>
    <s v="Santipur"/>
    <s v="User Not Mapped"/>
    <s v="User Not Mapped"/>
    <s v="User Not Mapped"/>
    <n v="281563"/>
    <s v="Dipak Das"/>
    <s v="Private Retailer"/>
    <s v="9932344220"/>
    <n v="0.5"/>
    <n v="68"/>
    <x v="6"/>
    <m/>
    <s v="2026-02-11"/>
    <s v="260178"/>
    <s v="M/s. Uttamendu Sarkar"/>
    <s v="9002483836"/>
  </r>
  <r>
    <s v="RCF Trombay"/>
    <s v="15-15-15"/>
    <s v="WB"/>
    <x v="17"/>
    <s v="Ranaghat - I"/>
    <s v="User Not Mapped"/>
    <s v="User Not Mapped"/>
    <s v="User Not Mapped"/>
    <n v="316130"/>
    <s v="DIPAK KUMAH CHANDA"/>
    <s v="Private Retailer"/>
    <s v="9378447435"/>
    <n v="0.56599999999999995"/>
    <n v="552"/>
    <x v="2"/>
    <m/>
    <s v="2024-10-15"/>
    <s v="260178"/>
    <s v="M/s. Uttamendu Sarkar"/>
    <s v="9002483836"/>
  </r>
  <r>
    <s v="RCF Thal"/>
    <s v="N.C.Urea(45kg)"/>
    <s v="WB"/>
    <x v="17"/>
    <s v="Ranaghat - II"/>
    <s v="User Not Mapped"/>
    <s v="User Not Mapped"/>
    <s v="User Not Mapped"/>
    <n v="341340"/>
    <s v="Fazlur Rahaman Mondal"/>
    <s v="Private Retailer"/>
    <s v="9732560725"/>
    <n v="9.99"/>
    <n v="13"/>
    <x v="5"/>
    <m/>
    <s v="2026-04-07"/>
    <s v="260178"/>
    <s v="M/s. Uttamendu Sarkar"/>
    <s v="9002483836"/>
  </r>
  <r>
    <s v="RCF Import"/>
    <s v="Imp 10-26-26"/>
    <s v="WB"/>
    <x v="17"/>
    <s v="Ranaghat - II"/>
    <s v="User Not Mapped"/>
    <s v="User Not Mapped"/>
    <s v="User Not Mapped"/>
    <n v="341340"/>
    <s v="Fazlur Rahaman Mondal"/>
    <s v="Private Retailer"/>
    <s v="9732560725"/>
    <n v="6"/>
    <n v="54"/>
    <x v="3"/>
    <m/>
    <s v="2026-02-25"/>
    <s v="260178"/>
    <s v="M/s. Uttamendu Sarkar"/>
    <s v="9002483836"/>
  </r>
  <r>
    <s v="RCF Import"/>
    <s v="MOP"/>
    <s v="WB"/>
    <x v="17"/>
    <s v="Ranaghat - II"/>
    <s v="User Not Mapped"/>
    <s v="User Not Mapped"/>
    <s v="User Not Mapped"/>
    <n v="341340"/>
    <s v="Fazlur Rahaman Mondal"/>
    <s v="Private Retailer"/>
    <s v="9732560725"/>
    <n v="5"/>
    <n v="58"/>
    <x v="3"/>
    <m/>
    <s v="2026-02-21"/>
    <s v="260178"/>
    <s v="M/s. Uttamendu Sarkar"/>
    <s v="9002483836"/>
  </r>
  <r>
    <s v="RCF Trombay"/>
    <s v="N.C.Urea(45kg)"/>
    <s v="WB"/>
    <x v="17"/>
    <s v="Ranaghat - II"/>
    <s v="User Not Mapped"/>
    <s v="User Not Mapped"/>
    <s v="User Not Mapped"/>
    <n v="341340"/>
    <s v="Fazlur Rahaman Mondal"/>
    <s v="Private Retailer"/>
    <s v="9732560725"/>
    <n v="2.7450000000000001"/>
    <n v="55"/>
    <x v="3"/>
    <m/>
    <s v="2026-02-24"/>
    <s v="260178"/>
    <s v="M/s. Uttamendu Sarkar"/>
    <s v="9002483836"/>
  </r>
  <r>
    <s v="RCF Trombay"/>
    <s v="15-15-15"/>
    <s v="WB"/>
    <x v="17"/>
    <s v="Ranaghat - II"/>
    <s v="User Not Mapped"/>
    <s v="User Not Mapped"/>
    <s v="User Not Mapped"/>
    <n v="341340"/>
    <s v="Fazlur Rahaman Mondal"/>
    <s v="Private Retailer"/>
    <s v="9732560725"/>
    <n v="2.6"/>
    <n v="83"/>
    <x v="6"/>
    <m/>
    <s v="2026-01-27"/>
    <s v="260178"/>
    <s v="M/s. Uttamendu Sarkar"/>
    <s v="9002483836"/>
  </r>
  <r>
    <s v="RCF Trombay"/>
    <s v="N.C.Urea(45kg)"/>
    <s v="WB"/>
    <x v="17"/>
    <s v="Ranaghat - I"/>
    <s v="User Not Mapped"/>
    <s v="User Not Mapped"/>
    <s v="User Not Mapped"/>
    <n v="639285"/>
    <s v="GHOSH FERTILIZERS"/>
    <s v="Private Retailer"/>
    <s v="9749627808"/>
    <n v="2.5"/>
    <n v="173"/>
    <x v="4"/>
    <m/>
    <s v="2025-10-29"/>
    <s v="260178"/>
    <s v="M/s. Uttamendu Sarkar"/>
    <s v="9002483836"/>
  </r>
  <r>
    <s v="RCF Trombay"/>
    <s v="N.C.Urea(45kg)"/>
    <s v="WB"/>
    <x v="17"/>
    <s v="Ranaghat - I"/>
    <s v="User Not Mapped"/>
    <s v="User Not Mapped"/>
    <s v="User Not Mapped"/>
    <n v="639285"/>
    <s v="GHOSH FERTILIZERS"/>
    <s v="Private Retailer"/>
    <s v="9749627808"/>
    <n v="0.58499999999999996"/>
    <n v="244"/>
    <x v="1"/>
    <m/>
    <s v="2025-08-19"/>
    <s v="260178"/>
    <s v="M/s. Uttamendu Sarkar"/>
    <s v="9002483836"/>
  </r>
  <r>
    <s v="RCF Import"/>
    <s v="MOP"/>
    <s v="WB"/>
    <x v="17"/>
    <s v="Ranaghat - I"/>
    <s v="User Not Mapped"/>
    <s v="User Not Mapped"/>
    <s v="User Not Mapped"/>
    <n v="639285"/>
    <s v="GHOSH FERTILIZERS"/>
    <s v="Private Retailer"/>
    <s v="9749627808"/>
    <n v="3"/>
    <n v="58"/>
    <x v="3"/>
    <m/>
    <s v="2026-02-21"/>
    <s v="260178"/>
    <s v="M/s. Uttamendu Sarkar"/>
    <s v="9002483836"/>
  </r>
  <r>
    <s v="RCF Trombay"/>
    <s v="15-15-15"/>
    <s v="WB"/>
    <x v="17"/>
    <s v="Ranaghat - I"/>
    <s v="User Not Mapped"/>
    <s v="User Not Mapped"/>
    <s v="User Not Mapped"/>
    <n v="639285"/>
    <s v="GHOSH FERTILIZERS"/>
    <s v="Private Retailer"/>
    <s v="9749627808"/>
    <n v="3"/>
    <n v="55"/>
    <x v="3"/>
    <m/>
    <s v="2026-02-24"/>
    <s v="260178"/>
    <s v="M/s. Uttamendu Sarkar"/>
    <s v="9002483836"/>
  </r>
  <r>
    <s v="RCF Trombay"/>
    <s v="15-15-15"/>
    <s v="WB"/>
    <x v="17"/>
    <s v="Ranaghat - I"/>
    <s v="User Not Mapped"/>
    <s v="User Not Mapped"/>
    <s v="User Not Mapped"/>
    <n v="639285"/>
    <s v="GHOSH FERTILIZERS"/>
    <s v="Private Retailer"/>
    <s v="9749627808"/>
    <n v="1.1000000000000001"/>
    <n v="83"/>
    <x v="6"/>
    <m/>
    <s v="2026-01-27"/>
    <s v="260178"/>
    <s v="M/s. Uttamendu Sarkar"/>
    <s v="9002483836"/>
  </r>
  <r>
    <s v="RCF Thal"/>
    <s v="N.C.Urea(45kg)"/>
    <s v="WB"/>
    <x v="17"/>
    <s v="Santipur"/>
    <s v="User Not Mapped"/>
    <s v="User Not Mapped"/>
    <s v="User Not Mapped"/>
    <n v="289379"/>
    <s v="Gobinda Mondal"/>
    <s v="Private Retailer"/>
    <s v="7908629914"/>
    <n v="9.4949999999999992"/>
    <n v="41"/>
    <x v="3"/>
    <m/>
    <s v="2026-03-10"/>
    <s v="260178"/>
    <s v="M/s. Uttamendu Sarkar"/>
    <s v="9002483836"/>
  </r>
  <r>
    <s v="RCF Trombay"/>
    <s v="15-15-15"/>
    <s v="WB"/>
    <x v="17"/>
    <s v="Santipur"/>
    <s v="User Not Mapped"/>
    <s v="User Not Mapped"/>
    <s v="User Not Mapped"/>
    <n v="289379"/>
    <s v="Gobinda Mondal"/>
    <s v="Private Retailer"/>
    <s v="7908629914"/>
    <n v="3.1"/>
    <n v="83"/>
    <x v="6"/>
    <m/>
    <s v="2026-01-27"/>
    <s v="260178"/>
    <s v="M/s. Uttamendu Sarkar"/>
    <s v="9002483836"/>
  </r>
  <r>
    <s v="RCF Import"/>
    <s v="MOP"/>
    <s v="WB"/>
    <x v="17"/>
    <s v="Krishnagar - I"/>
    <s v="User Not Mapped"/>
    <s v="User Not Mapped"/>
    <s v="User Not Mapped"/>
    <n v="280673"/>
    <s v="Golok Behari Saha"/>
    <s v="Private Retailer"/>
    <s v="9434957334"/>
    <n v="0.15"/>
    <n v="54"/>
    <x v="3"/>
    <m/>
    <s v="2026-02-25"/>
    <s v="260178"/>
    <s v="M/s. Uttamendu Sarkar"/>
    <s v="9002483836"/>
  </r>
  <r>
    <s v="RCF Trombay"/>
    <s v="15-15-15"/>
    <s v="WB"/>
    <x v="17"/>
    <s v="Krishnagar - I"/>
    <s v="User Not Mapped"/>
    <s v="User Not Mapped"/>
    <s v="User Not Mapped"/>
    <n v="836984"/>
    <s v="GOPAL MONDAL"/>
    <s v="Private Retailer"/>
    <s v="8158073124"/>
    <n v="0.75"/>
    <n v="54"/>
    <x v="3"/>
    <m/>
    <s v="2026-02-25"/>
    <s v="260178"/>
    <s v="M/s. Uttamendu Sarkar"/>
    <s v="9002483836"/>
  </r>
  <r>
    <s v="RCF Trombay"/>
    <s v="N.C.Urea(45kg)"/>
    <s v="WB"/>
    <x v="17"/>
    <s v="Hanskhali"/>
    <s v="User Not Mapped"/>
    <s v="User Not Mapped"/>
    <s v="User Not Mapped"/>
    <n v="341416"/>
    <s v="Goutam Ghosh"/>
    <s v="Private Retailer"/>
    <s v="7001242653"/>
    <n v="4.5449999999999999"/>
    <n v="47"/>
    <x v="3"/>
    <m/>
    <s v="2026-03-04"/>
    <s v="260178"/>
    <s v="M/s. Uttamendu Sarkar"/>
    <s v="9002483836"/>
  </r>
  <r>
    <s v="RCF Trombay"/>
    <s v="15-15-15"/>
    <s v="WB"/>
    <x v="17"/>
    <m/>
    <s v="User Not Mapped"/>
    <s v="User Not Mapped"/>
    <s v="User Not Mapped"/>
    <n v="464414"/>
    <s v="Gurucharan Das"/>
    <s v="Private Retailer"/>
    <s v="9153244592"/>
    <n v="0.5"/>
    <n v="2197"/>
    <x v="2"/>
    <m/>
    <s v="2020-04-14"/>
    <s v="260178"/>
    <s v="M/s. Uttamendu Sarkar"/>
    <s v="9002483836"/>
  </r>
  <r>
    <s v="RCF Trombay"/>
    <s v="N.C.Urea(45kg)"/>
    <s v="WB"/>
    <x v="17"/>
    <s v="Nabadwip"/>
    <s v="User Not Mapped"/>
    <s v="User Not Mapped"/>
    <s v="User Not Mapped"/>
    <n v="316407"/>
    <s v="Hossen Ali Sk"/>
    <s v="Private Retailer"/>
    <s v="9800539065"/>
    <n v="4.59"/>
    <n v="47"/>
    <x v="3"/>
    <m/>
    <s v="2026-03-04"/>
    <s v="260178"/>
    <s v="M/s. Uttamendu Sarkar"/>
    <s v="9002483836"/>
  </r>
  <r>
    <s v="RCF Trombay"/>
    <s v="15-15-15"/>
    <s v="WB"/>
    <x v="17"/>
    <s v="Tehatta - II"/>
    <s v="User Not Mapped"/>
    <s v="User Not Mapped"/>
    <s v="User Not Mapped"/>
    <n v="737833"/>
    <s v="ISLAM FERTILIZER"/>
    <s v="Private Retailer"/>
    <s v="9564261280"/>
    <n v="1"/>
    <n v="1183"/>
    <x v="2"/>
    <m/>
    <s v="2023-01-23"/>
    <s v="260178"/>
    <s v="M/s. Uttamendu Sarkar"/>
    <s v="9002483836"/>
  </r>
  <r>
    <s v="RCF Trombay"/>
    <s v="15-15-15"/>
    <s v="WB"/>
    <x v="17"/>
    <s v="Ranaghat - II"/>
    <s v="User Not Mapped"/>
    <s v="User Not Mapped"/>
    <s v="User Not Mapped"/>
    <n v="630529"/>
    <s v="Kamal Bhowmick"/>
    <s v="Private Retailer"/>
    <s v="8972534494"/>
    <n v="1.25"/>
    <n v="83"/>
    <x v="6"/>
    <m/>
    <s v="2026-01-27"/>
    <s v="260178"/>
    <s v="M/s. Uttamendu Sarkar"/>
    <s v="9002483836"/>
  </r>
  <r>
    <s v="RCF Import"/>
    <s v="Imp 10-26-26"/>
    <s v="WB"/>
    <x v="17"/>
    <s v="Ranaghat - II"/>
    <s v="User Not Mapped"/>
    <s v="User Not Mapped"/>
    <s v="User Not Mapped"/>
    <n v="630529"/>
    <s v="Kamal Bhowmick"/>
    <s v="Private Retailer"/>
    <s v="8972534494"/>
    <n v="1.5"/>
    <n v="54"/>
    <x v="3"/>
    <m/>
    <s v="2026-02-25"/>
    <s v="260178"/>
    <s v="M/s. Uttamendu Sarkar"/>
    <s v="9002483836"/>
  </r>
  <r>
    <s v="RCF Trombay"/>
    <s v="N.C.Urea(45kg)"/>
    <s v="WB"/>
    <x v="17"/>
    <s v="Ranaghat - II"/>
    <s v="User Not Mapped"/>
    <s v="User Not Mapped"/>
    <s v="User Not Mapped"/>
    <n v="630529"/>
    <s v="Kamal Bhowmick"/>
    <s v="Private Retailer"/>
    <s v="8972534494"/>
    <n v="0.76500000000000001"/>
    <n v="83"/>
    <x v="6"/>
    <m/>
    <s v="2026-01-27"/>
    <s v="260178"/>
    <s v="M/s. Uttamendu Sarkar"/>
    <s v="9002483836"/>
  </r>
  <r>
    <s v="RCF Trombay"/>
    <s v="15-15-15"/>
    <s v="WB"/>
    <x v="17"/>
    <s v="Krishnagar - I"/>
    <s v="User Not Mapped"/>
    <s v="User Not Mapped"/>
    <s v="User Not Mapped"/>
    <n v="516766"/>
    <s v="Krishna Saha"/>
    <s v="Private Retailer"/>
    <s v="9933422153"/>
    <n v="8"/>
    <n v="83"/>
    <x v="6"/>
    <m/>
    <s v="2026-01-27"/>
    <s v="260178"/>
    <s v="M/s. Uttamendu Sarkar"/>
    <s v="9002483836"/>
  </r>
  <r>
    <s v="RCF Import"/>
    <s v="MOP"/>
    <s v="WB"/>
    <x v="17"/>
    <s v="Hanskhali"/>
    <s v="User Not Mapped"/>
    <s v="User Not Mapped"/>
    <s v="User Not Mapped"/>
    <n v="341721"/>
    <s v="Lakshmi Kanta Biswas"/>
    <s v="Private Retailer"/>
    <s v="9732686452"/>
    <n v="3.45"/>
    <n v="58"/>
    <x v="3"/>
    <m/>
    <s v="2026-02-21"/>
    <s v="260178"/>
    <s v="M/s. Uttamendu Sarkar"/>
    <s v="9002483836"/>
  </r>
  <r>
    <s v="RCF Trombay"/>
    <s v="15-15-15"/>
    <s v="WB"/>
    <x v="17"/>
    <s v="Hanskhali"/>
    <s v="User Not Mapped"/>
    <s v="User Not Mapped"/>
    <s v="User Not Mapped"/>
    <n v="341721"/>
    <s v="Lakshmi Kanta Biswas"/>
    <s v="Private Retailer"/>
    <s v="9732686452"/>
    <n v="0.55000000000000004"/>
    <n v="55"/>
    <x v="3"/>
    <m/>
    <s v="2026-02-24"/>
    <s v="260178"/>
    <s v="M/s. Uttamendu Sarkar"/>
    <s v="9002483836"/>
  </r>
  <r>
    <s v="RCF Trombay"/>
    <s v="15-15-15"/>
    <s v="WB"/>
    <x v="17"/>
    <m/>
    <s v="User Not Mapped"/>
    <s v="User Not Mapped"/>
    <s v="User Not Mapped"/>
    <n v="439004"/>
    <s v="Lili Fertilizer"/>
    <s v="Private Retailer"/>
    <s v="9002030699"/>
    <n v="0.15"/>
    <n v="1714"/>
    <x v="2"/>
    <m/>
    <s v="2021-08-10"/>
    <s v="260178"/>
    <s v="M/s. Uttamendu Sarkar"/>
    <s v="9002483836"/>
  </r>
  <r>
    <s v="RCF Trombay"/>
    <s v="N.C.Urea(45kg)"/>
    <s v="WB"/>
    <x v="17"/>
    <s v="Chapra"/>
    <s v="User Not Mapped"/>
    <s v="User Not Mapped"/>
    <s v="User Not Mapped"/>
    <n v="630276"/>
    <s v="M/S ANISUR MAHALDER"/>
    <s v="Private Retailer"/>
    <s v="9641382332"/>
    <n v="4.9950000000000001"/>
    <n v="55"/>
    <x v="3"/>
    <m/>
    <s v="2026-02-24"/>
    <s v="260178"/>
    <s v="M/s. Uttamendu Sarkar"/>
    <s v="9002483836"/>
  </r>
  <r>
    <s v="RCF Thal"/>
    <s v="N.C.Urea(45kg)"/>
    <s v="WB"/>
    <x v="17"/>
    <s v="Chapra"/>
    <s v="User Not Mapped"/>
    <s v="User Not Mapped"/>
    <s v="User Not Mapped"/>
    <n v="630276"/>
    <s v="M/S ANISUR MAHALDER"/>
    <s v="Private Retailer"/>
    <s v="9641382332"/>
    <n v="5.49"/>
    <n v="27"/>
    <x v="5"/>
    <m/>
    <s v="2026-03-24"/>
    <s v="260178"/>
    <s v="M/s. Uttamendu Sarkar"/>
    <s v="9002483836"/>
  </r>
  <r>
    <s v="RCF Thal"/>
    <s v="N.C.Urea(45kg)"/>
    <s v="WB"/>
    <x v="17"/>
    <s v="Chapra"/>
    <s v="User Not Mapped"/>
    <s v="User Not Mapped"/>
    <s v="User Not Mapped"/>
    <n v="630276"/>
    <s v="M/S ANISUR MAHALDER"/>
    <s v="Private Retailer"/>
    <s v="9641382332"/>
    <n v="5.49"/>
    <n v="41"/>
    <x v="3"/>
    <m/>
    <s v="2026-03-10"/>
    <s v="260178"/>
    <s v="M/s. Uttamendu Sarkar"/>
    <s v="9002483836"/>
  </r>
  <r>
    <s v="RCF Thal"/>
    <s v="N.C.Urea(45kg)"/>
    <s v="WB"/>
    <x v="17"/>
    <s v="Chapra"/>
    <s v="User Not Mapped"/>
    <s v="User Not Mapped"/>
    <s v="User Not Mapped"/>
    <n v="630276"/>
    <s v="M/S ANISUR MAHALDER"/>
    <s v="Private Retailer"/>
    <s v="9641382332"/>
    <n v="0.94499999999999995"/>
    <n v="199"/>
    <x v="1"/>
    <m/>
    <s v="2025-10-03"/>
    <s v="260178"/>
    <s v="M/s. Uttamendu Sarkar"/>
    <s v="9002483836"/>
  </r>
  <r>
    <s v="RCF Import"/>
    <s v="MOP"/>
    <s v="WB"/>
    <x v="17"/>
    <s v="Ranaghat - I"/>
    <s v="User Not Mapped"/>
    <s v="User Not Mapped"/>
    <s v="User Not Mapped"/>
    <n v="1602948"/>
    <s v="M/S ARNNAPURNA FERTILIZER(Bidi"/>
    <s v="Private Retailer"/>
    <s v="6297419157"/>
    <n v="0.5"/>
    <n v="58"/>
    <x v="3"/>
    <m/>
    <s v="2026-02-21"/>
    <s v="260178"/>
    <s v="M/s. Uttamendu Sarkar"/>
    <s v="9002483836"/>
  </r>
  <r>
    <s v="RCF Trombay"/>
    <s v="N.C.Urea(45kg)"/>
    <s v="WB"/>
    <x v="17"/>
    <s v="Ranaghat - I"/>
    <s v="User Not Mapped"/>
    <s v="User Not Mapped"/>
    <s v="User Not Mapped"/>
    <n v="1602948"/>
    <s v="M/S ARNNAPURNA FERTILIZER(Bidi"/>
    <s v="Private Retailer"/>
    <s v="6297419157"/>
    <n v="2.88"/>
    <n v="55"/>
    <x v="3"/>
    <m/>
    <s v="2026-02-24"/>
    <s v="260178"/>
    <s v="M/s. Uttamendu Sarkar"/>
    <s v="9002483836"/>
  </r>
  <r>
    <s v="RCF Thal"/>
    <s v="N.C.Urea(45kg)"/>
    <s v="WB"/>
    <x v="17"/>
    <s v="Ranaghat - I"/>
    <s v="User Not Mapped"/>
    <s v="User Not Mapped"/>
    <s v="User Not Mapped"/>
    <n v="1602948"/>
    <s v="M/S ARNNAPURNA FERTILIZER(Bidi"/>
    <s v="Private Retailer"/>
    <s v="6297419157"/>
    <n v="9.99"/>
    <n v="13"/>
    <x v="5"/>
    <m/>
    <s v="2026-04-07"/>
    <s v="260178"/>
    <s v="M/s. Uttamendu Sarkar"/>
    <s v="9002483836"/>
  </r>
  <r>
    <s v="RCF Thal"/>
    <s v="N.C.Urea(45kg)"/>
    <s v="WB"/>
    <x v="17"/>
    <s v="Ranaghat - I"/>
    <s v="User Not Mapped"/>
    <s v="User Not Mapped"/>
    <s v="User Not Mapped"/>
    <n v="1602948"/>
    <s v="M/S ARNNAPURNA FERTILIZER(Bidi"/>
    <s v="Private Retailer"/>
    <s v="6297419157"/>
    <n v="7.6050000000000004"/>
    <n v="41"/>
    <x v="3"/>
    <m/>
    <s v="2026-03-10"/>
    <s v="260178"/>
    <s v="M/s. Uttamendu Sarkar"/>
    <s v="9002483836"/>
  </r>
  <r>
    <s v="RCF Trombay"/>
    <s v="N.C.Urea(45kg)"/>
    <s v="WB"/>
    <x v="17"/>
    <s v="Ranaghat - II"/>
    <s v="User Not Mapped"/>
    <s v="User Not Mapped"/>
    <s v="User Not Mapped"/>
    <n v="1258436"/>
    <s v="M/S BANKIM BISWAS"/>
    <s v="Private Retailer"/>
    <s v="9641180185"/>
    <n v="4.4999999999999998E-2"/>
    <n v="808"/>
    <x v="2"/>
    <m/>
    <s v="2024-02-02"/>
    <s v="260178"/>
    <s v="M/s. Uttamendu Sarkar"/>
    <s v="9002483836"/>
  </r>
  <r>
    <s v="RCF Trombay"/>
    <s v="N.C.Urea(45kg)"/>
    <s v="WB"/>
    <x v="17"/>
    <s v="Ranaghat - II"/>
    <s v="User Not Mapped"/>
    <s v="User Not Mapped"/>
    <s v="User Not Mapped"/>
    <n v="440466"/>
    <s v="M/S Gautam Dhar"/>
    <s v="Private Retailer"/>
    <s v="9330029196"/>
    <n v="3.4580000000000002"/>
    <n v="145"/>
    <x v="4"/>
    <m/>
    <s v="2025-11-26"/>
    <s v="260178"/>
    <s v="M/s. Uttamendu Sarkar"/>
    <s v="9002483836"/>
  </r>
  <r>
    <s v="RCF Trombay"/>
    <s v="N.C.Urea(45kg)"/>
    <s v="WB"/>
    <x v="17"/>
    <s v="Chapra"/>
    <s v="User Not Mapped"/>
    <s v="User Not Mapped"/>
    <s v="User Not Mapped"/>
    <n v="1510492"/>
    <s v="M/S HALSANA FERTILIZER"/>
    <s v="Private Retailer"/>
    <s v="8617454248"/>
    <n v="2.88"/>
    <n v="55"/>
    <x v="3"/>
    <m/>
    <s v="2026-02-24"/>
    <s v="260178"/>
    <s v="M/s. Uttamendu Sarkar"/>
    <s v="9002483836"/>
  </r>
  <r>
    <s v="RCF Thal"/>
    <s v="N.C.Urea(45kg)"/>
    <s v="WB"/>
    <x v="17"/>
    <s v="Ranaghat - II"/>
    <s v="User Not Mapped"/>
    <s v="User Not Mapped"/>
    <s v="User Not Mapped"/>
    <n v="341109"/>
    <s v="M/S MIRA FERTILIZER"/>
    <s v="Private Retailer"/>
    <s v="9734380090"/>
    <n v="10.98"/>
    <n v="41"/>
    <x v="3"/>
    <m/>
    <s v="2026-03-10"/>
    <s v="260178"/>
    <s v="M/s. Uttamendu Sarkar"/>
    <s v="9002483836"/>
  </r>
  <r>
    <s v="RCF Trombay"/>
    <s v="N.C.Urea(45kg)"/>
    <s v="WB"/>
    <x v="17"/>
    <s v="Ranaghat - II"/>
    <s v="User Not Mapped"/>
    <s v="User Not Mapped"/>
    <s v="User Not Mapped"/>
    <n v="341109"/>
    <s v="M/S MIRA FERTILIZER"/>
    <s v="Private Retailer"/>
    <s v="9734380090"/>
    <n v="4.9950000000000001"/>
    <n v="143"/>
    <x v="4"/>
    <m/>
    <s v="2025-11-28"/>
    <s v="260178"/>
    <s v="M/s. Uttamendu Sarkar"/>
    <s v="9002483836"/>
  </r>
  <r>
    <s v="RCF Import"/>
    <s v="MOP"/>
    <s v="WB"/>
    <x v="17"/>
    <s v="Ranaghat - II"/>
    <s v="User Not Mapped"/>
    <s v="User Not Mapped"/>
    <s v="User Not Mapped"/>
    <n v="341109"/>
    <s v="M/S MIRA FERTILIZER"/>
    <s v="Private Retailer"/>
    <s v="9734380090"/>
    <n v="10"/>
    <n v="58"/>
    <x v="3"/>
    <m/>
    <s v="2026-02-21"/>
    <s v="260178"/>
    <s v="M/s. Uttamendu Sarkar"/>
    <s v="9002483836"/>
  </r>
  <r>
    <s v="RCF Import"/>
    <s v="Imp 10-26-26"/>
    <s v="WB"/>
    <x v="17"/>
    <s v="Ranaghat - II"/>
    <s v="User Not Mapped"/>
    <s v="User Not Mapped"/>
    <s v="User Not Mapped"/>
    <n v="341109"/>
    <s v="M/S MIRA FERTILIZER"/>
    <s v="Private Retailer"/>
    <s v="9734380090"/>
    <n v="20"/>
    <n v="54"/>
    <x v="3"/>
    <m/>
    <s v="2026-02-25"/>
    <s v="260178"/>
    <s v="M/s. Uttamendu Sarkar"/>
    <s v="9002483836"/>
  </r>
  <r>
    <s v="RCF Trombay"/>
    <s v="15-15-15"/>
    <s v="WB"/>
    <x v="17"/>
    <s v="Ranaghat - II"/>
    <s v="User Not Mapped"/>
    <s v="User Not Mapped"/>
    <s v="User Not Mapped"/>
    <n v="341109"/>
    <s v="M/S MIRA FERTILIZER"/>
    <s v="Private Retailer"/>
    <s v="9734380090"/>
    <n v="9.65"/>
    <n v="55"/>
    <x v="3"/>
    <m/>
    <s v="2026-02-24"/>
    <s v="260178"/>
    <s v="M/s. Uttamendu Sarkar"/>
    <s v="9002483836"/>
  </r>
  <r>
    <s v="RCF Thal"/>
    <s v="N.C.Urea(45kg)"/>
    <s v="WB"/>
    <x v="17"/>
    <s v="Krishnaganj"/>
    <s v="User Not Mapped"/>
    <s v="User Not Mapped"/>
    <s v="User Not Mapped"/>
    <n v="323520"/>
    <s v="M/s NTKHIL KUMAR SARKAR"/>
    <s v="Private Retailer"/>
    <s v="9474592796"/>
    <n v="9.3149999999999995"/>
    <n v="13"/>
    <x v="5"/>
    <m/>
    <s v="2026-04-07"/>
    <s v="260178"/>
    <s v="M/s. Uttamendu Sarkar"/>
    <s v="9002483836"/>
  </r>
  <r>
    <s v="RCF Trombay"/>
    <s v="N.C.Urea(45kg)"/>
    <s v="WB"/>
    <x v="17"/>
    <s v="Ranaghat - I"/>
    <s v="User Not Mapped"/>
    <s v="User Not Mapped"/>
    <s v="User Not Mapped"/>
    <n v="356263"/>
    <s v="M/S PRAFULLA FERTILIZER"/>
    <s v="Private Retailer"/>
    <s v="9333249705"/>
    <n v="4.9950000000000001"/>
    <n v="774"/>
    <x v="2"/>
    <m/>
    <s v="2024-03-07"/>
    <s v="260178"/>
    <s v="M/s. Uttamendu Sarkar"/>
    <s v="9002483836"/>
  </r>
  <r>
    <s v="RCF Trombay"/>
    <s v="15-15-15"/>
    <s v="WB"/>
    <x v="17"/>
    <s v="Ranaghat - I"/>
    <s v="User Not Mapped"/>
    <s v="User Not Mapped"/>
    <s v="User Not Mapped"/>
    <n v="356263"/>
    <s v="M/S PRAFULLA FERTILIZER"/>
    <s v="Private Retailer"/>
    <s v="9333249705"/>
    <n v="4.05"/>
    <n v="774"/>
    <x v="2"/>
    <m/>
    <s v="2024-03-07"/>
    <s v="260178"/>
    <s v="M/s. Uttamendu Sarkar"/>
    <s v="9002483836"/>
  </r>
  <r>
    <s v="RCF Trombay"/>
    <s v="N.C.Urea(45kg)"/>
    <s v="WB"/>
    <x v="17"/>
    <s v="Ranaghat - I"/>
    <s v="User Not Mapped"/>
    <s v="User Not Mapped"/>
    <s v="User Not Mapped"/>
    <n v="356263"/>
    <s v="M/S PRAFULLA FERTILIZER"/>
    <s v="Private Retailer"/>
    <s v="9333249705"/>
    <n v="3.24"/>
    <n v="861"/>
    <x v="2"/>
    <m/>
    <s v="2023-12-11"/>
    <s v="260178"/>
    <s v="M/s. Uttamendu Sarkar"/>
    <s v="9002483836"/>
  </r>
  <r>
    <s v="RCF Trombay"/>
    <s v="15-15-15"/>
    <s v="WB"/>
    <x v="17"/>
    <s v="Krishnaganj"/>
    <s v="User Not Mapped"/>
    <s v="User Not Mapped"/>
    <s v="User Not Mapped"/>
    <n v="867705"/>
    <s v="M/s Sabuj Biplab"/>
    <s v="Private Retailer"/>
    <s v="7427989014"/>
    <n v="0.85"/>
    <n v="280"/>
    <x v="1"/>
    <m/>
    <s v="2025-07-14"/>
    <s v="260178"/>
    <s v="M/s. Uttamendu Sarkar"/>
    <s v="9002483836"/>
  </r>
  <r>
    <s v="RCF Trombay"/>
    <s v="15-15-15"/>
    <s v="WB"/>
    <x v="17"/>
    <m/>
    <s v="User Not Mapped"/>
    <s v="User Not Mapped"/>
    <s v="User Not Mapped"/>
    <n v="439030"/>
    <s v="M/S Sajahan Mondal"/>
    <s v="Private Retailer"/>
    <s v="9734864879"/>
    <n v="5.75"/>
    <n v="2441"/>
    <x v="2"/>
    <m/>
    <s v="2019-08-14"/>
    <s v="260178"/>
    <s v="M/s. Uttamendu Sarkar"/>
    <s v="9002483836"/>
  </r>
  <r>
    <s v="RCF Trombay"/>
    <s v="15-15-15"/>
    <s v="WB"/>
    <x v="17"/>
    <s v="Hanskhali"/>
    <s v="User Not Mapped"/>
    <s v="User Not Mapped"/>
    <s v="User Not Mapped"/>
    <n v="438104"/>
    <s v="M/S Shaymol Kr. Saha"/>
    <s v="Private Retailer"/>
    <s v="9734265795"/>
    <n v="0.75"/>
    <n v="640"/>
    <x v="2"/>
    <m/>
    <s v="2024-07-19"/>
    <s v="260178"/>
    <s v="M/s. Uttamendu Sarkar"/>
    <s v="9002483836"/>
  </r>
  <r>
    <s v="RCF Trombay"/>
    <s v="15-15-15"/>
    <s v="WB"/>
    <x v="17"/>
    <s v="Hanskhali"/>
    <s v="User Not Mapped"/>
    <s v="User Not Mapped"/>
    <s v="User Not Mapped"/>
    <n v="438104"/>
    <s v="M/S Shaymol Kr. Saha"/>
    <s v="Private Retailer"/>
    <s v="9734265795"/>
    <n v="0.4"/>
    <n v="843"/>
    <x v="2"/>
    <m/>
    <s v="2023-12-29"/>
    <s v="260178"/>
    <s v="M/s. Uttamendu Sarkar"/>
    <s v="9002483836"/>
  </r>
  <r>
    <s v="RCF Thal"/>
    <s v="N.C.Urea(45kg)"/>
    <s v="WB"/>
    <x v="17"/>
    <s v="Hanskhali"/>
    <s v="User Not Mapped"/>
    <s v="User Not Mapped"/>
    <s v="User Not Mapped"/>
    <n v="438104"/>
    <s v="M/S Shaymol Kr. Saha"/>
    <s v="Private Retailer"/>
    <s v="9734265795"/>
    <n v="0.5"/>
    <n v="1060"/>
    <x v="2"/>
    <m/>
    <s v="2023-05-26"/>
    <s v="260178"/>
    <s v="M/s. Uttamendu Sarkar"/>
    <s v="9002483836"/>
  </r>
  <r>
    <s v="RCF Import"/>
    <s v="Imp 10-26-26"/>
    <s v="WB"/>
    <x v="17"/>
    <s v="Ranaghat - I"/>
    <s v="User Not Mapped"/>
    <s v="User Not Mapped"/>
    <s v="User Not Mapped"/>
    <n v="341036"/>
    <s v="M/S. BISWAS FERTILIZER"/>
    <s v="Private Retailer"/>
    <s v="7001908847"/>
    <n v="4.7"/>
    <n v="54"/>
    <x v="3"/>
    <m/>
    <s v="2026-02-25"/>
    <s v="260178"/>
    <s v="M/s. Uttamendu Sarkar"/>
    <s v="9002483836"/>
  </r>
  <r>
    <s v="RCF Import"/>
    <s v="MOP"/>
    <s v="WB"/>
    <x v="17"/>
    <s v="Ranaghat - I"/>
    <s v="User Not Mapped"/>
    <s v="User Not Mapped"/>
    <s v="User Not Mapped"/>
    <n v="341036"/>
    <s v="M/S. BISWAS FERTILIZER"/>
    <s v="Private Retailer"/>
    <s v="7001908847"/>
    <n v="5.7"/>
    <n v="58"/>
    <x v="3"/>
    <m/>
    <s v="2026-02-21"/>
    <s v="260178"/>
    <s v="M/s. Uttamendu Sarkar"/>
    <s v="9002483836"/>
  </r>
  <r>
    <s v="RCF Trombay"/>
    <s v="15-15-15"/>
    <s v="WB"/>
    <x v="17"/>
    <s v="Ranaghat - I"/>
    <s v="User Not Mapped"/>
    <s v="User Not Mapped"/>
    <s v="User Not Mapped"/>
    <n v="341036"/>
    <s v="M/S. BISWAS FERTILIZER"/>
    <s v="Private Retailer"/>
    <s v="7001908847"/>
    <n v="2.7"/>
    <n v="55"/>
    <x v="3"/>
    <m/>
    <s v="2026-02-24"/>
    <s v="260178"/>
    <s v="M/s. Uttamendu Sarkar"/>
    <s v="9002483836"/>
  </r>
  <r>
    <s v="RCF Thal"/>
    <s v="N.C.Urea(45kg)"/>
    <s v="WB"/>
    <x v="17"/>
    <s v="Ranaghat - I"/>
    <s v="User Not Mapped"/>
    <s v="User Not Mapped"/>
    <s v="User Not Mapped"/>
    <n v="341036"/>
    <s v="M/S. BISWAS FERTILIZER"/>
    <s v="Private Retailer"/>
    <s v="7001908847"/>
    <n v="15.03"/>
    <n v="41"/>
    <x v="3"/>
    <m/>
    <s v="2026-03-10"/>
    <s v="260178"/>
    <s v="M/s. Uttamendu Sarkar"/>
    <s v="9002483836"/>
  </r>
  <r>
    <s v="RCF Trombay"/>
    <s v="N.C.Urea(45kg)"/>
    <s v="WB"/>
    <x v="17"/>
    <s v="Ranaghat - II"/>
    <s v="User Not Mapped"/>
    <s v="User Not Mapped"/>
    <s v="User Not Mapped"/>
    <n v="441499"/>
    <s v="M/S. Reba Paul"/>
    <s v="Private Retailer"/>
    <s v="8927700133"/>
    <n v="1.98"/>
    <n v="427"/>
    <x v="0"/>
    <m/>
    <s v="2025-02-17"/>
    <s v="260178"/>
    <s v="M/s. Uttamendu Sarkar"/>
    <s v="9002483836"/>
  </r>
  <r>
    <s v="RCF Import"/>
    <s v="Imp 10-26-26"/>
    <s v="WB"/>
    <x v="17"/>
    <s v="Ranaghat - II"/>
    <s v="User Not Mapped"/>
    <s v="User Not Mapped"/>
    <s v="User Not Mapped"/>
    <n v="440714"/>
    <s v="M/S.Susanta Ghosh"/>
    <s v="Private Retailer"/>
    <s v="6294547363"/>
    <n v="2.6"/>
    <n v="54"/>
    <x v="3"/>
    <m/>
    <s v="2026-02-25"/>
    <s v="260178"/>
    <s v="M/s. Uttamendu Sarkar"/>
    <s v="9002483836"/>
  </r>
  <r>
    <s v="RCF Thal"/>
    <s v="N.C.Urea(45kg)"/>
    <s v="WB"/>
    <x v="17"/>
    <s v="Ranaghat - II"/>
    <s v="User Not Mapped"/>
    <s v="User Not Mapped"/>
    <s v="User Not Mapped"/>
    <n v="440714"/>
    <s v="M/S.Susanta Ghosh"/>
    <s v="Private Retailer"/>
    <s v="6294547363"/>
    <n v="7.5149999999999997"/>
    <n v="13"/>
    <x v="5"/>
    <m/>
    <s v="2026-04-07"/>
    <s v="260178"/>
    <s v="M/s. Uttamendu Sarkar"/>
    <s v="9002483836"/>
  </r>
  <r>
    <s v="RCF Trombay"/>
    <s v="15-15-15"/>
    <s v="WB"/>
    <x v="17"/>
    <s v="Ranaghat - II"/>
    <s v="User Not Mapped"/>
    <s v="User Not Mapped"/>
    <s v="User Not Mapped"/>
    <n v="440714"/>
    <s v="M/S.Susanta Ghosh"/>
    <s v="Private Retailer"/>
    <s v="6294547363"/>
    <n v="0.9"/>
    <n v="83"/>
    <x v="6"/>
    <m/>
    <s v="2026-01-27"/>
    <s v="260178"/>
    <s v="M/s. Uttamendu Sarkar"/>
    <s v="9002483836"/>
  </r>
  <r>
    <s v="RCF Trombay"/>
    <s v="N.C.Urea(45kg)"/>
    <s v="WB"/>
    <x v="17"/>
    <s v="Chapra"/>
    <s v="User Not Mapped"/>
    <s v="User Not Mapped"/>
    <s v="User Not Mapped"/>
    <n v="437950"/>
    <s v="Mahaldar Fertilizer"/>
    <s v="Private Retailer"/>
    <s v="7699767343"/>
    <n v="2.835"/>
    <n v="55"/>
    <x v="3"/>
    <m/>
    <s v="2026-02-24"/>
    <s v="260178"/>
    <s v="M/s. Uttamendu Sarkar"/>
    <s v="9002483836"/>
  </r>
  <r>
    <s v="RCF Thal"/>
    <s v="N.C.Urea(45kg)"/>
    <s v="WB"/>
    <x v="17"/>
    <s v="Tehatta - II"/>
    <s v="User Not Mapped"/>
    <s v="User Not Mapped"/>
    <s v="User Not Mapped"/>
    <n v="896832"/>
    <s v="MANKIR HOSSAIN SHAIKH"/>
    <s v="Private Retailer"/>
    <s v="7679543511"/>
    <n v="3.8250000000000002"/>
    <n v="265"/>
    <x v="1"/>
    <m/>
    <s v="2025-07-29"/>
    <s v="260178"/>
    <s v="M/s. Uttamendu Sarkar"/>
    <s v="9002483836"/>
  </r>
  <r>
    <s v="RCF Trombay"/>
    <s v="N.C.Urea(45kg)"/>
    <s v="WB"/>
    <x v="17"/>
    <s v="Ranaghat - II"/>
    <s v="User Not Mapped"/>
    <s v="User Not Mapped"/>
    <s v="User Not Mapped"/>
    <n v="1055343"/>
    <s v="MANORANJAN MONDAL"/>
    <s v="Private Retailer"/>
    <s v="9083411741"/>
    <n v="1.575"/>
    <n v="238"/>
    <x v="1"/>
    <m/>
    <s v="2025-08-25"/>
    <s v="260178"/>
    <s v="M/s. Uttamendu Sarkar"/>
    <s v="9002483836"/>
  </r>
  <r>
    <s v="RCF Trombay"/>
    <s v="N.C.Urea(45kg)"/>
    <s v="WB"/>
    <x v="17"/>
    <s v="Ranaghat - II"/>
    <s v="User Not Mapped"/>
    <s v="User Not Mapped"/>
    <s v="User Not Mapped"/>
    <n v="1055343"/>
    <s v="MANORANJAN MONDAL"/>
    <s v="Private Retailer"/>
    <s v="9083411741"/>
    <n v="4.9950000000000001"/>
    <n v="83"/>
    <x v="6"/>
    <m/>
    <s v="2026-01-27"/>
    <s v="260178"/>
    <s v="M/s. Uttamendu Sarkar"/>
    <s v="9002483836"/>
  </r>
  <r>
    <s v="RCF Thal"/>
    <s v="N.C.Urea(45kg)"/>
    <s v="WB"/>
    <x v="17"/>
    <s v="Ranaghat - II"/>
    <s v="User Not Mapped"/>
    <s v="User Not Mapped"/>
    <s v="User Not Mapped"/>
    <n v="1055343"/>
    <s v="MANORANJAN MONDAL"/>
    <s v="Private Retailer"/>
    <s v="9083411741"/>
    <n v="3.15"/>
    <n v="206"/>
    <x v="1"/>
    <m/>
    <s v="2025-09-26"/>
    <s v="260178"/>
    <s v="M/s. Uttamendu Sarkar"/>
    <s v="9002483836"/>
  </r>
  <r>
    <s v="RCF Import"/>
    <s v="Imp 10-26-26"/>
    <s v="WB"/>
    <x v="17"/>
    <s v="Ranaghat - II"/>
    <s v="User Not Mapped"/>
    <s v="User Not Mapped"/>
    <s v="User Not Mapped"/>
    <n v="1055343"/>
    <s v="MANORANJAN MONDAL"/>
    <s v="Private Retailer"/>
    <s v="9083411741"/>
    <n v="1.25"/>
    <n v="223"/>
    <x v="1"/>
    <m/>
    <s v="2025-09-09"/>
    <s v="260178"/>
    <s v="M/s. Uttamendu Sarkar"/>
    <s v="9002483836"/>
  </r>
  <r>
    <s v="RCF Import"/>
    <s v="Imp 10-26-26"/>
    <s v="WB"/>
    <x v="17"/>
    <s v="Ranaghat - II"/>
    <s v="User Not Mapped"/>
    <s v="User Not Mapped"/>
    <s v="User Not Mapped"/>
    <n v="1055343"/>
    <s v="MANORANJAN MONDAL"/>
    <s v="Private Retailer"/>
    <s v="9083411741"/>
    <n v="11"/>
    <n v="54"/>
    <x v="3"/>
    <m/>
    <s v="2026-02-25"/>
    <s v="260178"/>
    <s v="M/s. Uttamendu Sarkar"/>
    <s v="9002483836"/>
  </r>
  <r>
    <s v="RCF Trombay"/>
    <s v="15-15-15"/>
    <s v="WB"/>
    <x v="17"/>
    <s v="Ranaghat - II"/>
    <s v="User Not Mapped"/>
    <s v="User Not Mapped"/>
    <s v="User Not Mapped"/>
    <n v="1055343"/>
    <s v="MANORANJAN MONDAL"/>
    <s v="Private Retailer"/>
    <s v="9083411741"/>
    <n v="2.5"/>
    <n v="35"/>
    <x v="3"/>
    <m/>
    <s v="2026-03-16"/>
    <s v="260178"/>
    <s v="M/s. Uttamendu Sarkar"/>
    <s v="9002483836"/>
  </r>
  <r>
    <s v="RCF Trombay"/>
    <s v="15-15-15"/>
    <s v="WB"/>
    <x v="17"/>
    <s v="Ranaghat - II"/>
    <s v="User Not Mapped"/>
    <s v="User Not Mapped"/>
    <s v="User Not Mapped"/>
    <n v="1055343"/>
    <s v="MANORANJAN MONDAL"/>
    <s v="Private Retailer"/>
    <s v="9083411741"/>
    <n v="1.5"/>
    <n v="47"/>
    <x v="3"/>
    <m/>
    <s v="2026-03-04"/>
    <s v="260178"/>
    <s v="M/s. Uttamendu Sarkar"/>
    <s v="9002483836"/>
  </r>
  <r>
    <s v="RCF Import"/>
    <s v="MOP"/>
    <s v="WB"/>
    <x v="17"/>
    <s v="Ranaghat - II"/>
    <s v="User Not Mapped"/>
    <s v="User Not Mapped"/>
    <s v="User Not Mapped"/>
    <n v="1055343"/>
    <s v="MANORANJAN MONDAL"/>
    <s v="Private Retailer"/>
    <s v="9083411741"/>
    <n v="2"/>
    <n v="47"/>
    <x v="3"/>
    <m/>
    <s v="2026-03-04"/>
    <s v="260178"/>
    <s v="M/s. Uttamendu Sarkar"/>
    <s v="9002483836"/>
  </r>
  <r>
    <s v="RCF Thal"/>
    <s v="N.C.Urea(45kg)"/>
    <s v="WB"/>
    <x v="17"/>
    <s v="Nabadwip"/>
    <s v="User Not Mapped"/>
    <s v="User Not Mapped"/>
    <s v="User Not Mapped"/>
    <n v="750346"/>
    <s v="MD JAKIR HOSSIN"/>
    <s v="Private Retailer"/>
    <s v="8926598531"/>
    <n v="1.71"/>
    <n v="450"/>
    <x v="0"/>
    <m/>
    <s v="2025-01-25"/>
    <s v="260178"/>
    <s v="M/s. Uttamendu Sarkar"/>
    <s v="9002483836"/>
  </r>
  <r>
    <s v="RCF Thal"/>
    <s v="N.C.Urea(45kg)"/>
    <s v="WB"/>
    <x v="17"/>
    <s v="Kaliganj"/>
    <s v="User Not Mapped"/>
    <s v="User Not Mapped"/>
    <s v="User Not Mapped"/>
    <n v="437988"/>
    <s v="Md Kamal Sekh"/>
    <s v="Private Retailer"/>
    <s v="7029542360"/>
    <n v="0.58499999999999996"/>
    <n v="265"/>
    <x v="1"/>
    <m/>
    <s v="2025-07-29"/>
    <s v="260178"/>
    <s v="M/s. Uttamendu Sarkar"/>
    <s v="9002483836"/>
  </r>
  <r>
    <s v="RCF Thal"/>
    <s v="N.C.Urea(45kg)"/>
    <s v="WB"/>
    <x v="17"/>
    <s v="Krishnagar - II"/>
    <s v="User Not Mapped"/>
    <s v="User Not Mapped"/>
    <s v="User Not Mapped"/>
    <n v="741286"/>
    <s v="MONDAL FERTILISER"/>
    <s v="Private Retailer"/>
    <s v="7364022732"/>
    <n v="0.18"/>
    <n v="1060"/>
    <x v="2"/>
    <m/>
    <s v="2023-05-26"/>
    <s v="260178"/>
    <s v="M/s. Uttamendu Sarkar"/>
    <s v="9002483836"/>
  </r>
  <r>
    <s v="RCF Trombay"/>
    <s v="15-15-15"/>
    <s v="WB"/>
    <x v="17"/>
    <s v="Krishnagar - II"/>
    <s v="User Not Mapped"/>
    <s v="User Not Mapped"/>
    <s v="User Not Mapped"/>
    <n v="741286"/>
    <s v="MONDAL FERTILISER"/>
    <s v="Private Retailer"/>
    <s v="7364022732"/>
    <n v="0.9"/>
    <n v="524"/>
    <x v="0"/>
    <m/>
    <s v="2024-11-12"/>
    <s v="260178"/>
    <s v="M/s. Uttamendu Sarkar"/>
    <s v="9002483836"/>
  </r>
  <r>
    <s v="RCF Thal"/>
    <s v="N.C.Urea(45kg)"/>
    <s v="WB"/>
    <x v="17"/>
    <s v="Chapra"/>
    <s v="User Not Mapped"/>
    <s v="User Not Mapped"/>
    <s v="User Not Mapped"/>
    <n v="1051585"/>
    <s v="MONDAL FERTILIZER"/>
    <s v="Private Retailer"/>
    <s v="8597432313"/>
    <n v="9.8149999999999995"/>
    <n v="13"/>
    <x v="5"/>
    <m/>
    <s v="2026-04-07"/>
    <s v="260178"/>
    <s v="M/s. Uttamendu Sarkar"/>
    <s v="9002483836"/>
  </r>
  <r>
    <s v="RCF Trombay"/>
    <s v="15-15-15"/>
    <s v="WB"/>
    <x v="17"/>
    <s v="Hanskhali"/>
    <s v="User Not Mapped"/>
    <s v="User Not Mapped"/>
    <s v="User Not Mapped"/>
    <n v="341383"/>
    <s v="MS Gokul Chandra Mandal"/>
    <s v="Private Retailer"/>
    <s v="6297219564"/>
    <n v="0.25"/>
    <n v="837"/>
    <x v="2"/>
    <m/>
    <s v="2024-01-04"/>
    <s v="260178"/>
    <s v="M/s. Uttamendu Sarkar"/>
    <s v="9002483836"/>
  </r>
  <r>
    <s v="RCF Trombay"/>
    <s v="N.C.Urea(45kg)"/>
    <s v="WB"/>
    <x v="17"/>
    <s v="Chapra"/>
    <s v="User Not Mapped"/>
    <s v="User Not Mapped"/>
    <s v="User Not Mapped"/>
    <n v="441487"/>
    <s v="MS Rakhal Ch. Das"/>
    <s v="Private Retailer"/>
    <s v="8617445140"/>
    <n v="1.8"/>
    <n v="47"/>
    <x v="3"/>
    <m/>
    <s v="2026-03-04"/>
    <s v="260178"/>
    <s v="M/s. Uttamendu Sarkar"/>
    <s v="9002483836"/>
  </r>
  <r>
    <s v="RCF Trombay"/>
    <s v="N.C.Urea(45kg)"/>
    <s v="WB"/>
    <x v="17"/>
    <s v="Chapra"/>
    <s v="User Not Mapped"/>
    <s v="User Not Mapped"/>
    <s v="User Not Mapped"/>
    <n v="941440"/>
    <s v="MS TARA MA FERTILIZER"/>
    <s v="Private Retailer"/>
    <s v="9933571560"/>
    <n v="1.39"/>
    <n v="745"/>
    <x v="2"/>
    <m/>
    <s v="2024-04-05"/>
    <s v="260178"/>
    <s v="M/s. Uttamendu Sarkar"/>
    <s v="9002483836"/>
  </r>
  <r>
    <s v="RCF Trombay"/>
    <s v="15-15-15"/>
    <s v="WB"/>
    <x v="17"/>
    <s v="Krishnagar - I"/>
    <s v="User Not Mapped"/>
    <s v="User Not Mapped"/>
    <s v="User Not Mapped"/>
    <n v="440935"/>
    <s v="Mukherjee Fertilizer"/>
    <s v="Private Retailer"/>
    <s v="9679106036"/>
    <n v="5"/>
    <n v="83"/>
    <x v="6"/>
    <m/>
    <s v="2026-01-27"/>
    <s v="260178"/>
    <s v="M/s. Uttamendu Sarkar"/>
    <s v="9002483836"/>
  </r>
  <r>
    <s v="RCF Import"/>
    <s v="MOP"/>
    <s v="WB"/>
    <x v="17"/>
    <s v="Krishnagar - I"/>
    <s v="User Not Mapped"/>
    <s v="User Not Mapped"/>
    <s v="User Not Mapped"/>
    <n v="440935"/>
    <s v="Mukherjee Fertilizer"/>
    <s v="Private Retailer"/>
    <s v="9679106036"/>
    <n v="3.45"/>
    <n v="58"/>
    <x v="3"/>
    <m/>
    <s v="2026-02-21"/>
    <s v="260178"/>
    <s v="M/s. Uttamendu Sarkar"/>
    <s v="9002483836"/>
  </r>
  <r>
    <s v="RCF Trombay"/>
    <s v="15-15-15"/>
    <s v="WB"/>
    <x v="17"/>
    <s v="Krishnagar - I"/>
    <s v="User Not Mapped"/>
    <s v="User Not Mapped"/>
    <s v="User Not Mapped"/>
    <n v="440935"/>
    <s v="Mukherjee Fertilizer"/>
    <s v="Private Retailer"/>
    <s v="9679106036"/>
    <n v="0.6"/>
    <n v="123"/>
    <x v="4"/>
    <m/>
    <s v="2025-12-18"/>
    <s v="260178"/>
    <s v="M/s. Uttamendu Sarkar"/>
    <s v="9002483836"/>
  </r>
  <r>
    <s v="RCF Trombay"/>
    <s v="15-15-15"/>
    <s v="WB"/>
    <x v="17"/>
    <s v="Krishnagar - I"/>
    <s v="User Not Mapped"/>
    <s v="User Not Mapped"/>
    <s v="User Not Mapped"/>
    <n v="440935"/>
    <s v="Mukherjee Fertilizer"/>
    <s v="Private Retailer"/>
    <s v="9679106036"/>
    <n v="4"/>
    <n v="55"/>
    <x v="3"/>
    <m/>
    <s v="2026-02-24"/>
    <s v="260178"/>
    <s v="M/s. Uttamendu Sarkar"/>
    <s v="9002483836"/>
  </r>
  <r>
    <s v="RCF Import"/>
    <s v="Imp 10-26-26"/>
    <s v="WB"/>
    <x v="17"/>
    <m/>
    <s v="User Not Mapped"/>
    <s v="User Not Mapped"/>
    <s v="User Not Mapped"/>
    <n v="355755"/>
    <s v="Mullah Ali Mostaque"/>
    <s v="Private Retailer"/>
    <s v="9775047737"/>
    <n v="1.5"/>
    <n v="207"/>
    <x v="1"/>
    <m/>
    <s v="2025-09-25"/>
    <s v="260178"/>
    <s v="M/s. Uttamendu Sarkar"/>
    <s v="9002483836"/>
  </r>
  <r>
    <s v="RCF Trombay"/>
    <s v="15-15-15"/>
    <s v="WB"/>
    <x v="17"/>
    <m/>
    <s v="User Not Mapped"/>
    <s v="User Not Mapped"/>
    <s v="User Not Mapped"/>
    <n v="355755"/>
    <s v="Mullah Ali Mostaque"/>
    <s v="Private Retailer"/>
    <s v="9775047737"/>
    <n v="1"/>
    <n v="83"/>
    <x v="6"/>
    <m/>
    <s v="2026-01-27"/>
    <s v="260178"/>
    <s v="M/s. Uttamendu Sarkar"/>
    <s v="9002483836"/>
  </r>
  <r>
    <s v="RCF Trombay"/>
    <s v="15-15-15"/>
    <s v="WB"/>
    <x v="17"/>
    <m/>
    <s v="User Not Mapped"/>
    <s v="User Not Mapped"/>
    <s v="User Not Mapped"/>
    <n v="355755"/>
    <s v="Mullah Ali Mostaque"/>
    <s v="Private Retailer"/>
    <s v="9775047737"/>
    <n v="0.5"/>
    <n v="125"/>
    <x v="4"/>
    <m/>
    <s v="2025-12-16"/>
    <s v="260178"/>
    <s v="M/s. Uttamendu Sarkar"/>
    <s v="9002483836"/>
  </r>
  <r>
    <s v="RCF Trombay"/>
    <s v="15-15-15"/>
    <s v="WB"/>
    <x v="17"/>
    <m/>
    <s v="User Not Mapped"/>
    <s v="User Not Mapped"/>
    <s v="User Not Mapped"/>
    <n v="355755"/>
    <s v="Mullah Ali Mostaque"/>
    <s v="Private Retailer"/>
    <s v="9775047737"/>
    <n v="5"/>
    <n v="55"/>
    <x v="3"/>
    <m/>
    <s v="2026-02-24"/>
    <s v="260178"/>
    <s v="M/s. Uttamendu Sarkar"/>
    <s v="9002483836"/>
  </r>
  <r>
    <s v="RCF Import"/>
    <s v="MOP"/>
    <s v="WB"/>
    <x v="17"/>
    <m/>
    <s v="User Not Mapped"/>
    <s v="User Not Mapped"/>
    <s v="User Not Mapped"/>
    <n v="355755"/>
    <s v="Mullah Ali Mostaque"/>
    <s v="Private Retailer"/>
    <s v="9775047737"/>
    <n v="5"/>
    <n v="58"/>
    <x v="3"/>
    <m/>
    <s v="2026-02-21"/>
    <s v="260178"/>
    <s v="M/s. Uttamendu Sarkar"/>
    <s v="9002483836"/>
  </r>
  <r>
    <s v="RCF Thal"/>
    <s v="N.C.Urea(45kg)"/>
    <s v="WB"/>
    <x v="17"/>
    <m/>
    <s v="User Not Mapped"/>
    <s v="User Not Mapped"/>
    <s v="User Not Mapped"/>
    <n v="355755"/>
    <s v="Mullah Ali Mostaque"/>
    <s v="Private Retailer"/>
    <s v="9775047737"/>
    <n v="10.98"/>
    <n v="41"/>
    <x v="3"/>
    <m/>
    <s v="2026-03-10"/>
    <s v="260178"/>
    <s v="M/s. Uttamendu Sarkar"/>
    <s v="9002483836"/>
  </r>
  <r>
    <s v="RCF Trombay"/>
    <s v="15-15-15"/>
    <s v="WB"/>
    <x v="17"/>
    <s v="Krishnaganj"/>
    <s v="User Not Mapped"/>
    <s v="User Not Mapped"/>
    <s v="User Not Mapped"/>
    <n v="554519"/>
    <s v="New Chasi Ghar"/>
    <s v="Private Retailer"/>
    <s v="7407702280"/>
    <n v="3"/>
    <n v="55"/>
    <x v="3"/>
    <m/>
    <s v="2026-02-24"/>
    <s v="260178"/>
    <s v="M/s. Uttamendu Sarkar"/>
    <s v="9002483836"/>
  </r>
  <r>
    <s v="RCF Import"/>
    <s v="MOP"/>
    <s v="WB"/>
    <x v="17"/>
    <s v="Krishnaganj"/>
    <s v="User Not Mapped"/>
    <s v="User Not Mapped"/>
    <s v="User Not Mapped"/>
    <n v="554519"/>
    <s v="New Chasi Ghar"/>
    <s v="Private Retailer"/>
    <s v="7407702280"/>
    <n v="3.7"/>
    <n v="58"/>
    <x v="3"/>
    <m/>
    <s v="2026-02-21"/>
    <s v="260178"/>
    <s v="M/s. Uttamendu Sarkar"/>
    <s v="9002483836"/>
  </r>
  <r>
    <s v="RCF Trombay"/>
    <s v="N.C.Urea(45kg)"/>
    <s v="WB"/>
    <x v="17"/>
    <s v="Krishnaganj"/>
    <s v="User Not Mapped"/>
    <s v="User Not Mapped"/>
    <s v="User Not Mapped"/>
    <n v="554519"/>
    <s v="New Chasi Ghar"/>
    <s v="Private Retailer"/>
    <s v="7407702280"/>
    <n v="2.25"/>
    <n v="55"/>
    <x v="3"/>
    <m/>
    <s v="2026-02-24"/>
    <s v="260178"/>
    <s v="M/s. Uttamendu Sarkar"/>
    <s v="9002483836"/>
  </r>
  <r>
    <s v="RCF Thal"/>
    <s v="N.C.Urea(45kg)"/>
    <s v="WB"/>
    <x v="17"/>
    <s v="Ranaghat - I"/>
    <s v="User Not Mapped"/>
    <s v="User Not Mapped"/>
    <s v="User Not Mapped"/>
    <n v="342680"/>
    <s v="Pradip Biswas"/>
    <s v="Private Retailer"/>
    <s v="9800837891"/>
    <n v="4.4999999999999998E-2"/>
    <n v="451"/>
    <x v="0"/>
    <m/>
    <s v="2025-01-24"/>
    <s v="260178"/>
    <s v="M/s. Uttamendu Sarkar"/>
    <s v="9002483836"/>
  </r>
  <r>
    <s v="RCF Trombay"/>
    <s v="N.C.Urea(45kg)"/>
    <s v="WB"/>
    <x v="17"/>
    <s v="Ranaghat - I"/>
    <s v="User Not Mapped"/>
    <s v="User Not Mapped"/>
    <s v="User Not Mapped"/>
    <n v="342680"/>
    <s v="Pradip Biswas"/>
    <s v="Private Retailer"/>
    <s v="9800837891"/>
    <n v="4.4999999999999998E-2"/>
    <n v="429"/>
    <x v="0"/>
    <m/>
    <s v="2025-02-15"/>
    <s v="260178"/>
    <s v="M/s. Uttamendu Sarkar"/>
    <s v="9002483836"/>
  </r>
  <r>
    <s v="RCF Import"/>
    <s v="MOP"/>
    <s v="WB"/>
    <x v="17"/>
    <s v="Ranaghat - II"/>
    <s v="User Not Mapped"/>
    <s v="User Not Mapped"/>
    <s v="User Not Mapped"/>
    <n v="1510466"/>
    <s v="PRAMANICK FERTILIZER"/>
    <s v="Private Retailer"/>
    <s v="7001593041"/>
    <n v="1.5"/>
    <n v="26"/>
    <x v="5"/>
    <m/>
    <s v="2026-03-25"/>
    <s v="260178"/>
    <s v="M/s. Uttamendu Sarkar"/>
    <s v="9002483836"/>
  </r>
  <r>
    <s v="RCF Trombay"/>
    <s v="15-15-15"/>
    <s v="WB"/>
    <x v="17"/>
    <s v="Ranaghat - II"/>
    <s v="User Not Mapped"/>
    <s v="User Not Mapped"/>
    <s v="User Not Mapped"/>
    <n v="1510466"/>
    <s v="PRAMANICK FERTILIZER"/>
    <s v="Private Retailer"/>
    <s v="7001593041"/>
    <n v="1.5"/>
    <n v="26"/>
    <x v="5"/>
    <m/>
    <s v="2026-03-25"/>
    <s v="260178"/>
    <s v="M/s. Uttamendu Sarkar"/>
    <s v="9002483836"/>
  </r>
  <r>
    <s v="RCF Thal"/>
    <s v="N.C.Urea(45kg)"/>
    <s v="WB"/>
    <x v="17"/>
    <s v="Ranaghat - II"/>
    <s v="User Not Mapped"/>
    <s v="User Not Mapped"/>
    <s v="User Not Mapped"/>
    <n v="1510466"/>
    <s v="PRAMANICK FERTILIZER"/>
    <s v="Private Retailer"/>
    <s v="7001593041"/>
    <n v="10.98"/>
    <n v="41"/>
    <x v="3"/>
    <m/>
    <s v="2026-03-10"/>
    <s v="260178"/>
    <s v="M/s. Uttamendu Sarkar"/>
    <s v="9002483836"/>
  </r>
  <r>
    <s v="RCF Trombay"/>
    <s v="15-15-15"/>
    <s v="WB"/>
    <x v="17"/>
    <s v="Ranaghat - II"/>
    <s v="User Not Mapped"/>
    <s v="User Not Mapped"/>
    <s v="User Not Mapped"/>
    <n v="1510466"/>
    <s v="PRAMANICK FERTILIZER"/>
    <s v="Private Retailer"/>
    <s v="7001593041"/>
    <n v="0.05"/>
    <n v="39"/>
    <x v="3"/>
    <m/>
    <s v="2026-03-12"/>
    <s v="260178"/>
    <s v="M/s. Uttamendu Sarkar"/>
    <s v="9002483836"/>
  </r>
  <r>
    <s v="RCF Import"/>
    <s v="MOP"/>
    <s v="WB"/>
    <x v="17"/>
    <s v="Santipur"/>
    <s v="User Not Mapped"/>
    <s v="User Not Mapped"/>
    <s v="User Not Mapped"/>
    <n v="1604288"/>
    <s v="RADHA KRISHNA KRISHI BHANDAR"/>
    <s v="Private Retailer"/>
    <s v="8509580944"/>
    <n v="0.85"/>
    <n v="58"/>
    <x v="3"/>
    <m/>
    <s v="2026-02-21"/>
    <s v="260178"/>
    <s v="M/s. Uttamendu Sarkar"/>
    <s v="9002483836"/>
  </r>
  <r>
    <s v="RCF Trombay"/>
    <s v="15-15-15"/>
    <s v="WB"/>
    <x v="17"/>
    <s v="Santipur"/>
    <s v="User Not Mapped"/>
    <s v="User Not Mapped"/>
    <s v="User Not Mapped"/>
    <n v="1604288"/>
    <s v="RADHA KRISHNA KRISHI BHANDAR"/>
    <s v="Private Retailer"/>
    <s v="8509580944"/>
    <n v="0.1"/>
    <n v="55"/>
    <x v="3"/>
    <m/>
    <s v="2026-02-24"/>
    <s v="260178"/>
    <s v="M/s. Uttamendu Sarkar"/>
    <s v="9002483836"/>
  </r>
  <r>
    <s v="RCF Import"/>
    <s v="Imp 10-26-26"/>
    <s v="WB"/>
    <x v="17"/>
    <s v="Ranaghat - II"/>
    <s v="User Not Mapped"/>
    <s v="User Not Mapped"/>
    <s v="User Not Mapped"/>
    <n v="342644"/>
    <s v="Rajkumar Adhikary"/>
    <s v="Private Retailer"/>
    <s v="9732969630"/>
    <n v="4.5"/>
    <n v="54"/>
    <x v="3"/>
    <m/>
    <s v="2026-02-25"/>
    <s v="260178"/>
    <s v="M/s. Uttamendu Sarkar"/>
    <s v="9002483836"/>
  </r>
  <r>
    <s v="RCF Import"/>
    <s v="MOP"/>
    <s v="WB"/>
    <x v="17"/>
    <s v="Ranaghat - II"/>
    <s v="User Not Mapped"/>
    <s v="User Not Mapped"/>
    <s v="User Not Mapped"/>
    <n v="342644"/>
    <s v="Rajkumar Adhikary"/>
    <s v="Private Retailer"/>
    <s v="9732969630"/>
    <n v="5"/>
    <n v="58"/>
    <x v="3"/>
    <m/>
    <s v="2026-02-21"/>
    <s v="260178"/>
    <s v="M/s. Uttamendu Sarkar"/>
    <s v="9002483836"/>
  </r>
  <r>
    <s v="RCF Trombay"/>
    <s v="15-15-15"/>
    <s v="WB"/>
    <x v="17"/>
    <s v="Ranaghat - II"/>
    <s v="User Not Mapped"/>
    <s v="User Not Mapped"/>
    <s v="User Not Mapped"/>
    <n v="342644"/>
    <s v="Rajkumar Adhikary"/>
    <s v="Private Retailer"/>
    <s v="9732969630"/>
    <n v="4.5"/>
    <n v="55"/>
    <x v="3"/>
    <m/>
    <s v="2026-02-24"/>
    <s v="260178"/>
    <s v="M/s. Uttamendu Sarkar"/>
    <s v="9002483836"/>
  </r>
  <r>
    <s v="RCF Trombay"/>
    <s v="15-15-15"/>
    <s v="WB"/>
    <x v="17"/>
    <s v="Ranaghat - II"/>
    <s v="User Not Mapped"/>
    <s v="User Not Mapped"/>
    <s v="User Not Mapped"/>
    <n v="342585"/>
    <s v="Ranjit Roy"/>
    <s v="Private Retailer"/>
    <s v="9832295890"/>
    <n v="1.25"/>
    <n v="37"/>
    <x v="3"/>
    <m/>
    <s v="2026-03-14"/>
    <s v="260178"/>
    <s v="M/s. Uttamendu Sarkar"/>
    <s v="9002483836"/>
  </r>
  <r>
    <s v="RCF Import"/>
    <s v="MOP"/>
    <s v="WB"/>
    <x v="17"/>
    <s v="Ranaghat - II"/>
    <s v="User Not Mapped"/>
    <s v="User Not Mapped"/>
    <s v="User Not Mapped"/>
    <n v="342585"/>
    <s v="Ranjit Roy"/>
    <s v="Private Retailer"/>
    <s v="9832295890"/>
    <n v="1.25"/>
    <n v="37"/>
    <x v="3"/>
    <m/>
    <s v="2026-03-14"/>
    <s v="260178"/>
    <s v="M/s. Uttamendu Sarkar"/>
    <s v="9002483836"/>
  </r>
  <r>
    <s v="RCF Trombay"/>
    <s v="15-15-15"/>
    <s v="WB"/>
    <x v="17"/>
    <s v="Krishnagar - I"/>
    <s v="User Not Mapped"/>
    <s v="User Not Mapped"/>
    <s v="User Not Mapped"/>
    <n v="243915"/>
    <s v="Sadhan Kumar Pal"/>
    <s v="Private Retailer"/>
    <s v="9851123729"/>
    <n v="1"/>
    <n v="47"/>
    <x v="3"/>
    <m/>
    <s v="2026-03-04"/>
    <s v="260178"/>
    <s v="M/s. Uttamendu Sarkar"/>
    <s v="9002483836"/>
  </r>
  <r>
    <s v="RCF Trombay"/>
    <s v="15-15-15"/>
    <s v="WB"/>
    <x v="17"/>
    <s v="Krishnagar - I"/>
    <s v="User Not Mapped"/>
    <s v="User Not Mapped"/>
    <s v="User Not Mapped"/>
    <n v="243915"/>
    <s v="Sadhan Kumar Pal"/>
    <s v="Private Retailer"/>
    <s v="9851123729"/>
    <n v="0.6"/>
    <n v="54"/>
    <x v="3"/>
    <m/>
    <s v="2026-02-25"/>
    <s v="260178"/>
    <s v="M/s. Uttamendu Sarkar"/>
    <s v="9002483836"/>
  </r>
  <r>
    <s v="RCF Thal"/>
    <s v="N.C.Urea(45kg)"/>
    <s v="WB"/>
    <x v="17"/>
    <s v="Krishnagar - I"/>
    <s v="User Not Mapped"/>
    <s v="User Not Mapped"/>
    <s v="User Not Mapped"/>
    <n v="1604312"/>
    <s v="SAHA AGRO FERTILIZER (PROP. PR"/>
    <s v="Private Retailer"/>
    <s v="9064459224"/>
    <n v="9.99"/>
    <n v="13"/>
    <x v="5"/>
    <m/>
    <s v="2026-04-07"/>
    <s v="260178"/>
    <s v="M/s. Uttamendu Sarkar"/>
    <s v="9002483836"/>
  </r>
  <r>
    <s v="RCF Trombay"/>
    <s v="15-15-15"/>
    <s v="WB"/>
    <x v="17"/>
    <s v="Krishnagar - I"/>
    <s v="User Not Mapped"/>
    <s v="User Not Mapped"/>
    <s v="User Not Mapped"/>
    <n v="1604312"/>
    <s v="SAHA AGRO FERTILIZER (PROP. PR"/>
    <s v="Private Retailer"/>
    <s v="9064459224"/>
    <n v="2"/>
    <n v="26"/>
    <x v="5"/>
    <m/>
    <s v="2026-03-25"/>
    <s v="260178"/>
    <s v="M/s. Uttamendu Sarkar"/>
    <s v="9002483836"/>
  </r>
  <r>
    <s v="RCF Thal"/>
    <s v="N.C.Urea(45kg)"/>
    <s v="WB"/>
    <x v="17"/>
    <s v="Hanskhali"/>
    <s v="User Not Mapped"/>
    <s v="User Not Mapped"/>
    <s v="User Not Mapped"/>
    <n v="356225"/>
    <s v="Samir Kumar Pal"/>
    <s v="Private Retailer"/>
    <s v="7908516829"/>
    <n v="3.15"/>
    <n v="13"/>
    <x v="5"/>
    <m/>
    <s v="2026-04-07"/>
    <s v="260178"/>
    <s v="M/s. Uttamendu Sarkar"/>
    <s v="9002483836"/>
  </r>
  <r>
    <s v="RCF Trombay"/>
    <s v="15-15-15"/>
    <s v="WB"/>
    <x v="17"/>
    <s v="Krishnagar - I"/>
    <s v="User Not Mapped"/>
    <s v="User Not Mapped"/>
    <s v="User Not Mapped"/>
    <n v="218859"/>
    <s v="Sanjoy Joarder"/>
    <s v="Private Retailer"/>
    <s v="9635606686"/>
    <n v="1"/>
    <n v="35"/>
    <x v="3"/>
    <m/>
    <s v="2026-03-16"/>
    <s v="260178"/>
    <s v="M/s. Uttamendu Sarkar"/>
    <s v="9002483836"/>
  </r>
  <r>
    <s v="RCF Import"/>
    <s v="MOP"/>
    <s v="WB"/>
    <x v="17"/>
    <s v="Krishnagar - I"/>
    <s v="User Not Mapped"/>
    <s v="User Not Mapped"/>
    <s v="User Not Mapped"/>
    <n v="218859"/>
    <s v="Sanjoy Joarder"/>
    <s v="Private Retailer"/>
    <s v="9635606686"/>
    <n v="1"/>
    <n v="35"/>
    <x v="3"/>
    <m/>
    <s v="2026-03-16"/>
    <s v="260178"/>
    <s v="M/s. Uttamendu Sarkar"/>
    <s v="9002483836"/>
  </r>
  <r>
    <s v="RCF Trombay"/>
    <s v="15-15-15"/>
    <s v="WB"/>
    <x v="17"/>
    <s v="Ranaghat - I"/>
    <s v="User Not Mapped"/>
    <s v="User Not Mapped"/>
    <s v="User Not Mapped"/>
    <n v="440760"/>
    <s v="SHEE DUHGA FERTILIZEH"/>
    <s v="Private Retailer"/>
    <s v="9735783364"/>
    <n v="1"/>
    <n v="47"/>
    <x v="3"/>
    <m/>
    <s v="2026-03-04"/>
    <s v="260178"/>
    <s v="M/s. Uttamendu Sarkar"/>
    <s v="9002483836"/>
  </r>
  <r>
    <s v="RCF Import"/>
    <s v="MOP"/>
    <s v="WB"/>
    <x v="17"/>
    <s v="Krishnagar - I"/>
    <s v="User Not Mapped"/>
    <s v="User Not Mapped"/>
    <s v="User Not Mapped"/>
    <n v="837325"/>
    <s v="SHYAMAL BISWAS"/>
    <s v="Private Retailer"/>
    <s v="8116672917"/>
    <n v="1"/>
    <n v="54"/>
    <x v="3"/>
    <m/>
    <s v="2026-02-25"/>
    <s v="260178"/>
    <s v="M/s. Uttamendu Sarkar"/>
    <s v="9002483836"/>
  </r>
  <r>
    <s v="RCF Import"/>
    <s v="MOP"/>
    <s v="WB"/>
    <x v="17"/>
    <s v="Chapra"/>
    <s v="User Not Mapped"/>
    <s v="User Not Mapped"/>
    <s v="User Not Mapped"/>
    <n v="495570"/>
    <s v="Sobedar Hossain Mondal"/>
    <s v="Private Retailer"/>
    <s v="9563662543"/>
    <n v="0.5"/>
    <n v="54"/>
    <x v="3"/>
    <m/>
    <s v="2026-02-25"/>
    <s v="260178"/>
    <s v="M/s. Uttamendu Sarkar"/>
    <s v="9002483836"/>
  </r>
  <r>
    <s v="RCF Trombay"/>
    <s v="15-15-15"/>
    <s v="WB"/>
    <x v="17"/>
    <s v="Chapra"/>
    <s v="User Not Mapped"/>
    <s v="User Not Mapped"/>
    <s v="User Not Mapped"/>
    <n v="495570"/>
    <s v="Sobedar Hossain Mondal"/>
    <s v="Private Retailer"/>
    <s v="9563662543"/>
    <n v="0.5"/>
    <n v="54"/>
    <x v="3"/>
    <m/>
    <s v="2026-02-25"/>
    <s v="260178"/>
    <s v="M/s. Uttamendu Sarkar"/>
    <s v="9002483836"/>
  </r>
  <r>
    <s v="RCF Trombay"/>
    <s v="15-15-15"/>
    <s v="WB"/>
    <x v="17"/>
    <s v="Chapra"/>
    <s v="User Not Mapped"/>
    <s v="User Not Mapped"/>
    <s v="User Not Mapped"/>
    <n v="495570"/>
    <s v="Sobedar Hossain Mondal"/>
    <s v="Private Retailer"/>
    <s v="9563662543"/>
    <n v="1"/>
    <n v="69"/>
    <x v="6"/>
    <m/>
    <s v="2026-02-10"/>
    <s v="260178"/>
    <s v="M/s. Uttamendu Sarkar"/>
    <s v="9002483836"/>
  </r>
  <r>
    <s v="RCF Trombay"/>
    <s v="15-15-15"/>
    <s v="WB"/>
    <x v="17"/>
    <s v="Chapra"/>
    <s v="User Not Mapped"/>
    <s v="User Not Mapped"/>
    <s v="User Not Mapped"/>
    <n v="495570"/>
    <s v="Sobedar Hossain Mondal"/>
    <s v="Private Retailer"/>
    <s v="9563662543"/>
    <n v="0.65"/>
    <n v="168"/>
    <x v="4"/>
    <m/>
    <s v="2025-11-03"/>
    <s v="260178"/>
    <s v="M/s. Uttamendu Sarkar"/>
    <s v="9002483836"/>
  </r>
  <r>
    <s v="RCF Trombay"/>
    <s v="15-15-15"/>
    <s v="WB"/>
    <x v="17"/>
    <s v="Hanskhali"/>
    <s v="User Not Mapped"/>
    <s v="User Not Mapped"/>
    <s v="User Not Mapped"/>
    <n v="630603"/>
    <s v="SUBHENDU GHOSH"/>
    <s v="Private Retailer"/>
    <s v="9434419013"/>
    <n v="1.5"/>
    <n v="143"/>
    <x v="4"/>
    <m/>
    <s v="2025-11-28"/>
    <s v="260178"/>
    <s v="M/s. Uttamendu Sarkar"/>
    <s v="9002483836"/>
  </r>
  <r>
    <s v="RCF Import"/>
    <s v="MOP"/>
    <s v="WB"/>
    <x v="17"/>
    <s v="Krishnagar - I"/>
    <s v="User Not Mapped"/>
    <s v="User Not Mapped"/>
    <s v="User Not Mapped"/>
    <n v="218872"/>
    <s v="Subodh Biswas"/>
    <s v="Private Retailer"/>
    <s v="9547717375"/>
    <n v="2.35"/>
    <n v="58"/>
    <x v="3"/>
    <m/>
    <s v="2026-02-21"/>
    <s v="260178"/>
    <s v="M/s. Uttamendu Sarkar"/>
    <s v="9002483836"/>
  </r>
  <r>
    <s v="RCF Trombay"/>
    <s v="N.C.Urea(45kg)"/>
    <s v="WB"/>
    <x v="17"/>
    <s v="Krishnagar - I"/>
    <s v="User Not Mapped"/>
    <s v="User Not Mapped"/>
    <s v="User Not Mapped"/>
    <n v="218872"/>
    <s v="Subodh Biswas"/>
    <s v="Private Retailer"/>
    <s v="9547717375"/>
    <n v="2.4750000000000001"/>
    <n v="55"/>
    <x v="3"/>
    <m/>
    <s v="2026-02-24"/>
    <s v="260178"/>
    <s v="M/s. Uttamendu Sarkar"/>
    <s v="9002483836"/>
  </r>
  <r>
    <s v="RCF Trombay"/>
    <s v="15-15-15"/>
    <s v="WB"/>
    <x v="17"/>
    <s v="Krishnagar - I"/>
    <s v="User Not Mapped"/>
    <s v="User Not Mapped"/>
    <s v="User Not Mapped"/>
    <n v="323572"/>
    <s v="Sudhamoy Ghosh"/>
    <s v="Private Retailer"/>
    <s v="9733970142"/>
    <n v="0.8"/>
    <n v="244"/>
    <x v="1"/>
    <m/>
    <s v="2025-08-19"/>
    <s v="260178"/>
    <s v="M/s. Uttamendu Sarkar"/>
    <s v="9002483836"/>
  </r>
  <r>
    <s v="RCF Import"/>
    <s v="Imp 10-26-26"/>
    <s v="WB"/>
    <x v="17"/>
    <s v="Ranaghat - I"/>
    <s v="User Not Mapped"/>
    <s v="User Not Mapped"/>
    <s v="User Not Mapped"/>
    <n v="609070"/>
    <s v="SUKHEN BISWAS"/>
    <s v="Private Retailer"/>
    <s v="6296538144"/>
    <n v="5.25"/>
    <n v="54"/>
    <x v="3"/>
    <m/>
    <s v="2026-02-25"/>
    <s v="260178"/>
    <s v="M/s. Uttamendu Sarkar"/>
    <s v="9002483836"/>
  </r>
  <r>
    <s v="RCF Trombay"/>
    <s v="15-15-15"/>
    <s v="WB"/>
    <x v="17"/>
    <m/>
    <s v="User Not Mapped"/>
    <s v="User Not Mapped"/>
    <s v="User Not Mapped"/>
    <n v="1061986"/>
    <s v="SUVANKAR KARMAKAR"/>
    <s v="Private Retailer"/>
    <s v="9647395833"/>
    <n v="0.2"/>
    <n v="2009"/>
    <x v="2"/>
    <m/>
    <s v="2020-10-19"/>
    <s v="260178"/>
    <s v="M/s. Uttamendu Sarkar"/>
    <s v="9002483836"/>
  </r>
  <r>
    <s v="RCF Trombay"/>
    <s v="N.C.Urea(45kg)"/>
    <s v="WB"/>
    <x v="17"/>
    <m/>
    <s v="User Not Mapped"/>
    <s v="User Not Mapped"/>
    <s v="User Not Mapped"/>
    <n v="1061986"/>
    <s v="SUVANKAR KARMAKAR"/>
    <s v="Private Retailer"/>
    <s v="9647395833"/>
    <n v="4.59"/>
    <n v="2014"/>
    <x v="2"/>
    <m/>
    <s v="2020-10-14"/>
    <s v="260178"/>
    <s v="M/s. Uttamendu Sarkar"/>
    <s v="9002483836"/>
  </r>
  <r>
    <s v="RCF Trombay"/>
    <s v="N.C.Urea(45kg)"/>
    <s v="WB"/>
    <x v="17"/>
    <s v="Krishnaganj"/>
    <s v="User Not Mapped"/>
    <s v="User Not Mapped"/>
    <s v="User Not Mapped"/>
    <n v="604902"/>
    <s v="TANOY NATH"/>
    <s v="Private Retailer"/>
    <s v="9734645454"/>
    <n v="3.78"/>
    <n v="83"/>
    <x v="6"/>
    <m/>
    <s v="2026-01-27"/>
    <s v="260178"/>
    <s v="M/s. Uttamendu Sarkar"/>
    <s v="9002483836"/>
  </r>
  <r>
    <s v="RCF Trombay"/>
    <s v="15-15-15"/>
    <s v="WB"/>
    <x v="17"/>
    <s v="Krishnaganj"/>
    <s v="User Not Mapped"/>
    <s v="User Not Mapped"/>
    <s v="User Not Mapped"/>
    <n v="323579"/>
    <s v="Tapan Kr.Nath"/>
    <s v="Private Retailer"/>
    <s v="9732726299"/>
    <n v="0.95"/>
    <n v="77"/>
    <x v="6"/>
    <m/>
    <s v="2026-02-02"/>
    <s v="260178"/>
    <s v="M/s. Uttamendu Sarkar"/>
    <s v="9002483836"/>
  </r>
  <r>
    <s v="RCF Import"/>
    <s v="Imp 10-26-26"/>
    <s v="WB"/>
    <x v="17"/>
    <s v="Krishnaganj"/>
    <s v="User Not Mapped"/>
    <s v="User Not Mapped"/>
    <s v="User Not Mapped"/>
    <n v="323579"/>
    <s v="Tapan Kr.Nath"/>
    <s v="Private Retailer"/>
    <s v="9732726299"/>
    <n v="0.85"/>
    <n v="54"/>
    <x v="3"/>
    <m/>
    <s v="2026-02-25"/>
    <s v="260178"/>
    <s v="M/s. Uttamendu Sarkar"/>
    <s v="9002483836"/>
  </r>
  <r>
    <s v="RCF Thal"/>
    <s v="N.C.Urea(45kg)"/>
    <s v="WB"/>
    <x v="17"/>
    <s v="Krishnaganj"/>
    <s v="User Not Mapped"/>
    <s v="User Not Mapped"/>
    <s v="User Not Mapped"/>
    <n v="323579"/>
    <s v="Tapan Kr.Nath"/>
    <s v="Private Retailer"/>
    <s v="9732726299"/>
    <n v="9.5399999999999991"/>
    <n v="13"/>
    <x v="5"/>
    <m/>
    <s v="2026-04-07"/>
    <s v="260178"/>
    <s v="M/s. Uttamendu Sarkar"/>
    <s v="9002483836"/>
  </r>
  <r>
    <s v="RCF Thal"/>
    <s v="N.C.Urea(45kg)"/>
    <s v="WB"/>
    <x v="17"/>
    <s v="Krishnagar - I"/>
    <s v="User Not Mapped"/>
    <s v="User Not Mapped"/>
    <s v="User Not Mapped"/>
    <n v="323561"/>
    <s v="TITHI FERTILISER"/>
    <s v="Private Retailer"/>
    <s v="9002697044"/>
    <n v="10.98"/>
    <n v="41"/>
    <x v="3"/>
    <m/>
    <s v="2026-03-10"/>
    <s v="260178"/>
    <s v="M/s. Uttamendu Sarkar"/>
    <s v="9002483836"/>
  </r>
  <r>
    <s v="RCF Import"/>
    <s v="MOP"/>
    <s v="WB"/>
    <x v="17"/>
    <s v="Krishnagar - I"/>
    <s v="User Not Mapped"/>
    <s v="User Not Mapped"/>
    <s v="User Not Mapped"/>
    <n v="323561"/>
    <s v="TITHI FERTILISER"/>
    <s v="Private Retailer"/>
    <s v="9002697044"/>
    <n v="4.75"/>
    <n v="58"/>
    <x v="3"/>
    <m/>
    <s v="2026-02-21"/>
    <s v="260178"/>
    <s v="M/s. Uttamendu Sarkar"/>
    <s v="9002483836"/>
  </r>
  <r>
    <s v="RCF Trombay"/>
    <s v="15-15-15"/>
    <s v="WB"/>
    <x v="17"/>
    <s v="Krishnagar - I"/>
    <s v="User Not Mapped"/>
    <s v="User Not Mapped"/>
    <s v="User Not Mapped"/>
    <n v="323561"/>
    <s v="TITHI FERTILISER"/>
    <s v="Private Retailer"/>
    <s v="9002697044"/>
    <n v="1.5"/>
    <n v="55"/>
    <x v="3"/>
    <m/>
    <s v="2026-02-24"/>
    <s v="260178"/>
    <s v="M/s. Uttamendu Sarkar"/>
    <s v="9002483836"/>
  </r>
  <r>
    <s v="RCF Trombay"/>
    <s v="N.C.Urea(45kg)"/>
    <s v="WB"/>
    <x v="17"/>
    <s v="Krishnagar - I"/>
    <s v="User Not Mapped"/>
    <s v="User Not Mapped"/>
    <s v="User Not Mapped"/>
    <n v="323561"/>
    <s v="TITHI FERTILISER"/>
    <s v="Private Retailer"/>
    <s v="9002697044"/>
    <n v="2.52"/>
    <n v="55"/>
    <x v="3"/>
    <m/>
    <s v="2026-02-24"/>
    <s v="260178"/>
    <s v="M/s. Uttamendu Sarkar"/>
    <s v="9002483836"/>
  </r>
  <r>
    <s v="RCF Trombay"/>
    <s v="15-15-15"/>
    <s v="WB"/>
    <x v="17"/>
    <m/>
    <s v="User Not Mapped"/>
    <s v="User Not Mapped"/>
    <s v="User Not Mapped"/>
    <n v="342676"/>
    <s v="Uttam Kumar Biswas"/>
    <s v="Private Retailer"/>
    <s v="7797412654"/>
    <n v="2.5"/>
    <n v="2338"/>
    <x v="2"/>
    <m/>
    <s v="2019-11-25"/>
    <s v="260178"/>
    <s v="M/s. Uttamendu Sarkar"/>
    <s v="9002483836"/>
  </r>
  <r>
    <s v="RCF Trombay"/>
    <s v="15-15-15"/>
    <s v="WB"/>
    <x v="17"/>
    <s v="Karimpur - II"/>
    <s v="User Not Mapped"/>
    <s v="User Not Mapped"/>
    <s v="User Not Mapped"/>
    <n v="328259"/>
    <s v="Year Ali Sk"/>
    <s v="Private Retailer"/>
    <s v="9434821993"/>
    <n v="0.01"/>
    <n v="42"/>
    <x v="3"/>
    <m/>
    <s v="2026-03-09"/>
    <s v="260178"/>
    <s v="M/s. Uttamendu Sarkar"/>
    <s v="9002483836"/>
  </r>
  <r>
    <s v="RCF Import"/>
    <s v="MOP"/>
    <s v="WB"/>
    <x v="17"/>
    <s v="Karimpur - II"/>
    <s v="User Not Mapped"/>
    <s v="User Not Mapped"/>
    <s v="User Not Mapped"/>
    <n v="328259"/>
    <s v="Year Ali Sk"/>
    <s v="Private Retailer"/>
    <s v="9434821993"/>
    <n v="5.75"/>
    <n v="58"/>
    <x v="3"/>
    <m/>
    <s v="2026-02-21"/>
    <s v="260178"/>
    <s v="M/s. Uttamendu Sarkar"/>
    <s v="9002483836"/>
  </r>
  <r>
    <s v="RCF Trombay"/>
    <s v="N.C.Urea(45kg)"/>
    <s v="WB"/>
    <x v="17"/>
    <s v="Karimpur - II"/>
    <s v="User Not Mapped"/>
    <s v="User Not Mapped"/>
    <s v="User Not Mapped"/>
    <n v="328259"/>
    <s v="Year Ali Sk"/>
    <s v="Private Retailer"/>
    <s v="9434821993"/>
    <n v="12.28"/>
    <n v="54"/>
    <x v="3"/>
    <m/>
    <s v="2026-02-25"/>
    <s v="260178"/>
    <s v="M/s. Uttamendu Sarkar"/>
    <s v="9002483836"/>
  </r>
  <r>
    <s v="RCF Thal"/>
    <s v="N.C.Urea(45kg)"/>
    <s v="WB"/>
    <x v="17"/>
    <s v="Karimpur - II"/>
    <s v="User Not Mapped"/>
    <s v="User Not Mapped"/>
    <s v="User Not Mapped"/>
    <n v="328259"/>
    <s v="Year Ali Sk"/>
    <s v="Private Retailer"/>
    <s v="9434821993"/>
    <n v="20.25"/>
    <n v="41"/>
    <x v="3"/>
    <m/>
    <s v="2026-03-10"/>
    <s v="260178"/>
    <s v="M/s. Uttamendu Sarkar"/>
    <s v="9002483836"/>
  </r>
  <r>
    <s v="RCF Trombay"/>
    <s v="15-15-15"/>
    <s v="WB"/>
    <x v="17"/>
    <s v="Hanskhali"/>
    <s v="User Not Mapped"/>
    <s v="User Not Mapped"/>
    <s v="User Not Mapped"/>
    <n v="1061964"/>
    <s v="AMIR HOSSAIN MONDAL"/>
    <s v="Private Retailer"/>
    <s v="7718709385"/>
    <n v="1.5"/>
    <n v="71"/>
    <x v="6"/>
    <m/>
    <s v="2026-02-08"/>
    <s v="280732"/>
    <s v="M/S-MADHUSUDAN GHOSH"/>
    <s v="9434823432"/>
  </r>
  <r>
    <s v="RCF Trombay"/>
    <s v="15-15-15"/>
    <s v="WB"/>
    <x v="17"/>
    <s v="Ranaghat - II"/>
    <s v="User Not Mapped"/>
    <s v="User Not Mapped"/>
    <s v="User Not Mapped"/>
    <n v="1037505"/>
    <s v="ASHADUL MONDAL"/>
    <s v="Private Retailer"/>
    <s v="7551027166"/>
    <n v="0.7"/>
    <n v="130"/>
    <x v="4"/>
    <m/>
    <s v="2025-12-11"/>
    <s v="280732"/>
    <s v="M/S-MADHUSUDAN GHOSH"/>
    <s v="9434823432"/>
  </r>
  <r>
    <s v="RCF Trombay"/>
    <s v="15-15-15"/>
    <s v="WB"/>
    <x v="17"/>
    <s v="Ranaghat - II"/>
    <s v="User Not Mapped"/>
    <s v="User Not Mapped"/>
    <s v="User Not Mapped"/>
    <n v="1061894"/>
    <s v="ASHISH GHOSH"/>
    <s v="Private Retailer"/>
    <s v="9732951478"/>
    <n v="9.75"/>
    <n v="72"/>
    <x v="6"/>
    <m/>
    <s v="2026-02-07"/>
    <s v="280732"/>
    <s v="M/S-MADHUSUDAN GHOSH"/>
    <s v="9434823432"/>
  </r>
  <r>
    <s v="RCF Trombay"/>
    <s v="15-15-15"/>
    <s v="WB"/>
    <x v="17"/>
    <s v="Hanskhali"/>
    <s v="User Not Mapped"/>
    <s v="User Not Mapped"/>
    <s v="User Not Mapped"/>
    <n v="1370989"/>
    <s v="BISWAS FERTILIZER"/>
    <s v="Private Retailer"/>
    <s v="9732452183"/>
    <n v="6"/>
    <n v="20"/>
    <x v="5"/>
    <m/>
    <s v="2026-03-31"/>
    <s v="280732"/>
    <s v="M/S-MADHUSUDAN GHOSH"/>
    <s v="9434823432"/>
  </r>
  <r>
    <s v="RCF Trombay"/>
    <s v="15-15-15"/>
    <s v="WB"/>
    <x v="17"/>
    <s v="Hanskhali"/>
    <s v="User Not Mapped"/>
    <s v="User Not Mapped"/>
    <s v="User Not Mapped"/>
    <n v="1370989"/>
    <s v="BISWAS FERTILIZER"/>
    <s v="Private Retailer"/>
    <s v="9732452183"/>
    <n v="6.25"/>
    <n v="71"/>
    <x v="6"/>
    <m/>
    <s v="2026-02-08"/>
    <s v="280732"/>
    <s v="M/S-MADHUSUDAN GHOSH"/>
    <s v="9434823432"/>
  </r>
  <r>
    <s v="RCF Trombay"/>
    <s v="N.C.Urea(45kg)"/>
    <s v="WB"/>
    <x v="17"/>
    <s v="Hanskhali"/>
    <s v="User Not Mapped"/>
    <s v="User Not Mapped"/>
    <s v="User Not Mapped"/>
    <n v="1577416"/>
    <s v="BISWAS PESTICIDE"/>
    <s v="Private Retailer"/>
    <s v="9641945886"/>
    <n v="2.88"/>
    <n v="29"/>
    <x v="5"/>
    <m/>
    <s v="2026-03-22"/>
    <s v="280732"/>
    <s v="M/S-MADHUSUDAN GHOSH"/>
    <s v="9434823432"/>
  </r>
  <r>
    <s v="RCF Thal"/>
    <s v="N.C.Urea(45kg)"/>
    <s v="WB"/>
    <x v="17"/>
    <s v="Hanskhali"/>
    <s v="User Not Mapped"/>
    <s v="User Not Mapped"/>
    <s v="User Not Mapped"/>
    <n v="1577416"/>
    <s v="BISWAS PESTICIDE"/>
    <s v="Private Retailer"/>
    <s v="9641945886"/>
    <n v="4.0949999999999998"/>
    <n v="2"/>
    <x v="5"/>
    <m/>
    <s v="2026-04-18"/>
    <s v="280732"/>
    <s v="M/S-MADHUSUDAN GHOSH"/>
    <s v="9434823432"/>
  </r>
  <r>
    <s v="RCF Trombay"/>
    <s v="15-15-15"/>
    <s v="WB"/>
    <x v="17"/>
    <s v="Hanskhali"/>
    <s v="User Not Mapped"/>
    <s v="User Not Mapped"/>
    <s v="User Not Mapped"/>
    <n v="937872"/>
    <s v="CHUPRIA O PANDITPUR GPSKUS LTD"/>
    <s v="Other"/>
    <s v="8509273490"/>
    <n v="1"/>
    <n v="171"/>
    <x v="4"/>
    <m/>
    <s v="2025-10-31"/>
    <s v="280732"/>
    <s v="M/S-MADHUSUDAN GHOSH"/>
    <s v="9434823432"/>
  </r>
  <r>
    <s v="RCF Trombay"/>
    <s v="15-15-15"/>
    <s v="WB"/>
    <x v="17"/>
    <s v="Ranaghat - II"/>
    <s v="User Not Mapped"/>
    <s v="User Not Mapped"/>
    <s v="User Not Mapped"/>
    <n v="354897"/>
    <s v="Dilip Ghosh"/>
    <s v="Private Retailer"/>
    <s v="7063265116"/>
    <n v="0.02"/>
    <n v="60"/>
    <x v="3"/>
    <m/>
    <s v="2026-02-19"/>
    <s v="280732"/>
    <s v="M/S-MADHUSUDAN GHOSH"/>
    <s v="9434823432"/>
  </r>
  <r>
    <s v="RCF Trombay"/>
    <s v="15-15-15"/>
    <s v="WB"/>
    <x v="17"/>
    <s v="Ranaghat - II"/>
    <s v="User Not Mapped"/>
    <s v="User Not Mapped"/>
    <s v="User Not Mapped"/>
    <n v="341367"/>
    <s v="Girindra Nath Saha"/>
    <s v="Private Retailer"/>
    <s v="6296945903"/>
    <n v="0.5"/>
    <n v="180"/>
    <x v="4"/>
    <m/>
    <s v="2025-10-22"/>
    <s v="280732"/>
    <s v="M/S-MADHUSUDAN GHOSH"/>
    <s v="9434823432"/>
  </r>
  <r>
    <s v="RCF Trombay"/>
    <s v="15-15-15"/>
    <s v="WB"/>
    <x v="17"/>
    <s v="Ranaghat - II"/>
    <s v="User Not Mapped"/>
    <s v="User Not Mapped"/>
    <s v="User Not Mapped"/>
    <n v="341367"/>
    <s v="Girindra Nath Saha"/>
    <s v="Private Retailer"/>
    <s v="6296945903"/>
    <n v="2"/>
    <n v="128"/>
    <x v="4"/>
    <m/>
    <s v="2025-12-13"/>
    <s v="280732"/>
    <s v="M/S-MADHUSUDAN GHOSH"/>
    <s v="9434823432"/>
  </r>
  <r>
    <s v="RCF Trombay"/>
    <s v="N.C.Urea(45kg)"/>
    <s v="WB"/>
    <x v="17"/>
    <s v="Ranaghat - II"/>
    <s v="User Not Mapped"/>
    <s v="User Not Mapped"/>
    <s v="User Not Mapped"/>
    <n v="341367"/>
    <s v="Girindra Nath Saha"/>
    <s v="Private Retailer"/>
    <s v="6296945903"/>
    <n v="1.53"/>
    <n v="128"/>
    <x v="4"/>
    <m/>
    <s v="2025-12-13"/>
    <s v="280732"/>
    <s v="M/S-MADHUSUDAN GHOSH"/>
    <s v="9434823432"/>
  </r>
  <r>
    <s v="RCF Trombay"/>
    <s v="15-15-15"/>
    <s v="WB"/>
    <x v="17"/>
    <s v="Chapra"/>
    <s v="User Not Mapped"/>
    <s v="User Not Mapped"/>
    <s v="User Not Mapped"/>
    <n v="930777"/>
    <s v="M/S ANANDAMAY GHOSH"/>
    <s v="Private Retailer"/>
    <s v="9064360639"/>
    <n v="11.2"/>
    <n v="72"/>
    <x v="6"/>
    <m/>
    <s v="2026-02-07"/>
    <s v="280732"/>
    <s v="M/S-MADHUSUDAN GHOSH"/>
    <s v="9434823432"/>
  </r>
  <r>
    <s v="RCF Trombay"/>
    <s v="15-15-15"/>
    <s v="WB"/>
    <x v="17"/>
    <s v="Chapra"/>
    <s v="User Not Mapped"/>
    <s v="User Not Mapped"/>
    <s v="User Not Mapped"/>
    <n v="930777"/>
    <s v="M/S ANANDAMAY GHOSH"/>
    <s v="Private Retailer"/>
    <s v="9064360639"/>
    <n v="12"/>
    <n v="20"/>
    <x v="5"/>
    <m/>
    <s v="2026-03-31"/>
    <s v="280732"/>
    <s v="M/S-MADHUSUDAN GHOSH"/>
    <s v="9434823432"/>
  </r>
  <r>
    <s v="RCF Trombay"/>
    <s v="15-15-15"/>
    <s v="WB"/>
    <x v="17"/>
    <s v="Chapra"/>
    <s v="User Not Mapped"/>
    <s v="User Not Mapped"/>
    <s v="User Not Mapped"/>
    <n v="1391273"/>
    <s v="M/S BISWAJIT GHOSH"/>
    <s v="Private Retailer"/>
    <s v="9732638487"/>
    <n v="8.85"/>
    <n v="41"/>
    <x v="3"/>
    <m/>
    <s v="2026-03-10"/>
    <s v="280732"/>
    <s v="M/S-MADHUSUDAN GHOSH"/>
    <s v="9434823432"/>
  </r>
  <r>
    <s v="RCF Trombay"/>
    <s v="N.C.Urea(45kg)"/>
    <s v="WB"/>
    <x v="17"/>
    <s v="Hanskhali"/>
    <s v="User Not Mapped"/>
    <s v="User Not Mapped"/>
    <s v="User Not Mapped"/>
    <n v="1604314"/>
    <s v="M/S TAPASH PAUL "/>
    <s v="Private Retailer"/>
    <s v="8101903482"/>
    <n v="4.9950000000000001"/>
    <n v="171"/>
    <x v="4"/>
    <m/>
    <s v="2025-10-31"/>
    <s v="280732"/>
    <s v="M/S-MADHUSUDAN GHOSH"/>
    <s v="9434823432"/>
  </r>
  <r>
    <s v="RCF Trombay"/>
    <s v="15-15-15"/>
    <s v="WB"/>
    <x v="17"/>
    <s v="Hanskhali"/>
    <s v="User Not Mapped"/>
    <s v="User Not Mapped"/>
    <s v="User Not Mapped"/>
    <n v="1604314"/>
    <s v="M/S TAPASH PAUL "/>
    <s v="Private Retailer"/>
    <s v="8101903482"/>
    <n v="5"/>
    <n v="20"/>
    <x v="5"/>
    <m/>
    <s v="2026-03-31"/>
    <s v="280732"/>
    <s v="M/S-MADHUSUDAN GHOSH"/>
    <s v="9434823432"/>
  </r>
  <r>
    <s v="RCF Trombay"/>
    <s v="15-15-15"/>
    <s v="WB"/>
    <x v="17"/>
    <s v="Hanskhali"/>
    <s v="User Not Mapped"/>
    <s v="User Not Mapped"/>
    <s v="User Not Mapped"/>
    <n v="1604314"/>
    <s v="M/S TAPASH PAUL "/>
    <s v="Private Retailer"/>
    <s v="8101903482"/>
    <n v="2.6"/>
    <n v="148"/>
    <x v="4"/>
    <m/>
    <s v="2025-11-23"/>
    <s v="280732"/>
    <s v="M/S-MADHUSUDAN GHOSH"/>
    <s v="9434823432"/>
  </r>
  <r>
    <s v="RCF Thal"/>
    <s v="N.C.Urea(45kg)"/>
    <s v="WB"/>
    <x v="17"/>
    <s v="Hanskhali"/>
    <s v="User Not Mapped"/>
    <s v="User Not Mapped"/>
    <s v="User Not Mapped"/>
    <n v="341780"/>
    <s v="Madhusudan Karmakar"/>
    <s v="Private Retailer"/>
    <s v="7866968971"/>
    <n v="0.18"/>
    <n v="193"/>
    <x v="1"/>
    <m/>
    <s v="2025-10-09"/>
    <s v="280732"/>
    <s v="M/S-MADHUSUDAN GHOSH"/>
    <s v="9434823432"/>
  </r>
  <r>
    <s v="RCF Trombay"/>
    <s v="15-15-15"/>
    <s v="WB"/>
    <x v="17"/>
    <s v="Hanskhali"/>
    <s v="User Not Mapped"/>
    <s v="User Not Mapped"/>
    <s v="User Not Mapped"/>
    <n v="341780"/>
    <s v="Madhusudan Karmakar"/>
    <s v="Private Retailer"/>
    <s v="7866968971"/>
    <n v="0.65"/>
    <n v="148"/>
    <x v="4"/>
    <m/>
    <s v="2025-11-23"/>
    <s v="280732"/>
    <s v="M/S-MADHUSUDAN GHOSH"/>
    <s v="9434823432"/>
  </r>
  <r>
    <s v="RCF Thal"/>
    <s v="N.C.Urea(45kg)"/>
    <s v="WB"/>
    <x v="17"/>
    <s v="Hanskhali"/>
    <s v="User Not Mapped"/>
    <s v="User Not Mapped"/>
    <s v="User Not Mapped"/>
    <n v="341783"/>
    <s v="MS MAFUJA KHATUN MONDAL"/>
    <s v="Private Retailer"/>
    <s v="6294388460"/>
    <n v="0.27"/>
    <n v="193"/>
    <x v="1"/>
    <m/>
    <s v="2025-10-09"/>
    <s v="280732"/>
    <s v="M/S-MADHUSUDAN GHOSH"/>
    <s v="9434823432"/>
  </r>
  <r>
    <s v="RCF Trombay"/>
    <s v="15-15-15"/>
    <s v="WB"/>
    <x v="17"/>
    <s v="Hanskhali"/>
    <s v="User Not Mapped"/>
    <s v="User Not Mapped"/>
    <s v="User Not Mapped"/>
    <n v="341783"/>
    <s v="MS MAFUJA KHATUN MONDAL"/>
    <s v="Private Retailer"/>
    <s v="6294388460"/>
    <n v="2.2999999999999998"/>
    <n v="20"/>
    <x v="5"/>
    <m/>
    <s v="2026-03-31"/>
    <s v="280732"/>
    <s v="M/S-MADHUSUDAN GHOSH"/>
    <s v="9434823432"/>
  </r>
  <r>
    <s v="RCF Thal"/>
    <s v="N.C.Urea(45kg)"/>
    <s v="WB"/>
    <x v="17"/>
    <s v="Hanskhali"/>
    <s v="User Not Mapped"/>
    <s v="User Not Mapped"/>
    <s v="User Not Mapped"/>
    <n v="482600"/>
    <s v="MS SHYAMAPADA GHOSH"/>
    <s v="Private Retailer"/>
    <s v="8250168235"/>
    <n v="3.96"/>
    <n v="193"/>
    <x v="1"/>
    <m/>
    <s v="2025-10-09"/>
    <s v="280732"/>
    <s v="M/S-MADHUSUDAN GHOSH"/>
    <s v="9434823432"/>
  </r>
  <r>
    <s v="RCF Trombay"/>
    <s v="15-15-15"/>
    <s v="WB"/>
    <x v="17"/>
    <s v="Hanskhali"/>
    <s v="User Not Mapped"/>
    <s v="User Not Mapped"/>
    <s v="User Not Mapped"/>
    <n v="482600"/>
    <s v="MS SHYAMAPADA GHOSH"/>
    <s v="Private Retailer"/>
    <s v="8250168235"/>
    <n v="0.01"/>
    <n v="130"/>
    <x v="4"/>
    <m/>
    <s v="2025-12-11"/>
    <s v="280732"/>
    <s v="M/S-MADHUSUDAN GHOSH"/>
    <s v="9434823432"/>
  </r>
  <r>
    <s v="RCF Import"/>
    <s v="MOP"/>
    <s v="WB"/>
    <x v="17"/>
    <s v="Hanskhali"/>
    <s v="User Not Mapped"/>
    <s v="User Not Mapped"/>
    <s v="User Not Mapped"/>
    <n v="482600"/>
    <s v="MS SHYAMAPADA GHOSH"/>
    <s v="Private Retailer"/>
    <s v="8250168235"/>
    <n v="4.5999999999999996"/>
    <n v="394"/>
    <x v="0"/>
    <m/>
    <s v="2025-03-22"/>
    <s v="280732"/>
    <s v="M/S-MADHUSUDAN GHOSH"/>
    <s v="9434823432"/>
  </r>
  <r>
    <s v="RCF Trombay"/>
    <s v="N.C.Urea(45kg)"/>
    <s v="WB"/>
    <x v="17"/>
    <s v="Hanskhali"/>
    <s v="User Not Mapped"/>
    <s v="User Not Mapped"/>
    <s v="User Not Mapped"/>
    <n v="509952"/>
    <s v="MS SUSANTA PAUL"/>
    <s v="Private Retailer"/>
    <s v="7699390533"/>
    <n v="4.4999999999999998E-2"/>
    <n v="585"/>
    <x v="2"/>
    <m/>
    <s v="2024-09-12"/>
    <s v="280732"/>
    <s v="M/S-MADHUSUDAN GHOSH"/>
    <s v="9434823432"/>
  </r>
  <r>
    <s v="RCF Trombay"/>
    <s v="15-15-15"/>
    <s v="WB"/>
    <x v="17"/>
    <s v="Hanskhali"/>
    <s v="User Not Mapped"/>
    <s v="User Not Mapped"/>
    <s v="User Not Mapped"/>
    <n v="342009"/>
    <s v="Mukul Mallick"/>
    <s v="Private Retailer"/>
    <s v="9475921582"/>
    <n v="0.1"/>
    <n v="171"/>
    <x v="4"/>
    <m/>
    <s v="2025-10-31"/>
    <s v="280732"/>
    <s v="M/S-MADHUSUDAN GHOSH"/>
    <s v="9434823432"/>
  </r>
  <r>
    <s v="RCF Trombay"/>
    <s v="N.C.Urea(45kg)"/>
    <s v="WB"/>
    <x v="17"/>
    <s v="Ranaghat - II"/>
    <s v="User Not Mapped"/>
    <s v="User Not Mapped"/>
    <s v="User Not Mapped"/>
    <n v="610023"/>
    <s v="NAZRUL HOQUE MANDAL"/>
    <s v="Private Retailer"/>
    <s v="9609791395"/>
    <n v="4.9950000000000001"/>
    <n v="2"/>
    <x v="5"/>
    <m/>
    <s v="2026-04-18"/>
    <s v="280732"/>
    <s v="M/S-MADHUSUDAN GHOSH"/>
    <s v="9434823432"/>
  </r>
  <r>
    <s v="RCF Import"/>
    <s v="MOP"/>
    <s v="WB"/>
    <x v="17"/>
    <s v="Hanskhali"/>
    <s v="User Not Mapped"/>
    <s v="User Not Mapped"/>
    <s v="User Not Mapped"/>
    <n v="342081"/>
    <s v="Nikhil Ch. Majumder"/>
    <s v="Private Retailer"/>
    <s v="7478899401"/>
    <n v="0.05"/>
    <n v="394"/>
    <x v="0"/>
    <m/>
    <s v="2025-03-22"/>
    <s v="280732"/>
    <s v="M/S-MADHUSUDAN GHOSH"/>
    <s v="9434823432"/>
  </r>
  <r>
    <s v="RCF Trombay"/>
    <s v="15-15-15"/>
    <s v="WB"/>
    <x v="17"/>
    <s v="Hanskhali"/>
    <s v="User Not Mapped"/>
    <s v="User Not Mapped"/>
    <s v="User Not Mapped"/>
    <n v="342081"/>
    <s v="Nikhil Ch. Majumder"/>
    <s v="Private Retailer"/>
    <s v="7478899401"/>
    <n v="0.4"/>
    <n v="71"/>
    <x v="6"/>
    <m/>
    <s v="2026-02-08"/>
    <s v="280732"/>
    <s v="M/S-MADHUSUDAN GHOSH"/>
    <s v="9434823432"/>
  </r>
  <r>
    <s v="RCF Trombay"/>
    <s v="15-15-15"/>
    <s v="WB"/>
    <x v="17"/>
    <s v="Hanskhali"/>
    <s v="User Not Mapped"/>
    <s v="User Not Mapped"/>
    <s v="User Not Mapped"/>
    <n v="342081"/>
    <s v="Nikhil Ch. Majumder"/>
    <s v="Private Retailer"/>
    <s v="7478899401"/>
    <n v="6"/>
    <n v="20"/>
    <x v="5"/>
    <m/>
    <s v="2026-03-31"/>
    <s v="280732"/>
    <s v="M/S-MADHUSUDAN GHOSH"/>
    <s v="9434823432"/>
  </r>
  <r>
    <s v="RCF Thal"/>
    <s v="N.C.Urea(45kg)"/>
    <s v="WB"/>
    <x v="17"/>
    <s v="Hanskhali"/>
    <s v="User Not Mapped"/>
    <s v="User Not Mapped"/>
    <s v="User Not Mapped"/>
    <n v="750348"/>
    <s v="PRAMANICK FERTILIZER"/>
    <s v="Private Retailer"/>
    <s v="8597750555"/>
    <n v="10.98"/>
    <n v="8"/>
    <x v="5"/>
    <m/>
    <s v="2026-04-12"/>
    <s v="280732"/>
    <s v="M/S-MADHUSUDAN GHOSH"/>
    <s v="9434823432"/>
  </r>
  <r>
    <s v="RCF Trombay"/>
    <s v="15-15-15"/>
    <s v="WB"/>
    <x v="17"/>
    <s v="Ranaghat - II"/>
    <s v="User Not Mapped"/>
    <s v="User Not Mapped"/>
    <s v="User Not Mapped"/>
    <n v="342692"/>
    <s v="Robiul Hassan Mondal"/>
    <s v="Private Retailer"/>
    <s v="9775265646"/>
    <n v="3"/>
    <n v="20"/>
    <x v="5"/>
    <m/>
    <s v="2026-03-31"/>
    <s v="280732"/>
    <s v="M/S-MADHUSUDAN GHOSH"/>
    <s v="9434823432"/>
  </r>
  <r>
    <s v="RCF Thal"/>
    <s v="N.C.Urea(45kg)"/>
    <s v="WB"/>
    <x v="17"/>
    <s v="Ranaghat - II"/>
    <s v="User Not Mapped"/>
    <s v="User Not Mapped"/>
    <s v="User Not Mapped"/>
    <n v="1537841"/>
    <s v="SRIKRISHNA FERTILIZER"/>
    <s v="Private Retailer"/>
    <s v="9832016515"/>
    <n v="2.16"/>
    <n v="193"/>
    <x v="1"/>
    <m/>
    <s v="2025-10-09"/>
    <s v="280732"/>
    <s v="M/S-MADHUSUDAN GHOSH"/>
    <s v="9434823432"/>
  </r>
  <r>
    <s v="RCF Trombay"/>
    <s v="15-15-15"/>
    <s v="WB"/>
    <x v="17"/>
    <s v="Karimpur - I"/>
    <s v="User Not Mapped"/>
    <s v="User Not Mapped"/>
    <s v="User Not Mapped"/>
    <n v="340738"/>
    <s v="Ajoy Das Bairagya"/>
    <s v="Private Retailer"/>
    <s v="9593147058"/>
    <n v="0.55000000000000004"/>
    <n v="702"/>
    <x v="2"/>
    <m/>
    <s v="2024-05-18"/>
    <s v="888407"/>
    <s v="MAA FERTILIZER"/>
    <s v="9800042039"/>
  </r>
  <r>
    <s v="RCF Trombay"/>
    <s v="15-15-15"/>
    <s v="WB"/>
    <x v="17"/>
    <s v="Karimpur - I"/>
    <s v="User Not Mapped"/>
    <s v="User Not Mapped"/>
    <s v="User Not Mapped"/>
    <n v="340788"/>
    <s v="Amit  Mondal"/>
    <s v="Private Retailer"/>
    <s v="9564383858"/>
    <n v="1.4"/>
    <n v="79"/>
    <x v="6"/>
    <m/>
    <s v="2026-01-31"/>
    <s v="888407"/>
    <s v="MAA FERTILIZER"/>
    <s v="9800042039"/>
  </r>
  <r>
    <s v="RCF Trombay"/>
    <s v="15-15-15"/>
    <s v="WB"/>
    <x v="17"/>
    <s v="Karimpur - II"/>
    <s v="User Not Mapped"/>
    <s v="User Not Mapped"/>
    <s v="User Not Mapped"/>
    <n v="340812"/>
    <s v="Anarul Islam Halsana"/>
    <s v="Private Retailer"/>
    <s v="9775547904"/>
    <n v="2.8"/>
    <n v="79"/>
    <x v="6"/>
    <m/>
    <s v="2026-01-31"/>
    <s v="888407"/>
    <s v="MAA FERTILIZER"/>
    <s v="9800042039"/>
  </r>
  <r>
    <s v="RCF Trombay"/>
    <s v="15-15-15"/>
    <s v="WB"/>
    <x v="17"/>
    <s v="Karimpur - I"/>
    <s v="User Not Mapped"/>
    <s v="User Not Mapped"/>
    <s v="User Not Mapped"/>
    <n v="920027"/>
    <s v="ANIMESH BISWAS"/>
    <s v="Private Retailer"/>
    <s v="7585999027"/>
    <n v="1.75"/>
    <n v="173"/>
    <x v="4"/>
    <m/>
    <s v="2025-10-29"/>
    <s v="888407"/>
    <s v="MAA FERTILIZER"/>
    <s v="9800042039"/>
  </r>
  <r>
    <s v="RCF Import"/>
    <s v="Imp 10-26-26"/>
    <s v="WB"/>
    <x v="17"/>
    <s v="Karimpur - I"/>
    <s v="User Not Mapped"/>
    <s v="User Not Mapped"/>
    <s v="User Not Mapped"/>
    <n v="635295"/>
    <s v="ASRAFUL KHAN"/>
    <s v="Private Retailer"/>
    <s v="9732551119"/>
    <n v="1.6"/>
    <n v="37"/>
    <x v="3"/>
    <m/>
    <s v="2026-03-14"/>
    <s v="888407"/>
    <s v="MAA FERTILIZER"/>
    <s v="9800042039"/>
  </r>
  <r>
    <s v="RCF Trombay"/>
    <s v="15-15-15"/>
    <s v="WB"/>
    <x v="17"/>
    <s v="Karimpur - I"/>
    <s v="User Not Mapped"/>
    <s v="User Not Mapped"/>
    <s v="User Not Mapped"/>
    <n v="635295"/>
    <s v="ASRAFUL KHAN"/>
    <s v="Private Retailer"/>
    <s v="9732551119"/>
    <n v="0.3"/>
    <n v="144"/>
    <x v="4"/>
    <m/>
    <s v="2025-11-27"/>
    <s v="888407"/>
    <s v="MAA FERTILIZER"/>
    <s v="9800042039"/>
  </r>
  <r>
    <s v="RCF Trombay"/>
    <s v="15-15-15"/>
    <s v="WB"/>
    <x v="17"/>
    <s v="Karimpur - II"/>
    <s v="User Not Mapped"/>
    <s v="User Not Mapped"/>
    <s v="User Not Mapped"/>
    <n v="589079"/>
    <s v="ASRAFUL SEKH"/>
    <s v="Private Retailer"/>
    <s v="7797020543"/>
    <n v="7.6"/>
    <n v="114"/>
    <x v="7"/>
    <m/>
    <s v="2025-12-27"/>
    <s v="888407"/>
    <s v="MAA FERTILIZER"/>
    <s v="9800042039"/>
  </r>
  <r>
    <s v="RCF Trombay"/>
    <s v="15-15-15"/>
    <s v="WB"/>
    <x v="17"/>
    <s v="Karimpur - I"/>
    <s v="User Not Mapped"/>
    <s v="User Not Mapped"/>
    <s v="User Not Mapped"/>
    <n v="531884"/>
    <s v="Avijit Biswas"/>
    <s v="Private Retailer"/>
    <s v="9732735921"/>
    <n v="2.5"/>
    <n v="79"/>
    <x v="6"/>
    <m/>
    <s v="2026-01-31"/>
    <s v="888407"/>
    <s v="MAA FERTILIZER"/>
    <s v="9800042039"/>
  </r>
  <r>
    <s v="RCF Trombay"/>
    <s v="15-15-15"/>
    <s v="WB"/>
    <x v="17"/>
    <s v="Karimpur - I"/>
    <s v="User Not Mapped"/>
    <s v="User Not Mapped"/>
    <s v="User Not Mapped"/>
    <n v="759575"/>
    <s v="BIKASH MISTRY"/>
    <s v="Private Retailer"/>
    <s v="9732825875"/>
    <n v="0.05"/>
    <n v="173"/>
    <x v="4"/>
    <m/>
    <s v="2025-10-29"/>
    <s v="888407"/>
    <s v="MAA FERTILIZER"/>
    <s v="9800042039"/>
  </r>
  <r>
    <s v="RCF Trombay"/>
    <s v="15-15-15"/>
    <s v="WB"/>
    <x v="17"/>
    <s v="Karimpur - I"/>
    <s v="User Not Mapped"/>
    <s v="User Not Mapped"/>
    <s v="User Not Mapped"/>
    <n v="1004373"/>
    <s v="BIKASH PRAMANIK"/>
    <s v="Private Retailer"/>
    <s v="9735632610"/>
    <n v="0.3"/>
    <n v="173"/>
    <x v="4"/>
    <m/>
    <s v="2025-10-29"/>
    <s v="888407"/>
    <s v="MAA FERTILIZER"/>
    <s v="9800042039"/>
  </r>
  <r>
    <s v="RCF Trombay"/>
    <s v="15-15-15"/>
    <s v="WB"/>
    <x v="17"/>
    <s v="Karimpur - I"/>
    <s v="User Not Mapped"/>
    <s v="User Not Mapped"/>
    <s v="User Not Mapped"/>
    <n v="635325"/>
    <s v="HIMANGSHU GHOSH"/>
    <s v="Private Retailer"/>
    <s v="9564535998"/>
    <n v="0.2"/>
    <n v="205"/>
    <x v="1"/>
    <m/>
    <s v="2025-09-27"/>
    <s v="888407"/>
    <s v="MAA FERTILIZER"/>
    <s v="9800042039"/>
  </r>
  <r>
    <s v="RCF Trombay"/>
    <s v="15-15-15"/>
    <s v="WB"/>
    <x v="17"/>
    <s v="Karimpur - I"/>
    <s v="User Not Mapped"/>
    <s v="User Not Mapped"/>
    <s v="User Not Mapped"/>
    <n v="1004353"/>
    <s v="KIRITI ROY"/>
    <s v="Private Retailer"/>
    <s v="9647333552"/>
    <n v="0.21"/>
    <n v="205"/>
    <x v="1"/>
    <m/>
    <s v="2025-09-27"/>
    <s v="888407"/>
    <s v="MAA FERTILIZER"/>
    <s v="9800042039"/>
  </r>
  <r>
    <s v="RCF Trombay"/>
    <s v="15-15-15"/>
    <s v="WB"/>
    <x v="17"/>
    <s v="Krishnagar - I"/>
    <s v="User Not Mapped"/>
    <s v="User Not Mapped"/>
    <s v="User Not Mapped"/>
    <n v="1258420"/>
    <s v="M.A.C COMPANY"/>
    <s v="Private Wholsaler"/>
    <s v="9433152053"/>
    <n v="5"/>
    <n v="13"/>
    <x v="5"/>
    <s v="'1556'"/>
    <s v="2026-04-07"/>
    <s v="888407"/>
    <s v="MAA FERTILIZER"/>
    <s v="9800042039"/>
  </r>
  <r>
    <s v="RCF Trombay"/>
    <s v="15-15-15"/>
    <s v="WB"/>
    <x v="17"/>
    <s v="Karimpur - I"/>
    <s v="User Not Mapped"/>
    <s v="User Not Mapped"/>
    <s v="User Not Mapped"/>
    <n v="517972"/>
    <s v="M/S Sanjoy Dey"/>
    <s v="Private Retailer"/>
    <s v="9734760437"/>
    <n v="0.7"/>
    <n v="689"/>
    <x v="2"/>
    <m/>
    <s v="2024-05-31"/>
    <s v="888407"/>
    <s v="MAA FERTILIZER"/>
    <s v="9800042039"/>
  </r>
  <r>
    <s v="RCF Import"/>
    <s v="Imp 10-26-26"/>
    <s v="WB"/>
    <x v="17"/>
    <s v="Karimpur - II"/>
    <s v="User Not Mapped"/>
    <s v="User Not Mapped"/>
    <s v="User Not Mapped"/>
    <n v="888407"/>
    <s v="MAA FERTILIZER"/>
    <s v="Private Wholsaler"/>
    <s v="9800042039"/>
    <n v="7"/>
    <n v="13"/>
    <x v="5"/>
    <s v="'1552'"/>
    <s v="2026-04-07"/>
    <s v="281704"/>
    <s v="Maa Fertilizer"/>
    <s v="9800042039"/>
  </r>
  <r>
    <s v="RCF Trombay"/>
    <s v="15-15-15"/>
    <s v="WB"/>
    <x v="17"/>
    <s v="Karimpur - II"/>
    <s v="User Not Mapped"/>
    <s v="User Not Mapped"/>
    <s v="User Not Mapped"/>
    <n v="888407"/>
    <s v="MAA FERTILIZER"/>
    <s v="Private Wholsaler"/>
    <s v="9800042039"/>
    <n v="9"/>
    <n v="13"/>
    <x v="5"/>
    <s v="'1549'"/>
    <s v="2026-04-07"/>
    <s v="281704"/>
    <s v="Maa Fertilizer"/>
    <s v="9800042039"/>
  </r>
  <r>
    <s v="RCF Import"/>
    <s v="Imp 10-26-26"/>
    <s v="WB"/>
    <x v="17"/>
    <s v="Karimpur - II"/>
    <s v="User Not Mapped"/>
    <s v="User Not Mapped"/>
    <s v="User Not Mapped"/>
    <n v="888407"/>
    <s v="MAA FERTILIZER"/>
    <s v="Private Wholsaler"/>
    <s v="9800042039"/>
    <n v="0.5"/>
    <n v="55"/>
    <x v="3"/>
    <s v="'1526'"/>
    <s v="2026-02-24"/>
    <s v="281704"/>
    <s v="Maa Fertilizer"/>
    <s v="9800042039"/>
  </r>
  <r>
    <s v="RCF Trombay"/>
    <s v="15-15-15"/>
    <s v="WB"/>
    <x v="17"/>
    <s v="Karimpur - I"/>
    <s v="User Not Mapped"/>
    <s v="User Not Mapped"/>
    <s v="User Not Mapped"/>
    <n v="411638"/>
    <s v="Manotosh Biswas"/>
    <s v="Private Retailer"/>
    <s v="9775159802"/>
    <n v="0.65"/>
    <n v="205"/>
    <x v="1"/>
    <m/>
    <s v="2025-09-27"/>
    <s v="888407"/>
    <s v="MAA FERTILIZER"/>
    <s v="9800042039"/>
  </r>
  <r>
    <s v="RCF Trombay"/>
    <s v="15-15-15"/>
    <s v="WB"/>
    <x v="17"/>
    <s v="Tehatta - I"/>
    <s v="User Not Mapped"/>
    <s v="User Not Mapped"/>
    <s v="User Not Mapped"/>
    <n v="548867"/>
    <s v="Matilal Biswas"/>
    <s v="Private Retailer"/>
    <s v="9732938140"/>
    <n v="8.8000000000000007"/>
    <n v="171"/>
    <x v="4"/>
    <m/>
    <s v="2025-10-31"/>
    <s v="888407"/>
    <s v="MAA FERTILIZER"/>
    <s v="9800042039"/>
  </r>
  <r>
    <s v="RCF Trombay"/>
    <s v="15-15-15"/>
    <s v="WB"/>
    <x v="17"/>
    <s v="Karimpur - II"/>
    <s v="User Not Mapped"/>
    <s v="User Not Mapped"/>
    <s v="User Not Mapped"/>
    <n v="1132987"/>
    <s v="MONOTOSH PAL"/>
    <s v="Private Retailer"/>
    <s v="9734604125"/>
    <n v="0.2"/>
    <n v="122"/>
    <x v="4"/>
    <m/>
    <s v="2025-12-19"/>
    <s v="888407"/>
    <s v="MAA FERTILIZER"/>
    <s v="9800042039"/>
  </r>
  <r>
    <s v="RCF Trombay"/>
    <s v="15-15-15"/>
    <s v="WB"/>
    <x v="17"/>
    <s v="Tehatta - I"/>
    <s v="User Not Mapped"/>
    <s v="User Not Mapped"/>
    <s v="User Not Mapped"/>
    <n v="411618"/>
    <s v="MS KRISHI BIPLAB"/>
    <s v="Private Retailer"/>
    <s v="9609002824"/>
    <n v="3.65"/>
    <n v="114"/>
    <x v="7"/>
    <m/>
    <s v="2025-12-27"/>
    <s v="888407"/>
    <s v="MAA FERTILIZER"/>
    <s v="9800042039"/>
  </r>
  <r>
    <s v="RCF Trombay"/>
    <s v="15-15-15"/>
    <s v="WB"/>
    <x v="17"/>
    <s v="Tehatta - I"/>
    <s v="User Not Mapped"/>
    <s v="User Not Mapped"/>
    <s v="User Not Mapped"/>
    <n v="413582"/>
    <s v="MS SARGHAR"/>
    <s v="Private Retailer"/>
    <s v="9734505468"/>
    <n v="4.05"/>
    <n v="114"/>
    <x v="7"/>
    <m/>
    <s v="2025-12-27"/>
    <s v="888407"/>
    <s v="MAA FERTILIZER"/>
    <s v="9800042039"/>
  </r>
  <r>
    <s v="RCF Trombay"/>
    <s v="15-15-15"/>
    <s v="WB"/>
    <x v="17"/>
    <s v="Tehatta - I"/>
    <s v="User Not Mapped"/>
    <s v="User Not Mapped"/>
    <s v="User Not Mapped"/>
    <n v="413582"/>
    <s v="MS SARGHAR"/>
    <s v="Private Retailer"/>
    <s v="9734505468"/>
    <n v="7"/>
    <n v="79"/>
    <x v="6"/>
    <m/>
    <s v="2026-01-31"/>
    <s v="888407"/>
    <s v="MAA FERTILIZER"/>
    <s v="9800042039"/>
  </r>
  <r>
    <s v="RCF Trombay"/>
    <s v="15-15-15"/>
    <s v="WB"/>
    <x v="17"/>
    <s v="Karimpur - I"/>
    <s v="User Not Mapped"/>
    <s v="User Not Mapped"/>
    <s v="User Not Mapped"/>
    <n v="1062430"/>
    <s v="NABA KUMAR GHOSH"/>
    <s v="Private Retailer"/>
    <s v="9735299354"/>
    <n v="0.2"/>
    <n v="525"/>
    <x v="0"/>
    <m/>
    <s v="2024-11-11"/>
    <s v="888407"/>
    <s v="MAA FERTILIZER"/>
    <s v="9800042039"/>
  </r>
  <r>
    <s v="RCF Trombay"/>
    <s v="15-15-15"/>
    <s v="WB"/>
    <x v="17"/>
    <s v="Karimpur - I"/>
    <s v="User Not Mapped"/>
    <s v="User Not Mapped"/>
    <s v="User Not Mapped"/>
    <n v="387455"/>
    <s v="Niharendu Saha"/>
    <s v="Private Retailer"/>
    <s v="8918645244"/>
    <n v="9.8000000000000007"/>
    <n v="103"/>
    <x v="7"/>
    <m/>
    <s v="2026-01-07"/>
    <s v="888407"/>
    <s v="MAA FERTILIZER"/>
    <s v="9800042039"/>
  </r>
  <r>
    <s v="RCF Trombay"/>
    <s v="15-15-15"/>
    <s v="WB"/>
    <x v="17"/>
    <s v="Karimpur - II"/>
    <s v="User Not Mapped"/>
    <s v="User Not Mapped"/>
    <s v="User Not Mapped"/>
    <n v="1062693"/>
    <s v="NIKHIL KUMAR MANDAL"/>
    <s v="Private Retailer"/>
    <s v="7407039283"/>
    <n v="3.4"/>
    <n v="79"/>
    <x v="6"/>
    <m/>
    <s v="2026-01-31"/>
    <s v="888407"/>
    <s v="MAA FERTILIZER"/>
    <s v="9800042039"/>
  </r>
  <r>
    <s v="RCF Trombay"/>
    <s v="15-15-15"/>
    <s v="WB"/>
    <x v="17"/>
    <s v="Karimpur - II"/>
    <s v="User Not Mapped"/>
    <s v="User Not Mapped"/>
    <s v="User Not Mapped"/>
    <n v="410990"/>
    <s v="Pabitra Kumar Biswas"/>
    <s v="Private Retailer"/>
    <s v="9735420907"/>
    <n v="2.5"/>
    <n v="702"/>
    <x v="2"/>
    <m/>
    <s v="2024-05-18"/>
    <s v="888407"/>
    <s v="MAA FERTILIZER"/>
    <s v="9800042039"/>
  </r>
  <r>
    <s v="RCF Trombay"/>
    <s v="15-15-15"/>
    <s v="WB"/>
    <x v="17"/>
    <s v="Karimpur - I"/>
    <s v="User Not Mapped"/>
    <s v="User Not Mapped"/>
    <s v="User Not Mapped"/>
    <n v="920958"/>
    <s v="RAKESH SAHA"/>
    <s v="Private Retailer"/>
    <s v="9647155067"/>
    <n v="0.65"/>
    <n v="525"/>
    <x v="0"/>
    <m/>
    <s v="2024-11-11"/>
    <s v="888407"/>
    <s v="MAA FERTILIZER"/>
    <s v="9800042039"/>
  </r>
  <r>
    <s v="RCF Trombay"/>
    <s v="15-15-15"/>
    <s v="WB"/>
    <x v="17"/>
    <s v="Karimpur - I"/>
    <s v="User Not Mapped"/>
    <s v="User Not Mapped"/>
    <s v="User Not Mapped"/>
    <n v="356372"/>
    <s v="Sonatan Mondal "/>
    <s v="Private Retailer"/>
    <s v="9679322287"/>
    <n v="0.5"/>
    <n v="173"/>
    <x v="4"/>
    <m/>
    <s v="2025-10-29"/>
    <s v="888407"/>
    <s v="MAA FERTILIZER"/>
    <s v="9800042039"/>
  </r>
  <r>
    <s v="RCF Trombay"/>
    <s v="15-15-15"/>
    <s v="WB"/>
    <x v="17"/>
    <s v="Karimpur - I"/>
    <s v="User Not Mapped"/>
    <s v="User Not Mapped"/>
    <s v="User Not Mapped"/>
    <n v="1368110"/>
    <s v="SUMAN MANDAL"/>
    <s v="Private Retailer"/>
    <s v="7699402273"/>
    <n v="0.05"/>
    <n v="263"/>
    <x v="1"/>
    <m/>
    <s v="2025-07-31"/>
    <s v="888407"/>
    <s v="MAA FERTILIZER"/>
    <s v="9800042039"/>
  </r>
  <r>
    <s v="RCF Trombay"/>
    <s v="15-15-15"/>
    <s v="WB"/>
    <x v="17"/>
    <s v="Karimpur - I"/>
    <s v="User Not Mapped"/>
    <s v="User Not Mapped"/>
    <s v="User Not Mapped"/>
    <n v="356386"/>
    <s v="Suresh Ch. Mondal and Sons"/>
    <s v="Private Retailer"/>
    <s v="9732557103"/>
    <n v="5"/>
    <n v="79"/>
    <x v="6"/>
    <m/>
    <s v="2026-01-31"/>
    <s v="888407"/>
    <s v="MAA FERTILIZER"/>
    <s v="9800042039"/>
  </r>
  <r>
    <s v="RCF Trombay"/>
    <s v="15-15-15"/>
    <s v="WB"/>
    <x v="17"/>
    <s v="Karimpur - I"/>
    <s v="User Not Mapped"/>
    <s v="User Not Mapped"/>
    <s v="User Not Mapped"/>
    <n v="356386"/>
    <s v="Suresh Ch. Mondal and Sons"/>
    <s v="Private Retailer"/>
    <s v="9732557103"/>
    <n v="1.6"/>
    <n v="205"/>
    <x v="1"/>
    <m/>
    <s v="2025-09-27"/>
    <s v="888407"/>
    <s v="MAA FERTILIZER"/>
    <s v="9800042039"/>
  </r>
  <r>
    <s v="RCF Trombay"/>
    <s v="15-15-15"/>
    <s v="WB"/>
    <x v="17"/>
    <s v="Karimpur - I"/>
    <s v="User Not Mapped"/>
    <s v="User Not Mapped"/>
    <s v="User Not Mapped"/>
    <n v="387479"/>
    <s v="Swapan Kr Mondal"/>
    <s v="Private Retailer"/>
    <s v="9732628673"/>
    <n v="2.35"/>
    <n v="205"/>
    <x v="1"/>
    <m/>
    <s v="2025-09-27"/>
    <s v="888407"/>
    <s v="MAA FERTILIZER"/>
    <s v="9800042039"/>
  </r>
  <r>
    <s v="RCF Trombay"/>
    <s v="15-15-15"/>
    <s v="WB"/>
    <x v="17"/>
    <s v="Karimpur - I"/>
    <s v="User Not Mapped"/>
    <s v="User Not Mapped"/>
    <s v="User Not Mapped"/>
    <n v="243928"/>
    <s v="Tarapur Skus Ltd"/>
    <s v="PACS"/>
    <s v="9733143363"/>
    <n v="7"/>
    <n v="137"/>
    <x v="4"/>
    <m/>
    <s v="2025-12-04"/>
    <s v="888407"/>
    <s v="MAA FERTILIZER"/>
    <s v="9800042039"/>
  </r>
  <r>
    <s v="RCF Trombay"/>
    <s v="15-15-15"/>
    <s v="WB"/>
    <x v="17"/>
    <s v="Tehatta - I"/>
    <s v="User Not Mapped"/>
    <s v="User Not Mapped"/>
    <s v="User Not Mapped"/>
    <n v="463331"/>
    <s v="Tarun Kr"/>
    <s v="Private Retailer"/>
    <s v="9775105047"/>
    <n v="4"/>
    <n v="79"/>
    <x v="6"/>
    <m/>
    <s v="2026-01-31"/>
    <s v="888407"/>
    <s v="MAA FERTILIZER"/>
    <s v="9800042039"/>
  </r>
  <r>
    <s v="RCF Trombay"/>
    <s v="15-15-15"/>
    <s v="WB"/>
    <x v="17"/>
    <s v="Tehatta - I"/>
    <s v="User Not Mapped"/>
    <s v="User Not Mapped"/>
    <s v="User Not Mapped"/>
    <n v="463331"/>
    <s v="Tarun Kr"/>
    <s v="Private Retailer"/>
    <s v="9775105047"/>
    <n v="0.15"/>
    <n v="268"/>
    <x v="1"/>
    <m/>
    <s v="2025-07-26"/>
    <s v="888407"/>
    <s v="MAA FERTILIZER"/>
    <s v="9800042039"/>
  </r>
  <r>
    <s v="RCF Trombay"/>
    <s v="15-15-15"/>
    <s v="WB"/>
    <x v="17"/>
    <s v="Karimpur - II"/>
    <s v="User Not Mapped"/>
    <s v="User Not Mapped"/>
    <s v="User Not Mapped"/>
    <n v="635359"/>
    <s v="TOTON BISWAS"/>
    <s v="Private Retailer"/>
    <s v="9563706577"/>
    <n v="4"/>
    <n v="79"/>
    <x v="6"/>
    <m/>
    <s v="2026-01-31"/>
    <s v="888407"/>
    <s v="MAA FERTILIZER"/>
    <s v="9800042039"/>
  </r>
  <r>
    <s v="RCF Trombay"/>
    <s v="15-15-15"/>
    <s v="WB"/>
    <x v="17"/>
    <s v="Karimpur - I"/>
    <s v="User Not Mapped"/>
    <s v="User Not Mapped"/>
    <s v="User Not Mapped"/>
    <n v="531892"/>
    <s v="Utpal Joarder "/>
    <s v="Private Retailer"/>
    <s v="9732980642"/>
    <n v="0.3"/>
    <n v="689"/>
    <x v="2"/>
    <m/>
    <s v="2024-05-31"/>
    <s v="888407"/>
    <s v="MAA FERTILIZER"/>
    <s v="9800042039"/>
  </r>
  <r>
    <s v="RCF Trombay"/>
    <s v="15-15-15"/>
    <s v="WB"/>
    <x v="17"/>
    <s v="Karimpur - I"/>
    <s v="User Not Mapped"/>
    <s v="User Not Mapped"/>
    <s v="User Not Mapped"/>
    <n v="531892"/>
    <s v="Utpal Joarder "/>
    <s v="Private Retailer"/>
    <s v="9732980642"/>
    <n v="5"/>
    <n v="137"/>
    <x v="4"/>
    <m/>
    <s v="2025-12-04"/>
    <s v="888407"/>
    <s v="MAA FERTILIZER"/>
    <s v="9800042039"/>
  </r>
  <r>
    <s v="RCF Import"/>
    <s v="Imp 10-26-26"/>
    <s v="WB"/>
    <x v="17"/>
    <s v="Karimpur - I"/>
    <s v="User Not Mapped"/>
    <s v="User Not Mapped"/>
    <s v="User Not Mapped"/>
    <n v="342776"/>
    <s v="Uttam  Kumar  Das"/>
    <s v="Private Retailer"/>
    <s v="9733656210"/>
    <n v="3"/>
    <n v="37"/>
    <x v="3"/>
    <m/>
    <s v="2026-03-14"/>
    <s v="888407"/>
    <s v="MAA FERTILIZER"/>
    <s v="9800042039"/>
  </r>
  <r>
    <s v="RCF Import"/>
    <s v="Imp 10-26-26"/>
    <s v="WB"/>
    <x v="17"/>
    <s v="Karimpur - I"/>
    <s v="User Not Mapped"/>
    <s v="User Not Mapped"/>
    <s v="User Not Mapped"/>
    <n v="342776"/>
    <s v="Uttam  Kumar  Das"/>
    <s v="Private Retailer"/>
    <s v="9733656210"/>
    <n v="0.6"/>
    <n v="293"/>
    <x v="1"/>
    <m/>
    <s v="2025-07-01"/>
    <s v="888407"/>
    <s v="MAA FERTILIZER"/>
    <s v="9800042039"/>
  </r>
  <r>
    <s v="RCF Thal"/>
    <s v="N.C.Urea(45kg)"/>
    <s v="WB"/>
    <x v="17"/>
    <m/>
    <s v="User Not Mapped"/>
    <s v="User Not Mapped"/>
    <s v="User Not Mapped"/>
    <n v="1107796"/>
    <s v="M/S DHAKI FERTILIZER"/>
    <s v="Private Retailer"/>
    <s v="8670144428"/>
    <n v="0.22500000000000001"/>
    <n v="1897"/>
    <x v="2"/>
    <m/>
    <s v="2021-02-08"/>
    <s v="260198"/>
    <s v="Maa Tara Agril Centre"/>
    <s v="9153011426"/>
  </r>
  <r>
    <s v="RCF Thal"/>
    <s v="N.C.Urea(45kg)"/>
    <s v="WB"/>
    <x v="17"/>
    <m/>
    <s v="User Not Mapped"/>
    <s v="User Not Mapped"/>
    <s v="User Not Mapped"/>
    <n v="1092038"/>
    <s v="M/S KRISHI PRAGATI PROP SALIM "/>
    <s v="Private Retailer"/>
    <s v="7407359889"/>
    <n v="4.9950000000000001"/>
    <n v="2298"/>
    <x v="2"/>
    <m/>
    <s v="2020-01-04"/>
    <s v="260198"/>
    <s v="Maa Tara Agril Centre"/>
    <s v="9153011426"/>
  </r>
  <r>
    <s v="RCF Thal"/>
    <s v="N.C.Urea(45kg)"/>
    <s v="WB"/>
    <x v="17"/>
    <m/>
    <s v="User Not Mapped"/>
    <s v="User Not Mapped"/>
    <s v="User Not Mapped"/>
    <n v="1063096"/>
    <s v="NUR FERTILIZER "/>
    <s v="Private Retailer"/>
    <s v="9547052034"/>
    <n v="0.28499999999999998"/>
    <n v="1804"/>
    <x v="2"/>
    <m/>
    <s v="2021-05-12"/>
    <s v="260198"/>
    <s v="Maa Tara Agril Centre"/>
    <s v="9153011426"/>
  </r>
  <r>
    <s v="RCF Trombay"/>
    <s v="N.C.Urea(45kg)"/>
    <s v="WB"/>
    <x v="17"/>
    <m/>
    <s v="User Not Mapped"/>
    <s v="User Not Mapped"/>
    <s v="User Not Mapped"/>
    <n v="1063096"/>
    <s v="NUR FERTILIZER "/>
    <s v="Private Retailer"/>
    <s v="9547052034"/>
    <n v="0.03"/>
    <n v="2328"/>
    <x v="2"/>
    <m/>
    <s v="2019-12-05"/>
    <s v="826235"/>
    <s v="MAHADEB DAS"/>
    <s v="9932210665"/>
  </r>
  <r>
    <s v="RCF Trombay"/>
    <s v="N.C.Urea(45kg)"/>
    <s v="WB"/>
    <x v="17"/>
    <s v="Haringhata"/>
    <s v="User Not Mapped"/>
    <s v="User Not Mapped"/>
    <s v="User Not Mapped"/>
    <n v="340765"/>
    <s v="Alok Kr. Ghosh"/>
    <s v="Private Retailer"/>
    <s v="9735567838"/>
    <n v="2.4750000000000001"/>
    <n v="93"/>
    <x v="7"/>
    <m/>
    <s v="2026-01-17"/>
    <s v="214222"/>
    <s v="Mahamaya Enterprise"/>
    <s v="8348217174"/>
  </r>
  <r>
    <s v="RCF Trombay"/>
    <s v="N.C.Urea(45kg)"/>
    <s v="WB"/>
    <x v="17"/>
    <s v="Haringhata"/>
    <s v="User Not Mapped"/>
    <s v="User Not Mapped"/>
    <s v="User Not Mapped"/>
    <n v="340765"/>
    <s v="Alok Kr. Ghosh"/>
    <s v="Private Retailer"/>
    <s v="9735567838"/>
    <n v="3.0150000000000001"/>
    <n v="55"/>
    <x v="3"/>
    <m/>
    <s v="2026-02-24"/>
    <s v="214222"/>
    <s v="Mahamaya Enterprise"/>
    <s v="8348217174"/>
  </r>
  <r>
    <s v="RCF Trombay"/>
    <s v="15-15-15"/>
    <s v="WB"/>
    <x v="17"/>
    <s v="Haringhata"/>
    <s v="User Not Mapped"/>
    <s v="User Not Mapped"/>
    <s v="User Not Mapped"/>
    <n v="340765"/>
    <s v="Alok Kr. Ghosh"/>
    <s v="Private Retailer"/>
    <s v="9735567838"/>
    <n v="2"/>
    <n v="55"/>
    <x v="3"/>
    <m/>
    <s v="2026-02-24"/>
    <s v="214222"/>
    <s v="Mahamaya Enterprise"/>
    <s v="8348217174"/>
  </r>
  <r>
    <s v="RCF Trombay"/>
    <s v="N.C.Urea(45kg)"/>
    <s v="WB"/>
    <x v="17"/>
    <s v="Haringhata"/>
    <s v="User Not Mapped"/>
    <s v="User Not Mapped"/>
    <s v="User Not Mapped"/>
    <n v="340765"/>
    <s v="Alok Kr. Ghosh"/>
    <s v="Private Retailer"/>
    <s v="9735567838"/>
    <n v="3.51"/>
    <n v="66"/>
    <x v="6"/>
    <m/>
    <s v="2026-02-13"/>
    <s v="214222"/>
    <s v="Mahamaya Enterprise"/>
    <s v="8348217174"/>
  </r>
  <r>
    <s v="RCF Trombay"/>
    <s v="15-15-15"/>
    <s v="WB"/>
    <x v="17"/>
    <s v="Haringhata"/>
    <s v="User Not Mapped"/>
    <s v="User Not Mapped"/>
    <s v="User Not Mapped"/>
    <n v="340765"/>
    <s v="Alok Kr. Ghosh"/>
    <s v="Private Retailer"/>
    <s v="9735567838"/>
    <n v="2.75"/>
    <n v="66"/>
    <x v="6"/>
    <m/>
    <s v="2026-02-13"/>
    <s v="214222"/>
    <s v="Mahamaya Enterprise"/>
    <s v="8348217174"/>
  </r>
  <r>
    <s v="RCF Trombay"/>
    <s v="N.C.Urea(45kg)"/>
    <s v="WB"/>
    <x v="17"/>
    <s v="Haringhata"/>
    <s v="User Not Mapped"/>
    <s v="User Not Mapped"/>
    <s v="User Not Mapped"/>
    <n v="340960"/>
    <s v="Avijit Mandal"/>
    <s v="Private Retailer"/>
    <s v="9564257706"/>
    <n v="1.395"/>
    <n v="139"/>
    <x v="4"/>
    <m/>
    <s v="2025-12-02"/>
    <s v="214222"/>
    <s v="Mahamaya Enterprise"/>
    <s v="8348217174"/>
  </r>
  <r>
    <s v="RCF Trombay"/>
    <s v="N.C.Urea(45kg)"/>
    <s v="WB"/>
    <x v="17"/>
    <s v="Haringhata"/>
    <s v="User Not Mapped"/>
    <s v="User Not Mapped"/>
    <s v="User Not Mapped"/>
    <n v="340960"/>
    <s v="Avijit Mandal"/>
    <s v="Private Retailer"/>
    <s v="9564257706"/>
    <n v="5.49"/>
    <n v="93"/>
    <x v="7"/>
    <m/>
    <s v="2026-01-17"/>
    <s v="214222"/>
    <s v="Mahamaya Enterprise"/>
    <s v="8348217174"/>
  </r>
  <r>
    <s v="RCF Trombay"/>
    <s v="15-15-15"/>
    <s v="WB"/>
    <x v="17"/>
    <s v="Haringhata"/>
    <s v="User Not Mapped"/>
    <s v="User Not Mapped"/>
    <s v="User Not Mapped"/>
    <n v="340960"/>
    <s v="Avijit Mandal"/>
    <s v="Private Retailer"/>
    <s v="9564257706"/>
    <n v="3.65"/>
    <n v="93"/>
    <x v="7"/>
    <m/>
    <s v="2026-01-17"/>
    <s v="214222"/>
    <s v="Mahamaya Enterprise"/>
    <s v="8348217174"/>
  </r>
  <r>
    <s v="RCF Trombay"/>
    <s v="15-15-15"/>
    <s v="WB"/>
    <x v="17"/>
    <m/>
    <s v="User Not Mapped"/>
    <s v="User Not Mapped"/>
    <s v="User Not Mapped"/>
    <n v="340968"/>
    <s v="Azizul Sardar"/>
    <s v="Private Retailer"/>
    <s v="9775177828"/>
    <n v="0.17499999999999999"/>
    <n v="236"/>
    <x v="1"/>
    <m/>
    <s v="2025-08-27"/>
    <s v="214222"/>
    <s v="Mahamaya Enterprise"/>
    <s v="8348217174"/>
  </r>
  <r>
    <s v="RCF Trombay"/>
    <s v="15-15-15"/>
    <s v="WB"/>
    <x v="17"/>
    <s v="Hanskhali"/>
    <s v="User Not Mapped"/>
    <s v="User Not Mapped"/>
    <s v="User Not Mapped"/>
    <n v="385727"/>
    <s v="Bibekanandamondal"/>
    <s v="Private Retailer"/>
    <s v="8509832096"/>
    <n v="1.35"/>
    <n v="1008"/>
    <x v="2"/>
    <m/>
    <s v="2023-07-17"/>
    <s v="214222"/>
    <s v="Mahamaya Enterprise"/>
    <s v="8348217174"/>
  </r>
  <r>
    <s v="RCF Trombay"/>
    <s v="15-15-15"/>
    <s v="WB"/>
    <x v="17"/>
    <s v="Haringhata"/>
    <s v="User Not Mapped"/>
    <s v="User Not Mapped"/>
    <s v="User Not Mapped"/>
    <n v="341102"/>
    <s v="Biplab Debnath"/>
    <s v="Private Retailer"/>
    <s v="9903465745"/>
    <n v="2.5"/>
    <n v="66"/>
    <x v="6"/>
    <m/>
    <s v="2026-02-13"/>
    <s v="214222"/>
    <s v="Mahamaya Enterprise"/>
    <s v="8348217174"/>
  </r>
  <r>
    <s v="RCF Trombay"/>
    <s v="15-15-15"/>
    <s v="WB"/>
    <x v="17"/>
    <s v="Hanskhali"/>
    <s v="User Not Mapped"/>
    <s v="User Not Mapped"/>
    <s v="User Not Mapped"/>
    <n v="341108"/>
    <s v="Bipul Biswas"/>
    <s v="Private Retailer"/>
    <s v="9800441016"/>
    <n v="4.2"/>
    <n v="236"/>
    <x v="1"/>
    <m/>
    <s v="2025-08-27"/>
    <s v="214222"/>
    <s v="Mahamaya Enterprise"/>
    <s v="8348217174"/>
  </r>
  <r>
    <s v="RCF Trombay"/>
    <s v="N.C.Urea(45kg)"/>
    <s v="WB"/>
    <x v="17"/>
    <s v="Hanskhali"/>
    <s v="User Not Mapped"/>
    <s v="User Not Mapped"/>
    <s v="User Not Mapped"/>
    <n v="341108"/>
    <s v="Bipul Biswas"/>
    <s v="Private Retailer"/>
    <s v="9800441016"/>
    <n v="4.9950000000000001"/>
    <n v="236"/>
    <x v="1"/>
    <m/>
    <s v="2025-08-27"/>
    <s v="214222"/>
    <s v="Mahamaya Enterprise"/>
    <s v="8348217174"/>
  </r>
  <r>
    <s v="RCF Trombay"/>
    <s v="15-15-15"/>
    <s v="WB"/>
    <x v="17"/>
    <s v="Haringhata"/>
    <s v="User Not Mapped"/>
    <s v="User Not Mapped"/>
    <s v="User Not Mapped"/>
    <n v="218868"/>
    <s v="Biswajit Ganguli"/>
    <s v="Private Retailer"/>
    <s v="9564257897"/>
    <n v="5"/>
    <n v="55"/>
    <x v="3"/>
    <m/>
    <s v="2026-02-24"/>
    <s v="214222"/>
    <s v="Mahamaya Enterprise"/>
    <s v="8348217174"/>
  </r>
  <r>
    <s v="RCF Trombay"/>
    <s v="N.C.Urea(45kg)"/>
    <s v="WB"/>
    <x v="17"/>
    <s v="Krishnaganj"/>
    <s v="User Not Mapped"/>
    <s v="User Not Mapped"/>
    <s v="User Not Mapped"/>
    <n v="854870"/>
    <s v="BISWAJIT MONDAL"/>
    <s v="Private Retailer"/>
    <s v="6296285059"/>
    <n v="4.4999999999999998E-2"/>
    <n v="76"/>
    <x v="6"/>
    <m/>
    <s v="2026-02-03"/>
    <s v="214222"/>
    <s v="Mahamaya Enterprise"/>
    <s v="8348217174"/>
  </r>
  <r>
    <s v="RCF Trombay"/>
    <s v="15-15-15"/>
    <s v="WB"/>
    <x v="17"/>
    <s v="Krishnaganj"/>
    <s v="User Not Mapped"/>
    <s v="User Not Mapped"/>
    <s v="User Not Mapped"/>
    <n v="854870"/>
    <s v="BISWAJIT MONDAL"/>
    <s v="Private Retailer"/>
    <s v="6296285059"/>
    <n v="2"/>
    <n v="76"/>
    <x v="6"/>
    <m/>
    <s v="2026-02-03"/>
    <s v="214222"/>
    <s v="Mahamaya Enterprise"/>
    <s v="8348217174"/>
  </r>
  <r>
    <s v="RCF Trombay"/>
    <s v="N.C.Urea(45kg)"/>
    <s v="WB"/>
    <x v="17"/>
    <s v="Krishnagar - II"/>
    <s v="User Not Mapped"/>
    <s v="User Not Mapped"/>
    <s v="User Not Mapped"/>
    <n v="892203"/>
    <s v="BISWAS FERTILIZER"/>
    <s v="Private Retailer"/>
    <s v="8597003763"/>
    <n v="0.63"/>
    <n v="1166"/>
    <x v="2"/>
    <m/>
    <s v="2023-02-09"/>
    <s v="214222"/>
    <s v="Mahamaya Enterprise"/>
    <s v="8348217174"/>
  </r>
  <r>
    <s v="RCF Trombay"/>
    <s v="N.C.Urea(45kg)"/>
    <s v="WB"/>
    <x v="17"/>
    <s v="Krishnagar - I"/>
    <s v="User Not Mapped"/>
    <s v="User Not Mapped"/>
    <s v="User Not Mapped"/>
    <n v="413498"/>
    <s v="Biswas Fertilizers"/>
    <s v="Private Retailer"/>
    <s v="9800494055"/>
    <n v="4.9950000000000001"/>
    <n v="51"/>
    <x v="3"/>
    <m/>
    <s v="2026-02-28"/>
    <s v="214222"/>
    <s v="Mahamaya Enterprise"/>
    <s v="8348217174"/>
  </r>
  <r>
    <s v="RCF Trombay"/>
    <s v="N.C.Urea(45kg)"/>
    <s v="WB"/>
    <x v="17"/>
    <s v="Krishnagar - I"/>
    <s v="User Not Mapped"/>
    <s v="User Not Mapped"/>
    <s v="User Not Mapped"/>
    <n v="604790"/>
    <s v="BISWAS FERTILIZERS"/>
    <s v="Private Retailer"/>
    <s v="8609582523"/>
    <n v="4.9950000000000001"/>
    <n v="83"/>
    <x v="6"/>
    <m/>
    <s v="2026-01-27"/>
    <s v="214222"/>
    <s v="Mahamaya Enterprise"/>
    <s v="8348217174"/>
  </r>
  <r>
    <s v="RCF Trombay"/>
    <s v="15-15-15"/>
    <s v="WB"/>
    <x v="17"/>
    <s v="Krishnagar - I"/>
    <s v="User Not Mapped"/>
    <s v="User Not Mapped"/>
    <s v="User Not Mapped"/>
    <n v="604790"/>
    <s v="BISWAS FERTILIZERS"/>
    <s v="Private Retailer"/>
    <s v="8609582523"/>
    <n v="5"/>
    <n v="83"/>
    <x v="6"/>
    <m/>
    <s v="2026-01-27"/>
    <s v="214222"/>
    <s v="Mahamaya Enterprise"/>
    <s v="8348217174"/>
  </r>
  <r>
    <s v="RCF Trombay"/>
    <s v="15-15-15"/>
    <s v="WB"/>
    <x v="17"/>
    <s v="Krishnagar - I"/>
    <s v="User Not Mapped"/>
    <s v="User Not Mapped"/>
    <s v="User Not Mapped"/>
    <n v="500891"/>
    <s v="Chakraborty Traders"/>
    <s v="Private Retailer"/>
    <s v="9732914258"/>
    <n v="0.75"/>
    <n v="76"/>
    <x v="6"/>
    <m/>
    <s v="2026-02-03"/>
    <s v="214222"/>
    <s v="Mahamaya Enterprise"/>
    <s v="8348217174"/>
  </r>
  <r>
    <s v="RCF Trombay"/>
    <s v="N.C.Urea(45kg)"/>
    <s v="WB"/>
    <x v="17"/>
    <s v="Krishnaganj"/>
    <s v="User Not Mapped"/>
    <s v="User Not Mapped"/>
    <s v="User Not Mapped"/>
    <n v="1462374"/>
    <s v="DEBASHISH DAS"/>
    <s v="Private Retailer"/>
    <s v="7908043471"/>
    <n v="4.4999999999999998E-2"/>
    <n v="175"/>
    <x v="4"/>
    <m/>
    <s v="2025-10-27"/>
    <s v="214222"/>
    <s v="Mahamaya Enterprise"/>
    <s v="8348217174"/>
  </r>
  <r>
    <s v="RCF Trombay"/>
    <s v="15-15-15"/>
    <s v="WB"/>
    <x v="17"/>
    <s v="Santipur"/>
    <s v="User Not Mapped"/>
    <s v="User Not Mapped"/>
    <s v="User Not Mapped"/>
    <n v="281562"/>
    <s v="Debranjan Das"/>
    <s v="Private Retailer"/>
    <s v="9563579536"/>
    <n v="1.1499999999999999"/>
    <n v="44"/>
    <x v="3"/>
    <m/>
    <s v="2026-03-07"/>
    <s v="214222"/>
    <s v="Mahamaya Enterprise"/>
    <s v="8348217174"/>
  </r>
  <r>
    <s v="RCF Trombay"/>
    <s v="N.C.Urea(45kg)"/>
    <s v="WB"/>
    <x v="17"/>
    <s v="Santipur"/>
    <s v="User Not Mapped"/>
    <s v="User Not Mapped"/>
    <s v="User Not Mapped"/>
    <n v="281562"/>
    <s v="Debranjan Das"/>
    <s v="Private Retailer"/>
    <s v="9563579536"/>
    <n v="2.0699999999999998"/>
    <n v="44"/>
    <x v="3"/>
    <m/>
    <s v="2026-03-07"/>
    <s v="214222"/>
    <s v="Mahamaya Enterprise"/>
    <s v="8348217174"/>
  </r>
  <r>
    <s v="RCF Trombay"/>
    <s v="15-15-15"/>
    <s v="WB"/>
    <x v="17"/>
    <s v="Hanskhali"/>
    <s v="User Not Mapped"/>
    <s v="User Not Mapped"/>
    <s v="User Not Mapped"/>
    <n v="616475"/>
    <s v="DILIP KUMAR ROY"/>
    <s v="Private Retailer"/>
    <s v="9932765300"/>
    <n v="10"/>
    <n v="83"/>
    <x v="6"/>
    <m/>
    <s v="2026-01-27"/>
    <s v="214222"/>
    <s v="Mahamaya Enterprise"/>
    <s v="8348217174"/>
  </r>
  <r>
    <s v="RCF Trombay"/>
    <s v="15-15-15"/>
    <s v="WB"/>
    <x v="17"/>
    <s v="Hanskhali"/>
    <s v="User Not Mapped"/>
    <s v="User Not Mapped"/>
    <s v="User Not Mapped"/>
    <n v="1445513"/>
    <s v="DINESH PAL"/>
    <s v="Private Retailer"/>
    <s v="9153360110"/>
    <n v="5"/>
    <n v="44"/>
    <x v="3"/>
    <m/>
    <s v="2026-03-07"/>
    <s v="214222"/>
    <s v="Mahamaya Enterprise"/>
    <s v="8348217174"/>
  </r>
  <r>
    <s v="RCF Trombay"/>
    <s v="N.C.Urea(45kg)"/>
    <s v="WB"/>
    <x v="17"/>
    <s v="Hanskhali"/>
    <s v="User Not Mapped"/>
    <s v="User Not Mapped"/>
    <s v="User Not Mapped"/>
    <n v="1445513"/>
    <s v="DINESH PAL"/>
    <s v="Private Retailer"/>
    <s v="9153360110"/>
    <n v="0.94499999999999995"/>
    <n v="83"/>
    <x v="6"/>
    <m/>
    <s v="2026-01-27"/>
    <s v="214222"/>
    <s v="Mahamaya Enterprise"/>
    <s v="8348217174"/>
  </r>
  <r>
    <s v="RCF Trombay"/>
    <s v="15-15-15"/>
    <s v="WB"/>
    <x v="17"/>
    <s v="Hanskhali"/>
    <s v="User Not Mapped"/>
    <s v="User Not Mapped"/>
    <s v="User Not Mapped"/>
    <n v="1445513"/>
    <s v="DINESH PAL"/>
    <s v="Private Retailer"/>
    <s v="9153360110"/>
    <n v="0.15"/>
    <n v="83"/>
    <x v="6"/>
    <m/>
    <s v="2026-01-27"/>
    <s v="214222"/>
    <s v="Mahamaya Enterprise"/>
    <s v="8348217174"/>
  </r>
  <r>
    <s v="RCF Trombay"/>
    <s v="N.C.Urea(45kg)"/>
    <s v="WB"/>
    <x v="17"/>
    <s v="Hanskhali"/>
    <s v="User Not Mapped"/>
    <s v="User Not Mapped"/>
    <s v="User Not Mapped"/>
    <n v="1445513"/>
    <s v="DINESH PAL"/>
    <s v="Private Retailer"/>
    <s v="9153360110"/>
    <n v="4.9950000000000001"/>
    <n v="44"/>
    <x v="3"/>
    <m/>
    <s v="2026-03-07"/>
    <s v="214222"/>
    <s v="Mahamaya Enterprise"/>
    <s v="8348217174"/>
  </r>
  <r>
    <s v="RCF Trombay"/>
    <s v="15-15-15"/>
    <s v="WB"/>
    <x v="17"/>
    <s v="Krishnagar - II"/>
    <s v="User Not Mapped"/>
    <s v="User Not Mapped"/>
    <s v="User Not Mapped"/>
    <n v="651620"/>
    <s v="HOSSAIN ALI SHAIKH"/>
    <s v="Private Retailer"/>
    <s v="9933859449"/>
    <n v="4.5"/>
    <n v="73"/>
    <x v="6"/>
    <m/>
    <s v="2026-02-06"/>
    <s v="214222"/>
    <s v="Mahamaya Enterprise"/>
    <s v="8348217174"/>
  </r>
  <r>
    <s v="RCF Thal"/>
    <s v="N.C.Urea(45kg)"/>
    <s v="WB"/>
    <x v="17"/>
    <s v="Haringhata"/>
    <s v="User Not Mapped"/>
    <s v="User Not Mapped"/>
    <s v="User Not Mapped"/>
    <n v="243864"/>
    <s v="Jaiswal Enterprise "/>
    <s v="Private Retailer"/>
    <s v="8116105006"/>
    <n v="9.3149999999999995"/>
    <n v="14"/>
    <x v="5"/>
    <m/>
    <s v="2026-04-06"/>
    <s v="214222"/>
    <s v="Mahamaya Enterprise"/>
    <s v="8348217174"/>
  </r>
  <r>
    <s v="RCF Import"/>
    <s v="Imp 10-26-26"/>
    <s v="WB"/>
    <x v="17"/>
    <s v="Haringhata"/>
    <s v="User Not Mapped"/>
    <s v="User Not Mapped"/>
    <s v="User Not Mapped"/>
    <n v="218876"/>
    <s v="Krishi Bhavan Agro  Service Ce"/>
    <s v="Private Retailer"/>
    <s v="9733815797"/>
    <n v="4.7"/>
    <n v="52"/>
    <x v="3"/>
    <m/>
    <s v="2026-02-27"/>
    <s v="214222"/>
    <s v="Mahamaya Enterprise"/>
    <s v="8348217174"/>
  </r>
  <r>
    <s v="RCF Thal"/>
    <s v="N.C.Urea(45kg)"/>
    <s v="WB"/>
    <x v="17"/>
    <s v="Haringhata"/>
    <s v="User Not Mapped"/>
    <s v="User Not Mapped"/>
    <s v="User Not Mapped"/>
    <n v="218876"/>
    <s v="Krishi Bhavan Agro  Service Ce"/>
    <s v="Private Retailer"/>
    <s v="9733815797"/>
    <n v="4.59"/>
    <n v="41"/>
    <x v="3"/>
    <m/>
    <s v="2026-03-10"/>
    <s v="214222"/>
    <s v="Mahamaya Enterprise"/>
    <s v="8348217174"/>
  </r>
  <r>
    <s v="RCF Import"/>
    <s v="MOP"/>
    <s v="WB"/>
    <x v="17"/>
    <s v="Haringhata"/>
    <s v="User Not Mapped"/>
    <s v="User Not Mapped"/>
    <s v="User Not Mapped"/>
    <n v="218876"/>
    <s v="Krishi Bhavan Agro  Service Ce"/>
    <s v="Private Retailer"/>
    <s v="9733815797"/>
    <n v="1.5"/>
    <n v="53"/>
    <x v="3"/>
    <m/>
    <s v="2026-02-26"/>
    <s v="214222"/>
    <s v="Mahamaya Enterprise"/>
    <s v="8348217174"/>
  </r>
  <r>
    <s v="RCF Trombay"/>
    <s v="15-15-15"/>
    <s v="WB"/>
    <x v="17"/>
    <s v="Haringhata"/>
    <s v="User Not Mapped"/>
    <s v="User Not Mapped"/>
    <s v="User Not Mapped"/>
    <n v="218876"/>
    <s v="Krishi Bhavan Agro  Service Ce"/>
    <s v="Private Retailer"/>
    <s v="9733815797"/>
    <n v="0.6"/>
    <n v="66"/>
    <x v="6"/>
    <m/>
    <s v="2026-02-13"/>
    <s v="214222"/>
    <s v="Mahamaya Enterprise"/>
    <s v="8348217174"/>
  </r>
  <r>
    <s v="RCF Thal"/>
    <s v="N.C.Urea(45kg)"/>
    <s v="WB"/>
    <x v="17"/>
    <s v="Krishnaganj"/>
    <s v="User Not Mapped"/>
    <s v="User Not Mapped"/>
    <s v="User Not Mapped"/>
    <n v="775041"/>
    <s v="KRISHNA RAY"/>
    <s v="Private Retailer"/>
    <s v="9775548526"/>
    <n v="1.575"/>
    <n v="207"/>
    <x v="1"/>
    <m/>
    <s v="2025-09-25"/>
    <s v="214222"/>
    <s v="Mahamaya Enterprise"/>
    <s v="8348217174"/>
  </r>
  <r>
    <s v="RCF Trombay"/>
    <s v="15-15-15"/>
    <s v="WB"/>
    <x v="17"/>
    <s v="Haringhata"/>
    <s v="User Not Mapped"/>
    <s v="User Not Mapped"/>
    <s v="User Not Mapped"/>
    <n v="341720"/>
    <s v="Lakshaman Das"/>
    <s v="Private Retailer"/>
    <s v="9733782416"/>
    <n v="0.5"/>
    <n v="66"/>
    <x v="6"/>
    <m/>
    <s v="2026-02-13"/>
    <s v="214222"/>
    <s v="Mahamaya Enterprise"/>
    <s v="8348217174"/>
  </r>
  <r>
    <s v="RCF Trombay"/>
    <s v="N.C.Urea(45kg)"/>
    <s v="WB"/>
    <x v="17"/>
    <s v="Haringhata"/>
    <s v="User Not Mapped"/>
    <s v="User Not Mapped"/>
    <s v="User Not Mapped"/>
    <n v="341720"/>
    <s v="Lakshaman Das"/>
    <s v="Private Retailer"/>
    <s v="9733782416"/>
    <n v="5.49"/>
    <n v="66"/>
    <x v="6"/>
    <m/>
    <s v="2026-02-13"/>
    <s v="214222"/>
    <s v="Mahamaya Enterprise"/>
    <s v="8348217174"/>
  </r>
  <r>
    <s v="RCF Thal"/>
    <s v="N.C.Urea(45kg)"/>
    <s v="WB"/>
    <x v="17"/>
    <s v="Haringhata"/>
    <s v="User Not Mapped"/>
    <s v="User Not Mapped"/>
    <s v="User Not Mapped"/>
    <n v="597366"/>
    <s v="M/S CHIDDIKI-RH-KRISHI BHANDER"/>
    <s v="Private Retailer"/>
    <s v="8159975890"/>
    <n v="4.9950000000000001"/>
    <n v="14"/>
    <x v="5"/>
    <m/>
    <s v="2026-04-06"/>
    <s v="214222"/>
    <s v="Mahamaya Enterprise"/>
    <s v="8348217174"/>
  </r>
  <r>
    <s v="RCF Trombay"/>
    <s v="N.C.Urea(45kg)"/>
    <s v="WB"/>
    <x v="17"/>
    <s v="Chakdah"/>
    <s v="User Not Mapped"/>
    <s v="User Not Mapped"/>
    <s v="User Not Mapped"/>
    <n v="354890"/>
    <s v="M/S Debnath Enterprise"/>
    <s v="Private Retailer"/>
    <s v="9735565304"/>
    <n v="9.99"/>
    <n v="53"/>
    <x v="3"/>
    <m/>
    <s v="2026-02-26"/>
    <s v="214222"/>
    <s v="Mahamaya Enterprise"/>
    <s v="8348217174"/>
  </r>
  <r>
    <s v="RCF Trombay"/>
    <s v="N.C.Urea(45kg)"/>
    <s v="WB"/>
    <x v="17"/>
    <s v="Chakdah"/>
    <s v="User Not Mapped"/>
    <s v="User Not Mapped"/>
    <s v="User Not Mapped"/>
    <n v="354890"/>
    <s v="M/S Debnath Enterprise"/>
    <s v="Private Retailer"/>
    <s v="9735565304"/>
    <n v="6.8849999999999998"/>
    <n v="83"/>
    <x v="6"/>
    <m/>
    <s v="2026-01-27"/>
    <s v="214222"/>
    <s v="Mahamaya Enterprise"/>
    <s v="8348217174"/>
  </r>
  <r>
    <s v="RCF Trombay"/>
    <s v="15-15-15"/>
    <s v="WB"/>
    <x v="17"/>
    <s v="Chakdah"/>
    <s v="User Not Mapped"/>
    <s v="User Not Mapped"/>
    <s v="User Not Mapped"/>
    <n v="354890"/>
    <s v="M/S Debnath Enterprise"/>
    <s v="Private Retailer"/>
    <s v="9735565304"/>
    <n v="1.25"/>
    <n v="53"/>
    <x v="3"/>
    <m/>
    <s v="2026-02-26"/>
    <s v="214222"/>
    <s v="Mahamaya Enterprise"/>
    <s v="8348217174"/>
  </r>
  <r>
    <s v="RCF Trombay"/>
    <s v="N.C.Urea(45kg)"/>
    <s v="WB"/>
    <x v="17"/>
    <s v="Ranaghat - I"/>
    <s v="User Not Mapped"/>
    <s v="User Not Mapped"/>
    <s v="User Not Mapped"/>
    <n v="973572"/>
    <s v="M/S MAJUMDAR FERTILIZER"/>
    <s v="Private Retailer"/>
    <s v="8367830499"/>
    <n v="1.9350000000000001"/>
    <n v="193"/>
    <x v="1"/>
    <m/>
    <s v="2025-10-09"/>
    <s v="214222"/>
    <s v="Mahamaya Enterprise"/>
    <s v="8348217174"/>
  </r>
  <r>
    <s v="RCF Trombay"/>
    <s v="15-15-15"/>
    <s v="WB"/>
    <x v="17"/>
    <s v="Ranaghat - I"/>
    <s v="User Not Mapped"/>
    <s v="User Not Mapped"/>
    <s v="User Not Mapped"/>
    <n v="973572"/>
    <s v="M/S MAJUMDAR FERTILIZER"/>
    <s v="Private Retailer"/>
    <s v="8367830499"/>
    <n v="0.55000000000000004"/>
    <n v="236"/>
    <x v="1"/>
    <m/>
    <s v="2025-08-27"/>
    <s v="214222"/>
    <s v="Mahamaya Enterprise"/>
    <s v="8348217174"/>
  </r>
  <r>
    <s v="RCF Thal"/>
    <s v="N.C.Urea(45kg)"/>
    <s v="WB"/>
    <x v="17"/>
    <s v="Haringhata"/>
    <s v="User Not Mapped"/>
    <s v="User Not Mapped"/>
    <s v="User Not Mapped"/>
    <n v="598611"/>
    <s v="M/S MAULA BOX KRISHI BHANDER"/>
    <s v="Private Retailer"/>
    <s v="9884175890"/>
    <n v="4.6349999999999998"/>
    <n v="14"/>
    <x v="5"/>
    <m/>
    <s v="2026-04-06"/>
    <s v="214222"/>
    <s v="Mahamaya Enterprise"/>
    <s v="8348217174"/>
  </r>
  <r>
    <s v="RCF Thal"/>
    <s v="N.C.Urea(45kg)"/>
    <s v="WB"/>
    <x v="17"/>
    <s v="Haringhata"/>
    <s v="User Not Mapped"/>
    <s v="User Not Mapped"/>
    <s v="User Not Mapped"/>
    <n v="943770"/>
    <s v="M/S MINHASUDDIN HAQUE"/>
    <s v="Private Retailer"/>
    <s v="8001180400"/>
    <n v="5.49"/>
    <n v="41"/>
    <x v="3"/>
    <m/>
    <s v="2026-03-10"/>
    <s v="214222"/>
    <s v="Mahamaya Enterprise"/>
    <s v="8348217174"/>
  </r>
  <r>
    <s v="RCF Thal"/>
    <s v="N.C.Urea(45kg)"/>
    <s v="WB"/>
    <x v="17"/>
    <s v="Haringhata"/>
    <s v="User Not Mapped"/>
    <s v="User Not Mapped"/>
    <s v="User Not Mapped"/>
    <n v="943770"/>
    <s v="M/S MINHASUDDIN HAQUE"/>
    <s v="Private Retailer"/>
    <s v="8001180400"/>
    <n v="4.9050000000000002"/>
    <n v="275"/>
    <x v="1"/>
    <m/>
    <s v="2025-07-19"/>
    <s v="214222"/>
    <s v="Mahamaya Enterprise"/>
    <s v="8348217174"/>
  </r>
  <r>
    <s v="RCF Trombay"/>
    <s v="15-15-15"/>
    <s v="WB"/>
    <x v="17"/>
    <s v="Chakdah"/>
    <s v="User Not Mapped"/>
    <s v="User Not Mapped"/>
    <s v="User Not Mapped"/>
    <n v="440624"/>
    <s v="M/S Ramesh Debnath"/>
    <s v="Private Retailer"/>
    <s v="8159974692"/>
    <n v="0.17299999999999999"/>
    <n v="53"/>
    <x v="3"/>
    <m/>
    <s v="2026-02-26"/>
    <s v="214222"/>
    <s v="Mahamaya Enterprise"/>
    <s v="8348217174"/>
  </r>
  <r>
    <s v="RCF Trombay"/>
    <s v="15-15-15"/>
    <s v="WB"/>
    <x v="17"/>
    <s v="Ranaghat - I"/>
    <s v="User Not Mapped"/>
    <s v="User Not Mapped"/>
    <s v="User Not Mapped"/>
    <n v="356279"/>
    <s v="M/S SANTOSH BHOWMICK"/>
    <s v="Private Retailer"/>
    <s v="8900286242"/>
    <n v="1.2"/>
    <n v="83"/>
    <x v="6"/>
    <m/>
    <s v="2026-01-27"/>
    <s v="214222"/>
    <s v="Mahamaya Enterprise"/>
    <s v="8348217174"/>
  </r>
  <r>
    <s v="RCF Trombay"/>
    <s v="N.C.Urea(45kg)"/>
    <s v="WB"/>
    <x v="17"/>
    <s v="Ranaghat - I"/>
    <s v="User Not Mapped"/>
    <s v="User Not Mapped"/>
    <s v="User Not Mapped"/>
    <n v="1023470"/>
    <s v="M/S. HALDER FERTILIZER"/>
    <s v="Private Retailer"/>
    <s v="7076752180"/>
    <n v="0.94499999999999995"/>
    <n v="55"/>
    <x v="3"/>
    <m/>
    <s v="2026-02-24"/>
    <s v="214222"/>
    <s v="Mahamaya Enterprise"/>
    <s v="8348217174"/>
  </r>
  <r>
    <s v="RCF Trombay"/>
    <s v="15-15-15"/>
    <s v="WB"/>
    <x v="17"/>
    <s v="Ranaghat - I"/>
    <s v="User Not Mapped"/>
    <s v="User Not Mapped"/>
    <s v="User Not Mapped"/>
    <n v="1023470"/>
    <s v="M/S. HALDER FERTILIZER"/>
    <s v="Private Retailer"/>
    <s v="7076752180"/>
    <n v="0.9"/>
    <n v="55"/>
    <x v="3"/>
    <m/>
    <s v="2026-02-24"/>
    <s v="214222"/>
    <s v="Mahamaya Enterprise"/>
    <s v="8348217174"/>
  </r>
  <r>
    <s v="RCF Trombay"/>
    <s v="N.C.Urea(45kg)"/>
    <s v="WB"/>
    <x v="17"/>
    <s v="Ranaghat - I"/>
    <s v="User Not Mapped"/>
    <s v="User Not Mapped"/>
    <s v="User Not Mapped"/>
    <n v="341627"/>
    <s v="M/s.Kartick Chandra Roy"/>
    <s v="Private Retailer"/>
    <s v="7047183154"/>
    <n v="0.45"/>
    <n v="143"/>
    <x v="4"/>
    <m/>
    <s v="2025-11-28"/>
    <s v="214222"/>
    <s v="Mahamaya Enterprise"/>
    <s v="8348217174"/>
  </r>
  <r>
    <s v="RCF Trombay"/>
    <s v="15-15-15"/>
    <s v="WB"/>
    <x v="17"/>
    <s v="Ranaghat - I"/>
    <s v="User Not Mapped"/>
    <s v="User Not Mapped"/>
    <s v="User Not Mapped"/>
    <n v="341627"/>
    <s v="M/s.Kartick Chandra Roy"/>
    <s v="Private Retailer"/>
    <s v="7047183154"/>
    <n v="1.76"/>
    <n v="143"/>
    <x v="4"/>
    <m/>
    <s v="2025-11-28"/>
    <s v="214222"/>
    <s v="Mahamaya Enterprise"/>
    <s v="8348217174"/>
  </r>
  <r>
    <s v="RCF Trombay"/>
    <s v="15-15-15"/>
    <s v="WB"/>
    <x v="17"/>
    <s v="Haringhata"/>
    <s v="User Not Mapped"/>
    <s v="User Not Mapped"/>
    <s v="User Not Mapped"/>
    <n v="1445511"/>
    <s v="MAA TARA KRISHI BHANDER"/>
    <s v="Private Retailer"/>
    <s v="9734614362"/>
    <n v="0.1"/>
    <n v="244"/>
    <x v="1"/>
    <m/>
    <s v="2025-08-19"/>
    <s v="214222"/>
    <s v="Mahamaya Enterprise"/>
    <s v="8348217174"/>
  </r>
  <r>
    <s v="RCF Trombay"/>
    <s v="15-15-15"/>
    <s v="WB"/>
    <x v="17"/>
    <s v="Krishnagar - II"/>
    <s v="User Not Mapped"/>
    <s v="User Not Mapped"/>
    <s v="User Not Mapped"/>
    <n v="355332"/>
    <s v="Manik Lal Dey"/>
    <s v="Private Retailer"/>
    <s v="9002155612"/>
    <n v="10"/>
    <n v="44"/>
    <x v="3"/>
    <m/>
    <s v="2026-03-07"/>
    <s v="214222"/>
    <s v="Mahamaya Enterprise"/>
    <s v="8348217174"/>
  </r>
  <r>
    <s v="RCF Trombay"/>
    <s v="N.C.Urea(45kg)"/>
    <s v="WB"/>
    <x v="17"/>
    <s v="Nakashipara"/>
    <s v="User Not Mapped"/>
    <s v="User Not Mapped"/>
    <s v="User Not Mapped"/>
    <n v="628979"/>
    <s v="MD ABDUL ALIM SK"/>
    <s v="Private Retailer"/>
    <s v="9382434004"/>
    <n v="4.9950000000000001"/>
    <n v="44"/>
    <x v="3"/>
    <m/>
    <s v="2026-03-07"/>
    <s v="214222"/>
    <s v="Mahamaya Enterprise"/>
    <s v="8348217174"/>
  </r>
  <r>
    <s v="RCF Trombay"/>
    <s v="N.C.Urea(45kg)"/>
    <s v="WB"/>
    <x v="17"/>
    <s v="Haringhata"/>
    <s v="User Not Mapped"/>
    <s v="User Not Mapped"/>
    <s v="User Not Mapped"/>
    <n v="341881"/>
    <s v="Md. Jalauddin Mia"/>
    <s v="Private Retailer"/>
    <s v="9732763411"/>
    <n v="1.35"/>
    <n v="93"/>
    <x v="7"/>
    <m/>
    <s v="2026-01-17"/>
    <s v="214222"/>
    <s v="Mahamaya Enterprise"/>
    <s v="8348217174"/>
  </r>
  <r>
    <s v="RCF Trombay"/>
    <s v="15-15-15"/>
    <s v="WB"/>
    <x v="17"/>
    <s v="Haringhata"/>
    <s v="User Not Mapped"/>
    <s v="User Not Mapped"/>
    <s v="User Not Mapped"/>
    <n v="341881"/>
    <s v="Md. Jalauddin Mia"/>
    <s v="Private Retailer"/>
    <s v="9732763411"/>
    <n v="2"/>
    <n v="55"/>
    <x v="3"/>
    <m/>
    <s v="2026-02-24"/>
    <s v="214222"/>
    <s v="Mahamaya Enterprise"/>
    <s v="8348217174"/>
  </r>
  <r>
    <s v="RCF Trombay"/>
    <s v="15-15-15"/>
    <s v="WB"/>
    <x v="17"/>
    <s v="Haringhata"/>
    <s v="User Not Mapped"/>
    <s v="User Not Mapped"/>
    <s v="User Not Mapped"/>
    <n v="341881"/>
    <s v="Md. Jalauddin Mia"/>
    <s v="Private Retailer"/>
    <s v="9732763411"/>
    <n v="3.3"/>
    <n v="66"/>
    <x v="6"/>
    <m/>
    <s v="2026-02-13"/>
    <s v="214222"/>
    <s v="Mahamaya Enterprise"/>
    <s v="8348217174"/>
  </r>
  <r>
    <s v="RCF Trombay"/>
    <s v="15-15-15"/>
    <s v="WB"/>
    <x v="17"/>
    <s v="Haringhata"/>
    <s v="User Not Mapped"/>
    <s v="User Not Mapped"/>
    <s v="User Not Mapped"/>
    <n v="341901"/>
    <s v="Md. Mozaffar Hossain"/>
    <s v="Private Retailer"/>
    <s v="9732709161"/>
    <n v="0.4"/>
    <n v="83"/>
    <x v="6"/>
    <m/>
    <s v="2026-01-27"/>
    <s v="214222"/>
    <s v="Mahamaya Enterprise"/>
    <s v="8348217174"/>
  </r>
  <r>
    <s v="RCF Thal"/>
    <s v="N.C.Urea(45kg)"/>
    <s v="WB"/>
    <x v="17"/>
    <s v="Haringhata"/>
    <s v="User Not Mapped"/>
    <s v="User Not Mapped"/>
    <s v="User Not Mapped"/>
    <n v="341901"/>
    <s v="Md. Mozaffar Hossain"/>
    <s v="Private Retailer"/>
    <s v="9732709161"/>
    <n v="1.98"/>
    <n v="41"/>
    <x v="3"/>
    <m/>
    <s v="2026-03-10"/>
    <s v="214222"/>
    <s v="Mahamaya Enterprise"/>
    <s v="8348217174"/>
  </r>
  <r>
    <s v="RCF Import"/>
    <s v="Imp 10-26-26"/>
    <s v="WB"/>
    <x v="17"/>
    <s v="Haringhata"/>
    <s v="User Not Mapped"/>
    <s v="User Not Mapped"/>
    <s v="User Not Mapped"/>
    <n v="341901"/>
    <s v="Md. Mozaffar Hossain"/>
    <s v="Private Retailer"/>
    <s v="9732709161"/>
    <n v="3.45"/>
    <n v="52"/>
    <x v="3"/>
    <m/>
    <s v="2026-02-27"/>
    <s v="214222"/>
    <s v="Mahamaya Enterprise"/>
    <s v="8348217174"/>
  </r>
  <r>
    <s v="RCF Thal"/>
    <s v="N.C.Urea(45kg)"/>
    <s v="WB"/>
    <x v="17"/>
    <s v="Ranaghat - I"/>
    <s v="User Not Mapped"/>
    <s v="User Not Mapped"/>
    <s v="User Not Mapped"/>
    <n v="855721"/>
    <s v="MODAK ENTERPRISE"/>
    <s v="Private Retailer"/>
    <s v="9474042061"/>
    <n v="4.68"/>
    <n v="1056"/>
    <x v="2"/>
    <m/>
    <s v="2023-05-30"/>
    <s v="214222"/>
    <s v="Mahamaya Enterprise"/>
    <s v="8348217174"/>
  </r>
  <r>
    <s v="RCF Import"/>
    <s v="MOP"/>
    <s v="WB"/>
    <x v="17"/>
    <s v="Haringhata"/>
    <s v="User Not Mapped"/>
    <s v="User Not Mapped"/>
    <s v="User Not Mapped"/>
    <n v="341988"/>
    <s v="Monoranjan Sarkar"/>
    <s v="Private Retailer"/>
    <s v="8906443651"/>
    <n v="2.2000000000000002"/>
    <n v="62"/>
    <x v="6"/>
    <m/>
    <s v="2026-02-17"/>
    <s v="214222"/>
    <s v="Mahamaya Enterprise"/>
    <s v="8348217174"/>
  </r>
  <r>
    <s v="RCF Thal"/>
    <s v="N.C.Urea(45kg)"/>
    <s v="WB"/>
    <x v="17"/>
    <s v="Haringhata"/>
    <s v="User Not Mapped"/>
    <s v="User Not Mapped"/>
    <s v="User Not Mapped"/>
    <n v="341988"/>
    <s v="Monoranjan Sarkar"/>
    <s v="Private Retailer"/>
    <s v="8906443651"/>
    <n v="1.53"/>
    <n v="41"/>
    <x v="3"/>
    <m/>
    <s v="2026-03-10"/>
    <s v="214222"/>
    <s v="Mahamaya Enterprise"/>
    <s v="8348217174"/>
  </r>
  <r>
    <s v="RCF Trombay"/>
    <s v="N.C.Urea(45kg)"/>
    <s v="WB"/>
    <x v="17"/>
    <s v="Nakashipara"/>
    <s v="User Not Mapped"/>
    <s v="User Not Mapped"/>
    <s v="User Not Mapped"/>
    <n v="940091"/>
    <s v="MS HOSSAIN ALI SHAIKH"/>
    <s v="Private Retailer"/>
    <s v="9933067958"/>
    <n v="0.9"/>
    <n v="426"/>
    <x v="0"/>
    <m/>
    <s v="2025-02-18"/>
    <s v="214222"/>
    <s v="Mahamaya Enterprise"/>
    <s v="8348217174"/>
  </r>
  <r>
    <s v="RCF Thal"/>
    <s v="N.C.Urea(45kg)"/>
    <s v="WB"/>
    <x v="17"/>
    <s v="Chapra"/>
    <s v="User Not Mapped"/>
    <s v="User Not Mapped"/>
    <s v="User Not Mapped"/>
    <n v="323549"/>
    <s v="MS MONDAL FERTILIZER"/>
    <s v="Private Retailer"/>
    <s v="9732775277"/>
    <n v="9"/>
    <n v="14"/>
    <x v="5"/>
    <m/>
    <s v="2026-04-06"/>
    <s v="214222"/>
    <s v="Mahamaya Enterprise"/>
    <s v="8348217174"/>
  </r>
  <r>
    <s v="RCF Trombay"/>
    <s v="15-15-15"/>
    <s v="WB"/>
    <x v="17"/>
    <s v="Ranaghat - I"/>
    <s v="User Not Mapped"/>
    <s v="User Not Mapped"/>
    <s v="User Not Mapped"/>
    <n v="630527"/>
    <s v="MS Sushil Samajder"/>
    <s v="Private Retailer"/>
    <s v="9609687074"/>
    <n v="2.5"/>
    <n v="55"/>
    <x v="3"/>
    <m/>
    <s v="2026-02-24"/>
    <s v="214222"/>
    <s v="Mahamaya Enterprise"/>
    <s v="8348217174"/>
  </r>
  <r>
    <s v="RCF Thal"/>
    <s v="N.C.Urea(45kg)"/>
    <s v="WB"/>
    <x v="17"/>
    <s v="Krishnaganj"/>
    <s v="User Not Mapped"/>
    <s v="User Not Mapped"/>
    <s v="User Not Mapped"/>
    <n v="487606"/>
    <s v="New Probir Biswas"/>
    <s v="Private Retailer"/>
    <s v="9434800014"/>
    <n v="2.34"/>
    <n v="207"/>
    <x v="1"/>
    <m/>
    <s v="2025-09-25"/>
    <s v="214222"/>
    <s v="Mahamaya Enterprise"/>
    <s v="8348217174"/>
  </r>
  <r>
    <s v="RCF Trombay"/>
    <s v="N.C.Urea(45kg)"/>
    <s v="WB"/>
    <x v="17"/>
    <s v="Krishnagar - II"/>
    <s v="User Not Mapped"/>
    <s v="User Not Mapped"/>
    <s v="User Not Mapped"/>
    <n v="439460"/>
    <s v="New Taraknath Beeze Bhander"/>
    <s v="Private Retailer"/>
    <s v="9641540108"/>
    <n v="4.9950000000000001"/>
    <n v="73"/>
    <x v="6"/>
    <m/>
    <s v="2026-02-06"/>
    <s v="214222"/>
    <s v="Mahamaya Enterprise"/>
    <s v="8348217174"/>
  </r>
  <r>
    <s v="RCF Thal"/>
    <s v="N.C.Urea(45kg)"/>
    <s v="WB"/>
    <x v="17"/>
    <s v="Krishnagar - II"/>
    <s v="User Not Mapped"/>
    <s v="User Not Mapped"/>
    <s v="User Not Mapped"/>
    <n v="439460"/>
    <s v="New Taraknath Beeze Bhander"/>
    <s v="Private Retailer"/>
    <s v="9641540108"/>
    <n v="2.2050000000000001"/>
    <n v="179"/>
    <x v="4"/>
    <m/>
    <s v="2025-10-23"/>
    <s v="214222"/>
    <s v="Mahamaya Enterprise"/>
    <s v="8348217174"/>
  </r>
  <r>
    <s v="RCF Trombay"/>
    <s v="N.C.Urea(45kg)"/>
    <s v="WB"/>
    <x v="17"/>
    <s v="Krishnagar - II"/>
    <s v="User Not Mapped"/>
    <s v="User Not Mapped"/>
    <s v="User Not Mapped"/>
    <n v="439460"/>
    <s v="New Taraknath Beeze Bhander"/>
    <s v="Private Retailer"/>
    <s v="9641540108"/>
    <n v="2.4750000000000001"/>
    <n v="117"/>
    <x v="7"/>
    <m/>
    <s v="2025-12-24"/>
    <s v="214222"/>
    <s v="Mahamaya Enterprise"/>
    <s v="8348217174"/>
  </r>
  <r>
    <s v="RCF Trombay"/>
    <s v="N.C.Urea(45kg)"/>
    <s v="WB"/>
    <x v="17"/>
    <s v="Krishnagar - II"/>
    <s v="User Not Mapped"/>
    <s v="User Not Mapped"/>
    <s v="User Not Mapped"/>
    <n v="439460"/>
    <s v="New Taraknath Beeze Bhander"/>
    <s v="Private Retailer"/>
    <s v="9641540108"/>
    <n v="0.94499999999999995"/>
    <n v="171"/>
    <x v="4"/>
    <m/>
    <s v="2025-10-31"/>
    <s v="214222"/>
    <s v="Mahamaya Enterprise"/>
    <s v="8348217174"/>
  </r>
  <r>
    <s v="RCF Trombay"/>
    <s v="15-15-15"/>
    <s v="WB"/>
    <x v="17"/>
    <s v="Haringhata"/>
    <s v="User Not Mapped"/>
    <s v="User Not Mapped"/>
    <s v="User Not Mapped"/>
    <n v="943334"/>
    <s v="NITAI GHOSH"/>
    <s v="Private Retailer"/>
    <s v="9474194341"/>
    <n v="2.38"/>
    <n v="55"/>
    <x v="3"/>
    <m/>
    <s v="2026-02-24"/>
    <s v="214222"/>
    <s v="Mahamaya Enterprise"/>
    <s v="8348217174"/>
  </r>
  <r>
    <s v="RCF Trombay"/>
    <s v="15-15-15"/>
    <s v="WB"/>
    <x v="17"/>
    <s v="Krishnagar - I"/>
    <s v="User Not Mapped"/>
    <s v="User Not Mapped"/>
    <s v="User Not Mapped"/>
    <n v="212865"/>
    <s v="Nitai Mallick"/>
    <s v="Private Retailer"/>
    <s v="8617362776"/>
    <n v="0.45"/>
    <n v="236"/>
    <x v="1"/>
    <m/>
    <s v="2025-08-27"/>
    <s v="214222"/>
    <s v="Mahamaya Enterprise"/>
    <s v="8348217174"/>
  </r>
  <r>
    <s v="RCF Thal"/>
    <s v="N.C.Urea(45kg)"/>
    <s v="WB"/>
    <x v="17"/>
    <s v="Kaliganj"/>
    <s v="User Not Mapped"/>
    <s v="User Not Mapped"/>
    <s v="User Not Mapped"/>
    <n v="342132"/>
    <s v="Nurul Fertilizer"/>
    <s v="Private Retailer"/>
    <s v="9434945164"/>
    <n v="2.31"/>
    <n v="1246"/>
    <x v="2"/>
    <m/>
    <s v="2022-11-21"/>
    <s v="214222"/>
    <s v="Mahamaya Enterprise"/>
    <s v="8348217174"/>
  </r>
  <r>
    <s v="RCF Trombay"/>
    <s v="N.C.Urea(45kg)"/>
    <s v="WB"/>
    <x v="17"/>
    <s v="Chakdah"/>
    <s v="User Not Mapped"/>
    <s v="User Not Mapped"/>
    <s v="User Not Mapped"/>
    <n v="243901"/>
    <s v="Paresh Nath Singha"/>
    <s v="District Cooperative Marketing Society"/>
    <s v="9126000006"/>
    <n v="4.8949999999999996"/>
    <n v="236"/>
    <x v="1"/>
    <m/>
    <s v="2025-08-27"/>
    <s v="214222"/>
    <s v="Mahamaya Enterprise"/>
    <s v="8348217174"/>
  </r>
  <r>
    <s v="RCF Thal"/>
    <s v="N.C.Urea(45kg)"/>
    <s v="WB"/>
    <x v="17"/>
    <s v="Ranaghat - I"/>
    <s v="User Not Mapped"/>
    <s v="User Not Mapped"/>
    <s v="User Not Mapped"/>
    <n v="653542"/>
    <s v="PRADIP KUMAR CHANDA"/>
    <s v="Private Retailer"/>
    <s v="9733490091"/>
    <n v="9.99"/>
    <n v="14"/>
    <x v="5"/>
    <m/>
    <s v="2026-04-06"/>
    <s v="214222"/>
    <s v="Mahamaya Enterprise"/>
    <s v="8348217174"/>
  </r>
  <r>
    <s v="RCF Trombay"/>
    <s v="15-15-15"/>
    <s v="WB"/>
    <x v="17"/>
    <s v="Ranaghat - I"/>
    <s v="User Not Mapped"/>
    <s v="User Not Mapped"/>
    <s v="User Not Mapped"/>
    <n v="653542"/>
    <s v="PRADIP KUMAR CHANDA"/>
    <s v="Private Retailer"/>
    <s v="9733490091"/>
    <n v="0.5"/>
    <n v="55"/>
    <x v="3"/>
    <m/>
    <s v="2026-02-24"/>
    <s v="214222"/>
    <s v="Mahamaya Enterprise"/>
    <s v="8348217174"/>
  </r>
  <r>
    <s v="RCF Trombay"/>
    <s v="N.C.Urea(45kg)"/>
    <s v="WB"/>
    <x v="17"/>
    <s v="Haringhata"/>
    <s v="User Not Mapped"/>
    <s v="User Not Mapped"/>
    <s v="User Not Mapped"/>
    <n v="413932"/>
    <s v="Rafique Mondal"/>
    <s v="Private Retailer"/>
    <s v="9775182620"/>
    <n v="5.49"/>
    <n v="66"/>
    <x v="6"/>
    <m/>
    <s v="2026-02-13"/>
    <s v="214222"/>
    <s v="Mahamaya Enterprise"/>
    <s v="8348217174"/>
  </r>
  <r>
    <s v="RCF Import"/>
    <s v="Imp 10-26-26"/>
    <s v="WB"/>
    <x v="17"/>
    <s v="Haringhata"/>
    <s v="User Not Mapped"/>
    <s v="User Not Mapped"/>
    <s v="User Not Mapped"/>
    <n v="413932"/>
    <s v="Rafique Mondal"/>
    <s v="Private Retailer"/>
    <s v="9775182620"/>
    <n v="5.5"/>
    <n v="52"/>
    <x v="3"/>
    <m/>
    <s v="2026-02-27"/>
    <s v="214222"/>
    <s v="Mahamaya Enterprise"/>
    <s v="8348217174"/>
  </r>
  <r>
    <s v="RCF Import"/>
    <s v="MOP"/>
    <s v="WB"/>
    <x v="17"/>
    <s v="Haringhata"/>
    <s v="User Not Mapped"/>
    <s v="User Not Mapped"/>
    <s v="User Not Mapped"/>
    <n v="413932"/>
    <s v="Rafique Mondal"/>
    <s v="Private Retailer"/>
    <s v="9775182620"/>
    <n v="5.5"/>
    <n v="62"/>
    <x v="6"/>
    <m/>
    <s v="2026-02-17"/>
    <s v="214222"/>
    <s v="Mahamaya Enterprise"/>
    <s v="8348217174"/>
  </r>
  <r>
    <s v="RCF Trombay"/>
    <s v="15-15-15"/>
    <s v="WB"/>
    <x v="17"/>
    <s v="Haringhata"/>
    <s v="User Not Mapped"/>
    <s v="User Not Mapped"/>
    <s v="User Not Mapped"/>
    <n v="413932"/>
    <s v="Rafique Mondal"/>
    <s v="Private Retailer"/>
    <s v="9775182620"/>
    <n v="4.6500000000000004"/>
    <n v="93"/>
    <x v="7"/>
    <m/>
    <s v="2026-01-17"/>
    <s v="214222"/>
    <s v="Mahamaya Enterprise"/>
    <s v="8348217174"/>
  </r>
  <r>
    <s v="RCF Trombay"/>
    <s v="N.C.Urea(45kg)"/>
    <s v="WB"/>
    <x v="17"/>
    <s v="Haringhata"/>
    <s v="User Not Mapped"/>
    <s v="User Not Mapped"/>
    <s v="User Not Mapped"/>
    <n v="413932"/>
    <s v="Rafique Mondal"/>
    <s v="Private Retailer"/>
    <s v="9775182620"/>
    <n v="4.41"/>
    <n v="93"/>
    <x v="7"/>
    <m/>
    <s v="2026-01-17"/>
    <s v="214222"/>
    <s v="Mahamaya Enterprise"/>
    <s v="8348217174"/>
  </r>
  <r>
    <s v="RCF Trombay"/>
    <s v="15-15-15"/>
    <s v="WB"/>
    <x v="17"/>
    <s v="Haringhata"/>
    <s v="User Not Mapped"/>
    <s v="User Not Mapped"/>
    <s v="User Not Mapped"/>
    <n v="413932"/>
    <s v="Rafique Mondal"/>
    <s v="Private Retailer"/>
    <s v="9775182620"/>
    <n v="5.5"/>
    <n v="66"/>
    <x v="6"/>
    <m/>
    <s v="2026-02-13"/>
    <s v="214222"/>
    <s v="Mahamaya Enterprise"/>
    <s v="8348217174"/>
  </r>
  <r>
    <s v="RCF Thal"/>
    <s v="N.C.Urea(45kg)"/>
    <s v="WB"/>
    <x v="17"/>
    <s v="Haringhata"/>
    <s v="User Not Mapped"/>
    <s v="User Not Mapped"/>
    <s v="User Not Mapped"/>
    <n v="413932"/>
    <s v="Rafique Mondal"/>
    <s v="Private Retailer"/>
    <s v="9775182620"/>
    <n v="10.62"/>
    <n v="41"/>
    <x v="3"/>
    <m/>
    <s v="2026-03-10"/>
    <s v="214222"/>
    <s v="Mahamaya Enterprise"/>
    <s v="8348217174"/>
  </r>
  <r>
    <s v="RCF Import"/>
    <s v="Imp 10-26-26"/>
    <s v="WB"/>
    <x v="17"/>
    <s v="Haringhata"/>
    <s v="User Not Mapped"/>
    <s v="User Not Mapped"/>
    <s v="User Not Mapped"/>
    <n v="342679"/>
    <s v="Rajat Kumar Ghosh"/>
    <s v="Private Retailer"/>
    <s v="9734546934"/>
    <n v="5"/>
    <n v="52"/>
    <x v="3"/>
    <m/>
    <s v="2026-02-27"/>
    <s v="214222"/>
    <s v="Mahamaya Enterprise"/>
    <s v="8348217174"/>
  </r>
  <r>
    <s v="RCF Import"/>
    <s v="MOP"/>
    <s v="WB"/>
    <x v="17"/>
    <s v="Haringhata"/>
    <s v="User Not Mapped"/>
    <s v="User Not Mapped"/>
    <s v="User Not Mapped"/>
    <n v="342679"/>
    <s v="Rajat Kumar Ghosh"/>
    <s v="Private Retailer"/>
    <s v="9734546934"/>
    <n v="4.75"/>
    <n v="53"/>
    <x v="3"/>
    <m/>
    <s v="2026-02-26"/>
    <s v="214222"/>
    <s v="Mahamaya Enterprise"/>
    <s v="8348217174"/>
  </r>
  <r>
    <s v="RCF Thal"/>
    <s v="N.C.Urea(45kg)"/>
    <s v="WB"/>
    <x v="17"/>
    <s v="Haringhata"/>
    <s v="User Not Mapped"/>
    <s v="User Not Mapped"/>
    <s v="User Not Mapped"/>
    <n v="342679"/>
    <s v="Rajat Kumar Ghosh"/>
    <s v="Private Retailer"/>
    <s v="9734546934"/>
    <n v="4.9050000000000002"/>
    <n v="41"/>
    <x v="3"/>
    <m/>
    <s v="2026-03-10"/>
    <s v="214222"/>
    <s v="Mahamaya Enterprise"/>
    <s v="8348217174"/>
  </r>
  <r>
    <s v="RCF Trombay"/>
    <s v="15-15-15"/>
    <s v="WB"/>
    <x v="17"/>
    <s v="Haringhata"/>
    <s v="User Not Mapped"/>
    <s v="User Not Mapped"/>
    <s v="User Not Mapped"/>
    <n v="342675"/>
    <s v="Ranjit Mondal"/>
    <s v="Private Retailer"/>
    <s v="9735527921"/>
    <n v="1.8"/>
    <n v="55"/>
    <x v="3"/>
    <m/>
    <s v="2026-02-24"/>
    <s v="214222"/>
    <s v="Mahamaya Enterprise"/>
    <s v="8348217174"/>
  </r>
  <r>
    <s v="RCF Trombay"/>
    <s v="N.C.Urea(45kg)"/>
    <s v="WB"/>
    <x v="17"/>
    <s v="Haringhata"/>
    <s v="User Not Mapped"/>
    <s v="User Not Mapped"/>
    <s v="User Not Mapped"/>
    <n v="342675"/>
    <s v="Ranjit Mondal"/>
    <s v="Private Retailer"/>
    <s v="9735527921"/>
    <n v="3.0150000000000001"/>
    <n v="55"/>
    <x v="3"/>
    <m/>
    <s v="2026-02-24"/>
    <s v="214222"/>
    <s v="Mahamaya Enterprise"/>
    <s v="8348217174"/>
  </r>
  <r>
    <s v="RCF Trombay"/>
    <s v="N.C.Urea(45kg)"/>
    <s v="WB"/>
    <x v="17"/>
    <s v="Haringhata"/>
    <s v="User Not Mapped"/>
    <s v="User Not Mapped"/>
    <s v="User Not Mapped"/>
    <n v="342675"/>
    <s v="Ranjit Mondal"/>
    <s v="Private Retailer"/>
    <s v="9735527921"/>
    <n v="1.62"/>
    <n v="66"/>
    <x v="6"/>
    <m/>
    <s v="2026-02-13"/>
    <s v="214222"/>
    <s v="Mahamaya Enterprise"/>
    <s v="8348217174"/>
  </r>
  <r>
    <s v="RCF Trombay"/>
    <s v="15-15-15"/>
    <s v="WB"/>
    <x v="17"/>
    <s v="Ranaghat - II"/>
    <s v="User Not Mapped"/>
    <s v="User Not Mapped"/>
    <s v="User Not Mapped"/>
    <n v="342585"/>
    <s v="Ranjit Roy"/>
    <s v="Private Retailer"/>
    <s v="9832295890"/>
    <n v="2.7"/>
    <n v="83"/>
    <x v="6"/>
    <m/>
    <s v="2026-01-27"/>
    <s v="214222"/>
    <s v="Mahamaya Enterprise"/>
    <s v="8348217174"/>
  </r>
  <r>
    <s v="RCF Thal"/>
    <s v="N.C.Urea(45kg)"/>
    <s v="WB"/>
    <x v="17"/>
    <s v="Haringhata"/>
    <s v="User Not Mapped"/>
    <s v="User Not Mapped"/>
    <s v="User Not Mapped"/>
    <n v="342672"/>
    <s v="Rekha Roy"/>
    <s v="Private Retailer"/>
    <s v="9609294434"/>
    <n v="10.98"/>
    <n v="41"/>
    <x v="3"/>
    <m/>
    <s v="2026-03-10"/>
    <s v="214222"/>
    <s v="Mahamaya Enterprise"/>
    <s v="8348217174"/>
  </r>
  <r>
    <s v="RCF Import"/>
    <s v="Imp 10-26-26"/>
    <s v="WB"/>
    <x v="17"/>
    <s v="Haringhata"/>
    <s v="User Not Mapped"/>
    <s v="User Not Mapped"/>
    <s v="User Not Mapped"/>
    <n v="342672"/>
    <s v="Rekha Roy"/>
    <s v="Private Retailer"/>
    <s v="9609294434"/>
    <n v="11"/>
    <n v="52"/>
    <x v="3"/>
    <m/>
    <s v="2026-02-27"/>
    <s v="214222"/>
    <s v="Mahamaya Enterprise"/>
    <s v="8348217174"/>
  </r>
  <r>
    <s v="RCF Thal"/>
    <s v="N.C.Urea(45kg)"/>
    <s v="WB"/>
    <x v="17"/>
    <s v="Haringhata"/>
    <s v="User Not Mapped"/>
    <s v="User Not Mapped"/>
    <s v="User Not Mapped"/>
    <n v="342672"/>
    <s v="Rekha Roy"/>
    <s v="Private Retailer"/>
    <s v="9609294434"/>
    <n v="4.2750000000000004"/>
    <n v="70"/>
    <x v="6"/>
    <m/>
    <s v="2026-02-09"/>
    <s v="214222"/>
    <s v="Mahamaya Enterprise"/>
    <s v="8348217174"/>
  </r>
  <r>
    <s v="RCF Import"/>
    <s v="MOP"/>
    <s v="WB"/>
    <x v="17"/>
    <s v="Haringhata"/>
    <s v="User Not Mapped"/>
    <s v="User Not Mapped"/>
    <s v="User Not Mapped"/>
    <n v="342672"/>
    <s v="Rekha Roy"/>
    <s v="Private Retailer"/>
    <s v="9609294434"/>
    <n v="3"/>
    <n v="62"/>
    <x v="6"/>
    <m/>
    <s v="2026-02-17"/>
    <s v="214222"/>
    <s v="Mahamaya Enterprise"/>
    <s v="8348217174"/>
  </r>
  <r>
    <s v="RCF Trombay"/>
    <s v="15-15-15"/>
    <s v="WB"/>
    <x v="17"/>
    <s v="Haringhata"/>
    <s v="User Not Mapped"/>
    <s v="User Not Mapped"/>
    <s v="User Not Mapped"/>
    <n v="342672"/>
    <s v="Rekha Roy"/>
    <s v="Private Retailer"/>
    <s v="9609294434"/>
    <n v="3.3"/>
    <n v="66"/>
    <x v="6"/>
    <m/>
    <s v="2026-02-13"/>
    <s v="214222"/>
    <s v="Mahamaya Enterprise"/>
    <s v="8348217174"/>
  </r>
  <r>
    <s v="RCF Trombay"/>
    <s v="N.C.Urea(45kg)"/>
    <s v="WB"/>
    <x v="17"/>
    <s v="Nakashipara"/>
    <s v="User Not Mapped"/>
    <s v="User Not Mapped"/>
    <s v="User Not Mapped"/>
    <n v="388016"/>
    <s v="Rumpi Fertilisers"/>
    <s v="Private Retailer"/>
    <s v="9735642582"/>
    <n v="4.9950000000000001"/>
    <n v="44"/>
    <x v="3"/>
    <m/>
    <s v="2026-03-07"/>
    <s v="214222"/>
    <s v="Mahamaya Enterprise"/>
    <s v="8348217174"/>
  </r>
  <r>
    <s v="RCF Trombay"/>
    <s v="15-15-15"/>
    <s v="WB"/>
    <x v="17"/>
    <s v="Nakashipara"/>
    <s v="User Not Mapped"/>
    <s v="User Not Mapped"/>
    <s v="User Not Mapped"/>
    <n v="388016"/>
    <s v="Rumpi Fertilisers"/>
    <s v="Private Retailer"/>
    <s v="9735642582"/>
    <n v="3.25"/>
    <n v="44"/>
    <x v="3"/>
    <m/>
    <s v="2026-03-07"/>
    <s v="214222"/>
    <s v="Mahamaya Enterprise"/>
    <s v="8348217174"/>
  </r>
  <r>
    <s v="RCF Trombay"/>
    <s v="N.C.Urea(45kg)"/>
    <s v="WB"/>
    <x v="17"/>
    <s v="Haringhata"/>
    <s v="User Not Mapped"/>
    <s v="User Not Mapped"/>
    <s v="User Not Mapped"/>
    <n v="342650"/>
    <s v="Saifuddin Mandal"/>
    <s v="Private Retailer"/>
    <s v="9064438628"/>
    <n v="3.96"/>
    <n v="55"/>
    <x v="3"/>
    <m/>
    <s v="2026-02-24"/>
    <s v="214222"/>
    <s v="Mahamaya Enterprise"/>
    <s v="8348217174"/>
  </r>
  <r>
    <s v="RCF Thal"/>
    <s v="N.C.Urea(45kg)"/>
    <s v="WB"/>
    <x v="17"/>
    <s v="Ranaghat - II"/>
    <s v="User Not Mapped"/>
    <s v="User Not Mapped"/>
    <s v="User Not Mapped"/>
    <n v="943732"/>
    <s v="SANDIP SAHA"/>
    <s v="Private Retailer"/>
    <s v="9932887755"/>
    <n v="0.27"/>
    <n v="207"/>
    <x v="1"/>
    <m/>
    <s v="2025-09-25"/>
    <s v="214222"/>
    <s v="Mahamaya Enterprise"/>
    <s v="8348217174"/>
  </r>
  <r>
    <s v="RCF Trombay"/>
    <s v="15-15-15"/>
    <s v="WB"/>
    <x v="17"/>
    <s v="Ranaghat - II"/>
    <s v="User Not Mapped"/>
    <s v="User Not Mapped"/>
    <s v="User Not Mapped"/>
    <n v="943732"/>
    <s v="SANDIP SAHA"/>
    <s v="Private Retailer"/>
    <s v="9932887755"/>
    <n v="1.1000000000000001"/>
    <n v="53"/>
    <x v="3"/>
    <m/>
    <s v="2026-02-26"/>
    <s v="214222"/>
    <s v="Mahamaya Enterprise"/>
    <s v="8348217174"/>
  </r>
  <r>
    <s v="RCF Trombay"/>
    <s v="15-15-15"/>
    <s v="WB"/>
    <x v="17"/>
    <s v="Haringhata"/>
    <s v="User Not Mapped"/>
    <s v="User Not Mapped"/>
    <s v="User Not Mapped"/>
    <n v="441505"/>
    <s v="Sarkar Krishi Bhander"/>
    <s v="Private Retailer"/>
    <s v="9732629523"/>
    <n v="0.9"/>
    <n v="66"/>
    <x v="6"/>
    <m/>
    <s v="2026-02-13"/>
    <s v="214222"/>
    <s v="Mahamaya Enterprise"/>
    <s v="8348217174"/>
  </r>
  <r>
    <s v="RCF Thal"/>
    <s v="N.C.Urea(45kg)"/>
    <s v="WB"/>
    <x v="17"/>
    <s v="Haringhata"/>
    <s v="User Not Mapped"/>
    <s v="User Not Mapped"/>
    <s v="User Not Mapped"/>
    <n v="441505"/>
    <s v="Sarkar Krishi Bhander"/>
    <s v="Private Retailer"/>
    <s v="9732629523"/>
    <n v="4.7699999999999996"/>
    <n v="41"/>
    <x v="3"/>
    <m/>
    <s v="2026-03-10"/>
    <s v="214222"/>
    <s v="Mahamaya Enterprise"/>
    <s v="8348217174"/>
  </r>
  <r>
    <s v="RCF Import"/>
    <s v="Imp 10-26-26"/>
    <s v="WB"/>
    <x v="17"/>
    <s v="Haringhata"/>
    <s v="User Not Mapped"/>
    <s v="User Not Mapped"/>
    <s v="User Not Mapped"/>
    <n v="441505"/>
    <s v="Sarkar Krishi Bhander"/>
    <s v="Private Retailer"/>
    <s v="9732629523"/>
    <n v="3.7"/>
    <n v="52"/>
    <x v="3"/>
    <m/>
    <s v="2026-02-27"/>
    <s v="214222"/>
    <s v="Mahamaya Enterprise"/>
    <s v="8348217174"/>
  </r>
  <r>
    <s v="RCF Thal"/>
    <s v="N.C.Urea(45kg)"/>
    <s v="WB"/>
    <x v="17"/>
    <s v="Haringhata"/>
    <s v="User Not Mapped"/>
    <s v="User Not Mapped"/>
    <s v="User Not Mapped"/>
    <n v="1222807"/>
    <s v="SHREE MA LAXMI KRISHI BHNADER"/>
    <s v="Private Retailer"/>
    <s v="9734482877"/>
    <n v="6.66"/>
    <n v="18"/>
    <x v="5"/>
    <m/>
    <s v="2026-04-02"/>
    <s v="214222"/>
    <s v="Mahamaya Enterprise"/>
    <s v="8348217174"/>
  </r>
  <r>
    <s v="RCF Import"/>
    <s v="Imp 10-26-26"/>
    <s v="WB"/>
    <x v="17"/>
    <s v="Haringhata"/>
    <s v="User Not Mapped"/>
    <s v="User Not Mapped"/>
    <s v="User Not Mapped"/>
    <n v="1222807"/>
    <s v="SHREE MA LAXMI KRISHI BHNADER"/>
    <s v="Private Retailer"/>
    <s v="9734482877"/>
    <n v="7"/>
    <n v="52"/>
    <x v="3"/>
    <m/>
    <s v="2026-02-27"/>
    <s v="214222"/>
    <s v="Mahamaya Enterprise"/>
    <s v="8348217174"/>
  </r>
  <r>
    <s v="RCF Trombay"/>
    <s v="15-15-15"/>
    <s v="WB"/>
    <x v="17"/>
    <s v="Haringhata"/>
    <s v="User Not Mapped"/>
    <s v="User Not Mapped"/>
    <s v="User Not Mapped"/>
    <n v="1222807"/>
    <s v="SHREE MA LAXMI KRISHI BHNADER"/>
    <s v="Private Retailer"/>
    <s v="9734482877"/>
    <n v="0.5"/>
    <n v="93"/>
    <x v="7"/>
    <m/>
    <s v="2026-01-17"/>
    <s v="214222"/>
    <s v="Mahamaya Enterprise"/>
    <s v="8348217174"/>
  </r>
  <r>
    <s v="RCF Import"/>
    <s v="MOP"/>
    <s v="WB"/>
    <x v="17"/>
    <s v="Hanskhali"/>
    <s v="User Not Mapped"/>
    <s v="User Not Mapped"/>
    <s v="User Not Mapped"/>
    <n v="438094"/>
    <s v="Sidhartha Panday"/>
    <s v="Private Retailer"/>
    <s v="9932987678"/>
    <n v="9"/>
    <n v="51"/>
    <x v="3"/>
    <m/>
    <s v="2026-02-28"/>
    <s v="214222"/>
    <s v="Mahamaya Enterprise"/>
    <s v="8348217174"/>
  </r>
  <r>
    <s v="RCF Thal"/>
    <s v="N.C.Urea(45kg)"/>
    <s v="WB"/>
    <x v="17"/>
    <s v="Nakashipara"/>
    <s v="User Not Mapped"/>
    <s v="User Not Mapped"/>
    <s v="User Not Mapped"/>
    <n v="413634"/>
    <s v="Sirjul Hoque Sekh "/>
    <s v="Private Retailer"/>
    <s v="9775057010"/>
    <n v="9.99"/>
    <n v="272"/>
    <x v="1"/>
    <m/>
    <s v="2025-07-22"/>
    <s v="214222"/>
    <s v="Mahamaya Enterprise"/>
    <s v="8348217174"/>
  </r>
  <r>
    <s v="RCF Trombay"/>
    <s v="N.C.Urea(45kg)"/>
    <s v="WB"/>
    <x v="17"/>
    <s v="Nakashipara"/>
    <s v="User Not Mapped"/>
    <s v="User Not Mapped"/>
    <s v="User Not Mapped"/>
    <n v="413634"/>
    <s v="Sirjul Hoque Sekh "/>
    <s v="Private Retailer"/>
    <s v="9775057010"/>
    <n v="3.2850000000000001"/>
    <n v="286"/>
    <x v="1"/>
    <m/>
    <s v="2025-07-08"/>
    <s v="214222"/>
    <s v="Mahamaya Enterprise"/>
    <s v="8348217174"/>
  </r>
  <r>
    <s v="RCF Thal"/>
    <s v="N.C.Urea(45kg)"/>
    <s v="WB"/>
    <x v="17"/>
    <s v="Krishnagar - I"/>
    <s v="User Not Mapped"/>
    <s v="User Not Mapped"/>
    <s v="User Not Mapped"/>
    <n v="243927"/>
    <s v="Tapas Kr Sadhukhan"/>
    <s v="Private Retailer"/>
    <s v="9749807346"/>
    <n v="10.755000000000001"/>
    <n v="66"/>
    <x v="6"/>
    <m/>
    <s v="2026-02-13"/>
    <s v="214222"/>
    <s v="Mahamaya Enterprise"/>
    <s v="8348217174"/>
  </r>
  <r>
    <s v="RCF Trombay"/>
    <s v="N.C.Urea(45kg)"/>
    <s v="WB"/>
    <x v="17"/>
    <s v="Ranaghat - II"/>
    <s v="User Not Mapped"/>
    <s v="User Not Mapped"/>
    <s v="User Not Mapped"/>
    <n v="452367"/>
    <s v="Uttam Karmokar"/>
    <s v="Private Retailer"/>
    <s v="9733772588"/>
    <n v="3.2850000000000001"/>
    <n v="55"/>
    <x v="3"/>
    <m/>
    <s v="2026-02-24"/>
    <s v="214222"/>
    <s v="Mahamaya Enterprise"/>
    <s v="8348217174"/>
  </r>
  <r>
    <s v="RCF Trombay"/>
    <s v="N.C.Urea(45kg)"/>
    <s v="WB"/>
    <x v="17"/>
    <m/>
    <s v="User Not Mapped"/>
    <s v="User Not Mapped"/>
    <s v="User Not Mapped"/>
    <n v="1063030"/>
    <s v="ABDUL MALEK MONDAL"/>
    <s v="Private Retailer"/>
    <s v="9547032070"/>
    <n v="0.9"/>
    <n v="2182"/>
    <x v="2"/>
    <m/>
    <s v="2020-04-29"/>
    <s v="901232"/>
    <s v="MALLICK FERTILIZER"/>
    <s v="7001329763"/>
  </r>
  <r>
    <s v="RCF Trombay"/>
    <s v="15-15-15"/>
    <s v="WB"/>
    <x v="17"/>
    <m/>
    <s v="User Not Mapped"/>
    <s v="User Not Mapped"/>
    <s v="User Not Mapped"/>
    <n v="1063030"/>
    <s v="ABDUL MALEK MONDAL"/>
    <s v="Private Retailer"/>
    <s v="9547032070"/>
    <n v="0.3"/>
    <n v="2297"/>
    <x v="2"/>
    <m/>
    <s v="2020-01-05"/>
    <s v="901232"/>
    <s v="MALLICK FERTILIZER"/>
    <s v="7001329763"/>
  </r>
  <r>
    <s v="RCF Trombay"/>
    <s v="15-15-15"/>
    <s v="WB"/>
    <x v="17"/>
    <m/>
    <s v="User Not Mapped"/>
    <s v="User Not Mapped"/>
    <s v="User Not Mapped"/>
    <n v="1107804"/>
    <s v="MONDAL FERTILIZER"/>
    <s v="Private Retailer"/>
    <s v="9091598802"/>
    <n v="0.05"/>
    <n v="2208"/>
    <x v="2"/>
    <m/>
    <s v="2020-04-03"/>
    <s v="901232"/>
    <s v="MALLICK FERTILIZER"/>
    <s v="7001329763"/>
  </r>
  <r>
    <s v="RCF Thal"/>
    <s v="N.C.Urea(45kg)"/>
    <s v="WB"/>
    <x v="17"/>
    <m/>
    <s v="User Not Mapped"/>
    <s v="User Not Mapped"/>
    <s v="User Not Mapped"/>
    <n v="1107804"/>
    <s v="MONDAL FERTILIZER"/>
    <s v="Private Retailer"/>
    <s v="9091598802"/>
    <n v="0.12"/>
    <n v="2410"/>
    <x v="2"/>
    <m/>
    <s v="2019-09-14"/>
    <s v="901232"/>
    <s v="MALLICK FERTILIZER"/>
    <s v="7001329763"/>
  </r>
  <r>
    <s v="RCF Trombay"/>
    <s v="15-15-15"/>
    <s v="WB"/>
    <x v="17"/>
    <s v="Krishnagar - II"/>
    <s v="User Not Mapped"/>
    <s v="User Not Mapped"/>
    <s v="User Not Mapped"/>
    <n v="706162"/>
    <s v="KALI MATA KRISHI BHANDER"/>
    <s v="Private Retailer"/>
    <s v="7477577210"/>
    <n v="0.8"/>
    <n v="1908"/>
    <x v="2"/>
    <m/>
    <s v="2021-01-28"/>
    <s v="260189"/>
    <s v="Manik Lal Dey"/>
    <s v="9002155612"/>
  </r>
  <r>
    <s v="RCF Thal"/>
    <s v="N.C.Urea(45kg)"/>
    <s v="WB"/>
    <x v="17"/>
    <s v="Krishnagar - II"/>
    <s v="User Not Mapped"/>
    <s v="User Not Mapped"/>
    <s v="User Not Mapped"/>
    <n v="706162"/>
    <s v="KALI MATA KRISHI BHANDER"/>
    <s v="Private Retailer"/>
    <s v="7477577210"/>
    <n v="2E-3"/>
    <n v="1908"/>
    <x v="2"/>
    <m/>
    <s v="2021-01-28"/>
    <s v="260189"/>
    <s v="Manik Lal Dey"/>
    <s v="9002155612"/>
  </r>
  <r>
    <s v="RCF Trombay"/>
    <s v="N.C.Urea(45kg)"/>
    <s v="WB"/>
    <x v="17"/>
    <m/>
    <s v="User Not Mapped"/>
    <s v="User Not Mapped"/>
    <s v="User Not Mapped"/>
    <n v="896836"/>
    <s v="M/s MATRI FERTILIZER"/>
    <s v="Private Retailer"/>
    <s v="7432042510"/>
    <n v="5.0000000000000001E-3"/>
    <n v="2117"/>
    <x v="2"/>
    <m/>
    <s v="2020-07-03"/>
    <s v="1036429"/>
    <s v="MONDAL FERTILIZERS"/>
    <s v="8617088579"/>
  </r>
  <r>
    <s v="RCF Trombay"/>
    <s v="15-15-15"/>
    <s v="WB"/>
    <x v="17"/>
    <s v="Ranaghat - II"/>
    <s v="User Not Mapped"/>
    <s v="User Not Mapped"/>
    <s v="User Not Mapped"/>
    <n v="1061888"/>
    <s v="BHARAT MAULEY"/>
    <s v="Private Retailer"/>
    <s v="9382556819"/>
    <n v="0.06"/>
    <n v="187"/>
    <x v="1"/>
    <m/>
    <s v="2025-10-15"/>
    <s v="1036433"/>
    <s v="MRITTUNJAY KUNDU"/>
    <s v="9734074810"/>
  </r>
  <r>
    <s v="RCF Trombay"/>
    <s v="15-15-15"/>
    <s v="WB"/>
    <x v="17"/>
    <s v="Ranaghat - II"/>
    <s v="User Not Mapped"/>
    <s v="User Not Mapped"/>
    <s v="User Not Mapped"/>
    <n v="439028"/>
    <s v="M/S Prosanta Biswas"/>
    <s v="Private Retailer"/>
    <s v="9733836915"/>
    <n v="0.3"/>
    <n v="473"/>
    <x v="0"/>
    <m/>
    <s v="2025-01-02"/>
    <s v="1036433"/>
    <s v="MRITTUNJAY KUNDU"/>
    <s v="9734074810"/>
  </r>
  <r>
    <s v="RCF Trombay"/>
    <s v="15-15-15"/>
    <s v="WB"/>
    <x v="17"/>
    <m/>
    <s v="User Not Mapped"/>
    <s v="User Not Mapped"/>
    <s v="User Not Mapped"/>
    <n v="342112"/>
    <s v="Nirmal Sarkar"/>
    <s v="Private Retailer"/>
    <s v="9733797625"/>
    <n v="7.75"/>
    <n v="274"/>
    <x v="1"/>
    <m/>
    <s v="2025-07-20"/>
    <s v="1036433"/>
    <s v="MRITTUNJAY KUNDU"/>
    <s v="9734074810"/>
  </r>
  <r>
    <s v="RCF Thal"/>
    <s v="N.C.Urea(45kg)"/>
    <s v="WB"/>
    <x v="17"/>
    <s v="Ranaghat - II"/>
    <s v="User Not Mapped"/>
    <s v="User Not Mapped"/>
    <s v="User Not Mapped"/>
    <n v="943806"/>
    <s v="PARITOSH DAS"/>
    <s v="Private Retailer"/>
    <s v="7679146744"/>
    <n v="4.9950000000000001"/>
    <n v="10"/>
    <x v="5"/>
    <m/>
    <s v="2026-04-10"/>
    <s v="1036433"/>
    <s v="MRITTUNJAY KUNDU"/>
    <s v="9734074810"/>
  </r>
  <r>
    <s v="RCF Import"/>
    <s v="Imp 10-26-26"/>
    <s v="WB"/>
    <x v="17"/>
    <s v="Haringhata"/>
    <s v="User Not Mapped"/>
    <s v="User Not Mapped"/>
    <s v="User Not Mapped"/>
    <n v="637803"/>
    <s v="Abdul Rajjak"/>
    <s v="Private Retailer"/>
    <s v="9635284538"/>
    <n v="1.5"/>
    <n v="47"/>
    <x v="3"/>
    <m/>
    <s v="2026-03-04"/>
    <s v="1214830"/>
    <s v="MS AJOY KRISHNA SEAL"/>
    <s v="9932127372"/>
  </r>
  <r>
    <s v="RCF Trombay"/>
    <s v="N.C.Urea(45kg)"/>
    <s v="WB"/>
    <x v="17"/>
    <s v="Haringhata"/>
    <s v="User Not Mapped"/>
    <s v="User Not Mapped"/>
    <s v="User Not Mapped"/>
    <n v="637803"/>
    <s v="Abdul Rajjak"/>
    <s v="Private Retailer"/>
    <s v="9635284538"/>
    <n v="1.8"/>
    <n v="47"/>
    <x v="3"/>
    <m/>
    <s v="2026-03-04"/>
    <s v="1214830"/>
    <s v="MS AJOY KRISHNA SEAL"/>
    <s v="9932127372"/>
  </r>
  <r>
    <s v="RCF Import"/>
    <s v="MOP"/>
    <s v="WB"/>
    <x v="17"/>
    <s v="Haringhata"/>
    <s v="User Not Mapped"/>
    <s v="User Not Mapped"/>
    <s v="User Not Mapped"/>
    <n v="637803"/>
    <s v="Abdul Rajjak"/>
    <s v="Private Retailer"/>
    <s v="9635284538"/>
    <n v="2"/>
    <n v="47"/>
    <x v="3"/>
    <m/>
    <s v="2026-03-04"/>
    <s v="1214830"/>
    <s v="MS AJOY KRISHNA SEAL"/>
    <s v="9932127372"/>
  </r>
  <r>
    <s v="RCF Trombay"/>
    <s v="15-15-15"/>
    <s v="WB"/>
    <x v="17"/>
    <s v="Haringhata"/>
    <s v="User Not Mapped"/>
    <s v="User Not Mapped"/>
    <s v="User Not Mapped"/>
    <n v="637803"/>
    <s v="Abdul Rajjak"/>
    <s v="Private Retailer"/>
    <s v="9635284538"/>
    <n v="1.75"/>
    <n v="47"/>
    <x v="3"/>
    <m/>
    <s v="2026-03-04"/>
    <s v="1214830"/>
    <s v="MS AJOY KRISHNA SEAL"/>
    <s v="9932127372"/>
  </r>
  <r>
    <s v="RCF Trombay"/>
    <s v="15-15-15"/>
    <s v="WB"/>
    <x v="17"/>
    <s v="Haringhata"/>
    <s v="User Not Mapped"/>
    <s v="User Not Mapped"/>
    <s v="User Not Mapped"/>
    <n v="637803"/>
    <s v="Abdul Rajjak"/>
    <s v="Private Retailer"/>
    <s v="9635284538"/>
    <n v="0.65"/>
    <n v="144"/>
    <x v="4"/>
    <m/>
    <s v="2025-11-27"/>
    <s v="1214830"/>
    <s v="MS AJOY KRISHNA SEAL"/>
    <s v="9932127372"/>
  </r>
  <r>
    <s v="RCF Import"/>
    <s v="Imp 10-26-26"/>
    <s v="WB"/>
    <x v="17"/>
    <s v="Chakdah"/>
    <s v="User Not Mapped"/>
    <s v="User Not Mapped"/>
    <s v="User Not Mapped"/>
    <n v="941905"/>
    <s v="FAIJUL HAQUE"/>
    <s v="Private Retailer"/>
    <s v="9614369129"/>
    <n v="0.5"/>
    <n v="10"/>
    <x v="5"/>
    <m/>
    <s v="2026-04-10"/>
    <s v="1214830"/>
    <s v="MS AJOY KRISHNA SEAL"/>
    <s v="9932127372"/>
  </r>
  <r>
    <s v="RCF Import"/>
    <s v="MOP"/>
    <s v="WB"/>
    <x v="17"/>
    <s v="Chakdah"/>
    <s v="User Not Mapped"/>
    <s v="User Not Mapped"/>
    <s v="User Not Mapped"/>
    <n v="941905"/>
    <s v="FAIJUL HAQUE"/>
    <s v="Private Retailer"/>
    <s v="9614369129"/>
    <n v="0.5"/>
    <n v="10"/>
    <x v="5"/>
    <m/>
    <s v="2026-04-10"/>
    <s v="1214830"/>
    <s v="MS AJOY KRISHNA SEAL"/>
    <s v="9932127372"/>
  </r>
  <r>
    <s v="RCF Trombay"/>
    <s v="N.C.Urea(45kg)"/>
    <s v="WB"/>
    <x v="17"/>
    <s v="Chakdah"/>
    <s v="User Not Mapped"/>
    <s v="User Not Mapped"/>
    <s v="User Not Mapped"/>
    <n v="941905"/>
    <s v="FAIJUL HAQUE"/>
    <s v="Private Retailer"/>
    <s v="9614369129"/>
    <n v="0.9"/>
    <n v="10"/>
    <x v="5"/>
    <m/>
    <s v="2026-04-10"/>
    <s v="1214830"/>
    <s v="MS AJOY KRISHNA SEAL"/>
    <s v="9932127372"/>
  </r>
  <r>
    <s v="RCF Trombay"/>
    <s v="N.C.Urea(45kg)"/>
    <s v="WB"/>
    <x v="17"/>
    <s v="Chakdah"/>
    <s v="User Not Mapped"/>
    <s v="User Not Mapped"/>
    <s v="User Not Mapped"/>
    <n v="941905"/>
    <s v="FAIJUL HAQUE"/>
    <s v="Private Retailer"/>
    <s v="9614369129"/>
    <n v="0.57999999999999996"/>
    <n v="273"/>
    <x v="1"/>
    <m/>
    <s v="2025-07-21"/>
    <s v="1214830"/>
    <s v="MS AJOY KRISHNA SEAL"/>
    <s v="9932127372"/>
  </r>
  <r>
    <s v="RCF Import"/>
    <s v="MOP"/>
    <s v="WB"/>
    <x v="17"/>
    <s v="Kalyani"/>
    <s v="User Not Mapped"/>
    <s v="User Not Mapped"/>
    <s v="User Not Mapped"/>
    <n v="1572410"/>
    <s v="GHOSH FERTILIZER AND PESTICIDE"/>
    <s v="Private Retailer"/>
    <s v="9163871215"/>
    <n v="0.89400000000000002"/>
    <n v="47"/>
    <x v="3"/>
    <m/>
    <s v="2026-03-04"/>
    <s v="1214830"/>
    <s v="MS AJOY KRISHNA SEAL"/>
    <s v="9932127372"/>
  </r>
  <r>
    <s v="RCF Import"/>
    <s v="MOP"/>
    <s v="WB"/>
    <x v="17"/>
    <s v="Kalyani"/>
    <s v="User Not Mapped"/>
    <s v="User Not Mapped"/>
    <s v="User Not Mapped"/>
    <n v="1572410"/>
    <s v="GHOSH FERTILIZER AND PESTICIDE"/>
    <s v="Private Retailer"/>
    <s v="9163871215"/>
    <n v="1"/>
    <n v="8"/>
    <x v="5"/>
    <m/>
    <s v="2026-04-12"/>
    <s v="1214830"/>
    <s v="MS AJOY KRISHNA SEAL"/>
    <s v="9932127372"/>
  </r>
  <r>
    <s v="RCF Trombay"/>
    <s v="15-15-15"/>
    <s v="WB"/>
    <x v="17"/>
    <s v="Kalyani"/>
    <s v="User Not Mapped"/>
    <s v="User Not Mapped"/>
    <s v="User Not Mapped"/>
    <n v="1572410"/>
    <s v="GHOSH FERTILIZER AND PESTICIDE"/>
    <s v="Private Retailer"/>
    <s v="9163871215"/>
    <n v="0.13400000000000001"/>
    <n v="173"/>
    <x v="4"/>
    <m/>
    <s v="2025-10-29"/>
    <s v="1214830"/>
    <s v="MS AJOY KRISHNA SEAL"/>
    <s v="9932127372"/>
  </r>
  <r>
    <s v="RCF Thal"/>
    <s v="N.C.Urea(45kg)"/>
    <s v="WB"/>
    <x v="17"/>
    <s v="Kalyani"/>
    <s v="User Not Mapped"/>
    <s v="User Not Mapped"/>
    <s v="User Not Mapped"/>
    <n v="1572410"/>
    <s v="GHOSH FERTILIZER AND PESTICIDE"/>
    <s v="Private Retailer"/>
    <s v="9163871215"/>
    <n v="0.91500000000000004"/>
    <n v="8"/>
    <x v="5"/>
    <m/>
    <s v="2026-04-12"/>
    <s v="1214830"/>
    <s v="MS AJOY KRISHNA SEAL"/>
    <s v="9932127372"/>
  </r>
  <r>
    <s v="RCF Trombay"/>
    <s v="N.C.Urea(45kg)"/>
    <s v="WB"/>
    <x v="17"/>
    <s v="Kalyani"/>
    <s v="User Not Mapped"/>
    <s v="User Not Mapped"/>
    <s v="User Not Mapped"/>
    <n v="1572410"/>
    <s v="GHOSH FERTILIZER AND PESTICIDE"/>
    <s v="Private Retailer"/>
    <s v="9163871215"/>
    <n v="1.7150000000000001"/>
    <n v="47"/>
    <x v="3"/>
    <m/>
    <s v="2026-03-04"/>
    <s v="1214830"/>
    <s v="MS AJOY KRISHNA SEAL"/>
    <s v="9932127372"/>
  </r>
  <r>
    <s v="RCF Import"/>
    <s v="Imp 10-26-26"/>
    <s v="WB"/>
    <x v="17"/>
    <s v="Kalyani"/>
    <s v="User Not Mapped"/>
    <s v="User Not Mapped"/>
    <s v="User Not Mapped"/>
    <n v="1572410"/>
    <s v="GHOSH FERTILIZER AND PESTICIDE"/>
    <s v="Private Retailer"/>
    <s v="9163871215"/>
    <n v="1"/>
    <n v="8"/>
    <x v="5"/>
    <m/>
    <s v="2026-04-12"/>
    <s v="1214830"/>
    <s v="MS AJOY KRISHNA SEAL"/>
    <s v="9932127372"/>
  </r>
  <r>
    <s v="RCF Import"/>
    <s v="Imp 10-26-26"/>
    <s v="WB"/>
    <x v="17"/>
    <s v="Kalyani"/>
    <s v="User Not Mapped"/>
    <s v="User Not Mapped"/>
    <s v="User Not Mapped"/>
    <n v="1572410"/>
    <s v="GHOSH FERTILIZER AND PESTICIDE"/>
    <s v="Private Retailer"/>
    <s v="9163871215"/>
    <n v="0.72799999999999998"/>
    <n v="47"/>
    <x v="3"/>
    <m/>
    <s v="2026-03-04"/>
    <s v="1214830"/>
    <s v="MS AJOY KRISHNA SEAL"/>
    <s v="9932127372"/>
  </r>
  <r>
    <s v="RCF Trombay"/>
    <s v="N.C.Urea(45kg)"/>
    <s v="WB"/>
    <x v="17"/>
    <s v="Haringhata"/>
    <s v="User Not Mapped"/>
    <s v="User Not Mapped"/>
    <s v="User Not Mapped"/>
    <n v="1031345"/>
    <s v="JAYNUL MOLLA"/>
    <s v="Private Retailer"/>
    <s v="8016892344"/>
    <n v="1.4999999999999999E-2"/>
    <n v="621"/>
    <x v="2"/>
    <m/>
    <s v="2024-08-07"/>
    <s v="1214830"/>
    <s v="MS AJOY KRISHNA SEAL"/>
    <s v="9932127372"/>
  </r>
  <r>
    <s v="RCF Trombay"/>
    <s v="N.C.Urea(45kg)"/>
    <s v="WB"/>
    <x v="17"/>
    <s v="Haringhata"/>
    <s v="User Not Mapped"/>
    <s v="User Not Mapped"/>
    <s v="User Not Mapped"/>
    <n v="517095"/>
    <s v="Kadura Khatun Bibi"/>
    <s v="Private Retailer"/>
    <s v="9339222799"/>
    <n v="1.8"/>
    <n v="85"/>
    <x v="6"/>
    <m/>
    <s v="2026-01-25"/>
    <s v="1214830"/>
    <s v="MS AJOY KRISHNA SEAL"/>
    <s v="9932127372"/>
  </r>
  <r>
    <s v="RCF Trombay"/>
    <s v="N.C.Urea(45kg)"/>
    <s v="WB"/>
    <x v="17"/>
    <s v="Haringhata"/>
    <s v="User Not Mapped"/>
    <s v="User Not Mapped"/>
    <s v="User Not Mapped"/>
    <n v="517095"/>
    <s v="Kadura Khatun Bibi"/>
    <s v="Private Retailer"/>
    <s v="9339222799"/>
    <n v="1"/>
    <n v="47"/>
    <x v="3"/>
    <m/>
    <s v="2026-03-04"/>
    <s v="1214830"/>
    <s v="MS AJOY KRISHNA SEAL"/>
    <s v="9932127372"/>
  </r>
  <r>
    <s v="RCF Import"/>
    <s v="MOP"/>
    <s v="WB"/>
    <x v="17"/>
    <s v="Haringhata"/>
    <s v="User Not Mapped"/>
    <s v="User Not Mapped"/>
    <s v="User Not Mapped"/>
    <n v="517095"/>
    <s v="Kadura Khatun Bibi"/>
    <s v="Private Retailer"/>
    <s v="9339222799"/>
    <n v="1"/>
    <n v="47"/>
    <x v="3"/>
    <m/>
    <s v="2026-03-04"/>
    <s v="1214830"/>
    <s v="MS AJOY KRISHNA SEAL"/>
    <s v="9932127372"/>
  </r>
  <r>
    <s v="RCF Import"/>
    <s v="Imp 10-26-26"/>
    <s v="WB"/>
    <x v="17"/>
    <s v="Haringhata"/>
    <s v="User Not Mapped"/>
    <s v="User Not Mapped"/>
    <s v="User Not Mapped"/>
    <n v="517095"/>
    <s v="Kadura Khatun Bibi"/>
    <s v="Private Retailer"/>
    <s v="9339222799"/>
    <n v="1"/>
    <n v="47"/>
    <x v="3"/>
    <m/>
    <s v="2026-03-04"/>
    <s v="1214830"/>
    <s v="MS AJOY KRISHNA SEAL"/>
    <s v="9932127372"/>
  </r>
  <r>
    <s v="RCF Trombay"/>
    <s v="N.C.Urea(45kg)"/>
    <s v="WB"/>
    <x v="17"/>
    <s v="Ranaghat - I"/>
    <s v="User Not Mapped"/>
    <s v="User Not Mapped"/>
    <s v="User Not Mapped"/>
    <n v="342020"/>
    <s v="M/S NABA KUMAR BISWAS"/>
    <s v="Private Retailer"/>
    <s v="8900025627"/>
    <n v="3.7650000000000001"/>
    <n v="1454"/>
    <x v="2"/>
    <m/>
    <s v="2022-04-27"/>
    <s v="1214830"/>
    <s v="MS AJOY KRISHNA SEAL"/>
    <s v="9932127372"/>
  </r>
  <r>
    <s v="RCF Trombay"/>
    <s v="15-15-15"/>
    <s v="WB"/>
    <x v="17"/>
    <s v="Ranaghat - I"/>
    <s v="User Not Mapped"/>
    <s v="User Not Mapped"/>
    <s v="User Not Mapped"/>
    <n v="342020"/>
    <s v="M/S NABA KUMAR BISWAS"/>
    <s v="Private Retailer"/>
    <s v="8900025627"/>
    <n v="0.1"/>
    <n v="1519"/>
    <x v="2"/>
    <m/>
    <s v="2022-02-21"/>
    <s v="1214830"/>
    <s v="MS AJOY KRISHNA SEAL"/>
    <s v="9932127372"/>
  </r>
  <r>
    <s v="RCF Import"/>
    <s v="MOP"/>
    <s v="WB"/>
    <x v="17"/>
    <s v="Haringhata"/>
    <s v="User Not Mapped"/>
    <s v="User Not Mapped"/>
    <s v="User Not Mapped"/>
    <n v="342120"/>
    <s v="M/S ROY FERTILIZERS"/>
    <s v="Private Retailer"/>
    <s v="9564130524"/>
    <n v="0.05"/>
    <n v="47"/>
    <x v="3"/>
    <m/>
    <s v="2026-03-04"/>
    <s v="1214830"/>
    <s v="MS AJOY KRISHNA SEAL"/>
    <s v="9932127372"/>
  </r>
  <r>
    <s v="RCF Trombay"/>
    <s v="N.C.Urea(45kg)"/>
    <s v="WB"/>
    <x v="17"/>
    <s v="Haringhata"/>
    <s v="User Not Mapped"/>
    <s v="User Not Mapped"/>
    <s v="User Not Mapped"/>
    <n v="342120"/>
    <s v="M/S ROY FERTILIZERS"/>
    <s v="Private Retailer"/>
    <s v="9564130524"/>
    <n v="1.175"/>
    <n v="47"/>
    <x v="3"/>
    <m/>
    <s v="2026-03-04"/>
    <s v="1214830"/>
    <s v="MS AJOY KRISHNA SEAL"/>
    <s v="9932127372"/>
  </r>
  <r>
    <s v="RCF Trombay"/>
    <s v="N.C.Urea(45kg)"/>
    <s v="WB"/>
    <x v="17"/>
    <s v="Haringhata"/>
    <s v="User Not Mapped"/>
    <s v="User Not Mapped"/>
    <s v="User Not Mapped"/>
    <n v="1537831"/>
    <s v="M/s TARAFDER ENTERPRISE"/>
    <s v="Private Retailer"/>
    <s v="9064110296"/>
    <n v="8.5000000000000006E-2"/>
    <n v="134"/>
    <x v="4"/>
    <m/>
    <s v="2025-12-07"/>
    <s v="1214830"/>
    <s v="MS AJOY KRISHNA SEAL"/>
    <s v="9932127372"/>
  </r>
  <r>
    <s v="RCF Trombay"/>
    <s v="N.C.Urea(45kg)"/>
    <s v="WB"/>
    <x v="17"/>
    <s v="Chakdah"/>
    <s v="User Not Mapped"/>
    <s v="User Not Mapped"/>
    <s v="User Not Mapped"/>
    <n v="342634"/>
    <s v="MIS HABINOHA NATH GHOSH"/>
    <s v="Private Retailer"/>
    <s v="8926945029"/>
    <n v="3.3000000000000002E-2"/>
    <n v="537"/>
    <x v="0"/>
    <m/>
    <s v="2024-10-30"/>
    <s v="1214830"/>
    <s v="MS AJOY KRISHNA SEAL"/>
    <s v="9932127372"/>
  </r>
  <r>
    <s v="RCF Trombay"/>
    <s v="N.C.Urea(45kg)"/>
    <s v="WB"/>
    <x v="17"/>
    <m/>
    <s v="User Not Mapped"/>
    <s v="User Not Mapped"/>
    <s v="User Not Mapped"/>
    <n v="342153"/>
    <s v="Paresh Ch. Tarafder"/>
    <s v="Private Retailer"/>
    <s v="7431855016"/>
    <n v="0.45"/>
    <n v="450"/>
    <x v="0"/>
    <m/>
    <s v="2025-01-25"/>
    <s v="1214830"/>
    <s v="MS AJOY KRISHNA SEAL"/>
    <s v="9932127372"/>
  </r>
  <r>
    <s v="RCF Trombay"/>
    <s v="N.C.Urea(45kg)"/>
    <s v="WB"/>
    <x v="17"/>
    <s v="Haringhata"/>
    <s v="User Not Mapped"/>
    <s v="User Not Mapped"/>
    <s v="User Not Mapped"/>
    <n v="342678"/>
    <s v="Prodip Pal"/>
    <s v="Private Retailer"/>
    <s v="8768550450"/>
    <n v="0.08"/>
    <n v="174"/>
    <x v="4"/>
    <m/>
    <s v="2025-10-28"/>
    <s v="1214830"/>
    <s v="MS AJOY KRISHNA SEAL"/>
    <s v="9932127372"/>
  </r>
  <r>
    <s v="RCF Import"/>
    <s v="MOP"/>
    <s v="WB"/>
    <x v="17"/>
    <s v="Nabadwip"/>
    <s v="User Not Mapped"/>
    <s v="User Not Mapped"/>
    <s v="User Not Mapped"/>
    <n v="342586"/>
    <s v="Ranjit Das"/>
    <s v="Private Retailer"/>
    <s v="8013270338"/>
    <n v="0.875"/>
    <n v="42"/>
    <x v="3"/>
    <m/>
    <s v="2026-03-09"/>
    <s v="1214830"/>
    <s v="MS AJOY KRISHNA SEAL"/>
    <s v="9932127372"/>
  </r>
  <r>
    <s v="RCF Trombay"/>
    <s v="N.C.Urea(45kg)"/>
    <s v="WB"/>
    <x v="17"/>
    <s v="Nabadwip"/>
    <s v="User Not Mapped"/>
    <s v="User Not Mapped"/>
    <s v="User Not Mapped"/>
    <n v="342586"/>
    <s v="Ranjit Das"/>
    <s v="Private Retailer"/>
    <s v="8013270338"/>
    <n v="1.6850000000000001"/>
    <n v="42"/>
    <x v="3"/>
    <m/>
    <s v="2026-03-09"/>
    <s v="1214830"/>
    <s v="MS AJOY KRISHNA SEAL"/>
    <s v="9932127372"/>
  </r>
  <r>
    <s v="RCF Import"/>
    <s v="Imp 10-26-26"/>
    <s v="WB"/>
    <x v="17"/>
    <s v="Nabadwip"/>
    <s v="User Not Mapped"/>
    <s v="User Not Mapped"/>
    <s v="User Not Mapped"/>
    <n v="342586"/>
    <s v="Ranjit Das"/>
    <s v="Private Retailer"/>
    <s v="8013270338"/>
    <n v="0.37"/>
    <n v="42"/>
    <x v="3"/>
    <m/>
    <s v="2026-03-09"/>
    <s v="1214830"/>
    <s v="MS AJOY KRISHNA SEAL"/>
    <s v="9932127372"/>
  </r>
  <r>
    <s v="RCF Import"/>
    <s v="Imp 10-26-26"/>
    <s v="WB"/>
    <x v="17"/>
    <s v="Nabadwip"/>
    <s v="User Not Mapped"/>
    <s v="User Not Mapped"/>
    <s v="User Not Mapped"/>
    <n v="342586"/>
    <s v="Ranjit Das"/>
    <s v="Private Retailer"/>
    <s v="8013270338"/>
    <n v="1"/>
    <n v="14"/>
    <x v="5"/>
    <m/>
    <s v="2026-04-06"/>
    <s v="1214830"/>
    <s v="MS AJOY KRISHNA SEAL"/>
    <s v="9932127372"/>
  </r>
  <r>
    <s v="RCF Trombay"/>
    <s v="15-15-15"/>
    <s v="WB"/>
    <x v="17"/>
    <s v="Chakdah"/>
    <s v="User Not Mapped"/>
    <s v="User Not Mapped"/>
    <s v="User Not Mapped"/>
    <n v="941634"/>
    <s v="RASID ALAM GHARAMI"/>
    <s v="Private Retailer"/>
    <s v="9153081266"/>
    <n v="4.9800000000000004"/>
    <n v="47"/>
    <x v="3"/>
    <m/>
    <s v="2026-03-04"/>
    <s v="1214830"/>
    <s v="MS AJOY KRISHNA SEAL"/>
    <s v="9932127372"/>
  </r>
  <r>
    <s v="RCF Import"/>
    <s v="MOP"/>
    <s v="WB"/>
    <x v="17"/>
    <s v="Krishnagar - II"/>
    <s v="User Not Mapped"/>
    <s v="User Not Mapped"/>
    <s v="User Not Mapped"/>
    <n v="464352"/>
    <s v="Alibaddin Shaikh"/>
    <s v="Private Retailer"/>
    <s v="9475489667"/>
    <n v="5"/>
    <n v="58"/>
    <x v="3"/>
    <m/>
    <s v="2026-02-21"/>
    <s v="259034"/>
    <s v="MS Guha And Co"/>
    <s v="8695359505"/>
  </r>
  <r>
    <s v="RCF Trombay"/>
    <s v="15-15-15"/>
    <s v="WB"/>
    <x v="17"/>
    <s v="Hanskhali"/>
    <s v="User Not Mapped"/>
    <s v="User Not Mapped"/>
    <s v="User Not Mapped"/>
    <n v="340779"/>
    <s v="Amaresh Sadhukhan"/>
    <s v="Private Retailer"/>
    <s v="9434955670"/>
    <n v="3.75"/>
    <n v="103"/>
    <x v="7"/>
    <m/>
    <s v="2026-01-07"/>
    <s v="259034"/>
    <s v="MS Guha And Co"/>
    <s v="8695359505"/>
  </r>
  <r>
    <s v="RCF Trombay"/>
    <s v="N.C.Urea(45kg)"/>
    <s v="WB"/>
    <x v="17"/>
    <s v="Nakashipara"/>
    <s v="User Not Mapped"/>
    <s v="User Not Mapped"/>
    <s v="User Not Mapped"/>
    <n v="865245"/>
    <s v="Anirul Sarkar"/>
    <s v="Private Retailer"/>
    <s v="9635997026"/>
    <n v="2.25"/>
    <n v="55"/>
    <x v="3"/>
    <m/>
    <s v="2026-02-24"/>
    <s v="259034"/>
    <s v="MS Guha And Co"/>
    <s v="8695359505"/>
  </r>
  <r>
    <s v="RCF Trombay"/>
    <s v="N.C.Urea(45kg)"/>
    <s v="WB"/>
    <x v="17"/>
    <s v="Nakashipara"/>
    <s v="User Not Mapped"/>
    <s v="User Not Mapped"/>
    <s v="User Not Mapped"/>
    <n v="737827"/>
    <s v="ANUJ KUMAR GHOSH"/>
    <s v="Private Retailer"/>
    <s v="9932280185"/>
    <n v="0.40500000000000003"/>
    <n v="233"/>
    <x v="1"/>
    <m/>
    <s v="2025-08-30"/>
    <s v="259034"/>
    <s v="MS Guha And Co"/>
    <s v="8695359505"/>
  </r>
  <r>
    <s v="RCF Trombay"/>
    <s v="N.C.Urea(45kg)"/>
    <s v="WB"/>
    <x v="17"/>
    <s v="Nakashipara"/>
    <s v="User Not Mapped"/>
    <s v="User Not Mapped"/>
    <s v="User Not Mapped"/>
    <n v="737827"/>
    <s v="ANUJ KUMAR GHOSH"/>
    <s v="Private Retailer"/>
    <s v="9932280185"/>
    <n v="2.7450000000000001"/>
    <n v="55"/>
    <x v="3"/>
    <m/>
    <s v="2026-02-24"/>
    <s v="259034"/>
    <s v="MS Guha And Co"/>
    <s v="8695359505"/>
  </r>
  <r>
    <s v="RCF Import"/>
    <s v="MOP"/>
    <s v="WB"/>
    <x v="17"/>
    <s v="Nakashipara"/>
    <s v="User Not Mapped"/>
    <s v="User Not Mapped"/>
    <s v="User Not Mapped"/>
    <n v="859173"/>
    <s v="AOLAD SK"/>
    <s v="Private Retailer"/>
    <s v="9064848607"/>
    <n v="5"/>
    <n v="41"/>
    <x v="3"/>
    <m/>
    <s v="2026-03-10"/>
    <s v="259034"/>
    <s v="MS Guha And Co"/>
    <s v="8695359505"/>
  </r>
  <r>
    <s v="RCF Thal"/>
    <s v="N.C.Urea(45kg)"/>
    <s v="WB"/>
    <x v="17"/>
    <s v="Ranaghat - II"/>
    <s v="User Not Mapped"/>
    <s v="User Not Mapped"/>
    <s v="User Not Mapped"/>
    <n v="272873"/>
    <s v="Ashit Biswas"/>
    <s v="Private Retailer"/>
    <s v="9064073378"/>
    <n v="9.27"/>
    <n v="16"/>
    <x v="5"/>
    <m/>
    <s v="2026-04-04"/>
    <s v="259034"/>
    <s v="MS Guha And Co"/>
    <s v="8695359505"/>
  </r>
  <r>
    <s v="RCF Import"/>
    <s v="MOP"/>
    <s v="WB"/>
    <x v="17"/>
    <s v="Ranaghat - II"/>
    <s v="User Not Mapped"/>
    <s v="User Not Mapped"/>
    <s v="User Not Mapped"/>
    <n v="272873"/>
    <s v="Ashit Biswas"/>
    <s v="Private Retailer"/>
    <s v="9064073378"/>
    <n v="7.1"/>
    <n v="55"/>
    <x v="3"/>
    <m/>
    <s v="2026-02-24"/>
    <s v="259034"/>
    <s v="MS Guha And Co"/>
    <s v="8695359505"/>
  </r>
  <r>
    <s v="RCF Trombay"/>
    <s v="15-15-15"/>
    <s v="WB"/>
    <x v="17"/>
    <s v="Ranaghat - II"/>
    <s v="User Not Mapped"/>
    <s v="User Not Mapped"/>
    <s v="User Not Mapped"/>
    <n v="272873"/>
    <s v="Ashit Biswas"/>
    <s v="Private Retailer"/>
    <s v="9064073378"/>
    <n v="2.1"/>
    <n v="58"/>
    <x v="3"/>
    <m/>
    <s v="2026-02-21"/>
    <s v="259034"/>
    <s v="MS Guha And Co"/>
    <s v="8695359505"/>
  </r>
  <r>
    <s v="RCF Trombay"/>
    <s v="15-15-15"/>
    <s v="WB"/>
    <x v="17"/>
    <s v="Krishnagar - I"/>
    <s v="User Not Mapped"/>
    <s v="User Not Mapped"/>
    <s v="User Not Mapped"/>
    <n v="212995"/>
    <s v="Ashutosh Das"/>
    <s v="Private Retailer"/>
    <s v="9474339810"/>
    <n v="6.45"/>
    <n v="55"/>
    <x v="3"/>
    <m/>
    <s v="2026-02-24"/>
    <s v="259034"/>
    <s v="MS Guha And Co"/>
    <s v="8695359505"/>
  </r>
  <r>
    <s v="RCF Trombay"/>
    <s v="15-15-15"/>
    <s v="WB"/>
    <x v="17"/>
    <s v="Nakashipara"/>
    <s v="User Not Mapped"/>
    <s v="User Not Mapped"/>
    <s v="User Not Mapped"/>
    <n v="739662"/>
    <s v="Atiur Rahaman Seikh"/>
    <s v="Private Retailer"/>
    <s v="9775539080"/>
    <n v="1"/>
    <n v="41"/>
    <x v="3"/>
    <m/>
    <s v="2026-03-10"/>
    <s v="259034"/>
    <s v="MS Guha And Co"/>
    <s v="8695359505"/>
  </r>
  <r>
    <s v="RCF Trombay"/>
    <s v="N.C.Urea(45kg)"/>
    <s v="WB"/>
    <x v="17"/>
    <s v="Hanskhali"/>
    <s v="User Not Mapped"/>
    <s v="User Not Mapped"/>
    <s v="User Not Mapped"/>
    <n v="750368"/>
    <s v="BISWAJIT DAS"/>
    <s v="Private Retailer"/>
    <s v="8967427205"/>
    <n v="3.4649999999999999"/>
    <n v="237"/>
    <x v="1"/>
    <m/>
    <s v="2025-08-26"/>
    <s v="259034"/>
    <s v="MS Guha And Co"/>
    <s v="8695359505"/>
  </r>
  <r>
    <s v="RCF Trombay"/>
    <s v="15-15-15"/>
    <s v="WB"/>
    <x v="17"/>
    <s v="Chapra"/>
    <s v="User Not Mapped"/>
    <s v="User Not Mapped"/>
    <s v="User Not Mapped"/>
    <n v="888818"/>
    <s v="BISWAS FERTILIZER"/>
    <s v="Private Retailer"/>
    <s v="7318812133"/>
    <n v="1.9"/>
    <n v="174"/>
    <x v="4"/>
    <m/>
    <s v="2025-10-28"/>
    <s v="259034"/>
    <s v="MS Guha And Co"/>
    <s v="8695359505"/>
  </r>
  <r>
    <s v="RCF Import"/>
    <s v="Imp 10-26-26"/>
    <s v="WB"/>
    <x v="17"/>
    <s v="Chapra"/>
    <s v="User Not Mapped"/>
    <s v="User Not Mapped"/>
    <s v="User Not Mapped"/>
    <n v="941032"/>
    <s v="BISWAS FERTILIZER"/>
    <s v="Private Retailer"/>
    <s v="9564288096"/>
    <n v="4.7"/>
    <n v="20"/>
    <x v="5"/>
    <m/>
    <s v="2026-03-31"/>
    <s v="259034"/>
    <s v="MS Guha And Co"/>
    <s v="8695359505"/>
  </r>
  <r>
    <s v="RCF Trombay"/>
    <s v="15-15-15"/>
    <s v="WB"/>
    <x v="17"/>
    <s v="Chapra"/>
    <s v="User Not Mapped"/>
    <s v="User Not Mapped"/>
    <s v="User Not Mapped"/>
    <n v="941032"/>
    <s v="BISWAS FERTILIZER"/>
    <s v="Private Retailer"/>
    <s v="9564288096"/>
    <n v="1.1000000000000001"/>
    <n v="174"/>
    <x v="4"/>
    <m/>
    <s v="2025-10-28"/>
    <s v="259034"/>
    <s v="MS Guha And Co"/>
    <s v="8695359505"/>
  </r>
  <r>
    <s v="RCF Trombay"/>
    <s v="15-15-15"/>
    <s v="WB"/>
    <x v="17"/>
    <s v="Chapra"/>
    <s v="User Not Mapped"/>
    <s v="User Not Mapped"/>
    <s v="User Not Mapped"/>
    <n v="1062955"/>
    <s v="Biswas Fertilizer"/>
    <s v="Private Retailer"/>
    <s v="9800199336"/>
    <n v="3.75"/>
    <n v="86"/>
    <x v="6"/>
    <m/>
    <s v="2026-01-24"/>
    <s v="259034"/>
    <s v="MS Guha And Co"/>
    <s v="8695359505"/>
  </r>
  <r>
    <s v="RCF Trombay"/>
    <s v="15-15-15"/>
    <s v="WB"/>
    <x v="17"/>
    <s v="Santipur"/>
    <s v="User Not Mapped"/>
    <s v="User Not Mapped"/>
    <s v="User Not Mapped"/>
    <n v="341257"/>
    <s v="Dhanajay Majumder"/>
    <s v="Private Retailer"/>
    <s v="9434825824"/>
    <n v="0.1"/>
    <n v="394"/>
    <x v="0"/>
    <m/>
    <s v="2025-03-22"/>
    <s v="259034"/>
    <s v="MS Guha And Co"/>
    <s v="8695359505"/>
  </r>
  <r>
    <s v="RCF Trombay"/>
    <s v="15-15-15"/>
    <s v="WB"/>
    <x v="17"/>
    <s v="Ranaghat - I"/>
    <s v="User Not Mapped"/>
    <s v="User Not Mapped"/>
    <s v="User Not Mapped"/>
    <n v="1219879"/>
    <s v="DIPANKAR DAS"/>
    <s v="Private Retailer"/>
    <s v="9153844241"/>
    <n v="6.5"/>
    <n v="58"/>
    <x v="3"/>
    <m/>
    <s v="2026-02-21"/>
    <s v="259034"/>
    <s v="MS Guha And Co"/>
    <s v="8695359505"/>
  </r>
  <r>
    <s v="RCF Trombay"/>
    <s v="15-15-15"/>
    <s v="WB"/>
    <x v="17"/>
    <s v="Chapra"/>
    <s v="User Not Mapped"/>
    <s v="User Not Mapped"/>
    <s v="User Not Mapped"/>
    <n v="491717"/>
    <s v="Giyasuddin Sk"/>
    <s v="Private Retailer"/>
    <s v="8926920868"/>
    <n v="5"/>
    <n v="58"/>
    <x v="3"/>
    <m/>
    <s v="2026-02-21"/>
    <s v="259034"/>
    <s v="MS Guha And Co"/>
    <s v="8695359505"/>
  </r>
  <r>
    <s v="RCF Thal"/>
    <s v="N.C.Urea(45kg)"/>
    <s v="WB"/>
    <x v="17"/>
    <s v="Ranaghat - II"/>
    <s v="User Not Mapped"/>
    <s v="User Not Mapped"/>
    <s v="User Not Mapped"/>
    <n v="341406"/>
    <s v="Gopinath Kundu"/>
    <s v="Private Retailer"/>
    <s v="9734074810"/>
    <n v="3.6"/>
    <n v="20"/>
    <x v="5"/>
    <m/>
    <s v="2026-03-31"/>
    <s v="259034"/>
    <s v="MS Guha And Co"/>
    <s v="8695359505"/>
  </r>
  <r>
    <s v="RCF Trombay"/>
    <s v="15-15-15"/>
    <s v="WB"/>
    <x v="17"/>
    <m/>
    <s v="User Not Mapped"/>
    <s v="User Not Mapped"/>
    <s v="User Not Mapped"/>
    <n v="938172"/>
    <s v="HARA GOPAL RAY"/>
    <s v="Private Retailer"/>
    <s v="7384088074"/>
    <n v="1"/>
    <n v="1714"/>
    <x v="2"/>
    <m/>
    <s v="2021-08-10"/>
    <s v="259034"/>
    <s v="MS Guha And Co"/>
    <s v="8695359505"/>
  </r>
  <r>
    <s v="RCF Trombay"/>
    <s v="N.C.Urea(45kg)"/>
    <s v="WB"/>
    <x v="17"/>
    <s v="Kaliganj"/>
    <s v="User Not Mapped"/>
    <s v="User Not Mapped"/>
    <s v="User Not Mapped"/>
    <n v="900875"/>
    <s v="HARERAM DAS"/>
    <s v="Private Retailer"/>
    <s v="8101196889"/>
    <n v="9.99"/>
    <n v="58"/>
    <x v="3"/>
    <m/>
    <s v="2026-02-21"/>
    <s v="259034"/>
    <s v="MS Guha And Co"/>
    <s v="8695359505"/>
  </r>
  <r>
    <s v="RCF Thal"/>
    <s v="N.C.Urea(45kg)"/>
    <s v="WB"/>
    <x v="17"/>
    <s v="Nakashipara"/>
    <s v="User Not Mapped"/>
    <s v="User Not Mapped"/>
    <s v="User Not Mapped"/>
    <n v="737841"/>
    <s v="HARUN ALI RASID BISWAS"/>
    <s v="Private Retailer"/>
    <s v="8001721942"/>
    <n v="9.99"/>
    <n v="16"/>
    <x v="5"/>
    <m/>
    <s v="2026-04-04"/>
    <s v="259034"/>
    <s v="MS Guha And Co"/>
    <s v="8695359505"/>
  </r>
  <r>
    <s v="RCF Trombay"/>
    <s v="15-15-15"/>
    <s v="WB"/>
    <x v="17"/>
    <s v="Ranaghat - II"/>
    <s v="User Not Mapped"/>
    <s v="User Not Mapped"/>
    <s v="User Not Mapped"/>
    <n v="1513369"/>
    <s v="JAGANNATH PAUL"/>
    <s v="Private Retailer"/>
    <s v="9143119974"/>
    <n v="0.35"/>
    <n v="244"/>
    <x v="1"/>
    <m/>
    <s v="2025-08-19"/>
    <s v="259034"/>
    <s v="MS Guha And Co"/>
    <s v="8695359505"/>
  </r>
  <r>
    <s v="RCF Import"/>
    <s v="MOP"/>
    <s v="WB"/>
    <x v="17"/>
    <s v="Nakashipara"/>
    <s v="User Not Mapped"/>
    <s v="User Not Mapped"/>
    <s v="User Not Mapped"/>
    <n v="925307"/>
    <s v="JASIM MONDAL"/>
    <s v="Private Retailer"/>
    <s v="6294742487"/>
    <n v="1.5"/>
    <n v="41"/>
    <x v="3"/>
    <m/>
    <s v="2026-03-10"/>
    <s v="259034"/>
    <s v="MS Guha And Co"/>
    <s v="8695359505"/>
  </r>
  <r>
    <s v="RCF Import"/>
    <s v="MOP"/>
    <s v="WB"/>
    <x v="17"/>
    <s v="Hanskhali"/>
    <s v="User Not Mapped"/>
    <s v="User Not Mapped"/>
    <s v="User Not Mapped"/>
    <n v="341553"/>
    <s v="Joyanta Sarkar"/>
    <s v="Private Retailer"/>
    <s v="9800102524"/>
    <n v="5"/>
    <n v="58"/>
    <x v="3"/>
    <m/>
    <s v="2026-02-21"/>
    <s v="259034"/>
    <s v="MS Guha And Co"/>
    <s v="8695359505"/>
  </r>
  <r>
    <s v="RCF Trombay"/>
    <s v="15-15-15"/>
    <s v="WB"/>
    <x v="17"/>
    <s v="Hanskhali"/>
    <s v="User Not Mapped"/>
    <s v="User Not Mapped"/>
    <s v="User Not Mapped"/>
    <n v="341553"/>
    <s v="Joyanta Sarkar"/>
    <s v="Private Retailer"/>
    <s v="9800102524"/>
    <n v="5"/>
    <n v="86"/>
    <x v="6"/>
    <m/>
    <s v="2026-01-24"/>
    <s v="259034"/>
    <s v="MS Guha And Co"/>
    <s v="8695359505"/>
  </r>
  <r>
    <s v="RCF Thal"/>
    <s v="N.C.Urea(45kg)"/>
    <s v="WB"/>
    <x v="17"/>
    <s v="Krishnaganj"/>
    <s v="User Not Mapped"/>
    <s v="User Not Mapped"/>
    <s v="User Not Mapped"/>
    <n v="775041"/>
    <s v="KRISHNA RAY"/>
    <s v="Private Retailer"/>
    <s v="9775548526"/>
    <n v="4.9950000000000001"/>
    <n v="16"/>
    <x v="5"/>
    <m/>
    <s v="2026-04-04"/>
    <s v="259034"/>
    <s v="MS Guha And Co"/>
    <s v="8695359505"/>
  </r>
  <r>
    <s v="RCF Trombay"/>
    <s v="15-15-15"/>
    <s v="WB"/>
    <x v="17"/>
    <s v="Ranaghat - II"/>
    <s v="User Not Mapped"/>
    <s v="User Not Mapped"/>
    <s v="User Not Mapped"/>
    <n v="1258436"/>
    <s v="M/S BANKIM BISWAS"/>
    <s v="Private Retailer"/>
    <s v="9641180185"/>
    <n v="3.75"/>
    <n v="83"/>
    <x v="6"/>
    <m/>
    <s v="2026-01-27"/>
    <s v="259034"/>
    <s v="MS Guha And Co"/>
    <s v="8695359505"/>
  </r>
  <r>
    <s v="RCF Thal"/>
    <s v="N.C.Urea(45kg)"/>
    <s v="WB"/>
    <x v="17"/>
    <m/>
    <s v="User Not Mapped"/>
    <s v="User Not Mapped"/>
    <s v="User Not Mapped"/>
    <n v="1574662"/>
    <s v="M/S BISWAS FERTILIZER  PRO. PA"/>
    <s v="Private Retailer"/>
    <s v="8391901343"/>
    <n v="2.4750000000000001"/>
    <n v="41"/>
    <x v="3"/>
    <m/>
    <s v="2026-03-10"/>
    <s v="259034"/>
    <s v="MS Guha And Co"/>
    <s v="8695359505"/>
  </r>
  <r>
    <s v="RCF Thal"/>
    <s v="N.C.Urea(45kg)"/>
    <s v="WB"/>
    <x v="17"/>
    <s v="Chakdah"/>
    <s v="User Not Mapped"/>
    <s v="User Not Mapped"/>
    <s v="User Not Mapped"/>
    <n v="341602"/>
    <s v="M/S KAMAL BISWAS"/>
    <s v="Private Retailer"/>
    <s v="9733645039"/>
    <n v="4.3650000000000002"/>
    <n v="37"/>
    <x v="3"/>
    <m/>
    <s v="2026-03-14"/>
    <s v="259034"/>
    <s v="MS Guha And Co"/>
    <s v="8695359505"/>
  </r>
  <r>
    <s v="RCF Trombay"/>
    <s v="15-15-15"/>
    <s v="WB"/>
    <x v="17"/>
    <s v="Santipur"/>
    <s v="User Not Mapped"/>
    <s v="User Not Mapped"/>
    <s v="User Not Mapped"/>
    <n v="341413"/>
    <s v="M/S. BHOWMICK FERTILIZER"/>
    <s v="Private Retailer"/>
    <s v="9733641002"/>
    <n v="1.64"/>
    <n v="86"/>
    <x v="6"/>
    <m/>
    <s v="2026-01-24"/>
    <s v="259034"/>
    <s v="MS Guha And Co"/>
    <s v="8695359505"/>
  </r>
  <r>
    <s v="RCF Trombay"/>
    <s v="15-15-15"/>
    <s v="WB"/>
    <x v="17"/>
    <s v="Santipur"/>
    <s v="User Not Mapped"/>
    <s v="User Not Mapped"/>
    <s v="User Not Mapped"/>
    <n v="1029830"/>
    <s v="M/S. GOLAM RASUL DHABAK"/>
    <s v="Private Retailer"/>
    <s v="9732317694"/>
    <n v="5"/>
    <n v="83"/>
    <x v="6"/>
    <m/>
    <s v="2026-01-27"/>
    <s v="259034"/>
    <s v="MS Guha And Co"/>
    <s v="8695359505"/>
  </r>
  <r>
    <s v="RCF Import"/>
    <s v="MOP"/>
    <s v="WB"/>
    <x v="17"/>
    <s v="Nakashipara"/>
    <s v="User Not Mapped"/>
    <s v="User Not Mapped"/>
    <s v="User Not Mapped"/>
    <n v="461269"/>
    <s v="MAFIJUL SK"/>
    <s v="Private Retailer"/>
    <s v="9735354919"/>
    <n v="1.8"/>
    <n v="58"/>
    <x v="3"/>
    <m/>
    <s v="2026-02-21"/>
    <s v="259034"/>
    <s v="MS Guha And Co"/>
    <s v="8695359505"/>
  </r>
  <r>
    <s v="RCF Trombay"/>
    <s v="15-15-15"/>
    <s v="WB"/>
    <x v="17"/>
    <s v="Nakashipara"/>
    <s v="User Not Mapped"/>
    <s v="User Not Mapped"/>
    <s v="User Not Mapped"/>
    <n v="461269"/>
    <s v="MAFIJUL SK"/>
    <s v="Private Retailer"/>
    <s v="9735354919"/>
    <n v="5"/>
    <n v="58"/>
    <x v="3"/>
    <m/>
    <s v="2026-02-21"/>
    <s v="259034"/>
    <s v="MS Guha And Co"/>
    <s v="8695359505"/>
  </r>
  <r>
    <s v="RCF Trombay"/>
    <s v="N.C.Urea(45kg)"/>
    <s v="WB"/>
    <x v="17"/>
    <s v="Krishnagar - II"/>
    <s v="User Not Mapped"/>
    <s v="User Not Mapped"/>
    <s v="User Not Mapped"/>
    <n v="741286"/>
    <s v="MONDAL FERTILISER"/>
    <s v="Private Retailer"/>
    <s v="7364022732"/>
    <n v="0.76500000000000001"/>
    <n v="503"/>
    <x v="0"/>
    <m/>
    <s v="2024-12-03"/>
    <s v="259034"/>
    <s v="MS Guha And Co"/>
    <s v="8695359505"/>
  </r>
  <r>
    <s v="RCF Trombay"/>
    <s v="N.C.Urea(45kg)"/>
    <s v="WB"/>
    <x v="17"/>
    <s v="Chapra"/>
    <s v="User Not Mapped"/>
    <s v="User Not Mapped"/>
    <s v="User Not Mapped"/>
    <n v="439360"/>
    <s v="MONDAL FERTILIZERS"/>
    <s v="Private Retailer"/>
    <s v="9832312899"/>
    <n v="1.62"/>
    <n v="86"/>
    <x v="6"/>
    <m/>
    <s v="2026-01-24"/>
    <s v="259034"/>
    <s v="MS Guha And Co"/>
    <s v="8695359505"/>
  </r>
  <r>
    <s v="RCF Trombay"/>
    <s v="15-15-15"/>
    <s v="WB"/>
    <x v="17"/>
    <s v="Krishnagar - I"/>
    <s v="User Not Mapped"/>
    <s v="User Not Mapped"/>
    <s v="User Not Mapped"/>
    <n v="440981"/>
    <s v="Mondal Traders"/>
    <s v="Private Retailer"/>
    <s v="8509974742"/>
    <n v="3"/>
    <n v="55"/>
    <x v="3"/>
    <m/>
    <s v="2026-02-24"/>
    <s v="259034"/>
    <s v="MS Guha And Co"/>
    <s v="8695359505"/>
  </r>
  <r>
    <s v="RCF Thal"/>
    <s v="N.C.Urea(45kg)"/>
    <s v="WB"/>
    <x v="17"/>
    <s v="Ranaghat - II"/>
    <s v="User Not Mapped"/>
    <s v="User Not Mapped"/>
    <s v="User Not Mapped"/>
    <n v="1320560"/>
    <s v="MS Biplab Biswas"/>
    <s v="Private Retailer"/>
    <s v="9609391373"/>
    <n v="3.32"/>
    <n v="41"/>
    <x v="3"/>
    <m/>
    <s v="2026-03-10"/>
    <s v="259034"/>
    <s v="MS Guha And Co"/>
    <s v="8695359505"/>
  </r>
  <r>
    <s v="RCF Import"/>
    <s v="MOP"/>
    <s v="WB"/>
    <x v="17"/>
    <s v="Nakashipara"/>
    <s v="User Not Mapped"/>
    <s v="User Not Mapped"/>
    <s v="User Not Mapped"/>
    <n v="438826"/>
    <s v="MS RASHIDUL SHAIKH"/>
    <s v="Private Retailer"/>
    <s v="9732825582"/>
    <n v="1.5"/>
    <n v="41"/>
    <x v="3"/>
    <m/>
    <s v="2026-03-10"/>
    <s v="259034"/>
    <s v="MS Guha And Co"/>
    <s v="8695359505"/>
  </r>
  <r>
    <s v="RCF Thal"/>
    <s v="N.C.Urea(45kg)"/>
    <s v="WB"/>
    <x v="17"/>
    <m/>
    <s v="User Not Mapped"/>
    <s v="User Not Mapped"/>
    <s v="User Not Mapped"/>
    <n v="355755"/>
    <s v="Mullah Ali Mostaque"/>
    <s v="Private Retailer"/>
    <s v="9775047737"/>
    <n v="10.98"/>
    <n v="41"/>
    <x v="3"/>
    <m/>
    <s v="2026-03-10"/>
    <s v="259034"/>
    <s v="MS Guha And Co"/>
    <s v="8695359505"/>
  </r>
  <r>
    <s v="RCF Thal"/>
    <s v="N.C.Urea(45kg)"/>
    <s v="WB"/>
    <x v="17"/>
    <s v="Ranaghat - II"/>
    <s v="User Not Mapped"/>
    <s v="User Not Mapped"/>
    <s v="User Not Mapped"/>
    <n v="342068"/>
    <s v="Netai Chandra Kundu"/>
    <s v="Private Retailer"/>
    <s v="9732857157"/>
    <n v="6.84"/>
    <n v="16"/>
    <x v="5"/>
    <m/>
    <s v="2026-04-04"/>
    <s v="259034"/>
    <s v="MS Guha And Co"/>
    <s v="8695359505"/>
  </r>
  <r>
    <s v="RCF Trombay"/>
    <s v="N.C.Urea(45kg)"/>
    <s v="WB"/>
    <x v="17"/>
    <m/>
    <s v="User Not Mapped"/>
    <s v="User Not Mapped"/>
    <s v="User Not Mapped"/>
    <n v="1062066"/>
    <s v="NIRMAL KUMAR BISWAS"/>
    <s v="Private Retailer"/>
    <s v="8116120085"/>
    <n v="1.665"/>
    <n v="1171"/>
    <x v="2"/>
    <m/>
    <s v="2023-02-04"/>
    <s v="259034"/>
    <s v="MS Guha And Co"/>
    <s v="8695359505"/>
  </r>
  <r>
    <s v="RCF Thal"/>
    <s v="N.C.Urea(45kg)"/>
    <s v="WB"/>
    <x v="17"/>
    <s v="Chapra"/>
    <s v="User Not Mapped"/>
    <s v="User Not Mapped"/>
    <s v="User Not Mapped"/>
    <n v="225460"/>
    <s v="Nur Islam Molla"/>
    <s v="Private Retailer"/>
    <s v="7407364017"/>
    <n v="9.8000000000000007"/>
    <n v="16"/>
    <x v="5"/>
    <m/>
    <s v="2026-04-04"/>
    <s v="259034"/>
    <s v="MS Guha And Co"/>
    <s v="8695359505"/>
  </r>
  <r>
    <s v="RCF Trombay"/>
    <s v="N.C.Urea(45kg)"/>
    <s v="WB"/>
    <x v="17"/>
    <s v="Hanskhali"/>
    <s v="User Not Mapped"/>
    <s v="User Not Mapped"/>
    <s v="User Not Mapped"/>
    <n v="750348"/>
    <s v="PRAMANICK FERTILIZER"/>
    <s v="Private Retailer"/>
    <s v="8597750555"/>
    <n v="4.9950000000000001"/>
    <n v="142"/>
    <x v="4"/>
    <m/>
    <s v="2025-11-29"/>
    <s v="259034"/>
    <s v="MS Guha And Co"/>
    <s v="8695359505"/>
  </r>
  <r>
    <s v="RCF Trombay"/>
    <s v="N.C.Urea(45kg)"/>
    <s v="WB"/>
    <x v="17"/>
    <m/>
    <s v="User Not Mapped"/>
    <s v="User Not Mapped"/>
    <s v="User Not Mapped"/>
    <n v="342635"/>
    <s v="Prasanta Ghosh"/>
    <s v="Private Retailer"/>
    <s v="8101229222"/>
    <n v="4.0949999999999998"/>
    <n v="55"/>
    <x v="3"/>
    <m/>
    <s v="2026-02-24"/>
    <s v="259034"/>
    <s v="MS Guha And Co"/>
    <s v="8695359505"/>
  </r>
  <r>
    <s v="RCF Import"/>
    <s v="MOP"/>
    <s v="WB"/>
    <x v="17"/>
    <s v="Hanskhali"/>
    <s v="User Not Mapped"/>
    <s v="User Not Mapped"/>
    <s v="User Not Mapped"/>
    <n v="938188"/>
    <s v="RANJIT KUMAR BISWAS"/>
    <s v="Private Retailer"/>
    <s v="9635289467"/>
    <n v="5.6"/>
    <n v="62"/>
    <x v="6"/>
    <m/>
    <s v="2026-02-17"/>
    <s v="259034"/>
    <s v="MS Guha And Co"/>
    <s v="8695359505"/>
  </r>
  <r>
    <s v="RCF Trombay"/>
    <s v="15-15-15"/>
    <s v="WB"/>
    <x v="17"/>
    <s v="Hanskhali"/>
    <s v="User Not Mapped"/>
    <s v="User Not Mapped"/>
    <s v="User Not Mapped"/>
    <n v="938188"/>
    <s v="RANJIT KUMAR BISWAS"/>
    <s v="Private Retailer"/>
    <s v="9635289467"/>
    <n v="2.6"/>
    <n v="58"/>
    <x v="3"/>
    <m/>
    <s v="2026-02-21"/>
    <s v="259034"/>
    <s v="MS Guha And Co"/>
    <s v="8695359505"/>
  </r>
  <r>
    <s v="RCF Trombay"/>
    <s v="15-15-15"/>
    <s v="WB"/>
    <x v="17"/>
    <s v="Ranaghat - II"/>
    <s v="User Not Mapped"/>
    <s v="User Not Mapped"/>
    <s v="User Not Mapped"/>
    <n v="356220"/>
    <s v="Samir Kumar Biswas"/>
    <s v="Private Retailer"/>
    <s v="9733543605"/>
    <n v="0.72"/>
    <n v="86"/>
    <x v="6"/>
    <m/>
    <s v="2026-01-24"/>
    <s v="259034"/>
    <s v="MS Guha And Co"/>
    <s v="8695359505"/>
  </r>
  <r>
    <s v="RCF Trombay"/>
    <s v="15-15-15"/>
    <s v="WB"/>
    <x v="17"/>
    <s v="Nakashipara"/>
    <s v="User Not Mapped"/>
    <s v="User Not Mapped"/>
    <s v="User Not Mapped"/>
    <n v="630176"/>
    <s v="Santosh Sarkar"/>
    <s v="Private Retailer"/>
    <s v="9734878546"/>
    <n v="0.3"/>
    <n v="41"/>
    <x v="3"/>
    <m/>
    <s v="2026-03-10"/>
    <s v="259034"/>
    <s v="MS Guha And Co"/>
    <s v="8695359505"/>
  </r>
  <r>
    <s v="RCF Import"/>
    <s v="MOP"/>
    <s v="WB"/>
    <x v="17"/>
    <s v="Nakashipara"/>
    <s v="User Not Mapped"/>
    <s v="User Not Mapped"/>
    <s v="User Not Mapped"/>
    <n v="870647"/>
    <s v="SATYA NARAYAN KARMAKAR"/>
    <s v="Private Retailer"/>
    <s v="9593135427"/>
    <n v="0.7"/>
    <n v="41"/>
    <x v="3"/>
    <m/>
    <s v="2026-03-10"/>
    <s v="259034"/>
    <s v="MS Guha And Co"/>
    <s v="8695359505"/>
  </r>
  <r>
    <s v="RCF Trombay"/>
    <s v="15-15-15"/>
    <s v="WB"/>
    <x v="17"/>
    <s v="Chapra"/>
    <s v="User Not Mapped"/>
    <s v="User Not Mapped"/>
    <s v="User Not Mapped"/>
    <n v="1051205"/>
    <s v="Shaikh fertilizer"/>
    <s v="Private Retailer"/>
    <s v="9735341891"/>
    <n v="4.9000000000000004"/>
    <n v="86"/>
    <x v="6"/>
    <m/>
    <s v="2026-01-24"/>
    <s v="259034"/>
    <s v="MS Guha And Co"/>
    <s v="8695359505"/>
  </r>
  <r>
    <s v="RCF Trombay"/>
    <s v="15-15-15"/>
    <s v="WB"/>
    <x v="17"/>
    <s v="Nakashipara"/>
    <s v="User Not Mapped"/>
    <s v="User Not Mapped"/>
    <s v="User Not Mapped"/>
    <n v="1132428"/>
    <s v="SINGHATI SKUS LTD-SALIGRAM"/>
    <s v="PACS"/>
    <s v="9635972328"/>
    <n v="1.55"/>
    <n v="233"/>
    <x v="1"/>
    <m/>
    <s v="2025-08-30"/>
    <s v="259034"/>
    <s v="MS Guha And Co"/>
    <s v="8695359505"/>
  </r>
  <r>
    <s v="RCF Trombay"/>
    <s v="15-15-15"/>
    <s v="WB"/>
    <x v="17"/>
    <s v="Hanskhali"/>
    <s v="User Not Mapped"/>
    <s v="User Not Mapped"/>
    <s v="User Not Mapped"/>
    <n v="440430"/>
    <s v="Subal Chandra Biswas"/>
    <s v="Private Retailer"/>
    <s v="8768179585"/>
    <n v="3.9"/>
    <n v="58"/>
    <x v="3"/>
    <m/>
    <s v="2026-02-21"/>
    <s v="259034"/>
    <s v="MS Guha And Co"/>
    <s v="8695359505"/>
  </r>
  <r>
    <s v="RCF Trombay"/>
    <s v="N.C.Urea(45kg)"/>
    <s v="WB"/>
    <x v="17"/>
    <s v="Hanskhali"/>
    <s v="User Not Mapped"/>
    <s v="User Not Mapped"/>
    <s v="User Not Mapped"/>
    <n v="440430"/>
    <s v="Subal Chandra Biswas"/>
    <s v="Private Retailer"/>
    <s v="8768179585"/>
    <n v="2.52"/>
    <n v="58"/>
    <x v="3"/>
    <m/>
    <s v="2026-02-21"/>
    <s v="259034"/>
    <s v="MS Guha And Co"/>
    <s v="8695359505"/>
  </r>
  <r>
    <s v="RCF Thal"/>
    <s v="N.C.Urea(45kg)"/>
    <s v="WB"/>
    <x v="17"/>
    <s v="Hanskhali"/>
    <s v="User Not Mapped"/>
    <s v="User Not Mapped"/>
    <s v="User Not Mapped"/>
    <n v="440430"/>
    <s v="Subal Chandra Biswas"/>
    <s v="Private Retailer"/>
    <s v="8768179585"/>
    <n v="9.99"/>
    <n v="16"/>
    <x v="5"/>
    <m/>
    <s v="2026-04-04"/>
    <s v="259034"/>
    <s v="MS Guha And Co"/>
    <s v="8695359505"/>
  </r>
  <r>
    <s v="RCF Import"/>
    <s v="MOP"/>
    <s v="WB"/>
    <x v="17"/>
    <s v="Hanskhali"/>
    <s v="User Not Mapped"/>
    <s v="User Not Mapped"/>
    <s v="User Not Mapped"/>
    <n v="440430"/>
    <s v="Subal Chandra Biswas"/>
    <s v="Private Retailer"/>
    <s v="8768179585"/>
    <n v="3.9"/>
    <n v="62"/>
    <x v="6"/>
    <m/>
    <s v="2026-02-17"/>
    <s v="259034"/>
    <s v="MS Guha And Co"/>
    <s v="8695359505"/>
  </r>
  <r>
    <s v="RCF Trombay"/>
    <s v="N.C.Urea(45kg)"/>
    <s v="WB"/>
    <x v="17"/>
    <s v="Krishnagar - II"/>
    <s v="User Not Mapped"/>
    <s v="User Not Mapped"/>
    <s v="User Not Mapped"/>
    <n v="797147"/>
    <s v="SUCHANA FERTILIZER"/>
    <s v="Private Retailer"/>
    <s v="8926339066"/>
    <n v="4.4999999999999998E-2"/>
    <n v="86"/>
    <x v="6"/>
    <m/>
    <s v="2026-01-24"/>
    <s v="259034"/>
    <s v="MS Guha And Co"/>
    <s v="8695359505"/>
  </r>
  <r>
    <s v="RCF Thal"/>
    <s v="N.C.Urea(45kg)"/>
    <s v="WB"/>
    <x v="17"/>
    <s v="Krishnagar - I"/>
    <s v="User Not Mapped"/>
    <s v="User Not Mapped"/>
    <s v="User Not Mapped"/>
    <n v="438886"/>
    <s v="Sudip Biswas"/>
    <s v="Private Retailer"/>
    <s v="9733902119"/>
    <n v="1.08"/>
    <n v="41"/>
    <x v="3"/>
    <m/>
    <s v="2026-03-10"/>
    <s v="259034"/>
    <s v="MS Guha And Co"/>
    <s v="8695359505"/>
  </r>
  <r>
    <s v="RCF Trombay"/>
    <s v="15-15-15"/>
    <s v="WB"/>
    <x v="17"/>
    <s v="Nakashipara"/>
    <s v="User Not Mapped"/>
    <s v="User Not Mapped"/>
    <s v="User Not Mapped"/>
    <n v="438948"/>
    <s v="Suman Mandal"/>
    <s v="Private Retailer"/>
    <s v="9749251052"/>
    <n v="2.25"/>
    <n v="41"/>
    <x v="3"/>
    <m/>
    <s v="2026-03-10"/>
    <s v="259034"/>
    <s v="MS Guha And Co"/>
    <s v="8695359505"/>
  </r>
  <r>
    <s v="RCF Thal"/>
    <s v="N.C.Urea(45kg)"/>
    <s v="WB"/>
    <x v="17"/>
    <s v="Nakashipara"/>
    <s v="User Not Mapped"/>
    <s v="User Not Mapped"/>
    <s v="User Not Mapped"/>
    <n v="438948"/>
    <s v="Suman Mandal"/>
    <s v="Private Retailer"/>
    <s v="9749251052"/>
    <n v="4.9950000000000001"/>
    <n v="9"/>
    <x v="5"/>
    <m/>
    <s v="2026-04-11"/>
    <s v="259034"/>
    <s v="MS Guha And Co"/>
    <s v="8695359505"/>
  </r>
  <r>
    <s v="RCF Trombay"/>
    <s v="N.C.Urea(45kg)"/>
    <s v="WB"/>
    <x v="17"/>
    <m/>
    <s v="User Not Mapped"/>
    <s v="User Not Mapped"/>
    <s v="User Not Mapped"/>
    <n v="411576"/>
    <s v="Surat Ali Sk "/>
    <s v="Private Retailer"/>
    <s v="9775114865"/>
    <n v="0.315"/>
    <n v="1238"/>
    <x v="2"/>
    <m/>
    <s v="2022-11-29"/>
    <s v="259034"/>
    <s v="MS Guha And Co"/>
    <s v="8695359505"/>
  </r>
  <r>
    <s v="RCF Trombay"/>
    <s v="N.C.Urea(45kg)"/>
    <s v="WB"/>
    <x v="17"/>
    <s v="Chapra"/>
    <s v="User Not Mapped"/>
    <s v="User Not Mapped"/>
    <s v="User Not Mapped"/>
    <n v="427118"/>
    <s v="Tapas Kumar Saha"/>
    <s v="Private Retailer"/>
    <s v="9735473804"/>
    <n v="1.3049999999999999"/>
    <n v="83"/>
    <x v="6"/>
    <m/>
    <s v="2026-01-27"/>
    <s v="259034"/>
    <s v="MS Guha And Co"/>
    <s v="8695359505"/>
  </r>
  <r>
    <s v="RCF Thal"/>
    <s v="N.C.Urea(45kg)"/>
    <s v="WB"/>
    <x v="17"/>
    <s v="Tehatta - I"/>
    <s v="User Not Mapped"/>
    <s v="User Not Mapped"/>
    <s v="User Not Mapped"/>
    <n v="413636"/>
    <s v="Abdul Hannan Shaikh"/>
    <s v="Private Retailer"/>
    <s v="9734896942"/>
    <n v="0.9"/>
    <n v="12"/>
    <x v="5"/>
    <m/>
    <s v="2026-04-08"/>
    <s v="260202"/>
    <s v="MS S K DUTTA"/>
    <s v="9832802581"/>
  </r>
  <r>
    <s v="RCF Trombay"/>
    <s v="15-15-15"/>
    <s v="WB"/>
    <x v="17"/>
    <s v="Tehatta - I"/>
    <s v="User Not Mapped"/>
    <s v="User Not Mapped"/>
    <s v="User Not Mapped"/>
    <n v="413636"/>
    <s v="Abdul Hannan Shaikh"/>
    <s v="Private Retailer"/>
    <s v="9734896942"/>
    <n v="0.9"/>
    <n v="12"/>
    <x v="5"/>
    <m/>
    <s v="2026-04-08"/>
    <s v="260202"/>
    <s v="MS S K DUTTA"/>
    <s v="9832802581"/>
  </r>
  <r>
    <s v="RCF Trombay"/>
    <s v="15-15-15"/>
    <s v="WB"/>
    <x v="17"/>
    <m/>
    <s v="User Not Mapped"/>
    <s v="User Not Mapped"/>
    <s v="User Not Mapped"/>
    <n v="1063030"/>
    <s v="ABDUL MALEK MONDAL"/>
    <s v="Private Retailer"/>
    <s v="9547032070"/>
    <n v="0.25"/>
    <n v="2206"/>
    <x v="2"/>
    <m/>
    <s v="2020-04-05"/>
    <s v="260202"/>
    <s v="MS S K DUTTA"/>
    <s v="9832802581"/>
  </r>
  <r>
    <s v="RCF Import"/>
    <s v="Imp 10-26-26"/>
    <s v="WB"/>
    <x v="17"/>
    <s v="Karimpur - II"/>
    <s v="User Not Mapped"/>
    <s v="User Not Mapped"/>
    <s v="User Not Mapped"/>
    <n v="1062296"/>
    <s v="ABDUL SAMIM MANDAL"/>
    <s v="Private Retailer"/>
    <s v="9093973560"/>
    <n v="0.5"/>
    <n v="237"/>
    <x v="1"/>
    <m/>
    <s v="2025-08-26"/>
    <s v="260202"/>
    <s v="MS S K DUTTA"/>
    <s v="9832802581"/>
  </r>
  <r>
    <s v="RCF Trombay"/>
    <s v="15-15-15"/>
    <s v="WB"/>
    <x v="17"/>
    <s v="Karimpur - II"/>
    <s v="User Not Mapped"/>
    <s v="User Not Mapped"/>
    <s v="User Not Mapped"/>
    <n v="1062296"/>
    <s v="ABDUL SAMIM MANDAL"/>
    <s v="Private Retailer"/>
    <s v="9093973560"/>
    <n v="0.5"/>
    <n v="244"/>
    <x v="1"/>
    <m/>
    <s v="2025-08-19"/>
    <s v="260202"/>
    <s v="MS S K DUTTA"/>
    <s v="9832802581"/>
  </r>
  <r>
    <s v="RCF Trombay"/>
    <s v="N.C.Urea(45kg)"/>
    <s v="WB"/>
    <x v="17"/>
    <s v="Karimpur - II"/>
    <s v="User Not Mapped"/>
    <s v="User Not Mapped"/>
    <s v="User Not Mapped"/>
    <n v="1062342"/>
    <s v="ABDUR RAJJAK SARDAR"/>
    <s v="Private Retailer"/>
    <s v="8145747603"/>
    <n v="0.13500000000000001"/>
    <n v="169"/>
    <x v="4"/>
    <m/>
    <s v="2025-11-02"/>
    <s v="260202"/>
    <s v="MS S K DUTTA"/>
    <s v="9832802581"/>
  </r>
  <r>
    <s v="RCF Thal"/>
    <s v="N.C.Urea(45kg)"/>
    <s v="WB"/>
    <x v="17"/>
    <s v="Tehatta - II"/>
    <s v="User Not Mapped"/>
    <s v="User Not Mapped"/>
    <s v="User Not Mapped"/>
    <n v="896804"/>
    <s v="ABDUR RAZZAK"/>
    <s v="Private Retailer"/>
    <s v="9733993597"/>
    <n v="0.58499999999999996"/>
    <n v="32"/>
    <x v="3"/>
    <m/>
    <s v="2026-03-19"/>
    <s v="260202"/>
    <s v="MS S K DUTTA"/>
    <s v="9832802581"/>
  </r>
  <r>
    <s v="RCF Trombay"/>
    <s v="15-15-15"/>
    <s v="WB"/>
    <x v="17"/>
    <s v="Tehatta - II"/>
    <s v="User Not Mapped"/>
    <s v="User Not Mapped"/>
    <s v="User Not Mapped"/>
    <n v="896804"/>
    <s v="ABDUR RAZZAK"/>
    <s v="Private Retailer"/>
    <s v="9733993597"/>
    <n v="0.3"/>
    <n v="32"/>
    <x v="3"/>
    <m/>
    <s v="2026-03-19"/>
    <s v="260202"/>
    <s v="MS S K DUTTA"/>
    <s v="9832802581"/>
  </r>
  <r>
    <s v="RCF Trombay"/>
    <s v="15-15-15"/>
    <s v="WB"/>
    <x v="17"/>
    <s v="Karimpur - II"/>
    <s v="User Not Mapped"/>
    <s v="User Not Mapped"/>
    <s v="User Not Mapped"/>
    <n v="659928"/>
    <s v="ACHINTYA SAHA"/>
    <s v="Private Retailer"/>
    <s v="9734865465"/>
    <n v="0.2"/>
    <n v="321"/>
    <x v="1"/>
    <m/>
    <s v="2025-06-03"/>
    <s v="260202"/>
    <s v="MS S K DUTTA"/>
    <s v="9832802581"/>
  </r>
  <r>
    <s v="RCF Trombay"/>
    <s v="15-15-15"/>
    <s v="WB"/>
    <x v="17"/>
    <s v="Karimpur - II"/>
    <s v="User Not Mapped"/>
    <s v="User Not Mapped"/>
    <s v="User Not Mapped"/>
    <n v="659928"/>
    <s v="ACHINTYA SAHA"/>
    <s v="Private Retailer"/>
    <s v="9734865465"/>
    <n v="0.5"/>
    <n v="127"/>
    <x v="4"/>
    <m/>
    <s v="2025-12-14"/>
    <s v="260202"/>
    <s v="MS S K DUTTA"/>
    <s v="9832802581"/>
  </r>
  <r>
    <s v="RCF Trombay"/>
    <s v="N.C.Urea(45kg)"/>
    <s v="WB"/>
    <x v="17"/>
    <s v="Karimpur - II"/>
    <s v="User Not Mapped"/>
    <s v="User Not Mapped"/>
    <s v="User Not Mapped"/>
    <n v="659928"/>
    <s v="ACHINTYA SAHA"/>
    <s v="Private Retailer"/>
    <s v="9734865465"/>
    <n v="0.315"/>
    <n v="166"/>
    <x v="4"/>
    <m/>
    <s v="2025-11-05"/>
    <s v="260202"/>
    <s v="MS S K DUTTA"/>
    <s v="9832802581"/>
  </r>
  <r>
    <s v="RCF Trombay"/>
    <s v="15-15-15"/>
    <s v="WB"/>
    <x v="17"/>
    <s v="Karimpur - II"/>
    <s v="User Not Mapped"/>
    <s v="User Not Mapped"/>
    <s v="User Not Mapped"/>
    <n v="610282"/>
    <s v="ALAMGIR MANDAL"/>
    <s v="Private Retailer"/>
    <s v="9735442849"/>
    <n v="0.35"/>
    <n v="211"/>
    <x v="1"/>
    <m/>
    <s v="2025-09-21"/>
    <s v="260202"/>
    <s v="MS S K DUTTA"/>
    <s v="9832802581"/>
  </r>
  <r>
    <s v="RCF Trombay"/>
    <s v="15-15-15"/>
    <s v="WB"/>
    <x v="17"/>
    <s v="Karimpur - II"/>
    <s v="User Not Mapped"/>
    <s v="User Not Mapped"/>
    <s v="User Not Mapped"/>
    <n v="1062687"/>
    <s v="AMINUL MONDAL"/>
    <s v="Private Retailer"/>
    <s v="8370909889"/>
    <n v="1"/>
    <n v="702"/>
    <x v="2"/>
    <m/>
    <s v="2024-05-18"/>
    <s v="260202"/>
    <s v="MS S K DUTTA"/>
    <s v="9832802581"/>
  </r>
  <r>
    <s v="RCF Trombay"/>
    <s v="N.C.Urea(45kg)"/>
    <s v="WB"/>
    <x v="17"/>
    <s v="Karimpur - II"/>
    <s v="User Not Mapped"/>
    <s v="User Not Mapped"/>
    <s v="User Not Mapped"/>
    <n v="1513091"/>
    <s v="ANANTA KUMAR SARKAR"/>
    <s v="Private Retailer"/>
    <s v="8918881274"/>
    <n v="0.9"/>
    <n v="80"/>
    <x v="6"/>
    <m/>
    <s v="2026-01-30"/>
    <s v="260202"/>
    <s v="MS S K DUTTA"/>
    <s v="9832802581"/>
  </r>
  <r>
    <s v="RCF Thal"/>
    <s v="N.C.Urea(45kg)"/>
    <s v="WB"/>
    <x v="17"/>
    <s v="Karimpur - II"/>
    <s v="User Not Mapped"/>
    <s v="User Not Mapped"/>
    <s v="User Not Mapped"/>
    <n v="1513091"/>
    <s v="ANANTA KUMAR SARKAR"/>
    <s v="Private Retailer"/>
    <s v="8918881274"/>
    <n v="0.495"/>
    <n v="180"/>
    <x v="4"/>
    <m/>
    <s v="2025-10-22"/>
    <s v="260202"/>
    <s v="MS S K DUTTA"/>
    <s v="9832802581"/>
  </r>
  <r>
    <s v="RCF Trombay"/>
    <s v="15-15-15"/>
    <s v="WB"/>
    <x v="17"/>
    <s v="Tehatta - I"/>
    <s v="User Not Mapped"/>
    <s v="User Not Mapped"/>
    <s v="User Not Mapped"/>
    <n v="440724"/>
    <s v="ANIL KUMAR DAS"/>
    <s v="Private Retailer"/>
    <s v="8927012551"/>
    <n v="0.4"/>
    <n v="32"/>
    <x v="3"/>
    <m/>
    <s v="2026-03-19"/>
    <s v="260202"/>
    <s v="MS S K DUTTA"/>
    <s v="9832802581"/>
  </r>
  <r>
    <s v="RCF Trombay"/>
    <s v="15-15-15"/>
    <s v="WB"/>
    <x v="17"/>
    <s v="Karimpur - II"/>
    <s v="User Not Mapped"/>
    <s v="User Not Mapped"/>
    <s v="User Not Mapped"/>
    <n v="635293"/>
    <s v="APURBA DAS"/>
    <s v="Private Retailer"/>
    <s v="7797208324"/>
    <n v="0.2"/>
    <n v="1635"/>
    <x v="2"/>
    <m/>
    <s v="2021-10-28"/>
    <s v="260202"/>
    <s v="MS S K DUTTA"/>
    <s v="9832802581"/>
  </r>
  <r>
    <s v="RCF Trombay"/>
    <s v="15-15-15"/>
    <s v="WB"/>
    <x v="17"/>
    <s v="Tehatta - I"/>
    <s v="User Not Mapped"/>
    <s v="User Not Mapped"/>
    <s v="User Not Mapped"/>
    <n v="934904"/>
    <s v="ASHIS KUMAR MONDAL"/>
    <s v="Private Retailer"/>
    <s v="9734657482"/>
    <n v="0.05"/>
    <n v="114"/>
    <x v="7"/>
    <m/>
    <s v="2025-12-27"/>
    <s v="260202"/>
    <s v="MS S K DUTTA"/>
    <s v="9832802581"/>
  </r>
  <r>
    <s v="RCF Trombay"/>
    <s v="15-15-15"/>
    <s v="WB"/>
    <x v="17"/>
    <s v="Karimpur - II"/>
    <s v="User Not Mapped"/>
    <s v="User Not Mapped"/>
    <s v="User Not Mapped"/>
    <n v="1062264"/>
    <s v="ASHUTOSH MAHATA"/>
    <s v="Private Retailer"/>
    <s v="9733796692"/>
    <n v="0.5"/>
    <n v="32"/>
    <x v="3"/>
    <m/>
    <s v="2026-03-19"/>
    <s v="260202"/>
    <s v="MS S K DUTTA"/>
    <s v="9832802581"/>
  </r>
  <r>
    <s v="RCF Trombay"/>
    <s v="15-15-15"/>
    <s v="WB"/>
    <x v="17"/>
    <s v="Tehatta - I"/>
    <s v="User Not Mapped"/>
    <s v="User Not Mapped"/>
    <s v="User Not Mapped"/>
    <n v="467447"/>
    <s v="Babar Ali Ske"/>
    <s v="Private Retailer"/>
    <s v="9735248700"/>
    <n v="3"/>
    <n v="40"/>
    <x v="3"/>
    <m/>
    <s v="2026-03-11"/>
    <s v="260202"/>
    <s v="MS S K DUTTA"/>
    <s v="9832802581"/>
  </r>
  <r>
    <s v="RCF Thal"/>
    <s v="N.C.Urea(45kg)"/>
    <s v="WB"/>
    <x v="17"/>
    <s v="Tehatta - I"/>
    <s v="User Not Mapped"/>
    <s v="User Not Mapped"/>
    <s v="User Not Mapped"/>
    <n v="621458"/>
    <s v="BHIM CHANDRA BISWAS"/>
    <s v="Private Retailer"/>
    <s v="9647449602"/>
    <n v="1.35"/>
    <n v="29"/>
    <x v="5"/>
    <m/>
    <s v="2026-03-22"/>
    <s v="260202"/>
    <s v="MS S K DUTTA"/>
    <s v="9832802581"/>
  </r>
  <r>
    <s v="RCF Import"/>
    <s v="MOP"/>
    <s v="WB"/>
    <x v="17"/>
    <s v="Tehatta - I"/>
    <s v="User Not Mapped"/>
    <s v="User Not Mapped"/>
    <s v="User Not Mapped"/>
    <n v="621458"/>
    <s v="BHIM CHANDRA BISWAS"/>
    <s v="Private Retailer"/>
    <s v="9647449602"/>
    <n v="0.5"/>
    <n v="219"/>
    <x v="1"/>
    <m/>
    <s v="2025-09-13"/>
    <s v="260202"/>
    <s v="MS S K DUTTA"/>
    <s v="9832802581"/>
  </r>
  <r>
    <s v="RCF Import"/>
    <s v="MOP"/>
    <s v="WB"/>
    <x v="17"/>
    <s v="Tehatta - I"/>
    <s v="User Not Mapped"/>
    <s v="User Not Mapped"/>
    <s v="User Not Mapped"/>
    <n v="621458"/>
    <s v="BHIM CHANDRA BISWAS"/>
    <s v="Private Retailer"/>
    <s v="9647449602"/>
    <n v="0.5"/>
    <n v="211"/>
    <x v="1"/>
    <m/>
    <s v="2025-09-21"/>
    <s v="260202"/>
    <s v="MS S K DUTTA"/>
    <s v="9832802581"/>
  </r>
  <r>
    <s v="RCF Thal"/>
    <s v="N.C.Urea(45kg)"/>
    <s v="WB"/>
    <x v="17"/>
    <s v="Tehatta - I"/>
    <s v="User Not Mapped"/>
    <s v="User Not Mapped"/>
    <s v="User Not Mapped"/>
    <n v="621458"/>
    <s v="BHIM CHANDRA BISWAS"/>
    <s v="Private Retailer"/>
    <s v="9647449602"/>
    <n v="0.9"/>
    <n v="36"/>
    <x v="3"/>
    <m/>
    <s v="2026-03-15"/>
    <s v="260202"/>
    <s v="MS S K DUTTA"/>
    <s v="9832802581"/>
  </r>
  <r>
    <s v="RCF Thal"/>
    <s v="N.C.Urea(45kg)"/>
    <s v="WB"/>
    <x v="17"/>
    <s v="Tehatta - I"/>
    <s v="User Not Mapped"/>
    <s v="User Not Mapped"/>
    <s v="User Not Mapped"/>
    <n v="935697"/>
    <s v="BIBHUTI SARKAR"/>
    <s v="Private Retailer"/>
    <s v="8906020200"/>
    <n v="0.495"/>
    <n v="438"/>
    <x v="0"/>
    <m/>
    <s v="2025-02-06"/>
    <s v="260202"/>
    <s v="MS S K DUTTA"/>
    <s v="9832802581"/>
  </r>
  <r>
    <s v="RCF Trombay"/>
    <s v="15-15-15"/>
    <s v="WB"/>
    <x v="17"/>
    <s v="Tehatta - I"/>
    <s v="User Not Mapped"/>
    <s v="User Not Mapped"/>
    <s v="User Not Mapped"/>
    <n v="934918"/>
    <s v="BIDHAN CHANDRA MONDAL"/>
    <s v="Private Retailer"/>
    <s v="9564828580"/>
    <n v="3.5"/>
    <n v="32"/>
    <x v="3"/>
    <m/>
    <s v="2026-03-19"/>
    <s v="260202"/>
    <s v="MS S K DUTTA"/>
    <s v="9832802581"/>
  </r>
  <r>
    <s v="RCF Trombay"/>
    <s v="15-15-15"/>
    <s v="WB"/>
    <x v="17"/>
    <s v="Tehatta - I"/>
    <s v="User Not Mapped"/>
    <s v="User Not Mapped"/>
    <s v="User Not Mapped"/>
    <n v="934918"/>
    <s v="BIDHAN CHANDRA MONDAL"/>
    <s v="Private Retailer"/>
    <s v="9564828580"/>
    <n v="0.5"/>
    <n v="29"/>
    <x v="5"/>
    <m/>
    <s v="2026-03-22"/>
    <s v="260202"/>
    <s v="MS S K DUTTA"/>
    <s v="9832802581"/>
  </r>
  <r>
    <s v="RCF Thal"/>
    <s v="N.C.Urea(45kg)"/>
    <s v="WB"/>
    <x v="17"/>
    <s v="Tehatta - I"/>
    <s v="User Not Mapped"/>
    <s v="User Not Mapped"/>
    <s v="User Not Mapped"/>
    <n v="935328"/>
    <s v="BIDYUT MONDAL"/>
    <s v="Private Retailer"/>
    <s v="9609026808"/>
    <n v="4.4999999999999998E-2"/>
    <n v="443"/>
    <x v="0"/>
    <m/>
    <s v="2025-02-01"/>
    <s v="260202"/>
    <s v="MS S K DUTTA"/>
    <s v="9832802581"/>
  </r>
  <r>
    <s v="RCF Thal"/>
    <s v="N.C.Urea(45kg)"/>
    <s v="WB"/>
    <x v="17"/>
    <s v="Tehatta - I"/>
    <s v="User Not Mapped"/>
    <s v="User Not Mapped"/>
    <s v="User Not Mapped"/>
    <n v="935328"/>
    <s v="BIDYUT MONDAL"/>
    <s v="Private Retailer"/>
    <s v="9609026808"/>
    <n v="0.9"/>
    <n v="259"/>
    <x v="1"/>
    <m/>
    <s v="2025-08-04"/>
    <s v="260202"/>
    <s v="MS S K DUTTA"/>
    <s v="9832802581"/>
  </r>
  <r>
    <s v="RCF Trombay"/>
    <s v="N.C.Urea(45kg)"/>
    <s v="WB"/>
    <x v="17"/>
    <s v="Tehatta - I"/>
    <s v="User Not Mapped"/>
    <s v="User Not Mapped"/>
    <s v="User Not Mapped"/>
    <n v="935328"/>
    <s v="BIDYUT MONDAL"/>
    <s v="Private Retailer"/>
    <s v="9609026808"/>
    <n v="0.27"/>
    <n v="608"/>
    <x v="2"/>
    <m/>
    <s v="2024-08-20"/>
    <s v="260202"/>
    <s v="MS S K DUTTA"/>
    <s v="9832802581"/>
  </r>
  <r>
    <s v="RCF Thal"/>
    <s v="N.C.Urea(45kg)"/>
    <s v="WB"/>
    <x v="17"/>
    <s v="Tehatta - I"/>
    <s v="User Not Mapped"/>
    <s v="User Not Mapped"/>
    <s v="User Not Mapped"/>
    <n v="934922"/>
    <s v="BIKASH CH MONDAL"/>
    <s v="Private Retailer"/>
    <s v="9635404199"/>
    <n v="0.01"/>
    <n v="259"/>
    <x v="1"/>
    <m/>
    <s v="2025-08-04"/>
    <s v="260202"/>
    <s v="MS S K DUTTA"/>
    <s v="9832802581"/>
  </r>
  <r>
    <s v="RCF Trombay"/>
    <s v="15-15-15"/>
    <s v="WB"/>
    <x v="17"/>
    <s v="Tehatta - I"/>
    <s v="User Not Mapped"/>
    <s v="User Not Mapped"/>
    <s v="User Not Mapped"/>
    <n v="934920"/>
    <s v="BIKASHS CHANDRA SARKAR"/>
    <s v="Private Retailer"/>
    <s v="8371881098"/>
    <n v="0.82499999999999996"/>
    <n v="175"/>
    <x v="4"/>
    <m/>
    <s v="2025-10-27"/>
    <s v="260202"/>
    <s v="MS S K DUTTA"/>
    <s v="9832802581"/>
  </r>
  <r>
    <s v="RCF Trombay"/>
    <s v="15-15-15"/>
    <s v="WB"/>
    <x v="17"/>
    <s v="Tehatta - II"/>
    <s v="User Not Mapped"/>
    <s v="User Not Mapped"/>
    <s v="User Not Mapped"/>
    <n v="730471"/>
    <s v="BISWAJIT BISWAS"/>
    <s v="Private Retailer"/>
    <s v="9775371744"/>
    <n v="1.5"/>
    <n v="353"/>
    <x v="1"/>
    <m/>
    <s v="2025-05-02"/>
    <s v="260202"/>
    <s v="MS S K DUTTA"/>
    <s v="9832802581"/>
  </r>
  <r>
    <s v="RCF Trombay"/>
    <s v="N.C.Urea(45kg)"/>
    <s v="WB"/>
    <x v="17"/>
    <s v="Tehatta - I"/>
    <s v="User Not Mapped"/>
    <s v="User Not Mapped"/>
    <s v="User Not Mapped"/>
    <n v="1405217"/>
    <s v="BISWAS FERTILIZER"/>
    <s v="Private Retailer"/>
    <s v="6291263845"/>
    <n v="2.3E-2"/>
    <n v="52"/>
    <x v="3"/>
    <m/>
    <s v="2026-02-27"/>
    <s v="260202"/>
    <s v="MS S K DUTTA"/>
    <s v="9832802581"/>
  </r>
  <r>
    <s v="RCF Thal"/>
    <s v="N.C.Urea(45kg)"/>
    <s v="WB"/>
    <x v="17"/>
    <s v="Tehatta - I"/>
    <s v="User Not Mapped"/>
    <s v="User Not Mapped"/>
    <s v="User Not Mapped"/>
    <n v="1405217"/>
    <s v="BISWAS FERTILIZER"/>
    <s v="Private Retailer"/>
    <s v="6291263845"/>
    <n v="0.40500000000000003"/>
    <n v="13"/>
    <x v="5"/>
    <m/>
    <s v="2026-04-07"/>
    <s v="260202"/>
    <s v="MS S K DUTTA"/>
    <s v="9832802581"/>
  </r>
  <r>
    <s v="RCF Import"/>
    <s v="MOP"/>
    <s v="WB"/>
    <x v="17"/>
    <s v="Tehatta - II"/>
    <s v="User Not Mapped"/>
    <s v="User Not Mapped"/>
    <s v="User Not Mapped"/>
    <n v="440592"/>
    <s v="Biswas Fertilizer"/>
    <s v="Private Retailer"/>
    <s v="9434551713"/>
    <n v="0.25"/>
    <n v="193"/>
    <x v="1"/>
    <m/>
    <s v="2025-10-09"/>
    <s v="260202"/>
    <s v="MS S K DUTTA"/>
    <s v="9832802581"/>
  </r>
  <r>
    <s v="RCF Trombay"/>
    <s v="N.C.Urea(45kg)"/>
    <s v="WB"/>
    <x v="17"/>
    <m/>
    <s v="User Not Mapped"/>
    <s v="User Not Mapped"/>
    <s v="User Not Mapped"/>
    <n v="1116042"/>
    <s v="BISWAS FERTILIZER"/>
    <s v="Private Retailer"/>
    <s v="8609719945"/>
    <n v="0.72"/>
    <n v="1747"/>
    <x v="2"/>
    <m/>
    <s v="2021-07-08"/>
    <s v="260202"/>
    <s v="MS S K DUTTA"/>
    <s v="9832802581"/>
  </r>
  <r>
    <s v="RCF Trombay"/>
    <s v="N.C.Urea(45kg)"/>
    <s v="WB"/>
    <x v="17"/>
    <s v="Tehatta - I"/>
    <s v="User Not Mapped"/>
    <s v="User Not Mapped"/>
    <s v="User Not Mapped"/>
    <n v="413472"/>
    <s v="BISWAS FERTILIZERS"/>
    <s v="Private Retailer"/>
    <s v="9564382219"/>
    <n v="5.5E-2"/>
    <n v="365"/>
    <x v="1"/>
    <m/>
    <s v="2025-04-20"/>
    <s v="260202"/>
    <s v="MS S K DUTTA"/>
    <s v="9832802581"/>
  </r>
  <r>
    <s v="RCF Trombay"/>
    <s v="N.C.Urea(45kg)"/>
    <s v="WB"/>
    <x v="17"/>
    <s v="Tehatta - I"/>
    <s v="User Not Mapped"/>
    <s v="User Not Mapped"/>
    <s v="User Not Mapped"/>
    <n v="413472"/>
    <s v="BISWAS FERTILIZERS"/>
    <s v="Private Retailer"/>
    <s v="9564382219"/>
    <n v="0.9"/>
    <n v="240"/>
    <x v="1"/>
    <m/>
    <s v="2025-08-23"/>
    <s v="260202"/>
    <s v="MS S K DUTTA"/>
    <s v="9832802581"/>
  </r>
  <r>
    <s v="RCF Thal"/>
    <s v="N.C.Urea(45kg)"/>
    <s v="WB"/>
    <x v="17"/>
    <s v="Tehatta - I"/>
    <s v="User Not Mapped"/>
    <s v="User Not Mapped"/>
    <s v="User Not Mapped"/>
    <n v="413472"/>
    <s v="BISWAS FERTILIZERS"/>
    <s v="Private Retailer"/>
    <s v="9564382219"/>
    <n v="0.54"/>
    <n v="264"/>
    <x v="1"/>
    <m/>
    <s v="2025-07-30"/>
    <s v="260202"/>
    <s v="MS S K DUTTA"/>
    <s v="9832802581"/>
  </r>
  <r>
    <s v="RCF Thal"/>
    <s v="N.C.Urea(45kg)"/>
    <s v="WB"/>
    <x v="17"/>
    <s v="Karimpur - II"/>
    <s v="User Not Mapped"/>
    <s v="User Not Mapped"/>
    <s v="User Not Mapped"/>
    <n v="1269198"/>
    <s v="DELUAR HOSSAIN SAIKH"/>
    <s v="Private Retailer"/>
    <s v="7029038874"/>
    <n v="0.45"/>
    <n v="248"/>
    <x v="1"/>
    <m/>
    <s v="2025-08-15"/>
    <s v="260202"/>
    <s v="MS S K DUTTA"/>
    <s v="9832802581"/>
  </r>
  <r>
    <s v="RCF Trombay"/>
    <s v="N.C.Urea(45kg)"/>
    <s v="WB"/>
    <x v="17"/>
    <s v="Karimpur - II"/>
    <s v="User Not Mapped"/>
    <s v="User Not Mapped"/>
    <s v="User Not Mapped"/>
    <n v="1020863"/>
    <s v="DIN MAHAMMAD SHAIKH"/>
    <s v="Private Retailer"/>
    <s v="9735776378"/>
    <n v="0.45"/>
    <n v="892"/>
    <x v="2"/>
    <m/>
    <s v="2023-11-10"/>
    <s v="260202"/>
    <s v="MS S K DUTTA"/>
    <s v="9832802581"/>
  </r>
  <r>
    <s v="RCF Trombay"/>
    <s v="15-15-15"/>
    <s v="WB"/>
    <x v="17"/>
    <s v="Karimpur - II"/>
    <s v="User Not Mapped"/>
    <s v="User Not Mapped"/>
    <s v="User Not Mapped"/>
    <n v="1062420"/>
    <s v="FARID MANDAL"/>
    <s v="Private Retailer"/>
    <s v="8001386259"/>
    <n v="0.1"/>
    <n v="595"/>
    <x v="2"/>
    <m/>
    <s v="2024-09-02"/>
    <s v="260202"/>
    <s v="MS S K DUTTA"/>
    <s v="9832802581"/>
  </r>
  <r>
    <s v="RCF Trombay"/>
    <s v="15-15-15"/>
    <s v="WB"/>
    <x v="17"/>
    <s v="Tehatta - I"/>
    <s v="User Not Mapped"/>
    <s v="User Not Mapped"/>
    <s v="User Not Mapped"/>
    <n v="934902"/>
    <s v="GOUTAM GHOSH"/>
    <s v="Private Retailer"/>
    <s v="9002960244"/>
    <n v="0.25"/>
    <n v="61"/>
    <x v="6"/>
    <m/>
    <s v="2026-02-18"/>
    <s v="260202"/>
    <s v="MS S K DUTTA"/>
    <s v="9832802581"/>
  </r>
  <r>
    <s v="RCF Trombay"/>
    <s v="N.C.Urea(45kg)"/>
    <s v="WB"/>
    <x v="17"/>
    <m/>
    <s v="User Not Mapped"/>
    <s v="User Not Mapped"/>
    <s v="User Not Mapped"/>
    <n v="468317"/>
    <s v="Haider Ali Biswas"/>
    <s v="Private Retailer"/>
    <s v="9734312743"/>
    <n v="1.125"/>
    <n v="1308"/>
    <x v="2"/>
    <m/>
    <s v="2022-09-20"/>
    <s v="260202"/>
    <s v="MS S K DUTTA"/>
    <s v="9832802581"/>
  </r>
  <r>
    <s v="RCF Thal"/>
    <s v="N.C.Urea(45kg)"/>
    <s v="WB"/>
    <x v="17"/>
    <s v="Tehatta - I"/>
    <s v="User Not Mapped"/>
    <s v="User Not Mapped"/>
    <s v="User Not Mapped"/>
    <n v="597360"/>
    <s v="IKBAL KABIRAJ"/>
    <s v="Private Retailer"/>
    <s v="8116014221"/>
    <n v="0.36"/>
    <n v="177"/>
    <x v="4"/>
    <m/>
    <s v="2025-10-25"/>
    <s v="260202"/>
    <s v="MS S K DUTTA"/>
    <s v="9832802581"/>
  </r>
  <r>
    <s v="RCF Trombay"/>
    <s v="15-15-15"/>
    <s v="WB"/>
    <x v="17"/>
    <s v="Tehatta - I"/>
    <s v="User Not Mapped"/>
    <s v="User Not Mapped"/>
    <s v="User Not Mapped"/>
    <n v="597360"/>
    <s v="IKBAL KABIRAJ"/>
    <s v="Private Retailer"/>
    <s v="8116014221"/>
    <n v="0.75"/>
    <n v="177"/>
    <x v="4"/>
    <m/>
    <s v="2025-10-25"/>
    <s v="260202"/>
    <s v="MS S K DUTTA"/>
    <s v="9832802581"/>
  </r>
  <r>
    <s v="RCF Trombay"/>
    <s v="N.C.Urea(45kg)"/>
    <s v="WB"/>
    <x v="17"/>
    <s v="Tehatta - I"/>
    <s v="User Not Mapped"/>
    <s v="User Not Mapped"/>
    <s v="User Not Mapped"/>
    <n v="597360"/>
    <s v="IKBAL KABIRAJ"/>
    <s v="Private Retailer"/>
    <s v="8116014221"/>
    <n v="0.09"/>
    <n v="211"/>
    <x v="1"/>
    <m/>
    <s v="2025-09-21"/>
    <s v="260202"/>
    <s v="MS S K DUTTA"/>
    <s v="9832802581"/>
  </r>
  <r>
    <s v="RCF Trombay"/>
    <s v="15-15-15"/>
    <s v="WB"/>
    <x v="17"/>
    <s v="Tehatta - I"/>
    <s v="User Not Mapped"/>
    <s v="User Not Mapped"/>
    <s v="User Not Mapped"/>
    <n v="651052"/>
    <s v="Isadul Sk"/>
    <s v="Private Retailer"/>
    <s v="9609425455"/>
    <n v="0.75"/>
    <n v="626"/>
    <x v="2"/>
    <m/>
    <s v="2024-08-02"/>
    <s v="260202"/>
    <s v="MS S K DUTTA"/>
    <s v="9832802581"/>
  </r>
  <r>
    <s v="RCF Thal"/>
    <s v="N.C.Urea(45kg)"/>
    <s v="WB"/>
    <x v="17"/>
    <s v="Tehatta - I"/>
    <s v="User Not Mapped"/>
    <s v="User Not Mapped"/>
    <s v="User Not Mapped"/>
    <n v="413666"/>
    <s v="Jagannath Biswas"/>
    <s v="Private Retailer"/>
    <s v="8617012531"/>
    <n v="1.35"/>
    <n v="23"/>
    <x v="5"/>
    <m/>
    <s v="2026-03-28"/>
    <s v="260202"/>
    <s v="MS S K DUTTA"/>
    <s v="9832802581"/>
  </r>
  <r>
    <s v="RCF Trombay"/>
    <s v="15-15-15"/>
    <s v="WB"/>
    <x v="17"/>
    <s v="Tehatta - I"/>
    <s v="User Not Mapped"/>
    <s v="User Not Mapped"/>
    <s v="User Not Mapped"/>
    <n v="413666"/>
    <s v="Jagannath Biswas"/>
    <s v="Private Retailer"/>
    <s v="8617012531"/>
    <n v="1"/>
    <n v="23"/>
    <x v="5"/>
    <m/>
    <s v="2026-03-28"/>
    <s v="260202"/>
    <s v="MS S K DUTTA"/>
    <s v="9832802581"/>
  </r>
  <r>
    <s v="RCF Thal"/>
    <s v="N.C.Urea(45kg)"/>
    <s v="WB"/>
    <x v="17"/>
    <s v="Tehatta - I"/>
    <s v="User Not Mapped"/>
    <s v="User Not Mapped"/>
    <s v="User Not Mapped"/>
    <n v="413666"/>
    <s v="Jagannath Biswas"/>
    <s v="Private Retailer"/>
    <s v="8617012531"/>
    <n v="0.58499999999999996"/>
    <n v="265"/>
    <x v="1"/>
    <m/>
    <s v="2025-07-29"/>
    <s v="260202"/>
    <s v="MS S K DUTTA"/>
    <s v="9832802581"/>
  </r>
  <r>
    <s v="RCF Thal"/>
    <s v="N.C.Urea(45kg)"/>
    <s v="WB"/>
    <x v="17"/>
    <s v="Tehatta - I"/>
    <s v="User Not Mapped"/>
    <s v="User Not Mapped"/>
    <s v="User Not Mapped"/>
    <n v="341540"/>
    <s v="Jayanta Ghosh"/>
    <s v="Private Retailer"/>
    <s v="7384726298"/>
    <n v="1.35"/>
    <n v="11"/>
    <x v="5"/>
    <m/>
    <s v="2026-04-09"/>
    <s v="260202"/>
    <s v="MS S K DUTTA"/>
    <s v="9832802581"/>
  </r>
  <r>
    <s v="RCF Trombay"/>
    <s v="N.C.Urea(45kg)"/>
    <s v="WB"/>
    <x v="17"/>
    <s v="Tehatta - I"/>
    <s v="User Not Mapped"/>
    <s v="User Not Mapped"/>
    <s v="User Not Mapped"/>
    <n v="413574"/>
    <s v="Jelhoque Mondal"/>
    <s v="Private Retailer"/>
    <s v="9735273027"/>
    <n v="0.22500000000000001"/>
    <n v="40"/>
    <x v="3"/>
    <m/>
    <s v="2026-03-11"/>
    <s v="260202"/>
    <s v="MS S K DUTTA"/>
    <s v="9832802581"/>
  </r>
  <r>
    <s v="RCF Trombay"/>
    <s v="N.C.Urea(45kg)"/>
    <s v="WB"/>
    <x v="17"/>
    <s v="Tehatta - I"/>
    <s v="User Not Mapped"/>
    <s v="User Not Mapped"/>
    <s v="User Not Mapped"/>
    <n v="412786"/>
    <s v="Jiarul Shaikh"/>
    <s v="Private Retailer"/>
    <s v="9647305729"/>
    <n v="0.09"/>
    <n v="56"/>
    <x v="3"/>
    <m/>
    <s v="2026-02-23"/>
    <s v="260202"/>
    <s v="MS S K DUTTA"/>
    <s v="9832802581"/>
  </r>
  <r>
    <s v="RCF Trombay"/>
    <s v="15-15-15"/>
    <s v="WB"/>
    <x v="17"/>
    <s v="Tehatta - I"/>
    <s v="User Not Mapped"/>
    <s v="User Not Mapped"/>
    <s v="User Not Mapped"/>
    <n v="412786"/>
    <s v="Jiarul Shaikh"/>
    <s v="Private Retailer"/>
    <s v="9647305729"/>
    <n v="1.4"/>
    <n v="56"/>
    <x v="3"/>
    <m/>
    <s v="2026-02-23"/>
    <s v="260202"/>
    <s v="MS S K DUTTA"/>
    <s v="9832802581"/>
  </r>
  <r>
    <s v="RCF Trombay"/>
    <s v="15-15-15"/>
    <s v="WB"/>
    <x v="17"/>
    <s v="Tehatta - I"/>
    <s v="User Not Mapped"/>
    <s v="User Not Mapped"/>
    <s v="User Not Mapped"/>
    <n v="440670"/>
    <s v="KANAN BISWAS"/>
    <s v="Private Retailer"/>
    <s v="9564382242"/>
    <n v="0.3"/>
    <n v="73"/>
    <x v="6"/>
    <m/>
    <s v="2026-02-06"/>
    <s v="260202"/>
    <s v="MS S K DUTTA"/>
    <s v="9832802581"/>
  </r>
  <r>
    <s v="RCF Trombay"/>
    <s v="N.C.Urea(45kg)"/>
    <s v="WB"/>
    <x v="17"/>
    <s v="Tehatta - I"/>
    <s v="User Not Mapped"/>
    <s v="User Not Mapped"/>
    <s v="User Not Mapped"/>
    <n v="440670"/>
    <s v="KANAN BISWAS"/>
    <s v="Private Retailer"/>
    <s v="9564382242"/>
    <n v="0.22500000000000001"/>
    <n v="54"/>
    <x v="3"/>
    <m/>
    <s v="2026-02-25"/>
    <s v="260202"/>
    <s v="MS S K DUTTA"/>
    <s v="9832802581"/>
  </r>
  <r>
    <s v="RCF Trombay"/>
    <s v="15-15-15"/>
    <s v="WB"/>
    <x v="17"/>
    <s v="Tehatta - I"/>
    <s v="User Not Mapped"/>
    <s v="User Not Mapped"/>
    <s v="User Not Mapped"/>
    <n v="440670"/>
    <s v="KANAN BISWAS"/>
    <s v="Private Retailer"/>
    <s v="9564382242"/>
    <n v="0.5"/>
    <n v="54"/>
    <x v="3"/>
    <m/>
    <s v="2026-02-25"/>
    <s v="260202"/>
    <s v="MS S K DUTTA"/>
    <s v="9832802581"/>
  </r>
  <r>
    <s v="RCF Thal"/>
    <s v="N.C.Urea(45kg)"/>
    <s v="WB"/>
    <x v="17"/>
    <s v="Tehatta - I"/>
    <s v="User Not Mapped"/>
    <s v="User Not Mapped"/>
    <s v="User Not Mapped"/>
    <n v="412776"/>
    <s v="Khodabox Halsana"/>
    <s v="Private Retailer"/>
    <s v="9734322987"/>
    <n v="0.9"/>
    <n v="40"/>
    <x v="3"/>
    <m/>
    <s v="2026-03-11"/>
    <s v="260202"/>
    <s v="MS S K DUTTA"/>
    <s v="9832802581"/>
  </r>
  <r>
    <s v="RCF Import"/>
    <s v="Imp 10-26-26"/>
    <s v="WB"/>
    <x v="17"/>
    <s v="Chapra"/>
    <s v="User Not Mapped"/>
    <s v="User Not Mapped"/>
    <s v="User Not Mapped"/>
    <n v="341686"/>
    <s v="Krishi Bhander"/>
    <s v="Private Retailer"/>
    <s v="9093735464"/>
    <n v="1"/>
    <n v="229"/>
    <x v="1"/>
    <m/>
    <s v="2025-09-03"/>
    <s v="260202"/>
    <s v="MS S K DUTTA"/>
    <s v="9832802581"/>
  </r>
  <r>
    <s v="RCF Trombay"/>
    <s v="15-15-15"/>
    <s v="WB"/>
    <x v="17"/>
    <s v="Krishnaganj"/>
    <s v="User Not Mapped"/>
    <s v="User Not Mapped"/>
    <s v="User Not Mapped"/>
    <n v="919842"/>
    <s v="KRISHI BIPLOB PROP ASIT KUMAR "/>
    <s v="Private Retailer"/>
    <s v="9800725288"/>
    <n v="0.05"/>
    <n v="1309"/>
    <x v="2"/>
    <m/>
    <s v="2022-09-19"/>
    <s v="260202"/>
    <s v="MS S K DUTTA"/>
    <s v="9832802581"/>
  </r>
  <r>
    <s v="RCF Trombay"/>
    <s v="15-15-15"/>
    <s v="WB"/>
    <x v="17"/>
    <s v="Tehatta - II"/>
    <s v="User Not Mapped"/>
    <s v="User Not Mapped"/>
    <s v="User Not Mapped"/>
    <n v="439388"/>
    <s v="Kuntal Biswas"/>
    <s v="Private Retailer"/>
    <s v="8001096988"/>
    <n v="0.5"/>
    <n v="43"/>
    <x v="3"/>
    <m/>
    <s v="2026-03-08"/>
    <s v="260202"/>
    <s v="MS S K DUTTA"/>
    <s v="9832802581"/>
  </r>
  <r>
    <s v="RCF Trombay"/>
    <s v="15-15-15"/>
    <s v="WB"/>
    <x v="17"/>
    <s v="Tehatta - II"/>
    <s v="User Not Mapped"/>
    <s v="User Not Mapped"/>
    <s v="User Not Mapped"/>
    <n v="439388"/>
    <s v="Kuntal Biswas"/>
    <s v="Private Retailer"/>
    <s v="8001096988"/>
    <n v="0.35"/>
    <n v="45"/>
    <x v="3"/>
    <m/>
    <s v="2026-03-06"/>
    <s v="260202"/>
    <s v="MS S K DUTTA"/>
    <s v="9832802581"/>
  </r>
  <r>
    <s v="RCF Thal"/>
    <s v="N.C.Urea(45kg)"/>
    <s v="WB"/>
    <x v="17"/>
    <s v="Tehatta - II"/>
    <s v="User Not Mapped"/>
    <s v="User Not Mapped"/>
    <s v="User Not Mapped"/>
    <n v="857603"/>
    <s v="LALU BISWAS"/>
    <s v="Private Retailer"/>
    <s v="9735325378"/>
    <n v="0.36"/>
    <n v="32"/>
    <x v="3"/>
    <m/>
    <s v="2026-03-19"/>
    <s v="260202"/>
    <s v="MS S K DUTTA"/>
    <s v="9832802581"/>
  </r>
  <r>
    <s v="RCF Trombay"/>
    <s v="15-15-15"/>
    <s v="WB"/>
    <x v="17"/>
    <s v="Tehatta - II"/>
    <s v="User Not Mapped"/>
    <s v="User Not Mapped"/>
    <s v="User Not Mapped"/>
    <n v="824329"/>
    <s v="M/S  FERTILIZER"/>
    <s v="Private Retailer"/>
    <s v="8927673183"/>
    <n v="0.35"/>
    <n v="621"/>
    <x v="2"/>
    <m/>
    <s v="2024-08-07"/>
    <s v="260202"/>
    <s v="MS S K DUTTA"/>
    <s v="9832802581"/>
  </r>
  <r>
    <s v="RCF Trombay"/>
    <s v="15-15-15"/>
    <s v="WB"/>
    <x v="17"/>
    <s v="Tehatta - II"/>
    <s v="User Not Mapped"/>
    <s v="User Not Mapped"/>
    <s v="User Not Mapped"/>
    <n v="896780"/>
    <s v="M/s AMRIT KRISHI BHANDER"/>
    <s v="Private Retailer"/>
    <s v="9735483948"/>
    <n v="0.2"/>
    <n v="238"/>
    <x v="1"/>
    <m/>
    <s v="2025-08-25"/>
    <s v="260202"/>
    <s v="MS S K DUTTA"/>
    <s v="9832802581"/>
  </r>
  <r>
    <s v="RCF Import"/>
    <s v="MOP"/>
    <s v="WB"/>
    <x v="17"/>
    <s v="Chapra"/>
    <s v="User Not Mapped"/>
    <s v="User Not Mapped"/>
    <s v="User Not Mapped"/>
    <n v="630276"/>
    <s v="M/S ANISUR MAHALDER"/>
    <s v="Private Retailer"/>
    <s v="9641382332"/>
    <n v="0.5"/>
    <n v="238"/>
    <x v="1"/>
    <m/>
    <s v="2025-08-25"/>
    <s v="260202"/>
    <s v="MS S K DUTTA"/>
    <s v="9832802581"/>
  </r>
  <r>
    <s v="RCF Trombay"/>
    <s v="N.C.Urea(45kg)"/>
    <s v="WB"/>
    <x v="17"/>
    <s v="Karimpur - II"/>
    <s v="User Not Mapped"/>
    <s v="User Not Mapped"/>
    <s v="User Not Mapped"/>
    <n v="1274603"/>
    <s v="M/S ISMAIL SEKH"/>
    <s v="Private Retailer"/>
    <s v="9647033182"/>
    <n v="0.72"/>
    <n v="84"/>
    <x v="6"/>
    <m/>
    <s v="2026-01-26"/>
    <s v="260202"/>
    <s v="MS S K DUTTA"/>
    <s v="9832802581"/>
  </r>
  <r>
    <s v="RCF Trombay"/>
    <s v="N.C.Urea(45kg)"/>
    <s v="WB"/>
    <x v="17"/>
    <s v="Tehatta - I"/>
    <s v="User Not Mapped"/>
    <s v="User Not Mapped"/>
    <s v="User Not Mapped"/>
    <n v="1390465"/>
    <s v="M/S KRISHOK BONDHU"/>
    <s v="Private Retailer"/>
    <s v="9609158510"/>
    <n v="4.5"/>
    <n v="154"/>
    <x v="4"/>
    <m/>
    <s v="2025-11-17"/>
    <s v="260202"/>
    <s v="MS S K DUTTA"/>
    <s v="9832802581"/>
  </r>
  <r>
    <s v="RCF Trombay"/>
    <s v="N.C.Urea(45kg)"/>
    <s v="WB"/>
    <x v="17"/>
    <s v="Tehatta - II"/>
    <s v="User Not Mapped"/>
    <s v="User Not Mapped"/>
    <s v="User Not Mapped"/>
    <n v="915754"/>
    <s v="M/S MONDAL FERTILIZER"/>
    <s v="Private Retailer"/>
    <s v="9093016916"/>
    <n v="1.35"/>
    <n v="58"/>
    <x v="3"/>
    <m/>
    <s v="2026-02-21"/>
    <s v="260202"/>
    <s v="MS S K DUTTA"/>
    <s v="9832802581"/>
  </r>
  <r>
    <s v="RCF Trombay"/>
    <s v="N.C.Urea(45kg)"/>
    <s v="WB"/>
    <x v="17"/>
    <s v="Tehatta - II"/>
    <s v="User Not Mapped"/>
    <s v="User Not Mapped"/>
    <s v="User Not Mapped"/>
    <n v="915754"/>
    <s v="M/S MONDAL FERTILIZER"/>
    <s v="Private Retailer"/>
    <s v="9093016916"/>
    <n v="1.35"/>
    <n v="54"/>
    <x v="3"/>
    <m/>
    <s v="2026-02-25"/>
    <s v="260202"/>
    <s v="MS S K DUTTA"/>
    <s v="9832802581"/>
  </r>
  <r>
    <s v="RCF Trombay"/>
    <s v="15-15-15"/>
    <s v="WB"/>
    <x v="17"/>
    <s v="Karimpur - II"/>
    <s v="User Not Mapped"/>
    <s v="User Not Mapped"/>
    <s v="User Not Mapped"/>
    <n v="1286121"/>
    <s v="M/S NEWTAN BISWAS"/>
    <s v="Private Retailer"/>
    <s v="9775857430"/>
    <n v="0.4"/>
    <n v="235"/>
    <x v="1"/>
    <m/>
    <s v="2025-08-28"/>
    <s v="260202"/>
    <s v="MS S K DUTTA"/>
    <s v="9832802581"/>
  </r>
  <r>
    <s v="RCF Import"/>
    <s v="Imp 10-26-26"/>
    <s v="WB"/>
    <x v="17"/>
    <s v="Tehatta - II"/>
    <s v="User Not Mapped"/>
    <s v="User Not Mapped"/>
    <s v="User Not Mapped"/>
    <n v="915888"/>
    <s v="M/s PALLIMANGAL FERTILIZER"/>
    <s v="Private Retailer"/>
    <s v="9475667580"/>
    <n v="1"/>
    <n v="491"/>
    <x v="0"/>
    <m/>
    <s v="2024-12-15"/>
    <s v="260202"/>
    <s v="MS S K DUTTA"/>
    <s v="9832802581"/>
  </r>
  <r>
    <s v="RCF Trombay"/>
    <s v="15-15-15"/>
    <s v="WB"/>
    <x v="17"/>
    <s v="Tehatta - II"/>
    <s v="User Not Mapped"/>
    <s v="User Not Mapped"/>
    <s v="User Not Mapped"/>
    <n v="1540553"/>
    <s v="M/S SAIFUL BISWAS"/>
    <s v="Private Retailer"/>
    <s v="8016313233"/>
    <n v="0.28999999999999998"/>
    <n v="240"/>
    <x v="1"/>
    <m/>
    <s v="2025-08-23"/>
    <s v="260202"/>
    <s v="MS S K DUTTA"/>
    <s v="9832802581"/>
  </r>
  <r>
    <s v="RCF Trombay"/>
    <s v="15-15-15"/>
    <s v="WB"/>
    <x v="17"/>
    <s v="Tehatta - II"/>
    <s v="User Not Mapped"/>
    <s v="User Not Mapped"/>
    <s v="User Not Mapped"/>
    <n v="356380"/>
    <s v="M/s SWAPAN KUMAR BISWAS"/>
    <s v="Private Retailer"/>
    <s v="9732976722"/>
    <n v="0.5"/>
    <n v="166"/>
    <x v="4"/>
    <m/>
    <s v="2025-11-05"/>
    <s v="260202"/>
    <s v="MS S K DUTTA"/>
    <s v="9832802581"/>
  </r>
  <r>
    <s v="RCF Trombay"/>
    <s v="15-15-15"/>
    <s v="WB"/>
    <x v="17"/>
    <s v="Tehatta - II"/>
    <s v="User Not Mapped"/>
    <s v="User Not Mapped"/>
    <s v="User Not Mapped"/>
    <n v="356380"/>
    <s v="M/s SWAPAN KUMAR BISWAS"/>
    <s v="Private Retailer"/>
    <s v="9732976722"/>
    <n v="0.5"/>
    <n v="216"/>
    <x v="1"/>
    <m/>
    <s v="2025-09-16"/>
    <s v="260202"/>
    <s v="MS S K DUTTA"/>
    <s v="9832802581"/>
  </r>
  <r>
    <s v="RCF Trombay"/>
    <s v="N.C.Urea(45kg)"/>
    <s v="WB"/>
    <x v="17"/>
    <s v="Tehatta - II"/>
    <s v="User Not Mapped"/>
    <s v="User Not Mapped"/>
    <s v="User Not Mapped"/>
    <n v="356380"/>
    <s v="M/s SWAPAN KUMAR BISWAS"/>
    <s v="Private Retailer"/>
    <s v="9732976722"/>
    <n v="0.9"/>
    <n v="56"/>
    <x v="3"/>
    <m/>
    <s v="2026-02-23"/>
    <s v="260202"/>
    <s v="MS S K DUTTA"/>
    <s v="9832802581"/>
  </r>
  <r>
    <s v="RCF Trombay"/>
    <s v="N.C.Urea(45kg)"/>
    <s v="WB"/>
    <x v="17"/>
    <s v="Tehatta - I"/>
    <s v="User Not Mapped"/>
    <s v="User Not Mapped"/>
    <s v="User Not Mapped"/>
    <n v="411622"/>
    <s v="MAA PRIYA KRISHI BHANDAR"/>
    <s v="Private Retailer"/>
    <s v="9734826221"/>
    <n v="4.4999999999999998E-2"/>
    <n v="86"/>
    <x v="6"/>
    <m/>
    <s v="2026-01-24"/>
    <s v="260202"/>
    <s v="MS S K DUTTA"/>
    <s v="9832802581"/>
  </r>
  <r>
    <s v="RCF Trombay"/>
    <s v="15-15-15"/>
    <s v="WB"/>
    <x v="17"/>
    <s v="Tehatta - I"/>
    <s v="User Not Mapped"/>
    <s v="User Not Mapped"/>
    <s v="User Not Mapped"/>
    <n v="411622"/>
    <s v="MAA PRIYA KRISHI BHANDAR"/>
    <s v="Private Retailer"/>
    <s v="9734826221"/>
    <n v="0.5"/>
    <n v="32"/>
    <x v="3"/>
    <m/>
    <s v="2026-03-19"/>
    <s v="260202"/>
    <s v="MS S K DUTTA"/>
    <s v="9832802581"/>
  </r>
  <r>
    <s v="RCF Trombay"/>
    <s v="N.C.Urea(45kg)"/>
    <s v="WB"/>
    <x v="17"/>
    <s v="Tehatta - I"/>
    <s v="User Not Mapped"/>
    <s v="User Not Mapped"/>
    <s v="User Not Mapped"/>
    <n v="411622"/>
    <s v="MAA PRIYA KRISHI BHANDAR"/>
    <s v="Private Retailer"/>
    <s v="9734826221"/>
    <n v="0.9"/>
    <n v="56"/>
    <x v="3"/>
    <m/>
    <s v="2026-02-23"/>
    <s v="260202"/>
    <s v="MS S K DUTTA"/>
    <s v="9832802581"/>
  </r>
  <r>
    <s v="RCF Trombay"/>
    <s v="15-15-15"/>
    <s v="WB"/>
    <x v="17"/>
    <s v="Tehatta - I"/>
    <s v="User Not Mapped"/>
    <s v="User Not Mapped"/>
    <s v="User Not Mapped"/>
    <n v="411622"/>
    <s v="MAA PRIYA KRISHI BHANDAR"/>
    <s v="Private Retailer"/>
    <s v="9734826221"/>
    <n v="0.22500000000000001"/>
    <n v="135"/>
    <x v="4"/>
    <m/>
    <s v="2025-12-06"/>
    <s v="260202"/>
    <s v="MS S K DUTTA"/>
    <s v="9832802581"/>
  </r>
  <r>
    <s v="RCF Trombay"/>
    <s v="15-15-15"/>
    <s v="WB"/>
    <x v="17"/>
    <m/>
    <s v="User Not Mapped"/>
    <s v="User Not Mapped"/>
    <s v="User Not Mapped"/>
    <n v="341785"/>
    <s v="Mahabul Shaikh"/>
    <s v="Private Retailer"/>
    <s v="9382101137"/>
    <n v="2"/>
    <n v="231"/>
    <x v="1"/>
    <m/>
    <s v="2025-09-01"/>
    <s v="260202"/>
    <s v="MS S K DUTTA"/>
    <s v="9832802581"/>
  </r>
  <r>
    <s v="RCF Thal"/>
    <s v="N.C.Urea(45kg)"/>
    <s v="WB"/>
    <x v="17"/>
    <m/>
    <s v="User Not Mapped"/>
    <s v="User Not Mapped"/>
    <s v="User Not Mapped"/>
    <n v="341785"/>
    <s v="Mahabul Shaikh"/>
    <s v="Private Retailer"/>
    <s v="9382101137"/>
    <n v="4.4999999999999998E-2"/>
    <n v="179"/>
    <x v="4"/>
    <m/>
    <s v="2025-10-23"/>
    <s v="260202"/>
    <s v="MS S K DUTTA"/>
    <s v="9832802581"/>
  </r>
  <r>
    <s v="RCF Trombay"/>
    <s v="N.C.Urea(45kg)"/>
    <s v="WB"/>
    <x v="17"/>
    <m/>
    <s v="User Not Mapped"/>
    <s v="User Not Mapped"/>
    <s v="User Not Mapped"/>
    <n v="341785"/>
    <s v="Mahabul Shaikh"/>
    <s v="Private Retailer"/>
    <s v="9382101137"/>
    <n v="2.7"/>
    <n v="52"/>
    <x v="3"/>
    <m/>
    <s v="2026-02-27"/>
    <s v="260202"/>
    <s v="MS S K DUTTA"/>
    <s v="9832802581"/>
  </r>
  <r>
    <s v="RCF Trombay"/>
    <s v="15-15-15"/>
    <s v="WB"/>
    <x v="17"/>
    <s v="Karimpur - II"/>
    <s v="User Not Mapped"/>
    <s v="User Not Mapped"/>
    <s v="User Not Mapped"/>
    <n v="1087459"/>
    <s v="Malloy mondal"/>
    <s v="Private Retailer"/>
    <s v="9733319377"/>
    <n v="0.45"/>
    <n v="630"/>
    <x v="2"/>
    <m/>
    <s v="2024-07-29"/>
    <s v="260202"/>
    <s v="MS S K DUTTA"/>
    <s v="9832802581"/>
  </r>
  <r>
    <s v="RCF Trombay"/>
    <s v="15-15-15"/>
    <s v="WB"/>
    <x v="17"/>
    <s v="Karimpur - II"/>
    <s v="User Not Mapped"/>
    <s v="User Not Mapped"/>
    <s v="User Not Mapped"/>
    <n v="1087459"/>
    <s v="Malloy mondal"/>
    <s v="Private Retailer"/>
    <s v="9733319377"/>
    <n v="0.25"/>
    <n v="886"/>
    <x v="2"/>
    <m/>
    <s v="2023-11-16"/>
    <s v="260202"/>
    <s v="MS S K DUTTA"/>
    <s v="9832802581"/>
  </r>
  <r>
    <s v="RCF Trombay"/>
    <s v="N.C.Urea(45kg)"/>
    <s v="WB"/>
    <x v="17"/>
    <s v="Chapra"/>
    <s v="User Not Mapped"/>
    <s v="User Not Mapped"/>
    <s v="User Not Mapped"/>
    <n v="919474"/>
    <s v="MANDAL FERTILIZER"/>
    <s v="Private Retailer"/>
    <s v="9932142435"/>
    <n v="1.44"/>
    <n v="233"/>
    <x v="1"/>
    <m/>
    <s v="2025-08-30"/>
    <s v="260202"/>
    <s v="MS S K DUTTA"/>
    <s v="9832802581"/>
  </r>
  <r>
    <s v="RCF Import"/>
    <s v="MOP"/>
    <s v="WB"/>
    <x v="17"/>
    <m/>
    <s v="User Not Mapped"/>
    <s v="User Not Mapped"/>
    <s v="User Not Mapped"/>
    <n v="355326"/>
    <s v="Mandanmohanbiswas"/>
    <s v="Private Retailer"/>
    <s v="9734623998"/>
    <n v="0.35"/>
    <n v="450"/>
    <x v="0"/>
    <m/>
    <s v="2025-01-25"/>
    <s v="260202"/>
    <s v="MS S K DUTTA"/>
    <s v="9832802581"/>
  </r>
  <r>
    <s v="RCF Trombay"/>
    <s v="N.C.Urea(45kg)"/>
    <s v="WB"/>
    <x v="17"/>
    <m/>
    <s v="User Not Mapped"/>
    <s v="User Not Mapped"/>
    <s v="User Not Mapped"/>
    <n v="355326"/>
    <s v="Mandanmohanbiswas"/>
    <s v="Private Retailer"/>
    <s v="9734623998"/>
    <n v="7.0000000000000007E-2"/>
    <n v="450"/>
    <x v="0"/>
    <m/>
    <s v="2025-01-25"/>
    <s v="260202"/>
    <s v="MS S K DUTTA"/>
    <s v="9832802581"/>
  </r>
  <r>
    <s v="RCF Thal"/>
    <s v="N.C.Urea(45kg)"/>
    <s v="WB"/>
    <x v="17"/>
    <m/>
    <s v="User Not Mapped"/>
    <s v="User Not Mapped"/>
    <s v="User Not Mapped"/>
    <n v="355327"/>
    <s v="Mangalmay  Mondal"/>
    <s v="Private Retailer"/>
    <s v="9547788777"/>
    <n v="0.9"/>
    <n v="11"/>
    <x v="5"/>
    <m/>
    <s v="2026-04-09"/>
    <s v="260202"/>
    <s v="MS S K DUTTA"/>
    <s v="9832802581"/>
  </r>
  <r>
    <s v="RCF Trombay"/>
    <s v="15-15-15"/>
    <s v="WB"/>
    <x v="17"/>
    <m/>
    <s v="User Not Mapped"/>
    <s v="User Not Mapped"/>
    <s v="User Not Mapped"/>
    <n v="355327"/>
    <s v="Mangalmay  Mondal"/>
    <s v="Private Retailer"/>
    <s v="9547788777"/>
    <n v="1"/>
    <n v="84"/>
    <x v="6"/>
    <m/>
    <s v="2026-01-26"/>
    <s v="260202"/>
    <s v="MS S K DUTTA"/>
    <s v="9832802581"/>
  </r>
  <r>
    <s v="RCF Trombay"/>
    <s v="15-15-15"/>
    <s v="WB"/>
    <x v="17"/>
    <m/>
    <s v="User Not Mapped"/>
    <s v="User Not Mapped"/>
    <s v="User Not Mapped"/>
    <n v="355327"/>
    <s v="Mangalmay  Mondal"/>
    <s v="Private Retailer"/>
    <s v="9547788777"/>
    <n v="0.75"/>
    <n v="71"/>
    <x v="6"/>
    <m/>
    <s v="2026-02-08"/>
    <s v="260202"/>
    <s v="MS S K DUTTA"/>
    <s v="9832802581"/>
  </r>
  <r>
    <s v="RCF Trombay"/>
    <s v="15-15-15"/>
    <s v="WB"/>
    <x v="17"/>
    <m/>
    <s v="User Not Mapped"/>
    <s v="User Not Mapped"/>
    <s v="User Not Mapped"/>
    <n v="355327"/>
    <s v="Mangalmay  Mondal"/>
    <s v="Private Retailer"/>
    <s v="9547788777"/>
    <n v="0.5"/>
    <n v="45"/>
    <x v="3"/>
    <m/>
    <s v="2026-03-06"/>
    <s v="260202"/>
    <s v="MS S K DUTTA"/>
    <s v="9832802581"/>
  </r>
  <r>
    <s v="RCF Trombay"/>
    <s v="15-15-15"/>
    <s v="WB"/>
    <x v="17"/>
    <m/>
    <s v="User Not Mapped"/>
    <s v="User Not Mapped"/>
    <s v="User Not Mapped"/>
    <n v="355327"/>
    <s v="Mangalmay  Mondal"/>
    <s v="Private Retailer"/>
    <s v="9547788777"/>
    <n v="0.25"/>
    <n v="56"/>
    <x v="3"/>
    <m/>
    <s v="2026-02-23"/>
    <s v="260202"/>
    <s v="MS S K DUTTA"/>
    <s v="9832802581"/>
  </r>
  <r>
    <s v="RCF Import"/>
    <s v="MOP"/>
    <s v="WB"/>
    <x v="17"/>
    <s v="Tehatta - I"/>
    <s v="User Not Mapped"/>
    <s v="User Not Mapped"/>
    <s v="User Not Mapped"/>
    <n v="243884"/>
    <s v="Manjushree Dutta"/>
    <s v="Private Retailer"/>
    <s v="7699908873"/>
    <n v="9.0500000000000007"/>
    <n v="154"/>
    <x v="4"/>
    <m/>
    <s v="2025-11-17"/>
    <s v="260202"/>
    <s v="MS S K DUTTA"/>
    <s v="9832802581"/>
  </r>
  <r>
    <s v="RCF Import"/>
    <s v="Imp 10-26-26"/>
    <s v="WB"/>
    <x v="17"/>
    <s v="Tehatta - I"/>
    <s v="User Not Mapped"/>
    <s v="User Not Mapped"/>
    <s v="User Not Mapped"/>
    <n v="243884"/>
    <s v="Manjushree Dutta"/>
    <s v="Private Retailer"/>
    <s v="7699908873"/>
    <n v="11.75"/>
    <n v="154"/>
    <x v="4"/>
    <m/>
    <s v="2025-11-17"/>
    <s v="260202"/>
    <s v="MS S K DUTTA"/>
    <s v="9832802581"/>
  </r>
  <r>
    <s v="RCF Trombay"/>
    <s v="15-15-15"/>
    <s v="WB"/>
    <x v="17"/>
    <m/>
    <s v="User Not Mapped"/>
    <s v="User Not Mapped"/>
    <s v="User Not Mapped"/>
    <n v="341840"/>
    <s v="Manoj  Biswas"/>
    <s v="Private Retailer"/>
    <s v="9609794880"/>
    <n v="0.5"/>
    <n v="111"/>
    <x v="7"/>
    <m/>
    <s v="2025-12-30"/>
    <s v="260202"/>
    <s v="MS S K DUTTA"/>
    <s v="9832802581"/>
  </r>
  <r>
    <s v="RCF Thal"/>
    <s v="N.C.Urea(45kg)"/>
    <s v="WB"/>
    <x v="17"/>
    <s v="Tehatta - I"/>
    <s v="User Not Mapped"/>
    <s v="User Not Mapped"/>
    <s v="User Not Mapped"/>
    <n v="411592"/>
    <s v="Minojali Shaikh"/>
    <s v="Private Retailer"/>
    <s v="9733681163"/>
    <n v="0.9"/>
    <n v="10"/>
    <x v="5"/>
    <m/>
    <s v="2026-04-10"/>
    <s v="260202"/>
    <s v="MS S K DUTTA"/>
    <s v="9832802581"/>
  </r>
  <r>
    <s v="RCF Trombay"/>
    <s v="N.C.Urea(45kg)"/>
    <s v="WB"/>
    <x v="17"/>
    <s v="Tehatta - I"/>
    <s v="User Not Mapped"/>
    <s v="User Not Mapped"/>
    <s v="User Not Mapped"/>
    <n v="411592"/>
    <s v="Minojali Shaikh"/>
    <s v="Private Retailer"/>
    <s v="9733681163"/>
    <n v="0.18"/>
    <n v="82"/>
    <x v="6"/>
    <m/>
    <s v="2026-01-28"/>
    <s v="260202"/>
    <s v="MS S K DUTTA"/>
    <s v="9832802581"/>
  </r>
  <r>
    <s v="RCF Import"/>
    <s v="Imp 10-26-26"/>
    <s v="WB"/>
    <x v="17"/>
    <s v="Tehatta - I"/>
    <s v="User Not Mapped"/>
    <s v="User Not Mapped"/>
    <s v="User Not Mapped"/>
    <n v="411592"/>
    <s v="Minojali Shaikh"/>
    <s v="Private Retailer"/>
    <s v="9733681163"/>
    <n v="0.3"/>
    <n v="216"/>
    <x v="1"/>
    <m/>
    <s v="2025-09-16"/>
    <s v="260202"/>
    <s v="MS S K DUTTA"/>
    <s v="9832802581"/>
  </r>
  <r>
    <s v="RCF Trombay"/>
    <s v="15-15-15"/>
    <s v="WB"/>
    <x v="17"/>
    <s v="Tehatta - I"/>
    <s v="User Not Mapped"/>
    <s v="User Not Mapped"/>
    <s v="User Not Mapped"/>
    <n v="411592"/>
    <s v="Minojali Shaikh"/>
    <s v="Private Retailer"/>
    <s v="9733681163"/>
    <n v="0.5"/>
    <n v="32"/>
    <x v="3"/>
    <m/>
    <s v="2026-03-19"/>
    <s v="260202"/>
    <s v="MS S K DUTTA"/>
    <s v="9832802581"/>
  </r>
  <r>
    <s v="RCF Trombay"/>
    <s v="15-15-15"/>
    <s v="WB"/>
    <x v="17"/>
    <s v="Tehatta - I"/>
    <s v="User Not Mapped"/>
    <s v="User Not Mapped"/>
    <s v="User Not Mapped"/>
    <n v="642060"/>
    <s v="Modan Mohan Biswas"/>
    <s v="Private Retailer"/>
    <s v="9733907604"/>
    <n v="0.5"/>
    <n v="127"/>
    <x v="4"/>
    <m/>
    <s v="2025-12-14"/>
    <s v="260202"/>
    <s v="MS S K DUTTA"/>
    <s v="9832802581"/>
  </r>
  <r>
    <s v="RCF Trombay"/>
    <s v="15-15-15"/>
    <s v="WB"/>
    <x v="17"/>
    <s v="Tehatta - I"/>
    <s v="User Not Mapped"/>
    <s v="User Not Mapped"/>
    <s v="User Not Mapped"/>
    <n v="642060"/>
    <s v="Modan Mohan Biswas"/>
    <s v="Private Retailer"/>
    <s v="9733907604"/>
    <n v="0.5"/>
    <n v="121"/>
    <x v="4"/>
    <m/>
    <s v="2025-12-20"/>
    <s v="260202"/>
    <s v="MS S K DUTTA"/>
    <s v="9832802581"/>
  </r>
  <r>
    <s v="RCF Trombay"/>
    <s v="N.C.Urea(45kg)"/>
    <s v="WB"/>
    <x v="17"/>
    <s v="Tehatta - I"/>
    <s v="User Not Mapped"/>
    <s v="User Not Mapped"/>
    <s v="User Not Mapped"/>
    <n v="645782"/>
    <s v="Mondal Fertiliser"/>
    <s v="Private Retailer"/>
    <s v="8001810321"/>
    <n v="0.36"/>
    <n v="226"/>
    <x v="1"/>
    <m/>
    <s v="2025-09-06"/>
    <s v="260202"/>
    <s v="MS S K DUTTA"/>
    <s v="9832802581"/>
  </r>
  <r>
    <s v="RCF Trombay"/>
    <s v="15-15-15"/>
    <s v="WB"/>
    <x v="17"/>
    <s v="Tehatta - I"/>
    <s v="User Not Mapped"/>
    <s v="User Not Mapped"/>
    <s v="User Not Mapped"/>
    <n v="1401074"/>
    <s v="MONDAL FERTILIZER"/>
    <s v="Private Retailer"/>
    <s v="8926932532"/>
    <n v="0.4"/>
    <n v="12"/>
    <x v="5"/>
    <m/>
    <s v="2026-04-08"/>
    <s v="260202"/>
    <s v="MS S K DUTTA"/>
    <s v="9832802581"/>
  </r>
  <r>
    <s v="RCF Thal"/>
    <s v="N.C.Urea(45kg)"/>
    <s v="WB"/>
    <x v="17"/>
    <s v="Tehatta - I"/>
    <s v="User Not Mapped"/>
    <s v="User Not Mapped"/>
    <s v="User Not Mapped"/>
    <n v="1401074"/>
    <s v="MONDAL FERTILIZER"/>
    <s v="Private Retailer"/>
    <s v="8926932532"/>
    <n v="0.54"/>
    <n v="12"/>
    <x v="5"/>
    <m/>
    <s v="2026-04-08"/>
    <s v="260202"/>
    <s v="MS S K DUTTA"/>
    <s v="9832802581"/>
  </r>
  <r>
    <s v="RCF Trombay"/>
    <s v="N.C.Urea(45kg)"/>
    <s v="WB"/>
    <x v="17"/>
    <m/>
    <s v="User Not Mapped"/>
    <s v="User Not Mapped"/>
    <s v="User Not Mapped"/>
    <n v="220207"/>
    <s v="Mrinal Kanti Biswas"/>
    <s v="Private Retailer"/>
    <s v="7551821768"/>
    <n v="0.76"/>
    <n v="1239"/>
    <x v="2"/>
    <m/>
    <s v="2022-11-28"/>
    <s v="260202"/>
    <s v="MS S K DUTTA"/>
    <s v="9832802581"/>
  </r>
  <r>
    <s v="RCF Trombay"/>
    <s v="15-15-15"/>
    <s v="WB"/>
    <x v="17"/>
    <m/>
    <s v="User Not Mapped"/>
    <s v="User Not Mapped"/>
    <s v="User Not Mapped"/>
    <n v="220207"/>
    <s v="Mrinal Kanti Biswas"/>
    <s v="Private Retailer"/>
    <s v="7551821768"/>
    <n v="0.27"/>
    <n v="1355"/>
    <x v="2"/>
    <m/>
    <s v="2022-08-04"/>
    <s v="260202"/>
    <s v="MS S K DUTTA"/>
    <s v="9832802581"/>
  </r>
  <r>
    <s v="RCF Trombay"/>
    <s v="N.C.Urea(45kg)"/>
    <s v="WB"/>
    <x v="17"/>
    <m/>
    <s v="User Not Mapped"/>
    <s v="User Not Mapped"/>
    <s v="User Not Mapped"/>
    <n v="220207"/>
    <s v="Mrinal Kanti Biswas"/>
    <s v="Private Retailer"/>
    <s v="7551821768"/>
    <n v="1.8"/>
    <n v="1198"/>
    <x v="2"/>
    <m/>
    <s v="2023-01-08"/>
    <s v="260202"/>
    <s v="MS S K DUTTA"/>
    <s v="9832802581"/>
  </r>
  <r>
    <s v="RCF Trombay"/>
    <s v="N.C.Urea(45kg)"/>
    <s v="WB"/>
    <x v="17"/>
    <s v="Tehatta - II"/>
    <s v="User Not Mapped"/>
    <s v="User Not Mapped"/>
    <s v="User Not Mapped"/>
    <n v="892243"/>
    <s v="MS BISWAS FERTILIZER"/>
    <s v="Private Retailer"/>
    <s v="8597700931"/>
    <n v="0.13500000000000001"/>
    <n v="40"/>
    <x v="3"/>
    <m/>
    <s v="2026-03-11"/>
    <s v="260202"/>
    <s v="MS S K DUTTA"/>
    <s v="9832802581"/>
  </r>
  <r>
    <s v="RCF Trombay"/>
    <s v="15-15-15"/>
    <s v="WB"/>
    <x v="17"/>
    <s v="Karimpur - II"/>
    <s v="User Not Mapped"/>
    <s v="User Not Mapped"/>
    <s v="User Not Mapped"/>
    <n v="1285599"/>
    <s v="MS GINDAR PAIK"/>
    <s v="Private Retailer"/>
    <s v="8527732028"/>
    <n v="0.65"/>
    <n v="145"/>
    <x v="4"/>
    <m/>
    <s v="2025-11-26"/>
    <s v="260202"/>
    <s v="MS S K DUTTA"/>
    <s v="9832802581"/>
  </r>
  <r>
    <s v="RCF Trombay"/>
    <s v="15-15-15"/>
    <s v="WB"/>
    <x v="17"/>
    <s v="Tehatta - I"/>
    <s v="User Not Mapped"/>
    <s v="User Not Mapped"/>
    <s v="User Not Mapped"/>
    <n v="440404"/>
    <s v="MS SABUJ SATHI FERTILIZERS"/>
    <s v="Private Retailer"/>
    <s v="9733764140"/>
    <n v="0.5"/>
    <n v="280"/>
    <x v="1"/>
    <m/>
    <s v="2025-07-14"/>
    <s v="260202"/>
    <s v="MS S K DUTTA"/>
    <s v="9832802581"/>
  </r>
  <r>
    <s v="RCF Trombay"/>
    <s v="15-15-15"/>
    <s v="WB"/>
    <x v="17"/>
    <s v="Tehatta - I"/>
    <s v="User Not Mapped"/>
    <s v="User Not Mapped"/>
    <s v="User Not Mapped"/>
    <n v="440404"/>
    <s v="MS SABUJ SATHI FERTILIZERS"/>
    <s v="Private Retailer"/>
    <s v="9733764140"/>
    <n v="0.5"/>
    <n v="306"/>
    <x v="1"/>
    <m/>
    <s v="2025-06-18"/>
    <s v="260202"/>
    <s v="MS S K DUTTA"/>
    <s v="9832802581"/>
  </r>
  <r>
    <s v="RCF Trombay"/>
    <s v="15-15-15"/>
    <s v="WB"/>
    <x v="17"/>
    <s v="Tehatta - I"/>
    <s v="User Not Mapped"/>
    <s v="User Not Mapped"/>
    <s v="User Not Mapped"/>
    <n v="440404"/>
    <s v="MS SABUJ SATHI FERTILIZERS"/>
    <s v="Private Retailer"/>
    <s v="9733764140"/>
    <n v="0.5"/>
    <n v="47"/>
    <x v="3"/>
    <m/>
    <s v="2026-03-04"/>
    <s v="260202"/>
    <s v="MS S K DUTTA"/>
    <s v="9832802581"/>
  </r>
  <r>
    <s v="RCF Trombay"/>
    <s v="15-15-15"/>
    <s v="WB"/>
    <x v="17"/>
    <s v="Tehatta - I"/>
    <s v="User Not Mapped"/>
    <s v="User Not Mapped"/>
    <s v="User Not Mapped"/>
    <n v="440404"/>
    <s v="MS SABUJ SATHI FERTILIZERS"/>
    <s v="Private Retailer"/>
    <s v="9733764140"/>
    <n v="0.3"/>
    <n v="335"/>
    <x v="1"/>
    <m/>
    <s v="2025-05-20"/>
    <s v="260202"/>
    <s v="MS S K DUTTA"/>
    <s v="9832802581"/>
  </r>
  <r>
    <s v="RCF Import"/>
    <s v="MOP"/>
    <s v="WB"/>
    <x v="17"/>
    <s v="Tehatta - II"/>
    <s v="User Not Mapped"/>
    <s v="User Not Mapped"/>
    <s v="User Not Mapped"/>
    <n v="634901"/>
    <s v="NARATTAM MONDAL"/>
    <s v="Private Retailer"/>
    <s v="8926665323"/>
    <n v="0.5"/>
    <n v="225"/>
    <x v="1"/>
    <m/>
    <s v="2025-09-07"/>
    <s v="260202"/>
    <s v="MS S K DUTTA"/>
    <s v="9832802581"/>
  </r>
  <r>
    <s v="RCF Import"/>
    <s v="Imp 10-26-26"/>
    <s v="WB"/>
    <x v="17"/>
    <s v="Tehatta - II"/>
    <s v="User Not Mapped"/>
    <s v="User Not Mapped"/>
    <s v="User Not Mapped"/>
    <n v="634901"/>
    <s v="NARATTAM MONDAL"/>
    <s v="Private Retailer"/>
    <s v="8926665323"/>
    <n v="0.5"/>
    <n v="233"/>
    <x v="1"/>
    <m/>
    <s v="2025-08-30"/>
    <s v="260202"/>
    <s v="MS S K DUTTA"/>
    <s v="9832802581"/>
  </r>
  <r>
    <s v="RCF Thal"/>
    <s v="N.C.Urea(45kg)"/>
    <s v="WB"/>
    <x v="17"/>
    <s v="Tehatta - I"/>
    <s v="User Not Mapped"/>
    <s v="User Not Mapped"/>
    <s v="User Not Mapped"/>
    <n v="440368"/>
    <s v="NARAYAN CHANDRA BISWAS"/>
    <s v="Private Retailer"/>
    <s v="9143434344"/>
    <n v="0.45"/>
    <n v="10"/>
    <x v="5"/>
    <m/>
    <s v="2026-04-10"/>
    <s v="260202"/>
    <s v="MS S K DUTTA"/>
    <s v="9832802581"/>
  </r>
  <r>
    <s v="RCF Thal"/>
    <s v="N.C.Urea(45kg)"/>
    <s v="WB"/>
    <x v="17"/>
    <s v="Tehatta - II"/>
    <s v="User Not Mapped"/>
    <s v="User Not Mapped"/>
    <s v="User Not Mapped"/>
    <n v="915237"/>
    <s v="Nayeb Shekh"/>
    <s v="Private Retailer"/>
    <s v="7029391902"/>
    <n v="0.9"/>
    <n v="29"/>
    <x v="5"/>
    <m/>
    <s v="2026-03-22"/>
    <s v="260202"/>
    <s v="MS S K DUTTA"/>
    <s v="9832802581"/>
  </r>
  <r>
    <s v="RCF Thal"/>
    <s v="N.C.Urea(45kg)"/>
    <s v="WB"/>
    <x v="17"/>
    <s v="Tehatta - II"/>
    <s v="User Not Mapped"/>
    <s v="User Not Mapped"/>
    <s v="User Not Mapped"/>
    <n v="915237"/>
    <s v="Nayeb Shekh"/>
    <s v="Private Retailer"/>
    <s v="7029391902"/>
    <n v="1.35"/>
    <n v="11"/>
    <x v="5"/>
    <m/>
    <s v="2026-04-09"/>
    <s v="260202"/>
    <s v="MS S K DUTTA"/>
    <s v="9832802581"/>
  </r>
  <r>
    <s v="RCF Thal"/>
    <s v="N.C.Urea(45kg)"/>
    <s v="WB"/>
    <x v="17"/>
    <s v="Tehatta - II"/>
    <s v="User Not Mapped"/>
    <s v="User Not Mapped"/>
    <s v="User Not Mapped"/>
    <n v="439424"/>
    <s v="Nirmal Ghosh"/>
    <s v="Private Retailer"/>
    <s v="9733807218"/>
    <n v="3.6"/>
    <n v="11"/>
    <x v="5"/>
    <m/>
    <s v="2026-04-09"/>
    <s v="260202"/>
    <s v="MS S K DUTTA"/>
    <s v="9832802581"/>
  </r>
  <r>
    <s v="RCF Trombay"/>
    <s v="N.C.Urea(45kg)"/>
    <s v="WB"/>
    <x v="17"/>
    <s v="Tehatta - II"/>
    <s v="User Not Mapped"/>
    <s v="User Not Mapped"/>
    <s v="User Not Mapped"/>
    <n v="439424"/>
    <s v="Nirmal Ghosh"/>
    <s v="Private Retailer"/>
    <s v="9733807218"/>
    <n v="0.45"/>
    <n v="40"/>
    <x v="3"/>
    <m/>
    <s v="2026-03-11"/>
    <s v="260202"/>
    <s v="MS S K DUTTA"/>
    <s v="9832802581"/>
  </r>
  <r>
    <s v="RCF Trombay"/>
    <s v="15-15-15"/>
    <s v="WB"/>
    <x v="17"/>
    <s v="Tehatta - II"/>
    <s v="User Not Mapped"/>
    <s v="User Not Mapped"/>
    <s v="User Not Mapped"/>
    <n v="439424"/>
    <s v="Nirmal Ghosh"/>
    <s v="Private Retailer"/>
    <s v="9733807218"/>
    <n v="0.25"/>
    <n v="29"/>
    <x v="5"/>
    <m/>
    <s v="2026-03-22"/>
    <s v="260202"/>
    <s v="MS S K DUTTA"/>
    <s v="9832802581"/>
  </r>
  <r>
    <s v="RCF Thal"/>
    <s v="N.C.Urea(45kg)"/>
    <s v="WB"/>
    <x v="17"/>
    <s v="Karimpur - II"/>
    <s v="User Not Mapped"/>
    <s v="User Not Mapped"/>
    <s v="User Not Mapped"/>
    <n v="1132955"/>
    <s v="NUR SELIM SAHA"/>
    <s v="Private Retailer"/>
    <s v="9732410157"/>
    <n v="1.08"/>
    <n v="11"/>
    <x v="5"/>
    <m/>
    <s v="2026-04-09"/>
    <s v="260202"/>
    <s v="MS S K DUTTA"/>
    <s v="9832802581"/>
  </r>
  <r>
    <s v="RCF Trombay"/>
    <s v="N.C.Urea(45kg)"/>
    <s v="WB"/>
    <x v="17"/>
    <s v="Tehatta - I"/>
    <s v="User Not Mapped"/>
    <s v="User Not Mapped"/>
    <s v="User Not Mapped"/>
    <n v="1062238"/>
    <s v="PACHU GOPAL MONDAL"/>
    <s v="Private Retailer"/>
    <s v="9775084508"/>
    <n v="0.45"/>
    <n v="139"/>
    <x v="4"/>
    <m/>
    <s v="2025-12-02"/>
    <s v="260202"/>
    <s v="MS S K DUTTA"/>
    <s v="9832802581"/>
  </r>
  <r>
    <s v="RCF Trombay"/>
    <s v="N.C.Urea(45kg)"/>
    <s v="WB"/>
    <x v="17"/>
    <s v="Tehatta - I"/>
    <s v="User Not Mapped"/>
    <s v="User Not Mapped"/>
    <s v="User Not Mapped"/>
    <n v="1062238"/>
    <s v="PACHU GOPAL MONDAL"/>
    <s v="Private Retailer"/>
    <s v="9775084508"/>
    <n v="0.54"/>
    <n v="491"/>
    <x v="0"/>
    <m/>
    <s v="2024-12-15"/>
    <s v="260202"/>
    <s v="MS S K DUTTA"/>
    <s v="9832802581"/>
  </r>
  <r>
    <s v="RCF Trombay"/>
    <s v="15-15-15"/>
    <s v="WB"/>
    <x v="17"/>
    <s v="Tehatta - I"/>
    <s v="User Not Mapped"/>
    <s v="User Not Mapped"/>
    <s v="User Not Mapped"/>
    <n v="413692"/>
    <s v="Pankaj  Sarkar"/>
    <s v="Private Retailer"/>
    <s v="9733709516"/>
    <n v="0.5"/>
    <n v="43"/>
    <x v="3"/>
    <m/>
    <s v="2026-03-08"/>
    <s v="260202"/>
    <s v="MS S K DUTTA"/>
    <s v="9832802581"/>
  </r>
  <r>
    <s v="RCF Trombay"/>
    <s v="15-15-15"/>
    <s v="WB"/>
    <x v="17"/>
    <s v="Tehatta - I"/>
    <s v="User Not Mapped"/>
    <s v="User Not Mapped"/>
    <s v="User Not Mapped"/>
    <n v="413692"/>
    <s v="Pankaj  Sarkar"/>
    <s v="Private Retailer"/>
    <s v="9733709516"/>
    <n v="0.5"/>
    <n v="58"/>
    <x v="3"/>
    <m/>
    <s v="2026-02-21"/>
    <s v="260202"/>
    <s v="MS S K DUTTA"/>
    <s v="9832802581"/>
  </r>
  <r>
    <s v="RCF Trombay"/>
    <s v="15-15-15"/>
    <s v="WB"/>
    <x v="17"/>
    <s v="Tehatta - I"/>
    <s v="User Not Mapped"/>
    <s v="User Not Mapped"/>
    <s v="User Not Mapped"/>
    <n v="413692"/>
    <s v="Pankaj  Sarkar"/>
    <s v="Private Retailer"/>
    <s v="9733709516"/>
    <n v="0.5"/>
    <n v="80"/>
    <x v="6"/>
    <m/>
    <s v="2026-01-30"/>
    <s v="260202"/>
    <s v="MS S K DUTTA"/>
    <s v="9832802581"/>
  </r>
  <r>
    <s v="RCF Thal"/>
    <s v="N.C.Urea(45kg)"/>
    <s v="WB"/>
    <x v="17"/>
    <s v="Karimpur - II"/>
    <s v="User Not Mapped"/>
    <s v="User Not Mapped"/>
    <s v="User Not Mapped"/>
    <n v="659936"/>
    <s v="PARULA BEWA"/>
    <s v="Private Retailer"/>
    <s v="8372910277"/>
    <n v="1.8"/>
    <n v="450"/>
    <x v="0"/>
    <m/>
    <s v="2025-01-25"/>
    <s v="260202"/>
    <s v="MS S K DUTTA"/>
    <s v="9832802581"/>
  </r>
  <r>
    <s v="RCF Trombay"/>
    <s v="15-15-15"/>
    <s v="WB"/>
    <x v="17"/>
    <s v="Karimpur - I"/>
    <s v="User Not Mapped"/>
    <s v="User Not Mapped"/>
    <s v="User Not Mapped"/>
    <n v="1004369"/>
    <s v="PRAKASH MONDAL"/>
    <s v="Private Retailer"/>
    <s v="7364029921"/>
    <n v="0.05"/>
    <n v="438"/>
    <x v="0"/>
    <m/>
    <s v="2025-02-06"/>
    <s v="260202"/>
    <s v="MS S K DUTTA"/>
    <s v="9832802581"/>
  </r>
  <r>
    <s v="RCF Trombay"/>
    <s v="15-15-15"/>
    <s v="WB"/>
    <x v="17"/>
    <s v="Karimpur - I"/>
    <s v="User Not Mapped"/>
    <s v="User Not Mapped"/>
    <s v="User Not Mapped"/>
    <n v="1004369"/>
    <s v="PRAKASH MONDAL"/>
    <s v="Private Retailer"/>
    <s v="7364029921"/>
    <n v="0.5"/>
    <n v="244"/>
    <x v="1"/>
    <m/>
    <s v="2025-08-19"/>
    <s v="260202"/>
    <s v="MS S K DUTTA"/>
    <s v="9832802581"/>
  </r>
  <r>
    <s v="RCF Trombay"/>
    <s v="15-15-15"/>
    <s v="WB"/>
    <x v="17"/>
    <s v="Tehatta - I"/>
    <s v="User Not Mapped"/>
    <s v="User Not Mapped"/>
    <s v="User Not Mapped"/>
    <n v="498534"/>
    <s v="Pran Ball Pattandar"/>
    <s v="Private Retailer"/>
    <s v="9735727089"/>
    <n v="0.2"/>
    <n v="73"/>
    <x v="6"/>
    <m/>
    <s v="2026-02-06"/>
    <s v="260202"/>
    <s v="MS S K DUTTA"/>
    <s v="9832802581"/>
  </r>
  <r>
    <s v="RCF Trombay"/>
    <s v="15-15-15"/>
    <s v="WB"/>
    <x v="17"/>
    <s v="Tehatta - I"/>
    <s v="User Not Mapped"/>
    <s v="User Not Mapped"/>
    <s v="User Not Mapped"/>
    <n v="915229"/>
    <s v="PRANAB BISWAS"/>
    <s v="Private Retailer"/>
    <s v="7550867856"/>
    <n v="0.1"/>
    <n v="49"/>
    <x v="3"/>
    <m/>
    <s v="2026-03-02"/>
    <s v="260202"/>
    <s v="MS S K DUTTA"/>
    <s v="9832802581"/>
  </r>
  <r>
    <s v="RCF Trombay"/>
    <s v="N.C.Urea(45kg)"/>
    <s v="WB"/>
    <x v="17"/>
    <s v="Tehatta - I"/>
    <s v="User Not Mapped"/>
    <s v="User Not Mapped"/>
    <s v="User Not Mapped"/>
    <n v="934900"/>
    <s v="PRASANTA BISWAS"/>
    <s v="Private Retailer"/>
    <s v="9735756760"/>
    <n v="0.09"/>
    <n v="142"/>
    <x v="4"/>
    <m/>
    <s v="2025-11-29"/>
    <s v="260202"/>
    <s v="MS S K DUTTA"/>
    <s v="9832802581"/>
  </r>
  <r>
    <s v="RCF Import"/>
    <s v="Imp 10-26-26"/>
    <s v="WB"/>
    <x v="17"/>
    <s v="Tehatta - I"/>
    <s v="User Not Mapped"/>
    <s v="User Not Mapped"/>
    <s v="User Not Mapped"/>
    <n v="934900"/>
    <s v="PRASANTA BISWAS"/>
    <s v="Private Retailer"/>
    <s v="9735756760"/>
    <n v="0.05"/>
    <n v="219"/>
    <x v="1"/>
    <m/>
    <s v="2025-09-13"/>
    <s v="260202"/>
    <s v="MS S K DUTTA"/>
    <s v="9832802581"/>
  </r>
  <r>
    <s v="RCF Trombay"/>
    <s v="15-15-15"/>
    <s v="WB"/>
    <x v="17"/>
    <m/>
    <s v="User Not Mapped"/>
    <s v="User Not Mapped"/>
    <s v="User Not Mapped"/>
    <n v="413646"/>
    <s v="Rabindra Nath Biswas"/>
    <s v="Private Retailer"/>
    <s v="9547170515"/>
    <n v="0.4"/>
    <n v="2507"/>
    <x v="2"/>
    <m/>
    <s v="2019-06-09"/>
    <s v="260202"/>
    <s v="MS S K DUTTA"/>
    <s v="9832802581"/>
  </r>
  <r>
    <s v="RCF Trombay"/>
    <s v="N.C.Urea(45kg)"/>
    <s v="WB"/>
    <x v="17"/>
    <m/>
    <s v="User Not Mapped"/>
    <s v="User Not Mapped"/>
    <s v="User Not Mapped"/>
    <n v="413646"/>
    <s v="Rabindra Nath Biswas"/>
    <s v="Private Retailer"/>
    <s v="9547170515"/>
    <n v="0.45"/>
    <n v="2479"/>
    <x v="2"/>
    <m/>
    <s v="2019-07-07"/>
    <s v="260202"/>
    <s v="MS S K DUTTA"/>
    <s v="9832802581"/>
  </r>
  <r>
    <s v="RCF Trombay"/>
    <s v="15-15-15"/>
    <s v="WB"/>
    <x v="17"/>
    <s v="Karimpur - II"/>
    <s v="User Not Mapped"/>
    <s v="User Not Mapped"/>
    <s v="User Not Mapped"/>
    <n v="836830"/>
    <s v="RABIUL MONDAL"/>
    <s v="Private Retailer"/>
    <s v="9647809575"/>
    <n v="2.5"/>
    <n v="217"/>
    <x v="1"/>
    <m/>
    <s v="2025-09-15"/>
    <s v="260202"/>
    <s v="MS S K DUTTA"/>
    <s v="9832802581"/>
  </r>
  <r>
    <s v="RCF Trombay"/>
    <s v="15-15-15"/>
    <s v="WB"/>
    <x v="17"/>
    <s v="Karimpur - II"/>
    <s v="User Not Mapped"/>
    <s v="User Not Mapped"/>
    <s v="User Not Mapped"/>
    <n v="836830"/>
    <s v="RABIUL MONDAL"/>
    <s v="Private Retailer"/>
    <s v="9647809575"/>
    <n v="0.5"/>
    <n v="165"/>
    <x v="4"/>
    <m/>
    <s v="2025-11-06"/>
    <s v="260202"/>
    <s v="MS S K DUTTA"/>
    <s v="9832802581"/>
  </r>
  <r>
    <s v="RCF Thal"/>
    <s v="N.C.Urea(45kg)"/>
    <s v="WB"/>
    <x v="17"/>
    <s v="Tehatta - II"/>
    <s v="User Not Mapped"/>
    <s v="User Not Mapped"/>
    <s v="User Not Mapped"/>
    <n v="1468710"/>
    <s v="RAI DHANI FERTILIZER- PROP KA"/>
    <s v="Private Retailer"/>
    <s v="9732723607"/>
    <n v="0.45"/>
    <n v="8"/>
    <x v="5"/>
    <m/>
    <s v="2026-04-12"/>
    <s v="260202"/>
    <s v="MS S K DUTTA"/>
    <s v="9832802581"/>
  </r>
  <r>
    <s v="RCF Trombay"/>
    <s v="15-15-15"/>
    <s v="WB"/>
    <x v="17"/>
    <s v="Tehatta - II"/>
    <s v="User Not Mapped"/>
    <s v="User Not Mapped"/>
    <s v="User Not Mapped"/>
    <n v="1468710"/>
    <s v="RAI DHANI FERTILIZER- PROP KA"/>
    <s v="Private Retailer"/>
    <s v="9732723607"/>
    <n v="0.15"/>
    <n v="71"/>
    <x v="6"/>
    <m/>
    <s v="2026-02-08"/>
    <s v="260202"/>
    <s v="MS S K DUTTA"/>
    <s v="9832802581"/>
  </r>
  <r>
    <s v="RCF Thal"/>
    <s v="N.C.Urea(45kg)"/>
    <s v="WB"/>
    <x v="17"/>
    <s v="Tehatta - I"/>
    <s v="User Not Mapped"/>
    <s v="User Not Mapped"/>
    <s v="User Not Mapped"/>
    <n v="1470952"/>
    <s v="RAJESH NATH"/>
    <s v="Private Retailer"/>
    <s v="9093308346"/>
    <n v="2.16"/>
    <n v="8"/>
    <x v="5"/>
    <m/>
    <s v="2026-04-12"/>
    <s v="260202"/>
    <s v="MS S K DUTTA"/>
    <s v="9832802581"/>
  </r>
  <r>
    <s v="RCF Trombay"/>
    <s v="N.C.Urea(45kg)"/>
    <s v="WB"/>
    <x v="17"/>
    <s v="Karimpur - I"/>
    <s v="User Not Mapped"/>
    <s v="User Not Mapped"/>
    <s v="User Not Mapped"/>
    <n v="490675"/>
    <s v="RAJU BISWAS"/>
    <s v="Private Retailer"/>
    <s v="7797876252"/>
    <n v="0.22500000000000001"/>
    <n v="29"/>
    <x v="5"/>
    <m/>
    <s v="2026-03-22"/>
    <s v="260202"/>
    <s v="MS S K DUTTA"/>
    <s v="9832802581"/>
  </r>
  <r>
    <s v="RCF Thal"/>
    <s v="N.C.Urea(45kg)"/>
    <s v="WB"/>
    <x v="17"/>
    <s v="Karimpur - I"/>
    <s v="User Not Mapped"/>
    <s v="User Not Mapped"/>
    <s v="User Not Mapped"/>
    <n v="490675"/>
    <s v="RAJU BISWAS"/>
    <s v="Private Retailer"/>
    <s v="7797876252"/>
    <n v="0.9"/>
    <n v="11"/>
    <x v="5"/>
    <m/>
    <s v="2026-04-09"/>
    <s v="260202"/>
    <s v="MS S K DUTTA"/>
    <s v="9832802581"/>
  </r>
  <r>
    <s v="RCF Trombay"/>
    <s v="15-15-15"/>
    <s v="WB"/>
    <x v="17"/>
    <s v="Karimpur - I"/>
    <s v="User Not Mapped"/>
    <s v="User Not Mapped"/>
    <s v="User Not Mapped"/>
    <n v="490675"/>
    <s v="RAJU BISWAS"/>
    <s v="Private Retailer"/>
    <s v="7797876252"/>
    <n v="1"/>
    <n v="61"/>
    <x v="6"/>
    <m/>
    <s v="2026-02-18"/>
    <s v="260202"/>
    <s v="MS S K DUTTA"/>
    <s v="9832802581"/>
  </r>
  <r>
    <s v="RCF Trombay"/>
    <s v="15-15-15"/>
    <s v="WB"/>
    <x v="17"/>
    <s v="Tehatta - II"/>
    <s v="User Not Mapped"/>
    <s v="User Not Mapped"/>
    <s v="User Not Mapped"/>
    <n v="439380"/>
    <s v="Ranjit Kumar Mondal"/>
    <s v="Private Retailer"/>
    <s v="9564151008"/>
    <n v="0.1"/>
    <n v="127"/>
    <x v="4"/>
    <m/>
    <s v="2025-12-14"/>
    <s v="260202"/>
    <s v="MS S K DUTTA"/>
    <s v="9832802581"/>
  </r>
  <r>
    <s v="RCF Trombay"/>
    <s v="15-15-15"/>
    <s v="WB"/>
    <x v="17"/>
    <s v="Karimpur - II"/>
    <s v="User Not Mapped"/>
    <s v="User Not Mapped"/>
    <s v="User Not Mapped"/>
    <n v="1132957"/>
    <s v="RAZZAK MALITHYA"/>
    <s v="Private Retailer"/>
    <s v="9609241580"/>
    <n v="0.4"/>
    <n v="731"/>
    <x v="2"/>
    <m/>
    <s v="2024-04-19"/>
    <s v="260202"/>
    <s v="MS S K DUTTA"/>
    <s v="9832802581"/>
  </r>
  <r>
    <s v="RCF Trombay"/>
    <s v="15-15-15"/>
    <s v="WB"/>
    <x v="17"/>
    <s v="Tehatta - I"/>
    <s v="User Not Mapped"/>
    <s v="User Not Mapped"/>
    <s v="User Not Mapped"/>
    <n v="412798"/>
    <s v="Rina Fertilizer"/>
    <s v="Private Retailer"/>
    <s v="7477491935"/>
    <n v="1"/>
    <n v="29"/>
    <x v="5"/>
    <m/>
    <s v="2026-03-22"/>
    <s v="260202"/>
    <s v="MS S K DUTTA"/>
    <s v="9832802581"/>
  </r>
  <r>
    <s v="RCF Trombay"/>
    <s v="15-15-15"/>
    <s v="WB"/>
    <x v="17"/>
    <s v="Tehatta - I"/>
    <s v="User Not Mapped"/>
    <s v="User Not Mapped"/>
    <s v="User Not Mapped"/>
    <n v="412798"/>
    <s v="Rina Fertilizer"/>
    <s v="Private Retailer"/>
    <s v="7477491935"/>
    <n v="1"/>
    <n v="49"/>
    <x v="3"/>
    <m/>
    <s v="2026-03-02"/>
    <s v="260202"/>
    <s v="MS S K DUTTA"/>
    <s v="9832802581"/>
  </r>
  <r>
    <s v="RCF Trombay"/>
    <s v="N.C.Urea(45kg)"/>
    <s v="WB"/>
    <x v="17"/>
    <s v="Tehatta - I"/>
    <s v="User Not Mapped"/>
    <s v="User Not Mapped"/>
    <s v="User Not Mapped"/>
    <n v="412798"/>
    <s v="Rina Fertilizer"/>
    <s v="Private Retailer"/>
    <s v="7477491935"/>
    <n v="0.45"/>
    <n v="45"/>
    <x v="3"/>
    <m/>
    <s v="2026-03-06"/>
    <s v="260202"/>
    <s v="MS S K DUTTA"/>
    <s v="9832802581"/>
  </r>
  <r>
    <s v="RCF Trombay"/>
    <s v="N.C.Urea(45kg)"/>
    <s v="WB"/>
    <x v="17"/>
    <s v="Tehatta - I"/>
    <s v="User Not Mapped"/>
    <s v="User Not Mapped"/>
    <s v="User Not Mapped"/>
    <n v="412798"/>
    <s v="Rina Fertilizer"/>
    <s v="Private Retailer"/>
    <s v="7477491935"/>
    <n v="0.22500000000000001"/>
    <n v="54"/>
    <x v="3"/>
    <m/>
    <s v="2026-02-25"/>
    <s v="260202"/>
    <s v="MS S K DUTTA"/>
    <s v="9832802581"/>
  </r>
  <r>
    <s v="RCF Trombay"/>
    <s v="15-15-15"/>
    <s v="WB"/>
    <x v="17"/>
    <s v="Tehatta - I"/>
    <s v="User Not Mapped"/>
    <s v="User Not Mapped"/>
    <s v="User Not Mapped"/>
    <n v="412798"/>
    <s v="Rina Fertilizer"/>
    <s v="Private Retailer"/>
    <s v="7477491935"/>
    <n v="1.5"/>
    <n v="32"/>
    <x v="3"/>
    <m/>
    <s v="2026-03-19"/>
    <s v="260202"/>
    <s v="MS S K DUTTA"/>
    <s v="9832802581"/>
  </r>
  <r>
    <s v="RCF Trombay"/>
    <s v="15-15-15"/>
    <s v="WB"/>
    <x v="17"/>
    <s v="Tehatta - I"/>
    <s v="User Not Mapped"/>
    <s v="User Not Mapped"/>
    <s v="User Not Mapped"/>
    <n v="412798"/>
    <s v="Rina Fertilizer"/>
    <s v="Private Retailer"/>
    <s v="7477491935"/>
    <n v="1.5"/>
    <n v="58"/>
    <x v="3"/>
    <m/>
    <s v="2026-02-21"/>
    <s v="260202"/>
    <s v="MS S K DUTTA"/>
    <s v="9832802581"/>
  </r>
  <r>
    <s v="RCF Trombay"/>
    <s v="15-15-15"/>
    <s v="WB"/>
    <x v="17"/>
    <s v="Tehatta - II"/>
    <s v="User Not Mapped"/>
    <s v="User Not Mapped"/>
    <s v="User Not Mapped"/>
    <n v="888856"/>
    <s v="SABUR ALI SHAIKH"/>
    <s v="Private Retailer"/>
    <s v="8436524367"/>
    <n v="0.1"/>
    <n v="608"/>
    <x v="2"/>
    <m/>
    <s v="2024-08-20"/>
    <s v="260202"/>
    <s v="MS S K DUTTA"/>
    <s v="9832802581"/>
  </r>
  <r>
    <s v="RCF Import"/>
    <s v="MOP"/>
    <s v="WB"/>
    <x v="17"/>
    <s v="Kaliganj"/>
    <s v="User Not Mapped"/>
    <s v="User Not Mapped"/>
    <s v="User Not Mapped"/>
    <n v="441473"/>
    <s v="Safikul Islam"/>
    <s v="Private Retailer"/>
    <s v="7797378464"/>
    <n v="1.5"/>
    <n v="240"/>
    <x v="1"/>
    <m/>
    <s v="2025-08-23"/>
    <s v="260202"/>
    <s v="MS S K DUTTA"/>
    <s v="9832802581"/>
  </r>
  <r>
    <s v="RCF Trombay"/>
    <s v="15-15-15"/>
    <s v="WB"/>
    <x v="17"/>
    <s v="Tehatta - I"/>
    <s v="User Not Mapped"/>
    <s v="User Not Mapped"/>
    <s v="User Not Mapped"/>
    <n v="767676"/>
    <s v="SAMSUZZOHA MANDAL"/>
    <s v="Private Retailer"/>
    <s v="9732756814"/>
    <n v="0.3"/>
    <n v="306"/>
    <x v="1"/>
    <m/>
    <s v="2025-06-18"/>
    <s v="260202"/>
    <s v="MS S K DUTTA"/>
    <s v="9832802581"/>
  </r>
  <r>
    <s v="RCF Trombay"/>
    <s v="15-15-15"/>
    <s v="WB"/>
    <x v="17"/>
    <s v="Tehatta - I"/>
    <s v="User Not Mapped"/>
    <s v="User Not Mapped"/>
    <s v="User Not Mapped"/>
    <n v="767676"/>
    <s v="SAMSUZZOHA MANDAL"/>
    <s v="Private Retailer"/>
    <s v="9732756814"/>
    <n v="0.75"/>
    <n v="80"/>
    <x v="6"/>
    <m/>
    <s v="2026-01-30"/>
    <s v="260202"/>
    <s v="MS S K DUTTA"/>
    <s v="9832802581"/>
  </r>
  <r>
    <s v="RCF Trombay"/>
    <s v="15-15-15"/>
    <s v="WB"/>
    <x v="17"/>
    <s v="Tehatta - I"/>
    <s v="User Not Mapped"/>
    <s v="User Not Mapped"/>
    <s v="User Not Mapped"/>
    <n v="767676"/>
    <s v="SAMSUZZOHA MANDAL"/>
    <s v="Private Retailer"/>
    <s v="9732756814"/>
    <n v="0.5"/>
    <n v="224"/>
    <x v="1"/>
    <m/>
    <s v="2025-09-08"/>
    <s v="260202"/>
    <s v="MS S K DUTTA"/>
    <s v="9832802581"/>
  </r>
  <r>
    <s v="RCF Thal"/>
    <s v="N.C.Urea(45kg)"/>
    <s v="WB"/>
    <x v="17"/>
    <s v="Tehatta - I"/>
    <s v="User Not Mapped"/>
    <s v="User Not Mapped"/>
    <s v="User Not Mapped"/>
    <n v="767676"/>
    <s v="SAMSUZZOHA MANDAL"/>
    <s v="Private Retailer"/>
    <s v="9732756814"/>
    <n v="0.9"/>
    <n v="25"/>
    <x v="5"/>
    <m/>
    <s v="2026-03-26"/>
    <s v="260202"/>
    <s v="MS S K DUTTA"/>
    <s v="9832802581"/>
  </r>
  <r>
    <s v="RCF Thal"/>
    <s v="N.C.Urea(45kg)"/>
    <s v="WB"/>
    <x v="17"/>
    <s v="Karimpur - II"/>
    <s v="User Not Mapped"/>
    <s v="User Not Mapped"/>
    <s v="User Not Mapped"/>
    <n v="1062424"/>
    <s v="SANJOY CHOUDHURY"/>
    <s v="Private Retailer"/>
    <s v="8944021731"/>
    <n v="0.85499999999999998"/>
    <n v="32"/>
    <x v="3"/>
    <m/>
    <s v="2026-03-19"/>
    <s v="260202"/>
    <s v="MS S K DUTTA"/>
    <s v="9832802581"/>
  </r>
  <r>
    <s v="RCF Trombay"/>
    <s v="15-15-15"/>
    <s v="WB"/>
    <x v="17"/>
    <s v="Karimpur - II"/>
    <s v="User Not Mapped"/>
    <s v="User Not Mapped"/>
    <s v="User Not Mapped"/>
    <n v="1062424"/>
    <s v="SANJOY CHOUDHURY"/>
    <s v="Private Retailer"/>
    <s v="8944021731"/>
    <n v="0.5"/>
    <n v="32"/>
    <x v="3"/>
    <m/>
    <s v="2026-03-19"/>
    <s v="260202"/>
    <s v="MS S K DUTTA"/>
    <s v="9832802581"/>
  </r>
  <r>
    <s v="RCF Trombay"/>
    <s v="N.C.Urea(45kg)"/>
    <s v="WB"/>
    <x v="17"/>
    <s v="Karimpur - II"/>
    <s v="User Not Mapped"/>
    <s v="User Not Mapped"/>
    <s v="User Not Mapped"/>
    <n v="1062424"/>
    <s v="SANJOY CHOUDHURY"/>
    <s v="Private Retailer"/>
    <s v="8944021731"/>
    <n v="0.67500000000000004"/>
    <n v="84"/>
    <x v="6"/>
    <m/>
    <s v="2026-01-26"/>
    <s v="260202"/>
    <s v="MS S K DUTTA"/>
    <s v="9832802581"/>
  </r>
  <r>
    <s v="RCF Trombay"/>
    <s v="15-15-15"/>
    <s v="WB"/>
    <x v="17"/>
    <s v="Tehatta - I"/>
    <s v="User Not Mapped"/>
    <s v="User Not Mapped"/>
    <s v="User Not Mapped"/>
    <n v="1405215"/>
    <s v="SHAIKH FERTILISER"/>
    <s v="Private Retailer"/>
    <s v="9679252626"/>
    <n v="0.5"/>
    <n v="25"/>
    <x v="5"/>
    <m/>
    <s v="2026-03-26"/>
    <s v="260202"/>
    <s v="MS S K DUTTA"/>
    <s v="9832802581"/>
  </r>
  <r>
    <s v="RCF Trombay"/>
    <s v="N.C.Urea(45kg)"/>
    <s v="WB"/>
    <x v="17"/>
    <s v="Tehatta - I"/>
    <s v="User Not Mapped"/>
    <s v="User Not Mapped"/>
    <s v="User Not Mapped"/>
    <n v="465734"/>
    <s v="Shyamlal Biswas"/>
    <s v="Private Retailer"/>
    <s v="9126212366"/>
    <n v="0.27"/>
    <n v="54"/>
    <x v="3"/>
    <m/>
    <s v="2026-02-25"/>
    <s v="260202"/>
    <s v="MS S K DUTTA"/>
    <s v="9832802581"/>
  </r>
  <r>
    <s v="RCF Trombay"/>
    <s v="15-15-15"/>
    <s v="WB"/>
    <x v="17"/>
    <s v="Tehatta - I"/>
    <s v="User Not Mapped"/>
    <s v="User Not Mapped"/>
    <s v="User Not Mapped"/>
    <n v="465734"/>
    <s v="Shyamlal Biswas"/>
    <s v="Private Retailer"/>
    <s v="9126212366"/>
    <n v="0.65"/>
    <n v="40"/>
    <x v="3"/>
    <m/>
    <s v="2026-03-11"/>
    <s v="260202"/>
    <s v="MS S K DUTTA"/>
    <s v="9832802581"/>
  </r>
  <r>
    <s v="RCF Trombay"/>
    <s v="15-15-15"/>
    <s v="WB"/>
    <x v="17"/>
    <s v="Karimpur - II"/>
    <s v="User Not Mapped"/>
    <s v="User Not Mapped"/>
    <s v="User Not Mapped"/>
    <n v="659940"/>
    <s v="SIRAJUL BISWAS"/>
    <s v="Private Retailer"/>
    <s v="9775162440"/>
    <n v="0.1"/>
    <n v="298"/>
    <x v="1"/>
    <m/>
    <s v="2025-06-26"/>
    <s v="260202"/>
    <s v="MS S K DUTTA"/>
    <s v="9832802581"/>
  </r>
  <r>
    <s v="RCF Trombay"/>
    <s v="N.C.Urea(45kg)"/>
    <s v="WB"/>
    <x v="17"/>
    <s v="Karimpur - II"/>
    <s v="User Not Mapped"/>
    <s v="User Not Mapped"/>
    <s v="User Not Mapped"/>
    <n v="659940"/>
    <s v="SIRAJUL BISWAS"/>
    <s v="Private Retailer"/>
    <s v="9775162440"/>
    <n v="1.395"/>
    <n v="82"/>
    <x v="6"/>
    <m/>
    <s v="2026-01-28"/>
    <s v="260202"/>
    <s v="MS S K DUTTA"/>
    <s v="9832802581"/>
  </r>
  <r>
    <s v="RCF Trombay"/>
    <s v="15-15-15"/>
    <s v="WB"/>
    <x v="17"/>
    <s v="Karimpur - II"/>
    <s v="User Not Mapped"/>
    <s v="User Not Mapped"/>
    <s v="User Not Mapped"/>
    <n v="659940"/>
    <s v="SIRAJUL BISWAS"/>
    <s v="Private Retailer"/>
    <s v="9775162440"/>
    <n v="1"/>
    <n v="82"/>
    <x v="6"/>
    <m/>
    <s v="2026-01-28"/>
    <s v="260202"/>
    <s v="MS S K DUTTA"/>
    <s v="9832802581"/>
  </r>
  <r>
    <s v="RCF Trombay"/>
    <s v="15-15-15"/>
    <s v="WB"/>
    <x v="17"/>
    <s v="Karimpur - II"/>
    <s v="User Not Mapped"/>
    <s v="User Not Mapped"/>
    <s v="User Not Mapped"/>
    <n v="659940"/>
    <s v="SIRAJUL BISWAS"/>
    <s v="Private Retailer"/>
    <s v="9775162440"/>
    <n v="0.5"/>
    <n v="253"/>
    <x v="1"/>
    <m/>
    <s v="2025-08-10"/>
    <s v="260202"/>
    <s v="MS S K DUTTA"/>
    <s v="9832802581"/>
  </r>
  <r>
    <s v="RCF Trombay"/>
    <s v="15-15-15"/>
    <s v="WB"/>
    <x v="17"/>
    <s v="Karimpur - II"/>
    <s v="User Not Mapped"/>
    <s v="User Not Mapped"/>
    <s v="User Not Mapped"/>
    <n v="659940"/>
    <s v="SIRAJUL BISWAS"/>
    <s v="Private Retailer"/>
    <s v="9775162440"/>
    <n v="1"/>
    <n v="234"/>
    <x v="1"/>
    <m/>
    <s v="2025-08-29"/>
    <s v="260202"/>
    <s v="MS S K DUTTA"/>
    <s v="9832802581"/>
  </r>
  <r>
    <s v="RCF Trombay"/>
    <s v="15-15-15"/>
    <s v="WB"/>
    <x v="17"/>
    <s v="Karimpur - II"/>
    <s v="User Not Mapped"/>
    <s v="User Not Mapped"/>
    <s v="User Not Mapped"/>
    <n v="659940"/>
    <s v="SIRAJUL BISWAS"/>
    <s v="Private Retailer"/>
    <s v="9775162440"/>
    <n v="1"/>
    <n v="175"/>
    <x v="4"/>
    <m/>
    <s v="2025-10-27"/>
    <s v="260202"/>
    <s v="MS S K DUTTA"/>
    <s v="9832802581"/>
  </r>
  <r>
    <s v="RCF Trombay"/>
    <s v="15-15-15"/>
    <s v="WB"/>
    <x v="17"/>
    <s v="Karimpur - II"/>
    <s v="User Not Mapped"/>
    <s v="User Not Mapped"/>
    <s v="User Not Mapped"/>
    <n v="852488"/>
    <s v="SIRAJUL MONDAL"/>
    <s v="Private Retailer"/>
    <s v="8768215445"/>
    <n v="1.5"/>
    <n v="47"/>
    <x v="3"/>
    <m/>
    <s v="2026-03-04"/>
    <s v="260202"/>
    <s v="MS S K DUTTA"/>
    <s v="9832802581"/>
  </r>
  <r>
    <s v="RCF Trombay"/>
    <s v="15-15-15"/>
    <s v="WB"/>
    <x v="17"/>
    <s v="Tehatta - I"/>
    <s v="User Not Mapped"/>
    <s v="User Not Mapped"/>
    <s v="User Not Mapped"/>
    <n v="1488631"/>
    <s v="SIRAJUL MONDAL"/>
    <s v="Private Retailer"/>
    <s v="8653518506"/>
    <n v="0.5"/>
    <n v="71"/>
    <x v="6"/>
    <m/>
    <s v="2026-02-08"/>
    <s v="260202"/>
    <s v="MS S K DUTTA"/>
    <s v="9832802581"/>
  </r>
  <r>
    <s v="RCF Trombay"/>
    <s v="15-15-15"/>
    <s v="WB"/>
    <x v="17"/>
    <s v="Tehatta - I"/>
    <s v="User Not Mapped"/>
    <s v="User Not Mapped"/>
    <s v="User Not Mapped"/>
    <n v="1488631"/>
    <s v="SIRAJUL MONDAL"/>
    <s v="Private Retailer"/>
    <s v="8653518506"/>
    <n v="1"/>
    <n v="7"/>
    <x v="5"/>
    <m/>
    <s v="2026-04-13"/>
    <s v="260202"/>
    <s v="MS S K DUTTA"/>
    <s v="9832802581"/>
  </r>
  <r>
    <s v="RCF Trombay"/>
    <s v="15-15-15"/>
    <s v="WB"/>
    <x v="17"/>
    <s v="Tehatta - I"/>
    <s v="User Not Mapped"/>
    <s v="User Not Mapped"/>
    <s v="User Not Mapped"/>
    <n v="465708"/>
    <s v="Sridam Chandra Biswas"/>
    <s v="Private Retailer"/>
    <s v="9932671225"/>
    <n v="0.312"/>
    <n v="227"/>
    <x v="1"/>
    <m/>
    <s v="2025-09-05"/>
    <s v="260202"/>
    <s v="MS S K DUTTA"/>
    <s v="9832802581"/>
  </r>
  <r>
    <s v="RCF Thal"/>
    <s v="N.C.Urea(45kg)"/>
    <s v="WB"/>
    <x v="17"/>
    <s v="Tehatta - I"/>
    <s v="User Not Mapped"/>
    <s v="User Not Mapped"/>
    <s v="User Not Mapped"/>
    <n v="465708"/>
    <s v="Sridam Chandra Biswas"/>
    <s v="Private Retailer"/>
    <s v="9932671225"/>
    <n v="0.9"/>
    <n v="23"/>
    <x v="5"/>
    <m/>
    <s v="2026-03-28"/>
    <s v="260202"/>
    <s v="MS S K DUTTA"/>
    <s v="9832802581"/>
  </r>
  <r>
    <s v="RCF Import"/>
    <s v="MOP"/>
    <s v="WB"/>
    <x v="17"/>
    <s v="Tehatta - I"/>
    <s v="User Not Mapped"/>
    <s v="User Not Mapped"/>
    <s v="User Not Mapped"/>
    <n v="465708"/>
    <s v="Sridam Chandra Biswas"/>
    <s v="Private Retailer"/>
    <s v="9932671225"/>
    <n v="0.2"/>
    <n v="227"/>
    <x v="1"/>
    <m/>
    <s v="2025-09-05"/>
    <s v="260202"/>
    <s v="MS S K DUTTA"/>
    <s v="9832802581"/>
  </r>
  <r>
    <s v="RCF Trombay"/>
    <s v="N.C.Urea(45kg)"/>
    <s v="WB"/>
    <x v="17"/>
    <s v="Tehatta - I"/>
    <s v="User Not Mapped"/>
    <s v="User Not Mapped"/>
    <s v="User Not Mapped"/>
    <n v="645780"/>
    <s v="Subhas Biswas"/>
    <s v="Private Retailer"/>
    <s v="9933503605"/>
    <n v="9.5000000000000001E-2"/>
    <n v="209"/>
    <x v="1"/>
    <m/>
    <s v="2025-09-23"/>
    <s v="260202"/>
    <s v="MS S K DUTTA"/>
    <s v="9832802581"/>
  </r>
  <r>
    <s v="RCF Thal"/>
    <s v="N.C.Urea(45kg)"/>
    <s v="WB"/>
    <x v="17"/>
    <s v="Tehatta - I"/>
    <s v="User Not Mapped"/>
    <s v="User Not Mapped"/>
    <s v="User Not Mapped"/>
    <n v="645780"/>
    <s v="Subhas Biswas"/>
    <s v="Private Retailer"/>
    <s v="9933503605"/>
    <n v="0.22500000000000001"/>
    <n v="23"/>
    <x v="5"/>
    <m/>
    <s v="2026-03-28"/>
    <s v="260202"/>
    <s v="MS S K DUTTA"/>
    <s v="9832802581"/>
  </r>
  <r>
    <s v="RCF Trombay"/>
    <s v="15-15-15"/>
    <s v="WB"/>
    <x v="17"/>
    <s v="Tehatta - I"/>
    <s v="User Not Mapped"/>
    <s v="User Not Mapped"/>
    <s v="User Not Mapped"/>
    <n v="650689"/>
    <s v="Subrata Biswas"/>
    <s v="Private Retailer"/>
    <s v="7477414251"/>
    <n v="0.03"/>
    <n v="257"/>
    <x v="1"/>
    <m/>
    <s v="2025-08-06"/>
    <s v="260202"/>
    <s v="MS S K DUTTA"/>
    <s v="9832802581"/>
  </r>
  <r>
    <s v="RCF Trombay"/>
    <s v="15-15-15"/>
    <s v="WB"/>
    <x v="17"/>
    <s v="Karimpur - II"/>
    <s v="User Not Mapped"/>
    <s v="User Not Mapped"/>
    <s v="User Not Mapped"/>
    <n v="1062276"/>
    <s v="SUCHANDAN SARKAR"/>
    <s v="Private Retailer"/>
    <s v="9647495985"/>
    <n v="0.4"/>
    <n v="1085"/>
    <x v="2"/>
    <m/>
    <s v="2023-05-01"/>
    <s v="260202"/>
    <s v="MS S K DUTTA"/>
    <s v="9832802581"/>
  </r>
  <r>
    <s v="RCF Thal"/>
    <s v="N.C.Urea(45kg)"/>
    <s v="WB"/>
    <x v="17"/>
    <s v="Tehatta - I"/>
    <s v="User Not Mapped"/>
    <s v="User Not Mapped"/>
    <s v="User Not Mapped"/>
    <n v="642064"/>
    <s v="Sudhamoy Mondal"/>
    <s v="Private Retailer"/>
    <s v="8513063724"/>
    <n v="0.40500000000000003"/>
    <n v="23"/>
    <x v="5"/>
    <m/>
    <s v="2026-03-28"/>
    <s v="260202"/>
    <s v="MS S K DUTTA"/>
    <s v="9832802581"/>
  </r>
  <r>
    <s v="RCF Trombay"/>
    <s v="15-15-15"/>
    <s v="WB"/>
    <x v="17"/>
    <s v="Tehatta - I"/>
    <s v="User Not Mapped"/>
    <s v="User Not Mapped"/>
    <s v="User Not Mapped"/>
    <n v="356384"/>
    <s v="Sujitkr  Mondal"/>
    <s v="Private Retailer"/>
    <s v="9002621309"/>
    <n v="0.7"/>
    <n v="61"/>
    <x v="6"/>
    <m/>
    <s v="2026-02-18"/>
    <s v="260202"/>
    <s v="MS S K DUTTA"/>
    <s v="9832802581"/>
  </r>
  <r>
    <s v="RCF Trombay"/>
    <s v="15-15-15"/>
    <s v="WB"/>
    <x v="17"/>
    <s v="Tehatta - I"/>
    <s v="User Not Mapped"/>
    <s v="User Not Mapped"/>
    <s v="User Not Mapped"/>
    <n v="356384"/>
    <s v="Sujitkr  Mondal"/>
    <s v="Private Retailer"/>
    <s v="9002621309"/>
    <n v="0.5"/>
    <n v="49"/>
    <x v="3"/>
    <m/>
    <s v="2026-03-02"/>
    <s v="260202"/>
    <s v="MS S K DUTTA"/>
    <s v="9832802581"/>
  </r>
  <r>
    <s v="RCF Trombay"/>
    <s v="15-15-15"/>
    <s v="WB"/>
    <x v="17"/>
    <s v="Tehatta - II"/>
    <s v="User Not Mapped"/>
    <s v="User Not Mapped"/>
    <s v="User Not Mapped"/>
    <n v="643863"/>
    <s v="SUKHENDU MONDAL"/>
    <s v="Private Retailer"/>
    <s v="7584033750"/>
    <n v="0.3"/>
    <n v="174"/>
    <x v="4"/>
    <m/>
    <s v="2025-10-28"/>
    <s v="260202"/>
    <s v="MS S K DUTTA"/>
    <s v="9832802581"/>
  </r>
  <r>
    <s v="RCF Trombay"/>
    <s v="15-15-15"/>
    <s v="WB"/>
    <x v="17"/>
    <s v="Tehatta - II"/>
    <s v="User Not Mapped"/>
    <s v="User Not Mapped"/>
    <s v="User Not Mapped"/>
    <n v="643863"/>
    <s v="SUKHENDU MONDAL"/>
    <s v="Private Retailer"/>
    <s v="7584033750"/>
    <n v="0.5"/>
    <n v="142"/>
    <x v="4"/>
    <m/>
    <s v="2025-11-29"/>
    <s v="260202"/>
    <s v="MS S K DUTTA"/>
    <s v="9832802581"/>
  </r>
  <r>
    <s v="RCF Trombay"/>
    <s v="15-15-15"/>
    <s v="WB"/>
    <x v="17"/>
    <s v="Tehatta - II"/>
    <s v="User Not Mapped"/>
    <s v="User Not Mapped"/>
    <s v="User Not Mapped"/>
    <n v="643863"/>
    <s v="SUKHENDU MONDAL"/>
    <s v="Private Retailer"/>
    <s v="7584033750"/>
    <n v="0.5"/>
    <n v="133"/>
    <x v="4"/>
    <m/>
    <s v="2025-12-08"/>
    <s v="260202"/>
    <s v="MS S K DUTTA"/>
    <s v="9832802581"/>
  </r>
  <r>
    <s v="RCF Trombay"/>
    <s v="15-15-15"/>
    <s v="WB"/>
    <x v="17"/>
    <s v="Tehatta - II"/>
    <s v="User Not Mapped"/>
    <s v="User Not Mapped"/>
    <s v="User Not Mapped"/>
    <n v="643863"/>
    <s v="SUKHENDU MONDAL"/>
    <s v="Private Retailer"/>
    <s v="7584033750"/>
    <n v="1"/>
    <n v="32"/>
    <x v="3"/>
    <m/>
    <s v="2026-03-19"/>
    <s v="260202"/>
    <s v="MS S K DUTTA"/>
    <s v="9832802581"/>
  </r>
  <r>
    <s v="RCF Trombay"/>
    <s v="15-15-15"/>
    <s v="WB"/>
    <x v="17"/>
    <s v="Tehatta - II"/>
    <s v="User Not Mapped"/>
    <s v="User Not Mapped"/>
    <s v="User Not Mapped"/>
    <n v="1467206"/>
    <s v="SUKUMAR MANDAL"/>
    <s v="Private Retailer"/>
    <s v="9775858097"/>
    <n v="2.25"/>
    <n v="32"/>
    <x v="3"/>
    <m/>
    <s v="2026-03-19"/>
    <s v="260202"/>
    <s v="MS S K DUTTA"/>
    <s v="9832802581"/>
  </r>
  <r>
    <s v="RCF Trombay"/>
    <s v="N.C.Urea(45kg)"/>
    <s v="WB"/>
    <x v="17"/>
    <s v="Tehatta - II"/>
    <s v="User Not Mapped"/>
    <s v="User Not Mapped"/>
    <s v="User Not Mapped"/>
    <n v="1467206"/>
    <s v="SUKUMAR MANDAL"/>
    <s v="Private Retailer"/>
    <s v="9775858097"/>
    <n v="4.4999999999999998E-2"/>
    <n v="82"/>
    <x v="6"/>
    <m/>
    <s v="2026-01-28"/>
    <s v="260202"/>
    <s v="MS S K DUTTA"/>
    <s v="9832802581"/>
  </r>
  <r>
    <s v="RCF Thal"/>
    <s v="N.C.Urea(45kg)"/>
    <s v="WB"/>
    <x v="17"/>
    <s v="Tehatta - II"/>
    <s v="User Not Mapped"/>
    <s v="User Not Mapped"/>
    <s v="User Not Mapped"/>
    <n v="1467206"/>
    <s v="SUKUMAR MANDAL"/>
    <s v="Private Retailer"/>
    <s v="9775858097"/>
    <n v="0.81"/>
    <n v="32"/>
    <x v="3"/>
    <m/>
    <s v="2026-03-19"/>
    <s v="260202"/>
    <s v="MS S K DUTTA"/>
    <s v="9832802581"/>
  </r>
  <r>
    <s v="RCF Thal"/>
    <s v="N.C.Urea(45kg)"/>
    <s v="WB"/>
    <x v="17"/>
    <s v="Tehatta - II"/>
    <s v="User Not Mapped"/>
    <s v="User Not Mapped"/>
    <s v="User Not Mapped"/>
    <n v="1467206"/>
    <s v="SUKUMAR MANDAL"/>
    <s v="Private Retailer"/>
    <s v="9775858097"/>
    <n v="1.35"/>
    <n v="23"/>
    <x v="5"/>
    <m/>
    <s v="2026-03-28"/>
    <s v="260202"/>
    <s v="MS S K DUTTA"/>
    <s v="9832802581"/>
  </r>
  <r>
    <s v="RCF Trombay"/>
    <s v="15-15-15"/>
    <s v="WB"/>
    <x v="17"/>
    <s v="Tehatta - I"/>
    <s v="User Not Mapped"/>
    <s v="User Not Mapped"/>
    <s v="User Not Mapped"/>
    <n v="469728"/>
    <s v="Sumana Krishi Bhander"/>
    <s v="Private Retailer"/>
    <s v="9733875501"/>
    <n v="1.5"/>
    <n v="43"/>
    <x v="3"/>
    <m/>
    <s v="2026-03-08"/>
    <s v="260202"/>
    <s v="MS S K DUTTA"/>
    <s v="9832802581"/>
  </r>
  <r>
    <s v="RCF Trombay"/>
    <s v="15-15-15"/>
    <s v="WB"/>
    <x v="17"/>
    <s v="Tehatta - I"/>
    <s v="User Not Mapped"/>
    <s v="User Not Mapped"/>
    <s v="User Not Mapped"/>
    <n v="469728"/>
    <s v="Sumana Krishi Bhander"/>
    <s v="Private Retailer"/>
    <s v="9733875501"/>
    <n v="0.82"/>
    <n v="61"/>
    <x v="6"/>
    <m/>
    <s v="2026-02-18"/>
    <s v="260202"/>
    <s v="MS S K DUTTA"/>
    <s v="9832802581"/>
  </r>
  <r>
    <s v="RCF Trombay"/>
    <s v="15-15-15"/>
    <s v="WB"/>
    <x v="17"/>
    <s v="Tehatta - I"/>
    <s v="User Not Mapped"/>
    <s v="User Not Mapped"/>
    <s v="User Not Mapped"/>
    <n v="935340"/>
    <s v="SUPRIYA BISWAS"/>
    <s v="Private Retailer"/>
    <s v="9002577092"/>
    <n v="0.25"/>
    <n v="861"/>
    <x v="2"/>
    <m/>
    <s v="2023-12-11"/>
    <s v="260202"/>
    <s v="MS S K DUTTA"/>
    <s v="9832802581"/>
  </r>
  <r>
    <s v="RCF Trombay"/>
    <s v="15-15-15"/>
    <s v="WB"/>
    <x v="17"/>
    <s v="Tehatta - I"/>
    <s v="User Not Mapped"/>
    <s v="User Not Mapped"/>
    <s v="User Not Mapped"/>
    <n v="935340"/>
    <s v="SUPRIYA BISWAS"/>
    <s v="Private Retailer"/>
    <s v="9002577092"/>
    <n v="0.5"/>
    <n v="807"/>
    <x v="2"/>
    <m/>
    <s v="2024-02-03"/>
    <s v="260202"/>
    <s v="MS S K DUTTA"/>
    <s v="9832802581"/>
  </r>
  <r>
    <s v="RCF Trombay"/>
    <s v="15-15-15"/>
    <s v="WB"/>
    <x v="17"/>
    <s v="Karimpur - II"/>
    <s v="User Not Mapped"/>
    <s v="User Not Mapped"/>
    <s v="User Not Mapped"/>
    <n v="1132965"/>
    <s v="TAJLU HALSANA"/>
    <s v="Private Retailer"/>
    <s v="9775604492"/>
    <n v="0.5"/>
    <n v="32"/>
    <x v="3"/>
    <m/>
    <s v="2026-03-19"/>
    <s v="260202"/>
    <s v="MS S K DUTTA"/>
    <s v="9832802581"/>
  </r>
  <r>
    <s v="RCF Trombay"/>
    <s v="15-15-15"/>
    <s v="WB"/>
    <x v="17"/>
    <s v="Karimpur - II"/>
    <s v="User Not Mapped"/>
    <s v="User Not Mapped"/>
    <s v="User Not Mapped"/>
    <n v="1132965"/>
    <s v="TAJLU HALSANA"/>
    <s v="Private Retailer"/>
    <s v="9775604492"/>
    <n v="0.25"/>
    <n v="220"/>
    <x v="1"/>
    <m/>
    <s v="2025-09-12"/>
    <s v="260202"/>
    <s v="MS S K DUTTA"/>
    <s v="9832802581"/>
  </r>
  <r>
    <s v="RCF Trombay"/>
    <s v="15-15-15"/>
    <s v="WB"/>
    <x v="17"/>
    <s v="Karimpur - II"/>
    <s v="User Not Mapped"/>
    <s v="User Not Mapped"/>
    <s v="User Not Mapped"/>
    <n v="1132965"/>
    <s v="TAJLU HALSANA"/>
    <s v="Private Retailer"/>
    <s v="9775604492"/>
    <n v="0.2"/>
    <n v="252"/>
    <x v="1"/>
    <m/>
    <s v="2025-08-11"/>
    <s v="260202"/>
    <s v="MS S K DUTTA"/>
    <s v="9832802581"/>
  </r>
  <r>
    <s v="RCF Trombay"/>
    <s v="15-15-15"/>
    <s v="WB"/>
    <x v="17"/>
    <s v="Karimpur - II"/>
    <s v="User Not Mapped"/>
    <s v="User Not Mapped"/>
    <s v="User Not Mapped"/>
    <n v="635359"/>
    <s v="TOTON BISWAS"/>
    <s v="Private Retailer"/>
    <s v="9563706577"/>
    <n v="2"/>
    <n v="56"/>
    <x v="3"/>
    <m/>
    <s v="2026-02-23"/>
    <s v="260202"/>
    <s v="MS S K DUTTA"/>
    <s v="9832802581"/>
  </r>
  <r>
    <s v="RCF Trombay"/>
    <s v="15-15-15"/>
    <s v="WB"/>
    <x v="17"/>
    <s v="Karimpur - II"/>
    <s v="User Not Mapped"/>
    <s v="User Not Mapped"/>
    <s v="User Not Mapped"/>
    <n v="635359"/>
    <s v="TOTON BISWAS"/>
    <s v="Private Retailer"/>
    <s v="9563706577"/>
    <n v="1.5"/>
    <n v="32"/>
    <x v="3"/>
    <m/>
    <s v="2026-03-19"/>
    <s v="260202"/>
    <s v="MS S K DUTTA"/>
    <s v="9832802581"/>
  </r>
  <r>
    <s v="RCF Thal"/>
    <s v="N.C.Urea(45kg)"/>
    <s v="WB"/>
    <x v="17"/>
    <s v="Tehatta - I"/>
    <s v="User Not Mapped"/>
    <s v="User Not Mapped"/>
    <s v="User Not Mapped"/>
    <n v="468523"/>
    <s v="Wardi Gaman"/>
    <s v="Private Retailer"/>
    <s v="9733948990"/>
    <n v="0.45"/>
    <n v="250"/>
    <x v="1"/>
    <m/>
    <s v="2025-08-13"/>
    <s v="260202"/>
    <s v="MS S K DUTTA"/>
    <s v="9832802581"/>
  </r>
  <r>
    <s v="RCF Trombay"/>
    <s v="N.C.Urea(45kg)"/>
    <s v="WB"/>
    <x v="17"/>
    <s v="Tehatta - I"/>
    <s v="User Not Mapped"/>
    <s v="User Not Mapped"/>
    <s v="User Not Mapped"/>
    <n v="468523"/>
    <s v="Wardi Gaman"/>
    <s v="Private Retailer"/>
    <s v="9733948990"/>
    <n v="0.45"/>
    <n v="239"/>
    <x v="1"/>
    <m/>
    <s v="2025-08-24"/>
    <s v="260202"/>
    <s v="MS S K DUTTA"/>
    <s v="9832802581"/>
  </r>
  <r>
    <s v="RCF Trombay"/>
    <s v="N.C.Urea(45kg)"/>
    <s v="WB"/>
    <x v="17"/>
    <s v="Tehatta - I"/>
    <s v="User Not Mapped"/>
    <s v="User Not Mapped"/>
    <s v="User Not Mapped"/>
    <n v="468523"/>
    <s v="Wardi Gaman"/>
    <s v="Private Retailer"/>
    <s v="9733948990"/>
    <n v="0.9"/>
    <n v="52"/>
    <x v="3"/>
    <m/>
    <s v="2026-02-27"/>
    <s v="260202"/>
    <s v="MS S K DUTTA"/>
    <s v="9832802581"/>
  </r>
  <r>
    <s v="RCF Import"/>
    <s v="MOP"/>
    <s v="WB"/>
    <x v="17"/>
    <s v="Tehatta - I"/>
    <s v="User Not Mapped"/>
    <s v="User Not Mapped"/>
    <s v="User Not Mapped"/>
    <n v="468523"/>
    <s v="Wardi Gaman"/>
    <s v="Private Retailer"/>
    <s v="9733948990"/>
    <n v="0.25"/>
    <n v="448"/>
    <x v="0"/>
    <m/>
    <s v="2025-01-27"/>
    <s v="260202"/>
    <s v="MS S K DUTTA"/>
    <s v="9832802581"/>
  </r>
  <r>
    <s v="RCF Trombay"/>
    <s v="15-15-15"/>
    <s v="WB"/>
    <x v="17"/>
    <s v="Tehatta - I"/>
    <s v="User Not Mapped"/>
    <s v="User Not Mapped"/>
    <s v="User Not Mapped"/>
    <n v="468523"/>
    <s v="Wardi Gaman"/>
    <s v="Private Retailer"/>
    <s v="9733948990"/>
    <n v="0.1"/>
    <n v="301"/>
    <x v="1"/>
    <m/>
    <s v="2025-06-23"/>
    <s v="260202"/>
    <s v="MS S K DUTTA"/>
    <s v="9832802581"/>
  </r>
  <r>
    <s v="RCF Trombay"/>
    <s v="15-15-15"/>
    <s v="WB"/>
    <x v="17"/>
    <s v="Tehatta - I"/>
    <s v="User Not Mapped"/>
    <s v="User Not Mapped"/>
    <s v="User Not Mapped"/>
    <n v="468523"/>
    <s v="Wardi Gaman"/>
    <s v="Private Retailer"/>
    <s v="9733948990"/>
    <n v="0.5"/>
    <n v="280"/>
    <x v="1"/>
    <m/>
    <s v="2025-07-14"/>
    <s v="260202"/>
    <s v="MS S K DUTTA"/>
    <s v="9832802581"/>
  </r>
  <r>
    <s v="RCF Trombay"/>
    <s v="15-15-15"/>
    <s v="WB"/>
    <x v="17"/>
    <s v="Tehatta - I"/>
    <s v="User Not Mapped"/>
    <s v="User Not Mapped"/>
    <s v="User Not Mapped"/>
    <n v="468523"/>
    <s v="Wardi Gaman"/>
    <s v="Private Retailer"/>
    <s v="9733948990"/>
    <n v="0.25"/>
    <n v="275"/>
    <x v="1"/>
    <m/>
    <s v="2025-07-19"/>
    <s v="260202"/>
    <s v="MS S K DUTTA"/>
    <s v="9832802581"/>
  </r>
  <r>
    <s v="RCF Thal"/>
    <s v="N.C.Urea(45kg)"/>
    <s v="WB"/>
    <x v="17"/>
    <s v="Tehatta - I"/>
    <s v="User Not Mapped"/>
    <s v="User Not Mapped"/>
    <s v="User Not Mapped"/>
    <n v="468523"/>
    <s v="Wardi Gaman"/>
    <s v="Private Retailer"/>
    <s v="9733948990"/>
    <n v="4.4999999999999998E-2"/>
    <n v="253"/>
    <x v="1"/>
    <m/>
    <s v="2025-08-10"/>
    <s v="260202"/>
    <s v="MS S K DUTTA"/>
    <s v="9832802581"/>
  </r>
  <r>
    <s v="RCF Trombay"/>
    <s v="N.C.Urea(45kg)"/>
    <s v="WB"/>
    <x v="17"/>
    <s v="Tehatta - I"/>
    <s v="User Not Mapped"/>
    <s v="User Not Mapped"/>
    <s v="User Not Mapped"/>
    <n v="468523"/>
    <s v="Wardi Gaman"/>
    <s v="Private Retailer"/>
    <s v="9733948990"/>
    <n v="0.45"/>
    <n v="86"/>
    <x v="6"/>
    <m/>
    <s v="2026-01-24"/>
    <s v="260202"/>
    <s v="MS S K DUTTA"/>
    <s v="9832802581"/>
  </r>
  <r>
    <s v="RCF Thal"/>
    <s v="N.C.Urea(45kg)"/>
    <s v="WB"/>
    <x v="17"/>
    <m/>
    <s v="User Not Mapped"/>
    <s v="User Not Mapped"/>
    <s v="User Not Mapped"/>
    <n v="1094282"/>
    <s v="KRISHNA GOPAL BISWAS"/>
    <s v="Private Retailer"/>
    <s v="7384593226"/>
    <n v="0.40500000000000003"/>
    <n v="2182"/>
    <x v="2"/>
    <m/>
    <s v="2020-04-29"/>
    <s v="1063526"/>
    <s v="Ms. Harendra Nath Saha"/>
    <s v="9083872456"/>
  </r>
  <r>
    <s v="RCF Trombay"/>
    <s v="15-15-15"/>
    <s v="WB"/>
    <x v="17"/>
    <m/>
    <s v="User Not Mapped"/>
    <s v="User Not Mapped"/>
    <s v="User Not Mapped"/>
    <n v="1094282"/>
    <s v="KRISHNA GOPAL BISWAS"/>
    <s v="Private Retailer"/>
    <s v="7384593226"/>
    <n v="1.5"/>
    <n v="2182"/>
    <x v="2"/>
    <m/>
    <s v="2020-04-29"/>
    <s v="1063526"/>
    <s v="Ms. Harendra Nath Saha"/>
    <s v="9083872456"/>
  </r>
  <r>
    <s v="RCF Thal"/>
    <s v="N.C.Urea(45kg)"/>
    <s v="WB"/>
    <x v="17"/>
    <s v="Krishnagar - I"/>
    <s v="User Not Mapped"/>
    <s v="User Not Mapped"/>
    <s v="User Not Mapped"/>
    <n v="280729"/>
    <s v="M/s. Naresh Chandra Das"/>
    <s v="Private Wholsaler"/>
    <s v="7365868045"/>
    <n v="9.99"/>
    <n v="9"/>
    <x v="5"/>
    <s v="'NCD/BD/009'"/>
    <s v="2026-04-11"/>
    <s v="281522"/>
    <s v="N.C. Das and Co."/>
    <s v="6297603863"/>
  </r>
  <r>
    <s v="RCF Thal"/>
    <s v="N.C.Urea(45kg)"/>
    <s v="WB"/>
    <x v="17"/>
    <s v="Krishnagar - I"/>
    <s v="User Not Mapped"/>
    <s v="User Not Mapped"/>
    <s v="User Not Mapped"/>
    <n v="280729"/>
    <s v="M/s. Naresh Chandra Das"/>
    <s v="Private Wholsaler"/>
    <s v="7365868045"/>
    <n v="21.15"/>
    <n v="4"/>
    <x v="5"/>
    <s v="'NCD/STK/06'"/>
    <s v="2026-04-16"/>
    <s v="281522"/>
    <s v="N.C. Das and Co."/>
    <s v="6297603863"/>
  </r>
  <r>
    <s v="RCF Import"/>
    <s v="Imp 10-26-26"/>
    <s v="WB"/>
    <x v="17"/>
    <s v="Krishnagar - I"/>
    <s v="User Not Mapped"/>
    <s v="User Not Mapped"/>
    <s v="User Not Mapped"/>
    <n v="280729"/>
    <s v="M/s. Naresh Chandra Das"/>
    <s v="Private Wholsaler"/>
    <s v="7365868045"/>
    <n v="10"/>
    <n v="6"/>
    <x v="5"/>
    <s v="'NCD/STK/01'"/>
    <s v="2026-04-14"/>
    <s v="281522"/>
    <s v="N.C. Das and Co."/>
    <s v="6297603863"/>
  </r>
  <r>
    <s v="RCF Import"/>
    <s v="Imp 10-26-26"/>
    <s v="WB"/>
    <x v="17"/>
    <s v="Krishnagar - I"/>
    <s v="User Not Mapped"/>
    <s v="User Not Mapped"/>
    <s v="User Not Mapped"/>
    <n v="280729"/>
    <s v="M/s. Naresh Chandra Das"/>
    <s v="Private Wholsaler"/>
    <s v="7365868045"/>
    <n v="0.3"/>
    <n v="44"/>
    <x v="3"/>
    <s v="'NCD/STK/01'"/>
    <s v="2026-03-07"/>
    <s v="281522"/>
    <s v="N.C. Das and Co."/>
    <s v="6297603863"/>
  </r>
  <r>
    <s v="RCF Trombay"/>
    <s v="15-15-15"/>
    <s v="WB"/>
    <x v="17"/>
    <s v="Krishnagar - I"/>
    <s v="User Not Mapped"/>
    <s v="User Not Mapped"/>
    <s v="User Not Mapped"/>
    <n v="280729"/>
    <s v="M/s. Naresh Chandra Das"/>
    <s v="Private Wholsaler"/>
    <s v="7365868045"/>
    <n v="3.72"/>
    <n v="52"/>
    <x v="3"/>
    <s v="'NCD/STK/02'"/>
    <s v="2026-02-27"/>
    <s v="281522"/>
    <s v="N.C. Das and Co."/>
    <s v="6297603863"/>
  </r>
  <r>
    <s v="RCF Trombay"/>
    <s v="N.C.Urea(45kg)"/>
    <s v="WB"/>
    <x v="17"/>
    <m/>
    <s v="User Not Mapped"/>
    <s v="User Not Mapped"/>
    <s v="User Not Mapped"/>
    <n v="1062209"/>
    <s v="MUKUL KANTI SIKDAR"/>
    <s v="Private Retailer"/>
    <s v="9734215365"/>
    <n v="1.35"/>
    <n v="2550"/>
    <x v="2"/>
    <m/>
    <s v="2019-04-27"/>
    <s v="342264"/>
    <s v="Nabin Chandra Das"/>
    <s v="7908608939"/>
  </r>
  <r>
    <s v="RCF Thal"/>
    <s v="N.C.Urea(45kg)"/>
    <s v="WB"/>
    <x v="17"/>
    <m/>
    <s v="User Not Mapped"/>
    <s v="User Not Mapped"/>
    <s v="User Not Mapped"/>
    <n v="412328"/>
    <s v="Sajedur Rahaman "/>
    <s v="Private Retailer"/>
    <s v="8293627727"/>
    <n v="2.3849999999999998"/>
    <n v="2065"/>
    <x v="2"/>
    <m/>
    <s v="2020-08-24"/>
    <s v="260201"/>
    <s v="Nayan Ranjan Dutta            "/>
    <s v="7063600433"/>
  </r>
  <r>
    <s v="RCF Trombay"/>
    <s v="15-15-15"/>
    <s v="WB"/>
    <x v="17"/>
    <s v="Krishnagar - II"/>
    <s v="User Not Mapped"/>
    <s v="User Not Mapped"/>
    <s v="User Not Mapped"/>
    <n v="439458"/>
    <s v="Bomkesh Ghosh"/>
    <s v="Private Retailer"/>
    <s v="8597072922"/>
    <n v="0.15"/>
    <n v="462"/>
    <x v="0"/>
    <m/>
    <s v="2025-01-13"/>
    <s v="441405"/>
    <s v="New Taraknath Beeze Bhender"/>
    <s v="9641540108"/>
  </r>
  <r>
    <s v="RCF Trombay"/>
    <s v="15-15-15"/>
    <s v="WB"/>
    <x v="17"/>
    <m/>
    <s v="User Not Mapped"/>
    <s v="User Not Mapped"/>
    <s v="User Not Mapped"/>
    <n v="341449"/>
    <s v="Hangsaraj Ghosh"/>
    <s v="Private Retailer"/>
    <s v="9564217497"/>
    <n v="1.0649999999999999"/>
    <n v="548"/>
    <x v="2"/>
    <m/>
    <s v="2024-10-19"/>
    <s v="441405"/>
    <s v="New Taraknath Beeze Bhender"/>
    <s v="9641540108"/>
  </r>
  <r>
    <s v="RCF Trombay"/>
    <s v="15-15-15"/>
    <s v="WB"/>
    <x v="17"/>
    <m/>
    <s v="User Not Mapped"/>
    <s v="User Not Mapped"/>
    <s v="User Not Mapped"/>
    <n v="741294"/>
    <s v="NURJEL SEKH"/>
    <s v="Private Retailer"/>
    <s v="9474676017"/>
    <n v="0.01"/>
    <n v="1871"/>
    <x v="2"/>
    <m/>
    <s v="2021-03-06"/>
    <s v="441405"/>
    <s v="New Taraknath Beeze Bhender"/>
    <s v="9641540108"/>
  </r>
  <r>
    <s v="RCF Trombay"/>
    <s v="N.C.Urea(45kg)"/>
    <s v="WB"/>
    <x v="17"/>
    <m/>
    <s v="User Not Mapped"/>
    <s v="User Not Mapped"/>
    <s v="User Not Mapped"/>
    <n v="741294"/>
    <s v="NURJEL SEKH"/>
    <s v="Private Retailer"/>
    <s v="9474676017"/>
    <n v="0.28999999999999998"/>
    <n v="1857"/>
    <x v="2"/>
    <m/>
    <s v="2021-03-20"/>
    <s v="441405"/>
    <s v="New Taraknath Beeze Bhender"/>
    <s v="9641540108"/>
  </r>
  <r>
    <s v="RCF Trombay"/>
    <s v="15-15-15"/>
    <s v="WB"/>
    <x v="17"/>
    <s v="Ranaghat - II"/>
    <s v="User Not Mapped"/>
    <s v="User Not Mapped"/>
    <s v="User Not Mapped"/>
    <n v="943324"/>
    <s v="GHOSH FERTILIZER AND PESTICIDE"/>
    <s v="Private Retailer"/>
    <s v="9732800291"/>
    <n v="0.115"/>
    <n v="1813"/>
    <x v="2"/>
    <m/>
    <s v="2021-05-03"/>
    <s v="892997"/>
    <s v="PARESH GHOSH"/>
    <s v="9735355001"/>
  </r>
  <r>
    <s v="RCF Trombay"/>
    <s v="15-15-15"/>
    <s v="WB"/>
    <x v="17"/>
    <s v="Karimpur - II"/>
    <s v="User Not Mapped"/>
    <s v="User Not Mapped"/>
    <s v="User Not Mapped"/>
    <n v="1062201"/>
    <s v="FULCHAND SHAIKH"/>
    <s v="Private Retailer"/>
    <s v="8348839106"/>
    <n v="0.1"/>
    <n v="1908"/>
    <x v="2"/>
    <m/>
    <s v="2021-01-28"/>
    <s v="1036427"/>
    <s v="PINAKI SAHA"/>
    <s v="9641671766"/>
  </r>
  <r>
    <s v="RCF Trombay"/>
    <s v="N.C.Urea(45kg)"/>
    <s v="WB"/>
    <x v="17"/>
    <m/>
    <s v="User Not Mapped"/>
    <s v="User Not Mapped"/>
    <s v="User Not Mapped"/>
    <n v="1062187"/>
    <s v="RATAN KUMAR MANDAL"/>
    <s v="Private Retailer"/>
    <s v="9734390947"/>
    <n v="0.125"/>
    <n v="2165"/>
    <x v="2"/>
    <m/>
    <s v="2020-05-16"/>
    <s v="1036427"/>
    <s v="PINAKI SAHA"/>
    <s v="9641671766"/>
  </r>
  <r>
    <s v="RCF Thal"/>
    <s v="N.C.Urea(45kg)"/>
    <s v="WB"/>
    <x v="17"/>
    <s v="Tehatta - I"/>
    <s v="User Not Mapped"/>
    <s v="User Not Mapped"/>
    <s v="User Not Mapped"/>
    <n v="340685"/>
    <s v="Abdur Rashid Mondal"/>
    <s v="Private Retailer"/>
    <s v="7407601391"/>
    <n v="0.18"/>
    <n v="287"/>
    <x v="1"/>
    <m/>
    <s v="2025-07-07"/>
    <s v="281568"/>
    <s v="Pradip Kr Chanda"/>
    <s v="9733490091"/>
  </r>
  <r>
    <s v="RCF Thal"/>
    <s v="N.C.Urea(45kg)"/>
    <s v="WB"/>
    <x v="17"/>
    <s v="Ranaghat - II"/>
    <s v="User Not Mapped"/>
    <s v="User Not Mapped"/>
    <s v="User Not Mapped"/>
    <n v="1478874"/>
    <s v="BISWAS FERTILIZERS A PESTICIDE"/>
    <s v="Private Retailer"/>
    <s v="7908685504"/>
    <n v="0.54"/>
    <n v="283"/>
    <x v="1"/>
    <m/>
    <s v="2025-07-11"/>
    <s v="281568"/>
    <s v="Pradip Kr Chanda"/>
    <s v="9733490091"/>
  </r>
  <r>
    <s v="RCF Thal"/>
    <s v="N.C.Urea(45kg)"/>
    <s v="WB"/>
    <x v="17"/>
    <s v="Ranaghat - I"/>
    <s v="User Not Mapped"/>
    <s v="User Not Mapped"/>
    <s v="User Not Mapped"/>
    <n v="1537817"/>
    <s v="M/S SABITA FERTILIZER"/>
    <s v="Private Retailer"/>
    <s v="6295090387"/>
    <n v="0.58499999999999996"/>
    <n v="264"/>
    <x v="1"/>
    <m/>
    <s v="2025-07-30"/>
    <s v="281568"/>
    <s v="Pradip Kr Chanda"/>
    <s v="9733490091"/>
  </r>
  <r>
    <s v="RCF Thal"/>
    <s v="N.C.Urea(45kg)"/>
    <s v="WB"/>
    <x v="17"/>
    <s v="Ranaghat - I"/>
    <s v="User Not Mapped"/>
    <s v="User Not Mapped"/>
    <s v="User Not Mapped"/>
    <n v="1537843"/>
    <s v="M/S Sarkar Fertilizer"/>
    <s v="Private Retailer"/>
    <s v="6294689285"/>
    <n v="0.18"/>
    <n v="298"/>
    <x v="1"/>
    <m/>
    <s v="2025-06-26"/>
    <s v="281568"/>
    <s v="Pradip Kr Chanda"/>
    <s v="9733490091"/>
  </r>
  <r>
    <s v="RCF Trombay"/>
    <s v="15-15-15"/>
    <s v="WB"/>
    <x v="17"/>
    <s v="Karimpur - II"/>
    <s v="User Not Mapped"/>
    <s v="User Not Mapped"/>
    <s v="User Not Mapped"/>
    <n v="342772"/>
    <s v="Subir Kumar Biswas"/>
    <s v="Private Wholsaler"/>
    <s v="9932631270"/>
    <n v="10"/>
    <n v="37"/>
    <x v="3"/>
    <s v="'2526RAMSDF1076'"/>
    <s v="2026-03-14"/>
    <s v="280775"/>
    <s v="R A Kheria"/>
    <s v="9830290085"/>
  </r>
  <r>
    <s v="RCF Trombay"/>
    <s v="15-15-15"/>
    <s v="WB"/>
    <x v="17"/>
    <s v="Ranaghat - II"/>
    <s v="User Not Mapped"/>
    <s v="User Not Mapped"/>
    <s v="User Not Mapped"/>
    <n v="1062003"/>
    <s v="DILIP BISWAS"/>
    <s v="Private Retailer"/>
    <s v="9775266185"/>
    <n v="1"/>
    <n v="674"/>
    <x v="2"/>
    <m/>
    <s v="2024-06-15"/>
    <s v="281567"/>
    <s v="Rabindra Nath Biswas"/>
    <s v="9434197359"/>
  </r>
  <r>
    <s v="RCF Trombay"/>
    <s v="15-15-15"/>
    <s v="WB"/>
    <x v="17"/>
    <s v="Ranaghat - II"/>
    <s v="User Not Mapped"/>
    <s v="User Not Mapped"/>
    <s v="User Not Mapped"/>
    <n v="1062003"/>
    <s v="DILIP BISWAS"/>
    <s v="Private Retailer"/>
    <s v="9775266185"/>
    <n v="0.05"/>
    <n v="686"/>
    <x v="2"/>
    <m/>
    <s v="2024-06-03"/>
    <s v="281567"/>
    <s v="Rabindra Nath Biswas"/>
    <s v="9434197359"/>
  </r>
  <r>
    <s v="RCF Trombay"/>
    <s v="15-15-15"/>
    <s v="WB"/>
    <x v="17"/>
    <m/>
    <s v="User Not Mapped"/>
    <s v="User Not Mapped"/>
    <s v="User Not Mapped"/>
    <n v="341554"/>
    <s v="Joydeb Biswas"/>
    <s v="Private Retailer"/>
    <s v="9641677922"/>
    <n v="0.25"/>
    <n v="751"/>
    <x v="2"/>
    <m/>
    <s v="2024-03-30"/>
    <s v="281567"/>
    <s v="Rabindra Nath Biswas"/>
    <s v="9434197359"/>
  </r>
  <r>
    <s v="RCF Trombay"/>
    <s v="15-15-15"/>
    <s v="WB"/>
    <x v="17"/>
    <m/>
    <s v="User Not Mapped"/>
    <s v="User Not Mapped"/>
    <s v="User Not Mapped"/>
    <n v="341554"/>
    <s v="Joydeb Biswas"/>
    <s v="Private Retailer"/>
    <s v="9641677922"/>
    <n v="0.4"/>
    <n v="743"/>
    <x v="2"/>
    <m/>
    <s v="2024-04-07"/>
    <s v="281567"/>
    <s v="Rabindra Nath Biswas"/>
    <s v="9434197359"/>
  </r>
  <r>
    <s v="RCF Trombay"/>
    <s v="15-15-15"/>
    <s v="WB"/>
    <x v="17"/>
    <s v="Ranaghat - I"/>
    <s v="User Not Mapped"/>
    <s v="User Not Mapped"/>
    <s v="User Not Mapped"/>
    <n v="356263"/>
    <s v="M/S PRAFULLA FERTILIZER"/>
    <s v="Private Retailer"/>
    <s v="9333249705"/>
    <n v="0.5"/>
    <n v="700"/>
    <x v="2"/>
    <m/>
    <s v="2024-05-20"/>
    <s v="281567"/>
    <s v="Rabindra Nath Biswas"/>
    <s v="9434197359"/>
  </r>
  <r>
    <s v="RCF Import"/>
    <s v="MOP"/>
    <s v="WB"/>
    <x v="17"/>
    <s v="Ranaghat - II"/>
    <s v="User Not Mapped"/>
    <s v="User Not Mapped"/>
    <s v="User Not Mapped"/>
    <n v="281285"/>
    <s v="Bhabani Prosad Chattopadhy"/>
    <s v="Private Wholsaler"/>
    <s v="7548026544"/>
    <n v="4.4000000000000004"/>
    <n v="62"/>
    <x v="6"/>
    <s v="'WS3125003561'"/>
    <s v="2026-02-17"/>
    <s v="1"/>
    <s v="rcf"/>
    <m/>
  </r>
  <r>
    <s v="RCF Thal"/>
    <s v="N.C.Urea(45kg)"/>
    <s v="WB"/>
    <x v="17"/>
    <s v="Ranaghat - II"/>
    <s v="User Not Mapped"/>
    <s v="User Not Mapped"/>
    <s v="User Not Mapped"/>
    <n v="281285"/>
    <s v="Bhabani Prosad Chattopadhy"/>
    <s v="Private Wholsaler"/>
    <s v="7548026544"/>
    <n v="6.39"/>
    <n v="42"/>
    <x v="3"/>
    <s v="'WS3125003931'"/>
    <s v="2026-03-09"/>
    <s v="1"/>
    <s v="rcf"/>
    <m/>
  </r>
  <r>
    <s v="RCF Import"/>
    <s v="Imp 10-26-26"/>
    <s v="WB"/>
    <x v="17"/>
    <s v="Ranaghat - II"/>
    <s v="User Not Mapped"/>
    <s v="User Not Mapped"/>
    <s v="User Not Mapped"/>
    <n v="281285"/>
    <s v="Bhabani Prosad Chattopadhy"/>
    <s v="Private Wholsaler"/>
    <s v="7548026544"/>
    <n v="0.15"/>
    <n v="55"/>
    <x v="3"/>
    <s v="'WS3125003725'"/>
    <s v="2026-02-24"/>
    <s v="1"/>
    <s v="rcf"/>
    <m/>
  </r>
  <r>
    <s v="RCF Thal"/>
    <s v="N.C.Urea(45kg)"/>
    <s v="WB"/>
    <x v="17"/>
    <s v="Ranaghat - II"/>
    <s v="User Not Mapped"/>
    <s v="User Not Mapped"/>
    <s v="User Not Mapped"/>
    <n v="281285"/>
    <s v="Bhabani Prosad Chattopadhy"/>
    <s v="Private Wholsaler"/>
    <s v="7548026544"/>
    <n v="39.96"/>
    <n v="19"/>
    <x v="5"/>
    <s v="'WS3126000033'"/>
    <s v="2026-04-01"/>
    <s v="1"/>
    <s v="rcf"/>
    <m/>
  </r>
  <r>
    <s v="RCF Trombay"/>
    <s v="N.C.Urea(45kg)"/>
    <s v="WB"/>
    <x v="17"/>
    <s v="Krishnagar - I"/>
    <s v="User Not Mapped"/>
    <s v="User Not Mapped"/>
    <s v="User Not Mapped"/>
    <n v="260185"/>
    <s v="Faroj Ali Shaikh"/>
    <s v="Private Wholsaler"/>
    <s v="7797070086"/>
    <n v="4.32"/>
    <n v="58"/>
    <x v="3"/>
    <s v="'WS3125003590'"/>
    <s v="2026-02-21"/>
    <s v="1"/>
    <s v="rcf"/>
    <m/>
  </r>
  <r>
    <s v="RCF Trombay"/>
    <s v="15-15-15"/>
    <s v="WB"/>
    <x v="17"/>
    <s v="Krishnagar - I"/>
    <s v="User Not Mapped"/>
    <s v="User Not Mapped"/>
    <s v="User Not Mapped"/>
    <n v="260185"/>
    <s v="Faroj Ali Shaikh"/>
    <s v="Private Wholsaler"/>
    <s v="7797070086"/>
    <n v="1"/>
    <n v="87"/>
    <x v="6"/>
    <s v="'WS3125003082'"/>
    <s v="2026-01-23"/>
    <s v="1"/>
    <s v="rcf"/>
    <m/>
  </r>
  <r>
    <s v="RCF Trombay"/>
    <s v="15-15-15"/>
    <s v="WB"/>
    <x v="17"/>
    <s v="Krishnagar - I"/>
    <s v="User Not Mapped"/>
    <s v="User Not Mapped"/>
    <s v="User Not Mapped"/>
    <n v="260185"/>
    <s v="Faroj Ali Shaikh"/>
    <s v="Private Wholsaler"/>
    <s v="7797070086"/>
    <n v="20"/>
    <n v="58"/>
    <x v="3"/>
    <s v="'WS3125003626'"/>
    <s v="2026-02-21"/>
    <s v="1"/>
    <s v="rcf"/>
    <m/>
  </r>
  <r>
    <s v="RCF Import"/>
    <s v="Imp 10-26-26"/>
    <s v="WB"/>
    <x v="17"/>
    <s v="Chakdah"/>
    <s v="User Not Mapped"/>
    <s v="User Not Mapped"/>
    <s v="User Not Mapped"/>
    <n v="260210"/>
    <s v="Gouri Sankar Kundu            "/>
    <s v="Private Wholsaler"/>
    <s v="9064539774"/>
    <n v="36.950000000000003"/>
    <n v="55"/>
    <x v="3"/>
    <s v="'WS3125003724'"/>
    <s v="2026-02-24"/>
    <s v="1"/>
    <s v="rcf"/>
    <m/>
  </r>
  <r>
    <s v="RCF Thal"/>
    <s v="N.C.Urea(45kg)"/>
    <s v="WB"/>
    <x v="17"/>
    <s v="Chakdah"/>
    <s v="User Not Mapped"/>
    <s v="User Not Mapped"/>
    <s v="User Not Mapped"/>
    <n v="260210"/>
    <s v="Gouri Sankar Kundu            "/>
    <s v="Private Wholsaler"/>
    <s v="9064539774"/>
    <n v="3.8250000000000002"/>
    <n v="19"/>
    <x v="5"/>
    <s v="'WS3126000047'"/>
    <s v="2026-04-01"/>
    <s v="1"/>
    <s v="rcf"/>
    <m/>
  </r>
  <r>
    <s v="RCF Import"/>
    <s v="MOP"/>
    <s v="WB"/>
    <x v="17"/>
    <s v="Chakdah"/>
    <s v="User Not Mapped"/>
    <s v="User Not Mapped"/>
    <s v="User Not Mapped"/>
    <n v="260210"/>
    <s v="Gouri Sankar Kundu            "/>
    <s v="Private Wholsaler"/>
    <s v="9064539774"/>
    <n v="11.05"/>
    <n v="62"/>
    <x v="6"/>
    <s v="'WS3125003551'"/>
    <s v="2026-02-17"/>
    <s v="1"/>
    <s v="rcf"/>
    <m/>
  </r>
  <r>
    <s v="RCF Trombay"/>
    <s v="N.C.Urea(45kg)"/>
    <s v="WB"/>
    <x v="17"/>
    <s v="Chakdah"/>
    <s v="User Not Mapped"/>
    <s v="User Not Mapped"/>
    <s v="User Not Mapped"/>
    <n v="260210"/>
    <s v="Gouri Sankar Kundu            "/>
    <s v="Private Wholsaler"/>
    <s v="9064539774"/>
    <n v="0.36"/>
    <n v="58"/>
    <x v="3"/>
    <s v="'WS3125003592'"/>
    <s v="2026-02-21"/>
    <s v="1"/>
    <s v="rcf"/>
    <m/>
  </r>
  <r>
    <s v="RCF Import"/>
    <s v="MOP"/>
    <s v="WB"/>
    <x v="17"/>
    <s v="Chakdah"/>
    <s v="User Not Mapped"/>
    <s v="User Not Mapped"/>
    <s v="User Not Mapped"/>
    <n v="260210"/>
    <s v="Gouri Sankar Kundu            "/>
    <s v="Private Wholsaler"/>
    <s v="9064539774"/>
    <n v="10"/>
    <n v="62"/>
    <x v="6"/>
    <s v="'WS3125003552'"/>
    <s v="2026-02-17"/>
    <s v="1"/>
    <s v="rcf"/>
    <m/>
  </r>
  <r>
    <s v="RCF Import"/>
    <s v="MOP"/>
    <s v="WB"/>
    <x v="17"/>
    <s v="Krishnagar - I"/>
    <s v="User Not Mapped"/>
    <s v="User Not Mapped"/>
    <s v="User Not Mapped"/>
    <n v="270129"/>
    <s v="Kalyan Kr. Nandi"/>
    <s v="Private Wholsaler"/>
    <s v="8250914797"/>
    <n v="15"/>
    <n v="62"/>
    <x v="6"/>
    <s v="'WS3125003568'"/>
    <s v="2026-02-17"/>
    <s v="1"/>
    <s v="rcf"/>
    <m/>
  </r>
  <r>
    <s v="RCF Import"/>
    <s v="MOP"/>
    <s v="WB"/>
    <x v="17"/>
    <s v="Krishnagar - I"/>
    <s v="User Not Mapped"/>
    <s v="User Not Mapped"/>
    <s v="User Not Mapped"/>
    <n v="270129"/>
    <s v="Kalyan Kr. Nandi"/>
    <s v="Private Wholsaler"/>
    <s v="8250914797"/>
    <n v="30"/>
    <n v="61"/>
    <x v="6"/>
    <s v="'WS3125003578'"/>
    <s v="2026-02-18"/>
    <s v="1"/>
    <s v="rcf"/>
    <m/>
  </r>
  <r>
    <s v="RCF Thal"/>
    <s v="N.C.Urea(45kg)"/>
    <s v="WB"/>
    <x v="17"/>
    <s v="Chakdah"/>
    <s v="User Not Mapped"/>
    <s v="User Not Mapped"/>
    <s v="User Not Mapped"/>
    <n v="260209"/>
    <s v="M/S SUNIL KUMAR SAHA       "/>
    <s v="Private Wholsaler"/>
    <s v="9434110995"/>
    <n v="14.31"/>
    <n v="19"/>
    <x v="5"/>
    <s v="'WS3126000031'"/>
    <s v="2026-04-01"/>
    <s v="1"/>
    <s v="rcf"/>
    <m/>
  </r>
  <r>
    <s v="RCF Thal"/>
    <s v="N.C.Urea(45kg)"/>
    <s v="WB"/>
    <x v="17"/>
    <s v="Chakdah"/>
    <s v="User Not Mapped"/>
    <s v="User Not Mapped"/>
    <s v="User Not Mapped"/>
    <n v="260209"/>
    <s v="M/S SUNIL KUMAR SAHA       "/>
    <s v="Private Wholsaler"/>
    <s v="9434110995"/>
    <n v="15.93"/>
    <n v="19"/>
    <x v="5"/>
    <s v="'WS3126000032'"/>
    <s v="2026-04-01"/>
    <s v="1"/>
    <s v="rcf"/>
    <m/>
  </r>
  <r>
    <s v="RCF Import"/>
    <s v="MOP"/>
    <s v="WB"/>
    <x v="17"/>
    <s v="Chakdah"/>
    <s v="User Not Mapped"/>
    <s v="User Not Mapped"/>
    <s v="User Not Mapped"/>
    <n v="260209"/>
    <s v="M/S SUNIL KUMAR SAHA       "/>
    <s v="Private Wholsaler"/>
    <s v="9434110995"/>
    <n v="50"/>
    <n v="62"/>
    <x v="6"/>
    <s v="'WS3125003562'"/>
    <s v="2026-02-17"/>
    <s v="1"/>
    <s v="rcf"/>
    <m/>
  </r>
  <r>
    <s v="RCF Import"/>
    <s v="Imp 10-26-26"/>
    <s v="WB"/>
    <x v="17"/>
    <s v="Chakdah"/>
    <s v="User Not Mapped"/>
    <s v="User Not Mapped"/>
    <s v="User Not Mapped"/>
    <n v="260209"/>
    <s v="M/S SUNIL KUMAR SAHA       "/>
    <s v="Private Wholsaler"/>
    <s v="9434110995"/>
    <n v="24.05"/>
    <n v="55"/>
    <x v="3"/>
    <s v="'WS3125003726'"/>
    <s v="2026-02-24"/>
    <s v="1"/>
    <s v="rcf"/>
    <m/>
  </r>
  <r>
    <s v="RCF Import"/>
    <s v="MOP"/>
    <s v="WB"/>
    <x v="17"/>
    <s v="Krishnagar - I"/>
    <s v="User Not Mapped"/>
    <s v="User Not Mapped"/>
    <s v="User Not Mapped"/>
    <n v="280729"/>
    <s v="M/s. Naresh Chandra Das"/>
    <s v="Private Wholsaler"/>
    <s v="7365868045"/>
    <n v="55"/>
    <n v="37"/>
    <x v="3"/>
    <s v="'3125004083'"/>
    <s v="2026-03-14"/>
    <s v="1"/>
    <s v="rcf"/>
    <m/>
  </r>
  <r>
    <s v="RCF Trombay"/>
    <s v="N.C.Urea(45kg)"/>
    <s v="WB"/>
    <x v="17"/>
    <s v="Krishnagar - I"/>
    <s v="User Not Mapped"/>
    <s v="User Not Mapped"/>
    <s v="User Not Mapped"/>
    <n v="280729"/>
    <s v="M/s. Naresh Chandra Das"/>
    <s v="Private Wholsaler"/>
    <s v="7365868045"/>
    <n v="0.09"/>
    <n v="58"/>
    <x v="3"/>
    <s v="'WS3125003598'"/>
    <s v="2026-02-21"/>
    <s v="1"/>
    <s v="rcf"/>
    <m/>
  </r>
  <r>
    <s v="RCF Import"/>
    <s v="MOP"/>
    <s v="WB"/>
    <x v="17"/>
    <s v="Krishnagar - I"/>
    <s v="User Not Mapped"/>
    <s v="User Not Mapped"/>
    <s v="User Not Mapped"/>
    <n v="280729"/>
    <s v="M/s. Naresh Chandra Das"/>
    <s v="Private Wholsaler"/>
    <s v="7365868045"/>
    <n v="35"/>
    <n v="31"/>
    <x v="3"/>
    <s v="'3125004099'"/>
    <s v="2026-03-20"/>
    <s v="1"/>
    <s v="rcf"/>
    <m/>
  </r>
  <r>
    <s v="RCF Thal"/>
    <s v="N.C.Urea(45kg)"/>
    <s v="WB"/>
    <x v="17"/>
    <s v="Krishnagar - I"/>
    <s v="User Not Mapped"/>
    <s v="User Not Mapped"/>
    <s v="User Not Mapped"/>
    <n v="280729"/>
    <s v="M/s. Naresh Chandra Das"/>
    <s v="Private Wholsaler"/>
    <s v="7365868045"/>
    <n v="45.945"/>
    <n v="19"/>
    <x v="5"/>
    <s v="'WS3126000058'"/>
    <s v="2026-04-01"/>
    <s v="1"/>
    <s v="rcf"/>
    <m/>
  </r>
  <r>
    <s v="RCF Import"/>
    <s v="MOP"/>
    <s v="WB"/>
    <x v="17"/>
    <s v="Krishnagar - I"/>
    <s v="User Not Mapped"/>
    <s v="User Not Mapped"/>
    <s v="User Not Mapped"/>
    <n v="280729"/>
    <s v="M/s. Naresh Chandra Das"/>
    <s v="Private Wholsaler"/>
    <s v="7365868045"/>
    <n v="0.9"/>
    <n v="33"/>
    <x v="3"/>
    <s v="'3125004096'"/>
    <s v="2026-03-18"/>
    <s v="1"/>
    <s v="rcf"/>
    <m/>
  </r>
  <r>
    <s v="RCF Import"/>
    <s v="MOP"/>
    <s v="WB"/>
    <x v="17"/>
    <s v="Krishnagar - I"/>
    <s v="User Not Mapped"/>
    <s v="User Not Mapped"/>
    <s v="User Not Mapped"/>
    <n v="280729"/>
    <s v="M/s. Naresh Chandra Das"/>
    <s v="Private Wholsaler"/>
    <s v="7365868045"/>
    <n v="25.9"/>
    <n v="37"/>
    <x v="3"/>
    <s v="'3125004082'"/>
    <s v="2026-03-14"/>
    <s v="1"/>
    <s v="rcf"/>
    <m/>
  </r>
  <r>
    <s v="RCF Import"/>
    <s v="MOP"/>
    <s v="WB"/>
    <x v="17"/>
    <s v="Krishnagar - I"/>
    <s v="User Not Mapped"/>
    <s v="User Not Mapped"/>
    <s v="User Not Mapped"/>
    <n v="260178"/>
    <s v="M/s. Uttamendu Sarkar"/>
    <s v="Private Wholsaler"/>
    <s v="9002483836"/>
    <n v="25.75"/>
    <n v="62"/>
    <x v="6"/>
    <s v="'WS3125003564'"/>
    <s v="2026-02-17"/>
    <s v="1"/>
    <s v="rcf"/>
    <m/>
  </r>
  <r>
    <s v="RCF Trombay"/>
    <s v="15-15-15"/>
    <s v="WB"/>
    <x v="17"/>
    <s v="Krishnagar - I"/>
    <s v="User Not Mapped"/>
    <s v="User Not Mapped"/>
    <s v="User Not Mapped"/>
    <n v="260178"/>
    <s v="M/s. Uttamendu Sarkar"/>
    <s v="Private Wholsaler"/>
    <s v="9002483836"/>
    <n v="50"/>
    <n v="58"/>
    <x v="3"/>
    <s v="'WS3125003657'"/>
    <s v="2026-02-21"/>
    <s v="1"/>
    <s v="rcf"/>
    <m/>
  </r>
  <r>
    <s v="RCF Thal"/>
    <s v="N.C.Urea(45kg)"/>
    <s v="WB"/>
    <x v="17"/>
    <s v="Krishnagar - I"/>
    <s v="User Not Mapped"/>
    <s v="User Not Mapped"/>
    <s v="User Not Mapped"/>
    <n v="260178"/>
    <s v="M/s. Uttamendu Sarkar"/>
    <s v="Private Wholsaler"/>
    <s v="9002483836"/>
    <n v="27.72"/>
    <n v="19"/>
    <x v="5"/>
    <s v="'WS3126000024'"/>
    <s v="2026-04-01"/>
    <s v="1"/>
    <s v="rcf"/>
    <m/>
  </r>
  <r>
    <s v="RCF Trombay"/>
    <s v="15-15-15"/>
    <s v="WB"/>
    <x v="17"/>
    <s v="Krishnagar - I"/>
    <s v="User Not Mapped"/>
    <s v="User Not Mapped"/>
    <s v="User Not Mapped"/>
    <n v="260178"/>
    <s v="M/s. Uttamendu Sarkar"/>
    <s v="Private Wholsaler"/>
    <s v="9002483836"/>
    <n v="6.75"/>
    <n v="58"/>
    <x v="3"/>
    <s v="'WS3125003642'"/>
    <s v="2026-02-21"/>
    <s v="1"/>
    <s v="rcf"/>
    <m/>
  </r>
  <r>
    <s v="RCF Trombay"/>
    <s v="N.C.Urea(45kg)"/>
    <s v="WB"/>
    <x v="17"/>
    <s v="Krishnagar - I"/>
    <s v="User Not Mapped"/>
    <s v="User Not Mapped"/>
    <s v="User Not Mapped"/>
    <n v="260178"/>
    <s v="M/s. Uttamendu Sarkar"/>
    <s v="Private Wholsaler"/>
    <s v="9002483836"/>
    <n v="3.6949999999999998"/>
    <n v="58"/>
    <x v="3"/>
    <s v="'WS3125003610'"/>
    <s v="2026-02-21"/>
    <s v="1"/>
    <s v="rcf"/>
    <m/>
  </r>
  <r>
    <s v="RCF Thal"/>
    <s v="N.C.Urea(45kg)"/>
    <s v="WB"/>
    <x v="17"/>
    <s v="Haringhata"/>
    <s v="User Not Mapped"/>
    <s v="User Not Mapped"/>
    <s v="User Not Mapped"/>
    <n v="214222"/>
    <s v="Mahamaya Enterprise"/>
    <s v="Private Wholsaler"/>
    <s v="8348217174"/>
    <n v="19.98"/>
    <n v="19"/>
    <x v="5"/>
    <s v="'WS3126000054'"/>
    <s v="2026-04-01"/>
    <s v="1"/>
    <s v="rcf"/>
    <m/>
  </r>
  <r>
    <s v="RCF Import"/>
    <s v="MOP"/>
    <s v="WB"/>
    <x v="17"/>
    <s v="Haringhata"/>
    <s v="User Not Mapped"/>
    <s v="User Not Mapped"/>
    <s v="User Not Mapped"/>
    <n v="1214830"/>
    <s v="MS AJOY KRISHNA SEAL"/>
    <s v="Private Wholsaler"/>
    <s v="9932127372"/>
    <n v="1.5"/>
    <n v="62"/>
    <x v="6"/>
    <s v="'WS3125003548'"/>
    <s v="2026-02-17"/>
    <s v="1"/>
    <s v="rcf"/>
    <m/>
  </r>
  <r>
    <s v="RCF Import"/>
    <s v="Imp 10-26-26"/>
    <s v="WB"/>
    <x v="17"/>
    <s v="Haringhata"/>
    <s v="User Not Mapped"/>
    <s v="User Not Mapped"/>
    <s v="User Not Mapped"/>
    <n v="1214830"/>
    <s v="MS AJOY KRISHNA SEAL"/>
    <s v="Private Wholsaler"/>
    <s v="9932127372"/>
    <n v="2"/>
    <n v="55"/>
    <x v="3"/>
    <s v="'WS3125003743'"/>
    <s v="2026-02-24"/>
    <s v="1"/>
    <s v="rcf"/>
    <m/>
  </r>
  <r>
    <s v="RCF Thal"/>
    <s v="N.C.Urea(45kg)"/>
    <s v="WB"/>
    <x v="17"/>
    <s v="Haringhata"/>
    <s v="User Not Mapped"/>
    <s v="User Not Mapped"/>
    <s v="User Not Mapped"/>
    <n v="1214830"/>
    <s v="MS AJOY KRISHNA SEAL"/>
    <s v="Private Wholsaler"/>
    <s v="9932127372"/>
    <n v="9.98"/>
    <n v="42"/>
    <x v="3"/>
    <s v="'WS3125003835'"/>
    <s v="2026-03-09"/>
    <s v="1"/>
    <s v="rcf"/>
    <m/>
  </r>
  <r>
    <s v="RCF Trombay"/>
    <s v="N.C.Urea(45kg)"/>
    <s v="WB"/>
    <x v="17"/>
    <s v="Haringhata"/>
    <s v="User Not Mapped"/>
    <s v="User Not Mapped"/>
    <s v="User Not Mapped"/>
    <n v="1214830"/>
    <s v="MS AJOY KRISHNA SEAL"/>
    <s v="Private Wholsaler"/>
    <s v="9932127372"/>
    <n v="3.5000000000000003E-2"/>
    <n v="58"/>
    <x v="3"/>
    <s v="'WS3125003589'"/>
    <s v="2026-02-21"/>
    <s v="1"/>
    <s v="rcf"/>
    <m/>
  </r>
  <r>
    <s v="RCF Import"/>
    <s v="Imp 10-26-26"/>
    <s v="WB"/>
    <x v="17"/>
    <s v="Krishnagar - I"/>
    <s v="User Not Mapped"/>
    <s v="User Not Mapped"/>
    <s v="User Not Mapped"/>
    <n v="259034"/>
    <s v="MS Guha And Co"/>
    <s v="Private Wholsaler"/>
    <s v="8695359505"/>
    <n v="2"/>
    <n v="54"/>
    <x v="3"/>
    <s v="'WS3125003747'"/>
    <s v="2026-02-25"/>
    <s v="1"/>
    <s v="rcf"/>
    <m/>
  </r>
  <r>
    <s v="RCF Import"/>
    <s v="Imp 10-26-26"/>
    <s v="WB"/>
    <x v="17"/>
    <s v="Krishnagar - I"/>
    <s v="User Not Mapped"/>
    <s v="User Not Mapped"/>
    <s v="User Not Mapped"/>
    <n v="259034"/>
    <s v="MS Guha And Co"/>
    <s v="Private Wholsaler"/>
    <s v="8695359505"/>
    <n v="45"/>
    <n v="55"/>
    <x v="3"/>
    <s v="'WS3125003740'"/>
    <s v="2026-02-24"/>
    <s v="1"/>
    <s v="rcf"/>
    <m/>
  </r>
  <r>
    <s v="RCF Import"/>
    <s v="Imp 10-26-26"/>
    <s v="WB"/>
    <x v="17"/>
    <s v="Krishnagar - I"/>
    <s v="User Not Mapped"/>
    <s v="User Not Mapped"/>
    <s v="User Not Mapped"/>
    <n v="259034"/>
    <s v="MS Guha And Co"/>
    <s v="Private Wholsaler"/>
    <s v="8695359505"/>
    <n v="14"/>
    <n v="55"/>
    <x v="3"/>
    <s v="'WS3125003746'"/>
    <s v="2026-02-24"/>
    <s v="1"/>
    <s v="rcf"/>
    <m/>
  </r>
  <r>
    <s v="RCF Import"/>
    <s v="MOP"/>
    <s v="WB"/>
    <x v="17"/>
    <s v="Krishnagar - I"/>
    <s v="User Not Mapped"/>
    <s v="User Not Mapped"/>
    <s v="User Not Mapped"/>
    <n v="259034"/>
    <s v="MS Guha And Co"/>
    <s v="Private Wholsaler"/>
    <s v="8695359505"/>
    <n v="10"/>
    <n v="62"/>
    <x v="6"/>
    <s v="'WS3125003554'"/>
    <s v="2026-02-17"/>
    <s v="1"/>
    <s v="rcf"/>
    <m/>
  </r>
  <r>
    <s v="RCF Thal"/>
    <s v="N.C.Urea(45kg)"/>
    <s v="WB"/>
    <x v="17"/>
    <s v="Tehatta - I"/>
    <s v="User Not Mapped"/>
    <s v="User Not Mapped"/>
    <s v="User Not Mapped"/>
    <n v="260202"/>
    <s v="MS S K DUTTA"/>
    <s v="Private Wholsaler"/>
    <s v="9832802581"/>
    <n v="8.73"/>
    <n v="19"/>
    <x v="5"/>
    <s v="'WS3126000040'"/>
    <s v="2026-04-01"/>
    <s v="1"/>
    <s v="rcf"/>
    <m/>
  </r>
  <r>
    <s v="RCF Trombay"/>
    <s v="15-15-15"/>
    <s v="WB"/>
    <x v="17"/>
    <s v="Tehatta - I"/>
    <s v="User Not Mapped"/>
    <s v="User Not Mapped"/>
    <s v="User Not Mapped"/>
    <n v="260202"/>
    <s v="MS S K DUTTA"/>
    <s v="Private Wholsaler"/>
    <s v="9832802581"/>
    <n v="0.8"/>
    <n v="58"/>
    <x v="3"/>
    <s v="'WS3125003650'"/>
    <s v="2026-02-21"/>
    <s v="1"/>
    <s v="rcf"/>
    <m/>
  </r>
  <r>
    <s v="RCF Trombay"/>
    <s v="N.C.Urea(45kg)"/>
    <s v="WB"/>
    <x v="17"/>
    <s v="Tehatta - I"/>
    <s v="User Not Mapped"/>
    <s v="User Not Mapped"/>
    <s v="User Not Mapped"/>
    <n v="260202"/>
    <s v="MS S K DUTTA"/>
    <s v="Private Wholsaler"/>
    <s v="9832802581"/>
    <n v="0.23499999999999999"/>
    <n v="58"/>
    <x v="3"/>
    <s v="'WS3125003602'"/>
    <s v="2026-02-21"/>
    <s v="1"/>
    <s v="rcf"/>
    <m/>
  </r>
  <r>
    <s v="RCF Import"/>
    <s v="MOP"/>
    <s v="WB"/>
    <x v="17"/>
    <s v="Tehatta - I"/>
    <s v="User Not Mapped"/>
    <s v="User Not Mapped"/>
    <s v="User Not Mapped"/>
    <n v="260202"/>
    <s v="MS S K DUTTA"/>
    <s v="Private Wholsaler"/>
    <s v="9832802581"/>
    <n v="39.5"/>
    <n v="62"/>
    <x v="6"/>
    <s v="'WS3125003555'"/>
    <s v="2026-02-17"/>
    <s v="1"/>
    <s v="rcf"/>
    <m/>
  </r>
  <r>
    <s v="RCF Thal"/>
    <s v="N.C.Urea(45kg)"/>
    <s v="WB"/>
    <x v="17"/>
    <s v="Krishnagar - I"/>
    <s v="User Not Mapped"/>
    <s v="User Not Mapped"/>
    <s v="User Not Mapped"/>
    <n v="260177"/>
    <s v="SatyaRanjan Kundu and Brothers"/>
    <s v="Private Wholsaler"/>
    <s v="7908186730"/>
    <n v="39.69"/>
    <n v="19"/>
    <x v="5"/>
    <s v="'WS3126000039'"/>
    <s v="2026-04-01"/>
    <s v="1"/>
    <s v="rcf"/>
    <m/>
  </r>
  <r>
    <s v="RCF Import"/>
    <s v="Imp 10-26-26"/>
    <s v="WB"/>
    <x v="17"/>
    <s v="Krishnagar - I"/>
    <s v="User Not Mapped"/>
    <s v="User Not Mapped"/>
    <s v="User Not Mapped"/>
    <n v="260177"/>
    <s v="SatyaRanjan Kundu and Brothers"/>
    <s v="Private Wholsaler"/>
    <s v="7908186730"/>
    <n v="44"/>
    <n v="33"/>
    <x v="3"/>
    <s v="'3125004093'"/>
    <s v="2026-03-18"/>
    <s v="1"/>
    <s v="rcf"/>
    <m/>
  </r>
  <r>
    <s v="RCF Import"/>
    <s v="Imp 10-26-26"/>
    <s v="WB"/>
    <x v="17"/>
    <s v="Krishnagar - I"/>
    <s v="User Not Mapped"/>
    <s v="User Not Mapped"/>
    <s v="User Not Mapped"/>
    <n v="260177"/>
    <s v="SatyaRanjan Kundu and Brothers"/>
    <s v="Private Wholsaler"/>
    <s v="7908186730"/>
    <n v="54"/>
    <n v="33"/>
    <x v="3"/>
    <s v="'3125004092'"/>
    <s v="2026-03-18"/>
    <s v="1"/>
    <s v="rcf"/>
    <m/>
  </r>
  <r>
    <s v="RCF Trombay"/>
    <s v="15-15-15"/>
    <s v="WB"/>
    <x v="17"/>
    <s v="Krishnagar - I"/>
    <s v="User Not Mapped"/>
    <s v="User Not Mapped"/>
    <s v="User Not Mapped"/>
    <n v="260177"/>
    <s v="SatyaRanjan Kundu and Brothers"/>
    <s v="Private Wholsaler"/>
    <s v="7908186730"/>
    <n v="23.6"/>
    <n v="57"/>
    <x v="3"/>
    <s v="'WS3125003709'"/>
    <s v="2026-02-22"/>
    <s v="1"/>
    <s v="rcf"/>
    <m/>
  </r>
  <r>
    <s v="RCF Import"/>
    <s v="MOP"/>
    <s v="WB"/>
    <x v="17"/>
    <s v="Krishnagar - I"/>
    <s v="User Not Mapped"/>
    <s v="User Not Mapped"/>
    <s v="User Not Mapped"/>
    <n v="260177"/>
    <s v="SatyaRanjan Kundu and Brothers"/>
    <s v="Private Wholsaler"/>
    <s v="7908186730"/>
    <n v="44.5"/>
    <n v="62"/>
    <x v="6"/>
    <s v="'WS3125003559'"/>
    <s v="2026-02-17"/>
    <s v="1"/>
    <s v="rcf"/>
    <m/>
  </r>
  <r>
    <s v="RCF Thal"/>
    <s v="N.C.Urea(45kg)"/>
    <s v="WB"/>
    <x v="17"/>
    <s v="Krishnagar - I"/>
    <s v="User Not Mapped"/>
    <s v="User Not Mapped"/>
    <s v="User Not Mapped"/>
    <n v="260177"/>
    <s v="SatyaRanjan Kundu and Brothers"/>
    <s v="Private Wholsaler"/>
    <s v="7908186730"/>
    <n v="54"/>
    <n v="19"/>
    <x v="5"/>
    <s v="'WS3126000036'"/>
    <s v="2026-04-01"/>
    <s v="1"/>
    <s v="rcf"/>
    <m/>
  </r>
  <r>
    <s v="RCF Thal"/>
    <s v="N.C.Urea(45kg)"/>
    <s v="WB"/>
    <x v="17"/>
    <s v="Krishnagar - I"/>
    <s v="User Not Mapped"/>
    <s v="User Not Mapped"/>
    <s v="User Not Mapped"/>
    <n v="260177"/>
    <s v="SatyaRanjan Kundu and Brothers"/>
    <s v="Private Wholsaler"/>
    <s v="7908186730"/>
    <n v="54"/>
    <n v="19"/>
    <x v="5"/>
    <s v="'WS3126000035'"/>
    <s v="2026-04-01"/>
    <s v="1"/>
    <s v="rcf"/>
    <m/>
  </r>
  <r>
    <s v="RCF Thal"/>
    <s v="N.C.Urea(45kg)"/>
    <s v="WB"/>
    <x v="17"/>
    <s v="Krishnagar - I"/>
    <s v="User Not Mapped"/>
    <s v="User Not Mapped"/>
    <s v="User Not Mapped"/>
    <n v="260177"/>
    <s v="SatyaRanjan Kundu and Brothers"/>
    <s v="Private Wholsaler"/>
    <s v="7908186730"/>
    <n v="54"/>
    <n v="19"/>
    <x v="5"/>
    <s v="'WS3126000037'"/>
    <s v="2026-04-01"/>
    <s v="1"/>
    <s v="rcf"/>
    <m/>
  </r>
  <r>
    <s v="RCF Thal"/>
    <s v="N.C.Urea(45kg)"/>
    <s v="WB"/>
    <x v="17"/>
    <s v="Krishnagar - I"/>
    <s v="User Not Mapped"/>
    <s v="User Not Mapped"/>
    <s v="User Not Mapped"/>
    <n v="260177"/>
    <s v="SatyaRanjan Kundu and Brothers"/>
    <s v="Private Wholsaler"/>
    <s v="7908186730"/>
    <n v="12.555"/>
    <n v="19"/>
    <x v="5"/>
    <s v="'WS3126000034'"/>
    <s v="2026-04-01"/>
    <s v="1"/>
    <s v="rcf"/>
    <m/>
  </r>
  <r>
    <s v="RCF Thal"/>
    <s v="N.C.Urea(45kg)"/>
    <s v="WB"/>
    <x v="17"/>
    <s v="Krishnagar - I"/>
    <s v="User Not Mapped"/>
    <s v="User Not Mapped"/>
    <s v="User Not Mapped"/>
    <n v="260177"/>
    <s v="SatyaRanjan Kundu and Brothers"/>
    <s v="Private Wholsaler"/>
    <s v="7908186730"/>
    <n v="54"/>
    <n v="19"/>
    <x v="5"/>
    <s v="'WS3126000038'"/>
    <s v="2026-04-01"/>
    <s v="1"/>
    <s v="rcf"/>
    <m/>
  </r>
  <r>
    <s v="RCF Import"/>
    <s v="MOP"/>
    <s v="WB"/>
    <x v="17"/>
    <s v="Krishnagar - I"/>
    <s v="User Not Mapped"/>
    <s v="User Not Mapped"/>
    <s v="User Not Mapped"/>
    <n v="260179"/>
    <s v="Tarun Kumar Saha"/>
    <s v="Private Wholsaler"/>
    <s v="8116312974"/>
    <n v="5"/>
    <n v="62"/>
    <x v="6"/>
    <s v="'WS3125003576'"/>
    <s v="2026-02-17"/>
    <s v="1"/>
    <s v="rcf"/>
    <m/>
  </r>
  <r>
    <s v="RCF Import"/>
    <s v="MOP"/>
    <s v="WB"/>
    <x v="17"/>
    <s v="Krishnagar - I"/>
    <s v="User Not Mapped"/>
    <s v="User Not Mapped"/>
    <s v="User Not Mapped"/>
    <n v="260179"/>
    <s v="Tarun Kumar Saha"/>
    <s v="Private Wholsaler"/>
    <s v="8116312974"/>
    <n v="10"/>
    <n v="62"/>
    <x v="6"/>
    <s v="'WS3125003571'"/>
    <s v="2026-02-17"/>
    <s v="1"/>
    <s v="rcf"/>
    <m/>
  </r>
  <r>
    <s v="RCF Import"/>
    <s v="Imp 10-26-26"/>
    <s v="WB"/>
    <x v="17"/>
    <s v="Krishnagar - I"/>
    <s v="User Not Mapped"/>
    <s v="User Not Mapped"/>
    <s v="User Not Mapped"/>
    <n v="260179"/>
    <s v="Tarun Kumar Saha"/>
    <s v="Private Wholsaler"/>
    <s v="8116312974"/>
    <n v="11"/>
    <n v="55"/>
    <x v="3"/>
    <s v="'WS3125003727'"/>
    <s v="2026-02-24"/>
    <s v="1"/>
    <s v="rcf"/>
    <m/>
  </r>
  <r>
    <s v="RCF Trombay"/>
    <s v="15-15-15"/>
    <s v="WB"/>
    <x v="17"/>
    <s v="Hanskhali"/>
    <s v="User Not Mapped"/>
    <s v="User Not Mapped"/>
    <s v="User Not Mapped"/>
    <n v="340710"/>
    <s v="Adhir Ch Ghosh"/>
    <s v="Private Retailer"/>
    <s v="9564081569"/>
    <n v="3.3"/>
    <n v="170"/>
    <x v="4"/>
    <m/>
    <s v="2025-11-01"/>
    <s v="280913"/>
    <s v="S.S.P Enterprise"/>
    <s v="9732669190"/>
  </r>
  <r>
    <s v="RCF Trombay"/>
    <s v="15-15-15"/>
    <s v="WB"/>
    <x v="17"/>
    <s v="Santipur"/>
    <s v="User Not Mapped"/>
    <s v="User Not Mapped"/>
    <s v="User Not Mapped"/>
    <n v="272865"/>
    <s v="Amar Chakraborty"/>
    <s v="Private Retailer"/>
    <s v="9851870585"/>
    <n v="0.1"/>
    <n v="54"/>
    <x v="3"/>
    <m/>
    <s v="2026-02-25"/>
    <s v="280913"/>
    <s v="S.S.P Enterprise"/>
    <s v="9732669190"/>
  </r>
  <r>
    <s v="RCF Thal"/>
    <s v="N.C.Urea(45kg)"/>
    <s v="WB"/>
    <x v="17"/>
    <s v="Nakashipara"/>
    <s v="User Not Mapped"/>
    <s v="User Not Mapped"/>
    <s v="User Not Mapped"/>
    <n v="628993"/>
    <s v="Arindam das"/>
    <s v="Private Retailer"/>
    <s v="8509566548"/>
    <n v="9.99"/>
    <n v="17"/>
    <x v="5"/>
    <m/>
    <s v="2026-04-03"/>
    <s v="280913"/>
    <s v="S.S.P Enterprise"/>
    <s v="9732669190"/>
  </r>
  <r>
    <s v="RCF Trombay"/>
    <s v="15-15-15"/>
    <s v="WB"/>
    <x v="17"/>
    <s v="Ranaghat - I"/>
    <s v="User Not Mapped"/>
    <s v="User Not Mapped"/>
    <s v="User Not Mapped"/>
    <n v="341026"/>
    <s v="Bhagirath Biswas"/>
    <s v="Private Retailer"/>
    <s v="7029533544"/>
    <n v="5"/>
    <n v="54"/>
    <x v="3"/>
    <m/>
    <s v="2026-02-25"/>
    <s v="280913"/>
    <s v="S.S.P Enterprise"/>
    <s v="9732669190"/>
  </r>
  <r>
    <s v="RCF Trombay"/>
    <s v="15-15-15"/>
    <s v="WB"/>
    <x v="17"/>
    <s v="Krishnagar - I"/>
    <s v="User Not Mapped"/>
    <s v="User Not Mapped"/>
    <s v="User Not Mapped"/>
    <n v="604790"/>
    <s v="BISWAS FERTILIZERS"/>
    <s v="Private Retailer"/>
    <s v="8609582523"/>
    <n v="6"/>
    <n v="144"/>
    <x v="4"/>
    <m/>
    <s v="2025-11-27"/>
    <s v="1210862"/>
    <s v="S.S.P ENTERPRISE"/>
    <s v="9635197281"/>
  </r>
  <r>
    <s v="RCF Trombay"/>
    <s v="15-15-15"/>
    <s v="WB"/>
    <x v="17"/>
    <s v="Krishnagar - I"/>
    <s v="User Not Mapped"/>
    <s v="User Not Mapped"/>
    <s v="User Not Mapped"/>
    <n v="604790"/>
    <s v="BISWAS FERTILIZERS"/>
    <s v="Private Retailer"/>
    <s v="8609582523"/>
    <n v="2.25"/>
    <n v="185"/>
    <x v="1"/>
    <m/>
    <s v="2025-10-17"/>
    <s v="1210862"/>
    <s v="S.S.P ENTERPRISE"/>
    <s v="9635197281"/>
  </r>
  <r>
    <s v="RCF Trombay"/>
    <s v="15-15-15"/>
    <s v="WB"/>
    <x v="17"/>
    <s v="Chapra"/>
    <s v="User Not Mapped"/>
    <s v="User Not Mapped"/>
    <s v="User Not Mapped"/>
    <n v="323580"/>
    <s v="BURIMA FERTILIZER"/>
    <s v="Private Retailer"/>
    <s v="9733722097"/>
    <n v="0.28000000000000003"/>
    <n v="159"/>
    <x v="4"/>
    <m/>
    <s v="2025-11-12"/>
    <s v="1210862"/>
    <s v="S.S.P ENTERPRISE"/>
    <s v="9635197281"/>
  </r>
  <r>
    <s v="RCF Trombay"/>
    <s v="N.C.Urea(45kg)"/>
    <s v="WB"/>
    <x v="17"/>
    <s v="Hanskhali"/>
    <s v="User Not Mapped"/>
    <s v="User Not Mapped"/>
    <s v="User Not Mapped"/>
    <n v="616475"/>
    <s v="DILIP KUMAR ROY"/>
    <s v="Private Retailer"/>
    <s v="9932765300"/>
    <n v="9.5399999999999991"/>
    <n v="58"/>
    <x v="3"/>
    <m/>
    <s v="2026-02-21"/>
    <s v="280913"/>
    <s v="S.S.P Enterprise"/>
    <s v="9732669190"/>
  </r>
  <r>
    <s v="RCF Trombay"/>
    <s v="15-15-15"/>
    <s v="WB"/>
    <x v="17"/>
    <m/>
    <s v="User Not Mapped"/>
    <s v="User Not Mapped"/>
    <s v="User Not Mapped"/>
    <n v="341376"/>
    <s v="Gobinda Chadra Dutta"/>
    <s v="Private Retailer"/>
    <s v="9800189918"/>
    <n v="3.15"/>
    <n v="132"/>
    <x v="4"/>
    <m/>
    <s v="2025-12-09"/>
    <s v="1210862"/>
    <s v="S.S.P ENTERPRISE"/>
    <s v="9635197281"/>
  </r>
  <r>
    <s v="RCF Import"/>
    <s v="MOP"/>
    <s v="WB"/>
    <x v="17"/>
    <s v="Ranaghat - II"/>
    <s v="User Not Mapped"/>
    <s v="User Not Mapped"/>
    <s v="User Not Mapped"/>
    <n v="341406"/>
    <s v="Gopinath Kundu"/>
    <s v="Private Retailer"/>
    <s v="9734074810"/>
    <n v="5"/>
    <n v="51"/>
    <x v="3"/>
    <m/>
    <s v="2026-02-28"/>
    <s v="1210862"/>
    <s v="S.S.P ENTERPRISE"/>
    <s v="9635197281"/>
  </r>
  <r>
    <s v="RCF Trombay"/>
    <s v="15-15-15"/>
    <s v="WB"/>
    <x v="17"/>
    <s v="Ranaghat - II"/>
    <s v="User Not Mapped"/>
    <s v="User Not Mapped"/>
    <s v="User Not Mapped"/>
    <n v="341406"/>
    <s v="Gopinath Kundu"/>
    <s v="Private Retailer"/>
    <s v="9734074810"/>
    <n v="12.75"/>
    <n v="67"/>
    <x v="6"/>
    <m/>
    <s v="2026-02-12"/>
    <s v="1210862"/>
    <s v="S.S.P ENTERPRISE"/>
    <s v="9635197281"/>
  </r>
  <r>
    <s v="RCF Trombay"/>
    <s v="15-15-15"/>
    <s v="WB"/>
    <x v="17"/>
    <s v="Ranaghat - I"/>
    <s v="User Not Mapped"/>
    <s v="User Not Mapped"/>
    <s v="User Not Mapped"/>
    <n v="243856"/>
    <s v="Habibpur L/S Pri.Agril.Credit."/>
    <s v="PACS"/>
    <s v="8617837645"/>
    <n v="9.1"/>
    <n v="144"/>
    <x v="4"/>
    <m/>
    <s v="2025-11-27"/>
    <s v="1210862"/>
    <s v="S.S.P ENTERPRISE"/>
    <s v="9635197281"/>
  </r>
  <r>
    <s v="RCF Trombay"/>
    <s v="N.C.Urea(45kg)"/>
    <s v="WB"/>
    <x v="17"/>
    <s v="Kaliganj"/>
    <s v="User Not Mapped"/>
    <s v="User Not Mapped"/>
    <s v="User Not Mapped"/>
    <n v="900875"/>
    <s v="HARERAM DAS"/>
    <s v="Private Retailer"/>
    <s v="8101196889"/>
    <n v="9.99"/>
    <n v="77"/>
    <x v="6"/>
    <m/>
    <s v="2026-02-02"/>
    <s v="280913"/>
    <s v="S.S.P Enterprise"/>
    <s v="9732669190"/>
  </r>
  <r>
    <s v="RCF Trombay"/>
    <s v="15-15-15"/>
    <s v="WB"/>
    <x v="17"/>
    <s v="Ranaghat - II"/>
    <s v="User Not Mapped"/>
    <s v="User Not Mapped"/>
    <s v="User Not Mapped"/>
    <n v="1062072"/>
    <s v="HEMAITPUR SKUS LTD"/>
    <s v="PACS"/>
    <s v="9382770949"/>
    <n v="11"/>
    <n v="72"/>
    <x v="6"/>
    <m/>
    <s v="2026-02-07"/>
    <s v="1210862"/>
    <s v="S.S.P ENTERPRISE"/>
    <s v="9635197281"/>
  </r>
  <r>
    <s v="RCF Trombay"/>
    <s v="N.C.Urea(45kg)"/>
    <s v="WB"/>
    <x v="17"/>
    <s v="Ranaghat - II"/>
    <s v="User Not Mapped"/>
    <s v="User Not Mapped"/>
    <s v="User Not Mapped"/>
    <n v="341481"/>
    <s v="Hemanta Nath"/>
    <s v="Private Retailer"/>
    <s v="7865052947"/>
    <n v="0.27"/>
    <n v="2147"/>
    <x v="2"/>
    <m/>
    <s v="2020-06-03"/>
    <s v="280913"/>
    <s v="S.S.P Enterprise"/>
    <s v="9732669190"/>
  </r>
  <r>
    <s v="RCF Thal"/>
    <s v="N.C.Urea(45kg)"/>
    <s v="WB"/>
    <x v="17"/>
    <s v="Karimpur - II"/>
    <s v="User Not Mapped"/>
    <s v="User Not Mapped"/>
    <s v="User Not Mapped"/>
    <n v="341543"/>
    <s v="Jaydaeb  Biswas"/>
    <s v="Private Retailer"/>
    <s v="9732905091"/>
    <n v="3.78"/>
    <n v="17"/>
    <x v="5"/>
    <m/>
    <s v="2026-04-03"/>
    <s v="280913"/>
    <s v="S.S.P Enterprise"/>
    <s v="9732669190"/>
  </r>
  <r>
    <s v="RCF Import"/>
    <s v="MOP"/>
    <s v="WB"/>
    <x v="17"/>
    <s v="Krishnaganj"/>
    <s v="User Not Mapped"/>
    <s v="User Not Mapped"/>
    <s v="User Not Mapped"/>
    <n v="775041"/>
    <s v="KRISHNA RAY"/>
    <s v="Private Retailer"/>
    <s v="9775548526"/>
    <n v="5"/>
    <n v="51"/>
    <x v="3"/>
    <m/>
    <s v="2026-02-28"/>
    <s v="1210862"/>
    <s v="S.S.P ENTERPRISE"/>
    <s v="9635197281"/>
  </r>
  <r>
    <s v="RCF Trombay"/>
    <s v="15-15-15"/>
    <s v="WB"/>
    <x v="17"/>
    <s v="Hanskhali"/>
    <s v="User Not Mapped"/>
    <s v="User Not Mapped"/>
    <s v="User Not Mapped"/>
    <n v="938140"/>
    <s v="KUDDUS ALI SARDAR"/>
    <s v="Private Retailer"/>
    <s v="7797183877"/>
    <n v="10"/>
    <n v="126"/>
    <x v="4"/>
    <m/>
    <s v="2025-12-15"/>
    <s v="280913"/>
    <s v="S.S.P Enterprise"/>
    <s v="9732669190"/>
  </r>
  <r>
    <s v="RCF Import"/>
    <s v="MOP"/>
    <s v="WB"/>
    <x v="17"/>
    <s v="Ranaghat - I"/>
    <s v="User Not Mapped"/>
    <s v="User Not Mapped"/>
    <s v="User Not Mapped"/>
    <n v="356279"/>
    <s v="M/S SANTOSH BHOWMICK"/>
    <s v="Private Retailer"/>
    <s v="8900286242"/>
    <n v="2"/>
    <n v="51"/>
    <x v="3"/>
    <m/>
    <s v="2026-02-28"/>
    <s v="1210862"/>
    <s v="S.S.P ENTERPRISE"/>
    <s v="9635197281"/>
  </r>
  <r>
    <s v="RCF Trombay"/>
    <s v="15-15-15"/>
    <s v="WB"/>
    <x v="17"/>
    <s v="Ranaghat - I"/>
    <s v="User Not Mapped"/>
    <s v="User Not Mapped"/>
    <s v="User Not Mapped"/>
    <n v="356279"/>
    <s v="M/S SANTOSH BHOWMICK"/>
    <s v="Private Retailer"/>
    <s v="8900286242"/>
    <n v="7"/>
    <n v="32"/>
    <x v="3"/>
    <m/>
    <s v="2026-03-19"/>
    <s v="1210862"/>
    <s v="S.S.P ENTERPRISE"/>
    <s v="9635197281"/>
  </r>
  <r>
    <s v="RCF Import"/>
    <s v="MOP"/>
    <s v="WB"/>
    <x v="17"/>
    <s v="Ranaghat - I"/>
    <s v="User Not Mapped"/>
    <s v="User Not Mapped"/>
    <s v="User Not Mapped"/>
    <n v="323489"/>
    <s v="Madan Mohan Saha"/>
    <s v="Private Retailer"/>
    <s v="9733925179"/>
    <n v="1.65"/>
    <n v="51"/>
    <x v="3"/>
    <m/>
    <s v="2026-02-28"/>
    <s v="1210862"/>
    <s v="S.S.P ENTERPRISE"/>
    <s v="9635197281"/>
  </r>
  <r>
    <s v="RCF Trombay"/>
    <s v="15-15-15"/>
    <s v="WB"/>
    <x v="17"/>
    <s v="Krishnagar - II"/>
    <s v="User Not Mapped"/>
    <s v="User Not Mapped"/>
    <s v="User Not Mapped"/>
    <n v="355332"/>
    <s v="Manik Lal Dey"/>
    <s v="Private Retailer"/>
    <s v="9002155612"/>
    <n v="0.25"/>
    <n v="67"/>
    <x v="6"/>
    <m/>
    <s v="2026-02-12"/>
    <s v="1210862"/>
    <s v="S.S.P ENTERPRISE"/>
    <s v="9635197281"/>
  </r>
  <r>
    <s v="RCF Import"/>
    <s v="MOP"/>
    <s v="WB"/>
    <x v="17"/>
    <s v="Nakashipara"/>
    <s v="User Not Mapped"/>
    <s v="User Not Mapped"/>
    <s v="User Not Mapped"/>
    <n v="628979"/>
    <s v="MD ABDUL ALIM SK"/>
    <s v="Private Retailer"/>
    <s v="9382434004"/>
    <n v="5"/>
    <n v="51"/>
    <x v="3"/>
    <m/>
    <s v="2026-02-28"/>
    <s v="1210862"/>
    <s v="S.S.P ENTERPRISE"/>
    <s v="9635197281"/>
  </r>
  <r>
    <s v="RCF Import"/>
    <s v="MOP"/>
    <s v="WB"/>
    <x v="17"/>
    <s v="Krishnagar - I"/>
    <s v="User Not Mapped"/>
    <s v="User Not Mapped"/>
    <s v="User Not Mapped"/>
    <n v="1645619"/>
    <s v="MITRA KRISHI GHAR"/>
    <s v="Private Retailer"/>
    <s v="9732669190"/>
    <n v="1"/>
    <n v="47"/>
    <x v="3"/>
    <m/>
    <s v="2026-03-04"/>
    <s v="280913"/>
    <s v="S.S.P Enterprise"/>
    <s v="9732669190"/>
  </r>
  <r>
    <s v="RCF Trombay"/>
    <s v="15-15-15"/>
    <s v="WB"/>
    <x v="17"/>
    <m/>
    <s v="User Not Mapped"/>
    <s v="User Not Mapped"/>
    <s v="User Not Mapped"/>
    <n v="341962"/>
    <s v="Mominur Rahaman Mondal"/>
    <s v="Private Retailer"/>
    <s v="9609260165"/>
    <n v="5.1999999999999998E-2"/>
    <n v="777"/>
    <x v="2"/>
    <m/>
    <s v="2024-03-04"/>
    <s v="280913"/>
    <s v="S.S.P Enterprise"/>
    <s v="9732669190"/>
  </r>
  <r>
    <s v="RCF Import"/>
    <s v="MOP"/>
    <s v="WB"/>
    <x v="17"/>
    <m/>
    <s v="User Not Mapped"/>
    <s v="User Not Mapped"/>
    <s v="User Not Mapped"/>
    <n v="341962"/>
    <s v="Mominur Rahaman Mondal"/>
    <s v="Private Retailer"/>
    <s v="9609260165"/>
    <n v="2.5"/>
    <n v="11"/>
    <x v="5"/>
    <m/>
    <s v="2026-04-09"/>
    <s v="280913"/>
    <s v="S.S.P Enterprise"/>
    <s v="9732669190"/>
  </r>
  <r>
    <s v="RCF Trombay"/>
    <s v="15-15-15"/>
    <s v="WB"/>
    <x v="17"/>
    <m/>
    <s v="User Not Mapped"/>
    <s v="User Not Mapped"/>
    <s v="User Not Mapped"/>
    <n v="341962"/>
    <s v="Mominur Rahaman Mondal"/>
    <s v="Private Retailer"/>
    <s v="9609260165"/>
    <n v="2.5"/>
    <n v="11"/>
    <x v="5"/>
    <m/>
    <s v="2026-04-09"/>
    <s v="280913"/>
    <s v="S.S.P Enterprise"/>
    <s v="9732669190"/>
  </r>
  <r>
    <s v="RCF Thal"/>
    <s v="N.C.Urea(45kg)"/>
    <s v="WB"/>
    <x v="17"/>
    <m/>
    <s v="User Not Mapped"/>
    <s v="User Not Mapped"/>
    <s v="User Not Mapped"/>
    <n v="341962"/>
    <s v="Mominur Rahaman Mondal"/>
    <s v="Private Retailer"/>
    <s v="9609260165"/>
    <n v="0.29499999999999998"/>
    <n v="273"/>
    <x v="1"/>
    <m/>
    <s v="2025-07-21"/>
    <s v="280913"/>
    <s v="S.S.P Enterprise"/>
    <s v="9732669190"/>
  </r>
  <r>
    <s v="RCF Import"/>
    <s v="MOP"/>
    <s v="WB"/>
    <x v="17"/>
    <s v="Krishnagar - II"/>
    <s v="User Not Mapped"/>
    <s v="User Not Mapped"/>
    <s v="User Not Mapped"/>
    <n v="741286"/>
    <s v="MONDAL FERTILISER"/>
    <s v="Private Retailer"/>
    <s v="7364022732"/>
    <n v="0.4"/>
    <n v="478"/>
    <x v="0"/>
    <m/>
    <s v="2024-12-28"/>
    <s v="280913"/>
    <s v="S.S.P Enterprise"/>
    <s v="9732669190"/>
  </r>
  <r>
    <s v="RCF Trombay"/>
    <s v="15-15-15"/>
    <s v="WB"/>
    <x v="17"/>
    <s v="Chapra"/>
    <s v="User Not Mapped"/>
    <s v="User Not Mapped"/>
    <s v="User Not Mapped"/>
    <n v="438032"/>
    <s v="MS MONDAL FERTILIZER"/>
    <s v="Private Retailer"/>
    <s v="8001385486"/>
    <n v="2.5499999999999998"/>
    <n v="143"/>
    <x v="4"/>
    <m/>
    <s v="2025-11-28"/>
    <s v="280913"/>
    <s v="S.S.P Enterprise"/>
    <s v="9732669190"/>
  </r>
  <r>
    <s v="RCF Trombay"/>
    <s v="15-15-15"/>
    <s v="WB"/>
    <x v="17"/>
    <s v="Ranaghat - II"/>
    <s v="User Not Mapped"/>
    <s v="User Not Mapped"/>
    <s v="User Not Mapped"/>
    <n v="342068"/>
    <s v="Netai Chandra Kundu"/>
    <s v="Private Retailer"/>
    <s v="9732857157"/>
    <n v="4.25"/>
    <n v="58"/>
    <x v="3"/>
    <m/>
    <s v="2026-02-21"/>
    <s v="280913"/>
    <s v="S.S.P Enterprise"/>
    <s v="9732669190"/>
  </r>
  <r>
    <s v="RCF Trombay"/>
    <s v="N.C.Urea(45kg)"/>
    <s v="WB"/>
    <x v="17"/>
    <s v="Krishnagar - II"/>
    <s v="User Not Mapped"/>
    <s v="User Not Mapped"/>
    <s v="User Not Mapped"/>
    <n v="439460"/>
    <s v="New Taraknath Beeze Bhander"/>
    <s v="Private Retailer"/>
    <s v="9641540108"/>
    <n v="2.2949999999999999"/>
    <n v="105"/>
    <x v="7"/>
    <m/>
    <s v="2026-01-05"/>
    <s v="280913"/>
    <s v="S.S.P Enterprise"/>
    <s v="9732669190"/>
  </r>
  <r>
    <s v="RCF Trombay"/>
    <s v="15-15-15"/>
    <s v="WB"/>
    <x v="17"/>
    <s v="Ranaghat - I"/>
    <s v="User Not Mapped"/>
    <s v="User Not Mapped"/>
    <s v="User Not Mapped"/>
    <n v="1023466"/>
    <s v="NILKANTA GHOSH"/>
    <s v="Private Retailer"/>
    <s v="9734976617"/>
    <n v="1.2999999999999999E-2"/>
    <n v="529"/>
    <x v="0"/>
    <m/>
    <s v="2024-11-07"/>
    <s v="280913"/>
    <s v="S.S.P Enterprise"/>
    <s v="9732669190"/>
  </r>
  <r>
    <s v="RCF Trombay"/>
    <s v="15-15-15"/>
    <s v="WB"/>
    <x v="17"/>
    <s v="Krishnagar - I"/>
    <s v="User Not Mapped"/>
    <s v="User Not Mapped"/>
    <s v="User Not Mapped"/>
    <n v="212865"/>
    <s v="Nitai Mallick"/>
    <s v="Private Retailer"/>
    <s v="8617362776"/>
    <n v="5"/>
    <n v="72"/>
    <x v="6"/>
    <m/>
    <s v="2026-02-07"/>
    <s v="1210862"/>
    <s v="S.S.P ENTERPRISE"/>
    <s v="9635197281"/>
  </r>
  <r>
    <s v="RCF Import"/>
    <s v="MOP"/>
    <s v="WB"/>
    <x v="17"/>
    <s v="Hanskhali"/>
    <s v="User Not Mapped"/>
    <s v="User Not Mapped"/>
    <s v="User Not Mapped"/>
    <n v="342681"/>
    <s v="Prosanta Biswas"/>
    <s v="Private Retailer"/>
    <s v="8944830617"/>
    <n v="3"/>
    <n v="27"/>
    <x v="5"/>
    <m/>
    <s v="2026-03-24"/>
    <s v="280913"/>
    <s v="S.S.P Enterprise"/>
    <s v="9732669190"/>
  </r>
  <r>
    <s v="RCF Import"/>
    <s v="MOP"/>
    <s v="WB"/>
    <x v="17"/>
    <s v="Nakashipara"/>
    <s v="User Not Mapped"/>
    <s v="User Not Mapped"/>
    <s v="User Not Mapped"/>
    <n v="388016"/>
    <s v="Rumpi Fertilisers"/>
    <s v="Private Retailer"/>
    <s v="9735642582"/>
    <n v="5"/>
    <n v="51"/>
    <x v="3"/>
    <m/>
    <s v="2026-02-28"/>
    <s v="1210862"/>
    <s v="S.S.P ENTERPRISE"/>
    <s v="9635197281"/>
  </r>
  <r>
    <s v="RCF Trombay"/>
    <s v="15-15-15"/>
    <s v="WB"/>
    <x v="17"/>
    <s v="Krishnagar - I"/>
    <s v="User Not Mapped"/>
    <s v="User Not Mapped"/>
    <s v="User Not Mapped"/>
    <n v="444043"/>
    <s v="Sarkar Fertilizer"/>
    <s v="Private Retailer"/>
    <s v="9434822065"/>
    <n v="1.95"/>
    <n v="98"/>
    <x v="7"/>
    <m/>
    <s v="2026-01-12"/>
    <s v="1210862"/>
    <s v="S.S.P ENTERPRISE"/>
    <s v="9635197281"/>
  </r>
  <r>
    <s v="RCF Trombay"/>
    <s v="15-15-15"/>
    <s v="WB"/>
    <x v="17"/>
    <s v="Hanskhali"/>
    <s v="User Not Mapped"/>
    <s v="User Not Mapped"/>
    <s v="User Not Mapped"/>
    <n v="589071"/>
    <s v="SHRINIBAS BISWAS"/>
    <s v="Private Retailer"/>
    <s v="7699032468"/>
    <n v="2.2999999999999998"/>
    <n v="73"/>
    <x v="6"/>
    <m/>
    <s v="2026-02-06"/>
    <s v="280913"/>
    <s v="S.S.P Enterprise"/>
    <s v="9732669190"/>
  </r>
  <r>
    <s v="RCF Import"/>
    <s v="MOP"/>
    <s v="WB"/>
    <x v="17"/>
    <s v="Krishnagar - I"/>
    <s v="User Not Mapped"/>
    <s v="User Not Mapped"/>
    <s v="User Not Mapped"/>
    <n v="438886"/>
    <s v="Sudip Biswas"/>
    <s v="Private Retailer"/>
    <s v="9733902119"/>
    <n v="1"/>
    <n v="47"/>
    <x v="3"/>
    <m/>
    <s v="2026-03-04"/>
    <s v="280913"/>
    <s v="S.S.P Enterprise"/>
    <s v="9732669190"/>
  </r>
  <r>
    <s v="RCF Trombay"/>
    <s v="N.C.Urea(45kg)"/>
    <s v="WB"/>
    <x v="17"/>
    <s v="Krishnagar - I"/>
    <s v="User Not Mapped"/>
    <s v="User Not Mapped"/>
    <s v="User Not Mapped"/>
    <n v="826328"/>
    <s v="SUMANTRA BISWAS"/>
    <s v="Private Retailer"/>
    <s v="8250235363"/>
    <n v="0.54"/>
    <n v="245"/>
    <x v="1"/>
    <m/>
    <s v="2025-08-18"/>
    <s v="280913"/>
    <s v="S.S.P Enterprise"/>
    <s v="9732669190"/>
  </r>
  <r>
    <s v="RCF Thal"/>
    <s v="N.C.Urea(45kg)"/>
    <s v="WB"/>
    <x v="17"/>
    <m/>
    <s v="User Not Mapped"/>
    <s v="User Not Mapped"/>
    <s v="User Not Mapped"/>
    <n v="323578"/>
    <s v="Sushanta Ghosh"/>
    <s v="Private Retailer"/>
    <s v="9434193916"/>
    <n v="0.01"/>
    <n v="2147"/>
    <x v="2"/>
    <m/>
    <s v="2020-06-03"/>
    <s v="280913"/>
    <s v="S.S.P Enterprise"/>
    <s v="9732669190"/>
  </r>
  <r>
    <s v="RCF Trombay"/>
    <s v="15-15-15"/>
    <s v="WB"/>
    <x v="17"/>
    <s v="Chapra"/>
    <s v="User Not Mapped"/>
    <s v="User Not Mapped"/>
    <s v="User Not Mapped"/>
    <n v="427118"/>
    <s v="Tapas Kumar Saha"/>
    <s v="Private Retailer"/>
    <s v="9735473804"/>
    <n v="0.75"/>
    <n v="213"/>
    <x v="1"/>
    <m/>
    <s v="2025-09-19"/>
    <s v="280913"/>
    <s v="S.S.P Enterprise"/>
    <s v="9732669190"/>
  </r>
  <r>
    <s v="RCF Import"/>
    <s v="MOP"/>
    <s v="WB"/>
    <x v="17"/>
    <s v="Ranaghat - II"/>
    <s v="User Not Mapped"/>
    <s v="User Not Mapped"/>
    <s v="User Not Mapped"/>
    <n v="412388"/>
    <s v="Umesh Biswas "/>
    <s v="Private Retailer"/>
    <s v="8145236575"/>
    <n v="3.05"/>
    <n v="51"/>
    <x v="3"/>
    <m/>
    <s v="2026-02-28"/>
    <s v="1210862"/>
    <s v="S.S.P ENTERPRISE"/>
    <s v="9635197281"/>
  </r>
  <r>
    <s v="RCF Trombay"/>
    <s v="15-15-15"/>
    <s v="WB"/>
    <x v="17"/>
    <s v="Ranaghat - II"/>
    <s v="User Not Mapped"/>
    <s v="User Not Mapped"/>
    <s v="User Not Mapped"/>
    <n v="412388"/>
    <s v="Umesh Biswas "/>
    <s v="Private Retailer"/>
    <s v="8145236575"/>
    <n v="7.45"/>
    <n v="67"/>
    <x v="6"/>
    <m/>
    <s v="2026-02-12"/>
    <s v="1210862"/>
    <s v="S.S.P ENTERPRISE"/>
    <s v="9635197281"/>
  </r>
  <r>
    <s v="RCF Thal"/>
    <s v="N.C.Urea(45kg)"/>
    <s v="WB"/>
    <x v="17"/>
    <s v="Tehatta - II"/>
    <s v="User Not Mapped"/>
    <s v="User Not Mapped"/>
    <s v="User Not Mapped"/>
    <n v="895756"/>
    <s v="UTTAM BISWAS"/>
    <s v="Private Retailer"/>
    <s v="9733094687"/>
    <n v="0.04"/>
    <n v="1921"/>
    <x v="2"/>
    <m/>
    <s v="2021-01-15"/>
    <s v="280913"/>
    <s v="S.S.P Enterprise"/>
    <s v="9732669190"/>
  </r>
  <r>
    <s v="RCF Import"/>
    <s v="MOP"/>
    <s v="WB"/>
    <x v="17"/>
    <s v="Ranaghat - II"/>
    <s v="User Not Mapped"/>
    <s v="User Not Mapped"/>
    <s v="User Not Mapped"/>
    <n v="452367"/>
    <s v="Uttam Karmokar"/>
    <s v="Private Retailer"/>
    <s v="9733772588"/>
    <n v="0.2"/>
    <n v="479"/>
    <x v="0"/>
    <m/>
    <s v="2024-12-27"/>
    <s v="280913"/>
    <s v="S.S.P Enterprise"/>
    <s v="9732669190"/>
  </r>
  <r>
    <s v="RCF Thal"/>
    <s v="N.C.Urea(45kg)"/>
    <s v="WB"/>
    <x v="17"/>
    <s v="Chapra"/>
    <s v="User Not Mapped"/>
    <s v="User Not Mapped"/>
    <s v="User Not Mapped"/>
    <n v="440658"/>
    <s v="Abdul Mannan Shaikh"/>
    <s v="Private Retailer"/>
    <s v="8116281116"/>
    <n v="5.1749999999999998"/>
    <n v="13"/>
    <x v="5"/>
    <m/>
    <s v="2026-04-07"/>
    <s v="281284"/>
    <s v="Sadhan Kumar Ghosh"/>
    <s v="7602136568"/>
  </r>
  <r>
    <s v="RCF Thal"/>
    <s v="N.C.Urea(45kg)"/>
    <s v="WB"/>
    <x v="17"/>
    <s v="Chakdah"/>
    <s v="User Not Mapped"/>
    <s v="User Not Mapped"/>
    <s v="User Not Mapped"/>
    <n v="340785"/>
    <s v="Amit Biswas"/>
    <s v="Private Retailer"/>
    <s v="9800702675"/>
    <n v="3.8250000000000002"/>
    <n v="36"/>
    <x v="3"/>
    <m/>
    <s v="2026-03-15"/>
    <s v="281284"/>
    <s v="Sadhan Kumar Ghosh"/>
    <s v="7602136568"/>
  </r>
  <r>
    <s v="RCF Trombay"/>
    <s v="15-15-15"/>
    <s v="WB"/>
    <x v="17"/>
    <m/>
    <s v="User Not Mapped"/>
    <s v="User Not Mapped"/>
    <s v="User Not Mapped"/>
    <n v="340884"/>
    <s v="Arup Khan"/>
    <s v="Private Retailer"/>
    <s v="7001475829"/>
    <n v="0.35"/>
    <n v="285"/>
    <x v="1"/>
    <m/>
    <s v="2025-07-09"/>
    <s v="281284"/>
    <s v="Sadhan Kumar Ghosh"/>
    <s v="7602136568"/>
  </r>
  <r>
    <s v="RCF Thal"/>
    <s v="N.C.Urea(45kg)"/>
    <s v="WB"/>
    <x v="17"/>
    <s v="Krishnagar - I"/>
    <s v="User Not Mapped"/>
    <s v="User Not Mapped"/>
    <s v="User Not Mapped"/>
    <n v="439020"/>
    <s v="Ashimananda Ghosh"/>
    <s v="Private Retailer"/>
    <s v="8250452312"/>
    <n v="4.9950000000000001"/>
    <n v="8"/>
    <x v="5"/>
    <m/>
    <s v="2026-04-12"/>
    <s v="281284"/>
    <s v="Sadhan Kumar Ghosh"/>
    <s v="7602136568"/>
  </r>
  <r>
    <s v="RCF Import"/>
    <s v="MOP"/>
    <s v="WB"/>
    <x v="17"/>
    <s v="Krishnagar - I"/>
    <s v="User Not Mapped"/>
    <s v="User Not Mapped"/>
    <s v="User Not Mapped"/>
    <n v="439020"/>
    <s v="Ashimananda Ghosh"/>
    <s v="Private Retailer"/>
    <s v="8250452312"/>
    <n v="0.4"/>
    <n v="62"/>
    <x v="6"/>
    <m/>
    <s v="2026-02-17"/>
    <s v="281284"/>
    <s v="Sadhan Kumar Ghosh"/>
    <s v="7602136568"/>
  </r>
  <r>
    <s v="RCF Import"/>
    <s v="Imp 10-26-26"/>
    <s v="WB"/>
    <x v="17"/>
    <s v="Krishnagar - I"/>
    <s v="User Not Mapped"/>
    <s v="User Not Mapped"/>
    <s v="User Not Mapped"/>
    <n v="439020"/>
    <s v="Ashimananda Ghosh"/>
    <s v="Private Retailer"/>
    <s v="8250452312"/>
    <n v="1.25"/>
    <n v="14"/>
    <x v="5"/>
    <m/>
    <s v="2026-04-06"/>
    <s v="281284"/>
    <s v="Sadhan Kumar Ghosh"/>
    <s v="7602136568"/>
  </r>
  <r>
    <s v="RCF Thal"/>
    <s v="N.C.Urea(45kg)"/>
    <s v="WB"/>
    <x v="17"/>
    <s v="Krishnagar - I"/>
    <s v="User Not Mapped"/>
    <s v="User Not Mapped"/>
    <s v="User Not Mapped"/>
    <n v="439020"/>
    <s v="Ashimananda Ghosh"/>
    <s v="Private Retailer"/>
    <s v="8250452312"/>
    <n v="3.87"/>
    <n v="15"/>
    <x v="5"/>
    <m/>
    <s v="2026-04-05"/>
    <s v="281284"/>
    <s v="Sadhan Kumar Ghosh"/>
    <s v="7602136568"/>
  </r>
  <r>
    <s v="RCF Thal"/>
    <s v="N.C.Urea(45kg)"/>
    <s v="WB"/>
    <x v="17"/>
    <s v="Nakashipara"/>
    <s v="User Not Mapped"/>
    <s v="User Not Mapped"/>
    <s v="User Not Mapped"/>
    <n v="938965"/>
    <s v="BUDDHADEB SAHA"/>
    <s v="Private Retailer"/>
    <s v="8927045049"/>
    <n v="9.99"/>
    <n v="11"/>
    <x v="5"/>
    <m/>
    <s v="2026-04-09"/>
    <s v="281284"/>
    <s v="Sadhan Kumar Ghosh"/>
    <s v="7602136568"/>
  </r>
  <r>
    <s v="RCF Trombay"/>
    <s v="15-15-15"/>
    <s v="WB"/>
    <x v="17"/>
    <s v="Karimpur - I"/>
    <s v="User Not Mapped"/>
    <s v="User Not Mapped"/>
    <s v="User Not Mapped"/>
    <n v="464412"/>
    <s v="Dokari Mondol"/>
    <s v="Private Retailer"/>
    <s v="8670487768"/>
    <n v="1"/>
    <n v="862"/>
    <x v="2"/>
    <m/>
    <s v="2023-12-10"/>
    <s v="281284"/>
    <s v="Sadhan Kumar Ghosh"/>
    <s v="7602136568"/>
  </r>
  <r>
    <s v="RCF Trombay"/>
    <s v="N.C.Urea(45kg)"/>
    <s v="WB"/>
    <x v="17"/>
    <s v="Kaliganj"/>
    <s v="User Not Mapped"/>
    <s v="User Not Mapped"/>
    <s v="User Not Mapped"/>
    <n v="1020867"/>
    <s v="FULBAS SK"/>
    <s v="Private Retailer"/>
    <s v="7063554231"/>
    <n v="0.13500000000000001"/>
    <n v="524"/>
    <x v="0"/>
    <m/>
    <s v="2024-11-12"/>
    <s v="281284"/>
    <s v="Sadhan Kumar Ghosh"/>
    <s v="7602136568"/>
  </r>
  <r>
    <s v="RCF Thal"/>
    <s v="N.C.Urea(45kg)"/>
    <s v="WB"/>
    <x v="17"/>
    <s v="Krishnagar - I"/>
    <s v="User Not Mapped"/>
    <s v="User Not Mapped"/>
    <s v="User Not Mapped"/>
    <n v="272860"/>
    <s v="Garai Krishi Traders"/>
    <s v="Private Retailer"/>
    <s v="8170943929"/>
    <n v="7.83"/>
    <n v="15"/>
    <x v="5"/>
    <m/>
    <s v="2026-04-05"/>
    <s v="281284"/>
    <s v="Sadhan Kumar Ghosh"/>
    <s v="7602136568"/>
  </r>
  <r>
    <s v="RCF Import"/>
    <s v="MOP"/>
    <s v="WB"/>
    <x v="17"/>
    <s v="Krishnagar - I"/>
    <s v="User Not Mapped"/>
    <s v="User Not Mapped"/>
    <s v="User Not Mapped"/>
    <n v="836984"/>
    <s v="GOPAL MONDAL"/>
    <s v="Private Retailer"/>
    <s v="8158073124"/>
    <n v="0.2"/>
    <n v="46"/>
    <x v="3"/>
    <m/>
    <s v="2026-03-05"/>
    <s v="281284"/>
    <s v="Sadhan Kumar Ghosh"/>
    <s v="7602136568"/>
  </r>
  <r>
    <s v="RCF Thal"/>
    <s v="N.C.Urea(45kg)"/>
    <s v="WB"/>
    <x v="17"/>
    <s v="Krishnagar - I"/>
    <s v="User Not Mapped"/>
    <s v="User Not Mapped"/>
    <s v="User Not Mapped"/>
    <n v="836984"/>
    <s v="GOPAL MONDAL"/>
    <s v="Private Retailer"/>
    <s v="8158073124"/>
    <n v="1.08"/>
    <n v="40"/>
    <x v="3"/>
    <m/>
    <s v="2026-03-11"/>
    <s v="281284"/>
    <s v="Sadhan Kumar Ghosh"/>
    <s v="7602136568"/>
  </r>
  <r>
    <s v="RCF Trombay"/>
    <s v="N.C.Urea(45kg)"/>
    <s v="WB"/>
    <x v="17"/>
    <s v="Ranaghat - II"/>
    <s v="User Not Mapped"/>
    <s v="User Not Mapped"/>
    <s v="User Not Mapped"/>
    <n v="1059676"/>
    <s v="HEMAITPUR HAZRAPUR SKUS LTD"/>
    <s v="PACS"/>
    <s v="8391912548"/>
    <n v="1.35"/>
    <n v="66"/>
    <x v="6"/>
    <m/>
    <s v="2026-02-13"/>
    <s v="281284"/>
    <s v="Sadhan Kumar Ghosh"/>
    <s v="7602136568"/>
  </r>
  <r>
    <s v="RCF Trombay"/>
    <s v="15-15-15"/>
    <s v="WB"/>
    <x v="17"/>
    <s v="Krishnaganj"/>
    <s v="User Not Mapped"/>
    <s v="User Not Mapped"/>
    <s v="User Not Mapped"/>
    <n v="1062965"/>
    <s v="KRISHI BHABAN "/>
    <s v="Private Retailer"/>
    <s v="9679013898"/>
    <n v="1.1000000000000001"/>
    <n v="74"/>
    <x v="6"/>
    <m/>
    <s v="2026-02-05"/>
    <s v="281284"/>
    <s v="Sadhan Kumar Ghosh"/>
    <s v="7602136568"/>
  </r>
  <r>
    <s v="RCF Trombay"/>
    <s v="N.C.Urea(45kg)"/>
    <s v="WB"/>
    <x v="17"/>
    <s v="Chakdah"/>
    <s v="User Not Mapped"/>
    <s v="User Not Mapped"/>
    <s v="User Not Mapped"/>
    <n v="341602"/>
    <s v="M/S KAMAL BISWAS"/>
    <s v="Private Retailer"/>
    <s v="9733645039"/>
    <n v="8.91"/>
    <n v="51"/>
    <x v="3"/>
    <m/>
    <s v="2026-02-28"/>
    <s v="281284"/>
    <s v="Sadhan Kumar Ghosh"/>
    <s v="7602136568"/>
  </r>
  <r>
    <s v="RCF Thal"/>
    <s v="N.C.Urea(45kg)"/>
    <s v="WB"/>
    <x v="17"/>
    <s v="Chapra"/>
    <s v="User Not Mapped"/>
    <s v="User Not Mapped"/>
    <s v="User Not Mapped"/>
    <n v="1022868"/>
    <s v="MADON MOHAN GARAI"/>
    <s v="Private Retailer"/>
    <s v="9233043453"/>
    <n v="2.4750000000000001"/>
    <n v="13"/>
    <x v="5"/>
    <m/>
    <s v="2026-04-07"/>
    <s v="281284"/>
    <s v="Sadhan Kumar Ghosh"/>
    <s v="7602136568"/>
  </r>
  <r>
    <s v="RCF Import"/>
    <s v="Imp 10-26-26"/>
    <s v="WB"/>
    <x v="17"/>
    <s v="Chapra"/>
    <s v="User Not Mapped"/>
    <s v="User Not Mapped"/>
    <s v="User Not Mapped"/>
    <n v="341813"/>
    <s v="Mallick Fetilizer"/>
    <s v="Private Retailer"/>
    <s v="9153204422"/>
    <n v="1.1499999999999999"/>
    <n v="46"/>
    <x v="3"/>
    <m/>
    <s v="2026-03-05"/>
    <s v="281284"/>
    <s v="Sadhan Kumar Ghosh"/>
    <s v="7602136568"/>
  </r>
  <r>
    <s v="RCF Trombay"/>
    <s v="15-15-15"/>
    <s v="WB"/>
    <x v="17"/>
    <s v="Chapra"/>
    <s v="User Not Mapped"/>
    <s v="User Not Mapped"/>
    <s v="User Not Mapped"/>
    <n v="341813"/>
    <s v="Mallick Fetilizer"/>
    <s v="Private Retailer"/>
    <s v="9153204422"/>
    <n v="0.8"/>
    <n v="56"/>
    <x v="3"/>
    <m/>
    <s v="2026-02-23"/>
    <s v="281284"/>
    <s v="Sadhan Kumar Ghosh"/>
    <s v="7602136568"/>
  </r>
  <r>
    <s v="RCF Import"/>
    <s v="MOP"/>
    <s v="WB"/>
    <x v="17"/>
    <s v="Chapra"/>
    <s v="User Not Mapped"/>
    <s v="User Not Mapped"/>
    <s v="User Not Mapped"/>
    <n v="341813"/>
    <s v="Mallick Fetilizer"/>
    <s v="Private Retailer"/>
    <s v="9153204422"/>
    <n v="4.6500000000000004"/>
    <n v="62"/>
    <x v="6"/>
    <m/>
    <s v="2026-02-17"/>
    <s v="281284"/>
    <s v="Sadhan Kumar Ghosh"/>
    <s v="7602136568"/>
  </r>
  <r>
    <s v="RCF Trombay"/>
    <s v="N.C.Urea(45kg)"/>
    <s v="WB"/>
    <x v="17"/>
    <s v="Nakashipara"/>
    <s v="User Not Mapped"/>
    <s v="User Not Mapped"/>
    <s v="User Not Mapped"/>
    <n v="628983"/>
    <s v="Mintu Mandal"/>
    <s v="Private Retailer"/>
    <s v="7384398732"/>
    <n v="1.125"/>
    <n v="143"/>
    <x v="4"/>
    <m/>
    <s v="2025-11-28"/>
    <s v="281284"/>
    <s v="Sadhan Kumar Ghosh"/>
    <s v="7602136568"/>
  </r>
  <r>
    <s v="RCF Thal"/>
    <s v="N.C.Urea(45kg)"/>
    <s v="WB"/>
    <x v="17"/>
    <s v="Chapra"/>
    <s v="User Not Mapped"/>
    <s v="User Not Mapped"/>
    <s v="User Not Mapped"/>
    <n v="940916"/>
    <s v="MONDAL FERTILIZER"/>
    <s v="Private Retailer"/>
    <s v="7364096939"/>
    <n v="4.7249999999999996"/>
    <n v="13"/>
    <x v="5"/>
    <m/>
    <s v="2026-04-07"/>
    <s v="281284"/>
    <s v="Sadhan Kumar Ghosh"/>
    <s v="7602136568"/>
  </r>
  <r>
    <s v="RCF Trombay"/>
    <s v="15-15-15"/>
    <s v="WB"/>
    <x v="17"/>
    <s v="Chapra"/>
    <s v="User Not Mapped"/>
    <s v="User Not Mapped"/>
    <s v="User Not Mapped"/>
    <n v="1062967"/>
    <s v="MONDAL FERTILIZER"/>
    <s v="Private Retailer"/>
    <s v="9734584828"/>
    <n v="0.35"/>
    <n v="235"/>
    <x v="1"/>
    <m/>
    <s v="2025-08-28"/>
    <s v="281284"/>
    <s v="Sadhan Kumar Ghosh"/>
    <s v="7602136568"/>
  </r>
  <r>
    <s v="RCF Trombay"/>
    <s v="15-15-15"/>
    <s v="WB"/>
    <x v="17"/>
    <s v="Chapra"/>
    <s v="User Not Mapped"/>
    <s v="User Not Mapped"/>
    <s v="User Not Mapped"/>
    <n v="1063114"/>
    <s v="MONORANJAN GHOSH FERTILIZER"/>
    <s v="Private Retailer"/>
    <s v="6295578212"/>
    <n v="0.25"/>
    <n v="1165"/>
    <x v="2"/>
    <m/>
    <s v="2023-02-10"/>
    <s v="281284"/>
    <s v="Sadhan Kumar Ghosh"/>
    <s v="7602136568"/>
  </r>
  <r>
    <s v="RCF Import"/>
    <s v="MOP"/>
    <s v="WB"/>
    <x v="17"/>
    <s v="Hanskhali"/>
    <s v="User Not Mapped"/>
    <s v="User Not Mapped"/>
    <s v="User Not Mapped"/>
    <n v="1057745"/>
    <s v="MS BISHNU PADA DEWAN"/>
    <s v="Private Retailer"/>
    <s v="9932619266"/>
    <n v="0.2"/>
    <n v="56"/>
    <x v="3"/>
    <m/>
    <s v="2026-02-23"/>
    <s v="281284"/>
    <s v="Sadhan Kumar Ghosh"/>
    <s v="7602136568"/>
  </r>
  <r>
    <s v="RCF Import"/>
    <s v="MOP"/>
    <s v="WB"/>
    <x v="17"/>
    <s v="Hanskhali"/>
    <s v="User Not Mapped"/>
    <s v="User Not Mapped"/>
    <s v="User Not Mapped"/>
    <n v="1057745"/>
    <s v="MS BISHNU PADA DEWAN"/>
    <s v="Private Retailer"/>
    <s v="9932619266"/>
    <n v="4"/>
    <n v="46"/>
    <x v="3"/>
    <m/>
    <s v="2026-03-05"/>
    <s v="281284"/>
    <s v="Sadhan Kumar Ghosh"/>
    <s v="7602136568"/>
  </r>
  <r>
    <s v="RCF Thal"/>
    <s v="N.C.Urea(45kg)"/>
    <s v="WB"/>
    <x v="17"/>
    <s v="Hanskhali"/>
    <s v="User Not Mapped"/>
    <s v="User Not Mapped"/>
    <s v="User Not Mapped"/>
    <n v="1057745"/>
    <s v="MS BISHNU PADA DEWAN"/>
    <s v="Private Retailer"/>
    <s v="9932619266"/>
    <n v="6.3"/>
    <n v="37"/>
    <x v="3"/>
    <m/>
    <s v="2026-03-14"/>
    <s v="281284"/>
    <s v="Sadhan Kumar Ghosh"/>
    <s v="7602136568"/>
  </r>
  <r>
    <s v="RCF Trombay"/>
    <s v="15-15-15"/>
    <s v="WB"/>
    <x v="17"/>
    <s v="Krishnaganj"/>
    <s v="User Not Mapped"/>
    <s v="User Not Mapped"/>
    <s v="User Not Mapped"/>
    <n v="487606"/>
    <s v="New Probir Biswas"/>
    <s v="Private Retailer"/>
    <s v="9434800014"/>
    <n v="2.2000000000000002"/>
    <n v="56"/>
    <x v="3"/>
    <m/>
    <s v="2026-02-23"/>
    <s v="281284"/>
    <s v="Sadhan Kumar Ghosh"/>
    <s v="7602136568"/>
  </r>
  <r>
    <s v="RCF Thal"/>
    <s v="N.C.Urea(45kg)"/>
    <s v="WB"/>
    <x v="17"/>
    <s v="Krishnaganj"/>
    <s v="User Not Mapped"/>
    <s v="User Not Mapped"/>
    <s v="User Not Mapped"/>
    <n v="487606"/>
    <s v="New Probir Biswas"/>
    <s v="Private Retailer"/>
    <s v="9434800014"/>
    <n v="5.49"/>
    <n v="39"/>
    <x v="3"/>
    <m/>
    <s v="2026-03-12"/>
    <s v="281284"/>
    <s v="Sadhan Kumar Ghosh"/>
    <s v="7602136568"/>
  </r>
  <r>
    <s v="RCF Trombay"/>
    <s v="15-15-15"/>
    <s v="WB"/>
    <x v="17"/>
    <s v="Krishnaganj"/>
    <s v="User Not Mapped"/>
    <s v="User Not Mapped"/>
    <s v="User Not Mapped"/>
    <n v="919965"/>
    <s v="PARIMAL BISWAS"/>
    <s v="Private Retailer"/>
    <s v="9547284054"/>
    <n v="2.2400000000000002"/>
    <n v="84"/>
    <x v="6"/>
    <m/>
    <s v="2026-01-26"/>
    <s v="281284"/>
    <s v="Sadhan Kumar Ghosh"/>
    <s v="7602136568"/>
  </r>
  <r>
    <s v="RCF Thal"/>
    <s v="N.C.Urea(45kg)"/>
    <s v="WB"/>
    <x v="17"/>
    <s v="Krishnaganj"/>
    <s v="User Not Mapped"/>
    <s v="User Not Mapped"/>
    <s v="User Not Mapped"/>
    <n v="323532"/>
    <s v="Pravash Ch. Biswas"/>
    <s v="Private Retailer"/>
    <s v="9609467078"/>
    <n v="0.63"/>
    <n v="39"/>
    <x v="3"/>
    <m/>
    <s v="2026-03-12"/>
    <s v="281284"/>
    <s v="Sadhan Kumar Ghosh"/>
    <s v="7602136568"/>
  </r>
  <r>
    <s v="RCF Import"/>
    <s v="MOP"/>
    <s v="WB"/>
    <x v="17"/>
    <s v="Krishnagar - I"/>
    <s v="User Not Mapped"/>
    <s v="User Not Mapped"/>
    <s v="User Not Mapped"/>
    <n v="515006"/>
    <s v="Ratan Biswas"/>
    <s v="Private Retailer"/>
    <s v="9734639427"/>
    <n v="5"/>
    <n v="34"/>
    <x v="3"/>
    <m/>
    <s v="2026-03-17"/>
    <s v="281284"/>
    <s v="Sadhan Kumar Ghosh"/>
    <s v="7602136568"/>
  </r>
  <r>
    <s v="RCF Trombay"/>
    <s v="15-15-15"/>
    <s v="WB"/>
    <x v="17"/>
    <s v="Krishnaganj"/>
    <s v="User Not Mapped"/>
    <s v="User Not Mapped"/>
    <s v="User Not Mapped"/>
    <n v="797169"/>
    <s v="RUPAM KRISHI BIPANI"/>
    <s v="Private Retailer"/>
    <s v="9475102811"/>
    <n v="0.1"/>
    <n v="803"/>
    <x v="2"/>
    <m/>
    <s v="2024-02-07"/>
    <s v="281284"/>
    <s v="Sadhan Kumar Ghosh"/>
    <s v="7602136568"/>
  </r>
  <r>
    <s v="RCF Import"/>
    <s v="MOP"/>
    <s v="WB"/>
    <x v="17"/>
    <s v="Krishnagar - I"/>
    <s v="User Not Mapped"/>
    <s v="User Not Mapped"/>
    <s v="User Not Mapped"/>
    <n v="356110"/>
    <s v="Sadhan  Kr  Ghosh"/>
    <s v="Private Retailer"/>
    <s v="9800903969"/>
    <n v="1.25"/>
    <n v="15"/>
    <x v="5"/>
    <m/>
    <s v="2026-04-05"/>
    <s v="281284"/>
    <s v="Sadhan Kumar Ghosh"/>
    <s v="7602136568"/>
  </r>
  <r>
    <s v="RCF Trombay"/>
    <s v="15-15-15"/>
    <s v="WB"/>
    <x v="17"/>
    <s v="Chakdah"/>
    <s v="User Not Mapped"/>
    <s v="User Not Mapped"/>
    <s v="User Not Mapped"/>
    <n v="941272"/>
    <s v="SANKAR BISWAS"/>
    <s v="Private Retailer"/>
    <s v="9832244658"/>
    <n v="0.23"/>
    <n v="598"/>
    <x v="2"/>
    <m/>
    <s v="2024-08-30"/>
    <s v="281284"/>
    <s v="Sadhan Kumar Ghosh"/>
    <s v="7602136568"/>
  </r>
  <r>
    <s v="RCF Import"/>
    <s v="Imp 10-26-26"/>
    <s v="WB"/>
    <x v="17"/>
    <s v="Krishnagar - I"/>
    <s v="User Not Mapped"/>
    <s v="User Not Mapped"/>
    <s v="User Not Mapped"/>
    <n v="1017514"/>
    <s v="SARKAR FERTILIZER"/>
    <s v="Private Retailer"/>
    <s v="9734065692"/>
    <n v="2.5"/>
    <n v="2"/>
    <x v="5"/>
    <m/>
    <s v="2026-04-18"/>
    <s v="281284"/>
    <s v="Sadhan Kumar Ghosh"/>
    <s v="7602136568"/>
  </r>
  <r>
    <s v="RCF Thal"/>
    <s v="N.C.Urea(45kg)"/>
    <s v="WB"/>
    <x v="17"/>
    <s v="Chapra"/>
    <s v="User Not Mapped"/>
    <s v="User Not Mapped"/>
    <s v="User Not Mapped"/>
    <n v="356129"/>
    <s v="Sekh and Sons"/>
    <s v="Private Retailer"/>
    <s v="8509836692"/>
    <n v="2.2949999999999999"/>
    <n v="13"/>
    <x v="5"/>
    <m/>
    <s v="2026-04-07"/>
    <s v="281284"/>
    <s v="Sadhan Kumar Ghosh"/>
    <s v="7602136568"/>
  </r>
  <r>
    <s v="RCF Trombay"/>
    <s v="15-15-15"/>
    <s v="WB"/>
    <x v="17"/>
    <s v="Krishnagar - I"/>
    <s v="User Not Mapped"/>
    <s v="User Not Mapped"/>
    <s v="User Not Mapped"/>
    <n v="1063064"/>
    <s v="SUBHAS CHAKRABORTY"/>
    <s v="Private Retailer"/>
    <s v="9475113365"/>
    <n v="0.1"/>
    <n v="1268"/>
    <x v="2"/>
    <m/>
    <s v="2022-10-30"/>
    <s v="281284"/>
    <s v="Sadhan Kumar Ghosh"/>
    <s v="7602136568"/>
  </r>
  <r>
    <s v="RCF Thal"/>
    <s v="N.C.Urea(45kg)"/>
    <s v="WB"/>
    <x v="17"/>
    <s v="Krishnagar - I"/>
    <s v="User Not Mapped"/>
    <s v="User Not Mapped"/>
    <s v="User Not Mapped"/>
    <n v="1063064"/>
    <s v="SUBHAS CHAKRABORTY"/>
    <s v="Private Retailer"/>
    <s v="9475113365"/>
    <n v="2.6549999999999998"/>
    <n v="1195"/>
    <x v="2"/>
    <m/>
    <s v="2023-01-11"/>
    <s v="281284"/>
    <s v="Sadhan Kumar Ghosh"/>
    <s v="7602136568"/>
  </r>
  <r>
    <s v="RCF Trombay"/>
    <s v="15-15-15"/>
    <s v="WB"/>
    <x v="17"/>
    <s v="Krishnagar - I"/>
    <s v="User Not Mapped"/>
    <s v="User Not Mapped"/>
    <s v="User Not Mapped"/>
    <n v="1063064"/>
    <s v="SUBHAS CHAKRABORTY"/>
    <s v="Private Retailer"/>
    <s v="9475113365"/>
    <n v="0.5"/>
    <n v="1249"/>
    <x v="2"/>
    <m/>
    <s v="2022-11-18"/>
    <s v="281284"/>
    <s v="Sadhan Kumar Ghosh"/>
    <s v="7602136568"/>
  </r>
  <r>
    <s v="RCF Thal"/>
    <s v="N.C.Urea(45kg)"/>
    <s v="WB"/>
    <x v="17"/>
    <s v="Krishnagar - II"/>
    <s v="User Not Mapped"/>
    <s v="User Not Mapped"/>
    <s v="User Not Mapped"/>
    <n v="690327"/>
    <s v="SUKUMAR MONDAL"/>
    <s v="Private Retailer"/>
    <s v="9474595744"/>
    <n v="9.99"/>
    <n v="15"/>
    <x v="5"/>
    <m/>
    <s v="2026-04-05"/>
    <s v="281284"/>
    <s v="Sadhan Kumar Ghosh"/>
    <s v="7602136568"/>
  </r>
  <r>
    <s v="RCF Trombay"/>
    <s v="N.C.Urea(45kg)"/>
    <s v="WB"/>
    <x v="17"/>
    <s v="Krishnagar - I"/>
    <s v="User Not Mapped"/>
    <s v="User Not Mapped"/>
    <s v="User Not Mapped"/>
    <n v="826328"/>
    <s v="SUMANTRA BISWAS"/>
    <s v="Private Retailer"/>
    <s v="8250235363"/>
    <n v="2.7"/>
    <n v="56"/>
    <x v="3"/>
    <m/>
    <s v="2026-02-23"/>
    <s v="281284"/>
    <s v="Sadhan Kumar Ghosh"/>
    <s v="7602136568"/>
  </r>
  <r>
    <s v="RCF Trombay"/>
    <s v="N.C.Urea(45kg)"/>
    <s v="WB"/>
    <x v="17"/>
    <s v="Nakashipara"/>
    <s v="User Not Mapped"/>
    <s v="User Not Mapped"/>
    <s v="User Not Mapped"/>
    <n v="939985"/>
    <s v="YEAKUB SARKAR"/>
    <s v="Private Retailer"/>
    <s v="8250557175"/>
    <n v="4.4999999999999998E-2"/>
    <n v="428"/>
    <x v="0"/>
    <m/>
    <s v="2025-02-16"/>
    <s v="281284"/>
    <s v="Sadhan Kumar Ghosh"/>
    <s v="7602136568"/>
  </r>
  <r>
    <s v="RCF Import"/>
    <s v="Imp 10-26-26"/>
    <s v="WB"/>
    <x v="17"/>
    <s v="Chakdah"/>
    <s v="User Not Mapped"/>
    <s v="User Not Mapped"/>
    <s v="User Not Mapped"/>
    <n v="941650"/>
    <s v="DIDAR BOX MONDAL"/>
    <s v="Private Retailer"/>
    <s v="8017613180"/>
    <n v="0.25"/>
    <n v="309"/>
    <x v="1"/>
    <m/>
    <s v="2025-06-15"/>
    <s v="1222703"/>
    <s v="SANDIP CHANDA"/>
    <s v="9232773990"/>
  </r>
  <r>
    <s v="RCF Trombay"/>
    <s v="15-15-15"/>
    <s v="WB"/>
    <x v="17"/>
    <s v="Ranaghat - II"/>
    <s v="User Not Mapped"/>
    <s v="User Not Mapped"/>
    <s v="User Not Mapped"/>
    <n v="498176"/>
    <s v="M/S Swapan Biswas"/>
    <s v="Private Retailer"/>
    <s v="7679780430"/>
    <n v="0.75"/>
    <n v="123"/>
    <x v="4"/>
    <m/>
    <s v="2025-12-18"/>
    <s v="1222703"/>
    <s v="SANDIP CHANDA"/>
    <s v="9232773990"/>
  </r>
  <r>
    <s v="RCF Trombay"/>
    <s v="15-15-15"/>
    <s v="WB"/>
    <x v="17"/>
    <s v="Ranaghat - II"/>
    <s v="User Not Mapped"/>
    <s v="User Not Mapped"/>
    <s v="User Not Mapped"/>
    <n v="498176"/>
    <s v="M/S Swapan Biswas"/>
    <s v="Private Retailer"/>
    <s v="7679780430"/>
    <n v="0.25"/>
    <n v="217"/>
    <x v="1"/>
    <m/>
    <s v="2025-09-15"/>
    <s v="1222703"/>
    <s v="SANDIP CHANDA"/>
    <s v="9232773990"/>
  </r>
  <r>
    <s v="RCF Trombay"/>
    <s v="15-15-15"/>
    <s v="WB"/>
    <x v="17"/>
    <s v="Chakdah"/>
    <s v="User Not Mapped"/>
    <s v="User Not Mapped"/>
    <s v="User Not Mapped"/>
    <n v="341766"/>
    <s v="Madan Mohan Biswas"/>
    <s v="Private Retailer"/>
    <s v="9800014353"/>
    <n v="0.1"/>
    <n v="95"/>
    <x v="7"/>
    <m/>
    <s v="2026-01-15"/>
    <s v="1222703"/>
    <s v="SANDIP CHANDA"/>
    <s v="9232773990"/>
  </r>
  <r>
    <s v="RCF Trombay"/>
    <s v="15-15-15"/>
    <s v="WB"/>
    <x v="17"/>
    <s v="Chakdah"/>
    <s v="User Not Mapped"/>
    <s v="User Not Mapped"/>
    <s v="User Not Mapped"/>
    <n v="341766"/>
    <s v="Madan Mohan Biswas"/>
    <s v="Private Retailer"/>
    <s v="9800014353"/>
    <n v="0.15"/>
    <n v="123"/>
    <x v="4"/>
    <m/>
    <s v="2025-12-18"/>
    <s v="1222703"/>
    <s v="SANDIP CHANDA"/>
    <s v="9232773990"/>
  </r>
  <r>
    <s v="RCF Trombay"/>
    <s v="15-15-15"/>
    <s v="WB"/>
    <x v="17"/>
    <s v="Chakdah"/>
    <s v="User Not Mapped"/>
    <s v="User Not Mapped"/>
    <s v="User Not Mapped"/>
    <n v="488402"/>
    <s v="MS Sasti Biswas"/>
    <s v="Private Retailer"/>
    <s v="9153512595"/>
    <n v="0.08"/>
    <n v="429"/>
    <x v="0"/>
    <m/>
    <s v="2025-02-15"/>
    <s v="1222703"/>
    <s v="SANDIP CHANDA"/>
    <s v="9232773990"/>
  </r>
  <r>
    <s v="RCF Trombay"/>
    <s v="15-15-15"/>
    <s v="WB"/>
    <x v="17"/>
    <s v="Chakdah"/>
    <s v="User Not Mapped"/>
    <s v="User Not Mapped"/>
    <s v="User Not Mapped"/>
    <n v="1061912"/>
    <s v="SUSHIL CHANDRA CHANDA"/>
    <s v="Private Retailer"/>
    <s v="9153696476"/>
    <n v="2.1440000000000001"/>
    <n v="101"/>
    <x v="7"/>
    <m/>
    <s v="2026-01-09"/>
    <s v="1222703"/>
    <s v="SANDIP CHANDA"/>
    <s v="9232773990"/>
  </r>
  <r>
    <s v="RCF Import"/>
    <s v="Imp 10-26-26"/>
    <s v="WB"/>
    <x v="17"/>
    <s v="Ranaghat - II"/>
    <s v="User Not Mapped"/>
    <s v="User Not Mapped"/>
    <s v="User Not Mapped"/>
    <n v="1561715"/>
    <s v="SUVANKAR DAS"/>
    <s v="Private Retailer"/>
    <s v="6294337522"/>
    <n v="0.2"/>
    <n v="264"/>
    <x v="1"/>
    <m/>
    <s v="2025-07-30"/>
    <s v="1222703"/>
    <s v="SANDIP CHANDA"/>
    <s v="9232773990"/>
  </r>
  <r>
    <s v="RCF Trombay"/>
    <s v="15-15-15"/>
    <s v="WB"/>
    <x v="17"/>
    <s v="Ranaghat - II"/>
    <s v="User Not Mapped"/>
    <s v="User Not Mapped"/>
    <s v="User Not Mapped"/>
    <n v="1561715"/>
    <s v="SUVANKAR DAS"/>
    <s v="Private Retailer"/>
    <s v="6294337522"/>
    <n v="0.25"/>
    <n v="217"/>
    <x v="1"/>
    <m/>
    <s v="2025-09-15"/>
    <s v="1222703"/>
    <s v="SANDIP CHANDA"/>
    <s v="9232773990"/>
  </r>
  <r>
    <s v="RCF Trombay"/>
    <s v="15-15-15"/>
    <s v="WB"/>
    <x v="17"/>
    <s v="Karimpur - II"/>
    <s v="User Not Mapped"/>
    <s v="User Not Mapped"/>
    <s v="User Not Mapped"/>
    <n v="1139893"/>
    <s v="MD ANARUL MANDAL"/>
    <s v="Private Retailer"/>
    <s v="9735132725"/>
    <n v="3.2"/>
    <n v="1554"/>
    <x v="2"/>
    <m/>
    <s v="2022-01-17"/>
    <s v="1051516"/>
    <s v="SANTOSH KUMAR BISWAS"/>
    <s v="9153398386"/>
  </r>
  <r>
    <s v="RCF Trombay"/>
    <s v="15-15-15"/>
    <s v="WB"/>
    <x v="17"/>
    <s v="Krishnaganj"/>
    <s v="User Not Mapped"/>
    <s v="User Not Mapped"/>
    <s v="User Not Mapped"/>
    <n v="606351"/>
    <s v="BISWAS FERTILISER"/>
    <s v="Private Retailer"/>
    <s v="9474340663"/>
    <n v="0.1"/>
    <n v="332"/>
    <x v="1"/>
    <m/>
    <s v="2025-05-23"/>
    <s v="1005236"/>
    <s v="SASANKA SEKHAR KUNDU"/>
    <s v="8250640930"/>
  </r>
  <r>
    <s v="RCF Import"/>
    <s v="MOP"/>
    <s v="WB"/>
    <x v="17"/>
    <s v="Hanskhali"/>
    <s v="User Not Mapped"/>
    <s v="User Not Mapped"/>
    <s v="User Not Mapped"/>
    <n v="1370989"/>
    <s v="BISWAS FERTILIZER"/>
    <s v="Private Retailer"/>
    <s v="9732452183"/>
    <n v="5"/>
    <n v="17"/>
    <x v="5"/>
    <m/>
    <s v="2026-04-03"/>
    <s v="1005236"/>
    <s v="SASANKA SEKHAR KUNDU"/>
    <s v="8250640930"/>
  </r>
  <r>
    <s v="RCF Trombay"/>
    <s v="15-15-15"/>
    <s v="WB"/>
    <x v="17"/>
    <s v="Krishnaganj"/>
    <s v="User Not Mapped"/>
    <s v="User Not Mapped"/>
    <s v="User Not Mapped"/>
    <n v="918930"/>
    <s v="DINBANDHU BISWAS"/>
    <s v="Private Retailer"/>
    <s v="9933712833"/>
    <n v="0.2"/>
    <n v="337"/>
    <x v="1"/>
    <m/>
    <s v="2025-05-18"/>
    <s v="1005236"/>
    <s v="SASANKA SEKHAR KUNDU"/>
    <s v="8250640930"/>
  </r>
  <r>
    <s v="RCF Import"/>
    <s v="MOP"/>
    <s v="WB"/>
    <x v="17"/>
    <s v="Krishnaganj"/>
    <s v="User Not Mapped"/>
    <s v="User Not Mapped"/>
    <s v="User Not Mapped"/>
    <n v="919846"/>
    <s v="MONDAL FARTILIZER PROP GOUTAM "/>
    <s v="Private Retailer"/>
    <s v="8926045652"/>
    <n v="0.25"/>
    <n v="9"/>
    <x v="5"/>
    <m/>
    <s v="2026-04-11"/>
    <s v="1005236"/>
    <s v="SASANKA SEKHAR KUNDU"/>
    <s v="8250640930"/>
  </r>
  <r>
    <s v="RCF Trombay"/>
    <s v="N.C.Urea(45kg)"/>
    <s v="WB"/>
    <x v="17"/>
    <s v="Krishnaganj"/>
    <s v="User Not Mapped"/>
    <s v="User Not Mapped"/>
    <s v="User Not Mapped"/>
    <n v="919920"/>
    <s v="NEW SARKAR FERTILIZER PROP TAP"/>
    <s v="Private Retailer"/>
    <s v="8436673275"/>
    <n v="4.4999999999999998E-2"/>
    <n v="548"/>
    <x v="2"/>
    <m/>
    <s v="2024-10-19"/>
    <s v="1005236"/>
    <s v="SASANKA SEKHAR KUNDU"/>
    <s v="8250640930"/>
  </r>
  <r>
    <s v="RCF Trombay"/>
    <s v="15-15-15"/>
    <s v="WB"/>
    <x v="17"/>
    <s v="Krishnaganj"/>
    <s v="User Not Mapped"/>
    <s v="User Not Mapped"/>
    <s v="User Not Mapped"/>
    <n v="919920"/>
    <s v="NEW SARKAR FERTILIZER PROP TAP"/>
    <s v="Private Retailer"/>
    <s v="8436673275"/>
    <n v="0.2"/>
    <n v="337"/>
    <x v="1"/>
    <m/>
    <s v="2025-05-18"/>
    <s v="1005236"/>
    <s v="SASANKA SEKHAR KUNDU"/>
    <s v="8250640930"/>
  </r>
  <r>
    <s v="RCF Trombay"/>
    <s v="15-15-15"/>
    <s v="WB"/>
    <x v="17"/>
    <s v="Krishnaganj"/>
    <s v="User Not Mapped"/>
    <s v="User Not Mapped"/>
    <s v="User Not Mapped"/>
    <n v="919920"/>
    <s v="NEW SARKAR FERTILIZER PROP TAP"/>
    <s v="Private Retailer"/>
    <s v="8436673275"/>
    <n v="0.15"/>
    <n v="561"/>
    <x v="2"/>
    <m/>
    <s v="2024-10-06"/>
    <s v="1005236"/>
    <s v="SASANKA SEKHAR KUNDU"/>
    <s v="8250640930"/>
  </r>
  <r>
    <s v="RCF Trombay"/>
    <s v="15-15-15"/>
    <s v="WB"/>
    <x v="17"/>
    <s v="Krishnaganj"/>
    <s v="User Not Mapped"/>
    <s v="User Not Mapped"/>
    <s v="User Not Mapped"/>
    <n v="456762"/>
    <s v="Shashadhar Biswas"/>
    <s v="Private Retailer"/>
    <s v="9733874412"/>
    <n v="0.35"/>
    <n v="345"/>
    <x v="1"/>
    <m/>
    <s v="2025-05-10"/>
    <s v="1005236"/>
    <s v="SASANKA SEKHAR KUNDU"/>
    <s v="8250640930"/>
  </r>
  <r>
    <s v="RCF Import"/>
    <s v="MOP"/>
    <s v="WB"/>
    <x v="17"/>
    <s v="Krishnaganj"/>
    <s v="User Not Mapped"/>
    <s v="User Not Mapped"/>
    <s v="User Not Mapped"/>
    <n v="456762"/>
    <s v="Shashadhar Biswas"/>
    <s v="Private Retailer"/>
    <s v="9733874412"/>
    <n v="0.25"/>
    <n v="12"/>
    <x v="5"/>
    <m/>
    <s v="2026-04-08"/>
    <s v="1005236"/>
    <s v="SASANKA SEKHAR KUNDU"/>
    <s v="8250640930"/>
  </r>
  <r>
    <s v="RCF Thal"/>
    <s v="N.C.Urea(45kg)"/>
    <s v="WB"/>
    <x v="17"/>
    <s v="Chapra"/>
    <s v="User Not Mapped"/>
    <s v="User Not Mapped"/>
    <s v="User Not Mapped"/>
    <n v="440658"/>
    <s v="Abdul Mannan Shaikh"/>
    <s v="Private Retailer"/>
    <s v="8116281116"/>
    <n v="2.25"/>
    <n v="11"/>
    <x v="5"/>
    <m/>
    <s v="2026-04-09"/>
    <s v="260177"/>
    <s v="SatyaRanjan Kundu and Brothers"/>
    <s v="7908186730"/>
  </r>
  <r>
    <s v="RCF Trombay"/>
    <s v="15-15-15"/>
    <s v="WB"/>
    <x v="17"/>
    <s v="Chakdah"/>
    <s v="User Not Mapped"/>
    <s v="User Not Mapped"/>
    <s v="User Not Mapped"/>
    <n v="340675"/>
    <s v="Abdul Ohab Mondal"/>
    <s v="Private Retailer"/>
    <s v="9126211877"/>
    <n v="0.5"/>
    <n v="53"/>
    <x v="3"/>
    <m/>
    <s v="2026-02-26"/>
    <s v="260177"/>
    <s v="SatyaRanjan Kundu and Brothers"/>
    <s v="7908186730"/>
  </r>
  <r>
    <s v="RCF Import"/>
    <s v="MOP"/>
    <s v="WB"/>
    <x v="17"/>
    <s v="Chakdah"/>
    <s v="User Not Mapped"/>
    <s v="User Not Mapped"/>
    <s v="User Not Mapped"/>
    <n v="340675"/>
    <s v="Abdul Ohab Mondal"/>
    <s v="Private Retailer"/>
    <s v="9126211877"/>
    <n v="5"/>
    <n v="21"/>
    <x v="5"/>
    <m/>
    <s v="2026-03-30"/>
    <s v="260177"/>
    <s v="SatyaRanjan Kundu and Brothers"/>
    <s v="7908186730"/>
  </r>
  <r>
    <s v="RCF Thal"/>
    <s v="N.C.Urea(45kg)"/>
    <s v="WB"/>
    <x v="17"/>
    <s v="Chakdah"/>
    <s v="User Not Mapped"/>
    <s v="User Not Mapped"/>
    <s v="User Not Mapped"/>
    <n v="340675"/>
    <s v="Abdul Ohab Mondal"/>
    <s v="Private Retailer"/>
    <s v="9126211877"/>
    <n v="9.98"/>
    <n v="38"/>
    <x v="3"/>
    <m/>
    <s v="2026-03-13"/>
    <s v="260177"/>
    <s v="SatyaRanjan Kundu and Brothers"/>
    <s v="7908186730"/>
  </r>
  <r>
    <s v="RCF Import"/>
    <s v="MOP"/>
    <s v="WB"/>
    <x v="17"/>
    <s v="Chakdah"/>
    <s v="User Not Mapped"/>
    <s v="User Not Mapped"/>
    <s v="User Not Mapped"/>
    <n v="340675"/>
    <s v="Abdul Ohab Mondal"/>
    <s v="Private Retailer"/>
    <s v="9126211877"/>
    <n v="3.2"/>
    <n v="55"/>
    <x v="3"/>
    <m/>
    <s v="2026-02-24"/>
    <s v="260177"/>
    <s v="SatyaRanjan Kundu and Brothers"/>
    <s v="7908186730"/>
  </r>
  <r>
    <s v="RCF Trombay"/>
    <s v="15-15-15"/>
    <s v="WB"/>
    <x v="17"/>
    <s v="Haringhata"/>
    <s v="User Not Mapped"/>
    <s v="User Not Mapped"/>
    <s v="User Not Mapped"/>
    <n v="226095"/>
    <s v="Adhir Chandra Das"/>
    <s v="Private Retailer"/>
    <s v="8116877031"/>
    <n v="9.65"/>
    <n v="52"/>
    <x v="3"/>
    <m/>
    <s v="2026-02-27"/>
    <s v="260177"/>
    <s v="SatyaRanjan Kundu and Brothers"/>
    <s v="7908186730"/>
  </r>
  <r>
    <s v="RCF Thal"/>
    <s v="N.C.Urea(45kg)"/>
    <s v="WB"/>
    <x v="17"/>
    <s v="Haringhata"/>
    <s v="User Not Mapped"/>
    <s v="User Not Mapped"/>
    <s v="User Not Mapped"/>
    <n v="226095"/>
    <s v="Adhir Chandra Das"/>
    <s v="Private Retailer"/>
    <s v="8116877031"/>
    <n v="9.7200000000000006"/>
    <n v="14"/>
    <x v="5"/>
    <m/>
    <s v="2026-04-06"/>
    <s v="260177"/>
    <s v="SatyaRanjan Kundu and Brothers"/>
    <s v="7908186730"/>
  </r>
  <r>
    <s v="RCF Trombay"/>
    <s v="N.C.Urea(45kg)"/>
    <s v="WB"/>
    <x v="17"/>
    <s v="Tehatta - I"/>
    <s v="User Not Mapped"/>
    <s v="User Not Mapped"/>
    <s v="User Not Mapped"/>
    <n v="411632"/>
    <s v="Adhir Kr GhoshandSujit Ghosh "/>
    <s v="Private Retailer"/>
    <s v="9732653982"/>
    <n v="4.7249999999999996"/>
    <n v="530"/>
    <x v="0"/>
    <m/>
    <s v="2024-11-06"/>
    <s v="260177"/>
    <s v="SatyaRanjan Kundu and Brothers"/>
    <s v="7908186730"/>
  </r>
  <r>
    <s v="RCF Trombay"/>
    <s v="15-15-15"/>
    <s v="WB"/>
    <x v="17"/>
    <s v="Krishnagar - II"/>
    <s v="User Not Mapped"/>
    <s v="User Not Mapped"/>
    <s v="User Not Mapped"/>
    <n v="464352"/>
    <s v="Alibaddin Shaikh"/>
    <s v="Private Retailer"/>
    <s v="9475489667"/>
    <n v="9.8000000000000007"/>
    <n v="84"/>
    <x v="6"/>
    <m/>
    <s v="2026-01-26"/>
    <s v="260177"/>
    <s v="SatyaRanjan Kundu and Brothers"/>
    <s v="7908186730"/>
  </r>
  <r>
    <s v="RCF Trombay"/>
    <s v="N.C.Urea(45kg)"/>
    <s v="WB"/>
    <x v="17"/>
    <s v="Krishnagar - II"/>
    <s v="User Not Mapped"/>
    <s v="User Not Mapped"/>
    <s v="User Not Mapped"/>
    <n v="464352"/>
    <s v="Alibaddin Shaikh"/>
    <s v="Private Retailer"/>
    <s v="9475489667"/>
    <n v="1.7549999999999999"/>
    <n v="84"/>
    <x v="6"/>
    <m/>
    <s v="2026-01-26"/>
    <s v="260177"/>
    <s v="SatyaRanjan Kundu and Brothers"/>
    <s v="7908186730"/>
  </r>
  <r>
    <s v="RCF Import"/>
    <s v="MOP"/>
    <s v="WB"/>
    <x v="17"/>
    <s v="Krishnagar - I"/>
    <s v="User Not Mapped"/>
    <s v="User Not Mapped"/>
    <s v="User Not Mapped"/>
    <n v="444113"/>
    <s v="Amal Kr Biswas"/>
    <s v="Private Retailer"/>
    <s v="9732780423"/>
    <n v="2.75"/>
    <n v="55"/>
    <x v="3"/>
    <m/>
    <s v="2026-02-24"/>
    <s v="260177"/>
    <s v="SatyaRanjan Kundu and Brothers"/>
    <s v="7908186730"/>
  </r>
  <r>
    <s v="RCF Trombay"/>
    <s v="15-15-15"/>
    <s v="WB"/>
    <x v="17"/>
    <s v="Hanskhali"/>
    <s v="User Not Mapped"/>
    <s v="User Not Mapped"/>
    <s v="User Not Mapped"/>
    <n v="1061906"/>
    <s v="AMALESH CHANDRA BASAK"/>
    <s v="Private Retailer"/>
    <s v="8967757120"/>
    <n v="1.6"/>
    <n v="52"/>
    <x v="3"/>
    <m/>
    <s v="2026-02-27"/>
    <s v="260177"/>
    <s v="SatyaRanjan Kundu and Brothers"/>
    <s v="7908186730"/>
  </r>
  <r>
    <s v="RCF Import"/>
    <s v="MOP"/>
    <s v="WB"/>
    <x v="17"/>
    <s v="Chakdah"/>
    <s v="User Not Mapped"/>
    <s v="User Not Mapped"/>
    <s v="User Not Mapped"/>
    <n v="1396114"/>
    <s v="AMIT SAHA"/>
    <s v="Private Retailer"/>
    <s v="8617089224"/>
    <n v="4.8499999999999996"/>
    <n v="55"/>
    <x v="3"/>
    <m/>
    <s v="2026-02-24"/>
    <s v="260177"/>
    <s v="SatyaRanjan Kundu and Brothers"/>
    <s v="7908186730"/>
  </r>
  <r>
    <s v="RCF Trombay"/>
    <s v="15-15-15"/>
    <s v="WB"/>
    <x v="17"/>
    <s v="Chakdah"/>
    <s v="User Not Mapped"/>
    <s v="User Not Mapped"/>
    <s v="User Not Mapped"/>
    <n v="1396114"/>
    <s v="AMIT SAHA"/>
    <s v="Private Retailer"/>
    <s v="8617089224"/>
    <n v="4.4000000000000004"/>
    <n v="53"/>
    <x v="3"/>
    <m/>
    <s v="2026-02-26"/>
    <s v="260177"/>
    <s v="SatyaRanjan Kundu and Brothers"/>
    <s v="7908186730"/>
  </r>
  <r>
    <s v="RCF Trombay"/>
    <s v="N.C.Urea(45kg)"/>
    <s v="WB"/>
    <x v="17"/>
    <s v="Chakdah"/>
    <s v="User Not Mapped"/>
    <s v="User Not Mapped"/>
    <s v="User Not Mapped"/>
    <n v="1396114"/>
    <s v="AMIT SAHA"/>
    <s v="Private Retailer"/>
    <s v="8617089224"/>
    <n v="0.40500000000000003"/>
    <n v="53"/>
    <x v="3"/>
    <m/>
    <s v="2026-02-26"/>
    <s v="260177"/>
    <s v="SatyaRanjan Kundu and Brothers"/>
    <s v="7908186730"/>
  </r>
  <r>
    <s v="RCF Trombay"/>
    <s v="15-15-15"/>
    <s v="WB"/>
    <x v="17"/>
    <s v="Krishnagar - I"/>
    <s v="User Not Mapped"/>
    <s v="User Not Mapped"/>
    <s v="User Not Mapped"/>
    <n v="340823"/>
    <s v="Animesh  Majumder"/>
    <s v="Private Retailer"/>
    <s v="8536809024"/>
    <n v="1"/>
    <n v="70"/>
    <x v="6"/>
    <m/>
    <s v="2026-02-09"/>
    <s v="260177"/>
    <s v="SatyaRanjan Kundu and Brothers"/>
    <s v="7908186730"/>
  </r>
  <r>
    <s v="RCF Trombay"/>
    <s v="15-15-15"/>
    <s v="WB"/>
    <x v="17"/>
    <s v="Nakashipara"/>
    <s v="User Not Mapped"/>
    <s v="User Not Mapped"/>
    <s v="User Not Mapped"/>
    <n v="865245"/>
    <s v="Anirul Sarkar"/>
    <s v="Private Retailer"/>
    <s v="9635997026"/>
    <n v="5"/>
    <n v="83"/>
    <x v="6"/>
    <m/>
    <s v="2026-01-27"/>
    <s v="260177"/>
    <s v="SatyaRanjan Kundu and Brothers"/>
    <s v="7908186730"/>
  </r>
  <r>
    <s v="RCF Trombay"/>
    <s v="N.C.Urea(45kg)"/>
    <s v="WB"/>
    <x v="17"/>
    <s v="Krishnagar - I"/>
    <s v="User Not Mapped"/>
    <s v="User Not Mapped"/>
    <s v="User Not Mapped"/>
    <n v="444117"/>
    <s v="Anup Kr Dey"/>
    <s v="Private Retailer"/>
    <s v="7407968750"/>
    <n v="0.9"/>
    <n v="163"/>
    <x v="4"/>
    <m/>
    <s v="2025-11-08"/>
    <s v="260177"/>
    <s v="SatyaRanjan Kundu and Brothers"/>
    <s v="7908186730"/>
  </r>
  <r>
    <s v="RCF Trombay"/>
    <s v="N.C.Urea(45kg)"/>
    <s v="WB"/>
    <x v="17"/>
    <s v="Chapra"/>
    <s v="User Not Mapped"/>
    <s v="User Not Mapped"/>
    <s v="User Not Mapped"/>
    <n v="940928"/>
    <s v="APON FERTILIZER"/>
    <s v="Private Retailer"/>
    <s v="9800238742"/>
    <n v="2.0150000000000001"/>
    <n v="199"/>
    <x v="1"/>
    <m/>
    <s v="2025-10-03"/>
    <s v="260177"/>
    <s v="SatyaRanjan Kundu and Brothers"/>
    <s v="7908186730"/>
  </r>
  <r>
    <s v="RCF Trombay"/>
    <s v="N.C.Urea(45kg)"/>
    <s v="WB"/>
    <x v="17"/>
    <s v="Ranaghat - II"/>
    <s v="User Not Mapped"/>
    <s v="User Not Mapped"/>
    <s v="User Not Mapped"/>
    <n v="750366"/>
    <s v="Arman Tarafder"/>
    <s v="Private Retailer"/>
    <s v="9734491267"/>
    <n v="0.99"/>
    <n v="170"/>
    <x v="4"/>
    <m/>
    <s v="2025-11-01"/>
    <s v="260177"/>
    <s v="SatyaRanjan Kundu and Brothers"/>
    <s v="7908186730"/>
  </r>
  <r>
    <s v="RCF Trombay"/>
    <s v="15-15-15"/>
    <s v="WB"/>
    <x v="17"/>
    <s v="Ranaghat - II"/>
    <s v="User Not Mapped"/>
    <s v="User Not Mapped"/>
    <s v="User Not Mapped"/>
    <n v="750366"/>
    <s v="Arman Tarafder"/>
    <s v="Private Retailer"/>
    <s v="9734491267"/>
    <n v="1.55"/>
    <n v="170"/>
    <x v="4"/>
    <m/>
    <s v="2025-11-01"/>
    <s v="260177"/>
    <s v="SatyaRanjan Kundu and Brothers"/>
    <s v="7908186730"/>
  </r>
  <r>
    <s v="RCF Trombay"/>
    <s v="N.C.Urea(45kg)"/>
    <s v="WB"/>
    <x v="17"/>
    <s v="Hanskhali"/>
    <s v="User Not Mapped"/>
    <s v="User Not Mapped"/>
    <s v="User Not Mapped"/>
    <n v="938194"/>
    <s v="AROBINDA SARKAR"/>
    <s v="Private Retailer"/>
    <s v="9932834504"/>
    <n v="4.5449999999999999"/>
    <n v="237"/>
    <x v="1"/>
    <m/>
    <s v="2025-08-26"/>
    <s v="260177"/>
    <s v="SatyaRanjan Kundu and Brothers"/>
    <s v="7908186730"/>
  </r>
  <r>
    <s v="RCF Trombay"/>
    <s v="15-15-15"/>
    <s v="WB"/>
    <x v="17"/>
    <s v="Hanskhali"/>
    <s v="User Not Mapped"/>
    <s v="User Not Mapped"/>
    <s v="User Not Mapped"/>
    <n v="938194"/>
    <s v="AROBINDA SARKAR"/>
    <s v="Private Retailer"/>
    <s v="9932834504"/>
    <n v="2.5"/>
    <n v="237"/>
    <x v="1"/>
    <m/>
    <s v="2025-08-26"/>
    <s v="260177"/>
    <s v="SatyaRanjan Kundu and Brothers"/>
    <s v="7908186730"/>
  </r>
  <r>
    <s v="RCF Thal"/>
    <s v="N.C.Urea(45kg)"/>
    <s v="WB"/>
    <x v="17"/>
    <s v="Ranaghat - II"/>
    <s v="User Not Mapped"/>
    <s v="User Not Mapped"/>
    <s v="User Not Mapped"/>
    <n v="340889"/>
    <s v="Arup Mitra"/>
    <s v="Private Retailer"/>
    <s v="7432840259"/>
    <n v="10.8"/>
    <n v="38"/>
    <x v="3"/>
    <m/>
    <s v="2026-03-13"/>
    <s v="260177"/>
    <s v="SatyaRanjan Kundu and Brothers"/>
    <s v="7908186730"/>
  </r>
  <r>
    <s v="RCF Import"/>
    <s v="MOP"/>
    <s v="WB"/>
    <x v="17"/>
    <s v="Ranaghat - II"/>
    <s v="User Not Mapped"/>
    <s v="User Not Mapped"/>
    <s v="User Not Mapped"/>
    <n v="340889"/>
    <s v="Arup Mitra"/>
    <s v="Private Retailer"/>
    <s v="7432840259"/>
    <n v="3.2"/>
    <n v="55"/>
    <x v="3"/>
    <m/>
    <s v="2026-02-24"/>
    <s v="260177"/>
    <s v="SatyaRanjan Kundu and Brothers"/>
    <s v="7908186730"/>
  </r>
  <r>
    <s v="RCF Trombay"/>
    <s v="15-15-15"/>
    <s v="WB"/>
    <x v="17"/>
    <s v="Ranaghat - II"/>
    <s v="User Not Mapped"/>
    <s v="User Not Mapped"/>
    <s v="User Not Mapped"/>
    <n v="943784"/>
    <s v="ASHIM SARKAR"/>
    <s v="Private Retailer"/>
    <s v="8609698100"/>
    <n v="0.02"/>
    <n v="585"/>
    <x v="2"/>
    <m/>
    <s v="2024-09-12"/>
    <s v="260177"/>
    <s v="SatyaRanjan Kundu and Brothers"/>
    <s v="7908186730"/>
  </r>
  <r>
    <s v="RCF Thal"/>
    <s v="N.C.Urea(45kg)"/>
    <s v="WB"/>
    <x v="17"/>
    <s v="Krishnagar - I"/>
    <s v="User Not Mapped"/>
    <s v="User Not Mapped"/>
    <s v="User Not Mapped"/>
    <n v="491357"/>
    <s v="Ashit Kr Biswas"/>
    <s v="Private Retailer"/>
    <s v="9434822081"/>
    <n v="4.7249999999999996"/>
    <n v="14"/>
    <x v="5"/>
    <m/>
    <s v="2026-04-06"/>
    <s v="260177"/>
    <s v="SatyaRanjan Kundu and Brothers"/>
    <s v="7908186730"/>
  </r>
  <r>
    <s v="RCF Trombay"/>
    <s v="15-15-15"/>
    <s v="WB"/>
    <x v="17"/>
    <s v="Hanskhali"/>
    <s v="User Not Mapped"/>
    <s v="User Not Mapped"/>
    <s v="User Not Mapped"/>
    <n v="340918"/>
    <s v="Ashok Kumar Biswas"/>
    <s v="Private Retailer"/>
    <s v="8967346265"/>
    <n v="0.85299999999999998"/>
    <n v="84"/>
    <x v="6"/>
    <m/>
    <s v="2026-01-26"/>
    <s v="260177"/>
    <s v="SatyaRanjan Kundu and Brothers"/>
    <s v="7908186730"/>
  </r>
  <r>
    <s v="RCF Trombay"/>
    <s v="N.C.Urea(45kg)"/>
    <s v="WB"/>
    <x v="17"/>
    <s v="Hanskhali"/>
    <s v="User Not Mapped"/>
    <s v="User Not Mapped"/>
    <s v="User Not Mapped"/>
    <n v="340918"/>
    <s v="Ashok Kumar Biswas"/>
    <s v="Private Retailer"/>
    <s v="8967346265"/>
    <n v="1.28"/>
    <n v="84"/>
    <x v="6"/>
    <m/>
    <s v="2026-01-26"/>
    <s v="260177"/>
    <s v="SatyaRanjan Kundu and Brothers"/>
    <s v="7908186730"/>
  </r>
  <r>
    <s v="RCF Trombay"/>
    <s v="15-15-15"/>
    <s v="WB"/>
    <x v="17"/>
    <s v="Haringhata"/>
    <s v="User Not Mapped"/>
    <s v="User Not Mapped"/>
    <s v="User Not Mapped"/>
    <n v="637801"/>
    <s v="Avijit Debnath"/>
    <s v="Private Retailer"/>
    <s v="9732663117"/>
    <n v="0.745"/>
    <n v="503"/>
    <x v="0"/>
    <m/>
    <s v="2024-12-03"/>
    <s v="260177"/>
    <s v="SatyaRanjan Kundu and Brothers"/>
    <s v="7908186730"/>
  </r>
  <r>
    <s v="RCF Thal"/>
    <s v="N.C.Urea(45kg)"/>
    <s v="WB"/>
    <x v="17"/>
    <s v="Nakashipara"/>
    <s v="User Not Mapped"/>
    <s v="User Not Mapped"/>
    <s v="User Not Mapped"/>
    <n v="910312"/>
    <s v="AZIBAR SEKH"/>
    <s v="Private Retailer"/>
    <s v="6296654198"/>
    <n v="2.4750000000000001"/>
    <n v="270"/>
    <x v="1"/>
    <m/>
    <s v="2025-07-24"/>
    <s v="260177"/>
    <s v="SatyaRanjan Kundu and Brothers"/>
    <s v="7908186730"/>
  </r>
  <r>
    <s v="RCF Trombay"/>
    <s v="15-15-15"/>
    <s v="WB"/>
    <x v="17"/>
    <m/>
    <s v="User Not Mapped"/>
    <s v="User Not Mapped"/>
    <s v="User Not Mapped"/>
    <n v="340971"/>
    <s v="Bablu Biswas"/>
    <s v="Private Retailer"/>
    <s v="6297653412"/>
    <n v="2"/>
    <n v="84"/>
    <x v="6"/>
    <m/>
    <s v="2026-01-26"/>
    <s v="260177"/>
    <s v="SatyaRanjan Kundu and Brothers"/>
    <s v="7908186730"/>
  </r>
  <r>
    <s v="RCF Trombay"/>
    <s v="15-15-15"/>
    <s v="WB"/>
    <x v="17"/>
    <s v="Hanskhali"/>
    <s v="User Not Mapped"/>
    <s v="User Not Mapped"/>
    <s v="User Not Mapped"/>
    <n v="272879"/>
    <s v="Balaram Biswas"/>
    <s v="Private Retailer"/>
    <s v="8926295204"/>
    <n v="0.625"/>
    <n v="52"/>
    <x v="3"/>
    <m/>
    <s v="2026-02-27"/>
    <s v="260177"/>
    <s v="SatyaRanjan Kundu and Brothers"/>
    <s v="7908186730"/>
  </r>
  <r>
    <s v="RCF Trombay"/>
    <s v="N.C.Urea(45kg)"/>
    <s v="WB"/>
    <x v="17"/>
    <s v="Hanskhali"/>
    <s v="User Not Mapped"/>
    <s v="User Not Mapped"/>
    <s v="User Not Mapped"/>
    <n v="272879"/>
    <s v="Balaram Biswas"/>
    <s v="Private Retailer"/>
    <s v="8926295204"/>
    <n v="0.13500000000000001"/>
    <n v="237"/>
    <x v="1"/>
    <m/>
    <s v="2025-08-26"/>
    <s v="260177"/>
    <s v="SatyaRanjan Kundu and Brothers"/>
    <s v="7908186730"/>
  </r>
  <r>
    <s v="RCF Trombay"/>
    <s v="N.C.Urea(45kg)"/>
    <s v="WB"/>
    <x v="17"/>
    <s v="Hanskhali"/>
    <s v="User Not Mapped"/>
    <s v="User Not Mapped"/>
    <s v="User Not Mapped"/>
    <n v="272879"/>
    <s v="Balaram Biswas"/>
    <s v="Private Retailer"/>
    <s v="8926295204"/>
    <n v="1.4850000000000001"/>
    <n v="227"/>
    <x v="1"/>
    <m/>
    <s v="2025-09-05"/>
    <s v="260177"/>
    <s v="SatyaRanjan Kundu and Brothers"/>
    <s v="7908186730"/>
  </r>
  <r>
    <s v="RCF Import"/>
    <s v="MOP"/>
    <s v="WB"/>
    <x v="17"/>
    <s v="Hanskhali"/>
    <s v="User Not Mapped"/>
    <s v="User Not Mapped"/>
    <s v="User Not Mapped"/>
    <n v="272879"/>
    <s v="Balaram Biswas"/>
    <s v="Private Retailer"/>
    <s v="8926295204"/>
    <n v="2.5"/>
    <n v="55"/>
    <x v="3"/>
    <m/>
    <s v="2026-02-24"/>
    <s v="260177"/>
    <s v="SatyaRanjan Kundu and Brothers"/>
    <s v="7908186730"/>
  </r>
  <r>
    <s v="RCF Trombay"/>
    <s v="15-15-15"/>
    <s v="WB"/>
    <x v="17"/>
    <s v="Ranaghat - II"/>
    <s v="User Not Mapped"/>
    <s v="User Not Mapped"/>
    <s v="User Not Mapped"/>
    <n v="1061920"/>
    <s v="BASUDEB SAHA"/>
    <s v="Private Retailer"/>
    <s v="7679410646"/>
    <n v="1.65"/>
    <n v="481"/>
    <x v="0"/>
    <m/>
    <s v="2024-12-25"/>
    <s v="260177"/>
    <s v="SatyaRanjan Kundu and Brothers"/>
    <s v="7908186730"/>
  </r>
  <r>
    <s v="RCF Trombay"/>
    <s v="15-15-15"/>
    <s v="WB"/>
    <x v="17"/>
    <s v="Ranaghat - I"/>
    <s v="User Not Mapped"/>
    <s v="User Not Mapped"/>
    <s v="User Not Mapped"/>
    <n v="341026"/>
    <s v="Bhagirath Biswas"/>
    <s v="Private Retailer"/>
    <s v="7029533544"/>
    <n v="2.6"/>
    <n v="84"/>
    <x v="6"/>
    <m/>
    <s v="2026-01-26"/>
    <s v="260177"/>
    <s v="SatyaRanjan Kundu and Brothers"/>
    <s v="7908186730"/>
  </r>
  <r>
    <s v="RCF Thal"/>
    <s v="N.C.Urea(45kg)"/>
    <s v="WB"/>
    <x v="17"/>
    <s v="Chapra"/>
    <s v="User Not Mapped"/>
    <s v="User Not Mapped"/>
    <s v="User Not Mapped"/>
    <n v="1063032"/>
    <s v="BIJALI FERTILIZER"/>
    <s v="Private Retailer"/>
    <s v="9732531884"/>
    <n v="0.122"/>
    <n v="199"/>
    <x v="1"/>
    <m/>
    <s v="2025-10-03"/>
    <s v="260177"/>
    <s v="SatyaRanjan Kundu and Brothers"/>
    <s v="7908186730"/>
  </r>
  <r>
    <s v="RCF Thal"/>
    <s v="N.C.Urea(45kg)"/>
    <s v="WB"/>
    <x v="17"/>
    <s v="Chapra"/>
    <s v="User Not Mapped"/>
    <s v="User Not Mapped"/>
    <s v="User Not Mapped"/>
    <n v="941448"/>
    <s v="BILTU FERTILIZER"/>
    <s v="Private Retailer"/>
    <s v="8509111348"/>
    <n v="0.81"/>
    <n v="199"/>
    <x v="1"/>
    <m/>
    <s v="2025-10-03"/>
    <s v="260177"/>
    <s v="SatyaRanjan Kundu and Brothers"/>
    <s v="7908186730"/>
  </r>
  <r>
    <s v="RCF Thal"/>
    <s v="N.C.Urea(45kg)"/>
    <s v="WB"/>
    <x v="17"/>
    <s v="Chapra"/>
    <s v="User Not Mapped"/>
    <s v="User Not Mapped"/>
    <s v="User Not Mapped"/>
    <n v="243822"/>
    <s v="Bimal Kumar Kundu"/>
    <s v="Private Retailer"/>
    <s v="9732685190"/>
    <n v="2.25"/>
    <n v="11"/>
    <x v="5"/>
    <m/>
    <s v="2026-04-09"/>
    <s v="260177"/>
    <s v="SatyaRanjan Kundu and Brothers"/>
    <s v="7908186730"/>
  </r>
  <r>
    <s v="RCF Trombay"/>
    <s v="15-15-15"/>
    <s v="WB"/>
    <x v="17"/>
    <s v="Chapra"/>
    <s v="User Not Mapped"/>
    <s v="User Not Mapped"/>
    <s v="User Not Mapped"/>
    <n v="243822"/>
    <s v="Bimal Kumar Kundu"/>
    <s v="Private Retailer"/>
    <s v="9732685190"/>
    <n v="0.3"/>
    <n v="139"/>
    <x v="4"/>
    <m/>
    <s v="2025-12-02"/>
    <s v="260177"/>
    <s v="SatyaRanjan Kundu and Brothers"/>
    <s v="7908186730"/>
  </r>
  <r>
    <s v="RCF Thal"/>
    <s v="N.C.Urea(45kg)"/>
    <s v="WB"/>
    <x v="17"/>
    <s v="Haringhata"/>
    <s v="User Not Mapped"/>
    <s v="User Not Mapped"/>
    <s v="User Not Mapped"/>
    <n v="341094"/>
    <s v="Binay Das"/>
    <s v="Private Retailer"/>
    <s v="9775787102"/>
    <n v="5.49"/>
    <n v="38"/>
    <x v="3"/>
    <m/>
    <s v="2026-03-13"/>
    <s v="260177"/>
    <s v="SatyaRanjan Kundu and Brothers"/>
    <s v="7908186730"/>
  </r>
  <r>
    <s v="RCF Trombay"/>
    <s v="15-15-15"/>
    <s v="WB"/>
    <x v="17"/>
    <s v="Haringhata"/>
    <s v="User Not Mapped"/>
    <s v="User Not Mapped"/>
    <s v="User Not Mapped"/>
    <n v="341094"/>
    <s v="Binay Das"/>
    <s v="Private Retailer"/>
    <s v="9775787102"/>
    <n v="0.85"/>
    <n v="53"/>
    <x v="3"/>
    <m/>
    <s v="2026-02-26"/>
    <s v="260177"/>
    <s v="SatyaRanjan Kundu and Brothers"/>
    <s v="7908186730"/>
  </r>
  <r>
    <s v="RCF Import"/>
    <s v="MOP"/>
    <s v="WB"/>
    <x v="17"/>
    <s v="Haringhata"/>
    <s v="User Not Mapped"/>
    <s v="User Not Mapped"/>
    <s v="User Not Mapped"/>
    <n v="341094"/>
    <s v="Binay Das"/>
    <s v="Private Retailer"/>
    <s v="9775787102"/>
    <n v="4.5"/>
    <n v="55"/>
    <x v="3"/>
    <m/>
    <s v="2026-02-24"/>
    <s v="260177"/>
    <s v="SatyaRanjan Kundu and Brothers"/>
    <s v="7908186730"/>
  </r>
  <r>
    <s v="RCF Thal"/>
    <s v="N.C.Urea(45kg)"/>
    <s v="WB"/>
    <x v="17"/>
    <s v="Krishnagar - I"/>
    <s v="User Not Mapped"/>
    <s v="User Not Mapped"/>
    <s v="User Not Mapped"/>
    <n v="468517"/>
    <s v="Bipad Biswas"/>
    <s v="Private Retailer"/>
    <s v="8293578205"/>
    <n v="2.97"/>
    <n v="14"/>
    <x v="5"/>
    <m/>
    <s v="2026-04-06"/>
    <s v="260177"/>
    <s v="SatyaRanjan Kundu and Brothers"/>
    <s v="7908186730"/>
  </r>
  <r>
    <s v="RCF Trombay"/>
    <s v="15-15-15"/>
    <s v="WB"/>
    <x v="17"/>
    <s v="Krishnagar - I"/>
    <s v="User Not Mapped"/>
    <s v="User Not Mapped"/>
    <s v="User Not Mapped"/>
    <n v="468517"/>
    <s v="Bipad Biswas"/>
    <s v="Private Retailer"/>
    <s v="8293578205"/>
    <n v="0.25"/>
    <n v="55"/>
    <x v="3"/>
    <m/>
    <s v="2026-02-24"/>
    <s v="260177"/>
    <s v="SatyaRanjan Kundu and Brothers"/>
    <s v="7908186730"/>
  </r>
  <r>
    <s v="RCF Import"/>
    <s v="MOP"/>
    <s v="WB"/>
    <x v="17"/>
    <s v="Krishnagar - I"/>
    <s v="User Not Mapped"/>
    <s v="User Not Mapped"/>
    <s v="User Not Mapped"/>
    <n v="468517"/>
    <s v="Bipad Biswas"/>
    <s v="Private Retailer"/>
    <s v="8293578205"/>
    <n v="1"/>
    <n v="55"/>
    <x v="3"/>
    <m/>
    <s v="2026-02-24"/>
    <s v="260177"/>
    <s v="SatyaRanjan Kundu and Brothers"/>
    <s v="7908186730"/>
  </r>
  <r>
    <s v="RCF Trombay"/>
    <s v="N.C.Urea(45kg)"/>
    <s v="WB"/>
    <x v="17"/>
    <s v="Krishnagar - I"/>
    <s v="User Not Mapped"/>
    <s v="User Not Mapped"/>
    <s v="User Not Mapped"/>
    <n v="468517"/>
    <s v="Bipad Biswas"/>
    <s v="Private Retailer"/>
    <s v="8293578205"/>
    <n v="0.08"/>
    <n v="55"/>
    <x v="3"/>
    <m/>
    <s v="2026-02-24"/>
    <s v="260177"/>
    <s v="SatyaRanjan Kundu and Brothers"/>
    <s v="7908186730"/>
  </r>
  <r>
    <s v="RCF Trombay"/>
    <s v="15-15-15"/>
    <s v="WB"/>
    <x v="17"/>
    <s v="Chakdah"/>
    <s v="User Not Mapped"/>
    <s v="User Not Mapped"/>
    <s v="User Not Mapped"/>
    <n v="341120"/>
    <s v="Bishnupada Sarkar"/>
    <s v="Private Retailer"/>
    <s v="9775078840"/>
    <n v="0.4"/>
    <n v="419"/>
    <x v="0"/>
    <m/>
    <s v="2025-02-25"/>
    <s v="260177"/>
    <s v="SatyaRanjan Kundu and Brothers"/>
    <s v="7908186730"/>
  </r>
  <r>
    <s v="RCF Thal"/>
    <s v="N.C.Urea(45kg)"/>
    <s v="WB"/>
    <x v="17"/>
    <s v="Haringhata"/>
    <s v="User Not Mapped"/>
    <s v="User Not Mapped"/>
    <s v="User Not Mapped"/>
    <n v="218868"/>
    <s v="Biswajit Ganguli"/>
    <s v="Private Retailer"/>
    <s v="9564257897"/>
    <n v="5.49"/>
    <n v="35"/>
    <x v="3"/>
    <m/>
    <s v="2026-03-16"/>
    <s v="260177"/>
    <s v="SatyaRanjan Kundu and Brothers"/>
    <s v="7908186730"/>
  </r>
  <r>
    <s v="RCF Import"/>
    <s v="MOP"/>
    <s v="WB"/>
    <x v="17"/>
    <s v="Krishnaganj"/>
    <s v="User Not Mapped"/>
    <s v="User Not Mapped"/>
    <s v="User Not Mapped"/>
    <n v="854870"/>
    <s v="BISWAJIT MONDAL"/>
    <s v="Private Retailer"/>
    <s v="6296285059"/>
    <n v="5"/>
    <n v="51"/>
    <x v="3"/>
    <m/>
    <s v="2026-02-28"/>
    <s v="260177"/>
    <s v="SatyaRanjan Kundu and Brothers"/>
    <s v="7908186730"/>
  </r>
  <r>
    <s v="RCF Trombay"/>
    <s v="15-15-15"/>
    <s v="WB"/>
    <x v="17"/>
    <s v="Krishnagar - I"/>
    <s v="User Not Mapped"/>
    <s v="User Not Mapped"/>
    <s v="User Not Mapped"/>
    <n v="289378"/>
    <s v="Biswanath Bhowmick"/>
    <s v="Private Retailer"/>
    <s v="9732714575"/>
    <n v="2.4049999999999998"/>
    <n v="173"/>
    <x v="4"/>
    <m/>
    <s v="2025-10-29"/>
    <s v="260177"/>
    <s v="SatyaRanjan Kundu and Brothers"/>
    <s v="7908186730"/>
  </r>
  <r>
    <s v="RCF Trombay"/>
    <s v="15-15-15"/>
    <s v="WB"/>
    <x v="17"/>
    <s v="Krishnagar - I"/>
    <s v="User Not Mapped"/>
    <s v="User Not Mapped"/>
    <s v="User Not Mapped"/>
    <n v="1024446"/>
    <s v="BISWAS FERTILIZER"/>
    <s v="Private Retailer"/>
    <s v="9749088438"/>
    <n v="0.45"/>
    <n v="392"/>
    <x v="0"/>
    <m/>
    <s v="2025-03-24"/>
    <s v="260177"/>
    <s v="SatyaRanjan Kundu and Brothers"/>
    <s v="7908186730"/>
  </r>
  <r>
    <s v="RCF Trombay"/>
    <s v="N.C.Urea(45kg)"/>
    <s v="WB"/>
    <x v="17"/>
    <s v="Krishnagar - I"/>
    <s v="User Not Mapped"/>
    <s v="User Not Mapped"/>
    <s v="User Not Mapped"/>
    <n v="457821"/>
    <s v="BOSE FERTILIZERS"/>
    <s v="Private Retailer"/>
    <s v="8001979216"/>
    <n v="9.99"/>
    <n v="52"/>
    <x v="3"/>
    <m/>
    <s v="2026-02-27"/>
    <s v="260177"/>
    <s v="SatyaRanjan Kundu and Brothers"/>
    <s v="7908186730"/>
  </r>
  <r>
    <s v="RCF Trombay"/>
    <s v="15-15-15"/>
    <s v="WB"/>
    <x v="17"/>
    <s v="Krishnagar - I"/>
    <s v="User Not Mapped"/>
    <s v="User Not Mapped"/>
    <s v="User Not Mapped"/>
    <n v="457821"/>
    <s v="BOSE FERTILIZERS"/>
    <s v="Private Retailer"/>
    <s v="8001979216"/>
    <n v="4.8769999999999998"/>
    <n v="61"/>
    <x v="6"/>
    <m/>
    <s v="2026-02-18"/>
    <s v="260177"/>
    <s v="SatyaRanjan Kundu and Brothers"/>
    <s v="7908186730"/>
  </r>
  <r>
    <s v="RCF Trombay"/>
    <s v="N.C.Urea(45kg)"/>
    <s v="WB"/>
    <x v="17"/>
    <s v="Krishnagar - I"/>
    <s v="User Not Mapped"/>
    <s v="User Not Mapped"/>
    <s v="User Not Mapped"/>
    <n v="457821"/>
    <s v="BOSE FERTILIZERS"/>
    <s v="Private Retailer"/>
    <s v="8001979216"/>
    <n v="2.34"/>
    <n v="61"/>
    <x v="6"/>
    <m/>
    <s v="2026-02-18"/>
    <s v="260177"/>
    <s v="SatyaRanjan Kundu and Brothers"/>
    <s v="7908186730"/>
  </r>
  <r>
    <s v="RCF Trombay"/>
    <s v="15-15-15"/>
    <s v="WB"/>
    <x v="17"/>
    <s v="Chapra"/>
    <s v="User Not Mapped"/>
    <s v="User Not Mapped"/>
    <s v="User Not Mapped"/>
    <n v="323580"/>
    <s v="BURIMA FERTILIZER"/>
    <s v="Private Retailer"/>
    <s v="9733722097"/>
    <n v="2"/>
    <n v="58"/>
    <x v="3"/>
    <m/>
    <s v="2026-02-21"/>
    <s v="260177"/>
    <s v="SatyaRanjan Kundu and Brothers"/>
    <s v="7908186730"/>
  </r>
  <r>
    <s v="RCF Trombay"/>
    <s v="N.C.Urea(45kg)"/>
    <s v="WB"/>
    <x v="17"/>
    <s v="Chakdah"/>
    <s v="User Not Mapped"/>
    <s v="User Not Mapped"/>
    <s v="User Not Mapped"/>
    <n v="941903"/>
    <s v="CHAKRABORTY FERTILIZER"/>
    <s v="Private Retailer"/>
    <s v="8371809183"/>
    <n v="10.574999999999999"/>
    <n v="38"/>
    <x v="3"/>
    <m/>
    <s v="2026-03-13"/>
    <s v="260177"/>
    <s v="SatyaRanjan Kundu and Brothers"/>
    <s v="7908186730"/>
  </r>
  <r>
    <s v="RCF Trombay"/>
    <s v="15-15-15"/>
    <s v="WB"/>
    <x v="17"/>
    <s v="Krishnagar - I"/>
    <s v="User Not Mapped"/>
    <s v="User Not Mapped"/>
    <s v="User Not Mapped"/>
    <n v="554521"/>
    <s v="Chinmoy Biswas"/>
    <s v="Private Retailer"/>
    <s v="9153017821"/>
    <n v="3.1"/>
    <n v="84"/>
    <x v="6"/>
    <m/>
    <s v="2026-01-26"/>
    <s v="260177"/>
    <s v="SatyaRanjan Kundu and Brothers"/>
    <s v="7908186730"/>
  </r>
  <r>
    <s v="RCF Trombay"/>
    <s v="N.C.Urea(45kg)"/>
    <s v="WB"/>
    <x v="17"/>
    <s v="Krishnagar - I"/>
    <s v="User Not Mapped"/>
    <s v="User Not Mapped"/>
    <s v="User Not Mapped"/>
    <n v="554521"/>
    <s v="Chinmoy Biswas"/>
    <s v="Private Retailer"/>
    <s v="9153017821"/>
    <n v="0.98099999999999998"/>
    <n v="84"/>
    <x v="6"/>
    <m/>
    <s v="2026-01-26"/>
    <s v="260177"/>
    <s v="SatyaRanjan Kundu and Brothers"/>
    <s v="7908186730"/>
  </r>
  <r>
    <s v="RCF Thal"/>
    <s v="N.C.Urea(45kg)"/>
    <s v="WB"/>
    <x v="17"/>
    <s v="Hanskhali"/>
    <s v="User Not Mapped"/>
    <s v="User Not Mapped"/>
    <s v="User Not Mapped"/>
    <n v="937872"/>
    <s v="CHUPRIA O PANDITPUR GPSKUS LTD"/>
    <s v="Other"/>
    <s v="8509273490"/>
    <n v="16.38"/>
    <n v="270"/>
    <x v="1"/>
    <m/>
    <s v="2025-07-24"/>
    <s v="260177"/>
    <s v="SatyaRanjan Kundu and Brothers"/>
    <s v="7908186730"/>
  </r>
  <r>
    <s v="RCF Import"/>
    <s v="MOP"/>
    <s v="WB"/>
    <x v="17"/>
    <s v="Ranaghat - II"/>
    <s v="User Not Mapped"/>
    <s v="User Not Mapped"/>
    <s v="User Not Mapped"/>
    <n v="341021"/>
    <s v="Das Fertilizers"/>
    <s v="Private Retailer"/>
    <s v="9775046879"/>
    <n v="5"/>
    <n v="55"/>
    <x v="3"/>
    <m/>
    <s v="2026-02-24"/>
    <s v="260177"/>
    <s v="SatyaRanjan Kundu and Brothers"/>
    <s v="7908186730"/>
  </r>
  <r>
    <s v="RCF Trombay"/>
    <s v="N.C.Urea(45kg)"/>
    <s v="WB"/>
    <x v="17"/>
    <s v="Haringhata"/>
    <s v="User Not Mapped"/>
    <s v="User Not Mapped"/>
    <s v="User Not Mapped"/>
    <n v="943768"/>
    <s v="DASTOGIR FERTILIZER"/>
    <s v="Private Retailer"/>
    <s v="9732722260"/>
    <n v="3.78"/>
    <n v="83"/>
    <x v="6"/>
    <m/>
    <s v="2026-01-27"/>
    <s v="260177"/>
    <s v="SatyaRanjan Kundu and Brothers"/>
    <s v="7908186730"/>
  </r>
  <r>
    <s v="RCF Trombay"/>
    <s v="N.C.Urea(45kg)"/>
    <s v="WB"/>
    <x v="17"/>
    <s v="Ranaghat - II"/>
    <s v="User Not Mapped"/>
    <s v="User Not Mapped"/>
    <s v="User Not Mapped"/>
    <n v="1061884"/>
    <s v="DHIRAT KUMAR BISWAS"/>
    <s v="Private Retailer"/>
    <s v="8327300835"/>
    <n v="0.85499999999999998"/>
    <n v="1116"/>
    <x v="2"/>
    <m/>
    <s v="2023-03-31"/>
    <s v="260177"/>
    <s v="SatyaRanjan Kundu and Brothers"/>
    <s v="7908186730"/>
  </r>
  <r>
    <s v="RCF Thal"/>
    <s v="N.C.Urea(45kg)"/>
    <s v="WB"/>
    <x v="17"/>
    <s v="Chakdah"/>
    <s v="User Not Mapped"/>
    <s v="User Not Mapped"/>
    <s v="User Not Mapped"/>
    <n v="341266"/>
    <s v="Dhirendra Nath Biswas"/>
    <s v="Private Retailer"/>
    <s v="8145194166"/>
    <n v="2.4300000000000002"/>
    <n v="14"/>
    <x v="5"/>
    <m/>
    <s v="2026-04-06"/>
    <s v="260177"/>
    <s v="SatyaRanjan Kundu and Brothers"/>
    <s v="7908186730"/>
  </r>
  <r>
    <s v="RCF Trombay"/>
    <s v="15-15-15"/>
    <s v="WB"/>
    <x v="17"/>
    <s v="Karimpur - I"/>
    <s v="User Not Mapped"/>
    <s v="User Not Mapped"/>
    <s v="User Not Mapped"/>
    <n v="464412"/>
    <s v="Dokari Mondol"/>
    <s v="Private Retailer"/>
    <s v="8670487768"/>
    <n v="4.8499999999999996"/>
    <n v="905"/>
    <x v="2"/>
    <m/>
    <s v="2023-10-28"/>
    <s v="260177"/>
    <s v="SatyaRanjan Kundu and Brothers"/>
    <s v="7908186730"/>
  </r>
  <r>
    <s v="RCF Thal"/>
    <s v="N.C.Urea(45kg)"/>
    <s v="WB"/>
    <x v="17"/>
    <s v="Kaliganj"/>
    <s v="User Not Mapped"/>
    <s v="User Not Mapped"/>
    <s v="User Not Mapped"/>
    <n v="1020867"/>
    <s v="FULBAS SK"/>
    <s v="Private Retailer"/>
    <s v="7063554231"/>
    <n v="3.5999999999999997E-2"/>
    <n v="1180"/>
    <x v="2"/>
    <m/>
    <s v="2023-01-26"/>
    <s v="260177"/>
    <s v="SatyaRanjan Kundu and Brothers"/>
    <s v="7908186730"/>
  </r>
  <r>
    <s v="RCF Trombay"/>
    <s v="15-15-15"/>
    <s v="WB"/>
    <x v="17"/>
    <s v="Chapra"/>
    <s v="User Not Mapped"/>
    <s v="User Not Mapped"/>
    <s v="User Not Mapped"/>
    <n v="439050"/>
    <s v="GARAI FERTILIZER"/>
    <s v="Private Retailer"/>
    <s v="9734467920"/>
    <n v="5"/>
    <n v="52"/>
    <x v="3"/>
    <m/>
    <s v="2026-02-27"/>
    <s v="260177"/>
    <s v="SatyaRanjan Kundu and Brothers"/>
    <s v="7908186730"/>
  </r>
  <r>
    <s v="RCF Import"/>
    <s v="MOP"/>
    <s v="WB"/>
    <x v="17"/>
    <s v="Chapra"/>
    <s v="User Not Mapped"/>
    <s v="User Not Mapped"/>
    <s v="User Not Mapped"/>
    <n v="439050"/>
    <s v="GARAI FERTILIZER"/>
    <s v="Private Retailer"/>
    <s v="9734467920"/>
    <n v="2.4"/>
    <n v="55"/>
    <x v="3"/>
    <m/>
    <s v="2026-02-24"/>
    <s v="260177"/>
    <s v="SatyaRanjan Kundu and Brothers"/>
    <s v="7908186730"/>
  </r>
  <r>
    <s v="RCF Trombay"/>
    <s v="15-15-15"/>
    <s v="WB"/>
    <x v="17"/>
    <s v="Chapra"/>
    <s v="User Not Mapped"/>
    <s v="User Not Mapped"/>
    <s v="User Not Mapped"/>
    <n v="439050"/>
    <s v="GARAI FERTILIZER"/>
    <s v="Private Retailer"/>
    <s v="9734467920"/>
    <n v="0.37"/>
    <n v="84"/>
    <x v="6"/>
    <m/>
    <s v="2026-01-26"/>
    <s v="260177"/>
    <s v="SatyaRanjan Kundu and Brothers"/>
    <s v="7908186730"/>
  </r>
  <r>
    <s v="RCF Trombay"/>
    <s v="15-15-15"/>
    <s v="WB"/>
    <x v="17"/>
    <s v="Krishnaganj"/>
    <s v="User Not Mapped"/>
    <s v="User Not Mapped"/>
    <s v="User Not Mapped"/>
    <n v="243845"/>
    <s v="Gede Skus Ltd"/>
    <s v="PACS"/>
    <s v="9932565588"/>
    <n v="10"/>
    <n v="352"/>
    <x v="1"/>
    <m/>
    <s v="2025-05-03"/>
    <s v="260177"/>
    <s v="SatyaRanjan Kundu and Brothers"/>
    <s v="7908186730"/>
  </r>
  <r>
    <s v="RCF Trombay"/>
    <s v="N.C.Urea(45kg)"/>
    <s v="WB"/>
    <x v="17"/>
    <s v="Chapra"/>
    <s v="User Not Mapped"/>
    <s v="User Not Mapped"/>
    <s v="User Not Mapped"/>
    <n v="1062935"/>
    <s v="GHOSH FERTILIZER"/>
    <s v="Private Retailer"/>
    <s v="8972507624"/>
    <n v="0.13500000000000001"/>
    <n v="58"/>
    <x v="3"/>
    <m/>
    <s v="2026-02-21"/>
    <s v="260177"/>
    <s v="SatyaRanjan Kundu and Brothers"/>
    <s v="7908186730"/>
  </r>
  <r>
    <s v="RCF Trombay"/>
    <s v="N.C.Urea(45kg)"/>
    <s v="WB"/>
    <x v="17"/>
    <s v="Krishnagar - II"/>
    <s v="User Not Mapped"/>
    <s v="User Not Mapped"/>
    <s v="User Not Mapped"/>
    <n v="439406"/>
    <s v="Ghosh Fertilizer"/>
    <s v="Private Retailer"/>
    <s v="6295769630"/>
    <n v="4.9950000000000001"/>
    <n v="84"/>
    <x v="6"/>
    <m/>
    <s v="2026-01-26"/>
    <s v="260177"/>
    <s v="SatyaRanjan Kundu and Brothers"/>
    <s v="7908186730"/>
  </r>
  <r>
    <s v="RCF Trombay"/>
    <s v="15-15-15"/>
    <s v="WB"/>
    <x v="17"/>
    <s v="Krishnagar - II"/>
    <s v="User Not Mapped"/>
    <s v="User Not Mapped"/>
    <s v="User Not Mapped"/>
    <n v="439406"/>
    <s v="Ghosh Fertilizer"/>
    <s v="Private Retailer"/>
    <s v="6295769630"/>
    <n v="5"/>
    <n v="84"/>
    <x v="6"/>
    <m/>
    <s v="2026-01-26"/>
    <s v="260177"/>
    <s v="SatyaRanjan Kundu and Brothers"/>
    <s v="7908186730"/>
  </r>
  <r>
    <s v="RCF Trombay"/>
    <s v="15-15-15"/>
    <s v="WB"/>
    <x v="17"/>
    <s v="Krishnagar - I"/>
    <s v="User Not Mapped"/>
    <s v="User Not Mapped"/>
    <s v="User Not Mapped"/>
    <n v="439048"/>
    <s v="Ghosh Fertilizers"/>
    <s v="Private Retailer"/>
    <s v="9732992573"/>
    <n v="0.2"/>
    <n v="45"/>
    <x v="3"/>
    <m/>
    <s v="2026-03-06"/>
    <s v="260177"/>
    <s v="SatyaRanjan Kundu and Brothers"/>
    <s v="7908186730"/>
  </r>
  <r>
    <s v="RCF Trombay"/>
    <s v="N.C.Urea(45kg)"/>
    <s v="WB"/>
    <x v="17"/>
    <s v="Ranaghat - II"/>
    <s v="User Not Mapped"/>
    <s v="User Not Mapped"/>
    <s v="User Not Mapped"/>
    <n v="341406"/>
    <s v="Gopinath Kundu"/>
    <s v="Private Retailer"/>
    <s v="9734074810"/>
    <n v="2.97"/>
    <n v="139"/>
    <x v="4"/>
    <m/>
    <s v="2025-12-02"/>
    <s v="260177"/>
    <s v="SatyaRanjan Kundu and Brothers"/>
    <s v="7908186730"/>
  </r>
  <r>
    <s v="RCF Thal"/>
    <s v="N.C.Urea(45kg)"/>
    <s v="WB"/>
    <x v="17"/>
    <s v="Ranaghat - II"/>
    <s v="User Not Mapped"/>
    <s v="User Not Mapped"/>
    <s v="User Not Mapped"/>
    <n v="341406"/>
    <s v="Gopinath Kundu"/>
    <s v="Private Retailer"/>
    <s v="9734074810"/>
    <n v="10.98"/>
    <n v="38"/>
    <x v="3"/>
    <m/>
    <s v="2026-03-13"/>
    <s v="260177"/>
    <s v="SatyaRanjan Kundu and Brothers"/>
    <s v="7908186730"/>
  </r>
  <r>
    <s v="RCF Import"/>
    <s v="MOP"/>
    <s v="WB"/>
    <x v="17"/>
    <s v="Ranaghat - II"/>
    <s v="User Not Mapped"/>
    <s v="User Not Mapped"/>
    <s v="User Not Mapped"/>
    <n v="341406"/>
    <s v="Gopinath Kundu"/>
    <s v="Private Retailer"/>
    <s v="9734074810"/>
    <n v="1.45"/>
    <n v="55"/>
    <x v="3"/>
    <m/>
    <s v="2026-02-24"/>
    <s v="260177"/>
    <s v="SatyaRanjan Kundu and Brothers"/>
    <s v="7908186730"/>
  </r>
  <r>
    <s v="RCF Trombay"/>
    <s v="15-15-15"/>
    <s v="WB"/>
    <x v="17"/>
    <s v="Ranaghat - II"/>
    <s v="User Not Mapped"/>
    <s v="User Not Mapped"/>
    <s v="User Not Mapped"/>
    <n v="341406"/>
    <s v="Gopinath Kundu"/>
    <s v="Private Retailer"/>
    <s v="9734074810"/>
    <n v="5"/>
    <n v="52"/>
    <x v="3"/>
    <m/>
    <s v="2026-02-27"/>
    <s v="260177"/>
    <s v="SatyaRanjan Kundu and Brothers"/>
    <s v="7908186730"/>
  </r>
  <r>
    <s v="RCF Trombay"/>
    <s v="15-15-15"/>
    <s v="WB"/>
    <x v="17"/>
    <m/>
    <s v="User Not Mapped"/>
    <s v="User Not Mapped"/>
    <s v="User Not Mapped"/>
    <n v="341449"/>
    <s v="Hangsaraj Ghosh"/>
    <s v="Private Retailer"/>
    <s v="9564217497"/>
    <n v="2.5"/>
    <n v="227"/>
    <x v="1"/>
    <m/>
    <s v="2025-09-05"/>
    <s v="260177"/>
    <s v="SatyaRanjan Kundu and Brothers"/>
    <s v="7908186730"/>
  </r>
  <r>
    <s v="RCF Trombay"/>
    <s v="15-15-15"/>
    <s v="WB"/>
    <x v="17"/>
    <s v="Krishnagar - I"/>
    <s v="User Not Mapped"/>
    <s v="User Not Mapped"/>
    <s v="User Not Mapped"/>
    <n v="438902"/>
    <s v="Haradhan Biswas"/>
    <s v="Private Retailer"/>
    <s v="8509438780"/>
    <n v="0.4"/>
    <n v="450"/>
    <x v="0"/>
    <m/>
    <s v="2025-01-25"/>
    <s v="260177"/>
    <s v="SatyaRanjan Kundu and Brothers"/>
    <s v="7908186730"/>
  </r>
  <r>
    <s v="RCF Trombay"/>
    <s v="15-15-15"/>
    <s v="WB"/>
    <x v="17"/>
    <s v="Hanskhali"/>
    <s v="User Not Mapped"/>
    <s v="User Not Mapped"/>
    <s v="User Not Mapped"/>
    <n v="624153"/>
    <s v="HARASHIT BISWAS"/>
    <s v="Private Retailer"/>
    <s v="9775243670"/>
    <n v="4.9000000000000004"/>
    <n v="53"/>
    <x v="3"/>
    <m/>
    <s v="2026-02-26"/>
    <s v="260177"/>
    <s v="SatyaRanjan Kundu and Brothers"/>
    <s v="7908186730"/>
  </r>
  <r>
    <s v="RCF Thal"/>
    <s v="N.C.Urea(45kg)"/>
    <s v="WB"/>
    <x v="17"/>
    <s v="Hanskhali"/>
    <s v="User Not Mapped"/>
    <s v="User Not Mapped"/>
    <s v="User Not Mapped"/>
    <n v="938162"/>
    <s v="JAGANNATH BISWAS"/>
    <s v="Private Retailer"/>
    <s v="9932233429"/>
    <n v="4.4550000000000001"/>
    <n v="194"/>
    <x v="1"/>
    <m/>
    <s v="2025-10-08"/>
    <s v="260177"/>
    <s v="SatyaRanjan Kundu and Brothers"/>
    <s v="7908186730"/>
  </r>
  <r>
    <s v="RCF Import"/>
    <s v="MOP"/>
    <s v="WB"/>
    <x v="17"/>
    <s v="Krishnagar - I"/>
    <s v="User Not Mapped"/>
    <s v="User Not Mapped"/>
    <s v="User Not Mapped"/>
    <n v="559357"/>
    <s v="JOY MA LAXMI FERTILISER"/>
    <s v="Private Retailer"/>
    <s v="9679478747"/>
    <n v="5"/>
    <n v="55"/>
    <x v="3"/>
    <m/>
    <s v="2026-02-24"/>
    <s v="260177"/>
    <s v="SatyaRanjan Kundu and Brothers"/>
    <s v="7908186730"/>
  </r>
  <r>
    <s v="RCF Trombay"/>
    <s v="15-15-15"/>
    <s v="WB"/>
    <x v="17"/>
    <m/>
    <s v="User Not Mapped"/>
    <s v="User Not Mapped"/>
    <s v="User Not Mapped"/>
    <n v="218909"/>
    <s v="Joy Maa Tara Krishi Vander"/>
    <s v="Private Retailer"/>
    <s v="8250622212"/>
    <n v="1E-3"/>
    <n v="620"/>
    <x v="2"/>
    <m/>
    <s v="2024-08-08"/>
    <s v="260177"/>
    <s v="SatyaRanjan Kundu and Brothers"/>
    <s v="7908186730"/>
  </r>
  <r>
    <s v="RCF Import"/>
    <s v="MOP"/>
    <s v="WB"/>
    <x v="17"/>
    <s v="Santipur"/>
    <s v="User Not Mapped"/>
    <s v="User Not Mapped"/>
    <s v="User Not Mapped"/>
    <n v="218910"/>
    <s v="Joydeb Ghosh"/>
    <s v="Private Retailer"/>
    <s v="7001340589"/>
    <n v="0.95"/>
    <n v="46"/>
    <x v="3"/>
    <m/>
    <s v="2026-03-05"/>
    <s v="260177"/>
    <s v="SatyaRanjan Kundu and Brothers"/>
    <s v="7908186730"/>
  </r>
  <r>
    <s v="RCF Thal"/>
    <s v="N.C.Urea(45kg)"/>
    <s v="WB"/>
    <x v="17"/>
    <s v="Santipur"/>
    <s v="User Not Mapped"/>
    <s v="User Not Mapped"/>
    <s v="User Not Mapped"/>
    <n v="218910"/>
    <s v="Joydeb Ghosh"/>
    <s v="Private Retailer"/>
    <s v="7001340589"/>
    <n v="8.6850000000000005"/>
    <n v="14"/>
    <x v="5"/>
    <m/>
    <s v="2026-04-06"/>
    <s v="260177"/>
    <s v="SatyaRanjan Kundu and Brothers"/>
    <s v="7908186730"/>
  </r>
  <r>
    <s v="RCF Trombay"/>
    <s v="15-15-15"/>
    <s v="WB"/>
    <x v="17"/>
    <s v="Ranaghat - I"/>
    <s v="User Not Mapped"/>
    <s v="User Not Mapped"/>
    <s v="User Not Mapped"/>
    <n v="440692"/>
    <s v="Joydev Kumar Biswas"/>
    <s v="Private Retailer"/>
    <s v="9333552337"/>
    <n v="5"/>
    <n v="52"/>
    <x v="3"/>
    <m/>
    <s v="2026-02-27"/>
    <s v="260177"/>
    <s v="SatyaRanjan Kundu and Brothers"/>
    <s v="7908186730"/>
  </r>
  <r>
    <s v="RCF Import"/>
    <s v="MOP"/>
    <s v="WB"/>
    <x v="17"/>
    <s v="Ranaghat - I"/>
    <s v="User Not Mapped"/>
    <s v="User Not Mapped"/>
    <s v="User Not Mapped"/>
    <n v="440692"/>
    <s v="Joydev Kumar Biswas"/>
    <s v="Private Retailer"/>
    <s v="9333552337"/>
    <n v="2.5499999999999998"/>
    <n v="55"/>
    <x v="3"/>
    <m/>
    <s v="2026-02-24"/>
    <s v="260177"/>
    <s v="SatyaRanjan Kundu and Brothers"/>
    <s v="7908186730"/>
  </r>
  <r>
    <s v="RCF Trombay"/>
    <s v="15-15-15"/>
    <s v="WB"/>
    <x v="17"/>
    <s v="Haringhata"/>
    <s v="User Not Mapped"/>
    <s v="User Not Mapped"/>
    <s v="User Not Mapped"/>
    <n v="341607"/>
    <s v="Kamaluddin Mondal"/>
    <s v="Private Retailer"/>
    <s v="7908503138"/>
    <n v="0.65"/>
    <n v="769"/>
    <x v="2"/>
    <m/>
    <s v="2024-03-12"/>
    <s v="260177"/>
    <s v="SatyaRanjan Kundu and Brothers"/>
    <s v="7908186730"/>
  </r>
  <r>
    <s v="RCF Trombay"/>
    <s v="N.C.Urea(45kg)"/>
    <s v="WB"/>
    <x v="17"/>
    <s v="Ranaghat - II"/>
    <s v="User Not Mapped"/>
    <s v="User Not Mapped"/>
    <s v="User Not Mapped"/>
    <n v="1061910"/>
    <s v="KAMDEB DAS "/>
    <s v="Private Retailer"/>
    <s v="9933124222"/>
    <n v="0.04"/>
    <n v="1105"/>
    <x v="2"/>
    <m/>
    <s v="2023-04-11"/>
    <s v="260177"/>
    <s v="SatyaRanjan Kundu and Brothers"/>
    <s v="7908186730"/>
  </r>
  <r>
    <s v="RCF Trombay"/>
    <s v="15-15-15"/>
    <s v="WB"/>
    <x v="17"/>
    <m/>
    <s v="User Not Mapped"/>
    <s v="User Not Mapped"/>
    <s v="User Not Mapped"/>
    <n v="316655"/>
    <s v="Kartick Sandhukha"/>
    <s v="Private Retailer"/>
    <s v="9735342530"/>
    <n v="0.8"/>
    <n v="139"/>
    <x v="4"/>
    <m/>
    <s v="2025-12-02"/>
    <s v="260177"/>
    <s v="SatyaRanjan Kundu and Brothers"/>
    <s v="7908186730"/>
  </r>
  <r>
    <s v="RCF Import"/>
    <s v="MOP"/>
    <s v="WB"/>
    <x v="17"/>
    <m/>
    <s v="User Not Mapped"/>
    <s v="User Not Mapped"/>
    <s v="User Not Mapped"/>
    <n v="316655"/>
    <s v="Kartick Sandhukha"/>
    <s v="Private Retailer"/>
    <s v="9735342530"/>
    <n v="2.5"/>
    <n v="55"/>
    <x v="3"/>
    <m/>
    <s v="2026-02-24"/>
    <s v="260177"/>
    <s v="SatyaRanjan Kundu and Brothers"/>
    <s v="7908186730"/>
  </r>
  <r>
    <s v="RCF Trombay"/>
    <s v="15-15-15"/>
    <s v="WB"/>
    <x v="17"/>
    <m/>
    <s v="User Not Mapped"/>
    <s v="User Not Mapped"/>
    <s v="User Not Mapped"/>
    <n v="316655"/>
    <s v="Kartick Sandhukha"/>
    <s v="Private Retailer"/>
    <s v="9735342530"/>
    <n v="2.5"/>
    <n v="84"/>
    <x v="6"/>
    <m/>
    <s v="2026-01-26"/>
    <s v="260177"/>
    <s v="SatyaRanjan Kundu and Brothers"/>
    <s v="7908186730"/>
  </r>
  <r>
    <s v="RCF Trombay"/>
    <s v="N.C.Urea(45kg)"/>
    <s v="WB"/>
    <x v="17"/>
    <m/>
    <s v="User Not Mapped"/>
    <s v="User Not Mapped"/>
    <s v="User Not Mapped"/>
    <n v="355173"/>
    <s v="Khalek  Mondal"/>
    <s v="Private Retailer"/>
    <s v="9883917663"/>
    <n v="1.89"/>
    <n v="395"/>
    <x v="0"/>
    <m/>
    <s v="2025-03-21"/>
    <s v="260177"/>
    <s v="SatyaRanjan Kundu and Brothers"/>
    <s v="7908186730"/>
  </r>
  <r>
    <s v="RCF Trombay"/>
    <s v="N.C.Urea(45kg)"/>
    <s v="WB"/>
    <x v="17"/>
    <m/>
    <s v="User Not Mapped"/>
    <s v="User Not Mapped"/>
    <s v="User Not Mapped"/>
    <n v="355173"/>
    <s v="Khalek  Mondal"/>
    <s v="Private Retailer"/>
    <s v="9883917663"/>
    <n v="4.9950000000000001"/>
    <n v="168"/>
    <x v="4"/>
    <m/>
    <s v="2025-11-03"/>
    <s v="260177"/>
    <s v="SatyaRanjan Kundu and Brothers"/>
    <s v="7908186730"/>
  </r>
  <r>
    <s v="RCF Trombay"/>
    <s v="N.C.Urea(45kg)"/>
    <s v="WB"/>
    <x v="17"/>
    <m/>
    <s v="User Not Mapped"/>
    <s v="User Not Mapped"/>
    <s v="User Not Mapped"/>
    <n v="355173"/>
    <s v="Khalek  Mondal"/>
    <s v="Private Retailer"/>
    <s v="9883917663"/>
    <n v="2.52"/>
    <n v="139"/>
    <x v="4"/>
    <m/>
    <s v="2025-12-02"/>
    <s v="260177"/>
    <s v="SatyaRanjan Kundu and Brothers"/>
    <s v="7908186730"/>
  </r>
  <r>
    <s v="RCF Trombay"/>
    <s v="15-15-15"/>
    <s v="WB"/>
    <x v="17"/>
    <m/>
    <s v="User Not Mapped"/>
    <s v="User Not Mapped"/>
    <s v="User Not Mapped"/>
    <n v="355173"/>
    <s v="Khalek  Mondal"/>
    <s v="Private Retailer"/>
    <s v="9883917663"/>
    <n v="0.1"/>
    <n v="84"/>
    <x v="6"/>
    <m/>
    <s v="2026-01-26"/>
    <s v="260177"/>
    <s v="SatyaRanjan Kundu and Brothers"/>
    <s v="7908186730"/>
  </r>
  <r>
    <s v="RCF Trombay"/>
    <s v="15-15-15"/>
    <s v="WB"/>
    <x v="17"/>
    <m/>
    <s v="User Not Mapped"/>
    <s v="User Not Mapped"/>
    <s v="User Not Mapped"/>
    <n v="355173"/>
    <s v="Khalek  Mondal"/>
    <s v="Private Retailer"/>
    <s v="9883917663"/>
    <n v="2.5"/>
    <n v="52"/>
    <x v="3"/>
    <m/>
    <s v="2026-02-27"/>
    <s v="260177"/>
    <s v="SatyaRanjan Kundu and Brothers"/>
    <s v="7908186730"/>
  </r>
  <r>
    <s v="RCF Import"/>
    <s v="MOP"/>
    <s v="WB"/>
    <x v="17"/>
    <m/>
    <s v="User Not Mapped"/>
    <s v="User Not Mapped"/>
    <s v="User Not Mapped"/>
    <n v="355173"/>
    <s v="Khalek  Mondal"/>
    <s v="Private Retailer"/>
    <s v="9883917663"/>
    <n v="2.5"/>
    <n v="55"/>
    <x v="3"/>
    <m/>
    <s v="2026-02-24"/>
    <s v="260177"/>
    <s v="SatyaRanjan Kundu and Brothers"/>
    <s v="7908186730"/>
  </r>
  <r>
    <s v="RCF Thal"/>
    <s v="N.C.Urea(45kg)"/>
    <s v="WB"/>
    <x v="17"/>
    <m/>
    <s v="User Not Mapped"/>
    <s v="User Not Mapped"/>
    <s v="User Not Mapped"/>
    <n v="355173"/>
    <s v="Khalek  Mondal"/>
    <s v="Private Retailer"/>
    <s v="9883917663"/>
    <n v="0.13500000000000001"/>
    <n v="270"/>
    <x v="1"/>
    <m/>
    <s v="2025-07-24"/>
    <s v="260177"/>
    <s v="SatyaRanjan Kundu and Brothers"/>
    <s v="7908186730"/>
  </r>
  <r>
    <s v="RCF Trombay"/>
    <s v="15-15-15"/>
    <s v="WB"/>
    <x v="17"/>
    <s v="Hanskhali"/>
    <s v="User Not Mapped"/>
    <s v="User Not Mapped"/>
    <s v="User Not Mapped"/>
    <n v="341651"/>
    <s v="Koushik Saha"/>
    <s v="Private Retailer"/>
    <s v="9477061116"/>
    <n v="2"/>
    <n v="72"/>
    <x v="6"/>
    <m/>
    <s v="2026-02-07"/>
    <s v="260177"/>
    <s v="SatyaRanjan Kundu and Brothers"/>
    <s v="7908186730"/>
  </r>
  <r>
    <s v="RCF Trombay"/>
    <s v="15-15-15"/>
    <s v="WB"/>
    <x v="17"/>
    <s v="Hanskhali"/>
    <s v="User Not Mapped"/>
    <s v="User Not Mapped"/>
    <s v="User Not Mapped"/>
    <n v="341651"/>
    <s v="Koushik Saha"/>
    <s v="Private Retailer"/>
    <s v="9477061116"/>
    <n v="5"/>
    <n v="53"/>
    <x v="3"/>
    <m/>
    <s v="2026-02-26"/>
    <s v="260177"/>
    <s v="SatyaRanjan Kundu and Brothers"/>
    <s v="7908186730"/>
  </r>
  <r>
    <s v="RCF Trombay"/>
    <s v="N.C.Urea(45kg)"/>
    <s v="WB"/>
    <x v="17"/>
    <s v="Hanskhali"/>
    <s v="User Not Mapped"/>
    <s v="User Not Mapped"/>
    <s v="User Not Mapped"/>
    <n v="341651"/>
    <s v="Koushik Saha"/>
    <s v="Private Retailer"/>
    <s v="9477061116"/>
    <n v="2.4750000000000001"/>
    <n v="53"/>
    <x v="3"/>
    <m/>
    <s v="2026-02-26"/>
    <s v="260177"/>
    <s v="SatyaRanjan Kundu and Brothers"/>
    <s v="7908186730"/>
  </r>
  <r>
    <s v="RCF Import"/>
    <s v="MOP"/>
    <s v="WB"/>
    <x v="17"/>
    <s v="Hanskhali"/>
    <s v="User Not Mapped"/>
    <s v="User Not Mapped"/>
    <s v="User Not Mapped"/>
    <n v="341651"/>
    <s v="Koushik Saha"/>
    <s v="Private Retailer"/>
    <s v="9477061116"/>
    <n v="5"/>
    <n v="55"/>
    <x v="3"/>
    <m/>
    <s v="2026-02-24"/>
    <s v="260177"/>
    <s v="SatyaRanjan Kundu and Brothers"/>
    <s v="7908186730"/>
  </r>
  <r>
    <s v="RCF Trombay"/>
    <s v="15-15-15"/>
    <s v="WB"/>
    <x v="17"/>
    <s v="Hanskhali"/>
    <s v="User Not Mapped"/>
    <s v="User Not Mapped"/>
    <s v="User Not Mapped"/>
    <n v="341651"/>
    <s v="Koushik Saha"/>
    <s v="Private Retailer"/>
    <s v="9477061116"/>
    <n v="1"/>
    <n v="47"/>
    <x v="3"/>
    <m/>
    <s v="2026-03-04"/>
    <s v="260177"/>
    <s v="SatyaRanjan Kundu and Brothers"/>
    <s v="7908186730"/>
  </r>
  <r>
    <s v="RCF Trombay"/>
    <s v="15-15-15"/>
    <s v="WB"/>
    <x v="17"/>
    <s v="Krishnaganj"/>
    <s v="User Not Mapped"/>
    <s v="User Not Mapped"/>
    <s v="User Not Mapped"/>
    <n v="605812"/>
    <s v="KRISHI PROGATI"/>
    <s v="Private Retailer"/>
    <s v="9775928097"/>
    <n v="0.8"/>
    <n v="133"/>
    <x v="4"/>
    <m/>
    <s v="2025-12-08"/>
    <s v="260177"/>
    <s v="SatyaRanjan Kundu and Brothers"/>
    <s v="7908186730"/>
  </r>
  <r>
    <s v="RCF Trombay"/>
    <s v="15-15-15"/>
    <s v="WB"/>
    <x v="17"/>
    <s v="Ranaghat - II"/>
    <s v="User Not Mapped"/>
    <s v="User Not Mapped"/>
    <s v="User Not Mapped"/>
    <n v="943728"/>
    <s v="KRISHNA SARKAR"/>
    <s v="Private Retailer"/>
    <s v="6295925639"/>
    <n v="0.85"/>
    <n v="766"/>
    <x v="2"/>
    <m/>
    <s v="2024-03-15"/>
    <s v="260177"/>
    <s v="SatyaRanjan Kundu and Brothers"/>
    <s v="7908186730"/>
  </r>
  <r>
    <s v="RCF Thal"/>
    <s v="N.C.Urea(45kg)"/>
    <s v="WB"/>
    <x v="17"/>
    <s v="Hanskhali"/>
    <s v="User Not Mapped"/>
    <s v="User Not Mapped"/>
    <s v="User Not Mapped"/>
    <n v="872968"/>
    <s v="KUMARESH BISWAS"/>
    <s v="Private Retailer"/>
    <s v="9002918641"/>
    <n v="9.99"/>
    <n v="12"/>
    <x v="5"/>
    <m/>
    <s v="2026-04-08"/>
    <s v="260177"/>
    <s v="SatyaRanjan Kundu and Brothers"/>
    <s v="7908186730"/>
  </r>
  <r>
    <s v="RCF Trombay"/>
    <s v="N.C.Urea(45kg)"/>
    <s v="WB"/>
    <x v="17"/>
    <m/>
    <s v="User Not Mapped"/>
    <s v="User Not Mapped"/>
    <s v="User Not Mapped"/>
    <n v="243879"/>
    <s v="Kundu Fertiliser"/>
    <s v="Private Retailer"/>
    <s v="9732681707"/>
    <n v="5.94"/>
    <n v="1231"/>
    <x v="2"/>
    <m/>
    <s v="2022-12-06"/>
    <s v="260177"/>
    <s v="SatyaRanjan Kundu and Brothers"/>
    <s v="7908186730"/>
  </r>
  <r>
    <s v="RCF Trombay"/>
    <s v="N.C.Urea(45kg)"/>
    <s v="WB"/>
    <x v="17"/>
    <s v="Haringhata"/>
    <s v="User Not Mapped"/>
    <s v="User Not Mapped"/>
    <s v="User Not Mapped"/>
    <n v="341720"/>
    <s v="Lakshaman Das"/>
    <s v="Private Retailer"/>
    <s v="9733782416"/>
    <n v="1.44"/>
    <n v="100"/>
    <x v="7"/>
    <m/>
    <s v="2026-01-10"/>
    <s v="260177"/>
    <s v="SatyaRanjan Kundu and Brothers"/>
    <s v="7908186730"/>
  </r>
  <r>
    <s v="RCF Thal"/>
    <s v="N.C.Urea(45kg)"/>
    <s v="WB"/>
    <x v="17"/>
    <s v="Ranaghat - II"/>
    <s v="User Not Mapped"/>
    <s v="User Not Mapped"/>
    <s v="User Not Mapped"/>
    <n v="1107835"/>
    <s v="LATIKA MITRA DEY"/>
    <s v="Private Retailer"/>
    <s v="8637587924"/>
    <n v="7.6950000000000003"/>
    <n v="38"/>
    <x v="3"/>
    <m/>
    <s v="2026-03-13"/>
    <s v="260177"/>
    <s v="SatyaRanjan Kundu and Brothers"/>
    <s v="7908186730"/>
  </r>
  <r>
    <s v="RCF Import"/>
    <s v="MOP"/>
    <s v="WB"/>
    <x v="17"/>
    <s v="Ranaghat - II"/>
    <s v="User Not Mapped"/>
    <s v="User Not Mapped"/>
    <s v="User Not Mapped"/>
    <n v="1107835"/>
    <s v="LATIKA MITRA DEY"/>
    <s v="Private Retailer"/>
    <s v="8637587924"/>
    <n v="1.6"/>
    <n v="55"/>
    <x v="3"/>
    <m/>
    <s v="2026-02-24"/>
    <s v="260177"/>
    <s v="SatyaRanjan Kundu and Brothers"/>
    <s v="7908186730"/>
  </r>
  <r>
    <s v="RCF Trombay"/>
    <s v="N.C.Urea(45kg)"/>
    <s v="WB"/>
    <x v="17"/>
    <s v="Krishnagar - II"/>
    <s v="User Not Mapped"/>
    <s v="User Not Mapped"/>
    <s v="User Not Mapped"/>
    <n v="439414"/>
    <s v="Lokenah Sar Bhander"/>
    <s v="Private Retailer"/>
    <s v="9733923230"/>
    <n v="0.99"/>
    <n v="47"/>
    <x v="3"/>
    <m/>
    <s v="2026-03-04"/>
    <s v="260177"/>
    <s v="SatyaRanjan Kundu and Brothers"/>
    <s v="7908186730"/>
  </r>
  <r>
    <s v="RCF Trombay"/>
    <s v="15-15-15"/>
    <s v="WB"/>
    <x v="17"/>
    <s v="Chakdah"/>
    <s v="User Not Mapped"/>
    <s v="User Not Mapped"/>
    <s v="User Not Mapped"/>
    <n v="340708"/>
    <s v="M/S Achinta Kr Das"/>
    <s v="Private Retailer"/>
    <s v="7432976986"/>
    <n v="0.1"/>
    <n v="245"/>
    <x v="1"/>
    <m/>
    <s v="2025-08-18"/>
    <s v="260177"/>
    <s v="SatyaRanjan Kundu and Brothers"/>
    <s v="7908186730"/>
  </r>
  <r>
    <s v="RCF Thal"/>
    <s v="N.C.Urea(45kg)"/>
    <s v="WB"/>
    <x v="17"/>
    <s v="Haringhata"/>
    <s v="User Not Mapped"/>
    <s v="User Not Mapped"/>
    <s v="User Not Mapped"/>
    <n v="545710"/>
    <s v="M/S Azim Mondal"/>
    <s v="Private Retailer"/>
    <s v="9083443252"/>
    <n v="5.49"/>
    <n v="35"/>
    <x v="3"/>
    <m/>
    <s v="2026-03-16"/>
    <s v="260177"/>
    <s v="SatyaRanjan Kundu and Brothers"/>
    <s v="7908186730"/>
  </r>
  <r>
    <s v="RCF Import"/>
    <s v="MOP"/>
    <s v="WB"/>
    <x v="17"/>
    <s v="Krishnagar - I"/>
    <s v="User Not Mapped"/>
    <s v="User Not Mapped"/>
    <s v="User Not Mapped"/>
    <n v="514431"/>
    <s v="M/S Biswanath Gorai"/>
    <s v="Private Retailer"/>
    <s v="9732666609"/>
    <n v="0.8"/>
    <n v="52"/>
    <x v="3"/>
    <m/>
    <s v="2026-02-27"/>
    <s v="260177"/>
    <s v="SatyaRanjan Kundu and Brothers"/>
    <s v="7908186730"/>
  </r>
  <r>
    <s v="RCF Trombay"/>
    <s v="15-15-15"/>
    <s v="WB"/>
    <x v="17"/>
    <s v="Ranaghat - I"/>
    <s v="User Not Mapped"/>
    <s v="User Not Mapped"/>
    <s v="User Not Mapped"/>
    <n v="1561717"/>
    <s v="M/S BISWAS BEEJ BHANDAR BIPUL "/>
    <s v="Private Retailer"/>
    <s v="7872700259"/>
    <n v="2.5"/>
    <n v="75"/>
    <x v="6"/>
    <m/>
    <s v="2026-02-04"/>
    <s v="260177"/>
    <s v="SatyaRanjan Kundu and Brothers"/>
    <s v="7908186730"/>
  </r>
  <r>
    <s v="RCF Trombay"/>
    <s v="N.C.Urea(45kg)"/>
    <s v="WB"/>
    <x v="17"/>
    <s v="Ranaghat - I"/>
    <s v="User Not Mapped"/>
    <s v="User Not Mapped"/>
    <s v="User Not Mapped"/>
    <n v="1561717"/>
    <s v="M/S BISWAS BEEJ BHANDAR BIPUL "/>
    <s v="Private Retailer"/>
    <s v="7872700259"/>
    <n v="4.32"/>
    <n v="75"/>
    <x v="6"/>
    <m/>
    <s v="2026-02-04"/>
    <s v="260177"/>
    <s v="SatyaRanjan Kundu and Brothers"/>
    <s v="7908186730"/>
  </r>
  <r>
    <s v="RCF Import"/>
    <s v="MOP"/>
    <s v="WB"/>
    <x v="17"/>
    <s v="Krishnagar - I"/>
    <s v="User Not Mapped"/>
    <s v="User Not Mapped"/>
    <s v="User Not Mapped"/>
    <n v="1399518"/>
    <s v="M/S MAA TARA KRISHI BHANDAR"/>
    <s v="Private Retailer"/>
    <s v="9002633643"/>
    <n v="5"/>
    <n v="51"/>
    <x v="3"/>
    <m/>
    <s v="2026-02-28"/>
    <s v="260177"/>
    <s v="SatyaRanjan Kundu and Brothers"/>
    <s v="7908186730"/>
  </r>
  <r>
    <s v="RCF Trombay"/>
    <s v="15-15-15"/>
    <s v="WB"/>
    <x v="17"/>
    <s v="Ranaghat - II"/>
    <s v="User Not Mapped"/>
    <s v="User Not Mapped"/>
    <s v="User Not Mapped"/>
    <n v="439028"/>
    <s v="M/S Prosanta Biswas"/>
    <s v="Private Retailer"/>
    <s v="9733836915"/>
    <n v="2"/>
    <n v="249"/>
    <x v="1"/>
    <m/>
    <s v="2025-08-14"/>
    <s v="260177"/>
    <s v="SatyaRanjan Kundu and Brothers"/>
    <s v="7908186730"/>
  </r>
  <r>
    <s v="RCF Trombay"/>
    <s v="15-15-15"/>
    <s v="WB"/>
    <x v="17"/>
    <s v="Krishnagar - I"/>
    <s v="User Not Mapped"/>
    <s v="User Not Mapped"/>
    <s v="User Not Mapped"/>
    <n v="1604292"/>
    <s v="M/S RABINDRANATH SADHUKHAN"/>
    <s v="Private Retailer"/>
    <s v="9733970225"/>
    <n v="2"/>
    <n v="84"/>
    <x v="6"/>
    <m/>
    <s v="2026-01-26"/>
    <s v="260177"/>
    <s v="SatyaRanjan Kundu and Brothers"/>
    <s v="7908186730"/>
  </r>
  <r>
    <s v="RCF Trombay"/>
    <s v="N.C.Urea(45kg)"/>
    <s v="WB"/>
    <x v="17"/>
    <s v="Chakdah"/>
    <s v="User Not Mapped"/>
    <s v="User Not Mapped"/>
    <s v="User Not Mapped"/>
    <n v="1538244"/>
    <s v="M/S SAFAR HOSSAIN"/>
    <s v="Private Retailer"/>
    <s v="9734860849"/>
    <n v="7.47"/>
    <n v="38"/>
    <x v="3"/>
    <m/>
    <s v="2026-03-13"/>
    <s v="260177"/>
    <s v="SatyaRanjan Kundu and Brothers"/>
    <s v="7908186730"/>
  </r>
  <r>
    <s v="RCF Trombay"/>
    <s v="15-15-15"/>
    <s v="WB"/>
    <x v="17"/>
    <s v="Ranaghat - II"/>
    <s v="User Not Mapped"/>
    <s v="User Not Mapped"/>
    <s v="User Not Mapped"/>
    <n v="1480313"/>
    <s v="M/S SANATAN BISWAS"/>
    <s v="Private Retailer"/>
    <s v="9093014203"/>
    <n v="2.5499999999999998"/>
    <n v="75"/>
    <x v="6"/>
    <m/>
    <s v="2026-02-04"/>
    <s v="260177"/>
    <s v="SatyaRanjan Kundu and Brothers"/>
    <s v="7908186730"/>
  </r>
  <r>
    <s v="RCF Trombay"/>
    <s v="15-15-15"/>
    <s v="WB"/>
    <x v="17"/>
    <s v="Chapra"/>
    <s v="User Not Mapped"/>
    <s v="User Not Mapped"/>
    <s v="User Not Mapped"/>
    <n v="919844"/>
    <s v="M/S SUFAL KUMAR BISWAS"/>
    <s v="Private Retailer"/>
    <s v="9679719029"/>
    <n v="7.55"/>
    <n v="131"/>
    <x v="4"/>
    <m/>
    <s v="2025-12-10"/>
    <s v="260177"/>
    <s v="SatyaRanjan Kundu and Brothers"/>
    <s v="7908186730"/>
  </r>
  <r>
    <s v="RCF Trombay"/>
    <s v="15-15-15"/>
    <s v="WB"/>
    <x v="17"/>
    <s v="Hanskhali"/>
    <s v="User Not Mapped"/>
    <s v="User Not Mapped"/>
    <s v="User Not Mapped"/>
    <n v="441489"/>
    <s v="M/S Sukdev Dey"/>
    <s v="Private Retailer"/>
    <s v="7797394350"/>
    <n v="0.5"/>
    <n v="84"/>
    <x v="6"/>
    <m/>
    <s v="2026-01-26"/>
    <s v="260177"/>
    <s v="SatyaRanjan Kundu and Brothers"/>
    <s v="7908186730"/>
  </r>
  <r>
    <s v="RCF Trombay"/>
    <s v="15-15-15"/>
    <s v="WB"/>
    <x v="17"/>
    <s v="Hanskhali"/>
    <s v="User Not Mapped"/>
    <s v="User Not Mapped"/>
    <s v="User Not Mapped"/>
    <n v="441489"/>
    <s v="M/S Sukdev Dey"/>
    <s v="Private Retailer"/>
    <s v="7797394350"/>
    <n v="1.5"/>
    <n v="72"/>
    <x v="6"/>
    <m/>
    <s v="2026-02-07"/>
    <s v="260177"/>
    <s v="SatyaRanjan Kundu and Brothers"/>
    <s v="7908186730"/>
  </r>
  <r>
    <s v="RCF Import"/>
    <s v="MOP"/>
    <s v="WB"/>
    <x v="17"/>
    <s v="Hanskhali"/>
    <s v="User Not Mapped"/>
    <s v="User Not Mapped"/>
    <s v="User Not Mapped"/>
    <n v="441489"/>
    <s v="M/S Sukdev Dey"/>
    <s v="Private Retailer"/>
    <s v="7797394350"/>
    <n v="5"/>
    <n v="55"/>
    <x v="3"/>
    <m/>
    <s v="2026-02-24"/>
    <s v="260177"/>
    <s v="SatyaRanjan Kundu and Brothers"/>
    <s v="7908186730"/>
  </r>
  <r>
    <s v="RCF Trombay"/>
    <s v="15-15-15"/>
    <s v="WB"/>
    <x v="17"/>
    <s v="Ranaghat - II"/>
    <s v="User Not Mapped"/>
    <s v="User Not Mapped"/>
    <s v="User Not Mapped"/>
    <n v="440722"/>
    <s v="M/S. Ujjwal Sarkar"/>
    <s v="Private Retailer"/>
    <s v="7872101406"/>
    <n v="1.2509999999999999"/>
    <n v="322"/>
    <x v="1"/>
    <m/>
    <s v="2025-06-02"/>
    <s v="260177"/>
    <s v="SatyaRanjan Kundu and Brothers"/>
    <s v="7908186730"/>
  </r>
  <r>
    <s v="RCF Trombay"/>
    <s v="15-15-15"/>
    <s v="WB"/>
    <x v="17"/>
    <s v="Krishnagar - I"/>
    <s v="User Not Mapped"/>
    <s v="User Not Mapped"/>
    <s v="User Not Mapped"/>
    <n v="440971"/>
    <s v="MAA BIMALA FERTILIZERS"/>
    <s v="Private Retailer"/>
    <s v="9046644014"/>
    <n v="1.25"/>
    <n v="45"/>
    <x v="3"/>
    <m/>
    <s v="2026-03-06"/>
    <s v="260177"/>
    <s v="SatyaRanjan Kundu and Brothers"/>
    <s v="7908186730"/>
  </r>
  <r>
    <s v="RCF Trombay"/>
    <s v="15-15-15"/>
    <s v="WB"/>
    <x v="17"/>
    <s v="Chapra"/>
    <s v="User Not Mapped"/>
    <s v="User Not Mapped"/>
    <s v="User Not Mapped"/>
    <n v="440546"/>
    <s v="MAA LAXMI FERTILIZERS"/>
    <s v="Private Retailer"/>
    <s v="8101816052"/>
    <n v="0.8"/>
    <n v="163"/>
    <x v="4"/>
    <m/>
    <s v="2025-11-08"/>
    <s v="260177"/>
    <s v="SatyaRanjan Kundu and Brothers"/>
    <s v="7908186730"/>
  </r>
  <r>
    <s v="RCF Thal"/>
    <s v="N.C.Urea(45kg)"/>
    <s v="WB"/>
    <x v="17"/>
    <s v="Karimpur - I"/>
    <s v="User Not Mapped"/>
    <s v="User Not Mapped"/>
    <s v="User Not Mapped"/>
    <n v="1132991"/>
    <s v="MANAJ MANDAL"/>
    <s v="Private Retailer"/>
    <s v="9609959787"/>
    <n v="0.09"/>
    <n v="1242"/>
    <x v="2"/>
    <m/>
    <s v="2022-11-25"/>
    <s v="260177"/>
    <s v="SatyaRanjan Kundu and Brothers"/>
    <s v="7908186730"/>
  </r>
  <r>
    <s v="RCF Thal"/>
    <s v="N.C.Urea(45kg)"/>
    <s v="WB"/>
    <x v="17"/>
    <s v="Krishnagar - II"/>
    <s v="User Not Mapped"/>
    <s v="User Not Mapped"/>
    <s v="User Not Mapped"/>
    <n v="355332"/>
    <s v="Manik Lal Dey"/>
    <s v="Private Retailer"/>
    <s v="9002155612"/>
    <n v="0.67500000000000004"/>
    <n v="270"/>
    <x v="1"/>
    <m/>
    <s v="2025-07-24"/>
    <s v="260177"/>
    <s v="SatyaRanjan Kundu and Brothers"/>
    <s v="7908186730"/>
  </r>
  <r>
    <s v="RCF Thal"/>
    <s v="N.C.Urea(45kg)"/>
    <s v="WB"/>
    <x v="17"/>
    <s v="Karimpur - I"/>
    <s v="User Not Mapped"/>
    <s v="User Not Mapped"/>
    <s v="User Not Mapped"/>
    <n v="774864"/>
    <s v="MANIRUL MANDAL"/>
    <s v="Private Retailer"/>
    <s v="8145235383"/>
    <n v="8.8650000000000002"/>
    <n v="271"/>
    <x v="1"/>
    <m/>
    <s v="2025-07-23"/>
    <s v="260177"/>
    <s v="SatyaRanjan Kundu and Brothers"/>
    <s v="7908186730"/>
  </r>
  <r>
    <s v="RCF Trombay"/>
    <s v="N.C.Urea(45kg)"/>
    <s v="WB"/>
    <x v="17"/>
    <m/>
    <s v="User Not Mapped"/>
    <s v="User Not Mapped"/>
    <s v="User Not Mapped"/>
    <n v="413568"/>
    <s v="Mayarani Fertilizers"/>
    <s v="Private Retailer"/>
    <s v="9733882437"/>
    <n v="3.69"/>
    <n v="53"/>
    <x v="3"/>
    <m/>
    <s v="2026-02-26"/>
    <s v="260177"/>
    <s v="SatyaRanjan Kundu and Brothers"/>
    <s v="7908186730"/>
  </r>
  <r>
    <s v="RCF Thal"/>
    <s v="N.C.Urea(45kg)"/>
    <s v="WB"/>
    <x v="17"/>
    <m/>
    <s v="User Not Mapped"/>
    <s v="User Not Mapped"/>
    <s v="User Not Mapped"/>
    <n v="289380"/>
    <s v="Md Abdul Matin"/>
    <s v="State Marketing Federation"/>
    <s v="7501569288"/>
    <n v="9.99"/>
    <n v="14"/>
    <x v="5"/>
    <m/>
    <s v="2026-04-06"/>
    <s v="260177"/>
    <s v="SatyaRanjan Kundu and Brothers"/>
    <s v="7908186730"/>
  </r>
  <r>
    <s v="RCF Trombay"/>
    <s v="N.C.Urea(45kg)"/>
    <s v="WB"/>
    <x v="17"/>
    <s v="Kaliganj"/>
    <s v="User Not Mapped"/>
    <s v="User Not Mapped"/>
    <s v="User Not Mapped"/>
    <n v="437988"/>
    <s v="Md Kamal Sekh"/>
    <s v="Private Retailer"/>
    <s v="7029542360"/>
    <n v="2.5649999999999999"/>
    <n v="279"/>
    <x v="1"/>
    <m/>
    <s v="2025-07-15"/>
    <s v="260177"/>
    <s v="SatyaRanjan Kundu and Brothers"/>
    <s v="7908186730"/>
  </r>
  <r>
    <s v="RCF Thal"/>
    <s v="N.C.Urea(45kg)"/>
    <s v="WB"/>
    <x v="17"/>
    <s v="Nakashipara"/>
    <s v="User Not Mapped"/>
    <s v="User Not Mapped"/>
    <s v="User Not Mapped"/>
    <n v="438840"/>
    <s v="Md. Afzal Hossan"/>
    <s v="Private Retailer"/>
    <s v="9547404844"/>
    <n v="2.2949999999999999"/>
    <n v="269"/>
    <x v="1"/>
    <m/>
    <s v="2025-07-25"/>
    <s v="260177"/>
    <s v="SatyaRanjan Kundu and Brothers"/>
    <s v="7908186730"/>
  </r>
  <r>
    <s v="RCF Thal"/>
    <s v="N.C.Urea(45kg)"/>
    <s v="WB"/>
    <x v="17"/>
    <s v="Chapra"/>
    <s v="User Not Mapped"/>
    <s v="User Not Mapped"/>
    <s v="User Not Mapped"/>
    <n v="1063040"/>
    <s v="MOLLA FERTILIZER"/>
    <s v="Private Retailer"/>
    <s v="8609229046"/>
    <n v="0.18"/>
    <n v="195"/>
    <x v="1"/>
    <m/>
    <s v="2025-10-07"/>
    <s v="260177"/>
    <s v="SatyaRanjan Kundu and Brothers"/>
    <s v="7908186730"/>
  </r>
  <r>
    <s v="RCF Trombay"/>
    <s v="15-15-15"/>
    <s v="WB"/>
    <x v="17"/>
    <m/>
    <s v="User Not Mapped"/>
    <s v="User Not Mapped"/>
    <s v="User Not Mapped"/>
    <n v="482582"/>
    <s v="Moloy Garai"/>
    <s v="Private Retailer"/>
    <s v="9475032580"/>
    <n v="5"/>
    <n v="2581"/>
    <x v="2"/>
    <m/>
    <s v="2019-03-27"/>
    <s v="260177"/>
    <s v="SatyaRanjan Kundu and Brothers"/>
    <s v="7908186730"/>
  </r>
  <r>
    <s v="RCF Trombay"/>
    <s v="N.C.Urea(45kg)"/>
    <s v="WB"/>
    <x v="17"/>
    <s v="Chapra"/>
    <s v="User Not Mapped"/>
    <s v="User Not Mapped"/>
    <s v="User Not Mapped"/>
    <n v="439034"/>
    <s v="Mondal Fertilizer"/>
    <s v="Private Retailer"/>
    <s v="9547802484"/>
    <n v="1.2849999999999999"/>
    <n v="465"/>
    <x v="0"/>
    <m/>
    <s v="2025-01-10"/>
    <s v="260177"/>
    <s v="SatyaRanjan Kundu and Brothers"/>
    <s v="7908186730"/>
  </r>
  <r>
    <s v="RCF Trombay"/>
    <s v="15-15-15"/>
    <s v="WB"/>
    <x v="17"/>
    <s v="Chapra"/>
    <s v="User Not Mapped"/>
    <s v="User Not Mapped"/>
    <s v="User Not Mapped"/>
    <n v="918260"/>
    <s v="MONDAL FERTILIZER"/>
    <s v="Private Retailer"/>
    <s v="7318761849"/>
    <n v="1.25"/>
    <n v="52"/>
    <x v="3"/>
    <m/>
    <s v="2026-02-27"/>
    <s v="260177"/>
    <s v="SatyaRanjan Kundu and Brothers"/>
    <s v="7908186730"/>
  </r>
  <r>
    <s v="RCF Thal"/>
    <s v="N.C.Urea(45kg)"/>
    <s v="WB"/>
    <x v="17"/>
    <s v="Nabadwip"/>
    <s v="User Not Mapped"/>
    <s v="User Not Mapped"/>
    <s v="User Not Mapped"/>
    <n v="944036"/>
    <s v="MONDAL FERTILIZER"/>
    <s v="Private Retailer"/>
    <s v="9609996591"/>
    <n v="0.81"/>
    <n v="186"/>
    <x v="1"/>
    <m/>
    <s v="2025-10-16"/>
    <s v="260177"/>
    <s v="SatyaRanjan Kundu and Brothers"/>
    <s v="7908186730"/>
  </r>
  <r>
    <s v="RCF Thal"/>
    <s v="N.C.Urea(45kg)"/>
    <s v="WB"/>
    <x v="17"/>
    <s v="Chapra"/>
    <s v="User Not Mapped"/>
    <s v="User Not Mapped"/>
    <s v="User Not Mapped"/>
    <n v="440943"/>
    <s v="Mosahab Kakka"/>
    <s v="Private Retailer"/>
    <s v="9635830363"/>
    <n v="2.25"/>
    <n v="11"/>
    <x v="5"/>
    <m/>
    <s v="2026-04-09"/>
    <s v="260177"/>
    <s v="SatyaRanjan Kundu and Brothers"/>
    <s v="7908186730"/>
  </r>
  <r>
    <s v="RCF Trombay"/>
    <s v="15-15-15"/>
    <s v="WB"/>
    <x v="17"/>
    <s v="Kaliganj"/>
    <s v="User Not Mapped"/>
    <s v="User Not Mapped"/>
    <s v="User Not Mapped"/>
    <n v="998800"/>
    <s v="MOSARAF HOSSAIN MONDAL"/>
    <s v="Private Retailer"/>
    <s v="9679845217"/>
    <n v="1"/>
    <n v="187"/>
    <x v="1"/>
    <m/>
    <s v="2025-10-15"/>
    <s v="260177"/>
    <s v="SatyaRanjan Kundu and Brothers"/>
    <s v="7908186730"/>
  </r>
  <r>
    <s v="RCF Import"/>
    <s v="MOP"/>
    <s v="WB"/>
    <x v="17"/>
    <s v="Hanskhali"/>
    <s v="User Not Mapped"/>
    <s v="User Not Mapped"/>
    <s v="User Not Mapped"/>
    <n v="272859"/>
    <s v="MS Ajoy Biswas"/>
    <s v="Private Retailer"/>
    <s v="9933834237"/>
    <n v="2.5"/>
    <n v="55"/>
    <x v="3"/>
    <m/>
    <s v="2026-02-24"/>
    <s v="260177"/>
    <s v="SatyaRanjan Kundu and Brothers"/>
    <s v="7908186730"/>
  </r>
  <r>
    <s v="RCF Trombay"/>
    <s v="15-15-15"/>
    <s v="WB"/>
    <x v="17"/>
    <s v="Hanskhali"/>
    <s v="User Not Mapped"/>
    <s v="User Not Mapped"/>
    <s v="User Not Mapped"/>
    <n v="272859"/>
    <s v="MS Ajoy Biswas"/>
    <s v="Private Retailer"/>
    <s v="9933834237"/>
    <n v="2.5"/>
    <n v="52"/>
    <x v="3"/>
    <m/>
    <s v="2026-02-27"/>
    <s v="260177"/>
    <s v="SatyaRanjan Kundu and Brothers"/>
    <s v="7908186730"/>
  </r>
  <r>
    <s v="RCF Trombay"/>
    <s v="N.C.Urea(45kg)"/>
    <s v="WB"/>
    <x v="17"/>
    <s v="Hanskhali"/>
    <s v="User Not Mapped"/>
    <s v="User Not Mapped"/>
    <s v="User Not Mapped"/>
    <n v="272859"/>
    <s v="MS Ajoy Biswas"/>
    <s v="Private Retailer"/>
    <s v="9933834237"/>
    <n v="4.3999999999999997E-2"/>
    <n v="227"/>
    <x v="1"/>
    <m/>
    <s v="2025-09-05"/>
    <s v="260177"/>
    <s v="SatyaRanjan Kundu and Brothers"/>
    <s v="7908186730"/>
  </r>
  <r>
    <s v="RCF Trombay"/>
    <s v="15-15-15"/>
    <s v="WB"/>
    <x v="17"/>
    <s v="Hanskhali"/>
    <s v="User Not Mapped"/>
    <s v="User Not Mapped"/>
    <s v="User Not Mapped"/>
    <n v="272859"/>
    <s v="MS Ajoy Biswas"/>
    <s v="Private Retailer"/>
    <s v="9933834237"/>
    <n v="2"/>
    <n v="84"/>
    <x v="6"/>
    <m/>
    <s v="2026-01-26"/>
    <s v="260177"/>
    <s v="SatyaRanjan Kundu and Brothers"/>
    <s v="7908186730"/>
  </r>
  <r>
    <s v="RCF Trombay"/>
    <s v="N.C.Urea(45kg)"/>
    <s v="WB"/>
    <x v="17"/>
    <s v="Chapra"/>
    <s v="User Not Mapped"/>
    <s v="User Not Mapped"/>
    <s v="User Not Mapped"/>
    <n v="440506"/>
    <s v="MS BHUMI LAXMI FERTILIZERS"/>
    <s v="Private Retailer"/>
    <s v="9382703922"/>
    <n v="1.26"/>
    <n v="237"/>
    <x v="1"/>
    <m/>
    <s v="2025-08-26"/>
    <s v="260177"/>
    <s v="SatyaRanjan Kundu and Brothers"/>
    <s v="7908186730"/>
  </r>
  <r>
    <s v="RCF Trombay"/>
    <s v="15-15-15"/>
    <s v="WB"/>
    <x v="17"/>
    <s v="Ranaghat - II"/>
    <s v="User Not Mapped"/>
    <s v="User Not Mapped"/>
    <s v="User Not Mapped"/>
    <n v="1320560"/>
    <s v="MS Biplab Biswas"/>
    <s v="Private Retailer"/>
    <s v="9609391373"/>
    <n v="1.35"/>
    <n v="245"/>
    <x v="1"/>
    <m/>
    <s v="2025-08-18"/>
    <s v="260177"/>
    <s v="SatyaRanjan Kundu and Brothers"/>
    <s v="7908186730"/>
  </r>
  <r>
    <s v="RCF Trombay"/>
    <s v="N.C.Urea(45kg)"/>
    <s v="WB"/>
    <x v="17"/>
    <s v="Chapra"/>
    <s v="User Not Mapped"/>
    <s v="User Not Mapped"/>
    <s v="User Not Mapped"/>
    <n v="941276"/>
    <s v="MS BISWAS FERTILIZER"/>
    <s v="Private Retailer"/>
    <s v="7364931499"/>
    <n v="0.27"/>
    <n v="58"/>
    <x v="3"/>
    <m/>
    <s v="2026-02-21"/>
    <s v="260177"/>
    <s v="SatyaRanjan Kundu and Brothers"/>
    <s v="7908186730"/>
  </r>
  <r>
    <s v="RCF Trombay"/>
    <s v="15-15-15"/>
    <s v="WB"/>
    <x v="17"/>
    <s v="Chapra"/>
    <s v="User Not Mapped"/>
    <s v="User Not Mapped"/>
    <s v="User Not Mapped"/>
    <n v="941276"/>
    <s v="MS BISWAS FERTILIZER"/>
    <s v="Private Retailer"/>
    <s v="7364931499"/>
    <n v="1.5"/>
    <n v="58"/>
    <x v="3"/>
    <m/>
    <s v="2026-02-21"/>
    <s v="260177"/>
    <s v="SatyaRanjan Kundu and Brothers"/>
    <s v="7908186730"/>
  </r>
  <r>
    <s v="RCF Trombay"/>
    <s v="15-15-15"/>
    <s v="WB"/>
    <x v="17"/>
    <s v="Chapra"/>
    <s v="User Not Mapped"/>
    <s v="User Not Mapped"/>
    <s v="User Not Mapped"/>
    <n v="941276"/>
    <s v="MS BISWAS FERTILIZER"/>
    <s v="Private Retailer"/>
    <s v="7364931499"/>
    <n v="0.45"/>
    <n v="171"/>
    <x v="4"/>
    <m/>
    <s v="2025-10-31"/>
    <s v="260177"/>
    <s v="SatyaRanjan Kundu and Brothers"/>
    <s v="7908186730"/>
  </r>
  <r>
    <s v="RCF Trombay"/>
    <s v="15-15-15"/>
    <s v="WB"/>
    <x v="17"/>
    <s v="Chapra"/>
    <s v="User Not Mapped"/>
    <s v="User Not Mapped"/>
    <s v="User Not Mapped"/>
    <n v="441479"/>
    <s v="MS Debrata Biswas"/>
    <s v="Private Retailer"/>
    <s v="9735726465"/>
    <n v="5"/>
    <n v="52"/>
    <x v="3"/>
    <m/>
    <s v="2026-02-27"/>
    <s v="260177"/>
    <s v="SatyaRanjan Kundu and Brothers"/>
    <s v="7908186730"/>
  </r>
  <r>
    <s v="RCF Trombay"/>
    <s v="N.C.Urea(45kg)"/>
    <s v="WB"/>
    <x v="17"/>
    <s v="Chapra"/>
    <s v="User Not Mapped"/>
    <s v="User Not Mapped"/>
    <s v="User Not Mapped"/>
    <n v="440530"/>
    <s v="MS Garai Fertilizer"/>
    <s v="Private Retailer"/>
    <s v="9647082502"/>
    <n v="4.9950000000000001"/>
    <n v="53"/>
    <x v="3"/>
    <m/>
    <s v="2026-02-26"/>
    <s v="260177"/>
    <s v="SatyaRanjan Kundu and Brothers"/>
    <s v="7908186730"/>
  </r>
  <r>
    <s v="RCF Import"/>
    <s v="MOP"/>
    <s v="WB"/>
    <x v="17"/>
    <s v="Chapra"/>
    <s v="User Not Mapped"/>
    <s v="User Not Mapped"/>
    <s v="User Not Mapped"/>
    <n v="440530"/>
    <s v="MS Garai Fertilizer"/>
    <s v="Private Retailer"/>
    <s v="9647082502"/>
    <n v="4.75"/>
    <n v="55"/>
    <x v="3"/>
    <m/>
    <s v="2026-02-24"/>
    <s v="260177"/>
    <s v="SatyaRanjan Kundu and Brothers"/>
    <s v="7908186730"/>
  </r>
  <r>
    <s v="RCF Trombay"/>
    <s v="15-15-15"/>
    <s v="WB"/>
    <x v="17"/>
    <s v="Chapra"/>
    <s v="User Not Mapped"/>
    <s v="User Not Mapped"/>
    <s v="User Not Mapped"/>
    <n v="440530"/>
    <s v="MS Garai Fertilizer"/>
    <s v="Private Retailer"/>
    <s v="9647082502"/>
    <n v="3.15"/>
    <n v="53"/>
    <x v="3"/>
    <m/>
    <s v="2026-02-26"/>
    <s v="260177"/>
    <s v="SatyaRanjan Kundu and Brothers"/>
    <s v="7908186730"/>
  </r>
  <r>
    <s v="RCF Trombay"/>
    <s v="15-15-15"/>
    <s v="WB"/>
    <x v="17"/>
    <s v="Chapra"/>
    <s v="User Not Mapped"/>
    <s v="User Not Mapped"/>
    <s v="User Not Mapped"/>
    <n v="1063084"/>
    <s v="MS GHOSH FERTILIZER "/>
    <s v="Private Retailer"/>
    <s v="7076819112"/>
    <n v="0.1"/>
    <n v="132"/>
    <x v="4"/>
    <m/>
    <s v="2025-12-09"/>
    <s v="260177"/>
    <s v="SatyaRanjan Kundu and Brothers"/>
    <s v="7908186730"/>
  </r>
  <r>
    <s v="RCF Trombay"/>
    <s v="15-15-15"/>
    <s v="WB"/>
    <x v="17"/>
    <s v="Hanskhali"/>
    <s v="User Not Mapped"/>
    <s v="User Not Mapped"/>
    <s v="User Not Mapped"/>
    <n v="341588"/>
    <s v="MS Kalipada Biswas"/>
    <s v="Private Retailer"/>
    <s v="9474811990"/>
    <n v="4.8"/>
    <n v="84"/>
    <x v="6"/>
    <m/>
    <s v="2026-01-26"/>
    <s v="260177"/>
    <s v="SatyaRanjan Kundu and Brothers"/>
    <s v="7908186730"/>
  </r>
  <r>
    <s v="RCF Trombay"/>
    <s v="N.C.Urea(45kg)"/>
    <s v="WB"/>
    <x v="17"/>
    <s v="Hanskhali"/>
    <s v="User Not Mapped"/>
    <s v="User Not Mapped"/>
    <s v="User Not Mapped"/>
    <n v="341588"/>
    <s v="MS Kalipada Biswas"/>
    <s v="Private Retailer"/>
    <s v="9474811990"/>
    <n v="3.915"/>
    <n v="54"/>
    <x v="3"/>
    <m/>
    <s v="2026-02-25"/>
    <s v="260177"/>
    <s v="SatyaRanjan Kundu and Brothers"/>
    <s v="7908186730"/>
  </r>
  <r>
    <s v="RCF Trombay"/>
    <s v="15-15-15"/>
    <s v="WB"/>
    <x v="17"/>
    <s v="Hanskhali"/>
    <s v="User Not Mapped"/>
    <s v="User Not Mapped"/>
    <s v="User Not Mapped"/>
    <n v="341588"/>
    <s v="MS Kalipada Biswas"/>
    <s v="Private Retailer"/>
    <s v="9474811990"/>
    <n v="5"/>
    <n v="54"/>
    <x v="3"/>
    <m/>
    <s v="2026-02-25"/>
    <s v="260177"/>
    <s v="SatyaRanjan Kundu and Brothers"/>
    <s v="7908186730"/>
  </r>
  <r>
    <s v="RCF Import"/>
    <s v="MOP"/>
    <s v="WB"/>
    <x v="17"/>
    <s v="Hanskhali"/>
    <s v="User Not Mapped"/>
    <s v="User Not Mapped"/>
    <s v="User Not Mapped"/>
    <n v="341588"/>
    <s v="MS Kalipada Biswas"/>
    <s v="Private Retailer"/>
    <s v="9474811990"/>
    <n v="5"/>
    <n v="55"/>
    <x v="3"/>
    <m/>
    <s v="2026-02-24"/>
    <s v="260177"/>
    <s v="SatyaRanjan Kundu and Brothers"/>
    <s v="7908186730"/>
  </r>
  <r>
    <s v="RCF Trombay"/>
    <s v="15-15-15"/>
    <s v="WB"/>
    <x v="17"/>
    <s v="Hanskhali"/>
    <s v="User Not Mapped"/>
    <s v="User Not Mapped"/>
    <s v="User Not Mapped"/>
    <n v="938160"/>
    <s v="MS MADHU SUDAN BISWAS"/>
    <s v="Private Retailer"/>
    <s v="8927432183"/>
    <n v="2.5"/>
    <n v="45"/>
    <x v="3"/>
    <m/>
    <s v="2026-03-06"/>
    <s v="260177"/>
    <s v="SatyaRanjan Kundu and Brothers"/>
    <s v="7908186730"/>
  </r>
  <r>
    <s v="RCF Thal"/>
    <s v="N.C.Urea(45kg)"/>
    <s v="WB"/>
    <x v="17"/>
    <s v="Hanskhali"/>
    <s v="User Not Mapped"/>
    <s v="User Not Mapped"/>
    <s v="User Not Mapped"/>
    <n v="938160"/>
    <s v="MS MADHU SUDAN BISWAS"/>
    <s v="Private Retailer"/>
    <s v="8927432183"/>
    <n v="0.58499999999999996"/>
    <n v="270"/>
    <x v="1"/>
    <m/>
    <s v="2025-07-24"/>
    <s v="260177"/>
    <s v="SatyaRanjan Kundu and Brothers"/>
    <s v="7908186730"/>
  </r>
  <r>
    <s v="RCF Import"/>
    <s v="MOP"/>
    <s v="WB"/>
    <x v="17"/>
    <s v="Hanskhali"/>
    <s v="User Not Mapped"/>
    <s v="User Not Mapped"/>
    <s v="User Not Mapped"/>
    <n v="341783"/>
    <s v="MS MAFUJA KHATUN MONDAL"/>
    <s v="Private Retailer"/>
    <s v="6294388460"/>
    <n v="5"/>
    <n v="55"/>
    <x v="3"/>
    <m/>
    <s v="2026-02-24"/>
    <s v="260177"/>
    <s v="SatyaRanjan Kundu and Brothers"/>
    <s v="7908186730"/>
  </r>
  <r>
    <s v="RCF Thal"/>
    <s v="N.C.Urea(45kg)"/>
    <s v="WB"/>
    <x v="17"/>
    <s v="Tehatta - II"/>
    <s v="User Not Mapped"/>
    <s v="User Not Mapped"/>
    <s v="User Not Mapped"/>
    <n v="777429"/>
    <s v="MS MALLICK FERTILIZERS"/>
    <s v="Private Retailer"/>
    <s v="9775086762"/>
    <n v="4.4999999999999998E-2"/>
    <n v="450"/>
    <x v="0"/>
    <m/>
    <s v="2025-01-25"/>
    <s v="260177"/>
    <s v="SatyaRanjan Kundu and Brothers"/>
    <s v="7908186730"/>
  </r>
  <r>
    <s v="RCF Trombay"/>
    <s v="N.C.Urea(45kg)"/>
    <s v="WB"/>
    <x v="17"/>
    <s v="Chapra"/>
    <s v="User Not Mapped"/>
    <s v="User Not Mapped"/>
    <s v="User Not Mapped"/>
    <n v="1008772"/>
    <s v="MS SADHUKHAN FERTILIZER"/>
    <s v="Private Retailer"/>
    <s v="9064141107"/>
    <n v="2.25"/>
    <n v="47"/>
    <x v="3"/>
    <m/>
    <s v="2026-03-04"/>
    <s v="260177"/>
    <s v="SatyaRanjan Kundu and Brothers"/>
    <s v="7908186730"/>
  </r>
  <r>
    <s v="RCF Trombay"/>
    <s v="15-15-15"/>
    <s v="WB"/>
    <x v="17"/>
    <s v="Hanskhali"/>
    <s v="User Not Mapped"/>
    <s v="User Not Mapped"/>
    <s v="User Not Mapped"/>
    <n v="444125"/>
    <s v="Ms Sankar Prosad Ghosh"/>
    <s v="Private Retailer"/>
    <s v="9531516675"/>
    <n v="2"/>
    <n v="170"/>
    <x v="4"/>
    <m/>
    <s v="2025-11-01"/>
    <s v="260177"/>
    <s v="SatyaRanjan Kundu and Brothers"/>
    <s v="7908186730"/>
  </r>
  <r>
    <s v="RCF Trombay"/>
    <s v="N.C.Urea(45kg)"/>
    <s v="WB"/>
    <x v="17"/>
    <s v="Krishnagar - I"/>
    <s v="User Not Mapped"/>
    <s v="User Not Mapped"/>
    <s v="User Not Mapped"/>
    <n v="218908"/>
    <s v="MS SANTOSIMA FERTILIZERS"/>
    <s v="Private Retailer"/>
    <s v="9647175808"/>
    <n v="1.35"/>
    <n v="47"/>
    <x v="3"/>
    <m/>
    <s v="2026-03-04"/>
    <s v="260177"/>
    <s v="SatyaRanjan Kundu and Brothers"/>
    <s v="7908186730"/>
  </r>
  <r>
    <s v="RCF Trombay"/>
    <s v="N.C.Urea(45kg)"/>
    <s v="WB"/>
    <x v="17"/>
    <s v="Chakdah"/>
    <s v="User Not Mapped"/>
    <s v="User Not Mapped"/>
    <s v="User Not Mapped"/>
    <n v="488402"/>
    <s v="MS Sasti Biswas"/>
    <s v="Private Retailer"/>
    <s v="9153512595"/>
    <n v="0.95"/>
    <n v="139"/>
    <x v="4"/>
    <m/>
    <s v="2025-12-02"/>
    <s v="260177"/>
    <s v="SatyaRanjan Kundu and Brothers"/>
    <s v="7908186730"/>
  </r>
  <r>
    <s v="RCF Trombay"/>
    <s v="15-15-15"/>
    <s v="WB"/>
    <x v="17"/>
    <s v="Karimpur - II"/>
    <s v="User Not Mapped"/>
    <s v="User Not Mapped"/>
    <s v="User Not Mapped"/>
    <n v="323511"/>
    <s v="Nabadwip Mandal"/>
    <s v="Private Retailer"/>
    <s v="9932714491"/>
    <n v="0.9"/>
    <n v="187"/>
    <x v="1"/>
    <m/>
    <s v="2025-10-15"/>
    <s v="260177"/>
    <s v="SatyaRanjan Kundu and Brothers"/>
    <s v="7908186730"/>
  </r>
  <r>
    <s v="RCF Trombay"/>
    <s v="15-15-15"/>
    <s v="WB"/>
    <x v="17"/>
    <s v="Hanskhali"/>
    <s v="User Not Mapped"/>
    <s v="User Not Mapped"/>
    <s v="User Not Mapped"/>
    <n v="342042"/>
    <s v="Narayan Ch. Biswas"/>
    <s v="Private Retailer"/>
    <s v="9732971230"/>
    <n v="2.75"/>
    <n v="84"/>
    <x v="6"/>
    <m/>
    <s v="2026-01-26"/>
    <s v="260177"/>
    <s v="SatyaRanjan Kundu and Brothers"/>
    <s v="7908186730"/>
  </r>
  <r>
    <s v="RCF Trombay"/>
    <s v="N.C.Urea(45kg)"/>
    <s v="WB"/>
    <x v="17"/>
    <s v="Hanskhali"/>
    <s v="User Not Mapped"/>
    <s v="User Not Mapped"/>
    <s v="User Not Mapped"/>
    <n v="342042"/>
    <s v="Narayan Ch. Biswas"/>
    <s v="Private Retailer"/>
    <s v="9732971230"/>
    <n v="0.18"/>
    <n v="84"/>
    <x v="6"/>
    <m/>
    <s v="2026-01-26"/>
    <s v="260177"/>
    <s v="SatyaRanjan Kundu and Brothers"/>
    <s v="7908186730"/>
  </r>
  <r>
    <s v="RCF Trombay"/>
    <s v="15-15-15"/>
    <s v="WB"/>
    <x v="17"/>
    <s v="Chapra"/>
    <s v="User Not Mapped"/>
    <s v="User Not Mapped"/>
    <s v="User Not Mapped"/>
    <n v="323514"/>
    <s v="Naresh Das Sar Bhandar"/>
    <s v="Private Retailer"/>
    <s v="9002440769"/>
    <n v="1.5"/>
    <n v="58"/>
    <x v="3"/>
    <m/>
    <s v="2026-02-21"/>
    <s v="260177"/>
    <s v="SatyaRanjan Kundu and Brothers"/>
    <s v="7908186730"/>
  </r>
  <r>
    <s v="RCF Trombay"/>
    <s v="15-15-15"/>
    <s v="WB"/>
    <x v="17"/>
    <s v="Chapra"/>
    <s v="User Not Mapped"/>
    <s v="User Not Mapped"/>
    <s v="User Not Mapped"/>
    <n v="323514"/>
    <s v="Naresh Das Sar Bhandar"/>
    <s v="Private Retailer"/>
    <s v="9002440769"/>
    <n v="0.15"/>
    <n v="171"/>
    <x v="4"/>
    <m/>
    <s v="2025-10-31"/>
    <s v="260177"/>
    <s v="SatyaRanjan Kundu and Brothers"/>
    <s v="7908186730"/>
  </r>
  <r>
    <s v="RCF Thal"/>
    <s v="N.C.Urea(45kg)"/>
    <s v="WB"/>
    <x v="17"/>
    <s v="Kaliganj"/>
    <s v="User Not Mapped"/>
    <s v="User Not Mapped"/>
    <s v="User Not Mapped"/>
    <n v="323516"/>
    <s v="Nefaj Molla"/>
    <s v="Private Retailer"/>
    <s v="9800761089"/>
    <n v="9.99"/>
    <n v="153"/>
    <x v="4"/>
    <m/>
    <s v="2025-11-18"/>
    <s v="260177"/>
    <s v="SatyaRanjan Kundu and Brothers"/>
    <s v="7908186730"/>
  </r>
  <r>
    <s v="RCF Thal"/>
    <s v="N.C.Urea(45kg)"/>
    <s v="WB"/>
    <x v="17"/>
    <s v="Kaliganj"/>
    <s v="User Not Mapped"/>
    <s v="User Not Mapped"/>
    <s v="User Not Mapped"/>
    <n v="323516"/>
    <s v="Nefaj Molla"/>
    <s v="Private Retailer"/>
    <s v="9800761089"/>
    <n v="0.40500000000000003"/>
    <n v="447"/>
    <x v="0"/>
    <m/>
    <s v="2025-01-28"/>
    <s v="260177"/>
    <s v="SatyaRanjan Kundu and Brothers"/>
    <s v="7908186730"/>
  </r>
  <r>
    <s v="RCF Thal"/>
    <s v="N.C.Urea(45kg)"/>
    <s v="WB"/>
    <x v="17"/>
    <s v="Krishnagar - II"/>
    <s v="User Not Mapped"/>
    <s v="User Not Mapped"/>
    <s v="User Not Mapped"/>
    <n v="439460"/>
    <s v="New Taraknath Beeze Bhander"/>
    <s v="Private Retailer"/>
    <s v="9641540108"/>
    <n v="4.05"/>
    <n v="146"/>
    <x v="4"/>
    <m/>
    <s v="2025-11-25"/>
    <s v="260177"/>
    <s v="SatyaRanjan Kundu and Brothers"/>
    <s v="7908186730"/>
  </r>
  <r>
    <s v="RCF Trombay"/>
    <s v="15-15-15"/>
    <s v="WB"/>
    <x v="17"/>
    <s v="Ranaghat - I"/>
    <s v="User Not Mapped"/>
    <s v="User Not Mapped"/>
    <s v="User Not Mapped"/>
    <n v="1604324"/>
    <s v="Nill Fertilizer And Pesticide "/>
    <s v="Private Retailer"/>
    <s v="9333295947"/>
    <n v="0.7"/>
    <n v="75"/>
    <x v="6"/>
    <m/>
    <s v="2026-02-04"/>
    <s v="260177"/>
    <s v="SatyaRanjan Kundu and Brothers"/>
    <s v="7908186730"/>
  </r>
  <r>
    <s v="RCF Trombay"/>
    <s v="15-15-15"/>
    <s v="WB"/>
    <x v="17"/>
    <s v="Chakdah"/>
    <s v="User Not Mapped"/>
    <s v="User Not Mapped"/>
    <s v="User Not Mapped"/>
    <n v="599875"/>
    <s v="Palash Mondal"/>
    <s v="Private Retailer"/>
    <s v="8515012648"/>
    <n v="0.02"/>
    <n v="353"/>
    <x v="1"/>
    <m/>
    <s v="2025-05-02"/>
    <s v="260177"/>
    <s v="SatyaRanjan Kundu and Brothers"/>
    <s v="7908186730"/>
  </r>
  <r>
    <s v="RCF Thal"/>
    <s v="N.C.Urea(45kg)"/>
    <s v="WB"/>
    <x v="17"/>
    <m/>
    <s v="User Not Mapped"/>
    <s v="User Not Mapped"/>
    <s v="User Not Mapped"/>
    <n v="479039"/>
    <s v="Partha Mallick"/>
    <s v="Private Retailer"/>
    <s v="9933146754"/>
    <n v="2.0699999999999998"/>
    <n v="269"/>
    <x v="1"/>
    <m/>
    <s v="2025-07-25"/>
    <s v="260177"/>
    <s v="SatyaRanjan Kundu and Brothers"/>
    <s v="7908186730"/>
  </r>
  <r>
    <s v="RCF Trombay"/>
    <s v="15-15-15"/>
    <s v="WB"/>
    <x v="17"/>
    <m/>
    <s v="User Not Mapped"/>
    <s v="User Not Mapped"/>
    <s v="User Not Mapped"/>
    <n v="342600"/>
    <s v="Pasupati Ghosh"/>
    <s v="Private Retailer"/>
    <s v="9647218490"/>
    <n v="1"/>
    <n v="45"/>
    <x v="3"/>
    <m/>
    <s v="2026-03-06"/>
    <s v="260177"/>
    <s v="SatyaRanjan Kundu and Brothers"/>
    <s v="7908186730"/>
  </r>
  <r>
    <s v="RCF Trombay"/>
    <s v="15-15-15"/>
    <s v="WB"/>
    <x v="17"/>
    <s v="Hanskhali"/>
    <s v="User Not Mapped"/>
    <s v="User Not Mapped"/>
    <s v="User Not Mapped"/>
    <n v="243906"/>
    <s v="Pradip Kr.Saha"/>
    <s v="Private Retailer"/>
    <s v="9647566676"/>
    <n v="0.05"/>
    <n v="52"/>
    <x v="3"/>
    <m/>
    <s v="2026-02-27"/>
    <s v="260177"/>
    <s v="SatyaRanjan Kundu and Brothers"/>
    <s v="7908186730"/>
  </r>
  <r>
    <s v="RCF Import"/>
    <s v="MOP"/>
    <s v="WB"/>
    <x v="17"/>
    <s v="Hanskhali"/>
    <s v="User Not Mapped"/>
    <s v="User Not Mapped"/>
    <s v="User Not Mapped"/>
    <n v="243906"/>
    <s v="Pradip Kr.Saha"/>
    <s v="Private Retailer"/>
    <s v="9647566676"/>
    <n v="0.75"/>
    <n v="168"/>
    <x v="4"/>
    <m/>
    <s v="2025-11-03"/>
    <s v="260177"/>
    <s v="SatyaRanjan Kundu and Brothers"/>
    <s v="7908186730"/>
  </r>
  <r>
    <s v="RCF Import"/>
    <s v="MOP"/>
    <s v="WB"/>
    <x v="17"/>
    <s v="Hanskhali"/>
    <s v="User Not Mapped"/>
    <s v="User Not Mapped"/>
    <s v="User Not Mapped"/>
    <n v="243906"/>
    <s v="Pradip Kr.Saha"/>
    <s v="Private Retailer"/>
    <s v="9647566676"/>
    <n v="2.5"/>
    <n v="55"/>
    <x v="3"/>
    <m/>
    <s v="2026-02-24"/>
    <s v="260177"/>
    <s v="SatyaRanjan Kundu and Brothers"/>
    <s v="7908186730"/>
  </r>
  <r>
    <s v="RCF Trombay"/>
    <s v="N.C.Urea(45kg)"/>
    <s v="WB"/>
    <x v="17"/>
    <s v="Hanskhali"/>
    <s v="User Not Mapped"/>
    <s v="User Not Mapped"/>
    <s v="User Not Mapped"/>
    <n v="750348"/>
    <s v="PRAMANICK FERTILIZER"/>
    <s v="Private Retailer"/>
    <s v="8597750555"/>
    <n v="3.8250000000000002"/>
    <n v="173"/>
    <x v="4"/>
    <m/>
    <s v="2025-10-29"/>
    <s v="260177"/>
    <s v="SatyaRanjan Kundu and Brothers"/>
    <s v="7908186730"/>
  </r>
  <r>
    <s v="RCF Thal"/>
    <s v="N.C.Urea(45kg)"/>
    <s v="WB"/>
    <x v="17"/>
    <s v="Chakdah"/>
    <s v="User Not Mapped"/>
    <s v="User Not Mapped"/>
    <s v="User Not Mapped"/>
    <n v="342640"/>
    <s v="Pranab Sarkar"/>
    <s v="Private Retailer"/>
    <s v="9733825342"/>
    <n v="6.75"/>
    <n v="14"/>
    <x v="5"/>
    <m/>
    <s v="2026-04-06"/>
    <s v="260177"/>
    <s v="SatyaRanjan Kundu and Brothers"/>
    <s v="7908186730"/>
  </r>
  <r>
    <s v="RCF Trombay"/>
    <s v="15-15-15"/>
    <s v="WB"/>
    <x v="17"/>
    <m/>
    <s v="User Not Mapped"/>
    <s v="User Not Mapped"/>
    <s v="User Not Mapped"/>
    <n v="323531"/>
    <s v="Prasun Biswas"/>
    <s v="Private Retailer"/>
    <s v="9064068083"/>
    <n v="4.3"/>
    <n v="84"/>
    <x v="6"/>
    <m/>
    <s v="2026-01-26"/>
    <s v="260177"/>
    <s v="SatyaRanjan Kundu and Brothers"/>
    <s v="7908186730"/>
  </r>
  <r>
    <s v="RCF Trombay"/>
    <s v="15-15-15"/>
    <s v="WB"/>
    <x v="17"/>
    <s v="Krishnaganj"/>
    <s v="User Not Mapped"/>
    <s v="User Not Mapped"/>
    <s v="User Not Mapped"/>
    <n v="323532"/>
    <s v="Pravash Ch. Biswas"/>
    <s v="Private Retailer"/>
    <s v="9609467078"/>
    <n v="10"/>
    <n v="74"/>
    <x v="6"/>
    <m/>
    <s v="2026-02-05"/>
    <s v="260177"/>
    <s v="SatyaRanjan Kundu and Brothers"/>
    <s v="7908186730"/>
  </r>
  <r>
    <s v="RCF Trombay"/>
    <s v="15-15-15"/>
    <s v="WB"/>
    <x v="17"/>
    <s v="Hanskhali"/>
    <s v="User Not Mapped"/>
    <s v="User Not Mapped"/>
    <s v="User Not Mapped"/>
    <n v="342582"/>
    <s v="Prodyut Joarder"/>
    <s v="Private Retailer"/>
    <s v="9144068324"/>
    <n v="2.9"/>
    <n v="52"/>
    <x v="3"/>
    <m/>
    <s v="2026-02-27"/>
    <s v="260177"/>
    <s v="SatyaRanjan Kundu and Brothers"/>
    <s v="7908186730"/>
  </r>
  <r>
    <s v="RCF Import"/>
    <s v="MOP"/>
    <s v="WB"/>
    <x v="17"/>
    <s v="Hanskhali"/>
    <s v="User Not Mapped"/>
    <s v="User Not Mapped"/>
    <s v="User Not Mapped"/>
    <n v="342582"/>
    <s v="Prodyut Joarder"/>
    <s v="Private Retailer"/>
    <s v="9144068324"/>
    <n v="4.8"/>
    <n v="55"/>
    <x v="3"/>
    <m/>
    <s v="2026-02-24"/>
    <s v="260177"/>
    <s v="SatyaRanjan Kundu and Brothers"/>
    <s v="7908186730"/>
  </r>
  <r>
    <s v="RCF Import"/>
    <s v="MOP"/>
    <s v="WB"/>
    <x v="17"/>
    <s v="Hanskhali"/>
    <s v="User Not Mapped"/>
    <s v="User Not Mapped"/>
    <s v="User Not Mapped"/>
    <n v="342574"/>
    <s v="Purna Chandra Ray"/>
    <s v="Private Retailer"/>
    <s v="8101963398"/>
    <n v="5"/>
    <n v="55"/>
    <x v="3"/>
    <m/>
    <s v="2026-02-24"/>
    <s v="260177"/>
    <s v="SatyaRanjan Kundu and Brothers"/>
    <s v="7908186730"/>
  </r>
  <r>
    <s v="RCF Trombay"/>
    <s v="15-15-15"/>
    <s v="WB"/>
    <x v="17"/>
    <s v="Hanskhali"/>
    <s v="User Not Mapped"/>
    <s v="User Not Mapped"/>
    <s v="User Not Mapped"/>
    <n v="342653"/>
    <s v="Ramesh Chandra Biswas"/>
    <s v="Private Retailer"/>
    <s v="9735356176"/>
    <n v="1.048"/>
    <n v="237"/>
    <x v="1"/>
    <m/>
    <s v="2025-08-26"/>
    <s v="260177"/>
    <s v="SatyaRanjan Kundu and Brothers"/>
    <s v="7908186730"/>
  </r>
  <r>
    <s v="RCF Trombay"/>
    <s v="15-15-15"/>
    <s v="WB"/>
    <x v="17"/>
    <s v="Karimpur - II"/>
    <s v="User Not Mapped"/>
    <s v="User Not Mapped"/>
    <s v="User Not Mapped"/>
    <n v="342455"/>
    <s v="Ramesh Pramanick"/>
    <s v="Private Retailer"/>
    <s v="9064885456"/>
    <n v="1.3"/>
    <n v="250"/>
    <x v="1"/>
    <m/>
    <s v="2025-08-13"/>
    <s v="260177"/>
    <s v="SatyaRanjan Kundu and Brothers"/>
    <s v="7908186730"/>
  </r>
  <r>
    <s v="RCF Trombay"/>
    <s v="15-15-15"/>
    <s v="WB"/>
    <x v="17"/>
    <s v="Ranaghat - II"/>
    <s v="User Not Mapped"/>
    <s v="User Not Mapped"/>
    <s v="User Not Mapped"/>
    <n v="342585"/>
    <s v="Ranjit Roy"/>
    <s v="Private Retailer"/>
    <s v="9832295890"/>
    <n v="5"/>
    <n v="52"/>
    <x v="3"/>
    <m/>
    <s v="2026-02-27"/>
    <s v="260177"/>
    <s v="SatyaRanjan Kundu and Brothers"/>
    <s v="7908186730"/>
  </r>
  <r>
    <s v="RCF Trombay"/>
    <s v="N.C.Urea(45kg)"/>
    <s v="WB"/>
    <x v="17"/>
    <s v="Ranaghat - II"/>
    <s v="User Not Mapped"/>
    <s v="User Not Mapped"/>
    <s v="User Not Mapped"/>
    <n v="342585"/>
    <s v="Ranjit Roy"/>
    <s v="Private Retailer"/>
    <s v="9832295890"/>
    <n v="4.2300000000000004"/>
    <n v="52"/>
    <x v="3"/>
    <m/>
    <s v="2026-02-27"/>
    <s v="260177"/>
    <s v="SatyaRanjan Kundu and Brothers"/>
    <s v="7908186730"/>
  </r>
  <r>
    <s v="RCF Import"/>
    <s v="MOP"/>
    <s v="WB"/>
    <x v="17"/>
    <s v="Krishnagar - I"/>
    <s v="User Not Mapped"/>
    <s v="User Not Mapped"/>
    <s v="User Not Mapped"/>
    <n v="515006"/>
    <s v="Ratan Biswas"/>
    <s v="Private Retailer"/>
    <s v="9734639427"/>
    <n v="4.9000000000000004"/>
    <n v="55"/>
    <x v="3"/>
    <m/>
    <s v="2026-02-24"/>
    <s v="260177"/>
    <s v="SatyaRanjan Kundu and Brothers"/>
    <s v="7908186730"/>
  </r>
  <r>
    <s v="RCF Trombay"/>
    <s v="N.C.Urea(45kg)"/>
    <s v="WB"/>
    <x v="17"/>
    <s v="Chapra"/>
    <s v="User Not Mapped"/>
    <s v="User Not Mapped"/>
    <s v="User Not Mapped"/>
    <n v="440937"/>
    <s v="Rima Fertilizer"/>
    <s v="Private Retailer"/>
    <s v="9933090609"/>
    <n v="0.22500000000000001"/>
    <n v="139"/>
    <x v="4"/>
    <m/>
    <s v="2025-12-02"/>
    <s v="260177"/>
    <s v="SatyaRanjan Kundu and Brothers"/>
    <s v="7908186730"/>
  </r>
  <r>
    <s v="RCF Trombay"/>
    <s v="N.C.Urea(45kg)"/>
    <s v="WB"/>
    <x v="17"/>
    <s v="Krishnaganj"/>
    <s v="User Not Mapped"/>
    <s v="User Not Mapped"/>
    <s v="User Not Mapped"/>
    <n v="272890"/>
    <s v="SABUJ GHAR"/>
    <s v="Private Retailer"/>
    <s v="9126474975"/>
    <n v="4.7699999999999996"/>
    <n v="53"/>
    <x v="3"/>
    <m/>
    <s v="2026-02-26"/>
    <s v="260177"/>
    <s v="SatyaRanjan Kundu and Brothers"/>
    <s v="7908186730"/>
  </r>
  <r>
    <s v="RCF Import"/>
    <s v="MOP"/>
    <s v="WB"/>
    <x v="17"/>
    <s v="Krishnaganj"/>
    <s v="User Not Mapped"/>
    <s v="User Not Mapped"/>
    <s v="User Not Mapped"/>
    <n v="272890"/>
    <s v="SABUJ GHAR"/>
    <s v="Private Retailer"/>
    <s v="9126474975"/>
    <n v="10"/>
    <n v="60"/>
    <x v="3"/>
    <m/>
    <s v="2026-02-19"/>
    <s v="260177"/>
    <s v="SatyaRanjan Kundu and Brothers"/>
    <s v="7908186730"/>
  </r>
  <r>
    <s v="RCF Thal"/>
    <s v="N.C.Urea(45kg)"/>
    <s v="WB"/>
    <x v="17"/>
    <s v="Ranaghat - I"/>
    <s v="User Not Mapped"/>
    <s v="User Not Mapped"/>
    <s v="User Not Mapped"/>
    <n v="654209"/>
    <s v="SAHIDUL ISLAM MONDAL"/>
    <s v="Private Retailer"/>
    <s v="7001991186"/>
    <n v="0.495"/>
    <n v="270"/>
    <x v="1"/>
    <m/>
    <s v="2025-07-24"/>
    <s v="260177"/>
    <s v="SatyaRanjan Kundu and Brothers"/>
    <s v="7908186730"/>
  </r>
  <r>
    <s v="RCF Trombay"/>
    <s v="N.C.Urea(45kg)"/>
    <s v="WB"/>
    <x v="17"/>
    <s v="Ranaghat - II"/>
    <s v="User Not Mapped"/>
    <s v="User Not Mapped"/>
    <s v="User Not Mapped"/>
    <n v="356191"/>
    <s v="Saiful Tarafder"/>
    <s v="Private Retailer"/>
    <s v="9732461246"/>
    <n v="4.9950000000000001"/>
    <n v="52"/>
    <x v="3"/>
    <m/>
    <s v="2026-02-27"/>
    <s v="260177"/>
    <s v="SatyaRanjan Kundu and Brothers"/>
    <s v="7908186730"/>
  </r>
  <r>
    <s v="RCF Thal"/>
    <s v="N.C.Urea(45kg)"/>
    <s v="WB"/>
    <x v="17"/>
    <s v="Ranaghat - II"/>
    <s v="User Not Mapped"/>
    <s v="User Not Mapped"/>
    <s v="User Not Mapped"/>
    <n v="356191"/>
    <s v="Saiful Tarafder"/>
    <s v="Private Retailer"/>
    <s v="9732461246"/>
    <n v="10.98"/>
    <n v="38"/>
    <x v="3"/>
    <m/>
    <s v="2026-03-13"/>
    <s v="260177"/>
    <s v="SatyaRanjan Kundu and Brothers"/>
    <s v="7908186730"/>
  </r>
  <r>
    <s v="RCF Import"/>
    <s v="MOP"/>
    <s v="WB"/>
    <x v="17"/>
    <s v="Ranaghat - II"/>
    <s v="User Not Mapped"/>
    <s v="User Not Mapped"/>
    <s v="User Not Mapped"/>
    <n v="356191"/>
    <s v="Saiful Tarafder"/>
    <s v="Private Retailer"/>
    <s v="9732461246"/>
    <n v="10"/>
    <n v="55"/>
    <x v="3"/>
    <m/>
    <s v="2026-02-24"/>
    <s v="260177"/>
    <s v="SatyaRanjan Kundu and Brothers"/>
    <s v="7908186730"/>
  </r>
  <r>
    <s v="RCF Trombay"/>
    <s v="15-15-15"/>
    <s v="WB"/>
    <x v="17"/>
    <s v="Ranaghat - II"/>
    <s v="User Not Mapped"/>
    <s v="User Not Mapped"/>
    <s v="User Not Mapped"/>
    <n v="958153"/>
    <s v="SAILENDRA NATH HALDER"/>
    <s v="Private Retailer"/>
    <s v="9851400835"/>
    <n v="3.5630000000000002"/>
    <n v="270"/>
    <x v="1"/>
    <m/>
    <s v="2025-07-24"/>
    <s v="260177"/>
    <s v="SatyaRanjan Kundu and Brothers"/>
    <s v="7908186730"/>
  </r>
  <r>
    <s v="RCF Thal"/>
    <s v="N.C.Urea(45kg)"/>
    <s v="WB"/>
    <x v="17"/>
    <s v="Nabadwip"/>
    <s v="User Not Mapped"/>
    <s v="User Not Mapped"/>
    <s v="User Not Mapped"/>
    <n v="901210"/>
    <s v="SAMIR DUTTA"/>
    <s v="Private Retailer"/>
    <s v="8250255314"/>
    <n v="0.67500000000000004"/>
    <n v="186"/>
    <x v="1"/>
    <m/>
    <s v="2025-10-16"/>
    <s v="260177"/>
    <s v="SatyaRanjan Kundu and Brothers"/>
    <s v="7908186730"/>
  </r>
  <r>
    <s v="RCF Import"/>
    <s v="MOP"/>
    <s v="WB"/>
    <x v="17"/>
    <s v="Hanskhali"/>
    <s v="User Not Mapped"/>
    <s v="User Not Mapped"/>
    <s v="User Not Mapped"/>
    <n v="441531"/>
    <s v="SANJAY SAHA"/>
    <s v="Private Retailer"/>
    <s v="9474341221"/>
    <n v="10"/>
    <n v="52"/>
    <x v="3"/>
    <m/>
    <s v="2026-02-27"/>
    <s v="260177"/>
    <s v="SatyaRanjan Kundu and Brothers"/>
    <s v="7908186730"/>
  </r>
  <r>
    <s v="RCF Trombay"/>
    <s v="15-15-15"/>
    <s v="WB"/>
    <x v="17"/>
    <s v="Hanskhali"/>
    <s v="User Not Mapped"/>
    <s v="User Not Mapped"/>
    <s v="User Not Mapped"/>
    <n v="441531"/>
    <s v="SANJAY SAHA"/>
    <s v="Private Retailer"/>
    <s v="9474341221"/>
    <n v="3.6"/>
    <n v="52"/>
    <x v="3"/>
    <m/>
    <s v="2026-02-27"/>
    <s v="260177"/>
    <s v="SatyaRanjan Kundu and Brothers"/>
    <s v="7908186730"/>
  </r>
  <r>
    <s v="RCF Import"/>
    <s v="MOP"/>
    <s v="WB"/>
    <x v="17"/>
    <s v="Hanskhali"/>
    <s v="User Not Mapped"/>
    <s v="User Not Mapped"/>
    <s v="User Not Mapped"/>
    <n v="412318"/>
    <s v="Sanjib Kumar Dey"/>
    <s v="Private Retailer"/>
    <s v="9474612015"/>
    <n v="5"/>
    <n v="55"/>
    <x v="3"/>
    <m/>
    <s v="2026-02-24"/>
    <s v="260177"/>
    <s v="SatyaRanjan Kundu and Brothers"/>
    <s v="7908186730"/>
  </r>
  <r>
    <s v="RCF Trombay"/>
    <s v="N.C.Urea(45kg)"/>
    <s v="WB"/>
    <x v="17"/>
    <s v="Hanskhali"/>
    <s v="User Not Mapped"/>
    <s v="User Not Mapped"/>
    <s v="User Not Mapped"/>
    <n v="412318"/>
    <s v="Sanjib Kumar Dey"/>
    <s v="Private Retailer"/>
    <s v="9474612015"/>
    <n v="1.8"/>
    <n v="52"/>
    <x v="3"/>
    <m/>
    <s v="2026-02-27"/>
    <s v="260177"/>
    <s v="SatyaRanjan Kundu and Brothers"/>
    <s v="7908186730"/>
  </r>
  <r>
    <s v="RCF Trombay"/>
    <s v="15-15-15"/>
    <s v="WB"/>
    <x v="17"/>
    <s v="Krishnagar - I"/>
    <s v="User Not Mapped"/>
    <s v="User Not Mapped"/>
    <s v="User Not Mapped"/>
    <n v="218859"/>
    <s v="Sanjoy Joarder"/>
    <s v="Private Retailer"/>
    <s v="9635606686"/>
    <n v="2.4"/>
    <n v="61"/>
    <x v="6"/>
    <m/>
    <s v="2026-02-18"/>
    <s v="260177"/>
    <s v="SatyaRanjan Kundu and Brothers"/>
    <s v="7908186730"/>
  </r>
  <r>
    <s v="RCF Thal"/>
    <s v="N.C.Urea(45kg)"/>
    <s v="WB"/>
    <x v="17"/>
    <s v="Haringhata"/>
    <s v="User Not Mapped"/>
    <s v="User Not Mapped"/>
    <s v="User Not Mapped"/>
    <n v="356261"/>
    <s v="Sankar Kr. Ghosh"/>
    <s v="Private Retailer"/>
    <s v="9800999930"/>
    <n v="4.8150000000000004"/>
    <n v="38"/>
    <x v="3"/>
    <m/>
    <s v="2026-03-13"/>
    <s v="260177"/>
    <s v="SatyaRanjan Kundu and Brothers"/>
    <s v="7908186730"/>
  </r>
  <r>
    <s v="RCF Trombay"/>
    <s v="N.C.Urea(45kg)"/>
    <s v="WB"/>
    <x v="17"/>
    <m/>
    <s v="User Not Mapped"/>
    <s v="User Not Mapped"/>
    <s v="User Not Mapped"/>
    <n v="1015802"/>
    <s v="SARAFAT ALI SK"/>
    <s v="Private Retailer"/>
    <s v="8240553372"/>
    <n v="6.6150000000000002"/>
    <n v="1168"/>
    <x v="2"/>
    <m/>
    <s v="2023-02-07"/>
    <s v="260177"/>
    <s v="SatyaRanjan Kundu and Brothers"/>
    <s v="7908186730"/>
  </r>
  <r>
    <s v="RCF Trombay"/>
    <s v="N.C.Urea(45kg)"/>
    <s v="WB"/>
    <x v="17"/>
    <m/>
    <s v="User Not Mapped"/>
    <s v="User Not Mapped"/>
    <s v="User Not Mapped"/>
    <n v="1015802"/>
    <s v="SARAFAT ALI SK"/>
    <s v="Private Retailer"/>
    <s v="8240553372"/>
    <n v="1.89"/>
    <n v="1235"/>
    <x v="2"/>
    <m/>
    <s v="2022-12-02"/>
    <s v="260177"/>
    <s v="SatyaRanjan Kundu and Brothers"/>
    <s v="7908186730"/>
  </r>
  <r>
    <s v="RCF Trombay"/>
    <s v="15-15-15"/>
    <s v="WB"/>
    <x v="17"/>
    <s v="Ranaghat - II"/>
    <s v="User Not Mapped"/>
    <s v="User Not Mapped"/>
    <s v="User Not Mapped"/>
    <n v="1478876"/>
    <s v="SARKAR FERTILIZERS SEED AND PE"/>
    <s v="Private Retailer"/>
    <s v="9832920192"/>
    <n v="1.6"/>
    <n v="128"/>
    <x v="4"/>
    <m/>
    <s v="2025-12-13"/>
    <s v="260177"/>
    <s v="SatyaRanjan Kundu and Brothers"/>
    <s v="7908186730"/>
  </r>
  <r>
    <s v="RCF Trombay"/>
    <s v="15-15-15"/>
    <s v="WB"/>
    <x v="17"/>
    <s v="Ranaghat - II"/>
    <s v="User Not Mapped"/>
    <s v="User Not Mapped"/>
    <s v="User Not Mapped"/>
    <n v="1061908"/>
    <s v="SATYA BISWAS"/>
    <s v="Private Retailer"/>
    <s v="7407490168"/>
    <n v="0.5"/>
    <n v="1032"/>
    <x v="2"/>
    <m/>
    <s v="2023-06-23"/>
    <s v="260177"/>
    <s v="SatyaRanjan Kundu and Brothers"/>
    <s v="7908186730"/>
  </r>
  <r>
    <s v="RCF Thal"/>
    <s v="N.C.Urea(45kg)"/>
    <s v="WB"/>
    <x v="17"/>
    <s v="Chapra"/>
    <s v="User Not Mapped"/>
    <s v="User Not Mapped"/>
    <s v="User Not Mapped"/>
    <n v="1063110"/>
    <s v="SHAIK FERTILIZER"/>
    <s v="Private Retailer"/>
    <s v="8670813935"/>
    <n v="0.13500000000000001"/>
    <n v="196"/>
    <x v="1"/>
    <m/>
    <s v="2025-10-06"/>
    <s v="260177"/>
    <s v="SatyaRanjan Kundu and Brothers"/>
    <s v="7908186730"/>
  </r>
  <r>
    <s v="RCF Thal"/>
    <s v="N.C.Urea(45kg)"/>
    <s v="WB"/>
    <x v="17"/>
    <m/>
    <s v="User Not Mapped"/>
    <s v="User Not Mapped"/>
    <s v="User Not Mapped"/>
    <n v="492853"/>
    <s v="Shital Prasad Ghosh"/>
    <s v="Private Retailer"/>
    <s v="8116120085"/>
    <n v="2.2949999999999999"/>
    <n v="452"/>
    <x v="0"/>
    <m/>
    <s v="2025-01-23"/>
    <s v="260177"/>
    <s v="SatyaRanjan Kundu and Brothers"/>
    <s v="7908186730"/>
  </r>
  <r>
    <s v="RCF Thal"/>
    <s v="N.C.Urea(45kg)"/>
    <s v="WB"/>
    <x v="17"/>
    <s v="Krishnaganj"/>
    <s v="User Not Mapped"/>
    <s v="User Not Mapped"/>
    <s v="User Not Mapped"/>
    <n v="774801"/>
    <s v="SINGHA FERTILIZER"/>
    <s v="Private Retailer"/>
    <s v="8116147452"/>
    <n v="0.13500000000000001"/>
    <n v="247"/>
    <x v="1"/>
    <m/>
    <s v="2025-08-16"/>
    <s v="260177"/>
    <s v="SatyaRanjan Kundu and Brothers"/>
    <s v="7908186730"/>
  </r>
  <r>
    <s v="RCF Trombay"/>
    <s v="15-15-15"/>
    <s v="WB"/>
    <x v="17"/>
    <s v="Chapra"/>
    <s v="User Not Mapped"/>
    <s v="User Not Mapped"/>
    <s v="User Not Mapped"/>
    <n v="941274"/>
    <s v="SONALI FASAL "/>
    <s v="Private Retailer"/>
    <s v="9732853194"/>
    <n v="0.05"/>
    <n v="518"/>
    <x v="0"/>
    <m/>
    <s v="2024-11-18"/>
    <s v="260177"/>
    <s v="SatyaRanjan Kundu and Brothers"/>
    <s v="7908186730"/>
  </r>
  <r>
    <s v="RCF Trombay"/>
    <s v="15-15-15"/>
    <s v="WB"/>
    <x v="17"/>
    <s v="Chapra"/>
    <s v="User Not Mapped"/>
    <s v="User Not Mapped"/>
    <s v="User Not Mapped"/>
    <n v="437962"/>
    <s v="SRI DURGA FERTILIZER"/>
    <s v="Private Retailer"/>
    <s v="9732988082"/>
    <n v="2.5499999999999998"/>
    <n v="52"/>
    <x v="3"/>
    <m/>
    <s v="2026-02-27"/>
    <s v="260177"/>
    <s v="SatyaRanjan Kundu and Brothers"/>
    <s v="7908186730"/>
  </r>
  <r>
    <s v="RCF Import"/>
    <s v="MOP"/>
    <s v="WB"/>
    <x v="17"/>
    <s v="Hanskhali"/>
    <s v="User Not Mapped"/>
    <s v="User Not Mapped"/>
    <s v="User Not Mapped"/>
    <n v="289383"/>
    <s v="Subhas Ch. Biswas"/>
    <s v="Private Retailer"/>
    <s v="9883788350"/>
    <n v="4.6500000000000004"/>
    <n v="55"/>
    <x v="3"/>
    <m/>
    <s v="2026-02-24"/>
    <s v="260177"/>
    <s v="SatyaRanjan Kundu and Brothers"/>
    <s v="7908186730"/>
  </r>
  <r>
    <s v="RCF Trombay"/>
    <s v="N.C.Urea(45kg)"/>
    <s v="WB"/>
    <x v="17"/>
    <s v="Hanskhali"/>
    <s v="User Not Mapped"/>
    <s v="User Not Mapped"/>
    <s v="User Not Mapped"/>
    <n v="289383"/>
    <s v="Subhas Ch. Biswas"/>
    <s v="Private Retailer"/>
    <s v="9883788350"/>
    <n v="2.52"/>
    <n v="53"/>
    <x v="3"/>
    <m/>
    <s v="2026-02-26"/>
    <s v="260177"/>
    <s v="SatyaRanjan Kundu and Brothers"/>
    <s v="7908186730"/>
  </r>
  <r>
    <s v="RCF Thal"/>
    <s v="N.C.Urea(45kg)"/>
    <s v="WB"/>
    <x v="17"/>
    <m/>
    <s v="User Not Mapped"/>
    <s v="User Not Mapped"/>
    <s v="User Not Mapped"/>
    <n v="323570"/>
    <s v="Subhasish Ghosh"/>
    <s v="Private Retailer"/>
    <s v="9800361240"/>
    <n v="2.2949999999999999"/>
    <n v="269"/>
    <x v="1"/>
    <m/>
    <s v="2025-07-25"/>
    <s v="260177"/>
    <s v="SatyaRanjan Kundu and Brothers"/>
    <s v="7908186730"/>
  </r>
  <r>
    <s v="RCF Trombay"/>
    <s v="N.C.Urea(45kg)"/>
    <s v="WB"/>
    <x v="17"/>
    <s v="Krishnagar - I"/>
    <s v="User Not Mapped"/>
    <s v="User Not Mapped"/>
    <s v="User Not Mapped"/>
    <n v="218872"/>
    <s v="Subodh Biswas"/>
    <s v="Private Retailer"/>
    <s v="9547717375"/>
    <n v="2.88"/>
    <n v="61"/>
    <x v="6"/>
    <m/>
    <s v="2026-02-18"/>
    <s v="260177"/>
    <s v="SatyaRanjan Kundu and Brothers"/>
    <s v="7908186730"/>
  </r>
  <r>
    <s v="RCF Trombay"/>
    <s v="15-15-15"/>
    <s v="WB"/>
    <x v="17"/>
    <s v="Ranaghat - II"/>
    <s v="User Not Mapped"/>
    <s v="User Not Mapped"/>
    <s v="User Not Mapped"/>
    <n v="634907"/>
    <s v="SUDHIR KUMAR SARKAR"/>
    <s v="Private Retailer"/>
    <s v="7384512689"/>
    <n v="0.32600000000000001"/>
    <n v="480"/>
    <x v="0"/>
    <m/>
    <s v="2024-12-26"/>
    <s v="260177"/>
    <s v="SatyaRanjan Kundu and Brothers"/>
    <s v="7908186730"/>
  </r>
  <r>
    <s v="RCF Trombay"/>
    <s v="N.C.Urea(45kg)"/>
    <s v="WB"/>
    <x v="17"/>
    <s v="Hanskhali"/>
    <s v="User Not Mapped"/>
    <s v="User Not Mapped"/>
    <s v="User Not Mapped"/>
    <n v="1510484"/>
    <s v="SUDIPTA DEY"/>
    <s v="Private Retailer"/>
    <s v="9641181615"/>
    <n v="4.2750000000000004"/>
    <n v="52"/>
    <x v="3"/>
    <m/>
    <s v="2026-02-27"/>
    <s v="260177"/>
    <s v="SatyaRanjan Kundu and Brothers"/>
    <s v="7908186730"/>
  </r>
  <r>
    <s v="RCF Trombay"/>
    <s v="15-15-15"/>
    <s v="WB"/>
    <x v="17"/>
    <s v="Hanskhali"/>
    <s v="User Not Mapped"/>
    <s v="User Not Mapped"/>
    <s v="User Not Mapped"/>
    <n v="1510484"/>
    <s v="SUDIPTA DEY"/>
    <s v="Private Retailer"/>
    <s v="9641181615"/>
    <n v="9.1999999999999993"/>
    <n v="52"/>
    <x v="3"/>
    <m/>
    <s v="2026-02-27"/>
    <s v="260177"/>
    <s v="SatyaRanjan Kundu and Brothers"/>
    <s v="7908186730"/>
  </r>
  <r>
    <s v="RCF Trombay"/>
    <s v="15-15-15"/>
    <s v="WB"/>
    <x v="17"/>
    <s v="Chapra"/>
    <s v="User Not Mapped"/>
    <s v="User Not Mapped"/>
    <s v="User Not Mapped"/>
    <n v="440590"/>
    <s v="Sujoy Ghosh"/>
    <s v="Private Retailer"/>
    <s v="9733763732"/>
    <n v="7.0000000000000007E-2"/>
    <n v="238"/>
    <x v="1"/>
    <m/>
    <s v="2025-08-25"/>
    <s v="260177"/>
    <s v="SatyaRanjan Kundu and Brothers"/>
    <s v="7908186730"/>
  </r>
  <r>
    <s v="RCF Thal"/>
    <s v="N.C.Urea(45kg)"/>
    <s v="WB"/>
    <x v="17"/>
    <m/>
    <s v="User Not Mapped"/>
    <s v="User Not Mapped"/>
    <s v="User Not Mapped"/>
    <n v="1565680"/>
    <s v="SUMAN AGRI TECH"/>
    <s v="Private Retailer"/>
    <s v="8906012218"/>
    <n v="1.89"/>
    <n v="38"/>
    <x v="3"/>
    <m/>
    <s v="2026-03-13"/>
    <s v="260177"/>
    <s v="SatyaRanjan Kundu and Brothers"/>
    <s v="7908186730"/>
  </r>
  <r>
    <s v="RCF Trombay"/>
    <s v="N.C.Urea(45kg)"/>
    <s v="WB"/>
    <x v="17"/>
    <s v="Chakdah"/>
    <s v="User Not Mapped"/>
    <s v="User Not Mapped"/>
    <s v="User Not Mapped"/>
    <n v="1061912"/>
    <s v="SUSHIL CHANDRA CHANDA"/>
    <s v="Private Retailer"/>
    <s v="9153696476"/>
    <n v="4.5"/>
    <n v="139"/>
    <x v="4"/>
    <m/>
    <s v="2025-12-02"/>
    <s v="260177"/>
    <s v="SatyaRanjan Kundu and Brothers"/>
    <s v="7908186730"/>
  </r>
  <r>
    <s v="RCF Import"/>
    <s v="MOP"/>
    <s v="WB"/>
    <x v="17"/>
    <s v="Krishnaganj"/>
    <s v="User Not Mapped"/>
    <s v="User Not Mapped"/>
    <s v="User Not Mapped"/>
    <n v="255850"/>
    <s v="Swapan Kr Ghosh"/>
    <s v="State Marketing Federation"/>
    <s v="9734332012"/>
    <n v="5"/>
    <n v="52"/>
    <x v="3"/>
    <m/>
    <s v="2026-02-27"/>
    <s v="260177"/>
    <s v="SatyaRanjan Kundu and Brothers"/>
    <s v="7908186730"/>
  </r>
  <r>
    <s v="RCF Trombay"/>
    <s v="15-15-15"/>
    <s v="WB"/>
    <x v="17"/>
    <s v="Krishnaganj"/>
    <s v="User Not Mapped"/>
    <s v="User Not Mapped"/>
    <s v="User Not Mapped"/>
    <n v="255850"/>
    <s v="Swapan Kr Ghosh"/>
    <s v="State Marketing Federation"/>
    <s v="9734332012"/>
    <n v="5"/>
    <n v="84"/>
    <x v="6"/>
    <m/>
    <s v="2026-01-26"/>
    <s v="260177"/>
    <s v="SatyaRanjan Kundu and Brothers"/>
    <s v="7908186730"/>
  </r>
  <r>
    <s v="RCF Trombay"/>
    <s v="15-15-15"/>
    <s v="WB"/>
    <x v="17"/>
    <s v="Krishnaganj"/>
    <s v="User Not Mapped"/>
    <s v="User Not Mapped"/>
    <s v="User Not Mapped"/>
    <n v="255850"/>
    <s v="Swapan Kr Ghosh"/>
    <s v="State Marketing Federation"/>
    <s v="9734332012"/>
    <n v="10"/>
    <n v="52"/>
    <x v="3"/>
    <m/>
    <s v="2026-02-27"/>
    <s v="260177"/>
    <s v="SatyaRanjan Kundu and Brothers"/>
    <s v="7908186730"/>
  </r>
  <r>
    <s v="RCF Thal"/>
    <s v="N.C.Urea(45kg)"/>
    <s v="WB"/>
    <x v="17"/>
    <s v="Krishnaganj"/>
    <s v="User Not Mapped"/>
    <s v="User Not Mapped"/>
    <s v="User Not Mapped"/>
    <n v="463359"/>
    <s v="Tarun Choudhury"/>
    <s v="Private Retailer"/>
    <s v="9932724926"/>
    <n v="27.405000000000001"/>
    <n v="154"/>
    <x v="4"/>
    <m/>
    <s v="2025-11-17"/>
    <s v="260177"/>
    <s v="SatyaRanjan Kundu and Brothers"/>
    <s v="7908186730"/>
  </r>
  <r>
    <s v="RCF Thal"/>
    <s v="N.C.Urea(45kg)"/>
    <s v="WB"/>
    <x v="17"/>
    <m/>
    <s v="User Not Mapped"/>
    <s v="User Not Mapped"/>
    <s v="User Not Mapped"/>
    <n v="1061950"/>
    <s v="TENTUL CHANDRA GHOSH"/>
    <s v="Private Retailer"/>
    <s v="9933122210"/>
    <n v="8.7999999999999995E-2"/>
    <n v="2443"/>
    <x v="2"/>
    <m/>
    <s v="2019-08-12"/>
    <s v="260177"/>
    <s v="SatyaRanjan Kundu and Brothers"/>
    <s v="7908186730"/>
  </r>
  <r>
    <s v="RCF Trombay"/>
    <s v="15-15-15"/>
    <s v="WB"/>
    <x v="17"/>
    <m/>
    <s v="User Not Mapped"/>
    <s v="User Not Mapped"/>
    <s v="User Not Mapped"/>
    <n v="1061950"/>
    <s v="TENTUL CHANDRA GHOSH"/>
    <s v="Private Retailer"/>
    <s v="9933122210"/>
    <n v="1.7649999999999999"/>
    <n v="2443"/>
    <x v="2"/>
    <m/>
    <s v="2019-08-12"/>
    <s v="260177"/>
    <s v="SatyaRanjan Kundu and Brothers"/>
    <s v="7908186730"/>
  </r>
  <r>
    <s v="RCF Trombay"/>
    <s v="N.C.Urea(45kg)"/>
    <s v="WB"/>
    <x v="17"/>
    <s v="Krishnaganj"/>
    <s v="User Not Mapped"/>
    <s v="User Not Mapped"/>
    <s v="User Not Mapped"/>
    <n v="458414"/>
    <s v="Tewary Fertilizer"/>
    <s v="Private Retailer"/>
    <s v="6294877534"/>
    <n v="2.7"/>
    <n v="52"/>
    <x v="3"/>
    <m/>
    <s v="2026-02-27"/>
    <s v="260177"/>
    <s v="SatyaRanjan Kundu and Brothers"/>
    <s v="7908186730"/>
  </r>
  <r>
    <s v="RCF Trombay"/>
    <s v="15-15-15"/>
    <s v="WB"/>
    <x v="17"/>
    <s v="Krishnaganj"/>
    <s v="User Not Mapped"/>
    <s v="User Not Mapped"/>
    <s v="User Not Mapped"/>
    <n v="458414"/>
    <s v="Tewary Fertilizer"/>
    <s v="Private Retailer"/>
    <s v="6294877534"/>
    <n v="4.25"/>
    <n v="52"/>
    <x v="3"/>
    <m/>
    <s v="2026-02-27"/>
    <s v="260177"/>
    <s v="SatyaRanjan Kundu and Brothers"/>
    <s v="7908186730"/>
  </r>
  <r>
    <s v="RCF Import"/>
    <s v="MOP"/>
    <s v="WB"/>
    <x v="17"/>
    <s v="Krishnaganj"/>
    <s v="User Not Mapped"/>
    <s v="User Not Mapped"/>
    <s v="User Not Mapped"/>
    <n v="458414"/>
    <s v="Tewary Fertilizer"/>
    <s v="Private Retailer"/>
    <s v="6294877534"/>
    <n v="2"/>
    <n v="52"/>
    <x v="3"/>
    <m/>
    <s v="2026-02-27"/>
    <s v="260177"/>
    <s v="SatyaRanjan Kundu and Brothers"/>
    <s v="7908186730"/>
  </r>
  <r>
    <s v="RCF Thal"/>
    <s v="N.C.Urea(45kg)"/>
    <s v="WB"/>
    <x v="17"/>
    <s v="Tehatta - II"/>
    <s v="User Not Mapped"/>
    <s v="User Not Mapped"/>
    <s v="User Not Mapped"/>
    <n v="895756"/>
    <s v="UTTAM BISWAS"/>
    <s v="Private Retailer"/>
    <s v="9733094687"/>
    <n v="0.45"/>
    <n v="446"/>
    <x v="0"/>
    <m/>
    <s v="2025-01-29"/>
    <s v="260177"/>
    <s v="SatyaRanjan Kundu and Brothers"/>
    <s v="7908186730"/>
  </r>
  <r>
    <s v="RCF Trombay"/>
    <s v="15-15-15"/>
    <s v="WB"/>
    <x v="17"/>
    <s v="Chapra"/>
    <s v="User Not Mapped"/>
    <s v="User Not Mapped"/>
    <s v="User Not Mapped"/>
    <n v="807122"/>
    <s v="LALTU FERTILIZER"/>
    <s v="Private Retailer"/>
    <s v="8343836925"/>
    <n v="0.05"/>
    <n v="2522"/>
    <x v="2"/>
    <m/>
    <s v="2019-05-25"/>
    <s v="389660"/>
    <s v="Sirajuddin Biswas"/>
    <s v="8641979947"/>
  </r>
  <r>
    <s v="RCF Trombay"/>
    <s v="15-15-15"/>
    <s v="WB"/>
    <x v="17"/>
    <m/>
    <s v="User Not Mapped"/>
    <s v="User Not Mapped"/>
    <s v="User Not Mapped"/>
    <n v="592182"/>
    <s v="MONDAL FERTILISER"/>
    <s v="Private Retailer"/>
    <s v="7076066705"/>
    <n v="1"/>
    <n v="2037"/>
    <x v="2"/>
    <m/>
    <s v="2020-09-21"/>
    <s v="389660"/>
    <s v="Sirajuddin Biswas"/>
    <s v="8641979947"/>
  </r>
  <r>
    <s v="RCF Trombay"/>
    <s v="15-15-15"/>
    <s v="WB"/>
    <x v="17"/>
    <s v="Chapra"/>
    <s v="User Not Mapped"/>
    <s v="User Not Mapped"/>
    <s v="User Not Mapped"/>
    <n v="1105868"/>
    <s v="MAA KALI FERTILIZER           "/>
    <s v="Private Retailer"/>
    <s v="9734878327"/>
    <n v="2.95"/>
    <n v="58"/>
    <x v="3"/>
    <m/>
    <s v="2026-02-21"/>
    <s v="1063524"/>
    <s v="SOURAV GUPTA"/>
    <s v="7001896546"/>
  </r>
  <r>
    <s v="RCF Trombay"/>
    <s v="15-15-15"/>
    <s v="WB"/>
    <x v="17"/>
    <s v="Kaliganj"/>
    <s v="User Not Mapped"/>
    <s v="User Not Mapped"/>
    <s v="User Not Mapped"/>
    <n v="441473"/>
    <s v="Safikul Islam"/>
    <s v="Private Retailer"/>
    <s v="7797378464"/>
    <n v="5"/>
    <n v="67"/>
    <x v="6"/>
    <m/>
    <s v="2026-02-12"/>
    <s v="1063524"/>
    <s v="SOURAV GUPTA"/>
    <s v="7001896546"/>
  </r>
  <r>
    <s v="RCF Trombay"/>
    <s v="15-15-15"/>
    <s v="WB"/>
    <x v="17"/>
    <s v="Nakashipara"/>
    <s v="User Not Mapped"/>
    <s v="User Not Mapped"/>
    <s v="User Not Mapped"/>
    <n v="898456"/>
    <s v="ABDUL MOTIN SHAIKH"/>
    <s v="Private Retailer"/>
    <s v="9733608613"/>
    <n v="9.25"/>
    <n v="815"/>
    <x v="2"/>
    <m/>
    <s v="2024-01-26"/>
    <s v="1198961"/>
    <s v="Subhankar Ghosh"/>
    <s v="9732806770"/>
  </r>
  <r>
    <s v="RCF Trombay"/>
    <s v="15-15-15"/>
    <s v="WB"/>
    <x v="17"/>
    <s v="Karimpur - I"/>
    <s v="User Not Mapped"/>
    <s v="User Not Mapped"/>
    <s v="User Not Mapped"/>
    <n v="224367"/>
    <s v="Abdul Hannan Shaikh"/>
    <s v="Private Retailer"/>
    <s v="9635560297"/>
    <n v="0.5"/>
    <n v="143"/>
    <x v="4"/>
    <m/>
    <s v="2025-11-28"/>
    <s v="342772"/>
    <s v="Subir Kumar Biswas"/>
    <s v="9932631270"/>
  </r>
  <r>
    <s v="RCF Trombay"/>
    <s v="15-15-15"/>
    <s v="WB"/>
    <x v="17"/>
    <s v="Karimpur - I"/>
    <s v="User Not Mapped"/>
    <s v="User Not Mapped"/>
    <s v="User Not Mapped"/>
    <n v="774805"/>
    <s v="ANARUL SEKH"/>
    <s v="Private Retailer"/>
    <s v="9734635098"/>
    <n v="0.75"/>
    <n v="304"/>
    <x v="1"/>
    <m/>
    <s v="2025-06-20"/>
    <s v="342772"/>
    <s v="Subir Kumar Biswas"/>
    <s v="9932631270"/>
  </r>
  <r>
    <s v="RCF Trombay"/>
    <s v="15-15-15"/>
    <s v="WB"/>
    <x v="17"/>
    <s v="Karimpur - II"/>
    <s v="User Not Mapped"/>
    <s v="User Not Mapped"/>
    <s v="User Not Mapped"/>
    <n v="1062326"/>
    <s v="ARINDAM MANDAL"/>
    <s v="Private Retailer"/>
    <s v="9734380029"/>
    <n v="0.15"/>
    <n v="35"/>
    <x v="3"/>
    <m/>
    <s v="2026-03-16"/>
    <s v="342772"/>
    <s v="Subir Kumar Biswas"/>
    <s v="9932631270"/>
  </r>
  <r>
    <s v="RCF Trombay"/>
    <s v="15-15-15"/>
    <s v="WB"/>
    <x v="17"/>
    <s v="Karimpur - II"/>
    <s v="User Not Mapped"/>
    <s v="User Not Mapped"/>
    <s v="User Not Mapped"/>
    <n v="1062326"/>
    <s v="ARINDAM MANDAL"/>
    <s v="Private Retailer"/>
    <s v="9734380029"/>
    <n v="0.5"/>
    <n v="26"/>
    <x v="5"/>
    <m/>
    <s v="2026-03-25"/>
    <s v="342772"/>
    <s v="Subir Kumar Biswas"/>
    <s v="9932631270"/>
  </r>
  <r>
    <s v="RCF Trombay"/>
    <s v="15-15-15"/>
    <s v="WB"/>
    <x v="17"/>
    <s v="Karimpur - II"/>
    <s v="User Not Mapped"/>
    <s v="User Not Mapped"/>
    <s v="User Not Mapped"/>
    <n v="340934"/>
    <s v="Asit  Kumar  Biswas"/>
    <s v="Private Retailer"/>
    <s v="9647086520"/>
    <n v="0.5"/>
    <n v="318"/>
    <x v="1"/>
    <m/>
    <s v="2025-06-06"/>
    <s v="342772"/>
    <s v="Subir Kumar Biswas"/>
    <s v="9932631270"/>
  </r>
  <r>
    <s v="RCF Trombay"/>
    <s v="15-15-15"/>
    <s v="WB"/>
    <x v="17"/>
    <s v="Karimpur - II"/>
    <s v="User Not Mapped"/>
    <s v="User Not Mapped"/>
    <s v="User Not Mapped"/>
    <n v="340934"/>
    <s v="Asit  Kumar  Biswas"/>
    <s v="Private Retailer"/>
    <s v="9647086520"/>
    <n v="0.5"/>
    <n v="133"/>
    <x v="4"/>
    <m/>
    <s v="2025-12-08"/>
    <s v="342772"/>
    <s v="Subir Kumar Biswas"/>
    <s v="9932631270"/>
  </r>
  <r>
    <s v="RCF Trombay"/>
    <s v="15-15-15"/>
    <s v="WB"/>
    <x v="17"/>
    <s v="Karimpur - I"/>
    <s v="User Not Mapped"/>
    <s v="User Not Mapped"/>
    <s v="User Not Mapped"/>
    <n v="1062376"/>
    <s v="ASRAFUL MONDAL"/>
    <s v="Private Retailer"/>
    <s v="8371042708"/>
    <n v="0.3"/>
    <n v="350"/>
    <x v="1"/>
    <m/>
    <s v="2025-05-05"/>
    <s v="342772"/>
    <s v="Subir Kumar Biswas"/>
    <s v="9932631270"/>
  </r>
  <r>
    <s v="RCF Trombay"/>
    <s v="15-15-15"/>
    <s v="WB"/>
    <x v="17"/>
    <s v="Karimpur - I"/>
    <s v="User Not Mapped"/>
    <s v="User Not Mapped"/>
    <s v="User Not Mapped"/>
    <n v="1062181"/>
    <s v="BAPPADITYA BISWAS"/>
    <s v="Private Retailer"/>
    <s v="9734557826"/>
    <n v="0.5"/>
    <n v="37"/>
    <x v="3"/>
    <m/>
    <s v="2026-03-14"/>
    <s v="342772"/>
    <s v="Subir Kumar Biswas"/>
    <s v="9932631270"/>
  </r>
  <r>
    <s v="RCF Trombay"/>
    <s v="15-15-15"/>
    <s v="WB"/>
    <x v="17"/>
    <s v="Karimpur - I"/>
    <s v="User Not Mapped"/>
    <s v="User Not Mapped"/>
    <s v="User Not Mapped"/>
    <n v="1062181"/>
    <s v="BAPPADITYA BISWAS"/>
    <s v="Private Retailer"/>
    <s v="9734557826"/>
    <n v="0.4"/>
    <n v="144"/>
    <x v="4"/>
    <m/>
    <s v="2025-11-27"/>
    <s v="342772"/>
    <s v="Subir Kumar Biswas"/>
    <s v="9932631270"/>
  </r>
  <r>
    <s v="RCF Trombay"/>
    <s v="15-15-15"/>
    <s v="WB"/>
    <x v="17"/>
    <s v="Karimpur - I"/>
    <s v="User Not Mapped"/>
    <s v="User Not Mapped"/>
    <s v="User Not Mapped"/>
    <n v="1062181"/>
    <s v="BAPPADITYA BISWAS"/>
    <s v="Private Retailer"/>
    <s v="9734557826"/>
    <n v="0.1"/>
    <n v="26"/>
    <x v="5"/>
    <m/>
    <s v="2026-03-25"/>
    <s v="342772"/>
    <s v="Subir Kumar Biswas"/>
    <s v="9932631270"/>
  </r>
  <r>
    <s v="RCF Trombay"/>
    <s v="15-15-15"/>
    <s v="WB"/>
    <x v="17"/>
    <s v="Karimpur - II"/>
    <s v="User Not Mapped"/>
    <s v="User Not Mapped"/>
    <s v="User Not Mapped"/>
    <n v="1062330"/>
    <s v="BHABESH MONDAL"/>
    <s v="Private Retailer"/>
    <s v="8348018268"/>
    <n v="0.15"/>
    <n v="35"/>
    <x v="3"/>
    <m/>
    <s v="2026-03-16"/>
    <s v="342772"/>
    <s v="Subir Kumar Biswas"/>
    <s v="9932631270"/>
  </r>
  <r>
    <s v="RCF Trombay"/>
    <s v="15-15-15"/>
    <s v="WB"/>
    <x v="17"/>
    <s v="Karimpur - II"/>
    <s v="User Not Mapped"/>
    <s v="User Not Mapped"/>
    <s v="User Not Mapped"/>
    <n v="1062330"/>
    <s v="BHABESH MONDAL"/>
    <s v="Private Retailer"/>
    <s v="8348018268"/>
    <n v="0.25"/>
    <n v="57"/>
    <x v="3"/>
    <m/>
    <s v="2026-02-22"/>
    <s v="342772"/>
    <s v="Subir Kumar Biswas"/>
    <s v="9932631270"/>
  </r>
  <r>
    <s v="RCF Trombay"/>
    <s v="15-15-15"/>
    <s v="WB"/>
    <x v="17"/>
    <s v="Karimpur - II"/>
    <s v="User Not Mapped"/>
    <s v="User Not Mapped"/>
    <s v="User Not Mapped"/>
    <n v="1062330"/>
    <s v="BHABESH MONDAL"/>
    <s v="Private Retailer"/>
    <s v="8348018268"/>
    <n v="0.25"/>
    <n v="37"/>
    <x v="3"/>
    <m/>
    <s v="2026-03-14"/>
    <s v="342772"/>
    <s v="Subir Kumar Biswas"/>
    <s v="9932631270"/>
  </r>
  <r>
    <s v="RCF Trombay"/>
    <s v="15-15-15"/>
    <s v="WB"/>
    <x v="17"/>
    <s v="Karimpur - II"/>
    <s v="User Not Mapped"/>
    <s v="User Not Mapped"/>
    <s v="User Not Mapped"/>
    <n v="490679"/>
    <s v="BISWAJIT GHOSH"/>
    <s v="Private Retailer"/>
    <s v="8768283501"/>
    <n v="1.5"/>
    <n v="29"/>
    <x v="5"/>
    <m/>
    <s v="2026-03-22"/>
    <s v="342772"/>
    <s v="Subir Kumar Biswas"/>
    <s v="9932631270"/>
  </r>
  <r>
    <s v="RCF Trombay"/>
    <s v="15-15-15"/>
    <s v="WB"/>
    <x v="17"/>
    <s v="Karimpur - II"/>
    <s v="User Not Mapped"/>
    <s v="User Not Mapped"/>
    <s v="User Not Mapped"/>
    <n v="490679"/>
    <s v="BISWAJIT GHOSH"/>
    <s v="Private Retailer"/>
    <s v="8768283501"/>
    <n v="1.5"/>
    <n v="26"/>
    <x v="5"/>
    <m/>
    <s v="2026-03-25"/>
    <s v="342772"/>
    <s v="Subir Kumar Biswas"/>
    <s v="9932631270"/>
  </r>
  <r>
    <s v="RCF Trombay"/>
    <s v="15-15-15"/>
    <s v="WB"/>
    <x v="17"/>
    <s v="Karimpur - II"/>
    <s v="User Not Mapped"/>
    <s v="User Not Mapped"/>
    <s v="User Not Mapped"/>
    <n v="490679"/>
    <s v="BISWAJIT GHOSH"/>
    <s v="Private Retailer"/>
    <s v="8768283501"/>
    <n v="1"/>
    <n v="45"/>
    <x v="3"/>
    <m/>
    <s v="2026-03-06"/>
    <s v="342772"/>
    <s v="Subir Kumar Biswas"/>
    <s v="9932631270"/>
  </r>
  <r>
    <s v="RCF Trombay"/>
    <s v="15-15-15"/>
    <s v="WB"/>
    <x v="17"/>
    <s v="Karimpur - II"/>
    <s v="User Not Mapped"/>
    <s v="User Not Mapped"/>
    <s v="User Not Mapped"/>
    <n v="490679"/>
    <s v="BISWAJIT GHOSH"/>
    <s v="Private Retailer"/>
    <s v="8768283501"/>
    <n v="0.8"/>
    <n v="67"/>
    <x v="6"/>
    <m/>
    <s v="2026-02-12"/>
    <s v="342772"/>
    <s v="Subir Kumar Biswas"/>
    <s v="9932631270"/>
  </r>
  <r>
    <s v="RCF Trombay"/>
    <s v="15-15-15"/>
    <s v="WB"/>
    <x v="17"/>
    <s v="Karimpur - II"/>
    <s v="User Not Mapped"/>
    <s v="User Not Mapped"/>
    <s v="User Not Mapped"/>
    <n v="490679"/>
    <s v="BISWAJIT GHOSH"/>
    <s v="Private Retailer"/>
    <s v="8768283501"/>
    <n v="0.75"/>
    <n v="57"/>
    <x v="3"/>
    <m/>
    <s v="2026-02-22"/>
    <s v="342772"/>
    <s v="Subir Kumar Biswas"/>
    <s v="9932631270"/>
  </r>
  <r>
    <s v="RCF Trombay"/>
    <s v="15-15-15"/>
    <s v="WB"/>
    <x v="17"/>
    <s v="Karimpur - II"/>
    <s v="User Not Mapped"/>
    <s v="User Not Mapped"/>
    <s v="User Not Mapped"/>
    <n v="490679"/>
    <s v="BISWAJIT GHOSH"/>
    <s v="Private Retailer"/>
    <s v="8768283501"/>
    <n v="2"/>
    <n v="53"/>
    <x v="3"/>
    <m/>
    <s v="2026-02-26"/>
    <s v="342772"/>
    <s v="Subir Kumar Biswas"/>
    <s v="9932631270"/>
  </r>
  <r>
    <s v="RCF Trombay"/>
    <s v="15-15-15"/>
    <s v="WB"/>
    <x v="17"/>
    <s v="Karimpur - II"/>
    <s v="User Not Mapped"/>
    <s v="User Not Mapped"/>
    <s v="User Not Mapped"/>
    <n v="1062366"/>
    <s v="DEBU BISWAS"/>
    <s v="Private Retailer"/>
    <s v="8768247208"/>
    <n v="1"/>
    <n v="122"/>
    <x v="4"/>
    <m/>
    <s v="2025-12-19"/>
    <s v="342772"/>
    <s v="Subir Kumar Biswas"/>
    <s v="9932631270"/>
  </r>
  <r>
    <s v="RCF Trombay"/>
    <s v="15-15-15"/>
    <s v="WB"/>
    <x v="17"/>
    <s v="Karimpur - II"/>
    <s v="User Not Mapped"/>
    <s v="User Not Mapped"/>
    <s v="User Not Mapped"/>
    <n v="1062366"/>
    <s v="DEBU BISWAS"/>
    <s v="Private Retailer"/>
    <s v="8768247208"/>
    <n v="0.4"/>
    <n v="350"/>
    <x v="1"/>
    <m/>
    <s v="2025-05-05"/>
    <s v="342772"/>
    <s v="Subir Kumar Biswas"/>
    <s v="9932631270"/>
  </r>
  <r>
    <s v="RCF Trombay"/>
    <s v="15-15-15"/>
    <s v="WB"/>
    <x v="17"/>
    <s v="Karimpur - II"/>
    <s v="User Not Mapped"/>
    <s v="User Not Mapped"/>
    <s v="User Not Mapped"/>
    <n v="1062366"/>
    <s v="DEBU BISWAS"/>
    <s v="Private Retailer"/>
    <s v="8768247208"/>
    <n v="1"/>
    <n v="67"/>
    <x v="6"/>
    <m/>
    <s v="2026-02-12"/>
    <s v="342772"/>
    <s v="Subir Kumar Biswas"/>
    <s v="9932631270"/>
  </r>
  <r>
    <s v="RCF Trombay"/>
    <s v="15-15-15"/>
    <s v="WB"/>
    <x v="17"/>
    <s v="Karimpur - II"/>
    <s v="User Not Mapped"/>
    <s v="User Not Mapped"/>
    <s v="User Not Mapped"/>
    <n v="1062366"/>
    <s v="DEBU BISWAS"/>
    <s v="Private Retailer"/>
    <s v="8768247208"/>
    <n v="0.5"/>
    <n v="144"/>
    <x v="4"/>
    <m/>
    <s v="2025-11-27"/>
    <s v="342772"/>
    <s v="Subir Kumar Biswas"/>
    <s v="9932631270"/>
  </r>
  <r>
    <s v="RCF Trombay"/>
    <s v="15-15-15"/>
    <s v="WB"/>
    <x v="17"/>
    <s v="Karimpur - II"/>
    <s v="User Not Mapped"/>
    <s v="User Not Mapped"/>
    <s v="User Not Mapped"/>
    <n v="1062310"/>
    <s v="DIPANKAR BISWAS"/>
    <s v="Private Retailer"/>
    <s v="9609082043"/>
    <n v="0.1"/>
    <n v="349"/>
    <x v="1"/>
    <m/>
    <s v="2025-05-06"/>
    <s v="342772"/>
    <s v="Subir Kumar Biswas"/>
    <s v="9932631270"/>
  </r>
  <r>
    <s v="RCF Trombay"/>
    <s v="15-15-15"/>
    <s v="WB"/>
    <x v="17"/>
    <s v="Karimpur - II"/>
    <s v="User Not Mapped"/>
    <s v="User Not Mapped"/>
    <s v="User Not Mapped"/>
    <n v="341331"/>
    <s v="Engraj Mondal"/>
    <s v="Private Retailer"/>
    <s v="9775046067"/>
    <n v="0.1"/>
    <n v="133"/>
    <x v="4"/>
    <m/>
    <s v="2025-12-08"/>
    <s v="342772"/>
    <s v="Subir Kumar Biswas"/>
    <s v="9932631270"/>
  </r>
  <r>
    <s v="RCF Trombay"/>
    <s v="15-15-15"/>
    <s v="WB"/>
    <x v="17"/>
    <s v="Karimpur - II"/>
    <s v="User Not Mapped"/>
    <s v="User Not Mapped"/>
    <s v="User Not Mapped"/>
    <n v="1062286"/>
    <s v="GOLAM MURTUJA SHAIKH"/>
    <s v="Private Retailer"/>
    <s v="9735624731"/>
    <n v="0.5"/>
    <n v="350"/>
    <x v="1"/>
    <m/>
    <s v="2025-05-05"/>
    <s v="342772"/>
    <s v="Subir Kumar Biswas"/>
    <s v="9932631270"/>
  </r>
  <r>
    <s v="RCF Thal"/>
    <s v="N.C.Urea(45kg)"/>
    <s v="WB"/>
    <x v="17"/>
    <s v="Karimpur - II"/>
    <s v="User Not Mapped"/>
    <s v="User Not Mapped"/>
    <s v="User Not Mapped"/>
    <n v="1062286"/>
    <s v="GOLAM MURTUJA SHAIKH"/>
    <s v="Private Retailer"/>
    <s v="9735624731"/>
    <n v="0.09"/>
    <n v="1710"/>
    <x v="2"/>
    <m/>
    <s v="2021-08-14"/>
    <s v="342772"/>
    <s v="Subir Kumar Biswas"/>
    <s v="9932631270"/>
  </r>
  <r>
    <s v="RCF Trombay"/>
    <s v="15-15-15"/>
    <s v="WB"/>
    <x v="17"/>
    <s v="Karimpur - II"/>
    <s v="User Not Mapped"/>
    <s v="User Not Mapped"/>
    <s v="User Not Mapped"/>
    <n v="1062286"/>
    <s v="GOLAM MURTUJA SHAIKH"/>
    <s v="Private Retailer"/>
    <s v="9735624731"/>
    <n v="0.25"/>
    <n v="757"/>
    <x v="2"/>
    <m/>
    <s v="2024-03-24"/>
    <s v="342772"/>
    <s v="Subir Kumar Biswas"/>
    <s v="9932631270"/>
  </r>
  <r>
    <s v="RCF Trombay"/>
    <s v="15-15-15"/>
    <s v="WB"/>
    <x v="17"/>
    <s v="Karimpur - II"/>
    <s v="User Not Mapped"/>
    <s v="User Not Mapped"/>
    <s v="User Not Mapped"/>
    <n v="1062286"/>
    <s v="GOLAM MURTUJA SHAIKH"/>
    <s v="Private Retailer"/>
    <s v="9735624731"/>
    <n v="0.75"/>
    <n v="304"/>
    <x v="1"/>
    <m/>
    <s v="2025-06-20"/>
    <s v="342772"/>
    <s v="Subir Kumar Biswas"/>
    <s v="9932631270"/>
  </r>
  <r>
    <s v="RCF Trombay"/>
    <s v="15-15-15"/>
    <s v="WB"/>
    <x v="17"/>
    <s v="Karimpur - II"/>
    <s v="User Not Mapped"/>
    <s v="User Not Mapped"/>
    <s v="User Not Mapped"/>
    <n v="1062282"/>
    <s v="GOUTAM KARMAKAR"/>
    <s v="Private Retailer"/>
    <s v="9734758097"/>
    <n v="0.5"/>
    <n v="53"/>
    <x v="3"/>
    <m/>
    <s v="2026-02-26"/>
    <s v="342772"/>
    <s v="Subir Kumar Biswas"/>
    <s v="9932631270"/>
  </r>
  <r>
    <s v="RCF Trombay"/>
    <s v="15-15-15"/>
    <s v="WB"/>
    <x v="17"/>
    <s v="Karimpur - I"/>
    <s v="User Not Mapped"/>
    <s v="User Not Mapped"/>
    <s v="User Not Mapped"/>
    <n v="482924"/>
    <s v="Jahurul Biswas"/>
    <s v="Private Retailer"/>
    <s v="9735254501"/>
    <n v="1.5"/>
    <n v="148"/>
    <x v="4"/>
    <m/>
    <s v="2025-11-23"/>
    <s v="342772"/>
    <s v="Subir Kumar Biswas"/>
    <s v="9932631270"/>
  </r>
  <r>
    <s v="RCF Trombay"/>
    <s v="15-15-15"/>
    <s v="WB"/>
    <x v="17"/>
    <s v="Karimpur - I"/>
    <s v="User Not Mapped"/>
    <s v="User Not Mapped"/>
    <s v="User Not Mapped"/>
    <n v="341530"/>
    <s v="Janadev Kundu"/>
    <s v="Private Retailer"/>
    <s v="9775234966"/>
    <n v="1.75"/>
    <n v="38"/>
    <x v="3"/>
    <m/>
    <s v="2026-03-13"/>
    <s v="342772"/>
    <s v="Subir Kumar Biswas"/>
    <s v="9932631270"/>
  </r>
  <r>
    <s v="RCF Trombay"/>
    <s v="15-15-15"/>
    <s v="WB"/>
    <x v="17"/>
    <s v="Karimpur - I"/>
    <s v="User Not Mapped"/>
    <s v="User Not Mapped"/>
    <s v="User Not Mapped"/>
    <n v="341530"/>
    <s v="Janadev Kundu"/>
    <s v="Private Retailer"/>
    <s v="9775234966"/>
    <n v="0.05"/>
    <n v="143"/>
    <x v="4"/>
    <m/>
    <s v="2025-11-28"/>
    <s v="342772"/>
    <s v="Subir Kumar Biswas"/>
    <s v="9932631270"/>
  </r>
  <r>
    <s v="RCF Trombay"/>
    <s v="15-15-15"/>
    <s v="WB"/>
    <x v="17"/>
    <s v="Karimpur - II"/>
    <s v="User Not Mapped"/>
    <s v="User Not Mapped"/>
    <s v="User Not Mapped"/>
    <n v="341543"/>
    <s v="Jaydaeb  Biswas"/>
    <s v="Private Retailer"/>
    <s v="9732905091"/>
    <n v="1.55"/>
    <n v="61"/>
    <x v="6"/>
    <m/>
    <s v="2026-02-18"/>
    <s v="342772"/>
    <s v="Subir Kumar Biswas"/>
    <s v="9932631270"/>
  </r>
  <r>
    <s v="RCF Trombay"/>
    <s v="15-15-15"/>
    <s v="WB"/>
    <x v="17"/>
    <s v="Karimpur - II"/>
    <s v="User Not Mapped"/>
    <s v="User Not Mapped"/>
    <s v="User Not Mapped"/>
    <n v="1274609"/>
    <s v="M/S BIDWAN SHIL"/>
    <s v="Private Retailer"/>
    <s v="9564150517"/>
    <n v="0.15"/>
    <n v="58"/>
    <x v="3"/>
    <m/>
    <s v="2026-02-21"/>
    <s v="342772"/>
    <s v="Subir Kumar Biswas"/>
    <s v="9932631270"/>
  </r>
  <r>
    <s v="RCF Trombay"/>
    <s v="15-15-15"/>
    <s v="WB"/>
    <x v="17"/>
    <s v="Karimpur - II"/>
    <s v="User Not Mapped"/>
    <s v="User Not Mapped"/>
    <s v="User Not Mapped"/>
    <n v="1274609"/>
    <s v="M/S BIDWAN SHIL"/>
    <s v="Private Retailer"/>
    <s v="9564150517"/>
    <n v="0.05"/>
    <n v="350"/>
    <x v="1"/>
    <m/>
    <s v="2025-05-05"/>
    <s v="342772"/>
    <s v="Subir Kumar Biswas"/>
    <s v="9932631270"/>
  </r>
  <r>
    <s v="RCF Trombay"/>
    <s v="15-15-15"/>
    <s v="WB"/>
    <x v="17"/>
    <s v="Karimpur - II"/>
    <s v="User Not Mapped"/>
    <s v="User Not Mapped"/>
    <s v="User Not Mapped"/>
    <n v="514425"/>
    <s v="M/S Sajahan Halsana"/>
    <s v="Private Retailer"/>
    <s v="8535949539"/>
    <n v="8.85"/>
    <n v="114"/>
    <x v="7"/>
    <m/>
    <s v="2025-12-27"/>
    <s v="342772"/>
    <s v="Subir Kumar Biswas"/>
    <s v="9932631270"/>
  </r>
  <r>
    <s v="RCF Trombay"/>
    <s v="15-15-15"/>
    <s v="WB"/>
    <x v="17"/>
    <s v="Karimpur - II"/>
    <s v="User Not Mapped"/>
    <s v="User Not Mapped"/>
    <s v="User Not Mapped"/>
    <n v="514425"/>
    <s v="M/S Sajahan Halsana"/>
    <s v="Private Retailer"/>
    <s v="8535949539"/>
    <n v="1.6"/>
    <n v="148"/>
    <x v="4"/>
    <m/>
    <s v="2025-11-23"/>
    <s v="342772"/>
    <s v="Subir Kumar Biswas"/>
    <s v="9932631270"/>
  </r>
  <r>
    <s v="RCF Trombay"/>
    <s v="15-15-15"/>
    <s v="WB"/>
    <x v="17"/>
    <s v="Karimpur - I"/>
    <s v="User Not Mapped"/>
    <s v="User Not Mapped"/>
    <s v="User Not Mapped"/>
    <n v="387475"/>
    <s v="M/S. Nirmal Kr Biswas"/>
    <s v="Private Retailer"/>
    <s v="9593258044"/>
    <n v="0.25"/>
    <n v="144"/>
    <x v="4"/>
    <m/>
    <s v="2025-11-27"/>
    <s v="342772"/>
    <s v="Subir Kumar Biswas"/>
    <s v="9932631270"/>
  </r>
  <r>
    <s v="RCF Trombay"/>
    <s v="15-15-15"/>
    <s v="WB"/>
    <x v="17"/>
    <s v="Karimpur - II"/>
    <s v="User Not Mapped"/>
    <s v="User Not Mapped"/>
    <s v="User Not Mapped"/>
    <n v="341774"/>
    <s v="Madhab Chandra Sarkar"/>
    <s v="Private Retailer"/>
    <s v="9734826577"/>
    <n v="0.5"/>
    <n v="123"/>
    <x v="4"/>
    <m/>
    <s v="2025-12-18"/>
    <s v="342772"/>
    <s v="Subir Kumar Biswas"/>
    <s v="9932631270"/>
  </r>
  <r>
    <s v="RCF Trombay"/>
    <s v="15-15-15"/>
    <s v="WB"/>
    <x v="17"/>
    <s v="Karimpur - II"/>
    <s v="User Not Mapped"/>
    <s v="User Not Mapped"/>
    <s v="User Not Mapped"/>
    <n v="341774"/>
    <s v="Madhab Chandra Sarkar"/>
    <s v="Private Retailer"/>
    <s v="9734826577"/>
    <n v="0.85"/>
    <n v="133"/>
    <x v="4"/>
    <m/>
    <s v="2025-12-08"/>
    <s v="342772"/>
    <s v="Subir Kumar Biswas"/>
    <s v="9932631270"/>
  </r>
  <r>
    <s v="RCF Trombay"/>
    <s v="15-15-15"/>
    <s v="WB"/>
    <x v="17"/>
    <s v="Chapra"/>
    <s v="User Not Mapped"/>
    <s v="User Not Mapped"/>
    <s v="User Not Mapped"/>
    <n v="438032"/>
    <s v="MS MONDAL FERTILIZER"/>
    <s v="Private Retailer"/>
    <s v="8001385486"/>
    <n v="5"/>
    <n v="42"/>
    <x v="3"/>
    <m/>
    <s v="2026-03-09"/>
    <s v="342772"/>
    <s v="Subir Kumar Biswas"/>
    <s v="9932631270"/>
  </r>
  <r>
    <s v="RCF Trombay"/>
    <s v="15-15-15"/>
    <s v="WB"/>
    <x v="17"/>
    <s v="Karimpur - II"/>
    <s v="User Not Mapped"/>
    <s v="User Not Mapped"/>
    <s v="User Not Mapped"/>
    <n v="356106"/>
    <s v="Sada Nanda Mandal"/>
    <s v="Private Retailer"/>
    <s v="9735242237"/>
    <n v="0.5"/>
    <n v="57"/>
    <x v="3"/>
    <m/>
    <s v="2026-02-22"/>
    <s v="342772"/>
    <s v="Subir Kumar Biswas"/>
    <s v="9932631270"/>
  </r>
  <r>
    <s v="RCF Trombay"/>
    <s v="15-15-15"/>
    <s v="WB"/>
    <x v="17"/>
    <s v="Karimpur - II"/>
    <s v="User Not Mapped"/>
    <s v="User Not Mapped"/>
    <s v="User Not Mapped"/>
    <n v="1062699"/>
    <s v="SANJAY DEBNATH"/>
    <s v="Private Retailer"/>
    <s v="7797084162"/>
    <n v="0.5"/>
    <n v="960"/>
    <x v="2"/>
    <m/>
    <s v="2023-09-03"/>
    <s v="342772"/>
    <s v="Subir Kumar Biswas"/>
    <s v="9932631270"/>
  </r>
  <r>
    <s v="RCF Trombay"/>
    <s v="15-15-15"/>
    <s v="WB"/>
    <x v="17"/>
    <s v="Karimpur - II"/>
    <s v="User Not Mapped"/>
    <s v="User Not Mapped"/>
    <s v="User Not Mapped"/>
    <n v="1062344"/>
    <s v="SHEKHAR MONDAL"/>
    <s v="Private Retailer"/>
    <s v="9733846306"/>
    <n v="0.05"/>
    <n v="37"/>
    <x v="3"/>
    <m/>
    <s v="2026-03-14"/>
    <s v="342772"/>
    <s v="Subir Kumar Biswas"/>
    <s v="9932631270"/>
  </r>
  <r>
    <s v="RCF Trombay"/>
    <s v="15-15-15"/>
    <s v="WB"/>
    <x v="17"/>
    <m/>
    <s v="User Not Mapped"/>
    <s v="User Not Mapped"/>
    <s v="User Not Mapped"/>
    <n v="1062302"/>
    <s v="SUBHAS CHANDRA DAS"/>
    <s v="Private Retailer"/>
    <s v="9734088794"/>
    <n v="2"/>
    <n v="934"/>
    <x v="2"/>
    <m/>
    <s v="2023-09-29"/>
    <s v="342772"/>
    <s v="Subir Kumar Biswas"/>
    <s v="9932631270"/>
  </r>
  <r>
    <s v="RCF Trombay"/>
    <s v="N.C.Urea(45kg)"/>
    <s v="WB"/>
    <x v="17"/>
    <s v="Karimpur - II"/>
    <s v="User Not Mapped"/>
    <s v="User Not Mapped"/>
    <s v="User Not Mapped"/>
    <n v="1087647"/>
    <s v="SUBODH CHANDRA MONDAL"/>
    <s v="Private Retailer"/>
    <s v="9734554979"/>
    <n v="3.1949999999999998"/>
    <n v="861"/>
    <x v="2"/>
    <m/>
    <s v="2023-12-11"/>
    <s v="342772"/>
    <s v="Subir Kumar Biswas"/>
    <s v="9932631270"/>
  </r>
  <r>
    <s v="RCF Trombay"/>
    <s v="15-15-15"/>
    <s v="WB"/>
    <x v="17"/>
    <s v="Karimpur - I"/>
    <s v="User Not Mapped"/>
    <s v="User Not Mapped"/>
    <s v="User Not Mapped"/>
    <n v="1368110"/>
    <s v="SUMAN MANDAL"/>
    <s v="Private Retailer"/>
    <s v="7699402273"/>
    <n v="0.75"/>
    <n v="67"/>
    <x v="6"/>
    <m/>
    <s v="2026-02-12"/>
    <s v="342772"/>
    <s v="Subir Kumar Biswas"/>
    <s v="9932631270"/>
  </r>
  <r>
    <s v="RCF Trombay"/>
    <s v="15-15-15"/>
    <s v="WB"/>
    <x v="17"/>
    <s v="Karimpur - I"/>
    <s v="User Not Mapped"/>
    <s v="User Not Mapped"/>
    <s v="User Not Mapped"/>
    <n v="1368110"/>
    <s v="SUMAN MANDAL"/>
    <s v="Private Retailer"/>
    <s v="7699402273"/>
    <n v="0.5"/>
    <n v="26"/>
    <x v="5"/>
    <m/>
    <s v="2026-03-25"/>
    <s v="342772"/>
    <s v="Subir Kumar Biswas"/>
    <s v="9932631270"/>
  </r>
  <r>
    <s v="RCF Trombay"/>
    <s v="15-15-15"/>
    <s v="WB"/>
    <x v="17"/>
    <s v="Karimpur - I"/>
    <s v="User Not Mapped"/>
    <s v="User Not Mapped"/>
    <s v="User Not Mapped"/>
    <n v="1368110"/>
    <s v="SUMAN MANDAL"/>
    <s v="Private Retailer"/>
    <s v="7699402273"/>
    <n v="0.5"/>
    <n v="57"/>
    <x v="3"/>
    <m/>
    <s v="2026-02-22"/>
    <s v="342772"/>
    <s v="Subir Kumar Biswas"/>
    <s v="9932631270"/>
  </r>
  <r>
    <s v="RCF Trombay"/>
    <s v="15-15-15"/>
    <s v="WB"/>
    <x v="17"/>
    <s v="Tehatta - I"/>
    <s v="User Not Mapped"/>
    <s v="User Not Mapped"/>
    <s v="User Not Mapped"/>
    <n v="411628"/>
    <s v="Swapan Kumar Mondal"/>
    <s v="Private Retailer"/>
    <s v="9800378461"/>
    <n v="2.15"/>
    <n v="148"/>
    <x v="4"/>
    <m/>
    <s v="2025-11-23"/>
    <s v="342772"/>
    <s v="Subir Kumar Biswas"/>
    <s v="9932631270"/>
  </r>
  <r>
    <s v="RCF Thal"/>
    <s v="N.C.Urea(45kg)"/>
    <s v="WB"/>
    <x v="17"/>
    <m/>
    <s v="User Not Mapped"/>
    <s v="User Not Mapped"/>
    <s v="User Not Mapped"/>
    <n v="896732"/>
    <s v="HAFIZUR RAHAMAN"/>
    <s v="Private Retailer"/>
    <s v="7029160149"/>
    <n v="0.36"/>
    <n v="2231"/>
    <x v="2"/>
    <m/>
    <s v="2020-03-11"/>
    <s v="441019"/>
    <s v="Sudhansu Chatterjee"/>
    <s v="9733489231"/>
  </r>
  <r>
    <s v="RCF Trombay"/>
    <s v="15-15-15"/>
    <s v="WB"/>
    <x v="17"/>
    <s v="Ranaghat - I"/>
    <s v="User Not Mapped"/>
    <s v="User Not Mapped"/>
    <s v="User Not Mapped"/>
    <n v="627492"/>
    <s v="SARAJIT MONDAL"/>
    <s v="Private Retailer"/>
    <s v="9933516060"/>
    <n v="1.05"/>
    <n v="473"/>
    <x v="0"/>
    <m/>
    <s v="2025-01-02"/>
    <s v="388956"/>
    <s v="Sudhendu Saha"/>
    <s v="6294824935"/>
  </r>
  <r>
    <s v="RCF Trombay"/>
    <s v="15-15-15"/>
    <s v="WB"/>
    <x v="17"/>
    <m/>
    <s v="User Not Mapped"/>
    <s v="User Not Mapped"/>
    <s v="User Not Mapped"/>
    <n v="1062209"/>
    <s v="MUKUL KANTI SIKDAR"/>
    <s v="Private Retailer"/>
    <s v="9734215365"/>
    <n v="0.15"/>
    <n v="2360"/>
    <x v="2"/>
    <m/>
    <s v="2019-11-03"/>
    <s v="497602"/>
    <s v="Sudhir Sikdar"/>
    <s v="9474732860"/>
  </r>
  <r>
    <s v="RCF Trombay"/>
    <s v="N.C.Urea(45kg)"/>
    <s v="WB"/>
    <x v="17"/>
    <m/>
    <s v="User Not Mapped"/>
    <s v="User Not Mapped"/>
    <s v="User Not Mapped"/>
    <n v="1062360"/>
    <s v="RANJIT KUMAR SARKAR"/>
    <s v="Private Retailer"/>
    <s v="9733320492"/>
    <n v="0.45"/>
    <n v="2234"/>
    <x v="2"/>
    <m/>
    <s v="2020-03-08"/>
    <s v="497602"/>
    <s v="Sudhir Sikdar"/>
    <s v="9474732860"/>
  </r>
  <r>
    <s v="RCF Trombay"/>
    <s v="15-15-15"/>
    <s v="WB"/>
    <x v="17"/>
    <m/>
    <s v="User Not Mapped"/>
    <s v="User Not Mapped"/>
    <s v="User Not Mapped"/>
    <n v="1062360"/>
    <s v="RANJIT KUMAR SARKAR"/>
    <s v="Private Retailer"/>
    <s v="9733320492"/>
    <n v="0.75"/>
    <n v="2270"/>
    <x v="2"/>
    <m/>
    <s v="2020-02-01"/>
    <s v="497602"/>
    <s v="Sudhir Sikdar"/>
    <s v="9474732860"/>
  </r>
  <r>
    <s v="RCF Trombay"/>
    <s v="15-15-15"/>
    <s v="WB"/>
    <x v="17"/>
    <m/>
    <s v="User Not Mapped"/>
    <s v="User Not Mapped"/>
    <s v="User Not Mapped"/>
    <n v="1062428"/>
    <s v="SADHAN KUMAR DEY"/>
    <s v="Private Retailer"/>
    <s v="8768161783"/>
    <n v="0.05"/>
    <n v="2184"/>
    <x v="2"/>
    <m/>
    <s v="2020-04-27"/>
    <s v="497602"/>
    <s v="Sudhir Sikdar"/>
    <s v="9474732860"/>
  </r>
  <r>
    <s v="RCF Trombay"/>
    <s v="15-15-15"/>
    <s v="WB"/>
    <x v="17"/>
    <m/>
    <s v="User Not Mapped"/>
    <s v="User Not Mapped"/>
    <s v="User Not Mapped"/>
    <n v="1062428"/>
    <s v="SADHAN KUMAR DEY"/>
    <s v="Private Retailer"/>
    <s v="8768161783"/>
    <n v="0.25"/>
    <n v="2072"/>
    <x v="2"/>
    <m/>
    <s v="2020-08-17"/>
    <s v="497602"/>
    <s v="Sudhir Sikdar"/>
    <s v="9474732860"/>
  </r>
  <r>
    <s v="RCF Trombay"/>
    <s v="15-15-15"/>
    <s v="WB"/>
    <x v="17"/>
    <m/>
    <s v="User Not Mapped"/>
    <s v="User Not Mapped"/>
    <s v="User Not Mapped"/>
    <n v="1062691"/>
    <s v="SHIB SANKAR BISWAS"/>
    <s v="Private Retailer"/>
    <s v="8768247536"/>
    <n v="0.1"/>
    <n v="2538"/>
    <x v="2"/>
    <m/>
    <s v="2019-05-09"/>
    <s v="497602"/>
    <s v="Sudhir Sikdar"/>
    <s v="9474732860"/>
  </r>
  <r>
    <s v="RCF Trombay"/>
    <s v="15-15-15"/>
    <s v="WB"/>
    <x v="17"/>
    <m/>
    <s v="User Not Mapped"/>
    <s v="User Not Mapped"/>
    <s v="User Not Mapped"/>
    <n v="341936"/>
    <s v="Minajul Hoque Mondal"/>
    <s v="Private Retailer"/>
    <s v="7872738474"/>
    <n v="0.1"/>
    <n v="2187"/>
    <x v="2"/>
    <m/>
    <s v="2020-04-24"/>
    <s v="342576"/>
    <s v="Tapan Kr. Mandal"/>
    <s v="9382122260"/>
  </r>
  <r>
    <s v="RCF Trombay"/>
    <s v="15-15-15"/>
    <s v="WB"/>
    <x v="17"/>
    <s v="Nabadwip"/>
    <s v="User Not Mapped"/>
    <s v="User Not Mapped"/>
    <s v="User Not Mapped"/>
    <n v="944036"/>
    <s v="MONDAL FERTILIZER"/>
    <s v="Private Retailer"/>
    <s v="9609996591"/>
    <n v="0.1"/>
    <n v="175"/>
    <x v="4"/>
    <m/>
    <s v="2025-10-27"/>
    <s v="892991"/>
    <s v="TAPAS KUMAR SADHUKHAN"/>
    <s v="9749807346"/>
  </r>
  <r>
    <s v="RCF Trombay"/>
    <s v="15-15-15"/>
    <s v="WB"/>
    <x v="17"/>
    <m/>
    <s v="User Not Mapped"/>
    <s v="User Not Mapped"/>
    <s v="User Not Mapped"/>
    <n v="933565"/>
    <s v="SADHAN KUMAR GHOSH"/>
    <s v="Private Retailer"/>
    <s v="9475605703"/>
    <n v="0.1"/>
    <n v="2579"/>
    <x v="2"/>
    <m/>
    <s v="2019-03-29"/>
    <s v="892991"/>
    <s v="TAPAS KUMAR SADHUKHAN"/>
    <s v="9749807346"/>
  </r>
  <r>
    <s v="RCF Trombay"/>
    <s v="15-15-15"/>
    <s v="WB"/>
    <x v="17"/>
    <s v="Krishnagar - I"/>
    <s v="User Not Mapped"/>
    <s v="User Not Mapped"/>
    <s v="User Not Mapped"/>
    <n v="892609"/>
    <s v="SHISHIR NAG"/>
    <s v="Private Retailer"/>
    <s v="9635616680"/>
    <n v="0.02"/>
    <n v="1830"/>
    <x v="2"/>
    <m/>
    <s v="2021-04-16"/>
    <s v="892991"/>
    <s v="TAPAS KUMAR SADHUKHAN"/>
    <s v="9749807346"/>
  </r>
  <r>
    <s v="RCF Thal"/>
    <s v="N.C.Urea(45kg)"/>
    <s v="WB"/>
    <x v="17"/>
    <s v="Tehatta - I"/>
    <s v="User Not Mapped"/>
    <s v="User Not Mapped"/>
    <s v="User Not Mapped"/>
    <n v="914058"/>
    <s v="ACHINTA MONDAL"/>
    <s v="Private Retailer"/>
    <s v="7407778217"/>
    <n v="4.9950000000000001"/>
    <n v="17"/>
    <x v="5"/>
    <m/>
    <s v="2026-04-03"/>
    <s v="260179"/>
    <s v="Tarun Kumar Saha"/>
    <s v="8116312974"/>
  </r>
  <r>
    <s v="RCF Thal"/>
    <s v="N.C.Urea(45kg)"/>
    <s v="WB"/>
    <x v="17"/>
    <s v="Tehatta - I"/>
    <s v="User Not Mapped"/>
    <s v="User Not Mapped"/>
    <s v="User Not Mapped"/>
    <n v="913679"/>
    <s v="APARNA GHOSH"/>
    <s v="Private Retailer"/>
    <s v="9593028318"/>
    <n v="4.8150000000000004"/>
    <n v="17"/>
    <x v="5"/>
    <m/>
    <s v="2026-04-03"/>
    <s v="260179"/>
    <s v="Tarun Kumar Saha"/>
    <s v="8116312974"/>
  </r>
  <r>
    <s v="RCF Trombay"/>
    <s v="N.C.Urea(45kg)"/>
    <s v="WB"/>
    <x v="17"/>
    <s v="Tehatta - I"/>
    <s v="User Not Mapped"/>
    <s v="User Not Mapped"/>
    <s v="User Not Mapped"/>
    <n v="440382"/>
    <s v="Bikash Mondal"/>
    <s v="Private Retailer"/>
    <s v="9126309659"/>
    <n v="3.5550000000000002"/>
    <n v="135"/>
    <x v="4"/>
    <m/>
    <s v="2025-12-06"/>
    <s v="260179"/>
    <s v="Tarun Kumar Saha"/>
    <s v="8116312974"/>
  </r>
  <r>
    <s v="RCF Trombay"/>
    <s v="N.C.Urea(45kg)"/>
    <s v="WB"/>
    <x v="17"/>
    <s v="Hanskhali"/>
    <s v="User Not Mapped"/>
    <s v="User Not Mapped"/>
    <s v="User Not Mapped"/>
    <n v="341108"/>
    <s v="Bipul Biswas"/>
    <s v="Private Retailer"/>
    <s v="9800441016"/>
    <n v="4.9950000000000001"/>
    <n v="56"/>
    <x v="3"/>
    <m/>
    <s v="2026-02-23"/>
    <s v="260179"/>
    <s v="Tarun Kumar Saha"/>
    <s v="8116312974"/>
  </r>
  <r>
    <s v="RCF Trombay"/>
    <s v="15-15-15"/>
    <s v="WB"/>
    <x v="17"/>
    <s v="Hanskhali"/>
    <s v="User Not Mapped"/>
    <s v="User Not Mapped"/>
    <s v="User Not Mapped"/>
    <n v="341108"/>
    <s v="Bipul Biswas"/>
    <s v="Private Retailer"/>
    <s v="9800441016"/>
    <n v="5"/>
    <n v="56"/>
    <x v="3"/>
    <m/>
    <s v="2026-02-23"/>
    <s v="260179"/>
    <s v="Tarun Kumar Saha"/>
    <s v="8116312974"/>
  </r>
  <r>
    <s v="RCF Thal"/>
    <s v="N.C.Urea(45kg)"/>
    <s v="WB"/>
    <x v="17"/>
    <s v="Krishnagar - I"/>
    <s v="User Not Mapped"/>
    <s v="User Not Mapped"/>
    <s v="User Not Mapped"/>
    <n v="413498"/>
    <s v="Biswas Fertilizers"/>
    <s v="Private Retailer"/>
    <s v="9800494055"/>
    <n v="4.5449999999999999"/>
    <n v="17"/>
    <x v="5"/>
    <m/>
    <s v="2026-04-03"/>
    <s v="260179"/>
    <s v="Tarun Kumar Saha"/>
    <s v="8116312974"/>
  </r>
  <r>
    <s v="RCF Thal"/>
    <s v="N.C.Urea(45kg)"/>
    <s v="WB"/>
    <x v="17"/>
    <s v="Krishnagar - I"/>
    <s v="User Not Mapped"/>
    <s v="User Not Mapped"/>
    <s v="User Not Mapped"/>
    <n v="413498"/>
    <s v="Biswas Fertilizers"/>
    <s v="Private Retailer"/>
    <s v="9800494055"/>
    <n v="4.9950000000000001"/>
    <n v="16"/>
    <x v="5"/>
    <m/>
    <s v="2026-04-04"/>
    <s v="260179"/>
    <s v="Tarun Kumar Saha"/>
    <s v="8116312974"/>
  </r>
  <r>
    <s v="RCF Trombay"/>
    <s v="15-15-15"/>
    <s v="WB"/>
    <x v="17"/>
    <s v="Krishnagar - I"/>
    <s v="User Not Mapped"/>
    <s v="User Not Mapped"/>
    <s v="User Not Mapped"/>
    <n v="1395176"/>
    <s v="BUDDHADEB MANDAL"/>
    <s v="Private Retailer"/>
    <s v="8918643201"/>
    <n v="1"/>
    <n v="35"/>
    <x v="3"/>
    <m/>
    <s v="2026-03-16"/>
    <s v="260179"/>
    <s v="Tarun Kumar Saha"/>
    <s v="8116312974"/>
  </r>
  <r>
    <s v="RCF Trombay"/>
    <s v="15-15-15"/>
    <s v="WB"/>
    <x v="17"/>
    <s v="Ranaghat - II"/>
    <s v="User Not Mapped"/>
    <s v="User Not Mapped"/>
    <s v="User Not Mapped"/>
    <n v="341406"/>
    <s v="Gopinath Kundu"/>
    <s v="Private Retailer"/>
    <s v="9734074810"/>
    <n v="10"/>
    <n v="56"/>
    <x v="3"/>
    <m/>
    <s v="2026-02-23"/>
    <s v="260179"/>
    <s v="Tarun Kumar Saha"/>
    <s v="8116312974"/>
  </r>
  <r>
    <s v="RCF Trombay"/>
    <s v="N.C.Urea(45kg)"/>
    <s v="WB"/>
    <x v="17"/>
    <s v="Ranaghat - II"/>
    <s v="User Not Mapped"/>
    <s v="User Not Mapped"/>
    <s v="User Not Mapped"/>
    <n v="341406"/>
    <s v="Gopinath Kundu"/>
    <s v="Private Retailer"/>
    <s v="9734074810"/>
    <n v="4.9950000000000001"/>
    <n v="56"/>
    <x v="3"/>
    <m/>
    <s v="2026-02-23"/>
    <s v="260179"/>
    <s v="Tarun Kumar Saha"/>
    <s v="8116312974"/>
  </r>
  <r>
    <s v="RCF Thal"/>
    <s v="N.C.Urea(45kg)"/>
    <s v="WB"/>
    <x v="17"/>
    <s v="Ranaghat - II"/>
    <s v="User Not Mapped"/>
    <s v="User Not Mapped"/>
    <s v="User Not Mapped"/>
    <n v="341406"/>
    <s v="Gopinath Kundu"/>
    <s v="Private Retailer"/>
    <s v="9734074810"/>
    <n v="10.98"/>
    <n v="34"/>
    <x v="3"/>
    <m/>
    <s v="2026-03-17"/>
    <s v="260179"/>
    <s v="Tarun Kumar Saha"/>
    <s v="8116312974"/>
  </r>
  <r>
    <s v="RCF Trombay"/>
    <s v="15-15-15"/>
    <s v="WB"/>
    <x v="17"/>
    <m/>
    <s v="User Not Mapped"/>
    <s v="User Not Mapped"/>
    <s v="User Not Mapped"/>
    <n v="938172"/>
    <s v="HARA GOPAL RAY"/>
    <s v="Private Retailer"/>
    <s v="7384088074"/>
    <n v="3"/>
    <n v="1209"/>
    <x v="2"/>
    <m/>
    <s v="2022-12-28"/>
    <s v="260179"/>
    <s v="Tarun Kumar Saha"/>
    <s v="8116312974"/>
  </r>
  <r>
    <s v="RCF Trombay"/>
    <s v="N.C.Urea(45kg)"/>
    <s v="WB"/>
    <x v="17"/>
    <s v="Nakashipara"/>
    <s v="User Not Mapped"/>
    <s v="User Not Mapped"/>
    <s v="User Not Mapped"/>
    <n v="940182"/>
    <s v="HARUN ALRASHID BISWAS"/>
    <s v="Private Retailer"/>
    <s v="7477490807"/>
    <n v="2.34"/>
    <n v="1239"/>
    <x v="2"/>
    <m/>
    <s v="2022-11-28"/>
    <s v="260179"/>
    <s v="Tarun Kumar Saha"/>
    <s v="8116312974"/>
  </r>
  <r>
    <s v="RCF Trombay"/>
    <s v="N.C.Urea(45kg)"/>
    <s v="WB"/>
    <x v="17"/>
    <s v="Karimpur - II"/>
    <s v="User Not Mapped"/>
    <s v="User Not Mapped"/>
    <s v="User Not Mapped"/>
    <n v="650195"/>
    <s v="JULFIKAR SEKH"/>
    <s v="Private Retailer"/>
    <s v="9732414754"/>
    <n v="9.99"/>
    <n v="70"/>
    <x v="6"/>
    <m/>
    <s v="2026-02-09"/>
    <s v="260179"/>
    <s v="Tarun Kumar Saha"/>
    <s v="8116312974"/>
  </r>
  <r>
    <s v="RCF Trombay"/>
    <s v="15-15-15"/>
    <s v="WB"/>
    <x v="17"/>
    <s v="Tehatta - I"/>
    <s v="User Not Mapped"/>
    <s v="User Not Mapped"/>
    <s v="User Not Mapped"/>
    <n v="1500891"/>
    <s v="KRISHAK BANDHU"/>
    <s v="Private Retailer"/>
    <s v="8926497448"/>
    <n v="0.55000000000000004"/>
    <n v="166"/>
    <x v="4"/>
    <m/>
    <s v="2025-11-05"/>
    <s v="260179"/>
    <s v="Tarun Kumar Saha"/>
    <s v="8116312974"/>
  </r>
  <r>
    <s v="RCF Import"/>
    <s v="Imp 10-26-26"/>
    <s v="WB"/>
    <x v="17"/>
    <s v="Tehatta - I"/>
    <s v="User Not Mapped"/>
    <s v="User Not Mapped"/>
    <s v="User Not Mapped"/>
    <n v="413520"/>
    <s v="KRISHI LAXMI"/>
    <s v="Private Retailer"/>
    <s v="9474608712"/>
    <n v="0.4"/>
    <n v="487"/>
    <x v="0"/>
    <m/>
    <s v="2024-12-19"/>
    <s v="260179"/>
    <s v="Tarun Kumar Saha"/>
    <s v="8116312974"/>
  </r>
  <r>
    <s v="RCF Trombay"/>
    <s v="15-15-15"/>
    <s v="WB"/>
    <x v="17"/>
    <s v="Tehatta - I"/>
    <s v="User Not Mapped"/>
    <s v="User Not Mapped"/>
    <s v="User Not Mapped"/>
    <n v="413520"/>
    <s v="KRISHI LAXMI"/>
    <s v="Private Retailer"/>
    <s v="9474608712"/>
    <n v="1.85"/>
    <n v="275"/>
    <x v="1"/>
    <m/>
    <s v="2025-07-19"/>
    <s v="260179"/>
    <s v="Tarun Kumar Saha"/>
    <s v="8116312974"/>
  </r>
  <r>
    <s v="RCF Import"/>
    <s v="MOP"/>
    <s v="WB"/>
    <x v="17"/>
    <s v="Tehatta - I"/>
    <s v="User Not Mapped"/>
    <s v="User Not Mapped"/>
    <s v="User Not Mapped"/>
    <n v="413520"/>
    <s v="KRISHI LAXMI"/>
    <s v="Private Retailer"/>
    <s v="9474608712"/>
    <n v="1.2"/>
    <n v="487"/>
    <x v="0"/>
    <m/>
    <s v="2024-12-19"/>
    <s v="260179"/>
    <s v="Tarun Kumar Saha"/>
    <s v="8116312974"/>
  </r>
  <r>
    <s v="RCF Trombay"/>
    <s v="15-15-15"/>
    <s v="WB"/>
    <x v="17"/>
    <s v="Krishnaganj"/>
    <s v="User Not Mapped"/>
    <s v="User Not Mapped"/>
    <s v="User Not Mapped"/>
    <n v="775041"/>
    <s v="KRISHNA RAY"/>
    <s v="Private Retailer"/>
    <s v="9775548526"/>
    <n v="2.4500000000000002"/>
    <n v="136"/>
    <x v="4"/>
    <m/>
    <s v="2025-12-05"/>
    <s v="260179"/>
    <s v="Tarun Kumar Saha"/>
    <s v="8116312974"/>
  </r>
  <r>
    <s v="RCF Import"/>
    <s v="MOP"/>
    <s v="WB"/>
    <x v="17"/>
    <s v="Krishnagar - I"/>
    <s v="User Not Mapped"/>
    <s v="User Not Mapped"/>
    <s v="User Not Mapped"/>
    <n v="516766"/>
    <s v="Krishna Saha"/>
    <s v="Private Retailer"/>
    <s v="9933422153"/>
    <n v="1.6"/>
    <n v="56"/>
    <x v="3"/>
    <m/>
    <s v="2026-02-23"/>
    <s v="260179"/>
    <s v="Tarun Kumar Saha"/>
    <s v="8116312974"/>
  </r>
  <r>
    <s v="RCF Trombay"/>
    <s v="15-15-15"/>
    <s v="WB"/>
    <x v="17"/>
    <s v="Krishnagar - I"/>
    <s v="User Not Mapped"/>
    <s v="User Not Mapped"/>
    <s v="User Not Mapped"/>
    <n v="1580688"/>
    <s v="M/S LITON MONDAL"/>
    <s v="Private Retailer"/>
    <s v="9883367362"/>
    <n v="3"/>
    <n v="55"/>
    <x v="3"/>
    <m/>
    <s v="2026-02-24"/>
    <s v="260179"/>
    <s v="Tarun Kumar Saha"/>
    <s v="8116312974"/>
  </r>
  <r>
    <s v="RCF Trombay"/>
    <s v="15-15-15"/>
    <s v="WB"/>
    <x v="17"/>
    <s v="Krishnagar - I"/>
    <s v="User Not Mapped"/>
    <s v="User Not Mapped"/>
    <s v="User Not Mapped"/>
    <n v="1580688"/>
    <s v="M/S LITON MONDAL"/>
    <s v="Private Retailer"/>
    <s v="9883367362"/>
    <n v="1.4"/>
    <n v="83"/>
    <x v="6"/>
    <m/>
    <s v="2026-01-27"/>
    <s v="260179"/>
    <s v="Tarun Kumar Saha"/>
    <s v="8116312974"/>
  </r>
  <r>
    <s v="RCF Trombay"/>
    <s v="15-15-15"/>
    <s v="WB"/>
    <x v="17"/>
    <s v="Krishnagar - I"/>
    <s v="User Not Mapped"/>
    <s v="User Not Mapped"/>
    <s v="User Not Mapped"/>
    <n v="1368108"/>
    <s v="M/S MAA FERTILIZER"/>
    <s v="Private Retailer"/>
    <s v="8670382832"/>
    <n v="1.95"/>
    <n v="83"/>
    <x v="6"/>
    <m/>
    <s v="2026-01-27"/>
    <s v="260179"/>
    <s v="Tarun Kumar Saha"/>
    <s v="8116312974"/>
  </r>
  <r>
    <s v="RCF Thal"/>
    <s v="N.C.Urea(45kg)"/>
    <s v="WB"/>
    <x v="17"/>
    <s v="Nakashipara"/>
    <s v="User Not Mapped"/>
    <s v="User Not Mapped"/>
    <s v="User Not Mapped"/>
    <n v="886506"/>
    <s v="M/S NAYAN RANJAN DATTA"/>
    <s v="Private Retailer"/>
    <s v="7063600433"/>
    <n v="9.99"/>
    <n v="16"/>
    <x v="5"/>
    <m/>
    <s v="2026-04-04"/>
    <s v="260179"/>
    <s v="Tarun Kumar Saha"/>
    <s v="8116312974"/>
  </r>
  <r>
    <s v="RCF Thal"/>
    <s v="N.C.Urea(45kg)"/>
    <s v="WB"/>
    <x v="17"/>
    <s v="Chakdah"/>
    <s v="User Not Mapped"/>
    <s v="User Not Mapped"/>
    <s v="User Not Mapped"/>
    <n v="1553884"/>
    <s v="M/S SHANKU MONDAL"/>
    <s v="Private Retailer"/>
    <s v="7872333513"/>
    <n v="10.98"/>
    <n v="34"/>
    <x v="3"/>
    <m/>
    <s v="2026-03-17"/>
    <s v="260179"/>
    <s v="Tarun Kumar Saha"/>
    <s v="8116312974"/>
  </r>
  <r>
    <s v="RCF Trombay"/>
    <s v="15-15-15"/>
    <s v="WB"/>
    <x v="17"/>
    <s v="Tehatta - II"/>
    <s v="User Not Mapped"/>
    <s v="User Not Mapped"/>
    <s v="User Not Mapped"/>
    <n v="767946"/>
    <s v="M/s SRIDAM SARKAR"/>
    <s v="Private Retailer"/>
    <s v="9733124115"/>
    <n v="1.25"/>
    <n v="227"/>
    <x v="1"/>
    <m/>
    <s v="2025-09-05"/>
    <s v="260179"/>
    <s v="Tarun Kumar Saha"/>
    <s v="8116312974"/>
  </r>
  <r>
    <s v="RCF Trombay"/>
    <s v="15-15-15"/>
    <s v="WB"/>
    <x v="17"/>
    <s v="Santipur"/>
    <s v="User Not Mapped"/>
    <s v="User Not Mapped"/>
    <s v="User Not Mapped"/>
    <n v="342614"/>
    <s v="M/s. Prabhat Kr. Sanyashi"/>
    <s v="Private Retailer"/>
    <s v="9064461190"/>
    <n v="3"/>
    <n v="84"/>
    <x v="6"/>
    <m/>
    <s v="2026-01-26"/>
    <s v="260179"/>
    <s v="Tarun Kumar Saha"/>
    <s v="8116312974"/>
  </r>
  <r>
    <s v="RCF Trombay"/>
    <s v="15-15-15"/>
    <s v="WB"/>
    <x v="17"/>
    <s v="Santipur"/>
    <s v="User Not Mapped"/>
    <s v="User Not Mapped"/>
    <s v="User Not Mapped"/>
    <n v="342614"/>
    <s v="M/s. Prabhat Kr. Sanyashi"/>
    <s v="Private Retailer"/>
    <s v="9064461190"/>
    <n v="2"/>
    <n v="56"/>
    <x v="3"/>
    <m/>
    <s v="2026-02-23"/>
    <s v="260179"/>
    <s v="Tarun Kumar Saha"/>
    <s v="8116312974"/>
  </r>
  <r>
    <s v="RCF Trombay"/>
    <s v="N.C.Urea(45kg)"/>
    <s v="WB"/>
    <x v="17"/>
    <s v="Krishnagar - I"/>
    <s v="User Not Mapped"/>
    <s v="User Not Mapped"/>
    <s v="User Not Mapped"/>
    <n v="902179"/>
    <s v="MAA LAKSHMI FERTILIZER"/>
    <s v="Private Retailer"/>
    <s v="8926213931"/>
    <n v="2.25"/>
    <n v="83"/>
    <x v="6"/>
    <m/>
    <s v="2026-01-27"/>
    <s v="260179"/>
    <s v="Tarun Kumar Saha"/>
    <s v="8116312974"/>
  </r>
  <r>
    <s v="RCF Trombay"/>
    <s v="15-15-15"/>
    <s v="WB"/>
    <x v="17"/>
    <s v="Krishnagar - I"/>
    <s v="User Not Mapped"/>
    <s v="User Not Mapped"/>
    <s v="User Not Mapped"/>
    <n v="902179"/>
    <s v="MAA LAKSHMI FERTILIZER"/>
    <s v="Private Retailer"/>
    <s v="8926213931"/>
    <n v="2.5"/>
    <n v="83"/>
    <x v="6"/>
    <m/>
    <s v="2026-01-27"/>
    <s v="260179"/>
    <s v="Tarun Kumar Saha"/>
    <s v="8116312974"/>
  </r>
  <r>
    <s v="RCF Trombay"/>
    <s v="N.C.Urea(45kg)"/>
    <s v="WB"/>
    <x v="17"/>
    <s v="Krishnagar - I"/>
    <s v="User Not Mapped"/>
    <s v="User Not Mapped"/>
    <s v="User Not Mapped"/>
    <n v="1025124"/>
    <s v="MADAN SADHUKHAN"/>
    <s v="Private Retailer"/>
    <s v="9046197800"/>
    <n v="1.0349999999999999"/>
    <n v="352"/>
    <x v="1"/>
    <m/>
    <s v="2025-05-03"/>
    <s v="260179"/>
    <s v="Tarun Kumar Saha"/>
    <s v="8116312974"/>
  </r>
  <r>
    <s v="RCF Trombay"/>
    <s v="15-15-15"/>
    <s v="WB"/>
    <x v="17"/>
    <s v="Chapra"/>
    <s v="User Not Mapped"/>
    <s v="User Not Mapped"/>
    <s v="User Not Mapped"/>
    <n v="1022868"/>
    <s v="MADON MOHAN GARAI"/>
    <s v="Private Retailer"/>
    <s v="9233043453"/>
    <n v="1.5"/>
    <n v="83"/>
    <x v="6"/>
    <m/>
    <s v="2026-01-27"/>
    <s v="260179"/>
    <s v="Tarun Kumar Saha"/>
    <s v="8116312974"/>
  </r>
  <r>
    <s v="RCF Thal"/>
    <s v="N.C.Urea(45kg)"/>
    <s v="WB"/>
    <x v="17"/>
    <s v="Tehatta - I"/>
    <s v="User Not Mapped"/>
    <s v="User Not Mapped"/>
    <s v="User Not Mapped"/>
    <n v="645556"/>
    <s v="Mandal Fertiliser"/>
    <s v="Private Retailer"/>
    <s v="8388093938"/>
    <n v="1.62"/>
    <n v="189"/>
    <x v="1"/>
    <m/>
    <s v="2025-10-13"/>
    <s v="260179"/>
    <s v="Tarun Kumar Saha"/>
    <s v="8116312974"/>
  </r>
  <r>
    <s v="RCF Trombay"/>
    <s v="N.C.Urea(45kg)"/>
    <s v="WB"/>
    <x v="17"/>
    <s v="Tehatta - I"/>
    <s v="User Not Mapped"/>
    <s v="User Not Mapped"/>
    <s v="User Not Mapped"/>
    <n v="650691"/>
    <s v="Mandal Fertiliser"/>
    <s v="Private Retailer"/>
    <s v="7047298492"/>
    <n v="0.995"/>
    <n v="166"/>
    <x v="4"/>
    <m/>
    <s v="2025-11-05"/>
    <s v="260179"/>
    <s v="Tarun Kumar Saha"/>
    <s v="8116312974"/>
  </r>
  <r>
    <s v="RCF Import"/>
    <s v="MOP"/>
    <s v="WB"/>
    <x v="17"/>
    <s v="Tehatta - I"/>
    <s v="User Not Mapped"/>
    <s v="User Not Mapped"/>
    <s v="User Not Mapped"/>
    <n v="650691"/>
    <s v="Mandal Fertiliser"/>
    <s v="Private Retailer"/>
    <s v="7047298492"/>
    <n v="0.25"/>
    <n v="478"/>
    <x v="0"/>
    <m/>
    <s v="2024-12-28"/>
    <s v="260179"/>
    <s v="Tarun Kumar Saha"/>
    <s v="8116312974"/>
  </r>
  <r>
    <s v="RCF Trombay"/>
    <s v="N.C.Urea(45kg)"/>
    <s v="WB"/>
    <x v="17"/>
    <s v="Krishnagar - II"/>
    <s v="User Not Mapped"/>
    <s v="User Not Mapped"/>
    <s v="User Not Mapped"/>
    <n v="355332"/>
    <s v="Manik Lal Dey"/>
    <s v="Private Retailer"/>
    <s v="9002155612"/>
    <n v="0.315"/>
    <n v="167"/>
    <x v="4"/>
    <m/>
    <s v="2025-11-04"/>
    <s v="260179"/>
    <s v="Tarun Kumar Saha"/>
    <s v="8116312974"/>
  </r>
  <r>
    <s v="RCF Import"/>
    <s v="Imp 10-26-26"/>
    <s v="WB"/>
    <x v="17"/>
    <s v="Krishnagar - II"/>
    <s v="User Not Mapped"/>
    <s v="User Not Mapped"/>
    <s v="User Not Mapped"/>
    <n v="355332"/>
    <s v="Manik Lal Dey"/>
    <s v="Private Retailer"/>
    <s v="9002155612"/>
    <n v="2"/>
    <n v="338"/>
    <x v="1"/>
    <m/>
    <s v="2025-05-17"/>
    <s v="260179"/>
    <s v="Tarun Kumar Saha"/>
    <s v="8116312974"/>
  </r>
  <r>
    <s v="RCF Trombay"/>
    <s v="15-15-15"/>
    <s v="WB"/>
    <x v="17"/>
    <s v="Krishnaganj"/>
    <s v="User Not Mapped"/>
    <s v="User Not Mapped"/>
    <s v="User Not Mapped"/>
    <n v="919846"/>
    <s v="MONDAL FARTILIZER PROP GOUTAM "/>
    <s v="Private Retailer"/>
    <s v="8926045652"/>
    <n v="0.25"/>
    <n v="136"/>
    <x v="4"/>
    <m/>
    <s v="2025-12-05"/>
    <s v="260179"/>
    <s v="Tarun Kumar Saha"/>
    <s v="8116312974"/>
  </r>
  <r>
    <s v="RCF Trombay"/>
    <s v="N.C.Urea(45kg)"/>
    <s v="WB"/>
    <x v="17"/>
    <s v="Krishnagar - II"/>
    <s v="User Not Mapped"/>
    <s v="User Not Mapped"/>
    <s v="User Not Mapped"/>
    <n v="1103462"/>
    <s v="Mondal Fertilizer"/>
    <s v="Private Retailer"/>
    <s v="7074596080"/>
    <n v="0.22500000000000001"/>
    <n v="83"/>
    <x v="6"/>
    <m/>
    <s v="2026-01-27"/>
    <s v="260179"/>
    <s v="Tarun Kumar Saha"/>
    <s v="8116312974"/>
  </r>
  <r>
    <s v="RCF Trombay"/>
    <s v="15-15-15"/>
    <s v="WB"/>
    <x v="17"/>
    <s v="Chapra"/>
    <s v="User Not Mapped"/>
    <s v="User Not Mapped"/>
    <s v="User Not Mapped"/>
    <n v="438054"/>
    <s v="MS Halsana Fertilizer"/>
    <s v="Private Retailer"/>
    <s v="7602442045"/>
    <n v="2.35"/>
    <n v="83"/>
    <x v="6"/>
    <m/>
    <s v="2026-01-27"/>
    <s v="260179"/>
    <s v="Tarun Kumar Saha"/>
    <s v="8116312974"/>
  </r>
  <r>
    <s v="RCF Trombay"/>
    <s v="15-15-15"/>
    <s v="WB"/>
    <x v="17"/>
    <s v="Krishnagar - I"/>
    <s v="User Not Mapped"/>
    <s v="User Not Mapped"/>
    <s v="User Not Mapped"/>
    <n v="498224"/>
    <s v="MS Tarak Biswas"/>
    <s v="Private Retailer"/>
    <s v="7384565151"/>
    <n v="0.5"/>
    <n v="353"/>
    <x v="1"/>
    <m/>
    <s v="2025-05-02"/>
    <s v="260179"/>
    <s v="Tarun Kumar Saha"/>
    <s v="8116312974"/>
  </r>
  <r>
    <s v="RCF Thal"/>
    <s v="N.C.Urea(45kg)"/>
    <s v="WB"/>
    <x v="17"/>
    <s v="Krishnagar - I"/>
    <s v="User Not Mapped"/>
    <s v="User Not Mapped"/>
    <s v="User Not Mapped"/>
    <n v="498224"/>
    <s v="MS Tarak Biswas"/>
    <s v="Private Retailer"/>
    <s v="7384565151"/>
    <n v="0.54"/>
    <n v="450"/>
    <x v="0"/>
    <m/>
    <s v="2025-01-25"/>
    <s v="260179"/>
    <s v="Tarun Kumar Saha"/>
    <s v="8116312974"/>
  </r>
  <r>
    <s v="RCF Trombay"/>
    <s v="15-15-15"/>
    <s v="WB"/>
    <x v="17"/>
    <s v="Hanskhali"/>
    <s v="User Not Mapped"/>
    <s v="User Not Mapped"/>
    <s v="User Not Mapped"/>
    <n v="940170"/>
    <s v="NABADWIP CHANDRA SARKAR"/>
    <s v="Private Retailer"/>
    <s v="9748016081"/>
    <n v="1"/>
    <n v="167"/>
    <x v="4"/>
    <m/>
    <s v="2025-11-04"/>
    <s v="260179"/>
    <s v="Tarun Kumar Saha"/>
    <s v="8116312974"/>
  </r>
  <r>
    <s v="RCF Trombay"/>
    <s v="N.C.Urea(45kg)"/>
    <s v="WB"/>
    <x v="17"/>
    <m/>
    <s v="User Not Mapped"/>
    <s v="User Not Mapped"/>
    <s v="User Not Mapped"/>
    <n v="1062015"/>
    <s v="NARU GOPAL BISWAS"/>
    <s v="Private Retailer"/>
    <s v="9732419513"/>
    <n v="1.9350000000000001"/>
    <n v="1423"/>
    <x v="2"/>
    <m/>
    <s v="2022-05-28"/>
    <s v="260179"/>
    <s v="Tarun Kumar Saha"/>
    <s v="8116312974"/>
  </r>
  <r>
    <s v="RCF Thal"/>
    <s v="N.C.Urea(45kg)"/>
    <s v="WB"/>
    <x v="17"/>
    <m/>
    <s v="User Not Mapped"/>
    <s v="User Not Mapped"/>
    <s v="User Not Mapped"/>
    <n v="1107870"/>
    <s v="NEW BISWAS FERTILIZER"/>
    <s v="Private Retailer"/>
    <s v="7679011634"/>
    <n v="7.0000000000000007E-2"/>
    <n v="1565"/>
    <x v="2"/>
    <m/>
    <s v="2022-01-06"/>
    <s v="260179"/>
    <s v="Tarun Kumar Saha"/>
    <s v="8116312974"/>
  </r>
  <r>
    <s v="RCF Thal"/>
    <s v="N.C.Urea(45kg)"/>
    <s v="WB"/>
    <x v="17"/>
    <s v="Karimpur - I"/>
    <s v="User Not Mapped"/>
    <s v="User Not Mapped"/>
    <s v="User Not Mapped"/>
    <n v="387455"/>
    <s v="Niharendu Saha"/>
    <s v="Private Retailer"/>
    <s v="8918645244"/>
    <n v="8.91"/>
    <n v="16"/>
    <x v="5"/>
    <m/>
    <s v="2026-04-04"/>
    <s v="260179"/>
    <s v="Tarun Kumar Saha"/>
    <s v="8116312974"/>
  </r>
  <r>
    <s v="RCF Import"/>
    <s v="MOP"/>
    <s v="WB"/>
    <x v="17"/>
    <s v="Hanskhali"/>
    <s v="User Not Mapped"/>
    <s v="User Not Mapped"/>
    <s v="User Not Mapped"/>
    <n v="938156"/>
    <s v="NIRMAL KUMAR GHOSH"/>
    <s v="Private Retailer"/>
    <s v="9932931058"/>
    <n v="5"/>
    <n v="59"/>
    <x v="3"/>
    <m/>
    <s v="2026-02-20"/>
    <s v="260179"/>
    <s v="Tarun Kumar Saha"/>
    <s v="8116312974"/>
  </r>
  <r>
    <s v="RCF Trombay"/>
    <s v="15-15-15"/>
    <s v="WB"/>
    <x v="17"/>
    <s v="Krishnaganj"/>
    <s v="User Not Mapped"/>
    <s v="User Not Mapped"/>
    <s v="User Not Mapped"/>
    <n v="607246"/>
    <s v="PALI BISWAS"/>
    <s v="Private Retailer"/>
    <s v="8001092986"/>
    <n v="0.7"/>
    <n v="136"/>
    <x v="4"/>
    <m/>
    <s v="2025-12-05"/>
    <s v="260179"/>
    <s v="Tarun Kumar Saha"/>
    <s v="8116312974"/>
  </r>
  <r>
    <s v="RCF Trombay"/>
    <s v="N.C.Urea(45kg)"/>
    <s v="WB"/>
    <x v="17"/>
    <m/>
    <s v="User Not Mapped"/>
    <s v="User Not Mapped"/>
    <s v="User Not Mapped"/>
    <n v="342666"/>
    <s v="Pradip Kumar Mitra"/>
    <s v="Private Retailer"/>
    <s v="9733825665"/>
    <n v="4.41"/>
    <n v="1146"/>
    <x v="2"/>
    <m/>
    <s v="2023-03-01"/>
    <s v="260179"/>
    <s v="Tarun Kumar Saha"/>
    <s v="8116312974"/>
  </r>
  <r>
    <s v="RCF Trombay"/>
    <s v="N.C.Urea(45kg)"/>
    <s v="WB"/>
    <x v="17"/>
    <s v="Hanskhali"/>
    <s v="User Not Mapped"/>
    <s v="User Not Mapped"/>
    <s v="User Not Mapped"/>
    <n v="939911"/>
    <s v="PRONOTI SARKAR"/>
    <s v="Private Retailer"/>
    <s v="8609032314"/>
    <n v="0.09"/>
    <n v="353"/>
    <x v="1"/>
    <m/>
    <s v="2025-05-02"/>
    <s v="260179"/>
    <s v="Tarun Kumar Saha"/>
    <s v="8116312974"/>
  </r>
  <r>
    <s v="RCF Trombay"/>
    <s v="15-15-15"/>
    <s v="WB"/>
    <x v="17"/>
    <s v="Krishnagar - I"/>
    <s v="User Not Mapped"/>
    <s v="User Not Mapped"/>
    <s v="User Not Mapped"/>
    <n v="916430"/>
    <s v="RABINDRA NATH BISWAS"/>
    <s v="Private Retailer"/>
    <s v="7098424705"/>
    <n v="2"/>
    <n v="265"/>
    <x v="1"/>
    <m/>
    <s v="2025-07-29"/>
    <s v="260179"/>
    <s v="Tarun Kumar Saha"/>
    <s v="8116312974"/>
  </r>
  <r>
    <s v="RCF Trombay"/>
    <s v="15-15-15"/>
    <s v="WB"/>
    <x v="17"/>
    <s v="Krishnagar - I"/>
    <s v="User Not Mapped"/>
    <s v="User Not Mapped"/>
    <s v="User Not Mapped"/>
    <n v="916430"/>
    <s v="RABINDRA NATH BISWAS"/>
    <s v="Private Retailer"/>
    <s v="7098424705"/>
    <n v="1.2"/>
    <n v="307"/>
    <x v="1"/>
    <m/>
    <s v="2025-06-17"/>
    <s v="260179"/>
    <s v="Tarun Kumar Saha"/>
    <s v="8116312974"/>
  </r>
  <r>
    <s v="RCF Trombay"/>
    <s v="15-15-15"/>
    <s v="WB"/>
    <x v="17"/>
    <s v="Karimpur - II"/>
    <s v="User Not Mapped"/>
    <s v="User Not Mapped"/>
    <s v="User Not Mapped"/>
    <n v="1063148"/>
    <s v="RAMJAN MONDAL"/>
    <s v="Private Retailer"/>
    <s v="9144167626"/>
    <n v="1.5"/>
    <n v="686"/>
    <x v="2"/>
    <m/>
    <s v="2024-06-03"/>
    <s v="260179"/>
    <s v="Tarun Kumar Saha"/>
    <s v="8116312974"/>
  </r>
  <r>
    <s v="RCF Trombay"/>
    <s v="15-15-15"/>
    <s v="WB"/>
    <x v="17"/>
    <s v="Nabadwip"/>
    <s v="User Not Mapped"/>
    <s v="User Not Mapped"/>
    <s v="User Not Mapped"/>
    <n v="944034"/>
    <s v="RANJIT DAS"/>
    <s v="Private Retailer"/>
    <s v="8597621718"/>
    <n v="4.55"/>
    <n v="706"/>
    <x v="2"/>
    <m/>
    <s v="2024-05-14"/>
    <s v="260179"/>
    <s v="Tarun Kumar Saha"/>
    <s v="8116312974"/>
  </r>
  <r>
    <s v="RCF Trombay"/>
    <s v="N.C.Urea(45kg)"/>
    <s v="WB"/>
    <x v="17"/>
    <s v="Krishnagar - I"/>
    <s v="User Not Mapped"/>
    <s v="User Not Mapped"/>
    <s v="User Not Mapped"/>
    <n v="993270"/>
    <s v="SADDAM HOSSEN MONDAL"/>
    <s v="Private Retailer"/>
    <s v="8436643680"/>
    <n v="0.58499999999999996"/>
    <n v="241"/>
    <x v="1"/>
    <m/>
    <s v="2025-08-22"/>
    <s v="260179"/>
    <s v="Tarun Kumar Saha"/>
    <s v="8116312974"/>
  </r>
  <r>
    <s v="RCF Trombay"/>
    <s v="15-15-15"/>
    <s v="WB"/>
    <x v="17"/>
    <s v="Krishnagar - I"/>
    <s v="User Not Mapped"/>
    <s v="User Not Mapped"/>
    <s v="User Not Mapped"/>
    <n v="993270"/>
    <s v="SADDAM HOSSEN MONDAL"/>
    <s v="Private Retailer"/>
    <s v="8436643680"/>
    <n v="4.4999999999999998E-2"/>
    <n v="241"/>
    <x v="1"/>
    <m/>
    <s v="2025-08-22"/>
    <s v="260179"/>
    <s v="Tarun Kumar Saha"/>
    <s v="8116312974"/>
  </r>
  <r>
    <s v="RCF Trombay"/>
    <s v="N.C.Urea(45kg)"/>
    <s v="WB"/>
    <x v="17"/>
    <s v="Tehatta - I"/>
    <s v="User Not Mapped"/>
    <s v="User Not Mapped"/>
    <s v="User Not Mapped"/>
    <n v="767690"/>
    <s v="SAINUR MONDAL"/>
    <s v="Private Retailer"/>
    <s v="8509568912"/>
    <n v="1.71"/>
    <n v="448"/>
    <x v="0"/>
    <m/>
    <s v="2025-01-27"/>
    <s v="260179"/>
    <s v="Tarun Kumar Saha"/>
    <s v="8116312974"/>
  </r>
  <r>
    <s v="RCF Trombay"/>
    <s v="15-15-15"/>
    <s v="WB"/>
    <x v="17"/>
    <s v="Nabadwip"/>
    <s v="User Not Mapped"/>
    <s v="User Not Mapped"/>
    <s v="User Not Mapped"/>
    <n v="492849"/>
    <s v="Samad Sekh"/>
    <s v="Private Retailer"/>
    <s v="9932742975"/>
    <n v="2.5"/>
    <n v="83"/>
    <x v="6"/>
    <m/>
    <s v="2026-01-27"/>
    <s v="260179"/>
    <s v="Tarun Kumar Saha"/>
    <s v="8116312974"/>
  </r>
  <r>
    <s v="RCF Trombay"/>
    <s v="N.C.Urea(45kg)"/>
    <s v="WB"/>
    <x v="17"/>
    <s v="Nabadwip"/>
    <s v="User Not Mapped"/>
    <s v="User Not Mapped"/>
    <s v="User Not Mapped"/>
    <n v="492849"/>
    <s v="Samad Sekh"/>
    <s v="Private Retailer"/>
    <s v="9932742975"/>
    <n v="0.72"/>
    <n v="83"/>
    <x v="6"/>
    <m/>
    <s v="2026-01-27"/>
    <s v="260179"/>
    <s v="Tarun Kumar Saha"/>
    <s v="8116312974"/>
  </r>
  <r>
    <s v="RCF Import"/>
    <s v="Imp 10-26-26"/>
    <s v="WB"/>
    <x v="17"/>
    <s v="Hanskhali"/>
    <s v="User Not Mapped"/>
    <s v="User Not Mapped"/>
    <s v="User Not Mapped"/>
    <n v="289383"/>
    <s v="Subhas Ch. Biswas"/>
    <s v="Private Retailer"/>
    <s v="9883788350"/>
    <n v="0.95"/>
    <n v="338"/>
    <x v="1"/>
    <m/>
    <s v="2025-05-17"/>
    <s v="260179"/>
    <s v="Tarun Kumar Saha"/>
    <s v="8116312974"/>
  </r>
  <r>
    <s v="RCF Trombay"/>
    <s v="N.C.Urea(45kg)"/>
    <s v="WB"/>
    <x v="17"/>
    <s v="Krishnagar - I"/>
    <s v="User Not Mapped"/>
    <s v="User Not Mapped"/>
    <s v="User Not Mapped"/>
    <n v="945143"/>
    <s v="SUSHIL KUMAR DAS"/>
    <s v="Private Retailer"/>
    <s v="9883374437"/>
    <n v="1.125"/>
    <n v="55"/>
    <x v="3"/>
    <m/>
    <s v="2026-02-24"/>
    <s v="260179"/>
    <s v="Tarun Kumar Saha"/>
    <s v="8116312974"/>
  </r>
  <r>
    <s v="RCF Import"/>
    <s v="Imp DAP"/>
    <s v="WB"/>
    <x v="17"/>
    <s v="Ranaghat - I"/>
    <s v="User Not Mapped"/>
    <s v="User Not Mapped"/>
    <s v="User Not Mapped"/>
    <n v="596747"/>
    <s v="GAIN FERTILISER"/>
    <s v="Private Retailer"/>
    <s v="8768715317"/>
    <n v="0.25"/>
    <n v="2666"/>
    <x v="2"/>
    <m/>
    <s v="2019-01-01"/>
    <s v="11"/>
    <s v="Too Old Stock"/>
    <m/>
  </r>
  <r>
    <s v="RCF Trombay"/>
    <s v="15-15-15"/>
    <s v="WB"/>
    <x v="17"/>
    <s v="Ranaghat - I"/>
    <s v="User Not Mapped"/>
    <s v="User Not Mapped"/>
    <s v="User Not Mapped"/>
    <n v="596747"/>
    <s v="GAIN FERTILISER"/>
    <s v="Private Retailer"/>
    <s v="8768715317"/>
    <n v="0.25"/>
    <n v="2666"/>
    <x v="2"/>
    <m/>
    <s v="2019-01-01"/>
    <s v="11"/>
    <s v="Too Old Stock"/>
    <m/>
  </r>
  <r>
    <s v="RCF Trombay"/>
    <s v="N.C.Urea(45kg)"/>
    <s v="WB"/>
    <x v="17"/>
    <m/>
    <s v="User Not Mapped"/>
    <s v="User Not Mapped"/>
    <s v="User Not Mapped"/>
    <n v="919912"/>
    <s v="GHOSH FARTILIZER "/>
    <s v="Private Retailer"/>
    <s v="9932743535"/>
    <n v="0.76500000000000001"/>
    <n v="2666"/>
    <x v="2"/>
    <m/>
    <s v="2019-01-01"/>
    <s v="11"/>
    <s v="Too Old Stock"/>
    <m/>
  </r>
  <r>
    <s v="RCF Trombay"/>
    <s v="15-15-15"/>
    <s v="WB"/>
    <x v="17"/>
    <m/>
    <s v="User Not Mapped"/>
    <s v="User Not Mapped"/>
    <s v="User Not Mapped"/>
    <n v="919912"/>
    <s v="GHOSH FARTILIZER "/>
    <s v="Private Retailer"/>
    <s v="9932743535"/>
    <n v="1.25"/>
    <n v="2666"/>
    <x v="2"/>
    <m/>
    <s v="2019-01-01"/>
    <s v="11"/>
    <s v="Too Old Stock"/>
    <m/>
  </r>
  <r>
    <s v="RCF Trombay"/>
    <s v="15-15-15"/>
    <s v="WB"/>
    <x v="17"/>
    <s v="Hanskhali"/>
    <s v="User Not Mapped"/>
    <s v="User Not Mapped"/>
    <s v="User Not Mapped"/>
    <n v="341502"/>
    <s v="Jadugopal Ray"/>
    <s v="Private Retailer"/>
    <s v="9547202753"/>
    <n v="0.16"/>
    <n v="2666"/>
    <x v="2"/>
    <m/>
    <s v="2019-01-01"/>
    <s v="11"/>
    <s v="Too Old Stock"/>
    <m/>
  </r>
  <r>
    <s v="RCF Thal"/>
    <s v="N.C.Urea(45kg)"/>
    <s v="WB"/>
    <x v="17"/>
    <s v="Hanskhali"/>
    <s v="User Not Mapped"/>
    <s v="User Not Mapped"/>
    <s v="User Not Mapped"/>
    <n v="341502"/>
    <s v="Jadugopal Ray"/>
    <s v="Private Retailer"/>
    <s v="9547202753"/>
    <n v="2.25"/>
    <n v="2666"/>
    <x v="2"/>
    <m/>
    <s v="2019-01-01"/>
    <s v="11"/>
    <s v="Too Old Stock"/>
    <m/>
  </r>
  <r>
    <s v="RCF Trombay"/>
    <s v="15-15-15"/>
    <s v="WB"/>
    <x v="17"/>
    <m/>
    <s v="User Not Mapped"/>
    <s v="User Not Mapped"/>
    <s v="User Not Mapped"/>
    <n v="610274"/>
    <s v="LATIKA MITRA DEY"/>
    <s v="Private Retailer"/>
    <s v="9733710378"/>
    <n v="5.15"/>
    <n v="2666"/>
    <x v="2"/>
    <m/>
    <s v="2019-01-01"/>
    <s v="11"/>
    <s v="Too Old Stock"/>
    <m/>
  </r>
  <r>
    <s v="RCF Trombay"/>
    <s v="N.C.Urea(45kg)"/>
    <s v="WB"/>
    <x v="17"/>
    <s v="Haringhata"/>
    <s v="User Not Mapped"/>
    <s v="User Not Mapped"/>
    <s v="User Not Mapped"/>
    <n v="943788"/>
    <s v="M/S JAFIUDDIN KAYAL"/>
    <s v="Private Retailer"/>
    <s v="9064907382"/>
    <n v="0.03"/>
    <n v="2666"/>
    <x v="2"/>
    <m/>
    <s v="2019-01-01"/>
    <s v="11"/>
    <s v="Too Old Stock"/>
    <m/>
  </r>
  <r>
    <s v="RCF Trombay"/>
    <s v="15-15-15"/>
    <s v="WB"/>
    <x v="17"/>
    <m/>
    <s v="User Not Mapped"/>
    <s v="User Not Mapped"/>
    <s v="User Not Mapped"/>
    <n v="440596"/>
    <s v="M/S MONDAL FERTILIZER"/>
    <s v="Private Retailer"/>
    <s v="9851918680"/>
    <n v="0.35"/>
    <n v="2666"/>
    <x v="2"/>
    <m/>
    <s v="2019-01-01"/>
    <s v="11"/>
    <s v="Too Old Stock"/>
    <m/>
  </r>
  <r>
    <s v="RCF Trombay"/>
    <s v="15-15-15"/>
    <s v="WB"/>
    <x v="17"/>
    <m/>
    <s v="User Not Mapped"/>
    <s v="User Not Mapped"/>
    <s v="User Not Mapped"/>
    <n v="741300"/>
    <s v="MA KOMOLA KRISHI BHANDAR"/>
    <s v="Private Retailer"/>
    <s v="9679715417"/>
    <n v="0.3"/>
    <n v="2666"/>
    <x v="2"/>
    <m/>
    <s v="2019-01-01"/>
    <s v="11"/>
    <s v="Too Old Stock"/>
    <m/>
  </r>
  <r>
    <s v="RCF Trombay"/>
    <s v="15-15-15"/>
    <s v="WB"/>
    <x v="17"/>
    <m/>
    <s v="User Not Mapped"/>
    <s v="User Not Mapped"/>
    <s v="User Not Mapped"/>
    <n v="482582"/>
    <s v="Moloy Garai"/>
    <s v="Private Retailer"/>
    <s v="9475032580"/>
    <n v="2.25"/>
    <n v="2666"/>
    <x v="2"/>
    <m/>
    <s v="2019-01-01"/>
    <s v="11"/>
    <s v="Too Old Stock"/>
    <m/>
  </r>
  <r>
    <s v="RCF Trombay"/>
    <s v="N.C.Urea(45kg)"/>
    <s v="WB"/>
    <x v="17"/>
    <m/>
    <s v="User Not Mapped"/>
    <s v="User Not Mapped"/>
    <s v="User Not Mapped"/>
    <n v="482582"/>
    <s v="Moloy Garai"/>
    <s v="Private Retailer"/>
    <s v="9475032580"/>
    <n v="3.5000000000000003E-2"/>
    <n v="2666"/>
    <x v="2"/>
    <m/>
    <s v="2019-01-01"/>
    <s v="11"/>
    <s v="Too Old Stock"/>
    <m/>
  </r>
  <r>
    <s v="RCF Trombay"/>
    <s v="N.C.Urea(45kg)"/>
    <s v="WB"/>
    <x v="17"/>
    <m/>
    <s v="User Not Mapped"/>
    <s v="User Not Mapped"/>
    <s v="User Not Mapped"/>
    <n v="916428"/>
    <s v="PARTHA SARATHI ROY"/>
    <s v="Private Retailer"/>
    <s v="9933678543"/>
    <n v="0.3"/>
    <n v="2666"/>
    <x v="2"/>
    <m/>
    <s v="2019-01-01"/>
    <s v="11"/>
    <s v="Too Old Stock"/>
    <m/>
  </r>
  <r>
    <s v="RCF Trombay"/>
    <s v="15-15-15"/>
    <s v="WB"/>
    <x v="17"/>
    <m/>
    <s v="User Not Mapped"/>
    <s v="User Not Mapped"/>
    <s v="User Not Mapped"/>
    <n v="706160"/>
    <s v="SADDAM DHABAK"/>
    <s v="Private Retailer"/>
    <s v="8670774962"/>
    <n v="0.29899999999999999"/>
    <n v="2666"/>
    <x v="2"/>
    <m/>
    <s v="2019-01-01"/>
    <s v="11"/>
    <s v="Too Old Stock"/>
    <m/>
  </r>
  <r>
    <s v="RCF Trombay"/>
    <s v="N.C.Urea(45kg)"/>
    <s v="WB"/>
    <x v="17"/>
    <m/>
    <s v="User Not Mapped"/>
    <s v="User Not Mapped"/>
    <s v="User Not Mapped"/>
    <n v="592048"/>
    <s v="SHAMBHU CHANDRA MANDAL"/>
    <s v="Private Retailer"/>
    <s v="8972735246"/>
    <n v="0.76500000000000001"/>
    <n v="2666"/>
    <x v="2"/>
    <m/>
    <s v="2019-01-01"/>
    <s v="11"/>
    <s v="Too Old Stock"/>
    <m/>
  </r>
  <r>
    <s v="RCF Trombay"/>
    <s v="15-15-15"/>
    <s v="WB"/>
    <x v="17"/>
    <m/>
    <s v="User Not Mapped"/>
    <s v="User Not Mapped"/>
    <s v="User Not Mapped"/>
    <n v="943328"/>
    <s v="SUNITA PAUL"/>
    <s v="Private Retailer"/>
    <s v="9733032957"/>
    <n v="0.08"/>
    <n v="2666"/>
    <x v="2"/>
    <m/>
    <s v="2019-01-01"/>
    <s v="11"/>
    <s v="Too Old Stock"/>
    <m/>
  </r>
  <r>
    <s v="RCF Thal"/>
    <s v="N.C.Urea(45kg)"/>
    <s v="WB"/>
    <x v="17"/>
    <m/>
    <s v="User Not Mapped"/>
    <s v="User Not Mapped"/>
    <s v="User Not Mapped"/>
    <n v="935308"/>
    <s v="Kishan Super Agrochem"/>
    <s v="Private Retailer"/>
    <s v="9775156237"/>
    <n v="0.495"/>
    <n v="2605"/>
    <x v="2"/>
    <m/>
    <s v="2019-03-03"/>
    <s v="412012"/>
    <s v="UDAY SARKAR"/>
    <s v="9732905092"/>
  </r>
  <r>
    <s v="RCF Trombay"/>
    <s v="15-15-15"/>
    <s v="WB"/>
    <x v="17"/>
    <s v="Chakdah"/>
    <s v="User Not Mapped"/>
    <s v="User Not Mapped"/>
    <s v="User Not Mapped"/>
    <n v="340767"/>
    <s v="Altab Mondal"/>
    <s v="Private Retailer"/>
    <s v="9874521784"/>
    <n v="0.65"/>
    <n v="81"/>
    <x v="6"/>
    <m/>
    <s v="2026-01-29"/>
    <s v="1043444"/>
    <s v="UMA RANI SAHA"/>
    <s v="9775414001"/>
  </r>
  <r>
    <s v="RCF Thal"/>
    <s v="N.C.Urea(45kg)"/>
    <s v="WB"/>
    <x v="17"/>
    <s v="Chakdah"/>
    <s v="User Not Mapped"/>
    <s v="User Not Mapped"/>
    <s v="User Not Mapped"/>
    <n v="1061944"/>
    <s v="AVJIT HAZRA"/>
    <s v="Private Retailer"/>
    <s v="9732722270"/>
    <n v="6.39"/>
    <n v="15"/>
    <x v="5"/>
    <m/>
    <s v="2026-04-05"/>
    <s v="1043444"/>
    <s v="UMA RANI SAHA"/>
    <s v="9775414001"/>
  </r>
  <r>
    <s v="RCF Thal"/>
    <s v="N.C.Urea(45kg)"/>
    <s v="WB"/>
    <x v="17"/>
    <s v="Ranaghat - II"/>
    <s v="User Not Mapped"/>
    <s v="User Not Mapped"/>
    <s v="User Not Mapped"/>
    <n v="1538250"/>
    <s v="AVOY KRISHI BHANDER"/>
    <s v="Private Retailer"/>
    <s v="7029830098"/>
    <n v="0.9"/>
    <n v="15"/>
    <x v="5"/>
    <m/>
    <s v="2026-04-05"/>
    <s v="1043444"/>
    <s v="UMA RANI SAHA"/>
    <s v="9775414001"/>
  </r>
  <r>
    <s v="RCF Import"/>
    <s v="MOP"/>
    <s v="WB"/>
    <x v="17"/>
    <s v="Ranaghat - II"/>
    <s v="User Not Mapped"/>
    <s v="User Not Mapped"/>
    <s v="User Not Mapped"/>
    <n v="1538250"/>
    <s v="AVOY KRISHI BHANDER"/>
    <s v="Private Retailer"/>
    <s v="7029830098"/>
    <n v="0.5"/>
    <n v="15"/>
    <x v="5"/>
    <m/>
    <s v="2026-04-05"/>
    <s v="1043444"/>
    <s v="UMA RANI SAHA"/>
    <s v="9775414001"/>
  </r>
  <r>
    <s v="RCF Trombay"/>
    <s v="15-15-15"/>
    <s v="WB"/>
    <x v="17"/>
    <s v="Ranaghat - II"/>
    <s v="User Not Mapped"/>
    <s v="User Not Mapped"/>
    <s v="User Not Mapped"/>
    <n v="1538250"/>
    <s v="AVOY KRISHI BHANDER"/>
    <s v="Private Retailer"/>
    <s v="7029830098"/>
    <n v="0.08"/>
    <n v="24"/>
    <x v="5"/>
    <m/>
    <s v="2026-03-27"/>
    <s v="1043444"/>
    <s v="UMA RANI SAHA"/>
    <s v="9775414001"/>
  </r>
  <r>
    <s v="RCF Import"/>
    <s v="Imp 10-26-26"/>
    <s v="WB"/>
    <x v="17"/>
    <s v="Ranaghat - II"/>
    <s v="User Not Mapped"/>
    <s v="User Not Mapped"/>
    <s v="User Not Mapped"/>
    <n v="1538250"/>
    <s v="AVOY KRISHI BHANDER"/>
    <s v="Private Retailer"/>
    <s v="7029830098"/>
    <n v="0.5"/>
    <n v="15"/>
    <x v="5"/>
    <m/>
    <s v="2026-04-05"/>
    <s v="1043444"/>
    <s v="UMA RANI SAHA"/>
    <s v="9775414001"/>
  </r>
  <r>
    <s v="RCF Import"/>
    <s v="MOP"/>
    <s v="WB"/>
    <x v="17"/>
    <s v="Ranaghat - II"/>
    <s v="User Not Mapped"/>
    <s v="User Not Mapped"/>
    <s v="User Not Mapped"/>
    <n v="1538250"/>
    <s v="AVOY KRISHI BHANDER"/>
    <s v="Private Retailer"/>
    <s v="7029830098"/>
    <n v="0.8"/>
    <n v="24"/>
    <x v="5"/>
    <m/>
    <s v="2026-03-27"/>
    <s v="1043444"/>
    <s v="UMA RANI SAHA"/>
    <s v="9775414001"/>
  </r>
  <r>
    <s v="RCF Trombay"/>
    <s v="15-15-15"/>
    <s v="WB"/>
    <x v="17"/>
    <s v="Ranaghat - II"/>
    <s v="User Not Mapped"/>
    <s v="User Not Mapped"/>
    <s v="User Not Mapped"/>
    <n v="942963"/>
    <s v="BISWA NATH GHOSH"/>
    <s v="Private Retailer"/>
    <s v="7551809101"/>
    <n v="1.4"/>
    <n v="81"/>
    <x v="6"/>
    <m/>
    <s v="2026-01-29"/>
    <s v="1043444"/>
    <s v="UMA RANI SAHA"/>
    <s v="9775414001"/>
  </r>
  <r>
    <s v="RCF Import"/>
    <s v="MOP"/>
    <s v="WB"/>
    <x v="17"/>
    <s v="Ranaghat - II"/>
    <s v="User Not Mapped"/>
    <s v="User Not Mapped"/>
    <s v="User Not Mapped"/>
    <n v="942963"/>
    <s v="BISWA NATH GHOSH"/>
    <s v="Private Retailer"/>
    <s v="7551809101"/>
    <n v="0.23799999999999999"/>
    <n v="469"/>
    <x v="0"/>
    <m/>
    <s v="2025-01-06"/>
    <s v="1043444"/>
    <s v="UMA RANI SAHA"/>
    <s v="9775414001"/>
  </r>
  <r>
    <s v="RCF Trombay"/>
    <s v="15-15-15"/>
    <s v="WB"/>
    <x v="17"/>
    <s v="Chakdah"/>
    <s v="User Not Mapped"/>
    <s v="User Not Mapped"/>
    <s v="User Not Mapped"/>
    <n v="941891"/>
    <s v="DEBNARAYAN DAS"/>
    <s v="Private Retailer"/>
    <s v="7908281170"/>
    <n v="1.048"/>
    <n v="81"/>
    <x v="6"/>
    <m/>
    <s v="2026-01-29"/>
    <s v="1043444"/>
    <s v="UMA RANI SAHA"/>
    <s v="9775414001"/>
  </r>
  <r>
    <s v="RCF Trombay"/>
    <s v="N.C.Urea(45kg)"/>
    <s v="WB"/>
    <x v="17"/>
    <s v="Chakdah"/>
    <s v="User Not Mapped"/>
    <s v="User Not Mapped"/>
    <s v="User Not Mapped"/>
    <n v="941891"/>
    <s v="DEBNARAYAN DAS"/>
    <s v="Private Retailer"/>
    <s v="7908281170"/>
    <n v="4.4999999999999998E-2"/>
    <n v="161"/>
    <x v="4"/>
    <m/>
    <s v="2025-11-10"/>
    <s v="1043444"/>
    <s v="UMA RANI SAHA"/>
    <s v="9775414001"/>
  </r>
  <r>
    <s v="RCF Trombay"/>
    <s v="15-15-15"/>
    <s v="WB"/>
    <x v="17"/>
    <s v="Chakdah"/>
    <s v="User Not Mapped"/>
    <s v="User Not Mapped"/>
    <s v="User Not Mapped"/>
    <n v="852174"/>
    <s v="GIYARUL MONDAL"/>
    <s v="Private Retailer"/>
    <s v="7003064629"/>
    <n v="1"/>
    <n v="239"/>
    <x v="1"/>
    <m/>
    <s v="2025-08-24"/>
    <s v="1043444"/>
    <s v="UMA RANI SAHA"/>
    <s v="9775414001"/>
  </r>
  <r>
    <s v="RCF Trombay"/>
    <s v="N.C.Urea(45kg)"/>
    <s v="WB"/>
    <x v="17"/>
    <s v="Ranaghat - II"/>
    <s v="User Not Mapped"/>
    <s v="User Not Mapped"/>
    <s v="User Not Mapped"/>
    <n v="777431"/>
    <s v="KASHI NATH MONDAL"/>
    <s v="Private Retailer"/>
    <s v="9153723610"/>
    <n v="4.9950000000000001"/>
    <n v="49"/>
    <x v="3"/>
    <m/>
    <s v="2026-03-02"/>
    <s v="1043444"/>
    <s v="UMA RANI SAHA"/>
    <s v="9775414001"/>
  </r>
  <r>
    <s v="RCF Import"/>
    <s v="MOP"/>
    <s v="WB"/>
    <x v="17"/>
    <s v="Ranaghat - II"/>
    <s v="User Not Mapped"/>
    <s v="User Not Mapped"/>
    <s v="User Not Mapped"/>
    <n v="777431"/>
    <s v="KASHI NATH MONDAL"/>
    <s v="Private Retailer"/>
    <s v="9153723610"/>
    <n v="0.5"/>
    <n v="49"/>
    <x v="3"/>
    <m/>
    <s v="2026-03-02"/>
    <s v="1043444"/>
    <s v="UMA RANI SAHA"/>
    <s v="9775414001"/>
  </r>
  <r>
    <s v="RCF Import"/>
    <s v="Imp 10-26-26"/>
    <s v="WB"/>
    <x v="17"/>
    <s v="Ranaghat - II"/>
    <s v="User Not Mapped"/>
    <s v="User Not Mapped"/>
    <s v="User Not Mapped"/>
    <n v="777431"/>
    <s v="KASHI NATH MONDAL"/>
    <s v="Private Retailer"/>
    <s v="9153723610"/>
    <n v="0.5"/>
    <n v="49"/>
    <x v="3"/>
    <m/>
    <s v="2026-03-02"/>
    <s v="1043444"/>
    <s v="UMA RANI SAHA"/>
    <s v="9775414001"/>
  </r>
  <r>
    <s v="RCF Trombay"/>
    <s v="15-15-15"/>
    <s v="WB"/>
    <x v="17"/>
    <s v="Ranaghat - II"/>
    <s v="User Not Mapped"/>
    <s v="User Not Mapped"/>
    <s v="User Not Mapped"/>
    <n v="777431"/>
    <s v="KASHI NATH MONDAL"/>
    <s v="Private Retailer"/>
    <s v="9153723610"/>
    <n v="1"/>
    <n v="49"/>
    <x v="3"/>
    <m/>
    <s v="2026-03-02"/>
    <s v="1043444"/>
    <s v="UMA RANI SAHA"/>
    <s v="9775414001"/>
  </r>
  <r>
    <s v="RCF Thal"/>
    <s v="N.C.Urea(45kg)"/>
    <s v="WB"/>
    <x v="17"/>
    <s v="Ranaghat - I"/>
    <s v="User Not Mapped"/>
    <s v="User Not Mapped"/>
    <s v="User Not Mapped"/>
    <n v="843268"/>
    <s v="M/S ADITYA PAL"/>
    <s v="Private Retailer"/>
    <s v="9609397292"/>
    <n v="9.9450000000000003"/>
    <n v="195"/>
    <x v="1"/>
    <m/>
    <s v="2025-10-07"/>
    <s v="1043444"/>
    <s v="UMA RANI SAHA"/>
    <s v="9775414001"/>
  </r>
  <r>
    <s v="RCF Import"/>
    <s v="Imp 10-26-26"/>
    <s v="WB"/>
    <x v="17"/>
    <s v="Ranaghat - I"/>
    <s v="User Not Mapped"/>
    <s v="User Not Mapped"/>
    <s v="User Not Mapped"/>
    <n v="843268"/>
    <s v="M/S ADITYA PAL"/>
    <s v="Private Retailer"/>
    <s v="9609397292"/>
    <n v="0.4"/>
    <n v="326"/>
    <x v="1"/>
    <m/>
    <s v="2025-05-29"/>
    <s v="1043444"/>
    <s v="UMA RANI SAHA"/>
    <s v="9775414001"/>
  </r>
  <r>
    <s v="RCF Thal"/>
    <s v="N.C.Urea(45kg)"/>
    <s v="WB"/>
    <x v="17"/>
    <s v="Ranaghat - I"/>
    <s v="User Not Mapped"/>
    <s v="User Not Mapped"/>
    <s v="User Not Mapped"/>
    <n v="843268"/>
    <s v="M/S ADITYA PAL"/>
    <s v="Private Retailer"/>
    <s v="9609397292"/>
    <n v="3.1949999999999998"/>
    <n v="174"/>
    <x v="4"/>
    <m/>
    <s v="2025-10-28"/>
    <s v="1043444"/>
    <s v="UMA RANI SAHA"/>
    <s v="9775414001"/>
  </r>
  <r>
    <s v="RCF Trombay"/>
    <s v="N.C.Urea(45kg)"/>
    <s v="WB"/>
    <x v="17"/>
    <s v="Chakdah"/>
    <s v="User Not Mapped"/>
    <s v="User Not Mapped"/>
    <s v="User Not Mapped"/>
    <n v="1480315"/>
    <s v="M/S ARIF FERTILIZER"/>
    <s v="Private Retailer"/>
    <s v="6294406409"/>
    <n v="1.17"/>
    <n v="215"/>
    <x v="1"/>
    <m/>
    <s v="2025-09-17"/>
    <s v="1043444"/>
    <s v="UMA RANI SAHA"/>
    <s v="9775414001"/>
  </r>
  <r>
    <s v="RCF Trombay"/>
    <s v="15-15-15"/>
    <s v="WB"/>
    <x v="17"/>
    <s v="Chakdah"/>
    <s v="User Not Mapped"/>
    <s v="User Not Mapped"/>
    <s v="User Not Mapped"/>
    <n v="1480315"/>
    <s v="M/S ARIF FERTILIZER"/>
    <s v="Private Retailer"/>
    <s v="6294406409"/>
    <n v="0.8"/>
    <n v="215"/>
    <x v="1"/>
    <m/>
    <s v="2025-09-17"/>
    <s v="1043444"/>
    <s v="UMA RANI SAHA"/>
    <s v="9775414001"/>
  </r>
  <r>
    <s v="RCF Import"/>
    <s v="MOP"/>
    <s v="WB"/>
    <x v="17"/>
    <s v="Chakdah"/>
    <s v="User Not Mapped"/>
    <s v="User Not Mapped"/>
    <s v="User Not Mapped"/>
    <n v="939007"/>
    <s v="M/S HIMANGSHU ROY"/>
    <s v="Private Retailer"/>
    <s v="9732103738"/>
    <n v="1.5"/>
    <n v="53"/>
    <x v="3"/>
    <m/>
    <s v="2026-02-26"/>
    <s v="1043444"/>
    <s v="UMA RANI SAHA"/>
    <s v="9775414001"/>
  </r>
  <r>
    <s v="RCF Trombay"/>
    <s v="N.C.Urea(45kg)"/>
    <s v="WB"/>
    <x v="17"/>
    <s v="Chakdah"/>
    <s v="User Not Mapped"/>
    <s v="User Not Mapped"/>
    <s v="User Not Mapped"/>
    <n v="939007"/>
    <s v="M/S HIMANGSHU ROY"/>
    <s v="Private Retailer"/>
    <s v="9732103738"/>
    <n v="1.89"/>
    <n v="53"/>
    <x v="3"/>
    <m/>
    <s v="2026-02-26"/>
    <s v="1043444"/>
    <s v="UMA RANI SAHA"/>
    <s v="9775414001"/>
  </r>
  <r>
    <s v="RCF Import"/>
    <s v="Imp 10-26-26"/>
    <s v="WB"/>
    <x v="17"/>
    <s v="Chakdah"/>
    <s v="User Not Mapped"/>
    <s v="User Not Mapped"/>
    <s v="User Not Mapped"/>
    <n v="939007"/>
    <s v="M/S HIMANGSHU ROY"/>
    <s v="Private Retailer"/>
    <s v="9732103738"/>
    <n v="1.25"/>
    <n v="49"/>
    <x v="3"/>
    <m/>
    <s v="2026-03-02"/>
    <s v="1043444"/>
    <s v="UMA RANI SAHA"/>
    <s v="9775414001"/>
  </r>
  <r>
    <s v="RCF Trombay"/>
    <s v="15-15-15"/>
    <s v="WB"/>
    <x v="17"/>
    <s v="Chakdah"/>
    <s v="User Not Mapped"/>
    <s v="User Not Mapped"/>
    <s v="User Not Mapped"/>
    <n v="939007"/>
    <s v="M/S HIMANGSHU ROY"/>
    <s v="Private Retailer"/>
    <s v="9732103738"/>
    <n v="5.6950000000000003"/>
    <n v="53"/>
    <x v="3"/>
    <m/>
    <s v="2026-02-26"/>
    <s v="1043444"/>
    <s v="UMA RANI SAHA"/>
    <s v="9775414001"/>
  </r>
  <r>
    <s v="RCF Trombay"/>
    <s v="N.C.Urea(45kg)"/>
    <s v="WB"/>
    <x v="17"/>
    <s v="Chakdah"/>
    <s v="User Not Mapped"/>
    <s v="User Not Mapped"/>
    <s v="User Not Mapped"/>
    <n v="939007"/>
    <s v="M/S HIMANGSHU ROY"/>
    <s v="Private Retailer"/>
    <s v="9732103738"/>
    <n v="0.81"/>
    <n v="81"/>
    <x v="6"/>
    <m/>
    <s v="2026-01-29"/>
    <s v="1043444"/>
    <s v="UMA RANI SAHA"/>
    <s v="9775414001"/>
  </r>
  <r>
    <s v="RCF Trombay"/>
    <s v="15-15-15"/>
    <s v="WB"/>
    <x v="17"/>
    <s v="Chakdah"/>
    <s v="User Not Mapped"/>
    <s v="User Not Mapped"/>
    <s v="User Not Mapped"/>
    <n v="514417"/>
    <s v="M/S Mahidul Mondal"/>
    <s v="Private Retailer"/>
    <s v="9231973068"/>
    <n v="0.35"/>
    <n v="161"/>
    <x v="4"/>
    <m/>
    <s v="2025-11-10"/>
    <s v="1043444"/>
    <s v="UMA RANI SAHA"/>
    <s v="9775414001"/>
  </r>
  <r>
    <s v="RCF Trombay"/>
    <s v="15-15-15"/>
    <s v="WB"/>
    <x v="17"/>
    <s v="Ranaghat - II"/>
    <s v="User Not Mapped"/>
    <s v="User Not Mapped"/>
    <s v="User Not Mapped"/>
    <n v="498176"/>
    <s v="M/S Swapan Biswas"/>
    <s v="Private Retailer"/>
    <s v="7679780430"/>
    <n v="1"/>
    <n v="216"/>
    <x v="1"/>
    <m/>
    <s v="2025-09-16"/>
    <s v="1043444"/>
    <s v="UMA RANI SAHA"/>
    <s v="9775414001"/>
  </r>
  <r>
    <s v="RCF Trombay"/>
    <s v="15-15-15"/>
    <s v="WB"/>
    <x v="17"/>
    <s v="Ranaghat - II"/>
    <s v="User Not Mapped"/>
    <s v="User Not Mapped"/>
    <s v="User Not Mapped"/>
    <n v="498176"/>
    <s v="M/S Swapan Biswas"/>
    <s v="Private Retailer"/>
    <s v="7679780430"/>
    <n v="1.5"/>
    <n v="81"/>
    <x v="6"/>
    <m/>
    <s v="2026-01-29"/>
    <s v="1043444"/>
    <s v="UMA RANI SAHA"/>
    <s v="9775414001"/>
  </r>
  <r>
    <s v="RCF Thal"/>
    <s v="N.C.Urea(45kg)"/>
    <s v="WB"/>
    <x v="17"/>
    <s v="Chakdah"/>
    <s v="User Not Mapped"/>
    <s v="User Not Mapped"/>
    <s v="User Not Mapped"/>
    <n v="1258432"/>
    <s v="M/S TARA MAA FERTILIZER"/>
    <s v="Private Retailer"/>
    <s v="7003791831"/>
    <n v="1.8"/>
    <n v="20"/>
    <x v="5"/>
    <m/>
    <s v="2026-03-31"/>
    <s v="1043444"/>
    <s v="UMA RANI SAHA"/>
    <s v="9775414001"/>
  </r>
  <r>
    <s v="RCF Thal"/>
    <s v="N.C.Urea(45kg)"/>
    <s v="WB"/>
    <x v="17"/>
    <m/>
    <s v="User Not Mapped"/>
    <s v="User Not Mapped"/>
    <s v="User Not Mapped"/>
    <n v="341838"/>
    <s v="Manju Ghosh"/>
    <s v="Private Retailer"/>
    <s v="9933839802"/>
    <n v="4.9950000000000001"/>
    <n v="24"/>
    <x v="5"/>
    <m/>
    <s v="2026-03-27"/>
    <s v="1043444"/>
    <s v="UMA RANI SAHA"/>
    <s v="9775414001"/>
  </r>
  <r>
    <s v="RCF Trombay"/>
    <s v="15-15-15"/>
    <s v="WB"/>
    <x v="17"/>
    <m/>
    <s v="User Not Mapped"/>
    <s v="User Not Mapped"/>
    <s v="User Not Mapped"/>
    <n v="341838"/>
    <s v="Manju Ghosh"/>
    <s v="Private Retailer"/>
    <s v="9933839802"/>
    <n v="2"/>
    <n v="24"/>
    <x v="5"/>
    <m/>
    <s v="2026-03-27"/>
    <s v="1043444"/>
    <s v="UMA RANI SAHA"/>
    <s v="9775414001"/>
  </r>
  <r>
    <s v="RCF Import"/>
    <s v="Imp 10-26-26"/>
    <s v="WB"/>
    <x v="17"/>
    <m/>
    <s v="User Not Mapped"/>
    <s v="User Not Mapped"/>
    <s v="User Not Mapped"/>
    <n v="341838"/>
    <s v="Manju Ghosh"/>
    <s v="Private Retailer"/>
    <s v="9933839802"/>
    <n v="2"/>
    <n v="24"/>
    <x v="5"/>
    <m/>
    <s v="2026-03-27"/>
    <s v="1043444"/>
    <s v="UMA RANI SAHA"/>
    <s v="9775414001"/>
  </r>
  <r>
    <s v="RCF Import"/>
    <s v="MOP"/>
    <s v="WB"/>
    <x v="17"/>
    <m/>
    <s v="User Not Mapped"/>
    <s v="User Not Mapped"/>
    <s v="User Not Mapped"/>
    <n v="341838"/>
    <s v="Manju Ghosh"/>
    <s v="Private Retailer"/>
    <s v="9933839802"/>
    <n v="2"/>
    <n v="24"/>
    <x v="5"/>
    <m/>
    <s v="2026-03-27"/>
    <s v="1043444"/>
    <s v="UMA RANI SAHA"/>
    <s v="9775414001"/>
  </r>
  <r>
    <s v="RCF Trombay"/>
    <s v="15-15-15"/>
    <s v="WB"/>
    <x v="17"/>
    <s v="Chakdah"/>
    <s v="User Not Mapped"/>
    <s v="User Not Mapped"/>
    <s v="User Not Mapped"/>
    <n v="852560"/>
    <s v="PRASANTA BISWAS"/>
    <s v="Private Retailer"/>
    <s v="9002147302"/>
    <n v="0.2"/>
    <n v="931"/>
    <x v="2"/>
    <m/>
    <s v="2023-10-02"/>
    <s v="1043444"/>
    <s v="UMA RANI SAHA"/>
    <s v="9775414001"/>
  </r>
  <r>
    <s v="RCF Trombay"/>
    <s v="N.C.Urea(45kg)"/>
    <s v="WB"/>
    <x v="17"/>
    <m/>
    <s v="User Not Mapped"/>
    <s v="User Not Mapped"/>
    <s v="User Not Mapped"/>
    <n v="342669"/>
    <s v="Ratan Sadhukhan"/>
    <s v="Private Retailer"/>
    <s v="9932390429"/>
    <n v="3.1949999999999998"/>
    <n v="1168"/>
    <x v="2"/>
    <m/>
    <s v="2023-02-07"/>
    <s v="1043444"/>
    <s v="UMA RANI SAHA"/>
    <s v="9775414001"/>
  </r>
  <r>
    <s v="RCF Trombay"/>
    <s v="15-15-15"/>
    <s v="WB"/>
    <x v="17"/>
    <m/>
    <s v="User Not Mapped"/>
    <s v="User Not Mapped"/>
    <s v="User Not Mapped"/>
    <n v="342669"/>
    <s v="Ratan Sadhukhan"/>
    <s v="Private Retailer"/>
    <s v="9932390429"/>
    <n v="0.1"/>
    <n v="1203"/>
    <x v="2"/>
    <m/>
    <s v="2023-01-03"/>
    <s v="1043444"/>
    <s v="UMA RANI SAHA"/>
    <s v="9775414001"/>
  </r>
  <r>
    <s v="RCF Import"/>
    <s v="MOP"/>
    <s v="WB"/>
    <x v="17"/>
    <s v="Chakdah"/>
    <s v="User Not Mapped"/>
    <s v="User Not Mapped"/>
    <s v="User Not Mapped"/>
    <n v="356267"/>
    <s v="Sankar Sarkar"/>
    <s v="Private Retailer"/>
    <s v="9733997844"/>
    <n v="1"/>
    <n v="49"/>
    <x v="3"/>
    <m/>
    <s v="2026-03-02"/>
    <s v="1043444"/>
    <s v="UMA RANI SAHA"/>
    <s v="9775414001"/>
  </r>
  <r>
    <s v="RCF Trombay"/>
    <s v="N.C.Urea(45kg)"/>
    <s v="WB"/>
    <x v="17"/>
    <s v="Chakdah"/>
    <s v="User Not Mapped"/>
    <s v="User Not Mapped"/>
    <s v="User Not Mapped"/>
    <n v="356267"/>
    <s v="Sankar Sarkar"/>
    <s v="Private Retailer"/>
    <s v="9733997844"/>
    <n v="2.25"/>
    <n v="49"/>
    <x v="3"/>
    <m/>
    <s v="2026-03-02"/>
    <s v="1043444"/>
    <s v="UMA RANI SAHA"/>
    <s v="9775414001"/>
  </r>
  <r>
    <s v="RCF Trombay"/>
    <s v="15-15-15"/>
    <s v="WB"/>
    <x v="17"/>
    <s v="Chakdah"/>
    <s v="User Not Mapped"/>
    <s v="User Not Mapped"/>
    <s v="User Not Mapped"/>
    <n v="356267"/>
    <s v="Sankar Sarkar"/>
    <s v="Private Retailer"/>
    <s v="9733997844"/>
    <n v="0.5"/>
    <n v="49"/>
    <x v="3"/>
    <m/>
    <s v="2026-03-02"/>
    <s v="1043444"/>
    <s v="UMA RANI SAHA"/>
    <s v="9775414001"/>
  </r>
  <r>
    <s v="RCF Trombay"/>
    <s v="N.C.Urea(45kg)"/>
    <s v="WB"/>
    <x v="17"/>
    <s v="Ranaghat - II"/>
    <s v="User Not Mapped"/>
    <s v="User Not Mapped"/>
    <s v="User Not Mapped"/>
    <n v="1478876"/>
    <s v="SARKAR FERTILIZERS SEED AND PE"/>
    <s v="Private Retailer"/>
    <s v="9832920192"/>
    <n v="0.40500000000000003"/>
    <n v="125"/>
    <x v="4"/>
    <m/>
    <s v="2025-12-16"/>
    <s v="1043444"/>
    <s v="UMA RANI SAHA"/>
    <s v="9775414001"/>
  </r>
  <r>
    <s v="RCF Import"/>
    <s v="Imp 10-26-26"/>
    <s v="WB"/>
    <x v="17"/>
    <s v="Chakdah"/>
    <s v="User Not Mapped"/>
    <s v="User Not Mapped"/>
    <s v="User Not Mapped"/>
    <n v="413924"/>
    <s v="Subhash Ch Dey"/>
    <s v="Private Retailer"/>
    <s v="9734061348"/>
    <n v="0.6"/>
    <n v="49"/>
    <x v="3"/>
    <m/>
    <s v="2026-03-02"/>
    <s v="1043444"/>
    <s v="UMA RANI SAHA"/>
    <s v="9775414001"/>
  </r>
  <r>
    <s v="RCF Import"/>
    <s v="MOP"/>
    <s v="WB"/>
    <x v="17"/>
    <s v="Chakdah"/>
    <s v="User Not Mapped"/>
    <s v="User Not Mapped"/>
    <s v="User Not Mapped"/>
    <n v="413924"/>
    <s v="Subhash Ch Dey"/>
    <s v="Private Retailer"/>
    <s v="9734061348"/>
    <n v="1"/>
    <n v="49"/>
    <x v="3"/>
    <m/>
    <s v="2026-03-02"/>
    <s v="1043444"/>
    <s v="UMA RANI SAHA"/>
    <s v="9775414001"/>
  </r>
  <r>
    <s v="RCF Trombay"/>
    <s v="15-15-15"/>
    <s v="WB"/>
    <x v="17"/>
    <s v="Chakdah"/>
    <s v="User Not Mapped"/>
    <s v="User Not Mapped"/>
    <s v="User Not Mapped"/>
    <n v="413924"/>
    <s v="Subhash Ch Dey"/>
    <s v="Private Retailer"/>
    <s v="9734061348"/>
    <n v="2.2999999999999998"/>
    <n v="49"/>
    <x v="3"/>
    <m/>
    <s v="2026-03-02"/>
    <s v="1043444"/>
    <s v="UMA RANI SAHA"/>
    <s v="9775414001"/>
  </r>
  <r>
    <s v="RCF Trombay"/>
    <s v="N.C.Urea(45kg)"/>
    <s v="WB"/>
    <x v="17"/>
    <s v="Chakdah"/>
    <s v="User Not Mapped"/>
    <s v="User Not Mapped"/>
    <s v="User Not Mapped"/>
    <n v="1519462"/>
    <s v="SUJIT BISWAS"/>
    <s v="Private Retailer"/>
    <s v="9378350457"/>
    <n v="0.09"/>
    <n v="247"/>
    <x v="1"/>
    <m/>
    <s v="2025-08-16"/>
    <s v="1043444"/>
    <s v="UMA RANI SAHA"/>
    <s v="9775414001"/>
  </r>
  <r>
    <s v="RCF Trombay"/>
    <s v="15-15-15"/>
    <s v="WB"/>
    <x v="17"/>
    <s v="Chakdah"/>
    <s v="User Not Mapped"/>
    <s v="User Not Mapped"/>
    <s v="User Not Mapped"/>
    <n v="1519462"/>
    <s v="SUJIT BISWAS"/>
    <s v="Private Retailer"/>
    <s v="9378350457"/>
    <n v="1"/>
    <n v="247"/>
    <x v="1"/>
    <m/>
    <s v="2025-08-16"/>
    <s v="1043444"/>
    <s v="UMA RANI SAHA"/>
    <s v="9775414001"/>
  </r>
  <r>
    <s v="RCF Trombay"/>
    <s v="N.C.Urea(45kg)"/>
    <s v="WB"/>
    <x v="17"/>
    <s v="Chakdah"/>
    <s v="User Not Mapped"/>
    <s v="User Not Mapped"/>
    <s v="User Not Mapped"/>
    <n v="1061912"/>
    <s v="SUSHIL CHANDRA CHANDA"/>
    <s v="Private Retailer"/>
    <s v="9153696476"/>
    <n v="4.5"/>
    <n v="61"/>
    <x v="6"/>
    <m/>
    <s v="2026-02-18"/>
    <s v="1043444"/>
    <s v="UMA RANI SAHA"/>
    <s v="9775414001"/>
  </r>
  <r>
    <s v="RCF Trombay"/>
    <s v="15-15-15"/>
    <s v="WB"/>
    <x v="17"/>
    <s v="Ranaghat - II"/>
    <s v="User Not Mapped"/>
    <s v="User Not Mapped"/>
    <s v="User Not Mapped"/>
    <n v="1561715"/>
    <s v="SUVANKAR DAS"/>
    <s v="Private Retailer"/>
    <s v="6294337522"/>
    <n v="0.2"/>
    <n v="260"/>
    <x v="1"/>
    <m/>
    <s v="2025-08-03"/>
    <s v="1043444"/>
    <s v="UMA RANI SAHA"/>
    <s v="9775414001"/>
  </r>
  <r>
    <s v="RCF Thal"/>
    <s v="N.C.Urea(45kg)"/>
    <s v="WB"/>
    <x v="17"/>
    <s v="Chakdah"/>
    <s v="User Not Mapped"/>
    <s v="User Not Mapped"/>
    <s v="User Not Mapped"/>
    <n v="938967"/>
    <s v="TAPAN KUMAR MONDAL"/>
    <s v="Private Retailer"/>
    <s v="9477621426"/>
    <n v="0.18"/>
    <n v="22"/>
    <x v="5"/>
    <m/>
    <s v="2026-03-29"/>
    <s v="1043444"/>
    <s v="UMA RANI SAHA"/>
    <s v="9775414001"/>
  </r>
  <r>
    <s v="RCF Trombay"/>
    <s v="15-15-15"/>
    <s v="WB"/>
    <x v="17"/>
    <s v="Chakdah"/>
    <s v="User Not Mapped"/>
    <s v="User Not Mapped"/>
    <s v="User Not Mapped"/>
    <n v="938967"/>
    <s v="TAPAN KUMAR MONDAL"/>
    <s v="Private Retailer"/>
    <s v="9477621426"/>
    <n v="0.8"/>
    <n v="21"/>
    <x v="5"/>
    <m/>
    <s v="2026-03-30"/>
    <s v="1043444"/>
    <s v="UMA RANI SAHA"/>
    <s v="9775414001"/>
  </r>
  <r>
    <s v="RCF Trombay"/>
    <s v="15-15-15"/>
    <s v="WB"/>
    <x v="17"/>
    <s v="Karimpur - II"/>
    <s v="User Not Mapped"/>
    <s v="User Not Mapped"/>
    <s v="User Not Mapped"/>
    <n v="342772"/>
    <s v="Subir Kumar Biswas"/>
    <s v="Private Wholsaler"/>
    <s v="9932631270"/>
    <n v="5.9"/>
    <n v="67"/>
    <x v="6"/>
    <s v="'2526USPKSLGF0090'"/>
    <s v="2026-02-12"/>
    <s v="1409662"/>
    <s v="UMA SHANKAR PRADIP KUMAR"/>
    <s v="9831636631"/>
  </r>
  <r>
    <s v="RCF Trombay"/>
    <s v="15-15-15"/>
    <s v="WB"/>
    <x v="18"/>
    <m/>
    <s v="User Not Mapped"/>
    <s v="User Not Mapped"/>
    <s v="User Not Mapped"/>
    <n v="459458"/>
    <s v="Banarasi Beej Bhawan"/>
    <s v="Private Retailer"/>
    <s v="9378221855"/>
    <n v="1.5"/>
    <n v="226"/>
    <x v="1"/>
    <m/>
    <s v="2025-09-06"/>
    <s v="261721"/>
    <s v="Sakti Pada Hui"/>
    <s v="9832201350"/>
  </r>
  <r>
    <s v="RCF Thal"/>
    <s v="N.C.Urea(45kg)"/>
    <s v="WB"/>
    <x v="18"/>
    <m/>
    <s v="User Not Mapped"/>
    <s v="User Not Mapped"/>
    <s v="User Not Mapped"/>
    <n v="459458"/>
    <s v="Banarasi Beej Bhawan"/>
    <s v="Private Retailer"/>
    <s v="9378221855"/>
    <n v="0.18"/>
    <n v="170"/>
    <x v="4"/>
    <m/>
    <s v="2025-11-01"/>
    <s v="261721"/>
    <s v="Sakti Pada Hui"/>
    <s v="9832201350"/>
  </r>
  <r>
    <s v="RCF Thal"/>
    <s v="N.C.Urea(45kg)"/>
    <s v="WB"/>
    <x v="18"/>
    <s v="Salanpur"/>
    <s v="User Not Mapped"/>
    <s v="User Not Mapped"/>
    <s v="User Not Mapped"/>
    <n v="353722"/>
    <s v="Bharat Krishi Kalyan"/>
    <s v="Private Retailer"/>
    <s v="9832217455"/>
    <n v="0.22500000000000001"/>
    <n v="129"/>
    <x v="4"/>
    <m/>
    <s v="2025-12-12"/>
    <s v="261721"/>
    <s v="Sakti Pada Hui"/>
    <s v="9832201350"/>
  </r>
  <r>
    <s v="RCF Trombay"/>
    <s v="15-15-15"/>
    <s v="WB"/>
    <x v="18"/>
    <s v="Salanpur"/>
    <s v="User Not Mapped"/>
    <s v="User Not Mapped"/>
    <s v="User Not Mapped"/>
    <n v="353722"/>
    <s v="Bharat Krishi Kalyan"/>
    <s v="Private Retailer"/>
    <s v="9832217455"/>
    <n v="0.25"/>
    <n v="129"/>
    <x v="4"/>
    <m/>
    <s v="2025-12-12"/>
    <s v="261721"/>
    <s v="Sakti Pada Hui"/>
    <s v="9832201350"/>
  </r>
  <r>
    <s v="RCF Trombay"/>
    <s v="15-15-15"/>
    <s v="WB"/>
    <x v="18"/>
    <s v="Faridpur Durgapur"/>
    <s v="User Not Mapped"/>
    <s v="User Not Mapped"/>
    <s v="User Not Mapped"/>
    <n v="343987"/>
    <s v="Biswajit Mondal"/>
    <s v="Private Retailer"/>
    <s v="9832287653"/>
    <n v="0.5"/>
    <n v="63"/>
    <x v="6"/>
    <m/>
    <s v="2026-02-16"/>
    <s v="261721"/>
    <s v="Sakti Pada Hui"/>
    <s v="9832201350"/>
  </r>
  <r>
    <s v="RCF Trombay"/>
    <s v="15-15-15"/>
    <s v="WB"/>
    <x v="18"/>
    <s v="Faridpur Durgapur"/>
    <s v="User Not Mapped"/>
    <s v="User Not Mapped"/>
    <s v="User Not Mapped"/>
    <n v="343987"/>
    <s v="Biswajit Mondal"/>
    <s v="Private Retailer"/>
    <s v="9832287653"/>
    <n v="1.1000000000000001"/>
    <n v="170"/>
    <x v="4"/>
    <m/>
    <s v="2025-11-01"/>
    <s v="261721"/>
    <s v="Sakti Pada Hui"/>
    <s v="9832201350"/>
  </r>
  <r>
    <s v="RCF Trombay"/>
    <s v="15-15-15"/>
    <s v="WB"/>
    <x v="18"/>
    <s v="Faridpur Durgapur"/>
    <s v="User Not Mapped"/>
    <s v="User Not Mapped"/>
    <s v="User Not Mapped"/>
    <n v="343987"/>
    <s v="Biswajit Mondal"/>
    <s v="Private Retailer"/>
    <s v="9832287653"/>
    <n v="0.5"/>
    <n v="129"/>
    <x v="4"/>
    <m/>
    <s v="2025-12-12"/>
    <s v="261721"/>
    <s v="Sakti Pada Hui"/>
    <s v="9832201350"/>
  </r>
  <r>
    <s v="RCF Trombay"/>
    <s v="N.C.Urea(45kg)"/>
    <s v="WB"/>
    <x v="18"/>
    <m/>
    <s v="User Not Mapped"/>
    <s v="User Not Mapped"/>
    <s v="User Not Mapped"/>
    <n v="751001"/>
    <s v="KISHAN BANDHU"/>
    <s v="Private Retailer"/>
    <s v="8617635383"/>
    <n v="3.4649999999999999"/>
    <n v="47"/>
    <x v="3"/>
    <m/>
    <s v="2026-03-04"/>
    <s v="261721"/>
    <s v="Sakti Pada Hui"/>
    <s v="9832201350"/>
  </r>
  <r>
    <s v="RCF Trombay"/>
    <s v="15-15-15"/>
    <s v="WB"/>
    <x v="18"/>
    <s v="Faridpur Durgapur"/>
    <s v="User Not Mapped"/>
    <s v="User Not Mapped"/>
    <s v="User Not Mapped"/>
    <n v="343951"/>
    <s v="Samar Chandra Mondal"/>
    <s v="Private Retailer"/>
    <s v="9832258148"/>
    <n v="2.5"/>
    <n v="104"/>
    <x v="7"/>
    <m/>
    <s v="2026-01-06"/>
    <s v="261721"/>
    <s v="Sakti Pada Hui"/>
    <s v="9832201350"/>
  </r>
  <r>
    <s v="RCF Trombay"/>
    <s v="15-15-15"/>
    <s v="WB"/>
    <x v="18"/>
    <s v="Faridpur Durgapur"/>
    <s v="User Not Mapped"/>
    <s v="User Not Mapped"/>
    <s v="User Not Mapped"/>
    <n v="343951"/>
    <s v="Samar Chandra Mondal"/>
    <s v="Private Retailer"/>
    <s v="9832258148"/>
    <n v="1.05"/>
    <n v="139"/>
    <x v="4"/>
    <m/>
    <s v="2025-12-02"/>
    <s v="261721"/>
    <s v="Sakti Pada Hui"/>
    <s v="9832201350"/>
  </r>
  <r>
    <s v="RCF Thal"/>
    <s v="N.C.Urea(45kg)"/>
    <s v="WB"/>
    <x v="18"/>
    <s v="Salanpur"/>
    <s v="User Not Mapped"/>
    <s v="User Not Mapped"/>
    <s v="User Not Mapped"/>
    <n v="639783"/>
    <s v="SANTI KRISHI BHANDER"/>
    <s v="Private Retailer"/>
    <s v="9609710319"/>
    <n v="3.06"/>
    <n v="237"/>
    <x v="1"/>
    <m/>
    <s v="2025-08-26"/>
    <s v="261721"/>
    <s v="Sakti Pada Hui"/>
    <s v="9832201350"/>
  </r>
  <r>
    <s v="RCF Thal"/>
    <s v="N.C.Urea(45kg)"/>
    <s v="WB"/>
    <x v="18"/>
    <s v="Barabani"/>
    <s v="User Not Mapped"/>
    <s v="User Not Mapped"/>
    <s v="User Not Mapped"/>
    <n v="639755"/>
    <s v="SAROJ CHAND"/>
    <s v="Private Retailer"/>
    <s v="9800443730"/>
    <n v="0.315"/>
    <n v="129"/>
    <x v="4"/>
    <m/>
    <s v="2025-12-12"/>
    <s v="261721"/>
    <s v="Sakti Pada Hui"/>
    <s v="9832201350"/>
  </r>
  <r>
    <m/>
    <m/>
    <m/>
    <x v="19"/>
    <m/>
    <m/>
    <m/>
    <m/>
    <m/>
    <m/>
    <m/>
    <m/>
    <m/>
    <m/>
    <x v="8"/>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37C19-574D-4DCE-9BE9-E93041EA6E30}" name="PivotTable2"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3">
  <location ref="A3:B23" firstHeaderRow="1" firstDataRow="1" firstDataCol="1"/>
  <pivotFields count="20">
    <pivotField showAll="0"/>
    <pivotField showAll="0"/>
    <pivotField showAll="0"/>
    <pivotField axis="axisRow" showAll="0" sortType="descending">
      <items count="21">
        <item h="1"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20">
    <i>
      <x v="1"/>
    </i>
    <i>
      <x v="2"/>
    </i>
    <i>
      <x v="3"/>
    </i>
    <i>
      <x v="4"/>
    </i>
    <i>
      <x v="5"/>
    </i>
    <i>
      <x v="6"/>
    </i>
    <i>
      <x v="7"/>
    </i>
    <i>
      <x v="8"/>
    </i>
    <i>
      <x v="9"/>
    </i>
    <i>
      <x v="10"/>
    </i>
    <i>
      <x v="11"/>
    </i>
    <i>
      <x v="12"/>
    </i>
    <i>
      <x v="13"/>
    </i>
    <i>
      <x v="14"/>
    </i>
    <i>
      <x v="15"/>
    </i>
    <i>
      <x v="16"/>
    </i>
    <i>
      <x v="17"/>
    </i>
    <i>
      <x v="18"/>
    </i>
    <i>
      <x v="19"/>
    </i>
    <i t="grand">
      <x/>
    </i>
  </rowItems>
  <colItems count="1">
    <i/>
  </colItems>
  <dataFields count="1">
    <dataField name="Sum of Qty (In MT)" fld="12" baseField="0" baseItem="0"/>
  </dataFields>
  <chartFormats count="2">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75D057-7D4E-45AD-81D2-3D8B10680F39}" name="PivotTable8"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27:A28"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Qty (In M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4170C9-B0EE-4874-9CDD-6E1E176049B0}" name="PivotTable7"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A3:E24" firstHeaderRow="1" firstDataRow="2" firstDataCol="1"/>
  <pivotFields count="20">
    <pivotField showAll="0"/>
    <pivotField showAll="0"/>
    <pivotField showAll="0"/>
    <pivotField axis="axisRow" showAll="0" sortType="ascending">
      <items count="21">
        <item x="0"/>
        <item x="1"/>
        <item x="2"/>
        <item x="3"/>
        <item x="4"/>
        <item x="5"/>
        <item x="6"/>
        <item x="7"/>
        <item x="8"/>
        <item x="9"/>
        <item x="10"/>
        <item x="11"/>
        <item x="12"/>
        <item x="13"/>
        <item x="14"/>
        <item x="15"/>
        <item x="16"/>
        <item x="17"/>
        <item x="18"/>
        <item h="1" x="19"/>
        <item t="default"/>
      </items>
    </pivotField>
    <pivotField showAll="0"/>
    <pivotField showAll="0"/>
    <pivotField showAll="0"/>
    <pivotField showAll="0"/>
    <pivotField showAll="0"/>
    <pivotField showAll="0"/>
    <pivotField showAll="0"/>
    <pivotField showAll="0"/>
    <pivotField dataField="1" showAll="0"/>
    <pivotField showAll="0"/>
    <pivotField axis="axisCol" showAll="0">
      <items count="10">
        <item h="1" x="5"/>
        <item h="1" x="4"/>
        <item x="1"/>
        <item h="1" x="3"/>
        <item x="0"/>
        <item x="2"/>
        <item h="1" x="6"/>
        <item h="1" x="7"/>
        <item h="1" x="8"/>
        <item t="default"/>
      </items>
    </pivotField>
    <pivotField showAll="0"/>
    <pivotField showAll="0"/>
    <pivotField showAll="0"/>
    <pivotField showAll="0"/>
    <pivotField showAll="0"/>
  </pivotFields>
  <rowFields count="1">
    <field x="3"/>
  </rowFields>
  <rowItems count="20">
    <i>
      <x/>
    </i>
    <i>
      <x v="1"/>
    </i>
    <i>
      <x v="2"/>
    </i>
    <i>
      <x v="3"/>
    </i>
    <i>
      <x v="4"/>
    </i>
    <i>
      <x v="5"/>
    </i>
    <i>
      <x v="6"/>
    </i>
    <i>
      <x v="7"/>
    </i>
    <i>
      <x v="8"/>
    </i>
    <i>
      <x v="9"/>
    </i>
    <i>
      <x v="10"/>
    </i>
    <i>
      <x v="11"/>
    </i>
    <i>
      <x v="12"/>
    </i>
    <i>
      <x v="13"/>
    </i>
    <i>
      <x v="14"/>
    </i>
    <i>
      <x v="15"/>
    </i>
    <i>
      <x v="16"/>
    </i>
    <i>
      <x v="17"/>
    </i>
    <i>
      <x v="18"/>
    </i>
    <i t="grand">
      <x/>
    </i>
  </rowItems>
  <colFields count="1">
    <field x="14"/>
  </colFields>
  <colItems count="4">
    <i>
      <x v="2"/>
    </i>
    <i>
      <x v="4"/>
    </i>
    <i>
      <x v="5"/>
    </i>
    <i t="grand">
      <x/>
    </i>
  </colItems>
  <dataFields count="1">
    <dataField name="Sum of Qty (In MT)" fld="12" baseField="0" baseItem="0"/>
  </dataFields>
  <chartFormats count="20">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 chart="0" format="6" series="1">
      <pivotArea type="data" outline="0" fieldPosition="0">
        <references count="2">
          <reference field="4294967294" count="1" selected="0">
            <x v="0"/>
          </reference>
          <reference field="14" count="1" selected="0">
            <x v="6"/>
          </reference>
        </references>
      </pivotArea>
    </chartFormat>
    <chartFormat chart="0" format="7" series="1">
      <pivotArea type="data" outline="0" fieldPosition="0">
        <references count="2">
          <reference field="4294967294" count="1" selected="0">
            <x v="0"/>
          </reference>
          <reference field="14" count="1" selected="0">
            <x v="7"/>
          </reference>
        </references>
      </pivotArea>
    </chartFormat>
    <chartFormat chart="2" format="11" series="1">
      <pivotArea type="data" outline="0" fieldPosition="0">
        <references count="2">
          <reference field="4294967294" count="1" selected="0">
            <x v="0"/>
          </reference>
          <reference field="14" count="1" selected="0">
            <x v="2"/>
          </reference>
        </references>
      </pivotArea>
    </chartFormat>
    <chartFormat chart="2" format="12" series="1">
      <pivotArea type="data" outline="0" fieldPosition="0">
        <references count="2">
          <reference field="4294967294" count="1" selected="0">
            <x v="0"/>
          </reference>
          <reference field="14" count="1" selected="0">
            <x v="4"/>
          </reference>
        </references>
      </pivotArea>
    </chartFormat>
    <chartFormat chart="2" format="13" series="1">
      <pivotArea type="data" outline="0" fieldPosition="0">
        <references count="2">
          <reference field="4294967294" count="1" selected="0">
            <x v="0"/>
          </reference>
          <reference field="14" count="1" selected="0">
            <x v="5"/>
          </reference>
        </references>
      </pivotArea>
    </chartFormat>
    <chartFormat chart="5" format="0" series="1">
      <pivotArea type="data" outline="0" fieldPosition="0">
        <references count="2">
          <reference field="4294967294" count="1" selected="0">
            <x v="0"/>
          </reference>
          <reference field="14" count="1" selected="0">
            <x v="2"/>
          </reference>
        </references>
      </pivotArea>
    </chartFormat>
    <chartFormat chart="5" format="1" series="1">
      <pivotArea type="data" outline="0" fieldPosition="0">
        <references count="2">
          <reference field="4294967294" count="1" selected="0">
            <x v="0"/>
          </reference>
          <reference field="14" count="1" selected="0">
            <x v="4"/>
          </reference>
        </references>
      </pivotArea>
    </chartFormat>
    <chartFormat chart="5" format="2" series="1">
      <pivotArea type="data" outline="0" fieldPosition="0">
        <references count="2">
          <reference field="4294967294" count="1" selected="0">
            <x v="0"/>
          </reference>
          <reference field="14" count="1" selected="0">
            <x v="5"/>
          </reference>
        </references>
      </pivotArea>
    </chartFormat>
    <chartFormat chart="6" format="3" series="1">
      <pivotArea type="data" outline="0" fieldPosition="0">
        <references count="2">
          <reference field="4294967294" count="1" selected="0">
            <x v="0"/>
          </reference>
          <reference field="14" count="1" selected="0">
            <x v="2"/>
          </reference>
        </references>
      </pivotArea>
    </chartFormat>
    <chartFormat chart="6" format="4" series="1">
      <pivotArea type="data" outline="0" fieldPosition="0">
        <references count="2">
          <reference field="4294967294" count="1" selected="0">
            <x v="0"/>
          </reference>
          <reference field="14" count="1" selected="0">
            <x v="4"/>
          </reference>
        </references>
      </pivotArea>
    </chartFormat>
    <chartFormat chart="6" format="5" series="1">
      <pivotArea type="data" outline="0" fieldPosition="0">
        <references count="2">
          <reference field="4294967294" count="1" selected="0">
            <x v="0"/>
          </reference>
          <reference field="14" count="1" selected="0">
            <x v="5"/>
          </reference>
        </references>
      </pivotArea>
    </chartFormat>
    <chartFormat chart="7" format="6" series="1">
      <pivotArea type="data" outline="0" fieldPosition="0">
        <references count="2">
          <reference field="4294967294" count="1" selected="0">
            <x v="0"/>
          </reference>
          <reference field="14" count="1" selected="0">
            <x v="2"/>
          </reference>
        </references>
      </pivotArea>
    </chartFormat>
    <chartFormat chart="7" format="7" series="1">
      <pivotArea type="data" outline="0" fieldPosition="0">
        <references count="2">
          <reference field="4294967294" count="1" selected="0">
            <x v="0"/>
          </reference>
          <reference field="14" count="1" selected="0">
            <x v="4"/>
          </reference>
        </references>
      </pivotArea>
    </chartFormat>
    <chartFormat chart="7" format="8" series="1">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6E0904-AE27-4A01-838E-4D8E140287E2}" name="PivotTable10"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0:B34"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0">
        <item h="1" x="5"/>
        <item h="1" x="4"/>
        <item x="1"/>
        <item h="1" x="3"/>
        <item x="0"/>
        <item x="2"/>
        <item h="1" x="6"/>
        <item h="1" x="7"/>
        <item h="1" x="8"/>
        <item t="default"/>
      </items>
    </pivotField>
    <pivotField showAll="0"/>
    <pivotField showAll="0"/>
    <pivotField showAll="0"/>
    <pivotField showAll="0"/>
    <pivotField showAll="0"/>
  </pivotFields>
  <rowFields count="1">
    <field x="14"/>
  </rowFields>
  <rowItems count="4">
    <i>
      <x v="2"/>
    </i>
    <i>
      <x v="4"/>
    </i>
    <i>
      <x v="5"/>
    </i>
    <i t="grand">
      <x/>
    </i>
  </rowItems>
  <colItems count="1">
    <i/>
  </colItems>
  <dataFields count="1">
    <dataField name="Sum of Qty (In M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55B525-1AB6-410D-9FDA-FBA017C289F8}"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6">
  <location ref="A3:B23" firstHeaderRow="1" firstDataRow="1" firstDataCol="1"/>
  <pivotFields count="20">
    <pivotField showAll="0"/>
    <pivotField showAll="0"/>
    <pivotField showAll="0"/>
    <pivotField axis="axisRow" showAll="0" sortType="descending">
      <items count="21">
        <item h="1" x="19"/>
        <item x="18"/>
        <item x="15"/>
        <item x="14"/>
        <item x="17"/>
        <item x="13"/>
        <item x="12"/>
        <item x="11"/>
        <item x="10"/>
        <item x="9"/>
        <item x="8"/>
        <item x="7"/>
        <item x="16"/>
        <item x="6"/>
        <item x="5"/>
        <item x="4"/>
        <item x="3"/>
        <item x="2"/>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20">
    <i>
      <x v="1"/>
    </i>
    <i>
      <x v="2"/>
    </i>
    <i>
      <x v="3"/>
    </i>
    <i>
      <x v="4"/>
    </i>
    <i>
      <x v="5"/>
    </i>
    <i>
      <x v="6"/>
    </i>
    <i>
      <x v="7"/>
    </i>
    <i>
      <x v="8"/>
    </i>
    <i>
      <x v="9"/>
    </i>
    <i>
      <x v="10"/>
    </i>
    <i>
      <x v="11"/>
    </i>
    <i>
      <x v="12"/>
    </i>
    <i>
      <x v="13"/>
    </i>
    <i>
      <x v="14"/>
    </i>
    <i>
      <x v="15"/>
    </i>
    <i>
      <x v="16"/>
    </i>
    <i>
      <x v="17"/>
    </i>
    <i>
      <x v="18"/>
    </i>
    <i>
      <x v="19"/>
    </i>
    <i t="grand">
      <x/>
    </i>
  </rowItems>
  <colItems count="1">
    <i/>
  </colItems>
  <dataFields count="1">
    <dataField name="Sum of Qty (In MT)" fld="1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21E09E-BDDB-48AA-B89C-52E6CD133D15}"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A3:B12"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0">
        <item x="4"/>
        <item x="0"/>
        <item x="3"/>
        <item x="1"/>
        <item x="6"/>
        <item x="7"/>
        <item x="2"/>
        <item x="5"/>
        <item h="1" x="8"/>
        <item t="default"/>
      </items>
    </pivotField>
    <pivotField showAll="0"/>
    <pivotField showAll="0"/>
    <pivotField showAll="0"/>
    <pivotField showAll="0"/>
    <pivotField showAll="0"/>
  </pivotFields>
  <rowFields count="1">
    <field x="14"/>
  </rowFields>
  <rowItems count="9">
    <i>
      <x/>
    </i>
    <i>
      <x v="1"/>
    </i>
    <i>
      <x v="2"/>
    </i>
    <i>
      <x v="3"/>
    </i>
    <i>
      <x v="4"/>
    </i>
    <i>
      <x v="5"/>
    </i>
    <i>
      <x v="6"/>
    </i>
    <i>
      <x v="7"/>
    </i>
    <i t="grand">
      <x/>
    </i>
  </rowItems>
  <colItems count="1">
    <i/>
  </colItems>
  <dataFields count="1">
    <dataField name="Sum of Qty (In MT)" fld="12" baseField="0" baseItem="0"/>
  </dataFields>
  <chartFormats count="18">
    <chartFormat chart="0"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4" count="1" selected="0">
            <x v="0"/>
          </reference>
        </references>
      </pivotArea>
    </chartFormat>
    <chartFormat chart="4" format="12">
      <pivotArea type="data" outline="0" fieldPosition="0">
        <references count="2">
          <reference field="4294967294" count="1" selected="0">
            <x v="0"/>
          </reference>
          <reference field="14" count="1" selected="0">
            <x v="1"/>
          </reference>
        </references>
      </pivotArea>
    </chartFormat>
    <chartFormat chart="4" format="13">
      <pivotArea type="data" outline="0" fieldPosition="0">
        <references count="2">
          <reference field="4294967294" count="1" selected="0">
            <x v="0"/>
          </reference>
          <reference field="14" count="1" selected="0">
            <x v="2"/>
          </reference>
        </references>
      </pivotArea>
    </chartFormat>
    <chartFormat chart="4" format="14">
      <pivotArea type="data" outline="0" fieldPosition="0">
        <references count="2">
          <reference field="4294967294" count="1" selected="0">
            <x v="0"/>
          </reference>
          <reference field="14" count="1" selected="0">
            <x v="3"/>
          </reference>
        </references>
      </pivotArea>
    </chartFormat>
    <chartFormat chart="4" format="15">
      <pivotArea type="data" outline="0" fieldPosition="0">
        <references count="2">
          <reference field="4294967294" count="1" selected="0">
            <x v="0"/>
          </reference>
          <reference field="14" count="1" selected="0">
            <x v="4"/>
          </reference>
        </references>
      </pivotArea>
    </chartFormat>
    <chartFormat chart="4" format="16">
      <pivotArea type="data" outline="0" fieldPosition="0">
        <references count="2">
          <reference field="4294967294" count="1" selected="0">
            <x v="0"/>
          </reference>
          <reference field="14" count="1" selected="0">
            <x v="5"/>
          </reference>
        </references>
      </pivotArea>
    </chartFormat>
    <chartFormat chart="4" format="17">
      <pivotArea type="data" outline="0" fieldPosition="0">
        <references count="2">
          <reference field="4294967294" count="1" selected="0">
            <x v="0"/>
          </reference>
          <reference field="14" count="1" selected="0">
            <x v="6"/>
          </reference>
        </references>
      </pivotArea>
    </chartFormat>
    <chartFormat chart="4" format="18">
      <pivotArea type="data" outline="0" fieldPosition="0">
        <references count="2">
          <reference field="4294967294" count="1" selected="0">
            <x v="0"/>
          </reference>
          <reference field="14" count="1" selected="0">
            <x v="7"/>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0" format="6">
      <pivotArea type="data" outline="0" fieldPosition="0">
        <references count="2">
          <reference field="4294967294" count="1" selected="0">
            <x v="0"/>
          </reference>
          <reference field="14" count="1" selected="0">
            <x v="5"/>
          </reference>
        </references>
      </pivotArea>
    </chartFormat>
    <chartFormat chart="0" format="7">
      <pivotArea type="data" outline="0" fieldPosition="0">
        <references count="2">
          <reference field="4294967294" count="1" selected="0">
            <x v="0"/>
          </reference>
          <reference field="14" count="1" selected="0">
            <x v="6"/>
          </reference>
        </references>
      </pivotArea>
    </chartFormat>
    <chartFormat chart="0" format="8">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331418-6278-4E8B-B018-80BBA99C1DF9}"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A3:E24" firstHeaderRow="1" firstDataRow="2" firstDataCol="1"/>
  <pivotFields count="20">
    <pivotField showAll="0"/>
    <pivotField showAll="0"/>
    <pivotField showAll="0"/>
    <pivotField axis="axisRow" showAll="0" sortType="ascending">
      <items count="21">
        <item x="0"/>
        <item x="1"/>
        <item x="2"/>
        <item x="3"/>
        <item x="4"/>
        <item x="5"/>
        <item x="6"/>
        <item x="16"/>
        <item x="7"/>
        <item x="8"/>
        <item x="9"/>
        <item x="10"/>
        <item x="11"/>
        <item x="12"/>
        <item x="13"/>
        <item x="17"/>
        <item x="14"/>
        <item x="15"/>
        <item x="18"/>
        <item h="1" x="19"/>
        <item t="default"/>
      </items>
    </pivotField>
    <pivotField showAll="0"/>
    <pivotField showAll="0"/>
    <pivotField showAll="0"/>
    <pivotField showAll="0"/>
    <pivotField showAll="0"/>
    <pivotField showAll="0"/>
    <pivotField showAll="0"/>
    <pivotField showAll="0"/>
    <pivotField dataField="1" showAll="0"/>
    <pivotField showAll="0"/>
    <pivotField axis="axisCol" showAll="0">
      <items count="10">
        <item h="1" x="4"/>
        <item h="1" x="0"/>
        <item x="3"/>
        <item h="1" x="1"/>
        <item x="6"/>
        <item x="7"/>
        <item h="1" x="2"/>
        <item h="1" x="5"/>
        <item h="1" x="8"/>
        <item t="default"/>
      </items>
    </pivotField>
    <pivotField showAll="0"/>
    <pivotField showAll="0"/>
    <pivotField showAll="0"/>
    <pivotField showAll="0"/>
    <pivotField showAll="0"/>
  </pivotFields>
  <rowFields count="1">
    <field x="3"/>
  </rowFields>
  <rowItems count="20">
    <i>
      <x/>
    </i>
    <i>
      <x v="1"/>
    </i>
    <i>
      <x v="2"/>
    </i>
    <i>
      <x v="3"/>
    </i>
    <i>
      <x v="4"/>
    </i>
    <i>
      <x v="5"/>
    </i>
    <i>
      <x v="6"/>
    </i>
    <i>
      <x v="7"/>
    </i>
    <i>
      <x v="8"/>
    </i>
    <i>
      <x v="9"/>
    </i>
    <i>
      <x v="10"/>
    </i>
    <i>
      <x v="11"/>
    </i>
    <i>
      <x v="12"/>
    </i>
    <i>
      <x v="13"/>
    </i>
    <i>
      <x v="14"/>
    </i>
    <i>
      <x v="15"/>
    </i>
    <i>
      <x v="16"/>
    </i>
    <i>
      <x v="17"/>
    </i>
    <i>
      <x v="18"/>
    </i>
    <i t="grand">
      <x/>
    </i>
  </rowItems>
  <colFields count="1">
    <field x="14"/>
  </colFields>
  <colItems count="4">
    <i>
      <x v="2"/>
    </i>
    <i>
      <x v="4"/>
    </i>
    <i>
      <x v="5"/>
    </i>
    <i t="grand">
      <x/>
    </i>
  </colItems>
  <dataFields count="1">
    <dataField name="Sum of Qty (In MT)" fld="12" baseField="0" baseItem="0"/>
  </dataFields>
  <chartFormats count="17">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 chart="0" format="6" series="1">
      <pivotArea type="data" outline="0" fieldPosition="0">
        <references count="2">
          <reference field="4294967294" count="1" selected="0">
            <x v="0"/>
          </reference>
          <reference field="14" count="1" selected="0">
            <x v="6"/>
          </reference>
        </references>
      </pivotArea>
    </chartFormat>
    <chartFormat chart="0" format="7" series="1">
      <pivotArea type="data" outline="0" fieldPosition="0">
        <references count="2">
          <reference field="4294967294" count="1" selected="0">
            <x v="0"/>
          </reference>
          <reference field="14" count="1" selected="0">
            <x v="7"/>
          </reference>
        </references>
      </pivotArea>
    </chartFormat>
    <chartFormat chart="1" format="0" series="1">
      <pivotArea type="data" outline="0" fieldPosition="0">
        <references count="2">
          <reference field="4294967294" count="1" selected="0">
            <x v="0"/>
          </reference>
          <reference field="14" count="1" selected="0">
            <x v="2"/>
          </reference>
        </references>
      </pivotArea>
    </chartFormat>
    <chartFormat chart="1" format="1" series="1">
      <pivotArea type="data" outline="0" fieldPosition="0">
        <references count="2">
          <reference field="4294967294" count="1" selected="0">
            <x v="0"/>
          </reference>
          <reference field="14" count="1" selected="0">
            <x v="4"/>
          </reference>
        </references>
      </pivotArea>
    </chartFormat>
    <chartFormat chart="1" format="2" series="1">
      <pivotArea type="data" outline="0" fieldPosition="0">
        <references count="2">
          <reference field="4294967294" count="1" selected="0">
            <x v="0"/>
          </reference>
          <reference field="14" count="1" selected="0">
            <x v="5"/>
          </reference>
        </references>
      </pivotArea>
    </chartFormat>
    <chartFormat chart="3" format="6" series="1">
      <pivotArea type="data" outline="0" fieldPosition="0">
        <references count="2">
          <reference field="4294967294" count="1" selected="0">
            <x v="0"/>
          </reference>
          <reference field="14" count="1" selected="0">
            <x v="2"/>
          </reference>
        </references>
      </pivotArea>
    </chartFormat>
    <chartFormat chart="3" format="7" series="1">
      <pivotArea type="data" outline="0" fieldPosition="0">
        <references count="2">
          <reference field="4294967294" count="1" selected="0">
            <x v="0"/>
          </reference>
          <reference field="14" count="1" selected="0">
            <x v="4"/>
          </reference>
        </references>
      </pivotArea>
    </chartFormat>
    <chartFormat chart="3" format="8" series="1">
      <pivotArea type="data" outline="0" fieldPosition="0">
        <references count="2">
          <reference field="4294967294" count="1" selected="0">
            <x v="0"/>
          </reference>
          <reference field="14" count="1" selected="0">
            <x v="5"/>
          </reference>
        </references>
      </pivotArea>
    </chartFormat>
    <chartFormat chart="6" format="11" series="1">
      <pivotArea type="data" outline="0" fieldPosition="0">
        <references count="2">
          <reference field="4294967294" count="1" selected="0">
            <x v="0"/>
          </reference>
          <reference field="14" count="1" selected="0">
            <x v="2"/>
          </reference>
        </references>
      </pivotArea>
    </chartFormat>
    <chartFormat chart="6" format="12" series="1">
      <pivotArea type="data" outline="0" fieldPosition="0">
        <references count="2">
          <reference field="4294967294" count="1" selected="0">
            <x v="0"/>
          </reference>
          <reference field="14" count="1" selected="0">
            <x v="4"/>
          </reference>
        </references>
      </pivotArea>
    </chartFormat>
    <chartFormat chart="6" format="13" series="1">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C675A5-6C9B-4056-9FF5-7BA662623D87}" name="PivotTable9"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2:B36"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0">
        <item h="1" x="4"/>
        <item h="1" x="0"/>
        <item x="3"/>
        <item h="1" x="1"/>
        <item x="6"/>
        <item x="7"/>
        <item h="1" x="2"/>
        <item h="1" x="5"/>
        <item h="1" x="8"/>
        <item t="default"/>
      </items>
    </pivotField>
    <pivotField showAll="0"/>
    <pivotField showAll="0"/>
    <pivotField showAll="0"/>
    <pivotField showAll="0"/>
    <pivotField showAll="0"/>
  </pivotFields>
  <rowFields count="1">
    <field x="14"/>
  </rowFields>
  <rowItems count="4">
    <i>
      <x v="2"/>
    </i>
    <i>
      <x v="4"/>
    </i>
    <i>
      <x v="5"/>
    </i>
    <i t="grand">
      <x/>
    </i>
  </rowItems>
  <colItems count="1">
    <i/>
  </colItems>
  <dataFields count="1">
    <dataField name="Sum of Qty (In M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8C7D29-1451-4568-8CAD-BF486CE54933}"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28:A29"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Qty (In M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E9C1CE4E-7F15-4845-B230-330DE0C93E1D}" sourceName="District">
  <pivotTables>
    <pivotTable tabId="22" name="PivotTable2"/>
  </pivotTables>
  <data>
    <tabular pivotCacheId="1155569053">
      <items count="20">
        <i x="0" s="1"/>
        <i x="1" s="1"/>
        <i x="2" s="1"/>
        <i x="3" s="1"/>
        <i x="4" s="1"/>
        <i x="5" s="1"/>
        <i x="6" s="1"/>
        <i x="7" s="1"/>
        <i x="8" s="1"/>
        <i x="9" s="1"/>
        <i x="10" s="1"/>
        <i x="11" s="1"/>
        <i x="12" s="1"/>
        <i x="13" s="1"/>
        <i x="14" s="1"/>
        <i x="15" s="1"/>
        <i x="16" s="1"/>
        <i x="17" s="1"/>
        <i x="18" s="1"/>
        <i x="1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1" xr10:uid="{485B0763-D17F-4A75-B0BA-FA6094D13F29}" sourceName="District">
  <pivotTables>
    <pivotTable tabId="21" name="PivotTable1"/>
  </pivotTables>
  <data>
    <tabular pivotCacheId="725576342">
      <items count="20">
        <i x="0" s="1"/>
        <i x="1" s="1"/>
        <i x="2" s="1"/>
        <i x="3" s="1"/>
        <i x="4" s="1"/>
        <i x="5" s="1"/>
        <i x="6" s="1"/>
        <i x="16" s="1"/>
        <i x="7" s="1"/>
        <i x="8" s="1"/>
        <i x="9" s="1"/>
        <i x="10" s="1"/>
        <i x="11" s="1"/>
        <i x="12" s="1"/>
        <i x="13" s="1"/>
        <i x="17" s="1"/>
        <i x="14" s="1"/>
        <i x="15" s="1"/>
        <i x="18" s="1"/>
        <i x="1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xr10:uid="{08E944B2-339B-412D-9825-553FB02BFFFC}" cache="Slicer_District" caption="District" columnCount="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1" xr10:uid="{B18478FD-E0F4-4EEC-A249-981C3E7A0484}" cache="Slicer_District1" caption="District" columnCount="8"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9.xml"/><Relationship Id="rId1" Type="http://schemas.openxmlformats.org/officeDocument/2006/relationships/pivotTable" Target="../pivotTables/pivotTable1.xml"/></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1.xml"/><Relationship Id="rId1" Type="http://schemas.openxmlformats.org/officeDocument/2006/relationships/pivotTable" Target="../pivotTables/pivotTable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6.xml"/></Relationships>
</file>

<file path=xl/worksheets/_rels/sheet2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2269-7DD6-43DB-976C-BD7F1FDF920B}">
  <dimension ref="E1:AC3"/>
  <sheetViews>
    <sheetView topLeftCell="G1" workbookViewId="0">
      <selection activeCell="D4" sqref="D4"/>
    </sheetView>
  </sheetViews>
  <sheetFormatPr defaultRowHeight="15" x14ac:dyDescent="0.25"/>
  <cols>
    <col min="1" max="4" width="10.7109375" customWidth="1"/>
  </cols>
  <sheetData>
    <row r="1" spans="5:29" ht="15" customHeight="1" x14ac:dyDescent="0.25">
      <c r="E1" s="18" t="s">
        <v>8133</v>
      </c>
      <c r="F1" s="19"/>
      <c r="G1" s="19"/>
      <c r="H1" s="19"/>
      <c r="I1" s="19"/>
      <c r="J1" s="19"/>
      <c r="K1" s="19"/>
      <c r="L1" s="19"/>
      <c r="M1" s="19"/>
      <c r="N1" s="19"/>
      <c r="O1" s="19"/>
      <c r="P1" s="19"/>
      <c r="Q1" s="19"/>
      <c r="R1" s="19"/>
      <c r="S1" s="19"/>
      <c r="T1" s="19"/>
      <c r="U1" s="19"/>
      <c r="V1" s="19"/>
      <c r="W1" s="19"/>
      <c r="X1" s="19"/>
      <c r="Y1" s="19"/>
      <c r="Z1" s="19"/>
      <c r="AA1" s="19"/>
      <c r="AB1" s="19"/>
      <c r="AC1" s="5"/>
    </row>
    <row r="2" spans="5:29" ht="15" customHeight="1" x14ac:dyDescent="0.25">
      <c r="E2" s="19"/>
      <c r="F2" s="19"/>
      <c r="G2" s="19"/>
      <c r="H2" s="19"/>
      <c r="I2" s="19"/>
      <c r="J2" s="19"/>
      <c r="K2" s="19"/>
      <c r="L2" s="19"/>
      <c r="M2" s="19"/>
      <c r="N2" s="19"/>
      <c r="O2" s="19"/>
      <c r="P2" s="19"/>
      <c r="Q2" s="19"/>
      <c r="R2" s="19"/>
      <c r="S2" s="19"/>
      <c r="T2" s="19"/>
      <c r="U2" s="19"/>
      <c r="V2" s="19"/>
      <c r="W2" s="19"/>
      <c r="X2" s="19"/>
      <c r="Y2" s="19"/>
      <c r="Z2" s="19"/>
      <c r="AA2" s="19"/>
      <c r="AB2" s="19"/>
    </row>
    <row r="3" spans="5:29" ht="15" customHeight="1" x14ac:dyDescent="0.25">
      <c r="E3" s="19"/>
      <c r="F3" s="19"/>
      <c r="G3" s="19"/>
      <c r="H3" s="19"/>
      <c r="I3" s="19"/>
      <c r="J3" s="19"/>
      <c r="K3" s="19"/>
      <c r="L3" s="19"/>
      <c r="M3" s="19"/>
      <c r="N3" s="19"/>
      <c r="O3" s="19"/>
      <c r="P3" s="19"/>
      <c r="Q3" s="19"/>
      <c r="R3" s="19"/>
      <c r="S3" s="19"/>
      <c r="T3" s="19"/>
      <c r="U3" s="19"/>
      <c r="V3" s="19"/>
      <c r="W3" s="19"/>
      <c r="X3" s="19"/>
      <c r="Y3" s="19"/>
      <c r="Z3" s="19"/>
      <c r="AA3" s="19"/>
      <c r="AB3" s="19"/>
    </row>
  </sheetData>
  <mergeCells count="1">
    <mergeCell ref="E1:AB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1:T111"/>
  <sheetViews>
    <sheetView workbookViewId="0">
      <selection activeCell="R15" sqref="R15"/>
    </sheetView>
  </sheetViews>
  <sheetFormatPr defaultRowHeight="15" x14ac:dyDescent="0.25"/>
  <cols>
    <col min="1" max="4" width="10.7109375" customWidth="1"/>
    <col min="5" max="5" width="13.7109375" bestFit="1" customWidth="1"/>
    <col min="18" max="18" width="26.28515625" bestFit="1" customWidth="1"/>
    <col min="19" max="19" width="5.85546875" customWidth="1"/>
  </cols>
  <sheetData>
    <row r="1" spans="5:20" x14ac:dyDescent="0.25">
      <c r="E1" s="16" t="s">
        <v>8126</v>
      </c>
      <c r="F1" s="17"/>
      <c r="G1" s="17"/>
      <c r="H1" s="17"/>
      <c r="I1" s="17"/>
      <c r="J1" s="17"/>
      <c r="K1" s="17"/>
      <c r="L1" s="17"/>
      <c r="M1" s="17"/>
      <c r="N1" s="17"/>
      <c r="O1" s="17"/>
      <c r="P1" s="17"/>
      <c r="Q1" s="17"/>
      <c r="R1" t="s">
        <v>8141</v>
      </c>
      <c r="S1">
        <v>12</v>
      </c>
    </row>
    <row r="2" spans="5:20" x14ac:dyDescent="0.25">
      <c r="E2" s="17"/>
      <c r="F2" s="17"/>
      <c r="G2" s="17"/>
      <c r="H2" s="17"/>
      <c r="I2" s="17"/>
      <c r="J2" s="17"/>
      <c r="K2" s="17"/>
      <c r="L2" s="17"/>
      <c r="M2" s="17"/>
      <c r="N2" s="17"/>
      <c r="O2" s="17"/>
      <c r="P2" s="17"/>
      <c r="Q2" s="17"/>
      <c r="R2" t="s">
        <v>8275</v>
      </c>
      <c r="S2" t="s">
        <v>8276</v>
      </c>
    </row>
    <row r="3" spans="5:20" x14ac:dyDescent="0.25">
      <c r="E3" s="17"/>
      <c r="F3" s="17"/>
      <c r="G3" s="17"/>
      <c r="H3" s="17"/>
      <c r="I3" s="17"/>
      <c r="J3" s="17"/>
      <c r="K3" s="17"/>
      <c r="L3" s="17"/>
      <c r="M3" s="17"/>
      <c r="N3" s="17"/>
      <c r="O3" s="17"/>
      <c r="P3" s="17"/>
      <c r="Q3" s="17"/>
    </row>
    <row r="6" spans="5:20" ht="18.75" x14ac:dyDescent="0.25">
      <c r="E6" s="12" t="s">
        <v>8121</v>
      </c>
      <c r="F6" s="12"/>
      <c r="G6" s="12"/>
      <c r="H6" s="12"/>
      <c r="I6" s="12"/>
      <c r="J6" s="12"/>
      <c r="K6" s="12"/>
      <c r="L6" s="12"/>
      <c r="M6" s="12"/>
      <c r="N6" s="12"/>
      <c r="O6" s="12"/>
      <c r="P6" s="12"/>
      <c r="Q6" s="12"/>
      <c r="R6" s="11" t="str">
        <f>HYPERLINK("https://mail.google.com/mail/?view=cm&amp;to="&amp;R8&amp;"&amp;su=Liquidation%20of%20RCF%20high%20Aging%20Stock","SEND EMAIL")</f>
        <v>SEND EMAIL</v>
      </c>
    </row>
    <row r="7" spans="5:20" x14ac:dyDescent="0.25">
      <c r="E7" s="13"/>
      <c r="F7" s="15" t="s">
        <v>8130</v>
      </c>
      <c r="G7" s="15"/>
      <c r="H7" s="15"/>
      <c r="I7" s="15"/>
      <c r="J7" s="15"/>
      <c r="K7" s="15"/>
      <c r="L7" s="15" t="s">
        <v>8131</v>
      </c>
      <c r="M7" s="15"/>
      <c r="N7" s="15"/>
      <c r="O7" s="15"/>
      <c r="P7" s="15"/>
      <c r="Q7" s="15"/>
      <c r="R7" s="7" t="s">
        <v>8277</v>
      </c>
    </row>
    <row r="8" spans="5:20" x14ac:dyDescent="0.25">
      <c r="E8" s="14"/>
      <c r="F8" s="2" t="s">
        <v>0</v>
      </c>
      <c r="G8" s="2" t="s">
        <v>1</v>
      </c>
      <c r="H8" s="2" t="s">
        <v>2</v>
      </c>
      <c r="I8" s="2" t="s">
        <v>3</v>
      </c>
      <c r="J8" s="2" t="s">
        <v>8128</v>
      </c>
      <c r="K8" s="2" t="s">
        <v>4</v>
      </c>
      <c r="L8" s="2" t="s">
        <v>0</v>
      </c>
      <c r="M8" s="2" t="s">
        <v>1</v>
      </c>
      <c r="N8" s="2" t="s">
        <v>2</v>
      </c>
      <c r="O8" s="2" t="s">
        <v>3</v>
      </c>
      <c r="P8" s="2" t="s">
        <v>8128</v>
      </c>
      <c r="Q8" s="2" t="s">
        <v>4</v>
      </c>
      <c r="R8" s="6" t="s">
        <v>8274</v>
      </c>
    </row>
    <row r="9" spans="5:20" x14ac:dyDescent="0.25">
      <c r="E9" s="2" t="s">
        <v>5</v>
      </c>
      <c r="F9" s="1">
        <f>SUMIFS('WH+RT PREVIOUS'!$M$2:$M$15000,'WH+RT PREVIOUS'!$B$2:$B$15000,"N.C.Urea(45kg)",'WH+RT PREVIOUS'!$S$2:$S$15000,"Amal Sales Corporation",'WH+RT PREVIOUS'!$N$2:$N$15000,"&gt;179",'WH+RT PREVIOUS'!$N$2:$N$15000,"&lt;366")</f>
        <v>0</v>
      </c>
      <c r="G9" s="1">
        <f>SUMIFS('WH+RT PREVIOUS'!$M$2:$M$15000,'WH+RT PREVIOUS'!$B$2:$B$15000,"15-15-15",'WH+RT PREVIOUS'!$S$2:$S$15000,"Amal Sales Corporation",'WH+RT PREVIOUS'!$N$2:$N$15000,"&gt;179",'WH+RT PREVIOUS'!$N$2:$N$15000,"&lt;366")</f>
        <v>5.35</v>
      </c>
      <c r="H9" s="1">
        <f>SUMIFS('WH+RT PREVIOUS'!$M$2:$M$15000,'WH+RT PREVIOUS'!$B$2:$B$15000,"Imp 10-26-26",'WH+RT PREVIOUS'!$S$2:$S$15000,"Amal Sales Corporation",'WH+RT PREVIOUS'!$N$2:$N$15000,"&gt;179",'WH+RT PREVIOUS'!$N$2:$N$15000,"&lt;366")</f>
        <v>0</v>
      </c>
      <c r="I9" s="1">
        <f>SUMIFS('WH+RT PREVIOUS'!$M$2:$M$15000,'WH+RT PREVIOUS'!$B$2:$B$15000,"MOP",'WH+RT PREVIOUS'!$S$2:$S$15000,"Amal Sales Corporation",'WH+RT PREVIOUS'!$N$2:$N$15000,"&gt;179",'WH+RT PREVIOUS'!$N$2:$N$15000,"&lt;366")</f>
        <v>0</v>
      </c>
      <c r="J9" s="1">
        <f>SUMIFS('WH+RT PREVIOUS'!$M$2:$M$15000,'WH+RT PREVIOUS'!$B$2:$B$15000,"Imp DAP",'WH+RT PREVIOUS'!$S$2:$S$15000,"Amal Sales Corporation",'WH+RT PREVIOUS'!$N$2:$N$15000,"&gt;179",'WH+RT PREVIOUS'!$N$2:$N$15000,"&lt;366")</f>
        <v>0</v>
      </c>
      <c r="K9" s="1">
        <f>F9+G9+H9+I9</f>
        <v>5.35</v>
      </c>
      <c r="L9" s="1">
        <f>SUMIFS('WH+RT CURRENT'!$M$2:$M$15000,'WH+RT CURRENT'!$B$2:$B$15000,"N.C.Urea(45kg)",'WH+RT CURRENT'!$S$2:$S$15000,"Amal Sales Corporation",'WH+RT CURRENT'!$N$2:$N$15000,"&gt;179",'WH+RT CURRENT'!$N$2:$N$15000,"&lt;366")</f>
        <v>0.18</v>
      </c>
      <c r="M9" s="1">
        <f>SUMIFS('WH+RT CURRENT'!$M$2:$M$15000,'WH+RT CURRENT'!$B$2:$B$15000,"15-15-15",'WH+RT CURRENT'!$S$2:$S$15000,"Amal Sales Corporation",'WH+RT CURRENT'!$N$2:$N$15000,"&gt;179",'WH+RT CURRENT'!$N$2:$N$15000,"&lt;366")</f>
        <v>5.3</v>
      </c>
      <c r="N9" s="1">
        <f>SUMIFS('WH+RT CURRENT'!$M$2:$M$15000,'WH+RT CURRENT'!$B$2:$B$15000,"Imp 10-26-26",'WH+RT CURRENT'!$S$2:$S$15000,"Amal Sales Corporation",'WH+RT CURRENT'!$N$2:$N$15000,"&gt;179",'WH+RT CURRENT'!$N$2:$N$15000,"&lt;366")</f>
        <v>0</v>
      </c>
      <c r="O9" s="1">
        <f>SUMIFS('WH+RT CURRENT'!$M$2:$M$15000,'WH+RT CURRENT'!$B$2:$B$15000,"MOP",'WH+RT CURRENT'!$S$2:$S$15000,"Amal Sales Corporation",'WH+RT CURRENT'!$N$2:$N$15000,"&gt;179",'WH+RT CURRENT'!$N$2:$N$15000,"&lt;366")</f>
        <v>0</v>
      </c>
      <c r="P9" s="1">
        <f>SUMIFS('WH+RT CURRENT'!$M$2:$M$15000,'WH+RT CURRENT'!$B$2:$B$15000,"Imp DAP",'WH+RT CURRENT'!$S$2:$S$15000,"Amal Sales Corporation",'WH+RT CURRENT'!$N$2:$N$15000,"&gt;179",'WH+RT CURRENT'!$N$2:$N$15000,"&lt;366")</f>
        <v>0</v>
      </c>
      <c r="Q9" s="1">
        <f>L9+M9+N9+O9</f>
        <v>5.4799999999999995</v>
      </c>
      <c r="R9" s="5"/>
    </row>
    <row r="10" spans="5:20" x14ac:dyDescent="0.25">
      <c r="E10" s="2" t="s">
        <v>6</v>
      </c>
      <c r="F10" s="1">
        <f>SUMIFS('WH+RT PREVIOUS'!$M$2:$M$15000,'WH+RT PREVIOUS'!$B$2:$B$15000,"N.C.Urea(45kg)",'WH+RT PREVIOUS'!$S$2:$S$15000,"Amal Sales Corporation",'WH+RT PREVIOUS'!$N$2:$N$15000,"&gt;365")</f>
        <v>0.155</v>
      </c>
      <c r="G10" s="1">
        <f>SUMIFS('WH+RT PREVIOUS'!$M$2:$M$15000,'WH+RT PREVIOUS'!$B$2:$B$15000,"15-15-15",'WH+RT PREVIOUS'!$S$2:$S$15000,"Amal Sales Corporation",'WH+RT PREVIOUS'!$N$2:$N$15000,"&gt;365")</f>
        <v>0.746</v>
      </c>
      <c r="H10" s="1">
        <f>SUMIFS('WH+RT PREVIOUS'!$M$2:$M$15000,'WH+RT PREVIOUS'!$B$2:$B$15000,"Imp 10-26-26",'WH+RT PREVIOUS'!$S$2:$S$15000,"Amal Sales Corporation",'WH+RT PREVIOUS'!$N$2:$N$15000,"&gt;365")</f>
        <v>0</v>
      </c>
      <c r="I10" s="1">
        <f>SUMIFS('WH+RT PREVIOUS'!$M$2:$M$15000,'WH+RT PREVIOUS'!$B$2:$B$15000,"MOP",'WH+RT PREVIOUS'!$S$2:$S$15000,"Amal Sales Corporation",'WH+RT PREVIOUS'!$N$2:$N$15000,"&gt;365")</f>
        <v>0</v>
      </c>
      <c r="J10" s="1">
        <f>SUMIFS('WH+RT PREVIOUS'!$M$2:$M$15000,'WH+RT PREVIOUS'!$B$2:$B$15000,"Imp DAP",'WH+RT PREVIOUS'!$S$2:$S$15000,"Amal Sales Corporation",'WH+RT PREVIOUS'!$N$2:$N$15000,"&gt;365")</f>
        <v>0</v>
      </c>
      <c r="K10" s="1">
        <f>F10+G10+H10+I10</f>
        <v>0.90100000000000002</v>
      </c>
      <c r="L10" s="1">
        <f>SUMIFS('WH+RT CURRENT'!$M$2:$M$15000,'WH+RT CURRENT'!$B$2:$B$15000,"N.C.Urea(45kg)",'WH+RT CURRENT'!$S$2:$S$15000,"Amal Sales Corporation",'WH+RT CURRENT'!$N$2:$N$15000,"&gt;365")</f>
        <v>0.155</v>
      </c>
      <c r="M10" s="1">
        <f>SUMIFS('WH+RT CURRENT'!$M$2:$M$15000,'WH+RT CURRENT'!$B$2:$B$15000,"15-15-15",'WH+RT CURRENT'!$S$2:$S$15000,"Amal Sales Corporation",'WH+RT CURRENT'!$N$2:$N$15000,"&gt;365")</f>
        <v>0.746</v>
      </c>
      <c r="N10" s="1">
        <f>SUMIFS('WH+RT CURRENT'!$M$2:$M$15000,'WH+RT CURRENT'!$B$2:$B$15000,"Imp 10-26-26",'WH+RT CURRENT'!$S$2:$S$15000,"Amal Sales Corporation",'WH+RT CURRENT'!$N$2:$N$15000,"&gt;365")</f>
        <v>0</v>
      </c>
      <c r="O10" s="1">
        <f>SUMIFS('WH+RT CURRENT'!$M$2:$M$15000,'WH+RT CURRENT'!$B$2:$B$15000,"MOP",'WH+RT CURRENT'!$S$2:$S$15000,"Amal Sales Corporation",'WH+RT CURRENT'!$N$2:$N$15000,"&gt;365")</f>
        <v>0</v>
      </c>
      <c r="P10" s="1">
        <f>SUMIFS('WH+RT CURRENT'!$M$2:$M$15000,'WH+RT CURRENT'!$B$2:$B$15000,"Imp DAP",'WH+RT CURRENT'!$S$2:$S$15000,"Amal Sales Corporation",'WH+RT CURRENT'!$N$2:$N$15000,"&gt;365")</f>
        <v>0</v>
      </c>
      <c r="Q10" s="1">
        <f>L10+M10+N10+O10</f>
        <v>0.90100000000000002</v>
      </c>
      <c r="R10" s="10"/>
      <c r="T10" s="10"/>
    </row>
    <row r="11" spans="5:20" x14ac:dyDescent="0.25">
      <c r="E11" s="2" t="s">
        <v>7</v>
      </c>
      <c r="F11" s="1">
        <f>F9+F10</f>
        <v>0.155</v>
      </c>
      <c r="G11" s="1">
        <f>G9+G10</f>
        <v>6.0960000000000001</v>
      </c>
      <c r="H11" s="1">
        <f>H9+H10</f>
        <v>0</v>
      </c>
      <c r="I11" s="1">
        <f>I9+I10</f>
        <v>0</v>
      </c>
      <c r="J11" s="1">
        <f>J9+J10</f>
        <v>0</v>
      </c>
      <c r="K11" s="1">
        <f>F11+G11+H11+I11</f>
        <v>6.2510000000000003</v>
      </c>
      <c r="L11" s="1">
        <f>L9+L10</f>
        <v>0.33499999999999996</v>
      </c>
      <c r="M11" s="1">
        <f>M9+M10</f>
        <v>6.0459999999999994</v>
      </c>
      <c r="N11" s="1">
        <f>N9+N10</f>
        <v>0</v>
      </c>
      <c r="O11" s="1">
        <f>O9+O10</f>
        <v>0</v>
      </c>
      <c r="P11" s="1">
        <f>P9+P10</f>
        <v>0</v>
      </c>
      <c r="Q11" s="1">
        <f>L11+M11+N11+O11</f>
        <v>6.3809999999999993</v>
      </c>
      <c r="R11" s="10"/>
    </row>
    <row r="12" spans="5:20" x14ac:dyDescent="0.25">
      <c r="E12" s="2" t="s">
        <v>9</v>
      </c>
      <c r="F12" s="1">
        <f>SUMIFS('WH+RT PREVIOUS'!$M$2:$M$15000,'WH+RT PREVIOUS'!$B$2:$B$15000,"N.C.Urea(45kg)",'WH+RT PREVIOUS'!$S$2:$S$15000,"Amal Sales Corporation")</f>
        <v>16.25</v>
      </c>
      <c r="G12" s="1">
        <f>SUMIFS('WH+RT PREVIOUS'!$M$2:$M$15000,'WH+RT PREVIOUS'!$B$2:$B$15000,"15-15-15",'WH+RT PREVIOUS'!$S$2:$S$15000,"Amal Sales Corporation")</f>
        <v>27.616</v>
      </c>
      <c r="H12" s="1">
        <f>SUMIFS('WH+RT PREVIOUS'!$M$2:$M$15000,'WH+RT PREVIOUS'!$B$2:$B$15000,"Imp 10-26-26",'WH+RT PREVIOUS'!$S$2:$S$15000,"Amal Sales Corporation")</f>
        <v>4.5</v>
      </c>
      <c r="I12" s="1">
        <f>SUMIFS('WH+RT PREVIOUS'!$M$2:$M$15000,'WH+RT PREVIOUS'!$B$2:$B$15000,"MOP",'WH+RT PREVIOUS'!$S$2:$S$15000,"Amal Sales Corporation")</f>
        <v>8.35</v>
      </c>
      <c r="J12" s="1">
        <f>SUMIFS('WH+RT PREVIOUS'!$M$2:$M$15000,'WH+RT PREVIOUS'!$B$2:$B$15000,"Imp DAP",'WH+RT PREVIOUS'!$S$2:$S$15000,"Amal Sales Corporation")</f>
        <v>0</v>
      </c>
      <c r="K12" s="1">
        <f>F12+G12+H12+I12</f>
        <v>56.716000000000001</v>
      </c>
      <c r="L12" s="1">
        <f>SUMIFS('WH+RT CURRENT'!$M$2:$M$15000,'WH+RT CURRENT'!$B$2:$B$15000,"N.C.Urea(45kg)",'WH+RT CURRENT'!$S$2:$S$15000,"Amal Sales Corporation")</f>
        <v>21.650000000000002</v>
      </c>
      <c r="M12" s="1">
        <f>SUMIFS('WH+RT CURRENT'!$M$2:$M$15000,'WH+RT CURRENT'!$B$2:$B$15000,"15-15-15",'WH+RT CURRENT'!$S$2:$S$15000,"Amal Sales Corporation")</f>
        <v>23.965999999999994</v>
      </c>
      <c r="N12" s="1">
        <f>SUMIFS('WH+RT CURRENT'!$M$2:$M$15000,'WH+RT CURRENT'!$B$2:$B$15000,"Imp 10-26-26",'WH+RT CURRENT'!$S$2:$S$15000,"Amal Sales Corporation")</f>
        <v>7.5</v>
      </c>
      <c r="O12" s="1">
        <f>SUMIFS('WH+RT CURRENT'!$M$2:$M$15000,'WH+RT CURRENT'!$B$2:$B$15000,"MOP",'WH+RT CURRENT'!$S$2:$S$15000,"Amal Sales Corporation")</f>
        <v>8.35</v>
      </c>
      <c r="P12" s="1">
        <f>SUMIFS('WH+RT CURRENT'!$M$2:$M$15000,'WH+RT CURRENT'!$B$2:$B$15000,"imp DAP",'WH+RT CURRENT'!$S$2:$S$15000,"Amal Sales Corporation")</f>
        <v>0</v>
      </c>
      <c r="Q12" s="1">
        <f>L12+M12+N12+O12</f>
        <v>61.466000000000001</v>
      </c>
      <c r="R12" s="10"/>
    </row>
    <row r="15" spans="5:20" x14ac:dyDescent="0.25">
      <c r="E15" s="12" t="s">
        <v>8122</v>
      </c>
      <c r="F15" s="12"/>
      <c r="G15" s="12"/>
      <c r="H15" s="12"/>
      <c r="I15" s="12"/>
      <c r="J15" s="12"/>
      <c r="K15" s="12"/>
      <c r="L15" s="12"/>
      <c r="M15" s="12"/>
      <c r="N15" s="12"/>
      <c r="O15" s="12"/>
      <c r="P15" s="12"/>
      <c r="Q15" s="12"/>
    </row>
    <row r="16" spans="5:20" x14ac:dyDescent="0.25">
      <c r="E16" s="13"/>
      <c r="F16" s="15" t="s">
        <v>8130</v>
      </c>
      <c r="G16" s="15"/>
      <c r="H16" s="15"/>
      <c r="I16" s="15"/>
      <c r="J16" s="15"/>
      <c r="K16" s="15"/>
      <c r="L16" s="15" t="s">
        <v>8131</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PREVIOUS'!$S$2:$S$15000,"B K ROY AND COMPANY",'WH+RT PREVIOUS'!$N$2:$N$15000,"&gt;179",'WH+RT PREVIOUS'!$N$2:$N$15000,"&lt;366")</f>
        <v>3.0619999999999998</v>
      </c>
      <c r="G18" s="1">
        <f>SUMIFS('WH+RT PREVIOUS'!$M$2:$M$15000,'WH+RT PREVIOUS'!$B$2:$B$15000,"15-15-15",'WH+RT PREVIOUS'!$S$2:$S$15000,"B K ROY AND COMPANY",'WH+RT PREVIOUS'!$N$2:$N$15000,"&gt;179",'WH+RT PREVIOUS'!$N$2:$N$15000,"&lt;366")</f>
        <v>1.9</v>
      </c>
      <c r="H18" s="1">
        <f>SUMIFS('WH+RT PREVIOUS'!$M$2:$M$15000,'WH+RT PREVIOUS'!$B$2:$B$15000,"Imp 10-26-26",'WH+RT PREVIOUS'!$S$2:$S$15000,"B K ROY AND COMPANY",'WH+RT PREVIOUS'!$N$2:$N$15000,"&gt;179",'WH+RT PREVIOUS'!$N$2:$N$15000,"&lt;366")</f>
        <v>0</v>
      </c>
      <c r="I18" s="1">
        <f>SUMIFS('WH+RT PREVIOUS'!$M$2:$M$15000,'WH+RT PREVIOUS'!$B$2:$B$15000,"MOP",'WH+RT PREVIOUS'!$S$2:$S$15000,"B K ROY AND COMPANY",'WH+RT PREVIOUS'!$N$2:$N$15000,"&gt;179",'WH+RT PREVIOUS'!$N$2:$N$15000,"&lt;366")</f>
        <v>0</v>
      </c>
      <c r="J18" s="1">
        <f>SUMIFS('WH+RT PREVIOUS'!$M$2:$M$15000,'WH+RT PREVIOUS'!$B$2:$B$15000,"Imp DAP",'WH+RT PREVIOUS'!$S$2:$S$15000,"B K ROY AND COMPANY",'WH+RT PREVIOUS'!$N$2:$N$15000,"&gt;179",'WH+RT PREVIOUS'!$N$2:$N$15000,"&lt;366")</f>
        <v>0</v>
      </c>
      <c r="K18" s="1">
        <f>F18+G18+H18+I18</f>
        <v>4.9619999999999997</v>
      </c>
      <c r="L18" s="1">
        <f>SUMIFS('WH+RT CURRENT'!$M$2:$M$15000,'WH+RT CURRENT'!$B$2:$B$15000,"N.C.Urea(45kg)",'WH+RT CURRENT'!$S$2:$S$15000,"B K ROY AND COMPANY",'WH+RT CURRENT'!$N$2:$N$15000,"&gt;179",'WH+RT CURRENT'!$N$2:$N$15000,"&lt;366")</f>
        <v>3.0619999999999994</v>
      </c>
      <c r="M18" s="1">
        <f>SUMIFS('WH+RT CURRENT'!$M$2:$M$15000,'WH+RT CURRENT'!$B$2:$B$15000,"15-15-15",'WH+RT CURRENT'!$S$2:$S$15000,"B K ROY AND COMPANY",'WH+RT CURRENT'!$N$2:$N$15000,"&gt;179",'WH+RT CURRENT'!$N$2:$N$15000,"&lt;366")</f>
        <v>1.9</v>
      </c>
      <c r="N18" s="1">
        <f>SUMIFS('WH+RT CURRENT'!$M$2:$M$15000,'WH+RT CURRENT'!$B$2:$B$15000,"Imp 10-26-26",'WH+RT CURRENT'!$S$2:$S$15000,"B K ROY AND COMPANY",'WH+RT CURRENT'!$N$2:$N$15000,"&gt;179",'WH+RT CURRENT'!$N$2:$N$15000,"&lt;366")</f>
        <v>0</v>
      </c>
      <c r="O18" s="1">
        <f>SUMIFS('WH+RT CURRENT'!$M$2:$M$15000,'WH+RT CURRENT'!$B$2:$B$15000,"MOP",'WH+RT CURRENT'!$S$2:$S$15000,"B K ROY AND COMPANY",'WH+RT CURRENT'!$N$2:$N$15000,"&gt;179",'WH+RT CURRENT'!$N$2:$N$15000,"&lt;366")</f>
        <v>0</v>
      </c>
      <c r="P18" s="1">
        <f>SUMIFS('WH+RT CURRENT'!$M$2:$M$15000,'WH+RT CURRENT'!$B$2:$B$15000,"Imp DAP",'WH+RT CURRENT'!$S$2:$S$15000,"B K ROY AND COMPANY",'WH+RT CURRENT'!$N$2:$N$15000,"&gt;179",'WH+RT CURRENT'!$N$2:$N$15000,"&lt;366")</f>
        <v>0</v>
      </c>
      <c r="Q18" s="1">
        <f>L18+M18+N18+O18</f>
        <v>4.9619999999999997</v>
      </c>
    </row>
    <row r="19" spans="5:17" x14ac:dyDescent="0.25">
      <c r="E19" s="2" t="s">
        <v>6</v>
      </c>
      <c r="F19" s="1">
        <f>SUMIFS('WH+RT PREVIOUS'!$M$2:$M$15000,'WH+RT PREVIOUS'!$B$2:$B$15000,"N.C.Urea(45kg)",'WH+RT PREVIOUS'!$S$2:$S$15000,"B K ROY AND COMPANY",'WH+RT PREVIOUS'!$N$2:$N$15000,"&gt;365")</f>
        <v>0</v>
      </c>
      <c r="G19" s="1">
        <f>SUMIFS('WH+RT PREVIOUS'!$M$2:$M$15000,'WH+RT PREVIOUS'!$B$2:$B$15000,"15-15-15",'WH+RT PREVIOUS'!$S$2:$S$15000,"B K ROY AND COMPANY",'WH+RT PREVIOUS'!$N$2:$N$15000,"&gt;365")</f>
        <v>0</v>
      </c>
      <c r="H19" s="1">
        <f>SUMIFS('WH+RT PREVIOUS'!$M$2:$M$15000,'WH+RT PREVIOUS'!$B$2:$B$15000,"Imp 10-26-26",'WH+RT PREVIOUS'!$S$2:$S$15000,"B K ROY AND COMPANY",'WH+RT PREVIOUS'!$N$2:$N$15000,"&gt;365")</f>
        <v>0</v>
      </c>
      <c r="I19" s="1">
        <f>SUMIFS('WH+RT PREVIOUS'!$M$2:$M$15000,'WH+RT PREVIOUS'!$B$2:$B$15000,"MOP",'WH+RT PREVIOUS'!$S$2:$S$15000,"B K ROY AND COMPANY",'WH+RT PREVIOUS'!$N$2:$N$15000,"&gt;365")</f>
        <v>0</v>
      </c>
      <c r="J19" s="1">
        <f>SUMIFS('WH+RT PREVIOUS'!$M$2:$M$15000,'WH+RT PREVIOUS'!$B$2:$B$15000,"Imp DAP",'WH+RT PREVIOUS'!$S$2:$S$15000,"B K ROY AND COMPANY",'WH+RT PREVIOUS'!$N$2:$N$15000,"&gt;365")</f>
        <v>0</v>
      </c>
      <c r="K19" s="1">
        <f>F19+G19+H19+I19</f>
        <v>0</v>
      </c>
      <c r="L19" s="1">
        <f>SUMIFS('WH+RT CURRENT'!$M$2:$M$15000,'WH+RT CURRENT'!$B$2:$B$15000,"N.C.Urea(45kg)",'WH+RT CURRENT'!$S$2:$S$15000,"B K ROY AND COMPANY",'WH+RT CURRENT'!$N$2:$N$15000,"&gt;365")</f>
        <v>0</v>
      </c>
      <c r="M19" s="1">
        <f>SUMIFS('WH+RT CURRENT'!$M$2:$M$15000,'WH+RT CURRENT'!$B$2:$B$15000,"15-15-15",'WH+RT CURRENT'!$S$2:$S$15000,"B K ROY AND COMPANY",'WH+RT CURRENT'!$N$2:$N$15000,"&gt;365")</f>
        <v>0</v>
      </c>
      <c r="N19" s="1">
        <f>SUMIFS('WH+RT CURRENT'!$M$2:$M$15000,'WH+RT CURRENT'!$B$2:$B$15000,"Imp 10-26-26",'WH+RT CURRENT'!$S$2:$S$15000,"B K ROY AND COMPANY",'WH+RT CURRENT'!$N$2:$N$15000,"&gt;365")</f>
        <v>0</v>
      </c>
      <c r="O19" s="1">
        <f>SUMIFS('WH+RT CURRENT'!$M$2:$M$15000,'WH+RT CURRENT'!$B$2:$B$15000,"MOP",'WH+RT CURRENT'!$S$2:$S$15000,"B K ROY AND COMPANY",'WH+RT CURRENT'!$N$2:$N$15000,"&gt;365")</f>
        <v>0</v>
      </c>
      <c r="P19" s="1">
        <f>SUMIFS('WH+RT CURRENT'!$M$2:$M$15000,'WH+RT CURRENT'!$B$2:$B$15000,"Imp DAP",'WH+RT CURRENT'!$S$2:$S$15000,"B K ROY AND COMPANY",'WH+RT CURRENT'!$N$2:$N$15000,"&gt;365")</f>
        <v>0</v>
      </c>
      <c r="Q19" s="1">
        <f>L19+M19+N19+O19</f>
        <v>0</v>
      </c>
    </row>
    <row r="20" spans="5:17" x14ac:dyDescent="0.25">
      <c r="E20" s="2" t="s">
        <v>7</v>
      </c>
      <c r="F20" s="1">
        <f>F18+F19</f>
        <v>3.0619999999999998</v>
      </c>
      <c r="G20" s="1">
        <f>G18+G19</f>
        <v>1.9</v>
      </c>
      <c r="H20" s="1">
        <f>H18+H19</f>
        <v>0</v>
      </c>
      <c r="I20" s="1">
        <f>I18+I19</f>
        <v>0</v>
      </c>
      <c r="J20" s="1">
        <f>J18+J19</f>
        <v>0</v>
      </c>
      <c r="K20" s="1">
        <f>F20+G20+H20+I20</f>
        <v>4.9619999999999997</v>
      </c>
      <c r="L20" s="1">
        <f>L18+L19</f>
        <v>3.0619999999999994</v>
      </c>
      <c r="M20" s="1">
        <f>M18+M19</f>
        <v>1.9</v>
      </c>
      <c r="N20" s="1">
        <f>N18+N19</f>
        <v>0</v>
      </c>
      <c r="O20" s="1">
        <f>O18+O19</f>
        <v>0</v>
      </c>
      <c r="P20" s="1">
        <f>P18+P19</f>
        <v>0</v>
      </c>
      <c r="Q20" s="1">
        <f>L20+M20+N20+O20</f>
        <v>4.9619999999999997</v>
      </c>
    </row>
    <row r="21" spans="5:17" x14ac:dyDescent="0.25">
      <c r="E21" s="2" t="s">
        <v>9</v>
      </c>
      <c r="F21" s="1">
        <f>SUMIFS('WH+RT PREVIOUS'!$M$2:$M$15000,'WH+RT PREVIOUS'!$B$2:$B$15000,"N.C.Urea(45kg)",'WH+RT PREVIOUS'!$S$2:$S$15000,"B K ROY AND COMPANY")</f>
        <v>61.812000000000012</v>
      </c>
      <c r="G21" s="1">
        <f>SUMIFS('WH+RT PREVIOUS'!$M$2:$M$15000,'WH+RT PREVIOUS'!$B$2:$B$15000,"15-15-15",'WH+RT PREVIOUS'!$S$2:$S$15000,"B K ROY AND COMPANY")</f>
        <v>43.924999999999997</v>
      </c>
      <c r="H21" s="1">
        <f>SUMIFS('WH+RT PREVIOUS'!$M$2:$M$15000,'WH+RT PREVIOUS'!$B$2:$B$15000,"Imp 10-26-26",'WH+RT PREVIOUS'!$S$2:$S$15000,"B K ROY AND COMPANY")</f>
        <v>19.650000000000002</v>
      </c>
      <c r="I21" s="1">
        <f>SUMIFS('WH+RT PREVIOUS'!$M$2:$M$15000,'WH+RT PREVIOUS'!$B$2:$B$15000,"MOP",'WH+RT PREVIOUS'!$S$2:$S$15000,"B K ROY AND COMPANY")</f>
        <v>15.4</v>
      </c>
      <c r="J21" s="1">
        <f>SUMIFS('WH+RT PREVIOUS'!$M$2:$M$15000,'WH+RT PREVIOUS'!$B$2:$B$15000,"Imp DAP",'WH+RT PREVIOUS'!$S$2:$S$15000,"B K ROY AND COMPANY")</f>
        <v>0</v>
      </c>
      <c r="K21" s="1">
        <f>F21+G21+H21+I21</f>
        <v>140.78700000000001</v>
      </c>
      <c r="L21" s="1">
        <f>SUMIFS('WH+RT CURRENT'!$M$2:$M$15000,'WH+RT CURRENT'!$B$2:$B$15000,"N.C.Urea(45kg)",'WH+RT CURRENT'!$S$2:$S$15000,"B K ROY AND COMPANY")</f>
        <v>60.356999999999999</v>
      </c>
      <c r="M21" s="1">
        <f>SUMIFS('WH+RT CURRENT'!$M$2:$M$15000,'WH+RT CURRENT'!$B$2:$B$15000,"15-15-15",'WH+RT CURRENT'!$S$2:$S$15000,"B K ROY AND COMPANY")</f>
        <v>33.849999999999994</v>
      </c>
      <c r="N21" s="1">
        <f>SUMIFS('WH+RT CURRENT'!$M$2:$M$15000,'WH+RT CURRENT'!$B$2:$B$15000,"Imp 10-26-26",'WH+RT CURRENT'!$S$2:$S$15000,"B K ROY AND COMPANY")</f>
        <v>18.8</v>
      </c>
      <c r="O21" s="1">
        <f>SUMIFS('WH+RT CURRENT'!$M$2:$M$15000,'WH+RT CURRENT'!$B$2:$B$15000,"MOP",'WH+RT CURRENT'!$S$2:$S$15000,"B K ROY AND COMPANY")</f>
        <v>14.95</v>
      </c>
      <c r="P21" s="1">
        <f>SUMIFS('WH+RT CURRENT'!$M$2:$M$15000,'WH+RT CURRENT'!$B$2:$B$15000,"Imp DAP",'WH+RT CURRENT'!$S$2:$S$15000,"B K ROY AND COMPANY")</f>
        <v>0</v>
      </c>
      <c r="Q21" s="1">
        <f>L21+M21+N21+O21</f>
        <v>127.95699999999999</v>
      </c>
    </row>
    <row r="24" spans="5:17" x14ac:dyDescent="0.25">
      <c r="E24" s="12" t="s">
        <v>8123</v>
      </c>
      <c r="F24" s="12"/>
      <c r="G24" s="12"/>
      <c r="H24" s="12"/>
      <c r="I24" s="12"/>
      <c r="J24" s="12"/>
      <c r="K24" s="12"/>
      <c r="L24" s="12"/>
      <c r="M24" s="12"/>
      <c r="N24" s="12"/>
      <c r="O24" s="12"/>
      <c r="P24" s="12"/>
      <c r="Q24" s="12"/>
    </row>
    <row r="25" spans="5:17" x14ac:dyDescent="0.25">
      <c r="E25" s="13"/>
      <c r="F25" s="15" t="s">
        <v>8130</v>
      </c>
      <c r="G25" s="15"/>
      <c r="H25" s="15"/>
      <c r="I25" s="15"/>
      <c r="J25" s="15"/>
      <c r="K25" s="15"/>
      <c r="L25" s="15" t="s">
        <v>8131</v>
      </c>
      <c r="M25" s="15"/>
      <c r="N25" s="15"/>
      <c r="O25" s="15"/>
      <c r="P25" s="15"/>
      <c r="Q25" s="15"/>
    </row>
    <row r="26" spans="5:17" x14ac:dyDescent="0.25">
      <c r="E26" s="14"/>
      <c r="F26" s="2" t="s">
        <v>0</v>
      </c>
      <c r="G26" s="2" t="s">
        <v>1</v>
      </c>
      <c r="H26" s="2" t="s">
        <v>2</v>
      </c>
      <c r="I26" s="2" t="s">
        <v>3</v>
      </c>
      <c r="J26" s="2" t="s">
        <v>8128</v>
      </c>
      <c r="K26" s="2" t="s">
        <v>4</v>
      </c>
      <c r="L26" s="2" t="s">
        <v>0</v>
      </c>
      <c r="M26" s="2" t="s">
        <v>1</v>
      </c>
      <c r="N26" s="2" t="s">
        <v>2</v>
      </c>
      <c r="O26" s="2" t="s">
        <v>3</v>
      </c>
      <c r="P26" s="2" t="s">
        <v>8128</v>
      </c>
      <c r="Q26" s="2" t="s">
        <v>4</v>
      </c>
    </row>
    <row r="27" spans="5:17" x14ac:dyDescent="0.25">
      <c r="E27" s="2" t="s">
        <v>5</v>
      </c>
      <c r="F27" s="1">
        <f>SUMIFS('WH+RT PREVIOUS'!$M$2:$M$15000,'WH+RT PREVIOUS'!$B$2:$B$15000,"N.C.Urea(45kg)",'WH+RT PREVIOUS'!$S$2:$S$15000,"Barasat Krishi Bipani",'WH+RT PREVIOUS'!$N$2:$N$15000,"&gt;179",'WH+RT PREVIOUS'!$N$2:$N$15000,"&lt;366")</f>
        <v>0</v>
      </c>
      <c r="G27" s="1">
        <f>SUMIFS('WH+RT PREVIOUS'!$M$2:$M$15000,'WH+RT PREVIOUS'!$B$2:$B$15000,"15-15-15",'WH+RT PREVIOUS'!$S$2:$S$15000,"Barasat Krishi Bipani",'WH+RT PREVIOUS'!$N$2:$N$15000,"&gt;179",'WH+RT PREVIOUS'!$N$2:$N$15000,"&lt;366")</f>
        <v>0.747</v>
      </c>
      <c r="H27" s="1">
        <f>SUMIFS('WH+RT PREVIOUS'!$M$2:$M$15000,'WH+RT PREVIOUS'!$B$2:$B$15000,"Imp 10-26-26",'WH+RT PREVIOUS'!$S$2:$S$15000,"Barasat Krishi Bipani",'WH+RT PREVIOUS'!$N$2:$N$15000,"&gt;179",'WH+RT PREVIOUS'!$N$2:$N$15000,"&lt;366")</f>
        <v>0</v>
      </c>
      <c r="I27" s="1">
        <f>SUMIFS('WH+RT PREVIOUS'!$M$2:$M$15000,'WH+RT PREVIOUS'!$B$2:$B$15000,"MOP",'WH+RT PREVIOUS'!$S$2:$S$15000,"Barasat Krishi Bipani",'WH+RT PREVIOUS'!$N$2:$N$15000,"&gt;179",'WH+RT PREVIOUS'!$N$2:$N$15000,"&lt;366")</f>
        <v>0</v>
      </c>
      <c r="J27" s="1">
        <f>SUMIFS('WH+RT PREVIOUS'!$M$2:$M$15000,'WH+RT PREVIOUS'!$B$2:$B$15000,"Imp DAP",'WH+RT PREVIOUS'!$S$2:$S$15000,"Barasat Krishi Bipani",'WH+RT PREVIOUS'!$N$2:$N$15000,"&gt;179",'WH+RT PREVIOUS'!$N$2:$N$15000,"&lt;366")</f>
        <v>0</v>
      </c>
      <c r="K27" s="1">
        <f>F27+G27+H27+I27</f>
        <v>0.747</v>
      </c>
      <c r="L27" s="1">
        <f>SUMIFS('WH+RT CURRENT'!$M$2:$M$15000,'WH+RT CURRENT'!$B$2:$B$15000,"N.C.Urea(45kg)",'WH+RT CURRENT'!$S$2:$S$15000,"Barasat Krishi Bipani",'WH+RT CURRENT'!$N$2:$N$15000,"&gt;179",'WH+RT CURRENT'!$N$2:$N$15000,"&lt;366")</f>
        <v>0</v>
      </c>
      <c r="M27" s="1">
        <f>SUMIFS('WH+RT CURRENT'!$M$2:$M$15000,'WH+RT CURRENT'!$B$2:$B$15000,"15-15-15",'WH+RT CURRENT'!$S$2:$S$15000,"Barasat Krishi Bipani",'WH+RT CURRENT'!$N$2:$N$15000,"&gt;179",'WH+RT CURRENT'!$N$2:$N$15000,"&lt;366")</f>
        <v>0.69700000000000006</v>
      </c>
      <c r="N27" s="1">
        <f>SUMIFS('WH+RT CURRENT'!$M$2:$M$15000,'WH+RT CURRENT'!$B$2:$B$15000,"Imp 10-26-26",'WH+RT CURRENT'!$S$2:$S$15000,"Barasat Krishi Bipani",'WH+RT CURRENT'!$N$2:$N$15000,"&gt;179",'WH+RT CURRENT'!$N$2:$N$15000,"&lt;366")</f>
        <v>0</v>
      </c>
      <c r="O27" s="1">
        <f>SUMIFS('WH+RT CURRENT'!$M$2:$M$15000,'WH+RT CURRENT'!$B$2:$B$15000,"MOP",'WH+RT CURRENT'!$S$2:$S$15000,"Barasat Krishi Bipani",'WH+RT CURRENT'!$N$2:$N$15000,"&gt;179",'WH+RT CURRENT'!$N$2:$N$15000,"&lt;366")</f>
        <v>0</v>
      </c>
      <c r="P27" s="1">
        <f>SUMIFS('WH+RT CURRENT'!$M$2:$M$15000,'WH+RT CURRENT'!$B$2:$B$15000,"Imp DAP",'WH+RT CURRENT'!$S$2:$S$15000,"Barasat Krishi Bipani",'WH+RT CURRENT'!$N$2:$N$15000,"&gt;179",'WH+RT CURRENT'!$N$2:$N$15000,"&lt;366")</f>
        <v>0</v>
      </c>
      <c r="Q27" s="1">
        <f>L27+M27+N27+O27</f>
        <v>0.69700000000000006</v>
      </c>
    </row>
    <row r="28" spans="5:17" x14ac:dyDescent="0.25">
      <c r="E28" s="2" t="s">
        <v>6</v>
      </c>
      <c r="F28" s="1">
        <f>SUMIFS('WH+RT PREVIOUS'!$M$2:$M$15000,'WH+RT PREVIOUS'!$B$2:$B$15000,"N.C.Urea(45kg)",'WH+RT PREVIOUS'!$S$2:$S$15000,"Barasat Krishi Bipani",'WH+RT PREVIOUS'!$N$2:$N$15000,"&gt;365")</f>
        <v>0.76500000000000001</v>
      </c>
      <c r="G28" s="1">
        <f>SUMIFS('WH+RT PREVIOUS'!$M$2:$M$15000,'WH+RT PREVIOUS'!$B$2:$B$15000,"15-15-15",'WH+RT PREVIOUS'!$S$2:$S$15000,"Barasat Krishi Bipani",'WH+RT PREVIOUS'!$N$2:$N$15000,"&gt;365")</f>
        <v>1.423</v>
      </c>
      <c r="H28" s="1">
        <f>SUMIFS('WH+RT PREVIOUS'!$M$2:$M$15000,'WH+RT PREVIOUS'!$B$2:$B$15000,"Imp 10-26-26",'WH+RT PREVIOUS'!$S$2:$S$15000,"Barasat Krishi Bipani",'WH+RT PREVIOUS'!$N$2:$N$15000,"&gt;365")</f>
        <v>0</v>
      </c>
      <c r="I28" s="1">
        <f>SUMIFS('WH+RT PREVIOUS'!$M$2:$M$15000,'WH+RT PREVIOUS'!$B$2:$B$15000,"MOP",'WH+RT PREVIOUS'!$S$2:$S$15000,"Barasat Krishi Bipani",'WH+RT PREVIOUS'!$N$2:$N$15000,"&gt;365")</f>
        <v>0</v>
      </c>
      <c r="J28" s="1">
        <f>SUMIFS('WH+RT PREVIOUS'!$M$2:$M$15000,'WH+RT PREVIOUS'!$B$2:$B$15000,"Imp DAP",'WH+RT PREVIOUS'!$S$2:$S$15000,"Barasat Krishi Bipani",'WH+RT PREVIOUS'!$N$2:$N$15000,"&gt;365")</f>
        <v>0</v>
      </c>
      <c r="K28" s="1">
        <f>F28+G28+H28+I28</f>
        <v>2.1880000000000002</v>
      </c>
      <c r="L28" s="1">
        <f>SUMIFS('WH+RT CURRENT'!$M$2:$M$15000,'WH+RT CURRENT'!$B$2:$B$15000,"N.C.Urea(45kg)",'WH+RT CURRENT'!$S$2:$S$15000,"Barasat Krishi Bipani",'WH+RT CURRENT'!$N$2:$N$15000,"&gt;365")</f>
        <v>0.76500000000000001</v>
      </c>
      <c r="M28" s="1">
        <f>SUMIFS('WH+RT CURRENT'!$M$2:$M$15000,'WH+RT CURRENT'!$B$2:$B$15000,"15-15-15",'WH+RT CURRENT'!$S$2:$S$15000,"Barasat Krishi Bipani",'WH+RT CURRENT'!$N$2:$N$15000,"&gt;365")</f>
        <v>1.423</v>
      </c>
      <c r="N28" s="1">
        <f>SUMIFS('WH+RT CURRENT'!$M$2:$M$15000,'WH+RT CURRENT'!$B$2:$B$15000,"Imp 10-26-26",'WH+RT CURRENT'!$S$2:$S$15000,"Barasat Krishi Bipani",'WH+RT CURRENT'!$N$2:$N$15000,"&gt;365")</f>
        <v>0</v>
      </c>
      <c r="O28" s="1">
        <f>SUMIFS('WH+RT CURRENT'!$M$2:$M$15000,'WH+RT CURRENT'!$B$2:$B$15000,"MOP",'WH+RT CURRENT'!$S$2:$S$15000,"Barasat Krishi Bipani",'WH+RT CURRENT'!$N$2:$N$15000,"&gt;365")</f>
        <v>0</v>
      </c>
      <c r="P28" s="1">
        <f>SUMIFS('WH+RT CURRENT'!$M$2:$M$15000,'WH+RT CURRENT'!$B$2:$B$15000,"Imp DAP",'WH+RT CURRENT'!$S$2:$S$15000,"Barasat Krishi Bipani",'WH+RT CURRENT'!$N$2:$N$15000,"&gt;365")</f>
        <v>0</v>
      </c>
      <c r="Q28" s="1">
        <f>L28+M28+N28+O28</f>
        <v>2.1880000000000002</v>
      </c>
    </row>
    <row r="29" spans="5:17" x14ac:dyDescent="0.25">
      <c r="E29" s="2" t="s">
        <v>7</v>
      </c>
      <c r="F29" s="1">
        <f>F27+F28</f>
        <v>0.76500000000000001</v>
      </c>
      <c r="G29" s="1">
        <f>G27+G28</f>
        <v>2.17</v>
      </c>
      <c r="H29" s="1">
        <f>H27+H28</f>
        <v>0</v>
      </c>
      <c r="I29" s="1">
        <f>I27+I28</f>
        <v>0</v>
      </c>
      <c r="J29" s="1">
        <f>J27+J28</f>
        <v>0</v>
      </c>
      <c r="K29" s="1">
        <f>F29+G29+H29+I29</f>
        <v>2.9350000000000001</v>
      </c>
      <c r="L29" s="1">
        <f>L27+L28</f>
        <v>0.76500000000000001</v>
      </c>
      <c r="M29" s="1">
        <f>M27+M28</f>
        <v>2.12</v>
      </c>
      <c r="N29" s="1">
        <f>N27+N28</f>
        <v>0</v>
      </c>
      <c r="O29" s="1">
        <f>O27+O28</f>
        <v>0</v>
      </c>
      <c r="P29" s="1">
        <f>P27+P28</f>
        <v>0</v>
      </c>
      <c r="Q29" s="1">
        <f>L29+M29+N29+O29</f>
        <v>2.8850000000000002</v>
      </c>
    </row>
    <row r="30" spans="5:17" x14ac:dyDescent="0.25">
      <c r="E30" s="2" t="s">
        <v>9</v>
      </c>
      <c r="F30" s="1">
        <f>SUMIFS('WH+RT PREVIOUS'!$M$2:$M$15000,'WH+RT PREVIOUS'!$B$2:$B$15000,"N.C.Urea(45kg)",'WH+RT PREVIOUS'!$S$2:$S$15000,"Barasat Krishi Bipani")</f>
        <v>28.174999999999997</v>
      </c>
      <c r="G30" s="1">
        <f>SUMIFS('WH+RT PREVIOUS'!$M$2:$M$15000,'WH+RT PREVIOUS'!$B$2:$B$15000,"15-15-15",'WH+RT PREVIOUS'!$S$2:$S$15000,"Barasat Krishi Bipani")</f>
        <v>9.2040000000000006</v>
      </c>
      <c r="H30" s="1">
        <f>SUMIFS('WH+RT PREVIOUS'!$M$2:$M$15000,'WH+RT PREVIOUS'!$B$2:$B$15000,"Imp 10-26-26",'WH+RT PREVIOUS'!$S$2:$S$15000,"Barasat Krishi Bipani")</f>
        <v>6.2370000000000001</v>
      </c>
      <c r="I30" s="1">
        <f>SUMIFS('WH+RT PREVIOUS'!$M$2:$M$15000,'WH+RT PREVIOUS'!$B$2:$B$15000,"MOP",'WH+RT PREVIOUS'!$S$2:$S$15000,"Barasat Krishi Bipani")</f>
        <v>0.05</v>
      </c>
      <c r="J30" s="1">
        <f>SUMIFS('WH+RT PREVIOUS'!$M$2:$M$15000,'WH+RT PREVIOUS'!$B$2:$B$15000,"Imp DAP",'WH+RT PREVIOUS'!$S$2:$S$15000,"Barasat Krishi Bipani")</f>
        <v>0</v>
      </c>
      <c r="K30" s="1">
        <f>F30+G30+H30+I30</f>
        <v>43.665999999999997</v>
      </c>
      <c r="L30" s="1">
        <f>SUMIFS('WH+RT CURRENT'!$M$2:$M$15000,'WH+RT CURRENT'!$B$2:$B$15000,"N.C.Urea(45kg)",'WH+RT CURRENT'!$S$2:$S$15000,"Barasat Krishi Bipani")</f>
        <v>23.759999999999998</v>
      </c>
      <c r="M30" s="1">
        <f>SUMIFS('WH+RT CURRENT'!$M$2:$M$15000,'WH+RT CURRENT'!$B$2:$B$15000,"15-15-15",'WH+RT CURRENT'!$S$2:$S$15000,"Barasat Krishi Bipani")</f>
        <v>8.854000000000001</v>
      </c>
      <c r="N30" s="1">
        <f>SUMIFS('WH+RT CURRENT'!$M$2:$M$15000,'WH+RT CURRENT'!$B$2:$B$15000,"Imp 10-26-26",'WH+RT CURRENT'!$S$2:$S$15000,"Barasat Krishi Bipani")</f>
        <v>6.0369999999999999</v>
      </c>
      <c r="O30" s="1">
        <f>SUMIFS('WH+RT CURRENT'!$M$2:$M$15000,'WH+RT CURRENT'!$B$2:$B$15000,"MOP",'WH+RT CURRENT'!$S$2:$S$15000,"Barasat Krishi Bipani")</f>
        <v>0</v>
      </c>
      <c r="P30" s="1">
        <f>SUMIFS('WH+RT CURRENT'!$M$2:$M$15000,'WH+RT CURRENT'!$B$2:$B$15000,"Imp DAP",'WH+RT CURRENT'!$S$2:$S$15000,"Barasat Krishi Bipani")</f>
        <v>0</v>
      </c>
      <c r="Q30" s="1">
        <f>L30+M30+N30+O30</f>
        <v>38.650999999999996</v>
      </c>
    </row>
    <row r="33" spans="5:17" x14ac:dyDescent="0.25">
      <c r="E33" s="12" t="s">
        <v>8</v>
      </c>
      <c r="F33" s="12"/>
      <c r="G33" s="12"/>
      <c r="H33" s="12"/>
      <c r="I33" s="12"/>
      <c r="J33" s="12"/>
      <c r="K33" s="12"/>
      <c r="L33" s="12"/>
      <c r="M33" s="12"/>
      <c r="N33" s="12"/>
      <c r="O33" s="12"/>
      <c r="P33" s="12"/>
      <c r="Q33" s="12"/>
    </row>
    <row r="34" spans="5:17" x14ac:dyDescent="0.25">
      <c r="E34" s="13"/>
      <c r="F34" s="15" t="s">
        <v>8130</v>
      </c>
      <c r="G34" s="15"/>
      <c r="H34" s="15"/>
      <c r="I34" s="15"/>
      <c r="J34" s="15"/>
      <c r="K34" s="15"/>
      <c r="L34" s="15" t="s">
        <v>8131</v>
      </c>
      <c r="M34" s="15"/>
      <c r="N34" s="15"/>
      <c r="O34" s="15"/>
      <c r="P34" s="15"/>
      <c r="Q34" s="15"/>
    </row>
    <row r="35" spans="5:17" x14ac:dyDescent="0.25">
      <c r="E35" s="14"/>
      <c r="F35" s="2" t="s">
        <v>0</v>
      </c>
      <c r="G35" s="2" t="s">
        <v>1</v>
      </c>
      <c r="H35" s="2" t="s">
        <v>2</v>
      </c>
      <c r="I35" s="2" t="s">
        <v>3</v>
      </c>
      <c r="J35" s="2" t="s">
        <v>8128</v>
      </c>
      <c r="K35" s="2" t="s">
        <v>4</v>
      </c>
      <c r="L35" s="2" t="s">
        <v>0</v>
      </c>
      <c r="M35" s="2" t="s">
        <v>1</v>
      </c>
      <c r="N35" s="2" t="s">
        <v>2</v>
      </c>
      <c r="O35" s="2" t="s">
        <v>3</v>
      </c>
      <c r="P35" s="2" t="s">
        <v>8128</v>
      </c>
      <c r="Q35" s="2" t="s">
        <v>4</v>
      </c>
    </row>
    <row r="36" spans="5:17" x14ac:dyDescent="0.25">
      <c r="E36" s="2" t="s">
        <v>5</v>
      </c>
      <c r="F36" s="1">
        <f>SUMIFS('WH+RT PREVIOUS'!$M$2:$M$15000,'WH+RT PREVIOUS'!$B$2:$B$15000,"N.C.Urea(45kg)",'WH+RT PREVIOUS'!$S$2:$S$15000,"Chitta Ranjan Dey",'WH+RT PREVIOUS'!$N$2:$N$15000,"&gt;179",'WH+RT PREVIOUS'!$N$2:$N$15000,"&lt;366")</f>
        <v>9.6750000000000007</v>
      </c>
      <c r="G36" s="1">
        <f>SUMIFS('WH+RT PREVIOUS'!$M$2:$M$15000,'WH+RT PREVIOUS'!$B$2:$B$15000,"15-15-15",'WH+RT PREVIOUS'!$S$2:$S$15000,"Chitta Ranjan Dey",'WH+RT PREVIOUS'!$N$2:$N$15000,"&gt;179",'WH+RT PREVIOUS'!$N$2:$N$15000,"&lt;366")</f>
        <v>5.1389999999999993</v>
      </c>
      <c r="H36" s="1">
        <f>SUMIFS('WH+RT PREVIOUS'!$M$2:$M$15000,'WH+RT PREVIOUS'!$B$2:$B$15000,"Imp 10-26-26",'WH+RT PREVIOUS'!$S$2:$S$15000,"Chitta Ranjan Dey",'WH+RT PREVIOUS'!$N$2:$N$15000,"&gt;179",'WH+RT PREVIOUS'!$N$2:$N$15000,"&lt;366")</f>
        <v>2.1</v>
      </c>
      <c r="I36" s="1">
        <f>SUMIFS('WH+RT PREVIOUS'!$M$2:$M$15000,'WH+RT PREVIOUS'!$B$2:$B$15000,"MOP",'WH+RT PREVIOUS'!$S$2:$S$15000,"Chitta Ranjan Dey",'WH+RT PREVIOUS'!$N$2:$N$15000,"&gt;179",'WH+RT PREVIOUS'!$N$2:$N$15000,"&lt;366")</f>
        <v>0</v>
      </c>
      <c r="J36" s="1">
        <f>SUMIFS('WH+RT PREVIOUS'!$M$2:$M$15000,'WH+RT PREVIOUS'!$B$2:$B$15000,"Imp DAP",'WH+RT PREVIOUS'!$S$2:$S$15000,"Chitta Ranjan Dey",'WH+RT PREVIOUS'!$N$2:$N$15000,"&gt;179",'WH+RT PREVIOUS'!$N$2:$N$15000,"&lt;366")</f>
        <v>0</v>
      </c>
      <c r="K36" s="1">
        <f>F36+G36+H36+I36</f>
        <v>16.914000000000001</v>
      </c>
      <c r="L36" s="1">
        <f>SUMIFS('WH+RT CURRENT'!$M$2:$M$15000,'WH+RT CURRENT'!$B$2:$B$15000,"N.C.Urea(45kg)",'WH+RT CURRENT'!$S$2:$S$15000,"Chitta Ranjan Dey",'WH+RT CURRENT'!$N$2:$N$15000,"&gt;179",'WH+RT CURRENT'!$N$2:$N$15000,"&lt;366")</f>
        <v>12.33</v>
      </c>
      <c r="M36" s="1">
        <f>SUMIFS('WH+RT CURRENT'!$M$2:$M$15000,'WH+RT CURRENT'!$B$2:$B$15000,"15-15-15",'WH+RT CURRENT'!$S$2:$S$15000,"Chitta Ranjan Dey",'WH+RT CURRENT'!$N$2:$N$15000,"&gt;179",'WH+RT CURRENT'!$N$2:$N$15000,"&lt;366")</f>
        <v>11.440000000000001</v>
      </c>
      <c r="N36" s="1">
        <f>SUMIFS('WH+RT CURRENT'!$M$2:$M$15000,'WH+RT CURRENT'!$B$2:$B$15000,"Imp 10-26-26",'WH+RT CURRENT'!$S$2:$S$15000,"Chitta Ranjan Dey",'WH+RT CURRENT'!$N$2:$N$15000,"&gt;179",'WH+RT CURRENT'!$N$2:$N$15000,"&lt;366")</f>
        <v>0.2</v>
      </c>
      <c r="O36" s="1">
        <f>SUMIFS('WH+RT CURRENT'!$M$2:$M$15000,'WH+RT CURRENT'!$B$2:$B$15000,"MOP",'WH+RT CURRENT'!$S$2:$S$15000,"Chitta Ranjan Dey",'WH+RT CURRENT'!$N$2:$N$15000,"&gt;179",'WH+RT CURRENT'!$N$2:$N$15000,"&lt;366")</f>
        <v>0</v>
      </c>
      <c r="P36" s="1">
        <f>SUMIFS('WH+RT CURRENT'!$M$2:$M$15000,'WH+RT CURRENT'!$B$2:$B$15000,"Imp DAP",'WH+RT CURRENT'!$S$2:$S$15000,"Chitta Ranjan Dey",'WH+RT CURRENT'!$N$2:$N$15000,"&gt;179",'WH+RT CURRENT'!$N$2:$N$15000,"&lt;366")</f>
        <v>0</v>
      </c>
      <c r="Q36" s="1">
        <f>L36+M36+N36+O36</f>
        <v>23.970000000000002</v>
      </c>
    </row>
    <row r="37" spans="5:17" x14ac:dyDescent="0.25">
      <c r="E37" s="2" t="s">
        <v>6</v>
      </c>
      <c r="F37" s="1">
        <f>SUMIFS('WH+RT PREVIOUS'!$M$2:$M$15000,'WH+RT PREVIOUS'!$B$2:$B$15000,"N.C.Urea(45kg)",'WH+RT PREVIOUS'!$S$2:$S$15000,"Chitta Ranjan Dey",'WH+RT PREVIOUS'!$N$2:$N$15000,"&gt;365")</f>
        <v>21.578999999999997</v>
      </c>
      <c r="G37" s="1">
        <f>SUMIFS('WH+RT PREVIOUS'!$M$2:$M$15000,'WH+RT PREVIOUS'!$B$2:$B$15000,"15-15-15",'WH+RT PREVIOUS'!$S$2:$S$15000,"Chitta Ranjan Dey",'WH+RT PREVIOUS'!$N$2:$N$15000,"&gt;365")</f>
        <v>7.0350000000000001</v>
      </c>
      <c r="H37" s="1">
        <f>SUMIFS('WH+RT PREVIOUS'!$M$2:$M$15000,'WH+RT PREVIOUS'!$B$2:$B$15000,"Imp 10-26-26",'WH+RT PREVIOUS'!$S$2:$S$15000,"Chitta Ranjan Dey",'WH+RT PREVIOUS'!$N$2:$N$15000,"&gt;365")</f>
        <v>0</v>
      </c>
      <c r="I37" s="1">
        <f>SUMIFS('WH+RT PREVIOUS'!$M$2:$M$15000,'WH+RT PREVIOUS'!$B$2:$B$15000,"MOP",'WH+RT PREVIOUS'!$S$2:$S$15000,"Chitta Ranjan Dey",'WH+RT PREVIOUS'!$N$2:$N$15000,"&gt;365")</f>
        <v>0</v>
      </c>
      <c r="J37" s="1">
        <f>SUMIFS('WH+RT PREVIOUS'!$M$2:$M$15000,'WH+RT PREVIOUS'!$B$2:$B$15000,"Imp DAP",'WH+RT PREVIOUS'!$S$2:$S$15000,"Chitta Ranjan Dey",'WH+RT PREVIOUS'!$N$2:$N$15000,"&gt;365")</f>
        <v>0</v>
      </c>
      <c r="K37" s="1">
        <f>F37+G37+H37+I37</f>
        <v>28.613999999999997</v>
      </c>
      <c r="L37" s="1">
        <f>SUMIFS('WH+RT CURRENT'!$M$2:$M$15000,'WH+RT CURRENT'!$B$2:$B$15000,"N.C.Urea(45kg)",'WH+RT CURRENT'!$S$2:$S$15000,"Chitta Ranjan Dey",'WH+RT CURRENT'!$N$2:$N$15000,"&gt;365")</f>
        <v>21.578999999999997</v>
      </c>
      <c r="M37" s="1">
        <f>SUMIFS('WH+RT CURRENT'!$M$2:$M$15000,'WH+RT CURRENT'!$B$2:$B$15000,"15-15-15",'WH+RT CURRENT'!$S$2:$S$15000,"Chitta Ranjan Dey",'WH+RT CURRENT'!$N$2:$N$15000,"&gt;365")</f>
        <v>7.0350000000000001</v>
      </c>
      <c r="N37" s="1">
        <f>SUMIFS('WH+RT CURRENT'!$M$2:$M$15000,'WH+RT CURRENT'!$B$2:$B$15000,"Imp 10-26-26",'WH+RT CURRENT'!$S$2:$S$15000,"Chitta Ranjan Dey",'WH+RT CURRENT'!$N$2:$N$15000,"&gt;365")</f>
        <v>0</v>
      </c>
      <c r="O37" s="1">
        <f>SUMIFS('WH+RT CURRENT'!$M$2:$M$15000,'WH+RT CURRENT'!$B$2:$B$15000,"MOP",'WH+RT CURRENT'!$S$2:$S$15000,"Chitta Ranjan Dey",'WH+RT CURRENT'!$N$2:$N$15000,"&gt;365")</f>
        <v>0</v>
      </c>
      <c r="P37" s="1">
        <f>SUMIFS('WH+RT CURRENT'!$M$2:$M$15000,'WH+RT CURRENT'!$B$2:$B$15000,"Imp DAP",'WH+RT CURRENT'!$S$2:$S$15000,"Chitta Ranjan Dey",'WH+RT CURRENT'!$N$2:$N$15000,"&gt;365")</f>
        <v>0</v>
      </c>
      <c r="Q37" s="1">
        <f>L37+M37+N37+O37</f>
        <v>28.613999999999997</v>
      </c>
    </row>
    <row r="38" spans="5:17" x14ac:dyDescent="0.25">
      <c r="E38" s="2" t="s">
        <v>7</v>
      </c>
      <c r="F38" s="1">
        <f>F36+F37</f>
        <v>31.253999999999998</v>
      </c>
      <c r="G38" s="1">
        <f>G36+G37</f>
        <v>12.173999999999999</v>
      </c>
      <c r="H38" s="1">
        <f>H36+H37</f>
        <v>2.1</v>
      </c>
      <c r="I38" s="1">
        <f>I36+I37</f>
        <v>0</v>
      </c>
      <c r="J38" s="1">
        <f>J36+J37</f>
        <v>0</v>
      </c>
      <c r="K38" s="1">
        <f>F38+G38+H38+I38</f>
        <v>45.527999999999999</v>
      </c>
      <c r="L38" s="1">
        <f>L36+L37</f>
        <v>33.908999999999999</v>
      </c>
      <c r="M38" s="1">
        <f>M36+M37</f>
        <v>18.475000000000001</v>
      </c>
      <c r="N38" s="1">
        <f>N36+N37</f>
        <v>0.2</v>
      </c>
      <c r="O38" s="1">
        <f>O36+O37</f>
        <v>0</v>
      </c>
      <c r="P38" s="1">
        <f>P36+P37</f>
        <v>0</v>
      </c>
      <c r="Q38" s="1">
        <f>L38+M38+N38+O38</f>
        <v>52.584000000000003</v>
      </c>
    </row>
    <row r="39" spans="5:17" x14ac:dyDescent="0.25">
      <c r="E39" s="2" t="s">
        <v>9</v>
      </c>
      <c r="F39" s="1">
        <f>SUMIFS('WH+RT PREVIOUS'!$M$2:$M$15000,'WH+RT PREVIOUS'!$B$2:$B$15000,"N.C.Urea(45kg)",'WH+RT PREVIOUS'!$S$2:$S$15000,"Chitta Ranjan Dey")</f>
        <v>706.06399999999985</v>
      </c>
      <c r="G39" s="1">
        <f>SUMIFS('WH+RT PREVIOUS'!$M$2:$M$15000,'WH+RT PREVIOUS'!$B$2:$B$15000,"15-15-15",'WH+RT PREVIOUS'!$S$2:$S$15000,"Chitta Ranjan Dey")</f>
        <v>244.61200000000005</v>
      </c>
      <c r="H39" s="1">
        <f>SUMIFS('WH+RT PREVIOUS'!$M$2:$M$15000,'WH+RT PREVIOUS'!$B$2:$B$15000,"Imp 10-26-26",'WH+RT PREVIOUS'!$S$2:$S$15000,"Chitta Ranjan Dey")</f>
        <v>215.45000000000002</v>
      </c>
      <c r="I39" s="1">
        <f>SUMIFS('WH+RT PREVIOUS'!$M$2:$M$15000,'WH+RT PREVIOUS'!$B$2:$B$15000,"MOP",'WH+RT PREVIOUS'!$S$2:$S$15000,"Chitta Ranjan Dey")</f>
        <v>235.65999999999997</v>
      </c>
      <c r="J39" s="1">
        <f>SUMIFS('WH+RT PREVIOUS'!$M$2:$M$15000,'WH+RT PREVIOUS'!$B$2:$B$15000,"Imp DAP",'WH+RT PREVIOUS'!$S$2:$S$15000,"Chitta Ranjan Dey")</f>
        <v>0</v>
      </c>
      <c r="K39" s="1">
        <f>F39+G39+H39+I39</f>
        <v>1401.7860000000001</v>
      </c>
      <c r="L39" s="1">
        <f>SUMIFS('WH+RT CURRENT'!$M$2:$M$15000,'WH+RT CURRENT'!$B$2:$B$15000,"N.C.Urea(45kg)",'WH+RT CURRENT'!$S$2:$S$15000,"Chitta Ranjan Dey")</f>
        <v>726.21400000000051</v>
      </c>
      <c r="M39" s="1">
        <f>SUMIFS('WH+RT CURRENT'!$M$2:$M$15000,'WH+RT CURRENT'!$B$2:$B$15000,"15-15-15",'WH+RT CURRENT'!$S$2:$S$15000,"Chitta Ranjan Dey")</f>
        <v>208.11299999999994</v>
      </c>
      <c r="N39" s="1">
        <f>SUMIFS('WH+RT CURRENT'!$M$2:$M$15000,'WH+RT CURRENT'!$B$2:$B$15000,"Imp 10-26-26",'WH+RT CURRENT'!$S$2:$S$15000,"Chitta Ranjan Dey")</f>
        <v>189.90000000000003</v>
      </c>
      <c r="O39" s="1">
        <f>SUMIFS('WH+RT CURRENT'!$M$2:$M$15000,'WH+RT CURRENT'!$B$2:$B$15000,"MOP",'WH+RT CURRENT'!$S$2:$S$15000,"Chitta Ranjan Dey")</f>
        <v>217.31000000000003</v>
      </c>
      <c r="P39" s="1">
        <f>SUMIFS('WH+RT CURRENT'!$M$2:$M$15000,'WH+RT CURRENT'!$B$2:$B$15000,"Imp DAP",'WH+RT CURRENT'!$S$2:$S$15000,"Chitta Ranjan Dey")</f>
        <v>0</v>
      </c>
      <c r="Q39" s="1">
        <f>L39+M39+N39+O39</f>
        <v>1341.5370000000005</v>
      </c>
    </row>
    <row r="42" spans="5:17" x14ac:dyDescent="0.25">
      <c r="E42" s="12" t="s">
        <v>200</v>
      </c>
      <c r="F42" s="12"/>
      <c r="G42" s="12"/>
      <c r="H42" s="12"/>
      <c r="I42" s="12"/>
      <c r="J42" s="12"/>
      <c r="K42" s="12"/>
      <c r="L42" s="12"/>
      <c r="M42" s="12"/>
      <c r="N42" s="12"/>
      <c r="O42" s="12"/>
      <c r="P42" s="12"/>
      <c r="Q42" s="12"/>
    </row>
    <row r="43" spans="5:17" x14ac:dyDescent="0.25">
      <c r="E43" s="13"/>
      <c r="F43" s="15" t="s">
        <v>8130</v>
      </c>
      <c r="G43" s="15"/>
      <c r="H43" s="15"/>
      <c r="I43" s="15"/>
      <c r="J43" s="15"/>
      <c r="K43" s="15"/>
      <c r="L43" s="15" t="s">
        <v>8131</v>
      </c>
      <c r="M43" s="15"/>
      <c r="N43" s="15"/>
      <c r="O43" s="15"/>
      <c r="P43" s="15"/>
      <c r="Q43" s="15"/>
    </row>
    <row r="44" spans="5:17" x14ac:dyDescent="0.25">
      <c r="E44" s="14"/>
      <c r="F44" s="2" t="s">
        <v>0</v>
      </c>
      <c r="G44" s="2" t="s">
        <v>1</v>
      </c>
      <c r="H44" s="2" t="s">
        <v>2</v>
      </c>
      <c r="I44" s="2" t="s">
        <v>3</v>
      </c>
      <c r="J44" s="2" t="s">
        <v>8128</v>
      </c>
      <c r="K44" s="2" t="s">
        <v>4</v>
      </c>
      <c r="L44" s="2" t="s">
        <v>0</v>
      </c>
      <c r="M44" s="2" t="s">
        <v>1</v>
      </c>
      <c r="N44" s="2" t="s">
        <v>2</v>
      </c>
      <c r="O44" s="2" t="s">
        <v>3</v>
      </c>
      <c r="P44" s="2" t="s">
        <v>8128</v>
      </c>
      <c r="Q44" s="2" t="s">
        <v>4</v>
      </c>
    </row>
    <row r="45" spans="5:17" x14ac:dyDescent="0.25">
      <c r="E45" s="2" t="s">
        <v>5</v>
      </c>
      <c r="F45" s="1">
        <f>SUMIFS('WH+RT PREVIOUS'!$M$2:$M$15000,'WH+RT PREVIOUS'!$B$2:$B$15000,"N.C.Urea(45kg)",'WH+RT PREVIOUS'!$S$2:$S$15000,"M.K. Chemical and Fertilizers",'WH+RT PREVIOUS'!$N$2:$N$15000,"&gt;179",'WH+RT PREVIOUS'!$N$2:$N$15000,"&lt;366")</f>
        <v>3.9600000000000009</v>
      </c>
      <c r="G45" s="1">
        <f>SUMIFS('WH+RT PREVIOUS'!$M$2:$M$15000,'WH+RT PREVIOUS'!$B$2:$B$15000,"15-15-15",'WH+RT PREVIOUS'!$S$2:$S$15000,"M.K. Chemical and Fertilizers",'WH+RT PREVIOUS'!$N$2:$N$15000,"&gt;179",'WH+RT PREVIOUS'!$N$2:$N$15000,"&lt;366")</f>
        <v>4</v>
      </c>
      <c r="H45" s="1">
        <f>SUMIFS('WH+RT PREVIOUS'!$M$2:$M$15000,'WH+RT PREVIOUS'!$B$2:$B$15000,"Imp 10-26-26",'WH+RT PREVIOUS'!$S$2:$S$15000,"M.K. Chemical and Fertilizers",'WH+RT PREVIOUS'!$N$2:$N$15000,"&gt;179",'WH+RT PREVIOUS'!$N$2:$N$15000,"&lt;366")</f>
        <v>0</v>
      </c>
      <c r="I45" s="1">
        <f>SUMIFS('WH+RT PREVIOUS'!$M$2:$M$15000,'WH+RT PREVIOUS'!$B$2:$B$15000,"MOP",'WH+RT PREVIOUS'!$S$2:$S$15000,"M.K. Chemical and Fertilizers",'WH+RT PREVIOUS'!$N$2:$N$15000,"&gt;179",'WH+RT PREVIOUS'!$N$2:$N$15000,"&lt;366")</f>
        <v>0</v>
      </c>
      <c r="J45" s="1">
        <f>SUMIFS('WH+RT PREVIOUS'!$M$2:$M$15000,'WH+RT PREVIOUS'!$B$2:$B$15000,"Imp DAP",'WH+RT PREVIOUS'!$S$2:$S$15000,"M.K. Chemical and Fertilizers",'WH+RT PREVIOUS'!$N$2:$N$15000,"&gt;179",'WH+RT PREVIOUS'!$N$2:$N$15000,"&lt;366")</f>
        <v>0</v>
      </c>
      <c r="K45" s="1">
        <f>F45+G45+H45+I45</f>
        <v>7.9600000000000009</v>
      </c>
      <c r="L45" s="1">
        <f>SUMIFS('WH+RT CURRENT'!$M$2:$M$15000,'WH+RT CURRENT'!$B$2:$B$15000,"N.C.Urea(45kg)",'WH+RT CURRENT'!$S$2:$S$15000,"M.K. Chemical and Fertilizers",'WH+RT CURRENT'!$N$2:$N$15000,"&gt;179",'WH+RT CURRENT'!$N$2:$N$15000,"&lt;366")</f>
        <v>3.46</v>
      </c>
      <c r="M45" s="1">
        <f>SUMIFS('WH+RT CURRENT'!$M$2:$M$15000,'WH+RT CURRENT'!$B$2:$B$15000,"15-15-15",'WH+RT CURRENT'!$S$2:$S$15000,"M.K. Chemical and Fertilizers",'WH+RT CURRENT'!$N$2:$N$15000,"&gt;179",'WH+RT CURRENT'!$N$2:$N$15000,"&lt;366")</f>
        <v>7.45</v>
      </c>
      <c r="N45" s="1">
        <f>SUMIFS('WH+RT CURRENT'!$M$2:$M$15000,'WH+RT CURRENT'!$B$2:$B$15000,"Imp 10-26-26",'WH+RT CURRENT'!$S$2:$S$15000,"M.K. Chemical and Fertilizers",'WH+RT CURRENT'!$N$2:$N$15000,"&gt;179",'WH+RT CURRENT'!$N$2:$N$15000,"&lt;366")</f>
        <v>0</v>
      </c>
      <c r="O45" s="1">
        <f>SUMIFS('WH+RT CURRENT'!$M$2:$M$15000,'WH+RT CURRENT'!$B$2:$B$15000,"MOP",'WH+RT CURRENT'!$S$2:$S$15000,"M.K. Chemical and Fertilizers",'WH+RT CURRENT'!$N$2:$N$15000,"&gt;179",'WH+RT CURRENT'!$N$2:$N$15000,"&lt;366")</f>
        <v>0</v>
      </c>
      <c r="P45" s="1">
        <f>SUMIFS('WH+RT CURRENT'!$M$2:$M$15000,'WH+RT CURRENT'!$B$2:$B$15000,"Imp DAP",'WH+RT CURRENT'!$S$2:$S$15000,"M.K. Chemical and Fertilizers",'WH+RT CURRENT'!$N$2:$N$15000,"&gt;179",'WH+RT CURRENT'!$N$2:$N$15000,"&lt;366")</f>
        <v>0</v>
      </c>
      <c r="Q45" s="1">
        <f>L45+M45+N45+O45</f>
        <v>10.91</v>
      </c>
    </row>
    <row r="46" spans="5:17" x14ac:dyDescent="0.25">
      <c r="E46" s="2" t="s">
        <v>6</v>
      </c>
      <c r="F46" s="1">
        <f>SUMIFS('WH+RT PREVIOUS'!$M$2:$M$15000,'WH+RT PREVIOUS'!$B$2:$B$15000,"N.C.Urea(45kg)",'WH+RT PREVIOUS'!$S$2:$S$15000,"M.K. Chemical and Fertilizers",'WH+RT PREVIOUS'!$N$2:$N$15000,"&gt;365")</f>
        <v>16.326000000000004</v>
      </c>
      <c r="G46" s="1">
        <f>SUMIFS('WH+RT PREVIOUS'!$M$2:$M$15000,'WH+RT PREVIOUS'!$B$2:$B$15000,"15-15-15",'WH+RT PREVIOUS'!$S$2:$S$15000,"M.K. Chemical and Fertilizers",'WH+RT PREVIOUS'!$N$2:$N$15000,"&gt;365")</f>
        <v>13.475000000000001</v>
      </c>
      <c r="H46" s="1">
        <f>SUMIFS('WH+RT PREVIOUS'!$M$2:$M$15000,'WH+RT PREVIOUS'!$B$2:$B$15000,"Imp 10-26-26",'WH+RT PREVIOUS'!$S$2:$S$15000,"M.K. Chemical and Fertilizers",'WH+RT PREVIOUS'!$N$2:$N$15000,"&gt;365")</f>
        <v>0</v>
      </c>
      <c r="I46" s="1">
        <f>SUMIFS('WH+RT PREVIOUS'!$M$2:$M$15000,'WH+RT PREVIOUS'!$B$2:$B$15000,"MOP",'WH+RT PREVIOUS'!$S$2:$S$15000,"M.K. Chemical and Fertilizers",'WH+RT PREVIOUS'!$N$2:$N$15000,"&gt;365")</f>
        <v>3.4000000000000002E-2</v>
      </c>
      <c r="J46" s="1">
        <f>SUMIFS('WH+RT PREVIOUS'!$M$2:$M$15000,'WH+RT PREVIOUS'!$B$2:$B$15000,"Imp DAP",'WH+RT PREVIOUS'!$S$2:$S$15000,"M.K. Chemical and Fertilizers",'WH+RT PREVIOUS'!$N$2:$N$15000,"&gt;365")</f>
        <v>0</v>
      </c>
      <c r="K46" s="1">
        <f>F46+G46+H46+I46</f>
        <v>29.835000000000004</v>
      </c>
      <c r="L46" s="1">
        <f>SUMIFS('WH+RT CURRENT'!$M$2:$M$15000,'WH+RT CURRENT'!$B$2:$B$15000,"N.C.Urea(45kg)",'WH+RT CURRENT'!$S$2:$S$15000,"M.K. Chemical and Fertilizers",'WH+RT CURRENT'!$N$2:$N$15000,"&gt;365")</f>
        <v>16.326000000000001</v>
      </c>
      <c r="M46" s="1">
        <f>SUMIFS('WH+RT CURRENT'!$M$2:$M$15000,'WH+RT CURRENT'!$B$2:$B$15000,"15-15-15",'WH+RT CURRENT'!$S$2:$S$15000,"M.K. Chemical and Fertilizers",'WH+RT CURRENT'!$N$2:$N$15000,"&gt;365")</f>
        <v>13.475000000000001</v>
      </c>
      <c r="N46" s="1">
        <f>SUMIFS('WH+RT CURRENT'!$M$2:$M$15000,'WH+RT CURRENT'!$B$2:$B$15000,"Imp 10-26-26",'WH+RT CURRENT'!$S$2:$S$15000,"M.K. Chemical and Fertilizers",'WH+RT CURRENT'!$N$2:$N$15000,"&gt;365")</f>
        <v>0</v>
      </c>
      <c r="O46" s="1">
        <f>SUMIFS('WH+RT CURRENT'!$M$2:$M$15000,'WH+RT CURRENT'!$B$2:$B$15000,"MOP",'WH+RT CURRENT'!$S$2:$S$15000,"M.K. Chemical and Fertilizers",'WH+RT CURRENT'!$N$2:$N$15000,"&gt;365")</f>
        <v>3.4000000000000002E-2</v>
      </c>
      <c r="P46" s="1">
        <f>SUMIFS('WH+RT CURRENT'!$M$2:$M$15000,'WH+RT CURRENT'!$B$2:$B$15000,"Imp DAP",'WH+RT CURRENT'!$S$2:$S$15000,"M.K. Chemical and Fertilizers",'WH+RT CURRENT'!$N$2:$N$15000,"&gt;365")</f>
        <v>0</v>
      </c>
      <c r="Q46" s="1">
        <f>L46+M46+N46+O46</f>
        <v>29.835000000000001</v>
      </c>
    </row>
    <row r="47" spans="5:17" x14ac:dyDescent="0.25">
      <c r="E47" s="2" t="s">
        <v>7</v>
      </c>
      <c r="F47" s="1">
        <f>F45+F46</f>
        <v>20.286000000000005</v>
      </c>
      <c r="G47" s="1">
        <f>G45+G46</f>
        <v>17.475000000000001</v>
      </c>
      <c r="H47" s="1">
        <f>H45+H46</f>
        <v>0</v>
      </c>
      <c r="I47" s="1">
        <f>I45+I46</f>
        <v>3.4000000000000002E-2</v>
      </c>
      <c r="J47" s="1">
        <f>J45+J46</f>
        <v>0</v>
      </c>
      <c r="K47" s="1">
        <f>F47+G47+H47+I47</f>
        <v>37.795000000000009</v>
      </c>
      <c r="L47" s="1">
        <f>L45+L46</f>
        <v>19.786000000000001</v>
      </c>
      <c r="M47" s="1">
        <f>M45+M46</f>
        <v>20.925000000000001</v>
      </c>
      <c r="N47" s="1">
        <f>N45+N46</f>
        <v>0</v>
      </c>
      <c r="O47" s="1">
        <f>O45+O46</f>
        <v>3.4000000000000002E-2</v>
      </c>
      <c r="P47" s="1">
        <f>P45+P46</f>
        <v>0</v>
      </c>
      <c r="Q47" s="1">
        <f>L47+M47+N47+O47</f>
        <v>40.744999999999997</v>
      </c>
    </row>
    <row r="48" spans="5:17" x14ac:dyDescent="0.25">
      <c r="E48" s="2" t="s">
        <v>9</v>
      </c>
      <c r="F48" s="1">
        <f>SUMIFS('WH+RT PREVIOUS'!$M$2:$M$15000,'WH+RT PREVIOUS'!$B$2:$B$15000,"N.C.Urea(45kg)",'WH+RT PREVIOUS'!$S$2:$S$15000,"M.K. Chemical and Fertilizers")</f>
        <v>224.53700000000009</v>
      </c>
      <c r="G48" s="1">
        <f>SUMIFS('WH+RT PREVIOUS'!$M$2:$M$15000,'WH+RT PREVIOUS'!$B$2:$B$15000,"15-15-15",'WH+RT PREVIOUS'!$S$2:$S$15000,"M.K. Chemical and Fertilizers")</f>
        <v>196.91200000000003</v>
      </c>
      <c r="H48" s="1">
        <f>SUMIFS('WH+RT PREVIOUS'!$M$2:$M$15000,'WH+RT PREVIOUS'!$B$2:$B$15000,"Imp 10-26-26",'WH+RT PREVIOUS'!$S$2:$S$15000,"M.K. Chemical and Fertilizers")</f>
        <v>25.4</v>
      </c>
      <c r="I48" s="1">
        <f>SUMIFS('WH+RT PREVIOUS'!$M$2:$M$15000,'WH+RT PREVIOUS'!$B$2:$B$15000,"MOP",'WH+RT PREVIOUS'!$S$2:$S$15000,"M.K. Chemical and Fertilizers")</f>
        <v>48.433999999999997</v>
      </c>
      <c r="J48" s="1">
        <f>SUMIFS('WH+RT PREVIOUS'!$M$2:$M$15000,'WH+RT PREVIOUS'!$B$2:$B$15000,"Imp DAP",'WH+RT PREVIOUS'!$S$2:$S$15000,"M.K. Chemical and Fertilizers")</f>
        <v>0</v>
      </c>
      <c r="K48" s="1">
        <f>F48+G48+H48+I48</f>
        <v>495.28300000000013</v>
      </c>
      <c r="L48" s="1">
        <f>SUMIFS('WH+RT CURRENT'!$M$2:$M$15000,'WH+RT CURRENT'!$B$2:$B$15000,"N.C.Urea(45kg)",'WH+RT CURRENT'!$S$2:$S$15000,"M.K. Chemical and Fertilizers")</f>
        <v>210.80699999999999</v>
      </c>
      <c r="M48" s="1">
        <f>SUMIFS('WH+RT CURRENT'!$M$2:$M$15000,'WH+RT CURRENT'!$B$2:$B$15000,"15-15-15",'WH+RT CURRENT'!$S$2:$S$15000,"M.K. Chemical and Fertilizers")</f>
        <v>167.31200000000004</v>
      </c>
      <c r="N48" s="1">
        <f>SUMIFS('WH+RT CURRENT'!$M$2:$M$15000,'WH+RT CURRENT'!$B$2:$B$15000,"Imp 10-26-26",'WH+RT CURRENT'!$S$2:$S$15000,"M.K. Chemical and Fertilizers")</f>
        <v>23.45</v>
      </c>
      <c r="O48" s="1">
        <f>SUMIFS('WH+RT CURRENT'!$M$2:$M$15000,'WH+RT CURRENT'!$B$2:$B$15000,"MOP",'WH+RT CURRENT'!$S$2:$S$15000,"M.K. Chemical and Fertilizers")</f>
        <v>44.634</v>
      </c>
      <c r="P48" s="1">
        <f>SUMIFS('WH+RT CURRENT'!$M$2:$M$15000,'WH+RT CURRENT'!$B$2:$B$15000,"Imp DAP",'WH+RT CURRENT'!$S$2:$S$15000,"M.K. Chemical and Fertilizers")</f>
        <v>0</v>
      </c>
      <c r="Q48" s="1">
        <f>L48+M48+N48+O48</f>
        <v>446.20300000000003</v>
      </c>
    </row>
    <row r="51" spans="5:17" x14ac:dyDescent="0.25">
      <c r="E51" s="12" t="s">
        <v>104</v>
      </c>
      <c r="F51" s="12"/>
      <c r="G51" s="12"/>
      <c r="H51" s="12"/>
      <c r="I51" s="12"/>
      <c r="J51" s="12"/>
      <c r="K51" s="12"/>
      <c r="L51" s="12"/>
      <c r="M51" s="12"/>
      <c r="N51" s="12"/>
      <c r="O51" s="12"/>
      <c r="P51" s="12"/>
      <c r="Q51" s="12"/>
    </row>
    <row r="52" spans="5:17" x14ac:dyDescent="0.25">
      <c r="E52" s="13"/>
      <c r="F52" s="15" t="s">
        <v>8130</v>
      </c>
      <c r="G52" s="15"/>
      <c r="H52" s="15"/>
      <c r="I52" s="15"/>
      <c r="J52" s="15"/>
      <c r="K52" s="15"/>
      <c r="L52" s="15" t="s">
        <v>8131</v>
      </c>
      <c r="M52" s="15"/>
      <c r="N52" s="15"/>
      <c r="O52" s="15"/>
      <c r="P52" s="15"/>
      <c r="Q52" s="15"/>
    </row>
    <row r="53" spans="5:17" x14ac:dyDescent="0.25">
      <c r="E53" s="14"/>
      <c r="F53" s="2" t="s">
        <v>0</v>
      </c>
      <c r="G53" s="2" t="s">
        <v>1</v>
      </c>
      <c r="H53" s="2" t="s">
        <v>2</v>
      </c>
      <c r="I53" s="2" t="s">
        <v>3</v>
      </c>
      <c r="J53" s="2" t="s">
        <v>8128</v>
      </c>
      <c r="K53" s="2" t="s">
        <v>4</v>
      </c>
      <c r="L53" s="2" t="s">
        <v>0</v>
      </c>
      <c r="M53" s="2" t="s">
        <v>1</v>
      </c>
      <c r="N53" s="2" t="s">
        <v>2</v>
      </c>
      <c r="O53" s="2" t="s">
        <v>3</v>
      </c>
      <c r="P53" s="2" t="s">
        <v>8128</v>
      </c>
      <c r="Q53" s="2" t="s">
        <v>4</v>
      </c>
    </row>
    <row r="54" spans="5:17" x14ac:dyDescent="0.25">
      <c r="E54" s="2" t="s">
        <v>5</v>
      </c>
      <c r="F54" s="1">
        <f>SUMIFS('WH+RT PREVIOUS'!$M$2:$M$15000,'WH+RT PREVIOUS'!$B$2:$B$15000,"N.C.Urea(45kg)",'WH+RT PREVIOUS'!$S$2:$S$15000,"M/S. Shyma Krishi B",'WH+RT PREVIOUS'!$N$2:$N$15000,"&gt;179",'WH+RT PREVIOUS'!$N$2:$N$15000,"&lt;366")</f>
        <v>19.115000000000002</v>
      </c>
      <c r="G54" s="1">
        <f>SUMIFS('WH+RT PREVIOUS'!$M$2:$M$15000,'WH+RT PREVIOUS'!$B$2:$B$15000,"15-15-15",'WH+RT PREVIOUS'!$S$2:$S$15000,"M/S. Shyma Krishi B",'WH+RT PREVIOUS'!$N$2:$N$15000,"&gt;179",'WH+RT PREVIOUS'!$N$2:$N$15000,"&lt;366")</f>
        <v>8.4670000000000005</v>
      </c>
      <c r="H54" s="1">
        <f>SUMIFS('WH+RT PREVIOUS'!$M$2:$M$15000,'WH+RT PREVIOUS'!$B$2:$B$15000,"Imp 10-26-26",'WH+RT PREVIOUS'!$S$2:$S$15000,"M/S. Shyma Krishi B",'WH+RT PREVIOUS'!$N$2:$N$15000,"&gt;179",'WH+RT PREVIOUS'!$N$2:$N$15000,"&lt;366")</f>
        <v>7.8</v>
      </c>
      <c r="I54" s="1">
        <f>SUMIFS('WH+RT PREVIOUS'!$M$2:$M$15000,'WH+RT PREVIOUS'!$B$2:$B$15000,"MOP",'WH+RT PREVIOUS'!$S$2:$S$15000,"M/S. Shyma Krishi B",'WH+RT PREVIOUS'!$N$2:$N$15000,"&gt;179",'WH+RT PREVIOUS'!$N$2:$N$15000,"&lt;366")</f>
        <v>0</v>
      </c>
      <c r="J54" s="1">
        <f>SUMIFS('WH+RT PREVIOUS'!$M$2:$M$15000,'WH+RT PREVIOUS'!$B$2:$B$15000,"Imp DAP",'WH+RT PREVIOUS'!$S$2:$S$15000,"M/S. Shyma Krishi B",'WH+RT PREVIOUS'!$N$2:$N$15000,"&gt;179",'WH+RT PREVIOUS'!$N$2:$N$15000,"&lt;366")</f>
        <v>0</v>
      </c>
      <c r="K54" s="1">
        <f>F54+G54+H54+I54</f>
        <v>35.381999999999998</v>
      </c>
      <c r="L54" s="1">
        <f>SUMIFS('WH+RT CURRENT'!$M$2:$M$15000,'WH+RT CURRENT'!$B$2:$B$15000,"N.C.Urea(45kg)",'WH+RT CURRENT'!$S$2:$S$15000,"M/S. Shyma Krishi B",'WH+RT CURRENT'!$N$2:$N$15000,"&gt;179",'WH+RT CURRENT'!$N$2:$N$15000,"&lt;366")</f>
        <v>22.39</v>
      </c>
      <c r="M54" s="1">
        <f>SUMIFS('WH+RT CURRENT'!$M$2:$M$15000,'WH+RT CURRENT'!$B$2:$B$15000,"15-15-15",'WH+RT CURRENT'!$S$2:$S$15000,"M/S. Shyma Krishi B",'WH+RT CURRENT'!$N$2:$N$15000,"&gt;179",'WH+RT CURRENT'!$N$2:$N$15000,"&lt;366")</f>
        <v>7.8170000000000002</v>
      </c>
      <c r="N54" s="1">
        <f>SUMIFS('WH+RT CURRENT'!$M$2:$M$15000,'WH+RT CURRENT'!$B$2:$B$15000,"Imp 10-26-26",'WH+RT CURRENT'!$S$2:$S$15000,"M/S. Shyma Krishi B",'WH+RT CURRENT'!$N$2:$N$15000,"&gt;179",'WH+RT CURRENT'!$N$2:$N$15000,"&lt;366")</f>
        <v>7.8</v>
      </c>
      <c r="O54" s="1">
        <f>SUMIFS('WH+RT CURRENT'!$M$2:$M$15000,'WH+RT CURRENT'!$B$2:$B$15000,"MOP",'WH+RT CURRENT'!$S$2:$S$15000,"M/S. Shyma Krishi B",'WH+RT CURRENT'!$N$2:$N$15000,"&gt;179",'WH+RT CURRENT'!$N$2:$N$15000,"&lt;366")</f>
        <v>0</v>
      </c>
      <c r="P54" s="1">
        <f>SUMIFS('WH+RT CURRENT'!$M$2:$M$15000,'WH+RT CURRENT'!$B$2:$B$15000,"Imp DAP",'WH+RT CURRENT'!$S$2:$S$15000,"M/S. Shyma Krishi B",'WH+RT CURRENT'!$N$2:$N$15000,"&gt;179",'WH+RT CURRENT'!$N$2:$N$15000,"&lt;366")</f>
        <v>0</v>
      </c>
      <c r="Q54" s="1">
        <f>L54+M54+N54+O54</f>
        <v>38.006999999999998</v>
      </c>
    </row>
    <row r="55" spans="5:17" x14ac:dyDescent="0.25">
      <c r="E55" s="2" t="s">
        <v>6</v>
      </c>
      <c r="F55" s="1">
        <f>SUMIFS('WH+RT PREVIOUS'!$M$2:$M$15000,'WH+RT PREVIOUS'!$B$2:$B$15000,"N.C.Urea(45kg)",'WH+RT PREVIOUS'!$S$2:$S$15000,"M/S. Shyma Krishi B",'WH+RT PREVIOUS'!$N$2:$N$15000,"&gt;365")</f>
        <v>4.7970000000000006</v>
      </c>
      <c r="G55" s="1">
        <f>SUMIFS('WH+RT PREVIOUS'!$M$2:$M$15000,'WH+RT PREVIOUS'!$B$2:$B$15000,"15-15-15",'WH+RT PREVIOUS'!$S$2:$S$15000,"M/S. Shyma Krishi B",'WH+RT PREVIOUS'!$N$2:$N$15000,"&gt;365")</f>
        <v>0.9</v>
      </c>
      <c r="H55" s="1">
        <f>SUMIFS('WH+RT PREVIOUS'!$M$2:$M$15000,'WH+RT PREVIOUS'!$B$2:$B$15000,"Imp 10-26-26",'WH+RT PREVIOUS'!$S$2:$S$15000,"M/S. Shyma Krishi B",'WH+RT PREVIOUS'!$N$2:$N$15000,"&gt;365")</f>
        <v>0</v>
      </c>
      <c r="I55" s="1">
        <f>SUMIFS('WH+RT PREVIOUS'!$M$2:$M$15000,'WH+RT PREVIOUS'!$B$2:$B$15000,"MOP",'WH+RT PREVIOUS'!$S$2:$S$15000,"M/S. Shyma Krishi B",'WH+RT PREVIOUS'!$N$2:$N$15000,"&gt;365")</f>
        <v>1.8</v>
      </c>
      <c r="J55" s="1">
        <f>SUMIFS('WH+RT PREVIOUS'!$M$2:$M$15000,'WH+RT PREVIOUS'!$B$2:$B$15000,"Imp DAP",'WH+RT PREVIOUS'!$S$2:$S$15000,"M/S. Shyma Krishi B",'WH+RT PREVIOUS'!$N$2:$N$15000,"&gt;365")</f>
        <v>0</v>
      </c>
      <c r="K55" s="1">
        <f>F55+G55+H55+I55</f>
        <v>7.4970000000000008</v>
      </c>
      <c r="L55" s="1">
        <f>SUMIFS('WH+RT CURRENT'!$M$2:$M$15000,'WH+RT CURRENT'!$B$2:$B$15000,"N.C.Urea(45kg)",'WH+RT CURRENT'!$S$2:$S$15000,"M/S. Shyma Krishi B",'WH+RT CURRENT'!$N$2:$N$15000,"&gt;365")</f>
        <v>4.7969999999999997</v>
      </c>
      <c r="M55" s="1">
        <f>SUMIFS('WH+RT CURRENT'!$M$2:$M$15000,'WH+RT CURRENT'!$B$2:$B$15000,"15-15-15",'WH+RT CURRENT'!$S$2:$S$15000,"M/S. Shyma Krishi B",'WH+RT CURRENT'!$N$2:$N$15000,"&gt;365")</f>
        <v>0.9</v>
      </c>
      <c r="N55" s="1">
        <f>SUMIFS('WH+RT CURRENT'!$M$2:$M$15000,'WH+RT CURRENT'!$B$2:$B$15000,"Imp 10-26-26",'WH+RT CURRENT'!$S$2:$S$15000,"M/S. Shyma Krishi B",'WH+RT CURRENT'!$N$2:$N$15000,"&gt;365")</f>
        <v>0</v>
      </c>
      <c r="O55" s="1">
        <f>SUMIFS('WH+RT CURRENT'!$M$2:$M$15000,'WH+RT CURRENT'!$B$2:$B$15000,"MOP",'WH+RT CURRENT'!$S$2:$S$15000,"M/S. Shyma Krishi B",'WH+RT CURRENT'!$N$2:$N$15000,"&gt;365")</f>
        <v>1.45</v>
      </c>
      <c r="P55" s="1">
        <f>SUMIFS('WH+RT CURRENT'!$M$2:$M$15000,'WH+RT CURRENT'!$B$2:$B$15000,"Imp DAP",'WH+RT CURRENT'!$S$2:$S$15000,"M/S. Shyma Krishi B",'WH+RT CURRENT'!$N$2:$N$15000,"&gt;365")</f>
        <v>0</v>
      </c>
      <c r="Q55" s="1">
        <f>L55+M55+N55+O55</f>
        <v>7.1470000000000002</v>
      </c>
    </row>
    <row r="56" spans="5:17" x14ac:dyDescent="0.25">
      <c r="E56" s="2" t="s">
        <v>7</v>
      </c>
      <c r="F56" s="1">
        <f>F54+F55</f>
        <v>23.912000000000003</v>
      </c>
      <c r="G56" s="1">
        <f>G54+G55</f>
        <v>9.3670000000000009</v>
      </c>
      <c r="H56" s="1">
        <f>H54+H55</f>
        <v>7.8</v>
      </c>
      <c r="I56" s="1">
        <f>I54+I55</f>
        <v>1.8</v>
      </c>
      <c r="J56" s="1">
        <f>J54+J55</f>
        <v>0</v>
      </c>
      <c r="K56" s="1">
        <f>F56+G56+H56+I56</f>
        <v>42.878999999999998</v>
      </c>
      <c r="L56" s="1">
        <f>L54+L55</f>
        <v>27.187000000000001</v>
      </c>
      <c r="M56" s="1">
        <f>M54+M55</f>
        <v>8.7170000000000005</v>
      </c>
      <c r="N56" s="1">
        <f>N54+N55</f>
        <v>7.8</v>
      </c>
      <c r="O56" s="1">
        <f>O54+O55</f>
        <v>1.45</v>
      </c>
      <c r="P56" s="1">
        <f>P54+P55</f>
        <v>0</v>
      </c>
      <c r="Q56" s="1">
        <f>L56+M56+N56+O56</f>
        <v>45.154000000000003</v>
      </c>
    </row>
    <row r="57" spans="5:17" x14ac:dyDescent="0.25">
      <c r="E57" s="2" t="s">
        <v>9</v>
      </c>
      <c r="F57" s="1">
        <f>SUMIFS('WH+RT PREVIOUS'!$M$2:$M$15000,'WH+RT PREVIOUS'!$B$2:$B$15000,"N.C.Urea(45kg)",'WH+RT PREVIOUS'!$S$2:$S$15000,"M/S. Shyma Krishi B")</f>
        <v>238.03200000000012</v>
      </c>
      <c r="G57" s="1">
        <f>SUMIFS('WH+RT PREVIOUS'!$M$2:$M$15000,'WH+RT PREVIOUS'!$B$2:$B$15000,"15-15-15",'WH+RT PREVIOUS'!$S$2:$S$15000,"M/S. Shyma Krishi B")</f>
        <v>125.20900000000002</v>
      </c>
      <c r="H57" s="1">
        <f>SUMIFS('WH+RT PREVIOUS'!$M$2:$M$15000,'WH+RT PREVIOUS'!$B$2:$B$15000,"Imp 10-26-26",'WH+RT PREVIOUS'!$S$2:$S$15000,"M/S. Shyma Krishi B")</f>
        <v>61.972999999999999</v>
      </c>
      <c r="I57" s="1">
        <f>SUMIFS('WH+RT PREVIOUS'!$M$2:$M$15000,'WH+RT PREVIOUS'!$B$2:$B$15000,"MOP",'WH+RT PREVIOUS'!$S$2:$S$15000,"M/S. Shyma Krishi B")</f>
        <v>42.075000000000003</v>
      </c>
      <c r="J57" s="1">
        <f>SUMIFS('WH+RT PREVIOUS'!$M$2:$M$15000,'WH+RT PREVIOUS'!$B$2:$B$15000,"Imp DAP",'WH+RT PREVIOUS'!$S$2:$S$15000,"M/S. Shyma Krishi B")</f>
        <v>0</v>
      </c>
      <c r="K57" s="1">
        <f>F57+G57+H57+I57</f>
        <v>467.28900000000016</v>
      </c>
      <c r="L57" s="1">
        <f>SUMIFS('WH+RT CURRENT'!$M$2:$M$15000,'WH+RT CURRENT'!$B$2:$B$15000,"N.C.Urea(45kg)",'WH+RT CURRENT'!$S$2:$S$15000,"M/S. Shyma Krishi B")</f>
        <v>235.42199999999997</v>
      </c>
      <c r="M57" s="1">
        <f>SUMIFS('WH+RT CURRENT'!$M$2:$M$15000,'WH+RT CURRENT'!$B$2:$B$15000,"15-15-15",'WH+RT CURRENT'!$S$2:$S$15000,"M/S. Shyma Krishi B")</f>
        <v>114.90900000000003</v>
      </c>
      <c r="N57" s="1">
        <f>SUMIFS('WH+RT CURRENT'!$M$2:$M$15000,'WH+RT CURRENT'!$B$2:$B$15000,"Imp 10-26-26",'WH+RT CURRENT'!$S$2:$S$15000,"M/S. Shyma Krishi B")</f>
        <v>60.222999999999999</v>
      </c>
      <c r="O57" s="1">
        <f>SUMIFS('WH+RT CURRENT'!$M$2:$M$15000,'WH+RT CURRENT'!$B$2:$B$15000,"MOP",'WH+RT CURRENT'!$S$2:$S$15000,"M/S. Shyma Krishi B")</f>
        <v>39.825000000000003</v>
      </c>
      <c r="P57" s="1">
        <f>SUMIFS('WH+RT CURRENT'!$M$2:$M$15000,'WH+RT CURRENT'!$B$2:$B$15000,"Imp DAP",'WH+RT CURRENT'!$S$2:$S$15000,"M/S. Shyma Krishi B")</f>
        <v>0</v>
      </c>
      <c r="Q57" s="1">
        <f>L57+M57+N57+O57</f>
        <v>450.37900000000002</v>
      </c>
    </row>
    <row r="60" spans="5:17" x14ac:dyDescent="0.25">
      <c r="E60" s="12" t="s">
        <v>8124</v>
      </c>
      <c r="F60" s="12"/>
      <c r="G60" s="12"/>
      <c r="H60" s="12"/>
      <c r="I60" s="12"/>
      <c r="J60" s="12"/>
      <c r="K60" s="12"/>
      <c r="L60" s="12"/>
      <c r="M60" s="12"/>
      <c r="N60" s="12"/>
      <c r="O60" s="12"/>
      <c r="P60" s="12"/>
      <c r="Q60" s="12"/>
    </row>
    <row r="61" spans="5:17" x14ac:dyDescent="0.25">
      <c r="E61" s="13"/>
      <c r="F61" s="15" t="s">
        <v>8130</v>
      </c>
      <c r="G61" s="15"/>
      <c r="H61" s="15"/>
      <c r="I61" s="15"/>
      <c r="J61" s="15"/>
      <c r="K61" s="15"/>
      <c r="L61" s="15" t="s">
        <v>8131</v>
      </c>
      <c r="M61" s="15"/>
      <c r="N61" s="15"/>
      <c r="O61" s="15"/>
      <c r="P61" s="15"/>
      <c r="Q61" s="15"/>
    </row>
    <row r="62" spans="5:17" x14ac:dyDescent="0.25">
      <c r="E62" s="14"/>
      <c r="F62" s="2" t="s">
        <v>0</v>
      </c>
      <c r="G62" s="2" t="s">
        <v>1</v>
      </c>
      <c r="H62" s="2" t="s">
        <v>2</v>
      </c>
      <c r="I62" s="2" t="s">
        <v>3</v>
      </c>
      <c r="J62" s="2" t="s">
        <v>8128</v>
      </c>
      <c r="K62" s="2" t="s">
        <v>4</v>
      </c>
      <c r="L62" s="2" t="s">
        <v>0</v>
      </c>
      <c r="M62" s="2" t="s">
        <v>1</v>
      </c>
      <c r="N62" s="2" t="s">
        <v>2</v>
      </c>
      <c r="O62" s="2" t="s">
        <v>3</v>
      </c>
      <c r="P62" s="2" t="s">
        <v>8128</v>
      </c>
      <c r="Q62" s="2" t="s">
        <v>4</v>
      </c>
    </row>
    <row r="63" spans="5:17" x14ac:dyDescent="0.25">
      <c r="E63" s="2" t="s">
        <v>5</v>
      </c>
      <c r="F63" s="1">
        <f>SUMIFS('WH+RT PREVIOUS'!$M$2:$M$15000,'WH+RT PREVIOUS'!$B$2:$B$15000,"N.C.Urea(45kg)",'WH+RT PREVIOUS'!$R$2:$R$15000,"281511",'WH+RT PREVIOUS'!$N$2:$N$15000,"&gt;179",'WH+RT PREVIOUS'!$N$2:$N$15000,"&lt;366")</f>
        <v>12.282999999999999</v>
      </c>
      <c r="G63" s="1">
        <f>SUMIFS('WH+RT PREVIOUS'!$M$2:$M$15000,'WH+RT PREVIOUS'!$B$2:$B$15000,"15-15-15",'WH+RT PREVIOUS'!$R$2:$R$15000,"281511",'WH+RT PREVIOUS'!$N$2:$N$15000,"&gt;179",'WH+RT PREVIOUS'!$N$2:$N$15000,"&lt;366")</f>
        <v>5.9059999999999997</v>
      </c>
      <c r="H63" s="1">
        <f>SUMIFS('WH+RT PREVIOUS'!$M$2:$M$15000,'WH+RT PREVIOUS'!$B$2:$B$15000,"Imp 10-26-26",'WH+RT PREVIOUS'!$R$2:$R$15000,"281511",'WH+RT PREVIOUS'!$N$2:$N$15000,"&gt;179",'WH+RT PREVIOUS'!$N$2:$N$15000,"&lt;366")</f>
        <v>0.20499999999999999</v>
      </c>
      <c r="I63" s="1">
        <f>SUMIFS('WH+RT PREVIOUS'!$M$2:$M$15000,'WH+RT PREVIOUS'!$B$2:$B$15000,"MOP",'WH+RT PREVIOUS'!$R$2:$R$15000,"281511",'WH+RT PREVIOUS'!$N$2:$N$15000,"&gt;179",'WH+RT PREVIOUS'!$N$2:$N$15000,"&lt;366")</f>
        <v>0</v>
      </c>
      <c r="J63" s="1">
        <f>SUMIFS('WH+RT PREVIOUS'!$M$2:$M$15000,'WH+RT PREVIOUS'!$B$2:$B$15000,"Imp DAP",'WH+RT PREVIOUS'!$R$2:$R$15000,"281511",'WH+RT PREVIOUS'!$N$2:$N$15000,"&gt;179",'WH+RT PREVIOUS'!$N$2:$N$15000,"&lt;366")</f>
        <v>0</v>
      </c>
      <c r="K63" s="1">
        <f>F63+G63+H63+I63</f>
        <v>18.393999999999998</v>
      </c>
      <c r="L63" s="1">
        <f>SUMIFS('WH+RT CURRENT'!$M$2:$M$15000,'WH+RT CURRENT'!$B$2:$B$15000,"N.C.Urea(45kg)",'WH+RT CURRENT'!$R$2:$R$15000,"281511",'WH+RT CURRENT'!$N$2:$N$15000,"&gt;179",'WH+RT CURRENT'!$N$2:$N$15000,"&lt;366")</f>
        <v>11.923</v>
      </c>
      <c r="M63" s="1">
        <f>SUMIFS('WH+RT CURRENT'!$M$2:$M$15000,'WH+RT CURRENT'!$B$2:$B$15000,"15-15-15",'WH+RT CURRENT'!$R$2:$R$15000,"281511",'WH+RT CURRENT'!$N$2:$N$15000,"&gt;179",'WH+RT CURRENT'!$N$2:$N$15000,"&lt;366")</f>
        <v>4.5060000000000002</v>
      </c>
      <c r="N63" s="1">
        <f>SUMIFS('WH+RT CURRENT'!$M$2:$M$15000,'WH+RT CURRENT'!$B$2:$B$15000,"Imp 10-26-26",'WH+RT CURRENT'!$R$2:$R$15000,"281511",'WH+RT CURRENT'!$N$2:$N$15000,"&gt;179",'WH+RT CURRENT'!$N$2:$N$15000,"&lt;366")</f>
        <v>0.20499999999999999</v>
      </c>
      <c r="O63" s="1">
        <f>SUMIFS('WH+RT CURRENT'!$M$2:$M$15000,'WH+RT CURRENT'!$B$2:$B$15000,"MOP",'WH+RT CURRENT'!$R$2:$R$15000,"281511",'WH+RT CURRENT'!$N$2:$N$15000,"&gt;179",'WH+RT CURRENT'!$N$2:$N$15000,"&lt;366")</f>
        <v>0</v>
      </c>
      <c r="P63" s="1">
        <f>SUMIFS('WH+RT CURRENT'!$M$2:$M$15000,'WH+RT CURRENT'!$B$2:$B$15000,"Imp DAP",'WH+RT CURRENT'!$R$2:$R$15000,"281511",'WH+RT CURRENT'!$N$2:$N$15000,"&gt;179",'WH+RT CURRENT'!$N$2:$N$15000,"&lt;366")</f>
        <v>0</v>
      </c>
      <c r="Q63" s="1">
        <f>L63+M63+N63+O63</f>
        <v>16.634</v>
      </c>
    </row>
    <row r="64" spans="5:17" x14ac:dyDescent="0.25">
      <c r="E64" s="2" t="s">
        <v>6</v>
      </c>
      <c r="F64" s="1">
        <f>SUMIFS('WH+RT PREVIOUS'!$M$2:$M$15000,'WH+RT PREVIOUS'!$B$2:$B$15000,"N.C.Urea(45kg)",'WH+RT PREVIOUS'!$R$2:$R$15000,"281511",'WH+RT PREVIOUS'!$N$2:$N$15000,"&gt;365")</f>
        <v>8.6399999999999988</v>
      </c>
      <c r="G64" s="1">
        <f>SUMIFS('WH+RT PREVIOUS'!$M$2:$M$15000,'WH+RT PREVIOUS'!$B$2:$B$15000,"15-15-15",'WH+RT PREVIOUS'!$R$2:$R$15000,"281511",'WH+RT PREVIOUS'!$N$2:$N$15000,"&gt;365")</f>
        <v>17.045000000000002</v>
      </c>
      <c r="H64" s="1">
        <f>SUMIFS('WH+RT PREVIOUS'!$M$2:$M$15000,'WH+RT PREVIOUS'!$B$2:$B$15000,"Imp 10-26-26",'WH+RT PREVIOUS'!$R$2:$R$15000,"281511",'WH+RT PREVIOUS'!$N$2:$N$15000,"&gt;365")</f>
        <v>0</v>
      </c>
      <c r="I64" s="1">
        <f>SUMIFS('WH+RT PREVIOUS'!$M$2:$M$15000,'WH+RT PREVIOUS'!$B$2:$B$15000,"MOP",'WH+RT PREVIOUS'!$R$2:$R$15000,"281511",'WH+RT PREVIOUS'!$N$2:$N$15000,"&gt;365")</f>
        <v>1.85</v>
      </c>
      <c r="J64" s="1">
        <f>SUMIFS('WH+RT PREVIOUS'!$M$2:$M$15000,'WH+RT PREVIOUS'!$B$2:$B$15000,"Imp DAP",'WH+RT PREVIOUS'!$R$2:$R$15000,"281511",'WH+RT PREVIOUS'!$N$2:$N$15000,"&gt;365")</f>
        <v>0</v>
      </c>
      <c r="K64" s="1">
        <f>F64+G64+H64+I64</f>
        <v>27.535000000000004</v>
      </c>
      <c r="L64" s="1">
        <f>SUMIFS('WH+RT CURRENT'!$M$2:$M$15000,'WH+RT CURRENT'!$B$2:$B$15000,"N.C.Urea(45kg)",'WH+RT CURRENT'!$R$2:$R$15000,"281511",'WH+RT CURRENT'!$N$2:$N$15000,"&gt;365")</f>
        <v>8.01</v>
      </c>
      <c r="M64" s="1">
        <f>SUMIFS('WH+RT CURRENT'!$M$2:$M$15000,'WH+RT CURRENT'!$B$2:$B$15000,"15-15-15",'WH+RT CURRENT'!$R$2:$R$15000,"281511",'WH+RT CURRENT'!$N$2:$N$15000,"&gt;365")</f>
        <v>16.645</v>
      </c>
      <c r="N64" s="1">
        <f>SUMIFS('WH+RT CURRENT'!$M$2:$M$15000,'WH+RT CURRENT'!$B$2:$B$15000,"Imp 10-26-26",'WH+RT CURRENT'!$R$2:$R$15000,"281511",'WH+RT CURRENT'!$N$2:$N$15000,"&gt;365")</f>
        <v>0</v>
      </c>
      <c r="O64" s="1">
        <f>SUMIFS('WH+RT CURRENT'!$M$2:$M$15000,'WH+RT CURRENT'!$B$2:$B$15000,"MOP",'WH+RT CURRENT'!$R$2:$R$15000,"281511",'WH+RT CURRENT'!$N$2:$N$15000,"&gt;365")</f>
        <v>1.85</v>
      </c>
      <c r="P64" s="1">
        <f>SUMIFS('WH+RT CURRENT'!$M$2:$M$15000,'WH+RT CURRENT'!$B$2:$B$15000,"Imp DAP",'WH+RT CURRENT'!$R$2:$R$15000,"281511",'WH+RT CURRENT'!$N$2:$N$15000,"&gt;365")</f>
        <v>0</v>
      </c>
      <c r="Q64" s="1">
        <f>L64+M64+N64+O64</f>
        <v>26.505000000000003</v>
      </c>
    </row>
    <row r="65" spans="5:17" x14ac:dyDescent="0.25">
      <c r="E65" s="2" t="s">
        <v>7</v>
      </c>
      <c r="F65" s="1">
        <f>F63+F64</f>
        <v>20.922999999999998</v>
      </c>
      <c r="G65" s="1">
        <f>G63+G64</f>
        <v>22.951000000000001</v>
      </c>
      <c r="H65" s="1">
        <f>H63+H64</f>
        <v>0.20499999999999999</v>
      </c>
      <c r="I65" s="1">
        <f>I63+I64</f>
        <v>1.85</v>
      </c>
      <c r="J65" s="1">
        <f>J63+J64</f>
        <v>0</v>
      </c>
      <c r="K65" s="1">
        <f>F65+G65+H65+I65</f>
        <v>45.928999999999995</v>
      </c>
      <c r="L65" s="1">
        <f>L63+L64</f>
        <v>19.933</v>
      </c>
      <c r="M65" s="1">
        <f>M63+M64</f>
        <v>21.151</v>
      </c>
      <c r="N65" s="1">
        <f>N63+N64</f>
        <v>0.20499999999999999</v>
      </c>
      <c r="O65" s="1">
        <f>O63+O64</f>
        <v>1.85</v>
      </c>
      <c r="P65" s="1">
        <f>P63+P64</f>
        <v>0</v>
      </c>
      <c r="Q65" s="1">
        <f>L65+M65+N65+O65</f>
        <v>43.139000000000003</v>
      </c>
    </row>
    <row r="66" spans="5:17" x14ac:dyDescent="0.25">
      <c r="E66" s="2" t="s">
        <v>9</v>
      </c>
      <c r="F66" s="1">
        <f>SUMIFS('WH+RT PREVIOUS'!$M$2:$M$15000,'WH+RT PREVIOUS'!$B$2:$B$15000,"N.C.Urea(45kg)",'WH+RT PREVIOUS'!$R$2:$R$15000,"281511")</f>
        <v>270.23899999999986</v>
      </c>
      <c r="G66" s="1">
        <f>SUMIFS('WH+RT PREVIOUS'!$M$2:$M$15000,'WH+RT PREVIOUS'!$B$2:$B$15000,"15-15-15",'WH+RT PREVIOUS'!$R$2:$R$15000,"281511")</f>
        <v>238.05300000000003</v>
      </c>
      <c r="H66" s="1">
        <f>SUMIFS('WH+RT PREVIOUS'!$M$2:$M$15000,'WH+RT PREVIOUS'!$B$2:$B$15000,"Imp 10-26-26",'WH+RT PREVIOUS'!$R$2:$R$15000,"281511")</f>
        <v>49.305</v>
      </c>
      <c r="I66" s="1">
        <f>SUMIFS('WH+RT PREVIOUS'!$M$2:$M$15000,'WH+RT PREVIOUS'!$B$2:$B$15000,"MOP",'WH+RT PREVIOUS'!$R$2:$R$15000,"281511")</f>
        <v>73.624000000000009</v>
      </c>
      <c r="J66" s="1">
        <f>SUMIFS('WH+RT PREVIOUS'!$M$2:$M$15000,'WH+RT PREVIOUS'!$B$2:$B$15000,"Imp DAP",'WH+RT PREVIOUS'!$R$2:$R$15000,"281511")</f>
        <v>0</v>
      </c>
      <c r="K66" s="1">
        <f>F66+G66+H66+I66</f>
        <v>631.22099999999989</v>
      </c>
      <c r="L66" s="1">
        <f>SUMIFS('WH+RT CURRENT'!$M$2:$M$15000,'WH+RT CURRENT'!$B$2:$B$15000,"N.C.Urea(45kg)",'WH+RT CURRENT'!$R$2:$R$15000,"281511")</f>
        <v>249.65700000000001</v>
      </c>
      <c r="M66" s="1">
        <f>SUMIFS('WH+RT CURRENT'!$M$2:$M$15000,'WH+RT CURRENT'!$B$2:$B$15000,"15-15-15",'WH+RT CURRENT'!$R$2:$R$15000,"281511")</f>
        <v>217.34599999999998</v>
      </c>
      <c r="N66" s="1">
        <f>SUMIFS('WH+RT CURRENT'!$M$2:$M$15000,'WH+RT CURRENT'!$B$2:$B$15000,"Imp 10-26-26",'WH+RT CURRENT'!$R$2:$R$15000,"281511")</f>
        <v>46.104999999999997</v>
      </c>
      <c r="O66" s="1">
        <f>SUMIFS('WH+RT CURRENT'!$M$2:$M$15000,'WH+RT CURRENT'!$B$2:$B$15000,"MOP",'WH+RT CURRENT'!$R$2:$R$15000,"281511")</f>
        <v>73.024000000000015</v>
      </c>
      <c r="P66" s="1">
        <f>SUMIFS('WH+RT CURRENT'!$M$2:$M$15000,'WH+RT CURRENT'!$B$2:$B$15000,"Imp DAP",'WH+RT CURRENT'!$R$2:$R$15000,"281511")</f>
        <v>0</v>
      </c>
      <c r="Q66" s="1">
        <f>L66+M66+N66+O66</f>
        <v>586.13199999999995</v>
      </c>
    </row>
    <row r="69" spans="5:17" x14ac:dyDescent="0.25">
      <c r="E69" s="12" t="s">
        <v>123</v>
      </c>
      <c r="F69" s="12"/>
      <c r="G69" s="12"/>
      <c r="H69" s="12"/>
      <c r="I69" s="12"/>
      <c r="J69" s="12"/>
      <c r="K69" s="12"/>
      <c r="L69" s="12"/>
      <c r="M69" s="12"/>
      <c r="N69" s="12"/>
      <c r="O69" s="12"/>
      <c r="P69" s="12"/>
      <c r="Q69" s="12"/>
    </row>
    <row r="70" spans="5:17" x14ac:dyDescent="0.25">
      <c r="E70" s="13"/>
      <c r="F70" s="15" t="s">
        <v>8130</v>
      </c>
      <c r="G70" s="15"/>
      <c r="H70" s="15"/>
      <c r="I70" s="15"/>
      <c r="J70" s="15"/>
      <c r="K70" s="15"/>
      <c r="L70" s="15" t="s">
        <v>8131</v>
      </c>
      <c r="M70" s="15"/>
      <c r="N70" s="15"/>
      <c r="O70" s="15"/>
      <c r="P70" s="15"/>
      <c r="Q70" s="15"/>
    </row>
    <row r="71" spans="5:17" x14ac:dyDescent="0.25">
      <c r="E71" s="14"/>
      <c r="F71" s="2" t="s">
        <v>0</v>
      </c>
      <c r="G71" s="2" t="s">
        <v>1</v>
      </c>
      <c r="H71" s="2" t="s">
        <v>2</v>
      </c>
      <c r="I71" s="2" t="s">
        <v>3</v>
      </c>
      <c r="J71" s="2" t="s">
        <v>8128</v>
      </c>
      <c r="K71" s="2" t="s">
        <v>4</v>
      </c>
      <c r="L71" s="2" t="s">
        <v>0</v>
      </c>
      <c r="M71" s="2" t="s">
        <v>1</v>
      </c>
      <c r="N71" s="2" t="s">
        <v>2</v>
      </c>
      <c r="O71" s="2" t="s">
        <v>3</v>
      </c>
      <c r="P71" s="2" t="s">
        <v>8128</v>
      </c>
      <c r="Q71" s="2" t="s">
        <v>4</v>
      </c>
    </row>
    <row r="72" spans="5:17" x14ac:dyDescent="0.25">
      <c r="E72" s="2" t="s">
        <v>5</v>
      </c>
      <c r="F72" s="1">
        <f>SUMIFS('WH+RT PREVIOUS'!$M$2:$M$15000,'WH+RT PREVIOUS'!$B$2:$B$15000,"N.C.Urea(45kg)",'WH+RT PREVIOUS'!$R$2:$R$15000,"281522",'WH+RT PREVIOUS'!$N$2:$N$15000,"&gt;179",'WH+RT PREVIOUS'!$N$2:$N$15000,"&lt;366")</f>
        <v>35.28</v>
      </c>
      <c r="G72" s="1">
        <f>SUMIFS('WH+RT PREVIOUS'!$M$2:$M$15000,'WH+RT PREVIOUS'!$B$2:$B$15000,"15-15-15",'WH+RT PREVIOUS'!$R$2:$R$15000,"281522",'WH+RT PREVIOUS'!$N$2:$N$15000,"&gt;179",'WH+RT PREVIOUS'!$N$2:$N$15000,"&lt;366")</f>
        <v>13.209999999999999</v>
      </c>
      <c r="H72" s="1">
        <f>SUMIFS('WH+RT PREVIOUS'!$M$2:$M$15000,'WH+RT PREVIOUS'!$B$2:$B$15000,"Imp 10-26-26",'WH+RT PREVIOUS'!$R$2:$R$15000,"281522",'WH+RT PREVIOUS'!$N$2:$N$15000,"&gt;179",'WH+RT PREVIOUS'!$N$2:$N$15000,"&lt;366")</f>
        <v>0</v>
      </c>
      <c r="I72" s="1">
        <f>SUMIFS('WH+RT PREVIOUS'!$M$2:$M$15000,'WH+RT PREVIOUS'!$B$2:$B$15000,"MOP",'WH+RT PREVIOUS'!$R$2:$R$15000,"281522",'WH+RT PREVIOUS'!$N$2:$N$15000,"&gt;179",'WH+RT PREVIOUS'!$N$2:$N$15000,"&lt;366")</f>
        <v>0</v>
      </c>
      <c r="J72" s="1">
        <f>SUMIFS('WH+RT PREVIOUS'!$M$2:$M$15000,'WH+RT PREVIOUS'!$B$2:$B$15000,"Imp DAP",'WH+RT PREVIOUS'!$R$2:$R$15000,"281522",'WH+RT PREVIOUS'!$N$2:$N$15000,"&gt;179",'WH+RT PREVIOUS'!$N$2:$N$15000,"&lt;366")</f>
        <v>0</v>
      </c>
      <c r="K72" s="1">
        <f>F72+G72+H72+I72</f>
        <v>48.49</v>
      </c>
      <c r="L72" s="1">
        <f>SUMIFS('WH+RT CURRENT'!$M$2:$M$15000,'WH+RT CURRENT'!$B$2:$B$15000,"N.C.Urea(45kg)",'WH+RT CURRENT'!$R$2:$R$15000,"281522",'WH+RT CURRENT'!$N$2:$N$15000,"&gt;179",'WH+RT CURRENT'!$N$2:$N$15000,"&lt;366")</f>
        <v>34.604999999999997</v>
      </c>
      <c r="M72" s="1">
        <f>SUMIFS('WH+RT CURRENT'!$M$2:$M$15000,'WH+RT CURRENT'!$B$2:$B$15000,"15-15-15",'WH+RT CURRENT'!$R$2:$R$15000,"281522",'WH+RT CURRENT'!$N$2:$N$15000,"&gt;179",'WH+RT CURRENT'!$N$2:$N$15000,"&lt;366")</f>
        <v>12.360000000000001</v>
      </c>
      <c r="N72" s="1">
        <f>SUMIFS('WH+RT CURRENT'!$M$2:$M$15000,'WH+RT CURRENT'!$B$2:$B$15000,"Imp 10-26-26",'WH+RT CURRENT'!$R$2:$R$15000,"281522",'WH+RT CURRENT'!$N$2:$N$15000,"&gt;179",'WH+RT CURRENT'!$N$2:$N$15000,"&lt;366")</f>
        <v>0</v>
      </c>
      <c r="O72" s="1">
        <f>SUMIFS('WH+RT CURRENT'!$M$2:$M$15000,'WH+RT CURRENT'!$B$2:$B$15000,"MOP",'WH+RT CURRENT'!$R$2:$R$15000,"281522",'WH+RT CURRENT'!$N$2:$N$15000,"&gt;179",'WH+RT CURRENT'!$N$2:$N$15000,"&lt;366")</f>
        <v>0</v>
      </c>
      <c r="P72" s="1">
        <f>SUMIFS('WH+RT CURRENT'!$M$2:$M$15000,'WH+RT CURRENT'!$B$2:$B$15000,"Imp DAP",'WH+RT CURRENT'!$R$2:$R$15000,"281522",'WH+RT CURRENT'!$N$2:$N$15000,"&gt;179",'WH+RT CURRENT'!$N$2:$N$15000,"&lt;366")</f>
        <v>0</v>
      </c>
      <c r="Q72" s="1">
        <f>L72+M72+N72+O72</f>
        <v>46.964999999999996</v>
      </c>
    </row>
    <row r="73" spans="5:17" x14ac:dyDescent="0.25">
      <c r="E73" s="2" t="s">
        <v>6</v>
      </c>
      <c r="F73" s="1">
        <f>SUMIFS('WH+RT PREVIOUS'!$M$2:$M$15000,'WH+RT PREVIOUS'!$B$2:$B$15000,"N.C.Urea(45kg)",'WH+RT PREVIOUS'!$R$2:$R$15000,"281522",'WH+RT PREVIOUS'!$N$2:$N$15000,"&gt;365")</f>
        <v>15.954999999999998</v>
      </c>
      <c r="G73" s="1">
        <f>SUMIFS('WH+RT PREVIOUS'!$M$2:$M$15000,'WH+RT PREVIOUS'!$B$2:$B$15000,"15-15-15",'WH+RT PREVIOUS'!$R$2:$R$15000,"281522",'WH+RT PREVIOUS'!$N$2:$N$15000,"&gt;365")</f>
        <v>4.55</v>
      </c>
      <c r="H73" s="1">
        <f>SUMIFS('WH+RT PREVIOUS'!$M$2:$M$15000,'WH+RT PREVIOUS'!$B$2:$B$15000,"Imp 10-26-26",'WH+RT PREVIOUS'!$R$2:$R$15000,"281522",'WH+RT PREVIOUS'!$N$2:$N$15000,"&gt;365")</f>
        <v>0</v>
      </c>
      <c r="I73" s="1">
        <f>SUMIFS('WH+RT PREVIOUS'!$M$2:$M$15000,'WH+RT PREVIOUS'!$B$2:$B$15000,"MOP",'WH+RT PREVIOUS'!$R$2:$R$15000,"281522",'WH+RT PREVIOUS'!$N$2:$N$15000,"&gt;365")</f>
        <v>0</v>
      </c>
      <c r="J73" s="1">
        <f>SUMIFS('WH+RT PREVIOUS'!$M$2:$M$15000,'WH+RT PREVIOUS'!$B$2:$B$15000,"Imp DAP",'WH+RT PREVIOUS'!$R$2:$R$15000,"281522",'WH+RT PREVIOUS'!$N$2:$N$15000,"&gt;365")</f>
        <v>0</v>
      </c>
      <c r="K73" s="1">
        <f>F73+G73+H73+I73</f>
        <v>20.504999999999999</v>
      </c>
      <c r="L73" s="1">
        <f>SUMIFS('WH+RT CURRENT'!$M$2:$M$15000,'WH+RT CURRENT'!$B$2:$B$15000,"N.C.Urea(45kg)",'WH+RT CURRENT'!$R$2:$R$15000,"281522",'WH+RT CURRENT'!$N$2:$N$15000,"&gt;365")</f>
        <v>15.955</v>
      </c>
      <c r="M73" s="1">
        <f>SUMIFS('WH+RT CURRENT'!$M$2:$M$15000,'WH+RT CURRENT'!$B$2:$B$15000,"15-15-15",'WH+RT CURRENT'!$R$2:$R$15000,"281522",'WH+RT CURRENT'!$N$2:$N$15000,"&gt;365")</f>
        <v>4.55</v>
      </c>
      <c r="N73" s="1">
        <f>SUMIFS('WH+RT CURRENT'!$M$2:$M$15000,'WH+RT CURRENT'!$B$2:$B$15000,"Imp 10-26-26",'WH+RT CURRENT'!$R$2:$R$15000,"281522",'WH+RT CURRENT'!$N$2:$N$15000,"&gt;365")</f>
        <v>0</v>
      </c>
      <c r="O73" s="1">
        <f>SUMIFS('WH+RT CURRENT'!$M$2:$M$15000,'WH+RT CURRENT'!$B$2:$B$15000,"MOP",'WH+RT CURRENT'!$R$2:$R$15000,"281522",'WH+RT CURRENT'!$N$2:$N$15000,"&gt;365")</f>
        <v>0</v>
      </c>
      <c r="P73" s="1">
        <f>SUMIFS('WH+RT CURRENT'!$M$2:$M$15000,'WH+RT CURRENT'!$B$2:$B$15000,"Imp DAP",'WH+RT CURRENT'!$R$2:$R$15000,"281522",'WH+RT CURRENT'!$N$2:$N$15000,"&gt;365")</f>
        <v>0</v>
      </c>
      <c r="Q73" s="1">
        <f>L73+M73+N73+O73</f>
        <v>20.504999999999999</v>
      </c>
    </row>
    <row r="74" spans="5:17" x14ac:dyDescent="0.25">
      <c r="E74" s="2" t="s">
        <v>7</v>
      </c>
      <c r="F74" s="1">
        <f>F72+F73</f>
        <v>51.234999999999999</v>
      </c>
      <c r="G74" s="1">
        <f>G72+G73</f>
        <v>17.759999999999998</v>
      </c>
      <c r="H74" s="1">
        <f>H72+H73</f>
        <v>0</v>
      </c>
      <c r="I74" s="1">
        <f>I72+I73</f>
        <v>0</v>
      </c>
      <c r="J74" s="1">
        <f>J72+J73</f>
        <v>0</v>
      </c>
      <c r="K74" s="1">
        <f>F74+G74+H74+I74</f>
        <v>68.995000000000005</v>
      </c>
      <c r="L74" s="1">
        <f>L72+L73</f>
        <v>50.559999999999995</v>
      </c>
      <c r="M74" s="1">
        <f>M72+M73</f>
        <v>16.91</v>
      </c>
      <c r="N74" s="1">
        <f>N72+N73</f>
        <v>0</v>
      </c>
      <c r="O74" s="1">
        <f>O72+O73</f>
        <v>0</v>
      </c>
      <c r="P74" s="1">
        <f>P72+P73</f>
        <v>0</v>
      </c>
      <c r="Q74" s="1">
        <f>L74+M74+N74+O74</f>
        <v>67.47</v>
      </c>
    </row>
    <row r="75" spans="5:17" x14ac:dyDescent="0.25">
      <c r="E75" s="2" t="s">
        <v>9</v>
      </c>
      <c r="F75" s="1">
        <f>SUMIFS('WH+RT PREVIOUS'!$M$2:$M$15000,'WH+RT PREVIOUS'!$B$2:$B$15000,"N.C.Urea(45kg)",'WH+RT PREVIOUS'!$R$2:$R$15000,"281522")</f>
        <v>381.77500000000003</v>
      </c>
      <c r="G75" s="1">
        <f>SUMIFS('WH+RT PREVIOUS'!$M$2:$M$15000,'WH+RT PREVIOUS'!$B$2:$B$15000,"15-15-15",'WH+RT PREVIOUS'!$R$2:$R$15000,"281522")</f>
        <v>190.18</v>
      </c>
      <c r="H75" s="1">
        <f>SUMIFS('WH+RT PREVIOUS'!$M$2:$M$15000,'WH+RT PREVIOUS'!$B$2:$B$15000,"Imp 10-26-26",'WH+RT PREVIOUS'!$R$2:$R$15000,"281522")</f>
        <v>32.299999999999997</v>
      </c>
      <c r="I75" s="1">
        <f>SUMIFS('WH+RT PREVIOUS'!$M$2:$M$15000,'WH+RT PREVIOUS'!$B$2:$B$15000,"MOP",'WH+RT PREVIOUS'!$R$2:$R$15000,"281522")</f>
        <v>41.05</v>
      </c>
      <c r="J75" s="1">
        <f>SUMIFS('WH+RT PREVIOUS'!$M$2:$M$15000,'WH+RT PREVIOUS'!$B$2:$B$15000,"Imp DAP",'WH+RT PREVIOUS'!$R$2:$R$15000,"281522")</f>
        <v>0</v>
      </c>
      <c r="K75" s="1">
        <f>F75+G75+H75+I75</f>
        <v>645.30499999999995</v>
      </c>
      <c r="L75" s="1">
        <f>SUMIFS('WH+RT CURRENT'!$M$2:$M$15000,'WH+RT CURRENT'!$B$2:$B$15000,"N.C.Urea(45kg)",'WH+RT CURRENT'!$R$2:$R$15000,"281522")</f>
        <v>357.56500000000023</v>
      </c>
      <c r="M75" s="1">
        <f>SUMIFS('WH+RT CURRENT'!$M$2:$M$15000,'WH+RT CURRENT'!$B$2:$B$15000,"15-15-15",'WH+RT CURRENT'!$R$2:$R$15000,"281522")</f>
        <v>184.77999999999994</v>
      </c>
      <c r="N75" s="1">
        <f>SUMIFS('WH+RT CURRENT'!$M$2:$M$15000,'WH+RT CURRENT'!$B$2:$B$15000,"Imp 10-26-26",'WH+RT CURRENT'!$R$2:$R$15000,"281522")</f>
        <v>36.4</v>
      </c>
      <c r="O75" s="1">
        <f>SUMIFS('WH+RT CURRENT'!$M$2:$M$15000,'WH+RT CURRENT'!$B$2:$B$15000,"MOP",'WH+RT CURRENT'!$R$2:$R$15000,"281522")</f>
        <v>38.199999999999996</v>
      </c>
      <c r="P75" s="1">
        <f>SUMIFS('WH+RT CURRENT'!$M$2:$M$15000,'WH+RT CURRENT'!$B$2:$B$15000,"Imp DAP",'WH+RT CURRENT'!$R$2:$R$15000,"281522")</f>
        <v>0</v>
      </c>
      <c r="Q75" s="1">
        <f>L75+M75+N75+O75</f>
        <v>616.94500000000016</v>
      </c>
    </row>
    <row r="78" spans="5:17" x14ac:dyDescent="0.25">
      <c r="E78" s="12" t="s">
        <v>163</v>
      </c>
      <c r="F78" s="12"/>
      <c r="G78" s="12"/>
      <c r="H78" s="12"/>
      <c r="I78" s="12"/>
      <c r="J78" s="12"/>
      <c r="K78" s="12"/>
      <c r="L78" s="12"/>
      <c r="M78" s="12"/>
      <c r="N78" s="12"/>
      <c r="O78" s="12"/>
      <c r="P78" s="12"/>
      <c r="Q78" s="12"/>
    </row>
    <row r="79" spans="5:17" x14ac:dyDescent="0.25">
      <c r="E79" s="13"/>
      <c r="F79" s="15" t="s">
        <v>8130</v>
      </c>
      <c r="G79" s="15"/>
      <c r="H79" s="15"/>
      <c r="I79" s="15"/>
      <c r="J79" s="15"/>
      <c r="K79" s="15"/>
      <c r="L79" s="15" t="s">
        <v>8131</v>
      </c>
      <c r="M79" s="15"/>
      <c r="N79" s="15"/>
      <c r="O79" s="15"/>
      <c r="P79" s="15"/>
      <c r="Q79" s="15"/>
    </row>
    <row r="80" spans="5:17" x14ac:dyDescent="0.25">
      <c r="E80" s="14"/>
      <c r="F80" s="2" t="s">
        <v>0</v>
      </c>
      <c r="G80" s="2" t="s">
        <v>1</v>
      </c>
      <c r="H80" s="2" t="s">
        <v>2</v>
      </c>
      <c r="I80" s="2" t="s">
        <v>3</v>
      </c>
      <c r="J80" s="2" t="s">
        <v>8128</v>
      </c>
      <c r="K80" s="2" t="s">
        <v>4</v>
      </c>
      <c r="L80" s="2" t="s">
        <v>0</v>
      </c>
      <c r="M80" s="2" t="s">
        <v>1</v>
      </c>
      <c r="N80" s="2" t="s">
        <v>2</v>
      </c>
      <c r="O80" s="2" t="s">
        <v>3</v>
      </c>
      <c r="P80" s="2" t="s">
        <v>8128</v>
      </c>
      <c r="Q80" s="2" t="s">
        <v>4</v>
      </c>
    </row>
    <row r="81" spans="5:17" x14ac:dyDescent="0.25">
      <c r="E81" s="2" t="s">
        <v>5</v>
      </c>
      <c r="F81" s="1">
        <f>SUMIFS('WH+RT PREVIOUS'!$M$2:$M$15000,'WH+RT PREVIOUS'!$B$2:$B$15000,"N.C.Urea(45kg)",'WH+RT PREVIOUS'!$R$2:$R$15000,"223817",'WH+RT PREVIOUS'!$N$2:$N$15000,"&gt;179",'WH+RT PREVIOUS'!$N$2:$N$15000,"&lt;366")</f>
        <v>0</v>
      </c>
      <c r="G81" s="1">
        <f>SUMIFS('WH+RT PREVIOUS'!$M$2:$M$15000,'WH+RT PREVIOUS'!$B$2:$B$15000,"15-15-15",'WH+RT PREVIOUS'!$R$2:$R$15000,"223817",'WH+RT PREVIOUS'!$N$2:$N$15000,"&gt;179",'WH+RT PREVIOUS'!$N$2:$N$15000,"&lt;366")</f>
        <v>0</v>
      </c>
      <c r="H81" s="1">
        <f>SUMIFS('WH+RT PREVIOUS'!$M$2:$M$15000,'WH+RT PREVIOUS'!$B$2:$B$15000,"Imp 10-26-26",'WH+RT PREVIOUS'!$R$2:$R$15000,"223817",'WH+RT PREVIOUS'!$N$2:$N$15000,"&gt;179",'WH+RT PREVIOUS'!$N$2:$N$15000,"&lt;366")</f>
        <v>0</v>
      </c>
      <c r="I81" s="1">
        <f>SUMIFS('WH+RT PREVIOUS'!$M$2:$M$15000,'WH+RT PREVIOUS'!$B$2:$B$15000,"MOP",'WH+RT PREVIOUS'!$R$2:$R$15000,"223817",'WH+RT PREVIOUS'!$N$2:$N$15000,"&gt;179",'WH+RT PREVIOUS'!$N$2:$N$15000,"&lt;366")</f>
        <v>0</v>
      </c>
      <c r="J81" s="1">
        <f>SUMIFS('WH+RT PREVIOUS'!$M$2:$M$15000,'WH+RT PREVIOUS'!$B$2:$B$15000,"Imp DAP",'WH+RT PREVIOUS'!$R$2:$R$15000,"223817",'WH+RT PREVIOUS'!$N$2:$N$15000,"&gt;179",'WH+RT PREVIOUS'!$N$2:$N$15000,"&lt;366")</f>
        <v>0</v>
      </c>
      <c r="K81" s="1">
        <f>F81+G81+H81+I81</f>
        <v>0</v>
      </c>
      <c r="L81" s="1">
        <f>SUMIFS('WH+RT CURRENT'!$M$2:$M$15000,'WH+RT CURRENT'!$B$2:$B$15000,"N.C.Urea(45kg)",'WH+RT CURRENT'!$R$2:$R$15000,"223817",'WH+RT CURRENT'!$N$2:$N$15000,"&gt;179",'WH+RT CURRENT'!$N$2:$N$15000,"&lt;366")</f>
        <v>0</v>
      </c>
      <c r="M81" s="1">
        <f>SUMIFS('WH+RT CURRENT'!$M$2:$M$15000,'WH+RT CURRENT'!$B$2:$B$15000,"15-15-15",'WH+RT CURRENT'!$R$2:$R$15000,"223817",'WH+RT CURRENT'!$N$2:$N$15000,"&gt;179",'WH+RT CURRENT'!$N$2:$N$15000,"&lt;366")</f>
        <v>0</v>
      </c>
      <c r="N81" s="1">
        <f>SUMIFS('WH+RT CURRENT'!$M$2:$M$15000,'WH+RT CURRENT'!$B$2:$B$15000,"Imp 10-26-26",'WH+RT CURRENT'!$R$2:$R$15000,"223817",'WH+RT CURRENT'!$N$2:$N$15000,"&gt;179",'WH+RT CURRENT'!$N$2:$N$15000,"&lt;366")</f>
        <v>0</v>
      </c>
      <c r="O81" s="1">
        <f>SUMIFS('WH+RT CURRENT'!$M$2:$M$15000,'WH+RT CURRENT'!$B$2:$B$15000,"MOP",'WH+RT CURRENT'!$R$2:$R$15000,"223817",'WH+RT CURRENT'!$N$2:$N$15000,"&gt;179",'WH+RT CURRENT'!$N$2:$N$15000,"&lt;366")</f>
        <v>0</v>
      </c>
      <c r="P81" s="1">
        <f>SUMIFS('WH+RT CURRENT'!$M$2:$M$15000,'WH+RT CURRENT'!$B$2:$B$15000,"Imp DAP",'WH+RT CURRENT'!$R$2:$R$15000,"223817",'WH+RT CURRENT'!$N$2:$N$15000,"&gt;179",'WH+RT CURRENT'!$N$2:$N$15000,"&lt;366")</f>
        <v>0</v>
      </c>
      <c r="Q81" s="1">
        <f>L81+M81+N81+O81</f>
        <v>0</v>
      </c>
    </row>
    <row r="82" spans="5:17" x14ac:dyDescent="0.25">
      <c r="E82" s="2" t="s">
        <v>6</v>
      </c>
      <c r="F82" s="1">
        <f>SUMIFS('WH+RT PREVIOUS'!$M$2:$M$15000,'WH+RT PREVIOUS'!$B$2:$B$15000,"N.C.Urea(45kg)",'WH+RT PREVIOUS'!$R$2:$R$15000,"223817",'WH+RT PREVIOUS'!$N$2:$N$15000,"&gt;365")</f>
        <v>0</v>
      </c>
      <c r="G82" s="1">
        <f>SUMIFS('WH+RT PREVIOUS'!$M$2:$M$15000,'WH+RT PREVIOUS'!$B$2:$B$15000,"15-15-15",'WH+RT PREVIOUS'!$R$2:$R$15000,"223817",'WH+RT PREVIOUS'!$N$2:$N$15000,"&gt;365")</f>
        <v>0</v>
      </c>
      <c r="H82" s="1">
        <f>SUMIFS('WH+RT PREVIOUS'!$M$2:$M$15000,'WH+RT PREVIOUS'!$B$2:$B$15000,"Imp 10-26-26",'WH+RT PREVIOUS'!$R$2:$R$15000,"223817",'WH+RT PREVIOUS'!$N$2:$N$15000,"&gt;365")</f>
        <v>0</v>
      </c>
      <c r="I82" s="1">
        <f>SUMIFS('WH+RT PREVIOUS'!$M$2:$M$15000,'WH+RT PREVIOUS'!$B$2:$B$15000,"MOP",'WH+RT PREVIOUS'!$R$2:$R$15000,"223817",'WH+RT PREVIOUS'!$N$2:$N$15000,"&gt;365")</f>
        <v>0</v>
      </c>
      <c r="J82" s="1">
        <f>SUMIFS('WH+RT PREVIOUS'!$M$2:$M$15000,'WH+RT PREVIOUS'!$B$2:$B$15000,"Imp DAP",'WH+RT PREVIOUS'!$R$2:$R$15000,"223817",'WH+RT PREVIOUS'!$N$2:$N$15000,"&gt;365")</f>
        <v>0</v>
      </c>
      <c r="K82" s="1">
        <f>F82+G82+H82+I82</f>
        <v>0</v>
      </c>
      <c r="L82" s="1">
        <f>SUMIFS('WH+RT CURRENT'!$M$2:$M$15000,'WH+RT CURRENT'!$B$2:$B$15000,"N.C.Urea(45kg)",'WH+RT CURRENT'!$R$2:$R$15000,"223817",'WH+RT CURRENT'!$N$2:$N$15000,"&gt;365")</f>
        <v>0</v>
      </c>
      <c r="M82" s="1">
        <f>SUMIFS('WH+RT CURRENT'!$M$2:$M$15000,'WH+RT CURRENT'!$B$2:$B$15000,"15-15-15",'WH+RT CURRENT'!$R$2:$R$15000,"223817",'WH+RT CURRENT'!$N$2:$N$15000,"&gt;365")</f>
        <v>0</v>
      </c>
      <c r="N82" s="1">
        <f>SUMIFS('WH+RT CURRENT'!$M$2:$M$15000,'WH+RT CURRENT'!$B$2:$B$15000,"Imp 10-26-26",'WH+RT CURRENT'!$R$2:$R$15000,"223817",'WH+RT CURRENT'!$N$2:$N$15000,"&gt;365")</f>
        <v>0</v>
      </c>
      <c r="O82" s="1">
        <f>SUMIFS('WH+RT CURRENT'!$M$2:$M$15000,'WH+RT CURRENT'!$B$2:$B$15000,"MOP",'WH+RT CURRENT'!$R$2:$R$15000,"223817",'WH+RT CURRENT'!$N$2:$N$15000,"&gt;365")</f>
        <v>0</v>
      </c>
      <c r="P82" s="1">
        <f>SUMIFS('WH+RT CURRENT'!$M$2:$M$15000,'WH+RT CURRENT'!$B$2:$B$15000,"Imp DAP",'WH+RT CURRENT'!$R$2:$R$15000,"223817",'WH+RT CURRENT'!$N$2:$N$15000,"&gt;365")</f>
        <v>0</v>
      </c>
      <c r="Q82" s="1">
        <f>L82+M82+N82+O82</f>
        <v>0</v>
      </c>
    </row>
    <row r="83" spans="5:17" x14ac:dyDescent="0.25">
      <c r="E83" s="2" t="s">
        <v>7</v>
      </c>
      <c r="F83" s="1">
        <f>F81+F82</f>
        <v>0</v>
      </c>
      <c r="G83" s="1">
        <f>G81+G82</f>
        <v>0</v>
      </c>
      <c r="H83" s="1">
        <f>H81+H82</f>
        <v>0</v>
      </c>
      <c r="I83" s="1">
        <f>I81+I82</f>
        <v>0</v>
      </c>
      <c r="J83" s="1">
        <f>J81+J82</f>
        <v>0</v>
      </c>
      <c r="K83" s="1">
        <f>F83+G83+H83+I83</f>
        <v>0</v>
      </c>
      <c r="L83" s="1">
        <f>L81+L82</f>
        <v>0</v>
      </c>
      <c r="M83" s="1">
        <f>M81+M82</f>
        <v>0</v>
      </c>
      <c r="N83" s="1">
        <f>N81+N82</f>
        <v>0</v>
      </c>
      <c r="O83" s="1">
        <f>O81+O82</f>
        <v>0</v>
      </c>
      <c r="P83" s="1">
        <f>P81+P82</f>
        <v>0</v>
      </c>
      <c r="Q83" s="1">
        <f>L83+M83+N83+O83</f>
        <v>0</v>
      </c>
    </row>
    <row r="84" spans="5:17" x14ac:dyDescent="0.25">
      <c r="E84" s="2" t="s">
        <v>9</v>
      </c>
      <c r="F84" s="1">
        <f>SUMIFS('WH+RT PREVIOUS'!$M$2:$M$15000,'WH+RT PREVIOUS'!$B$2:$B$15000,"N.C.Urea(45kg)",'WH+RT PREVIOUS'!$R$2:$R$15000,"223817")</f>
        <v>44.060000000000009</v>
      </c>
      <c r="G84" s="1">
        <f>SUMIFS('WH+RT PREVIOUS'!$M$2:$M$15000,'WH+RT PREVIOUS'!$B$2:$B$15000,"15-15-15",'WH+RT PREVIOUS'!$R$2:$R$15000,"223817")</f>
        <v>23.55</v>
      </c>
      <c r="H84" s="1">
        <f>SUMIFS('WH+RT PREVIOUS'!$M$2:$M$15000,'WH+RT PREVIOUS'!$B$2:$B$15000,"Imp 10-26-26",'WH+RT PREVIOUS'!$R$2:$R$15000,"223817")</f>
        <v>17.45</v>
      </c>
      <c r="I84" s="1">
        <f>SUMIFS('WH+RT PREVIOUS'!$M$2:$M$15000,'WH+RT PREVIOUS'!$B$2:$B$15000,"MOP",'WH+RT PREVIOUS'!$R$2:$R$15000,"223817")</f>
        <v>3.9</v>
      </c>
      <c r="J84" s="1">
        <f>SUMIFS('WH+RT PREVIOUS'!$M$2:$M$15000,'WH+RT PREVIOUS'!$B$2:$B$15000,"Imp DAP",'WH+RT PREVIOUS'!$R$2:$R$15000,"223817")</f>
        <v>0</v>
      </c>
      <c r="K84" s="1">
        <f>F84+G84+H84+I84</f>
        <v>88.960000000000022</v>
      </c>
      <c r="L84" s="1">
        <f>SUMIFS('WH+RT CURRENT'!$M$2:$M$15000,'WH+RT CURRENT'!$B$2:$B$15000,"N.C.Urea(45kg)",'WH+RT CURRENT'!$R$2:$R$15000,"223817")</f>
        <v>36.094999999999999</v>
      </c>
      <c r="M84" s="1">
        <f>SUMIFS('WH+RT CURRENT'!$M$2:$M$15000,'WH+RT CURRENT'!$B$2:$B$15000,"15-15-15",'WH+RT CURRENT'!$R$2:$R$15000,"223817")</f>
        <v>17.2</v>
      </c>
      <c r="N84" s="1">
        <f>SUMIFS('WH+RT CURRENT'!$M$2:$M$15000,'WH+RT CURRENT'!$B$2:$B$15000,"Imp 10-26-26",'WH+RT CURRENT'!$R$2:$R$15000,"223817")</f>
        <v>16.850000000000001</v>
      </c>
      <c r="O84" s="1">
        <f>SUMIFS('WH+RT CURRENT'!$M$2:$M$15000,'WH+RT CURRENT'!$B$2:$B$15000,"MOP",'WH+RT CURRENT'!$R$2:$R$15000,"223817")</f>
        <v>3.6</v>
      </c>
      <c r="P84" s="1">
        <f>SUMIFS('WH+RT CURRENT'!$M$2:$M$15000,'WH+RT CURRENT'!$B$2:$B$15000,"Imp DAP",'WH+RT CURRENT'!$R$2:$R$15000,"223817")</f>
        <v>0</v>
      </c>
      <c r="Q84" s="1">
        <f>L84+M84+N84+O84</f>
        <v>73.745000000000005</v>
      </c>
    </row>
    <row r="87" spans="5:17" x14ac:dyDescent="0.25">
      <c r="E87" s="12" t="s">
        <v>8125</v>
      </c>
      <c r="F87" s="12"/>
      <c r="G87" s="12"/>
      <c r="H87" s="12"/>
      <c r="I87" s="12"/>
      <c r="J87" s="12"/>
      <c r="K87" s="12"/>
      <c r="L87" s="12"/>
      <c r="M87" s="12"/>
      <c r="N87" s="12"/>
      <c r="O87" s="12"/>
      <c r="P87" s="12"/>
      <c r="Q87" s="12"/>
    </row>
    <row r="88" spans="5:17" x14ac:dyDescent="0.25">
      <c r="E88" s="13"/>
      <c r="F88" s="15" t="s">
        <v>8130</v>
      </c>
      <c r="G88" s="15"/>
      <c r="H88" s="15"/>
      <c r="I88" s="15"/>
      <c r="J88" s="15"/>
      <c r="K88" s="15"/>
      <c r="L88" s="15" t="s">
        <v>8131</v>
      </c>
      <c r="M88" s="15"/>
      <c r="N88" s="15"/>
      <c r="O88" s="15"/>
      <c r="P88" s="15"/>
      <c r="Q88" s="15"/>
    </row>
    <row r="89" spans="5:17" x14ac:dyDescent="0.25">
      <c r="E89" s="14"/>
      <c r="F89" s="2" t="s">
        <v>0</v>
      </c>
      <c r="G89" s="2" t="s">
        <v>1</v>
      </c>
      <c r="H89" s="2" t="s">
        <v>2</v>
      </c>
      <c r="I89" s="2" t="s">
        <v>3</v>
      </c>
      <c r="J89" s="2" t="s">
        <v>8128</v>
      </c>
      <c r="K89" s="2" t="s">
        <v>4</v>
      </c>
      <c r="L89" s="2" t="s">
        <v>0</v>
      </c>
      <c r="M89" s="2" t="s">
        <v>1</v>
      </c>
      <c r="N89" s="2" t="s">
        <v>2</v>
      </c>
      <c r="O89" s="2" t="s">
        <v>3</v>
      </c>
      <c r="P89" s="2" t="s">
        <v>8128</v>
      </c>
      <c r="Q89" s="2" t="s">
        <v>4</v>
      </c>
    </row>
    <row r="90" spans="5:17" x14ac:dyDescent="0.25">
      <c r="E90" s="2" t="s">
        <v>5</v>
      </c>
      <c r="F90" s="1">
        <f>SUMIFS('WH+RT PREVIOUS'!$M$2:$M$15000,'WH+RT PREVIOUS'!$B$2:$B$15000,"N.C.Urea(45kg)",'WH+RT PREVIOUS'!$R$2:$R$15000,"223815",'WH+RT PREVIOUS'!$N$2:$N$15000,"&gt;179",'WH+RT PREVIOUS'!$N$2:$N$15000,"&lt;366")</f>
        <v>1.47</v>
      </c>
      <c r="G90" s="1">
        <f>SUMIFS('WH+RT PREVIOUS'!$M$2:$M$15000,'WH+RT PREVIOUS'!$B$2:$B$15000,"15-15-15",'WH+RT PREVIOUS'!$R$2:$R$15000,"223815",'WH+RT PREVIOUS'!$N$2:$N$15000,"&gt;179",'WH+RT PREVIOUS'!$N$2:$N$15000,"&lt;366")</f>
        <v>0</v>
      </c>
      <c r="H90" s="1">
        <f>SUMIFS('WH+RT PREVIOUS'!$M$2:$M$15000,'WH+RT PREVIOUS'!$B$2:$B$15000,"Imp 10-26-26",'WH+RT PREVIOUS'!$R$2:$R$15000,"223815",'WH+RT PREVIOUS'!$N$2:$N$15000,"&gt;179",'WH+RT PREVIOUS'!$N$2:$N$15000,"&lt;366")</f>
        <v>0</v>
      </c>
      <c r="I90" s="1">
        <f>SUMIFS('WH+RT PREVIOUS'!$M$2:$M$15000,'WH+RT PREVIOUS'!$B$2:$B$15000,"MOP",'WH+RT PREVIOUS'!$R$2:$R$15000,"223815",'WH+RT PREVIOUS'!$N$2:$N$15000,"&gt;179",'WH+RT PREVIOUS'!$N$2:$N$15000,"&lt;366")</f>
        <v>0</v>
      </c>
      <c r="J90" s="1">
        <f>SUMIFS('WH+RT PREVIOUS'!$M$2:$M$15000,'WH+RT PREVIOUS'!$B$2:$B$15000,"Imp DAP",'WH+RT PREVIOUS'!$R$2:$R$15000,"223815",'WH+RT PREVIOUS'!$N$2:$N$15000,"&gt;179",'WH+RT PREVIOUS'!$N$2:$N$15000,"&lt;366")</f>
        <v>0</v>
      </c>
      <c r="K90" s="1">
        <f>F90+G90+H90+I90</f>
        <v>1.47</v>
      </c>
      <c r="L90" s="1">
        <f>SUMIFS('WH+RT CURRENT'!M:M,'WH+RT CURRENT'!B:B,"N.C.Urea(45kg)",'WH+RT CURRENT'!R:R,"223815",'WH+RT CURRENT'!N:N,"&gt;179",'WH+RT CURRENT'!N:N,"&lt;366")</f>
        <v>1.47</v>
      </c>
      <c r="M90" s="1">
        <f>SUMIFS('WH+RT CURRENT'!$M$2:$M$15000,'WH+RT CURRENT'!$B$2:$B$15000,"15-15-15",'WH+RT CURRENT'!$R$2:$R$15000,"223815",'WH+RT CURRENT'!$N$2:$N$15000,"&gt;179",'WH+RT CURRENT'!$N$2:$N$15000,"&lt;366")</f>
        <v>0</v>
      </c>
      <c r="N90" s="1">
        <f>SUMIFS('WH+RT CURRENT'!$M$2:$M$15000,'WH+RT CURRENT'!$B$2:$B$15000,"Imp 10-26-26",'WH+RT CURRENT'!$R$2:$R$15000,"223815",'WH+RT CURRENT'!$N$2:$N$15000,"&gt;179",'WH+RT CURRENT'!$N$2:$N$15000,"&lt;366")</f>
        <v>0</v>
      </c>
      <c r="O90" s="1">
        <f>SUMIFS('WH+RT CURRENT'!$M$2:$M$15000,'WH+RT CURRENT'!$B$2:$B$15000,"MOP",'WH+RT CURRENT'!$R$2:$R$15000,"223815",'WH+RT CURRENT'!$N$2:$N$15000,"&gt;179",'WH+RT CURRENT'!$N$2:$N$15000,"&lt;366")</f>
        <v>0</v>
      </c>
      <c r="P90" s="1">
        <f>SUMIFS('WH+RT CURRENT'!$M$2:$M$15000,'WH+RT CURRENT'!$B$2:$B$15000,"Imp DAP",'WH+RT CURRENT'!$R$2:$R$15000,"223815",'WH+RT CURRENT'!$N$2:$N$15000,"&gt;179",'WH+RT CURRENT'!$N$2:$N$15000,"&lt;366")</f>
        <v>0</v>
      </c>
      <c r="Q90" s="1">
        <f>L90+M90+N90+O90</f>
        <v>1.47</v>
      </c>
    </row>
    <row r="91" spans="5:17" x14ac:dyDescent="0.25">
      <c r="E91" s="2" t="s">
        <v>6</v>
      </c>
      <c r="F91" s="1">
        <f>SUMIFS('WH+RT PREVIOUS'!$M$2:$M$15000,'WH+RT PREVIOUS'!$B$2:$B$15000,"N.C.Urea(45kg)",'WH+RT PREVIOUS'!$R$2:$R$15000,"223815",'WH+RT PREVIOUS'!$N$2:$N$15000,"&gt;365")</f>
        <v>2.4300000000000002</v>
      </c>
      <c r="G91" s="1">
        <f>SUMIFS('WH+RT PREVIOUS'!$M$2:$M$15000,'WH+RT PREVIOUS'!$B$2:$B$15000,"15-15-15",'WH+RT PREVIOUS'!$R$2:$R$15000,"223815",'WH+RT PREVIOUS'!$N$2:$N$15000,"&gt;365")</f>
        <v>2.25</v>
      </c>
      <c r="H91" s="1">
        <f>SUMIFS('WH+RT PREVIOUS'!$M$2:$M$15000,'WH+RT PREVIOUS'!$B$2:$B$15000,"Imp 10-26-26",'WH+RT PREVIOUS'!$R$2:$R$15000,"223815",'WH+RT PREVIOUS'!$N$2:$N$15000,"&gt;365")</f>
        <v>0</v>
      </c>
      <c r="I91" s="1">
        <f>SUMIFS('WH+RT PREVIOUS'!$M$2:$M$15000,'WH+RT PREVIOUS'!$B$2:$B$15000,"MOP",'WH+RT PREVIOUS'!$R$2:$R$15000,"223815",'WH+RT PREVIOUS'!$N$2:$N$15000,"&gt;365")</f>
        <v>0</v>
      </c>
      <c r="J91" s="1">
        <f>SUMIFS('WH+RT PREVIOUS'!$M$2:$M$15000,'WH+RT PREVIOUS'!$B$2:$B$15000,"Imp DAP",'WH+RT PREVIOUS'!$R$2:$R$15000,"223815",'WH+RT PREVIOUS'!$N$2:$N$15000,"&gt;365")</f>
        <v>0</v>
      </c>
      <c r="K91" s="1">
        <f>F91+G91+H91+I91</f>
        <v>4.68</v>
      </c>
      <c r="L91" s="1">
        <f>SUMIFS('WH+RT CURRENT'!$M$2:$M$15000,'WH+RT CURRENT'!$B$2:$B$15000,"N.C.Urea(45kg)",'WH+RT CURRENT'!$R$2:$R$15000,"223815",'WH+RT CURRENT'!$N$2:$N$15000,"&gt;365")</f>
        <v>2.4300000000000002</v>
      </c>
      <c r="M91" s="1">
        <f>SUMIFS('WH+RT CURRENT'!$M$2:$M$15000,'WH+RT CURRENT'!$B$2:$B$15000,"15-15-15",'WH+RT CURRENT'!$R$2:$R$15000,"223815",'WH+RT CURRENT'!$N$2:$N$15000,"&gt;365")</f>
        <v>2.25</v>
      </c>
      <c r="N91" s="1">
        <f>SUMIFS('WH+RT CURRENT'!$M$2:$M$15000,'WH+RT CURRENT'!$B$2:$B$15000,"Imp 10-26-26",'WH+RT CURRENT'!$R$2:$R$15000,"223815",'WH+RT CURRENT'!$N$2:$N$15000,"&gt;365")</f>
        <v>0</v>
      </c>
      <c r="O91" s="1">
        <f>SUMIFS('WH+RT CURRENT'!$M$2:$M$15000,'WH+RT CURRENT'!$B$2:$B$15000,"MOP",'WH+RT CURRENT'!$R$2:$R$15000,"223815",'WH+RT CURRENT'!$N$2:$N$15000,"&gt;365")</f>
        <v>0</v>
      </c>
      <c r="P91" s="1">
        <f>SUMIFS('WH+RT CURRENT'!$M$2:$M$15000,'WH+RT CURRENT'!$B$2:$B$15000,"Imp DAP",'WH+RT CURRENT'!$R$2:$R$15000,"223815",'WH+RT CURRENT'!$N$2:$N$15000,"&gt;365")</f>
        <v>0</v>
      </c>
      <c r="Q91" s="1">
        <f>L91+M91+N91+O91</f>
        <v>4.68</v>
      </c>
    </row>
    <row r="92" spans="5:17" x14ac:dyDescent="0.25">
      <c r="E92" s="2" t="s">
        <v>7</v>
      </c>
      <c r="F92" s="1">
        <f>F90+F91</f>
        <v>3.9000000000000004</v>
      </c>
      <c r="G92" s="1">
        <f>G90+G91</f>
        <v>2.25</v>
      </c>
      <c r="H92" s="1">
        <f>H90+H91</f>
        <v>0</v>
      </c>
      <c r="I92" s="1">
        <f>I90+I91</f>
        <v>0</v>
      </c>
      <c r="J92" s="1">
        <f>J90+J91</f>
        <v>0</v>
      </c>
      <c r="K92" s="1">
        <f>F92+G92+H92+I92</f>
        <v>6.15</v>
      </c>
      <c r="L92" s="1">
        <f>L90+L91</f>
        <v>3.9000000000000004</v>
      </c>
      <c r="M92" s="1">
        <f>M90+M91</f>
        <v>2.25</v>
      </c>
      <c r="N92" s="1">
        <f>N90+N91</f>
        <v>0</v>
      </c>
      <c r="O92" s="1">
        <f>O90+O91</f>
        <v>0</v>
      </c>
      <c r="P92" s="1">
        <f>P90+P91</f>
        <v>0</v>
      </c>
      <c r="Q92" s="1">
        <f>L92+M92+N92+O92</f>
        <v>6.15</v>
      </c>
    </row>
    <row r="93" spans="5:17" x14ac:dyDescent="0.25">
      <c r="E93" s="2" t="s">
        <v>9</v>
      </c>
      <c r="F93" s="1">
        <f>SUMIFS('WH+RT PREVIOUS'!$M$2:$M$15000,'WH+RT PREVIOUS'!$B$2:$B$15000,"N.C.Urea(45kg)",'WH+RT PREVIOUS'!$R$2:$R$15000,"223815")</f>
        <v>22.080000000000002</v>
      </c>
      <c r="G93" s="1">
        <f>SUMIFS('WH+RT PREVIOUS'!$M$2:$M$15000,'WH+RT PREVIOUS'!$B$2:$B$15000,"15-15-15",'WH+RT PREVIOUS'!$R$2:$R$15000,"223815")</f>
        <v>22.97</v>
      </c>
      <c r="H93" s="1">
        <f>SUMIFS('WH+RT PREVIOUS'!$M$2:$M$15000,'WH+RT PREVIOUS'!$B$2:$B$15000,"Imp 10-26-26",'WH+RT PREVIOUS'!$R$2:$R$15000,"223815")</f>
        <v>11.55</v>
      </c>
      <c r="I93" s="1">
        <f>SUMIFS('WH+RT PREVIOUS'!$M$2:$M$15000,'WH+RT PREVIOUS'!$B$2:$B$15000,"MOP",'WH+RT PREVIOUS'!$R$2:$R$15000,"223815")</f>
        <v>6.25</v>
      </c>
      <c r="J93" s="1">
        <f>SUMIFS('WH+RT PREVIOUS'!$M$2:$M$15000,'WH+RT PREVIOUS'!$B$2:$B$15000,"Imp DAP",'WH+RT PREVIOUS'!$R$2:$R$15000,"223815")</f>
        <v>0</v>
      </c>
      <c r="K93" s="1">
        <f>F93+G93+H93+I93</f>
        <v>62.849999999999994</v>
      </c>
      <c r="L93" s="1">
        <f>SUMIFS('WH+RT CURRENT'!$M$2:$M$15000,'WH+RT CURRENT'!$B$2:$B$15000,"N.C.Urea(45kg)",'WH+RT CURRENT'!$R$2:$R$15000,"223815")</f>
        <v>17.445</v>
      </c>
      <c r="M93" s="1">
        <f>SUMIFS('WH+RT CURRENT'!$M$2:$M$15000,'WH+RT CURRENT'!$B$2:$B$15000,"15-15-15",'WH+RT CURRENT'!$R$2:$R$15000,"223815")</f>
        <v>21.17</v>
      </c>
      <c r="N93" s="1">
        <f>SUMIFS('WH+RT CURRENT'!$M$2:$M$15000,'WH+RT CURRENT'!$B$2:$B$15000,"Imp 10-26-26",'WH+RT CURRENT'!$R$2:$R$15000,"223815")</f>
        <v>9.4500000000000011</v>
      </c>
      <c r="O93" s="1">
        <f>SUMIFS('WH+RT CURRENT'!$M$2:$M$15000,'WH+RT CURRENT'!$B$2:$B$15000,"MOP",'WH+RT CURRENT'!$R$2:$R$15000,"223815")</f>
        <v>1.7999999999999998</v>
      </c>
      <c r="P93" s="1">
        <f>SUMIFS('WH+RT CURRENT'!$M$2:$M$15000,'WH+RT CURRENT'!$B$2:$B$15000,"Imp DAP",'WH+RT CURRENT'!$R$2:$R$15000,"223815")</f>
        <v>0</v>
      </c>
      <c r="Q93" s="1">
        <f>L93+M93+N93+O93</f>
        <v>49.865000000000002</v>
      </c>
    </row>
    <row r="96" spans="5:17" x14ac:dyDescent="0.25">
      <c r="E96" s="12" t="s">
        <v>1332</v>
      </c>
      <c r="F96" s="12"/>
      <c r="G96" s="12"/>
      <c r="H96" s="12"/>
      <c r="I96" s="12"/>
      <c r="J96" s="12"/>
      <c r="K96" s="12"/>
      <c r="L96" s="12"/>
      <c r="M96" s="12"/>
      <c r="N96" s="12"/>
      <c r="O96" s="12"/>
      <c r="P96" s="12"/>
      <c r="Q96" s="12"/>
    </row>
    <row r="97" spans="5:17" x14ac:dyDescent="0.25">
      <c r="E97" s="13"/>
      <c r="F97" s="15" t="s">
        <v>8130</v>
      </c>
      <c r="G97" s="15"/>
      <c r="H97" s="15"/>
      <c r="I97" s="15"/>
      <c r="J97" s="15"/>
      <c r="K97" s="15"/>
      <c r="L97" s="15" t="s">
        <v>8131</v>
      </c>
      <c r="M97" s="15"/>
      <c r="N97" s="15"/>
      <c r="O97" s="15"/>
      <c r="P97" s="15"/>
      <c r="Q97" s="15"/>
    </row>
    <row r="98" spans="5:17" x14ac:dyDescent="0.25">
      <c r="E98" s="14"/>
      <c r="F98" s="2" t="s">
        <v>0</v>
      </c>
      <c r="G98" s="2" t="s">
        <v>1</v>
      </c>
      <c r="H98" s="2" t="s">
        <v>2</v>
      </c>
      <c r="I98" s="2" t="s">
        <v>3</v>
      </c>
      <c r="J98" s="2" t="s">
        <v>8128</v>
      </c>
      <c r="K98" s="2" t="s">
        <v>4</v>
      </c>
      <c r="L98" s="2" t="s">
        <v>0</v>
      </c>
      <c r="M98" s="2" t="s">
        <v>1</v>
      </c>
      <c r="N98" s="2" t="s">
        <v>2</v>
      </c>
      <c r="O98" s="2" t="s">
        <v>3</v>
      </c>
      <c r="P98" s="2" t="s">
        <v>8128</v>
      </c>
      <c r="Q98" s="2" t="s">
        <v>4</v>
      </c>
    </row>
    <row r="99" spans="5:17" x14ac:dyDescent="0.25">
      <c r="E99" s="2" t="s">
        <v>5</v>
      </c>
      <c r="F99" s="1">
        <f>SUMIFS('WH+RT PREVIOUS'!$M$2:$M$15000,'WH+RT PREVIOUS'!$B$2:$B$15000,"N.C.Urea(45kg)",'WH+RT PREVIOUS'!$R$2:$R$15000,"289634",'WH+RT PREVIOUS'!$N$2:$N$15000,"&gt;179",'WH+RT PREVIOUS'!$N$2:$N$15000,"&lt;366")</f>
        <v>0</v>
      </c>
      <c r="G99" s="1">
        <f>SUMIFS('WH+RT PREVIOUS'!$M$2:$M$15000,'WH+RT PREVIOUS'!$B$2:$B$15000,"15-15-15",'WH+RT PREVIOUS'!$R$2:$R$15000,"289634",'WH+RT PREVIOUS'!$N$2:$N$15000,"&gt;179",'WH+RT PREVIOUS'!$N$2:$N$15000,"&lt;366")</f>
        <v>3.2010000000000001</v>
      </c>
      <c r="H99" s="1">
        <f>SUMIFS('WH+RT PREVIOUS'!$M$2:$M$15000,'WH+RT PREVIOUS'!$B$2:$B$15000,"Imp 10-26-26",'WH+RT PREVIOUS'!$R$2:$R$15000,"289634",'WH+RT PREVIOUS'!$N$2:$N$15000,"&gt;179",'WH+RT PREVIOUS'!$N$2:$N$15000,"&lt;366")</f>
        <v>0</v>
      </c>
      <c r="I99" s="1">
        <f>SUMIFS('WH+RT PREVIOUS'!$M$2:$M$15000,'WH+RT PREVIOUS'!$B$2:$B$15000,"MOP",'WH+RT PREVIOUS'!$R$2:$R$15000,"289634",'WH+RT PREVIOUS'!$N$2:$N$15000,"&gt;179",'WH+RT PREVIOUS'!$N$2:$N$15000,"&lt;366")</f>
        <v>0</v>
      </c>
      <c r="J99" s="1">
        <f>SUMIFS('WH+RT PREVIOUS'!$M$2:$M$15000,'WH+RT PREVIOUS'!$B$2:$B$15000,"Imp DAP",'WH+RT PREVIOUS'!$R$2:$R$15000,"289634",'WH+RT PREVIOUS'!$N$2:$N$15000,"&gt;179",'WH+RT PREVIOUS'!$N$2:$N$15000,"&lt;366")</f>
        <v>0</v>
      </c>
      <c r="K99" s="1">
        <f>F99+G99+H99+I99</f>
        <v>3.2010000000000001</v>
      </c>
      <c r="L99" s="1">
        <f>SUMIFS('WH+RT CURRENT'!M:M,'WH+RT CURRENT'!B:B,"N.C.Urea(45kg)",'WH+RT CURRENT'!R:R,"289634",'WH+RT CURRENT'!N:N,"&gt;179",'WH+RT CURRENT'!N:N,"&lt;366")</f>
        <v>0</v>
      </c>
      <c r="M99" s="1">
        <f>SUMIFS('WH+RT CURRENT'!$M$2:$M$15000,'WH+RT CURRENT'!$B$2:$B$15000,"15-15-15",'WH+RT CURRENT'!$R$2:$R$15000,"289634",'WH+RT CURRENT'!$N$2:$N$15000,"&gt;179",'WH+RT CURRENT'!$N$2:$N$15000,"&lt;366")</f>
        <v>3.2010000000000001</v>
      </c>
      <c r="N99" s="1">
        <f>SUMIFS('WH+RT CURRENT'!$M$2:$M$15000,'WH+RT CURRENT'!$B$2:$B$15000,"Imp 10-26-26",'WH+RT CURRENT'!$R$2:$R$15000,"289634",'WH+RT CURRENT'!$N$2:$N$15000,"&gt;179",'WH+RT CURRENT'!$N$2:$N$15000,"&lt;366")</f>
        <v>0</v>
      </c>
      <c r="O99" s="1">
        <f>SUMIFS('WH+RT CURRENT'!$M$2:$M$15000,'WH+RT CURRENT'!$B$2:$B$15000,"MOP",'WH+RT CURRENT'!$R$2:$R$15000,"289634",'WH+RT CURRENT'!$N$2:$N$15000,"&gt;179",'WH+RT CURRENT'!$N$2:$N$15000,"&lt;366")</f>
        <v>0</v>
      </c>
      <c r="P99" s="1">
        <f>SUMIFS('WH+RT CURRENT'!$M$2:$M$15000,'WH+RT CURRENT'!$B$2:$B$15000,"Imp DAP",'WH+RT CURRENT'!$R$2:$R$15000,"289634",'WH+RT CURRENT'!$N$2:$N$15000,"&gt;179",'WH+RT CURRENT'!$N$2:$N$15000,"&lt;366")</f>
        <v>0</v>
      </c>
      <c r="Q99" s="1">
        <f>L99+M99+N99+O99</f>
        <v>3.2010000000000001</v>
      </c>
    </row>
    <row r="100" spans="5:17" x14ac:dyDescent="0.25">
      <c r="E100" s="2" t="s">
        <v>6</v>
      </c>
      <c r="F100" s="1">
        <f>SUMIFS('WH+RT PREVIOUS'!$M$2:$M$15000,'WH+RT PREVIOUS'!$B$2:$B$15000,"N.C.Urea(45kg)",'WH+RT PREVIOUS'!$R$2:$R$15000,"289634",'WH+RT PREVIOUS'!$N$2:$N$15000,"&gt;365")</f>
        <v>1.425</v>
      </c>
      <c r="G100" s="1">
        <f>SUMIFS('WH+RT PREVIOUS'!$M$2:$M$15000,'WH+RT PREVIOUS'!$B$2:$B$15000,"15-15-15",'WH+RT PREVIOUS'!$R$2:$R$15000,"289634",'WH+RT PREVIOUS'!$N$2:$N$15000,"&gt;365")</f>
        <v>2.37</v>
      </c>
      <c r="H100" s="1">
        <f>SUMIFS('WH+RT PREVIOUS'!$M$2:$M$15000,'WH+RT PREVIOUS'!$B$2:$B$15000,"Imp 10-26-26",'WH+RT PREVIOUS'!$R$2:$R$15000,"289634",'WH+RT PREVIOUS'!$N$2:$N$15000,"&gt;365")</f>
        <v>0</v>
      </c>
      <c r="I100" s="1">
        <f>SUMIFS('WH+RT PREVIOUS'!$M$2:$M$15000,'WH+RT PREVIOUS'!$B$2:$B$15000,"MOP",'WH+RT PREVIOUS'!$R$2:$R$15000,"289634",'WH+RT PREVIOUS'!$N$2:$N$15000,"&gt;365")</f>
        <v>0</v>
      </c>
      <c r="J100" s="1">
        <f>SUMIFS('WH+RT PREVIOUS'!$M$2:$M$15000,'WH+RT PREVIOUS'!$B$2:$B$15000,"Imp DAP",'WH+RT PREVIOUS'!$R$2:$R$15000,"289634",'WH+RT PREVIOUS'!$N$2:$N$15000,"&gt;365")</f>
        <v>0</v>
      </c>
      <c r="K100" s="1">
        <f>F100+G100+H100+I100</f>
        <v>3.7949999999999999</v>
      </c>
      <c r="L100" s="1">
        <f>SUMIFS('WH+RT CURRENT'!$M$2:$M$15000,'WH+RT CURRENT'!$B$2:$B$15000,"N.C.Urea(45kg)",'WH+RT CURRENT'!$R$2:$R$15000,"289634",'WH+RT CURRENT'!$N$2:$N$15000,"&gt;365")</f>
        <v>1.425</v>
      </c>
      <c r="M100" s="1">
        <f>SUMIFS('WH+RT CURRENT'!$M$2:$M$15000,'WH+RT CURRENT'!$B$2:$B$15000,"15-15-15",'WH+RT CURRENT'!$R$2:$R$15000,"289634",'WH+RT CURRENT'!$N$2:$N$15000,"&gt;365")</f>
        <v>2.17</v>
      </c>
      <c r="N100" s="1">
        <f>SUMIFS('WH+RT CURRENT'!$M$2:$M$15000,'WH+RT CURRENT'!$B$2:$B$15000,"Imp 10-26-26",'WH+RT CURRENT'!$R$2:$R$15000,"289634",'WH+RT CURRENT'!$N$2:$N$15000,"&gt;365")</f>
        <v>0</v>
      </c>
      <c r="O100" s="1">
        <f>SUMIFS('WH+RT CURRENT'!$M$2:$M$15000,'WH+RT CURRENT'!$B$2:$B$15000,"MOP",'WH+RT CURRENT'!$R$2:$R$15000,"289634",'WH+RT CURRENT'!$N$2:$N$15000,"&gt;365")</f>
        <v>0</v>
      </c>
      <c r="P100" s="1">
        <f>SUMIFS('WH+RT CURRENT'!$M$2:$M$15000,'WH+RT CURRENT'!$B$2:$B$15000,"Imp DAP",'WH+RT CURRENT'!$R$2:$R$15000,"289634",'WH+RT CURRENT'!$N$2:$N$15000,"&gt;365")</f>
        <v>0</v>
      </c>
      <c r="Q100" s="1">
        <f>L100+M100+N100+O100</f>
        <v>3.5949999999999998</v>
      </c>
    </row>
    <row r="101" spans="5:17" x14ac:dyDescent="0.25">
      <c r="E101" s="2" t="s">
        <v>7</v>
      </c>
      <c r="F101" s="1">
        <f>F99+F100</f>
        <v>1.425</v>
      </c>
      <c r="G101" s="1">
        <f>G99+G100</f>
        <v>5.5709999999999997</v>
      </c>
      <c r="H101" s="1">
        <f>H99+H100</f>
        <v>0</v>
      </c>
      <c r="I101" s="1">
        <f>I99+I100</f>
        <v>0</v>
      </c>
      <c r="J101" s="1">
        <f>J99+J100</f>
        <v>0</v>
      </c>
      <c r="K101" s="1">
        <f>F101+G101+H101+I101</f>
        <v>6.9959999999999996</v>
      </c>
      <c r="L101" s="1">
        <f>L99+L100</f>
        <v>1.425</v>
      </c>
      <c r="M101" s="1">
        <f>M99+M100</f>
        <v>5.3710000000000004</v>
      </c>
      <c r="N101" s="1">
        <f>N99+N100</f>
        <v>0</v>
      </c>
      <c r="O101" s="1">
        <f>O99+O100</f>
        <v>0</v>
      </c>
      <c r="P101" s="1">
        <f>P99+P100</f>
        <v>0</v>
      </c>
      <c r="Q101" s="1">
        <f>L101+M101+N101+O101</f>
        <v>6.7960000000000003</v>
      </c>
    </row>
    <row r="102" spans="5:17" x14ac:dyDescent="0.25">
      <c r="E102" s="2" t="s">
        <v>9</v>
      </c>
      <c r="F102" s="1">
        <f>SUMIFS('WH+RT PREVIOUS'!$M$2:$M$15000,'WH+RT PREVIOUS'!$B$2:$B$15000,"N.C.Urea(45kg)",'WH+RT PREVIOUS'!$R$2:$R$15000,"289634")</f>
        <v>88.949999999999989</v>
      </c>
      <c r="G102" s="1">
        <f>SUMIFS('WH+RT PREVIOUS'!$M$2:$M$15000,'WH+RT PREVIOUS'!$B$2:$B$15000,"15-15-15",'WH+RT PREVIOUS'!$R$2:$R$15000,"289634")</f>
        <v>67.925999999999988</v>
      </c>
      <c r="H102" s="1">
        <f>SUMIFS('WH+RT PREVIOUS'!$M$2:$M$15000,'WH+RT PREVIOUS'!$B$2:$B$15000,"Imp 10-26-26",'WH+RT PREVIOUS'!$R$2:$R$15000,"289634")</f>
        <v>2.85</v>
      </c>
      <c r="I102" s="1">
        <f>SUMIFS('WH+RT PREVIOUS'!$M$2:$M$15000,'WH+RT PREVIOUS'!$B$2:$B$15000,"MOP",'WH+RT PREVIOUS'!$R$2:$R$15000,"289634")</f>
        <v>5.25</v>
      </c>
      <c r="J102" s="1">
        <f>SUMIFS('WH+RT PREVIOUS'!$M$2:$M$15000,'WH+RT PREVIOUS'!$B$2:$B$15000,"Imp DAP",'WH+RT PREVIOUS'!$R$2:$R$15000,"289634")</f>
        <v>0</v>
      </c>
      <c r="K102" s="1">
        <f>F102+G102+H102+I102</f>
        <v>164.97599999999997</v>
      </c>
      <c r="L102" s="1">
        <f>SUMIFS('WH+RT CURRENT'!$M$2:$M$15000,'WH+RT CURRENT'!$B$2:$B$15000,"N.C.Urea(45kg)",'WH+RT CURRENT'!$R$2:$R$15000,"289634")</f>
        <v>84.9</v>
      </c>
      <c r="M102" s="1">
        <f>SUMIFS('WH+RT CURRENT'!$M$2:$M$15000,'WH+RT CURRENT'!$B$2:$B$15000,"15-15-15",'WH+RT CURRENT'!$R$2:$R$15000,"289634")</f>
        <v>59.346000000000004</v>
      </c>
      <c r="N102" s="1">
        <f>SUMIFS('WH+RT CURRENT'!$M$2:$M$15000,'WH+RT CURRENT'!$B$2:$B$15000,"Imp 10-26-26",'WH+RT CURRENT'!$R$2:$R$15000,"289634")</f>
        <v>2.5</v>
      </c>
      <c r="O102" s="1">
        <f>SUMIFS('WH+RT CURRENT'!$M$2:$M$15000,'WH+RT CURRENT'!$B$2:$B$15000,"MOP",'WH+RT CURRENT'!$R$2:$R$15000,"289634")</f>
        <v>5.25</v>
      </c>
      <c r="P102" s="1">
        <f>SUMIFS('WH+RT CURRENT'!$M$2:$M$15000,'WH+RT CURRENT'!$B$2:$B$15000,"Imp DAP",'WH+RT CURRENT'!$R$2:$R$15000,"289634")</f>
        <v>0</v>
      </c>
      <c r="Q102" s="1">
        <f>L102+M102+N102+O102</f>
        <v>151.99600000000001</v>
      </c>
    </row>
    <row r="105" spans="5:17" x14ac:dyDescent="0.25">
      <c r="E105" s="12" t="s">
        <v>113</v>
      </c>
      <c r="F105" s="12"/>
      <c r="G105" s="12"/>
      <c r="H105" s="12"/>
      <c r="I105" s="12"/>
      <c r="J105" s="12"/>
      <c r="K105" s="12"/>
      <c r="L105" s="12"/>
      <c r="M105" s="12"/>
      <c r="N105" s="12"/>
      <c r="O105" s="12"/>
      <c r="P105" s="12"/>
      <c r="Q105" s="12"/>
    </row>
    <row r="106" spans="5:17" x14ac:dyDescent="0.25">
      <c r="E106" s="13"/>
      <c r="F106" s="15" t="s">
        <v>8130</v>
      </c>
      <c r="G106" s="15"/>
      <c r="H106" s="15"/>
      <c r="I106" s="15"/>
      <c r="J106" s="15"/>
      <c r="K106" s="15"/>
      <c r="L106" s="15" t="s">
        <v>8131</v>
      </c>
      <c r="M106" s="15"/>
      <c r="N106" s="15"/>
      <c r="O106" s="15"/>
      <c r="P106" s="15"/>
      <c r="Q106" s="15"/>
    </row>
    <row r="107" spans="5:17" x14ac:dyDescent="0.25">
      <c r="E107" s="14"/>
      <c r="F107" s="2" t="s">
        <v>0</v>
      </c>
      <c r="G107" s="2" t="s">
        <v>1</v>
      </c>
      <c r="H107" s="2" t="s">
        <v>2</v>
      </c>
      <c r="I107" s="2" t="s">
        <v>3</v>
      </c>
      <c r="J107" s="2" t="s">
        <v>8128</v>
      </c>
      <c r="K107" s="2" t="s">
        <v>4</v>
      </c>
      <c r="L107" s="2" t="s">
        <v>0</v>
      </c>
      <c r="M107" s="2" t="s">
        <v>1</v>
      </c>
      <c r="N107" s="2" t="s">
        <v>2</v>
      </c>
      <c r="O107" s="2" t="s">
        <v>3</v>
      </c>
      <c r="P107" s="2" t="s">
        <v>8128</v>
      </c>
      <c r="Q107" s="2" t="s">
        <v>4</v>
      </c>
    </row>
    <row r="108" spans="5:17" x14ac:dyDescent="0.25">
      <c r="E108" s="2" t="s">
        <v>5</v>
      </c>
      <c r="F108" s="1">
        <f>SUMIFS('WH+RT PREVIOUS'!$M$2:$M$15000,'WH+RT PREVIOUS'!$B$2:$B$15000,"N.C.Urea(45kg)",'WH+RT PREVIOUS'!$R$2:$R$15000,"289634",'WH+RT PREVIOUS'!$N$2:$N$15000,"&gt;179",'WH+RT PREVIOUS'!$N$2:$N$15000,"&lt;366")</f>
        <v>0</v>
      </c>
      <c r="G108" s="1">
        <f>SUMIFS('WH+RT PREVIOUS'!$M$2:$M$15000,'WH+RT PREVIOUS'!$B$2:$B$15000,"15-15-15",'WH+RT PREVIOUS'!$R$2:$R$15000,"289634",'WH+RT PREVIOUS'!$N$2:$N$15000,"&gt;179",'WH+RT PREVIOUS'!$N$2:$N$15000,"&lt;366")</f>
        <v>3.2010000000000001</v>
      </c>
      <c r="H108" s="1">
        <f>SUMIFS('WH+RT PREVIOUS'!$M$2:$M$15000,'WH+RT PREVIOUS'!$B$2:$B$15000,"Imp 10-26-26",'WH+RT PREVIOUS'!$R$2:$R$15000,"289634",'WH+RT PREVIOUS'!$N$2:$N$15000,"&gt;179",'WH+RT PREVIOUS'!$N$2:$N$15000,"&lt;366")</f>
        <v>0</v>
      </c>
      <c r="I108" s="1">
        <f>SUMIFS('WH+RT PREVIOUS'!$M$2:$M$15000,'WH+RT PREVIOUS'!$B$2:$B$15000,"MOP",'WH+RT PREVIOUS'!$R$2:$R$15000,"289634",'WH+RT PREVIOUS'!$N$2:$N$15000,"&gt;179",'WH+RT PREVIOUS'!$N$2:$N$15000,"&lt;366")</f>
        <v>0</v>
      </c>
      <c r="J108" s="1">
        <f>SUMIFS('WH+RT PREVIOUS'!$M$2:$M$15000,'WH+RT PREVIOUS'!$B$2:$B$15000,"Imp DAP",'WH+RT PREVIOUS'!$R$2:$R$15000,"289634",'WH+RT PREVIOUS'!$N$2:$N$15000,"&gt;179",'WH+RT PREVIOUS'!$N$2:$N$15000,"&lt;366")</f>
        <v>0</v>
      </c>
      <c r="K108" s="1">
        <f>F108+G108+H108+I108</f>
        <v>3.2010000000000001</v>
      </c>
      <c r="L108" s="1">
        <f>SUM(SUMIFS('WH+RT CURRENT'!$M2:$M$15000,'WH+RT CURRENT'!$B$2:$B$15000,"N.C.Urea(45kg)",'WH+RT CURRENT'!$R$2:$R$15000,{"280832","502354"},'WH+RT CURRENT'!$N$2:$N$15000,"&gt;179",'WH+RT CURRENT'!$N$2:$N$15000,"&lt;366"))</f>
        <v>12.65</v>
      </c>
      <c r="M108" s="1">
        <f>SUM(SUMIFS('WH+RT CURRENT'!$M2:$M$15000,'WH+RT CURRENT'!$B$2:$B$15000,"15-15-15",'WH+RT CURRENT'!$R$2:$R$15000,{"280832","502354"},'WH+RT CURRENT'!$N$2:$N$15000,"&gt;179",'WH+RT CURRENT'!$N$2:$N$15000,"&lt;366"))</f>
        <v>3.5</v>
      </c>
      <c r="N108" s="1">
        <f>SUM(SUMIFS('WH+RT CURRENT'!$M2:$M$15000,'WH+RT CURRENT'!$B$2:$B$15000,"Imp 10-26-26",'WH+RT CURRENT'!$R$2:$R$15000,{"280832","502354"},'WH+RT CURRENT'!$N$2:$N$15000,"&gt;179",'WH+RT CURRENT'!$N$2:$N$15000,"&lt;366"))</f>
        <v>0</v>
      </c>
      <c r="O108" s="1">
        <f>SUM(SUMIFS('WH+RT CURRENT'!$M2:$M$15000,'WH+RT CURRENT'!$B$2:$B$15000,"MOP",'WH+RT CURRENT'!$R$2:$R$15000,{"280832","502354"},'WH+RT CURRENT'!$N$2:$N$15000,"&gt;179",'WH+RT CURRENT'!$N$2:$N$15000,"&lt;366"))</f>
        <v>0</v>
      </c>
      <c r="P108" s="1">
        <f>SUM(SUMIFS('WH+RT CURRENT'!$M2:$M$15000,'WH+RT CURRENT'!$B$2:$B$15000,"Imp DAP",'WH+RT CURRENT'!$R$2:$R$15000,{"280832","502354"},'WH+RT CURRENT'!$N$2:$N$15000,"&gt;179",'WH+RT CURRENT'!$N$2:$N$15000,"&lt;366"))</f>
        <v>0</v>
      </c>
      <c r="Q108" s="1">
        <f>L108+M108+N108+O108</f>
        <v>16.149999999999999</v>
      </c>
    </row>
    <row r="109" spans="5:17" x14ac:dyDescent="0.25">
      <c r="E109" s="2" t="s">
        <v>6</v>
      </c>
      <c r="F109" s="1">
        <f>SUMIFS('WH+RT PREVIOUS'!$M$2:$M$15000,'WH+RT PREVIOUS'!$B$2:$B$15000,"N.C.Urea(45kg)",'WH+RT PREVIOUS'!$R$2:$R$15000,"289634",'WH+RT PREVIOUS'!$N$2:$N$15000,"&gt;365")</f>
        <v>1.425</v>
      </c>
      <c r="G109" s="1">
        <f>SUMIFS('WH+RT PREVIOUS'!$M$2:$M$15000,'WH+RT PREVIOUS'!$B$2:$B$15000,"15-15-15",'WH+RT PREVIOUS'!$R$2:$R$15000,"289634",'WH+RT PREVIOUS'!$N$2:$N$15000,"&gt;365")</f>
        <v>2.37</v>
      </c>
      <c r="H109" s="1">
        <f>SUMIFS('WH+RT PREVIOUS'!$M$2:$M$15000,'WH+RT PREVIOUS'!$B$2:$B$15000,"Imp 10-26-26",'WH+RT PREVIOUS'!$R$2:$R$15000,"289634",'WH+RT PREVIOUS'!$N$2:$N$15000,"&gt;365")</f>
        <v>0</v>
      </c>
      <c r="I109" s="1">
        <f>SUMIFS('WH+RT PREVIOUS'!$M$2:$M$15000,'WH+RT PREVIOUS'!$B$2:$B$15000,"MOP",'WH+RT PREVIOUS'!$R$2:$R$15000,"289634",'WH+RT PREVIOUS'!$N$2:$N$15000,"&gt;365")</f>
        <v>0</v>
      </c>
      <c r="J109" s="1">
        <f>SUMIFS('WH+RT PREVIOUS'!$M$2:$M$15000,'WH+RT PREVIOUS'!$B$2:$B$15000,"Imp DAP",'WH+RT PREVIOUS'!$R$2:$R$15000,"289634",'WH+RT PREVIOUS'!$N$2:$N$15000,"&gt;365")</f>
        <v>0</v>
      </c>
      <c r="K109" s="1">
        <f>F109+G109+H109+I109</f>
        <v>3.7949999999999999</v>
      </c>
      <c r="L109" s="1">
        <f>SUM(SUMIFS('WH+RT CURRENT'!$M2:$M$15000,'WH+RT CURRENT'!$B$2:$B$15000,"N.C.Urea(45kg)",'WH+RT CURRENT'!$R$2:$R$15000,{"280832","502354"},'WH+RT CURRENT'!$N$2:$N$15000,"&gt;365"))</f>
        <v>0</v>
      </c>
      <c r="M109" s="1">
        <f>SUM(SUMIFS('WH+RT CURRENT'!$M2:$M$15000,'WH+RT CURRENT'!$B$2:$B$15000,"15-15-15",'WH+RT CURRENT'!$R$2:$R$15000,{"280832","502354"},'WH+RT CURRENT'!$N$2:$N$15000,"&gt;365"))</f>
        <v>0</v>
      </c>
      <c r="N109" s="1">
        <f>SUM(SUMIFS('WH+RT CURRENT'!$M2:$M$15000,'WH+RT CURRENT'!$B$2:$B$15000,"Imp 10-26-26",'WH+RT CURRENT'!$R$2:$R$15000,{"280832","502354"},'WH+RT CURRENT'!$N$2:$N$15000,"&gt;365"))</f>
        <v>0</v>
      </c>
      <c r="O109" s="1">
        <f>SUM(SUMIFS('WH+RT CURRENT'!$M2:$M$15000,'WH+RT CURRENT'!$B$2:$B$15000,"MOP",'WH+RT CURRENT'!$R$2:$R$15000,{"280832","502354"},'WH+RT CURRENT'!$N$2:$N$15000,"&gt;365"))</f>
        <v>0</v>
      </c>
      <c r="P109" s="1">
        <f>SUM(SUMIFS('WH+RT CURRENT'!$M2:$M$15000,'WH+RT CURRENT'!$B$2:$B$15000,"Imp DAP",'WH+RT CURRENT'!$R$2:$R$15000,{"280832","502354"},'WH+RT CURRENT'!$N$2:$N$15000,"&gt;365"))</f>
        <v>0</v>
      </c>
      <c r="Q109" s="1">
        <f>L109+M109+N109+O109</f>
        <v>0</v>
      </c>
    </row>
    <row r="110" spans="5:17" x14ac:dyDescent="0.25">
      <c r="E110" s="2" t="s">
        <v>7</v>
      </c>
      <c r="F110" s="1">
        <f>F108+F109</f>
        <v>1.425</v>
      </c>
      <c r="G110" s="1">
        <f>G108+G109</f>
        <v>5.5709999999999997</v>
      </c>
      <c r="H110" s="1">
        <f>H108+H109</f>
        <v>0</v>
      </c>
      <c r="I110" s="1">
        <f>I108+I109</f>
        <v>0</v>
      </c>
      <c r="J110" s="1">
        <f>J108+J109</f>
        <v>0</v>
      </c>
      <c r="K110" s="1">
        <f>F110+G110+H110+I110</f>
        <v>6.9959999999999996</v>
      </c>
      <c r="L110" s="1">
        <f>L108+L109</f>
        <v>12.65</v>
      </c>
      <c r="M110" s="1">
        <f>M108+M109</f>
        <v>3.5</v>
      </c>
      <c r="N110" s="1">
        <f>N108+N109</f>
        <v>0</v>
      </c>
      <c r="O110" s="1">
        <f>O108+O109</f>
        <v>0</v>
      </c>
      <c r="P110" s="1">
        <f>P108+P109</f>
        <v>0</v>
      </c>
      <c r="Q110" s="1">
        <f>L110+M110+N110+O110</f>
        <v>16.149999999999999</v>
      </c>
    </row>
    <row r="111" spans="5:17" x14ac:dyDescent="0.25">
      <c r="E111" s="2" t="s">
        <v>9</v>
      </c>
      <c r="F111" s="1">
        <f>SUMIFS('WH+RT PREVIOUS'!$M$2:$M$15000,'WH+RT PREVIOUS'!$B$2:$B$15000,"N.C.Urea(45kg)",'WH+RT PREVIOUS'!$R$2:$R$15000,"289634")</f>
        <v>88.949999999999989</v>
      </c>
      <c r="G111" s="1">
        <f>SUMIFS('WH+RT PREVIOUS'!$M$2:$M$15000,'WH+RT PREVIOUS'!$B$2:$B$15000,"15-15-15",'WH+RT PREVIOUS'!$R$2:$R$15000,"289634")</f>
        <v>67.925999999999988</v>
      </c>
      <c r="H111" s="1">
        <f>SUMIFS('WH+RT PREVIOUS'!$M$2:$M$15000,'WH+RT PREVIOUS'!$B$2:$B$15000,"Imp 10-26-26",'WH+RT PREVIOUS'!$R$2:$R$15000,"289634")</f>
        <v>2.85</v>
      </c>
      <c r="I111" s="1">
        <f>SUMIFS('WH+RT PREVIOUS'!$M$2:$M$15000,'WH+RT PREVIOUS'!$B$2:$B$15000,"MOP",'WH+RT PREVIOUS'!$R$2:$R$15000,"289634")</f>
        <v>5.25</v>
      </c>
      <c r="J111" s="1">
        <f>SUMIFS('WH+RT PREVIOUS'!$M$2:$M$15000,'WH+RT PREVIOUS'!$B$2:$B$15000,"Imp DAP",'WH+RT PREVIOUS'!$R$2:$R$15000,"289634")</f>
        <v>0</v>
      </c>
      <c r="K111" s="1">
        <f>F111+G111+H111+I111</f>
        <v>164.97599999999997</v>
      </c>
      <c r="L111" s="1">
        <f>SUM(SUMIFS('WH+RT CURRENT'!$M2:$M$15000,'WH+RT CURRENT'!$B$2:$B$15000,"N.C.Urea(45kg)",'WH+RT CURRENT'!$R$2:$R$15000,{"280832","502354"}))</f>
        <v>30.722000000000001</v>
      </c>
      <c r="M111" s="1">
        <f>SUM(SUMIFS('WH+RT CURRENT'!$M2:$M$15000,'WH+RT CURRENT'!$B$2:$B$15000,"15-15-15",'WH+RT CURRENT'!$R$2:$R$15000,{"280832","502354"}))</f>
        <v>13.9</v>
      </c>
      <c r="N111" s="1">
        <f>SUM(SUMIFS('WH+RT CURRENT'!$M2:$M$15000,'WH+RT CURRENT'!$B$2:$B$15000,"Imp 10-26-26",'WH+RT CURRENT'!$R$2:$R$15000,{"280832","502354"}))</f>
        <v>0</v>
      </c>
      <c r="O111" s="1">
        <f>SUM(SUMIFS('WH+RT CURRENT'!$M2:$M$15000,'WH+RT CURRENT'!$B$2:$B$15000,"MOP",'WH+RT CURRENT'!$R$2:$R$15000,{"280832","502354"}))</f>
        <v>11</v>
      </c>
      <c r="P111" s="1">
        <f>SUM(SUMIFS('WH+RT CURRENT'!$M2:$M$15000,'WH+RT CURRENT'!$B$2:$B$15000,"Imp DAP",'WH+RT CURRENT'!$R$2:$R$15000,{"280832","502354"}))</f>
        <v>0</v>
      </c>
      <c r="Q111" s="1">
        <f>L111+M111+N111+O111</f>
        <v>55.622</v>
      </c>
    </row>
  </sheetData>
  <mergeCells count="49">
    <mergeCell ref="E106:E107"/>
    <mergeCell ref="F106:K106"/>
    <mergeCell ref="L106:Q106"/>
    <mergeCell ref="E1:Q3"/>
    <mergeCell ref="E96:Q96"/>
    <mergeCell ref="E97:E98"/>
    <mergeCell ref="F97:K97"/>
    <mergeCell ref="L97:Q97"/>
    <mergeCell ref="E105:Q105"/>
    <mergeCell ref="E79:E80"/>
    <mergeCell ref="F79:K79"/>
    <mergeCell ref="L79:Q79"/>
    <mergeCell ref="E87:Q87"/>
    <mergeCell ref="E88:E89"/>
    <mergeCell ref="F88:K88"/>
    <mergeCell ref="L88:Q88"/>
    <mergeCell ref="E69:Q69"/>
    <mergeCell ref="E70:E71"/>
    <mergeCell ref="F70:K70"/>
    <mergeCell ref="L70:Q70"/>
    <mergeCell ref="E78:Q78"/>
    <mergeCell ref="E52:E53"/>
    <mergeCell ref="F52:K52"/>
    <mergeCell ref="L52:Q52"/>
    <mergeCell ref="E60:Q60"/>
    <mergeCell ref="E61:E62"/>
    <mergeCell ref="F61:K61"/>
    <mergeCell ref="L61:Q61"/>
    <mergeCell ref="E42:Q42"/>
    <mergeCell ref="E43:E44"/>
    <mergeCell ref="F43:K43"/>
    <mergeCell ref="L43:Q43"/>
    <mergeCell ref="E51:Q51"/>
    <mergeCell ref="E33:Q33"/>
    <mergeCell ref="E34:E35"/>
    <mergeCell ref="F34:K34"/>
    <mergeCell ref="L34:Q34"/>
    <mergeCell ref="E6:Q6"/>
    <mergeCell ref="E7:E8"/>
    <mergeCell ref="F7:K7"/>
    <mergeCell ref="L7:Q7"/>
    <mergeCell ref="E15:Q15"/>
    <mergeCell ref="E16:E17"/>
    <mergeCell ref="F16:K16"/>
    <mergeCell ref="L16:Q16"/>
    <mergeCell ref="E24:Q24"/>
    <mergeCell ref="E25:E26"/>
    <mergeCell ref="F25:K25"/>
    <mergeCell ref="L25:Q25"/>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F870E-EB78-44ED-99CB-117BF0257AD7}">
  <dimension ref="E1:S84"/>
  <sheetViews>
    <sheetView workbookViewId="0"/>
  </sheetViews>
  <sheetFormatPr defaultRowHeight="15" x14ac:dyDescent="0.25"/>
  <cols>
    <col min="1" max="4" width="10.7109375" customWidth="1"/>
    <col min="5" max="5" width="13.7109375" bestFit="1" customWidth="1"/>
  </cols>
  <sheetData>
    <row r="1" spans="5:19" x14ac:dyDescent="0.25">
      <c r="E1" s="16" t="s">
        <v>8127</v>
      </c>
      <c r="F1" s="17"/>
      <c r="G1" s="17"/>
      <c r="H1" s="17"/>
      <c r="I1" s="17"/>
      <c r="J1" s="17"/>
      <c r="K1" s="17"/>
      <c r="L1" s="17"/>
      <c r="M1" s="17"/>
      <c r="N1" s="17"/>
      <c r="O1" s="17"/>
      <c r="P1" s="17"/>
      <c r="Q1" s="17"/>
      <c r="R1" t="s">
        <v>8141</v>
      </c>
      <c r="S1">
        <v>9</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236</v>
      </c>
      <c r="F6" s="12"/>
      <c r="G6" s="12"/>
      <c r="H6" s="12"/>
      <c r="I6" s="12"/>
      <c r="J6" s="12"/>
      <c r="K6" s="12"/>
      <c r="L6" s="12"/>
      <c r="M6" s="12"/>
      <c r="N6" s="12"/>
      <c r="O6" s="12"/>
      <c r="P6" s="12"/>
      <c r="Q6" s="12"/>
    </row>
    <row r="7" spans="5:19" x14ac:dyDescent="0.25">
      <c r="E7" s="13"/>
      <c r="F7" s="15" t="s">
        <v>8130</v>
      </c>
      <c r="G7" s="15"/>
      <c r="H7" s="15"/>
      <c r="I7" s="15"/>
      <c r="J7" s="15"/>
      <c r="K7" s="15"/>
      <c r="L7" s="15" t="s">
        <v>8131</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PREVIOUS'!$S$2:$S$15000,"Hasya Badhan Makhal",'WH+RT PREVIOUS'!$N$2:$N$15000,"&gt;179",'WH+RT PREVIOUS'!$N$2:$N$15000,"&lt;366")</f>
        <v>3.33</v>
      </c>
      <c r="G9" s="1">
        <f>SUMIFS('WH+RT PREVIOUS'!$M$2:$M$15000,'WH+RT PREVIOUS'!$B$2:$B$15000,"15-15-15",'WH+RT PREVIOUS'!$S$2:$S$15000,"Hasya Badhan Makhal",'WH+RT PREVIOUS'!$N$2:$N$15000,"&gt;179",'WH+RT PREVIOUS'!$N$2:$N$15000,"&lt;366")</f>
        <v>0</v>
      </c>
      <c r="H9" s="1">
        <f>SUMIFS('WH+RT PREVIOUS'!$M$2:$M$15000,'WH+RT PREVIOUS'!$B$2:$B$15000,"Imp 10-26-26",'WH+RT PREVIOUS'!$S$2:$S$15000,"Hasya Badhan Makhal",'WH+RT PREVIOUS'!$N$2:$N$15000,"&gt;179",'WH+RT PREVIOUS'!$N$2:$N$15000,"&lt;366")</f>
        <v>0</v>
      </c>
      <c r="I9" s="1">
        <f>SUMIFS('WH+RT PREVIOUS'!$M$2:$M$15000,'WH+RT PREVIOUS'!$B$2:$B$15000,"MOP",'WH+RT PREVIOUS'!$S$2:$S$15000,"Hasya Badhan Makhal",'WH+RT PREVIOUS'!$N$2:$N$15000,"&gt;179",'WH+RT PREVIOUS'!$N$2:$N$15000,"&lt;366")</f>
        <v>0.4</v>
      </c>
      <c r="J9" s="1">
        <f>SUMIFS('WH+RT PREVIOUS'!$M$2:$M$15000,'WH+RT PREVIOUS'!$B$2:$B$15000,"Imp DAP",'WH+RT PREVIOUS'!$S$2:$S$15000,"Hasya Badhan Makhal",'WH+RT PREVIOUS'!$N$2:$N$15000,"&gt;179",'WH+RT PREVIOUS'!$N$2:$N$15000,"&lt;366")</f>
        <v>0</v>
      </c>
      <c r="K9" s="1">
        <f>F9+G9+H9+I9+J9</f>
        <v>3.73</v>
      </c>
      <c r="L9" s="1">
        <f>SUMIFS('WH+RT CURRENT'!$M$2:$M$15000,'WH+RT CURRENT'!$B$2:$B$15000,"N.C.Urea(45kg)",'WH+RT CURRENT'!$S$2:$S$15000,"Hasya Badhan Makhal",'WH+RT CURRENT'!$N$2:$N$15000,"&gt;179",'WH+RT CURRENT'!$N$2:$N$15000,"&lt;366")</f>
        <v>3.33</v>
      </c>
      <c r="M9" s="1">
        <f>SUMIFS('WH+RT CURRENT'!$M$2:$M$15000,'WH+RT CURRENT'!$B$2:$B$15000,"15-15-15",'WH+RT CURRENT'!$S$2:$S$15000,"Hasya Badhan Makhal",'WH+RT CURRENT'!$N$2:$N$15000,"&gt;179",'WH+RT CURRENT'!$N$2:$N$15000,"&lt;366")</f>
        <v>0</v>
      </c>
      <c r="N9" s="1">
        <f>SUMIFS('WH+RT CURRENT'!$M$2:$M$15000,'WH+RT CURRENT'!$B$2:$B$15000,"Imp 10-26-26",'WH+RT CURRENT'!$S$2:$S$15000,"Hasya Badhan Makhal",'WH+RT CURRENT'!$N$2:$N$15000,"&gt;179",'WH+RT CURRENT'!$N$2:$N$15000,"&lt;366")</f>
        <v>0</v>
      </c>
      <c r="O9" s="1">
        <f>SUMIFS('WH+RT CURRENT'!$M$2:$M$15000,'WH+RT CURRENT'!$B$2:$B$15000,"MOP",'WH+RT CURRENT'!$S$2:$S$15000,"Hasya Badhan Makhal",'WH+RT CURRENT'!$N$2:$N$15000,"&gt;179",'WH+RT CURRENT'!$N$2:$N$15000,"&lt;366")</f>
        <v>0.4</v>
      </c>
      <c r="P9" s="1">
        <f>SUMIFS('WH+RT CURRENT'!$M$2:$M$15000,'WH+RT CURRENT'!$B$2:$B$15000,"Imp DAP",'WH+RT CURRENT'!$S$2:$S$15000,"Hasya Badhan Makhal",'WH+RT CURRENT'!$N$2:$N$15000,"&gt;179",'WH+RT CURRENT'!$N$2:$N$15000,"&lt;366")</f>
        <v>0</v>
      </c>
      <c r="Q9" s="1">
        <f>L9+M9+N9+O9+P9</f>
        <v>3.73</v>
      </c>
    </row>
    <row r="10" spans="5:19" x14ac:dyDescent="0.25">
      <c r="E10" s="2" t="s">
        <v>6</v>
      </c>
      <c r="F10" s="1">
        <f>SUMIFS('WH+RT PREVIOUS'!$M$2:$M$15000,'WH+RT PREVIOUS'!$B$2:$B$15000,"N.C.Urea(45kg)",'WH+RT PREVIOUS'!$S$2:$S$15000,"Hasya Badhan Makhal",'WH+RT PREVIOUS'!$N$2:$N$15000,"&gt;365")</f>
        <v>5.3049999999999997</v>
      </c>
      <c r="G10" s="1">
        <f>SUMIFS('WH+RT PREVIOUS'!$M$2:$M$15000,'WH+RT PREVIOUS'!$B$2:$B$15000,"15-15-15",'WH+RT PREVIOUS'!$S$2:$S$15000,"Hasya Badhan Makhal",'WH+RT PREVIOUS'!$N$2:$N$15000,"&gt;365")</f>
        <v>4.234</v>
      </c>
      <c r="H10" s="1">
        <f>SUMIFS('WH+RT PREVIOUS'!$M$2:$M$15000,'WH+RT PREVIOUS'!$B$2:$B$15000,"Imp 10-26-26",'WH+RT PREVIOUS'!$S$2:$S$15000,"Hasya Badhan Makhal",'WH+RT PREVIOUS'!$N$2:$N$15000,"&gt;365")</f>
        <v>0</v>
      </c>
      <c r="I10" s="1">
        <f>SUMIFS('WH+RT PREVIOUS'!$M$2:$M$15000,'WH+RT PREVIOUS'!$B$2:$B$15000,"MOP",'WH+RT PREVIOUS'!$S$2:$S$15000,"Hasya Badhan Makhal",'WH+RT PREVIOUS'!$N$2:$N$15000,"&gt;365")</f>
        <v>0</v>
      </c>
      <c r="J10" s="1">
        <f>SUMIFS('WH+RT PREVIOUS'!$M$2:$M$15000,'WH+RT PREVIOUS'!$B$2:$B$15000,"Imp DAP",'WH+RT PREVIOUS'!$S$2:$S$15000,"Hasya Badhan Makhal",'WH+RT PREVIOUS'!$N$2:$N$15000,"&gt;365")</f>
        <v>0.15</v>
      </c>
      <c r="K10" s="1">
        <f>F10+G10+H10+I10+J10</f>
        <v>9.6890000000000001</v>
      </c>
      <c r="L10" s="1">
        <f>SUMIFS('WH+RT CURRENT'!$M$2:$M$15000,'WH+RT CURRENT'!$B$2:$B$15000,"N.C.Urea(45kg)",'WH+RT CURRENT'!$S$2:$S$15000,"Hasya Badhan Makhal",'WH+RT CURRENT'!$N$2:$N$15000,"&gt;365")</f>
        <v>5.3050000000000006</v>
      </c>
      <c r="M10" s="1">
        <f>SUMIFS('WH+RT CURRENT'!$M$2:$M$15000,'WH+RT CURRENT'!$B$2:$B$15000,"15-15-15",'WH+RT CURRENT'!$S$2:$S$15000,"Hasya Badhan Makhal",'WH+RT CURRENT'!$N$2:$N$15000,"&gt;365")</f>
        <v>4.234</v>
      </c>
      <c r="N10" s="1">
        <f>SUMIFS('WH+RT CURRENT'!$M$2:$M$15000,'WH+RT CURRENT'!$B$2:$B$15000,"Imp 10-26-26",'WH+RT CURRENT'!$S$2:$S$15000,"Hasya Badhan Makhal",'WH+RT CURRENT'!$N$2:$N$15000,"&gt;365")</f>
        <v>0</v>
      </c>
      <c r="O10" s="1">
        <f>SUMIFS('WH+RT CURRENT'!$M$2:$M$15000,'WH+RT CURRENT'!$B$2:$B$15000,"MOP",'WH+RT CURRENT'!$S$2:$S$15000,"Hasya Badhan Makhal",'WH+RT CURRENT'!$N$2:$N$15000,"&gt;365")</f>
        <v>0</v>
      </c>
      <c r="P10" s="1">
        <f>SUMIFS('WH+RT CURRENT'!$M$2:$M$15000,'WH+RT CURRENT'!$B$2:$B$15000,"Imp DAP",'WH+RT CURRENT'!$S$2:$S$15000,"Hasya Badhan Makhal",'WH+RT CURRENT'!$N$2:$N$15000,"&gt;365")</f>
        <v>0.15</v>
      </c>
      <c r="Q10" s="1">
        <f>L10+M10+N10+O10+P10</f>
        <v>9.6890000000000018</v>
      </c>
    </row>
    <row r="11" spans="5:19" x14ac:dyDescent="0.25">
      <c r="E11" s="2" t="s">
        <v>7</v>
      </c>
      <c r="F11" s="1">
        <f>F9+F10</f>
        <v>8.6349999999999998</v>
      </c>
      <c r="G11" s="1">
        <f>G9+G10</f>
        <v>4.234</v>
      </c>
      <c r="H11" s="1">
        <f>H9+H10</f>
        <v>0</v>
      </c>
      <c r="I11" s="1">
        <f>I9+I10</f>
        <v>0.4</v>
      </c>
      <c r="J11" s="1">
        <f>J9+J10</f>
        <v>0.15</v>
      </c>
      <c r="K11" s="1">
        <f>F11+G11+H11+I11+J11</f>
        <v>13.419</v>
      </c>
      <c r="L11" s="1">
        <f>L9+L10</f>
        <v>8.6350000000000016</v>
      </c>
      <c r="M11" s="1">
        <f>M9+M10</f>
        <v>4.234</v>
      </c>
      <c r="N11" s="1">
        <f>N9+N10</f>
        <v>0</v>
      </c>
      <c r="O11" s="1">
        <f>O9+O10</f>
        <v>0.4</v>
      </c>
      <c r="P11" s="1">
        <f>P9+P10</f>
        <v>0.15</v>
      </c>
      <c r="Q11" s="1">
        <f>L11+M11+N11+O11+P11</f>
        <v>13.419000000000002</v>
      </c>
    </row>
    <row r="12" spans="5:19" x14ac:dyDescent="0.25">
      <c r="E12" s="2" t="s">
        <v>9</v>
      </c>
      <c r="F12" s="1">
        <f>SUMIFS('WH+RT PREVIOUS'!$M$2:$M$15000,'WH+RT PREVIOUS'!$B$2:$B$15000,"N.C.Urea(45kg)",'WH+RT PREVIOUS'!$S$2:$S$15000,"Hasya Badhan Makhal")</f>
        <v>62.998000000000012</v>
      </c>
      <c r="G12" s="1">
        <f>SUMIFS('WH+RT PREVIOUS'!$M$2:$M$15000,'WH+RT PREVIOUS'!$B$2:$B$15000,"15-15-15",'WH+RT PREVIOUS'!$S$2:$S$15000,"Hasya Badhan Makhal")</f>
        <v>14.633999999999999</v>
      </c>
      <c r="H12" s="1">
        <f>SUMIFS('WH+RT PREVIOUS'!$M$2:$M$15000,'WH+RT PREVIOUS'!$B$2:$B$15000,"Imp 10-26-26",'WH+RT PREVIOUS'!$S$2:$S$15000,"Hasya Badhan Makhal")</f>
        <v>5.2</v>
      </c>
      <c r="I12" s="1">
        <f>SUMIFS('WH+RT PREVIOUS'!$M$2:$M$15000,'WH+RT PREVIOUS'!$B$2:$B$15000,"MOP",'WH+RT PREVIOUS'!$S$2:$S$15000,"Hasya Badhan Makhal")</f>
        <v>12.15</v>
      </c>
      <c r="J12" s="1">
        <f>SUMIFS('WH+RT PREVIOUS'!$M$2:$M$15000,'WH+RT PREVIOUS'!$B$2:$B$15000,"Imp DAP",'WH+RT PREVIOUS'!$S$2:$S$15000,"Hasya Badhan Makhal")</f>
        <v>0.15</v>
      </c>
      <c r="K12" s="1">
        <f>F12+G12+H12+I12+J12</f>
        <v>95.132000000000019</v>
      </c>
      <c r="L12" s="1">
        <f>SUMIFS('WH+RT CURRENT'!$M$2:$M$15000,'WH+RT CURRENT'!$B$2:$B$15000,"N.C.Urea(45kg)",'WH+RT CURRENT'!$S$2:$S$15000,"Hasya Badhan Makhal")</f>
        <v>62.998000000000012</v>
      </c>
      <c r="M12" s="1">
        <f>SUMIFS('WH+RT CURRENT'!$M$2:$M$15000,'WH+RT CURRENT'!$B$2:$B$15000,"15-15-15",'WH+RT CURRENT'!$S$2:$S$15000,"Hasya Badhan Makhal")</f>
        <v>20.183999999999997</v>
      </c>
      <c r="N12" s="1">
        <f>SUMIFS('WH+RT CURRENT'!$M$2:$M$15000,'WH+RT CURRENT'!$B$2:$B$15000,"Imp 10-26-26",'WH+RT CURRENT'!$S$2:$S$15000,"Hasya Badhan Makhal")</f>
        <v>4.7</v>
      </c>
      <c r="O12" s="1">
        <f>SUMIFS('WH+RT CURRENT'!$M$2:$M$15000,'WH+RT CURRENT'!$B$2:$B$15000,"MOP",'WH+RT CURRENT'!$S$2:$S$15000,"Hasya Badhan Makhal")</f>
        <v>11.600000000000001</v>
      </c>
      <c r="P12" s="1">
        <f>SUMIFS('WH+RT CURRENT'!$M$2:$M$15000,'WH+RT CURRENT'!$B$2:$B$15000,"Imp DAP",'WH+RT CURRENT'!$S$2:$S$15000,"Hasya Badhan Makhal")</f>
        <v>0.15</v>
      </c>
      <c r="Q12" s="1">
        <f>L12+M12+N12+O12+P12</f>
        <v>99.632000000000033</v>
      </c>
    </row>
    <row r="15" spans="5:19" x14ac:dyDescent="0.25">
      <c r="E15" s="12" t="s">
        <v>277</v>
      </c>
      <c r="F15" s="12"/>
      <c r="G15" s="12"/>
      <c r="H15" s="12"/>
      <c r="I15" s="12"/>
      <c r="J15" s="12"/>
      <c r="K15" s="12"/>
      <c r="L15" s="12"/>
      <c r="M15" s="12"/>
      <c r="N15" s="12"/>
      <c r="O15" s="12"/>
      <c r="P15" s="12"/>
      <c r="Q15" s="12"/>
    </row>
    <row r="16" spans="5:19" x14ac:dyDescent="0.25">
      <c r="E16" s="13"/>
      <c r="F16" s="15" t="s">
        <v>8130</v>
      </c>
      <c r="G16" s="15"/>
      <c r="H16" s="15"/>
      <c r="I16" s="15"/>
      <c r="J16" s="15"/>
      <c r="K16" s="15"/>
      <c r="L16" s="15" t="s">
        <v>8131</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PREVIOUS'!$S$2:$S$15000,"Kirtibas Kapat (A.S.C.)",'WH+RT PREVIOUS'!$N$2:$N$15000,"&gt;179",'WH+RT PREVIOUS'!$N$2:$N$15000,"&lt;366")</f>
        <v>8.6359999999999992</v>
      </c>
      <c r="G18" s="1">
        <f>SUMIFS('WH+RT PREVIOUS'!$M$2:$M$15000,'WH+RT PREVIOUS'!$B$2:$B$15000,"15-15-15",'WH+RT PREVIOUS'!$S$2:$S$15000,"Kirtibas Kapat (A.S.C.)",'WH+RT PREVIOUS'!$N$2:$N$15000,"&gt;179",'WH+RT PREVIOUS'!$N$2:$N$15000,"&lt;366")</f>
        <v>0.52</v>
      </c>
      <c r="H18" s="1">
        <f>SUMIFS('WH+RT PREVIOUS'!$M$2:$M$15000,'WH+RT PREVIOUS'!$B$2:$B$15000,"Imp 10-26-26",'WH+RT PREVIOUS'!$S$2:$S$15000,"Kirtibas Kapat (A.S.C.)",'WH+RT PREVIOUS'!$N$2:$N$15000,"&gt;179",'WH+RT PREVIOUS'!$N$2:$N$15000,"&lt;366")</f>
        <v>0</v>
      </c>
      <c r="I18" s="1">
        <f>SUMIFS('WH+RT PREVIOUS'!$M$2:$M$15000,'WH+RT PREVIOUS'!$B$2:$B$15000,"MOP",'WH+RT PREVIOUS'!$S$2:$S$15000,"Kirtibas Kapat (A.S.C.)",'WH+RT PREVIOUS'!$N$2:$N$15000,"&gt;179",'WH+RT PREVIOUS'!$N$2:$N$15000,"&lt;366")</f>
        <v>0.25</v>
      </c>
      <c r="J18" s="1">
        <f>SUMIFS('WH+RT PREVIOUS'!$M$2:$M$15000,'WH+RT PREVIOUS'!$B$2:$B$15000,"Imp DAP",'WH+RT PREVIOUS'!$S$2:$S$15000,"Kirtibas Kapat (A.S.C.)",'WH+RT PREVIOUS'!$N$2:$N$15000,"&gt;179",'WH+RT PREVIOUS'!$N$2:$N$15000,"&lt;366")</f>
        <v>0</v>
      </c>
      <c r="K18" s="1">
        <f>F18+G18+H18+I18+J18</f>
        <v>9.4059999999999988</v>
      </c>
      <c r="L18" s="1">
        <f>SUMIFS('WH+RT CURRENT'!$M$2:$M$15000,'WH+RT CURRENT'!$B$2:$B$15000,"N.C.Urea(45kg)",'WH+RT CURRENT'!$S$2:$S$15000,"Kirtibas Kapat (A.S.C.)",'WH+RT CURRENT'!$N$2:$N$15000,"&gt;179",'WH+RT CURRENT'!$N$2:$N$15000,"&lt;366")</f>
        <v>8.636000000000001</v>
      </c>
      <c r="M18" s="1">
        <f>SUMIFS('WH+RT CURRENT'!$M$2:$M$15000,'WH+RT CURRENT'!$B$2:$B$15000,"15-15-15",'WH+RT CURRENT'!$S$2:$S$15000,"Kirtibas Kapat (A.S.C.)",'WH+RT CURRENT'!$N$2:$N$15000,"&gt;179",'WH+RT CURRENT'!$N$2:$N$15000,"&lt;366")</f>
        <v>0.52</v>
      </c>
      <c r="N18" s="1">
        <f>SUMIFS('WH+RT CURRENT'!$M$2:$M$15000,'WH+RT CURRENT'!$B$2:$B$15000,"Imp 10-26-26",'WH+RT CURRENT'!$S$2:$S$15000,"Kirtibas Kapat (A.S.C.)",'WH+RT CURRENT'!$N$2:$N$15000,"&gt;179",'WH+RT CURRENT'!$N$2:$N$15000,"&lt;366")</f>
        <v>0</v>
      </c>
      <c r="O18" s="1">
        <f>SUMIFS('WH+RT CURRENT'!$M$2:$M$15000,'WH+RT CURRENT'!$B$2:$B$15000,"MOP",'WH+RT CURRENT'!$S$2:$S$15000,"Kirtibas Kapat (A.S.C.)",'WH+RT CURRENT'!$N$2:$N$15000,"&gt;179",'WH+RT CURRENT'!$N$2:$N$15000,"&lt;366")</f>
        <v>0.25</v>
      </c>
      <c r="P18" s="1">
        <f>SUMIFS('WH+RT CURRENT'!$M$2:$M$15000,'WH+RT CURRENT'!$B$2:$B$15000,"Imp DAP",'WH+RT CURRENT'!$S$2:$S$15000,"Kirtibas Kapat (A.S.C.)",'WH+RT CURRENT'!$N$2:$N$15000,"&gt;179",'WH+RT CURRENT'!$N$2:$N$15000,"&lt;366")</f>
        <v>0</v>
      </c>
      <c r="Q18" s="1">
        <f>L18+M18+N18+O18+P18</f>
        <v>9.4060000000000006</v>
      </c>
    </row>
    <row r="19" spans="5:17" x14ac:dyDescent="0.25">
      <c r="E19" s="2" t="s">
        <v>6</v>
      </c>
      <c r="F19" s="1">
        <f>SUMIFS('WH+RT PREVIOUS'!$M$2:$M$15000,'WH+RT PREVIOUS'!$B$2:$B$15000,"N.C.Urea(45kg)",'WH+RT PREVIOUS'!$S$2:$S$15000,"Kirtibas Kapat (A.S.C.)",'WH+RT PREVIOUS'!$N$2:$N$15000,"&gt;365")</f>
        <v>8.92</v>
      </c>
      <c r="G19" s="1">
        <f>SUMIFS('WH+RT PREVIOUS'!$M$2:$M$15000,'WH+RT PREVIOUS'!$B$2:$B$15000,"15-15-15",'WH+RT PREVIOUS'!$S$2:$S$15000,"Kirtibas Kapat (A.S.C.)",'WH+RT PREVIOUS'!$N$2:$N$15000,"&gt;365")</f>
        <v>4.4639999999999995</v>
      </c>
      <c r="H19" s="1">
        <f>SUMIFS('WH+RT PREVIOUS'!$M$2:$M$15000,'WH+RT PREVIOUS'!$B$2:$B$15000,"Imp 10-26-26",'WH+RT PREVIOUS'!$S$2:$S$15000,"Kirtibas Kapat (A.S.C.)",'WH+RT PREVIOUS'!$N$2:$N$15000,"&gt;365")</f>
        <v>0</v>
      </c>
      <c r="I19" s="1">
        <f>SUMIFS('WH+RT PREVIOUS'!$M$2:$M$15000,'WH+RT PREVIOUS'!$B$2:$B$15000,"MOP",'WH+RT PREVIOUS'!$S$2:$S$15000,"Kirtibas Kapat (A.S.C.)",'WH+RT PREVIOUS'!$N$2:$N$15000,"&gt;365")</f>
        <v>1</v>
      </c>
      <c r="J19" s="1">
        <f>SUMIFS('WH+RT PREVIOUS'!$M$2:$M$15000,'WH+RT PREVIOUS'!$B$2:$B$15000,"Imp DAP",'WH+RT PREVIOUS'!$S$2:$S$15000,"Kirtibas Kapat (A.S.C.)",'WH+RT PREVIOUS'!$N$2:$N$15000,"&gt;365")</f>
        <v>0</v>
      </c>
      <c r="K19" s="1">
        <f>F19+G19+H19+I19+J19</f>
        <v>14.384</v>
      </c>
      <c r="L19" s="1">
        <f>SUMIFS('WH+RT CURRENT'!$M$2:$M$15000,'WH+RT CURRENT'!$B$2:$B$15000,"N.C.Urea(45kg)",'WH+RT CURRENT'!$S$2:$S$15000,"Kirtibas Kapat (A.S.C.)",'WH+RT CURRENT'!$N$2:$N$15000,"&gt;365")</f>
        <v>8.92</v>
      </c>
      <c r="M19" s="1">
        <f>SUMIFS('WH+RT CURRENT'!$M$2:$M$15000,'WH+RT CURRENT'!$B$2:$B$15000,"15-15-15",'WH+RT CURRENT'!$S$2:$S$15000,"Kirtibas Kapat (A.S.C.)",'WH+RT CURRENT'!$N$2:$N$15000,"&gt;365")</f>
        <v>4.4639999999999995</v>
      </c>
      <c r="N19" s="1">
        <f>SUMIFS('WH+RT CURRENT'!$M$2:$M$15000,'WH+RT CURRENT'!$B$2:$B$15000,"Imp 10-26-26",'WH+RT CURRENT'!$S$2:$S$15000,"Kirtibas Kapat (A.S.C.)",'WH+RT CURRENT'!$N$2:$N$15000,"&gt;365")</f>
        <v>0</v>
      </c>
      <c r="O19" s="1">
        <f>SUMIFS('WH+RT CURRENT'!$M$2:$M$15000,'WH+RT CURRENT'!$B$2:$B$15000,"MOP",'WH+RT CURRENT'!$S$2:$S$15000,"Kirtibas Kapat (A.S.C.)",'WH+RT CURRENT'!$N$2:$N$15000,"&gt;365")</f>
        <v>1</v>
      </c>
      <c r="P19" s="1">
        <f>SUMIFS('WH+RT CURRENT'!$M$2:$M$15000,'WH+RT CURRENT'!$B$2:$B$15000,"Imp DAP",'WH+RT CURRENT'!$S$2:$S$15000,"Kirtibas Kapat (A.S.C.)",'WH+RT CURRENT'!$N$2:$N$15000,"&gt;365")</f>
        <v>0</v>
      </c>
      <c r="Q19" s="1">
        <f>L19+M19+N19+O19+P19</f>
        <v>14.384</v>
      </c>
    </row>
    <row r="20" spans="5:17" x14ac:dyDescent="0.25">
      <c r="E20" s="2" t="s">
        <v>7</v>
      </c>
      <c r="F20" s="1">
        <f>F18+F19</f>
        <v>17.555999999999997</v>
      </c>
      <c r="G20" s="1">
        <f>G18+G19</f>
        <v>4.984</v>
      </c>
      <c r="H20" s="1">
        <f>H18+H19</f>
        <v>0</v>
      </c>
      <c r="I20" s="1">
        <f>I18+I19</f>
        <v>1.25</v>
      </c>
      <c r="J20" s="1">
        <f>J18+J19</f>
        <v>0</v>
      </c>
      <c r="K20" s="1">
        <f>F20+G20+H20+I20+J20</f>
        <v>23.79</v>
      </c>
      <c r="L20" s="1">
        <f>L18+L19</f>
        <v>17.556000000000001</v>
      </c>
      <c r="M20" s="1">
        <f>M18+M19</f>
        <v>4.984</v>
      </c>
      <c r="N20" s="1">
        <f>N18+N19</f>
        <v>0</v>
      </c>
      <c r="O20" s="1">
        <f>O18+O19</f>
        <v>1.25</v>
      </c>
      <c r="P20" s="1">
        <f>P18+P19</f>
        <v>0</v>
      </c>
      <c r="Q20" s="1">
        <f>L20+M20+N20+O20+P20</f>
        <v>23.79</v>
      </c>
    </row>
    <row r="21" spans="5:17" x14ac:dyDescent="0.25">
      <c r="E21" s="2" t="s">
        <v>9</v>
      </c>
      <c r="F21" s="1">
        <f>SUMIFS('WH+RT PREVIOUS'!$M$2:$M$15000,'WH+RT PREVIOUS'!$B$2:$B$15000,"N.C.Urea(45kg)",'WH+RT PREVIOUS'!$S$2:$S$15000,"Kirtibas Kapat (A.S.C.)")</f>
        <v>116.33100000000003</v>
      </c>
      <c r="G21" s="1">
        <f>SUMIFS('WH+RT PREVIOUS'!$M$2:$M$15000,'WH+RT PREVIOUS'!$B$2:$B$15000,"15-15-15",'WH+RT PREVIOUS'!$S$2:$S$15000,"Kirtibas Kapat (A.S.C.)")</f>
        <v>40.529000000000011</v>
      </c>
      <c r="H21" s="1">
        <f>SUMIFS('WH+RT PREVIOUS'!$M$2:$M$15000,'WH+RT PREVIOUS'!$B$2:$B$15000,"Imp 10-26-26",'WH+RT PREVIOUS'!$S$2:$S$15000,"Kirtibas Kapat (A.S.C.)")</f>
        <v>13.18</v>
      </c>
      <c r="I21" s="1">
        <f>SUMIFS('WH+RT PREVIOUS'!$M$2:$M$15000,'WH+RT PREVIOUS'!$B$2:$B$15000,"MOP",'WH+RT PREVIOUS'!$S$2:$S$15000,"Kirtibas Kapat (A.S.C.)")</f>
        <v>15</v>
      </c>
      <c r="J21" s="1">
        <f>SUMIFS('WH+RT PREVIOUS'!$M$2:$M$15000,'WH+RT PREVIOUS'!$B$2:$B$15000,"Imp DAP",'WH+RT PREVIOUS'!$S$2:$S$15000,"Kirtibas Kapat (A.S.C.)")</f>
        <v>0</v>
      </c>
      <c r="K21" s="1">
        <f>F21+G21+H21+I21+J21</f>
        <v>185.04000000000005</v>
      </c>
      <c r="L21" s="1">
        <f>SUMIFS('WH+RT CURRENT'!$M$2:$M$15000,'WH+RT CURRENT'!$B$2:$B$15000,"N.C.Urea(45kg)",'WH+RT CURRENT'!$S$2:$S$15000,"Kirtibas Kapat (A.S.C.)")</f>
        <v>113.58600000000004</v>
      </c>
      <c r="M21" s="1">
        <f>SUMIFS('WH+RT CURRENT'!$M$2:$M$15000,'WH+RT CURRENT'!$B$2:$B$15000,"15-15-15",'WH+RT CURRENT'!$S$2:$S$15000,"Kirtibas Kapat (A.S.C.)")</f>
        <v>48.629000000000005</v>
      </c>
      <c r="N21" s="1">
        <f>SUMIFS('WH+RT CURRENT'!$M$2:$M$15000,'WH+RT CURRENT'!$B$2:$B$15000,"Imp 10-26-26",'WH+RT CURRENT'!$S$2:$S$15000,"Kirtibas Kapat (A.S.C.)")</f>
        <v>17.48</v>
      </c>
      <c r="O21" s="1">
        <f>SUMIFS('WH+RT CURRENT'!$M$2:$M$15000,'WH+RT CURRENT'!$B$2:$B$15000,"MOP",'WH+RT CURRENT'!$S$2:$S$15000,"Kirtibas Kapat (A.S.C.)")</f>
        <v>12.9</v>
      </c>
      <c r="P21" s="1">
        <f>SUMIFS('WH+RT CURRENT'!$M$2:$M$15000,'WH+RT CURRENT'!$B$2:$B$15000,"Imp DAP",'WH+RT CURRENT'!$S$2:$S$15000,"Kirtibas Kapat (A.S.C.)")</f>
        <v>0</v>
      </c>
      <c r="Q21" s="1">
        <f>L21+M21+N21+O21+P21</f>
        <v>192.59500000000003</v>
      </c>
    </row>
    <row r="24" spans="5:17" x14ac:dyDescent="0.25">
      <c r="E24" s="12" t="s">
        <v>257</v>
      </c>
      <c r="F24" s="12"/>
      <c r="G24" s="12"/>
      <c r="H24" s="12"/>
      <c r="I24" s="12"/>
      <c r="J24" s="12"/>
      <c r="K24" s="12"/>
      <c r="L24" s="12"/>
      <c r="M24" s="12"/>
      <c r="N24" s="12"/>
      <c r="O24" s="12"/>
      <c r="P24" s="12"/>
      <c r="Q24" s="12"/>
    </row>
    <row r="25" spans="5:17" x14ac:dyDescent="0.25">
      <c r="E25" s="13"/>
      <c r="F25" s="15" t="s">
        <v>8130</v>
      </c>
      <c r="G25" s="15"/>
      <c r="H25" s="15"/>
      <c r="I25" s="15"/>
      <c r="J25" s="15"/>
      <c r="K25" s="15"/>
      <c r="L25" s="15" t="s">
        <v>8131</v>
      </c>
      <c r="M25" s="15"/>
      <c r="N25" s="15"/>
      <c r="O25" s="15"/>
      <c r="P25" s="15"/>
      <c r="Q25" s="15"/>
    </row>
    <row r="26" spans="5:17" x14ac:dyDescent="0.25">
      <c r="E26" s="14"/>
      <c r="F26" s="2" t="s">
        <v>0</v>
      </c>
      <c r="G26" s="2" t="s">
        <v>1</v>
      </c>
      <c r="H26" s="2" t="s">
        <v>2</v>
      </c>
      <c r="I26" s="2" t="s">
        <v>3</v>
      </c>
      <c r="J26" s="2" t="s">
        <v>8128</v>
      </c>
      <c r="K26" s="2" t="s">
        <v>4</v>
      </c>
      <c r="L26" s="2" t="s">
        <v>0</v>
      </c>
      <c r="M26" s="2" t="s">
        <v>1</v>
      </c>
      <c r="N26" s="2" t="s">
        <v>2</v>
      </c>
      <c r="O26" s="2" t="s">
        <v>3</v>
      </c>
      <c r="P26" s="2" t="s">
        <v>8128</v>
      </c>
      <c r="Q26" s="2" t="s">
        <v>4</v>
      </c>
    </row>
    <row r="27" spans="5:17" x14ac:dyDescent="0.25">
      <c r="E27" s="2" t="s">
        <v>5</v>
      </c>
      <c r="F27" s="1">
        <f>SUMIFS('WH+RT PREVIOUS'!$M$2:$M$15000,'WH+RT PREVIOUS'!$B$2:$B$15000,"N.C.Urea(45kg)",'WH+RT PREVIOUS'!$S$2:$S$15000,"M/S TAPAN KUMAR KARMAKAR",'WH+RT PREVIOUS'!$N$2:$N$15000,"&gt;179",'WH+RT PREVIOUS'!$N$2:$N$15000,"&lt;366")</f>
        <v>16.829999999999998</v>
      </c>
      <c r="G27" s="1">
        <f>SUMIFS('WH+RT PREVIOUS'!$M$2:$M$15000,'WH+RT PREVIOUS'!$B$2:$B$15000,"15-15-15",'WH+RT PREVIOUS'!$S$2:$S$15000,"M/S TAPAN KUMAR KARMAKAR",'WH+RT PREVIOUS'!$N$2:$N$15000,"&gt;179",'WH+RT PREVIOUS'!$N$2:$N$15000,"&lt;366")</f>
        <v>12.923</v>
      </c>
      <c r="H27" s="1">
        <f>SUMIFS('WH+RT PREVIOUS'!$M$2:$M$15000,'WH+RT PREVIOUS'!$B$2:$B$15000,"Imp 10-26-26",'WH+RT PREVIOUS'!$S$2:$S$15000,"M/S TAPAN KUMAR KARMAKAR",'WH+RT PREVIOUS'!$N$2:$N$15000,"&gt;179",'WH+RT PREVIOUS'!$N$2:$N$15000,"&lt;366")</f>
        <v>0</v>
      </c>
      <c r="I27" s="1">
        <f>SUMIFS('WH+RT PREVIOUS'!$M$2:$M$15000,'WH+RT PREVIOUS'!$B$2:$B$15000,"MOP",'WH+RT PREVIOUS'!$S$2:$S$15000,"M/S TAPAN KUMAR KARMAKAR",'WH+RT PREVIOUS'!$N$2:$N$15000,"&gt;179",'WH+RT PREVIOUS'!$N$2:$N$15000,"&lt;366")</f>
        <v>0</v>
      </c>
      <c r="J27" s="1">
        <f>SUMIFS('WH+RT PREVIOUS'!$M$2:$M$15000,'WH+RT PREVIOUS'!$B$2:$B$15000,"Imp DAP",'WH+RT PREVIOUS'!$S$2:$S$15000,"M/S TAPAN KUMAR KARMAKAR",'WH+RT PREVIOUS'!$N$2:$N$15000,"&gt;179",'WH+RT PREVIOUS'!$N$2:$N$15000,"&lt;366")</f>
        <v>0</v>
      </c>
      <c r="K27" s="1">
        <f>F27+G27+H27+I27+J27</f>
        <v>29.753</v>
      </c>
      <c r="L27" s="1">
        <f>SUMIFS('WH+RT CURRENT'!$M$2:$M$15000,'WH+RT CURRENT'!$B$2:$B$15000,"N.C.Urea(45kg)",'WH+RT CURRENT'!$S$2:$S$15000,"M/S TAPAN KUMAR KARMAKAR",'WH+RT CURRENT'!$N$2:$N$15000,"&gt;179",'WH+RT CURRENT'!$N$2:$N$15000,"&lt;366")</f>
        <v>16.695</v>
      </c>
      <c r="M27" s="1">
        <f>SUMIFS('WH+RT CURRENT'!$M$2:$M$15000,'WH+RT CURRENT'!$B$2:$B$15000,"15-15-15",'WH+RT CURRENT'!$S$2:$S$15000,"M/S TAPAN KUMAR KARMAKAR",'WH+RT CURRENT'!$N$2:$N$15000,"&gt;179",'WH+RT CURRENT'!$N$2:$N$15000,"&lt;366")</f>
        <v>12.423</v>
      </c>
      <c r="N27" s="1">
        <f>SUMIFS('WH+RT CURRENT'!$M$2:$M$15000,'WH+RT CURRENT'!$B$2:$B$15000,"Imp 10-26-26",'WH+RT CURRENT'!$S$2:$S$15000,"M/S TAPAN KUMAR KARMAKAR",'WH+RT CURRENT'!$N$2:$N$15000,"&gt;179",'WH+RT CURRENT'!$N$2:$N$15000,"&lt;366")</f>
        <v>0</v>
      </c>
      <c r="O27" s="1">
        <f>SUMIFS('WH+RT CURRENT'!$M$2:$M$15000,'WH+RT CURRENT'!$B$2:$B$15000,"MOP",'WH+RT CURRENT'!$S$2:$S$15000,"M/S TAPAN KUMAR KARMAKAR",'WH+RT CURRENT'!$N$2:$N$15000,"&gt;179",'WH+RT CURRENT'!$N$2:$N$15000,"&lt;366")</f>
        <v>0</v>
      </c>
      <c r="P27" s="1">
        <f>SUMIFS('WH+RT CURRENT'!$M$2:$M$15000,'WH+RT CURRENT'!$B$2:$B$15000,"Imp DAP",'WH+RT CURRENT'!$S$2:$S$15000,"M/S TAPAN KUMAR KARMAKAR",'WH+RT CURRENT'!$N$2:$N$15000,"&gt;179",'WH+RT CURRENT'!$N$2:$N$15000,"&lt;366")</f>
        <v>0</v>
      </c>
      <c r="Q27" s="1">
        <f>L27+M27+N27+O27+P27</f>
        <v>29.118000000000002</v>
      </c>
    </row>
    <row r="28" spans="5:17" x14ac:dyDescent="0.25">
      <c r="E28" s="2" t="s">
        <v>6</v>
      </c>
      <c r="F28" s="1">
        <f>SUMIFS('WH+RT PREVIOUS'!$M$2:$M$15000,'WH+RT PREVIOUS'!$B$2:$B$15000,"N.C.Urea(45kg)",'WH+RT PREVIOUS'!$S$2:$S$15000,"M/S TAPAN KUMAR KARMAKAR",'WH+RT PREVIOUS'!$N$2:$N$15000,"&gt;365")</f>
        <v>6.7949999999999999</v>
      </c>
      <c r="G28" s="1">
        <f>SUMIFS('WH+RT PREVIOUS'!$M$2:$M$15000,'WH+RT PREVIOUS'!$B$2:$B$15000,"15-15-15",'WH+RT PREVIOUS'!$S$2:$S$15000,"M/S TAPAN KUMAR KARMAKAR",'WH+RT PREVIOUS'!$N$2:$N$15000,"&gt;365")</f>
        <v>1</v>
      </c>
      <c r="H28" s="1">
        <f>SUMIFS('WH+RT PREVIOUS'!$M$2:$M$15000,'WH+RT PREVIOUS'!$B$2:$B$15000,"Imp 10-26-26",'WH+RT PREVIOUS'!$S$2:$S$15000,"M/S TAPAN KUMAR KARMAKAR",'WH+RT PREVIOUS'!$N$2:$N$15000,"&gt;365")</f>
        <v>0</v>
      </c>
      <c r="I28" s="1">
        <f>SUMIFS('WH+RT PREVIOUS'!$M$2:$M$15000,'WH+RT PREVIOUS'!$B$2:$B$15000,"MOP",'WH+RT PREVIOUS'!$S$2:$S$15000,"M/S TAPAN KUMAR KARMAKAR",'WH+RT PREVIOUS'!$N$2:$N$15000,"&gt;365")</f>
        <v>0</v>
      </c>
      <c r="J28" s="1">
        <f>SUMIFS('WH+RT PREVIOUS'!$M$2:$M$15000,'WH+RT PREVIOUS'!$B$2:$B$15000,"Imp DAP",'WH+RT PREVIOUS'!$S$2:$S$15000,"M/S TAPAN KUMAR KARMAKAR",'WH+RT PREVIOUS'!$N$2:$N$15000,"&gt;365")</f>
        <v>0</v>
      </c>
      <c r="K28" s="1">
        <f>F28+G28+H28+I28+J28</f>
        <v>7.7949999999999999</v>
      </c>
      <c r="L28" s="1">
        <f>SUMIFS('WH+RT CURRENT'!$M$2:$M$15000,'WH+RT CURRENT'!$B$2:$B$15000,"N.C.Urea(45kg)",'WH+RT CURRENT'!$S$2:$S$15000,"M/S TAPAN KUMAR KARMAKAR",'WH+RT CURRENT'!$N$2:$N$15000,"&gt;365")</f>
        <v>6.7949999999999999</v>
      </c>
      <c r="M28" s="1">
        <f>SUMIFS('WH+RT CURRENT'!$M$2:$M$15000,'WH+RT CURRENT'!$B$2:$B$15000,"15-15-15",'WH+RT CURRENT'!$S$2:$S$15000,"M/S TAPAN KUMAR KARMAKAR",'WH+RT CURRENT'!$N$2:$N$15000,"&gt;365")</f>
        <v>1</v>
      </c>
      <c r="N28" s="1">
        <f>SUMIFS('WH+RT CURRENT'!$M$2:$M$15000,'WH+RT CURRENT'!$B$2:$B$15000,"Imp 10-26-26",'WH+RT CURRENT'!$S$2:$S$15000,"M/S TAPAN KUMAR KARMAKAR",'WH+RT CURRENT'!$N$2:$N$15000,"&gt;365")</f>
        <v>0</v>
      </c>
      <c r="O28" s="1">
        <f>SUMIFS('WH+RT CURRENT'!$M$2:$M$15000,'WH+RT CURRENT'!$B$2:$B$15000,"MOP",'WH+RT CURRENT'!$S$2:$S$15000,"M/S TAPAN KUMAR KARMAKAR",'WH+RT CURRENT'!$N$2:$N$15000,"&gt;365")</f>
        <v>0</v>
      </c>
      <c r="P28" s="1">
        <f>SUMIFS('WH+RT CURRENT'!$M$2:$M$15000,'WH+RT CURRENT'!$B$2:$B$15000,"Imp DAP",'WH+RT CURRENT'!$S$2:$S$15000,"M/S TAPAN KUMAR KARMAKAR",'WH+RT CURRENT'!$N$2:$N$15000,"&gt;365")</f>
        <v>0</v>
      </c>
      <c r="Q28" s="1">
        <f>L28+M28+N28+O28+P28</f>
        <v>7.7949999999999999</v>
      </c>
    </row>
    <row r="29" spans="5:17" x14ac:dyDescent="0.25">
      <c r="E29" s="2" t="s">
        <v>7</v>
      </c>
      <c r="F29" s="1">
        <f>F27+F28</f>
        <v>23.625</v>
      </c>
      <c r="G29" s="1">
        <f>G27+G28</f>
        <v>13.923</v>
      </c>
      <c r="H29" s="1">
        <f>H27+H28</f>
        <v>0</v>
      </c>
      <c r="I29" s="1">
        <f>I27+I28</f>
        <v>0</v>
      </c>
      <c r="J29" s="1">
        <f>J27+J28</f>
        <v>0</v>
      </c>
      <c r="K29" s="1">
        <f>F29+G29+H29+I29+J29</f>
        <v>37.548000000000002</v>
      </c>
      <c r="L29" s="1">
        <f>L27+L28</f>
        <v>23.490000000000002</v>
      </c>
      <c r="M29" s="1">
        <f>M27+M28</f>
        <v>13.423</v>
      </c>
      <c r="N29" s="1">
        <f>N27+N28</f>
        <v>0</v>
      </c>
      <c r="O29" s="1">
        <f>O27+O28</f>
        <v>0</v>
      </c>
      <c r="P29" s="1">
        <f>P27+P28</f>
        <v>0</v>
      </c>
      <c r="Q29" s="1">
        <f>L29+M29+N29+O29+P29</f>
        <v>36.913000000000004</v>
      </c>
    </row>
    <row r="30" spans="5:17" x14ac:dyDescent="0.25">
      <c r="E30" s="2" t="s">
        <v>9</v>
      </c>
      <c r="F30" s="1">
        <f>SUMIFS('WH+RT PREVIOUS'!$M$2:$M$15000,'WH+RT PREVIOUS'!$B$2:$B$15000,"N.C.Urea(45kg)",'WH+RT PREVIOUS'!$S$2:$S$15000,"M/S TAPAN KUMAR KARMAKAR")</f>
        <v>50.984999999999999</v>
      </c>
      <c r="G30" s="1">
        <f>SUMIFS('WH+RT PREVIOUS'!$M$2:$M$15000,'WH+RT PREVIOUS'!$B$2:$B$15000,"15-15-15",'WH+RT PREVIOUS'!$S$2:$S$15000,"M/S TAPAN KUMAR KARMAKAR")</f>
        <v>48.621000000000002</v>
      </c>
      <c r="H30" s="1">
        <f>SUMIFS('WH+RT PREVIOUS'!$M$2:$M$15000,'WH+RT PREVIOUS'!$B$2:$B$15000,"Imp 10-26-26",'WH+RT PREVIOUS'!$S$2:$S$15000,"M/S TAPAN KUMAR KARMAKAR")</f>
        <v>0</v>
      </c>
      <c r="I30" s="1">
        <f>SUMIFS('WH+RT PREVIOUS'!$M$2:$M$15000,'WH+RT PREVIOUS'!$B$2:$B$15000,"MOP",'WH+RT PREVIOUS'!$S$2:$S$15000,"M/S TAPAN KUMAR KARMAKAR")</f>
        <v>38.149999999999991</v>
      </c>
      <c r="J30" s="1">
        <f>SUMIFS('WH+RT PREVIOUS'!$M$2:$M$15000,'WH+RT PREVIOUS'!$B$2:$B$15000,"Imp DAP",'WH+RT PREVIOUS'!$S$2:$S$15000,"M/S TAPAN KUMAR KARMAKAR")</f>
        <v>0</v>
      </c>
      <c r="K30" s="1">
        <f>F30+G30+H30+I30+J30</f>
        <v>137.75599999999997</v>
      </c>
      <c r="L30" s="1">
        <f>SUMIFS('WH+RT CURRENT'!$M$2:$M$15000,'WH+RT CURRENT'!$B$2:$B$15000,"N.C.Urea(45kg)",'WH+RT CURRENT'!$S$2:$S$15000,"M/S TAPAN KUMAR KARMAKAR")</f>
        <v>49.230000000000011</v>
      </c>
      <c r="M30" s="1">
        <f>SUMIFS('WH+RT CURRENT'!$M$2:$M$15000,'WH+RT CURRENT'!$B$2:$B$15000,"15-15-15",'WH+RT CURRENT'!$S$2:$S$15000,"M/S TAPAN KUMAR KARMAKAR")</f>
        <v>47.621000000000009</v>
      </c>
      <c r="N30" s="1">
        <f>SUMIFS('WH+RT CURRENT'!$M$2:$M$15000,'WH+RT CURRENT'!$B$2:$B$15000,"Imp 10-26-26",'WH+RT CURRENT'!$S$2:$S$15000,"M/S TAPAN KUMAR KARMAKAR")</f>
        <v>0</v>
      </c>
      <c r="O30" s="1">
        <f>SUMIFS('WH+RT CURRENT'!$M$2:$M$15000,'WH+RT CURRENT'!$B$2:$B$15000,"MOP",'WH+RT CURRENT'!$S$2:$S$15000,"M/S TAPAN KUMAR KARMAKAR")</f>
        <v>34.65</v>
      </c>
      <c r="P30" s="1">
        <f>SUMIFS('WH+RT CURRENT'!$M$2:$M$15000,'WH+RT CURRENT'!$B$2:$B$15000,"Imp DAP",'WH+RT CURRENT'!$S$2:$S$15000,"M/S TAPAN KUMAR KARMAKAR")</f>
        <v>0</v>
      </c>
      <c r="Q30" s="1">
        <f>L30+M30+N30+O30+P30</f>
        <v>131.50100000000003</v>
      </c>
    </row>
    <row r="33" spans="5:17" x14ac:dyDescent="0.25">
      <c r="E33" s="12" t="s">
        <v>242</v>
      </c>
      <c r="F33" s="12"/>
      <c r="G33" s="12"/>
      <c r="H33" s="12"/>
      <c r="I33" s="12"/>
      <c r="J33" s="12"/>
      <c r="K33" s="12"/>
      <c r="L33" s="12"/>
      <c r="M33" s="12"/>
      <c r="N33" s="12"/>
      <c r="O33" s="12"/>
      <c r="P33" s="12"/>
      <c r="Q33" s="12"/>
    </row>
    <row r="34" spans="5:17" x14ac:dyDescent="0.25">
      <c r="E34" s="13"/>
      <c r="F34" s="15" t="s">
        <v>8130</v>
      </c>
      <c r="G34" s="15"/>
      <c r="H34" s="15"/>
      <c r="I34" s="15"/>
      <c r="J34" s="15"/>
      <c r="K34" s="15"/>
      <c r="L34" s="15" t="s">
        <v>8131</v>
      </c>
      <c r="M34" s="15"/>
      <c r="N34" s="15"/>
      <c r="O34" s="15"/>
      <c r="P34" s="15"/>
      <c r="Q34" s="15"/>
    </row>
    <row r="35" spans="5:17" x14ac:dyDescent="0.25">
      <c r="E35" s="14"/>
      <c r="F35" s="2" t="s">
        <v>0</v>
      </c>
      <c r="G35" s="2" t="s">
        <v>1</v>
      </c>
      <c r="H35" s="2" t="s">
        <v>2</v>
      </c>
      <c r="I35" s="2" t="s">
        <v>3</v>
      </c>
      <c r="J35" s="2" t="s">
        <v>8128</v>
      </c>
      <c r="K35" s="2" t="s">
        <v>4</v>
      </c>
      <c r="L35" s="2" t="s">
        <v>0</v>
      </c>
      <c r="M35" s="2" t="s">
        <v>1</v>
      </c>
      <c r="N35" s="2" t="s">
        <v>2</v>
      </c>
      <c r="O35" s="2" t="s">
        <v>3</v>
      </c>
      <c r="P35" s="2" t="s">
        <v>8128</v>
      </c>
      <c r="Q35" s="2" t="s">
        <v>4</v>
      </c>
    </row>
    <row r="36" spans="5:17" x14ac:dyDescent="0.25">
      <c r="E36" s="2" t="s">
        <v>5</v>
      </c>
      <c r="F36" s="1">
        <f>SUMIFS('WH+RT PREVIOUS'!$M$2:$M$15000,'WH+RT PREVIOUS'!$B$2:$B$15000,"N.C.Urea(45kg)",'WH+RT PREVIOUS'!$S$2:$S$15000,"M/s. Janardan Parui",'WH+RT PREVIOUS'!$N$2:$N$15000,"&gt;179",'WH+RT PREVIOUS'!$N$2:$N$15000,"&lt;366")</f>
        <v>0</v>
      </c>
      <c r="G36" s="1">
        <f>SUMIFS('WH+RT PREVIOUS'!$M$2:$M$15000,'WH+RT PREVIOUS'!$B$2:$B$15000,"15-15-15",'WH+RT PREVIOUS'!$S$2:$S$15000,"M/s. Janardan Parui",'WH+RT PREVIOUS'!$N$2:$N$15000,"&gt;179",'WH+RT PREVIOUS'!$N$2:$N$15000,"&lt;366")</f>
        <v>0.45</v>
      </c>
      <c r="H36" s="1">
        <f>SUMIFS('WH+RT PREVIOUS'!$M$2:$M$15000,'WH+RT PREVIOUS'!$B$2:$B$15000,"Imp 10-26-26",'WH+RT PREVIOUS'!$S$2:$S$15000,"M/s. Janardan Parui",'WH+RT PREVIOUS'!$N$2:$N$15000,"&gt;179",'WH+RT PREVIOUS'!$N$2:$N$15000,"&lt;366")</f>
        <v>0</v>
      </c>
      <c r="I36" s="1">
        <f>SUMIFS('WH+RT PREVIOUS'!$M$2:$M$15000,'WH+RT PREVIOUS'!$B$2:$B$15000,"MOP",'WH+RT PREVIOUS'!$S$2:$S$15000,"M/s. Janardan Parui",'WH+RT PREVIOUS'!$N$2:$N$15000,"&gt;179",'WH+RT PREVIOUS'!$N$2:$N$15000,"&lt;366")</f>
        <v>0</v>
      </c>
      <c r="J36" s="1">
        <f>SUMIFS('WH+RT PREVIOUS'!$M$2:$M$15000,'WH+RT PREVIOUS'!$B$2:$B$15000,"Imp DAP",'WH+RT PREVIOUS'!$S$2:$S$15000,"M/s. Janardan Parui",'WH+RT PREVIOUS'!$N$2:$N$15000,"&gt;179",'WH+RT PREVIOUS'!$N$2:$N$15000,"&lt;366")</f>
        <v>0</v>
      </c>
      <c r="K36" s="1">
        <f>F36+G36+H36+I36+J36</f>
        <v>0.45</v>
      </c>
      <c r="L36" s="1">
        <f>SUMIFS('WH+RT CURRENT'!$M$2:$M$15000,'WH+RT CURRENT'!$B$2:$B$15000,"N.C.Urea(45kg)",'WH+RT CURRENT'!$S$2:$S$15000,"M/s. Janardan Parui",'WH+RT CURRENT'!$N$2:$N$15000,"&gt;179",'WH+RT CURRENT'!$N$2:$N$15000,"&lt;366")</f>
        <v>0</v>
      </c>
      <c r="M36" s="1">
        <f>SUMIFS('WH+RT CURRENT'!$M$2:$M$15000,'WH+RT CURRENT'!$B$2:$B$15000,"15-15-15",'WH+RT CURRENT'!$S$2:$S$15000,"M/s. Janardan Parui",'WH+RT CURRENT'!$N$2:$N$15000,"&gt;179",'WH+RT CURRENT'!$N$2:$N$15000,"&lt;366")</f>
        <v>0.45</v>
      </c>
      <c r="N36" s="1">
        <f>SUMIFS('WH+RT CURRENT'!$M$2:$M$15000,'WH+RT CURRENT'!$B$2:$B$15000,"Imp 10-26-26",'WH+RT CURRENT'!$S$2:$S$15000,"M/s. Janardan Parui",'WH+RT CURRENT'!$N$2:$N$15000,"&gt;179",'WH+RT CURRENT'!$N$2:$N$15000,"&lt;366")</f>
        <v>0</v>
      </c>
      <c r="O36" s="1">
        <f>SUMIFS('WH+RT CURRENT'!$M$2:$M$15000,'WH+RT CURRENT'!$B$2:$B$15000,"MOP",'WH+RT CURRENT'!$S$2:$S$15000,"M/s. Janardan Parui",'WH+RT CURRENT'!$N$2:$N$15000,"&gt;179",'WH+RT CURRENT'!$N$2:$N$15000,"&lt;366")</f>
        <v>0</v>
      </c>
      <c r="P36" s="1">
        <f>SUMIFS('WH+RT CURRENT'!$M$2:$M$15000,'WH+RT CURRENT'!$B$2:$B$15000,"Imp DAP",'WH+RT CURRENT'!$S$2:$S$15000,"M/s. Janardan Parui",'WH+RT CURRENT'!$N$2:$N$15000,"&gt;179",'WH+RT CURRENT'!$N$2:$N$15000,"&lt;366")</f>
        <v>0</v>
      </c>
      <c r="Q36" s="1">
        <f>L36+M36+N36+O36+P36</f>
        <v>0.45</v>
      </c>
    </row>
    <row r="37" spans="5:17" x14ac:dyDescent="0.25">
      <c r="E37" s="2" t="s">
        <v>6</v>
      </c>
      <c r="F37" s="1">
        <f>SUMIFS('WH+RT PREVIOUS'!$M$2:$M$15000,'WH+RT PREVIOUS'!$B$2:$B$15000,"N.C.Urea(45kg)",'WH+RT PREVIOUS'!$S$2:$S$15000,"M/s. Janardan Parui",'WH+RT PREVIOUS'!$N$2:$N$15000,"&gt;365")</f>
        <v>5.093</v>
      </c>
      <c r="G37" s="1">
        <f>SUMIFS('WH+RT PREVIOUS'!$M$2:$M$15000,'WH+RT PREVIOUS'!$B$2:$B$15000,"15-15-15",'WH+RT PREVIOUS'!$S$2:$S$15000,"M/s. Janardan Parui",'WH+RT PREVIOUS'!$N$2:$N$15000,"&gt;365")</f>
        <v>6.9950000000000001</v>
      </c>
      <c r="H37" s="1">
        <f>SUMIFS('WH+RT PREVIOUS'!$M$2:$M$15000,'WH+RT PREVIOUS'!$B$2:$B$15000,"Imp 10-26-26",'WH+RT PREVIOUS'!$S$2:$S$15000,"M/s. Janardan Parui",'WH+RT PREVIOUS'!$N$2:$N$15000,"&gt;365")</f>
        <v>0</v>
      </c>
      <c r="I37" s="1">
        <f>SUMIFS('WH+RT PREVIOUS'!$M$2:$M$15000,'WH+RT PREVIOUS'!$B$2:$B$15000,"MOP",'WH+RT PREVIOUS'!$S$2:$S$15000,"M/s. Janardan Parui",'WH+RT PREVIOUS'!$N$2:$N$15000,"&gt;365")</f>
        <v>10.5</v>
      </c>
      <c r="J37" s="1">
        <f>SUMIFS('WH+RT PREVIOUS'!$M$2:$M$15000,'WH+RT PREVIOUS'!$B$2:$B$15000,"Imp DAP",'WH+RT PREVIOUS'!$S$2:$S$15000,"M/s. Janardan Parui",'WH+RT PREVIOUS'!$N$2:$N$15000,"&gt;365")</f>
        <v>0</v>
      </c>
      <c r="K37" s="1">
        <f>F37+G37+H37+I37+J37</f>
        <v>22.588000000000001</v>
      </c>
      <c r="L37" s="1">
        <f>SUMIFS('WH+RT CURRENT'!$M$2:$M$15000,'WH+RT CURRENT'!$B$2:$B$15000,"N.C.Urea(45kg)",'WH+RT CURRENT'!$S$2:$S$15000,"M/s. Janardan Parui",'WH+RT CURRENT'!$N$2:$N$15000,"&gt;365")</f>
        <v>5.0929999999999991</v>
      </c>
      <c r="M37" s="1">
        <f>SUMIFS('WH+RT CURRENT'!$M$2:$M$15000,'WH+RT CURRENT'!$B$2:$B$15000,"15-15-15",'WH+RT CURRENT'!$S$2:$S$15000,"M/s. Janardan Parui",'WH+RT CURRENT'!$N$2:$N$15000,"&gt;365")</f>
        <v>6.9950000000000001</v>
      </c>
      <c r="N37" s="1">
        <f>SUMIFS('WH+RT CURRENT'!$M$2:$M$15000,'WH+RT CURRENT'!$B$2:$B$15000,"Imp 10-26-26",'WH+RT CURRENT'!$S$2:$S$15000,"M/s. Janardan Parui",'WH+RT CURRENT'!$N$2:$N$15000,"&gt;365")</f>
        <v>0</v>
      </c>
      <c r="O37" s="1">
        <f>SUMIFS('WH+RT CURRENT'!$M$2:$M$15000,'WH+RT CURRENT'!$B$2:$B$15000,"MOP",'WH+RT CURRENT'!$S$2:$S$15000,"M/s. Janardan Parui",'WH+RT CURRENT'!$N$2:$N$15000,"&gt;365")</f>
        <v>10.5</v>
      </c>
      <c r="P37" s="1">
        <f>SUMIFS('WH+RT CURRENT'!$M$2:$M$15000,'WH+RT CURRENT'!$B$2:$B$15000,"Imp DAP",'WH+RT CURRENT'!$S$2:$S$15000,"M/s. Janardan Parui",'WH+RT CURRENT'!$N$2:$N$15000,"&gt;365")</f>
        <v>0</v>
      </c>
      <c r="Q37" s="1">
        <f>L37+M37+N37+O37+P37</f>
        <v>22.588000000000001</v>
      </c>
    </row>
    <row r="38" spans="5:17" x14ac:dyDescent="0.25">
      <c r="E38" s="2" t="s">
        <v>7</v>
      </c>
      <c r="F38" s="1">
        <f>F36+F37</f>
        <v>5.093</v>
      </c>
      <c r="G38" s="1">
        <f>G36+G37</f>
        <v>7.4450000000000003</v>
      </c>
      <c r="H38" s="1">
        <f>H36+H37</f>
        <v>0</v>
      </c>
      <c r="I38" s="1">
        <f>I36+I37</f>
        <v>10.5</v>
      </c>
      <c r="J38" s="1">
        <f>J36+J37</f>
        <v>0</v>
      </c>
      <c r="K38" s="1">
        <f>F38+G38+H38+I38+J38</f>
        <v>23.038</v>
      </c>
      <c r="L38" s="1">
        <f>L36+L37</f>
        <v>5.0929999999999991</v>
      </c>
      <c r="M38" s="1">
        <f>M36+M37</f>
        <v>7.4450000000000003</v>
      </c>
      <c r="N38" s="1">
        <f>N36+N37</f>
        <v>0</v>
      </c>
      <c r="O38" s="1">
        <f>O36+O37</f>
        <v>10.5</v>
      </c>
      <c r="P38" s="1">
        <f>P36+P37</f>
        <v>0</v>
      </c>
      <c r="Q38" s="1">
        <f>L38+M38+N38+O38+P38</f>
        <v>23.038</v>
      </c>
    </row>
    <row r="39" spans="5:17" x14ac:dyDescent="0.25">
      <c r="E39" s="2" t="s">
        <v>9</v>
      </c>
      <c r="F39" s="1">
        <f>SUMIFS('WH+RT PREVIOUS'!$M$2:$M$15000,'WH+RT PREVIOUS'!$B$2:$B$15000,"N.C.Urea(45kg)",'WH+RT PREVIOUS'!$S$2:$S$15000,"M/s. Janardan Parui")</f>
        <v>78.753</v>
      </c>
      <c r="G39" s="1">
        <f>SUMIFS('WH+RT PREVIOUS'!$M$2:$M$15000,'WH+RT PREVIOUS'!$B$2:$B$15000,"15-15-15",'WH+RT PREVIOUS'!$S$2:$S$15000,"M/s. Janardan Parui")</f>
        <v>82.089000000000013</v>
      </c>
      <c r="H39" s="1">
        <f>SUMIFS('WH+RT PREVIOUS'!$M$2:$M$15000,'WH+RT PREVIOUS'!$B$2:$B$15000,"Imp 10-26-26",'WH+RT PREVIOUS'!$S$2:$S$15000,"M/s. Janardan Parui")</f>
        <v>22.85</v>
      </c>
      <c r="I39" s="1">
        <f>SUMIFS('WH+RT PREVIOUS'!$M$2:$M$15000,'WH+RT PREVIOUS'!$B$2:$B$15000,"MOP",'WH+RT PREVIOUS'!$S$2:$S$15000,"M/s. Janardan Parui")</f>
        <v>10.5</v>
      </c>
      <c r="J39" s="1">
        <f>SUMIFS('WH+RT PREVIOUS'!$M$2:$M$15000,'WH+RT PREVIOUS'!$B$2:$B$15000,"Imp DAP",'WH+RT PREVIOUS'!$S$2:$S$15000,"M/s. Janardan Parui")</f>
        <v>0</v>
      </c>
      <c r="K39" s="1">
        <f>F39+G39+H39+I39+J39</f>
        <v>194.19200000000001</v>
      </c>
      <c r="L39" s="1">
        <f>SUMIFS('WH+RT CURRENT'!$M$2:$M$15000,'WH+RT CURRENT'!$B$2:$B$15000,"N.C.Urea(45kg)",'WH+RT CURRENT'!$S$2:$S$15000,"M/s. Janardan Parui")</f>
        <v>75.603000000000009</v>
      </c>
      <c r="M39" s="1">
        <f>SUMIFS('WH+RT CURRENT'!$M$2:$M$15000,'WH+RT CURRENT'!$B$2:$B$15000,"15-15-15",'WH+RT CURRENT'!$S$2:$S$15000,"M/s. Janardan Parui")</f>
        <v>81.302000000000021</v>
      </c>
      <c r="N39" s="1">
        <f>SUMIFS('WH+RT CURRENT'!$M$2:$M$15000,'WH+RT CURRENT'!$B$2:$B$15000,"Imp 10-26-26",'WH+RT CURRENT'!$S$2:$S$15000,"M/s. Janardan Parui")</f>
        <v>22.25</v>
      </c>
      <c r="O39" s="1">
        <f>SUMIFS('WH+RT CURRENT'!$M$2:$M$15000,'WH+RT CURRENT'!$B$2:$B$15000,"MOP",'WH+RT CURRENT'!$S$2:$S$15000,"M/s. Janardan Parui")</f>
        <v>10.5</v>
      </c>
      <c r="P39" s="1">
        <f>SUMIFS('WH+RT CURRENT'!$M$2:$M$15000,'WH+RT CURRENT'!$B$2:$B$15000,"Imp DAP",'WH+RT CURRENT'!$S$2:$S$15000,"M/s. Janardan Parui")</f>
        <v>0</v>
      </c>
      <c r="Q39" s="1">
        <f>L39+M39+N39+O39+P39</f>
        <v>189.65500000000003</v>
      </c>
    </row>
    <row r="42" spans="5:17" x14ac:dyDescent="0.25">
      <c r="E42" s="12" t="s">
        <v>8129</v>
      </c>
      <c r="F42" s="12"/>
      <c r="G42" s="12"/>
      <c r="H42" s="12"/>
      <c r="I42" s="12"/>
      <c r="J42" s="12"/>
      <c r="K42" s="12"/>
      <c r="L42" s="12"/>
      <c r="M42" s="12"/>
      <c r="N42" s="12"/>
      <c r="O42" s="12"/>
      <c r="P42" s="12"/>
      <c r="Q42" s="12"/>
    </row>
    <row r="43" spans="5:17" x14ac:dyDescent="0.25">
      <c r="E43" s="13"/>
      <c r="F43" s="15" t="s">
        <v>8130</v>
      </c>
      <c r="G43" s="15"/>
      <c r="H43" s="15"/>
      <c r="I43" s="15"/>
      <c r="J43" s="15"/>
      <c r="K43" s="15"/>
      <c r="L43" s="15" t="s">
        <v>8131</v>
      </c>
      <c r="M43" s="15"/>
      <c r="N43" s="15"/>
      <c r="O43" s="15"/>
      <c r="P43" s="15"/>
      <c r="Q43" s="15"/>
    </row>
    <row r="44" spans="5:17" x14ac:dyDescent="0.25">
      <c r="E44" s="14"/>
      <c r="F44" s="2" t="s">
        <v>0</v>
      </c>
      <c r="G44" s="2" t="s">
        <v>1</v>
      </c>
      <c r="H44" s="2" t="s">
        <v>2</v>
      </c>
      <c r="I44" s="2" t="s">
        <v>3</v>
      </c>
      <c r="J44" s="2" t="s">
        <v>8128</v>
      </c>
      <c r="K44" s="2" t="s">
        <v>4</v>
      </c>
      <c r="L44" s="2" t="s">
        <v>0</v>
      </c>
      <c r="M44" s="2" t="s">
        <v>1</v>
      </c>
      <c r="N44" s="2" t="s">
        <v>2</v>
      </c>
      <c r="O44" s="2" t="s">
        <v>3</v>
      </c>
      <c r="P44" s="2" t="s">
        <v>8128</v>
      </c>
      <c r="Q44" s="2" t="s">
        <v>4</v>
      </c>
    </row>
    <row r="45" spans="5:17" x14ac:dyDescent="0.25">
      <c r="E45" s="2" t="s">
        <v>5</v>
      </c>
      <c r="F45" s="1">
        <f>SUMIFS('WH+RT PREVIOUS'!$M$2:$M$15000,'WH+RT PREVIOUS'!$B$2:$B$15000,"N.C.Urea(45kg)",'WH+RT PREVIOUS'!$S$2:$S$15000,"Manoda Fertilisers            ",'WH+RT PREVIOUS'!$N$2:$N$15000,"&gt;179",'WH+RT PREVIOUS'!$N$2:$N$15000,"&lt;366")</f>
        <v>5.45</v>
      </c>
      <c r="G45" s="1">
        <f>SUMIFS('WH+RT PREVIOUS'!$M$2:$M$15000,'WH+RT PREVIOUS'!$B$2:$B$15000,"15-15-15",'WH+RT PREVIOUS'!$S$2:$S$15000,"Manoda Fertilisers            ",'WH+RT PREVIOUS'!$N$2:$N$15000,"&gt;179",'WH+RT PREVIOUS'!$N$2:$N$15000,"&lt;366")</f>
        <v>0.05</v>
      </c>
      <c r="H45" s="1">
        <f>SUMIFS('WH+RT PREVIOUS'!$M$2:$M$15000,'WH+RT PREVIOUS'!$B$2:$B$15000,"Imp 10-26-26",'WH+RT PREVIOUS'!$S$2:$S$15000,"Manoda Fertilisers            ",'WH+RT PREVIOUS'!$N$2:$N$15000,"&gt;179",'WH+RT PREVIOUS'!$N$2:$N$15000,"&lt;366")</f>
        <v>0</v>
      </c>
      <c r="I45" s="1">
        <f>SUMIFS('WH+RT PREVIOUS'!$M$2:$M$15000,'WH+RT PREVIOUS'!$B$2:$B$15000,"MOP",'WH+RT PREVIOUS'!$S$2:$S$15000,"Manoda Fertilisers            ",'WH+RT PREVIOUS'!$N$2:$N$15000,"&gt;179",'WH+RT PREVIOUS'!$N$2:$N$15000,"&lt;366")</f>
        <v>0.25</v>
      </c>
      <c r="J45" s="1">
        <f>SUMIFS('WH+RT PREVIOUS'!$M$2:$M$15000,'WH+RT PREVIOUS'!$B$2:$B$15000,"Imp DAP",'WH+RT PREVIOUS'!$S$2:$S$15000,"Manoda Fertilisers            ",'WH+RT PREVIOUS'!$N$2:$N$15000,"&gt;179",'WH+RT PREVIOUS'!$N$2:$N$15000,"&lt;366")</f>
        <v>0</v>
      </c>
      <c r="K45" s="1">
        <f>F45+G45+H45+I45+J45</f>
        <v>5.75</v>
      </c>
      <c r="L45" s="1">
        <f>SUMIFS('WH+RT CURRENT'!$M$2:$M$15000,'WH+RT CURRENT'!$B$2:$B$15000,"N.C.Urea(45kg)",'WH+RT CURRENT'!$S$2:$S$15000,"Manoda Fertilisers            ",'WH+RT CURRENT'!$N$2:$N$15000,"&gt;179",'WH+RT CURRENT'!$N$2:$N$15000,"&lt;366")</f>
        <v>5.4499999999999993</v>
      </c>
      <c r="M45" s="1">
        <f>SUMIFS('WH+RT CURRENT'!$M$2:$M$15000,'WH+RT CURRENT'!$B$2:$B$15000,"15-15-15",'WH+RT CURRENT'!$S$2:$S$15000,"Manoda Fertilisers            ",'WH+RT CURRENT'!$N$2:$N$15000,"&gt;179",'WH+RT CURRENT'!$N$2:$N$15000,"&lt;366")</f>
        <v>0.05</v>
      </c>
      <c r="N45" s="1">
        <f>SUMIFS('WH+RT CURRENT'!$M$2:$M$15000,'WH+RT CURRENT'!$B$2:$B$15000,"Imp 10-26-26",'WH+RT CURRENT'!$S$2:$S$15000,"Manoda Fertilisers            ",'WH+RT CURRENT'!$N$2:$N$15000,"&gt;179",'WH+RT CURRENT'!$N$2:$N$15000,"&lt;366")</f>
        <v>0</v>
      </c>
      <c r="O45" s="1">
        <f>SUMIFS('WH+RT CURRENT'!$M$2:$M$15000,'WH+RT CURRENT'!$B$2:$B$15000,"MOP",'WH+RT CURRENT'!$S$2:$S$15000,"Manoda Fertilisers            ",'WH+RT CURRENT'!$N$2:$N$15000,"&gt;179",'WH+RT CURRENT'!$N$2:$N$15000,"&lt;366")</f>
        <v>0.25</v>
      </c>
      <c r="P45" s="1">
        <f>SUMIFS('WH+RT CURRENT'!$M$2:$M$15000,'WH+RT CURRENT'!$B$2:$B$15000,"Imp DAP",'WH+RT CURRENT'!$S$2:$S$15000,"Manoda Fertilisers            ",'WH+RT CURRENT'!$N$2:$N$15000,"&gt;179",'WH+RT CURRENT'!$N$2:$N$15000,"&lt;366")</f>
        <v>0</v>
      </c>
      <c r="Q45" s="1">
        <f>L45+M45+N45+O45+P45</f>
        <v>5.7499999999999991</v>
      </c>
    </row>
    <row r="46" spans="5:17" x14ac:dyDescent="0.25">
      <c r="E46" s="2" t="s">
        <v>6</v>
      </c>
      <c r="F46" s="1">
        <f>SUMIFS('WH+RT PREVIOUS'!$M$2:$M$15000,'WH+RT PREVIOUS'!$B$2:$B$15000,"N.C.Urea(45kg)",'WH+RT PREVIOUS'!$S$2:$S$15000,"Manoda Fertilisers            ",'WH+RT PREVIOUS'!$N$2:$N$15000,"&gt;365")</f>
        <v>6.0269999999999992</v>
      </c>
      <c r="G46" s="1">
        <f>SUMIFS('WH+RT PREVIOUS'!$M$2:$M$15000,'WH+RT PREVIOUS'!$B$2:$B$15000,"15-15-15",'WH+RT PREVIOUS'!$S$2:$S$15000,"Manoda Fertilisers            ",'WH+RT PREVIOUS'!$N$2:$N$15000,"&gt;365")</f>
        <v>6.9</v>
      </c>
      <c r="H46" s="1">
        <f>SUMIFS('WH+RT PREVIOUS'!$M$2:$M$15000,'WH+RT PREVIOUS'!$B$2:$B$15000,"Imp 10-26-26",'WH+RT PREVIOUS'!$S$2:$S$15000,"Manoda Fertilisers            ",'WH+RT PREVIOUS'!$N$2:$N$15000,"&gt;365")</f>
        <v>0</v>
      </c>
      <c r="I46" s="1">
        <f>SUMIFS('WH+RT PREVIOUS'!$M$2:$M$15000,'WH+RT PREVIOUS'!$B$2:$B$15000,"MOP",'WH+RT PREVIOUS'!$S$2:$S$15000,"Manoda Fertilisers            ",'WH+RT PREVIOUS'!$N$2:$N$15000,"&gt;365")</f>
        <v>0</v>
      </c>
      <c r="J46" s="1">
        <f>SUMIFS('WH+RT PREVIOUS'!$M$2:$M$15000,'WH+RT PREVIOUS'!$B$2:$B$15000,"Imp DAP",'WH+RT PREVIOUS'!$S$2:$S$15000,"Manoda Fertilisers            ",'WH+RT PREVIOUS'!$N$2:$N$15000,"&gt;365")</f>
        <v>0</v>
      </c>
      <c r="K46" s="1">
        <f>F46+G46+H46+I46+J46</f>
        <v>12.927</v>
      </c>
      <c r="L46" s="1">
        <f>SUMIFS('WH+RT CURRENT'!$M$2:$M$15000,'WH+RT CURRENT'!$B$2:$B$15000,"N.C.Urea(45kg)",'WH+RT CURRENT'!$S$2:$S$15000,"Manoda Fertilisers            ",'WH+RT CURRENT'!$N$2:$N$15000,"&gt;365")</f>
        <v>6.0270000000000001</v>
      </c>
      <c r="M46" s="1">
        <f>SUMIFS('WH+RT CURRENT'!$M$2:$M$15000,'WH+RT CURRENT'!$B$2:$B$15000,"15-15-15",'WH+RT CURRENT'!$S$2:$S$15000,"Manoda Fertilisers            ",'WH+RT CURRENT'!$N$2:$N$15000,"&gt;365")</f>
        <v>6.9</v>
      </c>
      <c r="N46" s="1">
        <f>SUMIFS('WH+RT CURRENT'!$M$2:$M$15000,'WH+RT CURRENT'!$B$2:$B$15000,"Imp 10-26-26",'WH+RT CURRENT'!$S$2:$S$15000,"Manoda Fertilisers            ",'WH+RT CURRENT'!$N$2:$N$15000,"&gt;365")</f>
        <v>0</v>
      </c>
      <c r="O46" s="1">
        <f>SUMIFS('WH+RT CURRENT'!$M$2:$M$15000,'WH+RT CURRENT'!$B$2:$B$15000,"MOP",'WH+RT CURRENT'!$S$2:$S$15000,"Manoda Fertilisers            ",'WH+RT CURRENT'!$N$2:$N$15000,"&gt;365")</f>
        <v>0</v>
      </c>
      <c r="P46" s="1">
        <f>SUMIFS('WH+RT CURRENT'!$M$2:$M$15000,'WH+RT CURRENT'!$B$2:$B$15000,"Imp DAP",'WH+RT CURRENT'!$S$2:$S$15000,"Manoda Fertilisers            ",'WH+RT CURRENT'!$N$2:$N$15000,"&gt;365")</f>
        <v>0</v>
      </c>
      <c r="Q46" s="1">
        <f>L46+M46+N46+O46+P46</f>
        <v>12.927</v>
      </c>
    </row>
    <row r="47" spans="5:17" x14ac:dyDescent="0.25">
      <c r="E47" s="2" t="s">
        <v>7</v>
      </c>
      <c r="F47" s="1">
        <f>F45+F46</f>
        <v>11.477</v>
      </c>
      <c r="G47" s="1">
        <f>G45+G46</f>
        <v>6.95</v>
      </c>
      <c r="H47" s="1">
        <f>H45+H46</f>
        <v>0</v>
      </c>
      <c r="I47" s="1">
        <f>I45+I46</f>
        <v>0.25</v>
      </c>
      <c r="J47" s="1">
        <f>J45+J46</f>
        <v>0</v>
      </c>
      <c r="K47" s="1">
        <f>F47+G47+H47+I47+J47</f>
        <v>18.677</v>
      </c>
      <c r="L47" s="1">
        <f>L45+L46</f>
        <v>11.477</v>
      </c>
      <c r="M47" s="1">
        <f>M45+M46</f>
        <v>6.95</v>
      </c>
      <c r="N47" s="1">
        <f>N45+N46</f>
        <v>0</v>
      </c>
      <c r="O47" s="1">
        <f>O45+O46</f>
        <v>0.25</v>
      </c>
      <c r="P47" s="1">
        <f>P45+P46</f>
        <v>0</v>
      </c>
      <c r="Q47" s="1">
        <f>L47+M47+N47+O47+P47</f>
        <v>18.677</v>
      </c>
    </row>
    <row r="48" spans="5:17" x14ac:dyDescent="0.25">
      <c r="E48" s="2" t="s">
        <v>9</v>
      </c>
      <c r="F48" s="1">
        <f>SUMIFS('WH+RT PREVIOUS'!$M$2:$M$15000,'WH+RT PREVIOUS'!$B$2:$B$15000,"N.C.Urea(45kg)",'WH+RT PREVIOUS'!$S$2:$S$15000,"Manoda Fertilisers            ")</f>
        <v>25.426999999999996</v>
      </c>
      <c r="G48" s="1">
        <f>SUMIFS('WH+RT PREVIOUS'!$M$2:$M$15000,'WH+RT PREVIOUS'!$B$2:$B$15000,"15-15-15",'WH+RT PREVIOUS'!$S$2:$S$15000,"Manoda Fertilisers            ")</f>
        <v>7.8</v>
      </c>
      <c r="H48" s="1">
        <f>SUMIFS('WH+RT PREVIOUS'!$M$2:$M$15000,'WH+RT PREVIOUS'!$B$2:$B$15000,"Imp 10-26-26",'WH+RT PREVIOUS'!$S$2:$S$15000,"Manoda Fertilisers            ")</f>
        <v>0.9</v>
      </c>
      <c r="I48" s="1">
        <f>SUMIFS('WH+RT PREVIOUS'!$M$2:$M$15000,'WH+RT PREVIOUS'!$B$2:$B$15000,"MOP",'WH+RT PREVIOUS'!$S$2:$S$15000,"Manoda Fertilisers            ")</f>
        <v>0.25</v>
      </c>
      <c r="J48" s="1">
        <f>SUMIFS('WH+RT PREVIOUS'!$M$2:$M$15000,'WH+RT PREVIOUS'!$B$2:$B$15000,"Imp DAP",'WH+RT PREVIOUS'!$S$2:$S$15000,"Manoda Fertilisers            ")</f>
        <v>0</v>
      </c>
      <c r="K48" s="1">
        <f>F48+G48+H48+I48+J48</f>
        <v>34.376999999999995</v>
      </c>
      <c r="L48" s="1">
        <f>SUMIFS('WH+RT CURRENT'!$M$2:$M$15000,'WH+RT CURRENT'!$B$2:$B$15000,"N.C.Urea(45kg)",'WH+RT CURRENT'!$S$2:$S$15000,"Manoda Fertilisers            ")</f>
        <v>25.156999999999996</v>
      </c>
      <c r="M48" s="1">
        <f>SUMIFS('WH+RT CURRENT'!$M$2:$M$15000,'WH+RT CURRENT'!$B$2:$B$15000,"15-15-15",'WH+RT CURRENT'!$S$2:$S$15000,"Manoda Fertilisers            ")</f>
        <v>6.95</v>
      </c>
      <c r="N48" s="1">
        <f>SUMIFS('WH+RT CURRENT'!$M$2:$M$15000,'WH+RT CURRENT'!$B$2:$B$15000,"Imp 10-26-26",'WH+RT CURRENT'!$S$2:$S$15000,"Manoda Fertilisers            ")</f>
        <v>0.7</v>
      </c>
      <c r="O48" s="1">
        <f>SUMIFS('WH+RT CURRENT'!$M$2:$M$15000,'WH+RT CURRENT'!$B$2:$B$15000,"MOP",'WH+RT CURRENT'!$S$2:$S$15000,"Manoda Fertilisers            ")</f>
        <v>0.25</v>
      </c>
      <c r="P48" s="1">
        <f>SUMIFS('WH+RT CURRENT'!$M$2:$M$15000,'WH+RT CURRENT'!$B$2:$B$15000,"Imp DAP",'WH+RT CURRENT'!$S$2:$S$15000,"Manoda Fertilisers            ")</f>
        <v>0</v>
      </c>
      <c r="Q48" s="1">
        <f>L48+M48+N48+O48+P48</f>
        <v>33.057000000000002</v>
      </c>
    </row>
    <row r="51" spans="5:17" x14ac:dyDescent="0.25">
      <c r="E51" s="12" t="s">
        <v>271</v>
      </c>
      <c r="F51" s="12"/>
      <c r="G51" s="12"/>
      <c r="H51" s="12"/>
      <c r="I51" s="12"/>
      <c r="J51" s="12"/>
      <c r="K51" s="12"/>
      <c r="L51" s="12"/>
      <c r="M51" s="12"/>
      <c r="N51" s="12"/>
      <c r="O51" s="12"/>
      <c r="P51" s="12"/>
      <c r="Q51" s="12"/>
    </row>
    <row r="52" spans="5:17" x14ac:dyDescent="0.25">
      <c r="E52" s="13"/>
      <c r="F52" s="15" t="s">
        <v>8130</v>
      </c>
      <c r="G52" s="15"/>
      <c r="H52" s="15"/>
      <c r="I52" s="15"/>
      <c r="J52" s="15"/>
      <c r="K52" s="15"/>
      <c r="L52" s="15" t="s">
        <v>8131</v>
      </c>
      <c r="M52" s="15"/>
      <c r="N52" s="15"/>
      <c r="O52" s="15"/>
      <c r="P52" s="15"/>
      <c r="Q52" s="15"/>
    </row>
    <row r="53" spans="5:17" x14ac:dyDescent="0.25">
      <c r="E53" s="14"/>
      <c r="F53" s="2" t="s">
        <v>0</v>
      </c>
      <c r="G53" s="2" t="s">
        <v>1</v>
      </c>
      <c r="H53" s="2" t="s">
        <v>2</v>
      </c>
      <c r="I53" s="2" t="s">
        <v>3</v>
      </c>
      <c r="J53" s="2" t="s">
        <v>8128</v>
      </c>
      <c r="K53" s="2" t="s">
        <v>4</v>
      </c>
      <c r="L53" s="2" t="s">
        <v>0</v>
      </c>
      <c r="M53" s="2" t="s">
        <v>1</v>
      </c>
      <c r="N53" s="2" t="s">
        <v>2</v>
      </c>
      <c r="O53" s="2" t="s">
        <v>3</v>
      </c>
      <c r="P53" s="2" t="s">
        <v>8128</v>
      </c>
      <c r="Q53" s="2" t="s">
        <v>4</v>
      </c>
    </row>
    <row r="54" spans="5:17" x14ac:dyDescent="0.25">
      <c r="E54" s="2" t="s">
        <v>5</v>
      </c>
      <c r="F54" s="1">
        <f>SUMIFS('WH+RT PREVIOUS'!$M$2:$M$15000,'WH+RT PREVIOUS'!$B$2:$B$15000,"N.C.Urea(45kg)",'WH+RT PREVIOUS'!$S$2:$S$15000,"Md Alauddin Mollick",'WH+RT PREVIOUS'!$N$2:$N$15000,"&gt;179",'WH+RT PREVIOUS'!$N$2:$N$15000,"&lt;366")</f>
        <v>0.85499999999999998</v>
      </c>
      <c r="G54" s="1">
        <f>SUMIFS('WH+RT PREVIOUS'!$M$2:$M$15000,'WH+RT PREVIOUS'!$B$2:$B$15000,"15-15-15",'WH+RT PREVIOUS'!$S$2:$S$15000,"Md Alauddin Mollick",'WH+RT PREVIOUS'!$N$2:$N$15000,"&gt;179",'WH+RT PREVIOUS'!$N$2:$N$15000,"&lt;366")</f>
        <v>1.0499999999999998</v>
      </c>
      <c r="H54" s="1">
        <f>SUMIFS('WH+RT PREVIOUS'!$M$2:$M$15000,'WH+RT PREVIOUS'!$B$2:$B$15000,"Imp 10-26-26",'WH+RT PREVIOUS'!$S$2:$S$15000,"Md Alauddin Mollick",'WH+RT PREVIOUS'!$N$2:$N$15000,"&gt;179",'WH+RT PREVIOUS'!$N$2:$N$15000,"&lt;366")</f>
        <v>1.85</v>
      </c>
      <c r="I54" s="1">
        <f>SUMIFS('WH+RT PREVIOUS'!$M$2:$M$15000,'WH+RT PREVIOUS'!$B$2:$B$15000,"MOP",'WH+RT PREVIOUS'!$S$2:$S$15000,"Md Alauddin Mollick",'WH+RT PREVIOUS'!$N$2:$N$15000,"&gt;179",'WH+RT PREVIOUS'!$N$2:$N$15000,"&lt;366")</f>
        <v>0</v>
      </c>
      <c r="J54" s="1">
        <f>SUMIFS('WH+RT PREVIOUS'!$M$2:$M$15000,'WH+RT PREVIOUS'!$B$2:$B$15000,"Imp DAP",'WH+RT PREVIOUS'!$S$2:$S$15000,"Md Alauddin Mollick",'WH+RT PREVIOUS'!$N$2:$N$15000,"&gt;179",'WH+RT PREVIOUS'!$N$2:$N$15000,"&lt;366")</f>
        <v>0</v>
      </c>
      <c r="K54" s="1">
        <f>F54+G54+H54+I54+J54</f>
        <v>3.7549999999999999</v>
      </c>
      <c r="L54" s="1">
        <f>SUMIFS('WH+RT CURRENT'!$M$2:$M$15000,'WH+RT CURRENT'!$B$2:$B$15000,"N.C.Urea(45kg)",'WH+RT CURRENT'!$S$2:$S$15000,"Md Alauddin Mollick",'WH+RT CURRENT'!$N$2:$N$15000,"&gt;179",'WH+RT CURRENT'!$N$2:$N$15000,"&lt;366")</f>
        <v>0.85499999999999998</v>
      </c>
      <c r="M54" s="1">
        <f>SUMIFS('WH+RT CURRENT'!$M$2:$M$15000,'WH+RT CURRENT'!$B$2:$B$15000,"15-15-15",'WH+RT CURRENT'!$S$2:$S$15000,"Md Alauddin Mollick",'WH+RT CURRENT'!$N$2:$N$15000,"&gt;179",'WH+RT CURRENT'!$N$2:$N$15000,"&lt;366")</f>
        <v>0.8</v>
      </c>
      <c r="N54" s="1">
        <f>SUMIFS('WH+RT CURRENT'!$M$2:$M$15000,'WH+RT CURRENT'!$B$2:$B$15000,"Imp 10-26-26",'WH+RT CURRENT'!$S$2:$S$15000,"Md Alauddin Mollick",'WH+RT CURRENT'!$N$2:$N$15000,"&gt;179",'WH+RT CURRENT'!$N$2:$N$15000,"&lt;366")</f>
        <v>1.85</v>
      </c>
      <c r="O54" s="1">
        <f>SUMIFS('WH+RT CURRENT'!$M$2:$M$15000,'WH+RT CURRENT'!$B$2:$B$15000,"MOP",'WH+RT CURRENT'!$S$2:$S$15000,"Md Alauddin Mollick",'WH+RT CURRENT'!$N$2:$N$15000,"&gt;179",'WH+RT CURRENT'!$N$2:$N$15000,"&lt;366")</f>
        <v>0</v>
      </c>
      <c r="P54" s="1">
        <f>SUMIFS('WH+RT CURRENT'!$M$2:$M$15000,'WH+RT CURRENT'!$B$2:$B$15000,"Imp DAP",'WH+RT CURRENT'!$S$2:$S$15000,"Md Alauddin Mollick",'WH+RT CURRENT'!$N$2:$N$15000,"&gt;179",'WH+RT CURRENT'!$N$2:$N$15000,"&lt;366")</f>
        <v>0</v>
      </c>
      <c r="Q54" s="1">
        <f>L54+M54+N54+O54+P54</f>
        <v>3.5049999999999999</v>
      </c>
    </row>
    <row r="55" spans="5:17" x14ac:dyDescent="0.25">
      <c r="E55" s="2" t="s">
        <v>6</v>
      </c>
      <c r="F55" s="1">
        <f>SUMIFS('WH+RT PREVIOUS'!$M$2:$M$15000,'WH+RT PREVIOUS'!$B$2:$B$15000,"N.C.Urea(45kg)",'WH+RT PREVIOUS'!$S$2:$S$15000,"Md Alauddin Mollick",'WH+RT PREVIOUS'!$N$2:$N$15000,"&gt;365")</f>
        <v>6.7410000000000005</v>
      </c>
      <c r="G55" s="1">
        <f>SUMIFS('WH+RT PREVIOUS'!$M$2:$M$15000,'WH+RT PREVIOUS'!$B$2:$B$15000,"15-15-15",'WH+RT PREVIOUS'!$S$2:$S$15000,"Md Alauddin Mollick",'WH+RT PREVIOUS'!$N$2:$N$15000,"&gt;365")</f>
        <v>6.9420000000000002</v>
      </c>
      <c r="H55" s="1">
        <f>SUMIFS('WH+RT PREVIOUS'!$M$2:$M$15000,'WH+RT PREVIOUS'!$B$2:$B$15000,"Imp 10-26-26",'WH+RT PREVIOUS'!$S$2:$S$15000,"Md Alauddin Mollick",'WH+RT PREVIOUS'!$N$2:$N$15000,"&gt;365")</f>
        <v>0</v>
      </c>
      <c r="I55" s="1">
        <f>SUMIFS('WH+RT PREVIOUS'!$M$2:$M$15000,'WH+RT PREVIOUS'!$B$2:$B$15000,"MOP",'WH+RT PREVIOUS'!$S$2:$S$15000,"Md Alauddin Mollick",'WH+RT PREVIOUS'!$N$2:$N$15000,"&gt;365")</f>
        <v>0</v>
      </c>
      <c r="J55" s="1">
        <f>SUMIFS('WH+RT PREVIOUS'!$M$2:$M$15000,'WH+RT PREVIOUS'!$B$2:$B$15000,"Imp DAP",'WH+RT PREVIOUS'!$S$2:$S$15000,"Md Alauddin Mollick",'WH+RT PREVIOUS'!$N$2:$N$15000,"&gt;365")</f>
        <v>0</v>
      </c>
      <c r="K55" s="1">
        <f>F55+G55+H55+I55+J55</f>
        <v>13.683</v>
      </c>
      <c r="L55" s="1">
        <f>SUMIFS('WH+RT CURRENT'!$M$2:$M$15000,'WH+RT CURRENT'!$B$2:$B$15000,"N.C.Urea(45kg)",'WH+RT CURRENT'!$S$2:$S$15000,"Md Alauddin Mollick",'WH+RT CURRENT'!$N$2:$N$15000,"&gt;365")</f>
        <v>6.7409999999999997</v>
      </c>
      <c r="M55" s="1">
        <f>SUMIFS('WH+RT CURRENT'!$M$2:$M$15000,'WH+RT CURRENT'!$B$2:$B$15000,"15-15-15",'WH+RT CURRENT'!$S$2:$S$15000,"Md Alauddin Mollick",'WH+RT CURRENT'!$N$2:$N$15000,"&gt;365")</f>
        <v>6.9420000000000002</v>
      </c>
      <c r="N55" s="1">
        <f>SUMIFS('WH+RT CURRENT'!$M$2:$M$15000,'WH+RT CURRENT'!$B$2:$B$15000,"Imp 10-26-26",'WH+RT CURRENT'!$S$2:$S$15000,"Md Alauddin Mollick",'WH+RT CURRENT'!$N$2:$N$15000,"&gt;365")</f>
        <v>0</v>
      </c>
      <c r="O55" s="1">
        <f>SUMIFS('WH+RT CURRENT'!$M$2:$M$15000,'WH+RT CURRENT'!$B$2:$B$15000,"MOP",'WH+RT CURRENT'!$S$2:$S$15000,"Md Alauddin Mollick",'WH+RT CURRENT'!$N$2:$N$15000,"&gt;365")</f>
        <v>0</v>
      </c>
      <c r="P55" s="1">
        <f>SUMIFS('WH+RT CURRENT'!$M$2:$M$15000,'WH+RT CURRENT'!$B$2:$B$15000,"Imp DAP",'WH+RT CURRENT'!$S$2:$S$15000,"Md Alauddin Mollick",'WH+RT CURRENT'!$N$2:$N$15000,"&gt;365")</f>
        <v>0</v>
      </c>
      <c r="Q55" s="1">
        <f>L55+M55+N55+O55+P55</f>
        <v>13.683</v>
      </c>
    </row>
    <row r="56" spans="5:17" x14ac:dyDescent="0.25">
      <c r="E56" s="2" t="s">
        <v>7</v>
      </c>
      <c r="F56" s="1">
        <f>F54+F55</f>
        <v>7.5960000000000001</v>
      </c>
      <c r="G56" s="1">
        <f>G54+G55</f>
        <v>7.992</v>
      </c>
      <c r="H56" s="1">
        <f>H54+H55</f>
        <v>1.85</v>
      </c>
      <c r="I56" s="1">
        <f>I54+I55</f>
        <v>0</v>
      </c>
      <c r="J56" s="1">
        <f>J54+J55</f>
        <v>0</v>
      </c>
      <c r="K56" s="1">
        <f>F56+G56+H56+I56+J56</f>
        <v>17.438000000000002</v>
      </c>
      <c r="L56" s="1">
        <f>L54+L55</f>
        <v>7.5960000000000001</v>
      </c>
      <c r="M56" s="1">
        <f>M54+M55</f>
        <v>7.742</v>
      </c>
      <c r="N56" s="1">
        <f>N54+N55</f>
        <v>1.85</v>
      </c>
      <c r="O56" s="1">
        <f>O54+O55</f>
        <v>0</v>
      </c>
      <c r="P56" s="1">
        <f>P54+P55</f>
        <v>0</v>
      </c>
      <c r="Q56" s="1">
        <f>L56+M56+N56+O56+P56</f>
        <v>17.188000000000002</v>
      </c>
    </row>
    <row r="57" spans="5:17" x14ac:dyDescent="0.25">
      <c r="E57" s="2" t="s">
        <v>9</v>
      </c>
      <c r="F57" s="1">
        <f>SUMIFS('WH+RT PREVIOUS'!$M$2:$M$15000,'WH+RT PREVIOUS'!$B$2:$B$15000,"N.C.Urea(45kg)",'WH+RT PREVIOUS'!$S$2:$S$15000,"Md Alauddin Mollick")</f>
        <v>29.196000000000009</v>
      </c>
      <c r="G57" s="1">
        <f>SUMIFS('WH+RT PREVIOUS'!$M$2:$M$15000,'WH+RT PREVIOUS'!$B$2:$B$15000,"15-15-15",'WH+RT PREVIOUS'!$S$2:$S$15000,"Md Alauddin Mollick")</f>
        <v>14.091999999999999</v>
      </c>
      <c r="H57" s="1">
        <f>SUMIFS('WH+RT PREVIOUS'!$M$2:$M$15000,'WH+RT PREVIOUS'!$B$2:$B$15000,"Imp 10-26-26",'WH+RT PREVIOUS'!$S$2:$S$15000,"Md Alauddin Mollick")</f>
        <v>4.0949999999999998</v>
      </c>
      <c r="I57" s="1">
        <f>SUMIFS('WH+RT PREVIOUS'!$M$2:$M$15000,'WH+RT PREVIOUS'!$B$2:$B$15000,"MOP",'WH+RT PREVIOUS'!$S$2:$S$15000,"Md Alauddin Mollick")</f>
        <v>13.145000000000001</v>
      </c>
      <c r="J57" s="1">
        <f>SUMIFS('WH+RT PREVIOUS'!$M$2:$M$15000,'WH+RT PREVIOUS'!$B$2:$B$15000,"Imp DAP",'WH+RT PREVIOUS'!$S$2:$S$15000,"Md Alauddin Mollick")</f>
        <v>0</v>
      </c>
      <c r="K57" s="1">
        <f>F57+G57+H57+I57+J57</f>
        <v>60.528000000000013</v>
      </c>
      <c r="L57" s="1">
        <f>SUMIFS('WH+RT CURRENT'!$M$2:$M$15000,'WH+RT CURRENT'!$B$2:$B$15000,"N.C.Urea(45kg)",'WH+RT CURRENT'!$S$2:$S$15000,"Md Alauddin Mollick")</f>
        <v>28.745999999999999</v>
      </c>
      <c r="M57" s="1">
        <f>SUMIFS('WH+RT CURRENT'!$M$2:$M$15000,'WH+RT CURRENT'!$B$2:$B$15000,"15-15-15",'WH+RT CURRENT'!$S$2:$S$15000,"Md Alauddin Mollick")</f>
        <v>13.241999999999999</v>
      </c>
      <c r="N57" s="1">
        <f>SUMIFS('WH+RT CURRENT'!$M$2:$M$15000,'WH+RT CURRENT'!$B$2:$B$15000,"Imp 10-26-26",'WH+RT CURRENT'!$S$2:$S$15000,"Md Alauddin Mollick")</f>
        <v>4.7450000000000001</v>
      </c>
      <c r="O57" s="1">
        <f>SUMIFS('WH+RT CURRENT'!$M$2:$M$15000,'WH+RT CURRENT'!$B$2:$B$15000,"MOP",'WH+RT CURRENT'!$S$2:$S$15000,"Md Alauddin Mollick")</f>
        <v>12.844999999999999</v>
      </c>
      <c r="P57" s="1">
        <f>SUMIFS('WH+RT CURRENT'!$M$2:$M$15000,'WH+RT CURRENT'!$B$2:$B$15000,"Imp DAP",'WH+RT CURRENT'!$S$2:$S$15000,"Md Alauddin Mollick")</f>
        <v>0</v>
      </c>
      <c r="Q57" s="1">
        <f>L57+M57+N57+O57+P57</f>
        <v>59.577999999999996</v>
      </c>
    </row>
    <row r="60" spans="5:17" x14ac:dyDescent="0.25">
      <c r="E60" s="12" t="s">
        <v>229</v>
      </c>
      <c r="F60" s="12"/>
      <c r="G60" s="12"/>
      <c r="H60" s="12"/>
      <c r="I60" s="12"/>
      <c r="J60" s="12"/>
      <c r="K60" s="12"/>
      <c r="L60" s="12"/>
      <c r="M60" s="12"/>
      <c r="N60" s="12"/>
      <c r="O60" s="12"/>
      <c r="P60" s="12"/>
      <c r="Q60" s="12"/>
    </row>
    <row r="61" spans="5:17" x14ac:dyDescent="0.25">
      <c r="E61" s="13"/>
      <c r="F61" s="15" t="s">
        <v>8130</v>
      </c>
      <c r="G61" s="15"/>
      <c r="H61" s="15"/>
      <c r="I61" s="15"/>
      <c r="J61" s="15"/>
      <c r="K61" s="15"/>
      <c r="L61" s="15" t="s">
        <v>8131</v>
      </c>
      <c r="M61" s="15"/>
      <c r="N61" s="15"/>
      <c r="O61" s="15"/>
      <c r="P61" s="15"/>
      <c r="Q61" s="15"/>
    </row>
    <row r="62" spans="5:17" x14ac:dyDescent="0.25">
      <c r="E62" s="14"/>
      <c r="F62" s="2" t="s">
        <v>0</v>
      </c>
      <c r="G62" s="2" t="s">
        <v>1</v>
      </c>
      <c r="H62" s="2" t="s">
        <v>2</v>
      </c>
      <c r="I62" s="2" t="s">
        <v>3</v>
      </c>
      <c r="J62" s="2" t="s">
        <v>8128</v>
      </c>
      <c r="K62" s="2" t="s">
        <v>4</v>
      </c>
      <c r="L62" s="2" t="s">
        <v>0</v>
      </c>
      <c r="M62" s="2" t="s">
        <v>1</v>
      </c>
      <c r="N62" s="2" t="s">
        <v>2</v>
      </c>
      <c r="O62" s="2" t="s">
        <v>3</v>
      </c>
      <c r="P62" s="2" t="s">
        <v>8128</v>
      </c>
      <c r="Q62" s="2" t="s">
        <v>4</v>
      </c>
    </row>
    <row r="63" spans="5:17" x14ac:dyDescent="0.25">
      <c r="E63" s="2" t="s">
        <v>5</v>
      </c>
      <c r="F63" s="1">
        <f>SUMIFS('WH+RT PREVIOUS'!$M$2:$M$15000,'WH+RT PREVIOUS'!$B$2:$B$15000,"N.C.Urea(45kg)",'WH+RT PREVIOUS'!$S$2:$S$15000,"Md Nowshar Ali Molla",'WH+RT PREVIOUS'!$N$2:$N$15000,"&gt;179",'WH+RT PREVIOUS'!$N$2:$N$15000,"&lt;366")</f>
        <v>0</v>
      </c>
      <c r="G63" s="1">
        <f>SUMIFS('WH+RT PREVIOUS'!$M$2:$M$15000,'WH+RT PREVIOUS'!$B$2:$B$15000,"15-15-15",'WH+RT PREVIOUS'!$S$2:$S$15000,"Md Nowshar Ali Molla",'WH+RT PREVIOUS'!$N$2:$N$15000,"&gt;179",'WH+RT PREVIOUS'!$N$2:$N$15000,"&lt;366")</f>
        <v>0</v>
      </c>
      <c r="H63" s="1">
        <f>SUMIFS('WH+RT PREVIOUS'!$M$2:$M$15000,'WH+RT PREVIOUS'!$B$2:$B$15000,"Imp 10-26-26",'WH+RT PREVIOUS'!$S$2:$S$15000,"Md Nowshar Ali Molla",'WH+RT PREVIOUS'!$N$2:$N$15000,"&gt;179",'WH+RT PREVIOUS'!$N$2:$N$15000,"&lt;366")</f>
        <v>0</v>
      </c>
      <c r="I63" s="1">
        <f>SUMIFS('WH+RT PREVIOUS'!$M$2:$M$15000,'WH+RT PREVIOUS'!$B$2:$B$15000,"MOP",'WH+RT PREVIOUS'!$S$2:$S$15000,"Md Nowshar Ali Molla",'WH+RT PREVIOUS'!$N$2:$N$15000,"&gt;179",'WH+RT PREVIOUS'!$N$2:$N$15000,"&lt;366")</f>
        <v>0</v>
      </c>
      <c r="J63" s="1">
        <f>SUMIFS('WH+RT PREVIOUS'!$M$2:$M$15000,'WH+RT PREVIOUS'!$B$2:$B$15000,"Imp DAP",'WH+RT PREVIOUS'!$S$2:$S$15000,"Md Nowshar Ali Molla",'WH+RT PREVIOUS'!$N$2:$N$15000,"&gt;179",'WH+RT PREVIOUS'!$N$2:$N$15000,"&lt;366")</f>
        <v>0</v>
      </c>
      <c r="K63" s="1">
        <f>F63+G63+H63+I63+J63</f>
        <v>0</v>
      </c>
      <c r="L63" s="1">
        <f>SUMIFS('WH+RT CURRENT'!$M$2:$M$15000,'WH+RT CURRENT'!$B$2:$B$15000,"N.C.Urea(45kg)",'WH+RT CURRENT'!$S$2:$S$15000,"Md Nowshar Ali Molla",'WH+RT CURRENT'!$N$2:$N$15000,"&gt;179",'WH+RT CURRENT'!$N$2:$N$15000,"&lt;366")</f>
        <v>0</v>
      </c>
      <c r="M63" s="1">
        <f>SUMIFS('WH+RT CURRENT'!$M$2:$M$15000,'WH+RT CURRENT'!$B$2:$B$15000,"15-15-15",'WH+RT CURRENT'!$S$2:$S$15000,"Md Nowshar Ali Molla",'WH+RT CURRENT'!$N$2:$N$15000,"&gt;179",'WH+RT CURRENT'!$N$2:$N$15000,"&lt;366")</f>
        <v>0</v>
      </c>
      <c r="N63" s="1">
        <f>SUMIFS('WH+RT CURRENT'!$M$2:$M$15000,'WH+RT CURRENT'!$B$2:$B$15000,"Imp 10-26-26",'WH+RT CURRENT'!$S$2:$S$15000,"Md Nowshar Ali Molla",'WH+RT CURRENT'!$N$2:$N$15000,"&gt;179",'WH+RT CURRENT'!$N$2:$N$15000,"&lt;366")</f>
        <v>0</v>
      </c>
      <c r="O63" s="1">
        <f>SUMIFS('WH+RT CURRENT'!$M$2:$M$15000,'WH+RT CURRENT'!$B$2:$B$15000,"MOP",'WH+RT CURRENT'!$S$2:$S$15000,"Md Nowshar Ali Molla",'WH+RT CURRENT'!$N$2:$N$15000,"&gt;179",'WH+RT CURRENT'!$N$2:$N$15000,"&lt;366")</f>
        <v>0</v>
      </c>
      <c r="P63" s="1">
        <f>SUMIFS('WH+RT CURRENT'!$M$2:$M$15000,'WH+RT CURRENT'!$B$2:$B$15000,"Imp DAP",'WH+RT CURRENT'!$S$2:$S$15000,"Md Nowshar Ali Molla",'WH+RT CURRENT'!$N$2:$N$15000,"&gt;179",'WH+RT CURRENT'!$N$2:$N$15000,"&lt;366")</f>
        <v>0</v>
      </c>
      <c r="Q63" s="1">
        <f>L63+M63+N63+O63+P63</f>
        <v>0</v>
      </c>
    </row>
    <row r="64" spans="5:17" x14ac:dyDescent="0.25">
      <c r="E64" s="2" t="s">
        <v>6</v>
      </c>
      <c r="F64" s="1">
        <f>SUMIFS('WH+RT PREVIOUS'!$M$2:$M$15000,'WH+RT PREVIOUS'!$B$2:$B$15000,"N.C.Urea(45kg)",'WH+RT PREVIOUS'!$S$2:$S$15000,"Md Nowshar Ali Molla",'WH+RT PREVIOUS'!$N$2:$N$15000,"&gt;365")</f>
        <v>4.4999999999999998E-2</v>
      </c>
      <c r="G64" s="1">
        <f>SUMIFS('WH+RT PREVIOUS'!$M$2:$M$15000,'WH+RT PREVIOUS'!$B$2:$B$15000,"15-15-15",'WH+RT PREVIOUS'!$S$2:$S$15000,"Md Nowshar Ali Molla",'WH+RT PREVIOUS'!$N$2:$N$15000,"&gt;365")</f>
        <v>0</v>
      </c>
      <c r="H64" s="1">
        <f>SUMIFS('WH+RT PREVIOUS'!$M$2:$M$15000,'WH+RT PREVIOUS'!$B$2:$B$15000,"Imp 10-26-26",'WH+RT PREVIOUS'!$S$2:$S$15000,"Md Nowshar Ali Molla",'WH+RT PREVIOUS'!$N$2:$N$15000,"&gt;365")</f>
        <v>0</v>
      </c>
      <c r="I64" s="1">
        <f>SUMIFS('WH+RT PREVIOUS'!$M$2:$M$15000,'WH+RT PREVIOUS'!$B$2:$B$15000,"MOP",'WH+RT PREVIOUS'!$S$2:$S$15000,"Md Nowshar Ali Molla",'WH+RT PREVIOUS'!$N$2:$N$15000,"&gt;365")</f>
        <v>0</v>
      </c>
      <c r="J64" s="1">
        <f>SUMIFS('WH+RT PREVIOUS'!$M$2:$M$15000,'WH+RT PREVIOUS'!$B$2:$B$15000,"Imp DAP",'WH+RT PREVIOUS'!$S$2:$S$15000,"Md Nowshar Ali Molla",'WH+RT PREVIOUS'!$N$2:$N$15000,"&gt;365")</f>
        <v>0</v>
      </c>
      <c r="K64" s="1">
        <f>F64+G64+H64+I64+J64</f>
        <v>4.4999999999999998E-2</v>
      </c>
      <c r="L64" s="1">
        <f>SUMIFS('WH+RT CURRENT'!$M$2:$M$15000,'WH+RT CURRENT'!$B$2:$B$15000,"N.C.Urea(45kg)",'WH+RT CURRENT'!$S$2:$S$15000,"Md Nowshar Ali Molla",'WH+RT CURRENT'!$N$2:$N$15000,"&gt;365")</f>
        <v>4.4999999999999998E-2</v>
      </c>
      <c r="M64" s="1">
        <f>SUMIFS('WH+RT CURRENT'!$M$2:$M$15000,'WH+RT CURRENT'!$B$2:$B$15000,"15-15-15",'WH+RT CURRENT'!$S$2:$S$15000,"Md Nowshar Ali Molla",'WH+RT CURRENT'!$N$2:$N$15000,"&gt;365")</f>
        <v>0</v>
      </c>
      <c r="N64" s="1">
        <f>SUMIFS('WH+RT CURRENT'!$M$2:$M$15000,'WH+RT CURRENT'!$B$2:$B$15000,"Imp 10-26-26",'WH+RT CURRENT'!$S$2:$S$15000,"Md Nowshar Ali Molla",'WH+RT CURRENT'!$N$2:$N$15000,"&gt;365")</f>
        <v>0</v>
      </c>
      <c r="O64" s="1">
        <f>SUMIFS('WH+RT CURRENT'!$M$2:$M$15000,'WH+RT CURRENT'!$B$2:$B$15000,"MOP",'WH+RT CURRENT'!$S$2:$S$15000,"Md Nowshar Ali Molla",'WH+RT CURRENT'!$N$2:$N$15000,"&gt;365")</f>
        <v>0</v>
      </c>
      <c r="P64" s="1">
        <f>SUMIFS('WH+RT CURRENT'!$M$2:$M$15000,'WH+RT CURRENT'!$B$2:$B$15000,"Imp DAP",'WH+RT CURRENT'!$S$2:$S$15000,"Md Nowshar Ali Molla",'WH+RT CURRENT'!$N$2:$N$15000,"&gt;365")</f>
        <v>0</v>
      </c>
      <c r="Q64" s="1">
        <f>L64+M64+N64+O64+P64</f>
        <v>4.4999999999999998E-2</v>
      </c>
    </row>
    <row r="65" spans="5:17" x14ac:dyDescent="0.25">
      <c r="E65" s="2" t="s">
        <v>7</v>
      </c>
      <c r="F65" s="1">
        <f>F63+F64</f>
        <v>4.4999999999999998E-2</v>
      </c>
      <c r="G65" s="1">
        <f>G63+G64</f>
        <v>0</v>
      </c>
      <c r="H65" s="1">
        <f>H63+H64</f>
        <v>0</v>
      </c>
      <c r="I65" s="1">
        <f>I63+I64</f>
        <v>0</v>
      </c>
      <c r="J65" s="1">
        <f>J63+J64</f>
        <v>0</v>
      </c>
      <c r="K65" s="1">
        <f>F65+G65+H65+I65+J65</f>
        <v>4.4999999999999998E-2</v>
      </c>
      <c r="L65" s="1">
        <f>L63+L64</f>
        <v>4.4999999999999998E-2</v>
      </c>
      <c r="M65" s="1">
        <f>M63+M64</f>
        <v>0</v>
      </c>
      <c r="N65" s="1">
        <f>N63+N64</f>
        <v>0</v>
      </c>
      <c r="O65" s="1">
        <f>O63+O64</f>
        <v>0</v>
      </c>
      <c r="P65" s="1">
        <f>P63+P64</f>
        <v>0</v>
      </c>
      <c r="Q65" s="1">
        <f>L65+M65+N65+O65+P65</f>
        <v>4.4999999999999998E-2</v>
      </c>
    </row>
    <row r="66" spans="5:17" x14ac:dyDescent="0.25">
      <c r="E66" s="2" t="s">
        <v>9</v>
      </c>
      <c r="F66" s="1">
        <f>SUMIFS('WH+RT PREVIOUS'!$M$2:$M$15000,'WH+RT PREVIOUS'!$B$2:$B$15000,"N.C.Urea(45kg)",'WH+RT PREVIOUS'!$S$2:$S$15000,"Md Nowshar Ali Molla")</f>
        <v>12.24</v>
      </c>
      <c r="G66" s="1">
        <f>SUMIFS('WH+RT PREVIOUS'!$M$2:$M$15000,'WH+RT PREVIOUS'!$B$2:$B$15000,"15-15-15",'WH+RT PREVIOUS'!$S$2:$S$15000,"Md Nowshar Ali Molla")</f>
        <v>2.95</v>
      </c>
      <c r="H66" s="1">
        <f>SUMIFS('WH+RT PREVIOUS'!$M$2:$M$15000,'WH+RT PREVIOUS'!$B$2:$B$15000,"Imp 10-26-26",'WH+RT PREVIOUS'!$S$2:$S$15000,"Md Nowshar Ali Molla")</f>
        <v>0</v>
      </c>
      <c r="I66" s="1">
        <f>SUMIFS('WH+RT PREVIOUS'!$M$2:$M$15000,'WH+RT PREVIOUS'!$B$2:$B$15000,"MOP",'WH+RT PREVIOUS'!$S$2:$S$15000,"Md Nowshar Ali Molla")</f>
        <v>0</v>
      </c>
      <c r="J66" s="1">
        <f>SUMIFS('WH+RT PREVIOUS'!$M$2:$M$15000,'WH+RT PREVIOUS'!$B$2:$B$15000,"Imp DAP",'WH+RT PREVIOUS'!$S$2:$S$15000,"Md Nowshar Ali Molla")</f>
        <v>0</v>
      </c>
      <c r="K66" s="1">
        <f>F66+G66+H66+I66+J66</f>
        <v>15.190000000000001</v>
      </c>
      <c r="L66" s="1">
        <f>SUMIFS('WH+RT CURRENT'!$M$2:$M$15000,'WH+RT CURRENT'!$B$2:$B$15000,"N.C.Urea(45kg)",'WH+RT CURRENT'!$S$2:$S$15000,"Md Nowshar Ali Molla")</f>
        <v>6.12</v>
      </c>
      <c r="M66" s="1">
        <f>SUMIFS('WH+RT CURRENT'!$M$2:$M$15000,'WH+RT CURRENT'!$B$2:$B$15000,"15-15-15",'WH+RT CURRENT'!$S$2:$S$15000,"Md Nowshar Ali Molla")</f>
        <v>0.45</v>
      </c>
      <c r="N66" s="1">
        <f>SUMIFS('WH+RT CURRENT'!$M$2:$M$15000,'WH+RT CURRENT'!$B$2:$B$15000,"Imp 10-26-26",'WH+RT CURRENT'!$S$2:$S$15000,"Md Nowshar Ali Molla")</f>
        <v>0</v>
      </c>
      <c r="O66" s="1">
        <f>SUMIFS('WH+RT CURRENT'!$M$2:$M$15000,'WH+RT CURRENT'!$B$2:$B$15000,"MOP",'WH+RT CURRENT'!$S$2:$S$15000,"Md Nowshar Ali Molla")</f>
        <v>0</v>
      </c>
      <c r="P66" s="1">
        <f>SUMIFS('WH+RT CURRENT'!$M$2:$M$15000,'WH+RT CURRENT'!$B$2:$B$15000,"Imp DAP",'WH+RT CURRENT'!$S$2:$S$15000,"Md Nowshar Ali Molla")</f>
        <v>0</v>
      </c>
      <c r="Q66" s="1">
        <f>L66+M66+N66+O66+P66</f>
        <v>6.57</v>
      </c>
    </row>
    <row r="69" spans="5:17" x14ac:dyDescent="0.25">
      <c r="E69" s="12" t="s">
        <v>2445</v>
      </c>
      <c r="F69" s="12"/>
      <c r="G69" s="12"/>
      <c r="H69" s="12"/>
      <c r="I69" s="12"/>
      <c r="J69" s="12"/>
      <c r="K69" s="12"/>
      <c r="L69" s="12"/>
      <c r="M69" s="12"/>
      <c r="N69" s="12"/>
      <c r="O69" s="12"/>
      <c r="P69" s="12"/>
      <c r="Q69" s="12"/>
    </row>
    <row r="70" spans="5:17" x14ac:dyDescent="0.25">
      <c r="E70" s="13"/>
      <c r="F70" s="15" t="s">
        <v>8130</v>
      </c>
      <c r="G70" s="15"/>
      <c r="H70" s="15"/>
      <c r="I70" s="15"/>
      <c r="J70" s="15"/>
      <c r="K70" s="15"/>
      <c r="L70" s="15" t="s">
        <v>8131</v>
      </c>
      <c r="M70" s="15"/>
      <c r="N70" s="15"/>
      <c r="O70" s="15"/>
      <c r="P70" s="15"/>
      <c r="Q70" s="15"/>
    </row>
    <row r="71" spans="5:17" x14ac:dyDescent="0.25">
      <c r="E71" s="14"/>
      <c r="F71" s="2" t="s">
        <v>0</v>
      </c>
      <c r="G71" s="2" t="s">
        <v>1</v>
      </c>
      <c r="H71" s="2" t="s">
        <v>2</v>
      </c>
      <c r="I71" s="2" t="s">
        <v>3</v>
      </c>
      <c r="J71" s="2" t="s">
        <v>8128</v>
      </c>
      <c r="K71" s="2" t="s">
        <v>4</v>
      </c>
      <c r="L71" s="2" t="s">
        <v>0</v>
      </c>
      <c r="M71" s="2" t="s">
        <v>1</v>
      </c>
      <c r="N71" s="2" t="s">
        <v>2</v>
      </c>
      <c r="O71" s="2" t="s">
        <v>3</v>
      </c>
      <c r="P71" s="2" t="s">
        <v>8128</v>
      </c>
      <c r="Q71" s="2" t="s">
        <v>4</v>
      </c>
    </row>
    <row r="72" spans="5:17" x14ac:dyDescent="0.25">
      <c r="E72" s="2" t="s">
        <v>5</v>
      </c>
      <c r="F72" s="1">
        <f>SUMIFS('WH+RT PREVIOUS'!$M$2:$M$15000,'WH+RT PREVIOUS'!$B$2:$B$15000,"N.C.Urea(45kg)",'WH+RT PREVIOUS'!$S$2:$S$15000,"N C Das &amp; Company",'WH+RT PREVIOUS'!$N$2:$N$15000,"&gt;179",'WH+RT PREVIOUS'!$N$2:$N$15000,"&lt;366")</f>
        <v>8.5050000000000008</v>
      </c>
      <c r="G72" s="1">
        <f>SUMIFS('WH+RT PREVIOUS'!$M$2:$M$15000,'WH+RT PREVIOUS'!$B$2:$B$15000,"15-15-15",'WH+RT PREVIOUS'!$S$2:$S$15000,"N C Das &amp; Company",'WH+RT PREVIOUS'!$N$2:$N$15000,"&gt;179",'WH+RT PREVIOUS'!$N$2:$N$15000,"&lt;366")</f>
        <v>0</v>
      </c>
      <c r="H72" s="1">
        <f>SUMIFS('WH+RT PREVIOUS'!$M$2:$M$15000,'WH+RT PREVIOUS'!$B$2:$B$15000,"Imp 10-26-26",'WH+RT PREVIOUS'!$S$2:$S$15000,"N C Das &amp; Company",'WH+RT PREVIOUS'!$N$2:$N$15000,"&gt;179",'WH+RT PREVIOUS'!$N$2:$N$15000,"&lt;366")</f>
        <v>0</v>
      </c>
      <c r="I72" s="1">
        <f>SUMIFS('WH+RT PREVIOUS'!$M$2:$M$15000,'WH+RT PREVIOUS'!$B$2:$B$15000,"MOP",'WH+RT PREVIOUS'!$S$2:$S$15000,"N C Das &amp; Company",'WH+RT PREVIOUS'!$N$2:$N$15000,"&gt;179",'WH+RT PREVIOUS'!$N$2:$N$15000,"&lt;366")</f>
        <v>0</v>
      </c>
      <c r="J72" s="1">
        <f>SUMIFS('WH+RT PREVIOUS'!$M$2:$M$15000,'WH+RT PREVIOUS'!$B$2:$B$15000,"Imp DAP",'WH+RT PREVIOUS'!$S$2:$S$15000,"N C Das &amp; Company",'WH+RT PREVIOUS'!$N$2:$N$15000,"&gt;179",'WH+RT PREVIOUS'!$N$2:$N$15000,"&lt;366")</f>
        <v>0</v>
      </c>
      <c r="K72" s="1">
        <f>F72+G72+H72+I72+J72</f>
        <v>8.5050000000000008</v>
      </c>
      <c r="L72" s="1">
        <f>SUMIFS('WH+RT CURRENT'!$M$2:$M$15000,'WH+RT CURRENT'!$B$2:$B$15000,"N.C.Urea(45kg)",'WH+RT CURRENT'!$S$2:$S$15000,"N C Das &amp; Company",'WH+RT CURRENT'!$N$2:$N$15000,"&gt;179",'WH+RT CURRENT'!$N$2:$N$15000,"&lt;366")</f>
        <v>2.4300000000000002</v>
      </c>
      <c r="M72" s="1">
        <f>SUMIFS('WH+RT CURRENT'!$M$2:$M$15000,'WH+RT CURRENT'!$B$2:$B$15000,"15-15-15",'WH+RT CURRENT'!$S$2:$S$15000,"N C Das &amp; Company",'WH+RT CURRENT'!$N$2:$N$15000,"&gt;179",'WH+RT CURRENT'!$N$2:$N$15000,"&lt;366")</f>
        <v>0</v>
      </c>
      <c r="N72" s="1">
        <f>SUMIFS('WH+RT CURRENT'!$M$2:$M$15000,'WH+RT CURRENT'!$B$2:$B$15000,"Imp 10-26-26",'WH+RT CURRENT'!$S$2:$S$15000,"N C Das &amp; Company",'WH+RT CURRENT'!$N$2:$N$15000,"&gt;179",'WH+RT CURRENT'!$N$2:$N$15000,"&lt;366")</f>
        <v>0</v>
      </c>
      <c r="O72" s="1">
        <f>SUMIFS('WH+RT CURRENT'!$M$2:$M$15000,'WH+RT CURRENT'!$B$2:$B$15000,"MOP",'WH+RT CURRENT'!$S$2:$S$15000,"N C Das &amp; Company",'WH+RT CURRENT'!$N$2:$N$15000,"&gt;179",'WH+RT CURRENT'!$N$2:$N$15000,"&lt;366")</f>
        <v>0</v>
      </c>
      <c r="P72" s="1">
        <f>SUMIFS('WH+RT CURRENT'!$M$2:$M$15000,'WH+RT CURRENT'!$B$2:$B$15000,"Imp DAP",'WH+RT CURRENT'!$S$2:$S$15000,"N C Das &amp; Company",'WH+RT CURRENT'!$N$2:$N$15000,"&gt;179",'WH+RT CURRENT'!$N$2:$N$15000,"&lt;366")</f>
        <v>0</v>
      </c>
      <c r="Q72" s="1">
        <f>L72+M72+N72+O72+P72</f>
        <v>2.4300000000000002</v>
      </c>
    </row>
    <row r="73" spans="5:17" x14ac:dyDescent="0.25">
      <c r="E73" s="2" t="s">
        <v>6</v>
      </c>
      <c r="F73" s="1">
        <f>SUMIFS('WH+RT PREVIOUS'!$M$2:$M$15000,'WH+RT PREVIOUS'!$B$2:$B$15000,"N.C.Urea(45kg)",'WH+RT PREVIOUS'!$S$2:$S$15000,"N C Das &amp; Company",'WH+RT PREVIOUS'!$N$2:$N$15000,"&gt;365")</f>
        <v>9.293000000000001</v>
      </c>
      <c r="G73" s="1">
        <f>SUMIFS('WH+RT PREVIOUS'!$M$2:$M$15000,'WH+RT PREVIOUS'!$B$2:$B$15000,"15-15-15",'WH+RT PREVIOUS'!$S$2:$S$15000,"N C Das &amp; Company",'WH+RT PREVIOUS'!$N$2:$N$15000,"&gt;365")</f>
        <v>1</v>
      </c>
      <c r="H73" s="1">
        <f>SUMIFS('WH+RT PREVIOUS'!$M$2:$M$15000,'WH+RT PREVIOUS'!$B$2:$B$15000,"Imp 10-26-26",'WH+RT PREVIOUS'!$S$2:$S$15000,"N C Das &amp; Company",'WH+RT PREVIOUS'!$N$2:$N$15000,"&gt;365")</f>
        <v>0</v>
      </c>
      <c r="I73" s="1">
        <f>SUMIFS('WH+RT PREVIOUS'!$M$2:$M$15000,'WH+RT PREVIOUS'!$B$2:$B$15000,"MOP",'WH+RT PREVIOUS'!$S$2:$S$15000,"N C Das &amp; Company",'WH+RT PREVIOUS'!$N$2:$N$15000,"&gt;365")</f>
        <v>0</v>
      </c>
      <c r="J73" s="1">
        <f>SUMIFS('WH+RT PREVIOUS'!$M$2:$M$15000,'WH+RT PREVIOUS'!$B$2:$B$15000,"Imp DAP",'WH+RT PREVIOUS'!$S$2:$S$15000,"N C Das &amp; Company",'WH+RT PREVIOUS'!$N$2:$N$15000,"&gt;365")</f>
        <v>0</v>
      </c>
      <c r="K73" s="1">
        <f>F73+G73+H73+I73+J73</f>
        <v>10.293000000000001</v>
      </c>
      <c r="L73" s="1">
        <f>SUMIFS('WH+RT CURRENT'!$M$2:$M$15000,'WH+RT CURRENT'!$B$2:$B$15000,"N.C.Urea(45kg)",'WH+RT CURRENT'!$S$2:$S$15000,"N C Das &amp; Company",'WH+RT CURRENT'!$N$2:$N$15000,"&gt;365")</f>
        <v>15.323</v>
      </c>
      <c r="M73" s="1">
        <f>SUMIFS('WH+RT CURRENT'!$M$2:$M$15000,'WH+RT CURRENT'!$B$2:$B$15000,"15-15-15",'WH+RT CURRENT'!$S$2:$S$15000,"N C Das &amp; Company",'WH+RT CURRENT'!$N$2:$N$15000,"&gt;365")</f>
        <v>1</v>
      </c>
      <c r="N73" s="1">
        <f>SUMIFS('WH+RT CURRENT'!$M$2:$M$15000,'WH+RT CURRENT'!$B$2:$B$15000,"Imp 10-26-26",'WH+RT CURRENT'!$S$2:$S$15000,"N C Das &amp; Company",'WH+RT CURRENT'!$N$2:$N$15000,"&gt;365")</f>
        <v>0</v>
      </c>
      <c r="O73" s="1">
        <f>SUMIFS('WH+RT CURRENT'!$M$2:$M$15000,'WH+RT CURRENT'!$B$2:$B$15000,"MOP",'WH+RT CURRENT'!$S$2:$S$15000,"N C Das &amp; Company",'WH+RT CURRENT'!$N$2:$N$15000,"&gt;365")</f>
        <v>0</v>
      </c>
      <c r="P73" s="1">
        <f>SUMIFS('WH+RT CURRENT'!$M$2:$M$15000,'WH+RT CURRENT'!$B$2:$B$15000,"Imp DAP",'WH+RT CURRENT'!$S$2:$S$15000,"N C Das &amp; Company",'WH+RT CURRENT'!$N$2:$N$15000,"&gt;365")</f>
        <v>0</v>
      </c>
      <c r="Q73" s="1">
        <f>L73+M73+N73+O73+P73</f>
        <v>16.323</v>
      </c>
    </row>
    <row r="74" spans="5:17" x14ac:dyDescent="0.25">
      <c r="E74" s="2" t="s">
        <v>7</v>
      </c>
      <c r="F74" s="1">
        <f>F72+F73</f>
        <v>17.798000000000002</v>
      </c>
      <c r="G74" s="1">
        <f>G72+G73</f>
        <v>1</v>
      </c>
      <c r="H74" s="1">
        <f>H72+H73</f>
        <v>0</v>
      </c>
      <c r="I74" s="1">
        <f>I72+I73</f>
        <v>0</v>
      </c>
      <c r="J74" s="1">
        <f>J72+J73</f>
        <v>0</v>
      </c>
      <c r="K74" s="1">
        <f>F74+G74+H74+I74+J74</f>
        <v>18.798000000000002</v>
      </c>
      <c r="L74" s="1">
        <f>L72+L73</f>
        <v>17.753</v>
      </c>
      <c r="M74" s="1">
        <f>M72+M73</f>
        <v>1</v>
      </c>
      <c r="N74" s="1">
        <f>N72+N73</f>
        <v>0</v>
      </c>
      <c r="O74" s="1">
        <f>O72+O73</f>
        <v>0</v>
      </c>
      <c r="P74" s="1">
        <f>P72+P73</f>
        <v>0</v>
      </c>
      <c r="Q74" s="1">
        <f>L74+M74+N74+O74+P74</f>
        <v>18.753</v>
      </c>
    </row>
    <row r="75" spans="5:17" x14ac:dyDescent="0.25">
      <c r="E75" s="2" t="s">
        <v>9</v>
      </c>
      <c r="F75" s="1">
        <f>SUMIFS('WH+RT PREVIOUS'!$M$2:$M$15000,'WH+RT PREVIOUS'!$B$2:$B$15000,"N.C.Urea(45kg)",'WH+RT PREVIOUS'!$S$2:$S$15000,"N C Das &amp; Company")</f>
        <v>183.55299999999994</v>
      </c>
      <c r="G75" s="1">
        <f>SUMIFS('WH+RT PREVIOUS'!$M$2:$M$15000,'WH+RT PREVIOUS'!$B$2:$B$15000,"15-15-15",'WH+RT PREVIOUS'!$S$2:$S$15000,"N C Das &amp; Company")</f>
        <v>11.525</v>
      </c>
      <c r="H75" s="1">
        <f>SUMIFS('WH+RT PREVIOUS'!$M$2:$M$15000,'WH+RT PREVIOUS'!$B$2:$B$15000,"Imp 10-26-26",'WH+RT PREVIOUS'!$S$2:$S$15000,"N C Das &amp; Company")</f>
        <v>9.75</v>
      </c>
      <c r="I75" s="1">
        <f>SUMIFS('WH+RT PREVIOUS'!$M$2:$M$15000,'WH+RT PREVIOUS'!$B$2:$B$15000,"MOP",'WH+RT PREVIOUS'!$S$2:$S$15000,"N C Das &amp; Company")</f>
        <v>11</v>
      </c>
      <c r="J75" s="1">
        <f>SUMIFS('WH+RT PREVIOUS'!$M$2:$M$15000,'WH+RT PREVIOUS'!$B$2:$B$15000,"Imp DAP",'WH+RT PREVIOUS'!$S$2:$S$15000,"N C Das &amp; Company")</f>
        <v>0</v>
      </c>
      <c r="K75" s="1">
        <f>F75+G75+H75+I75+J75</f>
        <v>215.82799999999995</v>
      </c>
      <c r="L75" s="1">
        <f>SUMIFS('WH+RT CURRENT'!$M$2:$M$15000,'WH+RT CURRENT'!$B$2:$B$15000,"N.C.Urea(45kg)",'WH+RT CURRENT'!$S$2:$S$15000,"N C Das &amp; Company")</f>
        <v>183.50799999999998</v>
      </c>
      <c r="M75" s="1">
        <f>SUMIFS('WH+RT CURRENT'!$M$2:$M$15000,'WH+RT CURRENT'!$B$2:$B$15000,"15-15-15",'WH+RT CURRENT'!$S$2:$S$15000,"N C Das &amp; Company")</f>
        <v>10.525</v>
      </c>
      <c r="N75" s="1">
        <f>SUMIFS('WH+RT CURRENT'!$M$2:$M$15000,'WH+RT CURRENT'!$B$2:$B$15000,"Imp 10-26-26",'WH+RT CURRENT'!$S$2:$S$15000,"N C Das &amp; Company")</f>
        <v>9.75</v>
      </c>
      <c r="O75" s="1">
        <f>SUMIFS('WH+RT CURRENT'!$M$2:$M$15000,'WH+RT CURRENT'!$B$2:$B$15000,"MOP",'WH+RT CURRENT'!$S$2:$S$15000,"N C Das &amp; Company")</f>
        <v>11</v>
      </c>
      <c r="P75" s="1">
        <f>SUMIFS('WH+RT CURRENT'!$M$2:$M$15000,'WH+RT CURRENT'!$B$2:$B$15000,"Imp DAP",'WH+RT CURRENT'!$S$2:$S$15000,"N C Das &amp; Company")</f>
        <v>0</v>
      </c>
      <c r="Q75" s="1">
        <f>L75+M75+N75+O75+P75</f>
        <v>214.78299999999999</v>
      </c>
    </row>
    <row r="78" spans="5:17" x14ac:dyDescent="0.25">
      <c r="E78" s="12" t="s">
        <v>2475</v>
      </c>
      <c r="F78" s="12"/>
      <c r="G78" s="12"/>
      <c r="H78" s="12"/>
      <c r="I78" s="12"/>
      <c r="J78" s="12"/>
      <c r="K78" s="12"/>
      <c r="L78" s="12"/>
      <c r="M78" s="12"/>
      <c r="N78" s="12"/>
      <c r="O78" s="12"/>
      <c r="P78" s="12"/>
      <c r="Q78" s="12"/>
    </row>
    <row r="79" spans="5:17" x14ac:dyDescent="0.25">
      <c r="E79" s="13"/>
      <c r="F79" s="15" t="s">
        <v>8130</v>
      </c>
      <c r="G79" s="15"/>
      <c r="H79" s="15"/>
      <c r="I79" s="15"/>
      <c r="J79" s="15"/>
      <c r="K79" s="15"/>
      <c r="L79" s="15" t="s">
        <v>8131</v>
      </c>
      <c r="M79" s="15"/>
      <c r="N79" s="15"/>
      <c r="O79" s="15"/>
      <c r="P79" s="15"/>
      <c r="Q79" s="15"/>
    </row>
    <row r="80" spans="5:17" x14ac:dyDescent="0.25">
      <c r="E80" s="14"/>
      <c r="F80" s="2" t="s">
        <v>0</v>
      </c>
      <c r="G80" s="2" t="s">
        <v>1</v>
      </c>
      <c r="H80" s="2" t="s">
        <v>2</v>
      </c>
      <c r="I80" s="2" t="s">
        <v>3</v>
      </c>
      <c r="J80" s="2" t="s">
        <v>8128</v>
      </c>
      <c r="K80" s="2" t="s">
        <v>4</v>
      </c>
      <c r="L80" s="2" t="s">
        <v>0</v>
      </c>
      <c r="M80" s="2" t="s">
        <v>1</v>
      </c>
      <c r="N80" s="2" t="s">
        <v>2</v>
      </c>
      <c r="O80" s="2" t="s">
        <v>3</v>
      </c>
      <c r="P80" s="2" t="s">
        <v>8128</v>
      </c>
      <c r="Q80" s="2" t="s">
        <v>4</v>
      </c>
    </row>
    <row r="81" spans="5:17" x14ac:dyDescent="0.25">
      <c r="E81" s="2" t="s">
        <v>5</v>
      </c>
      <c r="F81" s="1">
        <f>SUMIFS('WH+RT PREVIOUS'!$M$2:$M$15000,'WH+RT PREVIOUS'!$B$2:$B$15000,"N.C.Urea(45kg)",'WH+RT PREVIOUS'!$S$2:$S$15000,"R. B. Agro Enterprise",'WH+RT PREVIOUS'!$N$2:$N$15000,"&gt;179",'WH+RT PREVIOUS'!$N$2:$N$15000,"&lt;366")</f>
        <v>0</v>
      </c>
      <c r="G81" s="1">
        <f>SUMIFS('WH+RT PREVIOUS'!$M$2:$M$15000,'WH+RT PREVIOUS'!$B$2:$B$15000,"15-15-15",'WH+RT PREVIOUS'!$S$2:$S$15000,"R. B. Agro Enterprise",'WH+RT PREVIOUS'!$N$2:$N$15000,"&gt;179",'WH+RT PREVIOUS'!$N$2:$N$15000,"&lt;366")</f>
        <v>0</v>
      </c>
      <c r="H81" s="1">
        <f>SUMIFS('WH+RT PREVIOUS'!$M$2:$M$15000,'WH+RT PREVIOUS'!$B$2:$B$15000,"Imp 10-26-26",'WH+RT PREVIOUS'!$S$2:$S$15000,"R. B. Agro Enterprise",'WH+RT PREVIOUS'!$N$2:$N$15000,"&gt;179",'WH+RT PREVIOUS'!$N$2:$N$15000,"&lt;366")</f>
        <v>0</v>
      </c>
      <c r="I81" s="1">
        <f>SUMIFS('WH+RT PREVIOUS'!$M$2:$M$15000,'WH+RT PREVIOUS'!$B$2:$B$15000,"MOP",'WH+RT PREVIOUS'!$S$2:$S$15000,"R. B. Agro Enterprise",'WH+RT PREVIOUS'!$N$2:$N$15000,"&gt;179",'WH+RT PREVIOUS'!$N$2:$N$15000,"&lt;366")</f>
        <v>0</v>
      </c>
      <c r="J81" s="1">
        <f>SUMIFS('WH+RT PREVIOUS'!$M$2:$M$15000,'WH+RT PREVIOUS'!$B$2:$B$15000,"Imp DAP",'WH+RT PREVIOUS'!$S$2:$S$15000,"R. B. Agro Enterprise",'WH+RT PREVIOUS'!$N$2:$N$15000,"&gt;179",'WH+RT PREVIOUS'!$N$2:$N$15000,"&lt;366")</f>
        <v>0</v>
      </c>
      <c r="K81" s="1">
        <f>F81+G81+H81+I81+J81</f>
        <v>0</v>
      </c>
      <c r="L81" s="1">
        <f>SUMIFS('WH+RT CURRENT'!$M$2:$M$15000,'WH+RT CURRENT'!$B$2:$B$15000,"N.C.Urea(45kg)",'WH+RT CURRENT'!$S$2:$S$15000,"R. B. Agro Enterprise",'WH+RT CURRENT'!$N$2:$N$15000,"&gt;179",'WH+RT CURRENT'!$N$2:$N$15000,"&lt;366")</f>
        <v>0</v>
      </c>
      <c r="M81" s="1">
        <f>SUMIFS('WH+RT CURRENT'!$M$2:$M$15000,'WH+RT CURRENT'!$B$2:$B$15000,"15-15-15",'WH+RT CURRENT'!$S$2:$S$15000,"R. B. Agro Enterprise",'WH+RT CURRENT'!$N$2:$N$15000,"&gt;179",'WH+RT CURRENT'!$N$2:$N$15000,"&lt;366")</f>
        <v>0</v>
      </c>
      <c r="N81" s="1">
        <f>SUMIFS('WH+RT CURRENT'!$M$2:$M$15000,'WH+RT CURRENT'!$B$2:$B$15000,"Imp 10-26-26",'WH+RT CURRENT'!$S$2:$S$15000,"R. B. Agro Enterprise",'WH+RT CURRENT'!$N$2:$N$15000,"&gt;179",'WH+RT CURRENT'!$N$2:$N$15000,"&lt;366")</f>
        <v>0</v>
      </c>
      <c r="O81" s="1">
        <f>SUMIFS('WH+RT CURRENT'!$M$2:$M$15000,'WH+RT CURRENT'!$B$2:$B$15000,"MOP",'WH+RT CURRENT'!$S$2:$S$15000,"R. B. Agro Enterprise",'WH+RT CURRENT'!$N$2:$N$15000,"&gt;179",'WH+RT CURRENT'!$N$2:$N$15000,"&lt;366")</f>
        <v>0</v>
      </c>
      <c r="P81" s="1">
        <f>SUMIFS('WH+RT CURRENT'!$M$2:$M$15000,'WH+RT CURRENT'!$B$2:$B$15000,"Imp DAP",'WH+RT CURRENT'!$S$2:$S$15000,"R. B. Agro Enterprise",'WH+RT CURRENT'!$N$2:$N$15000,"&gt;179",'WH+RT CURRENT'!$N$2:$N$15000,"&lt;366")</f>
        <v>0</v>
      </c>
      <c r="Q81" s="1">
        <f>L81+M81+N81+O81+P81</f>
        <v>0</v>
      </c>
    </row>
    <row r="82" spans="5:17" x14ac:dyDescent="0.25">
      <c r="E82" s="2" t="s">
        <v>6</v>
      </c>
      <c r="F82" s="1">
        <f>SUMIFS('WH+RT PREVIOUS'!$M$2:$M$15000,'WH+RT PREVIOUS'!$B$2:$B$15000,"N.C.Urea(45kg)",'WH+RT PREVIOUS'!$S$2:$S$15000,"R. B. Agro Enterprise",'WH+RT PREVIOUS'!$N$2:$N$15000,"&gt;365")</f>
        <v>37.168000000000013</v>
      </c>
      <c r="G82" s="1">
        <f>SUMIFS('WH+RT PREVIOUS'!$M$2:$M$15000,'WH+RT PREVIOUS'!$B$2:$B$15000,"15-15-15",'WH+RT PREVIOUS'!$S$2:$S$15000,"R. B. Agro Enterprise",'WH+RT PREVIOUS'!$N$2:$N$15000,"&gt;365")</f>
        <v>6.5200000000000005</v>
      </c>
      <c r="H82" s="1">
        <f>SUMIFS('WH+RT PREVIOUS'!$M$2:$M$15000,'WH+RT PREVIOUS'!$B$2:$B$15000,"Imp 10-26-26",'WH+RT PREVIOUS'!$S$2:$S$15000,"R. B. Agro Enterprise",'WH+RT PREVIOUS'!$N$2:$N$15000,"&gt;365")</f>
        <v>0</v>
      </c>
      <c r="I82" s="1">
        <f>SUMIFS('WH+RT PREVIOUS'!$M$2:$M$15000,'WH+RT PREVIOUS'!$B$2:$B$15000,"MOP",'WH+RT PREVIOUS'!$S$2:$S$15000,"R. B. Agro Enterprise",'WH+RT PREVIOUS'!$N$2:$N$15000,"&gt;365")</f>
        <v>0</v>
      </c>
      <c r="J82" s="1">
        <f>SUMIFS('WH+RT PREVIOUS'!$M$2:$M$15000,'WH+RT PREVIOUS'!$B$2:$B$15000,"Imp DAP",'WH+RT PREVIOUS'!$S$2:$S$15000,"R. B. Agro Enterprise",'WH+RT PREVIOUS'!$N$2:$N$15000,"&gt;365")</f>
        <v>0</v>
      </c>
      <c r="K82" s="1">
        <f>F82+G82+H82+I82+J82</f>
        <v>43.688000000000017</v>
      </c>
      <c r="L82" s="1">
        <f>SUMIFS('WH+RT CURRENT'!$M$2:$M$15000,'WH+RT CURRENT'!$B$2:$B$15000,"N.C.Urea(45kg)",'WH+RT CURRENT'!$S$2:$S$15000,"R. B. Agro Enterprise",'WH+RT CURRENT'!$N$2:$N$15000,"&gt;365")</f>
        <v>37.167999999999999</v>
      </c>
      <c r="M82" s="1">
        <f>SUMIFS('WH+RT CURRENT'!$M$2:$M$15000,'WH+RT CURRENT'!$B$2:$B$15000,"15-15-15",'WH+RT CURRENT'!$S$2:$S$15000,"R. B. Agro Enterprise",'WH+RT CURRENT'!$N$2:$N$15000,"&gt;365")</f>
        <v>6.52</v>
      </c>
      <c r="N82" s="1">
        <f>SUMIFS('WH+RT CURRENT'!$M$2:$M$15000,'WH+RT CURRENT'!$B$2:$B$15000,"Imp 10-26-26",'WH+RT CURRENT'!$S$2:$S$15000,"R. B. Agro Enterprise",'WH+RT CURRENT'!$N$2:$N$15000,"&gt;365")</f>
        <v>0</v>
      </c>
      <c r="O82" s="1">
        <f>SUMIFS('WH+RT CURRENT'!$M$2:$M$15000,'WH+RT CURRENT'!$B$2:$B$15000,"MOP",'WH+RT CURRENT'!$S$2:$S$15000,"R. B. Agro Enterprise",'WH+RT CURRENT'!$N$2:$N$15000,"&gt;365")</f>
        <v>0</v>
      </c>
      <c r="P82" s="1">
        <f>SUMIFS('WH+RT CURRENT'!$M$2:$M$15000,'WH+RT CURRENT'!$B$2:$B$15000,"Imp DAP",'WH+RT CURRENT'!$S$2:$S$15000,"R. B. Agro Enterprise",'WH+RT CURRENT'!$N$2:$N$15000,"&gt;365")</f>
        <v>0</v>
      </c>
      <c r="Q82" s="1">
        <f>L82+M82+N82+O82+P82</f>
        <v>43.688000000000002</v>
      </c>
    </row>
    <row r="83" spans="5:17" x14ac:dyDescent="0.25">
      <c r="E83" s="2" t="s">
        <v>7</v>
      </c>
      <c r="F83" s="1">
        <f>F81+F82</f>
        <v>37.168000000000013</v>
      </c>
      <c r="G83" s="1">
        <f>G81+G82</f>
        <v>6.5200000000000005</v>
      </c>
      <c r="H83" s="1">
        <f>H81+H82</f>
        <v>0</v>
      </c>
      <c r="I83" s="1">
        <f>I81+I82</f>
        <v>0</v>
      </c>
      <c r="J83" s="1">
        <f>J81+J82</f>
        <v>0</v>
      </c>
      <c r="K83" s="1">
        <f>F83+G83+H83+I83+J83</f>
        <v>43.688000000000017</v>
      </c>
      <c r="L83" s="1">
        <f>L81+L82</f>
        <v>37.167999999999999</v>
      </c>
      <c r="M83" s="1">
        <f>M81+M82</f>
        <v>6.52</v>
      </c>
      <c r="N83" s="1">
        <f>N81+N82</f>
        <v>0</v>
      </c>
      <c r="O83" s="1">
        <f>O81+O82</f>
        <v>0</v>
      </c>
      <c r="P83" s="1">
        <f>P81+P82</f>
        <v>0</v>
      </c>
      <c r="Q83" s="1">
        <f>L83+M83+N83+O83+P83</f>
        <v>43.688000000000002</v>
      </c>
    </row>
    <row r="84" spans="5:17" x14ac:dyDescent="0.25">
      <c r="E84" s="2" t="s">
        <v>9</v>
      </c>
      <c r="F84" s="1">
        <f>SUMIFS('WH+RT PREVIOUS'!$M$2:$M$15000,'WH+RT PREVIOUS'!$B$2:$B$15000,"N.C.Urea(45kg)",'WH+RT PREVIOUS'!$S$2:$S$15000,"R. B. Agro Enterprise")</f>
        <v>37.168000000000013</v>
      </c>
      <c r="G84" s="1">
        <f>SUMIFS('WH+RT PREVIOUS'!$M$2:$M$15000,'WH+RT PREVIOUS'!$B$2:$B$15000,"15-15-15",'WH+RT PREVIOUS'!$S$2:$S$15000,"R. B. Agro Enterprise")</f>
        <v>6.5200000000000005</v>
      </c>
      <c r="H84" s="1">
        <f>SUMIFS('WH+RT PREVIOUS'!$M$2:$M$15000,'WH+RT PREVIOUS'!$B$2:$B$15000,"Imp 10-26-26",'WH+RT PREVIOUS'!$S$2:$S$15000,"R. B. Agro Enterprise")</f>
        <v>0</v>
      </c>
      <c r="I84" s="1">
        <f>SUMIFS('WH+RT PREVIOUS'!$M$2:$M$15000,'WH+RT PREVIOUS'!$B$2:$B$15000,"MOP",'WH+RT PREVIOUS'!$S$2:$S$15000,"R. B. Agro Enterprise")</f>
        <v>0</v>
      </c>
      <c r="J84" s="1">
        <f>SUMIFS('WH+RT PREVIOUS'!$M$2:$M$15000,'WH+RT PREVIOUS'!$B$2:$B$15000,"Imp DAP",'WH+RT PREVIOUS'!$S$2:$S$15000,"R. B. Agro Enterprise")</f>
        <v>0</v>
      </c>
      <c r="K84" s="1">
        <f>F84+G84+H84+I84+J84</f>
        <v>43.688000000000017</v>
      </c>
      <c r="L84" s="1">
        <f>SUMIFS('WH+RT CURRENT'!$M$2:$M$15000,'WH+RT CURRENT'!$B$2:$B$15000,"N.C.Urea(45kg)",'WH+RT CURRENT'!$S$2:$S$15000,"R. B. Agro Enterprise")</f>
        <v>37.167999999999999</v>
      </c>
      <c r="M84" s="1">
        <f>SUMIFS('WH+RT CURRENT'!$M$2:$M$15000,'WH+RT CURRENT'!$B$2:$B$15000,"15-15-15",'WH+RT CURRENT'!$S$2:$S$15000,"R. B. Agro Enterprise")</f>
        <v>6.52</v>
      </c>
      <c r="N84" s="1">
        <f>SUMIFS('WH+RT CURRENT'!$M$2:$M$15000,'WH+RT CURRENT'!$B$2:$B$15000,"Imp 10-26-26",'WH+RT CURRENT'!$S$2:$S$15000,"R. B. Agro Enterprise")</f>
        <v>0</v>
      </c>
      <c r="O84" s="1">
        <f>SUMIFS('WH+RT CURRENT'!$M$2:$M$15000,'WH+RT CURRENT'!$B$2:$B$15000,"MOP",'WH+RT CURRENT'!$S$2:$S$15000,"R. B. Agro Enterprise")</f>
        <v>0</v>
      </c>
      <c r="P84" s="1">
        <f>SUMIFS('WH+RT CURRENT'!$M$2:$M$15000,'WH+RT CURRENT'!$B$2:$B$15000,"Imp DAP",'WH+RT CURRENT'!$S$2:$S$15000,"R. B. Agro Enterprise")</f>
        <v>0</v>
      </c>
      <c r="Q84" s="1">
        <f>L84+M84+N84+O84+P84</f>
        <v>43.688000000000002</v>
      </c>
    </row>
  </sheetData>
  <mergeCells count="37">
    <mergeCell ref="E6:Q6"/>
    <mergeCell ref="E7:E8"/>
    <mergeCell ref="F7:K7"/>
    <mergeCell ref="L7:Q7"/>
    <mergeCell ref="E1:Q3"/>
    <mergeCell ref="E15:Q15"/>
    <mergeCell ref="E42:Q42"/>
    <mergeCell ref="E43:E44"/>
    <mergeCell ref="F43:K43"/>
    <mergeCell ref="L43:Q43"/>
    <mergeCell ref="E33:Q33"/>
    <mergeCell ref="E34:E35"/>
    <mergeCell ref="F34:K34"/>
    <mergeCell ref="L34:Q34"/>
    <mergeCell ref="E16:E17"/>
    <mergeCell ref="F16:K16"/>
    <mergeCell ref="L16:Q16"/>
    <mergeCell ref="E24:Q24"/>
    <mergeCell ref="E25:E26"/>
    <mergeCell ref="F25:K25"/>
    <mergeCell ref="L25:Q25"/>
    <mergeCell ref="E51:Q51"/>
    <mergeCell ref="E52:E53"/>
    <mergeCell ref="F52:K52"/>
    <mergeCell ref="L52:Q52"/>
    <mergeCell ref="E60:Q60"/>
    <mergeCell ref="E78:Q78"/>
    <mergeCell ref="E79:E80"/>
    <mergeCell ref="F79:K79"/>
    <mergeCell ref="L79:Q79"/>
    <mergeCell ref="E61:E62"/>
    <mergeCell ref="F61:K61"/>
    <mergeCell ref="L61:Q61"/>
    <mergeCell ref="E69:Q69"/>
    <mergeCell ref="E70:E71"/>
    <mergeCell ref="F70:K70"/>
    <mergeCell ref="L70:Q7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20E8C-DC8D-47D2-B57E-E3ED77134C93}">
  <dimension ref="E1:S12"/>
  <sheetViews>
    <sheetView topLeftCell="A10" workbookViewId="0"/>
  </sheetViews>
  <sheetFormatPr defaultRowHeight="15" x14ac:dyDescent="0.25"/>
  <cols>
    <col min="1" max="4" width="10.7109375" customWidth="1"/>
    <col min="5" max="5" width="13.7109375" bestFit="1" customWidth="1"/>
  </cols>
  <sheetData>
    <row r="1" spans="5:19" x14ac:dyDescent="0.25">
      <c r="E1" s="16" t="s">
        <v>8132</v>
      </c>
      <c r="F1" s="17"/>
      <c r="G1" s="17"/>
      <c r="H1" s="17"/>
      <c r="I1" s="17"/>
      <c r="J1" s="17"/>
      <c r="K1" s="17"/>
      <c r="L1" s="17"/>
      <c r="M1" s="17"/>
      <c r="N1" s="17"/>
      <c r="O1" s="17"/>
      <c r="P1" s="17"/>
      <c r="Q1" s="17"/>
      <c r="R1" t="s">
        <v>8141</v>
      </c>
      <c r="S1">
        <v>1</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307</v>
      </c>
      <c r="F6" s="12"/>
      <c r="G6" s="12"/>
      <c r="H6" s="12"/>
      <c r="I6" s="12"/>
      <c r="J6" s="12"/>
      <c r="K6" s="12"/>
      <c r="L6" s="12"/>
      <c r="M6" s="12"/>
      <c r="N6" s="12"/>
      <c r="O6" s="12"/>
      <c r="P6" s="12"/>
      <c r="Q6" s="12"/>
    </row>
    <row r="7" spans="5:19" x14ac:dyDescent="0.25">
      <c r="E7" s="13"/>
      <c r="F7" s="15" t="s">
        <v>8147</v>
      </c>
      <c r="G7" s="15"/>
      <c r="H7" s="15"/>
      <c r="I7" s="15"/>
      <c r="J7" s="15"/>
      <c r="K7" s="15"/>
      <c r="L7" s="15" t="s">
        <v>8148</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PREVIOUS'!$R$2:$R$15000,"214203",'WH+RT PREVIOUS'!$N$2:$N$15000,"&gt;179",'WH+RT PREVIOUS'!$N$2:$N$15000,"&lt;366")</f>
        <v>0</v>
      </c>
      <c r="G9" s="1">
        <f>SUMIFS('WH+RT PREVIOUS'!$M$2:$M$15000,'WH+RT PREVIOUS'!$B$2:$B$15000,"15-15-15",'WH+RT PREVIOUS'!$R$2:$R$15000,"214203",'WH+RT PREVIOUS'!$N$2:$N$15000,"&gt;179",'WH+RT PREVIOUS'!$N$2:$N$15000,"&lt;366")</f>
        <v>0.39999999999999997</v>
      </c>
      <c r="H9" s="1">
        <f>SUMIFS('WH+RT PREVIOUS'!$M$2:$M$15000,'WH+RT PREVIOUS'!$B$2:$B$15000,"Imp 10-26-26",'WH+RT PREVIOUS'!$R$2:$R$15000,"214203",'WH+RT PREVIOUS'!$N$2:$N$15000,"&gt;179",'WH+RT PREVIOUS'!$N$2:$N$15000,"&lt;366")</f>
        <v>0</v>
      </c>
      <c r="I9" s="1">
        <f>SUMIFS('WH+RT PREVIOUS'!$M$2:$M$15000,'WH+RT PREVIOUS'!$B$2:$B$15000,"MOP",'WH+RT PREVIOUS'!$R$2:$R$15000,"214203",'WH+RT PREVIOUS'!$N$2:$N$15000,"&gt;179",'WH+RT PREVIOUS'!$N$2:$N$15000,"&lt;366")</f>
        <v>0</v>
      </c>
      <c r="J9" s="1">
        <f>SUMIFS('WH+RT PREVIOUS'!$M$2:$M$15000,'WH+RT PREVIOUS'!$B$2:$B$15000,"Imp DAP",'WH+RT PREVIOUS'!$R$2:$R$15000,"214203",'WH+RT PREVIOUS'!$N$2:$N$15000,"&gt;179",'WH+RT PREVIOUS'!$N$2:$N$15000,"&lt;366")</f>
        <v>0</v>
      </c>
      <c r="K9" s="1">
        <f>F9+G9+H9+I9+J9</f>
        <v>0.39999999999999997</v>
      </c>
      <c r="L9" s="1">
        <f>SUMIFS('WH+RT CURRENT'!$M$2:$M$15000,'WH+RT CURRENT'!$B$2:$B$15000,"N.C.Urea(45kg)",'WH+RT CURRENT'!$R$2:$R$15000,"214203",'WH+RT CURRENT'!$N$2:$N$15000,"&gt;179",'WH+RT CURRENT'!$N$2:$N$15000,"&lt;366")</f>
        <v>0</v>
      </c>
      <c r="M9" s="1">
        <f>SUMIFS('WH+RT CURRENT'!$M$2:$M$15000,'WH+RT CURRENT'!$B$2:$B$15000,"15-15-15",'WH+RT CURRENT'!$R$2:$R$15000,"214203",'WH+RT CURRENT'!$N$2:$N$15000,"&gt;179",'WH+RT CURRENT'!$N$2:$N$15000,"&lt;366")</f>
        <v>0.39999999999999997</v>
      </c>
      <c r="N9" s="1">
        <f>SUMIFS('WH+RT CURRENT'!$M$2:$M$15000,'WH+RT CURRENT'!$B$2:$B$15000,"Imp 10-16-16",'WH+RT CURRENT'!$R$2:$R$15000,"214203",'WH+RT CURRENT'!$N$2:$N$15000,"&gt;179",'WH+RT CURRENT'!$N$2:$N$15000,"&lt;366")</f>
        <v>0</v>
      </c>
      <c r="O9" s="1">
        <f>SUMIFS('WH+RT CURRENT'!$M$2:$M$15000,'WH+RT CURRENT'!$B$2:$B$15000,"MOP",'WH+RT CURRENT'!$R$2:$R$15000,"214203",'WH+RT CURRENT'!$N$2:$N$15000,"&gt;179",'WH+RT CURRENT'!$N$2:$N$15000,"&lt;366")</f>
        <v>0</v>
      </c>
      <c r="P9" s="1">
        <f>SUMIFS('WH+RT CURRENT'!$M$2:$M$15000,'WH+RT CURRENT'!$B$2:$B$15000,"Imp DAP",'WH+RT CURRENT'!$R$2:$R$15000,"214203",'WH+RT CURRENT'!$N$2:$N$15000,"&gt;179",'WH+RT CURRENT'!$N$2:$N$15000,"&lt;366")</f>
        <v>0</v>
      </c>
      <c r="Q9" s="1">
        <f>L9+M9+N9+O9+P9</f>
        <v>0.39999999999999997</v>
      </c>
    </row>
    <row r="10" spans="5:19" x14ac:dyDescent="0.25">
      <c r="E10" s="2" t="s">
        <v>6</v>
      </c>
      <c r="F10" s="1">
        <f>SUMIFS('WH+RT PREVIOUS'!$M$2:$M$15000,'WH+RT PREVIOUS'!$B$2:$B$15000,"N.C.Urea(45kg)",'WH+RT PREVIOUS'!$R$2:$R$15000,"214203",'WH+RT PREVIOUS'!$N$2:$N$15000,"&gt;365")</f>
        <v>0</v>
      </c>
      <c r="G10" s="1">
        <f>SUMIFS('WH+RT PREVIOUS'!$M$2:$M$15000,'WH+RT PREVIOUS'!$B$2:$B$15000,"15-15-15",'WH+RT PREVIOUS'!$R$2:$R$15000,"214203",'WH+RT PREVIOUS'!$N$2:$N$15000,"&gt;365")</f>
        <v>0.33</v>
      </c>
      <c r="H10" s="1">
        <f>SUMIFS('WH+RT PREVIOUS'!$M$2:$M$15000,'WH+RT PREVIOUS'!$B$2:$B$15000,"Imp 10-26-26",'WH+RT PREVIOUS'!$R$2:$R$15000,"214203",'WH+RT PREVIOUS'!$N$2:$N$15000,"&gt;365")</f>
        <v>0.39999999999999997</v>
      </c>
      <c r="I10" s="1">
        <f>SUMIFS('WH+RT PREVIOUS'!$M$2:$M$15000,'WH+RT PREVIOUS'!$B$2:$B$15000,"MOP",'WH+RT PREVIOUS'!$R$2:$R$15000,"214203",'WH+RT PREVIOUS'!$N$2:$N$15000,"&gt;365")</f>
        <v>0</v>
      </c>
      <c r="J10" s="1">
        <f>SUMIFS('WH+RT PREVIOUS'!$M$2:$M$15000,'WH+RT PREVIOUS'!$B$2:$B$15000,"Imp DAP",'WH+RT PREVIOUS'!$R$2:$R$15000,"214203",'WH+RT PREVIOUS'!$N$2:$N$15000,"&gt;365")</f>
        <v>0</v>
      </c>
      <c r="K10" s="1">
        <f t="shared" ref="K10:K12" si="0">F10+G10+H10+I10+J10</f>
        <v>0.73</v>
      </c>
      <c r="L10" s="1">
        <f>SUMIFS('WH+RT CURRENT'!$M$2:$M$15000,'WH+RT CURRENT'!$B$2:$B$15000,"N.C.Urea(45kg)",'WH+RT CURRENT'!$R$2:$R$15000,"214203",'WH+RT CURRENT'!$N$2:$N$15000,"&gt;365")</f>
        <v>0</v>
      </c>
      <c r="M10" s="1">
        <f>SUMIFS('WH+RT CURRENT'!$M$2:$M$15000,'WH+RT CURRENT'!$B$2:$B$15000,"15-15-15",'WH+RT CURRENT'!$R$2:$R$15000,"214203",'WH+RT CURRENT'!$N$2:$N$15000,"&gt;365")</f>
        <v>0.33</v>
      </c>
      <c r="N10" s="1">
        <f>SUMIFS('WH+RT CURRENT'!$M$2:$M$15000,'WH+RT CURRENT'!$B$2:$B$15000,"Imp 16-26-26",'WH+RT CURRENT'!$R$2:$R$15000,"214203",'WH+RT CURRENT'!$N$2:$N$15000,"&gt;365")</f>
        <v>0</v>
      </c>
      <c r="O10" s="1">
        <f>SUMIFS('WH+RT CURRENT'!$M$2:$M$15000,'WH+RT CURRENT'!$B$2:$B$15000,"MOP",'WH+RT CURRENT'!$R$2:$R$15000,"214203",'WH+RT CURRENT'!$N$2:$N$15000,"&gt;365")</f>
        <v>0</v>
      </c>
      <c r="P10" s="1">
        <f>SUMIFS('WH+RT CURRENT'!$M$2:$M$15000,'WH+RT CURRENT'!$B$2:$B$15000,"Imp DAP",'WH+RT CURRENT'!$R$2:$R$15000,"214203",'WH+RT CURRENT'!$N$2:$N$15000,"&gt;365")</f>
        <v>0</v>
      </c>
      <c r="Q10" s="1">
        <f t="shared" ref="Q10:Q12" si="1">L10+M10+N10+O10+P10</f>
        <v>0.33</v>
      </c>
    </row>
    <row r="11" spans="5:19" x14ac:dyDescent="0.25">
      <c r="E11" s="2" t="s">
        <v>7</v>
      </c>
      <c r="F11" s="1">
        <f>F9+F10</f>
        <v>0</v>
      </c>
      <c r="G11" s="1">
        <f>G9+G10</f>
        <v>0.73</v>
      </c>
      <c r="H11" s="1">
        <f>H9+H10</f>
        <v>0.39999999999999997</v>
      </c>
      <c r="I11" s="1">
        <f>I9+I10</f>
        <v>0</v>
      </c>
      <c r="J11" s="1">
        <f>J9+J10</f>
        <v>0</v>
      </c>
      <c r="K11" s="1">
        <f t="shared" si="0"/>
        <v>1.1299999999999999</v>
      </c>
      <c r="L11" s="1">
        <f>L9+L10</f>
        <v>0</v>
      </c>
      <c r="M11" s="1">
        <f>M9+M10</f>
        <v>0.73</v>
      </c>
      <c r="N11" s="1">
        <f>N9+N10</f>
        <v>0</v>
      </c>
      <c r="O11" s="1">
        <f>O9+O10</f>
        <v>0</v>
      </c>
      <c r="P11" s="1">
        <f>P9+P10</f>
        <v>0</v>
      </c>
      <c r="Q11" s="1">
        <f t="shared" si="1"/>
        <v>0.73</v>
      </c>
    </row>
    <row r="12" spans="5:19" x14ac:dyDescent="0.25">
      <c r="E12" s="2" t="s">
        <v>9</v>
      </c>
      <c r="F12" s="1">
        <f>SUMIFS('WH+RT PREVIOUS'!$M$2:$M$15000,'WH+RT PREVIOUS'!$B$2:$B$15000,"N.C.Urea(45kg)",'WH+RT PREVIOUS'!$R$2:$R$15000,"214203")</f>
        <v>2.16</v>
      </c>
      <c r="G12" s="1">
        <f>SUMIFS('WH+RT PREVIOUS'!$M$2:$M$15000,'WH+RT PREVIOUS'!$B$2:$B$15000,"15-15-15",'WH+RT PREVIOUS'!$R$2:$R$15000,"214203")</f>
        <v>3.2299999999999995</v>
      </c>
      <c r="H12" s="1">
        <f>SUMIFS('WH+RT PREVIOUS'!$M$2:$M$15000,'WH+RT PREVIOUS'!$B$2:$B$15000,"Imp 10-26-26",'WH+RT PREVIOUS'!$R$2:$R$15000,"214203")</f>
        <v>0.39999999999999997</v>
      </c>
      <c r="I12" s="1">
        <f>SUMIFS('WH+RT PREVIOUS'!$M$2:$M$15000,'WH+RT PREVIOUS'!$B$2:$B$15000,"MOP",'WH+RT PREVIOUS'!$R$2:$R$15000,"214203")</f>
        <v>0</v>
      </c>
      <c r="J12" s="1">
        <f>SUMIFS('WH+RT PREVIOUS'!$M$2:$M$15000,'WH+RT PREVIOUS'!$B$2:$B$15000,"Imp DAP",'WH+RT PREVIOUS'!$R$2:$R$15000,"214203")</f>
        <v>0</v>
      </c>
      <c r="K12" s="1">
        <f t="shared" si="0"/>
        <v>5.79</v>
      </c>
      <c r="L12" s="1">
        <f>SUMIFS('WH+RT CURRENT'!$M$2:$M$15000,'WH+RT CURRENT'!$B$2:$B$15000,"N.C.Urea(45kg)",'WH+RT CURRENT'!$R$2:$R$15000,"214203")</f>
        <v>2.16</v>
      </c>
      <c r="M12" s="1">
        <f>SUMIFS('WH+RT CURRENT'!$M$2:$M$15000,'WH+RT CURRENT'!$B$2:$B$15000,"15-15-15",'WH+RT CURRENT'!$R$2:$R$15000,"214203")</f>
        <v>3.2799999999999994</v>
      </c>
      <c r="N12" s="1">
        <f>SUMIFS('WH+RT CURRENT'!$M$2:$M$15000,'WH+RT CURRENT'!$B$2:$B$15000,"Imp 10-26-26",'WH+RT CURRENT'!$R$2:$R$15000,"214203")</f>
        <v>0.39999999999999997</v>
      </c>
      <c r="O12" s="1">
        <f>SUMIFS('WH+RT CURRENT'!$M$2:$M$15000,'WH+RT CURRENT'!$B$2:$B$15000,"MOP",'WH+RT CURRENT'!$R$2:$R$15000,"214203")</f>
        <v>0</v>
      </c>
      <c r="P12" s="1">
        <f>SUMIFS('WH+RT CURRENT'!$M$2:$M$15000,'WH+RT CURRENT'!$B$2:$B$15000,"Imp DAP",'WH+RT CURRENT'!$R$2:$R$15000,"214203")</f>
        <v>0</v>
      </c>
      <c r="Q12" s="1">
        <f t="shared" si="1"/>
        <v>5.84</v>
      </c>
    </row>
  </sheetData>
  <mergeCells count="5">
    <mergeCell ref="E6:Q6"/>
    <mergeCell ref="E7:E8"/>
    <mergeCell ref="F7:K7"/>
    <mergeCell ref="L7:Q7"/>
    <mergeCell ref="E1:Q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84D91-53B3-4B3C-8EEA-93643C6729E2}">
  <dimension ref="E1:S21"/>
  <sheetViews>
    <sheetView workbookViewId="0"/>
  </sheetViews>
  <sheetFormatPr defaultRowHeight="15" x14ac:dyDescent="0.25"/>
  <cols>
    <col min="1" max="4" width="10.7109375" customWidth="1"/>
    <col min="5" max="5" width="13.7109375" bestFit="1" customWidth="1"/>
  </cols>
  <sheetData>
    <row r="1" spans="5:19" x14ac:dyDescent="0.25">
      <c r="E1" s="16" t="s">
        <v>336</v>
      </c>
      <c r="F1" s="17"/>
      <c r="G1" s="17"/>
      <c r="H1" s="17"/>
      <c r="I1" s="17"/>
      <c r="J1" s="17"/>
      <c r="K1" s="17"/>
      <c r="L1" s="17"/>
      <c r="M1" s="17"/>
      <c r="N1" s="17"/>
      <c r="O1" s="17"/>
      <c r="P1" s="17"/>
      <c r="Q1" s="17"/>
      <c r="R1" t="s">
        <v>8141</v>
      </c>
      <c r="S1">
        <v>2</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338</v>
      </c>
      <c r="F6" s="12"/>
      <c r="G6" s="12"/>
      <c r="H6" s="12"/>
      <c r="I6" s="12"/>
      <c r="J6" s="12"/>
      <c r="K6" s="12"/>
      <c r="L6" s="12"/>
      <c r="M6" s="12"/>
      <c r="N6" s="12"/>
      <c r="O6" s="12"/>
      <c r="P6" s="12"/>
      <c r="Q6" s="12"/>
    </row>
    <row r="7" spans="5:19" x14ac:dyDescent="0.25">
      <c r="E7" s="13"/>
      <c r="F7" s="15" t="s">
        <v>8130</v>
      </c>
      <c r="G7" s="15"/>
      <c r="H7" s="15"/>
      <c r="I7" s="15"/>
      <c r="J7" s="15"/>
      <c r="K7" s="15"/>
      <c r="L7" s="15" t="s">
        <v>8131</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PREVIOUS'!$S$2:$S$15000,"Bankim Chandra Makur",'WH+RT PREVIOUS'!$N$2:$N$15000,"&gt;179",'WH+RT PREVIOUS'!$N$2:$N$15000,"&lt;366")</f>
        <v>46.385000000000005</v>
      </c>
      <c r="G9" s="1">
        <f>SUMIFS('WH+RT PREVIOUS'!$M$2:$M$15000,'WH+RT PREVIOUS'!$B$2:$B$15000,"15-15-15",'WH+RT PREVIOUS'!$S$2:$S$15000,"Bankim Chandra Makur",'WH+RT PREVIOUS'!$N$2:$N$15000,"&gt;179",'WH+RT PREVIOUS'!$N$2:$N$15000,"&lt;366")</f>
        <v>13.250000000000002</v>
      </c>
      <c r="H9" s="1">
        <f>SUMIFS('WH+RT PREVIOUS'!$M$2:$M$15000,'WH+RT PREVIOUS'!$B$2:$B$15000,"Imp 10-26-26",'WH+RT PREVIOUS'!$S$2:$S$15000,"Bankim Chandra Makur",'WH+RT PREVIOUS'!$N$2:$N$15000,"&gt;179",'WH+RT PREVIOUS'!$N$2:$N$15000,"&lt;366")</f>
        <v>10.15</v>
      </c>
      <c r="I9" s="1">
        <f>SUMIFS('WH+RT PREVIOUS'!$M$2:$M$15000,'WH+RT PREVIOUS'!$B$2:$B$15000,"MOP",'WH+RT PREVIOUS'!$S$2:$S$15000,"Bankim Chandra Makur",'WH+RT PREVIOUS'!$N$2:$N$15000,"&gt;179",'WH+RT PREVIOUS'!$N$2:$N$15000,"&lt;366")</f>
        <v>0</v>
      </c>
      <c r="J9" s="1">
        <f>SUMIFS('WH+RT PREVIOUS'!$M$2:$M$15000,'WH+RT PREVIOUS'!$B$2:$B$15000,"Imp DAP",'WH+RT PREVIOUS'!$S$2:$S$15000,"Bankim Chandra Makur",'WH+RT PREVIOUS'!$N$2:$N$15000,"&gt;179",'WH+RT PREVIOUS'!$N$2:$N$15000,"&lt;366")</f>
        <v>0</v>
      </c>
      <c r="K9" s="1">
        <f>F9+G9+H9+I9+J9</f>
        <v>69.785000000000011</v>
      </c>
      <c r="L9" s="1">
        <f>SUMIFS('WH+RT CURRENT'!$M$2:$M$15000,'WH+RT CURRENT'!$B$2:$B$15000,"N.C.Urea(45kg)",'WH+RT CURRENT'!$S$2:$S$15000,"Bankim Chandra Makur",'WH+RT CURRENT'!$N$2:$N$15000,"&gt;179",'WH+RT CURRENT'!$N$2:$N$15000,"&lt;366")</f>
        <v>42.06</v>
      </c>
      <c r="M9" s="1">
        <f>SUMIFS('WH+RT CURRENT'!$M$2:$M$15000,'WH+RT CURRENT'!$B$2:$B$15000,"15-15-15",'WH+RT CURRENT'!$S$2:$S$15000,"Hasya Badhan Makhal",'WH+RT CURRENT'!$N$2:$N$15000,"&gt;179",'WH+RT CURRENT'!$N$2:$N$15000,"&lt;366")</f>
        <v>0</v>
      </c>
      <c r="N9" s="1">
        <f>SUMIFS('WH+RT CURRENT'!$M$2:$M$15000,'WH+RT CURRENT'!$B$2:$B$15000,"Imp 10-26-26",'WH+RT CURRENT'!$S$2:$S$15000,"Bankim Chandra Makur",'WH+RT CURRENT'!$N$2:$N$15000,"&gt;179",'WH+RT CURRENT'!$N$2:$N$15000,"&lt;366")</f>
        <v>9.9499999999999993</v>
      </c>
      <c r="O9" s="1">
        <f>SUMIFS('WH+RT CURRENT'!$M$2:$M$15000,'WH+RT CURRENT'!$B$2:$B$15000,"MOP",'WH+RT CURRENT'!$S$2:$S$15000,"Bankim Chandra Makur",'WH+RT CURRENT'!$N$2:$N$15000,"&gt;179",'WH+RT CURRENT'!$N$2:$N$15000,"&lt;366")</f>
        <v>0</v>
      </c>
      <c r="P9" s="1">
        <f>SUMIFS('WH+RT CURRENT'!$M$2:$M$15000,'WH+RT CURRENT'!$B$2:$B$15000,"Imp DAP",'WH+RT CURRENT'!$S$2:$S$15000,"Bankim Chandra Makur",'WH+RT CURRENT'!$N$2:$N$15000,"&gt;179",'WH+RT CURRENT'!$N$2:$N$15000,"&lt;366")</f>
        <v>0</v>
      </c>
      <c r="Q9" s="1">
        <f>L9+M9+N9+O9+P9</f>
        <v>52.010000000000005</v>
      </c>
    </row>
    <row r="10" spans="5:19" x14ac:dyDescent="0.25">
      <c r="E10" s="2" t="s">
        <v>6</v>
      </c>
      <c r="F10" s="1">
        <f>SUMIFS('WH+RT PREVIOUS'!$M$2:$M$15000,'WH+RT PREVIOUS'!$B$2:$B$15000,"N.C.Urea(45kg)",'WH+RT PREVIOUS'!$S$2:$S$15000,"Bankim Chandra Makur",'WH+RT PREVIOUS'!$N$2:$N$15000,"&gt;365")</f>
        <v>23.58</v>
      </c>
      <c r="G10" s="1">
        <f>SUMIFS('WH+RT PREVIOUS'!$M$2:$M$15000,'WH+RT PREVIOUS'!$B$2:$B$15000,"15-15-15",'WH+RT PREVIOUS'!$S$2:$S$15000,"Bankim Chandra Makur",'WH+RT PREVIOUS'!$N$2:$N$15000,"&gt;365")</f>
        <v>2.218</v>
      </c>
      <c r="H10" s="1">
        <f>SUMIFS('WH+RT PREVIOUS'!$M$2:$M$15000,'WH+RT PREVIOUS'!$B$2:$B$15000,"Imp 10-26-26",'WH+RT PREVIOUS'!$S$2:$S$15000,"Bankim Chandra Makur",'WH+RT PREVIOUS'!$N$2:$N$15000,"&gt;365")</f>
        <v>0</v>
      </c>
      <c r="I10" s="1">
        <f>SUMIFS('WH+RT PREVIOUS'!$M$2:$M$15000,'WH+RT PREVIOUS'!$B$2:$B$15000,"MOP",'WH+RT PREVIOUS'!$S$2:$S$15000,"Bankim Chandra Makur",'WH+RT PREVIOUS'!$N$2:$N$15000,"&gt;365")</f>
        <v>0</v>
      </c>
      <c r="J10" s="1">
        <f>SUMIFS('WH+RT PREVIOUS'!$M$2:$M$15000,'WH+RT PREVIOUS'!$B$2:$B$15000,"Imp DAP",'WH+RT PREVIOUS'!$S$2:$S$15000,"Bankim Chandra Makur",'WH+RT PREVIOUS'!$N$2:$N$15000,"&gt;365")</f>
        <v>0</v>
      </c>
      <c r="K10" s="1">
        <f>F10+G10+H10+I10+J10</f>
        <v>25.797999999999998</v>
      </c>
      <c r="L10" s="1">
        <f>SUMIFS('WH+RT CURRENT'!$M$2:$M$15000,'WH+RT CURRENT'!$B$2:$B$15000,"N.C.Urea(45kg)",'WH+RT CURRENT'!$S$2:$S$15000,"Bankim Chandra Makur",'WH+RT CURRENT'!$N$2:$N$15000,"&gt;365")</f>
        <v>23.58</v>
      </c>
      <c r="M10" s="1">
        <f>SUMIFS('WH+RT CURRENT'!$M$2:$M$15000,'WH+RT CURRENT'!$B$2:$B$15000,"15-15-15",'WH+RT CURRENT'!$S$2:$S$15000,"Bankim Chandra Makur",'WH+RT CURRENT'!$N$2:$N$15000,"&gt;365")</f>
        <v>2.218</v>
      </c>
      <c r="N10" s="1">
        <f>SUMIFS('WH+RT CURRENT'!$M$2:$M$15000,'WH+RT CURRENT'!$B$2:$B$15000,"Imp 10-26-26",'WH+RT CURRENT'!$S$2:$S$15000,"Bankim Chandra Makur",'WH+RT CURRENT'!$N$2:$N$15000,"&gt;365")</f>
        <v>0</v>
      </c>
      <c r="O10" s="1">
        <f>SUMIFS('WH+RT CURRENT'!$M$2:$M$15000,'WH+RT CURRENT'!$B$2:$B$15000,"MOP",'WH+RT CURRENT'!$S$2:$S$15000,"Bankim Chandra Makur",'WH+RT CURRENT'!$N$2:$N$15000,"&gt;365")</f>
        <v>0</v>
      </c>
      <c r="P10" s="1">
        <f>SUMIFS('WH+RT CURRENT'!$M$2:$M$15000,'WH+RT CURRENT'!$B$2:$B$15000,"Imp DAP",'WH+RT CURRENT'!$S$2:$S$15000,"Bankim Chandra Makur",'WH+RT CURRENT'!$N$2:$N$15000,"&gt;365")</f>
        <v>0</v>
      </c>
      <c r="Q10" s="1">
        <f>L10+M10+N10+O10+P10</f>
        <v>25.797999999999998</v>
      </c>
    </row>
    <row r="11" spans="5:19" x14ac:dyDescent="0.25">
      <c r="E11" s="2" t="s">
        <v>7</v>
      </c>
      <c r="F11" s="1">
        <f>F9+F10</f>
        <v>69.965000000000003</v>
      </c>
      <c r="G11" s="1">
        <f>G9+G10</f>
        <v>15.468000000000002</v>
      </c>
      <c r="H11" s="1">
        <f>H9+H10</f>
        <v>10.15</v>
      </c>
      <c r="I11" s="1">
        <f>I9+I10</f>
        <v>0</v>
      </c>
      <c r="J11" s="1">
        <f>J9+J10</f>
        <v>0</v>
      </c>
      <c r="K11" s="1">
        <f>F11+G11+H11+I11+J11</f>
        <v>95.583000000000013</v>
      </c>
      <c r="L11" s="1">
        <f>L9+L10</f>
        <v>65.64</v>
      </c>
      <c r="M11" s="1">
        <f>M9+M10</f>
        <v>2.218</v>
      </c>
      <c r="N11" s="1">
        <f>N9+N10</f>
        <v>9.9499999999999993</v>
      </c>
      <c r="O11" s="1">
        <f>O9+O10</f>
        <v>0</v>
      </c>
      <c r="P11" s="1">
        <f>P9+P10</f>
        <v>0</v>
      </c>
      <c r="Q11" s="1">
        <f>L11+M11+N11+O11+P11</f>
        <v>77.808000000000007</v>
      </c>
    </row>
    <row r="12" spans="5:19" x14ac:dyDescent="0.25">
      <c r="E12" s="2" t="s">
        <v>9</v>
      </c>
      <c r="F12" s="1">
        <f>SUMIFS('WH+RT PREVIOUS'!$M$2:$M$15000,'WH+RT PREVIOUS'!$B$2:$B$15000,"N.C.Urea(45kg)",'WH+RT PREVIOUS'!$S$2:$S$15000,"Bankim Chandra Makur")</f>
        <v>262.37</v>
      </c>
      <c r="G12" s="1">
        <f>SUMIFS('WH+RT PREVIOUS'!$M$2:$M$15000,'WH+RT PREVIOUS'!$B$2:$B$15000,"15-15-15",'WH+RT PREVIOUS'!$S$2:$S$15000,"Bankim Chandra Makur")</f>
        <v>79.718000000000004</v>
      </c>
      <c r="H12" s="1">
        <f>SUMIFS('WH+RT PREVIOUS'!$M$2:$M$15000,'WH+RT PREVIOUS'!$B$2:$B$15000,"Imp 10-26-26",'WH+RT PREVIOUS'!$S$2:$S$15000,"Bankim Chandra Makur")</f>
        <v>61.3</v>
      </c>
      <c r="I12" s="1">
        <f>SUMIFS('WH+RT PREVIOUS'!$M$2:$M$15000,'WH+RT PREVIOUS'!$B$2:$B$15000,"MOP",'WH+RT PREVIOUS'!$S$2:$S$15000,"Bankim Chandra Makur")</f>
        <v>0</v>
      </c>
      <c r="J12" s="1">
        <f>SUMIFS('WH+RT PREVIOUS'!$M$2:$M$15000,'WH+RT PREVIOUS'!$B$2:$B$15000,"Imp DAP",'WH+RT PREVIOUS'!$S$2:$S$15000,"Bankim Chandra Makur")</f>
        <v>0</v>
      </c>
      <c r="K12" s="1">
        <f>F12+G12+H12+I12+J12</f>
        <v>403.38800000000003</v>
      </c>
      <c r="L12" s="1">
        <f>SUMIFS('WH+RT CURRENT'!$M$2:$M$15000,'WH+RT CURRENT'!$B$2:$B$15000,"N.C.Urea(45kg)",'WH+RT CURRENT'!$S$2:$S$15000,"Bankim Chandra Makur")</f>
        <v>252.87</v>
      </c>
      <c r="M12" s="1">
        <f>SUMIFS('WH+RT CURRENT'!$M$2:$M$15000,'WH+RT CURRENT'!$B$2:$B$15000,"15-15-15",'WH+RT CURRENT'!$S$2:$S$15000,"Bankim Chandra Makur")</f>
        <v>77.417999999999978</v>
      </c>
      <c r="N12" s="1">
        <f>SUMIFS('WH+RT CURRENT'!$M$2:$M$15000,'WH+RT CURRENT'!$B$2:$B$15000,"Imp 10-26-26",'WH+RT CURRENT'!$S$2:$S$15000,"Bankim Chandra Makur")</f>
        <v>60.6</v>
      </c>
      <c r="O12" s="1">
        <f>SUMIFS('WH+RT CURRENT'!$M$2:$M$15000,'WH+RT CURRENT'!$B$2:$B$15000,"MOP",'WH+RT CURRENT'!$S$2:$S$15000,"Bankim Chandra Makur")</f>
        <v>0</v>
      </c>
      <c r="P12" s="1">
        <f>SUMIFS('WH+RT CURRENT'!$M$2:$M$15000,'WH+RT CURRENT'!$B$2:$B$15000,"Imp DAP",'WH+RT CURRENT'!$S$2:$S$15000,"Bankim Chandra Makur")</f>
        <v>0</v>
      </c>
      <c r="Q12" s="1">
        <f>L12+M12+N12+O12+P12</f>
        <v>390.88800000000003</v>
      </c>
    </row>
    <row r="15" spans="5:19" x14ac:dyDescent="0.25">
      <c r="E15" s="12" t="s">
        <v>3259</v>
      </c>
      <c r="F15" s="12"/>
      <c r="G15" s="12"/>
      <c r="H15" s="12"/>
      <c r="I15" s="12"/>
      <c r="J15" s="12"/>
      <c r="K15" s="12"/>
      <c r="L15" s="12"/>
      <c r="M15" s="12"/>
      <c r="N15" s="12"/>
      <c r="O15" s="12"/>
      <c r="P15" s="12"/>
      <c r="Q15" s="12"/>
    </row>
    <row r="16" spans="5:19" x14ac:dyDescent="0.25">
      <c r="E16" s="13"/>
      <c r="F16" s="15" t="s">
        <v>8130</v>
      </c>
      <c r="G16" s="15"/>
      <c r="H16" s="15"/>
      <c r="I16" s="15"/>
      <c r="J16" s="15"/>
      <c r="K16" s="15"/>
      <c r="L16" s="15" t="s">
        <v>8131</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PREVIOUS'!$S$2:$S$15000,"Sital Prasad Nandi",'WH+RT PREVIOUS'!$N$2:$N$15000,"&gt;179",'WH+RT PREVIOUS'!$N$2:$N$15000,"&lt;366")</f>
        <v>0</v>
      </c>
      <c r="G18" s="1">
        <f>SUMIFS('WH+RT PREVIOUS'!$M$2:$M$15000,'WH+RT PREVIOUS'!$B$2:$B$15000,"15-15-15",'WH+RT PREVIOUS'!$S$2:$S$15000,"Sital Prasad Nandi",'WH+RT PREVIOUS'!$N$2:$N$15000,"&gt;179",'WH+RT PREVIOUS'!$N$2:$N$15000,"&lt;366")</f>
        <v>0</v>
      </c>
      <c r="H18" s="1">
        <f>SUMIFS('WH+RT PREVIOUS'!$M$2:$M$15000,'WH+RT PREVIOUS'!$B$2:$B$15000,"Imp 10-26-26",'WH+RT PREVIOUS'!$S$2:$S$15000,"Sital Prasad Nandi",'WH+RT PREVIOUS'!$N$2:$N$15000,"&gt;179",'WH+RT PREVIOUS'!$N$2:$N$15000,"&lt;366")</f>
        <v>0</v>
      </c>
      <c r="I18" s="1">
        <f>SUMIFS('WH+RT PREVIOUS'!$M$2:$M$15000,'WH+RT PREVIOUS'!$B$2:$B$15000,"MOP",'WH+RT PREVIOUS'!$S$2:$S$15000,"Sital Prasad Nandi",'WH+RT PREVIOUS'!$N$2:$N$15000,"&gt;179",'WH+RT PREVIOUS'!$N$2:$N$15000,"&lt;366")</f>
        <v>0</v>
      </c>
      <c r="J18" s="1">
        <f>SUMIFS('WH+RT PREVIOUS'!$M$2:$M$15000,'WH+RT PREVIOUS'!$B$2:$B$15000,"Imp DAP",'WH+RT PREVIOUS'!$S$2:$S$15000,"Sital Prasad Nandi",'WH+RT PREVIOUS'!$N$2:$N$15000,"&gt;179",'WH+RT PREVIOUS'!$N$2:$N$15000,"&lt;366")</f>
        <v>0</v>
      </c>
      <c r="K18" s="1">
        <f>F18+G18+H18+I18+J18</f>
        <v>0</v>
      </c>
      <c r="L18" s="1">
        <f>SUMIFS('WH+RT CURRENT'!$M$2:$M$15000,'WH+RT CURRENT'!$B$2:$B$15000,"N.C.Urea(45kg)",'WH+RT CURRENT'!$S$2:$S$15000,"Sital Prasad Nandi",'WH+RT CURRENT'!$N$2:$N$15000,"&gt;179",'WH+RT CURRENT'!$N$2:$N$15000,"&lt;366")</f>
        <v>0</v>
      </c>
      <c r="M18" s="1">
        <f>SUMIFS('WH+RT CURRENT'!$M$2:$M$15000,'WH+RT CURRENT'!$B$2:$B$15000,"15-15-15",'WH+RT CURRENT'!$S$2:$S$15000,"Sital Prasad Nandi",'WH+RT CURRENT'!$N$2:$N$15000,"&gt;179",'WH+RT CURRENT'!$N$2:$N$15000,"&lt;366")</f>
        <v>0</v>
      </c>
      <c r="N18" s="1">
        <f>SUMIFS('WH+RT CURRENT'!$M$2:$M$15000,'WH+RT CURRENT'!$B$2:$B$15000,"Imp 10-26-26",'WH+RT CURRENT'!$S$2:$S$15000,"Sital Prasad Nandi",'WH+RT CURRENT'!$N$2:$N$15000,"&gt;179",'WH+RT CURRENT'!$N$2:$N$15000,"&lt;366")</f>
        <v>0</v>
      </c>
      <c r="O18" s="1">
        <f>SUMIFS('WH+RT CURRENT'!$M$2:$M$15000,'WH+RT CURRENT'!$B$2:$B$15000,"MOP",'WH+RT CURRENT'!$S$2:$S$15000,"Sital Prasad Nandi",'WH+RT CURRENT'!$N$2:$N$15000,"&gt;179",'WH+RT CURRENT'!$N$2:$N$15000,"&lt;366")</f>
        <v>0</v>
      </c>
      <c r="P18" s="1">
        <f>SUMIFS('WH+RT CURRENT'!$M$2:$M$15000,'WH+RT CURRENT'!$B$2:$B$15000,"Imp DAP",'WH+RT CURRENT'!$S$2:$S$15000,"Sital Prasad Nandi",'WH+RT CURRENT'!$N$2:$N$15000,"&gt;179",'WH+RT CURRENT'!$N$2:$N$15000,"&lt;366")</f>
        <v>0</v>
      </c>
      <c r="Q18" s="1">
        <f>L18+M18+N18+O18+P18</f>
        <v>0</v>
      </c>
    </row>
    <row r="19" spans="5:17" x14ac:dyDescent="0.25">
      <c r="E19" s="2" t="s">
        <v>6</v>
      </c>
      <c r="F19" s="1">
        <f>SUMIFS('WH+RT PREVIOUS'!$M$2:$M$15000,'WH+RT PREVIOUS'!$B$2:$B$15000,"N.C.Urea(45kg)",'WH+RT PREVIOUS'!$S$2:$S$15000,"Sital Prasad Nandi",'WH+RT PREVIOUS'!$N$2:$N$15000,"&gt;365")</f>
        <v>0</v>
      </c>
      <c r="G19" s="1">
        <f>SUMIFS('WH+RT PREVIOUS'!$M$2:$M$15000,'WH+RT PREVIOUS'!$B$2:$B$15000,"15-15-15",'WH+RT PREVIOUS'!$S$2:$S$15000,"Sital Prasad Nandi",'WH+RT PREVIOUS'!$N$2:$N$15000,"&gt;365")</f>
        <v>0</v>
      </c>
      <c r="H19" s="1">
        <f>SUMIFS('WH+RT PREVIOUS'!$M$2:$M$15000,'WH+RT PREVIOUS'!$B$2:$B$15000,"Imp 10-26-26",'WH+RT PREVIOUS'!$S$2:$S$15000,"Sital Prasad Nandi",'WH+RT PREVIOUS'!$N$2:$N$15000,"&gt;365")</f>
        <v>1.75</v>
      </c>
      <c r="I19" s="1">
        <f>SUMIFS('WH+RT PREVIOUS'!$M$2:$M$15000,'WH+RT PREVIOUS'!$B$2:$B$15000,"MOP",'WH+RT PREVIOUS'!$S$2:$S$15000,"Sital Prasad Nandi",'WH+RT PREVIOUS'!$N$2:$N$15000,"&gt;365")</f>
        <v>0</v>
      </c>
      <c r="J19" s="1">
        <f>SUMIFS('WH+RT PREVIOUS'!$M$2:$M$15000,'WH+RT PREVIOUS'!$B$2:$B$15000,"Imp DAP",'WH+RT PREVIOUS'!$S$2:$S$15000,"Sital Prasad Nandi",'WH+RT PREVIOUS'!$N$2:$N$15000,"&gt;365")</f>
        <v>0</v>
      </c>
      <c r="K19" s="1">
        <f>F19+G19+H19+I19+J19</f>
        <v>1.75</v>
      </c>
      <c r="L19" s="1">
        <f>SUMIFS('WH+RT CURRENT'!$M$2:$M$15000,'WH+RT CURRENT'!$B$2:$B$15000,"N.C.Urea(45kg)",'WH+RT CURRENT'!$S$2:$S$15000,"Sital Prasad Nandi",'WH+RT CURRENT'!$N$2:$N$15000,"&gt;365")</f>
        <v>0</v>
      </c>
      <c r="M19" s="1">
        <f>SUMIFS('WH+RT CURRENT'!$M$2:$M$15000,'WH+RT CURRENT'!$B$2:$B$15000,"15-15-15",'WH+RT CURRENT'!$S$2:$S$15000,"Sital Prasad Nandi",'WH+RT CURRENT'!$N$2:$N$15000,"&gt;365")</f>
        <v>0</v>
      </c>
      <c r="N19" s="1">
        <f>SUMIFS('WH+RT CURRENT'!$M$2:$M$15000,'WH+RT CURRENT'!$B$2:$B$15000,"Imp 10-26-26",'WH+RT CURRENT'!$S$2:$S$15000,"Sital Prasad Nandi",'WH+RT CURRENT'!$N$2:$N$15000,"&gt;365")</f>
        <v>1.75</v>
      </c>
      <c r="O19" s="1">
        <f>SUMIFS('WH+RT CURRENT'!$M$2:$M$15000,'WH+RT CURRENT'!$B$2:$B$15000,"MOP",'WH+RT CURRENT'!$S$2:$S$15000,"Sital Prasad Nandi",'WH+RT CURRENT'!$N$2:$N$15000,"&gt;365")</f>
        <v>0</v>
      </c>
      <c r="P19" s="1">
        <f>SUMIFS('WH+RT CURRENT'!$M$2:$M$15000,'WH+RT CURRENT'!$B$2:$B$15000,"Imp DAP",'WH+RT CURRENT'!$S$2:$S$15000,"Sital Prasad Nandi",'WH+RT CURRENT'!$N$2:$N$15000,"&gt;365")</f>
        <v>0</v>
      </c>
      <c r="Q19" s="1">
        <f>L19+M19+N19+O19+P19</f>
        <v>1.75</v>
      </c>
    </row>
    <row r="20" spans="5:17" x14ac:dyDescent="0.25">
      <c r="E20" s="2" t="s">
        <v>7</v>
      </c>
      <c r="F20" s="1">
        <f>F18+F19</f>
        <v>0</v>
      </c>
      <c r="G20" s="1">
        <f>G18+G19</f>
        <v>0</v>
      </c>
      <c r="H20" s="1">
        <f>H18+H19</f>
        <v>1.75</v>
      </c>
      <c r="I20" s="1">
        <f>I18+I19</f>
        <v>0</v>
      </c>
      <c r="J20" s="1">
        <f>J18+J19</f>
        <v>0</v>
      </c>
      <c r="K20" s="1">
        <f>F20+G20+H20+I20+J20</f>
        <v>1.75</v>
      </c>
      <c r="L20" s="1">
        <f>L18+L19</f>
        <v>0</v>
      </c>
      <c r="M20" s="1">
        <f>M18+M19</f>
        <v>0</v>
      </c>
      <c r="N20" s="1">
        <f>N18+N19</f>
        <v>1.75</v>
      </c>
      <c r="O20" s="1">
        <f>O18+O19</f>
        <v>0</v>
      </c>
      <c r="P20" s="1">
        <f>P18+P19</f>
        <v>0</v>
      </c>
      <c r="Q20" s="1">
        <f>L20+M20+N20+O20+P20</f>
        <v>1.75</v>
      </c>
    </row>
    <row r="21" spans="5:17" x14ac:dyDescent="0.25">
      <c r="E21" s="2" t="s">
        <v>9</v>
      </c>
      <c r="F21" s="1">
        <f>SUMIFS('WH+RT PREVIOUS'!$M$2:$M$15000,'WH+RT PREVIOUS'!$B$2:$B$15000,"N.C.Urea(45kg)",'WH+RT PREVIOUS'!$S$2:$S$15000,"Sital Prasad Nandi")</f>
        <v>0</v>
      </c>
      <c r="G21" s="1">
        <f>SUMIFS('WH+RT PREVIOUS'!$M$2:$M$15000,'WH+RT PREVIOUS'!$B$2:$B$15000,"15-15-15",'WH+RT PREVIOUS'!$S$2:$S$15000,"Sital Prasad Nandi")</f>
        <v>0</v>
      </c>
      <c r="H21" s="1">
        <f>SUMIFS('WH+RT PREVIOUS'!$M$2:$M$15000,'WH+RT PREVIOUS'!$B$2:$B$15000,"Imp 10-26-26",'WH+RT PREVIOUS'!$S$2:$S$15000,"Sital Prasad Nandi")</f>
        <v>1.75</v>
      </c>
      <c r="I21" s="1">
        <f>SUMIFS('WH+RT PREVIOUS'!$M$2:$M$15000,'WH+RT PREVIOUS'!$B$2:$B$15000,"MOP",'WH+RT PREVIOUS'!$S$2:$S$15000,"Sital Prasad Nandi")</f>
        <v>0</v>
      </c>
      <c r="J21" s="1">
        <f>SUMIFS('WH+RT PREVIOUS'!$M$2:$M$15000,'WH+RT PREVIOUS'!$B$2:$B$15000,"Imp DAP",'WH+RT PREVIOUS'!$S$2:$S$15000,"Sital Prasad Nandi")</f>
        <v>0</v>
      </c>
      <c r="K21" s="1">
        <f>F21+G21+H21+I21+J21</f>
        <v>1.75</v>
      </c>
      <c r="L21" s="1">
        <f>SUMIFS('WH+RT CURRENT'!$M$2:$M$15000,'WH+RT CURRENT'!$B$2:$B$15000,"N.C.Urea(45kg)",'WH+RT CURRENT'!$S$2:$S$15000,"Sital Prasad Nandi")</f>
        <v>0</v>
      </c>
      <c r="M21" s="1">
        <f>SUMIFS('WH+RT CURRENT'!$M$2:$M$15000,'WH+RT CURRENT'!$B$2:$B$15000,"15-15-15",'WH+RT CURRENT'!$S$2:$S$15000,"Sital Prasad Nandi")</f>
        <v>0</v>
      </c>
      <c r="N21" s="1">
        <f>SUMIFS('WH+RT CURRENT'!$M$2:$M$15000,'WH+RT CURRENT'!$B$2:$B$15000,"Imp 10-26-26",'WH+RT CURRENT'!$S$2:$S$15000,"Sital Prasad Nandi")</f>
        <v>1.75</v>
      </c>
      <c r="O21" s="1">
        <f>SUMIFS('WH+RT CURRENT'!$M$2:$M$15000,'WH+RT CURRENT'!$B$2:$B$15000,"MOP",'WH+RT CURRENT'!$S$2:$S$15000,"Sital Prasad Nandi")</f>
        <v>0</v>
      </c>
      <c r="P21" s="1">
        <f>SUMIFS('WH+RT CURRENT'!$M$2:$M$15000,'WH+RT CURRENT'!$B$2:$B$15000,"Imp DAP",'WH+RT CURRENT'!$S$2:$S$15000,"Sital Prasad Nandi")</f>
        <v>0</v>
      </c>
      <c r="Q21" s="1">
        <f>L21+M21+N21+O21+P21</f>
        <v>1.75</v>
      </c>
    </row>
  </sheetData>
  <mergeCells count="9">
    <mergeCell ref="E15:Q15"/>
    <mergeCell ref="E16:E17"/>
    <mergeCell ref="F16:K16"/>
    <mergeCell ref="L16:Q16"/>
    <mergeCell ref="E1:Q3"/>
    <mergeCell ref="E6:Q6"/>
    <mergeCell ref="E7:E8"/>
    <mergeCell ref="F7:K7"/>
    <mergeCell ref="L7:Q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89F65-747C-4885-9FA6-09202BC7FA2D}">
  <dimension ref="E1:S39"/>
  <sheetViews>
    <sheetView workbookViewId="0"/>
  </sheetViews>
  <sheetFormatPr defaultRowHeight="15" x14ac:dyDescent="0.25"/>
  <cols>
    <col min="1" max="4" width="10.7109375" customWidth="1"/>
    <col min="5" max="5" width="13.7109375" bestFit="1" customWidth="1"/>
  </cols>
  <sheetData>
    <row r="1" spans="5:19" x14ac:dyDescent="0.25">
      <c r="E1" s="16" t="s">
        <v>341</v>
      </c>
      <c r="F1" s="17"/>
      <c r="G1" s="17"/>
      <c r="H1" s="17"/>
      <c r="I1" s="17"/>
      <c r="J1" s="17"/>
      <c r="K1" s="17"/>
      <c r="L1" s="17"/>
      <c r="M1" s="17"/>
      <c r="N1" s="17"/>
      <c r="O1" s="17"/>
      <c r="P1" s="17"/>
      <c r="Q1" s="17"/>
      <c r="R1" t="s">
        <v>8141</v>
      </c>
      <c r="S1">
        <v>4</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348</v>
      </c>
      <c r="F6" s="12"/>
      <c r="G6" s="12"/>
      <c r="H6" s="12"/>
      <c r="I6" s="12"/>
      <c r="J6" s="12"/>
      <c r="K6" s="12"/>
      <c r="L6" s="12"/>
      <c r="M6" s="12"/>
      <c r="N6" s="12"/>
      <c r="O6" s="12"/>
      <c r="P6" s="12"/>
      <c r="Q6" s="12"/>
    </row>
    <row r="7" spans="5:19" x14ac:dyDescent="0.25">
      <c r="E7" s="13"/>
      <c r="F7" s="15" t="s">
        <v>8130</v>
      </c>
      <c r="G7" s="15"/>
      <c r="H7" s="15"/>
      <c r="I7" s="15"/>
      <c r="J7" s="15"/>
      <c r="K7" s="15"/>
      <c r="L7" s="15" t="s">
        <v>8131</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PREVIOUS'!$S$2:$S$15000,"M/s. Bimal Kumar Laha",'WH+RT PREVIOUS'!$N$2:$N$15000,"&gt;179",'WH+RT PREVIOUS'!$N$2:$N$15000,"&lt;366")</f>
        <v>18.765000000000001</v>
      </c>
      <c r="G9" s="1">
        <f>SUMIFS('WH+RT PREVIOUS'!$M$2:$M$15000,'WH+RT PREVIOUS'!$B$2:$B$15000,"15-15-15",'WH+RT PREVIOUS'!$S$2:$S$15000,"M/s. Bimal Kumar Laha",'WH+RT PREVIOUS'!$N$2:$N$15000,"&gt;179",'WH+RT PREVIOUS'!$N$2:$N$15000,"&lt;366")</f>
        <v>24.5</v>
      </c>
      <c r="H9" s="1">
        <f>SUMIFS('WH+RT PREVIOUS'!$M$2:$M$15000,'WH+RT PREVIOUS'!$B$2:$B$15000,"Imp 10-26-26",'WH+RT PREVIOUS'!$S$2:$S$15000,"M/s. Bimal Kumar Laha",'WH+RT PREVIOUS'!$N$2:$N$15000,"&gt;179",'WH+RT PREVIOUS'!$N$2:$N$15000,"&lt;366")</f>
        <v>1</v>
      </c>
      <c r="I9" s="1">
        <f>SUMIFS('WH+RT PREVIOUS'!$M$2:$M$15000,'WH+RT PREVIOUS'!$B$2:$B$15000,"MOP",'WH+RT PREVIOUS'!$S$2:$S$15000,"M/s. Bimal Kumar Laha",'WH+RT PREVIOUS'!$N$2:$N$15000,"&gt;179",'WH+RT PREVIOUS'!$N$2:$N$15000,"&lt;366")</f>
        <v>0</v>
      </c>
      <c r="J9" s="1">
        <f>SUMIFS('WH+RT PREVIOUS'!$M$2:$M$15000,'WH+RT PREVIOUS'!$B$2:$B$15000,"Imp DAP",'WH+RT PREVIOUS'!$S$2:$S$15000,"M/s. Bimal Kumar Laha",'WH+RT PREVIOUS'!$N$2:$N$15000,"&gt;179",'WH+RT PREVIOUS'!$N$2:$N$15000,"&lt;366")</f>
        <v>0</v>
      </c>
      <c r="K9" s="1">
        <f>F9+G9+H9+I9+J9</f>
        <v>44.265000000000001</v>
      </c>
      <c r="L9" s="1">
        <f>SUMIFS('WH+RT CURRENT'!$M$2:$M$15000,'WH+RT CURRENT'!$B$2:$B$15000,"N.C.Urea(45kg)",'WH+RT CURRENT'!$S$2:$S$15000,"M/s. Bimal Kumar Laha",'WH+RT CURRENT'!$N$2:$N$15000,"&gt;179",'WH+RT CURRENT'!$N$2:$N$15000,"&lt;366")</f>
        <v>15.21</v>
      </c>
      <c r="M9" s="1">
        <f>SUMIFS('WH+RT CURRENT'!$M$2:$M$15000,'WH+RT CURRENT'!$B$2:$B$15000,"15-15-15",'WH+RT CURRENT'!$S$2:$S$15000,"M/s. Bimal Kumar Laha",'WH+RT CURRENT'!$N$2:$N$15000,"&gt;179",'WH+RT CURRENT'!$N$2:$N$15000,"&lt;366")</f>
        <v>8.5</v>
      </c>
      <c r="N9" s="1">
        <f>SUMIFS('WH+RT CURRENT'!$M$2:$M$15000,'WH+RT CURRENT'!$B$2:$B$15000,"Imp 10-26-26",'WH+RT CURRENT'!$S$2:$S$15000,"M/s. Bimal Kumar Laha",'WH+RT CURRENT'!$N$2:$N$15000,"&gt;179",'WH+RT CURRENT'!$N$2:$N$15000,"&lt;366")</f>
        <v>0</v>
      </c>
      <c r="O9" s="1">
        <f>SUMIFS('WH+RT CURRENT'!$M$2:$M$15000,'WH+RT CURRENT'!$B$2:$B$15000,"MOP",'WH+RT CURRENT'!$S$2:$S$15000,"M/s. Bimal Kumar Laha",'WH+RT CURRENT'!$N$2:$N$15000,"&gt;179",'WH+RT CURRENT'!$N$2:$N$15000,"&lt;366")</f>
        <v>0</v>
      </c>
      <c r="P9" s="1">
        <f>SUMIFS('WH+RT CURRENT'!$M$2:$M$15000,'WH+RT CURRENT'!$B$2:$B$15000,"Imp DAP",'WH+RT CURRENT'!$S$2:$S$15000,"M/s. Bimal Kumar Laha",'WH+RT CURRENT'!$N$2:$N$15000,"&gt;179",'WH+RT CURRENT'!$N$2:$N$15000,"&lt;366")</f>
        <v>0</v>
      </c>
      <c r="Q9" s="1">
        <f>L9+M9+N9+O9+P9</f>
        <v>23.71</v>
      </c>
    </row>
    <row r="10" spans="5:19" x14ac:dyDescent="0.25">
      <c r="E10" s="2" t="s">
        <v>6</v>
      </c>
      <c r="F10" s="1">
        <f>SUMIFS('WH+RT PREVIOUS'!$M$2:$M$15000,'WH+RT PREVIOUS'!$B$2:$B$15000,"N.C.Urea(45kg)",'WH+RT PREVIOUS'!$S$2:$S$15000,"M/s. Bimal Kumar Laha",'WH+RT PREVIOUS'!$N$2:$N$15000,"&gt;365")</f>
        <v>0</v>
      </c>
      <c r="G10" s="1">
        <f>SUMIFS('WH+RT PREVIOUS'!$M$2:$M$15000,'WH+RT PREVIOUS'!$B$2:$B$15000,"15-15-15",'WH+RT PREVIOUS'!$S$2:$S$15000,"M/s. Bimal Kumar Laha",'WH+RT PREVIOUS'!$N$2:$N$15000,"&gt;365")</f>
        <v>3.9</v>
      </c>
      <c r="H10" s="1">
        <f>SUMIFS('WH+RT PREVIOUS'!$M$2:$M$15000,'WH+RT PREVIOUS'!$B$2:$B$15000,"Imp 10-26-26",'WH+RT PREVIOUS'!$S$2:$S$15000,"M/s. Bimal Kumar Laha",'WH+RT PREVIOUS'!$N$2:$N$15000,"&gt;365")</f>
        <v>0</v>
      </c>
      <c r="I10" s="1">
        <f>SUMIFS('WH+RT PREVIOUS'!$M$2:$M$15000,'WH+RT PREVIOUS'!$B$2:$B$15000,"MOP",'WH+RT PREVIOUS'!$S$2:$S$15000,"M/s. Bimal Kumar Laha",'WH+RT PREVIOUS'!$N$2:$N$15000,"&gt;365")</f>
        <v>0</v>
      </c>
      <c r="J10" s="1">
        <f>SUMIFS('WH+RT PREVIOUS'!$M$2:$M$15000,'WH+RT PREVIOUS'!$B$2:$B$15000,"Imp DAP",'WH+RT PREVIOUS'!$S$2:$S$15000,"M/s. Bimal Kumar Laha",'WH+RT PREVIOUS'!$N$2:$N$15000,"&gt;365")</f>
        <v>0</v>
      </c>
      <c r="K10" s="1">
        <f>F10+G10+H10+I10+J10</f>
        <v>3.9</v>
      </c>
      <c r="L10" s="1">
        <f>SUMIFS('WH+RT CURRENT'!$M$2:$M$15000,'WH+RT CURRENT'!$B$2:$B$15000,"N.C.Urea(45kg)",'WH+RT CURRENT'!$S$2:$S$15000,"M/s. Bimal Kumar Laha",'WH+RT CURRENT'!$N$2:$N$15000,"&gt;365")</f>
        <v>0</v>
      </c>
      <c r="M10" s="1">
        <f>SUMIFS('WH+RT CURRENT'!$M$2:$M$15000,'WH+RT CURRENT'!$B$2:$B$15000,"15-15-15",'WH+RT CURRENT'!$S$2:$S$15000,"M/s. Bimal Kumar Laha",'WH+RT CURRENT'!$N$2:$N$15000,"&gt;365")</f>
        <v>0.9</v>
      </c>
      <c r="N10" s="1">
        <f>SUMIFS('WH+RT CURRENT'!$M$2:$M$15000,'WH+RT CURRENT'!$B$2:$B$15000,"Imp 10-26-26",'WH+RT CURRENT'!$S$2:$S$15000,"M/s. Bimal Kumar Laha",'WH+RT CURRENT'!$N$2:$N$15000,"&gt;365")</f>
        <v>0</v>
      </c>
      <c r="O10" s="1">
        <f>SUMIFS('WH+RT CURRENT'!$M$2:$M$15000,'WH+RT CURRENT'!$B$2:$B$15000,"MOP",'WH+RT CURRENT'!$S$2:$S$15000,"M/s. Bimal Kumar Laha",'WH+RT CURRENT'!$N$2:$N$15000,"&gt;365")</f>
        <v>0</v>
      </c>
      <c r="P10" s="1">
        <f>SUMIFS('WH+RT CURRENT'!$M$2:$M$15000,'WH+RT CURRENT'!$B$2:$B$15000,"Imp DAP",'WH+RT CURRENT'!$S$2:$S$15000,"M/s. Bimal Kumar Laha",'WH+RT CURRENT'!$N$2:$N$15000,"&gt;365")</f>
        <v>0</v>
      </c>
      <c r="Q10" s="1">
        <f>L10+M10+N10+O10+P10</f>
        <v>0.9</v>
      </c>
    </row>
    <row r="11" spans="5:19" x14ac:dyDescent="0.25">
      <c r="E11" s="2" t="s">
        <v>7</v>
      </c>
      <c r="F11" s="1">
        <f>F9+F10</f>
        <v>18.765000000000001</v>
      </c>
      <c r="G11" s="1">
        <f>G9+G10</f>
        <v>28.4</v>
      </c>
      <c r="H11" s="1">
        <f>H9+H10</f>
        <v>1</v>
      </c>
      <c r="I11" s="1">
        <f>I9+I10</f>
        <v>0</v>
      </c>
      <c r="J11" s="1">
        <f>J9+J10</f>
        <v>0</v>
      </c>
      <c r="K11" s="1">
        <f>F11+G11+H11+I11+J11</f>
        <v>48.164999999999999</v>
      </c>
      <c r="L11" s="1">
        <f>L9+L10</f>
        <v>15.21</v>
      </c>
      <c r="M11" s="1">
        <f>M9+M10</f>
        <v>9.4</v>
      </c>
      <c r="N11" s="1">
        <f>N9+N10</f>
        <v>0</v>
      </c>
      <c r="O11" s="1">
        <f>O9+O10</f>
        <v>0</v>
      </c>
      <c r="P11" s="1">
        <f>P9+P10</f>
        <v>0</v>
      </c>
      <c r="Q11" s="1">
        <f>L11+M11+N11+O11+P11</f>
        <v>24.61</v>
      </c>
    </row>
    <row r="12" spans="5:19" x14ac:dyDescent="0.25">
      <c r="E12" s="2" t="s">
        <v>9</v>
      </c>
      <c r="F12" s="1">
        <f>SUMIFS('WH+RT PREVIOUS'!$M$2:$M$15000,'WH+RT PREVIOUS'!$B$2:$B$15000,"N.C.Urea(45kg)",'WH+RT PREVIOUS'!$S$2:$S$15000,"M/s. Bimal Kumar Laha")</f>
        <v>289.48500000000007</v>
      </c>
      <c r="G12" s="1">
        <f>SUMIFS('WH+RT PREVIOUS'!$M$2:$M$15000,'WH+RT PREVIOUS'!$B$2:$B$15000,"15-15-15",'WH+RT PREVIOUS'!$S$2:$S$15000,"M/s. Bimal Kumar Laha")</f>
        <v>74.55</v>
      </c>
      <c r="H12" s="1">
        <f>SUMIFS('WH+RT PREVIOUS'!$M$2:$M$15000,'WH+RT PREVIOUS'!$B$2:$B$15000,"Imp 10-26-26",'WH+RT PREVIOUS'!$S$2:$S$15000,"M/s. Bimal Kumar Laha")</f>
        <v>147.35</v>
      </c>
      <c r="I12" s="1">
        <f>SUMIFS('WH+RT PREVIOUS'!$M$2:$M$15000,'WH+RT PREVIOUS'!$B$2:$B$15000,"MOP",'WH+RT PREVIOUS'!$S$2:$S$15000,"M/s. Bimal Kumar Laha")</f>
        <v>0</v>
      </c>
      <c r="J12" s="1">
        <f>SUMIFS('WH+RT PREVIOUS'!$M$2:$M$15000,'WH+RT PREVIOUS'!$B$2:$B$15000,"Imp DAP",'WH+RT PREVIOUS'!$S$2:$S$15000,"M/s. Bimal Kumar Laha")</f>
        <v>0</v>
      </c>
      <c r="K12" s="1">
        <f>F12+G12+H12+I12+J12</f>
        <v>511.3850000000001</v>
      </c>
      <c r="L12" s="1">
        <f>SUMIFS('WH+RT CURRENT'!$M$2:$M$15000,'WH+RT CURRENT'!$B$2:$B$15000,"N.C.Urea(45kg)",'WH+RT CURRENT'!$S$2:$S$15000,"M/s. Bimal Kumar Laha")</f>
        <v>270.85500000000002</v>
      </c>
      <c r="M12" s="1">
        <f>SUMIFS('WH+RT CURRENT'!$M$2:$M$15000,'WH+RT CURRENT'!$B$2:$B$15000,"15-15-15",'WH+RT CURRENT'!$S$2:$S$15000,"M/s. Bimal Kumar Laha")</f>
        <v>41.4</v>
      </c>
      <c r="N12" s="1">
        <f>SUMIFS('WH+RT CURRENT'!$M$2:$M$15000,'WH+RT CURRENT'!$B$2:$B$15000,"Imp 10-26-26",'WH+RT CURRENT'!$S$2:$S$15000,"M/s. Bimal Kumar Laha")</f>
        <v>118.2</v>
      </c>
      <c r="O12" s="1">
        <f>SUMIFS('WH+RT CURRENT'!$M$2:$M$15000,'WH+RT CURRENT'!$B$2:$B$15000,"MOP",'WH+RT CURRENT'!$S$2:$S$15000,"M/s. Bimal Kumar Laha")</f>
        <v>0</v>
      </c>
      <c r="P12" s="1">
        <f>SUMIFS('WH+RT CURRENT'!$M$2:$M$15000,'WH+RT CURRENT'!$B$2:$B$15000,"Imp DAP",'WH+RT CURRENT'!$S$2:$S$15000,"M/s. Bimal Kumar Laha")</f>
        <v>0</v>
      </c>
      <c r="Q12" s="1">
        <f>L12+M12+N12+O12+P12</f>
        <v>430.45499999999998</v>
      </c>
    </row>
    <row r="15" spans="5:19" x14ac:dyDescent="0.25">
      <c r="E15" s="12" t="s">
        <v>391</v>
      </c>
      <c r="F15" s="12"/>
      <c r="G15" s="12"/>
      <c r="H15" s="12"/>
      <c r="I15" s="12"/>
      <c r="J15" s="12"/>
      <c r="K15" s="12"/>
      <c r="L15" s="12"/>
      <c r="M15" s="12"/>
      <c r="N15" s="12"/>
      <c r="O15" s="12"/>
      <c r="P15" s="12"/>
      <c r="Q15" s="12"/>
    </row>
    <row r="16" spans="5:19" x14ac:dyDescent="0.25">
      <c r="E16" s="13"/>
      <c r="F16" s="15" t="s">
        <v>8130</v>
      </c>
      <c r="G16" s="15"/>
      <c r="H16" s="15"/>
      <c r="I16" s="15"/>
      <c r="J16" s="15"/>
      <c r="K16" s="15"/>
      <c r="L16" s="15" t="s">
        <v>8131</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PREVIOUS'!$S$2:$S$15000,"M/s. S.Sikdar and Co.",'WH+RT PREVIOUS'!$N$2:$N$15000,"&gt;179",'WH+RT PREVIOUS'!$N$2:$N$15000,"&lt;366")</f>
        <v>0</v>
      </c>
      <c r="G18" s="1">
        <f>SUMIFS('WH+RT PREVIOUS'!$M$2:$M$15000,'WH+RT PREVIOUS'!$B$2:$B$15000,"15-15-15",'WH+RT PREVIOUS'!$S$2:$S$15000,"M/s. S.Sikdar and Co.",'WH+RT PREVIOUS'!$N$2:$N$15000,"&gt;179",'WH+RT PREVIOUS'!$N$2:$N$15000,"&lt;366")</f>
        <v>4.5</v>
      </c>
      <c r="H18" s="1">
        <f>SUMIFS('WH+RT PREVIOUS'!$M$2:$M$15000,'WH+RT PREVIOUS'!$B$2:$B$15000,"Imp 10-26-26",'WH+RT PREVIOUS'!$S$2:$S$15000,"M/s. S.Sikdar and Co.",'WH+RT PREVIOUS'!$N$2:$N$15000,"&gt;179",'WH+RT PREVIOUS'!$N$2:$N$15000,"&lt;366")</f>
        <v>5</v>
      </c>
      <c r="I18" s="1">
        <f>SUMIFS('WH+RT PREVIOUS'!$M$2:$M$15000,'WH+RT PREVIOUS'!$B$2:$B$15000,"MOP",'WH+RT PREVIOUS'!$S$2:$S$15000,"M/s. S.Sikdar and Co.",'WH+RT PREVIOUS'!$N$2:$N$15000,"&gt;179",'WH+RT PREVIOUS'!$N$2:$N$15000,"&lt;366")</f>
        <v>0</v>
      </c>
      <c r="J18" s="1">
        <f>SUMIFS('WH+RT PREVIOUS'!$M$2:$M$15000,'WH+RT PREVIOUS'!$B$2:$B$15000,"Imp DAP",'WH+RT PREVIOUS'!$S$2:$S$15000,"M/s. S.Sikdar and Co.",'WH+RT PREVIOUS'!$N$2:$N$15000,"&gt;179",'WH+RT PREVIOUS'!$N$2:$N$15000,"&lt;366")</f>
        <v>0</v>
      </c>
      <c r="K18" s="1">
        <f>F18+G18+H18+I18+J18</f>
        <v>9.5</v>
      </c>
      <c r="L18" s="1">
        <f>SUMIFS('WH+RT CURRENT'!$M$2:$M$15000,'WH+RT CURRENT'!$B$2:$B$15000,"N.C.Urea(45kg)",'WH+RT CURRENT'!$S$2:$S$15000,"M/s. S.Sikdar and Co.",'WH+RT CURRENT'!$N$2:$N$15000,"&gt;179",'WH+RT CURRENT'!$N$2:$N$15000,"&lt;366")</f>
        <v>0</v>
      </c>
      <c r="M18" s="1">
        <f>SUMIFS('WH+RT CURRENT'!$M$2:$M$15000,'WH+RT CURRENT'!$B$2:$B$15000,"15-15-15",'WH+RT CURRENT'!$S$2:$S$15000,"M/s. S.Sikdar and Co.l",'WH+RT CURRENT'!$N$2:$N$15000,"&gt;179",'WH+RT CURRENT'!$N$2:$N$15000,"&lt;366")</f>
        <v>0</v>
      </c>
      <c r="N18" s="1">
        <f>SUMIFS('WH+RT CURRENT'!$M$2:$M$15000,'WH+RT CURRENT'!$B$2:$B$15000,"Imp 10-26-26",'WH+RT CURRENT'!$S$2:$S$15000,"M/s. S.Sikdar and Co.",'WH+RT CURRENT'!$N$2:$N$15000,"&gt;179",'WH+RT CURRENT'!$N$2:$N$15000,"&lt;366")</f>
        <v>5</v>
      </c>
      <c r="O18" s="1">
        <f>SUMIFS('WH+RT CURRENT'!$M$2:$M$15000,'WH+RT CURRENT'!$B$2:$B$15000,"MOP",'WH+RT CURRENT'!$S$2:$S$15000,"M/s. S.Sikdar and Co.",'WH+RT CURRENT'!$N$2:$N$15000,"&gt;179",'WH+RT CURRENT'!$N$2:$N$15000,"&lt;366")</f>
        <v>0</v>
      </c>
      <c r="P18" s="1">
        <f>SUMIFS('WH+RT CURRENT'!$M$2:$M$15000,'WH+RT CURRENT'!$B$2:$B$15000,"Imp DAP",'WH+RT CURRENT'!$S$2:$S$15000,"M/s. S.Sikdar and Co.",'WH+RT CURRENT'!$N$2:$N$15000,"&gt;179",'WH+RT CURRENT'!$N$2:$N$15000,"&lt;366")</f>
        <v>0</v>
      </c>
      <c r="Q18" s="1">
        <f>L18+M18+N18+O18+P18</f>
        <v>5</v>
      </c>
    </row>
    <row r="19" spans="5:17" x14ac:dyDescent="0.25">
      <c r="E19" s="2" t="s">
        <v>6</v>
      </c>
      <c r="F19" s="1">
        <f>SUMIFS('WH+RT PREVIOUS'!$M$2:$M$15000,'WH+RT PREVIOUS'!$B$2:$B$15000,"N.C.Urea(45kg)",'WH+RT PREVIOUS'!$S$2:$S$15000,"M/s. S.Sikdar and Co.",'WH+RT PREVIOUS'!$N$2:$N$15000,"&gt;365")</f>
        <v>3.8250000000000002</v>
      </c>
      <c r="G19" s="1">
        <f>SUMIFS('WH+RT PREVIOUS'!$M$2:$M$15000,'WH+RT PREVIOUS'!$B$2:$B$15000,"15-15-15",'WH+RT PREVIOUS'!$S$2:$S$15000,"M/s. S.Sikdar and Co.",'WH+RT PREVIOUS'!$N$2:$N$15000,"&gt;365")</f>
        <v>0</v>
      </c>
      <c r="H19" s="1">
        <f>SUMIFS('WH+RT PREVIOUS'!$M$2:$M$15000,'WH+RT PREVIOUS'!$B$2:$B$15000,"Imp 10-26-26",'WH+RT PREVIOUS'!$S$2:$S$15000,"M/s. S.Sikdar and Co.",'WH+RT PREVIOUS'!$N$2:$N$15000,"&gt;365")</f>
        <v>0</v>
      </c>
      <c r="I19" s="1">
        <f>SUMIFS('WH+RT PREVIOUS'!$M$2:$M$15000,'WH+RT PREVIOUS'!$B$2:$B$15000,"MOP",'WH+RT PREVIOUS'!$S$2:$S$15000,"M/s. S.Sikdar and Co.",'WH+RT PREVIOUS'!$N$2:$N$15000,"&gt;365")</f>
        <v>0</v>
      </c>
      <c r="J19" s="1">
        <f>SUMIFS('WH+RT PREVIOUS'!$M$2:$M$15000,'WH+RT PREVIOUS'!$B$2:$B$15000,"Imp DAP",'WH+RT PREVIOUS'!$S$2:$S$15000,"M/s. S.Sikdar and Co.",'WH+RT PREVIOUS'!$N$2:$N$15000,"&gt;365")</f>
        <v>0</v>
      </c>
      <c r="K19" s="1">
        <f>F19+G19+H19+I19+J19</f>
        <v>3.8250000000000002</v>
      </c>
      <c r="L19" s="1">
        <f>SUMIFS('WH+RT CURRENT'!$M$2:$M$15000,'WH+RT CURRENT'!$B$2:$B$15000,"N.C.Urea(45kg)",'WH+RT CURRENT'!$S$2:$S$15000,"M/s. S.Sikdar and Co.",'WH+RT CURRENT'!$N$2:$N$15000,"&gt;365")</f>
        <v>3.8250000000000002</v>
      </c>
      <c r="M19" s="1">
        <f>SUMIFS('WH+RT CURRENT'!$M$2:$M$15000,'WH+RT CURRENT'!$B$2:$B$15000,"15-15-15",'WH+RT CURRENT'!$S$2:$S$15000,"M/s. S.Sikdar and Co.",'WH+RT CURRENT'!$N$2:$N$15000,"&gt;365")</f>
        <v>0</v>
      </c>
      <c r="N19" s="1">
        <f>SUMIFS('WH+RT CURRENT'!$M$2:$M$15000,'WH+RT CURRENT'!$B$2:$B$15000,"Imp 10-26-26",'WH+RT CURRENT'!$S$2:$S$15000,"M/s. S.Sikdar and Co.",'WH+RT CURRENT'!$N$2:$N$15000,"&gt;365")</f>
        <v>0</v>
      </c>
      <c r="O19" s="1">
        <f>SUMIFS('WH+RT CURRENT'!$M$2:$M$15000,'WH+RT CURRENT'!$B$2:$B$15000,"MOP",'WH+RT CURRENT'!$S$2:$S$15000,"M/s. S.Sikdar and Co.",'WH+RT CURRENT'!$N$2:$N$15000,"&gt;365")</f>
        <v>0</v>
      </c>
      <c r="P19" s="1">
        <f>SUMIFS('WH+RT CURRENT'!$M$2:$M$15000,'WH+RT CURRENT'!$B$2:$B$15000,"Imp DAP",'WH+RT CURRENT'!$S$2:$S$15000,"M/s. S.Sikdar and Co.",'WH+RT CURRENT'!$N$2:$N$15000,"&gt;365")</f>
        <v>0</v>
      </c>
      <c r="Q19" s="1">
        <f>L19+M19+N19+O19+P19</f>
        <v>3.8250000000000002</v>
      </c>
    </row>
    <row r="20" spans="5:17" x14ac:dyDescent="0.25">
      <c r="E20" s="2" t="s">
        <v>7</v>
      </c>
      <c r="F20" s="1">
        <f>F18+F19</f>
        <v>3.8250000000000002</v>
      </c>
      <c r="G20" s="1">
        <f>G18+G19</f>
        <v>4.5</v>
      </c>
      <c r="H20" s="1">
        <f>H18+H19</f>
        <v>5</v>
      </c>
      <c r="I20" s="1">
        <f>I18+I19</f>
        <v>0</v>
      </c>
      <c r="J20" s="1">
        <f>J18+J19</f>
        <v>0</v>
      </c>
      <c r="K20" s="1">
        <f>F20+G20+H20+I20+J20</f>
        <v>13.324999999999999</v>
      </c>
      <c r="L20" s="1">
        <f>L18+L19</f>
        <v>3.8250000000000002</v>
      </c>
      <c r="M20" s="1">
        <f>M18+M19</f>
        <v>0</v>
      </c>
      <c r="N20" s="1">
        <f>N18+N19</f>
        <v>5</v>
      </c>
      <c r="O20" s="1">
        <f>O18+O19</f>
        <v>0</v>
      </c>
      <c r="P20" s="1">
        <f>P18+P19</f>
        <v>0</v>
      </c>
      <c r="Q20" s="1">
        <f>L20+M20+N20+O20+P20</f>
        <v>8.8249999999999993</v>
      </c>
    </row>
    <row r="21" spans="5:17" x14ac:dyDescent="0.25">
      <c r="E21" s="2" t="s">
        <v>9</v>
      </c>
      <c r="F21" s="1">
        <f>SUMIFS('WH+RT PREVIOUS'!$M$2:$M$15000,'WH+RT PREVIOUS'!$B$2:$B$15000,"N.C.Urea(45kg)",'WH+RT PREVIOUS'!$S$2:$S$15000,"M/s. S.Sikdar and Co.")</f>
        <v>29.069999999999997</v>
      </c>
      <c r="G21" s="1">
        <f>SUMIFS('WH+RT PREVIOUS'!$M$2:$M$15000,'WH+RT PREVIOUS'!$B$2:$B$15000,"15-15-15",'WH+RT PREVIOUS'!$S$2:$S$15000,"M/s. S.Sikdar and Co.")</f>
        <v>12.3</v>
      </c>
      <c r="H21" s="1">
        <f>SUMIFS('WH+RT PREVIOUS'!$M$2:$M$15000,'WH+RT PREVIOUS'!$B$2:$B$15000,"Imp 10-26-26",'WH+RT PREVIOUS'!$S$2:$S$15000,"M/s. S.Sikdar and Co.")</f>
        <v>26.35</v>
      </c>
      <c r="I21" s="1">
        <f>SUMIFS('WH+RT PREVIOUS'!$M$2:$M$15000,'WH+RT PREVIOUS'!$B$2:$B$15000,"MOP",'WH+RT PREVIOUS'!$S$2:$S$15000,"M/s. S.Sikdar and Co.")</f>
        <v>11.2</v>
      </c>
      <c r="J21" s="1">
        <f>SUMIFS('WH+RT PREVIOUS'!$M$2:$M$15000,'WH+RT PREVIOUS'!$B$2:$B$15000,"Imp DAP",'WH+RT PREVIOUS'!$S$2:$S$15000,"M/s. S.Sikdar and Co.")</f>
        <v>0</v>
      </c>
      <c r="K21" s="1">
        <f>F21+G21+H21+I21+J21</f>
        <v>78.92</v>
      </c>
      <c r="L21" s="1">
        <f>SUMIFS('WH+RT CURRENT'!$M$2:$M$15000,'WH+RT CURRENT'!$B$2:$B$15000,"N.C.Urea(45kg)",'WH+RT CURRENT'!$S$2:$S$15000,"M/s. S.Sikdar and Co.")</f>
        <v>28.44</v>
      </c>
      <c r="M21" s="1">
        <f>SUMIFS('WH+RT CURRENT'!$M$2:$M$15000,'WH+RT CURRENT'!$B$2:$B$15000,"15-15-15",'WH+RT CURRENT'!$S$2:$S$15000,"M/s. S.Sikdar and Co.")</f>
        <v>12.3</v>
      </c>
      <c r="N21" s="1">
        <f>SUMIFS('WH+RT CURRENT'!$M$2:$M$15000,'WH+RT CURRENT'!$B$2:$B$15000,"Imp 10-26-26",'WH+RT CURRENT'!$S$2:$S$15000,"M/s. S.Sikdar and Co.")</f>
        <v>26.35</v>
      </c>
      <c r="O21" s="1">
        <f>SUMIFS('WH+RT CURRENT'!$M$2:$M$15000,'WH+RT CURRENT'!$B$2:$B$15000,"MOP",'WH+RT CURRENT'!$S$2:$S$15000,"M/s. S.Sikdar and Co.")</f>
        <v>11.2</v>
      </c>
      <c r="P21" s="1">
        <f>SUMIFS('WH+RT CURRENT'!$M$2:$M$15000,'WH+RT CURRENT'!$B$2:$B$15000,"Imp DAP",'WH+RT CURRENT'!$S$2:$S$15000,"M/s. S.Sikdar and Co.")</f>
        <v>0</v>
      </c>
      <c r="Q21" s="1">
        <f>L21+M21+N21+O21+P21</f>
        <v>78.290000000000006</v>
      </c>
    </row>
    <row r="24" spans="5:17" x14ac:dyDescent="0.25">
      <c r="E24" s="12" t="s">
        <v>357</v>
      </c>
      <c r="F24" s="12"/>
      <c r="G24" s="12"/>
      <c r="H24" s="12"/>
      <c r="I24" s="12"/>
      <c r="J24" s="12"/>
      <c r="K24" s="12"/>
      <c r="L24" s="12"/>
      <c r="M24" s="12"/>
      <c r="N24" s="12"/>
      <c r="O24" s="12"/>
      <c r="P24" s="12"/>
      <c r="Q24" s="12"/>
    </row>
    <row r="25" spans="5:17" x14ac:dyDescent="0.25">
      <c r="E25" s="13"/>
      <c r="F25" s="15" t="s">
        <v>8130</v>
      </c>
      <c r="G25" s="15"/>
      <c r="H25" s="15"/>
      <c r="I25" s="15"/>
      <c r="J25" s="15"/>
      <c r="K25" s="15"/>
      <c r="L25" s="15" t="s">
        <v>8131</v>
      </c>
      <c r="M25" s="15"/>
      <c r="N25" s="15"/>
      <c r="O25" s="15"/>
      <c r="P25" s="15"/>
      <c r="Q25" s="15"/>
    </row>
    <row r="26" spans="5:17" x14ac:dyDescent="0.25">
      <c r="E26" s="14"/>
      <c r="F26" s="2" t="s">
        <v>0</v>
      </c>
      <c r="G26" s="2" t="s">
        <v>1</v>
      </c>
      <c r="H26" s="2" t="s">
        <v>2</v>
      </c>
      <c r="I26" s="2" t="s">
        <v>3</v>
      </c>
      <c r="J26" s="2" t="s">
        <v>8128</v>
      </c>
      <c r="K26" s="2" t="s">
        <v>4</v>
      </c>
      <c r="L26" s="2" t="s">
        <v>0</v>
      </c>
      <c r="M26" s="2" t="s">
        <v>1</v>
      </c>
      <c r="N26" s="2" t="s">
        <v>2</v>
      </c>
      <c r="O26" s="2" t="s">
        <v>3</v>
      </c>
      <c r="P26" s="2" t="s">
        <v>8128</v>
      </c>
      <c r="Q26" s="2" t="s">
        <v>4</v>
      </c>
    </row>
    <row r="27" spans="5:17" x14ac:dyDescent="0.25">
      <c r="E27" s="2" t="s">
        <v>5</v>
      </c>
      <c r="F27" s="1">
        <f>SUMIFS('WH+RT PREVIOUS'!$M$2:$M$15000,'WH+RT PREVIOUS'!$B$2:$B$15000,"N.C.Urea(45kg)",'WH+RT PREVIOUS'!$S$2:$S$15000,"MANIK LAL PAL",'WH+RT PREVIOUS'!$N$2:$N$15000,"&gt;179",'WH+RT PREVIOUS'!$N$2:$N$15000,"&lt;366")</f>
        <v>0</v>
      </c>
      <c r="G27" s="1">
        <f>SUMIFS('WH+RT PREVIOUS'!$M$2:$M$15000,'WH+RT PREVIOUS'!$B$2:$B$15000,"15-15-15",'WH+RT PREVIOUS'!$S$2:$S$15000,"MANIK LAL PAL",'WH+RT PREVIOUS'!$N$2:$N$15000,"&gt;179",'WH+RT PREVIOUS'!$N$2:$N$15000,"&lt;366")</f>
        <v>0</v>
      </c>
      <c r="H27" s="1">
        <f>SUMIFS('WH+RT PREVIOUS'!$M$2:$M$15000,'WH+RT PREVIOUS'!$B$2:$B$15000,"Imp 10-26-26",'WH+RT PREVIOUS'!$S$2:$S$15000,"MANIK LAL PAL",'WH+RT PREVIOUS'!$N$2:$N$15000,"&gt;179",'WH+RT PREVIOUS'!$N$2:$N$15000,"&lt;366")</f>
        <v>0</v>
      </c>
      <c r="I27" s="1">
        <f>SUMIFS('WH+RT PREVIOUS'!$M$2:$M$15000,'WH+RT PREVIOUS'!$B$2:$B$15000,"MOP",'WH+RT PREVIOUS'!$S$2:$S$15000,"MANIK LAL PAL",'WH+RT PREVIOUS'!$N$2:$N$15000,"&gt;179",'WH+RT PREVIOUS'!$N$2:$N$15000,"&lt;366")</f>
        <v>0</v>
      </c>
      <c r="J27" s="1">
        <f>SUMIFS('WH+RT PREVIOUS'!$M$2:$M$15000,'WH+RT PREVIOUS'!$B$2:$B$15000,"Imp DAP",'WH+RT PREVIOUS'!$S$2:$S$15000,"MANIK LAL PAL",'WH+RT PREVIOUS'!$N$2:$N$15000,"&gt;179",'WH+RT PREVIOUS'!$N$2:$N$15000,"&lt;366")</f>
        <v>0</v>
      </c>
      <c r="K27" s="1">
        <f>F27+G27+H27+I27+J27</f>
        <v>0</v>
      </c>
      <c r="L27" s="1">
        <f>SUMIFS('WH+RT CURRENT'!$M$2:$M$15000,'WH+RT CURRENT'!$B$2:$B$15000,"N.C.Urea(45kg)",'WH+RT CURRENT'!$S$2:$S$15000,"MANIK LAL PAL",'WH+RT CURRENT'!$N$2:$N$15000,"&gt;179",'WH+RT CURRENT'!$N$2:$N$15000,"&lt;366")</f>
        <v>0</v>
      </c>
      <c r="M27" s="1">
        <f>SUMIFS('WH+RT CURRENT'!$M$2:$M$15000,'WH+RT CURRENT'!$B$2:$B$15000,"15-15-15",'WH+RT CURRENT'!$S$2:$S$15000,"MANIK LAL PAL",'WH+RT CURRENT'!$N$2:$N$15000,"&gt;179",'WH+RT CURRENT'!$N$2:$N$15000,"&lt;366")</f>
        <v>0</v>
      </c>
      <c r="N27" s="1">
        <f>SUMIFS('WH+RT CURRENT'!$M$2:$M$15000,'WH+RT CURRENT'!$B$2:$B$15000,"Imp 10-26-26",'WH+RT CURRENT'!$S$2:$S$15000,"MANIK LAL PAL",'WH+RT CURRENT'!$N$2:$N$15000,"&gt;179",'WH+RT CURRENT'!$N$2:$N$15000,"&lt;366")</f>
        <v>0</v>
      </c>
      <c r="O27" s="1">
        <f>SUMIFS('WH+RT CURRENT'!$M$2:$M$15000,'WH+RT CURRENT'!$B$2:$B$15000,"MOP",'WH+RT CURRENT'!$S$2:$S$15000,"MANIK LAL PALl",'WH+RT CURRENT'!$N$2:$N$15000,"&gt;179",'WH+RT CURRENT'!$N$2:$N$15000,"&lt;366")</f>
        <v>0</v>
      </c>
      <c r="P27" s="1">
        <f>SUMIFS('WH+RT CURRENT'!$M$2:$M$15000,'WH+RT CURRENT'!$B$2:$B$15000,"Imp DAP",'WH+RT CURRENT'!$S$2:$S$15000,"MANIK LAL PAL",'WH+RT CURRENT'!$N$2:$N$15000,"&gt;179",'WH+RT CURRENT'!$N$2:$N$15000,"&lt;366")</f>
        <v>0</v>
      </c>
      <c r="Q27" s="1">
        <f>L27+M27+N27+O27+P27</f>
        <v>0</v>
      </c>
    </row>
    <row r="28" spans="5:17" x14ac:dyDescent="0.25">
      <c r="E28" s="2" t="s">
        <v>6</v>
      </c>
      <c r="F28" s="1">
        <f>SUMIFS('WH+RT PREVIOUS'!$M$2:$M$15000,'WH+RT PREVIOUS'!$B$2:$B$15000,"N.C.Urea(45kg)",'WH+RT PREVIOUS'!$S$2:$S$15000,"MANIK LAL PAL",'WH+RT PREVIOUS'!$N$2:$N$15000,"&gt;365")</f>
        <v>0</v>
      </c>
      <c r="G28" s="1">
        <f>SUMIFS('WH+RT PREVIOUS'!$M$2:$M$15000,'WH+RT PREVIOUS'!$B$2:$B$15000,"15-15-15",'WH+RT PREVIOUS'!$S$2:$S$15000,"MANIK LAL PAL",'WH+RT PREVIOUS'!$N$2:$N$15000,"&gt;365")</f>
        <v>0</v>
      </c>
      <c r="H28" s="1">
        <f>SUMIFS('WH+RT PREVIOUS'!$M$2:$M$15000,'WH+RT PREVIOUS'!$B$2:$B$15000,"Imp 10-26-26",'WH+RT PREVIOUS'!$S$2:$S$15000,"MANIK LAL PAL",'WH+RT PREVIOUS'!$N$2:$N$15000,"&gt;365")</f>
        <v>0</v>
      </c>
      <c r="I28" s="1">
        <f>SUMIFS('WH+RT PREVIOUS'!$M$2:$M$15000,'WH+RT PREVIOUS'!$B$2:$B$15000,"MOP",'WH+RT PREVIOUS'!$S$2:$S$15000,"MANIK LAL PAL",'WH+RT PREVIOUS'!$N$2:$N$15000,"&gt;365")</f>
        <v>0</v>
      </c>
      <c r="J28" s="1">
        <f>SUMIFS('WH+RT PREVIOUS'!$M$2:$M$15000,'WH+RT PREVIOUS'!$B$2:$B$15000,"Imp DAP",'WH+RT PREVIOUS'!$S$2:$S$15000,"MANIK LAL PAL",'WH+RT PREVIOUS'!$N$2:$N$15000,"&gt;365")</f>
        <v>0</v>
      </c>
      <c r="K28" s="1">
        <f>F28+G28+H28+I28+J28</f>
        <v>0</v>
      </c>
      <c r="L28" s="1">
        <f>SUMIFS('WH+RT CURRENT'!$M$2:$M$15000,'WH+RT CURRENT'!$B$2:$B$15000,"N.C.Urea(45kg)",'WH+RT CURRENT'!$S$2:$S$15000,"MANIK LAL PAL",'WH+RT CURRENT'!$N$2:$N$15000,"&gt;365")</f>
        <v>0</v>
      </c>
      <c r="M28" s="1">
        <f>SUMIFS('WH+RT CURRENT'!$M$2:$M$15000,'WH+RT CURRENT'!$B$2:$B$15000,"15-15-15",'WH+RT CURRENT'!$S$2:$S$15000,"MANIK LAL PAL",'WH+RT CURRENT'!$N$2:$N$15000,"&gt;365")</f>
        <v>0</v>
      </c>
      <c r="N28" s="1">
        <f>SUMIFS('WH+RT CURRENT'!$M$2:$M$15000,'WH+RT CURRENT'!$B$2:$B$15000,"Imp 10-26-26",'WH+RT CURRENT'!$S$2:$S$15000,"MANIK LAL PAL",'WH+RT CURRENT'!$N$2:$N$15000,"&gt;365")</f>
        <v>0</v>
      </c>
      <c r="O28" s="1">
        <f>SUMIFS('WH+RT CURRENT'!$M$2:$M$15000,'WH+RT CURRENT'!$B$2:$B$15000,"MOP",'WH+RT CURRENT'!$S$2:$S$15000,"MANIK LAL PAL",'WH+RT CURRENT'!$N$2:$N$15000,"&gt;365")</f>
        <v>0</v>
      </c>
      <c r="P28" s="1">
        <f>SUMIFS('WH+RT CURRENT'!$M$2:$M$15000,'WH+RT CURRENT'!$B$2:$B$15000,"Imp DAP",'WH+RT CURRENT'!$S$2:$S$15000,"MANIK LAL PAL",'WH+RT CURRENT'!$N$2:$N$15000,"&gt;365")</f>
        <v>0</v>
      </c>
      <c r="Q28" s="1">
        <f>L28+M28+N28+O28+P28</f>
        <v>0</v>
      </c>
    </row>
    <row r="29" spans="5:17" x14ac:dyDescent="0.25">
      <c r="E29" s="2" t="s">
        <v>7</v>
      </c>
      <c r="F29" s="1">
        <f>F27+F28</f>
        <v>0</v>
      </c>
      <c r="G29" s="1">
        <f>G27+G28</f>
        <v>0</v>
      </c>
      <c r="H29" s="1">
        <f>H27+H28</f>
        <v>0</v>
      </c>
      <c r="I29" s="1">
        <f>I27+I28</f>
        <v>0</v>
      </c>
      <c r="J29" s="1">
        <f>J27+J28</f>
        <v>0</v>
      </c>
      <c r="K29" s="1">
        <f>F29+G29+H29+I29+J29</f>
        <v>0</v>
      </c>
      <c r="L29" s="1">
        <f>L27+L28</f>
        <v>0</v>
      </c>
      <c r="M29" s="1">
        <f>M27+M28</f>
        <v>0</v>
      </c>
      <c r="N29" s="1">
        <f>N27+N28</f>
        <v>0</v>
      </c>
      <c r="O29" s="1">
        <f>O27+O28</f>
        <v>0</v>
      </c>
      <c r="P29" s="1">
        <f>P27+P28</f>
        <v>0</v>
      </c>
      <c r="Q29" s="1">
        <f>L29+M29+N29+O29+P29</f>
        <v>0</v>
      </c>
    </row>
    <row r="30" spans="5:17" x14ac:dyDescent="0.25">
      <c r="E30" s="2" t="s">
        <v>9</v>
      </c>
      <c r="F30" s="1">
        <f>SUMIFS('WH+RT PREVIOUS'!$M$2:$M$15000,'WH+RT PREVIOUS'!$B$2:$B$15000,"N.C.Urea(45kg)",'WH+RT PREVIOUS'!$S$2:$S$15000,"MANIK LAL PAL")</f>
        <v>10.515000000000001</v>
      </c>
      <c r="G30" s="1">
        <f>SUMIFS('WH+RT PREVIOUS'!$M$2:$M$15000,'WH+RT PREVIOUS'!$B$2:$B$15000,"15-15-15",'WH+RT PREVIOUS'!$S$2:$S$15000,"MANIK LAL PAL")</f>
        <v>0</v>
      </c>
      <c r="H30" s="1">
        <f>SUMIFS('WH+RT PREVIOUS'!$M$2:$M$15000,'WH+RT PREVIOUS'!$B$2:$B$15000,"Imp 10-26-26",'WH+RT PREVIOUS'!$S$2:$S$15000,"MANIK LAL PAL")</f>
        <v>11</v>
      </c>
      <c r="I30" s="1">
        <f>SUMIFS('WH+RT PREVIOUS'!$M$2:$M$15000,'WH+RT PREVIOUS'!$B$2:$B$15000,"MOP",'WH+RT PREVIOUS'!$S$2:$S$15000,"MANIK LAL PAL")</f>
        <v>0</v>
      </c>
      <c r="J30" s="1">
        <f>SUMIFS('WH+RT PREVIOUS'!$M$2:$M$15000,'WH+RT PREVIOUS'!$B$2:$B$15000,"Imp DAP",'WH+RT PREVIOUS'!$S$2:$S$15000,"MANIK LAL PAL")</f>
        <v>0</v>
      </c>
      <c r="K30" s="1">
        <f>F30+G30+H30+I30+J30</f>
        <v>21.515000000000001</v>
      </c>
      <c r="L30" s="1">
        <f>SUMIFS('WH+RT CURRENT'!$M$2:$M$15000,'WH+RT CURRENT'!$B$2:$B$15000,"N.C.Urea(45kg)",'WH+RT CURRENT'!$S$2:$S$15000,"MANIK LAL PAL")</f>
        <v>10.515000000000001</v>
      </c>
      <c r="M30" s="1">
        <f>SUMIFS('WH+RT CURRENT'!$M$2:$M$15000,'WH+RT CURRENT'!$B$2:$B$15000,"15-15-15",'WH+RT CURRENT'!$S$2:$S$15000,"MANIK LAL PAL")</f>
        <v>0</v>
      </c>
      <c r="N30" s="1">
        <f>SUMIFS('WH+RT CURRENT'!$M$2:$M$15000,'WH+RT CURRENT'!$B$2:$B$15000,"Imp 10-26-26",'WH+RT CURRENT'!$S$2:$S$15000,"MANIK LAL PAL")</f>
        <v>11</v>
      </c>
      <c r="O30" s="1">
        <f>SUMIFS('WH+RT CURRENT'!$M$2:$M$15000,'WH+RT CURRENT'!$B$2:$B$15000,"MOP",'WH+RT CURRENT'!$S$2:$S$15000,"MANIK LAL PAL")</f>
        <v>0</v>
      </c>
      <c r="P30" s="1">
        <f>SUMIFS('WH+RT CURRENT'!$M$2:$M$15000,'WH+RT CURRENT'!$B$2:$B$15000,"Imp DAP",'WH+RT CURRENT'!$S$2:$S$15000,"MANIK LAL PAL")</f>
        <v>0</v>
      </c>
      <c r="Q30" s="1">
        <f>L30+M30+N30+O30+P30</f>
        <v>21.515000000000001</v>
      </c>
    </row>
    <row r="33" spans="5:17" x14ac:dyDescent="0.25">
      <c r="E33" s="12" t="s">
        <v>387</v>
      </c>
      <c r="F33" s="12"/>
      <c r="G33" s="12"/>
      <c r="H33" s="12"/>
      <c r="I33" s="12"/>
      <c r="J33" s="12"/>
      <c r="K33" s="12"/>
      <c r="L33" s="12"/>
      <c r="M33" s="12"/>
      <c r="N33" s="12"/>
      <c r="O33" s="12"/>
      <c r="P33" s="12"/>
      <c r="Q33" s="12"/>
    </row>
    <row r="34" spans="5:17" x14ac:dyDescent="0.25">
      <c r="E34" s="13"/>
      <c r="F34" s="15" t="s">
        <v>8130</v>
      </c>
      <c r="G34" s="15"/>
      <c r="H34" s="15"/>
      <c r="I34" s="15"/>
      <c r="J34" s="15"/>
      <c r="K34" s="15"/>
      <c r="L34" s="15" t="s">
        <v>8131</v>
      </c>
      <c r="M34" s="15"/>
      <c r="N34" s="15"/>
      <c r="O34" s="15"/>
      <c r="P34" s="15"/>
      <c r="Q34" s="15"/>
    </row>
    <row r="35" spans="5:17" x14ac:dyDescent="0.25">
      <c r="E35" s="14"/>
      <c r="F35" s="2" t="s">
        <v>0</v>
      </c>
      <c r="G35" s="2" t="s">
        <v>1</v>
      </c>
      <c r="H35" s="2" t="s">
        <v>2</v>
      </c>
      <c r="I35" s="2" t="s">
        <v>3</v>
      </c>
      <c r="J35" s="2" t="s">
        <v>8128</v>
      </c>
      <c r="K35" s="2" t="s">
        <v>4</v>
      </c>
      <c r="L35" s="2" t="s">
        <v>0</v>
      </c>
      <c r="M35" s="2" t="s">
        <v>1</v>
      </c>
      <c r="N35" s="2" t="s">
        <v>2</v>
      </c>
      <c r="O35" s="2" t="s">
        <v>3</v>
      </c>
      <c r="P35" s="2" t="s">
        <v>8128</v>
      </c>
      <c r="Q35" s="2" t="s">
        <v>4</v>
      </c>
    </row>
    <row r="36" spans="5:17" x14ac:dyDescent="0.25">
      <c r="E36" s="2" t="s">
        <v>5</v>
      </c>
      <c r="F36" s="1">
        <f>SUMIFS('WH+RT PREVIOUS'!$M$2:$M$15000,'WH+RT PREVIOUS'!$B$2:$B$15000,"N.C.Urea(45kg)",'WH+RT PREVIOUS'!$S$2:$S$15000,"Sibnath Dawn",'WH+RT PREVIOUS'!$N$2:$N$15000,"&gt;179",'WH+RT PREVIOUS'!$N$2:$N$15000,"&lt;366")</f>
        <v>2.88</v>
      </c>
      <c r="G36" s="1">
        <f>SUMIFS('WH+RT PREVIOUS'!$M$2:$M$15000,'WH+RT PREVIOUS'!$B$2:$B$15000,"15-15-15",'WH+RT PREVIOUS'!$S$2:$S$15000,"Sibnath Dawn",'WH+RT PREVIOUS'!$N$2:$N$15000,"&gt;179",'WH+RT PREVIOUS'!$N$2:$N$15000,"&lt;366")</f>
        <v>0</v>
      </c>
      <c r="H36" s="1">
        <f>SUMIFS('WH+RT PREVIOUS'!$M$2:$M$15000,'WH+RT PREVIOUS'!$B$2:$B$15000,"Imp 10-26-26",'WH+RT PREVIOUS'!$S$2:$S$15000,"Sibnath Dawn",'WH+RT PREVIOUS'!$N$2:$N$15000,"&gt;179",'WH+RT PREVIOUS'!$N$2:$N$15000,"&lt;366")</f>
        <v>0</v>
      </c>
      <c r="I36" s="1">
        <f>SUMIFS('WH+RT PREVIOUS'!$M$2:$M$15000,'WH+RT PREVIOUS'!$B$2:$B$15000,"MOP",'WH+RT PREVIOUS'!$S$2:$S$15000,"Sibnath Dawn",'WH+RT PREVIOUS'!$N$2:$N$15000,"&gt;179",'WH+RT PREVIOUS'!$N$2:$N$15000,"&lt;366")</f>
        <v>0</v>
      </c>
      <c r="J36" s="1">
        <f>SUMIFS('WH+RT PREVIOUS'!$M$2:$M$15000,'WH+RT PREVIOUS'!$B$2:$B$15000,"Imp DAP",'WH+RT PREVIOUS'!$S$2:$S$15000,"Sibnath Dawn",'WH+RT PREVIOUS'!$N$2:$N$15000,"&gt;179",'WH+RT PREVIOUS'!$N$2:$N$15000,"&lt;366")</f>
        <v>0</v>
      </c>
      <c r="K36" s="1">
        <f>F36+G36+H36+I36+J36</f>
        <v>2.88</v>
      </c>
      <c r="L36" s="1">
        <f>SUMIFS('WH+RT CURRENT'!$M$2:$M$15000,'WH+RT CURRENT'!$B$2:$B$15000,"N.C.Urea(45kg)",'WH+RT CURRENT'!$S$2:$S$15000,"Sibnath Dawn",'WH+RT CURRENT'!$N$2:$N$15000,"&gt;179",'WH+RT CURRENT'!$N$2:$N$15000,"&lt;366")</f>
        <v>2.34</v>
      </c>
      <c r="M36" s="1">
        <f>SUMIFS('WH+RT CURRENT'!$M$2:$M$15000,'WH+RT CURRENT'!$B$2:$B$15000,"15-15-15",'WH+RT CURRENT'!$S$2:$S$15000,"Sibnath Dawn",'WH+RT CURRENT'!$N$2:$N$15000,"&gt;179",'WH+RT CURRENT'!$N$2:$N$15000,"&lt;366")</f>
        <v>0</v>
      </c>
      <c r="N36" s="1">
        <f>SUMIFS('WH+RT CURRENT'!$M$2:$M$15000,'WH+RT CURRENT'!$B$2:$B$15000,"Imp 10-26-26",'WH+RT CURRENT'!$S$2:$S$15000,"Sibnath Dawn",'WH+RT CURRENT'!$N$2:$N$15000,"&gt;179",'WH+RT CURRENT'!$N$2:$N$15000,"&lt;366")</f>
        <v>0</v>
      </c>
      <c r="O36" s="1">
        <f>SUMIFS('WH+RT CURRENT'!$M$2:$M$15000,'WH+RT CURRENT'!$B$2:$B$15000,"MOP",'WH+RT CURRENT'!$S$2:$S$15000,"Sibnath Dawn",'WH+RT CURRENT'!$N$2:$N$15000,"&gt;179",'WH+RT CURRENT'!$N$2:$N$15000,"&lt;366")</f>
        <v>0</v>
      </c>
      <c r="P36" s="1">
        <f>SUMIFS('WH+RT CURRENT'!$M$2:$M$15000,'WH+RT CURRENT'!$B$2:$B$15000,"Imp DAP",'WH+RT CURRENT'!$S$2:$S$15000,"Sibnath Dawn",'WH+RT CURRENT'!$N$2:$N$15000,"&gt;179",'WH+RT CURRENT'!$N$2:$N$15000,"&lt;366")</f>
        <v>0</v>
      </c>
      <c r="Q36" s="1">
        <f>L36+M36+N36+O36+P36</f>
        <v>2.34</v>
      </c>
    </row>
    <row r="37" spans="5:17" x14ac:dyDescent="0.25">
      <c r="E37" s="2" t="s">
        <v>6</v>
      </c>
      <c r="F37" s="1">
        <f>SUMIFS('WH+RT PREVIOUS'!$M$2:$M$15000,'WH+RT PREVIOUS'!$B$2:$B$15000,"N.C.Urea(45kg)",'WH+RT PREVIOUS'!$S$2:$S$15000,"Sibnath Dawn",'WH+RT PREVIOUS'!$N$2:$N$15000,"&gt;365")</f>
        <v>0</v>
      </c>
      <c r="G37" s="1">
        <f>SUMIFS('WH+RT PREVIOUS'!$M$2:$M$15000,'WH+RT PREVIOUS'!$B$2:$B$15000,"15-15-15",'WH+RT PREVIOUS'!$S$2:$S$15000,"Sibnath Dawn",'WH+RT PREVIOUS'!$N$2:$N$15000,"&gt;365")</f>
        <v>0</v>
      </c>
      <c r="H37" s="1">
        <f>SUMIFS('WH+RT PREVIOUS'!$M$2:$M$15000,'WH+RT PREVIOUS'!$B$2:$B$15000,"Imp 10-26-26",'WH+RT PREVIOUS'!$S$2:$S$15000,"Sibnath Dawn",'WH+RT PREVIOUS'!$N$2:$N$15000,"&gt;365")</f>
        <v>0</v>
      </c>
      <c r="I37" s="1">
        <f>SUMIFS('WH+RT PREVIOUS'!$M$2:$M$15000,'WH+RT PREVIOUS'!$B$2:$B$15000,"MOP",'WH+RT PREVIOUS'!$S$2:$S$15000,"Sibnath Dawn",'WH+RT PREVIOUS'!$N$2:$N$15000,"&gt;365")</f>
        <v>0</v>
      </c>
      <c r="J37" s="1">
        <f>SUMIFS('WH+RT PREVIOUS'!$M$2:$M$15000,'WH+RT PREVIOUS'!$B$2:$B$15000,"Imp DAP",'WH+RT PREVIOUS'!$S$2:$S$15000,"Sibnath Dawn",'WH+RT PREVIOUS'!$N$2:$N$15000,"&gt;365")</f>
        <v>0</v>
      </c>
      <c r="K37" s="1">
        <f>F37+G37+H37+I37+J37</f>
        <v>0</v>
      </c>
      <c r="L37" s="1">
        <f>SUMIFS('WH+RT CURRENT'!$M$2:$M$15000,'WH+RT CURRENT'!$B$2:$B$15000,"N.C.Urea(45kg)",'WH+RT CURRENT'!$S$2:$S$15000,"Sibnath Dawn",'WH+RT CURRENT'!$N$2:$N$15000,"&gt;365")</f>
        <v>0</v>
      </c>
      <c r="M37" s="1">
        <f>SUMIFS('WH+RT CURRENT'!$M$2:$M$15000,'WH+RT CURRENT'!$B$2:$B$15000,"15-15-15",'WH+RT CURRENT'!$S$2:$S$15000,"Sibnath Dawn",'WH+RT CURRENT'!$N$2:$N$15000,"&gt;365")</f>
        <v>0</v>
      </c>
      <c r="N37" s="1">
        <f>SUMIFS('WH+RT CURRENT'!$M$2:$M$15000,'WH+RT CURRENT'!$B$2:$B$15000,"Imp 10-26-26",'WH+RT CURRENT'!$S$2:$S$15000,"Sibnath Dawn",'WH+RT CURRENT'!$N$2:$N$15000,"&gt;365")</f>
        <v>0</v>
      </c>
      <c r="O37" s="1">
        <f>SUMIFS('WH+RT CURRENT'!$M$2:$M$15000,'WH+RT CURRENT'!$B$2:$B$15000,"MOP",'WH+RT CURRENT'!$S$2:$S$15000,"Sibnath Dawn",'WH+RT CURRENT'!$N$2:$N$15000,"&gt;365")</f>
        <v>0</v>
      </c>
      <c r="P37" s="1">
        <f>SUMIFS('WH+RT CURRENT'!$M$2:$M$15000,'WH+RT CURRENT'!$B$2:$B$15000,"Imp DAP",'WH+RT CURRENT'!$S$2:$S$15000,"Sibnath Dawn",'WH+RT CURRENT'!$N$2:$N$15000,"&gt;365")</f>
        <v>0</v>
      </c>
      <c r="Q37" s="1">
        <f>L37+M37+N37+O37+P37</f>
        <v>0</v>
      </c>
    </row>
    <row r="38" spans="5:17" x14ac:dyDescent="0.25">
      <c r="E38" s="2" t="s">
        <v>7</v>
      </c>
      <c r="F38" s="1">
        <f>F36+F37</f>
        <v>2.88</v>
      </c>
      <c r="G38" s="1">
        <f>G36+G37</f>
        <v>0</v>
      </c>
      <c r="H38" s="1">
        <f>H36+H37</f>
        <v>0</v>
      </c>
      <c r="I38" s="1">
        <f>I36+I37</f>
        <v>0</v>
      </c>
      <c r="J38" s="1">
        <f>J36+J37</f>
        <v>0</v>
      </c>
      <c r="K38" s="1">
        <f>F38+G38+H38+I38+J38</f>
        <v>2.88</v>
      </c>
      <c r="L38" s="1">
        <f>L36+L37</f>
        <v>2.34</v>
      </c>
      <c r="M38" s="1">
        <f>M36+M37</f>
        <v>0</v>
      </c>
      <c r="N38" s="1">
        <f>N36+N37</f>
        <v>0</v>
      </c>
      <c r="O38" s="1">
        <f>O36+O37</f>
        <v>0</v>
      </c>
      <c r="P38" s="1">
        <f>P36+P37</f>
        <v>0</v>
      </c>
      <c r="Q38" s="1">
        <f>L38+M38+N38+O38+P38</f>
        <v>2.34</v>
      </c>
    </row>
    <row r="39" spans="5:17" x14ac:dyDescent="0.25">
      <c r="E39" s="2" t="s">
        <v>9</v>
      </c>
      <c r="F39" s="1">
        <f>SUMIFS('WH+RT PREVIOUS'!$M$2:$M$15000,'WH+RT PREVIOUS'!$B$2:$B$15000,"N.C.Urea(45kg)",'WH+RT PREVIOUS'!$S$2:$S$15000,"Sibnath Dawn")</f>
        <v>28.35</v>
      </c>
      <c r="G39" s="1">
        <f>SUMIFS('WH+RT PREVIOUS'!$M$2:$M$15000,'WH+RT PREVIOUS'!$B$2:$B$15000,"15-15-15",'WH+RT PREVIOUS'!$S$2:$S$15000,"Sibnath Dawn")</f>
        <v>0</v>
      </c>
      <c r="H39" s="1">
        <f>SUMIFS('WH+RT PREVIOUS'!$M$2:$M$15000,'WH+RT PREVIOUS'!$B$2:$B$15000,"Imp 10-26-26",'WH+RT PREVIOUS'!$S$2:$S$15000,"Sibnath Dawn")</f>
        <v>14.45</v>
      </c>
      <c r="I39" s="1">
        <f>SUMIFS('WH+RT PREVIOUS'!$M$2:$M$15000,'WH+RT PREVIOUS'!$B$2:$B$15000,"MOP",'WH+RT PREVIOUS'!$S$2:$S$15000,"Sibnath Dawn")</f>
        <v>0</v>
      </c>
      <c r="J39" s="1">
        <f>SUMIFS('WH+RT PREVIOUS'!$M$2:$M$15000,'WH+RT PREVIOUS'!$B$2:$B$15000,"Imp DAP",'WH+RT PREVIOUS'!$S$2:$S$15000,"Sibnath Dawn")</f>
        <v>0</v>
      </c>
      <c r="K39" s="1">
        <f>F39+G39+H39+I39+J39</f>
        <v>42.8</v>
      </c>
      <c r="L39" s="1">
        <f>SUMIFS('WH+RT CURRENT'!$M$2:$M$15000,'WH+RT CURRENT'!$B$2:$B$15000,"N.C.Urea(45kg)",'WH+RT CURRENT'!$S$2:$S$15000,"Sibnath Dawn")</f>
        <v>27.810000000000002</v>
      </c>
      <c r="M39" s="1">
        <f>SUMIFS('WH+RT CURRENT'!$M$2:$M$15000,'WH+RT CURRENT'!$B$2:$B$15000,"15-15-15",'WH+RT CURRENT'!$S$2:$S$15000,"Sibnath Dawn")</f>
        <v>0</v>
      </c>
      <c r="N39" s="1">
        <f>SUMIFS('WH+RT CURRENT'!$M$2:$M$15000,'WH+RT CURRENT'!$B$2:$B$15000,"Imp 10-26-26",'WH+RT CURRENT'!$S$2:$S$15000,"Sibnath Dawn")</f>
        <v>14.45</v>
      </c>
      <c r="O39" s="1">
        <f>SUMIFS('WH+RT CURRENT'!$M$2:$M$15000,'WH+RT CURRENT'!$B$2:$B$15000,"MOP",'WH+RT CURRENT'!$S$2:$S$15000,"Sibnath Dawn")</f>
        <v>0</v>
      </c>
      <c r="P39" s="1">
        <f>SUMIFS('WH+RT CURRENT'!$M$2:$M$15000,'WH+RT CURRENT'!$B$2:$B$15000,"Imp DAP",'WH+RT CURRENT'!$S$2:$S$15000,"Sibnath Dawn")</f>
        <v>0</v>
      </c>
      <c r="Q39" s="1">
        <f>L39+M39+N39+O39+P39</f>
        <v>42.260000000000005</v>
      </c>
    </row>
  </sheetData>
  <mergeCells count="17">
    <mergeCell ref="E1:Q3"/>
    <mergeCell ref="E6:Q6"/>
    <mergeCell ref="E7:E8"/>
    <mergeCell ref="F7:K7"/>
    <mergeCell ref="L7:Q7"/>
    <mergeCell ref="E15:Q15"/>
    <mergeCell ref="E16:E17"/>
    <mergeCell ref="F16:K16"/>
    <mergeCell ref="L16:Q16"/>
    <mergeCell ref="E24:Q24"/>
    <mergeCell ref="E25:E26"/>
    <mergeCell ref="F25:K25"/>
    <mergeCell ref="L25:Q25"/>
    <mergeCell ref="E33:Q33"/>
    <mergeCell ref="E34:E35"/>
    <mergeCell ref="F34:K34"/>
    <mergeCell ref="L34:Q3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851E0-7114-437E-A878-4F57CAB051E4}">
  <dimension ref="E1:S48"/>
  <sheetViews>
    <sheetView topLeftCell="A16" workbookViewId="0"/>
  </sheetViews>
  <sheetFormatPr defaultRowHeight="15" x14ac:dyDescent="0.25"/>
  <cols>
    <col min="1" max="4" width="10.7109375" customWidth="1"/>
    <col min="5" max="5" width="13.7109375" bestFit="1" customWidth="1"/>
  </cols>
  <sheetData>
    <row r="1" spans="5:19" x14ac:dyDescent="0.25">
      <c r="E1" s="16" t="s">
        <v>418</v>
      </c>
      <c r="F1" s="17"/>
      <c r="G1" s="17"/>
      <c r="H1" s="17"/>
      <c r="I1" s="17"/>
      <c r="J1" s="17"/>
      <c r="K1" s="17"/>
      <c r="L1" s="17"/>
      <c r="M1" s="17"/>
      <c r="N1" s="17"/>
      <c r="O1" s="17"/>
      <c r="P1" s="17"/>
      <c r="Q1" s="17"/>
      <c r="R1" t="s">
        <v>8141</v>
      </c>
      <c r="S1">
        <v>5</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3468</v>
      </c>
      <c r="F6" s="12"/>
      <c r="G6" s="12"/>
      <c r="H6" s="12"/>
      <c r="I6" s="12"/>
      <c r="J6" s="12"/>
      <c r="K6" s="12"/>
      <c r="L6" s="12"/>
      <c r="M6" s="12"/>
      <c r="N6" s="12"/>
      <c r="O6" s="12"/>
      <c r="P6" s="12"/>
      <c r="Q6" s="12"/>
    </row>
    <row r="7" spans="5:19" x14ac:dyDescent="0.25">
      <c r="E7" s="13"/>
      <c r="F7" s="15" t="s">
        <v>8147</v>
      </c>
      <c r="G7" s="15"/>
      <c r="H7" s="15"/>
      <c r="I7" s="15"/>
      <c r="J7" s="15"/>
      <c r="K7" s="15"/>
      <c r="L7" s="15" t="s">
        <v>8148</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PREVIOUS'!$R$2:$R$15000,"221829",'WH+RT PREVIOUS'!$N$2:$N$15000,"&gt;179",'WH+RT PREVIOUS'!$N$2:$N$15000,"&lt;366")</f>
        <v>5.0000000000000001E-3</v>
      </c>
      <c r="G9" s="1">
        <f>SUMIFS('WH+RT PREVIOUS'!$M$2:$M$15000,'WH+RT PREVIOUS'!$B$2:$B$15000,"15-15-15",'WH+RT PREVIOUS'!$R$2:$R$15000,"221829",'WH+RT PREVIOUS'!$N$2:$N$15000,"&gt;179",'WH+RT PREVIOUS'!$N$2:$N$15000,"&lt;366")</f>
        <v>0</v>
      </c>
      <c r="H9" s="1">
        <f>SUMIFS('WH+RT PREVIOUS'!$M$2:$M$15000,'WH+RT PREVIOUS'!$B$2:$B$15000,"Imp 10-26-26",'WH+RT PREVIOUS'!$R$2:$R$15000,"221829",'WH+RT PREVIOUS'!$N$2:$N$15000,"&gt;179",'WH+RT PREVIOUS'!$N$2:$N$15000,"&lt;366")</f>
        <v>0</v>
      </c>
      <c r="I9" s="1">
        <f>SUMIFS('WH+RT PREVIOUS'!$M$2:$M$15000,'WH+RT PREVIOUS'!$B$2:$B$15000,"MOP",'WH+RT PREVIOUS'!$R$2:$R$15000,"221829",'WH+RT PREVIOUS'!$N$2:$N$15000,"&gt;179",'WH+RT PREVIOUS'!$N$2:$N$15000,"&lt;366")</f>
        <v>0</v>
      </c>
      <c r="J9" s="1">
        <f>SUMIFS('WH+RT PREVIOUS'!$M$2:$M$15000,'WH+RT PREVIOUS'!$B$2:$B$15000,"Imp DAP",'WH+RT PREVIOUS'!$R$2:$R$15000,"221829",'WH+RT PREVIOUS'!$N$2:$N$15000,"&gt;179",'WH+RT PREVIOUS'!$N$2:$N$15000,"&lt;366")</f>
        <v>0</v>
      </c>
      <c r="K9" s="1">
        <f>F9+G9+H9+I9+J9</f>
        <v>5.0000000000000001E-3</v>
      </c>
      <c r="L9" s="1">
        <f>SUMIFS('WH+RT CURRENT'!$M$2:$M$15000,'WH+RT CURRENT'!$B$2:$B$15000,"N.C.Urea(45kg)",'WH+RT CURRENT'!$R$2:$R$15000,"221829",'WH+RT CURRENT'!$N$2:$N$15000,"&gt;179",'WH+RT CURRENT'!$N$2:$N$15000,"&lt;366")</f>
        <v>5.0000000000000001E-3</v>
      </c>
      <c r="M9" s="1">
        <f>SUMIFS('WH+RT CURRENT'!$M$2:$M$15000,'WH+RT CURRENT'!$B$2:$B$15000,"15-15-15",'WH+RT CURRENT'!$R$2:$R$15000,"221829",'WH+RT CURRENT'!$N$2:$N$15000,"&gt;179",'WH+RT CURRENT'!$N$2:$N$15000,"&lt;366")</f>
        <v>0</v>
      </c>
      <c r="N9" s="1">
        <f>SUMIFS('WH+RT CURRENT'!$M$2:$M$15000,'WH+RT CURRENT'!$B$2:$B$15000,"Imp 10-26-26",'WH+RT CURRENT'!$R$2:$R$15000,"221829",'WH+RT CURRENT'!$N$2:$N$15000,"&gt;179",'WH+RT CURRENT'!$N$2:$N$15000,"&lt;366")</f>
        <v>0</v>
      </c>
      <c r="O9" s="1">
        <f>SUMIFS('WH+RT CURRENT'!$M$2:$M$15000,'WH+RT CURRENT'!$B$2:$B$15000,"MOP",'WH+RT CURRENT'!$R$2:$R$15000,"221829",'WH+RT CURRENT'!$N$2:$N$15000,"&gt;179",'WH+RT CURRENT'!$N$2:$N$15000,"&lt;366")</f>
        <v>0</v>
      </c>
      <c r="P9" s="1">
        <f>SUMIFS('WH+RT CURRENT'!$M$2:$M$15000,'WH+RT CURRENT'!$B$2:$B$15000,"Imp DAP",'WH+RT CURRENT'!$R$2:$R$15000,"221829",'WH+RT CURRENT'!$N$2:$N$15000,"&gt;179",'WH+RT CURRENT'!$N$2:$N$15000,"&lt;366")</f>
        <v>0</v>
      </c>
      <c r="Q9" s="1">
        <f>L9+M9+N9+O9+P9</f>
        <v>5.0000000000000001E-3</v>
      </c>
    </row>
    <row r="10" spans="5:19" x14ac:dyDescent="0.25">
      <c r="E10" s="2" t="s">
        <v>6</v>
      </c>
      <c r="F10" s="1">
        <f>SUMIFS('WH+RT PREVIOUS'!$M$2:$M$15000,'WH+RT PREVIOUS'!$B$2:$B$15000,"N.C.Urea(45kg)",'WH+RT PREVIOUS'!$R$2:$R$15000,"221829",'WH+RT PREVIOUS'!$N$2:$N$15000,"&gt;365")</f>
        <v>0</v>
      </c>
      <c r="G10" s="1">
        <f>SUMIFS('WH+RT PREVIOUS'!$M$2:$M$15000,'WH+RT PREVIOUS'!$B$2:$B$15000,"15-15-15",'WH+RT PREVIOUS'!$R$2:$R$15000,"221829",'WH+RT PREVIOUS'!$N$2:$N$15000,"&gt;365")</f>
        <v>0</v>
      </c>
      <c r="H10" s="1">
        <f>SUMIFS('WH+RT PREVIOUS'!$M$2:$M$15000,'WH+RT PREVIOUS'!$B$2:$B$15000,"Imp 10-26-26",'WH+RT PREVIOUS'!$R$2:$R$15000,"221829",'WH+RT PREVIOUS'!$N$2:$N$15000,"&gt;365")</f>
        <v>0</v>
      </c>
      <c r="I10" s="1">
        <f>SUMIFS('WH+RT PREVIOUS'!$M$2:$M$15000,'WH+RT PREVIOUS'!$B$2:$B$15000,"MOP",'WH+RT PREVIOUS'!$R$2:$R$15000,"221829",'WH+RT PREVIOUS'!$N$2:$N$15000,"&gt;365")</f>
        <v>0</v>
      </c>
      <c r="J10" s="1">
        <f>SUMIFS('WH+RT PREVIOUS'!$M$2:$M$15000,'WH+RT PREVIOUS'!$B$2:$B$15000,"Imp DAP",'WH+RT PREVIOUS'!$R$2:$R$15000,"221829",'WH+RT PREVIOUS'!$N$2:$N$15000,"&gt;365")</f>
        <v>0</v>
      </c>
      <c r="K10" s="1">
        <f t="shared" ref="K10:K12" si="0">F10+G10+H10+I10+J10</f>
        <v>0</v>
      </c>
      <c r="L10" s="1">
        <f>SUMIFS('WH+RT CURRENT'!$M$2:$M$15000,'WH+RT CURRENT'!$B$2:$B$15000,"N.C.Urea(45kg)",'WH+RT CURRENT'!$R$2:$R$15000,"221829",'WH+RT CURRENT'!$N$2:$N$15000,"&gt;365")</f>
        <v>0</v>
      </c>
      <c r="M10" s="1">
        <f>SUMIFS('WH+RT CURRENT'!$M$2:$M$15000,'WH+RT CURRENT'!$B$2:$B$15000,"15-15-15",'WH+RT CURRENT'!$R$2:$R$15000,"221829",'WH+RT CURRENT'!$N$2:$N$15000,"&gt;365")</f>
        <v>0</v>
      </c>
      <c r="N10" s="1">
        <f>SUMIFS('WH+RT CURRENT'!$M$2:$M$15000,'WH+RT CURRENT'!$B$2:$B$15000,"Imp 10-26-26",'WH+RT CURRENT'!$R$2:$R$15000,"221829",'WH+RT CURRENT'!$N$2:$N$15000,"&gt;365")</f>
        <v>0</v>
      </c>
      <c r="O10" s="1">
        <f>SUMIFS('WH+RT CURRENT'!$M$2:$M$15000,'WH+RT CURRENT'!$B$2:$B$15000,"MOP",'WH+RT CURRENT'!$R$2:$R$15000,"221829",'WH+RT CURRENT'!$N$2:$N$15000,"&gt;365")</f>
        <v>0</v>
      </c>
      <c r="P10" s="1">
        <f>SUMIFS('WH+RT CURRENT'!$M$2:$M$15000,'WH+RT CURRENT'!$B$2:$B$15000,"Imp DAP",'WH+RT CURRENT'!$R$2:$R$15000,"221829",'WH+RT CURRENT'!$N$2:$N$15000,"&gt;365")</f>
        <v>0</v>
      </c>
      <c r="Q10" s="1">
        <f t="shared" ref="Q10:Q12" si="1">L10+M10+N10+O10+P10</f>
        <v>0</v>
      </c>
    </row>
    <row r="11" spans="5:19" x14ac:dyDescent="0.25">
      <c r="E11" s="2" t="s">
        <v>7</v>
      </c>
      <c r="F11" s="1">
        <f>F9+F10</f>
        <v>5.0000000000000001E-3</v>
      </c>
      <c r="G11" s="1">
        <f>G9+G10</f>
        <v>0</v>
      </c>
      <c r="H11" s="1">
        <f>H9+H10</f>
        <v>0</v>
      </c>
      <c r="I11" s="1">
        <f>I9+I10</f>
        <v>0</v>
      </c>
      <c r="J11" s="1">
        <f>J9+J10</f>
        <v>0</v>
      </c>
      <c r="K11" s="1">
        <f t="shared" si="0"/>
        <v>5.0000000000000001E-3</v>
      </c>
      <c r="L11" s="1">
        <f>L9+L10</f>
        <v>5.0000000000000001E-3</v>
      </c>
      <c r="M11" s="1">
        <f>M9+M10</f>
        <v>0</v>
      </c>
      <c r="N11" s="1">
        <f>N9+N10</f>
        <v>0</v>
      </c>
      <c r="O11" s="1">
        <f>O9+O10</f>
        <v>0</v>
      </c>
      <c r="P11" s="1">
        <f>P9+P10</f>
        <v>0</v>
      </c>
      <c r="Q11" s="1">
        <f t="shared" si="1"/>
        <v>5.0000000000000001E-3</v>
      </c>
    </row>
    <row r="12" spans="5:19" x14ac:dyDescent="0.25">
      <c r="E12" s="2" t="s">
        <v>9</v>
      </c>
      <c r="F12" s="1">
        <f>SUMIFS('WH+RT PREVIOUS'!$M$2:$M$15000,'WH+RT PREVIOUS'!$B$2:$B$15000,"N.C.Urea(45kg)",'WH+RT PREVIOUS'!$R$2:$R$15000,"221829")</f>
        <v>134.42499999999998</v>
      </c>
      <c r="G12" s="1">
        <f>SUMIFS('WH+RT PREVIOUS'!$M$2:$M$15000,'WH+RT PREVIOUS'!$B$2:$B$15000,"15-15-15",'WH+RT PREVIOUS'!$R$2:$R$15000,"221829")</f>
        <v>35.200000000000003</v>
      </c>
      <c r="H12" s="1">
        <f>SUMIFS('WH+RT PREVIOUS'!$M$2:$M$15000,'WH+RT PREVIOUS'!$B$2:$B$15000,"Imp 10-26-26",'WH+RT PREVIOUS'!$R$2:$R$15000,"221829")</f>
        <v>11.65</v>
      </c>
      <c r="I12" s="1">
        <f>SUMIFS('WH+RT PREVIOUS'!$M$2:$M$15000,'WH+RT PREVIOUS'!$B$2:$B$15000,"MOP",'WH+RT PREVIOUS'!$R$2:$R$15000,"221829")</f>
        <v>0</v>
      </c>
      <c r="J12" s="1">
        <f>SUMIFS('WH+RT PREVIOUS'!$M$2:$M$15000,'WH+RT PREVIOUS'!$B$2:$B$15000,"Imp DAP",'WH+RT PREVIOUS'!$R$2:$R$15000,"221829")</f>
        <v>0</v>
      </c>
      <c r="K12" s="1">
        <f t="shared" si="0"/>
        <v>181.27500000000001</v>
      </c>
      <c r="L12" s="1">
        <f>SUMIFS('WH+RT CURRENT'!$M$2:$M$15000,'WH+RT CURRENT'!$B$2:$B$15000,"N.C.Urea(45kg)",'WH+RT CURRENT'!$R$2:$R$15000,"221829")</f>
        <v>134.42499999999998</v>
      </c>
      <c r="M12" s="1">
        <f>SUMIFS('WH+RT CURRENT'!$M$2:$M$15000,'WH+RT CURRENT'!$B$2:$B$15000,"15-15-15",'WH+RT CURRENT'!$R$2:$R$15000,"221829")</f>
        <v>30.7</v>
      </c>
      <c r="N12" s="1">
        <f>SUMIFS('WH+RT CURRENT'!$M$2:$M$15000,'WH+RT CURRENT'!$B$2:$B$15000,"Imp 10-26-26",'WH+RT CURRENT'!$R$2:$R$15000,"221829")</f>
        <v>11.65</v>
      </c>
      <c r="O12" s="1">
        <f>SUMIFS('WH+RT CURRENT'!$M$2:$M$15000,'WH+RT CURRENT'!$B$2:$B$15000,"MOP",'WH+RT CURRENT'!$R$2:$R$15000,"221829")</f>
        <v>0</v>
      </c>
      <c r="P12" s="1">
        <f>SUMIFS('WH+RT CURRENT'!$M$2:$M$15000,'WH+RT CURRENT'!$B$2:$B$15000,"Imp DAP",'WH+RT CURRENT'!$R$2:$R$15000,"221829")</f>
        <v>0</v>
      </c>
      <c r="Q12" s="1">
        <f t="shared" si="1"/>
        <v>176.77499999999998</v>
      </c>
    </row>
    <row r="15" spans="5:19" x14ac:dyDescent="0.25">
      <c r="E15" s="12" t="s">
        <v>444</v>
      </c>
      <c r="F15" s="12"/>
      <c r="G15" s="12"/>
      <c r="H15" s="12"/>
      <c r="I15" s="12"/>
      <c r="J15" s="12"/>
      <c r="K15" s="12"/>
      <c r="L15" s="12"/>
      <c r="M15" s="12"/>
      <c r="N15" s="12"/>
      <c r="O15" s="12"/>
      <c r="P15" s="12"/>
      <c r="Q15" s="12"/>
    </row>
    <row r="16" spans="5:19" x14ac:dyDescent="0.25">
      <c r="E16" s="13"/>
      <c r="F16" s="15" t="s">
        <v>8147</v>
      </c>
      <c r="G16" s="15"/>
      <c r="H16" s="15"/>
      <c r="I16" s="15"/>
      <c r="J16" s="15"/>
      <c r="K16" s="15"/>
      <c r="L16" s="15" t="s">
        <v>8148</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PREVIOUS'!$R$2:$R$15000,"262596",'WH+RT PREVIOUS'!$N$2:$N$15000,"&gt;179",'WH+RT PREVIOUS'!$N$2:$N$15000,"&lt;366")</f>
        <v>0</v>
      </c>
      <c r="G18" s="1">
        <f>SUMIFS('WH+RT PREVIOUS'!$M$2:$M$15000,'WH+RT PREVIOUS'!$B$2:$B$15000,"15-15-15",'WH+RT PREVIOUS'!$R$2:$R$15000,"262596",'WH+RT PREVIOUS'!$N$2:$N$15000,"&gt;179",'WH+RT PREVIOUS'!$N$2:$N$15000,"&lt;366")</f>
        <v>0</v>
      </c>
      <c r="H18" s="1">
        <f>SUMIFS('WH+RT PREVIOUS'!$M$2:$M$15000,'WH+RT PREVIOUS'!$B$2:$B$15000,"Imp 10-26-26",'WH+RT PREVIOUS'!$R$2:$R$15000,"262596",'WH+RT PREVIOUS'!$N$2:$N$15000,"&gt;179",'WH+RT PREVIOUS'!$N$2:$N$15000,"&lt;366")</f>
        <v>0</v>
      </c>
      <c r="I18" s="1">
        <f>SUMIFS('WH+RT PREVIOUS'!$M$2:$M$15000,'WH+RT PREVIOUS'!$B$2:$B$15000,"MOP",'WH+RT PREVIOUS'!$R$2:$R$15000,"262596",'WH+RT PREVIOUS'!$N$2:$N$15000,"&gt;179",'WH+RT PREVIOUS'!$N$2:$N$15000,"&lt;366")</f>
        <v>0</v>
      </c>
      <c r="J18" s="1">
        <f>SUMIFS('WH+RT PREVIOUS'!$M$2:$M$15000,'WH+RT PREVIOUS'!$B$2:$B$15000,"Imp DAP",'WH+RT PREVIOUS'!$R$2:$R$15000,"262596",'WH+RT PREVIOUS'!$N$2:$N$15000,"&gt;179",'WH+RT PREVIOUS'!$N$2:$N$15000,"&lt;366")</f>
        <v>0</v>
      </c>
      <c r="K18" s="1">
        <f>F18+G18+H18+I18+J18</f>
        <v>0</v>
      </c>
      <c r="L18" s="1">
        <f>SUMIFS('WH+RT CURRENT'!$M$2:$M$15000,'WH+RT CURRENT'!$B$2:$B$15000,"N.C.Urea(45kg)",'WH+RT CURRENT'!$R$2:$R$15000,"262596",'WH+RT CURRENT'!$N$2:$N$15000,"&gt;179",'WH+RT CURRENT'!$N$2:$N$15000,"&lt;366")</f>
        <v>0</v>
      </c>
      <c r="M18" s="1">
        <f>SUMIFS('WH+RT CURRENT'!$M$2:$M$15000,'WH+RT CURRENT'!$B$2:$B$15000,"15-15-15",'WH+RT CURRENT'!$R$2:$R$15000,"262596",'WH+RT CURRENT'!$N$2:$N$15000,"&gt;179",'WH+RT CURRENT'!$N$2:$N$15000,"&lt;366")</f>
        <v>0</v>
      </c>
      <c r="N18" s="1">
        <f>SUMIFS('WH+RT CURRENT'!$M$2:$M$15000,'WH+RT CURRENT'!$B$2:$B$15000,"Imp 10-26-26",'WH+RT CURRENT'!$R$2:$R$15000,"262596",'WH+RT CURRENT'!$N$2:$N$15000,"&gt;179",'WH+RT CURRENT'!$N$2:$N$15000,"&lt;366")</f>
        <v>0</v>
      </c>
      <c r="O18" s="1">
        <f>SUMIFS('WH+RT CURRENT'!$M$2:$M$15000,'WH+RT CURRENT'!$B$2:$B$15000,"MOP",'WH+RT CURRENT'!$R$2:$R$15000,"262596",'WH+RT CURRENT'!$N$2:$N$15000,"&gt;179",'WH+RT CURRENT'!$N$2:$N$15000,"&lt;366")</f>
        <v>0</v>
      </c>
      <c r="P18" s="1">
        <f>SUMIFS('WH+RT CURRENT'!$M$2:$M$15000,'WH+RT CURRENT'!$B$2:$B$15000,"Imp DAP",'WH+RT CURRENT'!$R$2:$R$15000,"262596",'WH+RT CURRENT'!$N$2:$N$15000,"&gt;179",'WH+RT CURRENT'!$N$2:$N$15000,"&lt;366")</f>
        <v>0</v>
      </c>
      <c r="Q18" s="1">
        <f>L18+M18+N18+O18+P18</f>
        <v>0</v>
      </c>
    </row>
    <row r="19" spans="5:17" x14ac:dyDescent="0.25">
      <c r="E19" s="2" t="s">
        <v>6</v>
      </c>
      <c r="F19" s="1">
        <f>SUMIFS('WH+RT PREVIOUS'!$M$2:$M$15000,'WH+RT PREVIOUS'!$B$2:$B$15000,"N.C.Urea(45kg)",'WH+RT PREVIOUS'!$R$2:$R$15000,"262596",'WH+RT PREVIOUS'!$N$2:$N$15000,"&gt;365")</f>
        <v>0</v>
      </c>
      <c r="G19" s="1">
        <f>SUMIFS('WH+RT PREVIOUS'!$M$2:$M$15000,'WH+RT PREVIOUS'!$B$2:$B$15000,"15-15-15",'WH+RT PREVIOUS'!$R$2:$R$15000,"262596",'WH+RT PREVIOUS'!$N$2:$N$15000,"&gt;365")</f>
        <v>0</v>
      </c>
      <c r="H19" s="1">
        <f>SUMIFS('WH+RT PREVIOUS'!$M$2:$M$15000,'WH+RT PREVIOUS'!$B$2:$B$15000,"Imp 10-26-26",'WH+RT PREVIOUS'!$R$2:$R$15000,"262596",'WH+RT PREVIOUS'!$N$2:$N$15000,"&gt;365")</f>
        <v>0</v>
      </c>
      <c r="I19" s="1">
        <f>SUMIFS('WH+RT PREVIOUS'!$M$2:$M$15000,'WH+RT PREVIOUS'!$B$2:$B$15000,"MOP",'WH+RT PREVIOUS'!$R$2:$R$15000,"262596",'WH+RT PREVIOUS'!$N$2:$N$15000,"&gt;365")</f>
        <v>0</v>
      </c>
      <c r="J19" s="1">
        <f>SUMIFS('WH+RT PREVIOUS'!$M$2:$M$15000,'WH+RT PREVIOUS'!$B$2:$B$15000,"Imp DAP",'WH+RT PREVIOUS'!$R$2:$R$15000,"262596",'WH+RT PREVIOUS'!$N$2:$N$15000,"&gt;365")</f>
        <v>0</v>
      </c>
      <c r="K19" s="1">
        <f t="shared" ref="K19:K21" si="2">F19+G19+H19+I19+J19</f>
        <v>0</v>
      </c>
      <c r="L19" s="1">
        <f>SUMIFS('WH+RT CURRENT'!$M$2:$M$15000,'WH+RT CURRENT'!$B$2:$B$15000,"N.C.Urea(45kg)",'WH+RT CURRENT'!$R$2:$R$15000,"262596",'WH+RT CURRENT'!$N$2:$N$15000,"&gt;365")</f>
        <v>0</v>
      </c>
      <c r="M19" s="1">
        <f>SUMIFS('WH+RT CURRENT'!$M$2:$M$15000,'WH+RT CURRENT'!$B$2:$B$15000,"15-15-15",'WH+RT CURRENT'!$R$2:$R$15000,"262596",'WH+RT CURRENT'!$N$2:$N$15000,"&gt;365")</f>
        <v>0</v>
      </c>
      <c r="N19" s="1">
        <f>SUMIFS('WH+RT CURRENT'!$M$2:$M$15000,'WH+RT CURRENT'!$B$2:$B$15000,"Imp 10-26-26",'WH+RT CURRENT'!$R$2:$R$15000,"262596",'WH+RT CURRENT'!$N$2:$N$15000,"&gt;365")</f>
        <v>0</v>
      </c>
      <c r="O19" s="1">
        <f>SUMIFS('WH+RT CURRENT'!$M$2:$M$15000,'WH+RT CURRENT'!$B$2:$B$15000,"MOP",'WH+RT CURRENT'!$R$2:$R$15000,"262596",'WH+RT CURRENT'!$N$2:$N$15000,"&gt;365")</f>
        <v>0</v>
      </c>
      <c r="P19" s="1">
        <f>SUMIFS('WH+RT CURRENT'!$M$2:$M$15000,'WH+RT CURRENT'!$B$2:$B$15000,"Imp DAP",'WH+RT CURRENT'!$R$2:$R$15000,"262596",'WH+RT CURRENT'!$N$2:$N$15000,"&gt;365")</f>
        <v>0</v>
      </c>
      <c r="Q19" s="1">
        <f t="shared" ref="Q19:Q21" si="3">L19+M19+N19+O19+P19</f>
        <v>0</v>
      </c>
    </row>
    <row r="20" spans="5:17" x14ac:dyDescent="0.25">
      <c r="E20" s="2" t="s">
        <v>7</v>
      </c>
      <c r="F20" s="1">
        <f>F18+F19</f>
        <v>0</v>
      </c>
      <c r="G20" s="1">
        <f>G18+G19</f>
        <v>0</v>
      </c>
      <c r="H20" s="1">
        <f>H18+H19</f>
        <v>0</v>
      </c>
      <c r="I20" s="1">
        <f>I18+I19</f>
        <v>0</v>
      </c>
      <c r="J20" s="1">
        <f>J18+J19</f>
        <v>0</v>
      </c>
      <c r="K20" s="1">
        <f t="shared" si="2"/>
        <v>0</v>
      </c>
      <c r="L20" s="1">
        <f>L18+L19</f>
        <v>0</v>
      </c>
      <c r="M20" s="1">
        <f>M18+M19</f>
        <v>0</v>
      </c>
      <c r="N20" s="1">
        <f>N18+N19</f>
        <v>0</v>
      </c>
      <c r="O20" s="1">
        <f>O18+O19</f>
        <v>0</v>
      </c>
      <c r="P20" s="1">
        <f>P18+P19</f>
        <v>0</v>
      </c>
      <c r="Q20" s="1">
        <f t="shared" si="3"/>
        <v>0</v>
      </c>
    </row>
    <row r="21" spans="5:17" x14ac:dyDescent="0.25">
      <c r="E21" s="2" t="s">
        <v>9</v>
      </c>
      <c r="F21" s="1">
        <f>SUMIFS('WH+RT PREVIOUS'!$M$2:$M$15000,'WH+RT PREVIOUS'!$B$2:$B$15000,"N.C.Urea(45kg)",'WH+RT PREVIOUS'!$R$2:$R$15000,"262596")</f>
        <v>0</v>
      </c>
      <c r="G21" s="1">
        <f>SUMIFS('WH+RT PREVIOUS'!$M$2:$M$15000,'WH+RT PREVIOUS'!$B$2:$B$15000,"15-15-15",'WH+RT PREVIOUS'!$R$2:$R$15000,"262596")</f>
        <v>0</v>
      </c>
      <c r="H21" s="1">
        <f>SUMIFS('WH+RT PREVIOUS'!$M$2:$M$15000,'WH+RT PREVIOUS'!$B$2:$B$15000,"Imp 10-26-26",'WH+RT PREVIOUS'!$R$2:$R$15000,"262596")</f>
        <v>7</v>
      </c>
      <c r="I21" s="1">
        <f>SUMIFS('WH+RT PREVIOUS'!$M$2:$M$15000,'WH+RT PREVIOUS'!$B$2:$B$15000,"MOP",'WH+RT PREVIOUS'!$R$2:$R$15000,"262596")</f>
        <v>0</v>
      </c>
      <c r="J21" s="1">
        <f>SUMIFS('WH+RT PREVIOUS'!$M$2:$M$15000,'WH+RT PREVIOUS'!$B$2:$B$15000,"Imp DAP",'WH+RT PREVIOUS'!$R$2:$R$15000,"262596")</f>
        <v>0</v>
      </c>
      <c r="K21" s="1">
        <f t="shared" si="2"/>
        <v>7</v>
      </c>
      <c r="L21" s="1">
        <f>SUMIFS('WH+RT CURRENT'!$M$2:$M$15000,'WH+RT CURRENT'!$B$2:$B$15000,"N.C.Urea(45kg)",'WH+RT CURRENT'!$R$2:$R$15000,"262596")</f>
        <v>0</v>
      </c>
      <c r="M21" s="1">
        <f>SUMIFS('WH+RT CURRENT'!$M$2:$M$15000,'WH+RT CURRENT'!$B$2:$B$15000,"15-15-15",'WH+RT CURRENT'!$R$2:$R$15000,"262596")</f>
        <v>0</v>
      </c>
      <c r="N21" s="1">
        <f>SUMIFS('WH+RT CURRENT'!$M$2:$M$15000,'WH+RT CURRENT'!$B$2:$B$15000,"Imp 10-26-26",'WH+RT CURRENT'!$R$2:$R$15000,"262596")</f>
        <v>7</v>
      </c>
      <c r="O21" s="1">
        <f>SUMIFS('WH+RT CURRENT'!$M$2:$M$15000,'WH+RT CURRENT'!$B$2:$B$15000,"MOP",'WH+RT CURRENT'!$R$2:$R$15000,"262596")</f>
        <v>0</v>
      </c>
      <c r="P21" s="1">
        <f>SUMIFS('WH+RT CURRENT'!$M$2:$M$15000,'WH+RT CURRENT'!$B$2:$B$15000,"Imp DAP",'WH+RT CURRENT'!$R$2:$R$15000,"262596")</f>
        <v>0</v>
      </c>
      <c r="Q21" s="1">
        <f t="shared" si="3"/>
        <v>7</v>
      </c>
    </row>
    <row r="24" spans="5:17" x14ac:dyDescent="0.25">
      <c r="E24" s="12" t="s">
        <v>77</v>
      </c>
      <c r="F24" s="12"/>
      <c r="G24" s="12"/>
      <c r="H24" s="12"/>
      <c r="I24" s="12"/>
      <c r="J24" s="12"/>
      <c r="K24" s="12"/>
      <c r="L24" s="12"/>
      <c r="M24" s="12"/>
      <c r="N24" s="12"/>
      <c r="O24" s="12"/>
      <c r="P24" s="12"/>
      <c r="Q24" s="12"/>
    </row>
    <row r="25" spans="5:17" x14ac:dyDescent="0.25">
      <c r="E25" s="13"/>
      <c r="F25" s="15" t="s">
        <v>8147</v>
      </c>
      <c r="G25" s="15"/>
      <c r="H25" s="15"/>
      <c r="I25" s="15"/>
      <c r="J25" s="15"/>
      <c r="K25" s="15"/>
      <c r="L25" s="15" t="s">
        <v>8148</v>
      </c>
      <c r="M25" s="15"/>
      <c r="N25" s="15"/>
      <c r="O25" s="15"/>
      <c r="P25" s="15"/>
      <c r="Q25" s="15"/>
    </row>
    <row r="26" spans="5:17" x14ac:dyDescent="0.25">
      <c r="E26" s="14"/>
      <c r="F26" s="2" t="s">
        <v>0</v>
      </c>
      <c r="G26" s="2" t="s">
        <v>1</v>
      </c>
      <c r="H26" s="2" t="s">
        <v>2</v>
      </c>
      <c r="I26" s="2" t="s">
        <v>3</v>
      </c>
      <c r="J26" s="2" t="s">
        <v>8128</v>
      </c>
      <c r="K26" s="2" t="s">
        <v>4</v>
      </c>
      <c r="L26" s="2" t="s">
        <v>0</v>
      </c>
      <c r="M26" s="2" t="s">
        <v>1</v>
      </c>
      <c r="N26" s="2" t="s">
        <v>2</v>
      </c>
      <c r="O26" s="2" t="s">
        <v>3</v>
      </c>
      <c r="P26" s="2" t="s">
        <v>8128</v>
      </c>
      <c r="Q26" s="2" t="s">
        <v>4</v>
      </c>
    </row>
    <row r="27" spans="5:17" x14ac:dyDescent="0.25">
      <c r="E27" s="2" t="s">
        <v>5</v>
      </c>
      <c r="F27" s="1">
        <f>SUMIFS('WH+RT PREVIOUS'!$M$2:$M$15000,'WH+RT PREVIOUS'!$B$2:$B$15000,"N.C.Urea(45kg)",'WH+RT PREVIOUS'!$R$2:$R$15000,"262597",'WH+RT PREVIOUS'!$N$2:$N$15000,"&gt;179",'WH+RT PREVIOUS'!$N$2:$N$15000,"&lt;366")</f>
        <v>0</v>
      </c>
      <c r="G27" s="1">
        <f>SUMIFS('WH+RT PREVIOUS'!$M$2:$M$15000,'WH+RT PREVIOUS'!$B$2:$B$15000,"15-15-15",'WH+RT PREVIOUS'!$R$2:$R$15000,"262597",'WH+RT PREVIOUS'!$N$2:$N$15000,"&gt;179",'WH+RT PREVIOUS'!$N$2:$N$15000,"&lt;366")</f>
        <v>0</v>
      </c>
      <c r="H27" s="1">
        <f>SUMIFS('WH+RT PREVIOUS'!$M$2:$M$15000,'WH+RT PREVIOUS'!$B$2:$B$15000,"Imp 10-26-26",'WH+RT PREVIOUS'!$R$2:$R$15000,"262597",'WH+RT PREVIOUS'!$N$2:$N$15000,"&gt;179",'WH+RT PREVIOUS'!$N$2:$N$15000,"&lt;366")</f>
        <v>0</v>
      </c>
      <c r="I27" s="1">
        <f>SUMIFS('WH+RT PREVIOUS'!$M$2:$M$15000,'WH+RT PREVIOUS'!$B$2:$B$15000,"MOP",'WH+RT PREVIOUS'!$R$2:$R$15000,"262597",'WH+RT PREVIOUS'!$N$2:$N$15000,"&gt;179",'WH+RT PREVIOUS'!$N$2:$N$15000,"&lt;366")</f>
        <v>0</v>
      </c>
      <c r="J27" s="1">
        <f>SUMIFS('WH+RT PREVIOUS'!$M$2:$M$15000,'WH+RT PREVIOUS'!$B$2:$B$15000,"Imp DAP",'WH+RT PREVIOUS'!$R$2:$R$15000,"262597",'WH+RT PREVIOUS'!$N$2:$N$15000,"&gt;179",'WH+RT PREVIOUS'!$N$2:$N$15000,"&lt;366")</f>
        <v>0</v>
      </c>
      <c r="K27" s="1">
        <f>F27+G27+H27+I27+J27</f>
        <v>0</v>
      </c>
      <c r="L27" s="1">
        <f>SUMIFS('WH+RT CURRENT'!$M$2:$M$15000,'WH+RT CURRENT'!$B$2:$B$15000,"N.C.Urea(45kg)",'WH+RT CURRENT'!$R$2:$R$15000,"262597",'WH+RT CURRENT'!$N$2:$N$15000,"&gt;179",'WH+RT CURRENT'!$N$2:$N$15000,"&lt;366")</f>
        <v>0</v>
      </c>
      <c r="M27" s="1">
        <f>SUMIFS('WH+RT CURRENT'!$M$2:$M$15000,'WH+RT CURRENT'!$B$2:$B$15000,"15-15-15",'WH+RT CURRENT'!$R$2:$R$15000,"262597",'WH+RT CURRENT'!$N$2:$N$15000,"&gt;179",'WH+RT CURRENT'!$N$2:$N$15000,"&lt;366")</f>
        <v>0</v>
      </c>
      <c r="N27" s="1">
        <f>SUMIFS('WH+RT CURRENT'!$M$2:$M$15000,'WH+RT CURRENT'!$B$2:$B$15000,"Imp 10-26-26",'WH+RT CURRENT'!$R$2:$R$15000,"262597",'WH+RT CURRENT'!$N$2:$N$15000,"&gt;179",'WH+RT CURRENT'!$N$2:$N$15000,"&lt;366")</f>
        <v>0</v>
      </c>
      <c r="O27" s="1">
        <f>SUMIFS('WH+RT CURRENT'!$M$2:$M$15000,'WH+RT CURRENT'!$B$2:$B$15000,"MOP",'WH+RT CURRENT'!$R$2:$R$15000,"262597",'WH+RT CURRENT'!$N$2:$N$15000,"&gt;179",'WH+RT CURRENT'!$N$2:$N$15000,"&lt;366")</f>
        <v>0</v>
      </c>
      <c r="P27" s="1">
        <f>SUMIFS('WH+RT CURRENT'!$M$2:$M$15000,'WH+RT CURRENT'!$B$2:$B$15000,"Imp DAP",'WH+RT CURRENT'!$R$2:$R$15000,"262597",'WH+RT CURRENT'!$N$2:$N$15000,"&gt;179",'WH+RT CURRENT'!$N$2:$N$15000,"&lt;366")</f>
        <v>0</v>
      </c>
      <c r="Q27" s="1">
        <f>L27+M27+N27+O27+P27</f>
        <v>0</v>
      </c>
    </row>
    <row r="28" spans="5:17" x14ac:dyDescent="0.25">
      <c r="E28" s="2" t="s">
        <v>6</v>
      </c>
      <c r="F28" s="1">
        <f>SUMIFS('WH+RT PREVIOUS'!$M$2:$M$15000,'WH+RT PREVIOUS'!$B$2:$B$15000,"N.C.Urea(45kg)",'WH+RT PREVIOUS'!$R$2:$R$15000,"262597",'WH+RT PREVIOUS'!$N$2:$N$15000,"&gt;365")</f>
        <v>0</v>
      </c>
      <c r="G28" s="1">
        <f>SUMIFS('WH+RT PREVIOUS'!$M$2:$M$15000,'WH+RT PREVIOUS'!$B$2:$B$15000,"15-15-15",'WH+RT PREVIOUS'!$R$2:$R$15000,"262597",'WH+RT PREVIOUS'!$N$2:$N$15000,"&gt;365")</f>
        <v>0</v>
      </c>
      <c r="H28" s="1">
        <f>SUMIFS('WH+RT PREVIOUS'!$M$2:$M$15000,'WH+RT PREVIOUS'!$B$2:$B$15000,"Imp 10-26-26",'WH+RT PREVIOUS'!$R$2:$R$15000,"262597",'WH+RT PREVIOUS'!$N$2:$N$15000,"&gt;365")</f>
        <v>0</v>
      </c>
      <c r="I28" s="1">
        <f>SUMIFS('WH+RT PREVIOUS'!$M$2:$M$15000,'WH+RT PREVIOUS'!$B$2:$B$15000,"MOP",'WH+RT PREVIOUS'!$R$2:$R$15000,"262597",'WH+RT PREVIOUS'!$N$2:$N$15000,"&gt;365")</f>
        <v>0</v>
      </c>
      <c r="J28" s="1">
        <f>SUMIFS('WH+RT PREVIOUS'!$M$2:$M$15000,'WH+RT PREVIOUS'!$B$2:$B$15000,"Imp DAP",'WH+RT PREVIOUS'!$R$2:$R$15000,"262597",'WH+RT PREVIOUS'!$N$2:$N$15000,"&gt;365")</f>
        <v>0</v>
      </c>
      <c r="K28" s="1">
        <f t="shared" ref="K28:K30" si="4">F28+G28+H28+I28+J28</f>
        <v>0</v>
      </c>
      <c r="L28" s="1">
        <f>SUMIFS('WH+RT CURRENT'!$M$2:$M$15000,'WH+RT CURRENT'!$B$2:$B$15000,"N.C.Urea(45kg)",'WH+RT CURRENT'!$R$2:$R$15000,"262597",'WH+RT CURRENT'!$N$2:$N$15000,"&gt;365")</f>
        <v>0</v>
      </c>
      <c r="M28" s="1">
        <f>SUMIFS('WH+RT CURRENT'!$M$2:$M$15000,'WH+RT CURRENT'!$B$2:$B$15000,"15-15-15",'WH+RT CURRENT'!$R$2:$R$15000,"262597",'WH+RT CURRENT'!$N$2:$N$15000,"&gt;365")</f>
        <v>0</v>
      </c>
      <c r="N28" s="1">
        <f>SUMIFS('WH+RT CURRENT'!$M$2:$M$15000,'WH+RT CURRENT'!$B$2:$B$15000,"Imp 10-26-26",'WH+RT CURRENT'!$R$2:$R$15000,"262597",'WH+RT CURRENT'!$N$2:$N$15000,"&gt;365")</f>
        <v>0</v>
      </c>
      <c r="O28" s="1">
        <f>SUMIFS('WH+RT CURRENT'!$M$2:$M$15000,'WH+RT CURRENT'!$B$2:$B$15000,"MOP",'WH+RT CURRENT'!$R$2:$R$15000,"262597",'WH+RT CURRENT'!$N$2:$N$15000,"&gt;365")</f>
        <v>0</v>
      </c>
      <c r="P28" s="1">
        <f>SUMIFS('WH+RT CURRENT'!$M$2:$M$15000,'WH+RT CURRENT'!$B$2:$B$15000,"Imp DAP",'WH+RT CURRENT'!$R$2:$R$15000,"262597",'WH+RT CURRENT'!$N$2:$N$15000,"&gt;365")</f>
        <v>0</v>
      </c>
      <c r="Q28" s="1">
        <f t="shared" ref="Q28:Q30" si="5">L28+M28+N28+O28+P28</f>
        <v>0</v>
      </c>
    </row>
    <row r="29" spans="5:17" x14ac:dyDescent="0.25">
      <c r="E29" s="2" t="s">
        <v>7</v>
      </c>
      <c r="F29" s="1">
        <f>F27+F28</f>
        <v>0</v>
      </c>
      <c r="G29" s="1">
        <f>G27+G28</f>
        <v>0</v>
      </c>
      <c r="H29" s="1">
        <f>H27+H28</f>
        <v>0</v>
      </c>
      <c r="I29" s="1">
        <f>I27+I28</f>
        <v>0</v>
      </c>
      <c r="J29" s="1">
        <f>J27+J28</f>
        <v>0</v>
      </c>
      <c r="K29" s="1">
        <f t="shared" si="4"/>
        <v>0</v>
      </c>
      <c r="L29" s="1">
        <f>L27+L28</f>
        <v>0</v>
      </c>
      <c r="M29" s="1">
        <f>M27+M28</f>
        <v>0</v>
      </c>
      <c r="N29" s="1">
        <f>N27+N28</f>
        <v>0</v>
      </c>
      <c r="O29" s="1">
        <f>O27+O28</f>
        <v>0</v>
      </c>
      <c r="P29" s="1">
        <f>P27+P28</f>
        <v>0</v>
      </c>
      <c r="Q29" s="1">
        <f t="shared" si="5"/>
        <v>0</v>
      </c>
    </row>
    <row r="30" spans="5:17" x14ac:dyDescent="0.25">
      <c r="E30" s="2" t="s">
        <v>9</v>
      </c>
      <c r="F30" s="1">
        <f>SUMIFS('WH+RT PREVIOUS'!$M$2:$M$15000,'WH+RT PREVIOUS'!$B$2:$B$15000,"N.C.Urea(45kg)",'WH+RT PREVIOUS'!$R$2:$R$15000,"262597")</f>
        <v>18.64</v>
      </c>
      <c r="G30" s="1">
        <f>SUMIFS('WH+RT PREVIOUS'!$M$2:$M$15000,'WH+RT PREVIOUS'!$B$2:$B$15000,"15-15-15",'WH+RT PREVIOUS'!$R$2:$R$15000,"262597")</f>
        <v>1.4</v>
      </c>
      <c r="H30" s="1">
        <f>SUMIFS('WH+RT PREVIOUS'!$M$2:$M$15000,'WH+RT PREVIOUS'!$B$2:$B$15000,"Imp 10-26-26",'WH+RT PREVIOUS'!$R$2:$R$15000,"262597")</f>
        <v>0</v>
      </c>
      <c r="I30" s="1">
        <f>SUMIFS('WH+RT PREVIOUS'!$M$2:$M$15000,'WH+RT PREVIOUS'!$B$2:$B$15000,"MOP",'WH+RT PREVIOUS'!$R$2:$R$15000,"262597")</f>
        <v>0</v>
      </c>
      <c r="J30" s="1">
        <f>SUMIFS('WH+RT PREVIOUS'!$M$2:$M$15000,'WH+RT PREVIOUS'!$B$2:$B$15000,"Imp DAP",'WH+RT PREVIOUS'!$R$2:$R$15000,"262597")</f>
        <v>0</v>
      </c>
      <c r="K30" s="1">
        <f t="shared" si="4"/>
        <v>20.04</v>
      </c>
      <c r="L30" s="1">
        <f>SUMIFS('WH+RT CURRENT'!$M$2:$M$15000,'WH+RT CURRENT'!$B$2:$B$15000,"N.C.Urea(45kg)",'WH+RT CURRENT'!$R$2:$R$15000,"262597")</f>
        <v>17.649999999999999</v>
      </c>
      <c r="M30" s="1">
        <f>SUMIFS('WH+RT CURRENT'!$M$2:$M$15000,'WH+RT CURRENT'!$B$2:$B$15000,"15-15-15",'WH+RT CURRENT'!$R$2:$R$15000,"262597")</f>
        <v>0</v>
      </c>
      <c r="N30" s="1">
        <f>SUMIFS('WH+RT CURRENT'!$M$2:$M$15000,'WH+RT CURRENT'!$B$2:$B$15000,"Imp 10-26-26",'WH+RT CURRENT'!$R$2:$R$15000,"262597")</f>
        <v>0</v>
      </c>
      <c r="O30" s="1">
        <f>SUMIFS('WH+RT CURRENT'!$M$2:$M$15000,'WH+RT CURRENT'!$B$2:$B$15000,"MOP",'WH+RT CURRENT'!$R$2:$R$15000,"262597")</f>
        <v>0</v>
      </c>
      <c r="P30" s="1">
        <f>SUMIFS('WH+RT CURRENT'!$M$2:$M$15000,'WH+RT CURRENT'!$B$2:$B$15000,"Imp DAP",'WH+RT CURRENT'!$R$2:$R$15000,"262597")</f>
        <v>0</v>
      </c>
      <c r="Q30" s="1">
        <f t="shared" si="5"/>
        <v>17.649999999999999</v>
      </c>
    </row>
    <row r="33" spans="5:17" x14ac:dyDescent="0.25">
      <c r="E33" s="12" t="s">
        <v>427</v>
      </c>
      <c r="F33" s="12"/>
      <c r="G33" s="12"/>
      <c r="H33" s="12"/>
      <c r="I33" s="12"/>
      <c r="J33" s="12"/>
      <c r="K33" s="12"/>
      <c r="L33" s="12"/>
      <c r="M33" s="12"/>
      <c r="N33" s="12"/>
      <c r="O33" s="12"/>
      <c r="P33" s="12"/>
      <c r="Q33" s="12"/>
    </row>
    <row r="34" spans="5:17" x14ac:dyDescent="0.25">
      <c r="E34" s="13"/>
      <c r="F34" s="15" t="s">
        <v>8147</v>
      </c>
      <c r="G34" s="15"/>
      <c r="H34" s="15"/>
      <c r="I34" s="15"/>
      <c r="J34" s="15"/>
      <c r="K34" s="15"/>
      <c r="L34" s="15" t="s">
        <v>8148</v>
      </c>
      <c r="M34" s="15"/>
      <c r="N34" s="15"/>
      <c r="O34" s="15"/>
      <c r="P34" s="15"/>
      <c r="Q34" s="15"/>
    </row>
    <row r="35" spans="5:17" x14ac:dyDescent="0.25">
      <c r="E35" s="14"/>
      <c r="F35" s="2" t="s">
        <v>0</v>
      </c>
      <c r="G35" s="2" t="s">
        <v>1</v>
      </c>
      <c r="H35" s="2" t="s">
        <v>2</v>
      </c>
      <c r="I35" s="2" t="s">
        <v>3</v>
      </c>
      <c r="J35" s="2" t="s">
        <v>8128</v>
      </c>
      <c r="K35" s="2" t="s">
        <v>4</v>
      </c>
      <c r="L35" s="2" t="s">
        <v>0</v>
      </c>
      <c r="M35" s="2" t="s">
        <v>1</v>
      </c>
      <c r="N35" s="2" t="s">
        <v>2</v>
      </c>
      <c r="O35" s="2" t="s">
        <v>3</v>
      </c>
      <c r="P35" s="2" t="s">
        <v>8128</v>
      </c>
      <c r="Q35" s="2" t="s">
        <v>4</v>
      </c>
    </row>
    <row r="36" spans="5:17" x14ac:dyDescent="0.25">
      <c r="E36" s="2" t="s">
        <v>5</v>
      </c>
      <c r="F36" s="1">
        <f>SUMIFS('WH+RT PREVIOUS'!$M$2:$M$15000,'WH+RT PREVIOUS'!$B$2:$B$15000,"N.C.Urea(45kg)",'WH+RT PREVIOUS'!$R$2:$R$15000,"262599",'WH+RT PREVIOUS'!$N$2:$N$15000,"&gt;179",'WH+RT PREVIOUS'!$N$2:$N$15000,"&lt;366")</f>
        <v>0</v>
      </c>
      <c r="G36" s="1">
        <f>SUMIFS('WH+RT PREVIOUS'!$M$2:$M$15000,'WH+RT PREVIOUS'!$B$2:$B$15000,"15-15-15",'WH+RT PREVIOUS'!$R$2:$R$15000,"262599",'WH+RT PREVIOUS'!$N$2:$N$15000,"&gt;179",'WH+RT PREVIOUS'!$N$2:$N$15000,"&lt;366")</f>
        <v>0</v>
      </c>
      <c r="H36" s="1">
        <f>SUMIFS('WH+RT PREVIOUS'!$M$2:$M$15000,'WH+RT PREVIOUS'!$B$2:$B$15000,"Imp 10-26-26",'WH+RT PREVIOUS'!$R$2:$R$15000,"262599",'WH+RT PREVIOUS'!$N$2:$N$15000,"&gt;179",'WH+RT PREVIOUS'!$N$2:$N$15000,"&lt;366")</f>
        <v>0</v>
      </c>
      <c r="I36" s="1">
        <f>SUMIFS('WH+RT PREVIOUS'!$M$2:$M$15000,'WH+RT PREVIOUS'!$B$2:$B$15000,"MOP",'WH+RT PREVIOUS'!$R$2:$R$15000,"262599",'WH+RT PREVIOUS'!$N$2:$N$15000,"&gt;179",'WH+RT PREVIOUS'!$N$2:$N$15000,"&lt;366")</f>
        <v>0</v>
      </c>
      <c r="J36" s="1">
        <f>SUMIFS('WH+RT PREVIOUS'!$M$2:$M$15000,'WH+RT PREVIOUS'!$B$2:$B$15000,"Imp DAP",'WH+RT PREVIOUS'!$R$2:$R$15000,"262599",'WH+RT PREVIOUS'!$N$2:$N$15000,"&gt;179",'WH+RT PREVIOUS'!$N$2:$N$15000,"&lt;366")</f>
        <v>0</v>
      </c>
      <c r="K36" s="1">
        <f>F36+G36+H36+I36+J36</f>
        <v>0</v>
      </c>
      <c r="L36" s="1">
        <f>SUMIFS('WH+RT CURRENT'!$M$2:$M$15000,'WH+RT CURRENT'!$B$2:$B$15000,"N.C.Urea(45kg)",'WH+RT CURRENT'!$R$2:$R$15000,"262599",'WH+RT CURRENT'!$N$2:$N$15000,"&gt;179",'WH+RT CURRENT'!$N$2:$N$15000,"&lt;366")</f>
        <v>0</v>
      </c>
      <c r="M36" s="1">
        <f>SUMIFS('WH+RT CURRENT'!$M$2:$M$15000,'WH+RT CURRENT'!$B$2:$B$15000,"15-15-15",'WH+RT CURRENT'!$R$2:$R$15000,"262599",'WH+RT CURRENT'!$N$2:$N$15000,"&gt;179",'WH+RT CURRENT'!$N$2:$N$15000,"&lt;366")</f>
        <v>0</v>
      </c>
      <c r="N36" s="1">
        <f>SUMIFS('WH+RT CURRENT'!$M$2:$M$15000,'WH+RT CURRENT'!$B$2:$B$15000,"Imp 10-26-26",'WH+RT CURRENT'!$R$2:$R$15000,"262599",'WH+RT CURRENT'!$N$2:$N$15000,"&gt;179",'WH+RT CURRENT'!$N$2:$N$15000,"&lt;366")</f>
        <v>0</v>
      </c>
      <c r="O36" s="1">
        <f>SUMIFS('WH+RT CURRENT'!$M$2:$M$15000,'WH+RT CURRENT'!$B$2:$B$15000,"MOP",'WH+RT CURRENT'!$R$2:$R$15000,"262599",'WH+RT CURRENT'!$N$2:$N$15000,"&gt;179",'WH+RT CURRENT'!$N$2:$N$15000,"&lt;366")</f>
        <v>0</v>
      </c>
      <c r="P36" s="1">
        <f>SUMIFS('WH+RT CURRENT'!$M$2:$M$15000,'WH+RT CURRENT'!$B$2:$B$15000,"Imp DAP",'WH+RT CURRENT'!$R$2:$R$15000,"262599",'WH+RT CURRENT'!$N$2:$N$15000,"&gt;179",'WH+RT CURRENT'!$N$2:$N$15000,"&lt;366")</f>
        <v>0</v>
      </c>
      <c r="Q36" s="1">
        <f>L36+M36+N36+O36+P36</f>
        <v>0</v>
      </c>
    </row>
    <row r="37" spans="5:17" x14ac:dyDescent="0.25">
      <c r="E37" s="2" t="s">
        <v>6</v>
      </c>
      <c r="F37" s="1">
        <f>SUMIFS('WH+RT PREVIOUS'!$M$2:$M$15000,'WH+RT PREVIOUS'!$B$2:$B$15000,"N.C.Urea(45kg)",'WH+RT PREVIOUS'!$R$2:$R$15000,"262599",'WH+RT PREVIOUS'!$N$2:$N$15000,"&gt;365")</f>
        <v>3.78</v>
      </c>
      <c r="G37" s="1">
        <f>SUMIFS('WH+RT PREVIOUS'!$M$2:$M$15000,'WH+RT PREVIOUS'!$B$2:$B$15000,"15-15-15",'WH+RT PREVIOUS'!$R$2:$R$15000,"262599",'WH+RT PREVIOUS'!$N$2:$N$15000,"&gt;365")</f>
        <v>0</v>
      </c>
      <c r="H37" s="1">
        <f>SUMIFS('WH+RT PREVIOUS'!$M$2:$M$15000,'WH+RT PREVIOUS'!$B$2:$B$15000,"Imp 10-26-26",'WH+RT PREVIOUS'!$R$2:$R$15000,"262599",'WH+RT PREVIOUS'!$N$2:$N$15000,"&gt;365")</f>
        <v>0</v>
      </c>
      <c r="I37" s="1">
        <f>SUMIFS('WH+RT PREVIOUS'!$M$2:$M$15000,'WH+RT PREVIOUS'!$B$2:$B$15000,"MOP",'WH+RT PREVIOUS'!$R$2:$R$15000,"262599",'WH+RT PREVIOUS'!$N$2:$N$15000,"&gt;365")</f>
        <v>0</v>
      </c>
      <c r="J37" s="1">
        <f>SUMIFS('WH+RT PREVIOUS'!$M$2:$M$15000,'WH+RT PREVIOUS'!$B$2:$B$15000,"Imp DAP",'WH+RT PREVIOUS'!$R$2:$R$15000,"262599",'WH+RT PREVIOUS'!$N$2:$N$15000,"&gt;365")</f>
        <v>0</v>
      </c>
      <c r="K37" s="1">
        <f t="shared" ref="K37:K39" si="6">F37+G37+H37+I37+J37</f>
        <v>3.78</v>
      </c>
      <c r="L37" s="1">
        <f>SUMIFS('WH+RT CURRENT'!$M$2:$M$15000,'WH+RT CURRENT'!$B$2:$B$15000,"N.C.Urea(45kg)",'WH+RT CURRENT'!$R$2:$R$15000,"262599",'WH+RT CURRENT'!$N$2:$N$15000,"&gt;365")</f>
        <v>3.78</v>
      </c>
      <c r="M37" s="1">
        <f>SUMIFS('WH+RT CURRENT'!$M$2:$M$15000,'WH+RT CURRENT'!$B$2:$B$15000,"15-15-15",'WH+RT CURRENT'!$R$2:$R$15000,"262599",'WH+RT CURRENT'!$N$2:$N$15000,"&gt;365")</f>
        <v>0</v>
      </c>
      <c r="N37" s="1">
        <f>SUMIFS('WH+RT CURRENT'!$M$2:$M$15000,'WH+RT CURRENT'!$B$2:$B$15000,"Imp 10-26-26",'WH+RT CURRENT'!$R$2:$R$15000,"262599",'WH+RT CURRENT'!$N$2:$N$15000,"&gt;365")</f>
        <v>0</v>
      </c>
      <c r="O37" s="1">
        <f>SUMIFS('WH+RT CURRENT'!$M$2:$M$15000,'WH+RT CURRENT'!$B$2:$B$15000,"MOP",'WH+RT CURRENT'!$R$2:$R$15000,"262599",'WH+RT CURRENT'!$N$2:$N$15000,"&gt;365")</f>
        <v>0</v>
      </c>
      <c r="P37" s="1">
        <f>SUMIFS('WH+RT CURRENT'!$M$2:$M$15000,'WH+RT CURRENT'!$B$2:$B$15000,"Imp DAP",'WH+RT CURRENT'!$R$2:$R$15000,"262599",'WH+RT CURRENT'!$N$2:$N$15000,"&gt;365")</f>
        <v>0</v>
      </c>
      <c r="Q37" s="1">
        <f t="shared" ref="Q37:Q39" si="7">L37+M37+N37+O37+P37</f>
        <v>3.78</v>
      </c>
    </row>
    <row r="38" spans="5:17" x14ac:dyDescent="0.25">
      <c r="E38" s="2" t="s">
        <v>7</v>
      </c>
      <c r="F38" s="1">
        <f>F36+F37</f>
        <v>3.78</v>
      </c>
      <c r="G38" s="1">
        <f>G36+G37</f>
        <v>0</v>
      </c>
      <c r="H38" s="1">
        <f>H36+H37</f>
        <v>0</v>
      </c>
      <c r="I38" s="1">
        <f>I36+I37</f>
        <v>0</v>
      </c>
      <c r="J38" s="1">
        <f>J36+J37</f>
        <v>0</v>
      </c>
      <c r="K38" s="1">
        <f t="shared" si="6"/>
        <v>3.78</v>
      </c>
      <c r="L38" s="1">
        <f>L36+L37</f>
        <v>3.78</v>
      </c>
      <c r="M38" s="1">
        <f>M36+M37</f>
        <v>0</v>
      </c>
      <c r="N38" s="1">
        <f>N36+N37</f>
        <v>0</v>
      </c>
      <c r="O38" s="1">
        <f>O36+O37</f>
        <v>0</v>
      </c>
      <c r="P38" s="1">
        <f>P36+P37</f>
        <v>0</v>
      </c>
      <c r="Q38" s="1">
        <f t="shared" si="7"/>
        <v>3.78</v>
      </c>
    </row>
    <row r="39" spans="5:17" x14ac:dyDescent="0.25">
      <c r="E39" s="2" t="s">
        <v>9</v>
      </c>
      <c r="F39" s="1">
        <f>SUMIFS('WH+RT PREVIOUS'!$M$2:$M$15000,'WH+RT PREVIOUS'!$B$2:$B$15000,"N.C.Urea(45kg)",'WH+RT PREVIOUS'!$R$2:$R$15000,"262599")</f>
        <v>138.59</v>
      </c>
      <c r="G39" s="1">
        <f>SUMIFS('WH+RT PREVIOUS'!$M$2:$M$15000,'WH+RT PREVIOUS'!$B$2:$B$15000,"15-15-15",'WH+RT PREVIOUS'!$R$2:$R$15000,"262599")</f>
        <v>90</v>
      </c>
      <c r="H39" s="1">
        <f>SUMIFS('WH+RT PREVIOUS'!$M$2:$M$15000,'WH+RT PREVIOUS'!$B$2:$B$15000,"Imp 10-26-26",'WH+RT PREVIOUS'!$R$2:$R$15000,"262599")</f>
        <v>55.3</v>
      </c>
      <c r="I39" s="1">
        <f>SUMIFS('WH+RT PREVIOUS'!$M$2:$M$15000,'WH+RT PREVIOUS'!$B$2:$B$15000,"MOP",'WH+RT PREVIOUS'!$R$2:$R$15000,"262599")</f>
        <v>0</v>
      </c>
      <c r="J39" s="1">
        <f>SUMIFS('WH+RT PREVIOUS'!$M$2:$M$15000,'WH+RT PREVIOUS'!$B$2:$B$15000,"Imp DAP",'WH+RT PREVIOUS'!$R$2:$R$15000,"262599")</f>
        <v>0</v>
      </c>
      <c r="K39" s="1">
        <f t="shared" si="6"/>
        <v>283.89</v>
      </c>
      <c r="L39" s="1">
        <f>SUMIFS('WH+RT CURRENT'!$M$2:$M$15000,'WH+RT CURRENT'!$B$2:$B$15000,"N.C.Urea(45kg)",'WH+RT CURRENT'!$R$2:$R$15000,"262599")</f>
        <v>138.14000000000001</v>
      </c>
      <c r="M39" s="1">
        <f>SUMIFS('WH+RT CURRENT'!$M$2:$M$15000,'WH+RT CURRENT'!$B$2:$B$15000,"15-15-15",'WH+RT CURRENT'!$R$2:$R$15000,"262599")</f>
        <v>0</v>
      </c>
      <c r="N39" s="1">
        <f>SUMIFS('WH+RT CURRENT'!$M$2:$M$15000,'WH+RT CURRENT'!$B$2:$B$15000,"Imp 10-26-26",'WH+RT CURRENT'!$R$2:$R$15000,"262599")</f>
        <v>55.3</v>
      </c>
      <c r="O39" s="1">
        <f>SUMIFS('WH+RT CURRENT'!$M$2:$M$15000,'WH+RT CURRENT'!$B$2:$B$15000,"MOP",'WH+RT CURRENT'!$R$2:$R$15000,"262599")</f>
        <v>0</v>
      </c>
      <c r="P39" s="1">
        <f>SUMIFS('WH+RT CURRENT'!$M$2:$M$15000,'WH+RT CURRENT'!$B$2:$B$15000,"Imp DAP",'WH+RT CURRENT'!$R$2:$R$15000,"262599")</f>
        <v>0</v>
      </c>
      <c r="Q39" s="1">
        <f t="shared" si="7"/>
        <v>193.44</v>
      </c>
    </row>
    <row r="42" spans="5:17" x14ac:dyDescent="0.25">
      <c r="E42" s="12" t="s">
        <v>420</v>
      </c>
      <c r="F42" s="12"/>
      <c r="G42" s="12"/>
      <c r="H42" s="12"/>
      <c r="I42" s="12"/>
      <c r="J42" s="12"/>
      <c r="K42" s="12"/>
      <c r="L42" s="12"/>
      <c r="M42" s="12"/>
      <c r="N42" s="12"/>
      <c r="O42" s="12"/>
      <c r="P42" s="12"/>
      <c r="Q42" s="12"/>
    </row>
    <row r="43" spans="5:17" x14ac:dyDescent="0.25">
      <c r="E43" s="13"/>
      <c r="F43" s="15" t="s">
        <v>8147</v>
      </c>
      <c r="G43" s="15"/>
      <c r="H43" s="15"/>
      <c r="I43" s="15"/>
      <c r="J43" s="15"/>
      <c r="K43" s="15"/>
      <c r="L43" s="15" t="s">
        <v>8148</v>
      </c>
      <c r="M43" s="15"/>
      <c r="N43" s="15"/>
      <c r="O43" s="15"/>
      <c r="P43" s="15"/>
      <c r="Q43" s="15"/>
    </row>
    <row r="44" spans="5:17" x14ac:dyDescent="0.25">
      <c r="E44" s="14"/>
      <c r="F44" s="2" t="s">
        <v>0</v>
      </c>
      <c r="G44" s="2" t="s">
        <v>1</v>
      </c>
      <c r="H44" s="2" t="s">
        <v>2</v>
      </c>
      <c r="I44" s="2" t="s">
        <v>3</v>
      </c>
      <c r="J44" s="2" t="s">
        <v>8128</v>
      </c>
      <c r="K44" s="2" t="s">
        <v>4</v>
      </c>
      <c r="L44" s="2" t="s">
        <v>0</v>
      </c>
      <c r="M44" s="2" t="s">
        <v>1</v>
      </c>
      <c r="N44" s="2" t="s">
        <v>2</v>
      </c>
      <c r="O44" s="2" t="s">
        <v>3</v>
      </c>
      <c r="P44" s="2" t="s">
        <v>8128</v>
      </c>
      <c r="Q44" s="2" t="s">
        <v>4</v>
      </c>
    </row>
    <row r="45" spans="5:17" x14ac:dyDescent="0.25">
      <c r="E45" s="2" t="s">
        <v>5</v>
      </c>
      <c r="F45" s="1">
        <f>SUMIFS('WH+RT PREVIOUS'!$M$2:$M$15000,'WH+RT PREVIOUS'!$B$2:$B$15000,"N.C.Urea(45kg)",'WH+RT PREVIOUS'!$R$2:$R$15000,"221827",'WH+RT PREVIOUS'!$N$2:$N$15000,"&gt;179",'WH+RT PREVIOUS'!$N$2:$N$15000,"&lt;366")</f>
        <v>0.01</v>
      </c>
      <c r="G45" s="1">
        <f>SUMIFS('WH+RT PREVIOUS'!$M$2:$M$15000,'WH+RT PREVIOUS'!$B$2:$B$15000,"15-15-15",'WH+RT PREVIOUS'!$R$2:$R$15000,"221827",'WH+RT PREVIOUS'!$N$2:$N$15000,"&gt;179",'WH+RT PREVIOUS'!$N$2:$N$15000,"&lt;366")</f>
        <v>0</v>
      </c>
      <c r="H45" s="1">
        <f>SUMIFS('WH+RT PREVIOUS'!$M$2:$M$15000,'WH+RT PREVIOUS'!$B$2:$B$15000,"Imp 10-26-26",'WH+RT PREVIOUS'!$R$2:$R$15000,"221827",'WH+RT PREVIOUS'!$N$2:$N$15000,"&gt;179",'WH+RT PREVIOUS'!$N$2:$N$15000,"&lt;366")</f>
        <v>0</v>
      </c>
      <c r="I45" s="1">
        <f>SUMIFS('WH+RT PREVIOUS'!$M$2:$M$15000,'WH+RT PREVIOUS'!$B$2:$B$15000,"MOP",'WH+RT PREVIOUS'!$R$2:$R$15000,"221827",'WH+RT PREVIOUS'!$N$2:$N$15000,"&gt;179",'WH+RT PREVIOUS'!$N$2:$N$15000,"&lt;366")</f>
        <v>0</v>
      </c>
      <c r="J45" s="1">
        <f>SUMIFS('WH+RT PREVIOUS'!$M$2:$M$15000,'WH+RT PREVIOUS'!$B$2:$B$15000,"Imp DAP",'WH+RT PREVIOUS'!$R$2:$R$15000,"221827",'WH+RT PREVIOUS'!$N$2:$N$15000,"&gt;179",'WH+RT PREVIOUS'!$N$2:$N$15000,"&lt;366")</f>
        <v>0</v>
      </c>
      <c r="K45" s="1">
        <f>F45+G45+H45+I45+J45</f>
        <v>0.01</v>
      </c>
      <c r="L45" s="1">
        <f>SUMIFS('WH+RT CURRENT'!$M$2:$M$15000,'WH+RT CURRENT'!$B$2:$B$15000,"N.C.Urea(45kg)",'WH+RT CURRENT'!$R$2:$R$15000,"221827",'WH+RT CURRENT'!$N$2:$N$15000,"&gt;179",'WH+RT CURRENT'!$N$2:$N$15000,"&lt;366")</f>
        <v>0.01</v>
      </c>
      <c r="M45" s="1">
        <f>SUMIFS('WH+RT CURRENT'!$M$2:$M$15000,'WH+RT CURRENT'!$B$2:$B$15000,"15-15-15",'WH+RT CURRENT'!$R$2:$R$15000,"221827",'WH+RT CURRENT'!$N$2:$N$15000,"&gt;179",'WH+RT CURRENT'!$N$2:$N$15000,"&lt;366")</f>
        <v>0</v>
      </c>
      <c r="N45" s="1">
        <f>SUMIFS('WH+RT CURRENT'!$M$2:$M$15000,'WH+RT CURRENT'!$B$2:$B$15000,"Imp 10-26-26",'WH+RT CURRENT'!$R$2:$R$15000,"221827",'WH+RT CURRENT'!$N$2:$N$15000,"&gt;179",'WH+RT CURRENT'!$N$2:$N$15000,"&lt;366")</f>
        <v>0</v>
      </c>
      <c r="O45" s="1">
        <f>SUMIFS('WH+RT CURRENT'!$M$2:$M$15000,'WH+RT CURRENT'!$B$2:$B$15000,"MOP",'WH+RT CURRENT'!$R$2:$R$15000,"221827",'WH+RT CURRENT'!$N$2:$N$15000,"&gt;179",'WH+RT CURRENT'!$N$2:$N$15000,"&lt;366")</f>
        <v>0</v>
      </c>
      <c r="P45" s="1">
        <f>SUMIFS('WH+RT CURRENT'!$M$2:$M$15000,'WH+RT CURRENT'!$B$2:$B$15000,"Imp DAP",'WH+RT CURRENT'!$R$2:$R$15000,"221827",'WH+RT CURRENT'!$N$2:$N$15000,"&gt;179",'WH+RT CURRENT'!$N$2:$N$15000,"&lt;366")</f>
        <v>0</v>
      </c>
      <c r="Q45" s="1">
        <f>L45+M45+N45+O45+P45</f>
        <v>0.01</v>
      </c>
    </row>
    <row r="46" spans="5:17" x14ac:dyDescent="0.25">
      <c r="E46" s="2" t="s">
        <v>6</v>
      </c>
      <c r="F46" s="1">
        <f>SUMIFS('WH+RT PREVIOUS'!$M$2:$M$15000,'WH+RT PREVIOUS'!$B$2:$B$15000,"N.C.Urea(45kg)",'WH+RT PREVIOUS'!$R$2:$R$15000,"221827",'WH+RT PREVIOUS'!$N$2:$N$15000,"&gt;365")</f>
        <v>4.0350000000000001</v>
      </c>
      <c r="G46" s="1">
        <f>SUMIFS('WH+RT PREVIOUS'!$M$2:$M$15000,'WH+RT PREVIOUS'!$B$2:$B$15000,"15-15-15",'WH+RT PREVIOUS'!$R$2:$R$15000,"221827",'WH+RT PREVIOUS'!$N$2:$N$15000,"&gt;365")</f>
        <v>0</v>
      </c>
      <c r="H46" s="1">
        <f>SUMIFS('WH+RT PREVIOUS'!$M$2:$M$15000,'WH+RT PREVIOUS'!$B$2:$B$15000,"Imp 10-26-26",'WH+RT PREVIOUS'!$R$2:$R$15000,"221827",'WH+RT PREVIOUS'!$N$2:$N$15000,"&gt;365")</f>
        <v>0</v>
      </c>
      <c r="I46" s="1">
        <f>SUMIFS('WH+RT PREVIOUS'!$M$2:$M$15000,'WH+RT PREVIOUS'!$B$2:$B$15000,"MOP",'WH+RT PREVIOUS'!$R$2:$R$15000,"221827",'WH+RT PREVIOUS'!$N$2:$N$15000,"&gt;365")</f>
        <v>0</v>
      </c>
      <c r="J46" s="1">
        <f>SUMIFS('WH+RT PREVIOUS'!$M$2:$M$15000,'WH+RT PREVIOUS'!$B$2:$B$15000,"Imp DAP",'WH+RT PREVIOUS'!$R$2:$R$15000,"221827",'WH+RT PREVIOUS'!$N$2:$N$15000,"&gt;365")</f>
        <v>0</v>
      </c>
      <c r="K46" s="1">
        <f t="shared" ref="K46:K48" si="8">F46+G46+H46+I46+J46</f>
        <v>4.0350000000000001</v>
      </c>
      <c r="L46" s="1">
        <f>SUMIFS('WH+RT CURRENT'!$M$2:$M$15000,'WH+RT CURRENT'!$B$2:$B$15000,"N.C.Urea(45kg)",'WH+RT CURRENT'!$R$2:$R$15000,"221827",'WH+RT CURRENT'!$N$2:$N$15000,"&gt;365")</f>
        <v>4.0350000000000001</v>
      </c>
      <c r="M46" s="1">
        <f>SUMIFS('WH+RT CURRENT'!$M$2:$M$15000,'WH+RT CURRENT'!$B$2:$B$15000,"15-15-15",'WH+RT CURRENT'!$R$2:$R$15000,"221827",'WH+RT CURRENT'!$N$2:$N$15000,"&gt;365")</f>
        <v>0</v>
      </c>
      <c r="N46" s="1">
        <f>SUMIFS('WH+RT CURRENT'!$M$2:$M$15000,'WH+RT CURRENT'!$B$2:$B$15000,"Imp 10-26-26",'WH+RT CURRENT'!$R$2:$R$15000,"221827",'WH+RT CURRENT'!$N$2:$N$15000,"&gt;365")</f>
        <v>0</v>
      </c>
      <c r="O46" s="1">
        <f>SUMIFS('WH+RT CURRENT'!$M$2:$M$15000,'WH+RT CURRENT'!$B$2:$B$15000,"MOP",'WH+RT CURRENT'!$R$2:$R$15000,"221827",'WH+RT CURRENT'!$N$2:$N$15000,"&gt;365")</f>
        <v>0</v>
      </c>
      <c r="P46" s="1">
        <f>SUMIFS('WH+RT CURRENT'!$M$2:$M$15000,'WH+RT CURRENT'!$B$2:$B$15000,"Imp DAP",'WH+RT CURRENT'!$R$2:$R$15000,"221827",'WH+RT CURRENT'!$N$2:$N$15000,"&gt;365")</f>
        <v>0</v>
      </c>
      <c r="Q46" s="1">
        <f t="shared" ref="Q46:Q48" si="9">L46+M46+N46+O46+P46</f>
        <v>4.0350000000000001</v>
      </c>
    </row>
    <row r="47" spans="5:17" x14ac:dyDescent="0.25">
      <c r="E47" s="2" t="s">
        <v>7</v>
      </c>
      <c r="F47" s="1">
        <f>F45+F46</f>
        <v>4.0449999999999999</v>
      </c>
      <c r="G47" s="1">
        <f>G45+G46</f>
        <v>0</v>
      </c>
      <c r="H47" s="1">
        <f>H45+H46</f>
        <v>0</v>
      </c>
      <c r="I47" s="1">
        <f>I45+I46</f>
        <v>0</v>
      </c>
      <c r="J47" s="1">
        <f>J45+J46</f>
        <v>0</v>
      </c>
      <c r="K47" s="1">
        <f t="shared" si="8"/>
        <v>4.0449999999999999</v>
      </c>
      <c r="L47" s="1">
        <f>L45+L46</f>
        <v>4.0449999999999999</v>
      </c>
      <c r="M47" s="1">
        <f>M45+M46</f>
        <v>0</v>
      </c>
      <c r="N47" s="1">
        <f>N45+N46</f>
        <v>0</v>
      </c>
      <c r="O47" s="1">
        <f>O45+O46</f>
        <v>0</v>
      </c>
      <c r="P47" s="1">
        <f>P45+P46</f>
        <v>0</v>
      </c>
      <c r="Q47" s="1">
        <f t="shared" si="9"/>
        <v>4.0449999999999999</v>
      </c>
    </row>
    <row r="48" spans="5:17" x14ac:dyDescent="0.25">
      <c r="E48" s="2" t="s">
        <v>9</v>
      </c>
      <c r="F48" s="1">
        <f>SUMIFS('WH+RT PREVIOUS'!$M$2:$M$15000,'WH+RT PREVIOUS'!$B$2:$B$15000,"N.C.Urea(45kg)",'WH+RT PREVIOUS'!$R$2:$R$15000,"221827")</f>
        <v>18.540000000000006</v>
      </c>
      <c r="G48" s="1">
        <f>SUMIFS('WH+RT PREVIOUS'!$M$2:$M$15000,'WH+RT PREVIOUS'!$B$2:$B$15000,"15-15-15",'WH+RT PREVIOUS'!$R$2:$R$15000,"221827")</f>
        <v>0</v>
      </c>
      <c r="H48" s="1">
        <f>SUMIFS('WH+RT PREVIOUS'!$M$2:$M$15000,'WH+RT PREVIOUS'!$B$2:$B$15000,"Imp 10-26-26",'WH+RT PREVIOUS'!$R$2:$R$15000,"221827")</f>
        <v>0</v>
      </c>
      <c r="I48" s="1">
        <f>SUMIFS('WH+RT PREVIOUS'!$M$2:$M$15000,'WH+RT PREVIOUS'!$B$2:$B$15000,"MOP",'WH+RT PREVIOUS'!$R$2:$R$15000,"221827")</f>
        <v>0</v>
      </c>
      <c r="J48" s="1">
        <f>SUMIFS('WH+RT PREVIOUS'!$M$2:$M$15000,'WH+RT PREVIOUS'!$B$2:$B$15000,"Imp DAP",'WH+RT PREVIOUS'!$R$2:$R$15000,"221827")</f>
        <v>0</v>
      </c>
      <c r="K48" s="1">
        <f t="shared" si="8"/>
        <v>18.540000000000006</v>
      </c>
      <c r="L48" s="1">
        <f>SUMIFS('WH+RT CURRENT'!$M$2:$M$15000,'WH+RT CURRENT'!$B$2:$B$15000,"N.C.Urea(45kg)",'WH+RT CURRENT'!$R$2:$R$15000,"221827")</f>
        <v>18.54</v>
      </c>
      <c r="M48" s="1">
        <f>SUMIFS('WH+RT CURRENT'!$M$2:$M$15000,'WH+RT CURRENT'!$B$2:$B$15000,"15-15-15",'WH+RT CURRENT'!$R$2:$R$15000,"221827")</f>
        <v>0</v>
      </c>
      <c r="N48" s="1">
        <f>SUMIFS('WH+RT CURRENT'!$M$2:$M$15000,'WH+RT CURRENT'!$B$2:$B$15000,"Imp 10-26-26",'WH+RT CURRENT'!$R$2:$R$15000,"221827")</f>
        <v>0</v>
      </c>
      <c r="O48" s="1">
        <f>SUMIFS('WH+RT CURRENT'!$M$2:$M$15000,'WH+RT CURRENT'!$B$2:$B$15000,"MOP",'WH+RT CURRENT'!$R$2:$R$15000,"221827")</f>
        <v>0</v>
      </c>
      <c r="P48" s="1">
        <f>SUMIFS('WH+RT CURRENT'!$M$2:$M$15000,'WH+RT CURRENT'!$B$2:$B$15000,"Imp DAP",'WH+RT CURRENT'!$R$2:$R$15000,"221827")</f>
        <v>0</v>
      </c>
      <c r="Q48" s="1">
        <f t="shared" si="9"/>
        <v>18.54</v>
      </c>
    </row>
  </sheetData>
  <mergeCells count="21">
    <mergeCell ref="E42:Q42"/>
    <mergeCell ref="E43:E44"/>
    <mergeCell ref="F43:K43"/>
    <mergeCell ref="L43:Q43"/>
    <mergeCell ref="E25:E26"/>
    <mergeCell ref="F25:K25"/>
    <mergeCell ref="L25:Q25"/>
    <mergeCell ref="E33:Q33"/>
    <mergeCell ref="E34:E35"/>
    <mergeCell ref="F34:K34"/>
    <mergeCell ref="L34:Q34"/>
    <mergeCell ref="E15:Q15"/>
    <mergeCell ref="E16:E17"/>
    <mergeCell ref="F16:K16"/>
    <mergeCell ref="L16:Q16"/>
    <mergeCell ref="E24:Q24"/>
    <mergeCell ref="E1:Q3"/>
    <mergeCell ref="E6:Q6"/>
    <mergeCell ref="E7:E8"/>
    <mergeCell ref="F7:K7"/>
    <mergeCell ref="L7:Q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AC400-2473-4FAF-B94B-ED08908529F5}">
  <dimension ref="E1:S39"/>
  <sheetViews>
    <sheetView topLeftCell="A13" workbookViewId="0"/>
  </sheetViews>
  <sheetFormatPr defaultRowHeight="15" x14ac:dyDescent="0.25"/>
  <cols>
    <col min="1" max="4" width="10.7109375" customWidth="1"/>
    <col min="5" max="5" width="13.7109375" bestFit="1" customWidth="1"/>
  </cols>
  <sheetData>
    <row r="1" spans="5:19" ht="15" customHeight="1" x14ac:dyDescent="0.25">
      <c r="E1" s="16" t="s">
        <v>448</v>
      </c>
      <c r="F1" s="17"/>
      <c r="G1" s="17"/>
      <c r="H1" s="17"/>
      <c r="I1" s="17"/>
      <c r="J1" s="17"/>
      <c r="K1" s="17"/>
      <c r="L1" s="17"/>
      <c r="M1" s="17"/>
      <c r="N1" s="17"/>
      <c r="O1" s="17"/>
      <c r="P1" s="17"/>
      <c r="Q1" s="17"/>
      <c r="R1" t="s">
        <v>8141</v>
      </c>
      <c r="S1">
        <v>4</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3539</v>
      </c>
      <c r="F6" s="12"/>
      <c r="G6" s="12"/>
      <c r="H6" s="12"/>
      <c r="I6" s="12"/>
      <c r="J6" s="12"/>
      <c r="K6" s="12"/>
      <c r="L6" s="12"/>
      <c r="M6" s="12"/>
      <c r="N6" s="12"/>
      <c r="O6" s="12"/>
      <c r="P6" s="12"/>
      <c r="Q6" s="12"/>
    </row>
    <row r="7" spans="5:19" x14ac:dyDescent="0.25">
      <c r="E7" s="13"/>
      <c r="F7" s="15" t="s">
        <v>8147</v>
      </c>
      <c r="G7" s="15"/>
      <c r="H7" s="15"/>
      <c r="I7" s="15"/>
      <c r="J7" s="15"/>
      <c r="K7" s="15"/>
      <c r="L7" s="15" t="s">
        <v>8148</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PREVIOUS'!$R$2:$R$15000,"260160",'WH+RT PREVIOUS'!$N$2:$N$15000,"&gt;179",'WH+RT PREVIOUS'!$N$2:$N$15000,"&lt;366")</f>
        <v>0</v>
      </c>
      <c r="G9" s="1">
        <f>SUMIFS('WH+RT PREVIOUS'!$M$2:$M$15000,'WH+RT PREVIOUS'!$B$2:$B$15000,"15-15-15",'WH+RT PREVIOUS'!$R$2:$R$15000,"260160",'WH+RT PREVIOUS'!$N$2:$N$15000,"&gt;179",'WH+RT PREVIOUS'!$N$2:$N$15000,"&lt;366")</f>
        <v>0.5</v>
      </c>
      <c r="H9" s="1">
        <f>SUMIFS('WH+RT PREVIOUS'!$M$2:$M$15000,'WH+RT PREVIOUS'!$B$2:$B$15000,"Imp 10-26-26",'WH+RT PREVIOUS'!$R$2:$R$15000,"260160",'WH+RT PREVIOUS'!$N$2:$N$15000,"&gt;179",'WH+RT PREVIOUS'!$N$2:$N$15000,"&lt;366")</f>
        <v>0</v>
      </c>
      <c r="I9" s="1">
        <f>SUMIFS('WH+RT PREVIOUS'!$M$2:$M$15000,'WH+RT PREVIOUS'!$B$2:$B$15000,"MOP",'WH+RT PREVIOUS'!$R$2:$R$15000,"260160",'WH+RT PREVIOUS'!$N$2:$N$15000,"&gt;179",'WH+RT PREVIOUS'!$N$2:$N$15000,"&lt;366")</f>
        <v>0</v>
      </c>
      <c r="J9" s="1">
        <f>SUMIFS('WH+RT PREVIOUS'!$M$2:$M$15000,'WH+RT PREVIOUS'!$B$2:$B$15000,"Imp DAP",'WH+RT PREVIOUS'!$R$2:$R$15000,"260160",'WH+RT PREVIOUS'!$N$2:$N$15000,"&gt;179",'WH+RT PREVIOUS'!$N$2:$N$15000,"&lt;366")</f>
        <v>0</v>
      </c>
      <c r="K9" s="1">
        <f>F9+G9+H9+I9+J9</f>
        <v>0.5</v>
      </c>
      <c r="L9" s="1">
        <f>SUMIFS('WH+RT CURRENT'!$M$2:$M$15000,'WH+RT CURRENT'!$B$2:$B$15000,"N.C.Urea(45kg)",'WH+RT CURRENT'!$R$2:$R$15000,"260160",'WH+RT CURRENT'!$N$2:$N$15000,"&gt;179",'WH+RT CURRENT'!$N$2:$N$15000,"&lt;366")</f>
        <v>0</v>
      </c>
      <c r="M9" s="1">
        <f>SUMIFS('WH+RT CURRENT'!$M$2:$M$15000,'WH+RT CURRENT'!$B$2:$B$15000,"15-15-15",'WH+RT CURRENT'!$R$2:$R$15000,"260160",'WH+RT CURRENT'!$N$2:$N$15000,"&gt;179",'WH+RT CURRENT'!$N$2:$N$15000,"&lt;366")</f>
        <v>0.5</v>
      </c>
      <c r="N9" s="1">
        <f>SUMIFS('WH+RT CURRENT'!$M$2:$M$15000,'WH+RT CURRENT'!$B$2:$B$15000,"Imp 10-26-26",'WH+RT CURRENT'!$R$2:$R$15000,"260160",'WH+RT CURRENT'!$N$2:$N$15000,"&gt;179",'WH+RT CURRENT'!$N$2:$N$15000,"&lt;366")</f>
        <v>0</v>
      </c>
      <c r="O9" s="1">
        <f>SUMIFS('WH+RT CURRENT'!$M$2:$M$15000,'WH+RT CURRENT'!$B$2:$B$15000,"MOP",'WH+RT CURRENT'!$R$2:$R$15000,"260160",'WH+RT CURRENT'!$N$2:$N$15000,"&gt;179",'WH+RT CURRENT'!$N$2:$N$15000,"&lt;366")</f>
        <v>0</v>
      </c>
      <c r="P9" s="1">
        <f>SUMIFS('WH+RT CURRENT'!$M$2:$M$15000,'WH+RT CURRENT'!$B$2:$B$15000,"Imp DAP",'WH+RT CURRENT'!$R$2:$R$15000,"260160",'WH+RT CURRENT'!$N$2:$N$15000,"&gt;179",'WH+RT CURRENT'!$N$2:$N$15000,"&lt;366")</f>
        <v>0</v>
      </c>
      <c r="Q9" s="1">
        <f>L9+M9+N9+O9+P9</f>
        <v>0.5</v>
      </c>
    </row>
    <row r="10" spans="5:19" x14ac:dyDescent="0.25">
      <c r="E10" s="2" t="s">
        <v>6</v>
      </c>
      <c r="F10" s="1">
        <f>SUMIFS('WH+RT PREVIOUS'!$M$2:$M$15000,'WH+RT PREVIOUS'!$B$2:$B$15000,"N.C.Urea(45kg)",'WH+RT PREVIOUS'!$R$2:$R$15000,"260160",'WH+RT PREVIOUS'!$N$2:$N$15000,"&gt;365")</f>
        <v>1.59</v>
      </c>
      <c r="G10" s="1">
        <f>SUMIFS('WH+RT PREVIOUS'!$M$2:$M$15000,'WH+RT PREVIOUS'!$B$2:$B$15000,"15-15-15",'WH+RT PREVIOUS'!$R$2:$R$15000,"260160",'WH+RT PREVIOUS'!$N$2:$N$15000,"&gt;365")</f>
        <v>2.1500000000000004</v>
      </c>
      <c r="H10" s="1">
        <f>SUMIFS('WH+RT PREVIOUS'!$M$2:$M$15000,'WH+RT PREVIOUS'!$B$2:$B$15000,"Imp 10-26-26",'WH+RT PREVIOUS'!$R$2:$R$15000,"260160",'WH+RT PREVIOUS'!$N$2:$N$15000,"&gt;365")</f>
        <v>0.15</v>
      </c>
      <c r="I10" s="1">
        <f>SUMIFS('WH+RT PREVIOUS'!$M$2:$M$15000,'WH+RT PREVIOUS'!$B$2:$B$15000,"MOP",'WH+RT PREVIOUS'!$R$2:$R$15000,"260160",'WH+RT PREVIOUS'!$N$2:$N$15000,"&gt;365")</f>
        <v>3.85</v>
      </c>
      <c r="J10" s="1">
        <f>SUMIFS('WH+RT PREVIOUS'!$M$2:$M$15000,'WH+RT PREVIOUS'!$B$2:$B$15000,"Imp DAP",'WH+RT PREVIOUS'!$R$2:$R$15000,"260160",'WH+RT PREVIOUS'!$N$2:$N$15000,"&gt;365")</f>
        <v>0</v>
      </c>
      <c r="K10" s="1">
        <f t="shared" ref="K10:K12" si="0">F10+G10+H10+I10+J10</f>
        <v>7.74</v>
      </c>
      <c r="L10" s="1">
        <f>SUMIFS('WH+RT CURRENT'!$M$2:$M$15000,'WH+RT CURRENT'!$B$2:$B$15000,"N.C.Urea(45kg)",'WH+RT CURRENT'!$R$2:$R$15000,"260160",'WH+RT CURRENT'!$N$2:$N$15000,"&gt;365")</f>
        <v>1.59</v>
      </c>
      <c r="M10" s="1">
        <f>SUMIFS('WH+RT CURRENT'!$M$2:$M$15000,'WH+RT CURRENT'!$B$2:$B$15000,"15-15-15",'WH+RT CURRENT'!$R$2:$R$15000,"260160",'WH+RT CURRENT'!$N$2:$N$15000,"&gt;365")</f>
        <v>2.1500000000000004</v>
      </c>
      <c r="N10" s="1">
        <f>SUMIFS('WH+RT CURRENT'!$M$2:$M$15000,'WH+RT CURRENT'!$B$2:$B$15000,"Imp 10-26-26",'WH+RT CURRENT'!$R$2:$R$15000,"260160",'WH+RT CURRENT'!$N$2:$N$15000,"&gt;365")</f>
        <v>0.15</v>
      </c>
      <c r="O10" s="1">
        <f>SUMIFS('WH+RT CURRENT'!$M$2:$M$15000,'WH+RT CURRENT'!$B$2:$B$15000,"MOP",'WH+RT CURRENT'!$R$2:$R$15000,"260160",'WH+RT CURRENT'!$N$2:$N$15000,"&gt;365")</f>
        <v>3.85</v>
      </c>
      <c r="P10" s="1">
        <f>SUMIFS('WH+RT CURRENT'!$M$2:$M$15000,'WH+RT CURRENT'!$B$2:$B$15000,"Imp DAP",'WH+RT CURRENT'!$R$2:$R$15000,"260160",'WH+RT CURRENT'!$N$2:$N$15000,"&gt;365")</f>
        <v>0</v>
      </c>
      <c r="Q10" s="1">
        <f t="shared" ref="Q10:Q12" si="1">L10+M10+N10+O10+P10</f>
        <v>7.74</v>
      </c>
    </row>
    <row r="11" spans="5:19" x14ac:dyDescent="0.25">
      <c r="E11" s="2" t="s">
        <v>7</v>
      </c>
      <c r="F11" s="1">
        <f>F9+F10</f>
        <v>1.59</v>
      </c>
      <c r="G11" s="1">
        <f>G9+G10</f>
        <v>2.6500000000000004</v>
      </c>
      <c r="H11" s="1">
        <f>H9+H10</f>
        <v>0.15</v>
      </c>
      <c r="I11" s="1">
        <f>I9+I10</f>
        <v>3.85</v>
      </c>
      <c r="J11" s="1">
        <f>J9+J10</f>
        <v>0</v>
      </c>
      <c r="K11" s="1">
        <f t="shared" si="0"/>
        <v>8.24</v>
      </c>
      <c r="L11" s="1">
        <f>L9+L10</f>
        <v>1.59</v>
      </c>
      <c r="M11" s="1">
        <f>M9+M10</f>
        <v>2.6500000000000004</v>
      </c>
      <c r="N11" s="1">
        <f>N9+N10</f>
        <v>0.15</v>
      </c>
      <c r="O11" s="1">
        <f>O9+O10</f>
        <v>3.85</v>
      </c>
      <c r="P11" s="1">
        <f>P9+P10</f>
        <v>0</v>
      </c>
      <c r="Q11" s="1">
        <f t="shared" si="1"/>
        <v>8.24</v>
      </c>
    </row>
    <row r="12" spans="5:19" x14ac:dyDescent="0.25">
      <c r="E12" s="2" t="s">
        <v>9</v>
      </c>
      <c r="F12" s="1">
        <f>SUMIFS('WH+RT PREVIOUS'!$M$2:$M$15000,'WH+RT PREVIOUS'!$B$2:$B$15000,"N.C.Urea(45kg)",'WH+RT PREVIOUS'!$R$2:$R$15000,"260160")</f>
        <v>52.934999999999995</v>
      </c>
      <c r="G12" s="1">
        <f>SUMIFS('WH+RT PREVIOUS'!$M$2:$M$15000,'WH+RT PREVIOUS'!$B$2:$B$15000,"15-15-15",'WH+RT PREVIOUS'!$R$2:$R$15000,"260160")</f>
        <v>28.75</v>
      </c>
      <c r="H12" s="1">
        <f>SUMIFS('WH+RT PREVIOUS'!$M$2:$M$15000,'WH+RT PREVIOUS'!$B$2:$B$15000,"Imp 10-26-26",'WH+RT PREVIOUS'!$R$2:$R$15000,"260160")</f>
        <v>0.15</v>
      </c>
      <c r="I12" s="1">
        <f>SUMIFS('WH+RT PREVIOUS'!$M$2:$M$15000,'WH+RT PREVIOUS'!$B$2:$B$15000,"MOP",'WH+RT PREVIOUS'!$R$2:$R$15000,"260160")</f>
        <v>3.85</v>
      </c>
      <c r="J12" s="1">
        <f>SUMIFS('WH+RT PREVIOUS'!$M$2:$M$15000,'WH+RT PREVIOUS'!$B$2:$B$15000,"Imp DAP",'WH+RT PREVIOUS'!$R$2:$R$15000,"260160")</f>
        <v>0</v>
      </c>
      <c r="K12" s="1">
        <f t="shared" si="0"/>
        <v>85.685000000000002</v>
      </c>
      <c r="L12" s="1">
        <f>SUMIFS('WH+RT CURRENT'!$M$2:$M$15000,'WH+RT CURRENT'!$B$2:$B$15000,"N.C.Urea(45kg)",'WH+RT CURRENT'!$R$2:$R$15000,"260160")</f>
        <v>51.495000000000012</v>
      </c>
      <c r="M12" s="1">
        <f>SUMIFS('WH+RT CURRENT'!$M$2:$M$15000,'WH+RT CURRENT'!$B$2:$B$15000,"15-15-15",'WH+RT CURRENT'!$R$2:$R$15000,"260160")</f>
        <v>28.75</v>
      </c>
      <c r="N12" s="1">
        <f>SUMIFS('WH+RT CURRENT'!$M$2:$M$15000,'WH+RT CURRENT'!$B$2:$B$15000,"Imp 10-26-26",'WH+RT CURRENT'!$R$2:$R$15000,"260160")</f>
        <v>0.15</v>
      </c>
      <c r="O12" s="1">
        <f>SUMIFS('WH+RT CURRENT'!$M$2:$M$15000,'WH+RT CURRENT'!$B$2:$B$15000,"MOP",'WH+RT CURRENT'!$R$2:$R$15000,"260160")</f>
        <v>3.85</v>
      </c>
      <c r="P12" s="1">
        <f>SUMIFS('WH+RT CURRENT'!$M$2:$M$15000,'WH+RT CURRENT'!$B$2:$B$15000,"Imp DAP",'WH+RT CURRENT'!$R$2:$R$15000,"260160")</f>
        <v>0</v>
      </c>
      <c r="Q12" s="1">
        <f t="shared" si="1"/>
        <v>84.245000000000005</v>
      </c>
    </row>
    <row r="15" spans="5:19" x14ac:dyDescent="0.25">
      <c r="E15" s="12" t="s">
        <v>8149</v>
      </c>
      <c r="F15" s="12"/>
      <c r="G15" s="12"/>
      <c r="H15" s="12"/>
      <c r="I15" s="12"/>
      <c r="J15" s="12"/>
      <c r="K15" s="12"/>
      <c r="L15" s="12"/>
      <c r="M15" s="12"/>
      <c r="N15" s="12"/>
      <c r="O15" s="12"/>
      <c r="P15" s="12"/>
      <c r="Q15" s="12"/>
    </row>
    <row r="16" spans="5:19" x14ac:dyDescent="0.25">
      <c r="E16" s="13"/>
      <c r="F16" s="15" t="s">
        <v>8147</v>
      </c>
      <c r="G16" s="15"/>
      <c r="H16" s="15"/>
      <c r="I16" s="15"/>
      <c r="J16" s="15"/>
      <c r="K16" s="15"/>
      <c r="L16" s="15" t="s">
        <v>8148</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PREVIOUS'!$R$2:$R$15000,"214214",'WH+RT PREVIOUS'!$N$2:$N$15000,"&gt;179",'WH+RT PREVIOUS'!$N$2:$N$15000,"&lt;366")</f>
        <v>0</v>
      </c>
      <c r="G18" s="1">
        <f>SUMIFS('WH+RT PREVIOUS'!$M$2:$M$15000,'WH+RT PREVIOUS'!$B$2:$B$15000,"15-15-15",'WH+RT PREVIOUS'!$R$2:$R$15000,"214214",'WH+RT PREVIOUS'!$N$2:$N$15000,"&gt;179",'WH+RT PREVIOUS'!$N$2:$N$15000,"&lt;366")</f>
        <v>0</v>
      </c>
      <c r="H18" s="1">
        <f>SUMIFS('WH+RT PREVIOUS'!$M$2:$M$15000,'WH+RT PREVIOUS'!$B$2:$B$15000,"Imp 10-26-26",'WH+RT PREVIOUS'!$R$2:$R$15000,"214214",'WH+RT PREVIOUS'!$N$2:$N$15000,"&gt;179",'WH+RT PREVIOUS'!$N$2:$N$15000,"&lt;366")</f>
        <v>0</v>
      </c>
      <c r="I18" s="1">
        <f>SUMIFS('WH+RT PREVIOUS'!$M$2:$M$15000,'WH+RT PREVIOUS'!$B$2:$B$15000,"MOP",'WH+RT PREVIOUS'!$R$2:$R$15000,"214214",'WH+RT PREVIOUS'!$N$2:$N$15000,"&gt;179",'WH+RT PREVIOUS'!$N$2:$N$15000,"&lt;366")</f>
        <v>0</v>
      </c>
      <c r="J18" s="1">
        <f>SUMIFS('WH+RT PREVIOUS'!$M$2:$M$15000,'WH+RT PREVIOUS'!$B$2:$B$15000,"Imp DAP",'WH+RT PREVIOUS'!$R$2:$R$15000,"214214",'WH+RT PREVIOUS'!$N$2:$N$15000,"&gt;179",'WH+RT PREVIOUS'!$N$2:$N$15000,"&lt;366")</f>
        <v>0</v>
      </c>
      <c r="K18" s="1">
        <f>F18+G18+H18+I18+J18</f>
        <v>0</v>
      </c>
      <c r="L18" s="1">
        <f>SUMIFS('WH+RT CURRENT'!$M$2:$M$15000,'WH+RT CURRENT'!$B$2:$B$15000,"N.C.Urea(45kg)",'WH+RT CURRENT'!$R$2:$R$15000,"214214",'WH+RT CURRENT'!$N$2:$N$15000,"&gt;179",'WH+RT CURRENT'!$N$2:$N$15000,"&lt;366")</f>
        <v>0</v>
      </c>
      <c r="M18" s="1">
        <f>SUMIFS('WH+RT CURRENT'!$M$2:$M$15000,'WH+RT CURRENT'!$B$2:$B$15000,"15-15-15",'WH+RT CURRENT'!$R$2:$R$15000,"214214",'WH+RT CURRENT'!$N$2:$N$15000,"&gt;179",'WH+RT CURRENT'!$N$2:$N$15000,"&lt;366")</f>
        <v>0</v>
      </c>
      <c r="N18" s="1">
        <f>SUMIFS('WH+RT CURRENT'!$M$2:$M$15000,'WH+RT CURRENT'!$B$2:$B$15000,"Imp 10-26-26",'WH+RT CURRENT'!$R$2:$R$15000,"214214",'WH+RT CURRENT'!$N$2:$N$15000,"&gt;179",'WH+RT CURRENT'!$N$2:$N$15000,"&lt;366")</f>
        <v>0</v>
      </c>
      <c r="O18" s="1">
        <f>SUMIFS('WH+RT CURRENT'!$M$2:$M$15000,'WH+RT CURRENT'!$B$2:$B$15000,"MOP",'WH+RT CURRENT'!$R$2:$R$15000,"214214",'WH+RT CURRENT'!$N$2:$N$15000,"&gt;179",'WH+RT CURRENT'!$N$2:$N$15000,"&lt;366")</f>
        <v>0</v>
      </c>
      <c r="P18" s="1">
        <f>SUMIFS('WH+RT CURRENT'!$M$2:$M$15000,'WH+RT CURRENT'!$B$2:$B$15000,"Imp DAP",'WH+RT CURRENT'!$R$2:$R$15000,"214214",'WH+RT CURRENT'!$N$2:$N$15000,"&gt;179",'WH+RT CURRENT'!$N$2:$N$15000,"&lt;366")</f>
        <v>0</v>
      </c>
      <c r="Q18" s="1">
        <f>L18+M18+N18+O18+P18</f>
        <v>0</v>
      </c>
    </row>
    <row r="19" spans="5:17" x14ac:dyDescent="0.25">
      <c r="E19" s="2" t="s">
        <v>6</v>
      </c>
      <c r="F19" s="1">
        <f>SUMIFS('WH+RT PREVIOUS'!$M$2:$M$15000,'WH+RT PREVIOUS'!$B$2:$B$15000,"N.C.Urea(45kg)",'WH+RT PREVIOUS'!$R$2:$R$15000,"214214",'WH+RT PREVIOUS'!$N$2:$N$15000,"&gt;365")</f>
        <v>0.9</v>
      </c>
      <c r="G19" s="1">
        <f>SUMIFS('WH+RT PREVIOUS'!$M$2:$M$15000,'WH+RT PREVIOUS'!$B$2:$B$15000,"15-15-15",'WH+RT PREVIOUS'!$R$2:$R$15000,"214214",'WH+RT PREVIOUS'!$N$2:$N$15000,"&gt;365")</f>
        <v>1.5</v>
      </c>
      <c r="H19" s="1">
        <f>SUMIFS('WH+RT PREVIOUS'!$M$2:$M$15000,'WH+RT PREVIOUS'!$B$2:$B$15000,"Imp 10-26-26",'WH+RT PREVIOUS'!$R$2:$R$15000,"214214",'WH+RT PREVIOUS'!$N$2:$N$15000,"&gt;365")</f>
        <v>0</v>
      </c>
      <c r="I19" s="1">
        <f>SUMIFS('WH+RT PREVIOUS'!$M$2:$M$15000,'WH+RT PREVIOUS'!$B$2:$B$15000,"MOP",'WH+RT PREVIOUS'!$R$2:$R$15000,"214214",'WH+RT PREVIOUS'!$N$2:$N$15000,"&gt;365")</f>
        <v>0.55000000000000004</v>
      </c>
      <c r="J19" s="1">
        <f>SUMIFS('WH+RT PREVIOUS'!$M$2:$M$15000,'WH+RT PREVIOUS'!$B$2:$B$15000,"Imp DAP",'WH+RT PREVIOUS'!$R$2:$R$15000,"214214",'WH+RT PREVIOUS'!$N$2:$N$15000,"&gt;365")</f>
        <v>0</v>
      </c>
      <c r="K19" s="1">
        <f t="shared" ref="K19:K21" si="2">F19+G19+H19+I19+J19</f>
        <v>2.95</v>
      </c>
      <c r="L19" s="1">
        <f>SUMIFS('WH+RT CURRENT'!$M$2:$M$15000,'WH+RT CURRENT'!$B$2:$B$15000,"N.C.Urea(45kg)",'WH+RT CURRENT'!$R$2:$R$15000,"214214",'WH+RT CURRENT'!$N$2:$N$15000,"&gt;365")</f>
        <v>0.9</v>
      </c>
      <c r="M19" s="1">
        <f>SUMIFS('WH+RT CURRENT'!$M$2:$M$15000,'WH+RT CURRENT'!$B$2:$B$15000,"15-15-15",'WH+RT CURRENT'!$R$2:$R$15000,"214214",'WH+RT CURRENT'!$N$2:$N$15000,"&gt;365")</f>
        <v>1.5</v>
      </c>
      <c r="N19" s="1">
        <f>SUMIFS('WH+RT CURRENT'!$M$2:$M$15000,'WH+RT CURRENT'!$B$2:$B$15000,"Imp 10-26-26",'WH+RT CURRENT'!$R$2:$R$15000,"214214",'WH+RT CURRENT'!$N$2:$N$15000,"&gt;365")</f>
        <v>0</v>
      </c>
      <c r="O19" s="1">
        <f>SUMIFS('WH+RT CURRENT'!$M$2:$M$15000,'WH+RT CURRENT'!$B$2:$B$15000,"MOP",'WH+RT CURRENT'!$R$2:$R$15000,"214214",'WH+RT CURRENT'!$N$2:$N$15000,"&gt;365")</f>
        <v>0.55000000000000004</v>
      </c>
      <c r="P19" s="1">
        <f>SUMIFS('WH+RT CURRENT'!$M$2:$M$15000,'WH+RT CURRENT'!$B$2:$B$15000,"Imp DAP",'WH+RT CURRENT'!$R$2:$R$15000,"214214",'WH+RT CURRENT'!$N$2:$N$15000,"&gt;365")</f>
        <v>0</v>
      </c>
      <c r="Q19" s="1">
        <f t="shared" ref="Q19:Q21" si="3">L19+M19+N19+O19+P19</f>
        <v>2.95</v>
      </c>
    </row>
    <row r="20" spans="5:17" x14ac:dyDescent="0.25">
      <c r="E20" s="2" t="s">
        <v>7</v>
      </c>
      <c r="F20" s="1">
        <f>F18+F19</f>
        <v>0.9</v>
      </c>
      <c r="G20" s="1">
        <f>G18+G19</f>
        <v>1.5</v>
      </c>
      <c r="H20" s="1">
        <f>H18+H19</f>
        <v>0</v>
      </c>
      <c r="I20" s="1">
        <f>I18+I19</f>
        <v>0.55000000000000004</v>
      </c>
      <c r="J20" s="1">
        <f>J18+J19</f>
        <v>0</v>
      </c>
      <c r="K20" s="1">
        <f t="shared" si="2"/>
        <v>2.95</v>
      </c>
      <c r="L20" s="1">
        <f>L18+L19</f>
        <v>0.9</v>
      </c>
      <c r="M20" s="1">
        <f>M18+M19</f>
        <v>1.5</v>
      </c>
      <c r="N20" s="1">
        <f>N18+N19</f>
        <v>0</v>
      </c>
      <c r="O20" s="1">
        <f>O18+O19</f>
        <v>0.55000000000000004</v>
      </c>
      <c r="P20" s="1">
        <f>P18+P19</f>
        <v>0</v>
      </c>
      <c r="Q20" s="1">
        <f t="shared" si="3"/>
        <v>2.95</v>
      </c>
    </row>
    <row r="21" spans="5:17" x14ac:dyDescent="0.25">
      <c r="E21" s="2" t="s">
        <v>9</v>
      </c>
      <c r="F21" s="1">
        <f>SUMIFS('WH+RT PREVIOUS'!$M$2:$M$15000,'WH+RT PREVIOUS'!$B$2:$B$15000,"N.C.Urea(45kg)",'WH+RT PREVIOUS'!$R$2:$R$15000,"214214")</f>
        <v>10.844999999999999</v>
      </c>
      <c r="G21" s="1">
        <f>SUMIFS('WH+RT PREVIOUS'!$M$2:$M$15000,'WH+RT PREVIOUS'!$B$2:$B$15000,"15-15-15",'WH+RT PREVIOUS'!$R$2:$R$15000,"214214")</f>
        <v>3.85</v>
      </c>
      <c r="H21" s="1">
        <f>SUMIFS('WH+RT PREVIOUS'!$M$2:$M$15000,'WH+RT PREVIOUS'!$B$2:$B$15000,"Imp 10-26-26",'WH+RT PREVIOUS'!$R$2:$R$15000,"214214")</f>
        <v>0</v>
      </c>
      <c r="I21" s="1">
        <f>SUMIFS('WH+RT PREVIOUS'!$M$2:$M$15000,'WH+RT PREVIOUS'!$B$2:$B$15000,"MOP",'WH+RT PREVIOUS'!$R$2:$R$15000,"214214")</f>
        <v>0.55000000000000004</v>
      </c>
      <c r="J21" s="1">
        <f>SUMIFS('WH+RT PREVIOUS'!$M$2:$M$15000,'WH+RT PREVIOUS'!$B$2:$B$15000,"Imp DAP",'WH+RT PREVIOUS'!$R$2:$R$15000,"214214")</f>
        <v>0</v>
      </c>
      <c r="K21" s="1">
        <f t="shared" si="2"/>
        <v>15.244999999999999</v>
      </c>
      <c r="L21" s="1">
        <f>SUMIFS('WH+RT CURRENT'!$M$2:$M$15000,'WH+RT CURRENT'!$B$2:$B$15000,"N.C.Urea(45kg)",'WH+RT CURRENT'!$R$2:$R$15000,"214214")</f>
        <v>10.035</v>
      </c>
      <c r="M21" s="1">
        <f>SUMIFS('WH+RT CURRENT'!$M$2:$M$15000,'WH+RT CURRENT'!$B$2:$B$15000,"15-15-15",'WH+RT CURRENT'!$R$2:$R$15000,"214214")</f>
        <v>3.45</v>
      </c>
      <c r="N21" s="1">
        <f>SUMIFS('WH+RT CURRENT'!$M$2:$M$15000,'WH+RT CURRENT'!$B$2:$B$15000,"Imp 10-26-26",'WH+RT CURRENT'!$R$2:$R$15000,"214214")</f>
        <v>0</v>
      </c>
      <c r="O21" s="1">
        <f>SUMIFS('WH+RT CURRENT'!$M$2:$M$15000,'WH+RT CURRENT'!$B$2:$B$15000,"MOP",'WH+RT CURRENT'!$R$2:$R$15000,"214214")</f>
        <v>0.55000000000000004</v>
      </c>
      <c r="P21" s="1">
        <f>SUMIFS('WH+RT CURRENT'!$M$2:$M$15000,'WH+RT CURRENT'!$B$2:$B$15000,"Imp DAP",'WH+RT CURRENT'!$R$2:$R$15000,"214214")</f>
        <v>0</v>
      </c>
      <c r="Q21" s="1">
        <f t="shared" si="3"/>
        <v>14.035</v>
      </c>
    </row>
    <row r="24" spans="5:17" x14ac:dyDescent="0.25">
      <c r="E24" s="12" t="s">
        <v>3556</v>
      </c>
      <c r="F24" s="12"/>
      <c r="G24" s="12"/>
      <c r="H24" s="12"/>
      <c r="I24" s="12"/>
      <c r="J24" s="12"/>
      <c r="K24" s="12"/>
      <c r="L24" s="12"/>
      <c r="M24" s="12"/>
      <c r="N24" s="12"/>
      <c r="O24" s="12"/>
      <c r="P24" s="12"/>
      <c r="Q24" s="12"/>
    </row>
    <row r="25" spans="5:17" x14ac:dyDescent="0.25">
      <c r="E25" s="13"/>
      <c r="F25" s="15" t="s">
        <v>8147</v>
      </c>
      <c r="G25" s="15"/>
      <c r="H25" s="15"/>
      <c r="I25" s="15"/>
      <c r="J25" s="15"/>
      <c r="K25" s="15"/>
      <c r="L25" s="15" t="s">
        <v>8148</v>
      </c>
      <c r="M25" s="15"/>
      <c r="N25" s="15"/>
      <c r="O25" s="15"/>
      <c r="P25" s="15"/>
      <c r="Q25" s="15"/>
    </row>
    <row r="26" spans="5:17" x14ac:dyDescent="0.25">
      <c r="E26" s="14"/>
      <c r="F26" s="2" t="s">
        <v>0</v>
      </c>
      <c r="G26" s="2" t="s">
        <v>1</v>
      </c>
      <c r="H26" s="2" t="s">
        <v>2</v>
      </c>
      <c r="I26" s="2" t="s">
        <v>3</v>
      </c>
      <c r="J26" s="2" t="s">
        <v>8128</v>
      </c>
      <c r="K26" s="2" t="s">
        <v>4</v>
      </c>
      <c r="L26" s="2" t="s">
        <v>0</v>
      </c>
      <c r="M26" s="2" t="s">
        <v>1</v>
      </c>
      <c r="N26" s="2" t="s">
        <v>2</v>
      </c>
      <c r="O26" s="2" t="s">
        <v>3</v>
      </c>
      <c r="P26" s="2" t="s">
        <v>8128</v>
      </c>
      <c r="Q26" s="2" t="s">
        <v>4</v>
      </c>
    </row>
    <row r="27" spans="5:17" x14ac:dyDescent="0.25">
      <c r="E27" s="2" t="s">
        <v>5</v>
      </c>
      <c r="F27" s="1">
        <f>SUMIFS('WH+RT PREVIOUS'!$M$2:$M$15000,'WH+RT PREVIOUS'!$B$2:$B$15000,"N.C.Urea(45kg)",'WH+RT PREVIOUS'!$R$2:$R$15000,"272992",'WH+RT PREVIOUS'!$N$2:$N$15000,"&gt;179",'WH+RT PREVIOUS'!$N$2:$N$15000,"&lt;366")</f>
        <v>0</v>
      </c>
      <c r="G27" s="1">
        <f>SUMIFS('WH+RT PREVIOUS'!$M$2:$M$15000,'WH+RT PREVIOUS'!$B$2:$B$15000,"15-15-15",'WH+RT PREVIOUS'!$R$2:$R$15000,"272992",'WH+RT PREVIOUS'!$N$2:$N$15000,"&gt;179",'WH+RT PREVIOUS'!$N$2:$N$15000,"&lt;366")</f>
        <v>0</v>
      </c>
      <c r="H27" s="1">
        <f>SUMIFS('WH+RT PREVIOUS'!$M$2:$M$15000,'WH+RT PREVIOUS'!$B$2:$B$15000,"Imp 10-26-26",'WH+RT PREVIOUS'!$R$2:$R$15000,"272992",'WH+RT PREVIOUS'!$N$2:$N$15000,"&gt;179",'WH+RT PREVIOUS'!$N$2:$N$15000,"&lt;366")</f>
        <v>0</v>
      </c>
      <c r="I27" s="1">
        <f>SUMIFS('WH+RT PREVIOUS'!$M$2:$M$15000,'WH+RT PREVIOUS'!$B$2:$B$15000,"MOP",'WH+RT PREVIOUS'!$R$2:$R$15000,"272992",'WH+RT PREVIOUS'!$N$2:$N$15000,"&gt;179",'WH+RT PREVIOUS'!$N$2:$N$15000,"&lt;366")</f>
        <v>0</v>
      </c>
      <c r="J27" s="1">
        <f>SUMIFS('WH+RT PREVIOUS'!$M$2:$M$15000,'WH+RT PREVIOUS'!$B$2:$B$15000,"Imp DAP",'WH+RT PREVIOUS'!$R$2:$R$15000,"272992",'WH+RT PREVIOUS'!$N$2:$N$15000,"&gt;179",'WH+RT PREVIOUS'!$N$2:$N$15000,"&lt;366")</f>
        <v>0</v>
      </c>
      <c r="K27" s="1">
        <f>F27+G27+H27+I27+J27</f>
        <v>0</v>
      </c>
      <c r="L27" s="1">
        <f>SUMIFS('WH+RT CURRENT'!$M$2:$M$15000,'WH+RT CURRENT'!$B$2:$B$15000,"N.C.Urea(45kg)",'WH+RT CURRENT'!$R$2:$R$15000,"272992",'WH+RT CURRENT'!$N$2:$N$15000,"&gt;179",'WH+RT CURRENT'!$N$2:$N$15000,"&lt;366")</f>
        <v>0</v>
      </c>
      <c r="M27" s="1">
        <f>SUMIFS('WH+RT CURRENT'!$M$2:$M$15000,'WH+RT CURRENT'!$B$2:$B$15000,"15-15-15",'WH+RT CURRENT'!$R$2:$R$15000,"272992",'WH+RT CURRENT'!$N$2:$N$15000,"&gt;179",'WH+RT CURRENT'!$N$2:$N$15000,"&lt;366")</f>
        <v>0</v>
      </c>
      <c r="N27" s="1">
        <f>SUMIFS('WH+RT CURRENT'!$M$2:$M$15000,'WH+RT CURRENT'!$B$2:$B$15000,"Imp 10-26-26",'WH+RT CURRENT'!$R$2:$R$15000,"272992",'WH+RT CURRENT'!$N$2:$N$15000,"&gt;179",'WH+RT CURRENT'!$N$2:$N$15000,"&lt;366")</f>
        <v>0</v>
      </c>
      <c r="O27" s="1">
        <f>SUMIFS('WH+RT CURRENT'!$M$2:$M$15000,'WH+RT CURRENT'!$B$2:$B$15000,"MOP",'WH+RT CURRENT'!$R$2:$R$15000,"272992",'WH+RT CURRENT'!$N$2:$N$15000,"&gt;179",'WH+RT CURRENT'!$N$2:$N$15000,"&lt;366")</f>
        <v>0</v>
      </c>
      <c r="P27" s="1">
        <f>SUMIFS('WH+RT CURRENT'!$M$2:$M$15000,'WH+RT CURRENT'!$B$2:$B$15000,"Imp DAP",'WH+RT CURRENT'!$R$2:$R$15000,"272992",'WH+RT CURRENT'!$N$2:$N$15000,"&gt;179",'WH+RT CURRENT'!$N$2:$N$15000,"&lt;366")</f>
        <v>0</v>
      </c>
      <c r="Q27" s="1">
        <f>L27+M27+N27+O27+P27</f>
        <v>0</v>
      </c>
    </row>
    <row r="28" spans="5:17" x14ac:dyDescent="0.25">
      <c r="E28" s="2" t="s">
        <v>6</v>
      </c>
      <c r="F28" s="1">
        <f>SUMIFS('WH+RT PREVIOUS'!$M$2:$M$15000,'WH+RT PREVIOUS'!$B$2:$B$15000,"N.C.Urea(45kg)",'WH+RT PREVIOUS'!$R$2:$R$15000,"272992",'WH+RT PREVIOUS'!$N$2:$N$15000,"&gt;365")</f>
        <v>0.94500000000000006</v>
      </c>
      <c r="G28" s="1">
        <f>SUMIFS('WH+RT PREVIOUS'!$M$2:$M$15000,'WH+RT PREVIOUS'!$B$2:$B$15000,"15-15-15",'WH+RT PREVIOUS'!$R$2:$R$15000,"272992",'WH+RT PREVIOUS'!$N$2:$N$15000,"&gt;365")</f>
        <v>0.25</v>
      </c>
      <c r="H28" s="1">
        <f>SUMIFS('WH+RT PREVIOUS'!$M$2:$M$15000,'WH+RT PREVIOUS'!$B$2:$B$15000,"Imp 10-26-26",'WH+RT PREVIOUS'!$R$2:$R$15000,"272992",'WH+RT PREVIOUS'!$N$2:$N$15000,"&gt;365")</f>
        <v>0</v>
      </c>
      <c r="I28" s="1">
        <f>SUMIFS('WH+RT PREVIOUS'!$M$2:$M$15000,'WH+RT PREVIOUS'!$B$2:$B$15000,"MOP",'WH+RT PREVIOUS'!$R$2:$R$15000,"272992",'WH+RT PREVIOUS'!$N$2:$N$15000,"&gt;365")</f>
        <v>0</v>
      </c>
      <c r="J28" s="1">
        <f>SUMIFS('WH+RT PREVIOUS'!$M$2:$M$15000,'WH+RT PREVIOUS'!$B$2:$B$15000,"Imp DAP",'WH+RT PREVIOUS'!$R$2:$R$15000,"272992",'WH+RT PREVIOUS'!$N$2:$N$15000,"&gt;365")</f>
        <v>0</v>
      </c>
      <c r="K28" s="1">
        <f t="shared" ref="K28:K30" si="4">F28+G28+H28+I28+J28</f>
        <v>1.1950000000000001</v>
      </c>
      <c r="L28" s="1">
        <f>SUMIFS('WH+RT CURRENT'!$M$2:$M$15000,'WH+RT CURRENT'!$B$2:$B$15000,"N.C.Urea(45kg)",'WH+RT CURRENT'!$R$2:$R$15000,"272992",'WH+RT CURRENT'!$N$2:$N$15000,"&gt;365")</f>
        <v>0.94500000000000006</v>
      </c>
      <c r="M28" s="1">
        <f>SUMIFS('WH+RT CURRENT'!$M$2:$M$15000,'WH+RT CURRENT'!$B$2:$B$15000,"15-15-15",'WH+RT CURRENT'!$R$2:$R$15000,"272992",'WH+RT CURRENT'!$N$2:$N$15000,"&gt;365")</f>
        <v>0.25</v>
      </c>
      <c r="N28" s="1">
        <f>SUMIFS('WH+RT CURRENT'!$M$2:$M$15000,'WH+RT CURRENT'!$B$2:$B$15000,"Imp 10-26-26",'WH+RT CURRENT'!$R$2:$R$15000,"272992",'WH+RT CURRENT'!$N$2:$N$15000,"&gt;365")</f>
        <v>0</v>
      </c>
      <c r="O28" s="1">
        <f>SUMIFS('WH+RT CURRENT'!$M$2:$M$15000,'WH+RT CURRENT'!$B$2:$B$15000,"MOP",'WH+RT CURRENT'!$R$2:$R$15000,"272992",'WH+RT CURRENT'!$N$2:$N$15000,"&gt;365")</f>
        <v>0</v>
      </c>
      <c r="P28" s="1">
        <f>SUMIFS('WH+RT CURRENT'!$M$2:$M$15000,'WH+RT CURRENT'!$B$2:$B$15000,"Imp DAP",'WH+RT CURRENT'!$R$2:$R$15000,"272992",'WH+RT CURRENT'!$N$2:$N$15000,"&gt;365")</f>
        <v>0</v>
      </c>
      <c r="Q28" s="1">
        <f t="shared" ref="Q28:Q30" si="5">L28+M28+N28+O28+P28</f>
        <v>1.1950000000000001</v>
      </c>
    </row>
    <row r="29" spans="5:17" x14ac:dyDescent="0.25">
      <c r="E29" s="2" t="s">
        <v>7</v>
      </c>
      <c r="F29" s="1">
        <f>F27+F28</f>
        <v>0.94500000000000006</v>
      </c>
      <c r="G29" s="1">
        <f>G27+G28</f>
        <v>0.25</v>
      </c>
      <c r="H29" s="1">
        <f>H27+H28</f>
        <v>0</v>
      </c>
      <c r="I29" s="1">
        <f>I27+I28</f>
        <v>0</v>
      </c>
      <c r="J29" s="1">
        <f>J27+J28</f>
        <v>0</v>
      </c>
      <c r="K29" s="1">
        <f t="shared" si="4"/>
        <v>1.1950000000000001</v>
      </c>
      <c r="L29" s="1">
        <f>L27+L28</f>
        <v>0.94500000000000006</v>
      </c>
      <c r="M29" s="1">
        <f>M27+M28</f>
        <v>0.25</v>
      </c>
      <c r="N29" s="1">
        <f>N27+N28</f>
        <v>0</v>
      </c>
      <c r="O29" s="1">
        <f>O27+O28</f>
        <v>0</v>
      </c>
      <c r="P29" s="1">
        <f>P27+P28</f>
        <v>0</v>
      </c>
      <c r="Q29" s="1">
        <f t="shared" si="5"/>
        <v>1.1950000000000001</v>
      </c>
    </row>
    <row r="30" spans="5:17" x14ac:dyDescent="0.25">
      <c r="E30" s="2" t="s">
        <v>9</v>
      </c>
      <c r="F30" s="1">
        <f>SUMIFS('WH+RT PREVIOUS'!$M$2:$M$15000,'WH+RT PREVIOUS'!$B$2:$B$15000,"N.C.Urea(45kg)",'WH+RT PREVIOUS'!$R$2:$R$15000,"272992")</f>
        <v>6.0750000000000002</v>
      </c>
      <c r="G30" s="1">
        <f>SUMIFS('WH+RT PREVIOUS'!$M$2:$M$15000,'WH+RT PREVIOUS'!$B$2:$B$15000,"15-15-15",'WH+RT PREVIOUS'!$R$2:$R$15000,"272992")</f>
        <v>0.25</v>
      </c>
      <c r="H30" s="1">
        <f>SUMIFS('WH+RT PREVIOUS'!$M$2:$M$15000,'WH+RT PREVIOUS'!$B$2:$B$15000,"Imp 10-26-26",'WH+RT PREVIOUS'!$R$2:$R$15000,"272992")</f>
        <v>0</v>
      </c>
      <c r="I30" s="1">
        <f>SUMIFS('WH+RT PREVIOUS'!$M$2:$M$15000,'WH+RT PREVIOUS'!$B$2:$B$15000,"MOP",'WH+RT PREVIOUS'!$R$2:$R$15000,"272992")</f>
        <v>0</v>
      </c>
      <c r="J30" s="1">
        <f>SUMIFS('WH+RT PREVIOUS'!$M$2:$M$15000,'WH+RT PREVIOUS'!$B$2:$B$15000,"Imp DAP",'WH+RT PREVIOUS'!$R$2:$R$15000,"272992")</f>
        <v>0</v>
      </c>
      <c r="K30" s="1">
        <f t="shared" si="4"/>
        <v>6.3250000000000002</v>
      </c>
      <c r="L30" s="1">
        <f>SUMIFS('WH+RT CURRENT'!$M$2:$M$15000,'WH+RT CURRENT'!$B$2:$B$15000,"N.C.Urea(45kg)",'WH+RT CURRENT'!$R$2:$R$15000,"272992")</f>
        <v>6.0750000000000002</v>
      </c>
      <c r="M30" s="1">
        <f>SUMIFS('WH+RT CURRENT'!$M$2:$M$15000,'WH+RT CURRENT'!$B$2:$B$15000,"15-15-15",'WH+RT CURRENT'!$R$2:$R$15000,"272992")</f>
        <v>0.25</v>
      </c>
      <c r="N30" s="1">
        <f>SUMIFS('WH+RT CURRENT'!$M$2:$M$15000,'WH+RT CURRENT'!$B$2:$B$15000,"Imp 10-26-26",'WH+RT CURRENT'!$R$2:$R$15000,"272992")</f>
        <v>0</v>
      </c>
      <c r="O30" s="1">
        <f>SUMIFS('WH+RT CURRENT'!$M$2:$M$15000,'WH+RT CURRENT'!$B$2:$B$15000,"MOP",'WH+RT CURRENT'!$R$2:$R$15000,"272992")</f>
        <v>0</v>
      </c>
      <c r="P30" s="1">
        <f>SUMIFS('WH+RT CURRENT'!$M$2:$M$15000,'WH+RT CURRENT'!$B$2:$B$15000,"Imp DAP",'WH+RT CURRENT'!$R$2:$R$15000,"272992")</f>
        <v>0</v>
      </c>
      <c r="Q30" s="1">
        <f t="shared" si="5"/>
        <v>6.3250000000000002</v>
      </c>
    </row>
    <row r="33" spans="5:17" x14ac:dyDescent="0.25">
      <c r="E33" s="12" t="s">
        <v>325</v>
      </c>
      <c r="F33" s="12"/>
      <c r="G33" s="12"/>
      <c r="H33" s="12"/>
      <c r="I33" s="12"/>
      <c r="J33" s="12"/>
      <c r="K33" s="12"/>
      <c r="L33" s="12"/>
      <c r="M33" s="12"/>
      <c r="N33" s="12"/>
      <c r="O33" s="12"/>
      <c r="P33" s="12"/>
      <c r="Q33" s="12"/>
    </row>
    <row r="34" spans="5:17" x14ac:dyDescent="0.25">
      <c r="E34" s="13"/>
      <c r="F34" s="15" t="s">
        <v>8147</v>
      </c>
      <c r="G34" s="15"/>
      <c r="H34" s="15"/>
      <c r="I34" s="15"/>
      <c r="J34" s="15"/>
      <c r="K34" s="15"/>
      <c r="L34" s="15" t="s">
        <v>8148</v>
      </c>
      <c r="M34" s="15"/>
      <c r="N34" s="15"/>
      <c r="O34" s="15"/>
      <c r="P34" s="15"/>
      <c r="Q34" s="15"/>
    </row>
    <row r="35" spans="5:17" x14ac:dyDescent="0.25">
      <c r="E35" s="14"/>
      <c r="F35" s="2" t="s">
        <v>0</v>
      </c>
      <c r="G35" s="2" t="s">
        <v>1</v>
      </c>
      <c r="H35" s="2" t="s">
        <v>2</v>
      </c>
      <c r="I35" s="2" t="s">
        <v>3</v>
      </c>
      <c r="J35" s="2" t="s">
        <v>8128</v>
      </c>
      <c r="K35" s="2" t="s">
        <v>4</v>
      </c>
      <c r="L35" s="2" t="s">
        <v>0</v>
      </c>
      <c r="M35" s="2" t="s">
        <v>1</v>
      </c>
      <c r="N35" s="2" t="s">
        <v>2</v>
      </c>
      <c r="O35" s="2" t="s">
        <v>3</v>
      </c>
      <c r="P35" s="2" t="s">
        <v>8128</v>
      </c>
      <c r="Q35" s="2" t="s">
        <v>4</v>
      </c>
    </row>
    <row r="36" spans="5:17" x14ac:dyDescent="0.25">
      <c r="E36" s="2" t="s">
        <v>5</v>
      </c>
      <c r="F36" s="1">
        <f>SUMIFS('WH+RT PREVIOUS'!$M$2:$M$15000,'WH+RT PREVIOUS'!$B$2:$B$15000,"N.C.Urea(45kg)",'WH+RT PREVIOUS'!$R$2:$R$15000,"260048",'WH+RT PREVIOUS'!$N$2:$N$15000,"&gt;179",'WH+RT PREVIOUS'!$N$2:$N$15000,"&lt;366")</f>
        <v>0.54</v>
      </c>
      <c r="G36" s="1">
        <f>SUMIFS('WH+RT PREVIOUS'!$M$2:$M$15000,'WH+RT PREVIOUS'!$B$2:$B$15000,"15-15-15",'WH+RT PREVIOUS'!$R$2:$R$15000,"260048",'WH+RT PREVIOUS'!$N$2:$N$15000,"&gt;179",'WH+RT PREVIOUS'!$N$2:$N$15000,"&lt;366")</f>
        <v>2.2999999999999998</v>
      </c>
      <c r="H36" s="1">
        <f>SUMIFS('WH+RT PREVIOUS'!$M$2:$M$15000,'WH+RT PREVIOUS'!$B$2:$B$15000,"Imp 10-26-26",'WH+RT PREVIOUS'!$R$2:$R$15000,"260048",'WH+RT PREVIOUS'!$N$2:$N$15000,"&gt;179",'WH+RT PREVIOUS'!$N$2:$N$15000,"&lt;366")</f>
        <v>0</v>
      </c>
      <c r="I36" s="1">
        <f>SUMIFS('WH+RT PREVIOUS'!$M$2:$M$15000,'WH+RT PREVIOUS'!$B$2:$B$15000,"MOP",'WH+RT PREVIOUS'!$R$2:$R$15000,"260048",'WH+RT PREVIOUS'!$N$2:$N$15000,"&gt;179",'WH+RT PREVIOUS'!$N$2:$N$15000,"&lt;366")</f>
        <v>0</v>
      </c>
      <c r="J36" s="1">
        <f>SUMIFS('WH+RT PREVIOUS'!$M$2:$M$15000,'WH+RT PREVIOUS'!$B$2:$B$15000,"Imp DAP",'WH+RT PREVIOUS'!$R$2:$R$15000,"260048",'WH+RT PREVIOUS'!$N$2:$N$15000,"&gt;179",'WH+RT PREVIOUS'!$N$2:$N$15000,"&lt;366")</f>
        <v>0</v>
      </c>
      <c r="K36" s="1">
        <f>F36+G36+H36+I36+J36</f>
        <v>2.84</v>
      </c>
      <c r="L36" s="1">
        <f>SUMIFS('WH+RT CURRENT'!$M$2:$M$15000,'WH+RT CURRENT'!$B$2:$B$15000,"N.C.Urea(45kg)",'WH+RT CURRENT'!$R$2:$R$15000,"260048",'WH+RT CURRENT'!$N$2:$N$15000,"&gt;179",'WH+RT CURRENT'!$N$2:$N$15000,"&lt;366")</f>
        <v>0.54</v>
      </c>
      <c r="M36" s="1">
        <f>SUMIFS('WH+RT CURRENT'!$M$2:$M$15000,'WH+RT CURRENT'!$B$2:$B$15000,"15-15-15",'WH+RT CURRENT'!$R$2:$R$15000,"260048",'WH+RT CURRENT'!$N$2:$N$15000,"&gt;179",'WH+RT CURRENT'!$N$2:$N$15000,"&lt;366")</f>
        <v>2.2999999999999998</v>
      </c>
      <c r="N36" s="1">
        <f>SUMIFS('WH+RT CURRENT'!$M$2:$M$15000,'WH+RT CURRENT'!$B$2:$B$15000,"Imp 10-26-26",'WH+RT CURRENT'!$R$2:$R$15000,"260048",'WH+RT CURRENT'!$N$2:$N$15000,"&gt;179",'WH+RT CURRENT'!$N$2:$N$15000,"&lt;366")</f>
        <v>0</v>
      </c>
      <c r="O36" s="1">
        <f>SUMIFS('WH+RT CURRENT'!$M$2:$M$15000,'WH+RT CURRENT'!$B$2:$B$15000,"MOP",'WH+RT CURRENT'!$R$2:$R$15000,"260048",'WH+RT CURRENT'!$N$2:$N$15000,"&gt;179",'WH+RT CURRENT'!$N$2:$N$15000,"&lt;366")</f>
        <v>0</v>
      </c>
      <c r="P36" s="1">
        <f>SUMIFS('WH+RT CURRENT'!$M$2:$M$15000,'WH+RT CURRENT'!$B$2:$B$15000,"Imp DAP",'WH+RT CURRENT'!$R$2:$R$15000,"260048",'WH+RT CURRENT'!$N$2:$N$15000,"&gt;179",'WH+RT CURRENT'!$N$2:$N$15000,"&lt;366")</f>
        <v>0</v>
      </c>
      <c r="Q36" s="1">
        <f>L36+M36+N36+O36+P36</f>
        <v>2.84</v>
      </c>
    </row>
    <row r="37" spans="5:17" x14ac:dyDescent="0.25">
      <c r="E37" s="2" t="s">
        <v>6</v>
      </c>
      <c r="F37" s="1">
        <f>SUMIFS('WH+RT PREVIOUS'!$M$2:$M$15000,'WH+RT PREVIOUS'!$B$2:$B$15000,"N.C.Urea(45kg)",'WH+RT PREVIOUS'!$R$2:$R$15000,"260048",'WH+RT PREVIOUS'!$N$2:$N$15000,"&gt;365")</f>
        <v>0.02</v>
      </c>
      <c r="G37" s="1">
        <f>SUMIFS('WH+RT PREVIOUS'!$M$2:$M$15000,'WH+RT PREVIOUS'!$B$2:$B$15000,"15-15-15",'WH+RT PREVIOUS'!$R$2:$R$15000,"260048",'WH+RT PREVIOUS'!$N$2:$N$15000,"&gt;365")</f>
        <v>1.3440000000000001</v>
      </c>
      <c r="H37" s="1">
        <f>SUMIFS('WH+RT PREVIOUS'!$M$2:$M$15000,'WH+RT PREVIOUS'!$B$2:$B$15000,"Imp 10-26-26",'WH+RT PREVIOUS'!$R$2:$R$15000,"260048",'WH+RT PREVIOUS'!$N$2:$N$15000,"&gt;365")</f>
        <v>0</v>
      </c>
      <c r="I37" s="1">
        <f>SUMIFS('WH+RT PREVIOUS'!$M$2:$M$15000,'WH+RT PREVIOUS'!$B$2:$B$15000,"MOP",'WH+RT PREVIOUS'!$R$2:$R$15000,"260048",'WH+RT PREVIOUS'!$N$2:$N$15000,"&gt;365")</f>
        <v>0.35</v>
      </c>
      <c r="J37" s="1">
        <f>SUMIFS('WH+RT PREVIOUS'!$M$2:$M$15000,'WH+RT PREVIOUS'!$B$2:$B$15000,"Imp DAP",'WH+RT PREVIOUS'!$R$2:$R$15000,"260048",'WH+RT PREVIOUS'!$N$2:$N$15000,"&gt;365")</f>
        <v>0</v>
      </c>
      <c r="K37" s="1">
        <f t="shared" ref="K37:K39" si="6">F37+G37+H37+I37+J37</f>
        <v>1.714</v>
      </c>
      <c r="L37" s="1">
        <f>SUMIFS('WH+RT CURRENT'!$M$2:$M$15000,'WH+RT CURRENT'!$B$2:$B$15000,"N.C.Urea(45kg)",'WH+RT CURRENT'!$R$2:$R$15000,"260048",'WH+RT CURRENT'!$N$2:$N$15000,"&gt;365")</f>
        <v>0.02</v>
      </c>
      <c r="M37" s="1">
        <f>SUMIFS('WH+RT CURRENT'!$M$2:$M$15000,'WH+RT CURRENT'!$B$2:$B$15000,"15-15-15",'WH+RT CURRENT'!$R$2:$R$15000,"260048",'WH+RT CURRENT'!$N$2:$N$15000,"&gt;365")</f>
        <v>1.3440000000000001</v>
      </c>
      <c r="N37" s="1">
        <f>SUMIFS('WH+RT CURRENT'!$M$2:$M$15000,'WH+RT CURRENT'!$B$2:$B$15000,"Imp 10-26-26",'WH+RT CURRENT'!$R$2:$R$15000,"260048",'WH+RT CURRENT'!$N$2:$N$15000,"&gt;365")</f>
        <v>0</v>
      </c>
      <c r="O37" s="1">
        <f>SUMIFS('WH+RT CURRENT'!$M$2:$M$15000,'WH+RT CURRENT'!$B$2:$B$15000,"MOP",'WH+RT CURRENT'!$R$2:$R$15000,"260048",'WH+RT CURRENT'!$N$2:$N$15000,"&gt;365")</f>
        <v>0.35</v>
      </c>
      <c r="P37" s="1">
        <f>SUMIFS('WH+RT CURRENT'!$M$2:$M$15000,'WH+RT CURRENT'!$B$2:$B$15000,"Imp DAP",'WH+RT CURRENT'!$R$2:$R$15000,"260048",'WH+RT CURRENT'!$N$2:$N$15000,"&gt;365")</f>
        <v>0</v>
      </c>
      <c r="Q37" s="1">
        <f t="shared" ref="Q37:Q39" si="7">L37+M37+N37+O37+P37</f>
        <v>1.714</v>
      </c>
    </row>
    <row r="38" spans="5:17" x14ac:dyDescent="0.25">
      <c r="E38" s="2" t="s">
        <v>7</v>
      </c>
      <c r="F38" s="1">
        <f>F36+F37</f>
        <v>0.56000000000000005</v>
      </c>
      <c r="G38" s="1">
        <f>G36+G37</f>
        <v>3.6440000000000001</v>
      </c>
      <c r="H38" s="1">
        <f>H36+H37</f>
        <v>0</v>
      </c>
      <c r="I38" s="1">
        <f>I36+I37</f>
        <v>0.35</v>
      </c>
      <c r="J38" s="1">
        <f>J36+J37</f>
        <v>0</v>
      </c>
      <c r="K38" s="1">
        <f t="shared" si="6"/>
        <v>4.5540000000000003</v>
      </c>
      <c r="L38" s="1">
        <f>L36+L37</f>
        <v>0.56000000000000005</v>
      </c>
      <c r="M38" s="1">
        <f>M36+M37</f>
        <v>3.6440000000000001</v>
      </c>
      <c r="N38" s="1">
        <f>N36+N37</f>
        <v>0</v>
      </c>
      <c r="O38" s="1">
        <f>O36+O37</f>
        <v>0.35</v>
      </c>
      <c r="P38" s="1">
        <f>P36+P37</f>
        <v>0</v>
      </c>
      <c r="Q38" s="1">
        <f t="shared" si="7"/>
        <v>4.5540000000000003</v>
      </c>
    </row>
    <row r="39" spans="5:17" x14ac:dyDescent="0.25">
      <c r="E39" s="2" t="s">
        <v>9</v>
      </c>
      <c r="F39" s="1">
        <f>SUMIFS('WH+RT PREVIOUS'!$M$2:$M$15000,'WH+RT PREVIOUS'!$B$2:$B$15000,"N.C.Urea(45kg)",'WH+RT PREVIOUS'!$R$2:$R$15000,"260048")</f>
        <v>145.41500000000005</v>
      </c>
      <c r="G39" s="1">
        <f>SUMIFS('WH+RT PREVIOUS'!$M$2:$M$15000,'WH+RT PREVIOUS'!$B$2:$B$15000,"15-15-15",'WH+RT PREVIOUS'!$R$2:$R$15000,"260048")</f>
        <v>51.694000000000017</v>
      </c>
      <c r="H39" s="1">
        <f>SUMIFS('WH+RT PREVIOUS'!$M$2:$M$15000,'WH+RT PREVIOUS'!$B$2:$B$15000,"Imp 10-26-26",'WH+RT PREVIOUS'!$R$2:$R$15000,"260048")</f>
        <v>0</v>
      </c>
      <c r="I39" s="1">
        <f>SUMIFS('WH+RT PREVIOUS'!$M$2:$M$15000,'WH+RT PREVIOUS'!$B$2:$B$15000,"MOP",'WH+RT PREVIOUS'!$R$2:$R$15000,"260048")</f>
        <v>0.35</v>
      </c>
      <c r="J39" s="1">
        <f>SUMIFS('WH+RT PREVIOUS'!$M$2:$M$15000,'WH+RT PREVIOUS'!$B$2:$B$15000,"Imp DAP",'WH+RT PREVIOUS'!$R$2:$R$15000,"260048")</f>
        <v>0</v>
      </c>
      <c r="K39" s="1">
        <f t="shared" si="6"/>
        <v>197.45900000000006</v>
      </c>
      <c r="L39" s="1">
        <f>SUMIFS('WH+RT CURRENT'!$M$2:$M$15000,'WH+RT CURRENT'!$B$2:$B$15000,"N.C.Urea(45kg)",'WH+RT CURRENT'!$R$2:$R$15000,"260048")</f>
        <v>145.37</v>
      </c>
      <c r="M39" s="1">
        <f>SUMIFS('WH+RT CURRENT'!$M$2:$M$15000,'WH+RT CURRENT'!$B$2:$B$15000,"15-15-15",'WH+RT CURRENT'!$R$2:$R$15000,"260048")</f>
        <v>52.844000000000008</v>
      </c>
      <c r="N39" s="1">
        <f>SUMIFS('WH+RT CURRENT'!$M$2:$M$15000,'WH+RT CURRENT'!$B$2:$B$15000,"Imp 10-26-26",'WH+RT CURRENT'!$R$2:$R$15000,"260048")</f>
        <v>0</v>
      </c>
      <c r="O39" s="1">
        <f>SUMIFS('WH+RT CURRENT'!$M$2:$M$15000,'WH+RT CURRENT'!$B$2:$B$15000,"MOP",'WH+RT CURRENT'!$R$2:$R$15000,"260048")</f>
        <v>0.35</v>
      </c>
      <c r="P39" s="1">
        <f>SUMIFS('WH+RT CURRENT'!$M$2:$M$15000,'WH+RT CURRENT'!$B$2:$B$15000,"Imp DAP",'WH+RT CURRENT'!$R$2:$R$15000,"260048")</f>
        <v>0</v>
      </c>
      <c r="Q39" s="1">
        <f t="shared" si="7"/>
        <v>198.56399999999999</v>
      </c>
    </row>
  </sheetData>
  <mergeCells count="17">
    <mergeCell ref="E25:E26"/>
    <mergeCell ref="F25:K25"/>
    <mergeCell ref="L25:Q25"/>
    <mergeCell ref="E33:Q33"/>
    <mergeCell ref="E34:E35"/>
    <mergeCell ref="F34:K34"/>
    <mergeCell ref="L34:Q34"/>
    <mergeCell ref="E15:Q15"/>
    <mergeCell ref="E16:E17"/>
    <mergeCell ref="F16:K16"/>
    <mergeCell ref="L16:Q16"/>
    <mergeCell ref="E24:Q24"/>
    <mergeCell ref="E1:Q3"/>
    <mergeCell ref="E6:Q6"/>
    <mergeCell ref="E7:E8"/>
    <mergeCell ref="F7:K7"/>
    <mergeCell ref="L7:Q7"/>
  </mergeCells>
  <pageMargins left="0.7" right="0.7" top="0.75" bottom="0.75" header="0.3" footer="0.3"/>
  <pageSetup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C2F3-C21F-45FE-B988-5BC7ED2EFAF2}">
  <dimension ref="E1:Q48"/>
  <sheetViews>
    <sheetView workbookViewId="0"/>
  </sheetViews>
  <sheetFormatPr defaultRowHeight="15" x14ac:dyDescent="0.25"/>
  <cols>
    <col min="1" max="4" width="10.7109375" customWidth="1"/>
    <col min="5" max="5" width="13.7109375" bestFit="1" customWidth="1"/>
  </cols>
  <sheetData>
    <row r="1" spans="5:17" x14ac:dyDescent="0.25">
      <c r="E1" s="16" t="s">
        <v>8134</v>
      </c>
      <c r="F1" s="17"/>
      <c r="G1" s="17"/>
      <c r="H1" s="17"/>
      <c r="I1" s="17"/>
      <c r="J1" s="17"/>
      <c r="K1" s="17"/>
      <c r="L1" s="17"/>
      <c r="M1" s="17"/>
      <c r="N1" s="17"/>
      <c r="O1" s="17"/>
      <c r="P1" s="17"/>
      <c r="Q1" s="17"/>
    </row>
    <row r="2" spans="5:17" x14ac:dyDescent="0.25">
      <c r="E2" s="17"/>
      <c r="F2" s="17"/>
      <c r="G2" s="17"/>
      <c r="H2" s="17"/>
      <c r="I2" s="17"/>
      <c r="J2" s="17"/>
      <c r="K2" s="17"/>
      <c r="L2" s="17"/>
      <c r="M2" s="17"/>
      <c r="N2" s="17"/>
      <c r="O2" s="17"/>
      <c r="P2" s="17"/>
      <c r="Q2" s="17"/>
    </row>
    <row r="3" spans="5:17" x14ac:dyDescent="0.25">
      <c r="E3" s="17"/>
      <c r="F3" s="17"/>
      <c r="G3" s="17"/>
      <c r="H3" s="17"/>
      <c r="I3" s="17"/>
      <c r="J3" s="17"/>
      <c r="K3" s="17"/>
      <c r="L3" s="17"/>
      <c r="M3" s="17"/>
      <c r="N3" s="17"/>
      <c r="O3" s="17"/>
      <c r="P3" s="17"/>
      <c r="Q3" s="17"/>
    </row>
    <row r="6" spans="5:17" x14ac:dyDescent="0.25">
      <c r="E6" s="12" t="s">
        <v>593</v>
      </c>
      <c r="F6" s="12"/>
      <c r="G6" s="12"/>
      <c r="H6" s="12"/>
      <c r="I6" s="12"/>
      <c r="J6" s="12"/>
      <c r="K6" s="12"/>
      <c r="L6" s="12"/>
      <c r="M6" s="12"/>
      <c r="N6" s="12"/>
      <c r="O6" s="12"/>
      <c r="P6" s="12"/>
      <c r="Q6" s="12"/>
    </row>
    <row r="7" spans="5:17" x14ac:dyDescent="0.25">
      <c r="E7" s="13"/>
      <c r="F7" s="15" t="s">
        <v>8147</v>
      </c>
      <c r="G7" s="15"/>
      <c r="H7" s="15"/>
      <c r="I7" s="15"/>
      <c r="J7" s="15"/>
      <c r="K7" s="15"/>
      <c r="L7" s="15" t="s">
        <v>8148</v>
      </c>
      <c r="M7" s="15"/>
      <c r="N7" s="15"/>
      <c r="O7" s="15"/>
      <c r="P7" s="15"/>
      <c r="Q7" s="15"/>
    </row>
    <row r="8" spans="5:17" x14ac:dyDescent="0.25">
      <c r="E8" s="14"/>
      <c r="F8" s="2" t="s">
        <v>0</v>
      </c>
      <c r="G8" s="2" t="s">
        <v>1</v>
      </c>
      <c r="H8" s="2" t="s">
        <v>2</v>
      </c>
      <c r="I8" s="2" t="s">
        <v>3</v>
      </c>
      <c r="J8" s="2" t="s">
        <v>8128</v>
      </c>
      <c r="K8" s="2" t="s">
        <v>4</v>
      </c>
      <c r="L8" s="2" t="s">
        <v>0</v>
      </c>
      <c r="M8" s="2" t="s">
        <v>1</v>
      </c>
      <c r="N8" s="2" t="s">
        <v>2</v>
      </c>
      <c r="O8" s="2" t="s">
        <v>3</v>
      </c>
      <c r="P8" s="2" t="s">
        <v>8128</v>
      </c>
      <c r="Q8" s="2" t="s">
        <v>4</v>
      </c>
    </row>
    <row r="9" spans="5:17" x14ac:dyDescent="0.25">
      <c r="E9" s="2" t="s">
        <v>5</v>
      </c>
      <c r="F9" s="1">
        <f>SUMIFS('WH+RT PREVIOUS'!$M$2:$M$15000,'WH+RT PREVIOUS'!$B$2:$B$15000,"N.C.Urea(45kg)",'WH+RT PREVIOUS'!$R$2:$R$15000,"385753",'WH+RT PREVIOUS'!$N$2:$N$15000,"&gt;179",'WH+RT PREVIOUS'!$N$2:$N$15000,"&lt;366")</f>
        <v>0</v>
      </c>
      <c r="G9" s="1">
        <f>SUMIFS('WH+RT PREVIOUS'!$M$2:$M$15000,'WH+RT PREVIOUS'!$B$2:$B$15000,"15-15-15",'WH+RT PREVIOUS'!$R$2:$R$15000,"385753",'WH+RT PREVIOUS'!$N$2:$N$15000,"&gt;179",'WH+RT PREVIOUS'!$N$2:$N$15000,"&lt;366")</f>
        <v>0</v>
      </c>
      <c r="H9" s="1">
        <f>SUMIFS('WH+RT PREVIOUS'!$M$2:$M$15000,'WH+RT PREVIOUS'!$B$2:$B$15000,"Imp 10-26-26",'WH+RT PREVIOUS'!$R$2:$R$15000,"385753",'WH+RT PREVIOUS'!$N$2:$N$15000,"&gt;179",'WH+RT PREVIOUS'!$N$2:$N$15000,"&lt;366")</f>
        <v>0</v>
      </c>
      <c r="I9" s="1">
        <f>SUMIFS('WH+RT PREVIOUS'!$M$2:$M$15000,'WH+RT PREVIOUS'!$B$2:$B$15000,"MOP",'WH+RT PREVIOUS'!$R$2:$R$15000,"385753",'WH+RT PREVIOUS'!$N$2:$N$15000,"&gt;179",'WH+RT PREVIOUS'!$N$2:$N$15000,"&lt;366")</f>
        <v>0</v>
      </c>
      <c r="J9" s="1">
        <f>SUMIFS('WH+RT PREVIOUS'!$M$2:$M$15000,'WH+RT PREVIOUS'!$B$2:$B$15000,"Imp DAP",'WH+RT PREVIOUS'!$R$2:$R$15000,"385753",'WH+RT PREVIOUS'!$N$2:$N$15000,"&gt;179",'WH+RT PREVIOUS'!$N$2:$N$15000,"&lt;366")</f>
        <v>0</v>
      </c>
      <c r="K9" s="1">
        <f>F9+G9+H9+I9+J9</f>
        <v>0</v>
      </c>
      <c r="L9" s="1">
        <f>SUMIFS('WH+RT CURRENT'!$M$2:$M$15000,'WH+RT CURRENT'!$B$2:$B$15000,"N.C.Urea(45kg)",'WH+RT CURRENT'!$R$2:$R$15000,"385753",'WH+RT CURRENT'!$N$2:$N$15000,"&gt;179",'WH+RT CURRENT'!$N$2:$N$15000,"&lt;366")</f>
        <v>0</v>
      </c>
      <c r="M9" s="1">
        <f>SUMIFS('WH+RT CURRENT'!$M$2:$M$15000,'WH+RT CURRENT'!$B$2:$B$15000,"15-15-15",'WH+RT CURRENT'!$R$2:$R$15000,"385753",'WH+RT CURRENT'!$N$2:$N$15000,"&gt;179",'WH+RT CURRENT'!$N$2:$N$15000,"&lt;366")</f>
        <v>0</v>
      </c>
      <c r="N9" s="1">
        <f>SUMIFS('WH+RT CURRENT'!$M$2:$M$15000,'WH+RT CURRENT'!$B$2:$B$15000,"Imp 10-26-26",'WH+RT CURRENT'!$R$2:$R$15000,"385753",'WH+RT CURRENT'!$N$2:$N$15000,"&gt;179",'WH+RT CURRENT'!$N$2:$N$15000,"&lt;366")</f>
        <v>0</v>
      </c>
      <c r="O9" s="1">
        <f>SUMIFS('WH+RT CURRENT'!$M$2:$M$15000,'WH+RT CURRENT'!$B$2:$B$15000,"MOP",'WH+RT CURRENT'!$R$2:$R$15000,"385753",'WH+RT CURRENT'!$N$2:$N$15000,"&gt;179",'WH+RT CURRENT'!$N$2:$N$15000,"&lt;366")</f>
        <v>0</v>
      </c>
      <c r="P9" s="1">
        <f>SUMIFS('WH+RT CURRENT'!$M$2:$M$15000,'WH+RT CURRENT'!$B$2:$B$15000,"Imp DAP",'WH+RT CURRENT'!$R$2:$R$15000,"385753",'WH+RT CURRENT'!$N$2:$N$15000,"&gt;179",'WH+RT CURRENT'!$N$2:$N$15000,"&lt;366")</f>
        <v>0</v>
      </c>
      <c r="Q9" s="1">
        <f>L9+M9+N9+O9+P9</f>
        <v>0</v>
      </c>
    </row>
    <row r="10" spans="5:17" x14ac:dyDescent="0.25">
      <c r="E10" s="2" t="s">
        <v>6</v>
      </c>
      <c r="F10" s="1">
        <f>SUMIFS('WH+RT PREVIOUS'!$M$2:$M$15000,'WH+RT PREVIOUS'!$B$2:$B$15000,"N.C.Urea(45kg)",'WH+RT PREVIOUS'!$R$2:$R$15000,"385753",'WH+RT PREVIOUS'!$N$2:$N$15000,"&gt;365")</f>
        <v>0</v>
      </c>
      <c r="G10" s="1">
        <f>SUMIFS('WH+RT PREVIOUS'!$M$2:$M$15000,'WH+RT PREVIOUS'!$B$2:$B$15000,"15-15-15",'WH+RT PREVIOUS'!$R$2:$R$15000,"385753",'WH+RT PREVIOUS'!$N$2:$N$15000,"&gt;365")</f>
        <v>0</v>
      </c>
      <c r="H10" s="1">
        <f>SUMIFS('WH+RT PREVIOUS'!$M$2:$M$15000,'WH+RT PREVIOUS'!$B$2:$B$15000,"Imp 10-26-26",'WH+RT PREVIOUS'!$R$2:$R$15000,"385753",'WH+RT PREVIOUS'!$N$2:$N$15000,"&gt;365")</f>
        <v>0</v>
      </c>
      <c r="I10" s="1">
        <f>SUMIFS('WH+RT PREVIOUS'!$M$2:$M$15000,'WH+RT PREVIOUS'!$B$2:$B$15000,"MOP",'WH+RT PREVIOUS'!$R$2:$R$15000,"385753",'WH+RT PREVIOUS'!$N$2:$N$15000,"&gt;365")</f>
        <v>0</v>
      </c>
      <c r="J10" s="1">
        <f>SUMIFS('WH+RT PREVIOUS'!$M$2:$M$15000,'WH+RT PREVIOUS'!$B$2:$B$15000,"Imp DAP",'WH+RT PREVIOUS'!$R$2:$R$15000,"385753",'WH+RT PREVIOUS'!$N$2:$N$15000,"&gt;365")</f>
        <v>0</v>
      </c>
      <c r="K10" s="1">
        <f t="shared" ref="K10:K12" si="0">F10+G10+H10+I10+J10</f>
        <v>0</v>
      </c>
      <c r="L10" s="1">
        <f>SUMIFS('WH+RT CURRENT'!$M$2:$M$15000,'WH+RT CURRENT'!$B$2:$B$15000,"N.C.Urea(45kg)",'WH+RT CURRENT'!$R$2:$R$15000,"385753",'WH+RT CURRENT'!$N$2:$N$15000,"&gt;365")</f>
        <v>0</v>
      </c>
      <c r="M10" s="1">
        <f>SUMIFS('WH+RT CURRENT'!$M$2:$M$15000,'WH+RT CURRENT'!$B$2:$B$15000,"15-15-15",'WH+RT CURRENT'!$R$2:$R$15000,"385753",'WH+RT CURRENT'!$N$2:$N$15000,"&gt;365")</f>
        <v>0</v>
      </c>
      <c r="N10" s="1">
        <f>SUMIFS('WH+RT CURRENT'!$M$2:$M$15000,'WH+RT CURRENT'!$B$2:$B$15000,"Imp 10-26-26",'WH+RT CURRENT'!$R$2:$R$15000,"385753",'WH+RT CURRENT'!$N$2:$N$15000,"&gt;365")</f>
        <v>0</v>
      </c>
      <c r="O10" s="1">
        <f>SUMIFS('WH+RT CURRENT'!$M$2:$M$15000,'WH+RT CURRENT'!$B$2:$B$15000,"MOP",'WH+RT CURRENT'!$R$2:$R$15000,"385753",'WH+RT CURRENT'!$N$2:$N$15000,"&gt;365")</f>
        <v>0</v>
      </c>
      <c r="P10" s="1">
        <f>SUMIFS('WH+RT CURRENT'!$M$2:$M$15000,'WH+RT CURRENT'!$B$2:$B$15000,"Imp DAP",'WH+RT CURRENT'!$R$2:$R$15000,"385753",'WH+RT CURRENT'!$N$2:$N$15000,"&gt;365")</f>
        <v>0</v>
      </c>
      <c r="Q10" s="1">
        <f t="shared" ref="Q10:Q12" si="1">L10+M10+N10+O10+P10</f>
        <v>0</v>
      </c>
    </row>
    <row r="11" spans="5:17" x14ac:dyDescent="0.25">
      <c r="E11" s="2" t="s">
        <v>7</v>
      </c>
      <c r="F11" s="1">
        <f>F9+F10</f>
        <v>0</v>
      </c>
      <c r="G11" s="1">
        <f>G9+G10</f>
        <v>0</v>
      </c>
      <c r="H11" s="1">
        <f>H9+H10</f>
        <v>0</v>
      </c>
      <c r="I11" s="1">
        <f>I9+I10</f>
        <v>0</v>
      </c>
      <c r="J11" s="1">
        <f>J9+J10</f>
        <v>0</v>
      </c>
      <c r="K11" s="1">
        <f t="shared" si="0"/>
        <v>0</v>
      </c>
      <c r="L11" s="1">
        <f>L9+L10</f>
        <v>0</v>
      </c>
      <c r="M11" s="1">
        <f>M9+M10</f>
        <v>0</v>
      </c>
      <c r="N11" s="1">
        <f>N9+N10</f>
        <v>0</v>
      </c>
      <c r="O11" s="1">
        <f>O9+O10</f>
        <v>0</v>
      </c>
      <c r="P11" s="1">
        <f>P9+P10</f>
        <v>0</v>
      </c>
      <c r="Q11" s="1">
        <f t="shared" si="1"/>
        <v>0</v>
      </c>
    </row>
    <row r="12" spans="5:17" x14ac:dyDescent="0.25">
      <c r="E12" s="2" t="s">
        <v>9</v>
      </c>
      <c r="F12" s="1">
        <f>SUMIFS('WH+RT PREVIOUS'!$M$2:$M$15000,'WH+RT PREVIOUS'!$B$2:$B$15000,"N.C.Urea(45kg)",'WH+RT PREVIOUS'!$R$2:$R$15000,"385753")</f>
        <v>9.09</v>
      </c>
      <c r="G12" s="1">
        <f>SUMIFS('WH+RT PREVIOUS'!$M$2:$M$15000,'WH+RT PREVIOUS'!$B$2:$B$15000,"15-15-15",'WH+RT PREVIOUS'!$R$2:$R$15000,"385753")</f>
        <v>6</v>
      </c>
      <c r="H12" s="1">
        <f>SUMIFS('WH+RT PREVIOUS'!$M$2:$M$15000,'WH+RT PREVIOUS'!$B$2:$B$15000,"Imp 10-26-26",'WH+RT PREVIOUS'!$R$2:$R$15000,"385753")</f>
        <v>0</v>
      </c>
      <c r="I12" s="1">
        <f>SUMIFS('WH+RT PREVIOUS'!$M$2:$M$15000,'WH+RT PREVIOUS'!$B$2:$B$15000,"MOP",'WH+RT PREVIOUS'!$R$2:$R$15000,"385753")</f>
        <v>0</v>
      </c>
      <c r="J12" s="1">
        <f>SUMIFS('WH+RT PREVIOUS'!$M$2:$M$15000,'WH+RT PREVIOUS'!$B$2:$B$15000,"Imp DAP",'WH+RT PREVIOUS'!$R$2:$R$15000,"385753")</f>
        <v>0</v>
      </c>
      <c r="K12" s="1">
        <f t="shared" si="0"/>
        <v>15.09</v>
      </c>
      <c r="L12" s="1">
        <f>SUMIFS('WH+RT CURRENT'!$M$2:$M$15000,'WH+RT CURRENT'!$B$2:$B$15000,"N.C.Urea(45kg)",'WH+RT CURRENT'!$R$2:$R$15000,"385753")</f>
        <v>9.09</v>
      </c>
      <c r="M12" s="1">
        <f>SUMIFS('WH+RT CURRENT'!$M$2:$M$15000,'WH+RT CURRENT'!$B$2:$B$15000,"15-15-15",'WH+RT CURRENT'!$R$2:$R$15000,"385753")</f>
        <v>6</v>
      </c>
      <c r="N12" s="1">
        <f>SUMIFS('WH+RT CURRENT'!$M$2:$M$15000,'WH+RT CURRENT'!$B$2:$B$15000,"Imp 10-26-26",'WH+RT CURRENT'!$R$2:$R$15000,"385753")</f>
        <v>0</v>
      </c>
      <c r="O12" s="1">
        <f>SUMIFS('WH+RT CURRENT'!$M$2:$M$15000,'WH+RT CURRENT'!$B$2:$B$15000,"MOP",'WH+RT CURRENT'!$R$2:$R$15000,"385753")</f>
        <v>0</v>
      </c>
      <c r="P12" s="1">
        <f>SUMIFS('WH+RT CURRENT'!$M$2:$M$15000,'WH+RT CURRENT'!$B$2:$B$15000,"Imp DAP",'WH+RT CURRENT'!$R$2:$R$15000,"385753")</f>
        <v>0</v>
      </c>
      <c r="Q12" s="1">
        <f t="shared" si="1"/>
        <v>15.09</v>
      </c>
    </row>
    <row r="15" spans="5:17" x14ac:dyDescent="0.25">
      <c r="E15" s="12" t="s">
        <v>464</v>
      </c>
      <c r="F15" s="12"/>
      <c r="G15" s="12"/>
      <c r="H15" s="12"/>
      <c r="I15" s="12"/>
      <c r="J15" s="12"/>
      <c r="K15" s="12"/>
      <c r="L15" s="12"/>
      <c r="M15" s="12"/>
      <c r="N15" s="12"/>
      <c r="O15" s="12"/>
      <c r="P15" s="12"/>
      <c r="Q15" s="12"/>
    </row>
    <row r="16" spans="5:17" x14ac:dyDescent="0.25">
      <c r="E16" s="13"/>
      <c r="F16" s="15" t="s">
        <v>8147</v>
      </c>
      <c r="G16" s="15"/>
      <c r="H16" s="15"/>
      <c r="I16" s="15"/>
      <c r="J16" s="15"/>
      <c r="K16" s="15"/>
      <c r="L16" s="15" t="s">
        <v>8148</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PREVIOUS'!$R$2:$R$15000,"254732",'WH+RT PREVIOUS'!$N$2:$N$15000,"&gt;179",'WH+RT PREVIOUS'!$N$2:$N$15000,"&lt;366")</f>
        <v>0.45</v>
      </c>
      <c r="G18" s="1">
        <f>SUMIFS('WH+RT PREVIOUS'!$M$2:$M$15000,'WH+RT PREVIOUS'!$B$2:$B$15000,"15-15-15",'WH+RT PREVIOUS'!$R$2:$R$15000,"254732",'WH+RT PREVIOUS'!$N$2:$N$15000,"&gt;179",'WH+RT PREVIOUS'!$N$2:$N$15000,"&lt;366")</f>
        <v>0</v>
      </c>
      <c r="H18" s="1">
        <f>SUMIFS('WH+RT PREVIOUS'!$M$2:$M$15000,'WH+RT PREVIOUS'!$B$2:$B$15000,"Imp 10-26-26",'WH+RT PREVIOUS'!$R$2:$R$15000,"254732",'WH+RT PREVIOUS'!$N$2:$N$15000,"&gt;179",'WH+RT PREVIOUS'!$N$2:$N$15000,"&lt;366")</f>
        <v>0</v>
      </c>
      <c r="I18" s="1">
        <f>SUMIFS('WH+RT PREVIOUS'!$M$2:$M$15000,'WH+RT PREVIOUS'!$B$2:$B$15000,"MOP",'WH+RT PREVIOUS'!$R$2:$R$15000,"254732",'WH+RT PREVIOUS'!$N$2:$N$15000,"&gt;179",'WH+RT PREVIOUS'!$N$2:$N$15000,"&lt;366")</f>
        <v>0</v>
      </c>
      <c r="J18" s="1">
        <f>SUMIFS('WH+RT PREVIOUS'!$M$2:$M$15000,'WH+RT PREVIOUS'!$B$2:$B$15000,"Imp DAP",'WH+RT PREVIOUS'!$R$2:$R$15000,"254732",'WH+RT PREVIOUS'!$N$2:$N$15000,"&gt;179",'WH+RT PREVIOUS'!$N$2:$N$15000,"&lt;366")</f>
        <v>0</v>
      </c>
      <c r="K18" s="1">
        <f>F18+G18+H18+I18+J18</f>
        <v>0.45</v>
      </c>
      <c r="L18" s="1">
        <f>SUMIFS('WH+RT CURRENT'!$M$2:$M$15000,'WH+RT CURRENT'!$B$2:$B$15000,"N.C.Urea(45kg)",'WH+RT CURRENT'!$R$2:$R$15000,"254732",'WH+RT CURRENT'!$N$2:$N$15000,"&gt;179",'WH+RT CURRENT'!$N$2:$N$15000,"&lt;366")</f>
        <v>0.45</v>
      </c>
      <c r="M18" s="1">
        <f>SUMIFS('WH+RT CURRENT'!$M$2:$M$15000,'WH+RT CURRENT'!$B$2:$B$15000,"15-15-15",'WH+RT CURRENT'!$R$2:$R$15000,"254732",'WH+RT CURRENT'!$N$2:$N$15000,"&gt;179",'WH+RT CURRENT'!$N$2:$N$15000,"&lt;366")</f>
        <v>0</v>
      </c>
      <c r="N18" s="1">
        <f>SUMIFS('WH+RT CURRENT'!$M$2:$M$15000,'WH+RT CURRENT'!$B$2:$B$15000,"Imp 10-26-26",'WH+RT CURRENT'!$R$2:$R$15000,"254732",'WH+RT CURRENT'!$N$2:$N$15000,"&gt;179",'WH+RT CURRENT'!$N$2:$N$15000,"&lt;366")</f>
        <v>0</v>
      </c>
      <c r="O18" s="1">
        <f>SUMIFS('WH+RT CURRENT'!$M$2:$M$15000,'WH+RT CURRENT'!$B$2:$B$15000,"MOP",'WH+RT CURRENT'!$R$2:$R$15000,"254732",'WH+RT CURRENT'!$N$2:$N$15000,"&gt;179",'WH+RT CURRENT'!$N$2:$N$15000,"&lt;366")</f>
        <v>0</v>
      </c>
      <c r="P18" s="1">
        <f>SUMIFS('WH+RT CURRENT'!$M$2:$M$15000,'WH+RT CURRENT'!$B$2:$B$15000,"Imp DAP",'WH+RT CURRENT'!$R$2:$R$15000,"254732",'WH+RT CURRENT'!$N$2:$N$15000,"&gt;179",'WH+RT CURRENT'!$N$2:$N$15000,"&lt;366")</f>
        <v>0</v>
      </c>
      <c r="Q18" s="1">
        <f>L18+M18+N18+O18+P18</f>
        <v>0.45</v>
      </c>
    </row>
    <row r="19" spans="5:17" x14ac:dyDescent="0.25">
      <c r="E19" s="2" t="s">
        <v>6</v>
      </c>
      <c r="F19" s="1">
        <f>SUMIFS('WH+RT PREVIOUS'!$M$2:$M$15000,'WH+RT PREVIOUS'!$B$2:$B$15000,"N.C.Urea(45kg)",'WH+RT PREVIOUS'!$R$2:$R$15000,"254732",'WH+RT PREVIOUS'!$N$2:$N$15000,"&gt;365")</f>
        <v>0</v>
      </c>
      <c r="G19" s="1">
        <f>SUMIFS('WH+RT PREVIOUS'!$M$2:$M$15000,'WH+RT PREVIOUS'!$B$2:$B$15000,"15-15-15",'WH+RT PREVIOUS'!$R$2:$R$15000,"254732",'WH+RT PREVIOUS'!$N$2:$N$15000,"&gt;365")</f>
        <v>0</v>
      </c>
      <c r="H19" s="1">
        <f>SUMIFS('WH+RT PREVIOUS'!$M$2:$M$15000,'WH+RT PREVIOUS'!$B$2:$B$15000,"Imp 10-26-26",'WH+RT PREVIOUS'!$R$2:$R$15000,"254732",'WH+RT PREVIOUS'!$N$2:$N$15000,"&gt;365")</f>
        <v>0.1</v>
      </c>
      <c r="I19" s="1">
        <f>SUMIFS('WH+RT PREVIOUS'!$M$2:$M$15000,'WH+RT PREVIOUS'!$B$2:$B$15000,"MOP",'WH+RT PREVIOUS'!$R$2:$R$15000,"254732",'WH+RT PREVIOUS'!$N$2:$N$15000,"&gt;365")</f>
        <v>0</v>
      </c>
      <c r="J19" s="1">
        <f>SUMIFS('WH+RT PREVIOUS'!$M$2:$M$15000,'WH+RT PREVIOUS'!$B$2:$B$15000,"Imp DAP",'WH+RT PREVIOUS'!$R$2:$R$15000,"254732",'WH+RT PREVIOUS'!$N$2:$N$15000,"&gt;365")</f>
        <v>0</v>
      </c>
      <c r="K19" s="1">
        <f t="shared" ref="K19:K21" si="2">F19+G19+H19+I19+J19</f>
        <v>0.1</v>
      </c>
      <c r="L19" s="1">
        <f>SUMIFS('WH+RT CURRENT'!$M$2:$M$15000,'WH+RT CURRENT'!$B$2:$B$15000,"N.C.Urea(45kg)",'WH+RT CURRENT'!$R$2:$R$15000,"254732",'WH+RT CURRENT'!$N$2:$N$15000,"&gt;365")</f>
        <v>0</v>
      </c>
      <c r="M19" s="1">
        <f>SUMIFS('WH+RT CURRENT'!$M$2:$M$15000,'WH+RT CURRENT'!$B$2:$B$15000,"15-15-15",'WH+RT CURRENT'!$R$2:$R$15000,"254732",'WH+RT CURRENT'!$N$2:$N$15000,"&gt;365")</f>
        <v>0</v>
      </c>
      <c r="N19" s="1">
        <f>SUMIFS('WH+RT CURRENT'!$M$2:$M$15000,'WH+RT CURRENT'!$B$2:$B$15000,"Imp 10-26-26",'WH+RT CURRENT'!$R$2:$R$15000,"254732",'WH+RT CURRENT'!$N$2:$N$15000,"&gt;365")</f>
        <v>0</v>
      </c>
      <c r="O19" s="1">
        <f>SUMIFS('WH+RT CURRENT'!$M$2:$M$15000,'WH+RT CURRENT'!$B$2:$B$15000,"MOP",'WH+RT CURRENT'!$R$2:$R$15000,"254732",'WH+RT CURRENT'!$N$2:$N$15000,"&gt;365")</f>
        <v>0</v>
      </c>
      <c r="P19" s="1">
        <f>SUMIFS('WH+RT CURRENT'!$M$2:$M$15000,'WH+RT CURRENT'!$B$2:$B$15000,"Imp DAP",'WH+RT CURRENT'!$R$2:$R$15000,"254732",'WH+RT CURRENT'!$N$2:$N$15000,"&gt;365")</f>
        <v>0</v>
      </c>
      <c r="Q19" s="1">
        <f t="shared" ref="Q19:Q21" si="3">L19+M19+N19+O19+P19</f>
        <v>0</v>
      </c>
    </row>
    <row r="20" spans="5:17" x14ac:dyDescent="0.25">
      <c r="E20" s="2" t="s">
        <v>7</v>
      </c>
      <c r="F20" s="1">
        <f>F18+F19</f>
        <v>0.45</v>
      </c>
      <c r="G20" s="1">
        <f>G18+G19</f>
        <v>0</v>
      </c>
      <c r="H20" s="1">
        <f>H18+H19</f>
        <v>0.1</v>
      </c>
      <c r="I20" s="1">
        <f>I18+I19</f>
        <v>0</v>
      </c>
      <c r="J20" s="1">
        <f>J18+J19</f>
        <v>0</v>
      </c>
      <c r="K20" s="1">
        <f t="shared" si="2"/>
        <v>0.55000000000000004</v>
      </c>
      <c r="L20" s="1">
        <f>L18+L19</f>
        <v>0.45</v>
      </c>
      <c r="M20" s="1">
        <f>M18+M19</f>
        <v>0</v>
      </c>
      <c r="N20" s="1">
        <f>N18+N19</f>
        <v>0</v>
      </c>
      <c r="O20" s="1">
        <f>O18+O19</f>
        <v>0</v>
      </c>
      <c r="P20" s="1">
        <f>P18+P19</f>
        <v>0</v>
      </c>
      <c r="Q20" s="1">
        <f t="shared" si="3"/>
        <v>0.45</v>
      </c>
    </row>
    <row r="21" spans="5:17" x14ac:dyDescent="0.25">
      <c r="E21" s="2" t="s">
        <v>9</v>
      </c>
      <c r="F21" s="1">
        <f>SUMIFS('WH+RT PREVIOUS'!$M$2:$M$15000,'WH+RT PREVIOUS'!$B$2:$B$15000,"N.C.Urea(45kg)",'WH+RT PREVIOUS'!$R$2:$R$15000,"254732")</f>
        <v>31.590000000000003</v>
      </c>
      <c r="G21" s="1">
        <f>SUMIFS('WH+RT PREVIOUS'!$M$2:$M$15000,'WH+RT PREVIOUS'!$B$2:$B$15000,"15-15-15",'WH+RT PREVIOUS'!$R$2:$R$15000,"254732")</f>
        <v>4.8</v>
      </c>
      <c r="H21" s="1">
        <f>SUMIFS('WH+RT PREVIOUS'!$M$2:$M$15000,'WH+RT PREVIOUS'!$B$2:$B$15000,"Imp 10-26-26",'WH+RT PREVIOUS'!$R$2:$R$15000,"254732")</f>
        <v>0.1</v>
      </c>
      <c r="I21" s="1">
        <f>SUMIFS('WH+RT PREVIOUS'!$M$2:$M$15000,'WH+RT PREVIOUS'!$B$2:$B$15000,"MOP",'WH+RT PREVIOUS'!$R$2:$R$15000,"254732")</f>
        <v>0</v>
      </c>
      <c r="J21" s="1">
        <f>SUMIFS('WH+RT PREVIOUS'!$M$2:$M$15000,'WH+RT PREVIOUS'!$B$2:$B$15000,"Imp DAP",'WH+RT PREVIOUS'!$R$2:$R$15000,"254732")</f>
        <v>0</v>
      </c>
      <c r="K21" s="1">
        <f t="shared" si="2"/>
        <v>36.49</v>
      </c>
      <c r="L21" s="1">
        <f>SUMIFS('WH+RT CURRENT'!$M$2:$M$15000,'WH+RT CURRENT'!$B$2:$B$15000,"N.C.Urea(45kg)",'WH+RT CURRENT'!$R$2:$R$15000,"254732")</f>
        <v>31.590000000000003</v>
      </c>
      <c r="M21" s="1">
        <f>SUMIFS('WH+RT CURRENT'!$M$2:$M$15000,'WH+RT CURRENT'!$B$2:$B$15000,"15-15-15",'WH+RT CURRENT'!$R$2:$R$15000,"254732")</f>
        <v>4.3</v>
      </c>
      <c r="N21" s="1">
        <f>SUMIFS('WH+RT CURRENT'!$M$2:$M$15000,'WH+RT CURRENT'!$B$2:$B$15000,"Imp 10-26-26",'WH+RT CURRENT'!$R$2:$R$15000,"254732")</f>
        <v>0</v>
      </c>
      <c r="O21" s="1">
        <f>SUMIFS('WH+RT CURRENT'!$M$2:$M$15000,'WH+RT CURRENT'!$B$2:$B$15000,"MOP",'WH+RT CURRENT'!$R$2:$R$15000,"254732")</f>
        <v>0</v>
      </c>
      <c r="P21" s="1">
        <f>SUMIFS('WH+RT CURRENT'!$M$2:$M$15000,'WH+RT CURRENT'!$B$2:$B$15000,"Imp DAP",'WH+RT CURRENT'!$R$2:$R$15000,"254732")</f>
        <v>0</v>
      </c>
      <c r="Q21" s="1">
        <f t="shared" si="3"/>
        <v>35.89</v>
      </c>
    </row>
    <row r="24" spans="5:17" x14ac:dyDescent="0.25">
      <c r="E24" s="12" t="s">
        <v>539</v>
      </c>
      <c r="F24" s="12"/>
      <c r="G24" s="12"/>
      <c r="H24" s="12"/>
      <c r="I24" s="12"/>
      <c r="J24" s="12"/>
      <c r="K24" s="12"/>
      <c r="L24" s="12"/>
      <c r="M24" s="12"/>
      <c r="N24" s="12"/>
      <c r="O24" s="12"/>
      <c r="P24" s="12"/>
      <c r="Q24" s="12"/>
    </row>
    <row r="25" spans="5:17" x14ac:dyDescent="0.25">
      <c r="E25" s="13"/>
      <c r="F25" s="15" t="s">
        <v>8147</v>
      </c>
      <c r="G25" s="15"/>
      <c r="H25" s="15"/>
      <c r="I25" s="15"/>
      <c r="J25" s="15"/>
      <c r="K25" s="15"/>
      <c r="L25" s="15" t="s">
        <v>8148</v>
      </c>
      <c r="M25" s="15"/>
      <c r="N25" s="15"/>
      <c r="O25" s="15"/>
      <c r="P25" s="15"/>
      <c r="Q25" s="15"/>
    </row>
    <row r="26" spans="5:17" x14ac:dyDescent="0.25">
      <c r="E26" s="14"/>
      <c r="F26" s="2" t="s">
        <v>0</v>
      </c>
      <c r="G26" s="2" t="s">
        <v>1</v>
      </c>
      <c r="H26" s="2" t="s">
        <v>2</v>
      </c>
      <c r="I26" s="2" t="s">
        <v>3</v>
      </c>
      <c r="J26" s="2" t="s">
        <v>8128</v>
      </c>
      <c r="K26" s="2" t="s">
        <v>4</v>
      </c>
      <c r="L26" s="2" t="s">
        <v>0</v>
      </c>
      <c r="M26" s="2" t="s">
        <v>1</v>
      </c>
      <c r="N26" s="2" t="s">
        <v>2</v>
      </c>
      <c r="O26" s="2" t="s">
        <v>3</v>
      </c>
      <c r="P26" s="2" t="s">
        <v>8128</v>
      </c>
      <c r="Q26" s="2" t="s">
        <v>4</v>
      </c>
    </row>
    <row r="27" spans="5:17" x14ac:dyDescent="0.25">
      <c r="E27" s="2" t="s">
        <v>5</v>
      </c>
      <c r="F27" s="1">
        <f>SUMIFS('WH+RT PREVIOUS'!$M$2:$M$15000,'WH+RT PREVIOUS'!$B$2:$B$15000,"N.C.Urea(45kg)",'WH+RT PREVIOUS'!$R$2:$R$15000,"342392",'WH+RT PREVIOUS'!$N$2:$N$15000,"&gt;179",'WH+RT PREVIOUS'!$N$2:$N$15000,"&lt;366")</f>
        <v>147.27299999999997</v>
      </c>
      <c r="G27" s="1">
        <f>SUMIFS('WH+RT PREVIOUS'!$M$2:$M$15000,'WH+RT PREVIOUS'!$B$2:$B$15000,"15-15-15",'WH+RT PREVIOUS'!$R$2:$R$15000,"342392",'WH+RT PREVIOUS'!$N$2:$N$15000,"&gt;179",'WH+RT PREVIOUS'!$N$2:$N$15000,"&lt;366")</f>
        <v>16.650000000000002</v>
      </c>
      <c r="H27" s="1">
        <f>SUMIFS('WH+RT PREVIOUS'!$M$2:$M$15000,'WH+RT PREVIOUS'!$B$2:$B$15000,"Imp 10-26-26",'WH+RT PREVIOUS'!$R$2:$R$15000,"342392",'WH+RT PREVIOUS'!$N$2:$N$15000,"&gt;179",'WH+RT PREVIOUS'!$N$2:$N$15000,"&lt;366")</f>
        <v>0</v>
      </c>
      <c r="I27" s="1">
        <f>SUMIFS('WH+RT PREVIOUS'!$M$2:$M$15000,'WH+RT PREVIOUS'!$B$2:$B$15000,"MOP",'WH+RT PREVIOUS'!$R$2:$R$15000,"342392",'WH+RT PREVIOUS'!$N$2:$N$15000,"&gt;179",'WH+RT PREVIOUS'!$N$2:$N$15000,"&lt;366")</f>
        <v>0</v>
      </c>
      <c r="J27" s="1">
        <f>SUMIFS('WH+RT PREVIOUS'!$M$2:$M$15000,'WH+RT PREVIOUS'!$B$2:$B$15000,"Imp DAP",'WH+RT PREVIOUS'!$R$2:$R$15000,"342392",'WH+RT PREVIOUS'!$N$2:$N$15000,"&gt;179",'WH+RT PREVIOUS'!$N$2:$N$15000,"&lt;366")</f>
        <v>0</v>
      </c>
      <c r="K27" s="1">
        <f>F27+G27+H27+I27+J27</f>
        <v>163.92299999999997</v>
      </c>
      <c r="L27" s="1">
        <f>SUMIFS('WH+RT CURRENT'!$M$2:$M$15000,'WH+RT CURRENT'!$B$2:$B$15000,"N.C.Urea(45kg)",'WH+RT CURRENT'!$R$2:$R$15000,"342392",'WH+RT CURRENT'!$N$2:$N$15000,"&gt;179",'WH+RT CURRENT'!$N$2:$N$15000,"&lt;366")</f>
        <v>138.00300000000001</v>
      </c>
      <c r="M27" s="1">
        <f>SUMIFS('WH+RT CURRENT'!$M$2:$M$15000,'WH+RT CURRENT'!$B$2:$B$15000,"15-15-15",'WH+RT CURRENT'!$R$2:$R$15000,"342392",'WH+RT CURRENT'!$N$2:$N$15000,"&gt;179",'WH+RT CURRENT'!$N$2:$N$15000,"&lt;366")</f>
        <v>16.650000000000002</v>
      </c>
      <c r="N27" s="1">
        <f>SUMIFS('WH+RT CURRENT'!$M$2:$M$15000,'WH+RT CURRENT'!$B$2:$B$15000,"Imp 10-26-26",'WH+RT CURRENT'!$R$2:$R$15000,"342392",'WH+RT CURRENT'!$N$2:$N$15000,"&gt;179",'WH+RT CURRENT'!$N$2:$N$15000,"&lt;366")</f>
        <v>0</v>
      </c>
      <c r="O27" s="1">
        <f>SUMIFS('WH+RT CURRENT'!$M$2:$M$15000,'WH+RT CURRENT'!$B$2:$B$15000,"MOP",'WH+RT CURRENT'!$R$2:$R$15000,"342392",'WH+RT CURRENT'!$N$2:$N$15000,"&gt;179",'WH+RT CURRENT'!$N$2:$N$15000,"&lt;366")</f>
        <v>0</v>
      </c>
      <c r="P27" s="1">
        <f>SUMIFS('WH+RT CURRENT'!$M$2:$M$15000,'WH+RT CURRENT'!$B$2:$B$15000,"Imp DAP",'WH+RT CURRENT'!$R$2:$R$15000,"342392",'WH+RT CURRENT'!$N$2:$N$15000,"&gt;179",'WH+RT CURRENT'!$N$2:$N$15000,"&lt;366")</f>
        <v>0</v>
      </c>
      <c r="Q27" s="1">
        <f>L27+M27+N27+O27+P27</f>
        <v>154.65300000000002</v>
      </c>
    </row>
    <row r="28" spans="5:17" x14ac:dyDescent="0.25">
      <c r="E28" s="2" t="s">
        <v>6</v>
      </c>
      <c r="F28" s="1">
        <f>SUMIFS('WH+RT PREVIOUS'!$M$2:$M$15000,'WH+RT PREVIOUS'!$B$2:$B$15000,"N.C.Urea(45kg)",'WH+RT PREVIOUS'!$R$2:$R$15000,"342392",'WH+RT PREVIOUS'!$N$2:$N$15000,"&gt;365")</f>
        <v>39.795000000000002</v>
      </c>
      <c r="G28" s="1">
        <f>SUMIFS('WH+RT PREVIOUS'!$M$2:$M$15000,'WH+RT PREVIOUS'!$B$2:$B$15000,"15-15-15",'WH+RT PREVIOUS'!$R$2:$R$15000,"342392",'WH+RT PREVIOUS'!$N$2:$N$15000,"&gt;365")</f>
        <v>1</v>
      </c>
      <c r="H28" s="1">
        <f>SUMIFS('WH+RT PREVIOUS'!$M$2:$M$15000,'WH+RT PREVIOUS'!$B$2:$B$15000,"Imp 10-26-26",'WH+RT PREVIOUS'!$R$2:$R$15000,"342392",'WH+RT PREVIOUS'!$N$2:$N$15000,"&gt;365")</f>
        <v>3.95</v>
      </c>
      <c r="I28" s="1">
        <f>SUMIFS('WH+RT PREVIOUS'!$M$2:$M$15000,'WH+RT PREVIOUS'!$B$2:$B$15000,"MOP",'WH+RT PREVIOUS'!$R$2:$R$15000,"342392",'WH+RT PREVIOUS'!$N$2:$N$15000,"&gt;365")</f>
        <v>0</v>
      </c>
      <c r="J28" s="1">
        <f>SUMIFS('WH+RT PREVIOUS'!$M$2:$M$15000,'WH+RT PREVIOUS'!$B$2:$B$15000,"Imp DAP",'WH+RT PREVIOUS'!$R$2:$R$15000,"342392",'WH+RT PREVIOUS'!$N$2:$N$15000,"&gt;365")</f>
        <v>0</v>
      </c>
      <c r="K28" s="1">
        <f t="shared" ref="K28:K30" si="4">F28+G28+H28+I28+J28</f>
        <v>44.745000000000005</v>
      </c>
      <c r="L28" s="1">
        <f>SUMIFS('WH+RT CURRENT'!$M$2:$M$15000,'WH+RT CURRENT'!$B$2:$B$15000,"N.C.Urea(45kg)",'WH+RT CURRENT'!$R$2:$R$15000,"342392",'WH+RT CURRENT'!$N$2:$N$15000,"&gt;365")</f>
        <v>41.1</v>
      </c>
      <c r="M28" s="1">
        <f>SUMIFS('WH+RT CURRENT'!$M$2:$M$15000,'WH+RT CURRENT'!$B$2:$B$15000,"15-15-15",'WH+RT CURRENT'!$R$2:$R$15000,"342392",'WH+RT CURRENT'!$N$2:$N$15000,"&gt;365")</f>
        <v>1</v>
      </c>
      <c r="N28" s="1">
        <f>SUMIFS('WH+RT CURRENT'!$M$2:$M$15000,'WH+RT CURRENT'!$B$2:$B$15000,"Imp 10-26-26",'WH+RT CURRENT'!$R$2:$R$15000,"342392",'WH+RT CURRENT'!$N$2:$N$15000,"&gt;365")</f>
        <v>3.95</v>
      </c>
      <c r="O28" s="1">
        <f>SUMIFS('WH+RT CURRENT'!$M$2:$M$15000,'WH+RT CURRENT'!$B$2:$B$15000,"MOP",'WH+RT CURRENT'!$R$2:$R$15000,"342392",'WH+RT CURRENT'!$N$2:$N$15000,"&gt;365")</f>
        <v>0</v>
      </c>
      <c r="P28" s="1">
        <f>SUMIFS('WH+RT CURRENT'!$M$2:$M$15000,'WH+RT CURRENT'!$B$2:$B$15000,"Imp DAP",'WH+RT CURRENT'!$R$2:$R$15000,"342392",'WH+RT CURRENT'!$N$2:$N$15000,"&gt;365")</f>
        <v>0</v>
      </c>
      <c r="Q28" s="1">
        <f t="shared" ref="Q28:Q30" si="5">L28+M28+N28+O28+P28</f>
        <v>46.050000000000004</v>
      </c>
    </row>
    <row r="29" spans="5:17" x14ac:dyDescent="0.25">
      <c r="E29" s="2" t="s">
        <v>7</v>
      </c>
      <c r="F29" s="1">
        <f>F27+F28</f>
        <v>187.06799999999998</v>
      </c>
      <c r="G29" s="1">
        <f>G27+G28</f>
        <v>17.650000000000002</v>
      </c>
      <c r="H29" s="1">
        <f>H27+H28</f>
        <v>3.95</v>
      </c>
      <c r="I29" s="1">
        <f>I27+I28</f>
        <v>0</v>
      </c>
      <c r="J29" s="1">
        <f>J27+J28</f>
        <v>0</v>
      </c>
      <c r="K29" s="1">
        <f t="shared" si="4"/>
        <v>208.66799999999998</v>
      </c>
      <c r="L29" s="1">
        <f>L27+L28</f>
        <v>179.10300000000001</v>
      </c>
      <c r="M29" s="1">
        <f>M27+M28</f>
        <v>17.650000000000002</v>
      </c>
      <c r="N29" s="1">
        <f>N27+N28</f>
        <v>3.95</v>
      </c>
      <c r="O29" s="1">
        <f>O27+O28</f>
        <v>0</v>
      </c>
      <c r="P29" s="1">
        <f>P27+P28</f>
        <v>0</v>
      </c>
      <c r="Q29" s="1">
        <f t="shared" si="5"/>
        <v>200.703</v>
      </c>
    </row>
    <row r="30" spans="5:17" x14ac:dyDescent="0.25">
      <c r="E30" s="2" t="s">
        <v>9</v>
      </c>
      <c r="F30" s="1">
        <f>SUMIFS('WH+RT PREVIOUS'!$M$2:$M$15000,'WH+RT PREVIOUS'!$B$2:$B$15000,"N.C.Urea(45kg)",'WH+RT PREVIOUS'!$R$2:$R$15000,"342392")</f>
        <v>1346.3729999999996</v>
      </c>
      <c r="G30" s="1">
        <f>SUMIFS('WH+RT PREVIOUS'!$M$2:$M$15000,'WH+RT PREVIOUS'!$B$2:$B$15000,"15-15-15",'WH+RT PREVIOUS'!$R$2:$R$15000,"342392")</f>
        <v>34.65</v>
      </c>
      <c r="H30" s="1">
        <f>SUMIFS('WH+RT PREVIOUS'!$M$2:$M$15000,'WH+RT PREVIOUS'!$B$2:$B$15000,"Imp 10-26-26",'WH+RT PREVIOUS'!$R$2:$R$15000,"342392")</f>
        <v>31.2</v>
      </c>
      <c r="I30" s="1">
        <f>SUMIFS('WH+RT PREVIOUS'!$M$2:$M$15000,'WH+RT PREVIOUS'!$B$2:$B$15000,"MOP",'WH+RT PREVIOUS'!$R$2:$R$15000,"342392")</f>
        <v>0</v>
      </c>
      <c r="J30" s="1">
        <f>SUMIFS('WH+RT PREVIOUS'!$M$2:$M$15000,'WH+RT PREVIOUS'!$B$2:$B$15000,"Imp DAP",'WH+RT PREVIOUS'!$R$2:$R$15000,"342392")</f>
        <v>0</v>
      </c>
      <c r="K30" s="1">
        <f t="shared" si="4"/>
        <v>1412.2229999999997</v>
      </c>
      <c r="L30" s="1">
        <f>SUMIFS('WH+RT CURRENT'!$M$2:$M$15000,'WH+RT CURRENT'!$B$2:$B$15000,"N.C.Urea(45kg)",'WH+RT CURRENT'!$R$2:$R$15000,"342392")</f>
        <v>1311.5879999999993</v>
      </c>
      <c r="M30" s="1">
        <f>SUMIFS('WH+RT CURRENT'!$M$2:$M$15000,'WH+RT CURRENT'!$B$2:$B$15000,"15-15-15",'WH+RT CURRENT'!$R$2:$R$15000,"342392")</f>
        <v>29.650000000000006</v>
      </c>
      <c r="N30" s="1">
        <f>SUMIFS('WH+RT CURRENT'!$M$2:$M$15000,'WH+RT CURRENT'!$B$2:$B$15000,"Imp 10-26-26",'WH+RT CURRENT'!$R$2:$R$15000,"342392")</f>
        <v>31.2</v>
      </c>
      <c r="O30" s="1">
        <f>SUMIFS('WH+RT CURRENT'!$M$2:$M$15000,'WH+RT CURRENT'!$B$2:$B$15000,"MOP",'WH+RT CURRENT'!$R$2:$R$15000,"342392")</f>
        <v>0</v>
      </c>
      <c r="P30" s="1">
        <f>SUMIFS('WH+RT CURRENT'!$M$2:$M$15000,'WH+RT CURRENT'!$B$2:$B$15000,"Imp DAP",'WH+RT CURRENT'!$R$2:$R$15000,"342392")</f>
        <v>0</v>
      </c>
      <c r="Q30" s="1">
        <f t="shared" si="5"/>
        <v>1372.4379999999994</v>
      </c>
    </row>
    <row r="33" spans="5:17" x14ac:dyDescent="0.25">
      <c r="E33" s="12" t="s">
        <v>632</v>
      </c>
      <c r="F33" s="12"/>
      <c r="G33" s="12"/>
      <c r="H33" s="12"/>
      <c r="I33" s="12"/>
      <c r="J33" s="12"/>
      <c r="K33" s="12"/>
      <c r="L33" s="12"/>
      <c r="M33" s="12"/>
      <c r="N33" s="12"/>
      <c r="O33" s="12"/>
      <c r="P33" s="12"/>
      <c r="Q33" s="12"/>
    </row>
    <row r="34" spans="5:17" x14ac:dyDescent="0.25">
      <c r="E34" s="13"/>
      <c r="F34" s="15" t="s">
        <v>8147</v>
      </c>
      <c r="G34" s="15"/>
      <c r="H34" s="15"/>
      <c r="I34" s="15"/>
      <c r="J34" s="15"/>
      <c r="K34" s="15"/>
      <c r="L34" s="15" t="s">
        <v>8148</v>
      </c>
      <c r="M34" s="15"/>
      <c r="N34" s="15"/>
      <c r="O34" s="15"/>
      <c r="P34" s="15"/>
      <c r="Q34" s="15"/>
    </row>
    <row r="35" spans="5:17" x14ac:dyDescent="0.25">
      <c r="E35" s="14"/>
      <c r="F35" s="2" t="s">
        <v>0</v>
      </c>
      <c r="G35" s="2" t="s">
        <v>1</v>
      </c>
      <c r="H35" s="2" t="s">
        <v>2</v>
      </c>
      <c r="I35" s="2" t="s">
        <v>3</v>
      </c>
      <c r="J35" s="2" t="s">
        <v>8128</v>
      </c>
      <c r="K35" s="2" t="s">
        <v>4</v>
      </c>
      <c r="L35" s="2" t="s">
        <v>0</v>
      </c>
      <c r="M35" s="2" t="s">
        <v>1</v>
      </c>
      <c r="N35" s="2" t="s">
        <v>2</v>
      </c>
      <c r="O35" s="2" t="s">
        <v>3</v>
      </c>
      <c r="P35" s="2" t="s">
        <v>8128</v>
      </c>
      <c r="Q35" s="2" t="s">
        <v>4</v>
      </c>
    </row>
    <row r="36" spans="5:17" x14ac:dyDescent="0.25">
      <c r="E36" s="2" t="s">
        <v>5</v>
      </c>
      <c r="F36" s="1">
        <f>SUMIFS('WH+RT PREVIOUS'!$M$2:$M$15000,'WH+RT PREVIOUS'!$B$2:$B$15000,"N.C.Urea(45kg)",'WH+RT PREVIOUS'!$R$2:$R$15000,"254617",'WH+RT PREVIOUS'!$N$2:$N$15000,"&gt;179",'WH+RT PREVIOUS'!$N$2:$N$15000,"&lt;366")</f>
        <v>4.4999999999999998E-2</v>
      </c>
      <c r="G36" s="1">
        <f>SUMIFS('WH+RT PREVIOUS'!$M$2:$M$15000,'WH+RT PREVIOUS'!$B$2:$B$15000,"15-15-15",'WH+RT PREVIOUS'!$R$2:$R$15000,"254617",'WH+RT PREVIOUS'!$N$2:$N$15000,"&gt;179",'WH+RT PREVIOUS'!$N$2:$N$15000,"&lt;366")</f>
        <v>0</v>
      </c>
      <c r="H36" s="1">
        <f>SUMIFS('WH+RT PREVIOUS'!$M$2:$M$15000,'WH+RT PREVIOUS'!$B$2:$B$15000,"Imp 10-26-26",'WH+RT PREVIOUS'!$R$2:$R$15000,"254617",'WH+RT PREVIOUS'!$N$2:$N$15000,"&gt;179",'WH+RT PREVIOUS'!$N$2:$N$15000,"&lt;366")</f>
        <v>0</v>
      </c>
      <c r="I36" s="1">
        <f>SUMIFS('WH+RT PREVIOUS'!$M$2:$M$15000,'WH+RT PREVIOUS'!$B$2:$B$15000,"MOP",'WH+RT PREVIOUS'!$R$2:$R$15000,"254617",'WH+RT PREVIOUS'!$N$2:$N$15000,"&gt;179",'WH+RT PREVIOUS'!$N$2:$N$15000,"&lt;366")</f>
        <v>0</v>
      </c>
      <c r="J36" s="1">
        <f>SUMIFS('WH+RT PREVIOUS'!$M$2:$M$15000,'WH+RT PREVIOUS'!$B$2:$B$15000,"Imp DAP",'WH+RT PREVIOUS'!$R$2:$R$15000,"254617",'WH+RT PREVIOUS'!$N$2:$N$15000,"&gt;179",'WH+RT PREVIOUS'!$N$2:$N$15000,"&lt;366")</f>
        <v>0</v>
      </c>
      <c r="K36" s="1">
        <f>F36+G36+H36+I36+J36</f>
        <v>4.4999999999999998E-2</v>
      </c>
      <c r="L36" s="1">
        <f>SUMIFS('WH+RT CURRENT'!$M$2:$M$15000,'WH+RT CURRENT'!$B$2:$B$15000,"N.C.Urea(45kg)",'WH+RT CURRENT'!$R$2:$R$15000,"254617",'WH+RT CURRENT'!$N$2:$N$15000,"&gt;179",'WH+RT CURRENT'!$N$2:$N$15000,"&lt;366")</f>
        <v>4.4999999999999998E-2</v>
      </c>
      <c r="M36" s="1">
        <f>SUMIFS('WH+RT CURRENT'!$M$2:$M$15000,'WH+RT CURRENT'!$B$2:$B$15000,"15-15-15",'WH+RT CURRENT'!$R$2:$R$15000,"254617",'WH+RT CURRENT'!$N$2:$N$15000,"&gt;179",'WH+RT CURRENT'!$N$2:$N$15000,"&lt;366")</f>
        <v>0</v>
      </c>
      <c r="N36" s="1">
        <f>SUMIFS('WH+RT CURRENT'!$M$2:$M$15000,'WH+RT CURRENT'!$B$2:$B$15000,"Imp 10-26-26",'WH+RT CURRENT'!$R$2:$R$15000,"254617",'WH+RT CURRENT'!$N$2:$N$15000,"&gt;179",'WH+RT CURRENT'!$N$2:$N$15000,"&lt;366")</f>
        <v>0</v>
      </c>
      <c r="O36" s="1">
        <f>SUMIFS('WH+RT CURRENT'!$M$2:$M$15000,'WH+RT CURRENT'!$B$2:$B$15000,"MOP",'WH+RT CURRENT'!$R$2:$R$15000,"254617",'WH+RT CURRENT'!$N$2:$N$15000,"&gt;179",'WH+RT CURRENT'!$N$2:$N$15000,"&lt;366")</f>
        <v>0</v>
      </c>
      <c r="P36" s="1">
        <f>SUMIFS('WH+RT CURRENT'!$M$2:$M$15000,'WH+RT CURRENT'!$B$2:$B$15000,"Imp DAP",'WH+RT CURRENT'!$R$2:$R$15000,"254617",'WH+RT CURRENT'!$N$2:$N$15000,"&gt;179",'WH+RT CURRENT'!$N$2:$N$15000,"&lt;366")</f>
        <v>0</v>
      </c>
      <c r="Q36" s="1">
        <f>L36+M36+N36+O36+P36</f>
        <v>4.4999999999999998E-2</v>
      </c>
    </row>
    <row r="37" spans="5:17" x14ac:dyDescent="0.25">
      <c r="E37" s="2" t="s">
        <v>6</v>
      </c>
      <c r="F37" s="1">
        <f>SUMIFS('WH+RT PREVIOUS'!$M$2:$M$15000,'WH+RT PREVIOUS'!$B$2:$B$15000,"N.C.Urea(45kg)",'WH+RT PREVIOUS'!$R$2:$R$15000,"254617",'WH+RT PREVIOUS'!$N$2:$N$15000,"&gt;365")</f>
        <v>1.67</v>
      </c>
      <c r="G37" s="1">
        <f>SUMIFS('WH+RT PREVIOUS'!$M$2:$M$15000,'WH+RT PREVIOUS'!$B$2:$B$15000,"15-15-15",'WH+RT PREVIOUS'!$R$2:$R$15000,"254617",'WH+RT PREVIOUS'!$N$2:$N$15000,"&gt;365")</f>
        <v>6</v>
      </c>
      <c r="H37" s="1">
        <f>SUMIFS('WH+RT PREVIOUS'!$M$2:$M$15000,'WH+RT PREVIOUS'!$B$2:$B$15000,"Imp 10-26-26",'WH+RT PREVIOUS'!$R$2:$R$15000,"254617",'WH+RT PREVIOUS'!$N$2:$N$15000,"&gt;365")</f>
        <v>0</v>
      </c>
      <c r="I37" s="1">
        <f>SUMIFS('WH+RT PREVIOUS'!$M$2:$M$15000,'WH+RT PREVIOUS'!$B$2:$B$15000,"MOP",'WH+RT PREVIOUS'!$R$2:$R$15000,"254617",'WH+RT PREVIOUS'!$N$2:$N$15000,"&gt;365")</f>
        <v>0</v>
      </c>
      <c r="J37" s="1">
        <f>SUMIFS('WH+RT PREVIOUS'!$M$2:$M$15000,'WH+RT PREVIOUS'!$B$2:$B$15000,"Imp DAP",'WH+RT PREVIOUS'!$R$2:$R$15000,"254617",'WH+RT PREVIOUS'!$N$2:$N$15000,"&gt;365")</f>
        <v>0</v>
      </c>
      <c r="K37" s="1">
        <f t="shared" ref="K37:K39" si="6">F37+G37+H37+I37+J37</f>
        <v>7.67</v>
      </c>
      <c r="L37" s="1">
        <f>SUMIFS('WH+RT CURRENT'!$M$2:$M$15000,'WH+RT CURRENT'!$B$2:$B$15000,"N.C.Urea(45kg)",'WH+RT CURRENT'!$R$2:$R$15000,"254617",'WH+RT CURRENT'!$N$2:$N$15000,"&gt;365")</f>
        <v>1.67</v>
      </c>
      <c r="M37" s="1">
        <f>SUMIFS('WH+RT CURRENT'!$M$2:$M$15000,'WH+RT CURRENT'!$B$2:$B$15000,"15-15-15",'WH+RT CURRENT'!$R$2:$R$15000,"254617",'WH+RT CURRENT'!$N$2:$N$15000,"&gt;365")</f>
        <v>6</v>
      </c>
      <c r="N37" s="1">
        <f>SUMIFS('WH+RT CURRENT'!$M$2:$M$15000,'WH+RT CURRENT'!$B$2:$B$15000,"Imp 10-26-26",'WH+RT CURRENT'!$R$2:$R$15000,"254617",'WH+RT CURRENT'!$N$2:$N$15000,"&gt;365")</f>
        <v>0</v>
      </c>
      <c r="O37" s="1">
        <f>SUMIFS('WH+RT CURRENT'!$M$2:$M$15000,'WH+RT CURRENT'!$B$2:$B$15000,"MOP",'WH+RT CURRENT'!$R$2:$R$15000,"254617",'WH+RT CURRENT'!$N$2:$N$15000,"&gt;365")</f>
        <v>0</v>
      </c>
      <c r="P37" s="1">
        <f>SUMIFS('WH+RT CURRENT'!$M$2:$M$15000,'WH+RT CURRENT'!$B$2:$B$15000,"Imp DAP",'WH+RT CURRENT'!$R$2:$R$15000,"254617",'WH+RT CURRENT'!$N$2:$N$15000,"&gt;365")</f>
        <v>0</v>
      </c>
      <c r="Q37" s="1">
        <f t="shared" ref="Q37:Q39" si="7">L37+M37+N37+O37+P37</f>
        <v>7.67</v>
      </c>
    </row>
    <row r="38" spans="5:17" x14ac:dyDescent="0.25">
      <c r="E38" s="2" t="s">
        <v>7</v>
      </c>
      <c r="F38" s="1">
        <f>F36+F37</f>
        <v>1.7149999999999999</v>
      </c>
      <c r="G38" s="1">
        <f>G36+G37</f>
        <v>6</v>
      </c>
      <c r="H38" s="1">
        <f>H36+H37</f>
        <v>0</v>
      </c>
      <c r="I38" s="1">
        <f>I36+I37</f>
        <v>0</v>
      </c>
      <c r="J38" s="1">
        <f>J36+J37</f>
        <v>0</v>
      </c>
      <c r="K38" s="1">
        <f t="shared" si="6"/>
        <v>7.7149999999999999</v>
      </c>
      <c r="L38" s="1">
        <f>L36+L37</f>
        <v>1.7149999999999999</v>
      </c>
      <c r="M38" s="1">
        <f>M36+M37</f>
        <v>6</v>
      </c>
      <c r="N38" s="1">
        <f>N36+N37</f>
        <v>0</v>
      </c>
      <c r="O38" s="1">
        <f>O36+O37</f>
        <v>0</v>
      </c>
      <c r="P38" s="1">
        <f>P36+P37</f>
        <v>0</v>
      </c>
      <c r="Q38" s="1">
        <f t="shared" si="7"/>
        <v>7.7149999999999999</v>
      </c>
    </row>
    <row r="39" spans="5:17" x14ac:dyDescent="0.25">
      <c r="E39" s="2" t="s">
        <v>9</v>
      </c>
      <c r="F39" s="1">
        <f>SUMIFS('WH+RT PREVIOUS'!$M$2:$M$15000,'WH+RT PREVIOUS'!$B$2:$B$15000,"N.C.Urea(45kg)",'WH+RT PREVIOUS'!$R$2:$R$15000,"254617")</f>
        <v>69.98</v>
      </c>
      <c r="G39" s="1">
        <f>SUMIFS('WH+RT PREVIOUS'!$M$2:$M$15000,'WH+RT PREVIOUS'!$B$2:$B$15000,"15-15-15",'WH+RT PREVIOUS'!$R$2:$R$15000,"254617")</f>
        <v>40.700000000000003</v>
      </c>
      <c r="H39" s="1">
        <f>SUMIFS('WH+RT PREVIOUS'!$M$2:$M$15000,'WH+RT PREVIOUS'!$B$2:$B$15000,"Imp 10-26-26",'WH+RT PREVIOUS'!$R$2:$R$15000,"254617")</f>
        <v>0</v>
      </c>
      <c r="I39" s="1">
        <f>SUMIFS('WH+RT PREVIOUS'!$M$2:$M$15000,'WH+RT PREVIOUS'!$B$2:$B$15000,"MOP",'WH+RT PREVIOUS'!$R$2:$R$15000,"254617")</f>
        <v>0</v>
      </c>
      <c r="J39" s="1">
        <f>SUMIFS('WH+RT PREVIOUS'!$M$2:$M$15000,'WH+RT PREVIOUS'!$B$2:$B$15000,"Imp DAP",'WH+RT PREVIOUS'!$R$2:$R$15000,"254617")</f>
        <v>0</v>
      </c>
      <c r="K39" s="1">
        <f t="shared" si="6"/>
        <v>110.68</v>
      </c>
      <c r="L39" s="1">
        <f>SUMIFS('WH+RT CURRENT'!$M$2:$M$15000,'WH+RT CURRENT'!$B$2:$B$15000,"N.C.Urea(45kg)",'WH+RT CURRENT'!$R$2:$R$15000,"254617")</f>
        <v>69.575000000000003</v>
      </c>
      <c r="M39" s="1">
        <f>SUMIFS('WH+RT CURRENT'!$M$2:$M$15000,'WH+RT CURRENT'!$B$2:$B$15000,"15-15-15",'WH+RT CURRENT'!$R$2:$R$15000,"254617")</f>
        <v>39.549999999999997</v>
      </c>
      <c r="N39" s="1">
        <f>SUMIFS('WH+RT CURRENT'!$M$2:$M$15000,'WH+RT CURRENT'!$B$2:$B$15000,"Imp 10-26-26",'WH+RT CURRENT'!$R$2:$R$15000,"254617")</f>
        <v>0</v>
      </c>
      <c r="O39" s="1">
        <f>SUMIFS('WH+RT CURRENT'!$M$2:$M$15000,'WH+RT CURRENT'!$B$2:$B$15000,"MOP",'WH+RT CURRENT'!$R$2:$R$15000,"254617")</f>
        <v>0</v>
      </c>
      <c r="P39" s="1">
        <f>SUMIFS('WH+RT CURRENT'!$M$2:$M$15000,'WH+RT CURRENT'!$B$2:$B$15000,"Imp DAP",'WH+RT CURRENT'!$R$2:$R$15000,"254617")</f>
        <v>0</v>
      </c>
      <c r="Q39" s="1">
        <f t="shared" si="7"/>
        <v>109.125</v>
      </c>
    </row>
    <row r="42" spans="5:17" x14ac:dyDescent="0.25">
      <c r="E42" s="12" t="s">
        <v>618</v>
      </c>
      <c r="F42" s="12"/>
      <c r="G42" s="12"/>
      <c r="H42" s="12"/>
      <c r="I42" s="12"/>
      <c r="J42" s="12"/>
      <c r="K42" s="12"/>
      <c r="L42" s="12"/>
      <c r="M42" s="12"/>
      <c r="N42" s="12"/>
      <c r="O42" s="12"/>
      <c r="P42" s="12"/>
      <c r="Q42" s="12"/>
    </row>
    <row r="43" spans="5:17" x14ac:dyDescent="0.25">
      <c r="E43" s="13"/>
      <c r="F43" s="15" t="s">
        <v>8147</v>
      </c>
      <c r="G43" s="15"/>
      <c r="H43" s="15"/>
      <c r="I43" s="15"/>
      <c r="J43" s="15"/>
      <c r="K43" s="15"/>
      <c r="L43" s="15" t="s">
        <v>8148</v>
      </c>
      <c r="M43" s="15"/>
      <c r="N43" s="15"/>
      <c r="O43" s="15"/>
      <c r="P43" s="15"/>
      <c r="Q43" s="15"/>
    </row>
    <row r="44" spans="5:17" x14ac:dyDescent="0.25">
      <c r="E44" s="14"/>
      <c r="F44" s="2" t="s">
        <v>0</v>
      </c>
      <c r="G44" s="2" t="s">
        <v>1</v>
      </c>
      <c r="H44" s="2" t="s">
        <v>2</v>
      </c>
      <c r="I44" s="2" t="s">
        <v>3</v>
      </c>
      <c r="J44" s="2" t="s">
        <v>8128</v>
      </c>
      <c r="K44" s="2" t="s">
        <v>4</v>
      </c>
      <c r="L44" s="2" t="s">
        <v>0</v>
      </c>
      <c r="M44" s="2" t="s">
        <v>1</v>
      </c>
      <c r="N44" s="2" t="s">
        <v>2</v>
      </c>
      <c r="O44" s="2" t="s">
        <v>3</v>
      </c>
      <c r="P44" s="2" t="s">
        <v>8128</v>
      </c>
      <c r="Q44" s="2" t="s">
        <v>4</v>
      </c>
    </row>
    <row r="45" spans="5:17" x14ac:dyDescent="0.25">
      <c r="E45" s="2" t="s">
        <v>5</v>
      </c>
      <c r="F45" s="1">
        <f>SUMIFS('WH+RT PREVIOUS'!$M$2:$M$15000,'WH+RT PREVIOUS'!$B$2:$B$15000,"N.C.Urea(45kg)",'WH+RT PREVIOUS'!$R$2:$R$15000,"291327",'WH+RT PREVIOUS'!$N$2:$N$15000,"&gt;179",'WH+RT PREVIOUS'!$N$2:$N$15000,"&lt;366")</f>
        <v>0</v>
      </c>
      <c r="G45" s="1">
        <f>SUMIFS('WH+RT PREVIOUS'!$M$2:$M$15000,'WH+RT PREVIOUS'!$B$2:$B$15000,"15-15-15",'WH+RT PREVIOUS'!$R$2:$R$15000,"291327",'WH+RT PREVIOUS'!$N$2:$N$15000,"&gt;179",'WH+RT PREVIOUS'!$N$2:$N$15000,"&lt;366")</f>
        <v>0</v>
      </c>
      <c r="H45" s="1">
        <f>SUMIFS('WH+RT PREVIOUS'!$M$2:$M$15000,'WH+RT PREVIOUS'!$B$2:$B$15000,"Imp 10-26-26",'WH+RT PREVIOUS'!$R$2:$R$15000,"291327",'WH+RT PREVIOUS'!$N$2:$N$15000,"&gt;179",'WH+RT PREVIOUS'!$N$2:$N$15000,"&lt;366")</f>
        <v>0</v>
      </c>
      <c r="I45" s="1">
        <f>SUMIFS('WH+RT PREVIOUS'!$M$2:$M$15000,'WH+RT PREVIOUS'!$B$2:$B$15000,"MOP",'WH+RT PREVIOUS'!$R$2:$R$15000,"291327",'WH+RT PREVIOUS'!$N$2:$N$15000,"&gt;179",'WH+RT PREVIOUS'!$N$2:$N$15000,"&lt;366")</f>
        <v>0</v>
      </c>
      <c r="J45" s="1">
        <f>SUMIFS('WH+RT PREVIOUS'!$M$2:$M$15000,'WH+RT PREVIOUS'!$B$2:$B$15000,"Imp DAP",'WH+RT PREVIOUS'!$R$2:$R$15000,"291327",'WH+RT PREVIOUS'!$N$2:$N$15000,"&gt;179",'WH+RT PREVIOUS'!$N$2:$N$15000,"&lt;366")</f>
        <v>0</v>
      </c>
      <c r="K45" s="1">
        <f>F45+G45+H45+I45+J45</f>
        <v>0</v>
      </c>
      <c r="L45" s="1">
        <f>SUMIFS('WH+RT CURRENT'!$M$2:$M$15000,'WH+RT CURRENT'!$B$2:$B$15000,"N.C.Urea(45kg)",'WH+RT CURRENT'!$R$2:$R$15000,"291327",'WH+RT CURRENT'!$N$2:$N$15000,"&gt;179",'WH+RT CURRENT'!$N$2:$N$15000,"&lt;366")</f>
        <v>0</v>
      </c>
      <c r="M45" s="1">
        <f>SUMIFS('WH+RT CURRENT'!$M$2:$M$15000,'WH+RT CURRENT'!$B$2:$B$15000,"15-15-15",'WH+RT CURRENT'!$R$2:$R$15000,"291327",'WH+RT CURRENT'!$N$2:$N$15000,"&gt;179",'WH+RT CURRENT'!$N$2:$N$15000,"&lt;366")</f>
        <v>0</v>
      </c>
      <c r="N45" s="1">
        <f>SUMIFS('WH+RT CURRENT'!$M$2:$M$15000,'WH+RT CURRENT'!$B$2:$B$15000,"Imp 10-26-26",'WH+RT CURRENT'!$R$2:$R$15000,"291327",'WH+RT CURRENT'!$N$2:$N$15000,"&gt;179",'WH+RT CURRENT'!$N$2:$N$15000,"&lt;366")</f>
        <v>0</v>
      </c>
      <c r="O45" s="1">
        <f>SUMIFS('WH+RT CURRENT'!$M$2:$M$15000,'WH+RT CURRENT'!$B$2:$B$15000,"MOP",'WH+RT CURRENT'!$R$2:$R$15000,"291327",'WH+RT CURRENT'!$N$2:$N$15000,"&gt;179",'WH+RT CURRENT'!$N$2:$N$15000,"&lt;366")</f>
        <v>0</v>
      </c>
      <c r="P45" s="1">
        <f>SUMIFS('WH+RT CURRENT'!$M$2:$M$15000,'WH+RT CURRENT'!$B$2:$B$15000,"Imp DAP",'WH+RT CURRENT'!$R$2:$R$15000,"291327",'WH+RT CURRENT'!$N$2:$N$15000,"&gt;179",'WH+RT CURRENT'!$N$2:$N$15000,"&lt;366")</f>
        <v>0</v>
      </c>
      <c r="Q45" s="1">
        <f>L45+M45+N45+O45+P45</f>
        <v>0</v>
      </c>
    </row>
    <row r="46" spans="5:17" x14ac:dyDescent="0.25">
      <c r="E46" s="2" t="s">
        <v>6</v>
      </c>
      <c r="F46" s="1">
        <f>SUMIFS('WH+RT PREVIOUS'!$M$2:$M$15000,'WH+RT PREVIOUS'!$B$2:$B$15000,"N.C.Urea(45kg)",'WH+RT PREVIOUS'!$R$2:$R$15000,"291327",'WH+RT PREVIOUS'!$N$2:$N$15000,"&gt;365")</f>
        <v>0</v>
      </c>
      <c r="G46" s="1">
        <f>SUMIFS('WH+RT PREVIOUS'!$M$2:$M$15000,'WH+RT PREVIOUS'!$B$2:$B$15000,"15-15-15",'WH+RT PREVIOUS'!$R$2:$R$15000,"291327",'WH+RT PREVIOUS'!$N$2:$N$15000,"&gt;365")</f>
        <v>0</v>
      </c>
      <c r="H46" s="1">
        <f>SUMIFS('WH+RT PREVIOUS'!$M$2:$M$15000,'WH+RT PREVIOUS'!$B$2:$B$15000,"Imp 10-26-26",'WH+RT PREVIOUS'!$R$2:$R$15000,"291327",'WH+RT PREVIOUS'!$N$2:$N$15000,"&gt;365")</f>
        <v>0</v>
      </c>
      <c r="I46" s="1">
        <f>SUMIFS('WH+RT PREVIOUS'!$M$2:$M$15000,'WH+RT PREVIOUS'!$B$2:$B$15000,"MOP",'WH+RT PREVIOUS'!$R$2:$R$15000,"291327",'WH+RT PREVIOUS'!$N$2:$N$15000,"&gt;365")</f>
        <v>0</v>
      </c>
      <c r="J46" s="1">
        <f>SUMIFS('WH+RT PREVIOUS'!$M$2:$M$15000,'WH+RT PREVIOUS'!$B$2:$B$15000,"Imp DAP",'WH+RT PREVIOUS'!$R$2:$R$15000,"291327",'WH+RT PREVIOUS'!$N$2:$N$15000,"&gt;365")</f>
        <v>0</v>
      </c>
      <c r="K46" s="1">
        <f t="shared" ref="K46:K48" si="8">F46+G46+H46+I46+J46</f>
        <v>0</v>
      </c>
      <c r="L46" s="1">
        <f>SUMIFS('WH+RT CURRENT'!$M$2:$M$15000,'WH+RT CURRENT'!$B$2:$B$15000,"N.C.Urea(45kg)",'WH+RT CURRENT'!$R$2:$R$15000,"291327",'WH+RT CURRENT'!$N$2:$N$15000,"&gt;365")</f>
        <v>0</v>
      </c>
      <c r="M46" s="1">
        <f>SUMIFS('WH+RT CURRENT'!$M$2:$M$15000,'WH+RT CURRENT'!$B$2:$B$15000,"15-15-15",'WH+RT CURRENT'!$R$2:$R$15000,"291327",'WH+RT CURRENT'!$N$2:$N$15000,"&gt;365")</f>
        <v>0</v>
      </c>
      <c r="N46" s="1">
        <f>SUMIFS('WH+RT CURRENT'!$M$2:$M$15000,'WH+RT CURRENT'!$B$2:$B$15000,"Imp 10-26-26",'WH+RT CURRENT'!$R$2:$R$15000,"291327",'WH+RT CURRENT'!$N$2:$N$15000,"&gt;365")</f>
        <v>0</v>
      </c>
      <c r="O46" s="1">
        <f>SUMIFS('WH+RT CURRENT'!$M$2:$M$15000,'WH+RT CURRENT'!$B$2:$B$15000,"MOP",'WH+RT CURRENT'!$R$2:$R$15000,"291327",'WH+RT CURRENT'!$N$2:$N$15000,"&gt;365")</f>
        <v>0</v>
      </c>
      <c r="P46" s="1">
        <f>SUMIFS('WH+RT CURRENT'!$M$2:$M$15000,'WH+RT CURRENT'!$B$2:$B$15000,"Imp DAP",'WH+RT CURRENT'!$R$2:$R$15000,"291327",'WH+RT CURRENT'!$N$2:$N$15000,"&gt;365")</f>
        <v>0</v>
      </c>
      <c r="Q46" s="1">
        <f t="shared" ref="Q46:Q48" si="9">L46+M46+N46+O46+P46</f>
        <v>0</v>
      </c>
    </row>
    <row r="47" spans="5:17" x14ac:dyDescent="0.25">
      <c r="E47" s="2" t="s">
        <v>7</v>
      </c>
      <c r="F47" s="1">
        <f>F45+F46</f>
        <v>0</v>
      </c>
      <c r="G47" s="1">
        <f>G45+G46</f>
        <v>0</v>
      </c>
      <c r="H47" s="1">
        <f>H45+H46</f>
        <v>0</v>
      </c>
      <c r="I47" s="1">
        <f>I45+I46</f>
        <v>0</v>
      </c>
      <c r="J47" s="1">
        <f>J45+J46</f>
        <v>0</v>
      </c>
      <c r="K47" s="1">
        <f t="shared" si="8"/>
        <v>0</v>
      </c>
      <c r="L47" s="1">
        <f>L45+L46</f>
        <v>0</v>
      </c>
      <c r="M47" s="1">
        <f>M45+M46</f>
        <v>0</v>
      </c>
      <c r="N47" s="1">
        <f>N45+N46</f>
        <v>0</v>
      </c>
      <c r="O47" s="1">
        <f>O45+O46</f>
        <v>0</v>
      </c>
      <c r="P47" s="1">
        <f>P45+P46</f>
        <v>0</v>
      </c>
      <c r="Q47" s="1">
        <f t="shared" si="9"/>
        <v>0</v>
      </c>
    </row>
    <row r="48" spans="5:17" x14ac:dyDescent="0.25">
      <c r="E48" s="2" t="s">
        <v>9</v>
      </c>
      <c r="F48" s="1">
        <f>SUMIFS('WH+RT PREVIOUS'!$M$2:$M$15000,'WH+RT PREVIOUS'!$B$2:$B$15000,"N.C.Urea(45kg)",'WH+RT PREVIOUS'!$R$2:$R$15000,"291327")</f>
        <v>0</v>
      </c>
      <c r="G48" s="1">
        <f>SUMIFS('WH+RT PREVIOUS'!$M$2:$M$15000,'WH+RT PREVIOUS'!$B$2:$B$15000,"15-15-15",'WH+RT PREVIOUS'!$R$2:$R$15000,"291327")</f>
        <v>17.5</v>
      </c>
      <c r="H48" s="1">
        <f>SUMIFS('WH+RT PREVIOUS'!$M$2:$M$15000,'WH+RT PREVIOUS'!$B$2:$B$15000,"Imp 10-26-26",'WH+RT PREVIOUS'!$R$2:$R$15000,"291327")</f>
        <v>0</v>
      </c>
      <c r="I48" s="1">
        <f>SUMIFS('WH+RT PREVIOUS'!$M$2:$M$15000,'WH+RT PREVIOUS'!$B$2:$B$15000,"MOP",'WH+RT PREVIOUS'!$R$2:$R$15000,"291327")</f>
        <v>0</v>
      </c>
      <c r="J48" s="1">
        <f>SUMIFS('WH+RT PREVIOUS'!$M$2:$M$15000,'WH+RT PREVIOUS'!$B$2:$B$15000,"Imp DAP",'WH+RT PREVIOUS'!$R$2:$R$15000,"291327")</f>
        <v>0</v>
      </c>
      <c r="K48" s="1">
        <f t="shared" si="8"/>
        <v>17.5</v>
      </c>
      <c r="L48" s="1">
        <f>SUMIFS('WH+RT CURRENT'!$M$2:$M$15000,'WH+RT CURRENT'!$B$2:$B$15000,"N.C.Urea(45kg)",'WH+RT CURRENT'!$R$2:$R$15000,"291327")</f>
        <v>0</v>
      </c>
      <c r="M48" s="1">
        <f>SUMIFS('WH+RT CURRENT'!$M$2:$M$15000,'WH+RT CURRENT'!$B$2:$B$15000,"15-15-15",'WH+RT CURRENT'!$R$2:$R$15000,"291327")</f>
        <v>17.5</v>
      </c>
      <c r="N48" s="1">
        <f>SUMIFS('WH+RT CURRENT'!$M$2:$M$15000,'WH+RT CURRENT'!$B$2:$B$15000,"Imp 10-26-26",'WH+RT CURRENT'!$R$2:$R$15000,"291327")</f>
        <v>0</v>
      </c>
      <c r="O48" s="1">
        <f>SUMIFS('WH+RT CURRENT'!$M$2:$M$15000,'WH+RT CURRENT'!$B$2:$B$15000,"MOP",'WH+RT CURRENT'!$R$2:$R$15000,"291327")</f>
        <v>0</v>
      </c>
      <c r="P48" s="1">
        <f>SUMIFS('WH+RT CURRENT'!$M$2:$M$15000,'WH+RT CURRENT'!$B$2:$B$15000,"Imp DAP",'WH+RT CURRENT'!$R$2:$R$15000,"291327")</f>
        <v>0</v>
      </c>
      <c r="Q48" s="1">
        <f t="shared" si="9"/>
        <v>17.5</v>
      </c>
    </row>
  </sheetData>
  <mergeCells count="21">
    <mergeCell ref="E42:Q42"/>
    <mergeCell ref="E43:E44"/>
    <mergeCell ref="F43:K43"/>
    <mergeCell ref="L43:Q43"/>
    <mergeCell ref="E25:E26"/>
    <mergeCell ref="F25:K25"/>
    <mergeCell ref="L25:Q25"/>
    <mergeCell ref="E33:Q33"/>
    <mergeCell ref="E34:E35"/>
    <mergeCell ref="F34:K34"/>
    <mergeCell ref="L34:Q34"/>
    <mergeCell ref="E15:Q15"/>
    <mergeCell ref="E16:E17"/>
    <mergeCell ref="F16:K16"/>
    <mergeCell ref="L16:Q16"/>
    <mergeCell ref="E24:Q24"/>
    <mergeCell ref="E1:Q3"/>
    <mergeCell ref="E6:Q6"/>
    <mergeCell ref="E7:E8"/>
    <mergeCell ref="F7:K7"/>
    <mergeCell ref="L7:Q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E1CC-35A3-4336-BA70-448C5B947C06}">
  <dimension ref="E1:S30"/>
  <sheetViews>
    <sheetView topLeftCell="A28" workbookViewId="0"/>
  </sheetViews>
  <sheetFormatPr defaultRowHeight="15" x14ac:dyDescent="0.25"/>
  <cols>
    <col min="1" max="4" width="10.7109375" customWidth="1"/>
    <col min="5" max="5" width="13.7109375" bestFit="1" customWidth="1"/>
  </cols>
  <sheetData>
    <row r="1" spans="5:19" x14ac:dyDescent="0.25">
      <c r="E1" s="16" t="s">
        <v>8135</v>
      </c>
      <c r="F1" s="17"/>
      <c r="G1" s="17"/>
      <c r="H1" s="17"/>
      <c r="I1" s="17"/>
      <c r="J1" s="17"/>
      <c r="K1" s="17"/>
      <c r="L1" s="17"/>
      <c r="M1" s="17"/>
      <c r="N1" s="17"/>
      <c r="O1" s="17"/>
      <c r="P1" s="17"/>
      <c r="Q1" s="17"/>
      <c r="R1" t="s">
        <v>8141</v>
      </c>
      <c r="S1">
        <v>3</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3932</v>
      </c>
      <c r="F6" s="12"/>
      <c r="G6" s="12"/>
      <c r="H6" s="12"/>
      <c r="I6" s="12"/>
      <c r="J6" s="12"/>
      <c r="K6" s="12"/>
      <c r="L6" s="12"/>
      <c r="M6" s="12"/>
      <c r="N6" s="12"/>
      <c r="O6" s="12"/>
      <c r="P6" s="12"/>
      <c r="Q6" s="12"/>
    </row>
    <row r="7" spans="5:19" x14ac:dyDescent="0.25">
      <c r="E7" s="13"/>
      <c r="F7" s="15" t="s">
        <v>8147</v>
      </c>
      <c r="G7" s="15"/>
      <c r="H7" s="15"/>
      <c r="I7" s="15"/>
      <c r="J7" s="15"/>
      <c r="K7" s="15"/>
      <c r="L7" s="15" t="s">
        <v>8148</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PREVIOUS'!$R$2:$R$15000,"286422",'WH+RT PREVIOUS'!$N$2:$N$15000,"&gt;179",'WH+RT PREVIOUS'!$N$2:$N$15000,"&lt;366")</f>
        <v>10.290000000000001</v>
      </c>
      <c r="G9" s="1">
        <f>SUMIFS('WH+RT PREVIOUS'!$M$2:$M$15000,'WH+RT PREVIOUS'!$B$2:$B$15000,"15-15-15",'WH+RT PREVIOUS'!$R$2:$R$15000,"286422",'WH+RT PREVIOUS'!$N$2:$N$15000,"&gt;179",'WH+RT PREVIOUS'!$N$2:$N$15000,"&lt;366")</f>
        <v>1.45</v>
      </c>
      <c r="H9" s="1">
        <f>SUMIFS('WH+RT PREVIOUS'!$M$2:$M$15000,'WH+RT PREVIOUS'!$B$2:$B$15000,"Imp 10-26-26",'WH+RT PREVIOUS'!$R$2:$R$15000,"286422",'WH+RT PREVIOUS'!$N$2:$N$15000,"&gt;179",'WH+RT PREVIOUS'!$N$2:$N$15000,"&lt;366")</f>
        <v>0</v>
      </c>
      <c r="I9" s="1">
        <f>SUMIFS('WH+RT PREVIOUS'!$M$2:$M$15000,'WH+RT PREVIOUS'!$B$2:$B$15000,"MOP",'WH+RT PREVIOUS'!$R$2:$R$15000,"286422",'WH+RT PREVIOUS'!$N$2:$N$15000,"&gt;179",'WH+RT PREVIOUS'!$N$2:$N$15000,"&lt;366")</f>
        <v>0</v>
      </c>
      <c r="J9" s="1">
        <f>SUMIFS('WH+RT PREVIOUS'!$M$2:$M$15000,'WH+RT PREVIOUS'!$B$2:$B$15000,"Imp DAP",'WH+RT PREVIOUS'!$R$2:$R$15000,"286422",'WH+RT PREVIOUS'!$N$2:$N$15000,"&gt;179",'WH+RT PREVIOUS'!$N$2:$N$15000,"&lt;366")</f>
        <v>0</v>
      </c>
      <c r="K9" s="1">
        <f>F9+G9+H9+I9+J9</f>
        <v>11.74</v>
      </c>
      <c r="L9" s="1">
        <f>SUMIFS('WH+RT CURRENT'!$M$2:$M$15000,'WH+RT CURRENT'!$B$2:$B$15000,"N.C.Urea(45kg)",'WH+RT CURRENT'!$R$2:$R$15000,"286422",'WH+RT CURRENT'!$N$2:$N$15000,"&gt;179",'WH+RT CURRENT'!$N$2:$N$15000,"&lt;366")</f>
        <v>9.84</v>
      </c>
      <c r="M9" s="1">
        <f>SUMIFS('WH+RT CURRENT'!$M$2:$M$15000,'WH+RT CURRENT'!$B$2:$B$15000,"15-15-15",'WH+RT CURRENT'!$R$2:$R$15000,"286422",'WH+RT CURRENT'!$N$2:$N$15000,"&gt;179",'WH+RT CURRENT'!$N$2:$N$15000,"&lt;366")</f>
        <v>1.45</v>
      </c>
      <c r="N9" s="1">
        <f>SUMIFS('WH+RT CURRENT'!$M$2:$M$15000,'WH+RT CURRENT'!$B$2:$B$15000,"Imp 10-26-26",'WH+RT CURRENT'!$R$2:$R$15000,"286422",'WH+RT CURRENT'!$N$2:$N$15000,"&gt;179",'WH+RT CURRENT'!$N$2:$N$15000,"&lt;366")</f>
        <v>0</v>
      </c>
      <c r="O9" s="1">
        <f>SUMIFS('WH+RT CURRENT'!$M$2:$M$15000,'WH+RT CURRENT'!$B$2:$B$15000,"MOP",'WH+RT CURRENT'!$R$2:$R$15000,"286422",'WH+RT CURRENT'!$N$2:$N$15000,"&gt;179",'WH+RT CURRENT'!$N$2:$N$15000,"&lt;366")</f>
        <v>0</v>
      </c>
      <c r="P9" s="1">
        <f>SUMIFS('WH+RT CURRENT'!$M$2:$M$15000,'WH+RT CURRENT'!$B$2:$B$15000,"Imp DAP",'WH+RT CURRENT'!$R$2:$R$15000,"286422",'WH+RT CURRENT'!$N$2:$N$15000,"&gt;179",'WH+RT CURRENT'!$N$2:$N$15000,"&lt;366")</f>
        <v>0</v>
      </c>
      <c r="Q9" s="1">
        <f>L9+M9+N9+O9+P9</f>
        <v>11.29</v>
      </c>
    </row>
    <row r="10" spans="5:19" x14ac:dyDescent="0.25">
      <c r="E10" s="2" t="s">
        <v>6</v>
      </c>
      <c r="F10" s="1">
        <f>SUMIFS('WH+RT PREVIOUS'!$M$2:$M$15000,'WH+RT PREVIOUS'!$B$2:$B$15000,"N.C.Urea(45kg)",'WH+RT PREVIOUS'!$R$2:$R$15000,"286422",'WH+RT PREVIOUS'!$N$2:$N$15000,"&gt;365")</f>
        <v>15.49</v>
      </c>
      <c r="G10" s="1">
        <f>SUMIFS('WH+RT PREVIOUS'!$M$2:$M$15000,'WH+RT PREVIOUS'!$B$2:$B$15000,"15-15-15",'WH+RT PREVIOUS'!$R$2:$R$15000,"286422",'WH+RT PREVIOUS'!$N$2:$N$15000,"&gt;365")</f>
        <v>0</v>
      </c>
      <c r="H10" s="1">
        <f>SUMIFS('WH+RT PREVIOUS'!$M$2:$M$15000,'WH+RT PREVIOUS'!$B$2:$B$15000,"Imp 10-26-26",'WH+RT PREVIOUS'!$R$2:$R$15000,"286422",'WH+RT PREVIOUS'!$N$2:$N$15000,"&gt;365")</f>
        <v>0</v>
      </c>
      <c r="I10" s="1">
        <f>SUMIFS('WH+RT PREVIOUS'!$M$2:$M$15000,'WH+RT PREVIOUS'!$B$2:$B$15000,"MOP",'WH+RT PREVIOUS'!$R$2:$R$15000,"286422",'WH+RT PREVIOUS'!$N$2:$N$15000,"&gt;365")</f>
        <v>0</v>
      </c>
      <c r="J10" s="1">
        <f>SUMIFS('WH+RT PREVIOUS'!$M$2:$M$15000,'WH+RT PREVIOUS'!$B$2:$B$15000,"Imp DAP",'WH+RT PREVIOUS'!$R$2:$R$15000,"286422",'WH+RT PREVIOUS'!$N$2:$N$15000,"&gt;365")</f>
        <v>0</v>
      </c>
      <c r="K10" s="1">
        <f t="shared" ref="K10:K12" si="0">F10+G10+H10+I10+J10</f>
        <v>15.49</v>
      </c>
      <c r="L10" s="1">
        <f>SUMIFS('WH+RT CURRENT'!$M$2:$M$15000,'WH+RT CURRENT'!$B$2:$B$15000,"N.C.Urea(45kg)",'WH+RT CURRENT'!$R$2:$R$15000,"286422",'WH+RT CURRENT'!$N$2:$N$15000,"&gt;365")</f>
        <v>15.490000000000002</v>
      </c>
      <c r="M10" s="1">
        <f>SUMIFS('WH+RT CURRENT'!$M$2:$M$15000,'WH+RT CURRENT'!$B$2:$B$15000,"15-15-15",'WH+RT CURRENT'!$R$2:$R$15000,"286422",'WH+RT CURRENT'!$N$2:$N$15000,"&gt;365")</f>
        <v>0</v>
      </c>
      <c r="N10" s="1">
        <f>SUMIFS('WH+RT CURRENT'!$M$2:$M$15000,'WH+RT CURRENT'!$B$2:$B$15000,"Imp 10-26-26",'WH+RT CURRENT'!$R$2:$R$15000,"286422",'WH+RT CURRENT'!$N$2:$N$15000,"&gt;365")</f>
        <v>0</v>
      </c>
      <c r="O10" s="1">
        <f>SUMIFS('WH+RT CURRENT'!$M$2:$M$15000,'WH+RT CURRENT'!$B$2:$B$15000,"MOP",'WH+RT CURRENT'!$R$2:$R$15000,"286422",'WH+RT CURRENT'!$N$2:$N$15000,"&gt;365")</f>
        <v>0</v>
      </c>
      <c r="P10" s="1">
        <f>SUMIFS('WH+RT CURRENT'!$M$2:$M$15000,'WH+RT CURRENT'!$B$2:$B$15000,"Imp DAP",'WH+RT CURRENT'!$R$2:$R$15000,"286422",'WH+RT CURRENT'!$N$2:$N$15000,"&gt;365")</f>
        <v>0</v>
      </c>
      <c r="Q10" s="1">
        <f t="shared" ref="Q10:Q12" si="1">L10+M10+N10+O10+P10</f>
        <v>15.490000000000002</v>
      </c>
    </row>
    <row r="11" spans="5:19" x14ac:dyDescent="0.25">
      <c r="E11" s="2" t="s">
        <v>7</v>
      </c>
      <c r="F11" s="1">
        <f>F9+F10</f>
        <v>25.78</v>
      </c>
      <c r="G11" s="1">
        <f>G9+G10</f>
        <v>1.45</v>
      </c>
      <c r="H11" s="1">
        <f>H9+H10</f>
        <v>0</v>
      </c>
      <c r="I11" s="1">
        <f>I9+I10</f>
        <v>0</v>
      </c>
      <c r="J11" s="1">
        <f>J9+J10</f>
        <v>0</v>
      </c>
      <c r="K11" s="1">
        <f t="shared" si="0"/>
        <v>27.23</v>
      </c>
      <c r="L11" s="1">
        <f>L9+L10</f>
        <v>25.330000000000002</v>
      </c>
      <c r="M11" s="1">
        <f>M9+M10</f>
        <v>1.45</v>
      </c>
      <c r="N11" s="1">
        <f>N9+N10</f>
        <v>0</v>
      </c>
      <c r="O11" s="1">
        <f>O9+O10</f>
        <v>0</v>
      </c>
      <c r="P11" s="1">
        <f>P9+P10</f>
        <v>0</v>
      </c>
      <c r="Q11" s="1">
        <f t="shared" si="1"/>
        <v>26.78</v>
      </c>
    </row>
    <row r="12" spans="5:19" x14ac:dyDescent="0.25">
      <c r="E12" s="2" t="s">
        <v>9</v>
      </c>
      <c r="F12" s="1">
        <f>SUMIFS('WH+RT PREVIOUS'!$M$2:$M$15000,'WH+RT PREVIOUS'!$B$2:$B$15000,"N.C.Urea(45kg)",'WH+RT PREVIOUS'!$R$2:$R$15000,"286422")</f>
        <v>251.10100000000003</v>
      </c>
      <c r="G12" s="1">
        <f>SUMIFS('WH+RT PREVIOUS'!$M$2:$M$15000,'WH+RT PREVIOUS'!$B$2:$B$15000,"15-15-15",'WH+RT PREVIOUS'!$R$2:$R$15000,"286422")</f>
        <v>3.75</v>
      </c>
      <c r="H12" s="1">
        <f>SUMIFS('WH+RT PREVIOUS'!$M$2:$M$15000,'WH+RT PREVIOUS'!$B$2:$B$15000,"Imp 10-26-26",'WH+RT PREVIOUS'!$R$2:$R$15000,"286422")</f>
        <v>15.4</v>
      </c>
      <c r="I12" s="1">
        <f>SUMIFS('WH+RT PREVIOUS'!$M$2:$M$15000,'WH+RT PREVIOUS'!$B$2:$B$15000,"MOP",'WH+RT PREVIOUS'!$R$2:$R$15000,"286422")</f>
        <v>0</v>
      </c>
      <c r="J12" s="1">
        <f>SUMIFS('WH+RT PREVIOUS'!$M$2:$M$15000,'WH+RT PREVIOUS'!$B$2:$B$15000,"Imp DAP",'WH+RT PREVIOUS'!$R$2:$R$15000,"286422")</f>
        <v>0</v>
      </c>
      <c r="K12" s="1">
        <f t="shared" si="0"/>
        <v>270.25100000000003</v>
      </c>
      <c r="L12" s="1">
        <f>SUMIFS('WH+RT CURRENT'!$M$2:$M$15000,'WH+RT CURRENT'!$B$2:$B$15000,"N.C.Urea(45kg)",'WH+RT CURRENT'!$R$2:$R$15000,"286422")</f>
        <v>262.16600000000005</v>
      </c>
      <c r="M12" s="1">
        <f>SUMIFS('WH+RT CURRENT'!$M$2:$M$15000,'WH+RT CURRENT'!$B$2:$B$15000,"15-15-15",'WH+RT CURRENT'!$R$2:$R$15000,"286422")</f>
        <v>3.2</v>
      </c>
      <c r="N12" s="1">
        <f>SUMIFS('WH+RT CURRENT'!$M$2:$M$15000,'WH+RT CURRENT'!$B$2:$B$15000,"Imp 10-26-26",'WH+RT CURRENT'!$R$2:$R$15000,"286422")</f>
        <v>15.4</v>
      </c>
      <c r="O12" s="1">
        <f>SUMIFS('WH+RT CURRENT'!$M$2:$M$15000,'WH+RT CURRENT'!$B$2:$B$15000,"MOP",'WH+RT CURRENT'!$R$2:$R$15000,"286422")</f>
        <v>0</v>
      </c>
      <c r="P12" s="1">
        <f>SUMIFS('WH+RT CURRENT'!$M$2:$M$15000,'WH+RT CURRENT'!$B$2:$B$15000,"Imp DAP",'WH+RT CURRENT'!$R$2:$R$15000,"286422")</f>
        <v>0</v>
      </c>
      <c r="Q12" s="1">
        <f t="shared" si="1"/>
        <v>280.76600000000002</v>
      </c>
    </row>
    <row r="15" spans="5:19" x14ac:dyDescent="0.25">
      <c r="E15" s="12" t="s">
        <v>539</v>
      </c>
      <c r="F15" s="12"/>
      <c r="G15" s="12"/>
      <c r="H15" s="12"/>
      <c r="I15" s="12"/>
      <c r="J15" s="12"/>
      <c r="K15" s="12"/>
      <c r="L15" s="12"/>
      <c r="M15" s="12"/>
      <c r="N15" s="12"/>
      <c r="O15" s="12"/>
      <c r="P15" s="12"/>
      <c r="Q15" s="12"/>
    </row>
    <row r="16" spans="5:19" x14ac:dyDescent="0.25">
      <c r="E16" s="13"/>
      <c r="F16" s="15" t="s">
        <v>8147</v>
      </c>
      <c r="G16" s="15"/>
      <c r="H16" s="15"/>
      <c r="I16" s="15"/>
      <c r="J16" s="15"/>
      <c r="K16" s="15"/>
      <c r="L16" s="15" t="s">
        <v>8148</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PREVIOUS'!$R$2:$R$15000,"263373",'WH+RT PREVIOUS'!$N$2:$N$15000,"&gt;179",'WH+RT PREVIOUS'!$N$2:$N$15000,"&lt;366")</f>
        <v>53.775000000000006</v>
      </c>
      <c r="G18" s="1">
        <f>SUMIFS('WH+RT PREVIOUS'!$M$2:$M$15000,'WH+RT PREVIOUS'!$B$2:$B$15000,"15-15-15",'WH+RT PREVIOUS'!$R$2:$R$15000,"263373",'WH+RT PREVIOUS'!$N$2:$N$15000,"&gt;179",'WH+RT PREVIOUS'!$N$2:$N$15000,"&lt;366")</f>
        <v>31.075000000000003</v>
      </c>
      <c r="H18" s="1">
        <f>SUMIFS('WH+RT PREVIOUS'!$M$2:$M$15000,'WH+RT PREVIOUS'!$B$2:$B$15000,"Imp 10-26-26",'WH+RT PREVIOUS'!$R$2:$R$15000,"263373",'WH+RT PREVIOUS'!$N$2:$N$15000,"&gt;179",'WH+RT PREVIOUS'!$N$2:$N$15000,"&lt;366")</f>
        <v>0</v>
      </c>
      <c r="I18" s="1">
        <f>SUMIFS('WH+RT PREVIOUS'!$M$2:$M$15000,'WH+RT PREVIOUS'!$B$2:$B$15000,"MOP",'WH+RT PREVIOUS'!$R$2:$R$15000,"263373",'WH+RT PREVIOUS'!$N$2:$N$15000,"&gt;179",'WH+RT PREVIOUS'!$N$2:$N$15000,"&lt;366")</f>
        <v>0</v>
      </c>
      <c r="J18" s="1">
        <f>SUMIFS('WH+RT PREVIOUS'!$M$2:$M$15000,'WH+RT PREVIOUS'!$B$2:$B$15000,"Imp DAP",'WH+RT PREVIOUS'!$R$2:$R$15000,"263373",'WH+RT PREVIOUS'!$N$2:$N$15000,"&gt;179",'WH+RT PREVIOUS'!$N$2:$N$15000,"&lt;366")</f>
        <v>0</v>
      </c>
      <c r="K18" s="1">
        <f>F18+G18+H18+I18+J18</f>
        <v>84.850000000000009</v>
      </c>
      <c r="L18" s="1">
        <f>SUMIFS('WH+RT CURRENT'!$M$2:$M$15000,'WH+RT CURRENT'!$B$2:$B$15000,"N.C.Urea(45kg)",'WH+RT CURRENT'!$R$2:$R$15000,"263373",'WH+RT CURRENT'!$N$2:$N$15000,"&gt;179",'WH+RT CURRENT'!$N$2:$N$15000,"&lt;366")</f>
        <v>39.81</v>
      </c>
      <c r="M18" s="1">
        <f>SUMIFS('WH+RT CURRENT'!$M$2:$M$15000,'WH+RT CURRENT'!$B$2:$B$15000,"15-15-15",'WH+RT CURRENT'!$R$2:$R$15000,"263373",'WH+RT CURRENT'!$N$2:$N$15000,"&gt;179",'WH+RT CURRENT'!$N$2:$N$15000,"&lt;366")</f>
        <v>29.025000000000002</v>
      </c>
      <c r="N18" s="1">
        <f>SUMIFS('WH+RT CURRENT'!$M$2:$M$15000,'WH+RT CURRENT'!$B$2:$B$15000,"Imp 10-26-26",'WH+RT CURRENT'!$R$2:$R$15000,"263373",'WH+RT CURRENT'!$N$2:$N$15000,"&gt;179",'WH+RT CURRENT'!$N$2:$N$15000,"&lt;366")</f>
        <v>0</v>
      </c>
      <c r="O18" s="1">
        <f>SUMIFS('WH+RT CURRENT'!$M$2:$M$15000,'WH+RT CURRENT'!$B$2:$B$15000,"MOP",'WH+RT CURRENT'!$R$2:$R$15000,"263373",'WH+RT CURRENT'!$N$2:$N$15000,"&gt;179",'WH+RT CURRENT'!$N$2:$N$15000,"&lt;366")</f>
        <v>0</v>
      </c>
      <c r="P18" s="1">
        <f>SUMIFS('WH+RT CURRENT'!$M$2:$M$15000,'WH+RT CURRENT'!$B$2:$B$15000,"Imp DAP",'WH+RT CURRENT'!$R$2:$R$15000,"263373",'WH+RT CURRENT'!$N$2:$N$15000,"&gt;179",'WH+RT CURRENT'!$N$2:$N$15000,"&lt;366")</f>
        <v>0</v>
      </c>
      <c r="Q18" s="1">
        <f>L18+M18+N18+O18+P18</f>
        <v>68.835000000000008</v>
      </c>
    </row>
    <row r="19" spans="5:17" x14ac:dyDescent="0.25">
      <c r="E19" s="2" t="s">
        <v>6</v>
      </c>
      <c r="F19" s="1">
        <f>SUMIFS('WH+RT PREVIOUS'!$M$2:$M$15000,'WH+RT PREVIOUS'!$B$2:$B$15000,"N.C.Urea(45kg)",'WH+RT PREVIOUS'!$R$2:$R$15000,"263373",'WH+RT PREVIOUS'!$N$2:$N$15000,"&gt;365")</f>
        <v>80.500999999999991</v>
      </c>
      <c r="G19" s="1">
        <f>SUMIFS('WH+RT PREVIOUS'!$M$2:$M$15000,'WH+RT PREVIOUS'!$B$2:$B$15000,"15-15-15",'WH+RT PREVIOUS'!$R$2:$R$15000,"263373",'WH+RT PREVIOUS'!$N$2:$N$15000,"&gt;365")</f>
        <v>0</v>
      </c>
      <c r="H19" s="1">
        <f>SUMIFS('WH+RT PREVIOUS'!$M$2:$M$15000,'WH+RT PREVIOUS'!$B$2:$B$15000,"Imp 10-26-26",'WH+RT PREVIOUS'!$R$2:$R$15000,"263373",'WH+RT PREVIOUS'!$N$2:$N$15000,"&gt;365")</f>
        <v>0</v>
      </c>
      <c r="I19" s="1">
        <f>SUMIFS('WH+RT PREVIOUS'!$M$2:$M$15000,'WH+RT PREVIOUS'!$B$2:$B$15000,"MOP",'WH+RT PREVIOUS'!$R$2:$R$15000,"263373",'WH+RT PREVIOUS'!$N$2:$N$15000,"&gt;365")</f>
        <v>0.45</v>
      </c>
      <c r="J19" s="1">
        <f>SUMIFS('WH+RT PREVIOUS'!$M$2:$M$15000,'WH+RT PREVIOUS'!$B$2:$B$15000,"Imp DAP",'WH+RT PREVIOUS'!$R$2:$R$15000,"263373",'WH+RT PREVIOUS'!$N$2:$N$15000,"&gt;365")</f>
        <v>0</v>
      </c>
      <c r="K19" s="1">
        <f t="shared" ref="K19:K21" si="2">F19+G19+H19+I19+J19</f>
        <v>80.950999999999993</v>
      </c>
      <c r="L19" s="1">
        <f>SUMIFS('WH+RT CURRENT'!$M$2:$M$15000,'WH+RT CURRENT'!$B$2:$B$15000,"N.C.Urea(45kg)",'WH+RT CURRENT'!$R$2:$R$15000,"263373",'WH+RT CURRENT'!$N$2:$N$15000,"&gt;365")</f>
        <v>82.615999999999985</v>
      </c>
      <c r="M19" s="1">
        <f>SUMIFS('WH+RT CURRENT'!$M$2:$M$15000,'WH+RT CURRENT'!$B$2:$B$15000,"15-15-15",'WH+RT CURRENT'!$R$2:$R$15000,"263373",'WH+RT CURRENT'!$N$2:$N$15000,"&gt;365")</f>
        <v>0</v>
      </c>
      <c r="N19" s="1">
        <f>SUMIFS('WH+RT CURRENT'!$M$2:$M$15000,'WH+RT CURRENT'!$B$2:$B$15000,"Imp 10-26-26",'WH+RT CURRENT'!$R$2:$R$15000,"263373",'WH+RT CURRENT'!$N$2:$N$15000,"&gt;365")</f>
        <v>0</v>
      </c>
      <c r="O19" s="1">
        <f>SUMIFS('WH+RT CURRENT'!$M$2:$M$15000,'WH+RT CURRENT'!$B$2:$B$15000,"MOP",'WH+RT CURRENT'!$R$2:$R$15000,"263373",'WH+RT CURRENT'!$N$2:$N$15000,"&gt;365")</f>
        <v>0.45</v>
      </c>
      <c r="P19" s="1">
        <f>SUMIFS('WH+RT CURRENT'!$M$2:$M$15000,'WH+RT CURRENT'!$B$2:$B$15000,"Imp DAP",'WH+RT CURRENT'!$R$2:$R$15000,"263373",'WH+RT CURRENT'!$N$2:$N$15000,"&gt;365")</f>
        <v>0</v>
      </c>
      <c r="Q19" s="1">
        <f t="shared" ref="Q19:Q21" si="3">L19+M19+N19+O19+P19</f>
        <v>83.065999999999988</v>
      </c>
    </row>
    <row r="20" spans="5:17" x14ac:dyDescent="0.25">
      <c r="E20" s="2" t="s">
        <v>7</v>
      </c>
      <c r="F20" s="1">
        <f>F18+F19</f>
        <v>134.27600000000001</v>
      </c>
      <c r="G20" s="1">
        <f>G18+G19</f>
        <v>31.075000000000003</v>
      </c>
      <c r="H20" s="1">
        <f>H18+H19</f>
        <v>0</v>
      </c>
      <c r="I20" s="1">
        <f>I18+I19</f>
        <v>0.45</v>
      </c>
      <c r="J20" s="1">
        <f>J18+J19</f>
        <v>0</v>
      </c>
      <c r="K20" s="1">
        <f t="shared" si="2"/>
        <v>165.80099999999999</v>
      </c>
      <c r="L20" s="1">
        <f>L18+L19</f>
        <v>122.42599999999999</v>
      </c>
      <c r="M20" s="1">
        <f>M18+M19</f>
        <v>29.025000000000002</v>
      </c>
      <c r="N20" s="1">
        <f>N18+N19</f>
        <v>0</v>
      </c>
      <c r="O20" s="1">
        <f>O18+O19</f>
        <v>0.45</v>
      </c>
      <c r="P20" s="1">
        <f>P18+P19</f>
        <v>0</v>
      </c>
      <c r="Q20" s="1">
        <f t="shared" si="3"/>
        <v>151.90099999999998</v>
      </c>
    </row>
    <row r="21" spans="5:17" x14ac:dyDescent="0.25">
      <c r="E21" s="2" t="s">
        <v>9</v>
      </c>
      <c r="F21" s="1">
        <f>SUMIFS('WH+RT PREVIOUS'!$M$2:$M$15000,'WH+RT PREVIOUS'!$B$2:$B$15000,"N.C.Urea(45kg)",'WH+RT PREVIOUS'!$R$2:$R$15000,"263373")</f>
        <v>1189.2209999999993</v>
      </c>
      <c r="G21" s="1">
        <f>SUMIFS('WH+RT PREVIOUS'!$M$2:$M$15000,'WH+RT PREVIOUS'!$B$2:$B$15000,"15-15-15",'WH+RT PREVIOUS'!$R$2:$R$15000,"263373")</f>
        <v>60.024999999999999</v>
      </c>
      <c r="H21" s="1">
        <f>SUMIFS('WH+RT PREVIOUS'!$M$2:$M$15000,'WH+RT PREVIOUS'!$B$2:$B$15000,"Imp 10-26-26",'WH+RT PREVIOUS'!$R$2:$R$15000,"263373")</f>
        <v>62.499999999999993</v>
      </c>
      <c r="I21" s="1">
        <f>SUMIFS('WH+RT PREVIOUS'!$M$2:$M$15000,'WH+RT PREVIOUS'!$B$2:$B$15000,"MOP",'WH+RT PREVIOUS'!$R$2:$R$15000,"263373")</f>
        <v>0.45</v>
      </c>
      <c r="J21" s="1">
        <f>SUMIFS('WH+RT PREVIOUS'!$M$2:$M$15000,'WH+RT PREVIOUS'!$B$2:$B$15000,"Imp DAP",'WH+RT PREVIOUS'!$R$2:$R$15000,"263373")</f>
        <v>0</v>
      </c>
      <c r="K21" s="1">
        <f t="shared" si="2"/>
        <v>1312.1959999999995</v>
      </c>
      <c r="L21" s="1">
        <f>SUMIFS('WH+RT CURRENT'!$M$2:$M$15000,'WH+RT CURRENT'!$B$2:$B$15000,"N.C.Urea(45kg)",'WH+RT CURRENT'!$R$2:$R$15000,"263373")</f>
        <v>1134.9809999999998</v>
      </c>
      <c r="M21" s="1">
        <f>SUMIFS('WH+RT CURRENT'!$M$2:$M$15000,'WH+RT CURRENT'!$B$2:$B$15000,"15-15-15",'WH+RT CURRENT'!$R$2:$R$15000,"263373")</f>
        <v>57.975000000000001</v>
      </c>
      <c r="N21" s="1">
        <f>SUMIFS('WH+RT CURRENT'!$M$2:$M$15000,'WH+RT CURRENT'!$B$2:$B$15000,"Imp 10-26-26",'WH+RT CURRENT'!$R$2:$R$15000,"263373")</f>
        <v>58.800000000000004</v>
      </c>
      <c r="O21" s="1">
        <f>SUMIFS('WH+RT CURRENT'!$M$2:$M$15000,'WH+RT CURRENT'!$B$2:$B$15000,"MOP",'WH+RT CURRENT'!$R$2:$R$15000,"263373")</f>
        <v>0.45</v>
      </c>
      <c r="P21" s="1">
        <f>SUMIFS('WH+RT CURRENT'!$M$2:$M$15000,'WH+RT CURRENT'!$B$2:$B$15000,"Imp DAP",'WH+RT CURRENT'!$R$2:$R$15000,"263373")</f>
        <v>0</v>
      </c>
      <c r="Q21" s="1">
        <f t="shared" si="3"/>
        <v>1252.2059999999997</v>
      </c>
    </row>
    <row r="24" spans="5:17" x14ac:dyDescent="0.25">
      <c r="E24" s="12" t="s">
        <v>524</v>
      </c>
      <c r="F24" s="12"/>
      <c r="G24" s="12"/>
      <c r="H24" s="12"/>
      <c r="I24" s="12"/>
      <c r="J24" s="12"/>
      <c r="K24" s="12"/>
      <c r="L24" s="12"/>
      <c r="M24" s="12"/>
      <c r="N24" s="12"/>
      <c r="O24" s="12"/>
      <c r="P24" s="12"/>
      <c r="Q24" s="12"/>
    </row>
    <row r="25" spans="5:17" x14ac:dyDescent="0.25">
      <c r="E25" s="13"/>
      <c r="F25" s="15" t="s">
        <v>8147</v>
      </c>
      <c r="G25" s="15"/>
      <c r="H25" s="15"/>
      <c r="I25" s="15"/>
      <c r="J25" s="15"/>
      <c r="K25" s="15"/>
      <c r="L25" s="15" t="s">
        <v>8148</v>
      </c>
      <c r="M25" s="15"/>
      <c r="N25" s="15"/>
      <c r="O25" s="15"/>
      <c r="P25" s="15"/>
      <c r="Q25" s="15"/>
    </row>
    <row r="26" spans="5:17" x14ac:dyDescent="0.25">
      <c r="E26" s="14"/>
      <c r="F26" s="2" t="s">
        <v>0</v>
      </c>
      <c r="G26" s="2" t="s">
        <v>1</v>
      </c>
      <c r="H26" s="2" t="s">
        <v>2</v>
      </c>
      <c r="I26" s="2" t="s">
        <v>3</v>
      </c>
      <c r="J26" s="2" t="s">
        <v>8128</v>
      </c>
      <c r="K26" s="2" t="s">
        <v>4</v>
      </c>
      <c r="L26" s="2" t="s">
        <v>0</v>
      </c>
      <c r="M26" s="2" t="s">
        <v>1</v>
      </c>
      <c r="N26" s="2" t="s">
        <v>2</v>
      </c>
      <c r="O26" s="2" t="s">
        <v>3</v>
      </c>
      <c r="P26" s="2" t="s">
        <v>8128</v>
      </c>
      <c r="Q26" s="2" t="s">
        <v>4</v>
      </c>
    </row>
    <row r="27" spans="5:17" x14ac:dyDescent="0.25">
      <c r="E27" s="2" t="s">
        <v>5</v>
      </c>
      <c r="F27" s="1">
        <f>SUMIFS('WH+RT PREVIOUS'!$M$2:$M$15000,'WH+RT PREVIOUS'!$B$2:$B$15000,"N.C.Urea(45kg)",'WH+RT PREVIOUS'!$R$2:$R$15000,"263382",'WH+RT PREVIOUS'!$N$2:$N$15000,"&gt;179",'WH+RT PREVIOUS'!$N$2:$N$15000,"&lt;366")</f>
        <v>5.31</v>
      </c>
      <c r="G27" s="1">
        <f>SUMIFS('WH+RT PREVIOUS'!$M$2:$M$15000,'WH+RT PREVIOUS'!$B$2:$B$15000,"15-15-15",'WH+RT PREVIOUS'!$R$2:$R$15000,"263382",'WH+RT PREVIOUS'!$N$2:$N$15000,"&gt;179",'WH+RT PREVIOUS'!$N$2:$N$15000,"&lt;366")</f>
        <v>6.55</v>
      </c>
      <c r="H27" s="1">
        <f>SUMIFS('WH+RT PREVIOUS'!$M$2:$M$15000,'WH+RT PREVIOUS'!$B$2:$B$15000,"Imp 10-26-26",'WH+RT PREVIOUS'!$R$2:$R$15000,"263382",'WH+RT PREVIOUS'!$N$2:$N$15000,"&gt;179",'WH+RT PREVIOUS'!$N$2:$N$15000,"&lt;366")</f>
        <v>0</v>
      </c>
      <c r="I27" s="1">
        <f>SUMIFS('WH+RT PREVIOUS'!$M$2:$M$15000,'WH+RT PREVIOUS'!$B$2:$B$15000,"MOP",'WH+RT PREVIOUS'!$R$2:$R$15000,"263382",'WH+RT PREVIOUS'!$N$2:$N$15000,"&gt;179",'WH+RT PREVIOUS'!$N$2:$N$15000,"&lt;366")</f>
        <v>1.5</v>
      </c>
      <c r="J27" s="1">
        <f>SUMIFS('WH+RT PREVIOUS'!$M$2:$M$15000,'WH+RT PREVIOUS'!$B$2:$B$15000,"Imp DAP",'WH+RT PREVIOUS'!$R$2:$R$15000,"263382",'WH+RT PREVIOUS'!$N$2:$N$15000,"&gt;179",'WH+RT PREVIOUS'!$N$2:$N$15000,"&lt;366")</f>
        <v>0</v>
      </c>
      <c r="K27" s="1">
        <f>F27+G27+H27+I27+J27</f>
        <v>13.36</v>
      </c>
      <c r="L27" s="1">
        <f>SUMIFS('WH+RT CURRENT'!$M$2:$M$15000,'WH+RT CURRENT'!$B$2:$B$15000,"N.C.Urea(45kg)",'WH+RT CURRENT'!$R$2:$R$15000,"263382",'WH+RT CURRENT'!$N$2:$N$15000,"&gt;179",'WH+RT CURRENT'!$N$2:$N$15000,"&lt;366")</f>
        <v>5.3100000000000005</v>
      </c>
      <c r="M27" s="1">
        <f>SUMIFS('WH+RT CURRENT'!$M$2:$M$15000,'WH+RT CURRENT'!$B$2:$B$15000,"15-15-15",'WH+RT CURRENT'!$R$2:$R$15000,"263382",'WH+RT CURRENT'!$N$2:$N$15000,"&gt;179",'WH+RT CURRENT'!$N$2:$N$15000,"&lt;366")</f>
        <v>5.1499999999999995</v>
      </c>
      <c r="N27" s="1">
        <f>SUMIFS('WH+RT CURRENT'!$M$2:$M$15000,'WH+RT CURRENT'!$B$2:$B$15000,"Imp 10-26-26",'WH+RT CURRENT'!$R$2:$R$15000,"263382",'WH+RT CURRENT'!$N$2:$N$15000,"&gt;179",'WH+RT CURRENT'!$N$2:$N$15000,"&lt;366")</f>
        <v>0</v>
      </c>
      <c r="O27" s="1">
        <f>SUMIFS('WH+RT CURRENT'!$M$2:$M$15000,'WH+RT CURRENT'!$B$2:$B$15000,"MOP",'WH+RT CURRENT'!$R$2:$R$15000,"263382",'WH+RT CURRENT'!$N$2:$N$15000,"&gt;179",'WH+RT CURRENT'!$N$2:$N$15000,"&lt;366")</f>
        <v>1.5</v>
      </c>
      <c r="P27" s="1">
        <f>SUMIFS('WH+RT CURRENT'!$M$2:$M$15000,'WH+RT CURRENT'!$B$2:$B$15000,"Imp DAP",'WH+RT CURRENT'!$R$2:$R$15000,"263382",'WH+RT CURRENT'!$N$2:$N$15000,"&gt;179",'WH+RT CURRENT'!$N$2:$N$15000,"&lt;366")</f>
        <v>0</v>
      </c>
      <c r="Q27" s="1">
        <f>L27+M27+N27+O27+P27</f>
        <v>11.96</v>
      </c>
    </row>
    <row r="28" spans="5:17" x14ac:dyDescent="0.25">
      <c r="E28" s="2" t="s">
        <v>6</v>
      </c>
      <c r="F28" s="1">
        <f>SUMIFS('WH+RT PREVIOUS'!$M$2:$M$15000,'WH+RT PREVIOUS'!$B$2:$B$15000,"N.C.Urea(45kg)",'WH+RT PREVIOUS'!$R$2:$R$15000,"263382",'WH+RT PREVIOUS'!$N$2:$N$15000,"&gt;365")</f>
        <v>7.7849999999999993</v>
      </c>
      <c r="G28" s="1">
        <f>SUMIFS('WH+RT PREVIOUS'!$M$2:$M$15000,'WH+RT PREVIOUS'!$B$2:$B$15000,"15-15-15",'WH+RT PREVIOUS'!$R$2:$R$15000,"263382",'WH+RT PREVIOUS'!$N$2:$N$15000,"&gt;365")</f>
        <v>0</v>
      </c>
      <c r="H28" s="1">
        <f>SUMIFS('WH+RT PREVIOUS'!$M$2:$M$15000,'WH+RT PREVIOUS'!$B$2:$B$15000,"Imp 10-26-26",'WH+RT PREVIOUS'!$R$2:$R$15000,"263382",'WH+RT PREVIOUS'!$N$2:$N$15000,"&gt;365")</f>
        <v>0</v>
      </c>
      <c r="I28" s="1">
        <f>SUMIFS('WH+RT PREVIOUS'!$M$2:$M$15000,'WH+RT PREVIOUS'!$B$2:$B$15000,"MOP",'WH+RT PREVIOUS'!$R$2:$R$15000,"263382",'WH+RT PREVIOUS'!$N$2:$N$15000,"&gt;365")</f>
        <v>0</v>
      </c>
      <c r="J28" s="1">
        <f>SUMIFS('WH+RT PREVIOUS'!$M$2:$M$15000,'WH+RT PREVIOUS'!$B$2:$B$15000,"Imp DAP",'WH+RT PREVIOUS'!$R$2:$R$15000,"263382",'WH+RT PREVIOUS'!$N$2:$N$15000,"&gt;365")</f>
        <v>0</v>
      </c>
      <c r="K28" s="1">
        <f t="shared" ref="K28:K30" si="4">F28+G28+H28+I28+J28</f>
        <v>7.7849999999999993</v>
      </c>
      <c r="L28" s="1">
        <f>SUMIFS('WH+RT CURRENT'!$M$2:$M$15000,'WH+RT CURRENT'!$B$2:$B$15000,"N.C.Urea(45kg)",'WH+RT CURRENT'!$R$2:$R$15000,"263382",'WH+RT CURRENT'!$N$2:$N$15000,"&gt;365")</f>
        <v>7.7850000000000001</v>
      </c>
      <c r="M28" s="1">
        <f>SUMIFS('WH+RT CURRENT'!$M$2:$M$15000,'WH+RT CURRENT'!$B$2:$B$15000,"15-15-15",'WH+RT CURRENT'!$R$2:$R$15000,"263382",'WH+RT CURRENT'!$N$2:$N$15000,"&gt;365")</f>
        <v>0</v>
      </c>
      <c r="N28" s="1">
        <f>SUMIFS('WH+RT CURRENT'!$M$2:$M$15000,'WH+RT CURRENT'!$B$2:$B$15000,"Imp 10-26-26",'WH+RT CURRENT'!$R$2:$R$15000,"263382",'WH+RT CURRENT'!$N$2:$N$15000,"&gt;365")</f>
        <v>0</v>
      </c>
      <c r="O28" s="1">
        <f>SUMIFS('WH+RT CURRENT'!$M$2:$M$15000,'WH+RT CURRENT'!$B$2:$B$15000,"MOP",'WH+RT CURRENT'!$R$2:$R$15000,"263382",'WH+RT CURRENT'!$N$2:$N$15000,"&gt;365")</f>
        <v>0</v>
      </c>
      <c r="P28" s="1">
        <f>SUMIFS('WH+RT CURRENT'!$M$2:$M$15000,'WH+RT CURRENT'!$B$2:$B$15000,"Imp DAP",'WH+RT CURRENT'!$R$2:$R$15000,"263382",'WH+RT CURRENT'!$N$2:$N$15000,"&gt;365")</f>
        <v>0</v>
      </c>
      <c r="Q28" s="1">
        <f t="shared" ref="Q28:Q30" si="5">L28+M28+N28+O28+P28</f>
        <v>7.7850000000000001</v>
      </c>
    </row>
    <row r="29" spans="5:17" x14ac:dyDescent="0.25">
      <c r="E29" s="2" t="s">
        <v>7</v>
      </c>
      <c r="F29" s="1">
        <f>F27+F28</f>
        <v>13.094999999999999</v>
      </c>
      <c r="G29" s="1">
        <f>G27+G28</f>
        <v>6.55</v>
      </c>
      <c r="H29" s="1">
        <f>H27+H28</f>
        <v>0</v>
      </c>
      <c r="I29" s="1">
        <f>I27+I28</f>
        <v>1.5</v>
      </c>
      <c r="J29" s="1">
        <f>J27+J28</f>
        <v>0</v>
      </c>
      <c r="K29" s="1">
        <f t="shared" si="4"/>
        <v>21.145</v>
      </c>
      <c r="L29" s="1">
        <f>L27+L28</f>
        <v>13.095000000000001</v>
      </c>
      <c r="M29" s="1">
        <f>M27+M28</f>
        <v>5.1499999999999995</v>
      </c>
      <c r="N29" s="1">
        <f>N27+N28</f>
        <v>0</v>
      </c>
      <c r="O29" s="1">
        <f>O27+O28</f>
        <v>1.5</v>
      </c>
      <c r="P29" s="1">
        <f>P27+P28</f>
        <v>0</v>
      </c>
      <c r="Q29" s="1">
        <f t="shared" si="5"/>
        <v>19.745000000000001</v>
      </c>
    </row>
    <row r="30" spans="5:17" x14ac:dyDescent="0.25">
      <c r="E30" s="2" t="s">
        <v>9</v>
      </c>
      <c r="F30" s="1">
        <f>SUMIFS('WH+RT PREVIOUS'!$M$2:$M$15000,'WH+RT PREVIOUS'!$B$2:$B$15000,"N.C.Urea(45kg)",'WH+RT PREVIOUS'!$R$2:$R$15000,"263382")</f>
        <v>605.25699999999995</v>
      </c>
      <c r="G30" s="1">
        <f>SUMIFS('WH+RT PREVIOUS'!$M$2:$M$15000,'WH+RT PREVIOUS'!$B$2:$B$15000,"15-15-15",'WH+RT PREVIOUS'!$R$2:$R$15000,"263382")</f>
        <v>60.724999999999994</v>
      </c>
      <c r="H30" s="1">
        <f>SUMIFS('WH+RT PREVIOUS'!$M$2:$M$15000,'WH+RT PREVIOUS'!$B$2:$B$15000,"Imp 10-26-26",'WH+RT PREVIOUS'!$R$2:$R$15000,"263382")</f>
        <v>51.949999999999996</v>
      </c>
      <c r="I30" s="1">
        <f>SUMIFS('WH+RT PREVIOUS'!$M$2:$M$15000,'WH+RT PREVIOUS'!$B$2:$B$15000,"MOP",'WH+RT PREVIOUS'!$R$2:$R$15000,"263382")</f>
        <v>1.5</v>
      </c>
      <c r="J30" s="1">
        <f>SUMIFS('WH+RT PREVIOUS'!$M$2:$M$15000,'WH+RT PREVIOUS'!$B$2:$B$15000,"Imp DAP",'WH+RT PREVIOUS'!$R$2:$R$15000,"263382")</f>
        <v>0</v>
      </c>
      <c r="K30" s="1">
        <f t="shared" si="4"/>
        <v>719.43200000000002</v>
      </c>
      <c r="L30" s="1">
        <f>SUMIFS('WH+RT CURRENT'!$M$2:$M$15000,'WH+RT CURRENT'!$B$2:$B$15000,"N.C.Urea(45kg)",'WH+RT CURRENT'!$R$2:$R$15000,"263382")</f>
        <v>668.572</v>
      </c>
      <c r="M30" s="1">
        <f>SUMIFS('WH+RT CURRENT'!$M$2:$M$15000,'WH+RT CURRENT'!$B$2:$B$15000,"15-15-15",'WH+RT CURRENT'!$R$2:$R$15000,"263382")</f>
        <v>164.42500000000001</v>
      </c>
      <c r="N30" s="1">
        <f>SUMIFS('WH+RT CURRENT'!$M$2:$M$15000,'WH+RT CURRENT'!$B$2:$B$15000,"Imp 10-26-26",'WH+RT CURRENT'!$R$2:$R$15000,"263382")</f>
        <v>50.85</v>
      </c>
      <c r="O30" s="1">
        <f>SUMIFS('WH+RT CURRENT'!$M$2:$M$15000,'WH+RT CURRENT'!$B$2:$B$15000,"MOP",'WH+RT CURRENT'!$R$2:$R$15000,"263382")</f>
        <v>1.5</v>
      </c>
      <c r="P30" s="1">
        <f>SUMIFS('WH+RT CURRENT'!$M$2:$M$15000,'WH+RT CURRENT'!$B$2:$B$15000,"Imp DAP",'WH+RT CURRENT'!$R$2:$R$15000,"263382")</f>
        <v>0</v>
      </c>
      <c r="Q30" s="1">
        <f t="shared" si="5"/>
        <v>885.34700000000009</v>
      </c>
    </row>
  </sheetData>
  <mergeCells count="13">
    <mergeCell ref="E25:E26"/>
    <mergeCell ref="F25:K25"/>
    <mergeCell ref="L25:Q25"/>
    <mergeCell ref="E15:Q15"/>
    <mergeCell ref="E16:E17"/>
    <mergeCell ref="F16:K16"/>
    <mergeCell ref="L16:Q16"/>
    <mergeCell ref="E24:Q24"/>
    <mergeCell ref="E1:Q3"/>
    <mergeCell ref="E6:Q6"/>
    <mergeCell ref="E7:E8"/>
    <mergeCell ref="F7:K7"/>
    <mergeCell ref="L7:Q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8154B-98F5-4AF2-8B6F-66A2F93AF5A7}">
  <dimension ref="E1:Q3"/>
  <sheetViews>
    <sheetView workbookViewId="0"/>
  </sheetViews>
  <sheetFormatPr defaultRowHeight="15" x14ac:dyDescent="0.25"/>
  <cols>
    <col min="1" max="4" width="10.7109375" customWidth="1"/>
  </cols>
  <sheetData>
    <row r="1" spans="5:17" x14ac:dyDescent="0.25">
      <c r="E1" s="16" t="s">
        <v>8136</v>
      </c>
      <c r="F1" s="17"/>
      <c r="G1" s="17"/>
      <c r="H1" s="17"/>
      <c r="I1" s="17"/>
      <c r="J1" s="17"/>
      <c r="K1" s="17"/>
      <c r="L1" s="17"/>
      <c r="M1" s="17"/>
      <c r="N1" s="17"/>
      <c r="O1" s="17"/>
      <c r="P1" s="17"/>
      <c r="Q1" s="17"/>
    </row>
    <row r="2" spans="5:17" x14ac:dyDescent="0.25">
      <c r="E2" s="17"/>
      <c r="F2" s="17"/>
      <c r="G2" s="17"/>
      <c r="H2" s="17"/>
      <c r="I2" s="17"/>
      <c r="J2" s="17"/>
      <c r="K2" s="17"/>
      <c r="L2" s="17"/>
      <c r="M2" s="17"/>
      <c r="N2" s="17"/>
      <c r="O2" s="17"/>
      <c r="P2" s="17"/>
      <c r="Q2" s="17"/>
    </row>
    <row r="3" spans="5:17" x14ac:dyDescent="0.25">
      <c r="E3" s="17"/>
      <c r="F3" s="17"/>
      <c r="G3" s="17"/>
      <c r="H3" s="17"/>
      <c r="I3" s="17"/>
      <c r="J3" s="17"/>
      <c r="K3" s="17"/>
      <c r="L3" s="17"/>
      <c r="M3" s="17"/>
      <c r="N3" s="17"/>
      <c r="O3" s="17"/>
      <c r="P3" s="17"/>
      <c r="Q3" s="17"/>
    </row>
  </sheetData>
  <mergeCells count="1">
    <mergeCell ref="E1:Q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09B34-F4D4-438A-BDE8-EB81F1FB155D}">
  <dimension ref="E1:S12"/>
  <sheetViews>
    <sheetView workbookViewId="0"/>
  </sheetViews>
  <sheetFormatPr defaultRowHeight="15" x14ac:dyDescent="0.25"/>
  <cols>
    <col min="1" max="4" width="10.7109375" customWidth="1"/>
    <col min="5" max="5" width="13.7109375" bestFit="1" customWidth="1"/>
  </cols>
  <sheetData>
    <row r="1" spans="5:19" x14ac:dyDescent="0.25">
      <c r="E1" s="16" t="s">
        <v>639</v>
      </c>
      <c r="F1" s="17"/>
      <c r="G1" s="17"/>
      <c r="H1" s="17"/>
      <c r="I1" s="17"/>
      <c r="J1" s="17"/>
      <c r="K1" s="17"/>
      <c r="L1" s="17"/>
      <c r="M1" s="17"/>
      <c r="N1" s="17"/>
      <c r="O1" s="17"/>
      <c r="P1" s="17"/>
      <c r="Q1" s="17"/>
      <c r="R1" t="s">
        <v>8141</v>
      </c>
      <c r="S1">
        <v>1</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643</v>
      </c>
      <c r="F6" s="12"/>
      <c r="G6" s="12"/>
      <c r="H6" s="12"/>
      <c r="I6" s="12"/>
      <c r="J6" s="12"/>
      <c r="K6" s="12"/>
      <c r="L6" s="12"/>
      <c r="M6" s="12"/>
      <c r="N6" s="12"/>
      <c r="O6" s="12"/>
      <c r="P6" s="12"/>
      <c r="Q6" s="12"/>
    </row>
    <row r="7" spans="5:19" x14ac:dyDescent="0.25">
      <c r="E7" s="13"/>
      <c r="F7" s="15" t="s">
        <v>8130</v>
      </c>
      <c r="G7" s="15"/>
      <c r="H7" s="15"/>
      <c r="I7" s="15"/>
      <c r="J7" s="15"/>
      <c r="K7" s="15"/>
      <c r="L7" s="15" t="s">
        <v>8131</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PREVIOUS'!$S$2:$S$15000,"Tapan Kumar Chel",'WH+RT PREVIOUS'!$N$2:$N$15000,"&gt;179",'WH+RT PREVIOUS'!$N$2:$N$15000,"&lt;366")</f>
        <v>0</v>
      </c>
      <c r="G9" s="1">
        <f>SUMIFS('WH+RT PREVIOUS'!$M$2:$M$15000,'WH+RT PREVIOUS'!$B$2:$B$15000,"15-15-15",'WH+RT PREVIOUS'!$S$2:$S$15000,"Tapan Kumar Chel",'WH+RT PREVIOUS'!$N$2:$N$15000,"&gt;179",'WH+RT PREVIOUS'!$N$2:$N$15000,"&lt;366")</f>
        <v>7.15</v>
      </c>
      <c r="H9" s="1">
        <f>SUMIFS('WH+RT PREVIOUS'!$M$2:$M$15000,'WH+RT PREVIOUS'!$B$2:$B$15000,"Imp 10-26-26",'WH+RT PREVIOUS'!$S$2:$S$15000,"Tapan Kumar Chel",'WH+RT PREVIOUS'!$N$2:$N$15000,"&gt;179",'WH+RT PREVIOUS'!$N$2:$N$15000,"&lt;366")</f>
        <v>0</v>
      </c>
      <c r="I9" s="1">
        <f>SUMIFS('WH+RT PREVIOUS'!$M$2:$M$15000,'WH+RT PREVIOUS'!$B$2:$B$15000,"MOP",'WH+RT PREVIOUS'!$S$2:$S$15000,"Tapan Kumar Chel",'WH+RT PREVIOUS'!$N$2:$N$15000,"&gt;179",'WH+RT PREVIOUS'!$N$2:$N$15000,"&lt;366")</f>
        <v>0</v>
      </c>
      <c r="J9" s="1">
        <f>SUMIFS('WH+RT PREVIOUS'!$M$2:$M$15000,'WH+RT PREVIOUS'!$B$2:$B$15000,"Imp DAP",'WH+RT PREVIOUS'!$S$2:$S$15000,"Tapan Kumar Chel",'WH+RT PREVIOUS'!$N$2:$N$15000,"&gt;179",'WH+RT PREVIOUS'!$N$2:$N$15000,"&lt;366")</f>
        <v>0</v>
      </c>
      <c r="K9" s="1">
        <f>F9+G9+H9+I9+J9</f>
        <v>7.15</v>
      </c>
      <c r="L9" s="1">
        <f>SUMIFS('WH+RT CURRENT'!$M$2:$M$15000,'WH+RT CURRENT'!$B$2:$B$15000,"N.C.Urea(45kg)",'WH+RT CURRENT'!$S$2:$S$15000,"Tapan Kumar Chel",'WH+RT CURRENT'!$N$2:$N$15000,"&gt;179",'WH+RT CURRENT'!$N$2:$N$15000,"&lt;366")</f>
        <v>0</v>
      </c>
      <c r="M9" s="1">
        <f>SUMIFS('WH+RT CURRENT'!$M$2:$M$15000,'WH+RT CURRENT'!$B$2:$B$15000,"15-15-15",'WH+RT CURRENT'!$S$2:$S$15000,"Tapan Kumar Chel",'WH+RT CURRENT'!$N$2:$N$15000,"&gt;179",'WH+RT CURRENT'!$N$2:$N$15000,"&lt;366")</f>
        <v>6.9</v>
      </c>
      <c r="N9" s="1">
        <f>SUMIFS('WH+RT CURRENT'!$M$2:$M$15000,'WH+RT CURRENT'!$B$2:$B$15000,"Imp 10-26-26",'WH+RT CURRENT'!$S$2:$S$15000,"Tapan Kumar Chel",'WH+RT CURRENT'!$N$2:$N$15000,"&gt;179",'WH+RT CURRENT'!$N$2:$N$15000,"&lt;366")</f>
        <v>0</v>
      </c>
      <c r="O9" s="1">
        <f>SUMIFS('WH+RT CURRENT'!$M$2:$M$15000,'WH+RT CURRENT'!$B$2:$B$15000,"MOP",'WH+RT CURRENT'!$S$2:$S$15000,"Tapan Kumar Chel",'WH+RT CURRENT'!$N$2:$N$15000,"&gt;179",'WH+RT CURRENT'!$N$2:$N$15000,"&lt;366")</f>
        <v>0</v>
      </c>
      <c r="P9" s="1">
        <f>SUMIFS('WH+RT CURRENT'!$M$2:$M$15000,'WH+RT CURRENT'!$B$2:$B$15000,"Imp DAP",'WH+RT CURRENT'!$S$2:$S$15000,"Tapan Kumar Chel",'WH+RT CURRENT'!$N$2:$N$15000,"&gt;179",'WH+RT CURRENT'!$N$2:$N$15000,"&lt;366")</f>
        <v>0</v>
      </c>
      <c r="Q9" s="1">
        <f>L9+M9+N9+O9+P9</f>
        <v>6.9</v>
      </c>
    </row>
    <row r="10" spans="5:19" x14ac:dyDescent="0.25">
      <c r="E10" s="2" t="s">
        <v>6</v>
      </c>
      <c r="F10" s="1">
        <f>SUMIFS('WH+RT PREVIOUS'!$M$2:$M$15000,'WH+RT PREVIOUS'!$B$2:$B$15000,"N.C.Urea(45kg)",'WH+RT PREVIOUS'!$S$2:$S$15000,"Tapan Kumar Chel",'WH+RT PREVIOUS'!$N$2:$N$15000,"&gt;365")</f>
        <v>23.084999999999997</v>
      </c>
      <c r="G10" s="1">
        <f>SUMIFS('WH+RT PREVIOUS'!$M$2:$M$15000,'WH+RT PREVIOUS'!$B$2:$B$15000,"15-15-15",'WH+RT PREVIOUS'!$S$2:$S$15000,"Tapan Kumar Chel",'WH+RT PREVIOUS'!$N$2:$N$15000,"&gt;365")</f>
        <v>1.4000000000000001</v>
      </c>
      <c r="H10" s="1">
        <f>SUMIFS('WH+RT PREVIOUS'!$M$2:$M$15000,'WH+RT PREVIOUS'!$B$2:$B$15000,"Imp 10-26-26",'WH+RT PREVIOUS'!$S$2:$S$15000,"Tapan Kumar Chel",'WH+RT PREVIOUS'!$N$2:$N$15000,"&gt;365")</f>
        <v>0.25</v>
      </c>
      <c r="I10" s="1">
        <f>SUMIFS('WH+RT PREVIOUS'!$M$2:$M$15000,'WH+RT PREVIOUS'!$B$2:$B$15000,"MOP",'WH+RT PREVIOUS'!$S$2:$S$15000,"Tapan Kumar Chel",'WH+RT PREVIOUS'!$N$2:$N$15000,"&gt;365")</f>
        <v>4.55</v>
      </c>
      <c r="J10" s="1">
        <f>SUMIFS('WH+RT PREVIOUS'!$M$2:$M$15000,'WH+RT PREVIOUS'!$B$2:$B$15000,"Imp DAP",'WH+RT PREVIOUS'!$S$2:$S$15000,"Tapan Kumar Chel",'WH+RT PREVIOUS'!$N$2:$N$15000,"&gt;365")</f>
        <v>0</v>
      </c>
      <c r="K10" s="1">
        <f>F10+G10+H10+I10+J10</f>
        <v>29.284999999999997</v>
      </c>
      <c r="L10" s="1">
        <f>SUMIFS('WH+RT CURRENT'!$M$2:$M$15000,'WH+RT CURRENT'!$B$2:$B$15000,"N.C.Urea(45kg)",'WH+RT CURRENT'!$S$2:$S$15000,"Tapan Kumar Chel",'WH+RT CURRENT'!$N$2:$N$15000,"&gt;365")</f>
        <v>23.085000000000001</v>
      </c>
      <c r="M10" s="1">
        <f>SUMIFS('WH+RT CURRENT'!$M$2:$M$15000,'WH+RT CURRENT'!$B$2:$B$15000,"15-15-15",'WH+RT CURRENT'!$S$2:$S$15000,"Tapan Kumar Chel",'WH+RT CURRENT'!$N$2:$N$15000,"&gt;365")</f>
        <v>1.4000000000000001</v>
      </c>
      <c r="N10" s="1">
        <f>SUMIFS('WH+RT CURRENT'!$M$2:$M$15000,'WH+RT CURRENT'!$B$2:$B$15000,"Imp 10-26-26",'WH+RT CURRENT'!$S$2:$S$15000,"Tapan Kumar Chel",'WH+RT CURRENT'!$N$2:$N$15000,"&gt;365")</f>
        <v>0.25</v>
      </c>
      <c r="O10" s="1">
        <f>SUMIFS('WH+RT CURRENT'!$M$2:$M$15000,'WH+RT CURRENT'!$B$2:$B$15000,"MOP",'WH+RT CURRENT'!$S$2:$S$15000,"Tapan Kumar Chel",'WH+RT CURRENT'!$N$2:$N$15000,"&gt;365")</f>
        <v>4.55</v>
      </c>
      <c r="P10" s="1">
        <f>SUMIFS('WH+RT CURRENT'!$M$2:$M$15000,'WH+RT CURRENT'!$B$2:$B$15000,"Imp DAP",'WH+RT CURRENT'!$S$2:$S$15000,"Tapan Kumar Chel",'WH+RT CURRENT'!$N$2:$N$15000,"&gt;365")</f>
        <v>0</v>
      </c>
      <c r="Q10" s="1">
        <f>L10+M10+N10+O10+P10</f>
        <v>29.285</v>
      </c>
    </row>
    <row r="11" spans="5:19" x14ac:dyDescent="0.25">
      <c r="E11" s="2" t="s">
        <v>7</v>
      </c>
      <c r="F11" s="1">
        <f>F9+F10</f>
        <v>23.084999999999997</v>
      </c>
      <c r="G11" s="1">
        <f>G9+G10</f>
        <v>8.5500000000000007</v>
      </c>
      <c r="H11" s="1">
        <f>H9+H10</f>
        <v>0.25</v>
      </c>
      <c r="I11" s="1">
        <f>I9+I10</f>
        <v>4.55</v>
      </c>
      <c r="J11" s="1">
        <f>J9+J10</f>
        <v>0</v>
      </c>
      <c r="K11" s="1">
        <f>F11+G11+H11+I11+J11</f>
        <v>36.434999999999995</v>
      </c>
      <c r="L11" s="1">
        <f>L9+L10</f>
        <v>23.085000000000001</v>
      </c>
      <c r="M11" s="1">
        <f>M9+M10</f>
        <v>8.3000000000000007</v>
      </c>
      <c r="N11" s="1">
        <f>N9+N10</f>
        <v>0.25</v>
      </c>
      <c r="O11" s="1">
        <f>O9+O10</f>
        <v>4.55</v>
      </c>
      <c r="P11" s="1">
        <f>P9+P10</f>
        <v>0</v>
      </c>
      <c r="Q11" s="1">
        <f>L11+M11+N11+O11+P11</f>
        <v>36.185000000000002</v>
      </c>
    </row>
    <row r="12" spans="5:19" x14ac:dyDescent="0.25">
      <c r="E12" s="2" t="s">
        <v>9</v>
      </c>
      <c r="F12" s="1">
        <f>SUMIFS('WH+RT PREVIOUS'!$M$2:$M$15000,'WH+RT PREVIOUS'!$B$2:$B$15000,"N.C.Urea(45kg)",'WH+RT PREVIOUS'!$S$2:$S$15000,"Tapan Kumar Chel")</f>
        <v>157.50500000000005</v>
      </c>
      <c r="G12" s="1">
        <f>SUMIFS('WH+RT PREVIOUS'!$M$2:$M$15000,'WH+RT PREVIOUS'!$B$2:$B$15000,"15-15-15",'WH+RT PREVIOUS'!$S$2:$S$15000,"Tapan Kumar Chel")</f>
        <v>55.355000000000004</v>
      </c>
      <c r="H12" s="1">
        <f>SUMIFS('WH+RT PREVIOUS'!$M$2:$M$15000,'WH+RT PREVIOUS'!$B$2:$B$15000,"Imp 10-26-26",'WH+RT PREVIOUS'!$S$2:$S$15000,"Tapan Kumar Chel")</f>
        <v>35.4</v>
      </c>
      <c r="I12" s="1">
        <f>SUMIFS('WH+RT PREVIOUS'!$M$2:$M$15000,'WH+RT PREVIOUS'!$B$2:$B$15000,"MOP",'WH+RT PREVIOUS'!$S$2:$S$15000,"Tapan Kumar Chel")</f>
        <v>4.55</v>
      </c>
      <c r="J12" s="1">
        <f>SUMIFS('WH+RT PREVIOUS'!$M$2:$M$15000,'WH+RT PREVIOUS'!$B$2:$B$15000,"Imp DAP",'WH+RT PREVIOUS'!$S$2:$S$15000,"Tapan Kumar Chel")</f>
        <v>0</v>
      </c>
      <c r="K12" s="1">
        <f>F12+G12+H12+I12+J12</f>
        <v>252.81000000000009</v>
      </c>
      <c r="L12" s="1">
        <f>SUMIFS('WH+RT CURRENT'!$M$2:$M$15000,'WH+RT CURRENT'!$B$2:$B$15000,"N.C.Urea(45kg)",'WH+RT CURRENT'!$S$2:$S$15000,"Tapan Kumar Chel")</f>
        <v>148.19</v>
      </c>
      <c r="M12" s="1">
        <f>SUMIFS('WH+RT CURRENT'!$M$2:$M$15000,'WH+RT CURRENT'!$B$2:$B$15000,"15-15-15",'WH+RT CURRENT'!$S$2:$S$15000,"Tapan Kumar Chel")</f>
        <v>54.405000000000008</v>
      </c>
      <c r="N12" s="1">
        <f>SUMIFS('WH+RT CURRENT'!$M$2:$M$15000,'WH+RT CURRENT'!$B$2:$B$15000,"Imp 10-26-26",'WH+RT CURRENT'!$S$2:$S$15000,"Tapan Kumar Chel")</f>
        <v>27.849999999999998</v>
      </c>
      <c r="O12" s="1">
        <f>SUMIFS('WH+RT CURRENT'!$M$2:$M$15000,'WH+RT CURRENT'!$B$2:$B$15000,"MOP",'WH+RT CURRENT'!$S$2:$S$15000,"Tapan Kumar Chel")</f>
        <v>4.55</v>
      </c>
      <c r="P12" s="1">
        <f>SUMIFS('WH+RT CURRENT'!$M$2:$M$15000,'WH+RT CURRENT'!$B$2:$B$15000,"Imp DAP",'WH+RT CURRENT'!$S$2:$S$15000,"Tapan Kumar Chel")</f>
        <v>0</v>
      </c>
      <c r="Q12" s="1">
        <f>L12+M12+N12+O12+P12</f>
        <v>234.995</v>
      </c>
    </row>
  </sheetData>
  <mergeCells count="5">
    <mergeCell ref="E1:Q3"/>
    <mergeCell ref="E6:Q6"/>
    <mergeCell ref="E7:E8"/>
    <mergeCell ref="F7:K7"/>
    <mergeCell ref="L7:Q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2F81-3780-4679-81FE-8EAB17C7865B}">
  <dimension ref="E1:S66"/>
  <sheetViews>
    <sheetView topLeftCell="A16" workbookViewId="0"/>
  </sheetViews>
  <sheetFormatPr defaultRowHeight="15" x14ac:dyDescent="0.25"/>
  <cols>
    <col min="1" max="4" width="10.7109375" customWidth="1"/>
    <col min="5" max="5" width="13.7109375" bestFit="1" customWidth="1"/>
  </cols>
  <sheetData>
    <row r="1" spans="5:19" x14ac:dyDescent="0.25">
      <c r="E1" s="16" t="s">
        <v>673</v>
      </c>
      <c r="F1" s="17"/>
      <c r="G1" s="17"/>
      <c r="H1" s="17"/>
      <c r="I1" s="17"/>
      <c r="J1" s="17"/>
      <c r="K1" s="17"/>
      <c r="L1" s="17"/>
      <c r="M1" s="17"/>
      <c r="N1" s="17"/>
      <c r="O1" s="17"/>
      <c r="P1" s="17"/>
      <c r="Q1" s="17"/>
      <c r="R1" t="s">
        <v>8141</v>
      </c>
      <c r="S1">
        <v>7</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479</v>
      </c>
      <c r="F6" s="12"/>
      <c r="G6" s="12"/>
      <c r="H6" s="12"/>
      <c r="I6" s="12"/>
      <c r="J6" s="12"/>
      <c r="K6" s="12"/>
      <c r="L6" s="12"/>
      <c r="M6" s="12"/>
      <c r="N6" s="12"/>
      <c r="O6" s="12"/>
      <c r="P6" s="12"/>
      <c r="Q6" s="12"/>
    </row>
    <row r="7" spans="5:19" x14ac:dyDescent="0.25">
      <c r="E7" s="13"/>
      <c r="F7" s="15" t="s">
        <v>8147</v>
      </c>
      <c r="G7" s="15"/>
      <c r="H7" s="15"/>
      <c r="I7" s="15"/>
      <c r="J7" s="15"/>
      <c r="K7" s="15"/>
      <c r="L7" s="15" t="s">
        <v>8148</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PREVIOUS'!$R$2:$R$15000,"222671",'WH+RT PREVIOUS'!$N$2:$N$15000,"&gt;179",'WH+RT PREVIOUS'!$N$2:$N$15000,"&lt;366")</f>
        <v>0.22500000000000001</v>
      </c>
      <c r="G9" s="1">
        <f>SUMIFS('WH+RT PREVIOUS'!$M$2:$M$15000,'WH+RT PREVIOUS'!$B$2:$B$15000,"15-15-15",'WH+RT PREVIOUS'!$R$2:$R$15000,"222671",'WH+RT PREVIOUS'!$N$2:$N$15000,"&gt;179",'WH+RT PREVIOUS'!$N$2:$N$15000,"&lt;366")</f>
        <v>1.05</v>
      </c>
      <c r="H9" s="1">
        <f>SUMIFS('WH+RT PREVIOUS'!$M$2:$M$15000,'WH+RT PREVIOUS'!$B$2:$B$15000,"Imp 10-26-26",'WH+RT PREVIOUS'!$R$2:$R$15000,"222671",'WH+RT PREVIOUS'!$N$2:$N$15000,"&gt;179",'WH+RT PREVIOUS'!$N$2:$N$15000,"&lt;366")</f>
        <v>0</v>
      </c>
      <c r="I9" s="1">
        <f>SUMIFS('WH+RT PREVIOUS'!$M$2:$M$15000,'WH+RT PREVIOUS'!$B$2:$B$15000,"MOP",'WH+RT PREVIOUS'!$R$2:$R$15000,"222671",'WH+RT PREVIOUS'!$N$2:$N$15000,"&gt;179",'WH+RT PREVIOUS'!$N$2:$N$15000,"&lt;366")</f>
        <v>0.39500000000000002</v>
      </c>
      <c r="J9" s="1">
        <f>SUMIFS('WH+RT PREVIOUS'!$M$2:$M$15000,'WH+RT PREVIOUS'!$B$2:$B$15000,"Imp DAP",'WH+RT PREVIOUS'!$R$2:$R$15000,"222671",'WH+RT PREVIOUS'!$N$2:$N$15000,"&gt;179",'WH+RT PREVIOUS'!$N$2:$N$15000,"&lt;366")</f>
        <v>0</v>
      </c>
      <c r="K9" s="1">
        <f>F9+G9+H9+I9+J9</f>
        <v>1.6700000000000002</v>
      </c>
      <c r="L9" s="1">
        <f>SUMIFS('WH+RT CURRENT'!$M$2:$M$15000,'WH+RT CURRENT'!$B$2:$B$15000,"N.C.Urea(45kg)",'WH+RT CURRENT'!$R$2:$R$15000,"222671",'WH+RT CURRENT'!$N$2:$N$15000,"&gt;179",'WH+RT CURRENT'!$N$2:$N$15000,"&lt;366")</f>
        <v>0.22500000000000001</v>
      </c>
      <c r="M9" s="1">
        <f>SUMIFS('WH+RT CURRENT'!$M$2:$M$15000,'WH+RT CURRENT'!$B$2:$B$15000,"15-15-15",'WH+RT CURRENT'!$R$2:$R$15000,"222671",'WH+RT CURRENT'!$N$2:$N$15000,"&gt;179",'WH+RT CURRENT'!$N$2:$N$15000,"&lt;366")</f>
        <v>1.05</v>
      </c>
      <c r="N9" s="1">
        <f>SUMIFS('WH+RT CURRENT'!$M$2:$M$15000,'WH+RT CURRENT'!$B$2:$B$15000,"Imp 10-26-26",'WH+RT CURRENT'!$R$2:$R$15000,"222671",'WH+RT CURRENT'!$N$2:$N$15000,"&gt;179",'WH+RT CURRENT'!$N$2:$N$15000,"&lt;366")</f>
        <v>0</v>
      </c>
      <c r="O9" s="1">
        <f>SUMIFS('WH+RT CURRENT'!$M$2:$M$15000,'WH+RT CURRENT'!$B$2:$B$15000,"MOP",'WH+RT CURRENT'!$R$2:$R$15000,"222671",'WH+RT CURRENT'!$N$2:$N$15000,"&gt;179",'WH+RT CURRENT'!$N$2:$N$15000,"&lt;366")</f>
        <v>0.34499999999999997</v>
      </c>
      <c r="P9" s="1">
        <f>SUMIFS('WH+RT CURRENT'!$M$2:$M$15000,'WH+RT CURRENT'!$B$2:$B$15000,"Imp DAP",'WH+RT CURRENT'!$R$2:$R$15000,"222671",'WH+RT CURRENT'!$N$2:$N$15000,"&gt;179",'WH+RT CURRENT'!$N$2:$N$15000,"&lt;366")</f>
        <v>0</v>
      </c>
      <c r="Q9" s="1">
        <f>L9+M9+N9+O9+P9</f>
        <v>1.62</v>
      </c>
    </row>
    <row r="10" spans="5:19" x14ac:dyDescent="0.25">
      <c r="E10" s="2" t="s">
        <v>6</v>
      </c>
      <c r="F10" s="1">
        <f>SUMIFS('WH+RT PREVIOUS'!$M$2:$M$15000,'WH+RT PREVIOUS'!$B$2:$B$15000,"N.C.Urea(45kg)",'WH+RT PREVIOUS'!$R$2:$R$15000,"222671",'WH+RT PREVIOUS'!$N$2:$N$15000,"&gt;365")</f>
        <v>1.4999999999999999E-2</v>
      </c>
      <c r="G10" s="1">
        <f>SUMIFS('WH+RT PREVIOUS'!$M$2:$M$15000,'WH+RT PREVIOUS'!$B$2:$B$15000,"15-15-15",'WH+RT PREVIOUS'!$R$2:$R$15000,"222671",'WH+RT PREVIOUS'!$N$2:$N$15000,"&gt;365")</f>
        <v>1.5</v>
      </c>
      <c r="H10" s="1">
        <f>SUMIFS('WH+RT PREVIOUS'!$M$2:$M$15000,'WH+RT PREVIOUS'!$B$2:$B$15000,"Imp 10-26-26",'WH+RT PREVIOUS'!$R$2:$R$15000,"222671",'WH+RT PREVIOUS'!$N$2:$N$15000,"&gt;365")</f>
        <v>0</v>
      </c>
      <c r="I10" s="1">
        <f>SUMIFS('WH+RT PREVIOUS'!$M$2:$M$15000,'WH+RT PREVIOUS'!$B$2:$B$15000,"MOP",'WH+RT PREVIOUS'!$R$2:$R$15000,"222671",'WH+RT PREVIOUS'!$N$2:$N$15000,"&gt;365")</f>
        <v>0.35</v>
      </c>
      <c r="J10" s="1">
        <f>SUMIFS('WH+RT PREVIOUS'!$M$2:$M$15000,'WH+RT PREVIOUS'!$B$2:$B$15000,"Imp DAP",'WH+RT PREVIOUS'!$R$2:$R$15000,"222671",'WH+RT PREVIOUS'!$N$2:$N$15000,"&gt;365")</f>
        <v>0</v>
      </c>
      <c r="K10" s="1">
        <f t="shared" ref="K10:K12" si="0">F10+G10+H10+I10+J10</f>
        <v>1.8649999999999998</v>
      </c>
      <c r="L10" s="1">
        <f>SUMIFS('WH+RT CURRENT'!$M$2:$M$15000,'WH+RT CURRENT'!$B$2:$B$15000,"N.C.Urea(45kg)",'WH+RT CURRENT'!$R$2:$R$15000,"222671",'WH+RT CURRENT'!$N$2:$N$15000,"&gt;365")</f>
        <v>1.4999999999999999E-2</v>
      </c>
      <c r="M10" s="1">
        <f>SUMIFS('WH+RT CURRENT'!$M$2:$M$15000,'WH+RT CURRENT'!$B$2:$B$15000,"15-15-15",'WH+RT CURRENT'!$R$2:$R$15000,"222671",'WH+RT CURRENT'!$N$2:$N$15000,"&gt;365")</f>
        <v>1.5</v>
      </c>
      <c r="N10" s="1">
        <f>SUMIFS('WH+RT CURRENT'!$M$2:$M$15000,'WH+RT CURRENT'!$B$2:$B$15000,"Imp 10-26-26",'WH+RT CURRENT'!$R$2:$R$15000,"222671",'WH+RT CURRENT'!$N$2:$N$15000,"&gt;365")</f>
        <v>0</v>
      </c>
      <c r="O10" s="1">
        <f>SUMIFS('WH+RT CURRENT'!$M$2:$M$15000,'WH+RT CURRENT'!$B$2:$B$15000,"MOP",'WH+RT CURRENT'!$R$2:$R$15000,"222671",'WH+RT CURRENT'!$N$2:$N$15000,"&gt;365")</f>
        <v>0.35</v>
      </c>
      <c r="P10" s="1">
        <f>SUMIFS('WH+RT CURRENT'!$M$2:$M$15000,'WH+RT CURRENT'!$B$2:$B$15000,"Imp DAP",'WH+RT CURRENT'!$R$2:$R$15000,"222671",'WH+RT CURRENT'!$N$2:$N$15000,"&gt;365")</f>
        <v>0</v>
      </c>
      <c r="Q10" s="1">
        <f t="shared" ref="Q10:Q12" si="1">L10+M10+N10+O10+P10</f>
        <v>1.8649999999999998</v>
      </c>
    </row>
    <row r="11" spans="5:19" x14ac:dyDescent="0.25">
      <c r="E11" s="2" t="s">
        <v>7</v>
      </c>
      <c r="F11" s="1">
        <f>F9+F10</f>
        <v>0.24</v>
      </c>
      <c r="G11" s="1">
        <f>G9+G10</f>
        <v>2.5499999999999998</v>
      </c>
      <c r="H11" s="1">
        <f>H9+H10</f>
        <v>0</v>
      </c>
      <c r="I11" s="1">
        <f>I9+I10</f>
        <v>0.745</v>
      </c>
      <c r="J11" s="1">
        <f>J9+J10</f>
        <v>0</v>
      </c>
      <c r="K11" s="1">
        <f t="shared" si="0"/>
        <v>3.5350000000000001</v>
      </c>
      <c r="L11" s="1">
        <f>L9+L10</f>
        <v>0.24</v>
      </c>
      <c r="M11" s="1">
        <f>M9+M10</f>
        <v>2.5499999999999998</v>
      </c>
      <c r="N11" s="1">
        <f>N9+N10</f>
        <v>0</v>
      </c>
      <c r="O11" s="1">
        <f>O9+O10</f>
        <v>0.69499999999999995</v>
      </c>
      <c r="P11" s="1">
        <f>P9+P10</f>
        <v>0</v>
      </c>
      <c r="Q11" s="1">
        <f t="shared" si="1"/>
        <v>3.4849999999999999</v>
      </c>
    </row>
    <row r="12" spans="5:19" x14ac:dyDescent="0.25">
      <c r="E12" s="2" t="s">
        <v>9</v>
      </c>
      <c r="F12" s="1">
        <f>SUMIFS('WH+RT PREVIOUS'!$M$2:$M$15000,'WH+RT PREVIOUS'!$B$2:$B$15000,"N.C.Urea(45kg)",'WH+RT PREVIOUS'!$R$2:$R$15000,"222671")</f>
        <v>20.22</v>
      </c>
      <c r="G12" s="1">
        <f>SUMIFS('WH+RT PREVIOUS'!$M$2:$M$15000,'WH+RT PREVIOUS'!$B$2:$B$15000,"15-15-15",'WH+RT PREVIOUS'!$R$2:$R$15000,"222671")</f>
        <v>43.45</v>
      </c>
      <c r="H12" s="1">
        <f>SUMIFS('WH+RT PREVIOUS'!$M$2:$M$15000,'WH+RT PREVIOUS'!$B$2:$B$15000,"Imp 10-26-26",'WH+RT PREVIOUS'!$R$2:$R$15000,"222671")</f>
        <v>0</v>
      </c>
      <c r="I12" s="1">
        <f>SUMIFS('WH+RT PREVIOUS'!$M$2:$M$15000,'WH+RT PREVIOUS'!$B$2:$B$15000,"MOP",'WH+RT PREVIOUS'!$R$2:$R$15000,"222671")</f>
        <v>1.0449999999999999</v>
      </c>
      <c r="J12" s="1">
        <f>SUMIFS('WH+RT PREVIOUS'!$M$2:$M$15000,'WH+RT PREVIOUS'!$B$2:$B$15000,"Imp DAP",'WH+RT PREVIOUS'!$R$2:$R$15000,"222671")</f>
        <v>0</v>
      </c>
      <c r="K12" s="1">
        <f t="shared" si="0"/>
        <v>64.715000000000003</v>
      </c>
      <c r="L12" s="1">
        <f>SUMIFS('WH+RT CURRENT'!$M$2:$M$15000,'WH+RT CURRENT'!$B$2:$B$15000,"N.C.Urea(45kg)",'WH+RT CURRENT'!$R$2:$R$15000,"222671")</f>
        <v>17.745000000000001</v>
      </c>
      <c r="M12" s="1">
        <f>SUMIFS('WH+RT CURRENT'!$M$2:$M$15000,'WH+RT CURRENT'!$B$2:$B$15000,"15-15-15",'WH+RT CURRENT'!$R$2:$R$15000,"222671")</f>
        <v>46.29999999999999</v>
      </c>
      <c r="N12" s="1">
        <f>SUMIFS('WH+RT CURRENT'!$M$2:$M$15000,'WH+RT CURRENT'!$B$2:$B$15000,"Imp 10-26-26",'WH+RT CURRENT'!$R$2:$R$15000,"222671")</f>
        <v>0</v>
      </c>
      <c r="O12" s="1">
        <f>SUMIFS('WH+RT CURRENT'!$M$2:$M$15000,'WH+RT CURRENT'!$B$2:$B$15000,"MOP",'WH+RT CURRENT'!$R$2:$R$15000,"222671")</f>
        <v>0.99499999999999988</v>
      </c>
      <c r="P12" s="1">
        <f>SUMIFS('WH+RT CURRENT'!$M$2:$M$15000,'WH+RT CURRENT'!$B$2:$B$15000,"Imp DAP",'WH+RT CURRENT'!$R$2:$R$15000,"222671")</f>
        <v>0</v>
      </c>
      <c r="Q12" s="1">
        <f t="shared" si="1"/>
        <v>65.039999999999992</v>
      </c>
    </row>
    <row r="15" spans="5:19" x14ac:dyDescent="0.25">
      <c r="E15" s="12" t="s">
        <v>679</v>
      </c>
      <c r="F15" s="12"/>
      <c r="G15" s="12"/>
      <c r="H15" s="12"/>
      <c r="I15" s="12"/>
      <c r="J15" s="12"/>
      <c r="K15" s="12"/>
      <c r="L15" s="12"/>
      <c r="M15" s="12"/>
      <c r="N15" s="12"/>
      <c r="O15" s="12"/>
      <c r="P15" s="12"/>
      <c r="Q15" s="12"/>
    </row>
    <row r="16" spans="5:19" x14ac:dyDescent="0.25">
      <c r="E16" s="13"/>
      <c r="F16" s="15" t="s">
        <v>8147</v>
      </c>
      <c r="G16" s="15"/>
      <c r="H16" s="15"/>
      <c r="I16" s="15"/>
      <c r="J16" s="15"/>
      <c r="K16" s="15"/>
      <c r="L16" s="15" t="s">
        <v>8148</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PREVIOUS'!$R$2:$R$15000,"280728",'WH+RT PREVIOUS'!$N$2:$N$15000,"&gt;179",'WH+RT PREVIOUS'!$N$2:$N$15000,"&lt;366")</f>
        <v>0</v>
      </c>
      <c r="G18" s="1">
        <f>SUMIFS('WH+RT PREVIOUS'!$M$2:$M$15000,'WH+RT PREVIOUS'!$B$2:$B$15000,"15-15-15",'WH+RT PREVIOUS'!$R$2:$R$15000,"280728",'WH+RT PREVIOUS'!$N$2:$N$15000,"&gt;179",'WH+RT PREVIOUS'!$N$2:$N$15000,"&lt;366")</f>
        <v>3.4</v>
      </c>
      <c r="H18" s="1">
        <f>SUMIFS('WH+RT PREVIOUS'!$M$2:$M$15000,'WH+RT PREVIOUS'!$B$2:$B$15000,"Imp 10-26-26",'WH+RT PREVIOUS'!$R$2:$R$15000,"280728",'WH+RT PREVIOUS'!$N$2:$N$15000,"&gt;179",'WH+RT PREVIOUS'!$N$2:$N$15000,"&lt;366")</f>
        <v>0</v>
      </c>
      <c r="I18" s="1">
        <f>SUMIFS('WH+RT PREVIOUS'!$M$2:$M$15000,'WH+RT PREVIOUS'!$B$2:$B$15000,"MOP",'WH+RT PREVIOUS'!$R$2:$R$15000,"280728",'WH+RT PREVIOUS'!$N$2:$N$15000,"&gt;179",'WH+RT PREVIOUS'!$N$2:$N$15000,"&lt;366")</f>
        <v>0</v>
      </c>
      <c r="J18" s="1">
        <f>SUMIFS('WH+RT PREVIOUS'!$M$2:$M$15000,'WH+RT PREVIOUS'!$B$2:$B$15000,"Imp DAP",'WH+RT PREVIOUS'!$R$2:$R$15000,"280728",'WH+RT PREVIOUS'!$N$2:$N$15000,"&gt;179",'WH+RT PREVIOUS'!$N$2:$N$15000,"&lt;366")</f>
        <v>0</v>
      </c>
      <c r="K18" s="1">
        <f>F18+G18+H18+I18+J18</f>
        <v>3.4</v>
      </c>
      <c r="L18" s="1">
        <f>SUMIFS('WH+RT CURRENT'!$M$2:$M$15000,'WH+RT CURRENT'!$B$2:$B$15000,"N.C.Urea(45kg)",'WH+RT CURRENT'!$R$2:$R$15000,"280728",'WH+RT CURRENT'!$N$2:$N$15000,"&gt;179",'WH+RT CURRENT'!$N$2:$N$15000,"&lt;366")</f>
        <v>0</v>
      </c>
      <c r="M18" s="1">
        <f>SUMIFS('WH+RT CURRENT'!$M$2:$M$15000,'WH+RT CURRENT'!$B$2:$B$15000,"15-15-15",'WH+RT CURRENT'!$R$2:$R$15000,"280728",'WH+RT CURRENT'!$N$2:$N$15000,"&gt;179",'WH+RT CURRENT'!$N$2:$N$15000,"&lt;366")</f>
        <v>3.4</v>
      </c>
      <c r="N18" s="1">
        <f>SUMIFS('WH+RT CURRENT'!$M$2:$M$15000,'WH+RT CURRENT'!$B$2:$B$15000,"Imp 10-26-26",'WH+RT CURRENT'!$R$2:$R$15000,"280728",'WH+RT CURRENT'!$N$2:$N$15000,"&gt;179",'WH+RT CURRENT'!$N$2:$N$15000,"&lt;366")</f>
        <v>0</v>
      </c>
      <c r="O18" s="1">
        <f>SUMIFS('WH+RT CURRENT'!$M$2:$M$15000,'WH+RT CURRENT'!$B$2:$B$15000,"MOP",'WH+RT CURRENT'!$R$2:$R$15000,"280728",'WH+RT CURRENT'!$N$2:$N$15000,"&gt;179",'WH+RT CURRENT'!$N$2:$N$15000,"&lt;366")</f>
        <v>0</v>
      </c>
      <c r="P18" s="1">
        <f>SUMIFS('WH+RT CURRENT'!$M$2:$M$15000,'WH+RT CURRENT'!$B$2:$B$15000,"Imp DAP",'WH+RT CURRENT'!$R$2:$R$15000,"280728",'WH+RT CURRENT'!$N$2:$N$15000,"&gt;179",'WH+RT CURRENT'!$N$2:$N$15000,"&lt;366")</f>
        <v>0</v>
      </c>
      <c r="Q18" s="1">
        <f>L18+M18+N18+O18+P18</f>
        <v>3.4</v>
      </c>
    </row>
    <row r="19" spans="5:17" x14ac:dyDescent="0.25">
      <c r="E19" s="2" t="s">
        <v>6</v>
      </c>
      <c r="F19" s="1">
        <f>SUMIFS('WH+RT PREVIOUS'!$M$2:$M$15000,'WH+RT PREVIOUS'!$B$2:$B$15000,"N.C.Urea(45kg)",'WH+RT PREVIOUS'!$R$2:$R$15000,"280728",'WH+RT PREVIOUS'!$N$2:$N$15000,"&gt;365")</f>
        <v>0</v>
      </c>
      <c r="G19" s="1">
        <f>SUMIFS('WH+RT PREVIOUS'!$M$2:$M$15000,'WH+RT PREVIOUS'!$B$2:$B$15000,"15-15-15",'WH+RT PREVIOUS'!$R$2:$R$15000,"280728",'WH+RT PREVIOUS'!$N$2:$N$15000,"&gt;365")</f>
        <v>0.25</v>
      </c>
      <c r="H19" s="1">
        <f>SUMIFS('WH+RT PREVIOUS'!$M$2:$M$15000,'WH+RT PREVIOUS'!$B$2:$B$15000,"Imp 10-26-26",'WH+RT PREVIOUS'!$R$2:$R$15000,"280728",'WH+RT PREVIOUS'!$N$2:$N$15000,"&gt;365")</f>
        <v>0.75</v>
      </c>
      <c r="I19" s="1">
        <f>SUMIFS('WH+RT PREVIOUS'!$M$2:$M$15000,'WH+RT PREVIOUS'!$B$2:$B$15000,"MOP",'WH+RT PREVIOUS'!$R$2:$R$15000,"280728",'WH+RT PREVIOUS'!$N$2:$N$15000,"&gt;365")</f>
        <v>0</v>
      </c>
      <c r="J19" s="1">
        <f>SUMIFS('WH+RT PREVIOUS'!$M$2:$M$15000,'WH+RT PREVIOUS'!$B$2:$B$15000,"Imp DAP",'WH+RT PREVIOUS'!$R$2:$R$15000,"280728",'WH+RT PREVIOUS'!$N$2:$N$15000,"&gt;365")</f>
        <v>0</v>
      </c>
      <c r="K19" s="1">
        <f t="shared" ref="K19:K21" si="2">F19+G19+H19+I19+J19</f>
        <v>1</v>
      </c>
      <c r="L19" s="1">
        <f>SUMIFS('WH+RT CURRENT'!$M$2:$M$15000,'WH+RT CURRENT'!$B$2:$B$15000,"N.C.Urea(45kg)",'WH+RT CURRENT'!$R$2:$R$15000,"280728",'WH+RT CURRENT'!$N$2:$N$15000,"&gt;365")</f>
        <v>0</v>
      </c>
      <c r="M19" s="1">
        <f>SUMIFS('WH+RT CURRENT'!$M$2:$M$15000,'WH+RT CURRENT'!$B$2:$B$15000,"15-15-15",'WH+RT CURRENT'!$R$2:$R$15000,"280728",'WH+RT CURRENT'!$N$2:$N$15000,"&gt;365")</f>
        <v>0.25</v>
      </c>
      <c r="N19" s="1">
        <f>SUMIFS('WH+RT CURRENT'!$M$2:$M$15000,'WH+RT CURRENT'!$B$2:$B$15000,"Imp 10-26-26",'WH+RT CURRENT'!$R$2:$R$15000,"280728",'WH+RT CURRENT'!$N$2:$N$15000,"&gt;365")</f>
        <v>0.75</v>
      </c>
      <c r="O19" s="1">
        <f>SUMIFS('WH+RT CURRENT'!$M$2:$M$15000,'WH+RT CURRENT'!$B$2:$B$15000,"MOP",'WH+RT CURRENT'!$R$2:$R$15000,"280728",'WH+RT CURRENT'!$N$2:$N$15000,"&gt;365")</f>
        <v>0</v>
      </c>
      <c r="P19" s="1">
        <f>SUMIFS('WH+RT CURRENT'!$M$2:$M$15000,'WH+RT CURRENT'!$B$2:$B$15000,"Imp DAP",'WH+RT CURRENT'!$R$2:$R$15000,"280728",'WH+RT CURRENT'!$N$2:$N$15000,"&gt;365")</f>
        <v>0</v>
      </c>
      <c r="Q19" s="1">
        <f t="shared" ref="Q19:Q21" si="3">L19+M19+N19+O19+P19</f>
        <v>1</v>
      </c>
    </row>
    <row r="20" spans="5:17" x14ac:dyDescent="0.25">
      <c r="E20" s="2" t="s">
        <v>7</v>
      </c>
      <c r="F20" s="1">
        <f>F18+F19</f>
        <v>0</v>
      </c>
      <c r="G20" s="1">
        <f>G18+G19</f>
        <v>3.65</v>
      </c>
      <c r="H20" s="1">
        <f>H18+H19</f>
        <v>0.75</v>
      </c>
      <c r="I20" s="1">
        <f>I18+I19</f>
        <v>0</v>
      </c>
      <c r="J20" s="1">
        <f>J18+J19</f>
        <v>0</v>
      </c>
      <c r="K20" s="1">
        <f t="shared" si="2"/>
        <v>4.4000000000000004</v>
      </c>
      <c r="L20" s="1">
        <f>L18+L19</f>
        <v>0</v>
      </c>
      <c r="M20" s="1">
        <f>M18+M19</f>
        <v>3.65</v>
      </c>
      <c r="N20" s="1">
        <f>N18+N19</f>
        <v>0.75</v>
      </c>
      <c r="O20" s="1">
        <f>O18+O19</f>
        <v>0</v>
      </c>
      <c r="P20" s="1">
        <f>P18+P19</f>
        <v>0</v>
      </c>
      <c r="Q20" s="1">
        <f t="shared" si="3"/>
        <v>4.4000000000000004</v>
      </c>
    </row>
    <row r="21" spans="5:17" x14ac:dyDescent="0.25">
      <c r="E21" s="2" t="s">
        <v>9</v>
      </c>
      <c r="F21" s="1">
        <f>SUMIFS('WH+RT PREVIOUS'!$M$2:$M$15000,'WH+RT PREVIOUS'!$B$2:$B$15000,"N.C.Urea(45kg)",'WH+RT PREVIOUS'!$R$2:$R$15000,"280728")</f>
        <v>16.920000000000002</v>
      </c>
      <c r="G21" s="1">
        <f>SUMIFS('WH+RT PREVIOUS'!$M$2:$M$15000,'WH+RT PREVIOUS'!$B$2:$B$15000,"15-15-15",'WH+RT PREVIOUS'!$R$2:$R$15000,"280728")</f>
        <v>25.4</v>
      </c>
      <c r="H21" s="1">
        <f>SUMIFS('WH+RT PREVIOUS'!$M$2:$M$15000,'WH+RT PREVIOUS'!$B$2:$B$15000,"Imp 10-26-26",'WH+RT PREVIOUS'!$R$2:$R$15000,"280728")</f>
        <v>0.75</v>
      </c>
      <c r="I21" s="1">
        <f>SUMIFS('WH+RT PREVIOUS'!$M$2:$M$15000,'WH+RT PREVIOUS'!$B$2:$B$15000,"MOP",'WH+RT PREVIOUS'!$R$2:$R$15000,"280728")</f>
        <v>0</v>
      </c>
      <c r="J21" s="1">
        <f>SUMIFS('WH+RT PREVIOUS'!$M$2:$M$15000,'WH+RT PREVIOUS'!$B$2:$B$15000,"Imp DAP",'WH+RT PREVIOUS'!$R$2:$R$15000,"280728")</f>
        <v>0</v>
      </c>
      <c r="K21" s="1">
        <f t="shared" si="2"/>
        <v>43.07</v>
      </c>
      <c r="L21" s="1">
        <f>SUMIFS('WH+RT CURRENT'!$M$2:$M$15000,'WH+RT CURRENT'!$B$2:$B$15000,"N.C.Urea(45kg)",'WH+RT CURRENT'!$R$2:$R$15000,"280728")</f>
        <v>16.605</v>
      </c>
      <c r="M21" s="1">
        <f>SUMIFS('WH+RT CURRENT'!$M$2:$M$15000,'WH+RT CURRENT'!$B$2:$B$15000,"15-15-15",'WH+RT CURRENT'!$R$2:$R$15000,"280728")</f>
        <v>28.4</v>
      </c>
      <c r="N21" s="1">
        <f>SUMIFS('WH+RT CURRENT'!$M$2:$M$15000,'WH+RT CURRENT'!$B$2:$B$15000,"Imp 10-26-26",'WH+RT CURRENT'!$R$2:$R$15000,"280728")</f>
        <v>0.75</v>
      </c>
      <c r="O21" s="1">
        <f>SUMIFS('WH+RT CURRENT'!$M$2:$M$15000,'WH+RT CURRENT'!$B$2:$B$15000,"MOP",'WH+RT CURRENT'!$R$2:$R$15000,"280728")</f>
        <v>0</v>
      </c>
      <c r="P21" s="1">
        <f>SUMIFS('WH+RT CURRENT'!$M$2:$M$15000,'WH+RT CURRENT'!$B$2:$B$15000,"Imp DAP",'WH+RT CURRENT'!$R$2:$R$15000,"280728")</f>
        <v>0</v>
      </c>
      <c r="Q21" s="1">
        <f t="shared" si="3"/>
        <v>45.754999999999995</v>
      </c>
    </row>
    <row r="24" spans="5:17" x14ac:dyDescent="0.25">
      <c r="E24" s="12" t="s">
        <v>5361</v>
      </c>
      <c r="F24" s="12"/>
      <c r="G24" s="12"/>
      <c r="H24" s="12"/>
      <c r="I24" s="12"/>
      <c r="J24" s="12"/>
      <c r="K24" s="12"/>
      <c r="L24" s="12"/>
      <c r="M24" s="12"/>
      <c r="N24" s="12"/>
      <c r="O24" s="12"/>
      <c r="P24" s="12"/>
      <c r="Q24" s="12"/>
    </row>
    <row r="25" spans="5:17" x14ac:dyDescent="0.25">
      <c r="E25" s="13"/>
      <c r="F25" s="15" t="s">
        <v>8147</v>
      </c>
      <c r="G25" s="15"/>
      <c r="H25" s="15"/>
      <c r="I25" s="15"/>
      <c r="J25" s="15"/>
      <c r="K25" s="15"/>
      <c r="L25" s="15" t="s">
        <v>8148</v>
      </c>
      <c r="M25" s="15"/>
      <c r="N25" s="15"/>
      <c r="O25" s="15"/>
      <c r="P25" s="15"/>
      <c r="Q25" s="15"/>
    </row>
    <row r="26" spans="5:17" x14ac:dyDescent="0.25">
      <c r="E26" s="14"/>
      <c r="F26" s="2" t="s">
        <v>0</v>
      </c>
      <c r="G26" s="2" t="s">
        <v>1</v>
      </c>
      <c r="H26" s="2" t="s">
        <v>2</v>
      </c>
      <c r="I26" s="2" t="s">
        <v>3</v>
      </c>
      <c r="J26" s="2" t="s">
        <v>8128</v>
      </c>
      <c r="K26" s="2" t="s">
        <v>4</v>
      </c>
      <c r="L26" s="2" t="s">
        <v>0</v>
      </c>
      <c r="M26" s="2" t="s">
        <v>1</v>
      </c>
      <c r="N26" s="2" t="s">
        <v>2</v>
      </c>
      <c r="O26" s="2" t="s">
        <v>3</v>
      </c>
      <c r="P26" s="2" t="s">
        <v>8128</v>
      </c>
      <c r="Q26" s="2" t="s">
        <v>4</v>
      </c>
    </row>
    <row r="27" spans="5:17" x14ac:dyDescent="0.25">
      <c r="E27" s="2" t="s">
        <v>5</v>
      </c>
      <c r="F27" s="1">
        <f>SUMIFS('WH+RT PREVIOUS'!$M$2:$M$15000,'WH+RT PREVIOUS'!$B$2:$B$15000,"N.C.Urea(45kg)",'WH+RT PREVIOUS'!$R$2:$R$15000,"214213",'WH+RT PREVIOUS'!$N$2:$N$15000,"&gt;179",'WH+RT PREVIOUS'!$N$2:$N$15000,"&lt;366")</f>
        <v>0</v>
      </c>
      <c r="G27" s="1">
        <f>SUMIFS('WH+RT PREVIOUS'!$M$2:$M$15000,'WH+RT PREVIOUS'!$B$2:$B$15000,"15-15-15",'WH+RT PREVIOUS'!$R$2:$R$15000,"214213",'WH+RT PREVIOUS'!$N$2:$N$15000,"&gt;179",'WH+RT PREVIOUS'!$N$2:$N$15000,"&lt;366")</f>
        <v>0.1</v>
      </c>
      <c r="H27" s="1">
        <f>SUMIFS('WH+RT PREVIOUS'!$M$2:$M$15000,'WH+RT PREVIOUS'!$B$2:$B$15000,"Imp 10-26-26",'WH+RT PREVIOUS'!$R$2:$R$15000,"214213",'WH+RT PREVIOUS'!$N$2:$N$15000,"&gt;179",'WH+RT PREVIOUS'!$N$2:$N$15000,"&lt;366")</f>
        <v>0</v>
      </c>
      <c r="I27" s="1">
        <f>SUMIFS('WH+RT PREVIOUS'!$M$2:$M$15000,'WH+RT PREVIOUS'!$B$2:$B$15000,"MOP",'WH+RT PREVIOUS'!$R$2:$R$15000,"214213",'WH+RT PREVIOUS'!$N$2:$N$15000,"&gt;179",'WH+RT PREVIOUS'!$N$2:$N$15000,"&lt;366")</f>
        <v>0</v>
      </c>
      <c r="J27" s="1">
        <f>SUMIFS('WH+RT PREVIOUS'!$M$2:$M$15000,'WH+RT PREVIOUS'!$B$2:$B$15000,"Imp DAP",'WH+RT PREVIOUS'!$R$2:$R$15000,"214213",'WH+RT PREVIOUS'!$N$2:$N$15000,"&gt;179",'WH+RT PREVIOUS'!$N$2:$N$15000,"&lt;366")</f>
        <v>0</v>
      </c>
      <c r="K27" s="1">
        <f>F27+G27+H27+I27+J27</f>
        <v>0.1</v>
      </c>
      <c r="L27" s="1">
        <f>SUMIFS('WH+RT CURRENT'!$M$2:$M$15000,'WH+RT CURRENT'!$B$2:$B$15000,"N.C.Urea(45kg)",'WH+RT CURRENT'!$R$2:$R$15000,"214213",'WH+RT CURRENT'!$N$2:$N$15000,"&gt;179",'WH+RT CURRENT'!$N$2:$N$15000,"&lt;366")</f>
        <v>0</v>
      </c>
      <c r="M27" s="1">
        <f>SUMIFS('WH+RT CURRENT'!$M$2:$M$15000,'WH+RT CURRENT'!$B$2:$B$15000,"15-15-15",'WH+RT CURRENT'!$R$2:$R$15000,"214213",'WH+RT CURRENT'!$N$2:$N$15000,"&gt;179",'WH+RT CURRENT'!$N$2:$N$15000,"&lt;366")</f>
        <v>0.1</v>
      </c>
      <c r="N27" s="1">
        <f>SUMIFS('WH+RT CURRENT'!$M$2:$M$15000,'WH+RT CURRENT'!$B$2:$B$15000,"Imp 10-26-26",'WH+RT CURRENT'!$R$2:$R$15000,"214213",'WH+RT CURRENT'!$N$2:$N$15000,"&gt;179",'WH+RT CURRENT'!$N$2:$N$15000,"&lt;366")</f>
        <v>0</v>
      </c>
      <c r="O27" s="1">
        <f>SUMIFS('WH+RT CURRENT'!$M$2:$M$15000,'WH+RT CURRENT'!$B$2:$B$15000,"MOP",'WH+RT CURRENT'!$R$2:$R$15000,"214213",'WH+RT CURRENT'!$N$2:$N$15000,"&gt;179",'WH+RT CURRENT'!$N$2:$N$15000,"&lt;366")</f>
        <v>0</v>
      </c>
      <c r="P27" s="1">
        <f>SUMIFS('WH+RT CURRENT'!$M$2:$M$15000,'WH+RT CURRENT'!$B$2:$B$15000,"Imp DAP",'WH+RT CURRENT'!$R$2:$R$15000,"214213",'WH+RT CURRENT'!$N$2:$N$15000,"&gt;179",'WH+RT CURRENT'!$N$2:$N$15000,"&lt;366")</f>
        <v>0</v>
      </c>
      <c r="Q27" s="1">
        <f>L27+M27+N27+O27+P27</f>
        <v>0.1</v>
      </c>
    </row>
    <row r="28" spans="5:17" x14ac:dyDescent="0.25">
      <c r="E28" s="2" t="s">
        <v>6</v>
      </c>
      <c r="F28" s="1">
        <f>SUMIFS('WH+RT PREVIOUS'!$M$2:$M$15000,'WH+RT PREVIOUS'!$B$2:$B$15000,"N.C.Urea(45kg)",'WH+RT PREVIOUS'!$R$2:$R$15000,"214213",'WH+RT PREVIOUS'!$N$2:$N$15000,"&gt;365")</f>
        <v>0</v>
      </c>
      <c r="G28" s="1">
        <f>SUMIFS('WH+RT PREVIOUS'!$M$2:$M$15000,'WH+RT PREVIOUS'!$B$2:$B$15000,"15-15-15",'WH+RT PREVIOUS'!$R$2:$R$15000,"214213",'WH+RT PREVIOUS'!$N$2:$N$15000,"&gt;365")</f>
        <v>0</v>
      </c>
      <c r="H28" s="1">
        <f>SUMIFS('WH+RT PREVIOUS'!$M$2:$M$15000,'WH+RT PREVIOUS'!$B$2:$B$15000,"Imp 10-26-26",'WH+RT PREVIOUS'!$R$2:$R$15000,"214213",'WH+RT PREVIOUS'!$N$2:$N$15000,"&gt;365")</f>
        <v>0</v>
      </c>
      <c r="I28" s="1">
        <f>SUMIFS('WH+RT PREVIOUS'!$M$2:$M$15000,'WH+RT PREVIOUS'!$B$2:$B$15000,"MOP",'WH+RT PREVIOUS'!$R$2:$R$15000,"214213",'WH+RT PREVIOUS'!$N$2:$N$15000,"&gt;365")</f>
        <v>0</v>
      </c>
      <c r="J28" s="1">
        <f>SUMIFS('WH+RT PREVIOUS'!$M$2:$M$15000,'WH+RT PREVIOUS'!$B$2:$B$15000,"Imp DAP",'WH+RT PREVIOUS'!$R$2:$R$15000,"214213",'WH+RT PREVIOUS'!$N$2:$N$15000,"&gt;365")</f>
        <v>0</v>
      </c>
      <c r="K28" s="1">
        <f t="shared" ref="K28:K30" si="4">F28+G28+H28+I28+J28</f>
        <v>0</v>
      </c>
      <c r="L28" s="1">
        <f>SUMIFS('WH+RT CURRENT'!$M$2:$M$15000,'WH+RT CURRENT'!$B$2:$B$15000,"N.C.Urea(45kg)",'WH+RT CURRENT'!$R$2:$R$15000,"214213",'WH+RT CURRENT'!$N$2:$N$15000,"&gt;365")</f>
        <v>0</v>
      </c>
      <c r="M28" s="1">
        <f>SUMIFS('WH+RT CURRENT'!$M$2:$M$15000,'WH+RT CURRENT'!$B$2:$B$15000,"15-15-15",'WH+RT CURRENT'!$R$2:$R$15000,"214213",'WH+RT CURRENT'!$N$2:$N$15000,"&gt;365")</f>
        <v>0</v>
      </c>
      <c r="N28" s="1">
        <f>SUMIFS('WH+RT CURRENT'!$M$2:$M$15000,'WH+RT CURRENT'!$B$2:$B$15000,"Imp 10-26-26",'WH+RT CURRENT'!$R$2:$R$15000,"214213",'WH+RT CURRENT'!$N$2:$N$15000,"&gt;365")</f>
        <v>0</v>
      </c>
      <c r="O28" s="1">
        <f>SUMIFS('WH+RT CURRENT'!$M$2:$M$15000,'WH+RT CURRENT'!$B$2:$B$15000,"MOP",'WH+RT CURRENT'!$R$2:$R$15000,"214213",'WH+RT CURRENT'!$N$2:$N$15000,"&gt;365")</f>
        <v>0</v>
      </c>
      <c r="P28" s="1">
        <f>SUMIFS('WH+RT CURRENT'!$M$2:$M$15000,'WH+RT CURRENT'!$B$2:$B$15000,"Imp DAP",'WH+RT CURRENT'!$R$2:$R$15000,"214213",'WH+RT CURRENT'!$N$2:$N$15000,"&gt;365")</f>
        <v>0</v>
      </c>
      <c r="Q28" s="1">
        <f t="shared" ref="Q28:Q30" si="5">L28+M28+N28+O28+P28</f>
        <v>0</v>
      </c>
    </row>
    <row r="29" spans="5:17" x14ac:dyDescent="0.25">
      <c r="E29" s="2" t="s">
        <v>7</v>
      </c>
      <c r="F29" s="1">
        <f>F27+F28</f>
        <v>0</v>
      </c>
      <c r="G29" s="1">
        <f>G27+G28</f>
        <v>0.1</v>
      </c>
      <c r="H29" s="1">
        <f>H27+H28</f>
        <v>0</v>
      </c>
      <c r="I29" s="1">
        <f>I27+I28</f>
        <v>0</v>
      </c>
      <c r="J29" s="1">
        <f>J27+J28</f>
        <v>0</v>
      </c>
      <c r="K29" s="1">
        <f t="shared" si="4"/>
        <v>0.1</v>
      </c>
      <c r="L29" s="1">
        <f>L27+L28</f>
        <v>0</v>
      </c>
      <c r="M29" s="1">
        <f>M27+M28</f>
        <v>0.1</v>
      </c>
      <c r="N29" s="1">
        <f>N27+N28</f>
        <v>0</v>
      </c>
      <c r="O29" s="1">
        <f>O27+O28</f>
        <v>0</v>
      </c>
      <c r="P29" s="1">
        <f>P27+P28</f>
        <v>0</v>
      </c>
      <c r="Q29" s="1">
        <f t="shared" si="5"/>
        <v>0.1</v>
      </c>
    </row>
    <row r="30" spans="5:17" x14ac:dyDescent="0.25">
      <c r="E30" s="2" t="s">
        <v>9</v>
      </c>
      <c r="F30" s="1">
        <f>SUMIFS('WH+RT PREVIOUS'!$M$2:$M$15000,'WH+RT PREVIOUS'!$B$2:$B$15000,"N.C.Urea(45kg)",'WH+RT PREVIOUS'!$R$2:$R$15000,"214213")</f>
        <v>0</v>
      </c>
      <c r="G30" s="1">
        <f>SUMIFS('WH+RT PREVIOUS'!$M$2:$M$15000,'WH+RT PREVIOUS'!$B$2:$B$15000,"15-15-15",'WH+RT PREVIOUS'!$R$2:$R$15000,"214213")</f>
        <v>0.60000000000000009</v>
      </c>
      <c r="H30" s="1">
        <f>SUMIFS('WH+RT PREVIOUS'!$M$2:$M$15000,'WH+RT PREVIOUS'!$B$2:$B$15000,"Imp 10-26-26",'WH+RT PREVIOUS'!$R$2:$R$15000,"214213")</f>
        <v>0</v>
      </c>
      <c r="I30" s="1">
        <f>SUMIFS('WH+RT PREVIOUS'!$M$2:$M$15000,'WH+RT PREVIOUS'!$B$2:$B$15000,"MOP",'WH+RT PREVIOUS'!$R$2:$R$15000,"214213")</f>
        <v>0</v>
      </c>
      <c r="J30" s="1">
        <f>SUMIFS('WH+RT PREVIOUS'!$M$2:$M$15000,'WH+RT PREVIOUS'!$B$2:$B$15000,"Imp DAP",'WH+RT PREVIOUS'!$R$2:$R$15000,"214213")</f>
        <v>0</v>
      </c>
      <c r="K30" s="1">
        <f t="shared" si="4"/>
        <v>0.60000000000000009</v>
      </c>
      <c r="L30" s="1">
        <f>SUMIFS('WH+RT CURRENT'!$M$2:$M$15000,'WH+RT CURRENT'!$B$2:$B$15000,"N.C.Urea(45kg)",'WH+RT CURRENT'!$R$2:$R$15000,"214213")</f>
        <v>0</v>
      </c>
      <c r="M30" s="1">
        <f>SUMIFS('WH+RT CURRENT'!$M$2:$M$15000,'WH+RT CURRENT'!$B$2:$B$15000,"15-15-15",'WH+RT CURRENT'!$R$2:$R$15000,"214213")</f>
        <v>0.25</v>
      </c>
      <c r="N30" s="1">
        <f>SUMIFS('WH+RT CURRENT'!$M$2:$M$15000,'WH+RT CURRENT'!$B$2:$B$15000,"Imp 10-26-26",'WH+RT CURRENT'!$R$2:$R$15000,"214213")</f>
        <v>0</v>
      </c>
      <c r="O30" s="1">
        <f>SUMIFS('WH+RT CURRENT'!$M$2:$M$15000,'WH+RT CURRENT'!$B$2:$B$15000,"MOP",'WH+RT CURRENT'!$R$2:$R$15000,"214213")</f>
        <v>0</v>
      </c>
      <c r="P30" s="1">
        <f>SUMIFS('WH+RT CURRENT'!$M$2:$M$15000,'WH+RT CURRENT'!$B$2:$B$15000,"Imp DAP",'WH+RT CURRENT'!$R$2:$R$15000,"214213")</f>
        <v>0</v>
      </c>
      <c r="Q30" s="1">
        <f t="shared" si="5"/>
        <v>0.25</v>
      </c>
    </row>
    <row r="33" spans="5:17" x14ac:dyDescent="0.25">
      <c r="E33" s="12" t="s">
        <v>307</v>
      </c>
      <c r="F33" s="12"/>
      <c r="G33" s="12"/>
      <c r="H33" s="12"/>
      <c r="I33" s="12"/>
      <c r="J33" s="12"/>
      <c r="K33" s="12"/>
      <c r="L33" s="12"/>
      <c r="M33" s="12"/>
      <c r="N33" s="12"/>
      <c r="O33" s="12"/>
      <c r="P33" s="12"/>
      <c r="Q33" s="12"/>
    </row>
    <row r="34" spans="5:17" x14ac:dyDescent="0.25">
      <c r="E34" s="13"/>
      <c r="F34" s="15" t="s">
        <v>8147</v>
      </c>
      <c r="G34" s="15"/>
      <c r="H34" s="15"/>
      <c r="I34" s="15"/>
      <c r="J34" s="15"/>
      <c r="K34" s="15"/>
      <c r="L34" s="15" t="s">
        <v>8148</v>
      </c>
      <c r="M34" s="15"/>
      <c r="N34" s="15"/>
      <c r="O34" s="15"/>
      <c r="P34" s="15"/>
      <c r="Q34" s="15"/>
    </row>
    <row r="35" spans="5:17" x14ac:dyDescent="0.25">
      <c r="E35" s="14"/>
      <c r="F35" s="2" t="s">
        <v>0</v>
      </c>
      <c r="G35" s="2" t="s">
        <v>1</v>
      </c>
      <c r="H35" s="2" t="s">
        <v>2</v>
      </c>
      <c r="I35" s="2" t="s">
        <v>3</v>
      </c>
      <c r="J35" s="2" t="s">
        <v>8128</v>
      </c>
      <c r="K35" s="2" t="s">
        <v>4</v>
      </c>
      <c r="L35" s="2" t="s">
        <v>0</v>
      </c>
      <c r="M35" s="2" t="s">
        <v>1</v>
      </c>
      <c r="N35" s="2" t="s">
        <v>2</v>
      </c>
      <c r="O35" s="2" t="s">
        <v>3</v>
      </c>
      <c r="P35" s="2" t="s">
        <v>8128</v>
      </c>
      <c r="Q35" s="2" t="s">
        <v>4</v>
      </c>
    </row>
    <row r="36" spans="5:17" x14ac:dyDescent="0.25">
      <c r="E36" s="2" t="s">
        <v>5</v>
      </c>
      <c r="F36" s="1">
        <f>SUMIFS('WH+RT PREVIOUS'!$M$2:$M$15000,'WH+RT PREVIOUS'!$B$2:$B$15000,"N.C.Urea(45kg)",'WH+RT PREVIOUS'!$R$2:$R$15000,"214210",'WH+RT PREVIOUS'!$N$2:$N$15000,"&gt;179",'WH+RT PREVIOUS'!$N$2:$N$15000,"&lt;366")</f>
        <v>0</v>
      </c>
      <c r="G36" s="1">
        <f>SUMIFS('WH+RT PREVIOUS'!$M$2:$M$15000,'WH+RT PREVIOUS'!$B$2:$B$15000,"15-15-15",'WH+RT PREVIOUS'!$R$2:$R$15000,"214210",'WH+RT PREVIOUS'!$N$2:$N$15000,"&gt;179",'WH+RT PREVIOUS'!$N$2:$N$15000,"&lt;366")</f>
        <v>0</v>
      </c>
      <c r="H36" s="1">
        <f>SUMIFS('WH+RT PREVIOUS'!$M$2:$M$15000,'WH+RT PREVIOUS'!$B$2:$B$15000,"Imp 10-26-26",'WH+RT PREVIOUS'!$R$2:$R$15000,"214210",'WH+RT PREVIOUS'!$N$2:$N$15000,"&gt;179",'WH+RT PREVIOUS'!$N$2:$N$15000,"&lt;366")</f>
        <v>0</v>
      </c>
      <c r="I36" s="1">
        <f>SUMIFS('WH+RT PREVIOUS'!$M$2:$M$15000,'WH+RT PREVIOUS'!$B$2:$B$15000,"MOP",'WH+RT PREVIOUS'!$R$2:$R$15000,"214210",'WH+RT PREVIOUS'!$N$2:$N$15000,"&gt;179",'WH+RT PREVIOUS'!$N$2:$N$15000,"&lt;366")</f>
        <v>0</v>
      </c>
      <c r="J36" s="1">
        <f>SUMIFS('WH+RT PREVIOUS'!$M$2:$M$15000,'WH+RT PREVIOUS'!$B$2:$B$15000,"Imp DAP",'WH+RT PREVIOUS'!$R$2:$R$15000,"214210",'WH+RT PREVIOUS'!$N$2:$N$15000,"&gt;179",'WH+RT PREVIOUS'!$N$2:$N$15000,"&lt;366")</f>
        <v>0</v>
      </c>
      <c r="K36" s="1">
        <f>F36+G36+H36+I36+J36</f>
        <v>0</v>
      </c>
      <c r="L36" s="1">
        <f>SUMIFS('WH+RT CURRENT'!$M$2:$M$15000,'WH+RT CURRENT'!$B$2:$B$15000,"N.C.Urea(45kg)",'WH+RT CURRENT'!$R$2:$R$15000,"214210",'WH+RT CURRENT'!$N$2:$N$15000,"&gt;179",'WH+RT CURRENT'!$N$2:$N$15000,"&lt;366")</f>
        <v>0</v>
      </c>
      <c r="M36" s="1">
        <f>SUMIFS('WH+RT CURRENT'!$M$2:$M$15000,'WH+RT CURRENT'!$B$2:$B$15000,"15-15-15",'WH+RT CURRENT'!$R$2:$R$15000,"214210",'WH+RT CURRENT'!$N$2:$N$15000,"&gt;179",'WH+RT CURRENT'!$N$2:$N$15000,"&lt;366")</f>
        <v>0</v>
      </c>
      <c r="N36" s="1">
        <f>SUMIFS('WH+RT CURRENT'!$M$2:$M$15000,'WH+RT CURRENT'!$B$2:$B$15000,"Imp 10-26-26",'WH+RT CURRENT'!$R$2:$R$15000,"214210",'WH+RT CURRENT'!$N$2:$N$15000,"&gt;179",'WH+RT CURRENT'!$N$2:$N$15000,"&lt;366")</f>
        <v>0</v>
      </c>
      <c r="O36" s="1">
        <f>SUMIFS('WH+RT CURRENT'!$M$2:$M$15000,'WH+RT CURRENT'!$B$2:$B$15000,"MOP",'WH+RT CURRENT'!$R$2:$R$15000,"214210",'WH+RT CURRENT'!$N$2:$N$15000,"&gt;179",'WH+RT CURRENT'!$N$2:$N$15000,"&lt;366")</f>
        <v>0</v>
      </c>
      <c r="P36" s="1">
        <f>SUMIFS('WH+RT CURRENT'!$M$2:$M$15000,'WH+RT CURRENT'!$B$2:$B$15000,"Imp DAP",'WH+RT CURRENT'!$R$2:$R$15000,"214210",'WH+RT CURRENT'!$N$2:$N$15000,"&gt;179",'WH+RT CURRENT'!$N$2:$N$15000,"&lt;366")</f>
        <v>0</v>
      </c>
      <c r="Q36" s="1">
        <f>L36+M36+N36+O36+P36</f>
        <v>0</v>
      </c>
    </row>
    <row r="37" spans="5:17" x14ac:dyDescent="0.25">
      <c r="E37" s="2" t="s">
        <v>6</v>
      </c>
      <c r="F37" s="1">
        <f>SUMIFS('WH+RT PREVIOUS'!$M$2:$M$15000,'WH+RT PREVIOUS'!$B$2:$B$15000,"N.C.Urea(45kg)",'WH+RT PREVIOUS'!$R$2:$R$15000,"214210",'WH+RT PREVIOUS'!$N$2:$N$15000,"&gt;365")</f>
        <v>0.54</v>
      </c>
      <c r="G37" s="1">
        <f>SUMIFS('WH+RT PREVIOUS'!$M$2:$M$15000,'WH+RT PREVIOUS'!$B$2:$B$15000,"15-15-15",'WH+RT PREVIOUS'!$R$2:$R$15000,"214210",'WH+RT PREVIOUS'!$N$2:$N$15000,"&gt;365")</f>
        <v>0</v>
      </c>
      <c r="H37" s="1">
        <f>SUMIFS('WH+RT PREVIOUS'!$M$2:$M$15000,'WH+RT PREVIOUS'!$B$2:$B$15000,"Imp 10-26-26",'WH+RT PREVIOUS'!$R$2:$R$15000,"214210",'WH+RT PREVIOUS'!$N$2:$N$15000,"&gt;365")</f>
        <v>0</v>
      </c>
      <c r="I37" s="1">
        <f>SUMIFS('WH+RT PREVIOUS'!$M$2:$M$15000,'WH+RT PREVIOUS'!$B$2:$B$15000,"MOP",'WH+RT PREVIOUS'!$R$2:$R$15000,"214210",'WH+RT PREVIOUS'!$N$2:$N$15000,"&gt;365")</f>
        <v>0</v>
      </c>
      <c r="J37" s="1">
        <f>SUMIFS('WH+RT PREVIOUS'!$M$2:$M$15000,'WH+RT PREVIOUS'!$B$2:$B$15000,"Imp DAP",'WH+RT PREVIOUS'!$R$2:$R$15000,"214210",'WH+RT PREVIOUS'!$N$2:$N$15000,"&gt;365")</f>
        <v>0</v>
      </c>
      <c r="K37" s="1">
        <f t="shared" ref="K37:K39" si="6">F37+G37+H37+I37+J37</f>
        <v>0.54</v>
      </c>
      <c r="L37" s="1">
        <f>SUMIFS('WH+RT CURRENT'!$M$2:$M$15000,'WH+RT CURRENT'!$B$2:$B$15000,"N.C.Urea(45kg)",'WH+RT CURRENT'!$R$2:$R$15000,"214210",'WH+RT CURRENT'!$N$2:$N$15000,"&gt;365")</f>
        <v>0.54</v>
      </c>
      <c r="M37" s="1">
        <f>SUMIFS('WH+RT CURRENT'!$M$2:$M$15000,'WH+RT CURRENT'!$B$2:$B$15000,"15-15-15",'WH+RT CURRENT'!$R$2:$R$15000,"214210",'WH+RT CURRENT'!$N$2:$N$15000,"&gt;365")</f>
        <v>0</v>
      </c>
      <c r="N37" s="1">
        <f>SUMIFS('WH+RT CURRENT'!$M$2:$M$15000,'WH+RT CURRENT'!$B$2:$B$15000,"Imp 10-26-26",'WH+RT CURRENT'!$R$2:$R$15000,"214210",'WH+RT CURRENT'!$N$2:$N$15000,"&gt;365")</f>
        <v>0</v>
      </c>
      <c r="O37" s="1">
        <f>SUMIFS('WH+RT CURRENT'!$M$2:$M$15000,'WH+RT CURRENT'!$B$2:$B$15000,"MOP",'WH+RT CURRENT'!$R$2:$R$15000,"214210",'WH+RT CURRENT'!$N$2:$N$15000,"&gt;365")</f>
        <v>0</v>
      </c>
      <c r="P37" s="1">
        <f>SUMIFS('WH+RT CURRENT'!$M$2:$M$15000,'WH+RT CURRENT'!$B$2:$B$15000,"Imp DAP",'WH+RT CURRENT'!$R$2:$R$15000,"214210",'WH+RT CURRENT'!$N$2:$N$15000,"&gt;365")</f>
        <v>0</v>
      </c>
      <c r="Q37" s="1">
        <f t="shared" ref="Q37:Q39" si="7">L37+M37+N37+O37+P37</f>
        <v>0.54</v>
      </c>
    </row>
    <row r="38" spans="5:17" x14ac:dyDescent="0.25">
      <c r="E38" s="2" t="s">
        <v>7</v>
      </c>
      <c r="F38" s="1">
        <f>F36+F37</f>
        <v>0.54</v>
      </c>
      <c r="G38" s="1">
        <f>G36+G37</f>
        <v>0</v>
      </c>
      <c r="H38" s="1">
        <f>H36+H37</f>
        <v>0</v>
      </c>
      <c r="I38" s="1">
        <f>I36+I37</f>
        <v>0</v>
      </c>
      <c r="J38" s="1">
        <f>J36+J37</f>
        <v>0</v>
      </c>
      <c r="K38" s="1">
        <f t="shared" si="6"/>
        <v>0.54</v>
      </c>
      <c r="L38" s="1">
        <f>L36+L37</f>
        <v>0.54</v>
      </c>
      <c r="M38" s="1">
        <f>M36+M37</f>
        <v>0</v>
      </c>
      <c r="N38" s="1">
        <f>N36+N37</f>
        <v>0</v>
      </c>
      <c r="O38" s="1">
        <f>O36+O37</f>
        <v>0</v>
      </c>
      <c r="P38" s="1">
        <f>P36+P37</f>
        <v>0</v>
      </c>
      <c r="Q38" s="1">
        <f t="shared" si="7"/>
        <v>0.54</v>
      </c>
    </row>
    <row r="39" spans="5:17" x14ac:dyDescent="0.25">
      <c r="E39" s="2" t="s">
        <v>9</v>
      </c>
      <c r="F39" s="1">
        <f>SUMIFS('WH+RT PREVIOUS'!$M$2:$M$15000,'WH+RT PREVIOUS'!$B$2:$B$15000,"N.C.Urea(45kg)",'WH+RT PREVIOUS'!$R$2:$R$15000,"214210")</f>
        <v>14.379999999999999</v>
      </c>
      <c r="G39" s="1">
        <f>SUMIFS('WH+RT PREVIOUS'!$M$2:$M$15000,'WH+RT PREVIOUS'!$B$2:$B$15000,"15-15-15",'WH+RT PREVIOUS'!$R$2:$R$15000,"214210")</f>
        <v>102.19999999999999</v>
      </c>
      <c r="H39" s="1">
        <f>SUMIFS('WH+RT PREVIOUS'!$M$2:$M$15000,'WH+RT PREVIOUS'!$B$2:$B$15000,"Imp 10-26-26",'WH+RT PREVIOUS'!$R$2:$R$15000,"214210")</f>
        <v>0</v>
      </c>
      <c r="I39" s="1">
        <f>SUMIFS('WH+RT PREVIOUS'!$M$2:$M$15000,'WH+RT PREVIOUS'!$B$2:$B$15000,"MOP",'WH+RT PREVIOUS'!$R$2:$R$15000,"214210")</f>
        <v>0</v>
      </c>
      <c r="J39" s="1">
        <f>SUMIFS('WH+RT PREVIOUS'!$M$2:$M$15000,'WH+RT PREVIOUS'!$B$2:$B$15000,"Imp DAP",'WH+RT PREVIOUS'!$R$2:$R$15000,"214210")</f>
        <v>0</v>
      </c>
      <c r="K39" s="1">
        <f t="shared" si="6"/>
        <v>116.57999999999998</v>
      </c>
      <c r="L39" s="1">
        <f>SUMIFS('WH+RT CURRENT'!$M$2:$M$15000,'WH+RT CURRENT'!$B$2:$B$15000,"N.C.Urea(45kg)",'WH+RT CURRENT'!$R$2:$R$15000,"214210")</f>
        <v>14.38</v>
      </c>
      <c r="M39" s="1">
        <f>SUMIFS('WH+RT CURRENT'!$M$2:$M$15000,'WH+RT CURRENT'!$B$2:$B$15000,"15-15-15",'WH+RT CURRENT'!$R$2:$R$15000,"214210")</f>
        <v>99.699999999999989</v>
      </c>
      <c r="N39" s="1">
        <f>SUMIFS('WH+RT CURRENT'!$M$2:$M$15000,'WH+RT CURRENT'!$B$2:$B$15000,"Imp 10-26-26",'WH+RT CURRENT'!$R$2:$R$15000,"214210")</f>
        <v>0</v>
      </c>
      <c r="O39" s="1">
        <f>SUMIFS('WH+RT CURRENT'!$M$2:$M$15000,'WH+RT CURRENT'!$B$2:$B$15000,"MOP",'WH+RT CURRENT'!$R$2:$R$15000,"214210")</f>
        <v>0</v>
      </c>
      <c r="P39" s="1">
        <f>SUMIFS('WH+RT CURRENT'!$M$2:$M$15000,'WH+RT CURRENT'!$B$2:$B$15000,"Imp DAP",'WH+RT CURRENT'!$R$2:$R$15000,"214210")</f>
        <v>0</v>
      </c>
      <c r="Q39" s="1">
        <f t="shared" si="7"/>
        <v>114.07999999999998</v>
      </c>
    </row>
    <row r="42" spans="5:17" x14ac:dyDescent="0.25">
      <c r="E42" s="12" t="s">
        <v>5282</v>
      </c>
      <c r="F42" s="12"/>
      <c r="G42" s="12"/>
      <c r="H42" s="12"/>
      <c r="I42" s="12"/>
      <c r="J42" s="12"/>
      <c r="K42" s="12"/>
      <c r="L42" s="12"/>
      <c r="M42" s="12"/>
      <c r="N42" s="12"/>
      <c r="O42" s="12"/>
      <c r="P42" s="12"/>
      <c r="Q42" s="12"/>
    </row>
    <row r="43" spans="5:17" x14ac:dyDescent="0.25">
      <c r="E43" s="13"/>
      <c r="F43" s="15" t="s">
        <v>8147</v>
      </c>
      <c r="G43" s="15"/>
      <c r="H43" s="15"/>
      <c r="I43" s="15"/>
      <c r="J43" s="15"/>
      <c r="K43" s="15"/>
      <c r="L43" s="15" t="s">
        <v>8148</v>
      </c>
      <c r="M43" s="15"/>
      <c r="N43" s="15"/>
      <c r="O43" s="15"/>
      <c r="P43" s="15"/>
      <c r="Q43" s="15"/>
    </row>
    <row r="44" spans="5:17" x14ac:dyDescent="0.25">
      <c r="E44" s="14"/>
      <c r="F44" s="2" t="s">
        <v>0</v>
      </c>
      <c r="G44" s="2" t="s">
        <v>1</v>
      </c>
      <c r="H44" s="2" t="s">
        <v>2</v>
      </c>
      <c r="I44" s="2" t="s">
        <v>3</v>
      </c>
      <c r="J44" s="2" t="s">
        <v>8128</v>
      </c>
      <c r="K44" s="2" t="s">
        <v>4</v>
      </c>
      <c r="L44" s="2" t="s">
        <v>0</v>
      </c>
      <c r="M44" s="2" t="s">
        <v>1</v>
      </c>
      <c r="N44" s="2" t="s">
        <v>2</v>
      </c>
      <c r="O44" s="2" t="s">
        <v>3</v>
      </c>
      <c r="P44" s="2" t="s">
        <v>8128</v>
      </c>
      <c r="Q44" s="2" t="s">
        <v>4</v>
      </c>
    </row>
    <row r="45" spans="5:17" x14ac:dyDescent="0.25">
      <c r="E45" s="2" t="s">
        <v>5</v>
      </c>
      <c r="F45" s="1">
        <f>SUMIFS('WH+RT PREVIOUS'!$M$2:$M$15000,'WH+RT PREVIOUS'!$B$2:$B$15000,"N.C.Urea(45kg)",'WH+RT PREVIOUS'!$R$2:$R$15000,"214211",'WH+RT PREVIOUS'!$N$2:$N$15000,"&gt;179",'WH+RT PREVIOUS'!$N$2:$N$15000,"&lt;366")</f>
        <v>0</v>
      </c>
      <c r="G45" s="1">
        <f>SUMIFS('WH+RT PREVIOUS'!$M$2:$M$15000,'WH+RT PREVIOUS'!$B$2:$B$15000,"15-15-15",'WH+RT PREVIOUS'!$R$2:$R$15000,"214211",'WH+RT PREVIOUS'!$N$2:$N$15000,"&gt;179",'WH+RT PREVIOUS'!$N$2:$N$15000,"&lt;366")</f>
        <v>0</v>
      </c>
      <c r="H45" s="1">
        <f>SUMIFS('WH+RT PREVIOUS'!$M$2:$M$15000,'WH+RT PREVIOUS'!$B$2:$B$15000,"Imp 10-26-26",'WH+RT PREVIOUS'!$R$2:$R$15000,"214211",'WH+RT PREVIOUS'!$N$2:$N$15000,"&gt;179",'WH+RT PREVIOUS'!$N$2:$N$15000,"&lt;366")</f>
        <v>0</v>
      </c>
      <c r="I45" s="1">
        <f>SUMIFS('WH+RT PREVIOUS'!$M$2:$M$15000,'WH+RT PREVIOUS'!$B$2:$B$15000,"MOP",'WH+RT PREVIOUS'!$R$2:$R$15000,"214211",'WH+RT PREVIOUS'!$N$2:$N$15000,"&gt;179",'WH+RT PREVIOUS'!$N$2:$N$15000,"&lt;366")</f>
        <v>0</v>
      </c>
      <c r="J45" s="1">
        <f>SUMIFS('WH+RT PREVIOUS'!$M$2:$M$15000,'WH+RT PREVIOUS'!$B$2:$B$15000,"Imp DAP",'WH+RT PREVIOUS'!$R$2:$R$15000,"214211",'WH+RT PREVIOUS'!$N$2:$N$15000,"&gt;179",'WH+RT PREVIOUS'!$N$2:$N$15000,"&lt;366")</f>
        <v>0</v>
      </c>
      <c r="K45" s="1">
        <f>F45+G45+H45+I45+J45</f>
        <v>0</v>
      </c>
      <c r="L45" s="1">
        <f>SUMIFS('WH+RT CURRENT'!$M$2:$M$15000,'WH+RT CURRENT'!$B$2:$B$15000,"N.C.Urea(45kg)",'WH+RT CURRENT'!$R$2:$R$15000,"214211",'WH+RT CURRENT'!$N$2:$N$15000,"&gt;179",'WH+RT CURRENT'!$N$2:$N$15000,"&lt;366")</f>
        <v>0</v>
      </c>
      <c r="M45" s="1">
        <f>SUMIFS('WH+RT CURRENT'!$M$2:$M$15000,'WH+RT CURRENT'!$B$2:$B$15000,"15-15-15",'WH+RT CURRENT'!$R$2:$R$15000,"214211",'WH+RT CURRENT'!$N$2:$N$15000,"&gt;179",'WH+RT CURRENT'!$N$2:$N$15000,"&lt;366")</f>
        <v>0</v>
      </c>
      <c r="N45" s="1">
        <f>SUMIFS('WH+RT CURRENT'!$M$2:$M$15000,'WH+RT CURRENT'!$B$2:$B$15000,"Imp 10-26-26",'WH+RT CURRENT'!$R$2:$R$15000,"214211",'WH+RT CURRENT'!$N$2:$N$15000,"&gt;179",'WH+RT CURRENT'!$N$2:$N$15000,"&lt;366")</f>
        <v>0</v>
      </c>
      <c r="O45" s="1">
        <f>SUMIFS('WH+RT CURRENT'!$M$2:$M$15000,'WH+RT CURRENT'!$B$2:$B$15000,"MOP",'WH+RT CURRENT'!$R$2:$R$15000,"214211",'WH+RT CURRENT'!$N$2:$N$15000,"&gt;179",'WH+RT CURRENT'!$N$2:$N$15000,"&lt;366")</f>
        <v>0</v>
      </c>
      <c r="P45" s="1">
        <f>SUMIFS('WH+RT CURRENT'!$M$2:$M$15000,'WH+RT CURRENT'!$B$2:$B$15000,"Imp DAP",'WH+RT CURRENT'!$R$2:$R$15000,"214211",'WH+RT CURRENT'!$N$2:$N$15000,"&gt;179",'WH+RT CURRENT'!$N$2:$N$15000,"&lt;366")</f>
        <v>0</v>
      </c>
      <c r="Q45" s="1">
        <f>L45+M45+N45+O45+P45</f>
        <v>0</v>
      </c>
    </row>
    <row r="46" spans="5:17" x14ac:dyDescent="0.25">
      <c r="E46" s="2" t="s">
        <v>6</v>
      </c>
      <c r="F46" s="1">
        <f>SUMIFS('WH+RT PREVIOUS'!$M$2:$M$15000,'WH+RT PREVIOUS'!$B$2:$B$15000,"N.C.Urea(45kg)",'WH+RT PREVIOUS'!$R$2:$R$15000,"214211",'WH+RT PREVIOUS'!$N$2:$N$15000,"&gt;365")</f>
        <v>0</v>
      </c>
      <c r="G46" s="1">
        <f>SUMIFS('WH+RT PREVIOUS'!$M$2:$M$15000,'WH+RT PREVIOUS'!$B$2:$B$15000,"15-15-15",'WH+RT PREVIOUS'!$R$2:$R$15000,"214211",'WH+RT PREVIOUS'!$N$2:$N$15000,"&gt;365")</f>
        <v>0</v>
      </c>
      <c r="H46" s="1">
        <f>SUMIFS('WH+RT PREVIOUS'!$M$2:$M$15000,'WH+RT PREVIOUS'!$B$2:$B$15000,"Imp 10-26-26",'WH+RT PREVIOUS'!$R$2:$R$15000,"214211",'WH+RT PREVIOUS'!$N$2:$N$15000,"&gt;365")</f>
        <v>0</v>
      </c>
      <c r="I46" s="1">
        <f>SUMIFS('WH+RT PREVIOUS'!$M$2:$M$15000,'WH+RT PREVIOUS'!$B$2:$B$15000,"MOP",'WH+RT PREVIOUS'!$R$2:$R$15000,"214211",'WH+RT PREVIOUS'!$N$2:$N$15000,"&gt;365")</f>
        <v>0</v>
      </c>
      <c r="J46" s="1">
        <f>SUMIFS('WH+RT PREVIOUS'!$M$2:$M$15000,'WH+RT PREVIOUS'!$B$2:$B$15000,"Imp DAP",'WH+RT PREVIOUS'!$R$2:$R$15000,"214211",'WH+RT PREVIOUS'!$N$2:$N$15000,"&gt;365")</f>
        <v>0</v>
      </c>
      <c r="K46" s="1">
        <f t="shared" ref="K46:K48" si="8">F46+G46+H46+I46+J46</f>
        <v>0</v>
      </c>
      <c r="L46" s="1">
        <f>SUMIFS('WH+RT CURRENT'!$M$2:$M$15000,'WH+RT CURRENT'!$B$2:$B$15000,"N.C.Urea(45kg)",'WH+RT CURRENT'!$R$2:$R$15000,"214211",'WH+RT CURRENT'!$N$2:$N$15000,"&gt;365")</f>
        <v>0</v>
      </c>
      <c r="M46" s="1">
        <f>SUMIFS('WH+RT CURRENT'!$M$2:$M$15000,'WH+RT CURRENT'!$B$2:$B$15000,"15-15-15",'WH+RT CURRENT'!$R$2:$R$15000,"214211",'WH+RT CURRENT'!$N$2:$N$15000,"&gt;365")</f>
        <v>0</v>
      </c>
      <c r="N46" s="1">
        <f>SUMIFS('WH+RT CURRENT'!$M$2:$M$15000,'WH+RT CURRENT'!$B$2:$B$15000,"Imp 10-26-26",'WH+RT CURRENT'!$R$2:$R$15000,"214211",'WH+RT CURRENT'!$N$2:$N$15000,"&gt;365")</f>
        <v>0</v>
      </c>
      <c r="O46" s="1">
        <f>SUMIFS('WH+RT CURRENT'!$M$2:$M$15000,'WH+RT CURRENT'!$B$2:$B$15000,"MOP",'WH+RT CURRENT'!$R$2:$R$15000,"214211",'WH+RT CURRENT'!$N$2:$N$15000,"&gt;365")</f>
        <v>0</v>
      </c>
      <c r="P46" s="1">
        <f>SUMIFS('WH+RT CURRENT'!$M$2:$M$15000,'WH+RT CURRENT'!$B$2:$B$15000,"Imp DAP",'WH+RT CURRENT'!$R$2:$R$15000,"214211",'WH+RT CURRENT'!$N$2:$N$15000,"&gt;365")</f>
        <v>0</v>
      </c>
      <c r="Q46" s="1">
        <f t="shared" ref="Q46:Q48" si="9">L46+M46+N46+O46+P46</f>
        <v>0</v>
      </c>
    </row>
    <row r="47" spans="5:17" x14ac:dyDescent="0.25">
      <c r="E47" s="2" t="s">
        <v>7</v>
      </c>
      <c r="F47" s="1">
        <f>F45+F46</f>
        <v>0</v>
      </c>
      <c r="G47" s="1">
        <f>G45+G46</f>
        <v>0</v>
      </c>
      <c r="H47" s="1">
        <f>H45+H46</f>
        <v>0</v>
      </c>
      <c r="I47" s="1">
        <f>I45+I46</f>
        <v>0</v>
      </c>
      <c r="J47" s="1">
        <f>J45+J46</f>
        <v>0</v>
      </c>
      <c r="K47" s="1">
        <f t="shared" si="8"/>
        <v>0</v>
      </c>
      <c r="L47" s="1">
        <f>L45+L46</f>
        <v>0</v>
      </c>
      <c r="M47" s="1">
        <f>M45+M46</f>
        <v>0</v>
      </c>
      <c r="N47" s="1">
        <f>N45+N46</f>
        <v>0</v>
      </c>
      <c r="O47" s="1">
        <f>O45+O46</f>
        <v>0</v>
      </c>
      <c r="P47" s="1">
        <f>P45+P46</f>
        <v>0</v>
      </c>
      <c r="Q47" s="1">
        <f t="shared" si="9"/>
        <v>0</v>
      </c>
    </row>
    <row r="48" spans="5:17" x14ac:dyDescent="0.25">
      <c r="E48" s="2" t="s">
        <v>9</v>
      </c>
      <c r="F48" s="1">
        <f>SUMIFS('WH+RT PREVIOUS'!$M$2:$M$15000,'WH+RT PREVIOUS'!$B$2:$B$15000,"N.C.Urea(45kg)",'WH+RT PREVIOUS'!$R$2:$R$15000,"214211")</f>
        <v>12.465</v>
      </c>
      <c r="G48" s="1">
        <f>SUMIFS('WH+RT PREVIOUS'!$M$2:$M$15000,'WH+RT PREVIOUS'!$B$2:$B$15000,"15-15-15",'WH+RT PREVIOUS'!$R$2:$R$15000,"214211")</f>
        <v>9.5</v>
      </c>
      <c r="H48" s="1">
        <f>SUMIFS('WH+RT PREVIOUS'!$M$2:$M$15000,'WH+RT PREVIOUS'!$B$2:$B$15000,"Imp 10-26-26",'WH+RT PREVIOUS'!$R$2:$R$15000,"214211")</f>
        <v>0</v>
      </c>
      <c r="I48" s="1">
        <f>SUMIFS('WH+RT PREVIOUS'!$M$2:$M$15000,'WH+RT PREVIOUS'!$B$2:$B$15000,"MOP",'WH+RT PREVIOUS'!$R$2:$R$15000,"214211")</f>
        <v>0</v>
      </c>
      <c r="J48" s="1">
        <f>SUMIFS('WH+RT PREVIOUS'!$M$2:$M$15000,'WH+RT PREVIOUS'!$B$2:$B$15000,"Imp DAP",'WH+RT PREVIOUS'!$R$2:$R$15000,"214211")</f>
        <v>0</v>
      </c>
      <c r="K48" s="1">
        <f t="shared" si="8"/>
        <v>21.965</v>
      </c>
      <c r="L48" s="1">
        <f>SUMIFS('WH+RT CURRENT'!$M$2:$M$15000,'WH+RT CURRENT'!$B$2:$B$15000,"N.C.Urea(45kg)",'WH+RT CURRENT'!$R$2:$R$15000,"214211")</f>
        <v>11.475</v>
      </c>
      <c r="M48" s="1">
        <f>SUMIFS('WH+RT CURRENT'!$M$2:$M$15000,'WH+RT CURRENT'!$B$2:$B$15000,"15-15-15",'WH+RT CURRENT'!$R$2:$R$15000,"214211")</f>
        <v>9.5</v>
      </c>
      <c r="N48" s="1">
        <f>SUMIFS('WH+RT CURRENT'!$M$2:$M$15000,'WH+RT CURRENT'!$B$2:$B$15000,"Imp 10-26-26",'WH+RT CURRENT'!$R$2:$R$15000,"214211")</f>
        <v>0</v>
      </c>
      <c r="O48" s="1">
        <f>SUMIFS('WH+RT CURRENT'!$M$2:$M$15000,'WH+RT CURRENT'!$B$2:$B$15000,"MOP",'WH+RT CURRENT'!$R$2:$R$15000,"214211")</f>
        <v>0</v>
      </c>
      <c r="P48" s="1">
        <f>SUMIFS('WH+RT CURRENT'!$M$2:$M$15000,'WH+RT CURRENT'!$B$2:$B$15000,"Imp DAP",'WH+RT CURRENT'!$R$2:$R$15000,"214211")</f>
        <v>0</v>
      </c>
      <c r="Q48" s="1">
        <f t="shared" si="9"/>
        <v>20.975000000000001</v>
      </c>
    </row>
    <row r="51" spans="5:17" x14ac:dyDescent="0.25">
      <c r="E51" s="12" t="s">
        <v>490</v>
      </c>
      <c r="F51" s="12"/>
      <c r="G51" s="12"/>
      <c r="H51" s="12"/>
      <c r="I51" s="12"/>
      <c r="J51" s="12"/>
      <c r="K51" s="12"/>
      <c r="L51" s="12"/>
      <c r="M51" s="12"/>
      <c r="N51" s="12"/>
      <c r="O51" s="12"/>
      <c r="P51" s="12"/>
      <c r="Q51" s="12"/>
    </row>
    <row r="52" spans="5:17" x14ac:dyDescent="0.25">
      <c r="E52" s="13"/>
      <c r="F52" s="15" t="s">
        <v>8147</v>
      </c>
      <c r="G52" s="15"/>
      <c r="H52" s="15"/>
      <c r="I52" s="15"/>
      <c r="J52" s="15"/>
      <c r="K52" s="15"/>
      <c r="L52" s="15" t="s">
        <v>8148</v>
      </c>
      <c r="M52" s="15"/>
      <c r="N52" s="15"/>
      <c r="O52" s="15"/>
      <c r="P52" s="15"/>
      <c r="Q52" s="15"/>
    </row>
    <row r="53" spans="5:17" x14ac:dyDescent="0.25">
      <c r="E53" s="14"/>
      <c r="F53" s="2" t="s">
        <v>0</v>
      </c>
      <c r="G53" s="2" t="s">
        <v>1</v>
      </c>
      <c r="H53" s="2" t="s">
        <v>2</v>
      </c>
      <c r="I53" s="2" t="s">
        <v>3</v>
      </c>
      <c r="J53" s="2" t="s">
        <v>8128</v>
      </c>
      <c r="K53" s="2" t="s">
        <v>4</v>
      </c>
      <c r="L53" s="2" t="s">
        <v>0</v>
      </c>
      <c r="M53" s="2" t="s">
        <v>1</v>
      </c>
      <c r="N53" s="2" t="s">
        <v>2</v>
      </c>
      <c r="O53" s="2" t="s">
        <v>3</v>
      </c>
      <c r="P53" s="2" t="s">
        <v>8128</v>
      </c>
      <c r="Q53" s="2" t="s">
        <v>4</v>
      </c>
    </row>
    <row r="54" spans="5:17" x14ac:dyDescent="0.25">
      <c r="E54" s="2" t="s">
        <v>5</v>
      </c>
      <c r="F54" s="1">
        <f>SUMIFS('WH+RT PREVIOUS'!$M$2:$M$15000,'WH+RT PREVIOUS'!$B$2:$B$15000,"N.C.Urea(45kg)",'WH+RT PREVIOUS'!$R$2:$R$15000,"1409662",'WH+RT PREVIOUS'!$N$2:$N$15000,"&gt;179",'WH+RT PREVIOUS'!$N$2:$N$15000,"&lt;366")</f>
        <v>0</v>
      </c>
      <c r="G54" s="1">
        <f>SUMIFS('WH+RT PREVIOUS'!$M$2:$M$15000,'WH+RT PREVIOUS'!$B$2:$B$15000,"15-15-15",'WH+RT PREVIOUS'!$R$2:$R$15000,"1409662",'WH+RT PREVIOUS'!$N$2:$N$15000,"&gt;179",'WH+RT PREVIOUS'!$N$2:$N$15000,"&lt;366")</f>
        <v>0</v>
      </c>
      <c r="H54" s="1">
        <f>SUMIFS('WH+RT PREVIOUS'!$M$2:$M$15000,'WH+RT PREVIOUS'!$B$2:$B$15000,"Imp 10-26-26",'WH+RT PREVIOUS'!$R$2:$R$15000,"1409662",'WH+RT PREVIOUS'!$N$2:$N$15000,"&gt;179",'WH+RT PREVIOUS'!$N$2:$N$15000,"&lt;366")</f>
        <v>0</v>
      </c>
      <c r="I54" s="1">
        <f>SUMIFS('WH+RT PREVIOUS'!$M$2:$M$15000,'WH+RT PREVIOUS'!$B$2:$B$15000,"MOP",'WH+RT PREVIOUS'!$R$2:$R$15000,"1409662",'WH+RT PREVIOUS'!$N$2:$N$15000,"&gt;179",'WH+RT PREVIOUS'!$N$2:$N$15000,"&lt;366")</f>
        <v>0</v>
      </c>
      <c r="J54" s="1">
        <f>SUMIFS('WH+RT PREVIOUS'!$M$2:$M$15000,'WH+RT PREVIOUS'!$B$2:$B$15000,"Imp DAP",'WH+RT PREVIOUS'!$R$2:$R$15000,"1409662",'WH+RT PREVIOUS'!$N$2:$N$15000,"&gt;179",'WH+RT PREVIOUS'!$N$2:$N$15000,"&lt;366")</f>
        <v>0</v>
      </c>
      <c r="K54" s="1">
        <f>F54+G54+H54+I54+J54</f>
        <v>0</v>
      </c>
      <c r="L54" s="1">
        <f>SUMIFS('WH+RT CURRENT'!$M$2:$M$15000,'WH+RT CURRENT'!$B$2:$B$15000,"N.C.Urea(45kg)",'WH+RT CURRENT'!$R$2:$R$15000,"1409662",'WH+RT CURRENT'!$N$2:$N$15000,"&gt;179",'WH+RT CURRENT'!$N$2:$N$15000,"&lt;366")</f>
        <v>0</v>
      </c>
      <c r="M54" s="1">
        <f>SUMIFS('WH+RT CURRENT'!$M$2:$M$15000,'WH+RT CURRENT'!$B$2:$B$15000,"15-15-15",'WH+RT CURRENT'!$R$2:$R$15000,"1409662",'WH+RT CURRENT'!$N$2:$N$15000,"&gt;179",'WH+RT CURRENT'!$N$2:$N$15000,"&lt;366")</f>
        <v>0</v>
      </c>
      <c r="N54" s="1">
        <f>SUMIFS('WH+RT CURRENT'!$M$2:$M$15000,'WH+RT CURRENT'!$B$2:$B$15000,"Imp 10-26-26",'WH+RT CURRENT'!$R$2:$R$15000,"1409662",'WH+RT CURRENT'!$N$2:$N$15000,"&gt;179",'WH+RT CURRENT'!$N$2:$N$15000,"&lt;366")</f>
        <v>0</v>
      </c>
      <c r="O54" s="1">
        <f>SUMIFS('WH+RT CURRENT'!$M$2:$M$15000,'WH+RT CURRENT'!$B$2:$B$15000,"MOP",'WH+RT CURRENT'!$R$2:$R$15000,"1409662",'WH+RT CURRENT'!$N$2:$N$15000,"&gt;179",'WH+RT CURRENT'!$N$2:$N$15000,"&lt;366")</f>
        <v>0</v>
      </c>
      <c r="P54" s="1">
        <f>SUMIFS('WH+RT CURRENT'!$M$2:$M$15000,'WH+RT CURRENT'!$B$2:$B$15000,"Imp DAP",'WH+RT CURRENT'!$R$2:$R$15000,"1409662",'WH+RT CURRENT'!$N$2:$N$15000,"&gt;179",'WH+RT CURRENT'!$N$2:$N$15000,"&lt;366")</f>
        <v>0</v>
      </c>
      <c r="Q54" s="1">
        <f>L54+M54+N54+O54+P54</f>
        <v>0</v>
      </c>
    </row>
    <row r="55" spans="5:17" x14ac:dyDescent="0.25">
      <c r="E55" s="2" t="s">
        <v>6</v>
      </c>
      <c r="F55" s="1">
        <f>SUMIFS('WH+RT PREVIOUS'!$M$2:$M$15000,'WH+RT PREVIOUS'!$B$2:$B$15000,"N.C.Urea(45kg)",'WH+RT PREVIOUS'!$R$2:$R$15000,"1409662",'WH+RT PREVIOUS'!$N$2:$N$15000,"&gt;365")</f>
        <v>0</v>
      </c>
      <c r="G55" s="1">
        <f>SUMIFS('WH+RT PREVIOUS'!$M$2:$M$15000,'WH+RT PREVIOUS'!$B$2:$B$15000,"15-15-15",'WH+RT PREVIOUS'!$R$2:$R$15000,"1409662",'WH+RT PREVIOUS'!$N$2:$N$15000,"&gt;365")</f>
        <v>0</v>
      </c>
      <c r="H55" s="1">
        <f>SUMIFS('WH+RT PREVIOUS'!$M$2:$M$15000,'WH+RT PREVIOUS'!$B$2:$B$15000,"Imp 10-26-26",'WH+RT PREVIOUS'!$R$2:$R$15000,"1409662",'WH+RT PREVIOUS'!$N$2:$N$15000,"&gt;365")</f>
        <v>0</v>
      </c>
      <c r="I55" s="1">
        <f>SUMIFS('WH+RT PREVIOUS'!$M$2:$M$15000,'WH+RT PREVIOUS'!$B$2:$B$15000,"MOP",'WH+RT PREVIOUS'!$R$2:$R$15000,"1409662",'WH+RT PREVIOUS'!$N$2:$N$15000,"&gt;365")</f>
        <v>0</v>
      </c>
      <c r="J55" s="1">
        <f>SUMIFS('WH+RT PREVIOUS'!$M$2:$M$15000,'WH+RT PREVIOUS'!$B$2:$B$15000,"Imp DAP",'WH+RT PREVIOUS'!$R$2:$R$15000,"1409662",'WH+RT PREVIOUS'!$N$2:$N$15000,"&gt;365")</f>
        <v>0</v>
      </c>
      <c r="K55" s="1">
        <f t="shared" ref="K55:K57" si="10">F55+G55+H55+I55+J55</f>
        <v>0</v>
      </c>
      <c r="L55" s="1">
        <f>SUMIFS('WH+RT CURRENT'!$M$2:$M$15000,'WH+RT CURRENT'!$B$2:$B$15000,"N.C.Urea(45kg)",'WH+RT CURRENT'!$R$2:$R$15000,"1409662",'WH+RT CURRENT'!$N$2:$N$15000,"&gt;365")</f>
        <v>0</v>
      </c>
      <c r="M55" s="1">
        <f>SUMIFS('WH+RT CURRENT'!$M$2:$M$15000,'WH+RT CURRENT'!$B$2:$B$15000,"15-15-15",'WH+RT CURRENT'!$R$2:$R$15000,"1409662",'WH+RT CURRENT'!$N$2:$N$15000,"&gt;365")</f>
        <v>0</v>
      </c>
      <c r="N55" s="1">
        <f>SUMIFS('WH+RT CURRENT'!$M$2:$M$15000,'WH+RT CURRENT'!$B$2:$B$15000,"Imp 10-26-26",'WH+RT CURRENT'!$R$2:$R$15000,"1409662",'WH+RT CURRENT'!$N$2:$N$15000,"&gt;365")</f>
        <v>0</v>
      </c>
      <c r="O55" s="1">
        <f>SUMIFS('WH+RT CURRENT'!$M$2:$M$15000,'WH+RT CURRENT'!$B$2:$B$15000,"MOP",'WH+RT CURRENT'!$R$2:$R$15000,"1409662",'WH+RT CURRENT'!$N$2:$N$15000,"&gt;365")</f>
        <v>0</v>
      </c>
      <c r="P55" s="1">
        <f>SUMIFS('WH+RT CURRENT'!$M$2:$M$15000,'WH+RT CURRENT'!$B$2:$B$15000,"Imp DAP",'WH+RT CURRENT'!$R$2:$R$15000,"1409662",'WH+RT CURRENT'!$N$2:$N$15000,"&gt;365")</f>
        <v>0</v>
      </c>
      <c r="Q55" s="1">
        <f t="shared" ref="Q55:Q57" si="11">L55+M55+N55+O55+P55</f>
        <v>0</v>
      </c>
    </row>
    <row r="56" spans="5:17" x14ac:dyDescent="0.25">
      <c r="E56" s="2" t="s">
        <v>7</v>
      </c>
      <c r="F56" s="1">
        <f>F54+F55</f>
        <v>0</v>
      </c>
      <c r="G56" s="1">
        <f>G54+G55</f>
        <v>0</v>
      </c>
      <c r="H56" s="1">
        <f>H54+H55</f>
        <v>0</v>
      </c>
      <c r="I56" s="1">
        <f>I54+I55</f>
        <v>0</v>
      </c>
      <c r="J56" s="1">
        <f>J54+J55</f>
        <v>0</v>
      </c>
      <c r="K56" s="1">
        <f t="shared" si="10"/>
        <v>0</v>
      </c>
      <c r="L56" s="1">
        <f>L54+L55</f>
        <v>0</v>
      </c>
      <c r="M56" s="1">
        <f>M54+M55</f>
        <v>0</v>
      </c>
      <c r="N56" s="1">
        <f>N54+N55</f>
        <v>0</v>
      </c>
      <c r="O56" s="1">
        <f>O54+O55</f>
        <v>0</v>
      </c>
      <c r="P56" s="1">
        <f>P54+P55</f>
        <v>0</v>
      </c>
      <c r="Q56" s="1">
        <f t="shared" si="11"/>
        <v>0</v>
      </c>
    </row>
    <row r="57" spans="5:17" x14ac:dyDescent="0.25">
      <c r="E57" s="2" t="s">
        <v>9</v>
      </c>
      <c r="F57" s="1">
        <f>SUMIFS('WH+RT PREVIOUS'!$M$2:$M$15000,'WH+RT PREVIOUS'!$B$2:$B$15000,"N.C.Urea(45kg)",'WH+RT PREVIOUS'!$R$2:$R$15000,"1409662")</f>
        <v>97.695000000000022</v>
      </c>
      <c r="G57" s="1">
        <f>SUMIFS('WH+RT PREVIOUS'!$M$2:$M$15000,'WH+RT PREVIOUS'!$B$2:$B$15000,"15-15-15",'WH+RT PREVIOUS'!$R$2:$R$15000,"1409662")</f>
        <v>38.199999999999996</v>
      </c>
      <c r="H57" s="1">
        <f>SUMIFS('WH+RT PREVIOUS'!$M$2:$M$15000,'WH+RT PREVIOUS'!$B$2:$B$15000,"Imp 10-26-26",'WH+RT PREVIOUS'!$R$2:$R$15000,"1409662")</f>
        <v>0</v>
      </c>
      <c r="I57" s="1">
        <f>SUMIFS('WH+RT PREVIOUS'!$M$2:$M$15000,'WH+RT PREVIOUS'!$B$2:$B$15000,"MOP",'WH+RT PREVIOUS'!$R$2:$R$15000,"1409662")</f>
        <v>0</v>
      </c>
      <c r="J57" s="1">
        <f>SUMIFS('WH+RT PREVIOUS'!$M$2:$M$15000,'WH+RT PREVIOUS'!$B$2:$B$15000,"Imp DAP",'WH+RT PREVIOUS'!$R$2:$R$15000,"1409662")</f>
        <v>0</v>
      </c>
      <c r="K57" s="1">
        <f t="shared" si="10"/>
        <v>135.89500000000001</v>
      </c>
      <c r="L57" s="1">
        <f>SUMIFS('WH+RT CURRENT'!$M$2:$M$15000,'WH+RT CURRENT'!$B$2:$B$15000,"N.C.Urea(45kg)",'WH+RT CURRENT'!$R$2:$R$15000,"1409662")</f>
        <v>97.695000000000022</v>
      </c>
      <c r="M57" s="1">
        <f>SUMIFS('WH+RT CURRENT'!$M$2:$M$15000,'WH+RT CURRENT'!$B$2:$B$15000,"15-15-15",'WH+RT CURRENT'!$R$2:$R$15000,"1409662")</f>
        <v>38.199999999999996</v>
      </c>
      <c r="N57" s="1">
        <f>SUMIFS('WH+RT CURRENT'!$M$2:$M$15000,'WH+RT CURRENT'!$B$2:$B$15000,"Imp 10-26-26",'WH+RT CURRENT'!$R$2:$R$15000,"1409662")</f>
        <v>0</v>
      </c>
      <c r="O57" s="1">
        <f>SUMIFS('WH+RT CURRENT'!$M$2:$M$15000,'WH+RT CURRENT'!$B$2:$B$15000,"MOP",'WH+RT CURRENT'!$R$2:$R$15000,"1409662")</f>
        <v>0</v>
      </c>
      <c r="P57" s="1">
        <f>SUMIFS('WH+RT CURRENT'!$M$2:$M$15000,'WH+RT CURRENT'!$B$2:$B$15000,"Imp DAP",'WH+RT CURRENT'!$R$2:$R$15000,"1409662")</f>
        <v>0</v>
      </c>
      <c r="Q57" s="1">
        <f t="shared" si="11"/>
        <v>135.89500000000001</v>
      </c>
    </row>
    <row r="60" spans="5:17" x14ac:dyDescent="0.25">
      <c r="E60" s="12" t="s">
        <v>316</v>
      </c>
      <c r="F60" s="12"/>
      <c r="G60" s="12"/>
      <c r="H60" s="12"/>
      <c r="I60" s="12"/>
      <c r="J60" s="12"/>
      <c r="K60" s="12"/>
      <c r="L60" s="12"/>
      <c r="M60" s="12"/>
      <c r="N60" s="12"/>
      <c r="O60" s="12"/>
      <c r="P60" s="12"/>
      <c r="Q60" s="12"/>
    </row>
    <row r="61" spans="5:17" x14ac:dyDescent="0.25">
      <c r="E61" s="13"/>
      <c r="F61" s="15" t="s">
        <v>8147</v>
      </c>
      <c r="G61" s="15"/>
      <c r="H61" s="15"/>
      <c r="I61" s="15"/>
      <c r="J61" s="15"/>
      <c r="K61" s="15"/>
      <c r="L61" s="15" t="s">
        <v>8148</v>
      </c>
      <c r="M61" s="15"/>
      <c r="N61" s="15"/>
      <c r="O61" s="15"/>
      <c r="P61" s="15"/>
      <c r="Q61" s="15"/>
    </row>
    <row r="62" spans="5:17" x14ac:dyDescent="0.25">
      <c r="E62" s="14"/>
      <c r="F62" s="2" t="s">
        <v>0</v>
      </c>
      <c r="G62" s="2" t="s">
        <v>1</v>
      </c>
      <c r="H62" s="2" t="s">
        <v>2</v>
      </c>
      <c r="I62" s="2" t="s">
        <v>3</v>
      </c>
      <c r="J62" s="2" t="s">
        <v>8128</v>
      </c>
      <c r="K62" s="2" t="s">
        <v>4</v>
      </c>
      <c r="L62" s="2" t="s">
        <v>0</v>
      </c>
      <c r="M62" s="2" t="s">
        <v>1</v>
      </c>
      <c r="N62" s="2" t="s">
        <v>2</v>
      </c>
      <c r="O62" s="2" t="s">
        <v>3</v>
      </c>
      <c r="P62" s="2" t="s">
        <v>8128</v>
      </c>
      <c r="Q62" s="2" t="s">
        <v>4</v>
      </c>
    </row>
    <row r="63" spans="5:17" x14ac:dyDescent="0.25">
      <c r="E63" s="2" t="s">
        <v>5</v>
      </c>
      <c r="F63" s="1">
        <f>SUMIFS('WH+RT PREVIOUS'!$M$2:$M$15000,'WH+RT PREVIOUS'!$B$2:$B$15000,"N.C.Urea(45kg)",'WH+RT PREVIOUS'!$R$2:$R$15000,"214204",'WH+RT PREVIOUS'!$N$2:$N$15000,"&gt;179",'WH+RT PREVIOUS'!$N$2:$N$15000,"&lt;366")</f>
        <v>0.54</v>
      </c>
      <c r="G63" s="1">
        <f>SUMIFS('WH+RT PREVIOUS'!$M$2:$M$15000,'WH+RT PREVIOUS'!$B$2:$B$15000,"15-15-15",'WH+RT PREVIOUS'!$R$2:$R$15000,"214204",'WH+RT PREVIOUS'!$N$2:$N$15000,"&gt;179",'WH+RT PREVIOUS'!$N$2:$N$15000,"&lt;366")</f>
        <v>2.1999999999999999E-2</v>
      </c>
      <c r="H63" s="1">
        <f>SUMIFS('WH+RT PREVIOUS'!$M$2:$M$15000,'WH+RT PREVIOUS'!$B$2:$B$15000,"Imp 10-26-26",'WH+RT PREVIOUS'!$R$2:$R$15000,"214204",'WH+RT PREVIOUS'!$N$2:$N$15000,"&gt;179",'WH+RT PREVIOUS'!$N$2:$N$15000,"&lt;366")</f>
        <v>0</v>
      </c>
      <c r="I63" s="1">
        <f>SUMIFS('WH+RT PREVIOUS'!$M$2:$M$15000,'WH+RT PREVIOUS'!$B$2:$B$15000,"MOP",'WH+RT PREVIOUS'!$R$2:$R$15000,"214204",'WH+RT PREVIOUS'!$N$2:$N$15000,"&gt;179",'WH+RT PREVIOUS'!$N$2:$N$15000,"&lt;366")</f>
        <v>0</v>
      </c>
      <c r="J63" s="1">
        <f>SUMIFS('WH+RT PREVIOUS'!$M$2:$M$15000,'WH+RT PREVIOUS'!$B$2:$B$15000,"Imp DAP",'WH+RT PREVIOUS'!$R$2:$R$15000,"214204",'WH+RT PREVIOUS'!$N$2:$N$15000,"&gt;179",'WH+RT PREVIOUS'!$N$2:$N$15000,"&lt;366")</f>
        <v>0</v>
      </c>
      <c r="K63" s="1">
        <f>F63+G63+H63+I63+J63</f>
        <v>0.56200000000000006</v>
      </c>
      <c r="L63" s="1">
        <f>SUMIFS('WH+RT CURRENT'!$M$2:$M$15000,'WH+RT CURRENT'!$B$2:$B$15000,"N.C.Urea(45kg)",'WH+RT CURRENT'!$R$2:$R$15000,"214204",'WH+RT CURRENT'!$N$2:$N$15000,"&gt;179",'WH+RT CURRENT'!$N$2:$N$15000,"&lt;366")</f>
        <v>0.54</v>
      </c>
      <c r="M63" s="1">
        <f>SUMIFS('WH+RT CURRENT'!$M$2:$M$15000,'WH+RT CURRENT'!$B$2:$B$15000,"15-15-15",'WH+RT CURRENT'!$R$2:$R$15000,"214204",'WH+RT CURRENT'!$N$2:$N$15000,"&gt;179",'WH+RT CURRENT'!$N$2:$N$15000,"&lt;366")</f>
        <v>2.1999999999999999E-2</v>
      </c>
      <c r="N63" s="1">
        <f>SUMIFS('WH+RT CURRENT'!$M$2:$M$15000,'WH+RT CURRENT'!$B$2:$B$15000,"Imp 10-26-26",'WH+RT CURRENT'!$R$2:$R$15000,"214204",'WH+RT CURRENT'!$N$2:$N$15000,"&gt;179",'WH+RT CURRENT'!$N$2:$N$15000,"&lt;366")</f>
        <v>0</v>
      </c>
      <c r="O63" s="1">
        <f>SUMIFS('WH+RT CURRENT'!$M$2:$M$15000,'WH+RT CURRENT'!$B$2:$B$15000,"MOP",'WH+RT CURRENT'!$R$2:$R$15000,"214204",'WH+RT CURRENT'!$N$2:$N$15000,"&gt;179",'WH+RT CURRENT'!$N$2:$N$15000,"&lt;366")</f>
        <v>0</v>
      </c>
      <c r="P63" s="1">
        <f>SUMIFS('WH+RT CURRENT'!$M$2:$M$15000,'WH+RT CURRENT'!$B$2:$B$15000,"Imp DAP",'WH+RT CURRENT'!$R$2:$R$15000,"214204",'WH+RT CURRENT'!$N$2:$N$15000,"&gt;179",'WH+RT CURRENT'!$N$2:$N$15000,"&lt;366")</f>
        <v>0</v>
      </c>
      <c r="Q63" s="1">
        <f>L63+M63+N63+O63+P63</f>
        <v>0.56200000000000006</v>
      </c>
    </row>
    <row r="64" spans="5:17" x14ac:dyDescent="0.25">
      <c r="E64" s="2" t="s">
        <v>6</v>
      </c>
      <c r="F64" s="1">
        <f>SUMIFS('WH+RT PREVIOUS'!$M$2:$M$15000,'WH+RT PREVIOUS'!$B$2:$B$15000,"N.C.Urea(45kg)",'WH+RT PREVIOUS'!$R$2:$R$15000,"214204",'WH+RT PREVIOUS'!$N$2:$N$15000,"&gt;365")</f>
        <v>2.3849999999999998</v>
      </c>
      <c r="G64" s="1">
        <f>SUMIFS('WH+RT PREVIOUS'!$M$2:$M$15000,'WH+RT PREVIOUS'!$B$2:$B$15000,"15-15-15",'WH+RT PREVIOUS'!$R$2:$R$15000,"214204",'WH+RT PREVIOUS'!$N$2:$N$15000,"&gt;365")</f>
        <v>0</v>
      </c>
      <c r="H64" s="1">
        <f>SUMIFS('WH+RT PREVIOUS'!$M$2:$M$15000,'WH+RT PREVIOUS'!$B$2:$B$15000,"Imp 10-26-26",'WH+RT PREVIOUS'!$R$2:$R$15000,"214204",'WH+RT PREVIOUS'!$N$2:$N$15000,"&gt;365")</f>
        <v>0</v>
      </c>
      <c r="I64" s="1">
        <f>SUMIFS('WH+RT PREVIOUS'!$M$2:$M$15000,'WH+RT PREVIOUS'!$B$2:$B$15000,"MOP",'WH+RT PREVIOUS'!$R$2:$R$15000,"214204",'WH+RT PREVIOUS'!$N$2:$N$15000,"&gt;365")</f>
        <v>0</v>
      </c>
      <c r="J64" s="1">
        <f>SUMIFS('WH+RT PREVIOUS'!$M$2:$M$15000,'WH+RT PREVIOUS'!$B$2:$B$15000,"Imp DAP",'WH+RT PREVIOUS'!$R$2:$R$15000,"214204",'WH+RT PREVIOUS'!$N$2:$N$15000,"&gt;365")</f>
        <v>0</v>
      </c>
      <c r="K64" s="1">
        <f t="shared" ref="K64:K66" si="12">F64+G64+H64+I64+J64</f>
        <v>2.3849999999999998</v>
      </c>
      <c r="L64" s="1">
        <f>SUMIFS('WH+RT CURRENT'!$M$2:$M$15000,'WH+RT CURRENT'!$B$2:$B$15000,"N.C.Urea(45kg)",'WH+RT CURRENT'!$R$2:$R$15000,"214204",'WH+RT CURRENT'!$N$2:$N$15000,"&gt;365")</f>
        <v>2.3849999999999998</v>
      </c>
      <c r="M64" s="1">
        <f>SUMIFS('WH+RT CURRENT'!$M$2:$M$15000,'WH+RT CURRENT'!$B$2:$B$15000,"15-15-15",'WH+RT CURRENT'!$R$2:$R$15000,"214204",'WH+RT CURRENT'!$N$2:$N$15000,"&gt;365")</f>
        <v>0</v>
      </c>
      <c r="N64" s="1">
        <f>SUMIFS('WH+RT CURRENT'!$M$2:$M$15000,'WH+RT CURRENT'!$B$2:$B$15000,"Imp 10-26-26",'WH+RT CURRENT'!$R$2:$R$15000,"214204",'WH+RT CURRENT'!$N$2:$N$15000,"&gt;365")</f>
        <v>0</v>
      </c>
      <c r="O64" s="1">
        <f>SUMIFS('WH+RT CURRENT'!$M$2:$M$15000,'WH+RT CURRENT'!$B$2:$B$15000,"MOP",'WH+RT CURRENT'!$R$2:$R$15000,"214204",'WH+RT CURRENT'!$N$2:$N$15000,"&gt;365")</f>
        <v>0</v>
      </c>
      <c r="P64" s="1">
        <f>SUMIFS('WH+RT CURRENT'!$M$2:$M$15000,'WH+RT CURRENT'!$B$2:$B$15000,"Imp DAP",'WH+RT CURRENT'!$R$2:$R$15000,"214204",'WH+RT CURRENT'!$N$2:$N$15000,"&gt;365")</f>
        <v>0</v>
      </c>
      <c r="Q64" s="1">
        <f t="shared" ref="Q64:Q66" si="13">L64+M64+N64+O64+P64</f>
        <v>2.3849999999999998</v>
      </c>
    </row>
    <row r="65" spans="5:17" x14ac:dyDescent="0.25">
      <c r="E65" s="2" t="s">
        <v>7</v>
      </c>
      <c r="F65" s="1">
        <f>F63+F64</f>
        <v>2.9249999999999998</v>
      </c>
      <c r="G65" s="1">
        <f>G63+G64</f>
        <v>2.1999999999999999E-2</v>
      </c>
      <c r="H65" s="1">
        <f>H63+H64</f>
        <v>0</v>
      </c>
      <c r="I65" s="1">
        <f>I63+I64</f>
        <v>0</v>
      </c>
      <c r="J65" s="1">
        <f>J63+J64</f>
        <v>0</v>
      </c>
      <c r="K65" s="1">
        <f t="shared" si="12"/>
        <v>2.9469999999999996</v>
      </c>
      <c r="L65" s="1">
        <f>L63+L64</f>
        <v>2.9249999999999998</v>
      </c>
      <c r="M65" s="1">
        <f>M63+M64</f>
        <v>2.1999999999999999E-2</v>
      </c>
      <c r="N65" s="1">
        <f>N63+N64</f>
        <v>0</v>
      </c>
      <c r="O65" s="1">
        <f>O63+O64</f>
        <v>0</v>
      </c>
      <c r="P65" s="1">
        <f>P63+P64</f>
        <v>0</v>
      </c>
      <c r="Q65" s="1">
        <f t="shared" si="13"/>
        <v>2.9469999999999996</v>
      </c>
    </row>
    <row r="66" spans="5:17" x14ac:dyDescent="0.25">
      <c r="E66" s="2" t="s">
        <v>9</v>
      </c>
      <c r="F66" s="1">
        <f>SUMIFS('WH+RT PREVIOUS'!$M$2:$M$15000,'WH+RT PREVIOUS'!$B$2:$B$15000,"N.C.Urea(45kg)",'WH+RT PREVIOUS'!$R$2:$R$15000,"214204")</f>
        <v>66.554999999999978</v>
      </c>
      <c r="G66" s="1">
        <f>SUMIFS('WH+RT PREVIOUS'!$M$2:$M$15000,'WH+RT PREVIOUS'!$B$2:$B$15000,"15-15-15",'WH+RT PREVIOUS'!$R$2:$R$15000,"214204")</f>
        <v>79.722000000000023</v>
      </c>
      <c r="H66" s="1">
        <f>SUMIFS('WH+RT PREVIOUS'!$M$2:$M$15000,'WH+RT PREVIOUS'!$B$2:$B$15000,"Imp 10-26-26",'WH+RT PREVIOUS'!$R$2:$R$15000,"214204")</f>
        <v>0</v>
      </c>
      <c r="I66" s="1">
        <f>SUMIFS('WH+RT PREVIOUS'!$M$2:$M$15000,'WH+RT PREVIOUS'!$B$2:$B$15000,"MOP",'WH+RT PREVIOUS'!$R$2:$R$15000,"214204")</f>
        <v>0</v>
      </c>
      <c r="J66" s="1">
        <f>SUMIFS('WH+RT PREVIOUS'!$M$2:$M$15000,'WH+RT PREVIOUS'!$B$2:$B$15000,"Imp DAP",'WH+RT PREVIOUS'!$R$2:$R$15000,"214204")</f>
        <v>0</v>
      </c>
      <c r="K66" s="1">
        <f t="shared" si="12"/>
        <v>146.27699999999999</v>
      </c>
      <c r="L66" s="1">
        <f>SUMIFS('WH+RT CURRENT'!$M$2:$M$15000,'WH+RT CURRENT'!$B$2:$B$15000,"N.C.Urea(45kg)",'WH+RT CURRENT'!$R$2:$R$15000,"214204")</f>
        <v>60.570000000000007</v>
      </c>
      <c r="M66" s="1">
        <f>SUMIFS('WH+RT CURRENT'!$M$2:$M$15000,'WH+RT CURRENT'!$B$2:$B$15000,"15-15-15",'WH+RT CURRENT'!$R$2:$R$15000,"214204")</f>
        <v>78.572000000000031</v>
      </c>
      <c r="N66" s="1">
        <f>SUMIFS('WH+RT CURRENT'!$M$2:$M$15000,'WH+RT CURRENT'!$B$2:$B$15000,"Imp 10-26-26",'WH+RT CURRENT'!$R$2:$R$15000,"214204")</f>
        <v>0</v>
      </c>
      <c r="O66" s="1">
        <f>SUMIFS('WH+RT CURRENT'!$M$2:$M$15000,'WH+RT CURRENT'!$B$2:$B$15000,"MOP",'WH+RT CURRENT'!$R$2:$R$15000,"214204")</f>
        <v>0</v>
      </c>
      <c r="P66" s="1">
        <f>SUMIFS('WH+RT CURRENT'!$M$2:$M$15000,'WH+RT CURRENT'!$B$2:$B$15000,"Imp DAP",'WH+RT CURRENT'!$R$2:$R$15000,"214204")</f>
        <v>0</v>
      </c>
      <c r="Q66" s="1">
        <f t="shared" si="13"/>
        <v>139.14200000000005</v>
      </c>
    </row>
  </sheetData>
  <mergeCells count="29">
    <mergeCell ref="E52:E53"/>
    <mergeCell ref="F52:K52"/>
    <mergeCell ref="L52:Q52"/>
    <mergeCell ref="E60:Q60"/>
    <mergeCell ref="E61:E62"/>
    <mergeCell ref="F61:K61"/>
    <mergeCell ref="L61:Q61"/>
    <mergeCell ref="E42:Q42"/>
    <mergeCell ref="E43:E44"/>
    <mergeCell ref="F43:K43"/>
    <mergeCell ref="L43:Q43"/>
    <mergeCell ref="E51:Q51"/>
    <mergeCell ref="E25:E26"/>
    <mergeCell ref="F25:K25"/>
    <mergeCell ref="L25:Q25"/>
    <mergeCell ref="E33:Q33"/>
    <mergeCell ref="E34:E35"/>
    <mergeCell ref="F34:K34"/>
    <mergeCell ref="L34:Q34"/>
    <mergeCell ref="E15:Q15"/>
    <mergeCell ref="E16:E17"/>
    <mergeCell ref="F16:K16"/>
    <mergeCell ref="L16:Q16"/>
    <mergeCell ref="E24:Q24"/>
    <mergeCell ref="E1:Q3"/>
    <mergeCell ref="E6:Q6"/>
    <mergeCell ref="E7:E8"/>
    <mergeCell ref="F7:K7"/>
    <mergeCell ref="L7:Q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97683-82C1-4E0C-9CC2-7F96CEA286D0}">
  <dimension ref="E1:S57"/>
  <sheetViews>
    <sheetView topLeftCell="A31" workbookViewId="0"/>
  </sheetViews>
  <sheetFormatPr defaultRowHeight="15" x14ac:dyDescent="0.25"/>
  <cols>
    <col min="1" max="4" width="10.7109375" customWidth="1"/>
    <col min="5" max="5" width="13.7109375" bestFit="1" customWidth="1"/>
  </cols>
  <sheetData>
    <row r="1" spans="5:19" x14ac:dyDescent="0.25">
      <c r="E1" s="16" t="s">
        <v>719</v>
      </c>
      <c r="F1" s="17"/>
      <c r="G1" s="17"/>
      <c r="H1" s="17"/>
      <c r="I1" s="17"/>
      <c r="J1" s="17"/>
      <c r="K1" s="17"/>
      <c r="L1" s="17"/>
      <c r="M1" s="17"/>
      <c r="N1" s="17"/>
      <c r="O1" s="17"/>
      <c r="P1" s="17"/>
      <c r="Q1" s="17"/>
      <c r="R1" t="s">
        <v>8141</v>
      </c>
      <c r="S1">
        <v>6</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479</v>
      </c>
      <c r="F6" s="12"/>
      <c r="G6" s="12"/>
      <c r="H6" s="12"/>
      <c r="I6" s="12"/>
      <c r="J6" s="12"/>
      <c r="K6" s="12"/>
      <c r="L6" s="12"/>
      <c r="M6" s="12"/>
      <c r="N6" s="12"/>
      <c r="O6" s="12"/>
      <c r="P6" s="12"/>
      <c r="Q6" s="12"/>
    </row>
    <row r="7" spans="5:19" x14ac:dyDescent="0.25">
      <c r="E7" s="13"/>
      <c r="F7" s="15" t="s">
        <v>8147</v>
      </c>
      <c r="G7" s="15"/>
      <c r="H7" s="15"/>
      <c r="I7" s="15"/>
      <c r="J7" s="15"/>
      <c r="K7" s="15"/>
      <c r="L7" s="15" t="s">
        <v>8148</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PREVIOUS'!$R$2:$R$15000,"260350",'WH+RT PREVIOUS'!$N$2:$N$15000,"&gt;179",'WH+RT PREVIOUS'!$N$2:$N$15000,"&lt;366")</f>
        <v>9.4049999999999994</v>
      </c>
      <c r="G9" s="1">
        <f>SUMIFS('WH+RT PREVIOUS'!$M$2:$M$15000,'WH+RT PREVIOUS'!$B$2:$B$15000,"15-15-15",'WH+RT PREVIOUS'!$R$2:$R$15000,"260350",'WH+RT PREVIOUS'!$N$2:$N$15000,"&gt;179",'WH+RT PREVIOUS'!$N$2:$N$15000,"&lt;366")</f>
        <v>0</v>
      </c>
      <c r="H9" s="1">
        <f>SUMIFS('WH+RT PREVIOUS'!$M$2:$M$15000,'WH+RT PREVIOUS'!$B$2:$B$15000,"Imp 10-26-26",'WH+RT PREVIOUS'!$R$2:$R$15000,"260350",'WH+RT PREVIOUS'!$N$2:$N$15000,"&gt;179",'WH+RT PREVIOUS'!$N$2:$N$15000,"&lt;366")</f>
        <v>0</v>
      </c>
      <c r="I9" s="1">
        <f>SUMIFS('WH+RT PREVIOUS'!$M$2:$M$15000,'WH+RT PREVIOUS'!$B$2:$B$15000,"MOP",'WH+RT PREVIOUS'!$R$2:$R$15000,"260350",'WH+RT PREVIOUS'!$N$2:$N$15000,"&gt;179",'WH+RT PREVIOUS'!$N$2:$N$15000,"&lt;366")</f>
        <v>0</v>
      </c>
      <c r="J9" s="1">
        <f>SUMIFS('WH+RT PREVIOUS'!$M$2:$M$15000,'WH+RT PREVIOUS'!$B$2:$B$15000,"Imp DAP",'WH+RT PREVIOUS'!$R$2:$R$15000,"260350",'WH+RT PREVIOUS'!$N$2:$N$15000,"&gt;179",'WH+RT PREVIOUS'!$N$2:$N$15000,"&lt;366")</f>
        <v>0</v>
      </c>
      <c r="K9" s="1">
        <f>F9+G9+H9+I9+J9</f>
        <v>9.4049999999999994</v>
      </c>
      <c r="L9" s="1">
        <f>SUMIFS('WH+RT CURRENT'!$M$2:$M$15000,'WH+RT CURRENT'!$B$2:$B$15000,"N.C.Urea(45kg)",'WH+RT CURRENT'!$R$2:$R$15000,"260350",'WH+RT CURRENT'!$N$2:$N$15000,"&gt;179",'WH+RT CURRENT'!$N$2:$N$15000,"&lt;366")</f>
        <v>3.69</v>
      </c>
      <c r="M9" s="1">
        <f>SUMIFS('WH+RT CURRENT'!$M$2:$M$15000,'WH+RT CURRENT'!$B$2:$B$15000,"15-15-15",'WH+RT CURRENT'!$R$2:$R$15000,"260350",'WH+RT CURRENT'!$N$2:$N$15000,"&gt;179",'WH+RT CURRENT'!$N$2:$N$15000,"&lt;366")</f>
        <v>0</v>
      </c>
      <c r="N9" s="1">
        <f>SUMIFS('WH+RT CURRENT'!$M$2:$M$15000,'WH+RT CURRENT'!$B$2:$B$15000,"Imp 10-26-26",'WH+RT CURRENT'!$R$2:$R$15000,"260350",'WH+RT CURRENT'!$N$2:$N$15000,"&gt;179",'WH+RT CURRENT'!$N$2:$N$15000,"&lt;366")</f>
        <v>0</v>
      </c>
      <c r="O9" s="1">
        <f>SUMIFS('WH+RT CURRENT'!$M$2:$M$15000,'WH+RT CURRENT'!$B$2:$B$15000,"MOP",'WH+RT CURRENT'!$R$2:$R$15000,"260350",'WH+RT CURRENT'!$N$2:$N$15000,"&gt;179",'WH+RT CURRENT'!$N$2:$N$15000,"&lt;366")</f>
        <v>0</v>
      </c>
      <c r="P9" s="1">
        <f>SUMIFS('WH+RT CURRENT'!$M$2:$M$15000,'WH+RT CURRENT'!$B$2:$B$15000,"Imp DAP",'WH+RT CURRENT'!$R$2:$R$15000,"260350",'WH+RT CURRENT'!$N$2:$N$15000,"&gt;179",'WH+RT CURRENT'!$N$2:$N$15000,"&lt;366")</f>
        <v>0</v>
      </c>
      <c r="Q9" s="1">
        <f>L9+M9+N9+O9+P9</f>
        <v>3.69</v>
      </c>
    </row>
    <row r="10" spans="5:19" x14ac:dyDescent="0.25">
      <c r="E10" s="2" t="s">
        <v>6</v>
      </c>
      <c r="F10" s="1">
        <f>SUMIFS('WH+RT PREVIOUS'!$M$2:$M$15000,'WH+RT PREVIOUS'!$B$2:$B$15000,"N.C.Urea(45kg)",'WH+RT PREVIOUS'!$R$2:$R$15000,"260350",'WH+RT PREVIOUS'!$N$2:$N$15000,"&gt;365")</f>
        <v>18.57</v>
      </c>
      <c r="G10" s="1">
        <f>SUMIFS('WH+RT PREVIOUS'!$M$2:$M$15000,'WH+RT PREVIOUS'!$B$2:$B$15000,"15-15-15",'WH+RT PREVIOUS'!$R$2:$R$15000,"260350",'WH+RT PREVIOUS'!$N$2:$N$15000,"&gt;365")</f>
        <v>5.8149999999999995</v>
      </c>
      <c r="H10" s="1">
        <f>SUMIFS('WH+RT PREVIOUS'!$M$2:$M$15000,'WH+RT PREVIOUS'!$B$2:$B$15000,"Imp 10-26-26",'WH+RT PREVIOUS'!$R$2:$R$15000,"260350",'WH+RT PREVIOUS'!$N$2:$N$15000,"&gt;365")</f>
        <v>0</v>
      </c>
      <c r="I10" s="1">
        <f>SUMIFS('WH+RT PREVIOUS'!$M$2:$M$15000,'WH+RT PREVIOUS'!$B$2:$B$15000,"MOP",'WH+RT PREVIOUS'!$R$2:$R$15000,"260350",'WH+RT PREVIOUS'!$N$2:$N$15000,"&gt;365")</f>
        <v>0</v>
      </c>
      <c r="J10" s="1">
        <f>SUMIFS('WH+RT PREVIOUS'!$M$2:$M$15000,'WH+RT PREVIOUS'!$B$2:$B$15000,"Imp DAP",'WH+RT PREVIOUS'!$R$2:$R$15000,"260350",'WH+RT PREVIOUS'!$N$2:$N$15000,"&gt;365")</f>
        <v>0.85</v>
      </c>
      <c r="K10" s="1">
        <f t="shared" ref="K10:K12" si="0">F10+G10+H10+I10+J10</f>
        <v>25.234999999999999</v>
      </c>
      <c r="L10" s="1">
        <f>SUMIFS('WH+RT CURRENT'!$M$2:$M$15000,'WH+RT CURRENT'!$B$2:$B$15000,"N.C.Urea(45kg)",'WH+RT CURRENT'!$R$2:$R$15000,"260350",'WH+RT CURRENT'!$N$2:$N$15000,"&gt;365")</f>
        <v>18.569999999999997</v>
      </c>
      <c r="M10" s="1">
        <f>SUMIFS('WH+RT CURRENT'!$M$2:$M$15000,'WH+RT CURRENT'!$B$2:$B$15000,"15-15-15",'WH+RT CURRENT'!$R$2:$R$15000,"260350",'WH+RT CURRENT'!$N$2:$N$15000,"&gt;365")</f>
        <v>5.8149999999999995</v>
      </c>
      <c r="N10" s="1">
        <f>SUMIFS('WH+RT CURRENT'!$M$2:$M$15000,'WH+RT CURRENT'!$B$2:$B$15000,"Imp 10-26-26",'WH+RT CURRENT'!$R$2:$R$15000,"260350",'WH+RT CURRENT'!$N$2:$N$15000,"&gt;365")</f>
        <v>0</v>
      </c>
      <c r="O10" s="1">
        <f>SUMIFS('WH+RT CURRENT'!$M$2:$M$15000,'WH+RT CURRENT'!$B$2:$B$15000,"MOP",'WH+RT CURRENT'!$R$2:$R$15000,"260350",'WH+RT CURRENT'!$N$2:$N$15000,"&gt;365")</f>
        <v>0</v>
      </c>
      <c r="P10" s="1">
        <f>SUMIFS('WH+RT CURRENT'!$M$2:$M$15000,'WH+RT CURRENT'!$B$2:$B$15000,"Imp DAP",'WH+RT CURRENT'!$R$2:$R$15000,"260350",'WH+RT CURRENT'!$N$2:$N$15000,"&gt;365")</f>
        <v>0.85</v>
      </c>
      <c r="Q10" s="1">
        <f t="shared" ref="Q10:Q12" si="1">L10+M10+N10+O10+P10</f>
        <v>25.234999999999999</v>
      </c>
    </row>
    <row r="11" spans="5:19" x14ac:dyDescent="0.25">
      <c r="E11" s="2" t="s">
        <v>7</v>
      </c>
      <c r="F11" s="1">
        <f>F9+F10</f>
        <v>27.975000000000001</v>
      </c>
      <c r="G11" s="1">
        <f>G9+G10</f>
        <v>5.8149999999999995</v>
      </c>
      <c r="H11" s="1">
        <f>H9+H10</f>
        <v>0</v>
      </c>
      <c r="I11" s="1">
        <f>I9+I10</f>
        <v>0</v>
      </c>
      <c r="J11" s="1">
        <f>J9+J10</f>
        <v>0.85</v>
      </c>
      <c r="K11" s="1">
        <f t="shared" si="0"/>
        <v>34.64</v>
      </c>
      <c r="L11" s="1">
        <f>L9+L10</f>
        <v>22.259999999999998</v>
      </c>
      <c r="M11" s="1">
        <f>M9+M10</f>
        <v>5.8149999999999995</v>
      </c>
      <c r="N11" s="1">
        <f>N9+N10</f>
        <v>0</v>
      </c>
      <c r="O11" s="1">
        <f>O9+O10</f>
        <v>0</v>
      </c>
      <c r="P11" s="1">
        <f>P9+P10</f>
        <v>0.85</v>
      </c>
      <c r="Q11" s="1">
        <f t="shared" si="1"/>
        <v>28.924999999999997</v>
      </c>
    </row>
    <row r="12" spans="5:19" x14ac:dyDescent="0.25">
      <c r="E12" s="2" t="s">
        <v>9</v>
      </c>
      <c r="F12" s="1">
        <f>SUMIFS('WH+RT PREVIOUS'!$M$2:$M$15000,'WH+RT PREVIOUS'!$B$2:$B$15000,"N.C.Urea(45kg)",'WH+RT PREVIOUS'!$R$2:$R$15000,"260350")</f>
        <v>142.185</v>
      </c>
      <c r="G12" s="1">
        <f>SUMIFS('WH+RT PREVIOUS'!$M$2:$M$15000,'WH+RT PREVIOUS'!$B$2:$B$15000,"15-15-15",'WH+RT PREVIOUS'!$R$2:$R$15000,"260350")</f>
        <v>11.215</v>
      </c>
      <c r="H12" s="1">
        <f>SUMIFS('WH+RT PREVIOUS'!$M$2:$M$15000,'WH+RT PREVIOUS'!$B$2:$B$15000,"Imp 10-26-26",'WH+RT PREVIOUS'!$R$2:$R$15000,"260350")</f>
        <v>14.05</v>
      </c>
      <c r="I12" s="1">
        <f>SUMIFS('WH+RT PREVIOUS'!$M$2:$M$15000,'WH+RT PREVIOUS'!$B$2:$B$15000,"MOP",'WH+RT PREVIOUS'!$R$2:$R$15000,"260350")</f>
        <v>0</v>
      </c>
      <c r="J12" s="1">
        <f>SUMIFS('WH+RT PREVIOUS'!$M$2:$M$15000,'WH+RT PREVIOUS'!$B$2:$B$15000,"Imp DAP",'WH+RT PREVIOUS'!$R$2:$R$15000,"260350")</f>
        <v>0.85</v>
      </c>
      <c r="K12" s="1">
        <f t="shared" si="0"/>
        <v>168.3</v>
      </c>
      <c r="L12" s="1">
        <f>SUMIFS('WH+RT CURRENT'!$M$2:$M$15000,'WH+RT CURRENT'!$B$2:$B$15000,"N.C.Urea(45kg)",'WH+RT CURRENT'!$R$2:$R$15000,"260350")</f>
        <v>154.33500000000006</v>
      </c>
      <c r="M12" s="1">
        <f>SUMIFS('WH+RT CURRENT'!$M$2:$M$15000,'WH+RT CURRENT'!$B$2:$B$15000,"15-15-15",'WH+RT CURRENT'!$R$2:$R$15000,"260350")</f>
        <v>17.215</v>
      </c>
      <c r="N12" s="1">
        <f>SUMIFS('WH+RT CURRENT'!$M$2:$M$15000,'WH+RT CURRENT'!$B$2:$B$15000,"Imp 10-26-26",'WH+RT CURRENT'!$R$2:$R$15000,"260350")</f>
        <v>12.549999999999999</v>
      </c>
      <c r="O12" s="1">
        <f>SUMIFS('WH+RT CURRENT'!$M$2:$M$15000,'WH+RT CURRENT'!$B$2:$B$15000,"MOP",'WH+RT CURRENT'!$R$2:$R$15000,"260350")</f>
        <v>0</v>
      </c>
      <c r="P12" s="1">
        <f>SUMIFS('WH+RT CURRENT'!$M$2:$M$15000,'WH+RT CURRENT'!$B$2:$B$15000,"Imp DAP",'WH+RT CURRENT'!$R$2:$R$15000,"260350")</f>
        <v>0.85</v>
      </c>
      <c r="Q12" s="1">
        <f t="shared" si="1"/>
        <v>184.95000000000007</v>
      </c>
    </row>
    <row r="15" spans="5:19" x14ac:dyDescent="0.25">
      <c r="E15" s="12" t="s">
        <v>756</v>
      </c>
      <c r="F15" s="12"/>
      <c r="G15" s="12"/>
      <c r="H15" s="12"/>
      <c r="I15" s="12"/>
      <c r="J15" s="12"/>
      <c r="K15" s="12"/>
      <c r="L15" s="12"/>
      <c r="M15" s="12"/>
      <c r="N15" s="12"/>
      <c r="O15" s="12"/>
      <c r="P15" s="12"/>
      <c r="Q15" s="12"/>
    </row>
    <row r="16" spans="5:19" x14ac:dyDescent="0.25">
      <c r="E16" s="13"/>
      <c r="F16" s="15" t="s">
        <v>8147</v>
      </c>
      <c r="G16" s="15"/>
      <c r="H16" s="15"/>
      <c r="I16" s="15"/>
      <c r="J16" s="15"/>
      <c r="K16" s="15"/>
      <c r="L16" s="15" t="s">
        <v>8148</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PREVIOUS'!$R$2:$R$15000,"268712",'WH+RT PREVIOUS'!$N$2:$N$15000,"&gt;179",'WH+RT PREVIOUS'!$N$2:$N$15000,"&lt;366")</f>
        <v>6.8650000000000002</v>
      </c>
      <c r="G18" s="1">
        <f>SUMIFS('WH+RT PREVIOUS'!$M$2:$M$15000,'WH+RT PREVIOUS'!$B$2:$B$15000,"15-15-15",'WH+RT PREVIOUS'!$R$2:$R$15000,"268712",'WH+RT PREVIOUS'!$N$2:$N$15000,"&gt;179",'WH+RT PREVIOUS'!$N$2:$N$15000,"&lt;366")</f>
        <v>0</v>
      </c>
      <c r="H18" s="1">
        <f>SUMIFS('WH+RT PREVIOUS'!$M$2:$M$15000,'WH+RT PREVIOUS'!$B$2:$B$15000,"Imp 10-26-26",'WH+RT PREVIOUS'!$R$2:$R$15000,"268712",'WH+RT PREVIOUS'!$N$2:$N$15000,"&gt;179",'WH+RT PREVIOUS'!$N$2:$N$15000,"&lt;366")</f>
        <v>0</v>
      </c>
      <c r="I18" s="1">
        <f>SUMIFS('WH+RT PREVIOUS'!$M$2:$M$15000,'WH+RT PREVIOUS'!$B$2:$B$15000,"MOP",'WH+RT PREVIOUS'!$R$2:$R$15000,"268712",'WH+RT PREVIOUS'!$N$2:$N$15000,"&gt;179",'WH+RT PREVIOUS'!$N$2:$N$15000,"&lt;366")</f>
        <v>0</v>
      </c>
      <c r="J18" s="1">
        <f>SUMIFS('WH+RT PREVIOUS'!$M$2:$M$15000,'WH+RT PREVIOUS'!$B$2:$B$15000,"Imp DAP",'WH+RT PREVIOUS'!$R$2:$R$15000,"268712",'WH+RT PREVIOUS'!$N$2:$N$15000,"&gt;179",'WH+RT PREVIOUS'!$N$2:$N$15000,"&lt;366")</f>
        <v>0</v>
      </c>
      <c r="K18" s="1">
        <f>F18+G18+H18+I18+J18</f>
        <v>6.8650000000000002</v>
      </c>
      <c r="L18" s="1">
        <f>SUMIFS('WH+RT CURRENT'!$M$2:$M$15000,'WH+RT CURRENT'!$B$2:$B$15000,"N.C.Urea(45kg)",'WH+RT CURRENT'!$R$2:$R$15000,"268712",'WH+RT CURRENT'!$N$2:$N$15000,"&gt;179",'WH+RT CURRENT'!$N$2:$N$15000,"&lt;366")</f>
        <v>6.8650000000000002</v>
      </c>
      <c r="M18" s="1">
        <f>SUMIFS('WH+RT CURRENT'!$M$2:$M$15000,'WH+RT CURRENT'!$B$2:$B$15000,"15-15-15",'WH+RT CURRENT'!$R$2:$R$15000,"268712",'WH+RT CURRENT'!$N$2:$N$15000,"&gt;179",'WH+RT CURRENT'!$N$2:$N$15000,"&lt;366")</f>
        <v>0</v>
      </c>
      <c r="N18" s="1">
        <f>SUMIFS('WH+RT CURRENT'!$M$2:$M$15000,'WH+RT CURRENT'!$B$2:$B$15000,"Imp 10-26-26",'WH+RT CURRENT'!$R$2:$R$15000,"268712",'WH+RT CURRENT'!$N$2:$N$15000,"&gt;179",'WH+RT CURRENT'!$N$2:$N$15000,"&lt;366")</f>
        <v>0</v>
      </c>
      <c r="O18" s="1">
        <f>SUMIFS('WH+RT CURRENT'!$M$2:$M$15000,'WH+RT CURRENT'!$B$2:$B$15000,"MOP",'WH+RT CURRENT'!$R$2:$R$15000,"268712",'WH+RT CURRENT'!$N$2:$N$15000,"&gt;179",'WH+RT CURRENT'!$N$2:$N$15000,"&lt;366")</f>
        <v>0</v>
      </c>
      <c r="P18" s="1">
        <f>SUMIFS('WH+RT CURRENT'!$M$2:$M$15000,'WH+RT CURRENT'!$B$2:$B$15000,"Imp DAP",'WH+RT CURRENT'!$R$2:$R$15000,"268712",'WH+RT CURRENT'!$N$2:$N$15000,"&gt;179",'WH+RT CURRENT'!$N$2:$N$15000,"&lt;366")</f>
        <v>0</v>
      </c>
      <c r="Q18" s="1">
        <f>L18+M18+N18+O18+P18</f>
        <v>6.8650000000000002</v>
      </c>
    </row>
    <row r="19" spans="5:17" x14ac:dyDescent="0.25">
      <c r="E19" s="2" t="s">
        <v>6</v>
      </c>
      <c r="F19" s="1">
        <f>SUMIFS('WH+RT PREVIOUS'!$M$2:$M$15000,'WH+RT PREVIOUS'!$B$2:$B$15000,"N.C.Urea(45kg)",'WH+RT PREVIOUS'!$R$2:$R$15000,"268712",'WH+RT PREVIOUS'!$N$2:$N$15000,"&gt;365")</f>
        <v>5.4369999999999994</v>
      </c>
      <c r="G19" s="1">
        <f>SUMIFS('WH+RT PREVIOUS'!$M$2:$M$15000,'WH+RT PREVIOUS'!$B$2:$B$15000,"15-15-15",'WH+RT PREVIOUS'!$R$2:$R$15000,"268712",'WH+RT PREVIOUS'!$N$2:$N$15000,"&gt;365")</f>
        <v>0</v>
      </c>
      <c r="H19" s="1">
        <f>SUMIFS('WH+RT PREVIOUS'!$M$2:$M$15000,'WH+RT PREVIOUS'!$B$2:$B$15000,"Imp 10-26-26",'WH+RT PREVIOUS'!$R$2:$R$15000,"268712",'WH+RT PREVIOUS'!$N$2:$N$15000,"&gt;365")</f>
        <v>0</v>
      </c>
      <c r="I19" s="1">
        <f>SUMIFS('WH+RT PREVIOUS'!$M$2:$M$15000,'WH+RT PREVIOUS'!$B$2:$B$15000,"MOP",'WH+RT PREVIOUS'!$R$2:$R$15000,"268712",'WH+RT PREVIOUS'!$N$2:$N$15000,"&gt;365")</f>
        <v>0</v>
      </c>
      <c r="J19" s="1">
        <f>SUMIFS('WH+RT PREVIOUS'!$M$2:$M$15000,'WH+RT PREVIOUS'!$B$2:$B$15000,"Imp DAP",'WH+RT PREVIOUS'!$R$2:$R$15000,"268712",'WH+RT PREVIOUS'!$N$2:$N$15000,"&gt;365")</f>
        <v>0</v>
      </c>
      <c r="K19" s="1">
        <f t="shared" ref="K19:K21" si="2">F19+G19+H19+I19+J19</f>
        <v>5.4369999999999994</v>
      </c>
      <c r="L19" s="1">
        <f>SUMIFS('WH+RT CURRENT'!$M$2:$M$15000,'WH+RT CURRENT'!$B$2:$B$15000,"N.C.Urea(45kg)",'WH+RT CURRENT'!$R$2:$R$15000,"268712",'WH+RT CURRENT'!$N$2:$N$15000,"&gt;365")</f>
        <v>5.4370000000000003</v>
      </c>
      <c r="M19" s="1">
        <f>SUMIFS('WH+RT CURRENT'!$M$2:$M$15000,'WH+RT CURRENT'!$B$2:$B$15000,"15-15-15",'WH+RT CURRENT'!$R$2:$R$15000,"268712",'WH+RT CURRENT'!$N$2:$N$15000,"&gt;365")</f>
        <v>0</v>
      </c>
      <c r="N19" s="1">
        <f>SUMIFS('WH+RT CURRENT'!$M$2:$M$15000,'WH+RT CURRENT'!$B$2:$B$15000,"Imp 10-26-26",'WH+RT CURRENT'!$R$2:$R$15000,"268712",'WH+RT CURRENT'!$N$2:$N$15000,"&gt;365")</f>
        <v>0</v>
      </c>
      <c r="O19" s="1">
        <f>SUMIFS('WH+RT CURRENT'!$M$2:$M$15000,'WH+RT CURRENT'!$B$2:$B$15000,"MOP",'WH+RT CURRENT'!$R$2:$R$15000,"268712",'WH+RT CURRENT'!$N$2:$N$15000,"&gt;365")</f>
        <v>0</v>
      </c>
      <c r="P19" s="1">
        <f>SUMIFS('WH+RT CURRENT'!$M$2:$M$15000,'WH+RT CURRENT'!$B$2:$B$15000,"Imp DAP",'WH+RT CURRENT'!$R$2:$R$15000,"268712",'WH+RT CURRENT'!$N$2:$N$15000,"&gt;365")</f>
        <v>0</v>
      </c>
      <c r="Q19" s="1">
        <f t="shared" ref="Q19:Q21" si="3">L19+M19+N19+O19+P19</f>
        <v>5.4370000000000003</v>
      </c>
    </row>
    <row r="20" spans="5:17" x14ac:dyDescent="0.25">
      <c r="E20" s="2" t="s">
        <v>7</v>
      </c>
      <c r="F20" s="1">
        <f>F18+F19</f>
        <v>12.302</v>
      </c>
      <c r="G20" s="1">
        <f>G18+G19</f>
        <v>0</v>
      </c>
      <c r="H20" s="1">
        <f>H18+H19</f>
        <v>0</v>
      </c>
      <c r="I20" s="1">
        <f>I18+I19</f>
        <v>0</v>
      </c>
      <c r="J20" s="1">
        <f>J18+J19</f>
        <v>0</v>
      </c>
      <c r="K20" s="1">
        <f t="shared" si="2"/>
        <v>12.302</v>
      </c>
      <c r="L20" s="1">
        <f>L18+L19</f>
        <v>12.302</v>
      </c>
      <c r="M20" s="1">
        <f>M18+M19</f>
        <v>0</v>
      </c>
      <c r="N20" s="1">
        <f>N18+N19</f>
        <v>0</v>
      </c>
      <c r="O20" s="1">
        <f>O18+O19</f>
        <v>0</v>
      </c>
      <c r="P20" s="1">
        <f>P18+P19</f>
        <v>0</v>
      </c>
      <c r="Q20" s="1">
        <f t="shared" si="3"/>
        <v>12.302</v>
      </c>
    </row>
    <row r="21" spans="5:17" x14ac:dyDescent="0.25">
      <c r="E21" s="2" t="s">
        <v>9</v>
      </c>
      <c r="F21" s="1">
        <f>SUMIFS('WH+RT PREVIOUS'!$M$2:$M$15000,'WH+RT PREVIOUS'!$B$2:$B$15000,"N.C.Urea(45kg)",'WH+RT PREVIOUS'!$R$2:$R$15000,"268712")</f>
        <v>202.44700000000006</v>
      </c>
      <c r="G21" s="1">
        <f>SUMIFS('WH+RT PREVIOUS'!$M$2:$M$15000,'WH+RT PREVIOUS'!$B$2:$B$15000,"15-15-15",'WH+RT PREVIOUS'!$R$2:$R$15000,"268712")</f>
        <v>13</v>
      </c>
      <c r="H21" s="1">
        <f>SUMIFS('WH+RT PREVIOUS'!$M$2:$M$15000,'WH+RT PREVIOUS'!$B$2:$B$15000,"Imp 10-26-26",'WH+RT PREVIOUS'!$R$2:$R$15000,"268712")</f>
        <v>10.9</v>
      </c>
      <c r="I21" s="1">
        <f>SUMIFS('WH+RT PREVIOUS'!$M$2:$M$15000,'WH+RT PREVIOUS'!$B$2:$B$15000,"MOP",'WH+RT PREVIOUS'!$R$2:$R$15000,"268712")</f>
        <v>0</v>
      </c>
      <c r="J21" s="1">
        <f>SUMIFS('WH+RT PREVIOUS'!$M$2:$M$15000,'WH+RT PREVIOUS'!$B$2:$B$15000,"Imp DAP",'WH+RT PREVIOUS'!$R$2:$R$15000,"268712")</f>
        <v>0</v>
      </c>
      <c r="K21" s="1">
        <f t="shared" si="2"/>
        <v>226.34700000000007</v>
      </c>
      <c r="L21" s="1">
        <f>SUMIFS('WH+RT CURRENT'!$M$2:$M$15000,'WH+RT CURRENT'!$B$2:$B$15000,"N.C.Urea(45kg)",'WH+RT CURRENT'!$R$2:$R$15000,"268712")</f>
        <v>215.09199999999998</v>
      </c>
      <c r="M21" s="1">
        <f>SUMIFS('WH+RT CURRENT'!$M$2:$M$15000,'WH+RT CURRENT'!$B$2:$B$15000,"15-15-15",'WH+RT CURRENT'!$R$2:$R$15000,"268712")</f>
        <v>13</v>
      </c>
      <c r="N21" s="1">
        <f>SUMIFS('WH+RT CURRENT'!$M$2:$M$15000,'WH+RT CURRENT'!$B$2:$B$15000,"Imp 10-26-26",'WH+RT CURRENT'!$R$2:$R$15000,"268712")</f>
        <v>10.9</v>
      </c>
      <c r="O21" s="1">
        <f>SUMIFS('WH+RT CURRENT'!$M$2:$M$15000,'WH+RT CURRENT'!$B$2:$B$15000,"MOP",'WH+RT CURRENT'!$R$2:$R$15000,"268712")</f>
        <v>0</v>
      </c>
      <c r="P21" s="1">
        <f>SUMIFS('WH+RT CURRENT'!$M$2:$M$15000,'WH+RT CURRENT'!$B$2:$B$15000,"Imp DAP",'WH+RT CURRENT'!$R$2:$R$15000,"268712")</f>
        <v>0</v>
      </c>
      <c r="Q21" s="1">
        <f t="shared" si="3"/>
        <v>238.99199999999999</v>
      </c>
    </row>
    <row r="24" spans="5:17" x14ac:dyDescent="0.25">
      <c r="E24" s="12" t="s">
        <v>759</v>
      </c>
      <c r="F24" s="12"/>
      <c r="G24" s="12"/>
      <c r="H24" s="12"/>
      <c r="I24" s="12"/>
      <c r="J24" s="12"/>
      <c r="K24" s="12"/>
      <c r="L24" s="12"/>
      <c r="M24" s="12"/>
      <c r="N24" s="12"/>
      <c r="O24" s="12"/>
      <c r="P24" s="12"/>
      <c r="Q24" s="12"/>
    </row>
    <row r="25" spans="5:17" x14ac:dyDescent="0.25">
      <c r="E25" s="13"/>
      <c r="F25" s="15" t="s">
        <v>8147</v>
      </c>
      <c r="G25" s="15"/>
      <c r="H25" s="15"/>
      <c r="I25" s="15"/>
      <c r="J25" s="15"/>
      <c r="K25" s="15"/>
      <c r="L25" s="15" t="s">
        <v>8148</v>
      </c>
      <c r="M25" s="15"/>
      <c r="N25" s="15"/>
      <c r="O25" s="15"/>
      <c r="P25" s="15"/>
      <c r="Q25" s="15"/>
    </row>
    <row r="26" spans="5:17" x14ac:dyDescent="0.25">
      <c r="E26" s="14"/>
      <c r="F26" s="2" t="s">
        <v>0</v>
      </c>
      <c r="G26" s="2" t="s">
        <v>1</v>
      </c>
      <c r="H26" s="2" t="s">
        <v>2</v>
      </c>
      <c r="I26" s="2" t="s">
        <v>3</v>
      </c>
      <c r="J26" s="2" t="s">
        <v>8128</v>
      </c>
      <c r="K26" s="2" t="s">
        <v>4</v>
      </c>
      <c r="L26" s="2" t="s">
        <v>0</v>
      </c>
      <c r="M26" s="2" t="s">
        <v>1</v>
      </c>
      <c r="N26" s="2" t="s">
        <v>2</v>
      </c>
      <c r="O26" s="2" t="s">
        <v>3</v>
      </c>
      <c r="P26" s="2" t="s">
        <v>8128</v>
      </c>
      <c r="Q26" s="2" t="s">
        <v>4</v>
      </c>
    </row>
    <row r="27" spans="5:17" x14ac:dyDescent="0.25">
      <c r="E27" s="2" t="s">
        <v>5</v>
      </c>
      <c r="F27" s="1">
        <f>SUMIFS('WH+RT PREVIOUS'!$M$2:$M$15000,'WH+RT PREVIOUS'!$B$2:$B$15000,"N.C.Urea(45kg)",'WH+RT PREVIOUS'!$R$2:$R$15000,"269982",'WH+RT PREVIOUS'!$N$2:$N$15000,"&gt;179",'WH+RT PREVIOUS'!$N$2:$N$15000,"&lt;366")</f>
        <v>68.490000000000009</v>
      </c>
      <c r="G27" s="1">
        <f>SUMIFS('WH+RT PREVIOUS'!$M$2:$M$15000,'WH+RT PREVIOUS'!$B$2:$B$15000,"15-15-15",'WH+RT PREVIOUS'!$R$2:$R$15000,"269982",'WH+RT PREVIOUS'!$N$2:$N$15000,"&gt;179",'WH+RT PREVIOUS'!$N$2:$N$15000,"&lt;366")</f>
        <v>0.9</v>
      </c>
      <c r="H27" s="1">
        <f>SUMIFS('WH+RT PREVIOUS'!$M$2:$M$15000,'WH+RT PREVIOUS'!$B$2:$B$15000,"Imp 10-26-26",'WH+RT PREVIOUS'!$R$2:$R$15000,"269982",'WH+RT PREVIOUS'!$N$2:$N$15000,"&gt;179",'WH+RT PREVIOUS'!$N$2:$N$15000,"&lt;366")</f>
        <v>0</v>
      </c>
      <c r="I27" s="1">
        <f>SUMIFS('WH+RT PREVIOUS'!$M$2:$M$15000,'WH+RT PREVIOUS'!$B$2:$B$15000,"MOP",'WH+RT PREVIOUS'!$R$2:$R$15000,"269982",'WH+RT PREVIOUS'!$N$2:$N$15000,"&gt;179",'WH+RT PREVIOUS'!$N$2:$N$15000,"&lt;366")</f>
        <v>0</v>
      </c>
      <c r="J27" s="1">
        <f>SUMIFS('WH+RT PREVIOUS'!$M$2:$M$15000,'WH+RT PREVIOUS'!$B$2:$B$15000,"Imp DAP",'WH+RT PREVIOUS'!$R$2:$R$15000,"269982",'WH+RT PREVIOUS'!$N$2:$N$15000,"&gt;179",'WH+RT PREVIOUS'!$N$2:$N$15000,"&lt;366")</f>
        <v>0</v>
      </c>
      <c r="K27" s="1">
        <f>F27+G27+H27+I27+J27</f>
        <v>69.390000000000015</v>
      </c>
      <c r="L27" s="1">
        <f>SUMIFS('WH+RT CURRENT'!$M$2:$M$15000,'WH+RT CURRENT'!$B$2:$B$15000,"N.C.Urea(45kg)",'WH+RT CURRENT'!$R$2:$R$15000,"269982",'WH+RT CURRENT'!$N$2:$N$15000,"&gt;179",'WH+RT CURRENT'!$N$2:$N$15000,"&lt;366")</f>
        <v>68.265000000000001</v>
      </c>
      <c r="M27" s="1">
        <f>SUMIFS('WH+RT CURRENT'!$M$2:$M$15000,'WH+RT CURRENT'!$B$2:$B$15000,"15-15-15",'WH+RT CURRENT'!$R$2:$R$15000,"269982",'WH+RT CURRENT'!$N$2:$N$15000,"&gt;179",'WH+RT CURRENT'!$N$2:$N$15000,"&lt;366")</f>
        <v>0.9</v>
      </c>
      <c r="N27" s="1">
        <f>SUMIFS('WH+RT CURRENT'!$M$2:$M$15000,'WH+RT CURRENT'!$B$2:$B$15000,"Imp 10-26-26",'WH+RT CURRENT'!$R$2:$R$15000,"269982",'WH+RT CURRENT'!$N$2:$N$15000,"&gt;179",'WH+RT CURRENT'!$N$2:$N$15000,"&lt;366")</f>
        <v>0</v>
      </c>
      <c r="O27" s="1">
        <f>SUMIFS('WH+RT CURRENT'!$M$2:$M$15000,'WH+RT CURRENT'!$B$2:$B$15000,"MOP",'WH+RT CURRENT'!$R$2:$R$15000,"269982",'WH+RT CURRENT'!$N$2:$N$15000,"&gt;179",'WH+RT CURRENT'!$N$2:$N$15000,"&lt;366")</f>
        <v>0</v>
      </c>
      <c r="P27" s="1">
        <f>SUMIFS('WH+RT CURRENT'!$M$2:$M$15000,'WH+RT CURRENT'!$B$2:$B$15000,"Imp DAP",'WH+RT CURRENT'!$R$2:$R$15000,"269982",'WH+RT CURRENT'!$N$2:$N$15000,"&gt;179",'WH+RT CURRENT'!$N$2:$N$15000,"&lt;366")</f>
        <v>0</v>
      </c>
      <c r="Q27" s="1">
        <f>L27+M27+N27+O27+P27</f>
        <v>69.165000000000006</v>
      </c>
    </row>
    <row r="28" spans="5:17" x14ac:dyDescent="0.25">
      <c r="E28" s="2" t="s">
        <v>6</v>
      </c>
      <c r="F28" s="1">
        <f>SUMIFS('WH+RT PREVIOUS'!$M$2:$M$15000,'WH+RT PREVIOUS'!$B$2:$B$15000,"N.C.Urea(45kg)",'WH+RT PREVIOUS'!$R$2:$R$15000,"269982",'WH+RT PREVIOUS'!$N$2:$N$15000,"&gt;365")</f>
        <v>2.7490000000000006</v>
      </c>
      <c r="G28" s="1">
        <f>SUMIFS('WH+RT PREVIOUS'!$M$2:$M$15000,'WH+RT PREVIOUS'!$B$2:$B$15000,"15-15-15",'WH+RT PREVIOUS'!$R$2:$R$15000,"269982",'WH+RT PREVIOUS'!$N$2:$N$15000,"&gt;365")</f>
        <v>2</v>
      </c>
      <c r="H28" s="1">
        <f>SUMIFS('WH+RT PREVIOUS'!$M$2:$M$15000,'WH+RT PREVIOUS'!$B$2:$B$15000,"Imp 10-26-26",'WH+RT PREVIOUS'!$R$2:$R$15000,"269982",'WH+RT PREVIOUS'!$N$2:$N$15000,"&gt;365")</f>
        <v>0.4</v>
      </c>
      <c r="I28" s="1">
        <f>SUMIFS('WH+RT PREVIOUS'!$M$2:$M$15000,'WH+RT PREVIOUS'!$B$2:$B$15000,"MOP",'WH+RT PREVIOUS'!$R$2:$R$15000,"269982",'WH+RT PREVIOUS'!$N$2:$N$15000,"&gt;365")</f>
        <v>0</v>
      </c>
      <c r="J28" s="1">
        <f>SUMIFS('WH+RT PREVIOUS'!$M$2:$M$15000,'WH+RT PREVIOUS'!$B$2:$B$15000,"Imp DAP",'WH+RT PREVIOUS'!$R$2:$R$15000,"269982",'WH+RT PREVIOUS'!$N$2:$N$15000,"&gt;365")</f>
        <v>0</v>
      </c>
      <c r="K28" s="1">
        <f t="shared" ref="K28:K30" si="4">F28+G28+H28+I28+J28</f>
        <v>5.1490000000000009</v>
      </c>
      <c r="L28" s="1">
        <f>SUMIFS('WH+RT CURRENT'!$M$2:$M$15000,'WH+RT CURRENT'!$B$2:$B$15000,"N.C.Urea(45kg)",'WH+RT CURRENT'!$R$2:$R$15000,"269982",'WH+RT CURRENT'!$N$2:$N$15000,"&gt;365")</f>
        <v>2.6589999999999998</v>
      </c>
      <c r="M28" s="1">
        <f>SUMIFS('WH+RT CURRENT'!$M$2:$M$15000,'WH+RT CURRENT'!$B$2:$B$15000,"15-15-15",'WH+RT CURRENT'!$R$2:$R$15000,"269982",'WH+RT CURRENT'!$N$2:$N$15000,"&gt;365")</f>
        <v>2</v>
      </c>
      <c r="N28" s="1">
        <f>SUMIFS('WH+RT CURRENT'!$M$2:$M$15000,'WH+RT CURRENT'!$B$2:$B$15000,"Imp 10-26-26",'WH+RT CURRENT'!$R$2:$R$15000,"269982",'WH+RT CURRENT'!$N$2:$N$15000,"&gt;365")</f>
        <v>0.4</v>
      </c>
      <c r="O28" s="1">
        <f>SUMIFS('WH+RT CURRENT'!$M$2:$M$15000,'WH+RT CURRENT'!$B$2:$B$15000,"MOP",'WH+RT CURRENT'!$R$2:$R$15000,"269982",'WH+RT CURRENT'!$N$2:$N$15000,"&gt;365")</f>
        <v>0</v>
      </c>
      <c r="P28" s="1">
        <f>SUMIFS('WH+RT CURRENT'!$M$2:$M$15000,'WH+RT CURRENT'!$B$2:$B$15000,"Imp DAP",'WH+RT CURRENT'!$R$2:$R$15000,"269982",'WH+RT CURRENT'!$N$2:$N$15000,"&gt;365")</f>
        <v>0</v>
      </c>
      <c r="Q28" s="1">
        <f t="shared" ref="Q28:Q30" si="5">L28+M28+N28+O28+P28</f>
        <v>5.0590000000000002</v>
      </c>
    </row>
    <row r="29" spans="5:17" x14ac:dyDescent="0.25">
      <c r="E29" s="2" t="s">
        <v>7</v>
      </c>
      <c r="F29" s="1">
        <f>F27+F28</f>
        <v>71.239000000000004</v>
      </c>
      <c r="G29" s="1">
        <f>G27+G28</f>
        <v>2.9</v>
      </c>
      <c r="H29" s="1">
        <f>H27+H28</f>
        <v>0.4</v>
      </c>
      <c r="I29" s="1">
        <f>I27+I28</f>
        <v>0</v>
      </c>
      <c r="J29" s="1">
        <f>J27+J28</f>
        <v>0</v>
      </c>
      <c r="K29" s="1">
        <f t="shared" si="4"/>
        <v>74.539000000000016</v>
      </c>
      <c r="L29" s="1">
        <f>L27+L28</f>
        <v>70.924000000000007</v>
      </c>
      <c r="M29" s="1">
        <f>M27+M28</f>
        <v>2.9</v>
      </c>
      <c r="N29" s="1">
        <f>N27+N28</f>
        <v>0.4</v>
      </c>
      <c r="O29" s="1">
        <f>O27+O28</f>
        <v>0</v>
      </c>
      <c r="P29" s="1">
        <f>P27+P28</f>
        <v>0</v>
      </c>
      <c r="Q29" s="1">
        <f t="shared" si="5"/>
        <v>74.224000000000018</v>
      </c>
    </row>
    <row r="30" spans="5:17" x14ac:dyDescent="0.25">
      <c r="E30" s="2" t="s">
        <v>9</v>
      </c>
      <c r="F30" s="1">
        <f>SUMIFS('WH+RT PREVIOUS'!$M$2:$M$15000,'WH+RT PREVIOUS'!$B$2:$B$15000,"N.C.Urea(45kg)",'WH+RT PREVIOUS'!$R$2:$R$15000,"269982")</f>
        <v>489.33399999999972</v>
      </c>
      <c r="G30" s="1">
        <f>SUMIFS('WH+RT PREVIOUS'!$M$2:$M$15000,'WH+RT PREVIOUS'!$B$2:$B$15000,"15-15-15",'WH+RT PREVIOUS'!$R$2:$R$15000,"269982")</f>
        <v>13.4</v>
      </c>
      <c r="H30" s="1">
        <f>SUMIFS('WH+RT PREVIOUS'!$M$2:$M$15000,'WH+RT PREVIOUS'!$B$2:$B$15000,"Imp 10-26-26",'WH+RT PREVIOUS'!$R$2:$R$15000,"269982")</f>
        <v>4.25</v>
      </c>
      <c r="I30" s="1">
        <f>SUMIFS('WH+RT PREVIOUS'!$M$2:$M$15000,'WH+RT PREVIOUS'!$B$2:$B$15000,"MOP",'WH+RT PREVIOUS'!$R$2:$R$15000,"269982")</f>
        <v>0</v>
      </c>
      <c r="J30" s="1">
        <f>SUMIFS('WH+RT PREVIOUS'!$M$2:$M$15000,'WH+RT PREVIOUS'!$B$2:$B$15000,"Imp DAP",'WH+RT PREVIOUS'!$R$2:$R$15000,"269982")</f>
        <v>0</v>
      </c>
      <c r="K30" s="1">
        <f t="shared" si="4"/>
        <v>506.9839999999997</v>
      </c>
      <c r="L30" s="1">
        <f>SUMIFS('WH+RT CURRENT'!$M$2:$M$15000,'WH+RT CURRENT'!$B$2:$B$15000,"N.C.Urea(45kg)",'WH+RT CURRENT'!$R$2:$R$15000,"269982")</f>
        <v>488.43399999999986</v>
      </c>
      <c r="M30" s="1">
        <f>SUMIFS('WH+RT CURRENT'!$M$2:$M$15000,'WH+RT CURRENT'!$B$2:$B$15000,"15-15-15",'WH+RT CURRENT'!$R$2:$R$15000,"269982")</f>
        <v>35.4</v>
      </c>
      <c r="N30" s="1">
        <f>SUMIFS('WH+RT CURRENT'!$M$2:$M$15000,'WH+RT CURRENT'!$B$2:$B$15000,"Imp 10-26-26",'WH+RT CURRENT'!$R$2:$R$15000,"269982")</f>
        <v>4.25</v>
      </c>
      <c r="O30" s="1">
        <f>SUMIFS('WH+RT CURRENT'!$M$2:$M$15000,'WH+RT CURRENT'!$B$2:$B$15000,"MOP",'WH+RT CURRENT'!$R$2:$R$15000,"269982")</f>
        <v>0</v>
      </c>
      <c r="P30" s="1">
        <f>SUMIFS('WH+RT CURRENT'!$M$2:$M$15000,'WH+RT CURRENT'!$B$2:$B$15000,"Imp DAP",'WH+RT CURRENT'!$R$2:$R$15000,"269982")</f>
        <v>0</v>
      </c>
      <c r="Q30" s="1">
        <f t="shared" si="5"/>
        <v>528.08399999999983</v>
      </c>
    </row>
    <row r="33" spans="5:17" x14ac:dyDescent="0.25">
      <c r="E33" s="12" t="s">
        <v>736</v>
      </c>
      <c r="F33" s="12"/>
      <c r="G33" s="12"/>
      <c r="H33" s="12"/>
      <c r="I33" s="12"/>
      <c r="J33" s="12"/>
      <c r="K33" s="12"/>
      <c r="L33" s="12"/>
      <c r="M33" s="12"/>
      <c r="N33" s="12"/>
      <c r="O33" s="12"/>
      <c r="P33" s="12"/>
      <c r="Q33" s="12"/>
    </row>
    <row r="34" spans="5:17" x14ac:dyDescent="0.25">
      <c r="E34" s="13"/>
      <c r="F34" s="15" t="s">
        <v>8147</v>
      </c>
      <c r="G34" s="15"/>
      <c r="H34" s="15"/>
      <c r="I34" s="15"/>
      <c r="J34" s="15"/>
      <c r="K34" s="15"/>
      <c r="L34" s="15" t="s">
        <v>8148</v>
      </c>
      <c r="M34" s="15"/>
      <c r="N34" s="15"/>
      <c r="O34" s="15"/>
      <c r="P34" s="15"/>
      <c r="Q34" s="15"/>
    </row>
    <row r="35" spans="5:17" x14ac:dyDescent="0.25">
      <c r="E35" s="14"/>
      <c r="F35" s="2" t="s">
        <v>0</v>
      </c>
      <c r="G35" s="2" t="s">
        <v>1</v>
      </c>
      <c r="H35" s="2" t="s">
        <v>2</v>
      </c>
      <c r="I35" s="2" t="s">
        <v>3</v>
      </c>
      <c r="J35" s="2" t="s">
        <v>8128</v>
      </c>
      <c r="K35" s="2" t="s">
        <v>4</v>
      </c>
      <c r="L35" s="2" t="s">
        <v>0</v>
      </c>
      <c r="M35" s="2" t="s">
        <v>1</v>
      </c>
      <c r="N35" s="2" t="s">
        <v>2</v>
      </c>
      <c r="O35" s="2" t="s">
        <v>3</v>
      </c>
      <c r="P35" s="2" t="s">
        <v>8128</v>
      </c>
      <c r="Q35" s="2" t="s">
        <v>4</v>
      </c>
    </row>
    <row r="36" spans="5:17" x14ac:dyDescent="0.25">
      <c r="E36" s="2" t="s">
        <v>5</v>
      </c>
      <c r="F36" s="1">
        <f>SUMIFS('WH+RT PREVIOUS'!$M$2:$M$15000,'WH+RT PREVIOUS'!$B$2:$B$15000,"N.C.Urea(45kg)",'WH+RT PREVIOUS'!$R$2:$R$15000,"281272",'WH+RT PREVIOUS'!$N$2:$N$15000,"&gt;179",'WH+RT PREVIOUS'!$N$2:$N$15000,"&lt;366")</f>
        <v>0</v>
      </c>
      <c r="G36" s="1">
        <f>SUMIFS('WH+RT PREVIOUS'!$M$2:$M$15000,'WH+RT PREVIOUS'!$B$2:$B$15000,"15-15-15",'WH+RT PREVIOUS'!$R$2:$R$15000,"281272",'WH+RT PREVIOUS'!$N$2:$N$15000,"&gt;179",'WH+RT PREVIOUS'!$N$2:$N$15000,"&lt;366")</f>
        <v>0</v>
      </c>
      <c r="H36" s="1">
        <f>SUMIFS('WH+RT PREVIOUS'!$M$2:$M$15000,'WH+RT PREVIOUS'!$B$2:$B$15000,"Imp 10-26-26",'WH+RT PREVIOUS'!$R$2:$R$15000,"281272",'WH+RT PREVIOUS'!$N$2:$N$15000,"&gt;179",'WH+RT PREVIOUS'!$N$2:$N$15000,"&lt;366")</f>
        <v>0</v>
      </c>
      <c r="I36" s="1">
        <f>SUMIFS('WH+RT PREVIOUS'!$M$2:$M$15000,'WH+RT PREVIOUS'!$B$2:$B$15000,"MOP",'WH+RT PREVIOUS'!$R$2:$R$15000,"281272",'WH+RT PREVIOUS'!$N$2:$N$15000,"&gt;179",'WH+RT PREVIOUS'!$N$2:$N$15000,"&lt;366")</f>
        <v>0</v>
      </c>
      <c r="J36" s="1">
        <f>SUMIFS('WH+RT PREVIOUS'!$M$2:$M$15000,'WH+RT PREVIOUS'!$B$2:$B$15000,"Imp DAP",'WH+RT PREVIOUS'!$R$2:$R$15000,"281272",'WH+RT PREVIOUS'!$N$2:$N$15000,"&gt;179",'WH+RT PREVIOUS'!$N$2:$N$15000,"&lt;366")</f>
        <v>0</v>
      </c>
      <c r="K36" s="1">
        <f>F36+G36+H36+I36+J36</f>
        <v>0</v>
      </c>
      <c r="L36" s="1">
        <f>SUMIFS('WH+RT CURRENT'!$M$2:$M$15000,'WH+RT CURRENT'!$B$2:$B$15000,"N.C.Urea(45kg)",'WH+RT CURRENT'!$R$2:$R$15000,"281272",'WH+RT CURRENT'!$N$2:$N$15000,"&gt;179",'WH+RT CURRENT'!$N$2:$N$15000,"&lt;366")</f>
        <v>0</v>
      </c>
      <c r="M36" s="1">
        <f>SUMIFS('WH+RT CURRENT'!$M$2:$M$15000,'WH+RT CURRENT'!$B$2:$B$15000,"15-15-15",'WH+RT CURRENT'!$R$2:$R$15000,"281272",'WH+RT CURRENT'!$N$2:$N$15000,"&gt;179",'WH+RT CURRENT'!$N$2:$N$15000,"&lt;366")</f>
        <v>0</v>
      </c>
      <c r="N36" s="1">
        <f>SUMIFS('WH+RT CURRENT'!$M$2:$M$15000,'WH+RT CURRENT'!$B$2:$B$15000,"Imp 10-26-26",'WH+RT CURRENT'!$R$2:$R$15000,"281272",'WH+RT CURRENT'!$N$2:$N$15000,"&gt;179",'WH+RT CURRENT'!$N$2:$N$15000,"&lt;366")</f>
        <v>0</v>
      </c>
      <c r="O36" s="1">
        <f>SUMIFS('WH+RT CURRENT'!$M$2:$M$15000,'WH+RT CURRENT'!$B$2:$B$15000,"MOP",'WH+RT CURRENT'!$R$2:$R$15000,"281272",'WH+RT CURRENT'!$N$2:$N$15000,"&gt;179",'WH+RT CURRENT'!$N$2:$N$15000,"&lt;366")</f>
        <v>0</v>
      </c>
      <c r="P36" s="1">
        <f>SUMIFS('WH+RT CURRENT'!$M$2:$M$15000,'WH+RT CURRENT'!$B$2:$B$15000,"Imp DAP",'WH+RT CURRENT'!$R$2:$R$15000,"281272",'WH+RT CURRENT'!$N$2:$N$15000,"&gt;179",'WH+RT CURRENT'!$N$2:$N$15000,"&lt;366")</f>
        <v>0</v>
      </c>
      <c r="Q36" s="1">
        <f>L36+M36+N36+O36+P36</f>
        <v>0</v>
      </c>
    </row>
    <row r="37" spans="5:17" x14ac:dyDescent="0.25">
      <c r="E37" s="2" t="s">
        <v>6</v>
      </c>
      <c r="F37" s="1">
        <f>SUMIFS('WH+RT PREVIOUS'!$M$2:$M$15000,'WH+RT PREVIOUS'!$B$2:$B$15000,"N.C.Urea(45kg)",'WH+RT PREVIOUS'!$R$2:$R$15000,"281272",'WH+RT PREVIOUS'!$N$2:$N$15000,"&gt;365")</f>
        <v>11.924999999999999</v>
      </c>
      <c r="G37" s="1">
        <f>SUMIFS('WH+RT PREVIOUS'!$M$2:$M$15000,'WH+RT PREVIOUS'!$B$2:$B$15000,"15-15-15",'WH+RT PREVIOUS'!$R$2:$R$15000,"281272",'WH+RT PREVIOUS'!$N$2:$N$15000,"&gt;365")</f>
        <v>0</v>
      </c>
      <c r="H37" s="1">
        <f>SUMIFS('WH+RT PREVIOUS'!$M$2:$M$15000,'WH+RT PREVIOUS'!$B$2:$B$15000,"Imp 10-26-26",'WH+RT PREVIOUS'!$R$2:$R$15000,"281272",'WH+RT PREVIOUS'!$N$2:$N$15000,"&gt;365")</f>
        <v>0.45</v>
      </c>
      <c r="I37" s="1">
        <f>SUMIFS('WH+RT PREVIOUS'!$M$2:$M$15000,'WH+RT PREVIOUS'!$B$2:$B$15000,"MOP",'WH+RT PREVIOUS'!$R$2:$R$15000,"281272",'WH+RT PREVIOUS'!$N$2:$N$15000,"&gt;365")</f>
        <v>0</v>
      </c>
      <c r="J37" s="1">
        <f>SUMIFS('WH+RT PREVIOUS'!$M$2:$M$15000,'WH+RT PREVIOUS'!$B$2:$B$15000,"Imp DAP",'WH+RT PREVIOUS'!$R$2:$R$15000,"281272",'WH+RT PREVIOUS'!$N$2:$N$15000,"&gt;365")</f>
        <v>0</v>
      </c>
      <c r="K37" s="1">
        <f t="shared" ref="K37:K39" si="6">F37+G37+H37+I37+J37</f>
        <v>12.374999999999998</v>
      </c>
      <c r="L37" s="1">
        <f>SUMIFS('WH+RT CURRENT'!$M$2:$M$15000,'WH+RT CURRENT'!$B$2:$B$15000,"N.C.Urea(45kg)",'WH+RT CURRENT'!$R$2:$R$15000,"281272",'WH+RT CURRENT'!$N$2:$N$15000,"&gt;365")</f>
        <v>11.925000000000001</v>
      </c>
      <c r="M37" s="1">
        <f>SUMIFS('WH+RT CURRENT'!$M$2:$M$15000,'WH+RT CURRENT'!$B$2:$B$15000,"15-15-15",'WH+RT CURRENT'!$R$2:$R$15000,"281272",'WH+RT CURRENT'!$N$2:$N$15000,"&gt;365")</f>
        <v>0</v>
      </c>
      <c r="N37" s="1">
        <f>SUMIFS('WH+RT CURRENT'!$M$2:$M$15000,'WH+RT CURRENT'!$B$2:$B$15000,"Imp 10-26-26",'WH+RT CURRENT'!$R$2:$R$15000,"281272",'WH+RT CURRENT'!$N$2:$N$15000,"&gt;365")</f>
        <v>0.45</v>
      </c>
      <c r="O37" s="1">
        <f>SUMIFS('WH+RT CURRENT'!$M$2:$M$15000,'WH+RT CURRENT'!$B$2:$B$15000,"MOP",'WH+RT CURRENT'!$R$2:$R$15000,"281272",'WH+RT CURRENT'!$N$2:$N$15000,"&gt;365")</f>
        <v>0</v>
      </c>
      <c r="P37" s="1">
        <f>SUMIFS('WH+RT CURRENT'!$M$2:$M$15000,'WH+RT CURRENT'!$B$2:$B$15000,"Imp DAP",'WH+RT CURRENT'!$R$2:$R$15000,"281272",'WH+RT CURRENT'!$N$2:$N$15000,"&gt;365")</f>
        <v>0</v>
      </c>
      <c r="Q37" s="1">
        <f t="shared" ref="Q37:Q39" si="7">L37+M37+N37+O37+P37</f>
        <v>12.375</v>
      </c>
    </row>
    <row r="38" spans="5:17" x14ac:dyDescent="0.25">
      <c r="E38" s="2" t="s">
        <v>7</v>
      </c>
      <c r="F38" s="1">
        <f>F36+F37</f>
        <v>11.924999999999999</v>
      </c>
      <c r="G38" s="1">
        <f>G36+G37</f>
        <v>0</v>
      </c>
      <c r="H38" s="1">
        <f>H36+H37</f>
        <v>0.45</v>
      </c>
      <c r="I38" s="1">
        <f>I36+I37</f>
        <v>0</v>
      </c>
      <c r="J38" s="1">
        <f>J36+J37</f>
        <v>0</v>
      </c>
      <c r="K38" s="1">
        <f t="shared" si="6"/>
        <v>12.374999999999998</v>
      </c>
      <c r="L38" s="1">
        <f>L36+L37</f>
        <v>11.925000000000001</v>
      </c>
      <c r="M38" s="1">
        <f>M36+M37</f>
        <v>0</v>
      </c>
      <c r="N38" s="1">
        <f>N36+N37</f>
        <v>0.45</v>
      </c>
      <c r="O38" s="1">
        <f>O36+O37</f>
        <v>0</v>
      </c>
      <c r="P38" s="1">
        <f>P36+P37</f>
        <v>0</v>
      </c>
      <c r="Q38" s="1">
        <f t="shared" si="7"/>
        <v>12.375</v>
      </c>
    </row>
    <row r="39" spans="5:17" x14ac:dyDescent="0.25">
      <c r="E39" s="2" t="s">
        <v>9</v>
      </c>
      <c r="F39" s="1">
        <f>SUMIFS('WH+RT PREVIOUS'!$M$2:$M$15000,'WH+RT PREVIOUS'!$B$2:$B$15000,"N.C.Urea(45kg)",'WH+RT PREVIOUS'!$R$2:$R$15000,"281272")</f>
        <v>126.81</v>
      </c>
      <c r="G39" s="1">
        <f>SUMIFS('WH+RT PREVIOUS'!$M$2:$M$15000,'WH+RT PREVIOUS'!$B$2:$B$15000,"15-15-15",'WH+RT PREVIOUS'!$R$2:$R$15000,"281272")</f>
        <v>0.75</v>
      </c>
      <c r="H39" s="1">
        <f>SUMIFS('WH+RT PREVIOUS'!$M$2:$M$15000,'WH+RT PREVIOUS'!$B$2:$B$15000,"Imp 10-26-26",'WH+RT PREVIOUS'!$R$2:$R$15000,"281272")</f>
        <v>0.45</v>
      </c>
      <c r="I39" s="1">
        <f>SUMIFS('WH+RT PREVIOUS'!$M$2:$M$15000,'WH+RT PREVIOUS'!$B$2:$B$15000,"MOP",'WH+RT PREVIOUS'!$R$2:$R$15000,"281272")</f>
        <v>0</v>
      </c>
      <c r="J39" s="1">
        <f>SUMIFS('WH+RT PREVIOUS'!$M$2:$M$15000,'WH+RT PREVIOUS'!$B$2:$B$15000,"Imp DAP",'WH+RT PREVIOUS'!$R$2:$R$15000,"281272")</f>
        <v>0</v>
      </c>
      <c r="K39" s="1">
        <f t="shared" si="6"/>
        <v>128.01</v>
      </c>
      <c r="L39" s="1">
        <f>SUMIFS('WH+RT CURRENT'!$M$2:$M$15000,'WH+RT CURRENT'!$B$2:$B$15000,"N.C.Urea(45kg)",'WH+RT CURRENT'!$R$2:$R$15000,"281272")</f>
        <v>117.09</v>
      </c>
      <c r="M39" s="1">
        <f>SUMIFS('WH+RT CURRENT'!$M$2:$M$15000,'WH+RT CURRENT'!$B$2:$B$15000,"15-15-15",'WH+RT CURRENT'!$R$2:$R$15000,"281272")</f>
        <v>0</v>
      </c>
      <c r="N39" s="1">
        <f>SUMIFS('WH+RT CURRENT'!$M$2:$M$15000,'WH+RT CURRENT'!$B$2:$B$15000,"Imp 10-26-26",'WH+RT CURRENT'!$R$2:$R$15000,"281272")</f>
        <v>0.45</v>
      </c>
      <c r="O39" s="1">
        <f>SUMIFS('WH+RT CURRENT'!$M$2:$M$15000,'WH+RT CURRENT'!$B$2:$B$15000,"MOP",'WH+RT CURRENT'!$R$2:$R$15000,"281272")</f>
        <v>0</v>
      </c>
      <c r="P39" s="1">
        <f>SUMIFS('WH+RT CURRENT'!$M$2:$M$15000,'WH+RT CURRENT'!$B$2:$B$15000,"Imp DAP",'WH+RT CURRENT'!$R$2:$R$15000,"281272")</f>
        <v>0</v>
      </c>
      <c r="Q39" s="1">
        <f t="shared" si="7"/>
        <v>117.54</v>
      </c>
    </row>
    <row r="42" spans="5:17" x14ac:dyDescent="0.25">
      <c r="E42" s="12" t="s">
        <v>726</v>
      </c>
      <c r="F42" s="12"/>
      <c r="G42" s="12"/>
      <c r="H42" s="12"/>
      <c r="I42" s="12"/>
      <c r="J42" s="12"/>
      <c r="K42" s="12"/>
      <c r="L42" s="12"/>
      <c r="M42" s="12"/>
      <c r="N42" s="12"/>
      <c r="O42" s="12"/>
      <c r="P42" s="12"/>
      <c r="Q42" s="12"/>
    </row>
    <row r="43" spans="5:17" x14ac:dyDescent="0.25">
      <c r="E43" s="13"/>
      <c r="F43" s="15" t="s">
        <v>8147</v>
      </c>
      <c r="G43" s="15"/>
      <c r="H43" s="15"/>
      <c r="I43" s="15"/>
      <c r="J43" s="15"/>
      <c r="K43" s="15"/>
      <c r="L43" s="15" t="s">
        <v>8148</v>
      </c>
      <c r="M43" s="15"/>
      <c r="N43" s="15"/>
      <c r="O43" s="15"/>
      <c r="P43" s="15"/>
      <c r="Q43" s="15"/>
    </row>
    <row r="44" spans="5:17" x14ac:dyDescent="0.25">
      <c r="E44" s="14"/>
      <c r="F44" s="2" t="s">
        <v>0</v>
      </c>
      <c r="G44" s="2" t="s">
        <v>1</v>
      </c>
      <c r="H44" s="2" t="s">
        <v>2</v>
      </c>
      <c r="I44" s="2" t="s">
        <v>3</v>
      </c>
      <c r="J44" s="2" t="s">
        <v>8128</v>
      </c>
      <c r="K44" s="2" t="s">
        <v>4</v>
      </c>
      <c r="L44" s="2" t="s">
        <v>0</v>
      </c>
      <c r="M44" s="2" t="s">
        <v>1</v>
      </c>
      <c r="N44" s="2" t="s">
        <v>2</v>
      </c>
      <c r="O44" s="2" t="s">
        <v>3</v>
      </c>
      <c r="P44" s="2" t="s">
        <v>8128</v>
      </c>
      <c r="Q44" s="2" t="s">
        <v>4</v>
      </c>
    </row>
    <row r="45" spans="5:17" x14ac:dyDescent="0.25">
      <c r="E45" s="2" t="s">
        <v>5</v>
      </c>
      <c r="F45" s="1">
        <f>SUMIFS('WH+RT PREVIOUS'!$M$2:$M$15000,'WH+RT PREVIOUS'!$B$2:$B$15000,"N.C.Urea(45kg)",'WH+RT PREVIOUS'!$R$2:$R$15000,"281269",'WH+RT PREVIOUS'!$N$2:$N$15000,"&gt;179",'WH+RT PREVIOUS'!$N$2:$N$15000,"&lt;366")</f>
        <v>3.15</v>
      </c>
      <c r="G45" s="1">
        <f>SUMIFS('WH+RT PREVIOUS'!$M$2:$M$15000,'WH+RT PREVIOUS'!$B$2:$B$15000,"15-15-15",'WH+RT PREVIOUS'!$R$2:$R$15000,"281269",'WH+RT PREVIOUS'!$N$2:$N$15000,"&gt;179",'WH+RT PREVIOUS'!$N$2:$N$15000,"&lt;366")</f>
        <v>3.8</v>
      </c>
      <c r="H45" s="1">
        <f>SUMIFS('WH+RT PREVIOUS'!$M$2:$M$15000,'WH+RT PREVIOUS'!$B$2:$B$15000,"Imp 10-26-26",'WH+RT PREVIOUS'!$R$2:$R$15000,"281269",'WH+RT PREVIOUS'!$N$2:$N$15000,"&gt;179",'WH+RT PREVIOUS'!$N$2:$N$15000,"&lt;366")</f>
        <v>0</v>
      </c>
      <c r="I45" s="1">
        <f>SUMIFS('WH+RT PREVIOUS'!$M$2:$M$15000,'WH+RT PREVIOUS'!$B$2:$B$15000,"MOP",'WH+RT PREVIOUS'!$R$2:$R$15000,"281269",'WH+RT PREVIOUS'!$N$2:$N$15000,"&gt;179",'WH+RT PREVIOUS'!$N$2:$N$15000,"&lt;366")</f>
        <v>0</v>
      </c>
      <c r="J45" s="1">
        <f>SUMIFS('WH+RT PREVIOUS'!$M$2:$M$15000,'WH+RT PREVIOUS'!$B$2:$B$15000,"Imp DAP",'WH+RT PREVIOUS'!$R$2:$R$15000,"281269",'WH+RT PREVIOUS'!$N$2:$N$15000,"&gt;179",'WH+RT PREVIOUS'!$N$2:$N$15000,"&lt;366")</f>
        <v>0</v>
      </c>
      <c r="K45" s="1">
        <f>F45+G45+H45+I45+J45</f>
        <v>6.9499999999999993</v>
      </c>
      <c r="L45" s="1">
        <f>SUMIFS('WH+RT CURRENT'!$M$2:$M$15000,'WH+RT CURRENT'!$B$2:$B$15000,"N.C.Urea(45kg)",'WH+RT CURRENT'!$R$2:$R$15000,"281269",'WH+RT CURRENT'!$N$2:$N$15000,"&gt;179",'WH+RT CURRENT'!$N$2:$N$15000,"&lt;366")</f>
        <v>2.61</v>
      </c>
      <c r="M45" s="1">
        <f>SUMIFS('WH+RT CURRENT'!$M$2:$M$15000,'WH+RT CURRENT'!$B$2:$B$15000,"15-15-15",'WH+RT CURRENT'!$R$2:$R$15000,"281269",'WH+RT CURRENT'!$N$2:$N$15000,"&gt;179",'WH+RT CURRENT'!$N$2:$N$15000,"&lt;366")</f>
        <v>3.8</v>
      </c>
      <c r="N45" s="1">
        <f>SUMIFS('WH+RT CURRENT'!$M$2:$M$15000,'WH+RT CURRENT'!$B$2:$B$15000,"Imp 10-26-26",'WH+RT CURRENT'!$R$2:$R$15000,"281269",'WH+RT CURRENT'!$N$2:$N$15000,"&gt;179",'WH+RT CURRENT'!$N$2:$N$15000,"&lt;366")</f>
        <v>0</v>
      </c>
      <c r="O45" s="1">
        <f>SUMIFS('WH+RT CURRENT'!$M$2:$M$15000,'WH+RT CURRENT'!$B$2:$B$15000,"MOP",'WH+RT CURRENT'!$R$2:$R$15000,"281269",'WH+RT CURRENT'!$N$2:$N$15000,"&gt;179",'WH+RT CURRENT'!$N$2:$N$15000,"&lt;366")</f>
        <v>0</v>
      </c>
      <c r="P45" s="1">
        <f>SUMIFS('WH+RT CURRENT'!$M$2:$M$15000,'WH+RT CURRENT'!$B$2:$B$15000,"Imp DAP",'WH+RT CURRENT'!$R$2:$R$15000,"281269",'WH+RT CURRENT'!$N$2:$N$15000,"&gt;179",'WH+RT CURRENT'!$N$2:$N$15000,"&lt;366")</f>
        <v>0</v>
      </c>
      <c r="Q45" s="1">
        <f>L45+M45+N45+O45+P45</f>
        <v>6.41</v>
      </c>
    </row>
    <row r="46" spans="5:17" x14ac:dyDescent="0.25">
      <c r="E46" s="2" t="s">
        <v>6</v>
      </c>
      <c r="F46" s="1">
        <f>SUMIFS('WH+RT PREVIOUS'!$M$2:$M$15000,'WH+RT PREVIOUS'!$B$2:$B$15000,"N.C.Urea(45kg)",'WH+RT PREVIOUS'!$R$2:$R$15000,"281269",'WH+RT PREVIOUS'!$N$2:$N$15000,"&gt;365")</f>
        <v>4.9949999999999992</v>
      </c>
      <c r="G46" s="1">
        <f>SUMIFS('WH+RT PREVIOUS'!$M$2:$M$15000,'WH+RT PREVIOUS'!$B$2:$B$15000,"15-15-15",'WH+RT PREVIOUS'!$R$2:$R$15000,"281269",'WH+RT PREVIOUS'!$N$2:$N$15000,"&gt;365")</f>
        <v>0</v>
      </c>
      <c r="H46" s="1">
        <f>SUMIFS('WH+RT PREVIOUS'!$M$2:$M$15000,'WH+RT PREVIOUS'!$B$2:$B$15000,"Imp 10-26-26",'WH+RT PREVIOUS'!$R$2:$R$15000,"281269",'WH+RT PREVIOUS'!$N$2:$N$15000,"&gt;365")</f>
        <v>0</v>
      </c>
      <c r="I46" s="1">
        <f>SUMIFS('WH+RT PREVIOUS'!$M$2:$M$15000,'WH+RT PREVIOUS'!$B$2:$B$15000,"MOP",'WH+RT PREVIOUS'!$R$2:$R$15000,"281269",'WH+RT PREVIOUS'!$N$2:$N$15000,"&gt;365")</f>
        <v>0.8</v>
      </c>
      <c r="J46" s="1">
        <f>SUMIFS('WH+RT PREVIOUS'!$M$2:$M$15000,'WH+RT PREVIOUS'!$B$2:$B$15000,"Imp DAP",'WH+RT PREVIOUS'!$R$2:$R$15000,"281269",'WH+RT PREVIOUS'!$N$2:$N$15000,"&gt;365")</f>
        <v>0</v>
      </c>
      <c r="K46" s="1">
        <f t="shared" ref="K46:K48" si="8">F46+G46+H46+I46+J46</f>
        <v>5.794999999999999</v>
      </c>
      <c r="L46" s="1">
        <f>SUMIFS('WH+RT CURRENT'!$M$2:$M$15000,'WH+RT CURRENT'!$B$2:$B$15000,"N.C.Urea(45kg)",'WH+RT CURRENT'!$R$2:$R$15000,"281269",'WH+RT CURRENT'!$N$2:$N$15000,"&gt;365")</f>
        <v>4.9949999999999992</v>
      </c>
      <c r="M46" s="1">
        <f>SUMIFS('WH+RT CURRENT'!$M$2:$M$15000,'WH+RT CURRENT'!$B$2:$B$15000,"15-15-15",'WH+RT CURRENT'!$R$2:$R$15000,"281269",'WH+RT CURRENT'!$N$2:$N$15000,"&gt;365")</f>
        <v>0</v>
      </c>
      <c r="N46" s="1">
        <f>SUMIFS('WH+RT CURRENT'!$M$2:$M$15000,'WH+RT CURRENT'!$B$2:$B$15000,"Imp 10-26-26",'WH+RT CURRENT'!$R$2:$R$15000,"281269",'WH+RT CURRENT'!$N$2:$N$15000,"&gt;365")</f>
        <v>0</v>
      </c>
      <c r="O46" s="1">
        <f>SUMIFS('WH+RT CURRENT'!$M$2:$M$15000,'WH+RT CURRENT'!$B$2:$B$15000,"MOP",'WH+RT CURRENT'!$R$2:$R$15000,"281269",'WH+RT CURRENT'!$N$2:$N$15000,"&gt;365")</f>
        <v>0.8</v>
      </c>
      <c r="P46" s="1">
        <f>SUMIFS('WH+RT CURRENT'!$M$2:$M$15000,'WH+RT CURRENT'!$B$2:$B$15000,"Imp DAP",'WH+RT CURRENT'!$R$2:$R$15000,"281269",'WH+RT CURRENT'!$N$2:$N$15000,"&gt;365")</f>
        <v>0</v>
      </c>
      <c r="Q46" s="1">
        <f t="shared" ref="Q46:Q48" si="9">L46+M46+N46+O46+P46</f>
        <v>5.794999999999999</v>
      </c>
    </row>
    <row r="47" spans="5:17" x14ac:dyDescent="0.25">
      <c r="E47" s="2" t="s">
        <v>7</v>
      </c>
      <c r="F47" s="1">
        <f>F45+F46</f>
        <v>8.1449999999999996</v>
      </c>
      <c r="G47" s="1">
        <f>G45+G46</f>
        <v>3.8</v>
      </c>
      <c r="H47" s="1">
        <f>H45+H46</f>
        <v>0</v>
      </c>
      <c r="I47" s="1">
        <f>I45+I46</f>
        <v>0.8</v>
      </c>
      <c r="J47" s="1">
        <f>J45+J46</f>
        <v>0</v>
      </c>
      <c r="K47" s="1">
        <f t="shared" si="8"/>
        <v>12.745000000000001</v>
      </c>
      <c r="L47" s="1">
        <f>L45+L46</f>
        <v>7.6049999999999986</v>
      </c>
      <c r="M47" s="1">
        <f>M45+M46</f>
        <v>3.8</v>
      </c>
      <c r="N47" s="1">
        <f>N45+N46</f>
        <v>0</v>
      </c>
      <c r="O47" s="1">
        <f>O45+O46</f>
        <v>0.8</v>
      </c>
      <c r="P47" s="1">
        <f>P45+P46</f>
        <v>0</v>
      </c>
      <c r="Q47" s="1">
        <f t="shared" si="9"/>
        <v>12.204999999999998</v>
      </c>
    </row>
    <row r="48" spans="5:17" x14ac:dyDescent="0.25">
      <c r="E48" s="2" t="s">
        <v>9</v>
      </c>
      <c r="F48" s="1">
        <f>SUMIFS('WH+RT PREVIOUS'!$M$2:$M$15000,'WH+RT PREVIOUS'!$B$2:$B$15000,"N.C.Urea(45kg)",'WH+RT PREVIOUS'!$R$2:$R$15000,"281269")</f>
        <v>150.71000000000004</v>
      </c>
      <c r="G48" s="1">
        <f>SUMIFS('WH+RT PREVIOUS'!$M$2:$M$15000,'WH+RT PREVIOUS'!$B$2:$B$15000,"15-15-15",'WH+RT PREVIOUS'!$R$2:$R$15000,"281269")</f>
        <v>4.4499999999999993</v>
      </c>
      <c r="H48" s="1">
        <f>SUMIFS('WH+RT PREVIOUS'!$M$2:$M$15000,'WH+RT PREVIOUS'!$B$2:$B$15000,"Imp 10-26-26",'WH+RT PREVIOUS'!$R$2:$R$15000,"281269")</f>
        <v>0</v>
      </c>
      <c r="I48" s="1">
        <f>SUMIFS('WH+RT PREVIOUS'!$M$2:$M$15000,'WH+RT PREVIOUS'!$B$2:$B$15000,"MOP",'WH+RT PREVIOUS'!$R$2:$R$15000,"281269")</f>
        <v>0.8</v>
      </c>
      <c r="J48" s="1">
        <f>SUMIFS('WH+RT PREVIOUS'!$M$2:$M$15000,'WH+RT PREVIOUS'!$B$2:$B$15000,"Imp DAP",'WH+RT PREVIOUS'!$R$2:$R$15000,"281269")</f>
        <v>0</v>
      </c>
      <c r="K48" s="1">
        <f t="shared" si="8"/>
        <v>155.96000000000004</v>
      </c>
      <c r="L48" s="1">
        <f>SUMIFS('WH+RT CURRENT'!$M$2:$M$15000,'WH+RT CURRENT'!$B$2:$B$15000,"N.C.Urea(45kg)",'WH+RT CURRENT'!$R$2:$R$15000,"281269")</f>
        <v>140.36000000000004</v>
      </c>
      <c r="M48" s="1">
        <f>SUMIFS('WH+RT CURRENT'!$M$2:$M$15000,'WH+RT CURRENT'!$B$2:$B$15000,"15-15-15",'WH+RT CURRENT'!$R$2:$R$15000,"281269")</f>
        <v>35.449999999999996</v>
      </c>
      <c r="N48" s="1">
        <f>SUMIFS('WH+RT CURRENT'!$M$2:$M$15000,'WH+RT CURRENT'!$B$2:$B$15000,"Imp 10-26-26",'WH+RT CURRENT'!$R$2:$R$15000,"281269")</f>
        <v>0</v>
      </c>
      <c r="O48" s="1">
        <f>SUMIFS('WH+RT CURRENT'!$M$2:$M$15000,'WH+RT CURRENT'!$B$2:$B$15000,"MOP",'WH+RT CURRENT'!$R$2:$R$15000,"281269")</f>
        <v>0.8</v>
      </c>
      <c r="P48" s="1">
        <f>SUMIFS('WH+RT CURRENT'!$M$2:$M$15000,'WH+RT CURRENT'!$B$2:$B$15000,"Imp DAP",'WH+RT CURRENT'!$R$2:$R$15000,"281269")</f>
        <v>0</v>
      </c>
      <c r="Q48" s="1">
        <f t="shared" si="9"/>
        <v>176.61000000000004</v>
      </c>
    </row>
    <row r="51" spans="5:17" x14ac:dyDescent="0.25">
      <c r="E51" s="12" t="s">
        <v>731</v>
      </c>
      <c r="F51" s="12"/>
      <c r="G51" s="12"/>
      <c r="H51" s="12"/>
      <c r="I51" s="12"/>
      <c r="J51" s="12"/>
      <c r="K51" s="12"/>
      <c r="L51" s="12"/>
      <c r="M51" s="12"/>
      <c r="N51" s="12"/>
      <c r="O51" s="12"/>
      <c r="P51" s="12"/>
      <c r="Q51" s="12"/>
    </row>
    <row r="52" spans="5:17" x14ac:dyDescent="0.25">
      <c r="E52" s="13"/>
      <c r="F52" s="15" t="s">
        <v>8147</v>
      </c>
      <c r="G52" s="15"/>
      <c r="H52" s="15"/>
      <c r="I52" s="15"/>
      <c r="J52" s="15"/>
      <c r="K52" s="15"/>
      <c r="L52" s="15" t="s">
        <v>8148</v>
      </c>
      <c r="M52" s="15"/>
      <c r="N52" s="15"/>
      <c r="O52" s="15"/>
      <c r="P52" s="15"/>
      <c r="Q52" s="15"/>
    </row>
    <row r="53" spans="5:17" x14ac:dyDescent="0.25">
      <c r="E53" s="14"/>
      <c r="F53" s="2" t="s">
        <v>0</v>
      </c>
      <c r="G53" s="2" t="s">
        <v>1</v>
      </c>
      <c r="H53" s="2" t="s">
        <v>2</v>
      </c>
      <c r="I53" s="2" t="s">
        <v>3</v>
      </c>
      <c r="J53" s="2" t="s">
        <v>8128</v>
      </c>
      <c r="K53" s="2" t="s">
        <v>4</v>
      </c>
      <c r="L53" s="2" t="s">
        <v>0</v>
      </c>
      <c r="M53" s="2" t="s">
        <v>1</v>
      </c>
      <c r="N53" s="2" t="s">
        <v>2</v>
      </c>
      <c r="O53" s="2" t="s">
        <v>3</v>
      </c>
      <c r="P53" s="2" t="s">
        <v>8128</v>
      </c>
      <c r="Q53" s="2" t="s">
        <v>4</v>
      </c>
    </row>
    <row r="54" spans="5:17" x14ac:dyDescent="0.25">
      <c r="E54" s="2" t="s">
        <v>5</v>
      </c>
      <c r="F54" s="1">
        <f>SUMIFS('WH+RT PREVIOUS'!$M$2:$M$15000,'WH+RT PREVIOUS'!$B$2:$B$15000,"N.C.Urea(45kg)",'WH+RT PREVIOUS'!$R$2:$R$15000,"270157",'WH+RT PREVIOUS'!$N$2:$N$15000,"&gt;179",'WH+RT PREVIOUS'!$N$2:$N$15000,"&lt;366")</f>
        <v>101.905</v>
      </c>
      <c r="G54" s="1">
        <f>SUMIFS('WH+RT PREVIOUS'!$M$2:$M$15000,'WH+RT PREVIOUS'!$B$2:$B$15000,"15-15-15",'WH+RT PREVIOUS'!$R$2:$R$15000,"270157",'WH+RT PREVIOUS'!$N$2:$N$15000,"&gt;179",'WH+RT PREVIOUS'!$N$2:$N$15000,"&lt;366")</f>
        <v>50.650000000000006</v>
      </c>
      <c r="H54" s="1">
        <f>SUMIFS('WH+RT PREVIOUS'!$M$2:$M$15000,'WH+RT PREVIOUS'!$B$2:$B$15000,"Imp 10-26-26",'WH+RT PREVIOUS'!$R$2:$R$15000,"270157",'WH+RT PREVIOUS'!$N$2:$N$15000,"&gt;179",'WH+RT PREVIOUS'!$N$2:$N$15000,"&lt;366")</f>
        <v>0</v>
      </c>
      <c r="I54" s="1">
        <f>SUMIFS('WH+RT PREVIOUS'!$M$2:$M$15000,'WH+RT PREVIOUS'!$B$2:$B$15000,"MOP",'WH+RT PREVIOUS'!$R$2:$R$15000,"270157",'WH+RT PREVIOUS'!$N$2:$N$15000,"&gt;179",'WH+RT PREVIOUS'!$N$2:$N$15000,"&lt;366")</f>
        <v>0</v>
      </c>
      <c r="J54" s="1">
        <f>SUMIFS('WH+RT PREVIOUS'!$M$2:$M$15000,'WH+RT PREVIOUS'!$B$2:$B$15000,"Imp DAP",'WH+RT PREVIOUS'!$R$2:$R$15000,"270157",'WH+RT PREVIOUS'!$N$2:$N$15000,"&gt;179",'WH+RT PREVIOUS'!$N$2:$N$15000,"&lt;366")</f>
        <v>0</v>
      </c>
      <c r="K54" s="1">
        <f>F54+G54+H54+I54+J54</f>
        <v>152.55500000000001</v>
      </c>
      <c r="L54" s="1">
        <f>SUMIFS('WH+RT CURRENT'!$M$2:$M$15000,'WH+RT CURRENT'!$B$2:$B$15000,"N.C.Urea(45kg)",'WH+RT CURRENT'!$R$2:$R$15000,"270157",'WH+RT CURRENT'!$N$2:$N$15000,"&gt;179",'WH+RT CURRENT'!$N$2:$N$15000,"&lt;366")</f>
        <v>79.92</v>
      </c>
      <c r="M54" s="1">
        <f>SUMIFS('WH+RT CURRENT'!$M$2:$M$15000,'WH+RT CURRENT'!$B$2:$B$15000,"15-15-15",'WH+RT CURRENT'!$R$2:$R$15000,"270157",'WH+RT CURRENT'!$N$2:$N$15000,"&gt;179",'WH+RT CURRENT'!$N$2:$N$15000,"&lt;366")</f>
        <v>49.15</v>
      </c>
      <c r="N54" s="1">
        <f>SUMIFS('WH+RT CURRENT'!$M$2:$M$15000,'WH+RT CURRENT'!$B$2:$B$15000,"Imp 10-26-26",'WH+RT CURRENT'!$R$2:$R$15000,"270157",'WH+RT CURRENT'!$N$2:$N$15000,"&gt;179",'WH+RT CURRENT'!$N$2:$N$15000,"&lt;366")</f>
        <v>0</v>
      </c>
      <c r="O54" s="1">
        <f>SUMIFS('WH+RT CURRENT'!$M$2:$M$15000,'WH+RT CURRENT'!$B$2:$B$15000,"MOP",'WH+RT CURRENT'!$R$2:$R$15000,"270157",'WH+RT CURRENT'!$N$2:$N$15000,"&gt;179",'WH+RT CURRENT'!$N$2:$N$15000,"&lt;366")</f>
        <v>0</v>
      </c>
      <c r="P54" s="1">
        <f>SUMIFS('WH+RT CURRENT'!$M$2:$M$15000,'WH+RT CURRENT'!$B$2:$B$15000,"Imp DAP",'WH+RT CURRENT'!$R$2:$R$15000,"270157",'WH+RT CURRENT'!$N$2:$N$15000,"&gt;179",'WH+RT CURRENT'!$N$2:$N$15000,"&lt;366")</f>
        <v>0</v>
      </c>
      <c r="Q54" s="1">
        <f>L54+M54+N54+O54+P54</f>
        <v>129.07</v>
      </c>
    </row>
    <row r="55" spans="5:17" x14ac:dyDescent="0.25">
      <c r="E55" s="2" t="s">
        <v>6</v>
      </c>
      <c r="F55" s="1">
        <f>SUMIFS('WH+RT PREVIOUS'!$M$2:$M$15000,'WH+RT PREVIOUS'!$B$2:$B$15000,"N.C.Urea(45kg)",'WH+RT PREVIOUS'!$R$2:$R$15000,"270157",'WH+RT PREVIOUS'!$N$2:$N$15000,"&gt;365")</f>
        <v>110.24499999999999</v>
      </c>
      <c r="G55" s="1">
        <f>SUMIFS('WH+RT PREVIOUS'!$M$2:$M$15000,'WH+RT PREVIOUS'!$B$2:$B$15000,"15-15-15",'WH+RT PREVIOUS'!$R$2:$R$15000,"270157",'WH+RT PREVIOUS'!$N$2:$N$15000,"&gt;365")</f>
        <v>4.3000000000000007</v>
      </c>
      <c r="H55" s="1">
        <f>SUMIFS('WH+RT PREVIOUS'!$M$2:$M$15000,'WH+RT PREVIOUS'!$B$2:$B$15000,"Imp 10-26-26",'WH+RT PREVIOUS'!$R$2:$R$15000,"270157",'WH+RT PREVIOUS'!$N$2:$N$15000,"&gt;365")</f>
        <v>0.4</v>
      </c>
      <c r="I55" s="1">
        <f>SUMIFS('WH+RT PREVIOUS'!$M$2:$M$15000,'WH+RT PREVIOUS'!$B$2:$B$15000,"MOP",'WH+RT PREVIOUS'!$R$2:$R$15000,"270157",'WH+RT PREVIOUS'!$N$2:$N$15000,"&gt;365")</f>
        <v>0.55000000000000004</v>
      </c>
      <c r="J55" s="1">
        <f>SUMIFS('WH+RT PREVIOUS'!$M$2:$M$15000,'WH+RT PREVIOUS'!$B$2:$B$15000,"Imp DAP",'WH+RT PREVIOUS'!$R$2:$R$15000,"270157",'WH+RT PREVIOUS'!$N$2:$N$15000,"&gt;365")</f>
        <v>0</v>
      </c>
      <c r="K55" s="1">
        <f t="shared" ref="K55:K57" si="10">F55+G55+H55+I55+J55</f>
        <v>115.49499999999999</v>
      </c>
      <c r="L55" s="1">
        <f>SUMIFS('WH+RT CURRENT'!$M$2:$M$15000,'WH+RT CURRENT'!$B$2:$B$15000,"N.C.Urea(45kg)",'WH+RT CURRENT'!$R$2:$R$15000,"270157",'WH+RT CURRENT'!$N$2:$N$15000,"&gt;365")</f>
        <v>116.455</v>
      </c>
      <c r="M55" s="1">
        <f>SUMIFS('WH+RT CURRENT'!$M$2:$M$15000,'WH+RT CURRENT'!$B$2:$B$15000,"15-15-15",'WH+RT CURRENT'!$R$2:$R$15000,"270157",'WH+RT CURRENT'!$N$2:$N$15000,"&gt;365")</f>
        <v>4.3000000000000007</v>
      </c>
      <c r="N55" s="1">
        <f>SUMIFS('WH+RT CURRENT'!$M$2:$M$15000,'WH+RT CURRENT'!$B$2:$B$15000,"Imp 10-26-26",'WH+RT CURRENT'!$R$2:$R$15000,"270157",'WH+RT CURRENT'!$N$2:$N$15000,"&gt;365")</f>
        <v>0.4</v>
      </c>
      <c r="O55" s="1">
        <f>SUMIFS('WH+RT CURRENT'!$M$2:$M$15000,'WH+RT CURRENT'!$B$2:$B$15000,"MOP",'WH+RT CURRENT'!$R$2:$R$15000,"270157",'WH+RT CURRENT'!$N$2:$N$15000,"&gt;365")</f>
        <v>0.55000000000000004</v>
      </c>
      <c r="P55" s="1">
        <f>SUMIFS('WH+RT CURRENT'!$M$2:$M$15000,'WH+RT CURRENT'!$B$2:$B$15000,"Imp DAP",'WH+RT CURRENT'!$R$2:$R$15000,"270157",'WH+RT CURRENT'!$N$2:$N$15000,"&gt;365")</f>
        <v>0</v>
      </c>
      <c r="Q55" s="1">
        <f t="shared" ref="Q55:Q57" si="11">L55+M55+N55+O55+P55</f>
        <v>121.705</v>
      </c>
    </row>
    <row r="56" spans="5:17" x14ac:dyDescent="0.25">
      <c r="E56" s="2" t="s">
        <v>7</v>
      </c>
      <c r="F56" s="1">
        <f>F54+F55</f>
        <v>212.14999999999998</v>
      </c>
      <c r="G56" s="1">
        <f>G54+G55</f>
        <v>54.95</v>
      </c>
      <c r="H56" s="1">
        <f>H54+H55</f>
        <v>0.4</v>
      </c>
      <c r="I56" s="1">
        <f>I54+I55</f>
        <v>0.55000000000000004</v>
      </c>
      <c r="J56" s="1">
        <f>J54+J55</f>
        <v>0</v>
      </c>
      <c r="K56" s="1">
        <f t="shared" si="10"/>
        <v>268.04999999999995</v>
      </c>
      <c r="L56" s="1">
        <f>L54+L55</f>
        <v>196.375</v>
      </c>
      <c r="M56" s="1">
        <f>M54+M55</f>
        <v>53.45</v>
      </c>
      <c r="N56" s="1">
        <f>N54+N55</f>
        <v>0.4</v>
      </c>
      <c r="O56" s="1">
        <f>O54+O55</f>
        <v>0.55000000000000004</v>
      </c>
      <c r="P56" s="1">
        <f>P54+P55</f>
        <v>0</v>
      </c>
      <c r="Q56" s="1">
        <f t="shared" si="11"/>
        <v>250.77500000000001</v>
      </c>
    </row>
    <row r="57" spans="5:17" x14ac:dyDescent="0.25">
      <c r="E57" s="2" t="s">
        <v>9</v>
      </c>
      <c r="F57" s="1">
        <f>SUMIFS('WH+RT PREVIOUS'!$M$2:$M$15000,'WH+RT PREVIOUS'!$B$2:$B$15000,"N.C.Urea(45kg)",'WH+RT PREVIOUS'!$R$2:$R$15000,"270157")</f>
        <v>1425.603000000001</v>
      </c>
      <c r="G57" s="1">
        <f>SUMIFS('WH+RT PREVIOUS'!$M$2:$M$15000,'WH+RT PREVIOUS'!$B$2:$B$15000,"15-15-15",'WH+RT PREVIOUS'!$R$2:$R$15000,"270157")</f>
        <v>89.600000000000009</v>
      </c>
      <c r="H57" s="1">
        <f>SUMIFS('WH+RT PREVIOUS'!$M$2:$M$15000,'WH+RT PREVIOUS'!$B$2:$B$15000,"Imp 10-26-26",'WH+RT PREVIOUS'!$R$2:$R$15000,"270157")</f>
        <v>79.099999999999994</v>
      </c>
      <c r="I57" s="1">
        <f>SUMIFS('WH+RT PREVIOUS'!$M$2:$M$15000,'WH+RT PREVIOUS'!$B$2:$B$15000,"MOP",'WH+RT PREVIOUS'!$R$2:$R$15000,"270157")</f>
        <v>0.55000000000000004</v>
      </c>
      <c r="J57" s="1">
        <f>SUMIFS('WH+RT PREVIOUS'!$M$2:$M$15000,'WH+RT PREVIOUS'!$B$2:$B$15000,"Imp DAP",'WH+RT PREVIOUS'!$R$2:$R$15000,"270157")</f>
        <v>0</v>
      </c>
      <c r="K57" s="1">
        <f t="shared" si="10"/>
        <v>1594.8530000000007</v>
      </c>
      <c r="L57" s="1">
        <f>SUMIFS('WH+RT CURRENT'!$M$2:$M$15000,'WH+RT CURRENT'!$B$2:$B$15000,"N.C.Urea(45kg)",'WH+RT CURRENT'!$R$2:$R$15000,"270157")</f>
        <v>1382.8329999999999</v>
      </c>
      <c r="M57" s="1">
        <f>SUMIFS('WH+RT CURRENT'!$M$2:$M$15000,'WH+RT CURRENT'!$B$2:$B$15000,"15-15-15",'WH+RT CURRENT'!$R$2:$R$15000,"270157")</f>
        <v>137.99999999999997</v>
      </c>
      <c r="N57" s="1">
        <f>SUMIFS('WH+RT CURRENT'!$M$2:$M$15000,'WH+RT CURRENT'!$B$2:$B$15000,"Imp 10-26-26",'WH+RT CURRENT'!$R$2:$R$15000,"270157")</f>
        <v>78.7</v>
      </c>
      <c r="O57" s="1">
        <f>SUMIFS('WH+RT CURRENT'!$M$2:$M$15000,'WH+RT CURRENT'!$B$2:$B$15000,"MOP",'WH+RT CURRENT'!$R$2:$R$15000,"270157")</f>
        <v>0.55000000000000004</v>
      </c>
      <c r="P57" s="1">
        <f>SUMIFS('WH+RT CURRENT'!$M$2:$M$15000,'WH+RT CURRENT'!$B$2:$B$15000,"Imp DAP",'WH+RT CURRENT'!$R$2:$R$15000,"270157")</f>
        <v>0</v>
      </c>
      <c r="Q57" s="1">
        <f t="shared" si="11"/>
        <v>1600.0829999999999</v>
      </c>
    </row>
  </sheetData>
  <mergeCells count="25">
    <mergeCell ref="E52:E53"/>
    <mergeCell ref="F52:K52"/>
    <mergeCell ref="L52:Q52"/>
    <mergeCell ref="E42:Q42"/>
    <mergeCell ref="E43:E44"/>
    <mergeCell ref="F43:K43"/>
    <mergeCell ref="L43:Q43"/>
    <mergeCell ref="E51:Q51"/>
    <mergeCell ref="E1:Q3"/>
    <mergeCell ref="E6:Q6"/>
    <mergeCell ref="E7:E8"/>
    <mergeCell ref="F7:K7"/>
    <mergeCell ref="L7:Q7"/>
    <mergeCell ref="E15:Q15"/>
    <mergeCell ref="E16:E17"/>
    <mergeCell ref="F16:K16"/>
    <mergeCell ref="L16:Q16"/>
    <mergeCell ref="E24:Q24"/>
    <mergeCell ref="E25:E26"/>
    <mergeCell ref="F25:K25"/>
    <mergeCell ref="L25:Q25"/>
    <mergeCell ref="E33:Q33"/>
    <mergeCell ref="E34:E35"/>
    <mergeCell ref="F34:K34"/>
    <mergeCell ref="L34:Q3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1E32D-18C7-4FE5-9330-EF0432B1B8B9}">
  <dimension ref="E1:S21"/>
  <sheetViews>
    <sheetView workbookViewId="0"/>
  </sheetViews>
  <sheetFormatPr defaultRowHeight="15" x14ac:dyDescent="0.25"/>
  <cols>
    <col min="1" max="4" width="10.7109375" customWidth="1"/>
    <col min="5" max="5" width="13.7109375" bestFit="1" customWidth="1"/>
  </cols>
  <sheetData>
    <row r="1" spans="5:19" x14ac:dyDescent="0.25">
      <c r="E1" s="16" t="s">
        <v>8137</v>
      </c>
      <c r="F1" s="17"/>
      <c r="G1" s="17"/>
      <c r="H1" s="17"/>
      <c r="I1" s="17"/>
      <c r="J1" s="17"/>
      <c r="K1" s="17"/>
      <c r="L1" s="17"/>
      <c r="M1" s="17"/>
      <c r="N1" s="17"/>
      <c r="O1" s="17"/>
      <c r="P1" s="17"/>
      <c r="Q1" s="17"/>
      <c r="R1" t="s">
        <v>8141</v>
      </c>
      <c r="S1">
        <v>2</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5893</v>
      </c>
      <c r="F6" s="12"/>
      <c r="G6" s="12"/>
      <c r="H6" s="12"/>
      <c r="I6" s="12"/>
      <c r="J6" s="12"/>
      <c r="K6" s="12"/>
      <c r="L6" s="12"/>
      <c r="M6" s="12"/>
      <c r="N6" s="12"/>
      <c r="O6" s="12"/>
      <c r="P6" s="12"/>
      <c r="Q6" s="12"/>
    </row>
    <row r="7" spans="5:19" x14ac:dyDescent="0.25">
      <c r="E7" s="13"/>
      <c r="F7" s="15" t="s">
        <v>8130</v>
      </c>
      <c r="G7" s="15"/>
      <c r="H7" s="15"/>
      <c r="I7" s="15"/>
      <c r="J7" s="15"/>
      <c r="K7" s="15"/>
      <c r="L7" s="15" t="s">
        <v>8131</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PREVIOUS'!$S$2:$S$15000,"M/s. Mishra and Co.",'WH+RT PREVIOUS'!$N$2:$N$15000,"&gt;179",'WH+RT PREVIOUS'!$N$2:$N$15000,"&lt;366")</f>
        <v>11.79</v>
      </c>
      <c r="G9" s="1">
        <f>SUMIFS('WH+RT PREVIOUS'!$M$2:$M$15000,'WH+RT PREVIOUS'!$B$2:$B$15000,"15-15-15",'WH+RT PREVIOUS'!$S$2:$S$15000,"M/s. Mishra and Co.",'WH+RT PREVIOUS'!$N$2:$N$15000,"&gt;179",'WH+RT PREVIOUS'!$N$2:$N$15000,"&lt;366")</f>
        <v>1.5</v>
      </c>
      <c r="H9" s="1">
        <f>SUMIFS('WH+RT PREVIOUS'!$M$2:$M$15000,'WH+RT PREVIOUS'!$B$2:$B$15000,"Imp 10-26-26",'WH+RT PREVIOUS'!$S$2:$S$15000,"M/s. Mishra and Co.",'WH+RT PREVIOUS'!$N$2:$N$15000,"&gt;179",'WH+RT PREVIOUS'!$N$2:$N$15000,"&lt;366")</f>
        <v>0</v>
      </c>
      <c r="I9" s="1">
        <f>SUMIFS('WH+RT PREVIOUS'!$M$2:$M$15000,'WH+RT PREVIOUS'!$B$2:$B$15000,"MOP",'WH+RT PREVIOUS'!$S$2:$S$15000,"M/s. Mishra and Co.",'WH+RT PREVIOUS'!$N$2:$N$15000,"&gt;179",'WH+RT PREVIOUS'!$N$2:$N$15000,"&lt;366")</f>
        <v>0</v>
      </c>
      <c r="J9" s="1">
        <f>SUMIFS('WH+RT PREVIOUS'!$M$2:$M$15000,'WH+RT PREVIOUS'!$B$2:$B$15000,"Imp DAP",'WH+RT PREVIOUS'!$S$2:$S$15000,"M/s. Mishra and Co.",'WH+RT PREVIOUS'!$N$2:$N$15000,"&gt;179",'WH+RT PREVIOUS'!$N$2:$N$15000,"&lt;366")</f>
        <v>0</v>
      </c>
      <c r="K9" s="1">
        <f>F9+G9+H9+I9+J9</f>
        <v>13.29</v>
      </c>
      <c r="L9" s="1">
        <f>SUMIFS('WH+RT CURRENT'!$M$2:$M$15000,'WH+RT CURRENT'!$B$2:$B$15000,"N.C.Urea(45kg)",'WH+RT CURRENT'!$S$2:$S$15000,"M/s. Mishra and Co.",'WH+RT CURRENT'!$N$2:$N$15000,"&gt;179",'WH+RT CURRENT'!$N$2:$N$15000,"&lt;366")</f>
        <v>11.25</v>
      </c>
      <c r="M9" s="1">
        <f>SUMIFS('WH+RT CURRENT'!$M$2:$M$15000,'WH+RT CURRENT'!$B$2:$B$15000,"15-15-15",'WH+RT CURRENT'!$S$2:$S$15000,"M/s. Mishra and Co.",'WH+RT CURRENT'!$N$2:$N$15000,"&gt;179",'WH+RT CURRENT'!$N$2:$N$15000,"&lt;366")</f>
        <v>1.5</v>
      </c>
      <c r="N9" s="1">
        <f>SUMIFS('WH+RT CURRENT'!$M$2:$M$15000,'WH+RT CURRENT'!$B$2:$B$15000,"Imp 10-26-26",'WH+RT CURRENT'!$S$2:$S$15000,"M/s. Mishra and Co.",'WH+RT CURRENT'!$N$2:$N$15000,"&gt;179",'WH+RT CURRENT'!$N$2:$N$15000,"&lt;366")</f>
        <v>0</v>
      </c>
      <c r="O9" s="1">
        <f>SUMIFS('WH+RT CURRENT'!$M$2:$M$15000,'WH+RT CURRENT'!$B$2:$B$15000,"MOP",'WH+RT CURRENT'!$S$2:$S$15000,"M/s. Mishra and Co.",'WH+RT CURRENT'!$N$2:$N$15000,"&gt;179",'WH+RT CURRENT'!$N$2:$N$15000,"&lt;366")</f>
        <v>0</v>
      </c>
      <c r="P9" s="1">
        <f>SUMIFS('WH+RT CURRENT'!$M$2:$M$15000,'WH+RT CURRENT'!$B$2:$B$15000,"Imp DAP",'WH+RT CURRENT'!$S$2:$S$15000,"M/s. Mishra and Co.",'WH+RT CURRENT'!$N$2:$N$15000,"&gt;179",'WH+RT CURRENT'!$N$2:$N$15000,"&lt;366")</f>
        <v>0</v>
      </c>
      <c r="Q9" s="1">
        <f>L9+M9+N9+O9+P9</f>
        <v>12.75</v>
      </c>
    </row>
    <row r="10" spans="5:19" x14ac:dyDescent="0.25">
      <c r="E10" s="2" t="s">
        <v>6</v>
      </c>
      <c r="F10" s="1">
        <f>SUMIFS('WH+RT PREVIOUS'!$M$2:$M$15000,'WH+RT PREVIOUS'!$B$2:$B$15000,"N.C.Urea(45kg)",'WH+RT PREVIOUS'!$S$2:$S$15000,"M/s. Mishra and Co.",'WH+RT PREVIOUS'!$N$2:$N$15000,"&gt;365")</f>
        <v>0.495</v>
      </c>
      <c r="G10" s="1">
        <f>SUMIFS('WH+RT PREVIOUS'!$M$2:$M$15000,'WH+RT PREVIOUS'!$B$2:$B$15000,"15-15-15",'WH+RT PREVIOUS'!$S$2:$S$15000,"M/s. Mishra and Co.",'WH+RT PREVIOUS'!$N$2:$N$15000,"&gt;365")</f>
        <v>0</v>
      </c>
      <c r="H10" s="1">
        <f>SUMIFS('WH+RT PREVIOUS'!$M$2:$M$15000,'WH+RT PREVIOUS'!$B$2:$B$15000,"Imp 10-26-26",'WH+RT PREVIOUS'!$S$2:$S$15000,"M/s. Mishra and Co.",'WH+RT PREVIOUS'!$N$2:$N$15000,"&gt;365")</f>
        <v>0</v>
      </c>
      <c r="I10" s="1">
        <f>SUMIFS('WH+RT PREVIOUS'!$M$2:$M$15000,'WH+RT PREVIOUS'!$B$2:$B$15000,"MOP",'WH+RT PREVIOUS'!$S$2:$S$15000,"M/s. Mishra and Co.",'WH+RT PREVIOUS'!$N$2:$N$15000,"&gt;365")</f>
        <v>0</v>
      </c>
      <c r="J10" s="1">
        <f>SUMIFS('WH+RT PREVIOUS'!$M$2:$M$15000,'WH+RT PREVIOUS'!$B$2:$B$15000,"Imp DAP",'WH+RT PREVIOUS'!$S$2:$S$15000,"M/s. Mishra and Co.",'WH+RT PREVIOUS'!$N$2:$N$15000,"&gt;365")</f>
        <v>0</v>
      </c>
      <c r="K10" s="1">
        <f>F10+G10+H10+I10+J10</f>
        <v>0.495</v>
      </c>
      <c r="L10" s="1">
        <f>SUMIFS('WH+RT CURRENT'!$M$2:$M$15000,'WH+RT CURRENT'!$B$2:$B$15000,"N.C.Urea(45kg)",'WH+RT CURRENT'!$S$2:$S$15000,"M/s. Mishra and Co.",'WH+RT CURRENT'!$N$2:$N$15000,"&gt;365")</f>
        <v>0.495</v>
      </c>
      <c r="M10" s="1">
        <f>SUMIFS('WH+RT CURRENT'!$M$2:$M$15000,'WH+RT CURRENT'!$B$2:$B$15000,"15-15-15",'WH+RT CURRENT'!$S$2:$S$15000,"M/s. Mishra and Co.",'WH+RT CURRENT'!$N$2:$N$15000,"&gt;365")</f>
        <v>0</v>
      </c>
      <c r="N10" s="1">
        <f>SUMIFS('WH+RT CURRENT'!$M$2:$M$15000,'WH+RT CURRENT'!$B$2:$B$15000,"Imp 10-26-26",'WH+RT CURRENT'!$S$2:$S$15000,"M/s. Mishra and Co.",'WH+RT CURRENT'!$N$2:$N$15000,"&gt;365")</f>
        <v>0</v>
      </c>
      <c r="O10" s="1">
        <f>SUMIFS('WH+RT CURRENT'!$M$2:$M$15000,'WH+RT CURRENT'!$B$2:$B$15000,"MOP",'WH+RT CURRENT'!$S$2:$S$15000,"M/s. Mishra and Co.",'WH+RT CURRENT'!$N$2:$N$15000,"&gt;365")</f>
        <v>0</v>
      </c>
      <c r="P10" s="1">
        <f>SUMIFS('WH+RT CURRENT'!$M$2:$M$15000,'WH+RT CURRENT'!$B$2:$B$15000,"Imp DAP",'WH+RT CURRENT'!$S$2:$S$15000,"M/s. Mishra and Co.",'WH+RT CURRENT'!$N$2:$N$15000,"&gt;365")</f>
        <v>0</v>
      </c>
      <c r="Q10" s="1">
        <f>L10+M10+N10+O10+P10</f>
        <v>0.495</v>
      </c>
    </row>
    <row r="11" spans="5:19" x14ac:dyDescent="0.25">
      <c r="E11" s="2" t="s">
        <v>7</v>
      </c>
      <c r="F11" s="1">
        <f>F9+F10</f>
        <v>12.284999999999998</v>
      </c>
      <c r="G11" s="1">
        <f>G9+G10</f>
        <v>1.5</v>
      </c>
      <c r="H11" s="1">
        <f>H9+H10</f>
        <v>0</v>
      </c>
      <c r="I11" s="1">
        <f>I9+I10</f>
        <v>0</v>
      </c>
      <c r="J11" s="1">
        <f>J9+J10</f>
        <v>0</v>
      </c>
      <c r="K11" s="1">
        <f>F11+G11+H11+I11+J11</f>
        <v>13.784999999999998</v>
      </c>
      <c r="L11" s="1">
        <f>L9+L10</f>
        <v>11.744999999999999</v>
      </c>
      <c r="M11" s="1">
        <f>M9+M10</f>
        <v>1.5</v>
      </c>
      <c r="N11" s="1">
        <f>N9+N10</f>
        <v>0</v>
      </c>
      <c r="O11" s="1">
        <f>O9+O10</f>
        <v>0</v>
      </c>
      <c r="P11" s="1">
        <f>P9+P10</f>
        <v>0</v>
      </c>
      <c r="Q11" s="1">
        <f>L11+M11+N11+O11+P11</f>
        <v>13.244999999999999</v>
      </c>
    </row>
    <row r="12" spans="5:19" x14ac:dyDescent="0.25">
      <c r="E12" s="2" t="s">
        <v>9</v>
      </c>
      <c r="F12" s="1">
        <f>SUMIFS('WH+RT PREVIOUS'!$M$2:$M$15000,'WH+RT PREVIOUS'!$B$2:$B$15000,"N.C.Urea(45kg)",'WH+RT PREVIOUS'!$S$2:$S$15000,"M/s. Mishra and Co.")</f>
        <v>47.375000000000007</v>
      </c>
      <c r="G12" s="1">
        <f>SUMIFS('WH+RT PREVIOUS'!$M$2:$M$15000,'WH+RT PREVIOUS'!$B$2:$B$15000,"15-15-15",'WH+RT PREVIOUS'!$S$2:$S$15000,"M/s. Mishra and Co.")</f>
        <v>23.85</v>
      </c>
      <c r="H12" s="1">
        <f>SUMIFS('WH+RT PREVIOUS'!$M$2:$M$15000,'WH+RT PREVIOUS'!$B$2:$B$15000,"Imp 10-26-26",'WH+RT PREVIOUS'!$S$2:$S$15000,"M/s. Mishra and Co.")</f>
        <v>12.25</v>
      </c>
      <c r="I12" s="1">
        <f>SUMIFS('WH+RT PREVIOUS'!$M$2:$M$15000,'WH+RT PREVIOUS'!$B$2:$B$15000,"MOP",'WH+RT PREVIOUS'!$S$2:$S$15000,"M/s. Mishra and Co.")</f>
        <v>0</v>
      </c>
      <c r="J12" s="1">
        <f>SUMIFS('WH+RT PREVIOUS'!$M$2:$M$15000,'WH+RT PREVIOUS'!$B$2:$B$15000,"Imp DAP",'WH+RT PREVIOUS'!$S$2:$S$15000,"M/s. Mishra and Co.")</f>
        <v>0</v>
      </c>
      <c r="K12" s="1">
        <f>F12+G12+H12+I12+J12</f>
        <v>83.475000000000009</v>
      </c>
      <c r="L12" s="1">
        <f>SUMIFS('WH+RT CURRENT'!$M$2:$M$15000,'WH+RT CURRENT'!$B$2:$B$15000,"N.C.Urea(45kg)",'WH+RT CURRENT'!$S$2:$S$15000,"M/s. Mishra and Co.")</f>
        <v>46.43</v>
      </c>
      <c r="M12" s="1">
        <f>SUMIFS('WH+RT CURRENT'!$M$2:$M$15000,'WH+RT CURRENT'!$B$2:$B$15000,"15-15-15",'WH+RT CURRENT'!$S$2:$S$15000,"M/s. Mishra and Co.")</f>
        <v>23.85</v>
      </c>
      <c r="N12" s="1">
        <f>SUMIFS('WH+RT CURRENT'!$M$2:$M$15000,'WH+RT CURRENT'!$B$2:$B$15000,"Imp 10-26-26",'WH+RT CURRENT'!$S$2:$S$15000,"M/s. Mishra and Co.")</f>
        <v>12.25</v>
      </c>
      <c r="O12" s="1">
        <f>SUMIFS('WH+RT CURRENT'!$M$2:$M$15000,'WH+RT CURRENT'!$B$2:$B$15000,"MOP",'WH+RT CURRENT'!$S$2:$S$15000,"M/s. Mishra and Co.")</f>
        <v>0</v>
      </c>
      <c r="P12" s="1">
        <f>SUMIFS('WH+RT CURRENT'!$M$2:$M$15000,'WH+RT CURRENT'!$B$2:$B$15000,"Imp DAP",'WH+RT CURRENT'!$S$2:$S$15000,"M/s. Mishra and Co.")</f>
        <v>0</v>
      </c>
      <c r="Q12" s="1">
        <f>L12+M12+N12+O12+P12</f>
        <v>82.53</v>
      </c>
    </row>
    <row r="15" spans="5:19" x14ac:dyDescent="0.25">
      <c r="E15" s="12" t="s">
        <v>767</v>
      </c>
      <c r="F15" s="12"/>
      <c r="G15" s="12"/>
      <c r="H15" s="12"/>
      <c r="I15" s="12"/>
      <c r="J15" s="12"/>
      <c r="K15" s="12"/>
      <c r="L15" s="12"/>
      <c r="M15" s="12"/>
      <c r="N15" s="12"/>
      <c r="O15" s="12"/>
      <c r="P15" s="12"/>
      <c r="Q15" s="12"/>
    </row>
    <row r="16" spans="5:19" x14ac:dyDescent="0.25">
      <c r="E16" s="13"/>
      <c r="F16" s="15" t="s">
        <v>8130</v>
      </c>
      <c r="G16" s="15"/>
      <c r="H16" s="15"/>
      <c r="I16" s="15"/>
      <c r="J16" s="15"/>
      <c r="K16" s="15"/>
      <c r="L16" s="15" t="s">
        <v>8131</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PREVIOUS'!$S$2:$S$15000,"Sabuj Mita",'WH+RT PREVIOUS'!$N$2:$N$15000,"&gt;179",'WH+RT PREVIOUS'!$N$2:$N$15000,"&lt;366")</f>
        <v>0</v>
      </c>
      <c r="G18" s="1">
        <f>SUMIFS('WH+RT PREVIOUS'!$M$2:$M$15000,'WH+RT PREVIOUS'!$B$2:$B$15000,"15-15-15",'WH+RT PREVIOUS'!$S$2:$S$15000,"Sabuj Mita",'WH+RT PREVIOUS'!$N$2:$N$15000,"&gt;179",'WH+RT PREVIOUS'!$N$2:$N$15000,"&lt;366")</f>
        <v>2.5</v>
      </c>
      <c r="H18" s="1">
        <f>SUMIFS('WH+RT PREVIOUS'!$M$2:$M$15000,'WH+RT PREVIOUS'!$B$2:$B$15000,"Imp 10-26-26",'WH+RT PREVIOUS'!$S$2:$S$15000,"Sabuj Mita",'WH+RT PREVIOUS'!$N$2:$N$15000,"&gt;179",'WH+RT PREVIOUS'!$N$2:$N$15000,"&lt;366")</f>
        <v>0</v>
      </c>
      <c r="I18" s="1">
        <f>SUMIFS('WH+RT PREVIOUS'!$M$2:$M$15000,'WH+RT PREVIOUS'!$B$2:$B$15000,"MOP",'WH+RT PREVIOUS'!$S$2:$S$15000,"Sabuj Mita",'WH+RT PREVIOUS'!$N$2:$N$15000,"&gt;179",'WH+RT PREVIOUS'!$N$2:$N$15000,"&lt;366")</f>
        <v>0</v>
      </c>
      <c r="J18" s="1">
        <f>SUMIFS('WH+RT PREVIOUS'!$M$2:$M$15000,'WH+RT PREVIOUS'!$B$2:$B$15000,"Imp DAP",'WH+RT PREVIOUS'!$S$2:$S$15000,"Sabuj Mita",'WH+RT PREVIOUS'!$N$2:$N$15000,"&gt;179",'WH+RT PREVIOUS'!$N$2:$N$15000,"&lt;366")</f>
        <v>0</v>
      </c>
      <c r="K18" s="1">
        <f>F18+G18+H18+I18+J18</f>
        <v>2.5</v>
      </c>
      <c r="L18" s="1">
        <f>SUMIFS('WH+RT CURRENT'!$M$2:$M$15000,'WH+RT CURRENT'!$B$2:$B$15000,"N.C.Urea(45kg)",'WH+RT CURRENT'!$S$2:$S$15000,"Sabuj Mita",'WH+RT CURRENT'!$N$2:$N$15000,"&gt;179",'WH+RT CURRENT'!$N$2:$N$15000,"&lt;366")</f>
        <v>0.13100000000000001</v>
      </c>
      <c r="M18" s="1">
        <f>SUMIFS('WH+RT CURRENT'!$M$2:$M$15000,'WH+RT CURRENT'!$B$2:$B$15000,"15-15-15",'WH+RT CURRENT'!$S$2:$S$15000,"Sabuj Mita",'WH+RT CURRENT'!$N$2:$N$15000,"&gt;179",'WH+RT CURRENT'!$N$2:$N$15000,"&lt;366")</f>
        <v>1.5</v>
      </c>
      <c r="N18" s="1">
        <f>SUMIFS('WH+RT CURRENT'!$M$2:$M$15000,'WH+RT CURRENT'!$B$2:$B$15000,"Imp 10-26-26",'WH+RT CURRENT'!$S$2:$S$15000,"Sabuj Mita",'WH+RT CURRENT'!$N$2:$N$15000,"&gt;179",'WH+RT CURRENT'!$N$2:$N$15000,"&lt;366")</f>
        <v>0</v>
      </c>
      <c r="O18" s="1">
        <f>SUMIFS('WH+RT CURRENT'!$M$2:$M$15000,'WH+RT CURRENT'!$B$2:$B$15000,"MOP",'WH+RT CURRENT'!$S$2:$S$15000,"Sabuj Mita",'WH+RT CURRENT'!$N$2:$N$15000,"&gt;179",'WH+RT CURRENT'!$N$2:$N$15000,"&lt;366")</f>
        <v>0</v>
      </c>
      <c r="P18" s="1">
        <f>SUMIFS('WH+RT CURRENT'!$M$2:$M$15000,'WH+RT CURRENT'!$B$2:$B$15000,"Imp DAP",'WH+RT CURRENT'!$S$2:$S$15000,"Sabuj Mita",'WH+RT CURRENT'!$N$2:$N$15000,"&gt;179",'WH+RT CURRENT'!$N$2:$N$15000,"&lt;366")</f>
        <v>0</v>
      </c>
      <c r="Q18" s="1">
        <f>L18+M18+N18+O18+P18</f>
        <v>1.631</v>
      </c>
    </row>
    <row r="19" spans="5:17" x14ac:dyDescent="0.25">
      <c r="E19" s="2" t="s">
        <v>6</v>
      </c>
      <c r="F19" s="1">
        <f>SUMIFS('WH+RT PREVIOUS'!$M$2:$M$15000,'WH+RT PREVIOUS'!$B$2:$B$15000,"N.C.Urea(45kg)",'WH+RT PREVIOUS'!$S$2:$S$15000,"Sabuj Mita",'WH+RT PREVIOUS'!$N$2:$N$15000,"&gt;365")</f>
        <v>20.114999999999998</v>
      </c>
      <c r="G19" s="1">
        <f>SUMIFS('WH+RT PREVIOUS'!$M$2:$M$15000,'WH+RT PREVIOUS'!$B$2:$B$15000,"15-15-15",'WH+RT PREVIOUS'!$S$2:$S$15000,"Sabuj Mita",'WH+RT PREVIOUS'!$N$2:$N$15000,"&gt;365")</f>
        <v>0.05</v>
      </c>
      <c r="H19" s="1">
        <f>SUMIFS('WH+RT PREVIOUS'!$M$2:$M$15000,'WH+RT PREVIOUS'!$B$2:$B$15000,"Imp 10-26-26",'WH+RT PREVIOUS'!$S$2:$S$15000,"Sabuj Mita",'WH+RT PREVIOUS'!$N$2:$N$15000,"&gt;365")</f>
        <v>0</v>
      </c>
      <c r="I19" s="1">
        <f>SUMIFS('WH+RT PREVIOUS'!$M$2:$M$15000,'WH+RT PREVIOUS'!$B$2:$B$15000,"MOP",'WH+RT PREVIOUS'!$S$2:$S$15000,"Sabuj Mita",'WH+RT PREVIOUS'!$N$2:$N$15000,"&gt;365")</f>
        <v>0.1</v>
      </c>
      <c r="J19" s="1">
        <f>SUMIFS('WH+RT PREVIOUS'!$M$2:$M$15000,'WH+RT PREVIOUS'!$B$2:$B$15000,"Imp DAP",'WH+RT PREVIOUS'!$S$2:$S$15000,"Sabuj Mita",'WH+RT PREVIOUS'!$N$2:$N$15000,"&gt;365")</f>
        <v>0</v>
      </c>
      <c r="K19" s="1">
        <f>F19+G19+H19+I19+J19</f>
        <v>20.265000000000001</v>
      </c>
      <c r="L19" s="1">
        <f>SUMIFS('WH+RT CURRENT'!$M$2:$M$15000,'WH+RT CURRENT'!$B$2:$B$15000,"N.C.Urea(45kg)",'WH+RT CURRENT'!$S$2:$S$15000,"Sabuj Mita",'WH+RT CURRENT'!$N$2:$N$15000,"&gt;365")</f>
        <v>20.115000000000002</v>
      </c>
      <c r="M19" s="1">
        <f>SUMIFS('WH+RT CURRENT'!$M$2:$M$15000,'WH+RT CURRENT'!$B$2:$B$15000,"15-15-15",'WH+RT CURRENT'!$S$2:$S$15000,"Sabuj Mita",'WH+RT CURRENT'!$N$2:$N$15000,"&gt;365")</f>
        <v>0.05</v>
      </c>
      <c r="N19" s="1">
        <f>SUMIFS('WH+RT CURRENT'!$M$2:$M$15000,'WH+RT CURRENT'!$B$2:$B$15000,"Imp 10-26-26",'WH+RT CURRENT'!$S$2:$S$15000,"Sabuj Mita",'WH+RT CURRENT'!$N$2:$N$15000,"&gt;365")</f>
        <v>0</v>
      </c>
      <c r="O19" s="1">
        <f>SUMIFS('WH+RT CURRENT'!$M$2:$M$15000,'WH+RT CURRENT'!$B$2:$B$15000,"MOP",'WH+RT CURRENT'!$S$2:$S$15000,"Sabuj Mita",'WH+RT CURRENT'!$N$2:$N$15000,"&gt;365")</f>
        <v>0.1</v>
      </c>
      <c r="P19" s="1">
        <f>SUMIFS('WH+RT CURRENT'!$M$2:$M$15000,'WH+RT CURRENT'!$B$2:$B$15000,"Imp DAP",'WH+RT CURRENT'!$S$2:$S$15000,"Sabuj Mita",'WH+RT CURRENT'!$N$2:$N$15000,"&gt;365")</f>
        <v>0</v>
      </c>
      <c r="Q19" s="1">
        <f>L19+M19+N19+O19+P19</f>
        <v>20.265000000000004</v>
      </c>
    </row>
    <row r="20" spans="5:17" x14ac:dyDescent="0.25">
      <c r="E20" s="2" t="s">
        <v>7</v>
      </c>
      <c r="F20" s="1">
        <f>F18+F19</f>
        <v>20.114999999999998</v>
      </c>
      <c r="G20" s="1">
        <f>G18+G19</f>
        <v>2.5499999999999998</v>
      </c>
      <c r="H20" s="1">
        <f>H18+H19</f>
        <v>0</v>
      </c>
      <c r="I20" s="1">
        <f>I18+I19</f>
        <v>0.1</v>
      </c>
      <c r="J20" s="1">
        <f>J18+J19</f>
        <v>0</v>
      </c>
      <c r="K20" s="1">
        <f>F20+G20+H20+I20+J20</f>
        <v>22.765000000000001</v>
      </c>
      <c r="L20" s="1">
        <f>L18+L19</f>
        <v>20.246000000000002</v>
      </c>
      <c r="M20" s="1">
        <f>M18+M19</f>
        <v>1.55</v>
      </c>
      <c r="N20" s="1">
        <f>N18+N19</f>
        <v>0</v>
      </c>
      <c r="O20" s="1">
        <f>O18+O19</f>
        <v>0.1</v>
      </c>
      <c r="P20" s="1">
        <f>P18+P19</f>
        <v>0</v>
      </c>
      <c r="Q20" s="1">
        <f>L20+M20+N20+O20+P20</f>
        <v>21.896000000000004</v>
      </c>
    </row>
    <row r="21" spans="5:17" x14ac:dyDescent="0.25">
      <c r="E21" s="2" t="s">
        <v>9</v>
      </c>
      <c r="F21" s="1">
        <f>SUMIFS('WH+RT PREVIOUS'!$M$2:$M$15000,'WH+RT PREVIOUS'!$B$2:$B$15000,"N.C.Urea(45kg)",'WH+RT PREVIOUS'!$S$2:$S$15000,"Sabuj Mita")</f>
        <v>65.501000000000005</v>
      </c>
      <c r="G21" s="1">
        <f>SUMIFS('WH+RT PREVIOUS'!$M$2:$M$15000,'WH+RT PREVIOUS'!$B$2:$B$15000,"15-15-15",'WH+RT PREVIOUS'!$S$2:$S$15000,"Sabuj Mita")</f>
        <v>7.8</v>
      </c>
      <c r="H21" s="1">
        <f>SUMIFS('WH+RT PREVIOUS'!$M$2:$M$15000,'WH+RT PREVIOUS'!$B$2:$B$15000,"Imp 10-26-26",'WH+RT PREVIOUS'!$S$2:$S$15000,"Sabuj Mita")</f>
        <v>0</v>
      </c>
      <c r="I21" s="1">
        <f>SUMIFS('WH+RT PREVIOUS'!$M$2:$M$15000,'WH+RT PREVIOUS'!$B$2:$B$15000,"MOP",'WH+RT PREVIOUS'!$S$2:$S$15000,"Sabuj Mita")</f>
        <v>0.1</v>
      </c>
      <c r="J21" s="1">
        <f>SUMIFS('WH+RT PREVIOUS'!$M$2:$M$15000,'WH+RT PREVIOUS'!$B$2:$B$15000,"Imp DAP",'WH+RT PREVIOUS'!$S$2:$S$15000,"Sabuj Mita")</f>
        <v>0</v>
      </c>
      <c r="K21" s="1">
        <f>F21+G21+H21+I21+J21</f>
        <v>73.400999999999996</v>
      </c>
      <c r="L21" s="1">
        <f>SUMIFS('WH+RT CURRENT'!$M$2:$M$15000,'WH+RT CURRENT'!$B$2:$B$15000,"N.C.Urea(45kg)",'WH+RT CURRENT'!$S$2:$S$15000,"Sabuj Mita")</f>
        <v>59.29099999999999</v>
      </c>
      <c r="M21" s="1">
        <f>SUMIFS('WH+RT CURRENT'!$M$2:$M$15000,'WH+RT CURRENT'!$B$2:$B$15000,"15-15-15",'WH+RT CURRENT'!$S$2:$S$15000,"Sabuj Mita")</f>
        <v>6.8</v>
      </c>
      <c r="N21" s="1">
        <f>SUMIFS('WH+RT CURRENT'!$M$2:$M$15000,'WH+RT CURRENT'!$B$2:$B$15000,"Imp 10-26-26",'WH+RT CURRENT'!$S$2:$S$15000,"Sabuj Mita")</f>
        <v>0</v>
      </c>
      <c r="O21" s="1">
        <f>SUMIFS('WH+RT CURRENT'!$M$2:$M$15000,'WH+RT CURRENT'!$B$2:$B$15000,"MOP",'WH+RT CURRENT'!$S$2:$S$15000,"Sabuj Mita")</f>
        <v>0.1</v>
      </c>
      <c r="P21" s="1">
        <f>SUMIFS('WH+RT CURRENT'!$M$2:$M$15000,'WH+RT CURRENT'!$B$2:$B$15000,"Imp DAP",'WH+RT CURRENT'!$S$2:$S$15000,"Sabuj Mita")</f>
        <v>0</v>
      </c>
      <c r="Q21" s="1">
        <f>L21+M21+N21+O21+P21</f>
        <v>66.190999999999988</v>
      </c>
    </row>
  </sheetData>
  <mergeCells count="9">
    <mergeCell ref="E15:Q15"/>
    <mergeCell ref="E16:E17"/>
    <mergeCell ref="F16:K16"/>
    <mergeCell ref="L16:Q16"/>
    <mergeCell ref="E1:Q3"/>
    <mergeCell ref="E6:Q6"/>
    <mergeCell ref="E7:E8"/>
    <mergeCell ref="F7:K7"/>
    <mergeCell ref="L7:Q7"/>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5330C-A6B5-4E1C-AFF4-F5FB942C4BB5}">
  <dimension ref="E1:S21"/>
  <sheetViews>
    <sheetView workbookViewId="0"/>
  </sheetViews>
  <sheetFormatPr defaultRowHeight="15" x14ac:dyDescent="0.25"/>
  <cols>
    <col min="1" max="4" width="10.7109375" customWidth="1"/>
    <col min="5" max="5" width="13.7109375" bestFit="1" customWidth="1"/>
  </cols>
  <sheetData>
    <row r="1" spans="5:19" x14ac:dyDescent="0.25">
      <c r="E1" s="16" t="s">
        <v>8138</v>
      </c>
      <c r="F1" s="17"/>
      <c r="G1" s="17"/>
      <c r="H1" s="17"/>
      <c r="I1" s="17"/>
      <c r="J1" s="17"/>
      <c r="K1" s="17"/>
      <c r="L1" s="17"/>
      <c r="M1" s="17"/>
      <c r="N1" s="17"/>
      <c r="O1" s="17"/>
      <c r="P1" s="17"/>
      <c r="Q1" s="17"/>
      <c r="R1" t="s">
        <v>8141</v>
      </c>
      <c r="S1">
        <v>2</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5985</v>
      </c>
      <c r="F6" s="12"/>
      <c r="G6" s="12"/>
      <c r="H6" s="12"/>
      <c r="I6" s="12"/>
      <c r="J6" s="12"/>
      <c r="K6" s="12"/>
      <c r="L6" s="12"/>
      <c r="M6" s="12"/>
      <c r="N6" s="12"/>
      <c r="O6" s="12"/>
      <c r="P6" s="12"/>
      <c r="Q6" s="12"/>
    </row>
    <row r="7" spans="5:19" x14ac:dyDescent="0.25">
      <c r="E7" s="13"/>
      <c r="F7" s="15" t="s">
        <v>8130</v>
      </c>
      <c r="G7" s="15"/>
      <c r="H7" s="15"/>
      <c r="I7" s="15"/>
      <c r="J7" s="15"/>
      <c r="K7" s="15"/>
      <c r="L7" s="15" t="s">
        <v>8131</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PREVIOUS'!$S$2:$S$15000,"M/s. Lalmohan De",'WH+RT PREVIOUS'!$N$2:$N$15000,"&gt;179",'WH+RT PREVIOUS'!$N$2:$N$15000,"&lt;366")</f>
        <v>0.72</v>
      </c>
      <c r="G9" s="1">
        <f>SUMIFS('WH+RT PREVIOUS'!$M$2:$M$15000,'WH+RT PREVIOUS'!$B$2:$B$15000,"15-15-15",'WH+RT PREVIOUS'!$S$2:$S$15000,"M/s. Lalmohan De",'WH+RT PREVIOUS'!$N$2:$N$15000,"&gt;179",'WH+RT PREVIOUS'!$N$2:$N$15000,"&lt;366")</f>
        <v>0</v>
      </c>
      <c r="H9" s="1">
        <f>SUMIFS('WH+RT PREVIOUS'!$M$2:$M$15000,'WH+RT PREVIOUS'!$B$2:$B$15000,"Imp 10-26-26",'WH+RT PREVIOUS'!$S$2:$S$15000,"M/s. Lalmohan De",'WH+RT PREVIOUS'!$N$2:$N$15000,"&gt;179",'WH+RT PREVIOUS'!$N$2:$N$15000,"&lt;366")</f>
        <v>0</v>
      </c>
      <c r="I9" s="1">
        <f>SUMIFS('WH+RT PREVIOUS'!$M$2:$M$15000,'WH+RT PREVIOUS'!$B$2:$B$15000,"MOP",'WH+RT PREVIOUS'!$S$2:$S$15000,"M/s. Lalmohan De",'WH+RT PREVIOUS'!$N$2:$N$15000,"&gt;179",'WH+RT PREVIOUS'!$N$2:$N$15000,"&lt;366")</f>
        <v>0</v>
      </c>
      <c r="J9" s="1">
        <f>SUMIFS('WH+RT PREVIOUS'!$M$2:$M$15000,'WH+RT PREVIOUS'!$B$2:$B$15000,"Imp DAP",'WH+RT PREVIOUS'!$S$2:$S$15000,"M/s. Lalmohan De",'WH+RT PREVIOUS'!$N$2:$N$15000,"&gt;179",'WH+RT PREVIOUS'!$N$2:$N$15000,"&lt;366")</f>
        <v>0</v>
      </c>
      <c r="K9" s="1">
        <f>F9+G9+H9+I9+J9</f>
        <v>0.72</v>
      </c>
      <c r="L9" s="1">
        <f>SUMIFS('WH+RT CURRENT'!$M$2:$M$15000,'WH+RT CURRENT'!$B$2:$B$15000,"N.C.Urea(45kg)",'WH+RT CURRENT'!$S$2:$S$15000,"M/s. Lalmohan De",'WH+RT CURRENT'!$N$2:$N$15000,"&gt;179",'WH+RT CURRENT'!$N$2:$N$15000,"&lt;366")</f>
        <v>0.72</v>
      </c>
      <c r="M9" s="1">
        <f>SUMIFS('WH+RT CURRENT'!$M$2:$M$15000,'WH+RT CURRENT'!$B$2:$B$15000,"15-15-15",'WH+RT CURRENT'!$S$2:$S$15000,"M/s. Lalmohan De",'WH+RT CURRENT'!$N$2:$N$15000,"&gt;179",'WH+RT CURRENT'!$N$2:$N$15000,"&lt;366")</f>
        <v>0</v>
      </c>
      <c r="N9" s="1">
        <f>SUMIFS('WH+RT CURRENT'!$M$2:$M$15000,'WH+RT CURRENT'!$B$2:$B$15000,"Imp 10-26-26",'WH+RT CURRENT'!$S$2:$S$15000,"M/s. Lalmohan De",'WH+RT CURRENT'!$N$2:$N$15000,"&gt;179",'WH+RT CURRENT'!$N$2:$N$15000,"&lt;366")</f>
        <v>0</v>
      </c>
      <c r="O9" s="1">
        <f>SUMIFS('WH+RT CURRENT'!$M$2:$M$15000,'WH+RT CURRENT'!$B$2:$B$15000,"MOP",'WH+RT CURRENT'!$S$2:$S$15000,"M/s. Lalmohan De",'WH+RT CURRENT'!$N$2:$N$15000,"&gt;179",'WH+RT CURRENT'!$N$2:$N$15000,"&lt;366")</f>
        <v>0</v>
      </c>
      <c r="P9" s="1">
        <f>SUMIFS('WH+RT CURRENT'!$M$2:$M$15000,'WH+RT CURRENT'!$B$2:$B$15000,"Imp DAP",'WH+RT CURRENT'!$S$2:$S$15000,"M/s. Lalmohan De",'WH+RT CURRENT'!$N$2:$N$15000,"&gt;179",'WH+RT CURRENT'!$N$2:$N$15000,"&lt;366")</f>
        <v>0</v>
      </c>
      <c r="Q9" s="1">
        <f>L9+M9+N9+O9+P9</f>
        <v>0.72</v>
      </c>
    </row>
    <row r="10" spans="5:19" x14ac:dyDescent="0.25">
      <c r="E10" s="2" t="s">
        <v>6</v>
      </c>
      <c r="F10" s="1">
        <f>SUMIFS('WH+RT PREVIOUS'!$M$2:$M$15000,'WH+RT PREVIOUS'!$B$2:$B$15000,"N.C.Urea(45kg)",'WH+RT PREVIOUS'!$S$2:$S$15000,"M/s. Lalmohan De",'WH+RT PREVIOUS'!$N$2:$N$15000,"&gt;365")</f>
        <v>0</v>
      </c>
      <c r="G10" s="1">
        <f>SUMIFS('WH+RT PREVIOUS'!$M$2:$M$15000,'WH+RT PREVIOUS'!$B$2:$B$15000,"15-15-15",'WH+RT PREVIOUS'!$S$2:$S$15000,"M/s. Lalmohan De",'WH+RT PREVIOUS'!$N$2:$N$15000,"&gt;365")</f>
        <v>0</v>
      </c>
      <c r="H10" s="1">
        <f>SUMIFS('WH+RT PREVIOUS'!$M$2:$M$15000,'WH+RT PREVIOUS'!$B$2:$B$15000,"Imp 10-26-26",'WH+RT PREVIOUS'!$S$2:$S$15000,"M/s. Lalmohan De",'WH+RT PREVIOUS'!$N$2:$N$15000,"&gt;365")</f>
        <v>0</v>
      </c>
      <c r="I10" s="1">
        <f>SUMIFS('WH+RT PREVIOUS'!$M$2:$M$15000,'WH+RT PREVIOUS'!$B$2:$B$15000,"MOP",'WH+RT PREVIOUS'!$S$2:$S$15000,"M/s. Lalmohan De.",'WH+RT PREVIOUS'!$N$2:$N$15000,"&gt;365")</f>
        <v>0</v>
      </c>
      <c r="J10" s="1">
        <f>SUMIFS('WH+RT PREVIOUS'!$M$2:$M$15000,'WH+RT PREVIOUS'!$B$2:$B$15000,"Imp DAP",'WH+RT PREVIOUS'!$S$2:$S$15000,"M/s. Lalmohan De",'WH+RT PREVIOUS'!$N$2:$N$15000,"&gt;365")</f>
        <v>0</v>
      </c>
      <c r="K10" s="1">
        <f>F10+G10+H10+I10+J10</f>
        <v>0</v>
      </c>
      <c r="L10" s="1">
        <f>SUMIFS('WH+RT CURRENT'!$M$2:$M$15000,'WH+RT CURRENT'!$B$2:$B$15000,"N.C.Urea(45kg)",'WH+RT CURRENT'!$S$2:$S$15000,"M/s. Lalmohan De",'WH+RT CURRENT'!$N$2:$N$15000,"&gt;365")</f>
        <v>0</v>
      </c>
      <c r="M10" s="1">
        <f>SUMIFS('WH+RT CURRENT'!$M$2:$M$15000,'WH+RT CURRENT'!$B$2:$B$15000,"15-15-15",'WH+RT CURRENT'!$S$2:$S$15000,"M/s. Lalmohan De",'WH+RT CURRENT'!$N$2:$N$15000,"&gt;365")</f>
        <v>0</v>
      </c>
      <c r="N10" s="1">
        <f>SUMIFS('WH+RT CURRENT'!$M$2:$M$15000,'WH+RT CURRENT'!$B$2:$B$15000,"Imp 10-26-26",'WH+RT CURRENT'!$S$2:$S$15000,"M/s. Lalmohan De",'WH+RT CURRENT'!$N$2:$N$15000,"&gt;365")</f>
        <v>0</v>
      </c>
      <c r="O10" s="1">
        <f>SUMIFS('WH+RT CURRENT'!$M$2:$M$15000,'WH+RT CURRENT'!$B$2:$B$15000,"MOP",'WH+RT CURRENT'!$S$2:$S$15000,"M/s. Lalmohan De",'WH+RT CURRENT'!$N$2:$N$15000,"&gt;365")</f>
        <v>0</v>
      </c>
      <c r="P10" s="1">
        <f>SUMIFS('WH+RT CURRENT'!$M$2:$M$15000,'WH+RT CURRENT'!$B$2:$B$15000,"Imp DAP",'WH+RT CURRENT'!$S$2:$S$15000,"M/s. Lalmohan De",'WH+RT CURRENT'!$N$2:$N$15000,"&gt;365")</f>
        <v>0</v>
      </c>
      <c r="Q10" s="1">
        <f>L10+M10+N10+O10+P10</f>
        <v>0</v>
      </c>
    </row>
    <row r="11" spans="5:19" x14ac:dyDescent="0.25">
      <c r="E11" s="2" t="s">
        <v>7</v>
      </c>
      <c r="F11" s="1">
        <f>F9+F10</f>
        <v>0.72</v>
      </c>
      <c r="G11" s="1">
        <f>G9+G10</f>
        <v>0</v>
      </c>
      <c r="H11" s="1">
        <f>H9+H10</f>
        <v>0</v>
      </c>
      <c r="I11" s="1">
        <f>I9+I10</f>
        <v>0</v>
      </c>
      <c r="J11" s="1">
        <f>J9+J10</f>
        <v>0</v>
      </c>
      <c r="K11" s="1">
        <f>F11+G11+H11+I11+J11</f>
        <v>0.72</v>
      </c>
      <c r="L11" s="1">
        <f>L9+L10</f>
        <v>0.72</v>
      </c>
      <c r="M11" s="1">
        <f>M9+M10</f>
        <v>0</v>
      </c>
      <c r="N11" s="1">
        <f>N9+N10</f>
        <v>0</v>
      </c>
      <c r="O11" s="1">
        <f>O9+O10</f>
        <v>0</v>
      </c>
      <c r="P11" s="1">
        <f>P9+P10</f>
        <v>0</v>
      </c>
      <c r="Q11" s="1">
        <f>L11+M11+N11+O11+P11</f>
        <v>0.72</v>
      </c>
    </row>
    <row r="12" spans="5:19" x14ac:dyDescent="0.25">
      <c r="E12" s="2" t="s">
        <v>9</v>
      </c>
      <c r="F12" s="1">
        <f>SUMIFS('WH+RT PREVIOUS'!$M$2:$M$15000,'WH+RT PREVIOUS'!$B$2:$B$15000,"N.C.Urea(45kg)",'WH+RT PREVIOUS'!$S$2:$S$15000,"M/s. Lalmohan De")</f>
        <v>13.41</v>
      </c>
      <c r="G12" s="1">
        <f>SUMIFS('WH+RT PREVIOUS'!$M$2:$M$15000,'WH+RT PREVIOUS'!$B$2:$B$15000,"15-15-15",'WH+RT PREVIOUS'!$S$2:$S$15000,"M/s. Lalmohan De")</f>
        <v>0</v>
      </c>
      <c r="H12" s="1">
        <f>SUMIFS('WH+RT PREVIOUS'!$M$2:$M$15000,'WH+RT PREVIOUS'!$B$2:$B$15000,"Imp 10-26-26",'WH+RT PREVIOUS'!$S$2:$S$15000,"M/s. Lalmohan De")</f>
        <v>0</v>
      </c>
      <c r="I12" s="1">
        <f>SUMIFS('WH+RT PREVIOUS'!$M$2:$M$15000,'WH+RT PREVIOUS'!$B$2:$B$15000,"MOP",'WH+RT PREVIOUS'!$S$2:$S$15000,"M/s. Lalmohan De")</f>
        <v>0</v>
      </c>
      <c r="J12" s="1">
        <f>SUMIFS('WH+RT PREVIOUS'!$M$2:$M$15000,'WH+RT PREVIOUS'!$B$2:$B$15000,"Imp DAP",'WH+RT PREVIOUS'!$S$2:$S$15000,"M/s. Lalmohan De")</f>
        <v>0</v>
      </c>
      <c r="K12" s="1">
        <f>F12+G12+H12+I12+J12</f>
        <v>13.41</v>
      </c>
      <c r="L12" s="1">
        <f>SUMIFS('WH+RT CURRENT'!$M$2:$M$15000,'WH+RT CURRENT'!$B$2:$B$15000,"N.C.Urea(45kg)",'WH+RT CURRENT'!$S$2:$S$15000,"M/s. Lalmohan De")</f>
        <v>13.410000000000002</v>
      </c>
      <c r="M12" s="1">
        <f>SUMIFS('WH+RT CURRENT'!$M$2:$M$15000,'WH+RT CURRENT'!$B$2:$B$15000,"15-15-15",'WH+RT CURRENT'!$S$2:$S$15000,"M/s. Lalmohan De")</f>
        <v>0</v>
      </c>
      <c r="N12" s="1">
        <f>SUMIFS('WH+RT CURRENT'!$M$2:$M$15000,'WH+RT CURRENT'!$B$2:$B$15000,"Imp 10-26-26",'WH+RT CURRENT'!$S$2:$S$15000,"M/s. Lalmohan De.")</f>
        <v>0</v>
      </c>
      <c r="O12" s="1">
        <f>SUMIFS('WH+RT CURRENT'!$M$2:$M$15000,'WH+RT CURRENT'!$B$2:$B$15000,"MOP",'WH+RT CURRENT'!$S$2:$S$15000,"M/s. Lalmohan De")</f>
        <v>0</v>
      </c>
      <c r="P12" s="1">
        <f>SUMIFS('WH+RT CURRENT'!$M$2:$M$15000,'WH+RT CURRENT'!$B$2:$B$15000,"Imp DAP",'WH+RT CURRENT'!$S$2:$S$15000,"M/s. Lalmohan De")</f>
        <v>0</v>
      </c>
      <c r="Q12" s="1">
        <f>L12+M12+N12+O12+P12</f>
        <v>13.410000000000002</v>
      </c>
    </row>
    <row r="15" spans="5:19" x14ac:dyDescent="0.25">
      <c r="E15" s="12" t="s">
        <v>8142</v>
      </c>
      <c r="F15" s="12"/>
      <c r="G15" s="12"/>
      <c r="H15" s="12"/>
      <c r="I15" s="12"/>
      <c r="J15" s="12"/>
      <c r="K15" s="12"/>
      <c r="L15" s="12"/>
      <c r="M15" s="12"/>
      <c r="N15" s="12"/>
      <c r="O15" s="12"/>
      <c r="P15" s="12"/>
      <c r="Q15" s="12"/>
    </row>
    <row r="16" spans="5:19" x14ac:dyDescent="0.25">
      <c r="E16" s="13"/>
      <c r="F16" s="15" t="s">
        <v>8130</v>
      </c>
      <c r="G16" s="15"/>
      <c r="H16" s="15"/>
      <c r="I16" s="15"/>
      <c r="J16" s="15"/>
      <c r="K16" s="15"/>
      <c r="L16" s="15" t="s">
        <v>8131</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PREVIOUS'!$S$2:$S$15000,"Ramkayal Upadhyay             ",'WH+RT PREVIOUS'!$N$2:$N$15000,"&gt;179",'WH+RT PREVIOUS'!$N$2:$N$15000,"&lt;366")</f>
        <v>0</v>
      </c>
      <c r="G18" s="1">
        <f>SUMIFS('WH+RT PREVIOUS'!$M$2:$M$15000,'WH+RT PREVIOUS'!$B$2:$B$15000,"15-15-15",'WH+RT PREVIOUS'!$S$2:$S$15000,"Ramkayal Upadhyay             ",'WH+RT PREVIOUS'!$N$2:$N$15000,"&gt;179",'WH+RT PREVIOUS'!$N$2:$N$15000,"&lt;366")</f>
        <v>0</v>
      </c>
      <c r="H18" s="1">
        <f>SUMIFS('WH+RT PREVIOUS'!$M$2:$M$15000,'WH+RT PREVIOUS'!$B$2:$B$15000,"Imp 10-26-26",'WH+RT PREVIOUS'!$S$2:$S$15000,"Ramkayal Upadhyay             ",'WH+RT PREVIOUS'!$N$2:$N$15000,"&gt;179",'WH+RT PREVIOUS'!$N$2:$N$15000,"&lt;366")</f>
        <v>0</v>
      </c>
      <c r="I18" s="1">
        <f>SUMIFS('WH+RT PREVIOUS'!$M$2:$M$15000,'WH+RT PREVIOUS'!$B$2:$B$15000,"MOP",'WH+RT PREVIOUS'!$S$2:$S$15000,"Ramkayal Upadhyay             ",'WH+RT PREVIOUS'!$N$2:$N$15000,"&gt;179",'WH+RT PREVIOUS'!$N$2:$N$15000,"&lt;366")</f>
        <v>0</v>
      </c>
      <c r="J18" s="1">
        <f>SUMIFS('WH+RT PREVIOUS'!$M$2:$M$15000,'WH+RT PREVIOUS'!$B$2:$B$15000,"Imp DAP",'WH+RT PREVIOUS'!$S$2:$S$15000,"Ramkayal Upadhyay             ",'WH+RT PREVIOUS'!$N$2:$N$15000,"&gt;179",'WH+RT PREVIOUS'!$N$2:$N$15000,"&lt;366")</f>
        <v>0</v>
      </c>
      <c r="K18" s="1">
        <f>F18+G18+H18+I18+J18</f>
        <v>0</v>
      </c>
      <c r="L18" s="1">
        <f>SUMIFS('WH+RT CURRENT'!$M$2:$M$15000,'WH+RT CURRENT'!$B$2:$B$15000,"N.C.Urea(45kg)",'WH+RT CURRENT'!$S$2:$S$15000,"Ramkayal Upadhyay             ",'WH+RT CURRENT'!$N$2:$N$15000,"&gt;179",'WH+RT CURRENT'!$N$2:$N$15000,"&lt;366")</f>
        <v>0</v>
      </c>
      <c r="M18" s="1">
        <f>SUMIFS('WH+RT CURRENT'!$M$2:$M$15000,'WH+RT CURRENT'!$B$2:$B$15000,"15-15-15",'WH+RT CURRENT'!$S$2:$S$15000,"Ramkayal Upadhyay             ",'WH+RT CURRENT'!$N$2:$N$15000,"&gt;179",'WH+RT CURRENT'!$N$2:$N$15000,"&lt;366")</f>
        <v>0</v>
      </c>
      <c r="N18" s="1">
        <f>SUMIFS('WH+RT CURRENT'!$M$2:$M$15000,'WH+RT CURRENT'!$B$2:$B$15000,"Imp 10-26-26",'WH+RT CURRENT'!$S$2:$S$15000,"Ramkayal Upadhyay             ",'WH+RT CURRENT'!$N$2:$N$15000,"&gt;179",'WH+RT CURRENT'!$N$2:$N$15000,"&lt;366")</f>
        <v>0</v>
      </c>
      <c r="O18" s="1">
        <f>SUMIFS('WH+RT CURRENT'!$M$2:$M$15000,'WH+RT CURRENT'!$B$2:$B$15000,"MOP",'WH+RT CURRENT'!$S$2:$S$15000,"Ramkayal Upadhyay             ",'WH+RT CURRENT'!$N$2:$N$15000,"&gt;179",'WH+RT CURRENT'!$N$2:$N$15000,"&lt;366")</f>
        <v>0</v>
      </c>
      <c r="P18" s="1">
        <f>SUMIFS('WH+RT CURRENT'!$M$2:$M$15000,'WH+RT CURRENT'!$B$2:$B$15000,"Imp DAP",'WH+RT CURRENT'!$S$2:$S$15000,"Ramkayal Upadhyay             ",'WH+RT CURRENT'!$N$2:$N$15000,"&gt;179",'WH+RT CURRENT'!$N$2:$N$15000,"&lt;366")</f>
        <v>0</v>
      </c>
      <c r="Q18" s="1">
        <f>L18+M18+N18+O18+P18</f>
        <v>0</v>
      </c>
    </row>
    <row r="19" spans="5:17" x14ac:dyDescent="0.25">
      <c r="E19" s="2" t="s">
        <v>6</v>
      </c>
      <c r="F19" s="1">
        <f>SUMIFS('WH+RT PREVIOUS'!$M$2:$M$15000,'WH+RT PREVIOUS'!$B$2:$B$15000,"N.C.Urea(45kg)",'WH+RT PREVIOUS'!$S$2:$S$15000,"Ramkayal Upadhyay             ",'WH+RT PREVIOUS'!$N$2:$N$15000,"&gt;365")</f>
        <v>6.57</v>
      </c>
      <c r="G19" s="1">
        <f>SUMIFS('WH+RT PREVIOUS'!$M$2:$M$15000,'WH+RT PREVIOUS'!$B$2:$B$15000,"15-15-15",'WH+RT PREVIOUS'!$S$2:$S$15000,"Ramkayal Upadhyay             ",'WH+RT PREVIOUS'!$N$2:$N$15000,"&gt;365")</f>
        <v>1.1499999999999999</v>
      </c>
      <c r="H19" s="1">
        <f>SUMIFS('WH+RT PREVIOUS'!$M$2:$M$15000,'WH+RT PREVIOUS'!$B$2:$B$15000,"Imp 10-26-26",'WH+RT PREVIOUS'!$S$2:$S$15000,"Ramkayal Upadhyay             ",'WH+RT PREVIOUS'!$N$2:$N$15000,"&gt;365")</f>
        <v>0</v>
      </c>
      <c r="I19" s="1">
        <f>SUMIFS('WH+RT PREVIOUS'!$M$2:$M$15000,'WH+RT PREVIOUS'!$B$2:$B$15000,"MOP",'WH+RT PREVIOUS'!$S$2:$S$15000,"Ramkayal Upadhyay             ",'WH+RT PREVIOUS'!$N$2:$N$15000,"&gt;365")</f>
        <v>0</v>
      </c>
      <c r="J19" s="1">
        <f>SUMIFS('WH+RT PREVIOUS'!$M$2:$M$15000,'WH+RT PREVIOUS'!$B$2:$B$15000,"Imp DAP",'WH+RT PREVIOUS'!$S$2:$S$15000,"Ramkayal Upadhyay             ",'WH+RT PREVIOUS'!$N$2:$N$15000,"&gt;365")</f>
        <v>0</v>
      </c>
      <c r="K19" s="1">
        <f>F19+G19+H19+I19+J19</f>
        <v>7.7200000000000006</v>
      </c>
      <c r="L19" s="1">
        <f>SUMIFS('WH+RT CURRENT'!$M$2:$M$15000,'WH+RT CURRENT'!$B$2:$B$15000,"N.C.Urea(45kg)",'WH+RT CURRENT'!$S$2:$S$15000,"Ramkayal Upadhyay             ",'WH+RT CURRENT'!$N$2:$N$15000,"&gt;365")</f>
        <v>6.57</v>
      </c>
      <c r="M19" s="1">
        <f>SUMIFS('WH+RT CURRENT'!$M$2:$M$15000,'WH+RT CURRENT'!$B$2:$B$15000,"15-15-15",'WH+RT CURRENT'!$S$2:$S$15000,"Ramkayal Upadhyay             ",'WH+RT CURRENT'!$N$2:$N$15000,"&gt;365")</f>
        <v>1.1499999999999999</v>
      </c>
      <c r="N19" s="1">
        <f>SUMIFS('WH+RT CURRENT'!$M$2:$M$15000,'WH+RT CURRENT'!$B$2:$B$15000,"Imp 10-26-26",'WH+RT CURRENT'!$S$2:$S$15000,"Ramkayal Upadhyay             ",'WH+RT CURRENT'!$N$2:$N$15000,"&gt;365")</f>
        <v>0</v>
      </c>
      <c r="O19" s="1">
        <f>SUMIFS('WH+RT CURRENT'!$M$2:$M$15000,'WH+RT CURRENT'!$B$2:$B$15000,"MOP",'WH+RT CURRENT'!$S$2:$S$15000,"Ramkayal Upadhyay             ",'WH+RT CURRENT'!$N$2:$N$15000,"&gt;365")</f>
        <v>0</v>
      </c>
      <c r="P19" s="1">
        <f>SUMIFS('WH+RT CURRENT'!$M$2:$M$15000,'WH+RT CURRENT'!$B$2:$B$15000,"Imp DAP",'WH+RT CURRENT'!$S$2:$S$15000,"Ramkayal Upadhyay             ",'WH+RT CURRENT'!$N$2:$N$15000,"&gt;365")</f>
        <v>0</v>
      </c>
      <c r="Q19" s="1">
        <f>L19+M19+N19+O19+P19</f>
        <v>7.7200000000000006</v>
      </c>
    </row>
    <row r="20" spans="5:17" x14ac:dyDescent="0.25">
      <c r="E20" s="2" t="s">
        <v>7</v>
      </c>
      <c r="F20" s="1">
        <f>F18+F19</f>
        <v>6.57</v>
      </c>
      <c r="G20" s="1">
        <f>G18+G19</f>
        <v>1.1499999999999999</v>
      </c>
      <c r="H20" s="1">
        <f>H18+H19</f>
        <v>0</v>
      </c>
      <c r="I20" s="1">
        <f>I18+I19</f>
        <v>0</v>
      </c>
      <c r="J20" s="1">
        <f>J18+J19</f>
        <v>0</v>
      </c>
      <c r="K20" s="1">
        <f>F20+G20+H20+I20+J20</f>
        <v>7.7200000000000006</v>
      </c>
      <c r="L20" s="1">
        <f>L18+L19</f>
        <v>6.57</v>
      </c>
      <c r="M20" s="1">
        <f>M18+M19</f>
        <v>1.1499999999999999</v>
      </c>
      <c r="N20" s="1">
        <f>N18+N19</f>
        <v>0</v>
      </c>
      <c r="O20" s="1">
        <f>O18+O19</f>
        <v>0</v>
      </c>
      <c r="P20" s="1">
        <f>P18+P19</f>
        <v>0</v>
      </c>
      <c r="Q20" s="1">
        <f>L20+M20+N20+O20+P20</f>
        <v>7.7200000000000006</v>
      </c>
    </row>
    <row r="21" spans="5:17" x14ac:dyDescent="0.25">
      <c r="E21" s="2" t="s">
        <v>9</v>
      </c>
      <c r="F21" s="1">
        <f>SUMIFS('WH+RT PREVIOUS'!$M$2:$M$15000,'WH+RT PREVIOUS'!$B$2:$B$15000,"N.C.Urea(45kg)",'WH+RT PREVIOUS'!$S$2:$S$15000,"Ramkayal Upadhyay             ")</f>
        <v>6.57</v>
      </c>
      <c r="G21" s="1">
        <f>SUMIFS('WH+RT PREVIOUS'!$M$2:$M$15000,'WH+RT PREVIOUS'!$B$2:$B$15000,"15-15-15",'WH+RT PREVIOUS'!$S$2:$S$15000,"Ramkayal Upadhyay             ")</f>
        <v>1.1499999999999999</v>
      </c>
      <c r="H21" s="1">
        <f>SUMIFS('WH+RT PREVIOUS'!$M$2:$M$15000,'WH+RT PREVIOUS'!$B$2:$B$15000,"Imp 10-26-26",'WH+RT PREVIOUS'!$S$2:$S$15000,"Ramkayal Upadhyay             ")</f>
        <v>0</v>
      </c>
      <c r="I21" s="1">
        <f>SUMIFS('WH+RT PREVIOUS'!$M$2:$M$15000,'WH+RT PREVIOUS'!$B$2:$B$15000,"MOP",'WH+RT PREVIOUS'!$S$2:$S$15000,"Ramkayal Upadhyay             ")</f>
        <v>0</v>
      </c>
      <c r="J21" s="1">
        <f>SUMIFS('WH+RT PREVIOUS'!$M$2:$M$15000,'WH+RT PREVIOUS'!$B$2:$B$15000,"Imp DAP",'WH+RT PREVIOUS'!$S$2:$S$15000,"Ramkayal Upadhyay             ")</f>
        <v>0</v>
      </c>
      <c r="K21" s="1">
        <f>F21+G21+H21+I21+J21</f>
        <v>7.7200000000000006</v>
      </c>
      <c r="L21" s="1">
        <f>SUMIFS('WH+RT CURRENT'!$M$2:$M$15000,'WH+RT CURRENT'!$B$2:$B$15000,"N.C.Urea(45kg)",'WH+RT CURRENT'!$S$2:$S$15000,"Ramkayal Upadhyay             ")</f>
        <v>6.57</v>
      </c>
      <c r="M21" s="1">
        <f>SUMIFS('WH+RT CURRENT'!$M$2:$M$15000,'WH+RT CURRENT'!$B$2:$B$15000,"15-15-15",'WH+RT CURRENT'!$S$2:$S$15000,"Ramkayal Upadhyay             ")</f>
        <v>1.1499999999999999</v>
      </c>
      <c r="N21" s="1">
        <f>SUMIFS('WH+RT CURRENT'!$M$2:$M$15000,'WH+RT CURRENT'!$B$2:$B$15000,"Imp 10-26-26",'WH+RT CURRENT'!$S$2:$S$15000,"Ramkayal Upadhyay             ")</f>
        <v>0</v>
      </c>
      <c r="O21" s="1">
        <f>SUMIFS('WH+RT CURRENT'!$M$2:$M$15000,'WH+RT CURRENT'!$B$2:$B$15000,"MOP",'WH+RT CURRENT'!$S$2:$S$15000,"Ramkayal Upadhyay             ")</f>
        <v>0</v>
      </c>
      <c r="P21" s="1">
        <f>SUMIFS('WH+RT CURRENT'!$M$2:$M$15000,'WH+RT CURRENT'!$B$2:$B$15000,"Imp DAP",'WH+RT CURRENT'!$S$2:$S$15000,"Ramkayal Upadhyay             ")</f>
        <v>0</v>
      </c>
      <c r="Q21" s="1">
        <f>L21+M21+N21+O21+P21</f>
        <v>7.7200000000000006</v>
      </c>
    </row>
  </sheetData>
  <mergeCells count="9">
    <mergeCell ref="E15:Q15"/>
    <mergeCell ref="E16:E17"/>
    <mergeCell ref="F16:K16"/>
    <mergeCell ref="L16:Q16"/>
    <mergeCell ref="E1:Q3"/>
    <mergeCell ref="E6:Q6"/>
    <mergeCell ref="E7:E8"/>
    <mergeCell ref="F7:K7"/>
    <mergeCell ref="L7:Q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63BF8-C240-479B-A5DB-34E90308750F}">
  <dimension ref="E1:S147"/>
  <sheetViews>
    <sheetView topLeftCell="A7" workbookViewId="0">
      <selection activeCell="L11" sqref="L11"/>
    </sheetView>
  </sheetViews>
  <sheetFormatPr defaultRowHeight="15" x14ac:dyDescent="0.25"/>
  <cols>
    <col min="1" max="4" width="10.7109375" customWidth="1"/>
    <col min="5" max="5" width="13.7109375" bestFit="1" customWidth="1"/>
  </cols>
  <sheetData>
    <row r="1" spans="5:19" x14ac:dyDescent="0.25">
      <c r="E1" s="16" t="s">
        <v>771</v>
      </c>
      <c r="F1" s="17"/>
      <c r="G1" s="17"/>
      <c r="H1" s="17"/>
      <c r="I1" s="17"/>
      <c r="J1" s="17"/>
      <c r="K1" s="17"/>
      <c r="L1" s="17"/>
      <c r="M1" s="17"/>
      <c r="N1" s="17"/>
      <c r="O1" s="17"/>
      <c r="P1" s="17"/>
      <c r="Q1" s="17"/>
      <c r="R1" t="s">
        <v>8141</v>
      </c>
      <c r="S1">
        <v>15</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8150</v>
      </c>
      <c r="F6" s="12"/>
      <c r="G6" s="12"/>
      <c r="H6" s="12"/>
      <c r="I6" s="12"/>
      <c r="J6" s="12"/>
      <c r="K6" s="12"/>
      <c r="L6" s="12"/>
      <c r="M6" s="12"/>
      <c r="N6" s="12"/>
      <c r="O6" s="12"/>
      <c r="P6" s="12"/>
      <c r="Q6" s="12"/>
    </row>
    <row r="7" spans="5:19" x14ac:dyDescent="0.25">
      <c r="E7" s="13"/>
      <c r="F7" s="15" t="s">
        <v>8147</v>
      </c>
      <c r="G7" s="15"/>
      <c r="H7" s="15"/>
      <c r="I7" s="15"/>
      <c r="J7" s="15"/>
      <c r="K7" s="15"/>
      <c r="L7" s="15" t="s">
        <v>8148</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PREVIOUS'!$R$2:$R$15000,"223287",'WH+RT PREVIOUS'!$N$2:$N$15000,"&gt;179",'WH+RT PREVIOUS'!$N$2:$N$15000,"&lt;366")</f>
        <v>6.5250000000000004</v>
      </c>
      <c r="G9" s="1">
        <f>SUMIFS('WH+RT PREVIOUS'!$M$2:$M$15000,'WH+RT PREVIOUS'!$B$2:$B$15000,"15-15-15",'WH+RT PREVIOUS'!$R$2:$R$15000,"223287",'WH+RT PREVIOUS'!$N$2:$N$15000,"&gt;179",'WH+RT PREVIOUS'!$N$2:$N$15000,"&lt;366")</f>
        <v>4.5549999999999997</v>
      </c>
      <c r="H9" s="1">
        <f>SUMIFS('WH+RT PREVIOUS'!$M$2:$M$15000,'WH+RT PREVIOUS'!$B$2:$B$15000,"Imp 10-26-26",'WH+RT PREVIOUS'!$R$2:$R$15000,"223287",'WH+RT PREVIOUS'!$N$2:$N$15000,"&gt;179",'WH+RT PREVIOUS'!$N$2:$N$15000,"&lt;366")</f>
        <v>0</v>
      </c>
      <c r="I9" s="1">
        <f>SUMIFS('WH+RT PREVIOUS'!$M$2:$M$15000,'WH+RT PREVIOUS'!$B$2:$B$15000,"MOP",'WH+RT PREVIOUS'!$R$2:$R$15000,"223287",'WH+RT PREVIOUS'!$N$2:$N$15000,"&gt;179",'WH+RT PREVIOUS'!$N$2:$N$15000,"&lt;366")</f>
        <v>0</v>
      </c>
      <c r="J9" s="1">
        <f>SUMIFS('WH+RT PREVIOUS'!$M$2:$M$15000,'WH+RT PREVIOUS'!$B$2:$B$15000,"Imp DAP",'WH+RT PREVIOUS'!$R$2:$R$15000,"223287",'WH+RT PREVIOUS'!$N$2:$N$15000,"&gt;179",'WH+RT PREVIOUS'!$N$2:$N$15000,"&lt;366")</f>
        <v>0</v>
      </c>
      <c r="K9" s="1">
        <f>F9+G9+H9+I9+J9</f>
        <v>11.08</v>
      </c>
      <c r="L9" s="1">
        <f>SUMIFS('WH+RT CURRENT'!$M$2:$M$15000,'WH+RT CURRENT'!$B$2:$B$15000,"N.C.Urea(45kg)",'WH+RT CURRENT'!$R$2:$R$15000,"223287",'WH+RT CURRENT'!$N$2:$N$15000,"&gt;179",'WH+RT CURRENT'!$N$2:$N$15000,"&lt;366")</f>
        <v>6.5250000000000004</v>
      </c>
      <c r="M9" s="1">
        <f>SUMIFS('WH+RT CURRENT'!$M$2:$M$15000,'WH+RT CURRENT'!$B$2:$B$15000,"15-15-15",'WH+RT CURRENT'!$R$2:$R$15000,"223287",'WH+RT CURRENT'!$N$2:$N$15000,"&gt;179",'WH+RT CURRENT'!$N$2:$N$15000,"&lt;366")</f>
        <v>4.5549999999999997</v>
      </c>
      <c r="N9" s="1">
        <f>SUMIFS('WH+RT CURRENT'!$M$2:$M$15000,'WH+RT CURRENT'!$B$2:$B$15000,"Imp 10-26-26",'WH+RT CURRENT'!$R$2:$R$15000,"223287",'WH+RT CURRENT'!$N$2:$N$15000,"&gt;179",'WH+RT CURRENT'!$N$2:$N$15000,"&lt;366")</f>
        <v>0</v>
      </c>
      <c r="O9" s="1">
        <f>SUMIFS('WH+RT CURRENT'!$M$2:$M$15000,'WH+RT CURRENT'!$B$2:$B$15000,"MOP",'WH+RT CURRENT'!$R$2:$R$15000,"223287",'WH+RT CURRENT'!$N$2:$N$15000,"&gt;179",'WH+RT CURRENT'!$N$2:$N$15000,"&lt;366")</f>
        <v>0</v>
      </c>
      <c r="P9" s="1">
        <f>SUMIFS('WH+RT CURRENT'!$M$2:$M$15000,'WH+RT CURRENT'!$B$2:$B$15000,"Imp DAP",'WH+RT CURRENT'!$R$2:$R$15000,"223287",'WH+RT CURRENT'!$N$2:$N$15000,"&gt;179",'WH+RT CURRENT'!$N$2:$N$15000,"&lt;366")</f>
        <v>0</v>
      </c>
      <c r="Q9" s="1">
        <f>L9+M9+N9+O9+P9</f>
        <v>11.08</v>
      </c>
    </row>
    <row r="10" spans="5:19" x14ac:dyDescent="0.25">
      <c r="E10" s="2" t="s">
        <v>6</v>
      </c>
      <c r="F10" s="1">
        <f>SUMIFS('WH+RT PREVIOUS'!$M$2:$M$15000,'WH+RT PREVIOUS'!$B$2:$B$15000,"N.C.Urea(45kg)",'WH+RT PREVIOUS'!$R$2:$R$15000,"223287",'WH+RT PREVIOUS'!$N$2:$N$15000,"&gt;365")</f>
        <v>0.04</v>
      </c>
      <c r="G10" s="1">
        <f>SUMIFS('WH+RT PREVIOUS'!$M$2:$M$15000,'WH+RT PREVIOUS'!$B$2:$B$15000,"15-15-15",'WH+RT PREVIOUS'!$R$2:$R$15000,"223287",'WH+RT PREVIOUS'!$N$2:$N$15000,"&gt;365")</f>
        <v>0.1</v>
      </c>
      <c r="H10" s="1">
        <f>SUMIFS('WH+RT PREVIOUS'!$M$2:$M$15000,'WH+RT PREVIOUS'!$B$2:$B$15000,"Imp 10-26-26",'WH+RT PREVIOUS'!$R$2:$R$15000,"223287",'WH+RT PREVIOUS'!$N$2:$N$15000,"&gt;365")</f>
        <v>0</v>
      </c>
      <c r="I10" s="1">
        <f>SUMIFS('WH+RT PREVIOUS'!$M$2:$M$15000,'WH+RT PREVIOUS'!$B$2:$B$15000,"MOP",'WH+RT PREVIOUS'!$R$2:$R$15000,"223287",'WH+RT PREVIOUS'!$N$2:$N$15000,"&gt;365")</f>
        <v>0</v>
      </c>
      <c r="J10" s="1">
        <f>SUMIFS('WH+RT PREVIOUS'!$M$2:$M$15000,'WH+RT PREVIOUS'!$B$2:$B$15000,"Imp DAP",'WH+RT PREVIOUS'!$R$2:$R$15000,"223287",'WH+RT PREVIOUS'!$N$2:$N$15000,"&gt;365")</f>
        <v>0</v>
      </c>
      <c r="K10" s="1">
        <f t="shared" ref="K10:K12" si="0">F10+G10+H10+I10+J10</f>
        <v>0.14000000000000001</v>
      </c>
      <c r="L10" s="1">
        <f>SUMIFS('WH+RT CURRENT'!$M$2:$M$15000,'WH+RT CURRENT'!$B$2:$B$15000,"N.C.Urea(45kg)",'WH+RT CURRENT'!$R$2:$R$15000,"223287",'WH+RT CURRENT'!$N$2:$N$15000,"&gt;365")</f>
        <v>0.04</v>
      </c>
      <c r="M10" s="1">
        <f>SUMIFS('WH+RT CURRENT'!$M$2:$M$15000,'WH+RT CURRENT'!$B$2:$B$15000,"15-15-15",'WH+RT CURRENT'!$R$2:$R$15000,"223287",'WH+RT CURRENT'!$N$2:$N$15000,"&gt;365")</f>
        <v>0.1</v>
      </c>
      <c r="N10" s="1">
        <f>SUMIFS('WH+RT CURRENT'!$M$2:$M$15000,'WH+RT CURRENT'!$B$2:$B$15000,"Imp 10-26-26",'WH+RT CURRENT'!$R$2:$R$15000,"223287",'WH+RT CURRENT'!$N$2:$N$15000,"&gt;365")</f>
        <v>0</v>
      </c>
      <c r="O10" s="1">
        <f>SUMIFS('WH+RT CURRENT'!$M$2:$M$15000,'WH+RT CURRENT'!$B$2:$B$15000,"MOP",'WH+RT CURRENT'!$R$2:$R$15000,"223287",'WH+RT CURRENT'!$N$2:$N$15000,"&gt;365")</f>
        <v>0</v>
      </c>
      <c r="P10" s="1">
        <f>SUMIFS('WH+RT CURRENT'!$M$2:$M$15000,'WH+RT CURRENT'!$B$2:$B$15000,"Imp DAP",'WH+RT CURRENT'!$R$2:$R$15000,"223287",'WH+RT CURRENT'!$N$2:$N$15000,"&gt;365")</f>
        <v>0</v>
      </c>
      <c r="Q10" s="1">
        <f t="shared" ref="Q10:Q12" si="1">L10+M10+N10+O10+P10</f>
        <v>0.14000000000000001</v>
      </c>
    </row>
    <row r="11" spans="5:19" x14ac:dyDescent="0.25">
      <c r="E11" s="2" t="s">
        <v>7</v>
      </c>
      <c r="F11" s="1">
        <f>F9+F10</f>
        <v>6.5650000000000004</v>
      </c>
      <c r="G11" s="1">
        <f>G9+G10</f>
        <v>4.6549999999999994</v>
      </c>
      <c r="H11" s="1">
        <f>H9+H10</f>
        <v>0</v>
      </c>
      <c r="I11" s="1">
        <f>I9+I10</f>
        <v>0</v>
      </c>
      <c r="J11" s="1">
        <f>J9+J10</f>
        <v>0</v>
      </c>
      <c r="K11" s="1">
        <f t="shared" si="0"/>
        <v>11.219999999999999</v>
      </c>
      <c r="L11" s="1">
        <f>L9+L10</f>
        <v>6.5650000000000004</v>
      </c>
      <c r="M11" s="1">
        <f>M9+M10</f>
        <v>4.6549999999999994</v>
      </c>
      <c r="N11" s="1">
        <f>N9+N10</f>
        <v>0</v>
      </c>
      <c r="O11" s="1">
        <f>O9+O10</f>
        <v>0</v>
      </c>
      <c r="P11" s="1">
        <f>P9+P10</f>
        <v>0</v>
      </c>
      <c r="Q11" s="1">
        <f t="shared" si="1"/>
        <v>11.219999999999999</v>
      </c>
    </row>
    <row r="12" spans="5:19" x14ac:dyDescent="0.25">
      <c r="E12" s="2" t="s">
        <v>9</v>
      </c>
      <c r="F12" s="1">
        <f>SUMIFS('WH+RT PREVIOUS'!$M$2:$M$15000,'WH+RT PREVIOUS'!$B$2:$B$15000,"N.C.Urea(45kg)",'WH+RT PREVIOUS'!$R$2:$R$15000,"223287")</f>
        <v>6.5650000000000004</v>
      </c>
      <c r="G12" s="1">
        <f>SUMIFS('WH+RT PREVIOUS'!$M$2:$M$15000,'WH+RT PREVIOUS'!$B$2:$B$15000,"15-15-15",'WH+RT PREVIOUS'!$R$2:$R$15000,"223287")</f>
        <v>4.6549999999999994</v>
      </c>
      <c r="H12" s="1">
        <f>SUMIFS('WH+RT PREVIOUS'!$M$2:$M$15000,'WH+RT PREVIOUS'!$B$2:$B$15000,"Imp 10-26-26",'WH+RT PREVIOUS'!$R$2:$R$15000,"223287")</f>
        <v>0</v>
      </c>
      <c r="I12" s="1">
        <f>SUMIFS('WH+RT PREVIOUS'!$M$2:$M$15000,'WH+RT PREVIOUS'!$B$2:$B$15000,"MOP",'WH+RT PREVIOUS'!$R$2:$R$15000,"223287")</f>
        <v>0</v>
      </c>
      <c r="J12" s="1">
        <f>SUMIFS('WH+RT PREVIOUS'!$M$2:$M$15000,'WH+RT PREVIOUS'!$B$2:$B$15000,"Imp DAP",'WH+RT PREVIOUS'!$R$2:$R$15000,"223287")</f>
        <v>0</v>
      </c>
      <c r="K12" s="1">
        <f t="shared" si="0"/>
        <v>11.219999999999999</v>
      </c>
      <c r="L12" s="1">
        <f>SUMIFS('WH+RT CURRENT'!$M$2:$M$15000,'WH+RT CURRENT'!$B$2:$B$15000,"N.C.Urea(45kg)",'WH+RT CURRENT'!$R$2:$R$15000,"223287")</f>
        <v>6.5650000000000004</v>
      </c>
      <c r="M12" s="1">
        <f>SUMIFS('WH+RT CURRENT'!$M$2:$M$15000,'WH+RT CURRENT'!$B$2:$B$15000,"15-15-15",'WH+RT CURRENT'!$R$2:$R$15000,"223287")</f>
        <v>4.6549999999999994</v>
      </c>
      <c r="N12" s="1">
        <f>SUMIFS('WH+RT CURRENT'!$M$2:$M$15000,'WH+RT CURRENT'!$B$2:$B$15000,"Imp 10-26-26",'WH+RT CURRENT'!$R$2:$R$15000,"223287")</f>
        <v>0</v>
      </c>
      <c r="O12" s="1">
        <f>SUMIFS('WH+RT CURRENT'!$M$2:$M$15000,'WH+RT CURRENT'!$B$2:$B$15000,"MOP",'WH+RT CURRENT'!$R$2:$R$15000,"223287")</f>
        <v>0</v>
      </c>
      <c r="P12" s="1">
        <f>SUMIFS('WH+RT CURRENT'!$M$2:$M$15000,'WH+RT CURRENT'!$B$2:$B$15000,"Imp DAP",'WH+RT CURRENT'!$R$2:$R$15000,"223287")</f>
        <v>0</v>
      </c>
      <c r="Q12" s="1">
        <f t="shared" si="1"/>
        <v>11.219999999999999</v>
      </c>
    </row>
    <row r="15" spans="5:19" x14ac:dyDescent="0.25">
      <c r="E15" s="12" t="s">
        <v>6030</v>
      </c>
      <c r="F15" s="12"/>
      <c r="G15" s="12"/>
      <c r="H15" s="12"/>
      <c r="I15" s="12"/>
      <c r="J15" s="12"/>
      <c r="K15" s="12"/>
      <c r="L15" s="12"/>
      <c r="M15" s="12"/>
      <c r="N15" s="12"/>
      <c r="O15" s="12"/>
      <c r="P15" s="12"/>
      <c r="Q15" s="12"/>
    </row>
    <row r="16" spans="5:19" x14ac:dyDescent="0.25">
      <c r="E16" s="13"/>
      <c r="F16" s="15" t="s">
        <v>8147</v>
      </c>
      <c r="G16" s="15"/>
      <c r="H16" s="15"/>
      <c r="I16" s="15"/>
      <c r="J16" s="15"/>
      <c r="K16" s="15"/>
      <c r="L16" s="15" t="s">
        <v>8148</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PREVIOUS'!$R$2:$R$15000,"223283",'WH+RT PREVIOUS'!$N$2:$N$15000,"&gt;179",'WH+RT PREVIOUS'!$N$2:$N$15000,"&lt;366")</f>
        <v>0</v>
      </c>
      <c r="G18" s="1">
        <f>SUMIFS('WH+RT PREVIOUS'!$M$2:$M$15000,'WH+RT PREVIOUS'!$B$2:$B$15000,"15-15-15",'WH+RT PREVIOUS'!$R$2:$R$15000,"223283",'WH+RT PREVIOUS'!$N$2:$N$15000,"&gt;179",'WH+RT PREVIOUS'!$N$2:$N$15000,"&lt;366")</f>
        <v>0.35</v>
      </c>
      <c r="H18" s="1">
        <f>SUMIFS('WH+RT PREVIOUS'!$M$2:$M$15000,'WH+RT PREVIOUS'!$B$2:$B$15000,"Imp 10-26-26",'WH+RT PREVIOUS'!$R$2:$R$15000,"223283",'WH+RT PREVIOUS'!$N$2:$N$15000,"&gt;179",'WH+RT PREVIOUS'!$N$2:$N$15000,"&lt;366")</f>
        <v>0</v>
      </c>
      <c r="I18" s="1">
        <f>SUMIFS('WH+RT PREVIOUS'!$M$2:$M$15000,'WH+RT PREVIOUS'!$B$2:$B$15000,"MOP",'WH+RT PREVIOUS'!$R$2:$R$15000,"223283",'WH+RT PREVIOUS'!$N$2:$N$15000,"&gt;179",'WH+RT PREVIOUS'!$N$2:$N$15000,"&lt;366")</f>
        <v>0</v>
      </c>
      <c r="J18" s="1">
        <f>SUMIFS('WH+RT PREVIOUS'!$M$2:$M$15000,'WH+RT PREVIOUS'!$B$2:$B$15000,"Imp DAP",'WH+RT PREVIOUS'!$R$2:$R$15000,"223283",'WH+RT PREVIOUS'!$N$2:$N$15000,"&gt;179",'WH+RT PREVIOUS'!$N$2:$N$15000,"&lt;366")</f>
        <v>0</v>
      </c>
      <c r="K18" s="1">
        <f>F18+G18+H18+I18+J18</f>
        <v>0.35</v>
      </c>
      <c r="L18" s="1">
        <f>SUMIFS('WH+RT CURRENT'!$M$2:$M$15000,'WH+RT CURRENT'!$B$2:$B$15000,"N.C.Urea(45kg)",'WH+RT CURRENT'!$R$2:$R$15000,"223283",'WH+RT CURRENT'!$N$2:$N$15000,"&gt;179",'WH+RT CURRENT'!$N$2:$N$15000,"&lt;366")</f>
        <v>0</v>
      </c>
      <c r="M18" s="1">
        <f>SUMIFS('WH+RT CURRENT'!$M$2:$M$15000,'WH+RT CURRENT'!$B$2:$B$15000,"15-15-15",'WH+RT CURRENT'!$R$2:$R$15000,"223283",'WH+RT CURRENT'!$N$2:$N$15000,"&gt;179",'WH+RT CURRENT'!$N$2:$N$15000,"&lt;366")</f>
        <v>0.15</v>
      </c>
      <c r="N18" s="1">
        <f>SUMIFS('WH+RT CURRENT'!$M$2:$M$15000,'WH+RT CURRENT'!$B$2:$B$15000,"Imp 10-26-26",'WH+RT CURRENT'!$R$2:$R$15000,"223283",'WH+RT CURRENT'!$N$2:$N$15000,"&gt;179",'WH+RT CURRENT'!$N$2:$N$15000,"&lt;366")</f>
        <v>0</v>
      </c>
      <c r="O18" s="1">
        <f>SUMIFS('WH+RT CURRENT'!$M$2:$M$15000,'WH+RT CURRENT'!$B$2:$B$15000,"MOP",'WH+RT CURRENT'!$R$2:$R$15000,"223283",'WH+RT CURRENT'!$N$2:$N$15000,"&gt;179",'WH+RT CURRENT'!$N$2:$N$15000,"&lt;366")</f>
        <v>0</v>
      </c>
      <c r="P18" s="1">
        <f>SUMIFS('WH+RT CURRENT'!$M$2:$M$15000,'WH+RT CURRENT'!$B$2:$B$15000,"Imp DAP",'WH+RT CURRENT'!$R$2:$R$15000,"223283",'WH+RT CURRENT'!$N$2:$N$15000,"&gt;179",'WH+RT CURRENT'!$N$2:$N$15000,"&lt;366")</f>
        <v>0</v>
      </c>
      <c r="Q18" s="1">
        <f>L18+M18+N18+O18+P18</f>
        <v>0.15</v>
      </c>
    </row>
    <row r="19" spans="5:17" x14ac:dyDescent="0.25">
      <c r="E19" s="2" t="s">
        <v>6</v>
      </c>
      <c r="F19" s="1">
        <f>SUMIFS('WH+RT PREVIOUS'!$M$2:$M$15000,'WH+RT PREVIOUS'!$B$2:$B$15000,"N.C.Urea(45kg)",'WH+RT PREVIOUS'!$R$2:$R$15000,"223283",'WH+RT PREVIOUS'!$N$2:$N$15000,"&gt;365")</f>
        <v>0.314</v>
      </c>
      <c r="G19" s="1">
        <f>SUMIFS('WH+RT PREVIOUS'!$M$2:$M$15000,'WH+RT PREVIOUS'!$B$2:$B$15000,"15-15-15",'WH+RT PREVIOUS'!$R$2:$R$15000,"223283",'WH+RT PREVIOUS'!$N$2:$N$15000,"&gt;365")</f>
        <v>0.99299999999999999</v>
      </c>
      <c r="H19" s="1">
        <f>SUMIFS('WH+RT PREVIOUS'!$M$2:$M$15000,'WH+RT PREVIOUS'!$B$2:$B$15000,"Imp 10-26-26",'WH+RT PREVIOUS'!$R$2:$R$15000,"223283",'WH+RT PREVIOUS'!$N$2:$N$15000,"&gt;365")</f>
        <v>0</v>
      </c>
      <c r="I19" s="1">
        <f>SUMIFS('WH+RT PREVIOUS'!$M$2:$M$15000,'WH+RT PREVIOUS'!$B$2:$B$15000,"MOP",'WH+RT PREVIOUS'!$R$2:$R$15000,"223283",'WH+RT PREVIOUS'!$N$2:$N$15000,"&gt;365")</f>
        <v>0</v>
      </c>
      <c r="J19" s="1">
        <f>SUMIFS('WH+RT PREVIOUS'!$M$2:$M$15000,'WH+RT PREVIOUS'!$B$2:$B$15000,"Imp DAP",'WH+RT PREVIOUS'!$R$2:$R$15000,"223283",'WH+RT PREVIOUS'!$N$2:$N$15000,"&gt;365")</f>
        <v>0</v>
      </c>
      <c r="K19" s="1">
        <f t="shared" ref="K19:K21" si="2">F19+G19+H19+I19+J19</f>
        <v>1.3069999999999999</v>
      </c>
      <c r="L19" s="1">
        <f>SUMIFS('WH+RT CURRENT'!$M$2:$M$15000,'WH+RT CURRENT'!$B$2:$B$15000,"N.C.Urea(45kg)",'WH+RT CURRENT'!$R$2:$R$15000,"223283",'WH+RT CURRENT'!$N$2:$N$15000,"&gt;365")</f>
        <v>0.314</v>
      </c>
      <c r="M19" s="1">
        <f>SUMIFS('WH+RT CURRENT'!$M$2:$M$15000,'WH+RT CURRENT'!$B$2:$B$15000,"15-15-15",'WH+RT CURRENT'!$R$2:$R$15000,"223283",'WH+RT CURRENT'!$N$2:$N$15000,"&gt;365")</f>
        <v>0.99299999999999999</v>
      </c>
      <c r="N19" s="1">
        <f>SUMIFS('WH+RT CURRENT'!$M$2:$M$15000,'WH+RT CURRENT'!$B$2:$B$15000,"Imp 10-26-26",'WH+RT CURRENT'!$R$2:$R$15000,"223283",'WH+RT CURRENT'!$N$2:$N$15000,"&gt;365")</f>
        <v>0</v>
      </c>
      <c r="O19" s="1">
        <f>SUMIFS('WH+RT CURRENT'!$M$2:$M$15000,'WH+RT CURRENT'!$B$2:$B$15000,"MOP",'WH+RT CURRENT'!$R$2:$R$15000,"223283",'WH+RT CURRENT'!$N$2:$N$15000,"&gt;365")</f>
        <v>0</v>
      </c>
      <c r="P19" s="1">
        <f>SUMIFS('WH+RT CURRENT'!$M$2:$M$15000,'WH+RT CURRENT'!$B$2:$B$15000,"Imp DAP",'WH+RT CURRENT'!$R$2:$R$15000,"223283",'WH+RT CURRENT'!$N$2:$N$15000,"&gt;365")</f>
        <v>0</v>
      </c>
      <c r="Q19" s="1">
        <f t="shared" ref="Q19:Q21" si="3">L19+M19+N19+O19+P19</f>
        <v>1.3069999999999999</v>
      </c>
    </row>
    <row r="20" spans="5:17" x14ac:dyDescent="0.25">
      <c r="E20" s="2" t="s">
        <v>7</v>
      </c>
      <c r="F20" s="1">
        <f>F18+F19</f>
        <v>0.314</v>
      </c>
      <c r="G20" s="1">
        <f>G18+G19</f>
        <v>1.343</v>
      </c>
      <c r="H20" s="1">
        <f>H18+H19</f>
        <v>0</v>
      </c>
      <c r="I20" s="1">
        <f>I18+I19</f>
        <v>0</v>
      </c>
      <c r="J20" s="1">
        <f>J18+J19</f>
        <v>0</v>
      </c>
      <c r="K20" s="1">
        <f t="shared" si="2"/>
        <v>1.657</v>
      </c>
      <c r="L20" s="1">
        <f>L18+L19</f>
        <v>0.314</v>
      </c>
      <c r="M20" s="1">
        <f>M18+M19</f>
        <v>1.143</v>
      </c>
      <c r="N20" s="1">
        <f>N18+N19</f>
        <v>0</v>
      </c>
      <c r="O20" s="1">
        <f>O18+O19</f>
        <v>0</v>
      </c>
      <c r="P20" s="1">
        <f>P18+P19</f>
        <v>0</v>
      </c>
      <c r="Q20" s="1">
        <f t="shared" si="3"/>
        <v>1.4570000000000001</v>
      </c>
    </row>
    <row r="21" spans="5:17" x14ac:dyDescent="0.25">
      <c r="E21" s="2" t="s">
        <v>9</v>
      </c>
      <c r="F21" s="1">
        <f>SUMIFS('WH+RT PREVIOUS'!$M$2:$M$15000,'WH+RT PREVIOUS'!$B$2:$B$15000,"N.C.Urea(45kg)",'WH+RT PREVIOUS'!$R$2:$R$15000,"223283")</f>
        <v>29.608999999999998</v>
      </c>
      <c r="G21" s="1">
        <f>SUMIFS('WH+RT PREVIOUS'!$M$2:$M$15000,'WH+RT PREVIOUS'!$B$2:$B$15000,"15-15-15",'WH+RT PREVIOUS'!$R$2:$R$15000,"223283")</f>
        <v>26.542999999999999</v>
      </c>
      <c r="H21" s="1">
        <f>SUMIFS('WH+RT PREVIOUS'!$M$2:$M$15000,'WH+RT PREVIOUS'!$B$2:$B$15000,"Imp 10-26-26",'WH+RT PREVIOUS'!$R$2:$R$15000,"223283")</f>
        <v>11</v>
      </c>
      <c r="I21" s="1">
        <f>SUMIFS('WH+RT PREVIOUS'!$M$2:$M$15000,'WH+RT PREVIOUS'!$B$2:$B$15000,"MOP",'WH+RT PREVIOUS'!$R$2:$R$15000,"223283")</f>
        <v>0</v>
      </c>
      <c r="J21" s="1">
        <f>SUMIFS('WH+RT PREVIOUS'!$M$2:$M$15000,'WH+RT PREVIOUS'!$B$2:$B$15000,"Imp DAP",'WH+RT PREVIOUS'!$R$2:$R$15000,"223283")</f>
        <v>0</v>
      </c>
      <c r="K21" s="1">
        <f t="shared" si="2"/>
        <v>67.152000000000001</v>
      </c>
      <c r="L21" s="1">
        <f>SUMIFS('WH+RT CURRENT'!$M$2:$M$15000,'WH+RT CURRENT'!$B$2:$B$15000,"N.C.Urea(45kg)",'WH+RT CURRENT'!$R$2:$R$15000,"223283")</f>
        <v>12.598999999999998</v>
      </c>
      <c r="M21" s="1">
        <f>SUMIFS('WH+RT CURRENT'!$M$2:$M$15000,'WH+RT CURRENT'!$B$2:$B$15000,"15-15-15",'WH+RT CURRENT'!$R$2:$R$15000,"223283")</f>
        <v>24.992999999999999</v>
      </c>
      <c r="N21" s="1">
        <f>SUMIFS('WH+RT CURRENT'!$M$2:$M$15000,'WH+RT CURRENT'!$B$2:$B$15000,"Imp 10-26-26",'WH+RT CURRENT'!$R$2:$R$15000,"223283")</f>
        <v>11</v>
      </c>
      <c r="O21" s="1">
        <f>SUMIFS('WH+RT CURRENT'!$M$2:$M$15000,'WH+RT CURRENT'!$B$2:$B$15000,"MOP",'WH+RT CURRENT'!$R$2:$R$15000,"223283")</f>
        <v>0</v>
      </c>
      <c r="P21" s="1">
        <f>SUMIFS('WH+RT CURRENT'!$M$2:$M$15000,'WH+RT CURRENT'!$B$2:$B$15000,"Imp DAP",'WH+RT CURRENT'!$R$2:$R$15000,"223283")</f>
        <v>0</v>
      </c>
      <c r="Q21" s="1">
        <f t="shared" si="3"/>
        <v>48.591999999999999</v>
      </c>
    </row>
    <row r="24" spans="5:17" x14ac:dyDescent="0.25">
      <c r="E24" s="12" t="s">
        <v>784</v>
      </c>
      <c r="F24" s="12"/>
      <c r="G24" s="12"/>
      <c r="H24" s="12"/>
      <c r="I24" s="12"/>
      <c r="J24" s="12"/>
      <c r="K24" s="12"/>
      <c r="L24" s="12"/>
      <c r="M24" s="12"/>
      <c r="N24" s="12"/>
      <c r="O24" s="12"/>
      <c r="P24" s="12"/>
      <c r="Q24" s="12"/>
    </row>
    <row r="25" spans="5:17" x14ac:dyDescent="0.25">
      <c r="E25" s="13"/>
      <c r="F25" s="15" t="s">
        <v>8147</v>
      </c>
      <c r="G25" s="15"/>
      <c r="H25" s="15"/>
      <c r="I25" s="15"/>
      <c r="J25" s="15"/>
      <c r="K25" s="15"/>
      <c r="L25" s="15" t="s">
        <v>8148</v>
      </c>
      <c r="M25" s="15"/>
      <c r="N25" s="15"/>
      <c r="O25" s="15"/>
      <c r="P25" s="15"/>
      <c r="Q25" s="15"/>
    </row>
    <row r="26" spans="5:17" x14ac:dyDescent="0.25">
      <c r="E26" s="14"/>
      <c r="F26" s="2" t="s">
        <v>0</v>
      </c>
      <c r="G26" s="2" t="s">
        <v>1</v>
      </c>
      <c r="H26" s="2" t="s">
        <v>2</v>
      </c>
      <c r="I26" s="2" t="s">
        <v>3</v>
      </c>
      <c r="J26" s="2" t="s">
        <v>8128</v>
      </c>
      <c r="K26" s="2" t="s">
        <v>4</v>
      </c>
      <c r="L26" s="2" t="s">
        <v>0</v>
      </c>
      <c r="M26" s="2" t="s">
        <v>1</v>
      </c>
      <c r="N26" s="2" t="s">
        <v>2</v>
      </c>
      <c r="O26" s="2" t="s">
        <v>3</v>
      </c>
      <c r="P26" s="2" t="s">
        <v>8128</v>
      </c>
      <c r="Q26" s="2" t="s">
        <v>4</v>
      </c>
    </row>
    <row r="27" spans="5:17" x14ac:dyDescent="0.25">
      <c r="E27" s="2" t="s">
        <v>5</v>
      </c>
      <c r="F27" s="1">
        <f>SUMIFS('WH+RT PREVIOUS'!$M$2:$M$15000,'WH+RT PREVIOUS'!$B$2:$B$15000,"N.C.Urea(45kg)",'WH+RT PREVIOUS'!$R$2:$R$15000,"223293",'WH+RT PREVIOUS'!$N$2:$N$15000,"&gt;179",'WH+RT PREVIOUS'!$N$2:$N$15000,"&lt;366")</f>
        <v>11.295</v>
      </c>
      <c r="G27" s="1">
        <f>SUMIFS('WH+RT PREVIOUS'!$M$2:$M$15000,'WH+RT PREVIOUS'!$B$2:$B$15000,"15-15-15",'WH+RT PREVIOUS'!$R$2:$R$15000,"223293",'WH+RT PREVIOUS'!$N$2:$N$15000,"&gt;179",'WH+RT PREVIOUS'!$N$2:$N$15000,"&lt;366")</f>
        <v>0</v>
      </c>
      <c r="H27" s="1">
        <f>SUMIFS('WH+RT PREVIOUS'!$M$2:$M$15000,'WH+RT PREVIOUS'!$B$2:$B$15000,"Imp 10-26-26",'WH+RT PREVIOUS'!$R$2:$R$15000,"223293",'WH+RT PREVIOUS'!$N$2:$N$15000,"&gt;179",'WH+RT PREVIOUS'!$N$2:$N$15000,"&lt;366")</f>
        <v>0</v>
      </c>
      <c r="I27" s="1">
        <f>SUMIFS('WH+RT PREVIOUS'!$M$2:$M$15000,'WH+RT PREVIOUS'!$B$2:$B$15000,"MOP",'WH+RT PREVIOUS'!$R$2:$R$15000,"223293",'WH+RT PREVIOUS'!$N$2:$N$15000,"&gt;179",'WH+RT PREVIOUS'!$N$2:$N$15000,"&lt;366")</f>
        <v>0</v>
      </c>
      <c r="J27" s="1">
        <f>SUMIFS('WH+RT PREVIOUS'!$M$2:$M$15000,'WH+RT PREVIOUS'!$B$2:$B$15000,"Imp DAP",'WH+RT PREVIOUS'!$R$2:$R$15000,"223293",'WH+RT PREVIOUS'!$N$2:$N$15000,"&gt;179",'WH+RT PREVIOUS'!$N$2:$N$15000,"&lt;366")</f>
        <v>0</v>
      </c>
      <c r="K27" s="1">
        <f>F27+G27+H27+I27+J27</f>
        <v>11.295</v>
      </c>
      <c r="L27" s="1">
        <f>SUMIFS('WH+RT CURRENT'!$M$2:$M$15000,'WH+RT CURRENT'!$B$2:$B$15000,"N.C.Urea(45kg)",'WH+RT CURRENT'!$R$2:$R$15000,"223293",'WH+RT CURRENT'!$N$2:$N$15000,"&gt;179",'WH+RT CURRENT'!$N$2:$N$15000,"&lt;366")</f>
        <v>11.295</v>
      </c>
      <c r="M27" s="1">
        <f>SUMIFS('WH+RT CURRENT'!$M$2:$M$15000,'WH+RT CURRENT'!$B$2:$B$15000,"15-15-15",'WH+RT CURRENT'!$R$2:$R$15000,"223293",'WH+RT CURRENT'!$N$2:$N$15000,"&gt;179",'WH+RT CURRENT'!$N$2:$N$15000,"&lt;366")</f>
        <v>0</v>
      </c>
      <c r="N27" s="1">
        <f>SUMIFS('WH+RT CURRENT'!$M$2:$M$15000,'WH+RT CURRENT'!$B$2:$B$15000,"Imp 10-26-26",'WH+RT CURRENT'!$R$2:$R$15000,"223293",'WH+RT CURRENT'!$N$2:$N$15000,"&gt;179",'WH+RT CURRENT'!$N$2:$N$15000,"&lt;366")</f>
        <v>0</v>
      </c>
      <c r="O27" s="1">
        <f>SUMIFS('WH+RT CURRENT'!$M$2:$M$15000,'WH+RT CURRENT'!$B$2:$B$15000,"MOP",'WH+RT CURRENT'!$R$2:$R$15000,"223293",'WH+RT CURRENT'!$N$2:$N$15000,"&gt;179",'WH+RT CURRENT'!$N$2:$N$15000,"&lt;366")</f>
        <v>0</v>
      </c>
      <c r="P27" s="1">
        <f>SUMIFS('WH+RT CURRENT'!$M$2:$M$15000,'WH+RT CURRENT'!$B$2:$B$15000,"Imp DAP",'WH+RT CURRENT'!$R$2:$R$15000,"223293",'WH+RT CURRENT'!$N$2:$N$15000,"&gt;179",'WH+RT CURRENT'!$N$2:$N$15000,"&lt;366")</f>
        <v>0</v>
      </c>
      <c r="Q27" s="1">
        <f>L27+M27+N27+O27+P27</f>
        <v>11.295</v>
      </c>
    </row>
    <row r="28" spans="5:17" x14ac:dyDescent="0.25">
      <c r="E28" s="2" t="s">
        <v>6</v>
      </c>
      <c r="F28" s="1">
        <f>SUMIFS('WH+RT PREVIOUS'!$M$2:$M$15000,'WH+RT PREVIOUS'!$B$2:$B$15000,"N.C.Urea(45kg)",'WH+RT PREVIOUS'!$R$2:$R$15000,"223293",'WH+RT PREVIOUS'!$N$2:$N$15000,"&gt;365")</f>
        <v>0.52500000000000002</v>
      </c>
      <c r="G28" s="1">
        <f>SUMIFS('WH+RT PREVIOUS'!$M$2:$M$15000,'WH+RT PREVIOUS'!$B$2:$B$15000,"15-15-15",'WH+RT PREVIOUS'!$R$2:$R$15000,"223293",'WH+RT PREVIOUS'!$N$2:$N$15000,"&gt;365")</f>
        <v>0</v>
      </c>
      <c r="H28" s="1">
        <f>SUMIFS('WH+RT PREVIOUS'!$M$2:$M$15000,'WH+RT PREVIOUS'!$B$2:$B$15000,"Imp 10-26-26",'WH+RT PREVIOUS'!$R$2:$R$15000,"223293",'WH+RT PREVIOUS'!$N$2:$N$15000,"&gt;365")</f>
        <v>0</v>
      </c>
      <c r="I28" s="1">
        <f>SUMIFS('WH+RT PREVIOUS'!$M$2:$M$15000,'WH+RT PREVIOUS'!$B$2:$B$15000,"MOP",'WH+RT PREVIOUS'!$R$2:$R$15000,"223293",'WH+RT PREVIOUS'!$N$2:$N$15000,"&gt;365")</f>
        <v>0</v>
      </c>
      <c r="J28" s="1">
        <f>SUMIFS('WH+RT PREVIOUS'!$M$2:$M$15000,'WH+RT PREVIOUS'!$B$2:$B$15000,"Imp DAP",'WH+RT PREVIOUS'!$R$2:$R$15000,"223293",'WH+RT PREVIOUS'!$N$2:$N$15000,"&gt;365")</f>
        <v>0</v>
      </c>
      <c r="K28" s="1">
        <f t="shared" ref="K28:K30" si="4">F28+G28+H28+I28+J28</f>
        <v>0.52500000000000002</v>
      </c>
      <c r="L28" s="1">
        <f>SUMIFS('WH+RT CURRENT'!$M$2:$M$15000,'WH+RT CURRENT'!$B$2:$B$15000,"N.C.Urea(45kg)",'WH+RT CURRENT'!$R$2:$R$15000,"223293",'WH+RT CURRENT'!$N$2:$N$15000,"&gt;365")</f>
        <v>0.52500000000000002</v>
      </c>
      <c r="M28" s="1">
        <f>SUMIFS('WH+RT CURRENT'!$M$2:$M$15000,'WH+RT CURRENT'!$B$2:$B$15000,"15-15-15",'WH+RT CURRENT'!$R$2:$R$15000,"223293",'WH+RT CURRENT'!$N$2:$N$15000,"&gt;365")</f>
        <v>0</v>
      </c>
      <c r="N28" s="1">
        <f>SUMIFS('WH+RT CURRENT'!$M$2:$M$15000,'WH+RT CURRENT'!$B$2:$B$15000,"Imp 10-26-26",'WH+RT CURRENT'!$R$2:$R$15000,"223293",'WH+RT CURRENT'!$N$2:$N$15000,"&gt;365")</f>
        <v>0</v>
      </c>
      <c r="O28" s="1">
        <f>SUMIFS('WH+RT CURRENT'!$M$2:$M$15000,'WH+RT CURRENT'!$B$2:$B$15000,"MOP",'WH+RT CURRENT'!$R$2:$R$15000,"223293",'WH+RT CURRENT'!$N$2:$N$15000,"&gt;365")</f>
        <v>0</v>
      </c>
      <c r="P28" s="1">
        <f>SUMIFS('WH+RT CURRENT'!$M$2:$M$15000,'WH+RT CURRENT'!$B$2:$B$15000,"Imp DAP",'WH+RT CURRENT'!$R$2:$R$15000,"223293",'WH+RT CURRENT'!$N$2:$N$15000,"&gt;365")</f>
        <v>0</v>
      </c>
      <c r="Q28" s="1">
        <f t="shared" ref="Q28:Q30" si="5">L28+M28+N28+O28+P28</f>
        <v>0.52500000000000002</v>
      </c>
    </row>
    <row r="29" spans="5:17" x14ac:dyDescent="0.25">
      <c r="E29" s="2" t="s">
        <v>7</v>
      </c>
      <c r="F29" s="1">
        <f>F27+F28</f>
        <v>11.82</v>
      </c>
      <c r="G29" s="1">
        <f>G27+G28</f>
        <v>0</v>
      </c>
      <c r="H29" s="1">
        <f>H27+H28</f>
        <v>0</v>
      </c>
      <c r="I29" s="1">
        <f>I27+I28</f>
        <v>0</v>
      </c>
      <c r="J29" s="1">
        <f>J27+J28</f>
        <v>0</v>
      </c>
      <c r="K29" s="1">
        <f t="shared" si="4"/>
        <v>11.82</v>
      </c>
      <c r="L29" s="1">
        <f>L27+L28</f>
        <v>11.82</v>
      </c>
      <c r="M29" s="1">
        <f>M27+M28</f>
        <v>0</v>
      </c>
      <c r="N29" s="1">
        <f>N27+N28</f>
        <v>0</v>
      </c>
      <c r="O29" s="1">
        <f>O27+O28</f>
        <v>0</v>
      </c>
      <c r="P29" s="1">
        <f>P27+P28</f>
        <v>0</v>
      </c>
      <c r="Q29" s="1">
        <f t="shared" si="5"/>
        <v>11.82</v>
      </c>
    </row>
    <row r="30" spans="5:17" x14ac:dyDescent="0.25">
      <c r="E30" s="2" t="s">
        <v>9</v>
      </c>
      <c r="F30" s="1">
        <f>SUMIFS('WH+RT PREVIOUS'!$M$2:$M$15000,'WH+RT PREVIOUS'!$B$2:$B$15000,"N.C.Urea(45kg)",'WH+RT PREVIOUS'!$R$2:$R$15000,"223293")</f>
        <v>276.81</v>
      </c>
      <c r="G30" s="1">
        <f>SUMIFS('WH+RT PREVIOUS'!$M$2:$M$15000,'WH+RT PREVIOUS'!$B$2:$B$15000,"15-15-15",'WH+RT PREVIOUS'!$R$2:$R$15000,"223293")</f>
        <v>64.75</v>
      </c>
      <c r="H30" s="1">
        <f>SUMIFS('WH+RT PREVIOUS'!$M$2:$M$15000,'WH+RT PREVIOUS'!$B$2:$B$15000,"Imp 10-26-26",'WH+RT PREVIOUS'!$R$2:$R$15000,"223293")</f>
        <v>42.050000000000004</v>
      </c>
      <c r="I30" s="1">
        <f>SUMIFS('WH+RT PREVIOUS'!$M$2:$M$15000,'WH+RT PREVIOUS'!$B$2:$B$15000,"MOP",'WH+RT PREVIOUS'!$R$2:$R$15000,"223293")</f>
        <v>0</v>
      </c>
      <c r="J30" s="1">
        <f>SUMIFS('WH+RT PREVIOUS'!$M$2:$M$15000,'WH+RT PREVIOUS'!$B$2:$B$15000,"Imp DAP",'WH+RT PREVIOUS'!$R$2:$R$15000,"223293")</f>
        <v>0</v>
      </c>
      <c r="K30" s="1">
        <f t="shared" si="4"/>
        <v>383.61</v>
      </c>
      <c r="L30" s="1">
        <f>SUMIFS('WH+RT CURRENT'!$M$2:$M$15000,'WH+RT CURRENT'!$B$2:$B$15000,"N.C.Urea(45kg)",'WH+RT CURRENT'!$R$2:$R$15000,"223293")</f>
        <v>274.45999999999987</v>
      </c>
      <c r="M30" s="1">
        <f>SUMIFS('WH+RT CURRENT'!$M$2:$M$15000,'WH+RT CURRENT'!$B$2:$B$15000,"15-15-15",'WH+RT CURRENT'!$R$2:$R$15000,"223293")</f>
        <v>53.999999999999993</v>
      </c>
      <c r="N30" s="1">
        <f>SUMIFS('WH+RT CURRENT'!$M$2:$M$15000,'WH+RT CURRENT'!$B$2:$B$15000,"Imp 10-26-26",'WH+RT CURRENT'!$R$2:$R$15000,"223293")</f>
        <v>40.5</v>
      </c>
      <c r="O30" s="1">
        <f>SUMIFS('WH+RT CURRENT'!$M$2:$M$15000,'WH+RT CURRENT'!$B$2:$B$15000,"MOP",'WH+RT CURRENT'!$R$2:$R$15000,"223293")</f>
        <v>0</v>
      </c>
      <c r="P30" s="1">
        <f>SUMIFS('WH+RT CURRENT'!$M$2:$M$15000,'WH+RT CURRENT'!$B$2:$B$15000,"Imp DAP",'WH+RT CURRENT'!$R$2:$R$15000,"223293")</f>
        <v>0</v>
      </c>
      <c r="Q30" s="1">
        <f t="shared" si="5"/>
        <v>368.95999999999987</v>
      </c>
    </row>
    <row r="33" spans="5:17" x14ac:dyDescent="0.25">
      <c r="E33" s="12" t="s">
        <v>937</v>
      </c>
      <c r="F33" s="12"/>
      <c r="G33" s="12"/>
      <c r="H33" s="12"/>
      <c r="I33" s="12"/>
      <c r="J33" s="12"/>
      <c r="K33" s="12"/>
      <c r="L33" s="12"/>
      <c r="M33" s="12"/>
      <c r="N33" s="12"/>
      <c r="O33" s="12"/>
      <c r="P33" s="12"/>
      <c r="Q33" s="12"/>
    </row>
    <row r="34" spans="5:17" x14ac:dyDescent="0.25">
      <c r="E34" s="13"/>
      <c r="F34" s="15" t="s">
        <v>8147</v>
      </c>
      <c r="G34" s="15"/>
      <c r="H34" s="15"/>
      <c r="I34" s="15"/>
      <c r="J34" s="15"/>
      <c r="K34" s="15"/>
      <c r="L34" s="15" t="s">
        <v>8148</v>
      </c>
      <c r="M34" s="15"/>
      <c r="N34" s="15"/>
      <c r="O34" s="15"/>
      <c r="P34" s="15"/>
      <c r="Q34" s="15"/>
    </row>
    <row r="35" spans="5:17" x14ac:dyDescent="0.25">
      <c r="E35" s="14"/>
      <c r="F35" s="2" t="s">
        <v>0</v>
      </c>
      <c r="G35" s="2" t="s">
        <v>1</v>
      </c>
      <c r="H35" s="2" t="s">
        <v>2</v>
      </c>
      <c r="I35" s="2" t="s">
        <v>3</v>
      </c>
      <c r="J35" s="2" t="s">
        <v>8128</v>
      </c>
      <c r="K35" s="2" t="s">
        <v>4</v>
      </c>
      <c r="L35" s="2" t="s">
        <v>0</v>
      </c>
      <c r="M35" s="2" t="s">
        <v>1</v>
      </c>
      <c r="N35" s="2" t="s">
        <v>2</v>
      </c>
      <c r="O35" s="2" t="s">
        <v>3</v>
      </c>
      <c r="P35" s="2" t="s">
        <v>8128</v>
      </c>
      <c r="Q35" s="2" t="s">
        <v>4</v>
      </c>
    </row>
    <row r="36" spans="5:17" x14ac:dyDescent="0.25">
      <c r="E36" s="2" t="s">
        <v>5</v>
      </c>
      <c r="F36" s="1">
        <f>SUMIFS('WH+RT PREVIOUS'!$M$2:$M$15000,'WH+RT PREVIOUS'!$B$2:$B$15000,"N.C.Urea(45kg)",'WH+RT PREVIOUS'!$R$2:$R$15000,"269139",'WH+RT PREVIOUS'!$N$2:$N$15000,"&gt;179",'WH+RT PREVIOUS'!$N$2:$N$15000,"&lt;366")</f>
        <v>31.25</v>
      </c>
      <c r="G36" s="1">
        <f>SUMIFS('WH+RT PREVIOUS'!$M$2:$M$15000,'WH+RT PREVIOUS'!$B$2:$B$15000,"15-15-15",'WH+RT PREVIOUS'!$R$2:$R$15000,"269139",'WH+RT PREVIOUS'!$N$2:$N$15000,"&gt;179",'WH+RT PREVIOUS'!$N$2:$N$15000,"&lt;366")</f>
        <v>0.6</v>
      </c>
      <c r="H36" s="1">
        <f>SUMIFS('WH+RT PREVIOUS'!$M$2:$M$15000,'WH+RT PREVIOUS'!$B$2:$B$15000,"Imp 10-26-26",'WH+RT PREVIOUS'!$R$2:$R$15000,"269139",'WH+RT PREVIOUS'!$N$2:$N$15000,"&gt;179",'WH+RT PREVIOUS'!$N$2:$N$15000,"&lt;366")</f>
        <v>3.9</v>
      </c>
      <c r="I36" s="1">
        <f>SUMIFS('WH+RT PREVIOUS'!$M$2:$M$15000,'WH+RT PREVIOUS'!$B$2:$B$15000,"MOP",'WH+RT PREVIOUS'!$R$2:$R$15000,"269139",'WH+RT PREVIOUS'!$N$2:$N$15000,"&gt;179",'WH+RT PREVIOUS'!$N$2:$N$15000,"&lt;366")</f>
        <v>0</v>
      </c>
      <c r="J36" s="1">
        <f>SUMIFS('WH+RT PREVIOUS'!$M$2:$M$15000,'WH+RT PREVIOUS'!$B$2:$B$15000,"Imp DAP",'WH+RT PREVIOUS'!$R$2:$R$15000,"269139",'WH+RT PREVIOUS'!$N$2:$N$15000,"&gt;179",'WH+RT PREVIOUS'!$N$2:$N$15000,"&lt;366")</f>
        <v>0</v>
      </c>
      <c r="K36" s="1">
        <f>F36+G36+H36+I36+J36</f>
        <v>35.75</v>
      </c>
      <c r="L36" s="1">
        <f>SUMIFS('WH+RT CURRENT'!$M$2:$M$15000,'WH+RT CURRENT'!$B$2:$B$15000,"N.C.Urea(45kg)",'WH+RT CURRENT'!$R$2:$R$15000,"269139",'WH+RT CURRENT'!$N$2:$N$15000,"&gt;179",'WH+RT CURRENT'!$N$2:$N$15000,"&lt;366")</f>
        <v>31.25</v>
      </c>
      <c r="M36" s="1">
        <f>SUMIFS('WH+RT CURRENT'!$M$2:$M$15000,'WH+RT CURRENT'!$B$2:$B$15000,"15-15-15",'WH+RT CURRENT'!$R$2:$R$15000,"269139",'WH+RT CURRENT'!$N$2:$N$15000,"&gt;179",'WH+RT CURRENT'!$N$2:$N$15000,"&lt;366")</f>
        <v>0.6</v>
      </c>
      <c r="N36" s="1">
        <f>SUMIFS('WH+RT CURRENT'!$M$2:$M$15000,'WH+RT CURRENT'!$B$2:$B$15000,"Imp 10-26-26",'WH+RT CURRENT'!$R$2:$R$15000,"269139",'WH+RT CURRENT'!$N$2:$N$15000,"&gt;179",'WH+RT CURRENT'!$N$2:$N$15000,"&lt;366")</f>
        <v>3.9</v>
      </c>
      <c r="O36" s="1">
        <f>SUMIFS('WH+RT CURRENT'!$M$2:$M$15000,'WH+RT CURRENT'!$B$2:$B$15000,"MOP",'WH+RT CURRENT'!$R$2:$R$15000,"269139",'WH+RT CURRENT'!$N$2:$N$15000,"&gt;179",'WH+RT CURRENT'!$N$2:$N$15000,"&lt;366")</f>
        <v>0</v>
      </c>
      <c r="P36" s="1">
        <f>SUMIFS('WH+RT CURRENT'!$M$2:$M$15000,'WH+RT CURRENT'!$B$2:$B$15000,"Imp DAP",'WH+RT CURRENT'!$R$2:$R$15000,"269139",'WH+RT CURRENT'!$N$2:$N$15000,"&gt;179",'WH+RT CURRENT'!$N$2:$N$15000,"&lt;366")</f>
        <v>0</v>
      </c>
      <c r="Q36" s="1">
        <f>L36+M36+N36+O36+P36</f>
        <v>35.75</v>
      </c>
    </row>
    <row r="37" spans="5:17" x14ac:dyDescent="0.25">
      <c r="E37" s="2" t="s">
        <v>6</v>
      </c>
      <c r="F37" s="1">
        <f>SUMIFS('WH+RT PREVIOUS'!$M$2:$M$15000,'WH+RT PREVIOUS'!$B$2:$B$15000,"N.C.Urea(45kg)",'WH+RT PREVIOUS'!$R$2:$R$15000,"269139",'WH+RT PREVIOUS'!$N$2:$N$15000,"&gt;365")</f>
        <v>11.914999999999999</v>
      </c>
      <c r="G37" s="1">
        <f>SUMIFS('WH+RT PREVIOUS'!$M$2:$M$15000,'WH+RT PREVIOUS'!$B$2:$B$15000,"15-15-15",'WH+RT PREVIOUS'!$R$2:$R$15000,"269139",'WH+RT PREVIOUS'!$N$2:$N$15000,"&gt;365")</f>
        <v>0.44999999999999996</v>
      </c>
      <c r="H37" s="1">
        <f>SUMIFS('WH+RT PREVIOUS'!$M$2:$M$15000,'WH+RT PREVIOUS'!$B$2:$B$15000,"Imp 10-26-26",'WH+RT PREVIOUS'!$R$2:$R$15000,"269139",'WH+RT PREVIOUS'!$N$2:$N$15000,"&gt;365")</f>
        <v>0</v>
      </c>
      <c r="I37" s="1">
        <f>SUMIFS('WH+RT PREVIOUS'!$M$2:$M$15000,'WH+RT PREVIOUS'!$B$2:$B$15000,"MOP",'WH+RT PREVIOUS'!$R$2:$R$15000,"269139",'WH+RT PREVIOUS'!$N$2:$N$15000,"&gt;365")</f>
        <v>0.1</v>
      </c>
      <c r="J37" s="1">
        <f>SUMIFS('WH+RT PREVIOUS'!$M$2:$M$15000,'WH+RT PREVIOUS'!$B$2:$B$15000,"Imp DAP",'WH+RT PREVIOUS'!$R$2:$R$15000,"269139",'WH+RT PREVIOUS'!$N$2:$N$15000,"&gt;365")</f>
        <v>0</v>
      </c>
      <c r="K37" s="1">
        <f t="shared" ref="K37:K39" si="6">F37+G37+H37+I37+J37</f>
        <v>12.464999999999998</v>
      </c>
      <c r="L37" s="1">
        <f>SUMIFS('WH+RT CURRENT'!$M$2:$M$15000,'WH+RT CURRENT'!$B$2:$B$15000,"N.C.Urea(45kg)",'WH+RT CURRENT'!$R$2:$R$15000,"269139",'WH+RT CURRENT'!$N$2:$N$15000,"&gt;365")</f>
        <v>11.914999999999999</v>
      </c>
      <c r="M37" s="1">
        <f>SUMIFS('WH+RT CURRENT'!$M$2:$M$15000,'WH+RT CURRENT'!$B$2:$B$15000,"15-15-15",'WH+RT CURRENT'!$R$2:$R$15000,"269139",'WH+RT CURRENT'!$N$2:$N$15000,"&gt;365")</f>
        <v>0.44999999999999996</v>
      </c>
      <c r="N37" s="1">
        <f>SUMIFS('WH+RT CURRENT'!$M$2:$M$15000,'WH+RT CURRENT'!$B$2:$B$15000,"Imp 10-26-26",'WH+RT CURRENT'!$R$2:$R$15000,"269139",'WH+RT CURRENT'!$N$2:$N$15000,"&gt;365")</f>
        <v>0</v>
      </c>
      <c r="O37" s="1">
        <f>SUMIFS('WH+RT CURRENT'!$M$2:$M$15000,'WH+RT CURRENT'!$B$2:$B$15000,"MOP",'WH+RT CURRENT'!$R$2:$R$15000,"269139",'WH+RT CURRENT'!$N$2:$N$15000,"&gt;365")</f>
        <v>0.1</v>
      </c>
      <c r="P37" s="1">
        <f>SUMIFS('WH+RT CURRENT'!$M$2:$M$15000,'WH+RT CURRENT'!$B$2:$B$15000,"Imp DAP",'WH+RT CURRENT'!$R$2:$R$15000,"269139",'WH+RT CURRENT'!$N$2:$N$15000,"&gt;365")</f>
        <v>0</v>
      </c>
      <c r="Q37" s="1">
        <f t="shared" ref="Q37:Q39" si="7">L37+M37+N37+O37+P37</f>
        <v>12.464999999999998</v>
      </c>
    </row>
    <row r="38" spans="5:17" x14ac:dyDescent="0.25">
      <c r="E38" s="2" t="s">
        <v>7</v>
      </c>
      <c r="F38" s="1">
        <f>F36+F37</f>
        <v>43.164999999999999</v>
      </c>
      <c r="G38" s="1">
        <f>G36+G37</f>
        <v>1.0499999999999998</v>
      </c>
      <c r="H38" s="1">
        <f>H36+H37</f>
        <v>3.9</v>
      </c>
      <c r="I38" s="1">
        <f>I36+I37</f>
        <v>0.1</v>
      </c>
      <c r="J38" s="1">
        <f>J36+J37</f>
        <v>0</v>
      </c>
      <c r="K38" s="1">
        <f t="shared" si="6"/>
        <v>48.214999999999996</v>
      </c>
      <c r="L38" s="1">
        <f>L36+L37</f>
        <v>43.164999999999999</v>
      </c>
      <c r="M38" s="1">
        <f>M36+M37</f>
        <v>1.0499999999999998</v>
      </c>
      <c r="N38" s="1">
        <f>N36+N37</f>
        <v>3.9</v>
      </c>
      <c r="O38" s="1">
        <f>O36+O37</f>
        <v>0.1</v>
      </c>
      <c r="P38" s="1">
        <f>P36+P37</f>
        <v>0</v>
      </c>
      <c r="Q38" s="1">
        <f t="shared" si="7"/>
        <v>48.214999999999996</v>
      </c>
    </row>
    <row r="39" spans="5:17" x14ac:dyDescent="0.25">
      <c r="E39" s="2" t="s">
        <v>9</v>
      </c>
      <c r="F39" s="1">
        <f>SUMIFS('WH+RT PREVIOUS'!$M$2:$M$15000,'WH+RT PREVIOUS'!$B$2:$B$15000,"N.C.Urea(45kg)",'WH+RT PREVIOUS'!$R$2:$R$15000,"269139")</f>
        <v>176.99</v>
      </c>
      <c r="G39" s="1">
        <f>SUMIFS('WH+RT PREVIOUS'!$M$2:$M$15000,'WH+RT PREVIOUS'!$B$2:$B$15000,"15-15-15",'WH+RT PREVIOUS'!$R$2:$R$15000,"269139")</f>
        <v>56.05</v>
      </c>
      <c r="H39" s="1">
        <f>SUMIFS('WH+RT PREVIOUS'!$M$2:$M$15000,'WH+RT PREVIOUS'!$B$2:$B$15000,"Imp 10-26-26",'WH+RT PREVIOUS'!$R$2:$R$15000,"269139")</f>
        <v>23.9</v>
      </c>
      <c r="I39" s="1">
        <f>SUMIFS('WH+RT PREVIOUS'!$M$2:$M$15000,'WH+RT PREVIOUS'!$B$2:$B$15000,"MOP",'WH+RT PREVIOUS'!$R$2:$R$15000,"269139")</f>
        <v>0.1</v>
      </c>
      <c r="J39" s="1">
        <f>SUMIFS('WH+RT PREVIOUS'!$M$2:$M$15000,'WH+RT PREVIOUS'!$B$2:$B$15000,"Imp DAP",'WH+RT PREVIOUS'!$R$2:$R$15000,"269139")</f>
        <v>0</v>
      </c>
      <c r="K39" s="1">
        <f t="shared" si="6"/>
        <v>257.04000000000002</v>
      </c>
      <c r="L39" s="1">
        <f>SUMIFS('WH+RT CURRENT'!$M$2:$M$15000,'WH+RT CURRENT'!$B$2:$B$15000,"N.C.Urea(45kg)",'WH+RT CURRENT'!$R$2:$R$15000,"269139")</f>
        <v>176.98999999999998</v>
      </c>
      <c r="M39" s="1">
        <f>SUMIFS('WH+RT CURRENT'!$M$2:$M$15000,'WH+RT CURRENT'!$B$2:$B$15000,"15-15-15",'WH+RT CURRENT'!$R$2:$R$15000,"269139")</f>
        <v>56.05</v>
      </c>
      <c r="N39" s="1">
        <f>SUMIFS('WH+RT CURRENT'!$M$2:$M$15000,'WH+RT CURRENT'!$B$2:$B$15000,"Imp 10-26-26",'WH+RT CURRENT'!$R$2:$R$15000,"269139")</f>
        <v>23.9</v>
      </c>
      <c r="O39" s="1">
        <f>SUMIFS('WH+RT CURRENT'!$M$2:$M$15000,'WH+RT CURRENT'!$B$2:$B$15000,"MOP",'WH+RT CURRENT'!$R$2:$R$15000,"269139")</f>
        <v>0.1</v>
      </c>
      <c r="P39" s="1">
        <f>SUMIFS('WH+RT CURRENT'!$M$2:$M$15000,'WH+RT CURRENT'!$B$2:$B$15000,"Imp DAP",'WH+RT CURRENT'!$R$2:$R$15000,"269139")</f>
        <v>0</v>
      </c>
      <c r="Q39" s="1">
        <f t="shared" si="7"/>
        <v>257.03999999999996</v>
      </c>
    </row>
    <row r="42" spans="5:17" x14ac:dyDescent="0.25">
      <c r="E42" s="12" t="s">
        <v>947</v>
      </c>
      <c r="F42" s="12"/>
      <c r="G42" s="12"/>
      <c r="H42" s="12"/>
      <c r="I42" s="12"/>
      <c r="J42" s="12"/>
      <c r="K42" s="12"/>
      <c r="L42" s="12"/>
      <c r="M42" s="12"/>
      <c r="N42" s="12"/>
      <c r="O42" s="12"/>
      <c r="P42" s="12"/>
      <c r="Q42" s="12"/>
    </row>
    <row r="43" spans="5:17" x14ac:dyDescent="0.25">
      <c r="E43" s="13"/>
      <c r="F43" s="15" t="s">
        <v>8147</v>
      </c>
      <c r="G43" s="15"/>
      <c r="H43" s="15"/>
      <c r="I43" s="15"/>
      <c r="J43" s="15"/>
      <c r="K43" s="15"/>
      <c r="L43" s="15" t="s">
        <v>8148</v>
      </c>
      <c r="M43" s="15"/>
      <c r="N43" s="15"/>
      <c r="O43" s="15"/>
      <c r="P43" s="15"/>
      <c r="Q43" s="15"/>
    </row>
    <row r="44" spans="5:17" x14ac:dyDescent="0.25">
      <c r="E44" s="14"/>
      <c r="F44" s="2" t="s">
        <v>0</v>
      </c>
      <c r="G44" s="2" t="s">
        <v>1</v>
      </c>
      <c r="H44" s="2" t="s">
        <v>2</v>
      </c>
      <c r="I44" s="2" t="s">
        <v>3</v>
      </c>
      <c r="J44" s="2" t="s">
        <v>8128</v>
      </c>
      <c r="K44" s="2" t="s">
        <v>4</v>
      </c>
      <c r="L44" s="2" t="s">
        <v>0</v>
      </c>
      <c r="M44" s="2" t="s">
        <v>1</v>
      </c>
      <c r="N44" s="2" t="s">
        <v>2</v>
      </c>
      <c r="O44" s="2" t="s">
        <v>3</v>
      </c>
      <c r="P44" s="2" t="s">
        <v>8128</v>
      </c>
      <c r="Q44" s="2" t="s">
        <v>4</v>
      </c>
    </row>
    <row r="45" spans="5:17" x14ac:dyDescent="0.25">
      <c r="E45" s="2" t="s">
        <v>5</v>
      </c>
      <c r="F45" s="1">
        <f>SUMIFS('WH+RT PREVIOUS'!$M$2:$M$15000,'WH+RT PREVIOUS'!$B$2:$B$15000,"N.C.Urea(45kg)",'WH+RT PREVIOUS'!$R$2:$R$15000,"289310",'WH+RT PREVIOUS'!$N$2:$N$15000,"&gt;179",'WH+RT PREVIOUS'!$N$2:$N$15000,"&lt;366")</f>
        <v>1.53</v>
      </c>
      <c r="G45" s="1">
        <f>SUMIFS('WH+RT PREVIOUS'!$M$2:$M$15000,'WH+RT PREVIOUS'!$B$2:$B$15000,"15-15-15",'WH+RT PREVIOUS'!$R$2:$R$15000,"289310",'WH+RT PREVIOUS'!$N$2:$N$15000,"&gt;179",'WH+RT PREVIOUS'!$N$2:$N$15000,"&lt;366")</f>
        <v>0.5</v>
      </c>
      <c r="H45" s="1">
        <f>SUMIFS('WH+RT PREVIOUS'!$M$2:$M$15000,'WH+RT PREVIOUS'!$B$2:$B$15000,"Imp 10-26-26",'WH+RT PREVIOUS'!$R$2:$R$15000,"289310",'WH+RT PREVIOUS'!$N$2:$N$15000,"&gt;179",'WH+RT PREVIOUS'!$N$2:$N$15000,"&lt;366")</f>
        <v>0</v>
      </c>
      <c r="I45" s="1">
        <f>SUMIFS('WH+RT PREVIOUS'!$M$2:$M$15000,'WH+RT PREVIOUS'!$B$2:$B$15000,"MOP",'WH+RT PREVIOUS'!$R$2:$R$15000,"289310",'WH+RT PREVIOUS'!$N$2:$N$15000,"&gt;179",'WH+RT PREVIOUS'!$N$2:$N$15000,"&lt;366")</f>
        <v>0</v>
      </c>
      <c r="J45" s="1">
        <f>SUMIFS('WH+RT PREVIOUS'!$M$2:$M$15000,'WH+RT PREVIOUS'!$B$2:$B$15000,"Imp DAP",'WH+RT PREVIOUS'!$R$2:$R$15000,"289310",'WH+RT PREVIOUS'!$N$2:$N$15000,"&gt;179",'WH+RT PREVIOUS'!$N$2:$N$15000,"&lt;366")</f>
        <v>0</v>
      </c>
      <c r="K45" s="1">
        <f>F45+G45+H45+I45+J45</f>
        <v>2.0300000000000002</v>
      </c>
      <c r="L45" s="1">
        <f>SUMIFS('WH+RT CURRENT'!$M$2:$M$15000,'WH+RT CURRENT'!$B$2:$B$15000,"N.C.Urea(45kg)",'WH+RT CURRENT'!$R$2:$R$15000,"289310",'WH+RT CURRENT'!$N$2:$N$15000,"&gt;179",'WH+RT CURRENT'!$N$2:$N$15000,"&lt;366")</f>
        <v>1.53</v>
      </c>
      <c r="M45" s="1">
        <f>SUMIFS('WH+RT CURRENT'!$M$2:$M$15000,'WH+RT CURRENT'!$B$2:$B$15000,"15-15-15",'WH+RT CURRENT'!$R$2:$R$15000,"289310",'WH+RT CURRENT'!$N$2:$N$15000,"&gt;179",'WH+RT CURRENT'!$N$2:$N$15000,"&lt;366")</f>
        <v>0.5</v>
      </c>
      <c r="N45" s="1">
        <f>SUMIFS('WH+RT CURRENT'!$M$2:$M$15000,'WH+RT CURRENT'!$B$2:$B$15000,"Imp 10-26-26",'WH+RT CURRENT'!$R$2:$R$15000,"289310",'WH+RT CURRENT'!$N$2:$N$15000,"&gt;179",'WH+RT CURRENT'!$N$2:$N$15000,"&lt;366")</f>
        <v>0</v>
      </c>
      <c r="O45" s="1">
        <f>SUMIFS('WH+RT CURRENT'!$M$2:$M$15000,'WH+RT CURRENT'!$B$2:$B$15000,"MOP",'WH+RT CURRENT'!$R$2:$R$15000,"289310",'WH+RT CURRENT'!$N$2:$N$15000,"&gt;179",'WH+RT CURRENT'!$N$2:$N$15000,"&lt;366")</f>
        <v>0</v>
      </c>
      <c r="P45" s="1">
        <f>SUMIFS('WH+RT CURRENT'!$M$2:$M$15000,'WH+RT CURRENT'!$B$2:$B$15000,"Imp DAP",'WH+RT CURRENT'!$R$2:$R$15000,"289310",'WH+RT CURRENT'!$N$2:$N$15000,"&gt;179",'WH+RT CURRENT'!$N$2:$N$15000,"&lt;366")</f>
        <v>0</v>
      </c>
      <c r="Q45" s="1">
        <f>L45+M45+N45+O45+P45</f>
        <v>2.0300000000000002</v>
      </c>
    </row>
    <row r="46" spans="5:17" x14ac:dyDescent="0.25">
      <c r="E46" s="2" t="s">
        <v>6</v>
      </c>
      <c r="F46" s="1">
        <f>SUMIFS('WH+RT PREVIOUS'!$M$2:$M$15000,'WH+RT PREVIOUS'!$B$2:$B$15000,"N.C.Urea(45kg)",'WH+RT PREVIOUS'!$R$2:$R$15000,"289310",'WH+RT PREVIOUS'!$N$2:$N$15000,"&gt;365")</f>
        <v>0</v>
      </c>
      <c r="G46" s="1">
        <f>SUMIFS('WH+RT PREVIOUS'!$M$2:$M$15000,'WH+RT PREVIOUS'!$B$2:$B$15000,"15-15-15",'WH+RT PREVIOUS'!$R$2:$R$15000,"289310",'WH+RT PREVIOUS'!$N$2:$N$15000,"&gt;365")</f>
        <v>0</v>
      </c>
      <c r="H46" s="1">
        <f>SUMIFS('WH+RT PREVIOUS'!$M$2:$M$15000,'WH+RT PREVIOUS'!$B$2:$B$15000,"Imp 10-26-26",'WH+RT PREVIOUS'!$R$2:$R$15000,"289310",'WH+RT PREVIOUS'!$N$2:$N$15000,"&gt;365")</f>
        <v>0</v>
      </c>
      <c r="I46" s="1">
        <f>SUMIFS('WH+RT PREVIOUS'!$M$2:$M$15000,'WH+RT PREVIOUS'!$B$2:$B$15000,"MOP",'WH+RT PREVIOUS'!$R$2:$R$15000,"289310",'WH+RT PREVIOUS'!$N$2:$N$15000,"&gt;365")</f>
        <v>0.55000000000000004</v>
      </c>
      <c r="J46" s="1">
        <f>SUMIFS('WH+RT PREVIOUS'!$M$2:$M$15000,'WH+RT PREVIOUS'!$B$2:$B$15000,"Imp DAP",'WH+RT PREVIOUS'!$R$2:$R$15000,"289310",'WH+RT PREVIOUS'!$N$2:$N$15000,"&gt;365")</f>
        <v>0</v>
      </c>
      <c r="K46" s="1">
        <f t="shared" ref="K46:K48" si="8">F46+G46+H46+I46+J46</f>
        <v>0.55000000000000004</v>
      </c>
      <c r="L46" s="1">
        <f>SUMIFS('WH+RT CURRENT'!$M$2:$M$15000,'WH+RT CURRENT'!$B$2:$B$15000,"N.C.Urea(45kg)",'WH+RT CURRENT'!$R$2:$R$15000,"289310",'WH+RT CURRENT'!$N$2:$N$15000,"&gt;365")</f>
        <v>0</v>
      </c>
      <c r="M46" s="1">
        <f>SUMIFS('WH+RT CURRENT'!$M$2:$M$15000,'WH+RT CURRENT'!$B$2:$B$15000,"15-15-15",'WH+RT CURRENT'!$R$2:$R$15000,"289310",'WH+RT CURRENT'!$N$2:$N$15000,"&gt;365")</f>
        <v>0</v>
      </c>
      <c r="N46" s="1">
        <f>SUMIFS('WH+RT CURRENT'!$M$2:$M$15000,'WH+RT CURRENT'!$B$2:$B$15000,"Imp 10-26-26",'WH+RT CURRENT'!$R$2:$R$15000,"289310",'WH+RT CURRENT'!$N$2:$N$15000,"&gt;365")</f>
        <v>0</v>
      </c>
      <c r="O46" s="1">
        <f>SUMIFS('WH+RT CURRENT'!$M$2:$M$15000,'WH+RT CURRENT'!$B$2:$B$15000,"MOP",'WH+RT CURRENT'!$R$2:$R$15000,"289310",'WH+RT CURRENT'!$N$2:$N$15000,"&gt;365")</f>
        <v>0.55000000000000004</v>
      </c>
      <c r="P46" s="1">
        <f>SUMIFS('WH+RT CURRENT'!$M$2:$M$15000,'WH+RT CURRENT'!$B$2:$B$15000,"Imp DAP",'WH+RT CURRENT'!$R$2:$R$15000,"289310",'WH+RT CURRENT'!$N$2:$N$15000,"&gt;365")</f>
        <v>0</v>
      </c>
      <c r="Q46" s="1">
        <f t="shared" ref="Q46:Q48" si="9">L46+M46+N46+O46+P46</f>
        <v>0.55000000000000004</v>
      </c>
    </row>
    <row r="47" spans="5:17" x14ac:dyDescent="0.25">
      <c r="E47" s="2" t="s">
        <v>7</v>
      </c>
      <c r="F47" s="1">
        <f>F45+F46</f>
        <v>1.53</v>
      </c>
      <c r="G47" s="1">
        <f>G45+G46</f>
        <v>0.5</v>
      </c>
      <c r="H47" s="1">
        <f>H45+H46</f>
        <v>0</v>
      </c>
      <c r="I47" s="1">
        <f>I45+I46</f>
        <v>0.55000000000000004</v>
      </c>
      <c r="J47" s="1">
        <f>J45+J46</f>
        <v>0</v>
      </c>
      <c r="K47" s="1">
        <f t="shared" si="8"/>
        <v>2.58</v>
      </c>
      <c r="L47" s="1">
        <f>L45+L46</f>
        <v>1.53</v>
      </c>
      <c r="M47" s="1">
        <f>M45+M46</f>
        <v>0.5</v>
      </c>
      <c r="N47" s="1">
        <f>N45+N46</f>
        <v>0</v>
      </c>
      <c r="O47" s="1">
        <f>O45+O46</f>
        <v>0.55000000000000004</v>
      </c>
      <c r="P47" s="1">
        <f>P45+P46</f>
        <v>0</v>
      </c>
      <c r="Q47" s="1">
        <f t="shared" si="9"/>
        <v>2.58</v>
      </c>
    </row>
    <row r="48" spans="5:17" x14ac:dyDescent="0.25">
      <c r="E48" s="2" t="s">
        <v>9</v>
      </c>
      <c r="F48" s="1">
        <f>SUMIFS('WH+RT PREVIOUS'!$M$2:$M$15000,'WH+RT PREVIOUS'!$B$2:$B$15000,"N.C.Urea(45kg)",'WH+RT PREVIOUS'!$R$2:$R$15000,"289310")</f>
        <v>55.945</v>
      </c>
      <c r="G48" s="1">
        <f>SUMIFS('WH+RT PREVIOUS'!$M$2:$M$15000,'WH+RT PREVIOUS'!$B$2:$B$15000,"15-15-15",'WH+RT PREVIOUS'!$R$2:$R$15000,"289310")</f>
        <v>29.7</v>
      </c>
      <c r="H48" s="1">
        <f>SUMIFS('WH+RT PREVIOUS'!$M$2:$M$15000,'WH+RT PREVIOUS'!$B$2:$B$15000,"Imp 10-26-26",'WH+RT PREVIOUS'!$R$2:$R$15000,"289310")</f>
        <v>1</v>
      </c>
      <c r="I48" s="1">
        <f>SUMIFS('WH+RT PREVIOUS'!$M$2:$M$15000,'WH+RT PREVIOUS'!$B$2:$B$15000,"MOP",'WH+RT PREVIOUS'!$R$2:$R$15000,"289310")</f>
        <v>0.55000000000000004</v>
      </c>
      <c r="J48" s="1">
        <f>SUMIFS('WH+RT PREVIOUS'!$M$2:$M$15000,'WH+RT PREVIOUS'!$B$2:$B$15000,"Imp DAP",'WH+RT PREVIOUS'!$R$2:$R$15000,"289310")</f>
        <v>0</v>
      </c>
      <c r="K48" s="1">
        <f t="shared" si="8"/>
        <v>87.194999999999993</v>
      </c>
      <c r="L48" s="1">
        <f>SUMIFS('WH+RT CURRENT'!$M$2:$M$15000,'WH+RT CURRENT'!$B$2:$B$15000,"N.C.Urea(45kg)",'WH+RT CURRENT'!$R$2:$R$15000,"289310")</f>
        <v>51.744999999999997</v>
      </c>
      <c r="M48" s="1">
        <f>SUMIFS('WH+RT CURRENT'!$M$2:$M$15000,'WH+RT CURRENT'!$B$2:$B$15000,"15-15-15",'WH+RT CURRENT'!$R$2:$R$15000,"289310")</f>
        <v>24</v>
      </c>
      <c r="N48" s="1">
        <f>SUMIFS('WH+RT CURRENT'!$M$2:$M$15000,'WH+RT CURRENT'!$B$2:$B$15000,"Imp 10-26-26",'WH+RT CURRENT'!$R$2:$R$15000,"289310")</f>
        <v>0</v>
      </c>
      <c r="O48" s="1">
        <f>SUMIFS('WH+RT CURRENT'!$M$2:$M$15000,'WH+RT CURRENT'!$B$2:$B$15000,"MOP",'WH+RT CURRENT'!$R$2:$R$15000,"289310")</f>
        <v>0.55000000000000004</v>
      </c>
      <c r="P48" s="1">
        <f>SUMIFS('WH+RT CURRENT'!$M$2:$M$15000,'WH+RT CURRENT'!$B$2:$B$15000,"Imp DAP",'WH+RT CURRENT'!$R$2:$R$15000,"289310")</f>
        <v>0</v>
      </c>
      <c r="Q48" s="1">
        <f t="shared" si="9"/>
        <v>76.295000000000002</v>
      </c>
    </row>
    <row r="51" spans="5:17" x14ac:dyDescent="0.25">
      <c r="E51" s="12" t="s">
        <v>872</v>
      </c>
      <c r="F51" s="12"/>
      <c r="G51" s="12"/>
      <c r="H51" s="12"/>
      <c r="I51" s="12"/>
      <c r="J51" s="12"/>
      <c r="K51" s="12"/>
      <c r="L51" s="12"/>
      <c r="M51" s="12"/>
      <c r="N51" s="12"/>
      <c r="O51" s="12"/>
      <c r="P51" s="12"/>
      <c r="Q51" s="12"/>
    </row>
    <row r="52" spans="5:17" x14ac:dyDescent="0.25">
      <c r="E52" s="13"/>
      <c r="F52" s="15" t="s">
        <v>8147</v>
      </c>
      <c r="G52" s="15"/>
      <c r="H52" s="15"/>
      <c r="I52" s="15"/>
      <c r="J52" s="15"/>
      <c r="K52" s="15"/>
      <c r="L52" s="15" t="s">
        <v>8148</v>
      </c>
      <c r="M52" s="15"/>
      <c r="N52" s="15"/>
      <c r="O52" s="15"/>
      <c r="P52" s="15"/>
      <c r="Q52" s="15"/>
    </row>
    <row r="53" spans="5:17" x14ac:dyDescent="0.25">
      <c r="E53" s="14"/>
      <c r="F53" s="2" t="s">
        <v>0</v>
      </c>
      <c r="G53" s="2" t="s">
        <v>1</v>
      </c>
      <c r="H53" s="2" t="s">
        <v>2</v>
      </c>
      <c r="I53" s="2" t="s">
        <v>3</v>
      </c>
      <c r="J53" s="2" t="s">
        <v>8128</v>
      </c>
      <c r="K53" s="2" t="s">
        <v>4</v>
      </c>
      <c r="L53" s="2" t="s">
        <v>0</v>
      </c>
      <c r="M53" s="2" t="s">
        <v>1</v>
      </c>
      <c r="N53" s="2" t="s">
        <v>2</v>
      </c>
      <c r="O53" s="2" t="s">
        <v>3</v>
      </c>
      <c r="P53" s="2" t="s">
        <v>8128</v>
      </c>
      <c r="Q53" s="2" t="s">
        <v>4</v>
      </c>
    </row>
    <row r="54" spans="5:17" x14ac:dyDescent="0.25">
      <c r="E54" s="2" t="s">
        <v>5</v>
      </c>
      <c r="F54" s="1">
        <f>SUMIFS('WH+RT PREVIOUS'!$M$2:$M$15000,'WH+RT PREVIOUS'!$B$2:$B$15000,"N.C.Urea(45kg)",'WH+RT PREVIOUS'!$R$2:$R$15000,"465152",'WH+RT PREVIOUS'!$N$2:$N$15000,"&gt;179",'WH+RT PREVIOUS'!$N$2:$N$15000,"&lt;366")</f>
        <v>0</v>
      </c>
      <c r="G54" s="1">
        <f>SUMIFS('WH+RT PREVIOUS'!$M$2:$M$15000,'WH+RT PREVIOUS'!$B$2:$B$15000,"15-15-15",'WH+RT PREVIOUS'!$R$2:$R$15000,"465152",'WH+RT PREVIOUS'!$N$2:$N$15000,"&gt;179",'WH+RT PREVIOUS'!$N$2:$N$15000,"&lt;366")</f>
        <v>0.35</v>
      </c>
      <c r="H54" s="1">
        <f>SUMIFS('WH+RT PREVIOUS'!$M$2:$M$15000,'WH+RT PREVIOUS'!$B$2:$B$15000,"Imp 10-26-26",'WH+RT PREVIOUS'!$R$2:$R$15000,"465152",'WH+RT PREVIOUS'!$N$2:$N$15000,"&gt;179",'WH+RT PREVIOUS'!$N$2:$N$15000,"&lt;366")</f>
        <v>0</v>
      </c>
      <c r="I54" s="1">
        <f>SUMIFS('WH+RT PREVIOUS'!$M$2:$M$15000,'WH+RT PREVIOUS'!$B$2:$B$15000,"MOP",'WH+RT PREVIOUS'!$R$2:$R$15000,"465152",'WH+RT PREVIOUS'!$N$2:$N$15000,"&gt;179",'WH+RT PREVIOUS'!$N$2:$N$15000,"&lt;366")</f>
        <v>0</v>
      </c>
      <c r="J54" s="1">
        <f>SUMIFS('WH+RT PREVIOUS'!$M$2:$M$15000,'WH+RT PREVIOUS'!$B$2:$B$15000,"Imp DAP",'WH+RT PREVIOUS'!$R$2:$R$15000,"465152",'WH+RT PREVIOUS'!$N$2:$N$15000,"&gt;179",'WH+RT PREVIOUS'!$N$2:$N$15000,"&lt;366")</f>
        <v>0</v>
      </c>
      <c r="K54" s="1">
        <f>F54+G54+H54+I54+J54</f>
        <v>0.35</v>
      </c>
      <c r="L54" s="1">
        <f>SUMIFS('WH+RT CURRENT'!$M$2:$M$15000,'WH+RT CURRENT'!$B$2:$B$15000,"N.C.Urea(45kg)",'WH+RT CURRENT'!$R$2:$R$15000,"465152",'WH+RT CURRENT'!$N$2:$N$15000,"&gt;179",'WH+RT CURRENT'!$N$2:$N$15000,"&lt;366")</f>
        <v>0</v>
      </c>
      <c r="M54" s="1">
        <f>SUMIFS('WH+RT CURRENT'!$M$2:$M$15000,'WH+RT CURRENT'!$B$2:$B$15000,"15-15-15",'WH+RT CURRENT'!$R$2:$R$15000,"465152",'WH+RT CURRENT'!$N$2:$N$15000,"&gt;179",'WH+RT CURRENT'!$N$2:$N$15000,"&lt;366")</f>
        <v>0.05</v>
      </c>
      <c r="N54" s="1">
        <f>SUMIFS('WH+RT CURRENT'!$M$2:$M$15000,'WH+RT CURRENT'!$B$2:$B$15000,"Imp 10-26-26",'WH+RT CURRENT'!$R$2:$R$15000,"465152",'WH+RT CURRENT'!$N$2:$N$15000,"&gt;179",'WH+RT CURRENT'!$N$2:$N$15000,"&lt;366")</f>
        <v>0</v>
      </c>
      <c r="O54" s="1">
        <f>SUMIFS('WH+RT CURRENT'!$M$2:$M$15000,'WH+RT CURRENT'!$B$2:$B$15000,"MOP",'WH+RT CURRENT'!$R$2:$R$15000,"465152",'WH+RT CURRENT'!$N$2:$N$15000,"&gt;179",'WH+RT CURRENT'!$N$2:$N$15000,"&lt;366")</f>
        <v>0</v>
      </c>
      <c r="P54" s="1">
        <f>SUMIFS('WH+RT CURRENT'!$M$2:$M$15000,'WH+RT CURRENT'!$B$2:$B$15000,"Imp DAP",'WH+RT CURRENT'!$R$2:$R$15000,"465152",'WH+RT CURRENT'!$N$2:$N$15000,"&gt;179",'WH+RT CURRENT'!$N$2:$N$15000,"&lt;366")</f>
        <v>0</v>
      </c>
      <c r="Q54" s="1">
        <f>L54+M54+N54+O54+P54</f>
        <v>0.05</v>
      </c>
    </row>
    <row r="55" spans="5:17" x14ac:dyDescent="0.25">
      <c r="E55" s="2" t="s">
        <v>6</v>
      </c>
      <c r="F55" s="1">
        <f>SUMIFS('WH+RT PREVIOUS'!$M$2:$M$15000,'WH+RT PREVIOUS'!$B$2:$B$15000,"N.C.Urea(45kg)",'WH+RT PREVIOUS'!$R$2:$R$15000,"465152",'WH+RT PREVIOUS'!$N$2:$N$15000,"&gt;365")</f>
        <v>0</v>
      </c>
      <c r="G55" s="1">
        <f>SUMIFS('WH+RT PREVIOUS'!$M$2:$M$15000,'WH+RT PREVIOUS'!$B$2:$B$15000,"15-15-15",'WH+RT PREVIOUS'!$R$2:$R$15000,"465152",'WH+RT PREVIOUS'!$N$2:$N$15000,"&gt;365")</f>
        <v>0</v>
      </c>
      <c r="H55" s="1">
        <f>SUMIFS('WH+RT PREVIOUS'!$M$2:$M$15000,'WH+RT PREVIOUS'!$B$2:$B$15000,"Imp 10-26-26",'WH+RT PREVIOUS'!$R$2:$R$15000,"465152",'WH+RT PREVIOUS'!$N$2:$N$15000,"&gt;365")</f>
        <v>0</v>
      </c>
      <c r="I55" s="1">
        <f>SUMIFS('WH+RT PREVIOUS'!$M$2:$M$15000,'WH+RT PREVIOUS'!$B$2:$B$15000,"MOP",'WH+RT PREVIOUS'!$R$2:$R$15000,"465152",'WH+RT PREVIOUS'!$N$2:$N$15000,"&gt;365")</f>
        <v>0</v>
      </c>
      <c r="J55" s="1">
        <f>SUMIFS('WH+RT PREVIOUS'!$M$2:$M$15000,'WH+RT PREVIOUS'!$B$2:$B$15000,"Imp DAP",'WH+RT PREVIOUS'!$R$2:$R$15000,"465152",'WH+RT PREVIOUS'!$N$2:$N$15000,"&gt;365")</f>
        <v>0</v>
      </c>
      <c r="K55" s="1">
        <f t="shared" ref="K55:K57" si="10">F55+G55+H55+I55+J55</f>
        <v>0</v>
      </c>
      <c r="L55" s="1">
        <f>SUMIFS('WH+RT CURRENT'!$M$2:$M$15000,'WH+RT CURRENT'!$B$2:$B$15000,"N.C.Urea(45kg)",'WH+RT CURRENT'!$R$2:$R$15000,"465152",'WH+RT CURRENT'!$N$2:$N$15000,"&gt;365")</f>
        <v>0</v>
      </c>
      <c r="M55" s="1">
        <f>SUMIFS('WH+RT CURRENT'!$M$2:$M$15000,'WH+RT CURRENT'!$B$2:$B$15000,"15-15-15",'WH+RT CURRENT'!$R$2:$R$15000,"465152",'WH+RT CURRENT'!$N$2:$N$15000,"&gt;365")</f>
        <v>0.3</v>
      </c>
      <c r="N55" s="1">
        <f>SUMIFS('WH+RT CURRENT'!$M$2:$M$15000,'WH+RT CURRENT'!$B$2:$B$15000,"Imp 10-26-26",'WH+RT CURRENT'!$R$2:$R$15000,"465152",'WH+RT CURRENT'!$N$2:$N$15000,"&gt;365")</f>
        <v>0</v>
      </c>
      <c r="O55" s="1">
        <f>SUMIFS('WH+RT CURRENT'!$M$2:$M$15000,'WH+RT CURRENT'!$B$2:$B$15000,"MOP",'WH+RT CURRENT'!$R$2:$R$15000,"465152",'WH+RT CURRENT'!$N$2:$N$15000,"&gt;365")</f>
        <v>0</v>
      </c>
      <c r="P55" s="1">
        <f>SUMIFS('WH+RT CURRENT'!$M$2:$M$15000,'WH+RT CURRENT'!$B$2:$B$15000,"Imp DAP",'WH+RT CURRENT'!$R$2:$R$15000,"465152",'WH+RT CURRENT'!$N$2:$N$15000,"&gt;365")</f>
        <v>0</v>
      </c>
      <c r="Q55" s="1">
        <f t="shared" ref="Q55:Q57" si="11">L55+M55+N55+O55+P55</f>
        <v>0.3</v>
      </c>
    </row>
    <row r="56" spans="5:17" x14ac:dyDescent="0.25">
      <c r="E56" s="2" t="s">
        <v>7</v>
      </c>
      <c r="F56" s="1">
        <f>F54+F55</f>
        <v>0</v>
      </c>
      <c r="G56" s="1">
        <f>G54+G55</f>
        <v>0.35</v>
      </c>
      <c r="H56" s="1">
        <f>H54+H55</f>
        <v>0</v>
      </c>
      <c r="I56" s="1">
        <f>I54+I55</f>
        <v>0</v>
      </c>
      <c r="J56" s="1">
        <f>J54+J55</f>
        <v>0</v>
      </c>
      <c r="K56" s="1">
        <f t="shared" si="10"/>
        <v>0.35</v>
      </c>
      <c r="L56" s="1">
        <f>L54+L55</f>
        <v>0</v>
      </c>
      <c r="M56" s="1">
        <f>M54+M55</f>
        <v>0.35</v>
      </c>
      <c r="N56" s="1">
        <f>N54+N55</f>
        <v>0</v>
      </c>
      <c r="O56" s="1">
        <f>O54+O55</f>
        <v>0</v>
      </c>
      <c r="P56" s="1">
        <f>P54+P55</f>
        <v>0</v>
      </c>
      <c r="Q56" s="1">
        <f t="shared" si="11"/>
        <v>0.35</v>
      </c>
    </row>
    <row r="57" spans="5:17" x14ac:dyDescent="0.25">
      <c r="E57" s="2" t="s">
        <v>9</v>
      </c>
      <c r="F57" s="1">
        <f>SUMIFS('WH+RT PREVIOUS'!$M$2:$M$15000,'WH+RT PREVIOUS'!$B$2:$B$15000,"N.C.Urea(45kg)",'WH+RT PREVIOUS'!$R$2:$R$15000,"465152")</f>
        <v>14.625</v>
      </c>
      <c r="G57" s="1">
        <f>SUMIFS('WH+RT PREVIOUS'!$M$2:$M$15000,'WH+RT PREVIOUS'!$B$2:$B$15000,"15-15-15",'WH+RT PREVIOUS'!$R$2:$R$15000,"465152")</f>
        <v>21.900000000000002</v>
      </c>
      <c r="H57" s="1">
        <f>SUMIFS('WH+RT PREVIOUS'!$M$2:$M$15000,'WH+RT PREVIOUS'!$B$2:$B$15000,"Imp 10-26-26",'WH+RT PREVIOUS'!$R$2:$R$15000,"465152")</f>
        <v>3.75</v>
      </c>
      <c r="I57" s="1">
        <f>SUMIFS('WH+RT PREVIOUS'!$M$2:$M$15000,'WH+RT PREVIOUS'!$B$2:$B$15000,"MOP",'WH+RT PREVIOUS'!$R$2:$R$15000,"465152")</f>
        <v>0</v>
      </c>
      <c r="J57" s="1">
        <f>SUMIFS('WH+RT PREVIOUS'!$M$2:$M$15000,'WH+RT PREVIOUS'!$B$2:$B$15000,"Imp DAP",'WH+RT PREVIOUS'!$R$2:$R$15000,"465152")</f>
        <v>0</v>
      </c>
      <c r="K57" s="1">
        <f t="shared" si="10"/>
        <v>40.275000000000006</v>
      </c>
      <c r="L57" s="1">
        <f>SUMIFS('WH+RT CURRENT'!$M$2:$M$15000,'WH+RT CURRENT'!$B$2:$B$15000,"N.C.Urea(45kg)",'WH+RT CURRENT'!$R$2:$R$15000,"465152")</f>
        <v>13.77</v>
      </c>
      <c r="M57" s="1">
        <f>SUMIFS('WH+RT CURRENT'!$M$2:$M$15000,'WH+RT CURRENT'!$B$2:$B$15000,"15-15-15",'WH+RT CURRENT'!$R$2:$R$15000,"465152")</f>
        <v>19.3</v>
      </c>
      <c r="N57" s="1">
        <f>SUMIFS('WH+RT CURRENT'!$M$2:$M$15000,'WH+RT CURRENT'!$B$2:$B$15000,"Imp 10-26-26",'WH+RT CURRENT'!$R$2:$R$15000,"465152")</f>
        <v>3.75</v>
      </c>
      <c r="O57" s="1">
        <f>SUMIFS('WH+RT CURRENT'!$M$2:$M$15000,'WH+RT CURRENT'!$B$2:$B$15000,"MOP",'WH+RT CURRENT'!$R$2:$R$15000,"465152")</f>
        <v>0</v>
      </c>
      <c r="P57" s="1">
        <f>SUMIFS('WH+RT CURRENT'!$M$2:$M$15000,'WH+RT CURRENT'!$B$2:$B$15000,"Imp DAP",'WH+RT CURRENT'!$R$2:$R$15000,"465152")</f>
        <v>0</v>
      </c>
      <c r="Q57" s="1">
        <f t="shared" si="11"/>
        <v>36.82</v>
      </c>
    </row>
    <row r="60" spans="5:17" x14ac:dyDescent="0.25">
      <c r="E60" s="12" t="s">
        <v>817</v>
      </c>
      <c r="F60" s="12"/>
      <c r="G60" s="12"/>
      <c r="H60" s="12"/>
      <c r="I60" s="12"/>
      <c r="J60" s="12"/>
      <c r="K60" s="12"/>
      <c r="L60" s="12"/>
      <c r="M60" s="12"/>
      <c r="N60" s="12"/>
      <c r="O60" s="12"/>
      <c r="P60" s="12"/>
      <c r="Q60" s="12"/>
    </row>
    <row r="61" spans="5:17" x14ac:dyDescent="0.25">
      <c r="E61" s="13"/>
      <c r="F61" s="15" t="s">
        <v>8147</v>
      </c>
      <c r="G61" s="15"/>
      <c r="H61" s="15"/>
      <c r="I61" s="15"/>
      <c r="J61" s="15"/>
      <c r="K61" s="15"/>
      <c r="L61" s="15" t="s">
        <v>8148</v>
      </c>
      <c r="M61" s="15"/>
      <c r="N61" s="15"/>
      <c r="O61" s="15"/>
      <c r="P61" s="15"/>
      <c r="Q61" s="15"/>
    </row>
    <row r="62" spans="5:17" x14ac:dyDescent="0.25">
      <c r="E62" s="14"/>
      <c r="F62" s="2" t="s">
        <v>0</v>
      </c>
      <c r="G62" s="2" t="s">
        <v>1</v>
      </c>
      <c r="H62" s="2" t="s">
        <v>2</v>
      </c>
      <c r="I62" s="2" t="s">
        <v>3</v>
      </c>
      <c r="J62" s="2" t="s">
        <v>8128</v>
      </c>
      <c r="K62" s="2" t="s">
        <v>4</v>
      </c>
      <c r="L62" s="2" t="s">
        <v>0</v>
      </c>
      <c r="M62" s="2" t="s">
        <v>1</v>
      </c>
      <c r="N62" s="2" t="s">
        <v>2</v>
      </c>
      <c r="O62" s="2" t="s">
        <v>3</v>
      </c>
      <c r="P62" s="2" t="s">
        <v>8128</v>
      </c>
      <c r="Q62" s="2" t="s">
        <v>4</v>
      </c>
    </row>
    <row r="63" spans="5:17" x14ac:dyDescent="0.25">
      <c r="E63" s="2" t="s">
        <v>5</v>
      </c>
      <c r="F63" s="1">
        <f>SUMIFS('WH+RT PREVIOUS'!$M$2:$M$15000,'WH+RT PREVIOUS'!$B$2:$B$15000,"N.C.Urea(45kg)",'WH+RT PREVIOUS'!$R$2:$R$15000,"289315",'WH+RT PREVIOUS'!$N$2:$N$15000,"&gt;179",'WH+RT PREVIOUS'!$N$2:$N$15000,"&lt;366")</f>
        <v>3.7249999999999996</v>
      </c>
      <c r="G63" s="1">
        <f>SUMIFS('WH+RT PREVIOUS'!$M$2:$M$15000,'WH+RT PREVIOUS'!$B$2:$B$15000,"15-15-15",'WH+RT PREVIOUS'!$R$2:$R$15000,"289315",'WH+RT PREVIOUS'!$N$2:$N$15000,"&gt;179",'WH+RT PREVIOUS'!$N$2:$N$15000,"&lt;366")</f>
        <v>0</v>
      </c>
      <c r="H63" s="1">
        <f>SUMIFS('WH+RT PREVIOUS'!$M$2:$M$15000,'WH+RT PREVIOUS'!$B$2:$B$15000,"Imp 10-26-26",'WH+RT PREVIOUS'!$R$2:$R$15000,"289315",'WH+RT PREVIOUS'!$N$2:$N$15000,"&gt;179",'WH+RT PREVIOUS'!$N$2:$N$15000,"&lt;366")</f>
        <v>0</v>
      </c>
      <c r="I63" s="1">
        <f>SUMIFS('WH+RT PREVIOUS'!$M$2:$M$15000,'WH+RT PREVIOUS'!$B$2:$B$15000,"MOP",'WH+RT PREVIOUS'!$R$2:$R$15000,"289315",'WH+RT PREVIOUS'!$N$2:$N$15000,"&gt;179",'WH+RT PREVIOUS'!$N$2:$N$15000,"&lt;366")</f>
        <v>0</v>
      </c>
      <c r="J63" s="1">
        <f>SUMIFS('WH+RT PREVIOUS'!$M$2:$M$15000,'WH+RT PREVIOUS'!$B$2:$B$15000,"Imp DAP",'WH+RT PREVIOUS'!$R$2:$R$15000,"289315",'WH+RT PREVIOUS'!$N$2:$N$15000,"&gt;179",'WH+RT PREVIOUS'!$N$2:$N$15000,"&lt;366")</f>
        <v>0</v>
      </c>
      <c r="K63" s="1">
        <f>F63+G63+H63+I63+J63</f>
        <v>3.7249999999999996</v>
      </c>
      <c r="L63" s="1">
        <f>SUMIFS('WH+RT CURRENT'!$M$2:$M$15000,'WH+RT CURRENT'!$B$2:$B$15000,"N.C.Urea(45kg)",'WH+RT CURRENT'!$R$2:$R$15000,"289315",'WH+RT CURRENT'!$N$2:$N$15000,"&gt;179",'WH+RT CURRENT'!$N$2:$N$15000,"&lt;366")</f>
        <v>3.7250000000000001</v>
      </c>
      <c r="M63" s="1">
        <f>SUMIFS('WH+RT CURRENT'!$M$2:$M$15000,'WH+RT CURRENT'!$B$2:$B$15000,"15-15-15",'WH+RT CURRENT'!$R$2:$R$15000,"289315",'WH+RT CURRENT'!$N$2:$N$15000,"&gt;179",'WH+RT CURRENT'!$N$2:$N$15000,"&lt;366")</f>
        <v>0</v>
      </c>
      <c r="N63" s="1">
        <f>SUMIFS('WH+RT CURRENT'!$M$2:$M$15000,'WH+RT CURRENT'!$B$2:$B$15000,"Imp 10-26-26",'WH+RT CURRENT'!$R$2:$R$15000,"289315",'WH+RT CURRENT'!$N$2:$N$15000,"&gt;179",'WH+RT CURRENT'!$N$2:$N$15000,"&lt;366")</f>
        <v>0</v>
      </c>
      <c r="O63" s="1">
        <f>SUMIFS('WH+RT CURRENT'!$M$2:$M$15000,'WH+RT CURRENT'!$B$2:$B$15000,"MOP",'WH+RT CURRENT'!$R$2:$R$15000,"289315",'WH+RT CURRENT'!$N$2:$N$15000,"&gt;179",'WH+RT CURRENT'!$N$2:$N$15000,"&lt;366")</f>
        <v>0</v>
      </c>
      <c r="P63" s="1">
        <f>SUMIFS('WH+RT CURRENT'!$M$2:$M$15000,'WH+RT CURRENT'!$B$2:$B$15000,"Imp DAP",'WH+RT CURRENT'!$R$2:$R$15000,"289315",'WH+RT CURRENT'!$N$2:$N$15000,"&gt;179",'WH+RT CURRENT'!$N$2:$N$15000,"&lt;366")</f>
        <v>0</v>
      </c>
      <c r="Q63" s="1">
        <f>L63+M63+N63+O63+P63</f>
        <v>3.7250000000000001</v>
      </c>
    </row>
    <row r="64" spans="5:17" x14ac:dyDescent="0.25">
      <c r="E64" s="2" t="s">
        <v>6</v>
      </c>
      <c r="F64" s="1">
        <f>SUMIFS('WH+RT PREVIOUS'!$M$2:$M$15000,'WH+RT PREVIOUS'!$B$2:$B$15000,"N.C.Urea(45kg)",'WH+RT PREVIOUS'!$R$2:$R$15000,"289315",'WH+RT PREVIOUS'!$N$2:$N$15000,"&gt;365")</f>
        <v>0</v>
      </c>
      <c r="G64" s="1">
        <f>SUMIFS('WH+RT PREVIOUS'!$M$2:$M$15000,'WH+RT PREVIOUS'!$B$2:$B$15000,"15-15-15",'WH+RT PREVIOUS'!$R$2:$R$15000,"289315",'WH+RT PREVIOUS'!$N$2:$N$15000,"&gt;365")</f>
        <v>0</v>
      </c>
      <c r="H64" s="1">
        <f>SUMIFS('WH+RT PREVIOUS'!$M$2:$M$15000,'WH+RT PREVIOUS'!$B$2:$B$15000,"Imp 10-26-26",'WH+RT PREVIOUS'!$R$2:$R$15000,"289315",'WH+RT PREVIOUS'!$N$2:$N$15000,"&gt;365")</f>
        <v>0</v>
      </c>
      <c r="I64" s="1">
        <f>SUMIFS('WH+RT PREVIOUS'!$M$2:$M$15000,'WH+RT PREVIOUS'!$B$2:$B$15000,"MOP",'WH+RT PREVIOUS'!$R$2:$R$15000,"289315",'WH+RT PREVIOUS'!$N$2:$N$15000,"&gt;365")</f>
        <v>0</v>
      </c>
      <c r="J64" s="1">
        <f>SUMIFS('WH+RT PREVIOUS'!$M$2:$M$15000,'WH+RT PREVIOUS'!$B$2:$B$15000,"Imp DAP",'WH+RT PREVIOUS'!$R$2:$R$15000,"289315",'WH+RT PREVIOUS'!$N$2:$N$15000,"&gt;365")</f>
        <v>0</v>
      </c>
      <c r="K64" s="1">
        <f t="shared" ref="K64:K66" si="12">F64+G64+H64+I64+J64</f>
        <v>0</v>
      </c>
      <c r="L64" s="1">
        <f>SUMIFS('WH+RT CURRENT'!$M$2:$M$15000,'WH+RT CURRENT'!$B$2:$B$15000,"N.C.Urea(45kg)",'WH+RT CURRENT'!$R$2:$R$15000,"289315",'WH+RT CURRENT'!$N$2:$N$15000,"&gt;365")</f>
        <v>0</v>
      </c>
      <c r="M64" s="1">
        <f>SUMIFS('WH+RT CURRENT'!$M$2:$M$15000,'WH+RT CURRENT'!$B$2:$B$15000,"15-15-15",'WH+RT CURRENT'!$R$2:$R$15000,"289315",'WH+RT CURRENT'!$N$2:$N$15000,"&gt;365")</f>
        <v>0</v>
      </c>
      <c r="N64" s="1">
        <f>SUMIFS('WH+RT CURRENT'!$M$2:$M$15000,'WH+RT CURRENT'!$B$2:$B$15000,"Imp 10-26-26",'WH+RT CURRENT'!$R$2:$R$15000,"289315",'WH+RT CURRENT'!$N$2:$N$15000,"&gt;365")</f>
        <v>0</v>
      </c>
      <c r="O64" s="1">
        <f>SUMIFS('WH+RT CURRENT'!$M$2:$M$15000,'WH+RT CURRENT'!$B$2:$B$15000,"MOP",'WH+RT CURRENT'!$R$2:$R$15000,"289315",'WH+RT CURRENT'!$N$2:$N$15000,"&gt;365")</f>
        <v>0</v>
      </c>
      <c r="P64" s="1">
        <f>SUMIFS('WH+RT CURRENT'!$M$2:$M$15000,'WH+RT CURRENT'!$B$2:$B$15000,"Imp DAP",'WH+RT CURRENT'!$R$2:$R$15000,"289315",'WH+RT CURRENT'!$N$2:$N$15000,"&gt;365")</f>
        <v>0</v>
      </c>
      <c r="Q64" s="1">
        <f t="shared" ref="Q64:Q66" si="13">L64+M64+N64+O64+P64</f>
        <v>0</v>
      </c>
    </row>
    <row r="65" spans="5:17" x14ac:dyDescent="0.25">
      <c r="E65" s="2" t="s">
        <v>7</v>
      </c>
      <c r="F65" s="1">
        <f>F63+F64</f>
        <v>3.7249999999999996</v>
      </c>
      <c r="G65" s="1">
        <f>G63+G64</f>
        <v>0</v>
      </c>
      <c r="H65" s="1">
        <f>H63+H64</f>
        <v>0</v>
      </c>
      <c r="I65" s="1">
        <f>I63+I64</f>
        <v>0</v>
      </c>
      <c r="J65" s="1">
        <f>J63+J64</f>
        <v>0</v>
      </c>
      <c r="K65" s="1">
        <f t="shared" si="12"/>
        <v>3.7249999999999996</v>
      </c>
      <c r="L65" s="1">
        <f>L63+L64</f>
        <v>3.7250000000000001</v>
      </c>
      <c r="M65" s="1">
        <f>M63+M64</f>
        <v>0</v>
      </c>
      <c r="N65" s="1">
        <f>N63+N64</f>
        <v>0</v>
      </c>
      <c r="O65" s="1">
        <f>O63+O64</f>
        <v>0</v>
      </c>
      <c r="P65" s="1">
        <f>P63+P64</f>
        <v>0</v>
      </c>
      <c r="Q65" s="1">
        <f t="shared" si="13"/>
        <v>3.7250000000000001</v>
      </c>
    </row>
    <row r="66" spans="5:17" x14ac:dyDescent="0.25">
      <c r="E66" s="2" t="s">
        <v>9</v>
      </c>
      <c r="F66" s="1">
        <f>SUMIFS('WH+RT PREVIOUS'!$M$2:$M$15000,'WH+RT PREVIOUS'!$B$2:$B$15000,"N.C.Urea(45kg)",'WH+RT PREVIOUS'!$R$2:$R$15000,"289315")</f>
        <v>132.64999999999998</v>
      </c>
      <c r="G66" s="1">
        <f>SUMIFS('WH+RT PREVIOUS'!$M$2:$M$15000,'WH+RT PREVIOUS'!$B$2:$B$15000,"15-15-15",'WH+RT PREVIOUS'!$R$2:$R$15000,"289315")</f>
        <v>99.174999999999997</v>
      </c>
      <c r="H66" s="1">
        <f>SUMIFS('WH+RT PREVIOUS'!$M$2:$M$15000,'WH+RT PREVIOUS'!$B$2:$B$15000,"Imp 10-26-26",'WH+RT PREVIOUS'!$R$2:$R$15000,"289315")</f>
        <v>28.099999999999998</v>
      </c>
      <c r="I66" s="1">
        <f>SUMIFS('WH+RT PREVIOUS'!$M$2:$M$15000,'WH+RT PREVIOUS'!$B$2:$B$15000,"MOP",'WH+RT PREVIOUS'!$R$2:$R$15000,"289315")</f>
        <v>0</v>
      </c>
      <c r="J66" s="1">
        <f>SUMIFS('WH+RT PREVIOUS'!$M$2:$M$15000,'WH+RT PREVIOUS'!$B$2:$B$15000,"Imp DAP",'WH+RT PREVIOUS'!$R$2:$R$15000,"289315")</f>
        <v>0</v>
      </c>
      <c r="K66" s="1">
        <f t="shared" si="12"/>
        <v>259.92500000000001</v>
      </c>
      <c r="L66" s="1">
        <f>SUMIFS('WH+RT CURRENT'!$M$2:$M$15000,'WH+RT CURRENT'!$B$2:$B$15000,"N.C.Urea(45kg)",'WH+RT CURRENT'!$R$2:$R$15000,"289315")</f>
        <v>129.95000000000002</v>
      </c>
      <c r="M66" s="1">
        <f>SUMIFS('WH+RT CURRENT'!$M$2:$M$15000,'WH+RT CURRENT'!$B$2:$B$15000,"15-15-15",'WH+RT CURRENT'!$R$2:$R$15000,"289315")</f>
        <v>90.674999999999997</v>
      </c>
      <c r="N66" s="1">
        <f>SUMIFS('WH+RT CURRENT'!$M$2:$M$15000,'WH+RT CURRENT'!$B$2:$B$15000,"Imp 10-26-26",'WH+RT CURRENT'!$R$2:$R$15000,"289315")</f>
        <v>28.099999999999998</v>
      </c>
      <c r="O66" s="1">
        <f>SUMIFS('WH+RT CURRENT'!$M$2:$M$15000,'WH+RT CURRENT'!$B$2:$B$15000,"MOP",'WH+RT CURRENT'!$R$2:$R$15000,"289315")</f>
        <v>0</v>
      </c>
      <c r="P66" s="1">
        <f>SUMIFS('WH+RT CURRENT'!$M$2:$M$15000,'WH+RT CURRENT'!$B$2:$B$15000,"Imp DAP",'WH+RT CURRENT'!$R$2:$R$15000,"289315")</f>
        <v>0</v>
      </c>
      <c r="Q66" s="1">
        <f t="shared" si="13"/>
        <v>248.72499999999999</v>
      </c>
    </row>
    <row r="69" spans="5:17" x14ac:dyDescent="0.25">
      <c r="E69" s="12" t="s">
        <v>894</v>
      </c>
      <c r="F69" s="12"/>
      <c r="G69" s="12"/>
      <c r="H69" s="12"/>
      <c r="I69" s="12"/>
      <c r="J69" s="12"/>
      <c r="K69" s="12"/>
      <c r="L69" s="12"/>
      <c r="M69" s="12"/>
      <c r="N69" s="12"/>
      <c r="O69" s="12"/>
      <c r="P69" s="12"/>
      <c r="Q69" s="12"/>
    </row>
    <row r="70" spans="5:17" x14ac:dyDescent="0.25">
      <c r="E70" s="13"/>
      <c r="F70" s="15" t="s">
        <v>8147</v>
      </c>
      <c r="G70" s="15"/>
      <c r="H70" s="15"/>
      <c r="I70" s="15"/>
      <c r="J70" s="15"/>
      <c r="K70" s="15"/>
      <c r="L70" s="15" t="s">
        <v>8148</v>
      </c>
      <c r="M70" s="15"/>
      <c r="N70" s="15"/>
      <c r="O70" s="15"/>
      <c r="P70" s="15"/>
      <c r="Q70" s="15"/>
    </row>
    <row r="71" spans="5:17" x14ac:dyDescent="0.25">
      <c r="E71" s="14"/>
      <c r="F71" s="2" t="s">
        <v>0</v>
      </c>
      <c r="G71" s="2" t="s">
        <v>1</v>
      </c>
      <c r="H71" s="2" t="s">
        <v>2</v>
      </c>
      <c r="I71" s="2" t="s">
        <v>3</v>
      </c>
      <c r="J71" s="2" t="s">
        <v>8128</v>
      </c>
      <c r="K71" s="2" t="s">
        <v>4</v>
      </c>
      <c r="L71" s="2" t="s">
        <v>0</v>
      </c>
      <c r="M71" s="2" t="s">
        <v>1</v>
      </c>
      <c r="N71" s="2" t="s">
        <v>2</v>
      </c>
      <c r="O71" s="2" t="s">
        <v>3</v>
      </c>
      <c r="P71" s="2" t="s">
        <v>8128</v>
      </c>
      <c r="Q71" s="2" t="s">
        <v>4</v>
      </c>
    </row>
    <row r="72" spans="5:17" x14ac:dyDescent="0.25">
      <c r="E72" s="2" t="s">
        <v>5</v>
      </c>
      <c r="F72" s="1">
        <f>SUMIFS('WH+RT PREVIOUS'!$M$2:$M$15000,'WH+RT PREVIOUS'!$B$2:$B$15000,"N.C.Urea(45kg)",'WH+RT PREVIOUS'!$R$2:$R$15000,"211642",'WH+RT PREVIOUS'!$N$2:$N$15000,"&gt;179",'WH+RT PREVIOUS'!$N$2:$N$15000,"&lt;366")</f>
        <v>0</v>
      </c>
      <c r="G72" s="1">
        <f>SUMIFS('WH+RT PREVIOUS'!$M$2:$M$15000,'WH+RT PREVIOUS'!$B$2:$B$15000,"15-15-15",'WH+RT PREVIOUS'!$R$2:$R$15000,"211642",'WH+RT PREVIOUS'!$N$2:$N$15000,"&gt;179",'WH+RT PREVIOUS'!$N$2:$N$15000,"&lt;366")</f>
        <v>0</v>
      </c>
      <c r="H72" s="1">
        <f>SUMIFS('WH+RT PREVIOUS'!$M$2:$M$15000,'WH+RT PREVIOUS'!$B$2:$B$15000,"Imp 10-26-26",'WH+RT PREVIOUS'!$R$2:$R$15000,"211642",'WH+RT PREVIOUS'!$N$2:$N$15000,"&gt;179",'WH+RT PREVIOUS'!$N$2:$N$15000,"&lt;366")</f>
        <v>0</v>
      </c>
      <c r="I72" s="1">
        <f>SUMIFS('WH+RT PREVIOUS'!$M$2:$M$15000,'WH+RT PREVIOUS'!$B$2:$B$15000,"MOP",'WH+RT PREVIOUS'!$R$2:$R$15000,"211642",'WH+RT PREVIOUS'!$N$2:$N$15000,"&gt;179",'WH+RT PREVIOUS'!$N$2:$N$15000,"&lt;366")</f>
        <v>0</v>
      </c>
      <c r="J72" s="1">
        <f>SUMIFS('WH+RT PREVIOUS'!$M$2:$M$15000,'WH+RT PREVIOUS'!$B$2:$B$15000,"Imp DAP",'WH+RT PREVIOUS'!$R$2:$R$15000,"211642",'WH+RT PREVIOUS'!$N$2:$N$15000,"&gt;179",'WH+RT PREVIOUS'!$N$2:$N$15000,"&lt;366")</f>
        <v>0</v>
      </c>
      <c r="K72" s="1">
        <f>F72+G72+H72+I72+J72</f>
        <v>0</v>
      </c>
      <c r="L72" s="1">
        <f>SUMIFS('WH+RT CURRENT'!$M$2:$M$15000,'WH+RT CURRENT'!$B$2:$B$15000,"N.C.Urea(45kg)",'WH+RT CURRENT'!$R$2:$R$15000,"211642",'WH+RT CURRENT'!$N$2:$N$15000,"&gt;179",'WH+RT CURRENT'!$N$2:$N$15000,"&lt;366")</f>
        <v>0</v>
      </c>
      <c r="M72" s="1">
        <f>SUMIFS('WH+RT CURRENT'!$M$2:$M$15000,'WH+RT CURRENT'!$B$2:$B$15000,"15-15-15",'WH+RT CURRENT'!$R$2:$R$15000,"211642",'WH+RT CURRENT'!$N$2:$N$15000,"&gt;179",'WH+RT CURRENT'!$N$2:$N$15000,"&lt;366")</f>
        <v>0</v>
      </c>
      <c r="N72" s="1">
        <f>SUMIFS('WH+RT CURRENT'!$M$2:$M$15000,'WH+RT CURRENT'!$B$2:$B$15000,"Imp 10-26-26",'WH+RT CURRENT'!$R$2:$R$15000,"211642",'WH+RT CURRENT'!$N$2:$N$15000,"&gt;179",'WH+RT CURRENT'!$N$2:$N$15000,"&lt;366")</f>
        <v>0</v>
      </c>
      <c r="O72" s="1">
        <f>SUMIFS('WH+RT CURRENT'!$M$2:$M$15000,'WH+RT CURRENT'!$B$2:$B$15000,"MOP",'WH+RT CURRENT'!$R$2:$R$15000,"211642",'WH+RT CURRENT'!$N$2:$N$15000,"&gt;179",'WH+RT CURRENT'!$N$2:$N$15000,"&lt;366")</f>
        <v>0</v>
      </c>
      <c r="P72" s="1">
        <f>SUMIFS('WH+RT CURRENT'!$M$2:$M$15000,'WH+RT CURRENT'!$B$2:$B$15000,"Imp DAP",'WH+RT CURRENT'!$R$2:$R$15000,"211642",'WH+RT CURRENT'!$N$2:$N$15000,"&gt;179",'WH+RT CURRENT'!$N$2:$N$15000,"&lt;366")</f>
        <v>0</v>
      </c>
      <c r="Q72" s="1">
        <f>L72+M72+N72+O72+P72</f>
        <v>0</v>
      </c>
    </row>
    <row r="73" spans="5:17" x14ac:dyDescent="0.25">
      <c r="E73" s="2" t="s">
        <v>6</v>
      </c>
      <c r="F73" s="1">
        <f>SUMIFS('WH+RT PREVIOUS'!$M$2:$M$15000,'WH+RT PREVIOUS'!$B$2:$B$15000,"N.C.Urea(45kg)",'WH+RT PREVIOUS'!$R$2:$R$15000,"211642",'WH+RT PREVIOUS'!$N$2:$N$15000,"&gt;365")</f>
        <v>0</v>
      </c>
      <c r="G73" s="1">
        <f>SUMIFS('WH+RT PREVIOUS'!$M$2:$M$15000,'WH+RT PREVIOUS'!$B$2:$B$15000,"15-15-15",'WH+RT PREVIOUS'!$R$2:$R$15000,"211642",'WH+RT PREVIOUS'!$N$2:$N$15000,"&gt;365")</f>
        <v>0</v>
      </c>
      <c r="H73" s="1">
        <f>SUMIFS('WH+RT PREVIOUS'!$M$2:$M$15000,'WH+RT PREVIOUS'!$B$2:$B$15000,"Imp 10-26-26",'WH+RT PREVIOUS'!$R$2:$R$15000,"211642",'WH+RT PREVIOUS'!$N$2:$N$15000,"&gt;365")</f>
        <v>0</v>
      </c>
      <c r="I73" s="1">
        <f>SUMIFS('WH+RT PREVIOUS'!$M$2:$M$15000,'WH+RT PREVIOUS'!$B$2:$B$15000,"MOP",'WH+RT PREVIOUS'!$R$2:$R$15000,"211642",'WH+RT PREVIOUS'!$N$2:$N$15000,"&gt;365")</f>
        <v>0</v>
      </c>
      <c r="J73" s="1">
        <f>SUMIFS('WH+RT PREVIOUS'!$M$2:$M$15000,'WH+RT PREVIOUS'!$B$2:$B$15000,"Imp DAP",'WH+RT PREVIOUS'!$R$2:$R$15000,"211642",'WH+RT PREVIOUS'!$N$2:$N$15000,"&gt;365")</f>
        <v>0</v>
      </c>
      <c r="K73" s="1">
        <f t="shared" ref="K73:K75" si="14">F73+G73+H73+I73+J73</f>
        <v>0</v>
      </c>
      <c r="L73" s="1">
        <f>SUMIFS('WH+RT CURRENT'!$M$2:$M$15000,'WH+RT CURRENT'!$B$2:$B$15000,"N.C.Urea(45kg)",'WH+RT CURRENT'!$R$2:$R$15000,"211642",'WH+RT CURRENT'!$N$2:$N$15000,"&gt;365")</f>
        <v>0</v>
      </c>
      <c r="M73" s="1">
        <f>SUMIFS('WH+RT CURRENT'!$M$2:$M$15000,'WH+RT CURRENT'!$B$2:$B$15000,"15-15-15",'WH+RT CURRENT'!$R$2:$R$15000,"211642",'WH+RT CURRENT'!$N$2:$N$15000,"&gt;365")</f>
        <v>0</v>
      </c>
      <c r="N73" s="1">
        <f>SUMIFS('WH+RT CURRENT'!$M$2:$M$15000,'WH+RT CURRENT'!$B$2:$B$15000,"Imp 10-26-26",'WH+RT CURRENT'!$R$2:$R$15000,"211642",'WH+RT CURRENT'!$N$2:$N$15000,"&gt;365")</f>
        <v>0</v>
      </c>
      <c r="O73" s="1">
        <f>SUMIFS('WH+RT CURRENT'!$M$2:$M$15000,'WH+RT CURRENT'!$B$2:$B$15000,"MOP",'WH+RT CURRENT'!$R$2:$R$15000,"211642",'WH+RT CURRENT'!$N$2:$N$15000,"&gt;365")</f>
        <v>0</v>
      </c>
      <c r="P73" s="1">
        <f>SUMIFS('WH+RT CURRENT'!$M$2:$M$15000,'WH+RT CURRENT'!$B$2:$B$15000,"Imp DAP",'WH+RT CURRENT'!$R$2:$R$15000,"211642",'WH+RT CURRENT'!$N$2:$N$15000,"&gt;365")</f>
        <v>0</v>
      </c>
      <c r="Q73" s="1">
        <f t="shared" ref="Q73:Q75" si="15">L73+M73+N73+O73+P73</f>
        <v>0</v>
      </c>
    </row>
    <row r="74" spans="5:17" x14ac:dyDescent="0.25">
      <c r="E74" s="2" t="s">
        <v>7</v>
      </c>
      <c r="F74" s="1">
        <f>F72+F73</f>
        <v>0</v>
      </c>
      <c r="G74" s="1">
        <f>G72+G73</f>
        <v>0</v>
      </c>
      <c r="H74" s="1">
        <f>H72+H73</f>
        <v>0</v>
      </c>
      <c r="I74" s="1">
        <f>I72+I73</f>
        <v>0</v>
      </c>
      <c r="J74" s="1">
        <f>J72+J73</f>
        <v>0</v>
      </c>
      <c r="K74" s="1">
        <f t="shared" si="14"/>
        <v>0</v>
      </c>
      <c r="L74" s="1">
        <f>L72+L73</f>
        <v>0</v>
      </c>
      <c r="M74" s="1">
        <f>M72+M73</f>
        <v>0</v>
      </c>
      <c r="N74" s="1">
        <f>N72+N73</f>
        <v>0</v>
      </c>
      <c r="O74" s="1">
        <f>O72+O73</f>
        <v>0</v>
      </c>
      <c r="P74" s="1">
        <f>P72+P73</f>
        <v>0</v>
      </c>
      <c r="Q74" s="1">
        <f t="shared" si="15"/>
        <v>0</v>
      </c>
    </row>
    <row r="75" spans="5:17" x14ac:dyDescent="0.25">
      <c r="E75" s="2" t="s">
        <v>9</v>
      </c>
      <c r="F75" s="1">
        <f>SUMIFS('WH+RT PREVIOUS'!$M$2:$M$15000,'WH+RT PREVIOUS'!$B$2:$B$15000,"N.C.Urea(45kg)",'WH+RT PREVIOUS'!$R$2:$R$15000,"211642")</f>
        <v>17.965</v>
      </c>
      <c r="G75" s="1">
        <f>SUMIFS('WH+RT PREVIOUS'!$M$2:$M$15000,'WH+RT PREVIOUS'!$B$2:$B$15000,"15-15-15",'WH+RT PREVIOUS'!$R$2:$R$15000,"211642")</f>
        <v>30.605</v>
      </c>
      <c r="H75" s="1">
        <f>SUMIFS('WH+RT PREVIOUS'!$M$2:$M$15000,'WH+RT PREVIOUS'!$B$2:$B$15000,"Imp 10-26-26",'WH+RT PREVIOUS'!$R$2:$R$15000,"211642")</f>
        <v>12</v>
      </c>
      <c r="I75" s="1">
        <f>SUMIFS('WH+RT PREVIOUS'!$M$2:$M$15000,'WH+RT PREVIOUS'!$B$2:$B$15000,"MOP",'WH+RT PREVIOUS'!$R$2:$R$15000,"211642")</f>
        <v>0</v>
      </c>
      <c r="J75" s="1">
        <f>SUMIFS('WH+RT PREVIOUS'!$M$2:$M$15000,'WH+RT PREVIOUS'!$B$2:$B$15000,"Imp DAP",'WH+RT PREVIOUS'!$R$2:$R$15000,"211642")</f>
        <v>0</v>
      </c>
      <c r="K75" s="1">
        <f t="shared" si="14"/>
        <v>60.57</v>
      </c>
      <c r="L75" s="1">
        <f>SUMIFS('WH+RT CURRENT'!$M$2:$M$15000,'WH+RT CURRENT'!$B$2:$B$15000,"N.C.Urea(45kg)",'WH+RT CURRENT'!$R$2:$R$15000,"211642")</f>
        <v>17.155000000000001</v>
      </c>
      <c r="M75" s="1">
        <f>SUMIFS('WH+RT CURRENT'!$M$2:$M$15000,'WH+RT CURRENT'!$B$2:$B$15000,"15-15-15",'WH+RT CURRENT'!$R$2:$R$15000,"211642")</f>
        <v>10.605</v>
      </c>
      <c r="N75" s="1">
        <f>SUMIFS('WH+RT CURRENT'!$M$2:$M$15000,'WH+RT CURRENT'!$B$2:$B$15000,"Imp 10-26-26",'WH+RT CURRENT'!$R$2:$R$15000,"211642")</f>
        <v>12</v>
      </c>
      <c r="O75" s="1">
        <f>SUMIFS('WH+RT CURRENT'!$M$2:$M$15000,'WH+RT CURRENT'!$B$2:$B$15000,"MOP",'WH+RT CURRENT'!$R$2:$R$15000,"211642")</f>
        <v>0</v>
      </c>
      <c r="P75" s="1">
        <f>SUMIFS('WH+RT CURRENT'!$M$2:$M$15000,'WH+RT CURRENT'!$B$2:$B$15000,"Imp DAP",'WH+RT CURRENT'!$R$2:$R$15000,"211642")</f>
        <v>0</v>
      </c>
      <c r="Q75" s="1">
        <f t="shared" si="15"/>
        <v>39.760000000000005</v>
      </c>
    </row>
    <row r="78" spans="5:17" x14ac:dyDescent="0.25">
      <c r="E78" s="12" t="s">
        <v>935</v>
      </c>
      <c r="F78" s="12"/>
      <c r="G78" s="12"/>
      <c r="H78" s="12"/>
      <c r="I78" s="12"/>
      <c r="J78" s="12"/>
      <c r="K78" s="12"/>
      <c r="L78" s="12"/>
      <c r="M78" s="12"/>
      <c r="N78" s="12"/>
      <c r="O78" s="12"/>
      <c r="P78" s="12"/>
      <c r="Q78" s="12"/>
    </row>
    <row r="79" spans="5:17" x14ac:dyDescent="0.25">
      <c r="E79" s="13"/>
      <c r="F79" s="15" t="s">
        <v>8147</v>
      </c>
      <c r="G79" s="15"/>
      <c r="H79" s="15"/>
      <c r="I79" s="15"/>
      <c r="J79" s="15"/>
      <c r="K79" s="15"/>
      <c r="L79" s="15" t="s">
        <v>8148</v>
      </c>
      <c r="M79" s="15"/>
      <c r="N79" s="15"/>
      <c r="O79" s="15"/>
      <c r="P79" s="15"/>
      <c r="Q79" s="15"/>
    </row>
    <row r="80" spans="5:17" x14ac:dyDescent="0.25">
      <c r="E80" s="14"/>
      <c r="F80" s="2" t="s">
        <v>0</v>
      </c>
      <c r="G80" s="2" t="s">
        <v>1</v>
      </c>
      <c r="H80" s="2" t="s">
        <v>2</v>
      </c>
      <c r="I80" s="2" t="s">
        <v>3</v>
      </c>
      <c r="J80" s="2" t="s">
        <v>8128</v>
      </c>
      <c r="K80" s="2" t="s">
        <v>4</v>
      </c>
      <c r="L80" s="2" t="s">
        <v>0</v>
      </c>
      <c r="M80" s="2" t="s">
        <v>1</v>
      </c>
      <c r="N80" s="2" t="s">
        <v>2</v>
      </c>
      <c r="O80" s="2" t="s">
        <v>3</v>
      </c>
      <c r="P80" s="2" t="s">
        <v>8128</v>
      </c>
      <c r="Q80" s="2" t="s">
        <v>4</v>
      </c>
    </row>
    <row r="81" spans="5:17" x14ac:dyDescent="0.25">
      <c r="E81" s="2" t="s">
        <v>5</v>
      </c>
      <c r="F81" s="1">
        <f>SUMIFS('WH+RT PREVIOUS'!$M$2:$M$15000,'WH+RT PREVIOUS'!$B$2:$B$15000,"N.C.Urea(45kg)",'WH+RT PREVIOUS'!$R$2:$R$15000,"223285",'WH+RT PREVIOUS'!$N$2:$N$15000,"&gt;179",'WH+RT PREVIOUS'!$N$2:$N$15000,"&lt;366")</f>
        <v>20.615000000000002</v>
      </c>
      <c r="G81" s="1">
        <f>SUMIFS('WH+RT PREVIOUS'!$M$2:$M$15000,'WH+RT PREVIOUS'!$B$2:$B$15000,"15-15-15",'WH+RT PREVIOUS'!$R$2:$R$15000,"223285",'WH+RT PREVIOUS'!$N$2:$N$15000,"&gt;179",'WH+RT PREVIOUS'!$N$2:$N$15000,"&lt;366")</f>
        <v>2.036</v>
      </c>
      <c r="H81" s="1">
        <f>SUMIFS('WH+RT PREVIOUS'!$M$2:$M$15000,'WH+RT PREVIOUS'!$B$2:$B$15000,"Imp 10-26-26",'WH+RT PREVIOUS'!$R$2:$R$15000,"223285",'WH+RT PREVIOUS'!$N$2:$N$15000,"&gt;179",'WH+RT PREVIOUS'!$N$2:$N$15000,"&lt;366")</f>
        <v>2.95</v>
      </c>
      <c r="I81" s="1">
        <f>SUMIFS('WH+RT PREVIOUS'!$M$2:$M$15000,'WH+RT PREVIOUS'!$B$2:$B$15000,"MOP",'WH+RT PREVIOUS'!$R$2:$R$15000,"223285",'WH+RT PREVIOUS'!$N$2:$N$15000,"&gt;179",'WH+RT PREVIOUS'!$N$2:$N$15000,"&lt;366")</f>
        <v>0</v>
      </c>
      <c r="J81" s="1">
        <f>SUMIFS('WH+RT PREVIOUS'!$M$2:$M$15000,'WH+RT PREVIOUS'!$B$2:$B$15000,"Imp DAP",'WH+RT PREVIOUS'!$R$2:$R$15000,"223285",'WH+RT PREVIOUS'!$N$2:$N$15000,"&gt;179",'WH+RT PREVIOUS'!$N$2:$N$15000,"&lt;366")</f>
        <v>0</v>
      </c>
      <c r="K81" s="1">
        <f>F81+G81+H81+I81+J81</f>
        <v>25.601000000000003</v>
      </c>
      <c r="L81" s="1">
        <f>SUMIFS('WH+RT CURRENT'!$M$2:$M$15000,'WH+RT CURRENT'!$B$2:$B$15000,"N.C.Urea(45kg)",'WH+RT CURRENT'!$R$2:$R$15000,"223285",'WH+RT CURRENT'!$N$2:$N$15000,"&gt;179",'WH+RT CURRENT'!$N$2:$N$15000,"&lt;366")</f>
        <v>19.715</v>
      </c>
      <c r="M81" s="1">
        <f>SUMIFS('WH+RT CURRENT'!$M$2:$M$15000,'WH+RT CURRENT'!$B$2:$B$15000,"15-15-15",'WH+RT CURRENT'!$R$2:$R$15000,"223285",'WH+RT CURRENT'!$N$2:$N$15000,"&gt;179",'WH+RT CURRENT'!$N$2:$N$15000,"&lt;366")</f>
        <v>2.036</v>
      </c>
      <c r="N81" s="1">
        <f>SUMIFS('WH+RT CURRENT'!$M$2:$M$15000,'WH+RT CURRENT'!$B$2:$B$15000,"Imp 10-26-26",'WH+RT CURRENT'!$R$2:$R$15000,"223285",'WH+RT CURRENT'!$N$2:$N$15000,"&gt;179",'WH+RT CURRENT'!$N$2:$N$15000,"&lt;366")</f>
        <v>2.95</v>
      </c>
      <c r="O81" s="1">
        <f>SUMIFS('WH+RT CURRENT'!$M$2:$M$15000,'WH+RT CURRENT'!$B$2:$B$15000,"MOP",'WH+RT CURRENT'!$R$2:$R$15000,"223285",'WH+RT CURRENT'!$N$2:$N$15000,"&gt;179",'WH+RT CURRENT'!$N$2:$N$15000,"&lt;366")</f>
        <v>0</v>
      </c>
      <c r="P81" s="1">
        <f>SUMIFS('WH+RT CURRENT'!$M$2:$M$15000,'WH+RT CURRENT'!$B$2:$B$15000,"Imp DAP",'WH+RT CURRENT'!$R$2:$R$15000,"223285",'WH+RT CURRENT'!$N$2:$N$15000,"&gt;179",'WH+RT CURRENT'!$N$2:$N$15000,"&lt;366")</f>
        <v>0</v>
      </c>
      <c r="Q81" s="1">
        <f>L81+M81+N81+O81+P81</f>
        <v>24.701000000000001</v>
      </c>
    </row>
    <row r="82" spans="5:17" x14ac:dyDescent="0.25">
      <c r="E82" s="2" t="s">
        <v>6</v>
      </c>
      <c r="F82" s="1">
        <f>SUMIFS('WH+RT PREVIOUS'!$M$2:$M$15000,'WH+RT PREVIOUS'!$B$2:$B$15000,"N.C.Urea(45kg)",'WH+RT PREVIOUS'!$R$2:$R$15000,"223285",'WH+RT PREVIOUS'!$N$2:$N$15000,"&gt;365")</f>
        <v>13.724999999999998</v>
      </c>
      <c r="G82" s="1">
        <f>SUMIFS('WH+RT PREVIOUS'!$M$2:$M$15000,'WH+RT PREVIOUS'!$B$2:$B$15000,"15-15-15",'WH+RT PREVIOUS'!$R$2:$R$15000,"223285",'WH+RT PREVIOUS'!$N$2:$N$15000,"&gt;365")</f>
        <v>0.36</v>
      </c>
      <c r="H82" s="1">
        <f>SUMIFS('WH+RT PREVIOUS'!$M$2:$M$15000,'WH+RT PREVIOUS'!$B$2:$B$15000,"Imp 10-26-26",'WH+RT PREVIOUS'!$R$2:$R$15000,"223285",'WH+RT PREVIOUS'!$N$2:$N$15000,"&gt;365")</f>
        <v>0</v>
      </c>
      <c r="I82" s="1">
        <f>SUMIFS('WH+RT PREVIOUS'!$M$2:$M$15000,'WH+RT PREVIOUS'!$B$2:$B$15000,"MOP",'WH+RT PREVIOUS'!$R$2:$R$15000,"223285",'WH+RT PREVIOUS'!$N$2:$N$15000,"&gt;365")</f>
        <v>0</v>
      </c>
      <c r="J82" s="1">
        <f>SUMIFS('WH+RT PREVIOUS'!$M$2:$M$15000,'WH+RT PREVIOUS'!$B$2:$B$15000,"Imp DAP",'WH+RT PREVIOUS'!$R$2:$R$15000,"223285",'WH+RT PREVIOUS'!$N$2:$N$15000,"&gt;365")</f>
        <v>0</v>
      </c>
      <c r="K82" s="1">
        <f t="shared" ref="K82:K84" si="16">F82+G82+H82+I82+J82</f>
        <v>14.084999999999997</v>
      </c>
      <c r="L82" s="1">
        <f>SUMIFS('WH+RT CURRENT'!$M$2:$M$15000,'WH+RT CURRENT'!$B$2:$B$15000,"N.C.Urea(45kg)",'WH+RT CURRENT'!$R$2:$R$15000,"223285",'WH+RT CURRENT'!$N$2:$N$15000,"&gt;365")</f>
        <v>13.724999999999998</v>
      </c>
      <c r="M82" s="1">
        <f>SUMIFS('WH+RT CURRENT'!$M$2:$M$15000,'WH+RT CURRENT'!$B$2:$B$15000,"15-15-15",'WH+RT CURRENT'!$R$2:$R$15000,"223285",'WH+RT CURRENT'!$N$2:$N$15000,"&gt;365")</f>
        <v>0.36</v>
      </c>
      <c r="N82" s="1">
        <f>SUMIFS('WH+RT CURRENT'!$M$2:$M$15000,'WH+RT CURRENT'!$B$2:$B$15000,"Imp 10-26-26",'WH+RT CURRENT'!$R$2:$R$15000,"223285",'WH+RT CURRENT'!$N$2:$N$15000,"&gt;365")</f>
        <v>0</v>
      </c>
      <c r="O82" s="1">
        <f>SUMIFS('WH+RT CURRENT'!$M$2:$M$15000,'WH+RT CURRENT'!$B$2:$B$15000,"MOP",'WH+RT CURRENT'!$R$2:$R$15000,"223285",'WH+RT CURRENT'!$N$2:$N$15000,"&gt;365")</f>
        <v>0</v>
      </c>
      <c r="P82" s="1">
        <f>SUMIFS('WH+RT CURRENT'!$M$2:$M$15000,'WH+RT CURRENT'!$B$2:$B$15000,"Imp DAP",'WH+RT CURRENT'!$R$2:$R$15000,"223285",'WH+RT CURRENT'!$N$2:$N$15000,"&gt;365")</f>
        <v>0</v>
      </c>
      <c r="Q82" s="1">
        <f t="shared" ref="Q82:Q84" si="17">L82+M82+N82+O82+P82</f>
        <v>14.084999999999997</v>
      </c>
    </row>
    <row r="83" spans="5:17" x14ac:dyDescent="0.25">
      <c r="E83" s="2" t="s">
        <v>7</v>
      </c>
      <c r="F83" s="1">
        <f>F81+F82</f>
        <v>34.340000000000003</v>
      </c>
      <c r="G83" s="1">
        <f>G81+G82</f>
        <v>2.3959999999999999</v>
      </c>
      <c r="H83" s="1">
        <f>H81+H82</f>
        <v>2.95</v>
      </c>
      <c r="I83" s="1">
        <f>I81+I82</f>
        <v>0</v>
      </c>
      <c r="J83" s="1">
        <f>J81+J82</f>
        <v>0</v>
      </c>
      <c r="K83" s="1">
        <f t="shared" si="16"/>
        <v>39.686000000000007</v>
      </c>
      <c r="L83" s="1">
        <f>L81+L82</f>
        <v>33.44</v>
      </c>
      <c r="M83" s="1">
        <f>M81+M82</f>
        <v>2.3959999999999999</v>
      </c>
      <c r="N83" s="1">
        <f>N81+N82</f>
        <v>2.95</v>
      </c>
      <c r="O83" s="1">
        <f>O81+O82</f>
        <v>0</v>
      </c>
      <c r="P83" s="1">
        <f>P81+P82</f>
        <v>0</v>
      </c>
      <c r="Q83" s="1">
        <f t="shared" si="17"/>
        <v>38.786000000000001</v>
      </c>
    </row>
    <row r="84" spans="5:17" x14ac:dyDescent="0.25">
      <c r="E84" s="2" t="s">
        <v>9</v>
      </c>
      <c r="F84" s="1">
        <f>SUMIFS('WH+RT PREVIOUS'!$M$2:$M$15000,'WH+RT PREVIOUS'!$B$2:$B$15000,"N.C.Urea(45kg)",'WH+RT PREVIOUS'!$R$2:$R$15000,"223285")</f>
        <v>277.63499999999999</v>
      </c>
      <c r="G84" s="1">
        <f>SUMIFS('WH+RT PREVIOUS'!$M$2:$M$15000,'WH+RT PREVIOUS'!$B$2:$B$15000,"15-15-15",'WH+RT PREVIOUS'!$R$2:$R$15000,"223285")</f>
        <v>107.09700000000001</v>
      </c>
      <c r="H84" s="1">
        <f>SUMIFS('WH+RT PREVIOUS'!$M$2:$M$15000,'WH+RT PREVIOUS'!$B$2:$B$15000,"Imp 10-26-26",'WH+RT PREVIOUS'!$R$2:$R$15000,"223285")</f>
        <v>71.400000000000006</v>
      </c>
      <c r="I84" s="1">
        <f>SUMIFS('WH+RT PREVIOUS'!$M$2:$M$15000,'WH+RT PREVIOUS'!$B$2:$B$15000,"MOP",'WH+RT PREVIOUS'!$R$2:$R$15000,"223285")</f>
        <v>0</v>
      </c>
      <c r="J84" s="1">
        <f>SUMIFS('WH+RT PREVIOUS'!$M$2:$M$15000,'WH+RT PREVIOUS'!$B$2:$B$15000,"Imp DAP",'WH+RT PREVIOUS'!$R$2:$R$15000,"223285")</f>
        <v>0</v>
      </c>
      <c r="K84" s="1">
        <f t="shared" si="16"/>
        <v>456.13199999999995</v>
      </c>
      <c r="L84" s="1">
        <f>SUMIFS('WH+RT CURRENT'!$M$2:$M$15000,'WH+RT CURRENT'!$B$2:$B$15000,"N.C.Urea(45kg)",'WH+RT CURRENT'!$R$2:$R$15000,"223285")</f>
        <v>267.73000000000008</v>
      </c>
      <c r="M84" s="1">
        <f>SUMIFS('WH+RT CURRENT'!$M$2:$M$15000,'WH+RT CURRENT'!$B$2:$B$15000,"15-15-15",'WH+RT CURRENT'!$R$2:$R$15000,"223285")</f>
        <v>81.997000000000014</v>
      </c>
      <c r="N84" s="1">
        <f>SUMIFS('WH+RT CURRENT'!$M$2:$M$15000,'WH+RT CURRENT'!$B$2:$B$15000,"Imp 10-26-26",'WH+RT CURRENT'!$R$2:$R$15000,"223285")</f>
        <v>64.95</v>
      </c>
      <c r="O84" s="1">
        <f>SUMIFS('WH+RT CURRENT'!$M$2:$M$15000,'WH+RT CURRENT'!$B$2:$B$15000,"MOP",'WH+RT CURRENT'!$R$2:$R$15000,"223285")</f>
        <v>0</v>
      </c>
      <c r="P84" s="1">
        <f>SUMIFS('WH+RT CURRENT'!$M$2:$M$15000,'WH+RT CURRENT'!$B$2:$B$15000,"Imp DAP",'WH+RT CURRENT'!$R$2:$R$15000,"223285")</f>
        <v>0</v>
      </c>
      <c r="Q84" s="1">
        <f t="shared" si="17"/>
        <v>414.67700000000008</v>
      </c>
    </row>
    <row r="87" spans="5:17" x14ac:dyDescent="0.25">
      <c r="E87" s="12" t="s">
        <v>850</v>
      </c>
      <c r="F87" s="12"/>
      <c r="G87" s="12"/>
      <c r="H87" s="12"/>
      <c r="I87" s="12"/>
      <c r="J87" s="12"/>
      <c r="K87" s="12"/>
      <c r="L87" s="12"/>
      <c r="M87" s="12"/>
      <c r="N87" s="12"/>
      <c r="O87" s="12"/>
      <c r="P87" s="12"/>
      <c r="Q87" s="12"/>
    </row>
    <row r="88" spans="5:17" x14ac:dyDescent="0.25">
      <c r="E88" s="13"/>
      <c r="F88" s="15" t="s">
        <v>8147</v>
      </c>
      <c r="G88" s="15"/>
      <c r="H88" s="15"/>
      <c r="I88" s="15"/>
      <c r="J88" s="15"/>
      <c r="K88" s="15"/>
      <c r="L88" s="15" t="s">
        <v>8148</v>
      </c>
      <c r="M88" s="15"/>
      <c r="N88" s="15"/>
      <c r="O88" s="15"/>
      <c r="P88" s="15"/>
      <c r="Q88" s="15"/>
    </row>
    <row r="89" spans="5:17" x14ac:dyDescent="0.25">
      <c r="E89" s="14"/>
      <c r="F89" s="2" t="s">
        <v>0</v>
      </c>
      <c r="G89" s="2" t="s">
        <v>1</v>
      </c>
      <c r="H89" s="2" t="s">
        <v>2</v>
      </c>
      <c r="I89" s="2" t="s">
        <v>3</v>
      </c>
      <c r="J89" s="2" t="s">
        <v>8128</v>
      </c>
      <c r="K89" s="2" t="s">
        <v>4</v>
      </c>
      <c r="L89" s="2" t="s">
        <v>0</v>
      </c>
      <c r="M89" s="2" t="s">
        <v>1</v>
      </c>
      <c r="N89" s="2" t="s">
        <v>2</v>
      </c>
      <c r="O89" s="2" t="s">
        <v>3</v>
      </c>
      <c r="P89" s="2" t="s">
        <v>8128</v>
      </c>
      <c r="Q89" s="2" t="s">
        <v>4</v>
      </c>
    </row>
    <row r="90" spans="5:17" x14ac:dyDescent="0.25">
      <c r="E90" s="2" t="s">
        <v>5</v>
      </c>
      <c r="F90" s="1">
        <f>SUMIFS('WH+RT PREVIOUS'!$M$2:$M$15000,'WH+RT PREVIOUS'!$B$2:$B$15000,"N.C.Urea(45kg)",'WH+RT PREVIOUS'!$R$2:$R$15000,"223292",'WH+RT PREVIOUS'!$N$2:$N$15000,"&gt;179",'WH+RT PREVIOUS'!$N$2:$N$15000,"&lt;366")</f>
        <v>10.925999999999998</v>
      </c>
      <c r="G90" s="1">
        <f>SUMIFS('WH+RT PREVIOUS'!$M$2:$M$15000,'WH+RT PREVIOUS'!$B$2:$B$15000,"15-15-15",'WH+RT PREVIOUS'!$R$2:$R$15000,"223292",'WH+RT PREVIOUS'!$N$2:$N$15000,"&gt;179",'WH+RT PREVIOUS'!$N$2:$N$15000,"&lt;366")</f>
        <v>7.8</v>
      </c>
      <c r="H90" s="1">
        <f>SUMIFS('WH+RT PREVIOUS'!$M$2:$M$15000,'WH+RT PREVIOUS'!$B$2:$B$15000,"Imp 10-26-26",'WH+RT PREVIOUS'!$R$2:$R$15000,"223292",'WH+RT PREVIOUS'!$N$2:$N$15000,"&gt;179",'WH+RT PREVIOUS'!$N$2:$N$15000,"&lt;366")</f>
        <v>0</v>
      </c>
      <c r="I90" s="1">
        <f>SUMIFS('WH+RT PREVIOUS'!$M$2:$M$15000,'WH+RT PREVIOUS'!$B$2:$B$15000,"MOP",'WH+RT PREVIOUS'!$R$2:$R$15000,"223292",'WH+RT PREVIOUS'!$N$2:$N$15000,"&gt;179",'WH+RT PREVIOUS'!$N$2:$N$15000,"&lt;366")</f>
        <v>4.05</v>
      </c>
      <c r="J90" s="1">
        <f>SUMIFS('WH+RT PREVIOUS'!$M$2:$M$15000,'WH+RT PREVIOUS'!$B$2:$B$15000,"Imp DAP",'WH+RT PREVIOUS'!$R$2:$R$15000,"223292",'WH+RT PREVIOUS'!$N$2:$N$15000,"&gt;179",'WH+RT PREVIOUS'!$N$2:$N$15000,"&lt;366")</f>
        <v>0</v>
      </c>
      <c r="K90" s="1">
        <f>F90+G90+H90+I90+J90</f>
        <v>22.776</v>
      </c>
      <c r="L90" s="1">
        <f>SUMIFS('WH+RT CURRENT'!$M$2:$M$15000,'WH+RT CURRENT'!$B$2:$B$15000,"N.C.Urea(45kg)",'WH+RT CURRENT'!$R$2:$R$15000,"223292",'WH+RT CURRENT'!$N$2:$N$15000,"&gt;179",'WH+RT CURRENT'!$N$2:$N$15000,"&lt;366")</f>
        <v>10.926</v>
      </c>
      <c r="M90" s="1">
        <f>SUMIFS('WH+RT CURRENT'!$M$2:$M$15000,'WH+RT CURRENT'!$B$2:$B$15000,"15-15-15",'WH+RT CURRENT'!$R$2:$R$15000,"223292",'WH+RT CURRENT'!$N$2:$N$15000,"&gt;179",'WH+RT CURRENT'!$N$2:$N$15000,"&lt;366")</f>
        <v>7.8</v>
      </c>
      <c r="N90" s="1">
        <f>SUMIFS('WH+RT CURRENT'!$M$2:$M$15000,'WH+RT CURRENT'!$B$2:$B$15000,"Imp 10-26-26",'WH+RT CURRENT'!$R$2:$R$15000,"223292",'WH+RT CURRENT'!$N$2:$N$15000,"&gt;179",'WH+RT CURRENT'!$N$2:$N$15000,"&lt;366")</f>
        <v>0</v>
      </c>
      <c r="O90" s="1">
        <f>SUMIFS('WH+RT CURRENT'!$M$2:$M$15000,'WH+RT CURRENT'!$B$2:$B$15000,"MOP",'WH+RT CURRENT'!$R$2:$R$15000,"223292",'WH+RT CURRENT'!$N$2:$N$15000,"&gt;179",'WH+RT CURRENT'!$N$2:$N$15000,"&lt;366")</f>
        <v>4.05</v>
      </c>
      <c r="P90" s="1">
        <f>SUMIFS('WH+RT CURRENT'!$M$2:$M$15000,'WH+RT CURRENT'!$B$2:$B$15000,"Imp DAP",'WH+RT CURRENT'!$R$2:$R$15000,"223292",'WH+RT CURRENT'!$N$2:$N$15000,"&gt;179",'WH+RT CURRENT'!$N$2:$N$15000,"&lt;366")</f>
        <v>0</v>
      </c>
      <c r="Q90" s="1">
        <f>L90+M90+N90+O90+P90</f>
        <v>22.776</v>
      </c>
    </row>
    <row r="91" spans="5:17" x14ac:dyDescent="0.25">
      <c r="E91" s="2" t="s">
        <v>6</v>
      </c>
      <c r="F91" s="1">
        <f>SUMIFS('WH+RT PREVIOUS'!$M$2:$M$15000,'WH+RT PREVIOUS'!$B$2:$B$15000,"N.C.Urea(45kg)",'WH+RT PREVIOUS'!$R$2:$R$15000,"223292",'WH+RT PREVIOUS'!$N$2:$N$15000,"&gt;365")</f>
        <v>23.624999999999996</v>
      </c>
      <c r="G91" s="1">
        <f>SUMIFS('WH+RT PREVIOUS'!$M$2:$M$15000,'WH+RT PREVIOUS'!$B$2:$B$15000,"15-15-15",'WH+RT PREVIOUS'!$R$2:$R$15000,"223292",'WH+RT PREVIOUS'!$N$2:$N$15000,"&gt;365")</f>
        <v>3.4</v>
      </c>
      <c r="H91" s="1">
        <f>SUMIFS('WH+RT PREVIOUS'!$M$2:$M$15000,'WH+RT PREVIOUS'!$B$2:$B$15000,"Imp 10-26-26",'WH+RT PREVIOUS'!$R$2:$R$15000,"223292",'WH+RT PREVIOUS'!$N$2:$N$15000,"&gt;365")</f>
        <v>0</v>
      </c>
      <c r="I91" s="1">
        <f>SUMIFS('WH+RT PREVIOUS'!$M$2:$M$15000,'WH+RT PREVIOUS'!$B$2:$B$15000,"MOP",'WH+RT PREVIOUS'!$R$2:$R$15000,"223292",'WH+RT PREVIOUS'!$N$2:$N$15000,"&gt;365")</f>
        <v>0.85</v>
      </c>
      <c r="J91" s="1">
        <f>SUMIFS('WH+RT PREVIOUS'!$M$2:$M$15000,'WH+RT PREVIOUS'!$B$2:$B$15000,"Imp DAP",'WH+RT PREVIOUS'!$R$2:$R$15000,"223292",'WH+RT PREVIOUS'!$N$2:$N$15000,"&gt;365")</f>
        <v>0</v>
      </c>
      <c r="K91" s="1">
        <f t="shared" ref="K91:K93" si="18">F91+G91+H91+I91+J91</f>
        <v>27.874999999999996</v>
      </c>
      <c r="L91" s="1">
        <f>SUMIFS('WH+RT CURRENT'!$M$2:$M$15000,'WH+RT CURRENT'!$B$2:$B$15000,"N.C.Urea(45kg)",'WH+RT CURRENT'!$R$2:$R$15000,"223292",'WH+RT CURRENT'!$N$2:$N$15000,"&gt;365")</f>
        <v>23.22</v>
      </c>
      <c r="M91" s="1">
        <f>SUMIFS('WH+RT CURRENT'!$M$2:$M$15000,'WH+RT CURRENT'!$B$2:$B$15000,"15-15-15",'WH+RT CURRENT'!$R$2:$R$15000,"223292",'WH+RT CURRENT'!$N$2:$N$15000,"&gt;365")</f>
        <v>3.4</v>
      </c>
      <c r="N91" s="1">
        <f>SUMIFS('WH+RT CURRENT'!$M$2:$M$15000,'WH+RT CURRENT'!$B$2:$B$15000,"Imp 10-26-26",'WH+RT CURRENT'!$R$2:$R$15000,"223292",'WH+RT CURRENT'!$N$2:$N$15000,"&gt;365")</f>
        <v>0</v>
      </c>
      <c r="O91" s="1">
        <f>SUMIFS('WH+RT CURRENT'!$M$2:$M$15000,'WH+RT CURRENT'!$B$2:$B$15000,"MOP",'WH+RT CURRENT'!$R$2:$R$15000,"223292",'WH+RT CURRENT'!$N$2:$N$15000,"&gt;365")</f>
        <v>0.85</v>
      </c>
      <c r="P91" s="1">
        <f>SUMIFS('WH+RT CURRENT'!$M$2:$M$15000,'WH+RT CURRENT'!$B$2:$B$15000,"Imp DAP",'WH+RT CURRENT'!$R$2:$R$15000,"223292",'WH+RT CURRENT'!$N$2:$N$15000,"&gt;365")</f>
        <v>0</v>
      </c>
      <c r="Q91" s="1">
        <f t="shared" ref="Q91:Q93" si="19">L91+M91+N91+O91+P91</f>
        <v>27.47</v>
      </c>
    </row>
    <row r="92" spans="5:17" x14ac:dyDescent="0.25">
      <c r="E92" s="2" t="s">
        <v>7</v>
      </c>
      <c r="F92" s="1">
        <f>F90+F91</f>
        <v>34.550999999999995</v>
      </c>
      <c r="G92" s="1">
        <f>G90+G91</f>
        <v>11.2</v>
      </c>
      <c r="H92" s="1">
        <f>H90+H91</f>
        <v>0</v>
      </c>
      <c r="I92" s="1">
        <f>I90+I91</f>
        <v>4.8999999999999995</v>
      </c>
      <c r="J92" s="1">
        <f>J90+J91</f>
        <v>0</v>
      </c>
      <c r="K92" s="1">
        <f t="shared" si="18"/>
        <v>50.650999999999989</v>
      </c>
      <c r="L92" s="1">
        <f>L90+L91</f>
        <v>34.146000000000001</v>
      </c>
      <c r="M92" s="1">
        <f>M90+M91</f>
        <v>11.2</v>
      </c>
      <c r="N92" s="1">
        <f>N90+N91</f>
        <v>0</v>
      </c>
      <c r="O92" s="1">
        <f>O90+O91</f>
        <v>4.8999999999999995</v>
      </c>
      <c r="P92" s="1">
        <f>P90+P91</f>
        <v>0</v>
      </c>
      <c r="Q92" s="1">
        <f t="shared" si="19"/>
        <v>50.246000000000002</v>
      </c>
    </row>
    <row r="93" spans="5:17" x14ac:dyDescent="0.25">
      <c r="E93" s="2" t="s">
        <v>9</v>
      </c>
      <c r="F93" s="1">
        <f>SUMIFS('WH+RT PREVIOUS'!$M$2:$M$15000,'WH+RT PREVIOUS'!$B$2:$B$15000,"N.C.Urea(45kg)",'WH+RT PREVIOUS'!$R$2:$R$15000,"223292")</f>
        <v>464.03100000000006</v>
      </c>
      <c r="G93" s="1">
        <f>SUMIFS('WH+RT PREVIOUS'!$M$2:$M$15000,'WH+RT PREVIOUS'!$B$2:$B$15000,"15-15-15",'WH+RT PREVIOUS'!$R$2:$R$15000,"223292")</f>
        <v>115</v>
      </c>
      <c r="H93" s="1">
        <f>SUMIFS('WH+RT PREVIOUS'!$M$2:$M$15000,'WH+RT PREVIOUS'!$B$2:$B$15000,"Imp 10-26-26",'WH+RT PREVIOUS'!$R$2:$R$15000,"223292")</f>
        <v>26.1</v>
      </c>
      <c r="I93" s="1">
        <f>SUMIFS('WH+RT PREVIOUS'!$M$2:$M$15000,'WH+RT PREVIOUS'!$B$2:$B$15000,"MOP",'WH+RT PREVIOUS'!$R$2:$R$15000,"223292")</f>
        <v>4.8999999999999995</v>
      </c>
      <c r="J93" s="1">
        <f>SUMIFS('WH+RT PREVIOUS'!$M$2:$M$15000,'WH+RT PREVIOUS'!$B$2:$B$15000,"Imp DAP",'WH+RT PREVIOUS'!$R$2:$R$15000,"223292")</f>
        <v>0</v>
      </c>
      <c r="K93" s="1">
        <f t="shared" si="18"/>
        <v>610.03100000000006</v>
      </c>
      <c r="L93" s="1">
        <f>SUMIFS('WH+RT CURRENT'!$M$2:$M$15000,'WH+RT CURRENT'!$B$2:$B$15000,"N.C.Urea(45kg)",'WH+RT CURRENT'!$R$2:$R$15000,"223292")</f>
        <v>452.96099999999996</v>
      </c>
      <c r="M93" s="1">
        <f>SUMIFS('WH+RT CURRENT'!$M$2:$M$15000,'WH+RT CURRENT'!$B$2:$B$15000,"15-15-15",'WH+RT CURRENT'!$R$2:$R$15000,"223292")</f>
        <v>114.5</v>
      </c>
      <c r="N93" s="1">
        <f>SUMIFS('WH+RT CURRENT'!$M$2:$M$15000,'WH+RT CURRENT'!$B$2:$B$15000,"Imp 10-26-26",'WH+RT CURRENT'!$R$2:$R$15000,"223292")</f>
        <v>25.1</v>
      </c>
      <c r="O93" s="1">
        <f>SUMIFS('WH+RT CURRENT'!$M$2:$M$15000,'WH+RT CURRENT'!$B$2:$B$15000,"MOP",'WH+RT CURRENT'!$R$2:$R$15000,"223292")</f>
        <v>4.8999999999999995</v>
      </c>
      <c r="P93" s="1">
        <f>SUMIFS('WH+RT CURRENT'!$M$2:$M$15000,'WH+RT CURRENT'!$B$2:$B$15000,"Imp DAP",'WH+RT CURRENT'!$R$2:$R$15000,"223292")</f>
        <v>0</v>
      </c>
      <c r="Q93" s="1">
        <f t="shared" si="19"/>
        <v>597.46100000000001</v>
      </c>
    </row>
    <row r="96" spans="5:17" x14ac:dyDescent="0.25">
      <c r="E96" s="12" t="s">
        <v>911</v>
      </c>
      <c r="F96" s="12"/>
      <c r="G96" s="12"/>
      <c r="H96" s="12"/>
      <c r="I96" s="12"/>
      <c r="J96" s="12"/>
      <c r="K96" s="12"/>
      <c r="L96" s="12"/>
      <c r="M96" s="12"/>
      <c r="N96" s="12"/>
      <c r="O96" s="12"/>
      <c r="P96" s="12"/>
      <c r="Q96" s="12"/>
    </row>
    <row r="97" spans="5:17" x14ac:dyDescent="0.25">
      <c r="E97" s="13"/>
      <c r="F97" s="15" t="s">
        <v>8147</v>
      </c>
      <c r="G97" s="15"/>
      <c r="H97" s="15"/>
      <c r="I97" s="15"/>
      <c r="J97" s="15"/>
      <c r="K97" s="15"/>
      <c r="L97" s="15" t="s">
        <v>8148</v>
      </c>
      <c r="M97" s="15"/>
      <c r="N97" s="15"/>
      <c r="O97" s="15"/>
      <c r="P97" s="15"/>
      <c r="Q97" s="15"/>
    </row>
    <row r="98" spans="5:17" x14ac:dyDescent="0.25">
      <c r="E98" s="14"/>
      <c r="F98" s="2" t="s">
        <v>0</v>
      </c>
      <c r="G98" s="2" t="s">
        <v>1</v>
      </c>
      <c r="H98" s="2" t="s">
        <v>2</v>
      </c>
      <c r="I98" s="2" t="s">
        <v>3</v>
      </c>
      <c r="J98" s="2" t="s">
        <v>8128</v>
      </c>
      <c r="K98" s="2" t="s">
        <v>4</v>
      </c>
      <c r="L98" s="2" t="s">
        <v>0</v>
      </c>
      <c r="M98" s="2" t="s">
        <v>1</v>
      </c>
      <c r="N98" s="2" t="s">
        <v>2</v>
      </c>
      <c r="O98" s="2" t="s">
        <v>3</v>
      </c>
      <c r="P98" s="2" t="s">
        <v>8128</v>
      </c>
      <c r="Q98" s="2" t="s">
        <v>4</v>
      </c>
    </row>
    <row r="99" spans="5:17" x14ac:dyDescent="0.25">
      <c r="E99" s="2" t="s">
        <v>5</v>
      </c>
      <c r="F99" s="1">
        <f>SUMIFS('WH+RT PREVIOUS'!$M$2:$M$15000,'WH+RT PREVIOUS'!$B$2:$B$15000,"N.C.Urea(45kg)",'WH+RT PREVIOUS'!$R$2:$R$15000,"223281",'WH+RT PREVIOUS'!$N$2:$N$15000,"&gt;179",'WH+RT PREVIOUS'!$N$2:$N$15000,"&lt;366")</f>
        <v>0</v>
      </c>
      <c r="G99" s="1">
        <f>SUMIFS('WH+RT PREVIOUS'!$M$2:$M$15000,'WH+RT PREVIOUS'!$B$2:$B$15000,"15-15-15",'WH+RT PREVIOUS'!$R$2:$R$15000,"223281",'WH+RT PREVIOUS'!$N$2:$N$15000,"&gt;179",'WH+RT PREVIOUS'!$N$2:$N$15000,"&lt;366")</f>
        <v>0</v>
      </c>
      <c r="H99" s="1">
        <f>SUMIFS('WH+RT PREVIOUS'!$M$2:$M$15000,'WH+RT PREVIOUS'!$B$2:$B$15000,"Imp 10-26-26",'WH+RT PREVIOUS'!$R$2:$R$15000,"223281",'WH+RT PREVIOUS'!$N$2:$N$15000,"&gt;179",'WH+RT PREVIOUS'!$N$2:$N$15000,"&lt;366")</f>
        <v>1.45</v>
      </c>
      <c r="I99" s="1">
        <f>SUMIFS('WH+RT PREVIOUS'!$M$2:$M$15000,'WH+RT PREVIOUS'!$B$2:$B$15000,"MOP",'WH+RT PREVIOUS'!$R$2:$R$15000,"223281",'WH+RT PREVIOUS'!$N$2:$N$15000,"&gt;179",'WH+RT PREVIOUS'!$N$2:$N$15000,"&lt;366")</f>
        <v>0.05</v>
      </c>
      <c r="J99" s="1">
        <f>SUMIFS('WH+RT PREVIOUS'!$M$2:$M$15000,'WH+RT PREVIOUS'!$B$2:$B$15000,"Imp DAP",'WH+RT PREVIOUS'!$R$2:$R$15000,"223281",'WH+RT PREVIOUS'!$N$2:$N$15000,"&gt;179",'WH+RT PREVIOUS'!$N$2:$N$15000,"&lt;366")</f>
        <v>0</v>
      </c>
      <c r="K99" s="1">
        <f>F99+G99+H99+I99+J99</f>
        <v>1.5</v>
      </c>
      <c r="L99" s="1">
        <f>SUMIFS('WH+RT CURRENT'!$M$2:$M$15000,'WH+RT CURRENT'!$B$2:$B$15000,"N.C.Urea(45kg)",'WH+RT CURRENT'!$R$2:$R$15000,"223281",'WH+RT CURRENT'!$N$2:$N$15000,"&gt;179",'WH+RT CURRENT'!$N$2:$N$15000,"&lt;366")</f>
        <v>0</v>
      </c>
      <c r="M99" s="1">
        <f>SUMIFS('WH+RT CURRENT'!$M$2:$M$15000,'WH+RT CURRENT'!$B$2:$B$15000,"15-15-15",'WH+RT CURRENT'!$R$2:$R$15000,"223281",'WH+RT CURRENT'!$N$2:$N$15000,"&gt;179",'WH+RT CURRENT'!$N$2:$N$15000,"&lt;366")</f>
        <v>0</v>
      </c>
      <c r="N99" s="1">
        <f>SUMIFS('WH+RT CURRENT'!$M$2:$M$15000,'WH+RT CURRENT'!$B$2:$B$15000,"Imp 10-26-26",'WH+RT CURRENT'!$R$2:$R$15000,"223281",'WH+RT CURRENT'!$N$2:$N$15000,"&gt;179",'WH+RT CURRENT'!$N$2:$N$15000,"&lt;366")</f>
        <v>1.45</v>
      </c>
      <c r="O99" s="1">
        <f>SUMIFS('WH+RT CURRENT'!$M$2:$M$15000,'WH+RT CURRENT'!$B$2:$B$15000,"MOP",'WH+RT CURRENT'!$R$2:$R$15000,"223281",'WH+RT CURRENT'!$N$2:$N$15000,"&gt;179",'WH+RT CURRENT'!$N$2:$N$15000,"&lt;366")</f>
        <v>0.05</v>
      </c>
      <c r="P99" s="1">
        <f>SUMIFS('WH+RT CURRENT'!$M$2:$M$15000,'WH+RT CURRENT'!$B$2:$B$15000,"Imp DAP",'WH+RT CURRENT'!$R$2:$R$15000,"223281",'WH+RT CURRENT'!$N$2:$N$15000,"&gt;179",'WH+RT CURRENT'!$N$2:$N$15000,"&lt;366")</f>
        <v>0</v>
      </c>
      <c r="Q99" s="1">
        <f>L99+M99+N99+O99+P99</f>
        <v>1.5</v>
      </c>
    </row>
    <row r="100" spans="5:17" x14ac:dyDescent="0.25">
      <c r="E100" s="2" t="s">
        <v>6</v>
      </c>
      <c r="F100" s="1">
        <f>SUMIFS('WH+RT PREVIOUS'!$M$2:$M$15000,'WH+RT PREVIOUS'!$B$2:$B$15000,"N.C.Urea(45kg)",'WH+RT PREVIOUS'!$R$2:$R$15000,"223281",'WH+RT PREVIOUS'!$N$2:$N$15000,"&gt;365")</f>
        <v>0</v>
      </c>
      <c r="G100" s="1">
        <f>SUMIFS('WH+RT PREVIOUS'!$M$2:$M$15000,'WH+RT PREVIOUS'!$B$2:$B$15000,"15-15-15",'WH+RT PREVIOUS'!$R$2:$R$15000,"223281",'WH+RT PREVIOUS'!$N$2:$N$15000,"&gt;365")</f>
        <v>0</v>
      </c>
      <c r="H100" s="1">
        <f>SUMIFS('WH+RT PREVIOUS'!$M$2:$M$15000,'WH+RT PREVIOUS'!$B$2:$B$15000,"Imp 10-26-26",'WH+RT PREVIOUS'!$R$2:$R$15000,"223281",'WH+RT PREVIOUS'!$N$2:$N$15000,"&gt;365")</f>
        <v>0</v>
      </c>
      <c r="I100" s="1">
        <f>SUMIFS('WH+RT PREVIOUS'!$M$2:$M$15000,'WH+RT PREVIOUS'!$B$2:$B$15000,"MOP",'WH+RT PREVIOUS'!$R$2:$R$15000,"223281",'WH+RT PREVIOUS'!$N$2:$N$15000,"&gt;365")</f>
        <v>0</v>
      </c>
      <c r="J100" s="1">
        <f>SUMIFS('WH+RT PREVIOUS'!$M$2:$M$15000,'WH+RT PREVIOUS'!$B$2:$B$15000,"Imp DAP",'WH+RT PREVIOUS'!$R$2:$R$15000,"223281",'WH+RT PREVIOUS'!$N$2:$N$15000,"&gt;365")</f>
        <v>0</v>
      </c>
      <c r="K100" s="1">
        <f t="shared" ref="K100:K102" si="20">F100+G100+H100+I100+J100</f>
        <v>0</v>
      </c>
      <c r="L100" s="1">
        <f>SUMIFS('WH+RT CURRENT'!$M$2:$M$15000,'WH+RT CURRENT'!$B$2:$B$15000,"N.C.Urea(45kg)",'WH+RT CURRENT'!$R$2:$R$15000,"223281",'WH+RT CURRENT'!$N$2:$N$15000,"&gt;365")</f>
        <v>0</v>
      </c>
      <c r="M100" s="1">
        <f>SUMIFS('WH+RT CURRENT'!$M$2:$M$15000,'WH+RT CURRENT'!$B$2:$B$15000,"15-15-15",'WH+RT CURRENT'!$R$2:$R$15000,"223281",'WH+RT CURRENT'!$N$2:$N$15000,"&gt;365")</f>
        <v>0</v>
      </c>
      <c r="N100" s="1">
        <f>SUMIFS('WH+RT CURRENT'!$M$2:$M$15000,'WH+RT CURRENT'!$B$2:$B$15000,"Imp 10-26-26",'WH+RT CURRENT'!$R$2:$R$15000,"223281",'WH+RT CURRENT'!$N$2:$N$15000,"&gt;365")</f>
        <v>0</v>
      </c>
      <c r="O100" s="1">
        <f>SUMIFS('WH+RT CURRENT'!$M$2:$M$15000,'WH+RT CURRENT'!$B$2:$B$15000,"MOP",'WH+RT CURRENT'!$R$2:$R$15000,"223281",'WH+RT CURRENT'!$N$2:$N$15000,"&gt;365")</f>
        <v>0</v>
      </c>
      <c r="P100" s="1">
        <f>SUMIFS('WH+RT CURRENT'!$M$2:$M$15000,'WH+RT CURRENT'!$B$2:$B$15000,"Imp DAP",'WH+RT CURRENT'!$R$2:$R$15000,"223281",'WH+RT CURRENT'!$N$2:$N$15000,"&gt;365")</f>
        <v>0</v>
      </c>
      <c r="Q100" s="1">
        <f t="shared" ref="Q100:Q102" si="21">L100+M100+N100+O100+P100</f>
        <v>0</v>
      </c>
    </row>
    <row r="101" spans="5:17" x14ac:dyDescent="0.25">
      <c r="E101" s="2" t="s">
        <v>7</v>
      </c>
      <c r="F101" s="1">
        <f>F99+F100</f>
        <v>0</v>
      </c>
      <c r="G101" s="1">
        <f>G99+G100</f>
        <v>0</v>
      </c>
      <c r="H101" s="1">
        <f>H99+H100</f>
        <v>1.45</v>
      </c>
      <c r="I101" s="1">
        <f>I99+I100</f>
        <v>0.05</v>
      </c>
      <c r="J101" s="1">
        <f>J99+J100</f>
        <v>0</v>
      </c>
      <c r="K101" s="1">
        <f t="shared" si="20"/>
        <v>1.5</v>
      </c>
      <c r="L101" s="1">
        <f>L99+L100</f>
        <v>0</v>
      </c>
      <c r="M101" s="1">
        <f>M99+M100</f>
        <v>0</v>
      </c>
      <c r="N101" s="1">
        <f>N99+N100</f>
        <v>1.45</v>
      </c>
      <c r="O101" s="1">
        <f>O99+O100</f>
        <v>0.05</v>
      </c>
      <c r="P101" s="1">
        <f>P99+P100</f>
        <v>0</v>
      </c>
      <c r="Q101" s="1">
        <f t="shared" si="21"/>
        <v>1.5</v>
      </c>
    </row>
    <row r="102" spans="5:17" x14ac:dyDescent="0.25">
      <c r="E102" s="2" t="s">
        <v>9</v>
      </c>
      <c r="F102" s="1">
        <f>SUMIFS('WH+RT PREVIOUS'!$M$2:$M$15000,'WH+RT PREVIOUS'!$B$2:$B$15000,"N.C.Urea(45kg)",'WH+RT PREVIOUS'!$R$2:$R$15000,"223281")</f>
        <v>26.28</v>
      </c>
      <c r="G102" s="1">
        <f>SUMIFS('WH+RT PREVIOUS'!$M$2:$M$15000,'WH+RT PREVIOUS'!$B$2:$B$15000,"15-15-15",'WH+RT PREVIOUS'!$R$2:$R$15000,"223281")</f>
        <v>0</v>
      </c>
      <c r="H102" s="1">
        <f>SUMIFS('WH+RT PREVIOUS'!$M$2:$M$15000,'WH+RT PREVIOUS'!$B$2:$B$15000,"Imp 10-26-26",'WH+RT PREVIOUS'!$R$2:$R$15000,"223281")</f>
        <v>11.5</v>
      </c>
      <c r="I102" s="1">
        <f>SUMIFS('WH+RT PREVIOUS'!$M$2:$M$15000,'WH+RT PREVIOUS'!$B$2:$B$15000,"MOP",'WH+RT PREVIOUS'!$R$2:$R$15000,"223281")</f>
        <v>0.05</v>
      </c>
      <c r="J102" s="1">
        <f>SUMIFS('WH+RT PREVIOUS'!$M$2:$M$15000,'WH+RT PREVIOUS'!$B$2:$B$15000,"Imp DAP",'WH+RT PREVIOUS'!$R$2:$R$15000,"223281")</f>
        <v>0</v>
      </c>
      <c r="K102" s="1">
        <f t="shared" si="20"/>
        <v>37.83</v>
      </c>
      <c r="L102" s="1">
        <f>SUMIFS('WH+RT CURRENT'!$M$2:$M$15000,'WH+RT CURRENT'!$B$2:$B$15000,"N.C.Urea(45kg)",'WH+RT CURRENT'!$R$2:$R$15000,"223281")</f>
        <v>25.425000000000001</v>
      </c>
      <c r="M102" s="1">
        <f>SUMIFS('WH+RT CURRENT'!$M$2:$M$15000,'WH+RT CURRENT'!$B$2:$B$15000,"15-15-15",'WH+RT CURRENT'!$R$2:$R$15000,"223281")</f>
        <v>0</v>
      </c>
      <c r="N102" s="1">
        <f>SUMIFS('WH+RT CURRENT'!$M$2:$M$15000,'WH+RT CURRENT'!$B$2:$B$15000,"Imp 10-26-26",'WH+RT CURRENT'!$R$2:$R$15000,"223281")</f>
        <v>11.5</v>
      </c>
      <c r="O102" s="1">
        <f>SUMIFS('WH+RT CURRENT'!$M$2:$M$15000,'WH+RT CURRENT'!$B$2:$B$15000,"MOP",'WH+RT CURRENT'!$R$2:$R$15000,"223281")</f>
        <v>0.05</v>
      </c>
      <c r="P102" s="1">
        <f>SUMIFS('WH+RT CURRENT'!$M$2:$M$15000,'WH+RT CURRENT'!$B$2:$B$15000,"Imp DAP",'WH+RT CURRENT'!$R$2:$R$15000,"223281")</f>
        <v>0</v>
      </c>
      <c r="Q102" s="1">
        <f t="shared" si="21"/>
        <v>36.974999999999994</v>
      </c>
    </row>
    <row r="105" spans="5:17" x14ac:dyDescent="0.25">
      <c r="E105" s="12" t="s">
        <v>806</v>
      </c>
      <c r="F105" s="12"/>
      <c r="G105" s="12"/>
      <c r="H105" s="12"/>
      <c r="I105" s="12"/>
      <c r="J105" s="12"/>
      <c r="K105" s="12"/>
      <c r="L105" s="12"/>
      <c r="M105" s="12"/>
      <c r="N105" s="12"/>
      <c r="O105" s="12"/>
      <c r="P105" s="12"/>
      <c r="Q105" s="12"/>
    </row>
    <row r="106" spans="5:17" x14ac:dyDescent="0.25">
      <c r="E106" s="13"/>
      <c r="F106" s="15" t="s">
        <v>8147</v>
      </c>
      <c r="G106" s="15"/>
      <c r="H106" s="15"/>
      <c r="I106" s="15"/>
      <c r="J106" s="15"/>
      <c r="K106" s="15"/>
      <c r="L106" s="15" t="s">
        <v>8148</v>
      </c>
      <c r="M106" s="15"/>
      <c r="N106" s="15"/>
      <c r="O106" s="15"/>
      <c r="P106" s="15"/>
      <c r="Q106" s="15"/>
    </row>
    <row r="107" spans="5:17" x14ac:dyDescent="0.25">
      <c r="E107" s="14"/>
      <c r="F107" s="2" t="s">
        <v>0</v>
      </c>
      <c r="G107" s="2" t="s">
        <v>1</v>
      </c>
      <c r="H107" s="2" t="s">
        <v>2</v>
      </c>
      <c r="I107" s="2" t="s">
        <v>3</v>
      </c>
      <c r="J107" s="2" t="s">
        <v>8128</v>
      </c>
      <c r="K107" s="2" t="s">
        <v>4</v>
      </c>
      <c r="L107" s="2" t="s">
        <v>0</v>
      </c>
      <c r="M107" s="2" t="s">
        <v>1</v>
      </c>
      <c r="N107" s="2" t="s">
        <v>2</v>
      </c>
      <c r="O107" s="2" t="s">
        <v>3</v>
      </c>
      <c r="P107" s="2" t="s">
        <v>8128</v>
      </c>
      <c r="Q107" s="2" t="s">
        <v>4</v>
      </c>
    </row>
    <row r="108" spans="5:17" x14ac:dyDescent="0.25">
      <c r="E108" s="2" t="s">
        <v>5</v>
      </c>
      <c r="F108" s="1">
        <f>SUMIFS('WH+RT PREVIOUS'!$M$2:$M$15000,'WH+RT PREVIOUS'!$B$2:$B$15000,"N.C.Urea(45kg)",'WH+RT PREVIOUS'!$R$2:$R$15000,"281704",'WH+RT PREVIOUS'!$N$2:$N$15000,"&gt;179",'WH+RT PREVIOUS'!$N$2:$N$15000,"&lt;366")</f>
        <v>46.304999999999993</v>
      </c>
      <c r="G108" s="1">
        <f>SUMIFS('WH+RT PREVIOUS'!$M$2:$M$15000,'WH+RT PREVIOUS'!$B$2:$B$15000,"15-15-15",'WH+RT PREVIOUS'!$R$2:$R$15000,"281704",'WH+RT PREVIOUS'!$N$2:$N$15000,"&gt;179",'WH+RT PREVIOUS'!$N$2:$N$15000,"&lt;366")</f>
        <v>5.0760000000000005</v>
      </c>
      <c r="H108" s="1">
        <f>SUMIFS('WH+RT PREVIOUS'!$M$2:$M$15000,'WH+RT PREVIOUS'!$B$2:$B$15000,"Imp 10-26-26",'WH+RT PREVIOUS'!$R$2:$R$15000,"281704",'WH+RT PREVIOUS'!$N$2:$N$15000,"&gt;179",'WH+RT PREVIOUS'!$N$2:$N$15000,"&lt;366")</f>
        <v>7.4</v>
      </c>
      <c r="I108" s="1">
        <f>SUMIFS('WH+RT PREVIOUS'!$M$2:$M$15000,'WH+RT PREVIOUS'!$B$2:$B$15000,"MOP",'WH+RT PREVIOUS'!$R$2:$R$15000,"281704",'WH+RT PREVIOUS'!$N$2:$N$15000,"&gt;179",'WH+RT PREVIOUS'!$N$2:$N$15000,"&lt;366")</f>
        <v>1.25</v>
      </c>
      <c r="J108" s="1">
        <f>SUMIFS('WH+RT PREVIOUS'!$M$2:$M$15000,'WH+RT PREVIOUS'!$B$2:$B$15000,"Imp DAP",'WH+RT PREVIOUS'!$R$2:$R$15000,"281704",'WH+RT PREVIOUS'!$N$2:$N$15000,"&gt;179",'WH+RT PREVIOUS'!$N$2:$N$15000,"&lt;366")</f>
        <v>0</v>
      </c>
      <c r="K108" s="1">
        <f>F108+G108+H108+I108+J108</f>
        <v>60.030999999999992</v>
      </c>
      <c r="L108" s="1">
        <f>SUMIFS('WH+RT CURRENT'!$M$2:$M$15000,'WH+RT CURRENT'!$B$2:$B$15000,"N.C.Urea(45kg)",'WH+RT CURRENT'!$R$2:$R$15000,"281704",'WH+RT CURRENT'!$N$2:$N$15000,"&gt;179",'WH+RT CURRENT'!$N$2:$N$15000,"&lt;366")</f>
        <v>46.304999999999993</v>
      </c>
      <c r="M108" s="1">
        <f>SUMIFS('WH+RT CURRENT'!$M$2:$M$15000,'WH+RT CURRENT'!$B$2:$B$15000,"15-15-15",'WH+RT CURRENT'!$R$2:$R$15000,"281704",'WH+RT CURRENT'!$N$2:$N$15000,"&gt;179",'WH+RT CURRENT'!$N$2:$N$15000,"&lt;366")</f>
        <v>5.0760000000000005</v>
      </c>
      <c r="N108" s="1">
        <f>SUMIFS('WH+RT CURRENT'!$M$2:$M$15000,'WH+RT CURRENT'!$B$2:$B$15000,"Imp 10-26-26",'WH+RT CURRENT'!$R$2:$R$15000,"281704",'WH+RT CURRENT'!$N$2:$N$15000,"&gt;179",'WH+RT CURRENT'!$N$2:$N$15000,"&lt;366")</f>
        <v>7.4</v>
      </c>
      <c r="O108" s="1">
        <f>SUMIFS('WH+RT CURRENT'!$M$2:$M$15000,'WH+RT CURRENT'!$B$2:$B$15000,"MOP",'WH+RT CURRENT'!$R$2:$R$15000,"281704",'WH+RT CURRENT'!$N$2:$N$15000,"&gt;179",'WH+RT CURRENT'!$N$2:$N$15000,"&lt;366")</f>
        <v>1.25</v>
      </c>
      <c r="P108" s="1">
        <f>SUMIFS('WH+RT CURRENT'!$M$2:$M$15000,'WH+RT CURRENT'!$B$2:$B$15000,"Imp DAP",'WH+RT CURRENT'!$R$2:$R$15000,"281704",'WH+RT CURRENT'!$N$2:$N$15000,"&gt;179",'WH+RT CURRENT'!$N$2:$N$15000,"&lt;366")</f>
        <v>0</v>
      </c>
      <c r="Q108" s="1">
        <f>L108+M108+N108+O108+P108</f>
        <v>60.030999999999992</v>
      </c>
    </row>
    <row r="109" spans="5:17" x14ac:dyDescent="0.25">
      <c r="E109" s="2" t="s">
        <v>6</v>
      </c>
      <c r="F109" s="1">
        <f>SUMIFS('WH+RT PREVIOUS'!$M$2:$M$15000,'WH+RT PREVIOUS'!$B$2:$B$15000,"N.C.Urea(45kg)",'WH+RT PREVIOUS'!$R$2:$R$15000,"281704",'WH+RT PREVIOUS'!$N$2:$N$15000,"&gt;365")</f>
        <v>8.8899999999999988</v>
      </c>
      <c r="G109" s="1">
        <f>SUMIFS('WH+RT PREVIOUS'!$M$2:$M$15000,'WH+RT PREVIOUS'!$B$2:$B$15000,"15-15-15",'WH+RT PREVIOUS'!$R$2:$R$15000,"281704",'WH+RT PREVIOUS'!$N$2:$N$15000,"&gt;365")</f>
        <v>4.45</v>
      </c>
      <c r="H109" s="1">
        <f>SUMIFS('WH+RT PREVIOUS'!$M$2:$M$15000,'WH+RT PREVIOUS'!$B$2:$B$15000,"Imp 10-26-26",'WH+RT PREVIOUS'!$R$2:$R$15000,"281704",'WH+RT PREVIOUS'!$N$2:$N$15000,"&gt;365")</f>
        <v>0</v>
      </c>
      <c r="I109" s="1">
        <f>SUMIFS('WH+RT PREVIOUS'!$M$2:$M$15000,'WH+RT PREVIOUS'!$B$2:$B$15000,"MOP",'WH+RT PREVIOUS'!$R$2:$R$15000,"281704",'WH+RT PREVIOUS'!$N$2:$N$15000,"&gt;365")</f>
        <v>1.35</v>
      </c>
      <c r="J109" s="1">
        <f>SUMIFS('WH+RT PREVIOUS'!$M$2:$M$15000,'WH+RT PREVIOUS'!$B$2:$B$15000,"Imp DAP",'WH+RT PREVIOUS'!$R$2:$R$15000,"281704",'WH+RT PREVIOUS'!$N$2:$N$15000,"&gt;365")</f>
        <v>0</v>
      </c>
      <c r="K109" s="1">
        <f t="shared" ref="K109:K111" si="22">F109+G109+H109+I109+J109</f>
        <v>14.69</v>
      </c>
      <c r="L109" s="1">
        <f>SUMIFS('WH+RT CURRENT'!$M$2:$M$15000,'WH+RT CURRENT'!$B$2:$B$15000,"N.C.Urea(45kg)",'WH+RT CURRENT'!$R$2:$R$15000,"281704",'WH+RT CURRENT'!$N$2:$N$15000,"&gt;365")</f>
        <v>8.8899999999999988</v>
      </c>
      <c r="M109" s="1">
        <f>SUMIFS('WH+RT CURRENT'!$M$2:$M$15000,'WH+RT CURRENT'!$B$2:$B$15000,"15-15-15",'WH+RT CURRENT'!$R$2:$R$15000,"281704",'WH+RT CURRENT'!$N$2:$N$15000,"&gt;365")</f>
        <v>4.45</v>
      </c>
      <c r="N109" s="1">
        <f>SUMIFS('WH+RT CURRENT'!$M$2:$M$15000,'WH+RT CURRENT'!$B$2:$B$15000,"Imp 10-26-26",'WH+RT CURRENT'!$R$2:$R$15000,"281704",'WH+RT CURRENT'!$N$2:$N$15000,"&gt;365")</f>
        <v>0</v>
      </c>
      <c r="O109" s="1">
        <f>SUMIFS('WH+RT CURRENT'!$M$2:$M$15000,'WH+RT CURRENT'!$B$2:$B$15000,"MOP",'WH+RT CURRENT'!$R$2:$R$15000,"281704",'WH+RT CURRENT'!$N$2:$N$15000,"&gt;365")</f>
        <v>1.35</v>
      </c>
      <c r="P109" s="1">
        <f>SUMIFS('WH+RT CURRENT'!$M$2:$M$15000,'WH+RT CURRENT'!$B$2:$B$15000,"Imp DAP",'WH+RT CURRENT'!$R$2:$R$15000,"281704",'WH+RT CURRENT'!$N$2:$N$15000,"&gt;365")</f>
        <v>0</v>
      </c>
      <c r="Q109" s="1">
        <f t="shared" ref="Q109:Q111" si="23">L109+M109+N109+O109+P109</f>
        <v>14.69</v>
      </c>
    </row>
    <row r="110" spans="5:17" x14ac:dyDescent="0.25">
      <c r="E110" s="2" t="s">
        <v>7</v>
      </c>
      <c r="F110" s="1">
        <f>F108+F109</f>
        <v>55.194999999999993</v>
      </c>
      <c r="G110" s="1">
        <f>G108+G109</f>
        <v>9.5259999999999998</v>
      </c>
      <c r="H110" s="1">
        <f>H108+H109</f>
        <v>7.4</v>
      </c>
      <c r="I110" s="1">
        <f>I108+I109</f>
        <v>2.6</v>
      </c>
      <c r="J110" s="1">
        <f>J108+J109</f>
        <v>0</v>
      </c>
      <c r="K110" s="1">
        <f t="shared" si="22"/>
        <v>74.720999999999989</v>
      </c>
      <c r="L110" s="1">
        <f>L108+L109</f>
        <v>55.194999999999993</v>
      </c>
      <c r="M110" s="1">
        <f>M108+M109</f>
        <v>9.5259999999999998</v>
      </c>
      <c r="N110" s="1">
        <f>N108+N109</f>
        <v>7.4</v>
      </c>
      <c r="O110" s="1">
        <f>O108+O109</f>
        <v>2.6</v>
      </c>
      <c r="P110" s="1">
        <f>P108+P109</f>
        <v>0</v>
      </c>
      <c r="Q110" s="1">
        <f t="shared" si="23"/>
        <v>74.720999999999989</v>
      </c>
    </row>
    <row r="111" spans="5:17" x14ac:dyDescent="0.25">
      <c r="E111" s="2" t="s">
        <v>9</v>
      </c>
      <c r="F111" s="1">
        <f>SUMIFS('WH+RT PREVIOUS'!$M$2:$M$15000,'WH+RT PREVIOUS'!$B$2:$B$15000,"N.C.Urea(45kg)",'WH+RT PREVIOUS'!$R$2:$R$15000,"281704")</f>
        <v>408.53300000000007</v>
      </c>
      <c r="G111" s="1">
        <f>SUMIFS('WH+RT PREVIOUS'!$M$2:$M$15000,'WH+RT PREVIOUS'!$B$2:$B$15000,"15-15-15",'WH+RT PREVIOUS'!$R$2:$R$15000,"281704")</f>
        <v>129.12599999999998</v>
      </c>
      <c r="H111" s="1">
        <f>SUMIFS('WH+RT PREVIOUS'!$M$2:$M$15000,'WH+RT PREVIOUS'!$B$2:$B$15000,"Imp 10-26-26",'WH+RT PREVIOUS'!$R$2:$R$15000,"281704")</f>
        <v>78.25</v>
      </c>
      <c r="I111" s="1">
        <f>SUMIFS('WH+RT PREVIOUS'!$M$2:$M$15000,'WH+RT PREVIOUS'!$B$2:$B$15000,"MOP",'WH+RT PREVIOUS'!$R$2:$R$15000,"281704")</f>
        <v>2.6</v>
      </c>
      <c r="J111" s="1">
        <f>SUMIFS('WH+RT PREVIOUS'!$M$2:$M$15000,'WH+RT PREVIOUS'!$B$2:$B$15000,"Imp DAP",'WH+RT PREVIOUS'!$R$2:$R$15000,"281704")</f>
        <v>0</v>
      </c>
      <c r="K111" s="1">
        <f t="shared" si="22"/>
        <v>618.50900000000013</v>
      </c>
      <c r="L111" s="1">
        <f>SUMIFS('WH+RT CURRENT'!$M$2:$M$15000,'WH+RT CURRENT'!$B$2:$B$15000,"N.C.Urea(45kg)",'WH+RT CURRENT'!$R$2:$R$15000,"281704")</f>
        <v>391.47300000000001</v>
      </c>
      <c r="M111" s="1">
        <f>SUMIFS('WH+RT CURRENT'!$M$2:$M$15000,'WH+RT CURRENT'!$B$2:$B$15000,"15-15-15",'WH+RT CURRENT'!$R$2:$R$15000,"281704")</f>
        <v>102.47600000000001</v>
      </c>
      <c r="N111" s="1">
        <f>SUMIFS('WH+RT CURRENT'!$M$2:$M$15000,'WH+RT CURRENT'!$B$2:$B$15000,"Imp 10-26-26",'WH+RT CURRENT'!$R$2:$R$15000,"281704")</f>
        <v>79.599999999999994</v>
      </c>
      <c r="O111" s="1">
        <f>SUMIFS('WH+RT CURRENT'!$M$2:$M$15000,'WH+RT CURRENT'!$B$2:$B$15000,"MOP",'WH+RT CURRENT'!$R$2:$R$15000,"281704")</f>
        <v>2.6</v>
      </c>
      <c r="P111" s="1">
        <f>SUMIFS('WH+RT CURRENT'!$M$2:$M$15000,'WH+RT CURRENT'!$B$2:$B$15000,"Imp DAP",'WH+RT CURRENT'!$R$2:$R$15000,"281704")</f>
        <v>0</v>
      </c>
      <c r="Q111" s="1">
        <f t="shared" si="23"/>
        <v>576.149</v>
      </c>
    </row>
    <row r="114" spans="5:17" x14ac:dyDescent="0.25">
      <c r="E114" s="12" t="s">
        <v>6107</v>
      </c>
      <c r="F114" s="12"/>
      <c r="G114" s="12"/>
      <c r="H114" s="12"/>
      <c r="I114" s="12"/>
      <c r="J114" s="12"/>
      <c r="K114" s="12"/>
      <c r="L114" s="12"/>
      <c r="M114" s="12"/>
      <c r="N114" s="12"/>
      <c r="O114" s="12"/>
      <c r="P114" s="12"/>
      <c r="Q114" s="12"/>
    </row>
    <row r="115" spans="5:17" x14ac:dyDescent="0.25">
      <c r="E115" s="13"/>
      <c r="F115" s="15" t="s">
        <v>8147</v>
      </c>
      <c r="G115" s="15"/>
      <c r="H115" s="15"/>
      <c r="I115" s="15"/>
      <c r="J115" s="15"/>
      <c r="K115" s="15"/>
      <c r="L115" s="15" t="s">
        <v>8148</v>
      </c>
      <c r="M115" s="15"/>
      <c r="N115" s="15"/>
      <c r="O115" s="15"/>
      <c r="P115" s="15"/>
      <c r="Q115" s="15"/>
    </row>
    <row r="116" spans="5:17" x14ac:dyDescent="0.25">
      <c r="E116" s="14"/>
      <c r="F116" s="2" t="s">
        <v>0</v>
      </c>
      <c r="G116" s="2" t="s">
        <v>1</v>
      </c>
      <c r="H116" s="2" t="s">
        <v>2</v>
      </c>
      <c r="I116" s="2" t="s">
        <v>3</v>
      </c>
      <c r="J116" s="2" t="s">
        <v>8128</v>
      </c>
      <c r="K116" s="2" t="s">
        <v>4</v>
      </c>
      <c r="L116" s="2" t="s">
        <v>0</v>
      </c>
      <c r="M116" s="2" t="s">
        <v>1</v>
      </c>
      <c r="N116" s="2" t="s">
        <v>2</v>
      </c>
      <c r="O116" s="2" t="s">
        <v>3</v>
      </c>
      <c r="P116" s="2" t="s">
        <v>8128</v>
      </c>
      <c r="Q116" s="2" t="s">
        <v>4</v>
      </c>
    </row>
    <row r="117" spans="5:17" x14ac:dyDescent="0.25">
      <c r="E117" s="2" t="s">
        <v>5</v>
      </c>
      <c r="F117" s="1">
        <f>SUMIFS('WH+RT PREVIOUS'!$M$2:$M$15000,'WH+RT PREVIOUS'!$B$2:$B$15000,"N.C.Urea(45kg)",'WH+RT PREVIOUS'!$R$2:$R$15000,"223289",'WH+RT PREVIOUS'!$N$2:$N$15000,"&gt;179",'WH+RT PREVIOUS'!$N$2:$N$15000,"&lt;366")</f>
        <v>0</v>
      </c>
      <c r="G117" s="1">
        <f>SUMIFS('WH+RT PREVIOUS'!$M$2:$M$15000,'WH+RT PREVIOUS'!$B$2:$B$15000,"15-15-15",'WH+RT PREVIOUS'!$R$2:$R$15000,"223289",'WH+RT PREVIOUS'!$N$2:$N$15000,"&gt;179",'WH+RT PREVIOUS'!$N$2:$N$15000,"&lt;366")</f>
        <v>0</v>
      </c>
      <c r="H117" s="1">
        <f>SUMIFS('WH+RT PREVIOUS'!$M$2:$M$15000,'WH+RT PREVIOUS'!$B$2:$B$15000,"Imp 10-26-26",'WH+RT PREVIOUS'!$R$2:$R$15000,"223289",'WH+RT PREVIOUS'!$N$2:$N$15000,"&gt;179",'WH+RT PREVIOUS'!$N$2:$N$15000,"&lt;366")</f>
        <v>0</v>
      </c>
      <c r="I117" s="1">
        <f>SUMIFS('WH+RT PREVIOUS'!$M$2:$M$15000,'WH+RT PREVIOUS'!$B$2:$B$15000,"MOP",'WH+RT PREVIOUS'!$R$2:$R$15000,"223289",'WH+RT PREVIOUS'!$N$2:$N$15000,"&gt;179",'WH+RT PREVIOUS'!$N$2:$N$15000,"&lt;366")</f>
        <v>0</v>
      </c>
      <c r="J117" s="1">
        <f>SUMIFS('WH+RT PREVIOUS'!$M$2:$M$15000,'WH+RT PREVIOUS'!$B$2:$B$15000,"Imp DAP",'WH+RT PREVIOUS'!$R$2:$R$15000,"223289",'WH+RT PREVIOUS'!$N$2:$N$15000,"&gt;179",'WH+RT PREVIOUS'!$N$2:$N$15000,"&lt;366")</f>
        <v>0</v>
      </c>
      <c r="K117" s="1">
        <f>F117+G117+H117+I117+J117</f>
        <v>0</v>
      </c>
      <c r="L117" s="1">
        <f>SUMIFS('WH+RT CURRENT'!$M$2:$M$15000,'WH+RT CURRENT'!$B$2:$B$15000,"N.C.Urea(45kg)",'WH+RT CURRENT'!$R$2:$R$15000,"223289",'WH+RT CURRENT'!$N$2:$N$15000,"&gt;179",'WH+RT CURRENT'!$N$2:$N$15000,"&lt;366")</f>
        <v>0</v>
      </c>
      <c r="M117" s="1">
        <f>SUMIFS('WH+RT CURRENT'!$M$2:$M$15000,'WH+RT CURRENT'!$B$2:$B$15000,"15-15-15",'WH+RT CURRENT'!$R$2:$R$15000,"223289",'WH+RT CURRENT'!$N$2:$N$15000,"&gt;179",'WH+RT CURRENT'!$N$2:$N$15000,"&lt;366")</f>
        <v>0</v>
      </c>
      <c r="N117" s="1">
        <f>SUMIFS('WH+RT CURRENT'!$M$2:$M$15000,'WH+RT CURRENT'!$B$2:$B$15000,"Imp 10-26-26",'WH+RT CURRENT'!$R$2:$R$15000,"223289",'WH+RT CURRENT'!$N$2:$N$15000,"&gt;179",'WH+RT CURRENT'!$N$2:$N$15000,"&lt;366")</f>
        <v>0</v>
      </c>
      <c r="O117" s="1">
        <f>SUMIFS('WH+RT CURRENT'!$M$2:$M$15000,'WH+RT CURRENT'!$B$2:$B$15000,"MOP",'WH+RT CURRENT'!$R$2:$R$15000,"223289",'WH+RT CURRENT'!$N$2:$N$15000,"&gt;179",'WH+RT CURRENT'!$N$2:$N$15000,"&lt;366")</f>
        <v>0</v>
      </c>
      <c r="P117" s="1">
        <f>SUMIFS('WH+RT CURRENT'!$M$2:$M$15000,'WH+RT CURRENT'!$B$2:$B$15000,"Imp DAP",'WH+RT CURRENT'!$R$2:$R$15000,"223289",'WH+RT CURRENT'!$N$2:$N$15000,"&gt;179",'WH+RT CURRENT'!$N$2:$N$15000,"&lt;366")</f>
        <v>0</v>
      </c>
      <c r="Q117" s="1">
        <f>L117+M117+N117+O117+P117</f>
        <v>0</v>
      </c>
    </row>
    <row r="118" spans="5:17" x14ac:dyDescent="0.25">
      <c r="E118" s="2" t="s">
        <v>6</v>
      </c>
      <c r="F118" s="1">
        <f>SUMIFS('WH+RT PREVIOUS'!$M$2:$M$15000,'WH+RT PREVIOUS'!$B$2:$B$15000,"N.C.Urea(45kg)",'WH+RT PREVIOUS'!$R$2:$R$15000,"223289",'WH+RT PREVIOUS'!$N$2:$N$15000,"&gt;365")</f>
        <v>0</v>
      </c>
      <c r="G118" s="1">
        <f>SUMIFS('WH+RT PREVIOUS'!$M$2:$M$15000,'WH+RT PREVIOUS'!$B$2:$B$15000,"15-15-15",'WH+RT PREVIOUS'!$R$2:$R$15000,"223289",'WH+RT PREVIOUS'!$N$2:$N$15000,"&gt;365")</f>
        <v>1.5</v>
      </c>
      <c r="H118" s="1">
        <f>SUMIFS('WH+RT PREVIOUS'!$M$2:$M$15000,'WH+RT PREVIOUS'!$B$2:$B$15000,"Imp 10-26-26",'WH+RT PREVIOUS'!$R$2:$R$15000,"223289",'WH+RT PREVIOUS'!$N$2:$N$15000,"&gt;365")</f>
        <v>0</v>
      </c>
      <c r="I118" s="1">
        <f>SUMIFS('WH+RT PREVIOUS'!$M$2:$M$15000,'WH+RT PREVIOUS'!$B$2:$B$15000,"MOP",'WH+RT PREVIOUS'!$R$2:$R$15000,"223289",'WH+RT PREVIOUS'!$N$2:$N$15000,"&gt;365")</f>
        <v>0</v>
      </c>
      <c r="J118" s="1">
        <f>SUMIFS('WH+RT PREVIOUS'!$M$2:$M$15000,'WH+RT PREVIOUS'!$B$2:$B$15000,"Imp DAP",'WH+RT PREVIOUS'!$R$2:$R$15000,"223289",'WH+RT PREVIOUS'!$N$2:$N$15000,"&gt;365")</f>
        <v>0</v>
      </c>
      <c r="K118" s="1">
        <f t="shared" ref="K118:K120" si="24">F118+G118+H118+I118+J118</f>
        <v>1.5</v>
      </c>
      <c r="L118" s="1">
        <f>SUMIFS('WH+RT CURRENT'!$M$2:$M$15000,'WH+RT CURRENT'!$B$2:$B$15000,"N.C.Urea(45kg)",'WH+RT CURRENT'!$R$2:$R$15000,"223289",'WH+RT CURRENT'!$N$2:$N$15000,"&gt;365")</f>
        <v>0</v>
      </c>
      <c r="M118" s="1">
        <f>SUMIFS('WH+RT CURRENT'!$M$2:$M$15000,'WH+RT CURRENT'!$B$2:$B$15000,"15-15-15",'WH+RT CURRENT'!$R$2:$R$15000,"223289",'WH+RT CURRENT'!$N$2:$N$15000,"&gt;365")</f>
        <v>1.5</v>
      </c>
      <c r="N118" s="1">
        <f>SUMIFS('WH+RT CURRENT'!$M$2:$M$15000,'WH+RT CURRENT'!$B$2:$B$15000,"Imp 10-26-26",'WH+RT CURRENT'!$R$2:$R$15000,"223289",'WH+RT CURRENT'!$N$2:$N$15000,"&gt;365")</f>
        <v>0</v>
      </c>
      <c r="O118" s="1">
        <f>SUMIFS('WH+RT CURRENT'!$M$2:$M$15000,'WH+RT CURRENT'!$B$2:$B$15000,"MOP",'WH+RT CURRENT'!$R$2:$R$15000,"223289",'WH+RT CURRENT'!$N$2:$N$15000,"&gt;365")</f>
        <v>0</v>
      </c>
      <c r="P118" s="1">
        <f>SUMIFS('WH+RT CURRENT'!$M$2:$M$15000,'WH+RT CURRENT'!$B$2:$B$15000,"Imp DAP",'WH+RT CURRENT'!$R$2:$R$15000,"223289",'WH+RT CURRENT'!$N$2:$N$15000,"&gt;365")</f>
        <v>0</v>
      </c>
      <c r="Q118" s="1">
        <f t="shared" ref="Q118:Q120" si="25">L118+M118+N118+O118+P118</f>
        <v>1.5</v>
      </c>
    </row>
    <row r="119" spans="5:17" x14ac:dyDescent="0.25">
      <c r="E119" s="2" t="s">
        <v>7</v>
      </c>
      <c r="F119" s="1">
        <f>F117+F118</f>
        <v>0</v>
      </c>
      <c r="G119" s="1">
        <f>G117+G118</f>
        <v>1.5</v>
      </c>
      <c r="H119" s="1">
        <f>H117+H118</f>
        <v>0</v>
      </c>
      <c r="I119" s="1">
        <f>I117+I118</f>
        <v>0</v>
      </c>
      <c r="J119" s="1">
        <f>J117+J118</f>
        <v>0</v>
      </c>
      <c r="K119" s="1">
        <f t="shared" si="24"/>
        <v>1.5</v>
      </c>
      <c r="L119" s="1">
        <f>L117+L118</f>
        <v>0</v>
      </c>
      <c r="M119" s="1">
        <f>M117+M118</f>
        <v>1.5</v>
      </c>
      <c r="N119" s="1">
        <f>N117+N118</f>
        <v>0</v>
      </c>
      <c r="O119" s="1">
        <f>O117+O118</f>
        <v>0</v>
      </c>
      <c r="P119" s="1">
        <f>P117+P118</f>
        <v>0</v>
      </c>
      <c r="Q119" s="1">
        <f t="shared" si="25"/>
        <v>1.5</v>
      </c>
    </row>
    <row r="120" spans="5:17" x14ac:dyDescent="0.25">
      <c r="E120" s="2" t="s">
        <v>9</v>
      </c>
      <c r="F120" s="1">
        <f>SUMIFS('WH+RT PREVIOUS'!$M$2:$M$15000,'WH+RT PREVIOUS'!$B$2:$B$15000,"N.C.Urea(45kg)",'WH+RT PREVIOUS'!$R$2:$R$15000,"223289")</f>
        <v>3.51</v>
      </c>
      <c r="G120" s="1">
        <f>SUMIFS('WH+RT PREVIOUS'!$M$2:$M$15000,'WH+RT PREVIOUS'!$B$2:$B$15000,"15-15-15",'WH+RT PREVIOUS'!$R$2:$R$15000,"223289")</f>
        <v>17.5</v>
      </c>
      <c r="H120" s="1">
        <f>SUMIFS('WH+RT PREVIOUS'!$M$2:$M$15000,'WH+RT PREVIOUS'!$B$2:$B$15000,"Imp 10-26-26",'WH+RT PREVIOUS'!$R$2:$R$15000,"223289")</f>
        <v>4.75</v>
      </c>
      <c r="I120" s="1">
        <f>SUMIFS('WH+RT PREVIOUS'!$M$2:$M$15000,'WH+RT PREVIOUS'!$B$2:$B$15000,"MOP",'WH+RT PREVIOUS'!$R$2:$R$15000,"223289")</f>
        <v>0</v>
      </c>
      <c r="J120" s="1">
        <f>SUMIFS('WH+RT PREVIOUS'!$M$2:$M$15000,'WH+RT PREVIOUS'!$B$2:$B$15000,"Imp DAP",'WH+RT PREVIOUS'!$R$2:$R$15000,"223289")</f>
        <v>0</v>
      </c>
      <c r="K120" s="1">
        <f t="shared" si="24"/>
        <v>25.759999999999998</v>
      </c>
      <c r="L120" s="1">
        <f>SUMIFS('WH+RT CURRENT'!$M$2:$M$15000,'WH+RT CURRENT'!$B$2:$B$15000,"N.C.Urea(45kg)",'WH+RT CURRENT'!$R$2:$R$15000,"223289")</f>
        <v>3.51</v>
      </c>
      <c r="M120" s="1">
        <f>SUMIFS('WH+RT CURRENT'!$M$2:$M$15000,'WH+RT CURRENT'!$B$2:$B$15000,"15-15-15",'WH+RT CURRENT'!$R$2:$R$15000,"223289")</f>
        <v>9.5</v>
      </c>
      <c r="N120" s="1">
        <f>SUMIFS('WH+RT CURRENT'!$M$2:$M$15000,'WH+RT CURRENT'!$B$2:$B$15000,"Imp 10-26-26",'WH+RT CURRENT'!$R$2:$R$15000,"223289")</f>
        <v>0</v>
      </c>
      <c r="O120" s="1">
        <f>SUMIFS('WH+RT CURRENT'!$M$2:$M$15000,'WH+RT CURRENT'!$B$2:$B$15000,"MOP",'WH+RT CURRENT'!$R$2:$R$15000,"223289")</f>
        <v>0</v>
      </c>
      <c r="P120" s="1">
        <f>SUMIFS('WH+RT CURRENT'!$M$2:$M$15000,'WH+RT CURRENT'!$B$2:$B$15000,"Imp DAP",'WH+RT CURRENT'!$R$2:$R$15000,"223289")</f>
        <v>0</v>
      </c>
      <c r="Q120" s="1">
        <f t="shared" si="25"/>
        <v>13.01</v>
      </c>
    </row>
    <row r="123" spans="5:17" x14ac:dyDescent="0.25">
      <c r="E123" s="12" t="s">
        <v>437</v>
      </c>
      <c r="F123" s="12"/>
      <c r="G123" s="12"/>
      <c r="H123" s="12"/>
      <c r="I123" s="12"/>
      <c r="J123" s="12"/>
      <c r="K123" s="12"/>
      <c r="L123" s="12"/>
      <c r="M123" s="12"/>
      <c r="N123" s="12"/>
      <c r="O123" s="12"/>
      <c r="P123" s="12"/>
      <c r="Q123" s="12"/>
    </row>
    <row r="124" spans="5:17" x14ac:dyDescent="0.25">
      <c r="E124" s="13"/>
      <c r="F124" s="15" t="s">
        <v>8147</v>
      </c>
      <c r="G124" s="15"/>
      <c r="H124" s="15"/>
      <c r="I124" s="15"/>
      <c r="J124" s="15"/>
      <c r="K124" s="15"/>
      <c r="L124" s="15" t="s">
        <v>8148</v>
      </c>
      <c r="M124" s="15"/>
      <c r="N124" s="15"/>
      <c r="O124" s="15"/>
      <c r="P124" s="15"/>
      <c r="Q124" s="15"/>
    </row>
    <row r="125" spans="5:17" x14ac:dyDescent="0.25">
      <c r="E125" s="14"/>
      <c r="F125" s="2" t="s">
        <v>0</v>
      </c>
      <c r="G125" s="2" t="s">
        <v>1</v>
      </c>
      <c r="H125" s="2" t="s">
        <v>2</v>
      </c>
      <c r="I125" s="2" t="s">
        <v>3</v>
      </c>
      <c r="J125" s="2" t="s">
        <v>8128</v>
      </c>
      <c r="K125" s="2" t="s">
        <v>4</v>
      </c>
      <c r="L125" s="2" t="s">
        <v>0</v>
      </c>
      <c r="M125" s="2" t="s">
        <v>1</v>
      </c>
      <c r="N125" s="2" t="s">
        <v>2</v>
      </c>
      <c r="O125" s="2" t="s">
        <v>3</v>
      </c>
      <c r="P125" s="2" t="s">
        <v>8128</v>
      </c>
      <c r="Q125" s="2" t="s">
        <v>4</v>
      </c>
    </row>
    <row r="126" spans="5:17" x14ac:dyDescent="0.25">
      <c r="E126" s="2" t="s">
        <v>5</v>
      </c>
      <c r="F126" s="1">
        <f>SUMIFS('WH+RT PREVIOUS'!$M$2:$M$15000,'WH+RT PREVIOUS'!$B$2:$B$15000,"N.C.Urea(45kg)",'WH+RT PREVIOUS'!$R$2:$R$15000,"280775",'WH+RT PREVIOUS'!$N$2:$N$15000,"&gt;179",'WH+RT PREVIOUS'!$N$2:$N$15000,"&lt;366")</f>
        <v>0</v>
      </c>
      <c r="G126" s="1">
        <f>SUMIFS('WH+RT PREVIOUS'!$M$2:$M$15000,'WH+RT PREVIOUS'!$B$2:$B$15000,"15-15-15",'WH+RT PREVIOUS'!$R$2:$R$15000,"280775",'WH+RT PREVIOUS'!$N$2:$N$15000,"&gt;179",'WH+RT PREVIOUS'!$N$2:$N$15000,"&lt;366")</f>
        <v>0</v>
      </c>
      <c r="H126" s="1">
        <f>SUMIFS('WH+RT PREVIOUS'!$M$2:$M$15000,'WH+RT PREVIOUS'!$B$2:$B$15000,"Imp 10-26-26",'WH+RT PREVIOUS'!$R$2:$R$15000,"280775",'WH+RT PREVIOUS'!$N$2:$N$15000,"&gt;179",'WH+RT PREVIOUS'!$N$2:$N$15000,"&lt;366")</f>
        <v>7.95</v>
      </c>
      <c r="I126" s="1">
        <f>SUMIFS('WH+RT PREVIOUS'!$M$2:$M$15000,'WH+RT PREVIOUS'!$B$2:$B$15000,"MOP",'WH+RT PREVIOUS'!$R$2:$R$15000,"280775",'WH+RT PREVIOUS'!$N$2:$N$15000,"&gt;179",'WH+RT PREVIOUS'!$N$2:$N$15000,"&lt;366")</f>
        <v>0</v>
      </c>
      <c r="J126" s="1">
        <f>SUMIFS('WH+RT PREVIOUS'!$M$2:$M$15000,'WH+RT PREVIOUS'!$B$2:$B$15000,"Imp DAP",'WH+RT PREVIOUS'!$R$2:$R$15000,"280775",'WH+RT PREVIOUS'!$N$2:$N$15000,"&gt;179",'WH+RT PREVIOUS'!$N$2:$N$15000,"&lt;366")</f>
        <v>0</v>
      </c>
      <c r="K126" s="1">
        <f>F126+G126+H126+I126+J126</f>
        <v>7.95</v>
      </c>
      <c r="L126" s="1">
        <f>SUMIFS('WH+RT CURRENT'!$M$2:$M$15000,'WH+RT CURRENT'!$B$2:$B$15000,"N.C.Urea(45kg)",'WH+RT CURRENT'!$R$2:$R$15000,"280775",'WH+RT CURRENT'!$N$2:$N$15000,"&gt;179",'WH+RT CURRENT'!$N$2:$N$15000,"&lt;366")</f>
        <v>0</v>
      </c>
      <c r="M126" s="1">
        <f>SUMIFS('WH+RT CURRENT'!$M$2:$M$15000,'WH+RT CURRENT'!$B$2:$B$15000,"15-15-15",'WH+RT CURRENT'!$R$2:$R$15000,"280775",'WH+RT CURRENT'!$N$2:$N$15000,"&gt;179",'WH+RT CURRENT'!$N$2:$N$15000,"&lt;366")</f>
        <v>0</v>
      </c>
      <c r="N126" s="1">
        <f>SUMIFS('WH+RT CURRENT'!$M$2:$M$15000,'WH+RT CURRENT'!$B$2:$B$15000,"Imp 10-26-26",'WH+RT CURRENT'!$R$2:$R$15000,"280775",'WH+RT CURRENT'!$N$2:$N$15000,"&gt;179",'WH+RT CURRENT'!$N$2:$N$15000,"&lt;366")</f>
        <v>7.95</v>
      </c>
      <c r="O126" s="1">
        <f>SUMIFS('WH+RT CURRENT'!$M$2:$M$15000,'WH+RT CURRENT'!$B$2:$B$15000,"MOP",'WH+RT CURRENT'!$R$2:$R$15000,"280775",'WH+RT CURRENT'!$N$2:$N$15000,"&gt;179",'WH+RT CURRENT'!$N$2:$N$15000,"&lt;366")</f>
        <v>0</v>
      </c>
      <c r="P126" s="1">
        <f>SUMIFS('WH+RT CURRENT'!$M$2:$M$15000,'WH+RT CURRENT'!$B$2:$B$15000,"Imp DAP",'WH+RT CURRENT'!$R$2:$R$15000,"280775",'WH+RT CURRENT'!$N$2:$N$15000,"&gt;179",'WH+RT CURRENT'!$N$2:$N$15000,"&lt;366")</f>
        <v>0</v>
      </c>
      <c r="Q126" s="1">
        <f>L126+M126+N126+O126+P126</f>
        <v>7.95</v>
      </c>
    </row>
    <row r="127" spans="5:17" x14ac:dyDescent="0.25">
      <c r="E127" s="2" t="s">
        <v>6</v>
      </c>
      <c r="F127" s="1">
        <f>SUMIFS('WH+RT PREVIOUS'!$M$2:$M$15000,'WH+RT PREVIOUS'!$B$2:$B$15000,"N.C.Urea(45kg)",'WH+RT PREVIOUS'!$R$2:$R$15000,"280775",'WH+RT PREVIOUS'!$N$2:$N$15000,"&gt;365")</f>
        <v>8.19</v>
      </c>
      <c r="G127" s="1">
        <f>SUMIFS('WH+RT PREVIOUS'!$M$2:$M$15000,'WH+RT PREVIOUS'!$B$2:$B$15000,"15-15-15",'WH+RT PREVIOUS'!$R$2:$R$15000,"280775",'WH+RT PREVIOUS'!$N$2:$N$15000,"&gt;365")</f>
        <v>0</v>
      </c>
      <c r="H127" s="1">
        <f>SUMIFS('WH+RT PREVIOUS'!$M$2:$M$15000,'WH+RT PREVIOUS'!$B$2:$B$15000,"Imp 10-26-26",'WH+RT PREVIOUS'!$R$2:$R$15000,"280775",'WH+RT PREVIOUS'!$N$2:$N$15000,"&gt;365")</f>
        <v>0</v>
      </c>
      <c r="I127" s="1">
        <f>SUMIFS('WH+RT PREVIOUS'!$M$2:$M$15000,'WH+RT PREVIOUS'!$B$2:$B$15000,"MOP",'WH+RT PREVIOUS'!$R$2:$R$15000,"280775",'WH+RT PREVIOUS'!$N$2:$N$15000,"&gt;365")</f>
        <v>0</v>
      </c>
      <c r="J127" s="1">
        <f>SUMIFS('WH+RT PREVIOUS'!$M$2:$M$15000,'WH+RT PREVIOUS'!$B$2:$B$15000,"Imp DAP",'WH+RT PREVIOUS'!$R$2:$R$15000,"280775",'WH+RT PREVIOUS'!$N$2:$N$15000,"&gt;365")</f>
        <v>0</v>
      </c>
      <c r="K127" s="1">
        <f t="shared" ref="K127:K129" si="26">F127+G127+H127+I127+J127</f>
        <v>8.19</v>
      </c>
      <c r="L127" s="1">
        <f>SUMIFS('WH+RT CURRENT'!$M$2:$M$15000,'WH+RT CURRENT'!$B$2:$B$15000,"N.C.Urea(45kg)",'WH+RT CURRENT'!$R$2:$R$15000,"280775",'WH+RT CURRENT'!$N$2:$N$15000,"&gt;365")</f>
        <v>8.19</v>
      </c>
      <c r="M127" s="1">
        <f>SUMIFS('WH+RT CURRENT'!$M$2:$M$15000,'WH+RT CURRENT'!$B$2:$B$15000,"15-15-15",'WH+RT CURRENT'!$R$2:$R$15000,"280775",'WH+RT CURRENT'!$N$2:$N$15000,"&gt;365")</f>
        <v>0</v>
      </c>
      <c r="N127" s="1">
        <f>SUMIFS('WH+RT CURRENT'!$M$2:$M$15000,'WH+RT CURRENT'!$B$2:$B$15000,"Imp 10-26-26",'WH+RT CURRENT'!$R$2:$R$15000,"280775",'WH+RT CURRENT'!$N$2:$N$15000,"&gt;365")</f>
        <v>0</v>
      </c>
      <c r="O127" s="1">
        <f>SUMIFS('WH+RT CURRENT'!$M$2:$M$15000,'WH+RT CURRENT'!$B$2:$B$15000,"MOP",'WH+RT CURRENT'!$R$2:$R$15000,"280775",'WH+RT CURRENT'!$N$2:$N$15000,"&gt;365")</f>
        <v>0</v>
      </c>
      <c r="P127" s="1">
        <f>SUMIFS('WH+RT CURRENT'!$M$2:$M$15000,'WH+RT CURRENT'!$B$2:$B$15000,"Imp DAP",'WH+RT CURRENT'!$R$2:$R$15000,"280775",'WH+RT CURRENT'!$N$2:$N$15000,"&gt;365")</f>
        <v>0</v>
      </c>
      <c r="Q127" s="1">
        <f t="shared" ref="Q127:Q129" si="27">L127+M127+N127+O127+P127</f>
        <v>8.19</v>
      </c>
    </row>
    <row r="128" spans="5:17" x14ac:dyDescent="0.25">
      <c r="E128" s="2" t="s">
        <v>7</v>
      </c>
      <c r="F128" s="1">
        <f>F126+F127</f>
        <v>8.19</v>
      </c>
      <c r="G128" s="1">
        <f>G126+G127</f>
        <v>0</v>
      </c>
      <c r="H128" s="1">
        <f>H126+H127</f>
        <v>7.95</v>
      </c>
      <c r="I128" s="1">
        <f>I126+I127</f>
        <v>0</v>
      </c>
      <c r="J128" s="1">
        <f>J126+J127</f>
        <v>0</v>
      </c>
      <c r="K128" s="1">
        <f t="shared" si="26"/>
        <v>16.14</v>
      </c>
      <c r="L128" s="1">
        <f>L126+L127</f>
        <v>8.19</v>
      </c>
      <c r="M128" s="1">
        <f>M126+M127</f>
        <v>0</v>
      </c>
      <c r="N128" s="1">
        <f>N126+N127</f>
        <v>7.95</v>
      </c>
      <c r="O128" s="1">
        <f>O126+O127</f>
        <v>0</v>
      </c>
      <c r="P128" s="1">
        <f>P126+P127</f>
        <v>0</v>
      </c>
      <c r="Q128" s="1">
        <f t="shared" si="27"/>
        <v>16.14</v>
      </c>
    </row>
    <row r="129" spans="5:17" x14ac:dyDescent="0.25">
      <c r="E129" s="2" t="s">
        <v>9</v>
      </c>
      <c r="F129" s="1">
        <f>SUMIFS('WH+RT PREVIOUS'!$M$2:$M$15000,'WH+RT PREVIOUS'!$B$2:$B$15000,"N.C.Urea(45kg)",'WH+RT PREVIOUS'!$R$2:$R$15000,"280775")</f>
        <v>412.04500000000002</v>
      </c>
      <c r="G129" s="1">
        <f>SUMIFS('WH+RT PREVIOUS'!$M$2:$M$15000,'WH+RT PREVIOUS'!$B$2:$B$15000,"15-15-15",'WH+RT PREVIOUS'!$R$2:$R$15000,"280775")</f>
        <v>103.97499999999999</v>
      </c>
      <c r="H129" s="1">
        <f>SUMIFS('WH+RT PREVIOUS'!$M$2:$M$15000,'WH+RT PREVIOUS'!$B$2:$B$15000,"Imp 10-26-26",'WH+RT PREVIOUS'!$R$2:$R$15000,"280775")</f>
        <v>27.2</v>
      </c>
      <c r="I129" s="1">
        <f>SUMIFS('WH+RT PREVIOUS'!$M$2:$M$15000,'WH+RT PREVIOUS'!$B$2:$B$15000,"MOP",'WH+RT PREVIOUS'!$R$2:$R$15000,"280775")</f>
        <v>0</v>
      </c>
      <c r="J129" s="1">
        <f>SUMIFS('WH+RT PREVIOUS'!$M$2:$M$15000,'WH+RT PREVIOUS'!$B$2:$B$15000,"Imp DAP",'WH+RT PREVIOUS'!$R$2:$R$15000,"280775")</f>
        <v>0</v>
      </c>
      <c r="K129" s="1">
        <f t="shared" si="26"/>
        <v>543.22</v>
      </c>
      <c r="L129" s="1">
        <f>SUMIFS('WH+RT CURRENT'!$M$2:$M$15000,'WH+RT CURRENT'!$B$2:$B$15000,"N.C.Urea(45kg)",'WH+RT CURRENT'!$R$2:$R$15000,"280775")</f>
        <v>399.06500000000011</v>
      </c>
      <c r="M129" s="1">
        <f>SUMIFS('WH+RT CURRENT'!$M$2:$M$15000,'WH+RT CURRENT'!$B$2:$B$15000,"15-15-15",'WH+RT CURRENT'!$R$2:$R$15000,"280775")</f>
        <v>93.974999999999994</v>
      </c>
      <c r="N129" s="1">
        <f>SUMIFS('WH+RT CURRENT'!$M$2:$M$15000,'WH+RT CURRENT'!$B$2:$B$15000,"Imp 10-26-26",'WH+RT CURRENT'!$R$2:$R$15000,"280775")</f>
        <v>25.7</v>
      </c>
      <c r="O129" s="1">
        <f>SUMIFS('WH+RT CURRENT'!$M$2:$M$15000,'WH+RT CURRENT'!$B$2:$B$15000,"MOP",'WH+RT CURRENT'!$R$2:$R$15000,"280775")</f>
        <v>0</v>
      </c>
      <c r="P129" s="1">
        <f>SUMIFS('WH+RT CURRENT'!$M$2:$M$15000,'WH+RT CURRENT'!$B$2:$B$15000,"Imp DAP",'WH+RT CURRENT'!$R$2:$R$15000,"280775")</f>
        <v>0</v>
      </c>
      <c r="Q129" s="1">
        <f t="shared" si="27"/>
        <v>518.74000000000012</v>
      </c>
    </row>
    <row r="132" spans="5:17" x14ac:dyDescent="0.25">
      <c r="E132" s="12" t="s">
        <v>6145</v>
      </c>
      <c r="F132" s="12"/>
      <c r="G132" s="12"/>
      <c r="H132" s="12"/>
      <c r="I132" s="12"/>
      <c r="J132" s="12"/>
      <c r="K132" s="12"/>
      <c r="L132" s="12"/>
      <c r="M132" s="12"/>
      <c r="N132" s="12"/>
      <c r="O132" s="12"/>
      <c r="P132" s="12"/>
      <c r="Q132" s="12"/>
    </row>
    <row r="133" spans="5:17" x14ac:dyDescent="0.25">
      <c r="E133" s="13"/>
      <c r="F133" s="15" t="s">
        <v>8147</v>
      </c>
      <c r="G133" s="15"/>
      <c r="H133" s="15"/>
      <c r="I133" s="15"/>
      <c r="J133" s="15"/>
      <c r="K133" s="15"/>
      <c r="L133" s="15" t="s">
        <v>8148</v>
      </c>
      <c r="M133" s="15"/>
      <c r="N133" s="15"/>
      <c r="O133" s="15"/>
      <c r="P133" s="15"/>
      <c r="Q133" s="15"/>
    </row>
    <row r="134" spans="5:17" x14ac:dyDescent="0.25">
      <c r="E134" s="14"/>
      <c r="F134" s="2" t="s">
        <v>0</v>
      </c>
      <c r="G134" s="2" t="s">
        <v>1</v>
      </c>
      <c r="H134" s="2" t="s">
        <v>2</v>
      </c>
      <c r="I134" s="2" t="s">
        <v>3</v>
      </c>
      <c r="J134" s="2" t="s">
        <v>8128</v>
      </c>
      <c r="K134" s="2" t="s">
        <v>4</v>
      </c>
      <c r="L134" s="2" t="s">
        <v>0</v>
      </c>
      <c r="M134" s="2" t="s">
        <v>1</v>
      </c>
      <c r="N134" s="2" t="s">
        <v>2</v>
      </c>
      <c r="O134" s="2" t="s">
        <v>3</v>
      </c>
      <c r="P134" s="2" t="s">
        <v>8128</v>
      </c>
      <c r="Q134" s="2" t="s">
        <v>4</v>
      </c>
    </row>
    <row r="135" spans="5:17" x14ac:dyDescent="0.25">
      <c r="E135" s="2" t="s">
        <v>5</v>
      </c>
      <c r="F135" s="1">
        <f>SUMIFS('WH+RT PREVIOUS'!$M$2:$M$15000,'WH+RT PREVIOUS'!$B$2:$B$15000,"N.C.Urea(45kg)",'WH+RT PREVIOUS'!$R$2:$R$15000,"223279",'WH+RT PREVIOUS'!$N$2:$N$15000,"&gt;179",'WH+RT PREVIOUS'!$N$2:$N$15000,"&lt;366")</f>
        <v>0</v>
      </c>
      <c r="G135" s="1">
        <f>SUMIFS('WH+RT PREVIOUS'!$M$2:$M$15000,'WH+RT PREVIOUS'!$B$2:$B$15000,"15-15-15",'WH+RT PREVIOUS'!$R$2:$R$15000,"223279",'WH+RT PREVIOUS'!$N$2:$N$15000,"&gt;179",'WH+RT PREVIOUS'!$N$2:$N$15000,"&lt;366")</f>
        <v>0</v>
      </c>
      <c r="H135" s="1">
        <f>SUMIFS('WH+RT PREVIOUS'!$M$2:$M$15000,'WH+RT PREVIOUS'!$B$2:$B$15000,"Imp 10-26-26",'WH+RT PREVIOUS'!$R$2:$R$15000,"223279",'WH+RT PREVIOUS'!$N$2:$N$15000,"&gt;179",'WH+RT PREVIOUS'!$N$2:$N$15000,"&lt;366")</f>
        <v>0</v>
      </c>
      <c r="I135" s="1">
        <f>SUMIFS('WH+RT PREVIOUS'!$M$2:$M$15000,'WH+RT PREVIOUS'!$B$2:$B$15000,"MOP",'WH+RT PREVIOUS'!$R$2:$R$15000,"223279",'WH+RT PREVIOUS'!$N$2:$N$15000,"&gt;179",'WH+RT PREVIOUS'!$N$2:$N$15000,"&lt;366")</f>
        <v>0</v>
      </c>
      <c r="J135" s="1">
        <f>SUMIFS('WH+RT PREVIOUS'!$M$2:$M$15000,'WH+RT PREVIOUS'!$B$2:$B$15000,"Imp DAP",'WH+RT PREVIOUS'!$R$2:$R$15000,"223279",'WH+RT PREVIOUS'!$N$2:$N$15000,"&gt;179",'WH+RT PREVIOUS'!$N$2:$N$15000,"&lt;366")</f>
        <v>0</v>
      </c>
      <c r="K135" s="1">
        <f>F135+G135+H135+I135+J135</f>
        <v>0</v>
      </c>
      <c r="L135" s="1">
        <f>SUMIFS('WH+RT CURRENT'!$M$2:$M$15000,'WH+RT CURRENT'!$B$2:$B$15000,"N.C.Urea(45kg)",'WH+RT CURRENT'!$R$2:$R$15000,"223279",'WH+RT CURRENT'!$N$2:$N$15000,"&gt;179",'WH+RT CURRENT'!$N$2:$N$15000,"&lt;366")</f>
        <v>0</v>
      </c>
      <c r="M135" s="1">
        <f>SUMIFS('WH+RT CURRENT'!$M$2:$M$15000,'WH+RT CURRENT'!$B$2:$B$15000,"15-15-15",'WH+RT CURRENT'!$R$2:$R$15000,"223279",'WH+RT CURRENT'!$N$2:$N$15000,"&gt;179",'WH+RT CURRENT'!$N$2:$N$15000,"&lt;366")</f>
        <v>0</v>
      </c>
      <c r="N135" s="1">
        <f>SUMIFS('WH+RT CURRENT'!$M$2:$M$15000,'WH+RT CURRENT'!$B$2:$B$15000,"Imp 10-26-26",'WH+RT CURRENT'!$R$2:$R$15000,"223279",'WH+RT CURRENT'!$N$2:$N$15000,"&gt;179",'WH+RT CURRENT'!$N$2:$N$15000,"&lt;366")</f>
        <v>0</v>
      </c>
      <c r="O135" s="1">
        <f>SUMIFS('WH+RT CURRENT'!$M$2:$M$15000,'WH+RT CURRENT'!$B$2:$B$15000,"MOP",'WH+RT CURRENT'!$R$2:$R$15000,"223279",'WH+RT CURRENT'!$N$2:$N$15000,"&gt;179",'WH+RT CURRENT'!$N$2:$N$15000,"&lt;366")</f>
        <v>0</v>
      </c>
      <c r="P135" s="1">
        <f>SUMIFS('WH+RT CURRENT'!$M$2:$M$15000,'WH+RT CURRENT'!$B$2:$B$15000,"Imp DAP",'WH+RT CURRENT'!$R$2:$R$15000,"223279",'WH+RT CURRENT'!$N$2:$N$15000,"&gt;179",'WH+RT CURRENT'!$N$2:$N$15000,"&lt;366")</f>
        <v>0</v>
      </c>
      <c r="Q135" s="1">
        <f>L135+M135+N135+O135+P135</f>
        <v>0</v>
      </c>
    </row>
    <row r="136" spans="5:17" x14ac:dyDescent="0.25">
      <c r="E136" s="2" t="s">
        <v>6</v>
      </c>
      <c r="F136" s="1">
        <f>SUMIFS('WH+RT PREVIOUS'!$M$2:$M$15000,'WH+RT PREVIOUS'!$B$2:$B$15000,"N.C.Urea(45kg)",'WH+RT PREVIOUS'!$R$2:$R$15000,"223279",'WH+RT PREVIOUS'!$N$2:$N$15000,"&gt;365")</f>
        <v>1.2</v>
      </c>
      <c r="G136" s="1">
        <f>SUMIFS('WH+RT PREVIOUS'!$M$2:$M$15000,'WH+RT PREVIOUS'!$B$2:$B$15000,"15-15-15",'WH+RT PREVIOUS'!$R$2:$R$15000,"223279",'WH+RT PREVIOUS'!$N$2:$N$15000,"&gt;365")</f>
        <v>0</v>
      </c>
      <c r="H136" s="1">
        <f>SUMIFS('WH+RT PREVIOUS'!$M$2:$M$15000,'WH+RT PREVIOUS'!$B$2:$B$15000,"Imp 10-26-26",'WH+RT PREVIOUS'!$R$2:$R$15000,"223279",'WH+RT PREVIOUS'!$N$2:$N$15000,"&gt;365")</f>
        <v>0</v>
      </c>
      <c r="I136" s="1">
        <f>SUMIFS('WH+RT PREVIOUS'!$M$2:$M$15000,'WH+RT PREVIOUS'!$B$2:$B$15000,"MOP",'WH+RT PREVIOUS'!$R$2:$R$15000,"223279",'WH+RT PREVIOUS'!$N$2:$N$15000,"&gt;365")</f>
        <v>0</v>
      </c>
      <c r="J136" s="1">
        <f>SUMIFS('WH+RT PREVIOUS'!$M$2:$M$15000,'WH+RT PREVIOUS'!$B$2:$B$15000,"Imp DAP",'WH+RT PREVIOUS'!$R$2:$R$15000,"223279",'WH+RT PREVIOUS'!$N$2:$N$15000,"&gt;365")</f>
        <v>0</v>
      </c>
      <c r="K136" s="1">
        <f t="shared" ref="K136:K138" si="28">F136+G136+H136+I136+J136</f>
        <v>1.2</v>
      </c>
      <c r="L136" s="1">
        <f>SUMIFS('WH+RT CURRENT'!$M$2:$M$15000,'WH+RT CURRENT'!$B$2:$B$15000,"N.C.Urea(45kg)",'WH+RT CURRENT'!$R$2:$R$15000,"223279",'WH+RT CURRENT'!$N$2:$N$15000,"&gt;365")</f>
        <v>1.2</v>
      </c>
      <c r="M136" s="1">
        <f>SUMIFS('WH+RT CURRENT'!$M$2:$M$15000,'WH+RT CURRENT'!$B$2:$B$15000,"15-15-15",'WH+RT CURRENT'!$R$2:$R$15000,"223279",'WH+RT CURRENT'!$N$2:$N$15000,"&gt;365")</f>
        <v>0</v>
      </c>
      <c r="N136" s="1">
        <f>SUMIFS('WH+RT CURRENT'!$M$2:$M$15000,'WH+RT CURRENT'!$B$2:$B$15000,"Imp 10-26-26",'WH+RT CURRENT'!$R$2:$R$15000,"223279",'WH+RT CURRENT'!$N$2:$N$15000,"&gt;365")</f>
        <v>0</v>
      </c>
      <c r="O136" s="1">
        <f>SUMIFS('WH+RT CURRENT'!$M$2:$M$15000,'WH+RT CURRENT'!$B$2:$B$15000,"MOP",'WH+RT CURRENT'!$R$2:$R$15000,"223279",'WH+RT CURRENT'!$N$2:$N$15000,"&gt;365")</f>
        <v>0</v>
      </c>
      <c r="P136" s="1">
        <f>SUMIFS('WH+RT CURRENT'!$M$2:$M$15000,'WH+RT CURRENT'!$B$2:$B$15000,"Imp DAP",'WH+RT CURRENT'!$R$2:$R$15000,"223279",'WH+RT CURRENT'!$N$2:$N$15000,"&gt;365")</f>
        <v>0</v>
      </c>
      <c r="Q136" s="1">
        <f t="shared" ref="Q136:Q138" si="29">L136+M136+N136+O136+P136</f>
        <v>1.2</v>
      </c>
    </row>
    <row r="137" spans="5:17" x14ac:dyDescent="0.25">
      <c r="E137" s="2" t="s">
        <v>7</v>
      </c>
      <c r="F137" s="1">
        <f>F135+F136</f>
        <v>1.2</v>
      </c>
      <c r="G137" s="1">
        <f>G135+G136</f>
        <v>0</v>
      </c>
      <c r="H137" s="1">
        <f>H135+H136</f>
        <v>0</v>
      </c>
      <c r="I137" s="1">
        <f>I135+I136</f>
        <v>0</v>
      </c>
      <c r="J137" s="1">
        <f>J135+J136</f>
        <v>0</v>
      </c>
      <c r="K137" s="1">
        <f t="shared" si="28"/>
        <v>1.2</v>
      </c>
      <c r="L137" s="1">
        <f>L135+L136</f>
        <v>1.2</v>
      </c>
      <c r="M137" s="1">
        <f>M135+M136</f>
        <v>0</v>
      </c>
      <c r="N137" s="1">
        <f>N135+N136</f>
        <v>0</v>
      </c>
      <c r="O137" s="1">
        <f>O135+O136</f>
        <v>0</v>
      </c>
      <c r="P137" s="1">
        <f>P135+P136</f>
        <v>0</v>
      </c>
      <c r="Q137" s="1">
        <f t="shared" si="29"/>
        <v>1.2</v>
      </c>
    </row>
    <row r="138" spans="5:17" x14ac:dyDescent="0.25">
      <c r="E138" s="2" t="s">
        <v>9</v>
      </c>
      <c r="F138" s="1">
        <f>SUMIFS('WH+RT PREVIOUS'!$M$2:$M$15000,'WH+RT PREVIOUS'!$B$2:$B$15000,"N.C.Urea(45kg)",'WH+RT PREVIOUS'!$R$2:$R$15000,"223279")</f>
        <v>8.0150000000000006</v>
      </c>
      <c r="G138" s="1">
        <f>SUMIFS('WH+RT PREVIOUS'!$M$2:$M$15000,'WH+RT PREVIOUS'!$B$2:$B$15000,"15-15-15",'WH+RT PREVIOUS'!$R$2:$R$15000,"223279")</f>
        <v>3</v>
      </c>
      <c r="H138" s="1">
        <f>SUMIFS('WH+RT PREVIOUS'!$M$2:$M$15000,'WH+RT PREVIOUS'!$B$2:$B$15000,"Imp 10-26-26",'WH+RT PREVIOUS'!$R$2:$R$15000,"223279")</f>
        <v>0.85</v>
      </c>
      <c r="I138" s="1">
        <f>SUMIFS('WH+RT PREVIOUS'!$M$2:$M$15000,'WH+RT PREVIOUS'!$B$2:$B$15000,"MOP",'WH+RT PREVIOUS'!$R$2:$R$15000,"223279")</f>
        <v>0</v>
      </c>
      <c r="J138" s="1">
        <f>SUMIFS('WH+RT PREVIOUS'!$M$2:$M$15000,'WH+RT PREVIOUS'!$B$2:$B$15000,"Imp DAP",'WH+RT PREVIOUS'!$R$2:$R$15000,"223279")</f>
        <v>0</v>
      </c>
      <c r="K138" s="1">
        <f t="shared" si="28"/>
        <v>11.865</v>
      </c>
      <c r="L138" s="1">
        <f>SUMIFS('WH+RT CURRENT'!$M$2:$M$15000,'WH+RT CURRENT'!$B$2:$B$15000,"N.C.Urea(45kg)",'WH+RT CURRENT'!$R$2:$R$15000,"223279")</f>
        <v>8.0150000000000006</v>
      </c>
      <c r="M138" s="1">
        <f>SUMIFS('WH+RT CURRENT'!$M$2:$M$15000,'WH+RT CURRENT'!$B$2:$B$15000,"15-15-15",'WH+RT CURRENT'!$R$2:$R$15000,"223279")</f>
        <v>0</v>
      </c>
      <c r="N138" s="1">
        <f>SUMIFS('WH+RT CURRENT'!$M$2:$M$15000,'WH+RT CURRENT'!$B$2:$B$15000,"Imp 10-26-26",'WH+RT CURRENT'!$R$2:$R$15000,"223279")</f>
        <v>0.85</v>
      </c>
      <c r="O138" s="1">
        <f>SUMIFS('WH+RT CURRENT'!$M$2:$M$15000,'WH+RT CURRENT'!$B$2:$B$15000,"MOP",'WH+RT CURRENT'!$R$2:$R$15000,"223279")</f>
        <v>0</v>
      </c>
      <c r="P138" s="1">
        <f>SUMIFS('WH+RT CURRENT'!$M$2:$M$15000,'WH+RT CURRENT'!$B$2:$B$15000,"Imp DAP",'WH+RT CURRENT'!$R$2:$R$15000,"223279")</f>
        <v>0</v>
      </c>
      <c r="Q138" s="1">
        <f t="shared" si="29"/>
        <v>8.8650000000000002</v>
      </c>
    </row>
    <row r="141" spans="5:17" x14ac:dyDescent="0.25">
      <c r="E141" s="9"/>
      <c r="F141" s="9"/>
      <c r="G141" s="9"/>
      <c r="H141" s="9"/>
      <c r="I141" s="9"/>
      <c r="J141" s="9"/>
      <c r="K141" s="9"/>
      <c r="L141" s="9"/>
      <c r="M141" s="9"/>
      <c r="N141" s="9"/>
      <c r="O141" s="9"/>
      <c r="P141" s="9"/>
      <c r="Q141" s="9"/>
    </row>
    <row r="142" spans="5:17" x14ac:dyDescent="0.25">
      <c r="F142" s="8"/>
      <c r="G142" s="8"/>
      <c r="H142" s="8"/>
      <c r="I142" s="8"/>
      <c r="J142" s="8"/>
      <c r="K142" s="8"/>
      <c r="L142" s="8"/>
      <c r="M142" s="8"/>
      <c r="N142" s="8"/>
      <c r="O142" s="8"/>
      <c r="P142" s="8"/>
      <c r="Q142" s="8"/>
    </row>
    <row r="143" spans="5:17" x14ac:dyDescent="0.25">
      <c r="F143" s="8"/>
      <c r="G143" s="8"/>
      <c r="H143" s="8"/>
      <c r="I143" s="8"/>
      <c r="J143" s="8"/>
      <c r="K143" s="8"/>
      <c r="L143" s="8"/>
      <c r="M143" s="8"/>
      <c r="N143" s="8"/>
      <c r="O143" s="8"/>
      <c r="P143" s="8"/>
      <c r="Q143" s="8"/>
    </row>
    <row r="144" spans="5:17" x14ac:dyDescent="0.25">
      <c r="E144" s="8"/>
    </row>
    <row r="145" spans="5:5" x14ac:dyDescent="0.25">
      <c r="E145" s="8"/>
    </row>
    <row r="146" spans="5:5" x14ac:dyDescent="0.25">
      <c r="E146" s="8"/>
    </row>
    <row r="147" spans="5:5" x14ac:dyDescent="0.25">
      <c r="E147" s="8"/>
    </row>
  </sheetData>
  <mergeCells count="61">
    <mergeCell ref="E123:Q123"/>
    <mergeCell ref="E124:E125"/>
    <mergeCell ref="F124:K124"/>
    <mergeCell ref="L124:Q124"/>
    <mergeCell ref="E106:E107"/>
    <mergeCell ref="F106:K106"/>
    <mergeCell ref="L106:Q106"/>
    <mergeCell ref="E114:Q114"/>
    <mergeCell ref="E115:E116"/>
    <mergeCell ref="F115:K115"/>
    <mergeCell ref="L115:Q115"/>
    <mergeCell ref="E52:E53"/>
    <mergeCell ref="F52:K52"/>
    <mergeCell ref="L52:Q52"/>
    <mergeCell ref="E60:Q60"/>
    <mergeCell ref="E61:E62"/>
    <mergeCell ref="F61:K61"/>
    <mergeCell ref="L61:Q61"/>
    <mergeCell ref="E42:Q42"/>
    <mergeCell ref="E43:E44"/>
    <mergeCell ref="F43:K43"/>
    <mergeCell ref="L43:Q43"/>
    <mergeCell ref="E51:Q51"/>
    <mergeCell ref="E25:E26"/>
    <mergeCell ref="F25:K25"/>
    <mergeCell ref="L25:Q25"/>
    <mergeCell ref="E33:Q33"/>
    <mergeCell ref="E34:E35"/>
    <mergeCell ref="F34:K34"/>
    <mergeCell ref="L34:Q34"/>
    <mergeCell ref="E15:Q15"/>
    <mergeCell ref="E16:E17"/>
    <mergeCell ref="F16:K16"/>
    <mergeCell ref="L16:Q16"/>
    <mergeCell ref="E24:Q24"/>
    <mergeCell ref="E1:Q3"/>
    <mergeCell ref="E6:Q6"/>
    <mergeCell ref="E7:E8"/>
    <mergeCell ref="F7:K7"/>
    <mergeCell ref="L7:Q7"/>
    <mergeCell ref="E69:Q69"/>
    <mergeCell ref="E70:E71"/>
    <mergeCell ref="F70:K70"/>
    <mergeCell ref="L70:Q70"/>
    <mergeCell ref="E78:Q78"/>
    <mergeCell ref="E132:Q132"/>
    <mergeCell ref="E133:E134"/>
    <mergeCell ref="F133:K133"/>
    <mergeCell ref="L133:Q133"/>
    <mergeCell ref="E79:E80"/>
    <mergeCell ref="F79:K79"/>
    <mergeCell ref="L79:Q79"/>
    <mergeCell ref="E87:Q87"/>
    <mergeCell ref="E88:E89"/>
    <mergeCell ref="F88:K88"/>
    <mergeCell ref="L88:Q88"/>
    <mergeCell ref="E96:Q96"/>
    <mergeCell ref="E97:E98"/>
    <mergeCell ref="F97:K97"/>
    <mergeCell ref="L97:Q97"/>
    <mergeCell ref="E105:Q10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0461A-588A-485E-8774-7CE00DA149D6}">
  <dimension ref="E1:S156"/>
  <sheetViews>
    <sheetView topLeftCell="A13" workbookViewId="0"/>
  </sheetViews>
  <sheetFormatPr defaultRowHeight="15" x14ac:dyDescent="0.25"/>
  <cols>
    <col min="1" max="4" width="10.7109375" customWidth="1"/>
    <col min="5" max="5" width="13.7109375" bestFit="1" customWidth="1"/>
  </cols>
  <sheetData>
    <row r="1" spans="5:19" x14ac:dyDescent="0.25">
      <c r="E1" s="16" t="s">
        <v>953</v>
      </c>
      <c r="F1" s="17"/>
      <c r="G1" s="17"/>
      <c r="H1" s="17"/>
      <c r="I1" s="17"/>
      <c r="J1" s="17"/>
      <c r="K1" s="17"/>
      <c r="L1" s="17"/>
      <c r="M1" s="17"/>
      <c r="N1" s="17"/>
      <c r="O1" s="17"/>
      <c r="P1" s="17"/>
      <c r="Q1" s="17"/>
      <c r="R1" t="s">
        <v>8141</v>
      </c>
      <c r="S1">
        <v>17</v>
      </c>
    </row>
    <row r="2" spans="5:19" x14ac:dyDescent="0.25">
      <c r="E2" s="17"/>
      <c r="F2" s="17"/>
      <c r="G2" s="17"/>
      <c r="H2" s="17"/>
      <c r="I2" s="17"/>
      <c r="J2" s="17"/>
      <c r="K2" s="17"/>
      <c r="L2" s="17"/>
      <c r="M2" s="17"/>
      <c r="N2" s="17"/>
      <c r="O2" s="17"/>
      <c r="P2" s="17"/>
      <c r="Q2" s="17"/>
    </row>
    <row r="3" spans="5:19" x14ac:dyDescent="0.25">
      <c r="E3" s="17"/>
      <c r="F3" s="17"/>
      <c r="G3" s="17"/>
      <c r="H3" s="17"/>
      <c r="I3" s="17"/>
      <c r="J3" s="17"/>
      <c r="K3" s="17"/>
      <c r="L3" s="17"/>
      <c r="M3" s="17"/>
      <c r="N3" s="17"/>
      <c r="O3" s="17"/>
      <c r="P3" s="17"/>
      <c r="Q3" s="17"/>
    </row>
    <row r="6" spans="5:19" x14ac:dyDescent="0.25">
      <c r="E6" s="12" t="s">
        <v>1078</v>
      </c>
      <c r="F6" s="12"/>
      <c r="G6" s="12"/>
      <c r="H6" s="12"/>
      <c r="I6" s="12"/>
      <c r="J6" s="12"/>
      <c r="K6" s="12"/>
      <c r="L6" s="12"/>
      <c r="M6" s="12"/>
      <c r="N6" s="12"/>
      <c r="O6" s="12"/>
      <c r="P6" s="12"/>
      <c r="Q6" s="12"/>
    </row>
    <row r="7" spans="5:19" x14ac:dyDescent="0.25">
      <c r="E7" s="13"/>
      <c r="F7" s="15" t="s">
        <v>8130</v>
      </c>
      <c r="G7" s="15"/>
      <c r="H7" s="15"/>
      <c r="I7" s="15"/>
      <c r="J7" s="15"/>
      <c r="K7" s="15"/>
      <c r="L7" s="15" t="s">
        <v>8131</v>
      </c>
      <c r="M7" s="15"/>
      <c r="N7" s="15"/>
      <c r="O7" s="15"/>
      <c r="P7" s="15"/>
      <c r="Q7" s="15"/>
    </row>
    <row r="8" spans="5:19" x14ac:dyDescent="0.25">
      <c r="E8" s="14"/>
      <c r="F8" s="2" t="s">
        <v>0</v>
      </c>
      <c r="G8" s="2" t="s">
        <v>1</v>
      </c>
      <c r="H8" s="2" t="s">
        <v>2</v>
      </c>
      <c r="I8" s="2" t="s">
        <v>3</v>
      </c>
      <c r="J8" s="2" t="s">
        <v>8128</v>
      </c>
      <c r="K8" s="2" t="s">
        <v>4</v>
      </c>
      <c r="L8" s="2" t="s">
        <v>0</v>
      </c>
      <c r="M8" s="2" t="s">
        <v>1</v>
      </c>
      <c r="N8" s="2" t="s">
        <v>2</v>
      </c>
      <c r="O8" s="2" t="s">
        <v>3</v>
      </c>
      <c r="P8" s="2" t="s">
        <v>8128</v>
      </c>
      <c r="Q8" s="2" t="s">
        <v>4</v>
      </c>
    </row>
    <row r="9" spans="5:19" x14ac:dyDescent="0.25">
      <c r="E9" s="2" t="s">
        <v>5</v>
      </c>
      <c r="F9" s="1">
        <f>SUMIFS('WH+RT PREVIOUS'!$M$2:$M$15000,'WH+RT PREVIOUS'!$B$2:$B$15000,"N.C.Urea(45kg)",'WH+RT PREVIOUS'!$S$2:$S$15000,"Bhabani Prosad Chattopadhy",'WH+RT PREVIOUS'!$N$2:$N$15000,"&gt;179",'WH+RT PREVIOUS'!$N$2:$N$15000,"&lt;366")</f>
        <v>3.1050000000000004</v>
      </c>
      <c r="G9" s="1">
        <f>SUMIFS('WH+RT PREVIOUS'!$M$2:$M$15000,'WH+RT PREVIOUS'!$B$2:$B$15000,"15-15-15",'WH+RT PREVIOUS'!$S$2:$S$15000,"Bhabani Prosad Chattopadhy",'WH+RT PREVIOUS'!$N$2:$N$15000,"&gt;179",'WH+RT PREVIOUS'!$N$2:$N$15000,"&lt;366")</f>
        <v>5.8730000000000002</v>
      </c>
      <c r="H9" s="1">
        <f>SUMIFS('WH+RT PREVIOUS'!$M$2:$M$15000,'WH+RT PREVIOUS'!$B$2:$B$15000,"Imp 10-26-26",'WH+RT PREVIOUS'!$S$2:$S$15000,"Bhabani Prosad Chattopadhy",'WH+RT PREVIOUS'!$N$2:$N$15000,"&gt;179",'WH+RT PREVIOUS'!$N$2:$N$15000,"&lt;366")</f>
        <v>3.2959999999999994</v>
      </c>
      <c r="I9" s="1">
        <f>SUMIFS('WH+RT PREVIOUS'!$M$2:$M$15000,'WH+RT PREVIOUS'!$B$2:$B$15000,"MOP",'WH+RT PREVIOUS'!$S$2:$S$15000,"Bhabani Prosad Chattopadhy",'WH+RT PREVIOUS'!$N$2:$N$15000,"&gt;179",'WH+RT PREVIOUS'!$N$2:$N$15000,"&lt;366")</f>
        <v>0</v>
      </c>
      <c r="J9" s="1">
        <f>SUMIFS('WH+RT PREVIOUS'!$M$2:$M$15000,'WH+RT PREVIOUS'!$B$2:$B$15000,"Imp DAP",'WH+RT PREVIOUS'!$S$2:$S$15000,"Bhabani Prosad Chattopadhy",'WH+RT PREVIOUS'!$N$2:$N$15000,"&gt;179",'WH+RT PREVIOUS'!$N$2:$N$15000,"&lt;366")</f>
        <v>0</v>
      </c>
      <c r="K9" s="1">
        <f>F9+G9+H9+I9+J9</f>
        <v>12.274000000000001</v>
      </c>
      <c r="L9" s="1">
        <f>SUMIFS('WH+RT CURRENT'!$M$2:$M$15000,'WH+RT CURRENT'!$B$2:$B$15000,"N.C.Urea(45kg)",'WH+RT CURRENT'!$S$2:$S$15000,"Bhabani Prosad Chattopadhy",'WH+RT CURRENT'!$N$2:$N$15000,"&gt;179",'WH+RT CURRENT'!$N$2:$N$15000,"&lt;366")</f>
        <v>3.1050000000000004</v>
      </c>
      <c r="M9" s="1">
        <f>SUMIFS('WH+RT CURRENT'!$M$2:$M$15000,'WH+RT CURRENT'!$B$2:$B$15000,"15-15-15",'WH+RT CURRENT'!$S$2:$S$15000,"Bhabani Prosad Chattopadhy",'WH+RT CURRENT'!$N$2:$N$15000,"&gt;179",'WH+RT CURRENT'!$N$2:$N$15000,"&lt;366")</f>
        <v>5.8730000000000011</v>
      </c>
      <c r="N9" s="1">
        <f>SUMIFS('WH+RT CURRENT'!$M$2:$M$15000,'WH+RT CURRENT'!$B$2:$B$15000,"Imp 10-26-26",'WH+RT CURRENT'!$S$2:$S$15000,"Bhabani Prosad Chattopadhy",'WH+RT CURRENT'!$N$2:$N$15000,"&gt;179",'WH+RT CURRENT'!$N$2:$N$15000,"&lt;366")</f>
        <v>3.2869999999999999</v>
      </c>
      <c r="O9" s="1">
        <f>SUMIFS('WH+RT CURRENT'!$M$2:$M$15000,'WH+RT CURRENT'!$B$2:$B$15000,"MOP",'WH+RT CURRENT'!$S$2:$S$15000,"Bhabani Prosad Chattopadhy",'WH+RT CURRENT'!$N$2:$N$15000,"&gt;179",'WH+RT CURRENT'!$N$2:$N$15000,"&lt;366")</f>
        <v>0</v>
      </c>
      <c r="P9" s="1">
        <f>SUMIFS('WH+RT CURRENT'!$M$2:$M$15000,'WH+RT CURRENT'!$B$2:$B$15000,"Imp DAP",'WH+RT CURRENT'!$S$2:$S$15000,"Bhabani Prosad Chattopadhy",'WH+RT CURRENT'!$N$2:$N$15000,"&gt;179",'WH+RT CURRENT'!$N$2:$N$15000,"&lt;366")</f>
        <v>0</v>
      </c>
      <c r="Q9" s="1">
        <f>L9+M9+N9+O9+P9</f>
        <v>12.265000000000001</v>
      </c>
    </row>
    <row r="10" spans="5:19" x14ac:dyDescent="0.25">
      <c r="E10" s="2" t="s">
        <v>6</v>
      </c>
      <c r="F10" s="1">
        <f>SUMIFS('WH+RT PREVIOUS'!$M$2:$M$15000,'WH+RT PREVIOUS'!$B$2:$B$15000,"N.C.Urea(45kg)",'WH+RT PREVIOUS'!$S$2:$S$15000,"Bhabani Prosad Chattopadhy",'WH+RT PREVIOUS'!$N$2:$N$15000,"&gt;365")</f>
        <v>4.4899999999999993</v>
      </c>
      <c r="G10" s="1">
        <f>SUMIFS('WH+RT PREVIOUS'!$M$2:$M$15000,'WH+RT PREVIOUS'!$B$2:$B$15000,"15-15-15",'WH+RT PREVIOUS'!$S$2:$S$15000,"Bhabani Prosad Chattopadhy",'WH+RT PREVIOUS'!$N$2:$N$15000,"&gt;365")</f>
        <v>3.9119999999999999</v>
      </c>
      <c r="H10" s="1">
        <f>SUMIFS('WH+RT PREVIOUS'!$M$2:$M$15000,'WH+RT PREVIOUS'!$B$2:$B$15000,"Imp 10-26-26",'WH+RT PREVIOUS'!$S$2:$S$15000,"Bhabani Prosad Chattopadhy",'WH+RT PREVIOUS'!$N$2:$N$15000,"&gt;365")</f>
        <v>0.2</v>
      </c>
      <c r="I10" s="1">
        <f>SUMIFS('WH+RT PREVIOUS'!$M$2:$M$15000,'WH+RT PREVIOUS'!$B$2:$B$15000,"MOP",'WH+RT PREVIOUS'!$S$2:$S$15000,"Bhabani Prosad Chattopadhy",'WH+RT PREVIOUS'!$N$2:$N$15000,"&gt;365")</f>
        <v>2.1459999999999999</v>
      </c>
      <c r="J10" s="1">
        <f>SUMIFS('WH+RT PREVIOUS'!$M$2:$M$15000,'WH+RT PREVIOUS'!$B$2:$B$15000,"Imp DAP",'WH+RT PREVIOUS'!$S$2:$S$15000,"Bhabani Prosad Chattopadhy",'WH+RT PREVIOUS'!$N$2:$N$15000,"&gt;365")</f>
        <v>0</v>
      </c>
      <c r="K10" s="1">
        <f>F10+G10+H10+I10+J10</f>
        <v>10.747999999999998</v>
      </c>
      <c r="L10" s="1">
        <f>SUMIFS('WH+RT CURRENT'!$M$2:$M$15000,'WH+RT CURRENT'!$B$2:$B$15000,"N.C.Urea(45kg)",'WH+RT CURRENT'!$S$2:$S$15000,"Bhabani Prosad Chattopadhy",'WH+RT CURRENT'!$N$2:$N$15000,"&gt;365")</f>
        <v>4.49</v>
      </c>
      <c r="M10" s="1">
        <f>SUMIFS('WH+RT CURRENT'!$M$2:$M$15000,'WH+RT CURRENT'!$B$2:$B$15000,"15-15-15",'WH+RT CURRENT'!$S$2:$S$15000,"Bhabani Prosad Chattopadhy",'WH+RT CURRENT'!$N$2:$N$15000,"&gt;365")</f>
        <v>3.9120000000000004</v>
      </c>
      <c r="N10" s="1">
        <f>SUMIFS('WH+RT CURRENT'!$M$2:$M$15000,'WH+RT CURRENT'!$B$2:$B$15000,"Imp 10-26-26",'WH+RT CURRENT'!$S$2:$S$15000,"Bhabani Prosad Chattopadhy",'WH+RT CURRENT'!$N$2:$N$15000,"&gt;365")</f>
        <v>0.2</v>
      </c>
      <c r="O10" s="1">
        <f>SUMIFS('WH+RT CURRENT'!$M$2:$M$15000,'WH+RT CURRENT'!$B$2:$B$15000,"MOP",'WH+RT CURRENT'!$S$2:$S$15000,"Bhabani Prosad Chattopadhy",'WH+RT CURRENT'!$N$2:$N$15000,"&gt;365")</f>
        <v>2.1459999999999999</v>
      </c>
      <c r="P10" s="1">
        <f>SUMIFS('WH+RT CURRENT'!$M$2:$M$15000,'WH+RT CURRENT'!$B$2:$B$15000,"Imp DAP",'WH+RT CURRENT'!$S$2:$S$15000,"Bhabani Prosad Chattopadhy",'WH+RT CURRENT'!$N$2:$N$15000,"&gt;365")</f>
        <v>0</v>
      </c>
      <c r="Q10" s="1">
        <f>L10+M10+N10+O10+P10</f>
        <v>10.748000000000001</v>
      </c>
    </row>
    <row r="11" spans="5:19" x14ac:dyDescent="0.25">
      <c r="E11" s="2" t="s">
        <v>7</v>
      </c>
      <c r="F11" s="1">
        <f>F9+F10</f>
        <v>7.5949999999999998</v>
      </c>
      <c r="G11" s="1">
        <f>G9+G10</f>
        <v>9.7850000000000001</v>
      </c>
      <c r="H11" s="1">
        <f>H9+H10</f>
        <v>3.4959999999999996</v>
      </c>
      <c r="I11" s="1">
        <f>I9+I10</f>
        <v>2.1459999999999999</v>
      </c>
      <c r="J11" s="1">
        <f>J9+J10</f>
        <v>0</v>
      </c>
      <c r="K11" s="1">
        <f>F11+G11+H11+I11+J11</f>
        <v>23.021999999999998</v>
      </c>
      <c r="L11" s="1">
        <f>L9+L10</f>
        <v>7.5950000000000006</v>
      </c>
      <c r="M11" s="1">
        <f>M9+M10</f>
        <v>9.7850000000000019</v>
      </c>
      <c r="N11" s="1">
        <f>N9+N10</f>
        <v>3.4870000000000001</v>
      </c>
      <c r="O11" s="1">
        <f>O9+O10</f>
        <v>2.1459999999999999</v>
      </c>
      <c r="P11" s="1">
        <f>P9+P10</f>
        <v>0</v>
      </c>
      <c r="Q11" s="1">
        <f>L11+M11+N11+O11+P11</f>
        <v>23.013000000000005</v>
      </c>
    </row>
    <row r="12" spans="5:19" x14ac:dyDescent="0.25">
      <c r="E12" s="2" t="s">
        <v>9</v>
      </c>
      <c r="F12" s="1">
        <f>SUMIFS('WH+RT PREVIOUS'!$M$2:$M$15000,'WH+RT PREVIOUS'!$B$2:$B$15000,"N.C.Urea(45kg)",'WH+RT PREVIOUS'!$S$2:$S$15000,"Bhabani Prosad Chattopadhy")</f>
        <v>39.980000000000004</v>
      </c>
      <c r="G12" s="1">
        <f>SUMIFS('WH+RT PREVIOUS'!$M$2:$M$15000,'WH+RT PREVIOUS'!$B$2:$B$15000,"15-15-15",'WH+RT PREVIOUS'!$S$2:$S$15000,"Bhabani Prosad Chattopadhy")</f>
        <v>55.04</v>
      </c>
      <c r="H12" s="1">
        <f>SUMIFS('WH+RT PREVIOUS'!$M$2:$M$15000,'WH+RT PREVIOUS'!$B$2:$B$15000,"Imp 10-26-26",'WH+RT PREVIOUS'!$S$2:$S$15000,"Bhabani Prosad Chattopadhy")</f>
        <v>10.246</v>
      </c>
      <c r="I12" s="1">
        <f>SUMIFS('WH+RT PREVIOUS'!$M$2:$M$15000,'WH+RT PREVIOUS'!$B$2:$B$15000,"MOP",'WH+RT PREVIOUS'!$S$2:$S$15000,"Bhabani Prosad Chattopadhy")</f>
        <v>18.709</v>
      </c>
      <c r="J12" s="1">
        <f>SUMIFS('WH+RT PREVIOUS'!$M$2:$M$15000,'WH+RT PREVIOUS'!$B$2:$B$15000,"Imp DAP",'WH+RT PREVIOUS'!$S$2:$S$15000,"Bhabani Prosad Chattopadhy")</f>
        <v>0</v>
      </c>
      <c r="K12" s="1">
        <f>F12+G12+H12+I12+J12</f>
        <v>123.97500000000001</v>
      </c>
      <c r="L12" s="1">
        <f>SUMIFS('WH+RT CURRENT'!$M$2:$M$15000,'WH+RT CURRENT'!$B$2:$B$15000,"N.C.Urea(45kg)",'WH+RT CURRENT'!$S$2:$S$15000,"Bhabani Prosad Chattopadhy")</f>
        <v>39.305000000000007</v>
      </c>
      <c r="M12" s="1">
        <f>SUMIFS('WH+RT CURRENT'!$M$2:$M$15000,'WH+RT CURRENT'!$B$2:$B$15000,"15-15-15",'WH+RT CURRENT'!$S$2:$S$15000,"Bhabani Prosad Chattopadhy")</f>
        <v>51.975000000000023</v>
      </c>
      <c r="N12" s="1">
        <f>SUMIFS('WH+RT CURRENT'!$M$2:$M$15000,'WH+RT CURRENT'!$B$2:$B$15000,"Imp 10-26-26",'WH+RT CURRENT'!$S$2:$S$15000,"Bhabani Prosad Chattopadhy")</f>
        <v>9.7459999999999987</v>
      </c>
      <c r="O12" s="1">
        <f>SUMIFS('WH+RT CURRENT'!$M$2:$M$15000,'WH+RT CURRENT'!$B$2:$B$15000,"MOP",'WH+RT CURRENT'!$S$2:$S$15000,"Bhabani Prosad Chattopadhy")</f>
        <v>18.758999999999997</v>
      </c>
      <c r="P12" s="1">
        <f>SUMIFS('WH+RT CURRENT'!$M$2:$M$15000,'WH+RT CURRENT'!$B$2:$B$15000,"Imp DAP",'WH+RT CURRENT'!$S$2:$S$15000,"Bhabani Prosad Chattopadhy")</f>
        <v>0</v>
      </c>
      <c r="Q12" s="1">
        <f>L12+M12+N12+O12+P12</f>
        <v>119.78500000000003</v>
      </c>
    </row>
    <row r="15" spans="5:19" x14ac:dyDescent="0.25">
      <c r="E15" s="12" t="s">
        <v>6880</v>
      </c>
      <c r="F15" s="12"/>
      <c r="G15" s="12"/>
      <c r="H15" s="12"/>
      <c r="I15" s="12"/>
      <c r="J15" s="12"/>
      <c r="K15" s="12"/>
      <c r="L15" s="12"/>
      <c r="M15" s="12"/>
      <c r="N15" s="12"/>
      <c r="O15" s="12"/>
      <c r="P15" s="12"/>
      <c r="Q15" s="12"/>
    </row>
    <row r="16" spans="5:19" x14ac:dyDescent="0.25">
      <c r="E16" s="13"/>
      <c r="F16" s="15" t="s">
        <v>8130</v>
      </c>
      <c r="G16" s="15"/>
      <c r="H16" s="15"/>
      <c r="I16" s="15"/>
      <c r="J16" s="15"/>
      <c r="K16" s="15"/>
      <c r="L16" s="15" t="s">
        <v>8131</v>
      </c>
      <c r="M16" s="15"/>
      <c r="N16" s="15"/>
      <c r="O16" s="15"/>
      <c r="P16" s="15"/>
      <c r="Q16" s="15"/>
    </row>
    <row r="17" spans="5:17" x14ac:dyDescent="0.25">
      <c r="E17" s="14"/>
      <c r="F17" s="2" t="s">
        <v>0</v>
      </c>
      <c r="G17" s="2" t="s">
        <v>1</v>
      </c>
      <c r="H17" s="2" t="s">
        <v>2</v>
      </c>
      <c r="I17" s="2" t="s">
        <v>3</v>
      </c>
      <c r="J17" s="2" t="s">
        <v>8128</v>
      </c>
      <c r="K17" s="2" t="s">
        <v>4</v>
      </c>
      <c r="L17" s="2" t="s">
        <v>0</v>
      </c>
      <c r="M17" s="2" t="s">
        <v>1</v>
      </c>
      <c r="N17" s="2" t="s">
        <v>2</v>
      </c>
      <c r="O17" s="2" t="s">
        <v>3</v>
      </c>
      <c r="P17" s="2" t="s">
        <v>8128</v>
      </c>
      <c r="Q17" s="2" t="s">
        <v>4</v>
      </c>
    </row>
    <row r="18" spans="5:17" x14ac:dyDescent="0.25">
      <c r="E18" s="2" t="s">
        <v>5</v>
      </c>
      <c r="F18" s="1">
        <f>SUMIFS('WH+RT PREVIOUS'!$M$2:$M$15000,'WH+RT PREVIOUS'!$B$2:$B$15000,"N.C.Urea(45kg)",'WH+RT PREVIOUS'!$S$2:$S$15000,"Bimal Kumar Kundu",'WH+RT PREVIOUS'!$N$2:$N$15000,"&gt;179",'WH+RT PREVIOUS'!$N$2:$N$15000,"&lt;366")</f>
        <v>0</v>
      </c>
      <c r="G18" s="1">
        <f>SUMIFS('WH+RT PREVIOUS'!$M$2:$M$15000,'WH+RT PREVIOUS'!$B$2:$B$15000,"15-15-15",'WH+RT PREVIOUS'!$S$2:$S$15000,"Bimal Kumar Kundu",'WH+RT PREVIOUS'!$N$2:$N$15000,"&gt;179",'WH+RT PREVIOUS'!$N$2:$N$15000,"&lt;366")</f>
        <v>0</v>
      </c>
      <c r="H18" s="1">
        <f>SUMIFS('WH+RT PREVIOUS'!$M$2:$M$15000,'WH+RT PREVIOUS'!$B$2:$B$15000,"Imp 10-26-26",'WH+RT PREVIOUS'!$S$2:$S$15000,"Bimal Kumar Kundu",'WH+RT PREVIOUS'!$N$2:$N$15000,"&gt;179",'WH+RT PREVIOUS'!$N$2:$N$15000,"&lt;366")</f>
        <v>0</v>
      </c>
      <c r="I18" s="1">
        <f>SUMIFS('WH+RT PREVIOUS'!$M$2:$M$15000,'WH+RT PREVIOUS'!$B$2:$B$15000,"MOP",'WH+RT PREVIOUS'!$S$2:$S$15000,"Bimal Kumar Kundu",'WH+RT PREVIOUS'!$N$2:$N$15000,"&gt;179",'WH+RT PREVIOUS'!$N$2:$N$15000,"&lt;366")</f>
        <v>0</v>
      </c>
      <c r="J18" s="1">
        <f>SUMIFS('WH+RT PREVIOUS'!$M$2:$M$15000,'WH+RT PREVIOUS'!$B$2:$B$15000,"Imp DAP",'WH+RT PREVIOUS'!$S$2:$S$15000,"Bimal Kumar Kundu",'WH+RT PREVIOUS'!$N$2:$N$15000,"&gt;179",'WH+RT PREVIOUS'!$N$2:$N$15000,"&lt;366")</f>
        <v>0</v>
      </c>
      <c r="K18" s="1">
        <f>F18+G18+H18+I18+J18</f>
        <v>0</v>
      </c>
      <c r="L18" s="1">
        <f>SUMIFS('WH+RT CURRENT'!$M$2:$M$15000,'WH+RT CURRENT'!$B$2:$B$15000,"N.C.Urea(45kg)",'WH+RT CURRENT'!$S$2:$S$15000,"Bimal Kumar Kundu",'WH+RT CURRENT'!$N$2:$N$15000,"&gt;179",'WH+RT CURRENT'!$N$2:$N$15000,"&lt;366")</f>
        <v>0</v>
      </c>
      <c r="M18" s="1">
        <f>SUMIFS('WH+RT CURRENT'!$M$2:$M$15000,'WH+RT CURRENT'!$B$2:$B$15000,"15-15-15",'WH+RT CURRENT'!$S$2:$S$15000,"Bimal Kumar Kunduy",'WH+RT CURRENT'!$N$2:$N$15000,"&gt;179",'WH+RT CURRENT'!$N$2:$N$15000,"&lt;366")</f>
        <v>0</v>
      </c>
      <c r="N18" s="1">
        <f>SUMIFS('WH+RT CURRENT'!$M$2:$M$15000,'WH+RT CURRENT'!$B$2:$B$15000,"Imp 10-26-26",'WH+RT CURRENT'!$S$2:$S$15000,"Bimal Kumar Kundu",'WH+RT CURRENT'!$N$2:$N$15000,"&gt;179",'WH+RT CURRENT'!$N$2:$N$15000,"&lt;366")</f>
        <v>0</v>
      </c>
      <c r="O18" s="1">
        <f>SUMIFS('WH+RT CURRENT'!$M$2:$M$15000,'WH+RT CURRENT'!$B$2:$B$15000,"MOP",'WH+RT CURRENT'!$S$2:$S$15000,"Bimal Kumar Kundu",'WH+RT CURRENT'!$N$2:$N$15000,"&gt;179",'WH+RT CURRENT'!$N$2:$N$15000,"&lt;366")</f>
        <v>0</v>
      </c>
      <c r="P18" s="1">
        <f>SUMIFS('WH+RT CURRENT'!$M$2:$M$15000,'WH+RT CURRENT'!$B$2:$B$15000,"Imp DAP",'WH+RT CURRENT'!$S$2:$S$15000,"Bimal Kumar Kundu",'WH+RT CURRENT'!$N$2:$N$15000,"&gt;179",'WH+RT CURRENT'!$N$2:$N$15000,"&lt;366")</f>
        <v>0</v>
      </c>
      <c r="Q18" s="1">
        <f>L18+M18+N18+O18+P18</f>
        <v>0</v>
      </c>
    </row>
    <row r="19" spans="5:17" x14ac:dyDescent="0.25">
      <c r="E19" s="2" t="s">
        <v>6</v>
      </c>
      <c r="F19" s="1">
        <f>SUMIFS('WH+RT PREVIOUS'!$M$2:$M$15000,'WH+RT PREVIOUS'!$B$2:$B$15000,"N.C.Urea(45kg)",'WH+RT PREVIOUS'!$S$2:$S$15000,"Bimal Kumar Kundu",'WH+RT PREVIOUS'!$N$2:$N$15000,"&gt;365")</f>
        <v>0</v>
      </c>
      <c r="G19" s="1">
        <f>SUMIFS('WH+RT PREVIOUS'!$M$2:$M$15000,'WH+RT PREVIOUS'!$B$2:$B$15000,"15-15-15",'WH+RT PREVIOUS'!$S$2:$S$15000,"Bimal Kumar Kundu",'WH+RT PREVIOUS'!$N$2:$N$15000,"&gt;365")</f>
        <v>1.6180000000000001</v>
      </c>
      <c r="H19" s="1">
        <f>SUMIFS('WH+RT PREVIOUS'!$M$2:$M$15000,'WH+RT PREVIOUS'!$B$2:$B$15000,"Imp 10-26-26",'WH+RT PREVIOUS'!$S$2:$S$15000,"Bimal Kumar Kundu",'WH+RT PREVIOUS'!$N$2:$N$15000,"&gt;365")</f>
        <v>0</v>
      </c>
      <c r="I19" s="1">
        <f>SUMIFS('WH+RT PREVIOUS'!$M$2:$M$15000,'WH+RT PREVIOUS'!$B$2:$B$15000,"MOP",'WH+RT PREVIOUS'!$S$2:$S$15000,"Bimal Kumar Kundu",'WH+RT PREVIOUS'!$N$2:$N$15000,"&gt;365")</f>
        <v>0</v>
      </c>
      <c r="J19" s="1">
        <f>SUMIFS('WH+RT PREVIOUS'!$M$2:$M$15000,'WH+RT PREVIOUS'!$B$2:$B$15000,"Imp DAP",'WH+RT PREVIOUS'!$S$2:$S$15000,"Bimal Kumar Kundu",'WH+RT PREVIOUS'!$N$2:$N$15000,"&gt;365")</f>
        <v>0</v>
      </c>
      <c r="K19" s="1">
        <f>F19+G19+H19+I19+J19</f>
        <v>1.6180000000000001</v>
      </c>
      <c r="L19" s="1">
        <f>SUMIFS('WH+RT CURRENT'!$M$2:$M$15000,'WH+RT CURRENT'!$B$2:$B$15000,"N.C.Urea(45kg)",'WH+RT CURRENT'!$S$2:$S$15000,"Bimal Kumar Kundu",'WH+RT CURRENT'!$N$2:$N$15000,"&gt;365")</f>
        <v>0</v>
      </c>
      <c r="M19" s="1">
        <f>SUMIFS('WH+RT CURRENT'!$M$2:$M$15000,'WH+RT CURRENT'!$B$2:$B$15000,"15-15-15",'WH+RT CURRENT'!$S$2:$S$15000,"Bimal Kumar Kundu",'WH+RT CURRENT'!$N$2:$N$15000,"&gt;365")</f>
        <v>1.6180000000000001</v>
      </c>
      <c r="N19" s="1">
        <f>SUMIFS('WH+RT CURRENT'!$M$2:$M$15000,'WH+RT CURRENT'!$B$2:$B$15000,"Imp 10-26-26",'WH+RT CURRENT'!$S$2:$S$15000,"Bimal Kumar Kundu",'WH+RT CURRENT'!$N$2:$N$15000,"&gt;365")</f>
        <v>0</v>
      </c>
      <c r="O19" s="1">
        <f>SUMIFS('WH+RT CURRENT'!$M$2:$M$15000,'WH+RT CURRENT'!$B$2:$B$15000,"MOP",'WH+RT CURRENT'!$S$2:$S$15000,"Bimal Kumar Kundu",'WH+RT CURRENT'!$N$2:$N$15000,"&gt;365")</f>
        <v>0</v>
      </c>
      <c r="P19" s="1">
        <f>SUMIFS('WH+RT CURRENT'!$M$2:$M$15000,'WH+RT CURRENT'!$B$2:$B$15000,"Imp DAP",'WH+RT CURRENT'!$S$2:$S$15000,"Bimal Kumar Kundu",'WH+RT CURRENT'!$N$2:$N$15000,"&gt;365")</f>
        <v>0</v>
      </c>
      <c r="Q19" s="1">
        <f>L19+M19+N19+O19+P19</f>
        <v>1.6180000000000001</v>
      </c>
    </row>
    <row r="20" spans="5:17" x14ac:dyDescent="0.25">
      <c r="E20" s="2" t="s">
        <v>7</v>
      </c>
      <c r="F20" s="1">
        <f>F18+F19</f>
        <v>0</v>
      </c>
      <c r="G20" s="1">
        <f>G18+G19</f>
        <v>1.6180000000000001</v>
      </c>
      <c r="H20" s="1">
        <f>H18+H19</f>
        <v>0</v>
      </c>
      <c r="I20" s="1">
        <f>I18+I19</f>
        <v>0</v>
      </c>
      <c r="J20" s="1">
        <f>J18+J19</f>
        <v>0</v>
      </c>
      <c r="K20" s="1">
        <f>F20+G20+H20+I20+J20</f>
        <v>1.6180000000000001</v>
      </c>
      <c r="L20" s="1">
        <f>L18+L19</f>
        <v>0</v>
      </c>
      <c r="M20" s="1">
        <f>M18+M19</f>
        <v>1.6180000000000001</v>
      </c>
      <c r="N20" s="1">
        <f>N18+N19</f>
        <v>0</v>
      </c>
      <c r="O20" s="1">
        <f>O18+O19</f>
        <v>0</v>
      </c>
      <c r="P20" s="1">
        <f>P18+P19</f>
        <v>0</v>
      </c>
      <c r="Q20" s="1">
        <f>L20+M20+N20+O20+P20</f>
        <v>1.6180000000000001</v>
      </c>
    </row>
    <row r="21" spans="5:17" x14ac:dyDescent="0.25">
      <c r="E21" s="2" t="s">
        <v>9</v>
      </c>
      <c r="F21" s="1">
        <f>SUMIFS('WH+RT PREVIOUS'!$M$2:$M$15000,'WH+RT PREVIOUS'!$B$2:$B$15000,"N.C.Urea(45kg)",'WH+RT PREVIOUS'!$S$2:$S$15000,"Bimal Kumar Kundu")</f>
        <v>0</v>
      </c>
      <c r="G21" s="1">
        <f>SUMIFS('WH+RT PREVIOUS'!$M$2:$M$15000,'WH+RT PREVIOUS'!$B$2:$B$15000,"15-15-15",'WH+RT PREVIOUS'!$S$2:$S$15000,"Bimal Kumar Kundu")</f>
        <v>1.6180000000000001</v>
      </c>
      <c r="H21" s="1">
        <f>SUMIFS('WH+RT PREVIOUS'!$M$2:$M$15000,'WH+RT PREVIOUS'!$B$2:$B$15000,"Imp 10-26-26",'WH+RT PREVIOUS'!$S$2:$S$15000,"Bimal Kumar Kundu")</f>
        <v>0</v>
      </c>
      <c r="I21" s="1">
        <f>SUMIFS('WH+RT PREVIOUS'!$M$2:$M$15000,'WH+RT PREVIOUS'!$B$2:$B$15000,"MOP",'WH+RT PREVIOUS'!$S$2:$S$15000,"Bimal Kumar Kundu")</f>
        <v>0</v>
      </c>
      <c r="J21" s="1">
        <f>SUMIFS('WH+RT PREVIOUS'!$M$2:$M$15000,'WH+RT PREVIOUS'!$B$2:$B$15000,"Imp DAP",'WH+RT PREVIOUS'!$S$2:$S$15000,"Bimal Kumar Kundu")</f>
        <v>0</v>
      </c>
      <c r="K21" s="1">
        <f>F21+G21+H21+I21+J21</f>
        <v>1.6180000000000001</v>
      </c>
      <c r="L21" s="1">
        <f>SUMIFS('WH+RT CURRENT'!$M$2:$M$15000,'WH+RT CURRENT'!$B$2:$B$15000,"N.C.Urea(45kg)",'WH+RT CURRENT'!$S$2:$S$15000,"Bimal Kumar Kundu")</f>
        <v>0</v>
      </c>
      <c r="M21" s="1">
        <f>SUMIFS('WH+RT CURRENT'!$M$2:$M$15000,'WH+RT CURRENT'!$B$2:$B$15000,"15-15-15",'WH+RT CURRENT'!$S$2:$S$15000,"Bimal Kumar Kundu")</f>
        <v>1.6180000000000001</v>
      </c>
      <c r="N21" s="1">
        <f>SUMIFS('WH+RT CURRENT'!$M$2:$M$15000,'WH+RT CURRENT'!$B$2:$B$15000,"Imp 10-26-26",'WH+RT CURRENT'!$S$2:$S$15000,"Bimal Kumar Kundu")</f>
        <v>0</v>
      </c>
      <c r="O21" s="1">
        <f>SUMIFS('WH+RT CURRENT'!$M$2:$M$15000,'WH+RT CURRENT'!$B$2:$B$15000,"MOP",'WH+RT CURRENT'!$S$2:$S$15000,"Bimal Kumar Kundu")</f>
        <v>0</v>
      </c>
      <c r="P21" s="1">
        <f>SUMIFS('WH+RT CURRENT'!$M$2:$M$15000,'WH+RT CURRENT'!$B$2:$B$15000,"Imp DAP",'WH+RT CURRENT'!$S$2:$S$15000,"Bimal Kumar Kundu")</f>
        <v>0</v>
      </c>
      <c r="Q21" s="1">
        <f>L21+M21+N21+O21+P21</f>
        <v>1.6180000000000001</v>
      </c>
    </row>
    <row r="24" spans="5:17" x14ac:dyDescent="0.25">
      <c r="E24" s="12" t="s">
        <v>7030</v>
      </c>
      <c r="F24" s="12"/>
      <c r="G24" s="12"/>
      <c r="H24" s="12"/>
      <c r="I24" s="12"/>
      <c r="J24" s="12"/>
      <c r="K24" s="12"/>
      <c r="L24" s="12"/>
      <c r="M24" s="12"/>
      <c r="N24" s="12"/>
      <c r="O24" s="12"/>
      <c r="P24" s="12"/>
      <c r="Q24" s="12"/>
    </row>
    <row r="25" spans="5:17" x14ac:dyDescent="0.25">
      <c r="E25" s="13"/>
      <c r="F25" s="15" t="s">
        <v>8130</v>
      </c>
      <c r="G25" s="15"/>
      <c r="H25" s="15"/>
      <c r="I25" s="15"/>
      <c r="J25" s="15"/>
      <c r="K25" s="15"/>
      <c r="L25" s="15" t="s">
        <v>8131</v>
      </c>
      <c r="M25" s="15"/>
      <c r="N25" s="15"/>
      <c r="O25" s="15"/>
      <c r="P25" s="15"/>
      <c r="Q25" s="15"/>
    </row>
    <row r="26" spans="5:17" x14ac:dyDescent="0.25">
      <c r="E26" s="14"/>
      <c r="F26" s="2" t="s">
        <v>0</v>
      </c>
      <c r="G26" s="2" t="s">
        <v>1</v>
      </c>
      <c r="H26" s="2" t="s">
        <v>2</v>
      </c>
      <c r="I26" s="2" t="s">
        <v>3</v>
      </c>
      <c r="J26" s="2" t="s">
        <v>8128</v>
      </c>
      <c r="K26" s="2" t="s">
        <v>4</v>
      </c>
      <c r="L26" s="2" t="s">
        <v>0</v>
      </c>
      <c r="M26" s="2" t="s">
        <v>1</v>
      </c>
      <c r="N26" s="2" t="s">
        <v>2</v>
      </c>
      <c r="O26" s="2" t="s">
        <v>3</v>
      </c>
      <c r="P26" s="2" t="s">
        <v>8128</v>
      </c>
      <c r="Q26" s="2" t="s">
        <v>4</v>
      </c>
    </row>
    <row r="27" spans="5:17" x14ac:dyDescent="0.25">
      <c r="E27" s="2" t="s">
        <v>5</v>
      </c>
      <c r="F27" s="1">
        <f>SUMIFS('WH+RT PREVIOUS'!$M$2:$M$15000,'WH+RT PREVIOUS'!$B$2:$B$15000,"N.C.Urea(45kg)",'WH+RT PREVIOUS'!$S$2:$S$15000,"Chandra Kanta Das",'WH+RT PREVIOUS'!$N$2:$N$15000,"&gt;179",'WH+RT PREVIOUS'!$N$2:$N$15000,"&lt;366")</f>
        <v>11.25</v>
      </c>
      <c r="G27" s="1">
        <f>SUMIFS('WH+RT PREVIOUS'!$M$2:$M$15000,'WH+RT PREVIOUS'!$B$2:$B$15000,"15-15-15",'WH+RT PREVIOUS'!$S$2:$S$15000,"Chandra Kanta Das",'WH+RT PREVIOUS'!$N$2:$N$15000,"&gt;179",'WH+RT PREVIOUS'!$N$2:$N$15000,"&lt;366")</f>
        <v>5.0999999999999996</v>
      </c>
      <c r="H27" s="1">
        <f>SUMIFS('WH+RT PREVIOUS'!$M$2:$M$15000,'WH+RT PREVIOUS'!$B$2:$B$15000,"Imp 10-26-26",'WH+RT PREVIOUS'!$S$2:$S$15000,"Chandra Kanta Das",'WH+RT PREVIOUS'!$N$2:$N$15000,"&gt;179",'WH+RT PREVIOUS'!$N$2:$N$15000,"&lt;366")</f>
        <v>1.4</v>
      </c>
      <c r="I27" s="1">
        <f>SUMIFS('WH+RT PREVIOUS'!$M$2:$M$15000,'WH+RT PREVIOUS'!$B$2:$B$15000,"MOP",'WH+RT PREVIOUS'!$S$2:$S$15000,"Chandra Kanta Das",'WH+RT PREVIOUS'!$N$2:$N$15000,"&gt;179",'WH+RT PREVIOUS'!$N$2:$N$15000,"&lt;366")</f>
        <v>0</v>
      </c>
      <c r="J27" s="1">
        <f>SUMIFS('WH+RT PREVIOUS'!$M$2:$M$15000,'WH+RT PREVIOUS'!$B$2:$B$15000,"Imp DAP",'WH+RT PREVIOUS'!$S$2:$S$15000,"Chandra Kanta Das",'WH+RT PREVIOUS'!$N$2:$N$15000,"&gt;179",'WH+RT PREVIOUS'!$N$2:$N$15000,"&lt;366")</f>
        <v>0</v>
      </c>
      <c r="K27" s="1">
        <f>F27+G27+H27+I27+J27</f>
        <v>17.75</v>
      </c>
      <c r="L27" s="1">
        <f>SUMIFS('WH+RT CURRENT'!$M$2:$M$15000,'WH+RT CURRENT'!$B$2:$B$15000,"N.C.Urea(45kg)",'WH+RT CURRENT'!$S$2:$S$15000,"Chandra Kanta Das",'WH+RT CURRENT'!$N$2:$N$15000,"&gt;179",'WH+RT CURRENT'!$N$2:$N$15000,"&lt;366")</f>
        <v>11.25</v>
      </c>
      <c r="M27" s="1">
        <f>SUMIFS('WH+RT CURRENT'!$M$2:$M$15000,'WH+RT CURRENT'!$B$2:$B$15000,"15-15-15",'WH+RT CURRENT'!$S$2:$S$15000,"Chandra Kanta Das",'WH+RT CURRENT'!$N$2:$N$15000,"&gt;179",'WH+RT CURRENT'!$N$2:$N$15000,"&lt;366")</f>
        <v>5.0999999999999996</v>
      </c>
      <c r="N27" s="1">
        <f>SUMIFS('WH+RT CURRENT'!$M$2:$M$15000,'WH+RT CURRENT'!$B$2:$B$15000,"Imp 10-26-26",'WH+RT CURRENT'!$S$2:$S$15000,"Chandra Kanta Das",'WH+RT CURRENT'!$N$2:$N$15000,"&gt;179",'WH+RT CURRENT'!$N$2:$N$15000,"&lt;366")</f>
        <v>1.4</v>
      </c>
      <c r="O27" s="1">
        <f>SUMIFS('WH+RT CURRENT'!$M$2:$M$15000,'WH+RT CURRENT'!$B$2:$B$15000,"MOP",'WH+RT CURRENT'!$S$2:$S$15000,"Chandra Kanta Das",'WH+RT CURRENT'!$N$2:$N$15000,"&gt;179",'WH+RT CURRENT'!$N$2:$N$15000,"&lt;366")</f>
        <v>0</v>
      </c>
      <c r="P27" s="1">
        <f>SUMIFS('WH+RT CURRENT'!$M$2:$M$15000,'WH+RT CURRENT'!$B$2:$B$15000,"Imp DAP",'WH+RT CURRENT'!$S$2:$S$15000,"Chandra Kanta Dasy",'WH+RT CURRENT'!$N$2:$N$15000,"&gt;179",'WH+RT CURRENT'!$N$2:$N$15000,"&lt;366")</f>
        <v>0</v>
      </c>
      <c r="Q27" s="1">
        <f>L27+M27+N27+O27+P27</f>
        <v>17.75</v>
      </c>
    </row>
    <row r="28" spans="5:17" x14ac:dyDescent="0.25">
      <c r="E28" s="2" t="s">
        <v>6</v>
      </c>
      <c r="F28" s="1">
        <f>SUMIFS('WH+RT PREVIOUS'!$M$2:$M$15000,'WH+RT PREVIOUS'!$B$2:$B$15000,"N.C.Urea(45kg)",'WH+RT PREVIOUS'!$S$2:$S$15000,"Chandra Kanta Das",'WH+RT PREVIOUS'!$N$2:$N$15000,"&gt;365")</f>
        <v>3.1150000000000007</v>
      </c>
      <c r="G28" s="1">
        <f>SUMIFS('WH+RT PREVIOUS'!$M$2:$M$15000,'WH+RT PREVIOUS'!$B$2:$B$15000,"15-15-15",'WH+RT PREVIOUS'!$S$2:$S$15000,"Chandra Kanta Das",'WH+RT PREVIOUS'!$N$2:$N$15000,"&gt;365")</f>
        <v>0.15</v>
      </c>
      <c r="H28" s="1">
        <f>SUMIFS('WH+RT PREVIOUS'!$M$2:$M$15000,'WH+RT PREVIOUS'!$B$2:$B$15000,"Imp 10-26-26",'WH+RT PREVIOUS'!$S$2:$S$15000,"Chandra Kanta Das",'WH+RT PREVIOUS'!$N$2:$N$15000,"&gt;365")</f>
        <v>0</v>
      </c>
      <c r="I28" s="1">
        <f>SUMIFS('WH+RT PREVIOUS'!$M$2:$M$15000,'WH+RT PREVIOUS'!$B$2:$B$15000,"MOP",'WH+RT PREVIOUS'!$S$2:$S$15000,"Chandra Kanta Das",'WH+RT PREVIOUS'!$N$2:$N$15000,"&gt;365")</f>
        <v>0</v>
      </c>
      <c r="J28" s="1">
        <f>SUMIFS('WH+RT PREVIOUS'!$M$2:$M$15000,'WH+RT PREVIOUS'!$B$2:$B$15000,"Imp DAP",'WH+RT PREVIOUS'!$S$2:$S$15000,"Chandra Kanta Das",'WH+RT PREVIOUS'!$N$2:$N$15000,"&gt;365")</f>
        <v>0</v>
      </c>
      <c r="K28" s="1">
        <f>F28+G28+H28+I28+J28</f>
        <v>3.2650000000000006</v>
      </c>
      <c r="L28" s="1">
        <f>SUMIFS('WH+RT CURRENT'!$M$2:$M$15000,'WH+RT CURRENT'!$B$2:$B$15000,"N.C.Urea(45kg)",'WH+RT CURRENT'!$S$2:$S$15000,"Chandra Kanta Das",'WH+RT CURRENT'!$N$2:$N$15000,"&gt;365")</f>
        <v>3.1150000000000002</v>
      </c>
      <c r="M28" s="1">
        <f>SUMIFS('WH+RT CURRENT'!$M$2:$M$15000,'WH+RT CURRENT'!$B$2:$B$15000,"15-15-15",'WH+RT CURRENT'!$S$2:$S$15000,"Chandra Kanta Das",'WH+RT CURRENT'!$N$2:$N$15000,"&gt;365")</f>
        <v>0.15</v>
      </c>
      <c r="N28" s="1">
        <f>SUMIFS('WH+RT CURRENT'!$M$2:$M$15000,'WH+RT CURRENT'!$B$2:$B$15000,"Imp 10-26-26",'WH+RT CURRENT'!$S$2:$S$15000,"Chandra Kanta Das",'WH+RT CURRENT'!$N$2:$N$15000,"&gt;365")</f>
        <v>0</v>
      </c>
      <c r="O28" s="1">
        <f>SUMIFS('WH+RT CURRENT'!$M$2:$M$15000,'WH+RT CURRENT'!$B$2:$B$15000,"MOP",'WH+RT CURRENT'!$S$2:$S$15000,"Chandra Kanta Das",'WH+RT CURRENT'!$N$2:$N$15000,"&gt;365")</f>
        <v>0</v>
      </c>
      <c r="P28" s="1">
        <f>SUMIFS('WH+RT CURRENT'!$M$2:$M$15000,'WH+RT CURRENT'!$B$2:$B$15000,"Imp DAP",'WH+RT CURRENT'!$S$2:$S$15000,"Chandra Kanta Das",'WH+RT CURRENT'!$N$2:$N$15000,"&gt;365")</f>
        <v>0</v>
      </c>
      <c r="Q28" s="1">
        <f>L28+M28+N28+O28+P28</f>
        <v>3.2650000000000001</v>
      </c>
    </row>
    <row r="29" spans="5:17" x14ac:dyDescent="0.25">
      <c r="E29" s="2" t="s">
        <v>7</v>
      </c>
      <c r="F29" s="1">
        <f>F27+F28</f>
        <v>14.365</v>
      </c>
      <c r="G29" s="1">
        <f>G27+G28</f>
        <v>5.25</v>
      </c>
      <c r="H29" s="1">
        <f>H27+H28</f>
        <v>1.4</v>
      </c>
      <c r="I29" s="1">
        <f>I27+I28</f>
        <v>0</v>
      </c>
      <c r="J29" s="1">
        <f>J27+J28</f>
        <v>0</v>
      </c>
      <c r="K29" s="1">
        <f>F29+G29+H29+I29+J29</f>
        <v>21.015000000000001</v>
      </c>
      <c r="L29" s="1">
        <f>L27+L28</f>
        <v>14.365</v>
      </c>
      <c r="M29" s="1">
        <f>M27+M28</f>
        <v>5.25</v>
      </c>
      <c r="N29" s="1">
        <f>N27+N28</f>
        <v>1.4</v>
      </c>
      <c r="O29" s="1">
        <f>O27+O28</f>
        <v>0</v>
      </c>
      <c r="P29" s="1">
        <f>P27+P28</f>
        <v>0</v>
      </c>
      <c r="Q29" s="1">
        <f>L29+M29+N29+O29+P29</f>
        <v>21.015000000000001</v>
      </c>
    </row>
    <row r="30" spans="5:17" x14ac:dyDescent="0.25">
      <c r="E30" s="2" t="s">
        <v>9</v>
      </c>
      <c r="F30" s="1">
        <f>SUMIFS('WH+RT PREVIOUS'!$M$2:$M$15000,'WH+RT PREVIOUS'!$B$2:$B$15000,"N.C.Urea(45kg)",'WH+RT PREVIOUS'!$S$2:$S$15000,"Chandra Kanta Das")</f>
        <v>34.97</v>
      </c>
      <c r="G30" s="1">
        <f>SUMIFS('WH+RT PREVIOUS'!$M$2:$M$15000,'WH+RT PREVIOUS'!$B$2:$B$15000,"15-15-15",'WH+RT PREVIOUS'!$S$2:$S$15000,"Chandra Kanta Das")</f>
        <v>20.63</v>
      </c>
      <c r="H30" s="1">
        <f>SUMIFS('WH+RT PREVIOUS'!$M$2:$M$15000,'WH+RT PREVIOUS'!$B$2:$B$15000,"Imp 10-26-26",'WH+RT PREVIOUS'!$S$2:$S$15000,"Chandra Kanta Das")</f>
        <v>1.4</v>
      </c>
      <c r="I30" s="1">
        <f>SUMIFS('WH+RT PREVIOUS'!$M$2:$M$15000,'WH+RT PREVIOUS'!$B$2:$B$15000,"MOP",'WH+RT PREVIOUS'!$S$2:$S$15000,"Chandra Kanta Das")</f>
        <v>0</v>
      </c>
      <c r="J30" s="1">
        <f>SUMIFS('WH+RT PREVIOUS'!$M$2:$M$15000,'WH+RT PREVIOUS'!$B$2:$B$15000,"Imp DAP",'WH+RT PREVIOUS'!$S$2:$S$15000,"Chandra Kanta Das")</f>
        <v>0</v>
      </c>
      <c r="K30" s="1">
        <f>F30+G30+H30+I30+J30</f>
        <v>56.999999999999993</v>
      </c>
      <c r="L30" s="1">
        <f>SUMIFS('WH+RT CURRENT'!$M$2:$M$15000,'WH+RT CURRENT'!$B$2:$B$15000,"N.C.Urea(45kg)",'WH+RT CURRENT'!$S$2:$S$15000,"Chandra Kanta Das")</f>
        <v>34.970000000000006</v>
      </c>
      <c r="M30" s="1">
        <f>SUMIFS('WH+RT CURRENT'!$M$2:$M$15000,'WH+RT CURRENT'!$B$2:$B$15000,"15-15-15",'WH+RT CURRENT'!$S$2:$S$15000,"Chandra Kanta Das")</f>
        <v>20.63</v>
      </c>
      <c r="N30" s="1">
        <f>SUMIFS('WH+RT CURRENT'!$M$2:$M$15000,'WH+RT CURRENT'!$B$2:$B$15000,"Imp 10-26-26",'WH+RT CURRENT'!$S$2:$S$15000,"Chandra Kanta Das")</f>
        <v>1.4</v>
      </c>
      <c r="O30" s="1">
        <f>SUMIFS('WH+RT CURRENT'!$M$2:$M$15000,'WH+RT CURRENT'!$B$2:$B$15000,"MOP",'WH+RT CURRENT'!$S$2:$S$15000,"Chandra Kanta Das")</f>
        <v>0</v>
      </c>
      <c r="P30" s="1">
        <f>SUMIFS('WH+RT CURRENT'!$M$2:$M$15000,'WH+RT CURRENT'!$B$2:$B$15000,"Imp DAP",'WH+RT CURRENT'!$S$2:$S$15000,"Chandra Kanta Das")</f>
        <v>0</v>
      </c>
      <c r="Q30" s="1">
        <f>L30+M30+N30+O30+P30</f>
        <v>57.000000000000007</v>
      </c>
    </row>
    <row r="33" spans="5:17" x14ac:dyDescent="0.25">
      <c r="E33" s="12" t="s">
        <v>974</v>
      </c>
      <c r="F33" s="12"/>
      <c r="G33" s="12"/>
      <c r="H33" s="12"/>
      <c r="I33" s="12"/>
      <c r="J33" s="12"/>
      <c r="K33" s="12"/>
      <c r="L33" s="12"/>
      <c r="M33" s="12"/>
      <c r="N33" s="12"/>
      <c r="O33" s="12"/>
      <c r="P33" s="12"/>
      <c r="Q33" s="12"/>
    </row>
    <row r="34" spans="5:17" x14ac:dyDescent="0.25">
      <c r="E34" s="13"/>
      <c r="F34" s="15" t="s">
        <v>8130</v>
      </c>
      <c r="G34" s="15"/>
      <c r="H34" s="15"/>
      <c r="I34" s="15"/>
      <c r="J34" s="15"/>
      <c r="K34" s="15"/>
      <c r="L34" s="15" t="s">
        <v>8131</v>
      </c>
      <c r="M34" s="15"/>
      <c r="N34" s="15"/>
      <c r="O34" s="15"/>
      <c r="P34" s="15"/>
      <c r="Q34" s="15"/>
    </row>
    <row r="35" spans="5:17" x14ac:dyDescent="0.25">
      <c r="E35" s="14"/>
      <c r="F35" s="2" t="s">
        <v>0</v>
      </c>
      <c r="G35" s="2" t="s">
        <v>1</v>
      </c>
      <c r="H35" s="2" t="s">
        <v>2</v>
      </c>
      <c r="I35" s="2" t="s">
        <v>3</v>
      </c>
      <c r="J35" s="2" t="s">
        <v>8128</v>
      </c>
      <c r="K35" s="2" t="s">
        <v>4</v>
      </c>
      <c r="L35" s="2" t="s">
        <v>0</v>
      </c>
      <c r="M35" s="2" t="s">
        <v>1</v>
      </c>
      <c r="N35" s="2" t="s">
        <v>2</v>
      </c>
      <c r="O35" s="2" t="s">
        <v>3</v>
      </c>
      <c r="P35" s="2" t="s">
        <v>8128</v>
      </c>
      <c r="Q35" s="2" t="s">
        <v>4</v>
      </c>
    </row>
    <row r="36" spans="5:17" x14ac:dyDescent="0.25">
      <c r="E36" s="2" t="s">
        <v>5</v>
      </c>
      <c r="F36" s="1">
        <f>SUMIFS('WH+RT PREVIOUS'!$M$2:$M$15000,'WH+RT PREVIOUS'!$B$2:$B$15000,"N.C.Urea(45kg)",'WH+RT PREVIOUS'!$S$2:$S$15000,"Faroj Ali Shaikh",'WH+RT PREVIOUS'!$N$2:$N$15000,"&gt;179",'WH+RT PREVIOUS'!$N$2:$N$15000,"&lt;366")</f>
        <v>0</v>
      </c>
      <c r="G36" s="1">
        <f>SUMIFS('WH+RT PREVIOUS'!$M$2:$M$15000,'WH+RT PREVIOUS'!$B$2:$B$15000,"15-15-15",'WH+RT PREVIOUS'!$S$2:$S$15000,"Faroj Ali Shaikh",'WH+RT PREVIOUS'!$N$2:$N$15000,"&gt;179",'WH+RT PREVIOUS'!$N$2:$N$15000,"&lt;366")</f>
        <v>0</v>
      </c>
      <c r="H36" s="1">
        <f>SUMIFS('WH+RT PREVIOUS'!$M$2:$M$15000,'WH+RT PREVIOUS'!$B$2:$B$15000,"Imp 10-26-26",'WH+RT PREVIOUS'!$S$2:$S$15000,"Faroj Ali Shaikh",'WH+RT PREVIOUS'!$N$2:$N$15000,"&gt;179",'WH+RT PREVIOUS'!$N$2:$N$15000,"&lt;366")</f>
        <v>0</v>
      </c>
      <c r="I36" s="1">
        <f>SUMIFS('WH+RT PREVIOUS'!$M$2:$M$15000,'WH+RT PREVIOUS'!$B$2:$B$15000,"MOP",'WH+RT PREVIOUS'!$S$2:$S$15000,"Faroj Ali Shaikh",'WH+RT PREVIOUS'!$N$2:$N$15000,"&gt;179",'WH+RT PREVIOUS'!$N$2:$N$15000,"&lt;366")</f>
        <v>0</v>
      </c>
      <c r="J36" s="1">
        <f>SUMIFS('WH+RT PREVIOUS'!$M$2:$M$15000,'WH+RT PREVIOUS'!$B$2:$B$15000,"Imp DAP",'WH+RT PREVIOUS'!$S$2:$S$15000,"Faroj Ali Shaikh",'WH+RT PREVIOUS'!$N$2:$N$15000,"&gt;179",'WH+RT PREVIOUS'!$N$2:$N$15000,"&lt;366")</f>
        <v>0</v>
      </c>
      <c r="K36" s="1">
        <f>F36+G36+H36+I36+J36</f>
        <v>0</v>
      </c>
      <c r="L36" s="1">
        <f>SUMIFS('WH+RT CURRENT'!$M$2:$M$15000,'WH+RT CURRENT'!$B$2:$B$15000,"N.C.Urea(45kg)",'WH+RT CURRENT'!$S$2:$S$15000,"Faroj Ali Shaikh",'WH+RT CURRENT'!$N$2:$N$15000,"&gt;179",'WH+RT CURRENT'!$N$2:$N$15000,"&lt;366")</f>
        <v>0</v>
      </c>
      <c r="M36" s="1">
        <f>SUMIFS('WH+RT CURRENT'!$M$2:$M$15000,'WH+RT CURRENT'!$B$2:$B$15000,"15-15-15",'WH+RT CURRENT'!$S$2:$S$15000,"Faroj Ali Shaikh",'WH+RT CURRENT'!$N$2:$N$15000,"&gt;179",'WH+RT CURRENT'!$N$2:$N$15000,"&lt;366")</f>
        <v>0</v>
      </c>
      <c r="N36" s="1">
        <f>SUMIFS('WH+RT CURRENT'!$M$2:$M$15000,'WH+RT CURRENT'!$B$2:$B$15000,"Imp 10-26-26",'WH+RT CURRENT'!$S$2:$S$15000,"Faroj Ali Shaikh",'WH+RT CURRENT'!$N$2:$N$15000,"&gt;179",'WH+RT CURRENT'!$N$2:$N$15000,"&lt;366")</f>
        <v>0</v>
      </c>
      <c r="O36" s="1">
        <f>SUMIFS('WH+RT CURRENT'!$M$2:$M$15000,'WH+RT CURRENT'!$B$2:$B$15000,"MOP",'WH+RT CURRENT'!$S$2:$S$15000,"Faroj Ali Shaikh",'WH+RT CURRENT'!$N$2:$N$15000,"&gt;179",'WH+RT CURRENT'!$N$2:$N$15000,"&lt;366")</f>
        <v>0</v>
      </c>
      <c r="P36" s="1">
        <f>SUMIFS('WH+RT CURRENT'!$M$2:$M$15000,'WH+RT CURRENT'!$B$2:$B$15000,"Imp DAP",'WH+RT CURRENT'!$S$2:$S$15000,"Faroj Ali Shaikh",'WH+RT CURRENT'!$N$2:$N$15000,"&gt;179",'WH+RT CURRENT'!$N$2:$N$15000,"&lt;366")</f>
        <v>0</v>
      </c>
      <c r="Q36" s="1">
        <f>L36+M36+N36+O36+P36</f>
        <v>0</v>
      </c>
    </row>
    <row r="37" spans="5:17" x14ac:dyDescent="0.25">
      <c r="E37" s="2" t="s">
        <v>6</v>
      </c>
      <c r="F37" s="1">
        <f>SUMIFS('WH+RT PREVIOUS'!$M$2:$M$15000,'WH+RT PREVIOUS'!$B$2:$B$15000,"N.C.Urea(45kg)",'WH+RT PREVIOUS'!$S$2:$S$15000,"Faroj Ali Shaikh",'WH+RT PREVIOUS'!$N$2:$N$15000,"&gt;365")</f>
        <v>2.2850000000000001</v>
      </c>
      <c r="G37" s="1">
        <f>SUMIFS('WH+RT PREVIOUS'!$M$2:$M$15000,'WH+RT PREVIOUS'!$B$2:$B$15000,"15-15-15",'WH+RT PREVIOUS'!$S$2:$S$15000,"Faroj Ali Shaikh",'WH+RT PREVIOUS'!$N$2:$N$15000,"&gt;365")</f>
        <v>5</v>
      </c>
      <c r="H37" s="1">
        <f>SUMIFS('WH+RT PREVIOUS'!$M$2:$M$15000,'WH+RT PREVIOUS'!$B$2:$B$15000,"Imp 10-26-26",'WH+RT PREVIOUS'!$S$2:$S$15000,"Faroj Ali Shaikh",'WH+RT PREVIOUS'!$N$2:$N$15000,"&gt;365")</f>
        <v>0.05</v>
      </c>
      <c r="I37" s="1">
        <f>SUMIFS('WH+RT PREVIOUS'!$M$2:$M$15000,'WH+RT PREVIOUS'!$B$2:$B$15000,"MOP",'WH+RT PREVIOUS'!$S$2:$S$15000,"Faroj Ali Shaikh",'WH+RT PREVIOUS'!$N$2:$N$15000,"&gt;365")</f>
        <v>0</v>
      </c>
      <c r="J37" s="1">
        <f>SUMIFS('WH+RT PREVIOUS'!$M$2:$M$15000,'WH+RT PREVIOUS'!$B$2:$B$15000,"Imp DAP",'WH+RT PREVIOUS'!$S$2:$S$15000,"Faroj Ali Shaikh",'WH+RT PREVIOUS'!$N$2:$N$15000,"&gt;365")</f>
        <v>0</v>
      </c>
      <c r="K37" s="1">
        <f>F37+G37+H37+I37+J37</f>
        <v>7.335</v>
      </c>
      <c r="L37" s="1">
        <f>SUMIFS('WH+RT CURRENT'!$M$2:$M$15000,'WH+RT CURRENT'!$B$2:$B$15000,"N.C.Urea(45kg)",'WH+RT CURRENT'!$S$2:$S$15000,"Faroj Ali Shaikh",'WH+RT CURRENT'!$N$2:$N$15000,"&gt;365")</f>
        <v>2.2850000000000001</v>
      </c>
      <c r="M37" s="1">
        <f>SUMIFS('WH+RT CURRENT'!$M$2:$M$15000,'WH+RT CURRENT'!$B$2:$B$15000,"15-15-15",'WH+RT CURRENT'!$S$2:$S$15000,"Faroj Ali Shaikh",'WH+RT CURRENT'!$N$2:$N$15000,"&gt;365")</f>
        <v>5</v>
      </c>
      <c r="N37" s="1">
        <f>SUMIFS('WH+RT CURRENT'!$M$2:$M$15000,'WH+RT CURRENT'!$B$2:$B$15000,"Imp 10-26-26",'WH+RT CURRENT'!$S$2:$S$15000,"Faroj Ali Shaikh",'WH+RT CURRENT'!$N$2:$N$15000,"&gt;365")</f>
        <v>0.05</v>
      </c>
      <c r="O37" s="1">
        <f>SUMIFS('WH+RT CURRENT'!$M$2:$M$15000,'WH+RT CURRENT'!$B$2:$B$15000,"MOP",'WH+RT CURRENT'!$S$2:$S$15000,"Faroj Ali Shaikh",'WH+RT CURRENT'!$N$2:$N$15000,"&gt;365")</f>
        <v>0</v>
      </c>
      <c r="P37" s="1">
        <f>SUMIFS('WH+RT CURRENT'!$M$2:$M$15000,'WH+RT CURRENT'!$B$2:$B$15000,"Imp DAP",'WH+RT CURRENT'!$S$2:$S$15000,"Faroj Ali Shaikh",'WH+RT CURRENT'!$N$2:$N$15000,"&gt;365")</f>
        <v>0</v>
      </c>
      <c r="Q37" s="1">
        <f>L37+M37+N37+O37+P37</f>
        <v>7.335</v>
      </c>
    </row>
    <row r="38" spans="5:17" x14ac:dyDescent="0.25">
      <c r="E38" s="2" t="s">
        <v>7</v>
      </c>
      <c r="F38" s="1">
        <f>F36+F37</f>
        <v>2.2850000000000001</v>
      </c>
      <c r="G38" s="1">
        <f>G36+G37</f>
        <v>5</v>
      </c>
      <c r="H38" s="1">
        <f>H36+H37</f>
        <v>0.05</v>
      </c>
      <c r="I38" s="1">
        <f>I36+I37</f>
        <v>0</v>
      </c>
      <c r="J38" s="1">
        <f>J36+J37</f>
        <v>0</v>
      </c>
      <c r="K38" s="1">
        <f>F38+G38+H38+I38+J38</f>
        <v>7.335</v>
      </c>
      <c r="L38" s="1">
        <f>L36+L37</f>
        <v>2.2850000000000001</v>
      </c>
      <c r="M38" s="1">
        <f>M36+M37</f>
        <v>5</v>
      </c>
      <c r="N38" s="1">
        <f>N36+N37</f>
        <v>0.05</v>
      </c>
      <c r="O38" s="1">
        <f>O36+O37</f>
        <v>0</v>
      </c>
      <c r="P38" s="1">
        <f>P36+P37</f>
        <v>0</v>
      </c>
      <c r="Q38" s="1">
        <f>L38+M38+N38+O38+P38</f>
        <v>7.335</v>
      </c>
    </row>
    <row r="39" spans="5:17" x14ac:dyDescent="0.25">
      <c r="E39" s="2" t="s">
        <v>9</v>
      </c>
      <c r="F39" s="1">
        <f>SUMIFS('WH+RT PREVIOUS'!$M$2:$M$15000,'WH+RT PREVIOUS'!$B$2:$B$15000,"N.C.Urea(45kg)",'WH+RT PREVIOUS'!$S$2:$S$15000,"Faroj Ali Shaikh")</f>
        <v>26.630000000000003</v>
      </c>
      <c r="G39" s="1">
        <f>SUMIFS('WH+RT PREVIOUS'!$M$2:$M$15000,'WH+RT PREVIOUS'!$B$2:$B$15000,"15-15-15",'WH+RT PREVIOUS'!$S$2:$S$15000,"Faroj Ali Shaikh")</f>
        <v>7.5</v>
      </c>
      <c r="H39" s="1">
        <f>SUMIFS('WH+RT PREVIOUS'!$M$2:$M$15000,'WH+RT PREVIOUS'!$B$2:$B$15000,"Imp 10-26-26",'WH+RT PREVIOUS'!$S$2:$S$15000,"Faroj Ali Shaikh")</f>
        <v>22.05</v>
      </c>
      <c r="I39" s="1">
        <f>SUMIFS('WH+RT PREVIOUS'!$M$2:$M$15000,'WH+RT PREVIOUS'!$B$2:$B$15000,"MOP",'WH+RT PREVIOUS'!$S$2:$S$15000,"Faroj Ali Shaikh")</f>
        <v>1.25</v>
      </c>
      <c r="J39" s="1">
        <f>SUMIFS('WH+RT PREVIOUS'!$M$2:$M$15000,'WH+RT PREVIOUS'!$B$2:$B$15000,"Imp DAP",'WH+RT PREVIOUS'!$S$2:$S$15000,"Faroj Ali Shaikh")</f>
        <v>0</v>
      </c>
      <c r="K39" s="1">
        <f>F39+G39+H39+I39+J39</f>
        <v>57.430000000000007</v>
      </c>
      <c r="L39" s="1">
        <f>SUMIFS('WH+RT CURRENT'!$M$2:$M$15000,'WH+RT CURRENT'!$B$2:$B$15000,"N.C.Urea(45kg)",'WH+RT CURRENT'!$S$2:$S$15000,"Faroj Ali Shaikh")</f>
        <v>24.560000000000002</v>
      </c>
      <c r="M39" s="1">
        <f>SUMIFS('WH+RT CURRENT'!$M$2:$M$15000,'WH+RT CURRENT'!$B$2:$B$15000,"15-15-15",'WH+RT CURRENT'!$S$2:$S$15000,"Faroj Ali Shaikh")</f>
        <v>7.5</v>
      </c>
      <c r="N39" s="1">
        <f>SUMIFS('WH+RT CURRENT'!$M$2:$M$15000,'WH+RT CURRENT'!$B$2:$B$15000,"Imp 10-26-26",'WH+RT CURRENT'!$S$2:$S$15000,"Faroj Ali Shaikh")</f>
        <v>0.05</v>
      </c>
      <c r="O39" s="1">
        <f>SUMIFS('WH+RT CURRENT'!$M$2:$M$15000,'WH+RT CURRENT'!$B$2:$B$15000,"MOP",'WH+RT CURRENT'!$S$2:$S$15000,"Faroj Ali Shaikh")</f>
        <v>1.25</v>
      </c>
      <c r="P39" s="1">
        <f>SUMIFS('WH+RT CURRENT'!$M$2:$M$15000,'WH+RT CURRENT'!$B$2:$B$15000,"Imp DAP",'WH+RT CURRENT'!$S$2:$S$15000,"Faroj Ali Shaikh")</f>
        <v>0</v>
      </c>
      <c r="Q39" s="1">
        <f>L39+M39+N39+O39+P39</f>
        <v>33.36</v>
      </c>
    </row>
    <row r="42" spans="5:17" x14ac:dyDescent="0.25">
      <c r="E42" s="12" t="s">
        <v>6900</v>
      </c>
      <c r="F42" s="12"/>
      <c r="G42" s="12"/>
      <c r="H42" s="12"/>
      <c r="I42" s="12"/>
      <c r="J42" s="12"/>
      <c r="K42" s="12"/>
      <c r="L42" s="12"/>
      <c r="M42" s="12"/>
      <c r="N42" s="12"/>
      <c r="O42" s="12"/>
      <c r="P42" s="12"/>
      <c r="Q42" s="12"/>
    </row>
    <row r="43" spans="5:17" x14ac:dyDescent="0.25">
      <c r="E43" s="13"/>
      <c r="F43" s="15" t="s">
        <v>8130</v>
      </c>
      <c r="G43" s="15"/>
      <c r="H43" s="15"/>
      <c r="I43" s="15"/>
      <c r="J43" s="15"/>
      <c r="K43" s="15"/>
      <c r="L43" s="15" t="s">
        <v>8131</v>
      </c>
      <c r="M43" s="15"/>
      <c r="N43" s="15"/>
      <c r="O43" s="15"/>
      <c r="P43" s="15"/>
      <c r="Q43" s="15"/>
    </row>
    <row r="44" spans="5:17" x14ac:dyDescent="0.25">
      <c r="E44" s="14"/>
      <c r="F44" s="2" t="s">
        <v>0</v>
      </c>
      <c r="G44" s="2" t="s">
        <v>1</v>
      </c>
      <c r="H44" s="2" t="s">
        <v>2</v>
      </c>
      <c r="I44" s="2" t="s">
        <v>3</v>
      </c>
      <c r="J44" s="2" t="s">
        <v>8128</v>
      </c>
      <c r="K44" s="2" t="s">
        <v>4</v>
      </c>
      <c r="L44" s="2" t="s">
        <v>0</v>
      </c>
      <c r="M44" s="2" t="s">
        <v>1</v>
      </c>
      <c r="N44" s="2" t="s">
        <v>2</v>
      </c>
      <c r="O44" s="2" t="s">
        <v>3</v>
      </c>
      <c r="P44" s="2" t="s">
        <v>8128</v>
      </c>
      <c r="Q44" s="2" t="s">
        <v>4</v>
      </c>
    </row>
    <row r="45" spans="5:17" x14ac:dyDescent="0.25">
      <c r="E45" s="2" t="s">
        <v>5</v>
      </c>
      <c r="F45" s="1">
        <f>SUMIFS('WH+RT PREVIOUS'!$M$2:$M$15000,'WH+RT PREVIOUS'!$B$2:$B$15000,"N.C.Urea(45kg)",'WH+RT PREVIOUS'!$S$2:$S$15000,"Gopal Krishna Kundu",'WH+RT PREVIOUS'!$N$2:$N$15000,"&gt;179",'WH+RT PREVIOUS'!$N$2:$N$15000,"&lt;366")</f>
        <v>0</v>
      </c>
      <c r="G45" s="1">
        <f>SUMIFS('WH+RT PREVIOUS'!$M$2:$M$15000,'WH+RT PREVIOUS'!$B$2:$B$15000,"15-15-15",'WH+RT PREVIOUS'!$S$2:$S$15000,"Gopal Krishna Kundu",'WH+RT PREVIOUS'!$N$2:$N$15000,"&gt;179",'WH+RT PREVIOUS'!$N$2:$N$15000,"&lt;366")</f>
        <v>0</v>
      </c>
      <c r="H45" s="1">
        <f>SUMIFS('WH+RT PREVIOUS'!$M$2:$M$15000,'WH+RT PREVIOUS'!$B$2:$B$15000,"Imp 10-26-26",'WH+RT PREVIOUS'!$S$2:$S$15000,"Gopal Krishna Kundu",'WH+RT PREVIOUS'!$N$2:$N$15000,"&gt;179",'WH+RT PREVIOUS'!$N$2:$N$15000,"&lt;366")</f>
        <v>0</v>
      </c>
      <c r="I45" s="1">
        <f>SUMIFS('WH+RT PREVIOUS'!$M$2:$M$15000,'WH+RT PREVIOUS'!$B$2:$B$15000,"MOP",'WH+RT PREVIOUS'!$S$2:$S$15000,"Gopal Krishna Kundu",'WH+RT PREVIOUS'!$N$2:$N$15000,"&gt;179",'WH+RT PREVIOUS'!$N$2:$N$15000,"&lt;366")</f>
        <v>0</v>
      </c>
      <c r="J45" s="1">
        <f>SUMIFS('WH+RT PREVIOUS'!$M$2:$M$15000,'WH+RT PREVIOUS'!$B$2:$B$15000,"Imp DAP",'WH+RT PREVIOUS'!$S$2:$S$15000,"Gopal Krishna Kundu",'WH+RT PREVIOUS'!$N$2:$N$15000,"&gt;179",'WH+RT PREVIOUS'!$N$2:$N$15000,"&lt;366")</f>
        <v>0</v>
      </c>
      <c r="K45" s="1">
        <f>F45+G45+H45+I45+J45</f>
        <v>0</v>
      </c>
      <c r="L45" s="1">
        <f>SUMIFS('WH+RT CURRENT'!$M$2:$M$15000,'WH+RT CURRENT'!$B$2:$B$15000,"N.C.Urea(45kg)",'WH+RT CURRENT'!$S$2:$S$15000,"Gopal Krishna Kundu",'WH+RT CURRENT'!$N$2:$N$15000,"&gt;179",'WH+RT CURRENT'!$N$2:$N$15000,"&lt;366")</f>
        <v>0</v>
      </c>
      <c r="M45" s="1">
        <f>SUMIFS('WH+RT CURRENT'!$M$2:$M$15000,'WH+RT CURRENT'!$B$2:$B$15000,"15-15-15",'WH+RT CURRENT'!$S$2:$S$15000,"Gopal Krishna Kundu",'WH+RT CURRENT'!$N$2:$N$15000,"&gt;179",'WH+RT CURRENT'!$N$2:$N$15000,"&lt;366")</f>
        <v>0</v>
      </c>
      <c r="N45" s="1">
        <f>SUMIFS('WH+RT CURRENT'!$M$2:$M$15000,'WH+RT CURRENT'!$B$2:$B$15000,"Imp 10-26-26",'WH+RT CURRENT'!$S$2:$S$15000,"Gopal Krishna Kundu",'WH+RT CURRENT'!$N$2:$N$15000,"&gt;179",'WH+RT CURRENT'!$N$2:$N$15000,"&lt;366")</f>
        <v>0</v>
      </c>
      <c r="O45" s="1">
        <f>SUMIFS('WH+RT CURRENT'!$M$2:$M$15000,'WH+RT CURRENT'!$B$2:$B$15000,"MOP",'WH+RT CURRENT'!$S$2:$S$15000,"Gopal Krishna Kundu",'WH+RT CURRENT'!$N$2:$N$15000,"&gt;179",'WH+RT CURRENT'!$N$2:$N$15000,"&lt;366")</f>
        <v>0</v>
      </c>
      <c r="P45" s="1">
        <f>SUMIFS('WH+RT CURRENT'!$M$2:$M$15000,'WH+RT CURRENT'!$B$2:$B$15000,"Imp DAP",'WH+RT CURRENT'!$S$2:$S$15000,"Gopal Krishna Kundu",'WH+RT CURRENT'!$N$2:$N$15000,"&gt;179",'WH+RT CURRENT'!$N$2:$N$15000,"&lt;366")</f>
        <v>0</v>
      </c>
      <c r="Q45" s="1">
        <f>L45+M45+N45+O45+P45</f>
        <v>0</v>
      </c>
    </row>
    <row r="46" spans="5:17" x14ac:dyDescent="0.25">
      <c r="E46" s="2" t="s">
        <v>6</v>
      </c>
      <c r="F46" s="1">
        <f>SUMIFS('WH+RT PREVIOUS'!$M$2:$M$15000,'WH+RT PREVIOUS'!$B$2:$B$15000,"N.C.Urea(45kg)",'WH+RT PREVIOUS'!$S$2:$S$15000,"Gopal Krishna Kundu",'WH+RT PREVIOUS'!$N$2:$N$15000,"&gt;365")</f>
        <v>4.9950000000000001</v>
      </c>
      <c r="G46" s="1">
        <f>SUMIFS('WH+RT PREVIOUS'!$M$2:$M$15000,'WH+RT PREVIOUS'!$B$2:$B$15000,"15-15-15",'WH+RT PREVIOUS'!$S$2:$S$15000,"Gopal Krishna Kundu",'WH+RT PREVIOUS'!$N$2:$N$15000,"&gt;365")</f>
        <v>1.7</v>
      </c>
      <c r="H46" s="1">
        <f>SUMIFS('WH+RT PREVIOUS'!$M$2:$M$15000,'WH+RT PREVIOUS'!$B$2:$B$15000,"Imp 10-26-26",'WH+RT PREVIOUS'!$S$2:$S$15000,"Gopal Krishna Kundu",'WH+RT PREVIOUS'!$N$2:$N$15000,"&gt;365")</f>
        <v>0</v>
      </c>
      <c r="I46" s="1">
        <f>SUMIFS('WH+RT PREVIOUS'!$M$2:$M$15000,'WH+RT PREVIOUS'!$B$2:$B$15000,"MOP",'WH+RT PREVIOUS'!$S$2:$S$15000,"Gopal Krishna Kundu",'WH+RT PREVIOUS'!$N$2:$N$15000,"&gt;365")</f>
        <v>0</v>
      </c>
      <c r="J46" s="1">
        <f>SUMIFS('WH+RT PREVIOUS'!$M$2:$M$15000,'WH+RT PREVIOUS'!$B$2:$B$15000,"Imp DAP",'WH+RT PREVIOUS'!$S$2:$S$15000,"Gopal Krishna Kundu",'WH+RT PREVIOUS'!$N$2:$N$15000,"&gt;365")</f>
        <v>0</v>
      </c>
      <c r="K46" s="1">
        <f>F46+G46+H46+I46+J46</f>
        <v>6.6950000000000003</v>
      </c>
      <c r="L46" s="1">
        <f>SUMIFS('WH+RT CURRENT'!$M$2:$M$15000,'WH+RT CURRENT'!$B$2:$B$15000,"N.C.Urea(45kg)",'WH+RT CURRENT'!$S$2:$S$15000,"Gopal Krishna Kundu",'WH+RT CURRENT'!$N$2:$N$15000,"&gt;365")</f>
        <v>4.9950000000000001</v>
      </c>
      <c r="M46" s="1">
        <f>SUMIFS('WH+RT CURRENT'!$M$2:$M$15000,'WH+RT CURRENT'!$B$2:$B$15000,"15-15-15",'WH+RT CURRENT'!$S$2:$S$15000,"Gopal Krishna Kundu",'WH+RT CURRENT'!$N$2:$N$15000,"&gt;365")</f>
        <v>1.7</v>
      </c>
      <c r="N46" s="1">
        <f>SUMIFS('WH+RT CURRENT'!$M$2:$M$15000,'WH+RT CURRENT'!$B$2:$B$15000,"Imp 10-26-26",'WH+RT CURRENT'!$S$2:$S$15000,"Gopal Krishna Kundu",'WH+RT CURRENT'!$N$2:$N$15000,"&gt;365")</f>
        <v>0</v>
      </c>
      <c r="O46" s="1">
        <f>SUMIFS('WH+RT CURRENT'!$M$2:$M$15000,'WH+RT CURRENT'!$B$2:$B$15000,"MOP",'WH+RT CURRENT'!$S$2:$S$15000,"Gopal Krishna Kundu",'WH+RT CURRENT'!$N$2:$N$15000,"&gt;365")</f>
        <v>0</v>
      </c>
      <c r="P46" s="1">
        <f>SUMIFS('WH+RT CURRENT'!$M$2:$M$15000,'WH+RT CURRENT'!$B$2:$B$15000,"Imp DAP",'WH+RT CURRENT'!$S$2:$S$15000,"Gopal Krishna Kundu",'WH+RT CURRENT'!$N$2:$N$15000,"&gt;365")</f>
        <v>0</v>
      </c>
      <c r="Q46" s="1">
        <f>L46+M46+N46+O46+P46</f>
        <v>6.6950000000000003</v>
      </c>
    </row>
    <row r="47" spans="5:17" x14ac:dyDescent="0.25">
      <c r="E47" s="2" t="s">
        <v>7</v>
      </c>
      <c r="F47" s="1">
        <f>F45+F46</f>
        <v>4.9950000000000001</v>
      </c>
      <c r="G47" s="1">
        <f>G45+G46</f>
        <v>1.7</v>
      </c>
      <c r="H47" s="1">
        <f>H45+H46</f>
        <v>0</v>
      </c>
      <c r="I47" s="1">
        <f>I45+I46</f>
        <v>0</v>
      </c>
      <c r="J47" s="1">
        <f>J45+J46</f>
        <v>0</v>
      </c>
      <c r="K47" s="1">
        <f>F47+G47+H47+I47+J47</f>
        <v>6.6950000000000003</v>
      </c>
      <c r="L47" s="1">
        <f>L45+L46</f>
        <v>4.9950000000000001</v>
      </c>
      <c r="M47" s="1">
        <f>M45+M46</f>
        <v>1.7</v>
      </c>
      <c r="N47" s="1">
        <f>N45+N46</f>
        <v>0</v>
      </c>
      <c r="O47" s="1">
        <f>O45+O46</f>
        <v>0</v>
      </c>
      <c r="P47" s="1">
        <f>P45+P46</f>
        <v>0</v>
      </c>
      <c r="Q47" s="1">
        <f>L47+M47+N47+O47+P47</f>
        <v>6.6950000000000003</v>
      </c>
    </row>
    <row r="48" spans="5:17" x14ac:dyDescent="0.25">
      <c r="E48" s="2" t="s">
        <v>9</v>
      </c>
      <c r="F48" s="1">
        <f>SUMIFS('WH+RT PREVIOUS'!$M$2:$M$15000,'WH+RT PREVIOUS'!$B$2:$B$15000,"N.C.Urea(45kg)",'WH+RT PREVIOUS'!$S$2:$S$15000,"Gopal Krishna Kundu")</f>
        <v>36.494999999999997</v>
      </c>
      <c r="G48" s="1">
        <f>SUMIFS('WH+RT PREVIOUS'!$M$2:$M$15000,'WH+RT PREVIOUS'!$B$2:$B$15000,"15-15-15",'WH+RT PREVIOUS'!$S$2:$S$15000,"Gopal Krishna Kundu")</f>
        <v>18.792000000000002</v>
      </c>
      <c r="H48" s="1">
        <f>SUMIFS('WH+RT PREVIOUS'!$M$2:$M$15000,'WH+RT PREVIOUS'!$B$2:$B$15000,"Imp 10-26-26",'WH+RT PREVIOUS'!$S$2:$S$15000,"Gopal Krishna Kundu")</f>
        <v>2.5499999999999998</v>
      </c>
      <c r="I48" s="1">
        <f>SUMIFS('WH+RT PREVIOUS'!$M$2:$M$15000,'WH+RT PREVIOUS'!$B$2:$B$15000,"MOP",'WH+RT PREVIOUS'!$S$2:$S$15000,"Gopal Krishna Kundu")</f>
        <v>9.3000000000000007</v>
      </c>
      <c r="J48" s="1">
        <f>SUMIFS('WH+RT PREVIOUS'!$M$2:$M$15000,'WH+RT PREVIOUS'!$B$2:$B$15000,"Imp DAP",'WH+RT PREVIOUS'!$S$2:$S$15000,"Gopal Krishna Kundu")</f>
        <v>0</v>
      </c>
      <c r="K48" s="1">
        <f>F48+G48+H48+I48+J48</f>
        <v>67.137</v>
      </c>
      <c r="L48" s="1">
        <f>SUMIFS('WH+RT CURRENT'!$M$2:$M$15000,'WH+RT CURRENT'!$B$2:$B$15000,"N.C.Urea(45kg)",'WH+RT CURRENT'!$S$2:$S$15000,"Gopal Krishna Kundu")</f>
        <v>35.909999999999997</v>
      </c>
      <c r="M48" s="1">
        <f>SUMIFS('WH+RT CURRENT'!$M$2:$M$15000,'WH+RT CURRENT'!$B$2:$B$15000,"15-15-15",'WH+RT CURRENT'!$S$2:$S$15000,"Gopal Krishna Kundu")</f>
        <v>14.761999999999999</v>
      </c>
      <c r="N48" s="1">
        <f>SUMIFS('WH+RT CURRENT'!$M$2:$M$15000,'WH+RT CURRENT'!$B$2:$B$15000,"Imp 10-26-26",'WH+RT CURRENT'!$S$2:$S$15000,"Gopal Krishna Kundu")</f>
        <v>2.2999999999999998</v>
      </c>
      <c r="O48" s="1">
        <f>SUMIFS('WH+RT CURRENT'!$M$2:$M$15000,'WH+RT CURRENT'!$B$2:$B$15000,"MOP",'WH+RT CURRENT'!$S$2:$S$15000,"Gopal Krishna Kundu")</f>
        <v>9.3000000000000007</v>
      </c>
      <c r="P48" s="1">
        <f>SUMIFS('WH+RT CURRENT'!$M$2:$M$15000,'WH+RT CURRENT'!$B$2:$B$15000,"Imp DAP",'WH+RT CURRENT'!$S$2:$S$15000,"Gopal Krishna Kundu")</f>
        <v>0</v>
      </c>
      <c r="Q48" s="1">
        <f>L48+M48+N48+O48+P48</f>
        <v>62.271999999999991</v>
      </c>
    </row>
    <row r="51" spans="5:17" x14ac:dyDescent="0.25">
      <c r="E51" s="12" t="s">
        <v>8139</v>
      </c>
      <c r="F51" s="12"/>
      <c r="G51" s="12"/>
      <c r="H51" s="12"/>
      <c r="I51" s="12"/>
      <c r="J51" s="12"/>
      <c r="K51" s="12"/>
      <c r="L51" s="12"/>
      <c r="M51" s="12"/>
      <c r="N51" s="12"/>
      <c r="O51" s="12"/>
      <c r="P51" s="12"/>
      <c r="Q51" s="12"/>
    </row>
    <row r="52" spans="5:17" x14ac:dyDescent="0.25">
      <c r="E52" s="13"/>
      <c r="F52" s="15" t="s">
        <v>8130</v>
      </c>
      <c r="G52" s="15"/>
      <c r="H52" s="15"/>
      <c r="I52" s="15"/>
      <c r="J52" s="15"/>
      <c r="K52" s="15"/>
      <c r="L52" s="15" t="s">
        <v>8131</v>
      </c>
      <c r="M52" s="15"/>
      <c r="N52" s="15"/>
      <c r="O52" s="15"/>
      <c r="P52" s="15"/>
      <c r="Q52" s="15"/>
    </row>
    <row r="53" spans="5:17" x14ac:dyDescent="0.25">
      <c r="E53" s="14"/>
      <c r="F53" s="2" t="s">
        <v>0</v>
      </c>
      <c r="G53" s="2" t="s">
        <v>1</v>
      </c>
      <c r="H53" s="2" t="s">
        <v>2</v>
      </c>
      <c r="I53" s="2" t="s">
        <v>3</v>
      </c>
      <c r="J53" s="2" t="s">
        <v>8128</v>
      </c>
      <c r="K53" s="2" t="s">
        <v>4</v>
      </c>
      <c r="L53" s="2" t="s">
        <v>0</v>
      </c>
      <c r="M53" s="2" t="s">
        <v>1</v>
      </c>
      <c r="N53" s="2" t="s">
        <v>2</v>
      </c>
      <c r="O53" s="2" t="s">
        <v>3</v>
      </c>
      <c r="P53" s="2" t="s">
        <v>8128</v>
      </c>
      <c r="Q53" s="2" t="s">
        <v>4</v>
      </c>
    </row>
    <row r="54" spans="5:17" x14ac:dyDescent="0.25">
      <c r="E54" s="2" t="s">
        <v>5</v>
      </c>
      <c r="F54" s="1">
        <f>SUMIFS('WH+RT PREVIOUS'!$M$2:$M$15000,'WH+RT PREVIOUS'!$B$2:$B$15000,"N.C.Urea(45kg)",'WH+RT PREVIOUS'!$S$2:$S$15000,"Gouri Sankar Kundu            ",'WH+RT PREVIOUS'!$N$2:$N$15000,"&gt;179",'WH+RT PREVIOUS'!$N$2:$N$15000,"&lt;366")</f>
        <v>24.569999999999997</v>
      </c>
      <c r="G54" s="1">
        <f>SUMIFS('WH+RT PREVIOUS'!$M$2:$M$15000,'WH+RT PREVIOUS'!$B$2:$B$15000,"15-15-15",'WH+RT PREVIOUS'!$S$2:$S$15000,"Gouri Sankar Kundu            ",'WH+RT PREVIOUS'!$N$2:$N$15000,"&gt;179",'WH+RT PREVIOUS'!$N$2:$N$15000,"&lt;366")</f>
        <v>3.6429999999999998</v>
      </c>
      <c r="H54" s="1">
        <f>SUMIFS('WH+RT PREVIOUS'!$M$2:$M$15000,'WH+RT PREVIOUS'!$B$2:$B$15000,"Imp 10-26-26",'WH+RT PREVIOUS'!$S$2:$S$15000,"Gouri Sankar Kundu            ",'WH+RT PREVIOUS'!$N$2:$N$15000,"&gt;179",'WH+RT PREVIOUS'!$N$2:$N$15000,"&lt;366")</f>
        <v>4.05</v>
      </c>
      <c r="I54" s="1">
        <f>SUMIFS('WH+RT PREVIOUS'!$M$2:$M$15000,'WH+RT PREVIOUS'!$B$2:$B$15000,"MOP",'WH+RT PREVIOUS'!$S$2:$S$15000,"Gouri Sankar Kundu            ",'WH+RT PREVIOUS'!$N$2:$N$15000,"&gt;179",'WH+RT PREVIOUS'!$N$2:$N$15000,"&lt;366")</f>
        <v>0</v>
      </c>
      <c r="J54" s="1">
        <f>SUMIFS('WH+RT PREVIOUS'!$M$2:$M$15000,'WH+RT PREVIOUS'!$B$2:$B$15000,"Imp DAP",'WH+RT PREVIOUS'!$S$2:$S$15000,"Gouri Sankar Kundu            ",'WH+RT PREVIOUS'!$N$2:$N$15000,"&gt;179",'WH+RT PREVIOUS'!$N$2:$N$15000,"&lt;366")</f>
        <v>0</v>
      </c>
      <c r="K54" s="1">
        <f>F54+G54+H54+I54+J54</f>
        <v>32.262999999999998</v>
      </c>
      <c r="L54" s="1">
        <f>SUMIFS('WH+RT CURRENT'!$M$2:$M$15000,'WH+RT CURRENT'!$B$2:$B$15000,"N.C.Urea(45kg)",'WH+RT CURRENT'!$S$2:$S$15000,"Gouri Sankar Kundu            ",'WH+RT CURRENT'!$N$2:$N$15000,"&gt;179",'WH+RT CURRENT'!$N$2:$N$15000,"&lt;366")</f>
        <v>24.57</v>
      </c>
      <c r="M54" s="1">
        <f>SUMIFS('WH+RT CURRENT'!$M$2:$M$15000,'WH+RT CURRENT'!$B$2:$B$15000,"15-15-15",'WH+RT CURRENT'!$S$2:$S$15000,"Gouri Sankar Kundu            ",'WH+RT CURRENT'!$N$2:$N$15000,"&gt;179",'WH+RT CURRENT'!$N$2:$N$15000,"&lt;366")</f>
        <v>3.6429999999999998</v>
      </c>
      <c r="N54" s="1">
        <f>SUMIFS('WH+RT CURRENT'!$M$2:$M$15000,'WH+RT CURRENT'!$B$2:$B$15000,"Imp 10-26-26",'WH+RT CURRENT'!$S$2:$S$15000,"Gouri Sankar Kundu            ",'WH+RT CURRENT'!$N$2:$N$15000,"&gt;179",'WH+RT CURRENT'!$N$2:$N$15000,"&lt;366")</f>
        <v>4.55</v>
      </c>
      <c r="O54" s="1">
        <f>SUMIFS('WH+RT CURRENT'!$M$2:$M$15000,'WH+RT CURRENT'!$B$2:$B$15000,"MOP",'WH+RT CURRENT'!$S$2:$S$15000,"Gouri Sankar Kundu            ",'WH+RT CURRENT'!$N$2:$N$15000,"&gt;179",'WH+RT CURRENT'!$N$2:$N$15000,"&lt;366")</f>
        <v>0</v>
      </c>
      <c r="P54" s="1">
        <f>SUMIFS('WH+RT CURRENT'!$M$2:$M$15000,'WH+RT CURRENT'!$B$2:$B$15000,"Imp DAP",'WH+RT CURRENT'!$S$2:$S$15000,"Gouri Sankar Kundu            ",'WH+RT CURRENT'!$N$2:$N$15000,"&gt;179",'WH+RT CURRENT'!$N$2:$N$15000,"&lt;366")</f>
        <v>0</v>
      </c>
      <c r="Q54" s="1">
        <f>L54+M54+N54+O54+P54</f>
        <v>32.762999999999998</v>
      </c>
    </row>
    <row r="55" spans="5:17" x14ac:dyDescent="0.25">
      <c r="E55" s="2" t="s">
        <v>6</v>
      </c>
      <c r="F55" s="1">
        <f>SUMIFS('WH+RT PREVIOUS'!$M$2:$M$15000,'WH+RT PREVIOUS'!$B$2:$B$15000,"N.C.Urea(45kg)",'WH+RT PREVIOUS'!$S$2:$S$15000,"Gouri Sankar Kundu            ",'WH+RT PREVIOUS'!$N$2:$N$15000,"&gt;365")</f>
        <v>4.8449999999999998</v>
      </c>
      <c r="G55" s="1">
        <f>SUMIFS('WH+RT PREVIOUS'!$M$2:$M$15000,'WH+RT PREVIOUS'!$B$2:$B$15000,"15-15-15",'WH+RT PREVIOUS'!$S$2:$S$15000,"Gouri Sankar Kundu            ",'WH+RT PREVIOUS'!$N$2:$N$15000,"&gt;365")</f>
        <v>3.375</v>
      </c>
      <c r="H55" s="1">
        <f>SUMIFS('WH+RT PREVIOUS'!$M$2:$M$15000,'WH+RT PREVIOUS'!$B$2:$B$15000,"Imp 10-26-26",'WH+RT PREVIOUS'!$S$2:$S$15000,"Gouri Sankar Kundu            ",'WH+RT PREVIOUS'!$N$2:$N$15000,"&gt;365")</f>
        <v>3.15</v>
      </c>
      <c r="I55" s="1">
        <f>SUMIFS('WH+RT PREVIOUS'!$M$2:$M$15000,'WH+RT PREVIOUS'!$B$2:$B$15000,"MOP",'WH+RT PREVIOUS'!$S$2:$S$15000,"Gouri Sankar Kundu            ",'WH+RT PREVIOUS'!$N$2:$N$15000,"&gt;365")</f>
        <v>3.8499999999999996</v>
      </c>
      <c r="J55" s="1">
        <f>SUMIFS('WH+RT PREVIOUS'!$M$2:$M$15000,'WH+RT PREVIOUS'!$B$2:$B$15000,"Imp DAP",'WH+RT PREVIOUS'!$S$2:$S$15000,"Gouri Sankar Kundu            ",'WH+RT PREVIOUS'!$N$2:$N$15000,"&gt;365")</f>
        <v>0</v>
      </c>
      <c r="K55" s="1">
        <f>F55+G55+H55+I55+J55</f>
        <v>15.219999999999999</v>
      </c>
      <c r="L55" s="1">
        <f>SUMIFS('WH+RT CURRENT'!$M$2:$M$15000,'WH+RT CURRENT'!$B$2:$B$15000,"N.C.Urea(45kg)",'WH+RT CURRENT'!$S$2:$S$15000,"Gouri Sankar Kundu            ",'WH+RT CURRENT'!$N$2:$N$15000,"&gt;365")</f>
        <v>4.8449999999999998</v>
      </c>
      <c r="M55" s="1">
        <f>SUMIFS('WH+RT CURRENT'!$M$2:$M$15000,'WH+RT CURRENT'!$B$2:$B$15000,"15-15-15",'WH+RT CURRENT'!$S$2:$S$15000,"Gouri Sankar Kundu            ",'WH+RT CURRENT'!$N$2:$N$15000,"&gt;365")</f>
        <v>3.4249999999999998</v>
      </c>
      <c r="N55" s="1">
        <f>SUMIFS('WH+RT CURRENT'!$M$2:$M$15000,'WH+RT CURRENT'!$B$2:$B$15000,"Imp 10-26-26",'WH+RT CURRENT'!$S$2:$S$15000,"Gouri Sankar Kundu            ",'WH+RT CURRENT'!$N$2:$N$15000,"&gt;365")</f>
        <v>3.15</v>
      </c>
      <c r="O55" s="1">
        <f>SUMIFS('WH+RT CURRENT'!$M$2:$M$15000,'WH+RT CURRENT'!$B$2:$B$15000,"MOP",'WH+RT CURRENT'!$S$2:$S$15000,"Gouri Sankar Kundu            ",'WH+RT CURRENT'!$N$2:$N$15000,"&gt;365")</f>
        <v>3.8500000000000005</v>
      </c>
      <c r="P55" s="1">
        <f>SUMIFS('WH+RT CURRENT'!$M$2:$M$15000,'WH+RT CURRENT'!$B$2:$B$15000,"Imp DAP",'WH+RT CURRENT'!$S$2:$S$15000,"Gouri Sankar Kundu            ",'WH+RT CURRENT'!$N$2:$N$15000,"&gt;365")</f>
        <v>0</v>
      </c>
      <c r="Q55" s="1">
        <f>L55+M55+N55+O55+P55</f>
        <v>15.27</v>
      </c>
    </row>
    <row r="56" spans="5:17" x14ac:dyDescent="0.25">
      <c r="E56" s="2" t="s">
        <v>7</v>
      </c>
      <c r="F56" s="1">
        <f>F54+F55</f>
        <v>29.414999999999996</v>
      </c>
      <c r="G56" s="1">
        <f>G54+G55</f>
        <v>7.0179999999999998</v>
      </c>
      <c r="H56" s="1">
        <f>H54+H55</f>
        <v>7.1999999999999993</v>
      </c>
      <c r="I56" s="1">
        <f>I54+I55</f>
        <v>3.8499999999999996</v>
      </c>
      <c r="J56" s="1">
        <f>J54+J55</f>
        <v>0</v>
      </c>
      <c r="K56" s="1">
        <f>F56+G56+H56+I56+J56</f>
        <v>47.482999999999997</v>
      </c>
      <c r="L56" s="1">
        <f>L54+L55</f>
        <v>29.414999999999999</v>
      </c>
      <c r="M56" s="1">
        <f>M54+M55</f>
        <v>7.0679999999999996</v>
      </c>
      <c r="N56" s="1">
        <f>N54+N55</f>
        <v>7.6999999999999993</v>
      </c>
      <c r="O56" s="1">
        <f>O54+O55</f>
        <v>3.8500000000000005</v>
      </c>
      <c r="P56" s="1">
        <f>P54+P55</f>
        <v>0</v>
      </c>
      <c r="Q56" s="1">
        <f>L56+M56+N56+O56+P56</f>
        <v>48.032999999999994</v>
      </c>
    </row>
    <row r="57" spans="5:17" x14ac:dyDescent="0.25">
      <c r="E57" s="2" t="s">
        <v>9</v>
      </c>
      <c r="F57" s="1">
        <f>SUMIFS('WH+RT PREVIOUS'!$M$2:$M$15000,'WH+RT PREVIOUS'!$B$2:$B$15000,"N.C.Urea(45kg)",'WH+RT PREVIOUS'!$S$2:$S$15000,"Gouri Sankar Kundu            ")</f>
        <v>115.88</v>
      </c>
      <c r="G57" s="1">
        <f>SUMIFS('WH+RT PREVIOUS'!$M$2:$M$15000,'WH+RT PREVIOUS'!$B$2:$B$15000,"15-15-15",'WH+RT PREVIOUS'!$S$2:$S$15000,"Gouri Sankar Kundu            ")</f>
        <v>54.763000000000005</v>
      </c>
      <c r="H57" s="1">
        <f>SUMIFS('WH+RT PREVIOUS'!$M$2:$M$15000,'WH+RT PREVIOUS'!$B$2:$B$15000,"Imp 10-26-26",'WH+RT PREVIOUS'!$S$2:$S$15000,"Gouri Sankar Kundu            ")</f>
        <v>11.600000000000001</v>
      </c>
      <c r="I57" s="1">
        <f>SUMIFS('WH+RT PREVIOUS'!$M$2:$M$15000,'WH+RT PREVIOUS'!$B$2:$B$15000,"MOP",'WH+RT PREVIOUS'!$S$2:$S$15000,"Gouri Sankar Kundu            ")</f>
        <v>29.689999999999998</v>
      </c>
      <c r="J57" s="1">
        <f>SUMIFS('WH+RT PREVIOUS'!$M$2:$M$15000,'WH+RT PREVIOUS'!$B$2:$B$15000,"Imp DAP",'WH+RT PREVIOUS'!$S$2:$S$15000,"Gouri Sankar Kundu            ")</f>
        <v>0</v>
      </c>
      <c r="K57" s="1">
        <f>F57+G57+H57+I57+J57</f>
        <v>211.93299999999999</v>
      </c>
      <c r="L57" s="1">
        <f>SUMIFS('WH+RT CURRENT'!$M$2:$M$15000,'WH+RT CURRENT'!$B$2:$B$15000,"N.C.Urea(45kg)",'WH+RT CURRENT'!$S$2:$S$15000,"Gouri Sankar Kundu            ")</f>
        <v>126.83500000000005</v>
      </c>
      <c r="M57" s="1">
        <f>SUMIFS('WH+RT CURRENT'!$M$2:$M$15000,'WH+RT CURRENT'!$B$2:$B$15000,"15-15-15",'WH+RT CURRENT'!$S$2:$S$15000,"Gouri Sankar Kundu            ")</f>
        <v>50.353000000000009</v>
      </c>
      <c r="N57" s="1">
        <f>SUMIFS('WH+RT CURRENT'!$M$2:$M$15000,'WH+RT CURRENT'!$B$2:$B$15000,"Imp 10-26-26",'WH+RT CURRENT'!$S$2:$S$15000,"Gouri Sankar Kundu            ")</f>
        <v>14.499999999999998</v>
      </c>
      <c r="O57" s="1">
        <f>SUMIFS('WH+RT CURRENT'!$M$2:$M$15000,'WH+RT CURRENT'!$B$2:$B$15000,"MOP",'WH+RT CURRENT'!$S$2:$S$15000,"Gouri Sankar Kundu            ")</f>
        <v>29.990000000000016</v>
      </c>
      <c r="P57" s="1">
        <f>SUMIFS('WH+RT CURRENT'!$M$2:$M$15000,'WH+RT CURRENT'!$B$2:$B$15000,"Imp DAP",'WH+RT CURRENT'!$S$2:$S$15000,"Gouri Sankar Kundu            ")</f>
        <v>0</v>
      </c>
      <c r="Q57" s="1">
        <f>L57+M57+N57+O57+P57</f>
        <v>221.67800000000005</v>
      </c>
    </row>
    <row r="60" spans="5:17" x14ac:dyDescent="0.25">
      <c r="E60" s="12" t="s">
        <v>988</v>
      </c>
      <c r="F60" s="12"/>
      <c r="G60" s="12"/>
      <c r="H60" s="12"/>
      <c r="I60" s="12"/>
      <c r="J60" s="12"/>
      <c r="K60" s="12"/>
      <c r="L60" s="12"/>
      <c r="M60" s="12"/>
      <c r="N60" s="12"/>
      <c r="O60" s="12"/>
      <c r="P60" s="12"/>
      <c r="Q60" s="12"/>
    </row>
    <row r="61" spans="5:17" x14ac:dyDescent="0.25">
      <c r="E61" s="13"/>
      <c r="F61" s="15" t="s">
        <v>8130</v>
      </c>
      <c r="G61" s="15"/>
      <c r="H61" s="15"/>
      <c r="I61" s="15"/>
      <c r="J61" s="15"/>
      <c r="K61" s="15"/>
      <c r="L61" s="15" t="s">
        <v>8131</v>
      </c>
      <c r="M61" s="15"/>
      <c r="N61" s="15"/>
      <c r="O61" s="15"/>
      <c r="P61" s="15"/>
      <c r="Q61" s="15"/>
    </row>
    <row r="62" spans="5:17" x14ac:dyDescent="0.25">
      <c r="E62" s="14"/>
      <c r="F62" s="2" t="s">
        <v>0</v>
      </c>
      <c r="G62" s="2" t="s">
        <v>1</v>
      </c>
      <c r="H62" s="2" t="s">
        <v>2</v>
      </c>
      <c r="I62" s="2" t="s">
        <v>3</v>
      </c>
      <c r="J62" s="2" t="s">
        <v>8128</v>
      </c>
      <c r="K62" s="2" t="s">
        <v>4</v>
      </c>
      <c r="L62" s="2" t="s">
        <v>0</v>
      </c>
      <c r="M62" s="2" t="s">
        <v>1</v>
      </c>
      <c r="N62" s="2" t="s">
        <v>2</v>
      </c>
      <c r="O62" s="2" t="s">
        <v>3</v>
      </c>
      <c r="P62" s="2" t="s">
        <v>8128</v>
      </c>
      <c r="Q62" s="2" t="s">
        <v>4</v>
      </c>
    </row>
    <row r="63" spans="5:17" x14ac:dyDescent="0.25">
      <c r="E63" s="2" t="s">
        <v>5</v>
      </c>
      <c r="F63" s="1">
        <f>SUMIFS('WH+RT PREVIOUS'!$M$2:$M$15000,'WH+RT PREVIOUS'!$B$2:$B$15000,"N.C.Urea(45kg)",'WH+RT PREVIOUS'!$S$2:$S$15000,"Kalyan Kr. Nandi",'WH+RT PREVIOUS'!$N$2:$N$15000,"&gt;179",'WH+RT PREVIOUS'!$N$2:$N$15000,"&lt;366")</f>
        <v>4.8149999999999995</v>
      </c>
      <c r="G63" s="1">
        <f>SUMIFS('WH+RT PREVIOUS'!$M$2:$M$15000,'WH+RT PREVIOUS'!$B$2:$B$15000,"15-15-15",'WH+RT PREVIOUS'!$S$2:$S$15000,"Kalyan Kr. Nandi",'WH+RT PREVIOUS'!$N$2:$N$15000,"&gt;179",'WH+RT PREVIOUS'!$N$2:$N$15000,"&lt;366")</f>
        <v>0</v>
      </c>
      <c r="H63" s="1">
        <f>SUMIFS('WH+RT PREVIOUS'!$M$2:$M$15000,'WH+RT PREVIOUS'!$B$2:$B$15000,"Imp 10-26-26",'WH+RT PREVIOUS'!$S$2:$S$15000,"Kalyan Kr. Nandi",'WH+RT PREVIOUS'!$N$2:$N$15000,"&gt;179",'WH+RT PREVIOUS'!$N$2:$N$15000,"&lt;366")</f>
        <v>3.25</v>
      </c>
      <c r="I63" s="1">
        <f>SUMIFS('WH+RT PREVIOUS'!$M$2:$M$15000,'WH+RT PREVIOUS'!$B$2:$B$15000,"MOP",'WH+RT PREVIOUS'!$S$2:$S$15000,"Kalyan Kr. Nandi",'WH+RT PREVIOUS'!$N$2:$N$15000,"&gt;179",'WH+RT PREVIOUS'!$N$2:$N$15000,"&lt;366")</f>
        <v>0</v>
      </c>
      <c r="J63" s="1">
        <f>SUMIFS('WH+RT PREVIOUS'!$M$2:$M$15000,'WH+RT PREVIOUS'!$B$2:$B$15000,"Imp DAP",'WH+RT PREVIOUS'!$S$2:$S$15000,"Kalyan Kr. Nandi",'WH+RT PREVIOUS'!$N$2:$N$15000,"&gt;179",'WH+RT PREVIOUS'!$N$2:$N$15000,"&lt;366")</f>
        <v>0</v>
      </c>
      <c r="K63" s="1">
        <f>F63+G63+H63+I63+J63</f>
        <v>8.0649999999999995</v>
      </c>
      <c r="L63" s="1">
        <f>SUMIFS('WH+RT CURRENT'!$M$2:$M$15000,'WH+RT CURRENT'!$B$2:$B$15000,"N.C.Urea(45kg)",'WH+RT CURRENT'!$S$2:$S$15000,"Kalyan Kr. Nandi",'WH+RT CURRENT'!$N$2:$N$15000,"&gt;179",'WH+RT CURRENT'!$N$2:$N$15000,"&lt;366")</f>
        <v>4.8149999999999995</v>
      </c>
      <c r="M63" s="1">
        <f>SUMIFS('WH+RT CURRENT'!$M$2:$M$15000,'WH+RT CURRENT'!$B$2:$B$15000,"15-15-15",'WH+RT CURRENT'!$S$2:$S$15000,"Kalyan Kr. Nandi",'WH+RT CURRENT'!$N$2:$N$15000,"&gt;179",'WH+RT CURRENT'!$N$2:$N$15000,"&lt;366")</f>
        <v>0</v>
      </c>
      <c r="N63" s="1">
        <f>SUMIFS('WH+RT CURRENT'!$M$2:$M$15000,'WH+RT CURRENT'!$B$2:$B$15000,"Imp 10-26-26",'WH+RT CURRENT'!$S$2:$S$15000,"Kalyan Kr. Nandi",'WH+RT CURRENT'!$N$2:$N$15000,"&gt;179",'WH+RT CURRENT'!$N$2:$N$15000,"&lt;366")</f>
        <v>3.25</v>
      </c>
      <c r="O63" s="1">
        <f>SUMIFS('WH+RT CURRENT'!$M$2:$M$15000,'WH+RT CURRENT'!$B$2:$B$15000,"MOP",'WH+RT CURRENT'!$S$2:$S$15000,"Kalyan Kr. Nandi",'WH+RT CURRENT'!$N$2:$N$15000,"&gt;179",'WH+RT CURRENT'!$N$2:$N$15000,"&lt;366")</f>
        <v>0</v>
      </c>
      <c r="P63" s="1">
        <f>SUMIFS('WH+RT CURRENT'!$M$2:$M$15000,'WH+RT CURRENT'!$B$2:$B$15000,"Imp DAP",'WH+RT CURRENT'!$S$2:$S$15000,"Kalyan Kr. Nandi",'WH+RT CURRENT'!$N$2:$N$15000,"&gt;179",'WH+RT CURRENT'!$N$2:$N$15000,"&lt;366")</f>
        <v>0</v>
      </c>
      <c r="Q63" s="1">
        <f>L63+M63+N63+O63+P63</f>
        <v>8.0649999999999995</v>
      </c>
    </row>
    <row r="64" spans="5:17" x14ac:dyDescent="0.25">
      <c r="E64" s="2" t="s">
        <v>6</v>
      </c>
      <c r="F64" s="1">
        <f>SUMIFS('WH+RT PREVIOUS'!$M$2:$M$15000,'WH+RT PREVIOUS'!$B$2:$B$15000,"N.C.Urea(45kg)",'WH+RT PREVIOUS'!$S$2:$S$15000,"Kalyan Kr. Nandi",'WH+RT PREVIOUS'!$N$2:$N$15000,"&gt;365")</f>
        <v>7.47</v>
      </c>
      <c r="G64" s="1">
        <f>SUMIFS('WH+RT PREVIOUS'!$M$2:$M$15000,'WH+RT PREVIOUS'!$B$2:$B$15000,"15-15-15",'WH+RT PREVIOUS'!$S$2:$S$15000,"Kalyan Kr. Nandi",'WH+RT PREVIOUS'!$N$2:$N$15000,"&gt;365")</f>
        <v>10</v>
      </c>
      <c r="H64" s="1">
        <f>SUMIFS('WH+RT PREVIOUS'!$M$2:$M$15000,'WH+RT PREVIOUS'!$B$2:$B$15000,"Imp 10-26-26",'WH+RT PREVIOUS'!$S$2:$S$15000,"Kalyan Kr. Nandi",'WH+RT PREVIOUS'!$N$2:$N$15000,"&gt;365")</f>
        <v>0</v>
      </c>
      <c r="I64" s="1">
        <f>SUMIFS('WH+RT PREVIOUS'!$M$2:$M$15000,'WH+RT PREVIOUS'!$B$2:$B$15000,"MOP",'WH+RT PREVIOUS'!$S$2:$S$15000,"Kalyan Kr. Nandi",'WH+RT PREVIOUS'!$N$2:$N$15000,"&gt;365")</f>
        <v>0</v>
      </c>
      <c r="J64" s="1">
        <f>SUMIFS('WH+RT PREVIOUS'!$M$2:$M$15000,'WH+RT PREVIOUS'!$B$2:$B$15000,"Imp DAP",'WH+RT PREVIOUS'!$S$2:$S$15000,"Kalyan Kr. Nandi",'WH+RT PREVIOUS'!$N$2:$N$15000,"&gt;365")</f>
        <v>0</v>
      </c>
      <c r="K64" s="1">
        <f>F64+G64+H64+I64+J64</f>
        <v>17.47</v>
      </c>
      <c r="L64" s="1">
        <f>SUMIFS('WH+RT CURRENT'!$M$2:$M$15000,'WH+RT CURRENT'!$B$2:$B$15000,"N.C.Urea(45kg)",'WH+RT CURRENT'!$S$2:$S$15000,"Kalyan Kr. Nandi",'WH+RT CURRENT'!$N$2:$N$15000,"&gt;365")</f>
        <v>7.47</v>
      </c>
      <c r="M64" s="1">
        <f>SUMIFS('WH+RT CURRENT'!$M$2:$M$15000,'WH+RT CURRENT'!$B$2:$B$15000,"15-15-15",'WH+RT CURRENT'!$S$2:$S$15000,"Kalyan Kr. Nandi",'WH+RT CURRENT'!$N$2:$N$15000,"&gt;365")</f>
        <v>10</v>
      </c>
      <c r="N64" s="1">
        <f>SUMIFS('WH+RT CURRENT'!$M$2:$M$15000,'WH+RT CURRENT'!$B$2:$B$15000,"Imp 10-26-26",'WH+RT CURRENT'!$S$2:$S$15000,"Kalyan Kr. Nandi",'WH+RT CURRENT'!$N$2:$N$15000,"&gt;365")</f>
        <v>0</v>
      </c>
      <c r="O64" s="1">
        <f>SUMIFS('WH+RT CURRENT'!$M$2:$M$15000,'WH+RT CURRENT'!$B$2:$B$15000,"MOP",'WH+RT CURRENT'!$S$2:$S$15000,"Kalyan Kr. Nandi",'WH+RT CURRENT'!$N$2:$N$15000,"&gt;365")</f>
        <v>0</v>
      </c>
      <c r="P64" s="1">
        <f>SUMIFS('WH+RT CURRENT'!$M$2:$M$15000,'WH+RT CURRENT'!$B$2:$B$15000,"Imp DAP",'WH+RT CURRENT'!$S$2:$S$15000,"Kalyan Kr. Nandi",'WH+RT CURRENT'!$N$2:$N$15000,"&gt;365")</f>
        <v>0</v>
      </c>
      <c r="Q64" s="1">
        <f>L64+M64+N64+O64+P64</f>
        <v>17.47</v>
      </c>
    </row>
    <row r="65" spans="5:17" x14ac:dyDescent="0.25">
      <c r="E65" s="2" t="s">
        <v>7</v>
      </c>
      <c r="F65" s="1">
        <f>F63+F64</f>
        <v>12.285</v>
      </c>
      <c r="G65" s="1">
        <f>G63+G64</f>
        <v>10</v>
      </c>
      <c r="H65" s="1">
        <f>H63+H64</f>
        <v>3.25</v>
      </c>
      <c r="I65" s="1">
        <f>I63+I64</f>
        <v>0</v>
      </c>
      <c r="J65" s="1">
        <f>J63+J64</f>
        <v>0</v>
      </c>
      <c r="K65" s="1">
        <f>F65+G65+H65+I65+J65</f>
        <v>25.535</v>
      </c>
      <c r="L65" s="1">
        <f>L63+L64</f>
        <v>12.285</v>
      </c>
      <c r="M65" s="1">
        <f>M63+M64</f>
        <v>10</v>
      </c>
      <c r="N65" s="1">
        <f>N63+N64</f>
        <v>3.25</v>
      </c>
      <c r="O65" s="1">
        <f>O63+O64</f>
        <v>0</v>
      </c>
      <c r="P65" s="1">
        <f>P63+P64</f>
        <v>0</v>
      </c>
      <c r="Q65" s="1">
        <f>L65+M65+N65+O65+P65</f>
        <v>25.535</v>
      </c>
    </row>
    <row r="66" spans="5:17" x14ac:dyDescent="0.25">
      <c r="E66" s="2" t="s">
        <v>9</v>
      </c>
      <c r="F66" s="1">
        <f>SUMIFS('WH+RT PREVIOUS'!$M$2:$M$15000,'WH+RT PREVIOUS'!$B$2:$B$15000,"N.C.Urea(45kg)",'WH+RT PREVIOUS'!$S$2:$S$15000,"Kalyan Kr. Nandi")</f>
        <v>238.27500000000006</v>
      </c>
      <c r="G66" s="1">
        <f>SUMIFS('WH+RT PREVIOUS'!$M$2:$M$15000,'WH+RT PREVIOUS'!$B$2:$B$15000,"15-15-15",'WH+RT PREVIOUS'!$S$2:$S$15000,"Kalyan Kr. Nandi")</f>
        <v>123.596</v>
      </c>
      <c r="H66" s="1">
        <f>SUMIFS('WH+RT PREVIOUS'!$M$2:$M$15000,'WH+RT PREVIOUS'!$B$2:$B$15000,"Imp 10-26-26",'WH+RT PREVIOUS'!$S$2:$S$15000,"Kalyan Kr. Nandi")</f>
        <v>22.9</v>
      </c>
      <c r="I66" s="1">
        <f>SUMIFS('WH+RT PREVIOUS'!$M$2:$M$15000,'WH+RT PREVIOUS'!$B$2:$B$15000,"MOP",'WH+RT PREVIOUS'!$S$2:$S$15000,"Kalyan Kr. Nandi")</f>
        <v>62.85</v>
      </c>
      <c r="J66" s="1">
        <f>SUMIFS('WH+RT PREVIOUS'!$M$2:$M$15000,'WH+RT PREVIOUS'!$B$2:$B$15000,"Imp DAP",'WH+RT PREVIOUS'!$S$2:$S$15000,"Kalyan Kr. Nandi")</f>
        <v>0</v>
      </c>
      <c r="K66" s="1">
        <f>F66+G66+H66+I66+J66</f>
        <v>447.62100000000009</v>
      </c>
      <c r="L66" s="1">
        <f>SUMIFS('WH+RT CURRENT'!$M$2:$M$15000,'WH+RT CURRENT'!$B$2:$B$15000,"N.C.Urea(45kg)",'WH+RT CURRENT'!$S$2:$S$15000,"Kalyan Kr. Nandi")</f>
        <v>236.78500000000003</v>
      </c>
      <c r="M66" s="1">
        <f>SUMIFS('WH+RT CURRENT'!$M$2:$M$15000,'WH+RT CURRENT'!$B$2:$B$15000,"15-15-15",'WH+RT CURRENT'!$S$2:$S$15000,"Kalyan Kr. Nandi")</f>
        <v>115.79600000000001</v>
      </c>
      <c r="N66" s="1">
        <f>SUMIFS('WH+RT CURRENT'!$M$2:$M$15000,'WH+RT CURRENT'!$B$2:$B$15000,"Imp 10-26-26",'WH+RT CURRENT'!$S$2:$S$15000,"Kalyan Kr. Nandi")</f>
        <v>22.9</v>
      </c>
      <c r="O66" s="1">
        <f>SUMIFS('WH+RT CURRENT'!$M$2:$M$15000,'WH+RT CURRENT'!$B$2:$B$15000,"MOP",'WH+RT CURRENT'!$S$2:$S$15000,"Kalyan Kr. Nandi")</f>
        <v>71.349999999999994</v>
      </c>
      <c r="P66" s="1">
        <f>SUMIFS('WH+RT CURRENT'!$M$2:$M$15000,'WH+RT CURRENT'!$B$2:$B$15000,"Imp DAP",'WH+RT CURRENT'!$S$2:$S$15000,"Kalyan Kr. Nandi")</f>
        <v>0</v>
      </c>
      <c r="Q66" s="1">
        <f>L66+M66+N66+O66+P66</f>
        <v>446.83100000000002</v>
      </c>
    </row>
    <row r="69" spans="5:17" x14ac:dyDescent="0.25">
      <c r="E69" s="12" t="s">
        <v>6874</v>
      </c>
      <c r="F69" s="12"/>
      <c r="G69" s="12"/>
      <c r="H69" s="12"/>
      <c r="I69" s="12"/>
      <c r="J69" s="12"/>
      <c r="K69" s="12"/>
      <c r="L69" s="12"/>
      <c r="M69" s="12"/>
      <c r="N69" s="12"/>
      <c r="O69" s="12"/>
      <c r="P69" s="12"/>
      <c r="Q69" s="12"/>
    </row>
    <row r="70" spans="5:17" x14ac:dyDescent="0.25">
      <c r="E70" s="13"/>
      <c r="F70" s="15" t="s">
        <v>8130</v>
      </c>
      <c r="G70" s="15"/>
      <c r="H70" s="15"/>
      <c r="I70" s="15"/>
      <c r="J70" s="15"/>
      <c r="K70" s="15"/>
      <c r="L70" s="15" t="s">
        <v>8131</v>
      </c>
      <c r="M70" s="15"/>
      <c r="N70" s="15"/>
      <c r="O70" s="15"/>
      <c r="P70" s="15"/>
      <c r="Q70" s="15"/>
    </row>
    <row r="71" spans="5:17" x14ac:dyDescent="0.25">
      <c r="E71" s="14"/>
      <c r="F71" s="2" t="s">
        <v>0</v>
      </c>
      <c r="G71" s="2" t="s">
        <v>1</v>
      </c>
      <c r="H71" s="2" t="s">
        <v>2</v>
      </c>
      <c r="I71" s="2" t="s">
        <v>3</v>
      </c>
      <c r="J71" s="2" t="s">
        <v>8128</v>
      </c>
      <c r="K71" s="2" t="s">
        <v>4</v>
      </c>
      <c r="L71" s="2" t="s">
        <v>0</v>
      </c>
      <c r="M71" s="2" t="s">
        <v>1</v>
      </c>
      <c r="N71" s="2" t="s">
        <v>2</v>
      </c>
      <c r="O71" s="2" t="s">
        <v>3</v>
      </c>
      <c r="P71" s="2" t="s">
        <v>8128</v>
      </c>
      <c r="Q71" s="2" t="s">
        <v>4</v>
      </c>
    </row>
    <row r="72" spans="5:17" x14ac:dyDescent="0.25">
      <c r="E72" s="2" t="s">
        <v>5</v>
      </c>
      <c r="F72" s="1">
        <f>SUMIFS('WH+RT PREVIOUS'!$M$2:$M$15000,'WH+RT PREVIOUS'!$B$2:$B$15000,"N.C.Urea(45kg)",'WH+RT PREVIOUS'!$S$2:$S$15000,"M/S SUNIL KUMAR SAHA       ",'WH+RT PREVIOUS'!$N$2:$N$15000,"&gt;179",'WH+RT PREVIOUS'!$N$2:$N$15000,"&lt;366")</f>
        <v>13.445</v>
      </c>
      <c r="G72" s="1">
        <f>SUMIFS('WH+RT PREVIOUS'!$M$2:$M$15000,'WH+RT PREVIOUS'!$B$2:$B$15000,"15-15-15",'WH+RT PREVIOUS'!$S$2:$S$15000,"M/S SUNIL KUMAR SAHA       ",'WH+RT PREVIOUS'!$N$2:$N$15000,"&gt;179",'WH+RT PREVIOUS'!$N$2:$N$15000,"&lt;366")</f>
        <v>3.3649999999999998</v>
      </c>
      <c r="H72" s="1">
        <f>SUMIFS('WH+RT PREVIOUS'!$M$2:$M$15000,'WH+RT PREVIOUS'!$B$2:$B$15000,"Imp 10-26-26",'WH+RT PREVIOUS'!$S$2:$S$15000,"M/S SUNIL KUMAR SAHA       ",'WH+RT PREVIOUS'!$N$2:$N$15000,"&gt;179",'WH+RT PREVIOUS'!$N$2:$N$15000,"&lt;366")</f>
        <v>1.0960000000000001</v>
      </c>
      <c r="I72" s="1">
        <f>SUMIFS('WH+RT PREVIOUS'!$M$2:$M$15000,'WH+RT PREVIOUS'!$B$2:$B$15000,"MOP",'WH+RT PREVIOUS'!$S$2:$S$15000,"M/S SUNIL KUMAR SAHA       ",'WH+RT PREVIOUS'!$N$2:$N$15000,"&gt;179",'WH+RT PREVIOUS'!$N$2:$N$15000,"&lt;366")</f>
        <v>0</v>
      </c>
      <c r="J72" s="1">
        <f>SUMIFS('WH+RT PREVIOUS'!$M$2:$M$15000,'WH+RT PREVIOUS'!$B$2:$B$15000,"Imp DAP",'WH+RT PREVIOUS'!$S$2:$S$15000,"M/S SUNIL KUMAR SAHA       ",'WH+RT PREVIOUS'!$N$2:$N$15000,"&gt;179",'WH+RT PREVIOUS'!$N$2:$N$15000,"&lt;366")</f>
        <v>0</v>
      </c>
      <c r="K72" s="1">
        <f>F72+G72+H72+I72+J72</f>
        <v>17.905999999999999</v>
      </c>
      <c r="L72" s="1">
        <f>SUMIFS('WH+RT CURRENT'!$M$2:$M$15000,'WH+RT CURRENT'!$B$2:$B$15000,"N.C.Urea(45kg)",'WH+RT CURRENT'!$S$2:$S$15000,"M/S SUNIL KUMAR SAHA       ",'WH+RT CURRENT'!$N$2:$N$15000,"&gt;179",'WH+RT CURRENT'!$N$2:$N$15000,"&lt;366")</f>
        <v>13.445</v>
      </c>
      <c r="M72" s="1">
        <f>SUMIFS('WH+RT CURRENT'!$M$2:$M$15000,'WH+RT CURRENT'!$B$2:$B$15000,"15-15-15",'WH+RT CURRENT'!$S$2:$S$15000,"M/S SUNIL KUMAR SAHA       ",'WH+RT CURRENT'!$N$2:$N$15000,"&gt;179",'WH+RT CURRENT'!$N$2:$N$15000,"&lt;366")</f>
        <v>3.3150000000000004</v>
      </c>
      <c r="N72" s="1">
        <f>SUMIFS('WH+RT CURRENT'!$M$2:$M$15000,'WH+RT CURRENT'!$B$2:$B$15000,"Imp 10-26-26",'WH+RT CURRENT'!$S$2:$S$15000,"M/S SUNIL KUMAR SAHA       ",'WH+RT CURRENT'!$N$2:$N$15000,"&gt;179",'WH+RT CURRENT'!$N$2:$N$15000,"&lt;366")</f>
        <v>1.0960000000000001</v>
      </c>
      <c r="O72" s="1">
        <f>SUMIFS('WH+RT CURRENT'!$M$2:$M$15000,'WH+RT CURRENT'!$B$2:$B$15000,"MOP",'WH+RT CURRENT'!$S$2:$S$15000,"M/S SUNIL KUMAR SAHA       ",'WH+RT CURRENT'!$N$2:$N$15000,"&gt;179",'WH+RT CURRENT'!$N$2:$N$15000,"&lt;366")</f>
        <v>0</v>
      </c>
      <c r="P72" s="1">
        <f>SUMIFS('WH+RT CURRENT'!$M$2:$M$15000,'WH+RT CURRENT'!$B$2:$B$15000,"Imp DAP",'WH+RT CURRENT'!$S$2:$S$15000,"M/S SUNIL KUMAR SAHA       ",'WH+RT CURRENT'!$N$2:$N$15000,"&gt;179",'WH+RT CURRENT'!$N$2:$N$15000,"&lt;366")</f>
        <v>0</v>
      </c>
      <c r="Q72" s="1">
        <f>L72+M72+N72+O72+P72</f>
        <v>17.856000000000002</v>
      </c>
    </row>
    <row r="73" spans="5:17" x14ac:dyDescent="0.25">
      <c r="E73" s="2" t="s">
        <v>6</v>
      </c>
      <c r="F73" s="1">
        <f>SUMIFS('WH+RT PREVIOUS'!$M$2:$M$15000,'WH+RT PREVIOUS'!$B$2:$B$15000,"N.C.Urea(45kg)",'WH+RT PREVIOUS'!$S$2:$S$15000,"M/S SUNIL KUMAR SAHA       ",'WH+RT PREVIOUS'!$N$2:$N$15000,"&gt;365")</f>
        <v>10.555</v>
      </c>
      <c r="G73" s="1">
        <f>SUMIFS('WH+RT PREVIOUS'!$M$2:$M$15000,'WH+RT PREVIOUS'!$B$2:$B$15000,"15-15-15",'WH+RT PREVIOUS'!$S$2:$S$15000,"M/S SUNIL KUMAR SAHA       ",'WH+RT PREVIOUS'!$N$2:$N$15000,"&gt;365")</f>
        <v>5.3739999999999997</v>
      </c>
      <c r="H73" s="1">
        <f>SUMIFS('WH+RT PREVIOUS'!$M$2:$M$15000,'WH+RT PREVIOUS'!$B$2:$B$15000,"Imp 10-26-26",'WH+RT PREVIOUS'!$S$2:$S$15000,"M/S SUNIL KUMAR SAHA       ",'WH+RT PREVIOUS'!$N$2:$N$15000,"&gt;365")</f>
        <v>0</v>
      </c>
      <c r="I73" s="1">
        <f>SUMIFS('WH+RT PREVIOUS'!$M$2:$M$15000,'WH+RT PREVIOUS'!$B$2:$B$15000,"MOP",'WH+RT PREVIOUS'!$S$2:$S$15000,"M/S SUNIL KUMAR SAHA       ",'WH+RT PREVIOUS'!$N$2:$N$15000,"&gt;365")</f>
        <v>0.45</v>
      </c>
      <c r="J73" s="1">
        <f>SUMIFS('WH+RT PREVIOUS'!$M$2:$M$15000,'WH+RT PREVIOUS'!$B$2:$B$15000,"Imp DAP",'WH+RT PREVIOUS'!$S$2:$S$15000,"M/S SUNIL KUMAR SAHA       ",'WH+RT PREVIOUS'!$N$2:$N$15000,"&gt;365")</f>
        <v>0</v>
      </c>
      <c r="K73" s="1">
        <f>F73+G73+H73+I73+J73</f>
        <v>16.378999999999998</v>
      </c>
      <c r="L73" s="1">
        <f>SUMIFS('WH+RT CURRENT'!$M$2:$M$15000,'WH+RT CURRENT'!$B$2:$B$15000,"N.C.Urea(45kg)",'WH+RT CURRENT'!$S$2:$S$15000,"M/S SUNIL KUMAR SAHA       ",'WH+RT CURRENT'!$N$2:$N$15000,"&gt;365")</f>
        <v>10.554999999999998</v>
      </c>
      <c r="M73" s="1">
        <f>SUMIFS('WH+RT CURRENT'!$M$2:$M$15000,'WH+RT CURRENT'!$B$2:$B$15000,"15-15-15",'WH+RT CURRENT'!$S$2:$S$15000,"M/S SUNIL KUMAR SAHA       ",'WH+RT CURRENT'!$N$2:$N$15000,"&gt;365")</f>
        <v>5.3740000000000006</v>
      </c>
      <c r="N73" s="1">
        <f>SUMIFS('WH+RT CURRENT'!$M$2:$M$15000,'WH+RT CURRENT'!$B$2:$B$15000,"Imp 10-26-26",'WH+RT CURRENT'!$S$2:$S$15000,"M/S SUNIL KUMAR SAHA       ",'WH+RT CURRENT'!$N$2:$N$15000,"&gt;365")</f>
        <v>0</v>
      </c>
      <c r="O73" s="1">
        <f>SUMIFS('WH+RT CURRENT'!$M$2:$M$15000,'WH+RT CURRENT'!$B$2:$B$15000,"MOP",'WH+RT CURRENT'!$S$2:$S$15000,"M/S SUNIL KUMAR SAHA       ",'WH+RT CURRENT'!$N$2:$N$15000,"&gt;365")</f>
        <v>0.45</v>
      </c>
      <c r="P73" s="1">
        <f>SUMIFS('WH+RT CURRENT'!$M$2:$M$15000,'WH+RT CURRENT'!$B$2:$B$15000,"Imp DAP",'WH+RT CURRENT'!$S$2:$S$15000,"M/S SUNIL KUMAR SAHA       ",'WH+RT CURRENT'!$N$2:$N$15000,"&gt;365")</f>
        <v>0</v>
      </c>
      <c r="Q73" s="1">
        <f>L73+M73+N73+O73+P73</f>
        <v>16.378999999999998</v>
      </c>
    </row>
    <row r="74" spans="5:17" x14ac:dyDescent="0.25">
      <c r="E74" s="2" t="s">
        <v>7</v>
      </c>
      <c r="F74" s="1">
        <f>F72+F73</f>
        <v>24</v>
      </c>
      <c r="G74" s="1">
        <f>G72+G73</f>
        <v>8.738999999999999</v>
      </c>
      <c r="H74" s="1">
        <f>H72+H73</f>
        <v>1.0960000000000001</v>
      </c>
      <c r="I74" s="1">
        <f>I72+I73</f>
        <v>0.45</v>
      </c>
      <c r="J74" s="1">
        <f>J72+J73</f>
        <v>0</v>
      </c>
      <c r="K74" s="1">
        <f>F74+G74+H74+I74+J74</f>
        <v>34.284999999999997</v>
      </c>
      <c r="L74" s="1">
        <f>L72+L73</f>
        <v>24</v>
      </c>
      <c r="M74" s="1">
        <f>M72+M73</f>
        <v>8.6890000000000001</v>
      </c>
      <c r="N74" s="1">
        <f>N72+N73</f>
        <v>1.0960000000000001</v>
      </c>
      <c r="O74" s="1">
        <f>O72+O73</f>
        <v>0.45</v>
      </c>
      <c r="P74" s="1">
        <f>P72+P73</f>
        <v>0</v>
      </c>
      <c r="Q74" s="1">
        <f>L74+M74+N74+O74+P74</f>
        <v>34.234999999999999</v>
      </c>
    </row>
    <row r="75" spans="5:17" x14ac:dyDescent="0.25">
      <c r="E75" s="2" t="s">
        <v>9</v>
      </c>
      <c r="F75" s="1">
        <f>SUMIFS('WH+RT PREVIOUS'!$M$2:$M$15000,'WH+RT PREVIOUS'!$B$2:$B$15000,"N.C.Urea(45kg)",'WH+RT PREVIOUS'!$S$2:$S$15000,"M/S SUNIL KUMAR SAHA       ")</f>
        <v>121.67000000000002</v>
      </c>
      <c r="G75" s="1">
        <f>SUMIFS('WH+RT PREVIOUS'!$M$2:$M$15000,'WH+RT PREVIOUS'!$B$2:$B$15000,"15-15-15",'WH+RT PREVIOUS'!$S$2:$S$15000,"M/S SUNIL KUMAR SAHA       ")</f>
        <v>38.244</v>
      </c>
      <c r="H75" s="1">
        <f>SUMIFS('WH+RT PREVIOUS'!$M$2:$M$15000,'WH+RT PREVIOUS'!$B$2:$B$15000,"Imp 10-26-26",'WH+RT PREVIOUS'!$S$2:$S$15000,"M/S SUNIL KUMAR SAHA       ")</f>
        <v>16.496000000000002</v>
      </c>
      <c r="I75" s="1">
        <f>SUMIFS('WH+RT PREVIOUS'!$M$2:$M$15000,'WH+RT PREVIOUS'!$B$2:$B$15000,"MOP",'WH+RT PREVIOUS'!$S$2:$S$15000,"M/S SUNIL KUMAR SAHA       ")</f>
        <v>0.45</v>
      </c>
      <c r="J75" s="1">
        <f>SUMIFS('WH+RT PREVIOUS'!$M$2:$M$15000,'WH+RT PREVIOUS'!$B$2:$B$15000,"Imp DAP",'WH+RT PREVIOUS'!$S$2:$S$15000,"M/S SUNIL KUMAR SAHA       ")</f>
        <v>0</v>
      </c>
      <c r="K75" s="1">
        <f>F75+G75+H75+I75+J75</f>
        <v>176.86</v>
      </c>
      <c r="L75" s="1">
        <f>SUMIFS('WH+RT CURRENT'!$M$2:$M$15000,'WH+RT CURRENT'!$B$2:$B$15000,"N.C.Urea(45kg)",'WH+RT CURRENT'!$S$2:$S$15000,"M/S SUNIL KUMAR SAHA       ")</f>
        <v>119.96000000000001</v>
      </c>
      <c r="M75" s="1">
        <f>SUMIFS('WH+RT CURRENT'!$M$2:$M$15000,'WH+RT CURRENT'!$B$2:$B$15000,"15-15-15",'WH+RT CURRENT'!$S$2:$S$15000,"M/S SUNIL KUMAR SAHA       ")</f>
        <v>36.708999999999996</v>
      </c>
      <c r="N75" s="1">
        <f>SUMIFS('WH+RT CURRENT'!$M$2:$M$15000,'WH+RT CURRENT'!$B$2:$B$15000,"Imp 10-26-26",'WH+RT CURRENT'!$S$2:$S$15000,"M/S SUNIL KUMAR SAHA       ")</f>
        <v>16.346</v>
      </c>
      <c r="O75" s="1">
        <f>SUMIFS('WH+RT CURRENT'!$M$2:$M$15000,'WH+RT CURRENT'!$B$2:$B$15000,"MOP",'WH+RT CURRENT'!$S$2:$S$15000,"M/S SUNIL KUMAR SAHA       ")</f>
        <v>0.45</v>
      </c>
      <c r="P75" s="1">
        <f>SUMIFS('WH+RT CURRENT'!$M$2:$M$15000,'WH+RT CURRENT'!$B$2:$B$15000,"Imp DAP",'WH+RT CURRENT'!$S$2:$S$15000,"M/S SUNIL KUMAR SAHA       ")</f>
        <v>0</v>
      </c>
      <c r="Q75" s="1">
        <f>L75+M75+N75+O75+P75</f>
        <v>173.465</v>
      </c>
    </row>
    <row r="78" spans="5:17" x14ac:dyDescent="0.25">
      <c r="E78" s="12" t="s">
        <v>134</v>
      </c>
      <c r="F78" s="12"/>
      <c r="G78" s="12"/>
      <c r="H78" s="12"/>
      <c r="I78" s="12"/>
      <c r="J78" s="12"/>
      <c r="K78" s="12"/>
      <c r="L78" s="12"/>
      <c r="M78" s="12"/>
      <c r="N78" s="12"/>
      <c r="O78" s="12"/>
      <c r="P78" s="12"/>
      <c r="Q78" s="12"/>
    </row>
    <row r="79" spans="5:17" x14ac:dyDescent="0.25">
      <c r="E79" s="13"/>
      <c r="F79" s="15" t="s">
        <v>8130</v>
      </c>
      <c r="G79" s="15"/>
      <c r="H79" s="15"/>
      <c r="I79" s="15"/>
      <c r="J79" s="15"/>
      <c r="K79" s="15"/>
      <c r="L79" s="15" t="s">
        <v>8131</v>
      </c>
      <c r="M79" s="15"/>
      <c r="N79" s="15"/>
      <c r="O79" s="15"/>
      <c r="P79" s="15"/>
      <c r="Q79" s="15"/>
    </row>
    <row r="80" spans="5:17" x14ac:dyDescent="0.25">
      <c r="E80" s="14"/>
      <c r="F80" s="2" t="s">
        <v>0</v>
      </c>
      <c r="G80" s="2" t="s">
        <v>1</v>
      </c>
      <c r="H80" s="2" t="s">
        <v>2</v>
      </c>
      <c r="I80" s="2" t="s">
        <v>3</v>
      </c>
      <c r="J80" s="2" t="s">
        <v>8128</v>
      </c>
      <c r="K80" s="2" t="s">
        <v>4</v>
      </c>
      <c r="L80" s="2" t="s">
        <v>0</v>
      </c>
      <c r="M80" s="2" t="s">
        <v>1</v>
      </c>
      <c r="N80" s="2" t="s">
        <v>2</v>
      </c>
      <c r="O80" s="2" t="s">
        <v>3</v>
      </c>
      <c r="P80" s="2" t="s">
        <v>8128</v>
      </c>
      <c r="Q80" s="2" t="s">
        <v>4</v>
      </c>
    </row>
    <row r="81" spans="5:17" x14ac:dyDescent="0.25">
      <c r="E81" s="2" t="s">
        <v>5</v>
      </c>
      <c r="F81" s="1">
        <f>SUMIFS('WH+RT PREVIOUS'!$M$2:$M$15000,'WH+RT PREVIOUS'!$B$2:$B$15000,"N.C.Urea(45kg)",'WH+RT PREVIOUS'!$S$2:$S$15000,"M/s. Naresh Chandra Das",'WH+RT PREVIOUS'!$N$2:$N$15000,"&gt;179",'WH+RT PREVIOUS'!$N$2:$N$15000,"&lt;366")</f>
        <v>162.75800000000004</v>
      </c>
      <c r="G81" s="1">
        <f>SUMIFS('WH+RT PREVIOUS'!$M$2:$M$15000,'WH+RT PREVIOUS'!$B$2:$B$15000,"15-15-15",'WH+RT PREVIOUS'!$S$2:$S$15000,"M/s. Naresh Chandra Das",'WH+RT PREVIOUS'!$N$2:$N$15000,"&gt;179",'WH+RT PREVIOUS'!$N$2:$N$15000,"&lt;366")</f>
        <v>10.950999999999999</v>
      </c>
      <c r="H81" s="1">
        <f>SUMIFS('WH+RT PREVIOUS'!$M$2:$M$15000,'WH+RT PREVIOUS'!$B$2:$B$15000,"Imp 10-26-26",'WH+RT PREVIOUS'!$S$2:$S$15000,"M/s. Naresh Chandra Das",'WH+RT PREVIOUS'!$N$2:$N$15000,"&gt;179",'WH+RT PREVIOUS'!$N$2:$N$15000,"&lt;366")</f>
        <v>5.35</v>
      </c>
      <c r="I81" s="1">
        <f>SUMIFS('WH+RT PREVIOUS'!$M$2:$M$15000,'WH+RT PREVIOUS'!$B$2:$B$15000,"MOP",'WH+RT PREVIOUS'!$S$2:$S$15000,"M/s. Naresh Chandra Das",'WH+RT PREVIOUS'!$N$2:$N$15000,"&gt;179",'WH+RT PREVIOUS'!$N$2:$N$15000,"&lt;366")</f>
        <v>0</v>
      </c>
      <c r="J81" s="1">
        <f>SUMIFS('WH+RT PREVIOUS'!$M$2:$M$15000,'WH+RT PREVIOUS'!$B$2:$B$15000,"Imp DAP",'WH+RT PREVIOUS'!$S$2:$S$15000,"M/s. Naresh Chandra Das",'WH+RT PREVIOUS'!$N$2:$N$15000,"&gt;179",'WH+RT PREVIOUS'!$N$2:$N$15000,"&lt;366")</f>
        <v>0</v>
      </c>
      <c r="K81" s="1">
        <f>F81+G81+H81+I81+J81</f>
        <v>179.05900000000003</v>
      </c>
      <c r="L81" s="1">
        <f>SUMIFS('WH+RT CURRENT'!$M$2:$M$15000,'WH+RT CURRENT'!$B$2:$B$15000,"N.C.Urea(45kg)",'WH+RT CURRENT'!$S$2:$S$15000,"M/s. Naresh Chandra Das",'WH+RT CURRENT'!$N$2:$N$15000,"&gt;179",'WH+RT CURRENT'!$N$2:$N$15000,"&lt;366")</f>
        <v>161.13800000000001</v>
      </c>
      <c r="M81" s="1">
        <f>SUMIFS('WH+RT CURRENT'!$M$2:$M$15000,'WH+RT CURRENT'!$B$2:$B$15000,"15-15-15",'WH+RT CURRENT'!$S$2:$S$15000,"M/s. Naresh Chandra Das",'WH+RT CURRENT'!$N$2:$N$15000,"&gt;179",'WH+RT CURRENT'!$N$2:$N$15000,"&lt;366")</f>
        <v>10.651</v>
      </c>
      <c r="N81" s="1">
        <f>SUMIFS('WH+RT CURRENT'!$M$2:$M$15000,'WH+RT CURRENT'!$B$2:$B$15000,"Imp 10-26-26",'WH+RT CURRENT'!$S$2:$S$15000,"M/s. Naresh Chandra Das",'WH+RT CURRENT'!$N$2:$N$15000,"&gt;179",'WH+RT CURRENT'!$N$2:$N$15000,"&lt;366")</f>
        <v>5.35</v>
      </c>
      <c r="O81" s="1">
        <f>SUMIFS('WH+RT CURRENT'!$M$2:$M$15000,'WH+RT CURRENT'!$B$2:$B$15000,"MOP",'WH+RT CURRENT'!$S$2:$S$15000,"M/s. Naresh Chandra Das",'WH+RT CURRENT'!$N$2:$N$15000,"&gt;179",'WH+RT CURRENT'!$N$2:$N$15000,"&lt;366")</f>
        <v>0</v>
      </c>
      <c r="P81" s="1">
        <f>SUMIFS('WH+RT CURRENT'!$M$2:$M$15000,'WH+RT CURRENT'!$B$2:$B$15000,"Imp DAP",'WH+RT CURRENT'!$S$2:$S$15000,"M/s. Naresh Chandra Das",'WH+RT CURRENT'!$N$2:$N$15000,"&gt;179",'WH+RT CURRENT'!$N$2:$N$15000,"&lt;366")</f>
        <v>0</v>
      </c>
      <c r="Q81" s="1">
        <f>L81+M81+N81+O81+P81</f>
        <v>177.13900000000001</v>
      </c>
    </row>
    <row r="82" spans="5:17" x14ac:dyDescent="0.25">
      <c r="E82" s="2" t="s">
        <v>6</v>
      </c>
      <c r="F82" s="1">
        <f>SUMIFS('WH+RT PREVIOUS'!$M$2:$M$15000,'WH+RT PREVIOUS'!$B$2:$B$15000,"N.C.Urea(45kg)",'WH+RT PREVIOUS'!$S$2:$S$15000,"M/s. Naresh Chandra Das",'WH+RT PREVIOUS'!$N$2:$N$15000,"&gt;365")</f>
        <v>96.090000000000032</v>
      </c>
      <c r="G82" s="1">
        <f>SUMIFS('WH+RT PREVIOUS'!$M$2:$M$15000,'WH+RT PREVIOUS'!$B$2:$B$15000,"15-15-15",'WH+RT PREVIOUS'!$S$2:$S$15000,"M/s. Naresh Chandra Das",'WH+RT PREVIOUS'!$N$2:$N$15000,"&gt;365")</f>
        <v>51.220000000000006</v>
      </c>
      <c r="H82" s="1">
        <f>SUMIFS('WH+RT PREVIOUS'!$M$2:$M$15000,'WH+RT PREVIOUS'!$B$2:$B$15000,"Imp 10-26-26",'WH+RT PREVIOUS'!$S$2:$S$15000,"M/s. Naresh Chandra Das",'WH+RT PREVIOUS'!$N$2:$N$15000,"&gt;365")</f>
        <v>0.75</v>
      </c>
      <c r="I82" s="1">
        <f>SUMIFS('WH+RT PREVIOUS'!$M$2:$M$15000,'WH+RT PREVIOUS'!$B$2:$B$15000,"MOP",'WH+RT PREVIOUS'!$S$2:$S$15000,"M/s. Naresh Chandra Das",'WH+RT PREVIOUS'!$N$2:$N$15000,"&gt;365")</f>
        <v>0.3</v>
      </c>
      <c r="J82" s="1">
        <f>SUMIFS('WH+RT PREVIOUS'!$M$2:$M$15000,'WH+RT PREVIOUS'!$B$2:$B$15000,"Imp DAP",'WH+RT PREVIOUS'!$S$2:$S$15000,"M/s. Naresh Chandra Das",'WH+RT PREVIOUS'!$N$2:$N$15000,"&gt;365")</f>
        <v>0</v>
      </c>
      <c r="K82" s="1">
        <f>F82+G82+H82+I82+J82</f>
        <v>148.36000000000004</v>
      </c>
      <c r="L82" s="1">
        <f>SUMIFS('WH+RT CURRENT'!$M$2:$M$15000,'WH+RT CURRENT'!$B$2:$B$15000,"N.C.Urea(45kg)",'WH+RT CURRENT'!$S$2:$S$15000,"M/s. Naresh Chandra Das",'WH+RT CURRENT'!$N$2:$N$15000,"&gt;365")</f>
        <v>96.09</v>
      </c>
      <c r="M82" s="1">
        <f>SUMIFS('WH+RT CURRENT'!$M$2:$M$15000,'WH+RT CURRENT'!$B$2:$B$15000,"15-15-15",'WH+RT CURRENT'!$S$2:$S$15000,"M/s. Naresh Chandra Das",'WH+RT CURRENT'!$N$2:$N$15000,"&gt;365")</f>
        <v>49.769999999999989</v>
      </c>
      <c r="N82" s="1">
        <f>SUMIFS('WH+RT CURRENT'!$M$2:$M$15000,'WH+RT CURRENT'!$B$2:$B$15000,"Imp 10-26-26",'WH+RT CURRENT'!$S$2:$S$15000,"M/s. Naresh Chandra Das",'WH+RT CURRENT'!$N$2:$N$15000,"&gt;365")</f>
        <v>0.75</v>
      </c>
      <c r="O82" s="1">
        <f>SUMIFS('WH+RT CURRENT'!$M$2:$M$15000,'WH+RT CURRENT'!$B$2:$B$15000,"MOP",'WH+RT CURRENT'!$S$2:$S$15000,"M/s. Naresh Chandra Das",'WH+RT CURRENT'!$N$2:$N$15000,"&gt;365")</f>
        <v>0.3</v>
      </c>
      <c r="P82" s="1">
        <f>SUMIFS('WH+RT CURRENT'!$M$2:$M$15000,'WH+RT CURRENT'!$B$2:$B$15000,"Imp DAP",'WH+RT CURRENT'!$S$2:$S$15000,"M/s. Naresh Chandra Das",'WH+RT CURRENT'!$N$2:$N$15000,"&gt;365")</f>
        <v>0</v>
      </c>
      <c r="Q82" s="1">
        <f>L82+M82+N82+O82+P82</f>
        <v>146.91</v>
      </c>
    </row>
    <row r="83" spans="5:17" x14ac:dyDescent="0.25">
      <c r="E83" s="2" t="s">
        <v>7</v>
      </c>
      <c r="F83" s="1">
        <f>F81+F82</f>
        <v>258.84800000000007</v>
      </c>
      <c r="G83" s="1">
        <f>G81+G82</f>
        <v>62.171000000000006</v>
      </c>
      <c r="H83" s="1">
        <f>H81+H82</f>
        <v>6.1</v>
      </c>
      <c r="I83" s="1">
        <f>I81+I82</f>
        <v>0.3</v>
      </c>
      <c r="J83" s="1">
        <f>J81+J82</f>
        <v>0</v>
      </c>
      <c r="K83" s="1">
        <f>F83+G83+H83+I83+J83</f>
        <v>327.4190000000001</v>
      </c>
      <c r="L83" s="1">
        <f>L81+L82</f>
        <v>257.22800000000001</v>
      </c>
      <c r="M83" s="1">
        <f>M81+M82</f>
        <v>60.420999999999992</v>
      </c>
      <c r="N83" s="1">
        <f>N81+N82</f>
        <v>6.1</v>
      </c>
      <c r="O83" s="1">
        <f>O81+O82</f>
        <v>0.3</v>
      </c>
      <c r="P83" s="1">
        <f>P81+P82</f>
        <v>0</v>
      </c>
      <c r="Q83" s="1">
        <f>L83+M83+N83+O83+P83</f>
        <v>324.04900000000004</v>
      </c>
    </row>
    <row r="84" spans="5:17" x14ac:dyDescent="0.25">
      <c r="E84" s="2" t="s">
        <v>9</v>
      </c>
      <c r="F84" s="1">
        <f>SUMIFS('WH+RT PREVIOUS'!$M$2:$M$15000,'WH+RT PREVIOUS'!$B$2:$B$15000,"N.C.Urea(45kg)",'WH+RT PREVIOUS'!$S$2:$S$15000,"M/s. Naresh Chandra Das")</f>
        <v>591.52400000000011</v>
      </c>
      <c r="G84" s="1">
        <f>SUMIFS('WH+RT PREVIOUS'!$M$2:$M$15000,'WH+RT PREVIOUS'!$B$2:$B$15000,"15-15-15",'WH+RT PREVIOUS'!$S$2:$S$15000,"M/s. Naresh Chandra Das")</f>
        <v>413.24599999999992</v>
      </c>
      <c r="H84" s="1">
        <f>SUMIFS('WH+RT PREVIOUS'!$M$2:$M$15000,'WH+RT PREVIOUS'!$B$2:$B$15000,"Imp 10-26-26",'WH+RT PREVIOUS'!$S$2:$S$15000,"M/s. Naresh Chandra Das")</f>
        <v>25.4</v>
      </c>
      <c r="I84" s="1">
        <f>SUMIFS('WH+RT PREVIOUS'!$M$2:$M$15000,'WH+RT PREVIOUS'!$B$2:$B$15000,"MOP",'WH+RT PREVIOUS'!$S$2:$S$15000,"M/s. Naresh Chandra Das")</f>
        <v>118.04999999999998</v>
      </c>
      <c r="J84" s="1">
        <f>SUMIFS('WH+RT PREVIOUS'!$M$2:$M$15000,'WH+RT PREVIOUS'!$B$2:$B$15000,"Imp DAP",'WH+RT PREVIOUS'!$S$2:$S$15000,"M/s. Naresh Chandra Das")</f>
        <v>0</v>
      </c>
      <c r="K84" s="1">
        <f>F84+G84+H84+I84+J84</f>
        <v>1148.22</v>
      </c>
      <c r="L84" s="1">
        <f>SUMIFS('WH+RT CURRENT'!$M$2:$M$15000,'WH+RT CURRENT'!$B$2:$B$15000,"N.C.Urea(45kg)",'WH+RT CURRENT'!$S$2:$S$15000,"M/s. Naresh Chandra Das")</f>
        <v>605.59400000000005</v>
      </c>
      <c r="M84" s="1">
        <f>SUMIFS('WH+RT CURRENT'!$M$2:$M$15000,'WH+RT CURRENT'!$B$2:$B$15000,"15-15-15",'WH+RT CURRENT'!$S$2:$S$15000,"M/s. Naresh Chandra Das")</f>
        <v>391.0800000000001</v>
      </c>
      <c r="N84" s="1">
        <f>SUMIFS('WH+RT CURRENT'!$M$2:$M$15000,'WH+RT CURRENT'!$B$2:$B$15000,"Imp 10-26-26",'WH+RT CURRENT'!$S$2:$S$15000,"M/s. Naresh Chandra Das")</f>
        <v>21.9</v>
      </c>
      <c r="O84" s="1">
        <f>SUMIFS('WH+RT CURRENT'!$M$2:$M$15000,'WH+RT CURRENT'!$B$2:$B$15000,"MOP",'WH+RT CURRENT'!$S$2:$S$15000,"M/s. Naresh Chandra Das")</f>
        <v>114.75</v>
      </c>
      <c r="P84" s="1">
        <f>SUMIFS('WH+RT CURRENT'!$M$2:$M$15000,'WH+RT CURRENT'!$B$2:$B$15000,"Imp DAP",'WH+RT CURRENT'!$S$2:$S$15000,"M/s. Naresh Chandra Das")</f>
        <v>0</v>
      </c>
      <c r="Q84" s="1">
        <f>L84+M84+N84+O84+P84</f>
        <v>1133.3240000000001</v>
      </c>
    </row>
    <row r="87" spans="5:17" x14ac:dyDescent="0.25">
      <c r="E87" s="12" t="s">
        <v>1034</v>
      </c>
      <c r="F87" s="12"/>
      <c r="G87" s="12"/>
      <c r="H87" s="12"/>
      <c r="I87" s="12"/>
      <c r="J87" s="12"/>
      <c r="K87" s="12"/>
      <c r="L87" s="12"/>
      <c r="M87" s="12"/>
      <c r="N87" s="12"/>
      <c r="O87" s="12"/>
      <c r="P87" s="12"/>
      <c r="Q87" s="12"/>
    </row>
    <row r="88" spans="5:17" x14ac:dyDescent="0.25">
      <c r="E88" s="13"/>
      <c r="F88" s="15" t="s">
        <v>8130</v>
      </c>
      <c r="G88" s="15"/>
      <c r="H88" s="15"/>
      <c r="I88" s="15"/>
      <c r="J88" s="15"/>
      <c r="K88" s="15"/>
      <c r="L88" s="15" t="s">
        <v>8131</v>
      </c>
      <c r="M88" s="15"/>
      <c r="N88" s="15"/>
      <c r="O88" s="15"/>
      <c r="P88" s="15"/>
      <c r="Q88" s="15"/>
    </row>
    <row r="89" spans="5:17" x14ac:dyDescent="0.25">
      <c r="E89" s="14"/>
      <c r="F89" s="2" t="s">
        <v>0</v>
      </c>
      <c r="G89" s="2" t="s">
        <v>1</v>
      </c>
      <c r="H89" s="2" t="s">
        <v>2</v>
      </c>
      <c r="I89" s="2" t="s">
        <v>3</v>
      </c>
      <c r="J89" s="2" t="s">
        <v>8128</v>
      </c>
      <c r="K89" s="2" t="s">
        <v>4</v>
      </c>
      <c r="L89" s="2" t="s">
        <v>0</v>
      </c>
      <c r="M89" s="2" t="s">
        <v>1</v>
      </c>
      <c r="N89" s="2" t="s">
        <v>2</v>
      </c>
      <c r="O89" s="2" t="s">
        <v>3</v>
      </c>
      <c r="P89" s="2" t="s">
        <v>8128</v>
      </c>
      <c r="Q89" s="2" t="s">
        <v>4</v>
      </c>
    </row>
    <row r="90" spans="5:17" x14ac:dyDescent="0.25">
      <c r="E90" s="2" t="s">
        <v>5</v>
      </c>
      <c r="F90" s="1">
        <f>SUMIFS('WH+RT PREVIOUS'!$M$2:$M$15000,'WH+RT PREVIOUS'!$B$2:$B$15000,"N.C.Urea(45kg)",'WH+RT PREVIOUS'!$S$2:$S$15000,"M/s. Uttamendu Sarkar",'WH+RT PREVIOUS'!$N$2:$N$15000,"&gt;179",'WH+RT PREVIOUS'!$N$2:$N$15000,"&lt;366")</f>
        <v>14.145</v>
      </c>
      <c r="G90" s="1">
        <f>SUMIFS('WH+RT PREVIOUS'!$M$2:$M$15000,'WH+RT PREVIOUS'!$B$2:$B$15000,"15-15-15",'WH+RT PREVIOUS'!$S$2:$S$15000,"M/s. Uttamendu Sarkar",'WH+RT PREVIOUS'!$N$2:$N$15000,"&gt;179",'WH+RT PREVIOUS'!$N$2:$N$15000,"&lt;366")</f>
        <v>2.2999999999999998</v>
      </c>
      <c r="H90" s="1">
        <f>SUMIFS('WH+RT PREVIOUS'!$M$2:$M$15000,'WH+RT PREVIOUS'!$B$2:$B$15000,"Imp 10-26-26",'WH+RT PREVIOUS'!$S$2:$S$15000,"M/s. Uttamendu Sarkar",'WH+RT PREVIOUS'!$N$2:$N$15000,"&gt;179",'WH+RT PREVIOUS'!$N$2:$N$15000,"&lt;366")</f>
        <v>2.75</v>
      </c>
      <c r="I90" s="1">
        <f>SUMIFS('WH+RT PREVIOUS'!$M$2:$M$15000,'WH+RT PREVIOUS'!$B$2:$B$15000,"MOP",'WH+RT PREVIOUS'!$S$2:$S$15000,"M/s. Uttamendu Sarkar",'WH+RT PREVIOUS'!$N$2:$N$15000,"&gt;179",'WH+RT PREVIOUS'!$N$2:$N$15000,"&lt;366")</f>
        <v>0</v>
      </c>
      <c r="J90" s="1">
        <f>SUMIFS('WH+RT PREVIOUS'!$M$2:$M$15000,'WH+RT PREVIOUS'!$B$2:$B$15000,"Imp DAP",'WH+RT PREVIOUS'!$S$2:$S$15000,"M/s. Uttamendu Sarkar",'WH+RT PREVIOUS'!$N$2:$N$15000,"&gt;179",'WH+RT PREVIOUS'!$N$2:$N$15000,"&lt;366")</f>
        <v>0</v>
      </c>
      <c r="K90" s="1">
        <f>F90+G90+H90+I90+J90</f>
        <v>19.195</v>
      </c>
      <c r="L90" s="1">
        <f>SUMIFS('WH+RT CURRENT'!$M$2:$M$15000,'WH+RT CURRENT'!$B$2:$B$15000,"N.C.Urea(45kg)",'WH+RT CURRENT'!$S$2:$S$15000,"M/s. Uttamendu Sarkar",'WH+RT CURRENT'!$N$2:$N$15000,"&gt;179",'WH+RT CURRENT'!$N$2:$N$15000,"&lt;366")</f>
        <v>16.645</v>
      </c>
      <c r="M90" s="1">
        <f>SUMIFS('WH+RT CURRENT'!$M$2:$M$15000,'WH+RT CURRENT'!$B$2:$B$15000,"15-15-15",'WH+RT CURRENT'!$S$2:$S$15000,"M/s. Uttamendu Sarkar",'WH+RT CURRENT'!$N$2:$N$15000,"&gt;179",'WH+RT CURRENT'!$N$2:$N$15000,"&lt;366")</f>
        <v>2.4500000000000002</v>
      </c>
      <c r="N90" s="1">
        <f>SUMIFS('WH+RT CURRENT'!$M$2:$M$15000,'WH+RT CURRENT'!$B$2:$B$15000,"Imp 10-26-26",'WH+RT CURRENT'!$S$2:$S$15000,"M/s. Uttamendu Sarkar",'WH+RT CURRENT'!$N$2:$N$15000,"&gt;179",'WH+RT CURRENT'!$N$2:$N$15000,"&lt;366")</f>
        <v>2.75</v>
      </c>
      <c r="O90" s="1">
        <f>SUMIFS('WH+RT CURRENT'!$M$2:$M$15000,'WH+RT CURRENT'!$B$2:$B$15000,"MOP",'WH+RT CURRENT'!$S$2:$S$15000,"M/s. Uttamendu Sarkar",'WH+RT CURRENT'!$N$2:$N$15000,"&gt;179",'WH+RT CURRENT'!$N$2:$N$15000,"&lt;366")</f>
        <v>0</v>
      </c>
      <c r="P90" s="1">
        <f>SUMIFS('WH+RT CURRENT'!$M$2:$M$15000,'WH+RT CURRENT'!$B$2:$B$15000,"Imp DAP",'WH+RT CURRENT'!$S$2:$S$15000,"M/s. Uttamendu Sarkar",'WH+RT CURRENT'!$N$2:$N$15000,"&gt;179",'WH+RT CURRENT'!$N$2:$N$15000,"&lt;366")</f>
        <v>0</v>
      </c>
      <c r="Q90" s="1">
        <f>L90+M90+N90+O90+P90</f>
        <v>21.844999999999999</v>
      </c>
    </row>
    <row r="91" spans="5:17" x14ac:dyDescent="0.25">
      <c r="E91" s="2" t="s">
        <v>6</v>
      </c>
      <c r="F91" s="1">
        <f>SUMIFS('WH+RT PREVIOUS'!$M$2:$M$15000,'WH+RT PREVIOUS'!$B$2:$B$15000,"N.C.Urea(45kg)",'WH+RT PREVIOUS'!$S$2:$S$15000,"M/s. Uttamendu Sarkar",'WH+RT PREVIOUS'!$N$2:$N$15000,"&gt;365")</f>
        <v>23.345000000000002</v>
      </c>
      <c r="G91" s="1">
        <f>SUMIFS('WH+RT PREVIOUS'!$M$2:$M$15000,'WH+RT PREVIOUS'!$B$2:$B$15000,"15-15-15",'WH+RT PREVIOUS'!$S$2:$S$15000,"M/s. Uttamendu Sarkar",'WH+RT PREVIOUS'!$N$2:$N$15000,"&gt;365")</f>
        <v>18.666</v>
      </c>
      <c r="H91" s="1">
        <f>SUMIFS('WH+RT PREVIOUS'!$M$2:$M$15000,'WH+RT PREVIOUS'!$B$2:$B$15000,"Imp 10-26-26",'WH+RT PREVIOUS'!$S$2:$S$15000,"M/s. Uttamendu Sarkar",'WH+RT PREVIOUS'!$N$2:$N$15000,"&gt;365")</f>
        <v>0</v>
      </c>
      <c r="I91" s="1">
        <f>SUMIFS('WH+RT PREVIOUS'!$M$2:$M$15000,'WH+RT PREVIOUS'!$B$2:$B$15000,"MOP",'WH+RT PREVIOUS'!$S$2:$S$15000,"M/s. Uttamendu Sarkar",'WH+RT PREVIOUS'!$N$2:$N$15000,"&gt;365")</f>
        <v>0</v>
      </c>
      <c r="J91" s="1">
        <f>SUMIFS('WH+RT PREVIOUS'!$M$2:$M$15000,'WH+RT PREVIOUS'!$B$2:$B$15000,"Imp DAP",'WH+RT PREVIOUS'!$S$2:$S$15000,"M/s. Uttamendu Sarkar",'WH+RT PREVIOUS'!$N$2:$N$15000,"&gt;365")</f>
        <v>0</v>
      </c>
      <c r="K91" s="1">
        <f>F91+G91+H91+I91+J91</f>
        <v>42.011000000000003</v>
      </c>
      <c r="L91" s="1">
        <f>SUMIFS('WH+RT CURRENT'!$M$2:$M$15000,'WH+RT CURRENT'!$B$2:$B$15000,"N.C.Urea(45kg)",'WH+RT CURRENT'!$S$2:$S$15000,"M/s. Uttamendu Sarkar",'WH+RT CURRENT'!$N$2:$N$15000,"&gt;365")</f>
        <v>23.344999999999999</v>
      </c>
      <c r="M91" s="1">
        <f>SUMIFS('WH+RT CURRENT'!$M$2:$M$15000,'WH+RT CURRENT'!$B$2:$B$15000,"15-15-15",'WH+RT CURRENT'!$S$2:$S$15000,"M/s. Uttamendu Sarkar",'WH+RT CURRENT'!$N$2:$N$15000,"&gt;365")</f>
        <v>18.116</v>
      </c>
      <c r="N91" s="1">
        <f>SUMIFS('WH+RT CURRENT'!$M$2:$M$15000,'WH+RT CURRENT'!$B$2:$B$15000,"Imp 10-26-26",'WH+RT CURRENT'!$S$2:$S$15000,"M/s. Uttamendu Sarkar",'WH+RT CURRENT'!$N$2:$N$15000,"&gt;365")</f>
        <v>0</v>
      </c>
      <c r="O91" s="1">
        <f>SUMIFS('WH+RT CURRENT'!$M$2:$M$15000,'WH+RT CURRENT'!$B$2:$B$15000,"MOP",'WH+RT CURRENT'!$S$2:$S$15000,"M/s. Uttamendu Sarkar",'WH+RT CURRENT'!$N$2:$N$15000,"&gt;365")</f>
        <v>0</v>
      </c>
      <c r="P91" s="1">
        <f>SUMIFS('WH+RT CURRENT'!$M$2:$M$15000,'WH+RT CURRENT'!$B$2:$B$15000,"Imp DAP",'WH+RT CURRENT'!$S$2:$S$15000,"M/s. Uttamendu Sarkar",'WH+RT CURRENT'!$N$2:$N$15000,"&gt;365")</f>
        <v>0</v>
      </c>
      <c r="Q91" s="1">
        <f>L91+M91+N91+O91+P91</f>
        <v>41.460999999999999</v>
      </c>
    </row>
    <row r="92" spans="5:17" x14ac:dyDescent="0.25">
      <c r="E92" s="2" t="s">
        <v>7</v>
      </c>
      <c r="F92" s="1">
        <f>F90+F91</f>
        <v>37.49</v>
      </c>
      <c r="G92" s="1">
        <f>G90+G91</f>
        <v>20.966000000000001</v>
      </c>
      <c r="H92" s="1">
        <f>H90+H91</f>
        <v>2.75</v>
      </c>
      <c r="I92" s="1">
        <f>I90+I91</f>
        <v>0</v>
      </c>
      <c r="J92" s="1">
        <f>J90+J91</f>
        <v>0</v>
      </c>
      <c r="K92" s="1">
        <f>F92+G92+H92+I92+J92</f>
        <v>61.206000000000003</v>
      </c>
      <c r="L92" s="1">
        <f>L90+L91</f>
        <v>39.989999999999995</v>
      </c>
      <c r="M92" s="1">
        <f>M90+M91</f>
        <v>20.565999999999999</v>
      </c>
      <c r="N92" s="1">
        <f>N90+N91</f>
        <v>2.75</v>
      </c>
      <c r="O92" s="1">
        <f>O90+O91</f>
        <v>0</v>
      </c>
      <c r="P92" s="1">
        <f>P90+P91</f>
        <v>0</v>
      </c>
      <c r="Q92" s="1">
        <f>L92+M92+N92+O92+P92</f>
        <v>63.305999999999997</v>
      </c>
    </row>
    <row r="93" spans="5:17" x14ac:dyDescent="0.25">
      <c r="E93" s="2" t="s">
        <v>9</v>
      </c>
      <c r="F93" s="1">
        <f>SUMIFS('WH+RT PREVIOUS'!$M$2:$M$15000,'WH+RT PREVIOUS'!$B$2:$B$15000,"N.C.Urea(45kg)",'WH+RT PREVIOUS'!$S$2:$S$15000,"M/s. Uttamendu Sarkar")</f>
        <v>385.20799999999991</v>
      </c>
      <c r="G93" s="1">
        <f>SUMIFS('WH+RT PREVIOUS'!$M$2:$M$15000,'WH+RT PREVIOUS'!$B$2:$B$15000,"15-15-15",'WH+RT PREVIOUS'!$S$2:$S$15000,"M/s. Uttamendu Sarkar")</f>
        <v>115.17100000000001</v>
      </c>
      <c r="H93" s="1">
        <f>SUMIFS('WH+RT PREVIOUS'!$M$2:$M$15000,'WH+RT PREVIOUS'!$B$2:$B$15000,"Imp 10-26-26",'WH+RT PREVIOUS'!$S$2:$S$15000,"M/s. Uttamendu Sarkar")</f>
        <v>59.150000000000006</v>
      </c>
      <c r="I93" s="1">
        <f>SUMIFS('WH+RT PREVIOUS'!$M$2:$M$15000,'WH+RT PREVIOUS'!$B$2:$B$15000,"MOP",'WH+RT PREVIOUS'!$S$2:$S$15000,"M/s. Uttamendu Sarkar")</f>
        <v>87.199999999999989</v>
      </c>
      <c r="J93" s="1">
        <f>SUMIFS('WH+RT PREVIOUS'!$M$2:$M$15000,'WH+RT PREVIOUS'!$B$2:$B$15000,"Imp DAP",'WH+RT PREVIOUS'!$S$2:$S$15000,"M/s. Uttamendu Sarkar")</f>
        <v>0</v>
      </c>
      <c r="K93" s="1">
        <f>F93+G93+H93+I93+J93</f>
        <v>646.72899999999981</v>
      </c>
      <c r="L93" s="1">
        <f>SUMIFS('WH+RT CURRENT'!$M$2:$M$15000,'WH+RT CURRENT'!$B$2:$B$15000,"N.C.Urea(45kg)",'WH+RT CURRENT'!$S$2:$S$15000,"M/s. Uttamendu Sarkar")</f>
        <v>384.1280000000001</v>
      </c>
      <c r="M93" s="1">
        <f>SUMIFS('WH+RT CURRENT'!$M$2:$M$15000,'WH+RT CURRENT'!$B$2:$B$15000,"15-15-15",'WH+RT CURRENT'!$S$2:$S$15000,"M/s. Uttamendu Sarkar")</f>
        <v>100.17099999999999</v>
      </c>
      <c r="N93" s="1">
        <f>SUMIFS('WH+RT CURRENT'!$M$2:$M$15000,'WH+RT CURRENT'!$B$2:$B$15000,"Imp 10-26-26",'WH+RT CURRENT'!$S$2:$S$15000,"M/s. Uttamendu Sarkar")</f>
        <v>57</v>
      </c>
      <c r="O93" s="1">
        <f>SUMIFS('WH+RT CURRENT'!$M$2:$M$15000,'WH+RT CURRENT'!$B$2:$B$15000,"MOP",'WH+RT CURRENT'!$S$2:$S$15000,"M/s. Uttamendu Sarkar")</f>
        <v>79.75</v>
      </c>
      <c r="P93" s="1">
        <f>SUMIFS('WH+RT CURRENT'!$M$2:$M$15000,'WH+RT CURRENT'!$B$2:$B$15000,"Imp DAP",'WH+RT CURRENT'!$S$2:$S$15000,"M/s. Uttamendu Sarkar")</f>
        <v>0</v>
      </c>
      <c r="Q93" s="1">
        <f>L93+M93+N93+O93+P93</f>
        <v>621.04900000000009</v>
      </c>
    </row>
    <row r="96" spans="5:17" x14ac:dyDescent="0.25">
      <c r="E96" s="12" t="s">
        <v>981</v>
      </c>
      <c r="F96" s="12"/>
      <c r="G96" s="12"/>
      <c r="H96" s="12"/>
      <c r="I96" s="12"/>
      <c r="J96" s="12"/>
      <c r="K96" s="12"/>
      <c r="L96" s="12"/>
      <c r="M96" s="12"/>
      <c r="N96" s="12"/>
      <c r="O96" s="12"/>
      <c r="P96" s="12"/>
      <c r="Q96" s="12"/>
    </row>
    <row r="97" spans="5:17" x14ac:dyDescent="0.25">
      <c r="E97" s="13"/>
      <c r="F97" s="15" t="s">
        <v>8130</v>
      </c>
      <c r="G97" s="15"/>
      <c r="H97" s="15"/>
      <c r="I97" s="15"/>
      <c r="J97" s="15"/>
      <c r="K97" s="15"/>
      <c r="L97" s="15" t="s">
        <v>8131</v>
      </c>
      <c r="M97" s="15"/>
      <c r="N97" s="15"/>
      <c r="O97" s="15"/>
      <c r="P97" s="15"/>
      <c r="Q97" s="15"/>
    </row>
    <row r="98" spans="5:17" x14ac:dyDescent="0.25">
      <c r="E98" s="14"/>
      <c r="F98" s="2" t="s">
        <v>0</v>
      </c>
      <c r="G98" s="2" t="s">
        <v>1</v>
      </c>
      <c r="H98" s="2" t="s">
        <v>2</v>
      </c>
      <c r="I98" s="2" t="s">
        <v>3</v>
      </c>
      <c r="J98" s="2" t="s">
        <v>8128</v>
      </c>
      <c r="K98" s="2" t="s">
        <v>4</v>
      </c>
      <c r="L98" s="2" t="s">
        <v>0</v>
      </c>
      <c r="M98" s="2" t="s">
        <v>1</v>
      </c>
      <c r="N98" s="2" t="s">
        <v>2</v>
      </c>
      <c r="O98" s="2" t="s">
        <v>3</v>
      </c>
      <c r="P98" s="2" t="s">
        <v>8128</v>
      </c>
      <c r="Q98" s="2" t="s">
        <v>4</v>
      </c>
    </row>
    <row r="99" spans="5:17" x14ac:dyDescent="0.25">
      <c r="E99" s="2" t="s">
        <v>5</v>
      </c>
      <c r="F99" s="1">
        <f>SUMIFS('WH+RT PREVIOUS'!$M$2:$M$15000,'WH+RT PREVIOUS'!$B$2:$B$15000,"N.C.Urea(45kg)",'WH+RT PREVIOUS'!$S$2:$S$15000,"Mahamaya Enterprise",'WH+RT PREVIOUS'!$N$2:$N$15000,"&gt;179",'WH+RT PREVIOUS'!$N$2:$N$15000,"&lt;366")</f>
        <v>34.19</v>
      </c>
      <c r="G99" s="1">
        <f>SUMIFS('WH+RT PREVIOUS'!$M$2:$M$15000,'WH+RT PREVIOUS'!$B$2:$B$15000,"15-15-15",'WH+RT PREVIOUS'!$S$2:$S$15000,"Mahamaya Enterprise",'WH+RT PREVIOUS'!$N$2:$N$15000,"&gt;179",'WH+RT PREVIOUS'!$N$2:$N$15000,"&lt;366")</f>
        <v>5.4749999999999996</v>
      </c>
      <c r="H99" s="1">
        <f>SUMIFS('WH+RT PREVIOUS'!$M$2:$M$15000,'WH+RT PREVIOUS'!$B$2:$B$15000,"Imp 10-26-26",'WH+RT PREVIOUS'!$S$2:$S$15000,"Mahamaya Enterprise",'WH+RT PREVIOUS'!$N$2:$N$15000,"&gt;179",'WH+RT PREVIOUS'!$N$2:$N$15000,"&lt;366")</f>
        <v>0</v>
      </c>
      <c r="I99" s="1">
        <f>SUMIFS('WH+RT PREVIOUS'!$M$2:$M$15000,'WH+RT PREVIOUS'!$B$2:$B$15000,"MOP",'WH+RT PREVIOUS'!$S$2:$S$15000,"Mahamaya Enterprise",'WH+RT PREVIOUS'!$N$2:$N$15000,"&gt;179",'WH+RT PREVIOUS'!$N$2:$N$15000,"&lt;366")</f>
        <v>0</v>
      </c>
      <c r="J99" s="1">
        <f>SUMIFS('WH+RT PREVIOUS'!$M$2:$M$15000,'WH+RT PREVIOUS'!$B$2:$B$15000,"Imp DAP",'WH+RT PREVIOUS'!$S$2:$S$15000,"Mahamaya Enterprise",'WH+RT PREVIOUS'!$N$2:$N$15000,"&gt;179",'WH+RT PREVIOUS'!$N$2:$N$15000,"&lt;366")</f>
        <v>0</v>
      </c>
      <c r="K99" s="1">
        <f>F99+G99+H99+I99+J99</f>
        <v>39.664999999999999</v>
      </c>
      <c r="L99" s="1">
        <f>SUMIFS('WH+RT CURRENT'!$M$2:$M$15000,'WH+RT CURRENT'!$B$2:$B$15000,"N.C.Urea(45kg)",'WH+RT CURRENT'!$S$2:$S$15000,"Mahamaya Enterprise",'WH+RT CURRENT'!$N$2:$N$15000,"&gt;179",'WH+RT CURRENT'!$N$2:$N$15000,"&lt;366")</f>
        <v>34.370000000000005</v>
      </c>
      <c r="M99" s="1">
        <f>SUMIFS('WH+RT CURRENT'!$M$2:$M$15000,'WH+RT CURRENT'!$B$2:$B$15000,"15-15-15",'WH+RT CURRENT'!$S$2:$S$15000,"Mahamaya Enterprise",'WH+RT CURRENT'!$N$2:$N$15000,"&gt;179",'WH+RT CURRENT'!$N$2:$N$15000,"&lt;366")</f>
        <v>5.2249999999999996</v>
      </c>
      <c r="N99" s="1">
        <f>SUMIFS('WH+RT CURRENT'!$M$2:$M$15000,'WH+RT CURRENT'!$B$2:$B$15000,"Imp 10-26-26",'WH+RT CURRENT'!$S$2:$S$15000,"Mahamaya Enterprise",'WH+RT CURRENT'!$N$2:$N$15000,"&gt;179",'WH+RT CURRENT'!$N$2:$N$15000,"&lt;366")</f>
        <v>0</v>
      </c>
      <c r="O99" s="1">
        <f>SUMIFS('WH+RT CURRENT'!$M$2:$M$15000,'WH+RT CURRENT'!$B$2:$B$15000,"MOP",'WH+RT CURRENT'!$S$2:$S$15000,"Mahamaya Enterprise",'WH+RT CURRENT'!$N$2:$N$15000,"&gt;179",'WH+RT CURRENT'!$N$2:$N$15000,"&lt;366")</f>
        <v>0</v>
      </c>
      <c r="P99" s="1">
        <f>SUMIFS('WH+RT CURRENT'!$M$2:$M$15000,'WH+RT CURRENT'!$B$2:$B$15000,"Imp DAP",'WH+RT CURRENT'!$S$2:$S$15000,"Mahamaya Enterprise",'WH+RT CURRENT'!$N$2:$N$15000,"&gt;179",'WH+RT CURRENT'!$N$2:$N$15000,"&lt;366")</f>
        <v>0</v>
      </c>
      <c r="Q99" s="1">
        <f>L99+M99+N99+O99+P99</f>
        <v>39.595000000000006</v>
      </c>
    </row>
    <row r="100" spans="5:17" x14ac:dyDescent="0.25">
      <c r="E100" s="2" t="s">
        <v>6</v>
      </c>
      <c r="F100" s="1">
        <f>SUMIFS('WH+RT PREVIOUS'!$M$2:$M$15000,'WH+RT PREVIOUS'!$B$2:$B$15000,"N.C.Urea(45kg)",'WH+RT PREVIOUS'!$S$2:$S$15000,"Mahamaya Enterprise",'WH+RT PREVIOUS'!$N$2:$N$15000,"&gt;365")</f>
        <v>8.52</v>
      </c>
      <c r="G100" s="1">
        <f>SUMIFS('WH+RT PREVIOUS'!$M$2:$M$15000,'WH+RT PREVIOUS'!$B$2:$B$15000,"15-15-15",'WH+RT PREVIOUS'!$S$2:$S$15000,"Mahamaya Enterprise",'WH+RT PREVIOUS'!$N$2:$N$15000,"&gt;365")</f>
        <v>1.835</v>
      </c>
      <c r="H100" s="1">
        <f>SUMIFS('WH+RT PREVIOUS'!$M$2:$M$15000,'WH+RT PREVIOUS'!$B$2:$B$15000,"Imp 10-26-26",'WH+RT PREVIOUS'!$S$2:$S$15000,"Mahamaya Enterprise",'WH+RT PREVIOUS'!$N$2:$N$15000,"&gt;365")</f>
        <v>0</v>
      </c>
      <c r="I100" s="1">
        <f>SUMIFS('WH+RT PREVIOUS'!$M$2:$M$15000,'WH+RT PREVIOUS'!$B$2:$B$15000,"MOP",'WH+RT PREVIOUS'!$S$2:$S$15000,"Mahamaya Enterprise",'WH+RT PREVIOUS'!$N$2:$N$15000,"&gt;365")</f>
        <v>0</v>
      </c>
      <c r="J100" s="1">
        <f>SUMIFS('WH+RT PREVIOUS'!$M$2:$M$15000,'WH+RT PREVIOUS'!$B$2:$B$15000,"Imp DAP",'WH+RT PREVIOUS'!$S$2:$S$15000,"Mahamaya Enterprise",'WH+RT PREVIOUS'!$N$2:$N$15000,"&gt;365")</f>
        <v>0</v>
      </c>
      <c r="K100" s="1">
        <f>F100+G100+H100+I100+J100</f>
        <v>10.355</v>
      </c>
      <c r="L100" s="1">
        <f>SUMIFS('WH+RT CURRENT'!$M$2:$M$15000,'WH+RT CURRENT'!$B$2:$B$15000,"N.C.Urea(45kg)",'WH+RT CURRENT'!$S$2:$S$15000,"Mahamaya Enterprise",'WH+RT CURRENT'!$N$2:$N$15000,"&gt;365")</f>
        <v>8.52</v>
      </c>
      <c r="M100" s="1">
        <f>SUMIFS('WH+RT CURRENT'!$M$2:$M$15000,'WH+RT CURRENT'!$B$2:$B$15000,"15-15-15",'WH+RT CURRENT'!$S$2:$S$15000,"Mahamaya Enterprise",'WH+RT CURRENT'!$N$2:$N$15000,"&gt;365")</f>
        <v>1.835</v>
      </c>
      <c r="N100" s="1">
        <f>SUMIFS('WH+RT CURRENT'!$M$2:$M$15000,'WH+RT CURRENT'!$B$2:$B$15000,"Imp 10-26-26",'WH+RT CURRENT'!$S$2:$S$15000,"Mahamaya Enterprise",'WH+RT CURRENT'!$N$2:$N$15000,"&gt;365")</f>
        <v>0</v>
      </c>
      <c r="O100" s="1">
        <f>SUMIFS('WH+RT CURRENT'!$M$2:$M$15000,'WH+RT CURRENT'!$B$2:$B$15000,"MOP",'WH+RT CURRENT'!$S$2:$S$15000,"Mahamaya Enterprise",'WH+RT CURRENT'!$N$2:$N$15000,"&gt;365")</f>
        <v>0</v>
      </c>
      <c r="P100" s="1">
        <f>SUMIFS('WH+RT CURRENT'!$M$2:$M$15000,'WH+RT CURRENT'!$B$2:$B$15000,"Imp DAP",'WH+RT CURRENT'!$S$2:$S$15000,"Mahamaya Enterprise",'WH+RT CURRENT'!$N$2:$N$15000,"&gt;365")</f>
        <v>0</v>
      </c>
      <c r="Q100" s="1">
        <f>L100+M100+N100+O100+P100</f>
        <v>10.355</v>
      </c>
    </row>
    <row r="101" spans="5:17" x14ac:dyDescent="0.25">
      <c r="E101" s="2" t="s">
        <v>7</v>
      </c>
      <c r="F101" s="1">
        <f>F99+F100</f>
        <v>42.709999999999994</v>
      </c>
      <c r="G101" s="1">
        <f>G99+G100</f>
        <v>7.31</v>
      </c>
      <c r="H101" s="1">
        <f>H99+H100</f>
        <v>0</v>
      </c>
      <c r="I101" s="1">
        <f>I99+I100</f>
        <v>0</v>
      </c>
      <c r="J101" s="1">
        <f>J99+J100</f>
        <v>0</v>
      </c>
      <c r="K101" s="1">
        <f>F101+G101+H101+I101+J101</f>
        <v>50.019999999999996</v>
      </c>
      <c r="L101" s="1">
        <f>L99+L100</f>
        <v>42.89</v>
      </c>
      <c r="M101" s="1">
        <f>M99+M100</f>
        <v>7.06</v>
      </c>
      <c r="N101" s="1">
        <f>N99+N100</f>
        <v>0</v>
      </c>
      <c r="O101" s="1">
        <f>O99+O100</f>
        <v>0</v>
      </c>
      <c r="P101" s="1">
        <f>P99+P100</f>
        <v>0</v>
      </c>
      <c r="Q101" s="1">
        <f>L101+M101+N101+O101+P101</f>
        <v>49.95</v>
      </c>
    </row>
    <row r="102" spans="5:17" x14ac:dyDescent="0.25">
      <c r="E102" s="2" t="s">
        <v>9</v>
      </c>
      <c r="F102" s="1">
        <f>SUMIFS('WH+RT PREVIOUS'!$M$2:$M$15000,'WH+RT PREVIOUS'!$B$2:$B$15000,"N.C.Urea(45kg)",'WH+RT PREVIOUS'!$S$2:$S$15000,"Mahamaya Enterprise")</f>
        <v>248.67500000000007</v>
      </c>
      <c r="G102" s="1">
        <f>SUMIFS('WH+RT PREVIOUS'!$M$2:$M$15000,'WH+RT PREVIOUS'!$B$2:$B$15000,"15-15-15",'WH+RT PREVIOUS'!$S$2:$S$15000,"Mahamaya Enterprise")</f>
        <v>102.923</v>
      </c>
      <c r="H102" s="1">
        <f>SUMIFS('WH+RT PREVIOUS'!$M$2:$M$15000,'WH+RT PREVIOUS'!$B$2:$B$15000,"Imp 10-26-26",'WH+RT PREVIOUS'!$S$2:$S$15000,"Mahamaya Enterprise")</f>
        <v>40.35</v>
      </c>
      <c r="I102" s="1">
        <f>SUMIFS('WH+RT PREVIOUS'!$M$2:$M$15000,'WH+RT PREVIOUS'!$B$2:$B$15000,"MOP",'WH+RT PREVIOUS'!$S$2:$S$15000,"Mahamaya Enterprise")</f>
        <v>25.95</v>
      </c>
      <c r="J102" s="1">
        <f>SUMIFS('WH+RT PREVIOUS'!$M$2:$M$15000,'WH+RT PREVIOUS'!$B$2:$B$15000,"Imp DAP",'WH+RT PREVIOUS'!$S$2:$S$15000,"Mahamaya Enterprise")</f>
        <v>0</v>
      </c>
      <c r="K102" s="1">
        <f>F102+G102+H102+I102+J102</f>
        <v>417.89800000000008</v>
      </c>
      <c r="L102" s="1">
        <f>SUMIFS('WH+RT CURRENT'!$M$2:$M$15000,'WH+RT CURRENT'!$B$2:$B$15000,"N.C.Urea(45kg)",'WH+RT CURRENT'!$S$2:$S$15000,"Mahamaya Enterprise")</f>
        <v>266.90000000000003</v>
      </c>
      <c r="M102" s="1">
        <f>SUMIFS('WH+RT CURRENT'!$M$2:$M$15000,'WH+RT CURRENT'!$B$2:$B$15000,"15-15-15",'WH+RT CURRENT'!$S$2:$S$15000,"Mahamaya Enterprise")</f>
        <v>88.972999999999985</v>
      </c>
      <c r="N102" s="1">
        <f>SUMIFS('WH+RT CURRENT'!$M$2:$M$15000,'WH+RT CURRENT'!$B$2:$B$15000,"Imp 10-26-26",'WH+RT CURRENT'!$S$2:$S$15000,"Mahamaya Enterprise")</f>
        <v>39.85</v>
      </c>
      <c r="O102" s="1">
        <f>SUMIFS('WH+RT CURRENT'!$M$2:$M$15000,'WH+RT CURRENT'!$B$2:$B$15000,"MOP",'WH+RT CURRENT'!$S$2:$S$15000,"Mahamaya Enterprise")</f>
        <v>25.95</v>
      </c>
      <c r="P102" s="1">
        <f>SUMIFS('WH+RT CURRENT'!$M$2:$M$15000,'WH+RT CURRENT'!$B$2:$B$15000,"Imp DAP",'WH+RT CURRENT'!$S$2:$S$15000,"Mahamaya Enterprise")</f>
        <v>0</v>
      </c>
      <c r="Q102" s="1">
        <f>L102+M102+N102+O102+P102</f>
        <v>421.67300000000006</v>
      </c>
    </row>
    <row r="105" spans="5:17" x14ac:dyDescent="0.25">
      <c r="E105" s="12" t="s">
        <v>992</v>
      </c>
      <c r="F105" s="12"/>
      <c r="G105" s="12"/>
      <c r="H105" s="12"/>
      <c r="I105" s="12"/>
      <c r="J105" s="12"/>
      <c r="K105" s="12"/>
      <c r="L105" s="12"/>
      <c r="M105" s="12"/>
      <c r="N105" s="12"/>
      <c r="O105" s="12"/>
      <c r="P105" s="12"/>
      <c r="Q105" s="12"/>
    </row>
    <row r="106" spans="5:17" x14ac:dyDescent="0.25">
      <c r="E106" s="13"/>
      <c r="F106" s="15" t="s">
        <v>8130</v>
      </c>
      <c r="G106" s="15"/>
      <c r="H106" s="15"/>
      <c r="I106" s="15"/>
      <c r="J106" s="15"/>
      <c r="K106" s="15"/>
      <c r="L106" s="15" t="s">
        <v>8131</v>
      </c>
      <c r="M106" s="15"/>
      <c r="N106" s="15"/>
      <c r="O106" s="15"/>
      <c r="P106" s="15"/>
      <c r="Q106" s="15"/>
    </row>
    <row r="107" spans="5:17" x14ac:dyDescent="0.25">
      <c r="E107" s="14"/>
      <c r="F107" s="2" t="s">
        <v>0</v>
      </c>
      <c r="G107" s="2" t="s">
        <v>1</v>
      </c>
      <c r="H107" s="2" t="s">
        <v>2</v>
      </c>
      <c r="I107" s="2" t="s">
        <v>3</v>
      </c>
      <c r="J107" s="2" t="s">
        <v>8128</v>
      </c>
      <c r="K107" s="2" t="s">
        <v>4</v>
      </c>
      <c r="L107" s="2" t="s">
        <v>0</v>
      </c>
      <c r="M107" s="2" t="s">
        <v>1</v>
      </c>
      <c r="N107" s="2" t="s">
        <v>2</v>
      </c>
      <c r="O107" s="2" t="s">
        <v>3</v>
      </c>
      <c r="P107" s="2" t="s">
        <v>8128</v>
      </c>
      <c r="Q107" s="2" t="s">
        <v>4</v>
      </c>
    </row>
    <row r="108" spans="5:17" x14ac:dyDescent="0.25">
      <c r="E108" s="2" t="s">
        <v>5</v>
      </c>
      <c r="F108" s="1">
        <f>SUMIFS('WH+RT PREVIOUS'!$M$2:$M$15000,'WH+RT PREVIOUS'!$B$2:$B$15000,"N.C.Urea(45kg)",'WH+RT PREVIOUS'!$S$2:$S$15000,"MS AJOY KRISHNA SEAL",'WH+RT PREVIOUS'!$N$2:$N$15000,"&gt;179",'WH+RT PREVIOUS'!$N$2:$N$15000,"&lt;366")</f>
        <v>0.57999999999999996</v>
      </c>
      <c r="G108" s="1">
        <f>SUMIFS('WH+RT PREVIOUS'!$M$2:$M$15000,'WH+RT PREVIOUS'!$B$2:$B$15000,"15-15-15",'WH+RT PREVIOUS'!$S$2:$S$15000,"MS AJOY KRISHNA SEAL",'WH+RT PREVIOUS'!$N$2:$N$15000,"&gt;179",'WH+RT PREVIOUS'!$N$2:$N$15000,"&lt;366")</f>
        <v>0</v>
      </c>
      <c r="H108" s="1">
        <f>SUMIFS('WH+RT PREVIOUS'!$M$2:$M$15000,'WH+RT PREVIOUS'!$B$2:$B$15000,"Imp 10-26-26",'WH+RT PREVIOUS'!$S$2:$S$15000,"MS AJOY KRISHNA SEAL",'WH+RT PREVIOUS'!$N$2:$N$15000,"&gt;179",'WH+RT PREVIOUS'!$N$2:$N$15000,"&lt;366")</f>
        <v>0</v>
      </c>
      <c r="I108" s="1">
        <f>SUMIFS('WH+RT PREVIOUS'!$M$2:$M$15000,'WH+RT PREVIOUS'!$B$2:$B$15000,"MOP",'WH+RT PREVIOUS'!$S$2:$S$15000,"MS AJOY KRISHNA SEAL",'WH+RT PREVIOUS'!$N$2:$N$15000,"&gt;179",'WH+RT PREVIOUS'!$N$2:$N$15000,"&lt;366")</f>
        <v>0</v>
      </c>
      <c r="J108" s="1">
        <f>SUMIFS('WH+RT PREVIOUS'!$M$2:$M$15000,'WH+RT PREVIOUS'!$B$2:$B$15000,"Imp DAP",'WH+RT PREVIOUS'!$S$2:$S$15000,"MS AJOY KRISHNA SEAL",'WH+RT PREVIOUS'!$N$2:$N$15000,"&gt;179",'WH+RT PREVIOUS'!$N$2:$N$15000,"&lt;366")</f>
        <v>0</v>
      </c>
      <c r="K108" s="1">
        <f>F108+G108+H108+I108+J108</f>
        <v>0.57999999999999996</v>
      </c>
      <c r="L108" s="1">
        <f>SUMIFS('WH+RT CURRENT'!$M$2:$M$15000,'WH+RT CURRENT'!$B$2:$B$15000,"N.C.Urea(45kg)",'WH+RT CURRENT'!$S$2:$S$15000,"MS AJOY KRISHNA SEAL",'WH+RT CURRENT'!$N$2:$N$15000,"&gt;179",'WH+RT CURRENT'!$N$2:$N$15000,"&lt;366")</f>
        <v>0.57999999999999996</v>
      </c>
      <c r="M108" s="1">
        <f>SUMIFS('WH+RT CURRENT'!$M$2:$M$15000,'WH+RT CURRENT'!$B$2:$B$15000,"15-15-15",'WH+RT CURRENT'!$S$2:$S$15000,"MS AJOY KRISHNA SEAL",'WH+RT CURRENT'!$N$2:$N$15000,"&gt;179",'WH+RT CURRENT'!$N$2:$N$15000,"&lt;366")</f>
        <v>0.13400000000000001</v>
      </c>
      <c r="N108" s="1">
        <f>SUMIFS('WH+RT CURRENT'!$M$2:$M$15000,'WH+RT CURRENT'!$B$2:$B$15000,"Imp 10-26-26",'WH+RT CURRENT'!$S$2:$S$15000,"MS AJOY KRISHNA SEAL",'WH+RT CURRENT'!$N$2:$N$15000,"&gt;179",'WH+RT CURRENT'!$N$2:$N$15000,"&lt;366")</f>
        <v>0</v>
      </c>
      <c r="O108" s="1">
        <f>SUMIFS('WH+RT CURRENT'!$M$2:$M$15000,'WH+RT CURRENT'!$B$2:$B$15000,"MOP",'WH+RT CURRENT'!$S$2:$S$15000,"MS AJOY KRISHNA SEAL",'WH+RT CURRENT'!$N$2:$N$15000,"&gt;179",'WH+RT CURRENT'!$N$2:$N$15000,"&lt;366")</f>
        <v>0</v>
      </c>
      <c r="P108" s="1">
        <f>SUMIFS('WH+RT CURRENT'!$M$2:$M$15000,'WH+RT CURRENT'!$B$2:$B$15000,"Imp DAP",'WH+RT CURRENT'!$S$2:$S$15000,"MS AJOY KRISHNA SEAL",'WH+RT CURRENT'!$N$2:$N$15000,"&gt;179",'WH+RT CURRENT'!$N$2:$N$15000,"&lt;366")</f>
        <v>0</v>
      </c>
      <c r="Q108" s="1">
        <f>L108+M108+N108+O108+P108</f>
        <v>0.71399999999999997</v>
      </c>
    </row>
    <row r="109" spans="5:17" x14ac:dyDescent="0.25">
      <c r="E109" s="2" t="s">
        <v>6</v>
      </c>
      <c r="F109" s="1">
        <f>SUMIFS('WH+RT PREVIOUS'!$M$2:$M$15000,'WH+RT PREVIOUS'!$B$2:$B$15000,"N.C.Urea(45kg)",'WH+RT PREVIOUS'!$S$2:$S$15000,"MS AJOY KRISHNA SEAL",'WH+RT PREVIOUS'!$N$2:$N$15000,"&gt;365")</f>
        <v>4.2629999999999999</v>
      </c>
      <c r="G109" s="1">
        <f>SUMIFS('WH+RT PREVIOUS'!$M$2:$M$15000,'WH+RT PREVIOUS'!$B$2:$B$15000,"15-15-15",'WH+RT PREVIOUS'!$S$2:$S$15000,"MS AJOY KRISHNA SEAL",'WH+RT PREVIOUS'!$N$2:$N$15000,"&gt;365")</f>
        <v>0.1</v>
      </c>
      <c r="H109" s="1">
        <f>SUMIFS('WH+RT PREVIOUS'!$M$2:$M$15000,'WH+RT PREVIOUS'!$B$2:$B$15000,"Imp 10-26-26",'WH+RT PREVIOUS'!$S$2:$S$15000,"MS AJOY KRISHNA SEAL",'WH+RT PREVIOUS'!$N$2:$N$15000,"&gt;365")</f>
        <v>0</v>
      </c>
      <c r="I109" s="1">
        <f>SUMIFS('WH+RT PREVIOUS'!$M$2:$M$15000,'WH+RT PREVIOUS'!$B$2:$B$15000,"MOP",'WH+RT PREVIOUS'!$S$2:$S$15000,"MS AJOY KRISHNA SEAL",'WH+RT PREVIOUS'!$N$2:$N$15000,"&gt;365")</f>
        <v>0</v>
      </c>
      <c r="J109" s="1">
        <f>SUMIFS('WH+RT PREVIOUS'!$M$2:$M$15000,'WH+RT PREVIOUS'!$B$2:$B$15000,"Imp DAP",'WH+RT PREVIOUS'!$S$2:$S$15000,"MS AJOY KRISHNA SEAL",'WH+RT PREVIOUS'!$N$2:$N$15000,"&gt;365")</f>
        <v>0</v>
      </c>
      <c r="K109" s="1">
        <f>F109+G109+H109+I109+J109</f>
        <v>4.3629999999999995</v>
      </c>
      <c r="L109" s="1">
        <f>SUMIFS('WH+RT CURRENT'!$M$2:$M$15000,'WH+RT CURRENT'!$B$2:$B$15000,"N.C.Urea(45kg)",'WH+RT CURRENT'!$S$2:$S$15000,"MS AJOY KRISHNA SEAL",'WH+RT CURRENT'!$N$2:$N$15000,"&gt;365")</f>
        <v>4.2629999999999999</v>
      </c>
      <c r="M109" s="1">
        <f>SUMIFS('WH+RT CURRENT'!$M$2:$M$15000,'WH+RT CURRENT'!$B$2:$B$15000,"15-15-15",'WH+RT CURRENT'!$S$2:$S$15000,"MS AJOY KRISHNA SEAL",'WH+RT CURRENT'!$N$2:$N$15000,"&gt;365")</f>
        <v>0.1</v>
      </c>
      <c r="N109" s="1">
        <f>SUMIFS('WH+RT CURRENT'!$M$2:$M$15000,'WH+RT CURRENT'!$B$2:$B$15000,"Imp 10-26-26",'WH+RT CURRENT'!$S$2:$S$15000,"MS AJOY KRISHNA SEAL",'WH+RT CURRENT'!$N$2:$N$15000,"&gt;365")</f>
        <v>0</v>
      </c>
      <c r="O109" s="1">
        <f>SUMIFS('WH+RT CURRENT'!$M$2:$M$15000,'WH+RT CURRENT'!$B$2:$B$15000,"MOP",'WH+RT CURRENT'!$S$2:$S$15000,"MS AJOY KRISHNA SEAL",'WH+RT CURRENT'!$N$2:$N$15000,"&gt;365")</f>
        <v>0</v>
      </c>
      <c r="P109" s="1">
        <f>SUMIFS('WH+RT CURRENT'!$M$2:$M$15000,'WH+RT CURRENT'!$B$2:$B$15000,"Imp DAP",'WH+RT CURRENT'!$S$2:$S$15000,"MS AJOY KRISHNA SEAL",'WH+RT CURRENT'!$N$2:$N$15000,"&gt;365")</f>
        <v>0</v>
      </c>
      <c r="Q109" s="1">
        <f>L109+M109+N109+O109+P109</f>
        <v>4.3629999999999995</v>
      </c>
    </row>
    <row r="110" spans="5:17" x14ac:dyDescent="0.25">
      <c r="E110" s="2" t="s">
        <v>7</v>
      </c>
      <c r="F110" s="1">
        <f>F108+F109</f>
        <v>4.843</v>
      </c>
      <c r="G110" s="1">
        <f>G108+G109</f>
        <v>0.1</v>
      </c>
      <c r="H110" s="1">
        <f>H108+H109</f>
        <v>0</v>
      </c>
      <c r="I110" s="1">
        <f>I108+I109</f>
        <v>0</v>
      </c>
      <c r="J110" s="1">
        <f>J108+J109</f>
        <v>0</v>
      </c>
      <c r="K110" s="1">
        <f>F110+G110+H110+I110+J110</f>
        <v>4.9429999999999996</v>
      </c>
      <c r="L110" s="1">
        <f>L108+L109</f>
        <v>4.843</v>
      </c>
      <c r="M110" s="1">
        <f>M108+M109</f>
        <v>0.23400000000000001</v>
      </c>
      <c r="N110" s="1">
        <f>N108+N109</f>
        <v>0</v>
      </c>
      <c r="O110" s="1">
        <f>O108+O109</f>
        <v>0</v>
      </c>
      <c r="P110" s="1">
        <f>P108+P109</f>
        <v>0</v>
      </c>
      <c r="Q110" s="1">
        <f>L110+M110+N110+O110+P110</f>
        <v>5.077</v>
      </c>
    </row>
    <row r="111" spans="5:17" x14ac:dyDescent="0.25">
      <c r="E111" s="2" t="s">
        <v>9</v>
      </c>
      <c r="F111" s="1">
        <f>SUMIFS('WH+RT PREVIOUS'!$M$2:$M$15000,'WH+RT PREVIOUS'!$B$2:$B$15000,"N.C.Urea(45kg)",'WH+RT PREVIOUS'!$S$2:$S$15000,"MS AJOY KRISHNA SEAL")</f>
        <v>15.998000000000001</v>
      </c>
      <c r="G111" s="1">
        <f>SUMIFS('WH+RT PREVIOUS'!$M$2:$M$15000,'WH+RT PREVIOUS'!$B$2:$B$15000,"15-15-15",'WH+RT PREVIOUS'!$S$2:$S$15000,"MS AJOY KRISHNA SEAL")</f>
        <v>7.6140000000000008</v>
      </c>
      <c r="H111" s="1">
        <f>SUMIFS('WH+RT PREVIOUS'!$M$2:$M$15000,'WH+RT PREVIOUS'!$B$2:$B$15000,"Imp 10-26-26",'WH+RT PREVIOUS'!$S$2:$S$15000,"MS AJOY KRISHNA SEAL")</f>
        <v>6.0979999999999999</v>
      </c>
      <c r="I111" s="1">
        <f>SUMIFS('WH+RT PREVIOUS'!$M$2:$M$15000,'WH+RT PREVIOUS'!$B$2:$B$15000,"MOP",'WH+RT PREVIOUS'!$S$2:$S$15000,"MS AJOY KRISHNA SEAL")</f>
        <v>6.319</v>
      </c>
      <c r="J111" s="1">
        <f>SUMIFS('WH+RT PREVIOUS'!$M$2:$M$15000,'WH+RT PREVIOUS'!$B$2:$B$15000,"Imp DAP",'WH+RT PREVIOUS'!$S$2:$S$15000,"MS AJOY KRISHNA SEAL")</f>
        <v>0</v>
      </c>
      <c r="K111" s="1">
        <f>F111+G111+H111+I111+J111</f>
        <v>36.029000000000003</v>
      </c>
      <c r="L111" s="1">
        <f>SUMIFS('WH+RT CURRENT'!$M$2:$M$15000,'WH+RT CURRENT'!$B$2:$B$15000,"N.C.Urea(45kg)",'WH+RT CURRENT'!$S$2:$S$15000,"MS AJOY KRISHNA SEAL")</f>
        <v>14.732000000000001</v>
      </c>
      <c r="M111" s="1">
        <f>SUMIFS('WH+RT CURRENT'!$M$2:$M$15000,'WH+RT CURRENT'!$B$2:$B$15000,"15-15-15",'WH+RT CURRENT'!$S$2:$S$15000,"MS AJOY KRISHNA SEAL")</f>
        <v>5.8340000000000005</v>
      </c>
      <c r="N111" s="1">
        <f>SUMIFS('WH+RT CURRENT'!$M$2:$M$15000,'WH+RT CURRENT'!$B$2:$B$15000,"Imp 10-26-26",'WH+RT CURRENT'!$S$2:$S$15000,"MS AJOY KRISHNA SEAL")</f>
        <v>5.8019999999999996</v>
      </c>
      <c r="O111" s="1">
        <f>SUMIFS('WH+RT CURRENT'!$M$2:$M$15000,'WH+RT CURRENT'!$B$2:$B$15000,"MOP",'WH+RT CURRENT'!$S$2:$S$15000,"MS AJOY KRISHNA SEAL")</f>
        <v>7.6789999999999994</v>
      </c>
      <c r="P111" s="1">
        <f>SUMIFS('WH+RT CURRENT'!$M$2:$M$15000,'WH+RT CURRENT'!$B$2:$B$15000,"Imp DAP",'WH+RT CURRENT'!$S$2:$S$15000,"MS AJOY KRISHNA SEAL")</f>
        <v>0</v>
      </c>
      <c r="Q111" s="1">
        <f>L111+M111+N111+O111+P111</f>
        <v>34.047000000000004</v>
      </c>
    </row>
    <row r="114" spans="5:17" x14ac:dyDescent="0.25">
      <c r="E114" s="12" t="s">
        <v>1016</v>
      </c>
      <c r="F114" s="12"/>
      <c r="G114" s="12"/>
      <c r="H114" s="12"/>
      <c r="I114" s="12"/>
      <c r="J114" s="12"/>
      <c r="K114" s="12"/>
      <c r="L114" s="12"/>
      <c r="M114" s="12"/>
      <c r="N114" s="12"/>
      <c r="O114" s="12"/>
      <c r="P114" s="12"/>
      <c r="Q114" s="12"/>
    </row>
    <row r="115" spans="5:17" x14ac:dyDescent="0.25">
      <c r="E115" s="13"/>
      <c r="F115" s="15" t="s">
        <v>8130</v>
      </c>
      <c r="G115" s="15"/>
      <c r="H115" s="15"/>
      <c r="I115" s="15"/>
      <c r="J115" s="15"/>
      <c r="K115" s="15"/>
      <c r="L115" s="15" t="s">
        <v>8131</v>
      </c>
      <c r="M115" s="15"/>
      <c r="N115" s="15"/>
      <c r="O115" s="15"/>
      <c r="P115" s="15"/>
      <c r="Q115" s="15"/>
    </row>
    <row r="116" spans="5:17" x14ac:dyDescent="0.25">
      <c r="E116" s="14"/>
      <c r="F116" s="2" t="s">
        <v>0</v>
      </c>
      <c r="G116" s="2" t="s">
        <v>1</v>
      </c>
      <c r="H116" s="2" t="s">
        <v>2</v>
      </c>
      <c r="I116" s="2" t="s">
        <v>3</v>
      </c>
      <c r="J116" s="2" t="s">
        <v>8128</v>
      </c>
      <c r="K116" s="2" t="s">
        <v>4</v>
      </c>
      <c r="L116" s="2" t="s">
        <v>0</v>
      </c>
      <c r="M116" s="2" t="s">
        <v>1</v>
      </c>
      <c r="N116" s="2" t="s">
        <v>2</v>
      </c>
      <c r="O116" s="2" t="s">
        <v>3</v>
      </c>
      <c r="P116" s="2" t="s">
        <v>8128</v>
      </c>
      <c r="Q116" s="2" t="s">
        <v>4</v>
      </c>
    </row>
    <row r="117" spans="5:17" x14ac:dyDescent="0.25">
      <c r="E117" s="2" t="s">
        <v>5</v>
      </c>
      <c r="F117" s="1">
        <f>SUMIFS('WH+RT PREVIOUS'!$M$2:$M$15000,'WH+RT PREVIOUS'!$B$2:$B$15000,"N.C.Urea(45kg)",'WH+RT PREVIOUS'!$S$2:$S$15000,"MS Guha And Co",'WH+RT PREVIOUS'!$N$2:$N$15000,"&gt;179",'WH+RT PREVIOUS'!$N$2:$N$15000,"&lt;366")</f>
        <v>3.87</v>
      </c>
      <c r="G117" s="1">
        <f>SUMIFS('WH+RT PREVIOUS'!$M$2:$M$15000,'WH+RT PREVIOUS'!$B$2:$B$15000,"15-15-15",'WH+RT PREVIOUS'!$S$2:$S$15000,"MS Guha And Co",'WH+RT PREVIOUS'!$N$2:$N$15000,"&gt;179",'WH+RT PREVIOUS'!$N$2:$N$15000,"&lt;366")</f>
        <v>1.9</v>
      </c>
      <c r="H117" s="1">
        <f>SUMIFS('WH+RT PREVIOUS'!$M$2:$M$15000,'WH+RT PREVIOUS'!$B$2:$B$15000,"Imp 10-26-26",'WH+RT PREVIOUS'!$S$2:$S$15000,"MS Guha And Co",'WH+RT PREVIOUS'!$N$2:$N$15000,"&gt;179",'WH+RT PREVIOUS'!$N$2:$N$15000,"&lt;366")</f>
        <v>0</v>
      </c>
      <c r="I117" s="1">
        <f>SUMIFS('WH+RT PREVIOUS'!$M$2:$M$15000,'WH+RT PREVIOUS'!$B$2:$B$15000,"MOP",'WH+RT PREVIOUS'!$S$2:$S$15000,"MS Guha And Co",'WH+RT PREVIOUS'!$N$2:$N$15000,"&gt;179",'WH+RT PREVIOUS'!$N$2:$N$15000,"&lt;366")</f>
        <v>0</v>
      </c>
      <c r="J117" s="1">
        <f>SUMIFS('WH+RT PREVIOUS'!$M$2:$M$15000,'WH+RT PREVIOUS'!$B$2:$B$15000,"Imp DAP",'WH+RT PREVIOUS'!$S$2:$S$15000,"MS Guha And Co",'WH+RT PREVIOUS'!$N$2:$N$15000,"&gt;179",'WH+RT PREVIOUS'!$N$2:$N$15000,"&lt;366")</f>
        <v>0</v>
      </c>
      <c r="K117" s="1">
        <f>F117+G117+H117+I117+J117</f>
        <v>5.77</v>
      </c>
      <c r="L117" s="1">
        <f>SUMIFS('WH+RT CURRENT'!$M$2:$M$15000,'WH+RT CURRENT'!$B$2:$B$15000,"N.C.Urea(45kg)",'WH+RT CURRENT'!$S$2:$S$15000,"MS Guha And Co",'WH+RT CURRENT'!$N$2:$N$15000,"&gt;179",'WH+RT CURRENT'!$N$2:$N$15000,"&lt;366")</f>
        <v>3.87</v>
      </c>
      <c r="M117" s="1">
        <f>SUMIFS('WH+RT CURRENT'!$M$2:$M$15000,'WH+RT CURRENT'!$B$2:$B$15000,"15-15-15",'WH+RT CURRENT'!$S$2:$S$15000,"MS Guha And Co",'WH+RT CURRENT'!$N$2:$N$15000,"&gt;179",'WH+RT CURRENT'!$N$2:$N$15000,"&lt;366")</f>
        <v>4.6999999999999993</v>
      </c>
      <c r="N117" s="1">
        <f>SUMIFS('WH+RT CURRENT'!$M$2:$M$15000,'WH+RT CURRENT'!$B$2:$B$15000,"Imp 10-26-26",'WH+RT CURRENT'!$S$2:$S$15000,"MS Guha And Co",'WH+RT CURRENT'!$N$2:$N$15000,"&gt;179",'WH+RT CURRENT'!$N$2:$N$15000,"&lt;366")</f>
        <v>0</v>
      </c>
      <c r="O117" s="1">
        <f>SUMIFS('WH+RT CURRENT'!$M$2:$M$15000,'WH+RT CURRENT'!$B$2:$B$15000,"MOP",'WH+RT CURRENT'!$S$2:$S$15000,"MS Guha And Co",'WH+RT CURRENT'!$N$2:$N$15000,"&gt;179",'WH+RT CURRENT'!$N$2:$N$15000,"&lt;366")</f>
        <v>0</v>
      </c>
      <c r="P117" s="1">
        <f>SUMIFS('WH+RT CURRENT'!$M$2:$M$15000,'WH+RT CURRENT'!$B$2:$B$15000,"Imp DAP",'WH+RT CURRENT'!$S$2:$S$15000,"MS Guha And Co",'WH+RT CURRENT'!$N$2:$N$15000,"&gt;179",'WH+RT CURRENT'!$N$2:$N$15000,"&lt;366")</f>
        <v>0</v>
      </c>
      <c r="Q117" s="1">
        <f>L117+M117+N117+O117+P117</f>
        <v>8.57</v>
      </c>
    </row>
    <row r="118" spans="5:17" x14ac:dyDescent="0.25">
      <c r="E118" s="2" t="s">
        <v>6</v>
      </c>
      <c r="F118" s="1">
        <f>SUMIFS('WH+RT PREVIOUS'!$M$2:$M$15000,'WH+RT PREVIOUS'!$B$2:$B$15000,"N.C.Urea(45kg)",'WH+RT PREVIOUS'!$S$2:$S$15000,"MS Guha And Co",'WH+RT PREVIOUS'!$N$2:$N$15000,"&gt;365")</f>
        <v>2.7450000000000001</v>
      </c>
      <c r="G118" s="1">
        <f>SUMIFS('WH+RT PREVIOUS'!$M$2:$M$15000,'WH+RT PREVIOUS'!$B$2:$B$15000,"15-15-15",'WH+RT PREVIOUS'!$S$2:$S$15000,"MS Guha And Co",'WH+RT PREVIOUS'!$N$2:$N$15000,"&gt;365")</f>
        <v>1.1000000000000001</v>
      </c>
      <c r="H118" s="1">
        <f>SUMIFS('WH+RT PREVIOUS'!$M$2:$M$15000,'WH+RT PREVIOUS'!$B$2:$B$15000,"Imp 10-26-26",'WH+RT PREVIOUS'!$S$2:$S$15000,"MS Guha And Co",'WH+RT PREVIOUS'!$N$2:$N$15000,"&gt;365")</f>
        <v>0</v>
      </c>
      <c r="I118" s="1">
        <f>SUMIFS('WH+RT PREVIOUS'!$M$2:$M$15000,'WH+RT PREVIOUS'!$B$2:$B$15000,"MOP",'WH+RT PREVIOUS'!$S$2:$S$15000,"MS Guha And Co",'WH+RT PREVIOUS'!$N$2:$N$15000,"&gt;365")</f>
        <v>0</v>
      </c>
      <c r="J118" s="1">
        <f>SUMIFS('WH+RT PREVIOUS'!$M$2:$M$15000,'WH+RT PREVIOUS'!$B$2:$B$15000,"Imp DAP",'WH+RT PREVIOUS'!$S$2:$S$15000,"MS Guha And Co",'WH+RT PREVIOUS'!$N$2:$N$15000,"&gt;365")</f>
        <v>0</v>
      </c>
      <c r="K118" s="1">
        <f>F118+G118+H118+I118+J118</f>
        <v>3.8450000000000002</v>
      </c>
      <c r="L118" s="1">
        <f>SUMIFS('WH+RT CURRENT'!$M$2:$M$15000,'WH+RT CURRENT'!$B$2:$B$15000,"N.C.Urea(45kg)",'WH+RT CURRENT'!$S$2:$S$15000,"MS Guha And Co",'WH+RT CURRENT'!$N$2:$N$15000,"&gt;365")</f>
        <v>2.7450000000000001</v>
      </c>
      <c r="M118" s="1">
        <f>SUMIFS('WH+RT CURRENT'!$M$2:$M$15000,'WH+RT CURRENT'!$B$2:$B$15000,"15-15-15",'WH+RT CURRENT'!$S$2:$S$15000,"MS Guha And Co",'WH+RT CURRENT'!$N$2:$N$15000,"&gt;365")</f>
        <v>1.1000000000000001</v>
      </c>
      <c r="N118" s="1">
        <f>SUMIFS('WH+RT CURRENT'!$M$2:$M$15000,'WH+RT CURRENT'!$B$2:$B$15000,"Imp 10-26-26",'WH+RT CURRENT'!$S$2:$S$15000,"MS Guha And Co",'WH+RT CURRENT'!$N$2:$N$15000,"&gt;365")</f>
        <v>0</v>
      </c>
      <c r="O118" s="1">
        <f>SUMIFS('WH+RT CURRENT'!$M$2:$M$15000,'WH+RT CURRENT'!$B$2:$B$15000,"MOP",'WH+RT CURRENT'!$S$2:$S$15000,"MS Guha And Co",'WH+RT CURRENT'!$N$2:$N$15000,"&gt;365")</f>
        <v>0</v>
      </c>
      <c r="P118" s="1">
        <f>SUMIFS('WH+RT CURRENT'!$M$2:$M$15000,'WH+RT CURRENT'!$B$2:$B$15000,"Imp DAP",'WH+RT CURRENT'!$S$2:$S$15000,"MS Guha And Co",'WH+RT CURRENT'!$N$2:$N$15000,"&gt;365")</f>
        <v>0</v>
      </c>
      <c r="Q118" s="1">
        <f>L118+M118+N118+O118+P118</f>
        <v>3.8450000000000002</v>
      </c>
    </row>
    <row r="119" spans="5:17" x14ac:dyDescent="0.25">
      <c r="E119" s="2" t="s">
        <v>7</v>
      </c>
      <c r="F119" s="1">
        <f>F117+F118</f>
        <v>6.6150000000000002</v>
      </c>
      <c r="G119" s="1">
        <f>G117+G118</f>
        <v>3</v>
      </c>
      <c r="H119" s="1">
        <f>H117+H118</f>
        <v>0</v>
      </c>
      <c r="I119" s="1">
        <f>I117+I118</f>
        <v>0</v>
      </c>
      <c r="J119" s="1">
        <f>J117+J118</f>
        <v>0</v>
      </c>
      <c r="K119" s="1">
        <f>F119+G119+H119+I119+J119</f>
        <v>9.6150000000000002</v>
      </c>
      <c r="L119" s="1">
        <f>L117+L118</f>
        <v>6.6150000000000002</v>
      </c>
      <c r="M119" s="1">
        <f>M117+M118</f>
        <v>5.7999999999999989</v>
      </c>
      <c r="N119" s="1">
        <f>N117+N118</f>
        <v>0</v>
      </c>
      <c r="O119" s="1">
        <f>O117+O118</f>
        <v>0</v>
      </c>
      <c r="P119" s="1">
        <f>P117+P118</f>
        <v>0</v>
      </c>
      <c r="Q119" s="1">
        <f>L119+M119+N119+O119+P119</f>
        <v>12.414999999999999</v>
      </c>
    </row>
    <row r="120" spans="5:17" x14ac:dyDescent="0.25">
      <c r="E120" s="2" t="s">
        <v>9</v>
      </c>
      <c r="F120" s="1">
        <f>SUMIFS('WH+RT PREVIOUS'!$M$2:$M$15000,'WH+RT PREVIOUS'!$B$2:$B$15000,"N.C.Urea(45kg)",'WH+RT PREVIOUS'!$S$2:$S$15000,"MS Guha And Co")</f>
        <v>117.88000000000001</v>
      </c>
      <c r="G120" s="1">
        <f>SUMIFS('WH+RT PREVIOUS'!$M$2:$M$15000,'WH+RT PREVIOUS'!$B$2:$B$15000,"15-15-15",'WH+RT PREVIOUS'!$S$2:$S$15000,"MS Guha And Co")</f>
        <v>72.610000000000014</v>
      </c>
      <c r="H120" s="1">
        <f>SUMIFS('WH+RT PREVIOUS'!$M$2:$M$15000,'WH+RT PREVIOUS'!$B$2:$B$15000,"Imp 10-26-26",'WH+RT PREVIOUS'!$S$2:$S$15000,"MS Guha And Co")</f>
        <v>4.7</v>
      </c>
      <c r="I120" s="1">
        <f>SUMIFS('WH+RT PREVIOUS'!$M$2:$M$15000,'WH+RT PREVIOUS'!$B$2:$B$15000,"MOP",'WH+RT PREVIOUS'!$S$2:$S$15000,"MS Guha And Co")</f>
        <v>37.1</v>
      </c>
      <c r="J120" s="1">
        <f>SUMIFS('WH+RT PREVIOUS'!$M$2:$M$15000,'WH+RT PREVIOUS'!$B$2:$B$15000,"Imp DAP",'WH+RT PREVIOUS'!$S$2:$S$15000,"MS Guha And Coy")</f>
        <v>0</v>
      </c>
      <c r="K120" s="1">
        <f>F120+G120+H120+I120+J120</f>
        <v>232.29</v>
      </c>
      <c r="L120" s="1">
        <f>SUMIFS('WH+RT CURRENT'!$M$2:$M$15000,'WH+RT CURRENT'!$B$2:$B$15000,"N.C.Urea(45kg)",'WH+RT CURRENT'!$S$2:$S$15000,"MS Guha And Co")</f>
        <v>146.87999999999997</v>
      </c>
      <c r="M120" s="1">
        <f>SUMIFS('WH+RT CURRENT'!$M$2:$M$15000,'WH+RT CURRENT'!$B$2:$B$15000,"15-15-15",'WH+RT CURRENT'!$S$2:$S$15000,"MS Guha And Co")</f>
        <v>64.17</v>
      </c>
      <c r="N120" s="1">
        <f>SUMIFS('WH+RT CURRENT'!$M$2:$M$15000,'WH+RT CURRENT'!$B$2:$B$15000,"Imp 10-26-26",'WH+RT CURRENT'!$S$2:$S$15000,"MS Guha And Co")</f>
        <v>4.7</v>
      </c>
      <c r="O120" s="1">
        <f>SUMIFS('WH+RT CURRENT'!$M$2:$M$15000,'WH+RT CURRENT'!$B$2:$B$15000,"MOP",'WH+RT CURRENT'!$S$2:$S$15000,"MS Guha And Co")</f>
        <v>35.75</v>
      </c>
      <c r="P120" s="1">
        <f>SUMIFS('WH+RT CURRENT'!$M$2:$M$15000,'WH+RT CURRENT'!$B$2:$B$15000,"Imp DAP",'WH+RT CURRENT'!$S$2:$S$15000,"MS Guha And Co")</f>
        <v>0</v>
      </c>
      <c r="Q120" s="1">
        <f>L120+M120+N120+O120+P120</f>
        <v>251.49999999999994</v>
      </c>
    </row>
    <row r="123" spans="5:17" x14ac:dyDescent="0.25">
      <c r="E123" s="12" t="s">
        <v>1085</v>
      </c>
      <c r="F123" s="12"/>
      <c r="G123" s="12"/>
      <c r="H123" s="12"/>
      <c r="I123" s="12"/>
      <c r="J123" s="12"/>
      <c r="K123" s="12"/>
      <c r="L123" s="12"/>
      <c r="M123" s="12"/>
      <c r="N123" s="12"/>
      <c r="O123" s="12"/>
      <c r="P123" s="12"/>
      <c r="Q123" s="12"/>
    </row>
    <row r="124" spans="5:17" x14ac:dyDescent="0.25">
      <c r="E124" s="13"/>
      <c r="F124" s="15" t="s">
        <v>8130</v>
      </c>
      <c r="G124" s="15"/>
      <c r="H124" s="15"/>
      <c r="I124" s="15"/>
      <c r="J124" s="15"/>
      <c r="K124" s="15"/>
      <c r="L124" s="15" t="s">
        <v>8131</v>
      </c>
      <c r="M124" s="15"/>
      <c r="N124" s="15"/>
      <c r="O124" s="15"/>
      <c r="P124" s="15"/>
      <c r="Q124" s="15"/>
    </row>
    <row r="125" spans="5:17" x14ac:dyDescent="0.25">
      <c r="E125" s="14"/>
      <c r="F125" s="2" t="s">
        <v>0</v>
      </c>
      <c r="G125" s="2" t="s">
        <v>1</v>
      </c>
      <c r="H125" s="2" t="s">
        <v>2</v>
      </c>
      <c r="I125" s="2" t="s">
        <v>3</v>
      </c>
      <c r="J125" s="2" t="s">
        <v>8128</v>
      </c>
      <c r="K125" s="2" t="s">
        <v>4</v>
      </c>
      <c r="L125" s="2" t="s">
        <v>0</v>
      </c>
      <c r="M125" s="2" t="s">
        <v>1</v>
      </c>
      <c r="N125" s="2" t="s">
        <v>2</v>
      </c>
      <c r="O125" s="2" t="s">
        <v>3</v>
      </c>
      <c r="P125" s="2" t="s">
        <v>8128</v>
      </c>
      <c r="Q125" s="2" t="s">
        <v>4</v>
      </c>
    </row>
    <row r="126" spans="5:17" x14ac:dyDescent="0.25">
      <c r="E126" s="2" t="s">
        <v>5</v>
      </c>
      <c r="F126" s="1">
        <f>SUMIFS('WH+RT PREVIOUS'!$M$2:$M$15000,'WH+RT PREVIOUS'!$B$2:$B$15000,"N.C.Urea(45kg)",'WH+RT PREVIOUS'!$S$2:$S$15000,"MS S K DUTTA",'WH+RT PREVIOUS'!$N$2:$N$15000,"&gt;179",'WH+RT PREVIOUS'!$N$2:$N$15000,"&lt;366")</f>
        <v>6.8650000000000002</v>
      </c>
      <c r="G126" s="1">
        <f>SUMIFS('WH+RT PREVIOUS'!$M$2:$M$15000,'WH+RT PREVIOUS'!$B$2:$B$15000,"15-15-15",'WH+RT PREVIOUS'!$S$2:$S$15000,"MS S K DUTTA",'WH+RT PREVIOUS'!$N$2:$N$15000,"&gt;179",'WH+RT PREVIOUS'!$N$2:$N$15000,"&lt;366")</f>
        <v>14.281999999999996</v>
      </c>
      <c r="H126" s="1">
        <f>SUMIFS('WH+RT PREVIOUS'!$M$2:$M$15000,'WH+RT PREVIOUS'!$B$2:$B$15000,"Imp 10-26-26",'WH+RT PREVIOUS'!$S$2:$S$15000,"MS S K DUTTA",'WH+RT PREVIOUS'!$N$2:$N$15000,"&gt;179",'WH+RT PREVIOUS'!$N$2:$N$15000,"&lt;366")</f>
        <v>2.3499999999999996</v>
      </c>
      <c r="I126" s="1">
        <f>SUMIFS('WH+RT PREVIOUS'!$M$2:$M$15000,'WH+RT PREVIOUS'!$B$2:$B$15000,"MOP",'WH+RT PREVIOUS'!$S$2:$S$15000,"MS S K DUTTA",'WH+RT PREVIOUS'!$N$2:$N$15000,"&gt;179",'WH+RT PREVIOUS'!$N$2:$N$15000,"&lt;366")</f>
        <v>3.95</v>
      </c>
      <c r="J126" s="1">
        <f>SUMIFS('WH+RT PREVIOUS'!$M$2:$M$15000,'WH+RT PREVIOUS'!$B$2:$B$15000,"Imp DAP",'WH+RT PREVIOUS'!$S$2:$S$15000,"MS S K DUTTA",'WH+RT PREVIOUS'!$N$2:$N$15000,"&gt;179",'WH+RT PREVIOUS'!$N$2:$N$15000,"&lt;366")</f>
        <v>0</v>
      </c>
      <c r="K126" s="1">
        <f>F126+G126+H126+I126+J126</f>
        <v>27.446999999999999</v>
      </c>
      <c r="L126" s="1">
        <f>SUMIFS('WH+RT CURRENT'!$M$2:$M$15000,'WH+RT CURRENT'!$B$2:$B$15000,"N.C.Urea(45kg)",'WH+RT CURRENT'!$S$2:$S$15000,"MS S K DUTTA",'WH+RT CURRENT'!$N$2:$N$15000,"&gt;179",'WH+RT CURRENT'!$N$2:$N$15000,"&lt;366")</f>
        <v>7.1700000000000008</v>
      </c>
      <c r="M126" s="1">
        <f>SUMIFS('WH+RT CURRENT'!$M$2:$M$15000,'WH+RT CURRENT'!$B$2:$B$15000,"15-15-15",'WH+RT CURRENT'!$S$2:$S$15000,"MS S K DUTTA",'WH+RT CURRENT'!$N$2:$N$15000,"&gt;179",'WH+RT CURRENT'!$N$2:$N$15000,"&lt;366")</f>
        <v>17.106999999999999</v>
      </c>
      <c r="N126" s="1">
        <f>SUMIFS('WH+RT CURRENT'!$M$2:$M$15000,'WH+RT CURRENT'!$B$2:$B$15000,"Imp 10-26-26",'WH+RT CURRENT'!$S$2:$S$15000,"MS S K DUTTA",'WH+RT CURRENT'!$N$2:$N$15000,"&gt;179",'WH+RT CURRENT'!$N$2:$N$15000,"&lt;366")</f>
        <v>2.35</v>
      </c>
      <c r="O126" s="1">
        <f>SUMIFS('WH+RT CURRENT'!$M$2:$M$15000,'WH+RT CURRENT'!$B$2:$B$15000,"MOP",'WH+RT CURRENT'!$S$2:$S$15000,"MS S K DUTTA",'WH+RT CURRENT'!$N$2:$N$15000,"&gt;179",'WH+RT CURRENT'!$N$2:$N$15000,"&lt;366")</f>
        <v>3.95</v>
      </c>
      <c r="P126" s="1">
        <f>SUMIFS('WH+RT CURRENT'!$M$2:$M$15000,'WH+RT CURRENT'!$B$2:$B$15000,"Imp DAP",'WH+RT CURRENT'!$S$2:$S$15000,"MS S K DUTTA",'WH+RT CURRENT'!$N$2:$N$15000,"&gt;179",'WH+RT CURRENT'!$N$2:$N$15000,"&lt;366")</f>
        <v>0</v>
      </c>
      <c r="Q126" s="1">
        <f>L126+M126+N126+O126+P126</f>
        <v>30.577000000000002</v>
      </c>
    </row>
    <row r="127" spans="5:17" x14ac:dyDescent="0.25">
      <c r="E127" s="2" t="s">
        <v>6</v>
      </c>
      <c r="F127" s="1">
        <f>SUMIFS('WH+RT PREVIOUS'!$M$2:$M$15000,'WH+RT PREVIOUS'!$B$2:$B$15000,"N.C.Urea(45kg)",'WH+RT PREVIOUS'!$S$2:$S$15000,"MS S K DUTTA",'WH+RT PREVIOUS'!$N$2:$N$15000,"&gt;365")</f>
        <v>8.5249999999999986</v>
      </c>
      <c r="G127" s="1">
        <f>SUMIFS('WH+RT PREVIOUS'!$M$2:$M$15000,'WH+RT PREVIOUS'!$B$2:$B$15000,"15-15-15",'WH+RT PREVIOUS'!$S$2:$S$15000,"MS S K DUTTA",'WH+RT PREVIOUS'!$N$2:$N$15000,"&gt;365")</f>
        <v>5.7700000000000005</v>
      </c>
      <c r="H127" s="1">
        <f>SUMIFS('WH+RT PREVIOUS'!$M$2:$M$15000,'WH+RT PREVIOUS'!$B$2:$B$15000,"Imp 10-26-26",'WH+RT PREVIOUS'!$S$2:$S$15000,"MS S K DUTTA",'WH+RT PREVIOUS'!$N$2:$N$15000,"&gt;365")</f>
        <v>1</v>
      </c>
      <c r="I127" s="1">
        <f>SUMIFS('WH+RT PREVIOUS'!$M$2:$M$15000,'WH+RT PREVIOUS'!$B$2:$B$15000,"MOP",'WH+RT PREVIOUS'!$S$2:$S$15000,"MS S K DUTTA",'WH+RT PREVIOUS'!$N$2:$N$15000,"&gt;365")</f>
        <v>0.6</v>
      </c>
      <c r="J127" s="1">
        <f>SUMIFS('WH+RT PREVIOUS'!$M$2:$M$15000,'WH+RT PREVIOUS'!$B$2:$B$15000,"Imp DAP",'WH+RT PREVIOUS'!$S$2:$S$15000,"MS S K DUTTA",'WH+RT PREVIOUS'!$N$2:$N$15000,"&gt;365")</f>
        <v>0</v>
      </c>
      <c r="K127" s="1">
        <f>F127+G127+H127+I127+J127</f>
        <v>15.894999999999998</v>
      </c>
      <c r="L127" s="1">
        <f>SUMIFS('WH+RT CURRENT'!$M$2:$M$15000,'WH+RT CURRENT'!$B$2:$B$15000,"N.C.Urea(45kg)",'WH+RT CURRENT'!$S$2:$S$15000,"MS S K DUTTA",'WH+RT CURRENT'!$N$2:$N$15000,"&gt;365")</f>
        <v>8.58</v>
      </c>
      <c r="M127" s="1">
        <f>SUMIFS('WH+RT CURRENT'!$M$2:$M$15000,'WH+RT CURRENT'!$B$2:$B$15000,"15-15-15",'WH+RT CURRENT'!$S$2:$S$15000,"MS S K DUTTA",'WH+RT CURRENT'!$N$2:$N$15000,"&gt;365")</f>
        <v>5.77</v>
      </c>
      <c r="N127" s="1">
        <f>SUMIFS('WH+RT CURRENT'!$M$2:$M$15000,'WH+RT CURRENT'!$B$2:$B$15000,"Imp 10-26-26",'WH+RT CURRENT'!$S$2:$S$15000,"MS S K DUTTA",'WH+RT CURRENT'!$N$2:$N$15000,"&gt;365")</f>
        <v>1</v>
      </c>
      <c r="O127" s="1">
        <f>SUMIFS('WH+RT CURRENT'!$M$2:$M$15000,'WH+RT CURRENT'!$B$2:$B$15000,"MOP",'WH+RT CURRENT'!$S$2:$S$15000,"MS S K DUTTA",'WH+RT CURRENT'!$N$2:$N$15000,"&gt;365")</f>
        <v>0.6</v>
      </c>
      <c r="P127" s="1">
        <f>SUMIFS('WH+RT CURRENT'!$M$2:$M$15000,'WH+RT CURRENT'!$B$2:$B$15000,"Imp DAP",'WH+RT CURRENT'!$S$2:$S$15000,"MS S K DUTTA",'WH+RT CURRENT'!$N$2:$N$15000,"&gt;365")</f>
        <v>0</v>
      </c>
      <c r="Q127" s="1">
        <f>L127+M127+N127+O127+P127</f>
        <v>15.95</v>
      </c>
    </row>
    <row r="128" spans="5:17" x14ac:dyDescent="0.25">
      <c r="E128" s="2" t="s">
        <v>7</v>
      </c>
      <c r="F128" s="1">
        <f>F126+F127</f>
        <v>15.389999999999999</v>
      </c>
      <c r="G128" s="1">
        <f>G126+G127</f>
        <v>20.051999999999996</v>
      </c>
      <c r="H128" s="1">
        <f>H126+H127</f>
        <v>3.3499999999999996</v>
      </c>
      <c r="I128" s="1">
        <f>I126+I127</f>
        <v>4.55</v>
      </c>
      <c r="J128" s="1">
        <f>J126+J127</f>
        <v>0</v>
      </c>
      <c r="K128" s="1">
        <f>F128+G128+H128+I128+J128</f>
        <v>43.341999999999992</v>
      </c>
      <c r="L128" s="1">
        <f>L126+L127</f>
        <v>15.75</v>
      </c>
      <c r="M128" s="1">
        <f>M126+M127</f>
        <v>22.876999999999999</v>
      </c>
      <c r="N128" s="1">
        <f>N126+N127</f>
        <v>3.35</v>
      </c>
      <c r="O128" s="1">
        <f>O126+O127</f>
        <v>4.55</v>
      </c>
      <c r="P128" s="1">
        <f>P126+P127</f>
        <v>0</v>
      </c>
      <c r="Q128" s="1">
        <f>L128+M128+N128+O128+P128</f>
        <v>46.526999999999994</v>
      </c>
    </row>
    <row r="129" spans="5:17" x14ac:dyDescent="0.25">
      <c r="E129" s="2" t="s">
        <v>9</v>
      </c>
      <c r="F129" s="1">
        <f>SUMIFS('WH+RT PREVIOUS'!$M$2:$M$15000,'WH+RT PREVIOUS'!$B$2:$B$15000,"N.C.Urea(45kg)",'WH+RT PREVIOUS'!$S$2:$S$15000,"MS S K DUTTA")</f>
        <v>62.888000000000027</v>
      </c>
      <c r="G129" s="1">
        <f>SUMIFS('WH+RT PREVIOUS'!$M$2:$M$15000,'WH+RT PREVIOUS'!$B$2:$B$15000,"15-15-15",'WH+RT PREVIOUS'!$S$2:$S$15000,"MS S K DUTTA")</f>
        <v>71.121999999999971</v>
      </c>
      <c r="H129" s="1">
        <f>SUMIFS('WH+RT PREVIOUS'!$M$2:$M$15000,'WH+RT PREVIOUS'!$B$2:$B$15000,"Imp 10-26-26",'WH+RT PREVIOUS'!$S$2:$S$15000,"MS S K DUTTA")</f>
        <v>15.100000000000001</v>
      </c>
      <c r="I129" s="1">
        <f>SUMIFS('WH+RT PREVIOUS'!$M$2:$M$15000,'WH+RT PREVIOUS'!$B$2:$B$15000,"MOP",'WH+RT PREVIOUS'!$S$2:$S$15000,"MS S K DUTTA")</f>
        <v>13.6</v>
      </c>
      <c r="J129" s="1">
        <f>SUMIFS('WH+RT PREVIOUS'!$M$2:$M$15000,'WH+RT PREVIOUS'!$B$2:$B$15000,"Imp DAP",'WH+RT PREVIOUS'!$S$2:$S$15000,"MS S K DUTTA")</f>
        <v>0</v>
      </c>
      <c r="K129" s="1">
        <f>F129+G129+H129+I129+J129</f>
        <v>162.70999999999998</v>
      </c>
      <c r="L129" s="1">
        <f>SUMIFS('WH+RT CURRENT'!$M$2:$M$15000,'WH+RT CURRENT'!$B$2:$B$15000,"N.C.Urea(45kg)",'WH+RT CURRENT'!$S$2:$S$15000,"MS S K DUTTA")</f>
        <v>59.963000000000022</v>
      </c>
      <c r="M129" s="1">
        <f>SUMIFS('WH+RT CURRENT'!$M$2:$M$15000,'WH+RT CURRENT'!$B$2:$B$15000,"15-15-15",'WH+RT CURRENT'!$S$2:$S$15000,"MS S K DUTTA")</f>
        <v>68.771999999999991</v>
      </c>
      <c r="N129" s="1">
        <f>SUMIFS('WH+RT CURRENT'!$M$2:$M$15000,'WH+RT CURRENT'!$B$2:$B$15000,"Imp 10-26-26",'WH+RT CURRENT'!$S$2:$S$15000,"MS S K DUTTA")</f>
        <v>15.100000000000001</v>
      </c>
      <c r="O129" s="1">
        <f>SUMIFS('WH+RT CURRENT'!$M$2:$M$15000,'WH+RT CURRENT'!$B$2:$B$15000,"MOP",'WH+RT CURRENT'!$S$2:$S$15000,"MS S K DUTTA")</f>
        <v>13.6</v>
      </c>
      <c r="P129" s="1">
        <f>SUMIFS('WH+RT CURRENT'!$M$2:$M$15000,'WH+RT CURRENT'!$B$2:$B$15000,"Imp DAP",'WH+RT CURRENT'!$S$2:$S$15000,"MS S K DUTTA")</f>
        <v>0</v>
      </c>
      <c r="Q129" s="1">
        <f>L129+M129+N129+O129+P129</f>
        <v>157.435</v>
      </c>
    </row>
    <row r="132" spans="5:17" x14ac:dyDescent="0.25">
      <c r="E132" s="12" t="s">
        <v>8140</v>
      </c>
      <c r="F132" s="12"/>
      <c r="G132" s="12"/>
      <c r="H132" s="12"/>
      <c r="I132" s="12"/>
      <c r="J132" s="12"/>
      <c r="K132" s="12"/>
      <c r="L132" s="12"/>
      <c r="M132" s="12"/>
      <c r="N132" s="12"/>
      <c r="O132" s="12"/>
      <c r="P132" s="12"/>
      <c r="Q132" s="12"/>
    </row>
    <row r="133" spans="5:17" x14ac:dyDescent="0.25">
      <c r="E133" s="13"/>
      <c r="F133" s="15" t="s">
        <v>8130</v>
      </c>
      <c r="G133" s="15"/>
      <c r="H133" s="15"/>
      <c r="I133" s="15"/>
      <c r="J133" s="15"/>
      <c r="K133" s="15"/>
      <c r="L133" s="15" t="s">
        <v>8131</v>
      </c>
      <c r="M133" s="15"/>
      <c r="N133" s="15"/>
      <c r="O133" s="15"/>
      <c r="P133" s="15"/>
      <c r="Q133" s="15"/>
    </row>
    <row r="134" spans="5:17" x14ac:dyDescent="0.25">
      <c r="E134" s="14"/>
      <c r="F134" s="2" t="s">
        <v>0</v>
      </c>
      <c r="G134" s="2" t="s">
        <v>1</v>
      </c>
      <c r="H134" s="2" t="s">
        <v>2</v>
      </c>
      <c r="I134" s="2" t="s">
        <v>3</v>
      </c>
      <c r="J134" s="2" t="s">
        <v>8128</v>
      </c>
      <c r="K134" s="2" t="s">
        <v>4</v>
      </c>
      <c r="L134" s="2" t="s">
        <v>0</v>
      </c>
      <c r="M134" s="2" t="s">
        <v>1</v>
      </c>
      <c r="N134" s="2" t="s">
        <v>2</v>
      </c>
      <c r="O134" s="2" t="s">
        <v>3</v>
      </c>
      <c r="P134" s="2" t="s">
        <v>8128</v>
      </c>
      <c r="Q134" s="2" t="s">
        <v>4</v>
      </c>
    </row>
    <row r="135" spans="5:17" x14ac:dyDescent="0.25">
      <c r="E135" s="2" t="s">
        <v>5</v>
      </c>
      <c r="F135" s="1">
        <f>SUMIFS('WH+RT PREVIOUS'!$M$2:$M$15000,'WH+RT PREVIOUS'!$B$2:$B$15000,"N.C.Urea(45kg)",'WH+RT PREVIOUS'!$S$2:$S$15000,"SatyaRanjan Kundu and Brothers",'WH+RT PREVIOUS'!$N$2:$N$15000,"&gt;179",'WH+RT PREVIOUS'!$N$2:$N$15000,"&lt;366")</f>
        <v>55.640999999999984</v>
      </c>
      <c r="G135" s="1">
        <f>SUMIFS('WH+RT PREVIOUS'!$M$2:$M$15000,'WH+RT PREVIOUS'!$B$2:$B$15000,"15-15-15",'WH+RT PREVIOUS'!$S$2:$S$15000,"SatyaRanjan Kundu and Brothers",'WH+RT PREVIOUS'!$N$2:$N$15000,"&gt;179",'WH+RT PREVIOUS'!$N$2:$N$15000,"&lt;366")</f>
        <v>27.602000000000004</v>
      </c>
      <c r="H135" s="1">
        <f>SUMIFS('WH+RT PREVIOUS'!$M$2:$M$15000,'WH+RT PREVIOUS'!$B$2:$B$15000,"Imp 10-26-26",'WH+RT PREVIOUS'!$S$2:$S$15000,"SatyaRanjan Kundu and Brothers",'WH+RT PREVIOUS'!$N$2:$N$15000,"&gt;179",'WH+RT PREVIOUS'!$N$2:$N$15000,"&lt;366")</f>
        <v>0</v>
      </c>
      <c r="I135" s="1">
        <f>SUMIFS('WH+RT PREVIOUS'!$M$2:$M$15000,'WH+RT PREVIOUS'!$B$2:$B$15000,"MOP",'WH+RT PREVIOUS'!$S$2:$S$15000,"SatyaRanjan Kundu and Brothers",'WH+RT PREVIOUS'!$N$2:$N$15000,"&gt;179",'WH+RT PREVIOUS'!$N$2:$N$15000,"&lt;366")</f>
        <v>0</v>
      </c>
      <c r="J135" s="1">
        <f>SUMIFS('WH+RT PREVIOUS'!$M$2:$M$15000,'WH+RT PREVIOUS'!$B$2:$B$15000,"Imp DAP",'WH+RT PREVIOUS'!$S$2:$S$15000,"SatyaRanjan Kundu and Brothers",'WH+RT PREVIOUS'!$N$2:$N$15000,"&gt;179",'WH+RT PREVIOUS'!$N$2:$N$15000,"&lt;366")</f>
        <v>0</v>
      </c>
      <c r="K135" s="1">
        <f>F135+G135+H135+I135+J135</f>
        <v>83.242999999999995</v>
      </c>
      <c r="L135" s="1">
        <f>SUMIFS('WH+RT CURRENT'!$M$2:$M$15000,'WH+RT CURRENT'!$B$2:$B$15000,"N.C.Urea(45kg)",'WH+RT CURRENT'!$S$2:$S$15000,"SatyaRanjan Kundu and Brothers",'WH+RT CURRENT'!$N$2:$N$15000,"&gt;179",'WH+RT CURRENT'!$N$2:$N$15000,"&lt;366")</f>
        <v>57.575999999999993</v>
      </c>
      <c r="M135" s="1">
        <f>SUMIFS('WH+RT CURRENT'!$M$2:$M$15000,'WH+RT CURRENT'!$B$2:$B$15000,"15-15-15",'WH+RT CURRENT'!$S$2:$S$15000,"SatyaRanjan Kundu and Brothers",'WH+RT CURRENT'!$N$2:$N$15000,"&gt;179",'WH+RT CURRENT'!$N$2:$N$15000,"&lt;366")</f>
        <v>30.007000000000001</v>
      </c>
      <c r="N135" s="1">
        <f>SUMIFS('WH+RT CURRENT'!$M$2:$M$15000,'WH+RT CURRENT'!$B$2:$B$15000,"Imp 10-26-26",'WH+RT CURRENT'!$S$2:$S$15000,"SatyaRanjan Kundu and Brothers",'WH+RT CURRENT'!$N$2:$N$15000,"&gt;179",'WH+RT CURRENT'!$N$2:$N$15000,"&lt;366")</f>
        <v>0</v>
      </c>
      <c r="O135" s="1">
        <f>SUMIFS('WH+RT CURRENT'!$M$2:$M$15000,'WH+RT CURRENT'!$B$2:$B$15000,"MOP",'WH+RT CURRENT'!$S$2:$S$15000,"SatyaRanjan Kundu and Brothers",'WH+RT CURRENT'!$N$2:$N$15000,"&gt;179",'WH+RT CURRENT'!$N$2:$N$15000,"&lt;366")</f>
        <v>0</v>
      </c>
      <c r="P135" s="1">
        <f>SUMIFS('WH+RT CURRENT'!$M$2:$M$15000,'WH+RT CURRENT'!$B$2:$B$15000,"Imp DAP",'WH+RT CURRENT'!$S$2:$S$15000,"SatyaRanjan Kundu and Brothers",'WH+RT CURRENT'!$N$2:$N$15000,"&gt;179",'WH+RT CURRENT'!$N$2:$N$15000,"&lt;366")</f>
        <v>0</v>
      </c>
      <c r="Q135" s="1">
        <f>L135+M135+N135+O135+P135</f>
        <v>87.582999999999998</v>
      </c>
    </row>
    <row r="136" spans="5:17" x14ac:dyDescent="0.25">
      <c r="E136" s="2" t="s">
        <v>6</v>
      </c>
      <c r="F136" s="1">
        <f>SUMIFS('WH+RT PREVIOUS'!$M$2:$M$15000,'WH+RT PREVIOUS'!$B$2:$B$15000,"N.C.Urea(45kg)",'WH+RT PREVIOUS'!$S$2:$S$15000,"SatyaRanjan Kundu and Brothers",'WH+RT PREVIOUS'!$N$2:$N$15000,"&gt;365")</f>
        <v>26.649000000000004</v>
      </c>
      <c r="G136" s="1">
        <f>SUMIFS('WH+RT PREVIOUS'!$M$2:$M$15000,'WH+RT PREVIOUS'!$B$2:$B$15000,"15-15-15",'WH+RT PREVIOUS'!$S$2:$S$15000,"SatyaRanjan Kundu and Brothers",'WH+RT PREVIOUS'!$N$2:$N$15000,"&gt;365")</f>
        <v>17.657</v>
      </c>
      <c r="H136" s="1">
        <f>SUMIFS('WH+RT PREVIOUS'!$M$2:$M$15000,'WH+RT PREVIOUS'!$B$2:$B$15000,"Imp 10-26-26",'WH+RT PREVIOUS'!$S$2:$S$15000,"SatyaRanjan Kundu and Brothers",'WH+RT PREVIOUS'!$N$2:$N$15000,"&gt;365")</f>
        <v>0</v>
      </c>
      <c r="I136" s="1">
        <f>SUMIFS('WH+RT PREVIOUS'!$M$2:$M$15000,'WH+RT PREVIOUS'!$B$2:$B$15000,"MOP",'WH+RT PREVIOUS'!$S$2:$S$15000,"SatyaRanjan Kundu and Brothers",'WH+RT PREVIOUS'!$N$2:$N$15000,"&gt;365")</f>
        <v>0</v>
      </c>
      <c r="J136" s="1">
        <f>SUMIFS('WH+RT PREVIOUS'!$M$2:$M$15000,'WH+RT PREVIOUS'!$B$2:$B$15000,"Imp DAP",'WH+RT PREVIOUS'!$S$2:$S$15000,"SatyaRanjan Kundu and Brothers",'WH+RT PREVIOUS'!$N$2:$N$15000,"&gt;365")</f>
        <v>0</v>
      </c>
      <c r="K136" s="1">
        <f>F136+G136+H136+I136+J136</f>
        <v>44.306000000000004</v>
      </c>
      <c r="L136" s="1">
        <f>SUMIFS('WH+RT CURRENT'!$M$2:$M$15000,'WH+RT CURRENT'!$B$2:$B$15000,"N.C.Urea(45kg)",'WH+RT CURRENT'!$S$2:$S$15000,"SatyaRanjan Kundu and Brothers",'WH+RT CURRENT'!$N$2:$N$15000,"&gt;365")</f>
        <v>26.649000000000001</v>
      </c>
      <c r="M136" s="1">
        <f>SUMIFS('WH+RT CURRENT'!$M$2:$M$15000,'WH+RT CURRENT'!$B$2:$B$15000,"15-15-15",'WH+RT CURRENT'!$S$2:$S$15000,"SatyaRanjan Kundu and Brothers",'WH+RT CURRENT'!$N$2:$N$15000,"&gt;365")</f>
        <v>17.641999999999999</v>
      </c>
      <c r="N136" s="1">
        <f>SUMIFS('WH+RT CURRENT'!$M$2:$M$15000,'WH+RT CURRENT'!$B$2:$B$15000,"Imp 10-26-26",'WH+RT CURRENT'!$S$2:$S$15000,"SatyaRanjan Kundu and Brothers",'WH+RT CURRENT'!$N$2:$N$15000,"&gt;365")</f>
        <v>0</v>
      </c>
      <c r="O136" s="1">
        <f>SUMIFS('WH+RT CURRENT'!$M$2:$M$15000,'WH+RT CURRENT'!$B$2:$B$15000,"MOP",'WH+RT CURRENT'!$S$2:$S$15000,"SatyaRanjan Kundu and Brothers",'WH+RT CURRENT'!$N$2:$N$15000,"&gt;365")</f>
        <v>0</v>
      </c>
      <c r="P136" s="1">
        <f>SUMIFS('WH+RT CURRENT'!$M$2:$M$15000,'WH+RT CURRENT'!$B$2:$B$15000,"Imp DAP",'WH+RT CURRENT'!$S$2:$S$15000,"SatyaRanjan Kundu and Brothers",'WH+RT CURRENT'!$N$2:$N$15000,"&gt;365")</f>
        <v>0</v>
      </c>
      <c r="Q136" s="1">
        <f>L136+M136+N136+O136+P136</f>
        <v>44.290999999999997</v>
      </c>
    </row>
    <row r="137" spans="5:17" x14ac:dyDescent="0.25">
      <c r="E137" s="2" t="s">
        <v>7</v>
      </c>
      <c r="F137" s="1">
        <f>F135+F136</f>
        <v>82.289999999999992</v>
      </c>
      <c r="G137" s="1">
        <f>G135+G136</f>
        <v>45.259</v>
      </c>
      <c r="H137" s="1">
        <f>H135+H136</f>
        <v>0</v>
      </c>
      <c r="I137" s="1">
        <f>I135+I136</f>
        <v>0</v>
      </c>
      <c r="J137" s="1">
        <f>J135+J136</f>
        <v>0</v>
      </c>
      <c r="K137" s="1">
        <f>F137+G137+H137+I137+J137</f>
        <v>127.54899999999999</v>
      </c>
      <c r="L137" s="1">
        <f>L135+L136</f>
        <v>84.224999999999994</v>
      </c>
      <c r="M137" s="1">
        <f>M135+M136</f>
        <v>47.649000000000001</v>
      </c>
      <c r="N137" s="1">
        <f>N135+N136</f>
        <v>0</v>
      </c>
      <c r="O137" s="1">
        <f>O135+O136</f>
        <v>0</v>
      </c>
      <c r="P137" s="1">
        <f>P135+P136</f>
        <v>0</v>
      </c>
      <c r="Q137" s="1">
        <f>L137+M137+N137+O137+P137</f>
        <v>131.874</v>
      </c>
    </row>
    <row r="138" spans="5:17" x14ac:dyDescent="0.25">
      <c r="E138" s="2" t="s">
        <v>9</v>
      </c>
      <c r="F138" s="1">
        <f>SUMIFS('WH+RT PREVIOUS'!$M$2:$M$15000,'WH+RT PREVIOUS'!$B$2:$B$15000,"N.C.Urea(45kg)",'WH+RT PREVIOUS'!$S$2:$S$15000,"SatyaRanjan Kundu and Brothers")</f>
        <v>379.06100000000009</v>
      </c>
      <c r="G138" s="1">
        <f>SUMIFS('WH+RT PREVIOUS'!$M$2:$M$15000,'WH+RT PREVIOUS'!$B$2:$B$15000,"15-15-15",'WH+RT PREVIOUS'!$S$2:$S$15000,"SatyaRanjan Kundu and Brothers")</f>
        <v>254.63900000000004</v>
      </c>
      <c r="H138" s="1">
        <f>SUMIFS('WH+RT PREVIOUS'!$M$2:$M$15000,'WH+RT PREVIOUS'!$B$2:$B$15000,"Imp 10-26-26",'WH+RT PREVIOUS'!$S$2:$S$15000,"SatyaRanjan Kundu and Brothers")</f>
        <v>0</v>
      </c>
      <c r="I138" s="1">
        <f>SUMIFS('WH+RT PREVIOUS'!$M$2:$M$15000,'WH+RT PREVIOUS'!$B$2:$B$15000,"MOP",'WH+RT PREVIOUS'!$S$2:$S$15000,"SatyaRanjan Kundu and Brothers")</f>
        <v>153.6</v>
      </c>
      <c r="J138" s="1">
        <f>SUMIFS('WH+RT PREVIOUS'!$M$2:$M$15000,'WH+RT PREVIOUS'!$B$2:$B$15000,"Imp DAP",'WH+RT PREVIOUS'!$S$2:$S$15000,"SatyaRanjan Kundu and Brothers")</f>
        <v>0</v>
      </c>
      <c r="K138" s="1">
        <f>F138+G138+H138+I138+J138</f>
        <v>787.30000000000018</v>
      </c>
      <c r="L138" s="1">
        <f>SUMIFS('WH+RT CURRENT'!$M$2:$M$15000,'WH+RT CURRENT'!$B$2:$B$15000,"N.C.Urea(45kg)",'WH+RT CURRENT'!$S$2:$S$15000,"SatyaRanjan Kundu and Brothers")</f>
        <v>449.08100000000019</v>
      </c>
      <c r="M138" s="1">
        <f>SUMIFS('WH+RT CURRENT'!$M$2:$M$15000,'WH+RT CURRENT'!$B$2:$B$15000,"15-15-15",'WH+RT CURRENT'!$S$2:$S$15000,"SatyaRanjan Kundu and Brothers")</f>
        <v>241.05400000000003</v>
      </c>
      <c r="N138" s="1">
        <f>SUMIFS('WH+RT CURRENT'!$M$2:$M$15000,'WH+RT CURRENT'!$B$2:$B$15000,"Imp 10-26-26",'WH+RT CURRENT'!$S$2:$S$15000,"SatyaRanjan Kundu and Brothers")</f>
        <v>0</v>
      </c>
      <c r="O138" s="1">
        <f>SUMIFS('WH+RT CURRENT'!$M$2:$M$15000,'WH+RT CURRENT'!$B$2:$B$15000,"MOP",'WH+RT CURRENT'!$S$2:$S$15000,"SatyaRanjan Kundu and Brothers")</f>
        <v>147.04999999999998</v>
      </c>
      <c r="P138" s="1">
        <f>SUMIFS('WH+RT CURRENT'!$M$2:$M$15000,'WH+RT CURRENT'!$B$2:$B$15000,"Imp DAP",'WH+RT CURRENT'!$S$2:$S$15000,"SatyaRanjan Kundu and Brothers")</f>
        <v>0</v>
      </c>
      <c r="Q138" s="1">
        <f>L138+M138+N138+O138+P138</f>
        <v>837.18500000000017</v>
      </c>
    </row>
    <row r="141" spans="5:17" x14ac:dyDescent="0.25">
      <c r="E141" s="12" t="s">
        <v>1041</v>
      </c>
      <c r="F141" s="12"/>
      <c r="G141" s="12"/>
      <c r="H141" s="12"/>
      <c r="I141" s="12"/>
      <c r="J141" s="12"/>
      <c r="K141" s="12"/>
      <c r="L141" s="12"/>
      <c r="M141" s="12"/>
      <c r="N141" s="12"/>
      <c r="O141" s="12"/>
      <c r="P141" s="12"/>
      <c r="Q141" s="12"/>
    </row>
    <row r="142" spans="5:17" x14ac:dyDescent="0.25">
      <c r="E142" s="13"/>
      <c r="F142" s="15" t="s">
        <v>8130</v>
      </c>
      <c r="G142" s="15"/>
      <c r="H142" s="15"/>
      <c r="I142" s="15"/>
      <c r="J142" s="15"/>
      <c r="K142" s="15"/>
      <c r="L142" s="15" t="s">
        <v>8131</v>
      </c>
      <c r="M142" s="15"/>
      <c r="N142" s="15"/>
      <c r="O142" s="15"/>
      <c r="P142" s="15"/>
      <c r="Q142" s="15"/>
    </row>
    <row r="143" spans="5:17" x14ac:dyDescent="0.25">
      <c r="E143" s="14"/>
      <c r="F143" s="2" t="s">
        <v>0</v>
      </c>
      <c r="G143" s="2" t="s">
        <v>1</v>
      </c>
      <c r="H143" s="2" t="s">
        <v>2</v>
      </c>
      <c r="I143" s="2" t="s">
        <v>3</v>
      </c>
      <c r="J143" s="2" t="s">
        <v>8128</v>
      </c>
      <c r="K143" s="2" t="s">
        <v>4</v>
      </c>
      <c r="L143" s="2" t="s">
        <v>0</v>
      </c>
      <c r="M143" s="2" t="s">
        <v>1</v>
      </c>
      <c r="N143" s="2" t="s">
        <v>2</v>
      </c>
      <c r="O143" s="2" t="s">
        <v>3</v>
      </c>
      <c r="P143" s="2" t="s">
        <v>8128</v>
      </c>
      <c r="Q143" s="2" t="s">
        <v>4</v>
      </c>
    </row>
    <row r="144" spans="5:17" x14ac:dyDescent="0.25">
      <c r="E144" s="2" t="s">
        <v>5</v>
      </c>
      <c r="F144" s="1">
        <f>SUMIFS('WH+RT PREVIOUS'!$M$2:$M$15000,'WH+RT PREVIOUS'!$B$2:$B$15000,"N.C.Urea(45kg)",'WH+RT PREVIOUS'!$S$2:$S$15000,"Tarun Kumar Saha",'WH+RT PREVIOUS'!$N$2:$N$15000,"&gt;179",'WH+RT PREVIOUS'!$N$2:$N$15000,"&lt;366")</f>
        <v>3.33</v>
      </c>
      <c r="G144" s="1">
        <f>SUMIFS('WH+RT PREVIOUS'!$M$2:$M$15000,'WH+RT PREVIOUS'!$B$2:$B$15000,"15-15-15",'WH+RT PREVIOUS'!$S$2:$S$15000,"Tarun Kumar Saha",'WH+RT PREVIOUS'!$N$2:$N$15000,"&gt;179",'WH+RT PREVIOUS'!$N$2:$N$15000,"&lt;366")</f>
        <v>6.8449999999999998</v>
      </c>
      <c r="H144" s="1">
        <f>SUMIFS('WH+RT PREVIOUS'!$M$2:$M$15000,'WH+RT PREVIOUS'!$B$2:$B$15000,"Imp 10-26-26",'WH+RT PREVIOUS'!$S$2:$S$15000,"Tarun Kumar Saha",'WH+RT PREVIOUS'!$N$2:$N$15000,"&gt;179",'WH+RT PREVIOUS'!$N$2:$N$15000,"&lt;366")</f>
        <v>2.95</v>
      </c>
      <c r="I144" s="1">
        <f>SUMIFS('WH+RT PREVIOUS'!$M$2:$M$15000,'WH+RT PREVIOUS'!$B$2:$B$15000,"MOP",'WH+RT PREVIOUS'!$S$2:$S$15000,"Tarun Kumar Saha",'WH+RT PREVIOUS'!$N$2:$N$15000,"&gt;179",'WH+RT PREVIOUS'!$N$2:$N$15000,"&lt;366")</f>
        <v>0</v>
      </c>
      <c r="J144" s="1">
        <f>SUMIFS('WH+RT PREVIOUS'!$M$2:$M$15000,'WH+RT PREVIOUS'!$B$2:$B$15000,"Imp DAP",'WH+RT PREVIOUS'!$S$2:$S$15000,"Tarun Kumar Saha",'WH+RT PREVIOUS'!$N$2:$N$15000,"&gt;179",'WH+RT PREVIOUS'!$N$2:$N$15000,"&lt;366")</f>
        <v>0</v>
      </c>
      <c r="K144" s="1">
        <f>F144+G144+H144+I144+J144</f>
        <v>13.125</v>
      </c>
      <c r="L144" s="1">
        <f>SUMIFS('WH+RT CURRENT'!$M$2:$M$15000,'WH+RT CURRENT'!$B$2:$B$15000,"N.C.Urea(45kg)",'WH+RT CURRENT'!$S$2:$S$15000,"Tarun Kumar Saha",'WH+RT CURRENT'!$N$2:$N$15000,"&gt;179",'WH+RT CURRENT'!$N$2:$N$15000,"&lt;366")</f>
        <v>3.33</v>
      </c>
      <c r="M144" s="1">
        <f>SUMIFS('WH+RT CURRENT'!$M$2:$M$15000,'WH+RT CURRENT'!$B$2:$B$15000,"15-15-15",'WH+RT CURRENT'!$S$2:$S$15000,"Tarun Kumar Saha",'WH+RT CURRENT'!$N$2:$N$15000,"&gt;179",'WH+RT CURRENT'!$N$2:$N$15000,"&lt;366")</f>
        <v>6.8450000000000006</v>
      </c>
      <c r="N144" s="1">
        <f>SUMIFS('WH+RT CURRENT'!$M$2:$M$15000,'WH+RT CURRENT'!$B$2:$B$15000,"Imp 10-26-26",'WH+RT CURRENT'!$S$2:$S$15000,"Tarun Kumar Saha",'WH+RT CURRENT'!$N$2:$N$15000,"&gt;179",'WH+RT CURRENT'!$N$2:$N$15000,"&lt;366")</f>
        <v>2.95</v>
      </c>
      <c r="O144" s="1">
        <f>SUMIFS('WH+RT CURRENT'!$M$2:$M$15000,'WH+RT CURRENT'!$B$2:$B$15000,"MOP",'WH+RT CURRENT'!$S$2:$S$15000,"Tarun Kumar Saha",'WH+RT CURRENT'!$N$2:$N$15000,"&gt;179",'WH+RT CURRENT'!$N$2:$N$15000,"&lt;366")</f>
        <v>0</v>
      </c>
      <c r="P144" s="1">
        <f>SUMIFS('WH+RT CURRENT'!$M$2:$M$15000,'WH+RT CURRENT'!$B$2:$B$15000,"Imp DAP",'WH+RT CURRENT'!$S$2:$S$15000,"Tarun Kumar Saha",'WH+RT CURRENT'!$N$2:$N$15000,"&gt;179",'WH+RT CURRENT'!$N$2:$N$15000,"&lt;366")</f>
        <v>0</v>
      </c>
      <c r="Q144" s="1">
        <f>L144+M144+N144+O144+P144</f>
        <v>13.125</v>
      </c>
    </row>
    <row r="145" spans="5:17" x14ac:dyDescent="0.25">
      <c r="E145" s="2" t="s">
        <v>6</v>
      </c>
      <c r="F145" s="1">
        <f>SUMIFS('WH+RT PREVIOUS'!$M$2:$M$15000,'WH+RT PREVIOUS'!$B$2:$B$15000,"N.C.Urea(45kg)",'WH+RT PREVIOUS'!$S$2:$S$15000,"Tarun Kumar Saha",'WH+RT PREVIOUS'!$N$2:$N$15000,"&gt;365")</f>
        <v>11.004999999999999</v>
      </c>
      <c r="G145" s="1">
        <f>SUMIFS('WH+RT PREVIOUS'!$M$2:$M$15000,'WH+RT PREVIOUS'!$B$2:$B$15000,"15-15-15",'WH+RT PREVIOUS'!$S$2:$S$15000,"Tarun Kumar Saha",'WH+RT PREVIOUS'!$N$2:$N$15000,"&gt;365")</f>
        <v>9.0500000000000007</v>
      </c>
      <c r="H145" s="1">
        <f>SUMIFS('WH+RT PREVIOUS'!$M$2:$M$15000,'WH+RT PREVIOUS'!$B$2:$B$15000,"Imp 10-26-26",'WH+RT PREVIOUS'!$S$2:$S$15000,"Tarun Kumar Saha",'WH+RT PREVIOUS'!$N$2:$N$15000,"&gt;365")</f>
        <v>0.4</v>
      </c>
      <c r="I145" s="1">
        <f>SUMIFS('WH+RT PREVIOUS'!$M$2:$M$15000,'WH+RT PREVIOUS'!$B$2:$B$15000,"MOP",'WH+RT PREVIOUS'!$S$2:$S$15000,"Tarun Kumar Saha",'WH+RT PREVIOUS'!$N$2:$N$15000,"&gt;365")</f>
        <v>1.45</v>
      </c>
      <c r="J145" s="1">
        <f>SUMIFS('WH+RT PREVIOUS'!$M$2:$M$15000,'WH+RT PREVIOUS'!$B$2:$B$15000,"Imp DAP",'WH+RT PREVIOUS'!$S$2:$S$15000,"Tarun Kumar Saha",'WH+RT PREVIOUS'!$N$2:$N$15000,"&gt;365")</f>
        <v>0</v>
      </c>
      <c r="K145" s="1">
        <f>F145+G145+H145+I145+J145</f>
        <v>21.904999999999998</v>
      </c>
      <c r="L145" s="1">
        <f>SUMIFS('WH+RT CURRENT'!$M$2:$M$15000,'WH+RT CURRENT'!$B$2:$B$15000,"N.C.Urea(45kg)",'WH+RT CURRENT'!$S$2:$S$15000,"Tarun Kumar Saha",'WH+RT CURRENT'!$N$2:$N$15000,"&gt;365")</f>
        <v>11.005000000000001</v>
      </c>
      <c r="M145" s="1">
        <f>SUMIFS('WH+RT CURRENT'!$M$2:$M$15000,'WH+RT CURRENT'!$B$2:$B$15000,"15-15-15",'WH+RT CURRENT'!$S$2:$S$15000,"Tarun Kumar Saha",'WH+RT CURRENT'!$N$2:$N$15000,"&gt;365")</f>
        <v>9.0500000000000007</v>
      </c>
      <c r="N145" s="1">
        <f>SUMIFS('WH+RT CURRENT'!$M$2:$M$15000,'WH+RT CURRENT'!$B$2:$B$15000,"Imp 10-26-26",'WH+RT CURRENT'!$S$2:$S$15000,"Tarun Kumar Saha",'WH+RT CURRENT'!$N$2:$N$15000,"&gt;365")</f>
        <v>0.4</v>
      </c>
      <c r="O145" s="1">
        <f>SUMIFS('WH+RT CURRENT'!$M$2:$M$15000,'WH+RT CURRENT'!$B$2:$B$15000,"MOP",'WH+RT CURRENT'!$S$2:$S$15000,"Tarun Kumar Saha",'WH+RT CURRENT'!$N$2:$N$15000,"&gt;365")</f>
        <v>1.45</v>
      </c>
      <c r="P145" s="1">
        <f>SUMIFS('WH+RT CURRENT'!$M$2:$M$15000,'WH+RT CURRENT'!$B$2:$B$15000,"Imp DAP",'WH+RT CURRENT'!$S$2:$S$15000,"Tarun Kumar Saha",'WH+RT CURRENT'!$N$2:$N$15000,"&gt;365")</f>
        <v>0</v>
      </c>
      <c r="Q145" s="1">
        <f>L145+M145+N145+O145+P145</f>
        <v>21.904999999999998</v>
      </c>
    </row>
    <row r="146" spans="5:17" x14ac:dyDescent="0.25">
      <c r="E146" s="2" t="s">
        <v>7</v>
      </c>
      <c r="F146" s="1">
        <f>F144+F145</f>
        <v>14.334999999999999</v>
      </c>
      <c r="G146" s="1">
        <f>G144+G145</f>
        <v>15.895</v>
      </c>
      <c r="H146" s="1">
        <f>H144+H145</f>
        <v>3.35</v>
      </c>
      <c r="I146" s="1">
        <f>I144+I145</f>
        <v>1.45</v>
      </c>
      <c r="J146" s="1">
        <f>J144+J145</f>
        <v>0</v>
      </c>
      <c r="K146" s="1">
        <f>F146+G146+H146+I146+J146</f>
        <v>35.03</v>
      </c>
      <c r="L146" s="1">
        <f>L144+L145</f>
        <v>14.335000000000001</v>
      </c>
      <c r="M146" s="1">
        <f>M144+M145</f>
        <v>15.895000000000001</v>
      </c>
      <c r="N146" s="1">
        <f>N144+N145</f>
        <v>3.35</v>
      </c>
      <c r="O146" s="1">
        <f>O144+O145</f>
        <v>1.45</v>
      </c>
      <c r="P146" s="1">
        <f>P144+P145</f>
        <v>0</v>
      </c>
      <c r="Q146" s="1">
        <f>L146+M146+N146+O146+P146</f>
        <v>35.030000000000008</v>
      </c>
    </row>
    <row r="147" spans="5:17" x14ac:dyDescent="0.25">
      <c r="E147" s="2" t="s">
        <v>9</v>
      </c>
      <c r="F147" s="1">
        <f>SUMIFS('WH+RT PREVIOUS'!$M$2:$M$15000,'WH+RT PREVIOUS'!$B$2:$B$15000,"N.C.Urea(45kg)",'WH+RT PREVIOUS'!$S$2:$S$15000,"Tarun Kumar Saha")</f>
        <v>103.71</v>
      </c>
      <c r="G147" s="1">
        <f>SUMIFS('WH+RT PREVIOUS'!$M$2:$M$15000,'WH+RT PREVIOUS'!$B$2:$B$15000,"15-15-15",'WH+RT PREVIOUS'!$S$2:$S$15000,"Tarun Kumar Saha")</f>
        <v>57.045000000000009</v>
      </c>
      <c r="H147" s="1">
        <f>SUMIFS('WH+RT PREVIOUS'!$M$2:$M$15000,'WH+RT PREVIOUS'!$B$2:$B$15000,"Imp 10-26-26",'WH+RT PREVIOUS'!$S$2:$S$15000,"Tarun Kumar Saha")</f>
        <v>3.3499999999999996</v>
      </c>
      <c r="I147" s="1">
        <f>SUMIFS('WH+RT PREVIOUS'!$M$2:$M$15000,'WH+RT PREVIOUS'!$B$2:$B$15000,"MOP",'WH+RT PREVIOUS'!$S$2:$S$15000,"Tarun Kumar Saha")</f>
        <v>8.0500000000000007</v>
      </c>
      <c r="J147" s="1">
        <f>SUMIFS('WH+RT PREVIOUS'!$M$2:$M$15000,'WH+RT PREVIOUS'!$B$2:$B$15000,"Imp DAP",'WH+RT PREVIOUS'!$S$2:$S$15000,"Tarun Kumar Saha")</f>
        <v>0</v>
      </c>
      <c r="K147" s="1">
        <f>F147+G147+H147+I147+J147</f>
        <v>172.155</v>
      </c>
      <c r="L147" s="1">
        <f>SUMIFS('WH+RT CURRENT'!$M$2:$M$15000,'WH+RT CURRENT'!$B$2:$B$15000,"N.C.Urea(45kg)",'WH+RT CURRENT'!$S$2:$S$15000,"Tarun Kumar Saha")</f>
        <v>103.53</v>
      </c>
      <c r="M147" s="1">
        <f>SUMIFS('WH+RT CURRENT'!$M$2:$M$15000,'WH+RT CURRENT'!$B$2:$B$15000,"15-15-15",'WH+RT CURRENT'!$S$2:$S$15000,"Tarun Kumar Saha")</f>
        <v>55.194999999999993</v>
      </c>
      <c r="N147" s="1">
        <f>SUMIFS('WH+RT CURRENT'!$M$2:$M$15000,'WH+RT CURRENT'!$B$2:$B$15000,"Imp 10-26-26",'WH+RT CURRENT'!$S$2:$S$15000,"Tarun Kumar Saha")</f>
        <v>3.35</v>
      </c>
      <c r="O147" s="1">
        <f>SUMIFS('WH+RT CURRENT'!$M$2:$M$15000,'WH+RT CURRENT'!$B$2:$B$15000,"MOP",'WH+RT CURRENT'!$S$2:$S$15000,"Tarun Kumar Saha")</f>
        <v>8.0500000000000007</v>
      </c>
      <c r="P147" s="1">
        <f>SUMIFS('WH+RT CURRENT'!$M$2:$M$15000,'WH+RT CURRENT'!$B$2:$B$15000,"Imp DAP",'WH+RT CURRENT'!$S$2:$S$15000,"Tarun Kumar Saha")</f>
        <v>0</v>
      </c>
      <c r="Q147" s="1">
        <f>L147+M147+N147+O147+P147</f>
        <v>170.125</v>
      </c>
    </row>
    <row r="150" spans="5:17" x14ac:dyDescent="0.25">
      <c r="E150" s="12" t="s">
        <v>6717</v>
      </c>
      <c r="F150" s="12"/>
      <c r="G150" s="12"/>
      <c r="H150" s="12"/>
      <c r="I150" s="12"/>
      <c r="J150" s="12"/>
      <c r="K150" s="12"/>
      <c r="L150" s="12"/>
      <c r="M150" s="12"/>
      <c r="N150" s="12"/>
      <c r="O150" s="12"/>
      <c r="P150" s="12"/>
      <c r="Q150" s="12"/>
    </row>
    <row r="151" spans="5:17" x14ac:dyDescent="0.25">
      <c r="E151" s="13"/>
      <c r="F151" s="15" t="s">
        <v>8130</v>
      </c>
      <c r="G151" s="15"/>
      <c r="H151" s="15"/>
      <c r="I151" s="15"/>
      <c r="J151" s="15"/>
      <c r="K151" s="15"/>
      <c r="L151" s="15" t="s">
        <v>8131</v>
      </c>
      <c r="M151" s="15"/>
      <c r="N151" s="15"/>
      <c r="O151" s="15"/>
      <c r="P151" s="15"/>
      <c r="Q151" s="15"/>
    </row>
    <row r="152" spans="5:17" x14ac:dyDescent="0.25">
      <c r="E152" s="14"/>
      <c r="F152" s="2" t="s">
        <v>0</v>
      </c>
      <c r="G152" s="2" t="s">
        <v>1</v>
      </c>
      <c r="H152" s="2" t="s">
        <v>2</v>
      </c>
      <c r="I152" s="2" t="s">
        <v>3</v>
      </c>
      <c r="J152" s="2" t="s">
        <v>8128</v>
      </c>
      <c r="K152" s="2" t="s">
        <v>4</v>
      </c>
      <c r="L152" s="2" t="s">
        <v>0</v>
      </c>
      <c r="M152" s="2" t="s">
        <v>1</v>
      </c>
      <c r="N152" s="2" t="s">
        <v>2</v>
      </c>
      <c r="O152" s="2" t="s">
        <v>3</v>
      </c>
      <c r="P152" s="2" t="s">
        <v>8128</v>
      </c>
      <c r="Q152" s="2" t="s">
        <v>4</v>
      </c>
    </row>
    <row r="153" spans="5:17" x14ac:dyDescent="0.25">
      <c r="E153" s="2" t="s">
        <v>5</v>
      </c>
      <c r="F153" s="1">
        <f>SUMIFS('WH+RT PREVIOUS'!$M$2:$M$15000,'WH+RT PREVIOUS'!$B$2:$B$15000,"N.C.Urea(45kg)",'WH+RT PREVIOUS'!$S$2:$S$15000,"UMA RANI SAHA",'WH+RT PREVIOUS'!$N$2:$N$15000,"&gt;179",'WH+RT PREVIOUS'!$N$2:$N$15000,"&lt;366")</f>
        <v>11.205</v>
      </c>
      <c r="G153" s="1">
        <f>SUMIFS('WH+RT PREVIOUS'!$M$2:$M$15000,'WH+RT PREVIOUS'!$B$2:$B$15000,"15-15-15",'WH+RT PREVIOUS'!$S$2:$S$15000,"UMA RANI SAHA",'WH+RT PREVIOUS'!$N$2:$N$15000,"&gt;179",'WH+RT PREVIOUS'!$N$2:$N$15000,"&lt;366")</f>
        <v>4</v>
      </c>
      <c r="H153" s="1">
        <f>SUMIFS('WH+RT PREVIOUS'!$M$2:$M$15000,'WH+RT PREVIOUS'!$B$2:$B$15000,"Imp 10-26-26",'WH+RT PREVIOUS'!$S$2:$S$15000,"UMA RANI SAHA",'WH+RT PREVIOUS'!$N$2:$N$15000,"&gt;179",'WH+RT PREVIOUS'!$N$2:$N$15000,"&lt;366")</f>
        <v>0.4</v>
      </c>
      <c r="I153" s="1">
        <f>SUMIFS('WH+RT PREVIOUS'!$M$2:$M$15000,'WH+RT PREVIOUS'!$B$2:$B$15000,"MOP",'WH+RT PREVIOUS'!$S$2:$S$15000,"UMA RANI SAHA",'WH+RT PREVIOUS'!$N$2:$N$15000,"&gt;179",'WH+RT PREVIOUS'!$N$2:$N$15000,"&lt;366")</f>
        <v>0</v>
      </c>
      <c r="J153" s="1">
        <f>SUMIFS('WH+RT PREVIOUS'!$M$2:$M$15000,'WH+RT PREVIOUS'!$B$2:$B$15000,"Imp DAP",'WH+RT PREVIOUS'!$S$2:$S$15000,"UMA RANI SAHA",'WH+RT PREVIOUS'!$N$2:$N$15000,"&gt;179",'WH+RT PREVIOUS'!$N$2:$N$15000,"&lt;366")</f>
        <v>0</v>
      </c>
      <c r="K153" s="1">
        <f>F153+G153+H153+I153+J153</f>
        <v>15.605</v>
      </c>
      <c r="L153" s="1">
        <f>SUMIFS('WH+RT CURRENT'!$M$2:$M$15000,'WH+RT CURRENT'!$B$2:$B$15000,"N.C.Urea(45kg)",'WH+RT CURRENT'!$S$2:$S$15000,"UMA RANI SAHA",'WH+RT CURRENT'!$N$2:$N$15000,"&gt;179",'WH+RT CURRENT'!$N$2:$N$15000,"&lt;366")</f>
        <v>13.41</v>
      </c>
      <c r="M153" s="1">
        <f>SUMIFS('WH+RT CURRENT'!$M$2:$M$15000,'WH+RT CURRENT'!$B$2:$B$15000,"15-15-15",'WH+RT CURRENT'!$S$2:$S$15000,"UMA RANI SAHA",'WH+RT CURRENT'!$N$2:$N$15000,"&gt;179",'WH+RT CURRENT'!$N$2:$N$15000,"&lt;366")</f>
        <v>3.2</v>
      </c>
      <c r="N153" s="1">
        <f>SUMIFS('WH+RT CURRENT'!$M$2:$M$15000,'WH+RT CURRENT'!$B$2:$B$15000,"Imp 10-26-26",'WH+RT CURRENT'!$S$2:$S$15000,"UMA RANI SAHA",'WH+RT CURRENT'!$N$2:$N$15000,"&gt;179",'WH+RT CURRENT'!$N$2:$N$15000,"&lt;366")</f>
        <v>0.4</v>
      </c>
      <c r="O153" s="1">
        <f>SUMIFS('WH+RT CURRENT'!$M$2:$M$15000,'WH+RT CURRENT'!$B$2:$B$15000,"MOP",'WH+RT CURRENT'!$S$2:$S$15000,"UMA RANI SAHA",'WH+RT CURRENT'!$N$2:$N$15000,"&gt;179",'WH+RT CURRENT'!$N$2:$N$15000,"&lt;366")</f>
        <v>0</v>
      </c>
      <c r="P153" s="1">
        <f>SUMIFS('WH+RT CURRENT'!$M$2:$M$15000,'WH+RT CURRENT'!$B$2:$B$15000,"Imp DAP",'WH+RT CURRENT'!$S$2:$S$15000,"UMA RANI SAHAy",'WH+RT CURRENT'!$N$2:$N$15000,"&gt;179",'WH+RT CURRENT'!$N$2:$N$15000,"&lt;366")</f>
        <v>0</v>
      </c>
      <c r="Q153" s="1">
        <f>L153+M153+N153+O153+P153</f>
        <v>17.009999999999998</v>
      </c>
    </row>
    <row r="154" spans="5:17" x14ac:dyDescent="0.25">
      <c r="E154" s="2" t="s">
        <v>6</v>
      </c>
      <c r="F154" s="1">
        <f>SUMIFS('WH+RT PREVIOUS'!$M$2:$M$15000,'WH+RT PREVIOUS'!$B$2:$B$15000,"N.C.Urea(45kg)",'WH+RT PREVIOUS'!$S$2:$S$15000,"UMA RANI SAHA",'WH+RT PREVIOUS'!$N$2:$N$15000,"&gt;365")</f>
        <v>3.1949999999999998</v>
      </c>
      <c r="G154" s="1">
        <f>SUMIFS('WH+RT PREVIOUS'!$M$2:$M$15000,'WH+RT PREVIOUS'!$B$2:$B$15000,"15-15-15",'WH+RT PREVIOUS'!$S$2:$S$15000,"UMA RANI SAHA",'WH+RT PREVIOUS'!$N$2:$N$15000,"&gt;365")</f>
        <v>0.30000000000000004</v>
      </c>
      <c r="H154" s="1">
        <f>SUMIFS('WH+RT PREVIOUS'!$M$2:$M$15000,'WH+RT PREVIOUS'!$B$2:$B$15000,"Imp 10-26-26",'WH+RT PREVIOUS'!$S$2:$S$15000,"UMA RANI SAHA",'WH+RT PREVIOUS'!$N$2:$N$15000,"&gt;365")</f>
        <v>0</v>
      </c>
      <c r="I154" s="1">
        <f>SUMIFS('WH+RT PREVIOUS'!$M$2:$M$15000,'WH+RT PREVIOUS'!$B$2:$B$15000,"MOP",'WH+RT PREVIOUS'!$S$2:$S$15000,"UMA RANI SAHA",'WH+RT PREVIOUS'!$N$2:$N$15000,"&gt;365")</f>
        <v>0.23799999999999999</v>
      </c>
      <c r="J154" s="1">
        <f>SUMIFS('WH+RT PREVIOUS'!$M$2:$M$15000,'WH+RT PREVIOUS'!$B$2:$B$15000,"Imp DAP",'WH+RT PREVIOUS'!$S$2:$S$15000,"UMA RANI SAHA",'WH+RT PREVIOUS'!$N$2:$N$15000,"&gt;365")</f>
        <v>0</v>
      </c>
      <c r="K154" s="1">
        <f>F154+G154+H154+I154+J154</f>
        <v>3.7330000000000001</v>
      </c>
      <c r="L154" s="1">
        <f>SUMIFS('WH+RT CURRENT'!$M$2:$M$15000,'WH+RT CURRENT'!$B$2:$B$15000,"N.C.Urea(45kg)",'WH+RT CURRENT'!$S$2:$S$15000,"UMA RANI SAHA",'WH+RT CURRENT'!$N$2:$N$15000,"&gt;365")</f>
        <v>3.1949999999999998</v>
      </c>
      <c r="M154" s="1">
        <f>SUMIFS('WH+RT CURRENT'!$M$2:$M$15000,'WH+RT CURRENT'!$B$2:$B$15000,"15-15-15",'WH+RT CURRENT'!$S$2:$S$15000,"UMA RANI SAHA",'WH+RT CURRENT'!$N$2:$N$15000,"&gt;365")</f>
        <v>0.30000000000000004</v>
      </c>
      <c r="N154" s="1">
        <f>SUMIFS('WH+RT CURRENT'!$M$2:$M$15000,'WH+RT CURRENT'!$B$2:$B$15000,"Imp 10-26-26",'WH+RT CURRENT'!$S$2:$S$15000,"UMA RANI SAHA",'WH+RT CURRENT'!$N$2:$N$15000,"&gt;365")</f>
        <v>0</v>
      </c>
      <c r="O154" s="1">
        <f>SUMIFS('WH+RT CURRENT'!$M$2:$M$15000,'WH+RT CURRENT'!$B$2:$B$15000,"MOP",'WH+RT CURRENT'!$S$2:$S$15000,"UMA RANI SAHA",'WH+RT CURRENT'!$N$2:$N$15000,"&gt;365")</f>
        <v>0.23799999999999999</v>
      </c>
      <c r="P154" s="1">
        <f>SUMIFS('WH+RT CURRENT'!$M$2:$M$15000,'WH+RT CURRENT'!$B$2:$B$15000,"Imp DAP",'WH+RT CURRENT'!$S$2:$S$15000,"UMA RANI SAHA",'WH+RT CURRENT'!$N$2:$N$15000,"&gt;365")</f>
        <v>0</v>
      </c>
      <c r="Q154" s="1">
        <f>L154+M154+N154+O154+P154</f>
        <v>3.7330000000000001</v>
      </c>
    </row>
    <row r="155" spans="5:17" x14ac:dyDescent="0.25">
      <c r="E155" s="2" t="s">
        <v>7</v>
      </c>
      <c r="F155" s="1">
        <f>F153+F154</f>
        <v>14.4</v>
      </c>
      <c r="G155" s="1">
        <f>G153+G154</f>
        <v>4.3</v>
      </c>
      <c r="H155" s="1">
        <f>H153+H154</f>
        <v>0.4</v>
      </c>
      <c r="I155" s="1">
        <f>I153+I154</f>
        <v>0.23799999999999999</v>
      </c>
      <c r="J155" s="1">
        <f>J153+J154</f>
        <v>0</v>
      </c>
      <c r="K155" s="1">
        <f>F155+G155+H155+I155+J155</f>
        <v>19.337999999999997</v>
      </c>
      <c r="L155" s="1">
        <f>L153+L154</f>
        <v>16.605</v>
      </c>
      <c r="M155" s="1">
        <f>M153+M154</f>
        <v>3.5</v>
      </c>
      <c r="N155" s="1">
        <f>N153+N154</f>
        <v>0.4</v>
      </c>
      <c r="O155" s="1">
        <f>O153+O154</f>
        <v>0.23799999999999999</v>
      </c>
      <c r="P155" s="1">
        <f>P153+P154</f>
        <v>0</v>
      </c>
      <c r="Q155" s="1">
        <f>L155+M155+N155+O155+P155</f>
        <v>20.742999999999999</v>
      </c>
    </row>
    <row r="156" spans="5:17" x14ac:dyDescent="0.25">
      <c r="E156" s="2" t="s">
        <v>9</v>
      </c>
      <c r="F156" s="1">
        <f>SUMIFS('WH+RT PREVIOUS'!$M$2:$M$15000,'WH+RT PREVIOUS'!$B$2:$B$15000,"N.C.Urea(45kg)",'WH+RT PREVIOUS'!$S$2:$S$15000,"UMA RANI SAHA")</f>
        <v>46.755000000000003</v>
      </c>
      <c r="G156" s="1">
        <f>SUMIFS('WH+RT PREVIOUS'!$M$2:$M$15000,'WH+RT PREVIOUS'!$B$2:$B$15000,"15-15-15",'WH+RT PREVIOUS'!$S$2:$S$15000,"UMA RANI SAHA")</f>
        <v>21.623000000000001</v>
      </c>
      <c r="H156" s="1">
        <f>SUMIFS('WH+RT PREVIOUS'!$M$2:$M$15000,'WH+RT PREVIOUS'!$B$2:$B$15000,"Imp 10-26-26",'WH+RT PREVIOUS'!$S$2:$S$15000,"UMA RANI SAHA")</f>
        <v>5.25</v>
      </c>
      <c r="I156" s="1">
        <f>SUMIFS('WH+RT PREVIOUS'!$M$2:$M$15000,'WH+RT PREVIOUS'!$B$2:$B$15000,"MOP",'WH+RT PREVIOUS'!$S$2:$S$15000,"UMA RANI SAHA")</f>
        <v>7.5380000000000003</v>
      </c>
      <c r="J156" s="1">
        <f>SUMIFS('WH+RT PREVIOUS'!$M$2:$M$15000,'WH+RT PREVIOUS'!$B$2:$B$15000,"Imp DAP",'WH+RT PREVIOUS'!$S$2:$S$15000,"UMA RANI SAHA")</f>
        <v>0</v>
      </c>
      <c r="K156" s="1">
        <f>F156+G156+H156+I156+J156</f>
        <v>81.165999999999997</v>
      </c>
      <c r="L156" s="1">
        <f>SUMIFS('WH+RT CURRENT'!$M$2:$M$15000,'WH+RT CURRENT'!$B$2:$B$15000,"N.C.Urea(45kg)",'WH+RT CURRENT'!$S$2:$S$15000,"UMA RANI SAHA")</f>
        <v>41.625000000000007</v>
      </c>
      <c r="M156" s="1">
        <f>SUMIFS('WH+RT CURRENT'!$M$2:$M$15000,'WH+RT CURRENT'!$B$2:$B$15000,"15-15-15",'WH+RT CURRENT'!$S$2:$S$15000,"UMA RANI SAHA")</f>
        <v>17.623000000000001</v>
      </c>
      <c r="N156" s="1">
        <f>SUMIFS('WH+RT CURRENT'!$M$2:$M$15000,'WH+RT CURRENT'!$B$2:$B$15000,"Imp 10-26-26",'WH+RT CURRENT'!$S$2:$S$15000,"UMA RANI SAHA")</f>
        <v>5.05</v>
      </c>
      <c r="O156" s="1">
        <f>SUMIFS('WH+RT CURRENT'!$M$2:$M$15000,'WH+RT CURRENT'!$B$2:$B$15000,"MOP",'WH+RT CURRENT'!$S$2:$S$15000,"UMA RANI SAHA")</f>
        <v>6.7379999999999995</v>
      </c>
      <c r="P156" s="1">
        <f>SUMIFS('WH+RT CURRENT'!$M$2:$M$15000,'WH+RT CURRENT'!$B$2:$B$15000,"Imp DAP",'WH+RT CURRENT'!$S$2:$S$15000,"UMA RANI SAHA")</f>
        <v>0</v>
      </c>
      <c r="Q156" s="1">
        <f>L156+M156+N156+O156+P156</f>
        <v>71.036000000000001</v>
      </c>
    </row>
  </sheetData>
  <mergeCells count="69">
    <mergeCell ref="E1:Q3"/>
    <mergeCell ref="E6:Q6"/>
    <mergeCell ref="E7:E8"/>
    <mergeCell ref="F7:K7"/>
    <mergeCell ref="L7:Q7"/>
    <mergeCell ref="E15:Q15"/>
    <mergeCell ref="E42:Q42"/>
    <mergeCell ref="E43:E44"/>
    <mergeCell ref="F43:K43"/>
    <mergeCell ref="L43:Q43"/>
    <mergeCell ref="E33:Q33"/>
    <mergeCell ref="E34:E35"/>
    <mergeCell ref="F34:K34"/>
    <mergeCell ref="L34:Q34"/>
    <mergeCell ref="E16:E17"/>
    <mergeCell ref="F16:K16"/>
    <mergeCell ref="L16:Q16"/>
    <mergeCell ref="E24:Q24"/>
    <mergeCell ref="E25:E26"/>
    <mergeCell ref="F25:K25"/>
    <mergeCell ref="L25:Q25"/>
    <mergeCell ref="E51:Q51"/>
    <mergeCell ref="E52:E53"/>
    <mergeCell ref="F52:K52"/>
    <mergeCell ref="L52:Q52"/>
    <mergeCell ref="E60:Q60"/>
    <mergeCell ref="E61:E62"/>
    <mergeCell ref="F61:K61"/>
    <mergeCell ref="L61:Q61"/>
    <mergeCell ref="E69:Q69"/>
    <mergeCell ref="E70:E71"/>
    <mergeCell ref="F70:K70"/>
    <mergeCell ref="L70:Q70"/>
    <mergeCell ref="E78:Q78"/>
    <mergeCell ref="E79:E80"/>
    <mergeCell ref="F79:K79"/>
    <mergeCell ref="L79:Q79"/>
    <mergeCell ref="E87:Q87"/>
    <mergeCell ref="E88:E89"/>
    <mergeCell ref="F88:K88"/>
    <mergeCell ref="L88:Q88"/>
    <mergeCell ref="E96:Q96"/>
    <mergeCell ref="E97:E98"/>
    <mergeCell ref="F97:K97"/>
    <mergeCell ref="L97:Q97"/>
    <mergeCell ref="E105:Q105"/>
    <mergeCell ref="E106:E107"/>
    <mergeCell ref="F106:K106"/>
    <mergeCell ref="L106:Q106"/>
    <mergeCell ref="E114:Q114"/>
    <mergeCell ref="E115:E116"/>
    <mergeCell ref="F115:K115"/>
    <mergeCell ref="L115:Q115"/>
    <mergeCell ref="E123:Q123"/>
    <mergeCell ref="E124:E125"/>
    <mergeCell ref="F124:K124"/>
    <mergeCell ref="L124:Q124"/>
    <mergeCell ref="E132:Q132"/>
    <mergeCell ref="E133:E134"/>
    <mergeCell ref="F133:K133"/>
    <mergeCell ref="L133:Q133"/>
    <mergeCell ref="E141:Q141"/>
    <mergeCell ref="E142:E143"/>
    <mergeCell ref="F142:K142"/>
    <mergeCell ref="L142:Q142"/>
    <mergeCell ref="E150:Q150"/>
    <mergeCell ref="E151:E152"/>
    <mergeCell ref="F151:K151"/>
    <mergeCell ref="L151:Q15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8E29F-B3E0-4EEB-8DA0-F717E0945577}">
  <dimension ref="A1:T9207"/>
  <sheetViews>
    <sheetView workbookViewId="0">
      <selection activeCell="L9" sqref="L9"/>
    </sheetView>
  </sheetViews>
  <sheetFormatPr defaultRowHeight="15" x14ac:dyDescent="0.25"/>
  <cols>
    <col min="1" max="1" width="16.42578125" bestFit="1" customWidth="1"/>
    <col min="2" max="2" width="25.140625" bestFit="1" customWidth="1"/>
  </cols>
  <sheetData>
    <row r="1" spans="1:20" x14ac:dyDescent="0.25">
      <c r="A1" t="s">
        <v>10</v>
      </c>
      <c r="B1" t="s">
        <v>11</v>
      </c>
      <c r="C1" t="s">
        <v>12</v>
      </c>
      <c r="D1" t="s">
        <v>13</v>
      </c>
      <c r="E1" t="s">
        <v>14</v>
      </c>
      <c r="F1" t="s">
        <v>15</v>
      </c>
      <c r="G1" t="s">
        <v>16</v>
      </c>
      <c r="H1" t="s">
        <v>17</v>
      </c>
      <c r="I1" t="s">
        <v>18</v>
      </c>
      <c r="J1" t="s">
        <v>19</v>
      </c>
      <c r="K1" t="s">
        <v>20</v>
      </c>
      <c r="L1" t="s">
        <v>21</v>
      </c>
      <c r="M1" t="s">
        <v>22</v>
      </c>
      <c r="N1" t="s">
        <v>23</v>
      </c>
      <c r="O1" t="s">
        <v>24</v>
      </c>
      <c r="P1" t="s">
        <v>25</v>
      </c>
      <c r="Q1" t="s">
        <v>26</v>
      </c>
      <c r="R1" t="s">
        <v>27</v>
      </c>
      <c r="S1" t="s">
        <v>28</v>
      </c>
      <c r="T1" t="s">
        <v>29</v>
      </c>
    </row>
    <row r="2" spans="1:20" x14ac:dyDescent="0.25">
      <c r="A2" t="s">
        <v>44</v>
      </c>
      <c r="B2" t="s">
        <v>3</v>
      </c>
      <c r="C2" t="s">
        <v>32</v>
      </c>
      <c r="D2" t="s">
        <v>33</v>
      </c>
      <c r="E2" t="s">
        <v>1292</v>
      </c>
      <c r="F2" t="s">
        <v>35</v>
      </c>
      <c r="G2" t="s">
        <v>35</v>
      </c>
      <c r="H2" t="s">
        <v>35</v>
      </c>
      <c r="J2" t="s">
        <v>1297</v>
      </c>
      <c r="K2" t="s">
        <v>1092</v>
      </c>
      <c r="M2">
        <v>0.30399999999999999</v>
      </c>
      <c r="N2">
        <v>425</v>
      </c>
      <c r="O2" t="s">
        <v>294</v>
      </c>
      <c r="Q2" t="s">
        <v>1271</v>
      </c>
      <c r="R2">
        <v>280832</v>
      </c>
      <c r="S2" t="s">
        <v>113</v>
      </c>
    </row>
    <row r="3" spans="1:20" x14ac:dyDescent="0.25">
      <c r="A3" t="s">
        <v>59</v>
      </c>
      <c r="B3" t="s">
        <v>60</v>
      </c>
      <c r="C3" t="s">
        <v>32</v>
      </c>
      <c r="D3" t="s">
        <v>33</v>
      </c>
      <c r="E3" t="s">
        <v>87</v>
      </c>
      <c r="F3" t="s">
        <v>35</v>
      </c>
      <c r="G3" t="s">
        <v>35</v>
      </c>
      <c r="H3" t="s">
        <v>35</v>
      </c>
      <c r="J3" t="s">
        <v>109</v>
      </c>
      <c r="K3" t="s">
        <v>37</v>
      </c>
      <c r="M3">
        <v>3.5</v>
      </c>
      <c r="N3">
        <v>238</v>
      </c>
      <c r="O3" t="s">
        <v>5</v>
      </c>
      <c r="P3" t="s">
        <v>110</v>
      </c>
      <c r="Q3" t="s">
        <v>111</v>
      </c>
      <c r="R3" t="s">
        <v>112</v>
      </c>
      <c r="S3" t="s">
        <v>113</v>
      </c>
    </row>
    <row r="4" spans="1:20" x14ac:dyDescent="0.25">
      <c r="A4" t="s">
        <v>59</v>
      </c>
      <c r="B4" t="s">
        <v>60</v>
      </c>
      <c r="C4" t="s">
        <v>32</v>
      </c>
      <c r="D4" t="s">
        <v>33</v>
      </c>
      <c r="E4" t="s">
        <v>64</v>
      </c>
      <c r="F4" t="s">
        <v>35</v>
      </c>
      <c r="G4" t="s">
        <v>35</v>
      </c>
      <c r="H4" t="s">
        <v>35</v>
      </c>
      <c r="J4" t="s">
        <v>1282</v>
      </c>
      <c r="K4" t="s">
        <v>1092</v>
      </c>
      <c r="M4">
        <v>0.42</v>
      </c>
      <c r="N4">
        <v>2135</v>
      </c>
      <c r="O4" t="s">
        <v>575</v>
      </c>
      <c r="Q4" t="s">
        <v>1283</v>
      </c>
      <c r="R4" t="s">
        <v>1284</v>
      </c>
      <c r="S4" t="s">
        <v>166</v>
      </c>
    </row>
    <row r="5" spans="1:20" x14ac:dyDescent="0.25">
      <c r="A5" t="s">
        <v>59</v>
      </c>
      <c r="B5" t="s">
        <v>60</v>
      </c>
      <c r="C5" t="s">
        <v>32</v>
      </c>
      <c r="D5" t="s">
        <v>33</v>
      </c>
      <c r="E5" t="s">
        <v>34</v>
      </c>
      <c r="F5" t="s">
        <v>35</v>
      </c>
      <c r="G5" t="s">
        <v>35</v>
      </c>
      <c r="H5" t="s">
        <v>35</v>
      </c>
      <c r="J5" t="s">
        <v>1093</v>
      </c>
      <c r="K5" t="s">
        <v>1092</v>
      </c>
      <c r="M5">
        <v>0.02</v>
      </c>
      <c r="N5">
        <v>1885</v>
      </c>
      <c r="O5" t="s">
        <v>575</v>
      </c>
      <c r="Q5" t="s">
        <v>1094</v>
      </c>
      <c r="R5" t="s">
        <v>1095</v>
      </c>
      <c r="S5" t="s">
        <v>36</v>
      </c>
    </row>
    <row r="6" spans="1:20" x14ac:dyDescent="0.25">
      <c r="A6" t="s">
        <v>59</v>
      </c>
      <c r="B6" t="s">
        <v>60</v>
      </c>
      <c r="C6" t="s">
        <v>32</v>
      </c>
      <c r="D6" t="s">
        <v>33</v>
      </c>
      <c r="E6" t="s">
        <v>87</v>
      </c>
      <c r="F6" t="s">
        <v>35</v>
      </c>
      <c r="G6" t="s">
        <v>35</v>
      </c>
      <c r="H6" t="s">
        <v>35</v>
      </c>
      <c r="J6" t="s">
        <v>1462</v>
      </c>
      <c r="K6" t="s">
        <v>1092</v>
      </c>
      <c r="M6">
        <v>8.5000000000000006E-2</v>
      </c>
      <c r="N6">
        <v>853</v>
      </c>
      <c r="O6" t="s">
        <v>575</v>
      </c>
      <c r="Q6" t="s">
        <v>1464</v>
      </c>
      <c r="R6" t="s">
        <v>1115</v>
      </c>
      <c r="S6" t="s">
        <v>45</v>
      </c>
    </row>
    <row r="7" spans="1:20" x14ac:dyDescent="0.25">
      <c r="A7" t="s">
        <v>59</v>
      </c>
      <c r="B7" t="s">
        <v>60</v>
      </c>
      <c r="C7" t="s">
        <v>32</v>
      </c>
      <c r="D7" t="s">
        <v>33</v>
      </c>
      <c r="E7" t="s">
        <v>34</v>
      </c>
      <c r="F7" t="s">
        <v>35</v>
      </c>
      <c r="G7" t="s">
        <v>35</v>
      </c>
      <c r="H7" t="s">
        <v>35</v>
      </c>
      <c r="J7" t="s">
        <v>1174</v>
      </c>
      <c r="K7" t="s">
        <v>1092</v>
      </c>
      <c r="M7">
        <v>0.05</v>
      </c>
      <c r="N7">
        <v>539</v>
      </c>
      <c r="O7" t="s">
        <v>294</v>
      </c>
      <c r="Q7" t="s">
        <v>1175</v>
      </c>
      <c r="R7" t="s">
        <v>1115</v>
      </c>
      <c r="S7" t="s">
        <v>45</v>
      </c>
    </row>
    <row r="8" spans="1:20" x14ac:dyDescent="0.25">
      <c r="A8" t="s">
        <v>59</v>
      </c>
      <c r="B8" t="s">
        <v>60</v>
      </c>
      <c r="C8" t="s">
        <v>32</v>
      </c>
      <c r="D8" t="s">
        <v>33</v>
      </c>
      <c r="E8" t="s">
        <v>34</v>
      </c>
      <c r="F8" t="s">
        <v>35</v>
      </c>
      <c r="G8" t="s">
        <v>35</v>
      </c>
      <c r="H8" t="s">
        <v>35</v>
      </c>
      <c r="J8" t="s">
        <v>1113</v>
      </c>
      <c r="K8" t="s">
        <v>1092</v>
      </c>
      <c r="M8">
        <v>1.1499999999999999</v>
      </c>
      <c r="N8">
        <v>459</v>
      </c>
      <c r="O8" t="s">
        <v>294</v>
      </c>
      <c r="Q8" t="s">
        <v>1114</v>
      </c>
      <c r="R8" t="s">
        <v>1115</v>
      </c>
      <c r="S8" t="s">
        <v>45</v>
      </c>
    </row>
    <row r="9" spans="1:20" x14ac:dyDescent="0.25">
      <c r="A9" t="s">
        <v>59</v>
      </c>
      <c r="B9" t="s">
        <v>60</v>
      </c>
      <c r="C9" t="s">
        <v>32</v>
      </c>
      <c r="D9" t="s">
        <v>33</v>
      </c>
      <c r="F9" t="s">
        <v>35</v>
      </c>
      <c r="G9" t="s">
        <v>35</v>
      </c>
      <c r="H9" t="s">
        <v>35</v>
      </c>
      <c r="J9" t="s">
        <v>2335</v>
      </c>
      <c r="K9" t="s">
        <v>1092</v>
      </c>
      <c r="M9">
        <v>4.5999999999999999E-2</v>
      </c>
      <c r="N9">
        <v>2589</v>
      </c>
      <c r="O9" t="s">
        <v>575</v>
      </c>
      <c r="Q9" t="s">
        <v>2336</v>
      </c>
      <c r="R9" t="s">
        <v>1173</v>
      </c>
      <c r="S9" t="s">
        <v>222</v>
      </c>
    </row>
    <row r="10" spans="1:20" x14ac:dyDescent="0.25">
      <c r="A10" t="s">
        <v>59</v>
      </c>
      <c r="B10" t="s">
        <v>60</v>
      </c>
      <c r="C10" t="s">
        <v>32</v>
      </c>
      <c r="D10" t="s">
        <v>33</v>
      </c>
      <c r="E10" t="s">
        <v>34</v>
      </c>
      <c r="F10" t="s">
        <v>35</v>
      </c>
      <c r="G10" t="s">
        <v>35</v>
      </c>
      <c r="H10" t="s">
        <v>35</v>
      </c>
      <c r="J10" t="s">
        <v>1171</v>
      </c>
      <c r="K10" t="s">
        <v>1092</v>
      </c>
      <c r="M10">
        <v>4.5999999999999996</v>
      </c>
      <c r="N10">
        <v>282</v>
      </c>
      <c r="O10" t="s">
        <v>5</v>
      </c>
      <c r="Q10" t="s">
        <v>1172</v>
      </c>
      <c r="R10" t="s">
        <v>1173</v>
      </c>
      <c r="S10" t="s">
        <v>222</v>
      </c>
    </row>
    <row r="11" spans="1:20" x14ac:dyDescent="0.25">
      <c r="A11" t="s">
        <v>59</v>
      </c>
      <c r="B11" t="s">
        <v>60</v>
      </c>
      <c r="C11" t="s">
        <v>32</v>
      </c>
      <c r="D11" t="s">
        <v>33</v>
      </c>
      <c r="E11" t="s">
        <v>87</v>
      </c>
      <c r="F11" t="s">
        <v>35</v>
      </c>
      <c r="G11" t="s">
        <v>35</v>
      </c>
      <c r="H11" t="s">
        <v>35</v>
      </c>
      <c r="J11" t="s">
        <v>1507</v>
      </c>
      <c r="K11" t="s">
        <v>1092</v>
      </c>
      <c r="M11">
        <v>2.5</v>
      </c>
      <c r="N11">
        <v>32</v>
      </c>
      <c r="O11" t="s">
        <v>52</v>
      </c>
      <c r="Q11" t="s">
        <v>816</v>
      </c>
      <c r="R11" t="s">
        <v>1173</v>
      </c>
      <c r="S11" t="s">
        <v>222</v>
      </c>
    </row>
    <row r="12" spans="1:20" x14ac:dyDescent="0.25">
      <c r="A12" t="s">
        <v>59</v>
      </c>
      <c r="B12" t="s">
        <v>60</v>
      </c>
      <c r="C12" t="s">
        <v>32</v>
      </c>
      <c r="D12" t="s">
        <v>33</v>
      </c>
      <c r="E12" t="s">
        <v>1292</v>
      </c>
      <c r="F12" t="s">
        <v>35</v>
      </c>
      <c r="G12" t="s">
        <v>35</v>
      </c>
      <c r="H12" t="s">
        <v>35</v>
      </c>
      <c r="J12" t="s">
        <v>1305</v>
      </c>
      <c r="K12" t="s">
        <v>1092</v>
      </c>
      <c r="M12">
        <v>0.5</v>
      </c>
      <c r="N12">
        <v>328</v>
      </c>
      <c r="O12" t="s">
        <v>5</v>
      </c>
      <c r="Q12" t="s">
        <v>1306</v>
      </c>
      <c r="R12" t="s">
        <v>1173</v>
      </c>
      <c r="S12" t="s">
        <v>222</v>
      </c>
    </row>
    <row r="13" spans="1:20" x14ac:dyDescent="0.25">
      <c r="A13" t="s">
        <v>59</v>
      </c>
      <c r="B13" t="s">
        <v>60</v>
      </c>
      <c r="C13" t="s">
        <v>32</v>
      </c>
      <c r="D13" t="s">
        <v>33</v>
      </c>
      <c r="E13" t="s">
        <v>122</v>
      </c>
      <c r="F13" t="s">
        <v>35</v>
      </c>
      <c r="G13" t="s">
        <v>35</v>
      </c>
      <c r="H13" t="s">
        <v>35</v>
      </c>
      <c r="J13" t="s">
        <v>1675</v>
      </c>
      <c r="K13" t="s">
        <v>1092</v>
      </c>
      <c r="M13">
        <v>0.25</v>
      </c>
      <c r="N13">
        <v>212</v>
      </c>
      <c r="O13" t="s">
        <v>5</v>
      </c>
      <c r="Q13" t="s">
        <v>1578</v>
      </c>
      <c r="R13" t="s">
        <v>1173</v>
      </c>
      <c r="S13" t="s">
        <v>222</v>
      </c>
    </row>
    <row r="14" spans="1:20" x14ac:dyDescent="0.25">
      <c r="A14" t="s">
        <v>59</v>
      </c>
      <c r="B14" t="s">
        <v>60</v>
      </c>
      <c r="C14" t="s">
        <v>32</v>
      </c>
      <c r="D14" t="s">
        <v>33</v>
      </c>
      <c r="E14" t="s">
        <v>122</v>
      </c>
      <c r="F14" t="s">
        <v>35</v>
      </c>
      <c r="G14" t="s">
        <v>35</v>
      </c>
      <c r="H14" t="s">
        <v>35</v>
      </c>
      <c r="J14" t="s">
        <v>1675</v>
      </c>
      <c r="K14" t="s">
        <v>1092</v>
      </c>
      <c r="M14">
        <v>3</v>
      </c>
      <c r="N14">
        <v>139</v>
      </c>
      <c r="O14" t="s">
        <v>38</v>
      </c>
      <c r="Q14" t="s">
        <v>1335</v>
      </c>
      <c r="R14" t="s">
        <v>1173</v>
      </c>
      <c r="S14" t="s">
        <v>222</v>
      </c>
    </row>
    <row r="15" spans="1:20" x14ac:dyDescent="0.25">
      <c r="A15" t="s">
        <v>44</v>
      </c>
      <c r="B15" t="s">
        <v>51</v>
      </c>
      <c r="C15" t="s">
        <v>32</v>
      </c>
      <c r="D15" t="s">
        <v>33</v>
      </c>
      <c r="E15" t="s">
        <v>122</v>
      </c>
      <c r="F15" t="s">
        <v>35</v>
      </c>
      <c r="G15" t="s">
        <v>35</v>
      </c>
      <c r="H15" t="s">
        <v>35</v>
      </c>
      <c r="J15" t="s">
        <v>1675</v>
      </c>
      <c r="K15" t="s">
        <v>1092</v>
      </c>
      <c r="M15">
        <v>4.5</v>
      </c>
      <c r="N15">
        <v>3</v>
      </c>
      <c r="O15" t="s">
        <v>46</v>
      </c>
      <c r="Q15" t="s">
        <v>1676</v>
      </c>
      <c r="R15" t="s">
        <v>1173</v>
      </c>
      <c r="S15" t="s">
        <v>222</v>
      </c>
    </row>
    <row r="16" spans="1:20" x14ac:dyDescent="0.25">
      <c r="A16" t="s">
        <v>44</v>
      </c>
      <c r="B16" t="s">
        <v>3</v>
      </c>
      <c r="C16" t="s">
        <v>32</v>
      </c>
      <c r="D16" t="s">
        <v>33</v>
      </c>
      <c r="E16" t="s">
        <v>1292</v>
      </c>
      <c r="F16" t="s">
        <v>35</v>
      </c>
      <c r="G16" t="s">
        <v>35</v>
      </c>
      <c r="H16" t="s">
        <v>35</v>
      </c>
      <c r="J16" t="s">
        <v>1309</v>
      </c>
      <c r="K16" t="s">
        <v>404</v>
      </c>
      <c r="M16">
        <v>5.3</v>
      </c>
      <c r="N16">
        <v>62</v>
      </c>
      <c r="O16" t="s">
        <v>61</v>
      </c>
      <c r="Q16" t="s">
        <v>139</v>
      </c>
      <c r="R16" t="s">
        <v>1173</v>
      </c>
      <c r="S16" t="s">
        <v>222</v>
      </c>
    </row>
    <row r="17" spans="1:19" x14ac:dyDescent="0.25">
      <c r="A17" t="s">
        <v>59</v>
      </c>
      <c r="B17" t="s">
        <v>31</v>
      </c>
      <c r="C17" t="s">
        <v>32</v>
      </c>
      <c r="D17" t="s">
        <v>33</v>
      </c>
      <c r="E17" t="s">
        <v>1292</v>
      </c>
      <c r="F17" t="s">
        <v>35</v>
      </c>
      <c r="G17" t="s">
        <v>35</v>
      </c>
      <c r="H17" t="s">
        <v>35</v>
      </c>
      <c r="J17" t="s">
        <v>1309</v>
      </c>
      <c r="K17" t="s">
        <v>404</v>
      </c>
      <c r="M17">
        <v>1.4950000000000001</v>
      </c>
      <c r="N17">
        <v>63</v>
      </c>
      <c r="O17" t="s">
        <v>61</v>
      </c>
      <c r="Q17" t="s">
        <v>126</v>
      </c>
      <c r="R17" t="s">
        <v>1173</v>
      </c>
      <c r="S17" t="s">
        <v>222</v>
      </c>
    </row>
    <row r="18" spans="1:19" x14ac:dyDescent="0.25">
      <c r="A18" t="s">
        <v>59</v>
      </c>
      <c r="B18" t="s">
        <v>60</v>
      </c>
      <c r="C18" t="s">
        <v>32</v>
      </c>
      <c r="D18" t="s">
        <v>33</v>
      </c>
      <c r="E18" t="s">
        <v>1292</v>
      </c>
      <c r="F18" t="s">
        <v>35</v>
      </c>
      <c r="G18" t="s">
        <v>35</v>
      </c>
      <c r="H18" t="s">
        <v>35</v>
      </c>
      <c r="J18" t="s">
        <v>1309</v>
      </c>
      <c r="K18" t="s">
        <v>404</v>
      </c>
      <c r="M18">
        <v>1.1000000000000001</v>
      </c>
      <c r="N18">
        <v>63</v>
      </c>
      <c r="O18" t="s">
        <v>61</v>
      </c>
      <c r="Q18" t="s">
        <v>126</v>
      </c>
      <c r="R18" t="s">
        <v>1173</v>
      </c>
      <c r="S18" t="s">
        <v>222</v>
      </c>
    </row>
    <row r="19" spans="1:19" x14ac:dyDescent="0.25">
      <c r="A19" t="s">
        <v>59</v>
      </c>
      <c r="B19" t="s">
        <v>31</v>
      </c>
      <c r="C19" t="s">
        <v>32</v>
      </c>
      <c r="D19" t="s">
        <v>33</v>
      </c>
      <c r="F19" t="s">
        <v>35</v>
      </c>
      <c r="G19" t="s">
        <v>35</v>
      </c>
      <c r="H19" t="s">
        <v>35</v>
      </c>
      <c r="J19" t="s">
        <v>2230</v>
      </c>
      <c r="K19" t="s">
        <v>1092</v>
      </c>
      <c r="M19">
        <v>0.02</v>
      </c>
      <c r="N19">
        <v>1628</v>
      </c>
      <c r="O19" t="s">
        <v>575</v>
      </c>
      <c r="Q19" t="s">
        <v>2313</v>
      </c>
      <c r="R19" t="s">
        <v>1173</v>
      </c>
      <c r="S19" t="s">
        <v>222</v>
      </c>
    </row>
    <row r="20" spans="1:19" x14ac:dyDescent="0.25">
      <c r="A20" t="s">
        <v>59</v>
      </c>
      <c r="B20" t="s">
        <v>60</v>
      </c>
      <c r="C20" t="s">
        <v>32</v>
      </c>
      <c r="D20" t="s">
        <v>33</v>
      </c>
      <c r="F20" t="s">
        <v>35</v>
      </c>
      <c r="G20" t="s">
        <v>35</v>
      </c>
      <c r="H20" t="s">
        <v>35</v>
      </c>
      <c r="J20" t="s">
        <v>2283</v>
      </c>
      <c r="K20" t="s">
        <v>1092</v>
      </c>
      <c r="M20">
        <v>0.5</v>
      </c>
      <c r="N20">
        <v>1339</v>
      </c>
      <c r="O20" t="s">
        <v>575</v>
      </c>
      <c r="Q20" t="s">
        <v>2284</v>
      </c>
      <c r="R20" t="s">
        <v>1173</v>
      </c>
      <c r="S20" t="s">
        <v>222</v>
      </c>
    </row>
    <row r="21" spans="1:19" x14ac:dyDescent="0.25">
      <c r="A21" t="s">
        <v>59</v>
      </c>
      <c r="B21" t="s">
        <v>31</v>
      </c>
      <c r="C21" t="s">
        <v>32</v>
      </c>
      <c r="D21" t="s">
        <v>33</v>
      </c>
      <c r="F21" t="s">
        <v>35</v>
      </c>
      <c r="G21" t="s">
        <v>35</v>
      </c>
      <c r="H21" t="s">
        <v>35</v>
      </c>
      <c r="J21" t="s">
        <v>2283</v>
      </c>
      <c r="K21" t="s">
        <v>1092</v>
      </c>
      <c r="M21">
        <v>0.13500000000000001</v>
      </c>
      <c r="N21">
        <v>1441</v>
      </c>
      <c r="O21" t="s">
        <v>575</v>
      </c>
      <c r="Q21" t="s">
        <v>2285</v>
      </c>
      <c r="R21" t="s">
        <v>1173</v>
      </c>
      <c r="S21" t="s">
        <v>222</v>
      </c>
    </row>
    <row r="22" spans="1:19" x14ac:dyDescent="0.25">
      <c r="A22" t="s">
        <v>59</v>
      </c>
      <c r="B22" t="s">
        <v>60</v>
      </c>
      <c r="C22" t="s">
        <v>32</v>
      </c>
      <c r="D22" t="s">
        <v>33</v>
      </c>
      <c r="F22" t="s">
        <v>35</v>
      </c>
      <c r="G22" t="s">
        <v>35</v>
      </c>
      <c r="H22" t="s">
        <v>35</v>
      </c>
      <c r="J22" t="s">
        <v>2283</v>
      </c>
      <c r="K22" t="s">
        <v>1092</v>
      </c>
      <c r="M22">
        <v>0.2</v>
      </c>
      <c r="N22">
        <v>1379</v>
      </c>
      <c r="O22" t="s">
        <v>575</v>
      </c>
      <c r="Q22" t="s">
        <v>2286</v>
      </c>
      <c r="R22" t="s">
        <v>1173</v>
      </c>
      <c r="S22" t="s">
        <v>222</v>
      </c>
    </row>
    <row r="23" spans="1:19" x14ac:dyDescent="0.25">
      <c r="A23" t="s">
        <v>59</v>
      </c>
      <c r="B23" t="s">
        <v>60</v>
      </c>
      <c r="C23" t="s">
        <v>32</v>
      </c>
      <c r="D23" t="s">
        <v>33</v>
      </c>
      <c r="F23" t="s">
        <v>35</v>
      </c>
      <c r="G23" t="s">
        <v>35</v>
      </c>
      <c r="H23" t="s">
        <v>35</v>
      </c>
      <c r="J23" t="s">
        <v>2246</v>
      </c>
      <c r="K23" t="s">
        <v>1092</v>
      </c>
      <c r="M23">
        <v>2.7</v>
      </c>
      <c r="N23">
        <v>63</v>
      </c>
      <c r="O23" t="s">
        <v>61</v>
      </c>
      <c r="Q23" t="s">
        <v>126</v>
      </c>
      <c r="R23" t="s">
        <v>1173</v>
      </c>
      <c r="S23" t="s">
        <v>222</v>
      </c>
    </row>
    <row r="24" spans="1:19" x14ac:dyDescent="0.25">
      <c r="A24" t="s">
        <v>59</v>
      </c>
      <c r="B24" t="s">
        <v>31</v>
      </c>
      <c r="C24" t="s">
        <v>32</v>
      </c>
      <c r="D24" t="s">
        <v>33</v>
      </c>
      <c r="F24" t="s">
        <v>35</v>
      </c>
      <c r="G24" t="s">
        <v>35</v>
      </c>
      <c r="H24" t="s">
        <v>35</v>
      </c>
      <c r="J24" t="s">
        <v>2246</v>
      </c>
      <c r="K24" t="s">
        <v>1092</v>
      </c>
      <c r="M24">
        <v>5.49</v>
      </c>
      <c r="N24">
        <v>32</v>
      </c>
      <c r="O24" t="s">
        <v>52</v>
      </c>
      <c r="Q24" t="s">
        <v>816</v>
      </c>
      <c r="R24" t="s">
        <v>1173</v>
      </c>
      <c r="S24" t="s">
        <v>222</v>
      </c>
    </row>
    <row r="25" spans="1:19" x14ac:dyDescent="0.25">
      <c r="A25" t="s">
        <v>59</v>
      </c>
      <c r="B25" t="s">
        <v>31</v>
      </c>
      <c r="C25" t="s">
        <v>32</v>
      </c>
      <c r="D25" t="s">
        <v>33</v>
      </c>
      <c r="E25" t="s">
        <v>1292</v>
      </c>
      <c r="F25" t="s">
        <v>35</v>
      </c>
      <c r="G25" t="s">
        <v>35</v>
      </c>
      <c r="H25" t="s">
        <v>35</v>
      </c>
      <c r="J25" t="s">
        <v>1362</v>
      </c>
      <c r="K25" t="s">
        <v>1092</v>
      </c>
      <c r="M25">
        <v>0.76500000000000001</v>
      </c>
      <c r="N25">
        <v>179</v>
      </c>
      <c r="O25" t="s">
        <v>38</v>
      </c>
      <c r="Q25" t="s">
        <v>1363</v>
      </c>
      <c r="R25" t="s">
        <v>1173</v>
      </c>
      <c r="S25" t="s">
        <v>222</v>
      </c>
    </row>
    <row r="26" spans="1:19" x14ac:dyDescent="0.25">
      <c r="A26" t="s">
        <v>59</v>
      </c>
      <c r="B26" t="s">
        <v>60</v>
      </c>
      <c r="C26" t="s">
        <v>32</v>
      </c>
      <c r="D26" t="s">
        <v>33</v>
      </c>
      <c r="E26" t="s">
        <v>122</v>
      </c>
      <c r="F26" t="s">
        <v>35</v>
      </c>
      <c r="G26" t="s">
        <v>35</v>
      </c>
      <c r="H26" t="s">
        <v>35</v>
      </c>
      <c r="J26" t="s">
        <v>1814</v>
      </c>
      <c r="K26" t="s">
        <v>1092</v>
      </c>
      <c r="M26">
        <v>2</v>
      </c>
      <c r="N26">
        <v>63</v>
      </c>
      <c r="O26" t="s">
        <v>61</v>
      </c>
      <c r="Q26" t="s">
        <v>126</v>
      </c>
      <c r="R26" t="s">
        <v>1173</v>
      </c>
      <c r="S26" t="s">
        <v>222</v>
      </c>
    </row>
    <row r="27" spans="1:19" x14ac:dyDescent="0.25">
      <c r="A27" t="s">
        <v>59</v>
      </c>
      <c r="B27" t="s">
        <v>60</v>
      </c>
      <c r="C27" t="s">
        <v>32</v>
      </c>
      <c r="D27" t="s">
        <v>33</v>
      </c>
      <c r="E27" t="s">
        <v>1292</v>
      </c>
      <c r="F27" t="s">
        <v>35</v>
      </c>
      <c r="G27" t="s">
        <v>35</v>
      </c>
      <c r="H27" t="s">
        <v>35</v>
      </c>
      <c r="J27" t="s">
        <v>1334</v>
      </c>
      <c r="K27" t="s">
        <v>1092</v>
      </c>
      <c r="M27">
        <v>2.2000000000000002</v>
      </c>
      <c r="N27">
        <v>139</v>
      </c>
      <c r="O27" t="s">
        <v>38</v>
      </c>
      <c r="Q27" t="s">
        <v>1335</v>
      </c>
      <c r="R27" t="s">
        <v>1173</v>
      </c>
      <c r="S27" t="s">
        <v>222</v>
      </c>
    </row>
    <row r="28" spans="1:19" x14ac:dyDescent="0.25">
      <c r="A28" t="s">
        <v>59</v>
      </c>
      <c r="B28" t="s">
        <v>60</v>
      </c>
      <c r="C28" t="s">
        <v>32</v>
      </c>
      <c r="D28" t="s">
        <v>33</v>
      </c>
      <c r="E28" t="s">
        <v>1292</v>
      </c>
      <c r="F28" t="s">
        <v>35</v>
      </c>
      <c r="G28" t="s">
        <v>35</v>
      </c>
      <c r="H28" t="s">
        <v>35</v>
      </c>
      <c r="J28" t="s">
        <v>1393</v>
      </c>
      <c r="K28" t="s">
        <v>1092</v>
      </c>
      <c r="M28">
        <v>2.6</v>
      </c>
      <c r="N28">
        <v>139</v>
      </c>
      <c r="O28" t="s">
        <v>38</v>
      </c>
      <c r="Q28" t="s">
        <v>1335</v>
      </c>
      <c r="R28" t="s">
        <v>1173</v>
      </c>
      <c r="S28" t="s">
        <v>222</v>
      </c>
    </row>
    <row r="29" spans="1:19" x14ac:dyDescent="0.25">
      <c r="A29" t="s">
        <v>30</v>
      </c>
      <c r="B29" t="s">
        <v>31</v>
      </c>
      <c r="C29" t="s">
        <v>32</v>
      </c>
      <c r="D29" t="s">
        <v>33</v>
      </c>
      <c r="E29" t="s">
        <v>1292</v>
      </c>
      <c r="F29" t="s">
        <v>35</v>
      </c>
      <c r="G29" t="s">
        <v>35</v>
      </c>
      <c r="H29" t="s">
        <v>35</v>
      </c>
      <c r="J29" t="s">
        <v>1393</v>
      </c>
      <c r="K29" t="s">
        <v>1092</v>
      </c>
      <c r="M29">
        <v>1.665</v>
      </c>
      <c r="N29">
        <v>63</v>
      </c>
      <c r="O29" t="s">
        <v>61</v>
      </c>
      <c r="Q29" t="s">
        <v>126</v>
      </c>
      <c r="R29" t="s">
        <v>1173</v>
      </c>
      <c r="S29" t="s">
        <v>222</v>
      </c>
    </row>
    <row r="30" spans="1:19" x14ac:dyDescent="0.25">
      <c r="A30" t="s">
        <v>59</v>
      </c>
      <c r="B30" t="s">
        <v>60</v>
      </c>
      <c r="C30" t="s">
        <v>32</v>
      </c>
      <c r="D30" t="s">
        <v>33</v>
      </c>
      <c r="E30" t="s">
        <v>122</v>
      </c>
      <c r="F30" t="s">
        <v>35</v>
      </c>
      <c r="G30" t="s">
        <v>35</v>
      </c>
      <c r="H30" t="s">
        <v>35</v>
      </c>
      <c r="J30" t="s">
        <v>1788</v>
      </c>
      <c r="K30" t="s">
        <v>1092</v>
      </c>
      <c r="M30">
        <v>5</v>
      </c>
      <c r="N30">
        <v>32</v>
      </c>
      <c r="O30" t="s">
        <v>52</v>
      </c>
      <c r="Q30" t="s">
        <v>816</v>
      </c>
      <c r="R30" t="s">
        <v>1173</v>
      </c>
      <c r="S30" t="s">
        <v>222</v>
      </c>
    </row>
    <row r="31" spans="1:19" x14ac:dyDescent="0.25">
      <c r="A31" t="s">
        <v>59</v>
      </c>
      <c r="B31" t="s">
        <v>31</v>
      </c>
      <c r="C31" t="s">
        <v>32</v>
      </c>
      <c r="D31" t="s">
        <v>33</v>
      </c>
      <c r="E31" t="s">
        <v>122</v>
      </c>
      <c r="F31" t="s">
        <v>35</v>
      </c>
      <c r="G31" t="s">
        <v>35</v>
      </c>
      <c r="H31" t="s">
        <v>35</v>
      </c>
      <c r="J31" t="s">
        <v>1788</v>
      </c>
      <c r="K31" t="s">
        <v>1092</v>
      </c>
      <c r="M31">
        <v>5.49</v>
      </c>
      <c r="N31">
        <v>32</v>
      </c>
      <c r="O31" t="s">
        <v>52</v>
      </c>
      <c r="Q31" t="s">
        <v>816</v>
      </c>
      <c r="R31" t="s">
        <v>1173</v>
      </c>
      <c r="S31" t="s">
        <v>222</v>
      </c>
    </row>
    <row r="32" spans="1:19" x14ac:dyDescent="0.25">
      <c r="A32" t="s">
        <v>44</v>
      </c>
      <c r="B32" t="s">
        <v>3</v>
      </c>
      <c r="C32" t="s">
        <v>32</v>
      </c>
      <c r="D32" t="s">
        <v>33</v>
      </c>
      <c r="E32" t="s">
        <v>122</v>
      </c>
      <c r="F32" t="s">
        <v>35</v>
      </c>
      <c r="G32" t="s">
        <v>35</v>
      </c>
      <c r="H32" t="s">
        <v>35</v>
      </c>
      <c r="J32" t="s">
        <v>1644</v>
      </c>
      <c r="K32" t="s">
        <v>1092</v>
      </c>
      <c r="M32">
        <v>3.05</v>
      </c>
      <c r="N32">
        <v>62</v>
      </c>
      <c r="O32" t="s">
        <v>61</v>
      </c>
      <c r="Q32" t="s">
        <v>139</v>
      </c>
      <c r="R32" t="s">
        <v>1173</v>
      </c>
      <c r="S32" t="s">
        <v>222</v>
      </c>
    </row>
    <row r="33" spans="1:19" x14ac:dyDescent="0.25">
      <c r="A33" t="s">
        <v>59</v>
      </c>
      <c r="B33" t="s">
        <v>60</v>
      </c>
      <c r="C33" t="s">
        <v>32</v>
      </c>
      <c r="D33" t="s">
        <v>33</v>
      </c>
      <c r="E33" t="s">
        <v>122</v>
      </c>
      <c r="F33" t="s">
        <v>35</v>
      </c>
      <c r="G33" t="s">
        <v>35</v>
      </c>
      <c r="H33" t="s">
        <v>35</v>
      </c>
      <c r="J33" t="s">
        <v>1644</v>
      </c>
      <c r="K33" t="s">
        <v>1092</v>
      </c>
      <c r="M33">
        <v>0.02</v>
      </c>
      <c r="N33">
        <v>63</v>
      </c>
      <c r="O33" t="s">
        <v>61</v>
      </c>
      <c r="Q33" t="s">
        <v>126</v>
      </c>
      <c r="R33" t="s">
        <v>1173</v>
      </c>
      <c r="S33" t="s">
        <v>222</v>
      </c>
    </row>
    <row r="34" spans="1:19" x14ac:dyDescent="0.25">
      <c r="A34" t="s">
        <v>30</v>
      </c>
      <c r="B34" t="s">
        <v>31</v>
      </c>
      <c r="C34" t="s">
        <v>32</v>
      </c>
      <c r="D34" t="s">
        <v>33</v>
      </c>
      <c r="E34" t="s">
        <v>122</v>
      </c>
      <c r="F34" t="s">
        <v>35</v>
      </c>
      <c r="G34" t="s">
        <v>35</v>
      </c>
      <c r="H34" t="s">
        <v>35</v>
      </c>
      <c r="J34" t="s">
        <v>1644</v>
      </c>
      <c r="K34" t="s">
        <v>1092</v>
      </c>
      <c r="M34">
        <v>1.19</v>
      </c>
      <c r="N34">
        <v>63</v>
      </c>
      <c r="O34" t="s">
        <v>61</v>
      </c>
      <c r="Q34" t="s">
        <v>126</v>
      </c>
      <c r="R34" t="s">
        <v>1173</v>
      </c>
      <c r="S34" t="s">
        <v>222</v>
      </c>
    </row>
    <row r="35" spans="1:19" x14ac:dyDescent="0.25">
      <c r="A35" t="s">
        <v>59</v>
      </c>
      <c r="B35" t="s">
        <v>60</v>
      </c>
      <c r="C35" t="s">
        <v>32</v>
      </c>
      <c r="D35" t="s">
        <v>33</v>
      </c>
      <c r="E35" t="s">
        <v>122</v>
      </c>
      <c r="F35" t="s">
        <v>35</v>
      </c>
      <c r="G35" t="s">
        <v>35</v>
      </c>
      <c r="H35" t="s">
        <v>35</v>
      </c>
      <c r="J35" t="s">
        <v>1646</v>
      </c>
      <c r="K35" t="s">
        <v>1092</v>
      </c>
      <c r="M35">
        <v>0.4</v>
      </c>
      <c r="N35">
        <v>63</v>
      </c>
      <c r="O35" t="s">
        <v>61</v>
      </c>
      <c r="Q35" t="s">
        <v>126</v>
      </c>
      <c r="R35" t="s">
        <v>1173</v>
      </c>
      <c r="S35" t="s">
        <v>222</v>
      </c>
    </row>
    <row r="36" spans="1:19" x14ac:dyDescent="0.25">
      <c r="A36" t="s">
        <v>44</v>
      </c>
      <c r="B36" t="s">
        <v>3</v>
      </c>
      <c r="C36" t="s">
        <v>32</v>
      </c>
      <c r="D36" t="s">
        <v>33</v>
      </c>
      <c r="E36" t="s">
        <v>172</v>
      </c>
      <c r="F36" t="s">
        <v>35</v>
      </c>
      <c r="G36" t="s">
        <v>35</v>
      </c>
      <c r="H36" t="s">
        <v>35</v>
      </c>
      <c r="J36" t="s">
        <v>1978</v>
      </c>
      <c r="K36" t="s">
        <v>1092</v>
      </c>
      <c r="M36">
        <v>0.5</v>
      </c>
      <c r="N36">
        <v>55</v>
      </c>
      <c r="O36" t="s">
        <v>52</v>
      </c>
      <c r="Q36" t="s">
        <v>90</v>
      </c>
      <c r="R36" t="s">
        <v>1932</v>
      </c>
      <c r="S36" t="s">
        <v>1915</v>
      </c>
    </row>
    <row r="37" spans="1:19" x14ac:dyDescent="0.25">
      <c r="A37" t="s">
        <v>59</v>
      </c>
      <c r="B37" t="s">
        <v>60</v>
      </c>
      <c r="C37" t="s">
        <v>32</v>
      </c>
      <c r="D37" t="s">
        <v>33</v>
      </c>
      <c r="F37" t="s">
        <v>35</v>
      </c>
      <c r="G37" t="s">
        <v>35</v>
      </c>
      <c r="H37" t="s">
        <v>35</v>
      </c>
      <c r="J37" t="s">
        <v>2269</v>
      </c>
      <c r="K37" t="s">
        <v>1092</v>
      </c>
      <c r="M37">
        <v>2.97</v>
      </c>
      <c r="N37">
        <v>1936</v>
      </c>
      <c r="O37" t="s">
        <v>575</v>
      </c>
      <c r="Q37" t="s">
        <v>2270</v>
      </c>
      <c r="R37" t="s">
        <v>1932</v>
      </c>
      <c r="S37" t="s">
        <v>1915</v>
      </c>
    </row>
    <row r="38" spans="1:19" x14ac:dyDescent="0.25">
      <c r="A38" t="s">
        <v>59</v>
      </c>
      <c r="B38" t="s">
        <v>60</v>
      </c>
      <c r="C38" t="s">
        <v>32</v>
      </c>
      <c r="D38" t="s">
        <v>33</v>
      </c>
      <c r="F38" t="s">
        <v>35</v>
      </c>
      <c r="G38" t="s">
        <v>35</v>
      </c>
      <c r="H38" t="s">
        <v>35</v>
      </c>
      <c r="J38" t="s">
        <v>2269</v>
      </c>
      <c r="K38" t="s">
        <v>1092</v>
      </c>
      <c r="M38">
        <v>5</v>
      </c>
      <c r="N38">
        <v>1879</v>
      </c>
      <c r="O38" t="s">
        <v>575</v>
      </c>
      <c r="Q38" t="s">
        <v>2271</v>
      </c>
      <c r="R38" t="s">
        <v>1932</v>
      </c>
      <c r="S38" t="s">
        <v>1915</v>
      </c>
    </row>
    <row r="39" spans="1:19" x14ac:dyDescent="0.25">
      <c r="A39" t="s">
        <v>44</v>
      </c>
      <c r="B39" t="s">
        <v>3</v>
      </c>
      <c r="C39" t="s">
        <v>32</v>
      </c>
      <c r="D39" t="s">
        <v>33</v>
      </c>
      <c r="E39" t="s">
        <v>172</v>
      </c>
      <c r="F39" t="s">
        <v>35</v>
      </c>
      <c r="G39" t="s">
        <v>35</v>
      </c>
      <c r="H39" t="s">
        <v>35</v>
      </c>
      <c r="J39" t="s">
        <v>1931</v>
      </c>
      <c r="K39" t="s">
        <v>1092</v>
      </c>
      <c r="M39">
        <v>1</v>
      </c>
      <c r="N39">
        <v>55</v>
      </c>
      <c r="O39" t="s">
        <v>52</v>
      </c>
      <c r="Q39" t="s">
        <v>90</v>
      </c>
      <c r="R39" t="s">
        <v>1932</v>
      </c>
      <c r="S39" t="s">
        <v>1915</v>
      </c>
    </row>
    <row r="40" spans="1:19" x14ac:dyDescent="0.25">
      <c r="A40" t="s">
        <v>44</v>
      </c>
      <c r="B40" t="s">
        <v>3</v>
      </c>
      <c r="C40" t="s">
        <v>32</v>
      </c>
      <c r="D40" t="s">
        <v>33</v>
      </c>
      <c r="F40" t="s">
        <v>35</v>
      </c>
      <c r="G40" t="s">
        <v>35</v>
      </c>
      <c r="H40" t="s">
        <v>35</v>
      </c>
      <c r="J40" t="s">
        <v>2381</v>
      </c>
      <c r="K40" t="s">
        <v>1092</v>
      </c>
      <c r="M40">
        <v>1</v>
      </c>
      <c r="N40">
        <v>55</v>
      </c>
      <c r="O40" t="s">
        <v>52</v>
      </c>
      <c r="Q40" t="s">
        <v>90</v>
      </c>
      <c r="R40" t="s">
        <v>1932</v>
      </c>
      <c r="S40" t="s">
        <v>1915</v>
      </c>
    </row>
    <row r="41" spans="1:19" x14ac:dyDescent="0.25">
      <c r="A41" t="s">
        <v>44</v>
      </c>
      <c r="B41" t="s">
        <v>3</v>
      </c>
      <c r="C41" t="s">
        <v>32</v>
      </c>
      <c r="D41" t="s">
        <v>33</v>
      </c>
      <c r="E41" t="s">
        <v>172</v>
      </c>
      <c r="F41" t="s">
        <v>35</v>
      </c>
      <c r="G41" t="s">
        <v>35</v>
      </c>
      <c r="H41" t="s">
        <v>35</v>
      </c>
      <c r="J41" t="s">
        <v>1940</v>
      </c>
      <c r="K41" t="s">
        <v>1092</v>
      </c>
      <c r="M41">
        <v>1.5</v>
      </c>
      <c r="N41">
        <v>40</v>
      </c>
      <c r="O41" t="s">
        <v>52</v>
      </c>
      <c r="Q41" t="s">
        <v>132</v>
      </c>
      <c r="R41" t="s">
        <v>1932</v>
      </c>
      <c r="S41" t="s">
        <v>1915</v>
      </c>
    </row>
    <row r="42" spans="1:19" x14ac:dyDescent="0.25">
      <c r="A42" t="s">
        <v>44</v>
      </c>
      <c r="B42" t="s">
        <v>3</v>
      </c>
      <c r="C42" t="s">
        <v>32</v>
      </c>
      <c r="D42" t="s">
        <v>33</v>
      </c>
      <c r="E42" t="s">
        <v>172</v>
      </c>
      <c r="F42" t="s">
        <v>35</v>
      </c>
      <c r="G42" t="s">
        <v>35</v>
      </c>
      <c r="H42" t="s">
        <v>35</v>
      </c>
      <c r="J42" t="s">
        <v>1982</v>
      </c>
      <c r="K42" t="s">
        <v>1092</v>
      </c>
      <c r="M42">
        <v>0.4</v>
      </c>
      <c r="N42">
        <v>55</v>
      </c>
      <c r="O42" t="s">
        <v>52</v>
      </c>
      <c r="Q42" t="s">
        <v>90</v>
      </c>
      <c r="R42" t="s">
        <v>1932</v>
      </c>
      <c r="S42" t="s">
        <v>1915</v>
      </c>
    </row>
    <row r="43" spans="1:19" x14ac:dyDescent="0.25">
      <c r="A43" t="s">
        <v>44</v>
      </c>
      <c r="B43" t="s">
        <v>3</v>
      </c>
      <c r="C43" t="s">
        <v>32</v>
      </c>
      <c r="D43" t="s">
        <v>33</v>
      </c>
      <c r="E43" t="s">
        <v>172</v>
      </c>
      <c r="F43" t="s">
        <v>35</v>
      </c>
      <c r="G43" t="s">
        <v>35</v>
      </c>
      <c r="H43" t="s">
        <v>35</v>
      </c>
      <c r="J43" t="s">
        <v>1970</v>
      </c>
      <c r="K43" t="s">
        <v>1092</v>
      </c>
      <c r="M43">
        <v>1</v>
      </c>
      <c r="N43">
        <v>55</v>
      </c>
      <c r="O43" t="s">
        <v>52</v>
      </c>
      <c r="Q43" t="s">
        <v>90</v>
      </c>
      <c r="R43" t="s">
        <v>1932</v>
      </c>
      <c r="S43" t="s">
        <v>1915</v>
      </c>
    </row>
    <row r="44" spans="1:19" x14ac:dyDescent="0.25">
      <c r="A44" t="s">
        <v>59</v>
      </c>
      <c r="B44" t="s">
        <v>60</v>
      </c>
      <c r="C44" t="s">
        <v>32</v>
      </c>
      <c r="D44" t="s">
        <v>33</v>
      </c>
      <c r="F44" t="s">
        <v>35</v>
      </c>
      <c r="G44" t="s">
        <v>35</v>
      </c>
      <c r="H44" t="s">
        <v>35</v>
      </c>
      <c r="J44" t="s">
        <v>2305</v>
      </c>
      <c r="K44" t="s">
        <v>1092</v>
      </c>
      <c r="M44">
        <v>0.05</v>
      </c>
      <c r="N44">
        <v>2599</v>
      </c>
      <c r="O44" t="s">
        <v>575</v>
      </c>
      <c r="Q44" t="s">
        <v>2306</v>
      </c>
      <c r="R44" t="s">
        <v>2307</v>
      </c>
      <c r="S44" t="s">
        <v>2308</v>
      </c>
    </row>
    <row r="45" spans="1:19" x14ac:dyDescent="0.25">
      <c r="A45" t="s">
        <v>59</v>
      </c>
      <c r="B45" t="s">
        <v>31</v>
      </c>
      <c r="C45" t="s">
        <v>32</v>
      </c>
      <c r="D45" t="s">
        <v>33</v>
      </c>
      <c r="E45" t="s">
        <v>34</v>
      </c>
      <c r="F45" t="s">
        <v>35</v>
      </c>
      <c r="G45" t="s">
        <v>35</v>
      </c>
      <c r="H45" t="s">
        <v>35</v>
      </c>
      <c r="J45" t="s">
        <v>1093</v>
      </c>
      <c r="K45" t="s">
        <v>1092</v>
      </c>
      <c r="M45">
        <v>0.85499999999999998</v>
      </c>
      <c r="N45">
        <v>721</v>
      </c>
      <c r="O45" t="s">
        <v>575</v>
      </c>
      <c r="Q45" t="s">
        <v>1096</v>
      </c>
      <c r="R45" t="s">
        <v>1097</v>
      </c>
      <c r="S45" t="s">
        <v>1098</v>
      </c>
    </row>
    <row r="46" spans="1:19" x14ac:dyDescent="0.25">
      <c r="A46" t="s">
        <v>59</v>
      </c>
      <c r="B46" t="s">
        <v>60</v>
      </c>
      <c r="C46" t="s">
        <v>32</v>
      </c>
      <c r="D46" t="s">
        <v>33</v>
      </c>
      <c r="E46" t="s">
        <v>196</v>
      </c>
      <c r="F46" t="s">
        <v>35</v>
      </c>
      <c r="G46" t="s">
        <v>35</v>
      </c>
      <c r="H46" t="s">
        <v>35</v>
      </c>
      <c r="J46" t="s">
        <v>2042</v>
      </c>
      <c r="K46" t="s">
        <v>1092</v>
      </c>
      <c r="M46">
        <v>2.8</v>
      </c>
      <c r="N46">
        <v>768</v>
      </c>
      <c r="O46" t="s">
        <v>575</v>
      </c>
      <c r="Q46" t="s">
        <v>2043</v>
      </c>
      <c r="R46" t="s">
        <v>1097</v>
      </c>
      <c r="S46" t="s">
        <v>1098</v>
      </c>
    </row>
    <row r="47" spans="1:19" x14ac:dyDescent="0.25">
      <c r="A47" t="s">
        <v>44</v>
      </c>
      <c r="B47" t="s">
        <v>3</v>
      </c>
      <c r="C47" t="s">
        <v>32</v>
      </c>
      <c r="D47" t="s">
        <v>33</v>
      </c>
      <c r="E47" t="s">
        <v>204</v>
      </c>
      <c r="F47" t="s">
        <v>35</v>
      </c>
      <c r="G47" t="s">
        <v>35</v>
      </c>
      <c r="H47" t="s">
        <v>35</v>
      </c>
      <c r="J47" t="s">
        <v>2120</v>
      </c>
      <c r="K47" t="s">
        <v>1092</v>
      </c>
      <c r="M47">
        <v>5.5</v>
      </c>
      <c r="N47">
        <v>61</v>
      </c>
      <c r="O47" t="s">
        <v>61</v>
      </c>
      <c r="Q47" t="s">
        <v>146</v>
      </c>
      <c r="R47" t="s">
        <v>1258</v>
      </c>
      <c r="S47" t="s">
        <v>194</v>
      </c>
    </row>
    <row r="48" spans="1:19" x14ac:dyDescent="0.25">
      <c r="A48" t="s">
        <v>44</v>
      </c>
      <c r="B48" t="s">
        <v>3</v>
      </c>
      <c r="C48" t="s">
        <v>32</v>
      </c>
      <c r="D48" t="s">
        <v>33</v>
      </c>
      <c r="E48" t="s">
        <v>172</v>
      </c>
      <c r="F48" t="s">
        <v>35</v>
      </c>
      <c r="G48" t="s">
        <v>35</v>
      </c>
      <c r="H48" t="s">
        <v>35</v>
      </c>
      <c r="J48" t="s">
        <v>1938</v>
      </c>
      <c r="K48" t="s">
        <v>1092</v>
      </c>
      <c r="M48">
        <v>0.45</v>
      </c>
      <c r="N48">
        <v>61</v>
      </c>
      <c r="O48" t="s">
        <v>61</v>
      </c>
      <c r="Q48" t="s">
        <v>146</v>
      </c>
      <c r="R48" t="s">
        <v>1258</v>
      </c>
      <c r="S48" t="s">
        <v>194</v>
      </c>
    </row>
    <row r="49" spans="1:19" x14ac:dyDescent="0.25">
      <c r="A49" t="s">
        <v>59</v>
      </c>
      <c r="B49" t="s">
        <v>60</v>
      </c>
      <c r="C49" t="s">
        <v>32</v>
      </c>
      <c r="D49" t="s">
        <v>33</v>
      </c>
      <c r="E49" t="s">
        <v>172</v>
      </c>
      <c r="F49" t="s">
        <v>35</v>
      </c>
      <c r="G49" t="s">
        <v>35</v>
      </c>
      <c r="H49" t="s">
        <v>35</v>
      </c>
      <c r="J49" t="s">
        <v>1938</v>
      </c>
      <c r="K49" t="s">
        <v>1092</v>
      </c>
      <c r="M49">
        <v>0.57499999999999996</v>
      </c>
      <c r="N49">
        <v>90</v>
      </c>
      <c r="O49" t="s">
        <v>61</v>
      </c>
      <c r="Q49" t="s">
        <v>557</v>
      </c>
      <c r="R49" t="s">
        <v>1258</v>
      </c>
      <c r="S49" t="s">
        <v>194</v>
      </c>
    </row>
    <row r="50" spans="1:19" x14ac:dyDescent="0.25">
      <c r="A50" t="s">
        <v>59</v>
      </c>
      <c r="B50" t="s">
        <v>60</v>
      </c>
      <c r="C50" t="s">
        <v>32</v>
      </c>
      <c r="D50" t="s">
        <v>33</v>
      </c>
      <c r="E50" t="s">
        <v>177</v>
      </c>
      <c r="F50" t="s">
        <v>35</v>
      </c>
      <c r="G50" t="s">
        <v>35</v>
      </c>
      <c r="H50" t="s">
        <v>35</v>
      </c>
      <c r="J50" t="s">
        <v>2012</v>
      </c>
      <c r="K50" t="s">
        <v>1092</v>
      </c>
      <c r="M50">
        <v>8.5</v>
      </c>
      <c r="N50">
        <v>2</v>
      </c>
      <c r="O50" t="s">
        <v>46</v>
      </c>
      <c r="Q50" t="s">
        <v>2009</v>
      </c>
      <c r="R50" t="s">
        <v>1258</v>
      </c>
      <c r="S50" t="s">
        <v>194</v>
      </c>
    </row>
    <row r="51" spans="1:19" x14ac:dyDescent="0.25">
      <c r="A51" t="s">
        <v>44</v>
      </c>
      <c r="B51" t="s">
        <v>3</v>
      </c>
      <c r="C51" t="s">
        <v>32</v>
      </c>
      <c r="D51" t="s">
        <v>33</v>
      </c>
      <c r="E51" t="s">
        <v>177</v>
      </c>
      <c r="F51" t="s">
        <v>35</v>
      </c>
      <c r="G51" t="s">
        <v>35</v>
      </c>
      <c r="H51" t="s">
        <v>35</v>
      </c>
      <c r="J51" t="s">
        <v>2012</v>
      </c>
      <c r="K51" t="s">
        <v>1092</v>
      </c>
      <c r="M51">
        <v>4.5</v>
      </c>
      <c r="N51">
        <v>2</v>
      </c>
      <c r="O51" t="s">
        <v>46</v>
      </c>
      <c r="Q51" t="s">
        <v>2009</v>
      </c>
      <c r="R51" t="s">
        <v>1258</v>
      </c>
      <c r="S51" t="s">
        <v>194</v>
      </c>
    </row>
    <row r="52" spans="1:19" x14ac:dyDescent="0.25">
      <c r="A52" t="s">
        <v>44</v>
      </c>
      <c r="B52" t="s">
        <v>51</v>
      </c>
      <c r="C52" t="s">
        <v>32</v>
      </c>
      <c r="D52" t="s">
        <v>33</v>
      </c>
      <c r="E52" t="s">
        <v>177</v>
      </c>
      <c r="F52" t="s">
        <v>35</v>
      </c>
      <c r="G52" t="s">
        <v>35</v>
      </c>
      <c r="H52" t="s">
        <v>35</v>
      </c>
      <c r="J52" t="s">
        <v>2012</v>
      </c>
      <c r="K52" t="s">
        <v>1092</v>
      </c>
      <c r="M52">
        <v>16.8</v>
      </c>
      <c r="N52">
        <v>11</v>
      </c>
      <c r="O52" t="s">
        <v>46</v>
      </c>
      <c r="Q52" t="s">
        <v>1476</v>
      </c>
      <c r="R52" t="s">
        <v>1258</v>
      </c>
      <c r="S52" t="s">
        <v>194</v>
      </c>
    </row>
    <row r="53" spans="1:19" x14ac:dyDescent="0.25">
      <c r="A53" t="s">
        <v>30</v>
      </c>
      <c r="B53" t="s">
        <v>31</v>
      </c>
      <c r="C53" t="s">
        <v>32</v>
      </c>
      <c r="D53" t="s">
        <v>33</v>
      </c>
      <c r="E53" t="s">
        <v>177</v>
      </c>
      <c r="F53" t="s">
        <v>35</v>
      </c>
      <c r="G53" t="s">
        <v>35</v>
      </c>
      <c r="H53" t="s">
        <v>35</v>
      </c>
      <c r="J53" t="s">
        <v>2012</v>
      </c>
      <c r="K53" t="s">
        <v>1092</v>
      </c>
      <c r="M53">
        <v>16.12</v>
      </c>
      <c r="N53">
        <v>11</v>
      </c>
      <c r="O53" t="s">
        <v>46</v>
      </c>
      <c r="Q53" t="s">
        <v>1476</v>
      </c>
      <c r="R53" t="s">
        <v>1258</v>
      </c>
      <c r="S53" t="s">
        <v>194</v>
      </c>
    </row>
    <row r="54" spans="1:19" x14ac:dyDescent="0.25">
      <c r="A54" t="s">
        <v>59</v>
      </c>
      <c r="B54" t="s">
        <v>60</v>
      </c>
      <c r="C54" t="s">
        <v>32</v>
      </c>
      <c r="D54" t="s">
        <v>33</v>
      </c>
      <c r="E54" t="s">
        <v>177</v>
      </c>
      <c r="F54" t="s">
        <v>35</v>
      </c>
      <c r="G54" t="s">
        <v>35</v>
      </c>
      <c r="H54" t="s">
        <v>35</v>
      </c>
      <c r="J54" t="s">
        <v>2012</v>
      </c>
      <c r="K54" t="s">
        <v>1092</v>
      </c>
      <c r="M54">
        <v>0.25</v>
      </c>
      <c r="N54">
        <v>11</v>
      </c>
      <c r="O54" t="s">
        <v>46</v>
      </c>
      <c r="Q54" t="s">
        <v>1476</v>
      </c>
      <c r="R54" t="s">
        <v>1258</v>
      </c>
      <c r="S54" t="s">
        <v>194</v>
      </c>
    </row>
    <row r="55" spans="1:19" x14ac:dyDescent="0.25">
      <c r="A55" t="s">
        <v>59</v>
      </c>
      <c r="B55" t="s">
        <v>31</v>
      </c>
      <c r="C55" t="s">
        <v>32</v>
      </c>
      <c r="D55" t="s">
        <v>33</v>
      </c>
      <c r="E55" t="s">
        <v>177</v>
      </c>
      <c r="F55" t="s">
        <v>35</v>
      </c>
      <c r="G55" t="s">
        <v>35</v>
      </c>
      <c r="H55" t="s">
        <v>35</v>
      </c>
      <c r="J55" t="s">
        <v>2012</v>
      </c>
      <c r="K55" t="s">
        <v>1092</v>
      </c>
      <c r="M55">
        <v>17.8</v>
      </c>
      <c r="N55">
        <v>2</v>
      </c>
      <c r="O55" t="s">
        <v>46</v>
      </c>
      <c r="Q55" t="s">
        <v>2009</v>
      </c>
      <c r="R55" t="s">
        <v>1258</v>
      </c>
      <c r="S55" t="s">
        <v>194</v>
      </c>
    </row>
    <row r="56" spans="1:19" x14ac:dyDescent="0.25">
      <c r="A56" t="s">
        <v>59</v>
      </c>
      <c r="B56" t="s">
        <v>31</v>
      </c>
      <c r="C56" t="s">
        <v>32</v>
      </c>
      <c r="D56" t="s">
        <v>33</v>
      </c>
      <c r="E56" t="s">
        <v>122</v>
      </c>
      <c r="F56" t="s">
        <v>35</v>
      </c>
      <c r="G56" t="s">
        <v>35</v>
      </c>
      <c r="H56" t="s">
        <v>35</v>
      </c>
      <c r="J56" t="s">
        <v>1669</v>
      </c>
      <c r="K56" t="s">
        <v>1092</v>
      </c>
      <c r="M56">
        <v>0.02</v>
      </c>
      <c r="N56">
        <v>69</v>
      </c>
      <c r="O56" t="s">
        <v>61</v>
      </c>
      <c r="Q56" t="s">
        <v>234</v>
      </c>
      <c r="R56" t="s">
        <v>1258</v>
      </c>
      <c r="S56" t="s">
        <v>194</v>
      </c>
    </row>
    <row r="57" spans="1:19" x14ac:dyDescent="0.25">
      <c r="A57" t="s">
        <v>30</v>
      </c>
      <c r="B57" t="s">
        <v>31</v>
      </c>
      <c r="C57" t="s">
        <v>32</v>
      </c>
      <c r="D57" t="s">
        <v>33</v>
      </c>
      <c r="E57" t="s">
        <v>122</v>
      </c>
      <c r="F57" t="s">
        <v>35</v>
      </c>
      <c r="G57" t="s">
        <v>35</v>
      </c>
      <c r="H57" t="s">
        <v>35</v>
      </c>
      <c r="J57" t="s">
        <v>1669</v>
      </c>
      <c r="K57" t="s">
        <v>1092</v>
      </c>
      <c r="M57">
        <v>0.27</v>
      </c>
      <c r="N57">
        <v>38</v>
      </c>
      <c r="O57" t="s">
        <v>52</v>
      </c>
      <c r="Q57" t="s">
        <v>716</v>
      </c>
      <c r="R57" t="s">
        <v>1258</v>
      </c>
      <c r="S57" t="s">
        <v>194</v>
      </c>
    </row>
    <row r="58" spans="1:19" x14ac:dyDescent="0.25">
      <c r="A58" t="s">
        <v>30</v>
      </c>
      <c r="B58" t="s">
        <v>31</v>
      </c>
      <c r="C58" t="s">
        <v>32</v>
      </c>
      <c r="D58" t="s">
        <v>33</v>
      </c>
      <c r="E58" t="s">
        <v>122</v>
      </c>
      <c r="F58" t="s">
        <v>35</v>
      </c>
      <c r="G58" t="s">
        <v>35</v>
      </c>
      <c r="H58" t="s">
        <v>35</v>
      </c>
      <c r="J58" t="s">
        <v>1745</v>
      </c>
      <c r="K58" t="s">
        <v>1092</v>
      </c>
      <c r="M58">
        <v>2.7450000000000001</v>
      </c>
      <c r="N58">
        <v>38</v>
      </c>
      <c r="O58" t="s">
        <v>52</v>
      </c>
      <c r="Q58" t="s">
        <v>716</v>
      </c>
      <c r="R58" t="s">
        <v>1258</v>
      </c>
      <c r="S58" t="s">
        <v>194</v>
      </c>
    </row>
    <row r="59" spans="1:19" x14ac:dyDescent="0.25">
      <c r="A59" t="s">
        <v>59</v>
      </c>
      <c r="B59" t="s">
        <v>31</v>
      </c>
      <c r="C59" t="s">
        <v>32</v>
      </c>
      <c r="D59" t="s">
        <v>33</v>
      </c>
      <c r="E59" t="s">
        <v>122</v>
      </c>
      <c r="F59" t="s">
        <v>35</v>
      </c>
      <c r="G59" t="s">
        <v>35</v>
      </c>
      <c r="H59" t="s">
        <v>35</v>
      </c>
      <c r="J59" t="s">
        <v>1745</v>
      </c>
      <c r="K59" t="s">
        <v>1092</v>
      </c>
      <c r="M59">
        <v>3.15</v>
      </c>
      <c r="N59">
        <v>69</v>
      </c>
      <c r="O59" t="s">
        <v>61</v>
      </c>
      <c r="Q59" t="s">
        <v>234</v>
      </c>
      <c r="R59" t="s">
        <v>1258</v>
      </c>
      <c r="S59" t="s">
        <v>194</v>
      </c>
    </row>
    <row r="60" spans="1:19" x14ac:dyDescent="0.25">
      <c r="A60" t="s">
        <v>59</v>
      </c>
      <c r="B60" t="s">
        <v>31</v>
      </c>
      <c r="C60" t="s">
        <v>32</v>
      </c>
      <c r="D60" t="s">
        <v>33</v>
      </c>
      <c r="E60" t="s">
        <v>122</v>
      </c>
      <c r="F60" t="s">
        <v>35</v>
      </c>
      <c r="G60" t="s">
        <v>35</v>
      </c>
      <c r="H60" t="s">
        <v>35</v>
      </c>
      <c r="J60" t="s">
        <v>1745</v>
      </c>
      <c r="K60" t="s">
        <v>1092</v>
      </c>
      <c r="M60">
        <v>3.15</v>
      </c>
      <c r="N60">
        <v>85</v>
      </c>
      <c r="O60" t="s">
        <v>61</v>
      </c>
      <c r="Q60" t="s">
        <v>1100</v>
      </c>
      <c r="R60" t="s">
        <v>1258</v>
      </c>
      <c r="S60" t="s">
        <v>194</v>
      </c>
    </row>
    <row r="61" spans="1:19" x14ac:dyDescent="0.25">
      <c r="A61" t="s">
        <v>59</v>
      </c>
      <c r="B61" t="s">
        <v>60</v>
      </c>
      <c r="C61" t="s">
        <v>32</v>
      </c>
      <c r="D61" t="s">
        <v>33</v>
      </c>
      <c r="E61" t="s">
        <v>122</v>
      </c>
      <c r="F61" t="s">
        <v>35</v>
      </c>
      <c r="G61" t="s">
        <v>35</v>
      </c>
      <c r="H61" t="s">
        <v>35</v>
      </c>
      <c r="J61" t="s">
        <v>1745</v>
      </c>
      <c r="K61" t="s">
        <v>1092</v>
      </c>
      <c r="M61">
        <v>3</v>
      </c>
      <c r="N61">
        <v>85</v>
      </c>
      <c r="O61" t="s">
        <v>61</v>
      </c>
      <c r="Q61" t="s">
        <v>1100</v>
      </c>
      <c r="R61" t="s">
        <v>1258</v>
      </c>
      <c r="S61" t="s">
        <v>194</v>
      </c>
    </row>
    <row r="62" spans="1:19" x14ac:dyDescent="0.25">
      <c r="A62" t="s">
        <v>59</v>
      </c>
      <c r="B62" t="s">
        <v>31</v>
      </c>
      <c r="C62" t="s">
        <v>32</v>
      </c>
      <c r="D62" t="s">
        <v>33</v>
      </c>
      <c r="E62" t="s">
        <v>122</v>
      </c>
      <c r="F62" t="s">
        <v>35</v>
      </c>
      <c r="G62" t="s">
        <v>35</v>
      </c>
      <c r="H62" t="s">
        <v>35</v>
      </c>
      <c r="J62" t="s">
        <v>1745</v>
      </c>
      <c r="K62" t="s">
        <v>1092</v>
      </c>
      <c r="M62">
        <v>4.4999999999999998E-2</v>
      </c>
      <c r="N62">
        <v>215</v>
      </c>
      <c r="O62" t="s">
        <v>5</v>
      </c>
      <c r="Q62" t="s">
        <v>1746</v>
      </c>
      <c r="R62" t="s">
        <v>1258</v>
      </c>
      <c r="S62" t="s">
        <v>194</v>
      </c>
    </row>
    <row r="63" spans="1:19" x14ac:dyDescent="0.25">
      <c r="A63" t="s">
        <v>59</v>
      </c>
      <c r="B63" t="s">
        <v>60</v>
      </c>
      <c r="C63" t="s">
        <v>32</v>
      </c>
      <c r="D63" t="s">
        <v>33</v>
      </c>
      <c r="E63" t="s">
        <v>122</v>
      </c>
      <c r="F63" t="s">
        <v>35</v>
      </c>
      <c r="G63" t="s">
        <v>35</v>
      </c>
      <c r="H63" t="s">
        <v>35</v>
      </c>
      <c r="J63" t="s">
        <v>1745</v>
      </c>
      <c r="K63" t="s">
        <v>1092</v>
      </c>
      <c r="M63">
        <v>0.95</v>
      </c>
      <c r="N63">
        <v>248</v>
      </c>
      <c r="O63" t="s">
        <v>5</v>
      </c>
      <c r="Q63" t="s">
        <v>1747</v>
      </c>
      <c r="R63" t="s">
        <v>1258</v>
      </c>
      <c r="S63" t="s">
        <v>194</v>
      </c>
    </row>
    <row r="64" spans="1:19" x14ac:dyDescent="0.25">
      <c r="A64" t="s">
        <v>44</v>
      </c>
      <c r="B64" t="s">
        <v>3</v>
      </c>
      <c r="C64" t="s">
        <v>32</v>
      </c>
      <c r="D64" t="s">
        <v>33</v>
      </c>
      <c r="E64" t="s">
        <v>172</v>
      </c>
      <c r="F64" t="s">
        <v>35</v>
      </c>
      <c r="G64" t="s">
        <v>35</v>
      </c>
      <c r="H64" t="s">
        <v>35</v>
      </c>
      <c r="J64" t="s">
        <v>1909</v>
      </c>
      <c r="K64" t="s">
        <v>1092</v>
      </c>
      <c r="M64">
        <v>0.15</v>
      </c>
      <c r="N64">
        <v>61</v>
      </c>
      <c r="O64" t="s">
        <v>61</v>
      </c>
      <c r="Q64" t="s">
        <v>146</v>
      </c>
      <c r="R64" t="s">
        <v>1258</v>
      </c>
      <c r="S64" t="s">
        <v>194</v>
      </c>
    </row>
    <row r="65" spans="1:19" x14ac:dyDescent="0.25">
      <c r="A65" t="s">
        <v>59</v>
      </c>
      <c r="B65" t="s">
        <v>60</v>
      </c>
      <c r="C65" t="s">
        <v>32</v>
      </c>
      <c r="D65" t="s">
        <v>33</v>
      </c>
      <c r="E65" t="s">
        <v>172</v>
      </c>
      <c r="F65" t="s">
        <v>35</v>
      </c>
      <c r="G65" t="s">
        <v>35</v>
      </c>
      <c r="H65" t="s">
        <v>35</v>
      </c>
      <c r="J65" t="s">
        <v>1909</v>
      </c>
      <c r="K65" t="s">
        <v>1092</v>
      </c>
      <c r="M65">
        <v>0.05</v>
      </c>
      <c r="N65">
        <v>69</v>
      </c>
      <c r="O65" t="s">
        <v>61</v>
      </c>
      <c r="Q65" t="s">
        <v>234</v>
      </c>
      <c r="R65" t="s">
        <v>1258</v>
      </c>
      <c r="S65" t="s">
        <v>194</v>
      </c>
    </row>
    <row r="66" spans="1:19" x14ac:dyDescent="0.25">
      <c r="A66" t="s">
        <v>59</v>
      </c>
      <c r="B66" t="s">
        <v>31</v>
      </c>
      <c r="C66" t="s">
        <v>32</v>
      </c>
      <c r="D66" t="s">
        <v>33</v>
      </c>
      <c r="E66" t="s">
        <v>122</v>
      </c>
      <c r="F66" t="s">
        <v>35</v>
      </c>
      <c r="G66" t="s">
        <v>35</v>
      </c>
      <c r="H66" t="s">
        <v>35</v>
      </c>
      <c r="J66" t="s">
        <v>1680</v>
      </c>
      <c r="K66" t="s">
        <v>1092</v>
      </c>
      <c r="M66">
        <v>1.53</v>
      </c>
      <c r="N66">
        <v>69</v>
      </c>
      <c r="O66" t="s">
        <v>61</v>
      </c>
      <c r="Q66" t="s">
        <v>234</v>
      </c>
      <c r="R66" t="s">
        <v>1258</v>
      </c>
      <c r="S66" t="s">
        <v>194</v>
      </c>
    </row>
    <row r="67" spans="1:19" x14ac:dyDescent="0.25">
      <c r="A67" t="s">
        <v>30</v>
      </c>
      <c r="B67" t="s">
        <v>31</v>
      </c>
      <c r="C67" t="s">
        <v>32</v>
      </c>
      <c r="D67" t="s">
        <v>33</v>
      </c>
      <c r="E67" t="s">
        <v>122</v>
      </c>
      <c r="F67" t="s">
        <v>35</v>
      </c>
      <c r="G67" t="s">
        <v>35</v>
      </c>
      <c r="H67" t="s">
        <v>35</v>
      </c>
      <c r="J67" t="s">
        <v>1680</v>
      </c>
      <c r="K67" t="s">
        <v>1092</v>
      </c>
      <c r="M67">
        <v>0.01</v>
      </c>
      <c r="N67">
        <v>275</v>
      </c>
      <c r="O67" t="s">
        <v>5</v>
      </c>
      <c r="Q67" t="s">
        <v>1225</v>
      </c>
      <c r="R67" t="s">
        <v>1258</v>
      </c>
      <c r="S67" t="s">
        <v>194</v>
      </c>
    </row>
    <row r="68" spans="1:19" x14ac:dyDescent="0.25">
      <c r="A68" t="s">
        <v>59</v>
      </c>
      <c r="B68" t="s">
        <v>60</v>
      </c>
      <c r="C68" t="s">
        <v>32</v>
      </c>
      <c r="D68" t="s">
        <v>33</v>
      </c>
      <c r="E68" t="s">
        <v>122</v>
      </c>
      <c r="F68" t="s">
        <v>35</v>
      </c>
      <c r="G68" t="s">
        <v>35</v>
      </c>
      <c r="H68" t="s">
        <v>35</v>
      </c>
      <c r="J68" t="s">
        <v>1680</v>
      </c>
      <c r="K68" t="s">
        <v>1092</v>
      </c>
      <c r="M68">
        <v>1.5</v>
      </c>
      <c r="N68">
        <v>69</v>
      </c>
      <c r="O68" t="s">
        <v>61</v>
      </c>
      <c r="Q68" t="s">
        <v>234</v>
      </c>
      <c r="R68" t="s">
        <v>1258</v>
      </c>
      <c r="S68" t="s">
        <v>194</v>
      </c>
    </row>
    <row r="69" spans="1:19" x14ac:dyDescent="0.25">
      <c r="A69" t="s">
        <v>59</v>
      </c>
      <c r="B69" t="s">
        <v>60</v>
      </c>
      <c r="C69" t="s">
        <v>32</v>
      </c>
      <c r="D69" t="s">
        <v>33</v>
      </c>
      <c r="E69" t="s">
        <v>1520</v>
      </c>
      <c r="F69" t="s">
        <v>35</v>
      </c>
      <c r="G69" t="s">
        <v>35</v>
      </c>
      <c r="H69" t="s">
        <v>35</v>
      </c>
      <c r="J69" t="s">
        <v>1543</v>
      </c>
      <c r="K69" t="s">
        <v>1092</v>
      </c>
      <c r="M69">
        <v>0.95</v>
      </c>
      <c r="N69">
        <v>250</v>
      </c>
      <c r="O69" t="s">
        <v>5</v>
      </c>
      <c r="Q69" t="s">
        <v>1286</v>
      </c>
      <c r="R69" t="s">
        <v>1258</v>
      </c>
      <c r="S69" t="s">
        <v>194</v>
      </c>
    </row>
    <row r="70" spans="1:19" x14ac:dyDescent="0.25">
      <c r="A70" t="s">
        <v>30</v>
      </c>
      <c r="B70" t="s">
        <v>31</v>
      </c>
      <c r="C70" t="s">
        <v>32</v>
      </c>
      <c r="D70" t="s">
        <v>33</v>
      </c>
      <c r="E70" t="s">
        <v>1520</v>
      </c>
      <c r="F70" t="s">
        <v>35</v>
      </c>
      <c r="G70" t="s">
        <v>35</v>
      </c>
      <c r="H70" t="s">
        <v>35</v>
      </c>
      <c r="J70" t="s">
        <v>1543</v>
      </c>
      <c r="K70" t="s">
        <v>1092</v>
      </c>
      <c r="M70">
        <v>2.56</v>
      </c>
      <c r="N70">
        <v>223</v>
      </c>
      <c r="O70" t="s">
        <v>5</v>
      </c>
      <c r="Q70" t="s">
        <v>1544</v>
      </c>
      <c r="R70" t="s">
        <v>1258</v>
      </c>
      <c r="S70" t="s">
        <v>194</v>
      </c>
    </row>
    <row r="71" spans="1:19" x14ac:dyDescent="0.25">
      <c r="A71" t="s">
        <v>59</v>
      </c>
      <c r="B71" t="s">
        <v>60</v>
      </c>
      <c r="C71" t="s">
        <v>32</v>
      </c>
      <c r="D71" t="s">
        <v>33</v>
      </c>
      <c r="E71" t="s">
        <v>172</v>
      </c>
      <c r="F71" t="s">
        <v>35</v>
      </c>
      <c r="G71" t="s">
        <v>35</v>
      </c>
      <c r="H71" t="s">
        <v>35</v>
      </c>
      <c r="J71" t="s">
        <v>1917</v>
      </c>
      <c r="K71" t="s">
        <v>1092</v>
      </c>
      <c r="M71">
        <v>1.35</v>
      </c>
      <c r="N71">
        <v>69</v>
      </c>
      <c r="O71" t="s">
        <v>61</v>
      </c>
      <c r="Q71" t="s">
        <v>234</v>
      </c>
      <c r="R71" t="s">
        <v>1258</v>
      </c>
      <c r="S71" t="s">
        <v>194</v>
      </c>
    </row>
    <row r="72" spans="1:19" x14ac:dyDescent="0.25">
      <c r="A72" t="s">
        <v>59</v>
      </c>
      <c r="B72" t="s">
        <v>31</v>
      </c>
      <c r="C72" t="s">
        <v>32</v>
      </c>
      <c r="D72" t="s">
        <v>33</v>
      </c>
      <c r="E72" t="s">
        <v>172</v>
      </c>
      <c r="F72" t="s">
        <v>35</v>
      </c>
      <c r="G72" t="s">
        <v>35</v>
      </c>
      <c r="H72" t="s">
        <v>35</v>
      </c>
      <c r="J72" t="s">
        <v>50</v>
      </c>
      <c r="K72" t="s">
        <v>1092</v>
      </c>
      <c r="M72">
        <v>4.32</v>
      </c>
      <c r="N72">
        <v>69</v>
      </c>
      <c r="O72" t="s">
        <v>61</v>
      </c>
      <c r="Q72" t="s">
        <v>234</v>
      </c>
      <c r="R72" t="s">
        <v>1258</v>
      </c>
      <c r="S72" t="s">
        <v>194</v>
      </c>
    </row>
    <row r="73" spans="1:19" x14ac:dyDescent="0.25">
      <c r="A73" t="s">
        <v>59</v>
      </c>
      <c r="B73" t="s">
        <v>60</v>
      </c>
      <c r="C73" t="s">
        <v>32</v>
      </c>
      <c r="D73" t="s">
        <v>33</v>
      </c>
      <c r="E73" t="s">
        <v>172</v>
      </c>
      <c r="F73" t="s">
        <v>35</v>
      </c>
      <c r="G73" t="s">
        <v>35</v>
      </c>
      <c r="H73" t="s">
        <v>35</v>
      </c>
      <c r="J73" t="s">
        <v>50</v>
      </c>
      <c r="K73" t="s">
        <v>1092</v>
      </c>
      <c r="M73">
        <v>5</v>
      </c>
      <c r="N73">
        <v>69</v>
      </c>
      <c r="O73" t="s">
        <v>61</v>
      </c>
      <c r="Q73" t="s">
        <v>234</v>
      </c>
      <c r="R73" t="s">
        <v>1258</v>
      </c>
      <c r="S73" t="s">
        <v>194</v>
      </c>
    </row>
    <row r="74" spans="1:19" x14ac:dyDescent="0.25">
      <c r="A74" t="s">
        <v>59</v>
      </c>
      <c r="B74" t="s">
        <v>60</v>
      </c>
      <c r="C74" t="s">
        <v>32</v>
      </c>
      <c r="D74" t="s">
        <v>33</v>
      </c>
      <c r="E74" t="s">
        <v>172</v>
      </c>
      <c r="F74" t="s">
        <v>35</v>
      </c>
      <c r="G74" t="s">
        <v>35</v>
      </c>
      <c r="H74" t="s">
        <v>35</v>
      </c>
      <c r="J74" t="s">
        <v>1963</v>
      </c>
      <c r="K74" t="s">
        <v>1092</v>
      </c>
      <c r="M74">
        <v>5.5</v>
      </c>
      <c r="N74">
        <v>69</v>
      </c>
      <c r="O74" t="s">
        <v>61</v>
      </c>
      <c r="Q74" t="s">
        <v>234</v>
      </c>
      <c r="R74" t="s">
        <v>1258</v>
      </c>
      <c r="S74" t="s">
        <v>194</v>
      </c>
    </row>
    <row r="75" spans="1:19" x14ac:dyDescent="0.25">
      <c r="A75" t="s">
        <v>59</v>
      </c>
      <c r="B75" t="s">
        <v>60</v>
      </c>
      <c r="C75" t="s">
        <v>32</v>
      </c>
      <c r="D75" t="s">
        <v>33</v>
      </c>
      <c r="F75" t="s">
        <v>35</v>
      </c>
      <c r="G75" t="s">
        <v>35</v>
      </c>
      <c r="H75" t="s">
        <v>35</v>
      </c>
      <c r="J75" t="s">
        <v>2219</v>
      </c>
      <c r="K75" t="s">
        <v>1092</v>
      </c>
      <c r="M75">
        <v>1</v>
      </c>
      <c r="N75">
        <v>59</v>
      </c>
      <c r="O75" t="s">
        <v>52</v>
      </c>
      <c r="Q75" t="s">
        <v>203</v>
      </c>
      <c r="R75" t="s">
        <v>1258</v>
      </c>
      <c r="S75" t="s">
        <v>194</v>
      </c>
    </row>
    <row r="76" spans="1:19" x14ac:dyDescent="0.25">
      <c r="A76" t="s">
        <v>30</v>
      </c>
      <c r="B76" t="s">
        <v>31</v>
      </c>
      <c r="C76" t="s">
        <v>32</v>
      </c>
      <c r="D76" t="s">
        <v>33</v>
      </c>
      <c r="F76" t="s">
        <v>35</v>
      </c>
      <c r="G76" t="s">
        <v>35</v>
      </c>
      <c r="H76" t="s">
        <v>35</v>
      </c>
      <c r="J76" t="s">
        <v>2219</v>
      </c>
      <c r="K76" t="s">
        <v>1092</v>
      </c>
      <c r="M76">
        <v>1.155</v>
      </c>
      <c r="N76">
        <v>59</v>
      </c>
      <c r="O76" t="s">
        <v>52</v>
      </c>
      <c r="Q76" t="s">
        <v>203</v>
      </c>
      <c r="R76" t="s">
        <v>1258</v>
      </c>
      <c r="S76" t="s">
        <v>194</v>
      </c>
    </row>
    <row r="77" spans="1:19" x14ac:dyDescent="0.25">
      <c r="A77" t="s">
        <v>44</v>
      </c>
      <c r="B77" t="s">
        <v>3</v>
      </c>
      <c r="C77" t="s">
        <v>32</v>
      </c>
      <c r="D77" t="s">
        <v>33</v>
      </c>
      <c r="F77" t="s">
        <v>35</v>
      </c>
      <c r="G77" t="s">
        <v>35</v>
      </c>
      <c r="H77" t="s">
        <v>35</v>
      </c>
      <c r="J77" t="s">
        <v>2219</v>
      </c>
      <c r="K77" t="s">
        <v>1092</v>
      </c>
      <c r="M77">
        <v>2.4500000000000002</v>
      </c>
      <c r="N77">
        <v>61</v>
      </c>
      <c r="O77" t="s">
        <v>61</v>
      </c>
      <c r="Q77" t="s">
        <v>146</v>
      </c>
      <c r="R77" t="s">
        <v>1258</v>
      </c>
      <c r="S77" t="s">
        <v>194</v>
      </c>
    </row>
    <row r="78" spans="1:19" x14ac:dyDescent="0.25">
      <c r="A78" t="s">
        <v>59</v>
      </c>
      <c r="B78" t="s">
        <v>60</v>
      </c>
      <c r="C78" t="s">
        <v>32</v>
      </c>
      <c r="D78" t="s">
        <v>33</v>
      </c>
      <c r="E78" t="s">
        <v>204</v>
      </c>
      <c r="F78" t="s">
        <v>35</v>
      </c>
      <c r="G78" t="s">
        <v>35</v>
      </c>
      <c r="H78" t="s">
        <v>35</v>
      </c>
      <c r="J78" t="s">
        <v>2139</v>
      </c>
      <c r="K78" t="s">
        <v>1092</v>
      </c>
      <c r="M78">
        <v>2.15</v>
      </c>
      <c r="N78">
        <v>142</v>
      </c>
      <c r="O78" t="s">
        <v>38</v>
      </c>
      <c r="Q78" t="s">
        <v>73</v>
      </c>
      <c r="R78" t="s">
        <v>1258</v>
      </c>
      <c r="S78" t="s">
        <v>194</v>
      </c>
    </row>
    <row r="79" spans="1:19" x14ac:dyDescent="0.25">
      <c r="A79" t="s">
        <v>59</v>
      </c>
      <c r="B79" t="s">
        <v>31</v>
      </c>
      <c r="C79" t="s">
        <v>32</v>
      </c>
      <c r="D79" t="s">
        <v>33</v>
      </c>
      <c r="E79" t="s">
        <v>122</v>
      </c>
      <c r="F79" t="s">
        <v>35</v>
      </c>
      <c r="G79" t="s">
        <v>35</v>
      </c>
      <c r="H79" t="s">
        <v>35</v>
      </c>
      <c r="J79" t="s">
        <v>1690</v>
      </c>
      <c r="K79" t="s">
        <v>1092</v>
      </c>
      <c r="M79">
        <v>4.68</v>
      </c>
      <c r="N79">
        <v>69</v>
      </c>
      <c r="O79" t="s">
        <v>61</v>
      </c>
      <c r="Q79" t="s">
        <v>234</v>
      </c>
      <c r="R79" t="s">
        <v>1258</v>
      </c>
      <c r="S79" t="s">
        <v>194</v>
      </c>
    </row>
    <row r="80" spans="1:19" x14ac:dyDescent="0.25">
      <c r="A80" t="s">
        <v>59</v>
      </c>
      <c r="B80" t="s">
        <v>31</v>
      </c>
      <c r="C80" t="s">
        <v>32</v>
      </c>
      <c r="D80" t="s">
        <v>33</v>
      </c>
      <c r="E80" t="s">
        <v>122</v>
      </c>
      <c r="F80" t="s">
        <v>35</v>
      </c>
      <c r="G80" t="s">
        <v>35</v>
      </c>
      <c r="H80" t="s">
        <v>35</v>
      </c>
      <c r="J80" t="s">
        <v>1690</v>
      </c>
      <c r="K80" t="s">
        <v>1092</v>
      </c>
      <c r="M80">
        <v>3.6</v>
      </c>
      <c r="N80">
        <v>85</v>
      </c>
      <c r="O80" t="s">
        <v>61</v>
      </c>
      <c r="Q80" t="s">
        <v>1100</v>
      </c>
      <c r="R80" t="s">
        <v>1258</v>
      </c>
      <c r="S80" t="s">
        <v>194</v>
      </c>
    </row>
    <row r="81" spans="1:19" x14ac:dyDescent="0.25">
      <c r="A81" t="s">
        <v>59</v>
      </c>
      <c r="B81" t="s">
        <v>60</v>
      </c>
      <c r="C81" t="s">
        <v>32</v>
      </c>
      <c r="D81" t="s">
        <v>33</v>
      </c>
      <c r="E81" t="s">
        <v>122</v>
      </c>
      <c r="F81" t="s">
        <v>35</v>
      </c>
      <c r="G81" t="s">
        <v>35</v>
      </c>
      <c r="H81" t="s">
        <v>35</v>
      </c>
      <c r="J81" t="s">
        <v>1690</v>
      </c>
      <c r="K81" t="s">
        <v>1092</v>
      </c>
      <c r="M81">
        <v>4</v>
      </c>
      <c r="N81">
        <v>85</v>
      </c>
      <c r="O81" t="s">
        <v>61</v>
      </c>
      <c r="Q81" t="s">
        <v>1100</v>
      </c>
      <c r="R81" t="s">
        <v>1258</v>
      </c>
      <c r="S81" t="s">
        <v>194</v>
      </c>
    </row>
    <row r="82" spans="1:19" x14ac:dyDescent="0.25">
      <c r="A82" t="s">
        <v>59</v>
      </c>
      <c r="B82" t="s">
        <v>60</v>
      </c>
      <c r="C82" t="s">
        <v>32</v>
      </c>
      <c r="D82" t="s">
        <v>33</v>
      </c>
      <c r="E82" t="s">
        <v>172</v>
      </c>
      <c r="F82" t="s">
        <v>35</v>
      </c>
      <c r="G82" t="s">
        <v>35</v>
      </c>
      <c r="H82" t="s">
        <v>35</v>
      </c>
      <c r="J82" t="s">
        <v>1918</v>
      </c>
      <c r="K82" t="s">
        <v>1092</v>
      </c>
      <c r="M82">
        <v>2</v>
      </c>
      <c r="N82">
        <v>69</v>
      </c>
      <c r="O82" t="s">
        <v>61</v>
      </c>
      <c r="Q82" t="s">
        <v>234</v>
      </c>
      <c r="R82" t="s">
        <v>1258</v>
      </c>
      <c r="S82" t="s">
        <v>194</v>
      </c>
    </row>
    <row r="83" spans="1:19" x14ac:dyDescent="0.25">
      <c r="A83" t="s">
        <v>30</v>
      </c>
      <c r="B83" t="s">
        <v>31</v>
      </c>
      <c r="C83" t="s">
        <v>32</v>
      </c>
      <c r="D83" t="s">
        <v>33</v>
      </c>
      <c r="E83" t="s">
        <v>172</v>
      </c>
      <c r="F83" t="s">
        <v>35</v>
      </c>
      <c r="G83" t="s">
        <v>35</v>
      </c>
      <c r="H83" t="s">
        <v>35</v>
      </c>
      <c r="J83" t="s">
        <v>1918</v>
      </c>
      <c r="K83" t="s">
        <v>1092</v>
      </c>
      <c r="M83">
        <v>0.05</v>
      </c>
      <c r="N83">
        <v>144</v>
      </c>
      <c r="O83" t="s">
        <v>38</v>
      </c>
      <c r="Q83" t="s">
        <v>1269</v>
      </c>
      <c r="R83" t="s">
        <v>1258</v>
      </c>
      <c r="S83" t="s">
        <v>194</v>
      </c>
    </row>
    <row r="84" spans="1:19" x14ac:dyDescent="0.25">
      <c r="A84" t="s">
        <v>59</v>
      </c>
      <c r="B84" t="s">
        <v>31</v>
      </c>
      <c r="C84" t="s">
        <v>32</v>
      </c>
      <c r="D84" t="s">
        <v>33</v>
      </c>
      <c r="E84" t="s">
        <v>172</v>
      </c>
      <c r="F84" t="s">
        <v>35</v>
      </c>
      <c r="G84" t="s">
        <v>35</v>
      </c>
      <c r="H84" t="s">
        <v>35</v>
      </c>
      <c r="J84" t="s">
        <v>1948</v>
      </c>
      <c r="K84" t="s">
        <v>1092</v>
      </c>
      <c r="M84">
        <v>0.03</v>
      </c>
      <c r="N84">
        <v>250</v>
      </c>
      <c r="O84" t="s">
        <v>5</v>
      </c>
      <c r="Q84" t="s">
        <v>1286</v>
      </c>
      <c r="R84" t="s">
        <v>1258</v>
      </c>
      <c r="S84" t="s">
        <v>194</v>
      </c>
    </row>
    <row r="85" spans="1:19" x14ac:dyDescent="0.25">
      <c r="A85" t="s">
        <v>59</v>
      </c>
      <c r="B85" t="s">
        <v>60</v>
      </c>
      <c r="C85" t="s">
        <v>32</v>
      </c>
      <c r="D85" t="s">
        <v>33</v>
      </c>
      <c r="E85" t="s">
        <v>64</v>
      </c>
      <c r="F85" t="s">
        <v>35</v>
      </c>
      <c r="G85" t="s">
        <v>35</v>
      </c>
      <c r="H85" t="s">
        <v>35</v>
      </c>
      <c r="J85" t="s">
        <v>1257</v>
      </c>
      <c r="K85" t="s">
        <v>1092</v>
      </c>
      <c r="M85">
        <v>0.5</v>
      </c>
      <c r="N85">
        <v>85</v>
      </c>
      <c r="O85" t="s">
        <v>61</v>
      </c>
      <c r="Q85" t="s">
        <v>1100</v>
      </c>
      <c r="R85" t="s">
        <v>1258</v>
      </c>
      <c r="S85" t="s">
        <v>194</v>
      </c>
    </row>
    <row r="86" spans="1:19" x14ac:dyDescent="0.25">
      <c r="A86" t="s">
        <v>59</v>
      </c>
      <c r="B86" t="s">
        <v>60</v>
      </c>
      <c r="C86" t="s">
        <v>32</v>
      </c>
      <c r="D86" t="s">
        <v>33</v>
      </c>
      <c r="E86" t="s">
        <v>172</v>
      </c>
      <c r="F86" t="s">
        <v>35</v>
      </c>
      <c r="G86" t="s">
        <v>35</v>
      </c>
      <c r="H86" t="s">
        <v>35</v>
      </c>
      <c r="J86" t="s">
        <v>1971</v>
      </c>
      <c r="K86" t="s">
        <v>1092</v>
      </c>
      <c r="M86">
        <v>3</v>
      </c>
      <c r="N86">
        <v>69</v>
      </c>
      <c r="O86" t="s">
        <v>61</v>
      </c>
      <c r="Q86" t="s">
        <v>234</v>
      </c>
      <c r="R86" t="s">
        <v>1258</v>
      </c>
      <c r="S86" t="s">
        <v>194</v>
      </c>
    </row>
    <row r="87" spans="1:19" x14ac:dyDescent="0.25">
      <c r="A87" t="s">
        <v>59</v>
      </c>
      <c r="B87" t="s">
        <v>31</v>
      </c>
      <c r="C87" t="s">
        <v>32</v>
      </c>
      <c r="D87" t="s">
        <v>33</v>
      </c>
      <c r="E87" t="s">
        <v>172</v>
      </c>
      <c r="F87" t="s">
        <v>35</v>
      </c>
      <c r="G87" t="s">
        <v>35</v>
      </c>
      <c r="H87" t="s">
        <v>35</v>
      </c>
      <c r="J87" t="s">
        <v>1971</v>
      </c>
      <c r="K87" t="s">
        <v>1092</v>
      </c>
      <c r="M87">
        <v>0.41699999999999998</v>
      </c>
      <c r="N87">
        <v>223</v>
      </c>
      <c r="O87" t="s">
        <v>5</v>
      </c>
      <c r="Q87" t="s">
        <v>1544</v>
      </c>
      <c r="R87" t="s">
        <v>1258</v>
      </c>
      <c r="S87" t="s">
        <v>194</v>
      </c>
    </row>
    <row r="88" spans="1:19" x14ac:dyDescent="0.25">
      <c r="A88" t="s">
        <v>59</v>
      </c>
      <c r="B88" t="s">
        <v>60</v>
      </c>
      <c r="C88" t="s">
        <v>32</v>
      </c>
      <c r="D88" t="s">
        <v>33</v>
      </c>
      <c r="E88" t="s">
        <v>114</v>
      </c>
      <c r="F88" t="s">
        <v>35</v>
      </c>
      <c r="G88" t="s">
        <v>35</v>
      </c>
      <c r="H88" t="s">
        <v>35</v>
      </c>
      <c r="J88" t="s">
        <v>1601</v>
      </c>
      <c r="K88" t="s">
        <v>1092</v>
      </c>
      <c r="M88">
        <v>0.65</v>
      </c>
      <c r="N88">
        <v>43</v>
      </c>
      <c r="O88" t="s">
        <v>52</v>
      </c>
      <c r="Q88" t="s">
        <v>425</v>
      </c>
      <c r="R88" t="s">
        <v>1258</v>
      </c>
      <c r="S88" t="s">
        <v>194</v>
      </c>
    </row>
    <row r="89" spans="1:19" x14ac:dyDescent="0.25">
      <c r="A89" t="s">
        <v>30</v>
      </c>
      <c r="B89" t="s">
        <v>31</v>
      </c>
      <c r="C89" t="s">
        <v>32</v>
      </c>
      <c r="D89" t="s">
        <v>33</v>
      </c>
      <c r="E89" t="s">
        <v>114</v>
      </c>
      <c r="F89" t="s">
        <v>35</v>
      </c>
      <c r="G89" t="s">
        <v>35</v>
      </c>
      <c r="H89" t="s">
        <v>35</v>
      </c>
      <c r="J89" t="s">
        <v>1601</v>
      </c>
      <c r="K89" t="s">
        <v>1092</v>
      </c>
      <c r="M89">
        <v>5.0000000000000001E-3</v>
      </c>
      <c r="N89">
        <v>130</v>
      </c>
      <c r="O89" t="s">
        <v>38</v>
      </c>
      <c r="Q89" t="s">
        <v>1602</v>
      </c>
      <c r="R89" t="s">
        <v>1258</v>
      </c>
      <c r="S89" t="s">
        <v>194</v>
      </c>
    </row>
    <row r="90" spans="1:19" x14ac:dyDescent="0.25">
      <c r="A90" t="s">
        <v>59</v>
      </c>
      <c r="B90" t="s">
        <v>60</v>
      </c>
      <c r="C90" t="s">
        <v>32</v>
      </c>
      <c r="D90" t="s">
        <v>33</v>
      </c>
      <c r="E90" t="s">
        <v>114</v>
      </c>
      <c r="F90" t="s">
        <v>35</v>
      </c>
      <c r="G90" t="s">
        <v>35</v>
      </c>
      <c r="H90" t="s">
        <v>35</v>
      </c>
      <c r="J90" t="s">
        <v>1601</v>
      </c>
      <c r="K90" t="s">
        <v>1092</v>
      </c>
      <c r="M90">
        <v>3</v>
      </c>
      <c r="N90">
        <v>11</v>
      </c>
      <c r="O90" t="s">
        <v>46</v>
      </c>
      <c r="Q90" t="s">
        <v>1476</v>
      </c>
      <c r="R90" t="s">
        <v>1258</v>
      </c>
      <c r="S90" t="s">
        <v>194</v>
      </c>
    </row>
    <row r="91" spans="1:19" x14ac:dyDescent="0.25">
      <c r="A91" t="s">
        <v>44</v>
      </c>
      <c r="B91" t="s">
        <v>51</v>
      </c>
      <c r="C91" t="s">
        <v>32</v>
      </c>
      <c r="D91" t="s">
        <v>33</v>
      </c>
      <c r="E91" t="s">
        <v>114</v>
      </c>
      <c r="F91" t="s">
        <v>35</v>
      </c>
      <c r="G91" t="s">
        <v>35</v>
      </c>
      <c r="H91" t="s">
        <v>35</v>
      </c>
      <c r="J91" t="s">
        <v>1601</v>
      </c>
      <c r="K91" t="s">
        <v>1092</v>
      </c>
      <c r="M91">
        <v>2.85</v>
      </c>
      <c r="N91">
        <v>11</v>
      </c>
      <c r="O91" t="s">
        <v>46</v>
      </c>
      <c r="Q91" t="s">
        <v>1476</v>
      </c>
      <c r="R91" t="s">
        <v>1258</v>
      </c>
      <c r="S91" t="s">
        <v>194</v>
      </c>
    </row>
    <row r="92" spans="1:19" x14ac:dyDescent="0.25">
      <c r="A92" t="s">
        <v>44</v>
      </c>
      <c r="B92" t="s">
        <v>3</v>
      </c>
      <c r="C92" t="s">
        <v>32</v>
      </c>
      <c r="D92" t="s">
        <v>33</v>
      </c>
      <c r="E92" t="s">
        <v>114</v>
      </c>
      <c r="F92" t="s">
        <v>35</v>
      </c>
      <c r="G92" t="s">
        <v>35</v>
      </c>
      <c r="H92" t="s">
        <v>35</v>
      </c>
      <c r="J92" t="s">
        <v>1601</v>
      </c>
      <c r="K92" t="s">
        <v>1092</v>
      </c>
      <c r="M92">
        <v>1</v>
      </c>
      <c r="N92">
        <v>43</v>
      </c>
      <c r="O92" t="s">
        <v>52</v>
      </c>
      <c r="Q92" t="s">
        <v>425</v>
      </c>
      <c r="R92" t="s">
        <v>1258</v>
      </c>
      <c r="S92" t="s">
        <v>194</v>
      </c>
    </row>
    <row r="93" spans="1:19" x14ac:dyDescent="0.25">
      <c r="A93" t="s">
        <v>44</v>
      </c>
      <c r="B93" t="s">
        <v>3</v>
      </c>
      <c r="C93" t="s">
        <v>32</v>
      </c>
      <c r="D93" t="s">
        <v>33</v>
      </c>
      <c r="E93" t="s">
        <v>114</v>
      </c>
      <c r="F93" t="s">
        <v>35</v>
      </c>
      <c r="G93" t="s">
        <v>35</v>
      </c>
      <c r="H93" t="s">
        <v>35</v>
      </c>
      <c r="J93" t="s">
        <v>1601</v>
      </c>
      <c r="K93" t="s">
        <v>1092</v>
      </c>
      <c r="M93">
        <v>1.35</v>
      </c>
      <c r="N93">
        <v>61</v>
      </c>
      <c r="O93" t="s">
        <v>61</v>
      </c>
      <c r="Q93" t="s">
        <v>146</v>
      </c>
      <c r="R93" t="s">
        <v>1258</v>
      </c>
      <c r="S93" t="s">
        <v>194</v>
      </c>
    </row>
    <row r="94" spans="1:19" x14ac:dyDescent="0.25">
      <c r="A94" t="s">
        <v>59</v>
      </c>
      <c r="B94" t="s">
        <v>31</v>
      </c>
      <c r="C94" t="s">
        <v>32</v>
      </c>
      <c r="D94" t="s">
        <v>33</v>
      </c>
      <c r="E94" t="s">
        <v>114</v>
      </c>
      <c r="F94" t="s">
        <v>35</v>
      </c>
      <c r="G94" t="s">
        <v>35</v>
      </c>
      <c r="H94" t="s">
        <v>35</v>
      </c>
      <c r="J94" t="s">
        <v>1601</v>
      </c>
      <c r="K94" t="s">
        <v>1092</v>
      </c>
      <c r="M94">
        <v>0.155</v>
      </c>
      <c r="N94">
        <v>43</v>
      </c>
      <c r="O94" t="s">
        <v>52</v>
      </c>
      <c r="Q94" t="s">
        <v>425</v>
      </c>
      <c r="R94" t="s">
        <v>1258</v>
      </c>
      <c r="S94" t="s">
        <v>194</v>
      </c>
    </row>
    <row r="95" spans="1:19" x14ac:dyDescent="0.25">
      <c r="A95" t="s">
        <v>44</v>
      </c>
      <c r="B95" t="s">
        <v>51</v>
      </c>
      <c r="C95" t="s">
        <v>32</v>
      </c>
      <c r="D95" t="s">
        <v>33</v>
      </c>
      <c r="E95" t="s">
        <v>122</v>
      </c>
      <c r="F95" t="s">
        <v>35</v>
      </c>
      <c r="G95" t="s">
        <v>35</v>
      </c>
      <c r="H95" t="s">
        <v>35</v>
      </c>
      <c r="J95" t="s">
        <v>1807</v>
      </c>
      <c r="K95" t="s">
        <v>1092</v>
      </c>
      <c r="M95">
        <v>0.25</v>
      </c>
      <c r="N95">
        <v>146</v>
      </c>
      <c r="O95" t="s">
        <v>38</v>
      </c>
      <c r="Q95" t="s">
        <v>569</v>
      </c>
      <c r="R95" t="s">
        <v>1718</v>
      </c>
      <c r="S95" t="s">
        <v>1719</v>
      </c>
    </row>
    <row r="96" spans="1:19" x14ac:dyDescent="0.25">
      <c r="A96" t="s">
        <v>59</v>
      </c>
      <c r="B96" t="s">
        <v>60</v>
      </c>
      <c r="C96" t="s">
        <v>32</v>
      </c>
      <c r="D96" t="s">
        <v>33</v>
      </c>
      <c r="E96" t="s">
        <v>122</v>
      </c>
      <c r="F96" t="s">
        <v>35</v>
      </c>
      <c r="G96" t="s">
        <v>35</v>
      </c>
      <c r="H96" t="s">
        <v>35</v>
      </c>
      <c r="J96" t="s">
        <v>1823</v>
      </c>
      <c r="K96" t="s">
        <v>1092</v>
      </c>
      <c r="M96">
        <v>0.45</v>
      </c>
      <c r="N96">
        <v>272</v>
      </c>
      <c r="O96" t="s">
        <v>5</v>
      </c>
      <c r="Q96" t="s">
        <v>1717</v>
      </c>
      <c r="R96" t="s">
        <v>1718</v>
      </c>
      <c r="S96" t="s">
        <v>1719</v>
      </c>
    </row>
    <row r="97" spans="1:19" x14ac:dyDescent="0.25">
      <c r="A97" t="s">
        <v>44</v>
      </c>
      <c r="B97" t="s">
        <v>51</v>
      </c>
      <c r="C97" t="s">
        <v>32</v>
      </c>
      <c r="D97" t="s">
        <v>33</v>
      </c>
      <c r="E97" t="s">
        <v>122</v>
      </c>
      <c r="F97" t="s">
        <v>35</v>
      </c>
      <c r="G97" t="s">
        <v>35</v>
      </c>
      <c r="H97" t="s">
        <v>35</v>
      </c>
      <c r="J97" t="s">
        <v>1823</v>
      </c>
      <c r="K97" t="s">
        <v>1092</v>
      </c>
      <c r="M97">
        <v>0.1</v>
      </c>
      <c r="N97">
        <v>180</v>
      </c>
      <c r="O97" t="s">
        <v>38</v>
      </c>
      <c r="Q97" t="s">
        <v>1798</v>
      </c>
      <c r="R97" t="s">
        <v>1718</v>
      </c>
      <c r="S97" t="s">
        <v>1719</v>
      </c>
    </row>
    <row r="98" spans="1:19" x14ac:dyDescent="0.25">
      <c r="A98" t="s">
        <v>44</v>
      </c>
      <c r="B98" t="s">
        <v>51</v>
      </c>
      <c r="C98" t="s">
        <v>32</v>
      </c>
      <c r="D98" t="s">
        <v>33</v>
      </c>
      <c r="E98" t="s">
        <v>122</v>
      </c>
      <c r="F98" t="s">
        <v>35</v>
      </c>
      <c r="G98" t="s">
        <v>35</v>
      </c>
      <c r="H98" t="s">
        <v>35</v>
      </c>
      <c r="J98" t="s">
        <v>1716</v>
      </c>
      <c r="K98" t="s">
        <v>1092</v>
      </c>
      <c r="M98">
        <v>2.5000000000000001E-2</v>
      </c>
      <c r="N98">
        <v>272</v>
      </c>
      <c r="O98" t="s">
        <v>5</v>
      </c>
      <c r="Q98" t="s">
        <v>1717</v>
      </c>
      <c r="R98" t="s">
        <v>1718</v>
      </c>
      <c r="S98" t="s">
        <v>1719</v>
      </c>
    </row>
    <row r="99" spans="1:19" x14ac:dyDescent="0.25">
      <c r="A99" t="s">
        <v>59</v>
      </c>
      <c r="B99" t="s">
        <v>31</v>
      </c>
      <c r="C99" t="s">
        <v>32</v>
      </c>
      <c r="D99" t="s">
        <v>33</v>
      </c>
      <c r="E99" t="s">
        <v>122</v>
      </c>
      <c r="F99" t="s">
        <v>35</v>
      </c>
      <c r="G99" t="s">
        <v>35</v>
      </c>
      <c r="H99" t="s">
        <v>35</v>
      </c>
      <c r="J99" t="s">
        <v>1716</v>
      </c>
      <c r="K99" t="s">
        <v>1092</v>
      </c>
      <c r="M99">
        <v>3.4649999999999999</v>
      </c>
      <c r="N99">
        <v>257</v>
      </c>
      <c r="O99" t="s">
        <v>5</v>
      </c>
      <c r="Q99" t="s">
        <v>1721</v>
      </c>
      <c r="R99" t="s">
        <v>1718</v>
      </c>
      <c r="S99" t="s">
        <v>1719</v>
      </c>
    </row>
    <row r="100" spans="1:19" x14ac:dyDescent="0.25">
      <c r="A100" t="s">
        <v>59</v>
      </c>
      <c r="B100" t="s">
        <v>60</v>
      </c>
      <c r="C100" t="s">
        <v>32</v>
      </c>
      <c r="D100" t="s">
        <v>33</v>
      </c>
      <c r="E100" t="s">
        <v>122</v>
      </c>
      <c r="F100" t="s">
        <v>35</v>
      </c>
      <c r="G100" t="s">
        <v>35</v>
      </c>
      <c r="H100" t="s">
        <v>35</v>
      </c>
      <c r="J100" t="s">
        <v>1716</v>
      </c>
      <c r="K100" t="s">
        <v>1092</v>
      </c>
      <c r="M100">
        <v>0.5</v>
      </c>
      <c r="N100">
        <v>272</v>
      </c>
      <c r="O100" t="s">
        <v>5</v>
      </c>
      <c r="Q100" t="s">
        <v>1717</v>
      </c>
      <c r="R100" t="s">
        <v>1718</v>
      </c>
      <c r="S100" t="s">
        <v>1719</v>
      </c>
    </row>
    <row r="101" spans="1:19" x14ac:dyDescent="0.25">
      <c r="A101" t="s">
        <v>59</v>
      </c>
      <c r="B101" t="s">
        <v>60</v>
      </c>
      <c r="C101" t="s">
        <v>32</v>
      </c>
      <c r="D101" t="s">
        <v>33</v>
      </c>
      <c r="E101" t="s">
        <v>122</v>
      </c>
      <c r="F101" t="s">
        <v>35</v>
      </c>
      <c r="G101" t="s">
        <v>35</v>
      </c>
      <c r="H101" t="s">
        <v>35</v>
      </c>
      <c r="J101" t="s">
        <v>1729</v>
      </c>
      <c r="K101" t="s">
        <v>1092</v>
      </c>
      <c r="M101">
        <v>0.85</v>
      </c>
      <c r="N101">
        <v>272</v>
      </c>
      <c r="O101" t="s">
        <v>5</v>
      </c>
      <c r="Q101" t="s">
        <v>1717</v>
      </c>
      <c r="R101" t="s">
        <v>1718</v>
      </c>
      <c r="S101" t="s">
        <v>1719</v>
      </c>
    </row>
    <row r="102" spans="1:19" x14ac:dyDescent="0.25">
      <c r="A102" t="s">
        <v>44</v>
      </c>
      <c r="B102" t="s">
        <v>51</v>
      </c>
      <c r="C102" t="s">
        <v>32</v>
      </c>
      <c r="D102" t="s">
        <v>33</v>
      </c>
      <c r="E102" t="s">
        <v>122</v>
      </c>
      <c r="F102" t="s">
        <v>35</v>
      </c>
      <c r="G102" t="s">
        <v>35</v>
      </c>
      <c r="H102" t="s">
        <v>35</v>
      </c>
      <c r="J102" t="s">
        <v>1729</v>
      </c>
      <c r="K102" t="s">
        <v>1092</v>
      </c>
      <c r="M102">
        <v>0.75</v>
      </c>
      <c r="N102">
        <v>197</v>
      </c>
      <c r="O102" t="s">
        <v>5</v>
      </c>
      <c r="Q102" t="s">
        <v>1730</v>
      </c>
      <c r="R102" t="s">
        <v>1718</v>
      </c>
      <c r="S102" t="s">
        <v>1719</v>
      </c>
    </row>
    <row r="103" spans="1:19" x14ac:dyDescent="0.25">
      <c r="A103" t="s">
        <v>30</v>
      </c>
      <c r="B103" t="s">
        <v>31</v>
      </c>
      <c r="C103" t="s">
        <v>32</v>
      </c>
      <c r="D103" t="s">
        <v>33</v>
      </c>
      <c r="E103" t="s">
        <v>122</v>
      </c>
      <c r="F103" t="s">
        <v>35</v>
      </c>
      <c r="G103" t="s">
        <v>35</v>
      </c>
      <c r="H103" t="s">
        <v>35</v>
      </c>
      <c r="J103" t="s">
        <v>1797</v>
      </c>
      <c r="K103" t="s">
        <v>1092</v>
      </c>
      <c r="M103">
        <v>5.49</v>
      </c>
      <c r="N103">
        <v>180</v>
      </c>
      <c r="O103" t="s">
        <v>38</v>
      </c>
      <c r="Q103" t="s">
        <v>1798</v>
      </c>
      <c r="R103" t="s">
        <v>1718</v>
      </c>
      <c r="S103" t="s">
        <v>1719</v>
      </c>
    </row>
    <row r="104" spans="1:19" x14ac:dyDescent="0.25">
      <c r="A104" t="s">
        <v>59</v>
      </c>
      <c r="B104" t="s">
        <v>31</v>
      </c>
      <c r="C104" t="s">
        <v>32</v>
      </c>
      <c r="D104" t="s">
        <v>33</v>
      </c>
      <c r="E104" t="s">
        <v>34</v>
      </c>
      <c r="F104" t="s">
        <v>35</v>
      </c>
      <c r="G104" t="s">
        <v>35</v>
      </c>
      <c r="H104" t="s">
        <v>35</v>
      </c>
      <c r="J104" t="s">
        <v>1141</v>
      </c>
      <c r="K104" t="s">
        <v>1092</v>
      </c>
      <c r="M104">
        <v>0.13500000000000001</v>
      </c>
      <c r="N104">
        <v>55</v>
      </c>
      <c r="O104" t="s">
        <v>52</v>
      </c>
      <c r="Q104" t="s">
        <v>90</v>
      </c>
      <c r="R104" t="s">
        <v>1142</v>
      </c>
      <c r="S104" t="s">
        <v>88</v>
      </c>
    </row>
    <row r="105" spans="1:19" x14ac:dyDescent="0.25">
      <c r="A105" t="s">
        <v>30</v>
      </c>
      <c r="B105" t="s">
        <v>31</v>
      </c>
      <c r="C105" t="s">
        <v>32</v>
      </c>
      <c r="D105" t="s">
        <v>33</v>
      </c>
      <c r="E105" t="s">
        <v>34</v>
      </c>
      <c r="F105" t="s">
        <v>35</v>
      </c>
      <c r="G105" t="s">
        <v>35</v>
      </c>
      <c r="H105" t="s">
        <v>35</v>
      </c>
      <c r="J105" t="s">
        <v>1141</v>
      </c>
      <c r="K105" t="s">
        <v>1092</v>
      </c>
      <c r="M105">
        <v>8.0549999999999997</v>
      </c>
      <c r="N105">
        <v>18</v>
      </c>
      <c r="O105" t="s">
        <v>46</v>
      </c>
      <c r="Q105" t="s">
        <v>831</v>
      </c>
      <c r="R105" t="s">
        <v>1142</v>
      </c>
      <c r="S105" t="s">
        <v>88</v>
      </c>
    </row>
    <row r="106" spans="1:19" x14ac:dyDescent="0.25">
      <c r="A106" t="s">
        <v>44</v>
      </c>
      <c r="B106" t="s">
        <v>51</v>
      </c>
      <c r="C106" t="s">
        <v>32</v>
      </c>
      <c r="D106" t="s">
        <v>33</v>
      </c>
      <c r="E106" t="s">
        <v>114</v>
      </c>
      <c r="F106" t="s">
        <v>35</v>
      </c>
      <c r="G106" t="s">
        <v>35</v>
      </c>
      <c r="H106" t="s">
        <v>35</v>
      </c>
      <c r="J106" t="s">
        <v>1586</v>
      </c>
      <c r="K106" t="s">
        <v>1092</v>
      </c>
      <c r="M106">
        <v>0.11700000000000001</v>
      </c>
      <c r="N106">
        <v>157</v>
      </c>
      <c r="O106" t="s">
        <v>38</v>
      </c>
      <c r="Q106" t="s">
        <v>1587</v>
      </c>
      <c r="R106" t="s">
        <v>1142</v>
      </c>
      <c r="S106" t="s">
        <v>88</v>
      </c>
    </row>
    <row r="107" spans="1:19" x14ac:dyDescent="0.25">
      <c r="A107" t="s">
        <v>59</v>
      </c>
      <c r="B107" t="s">
        <v>60</v>
      </c>
      <c r="C107" t="s">
        <v>32</v>
      </c>
      <c r="D107" t="s">
        <v>33</v>
      </c>
      <c r="E107" t="s">
        <v>114</v>
      </c>
      <c r="F107" t="s">
        <v>35</v>
      </c>
      <c r="G107" t="s">
        <v>35</v>
      </c>
      <c r="H107" t="s">
        <v>35</v>
      </c>
      <c r="J107" t="s">
        <v>1586</v>
      </c>
      <c r="K107" t="s">
        <v>1092</v>
      </c>
      <c r="M107">
        <v>0.44</v>
      </c>
      <c r="N107">
        <v>157</v>
      </c>
      <c r="O107" t="s">
        <v>38</v>
      </c>
      <c r="Q107" t="s">
        <v>1587</v>
      </c>
      <c r="R107" t="s">
        <v>1142</v>
      </c>
      <c r="S107" t="s">
        <v>88</v>
      </c>
    </row>
    <row r="108" spans="1:19" x14ac:dyDescent="0.25">
      <c r="A108" t="s">
        <v>59</v>
      </c>
      <c r="B108" t="s">
        <v>60</v>
      </c>
      <c r="C108" t="s">
        <v>32</v>
      </c>
      <c r="D108" t="s">
        <v>33</v>
      </c>
      <c r="E108" t="s">
        <v>64</v>
      </c>
      <c r="F108" t="s">
        <v>35</v>
      </c>
      <c r="G108" t="s">
        <v>35</v>
      </c>
      <c r="H108" t="s">
        <v>35</v>
      </c>
      <c r="J108" t="s">
        <v>1221</v>
      </c>
      <c r="K108" t="s">
        <v>1092</v>
      </c>
      <c r="M108">
        <v>0.19700000000000001</v>
      </c>
      <c r="N108">
        <v>293</v>
      </c>
      <c r="O108" t="s">
        <v>5</v>
      </c>
      <c r="Q108" t="s">
        <v>1223</v>
      </c>
      <c r="R108" t="s">
        <v>1142</v>
      </c>
      <c r="S108" t="s">
        <v>88</v>
      </c>
    </row>
    <row r="109" spans="1:19" x14ac:dyDescent="0.25">
      <c r="A109" t="s">
        <v>44</v>
      </c>
      <c r="B109" t="s">
        <v>51</v>
      </c>
      <c r="C109" t="s">
        <v>32</v>
      </c>
      <c r="D109" t="s">
        <v>33</v>
      </c>
      <c r="E109" t="s">
        <v>1520</v>
      </c>
      <c r="F109" t="s">
        <v>35</v>
      </c>
      <c r="G109" t="s">
        <v>35</v>
      </c>
      <c r="H109" t="s">
        <v>35</v>
      </c>
      <c r="J109" t="s">
        <v>1527</v>
      </c>
      <c r="K109" t="s">
        <v>1092</v>
      </c>
      <c r="M109">
        <v>0.6</v>
      </c>
      <c r="N109">
        <v>24</v>
      </c>
      <c r="O109" t="s">
        <v>46</v>
      </c>
      <c r="Q109" t="s">
        <v>972</v>
      </c>
      <c r="R109" t="s">
        <v>1142</v>
      </c>
      <c r="S109" t="s">
        <v>88</v>
      </c>
    </row>
    <row r="110" spans="1:19" x14ac:dyDescent="0.25">
      <c r="A110" t="s">
        <v>59</v>
      </c>
      <c r="B110" t="s">
        <v>60</v>
      </c>
      <c r="C110" t="s">
        <v>32</v>
      </c>
      <c r="D110" t="s">
        <v>33</v>
      </c>
      <c r="E110" t="s">
        <v>1520</v>
      </c>
      <c r="F110" t="s">
        <v>35</v>
      </c>
      <c r="G110" t="s">
        <v>35</v>
      </c>
      <c r="H110" t="s">
        <v>35</v>
      </c>
      <c r="J110" t="s">
        <v>1542</v>
      </c>
      <c r="K110" t="s">
        <v>1092</v>
      </c>
      <c r="M110">
        <v>0.68600000000000005</v>
      </c>
      <c r="N110">
        <v>107</v>
      </c>
      <c r="O110" t="s">
        <v>106</v>
      </c>
      <c r="Q110" t="s">
        <v>288</v>
      </c>
      <c r="R110" t="s">
        <v>1142</v>
      </c>
      <c r="S110" t="s">
        <v>88</v>
      </c>
    </row>
    <row r="111" spans="1:19" x14ac:dyDescent="0.25">
      <c r="A111" t="s">
        <v>44</v>
      </c>
      <c r="B111" t="s">
        <v>51</v>
      </c>
      <c r="C111" t="s">
        <v>32</v>
      </c>
      <c r="D111" t="s">
        <v>33</v>
      </c>
      <c r="E111" t="s">
        <v>1520</v>
      </c>
      <c r="F111" t="s">
        <v>35</v>
      </c>
      <c r="G111" t="s">
        <v>35</v>
      </c>
      <c r="H111" t="s">
        <v>35</v>
      </c>
      <c r="J111" t="s">
        <v>1542</v>
      </c>
      <c r="K111" t="s">
        <v>1092</v>
      </c>
      <c r="M111">
        <v>1.895</v>
      </c>
      <c r="N111">
        <v>12</v>
      </c>
      <c r="O111" t="s">
        <v>46</v>
      </c>
      <c r="Q111" t="s">
        <v>1192</v>
      </c>
      <c r="R111" t="s">
        <v>1142</v>
      </c>
      <c r="S111" t="s">
        <v>88</v>
      </c>
    </row>
    <row r="112" spans="1:19" x14ac:dyDescent="0.25">
      <c r="A112" t="s">
        <v>59</v>
      </c>
      <c r="B112" t="s">
        <v>60</v>
      </c>
      <c r="C112" t="s">
        <v>32</v>
      </c>
      <c r="D112" t="s">
        <v>33</v>
      </c>
      <c r="E112" t="s">
        <v>1520</v>
      </c>
      <c r="F112" t="s">
        <v>35</v>
      </c>
      <c r="G112" t="s">
        <v>35</v>
      </c>
      <c r="H112" t="s">
        <v>35</v>
      </c>
      <c r="J112" t="s">
        <v>1566</v>
      </c>
      <c r="K112" t="s">
        <v>1092</v>
      </c>
      <c r="M112">
        <v>0.05</v>
      </c>
      <c r="N112">
        <v>301</v>
      </c>
      <c r="O112" t="s">
        <v>5</v>
      </c>
      <c r="Q112" t="s">
        <v>1567</v>
      </c>
      <c r="R112" t="s">
        <v>1142</v>
      </c>
      <c r="S112" t="s">
        <v>88</v>
      </c>
    </row>
    <row r="113" spans="1:19" x14ac:dyDescent="0.25">
      <c r="A113" t="s">
        <v>44</v>
      </c>
      <c r="B113" t="s">
        <v>3</v>
      </c>
      <c r="C113" t="s">
        <v>32</v>
      </c>
      <c r="D113" t="s">
        <v>33</v>
      </c>
      <c r="E113" t="s">
        <v>87</v>
      </c>
      <c r="F113" t="s">
        <v>35</v>
      </c>
      <c r="G113" t="s">
        <v>35</v>
      </c>
      <c r="H113" t="s">
        <v>35</v>
      </c>
      <c r="J113" t="s">
        <v>1444</v>
      </c>
      <c r="K113" t="s">
        <v>1092</v>
      </c>
      <c r="M113">
        <v>0.05</v>
      </c>
      <c r="N113">
        <v>94</v>
      </c>
      <c r="O113" t="s">
        <v>106</v>
      </c>
      <c r="Q113" t="s">
        <v>1164</v>
      </c>
      <c r="R113" t="s">
        <v>1142</v>
      </c>
      <c r="S113" t="s">
        <v>88</v>
      </c>
    </row>
    <row r="114" spans="1:19" x14ac:dyDescent="0.25">
      <c r="A114" t="s">
        <v>59</v>
      </c>
      <c r="B114" t="s">
        <v>60</v>
      </c>
      <c r="C114" t="s">
        <v>32</v>
      </c>
      <c r="D114" t="s">
        <v>33</v>
      </c>
      <c r="E114" t="s">
        <v>1520</v>
      </c>
      <c r="F114" t="s">
        <v>35</v>
      </c>
      <c r="G114" t="s">
        <v>35</v>
      </c>
      <c r="H114" t="s">
        <v>35</v>
      </c>
      <c r="J114" t="s">
        <v>1545</v>
      </c>
      <c r="K114" t="s">
        <v>1092</v>
      </c>
      <c r="M114">
        <v>2</v>
      </c>
      <c r="N114">
        <v>49</v>
      </c>
      <c r="O114" t="s">
        <v>52</v>
      </c>
      <c r="Q114" t="s">
        <v>453</v>
      </c>
      <c r="R114" t="s">
        <v>1142</v>
      </c>
      <c r="S114" t="s">
        <v>88</v>
      </c>
    </row>
    <row r="115" spans="1:19" x14ac:dyDescent="0.25">
      <c r="A115" t="s">
        <v>59</v>
      </c>
      <c r="B115" t="s">
        <v>31</v>
      </c>
      <c r="C115" t="s">
        <v>32</v>
      </c>
      <c r="D115" t="s">
        <v>33</v>
      </c>
      <c r="E115" t="s">
        <v>1520</v>
      </c>
      <c r="F115" t="s">
        <v>35</v>
      </c>
      <c r="G115" t="s">
        <v>35</v>
      </c>
      <c r="H115" t="s">
        <v>35</v>
      </c>
      <c r="J115" t="s">
        <v>1545</v>
      </c>
      <c r="K115" t="s">
        <v>1092</v>
      </c>
      <c r="M115">
        <v>1.44</v>
      </c>
      <c r="N115">
        <v>49</v>
      </c>
      <c r="O115" t="s">
        <v>52</v>
      </c>
      <c r="Q115" t="s">
        <v>453</v>
      </c>
      <c r="R115" t="s">
        <v>1142</v>
      </c>
      <c r="S115" t="s">
        <v>88</v>
      </c>
    </row>
    <row r="116" spans="1:19" x14ac:dyDescent="0.25">
      <c r="A116" t="s">
        <v>44</v>
      </c>
      <c r="B116" t="s">
        <v>51</v>
      </c>
      <c r="C116" t="s">
        <v>32</v>
      </c>
      <c r="D116" t="s">
        <v>33</v>
      </c>
      <c r="E116" t="s">
        <v>1520</v>
      </c>
      <c r="F116" t="s">
        <v>35</v>
      </c>
      <c r="G116" t="s">
        <v>35</v>
      </c>
      <c r="H116" t="s">
        <v>35</v>
      </c>
      <c r="J116" t="s">
        <v>1534</v>
      </c>
      <c r="K116" t="s">
        <v>1092</v>
      </c>
      <c r="M116">
        <v>2.5000000000000001E-2</v>
      </c>
      <c r="N116">
        <v>41</v>
      </c>
      <c r="O116" t="s">
        <v>52</v>
      </c>
      <c r="Q116" t="s">
        <v>496</v>
      </c>
      <c r="R116" t="s">
        <v>1142</v>
      </c>
      <c r="S116" t="s">
        <v>88</v>
      </c>
    </row>
    <row r="117" spans="1:19" x14ac:dyDescent="0.25">
      <c r="A117" t="s">
        <v>59</v>
      </c>
      <c r="B117" t="s">
        <v>60</v>
      </c>
      <c r="C117" t="s">
        <v>32</v>
      </c>
      <c r="D117" t="s">
        <v>33</v>
      </c>
      <c r="E117" t="s">
        <v>1520</v>
      </c>
      <c r="F117" t="s">
        <v>35</v>
      </c>
      <c r="G117" t="s">
        <v>35</v>
      </c>
      <c r="H117" t="s">
        <v>35</v>
      </c>
      <c r="J117" t="s">
        <v>1534</v>
      </c>
      <c r="K117" t="s">
        <v>1092</v>
      </c>
      <c r="M117">
        <v>0.16</v>
      </c>
      <c r="N117">
        <v>63</v>
      </c>
      <c r="O117" t="s">
        <v>61</v>
      </c>
      <c r="Q117" t="s">
        <v>126</v>
      </c>
      <c r="R117" t="s">
        <v>1142</v>
      </c>
      <c r="S117" t="s">
        <v>88</v>
      </c>
    </row>
    <row r="118" spans="1:19" x14ac:dyDescent="0.25">
      <c r="A118" t="s">
        <v>30</v>
      </c>
      <c r="B118" t="s">
        <v>31</v>
      </c>
      <c r="C118" t="s">
        <v>32</v>
      </c>
      <c r="D118" t="s">
        <v>33</v>
      </c>
      <c r="E118" t="s">
        <v>1520</v>
      </c>
      <c r="F118" t="s">
        <v>35</v>
      </c>
      <c r="G118" t="s">
        <v>35</v>
      </c>
      <c r="H118" t="s">
        <v>35</v>
      </c>
      <c r="J118" t="s">
        <v>1534</v>
      </c>
      <c r="K118" t="s">
        <v>1092</v>
      </c>
      <c r="M118">
        <v>0.60499999999999998</v>
      </c>
      <c r="N118">
        <v>12</v>
      </c>
      <c r="O118" t="s">
        <v>46</v>
      </c>
      <c r="Q118" t="s">
        <v>1192</v>
      </c>
      <c r="R118" t="s">
        <v>1142</v>
      </c>
      <c r="S118" t="s">
        <v>88</v>
      </c>
    </row>
    <row r="119" spans="1:19" x14ac:dyDescent="0.25">
      <c r="A119" t="s">
        <v>44</v>
      </c>
      <c r="B119" t="s">
        <v>51</v>
      </c>
      <c r="C119" t="s">
        <v>32</v>
      </c>
      <c r="D119" t="s">
        <v>33</v>
      </c>
      <c r="E119" t="s">
        <v>1520</v>
      </c>
      <c r="F119" t="s">
        <v>35</v>
      </c>
      <c r="G119" t="s">
        <v>35</v>
      </c>
      <c r="H119" t="s">
        <v>35</v>
      </c>
      <c r="J119" t="s">
        <v>1534</v>
      </c>
      <c r="K119" t="s">
        <v>1092</v>
      </c>
      <c r="M119">
        <v>0.75</v>
      </c>
      <c r="N119">
        <v>12</v>
      </c>
      <c r="O119" t="s">
        <v>46</v>
      </c>
      <c r="Q119" t="s">
        <v>1192</v>
      </c>
      <c r="R119" t="s">
        <v>1142</v>
      </c>
      <c r="S119" t="s">
        <v>88</v>
      </c>
    </row>
    <row r="120" spans="1:19" x14ac:dyDescent="0.25">
      <c r="A120" t="s">
        <v>59</v>
      </c>
      <c r="B120" t="s">
        <v>31</v>
      </c>
      <c r="C120" t="s">
        <v>32</v>
      </c>
      <c r="D120" t="s">
        <v>33</v>
      </c>
      <c r="E120" t="s">
        <v>1520</v>
      </c>
      <c r="F120" t="s">
        <v>35</v>
      </c>
      <c r="G120" t="s">
        <v>35</v>
      </c>
      <c r="H120" t="s">
        <v>35</v>
      </c>
      <c r="J120" t="s">
        <v>1539</v>
      </c>
      <c r="K120" t="s">
        <v>1092</v>
      </c>
      <c r="M120">
        <v>2.0249999999999999</v>
      </c>
      <c r="N120">
        <v>63</v>
      </c>
      <c r="O120" t="s">
        <v>61</v>
      </c>
      <c r="Q120" t="s">
        <v>126</v>
      </c>
      <c r="R120" t="s">
        <v>1142</v>
      </c>
      <c r="S120" t="s">
        <v>88</v>
      </c>
    </row>
    <row r="121" spans="1:19" x14ac:dyDescent="0.25">
      <c r="A121" t="s">
        <v>30</v>
      </c>
      <c r="B121" t="s">
        <v>31</v>
      </c>
      <c r="C121" t="s">
        <v>32</v>
      </c>
      <c r="D121" t="s">
        <v>33</v>
      </c>
      <c r="E121" t="s">
        <v>1520</v>
      </c>
      <c r="F121" t="s">
        <v>35</v>
      </c>
      <c r="G121" t="s">
        <v>35</v>
      </c>
      <c r="H121" t="s">
        <v>35</v>
      </c>
      <c r="J121" t="s">
        <v>1557</v>
      </c>
      <c r="K121" t="s">
        <v>1092</v>
      </c>
      <c r="M121">
        <v>1.8</v>
      </c>
      <c r="N121">
        <v>63</v>
      </c>
      <c r="O121" t="s">
        <v>61</v>
      </c>
      <c r="Q121" t="s">
        <v>126</v>
      </c>
      <c r="R121" t="s">
        <v>1142</v>
      </c>
      <c r="S121" t="s">
        <v>88</v>
      </c>
    </row>
    <row r="122" spans="1:19" x14ac:dyDescent="0.25">
      <c r="A122" t="s">
        <v>59</v>
      </c>
      <c r="B122" t="s">
        <v>60</v>
      </c>
      <c r="C122" t="s">
        <v>32</v>
      </c>
      <c r="D122" t="s">
        <v>33</v>
      </c>
      <c r="E122" t="s">
        <v>1520</v>
      </c>
      <c r="F122" t="s">
        <v>35</v>
      </c>
      <c r="G122" t="s">
        <v>35</v>
      </c>
      <c r="H122" t="s">
        <v>35</v>
      </c>
      <c r="J122" t="s">
        <v>1557</v>
      </c>
      <c r="K122" t="s">
        <v>1092</v>
      </c>
      <c r="M122">
        <v>1.85</v>
      </c>
      <c r="N122">
        <v>63</v>
      </c>
      <c r="O122" t="s">
        <v>61</v>
      </c>
      <c r="Q122" t="s">
        <v>126</v>
      </c>
      <c r="R122" t="s">
        <v>1142</v>
      </c>
      <c r="S122" t="s">
        <v>88</v>
      </c>
    </row>
    <row r="123" spans="1:19" x14ac:dyDescent="0.25">
      <c r="A123" t="s">
        <v>44</v>
      </c>
      <c r="B123" t="s">
        <v>51</v>
      </c>
      <c r="C123" t="s">
        <v>32</v>
      </c>
      <c r="D123" t="s">
        <v>33</v>
      </c>
      <c r="E123" t="s">
        <v>87</v>
      </c>
      <c r="F123" t="s">
        <v>35</v>
      </c>
      <c r="G123" t="s">
        <v>35</v>
      </c>
      <c r="H123" t="s">
        <v>35</v>
      </c>
      <c r="J123" t="s">
        <v>1459</v>
      </c>
      <c r="K123" t="s">
        <v>1092</v>
      </c>
      <c r="M123">
        <v>2</v>
      </c>
      <c r="N123">
        <v>24</v>
      </c>
      <c r="O123" t="s">
        <v>46</v>
      </c>
      <c r="Q123" t="s">
        <v>972</v>
      </c>
      <c r="R123" t="s">
        <v>1142</v>
      </c>
      <c r="S123" t="s">
        <v>88</v>
      </c>
    </row>
    <row r="124" spans="1:19" x14ac:dyDescent="0.25">
      <c r="A124" t="s">
        <v>59</v>
      </c>
      <c r="B124" t="s">
        <v>31</v>
      </c>
      <c r="C124" t="s">
        <v>32</v>
      </c>
      <c r="D124" t="s">
        <v>33</v>
      </c>
      <c r="E124" t="s">
        <v>87</v>
      </c>
      <c r="F124" t="s">
        <v>35</v>
      </c>
      <c r="G124" t="s">
        <v>35</v>
      </c>
      <c r="H124" t="s">
        <v>35</v>
      </c>
      <c r="J124" t="s">
        <v>1442</v>
      </c>
      <c r="K124" t="s">
        <v>1092</v>
      </c>
      <c r="M124">
        <v>1.1000000000000001</v>
      </c>
      <c r="N124">
        <v>76</v>
      </c>
      <c r="O124" t="s">
        <v>61</v>
      </c>
      <c r="Q124" t="s">
        <v>455</v>
      </c>
      <c r="R124" t="s">
        <v>1142</v>
      </c>
      <c r="S124" t="s">
        <v>88</v>
      </c>
    </row>
    <row r="125" spans="1:19" x14ac:dyDescent="0.25">
      <c r="A125" t="s">
        <v>59</v>
      </c>
      <c r="B125" t="s">
        <v>60</v>
      </c>
      <c r="C125" t="s">
        <v>32</v>
      </c>
      <c r="D125" t="s">
        <v>33</v>
      </c>
      <c r="E125" t="s">
        <v>87</v>
      </c>
      <c r="F125" t="s">
        <v>35</v>
      </c>
      <c r="G125" t="s">
        <v>35</v>
      </c>
      <c r="H125" t="s">
        <v>35</v>
      </c>
      <c r="J125" t="s">
        <v>1442</v>
      </c>
      <c r="K125" t="s">
        <v>1092</v>
      </c>
      <c r="M125">
        <v>0.25</v>
      </c>
      <c r="N125">
        <v>47</v>
      </c>
      <c r="O125" t="s">
        <v>52</v>
      </c>
      <c r="Q125" t="s">
        <v>1207</v>
      </c>
      <c r="R125" t="s">
        <v>1142</v>
      </c>
      <c r="S125" t="s">
        <v>88</v>
      </c>
    </row>
    <row r="126" spans="1:19" x14ac:dyDescent="0.25">
      <c r="A126" t="s">
        <v>44</v>
      </c>
      <c r="B126" t="s">
        <v>51</v>
      </c>
      <c r="C126" t="s">
        <v>32</v>
      </c>
      <c r="D126" t="s">
        <v>33</v>
      </c>
      <c r="E126" t="s">
        <v>87</v>
      </c>
      <c r="F126" t="s">
        <v>35</v>
      </c>
      <c r="G126" t="s">
        <v>35</v>
      </c>
      <c r="H126" t="s">
        <v>35</v>
      </c>
      <c r="J126" t="s">
        <v>1442</v>
      </c>
      <c r="K126" t="s">
        <v>1092</v>
      </c>
      <c r="M126">
        <v>0.35</v>
      </c>
      <c r="N126">
        <v>41</v>
      </c>
      <c r="O126" t="s">
        <v>52</v>
      </c>
      <c r="Q126" t="s">
        <v>496</v>
      </c>
      <c r="R126" t="s">
        <v>1142</v>
      </c>
      <c r="S126" t="s">
        <v>88</v>
      </c>
    </row>
    <row r="127" spans="1:19" x14ac:dyDescent="0.25">
      <c r="A127" t="s">
        <v>59</v>
      </c>
      <c r="B127" t="s">
        <v>31</v>
      </c>
      <c r="C127" t="s">
        <v>32</v>
      </c>
      <c r="D127" t="s">
        <v>33</v>
      </c>
      <c r="E127" t="s">
        <v>87</v>
      </c>
      <c r="F127" t="s">
        <v>35</v>
      </c>
      <c r="G127" t="s">
        <v>35</v>
      </c>
      <c r="H127" t="s">
        <v>35</v>
      </c>
      <c r="J127" t="s">
        <v>1442</v>
      </c>
      <c r="K127" t="s">
        <v>1092</v>
      </c>
      <c r="M127">
        <v>0.18</v>
      </c>
      <c r="N127">
        <v>47</v>
      </c>
      <c r="O127" t="s">
        <v>52</v>
      </c>
      <c r="Q127" t="s">
        <v>1207</v>
      </c>
      <c r="R127" t="s">
        <v>1142</v>
      </c>
      <c r="S127" t="s">
        <v>88</v>
      </c>
    </row>
    <row r="128" spans="1:19" x14ac:dyDescent="0.25">
      <c r="A128" t="s">
        <v>30</v>
      </c>
      <c r="B128" t="s">
        <v>31</v>
      </c>
      <c r="C128" t="s">
        <v>32</v>
      </c>
      <c r="D128" t="s">
        <v>33</v>
      </c>
      <c r="E128" t="s">
        <v>87</v>
      </c>
      <c r="F128" t="s">
        <v>35</v>
      </c>
      <c r="G128" t="s">
        <v>35</v>
      </c>
      <c r="H128" t="s">
        <v>35</v>
      </c>
      <c r="J128" t="s">
        <v>1442</v>
      </c>
      <c r="K128" t="s">
        <v>1092</v>
      </c>
      <c r="M128">
        <v>0.315</v>
      </c>
      <c r="N128">
        <v>41</v>
      </c>
      <c r="O128" t="s">
        <v>52</v>
      </c>
      <c r="Q128" t="s">
        <v>496</v>
      </c>
      <c r="R128" t="s">
        <v>1142</v>
      </c>
      <c r="S128" t="s">
        <v>88</v>
      </c>
    </row>
    <row r="129" spans="1:19" x14ac:dyDescent="0.25">
      <c r="A129" t="s">
        <v>59</v>
      </c>
      <c r="B129" t="s">
        <v>60</v>
      </c>
      <c r="C129" t="s">
        <v>32</v>
      </c>
      <c r="D129" t="s">
        <v>33</v>
      </c>
      <c r="E129" t="s">
        <v>87</v>
      </c>
      <c r="F129" t="s">
        <v>35</v>
      </c>
      <c r="G129" t="s">
        <v>35</v>
      </c>
      <c r="H129" t="s">
        <v>35</v>
      </c>
      <c r="J129" t="s">
        <v>1442</v>
      </c>
      <c r="K129" t="s">
        <v>1092</v>
      </c>
      <c r="M129">
        <v>0.25</v>
      </c>
      <c r="N129">
        <v>76</v>
      </c>
      <c r="O129" t="s">
        <v>61</v>
      </c>
      <c r="Q129" t="s">
        <v>455</v>
      </c>
      <c r="R129" t="s">
        <v>1142</v>
      </c>
      <c r="S129" t="s">
        <v>88</v>
      </c>
    </row>
    <row r="130" spans="1:19" x14ac:dyDescent="0.25">
      <c r="A130" t="s">
        <v>59</v>
      </c>
      <c r="B130" t="s">
        <v>60</v>
      </c>
      <c r="C130" t="s">
        <v>32</v>
      </c>
      <c r="D130" t="s">
        <v>33</v>
      </c>
      <c r="F130" t="s">
        <v>35</v>
      </c>
      <c r="G130" t="s">
        <v>35</v>
      </c>
      <c r="H130" t="s">
        <v>35</v>
      </c>
      <c r="J130" t="s">
        <v>2253</v>
      </c>
      <c r="K130" t="s">
        <v>1092</v>
      </c>
      <c r="M130">
        <v>0.22500000000000001</v>
      </c>
      <c r="N130">
        <v>1467</v>
      </c>
      <c r="O130" t="s">
        <v>575</v>
      </c>
      <c r="Q130" t="s">
        <v>2257</v>
      </c>
      <c r="R130" t="s">
        <v>1142</v>
      </c>
      <c r="S130" t="s">
        <v>88</v>
      </c>
    </row>
    <row r="131" spans="1:19" x14ac:dyDescent="0.25">
      <c r="A131" t="s">
        <v>59</v>
      </c>
      <c r="B131" t="s">
        <v>60</v>
      </c>
      <c r="C131" t="s">
        <v>32</v>
      </c>
      <c r="D131" t="s">
        <v>33</v>
      </c>
      <c r="E131" t="s">
        <v>87</v>
      </c>
      <c r="F131" t="s">
        <v>35</v>
      </c>
      <c r="G131" t="s">
        <v>35</v>
      </c>
      <c r="H131" t="s">
        <v>35</v>
      </c>
      <c r="J131" t="s">
        <v>1484</v>
      </c>
      <c r="K131" t="s">
        <v>1092</v>
      </c>
      <c r="M131">
        <v>0.2</v>
      </c>
      <c r="N131">
        <v>2658</v>
      </c>
      <c r="O131" t="s">
        <v>575</v>
      </c>
      <c r="Q131" t="s">
        <v>1485</v>
      </c>
      <c r="R131" t="s">
        <v>1142</v>
      </c>
      <c r="S131" t="s">
        <v>88</v>
      </c>
    </row>
    <row r="132" spans="1:19" x14ac:dyDescent="0.25">
      <c r="A132" t="s">
        <v>30</v>
      </c>
      <c r="B132" t="s">
        <v>31</v>
      </c>
      <c r="C132" t="s">
        <v>32</v>
      </c>
      <c r="D132" t="s">
        <v>33</v>
      </c>
      <c r="E132" t="s">
        <v>196</v>
      </c>
      <c r="F132" t="s">
        <v>35</v>
      </c>
      <c r="G132" t="s">
        <v>35</v>
      </c>
      <c r="H132" t="s">
        <v>35</v>
      </c>
      <c r="J132" t="s">
        <v>1508</v>
      </c>
      <c r="K132" t="s">
        <v>1092</v>
      </c>
      <c r="M132">
        <v>4.95</v>
      </c>
      <c r="N132">
        <v>63</v>
      </c>
      <c r="O132" t="s">
        <v>61</v>
      </c>
      <c r="Q132" t="s">
        <v>126</v>
      </c>
      <c r="R132" t="s">
        <v>1142</v>
      </c>
      <c r="S132" t="s">
        <v>88</v>
      </c>
    </row>
    <row r="133" spans="1:19" x14ac:dyDescent="0.25">
      <c r="A133" t="s">
        <v>59</v>
      </c>
      <c r="B133" t="s">
        <v>31</v>
      </c>
      <c r="C133" t="s">
        <v>32</v>
      </c>
      <c r="D133" t="s">
        <v>33</v>
      </c>
      <c r="E133" t="s">
        <v>87</v>
      </c>
      <c r="F133" t="s">
        <v>35</v>
      </c>
      <c r="G133" t="s">
        <v>35</v>
      </c>
      <c r="H133" t="s">
        <v>35</v>
      </c>
      <c r="J133" t="s">
        <v>1517</v>
      </c>
      <c r="K133" t="s">
        <v>1092</v>
      </c>
      <c r="M133">
        <v>2.4300000000000002</v>
      </c>
      <c r="N133">
        <v>56</v>
      </c>
      <c r="O133" t="s">
        <v>52</v>
      </c>
      <c r="Q133" t="s">
        <v>423</v>
      </c>
      <c r="R133" t="s">
        <v>1142</v>
      </c>
      <c r="S133" t="s">
        <v>88</v>
      </c>
    </row>
    <row r="134" spans="1:19" x14ac:dyDescent="0.25">
      <c r="A134" t="s">
        <v>59</v>
      </c>
      <c r="B134" t="s">
        <v>60</v>
      </c>
      <c r="C134" t="s">
        <v>32</v>
      </c>
      <c r="D134" t="s">
        <v>33</v>
      </c>
      <c r="E134" t="s">
        <v>196</v>
      </c>
      <c r="F134" t="s">
        <v>35</v>
      </c>
      <c r="G134" t="s">
        <v>35</v>
      </c>
      <c r="H134" t="s">
        <v>35</v>
      </c>
      <c r="J134" t="s">
        <v>2047</v>
      </c>
      <c r="K134" t="s">
        <v>1092</v>
      </c>
      <c r="M134">
        <v>0.89800000000000002</v>
      </c>
      <c r="N134">
        <v>76</v>
      </c>
      <c r="O134" t="s">
        <v>61</v>
      </c>
      <c r="Q134" t="s">
        <v>455</v>
      </c>
      <c r="R134" t="s">
        <v>1142</v>
      </c>
      <c r="S134" t="s">
        <v>88</v>
      </c>
    </row>
    <row r="135" spans="1:19" x14ac:dyDescent="0.25">
      <c r="A135" t="s">
        <v>59</v>
      </c>
      <c r="B135" t="s">
        <v>31</v>
      </c>
      <c r="C135" t="s">
        <v>32</v>
      </c>
      <c r="D135" t="s">
        <v>33</v>
      </c>
      <c r="E135" t="s">
        <v>196</v>
      </c>
      <c r="F135" t="s">
        <v>35</v>
      </c>
      <c r="G135" t="s">
        <v>35</v>
      </c>
      <c r="H135" t="s">
        <v>35</v>
      </c>
      <c r="J135" t="s">
        <v>2047</v>
      </c>
      <c r="K135" t="s">
        <v>1092</v>
      </c>
      <c r="M135">
        <v>1.575</v>
      </c>
      <c r="N135">
        <v>76</v>
      </c>
      <c r="O135" t="s">
        <v>61</v>
      </c>
      <c r="Q135" t="s">
        <v>455</v>
      </c>
      <c r="R135" t="s">
        <v>1142</v>
      </c>
      <c r="S135" t="s">
        <v>88</v>
      </c>
    </row>
    <row r="136" spans="1:19" x14ac:dyDescent="0.25">
      <c r="A136" t="s">
        <v>30</v>
      </c>
      <c r="B136" t="s">
        <v>31</v>
      </c>
      <c r="C136" t="s">
        <v>32</v>
      </c>
      <c r="D136" t="s">
        <v>33</v>
      </c>
      <c r="E136" t="s">
        <v>87</v>
      </c>
      <c r="F136" t="s">
        <v>35</v>
      </c>
      <c r="G136" t="s">
        <v>35</v>
      </c>
      <c r="H136" t="s">
        <v>35</v>
      </c>
      <c r="J136" t="s">
        <v>1432</v>
      </c>
      <c r="K136" t="s">
        <v>1092</v>
      </c>
      <c r="M136">
        <v>0.76500000000000001</v>
      </c>
      <c r="N136">
        <v>381</v>
      </c>
      <c r="O136" t="s">
        <v>294</v>
      </c>
      <c r="Q136" t="s">
        <v>1433</v>
      </c>
      <c r="R136" t="s">
        <v>1142</v>
      </c>
      <c r="S136" t="s">
        <v>88</v>
      </c>
    </row>
    <row r="137" spans="1:19" x14ac:dyDescent="0.25">
      <c r="A137" t="s">
        <v>59</v>
      </c>
      <c r="B137" t="s">
        <v>60</v>
      </c>
      <c r="C137" t="s">
        <v>32</v>
      </c>
      <c r="D137" t="s">
        <v>33</v>
      </c>
      <c r="E137" t="s">
        <v>87</v>
      </c>
      <c r="F137" t="s">
        <v>35</v>
      </c>
      <c r="G137" t="s">
        <v>35</v>
      </c>
      <c r="H137" t="s">
        <v>35</v>
      </c>
      <c r="J137" t="s">
        <v>1432</v>
      </c>
      <c r="K137" t="s">
        <v>1092</v>
      </c>
      <c r="M137">
        <v>0.998</v>
      </c>
      <c r="N137">
        <v>394</v>
      </c>
      <c r="O137" t="s">
        <v>294</v>
      </c>
      <c r="Q137" t="s">
        <v>1434</v>
      </c>
      <c r="R137" t="s">
        <v>1142</v>
      </c>
      <c r="S137" t="s">
        <v>88</v>
      </c>
    </row>
    <row r="138" spans="1:19" x14ac:dyDescent="0.25">
      <c r="A138" t="s">
        <v>59</v>
      </c>
      <c r="B138" t="s">
        <v>60</v>
      </c>
      <c r="C138" t="s">
        <v>32</v>
      </c>
      <c r="D138" t="s">
        <v>33</v>
      </c>
      <c r="E138" t="s">
        <v>87</v>
      </c>
      <c r="F138" t="s">
        <v>35</v>
      </c>
      <c r="G138" t="s">
        <v>35</v>
      </c>
      <c r="H138" t="s">
        <v>35</v>
      </c>
      <c r="J138" t="s">
        <v>1432</v>
      </c>
      <c r="K138" t="s">
        <v>1092</v>
      </c>
      <c r="M138">
        <v>0.5</v>
      </c>
      <c r="N138">
        <v>353</v>
      </c>
      <c r="O138" t="s">
        <v>5</v>
      </c>
      <c r="Q138" t="s">
        <v>1435</v>
      </c>
      <c r="R138" t="s">
        <v>1142</v>
      </c>
      <c r="S138" t="s">
        <v>88</v>
      </c>
    </row>
    <row r="139" spans="1:19" x14ac:dyDescent="0.25">
      <c r="A139" t="s">
        <v>30</v>
      </c>
      <c r="B139" t="s">
        <v>31</v>
      </c>
      <c r="C139" t="s">
        <v>32</v>
      </c>
      <c r="D139" t="s">
        <v>33</v>
      </c>
      <c r="E139" t="s">
        <v>196</v>
      </c>
      <c r="F139" t="s">
        <v>35</v>
      </c>
      <c r="G139" t="s">
        <v>35</v>
      </c>
      <c r="H139" t="s">
        <v>35</v>
      </c>
      <c r="J139" t="s">
        <v>2048</v>
      </c>
      <c r="K139" t="s">
        <v>1092</v>
      </c>
      <c r="M139">
        <v>0.54</v>
      </c>
      <c r="N139">
        <v>63</v>
      </c>
      <c r="O139" t="s">
        <v>61</v>
      </c>
      <c r="Q139" t="s">
        <v>126</v>
      </c>
      <c r="R139" t="s">
        <v>1142</v>
      </c>
      <c r="S139" t="s">
        <v>88</v>
      </c>
    </row>
    <row r="140" spans="1:19" x14ac:dyDescent="0.25">
      <c r="A140" t="s">
        <v>59</v>
      </c>
      <c r="B140" t="s">
        <v>31</v>
      </c>
      <c r="C140" t="s">
        <v>32</v>
      </c>
      <c r="D140" t="s">
        <v>33</v>
      </c>
      <c r="E140" t="s">
        <v>1520</v>
      </c>
      <c r="F140" t="s">
        <v>35</v>
      </c>
      <c r="G140" t="s">
        <v>35</v>
      </c>
      <c r="H140" t="s">
        <v>35</v>
      </c>
      <c r="J140" t="s">
        <v>1558</v>
      </c>
      <c r="K140" t="s">
        <v>1092</v>
      </c>
      <c r="M140">
        <v>2.2599999999999998</v>
      </c>
      <c r="N140">
        <v>140</v>
      </c>
      <c r="O140" t="s">
        <v>38</v>
      </c>
      <c r="Q140" t="s">
        <v>1229</v>
      </c>
      <c r="R140" t="s">
        <v>1142</v>
      </c>
      <c r="S140" t="s">
        <v>88</v>
      </c>
    </row>
    <row r="141" spans="1:19" x14ac:dyDescent="0.25">
      <c r="A141" t="s">
        <v>44</v>
      </c>
      <c r="B141" t="s">
        <v>51</v>
      </c>
      <c r="C141" t="s">
        <v>32</v>
      </c>
      <c r="D141" t="s">
        <v>33</v>
      </c>
      <c r="E141" t="s">
        <v>1520</v>
      </c>
      <c r="F141" t="s">
        <v>35</v>
      </c>
      <c r="G141" t="s">
        <v>35</v>
      </c>
      <c r="H141" t="s">
        <v>35</v>
      </c>
      <c r="J141" t="s">
        <v>1558</v>
      </c>
      <c r="K141" t="s">
        <v>1092</v>
      </c>
      <c r="M141">
        <v>0.5</v>
      </c>
      <c r="N141">
        <v>140</v>
      </c>
      <c r="O141" t="s">
        <v>38</v>
      </c>
      <c r="Q141" t="s">
        <v>1229</v>
      </c>
      <c r="R141" t="s">
        <v>1142</v>
      </c>
      <c r="S141" t="s">
        <v>88</v>
      </c>
    </row>
    <row r="142" spans="1:19" x14ac:dyDescent="0.25">
      <c r="A142" t="s">
        <v>59</v>
      </c>
      <c r="B142" t="s">
        <v>60</v>
      </c>
      <c r="C142" t="s">
        <v>32</v>
      </c>
      <c r="D142" t="s">
        <v>33</v>
      </c>
      <c r="E142" t="s">
        <v>1520</v>
      </c>
      <c r="F142" t="s">
        <v>35</v>
      </c>
      <c r="G142" t="s">
        <v>35</v>
      </c>
      <c r="H142" t="s">
        <v>35</v>
      </c>
      <c r="J142" t="s">
        <v>1558</v>
      </c>
      <c r="K142" t="s">
        <v>1092</v>
      </c>
      <c r="M142">
        <v>0.5</v>
      </c>
      <c r="N142">
        <v>140</v>
      </c>
      <c r="O142" t="s">
        <v>38</v>
      </c>
      <c r="Q142" t="s">
        <v>1229</v>
      </c>
      <c r="R142" t="s">
        <v>1142</v>
      </c>
      <c r="S142" t="s">
        <v>88</v>
      </c>
    </row>
    <row r="143" spans="1:19" x14ac:dyDescent="0.25">
      <c r="A143" t="s">
        <v>59</v>
      </c>
      <c r="B143" t="s">
        <v>60</v>
      </c>
      <c r="C143" t="s">
        <v>32</v>
      </c>
      <c r="D143" t="s">
        <v>33</v>
      </c>
      <c r="E143" t="s">
        <v>1292</v>
      </c>
      <c r="F143" t="s">
        <v>35</v>
      </c>
      <c r="G143" t="s">
        <v>35</v>
      </c>
      <c r="H143" t="s">
        <v>35</v>
      </c>
      <c r="J143" t="s">
        <v>1389</v>
      </c>
      <c r="K143" t="s">
        <v>1092</v>
      </c>
      <c r="M143">
        <v>1.4999999999999999E-2</v>
      </c>
      <c r="N143">
        <v>2437</v>
      </c>
      <c r="O143" t="s">
        <v>575</v>
      </c>
      <c r="Q143" t="s">
        <v>1390</v>
      </c>
      <c r="R143" t="s">
        <v>1391</v>
      </c>
      <c r="S143" t="s">
        <v>1392</v>
      </c>
    </row>
    <row r="144" spans="1:19" x14ac:dyDescent="0.25">
      <c r="A144" t="s">
        <v>59</v>
      </c>
      <c r="B144" t="s">
        <v>60</v>
      </c>
      <c r="C144" t="s">
        <v>32</v>
      </c>
      <c r="D144" t="s">
        <v>33</v>
      </c>
      <c r="F144" t="s">
        <v>35</v>
      </c>
      <c r="G144" t="s">
        <v>35</v>
      </c>
      <c r="H144" t="s">
        <v>35</v>
      </c>
      <c r="J144" t="s">
        <v>2301</v>
      </c>
      <c r="K144" t="s">
        <v>1092</v>
      </c>
      <c r="M144">
        <v>0.25</v>
      </c>
      <c r="N144">
        <v>2437</v>
      </c>
      <c r="O144" t="s">
        <v>575</v>
      </c>
      <c r="Q144" t="s">
        <v>1390</v>
      </c>
      <c r="R144" t="s">
        <v>1391</v>
      </c>
      <c r="S144" t="s">
        <v>1392</v>
      </c>
    </row>
    <row r="145" spans="1:19" x14ac:dyDescent="0.25">
      <c r="A145" t="s">
        <v>59</v>
      </c>
      <c r="B145" t="s">
        <v>31</v>
      </c>
      <c r="C145" t="s">
        <v>32</v>
      </c>
      <c r="D145" t="s">
        <v>33</v>
      </c>
      <c r="E145" t="s">
        <v>1292</v>
      </c>
      <c r="F145" t="s">
        <v>35</v>
      </c>
      <c r="G145" t="s">
        <v>35</v>
      </c>
      <c r="H145" t="s">
        <v>35</v>
      </c>
      <c r="J145" t="s">
        <v>1320</v>
      </c>
      <c r="K145" t="s">
        <v>1092</v>
      </c>
      <c r="M145">
        <v>7.0000000000000007E-2</v>
      </c>
      <c r="N145">
        <v>587</v>
      </c>
      <c r="O145" t="s">
        <v>575</v>
      </c>
      <c r="Q145" t="s">
        <v>1321</v>
      </c>
      <c r="R145" t="s">
        <v>1322</v>
      </c>
      <c r="S145" t="s">
        <v>628</v>
      </c>
    </row>
    <row r="146" spans="1:19" x14ac:dyDescent="0.25">
      <c r="A146" t="s">
        <v>59</v>
      </c>
      <c r="B146" t="s">
        <v>60</v>
      </c>
      <c r="C146" t="s">
        <v>32</v>
      </c>
      <c r="D146" t="s">
        <v>33</v>
      </c>
      <c r="E146" t="s">
        <v>1292</v>
      </c>
      <c r="F146" t="s">
        <v>35</v>
      </c>
      <c r="G146" t="s">
        <v>35</v>
      </c>
      <c r="H146" t="s">
        <v>35</v>
      </c>
      <c r="J146" t="s">
        <v>1387</v>
      </c>
      <c r="K146" t="s">
        <v>1092</v>
      </c>
      <c r="M146">
        <v>4.4999999999999998E-2</v>
      </c>
      <c r="N146">
        <v>530</v>
      </c>
      <c r="O146" t="s">
        <v>294</v>
      </c>
      <c r="Q146" t="s">
        <v>1388</v>
      </c>
      <c r="R146" t="s">
        <v>1322</v>
      </c>
      <c r="S146" t="s">
        <v>628</v>
      </c>
    </row>
    <row r="147" spans="1:19" x14ac:dyDescent="0.25">
      <c r="A147" t="s">
        <v>59</v>
      </c>
      <c r="B147" t="s">
        <v>31</v>
      </c>
      <c r="C147" t="s">
        <v>32</v>
      </c>
      <c r="D147" t="s">
        <v>33</v>
      </c>
      <c r="E147" t="s">
        <v>1292</v>
      </c>
      <c r="F147" t="s">
        <v>35</v>
      </c>
      <c r="G147" t="s">
        <v>35</v>
      </c>
      <c r="H147" t="s">
        <v>35</v>
      </c>
      <c r="J147" t="s">
        <v>1414</v>
      </c>
      <c r="K147" t="s">
        <v>1092</v>
      </c>
      <c r="M147">
        <v>0.92</v>
      </c>
      <c r="N147">
        <v>578</v>
      </c>
      <c r="O147" t="s">
        <v>575</v>
      </c>
      <c r="Q147" t="s">
        <v>1416</v>
      </c>
      <c r="R147" t="s">
        <v>1322</v>
      </c>
      <c r="S147" t="s">
        <v>628</v>
      </c>
    </row>
    <row r="148" spans="1:19" x14ac:dyDescent="0.25">
      <c r="A148" t="s">
        <v>59</v>
      </c>
      <c r="B148" t="s">
        <v>31</v>
      </c>
      <c r="C148" t="s">
        <v>32</v>
      </c>
      <c r="D148" t="s">
        <v>33</v>
      </c>
      <c r="E148" t="s">
        <v>114</v>
      </c>
      <c r="F148" t="s">
        <v>35</v>
      </c>
      <c r="G148" t="s">
        <v>35</v>
      </c>
      <c r="H148" t="s">
        <v>35</v>
      </c>
      <c r="J148" t="s">
        <v>1585</v>
      </c>
      <c r="K148" t="s">
        <v>1092</v>
      </c>
      <c r="M148">
        <v>0.76500000000000001</v>
      </c>
      <c r="N148">
        <v>82</v>
      </c>
      <c r="O148" t="s">
        <v>61</v>
      </c>
      <c r="Q148" t="s">
        <v>299</v>
      </c>
      <c r="R148" t="s">
        <v>147</v>
      </c>
      <c r="S148" t="s">
        <v>148</v>
      </c>
    </row>
    <row r="149" spans="1:19" x14ac:dyDescent="0.25">
      <c r="A149" t="s">
        <v>44</v>
      </c>
      <c r="B149" t="s">
        <v>51</v>
      </c>
      <c r="C149" t="s">
        <v>32</v>
      </c>
      <c r="D149" t="s">
        <v>33</v>
      </c>
      <c r="F149" t="s">
        <v>35</v>
      </c>
      <c r="G149" t="s">
        <v>35</v>
      </c>
      <c r="H149" t="s">
        <v>35</v>
      </c>
      <c r="J149" t="s">
        <v>2242</v>
      </c>
      <c r="K149" t="s">
        <v>1092</v>
      </c>
      <c r="M149">
        <v>5</v>
      </c>
      <c r="N149">
        <v>20</v>
      </c>
      <c r="O149" t="s">
        <v>46</v>
      </c>
      <c r="Q149" t="s">
        <v>1011</v>
      </c>
      <c r="R149" t="s">
        <v>147</v>
      </c>
      <c r="S149" t="s">
        <v>148</v>
      </c>
    </row>
    <row r="150" spans="1:19" x14ac:dyDescent="0.25">
      <c r="A150" t="s">
        <v>44</v>
      </c>
      <c r="B150" t="s">
        <v>3</v>
      </c>
      <c r="C150" t="s">
        <v>32</v>
      </c>
      <c r="D150" t="s">
        <v>33</v>
      </c>
      <c r="E150" t="s">
        <v>122</v>
      </c>
      <c r="F150" t="s">
        <v>35</v>
      </c>
      <c r="G150" t="s">
        <v>35</v>
      </c>
      <c r="H150" t="s">
        <v>35</v>
      </c>
      <c r="J150" t="s">
        <v>1714</v>
      </c>
      <c r="K150" t="s">
        <v>1092</v>
      </c>
      <c r="M150">
        <v>0.15</v>
      </c>
      <c r="N150">
        <v>59</v>
      </c>
      <c r="O150" t="s">
        <v>52</v>
      </c>
      <c r="Q150" t="s">
        <v>203</v>
      </c>
      <c r="R150" t="s">
        <v>147</v>
      </c>
      <c r="S150" t="s">
        <v>148</v>
      </c>
    </row>
    <row r="151" spans="1:19" x14ac:dyDescent="0.25">
      <c r="A151" t="s">
        <v>30</v>
      </c>
      <c r="B151" t="s">
        <v>31</v>
      </c>
      <c r="C151" t="s">
        <v>32</v>
      </c>
      <c r="D151" t="s">
        <v>33</v>
      </c>
      <c r="E151" t="s">
        <v>122</v>
      </c>
      <c r="F151" t="s">
        <v>35</v>
      </c>
      <c r="G151" t="s">
        <v>35</v>
      </c>
      <c r="H151" t="s">
        <v>35</v>
      </c>
      <c r="J151" t="s">
        <v>1714</v>
      </c>
      <c r="K151" t="s">
        <v>1092</v>
      </c>
      <c r="M151">
        <v>1.35</v>
      </c>
      <c r="N151">
        <v>11</v>
      </c>
      <c r="O151" t="s">
        <v>46</v>
      </c>
      <c r="Q151" t="s">
        <v>1476</v>
      </c>
      <c r="R151" t="s">
        <v>147</v>
      </c>
      <c r="S151" t="s">
        <v>148</v>
      </c>
    </row>
    <row r="152" spans="1:19" x14ac:dyDescent="0.25">
      <c r="A152" t="s">
        <v>59</v>
      </c>
      <c r="B152" t="s">
        <v>31</v>
      </c>
      <c r="C152" t="s">
        <v>32</v>
      </c>
      <c r="D152" t="s">
        <v>33</v>
      </c>
      <c r="E152" t="s">
        <v>122</v>
      </c>
      <c r="F152" t="s">
        <v>35</v>
      </c>
      <c r="G152" t="s">
        <v>35</v>
      </c>
      <c r="H152" t="s">
        <v>35</v>
      </c>
      <c r="J152" t="s">
        <v>1796</v>
      </c>
      <c r="K152" t="s">
        <v>1092</v>
      </c>
      <c r="M152">
        <v>7.6050000000000004</v>
      </c>
      <c r="N152">
        <v>67</v>
      </c>
      <c r="O152" t="s">
        <v>61</v>
      </c>
      <c r="Q152" t="s">
        <v>488</v>
      </c>
      <c r="R152" t="s">
        <v>147</v>
      </c>
      <c r="S152" t="s">
        <v>148</v>
      </c>
    </row>
    <row r="153" spans="1:19" x14ac:dyDescent="0.25">
      <c r="A153" t="s">
        <v>44</v>
      </c>
      <c r="B153" t="s">
        <v>3</v>
      </c>
      <c r="C153" t="s">
        <v>32</v>
      </c>
      <c r="D153" t="s">
        <v>33</v>
      </c>
      <c r="E153" t="s">
        <v>172</v>
      </c>
      <c r="F153" t="s">
        <v>35</v>
      </c>
      <c r="G153" t="s">
        <v>35</v>
      </c>
      <c r="H153" t="s">
        <v>35</v>
      </c>
      <c r="J153" t="s">
        <v>1905</v>
      </c>
      <c r="K153" t="s">
        <v>1144</v>
      </c>
      <c r="M153">
        <v>1.18</v>
      </c>
      <c r="N153">
        <v>45</v>
      </c>
      <c r="O153" t="s">
        <v>52</v>
      </c>
      <c r="Q153" t="s">
        <v>1230</v>
      </c>
      <c r="R153" t="s">
        <v>147</v>
      </c>
      <c r="S153" t="s">
        <v>148</v>
      </c>
    </row>
    <row r="154" spans="1:19" x14ac:dyDescent="0.25">
      <c r="A154" t="s">
        <v>44</v>
      </c>
      <c r="B154" t="s">
        <v>3</v>
      </c>
      <c r="C154" t="s">
        <v>32</v>
      </c>
      <c r="D154" t="s">
        <v>33</v>
      </c>
      <c r="E154" t="s">
        <v>122</v>
      </c>
      <c r="F154" t="s">
        <v>35</v>
      </c>
      <c r="G154" t="s">
        <v>35</v>
      </c>
      <c r="H154" t="s">
        <v>35</v>
      </c>
      <c r="J154" t="s">
        <v>143</v>
      </c>
      <c r="K154" t="s">
        <v>37</v>
      </c>
      <c r="M154">
        <v>5.5</v>
      </c>
      <c r="N154">
        <v>61</v>
      </c>
      <c r="O154" t="s">
        <v>61</v>
      </c>
      <c r="P154" t="s">
        <v>145</v>
      </c>
      <c r="Q154" t="s">
        <v>146</v>
      </c>
      <c r="R154" t="s">
        <v>147</v>
      </c>
      <c r="S154" t="s">
        <v>148</v>
      </c>
    </row>
    <row r="155" spans="1:19" x14ac:dyDescent="0.25">
      <c r="A155" t="s">
        <v>44</v>
      </c>
      <c r="B155" t="s">
        <v>51</v>
      </c>
      <c r="C155" t="s">
        <v>32</v>
      </c>
      <c r="D155" t="s">
        <v>33</v>
      </c>
      <c r="E155" t="s">
        <v>1292</v>
      </c>
      <c r="F155" t="s">
        <v>35</v>
      </c>
      <c r="G155" t="s">
        <v>35</v>
      </c>
      <c r="H155" t="s">
        <v>35</v>
      </c>
      <c r="J155" t="s">
        <v>1307</v>
      </c>
      <c r="K155" t="s">
        <v>1092</v>
      </c>
      <c r="M155">
        <v>1.8</v>
      </c>
      <c r="N155">
        <v>20</v>
      </c>
      <c r="O155" t="s">
        <v>46</v>
      </c>
      <c r="Q155" t="s">
        <v>1011</v>
      </c>
      <c r="R155" t="s">
        <v>147</v>
      </c>
      <c r="S155" t="s">
        <v>148</v>
      </c>
    </row>
    <row r="156" spans="1:19" x14ac:dyDescent="0.25">
      <c r="A156" t="s">
        <v>59</v>
      </c>
      <c r="B156" t="s">
        <v>31</v>
      </c>
      <c r="C156" t="s">
        <v>32</v>
      </c>
      <c r="D156" t="s">
        <v>33</v>
      </c>
      <c r="E156" t="s">
        <v>162</v>
      </c>
      <c r="F156" t="s">
        <v>35</v>
      </c>
      <c r="G156" t="s">
        <v>35</v>
      </c>
      <c r="H156" t="s">
        <v>35</v>
      </c>
      <c r="J156" t="s">
        <v>1882</v>
      </c>
      <c r="K156" t="s">
        <v>1092</v>
      </c>
      <c r="M156">
        <v>5.49</v>
      </c>
      <c r="N156">
        <v>88</v>
      </c>
      <c r="O156" t="s">
        <v>61</v>
      </c>
      <c r="Q156" t="s">
        <v>724</v>
      </c>
      <c r="R156" t="s">
        <v>147</v>
      </c>
      <c r="S156" t="s">
        <v>148</v>
      </c>
    </row>
    <row r="157" spans="1:19" x14ac:dyDescent="0.25">
      <c r="A157" t="s">
        <v>30</v>
      </c>
      <c r="B157" t="s">
        <v>31</v>
      </c>
      <c r="C157" t="s">
        <v>32</v>
      </c>
      <c r="D157" t="s">
        <v>33</v>
      </c>
      <c r="E157" t="s">
        <v>172</v>
      </c>
      <c r="F157" t="s">
        <v>35</v>
      </c>
      <c r="G157" t="s">
        <v>35</v>
      </c>
      <c r="H157" t="s">
        <v>35</v>
      </c>
      <c r="J157" t="s">
        <v>1964</v>
      </c>
      <c r="K157" t="s">
        <v>1092</v>
      </c>
      <c r="M157">
        <v>1.08</v>
      </c>
      <c r="N157">
        <v>37</v>
      </c>
      <c r="O157" t="s">
        <v>52</v>
      </c>
      <c r="Q157" t="s">
        <v>192</v>
      </c>
      <c r="R157" t="s">
        <v>147</v>
      </c>
      <c r="S157" t="s">
        <v>148</v>
      </c>
    </row>
    <row r="158" spans="1:19" x14ac:dyDescent="0.25">
      <c r="A158" t="s">
        <v>59</v>
      </c>
      <c r="B158" t="s">
        <v>60</v>
      </c>
      <c r="C158" t="s">
        <v>32</v>
      </c>
      <c r="D158" t="s">
        <v>33</v>
      </c>
      <c r="E158" t="s">
        <v>172</v>
      </c>
      <c r="F158" t="s">
        <v>35</v>
      </c>
      <c r="G158" t="s">
        <v>35</v>
      </c>
      <c r="H158" t="s">
        <v>35</v>
      </c>
      <c r="J158" t="s">
        <v>1906</v>
      </c>
      <c r="K158" t="s">
        <v>404</v>
      </c>
      <c r="M158">
        <v>7.9130000000000003</v>
      </c>
      <c r="N158">
        <v>88</v>
      </c>
      <c r="O158" t="s">
        <v>61</v>
      </c>
      <c r="Q158" t="s">
        <v>724</v>
      </c>
      <c r="R158" t="s">
        <v>147</v>
      </c>
      <c r="S158" t="s">
        <v>148</v>
      </c>
    </row>
    <row r="159" spans="1:19" x14ac:dyDescent="0.25">
      <c r="A159" t="s">
        <v>59</v>
      </c>
      <c r="B159" t="s">
        <v>31</v>
      </c>
      <c r="C159" t="s">
        <v>32</v>
      </c>
      <c r="D159" t="s">
        <v>33</v>
      </c>
      <c r="E159" t="s">
        <v>114</v>
      </c>
      <c r="F159" t="s">
        <v>35</v>
      </c>
      <c r="G159" t="s">
        <v>35</v>
      </c>
      <c r="H159" t="s">
        <v>35</v>
      </c>
      <c r="J159" t="s">
        <v>1603</v>
      </c>
      <c r="K159" t="s">
        <v>1092</v>
      </c>
      <c r="M159">
        <v>0.45</v>
      </c>
      <c r="N159">
        <v>82</v>
      </c>
      <c r="O159" t="s">
        <v>61</v>
      </c>
      <c r="Q159" t="s">
        <v>299</v>
      </c>
      <c r="R159" t="s">
        <v>147</v>
      </c>
      <c r="S159" t="s">
        <v>148</v>
      </c>
    </row>
    <row r="160" spans="1:19" x14ac:dyDescent="0.25">
      <c r="A160" t="s">
        <v>59</v>
      </c>
      <c r="B160" t="s">
        <v>31</v>
      </c>
      <c r="C160" t="s">
        <v>32</v>
      </c>
      <c r="D160" t="s">
        <v>33</v>
      </c>
      <c r="E160" t="s">
        <v>1520</v>
      </c>
      <c r="F160" t="s">
        <v>35</v>
      </c>
      <c r="G160" t="s">
        <v>35</v>
      </c>
      <c r="H160" t="s">
        <v>35</v>
      </c>
      <c r="J160" t="s">
        <v>1539</v>
      </c>
      <c r="K160" t="s">
        <v>1092</v>
      </c>
      <c r="M160">
        <v>0.94499999999999995</v>
      </c>
      <c r="N160">
        <v>88</v>
      </c>
      <c r="O160" t="s">
        <v>61</v>
      </c>
      <c r="Q160" t="s">
        <v>724</v>
      </c>
      <c r="R160" t="s">
        <v>147</v>
      </c>
      <c r="S160" t="s">
        <v>148</v>
      </c>
    </row>
    <row r="161" spans="1:19" x14ac:dyDescent="0.25">
      <c r="A161" t="s">
        <v>59</v>
      </c>
      <c r="B161" t="s">
        <v>60</v>
      </c>
      <c r="C161" t="s">
        <v>32</v>
      </c>
      <c r="D161" t="s">
        <v>33</v>
      </c>
      <c r="E161" t="s">
        <v>172</v>
      </c>
      <c r="F161" t="s">
        <v>35</v>
      </c>
      <c r="G161" t="s">
        <v>35</v>
      </c>
      <c r="H161" t="s">
        <v>35</v>
      </c>
      <c r="J161" t="s">
        <v>1907</v>
      </c>
      <c r="K161" t="s">
        <v>1092</v>
      </c>
      <c r="M161">
        <v>11</v>
      </c>
      <c r="N161">
        <v>88</v>
      </c>
      <c r="O161" t="s">
        <v>61</v>
      </c>
      <c r="Q161" t="s">
        <v>724</v>
      </c>
      <c r="R161" t="s">
        <v>147</v>
      </c>
      <c r="S161" t="s">
        <v>148</v>
      </c>
    </row>
    <row r="162" spans="1:19" x14ac:dyDescent="0.25">
      <c r="A162" t="s">
        <v>59</v>
      </c>
      <c r="B162" t="s">
        <v>60</v>
      </c>
      <c r="C162" t="s">
        <v>32</v>
      </c>
      <c r="D162" t="s">
        <v>33</v>
      </c>
      <c r="E162" t="s">
        <v>1292</v>
      </c>
      <c r="F162" t="s">
        <v>35</v>
      </c>
      <c r="G162" t="s">
        <v>35</v>
      </c>
      <c r="H162" t="s">
        <v>35</v>
      </c>
      <c r="J162" t="s">
        <v>1383</v>
      </c>
      <c r="K162" t="s">
        <v>1092</v>
      </c>
      <c r="M162">
        <v>2.4500000000000002</v>
      </c>
      <c r="N162">
        <v>83</v>
      </c>
      <c r="O162" t="s">
        <v>61</v>
      </c>
      <c r="Q162" t="s">
        <v>897</v>
      </c>
      <c r="R162" t="s">
        <v>147</v>
      </c>
      <c r="S162" t="s">
        <v>148</v>
      </c>
    </row>
    <row r="163" spans="1:19" x14ac:dyDescent="0.25">
      <c r="A163" t="s">
        <v>59</v>
      </c>
      <c r="B163" t="s">
        <v>31</v>
      </c>
      <c r="C163" t="s">
        <v>32</v>
      </c>
      <c r="D163" t="s">
        <v>33</v>
      </c>
      <c r="E163" t="s">
        <v>1292</v>
      </c>
      <c r="F163" t="s">
        <v>35</v>
      </c>
      <c r="G163" t="s">
        <v>35</v>
      </c>
      <c r="H163" t="s">
        <v>35</v>
      </c>
      <c r="J163" t="s">
        <v>1383</v>
      </c>
      <c r="K163" t="s">
        <v>1092</v>
      </c>
      <c r="M163">
        <v>2.3849999999999998</v>
      </c>
      <c r="N163">
        <v>83</v>
      </c>
      <c r="O163" t="s">
        <v>61</v>
      </c>
      <c r="Q163" t="s">
        <v>897</v>
      </c>
      <c r="R163" t="s">
        <v>147</v>
      </c>
      <c r="S163" t="s">
        <v>148</v>
      </c>
    </row>
    <row r="164" spans="1:19" x14ac:dyDescent="0.25">
      <c r="A164" t="s">
        <v>59</v>
      </c>
      <c r="B164" t="s">
        <v>60</v>
      </c>
      <c r="C164" t="s">
        <v>32</v>
      </c>
      <c r="D164" t="s">
        <v>33</v>
      </c>
      <c r="E164" t="s">
        <v>1292</v>
      </c>
      <c r="F164" t="s">
        <v>35</v>
      </c>
      <c r="G164" t="s">
        <v>35</v>
      </c>
      <c r="H164" t="s">
        <v>35</v>
      </c>
      <c r="J164" t="s">
        <v>1329</v>
      </c>
      <c r="K164" t="s">
        <v>1092</v>
      </c>
      <c r="M164">
        <v>1.9</v>
      </c>
      <c r="N164">
        <v>83</v>
      </c>
      <c r="O164" t="s">
        <v>61</v>
      </c>
      <c r="Q164" t="s">
        <v>897</v>
      </c>
      <c r="R164" t="s">
        <v>147</v>
      </c>
      <c r="S164" t="s">
        <v>148</v>
      </c>
    </row>
    <row r="165" spans="1:19" x14ac:dyDescent="0.25">
      <c r="A165" t="s">
        <v>59</v>
      </c>
      <c r="B165" t="s">
        <v>31</v>
      </c>
      <c r="C165" t="s">
        <v>32</v>
      </c>
      <c r="D165" t="s">
        <v>33</v>
      </c>
      <c r="E165" t="s">
        <v>1292</v>
      </c>
      <c r="F165" t="s">
        <v>35</v>
      </c>
      <c r="G165" t="s">
        <v>35</v>
      </c>
      <c r="H165" t="s">
        <v>35</v>
      </c>
      <c r="J165" t="s">
        <v>1329</v>
      </c>
      <c r="K165" t="s">
        <v>1092</v>
      </c>
      <c r="M165">
        <v>2.2050000000000001</v>
      </c>
      <c r="N165">
        <v>83</v>
      </c>
      <c r="O165" t="s">
        <v>61</v>
      </c>
      <c r="Q165" t="s">
        <v>897</v>
      </c>
      <c r="R165" t="s">
        <v>147</v>
      </c>
      <c r="S165" t="s">
        <v>148</v>
      </c>
    </row>
    <row r="166" spans="1:19" x14ac:dyDescent="0.25">
      <c r="A166" t="s">
        <v>44</v>
      </c>
      <c r="B166" t="s">
        <v>3</v>
      </c>
      <c r="C166" t="s">
        <v>32</v>
      </c>
      <c r="D166" t="s">
        <v>33</v>
      </c>
      <c r="E166" t="s">
        <v>122</v>
      </c>
      <c r="F166" t="s">
        <v>35</v>
      </c>
      <c r="G166" t="s">
        <v>35</v>
      </c>
      <c r="H166" t="s">
        <v>35</v>
      </c>
      <c r="J166" t="s">
        <v>1814</v>
      </c>
      <c r="K166" t="s">
        <v>1092</v>
      </c>
      <c r="M166">
        <v>1.95</v>
      </c>
      <c r="N166">
        <v>61</v>
      </c>
      <c r="O166" t="s">
        <v>61</v>
      </c>
      <c r="Q166" t="s">
        <v>146</v>
      </c>
      <c r="R166" t="s">
        <v>147</v>
      </c>
      <c r="S166" t="s">
        <v>148</v>
      </c>
    </row>
    <row r="167" spans="1:19" x14ac:dyDescent="0.25">
      <c r="A167" t="s">
        <v>44</v>
      </c>
      <c r="B167" t="s">
        <v>3</v>
      </c>
      <c r="C167" t="s">
        <v>32</v>
      </c>
      <c r="D167" t="s">
        <v>33</v>
      </c>
      <c r="E167" t="s">
        <v>122</v>
      </c>
      <c r="F167" t="s">
        <v>35</v>
      </c>
      <c r="G167" t="s">
        <v>35</v>
      </c>
      <c r="H167" t="s">
        <v>35</v>
      </c>
      <c r="J167" t="s">
        <v>1815</v>
      </c>
      <c r="K167" t="s">
        <v>1092</v>
      </c>
      <c r="M167">
        <v>4</v>
      </c>
      <c r="N167">
        <v>61</v>
      </c>
      <c r="O167" t="s">
        <v>61</v>
      </c>
      <c r="Q167" t="s">
        <v>146</v>
      </c>
      <c r="R167" t="s">
        <v>147</v>
      </c>
      <c r="S167" t="s">
        <v>148</v>
      </c>
    </row>
    <row r="168" spans="1:19" x14ac:dyDescent="0.25">
      <c r="A168" t="s">
        <v>59</v>
      </c>
      <c r="B168" t="s">
        <v>31</v>
      </c>
      <c r="C168" t="s">
        <v>32</v>
      </c>
      <c r="D168" t="s">
        <v>33</v>
      </c>
      <c r="E168" t="s">
        <v>122</v>
      </c>
      <c r="F168" t="s">
        <v>35</v>
      </c>
      <c r="G168" t="s">
        <v>35</v>
      </c>
      <c r="H168" t="s">
        <v>35</v>
      </c>
      <c r="J168" t="s">
        <v>1815</v>
      </c>
      <c r="K168" t="s">
        <v>1092</v>
      </c>
      <c r="M168">
        <v>5.49</v>
      </c>
      <c r="N168">
        <v>68</v>
      </c>
      <c r="O168" t="s">
        <v>61</v>
      </c>
      <c r="Q168" t="s">
        <v>805</v>
      </c>
      <c r="R168" t="s">
        <v>147</v>
      </c>
      <c r="S168" t="s">
        <v>148</v>
      </c>
    </row>
    <row r="169" spans="1:19" x14ac:dyDescent="0.25">
      <c r="A169" t="s">
        <v>59</v>
      </c>
      <c r="B169" t="s">
        <v>60</v>
      </c>
      <c r="C169" t="s">
        <v>32</v>
      </c>
      <c r="D169" t="s">
        <v>33</v>
      </c>
      <c r="E169" t="s">
        <v>172</v>
      </c>
      <c r="F169" t="s">
        <v>35</v>
      </c>
      <c r="G169" t="s">
        <v>35</v>
      </c>
      <c r="H169" t="s">
        <v>35</v>
      </c>
      <c r="J169" t="s">
        <v>1908</v>
      </c>
      <c r="K169" t="s">
        <v>285</v>
      </c>
      <c r="M169">
        <v>3.45</v>
      </c>
      <c r="N169">
        <v>68</v>
      </c>
      <c r="O169" t="s">
        <v>61</v>
      </c>
      <c r="Q169" t="s">
        <v>805</v>
      </c>
      <c r="R169" t="s">
        <v>147</v>
      </c>
      <c r="S169" t="s">
        <v>148</v>
      </c>
    </row>
    <row r="170" spans="1:19" x14ac:dyDescent="0.25">
      <c r="A170" t="s">
        <v>30</v>
      </c>
      <c r="B170" t="s">
        <v>31</v>
      </c>
      <c r="C170" t="s">
        <v>32</v>
      </c>
      <c r="D170" t="s">
        <v>33</v>
      </c>
      <c r="E170" t="s">
        <v>172</v>
      </c>
      <c r="F170" t="s">
        <v>35</v>
      </c>
      <c r="G170" t="s">
        <v>35</v>
      </c>
      <c r="H170" t="s">
        <v>35</v>
      </c>
      <c r="J170" t="s">
        <v>1949</v>
      </c>
      <c r="K170" t="s">
        <v>1092</v>
      </c>
      <c r="M170">
        <v>0.9</v>
      </c>
      <c r="N170">
        <v>11</v>
      </c>
      <c r="O170" t="s">
        <v>46</v>
      </c>
      <c r="Q170" t="s">
        <v>1476</v>
      </c>
      <c r="R170" t="s">
        <v>147</v>
      </c>
      <c r="S170" t="s">
        <v>148</v>
      </c>
    </row>
    <row r="171" spans="1:19" x14ac:dyDescent="0.25">
      <c r="A171" t="s">
        <v>59</v>
      </c>
      <c r="B171" t="s">
        <v>60</v>
      </c>
      <c r="C171" t="s">
        <v>32</v>
      </c>
      <c r="D171" t="s">
        <v>33</v>
      </c>
      <c r="E171" t="s">
        <v>172</v>
      </c>
      <c r="F171" t="s">
        <v>35</v>
      </c>
      <c r="G171" t="s">
        <v>35</v>
      </c>
      <c r="H171" t="s">
        <v>35</v>
      </c>
      <c r="J171" t="s">
        <v>1949</v>
      </c>
      <c r="K171" t="s">
        <v>1092</v>
      </c>
      <c r="M171">
        <v>0.25</v>
      </c>
      <c r="N171">
        <v>88</v>
      </c>
      <c r="O171" t="s">
        <v>61</v>
      </c>
      <c r="Q171" t="s">
        <v>724</v>
      </c>
      <c r="R171" t="s">
        <v>147</v>
      </c>
      <c r="S171" t="s">
        <v>148</v>
      </c>
    </row>
    <row r="172" spans="1:19" x14ac:dyDescent="0.25">
      <c r="A172" t="s">
        <v>59</v>
      </c>
      <c r="B172" t="s">
        <v>60</v>
      </c>
      <c r="C172" t="s">
        <v>32</v>
      </c>
      <c r="D172" t="s">
        <v>33</v>
      </c>
      <c r="F172" t="s">
        <v>35</v>
      </c>
      <c r="G172" t="s">
        <v>35</v>
      </c>
      <c r="H172" t="s">
        <v>35</v>
      </c>
      <c r="J172" t="s">
        <v>2253</v>
      </c>
      <c r="K172" t="s">
        <v>1092</v>
      </c>
      <c r="M172">
        <v>0.2</v>
      </c>
      <c r="N172">
        <v>2405</v>
      </c>
      <c r="O172" t="s">
        <v>575</v>
      </c>
      <c r="Q172" t="s">
        <v>2254</v>
      </c>
      <c r="R172" t="s">
        <v>2255</v>
      </c>
      <c r="S172" t="s">
        <v>2256</v>
      </c>
    </row>
    <row r="173" spans="1:19" x14ac:dyDescent="0.25">
      <c r="A173" t="s">
        <v>44</v>
      </c>
      <c r="B173" t="s">
        <v>3</v>
      </c>
      <c r="C173" t="s">
        <v>32</v>
      </c>
      <c r="D173" t="s">
        <v>33</v>
      </c>
      <c r="E173" t="s">
        <v>204</v>
      </c>
      <c r="F173" t="s">
        <v>35</v>
      </c>
      <c r="G173" t="s">
        <v>35</v>
      </c>
      <c r="H173" t="s">
        <v>35</v>
      </c>
      <c r="J173" t="s">
        <v>2168</v>
      </c>
      <c r="K173" t="s">
        <v>1092</v>
      </c>
      <c r="M173">
        <v>0.15</v>
      </c>
      <c r="N173">
        <v>421</v>
      </c>
      <c r="O173" t="s">
        <v>294</v>
      </c>
      <c r="Q173" t="s">
        <v>1325</v>
      </c>
      <c r="R173" t="s">
        <v>2169</v>
      </c>
      <c r="S173" t="s">
        <v>2170</v>
      </c>
    </row>
    <row r="174" spans="1:19" x14ac:dyDescent="0.25">
      <c r="A174" t="s">
        <v>59</v>
      </c>
      <c r="B174" t="s">
        <v>60</v>
      </c>
      <c r="C174" t="s">
        <v>32</v>
      </c>
      <c r="D174" t="s">
        <v>33</v>
      </c>
      <c r="F174" t="s">
        <v>35</v>
      </c>
      <c r="G174" t="s">
        <v>35</v>
      </c>
      <c r="H174" t="s">
        <v>35</v>
      </c>
      <c r="J174" t="s">
        <v>2358</v>
      </c>
      <c r="K174" t="s">
        <v>1092</v>
      </c>
      <c r="M174">
        <v>0.42499999999999999</v>
      </c>
      <c r="N174">
        <v>2130</v>
      </c>
      <c r="O174" t="s">
        <v>575</v>
      </c>
      <c r="Q174" t="s">
        <v>2359</v>
      </c>
      <c r="R174" t="s">
        <v>2169</v>
      </c>
      <c r="S174" t="s">
        <v>2170</v>
      </c>
    </row>
    <row r="175" spans="1:19" x14ac:dyDescent="0.25">
      <c r="A175" t="s">
        <v>59</v>
      </c>
      <c r="B175" t="s">
        <v>60</v>
      </c>
      <c r="C175" t="s">
        <v>32</v>
      </c>
      <c r="D175" t="s">
        <v>33</v>
      </c>
      <c r="F175" t="s">
        <v>35</v>
      </c>
      <c r="G175" t="s">
        <v>35</v>
      </c>
      <c r="H175" t="s">
        <v>35</v>
      </c>
      <c r="J175" t="s">
        <v>2358</v>
      </c>
      <c r="K175" t="s">
        <v>1092</v>
      </c>
      <c r="M175">
        <v>0.25</v>
      </c>
      <c r="N175">
        <v>2116</v>
      </c>
      <c r="O175" t="s">
        <v>575</v>
      </c>
      <c r="Q175" t="s">
        <v>2360</v>
      </c>
      <c r="R175" t="s">
        <v>2169</v>
      </c>
      <c r="S175" t="s">
        <v>2170</v>
      </c>
    </row>
    <row r="176" spans="1:19" x14ac:dyDescent="0.25">
      <c r="A176" t="s">
        <v>30</v>
      </c>
      <c r="B176" t="s">
        <v>31</v>
      </c>
      <c r="C176" t="s">
        <v>32</v>
      </c>
      <c r="D176" t="s">
        <v>33</v>
      </c>
      <c r="F176" t="s">
        <v>35</v>
      </c>
      <c r="G176" t="s">
        <v>35</v>
      </c>
      <c r="H176" t="s">
        <v>35</v>
      </c>
      <c r="J176" t="s">
        <v>2358</v>
      </c>
      <c r="K176" t="s">
        <v>1092</v>
      </c>
      <c r="M176">
        <v>4.4999999999999998E-2</v>
      </c>
      <c r="N176">
        <v>2171</v>
      </c>
      <c r="O176" t="s">
        <v>575</v>
      </c>
      <c r="Q176" t="s">
        <v>2361</v>
      </c>
      <c r="R176" t="s">
        <v>2169</v>
      </c>
      <c r="S176" t="s">
        <v>2170</v>
      </c>
    </row>
    <row r="177" spans="1:19" x14ac:dyDescent="0.25">
      <c r="A177" t="s">
        <v>30</v>
      </c>
      <c r="B177" t="s">
        <v>31</v>
      </c>
      <c r="C177" t="s">
        <v>32</v>
      </c>
      <c r="D177" t="s">
        <v>33</v>
      </c>
      <c r="F177" t="s">
        <v>35</v>
      </c>
      <c r="G177" t="s">
        <v>35</v>
      </c>
      <c r="H177" t="s">
        <v>35</v>
      </c>
      <c r="J177" t="s">
        <v>2358</v>
      </c>
      <c r="K177" t="s">
        <v>1092</v>
      </c>
      <c r="M177">
        <v>0.22500000000000001</v>
      </c>
      <c r="N177">
        <v>2116</v>
      </c>
      <c r="O177" t="s">
        <v>575</v>
      </c>
      <c r="Q177" t="s">
        <v>2360</v>
      </c>
      <c r="R177" t="s">
        <v>2169</v>
      </c>
      <c r="S177" t="s">
        <v>2170</v>
      </c>
    </row>
    <row r="178" spans="1:19" x14ac:dyDescent="0.25">
      <c r="A178" t="s">
        <v>30</v>
      </c>
      <c r="B178" t="s">
        <v>31</v>
      </c>
      <c r="C178" t="s">
        <v>32</v>
      </c>
      <c r="D178" t="s">
        <v>33</v>
      </c>
      <c r="F178" t="s">
        <v>35</v>
      </c>
      <c r="G178" t="s">
        <v>35</v>
      </c>
      <c r="H178" t="s">
        <v>35</v>
      </c>
      <c r="J178" t="s">
        <v>2358</v>
      </c>
      <c r="K178" t="s">
        <v>1092</v>
      </c>
      <c r="M178">
        <v>0.9</v>
      </c>
      <c r="N178">
        <v>2130</v>
      </c>
      <c r="O178" t="s">
        <v>575</v>
      </c>
      <c r="Q178" t="s">
        <v>2359</v>
      </c>
      <c r="R178" t="s">
        <v>2169</v>
      </c>
      <c r="S178" t="s">
        <v>2170</v>
      </c>
    </row>
    <row r="179" spans="1:19" x14ac:dyDescent="0.25">
      <c r="A179" t="s">
        <v>59</v>
      </c>
      <c r="B179" t="s">
        <v>60</v>
      </c>
      <c r="C179" t="s">
        <v>32</v>
      </c>
      <c r="D179" t="s">
        <v>33</v>
      </c>
      <c r="F179" t="s">
        <v>35</v>
      </c>
      <c r="G179" t="s">
        <v>35</v>
      </c>
      <c r="H179" t="s">
        <v>35</v>
      </c>
      <c r="J179" t="s">
        <v>2358</v>
      </c>
      <c r="K179" t="s">
        <v>1092</v>
      </c>
      <c r="M179">
        <v>0.25</v>
      </c>
      <c r="N179">
        <v>2108</v>
      </c>
      <c r="O179" t="s">
        <v>575</v>
      </c>
      <c r="Q179" t="s">
        <v>2362</v>
      </c>
      <c r="R179" t="s">
        <v>2169</v>
      </c>
      <c r="S179" t="s">
        <v>2170</v>
      </c>
    </row>
    <row r="180" spans="1:19" x14ac:dyDescent="0.25">
      <c r="A180" t="s">
        <v>30</v>
      </c>
      <c r="B180" t="s">
        <v>31</v>
      </c>
      <c r="C180" t="s">
        <v>32</v>
      </c>
      <c r="D180" t="s">
        <v>33</v>
      </c>
      <c r="E180" t="s">
        <v>122</v>
      </c>
      <c r="F180" t="s">
        <v>35</v>
      </c>
      <c r="G180" t="s">
        <v>35</v>
      </c>
      <c r="H180" t="s">
        <v>35</v>
      </c>
      <c r="J180" t="s">
        <v>1812</v>
      </c>
      <c r="K180" t="s">
        <v>1092</v>
      </c>
      <c r="M180">
        <v>0.63</v>
      </c>
      <c r="N180">
        <v>119</v>
      </c>
      <c r="O180" t="s">
        <v>106</v>
      </c>
      <c r="Q180" t="s">
        <v>1813</v>
      </c>
      <c r="R180" t="s">
        <v>85</v>
      </c>
      <c r="S180" t="s">
        <v>86</v>
      </c>
    </row>
    <row r="181" spans="1:19" x14ac:dyDescent="0.25">
      <c r="A181" t="s">
        <v>30</v>
      </c>
      <c r="B181" t="s">
        <v>31</v>
      </c>
      <c r="C181" t="s">
        <v>32</v>
      </c>
      <c r="D181" t="s">
        <v>33</v>
      </c>
      <c r="E181" t="s">
        <v>122</v>
      </c>
      <c r="F181" t="s">
        <v>35</v>
      </c>
      <c r="G181" t="s">
        <v>35</v>
      </c>
      <c r="H181" t="s">
        <v>35</v>
      </c>
      <c r="J181" t="s">
        <v>1723</v>
      </c>
      <c r="K181" t="s">
        <v>1092</v>
      </c>
      <c r="M181">
        <v>1.1850000000000001</v>
      </c>
      <c r="N181">
        <v>271</v>
      </c>
      <c r="O181" t="s">
        <v>5</v>
      </c>
      <c r="Q181" t="s">
        <v>1724</v>
      </c>
      <c r="R181" t="s">
        <v>85</v>
      </c>
      <c r="S181" t="s">
        <v>86</v>
      </c>
    </row>
    <row r="182" spans="1:19" x14ac:dyDescent="0.25">
      <c r="A182" t="s">
        <v>59</v>
      </c>
      <c r="B182" t="s">
        <v>31</v>
      </c>
      <c r="C182" t="s">
        <v>32</v>
      </c>
      <c r="D182" t="s">
        <v>33</v>
      </c>
      <c r="E182" t="s">
        <v>122</v>
      </c>
      <c r="F182" t="s">
        <v>35</v>
      </c>
      <c r="G182" t="s">
        <v>35</v>
      </c>
      <c r="H182" t="s">
        <v>35</v>
      </c>
      <c r="J182" t="s">
        <v>1723</v>
      </c>
      <c r="K182" t="s">
        <v>1092</v>
      </c>
      <c r="M182">
        <v>2.7</v>
      </c>
      <c r="N182">
        <v>63</v>
      </c>
      <c r="O182" t="s">
        <v>61</v>
      </c>
      <c r="Q182" t="s">
        <v>126</v>
      </c>
      <c r="R182" t="s">
        <v>85</v>
      </c>
      <c r="S182" t="s">
        <v>86</v>
      </c>
    </row>
    <row r="183" spans="1:19" x14ac:dyDescent="0.25">
      <c r="A183" t="s">
        <v>59</v>
      </c>
      <c r="B183" t="s">
        <v>31</v>
      </c>
      <c r="C183" t="s">
        <v>32</v>
      </c>
      <c r="D183" t="s">
        <v>33</v>
      </c>
      <c r="E183" t="s">
        <v>204</v>
      </c>
      <c r="F183" t="s">
        <v>35</v>
      </c>
      <c r="G183" t="s">
        <v>35</v>
      </c>
      <c r="H183" t="s">
        <v>35</v>
      </c>
      <c r="J183" t="s">
        <v>2117</v>
      </c>
      <c r="K183" t="s">
        <v>1092</v>
      </c>
      <c r="M183">
        <v>4.1399999999999997</v>
      </c>
      <c r="N183">
        <v>66</v>
      </c>
      <c r="O183" t="s">
        <v>61</v>
      </c>
      <c r="Q183" t="s">
        <v>552</v>
      </c>
      <c r="R183" t="s">
        <v>85</v>
      </c>
      <c r="S183" t="s">
        <v>86</v>
      </c>
    </row>
    <row r="184" spans="1:19" x14ac:dyDescent="0.25">
      <c r="A184" t="s">
        <v>59</v>
      </c>
      <c r="B184" t="s">
        <v>60</v>
      </c>
      <c r="C184" t="s">
        <v>32</v>
      </c>
      <c r="D184" t="s">
        <v>33</v>
      </c>
      <c r="E184" t="s">
        <v>204</v>
      </c>
      <c r="F184" t="s">
        <v>35</v>
      </c>
      <c r="G184" t="s">
        <v>35</v>
      </c>
      <c r="H184" t="s">
        <v>35</v>
      </c>
      <c r="J184" t="s">
        <v>2117</v>
      </c>
      <c r="K184" t="s">
        <v>1092</v>
      </c>
      <c r="M184">
        <v>4.5999999999999996</v>
      </c>
      <c r="N184">
        <v>66</v>
      </c>
      <c r="O184" t="s">
        <v>61</v>
      </c>
      <c r="Q184" t="s">
        <v>552</v>
      </c>
      <c r="R184" t="s">
        <v>85</v>
      </c>
      <c r="S184" t="s">
        <v>86</v>
      </c>
    </row>
    <row r="185" spans="1:19" x14ac:dyDescent="0.25">
      <c r="A185" t="s">
        <v>59</v>
      </c>
      <c r="B185" t="s">
        <v>31</v>
      </c>
      <c r="C185" t="s">
        <v>32</v>
      </c>
      <c r="D185" t="s">
        <v>33</v>
      </c>
      <c r="E185" t="s">
        <v>122</v>
      </c>
      <c r="F185" t="s">
        <v>35</v>
      </c>
      <c r="G185" t="s">
        <v>35</v>
      </c>
      <c r="H185" t="s">
        <v>35</v>
      </c>
      <c r="J185" t="s">
        <v>1655</v>
      </c>
      <c r="K185" t="s">
        <v>1092</v>
      </c>
      <c r="M185">
        <v>2.25</v>
      </c>
      <c r="N185">
        <v>63</v>
      </c>
      <c r="O185" t="s">
        <v>61</v>
      </c>
      <c r="Q185" t="s">
        <v>126</v>
      </c>
      <c r="R185" t="s">
        <v>85</v>
      </c>
      <c r="S185" t="s">
        <v>86</v>
      </c>
    </row>
    <row r="186" spans="1:19" x14ac:dyDescent="0.25">
      <c r="A186" t="s">
        <v>30</v>
      </c>
      <c r="B186" t="s">
        <v>31</v>
      </c>
      <c r="C186" t="s">
        <v>32</v>
      </c>
      <c r="D186" t="s">
        <v>33</v>
      </c>
      <c r="E186" t="s">
        <v>122</v>
      </c>
      <c r="F186" t="s">
        <v>35</v>
      </c>
      <c r="G186" t="s">
        <v>35</v>
      </c>
      <c r="H186" t="s">
        <v>35</v>
      </c>
      <c r="J186" t="s">
        <v>1655</v>
      </c>
      <c r="K186" t="s">
        <v>1092</v>
      </c>
      <c r="M186">
        <v>2.5649999999999999</v>
      </c>
      <c r="N186">
        <v>38</v>
      </c>
      <c r="O186" t="s">
        <v>52</v>
      </c>
      <c r="Q186" t="s">
        <v>716</v>
      </c>
      <c r="R186" t="s">
        <v>85</v>
      </c>
      <c r="S186" t="s">
        <v>86</v>
      </c>
    </row>
    <row r="187" spans="1:19" x14ac:dyDescent="0.25">
      <c r="A187" t="s">
        <v>59</v>
      </c>
      <c r="B187" t="s">
        <v>31</v>
      </c>
      <c r="C187" t="s">
        <v>32</v>
      </c>
      <c r="D187" t="s">
        <v>33</v>
      </c>
      <c r="E187" t="s">
        <v>114</v>
      </c>
      <c r="F187" t="s">
        <v>35</v>
      </c>
      <c r="G187" t="s">
        <v>35</v>
      </c>
      <c r="H187" t="s">
        <v>35</v>
      </c>
      <c r="J187" t="s">
        <v>1610</v>
      </c>
      <c r="K187" t="s">
        <v>1092</v>
      </c>
      <c r="M187">
        <v>2.25</v>
      </c>
      <c r="N187">
        <v>66</v>
      </c>
      <c r="O187" t="s">
        <v>61</v>
      </c>
      <c r="Q187" t="s">
        <v>552</v>
      </c>
      <c r="R187" t="s">
        <v>85</v>
      </c>
      <c r="S187" t="s">
        <v>86</v>
      </c>
    </row>
    <row r="188" spans="1:19" x14ac:dyDescent="0.25">
      <c r="A188" t="s">
        <v>30</v>
      </c>
      <c r="B188" t="s">
        <v>31</v>
      </c>
      <c r="C188" t="s">
        <v>32</v>
      </c>
      <c r="D188" t="s">
        <v>33</v>
      </c>
      <c r="E188" t="s">
        <v>204</v>
      </c>
      <c r="F188" t="s">
        <v>35</v>
      </c>
      <c r="G188" t="s">
        <v>35</v>
      </c>
      <c r="H188" t="s">
        <v>35</v>
      </c>
      <c r="J188" t="s">
        <v>2155</v>
      </c>
      <c r="K188" t="s">
        <v>1092</v>
      </c>
      <c r="M188">
        <v>3.5550000000000002</v>
      </c>
      <c r="N188">
        <v>38</v>
      </c>
      <c r="O188" t="s">
        <v>52</v>
      </c>
      <c r="Q188" t="s">
        <v>716</v>
      </c>
      <c r="R188" t="s">
        <v>85</v>
      </c>
      <c r="S188" t="s">
        <v>86</v>
      </c>
    </row>
    <row r="189" spans="1:19" x14ac:dyDescent="0.25">
      <c r="A189" t="s">
        <v>59</v>
      </c>
      <c r="B189" t="s">
        <v>60</v>
      </c>
      <c r="C189" t="s">
        <v>32</v>
      </c>
      <c r="D189" t="s">
        <v>33</v>
      </c>
      <c r="E189" t="s">
        <v>122</v>
      </c>
      <c r="F189" t="s">
        <v>35</v>
      </c>
      <c r="G189" t="s">
        <v>35</v>
      </c>
      <c r="H189" t="s">
        <v>35</v>
      </c>
      <c r="J189" t="s">
        <v>1728</v>
      </c>
      <c r="K189" t="s">
        <v>1092</v>
      </c>
      <c r="M189">
        <v>5.25</v>
      </c>
      <c r="N189">
        <v>86</v>
      </c>
      <c r="O189" t="s">
        <v>61</v>
      </c>
      <c r="Q189" t="s">
        <v>941</v>
      </c>
      <c r="R189" t="s">
        <v>85</v>
      </c>
      <c r="S189" t="s">
        <v>86</v>
      </c>
    </row>
    <row r="190" spans="1:19" x14ac:dyDescent="0.25">
      <c r="A190" t="s">
        <v>59</v>
      </c>
      <c r="B190" t="s">
        <v>60</v>
      </c>
      <c r="C190" t="s">
        <v>32</v>
      </c>
      <c r="D190" t="s">
        <v>33</v>
      </c>
      <c r="E190" t="s">
        <v>196</v>
      </c>
      <c r="F190" t="s">
        <v>35</v>
      </c>
      <c r="G190" t="s">
        <v>35</v>
      </c>
      <c r="H190" t="s">
        <v>35</v>
      </c>
      <c r="J190" t="s">
        <v>2030</v>
      </c>
      <c r="K190" t="s">
        <v>1092</v>
      </c>
      <c r="M190">
        <v>0.65</v>
      </c>
      <c r="N190">
        <v>140</v>
      </c>
      <c r="O190" t="s">
        <v>38</v>
      </c>
      <c r="Q190" t="s">
        <v>1229</v>
      </c>
      <c r="R190" t="s">
        <v>85</v>
      </c>
      <c r="S190" t="s">
        <v>86</v>
      </c>
    </row>
    <row r="191" spans="1:19" x14ac:dyDescent="0.25">
      <c r="A191" t="s">
        <v>44</v>
      </c>
      <c r="B191" t="s">
        <v>3</v>
      </c>
      <c r="C191" t="s">
        <v>32</v>
      </c>
      <c r="D191" t="s">
        <v>33</v>
      </c>
      <c r="E191" t="s">
        <v>196</v>
      </c>
      <c r="F191" t="s">
        <v>35</v>
      </c>
      <c r="G191" t="s">
        <v>35</v>
      </c>
      <c r="H191" t="s">
        <v>35</v>
      </c>
      <c r="J191" t="s">
        <v>2030</v>
      </c>
      <c r="K191" t="s">
        <v>1092</v>
      </c>
      <c r="M191">
        <v>0.45</v>
      </c>
      <c r="N191">
        <v>55</v>
      </c>
      <c r="O191" t="s">
        <v>52</v>
      </c>
      <c r="Q191" t="s">
        <v>90</v>
      </c>
      <c r="R191" t="s">
        <v>85</v>
      </c>
      <c r="S191" t="s">
        <v>86</v>
      </c>
    </row>
    <row r="192" spans="1:19" x14ac:dyDescent="0.25">
      <c r="A192" t="s">
        <v>44</v>
      </c>
      <c r="B192" t="s">
        <v>51</v>
      </c>
      <c r="C192" t="s">
        <v>32</v>
      </c>
      <c r="D192" t="s">
        <v>33</v>
      </c>
      <c r="E192" t="s">
        <v>196</v>
      </c>
      <c r="F192" t="s">
        <v>35</v>
      </c>
      <c r="G192" t="s">
        <v>35</v>
      </c>
      <c r="H192" t="s">
        <v>35</v>
      </c>
      <c r="J192" t="s">
        <v>2030</v>
      </c>
      <c r="K192" t="s">
        <v>1092</v>
      </c>
      <c r="M192">
        <v>5.3</v>
      </c>
      <c r="N192">
        <v>21</v>
      </c>
      <c r="O192" t="s">
        <v>46</v>
      </c>
      <c r="Q192" t="s">
        <v>176</v>
      </c>
      <c r="R192" t="s">
        <v>85</v>
      </c>
      <c r="S192" t="s">
        <v>86</v>
      </c>
    </row>
    <row r="193" spans="1:19" x14ac:dyDescent="0.25">
      <c r="A193" t="s">
        <v>30</v>
      </c>
      <c r="B193" t="s">
        <v>31</v>
      </c>
      <c r="C193" t="s">
        <v>32</v>
      </c>
      <c r="D193" t="s">
        <v>33</v>
      </c>
      <c r="E193" t="s">
        <v>196</v>
      </c>
      <c r="F193" t="s">
        <v>35</v>
      </c>
      <c r="G193" t="s">
        <v>35</v>
      </c>
      <c r="H193" t="s">
        <v>35</v>
      </c>
      <c r="J193" t="s">
        <v>2030</v>
      </c>
      <c r="K193" t="s">
        <v>1092</v>
      </c>
      <c r="M193">
        <v>3.375</v>
      </c>
      <c r="N193">
        <v>39</v>
      </c>
      <c r="O193" t="s">
        <v>52</v>
      </c>
      <c r="Q193" t="s">
        <v>493</v>
      </c>
      <c r="R193" t="s">
        <v>85</v>
      </c>
      <c r="S193" t="s">
        <v>86</v>
      </c>
    </row>
    <row r="194" spans="1:19" x14ac:dyDescent="0.25">
      <c r="A194" t="s">
        <v>44</v>
      </c>
      <c r="B194" t="s">
        <v>51</v>
      </c>
      <c r="C194" t="s">
        <v>32</v>
      </c>
      <c r="D194" t="s">
        <v>33</v>
      </c>
      <c r="E194" t="s">
        <v>177</v>
      </c>
      <c r="F194" t="s">
        <v>35</v>
      </c>
      <c r="G194" t="s">
        <v>35</v>
      </c>
      <c r="H194" t="s">
        <v>35</v>
      </c>
      <c r="J194" t="s">
        <v>2020</v>
      </c>
      <c r="K194" t="s">
        <v>1092</v>
      </c>
      <c r="M194">
        <v>4.2</v>
      </c>
      <c r="N194">
        <v>21</v>
      </c>
      <c r="O194" t="s">
        <v>46</v>
      </c>
      <c r="Q194" t="s">
        <v>176</v>
      </c>
      <c r="R194" t="s">
        <v>85</v>
      </c>
      <c r="S194" t="s">
        <v>86</v>
      </c>
    </row>
    <row r="195" spans="1:19" x14ac:dyDescent="0.25">
      <c r="A195" t="s">
        <v>44</v>
      </c>
      <c r="B195" t="s">
        <v>3</v>
      </c>
      <c r="C195" t="s">
        <v>32</v>
      </c>
      <c r="D195" t="s">
        <v>33</v>
      </c>
      <c r="E195" t="s">
        <v>177</v>
      </c>
      <c r="F195" t="s">
        <v>35</v>
      </c>
      <c r="G195" t="s">
        <v>35</v>
      </c>
      <c r="H195" t="s">
        <v>35</v>
      </c>
      <c r="J195" t="s">
        <v>2020</v>
      </c>
      <c r="K195" t="s">
        <v>1092</v>
      </c>
      <c r="M195">
        <v>2.4</v>
      </c>
      <c r="N195">
        <v>55</v>
      </c>
      <c r="O195" t="s">
        <v>52</v>
      </c>
      <c r="Q195" t="s">
        <v>90</v>
      </c>
      <c r="R195" t="s">
        <v>85</v>
      </c>
      <c r="S195" t="s">
        <v>86</v>
      </c>
    </row>
    <row r="196" spans="1:19" x14ac:dyDescent="0.25">
      <c r="A196" t="s">
        <v>30</v>
      </c>
      <c r="B196" t="s">
        <v>31</v>
      </c>
      <c r="C196" t="s">
        <v>32</v>
      </c>
      <c r="D196" t="s">
        <v>33</v>
      </c>
      <c r="E196" t="s">
        <v>1292</v>
      </c>
      <c r="F196" t="s">
        <v>35</v>
      </c>
      <c r="G196" t="s">
        <v>35</v>
      </c>
      <c r="H196" t="s">
        <v>35</v>
      </c>
      <c r="J196" t="s">
        <v>1382</v>
      </c>
      <c r="K196" t="s">
        <v>1092</v>
      </c>
      <c r="M196">
        <v>6.75</v>
      </c>
      <c r="N196">
        <v>38</v>
      </c>
      <c r="O196" t="s">
        <v>52</v>
      </c>
      <c r="Q196" t="s">
        <v>716</v>
      </c>
      <c r="R196" t="s">
        <v>85</v>
      </c>
      <c r="S196" t="s">
        <v>86</v>
      </c>
    </row>
    <row r="197" spans="1:19" x14ac:dyDescent="0.25">
      <c r="A197" t="s">
        <v>30</v>
      </c>
      <c r="B197" t="s">
        <v>31</v>
      </c>
      <c r="C197" t="s">
        <v>32</v>
      </c>
      <c r="D197" t="s">
        <v>33</v>
      </c>
      <c r="E197" t="s">
        <v>122</v>
      </c>
      <c r="F197" t="s">
        <v>35</v>
      </c>
      <c r="G197" t="s">
        <v>35</v>
      </c>
      <c r="H197" t="s">
        <v>35</v>
      </c>
      <c r="J197" t="s">
        <v>1770</v>
      </c>
      <c r="K197" t="s">
        <v>1092</v>
      </c>
      <c r="M197">
        <v>5.49</v>
      </c>
      <c r="N197">
        <v>39</v>
      </c>
      <c r="O197" t="s">
        <v>52</v>
      </c>
      <c r="Q197" t="s">
        <v>493</v>
      </c>
      <c r="R197" t="s">
        <v>85</v>
      </c>
      <c r="S197" t="s">
        <v>86</v>
      </c>
    </row>
    <row r="198" spans="1:19" x14ac:dyDescent="0.25">
      <c r="A198" t="s">
        <v>44</v>
      </c>
      <c r="B198" t="s">
        <v>51</v>
      </c>
      <c r="C198" t="s">
        <v>32</v>
      </c>
      <c r="D198" t="s">
        <v>33</v>
      </c>
      <c r="E198" t="s">
        <v>64</v>
      </c>
      <c r="F198" t="s">
        <v>35</v>
      </c>
      <c r="G198" t="s">
        <v>35</v>
      </c>
      <c r="H198" t="s">
        <v>35</v>
      </c>
      <c r="J198" t="s">
        <v>1205</v>
      </c>
      <c r="K198" t="s">
        <v>1092</v>
      </c>
      <c r="M198">
        <v>11</v>
      </c>
      <c r="N198">
        <v>21</v>
      </c>
      <c r="O198" t="s">
        <v>46</v>
      </c>
      <c r="Q198" t="s">
        <v>176</v>
      </c>
      <c r="R198" t="s">
        <v>85</v>
      </c>
      <c r="S198" t="s">
        <v>86</v>
      </c>
    </row>
    <row r="199" spans="1:19" x14ac:dyDescent="0.25">
      <c r="A199" t="s">
        <v>44</v>
      </c>
      <c r="B199" t="s">
        <v>3</v>
      </c>
      <c r="C199" t="s">
        <v>32</v>
      </c>
      <c r="D199" t="s">
        <v>33</v>
      </c>
      <c r="E199" t="s">
        <v>64</v>
      </c>
      <c r="F199" t="s">
        <v>35</v>
      </c>
      <c r="G199" t="s">
        <v>35</v>
      </c>
      <c r="H199" t="s">
        <v>35</v>
      </c>
      <c r="J199" t="s">
        <v>1205</v>
      </c>
      <c r="K199" t="s">
        <v>1092</v>
      </c>
      <c r="M199">
        <v>11</v>
      </c>
      <c r="N199">
        <v>55</v>
      </c>
      <c r="O199" t="s">
        <v>52</v>
      </c>
      <c r="Q199" t="s">
        <v>90</v>
      </c>
      <c r="R199" t="s">
        <v>85</v>
      </c>
      <c r="S199" t="s">
        <v>86</v>
      </c>
    </row>
    <row r="200" spans="1:19" x14ac:dyDescent="0.25">
      <c r="A200" t="s">
        <v>30</v>
      </c>
      <c r="B200" t="s">
        <v>31</v>
      </c>
      <c r="C200" t="s">
        <v>32</v>
      </c>
      <c r="D200" t="s">
        <v>33</v>
      </c>
      <c r="E200" t="s">
        <v>64</v>
      </c>
      <c r="F200" t="s">
        <v>35</v>
      </c>
      <c r="G200" t="s">
        <v>35</v>
      </c>
      <c r="H200" t="s">
        <v>35</v>
      </c>
      <c r="J200" t="s">
        <v>1205</v>
      </c>
      <c r="K200" t="s">
        <v>1092</v>
      </c>
      <c r="M200">
        <v>4.68</v>
      </c>
      <c r="N200">
        <v>39</v>
      </c>
      <c r="O200" t="s">
        <v>52</v>
      </c>
      <c r="Q200" t="s">
        <v>493</v>
      </c>
      <c r="R200" t="s">
        <v>85</v>
      </c>
      <c r="S200" t="s">
        <v>86</v>
      </c>
    </row>
    <row r="201" spans="1:19" x14ac:dyDescent="0.25">
      <c r="A201" t="s">
        <v>59</v>
      </c>
      <c r="B201" t="s">
        <v>60</v>
      </c>
      <c r="C201" t="s">
        <v>32</v>
      </c>
      <c r="D201" t="s">
        <v>33</v>
      </c>
      <c r="E201" t="s">
        <v>64</v>
      </c>
      <c r="F201" t="s">
        <v>35</v>
      </c>
      <c r="G201" t="s">
        <v>35</v>
      </c>
      <c r="H201" t="s">
        <v>35</v>
      </c>
      <c r="J201" t="s">
        <v>1205</v>
      </c>
      <c r="K201" t="s">
        <v>1092</v>
      </c>
      <c r="M201">
        <v>2.75</v>
      </c>
      <c r="N201">
        <v>93</v>
      </c>
      <c r="O201" t="s">
        <v>106</v>
      </c>
      <c r="Q201" t="s">
        <v>1112</v>
      </c>
      <c r="R201" t="s">
        <v>85</v>
      </c>
      <c r="S201" t="s">
        <v>86</v>
      </c>
    </row>
    <row r="202" spans="1:19" x14ac:dyDescent="0.25">
      <c r="A202" t="s">
        <v>59</v>
      </c>
      <c r="B202" t="s">
        <v>60</v>
      </c>
      <c r="C202" t="s">
        <v>32</v>
      </c>
      <c r="D202" t="s">
        <v>33</v>
      </c>
      <c r="E202" t="s">
        <v>204</v>
      </c>
      <c r="F202" t="s">
        <v>35</v>
      </c>
      <c r="G202" t="s">
        <v>35</v>
      </c>
      <c r="H202" t="s">
        <v>35</v>
      </c>
      <c r="J202" t="s">
        <v>2119</v>
      </c>
      <c r="K202" t="s">
        <v>1092</v>
      </c>
      <c r="M202">
        <v>5.5</v>
      </c>
      <c r="N202">
        <v>66</v>
      </c>
      <c r="O202" t="s">
        <v>61</v>
      </c>
      <c r="Q202" t="s">
        <v>552</v>
      </c>
      <c r="R202" t="s">
        <v>85</v>
      </c>
      <c r="S202" t="s">
        <v>86</v>
      </c>
    </row>
    <row r="203" spans="1:19" x14ac:dyDescent="0.25">
      <c r="A203" t="s">
        <v>59</v>
      </c>
      <c r="B203" t="s">
        <v>31</v>
      </c>
      <c r="C203" t="s">
        <v>32</v>
      </c>
      <c r="D203" t="s">
        <v>33</v>
      </c>
      <c r="E203" t="s">
        <v>1292</v>
      </c>
      <c r="F203" t="s">
        <v>35</v>
      </c>
      <c r="G203" t="s">
        <v>35</v>
      </c>
      <c r="H203" t="s">
        <v>35</v>
      </c>
      <c r="J203" t="s">
        <v>1404</v>
      </c>
      <c r="K203" t="s">
        <v>1092</v>
      </c>
      <c r="M203">
        <v>1.89</v>
      </c>
      <c r="N203">
        <v>63</v>
      </c>
      <c r="O203" t="s">
        <v>61</v>
      </c>
      <c r="Q203" t="s">
        <v>126</v>
      </c>
      <c r="R203" t="s">
        <v>85</v>
      </c>
      <c r="S203" t="s">
        <v>86</v>
      </c>
    </row>
    <row r="204" spans="1:19" x14ac:dyDescent="0.25">
      <c r="A204" t="s">
        <v>30</v>
      </c>
      <c r="B204" t="s">
        <v>31</v>
      </c>
      <c r="C204" t="s">
        <v>32</v>
      </c>
      <c r="D204" t="s">
        <v>33</v>
      </c>
      <c r="E204" t="s">
        <v>34</v>
      </c>
      <c r="F204" t="s">
        <v>35</v>
      </c>
      <c r="G204" t="s">
        <v>35</v>
      </c>
      <c r="H204" t="s">
        <v>35</v>
      </c>
      <c r="J204" t="s">
        <v>1091</v>
      </c>
      <c r="K204" t="s">
        <v>1092</v>
      </c>
      <c r="M204">
        <v>6.7949999999999999</v>
      </c>
      <c r="N204">
        <v>39</v>
      </c>
      <c r="O204" t="s">
        <v>52</v>
      </c>
      <c r="Q204" t="s">
        <v>493</v>
      </c>
      <c r="R204" t="s">
        <v>85</v>
      </c>
      <c r="S204" t="s">
        <v>86</v>
      </c>
    </row>
    <row r="205" spans="1:19" x14ac:dyDescent="0.25">
      <c r="A205" t="s">
        <v>30</v>
      </c>
      <c r="B205" t="s">
        <v>31</v>
      </c>
      <c r="C205" t="s">
        <v>32</v>
      </c>
      <c r="D205" t="s">
        <v>33</v>
      </c>
      <c r="E205" t="s">
        <v>122</v>
      </c>
      <c r="F205" t="s">
        <v>35</v>
      </c>
      <c r="G205" t="s">
        <v>35</v>
      </c>
      <c r="H205" t="s">
        <v>35</v>
      </c>
      <c r="J205" t="s">
        <v>1702</v>
      </c>
      <c r="K205" t="s">
        <v>1092</v>
      </c>
      <c r="M205">
        <v>4.9950000000000001</v>
      </c>
      <c r="N205">
        <v>10</v>
      </c>
      <c r="O205" t="s">
        <v>46</v>
      </c>
      <c r="Q205" t="s">
        <v>1302</v>
      </c>
      <c r="R205" t="s">
        <v>85</v>
      </c>
      <c r="S205" t="s">
        <v>86</v>
      </c>
    </row>
    <row r="206" spans="1:19" x14ac:dyDescent="0.25">
      <c r="A206" t="s">
        <v>59</v>
      </c>
      <c r="B206" t="s">
        <v>60</v>
      </c>
      <c r="C206" t="s">
        <v>32</v>
      </c>
      <c r="D206" t="s">
        <v>33</v>
      </c>
      <c r="F206" t="s">
        <v>35</v>
      </c>
      <c r="G206" t="s">
        <v>35</v>
      </c>
      <c r="H206" t="s">
        <v>35</v>
      </c>
      <c r="J206" t="s">
        <v>2304</v>
      </c>
      <c r="K206" t="s">
        <v>1092</v>
      </c>
      <c r="M206">
        <v>3.5</v>
      </c>
      <c r="N206">
        <v>92</v>
      </c>
      <c r="O206" t="s">
        <v>106</v>
      </c>
      <c r="Q206" t="s">
        <v>1216</v>
      </c>
      <c r="R206" t="s">
        <v>85</v>
      </c>
      <c r="S206" t="s">
        <v>86</v>
      </c>
    </row>
    <row r="207" spans="1:19" x14ac:dyDescent="0.25">
      <c r="A207" t="s">
        <v>30</v>
      </c>
      <c r="B207" t="s">
        <v>31</v>
      </c>
      <c r="C207" t="s">
        <v>32</v>
      </c>
      <c r="D207" t="s">
        <v>33</v>
      </c>
      <c r="F207" t="s">
        <v>35</v>
      </c>
      <c r="G207" t="s">
        <v>35</v>
      </c>
      <c r="H207" t="s">
        <v>35</v>
      </c>
      <c r="J207" t="s">
        <v>2304</v>
      </c>
      <c r="K207" t="s">
        <v>1092</v>
      </c>
      <c r="M207">
        <v>5.49</v>
      </c>
      <c r="N207">
        <v>38</v>
      </c>
      <c r="O207" t="s">
        <v>52</v>
      </c>
      <c r="Q207" t="s">
        <v>716</v>
      </c>
      <c r="R207" t="s">
        <v>85</v>
      </c>
      <c r="S207" t="s">
        <v>86</v>
      </c>
    </row>
    <row r="208" spans="1:19" x14ac:dyDescent="0.25">
      <c r="A208" t="s">
        <v>30</v>
      </c>
      <c r="B208" t="s">
        <v>31</v>
      </c>
      <c r="C208" t="s">
        <v>32</v>
      </c>
      <c r="D208" t="s">
        <v>33</v>
      </c>
      <c r="E208" t="s">
        <v>204</v>
      </c>
      <c r="F208" t="s">
        <v>35</v>
      </c>
      <c r="G208" t="s">
        <v>35</v>
      </c>
      <c r="H208" t="s">
        <v>35</v>
      </c>
      <c r="J208" t="s">
        <v>2181</v>
      </c>
      <c r="K208" t="s">
        <v>1092</v>
      </c>
      <c r="M208">
        <v>5.49</v>
      </c>
      <c r="N208">
        <v>38</v>
      </c>
      <c r="O208" t="s">
        <v>52</v>
      </c>
      <c r="Q208" t="s">
        <v>716</v>
      </c>
      <c r="R208" t="s">
        <v>85</v>
      </c>
      <c r="S208" t="s">
        <v>86</v>
      </c>
    </row>
    <row r="209" spans="1:19" x14ac:dyDescent="0.25">
      <c r="A209" t="s">
        <v>59</v>
      </c>
      <c r="B209" t="s">
        <v>60</v>
      </c>
      <c r="C209" t="s">
        <v>32</v>
      </c>
      <c r="D209" t="s">
        <v>33</v>
      </c>
      <c r="E209" t="s">
        <v>204</v>
      </c>
      <c r="F209" t="s">
        <v>35</v>
      </c>
      <c r="G209" t="s">
        <v>35</v>
      </c>
      <c r="H209" t="s">
        <v>35</v>
      </c>
      <c r="J209" t="s">
        <v>2181</v>
      </c>
      <c r="K209" t="s">
        <v>1092</v>
      </c>
      <c r="M209">
        <v>1</v>
      </c>
      <c r="N209">
        <v>66</v>
      </c>
      <c r="O209" t="s">
        <v>61</v>
      </c>
      <c r="Q209" t="s">
        <v>552</v>
      </c>
      <c r="R209" t="s">
        <v>85</v>
      </c>
      <c r="S209" t="s">
        <v>86</v>
      </c>
    </row>
    <row r="210" spans="1:19" x14ac:dyDescent="0.25">
      <c r="A210" t="s">
        <v>30</v>
      </c>
      <c r="B210" t="s">
        <v>31</v>
      </c>
      <c r="C210" t="s">
        <v>32</v>
      </c>
      <c r="D210" t="s">
        <v>33</v>
      </c>
      <c r="E210" t="s">
        <v>64</v>
      </c>
      <c r="F210" t="s">
        <v>35</v>
      </c>
      <c r="G210" t="s">
        <v>35</v>
      </c>
      <c r="H210" t="s">
        <v>35</v>
      </c>
      <c r="J210" t="s">
        <v>1268</v>
      </c>
      <c r="K210" t="s">
        <v>1092</v>
      </c>
      <c r="M210">
        <v>3.0150000000000001</v>
      </c>
      <c r="N210">
        <v>144</v>
      </c>
      <c r="O210" t="s">
        <v>38</v>
      </c>
      <c r="Q210" t="s">
        <v>1269</v>
      </c>
      <c r="R210" t="s">
        <v>85</v>
      </c>
      <c r="S210" t="s">
        <v>86</v>
      </c>
    </row>
    <row r="211" spans="1:19" x14ac:dyDescent="0.25">
      <c r="A211" t="s">
        <v>44</v>
      </c>
      <c r="B211" t="s">
        <v>51</v>
      </c>
      <c r="C211" t="s">
        <v>32</v>
      </c>
      <c r="D211" t="s">
        <v>33</v>
      </c>
      <c r="F211" t="s">
        <v>35</v>
      </c>
      <c r="G211" t="s">
        <v>35</v>
      </c>
      <c r="H211" t="s">
        <v>35</v>
      </c>
      <c r="J211" t="s">
        <v>2242</v>
      </c>
      <c r="K211" t="s">
        <v>1092</v>
      </c>
      <c r="M211">
        <v>4.1500000000000004</v>
      </c>
      <c r="N211">
        <v>21</v>
      </c>
      <c r="O211" t="s">
        <v>46</v>
      </c>
      <c r="Q211" t="s">
        <v>176</v>
      </c>
      <c r="R211" t="s">
        <v>85</v>
      </c>
      <c r="S211" t="s">
        <v>86</v>
      </c>
    </row>
    <row r="212" spans="1:19" x14ac:dyDescent="0.25">
      <c r="A212" t="s">
        <v>59</v>
      </c>
      <c r="B212" t="s">
        <v>31</v>
      </c>
      <c r="C212" t="s">
        <v>32</v>
      </c>
      <c r="D212" t="s">
        <v>33</v>
      </c>
      <c r="F212" t="s">
        <v>35</v>
      </c>
      <c r="G212" t="s">
        <v>35</v>
      </c>
      <c r="H212" t="s">
        <v>35</v>
      </c>
      <c r="J212" t="s">
        <v>2242</v>
      </c>
      <c r="K212" t="s">
        <v>1092</v>
      </c>
      <c r="M212">
        <v>1.89</v>
      </c>
      <c r="N212">
        <v>55</v>
      </c>
      <c r="O212" t="s">
        <v>52</v>
      </c>
      <c r="Q212" t="s">
        <v>90</v>
      </c>
      <c r="R212" t="s">
        <v>85</v>
      </c>
      <c r="S212" t="s">
        <v>86</v>
      </c>
    </row>
    <row r="213" spans="1:19" x14ac:dyDescent="0.25">
      <c r="A213" t="s">
        <v>30</v>
      </c>
      <c r="B213" t="s">
        <v>31</v>
      </c>
      <c r="C213" t="s">
        <v>32</v>
      </c>
      <c r="D213" t="s">
        <v>33</v>
      </c>
      <c r="F213" t="s">
        <v>35</v>
      </c>
      <c r="G213" t="s">
        <v>35</v>
      </c>
      <c r="H213" t="s">
        <v>35</v>
      </c>
      <c r="J213" t="s">
        <v>2242</v>
      </c>
      <c r="K213" t="s">
        <v>1092</v>
      </c>
      <c r="M213">
        <v>9.99</v>
      </c>
      <c r="N213">
        <v>13</v>
      </c>
      <c r="O213" t="s">
        <v>46</v>
      </c>
      <c r="Q213" t="s">
        <v>1004</v>
      </c>
      <c r="R213" t="s">
        <v>85</v>
      </c>
      <c r="S213" t="s">
        <v>86</v>
      </c>
    </row>
    <row r="214" spans="1:19" x14ac:dyDescent="0.25">
      <c r="A214" t="s">
        <v>59</v>
      </c>
      <c r="B214" t="s">
        <v>60</v>
      </c>
      <c r="C214" t="s">
        <v>32</v>
      </c>
      <c r="D214" t="s">
        <v>33</v>
      </c>
      <c r="F214" t="s">
        <v>35</v>
      </c>
      <c r="G214" t="s">
        <v>35</v>
      </c>
      <c r="H214" t="s">
        <v>35</v>
      </c>
      <c r="J214" t="s">
        <v>2242</v>
      </c>
      <c r="K214" t="s">
        <v>1092</v>
      </c>
      <c r="M214">
        <v>2.2000000000000002</v>
      </c>
      <c r="N214">
        <v>55</v>
      </c>
      <c r="O214" t="s">
        <v>52</v>
      </c>
      <c r="Q214" t="s">
        <v>90</v>
      </c>
      <c r="R214" t="s">
        <v>85</v>
      </c>
      <c r="S214" t="s">
        <v>86</v>
      </c>
    </row>
    <row r="215" spans="1:19" x14ac:dyDescent="0.25">
      <c r="A215" t="s">
        <v>44</v>
      </c>
      <c r="B215" t="s">
        <v>3</v>
      </c>
      <c r="C215" t="s">
        <v>32</v>
      </c>
      <c r="D215" t="s">
        <v>33</v>
      </c>
      <c r="F215" t="s">
        <v>35</v>
      </c>
      <c r="G215" t="s">
        <v>35</v>
      </c>
      <c r="H215" t="s">
        <v>35</v>
      </c>
      <c r="J215" t="s">
        <v>2242</v>
      </c>
      <c r="K215" t="s">
        <v>1092</v>
      </c>
      <c r="M215">
        <v>4.3</v>
      </c>
      <c r="N215">
        <v>52</v>
      </c>
      <c r="O215" t="s">
        <v>52</v>
      </c>
      <c r="Q215" t="s">
        <v>84</v>
      </c>
      <c r="R215" t="s">
        <v>85</v>
      </c>
      <c r="S215" t="s">
        <v>86</v>
      </c>
    </row>
    <row r="216" spans="1:19" x14ac:dyDescent="0.25">
      <c r="A216" t="s">
        <v>59</v>
      </c>
      <c r="B216" t="s">
        <v>60</v>
      </c>
      <c r="C216" t="s">
        <v>32</v>
      </c>
      <c r="D216" t="s">
        <v>33</v>
      </c>
      <c r="E216" t="s">
        <v>1292</v>
      </c>
      <c r="F216" t="s">
        <v>35</v>
      </c>
      <c r="G216" t="s">
        <v>35</v>
      </c>
      <c r="H216" t="s">
        <v>35</v>
      </c>
      <c r="J216" t="s">
        <v>1318</v>
      </c>
      <c r="K216" t="s">
        <v>1092</v>
      </c>
      <c r="M216">
        <v>2.35</v>
      </c>
      <c r="N216">
        <v>84</v>
      </c>
      <c r="O216" t="s">
        <v>61</v>
      </c>
      <c r="Q216" t="s">
        <v>1147</v>
      </c>
      <c r="R216" t="s">
        <v>85</v>
      </c>
      <c r="S216" t="s">
        <v>86</v>
      </c>
    </row>
    <row r="217" spans="1:19" x14ac:dyDescent="0.25">
      <c r="A217" t="s">
        <v>59</v>
      </c>
      <c r="B217" t="s">
        <v>31</v>
      </c>
      <c r="C217" t="s">
        <v>32</v>
      </c>
      <c r="D217" t="s">
        <v>33</v>
      </c>
      <c r="E217" t="s">
        <v>1292</v>
      </c>
      <c r="F217" t="s">
        <v>35</v>
      </c>
      <c r="G217" t="s">
        <v>35</v>
      </c>
      <c r="H217" t="s">
        <v>35</v>
      </c>
      <c r="J217" t="s">
        <v>1318</v>
      </c>
      <c r="K217" t="s">
        <v>1092</v>
      </c>
      <c r="M217">
        <v>1.71</v>
      </c>
      <c r="N217">
        <v>84</v>
      </c>
      <c r="O217" t="s">
        <v>61</v>
      </c>
      <c r="Q217" t="s">
        <v>1147</v>
      </c>
      <c r="R217" t="s">
        <v>85</v>
      </c>
      <c r="S217" t="s">
        <v>86</v>
      </c>
    </row>
    <row r="218" spans="1:19" x14ac:dyDescent="0.25">
      <c r="A218" t="s">
        <v>59</v>
      </c>
      <c r="B218" t="s">
        <v>60</v>
      </c>
      <c r="C218" t="s">
        <v>32</v>
      </c>
      <c r="D218" t="s">
        <v>33</v>
      </c>
      <c r="F218" t="s">
        <v>35</v>
      </c>
      <c r="G218" t="s">
        <v>35</v>
      </c>
      <c r="H218" t="s">
        <v>35</v>
      </c>
      <c r="J218" t="s">
        <v>2318</v>
      </c>
      <c r="K218" t="s">
        <v>1092</v>
      </c>
      <c r="M218">
        <v>4.7</v>
      </c>
      <c r="N218">
        <v>2152</v>
      </c>
      <c r="O218" t="s">
        <v>575</v>
      </c>
      <c r="Q218" t="s">
        <v>2319</v>
      </c>
      <c r="R218" t="s">
        <v>85</v>
      </c>
      <c r="S218" t="s">
        <v>86</v>
      </c>
    </row>
    <row r="219" spans="1:19" x14ac:dyDescent="0.25">
      <c r="A219" t="s">
        <v>30</v>
      </c>
      <c r="B219" t="s">
        <v>31</v>
      </c>
      <c r="C219" t="s">
        <v>32</v>
      </c>
      <c r="D219" t="s">
        <v>33</v>
      </c>
      <c r="F219" t="s">
        <v>35</v>
      </c>
      <c r="G219" t="s">
        <v>35</v>
      </c>
      <c r="H219" t="s">
        <v>35</v>
      </c>
      <c r="J219" t="s">
        <v>2318</v>
      </c>
      <c r="K219" t="s">
        <v>1092</v>
      </c>
      <c r="M219">
        <v>3.18</v>
      </c>
      <c r="N219">
        <v>2270</v>
      </c>
      <c r="O219" t="s">
        <v>575</v>
      </c>
      <c r="Q219" t="s">
        <v>2320</v>
      </c>
      <c r="R219" t="s">
        <v>85</v>
      </c>
      <c r="S219" t="s">
        <v>86</v>
      </c>
    </row>
    <row r="220" spans="1:19" x14ac:dyDescent="0.25">
      <c r="A220" t="s">
        <v>59</v>
      </c>
      <c r="B220" t="s">
        <v>60</v>
      </c>
      <c r="C220" t="s">
        <v>32</v>
      </c>
      <c r="D220" t="s">
        <v>33</v>
      </c>
      <c r="E220" t="s">
        <v>1292</v>
      </c>
      <c r="F220" t="s">
        <v>35</v>
      </c>
      <c r="G220" t="s">
        <v>35</v>
      </c>
      <c r="H220" t="s">
        <v>35</v>
      </c>
      <c r="J220" t="s">
        <v>1361</v>
      </c>
      <c r="K220" t="s">
        <v>1092</v>
      </c>
      <c r="M220">
        <v>0.85</v>
      </c>
      <c r="N220">
        <v>86</v>
      </c>
      <c r="O220" t="s">
        <v>61</v>
      </c>
      <c r="Q220" t="s">
        <v>941</v>
      </c>
      <c r="R220" t="s">
        <v>85</v>
      </c>
      <c r="S220" t="s">
        <v>86</v>
      </c>
    </row>
    <row r="221" spans="1:19" x14ac:dyDescent="0.25">
      <c r="A221" t="s">
        <v>30</v>
      </c>
      <c r="B221" t="s">
        <v>31</v>
      </c>
      <c r="C221" t="s">
        <v>32</v>
      </c>
      <c r="D221" t="s">
        <v>33</v>
      </c>
      <c r="E221" t="s">
        <v>1292</v>
      </c>
      <c r="F221" t="s">
        <v>35</v>
      </c>
      <c r="G221" t="s">
        <v>35</v>
      </c>
      <c r="H221" t="s">
        <v>35</v>
      </c>
      <c r="J221" t="s">
        <v>1361</v>
      </c>
      <c r="K221" t="s">
        <v>1092</v>
      </c>
      <c r="M221">
        <v>9.7650000000000006</v>
      </c>
      <c r="N221">
        <v>13</v>
      </c>
      <c r="O221" t="s">
        <v>46</v>
      </c>
      <c r="Q221" t="s">
        <v>1004</v>
      </c>
      <c r="R221" t="s">
        <v>85</v>
      </c>
      <c r="S221" t="s">
        <v>86</v>
      </c>
    </row>
    <row r="222" spans="1:19" x14ac:dyDescent="0.25">
      <c r="A222" t="s">
        <v>44</v>
      </c>
      <c r="B222" t="s">
        <v>3</v>
      </c>
      <c r="C222" t="s">
        <v>32</v>
      </c>
      <c r="D222" t="s">
        <v>33</v>
      </c>
      <c r="E222" t="s">
        <v>1292</v>
      </c>
      <c r="F222" t="s">
        <v>35</v>
      </c>
      <c r="G222" t="s">
        <v>35</v>
      </c>
      <c r="H222" t="s">
        <v>35</v>
      </c>
      <c r="J222" t="s">
        <v>1361</v>
      </c>
      <c r="K222" t="s">
        <v>1092</v>
      </c>
      <c r="M222">
        <v>1.8</v>
      </c>
      <c r="N222">
        <v>52</v>
      </c>
      <c r="O222" t="s">
        <v>52</v>
      </c>
      <c r="Q222" t="s">
        <v>84</v>
      </c>
      <c r="R222" t="s">
        <v>85</v>
      </c>
      <c r="S222" t="s">
        <v>86</v>
      </c>
    </row>
    <row r="223" spans="1:19" x14ac:dyDescent="0.25">
      <c r="A223" t="s">
        <v>59</v>
      </c>
      <c r="B223" t="s">
        <v>31</v>
      </c>
      <c r="C223" t="s">
        <v>32</v>
      </c>
      <c r="D223" t="s">
        <v>33</v>
      </c>
      <c r="E223" t="s">
        <v>1292</v>
      </c>
      <c r="F223" t="s">
        <v>35</v>
      </c>
      <c r="G223" t="s">
        <v>35</v>
      </c>
      <c r="H223" t="s">
        <v>35</v>
      </c>
      <c r="J223" t="s">
        <v>1361</v>
      </c>
      <c r="K223" t="s">
        <v>1092</v>
      </c>
      <c r="M223">
        <v>0.9</v>
      </c>
      <c r="N223">
        <v>55</v>
      </c>
      <c r="O223" t="s">
        <v>52</v>
      </c>
      <c r="Q223" t="s">
        <v>90</v>
      </c>
      <c r="R223" t="s">
        <v>85</v>
      </c>
      <c r="S223" t="s">
        <v>86</v>
      </c>
    </row>
    <row r="224" spans="1:19" x14ac:dyDescent="0.25">
      <c r="A224" t="s">
        <v>30</v>
      </c>
      <c r="B224" t="s">
        <v>31</v>
      </c>
      <c r="C224" t="s">
        <v>32</v>
      </c>
      <c r="D224" t="s">
        <v>33</v>
      </c>
      <c r="E224" t="s">
        <v>122</v>
      </c>
      <c r="F224" t="s">
        <v>35</v>
      </c>
      <c r="G224" t="s">
        <v>35</v>
      </c>
      <c r="H224" t="s">
        <v>35</v>
      </c>
      <c r="J224" t="s">
        <v>1657</v>
      </c>
      <c r="K224" t="s">
        <v>1092</v>
      </c>
      <c r="M224">
        <v>19.98</v>
      </c>
      <c r="N224">
        <v>13</v>
      </c>
      <c r="O224" t="s">
        <v>46</v>
      </c>
      <c r="Q224" t="s">
        <v>1004</v>
      </c>
      <c r="R224" t="s">
        <v>85</v>
      </c>
      <c r="S224" t="s">
        <v>86</v>
      </c>
    </row>
    <row r="225" spans="1:19" x14ac:dyDescent="0.25">
      <c r="A225" t="s">
        <v>30</v>
      </c>
      <c r="B225" t="s">
        <v>31</v>
      </c>
      <c r="C225" t="s">
        <v>32</v>
      </c>
      <c r="D225" t="s">
        <v>33</v>
      </c>
      <c r="E225" t="s">
        <v>122</v>
      </c>
      <c r="F225" t="s">
        <v>35</v>
      </c>
      <c r="G225" t="s">
        <v>35</v>
      </c>
      <c r="H225" t="s">
        <v>35</v>
      </c>
      <c r="J225" t="s">
        <v>1751</v>
      </c>
      <c r="K225" t="s">
        <v>1092</v>
      </c>
      <c r="M225">
        <v>4.9950000000000001</v>
      </c>
      <c r="N225">
        <v>10</v>
      </c>
      <c r="O225" t="s">
        <v>46</v>
      </c>
      <c r="Q225" t="s">
        <v>1302</v>
      </c>
      <c r="R225" t="s">
        <v>85</v>
      </c>
      <c r="S225" t="s">
        <v>86</v>
      </c>
    </row>
    <row r="226" spans="1:19" x14ac:dyDescent="0.25">
      <c r="A226" t="s">
        <v>30</v>
      </c>
      <c r="B226" t="s">
        <v>31</v>
      </c>
      <c r="C226" t="s">
        <v>32</v>
      </c>
      <c r="D226" t="s">
        <v>33</v>
      </c>
      <c r="E226" t="s">
        <v>122</v>
      </c>
      <c r="F226" t="s">
        <v>35</v>
      </c>
      <c r="G226" t="s">
        <v>35</v>
      </c>
      <c r="H226" t="s">
        <v>35</v>
      </c>
      <c r="J226" t="s">
        <v>1667</v>
      </c>
      <c r="K226" t="s">
        <v>1092</v>
      </c>
      <c r="M226">
        <v>5.2649999999999997</v>
      </c>
      <c r="N226">
        <v>39</v>
      </c>
      <c r="O226" t="s">
        <v>52</v>
      </c>
      <c r="Q226" t="s">
        <v>493</v>
      </c>
      <c r="R226" t="s">
        <v>85</v>
      </c>
      <c r="S226" t="s">
        <v>86</v>
      </c>
    </row>
    <row r="227" spans="1:19" x14ac:dyDescent="0.25">
      <c r="A227" t="s">
        <v>30</v>
      </c>
      <c r="B227" t="s">
        <v>31</v>
      </c>
      <c r="C227" t="s">
        <v>32</v>
      </c>
      <c r="D227" t="s">
        <v>33</v>
      </c>
      <c r="E227" t="s">
        <v>122</v>
      </c>
      <c r="F227" t="s">
        <v>35</v>
      </c>
      <c r="G227" t="s">
        <v>35</v>
      </c>
      <c r="H227" t="s">
        <v>35</v>
      </c>
      <c r="J227" t="s">
        <v>1801</v>
      </c>
      <c r="K227" t="s">
        <v>1092</v>
      </c>
      <c r="M227">
        <v>3.41</v>
      </c>
      <c r="N227">
        <v>39</v>
      </c>
      <c r="O227" t="s">
        <v>52</v>
      </c>
      <c r="Q227" t="s">
        <v>493</v>
      </c>
      <c r="R227" t="s">
        <v>85</v>
      </c>
      <c r="S227" t="s">
        <v>86</v>
      </c>
    </row>
    <row r="228" spans="1:19" x14ac:dyDescent="0.25">
      <c r="A228" t="s">
        <v>30</v>
      </c>
      <c r="B228" t="s">
        <v>31</v>
      </c>
      <c r="C228" t="s">
        <v>32</v>
      </c>
      <c r="D228" t="s">
        <v>33</v>
      </c>
      <c r="E228" t="s">
        <v>122</v>
      </c>
      <c r="F228" t="s">
        <v>35</v>
      </c>
      <c r="G228" t="s">
        <v>35</v>
      </c>
      <c r="H228" t="s">
        <v>35</v>
      </c>
      <c r="J228" t="s">
        <v>1704</v>
      </c>
      <c r="K228" t="s">
        <v>1092</v>
      </c>
      <c r="M228">
        <v>4.41</v>
      </c>
      <c r="N228">
        <v>39</v>
      </c>
      <c r="O228" t="s">
        <v>52</v>
      </c>
      <c r="Q228" t="s">
        <v>493</v>
      </c>
      <c r="R228" t="s">
        <v>85</v>
      </c>
      <c r="S228" t="s">
        <v>86</v>
      </c>
    </row>
    <row r="229" spans="1:19" x14ac:dyDescent="0.25">
      <c r="A229" t="s">
        <v>59</v>
      </c>
      <c r="B229" t="s">
        <v>60</v>
      </c>
      <c r="C229" t="s">
        <v>32</v>
      </c>
      <c r="D229" t="s">
        <v>33</v>
      </c>
      <c r="E229" t="s">
        <v>172</v>
      </c>
      <c r="F229" t="s">
        <v>35</v>
      </c>
      <c r="G229" t="s">
        <v>35</v>
      </c>
      <c r="H229" t="s">
        <v>35</v>
      </c>
      <c r="J229" t="s">
        <v>1972</v>
      </c>
      <c r="K229" t="s">
        <v>1092</v>
      </c>
      <c r="M229">
        <v>3.3</v>
      </c>
      <c r="N229">
        <v>93</v>
      </c>
      <c r="O229" t="s">
        <v>106</v>
      </c>
      <c r="Q229" t="s">
        <v>1112</v>
      </c>
      <c r="R229" t="s">
        <v>85</v>
      </c>
      <c r="S229" t="s">
        <v>86</v>
      </c>
    </row>
    <row r="230" spans="1:19" x14ac:dyDescent="0.25">
      <c r="A230" t="s">
        <v>30</v>
      </c>
      <c r="B230" t="s">
        <v>31</v>
      </c>
      <c r="C230" t="s">
        <v>32</v>
      </c>
      <c r="D230" t="s">
        <v>33</v>
      </c>
      <c r="E230" t="s">
        <v>172</v>
      </c>
      <c r="F230" t="s">
        <v>35</v>
      </c>
      <c r="G230" t="s">
        <v>35</v>
      </c>
      <c r="H230" t="s">
        <v>35</v>
      </c>
      <c r="J230" t="s">
        <v>1972</v>
      </c>
      <c r="K230" t="s">
        <v>1092</v>
      </c>
      <c r="M230">
        <v>4.68</v>
      </c>
      <c r="N230">
        <v>36</v>
      </c>
      <c r="O230" t="s">
        <v>52</v>
      </c>
      <c r="Q230" t="s">
        <v>892</v>
      </c>
      <c r="R230" t="s">
        <v>85</v>
      </c>
      <c r="S230" t="s">
        <v>86</v>
      </c>
    </row>
    <row r="231" spans="1:19" x14ac:dyDescent="0.25">
      <c r="A231" t="s">
        <v>59</v>
      </c>
      <c r="B231" t="s">
        <v>60</v>
      </c>
      <c r="C231" t="s">
        <v>32</v>
      </c>
      <c r="D231" t="s">
        <v>33</v>
      </c>
      <c r="E231" t="s">
        <v>172</v>
      </c>
      <c r="F231" t="s">
        <v>35</v>
      </c>
      <c r="G231" t="s">
        <v>35</v>
      </c>
      <c r="H231" t="s">
        <v>35</v>
      </c>
      <c r="J231" t="s">
        <v>1929</v>
      </c>
      <c r="K231" t="s">
        <v>1092</v>
      </c>
      <c r="M231">
        <v>5.5</v>
      </c>
      <c r="N231">
        <v>65</v>
      </c>
      <c r="O231" t="s">
        <v>61</v>
      </c>
      <c r="Q231" t="s">
        <v>63</v>
      </c>
      <c r="R231" t="s">
        <v>85</v>
      </c>
      <c r="S231" t="s">
        <v>86</v>
      </c>
    </row>
    <row r="232" spans="1:19" x14ac:dyDescent="0.25">
      <c r="A232" t="s">
        <v>44</v>
      </c>
      <c r="B232" t="s">
        <v>3</v>
      </c>
      <c r="C232" t="s">
        <v>32</v>
      </c>
      <c r="D232" t="s">
        <v>33</v>
      </c>
      <c r="E232" t="s">
        <v>172</v>
      </c>
      <c r="F232" t="s">
        <v>35</v>
      </c>
      <c r="G232" t="s">
        <v>35</v>
      </c>
      <c r="H232" t="s">
        <v>35</v>
      </c>
      <c r="J232" t="s">
        <v>1929</v>
      </c>
      <c r="K232" t="s">
        <v>1092</v>
      </c>
      <c r="M232">
        <v>5</v>
      </c>
      <c r="N232">
        <v>55</v>
      </c>
      <c r="O232" t="s">
        <v>52</v>
      </c>
      <c r="Q232" t="s">
        <v>90</v>
      </c>
      <c r="R232" t="s">
        <v>85</v>
      </c>
      <c r="S232" t="s">
        <v>86</v>
      </c>
    </row>
    <row r="233" spans="1:19" x14ac:dyDescent="0.25">
      <c r="A233" t="s">
        <v>44</v>
      </c>
      <c r="B233" t="s">
        <v>51</v>
      </c>
      <c r="C233" t="s">
        <v>32</v>
      </c>
      <c r="D233" t="s">
        <v>33</v>
      </c>
      <c r="E233" t="s">
        <v>172</v>
      </c>
      <c r="F233" t="s">
        <v>35</v>
      </c>
      <c r="G233" t="s">
        <v>35</v>
      </c>
      <c r="H233" t="s">
        <v>35</v>
      </c>
      <c r="J233" t="s">
        <v>1929</v>
      </c>
      <c r="K233" t="s">
        <v>1092</v>
      </c>
      <c r="M233">
        <v>4.75</v>
      </c>
      <c r="N233">
        <v>21</v>
      </c>
      <c r="O233" t="s">
        <v>46</v>
      </c>
      <c r="Q233" t="s">
        <v>176</v>
      </c>
      <c r="R233" t="s">
        <v>85</v>
      </c>
      <c r="S233" t="s">
        <v>86</v>
      </c>
    </row>
    <row r="234" spans="1:19" x14ac:dyDescent="0.25">
      <c r="A234" t="s">
        <v>59</v>
      </c>
      <c r="B234" t="s">
        <v>60</v>
      </c>
      <c r="C234" t="s">
        <v>32</v>
      </c>
      <c r="D234" t="s">
        <v>33</v>
      </c>
      <c r="E234" t="s">
        <v>172</v>
      </c>
      <c r="F234" t="s">
        <v>35</v>
      </c>
      <c r="G234" t="s">
        <v>35</v>
      </c>
      <c r="H234" t="s">
        <v>35</v>
      </c>
      <c r="J234" t="s">
        <v>1929</v>
      </c>
      <c r="K234" t="s">
        <v>1092</v>
      </c>
      <c r="M234">
        <v>0.6</v>
      </c>
      <c r="N234">
        <v>93</v>
      </c>
      <c r="O234" t="s">
        <v>106</v>
      </c>
      <c r="Q234" t="s">
        <v>1112</v>
      </c>
      <c r="R234" t="s">
        <v>85</v>
      </c>
      <c r="S234" t="s">
        <v>86</v>
      </c>
    </row>
    <row r="235" spans="1:19" x14ac:dyDescent="0.25">
      <c r="A235" t="s">
        <v>44</v>
      </c>
      <c r="B235" t="s">
        <v>51</v>
      </c>
      <c r="C235" t="s">
        <v>32</v>
      </c>
      <c r="D235" t="s">
        <v>33</v>
      </c>
      <c r="E235" t="s">
        <v>162</v>
      </c>
      <c r="F235" t="s">
        <v>35</v>
      </c>
      <c r="G235" t="s">
        <v>35</v>
      </c>
      <c r="H235" t="s">
        <v>35</v>
      </c>
      <c r="J235" t="s">
        <v>1828</v>
      </c>
      <c r="K235" t="s">
        <v>1092</v>
      </c>
      <c r="M235">
        <v>5.4</v>
      </c>
      <c r="N235">
        <v>21</v>
      </c>
      <c r="O235" t="s">
        <v>46</v>
      </c>
      <c r="Q235" t="s">
        <v>176</v>
      </c>
      <c r="R235" t="s">
        <v>85</v>
      </c>
      <c r="S235" t="s">
        <v>86</v>
      </c>
    </row>
    <row r="236" spans="1:19" x14ac:dyDescent="0.25">
      <c r="A236" t="s">
        <v>44</v>
      </c>
      <c r="B236" t="s">
        <v>3</v>
      </c>
      <c r="C236" t="s">
        <v>32</v>
      </c>
      <c r="D236" t="s">
        <v>33</v>
      </c>
      <c r="E236" t="s">
        <v>64</v>
      </c>
      <c r="F236" t="s">
        <v>35</v>
      </c>
      <c r="G236" t="s">
        <v>35</v>
      </c>
      <c r="H236" t="s">
        <v>35</v>
      </c>
      <c r="J236" t="s">
        <v>1217</v>
      </c>
      <c r="K236" t="s">
        <v>1092</v>
      </c>
      <c r="M236">
        <v>3.61</v>
      </c>
      <c r="N236">
        <v>55</v>
      </c>
      <c r="O236" t="s">
        <v>52</v>
      </c>
      <c r="Q236" t="s">
        <v>90</v>
      </c>
      <c r="R236" t="s">
        <v>85</v>
      </c>
      <c r="S236" t="s">
        <v>86</v>
      </c>
    </row>
    <row r="237" spans="1:19" x14ac:dyDescent="0.25">
      <c r="A237" t="s">
        <v>59</v>
      </c>
      <c r="B237" t="s">
        <v>31</v>
      </c>
      <c r="C237" t="s">
        <v>32</v>
      </c>
      <c r="D237" t="s">
        <v>33</v>
      </c>
      <c r="E237" t="s">
        <v>64</v>
      </c>
      <c r="F237" t="s">
        <v>35</v>
      </c>
      <c r="G237" t="s">
        <v>35</v>
      </c>
      <c r="H237" t="s">
        <v>35</v>
      </c>
      <c r="J237" t="s">
        <v>1217</v>
      </c>
      <c r="K237" t="s">
        <v>1092</v>
      </c>
      <c r="M237">
        <v>5.04</v>
      </c>
      <c r="N237">
        <v>65</v>
      </c>
      <c r="O237" t="s">
        <v>61</v>
      </c>
      <c r="Q237" t="s">
        <v>63</v>
      </c>
      <c r="R237" t="s">
        <v>85</v>
      </c>
      <c r="S237" t="s">
        <v>86</v>
      </c>
    </row>
    <row r="238" spans="1:19" x14ac:dyDescent="0.25">
      <c r="A238" t="s">
        <v>59</v>
      </c>
      <c r="B238" t="s">
        <v>60</v>
      </c>
      <c r="C238" t="s">
        <v>32</v>
      </c>
      <c r="D238" t="s">
        <v>33</v>
      </c>
      <c r="E238" t="s">
        <v>64</v>
      </c>
      <c r="F238" t="s">
        <v>35</v>
      </c>
      <c r="G238" t="s">
        <v>35</v>
      </c>
      <c r="H238" t="s">
        <v>35</v>
      </c>
      <c r="J238" t="s">
        <v>1217</v>
      </c>
      <c r="K238" t="s">
        <v>1092</v>
      </c>
      <c r="M238">
        <v>0.64</v>
      </c>
      <c r="N238">
        <v>93</v>
      </c>
      <c r="O238" t="s">
        <v>106</v>
      </c>
      <c r="Q238" t="s">
        <v>1112</v>
      </c>
      <c r="R238" t="s">
        <v>85</v>
      </c>
      <c r="S238" t="s">
        <v>86</v>
      </c>
    </row>
    <row r="239" spans="1:19" x14ac:dyDescent="0.25">
      <c r="A239" t="s">
        <v>59</v>
      </c>
      <c r="B239" t="s">
        <v>60</v>
      </c>
      <c r="C239" t="s">
        <v>32</v>
      </c>
      <c r="D239" t="s">
        <v>33</v>
      </c>
      <c r="E239" t="s">
        <v>64</v>
      </c>
      <c r="F239" t="s">
        <v>35</v>
      </c>
      <c r="G239" t="s">
        <v>35</v>
      </c>
      <c r="H239" t="s">
        <v>35</v>
      </c>
      <c r="J239" t="s">
        <v>1217</v>
      </c>
      <c r="K239" t="s">
        <v>1092</v>
      </c>
      <c r="M239">
        <v>5.5</v>
      </c>
      <c r="N239">
        <v>66</v>
      </c>
      <c r="O239" t="s">
        <v>61</v>
      </c>
      <c r="Q239" t="s">
        <v>552</v>
      </c>
      <c r="R239" t="s">
        <v>85</v>
      </c>
      <c r="S239" t="s">
        <v>86</v>
      </c>
    </row>
    <row r="240" spans="1:19" x14ac:dyDescent="0.25">
      <c r="A240" t="s">
        <v>30</v>
      </c>
      <c r="B240" t="s">
        <v>31</v>
      </c>
      <c r="C240" t="s">
        <v>32</v>
      </c>
      <c r="D240" t="s">
        <v>33</v>
      </c>
      <c r="E240" t="s">
        <v>122</v>
      </c>
      <c r="F240" t="s">
        <v>35</v>
      </c>
      <c r="G240" t="s">
        <v>35</v>
      </c>
      <c r="H240" t="s">
        <v>35</v>
      </c>
      <c r="J240" t="s">
        <v>1768</v>
      </c>
      <c r="K240" t="s">
        <v>1092</v>
      </c>
      <c r="M240">
        <v>6.5750000000000002</v>
      </c>
      <c r="N240">
        <v>38</v>
      </c>
      <c r="O240" t="s">
        <v>52</v>
      </c>
      <c r="Q240" t="s">
        <v>716</v>
      </c>
      <c r="R240" t="s">
        <v>85</v>
      </c>
      <c r="S240" t="s">
        <v>86</v>
      </c>
    </row>
    <row r="241" spans="1:19" x14ac:dyDescent="0.25">
      <c r="A241" t="s">
        <v>30</v>
      </c>
      <c r="B241" t="s">
        <v>31</v>
      </c>
      <c r="C241" t="s">
        <v>32</v>
      </c>
      <c r="D241" t="s">
        <v>33</v>
      </c>
      <c r="E241" t="s">
        <v>196</v>
      </c>
      <c r="F241" t="s">
        <v>35</v>
      </c>
      <c r="G241" t="s">
        <v>35</v>
      </c>
      <c r="H241" t="s">
        <v>35</v>
      </c>
      <c r="J241" t="s">
        <v>2033</v>
      </c>
      <c r="K241" t="s">
        <v>1092</v>
      </c>
      <c r="M241">
        <v>3.24</v>
      </c>
      <c r="N241">
        <v>39</v>
      </c>
      <c r="O241" t="s">
        <v>52</v>
      </c>
      <c r="Q241" t="s">
        <v>493</v>
      </c>
      <c r="R241" t="s">
        <v>85</v>
      </c>
      <c r="S241" t="s">
        <v>86</v>
      </c>
    </row>
    <row r="242" spans="1:19" x14ac:dyDescent="0.25">
      <c r="A242" t="s">
        <v>44</v>
      </c>
      <c r="B242" t="s">
        <v>3</v>
      </c>
      <c r="C242" t="s">
        <v>32</v>
      </c>
      <c r="D242" t="s">
        <v>33</v>
      </c>
      <c r="E242" t="s">
        <v>172</v>
      </c>
      <c r="F242" t="s">
        <v>35</v>
      </c>
      <c r="G242" t="s">
        <v>35</v>
      </c>
      <c r="H242" t="s">
        <v>35</v>
      </c>
      <c r="J242" t="s">
        <v>1922</v>
      </c>
      <c r="K242" t="s">
        <v>1092</v>
      </c>
      <c r="M242">
        <v>4.55</v>
      </c>
      <c r="N242">
        <v>55</v>
      </c>
      <c r="O242" t="s">
        <v>52</v>
      </c>
      <c r="Q242" t="s">
        <v>90</v>
      </c>
      <c r="R242" t="s">
        <v>85</v>
      </c>
      <c r="S242" t="s">
        <v>86</v>
      </c>
    </row>
    <row r="243" spans="1:19" x14ac:dyDescent="0.25">
      <c r="A243" t="s">
        <v>44</v>
      </c>
      <c r="B243" t="s">
        <v>3</v>
      </c>
      <c r="C243" t="s">
        <v>32</v>
      </c>
      <c r="D243" t="s">
        <v>33</v>
      </c>
      <c r="E243" t="s">
        <v>204</v>
      </c>
      <c r="F243" t="s">
        <v>35</v>
      </c>
      <c r="G243" t="s">
        <v>35</v>
      </c>
      <c r="H243" t="s">
        <v>35</v>
      </c>
      <c r="J243" t="s">
        <v>2122</v>
      </c>
      <c r="K243" t="s">
        <v>1092</v>
      </c>
      <c r="M243">
        <v>5.05</v>
      </c>
      <c r="N243">
        <v>55</v>
      </c>
      <c r="O243" t="s">
        <v>52</v>
      </c>
      <c r="Q243" t="s">
        <v>90</v>
      </c>
      <c r="R243" t="s">
        <v>85</v>
      </c>
      <c r="S243" t="s">
        <v>86</v>
      </c>
    </row>
    <row r="244" spans="1:19" x14ac:dyDescent="0.25">
      <c r="A244" t="s">
        <v>44</v>
      </c>
      <c r="B244" t="s">
        <v>51</v>
      </c>
      <c r="C244" t="s">
        <v>32</v>
      </c>
      <c r="D244" t="s">
        <v>33</v>
      </c>
      <c r="E244" t="s">
        <v>204</v>
      </c>
      <c r="F244" t="s">
        <v>35</v>
      </c>
      <c r="G244" t="s">
        <v>35</v>
      </c>
      <c r="H244" t="s">
        <v>35</v>
      </c>
      <c r="J244" t="s">
        <v>2122</v>
      </c>
      <c r="K244" t="s">
        <v>1092</v>
      </c>
      <c r="M244">
        <v>4.5</v>
      </c>
      <c r="N244">
        <v>21</v>
      </c>
      <c r="O244" t="s">
        <v>46</v>
      </c>
      <c r="Q244" t="s">
        <v>176</v>
      </c>
      <c r="R244" t="s">
        <v>85</v>
      </c>
      <c r="S244" t="s">
        <v>86</v>
      </c>
    </row>
    <row r="245" spans="1:19" x14ac:dyDescent="0.25">
      <c r="A245" t="s">
        <v>30</v>
      </c>
      <c r="B245" t="s">
        <v>31</v>
      </c>
      <c r="C245" t="s">
        <v>32</v>
      </c>
      <c r="D245" t="s">
        <v>33</v>
      </c>
      <c r="E245" t="s">
        <v>1292</v>
      </c>
      <c r="F245" t="s">
        <v>35</v>
      </c>
      <c r="G245" t="s">
        <v>35</v>
      </c>
      <c r="H245" t="s">
        <v>35</v>
      </c>
      <c r="J245" t="s">
        <v>1301</v>
      </c>
      <c r="K245" t="s">
        <v>1092</v>
      </c>
      <c r="M245">
        <v>9.5850000000000009</v>
      </c>
      <c r="N245">
        <v>10</v>
      </c>
      <c r="O245" t="s">
        <v>46</v>
      </c>
      <c r="Q245" t="s">
        <v>1302</v>
      </c>
      <c r="R245" t="s">
        <v>85</v>
      </c>
      <c r="S245" t="s">
        <v>86</v>
      </c>
    </row>
    <row r="246" spans="1:19" x14ac:dyDescent="0.25">
      <c r="A246" t="s">
        <v>44</v>
      </c>
      <c r="B246" t="s">
        <v>3</v>
      </c>
      <c r="C246" t="s">
        <v>32</v>
      </c>
      <c r="D246" t="s">
        <v>33</v>
      </c>
      <c r="E246" t="s">
        <v>122</v>
      </c>
      <c r="F246" t="s">
        <v>35</v>
      </c>
      <c r="G246" t="s">
        <v>35</v>
      </c>
      <c r="H246" t="s">
        <v>35</v>
      </c>
      <c r="J246" t="s">
        <v>143</v>
      </c>
      <c r="K246" t="s">
        <v>37</v>
      </c>
      <c r="M246">
        <v>5</v>
      </c>
      <c r="N246">
        <v>52</v>
      </c>
      <c r="O246" t="s">
        <v>52</v>
      </c>
      <c r="P246" t="s">
        <v>144</v>
      </c>
      <c r="Q246" t="s">
        <v>84</v>
      </c>
      <c r="R246" t="s">
        <v>85</v>
      </c>
      <c r="S246" t="s">
        <v>86</v>
      </c>
    </row>
    <row r="247" spans="1:19" x14ac:dyDescent="0.25">
      <c r="A247" t="s">
        <v>30</v>
      </c>
      <c r="B247" t="s">
        <v>31</v>
      </c>
      <c r="C247" t="s">
        <v>32</v>
      </c>
      <c r="D247" t="s">
        <v>33</v>
      </c>
      <c r="E247" t="s">
        <v>122</v>
      </c>
      <c r="F247" t="s">
        <v>35</v>
      </c>
      <c r="G247" t="s">
        <v>35</v>
      </c>
      <c r="H247" t="s">
        <v>35</v>
      </c>
      <c r="J247" t="s">
        <v>1736</v>
      </c>
      <c r="K247" t="s">
        <v>1092</v>
      </c>
      <c r="M247">
        <v>3.6</v>
      </c>
      <c r="N247">
        <v>39</v>
      </c>
      <c r="O247" t="s">
        <v>52</v>
      </c>
      <c r="Q247" t="s">
        <v>493</v>
      </c>
      <c r="R247" t="s">
        <v>85</v>
      </c>
      <c r="S247" t="s">
        <v>86</v>
      </c>
    </row>
    <row r="248" spans="1:19" x14ac:dyDescent="0.25">
      <c r="A248" t="s">
        <v>59</v>
      </c>
      <c r="B248" t="s">
        <v>60</v>
      </c>
      <c r="C248" t="s">
        <v>32</v>
      </c>
      <c r="D248" t="s">
        <v>33</v>
      </c>
      <c r="E248" t="s">
        <v>177</v>
      </c>
      <c r="F248" t="s">
        <v>35</v>
      </c>
      <c r="G248" t="s">
        <v>35</v>
      </c>
      <c r="H248" t="s">
        <v>35</v>
      </c>
      <c r="J248" t="s">
        <v>2023</v>
      </c>
      <c r="K248" t="s">
        <v>404</v>
      </c>
      <c r="M248">
        <v>5.5</v>
      </c>
      <c r="N248">
        <v>66</v>
      </c>
      <c r="O248" t="s">
        <v>61</v>
      </c>
      <c r="Q248" t="s">
        <v>552</v>
      </c>
      <c r="R248" t="s">
        <v>85</v>
      </c>
      <c r="S248" t="s">
        <v>86</v>
      </c>
    </row>
    <row r="249" spans="1:19" x14ac:dyDescent="0.25">
      <c r="A249" t="s">
        <v>44</v>
      </c>
      <c r="B249" t="s">
        <v>3</v>
      </c>
      <c r="C249" t="s">
        <v>32</v>
      </c>
      <c r="D249" t="s">
        <v>33</v>
      </c>
      <c r="E249" t="s">
        <v>177</v>
      </c>
      <c r="F249" t="s">
        <v>35</v>
      </c>
      <c r="G249" t="s">
        <v>35</v>
      </c>
      <c r="H249" t="s">
        <v>35</v>
      </c>
      <c r="J249" t="s">
        <v>1992</v>
      </c>
      <c r="K249" t="s">
        <v>1092</v>
      </c>
      <c r="M249">
        <v>2.9</v>
      </c>
      <c r="N249">
        <v>55</v>
      </c>
      <c r="O249" t="s">
        <v>52</v>
      </c>
      <c r="Q249" t="s">
        <v>90</v>
      </c>
      <c r="R249" t="s">
        <v>85</v>
      </c>
      <c r="S249" t="s">
        <v>86</v>
      </c>
    </row>
    <row r="250" spans="1:19" x14ac:dyDescent="0.25">
      <c r="A250" t="s">
        <v>44</v>
      </c>
      <c r="B250" t="s">
        <v>51</v>
      </c>
      <c r="C250" t="s">
        <v>32</v>
      </c>
      <c r="D250" t="s">
        <v>33</v>
      </c>
      <c r="E250" t="s">
        <v>177</v>
      </c>
      <c r="F250" t="s">
        <v>35</v>
      </c>
      <c r="G250" t="s">
        <v>35</v>
      </c>
      <c r="H250" t="s">
        <v>35</v>
      </c>
      <c r="J250" t="s">
        <v>1992</v>
      </c>
      <c r="K250" t="s">
        <v>1092</v>
      </c>
      <c r="M250">
        <v>4.1500000000000004</v>
      </c>
      <c r="N250">
        <v>21</v>
      </c>
      <c r="O250" t="s">
        <v>46</v>
      </c>
      <c r="Q250" t="s">
        <v>176</v>
      </c>
      <c r="R250" t="s">
        <v>85</v>
      </c>
      <c r="S250" t="s">
        <v>86</v>
      </c>
    </row>
    <row r="251" spans="1:19" x14ac:dyDescent="0.25">
      <c r="A251" t="s">
        <v>30</v>
      </c>
      <c r="B251" t="s">
        <v>31</v>
      </c>
      <c r="C251" t="s">
        <v>32</v>
      </c>
      <c r="D251" t="s">
        <v>33</v>
      </c>
      <c r="E251" t="s">
        <v>177</v>
      </c>
      <c r="F251" t="s">
        <v>35</v>
      </c>
      <c r="G251" t="s">
        <v>35</v>
      </c>
      <c r="H251" t="s">
        <v>35</v>
      </c>
      <c r="J251" t="s">
        <v>1992</v>
      </c>
      <c r="K251" t="s">
        <v>1092</v>
      </c>
      <c r="M251">
        <v>2.34</v>
      </c>
      <c r="N251">
        <v>39</v>
      </c>
      <c r="O251" t="s">
        <v>52</v>
      </c>
      <c r="Q251" t="s">
        <v>493</v>
      </c>
      <c r="R251" t="s">
        <v>85</v>
      </c>
      <c r="S251" t="s">
        <v>86</v>
      </c>
    </row>
    <row r="252" spans="1:19" x14ac:dyDescent="0.25">
      <c r="A252" t="s">
        <v>30</v>
      </c>
      <c r="B252" t="s">
        <v>31</v>
      </c>
      <c r="C252" t="s">
        <v>32</v>
      </c>
      <c r="D252" t="s">
        <v>33</v>
      </c>
      <c r="E252" t="s">
        <v>1292</v>
      </c>
      <c r="F252" t="s">
        <v>35</v>
      </c>
      <c r="G252" t="s">
        <v>35</v>
      </c>
      <c r="H252" t="s">
        <v>35</v>
      </c>
      <c r="J252" t="s">
        <v>1422</v>
      </c>
      <c r="K252" t="s">
        <v>1092</v>
      </c>
      <c r="M252">
        <v>9.85</v>
      </c>
      <c r="N252">
        <v>38</v>
      </c>
      <c r="O252" t="s">
        <v>52</v>
      </c>
      <c r="Q252" t="s">
        <v>716</v>
      </c>
      <c r="R252" t="s">
        <v>85</v>
      </c>
      <c r="S252" t="s">
        <v>86</v>
      </c>
    </row>
    <row r="253" spans="1:19" x14ac:dyDescent="0.25">
      <c r="A253" t="s">
        <v>44</v>
      </c>
      <c r="B253" t="s">
        <v>51</v>
      </c>
      <c r="C253" t="s">
        <v>32</v>
      </c>
      <c r="D253" t="s">
        <v>33</v>
      </c>
      <c r="E253" t="s">
        <v>204</v>
      </c>
      <c r="F253" t="s">
        <v>35</v>
      </c>
      <c r="G253" t="s">
        <v>35</v>
      </c>
      <c r="H253" t="s">
        <v>35</v>
      </c>
      <c r="J253" t="s">
        <v>2052</v>
      </c>
      <c r="K253" t="s">
        <v>1092</v>
      </c>
      <c r="M253">
        <v>11</v>
      </c>
      <c r="N253">
        <v>21</v>
      </c>
      <c r="O253" t="s">
        <v>46</v>
      </c>
      <c r="Q253" t="s">
        <v>176</v>
      </c>
      <c r="R253" t="s">
        <v>85</v>
      </c>
      <c r="S253" t="s">
        <v>86</v>
      </c>
    </row>
    <row r="254" spans="1:19" x14ac:dyDescent="0.25">
      <c r="A254" t="s">
        <v>59</v>
      </c>
      <c r="B254" t="s">
        <v>31</v>
      </c>
      <c r="C254" t="s">
        <v>32</v>
      </c>
      <c r="D254" t="s">
        <v>33</v>
      </c>
      <c r="E254" t="s">
        <v>122</v>
      </c>
      <c r="F254" t="s">
        <v>35</v>
      </c>
      <c r="G254" t="s">
        <v>35</v>
      </c>
      <c r="H254" t="s">
        <v>35</v>
      </c>
      <c r="J254" t="s">
        <v>1766</v>
      </c>
      <c r="K254" t="s">
        <v>1092</v>
      </c>
      <c r="M254">
        <v>5.1749999999999998</v>
      </c>
      <c r="N254">
        <v>55</v>
      </c>
      <c r="O254" t="s">
        <v>52</v>
      </c>
      <c r="Q254" t="s">
        <v>90</v>
      </c>
      <c r="R254" t="s">
        <v>85</v>
      </c>
      <c r="S254" t="s">
        <v>86</v>
      </c>
    </row>
    <row r="255" spans="1:19" x14ac:dyDescent="0.25">
      <c r="A255" t="s">
        <v>59</v>
      </c>
      <c r="B255" t="s">
        <v>31</v>
      </c>
      <c r="C255" t="s">
        <v>32</v>
      </c>
      <c r="D255" t="s">
        <v>33</v>
      </c>
      <c r="E255" t="s">
        <v>34</v>
      </c>
      <c r="F255" t="s">
        <v>35</v>
      </c>
      <c r="G255" t="s">
        <v>35</v>
      </c>
      <c r="H255" t="s">
        <v>35</v>
      </c>
      <c r="J255" t="s">
        <v>1118</v>
      </c>
      <c r="K255" t="s">
        <v>1092</v>
      </c>
      <c r="M255">
        <v>4.4999999999999998E-2</v>
      </c>
      <c r="N255">
        <v>93</v>
      </c>
      <c r="O255" t="s">
        <v>106</v>
      </c>
      <c r="Q255" t="s">
        <v>1112</v>
      </c>
      <c r="R255" t="s">
        <v>85</v>
      </c>
      <c r="S255" t="s">
        <v>86</v>
      </c>
    </row>
    <row r="256" spans="1:19" x14ac:dyDescent="0.25">
      <c r="A256" t="s">
        <v>59</v>
      </c>
      <c r="B256" t="s">
        <v>31</v>
      </c>
      <c r="C256" t="s">
        <v>32</v>
      </c>
      <c r="D256" t="s">
        <v>33</v>
      </c>
      <c r="E256" t="s">
        <v>34</v>
      </c>
      <c r="F256" t="s">
        <v>35</v>
      </c>
      <c r="G256" t="s">
        <v>35</v>
      </c>
      <c r="H256" t="s">
        <v>35</v>
      </c>
      <c r="J256" t="s">
        <v>1118</v>
      </c>
      <c r="K256" t="s">
        <v>1092</v>
      </c>
      <c r="M256">
        <v>5.49</v>
      </c>
      <c r="N256">
        <v>65</v>
      </c>
      <c r="O256" t="s">
        <v>61</v>
      </c>
      <c r="Q256" t="s">
        <v>63</v>
      </c>
      <c r="R256" t="s">
        <v>85</v>
      </c>
      <c r="S256" t="s">
        <v>86</v>
      </c>
    </row>
    <row r="257" spans="1:19" x14ac:dyDescent="0.25">
      <c r="A257" t="s">
        <v>59</v>
      </c>
      <c r="B257" t="s">
        <v>60</v>
      </c>
      <c r="C257" t="s">
        <v>32</v>
      </c>
      <c r="D257" t="s">
        <v>33</v>
      </c>
      <c r="E257" t="s">
        <v>34</v>
      </c>
      <c r="F257" t="s">
        <v>35</v>
      </c>
      <c r="G257" t="s">
        <v>35</v>
      </c>
      <c r="H257" t="s">
        <v>35</v>
      </c>
      <c r="J257" t="s">
        <v>1118</v>
      </c>
      <c r="K257" t="s">
        <v>1092</v>
      </c>
      <c r="M257">
        <v>5.8</v>
      </c>
      <c r="N257">
        <v>66</v>
      </c>
      <c r="O257" t="s">
        <v>61</v>
      </c>
      <c r="Q257" t="s">
        <v>552</v>
      </c>
      <c r="R257" t="s">
        <v>85</v>
      </c>
      <c r="S257" t="s">
        <v>86</v>
      </c>
    </row>
    <row r="258" spans="1:19" x14ac:dyDescent="0.25">
      <c r="A258" t="s">
        <v>30</v>
      </c>
      <c r="B258" t="s">
        <v>31</v>
      </c>
      <c r="C258" t="s">
        <v>32</v>
      </c>
      <c r="D258" t="s">
        <v>33</v>
      </c>
      <c r="E258" t="s">
        <v>34</v>
      </c>
      <c r="F258" t="s">
        <v>35</v>
      </c>
      <c r="G258" t="s">
        <v>35</v>
      </c>
      <c r="H258" t="s">
        <v>35</v>
      </c>
      <c r="J258" t="s">
        <v>1118</v>
      </c>
      <c r="K258" t="s">
        <v>1092</v>
      </c>
      <c r="M258">
        <v>3.69</v>
      </c>
      <c r="N258">
        <v>39</v>
      </c>
      <c r="O258" t="s">
        <v>52</v>
      </c>
      <c r="Q258" t="s">
        <v>493</v>
      </c>
      <c r="R258" t="s">
        <v>85</v>
      </c>
      <c r="S258" t="s">
        <v>86</v>
      </c>
    </row>
    <row r="259" spans="1:19" x14ac:dyDescent="0.25">
      <c r="A259" t="s">
        <v>44</v>
      </c>
      <c r="B259" t="s">
        <v>3</v>
      </c>
      <c r="C259" t="s">
        <v>32</v>
      </c>
      <c r="D259" t="s">
        <v>33</v>
      </c>
      <c r="E259" t="s">
        <v>34</v>
      </c>
      <c r="F259" t="s">
        <v>35</v>
      </c>
      <c r="G259" t="s">
        <v>35</v>
      </c>
      <c r="H259" t="s">
        <v>35</v>
      </c>
      <c r="J259" t="s">
        <v>1118</v>
      </c>
      <c r="K259" t="s">
        <v>1092</v>
      </c>
      <c r="M259">
        <v>5.5</v>
      </c>
      <c r="N259">
        <v>55</v>
      </c>
      <c r="O259" t="s">
        <v>52</v>
      </c>
      <c r="Q259" t="s">
        <v>90</v>
      </c>
      <c r="R259" t="s">
        <v>85</v>
      </c>
      <c r="S259" t="s">
        <v>86</v>
      </c>
    </row>
    <row r="260" spans="1:19" x14ac:dyDescent="0.25">
      <c r="A260" t="s">
        <v>30</v>
      </c>
      <c r="B260" t="s">
        <v>31</v>
      </c>
      <c r="C260" t="s">
        <v>32</v>
      </c>
      <c r="D260" t="s">
        <v>33</v>
      </c>
      <c r="E260" t="s">
        <v>1292</v>
      </c>
      <c r="F260" t="s">
        <v>35</v>
      </c>
      <c r="G260" t="s">
        <v>35</v>
      </c>
      <c r="H260" t="s">
        <v>35</v>
      </c>
      <c r="J260" t="s">
        <v>1293</v>
      </c>
      <c r="K260" t="s">
        <v>1092</v>
      </c>
      <c r="M260">
        <v>9.99</v>
      </c>
      <c r="N260">
        <v>13</v>
      </c>
      <c r="O260" t="s">
        <v>46</v>
      </c>
      <c r="Q260" t="s">
        <v>1004</v>
      </c>
      <c r="R260" t="s">
        <v>85</v>
      </c>
      <c r="S260" t="s">
        <v>86</v>
      </c>
    </row>
    <row r="261" spans="1:19" x14ac:dyDescent="0.25">
      <c r="A261" t="s">
        <v>59</v>
      </c>
      <c r="B261" t="s">
        <v>60</v>
      </c>
      <c r="C261" t="s">
        <v>32</v>
      </c>
      <c r="D261" t="s">
        <v>33</v>
      </c>
      <c r="E261" t="s">
        <v>1292</v>
      </c>
      <c r="F261" t="s">
        <v>35</v>
      </c>
      <c r="G261" t="s">
        <v>35</v>
      </c>
      <c r="H261" t="s">
        <v>35</v>
      </c>
      <c r="J261" t="s">
        <v>1293</v>
      </c>
      <c r="K261" t="s">
        <v>1092</v>
      </c>
      <c r="M261">
        <v>1.75</v>
      </c>
      <c r="N261">
        <v>55</v>
      </c>
      <c r="O261" t="s">
        <v>52</v>
      </c>
      <c r="Q261" t="s">
        <v>90</v>
      </c>
      <c r="R261" t="s">
        <v>85</v>
      </c>
      <c r="S261" t="s">
        <v>86</v>
      </c>
    </row>
    <row r="262" spans="1:19" x14ac:dyDescent="0.25">
      <c r="A262" t="s">
        <v>59</v>
      </c>
      <c r="B262" t="s">
        <v>60</v>
      </c>
      <c r="C262" t="s">
        <v>32</v>
      </c>
      <c r="D262" t="s">
        <v>33</v>
      </c>
      <c r="E262" t="s">
        <v>172</v>
      </c>
      <c r="F262" t="s">
        <v>35</v>
      </c>
      <c r="G262" t="s">
        <v>35</v>
      </c>
      <c r="H262" t="s">
        <v>35</v>
      </c>
      <c r="J262" t="s">
        <v>1933</v>
      </c>
      <c r="K262" t="s">
        <v>1092</v>
      </c>
      <c r="M262">
        <v>1.45</v>
      </c>
      <c r="N262">
        <v>66</v>
      </c>
      <c r="O262" t="s">
        <v>61</v>
      </c>
      <c r="Q262" t="s">
        <v>552</v>
      </c>
      <c r="R262" t="s">
        <v>85</v>
      </c>
      <c r="S262" t="s">
        <v>86</v>
      </c>
    </row>
    <row r="263" spans="1:19" x14ac:dyDescent="0.25">
      <c r="A263" t="s">
        <v>30</v>
      </c>
      <c r="B263" t="s">
        <v>31</v>
      </c>
      <c r="C263" t="s">
        <v>32</v>
      </c>
      <c r="D263" t="s">
        <v>33</v>
      </c>
      <c r="E263" t="s">
        <v>172</v>
      </c>
      <c r="F263" t="s">
        <v>35</v>
      </c>
      <c r="G263" t="s">
        <v>35</v>
      </c>
      <c r="H263" t="s">
        <v>35</v>
      </c>
      <c r="J263" t="s">
        <v>1933</v>
      </c>
      <c r="K263" t="s">
        <v>1092</v>
      </c>
      <c r="M263">
        <v>5.31</v>
      </c>
      <c r="N263">
        <v>39</v>
      </c>
      <c r="O263" t="s">
        <v>52</v>
      </c>
      <c r="Q263" t="s">
        <v>493</v>
      </c>
      <c r="R263" t="s">
        <v>85</v>
      </c>
      <c r="S263" t="s">
        <v>86</v>
      </c>
    </row>
    <row r="264" spans="1:19" x14ac:dyDescent="0.25">
      <c r="A264" t="s">
        <v>44</v>
      </c>
      <c r="B264" t="s">
        <v>3</v>
      </c>
      <c r="C264" t="s">
        <v>32</v>
      </c>
      <c r="D264" t="s">
        <v>33</v>
      </c>
      <c r="E264" t="s">
        <v>172</v>
      </c>
      <c r="F264" t="s">
        <v>35</v>
      </c>
      <c r="G264" t="s">
        <v>35</v>
      </c>
      <c r="H264" t="s">
        <v>35</v>
      </c>
      <c r="J264" t="s">
        <v>1933</v>
      </c>
      <c r="K264" t="s">
        <v>1092</v>
      </c>
      <c r="M264">
        <v>2.65</v>
      </c>
      <c r="N264">
        <v>52</v>
      </c>
      <c r="O264" t="s">
        <v>52</v>
      </c>
      <c r="Q264" t="s">
        <v>84</v>
      </c>
      <c r="R264" t="s">
        <v>85</v>
      </c>
      <c r="S264" t="s">
        <v>86</v>
      </c>
    </row>
    <row r="265" spans="1:19" x14ac:dyDescent="0.25">
      <c r="A265" t="s">
        <v>44</v>
      </c>
      <c r="B265" t="s">
        <v>51</v>
      </c>
      <c r="C265" t="s">
        <v>32</v>
      </c>
      <c r="D265" t="s">
        <v>33</v>
      </c>
      <c r="E265" t="s">
        <v>172</v>
      </c>
      <c r="F265" t="s">
        <v>35</v>
      </c>
      <c r="G265" t="s">
        <v>35</v>
      </c>
      <c r="H265" t="s">
        <v>35</v>
      </c>
      <c r="J265" t="s">
        <v>1933</v>
      </c>
      <c r="K265" t="s">
        <v>1092</v>
      </c>
      <c r="M265">
        <v>3.95</v>
      </c>
      <c r="N265">
        <v>21</v>
      </c>
      <c r="O265" t="s">
        <v>46</v>
      </c>
      <c r="Q265" t="s">
        <v>176</v>
      </c>
      <c r="R265" t="s">
        <v>85</v>
      </c>
      <c r="S265" t="s">
        <v>86</v>
      </c>
    </row>
    <row r="266" spans="1:19" x14ac:dyDescent="0.25">
      <c r="A266" t="s">
        <v>59</v>
      </c>
      <c r="B266" t="s">
        <v>60</v>
      </c>
      <c r="C266" t="s">
        <v>32</v>
      </c>
      <c r="D266" t="s">
        <v>33</v>
      </c>
      <c r="E266" t="s">
        <v>204</v>
      </c>
      <c r="F266" t="s">
        <v>35</v>
      </c>
      <c r="G266" t="s">
        <v>35</v>
      </c>
      <c r="H266" t="s">
        <v>35</v>
      </c>
      <c r="J266" t="s">
        <v>2183</v>
      </c>
      <c r="K266" t="s">
        <v>1092</v>
      </c>
      <c r="M266">
        <v>1.55</v>
      </c>
      <c r="N266">
        <v>65</v>
      </c>
      <c r="O266" t="s">
        <v>61</v>
      </c>
      <c r="Q266" t="s">
        <v>63</v>
      </c>
      <c r="R266" t="s">
        <v>85</v>
      </c>
      <c r="S266" t="s">
        <v>86</v>
      </c>
    </row>
    <row r="267" spans="1:19" x14ac:dyDescent="0.25">
      <c r="A267" t="s">
        <v>30</v>
      </c>
      <c r="B267" t="s">
        <v>31</v>
      </c>
      <c r="C267" t="s">
        <v>32</v>
      </c>
      <c r="D267" t="s">
        <v>33</v>
      </c>
      <c r="E267" t="s">
        <v>64</v>
      </c>
      <c r="F267" t="s">
        <v>35</v>
      </c>
      <c r="G267" t="s">
        <v>35</v>
      </c>
      <c r="H267" t="s">
        <v>35</v>
      </c>
      <c r="J267" t="s">
        <v>1231</v>
      </c>
      <c r="K267" t="s">
        <v>1092</v>
      </c>
      <c r="M267">
        <v>4.41</v>
      </c>
      <c r="N267">
        <v>31</v>
      </c>
      <c r="O267" t="s">
        <v>52</v>
      </c>
      <c r="Q267" t="s">
        <v>748</v>
      </c>
      <c r="R267" t="s">
        <v>85</v>
      </c>
      <c r="S267" t="s">
        <v>86</v>
      </c>
    </row>
    <row r="268" spans="1:19" x14ac:dyDescent="0.25">
      <c r="A268" t="s">
        <v>59</v>
      </c>
      <c r="B268" t="s">
        <v>31</v>
      </c>
      <c r="C268" t="s">
        <v>32</v>
      </c>
      <c r="D268" t="s">
        <v>33</v>
      </c>
      <c r="E268" t="s">
        <v>114</v>
      </c>
      <c r="F268" t="s">
        <v>35</v>
      </c>
      <c r="G268" t="s">
        <v>35</v>
      </c>
      <c r="H268" t="s">
        <v>35</v>
      </c>
      <c r="J268" t="s">
        <v>1609</v>
      </c>
      <c r="K268" t="s">
        <v>1092</v>
      </c>
      <c r="M268">
        <v>5.49</v>
      </c>
      <c r="N268">
        <v>66</v>
      </c>
      <c r="O268" t="s">
        <v>61</v>
      </c>
      <c r="Q268" t="s">
        <v>552</v>
      </c>
      <c r="R268" t="s">
        <v>85</v>
      </c>
      <c r="S268" t="s">
        <v>86</v>
      </c>
    </row>
    <row r="269" spans="1:19" x14ac:dyDescent="0.25">
      <c r="A269" t="s">
        <v>44</v>
      </c>
      <c r="B269" t="s">
        <v>51</v>
      </c>
      <c r="C269" t="s">
        <v>32</v>
      </c>
      <c r="D269" t="s">
        <v>33</v>
      </c>
      <c r="E269" t="s">
        <v>122</v>
      </c>
      <c r="F269" t="s">
        <v>35</v>
      </c>
      <c r="G269" t="s">
        <v>35</v>
      </c>
      <c r="H269" t="s">
        <v>35</v>
      </c>
      <c r="J269" t="s">
        <v>1633</v>
      </c>
      <c r="K269" t="s">
        <v>1092</v>
      </c>
      <c r="M269">
        <v>11</v>
      </c>
      <c r="N269">
        <v>21</v>
      </c>
      <c r="O269" t="s">
        <v>46</v>
      </c>
      <c r="Q269" t="s">
        <v>176</v>
      </c>
      <c r="R269" t="s">
        <v>85</v>
      </c>
      <c r="S269" t="s">
        <v>86</v>
      </c>
    </row>
    <row r="270" spans="1:19" x14ac:dyDescent="0.25">
      <c r="A270" t="s">
        <v>30</v>
      </c>
      <c r="B270" t="s">
        <v>31</v>
      </c>
      <c r="C270" t="s">
        <v>32</v>
      </c>
      <c r="D270" t="s">
        <v>33</v>
      </c>
      <c r="E270" t="s">
        <v>122</v>
      </c>
      <c r="F270" t="s">
        <v>35</v>
      </c>
      <c r="G270" t="s">
        <v>35</v>
      </c>
      <c r="H270" t="s">
        <v>35</v>
      </c>
      <c r="J270" t="s">
        <v>1633</v>
      </c>
      <c r="K270" t="s">
        <v>1092</v>
      </c>
      <c r="M270">
        <v>9.99</v>
      </c>
      <c r="N270">
        <v>13</v>
      </c>
      <c r="O270" t="s">
        <v>46</v>
      </c>
      <c r="Q270" t="s">
        <v>1004</v>
      </c>
      <c r="R270" t="s">
        <v>85</v>
      </c>
      <c r="S270" t="s">
        <v>86</v>
      </c>
    </row>
    <row r="271" spans="1:19" x14ac:dyDescent="0.25">
      <c r="A271" t="s">
        <v>30</v>
      </c>
      <c r="B271" t="s">
        <v>31</v>
      </c>
      <c r="C271" t="s">
        <v>32</v>
      </c>
      <c r="D271" t="s">
        <v>33</v>
      </c>
      <c r="E271" t="s">
        <v>122</v>
      </c>
      <c r="F271" t="s">
        <v>35</v>
      </c>
      <c r="G271" t="s">
        <v>35</v>
      </c>
      <c r="H271" t="s">
        <v>35</v>
      </c>
      <c r="J271" t="s">
        <v>1633</v>
      </c>
      <c r="K271" t="s">
        <v>1092</v>
      </c>
      <c r="M271">
        <v>10.71</v>
      </c>
      <c r="N271">
        <v>39</v>
      </c>
      <c r="O271" t="s">
        <v>52</v>
      </c>
      <c r="Q271" t="s">
        <v>493</v>
      </c>
      <c r="R271" t="s">
        <v>85</v>
      </c>
      <c r="S271" t="s">
        <v>86</v>
      </c>
    </row>
    <row r="272" spans="1:19" x14ac:dyDescent="0.25">
      <c r="A272" t="s">
        <v>59</v>
      </c>
      <c r="B272" t="s">
        <v>60</v>
      </c>
      <c r="C272" t="s">
        <v>32</v>
      </c>
      <c r="D272" t="s">
        <v>33</v>
      </c>
      <c r="E272" t="s">
        <v>122</v>
      </c>
      <c r="F272" t="s">
        <v>35</v>
      </c>
      <c r="G272" t="s">
        <v>35</v>
      </c>
      <c r="H272" t="s">
        <v>35</v>
      </c>
      <c r="J272" t="s">
        <v>1633</v>
      </c>
      <c r="K272" t="s">
        <v>1092</v>
      </c>
      <c r="M272">
        <v>3.4</v>
      </c>
      <c r="N272">
        <v>55</v>
      </c>
      <c r="O272" t="s">
        <v>52</v>
      </c>
      <c r="Q272" t="s">
        <v>90</v>
      </c>
      <c r="R272" t="s">
        <v>85</v>
      </c>
      <c r="S272" t="s">
        <v>86</v>
      </c>
    </row>
    <row r="273" spans="1:19" x14ac:dyDescent="0.25">
      <c r="A273" t="s">
        <v>30</v>
      </c>
      <c r="B273" t="s">
        <v>31</v>
      </c>
      <c r="C273" t="s">
        <v>32</v>
      </c>
      <c r="D273" t="s">
        <v>33</v>
      </c>
      <c r="E273" t="s">
        <v>204</v>
      </c>
      <c r="F273" t="s">
        <v>35</v>
      </c>
      <c r="G273" t="s">
        <v>35</v>
      </c>
      <c r="H273" t="s">
        <v>35</v>
      </c>
      <c r="J273" t="s">
        <v>1121</v>
      </c>
      <c r="K273" t="s">
        <v>1092</v>
      </c>
      <c r="M273">
        <v>5.49</v>
      </c>
      <c r="N273">
        <v>38</v>
      </c>
      <c r="O273" t="s">
        <v>52</v>
      </c>
      <c r="Q273" t="s">
        <v>716</v>
      </c>
      <c r="R273" t="s">
        <v>85</v>
      </c>
      <c r="S273" t="s">
        <v>86</v>
      </c>
    </row>
    <row r="274" spans="1:19" x14ac:dyDescent="0.25">
      <c r="A274" t="s">
        <v>59</v>
      </c>
      <c r="B274" t="s">
        <v>60</v>
      </c>
      <c r="C274" t="s">
        <v>32</v>
      </c>
      <c r="D274" t="s">
        <v>33</v>
      </c>
      <c r="E274" t="s">
        <v>204</v>
      </c>
      <c r="F274" t="s">
        <v>35</v>
      </c>
      <c r="G274" t="s">
        <v>35</v>
      </c>
      <c r="H274" t="s">
        <v>35</v>
      </c>
      <c r="J274" t="s">
        <v>1121</v>
      </c>
      <c r="K274" t="s">
        <v>1092</v>
      </c>
      <c r="M274">
        <v>5.5</v>
      </c>
      <c r="N274">
        <v>92</v>
      </c>
      <c r="O274" t="s">
        <v>106</v>
      </c>
      <c r="Q274" t="s">
        <v>1216</v>
      </c>
      <c r="R274" t="s">
        <v>85</v>
      </c>
      <c r="S274" t="s">
        <v>86</v>
      </c>
    </row>
    <row r="275" spans="1:19" x14ac:dyDescent="0.25">
      <c r="A275" t="s">
        <v>44</v>
      </c>
      <c r="B275" t="s">
        <v>51</v>
      </c>
      <c r="C275" t="s">
        <v>32</v>
      </c>
      <c r="D275" t="s">
        <v>33</v>
      </c>
      <c r="E275" t="s">
        <v>64</v>
      </c>
      <c r="F275" t="s">
        <v>35</v>
      </c>
      <c r="G275" t="s">
        <v>35</v>
      </c>
      <c r="H275" t="s">
        <v>35</v>
      </c>
      <c r="J275" t="s">
        <v>1290</v>
      </c>
      <c r="K275" t="s">
        <v>1092</v>
      </c>
      <c r="M275">
        <v>5.5</v>
      </c>
      <c r="N275">
        <v>21</v>
      </c>
      <c r="O275" t="s">
        <v>46</v>
      </c>
      <c r="Q275" t="s">
        <v>176</v>
      </c>
      <c r="R275" t="s">
        <v>85</v>
      </c>
      <c r="S275" t="s">
        <v>86</v>
      </c>
    </row>
    <row r="276" spans="1:19" x14ac:dyDescent="0.25">
      <c r="A276" t="s">
        <v>59</v>
      </c>
      <c r="B276" t="s">
        <v>31</v>
      </c>
      <c r="C276" t="s">
        <v>32</v>
      </c>
      <c r="D276" t="s">
        <v>33</v>
      </c>
      <c r="E276" t="s">
        <v>64</v>
      </c>
      <c r="F276" t="s">
        <v>35</v>
      </c>
      <c r="G276" t="s">
        <v>35</v>
      </c>
      <c r="H276" t="s">
        <v>35</v>
      </c>
      <c r="J276" t="s">
        <v>1290</v>
      </c>
      <c r="K276" t="s">
        <v>1092</v>
      </c>
      <c r="M276">
        <v>3.6</v>
      </c>
      <c r="N276">
        <v>65</v>
      </c>
      <c r="O276" t="s">
        <v>61</v>
      </c>
      <c r="Q276" t="s">
        <v>63</v>
      </c>
      <c r="R276" t="s">
        <v>85</v>
      </c>
      <c r="S276" t="s">
        <v>86</v>
      </c>
    </row>
    <row r="277" spans="1:19" x14ac:dyDescent="0.25">
      <c r="A277" t="s">
        <v>59</v>
      </c>
      <c r="B277" t="s">
        <v>60</v>
      </c>
      <c r="C277" t="s">
        <v>32</v>
      </c>
      <c r="D277" t="s">
        <v>33</v>
      </c>
      <c r="E277" t="s">
        <v>64</v>
      </c>
      <c r="F277" t="s">
        <v>35</v>
      </c>
      <c r="G277" t="s">
        <v>35</v>
      </c>
      <c r="H277" t="s">
        <v>35</v>
      </c>
      <c r="J277" t="s">
        <v>1290</v>
      </c>
      <c r="K277" t="s">
        <v>1092</v>
      </c>
      <c r="M277">
        <v>3</v>
      </c>
      <c r="N277">
        <v>65</v>
      </c>
      <c r="O277" t="s">
        <v>61</v>
      </c>
      <c r="Q277" t="s">
        <v>63</v>
      </c>
      <c r="R277" t="s">
        <v>85</v>
      </c>
      <c r="S277" t="s">
        <v>86</v>
      </c>
    </row>
    <row r="278" spans="1:19" x14ac:dyDescent="0.25">
      <c r="A278" t="s">
        <v>30</v>
      </c>
      <c r="B278" t="s">
        <v>31</v>
      </c>
      <c r="C278" t="s">
        <v>32</v>
      </c>
      <c r="D278" t="s">
        <v>33</v>
      </c>
      <c r="E278" t="s">
        <v>64</v>
      </c>
      <c r="F278" t="s">
        <v>35</v>
      </c>
      <c r="G278" t="s">
        <v>35</v>
      </c>
      <c r="H278" t="s">
        <v>35</v>
      </c>
      <c r="J278" t="s">
        <v>1290</v>
      </c>
      <c r="K278" t="s">
        <v>1092</v>
      </c>
      <c r="M278">
        <v>10.8</v>
      </c>
      <c r="N278">
        <v>39</v>
      </c>
      <c r="O278" t="s">
        <v>52</v>
      </c>
      <c r="Q278" t="s">
        <v>493</v>
      </c>
      <c r="R278" t="s">
        <v>85</v>
      </c>
      <c r="S278" t="s">
        <v>86</v>
      </c>
    </row>
    <row r="279" spans="1:19" x14ac:dyDescent="0.25">
      <c r="A279" t="s">
        <v>44</v>
      </c>
      <c r="B279" t="s">
        <v>3</v>
      </c>
      <c r="C279" t="s">
        <v>32</v>
      </c>
      <c r="D279" t="s">
        <v>33</v>
      </c>
      <c r="E279" t="s">
        <v>64</v>
      </c>
      <c r="F279" t="s">
        <v>35</v>
      </c>
      <c r="G279" t="s">
        <v>35</v>
      </c>
      <c r="H279" t="s">
        <v>35</v>
      </c>
      <c r="J279" t="s">
        <v>1290</v>
      </c>
      <c r="K279" t="s">
        <v>1092</v>
      </c>
      <c r="M279">
        <v>5.5</v>
      </c>
      <c r="N279">
        <v>55</v>
      </c>
      <c r="O279" t="s">
        <v>52</v>
      </c>
      <c r="Q279" t="s">
        <v>90</v>
      </c>
      <c r="R279" t="s">
        <v>85</v>
      </c>
      <c r="S279" t="s">
        <v>86</v>
      </c>
    </row>
    <row r="280" spans="1:19" x14ac:dyDescent="0.25">
      <c r="A280" t="s">
        <v>44</v>
      </c>
      <c r="B280" t="s">
        <v>51</v>
      </c>
      <c r="C280" t="s">
        <v>32</v>
      </c>
      <c r="D280" t="s">
        <v>33</v>
      </c>
      <c r="E280" t="s">
        <v>64</v>
      </c>
      <c r="F280" t="s">
        <v>35</v>
      </c>
      <c r="G280" t="s">
        <v>35</v>
      </c>
      <c r="H280" t="s">
        <v>35</v>
      </c>
      <c r="J280" t="s">
        <v>1290</v>
      </c>
      <c r="K280" t="s">
        <v>1092</v>
      </c>
      <c r="M280">
        <v>2.1</v>
      </c>
      <c r="N280">
        <v>237</v>
      </c>
      <c r="O280" t="s">
        <v>5</v>
      </c>
      <c r="Q280" t="s">
        <v>1242</v>
      </c>
      <c r="R280" t="s">
        <v>85</v>
      </c>
      <c r="S280" t="s">
        <v>86</v>
      </c>
    </row>
    <row r="281" spans="1:19" x14ac:dyDescent="0.25">
      <c r="A281" t="s">
        <v>59</v>
      </c>
      <c r="B281" t="s">
        <v>60</v>
      </c>
      <c r="C281" t="s">
        <v>32</v>
      </c>
      <c r="D281" t="s">
        <v>33</v>
      </c>
      <c r="E281" t="s">
        <v>1292</v>
      </c>
      <c r="F281" t="s">
        <v>35</v>
      </c>
      <c r="G281" t="s">
        <v>35</v>
      </c>
      <c r="H281" t="s">
        <v>35</v>
      </c>
      <c r="J281" t="s">
        <v>1312</v>
      </c>
      <c r="K281" t="s">
        <v>1092</v>
      </c>
      <c r="M281">
        <v>5.15</v>
      </c>
      <c r="N281">
        <v>86</v>
      </c>
      <c r="O281" t="s">
        <v>61</v>
      </c>
      <c r="Q281" t="s">
        <v>941</v>
      </c>
      <c r="R281" t="s">
        <v>85</v>
      </c>
      <c r="S281" t="s">
        <v>86</v>
      </c>
    </row>
    <row r="282" spans="1:19" x14ac:dyDescent="0.25">
      <c r="A282" t="s">
        <v>59</v>
      </c>
      <c r="B282" t="s">
        <v>60</v>
      </c>
      <c r="C282" t="s">
        <v>32</v>
      </c>
      <c r="D282" t="s">
        <v>33</v>
      </c>
      <c r="E282" t="s">
        <v>1292</v>
      </c>
      <c r="F282" t="s">
        <v>35</v>
      </c>
      <c r="G282" t="s">
        <v>35</v>
      </c>
      <c r="H282" t="s">
        <v>35</v>
      </c>
      <c r="J282" t="s">
        <v>1312</v>
      </c>
      <c r="K282" t="s">
        <v>1092</v>
      </c>
      <c r="M282">
        <v>10</v>
      </c>
      <c r="N282">
        <v>55</v>
      </c>
      <c r="O282" t="s">
        <v>52</v>
      </c>
      <c r="Q282" t="s">
        <v>90</v>
      </c>
      <c r="R282" t="s">
        <v>85</v>
      </c>
      <c r="S282" t="s">
        <v>86</v>
      </c>
    </row>
    <row r="283" spans="1:19" x14ac:dyDescent="0.25">
      <c r="A283" t="s">
        <v>30</v>
      </c>
      <c r="B283" t="s">
        <v>31</v>
      </c>
      <c r="C283" t="s">
        <v>32</v>
      </c>
      <c r="D283" t="s">
        <v>33</v>
      </c>
      <c r="E283" t="s">
        <v>1292</v>
      </c>
      <c r="F283" t="s">
        <v>35</v>
      </c>
      <c r="G283" t="s">
        <v>35</v>
      </c>
      <c r="H283" t="s">
        <v>35</v>
      </c>
      <c r="J283" t="s">
        <v>1312</v>
      </c>
      <c r="K283" t="s">
        <v>1092</v>
      </c>
      <c r="M283">
        <v>19.305</v>
      </c>
      <c r="N283">
        <v>13</v>
      </c>
      <c r="O283" t="s">
        <v>46</v>
      </c>
      <c r="Q283" t="s">
        <v>1004</v>
      </c>
      <c r="R283" t="s">
        <v>85</v>
      </c>
      <c r="S283" t="s">
        <v>86</v>
      </c>
    </row>
    <row r="284" spans="1:19" x14ac:dyDescent="0.25">
      <c r="A284" t="s">
        <v>44</v>
      </c>
      <c r="B284" t="s">
        <v>3</v>
      </c>
      <c r="C284" t="s">
        <v>32</v>
      </c>
      <c r="D284" t="s">
        <v>33</v>
      </c>
      <c r="E284" t="s">
        <v>1292</v>
      </c>
      <c r="F284" t="s">
        <v>35</v>
      </c>
      <c r="G284" t="s">
        <v>35</v>
      </c>
      <c r="H284" t="s">
        <v>35</v>
      </c>
      <c r="J284" t="s">
        <v>1312</v>
      </c>
      <c r="K284" t="s">
        <v>1092</v>
      </c>
      <c r="M284">
        <v>4.2</v>
      </c>
      <c r="N284">
        <v>52</v>
      </c>
      <c r="O284" t="s">
        <v>52</v>
      </c>
      <c r="Q284" t="s">
        <v>84</v>
      </c>
      <c r="R284" t="s">
        <v>85</v>
      </c>
      <c r="S284" t="s">
        <v>86</v>
      </c>
    </row>
    <row r="285" spans="1:19" x14ac:dyDescent="0.25">
      <c r="A285" t="s">
        <v>59</v>
      </c>
      <c r="B285" t="s">
        <v>60</v>
      </c>
      <c r="C285" t="s">
        <v>32</v>
      </c>
      <c r="D285" t="s">
        <v>33</v>
      </c>
      <c r="E285" t="s">
        <v>204</v>
      </c>
      <c r="F285" t="s">
        <v>35</v>
      </c>
      <c r="G285" t="s">
        <v>35</v>
      </c>
      <c r="H285" t="s">
        <v>35</v>
      </c>
      <c r="J285" t="s">
        <v>2126</v>
      </c>
      <c r="K285" t="s">
        <v>1092</v>
      </c>
      <c r="M285">
        <v>5</v>
      </c>
      <c r="N285">
        <v>93</v>
      </c>
      <c r="O285" t="s">
        <v>106</v>
      </c>
      <c r="Q285" t="s">
        <v>1112</v>
      </c>
      <c r="R285" t="s">
        <v>85</v>
      </c>
      <c r="S285" t="s">
        <v>86</v>
      </c>
    </row>
    <row r="286" spans="1:19" x14ac:dyDescent="0.25">
      <c r="A286" t="s">
        <v>30</v>
      </c>
      <c r="B286" t="s">
        <v>31</v>
      </c>
      <c r="C286" t="s">
        <v>32</v>
      </c>
      <c r="D286" t="s">
        <v>33</v>
      </c>
      <c r="E286" t="s">
        <v>204</v>
      </c>
      <c r="F286" t="s">
        <v>35</v>
      </c>
      <c r="G286" t="s">
        <v>35</v>
      </c>
      <c r="H286" t="s">
        <v>35</v>
      </c>
      <c r="J286" t="s">
        <v>2126</v>
      </c>
      <c r="K286" t="s">
        <v>1092</v>
      </c>
      <c r="M286">
        <v>9</v>
      </c>
      <c r="N286">
        <v>69</v>
      </c>
      <c r="O286" t="s">
        <v>61</v>
      </c>
      <c r="Q286" t="s">
        <v>234</v>
      </c>
      <c r="R286" t="s">
        <v>85</v>
      </c>
      <c r="S286" t="s">
        <v>86</v>
      </c>
    </row>
    <row r="287" spans="1:19" x14ac:dyDescent="0.25">
      <c r="A287" t="s">
        <v>44</v>
      </c>
      <c r="B287" t="s">
        <v>3</v>
      </c>
      <c r="C287" t="s">
        <v>32</v>
      </c>
      <c r="D287" t="s">
        <v>33</v>
      </c>
      <c r="E287" t="s">
        <v>204</v>
      </c>
      <c r="F287" t="s">
        <v>35</v>
      </c>
      <c r="G287" t="s">
        <v>35</v>
      </c>
      <c r="H287" t="s">
        <v>35</v>
      </c>
      <c r="J287" t="s">
        <v>2126</v>
      </c>
      <c r="K287" t="s">
        <v>1092</v>
      </c>
      <c r="M287">
        <v>4.8</v>
      </c>
      <c r="N287">
        <v>55</v>
      </c>
      <c r="O287" t="s">
        <v>52</v>
      </c>
      <c r="Q287" t="s">
        <v>90</v>
      </c>
      <c r="R287" t="s">
        <v>85</v>
      </c>
      <c r="S287" t="s">
        <v>86</v>
      </c>
    </row>
    <row r="288" spans="1:19" x14ac:dyDescent="0.25">
      <c r="A288" t="s">
        <v>44</v>
      </c>
      <c r="B288" t="s">
        <v>51</v>
      </c>
      <c r="C288" t="s">
        <v>32</v>
      </c>
      <c r="D288" t="s">
        <v>33</v>
      </c>
      <c r="E288" t="s">
        <v>204</v>
      </c>
      <c r="F288" t="s">
        <v>35</v>
      </c>
      <c r="G288" t="s">
        <v>35</v>
      </c>
      <c r="H288" t="s">
        <v>35</v>
      </c>
      <c r="J288" t="s">
        <v>2126</v>
      </c>
      <c r="K288" t="s">
        <v>1092</v>
      </c>
      <c r="M288">
        <v>5.5</v>
      </c>
      <c r="N288">
        <v>21</v>
      </c>
      <c r="O288" t="s">
        <v>46</v>
      </c>
      <c r="Q288" t="s">
        <v>176</v>
      </c>
      <c r="R288" t="s">
        <v>85</v>
      </c>
      <c r="S288" t="s">
        <v>86</v>
      </c>
    </row>
    <row r="289" spans="1:19" x14ac:dyDescent="0.25">
      <c r="A289" t="s">
        <v>44</v>
      </c>
      <c r="B289" t="s">
        <v>3</v>
      </c>
      <c r="C289" t="s">
        <v>32</v>
      </c>
      <c r="D289" t="s">
        <v>33</v>
      </c>
      <c r="E289" t="s">
        <v>204</v>
      </c>
      <c r="F289" t="s">
        <v>35</v>
      </c>
      <c r="G289" t="s">
        <v>35</v>
      </c>
      <c r="H289" t="s">
        <v>35</v>
      </c>
      <c r="J289" t="s">
        <v>213</v>
      </c>
      <c r="K289" t="s">
        <v>37</v>
      </c>
      <c r="M289">
        <v>11</v>
      </c>
      <c r="N289">
        <v>52</v>
      </c>
      <c r="O289" t="s">
        <v>52</v>
      </c>
      <c r="P289" t="s">
        <v>214</v>
      </c>
      <c r="Q289" t="s">
        <v>84</v>
      </c>
      <c r="R289" t="s">
        <v>85</v>
      </c>
      <c r="S289" t="s">
        <v>86</v>
      </c>
    </row>
    <row r="290" spans="1:19" x14ac:dyDescent="0.25">
      <c r="A290" t="s">
        <v>30</v>
      </c>
      <c r="B290" t="s">
        <v>31</v>
      </c>
      <c r="C290" t="s">
        <v>32</v>
      </c>
      <c r="D290" t="s">
        <v>33</v>
      </c>
      <c r="E290" t="s">
        <v>122</v>
      </c>
      <c r="F290" t="s">
        <v>35</v>
      </c>
      <c r="G290" t="s">
        <v>35</v>
      </c>
      <c r="H290" t="s">
        <v>35</v>
      </c>
      <c r="J290" t="s">
        <v>1678</v>
      </c>
      <c r="K290" t="s">
        <v>1092</v>
      </c>
      <c r="M290">
        <v>4.7699999999999996</v>
      </c>
      <c r="N290">
        <v>39</v>
      </c>
      <c r="O290" t="s">
        <v>52</v>
      </c>
      <c r="Q290" t="s">
        <v>493</v>
      </c>
      <c r="R290" t="s">
        <v>85</v>
      </c>
      <c r="S290" t="s">
        <v>86</v>
      </c>
    </row>
    <row r="291" spans="1:19" x14ac:dyDescent="0.25">
      <c r="A291" t="s">
        <v>59</v>
      </c>
      <c r="B291" t="s">
        <v>31</v>
      </c>
      <c r="C291" t="s">
        <v>32</v>
      </c>
      <c r="D291" t="s">
        <v>33</v>
      </c>
      <c r="E291" t="s">
        <v>1520</v>
      </c>
      <c r="F291" t="s">
        <v>35</v>
      </c>
      <c r="G291" t="s">
        <v>35</v>
      </c>
      <c r="H291" t="s">
        <v>35</v>
      </c>
      <c r="J291" t="s">
        <v>1524</v>
      </c>
      <c r="K291" t="s">
        <v>1092</v>
      </c>
      <c r="M291">
        <v>4.8150000000000004</v>
      </c>
      <c r="N291">
        <v>934</v>
      </c>
      <c r="O291" t="s">
        <v>575</v>
      </c>
      <c r="Q291" t="s">
        <v>1526</v>
      </c>
      <c r="R291" t="s">
        <v>85</v>
      </c>
      <c r="S291" t="s">
        <v>86</v>
      </c>
    </row>
    <row r="292" spans="1:19" x14ac:dyDescent="0.25">
      <c r="A292" t="s">
        <v>59</v>
      </c>
      <c r="B292" t="s">
        <v>31</v>
      </c>
      <c r="C292" t="s">
        <v>32</v>
      </c>
      <c r="D292" t="s">
        <v>33</v>
      </c>
      <c r="E292" t="s">
        <v>34</v>
      </c>
      <c r="F292" t="s">
        <v>35</v>
      </c>
      <c r="G292" t="s">
        <v>35</v>
      </c>
      <c r="H292" t="s">
        <v>35</v>
      </c>
      <c r="J292" t="s">
        <v>1152</v>
      </c>
      <c r="K292" t="s">
        <v>1092</v>
      </c>
      <c r="M292">
        <v>0.27</v>
      </c>
      <c r="N292">
        <v>93</v>
      </c>
      <c r="O292" t="s">
        <v>106</v>
      </c>
      <c r="Q292" t="s">
        <v>1112</v>
      </c>
      <c r="R292" t="s">
        <v>85</v>
      </c>
      <c r="S292" t="s">
        <v>86</v>
      </c>
    </row>
    <row r="293" spans="1:19" x14ac:dyDescent="0.25">
      <c r="A293" t="s">
        <v>59</v>
      </c>
      <c r="B293" t="s">
        <v>60</v>
      </c>
      <c r="C293" t="s">
        <v>32</v>
      </c>
      <c r="D293" t="s">
        <v>33</v>
      </c>
      <c r="E293" t="s">
        <v>34</v>
      </c>
      <c r="F293" t="s">
        <v>35</v>
      </c>
      <c r="G293" t="s">
        <v>35</v>
      </c>
      <c r="H293" t="s">
        <v>35</v>
      </c>
      <c r="J293" t="s">
        <v>1152</v>
      </c>
      <c r="K293" t="s">
        <v>1092</v>
      </c>
      <c r="M293">
        <v>7.2</v>
      </c>
      <c r="N293">
        <v>93</v>
      </c>
      <c r="O293" t="s">
        <v>106</v>
      </c>
      <c r="Q293" t="s">
        <v>1112</v>
      </c>
      <c r="R293" t="s">
        <v>85</v>
      </c>
      <c r="S293" t="s">
        <v>86</v>
      </c>
    </row>
    <row r="294" spans="1:19" x14ac:dyDescent="0.25">
      <c r="A294" t="s">
        <v>30</v>
      </c>
      <c r="B294" t="s">
        <v>31</v>
      </c>
      <c r="C294" t="s">
        <v>32</v>
      </c>
      <c r="D294" t="s">
        <v>33</v>
      </c>
      <c r="E294" t="s">
        <v>34</v>
      </c>
      <c r="F294" t="s">
        <v>35</v>
      </c>
      <c r="G294" t="s">
        <v>35</v>
      </c>
      <c r="H294" t="s">
        <v>35</v>
      </c>
      <c r="J294" t="s">
        <v>1152</v>
      </c>
      <c r="K294" t="s">
        <v>1092</v>
      </c>
      <c r="M294">
        <v>10.98</v>
      </c>
      <c r="N294">
        <v>39</v>
      </c>
      <c r="O294" t="s">
        <v>52</v>
      </c>
      <c r="Q294" t="s">
        <v>493</v>
      </c>
      <c r="R294" t="s">
        <v>85</v>
      </c>
      <c r="S294" t="s">
        <v>86</v>
      </c>
    </row>
    <row r="295" spans="1:19" x14ac:dyDescent="0.25">
      <c r="A295" t="s">
        <v>30</v>
      </c>
      <c r="B295" t="s">
        <v>31</v>
      </c>
      <c r="C295" t="s">
        <v>32</v>
      </c>
      <c r="D295" t="s">
        <v>33</v>
      </c>
      <c r="E295" t="s">
        <v>34</v>
      </c>
      <c r="F295" t="s">
        <v>35</v>
      </c>
      <c r="G295" t="s">
        <v>35</v>
      </c>
      <c r="H295" t="s">
        <v>35</v>
      </c>
      <c r="J295" t="s">
        <v>1165</v>
      </c>
      <c r="K295" t="s">
        <v>1092</v>
      </c>
      <c r="M295">
        <v>9.27</v>
      </c>
      <c r="N295">
        <v>39</v>
      </c>
      <c r="O295" t="s">
        <v>52</v>
      </c>
      <c r="Q295" t="s">
        <v>493</v>
      </c>
      <c r="R295" t="s">
        <v>85</v>
      </c>
      <c r="S295" t="s">
        <v>86</v>
      </c>
    </row>
    <row r="296" spans="1:19" x14ac:dyDescent="0.25">
      <c r="A296" t="s">
        <v>44</v>
      </c>
      <c r="B296" t="s">
        <v>3</v>
      </c>
      <c r="C296" t="s">
        <v>32</v>
      </c>
      <c r="D296" t="s">
        <v>33</v>
      </c>
      <c r="E296" t="s">
        <v>34</v>
      </c>
      <c r="F296" t="s">
        <v>35</v>
      </c>
      <c r="G296" t="s">
        <v>35</v>
      </c>
      <c r="H296" t="s">
        <v>35</v>
      </c>
      <c r="J296" t="s">
        <v>1165</v>
      </c>
      <c r="K296" t="s">
        <v>1092</v>
      </c>
      <c r="M296">
        <v>4.5</v>
      </c>
      <c r="N296">
        <v>52</v>
      </c>
      <c r="O296" t="s">
        <v>52</v>
      </c>
      <c r="Q296" t="s">
        <v>84</v>
      </c>
      <c r="R296" t="s">
        <v>85</v>
      </c>
      <c r="S296" t="s">
        <v>86</v>
      </c>
    </row>
    <row r="297" spans="1:19" x14ac:dyDescent="0.25">
      <c r="A297" t="s">
        <v>44</v>
      </c>
      <c r="B297" t="s">
        <v>51</v>
      </c>
      <c r="C297" t="s">
        <v>32</v>
      </c>
      <c r="D297" t="s">
        <v>33</v>
      </c>
      <c r="E297" t="s">
        <v>34</v>
      </c>
      <c r="F297" t="s">
        <v>35</v>
      </c>
      <c r="G297" t="s">
        <v>35</v>
      </c>
      <c r="H297" t="s">
        <v>35</v>
      </c>
      <c r="J297" t="s">
        <v>1165</v>
      </c>
      <c r="K297" t="s">
        <v>1092</v>
      </c>
      <c r="M297">
        <v>5.25</v>
      </c>
      <c r="N297">
        <v>21</v>
      </c>
      <c r="O297" t="s">
        <v>46</v>
      </c>
      <c r="Q297" t="s">
        <v>176</v>
      </c>
      <c r="R297" t="s">
        <v>85</v>
      </c>
      <c r="S297" t="s">
        <v>86</v>
      </c>
    </row>
    <row r="298" spans="1:19" x14ac:dyDescent="0.25">
      <c r="A298" t="s">
        <v>59</v>
      </c>
      <c r="B298" t="s">
        <v>60</v>
      </c>
      <c r="C298" t="s">
        <v>32</v>
      </c>
      <c r="D298" t="s">
        <v>33</v>
      </c>
      <c r="E298" t="s">
        <v>34</v>
      </c>
      <c r="F298" t="s">
        <v>35</v>
      </c>
      <c r="G298" t="s">
        <v>35</v>
      </c>
      <c r="H298" t="s">
        <v>35</v>
      </c>
      <c r="J298" t="s">
        <v>1165</v>
      </c>
      <c r="K298" t="s">
        <v>1092</v>
      </c>
      <c r="M298">
        <v>5.5</v>
      </c>
      <c r="N298">
        <v>65</v>
      </c>
      <c r="O298" t="s">
        <v>61</v>
      </c>
      <c r="Q298" t="s">
        <v>63</v>
      </c>
      <c r="R298" t="s">
        <v>85</v>
      </c>
      <c r="S298" t="s">
        <v>86</v>
      </c>
    </row>
    <row r="299" spans="1:19" x14ac:dyDescent="0.25">
      <c r="A299" t="s">
        <v>59</v>
      </c>
      <c r="B299" t="s">
        <v>60</v>
      </c>
      <c r="C299" t="s">
        <v>32</v>
      </c>
      <c r="D299" t="s">
        <v>33</v>
      </c>
      <c r="E299" t="s">
        <v>122</v>
      </c>
      <c r="F299" t="s">
        <v>35</v>
      </c>
      <c r="G299" t="s">
        <v>35</v>
      </c>
      <c r="H299" t="s">
        <v>35</v>
      </c>
      <c r="J299" t="s">
        <v>1693</v>
      </c>
      <c r="K299" t="s">
        <v>404</v>
      </c>
      <c r="M299">
        <v>5.5</v>
      </c>
      <c r="N299">
        <v>66</v>
      </c>
      <c r="O299" t="s">
        <v>61</v>
      </c>
      <c r="Q299" t="s">
        <v>552</v>
      </c>
      <c r="R299" t="s">
        <v>85</v>
      </c>
      <c r="S299" t="s">
        <v>86</v>
      </c>
    </row>
    <row r="300" spans="1:19" x14ac:dyDescent="0.25">
      <c r="A300" t="s">
        <v>44</v>
      </c>
      <c r="B300" t="s">
        <v>3</v>
      </c>
      <c r="C300" t="s">
        <v>32</v>
      </c>
      <c r="D300" t="s">
        <v>33</v>
      </c>
      <c r="E300" t="s">
        <v>204</v>
      </c>
      <c r="F300" t="s">
        <v>35</v>
      </c>
      <c r="G300" t="s">
        <v>35</v>
      </c>
      <c r="H300" t="s">
        <v>35</v>
      </c>
      <c r="J300" t="s">
        <v>207</v>
      </c>
      <c r="K300" t="s">
        <v>37</v>
      </c>
      <c r="M300">
        <v>11</v>
      </c>
      <c r="N300">
        <v>52</v>
      </c>
      <c r="O300" t="s">
        <v>52</v>
      </c>
      <c r="P300" t="s">
        <v>208</v>
      </c>
      <c r="Q300" t="s">
        <v>84</v>
      </c>
      <c r="R300" t="s">
        <v>85</v>
      </c>
      <c r="S300" t="s">
        <v>86</v>
      </c>
    </row>
    <row r="301" spans="1:19" x14ac:dyDescent="0.25">
      <c r="A301" t="s">
        <v>44</v>
      </c>
      <c r="B301" t="s">
        <v>3</v>
      </c>
      <c r="C301" t="s">
        <v>32</v>
      </c>
      <c r="D301" t="s">
        <v>33</v>
      </c>
      <c r="E301" t="s">
        <v>196</v>
      </c>
      <c r="F301" t="s">
        <v>35</v>
      </c>
      <c r="G301" t="s">
        <v>35</v>
      </c>
      <c r="H301" t="s">
        <v>35</v>
      </c>
      <c r="J301" t="s">
        <v>2027</v>
      </c>
      <c r="K301" t="s">
        <v>1144</v>
      </c>
      <c r="M301">
        <v>3.95</v>
      </c>
      <c r="N301">
        <v>46</v>
      </c>
      <c r="O301" t="s">
        <v>52</v>
      </c>
      <c r="Q301" t="s">
        <v>332</v>
      </c>
      <c r="R301" t="s">
        <v>85</v>
      </c>
      <c r="S301" t="s">
        <v>86</v>
      </c>
    </row>
    <row r="302" spans="1:19" x14ac:dyDescent="0.25">
      <c r="A302" t="s">
        <v>30</v>
      </c>
      <c r="B302" t="s">
        <v>31</v>
      </c>
      <c r="C302" t="s">
        <v>32</v>
      </c>
      <c r="D302" t="s">
        <v>33</v>
      </c>
      <c r="E302" t="s">
        <v>204</v>
      </c>
      <c r="F302" t="s">
        <v>35</v>
      </c>
      <c r="G302" t="s">
        <v>35</v>
      </c>
      <c r="H302" t="s">
        <v>35</v>
      </c>
      <c r="J302" t="s">
        <v>2154</v>
      </c>
      <c r="K302" t="s">
        <v>1092</v>
      </c>
      <c r="M302">
        <v>5.49</v>
      </c>
      <c r="N302">
        <v>31</v>
      </c>
      <c r="O302" t="s">
        <v>52</v>
      </c>
      <c r="Q302" t="s">
        <v>748</v>
      </c>
      <c r="R302" t="s">
        <v>85</v>
      </c>
      <c r="S302" t="s">
        <v>86</v>
      </c>
    </row>
    <row r="303" spans="1:19" x14ac:dyDescent="0.25">
      <c r="A303" t="s">
        <v>59</v>
      </c>
      <c r="B303" t="s">
        <v>60</v>
      </c>
      <c r="C303" t="s">
        <v>32</v>
      </c>
      <c r="D303" t="s">
        <v>33</v>
      </c>
      <c r="E303" t="s">
        <v>177</v>
      </c>
      <c r="F303" t="s">
        <v>35</v>
      </c>
      <c r="G303" t="s">
        <v>35</v>
      </c>
      <c r="H303" t="s">
        <v>35</v>
      </c>
      <c r="J303" t="s">
        <v>1994</v>
      </c>
      <c r="K303" t="s">
        <v>1092</v>
      </c>
      <c r="M303">
        <v>0.25</v>
      </c>
      <c r="N303">
        <v>93</v>
      </c>
      <c r="O303" t="s">
        <v>106</v>
      </c>
      <c r="Q303" t="s">
        <v>1112</v>
      </c>
      <c r="R303" t="s">
        <v>85</v>
      </c>
      <c r="S303" t="s">
        <v>86</v>
      </c>
    </row>
    <row r="304" spans="1:19" x14ac:dyDescent="0.25">
      <c r="A304" t="s">
        <v>44</v>
      </c>
      <c r="B304" t="s">
        <v>3</v>
      </c>
      <c r="C304" t="s">
        <v>32</v>
      </c>
      <c r="D304" t="s">
        <v>33</v>
      </c>
      <c r="E304" t="s">
        <v>162</v>
      </c>
      <c r="F304" t="s">
        <v>35</v>
      </c>
      <c r="G304" t="s">
        <v>35</v>
      </c>
      <c r="H304" t="s">
        <v>35</v>
      </c>
      <c r="J304" t="s">
        <v>1878</v>
      </c>
      <c r="K304" t="s">
        <v>1092</v>
      </c>
      <c r="M304">
        <v>2.6</v>
      </c>
      <c r="N304">
        <v>55</v>
      </c>
      <c r="O304" t="s">
        <v>52</v>
      </c>
      <c r="Q304" t="s">
        <v>90</v>
      </c>
      <c r="R304" t="s">
        <v>85</v>
      </c>
      <c r="S304" t="s">
        <v>86</v>
      </c>
    </row>
    <row r="305" spans="1:19" x14ac:dyDescent="0.25">
      <c r="A305" t="s">
        <v>59</v>
      </c>
      <c r="B305" t="s">
        <v>60</v>
      </c>
      <c r="C305" t="s">
        <v>32</v>
      </c>
      <c r="D305" t="s">
        <v>33</v>
      </c>
      <c r="E305" t="s">
        <v>162</v>
      </c>
      <c r="F305" t="s">
        <v>35</v>
      </c>
      <c r="G305" t="s">
        <v>35</v>
      </c>
      <c r="H305" t="s">
        <v>35</v>
      </c>
      <c r="J305" t="s">
        <v>1878</v>
      </c>
      <c r="K305" t="s">
        <v>1092</v>
      </c>
      <c r="M305">
        <v>1</v>
      </c>
      <c r="N305">
        <v>65</v>
      </c>
      <c r="O305" t="s">
        <v>61</v>
      </c>
      <c r="Q305" t="s">
        <v>63</v>
      </c>
      <c r="R305" t="s">
        <v>85</v>
      </c>
      <c r="S305" t="s">
        <v>86</v>
      </c>
    </row>
    <row r="306" spans="1:19" x14ac:dyDescent="0.25">
      <c r="A306" t="s">
        <v>30</v>
      </c>
      <c r="B306" t="s">
        <v>31</v>
      </c>
      <c r="C306" t="s">
        <v>32</v>
      </c>
      <c r="D306" t="s">
        <v>33</v>
      </c>
      <c r="E306" t="s">
        <v>196</v>
      </c>
      <c r="F306" t="s">
        <v>35</v>
      </c>
      <c r="G306" t="s">
        <v>35</v>
      </c>
      <c r="H306" t="s">
        <v>35</v>
      </c>
      <c r="J306" t="s">
        <v>2036</v>
      </c>
      <c r="K306" t="s">
        <v>1092</v>
      </c>
      <c r="M306">
        <v>5.94</v>
      </c>
      <c r="N306">
        <v>13</v>
      </c>
      <c r="O306" t="s">
        <v>46</v>
      </c>
      <c r="Q306" t="s">
        <v>1004</v>
      </c>
      <c r="R306" t="s">
        <v>85</v>
      </c>
      <c r="S306" t="s">
        <v>86</v>
      </c>
    </row>
    <row r="307" spans="1:19" x14ac:dyDescent="0.25">
      <c r="A307" t="s">
        <v>59</v>
      </c>
      <c r="B307" t="s">
        <v>60</v>
      </c>
      <c r="C307" t="s">
        <v>32</v>
      </c>
      <c r="D307" t="s">
        <v>33</v>
      </c>
      <c r="E307" t="s">
        <v>122</v>
      </c>
      <c r="F307" t="s">
        <v>35</v>
      </c>
      <c r="G307" t="s">
        <v>35</v>
      </c>
      <c r="H307" t="s">
        <v>35</v>
      </c>
      <c r="J307" t="s">
        <v>1753</v>
      </c>
      <c r="K307" t="s">
        <v>1092</v>
      </c>
      <c r="M307">
        <v>0.1</v>
      </c>
      <c r="N307">
        <v>92</v>
      </c>
      <c r="O307" t="s">
        <v>106</v>
      </c>
      <c r="Q307" t="s">
        <v>1216</v>
      </c>
      <c r="R307" t="s">
        <v>85</v>
      </c>
      <c r="S307" t="s">
        <v>86</v>
      </c>
    </row>
    <row r="308" spans="1:19" x14ac:dyDescent="0.25">
      <c r="A308" t="s">
        <v>44</v>
      </c>
      <c r="B308" t="s">
        <v>51</v>
      </c>
      <c r="C308" t="s">
        <v>32</v>
      </c>
      <c r="D308" t="s">
        <v>33</v>
      </c>
      <c r="E308" t="s">
        <v>177</v>
      </c>
      <c r="F308" t="s">
        <v>35</v>
      </c>
      <c r="G308" t="s">
        <v>35</v>
      </c>
      <c r="H308" t="s">
        <v>35</v>
      </c>
      <c r="J308" t="s">
        <v>1995</v>
      </c>
      <c r="K308" t="s">
        <v>1092</v>
      </c>
      <c r="M308">
        <v>4</v>
      </c>
      <c r="N308">
        <v>21</v>
      </c>
      <c r="O308" t="s">
        <v>46</v>
      </c>
      <c r="Q308" t="s">
        <v>176</v>
      </c>
      <c r="R308" t="s">
        <v>85</v>
      </c>
      <c r="S308" t="s">
        <v>86</v>
      </c>
    </row>
    <row r="309" spans="1:19" x14ac:dyDescent="0.25">
      <c r="A309" t="s">
        <v>44</v>
      </c>
      <c r="B309" t="s">
        <v>3</v>
      </c>
      <c r="C309" t="s">
        <v>32</v>
      </c>
      <c r="D309" t="s">
        <v>33</v>
      </c>
      <c r="E309" t="s">
        <v>177</v>
      </c>
      <c r="F309" t="s">
        <v>35</v>
      </c>
      <c r="G309" t="s">
        <v>35</v>
      </c>
      <c r="H309" t="s">
        <v>35</v>
      </c>
      <c r="J309" t="s">
        <v>1995</v>
      </c>
      <c r="K309" t="s">
        <v>1092</v>
      </c>
      <c r="M309">
        <v>1.85</v>
      </c>
      <c r="N309">
        <v>55</v>
      </c>
      <c r="O309" t="s">
        <v>52</v>
      </c>
      <c r="Q309" t="s">
        <v>90</v>
      </c>
      <c r="R309" t="s">
        <v>85</v>
      </c>
      <c r="S309" t="s">
        <v>86</v>
      </c>
    </row>
    <row r="310" spans="1:19" x14ac:dyDescent="0.25">
      <c r="A310" t="s">
        <v>59</v>
      </c>
      <c r="B310" t="s">
        <v>60</v>
      </c>
      <c r="C310" t="s">
        <v>32</v>
      </c>
      <c r="D310" t="s">
        <v>33</v>
      </c>
      <c r="E310" t="s">
        <v>177</v>
      </c>
      <c r="F310" t="s">
        <v>35</v>
      </c>
      <c r="G310" t="s">
        <v>35</v>
      </c>
      <c r="H310" t="s">
        <v>35</v>
      </c>
      <c r="J310" t="s">
        <v>1995</v>
      </c>
      <c r="K310" t="s">
        <v>1092</v>
      </c>
      <c r="M310">
        <v>1.9</v>
      </c>
      <c r="N310">
        <v>65</v>
      </c>
      <c r="O310" t="s">
        <v>61</v>
      </c>
      <c r="Q310" t="s">
        <v>63</v>
      </c>
      <c r="R310" t="s">
        <v>85</v>
      </c>
      <c r="S310" t="s">
        <v>86</v>
      </c>
    </row>
    <row r="311" spans="1:19" x14ac:dyDescent="0.25">
      <c r="A311" t="s">
        <v>59</v>
      </c>
      <c r="B311" t="s">
        <v>60</v>
      </c>
      <c r="C311" t="s">
        <v>32</v>
      </c>
      <c r="D311" t="s">
        <v>33</v>
      </c>
      <c r="E311" t="s">
        <v>162</v>
      </c>
      <c r="F311" t="s">
        <v>35</v>
      </c>
      <c r="G311" t="s">
        <v>35</v>
      </c>
      <c r="H311" t="s">
        <v>35</v>
      </c>
      <c r="J311" t="s">
        <v>1830</v>
      </c>
      <c r="K311" t="s">
        <v>1092</v>
      </c>
      <c r="M311">
        <v>1.1499999999999999</v>
      </c>
      <c r="N311">
        <v>65</v>
      </c>
      <c r="O311" t="s">
        <v>61</v>
      </c>
      <c r="Q311" t="s">
        <v>63</v>
      </c>
      <c r="R311" t="s">
        <v>85</v>
      </c>
      <c r="S311" t="s">
        <v>86</v>
      </c>
    </row>
    <row r="312" spans="1:19" x14ac:dyDescent="0.25">
      <c r="A312" t="s">
        <v>30</v>
      </c>
      <c r="B312" t="s">
        <v>31</v>
      </c>
      <c r="C312" t="s">
        <v>32</v>
      </c>
      <c r="D312" t="s">
        <v>33</v>
      </c>
      <c r="E312" t="s">
        <v>162</v>
      </c>
      <c r="F312" t="s">
        <v>35</v>
      </c>
      <c r="G312" t="s">
        <v>35</v>
      </c>
      <c r="H312" t="s">
        <v>35</v>
      </c>
      <c r="J312" t="s">
        <v>1830</v>
      </c>
      <c r="K312" t="s">
        <v>1092</v>
      </c>
      <c r="M312">
        <v>5.8049999999999997</v>
      </c>
      <c r="N312">
        <v>39</v>
      </c>
      <c r="O312" t="s">
        <v>52</v>
      </c>
      <c r="Q312" t="s">
        <v>493</v>
      </c>
      <c r="R312" t="s">
        <v>85</v>
      </c>
      <c r="S312" t="s">
        <v>86</v>
      </c>
    </row>
    <row r="313" spans="1:19" x14ac:dyDescent="0.25">
      <c r="A313" t="s">
        <v>44</v>
      </c>
      <c r="B313" t="s">
        <v>3</v>
      </c>
      <c r="C313" t="s">
        <v>32</v>
      </c>
      <c r="D313" t="s">
        <v>33</v>
      </c>
      <c r="E313" t="s">
        <v>162</v>
      </c>
      <c r="F313" t="s">
        <v>35</v>
      </c>
      <c r="G313" t="s">
        <v>35</v>
      </c>
      <c r="H313" t="s">
        <v>35</v>
      </c>
      <c r="J313" t="s">
        <v>1830</v>
      </c>
      <c r="K313" t="s">
        <v>1092</v>
      </c>
      <c r="M313">
        <v>2.0499999999999998</v>
      </c>
      <c r="N313">
        <v>55</v>
      </c>
      <c r="O313" t="s">
        <v>52</v>
      </c>
      <c r="Q313" t="s">
        <v>90</v>
      </c>
      <c r="R313" t="s">
        <v>85</v>
      </c>
      <c r="S313" t="s">
        <v>86</v>
      </c>
    </row>
    <row r="314" spans="1:19" x14ac:dyDescent="0.25">
      <c r="A314" t="s">
        <v>44</v>
      </c>
      <c r="B314" t="s">
        <v>3</v>
      </c>
      <c r="C314" t="s">
        <v>32</v>
      </c>
      <c r="D314" t="s">
        <v>33</v>
      </c>
      <c r="E314" t="s">
        <v>122</v>
      </c>
      <c r="F314" t="s">
        <v>35</v>
      </c>
      <c r="G314" t="s">
        <v>35</v>
      </c>
      <c r="H314" t="s">
        <v>35</v>
      </c>
      <c r="J314" t="s">
        <v>152</v>
      </c>
      <c r="K314" t="s">
        <v>37</v>
      </c>
      <c r="M314">
        <v>5</v>
      </c>
      <c r="N314">
        <v>52</v>
      </c>
      <c r="O314" t="s">
        <v>52</v>
      </c>
      <c r="P314" t="s">
        <v>153</v>
      </c>
      <c r="Q314" t="s">
        <v>84</v>
      </c>
      <c r="R314" t="s">
        <v>85</v>
      </c>
      <c r="S314" t="s">
        <v>86</v>
      </c>
    </row>
    <row r="315" spans="1:19" x14ac:dyDescent="0.25">
      <c r="A315" t="s">
        <v>44</v>
      </c>
      <c r="B315" t="s">
        <v>51</v>
      </c>
      <c r="C315" t="s">
        <v>32</v>
      </c>
      <c r="D315" t="s">
        <v>33</v>
      </c>
      <c r="E315" t="s">
        <v>177</v>
      </c>
      <c r="F315" t="s">
        <v>35</v>
      </c>
      <c r="G315" t="s">
        <v>35</v>
      </c>
      <c r="H315" t="s">
        <v>35</v>
      </c>
      <c r="J315" t="s">
        <v>2011</v>
      </c>
      <c r="K315" t="s">
        <v>1092</v>
      </c>
      <c r="M315">
        <v>5.25</v>
      </c>
      <c r="N315">
        <v>21</v>
      </c>
      <c r="O315" t="s">
        <v>46</v>
      </c>
      <c r="Q315" t="s">
        <v>176</v>
      </c>
      <c r="R315" t="s">
        <v>85</v>
      </c>
      <c r="S315" t="s">
        <v>86</v>
      </c>
    </row>
    <row r="316" spans="1:19" x14ac:dyDescent="0.25">
      <c r="A316" t="s">
        <v>44</v>
      </c>
      <c r="B316" t="s">
        <v>3</v>
      </c>
      <c r="C316" t="s">
        <v>32</v>
      </c>
      <c r="D316" t="s">
        <v>33</v>
      </c>
      <c r="E316" t="s">
        <v>177</v>
      </c>
      <c r="F316" t="s">
        <v>35</v>
      </c>
      <c r="G316" t="s">
        <v>35</v>
      </c>
      <c r="H316" t="s">
        <v>35</v>
      </c>
      <c r="J316" t="s">
        <v>2011</v>
      </c>
      <c r="K316" t="s">
        <v>1092</v>
      </c>
      <c r="M316">
        <v>4.4000000000000004</v>
      </c>
      <c r="N316">
        <v>55</v>
      </c>
      <c r="O316" t="s">
        <v>52</v>
      </c>
      <c r="Q316" t="s">
        <v>90</v>
      </c>
      <c r="R316" t="s">
        <v>85</v>
      </c>
      <c r="S316" t="s">
        <v>86</v>
      </c>
    </row>
    <row r="317" spans="1:19" x14ac:dyDescent="0.25">
      <c r="A317" t="s">
        <v>59</v>
      </c>
      <c r="B317" t="s">
        <v>60</v>
      </c>
      <c r="C317" t="s">
        <v>32</v>
      </c>
      <c r="D317" t="s">
        <v>33</v>
      </c>
      <c r="E317" t="s">
        <v>177</v>
      </c>
      <c r="F317" t="s">
        <v>35</v>
      </c>
      <c r="G317" t="s">
        <v>35</v>
      </c>
      <c r="H317" t="s">
        <v>35</v>
      </c>
      <c r="J317" t="s">
        <v>2011</v>
      </c>
      <c r="K317" t="s">
        <v>1092</v>
      </c>
      <c r="M317">
        <v>0.75</v>
      </c>
      <c r="N317">
        <v>65</v>
      </c>
      <c r="O317" t="s">
        <v>61</v>
      </c>
      <c r="Q317" t="s">
        <v>63</v>
      </c>
      <c r="R317" t="s">
        <v>85</v>
      </c>
      <c r="S317" t="s">
        <v>86</v>
      </c>
    </row>
    <row r="318" spans="1:19" x14ac:dyDescent="0.25">
      <c r="A318" t="s">
        <v>30</v>
      </c>
      <c r="B318" t="s">
        <v>31</v>
      </c>
      <c r="C318" t="s">
        <v>32</v>
      </c>
      <c r="D318" t="s">
        <v>33</v>
      </c>
      <c r="E318" t="s">
        <v>177</v>
      </c>
      <c r="F318" t="s">
        <v>35</v>
      </c>
      <c r="G318" t="s">
        <v>35</v>
      </c>
      <c r="H318" t="s">
        <v>35</v>
      </c>
      <c r="J318" t="s">
        <v>2011</v>
      </c>
      <c r="K318" t="s">
        <v>1092</v>
      </c>
      <c r="M318">
        <v>4.95</v>
      </c>
      <c r="N318">
        <v>39</v>
      </c>
      <c r="O318" t="s">
        <v>52</v>
      </c>
      <c r="Q318" t="s">
        <v>493</v>
      </c>
      <c r="R318" t="s">
        <v>85</v>
      </c>
      <c r="S318" t="s">
        <v>86</v>
      </c>
    </row>
    <row r="319" spans="1:19" x14ac:dyDescent="0.25">
      <c r="A319" t="s">
        <v>59</v>
      </c>
      <c r="B319" t="s">
        <v>60</v>
      </c>
      <c r="C319" t="s">
        <v>32</v>
      </c>
      <c r="D319" t="s">
        <v>33</v>
      </c>
      <c r="E319" t="s">
        <v>177</v>
      </c>
      <c r="F319" t="s">
        <v>35</v>
      </c>
      <c r="G319" t="s">
        <v>35</v>
      </c>
      <c r="H319" t="s">
        <v>35</v>
      </c>
      <c r="J319" t="s">
        <v>1999</v>
      </c>
      <c r="K319" t="s">
        <v>1092</v>
      </c>
      <c r="M319">
        <v>0.5</v>
      </c>
      <c r="N319">
        <v>93</v>
      </c>
      <c r="O319" t="s">
        <v>106</v>
      </c>
      <c r="Q319" t="s">
        <v>1112</v>
      </c>
      <c r="R319" t="s">
        <v>85</v>
      </c>
      <c r="S319" t="s">
        <v>86</v>
      </c>
    </row>
    <row r="320" spans="1:19" x14ac:dyDescent="0.25">
      <c r="A320" t="s">
        <v>44</v>
      </c>
      <c r="B320" t="s">
        <v>3</v>
      </c>
      <c r="C320" t="s">
        <v>32</v>
      </c>
      <c r="D320" t="s">
        <v>33</v>
      </c>
      <c r="E320" t="s">
        <v>177</v>
      </c>
      <c r="F320" t="s">
        <v>35</v>
      </c>
      <c r="G320" t="s">
        <v>35</v>
      </c>
      <c r="H320" t="s">
        <v>35</v>
      </c>
      <c r="J320" t="s">
        <v>1999</v>
      </c>
      <c r="K320" t="s">
        <v>1092</v>
      </c>
      <c r="M320">
        <v>5.5</v>
      </c>
      <c r="N320">
        <v>55</v>
      </c>
      <c r="O320" t="s">
        <v>52</v>
      </c>
      <c r="Q320" t="s">
        <v>90</v>
      </c>
      <c r="R320" t="s">
        <v>85</v>
      </c>
      <c r="S320" t="s">
        <v>86</v>
      </c>
    </row>
    <row r="321" spans="1:19" x14ac:dyDescent="0.25">
      <c r="A321" t="s">
        <v>44</v>
      </c>
      <c r="B321" t="s">
        <v>3</v>
      </c>
      <c r="C321" t="s">
        <v>32</v>
      </c>
      <c r="D321" t="s">
        <v>33</v>
      </c>
      <c r="E321" t="s">
        <v>177</v>
      </c>
      <c r="F321" t="s">
        <v>35</v>
      </c>
      <c r="G321" t="s">
        <v>35</v>
      </c>
      <c r="H321" t="s">
        <v>35</v>
      </c>
      <c r="J321" t="s">
        <v>2000</v>
      </c>
      <c r="K321" t="s">
        <v>1092</v>
      </c>
      <c r="M321">
        <v>1.9</v>
      </c>
      <c r="N321">
        <v>55</v>
      </c>
      <c r="O321" t="s">
        <v>52</v>
      </c>
      <c r="Q321" t="s">
        <v>90</v>
      </c>
      <c r="R321" t="s">
        <v>85</v>
      </c>
      <c r="S321" t="s">
        <v>86</v>
      </c>
    </row>
    <row r="322" spans="1:19" x14ac:dyDescent="0.25">
      <c r="A322" t="s">
        <v>59</v>
      </c>
      <c r="B322" t="s">
        <v>60</v>
      </c>
      <c r="C322" t="s">
        <v>32</v>
      </c>
      <c r="D322" t="s">
        <v>33</v>
      </c>
      <c r="E322" t="s">
        <v>177</v>
      </c>
      <c r="F322" t="s">
        <v>35</v>
      </c>
      <c r="G322" t="s">
        <v>35</v>
      </c>
      <c r="H322" t="s">
        <v>35</v>
      </c>
      <c r="J322" t="s">
        <v>2000</v>
      </c>
      <c r="K322" t="s">
        <v>1092</v>
      </c>
      <c r="M322">
        <v>1.85</v>
      </c>
      <c r="N322">
        <v>66</v>
      </c>
      <c r="O322" t="s">
        <v>61</v>
      </c>
      <c r="Q322" t="s">
        <v>552</v>
      </c>
      <c r="R322" t="s">
        <v>85</v>
      </c>
      <c r="S322" t="s">
        <v>86</v>
      </c>
    </row>
    <row r="323" spans="1:19" x14ac:dyDescent="0.25">
      <c r="A323" t="s">
        <v>44</v>
      </c>
      <c r="B323" t="s">
        <v>51</v>
      </c>
      <c r="C323" t="s">
        <v>32</v>
      </c>
      <c r="D323" t="s">
        <v>33</v>
      </c>
      <c r="E323" t="s">
        <v>177</v>
      </c>
      <c r="F323" t="s">
        <v>35</v>
      </c>
      <c r="G323" t="s">
        <v>35</v>
      </c>
      <c r="H323" t="s">
        <v>35</v>
      </c>
      <c r="J323" t="s">
        <v>2000</v>
      </c>
      <c r="K323" t="s">
        <v>1092</v>
      </c>
      <c r="M323">
        <v>3.55</v>
      </c>
      <c r="N323">
        <v>21</v>
      </c>
      <c r="O323" t="s">
        <v>46</v>
      </c>
      <c r="Q323" t="s">
        <v>176</v>
      </c>
      <c r="R323" t="s">
        <v>85</v>
      </c>
      <c r="S323" t="s">
        <v>86</v>
      </c>
    </row>
    <row r="324" spans="1:19" x14ac:dyDescent="0.25">
      <c r="A324" t="s">
        <v>44</v>
      </c>
      <c r="B324" t="s">
        <v>51</v>
      </c>
      <c r="C324" t="s">
        <v>32</v>
      </c>
      <c r="D324" t="s">
        <v>33</v>
      </c>
      <c r="E324" t="s">
        <v>204</v>
      </c>
      <c r="F324" t="s">
        <v>35</v>
      </c>
      <c r="G324" t="s">
        <v>35</v>
      </c>
      <c r="H324" t="s">
        <v>35</v>
      </c>
      <c r="J324" t="s">
        <v>2174</v>
      </c>
      <c r="K324" t="s">
        <v>1092</v>
      </c>
      <c r="M324">
        <v>5.25</v>
      </c>
      <c r="N324">
        <v>21</v>
      </c>
      <c r="O324" t="s">
        <v>46</v>
      </c>
      <c r="Q324" t="s">
        <v>176</v>
      </c>
      <c r="R324" t="s">
        <v>85</v>
      </c>
      <c r="S324" t="s">
        <v>86</v>
      </c>
    </row>
    <row r="325" spans="1:19" x14ac:dyDescent="0.25">
      <c r="A325" t="s">
        <v>59</v>
      </c>
      <c r="B325" t="s">
        <v>60</v>
      </c>
      <c r="C325" t="s">
        <v>32</v>
      </c>
      <c r="D325" t="s">
        <v>33</v>
      </c>
      <c r="E325" t="s">
        <v>204</v>
      </c>
      <c r="F325" t="s">
        <v>35</v>
      </c>
      <c r="G325" t="s">
        <v>35</v>
      </c>
      <c r="H325" t="s">
        <v>35</v>
      </c>
      <c r="J325" t="s">
        <v>2174</v>
      </c>
      <c r="K325" t="s">
        <v>1092</v>
      </c>
      <c r="M325">
        <v>2.4</v>
      </c>
      <c r="N325">
        <v>65</v>
      </c>
      <c r="O325" t="s">
        <v>61</v>
      </c>
      <c r="Q325" t="s">
        <v>63</v>
      </c>
      <c r="R325" t="s">
        <v>85</v>
      </c>
      <c r="S325" t="s">
        <v>86</v>
      </c>
    </row>
    <row r="326" spans="1:19" x14ac:dyDescent="0.25">
      <c r="A326" t="s">
        <v>44</v>
      </c>
      <c r="B326" t="s">
        <v>3</v>
      </c>
      <c r="C326" t="s">
        <v>32</v>
      </c>
      <c r="D326" t="s">
        <v>33</v>
      </c>
      <c r="E326" t="s">
        <v>122</v>
      </c>
      <c r="F326" t="s">
        <v>35</v>
      </c>
      <c r="G326" t="s">
        <v>35</v>
      </c>
      <c r="H326" t="s">
        <v>35</v>
      </c>
      <c r="J326" t="s">
        <v>154</v>
      </c>
      <c r="K326" t="s">
        <v>37</v>
      </c>
      <c r="M326">
        <v>10</v>
      </c>
      <c r="N326">
        <v>52</v>
      </c>
      <c r="O326" t="s">
        <v>52</v>
      </c>
      <c r="P326" t="s">
        <v>155</v>
      </c>
      <c r="Q326" t="s">
        <v>84</v>
      </c>
      <c r="R326" t="s">
        <v>85</v>
      </c>
      <c r="S326" t="s">
        <v>86</v>
      </c>
    </row>
    <row r="327" spans="1:19" x14ac:dyDescent="0.25">
      <c r="A327" t="s">
        <v>44</v>
      </c>
      <c r="B327" t="s">
        <v>3</v>
      </c>
      <c r="C327" t="s">
        <v>32</v>
      </c>
      <c r="D327" t="s">
        <v>33</v>
      </c>
      <c r="E327" t="s">
        <v>122</v>
      </c>
      <c r="F327" t="s">
        <v>35</v>
      </c>
      <c r="G327" t="s">
        <v>35</v>
      </c>
      <c r="H327" t="s">
        <v>35</v>
      </c>
      <c r="J327" t="s">
        <v>154</v>
      </c>
      <c r="K327" t="s">
        <v>37</v>
      </c>
      <c r="M327">
        <v>10</v>
      </c>
      <c r="N327">
        <v>52</v>
      </c>
      <c r="O327" t="s">
        <v>52</v>
      </c>
      <c r="P327" t="s">
        <v>161</v>
      </c>
      <c r="Q327" t="s">
        <v>84</v>
      </c>
      <c r="R327" t="s">
        <v>85</v>
      </c>
      <c r="S327" t="s">
        <v>86</v>
      </c>
    </row>
    <row r="328" spans="1:19" x14ac:dyDescent="0.25">
      <c r="A328" t="s">
        <v>44</v>
      </c>
      <c r="B328" t="s">
        <v>51</v>
      </c>
      <c r="C328" t="s">
        <v>32</v>
      </c>
      <c r="D328" t="s">
        <v>33</v>
      </c>
      <c r="E328" t="s">
        <v>122</v>
      </c>
      <c r="F328" t="s">
        <v>35</v>
      </c>
      <c r="G328" t="s">
        <v>35</v>
      </c>
      <c r="H328" t="s">
        <v>35</v>
      </c>
      <c r="J328" t="s">
        <v>1803</v>
      </c>
      <c r="K328" t="s">
        <v>1092</v>
      </c>
      <c r="M328">
        <v>9.65</v>
      </c>
      <c r="N328">
        <v>21</v>
      </c>
      <c r="O328" t="s">
        <v>46</v>
      </c>
      <c r="Q328" t="s">
        <v>176</v>
      </c>
      <c r="R328" t="s">
        <v>85</v>
      </c>
      <c r="S328" t="s">
        <v>86</v>
      </c>
    </row>
    <row r="329" spans="1:19" x14ac:dyDescent="0.25">
      <c r="A329" t="s">
        <v>30</v>
      </c>
      <c r="B329" t="s">
        <v>31</v>
      </c>
      <c r="C329" t="s">
        <v>32</v>
      </c>
      <c r="D329" t="s">
        <v>33</v>
      </c>
      <c r="E329" t="s">
        <v>122</v>
      </c>
      <c r="F329" t="s">
        <v>35</v>
      </c>
      <c r="G329" t="s">
        <v>35</v>
      </c>
      <c r="H329" t="s">
        <v>35</v>
      </c>
      <c r="J329" t="s">
        <v>1803</v>
      </c>
      <c r="K329" t="s">
        <v>1092</v>
      </c>
      <c r="M329">
        <v>3.6</v>
      </c>
      <c r="N329">
        <v>144</v>
      </c>
      <c r="O329" t="s">
        <v>38</v>
      </c>
      <c r="Q329" t="s">
        <v>1269</v>
      </c>
      <c r="R329" t="s">
        <v>85</v>
      </c>
      <c r="S329" t="s">
        <v>86</v>
      </c>
    </row>
    <row r="330" spans="1:19" x14ac:dyDescent="0.25">
      <c r="A330" t="s">
        <v>59</v>
      </c>
      <c r="B330" t="s">
        <v>60</v>
      </c>
      <c r="C330" t="s">
        <v>32</v>
      </c>
      <c r="D330" t="s">
        <v>33</v>
      </c>
      <c r="E330" t="s">
        <v>122</v>
      </c>
      <c r="F330" t="s">
        <v>35</v>
      </c>
      <c r="G330" t="s">
        <v>35</v>
      </c>
      <c r="H330" t="s">
        <v>35</v>
      </c>
      <c r="J330" t="s">
        <v>1803</v>
      </c>
      <c r="K330" t="s">
        <v>1092</v>
      </c>
      <c r="M330">
        <v>9.6999999999999993</v>
      </c>
      <c r="N330">
        <v>55</v>
      </c>
      <c r="O330" t="s">
        <v>52</v>
      </c>
      <c r="Q330" t="s">
        <v>90</v>
      </c>
      <c r="R330" t="s">
        <v>85</v>
      </c>
      <c r="S330" t="s">
        <v>86</v>
      </c>
    </row>
    <row r="331" spans="1:19" x14ac:dyDescent="0.25">
      <c r="A331" t="s">
        <v>30</v>
      </c>
      <c r="B331" t="s">
        <v>31</v>
      </c>
      <c r="C331" t="s">
        <v>32</v>
      </c>
      <c r="D331" t="s">
        <v>33</v>
      </c>
      <c r="E331" t="s">
        <v>122</v>
      </c>
      <c r="F331" t="s">
        <v>35</v>
      </c>
      <c r="G331" t="s">
        <v>35</v>
      </c>
      <c r="H331" t="s">
        <v>35</v>
      </c>
      <c r="J331" t="s">
        <v>1803</v>
      </c>
      <c r="K331" t="s">
        <v>1092</v>
      </c>
      <c r="M331">
        <v>6.21</v>
      </c>
      <c r="N331">
        <v>38</v>
      </c>
      <c r="O331" t="s">
        <v>52</v>
      </c>
      <c r="Q331" t="s">
        <v>716</v>
      </c>
      <c r="R331" t="s">
        <v>85</v>
      </c>
      <c r="S331" t="s">
        <v>86</v>
      </c>
    </row>
    <row r="332" spans="1:19" x14ac:dyDescent="0.25">
      <c r="A332" t="s">
        <v>44</v>
      </c>
      <c r="B332" t="s">
        <v>51</v>
      </c>
      <c r="C332" t="s">
        <v>32</v>
      </c>
      <c r="D332" t="s">
        <v>33</v>
      </c>
      <c r="E332" t="s">
        <v>172</v>
      </c>
      <c r="F332" t="s">
        <v>35</v>
      </c>
      <c r="G332" t="s">
        <v>35</v>
      </c>
      <c r="H332" t="s">
        <v>35</v>
      </c>
      <c r="J332" t="s">
        <v>1939</v>
      </c>
      <c r="K332" t="s">
        <v>1092</v>
      </c>
      <c r="M332">
        <v>1</v>
      </c>
      <c r="N332">
        <v>21</v>
      </c>
      <c r="O332" t="s">
        <v>46</v>
      </c>
      <c r="Q332" t="s">
        <v>176</v>
      </c>
      <c r="R332" t="s">
        <v>85</v>
      </c>
      <c r="S332" t="s">
        <v>86</v>
      </c>
    </row>
    <row r="333" spans="1:19" x14ac:dyDescent="0.25">
      <c r="A333" t="s">
        <v>30</v>
      </c>
      <c r="B333" t="s">
        <v>31</v>
      </c>
      <c r="C333" t="s">
        <v>32</v>
      </c>
      <c r="D333" t="s">
        <v>33</v>
      </c>
      <c r="E333" t="s">
        <v>172</v>
      </c>
      <c r="F333" t="s">
        <v>35</v>
      </c>
      <c r="G333" t="s">
        <v>35</v>
      </c>
      <c r="H333" t="s">
        <v>35</v>
      </c>
      <c r="J333" t="s">
        <v>1939</v>
      </c>
      <c r="K333" t="s">
        <v>1092</v>
      </c>
      <c r="M333">
        <v>9.99</v>
      </c>
      <c r="N333">
        <v>13</v>
      </c>
      <c r="O333" t="s">
        <v>46</v>
      </c>
      <c r="Q333" t="s">
        <v>1004</v>
      </c>
      <c r="R333" t="s">
        <v>85</v>
      </c>
      <c r="S333" t="s">
        <v>86</v>
      </c>
    </row>
    <row r="334" spans="1:19" x14ac:dyDescent="0.25">
      <c r="A334" t="s">
        <v>30</v>
      </c>
      <c r="B334" t="s">
        <v>31</v>
      </c>
      <c r="C334" t="s">
        <v>32</v>
      </c>
      <c r="D334" t="s">
        <v>33</v>
      </c>
      <c r="E334" t="s">
        <v>172</v>
      </c>
      <c r="F334" t="s">
        <v>35</v>
      </c>
      <c r="G334" t="s">
        <v>35</v>
      </c>
      <c r="H334" t="s">
        <v>35</v>
      </c>
      <c r="J334" t="s">
        <v>1939</v>
      </c>
      <c r="K334" t="s">
        <v>1092</v>
      </c>
      <c r="M334">
        <v>5.085</v>
      </c>
      <c r="N334">
        <v>69</v>
      </c>
      <c r="O334" t="s">
        <v>61</v>
      </c>
      <c r="Q334" t="s">
        <v>234</v>
      </c>
      <c r="R334" t="s">
        <v>85</v>
      </c>
      <c r="S334" t="s">
        <v>86</v>
      </c>
    </row>
    <row r="335" spans="1:19" x14ac:dyDescent="0.25">
      <c r="A335" t="s">
        <v>44</v>
      </c>
      <c r="B335" t="s">
        <v>51</v>
      </c>
      <c r="C335" t="s">
        <v>32</v>
      </c>
      <c r="D335" t="s">
        <v>33</v>
      </c>
      <c r="E335" t="s">
        <v>204</v>
      </c>
      <c r="F335" t="s">
        <v>35</v>
      </c>
      <c r="G335" t="s">
        <v>35</v>
      </c>
      <c r="H335" t="s">
        <v>35</v>
      </c>
      <c r="J335" t="s">
        <v>2127</v>
      </c>
      <c r="K335" t="s">
        <v>1092</v>
      </c>
      <c r="M335">
        <v>0.6</v>
      </c>
      <c r="N335">
        <v>21</v>
      </c>
      <c r="O335" t="s">
        <v>46</v>
      </c>
      <c r="Q335" t="s">
        <v>176</v>
      </c>
      <c r="R335" t="s">
        <v>85</v>
      </c>
      <c r="S335" t="s">
        <v>86</v>
      </c>
    </row>
    <row r="336" spans="1:19" x14ac:dyDescent="0.25">
      <c r="A336" t="s">
        <v>59</v>
      </c>
      <c r="B336" t="s">
        <v>60</v>
      </c>
      <c r="C336" t="s">
        <v>32</v>
      </c>
      <c r="D336" t="s">
        <v>33</v>
      </c>
      <c r="E336" t="s">
        <v>177</v>
      </c>
      <c r="F336" t="s">
        <v>35</v>
      </c>
      <c r="G336" t="s">
        <v>35</v>
      </c>
      <c r="H336" t="s">
        <v>35</v>
      </c>
      <c r="J336" t="s">
        <v>2013</v>
      </c>
      <c r="K336" t="s">
        <v>1092</v>
      </c>
      <c r="M336">
        <v>5.5</v>
      </c>
      <c r="N336">
        <v>65</v>
      </c>
      <c r="O336" t="s">
        <v>61</v>
      </c>
      <c r="Q336" t="s">
        <v>63</v>
      </c>
      <c r="R336" t="s">
        <v>85</v>
      </c>
      <c r="S336" t="s">
        <v>86</v>
      </c>
    </row>
    <row r="337" spans="1:19" x14ac:dyDescent="0.25">
      <c r="A337" t="s">
        <v>44</v>
      </c>
      <c r="B337" t="s">
        <v>51</v>
      </c>
      <c r="C337" t="s">
        <v>32</v>
      </c>
      <c r="D337" t="s">
        <v>33</v>
      </c>
      <c r="E337" t="s">
        <v>1292</v>
      </c>
      <c r="F337" t="s">
        <v>35</v>
      </c>
      <c r="G337" t="s">
        <v>35</v>
      </c>
      <c r="H337" t="s">
        <v>35</v>
      </c>
      <c r="J337" t="s">
        <v>1423</v>
      </c>
      <c r="K337" t="s">
        <v>1092</v>
      </c>
      <c r="M337">
        <v>5.5</v>
      </c>
      <c r="N337">
        <v>21</v>
      </c>
      <c r="O337" t="s">
        <v>46</v>
      </c>
      <c r="Q337" t="s">
        <v>176</v>
      </c>
      <c r="R337" t="s">
        <v>85</v>
      </c>
      <c r="S337" t="s">
        <v>86</v>
      </c>
    </row>
    <row r="338" spans="1:19" x14ac:dyDescent="0.25">
      <c r="A338" t="s">
        <v>59</v>
      </c>
      <c r="B338" t="s">
        <v>60</v>
      </c>
      <c r="C338" t="s">
        <v>32</v>
      </c>
      <c r="D338" t="s">
        <v>33</v>
      </c>
      <c r="E338" t="s">
        <v>1292</v>
      </c>
      <c r="F338" t="s">
        <v>35</v>
      </c>
      <c r="G338" t="s">
        <v>35</v>
      </c>
      <c r="H338" t="s">
        <v>35</v>
      </c>
      <c r="J338" t="s">
        <v>1423</v>
      </c>
      <c r="K338" t="s">
        <v>1092</v>
      </c>
      <c r="M338">
        <v>3</v>
      </c>
      <c r="N338">
        <v>55</v>
      </c>
      <c r="O338" t="s">
        <v>52</v>
      </c>
      <c r="Q338" t="s">
        <v>90</v>
      </c>
      <c r="R338" t="s">
        <v>85</v>
      </c>
      <c r="S338" t="s">
        <v>86</v>
      </c>
    </row>
    <row r="339" spans="1:19" x14ac:dyDescent="0.25">
      <c r="A339" t="s">
        <v>30</v>
      </c>
      <c r="B339" t="s">
        <v>31</v>
      </c>
      <c r="C339" t="s">
        <v>32</v>
      </c>
      <c r="D339" t="s">
        <v>33</v>
      </c>
      <c r="E339" t="s">
        <v>1292</v>
      </c>
      <c r="F339" t="s">
        <v>35</v>
      </c>
      <c r="G339" t="s">
        <v>35</v>
      </c>
      <c r="H339" t="s">
        <v>35</v>
      </c>
      <c r="J339" t="s">
        <v>1423</v>
      </c>
      <c r="K339" t="s">
        <v>1092</v>
      </c>
      <c r="M339">
        <v>9.18</v>
      </c>
      <c r="N339">
        <v>13</v>
      </c>
      <c r="O339" t="s">
        <v>46</v>
      </c>
      <c r="Q339" t="s">
        <v>1004</v>
      </c>
      <c r="R339" t="s">
        <v>85</v>
      </c>
      <c r="S339" t="s">
        <v>86</v>
      </c>
    </row>
    <row r="340" spans="1:19" x14ac:dyDescent="0.25">
      <c r="A340" t="s">
        <v>44</v>
      </c>
      <c r="B340" t="s">
        <v>3</v>
      </c>
      <c r="C340" t="s">
        <v>32</v>
      </c>
      <c r="D340" t="s">
        <v>33</v>
      </c>
      <c r="E340" t="s">
        <v>1292</v>
      </c>
      <c r="F340" t="s">
        <v>35</v>
      </c>
      <c r="G340" t="s">
        <v>35</v>
      </c>
      <c r="H340" t="s">
        <v>35</v>
      </c>
      <c r="J340" t="s">
        <v>1423</v>
      </c>
      <c r="K340" t="s">
        <v>1092</v>
      </c>
      <c r="M340">
        <v>2</v>
      </c>
      <c r="N340">
        <v>52</v>
      </c>
      <c r="O340" t="s">
        <v>52</v>
      </c>
      <c r="Q340" t="s">
        <v>84</v>
      </c>
      <c r="R340" t="s">
        <v>85</v>
      </c>
      <c r="S340" t="s">
        <v>86</v>
      </c>
    </row>
    <row r="341" spans="1:19" x14ac:dyDescent="0.25">
      <c r="A341" t="s">
        <v>59</v>
      </c>
      <c r="B341" t="s">
        <v>60</v>
      </c>
      <c r="C341" t="s">
        <v>32</v>
      </c>
      <c r="D341" t="s">
        <v>33</v>
      </c>
      <c r="E341" t="s">
        <v>1520</v>
      </c>
      <c r="F341" t="s">
        <v>35</v>
      </c>
      <c r="G341" t="s">
        <v>35</v>
      </c>
      <c r="H341" t="s">
        <v>35</v>
      </c>
      <c r="J341" t="s">
        <v>1538</v>
      </c>
      <c r="K341" t="s">
        <v>1092</v>
      </c>
      <c r="M341">
        <v>1.1000000000000001</v>
      </c>
      <c r="N341">
        <v>65</v>
      </c>
      <c r="O341" t="s">
        <v>61</v>
      </c>
      <c r="Q341" t="s">
        <v>63</v>
      </c>
      <c r="R341" t="s">
        <v>85</v>
      </c>
      <c r="S341" t="s">
        <v>86</v>
      </c>
    </row>
    <row r="342" spans="1:19" x14ac:dyDescent="0.25">
      <c r="A342" t="s">
        <v>30</v>
      </c>
      <c r="B342" t="s">
        <v>31</v>
      </c>
      <c r="C342" t="s">
        <v>32</v>
      </c>
      <c r="D342" t="s">
        <v>33</v>
      </c>
      <c r="E342" t="s">
        <v>1520</v>
      </c>
      <c r="F342" t="s">
        <v>35</v>
      </c>
      <c r="G342" t="s">
        <v>35</v>
      </c>
      <c r="H342" t="s">
        <v>35</v>
      </c>
      <c r="J342" t="s">
        <v>1538</v>
      </c>
      <c r="K342" t="s">
        <v>1092</v>
      </c>
      <c r="M342">
        <v>5.58</v>
      </c>
      <c r="N342">
        <v>39</v>
      </c>
      <c r="O342" t="s">
        <v>52</v>
      </c>
      <c r="Q342" t="s">
        <v>493</v>
      </c>
      <c r="R342" t="s">
        <v>85</v>
      </c>
      <c r="S342" t="s">
        <v>86</v>
      </c>
    </row>
    <row r="343" spans="1:19" x14ac:dyDescent="0.25">
      <c r="A343" t="s">
        <v>44</v>
      </c>
      <c r="B343" t="s">
        <v>51</v>
      </c>
      <c r="C343" t="s">
        <v>32</v>
      </c>
      <c r="D343" t="s">
        <v>33</v>
      </c>
      <c r="E343" t="s">
        <v>1520</v>
      </c>
      <c r="F343" t="s">
        <v>35</v>
      </c>
      <c r="G343" t="s">
        <v>35</v>
      </c>
      <c r="H343" t="s">
        <v>35</v>
      </c>
      <c r="J343" t="s">
        <v>1538</v>
      </c>
      <c r="K343" t="s">
        <v>1092</v>
      </c>
      <c r="M343">
        <v>7.2</v>
      </c>
      <c r="N343">
        <v>21</v>
      </c>
      <c r="O343" t="s">
        <v>46</v>
      </c>
      <c r="Q343" t="s">
        <v>176</v>
      </c>
      <c r="R343" t="s">
        <v>85</v>
      </c>
      <c r="S343" t="s">
        <v>86</v>
      </c>
    </row>
    <row r="344" spans="1:19" x14ac:dyDescent="0.25">
      <c r="A344" t="s">
        <v>59</v>
      </c>
      <c r="B344" t="s">
        <v>60</v>
      </c>
      <c r="C344" t="s">
        <v>32</v>
      </c>
      <c r="D344" t="s">
        <v>33</v>
      </c>
      <c r="E344" t="s">
        <v>1572</v>
      </c>
      <c r="F344" t="s">
        <v>35</v>
      </c>
      <c r="G344" t="s">
        <v>35</v>
      </c>
      <c r="H344" t="s">
        <v>35</v>
      </c>
      <c r="J344" t="s">
        <v>1575</v>
      </c>
      <c r="K344" t="s">
        <v>1092</v>
      </c>
      <c r="M344">
        <v>4.3499999999999996</v>
      </c>
      <c r="N344">
        <v>65</v>
      </c>
      <c r="O344" t="s">
        <v>61</v>
      </c>
      <c r="Q344" t="s">
        <v>63</v>
      </c>
      <c r="R344" t="s">
        <v>85</v>
      </c>
      <c r="S344" t="s">
        <v>86</v>
      </c>
    </row>
    <row r="345" spans="1:19" x14ac:dyDescent="0.25">
      <c r="A345" t="s">
        <v>30</v>
      </c>
      <c r="B345" t="s">
        <v>31</v>
      </c>
      <c r="C345" t="s">
        <v>32</v>
      </c>
      <c r="D345" t="s">
        <v>33</v>
      </c>
      <c r="E345" t="s">
        <v>1572</v>
      </c>
      <c r="F345" t="s">
        <v>35</v>
      </c>
      <c r="G345" t="s">
        <v>35</v>
      </c>
      <c r="H345" t="s">
        <v>35</v>
      </c>
      <c r="J345" t="s">
        <v>1575</v>
      </c>
      <c r="K345" t="s">
        <v>1092</v>
      </c>
      <c r="M345">
        <v>8.2799999999999994</v>
      </c>
      <c r="N345">
        <v>39</v>
      </c>
      <c r="O345" t="s">
        <v>52</v>
      </c>
      <c r="Q345" t="s">
        <v>493</v>
      </c>
      <c r="R345" t="s">
        <v>85</v>
      </c>
      <c r="S345" t="s">
        <v>86</v>
      </c>
    </row>
    <row r="346" spans="1:19" x14ac:dyDescent="0.25">
      <c r="A346" t="s">
        <v>44</v>
      </c>
      <c r="B346" t="s">
        <v>3</v>
      </c>
      <c r="C346" t="s">
        <v>32</v>
      </c>
      <c r="D346" t="s">
        <v>33</v>
      </c>
      <c r="E346" t="s">
        <v>1572</v>
      </c>
      <c r="F346" t="s">
        <v>35</v>
      </c>
      <c r="G346" t="s">
        <v>35</v>
      </c>
      <c r="H346" t="s">
        <v>35</v>
      </c>
      <c r="J346" t="s">
        <v>1575</v>
      </c>
      <c r="K346" t="s">
        <v>1092</v>
      </c>
      <c r="M346">
        <v>4.2</v>
      </c>
      <c r="N346">
        <v>52</v>
      </c>
      <c r="O346" t="s">
        <v>52</v>
      </c>
      <c r="Q346" t="s">
        <v>84</v>
      </c>
      <c r="R346" t="s">
        <v>85</v>
      </c>
      <c r="S346" t="s">
        <v>86</v>
      </c>
    </row>
    <row r="347" spans="1:19" x14ac:dyDescent="0.25">
      <c r="A347" t="s">
        <v>44</v>
      </c>
      <c r="B347" t="s">
        <v>51</v>
      </c>
      <c r="C347" t="s">
        <v>32</v>
      </c>
      <c r="D347" t="s">
        <v>33</v>
      </c>
      <c r="E347" t="s">
        <v>1572</v>
      </c>
      <c r="F347" t="s">
        <v>35</v>
      </c>
      <c r="G347" t="s">
        <v>35</v>
      </c>
      <c r="H347" t="s">
        <v>35</v>
      </c>
      <c r="J347" t="s">
        <v>1575</v>
      </c>
      <c r="K347" t="s">
        <v>1092</v>
      </c>
      <c r="M347">
        <v>5.3</v>
      </c>
      <c r="N347">
        <v>21</v>
      </c>
      <c r="O347" t="s">
        <v>46</v>
      </c>
      <c r="Q347" t="s">
        <v>176</v>
      </c>
      <c r="R347" t="s">
        <v>85</v>
      </c>
      <c r="S347" t="s">
        <v>86</v>
      </c>
    </row>
    <row r="348" spans="1:19" x14ac:dyDescent="0.25">
      <c r="A348" t="s">
        <v>59</v>
      </c>
      <c r="B348" t="s">
        <v>60</v>
      </c>
      <c r="C348" t="s">
        <v>32</v>
      </c>
      <c r="D348" t="s">
        <v>33</v>
      </c>
      <c r="E348" t="s">
        <v>64</v>
      </c>
      <c r="F348" t="s">
        <v>35</v>
      </c>
      <c r="G348" t="s">
        <v>35</v>
      </c>
      <c r="H348" t="s">
        <v>35</v>
      </c>
      <c r="J348" t="s">
        <v>1273</v>
      </c>
      <c r="K348" t="s">
        <v>1092</v>
      </c>
      <c r="M348">
        <v>5.3</v>
      </c>
      <c r="N348">
        <v>93</v>
      </c>
      <c r="O348" t="s">
        <v>106</v>
      </c>
      <c r="Q348" t="s">
        <v>1112</v>
      </c>
      <c r="R348" t="s">
        <v>85</v>
      </c>
      <c r="S348" t="s">
        <v>86</v>
      </c>
    </row>
    <row r="349" spans="1:19" x14ac:dyDescent="0.25">
      <c r="A349" t="s">
        <v>30</v>
      </c>
      <c r="B349" t="s">
        <v>31</v>
      </c>
      <c r="C349" t="s">
        <v>32</v>
      </c>
      <c r="D349" t="s">
        <v>33</v>
      </c>
      <c r="E349" t="s">
        <v>64</v>
      </c>
      <c r="F349" t="s">
        <v>35</v>
      </c>
      <c r="G349" t="s">
        <v>35</v>
      </c>
      <c r="H349" t="s">
        <v>35</v>
      </c>
      <c r="J349" t="s">
        <v>1273</v>
      </c>
      <c r="K349" t="s">
        <v>1092</v>
      </c>
      <c r="M349">
        <v>10.755000000000001</v>
      </c>
      <c r="N349">
        <v>69</v>
      </c>
      <c r="O349" t="s">
        <v>61</v>
      </c>
      <c r="Q349" t="s">
        <v>234</v>
      </c>
      <c r="R349" t="s">
        <v>85</v>
      </c>
      <c r="S349" t="s">
        <v>86</v>
      </c>
    </row>
    <row r="350" spans="1:19" x14ac:dyDescent="0.25">
      <c r="A350" t="s">
        <v>44</v>
      </c>
      <c r="B350" t="s">
        <v>51</v>
      </c>
      <c r="C350" t="s">
        <v>32</v>
      </c>
      <c r="D350" t="s">
        <v>33</v>
      </c>
      <c r="E350" t="s">
        <v>64</v>
      </c>
      <c r="F350" t="s">
        <v>35</v>
      </c>
      <c r="G350" t="s">
        <v>35</v>
      </c>
      <c r="H350" t="s">
        <v>35</v>
      </c>
      <c r="J350" t="s">
        <v>1273</v>
      </c>
      <c r="K350" t="s">
        <v>1092</v>
      </c>
      <c r="M350">
        <v>5.5</v>
      </c>
      <c r="N350">
        <v>21</v>
      </c>
      <c r="O350" t="s">
        <v>46</v>
      </c>
      <c r="Q350" t="s">
        <v>176</v>
      </c>
      <c r="R350" t="s">
        <v>85</v>
      </c>
      <c r="S350" t="s">
        <v>86</v>
      </c>
    </row>
    <row r="351" spans="1:19" x14ac:dyDescent="0.25">
      <c r="A351" t="s">
        <v>59</v>
      </c>
      <c r="B351" t="s">
        <v>31</v>
      </c>
      <c r="C351" t="s">
        <v>32</v>
      </c>
      <c r="D351" t="s">
        <v>33</v>
      </c>
      <c r="E351" t="s">
        <v>64</v>
      </c>
      <c r="F351" t="s">
        <v>35</v>
      </c>
      <c r="G351" t="s">
        <v>35</v>
      </c>
      <c r="H351" t="s">
        <v>35</v>
      </c>
      <c r="J351" t="s">
        <v>1273</v>
      </c>
      <c r="K351" t="s">
        <v>1092</v>
      </c>
      <c r="M351">
        <v>5.49</v>
      </c>
      <c r="N351">
        <v>93</v>
      </c>
      <c r="O351" t="s">
        <v>106</v>
      </c>
      <c r="Q351" t="s">
        <v>1112</v>
      </c>
      <c r="R351" t="s">
        <v>85</v>
      </c>
      <c r="S351" t="s">
        <v>86</v>
      </c>
    </row>
    <row r="352" spans="1:19" x14ac:dyDescent="0.25">
      <c r="A352" t="s">
        <v>30</v>
      </c>
      <c r="B352" t="s">
        <v>31</v>
      </c>
      <c r="C352" t="s">
        <v>32</v>
      </c>
      <c r="D352" t="s">
        <v>33</v>
      </c>
      <c r="E352" t="s">
        <v>1520</v>
      </c>
      <c r="F352" t="s">
        <v>35</v>
      </c>
      <c r="G352" t="s">
        <v>35</v>
      </c>
      <c r="H352" t="s">
        <v>35</v>
      </c>
      <c r="J352" t="s">
        <v>1543</v>
      </c>
      <c r="K352" t="s">
        <v>1092</v>
      </c>
      <c r="M352">
        <v>5.49</v>
      </c>
      <c r="N352">
        <v>38</v>
      </c>
      <c r="O352" t="s">
        <v>52</v>
      </c>
      <c r="Q352" t="s">
        <v>716</v>
      </c>
      <c r="R352" t="s">
        <v>85</v>
      </c>
      <c r="S352" t="s">
        <v>86</v>
      </c>
    </row>
    <row r="353" spans="1:19" x14ac:dyDescent="0.25">
      <c r="A353" t="s">
        <v>30</v>
      </c>
      <c r="B353" t="s">
        <v>31</v>
      </c>
      <c r="C353" t="s">
        <v>32</v>
      </c>
      <c r="D353" t="s">
        <v>33</v>
      </c>
      <c r="E353" t="s">
        <v>204</v>
      </c>
      <c r="F353" t="s">
        <v>35</v>
      </c>
      <c r="G353" t="s">
        <v>35</v>
      </c>
      <c r="H353" t="s">
        <v>35</v>
      </c>
      <c r="J353" t="s">
        <v>2175</v>
      </c>
      <c r="K353" t="s">
        <v>1092</v>
      </c>
      <c r="M353">
        <v>1.325</v>
      </c>
      <c r="N353">
        <v>752</v>
      </c>
      <c r="O353" t="s">
        <v>575</v>
      </c>
      <c r="Q353" t="s">
        <v>2176</v>
      </c>
      <c r="R353" t="s">
        <v>85</v>
      </c>
      <c r="S353" t="s">
        <v>86</v>
      </c>
    </row>
    <row r="354" spans="1:19" x14ac:dyDescent="0.25">
      <c r="A354" t="s">
        <v>44</v>
      </c>
      <c r="B354" t="s">
        <v>51</v>
      </c>
      <c r="C354" t="s">
        <v>32</v>
      </c>
      <c r="D354" t="s">
        <v>33</v>
      </c>
      <c r="E354" t="s">
        <v>177</v>
      </c>
      <c r="F354" t="s">
        <v>35</v>
      </c>
      <c r="G354" t="s">
        <v>35</v>
      </c>
      <c r="H354" t="s">
        <v>35</v>
      </c>
      <c r="J354" t="s">
        <v>1584</v>
      </c>
      <c r="K354" t="s">
        <v>1092</v>
      </c>
      <c r="M354">
        <v>5.3</v>
      </c>
      <c r="N354">
        <v>21</v>
      </c>
      <c r="O354" t="s">
        <v>46</v>
      </c>
      <c r="Q354" t="s">
        <v>176</v>
      </c>
      <c r="R354" t="s">
        <v>85</v>
      </c>
      <c r="S354" t="s">
        <v>86</v>
      </c>
    </row>
    <row r="355" spans="1:19" x14ac:dyDescent="0.25">
      <c r="A355" t="s">
        <v>59</v>
      </c>
      <c r="B355" t="s">
        <v>60</v>
      </c>
      <c r="C355" t="s">
        <v>32</v>
      </c>
      <c r="D355" t="s">
        <v>33</v>
      </c>
      <c r="E355" t="s">
        <v>177</v>
      </c>
      <c r="F355" t="s">
        <v>35</v>
      </c>
      <c r="G355" t="s">
        <v>35</v>
      </c>
      <c r="H355" t="s">
        <v>35</v>
      </c>
      <c r="J355" t="s">
        <v>1584</v>
      </c>
      <c r="K355" t="s">
        <v>1092</v>
      </c>
      <c r="M355">
        <v>4.3</v>
      </c>
      <c r="N355">
        <v>93</v>
      </c>
      <c r="O355" t="s">
        <v>106</v>
      </c>
      <c r="Q355" t="s">
        <v>1112</v>
      </c>
      <c r="R355" t="s">
        <v>85</v>
      </c>
      <c r="S355" t="s">
        <v>86</v>
      </c>
    </row>
    <row r="356" spans="1:19" x14ac:dyDescent="0.25">
      <c r="A356" t="s">
        <v>30</v>
      </c>
      <c r="B356" t="s">
        <v>31</v>
      </c>
      <c r="C356" t="s">
        <v>32</v>
      </c>
      <c r="D356" t="s">
        <v>33</v>
      </c>
      <c r="E356" t="s">
        <v>122</v>
      </c>
      <c r="F356" t="s">
        <v>35</v>
      </c>
      <c r="G356" t="s">
        <v>35</v>
      </c>
      <c r="H356" t="s">
        <v>35</v>
      </c>
      <c r="J356" t="s">
        <v>1817</v>
      </c>
      <c r="K356" t="s">
        <v>1092</v>
      </c>
      <c r="M356">
        <v>4.9950000000000001</v>
      </c>
      <c r="N356">
        <v>10</v>
      </c>
      <c r="O356" t="s">
        <v>46</v>
      </c>
      <c r="Q356" t="s">
        <v>1302</v>
      </c>
      <c r="R356" t="s">
        <v>85</v>
      </c>
      <c r="S356" t="s">
        <v>86</v>
      </c>
    </row>
    <row r="357" spans="1:19" x14ac:dyDescent="0.25">
      <c r="A357" t="s">
        <v>44</v>
      </c>
      <c r="B357" t="s">
        <v>3</v>
      </c>
      <c r="C357" t="s">
        <v>32</v>
      </c>
      <c r="D357" t="s">
        <v>33</v>
      </c>
      <c r="E357" t="s">
        <v>1572</v>
      </c>
      <c r="F357" t="s">
        <v>35</v>
      </c>
      <c r="G357" t="s">
        <v>35</v>
      </c>
      <c r="H357" t="s">
        <v>35</v>
      </c>
      <c r="J357" t="s">
        <v>1574</v>
      </c>
      <c r="K357" t="s">
        <v>1092</v>
      </c>
      <c r="M357">
        <v>5.35</v>
      </c>
      <c r="N357">
        <v>52</v>
      </c>
      <c r="O357" t="s">
        <v>52</v>
      </c>
      <c r="Q357" t="s">
        <v>84</v>
      </c>
      <c r="R357" t="s">
        <v>85</v>
      </c>
      <c r="S357" t="s">
        <v>86</v>
      </c>
    </row>
    <row r="358" spans="1:19" x14ac:dyDescent="0.25">
      <c r="A358" t="s">
        <v>44</v>
      </c>
      <c r="B358" t="s">
        <v>51</v>
      </c>
      <c r="C358" t="s">
        <v>32</v>
      </c>
      <c r="D358" t="s">
        <v>33</v>
      </c>
      <c r="E358" t="s">
        <v>1572</v>
      </c>
      <c r="F358" t="s">
        <v>35</v>
      </c>
      <c r="G358" t="s">
        <v>35</v>
      </c>
      <c r="H358" t="s">
        <v>35</v>
      </c>
      <c r="J358" t="s">
        <v>1574</v>
      </c>
      <c r="K358" t="s">
        <v>1092</v>
      </c>
      <c r="M358">
        <v>4.6500000000000004</v>
      </c>
      <c r="N358">
        <v>21</v>
      </c>
      <c r="O358" t="s">
        <v>46</v>
      </c>
      <c r="Q358" t="s">
        <v>176</v>
      </c>
      <c r="R358" t="s">
        <v>85</v>
      </c>
      <c r="S358" t="s">
        <v>86</v>
      </c>
    </row>
    <row r="359" spans="1:19" x14ac:dyDescent="0.25">
      <c r="A359" t="s">
        <v>59</v>
      </c>
      <c r="B359" t="s">
        <v>60</v>
      </c>
      <c r="C359" t="s">
        <v>32</v>
      </c>
      <c r="D359" t="s">
        <v>33</v>
      </c>
      <c r="E359" t="s">
        <v>1572</v>
      </c>
      <c r="F359" t="s">
        <v>35</v>
      </c>
      <c r="G359" t="s">
        <v>35</v>
      </c>
      <c r="H359" t="s">
        <v>35</v>
      </c>
      <c r="J359" t="s">
        <v>1574</v>
      </c>
      <c r="K359" t="s">
        <v>1092</v>
      </c>
      <c r="M359">
        <v>1.948</v>
      </c>
      <c r="N359">
        <v>93</v>
      </c>
      <c r="O359" t="s">
        <v>106</v>
      </c>
      <c r="Q359" t="s">
        <v>1112</v>
      </c>
      <c r="R359" t="s">
        <v>85</v>
      </c>
      <c r="S359" t="s">
        <v>86</v>
      </c>
    </row>
    <row r="360" spans="1:19" x14ac:dyDescent="0.25">
      <c r="A360" t="s">
        <v>59</v>
      </c>
      <c r="B360" t="s">
        <v>31</v>
      </c>
      <c r="C360" t="s">
        <v>32</v>
      </c>
      <c r="D360" t="s">
        <v>33</v>
      </c>
      <c r="E360" t="s">
        <v>2059</v>
      </c>
      <c r="F360" t="s">
        <v>35</v>
      </c>
      <c r="G360" t="s">
        <v>35</v>
      </c>
      <c r="H360" t="s">
        <v>35</v>
      </c>
      <c r="J360" t="s">
        <v>2070</v>
      </c>
      <c r="K360" t="s">
        <v>1092</v>
      </c>
      <c r="M360">
        <v>2.5649999999999999</v>
      </c>
      <c r="N360">
        <v>238</v>
      </c>
      <c r="O360" t="s">
        <v>5</v>
      </c>
      <c r="Q360" t="s">
        <v>111</v>
      </c>
      <c r="R360" t="s">
        <v>85</v>
      </c>
      <c r="S360" t="s">
        <v>86</v>
      </c>
    </row>
    <row r="361" spans="1:19" x14ac:dyDescent="0.25">
      <c r="A361" t="s">
        <v>30</v>
      </c>
      <c r="B361" t="s">
        <v>31</v>
      </c>
      <c r="C361" t="s">
        <v>32</v>
      </c>
      <c r="D361" t="s">
        <v>33</v>
      </c>
      <c r="E361" t="s">
        <v>204</v>
      </c>
      <c r="F361" t="s">
        <v>35</v>
      </c>
      <c r="G361" t="s">
        <v>35</v>
      </c>
      <c r="H361" t="s">
        <v>35</v>
      </c>
      <c r="J361" t="s">
        <v>2157</v>
      </c>
      <c r="K361" t="s">
        <v>1092</v>
      </c>
      <c r="M361">
        <v>4.6100000000000003</v>
      </c>
      <c r="N361">
        <v>527</v>
      </c>
      <c r="O361" t="s">
        <v>294</v>
      </c>
      <c r="Q361" t="s">
        <v>1496</v>
      </c>
      <c r="R361" t="s">
        <v>85</v>
      </c>
      <c r="S361" t="s">
        <v>86</v>
      </c>
    </row>
    <row r="362" spans="1:19" x14ac:dyDescent="0.25">
      <c r="A362" t="s">
        <v>59</v>
      </c>
      <c r="B362" t="s">
        <v>60</v>
      </c>
      <c r="C362" t="s">
        <v>32</v>
      </c>
      <c r="D362" t="s">
        <v>33</v>
      </c>
      <c r="E362" t="s">
        <v>204</v>
      </c>
      <c r="F362" t="s">
        <v>35</v>
      </c>
      <c r="G362" t="s">
        <v>35</v>
      </c>
      <c r="H362" t="s">
        <v>35</v>
      </c>
      <c r="J362" t="s">
        <v>2157</v>
      </c>
      <c r="K362" t="s">
        <v>1092</v>
      </c>
      <c r="M362">
        <v>0.95</v>
      </c>
      <c r="N362">
        <v>515</v>
      </c>
      <c r="O362" t="s">
        <v>294</v>
      </c>
      <c r="Q362" t="s">
        <v>2158</v>
      </c>
      <c r="R362" t="s">
        <v>85</v>
      </c>
      <c r="S362" t="s">
        <v>86</v>
      </c>
    </row>
    <row r="363" spans="1:19" x14ac:dyDescent="0.25">
      <c r="A363" t="s">
        <v>30</v>
      </c>
      <c r="B363" t="s">
        <v>31</v>
      </c>
      <c r="C363" t="s">
        <v>32</v>
      </c>
      <c r="D363" t="s">
        <v>33</v>
      </c>
      <c r="E363" t="s">
        <v>204</v>
      </c>
      <c r="F363" t="s">
        <v>35</v>
      </c>
      <c r="G363" t="s">
        <v>35</v>
      </c>
      <c r="H363" t="s">
        <v>35</v>
      </c>
      <c r="J363" t="s">
        <v>2166</v>
      </c>
      <c r="K363" t="s">
        <v>1092</v>
      </c>
      <c r="M363">
        <v>5.49</v>
      </c>
      <c r="N363">
        <v>38</v>
      </c>
      <c r="O363" t="s">
        <v>52</v>
      </c>
      <c r="Q363" t="s">
        <v>716</v>
      </c>
      <c r="R363" t="s">
        <v>85</v>
      </c>
      <c r="S363" t="s">
        <v>86</v>
      </c>
    </row>
    <row r="364" spans="1:19" x14ac:dyDescent="0.25">
      <c r="A364" t="s">
        <v>30</v>
      </c>
      <c r="B364" t="s">
        <v>31</v>
      </c>
      <c r="C364" t="s">
        <v>32</v>
      </c>
      <c r="D364" t="s">
        <v>33</v>
      </c>
      <c r="E364" t="s">
        <v>204</v>
      </c>
      <c r="F364" t="s">
        <v>35</v>
      </c>
      <c r="G364" t="s">
        <v>35</v>
      </c>
      <c r="H364" t="s">
        <v>35</v>
      </c>
      <c r="J364" t="s">
        <v>2166</v>
      </c>
      <c r="K364" t="s">
        <v>1092</v>
      </c>
      <c r="M364">
        <v>6.84</v>
      </c>
      <c r="N364">
        <v>66</v>
      </c>
      <c r="O364" t="s">
        <v>61</v>
      </c>
      <c r="Q364" t="s">
        <v>552</v>
      </c>
      <c r="R364" t="s">
        <v>85</v>
      </c>
      <c r="S364" t="s">
        <v>86</v>
      </c>
    </row>
    <row r="365" spans="1:19" x14ac:dyDescent="0.25">
      <c r="A365" t="s">
        <v>59</v>
      </c>
      <c r="B365" t="s">
        <v>60</v>
      </c>
      <c r="C365" t="s">
        <v>32</v>
      </c>
      <c r="D365" t="s">
        <v>33</v>
      </c>
      <c r="E365" t="s">
        <v>204</v>
      </c>
      <c r="F365" t="s">
        <v>35</v>
      </c>
      <c r="G365" t="s">
        <v>35</v>
      </c>
      <c r="H365" t="s">
        <v>35</v>
      </c>
      <c r="J365" t="s">
        <v>2166</v>
      </c>
      <c r="K365" t="s">
        <v>1092</v>
      </c>
      <c r="M365">
        <v>0.5</v>
      </c>
      <c r="N365">
        <v>66</v>
      </c>
      <c r="O365" t="s">
        <v>61</v>
      </c>
      <c r="Q365" t="s">
        <v>552</v>
      </c>
      <c r="R365" t="s">
        <v>85</v>
      </c>
      <c r="S365" t="s">
        <v>86</v>
      </c>
    </row>
    <row r="366" spans="1:19" x14ac:dyDescent="0.25">
      <c r="A366" t="s">
        <v>30</v>
      </c>
      <c r="B366" t="s">
        <v>31</v>
      </c>
      <c r="C366" t="s">
        <v>32</v>
      </c>
      <c r="D366" t="s">
        <v>33</v>
      </c>
      <c r="E366" t="s">
        <v>172</v>
      </c>
      <c r="F366" t="s">
        <v>35</v>
      </c>
      <c r="G366" t="s">
        <v>35</v>
      </c>
      <c r="H366" t="s">
        <v>35</v>
      </c>
      <c r="J366" t="s">
        <v>1943</v>
      </c>
      <c r="K366" t="s">
        <v>1092</v>
      </c>
      <c r="M366">
        <v>8.82</v>
      </c>
      <c r="N366">
        <v>39</v>
      </c>
      <c r="O366" t="s">
        <v>52</v>
      </c>
      <c r="Q366" t="s">
        <v>493</v>
      </c>
      <c r="R366" t="s">
        <v>85</v>
      </c>
      <c r="S366" t="s">
        <v>86</v>
      </c>
    </row>
    <row r="367" spans="1:19" x14ac:dyDescent="0.25">
      <c r="A367" t="s">
        <v>44</v>
      </c>
      <c r="B367" t="s">
        <v>51</v>
      </c>
      <c r="C367" t="s">
        <v>32</v>
      </c>
      <c r="D367" t="s">
        <v>33</v>
      </c>
      <c r="E367" t="s">
        <v>172</v>
      </c>
      <c r="F367" t="s">
        <v>35</v>
      </c>
      <c r="G367" t="s">
        <v>35</v>
      </c>
      <c r="H367" t="s">
        <v>35</v>
      </c>
      <c r="J367" t="s">
        <v>1943</v>
      </c>
      <c r="K367" t="s">
        <v>1092</v>
      </c>
      <c r="M367">
        <v>5.45</v>
      </c>
      <c r="N367">
        <v>21</v>
      </c>
      <c r="O367" t="s">
        <v>46</v>
      </c>
      <c r="Q367" t="s">
        <v>176</v>
      </c>
      <c r="R367" t="s">
        <v>85</v>
      </c>
      <c r="S367" t="s">
        <v>86</v>
      </c>
    </row>
    <row r="368" spans="1:19" x14ac:dyDescent="0.25">
      <c r="A368" t="s">
        <v>44</v>
      </c>
      <c r="B368" t="s">
        <v>3</v>
      </c>
      <c r="C368" t="s">
        <v>32</v>
      </c>
      <c r="D368" t="s">
        <v>33</v>
      </c>
      <c r="E368" t="s">
        <v>204</v>
      </c>
      <c r="F368" t="s">
        <v>35</v>
      </c>
      <c r="G368" t="s">
        <v>35</v>
      </c>
      <c r="H368" t="s">
        <v>35</v>
      </c>
      <c r="J368" t="s">
        <v>205</v>
      </c>
      <c r="K368" t="s">
        <v>37</v>
      </c>
      <c r="M368">
        <v>11</v>
      </c>
      <c r="N368">
        <v>52</v>
      </c>
      <c r="O368" t="s">
        <v>52</v>
      </c>
      <c r="P368" t="s">
        <v>206</v>
      </c>
      <c r="Q368" t="s">
        <v>84</v>
      </c>
      <c r="R368" t="s">
        <v>85</v>
      </c>
      <c r="S368" t="s">
        <v>86</v>
      </c>
    </row>
    <row r="369" spans="1:19" x14ac:dyDescent="0.25">
      <c r="A369" t="s">
        <v>30</v>
      </c>
      <c r="B369" t="s">
        <v>31</v>
      </c>
      <c r="C369" t="s">
        <v>32</v>
      </c>
      <c r="D369" t="s">
        <v>33</v>
      </c>
      <c r="F369" t="s">
        <v>35</v>
      </c>
      <c r="G369" t="s">
        <v>35</v>
      </c>
      <c r="H369" t="s">
        <v>35</v>
      </c>
      <c r="J369" t="s">
        <v>205</v>
      </c>
      <c r="K369" t="s">
        <v>1092</v>
      </c>
      <c r="M369">
        <v>2.79</v>
      </c>
      <c r="N369">
        <v>1571</v>
      </c>
      <c r="O369" t="s">
        <v>575</v>
      </c>
      <c r="Q369" t="s">
        <v>2232</v>
      </c>
      <c r="R369" t="s">
        <v>85</v>
      </c>
      <c r="S369" t="s">
        <v>86</v>
      </c>
    </row>
    <row r="370" spans="1:19" x14ac:dyDescent="0.25">
      <c r="A370" t="s">
        <v>30</v>
      </c>
      <c r="B370" t="s">
        <v>31</v>
      </c>
      <c r="C370" t="s">
        <v>32</v>
      </c>
      <c r="D370" t="s">
        <v>33</v>
      </c>
      <c r="E370" t="s">
        <v>172</v>
      </c>
      <c r="F370" t="s">
        <v>35</v>
      </c>
      <c r="G370" t="s">
        <v>35</v>
      </c>
      <c r="H370" t="s">
        <v>35</v>
      </c>
      <c r="J370" t="s">
        <v>50</v>
      </c>
      <c r="K370" t="s">
        <v>1092</v>
      </c>
      <c r="M370">
        <v>5.49</v>
      </c>
      <c r="N370">
        <v>36</v>
      </c>
      <c r="O370" t="s">
        <v>52</v>
      </c>
      <c r="Q370" t="s">
        <v>892</v>
      </c>
      <c r="R370" t="s">
        <v>85</v>
      </c>
      <c r="S370" t="s">
        <v>86</v>
      </c>
    </row>
    <row r="371" spans="1:19" x14ac:dyDescent="0.25">
      <c r="A371" t="s">
        <v>44</v>
      </c>
      <c r="B371" t="s">
        <v>3</v>
      </c>
      <c r="C371" t="s">
        <v>32</v>
      </c>
      <c r="D371" t="s">
        <v>33</v>
      </c>
      <c r="E371" t="s">
        <v>122</v>
      </c>
      <c r="F371" t="s">
        <v>35</v>
      </c>
      <c r="G371" t="s">
        <v>35</v>
      </c>
      <c r="H371" t="s">
        <v>35</v>
      </c>
      <c r="J371" t="s">
        <v>141</v>
      </c>
      <c r="K371" t="s">
        <v>37</v>
      </c>
      <c r="M371">
        <v>2.5</v>
      </c>
      <c r="N371">
        <v>52</v>
      </c>
      <c r="O371" t="s">
        <v>52</v>
      </c>
      <c r="P371" t="s">
        <v>142</v>
      </c>
      <c r="Q371" t="s">
        <v>84</v>
      </c>
      <c r="R371" t="s">
        <v>85</v>
      </c>
      <c r="S371" t="s">
        <v>86</v>
      </c>
    </row>
    <row r="372" spans="1:19" x14ac:dyDescent="0.25">
      <c r="A372" t="s">
        <v>59</v>
      </c>
      <c r="B372" t="s">
        <v>60</v>
      </c>
      <c r="C372" t="s">
        <v>32</v>
      </c>
      <c r="D372" t="s">
        <v>33</v>
      </c>
      <c r="E372" t="s">
        <v>172</v>
      </c>
      <c r="F372" t="s">
        <v>35</v>
      </c>
      <c r="G372" t="s">
        <v>35</v>
      </c>
      <c r="H372" t="s">
        <v>35</v>
      </c>
      <c r="J372" t="s">
        <v>1910</v>
      </c>
      <c r="K372" t="s">
        <v>404</v>
      </c>
      <c r="M372">
        <v>11</v>
      </c>
      <c r="N372">
        <v>65</v>
      </c>
      <c r="O372" t="s">
        <v>61</v>
      </c>
      <c r="Q372" t="s">
        <v>63</v>
      </c>
      <c r="R372" t="s">
        <v>85</v>
      </c>
      <c r="S372" t="s">
        <v>86</v>
      </c>
    </row>
    <row r="373" spans="1:19" x14ac:dyDescent="0.25">
      <c r="A373" t="s">
        <v>59</v>
      </c>
      <c r="B373" t="s">
        <v>60</v>
      </c>
      <c r="C373" t="s">
        <v>32</v>
      </c>
      <c r="D373" t="s">
        <v>33</v>
      </c>
      <c r="E373" t="s">
        <v>204</v>
      </c>
      <c r="F373" t="s">
        <v>35</v>
      </c>
      <c r="G373" t="s">
        <v>35</v>
      </c>
      <c r="H373" t="s">
        <v>35</v>
      </c>
      <c r="J373" t="s">
        <v>2133</v>
      </c>
      <c r="K373" t="s">
        <v>1092</v>
      </c>
      <c r="M373">
        <v>1.54</v>
      </c>
      <c r="N373">
        <v>345</v>
      </c>
      <c r="O373" t="s">
        <v>5</v>
      </c>
      <c r="Q373" t="s">
        <v>1190</v>
      </c>
      <c r="R373" t="s">
        <v>85</v>
      </c>
      <c r="S373" t="s">
        <v>86</v>
      </c>
    </row>
    <row r="374" spans="1:19" x14ac:dyDescent="0.25">
      <c r="A374" t="s">
        <v>30</v>
      </c>
      <c r="B374" t="s">
        <v>31</v>
      </c>
      <c r="C374" t="s">
        <v>32</v>
      </c>
      <c r="D374" t="s">
        <v>33</v>
      </c>
      <c r="E374" t="s">
        <v>204</v>
      </c>
      <c r="F374" t="s">
        <v>35</v>
      </c>
      <c r="G374" t="s">
        <v>35</v>
      </c>
      <c r="H374" t="s">
        <v>35</v>
      </c>
      <c r="J374" t="s">
        <v>2133</v>
      </c>
      <c r="K374" t="s">
        <v>1092</v>
      </c>
      <c r="M374">
        <v>2.2050000000000001</v>
      </c>
      <c r="N374">
        <v>527</v>
      </c>
      <c r="O374" t="s">
        <v>294</v>
      </c>
      <c r="Q374" t="s">
        <v>1496</v>
      </c>
      <c r="R374" t="s">
        <v>85</v>
      </c>
      <c r="S374" t="s">
        <v>86</v>
      </c>
    </row>
    <row r="375" spans="1:19" x14ac:dyDescent="0.25">
      <c r="A375" t="s">
        <v>44</v>
      </c>
      <c r="B375" t="s">
        <v>51</v>
      </c>
      <c r="C375" t="s">
        <v>32</v>
      </c>
      <c r="D375" t="s">
        <v>33</v>
      </c>
      <c r="E375" t="s">
        <v>172</v>
      </c>
      <c r="F375" t="s">
        <v>35</v>
      </c>
      <c r="G375" t="s">
        <v>35</v>
      </c>
      <c r="H375" t="s">
        <v>35</v>
      </c>
      <c r="J375" t="s">
        <v>174</v>
      </c>
      <c r="K375" t="s">
        <v>37</v>
      </c>
      <c r="M375">
        <v>3</v>
      </c>
      <c r="N375">
        <v>21</v>
      </c>
      <c r="O375" t="s">
        <v>46</v>
      </c>
      <c r="P375" t="s">
        <v>175</v>
      </c>
      <c r="Q375" t="s">
        <v>176</v>
      </c>
      <c r="R375" t="s">
        <v>85</v>
      </c>
      <c r="S375" t="s">
        <v>86</v>
      </c>
    </row>
    <row r="376" spans="1:19" x14ac:dyDescent="0.25">
      <c r="A376" t="s">
        <v>30</v>
      </c>
      <c r="B376" t="s">
        <v>31</v>
      </c>
      <c r="C376" t="s">
        <v>32</v>
      </c>
      <c r="D376" t="s">
        <v>33</v>
      </c>
      <c r="E376" t="s">
        <v>172</v>
      </c>
      <c r="F376" t="s">
        <v>35</v>
      </c>
      <c r="G376" t="s">
        <v>35</v>
      </c>
      <c r="H376" t="s">
        <v>35</v>
      </c>
      <c r="J376" t="s">
        <v>1925</v>
      </c>
      <c r="K376" t="s">
        <v>1092</v>
      </c>
      <c r="M376">
        <v>0.40500000000000003</v>
      </c>
      <c r="N376">
        <v>66</v>
      </c>
      <c r="O376" t="s">
        <v>61</v>
      </c>
      <c r="Q376" t="s">
        <v>552</v>
      </c>
      <c r="R376" t="s">
        <v>85</v>
      </c>
      <c r="S376" t="s">
        <v>86</v>
      </c>
    </row>
    <row r="377" spans="1:19" x14ac:dyDescent="0.25">
      <c r="A377" t="s">
        <v>30</v>
      </c>
      <c r="B377" t="s">
        <v>31</v>
      </c>
      <c r="C377" t="s">
        <v>32</v>
      </c>
      <c r="D377" t="s">
        <v>33</v>
      </c>
      <c r="E377" t="s">
        <v>172</v>
      </c>
      <c r="F377" t="s">
        <v>35</v>
      </c>
      <c r="G377" t="s">
        <v>35</v>
      </c>
      <c r="H377" t="s">
        <v>35</v>
      </c>
      <c r="J377" t="s">
        <v>1925</v>
      </c>
      <c r="K377" t="s">
        <v>1092</v>
      </c>
      <c r="M377">
        <v>5.49</v>
      </c>
      <c r="N377">
        <v>36</v>
      </c>
      <c r="O377" t="s">
        <v>52</v>
      </c>
      <c r="Q377" t="s">
        <v>892</v>
      </c>
      <c r="R377" t="s">
        <v>85</v>
      </c>
      <c r="S377" t="s">
        <v>86</v>
      </c>
    </row>
    <row r="378" spans="1:19" x14ac:dyDescent="0.25">
      <c r="A378" t="s">
        <v>30</v>
      </c>
      <c r="B378" t="s">
        <v>31</v>
      </c>
      <c r="C378" t="s">
        <v>32</v>
      </c>
      <c r="D378" t="s">
        <v>33</v>
      </c>
      <c r="E378" t="s">
        <v>196</v>
      </c>
      <c r="F378" t="s">
        <v>35</v>
      </c>
      <c r="G378" t="s">
        <v>35</v>
      </c>
      <c r="H378" t="s">
        <v>35</v>
      </c>
      <c r="J378" t="s">
        <v>2055</v>
      </c>
      <c r="K378" t="s">
        <v>1092</v>
      </c>
      <c r="M378">
        <v>4.68</v>
      </c>
      <c r="N378">
        <v>39</v>
      </c>
      <c r="O378" t="s">
        <v>52</v>
      </c>
      <c r="Q378" t="s">
        <v>493</v>
      </c>
      <c r="R378" t="s">
        <v>85</v>
      </c>
      <c r="S378" t="s">
        <v>86</v>
      </c>
    </row>
    <row r="379" spans="1:19" x14ac:dyDescent="0.25">
      <c r="A379" t="s">
        <v>44</v>
      </c>
      <c r="B379" t="s">
        <v>51</v>
      </c>
      <c r="C379" t="s">
        <v>32</v>
      </c>
      <c r="D379" t="s">
        <v>33</v>
      </c>
      <c r="E379" t="s">
        <v>196</v>
      </c>
      <c r="F379" t="s">
        <v>35</v>
      </c>
      <c r="G379" t="s">
        <v>35</v>
      </c>
      <c r="H379" t="s">
        <v>35</v>
      </c>
      <c r="J379" t="s">
        <v>2055</v>
      </c>
      <c r="K379" t="s">
        <v>1092</v>
      </c>
      <c r="M379">
        <v>5.4</v>
      </c>
      <c r="N379">
        <v>21</v>
      </c>
      <c r="O379" t="s">
        <v>46</v>
      </c>
      <c r="Q379" t="s">
        <v>176</v>
      </c>
      <c r="R379" t="s">
        <v>85</v>
      </c>
      <c r="S379" t="s">
        <v>86</v>
      </c>
    </row>
    <row r="380" spans="1:19" x14ac:dyDescent="0.25">
      <c r="A380" t="s">
        <v>30</v>
      </c>
      <c r="B380" t="s">
        <v>31</v>
      </c>
      <c r="C380" t="s">
        <v>32</v>
      </c>
      <c r="D380" t="s">
        <v>33</v>
      </c>
      <c r="E380" t="s">
        <v>122</v>
      </c>
      <c r="F380" t="s">
        <v>35</v>
      </c>
      <c r="G380" t="s">
        <v>35</v>
      </c>
      <c r="H380" t="s">
        <v>35</v>
      </c>
      <c r="J380" t="s">
        <v>1722</v>
      </c>
      <c r="K380" t="s">
        <v>1092</v>
      </c>
      <c r="M380">
        <v>5.2649999999999997</v>
      </c>
      <c r="N380">
        <v>39</v>
      </c>
      <c r="O380" t="s">
        <v>52</v>
      </c>
      <c r="Q380" t="s">
        <v>493</v>
      </c>
      <c r="R380" t="s">
        <v>85</v>
      </c>
      <c r="S380" t="s">
        <v>86</v>
      </c>
    </row>
    <row r="381" spans="1:19" x14ac:dyDescent="0.25">
      <c r="A381" t="s">
        <v>44</v>
      </c>
      <c r="B381" t="s">
        <v>51</v>
      </c>
      <c r="C381" t="s">
        <v>32</v>
      </c>
      <c r="D381" t="s">
        <v>33</v>
      </c>
      <c r="E381" t="s">
        <v>172</v>
      </c>
      <c r="F381" t="s">
        <v>35</v>
      </c>
      <c r="G381" t="s">
        <v>35</v>
      </c>
      <c r="H381" t="s">
        <v>35</v>
      </c>
      <c r="J381" t="s">
        <v>1961</v>
      </c>
      <c r="K381" t="s">
        <v>1092</v>
      </c>
      <c r="M381">
        <v>5.15</v>
      </c>
      <c r="N381">
        <v>21</v>
      </c>
      <c r="O381" t="s">
        <v>46</v>
      </c>
      <c r="Q381" t="s">
        <v>176</v>
      </c>
      <c r="R381" t="s">
        <v>85</v>
      </c>
      <c r="S381" t="s">
        <v>86</v>
      </c>
    </row>
    <row r="382" spans="1:19" x14ac:dyDescent="0.25">
      <c r="A382" t="s">
        <v>59</v>
      </c>
      <c r="B382" t="s">
        <v>60</v>
      </c>
      <c r="C382" t="s">
        <v>32</v>
      </c>
      <c r="D382" t="s">
        <v>33</v>
      </c>
      <c r="F382" t="s">
        <v>35</v>
      </c>
      <c r="G382" t="s">
        <v>35</v>
      </c>
      <c r="H382" t="s">
        <v>35</v>
      </c>
      <c r="J382" t="s">
        <v>2233</v>
      </c>
      <c r="K382" t="s">
        <v>1092</v>
      </c>
      <c r="M382">
        <v>3.5000000000000003E-2</v>
      </c>
      <c r="N382">
        <v>1011</v>
      </c>
      <c r="O382" t="s">
        <v>575</v>
      </c>
      <c r="Q382" t="s">
        <v>2234</v>
      </c>
      <c r="R382" t="s">
        <v>85</v>
      </c>
      <c r="S382" t="s">
        <v>86</v>
      </c>
    </row>
    <row r="383" spans="1:19" x14ac:dyDescent="0.25">
      <c r="A383" t="s">
        <v>30</v>
      </c>
      <c r="B383" t="s">
        <v>31</v>
      </c>
      <c r="C383" t="s">
        <v>32</v>
      </c>
      <c r="D383" t="s">
        <v>33</v>
      </c>
      <c r="E383" t="s">
        <v>122</v>
      </c>
      <c r="F383" t="s">
        <v>35</v>
      </c>
      <c r="G383" t="s">
        <v>35</v>
      </c>
      <c r="H383" t="s">
        <v>35</v>
      </c>
      <c r="J383" t="s">
        <v>1769</v>
      </c>
      <c r="K383" t="s">
        <v>1092</v>
      </c>
      <c r="M383">
        <v>4.4999999999999998E-2</v>
      </c>
      <c r="N383">
        <v>66</v>
      </c>
      <c r="O383" t="s">
        <v>61</v>
      </c>
      <c r="Q383" t="s">
        <v>552</v>
      </c>
      <c r="R383" t="s">
        <v>85</v>
      </c>
      <c r="S383" t="s">
        <v>86</v>
      </c>
    </row>
    <row r="384" spans="1:19" x14ac:dyDescent="0.25">
      <c r="A384" t="s">
        <v>30</v>
      </c>
      <c r="B384" t="s">
        <v>31</v>
      </c>
      <c r="C384" t="s">
        <v>32</v>
      </c>
      <c r="D384" t="s">
        <v>33</v>
      </c>
      <c r="E384" t="s">
        <v>196</v>
      </c>
      <c r="F384" t="s">
        <v>35</v>
      </c>
      <c r="G384" t="s">
        <v>35</v>
      </c>
      <c r="H384" t="s">
        <v>35</v>
      </c>
      <c r="J384" t="s">
        <v>2054</v>
      </c>
      <c r="K384" t="s">
        <v>1092</v>
      </c>
      <c r="M384">
        <v>7.38</v>
      </c>
      <c r="N384">
        <v>39</v>
      </c>
      <c r="O384" t="s">
        <v>52</v>
      </c>
      <c r="Q384" t="s">
        <v>493</v>
      </c>
      <c r="R384" t="s">
        <v>85</v>
      </c>
      <c r="S384" t="s">
        <v>86</v>
      </c>
    </row>
    <row r="385" spans="1:19" x14ac:dyDescent="0.25">
      <c r="A385" t="s">
        <v>59</v>
      </c>
      <c r="B385" t="s">
        <v>60</v>
      </c>
      <c r="C385" t="s">
        <v>32</v>
      </c>
      <c r="D385" t="s">
        <v>33</v>
      </c>
      <c r="E385" t="s">
        <v>122</v>
      </c>
      <c r="F385" t="s">
        <v>35</v>
      </c>
      <c r="G385" t="s">
        <v>35</v>
      </c>
      <c r="H385" t="s">
        <v>35</v>
      </c>
      <c r="J385" t="s">
        <v>1811</v>
      </c>
      <c r="K385" t="s">
        <v>1092</v>
      </c>
      <c r="M385">
        <v>2.5</v>
      </c>
      <c r="N385">
        <v>92</v>
      </c>
      <c r="O385" t="s">
        <v>106</v>
      </c>
      <c r="Q385" t="s">
        <v>1216</v>
      </c>
      <c r="R385" t="s">
        <v>85</v>
      </c>
      <c r="S385" t="s">
        <v>86</v>
      </c>
    </row>
    <row r="386" spans="1:19" x14ac:dyDescent="0.25">
      <c r="A386" t="s">
        <v>30</v>
      </c>
      <c r="B386" t="s">
        <v>31</v>
      </c>
      <c r="C386" t="s">
        <v>32</v>
      </c>
      <c r="D386" t="s">
        <v>33</v>
      </c>
      <c r="E386" t="s">
        <v>196</v>
      </c>
      <c r="F386" t="s">
        <v>35</v>
      </c>
      <c r="G386" t="s">
        <v>35</v>
      </c>
      <c r="H386" t="s">
        <v>35</v>
      </c>
      <c r="J386" t="s">
        <v>2041</v>
      </c>
      <c r="K386" t="s">
        <v>1092</v>
      </c>
      <c r="M386">
        <v>4.1399999999999997</v>
      </c>
      <c r="N386">
        <v>39</v>
      </c>
      <c r="O386" t="s">
        <v>52</v>
      </c>
      <c r="Q386" t="s">
        <v>493</v>
      </c>
      <c r="R386" t="s">
        <v>85</v>
      </c>
      <c r="S386" t="s">
        <v>86</v>
      </c>
    </row>
    <row r="387" spans="1:19" x14ac:dyDescent="0.25">
      <c r="A387" t="s">
        <v>44</v>
      </c>
      <c r="B387" t="s">
        <v>51</v>
      </c>
      <c r="C387" t="s">
        <v>32</v>
      </c>
      <c r="D387" t="s">
        <v>33</v>
      </c>
      <c r="E387" t="s">
        <v>196</v>
      </c>
      <c r="F387" t="s">
        <v>35</v>
      </c>
      <c r="G387" t="s">
        <v>35</v>
      </c>
      <c r="H387" t="s">
        <v>35</v>
      </c>
      <c r="J387" t="s">
        <v>2041</v>
      </c>
      <c r="K387" t="s">
        <v>1092</v>
      </c>
      <c r="M387">
        <v>4.25</v>
      </c>
      <c r="N387">
        <v>21</v>
      </c>
      <c r="O387" t="s">
        <v>46</v>
      </c>
      <c r="Q387" t="s">
        <v>176</v>
      </c>
      <c r="R387" t="s">
        <v>85</v>
      </c>
      <c r="S387" t="s">
        <v>86</v>
      </c>
    </row>
    <row r="388" spans="1:19" x14ac:dyDescent="0.25">
      <c r="A388" t="s">
        <v>59</v>
      </c>
      <c r="B388" t="s">
        <v>60</v>
      </c>
      <c r="C388" t="s">
        <v>32</v>
      </c>
      <c r="D388" t="s">
        <v>33</v>
      </c>
      <c r="E388" t="s">
        <v>196</v>
      </c>
      <c r="F388" t="s">
        <v>35</v>
      </c>
      <c r="G388" t="s">
        <v>35</v>
      </c>
      <c r="H388" t="s">
        <v>35</v>
      </c>
      <c r="J388" t="s">
        <v>2041</v>
      </c>
      <c r="K388" t="s">
        <v>1092</v>
      </c>
      <c r="M388">
        <v>3.25</v>
      </c>
      <c r="N388">
        <v>66</v>
      </c>
      <c r="O388" t="s">
        <v>61</v>
      </c>
      <c r="Q388" t="s">
        <v>552</v>
      </c>
      <c r="R388" t="s">
        <v>85</v>
      </c>
      <c r="S388" t="s">
        <v>86</v>
      </c>
    </row>
    <row r="389" spans="1:19" x14ac:dyDescent="0.25">
      <c r="A389" t="s">
        <v>44</v>
      </c>
      <c r="B389" t="s">
        <v>3</v>
      </c>
      <c r="C389" t="s">
        <v>32</v>
      </c>
      <c r="D389" t="s">
        <v>33</v>
      </c>
      <c r="E389" t="s">
        <v>196</v>
      </c>
      <c r="F389" t="s">
        <v>35</v>
      </c>
      <c r="G389" t="s">
        <v>35</v>
      </c>
      <c r="H389" t="s">
        <v>35</v>
      </c>
      <c r="J389" t="s">
        <v>2041</v>
      </c>
      <c r="K389" t="s">
        <v>1092</v>
      </c>
      <c r="M389">
        <v>5.5</v>
      </c>
      <c r="N389">
        <v>55</v>
      </c>
      <c r="O389" t="s">
        <v>52</v>
      </c>
      <c r="Q389" t="s">
        <v>90</v>
      </c>
      <c r="R389" t="s">
        <v>85</v>
      </c>
      <c r="S389" t="s">
        <v>86</v>
      </c>
    </row>
    <row r="390" spans="1:19" x14ac:dyDescent="0.25">
      <c r="A390" t="s">
        <v>59</v>
      </c>
      <c r="B390" t="s">
        <v>31</v>
      </c>
      <c r="C390" t="s">
        <v>32</v>
      </c>
      <c r="D390" t="s">
        <v>33</v>
      </c>
      <c r="E390" t="s">
        <v>122</v>
      </c>
      <c r="F390" t="s">
        <v>35</v>
      </c>
      <c r="G390" t="s">
        <v>35</v>
      </c>
      <c r="H390" t="s">
        <v>35</v>
      </c>
      <c r="J390" t="s">
        <v>1773</v>
      </c>
      <c r="K390" t="s">
        <v>1092</v>
      </c>
      <c r="M390">
        <v>5.9249999999999998</v>
      </c>
      <c r="N390">
        <v>240</v>
      </c>
      <c r="O390" t="s">
        <v>5</v>
      </c>
      <c r="Q390" t="s">
        <v>574</v>
      </c>
      <c r="R390" t="s">
        <v>85</v>
      </c>
      <c r="S390" t="s">
        <v>86</v>
      </c>
    </row>
    <row r="391" spans="1:19" x14ac:dyDescent="0.25">
      <c r="A391" t="s">
        <v>59</v>
      </c>
      <c r="B391" t="s">
        <v>60</v>
      </c>
      <c r="C391" t="s">
        <v>32</v>
      </c>
      <c r="D391" t="s">
        <v>33</v>
      </c>
      <c r="E391" t="s">
        <v>122</v>
      </c>
      <c r="F391" t="s">
        <v>35</v>
      </c>
      <c r="G391" t="s">
        <v>35</v>
      </c>
      <c r="H391" t="s">
        <v>35</v>
      </c>
      <c r="J391" t="s">
        <v>1773</v>
      </c>
      <c r="K391" t="s">
        <v>1092</v>
      </c>
      <c r="M391">
        <v>5.5</v>
      </c>
      <c r="N391">
        <v>66</v>
      </c>
      <c r="O391" t="s">
        <v>61</v>
      </c>
      <c r="Q391" t="s">
        <v>552</v>
      </c>
      <c r="R391" t="s">
        <v>85</v>
      </c>
      <c r="S391" t="s">
        <v>86</v>
      </c>
    </row>
    <row r="392" spans="1:19" x14ac:dyDescent="0.25">
      <c r="A392" t="s">
        <v>59</v>
      </c>
      <c r="B392" t="s">
        <v>31</v>
      </c>
      <c r="C392" t="s">
        <v>32</v>
      </c>
      <c r="D392" t="s">
        <v>33</v>
      </c>
      <c r="E392" t="s">
        <v>122</v>
      </c>
      <c r="F392" t="s">
        <v>35</v>
      </c>
      <c r="G392" t="s">
        <v>35</v>
      </c>
      <c r="H392" t="s">
        <v>35</v>
      </c>
      <c r="J392" t="s">
        <v>1755</v>
      </c>
      <c r="K392" t="s">
        <v>1092</v>
      </c>
      <c r="M392">
        <v>1.89</v>
      </c>
      <c r="N392">
        <v>1175</v>
      </c>
      <c r="O392" t="s">
        <v>575</v>
      </c>
      <c r="Q392" t="s">
        <v>1756</v>
      </c>
      <c r="R392" t="s">
        <v>85</v>
      </c>
      <c r="S392" t="s">
        <v>86</v>
      </c>
    </row>
    <row r="393" spans="1:19" x14ac:dyDescent="0.25">
      <c r="A393" t="s">
        <v>59</v>
      </c>
      <c r="B393" t="s">
        <v>60</v>
      </c>
      <c r="C393" t="s">
        <v>32</v>
      </c>
      <c r="D393" t="s">
        <v>33</v>
      </c>
      <c r="F393" t="s">
        <v>35</v>
      </c>
      <c r="G393" t="s">
        <v>35</v>
      </c>
      <c r="H393" t="s">
        <v>35</v>
      </c>
      <c r="J393" t="s">
        <v>2258</v>
      </c>
      <c r="K393" t="s">
        <v>1092</v>
      </c>
      <c r="M393">
        <v>0.05</v>
      </c>
      <c r="N393">
        <v>1930</v>
      </c>
      <c r="O393" t="s">
        <v>575</v>
      </c>
      <c r="Q393" t="s">
        <v>2259</v>
      </c>
      <c r="R393" t="s">
        <v>2260</v>
      </c>
      <c r="S393" t="s">
        <v>86</v>
      </c>
    </row>
    <row r="394" spans="1:19" x14ac:dyDescent="0.25">
      <c r="A394" t="s">
        <v>59</v>
      </c>
      <c r="B394" t="s">
        <v>60</v>
      </c>
      <c r="C394" t="s">
        <v>32</v>
      </c>
      <c r="D394" t="s">
        <v>33</v>
      </c>
      <c r="E394" t="s">
        <v>64</v>
      </c>
      <c r="F394" t="s">
        <v>35</v>
      </c>
      <c r="G394" t="s">
        <v>35</v>
      </c>
      <c r="H394" t="s">
        <v>35</v>
      </c>
      <c r="J394" t="s">
        <v>1262</v>
      </c>
      <c r="K394" t="s">
        <v>1092</v>
      </c>
      <c r="M394">
        <v>4.5</v>
      </c>
      <c r="N394">
        <v>93</v>
      </c>
      <c r="O394" t="s">
        <v>106</v>
      </c>
      <c r="Q394" t="s">
        <v>1112</v>
      </c>
      <c r="R394" t="s">
        <v>85</v>
      </c>
      <c r="S394" t="s">
        <v>86</v>
      </c>
    </row>
    <row r="395" spans="1:19" x14ac:dyDescent="0.25">
      <c r="A395" t="s">
        <v>30</v>
      </c>
      <c r="B395" t="s">
        <v>31</v>
      </c>
      <c r="C395" t="s">
        <v>32</v>
      </c>
      <c r="D395" t="s">
        <v>33</v>
      </c>
      <c r="E395" t="s">
        <v>64</v>
      </c>
      <c r="F395" t="s">
        <v>35</v>
      </c>
      <c r="G395" t="s">
        <v>35</v>
      </c>
      <c r="H395" t="s">
        <v>35</v>
      </c>
      <c r="J395" t="s">
        <v>1262</v>
      </c>
      <c r="K395" t="s">
        <v>1092</v>
      </c>
      <c r="M395">
        <v>9.6300000000000008</v>
      </c>
      <c r="N395">
        <v>39</v>
      </c>
      <c r="O395" t="s">
        <v>52</v>
      </c>
      <c r="Q395" t="s">
        <v>493</v>
      </c>
      <c r="R395" t="s">
        <v>85</v>
      </c>
      <c r="S395" t="s">
        <v>86</v>
      </c>
    </row>
    <row r="396" spans="1:19" x14ac:dyDescent="0.25">
      <c r="A396" t="s">
        <v>59</v>
      </c>
      <c r="B396" t="s">
        <v>31</v>
      </c>
      <c r="C396" t="s">
        <v>32</v>
      </c>
      <c r="D396" t="s">
        <v>33</v>
      </c>
      <c r="E396" t="s">
        <v>1292</v>
      </c>
      <c r="F396" t="s">
        <v>35</v>
      </c>
      <c r="G396" t="s">
        <v>35</v>
      </c>
      <c r="H396" t="s">
        <v>35</v>
      </c>
      <c r="J396" t="s">
        <v>1336</v>
      </c>
      <c r="K396" t="s">
        <v>1092</v>
      </c>
      <c r="M396">
        <v>2.6549999999999998</v>
      </c>
      <c r="N396">
        <v>63</v>
      </c>
      <c r="O396" t="s">
        <v>61</v>
      </c>
      <c r="Q396" t="s">
        <v>126</v>
      </c>
      <c r="R396" t="s">
        <v>85</v>
      </c>
      <c r="S396" t="s">
        <v>86</v>
      </c>
    </row>
    <row r="397" spans="1:19" x14ac:dyDescent="0.25">
      <c r="A397" t="s">
        <v>30</v>
      </c>
      <c r="B397" t="s">
        <v>31</v>
      </c>
      <c r="C397" t="s">
        <v>32</v>
      </c>
      <c r="D397" t="s">
        <v>33</v>
      </c>
      <c r="E397" t="s">
        <v>1292</v>
      </c>
      <c r="F397" t="s">
        <v>35</v>
      </c>
      <c r="G397" t="s">
        <v>35</v>
      </c>
      <c r="H397" t="s">
        <v>35</v>
      </c>
      <c r="J397" t="s">
        <v>1398</v>
      </c>
      <c r="K397" t="s">
        <v>1092</v>
      </c>
      <c r="M397">
        <v>1.395</v>
      </c>
      <c r="N397">
        <v>66</v>
      </c>
      <c r="O397" t="s">
        <v>61</v>
      </c>
      <c r="Q397" t="s">
        <v>552</v>
      </c>
      <c r="R397" t="s">
        <v>85</v>
      </c>
      <c r="S397" t="s">
        <v>86</v>
      </c>
    </row>
    <row r="398" spans="1:19" x14ac:dyDescent="0.25">
      <c r="A398" t="s">
        <v>59</v>
      </c>
      <c r="B398" t="s">
        <v>31</v>
      </c>
      <c r="C398" t="s">
        <v>32</v>
      </c>
      <c r="D398" t="s">
        <v>33</v>
      </c>
      <c r="E398" t="s">
        <v>64</v>
      </c>
      <c r="F398" t="s">
        <v>35</v>
      </c>
      <c r="G398" t="s">
        <v>35</v>
      </c>
      <c r="H398" t="s">
        <v>35</v>
      </c>
      <c r="J398" t="s">
        <v>1253</v>
      </c>
      <c r="K398" t="s">
        <v>1092</v>
      </c>
      <c r="M398">
        <v>4.9050000000000002</v>
      </c>
      <c r="N398">
        <v>65</v>
      </c>
      <c r="O398" t="s">
        <v>61</v>
      </c>
      <c r="Q398" t="s">
        <v>63</v>
      </c>
      <c r="R398" t="s">
        <v>85</v>
      </c>
      <c r="S398" t="s">
        <v>86</v>
      </c>
    </row>
    <row r="399" spans="1:19" x14ac:dyDescent="0.25">
      <c r="A399" t="s">
        <v>30</v>
      </c>
      <c r="B399" t="s">
        <v>31</v>
      </c>
      <c r="C399" t="s">
        <v>32</v>
      </c>
      <c r="D399" t="s">
        <v>33</v>
      </c>
      <c r="E399" t="s">
        <v>64</v>
      </c>
      <c r="F399" t="s">
        <v>35</v>
      </c>
      <c r="G399" t="s">
        <v>35</v>
      </c>
      <c r="H399" t="s">
        <v>35</v>
      </c>
      <c r="J399" t="s">
        <v>1253</v>
      </c>
      <c r="K399" t="s">
        <v>1092</v>
      </c>
      <c r="M399">
        <v>5.49</v>
      </c>
      <c r="N399">
        <v>69</v>
      </c>
      <c r="O399" t="s">
        <v>61</v>
      </c>
      <c r="Q399" t="s">
        <v>234</v>
      </c>
      <c r="R399" t="s">
        <v>85</v>
      </c>
      <c r="S399" t="s">
        <v>86</v>
      </c>
    </row>
    <row r="400" spans="1:19" x14ac:dyDescent="0.25">
      <c r="A400" t="s">
        <v>59</v>
      </c>
      <c r="B400" t="s">
        <v>60</v>
      </c>
      <c r="C400" t="s">
        <v>32</v>
      </c>
      <c r="D400" t="s">
        <v>33</v>
      </c>
      <c r="E400" t="s">
        <v>64</v>
      </c>
      <c r="F400" t="s">
        <v>35</v>
      </c>
      <c r="G400" t="s">
        <v>35</v>
      </c>
      <c r="H400" t="s">
        <v>35</v>
      </c>
      <c r="J400" t="s">
        <v>1253</v>
      </c>
      <c r="K400" t="s">
        <v>1092</v>
      </c>
      <c r="M400">
        <v>3</v>
      </c>
      <c r="N400">
        <v>65</v>
      </c>
      <c r="O400" t="s">
        <v>61</v>
      </c>
      <c r="Q400" t="s">
        <v>63</v>
      </c>
      <c r="R400" t="s">
        <v>85</v>
      </c>
      <c r="S400" t="s">
        <v>86</v>
      </c>
    </row>
    <row r="401" spans="1:19" x14ac:dyDescent="0.25">
      <c r="A401" t="s">
        <v>44</v>
      </c>
      <c r="B401" t="s">
        <v>51</v>
      </c>
      <c r="C401" t="s">
        <v>32</v>
      </c>
      <c r="D401" t="s">
        <v>33</v>
      </c>
      <c r="E401" t="s">
        <v>64</v>
      </c>
      <c r="F401" t="s">
        <v>35</v>
      </c>
      <c r="G401" t="s">
        <v>35</v>
      </c>
      <c r="H401" t="s">
        <v>35</v>
      </c>
      <c r="J401" t="s">
        <v>1253</v>
      </c>
      <c r="K401" t="s">
        <v>1092</v>
      </c>
      <c r="M401">
        <v>11</v>
      </c>
      <c r="N401">
        <v>21</v>
      </c>
      <c r="O401" t="s">
        <v>46</v>
      </c>
      <c r="Q401" t="s">
        <v>176</v>
      </c>
      <c r="R401" t="s">
        <v>85</v>
      </c>
      <c r="S401" t="s">
        <v>86</v>
      </c>
    </row>
    <row r="402" spans="1:19" x14ac:dyDescent="0.25">
      <c r="A402" t="s">
        <v>59</v>
      </c>
      <c r="B402" t="s">
        <v>31</v>
      </c>
      <c r="C402" t="s">
        <v>32</v>
      </c>
      <c r="D402" t="s">
        <v>33</v>
      </c>
      <c r="F402" t="s">
        <v>35</v>
      </c>
      <c r="G402" t="s">
        <v>35</v>
      </c>
      <c r="H402" t="s">
        <v>35</v>
      </c>
      <c r="J402" t="s">
        <v>2376</v>
      </c>
      <c r="K402" t="s">
        <v>1092</v>
      </c>
      <c r="M402">
        <v>0.36899999999999999</v>
      </c>
      <c r="N402">
        <v>2411</v>
      </c>
      <c r="O402" t="s">
        <v>575</v>
      </c>
      <c r="Q402" t="s">
        <v>2377</v>
      </c>
      <c r="R402" t="s">
        <v>85</v>
      </c>
      <c r="S402" t="s">
        <v>86</v>
      </c>
    </row>
    <row r="403" spans="1:19" x14ac:dyDescent="0.25">
      <c r="A403" t="s">
        <v>59</v>
      </c>
      <c r="B403" t="s">
        <v>60</v>
      </c>
      <c r="C403" t="s">
        <v>32</v>
      </c>
      <c r="D403" t="s">
        <v>33</v>
      </c>
      <c r="F403" t="s">
        <v>35</v>
      </c>
      <c r="G403" t="s">
        <v>35</v>
      </c>
      <c r="H403" t="s">
        <v>35</v>
      </c>
      <c r="J403" t="s">
        <v>2290</v>
      </c>
      <c r="K403" t="s">
        <v>1092</v>
      </c>
      <c r="M403">
        <v>1.3</v>
      </c>
      <c r="N403">
        <v>1255</v>
      </c>
      <c r="O403" t="s">
        <v>575</v>
      </c>
      <c r="Q403" t="s">
        <v>2292</v>
      </c>
      <c r="R403" t="s">
        <v>85</v>
      </c>
      <c r="S403" t="s">
        <v>86</v>
      </c>
    </row>
    <row r="404" spans="1:19" x14ac:dyDescent="0.25">
      <c r="A404" t="s">
        <v>44</v>
      </c>
      <c r="B404" t="s">
        <v>3</v>
      </c>
      <c r="C404" t="s">
        <v>32</v>
      </c>
      <c r="D404" t="s">
        <v>33</v>
      </c>
      <c r="E404" t="s">
        <v>119</v>
      </c>
      <c r="F404" t="s">
        <v>35</v>
      </c>
      <c r="G404" t="s">
        <v>35</v>
      </c>
      <c r="H404" t="s">
        <v>35</v>
      </c>
      <c r="J404" t="s">
        <v>120</v>
      </c>
      <c r="K404" t="s">
        <v>37</v>
      </c>
      <c r="M404">
        <v>8</v>
      </c>
      <c r="N404">
        <v>52</v>
      </c>
      <c r="O404" t="s">
        <v>52</v>
      </c>
      <c r="P404" t="s">
        <v>121</v>
      </c>
      <c r="Q404" t="s">
        <v>84</v>
      </c>
      <c r="R404" t="s">
        <v>85</v>
      </c>
      <c r="S404" t="s">
        <v>86</v>
      </c>
    </row>
    <row r="405" spans="1:19" x14ac:dyDescent="0.25">
      <c r="A405" t="s">
        <v>30</v>
      </c>
      <c r="B405" t="s">
        <v>31</v>
      </c>
      <c r="C405" t="s">
        <v>32</v>
      </c>
      <c r="D405" t="s">
        <v>33</v>
      </c>
      <c r="E405" t="s">
        <v>1292</v>
      </c>
      <c r="F405" t="s">
        <v>35</v>
      </c>
      <c r="G405" t="s">
        <v>35</v>
      </c>
      <c r="H405" t="s">
        <v>35</v>
      </c>
      <c r="J405" t="s">
        <v>1337</v>
      </c>
      <c r="K405" t="s">
        <v>1092</v>
      </c>
      <c r="M405">
        <v>9.99</v>
      </c>
      <c r="N405">
        <v>13</v>
      </c>
      <c r="O405" t="s">
        <v>46</v>
      </c>
      <c r="Q405" t="s">
        <v>1004</v>
      </c>
      <c r="R405" t="s">
        <v>85</v>
      </c>
      <c r="S405" t="s">
        <v>86</v>
      </c>
    </row>
    <row r="406" spans="1:19" x14ac:dyDescent="0.25">
      <c r="A406" t="s">
        <v>59</v>
      </c>
      <c r="B406" t="s">
        <v>60</v>
      </c>
      <c r="C406" t="s">
        <v>32</v>
      </c>
      <c r="D406" t="s">
        <v>33</v>
      </c>
      <c r="E406" t="s">
        <v>1292</v>
      </c>
      <c r="F406" t="s">
        <v>35</v>
      </c>
      <c r="G406" t="s">
        <v>35</v>
      </c>
      <c r="H406" t="s">
        <v>35</v>
      </c>
      <c r="J406" t="s">
        <v>1365</v>
      </c>
      <c r="K406" t="s">
        <v>1092</v>
      </c>
      <c r="M406">
        <v>5.2</v>
      </c>
      <c r="N406">
        <v>55</v>
      </c>
      <c r="O406" t="s">
        <v>52</v>
      </c>
      <c r="Q406" t="s">
        <v>90</v>
      </c>
      <c r="R406" t="s">
        <v>85</v>
      </c>
      <c r="S406" t="s">
        <v>86</v>
      </c>
    </row>
    <row r="407" spans="1:19" x14ac:dyDescent="0.25">
      <c r="A407" t="s">
        <v>59</v>
      </c>
      <c r="B407" t="s">
        <v>60</v>
      </c>
      <c r="C407" t="s">
        <v>32</v>
      </c>
      <c r="D407" t="s">
        <v>33</v>
      </c>
      <c r="E407" t="s">
        <v>122</v>
      </c>
      <c r="F407" t="s">
        <v>35</v>
      </c>
      <c r="G407" t="s">
        <v>35</v>
      </c>
      <c r="H407" t="s">
        <v>35</v>
      </c>
      <c r="J407" t="s">
        <v>1791</v>
      </c>
      <c r="K407" t="s">
        <v>1092</v>
      </c>
      <c r="M407">
        <v>10</v>
      </c>
      <c r="N407">
        <v>55</v>
      </c>
      <c r="O407" t="s">
        <v>52</v>
      </c>
      <c r="Q407" t="s">
        <v>90</v>
      </c>
      <c r="R407" t="s">
        <v>85</v>
      </c>
      <c r="S407" t="s">
        <v>86</v>
      </c>
    </row>
    <row r="408" spans="1:19" x14ac:dyDescent="0.25">
      <c r="A408" t="s">
        <v>59</v>
      </c>
      <c r="B408" t="s">
        <v>60</v>
      </c>
      <c r="C408" t="s">
        <v>32</v>
      </c>
      <c r="D408" t="s">
        <v>33</v>
      </c>
      <c r="E408" t="s">
        <v>122</v>
      </c>
      <c r="F408" t="s">
        <v>35</v>
      </c>
      <c r="G408" t="s">
        <v>35</v>
      </c>
      <c r="H408" t="s">
        <v>35</v>
      </c>
      <c r="J408" t="s">
        <v>1791</v>
      </c>
      <c r="K408" t="s">
        <v>1092</v>
      </c>
      <c r="M408">
        <v>6.5</v>
      </c>
      <c r="N408">
        <v>174</v>
      </c>
      <c r="O408" t="s">
        <v>38</v>
      </c>
      <c r="Q408" t="s">
        <v>1684</v>
      </c>
      <c r="R408" t="s">
        <v>85</v>
      </c>
      <c r="S408" t="s">
        <v>86</v>
      </c>
    </row>
    <row r="409" spans="1:19" x14ac:dyDescent="0.25">
      <c r="A409" t="s">
        <v>59</v>
      </c>
      <c r="B409" t="s">
        <v>31</v>
      </c>
      <c r="C409" t="s">
        <v>32</v>
      </c>
      <c r="D409" t="s">
        <v>33</v>
      </c>
      <c r="E409" t="s">
        <v>122</v>
      </c>
      <c r="F409" t="s">
        <v>35</v>
      </c>
      <c r="G409" t="s">
        <v>35</v>
      </c>
      <c r="H409" t="s">
        <v>35</v>
      </c>
      <c r="J409" t="s">
        <v>1791</v>
      </c>
      <c r="K409" t="s">
        <v>1092</v>
      </c>
      <c r="M409">
        <v>7.7850000000000001</v>
      </c>
      <c r="N409">
        <v>174</v>
      </c>
      <c r="O409" t="s">
        <v>38</v>
      </c>
      <c r="Q409" t="s">
        <v>1684</v>
      </c>
      <c r="R409" t="s">
        <v>85</v>
      </c>
      <c r="S409" t="s">
        <v>86</v>
      </c>
    </row>
    <row r="410" spans="1:19" x14ac:dyDescent="0.25">
      <c r="A410" t="s">
        <v>30</v>
      </c>
      <c r="B410" t="s">
        <v>31</v>
      </c>
      <c r="C410" t="s">
        <v>32</v>
      </c>
      <c r="D410" t="s">
        <v>33</v>
      </c>
      <c r="E410" t="s">
        <v>204</v>
      </c>
      <c r="F410" t="s">
        <v>35</v>
      </c>
      <c r="G410" t="s">
        <v>35</v>
      </c>
      <c r="H410" t="s">
        <v>35</v>
      </c>
      <c r="J410" t="s">
        <v>2178</v>
      </c>
      <c r="K410" t="s">
        <v>1092</v>
      </c>
      <c r="M410">
        <v>4.95</v>
      </c>
      <c r="N410">
        <v>120</v>
      </c>
      <c r="O410" t="s">
        <v>106</v>
      </c>
      <c r="Q410" t="s">
        <v>2145</v>
      </c>
      <c r="R410" t="s">
        <v>85</v>
      </c>
      <c r="S410" t="s">
        <v>86</v>
      </c>
    </row>
    <row r="411" spans="1:19" x14ac:dyDescent="0.25">
      <c r="A411" t="s">
        <v>44</v>
      </c>
      <c r="B411" t="s">
        <v>51</v>
      </c>
      <c r="C411" t="s">
        <v>32</v>
      </c>
      <c r="D411" t="s">
        <v>33</v>
      </c>
      <c r="E411" t="s">
        <v>204</v>
      </c>
      <c r="F411" t="s">
        <v>35</v>
      </c>
      <c r="G411" t="s">
        <v>35</v>
      </c>
      <c r="H411" t="s">
        <v>35</v>
      </c>
      <c r="J411" t="s">
        <v>2167</v>
      </c>
      <c r="K411" t="s">
        <v>1092</v>
      </c>
      <c r="M411">
        <v>8.35</v>
      </c>
      <c r="N411">
        <v>21</v>
      </c>
      <c r="O411" t="s">
        <v>46</v>
      </c>
      <c r="Q411" t="s">
        <v>176</v>
      </c>
      <c r="R411" t="s">
        <v>85</v>
      </c>
      <c r="S411" t="s">
        <v>86</v>
      </c>
    </row>
    <row r="412" spans="1:19" x14ac:dyDescent="0.25">
      <c r="A412" t="s">
        <v>44</v>
      </c>
      <c r="B412" t="s">
        <v>3</v>
      </c>
      <c r="C412" t="s">
        <v>32</v>
      </c>
      <c r="D412" t="s">
        <v>33</v>
      </c>
      <c r="E412" t="s">
        <v>64</v>
      </c>
      <c r="F412" t="s">
        <v>35</v>
      </c>
      <c r="G412" t="s">
        <v>35</v>
      </c>
      <c r="H412" t="s">
        <v>35</v>
      </c>
      <c r="J412" t="s">
        <v>81</v>
      </c>
      <c r="K412" t="s">
        <v>37</v>
      </c>
      <c r="M412">
        <v>8.3000000000000007</v>
      </c>
      <c r="N412">
        <v>52</v>
      </c>
      <c r="O412" t="s">
        <v>52</v>
      </c>
      <c r="P412" t="s">
        <v>83</v>
      </c>
      <c r="Q412" t="s">
        <v>84</v>
      </c>
      <c r="R412" t="s">
        <v>85</v>
      </c>
      <c r="S412" t="s">
        <v>86</v>
      </c>
    </row>
    <row r="413" spans="1:19" x14ac:dyDescent="0.25">
      <c r="A413" t="s">
        <v>44</v>
      </c>
      <c r="B413" t="s">
        <v>51</v>
      </c>
      <c r="C413" t="s">
        <v>32</v>
      </c>
      <c r="D413" t="s">
        <v>33</v>
      </c>
      <c r="E413" t="s">
        <v>196</v>
      </c>
      <c r="F413" t="s">
        <v>35</v>
      </c>
      <c r="G413" t="s">
        <v>35</v>
      </c>
      <c r="H413" t="s">
        <v>35</v>
      </c>
      <c r="J413" t="s">
        <v>2029</v>
      </c>
      <c r="K413" t="s">
        <v>1092</v>
      </c>
      <c r="M413">
        <v>0.85</v>
      </c>
      <c r="N413">
        <v>21</v>
      </c>
      <c r="O413" t="s">
        <v>46</v>
      </c>
      <c r="Q413" t="s">
        <v>176</v>
      </c>
      <c r="R413" t="s">
        <v>85</v>
      </c>
      <c r="S413" t="s">
        <v>86</v>
      </c>
    </row>
    <row r="414" spans="1:19" x14ac:dyDescent="0.25">
      <c r="A414" t="s">
        <v>30</v>
      </c>
      <c r="B414" t="s">
        <v>31</v>
      </c>
      <c r="C414" t="s">
        <v>32</v>
      </c>
      <c r="D414" t="s">
        <v>33</v>
      </c>
      <c r="F414" t="s">
        <v>35</v>
      </c>
      <c r="G414" t="s">
        <v>35</v>
      </c>
      <c r="H414" t="s">
        <v>35</v>
      </c>
      <c r="J414" t="s">
        <v>2237</v>
      </c>
      <c r="K414" t="s">
        <v>1092</v>
      </c>
      <c r="M414">
        <v>10.98</v>
      </c>
      <c r="N414">
        <v>39</v>
      </c>
      <c r="O414" t="s">
        <v>52</v>
      </c>
      <c r="Q414" t="s">
        <v>493</v>
      </c>
      <c r="R414" t="s">
        <v>85</v>
      </c>
      <c r="S414" t="s">
        <v>86</v>
      </c>
    </row>
    <row r="415" spans="1:19" x14ac:dyDescent="0.25">
      <c r="A415" t="s">
        <v>30</v>
      </c>
      <c r="B415" t="s">
        <v>31</v>
      </c>
      <c r="C415" t="s">
        <v>32</v>
      </c>
      <c r="D415" t="s">
        <v>33</v>
      </c>
      <c r="E415" t="s">
        <v>204</v>
      </c>
      <c r="F415" t="s">
        <v>35</v>
      </c>
      <c r="G415" t="s">
        <v>35</v>
      </c>
      <c r="H415" t="s">
        <v>35</v>
      </c>
      <c r="J415" t="s">
        <v>2141</v>
      </c>
      <c r="K415" t="s">
        <v>1092</v>
      </c>
      <c r="M415">
        <v>5.4450000000000003</v>
      </c>
      <c r="N415">
        <v>66</v>
      </c>
      <c r="O415" t="s">
        <v>61</v>
      </c>
      <c r="Q415" t="s">
        <v>552</v>
      </c>
      <c r="R415" t="s">
        <v>85</v>
      </c>
      <c r="S415" t="s">
        <v>86</v>
      </c>
    </row>
    <row r="416" spans="1:19" x14ac:dyDescent="0.25">
      <c r="A416" t="s">
        <v>30</v>
      </c>
      <c r="B416" t="s">
        <v>31</v>
      </c>
      <c r="C416" t="s">
        <v>32</v>
      </c>
      <c r="D416" t="s">
        <v>33</v>
      </c>
      <c r="E416" t="s">
        <v>1292</v>
      </c>
      <c r="F416" t="s">
        <v>35</v>
      </c>
      <c r="G416" t="s">
        <v>35</v>
      </c>
      <c r="H416" t="s">
        <v>35</v>
      </c>
      <c r="J416" t="s">
        <v>1412</v>
      </c>
      <c r="K416" t="s">
        <v>1092</v>
      </c>
      <c r="M416">
        <v>0.36</v>
      </c>
      <c r="N416">
        <v>447</v>
      </c>
      <c r="O416" t="s">
        <v>294</v>
      </c>
      <c r="Q416" t="s">
        <v>1413</v>
      </c>
      <c r="R416" t="s">
        <v>85</v>
      </c>
      <c r="S416" t="s">
        <v>86</v>
      </c>
    </row>
    <row r="417" spans="1:19" x14ac:dyDescent="0.25">
      <c r="A417" t="s">
        <v>59</v>
      </c>
      <c r="B417" t="s">
        <v>60</v>
      </c>
      <c r="C417" t="s">
        <v>32</v>
      </c>
      <c r="D417" t="s">
        <v>33</v>
      </c>
      <c r="E417" t="s">
        <v>196</v>
      </c>
      <c r="F417" t="s">
        <v>35</v>
      </c>
      <c r="G417" t="s">
        <v>35</v>
      </c>
      <c r="H417" t="s">
        <v>35</v>
      </c>
      <c r="J417" t="s">
        <v>2045</v>
      </c>
      <c r="K417" t="s">
        <v>1092</v>
      </c>
      <c r="M417">
        <v>3.4</v>
      </c>
      <c r="N417">
        <v>185</v>
      </c>
      <c r="O417" t="s">
        <v>5</v>
      </c>
      <c r="Q417" t="s">
        <v>2046</v>
      </c>
      <c r="R417" t="s">
        <v>85</v>
      </c>
      <c r="S417" t="s">
        <v>86</v>
      </c>
    </row>
    <row r="418" spans="1:19" x14ac:dyDescent="0.25">
      <c r="A418" t="s">
        <v>30</v>
      </c>
      <c r="B418" t="s">
        <v>31</v>
      </c>
      <c r="C418" t="s">
        <v>32</v>
      </c>
      <c r="D418" t="s">
        <v>33</v>
      </c>
      <c r="F418" t="s">
        <v>35</v>
      </c>
      <c r="G418" t="s">
        <v>35</v>
      </c>
      <c r="H418" t="s">
        <v>35</v>
      </c>
      <c r="J418" t="s">
        <v>2261</v>
      </c>
      <c r="K418" t="s">
        <v>1092</v>
      </c>
      <c r="M418">
        <v>3.5000000000000003E-2</v>
      </c>
      <c r="N418">
        <v>1524</v>
      </c>
      <c r="O418" t="s">
        <v>575</v>
      </c>
      <c r="Q418" t="s">
        <v>2262</v>
      </c>
      <c r="R418" t="s">
        <v>85</v>
      </c>
      <c r="S418" t="s">
        <v>86</v>
      </c>
    </row>
    <row r="419" spans="1:19" x14ac:dyDescent="0.25">
      <c r="A419" t="s">
        <v>30</v>
      </c>
      <c r="B419" t="s">
        <v>31</v>
      </c>
      <c r="C419" t="s">
        <v>32</v>
      </c>
      <c r="D419" t="s">
        <v>33</v>
      </c>
      <c r="E419" t="s">
        <v>204</v>
      </c>
      <c r="F419" t="s">
        <v>35</v>
      </c>
      <c r="G419" t="s">
        <v>35</v>
      </c>
      <c r="H419" t="s">
        <v>35</v>
      </c>
      <c r="J419" t="s">
        <v>2143</v>
      </c>
      <c r="K419" t="s">
        <v>1092</v>
      </c>
      <c r="M419">
        <v>5.4450000000000003</v>
      </c>
      <c r="N419">
        <v>66</v>
      </c>
      <c r="O419" t="s">
        <v>61</v>
      </c>
      <c r="Q419" t="s">
        <v>552</v>
      </c>
      <c r="R419" t="s">
        <v>85</v>
      </c>
      <c r="S419" t="s">
        <v>86</v>
      </c>
    </row>
    <row r="420" spans="1:19" x14ac:dyDescent="0.25">
      <c r="A420" t="s">
        <v>59</v>
      </c>
      <c r="B420" t="s">
        <v>31</v>
      </c>
      <c r="C420" t="s">
        <v>32</v>
      </c>
      <c r="D420" t="s">
        <v>33</v>
      </c>
      <c r="E420" t="s">
        <v>172</v>
      </c>
      <c r="F420" t="s">
        <v>35</v>
      </c>
      <c r="G420" t="s">
        <v>35</v>
      </c>
      <c r="H420" t="s">
        <v>35</v>
      </c>
      <c r="J420" t="s">
        <v>1947</v>
      </c>
      <c r="K420" t="s">
        <v>1092</v>
      </c>
      <c r="M420">
        <v>0.67500000000000004</v>
      </c>
      <c r="N420">
        <v>93</v>
      </c>
      <c r="O420" t="s">
        <v>106</v>
      </c>
      <c r="Q420" t="s">
        <v>1112</v>
      </c>
      <c r="R420" t="s">
        <v>85</v>
      </c>
      <c r="S420" t="s">
        <v>86</v>
      </c>
    </row>
    <row r="421" spans="1:19" x14ac:dyDescent="0.25">
      <c r="A421" t="s">
        <v>44</v>
      </c>
      <c r="B421" t="s">
        <v>3</v>
      </c>
      <c r="C421" t="s">
        <v>32</v>
      </c>
      <c r="D421" t="s">
        <v>33</v>
      </c>
      <c r="E421" t="s">
        <v>122</v>
      </c>
      <c r="F421" t="s">
        <v>35</v>
      </c>
      <c r="G421" t="s">
        <v>35</v>
      </c>
      <c r="H421" t="s">
        <v>35</v>
      </c>
      <c r="J421" t="s">
        <v>149</v>
      </c>
      <c r="K421" t="s">
        <v>37</v>
      </c>
      <c r="M421">
        <v>10</v>
      </c>
      <c r="N421">
        <v>52</v>
      </c>
      <c r="O421" t="s">
        <v>52</v>
      </c>
      <c r="P421" t="s">
        <v>151</v>
      </c>
      <c r="Q421" t="s">
        <v>84</v>
      </c>
      <c r="R421" t="s">
        <v>85</v>
      </c>
      <c r="S421" t="s">
        <v>86</v>
      </c>
    </row>
    <row r="422" spans="1:19" x14ac:dyDescent="0.25">
      <c r="A422" t="s">
        <v>59</v>
      </c>
      <c r="B422" t="s">
        <v>31</v>
      </c>
      <c r="C422" t="s">
        <v>32</v>
      </c>
      <c r="D422" t="s">
        <v>33</v>
      </c>
      <c r="E422" t="s">
        <v>122</v>
      </c>
      <c r="F422" t="s">
        <v>35</v>
      </c>
      <c r="G422" t="s">
        <v>35</v>
      </c>
      <c r="H422" t="s">
        <v>35</v>
      </c>
      <c r="J422" t="s">
        <v>1727</v>
      </c>
      <c r="K422" t="s">
        <v>1092</v>
      </c>
      <c r="M422">
        <v>4.4999999999999998E-2</v>
      </c>
      <c r="N422">
        <v>86</v>
      </c>
      <c r="O422" t="s">
        <v>61</v>
      </c>
      <c r="Q422" t="s">
        <v>941</v>
      </c>
      <c r="R422" t="s">
        <v>85</v>
      </c>
      <c r="S422" t="s">
        <v>86</v>
      </c>
    </row>
    <row r="423" spans="1:19" x14ac:dyDescent="0.25">
      <c r="A423" t="s">
        <v>30</v>
      </c>
      <c r="B423" t="s">
        <v>31</v>
      </c>
      <c r="C423" t="s">
        <v>32</v>
      </c>
      <c r="D423" t="s">
        <v>33</v>
      </c>
      <c r="E423" t="s">
        <v>122</v>
      </c>
      <c r="F423" t="s">
        <v>35</v>
      </c>
      <c r="G423" t="s">
        <v>35</v>
      </c>
      <c r="H423" t="s">
        <v>35</v>
      </c>
      <c r="J423" t="s">
        <v>1727</v>
      </c>
      <c r="K423" t="s">
        <v>1092</v>
      </c>
      <c r="M423">
        <v>5.13</v>
      </c>
      <c r="N423">
        <v>66</v>
      </c>
      <c r="O423" t="s">
        <v>61</v>
      </c>
      <c r="Q423" t="s">
        <v>552</v>
      </c>
      <c r="R423" t="s">
        <v>85</v>
      </c>
      <c r="S423" t="s">
        <v>86</v>
      </c>
    </row>
    <row r="424" spans="1:19" x14ac:dyDescent="0.25">
      <c r="A424" t="s">
        <v>59</v>
      </c>
      <c r="B424" t="s">
        <v>31</v>
      </c>
      <c r="C424" t="s">
        <v>32</v>
      </c>
      <c r="D424" t="s">
        <v>33</v>
      </c>
      <c r="E424" t="s">
        <v>122</v>
      </c>
      <c r="F424" t="s">
        <v>35</v>
      </c>
      <c r="G424" t="s">
        <v>35</v>
      </c>
      <c r="H424" t="s">
        <v>35</v>
      </c>
      <c r="J424" t="s">
        <v>1727</v>
      </c>
      <c r="K424" t="s">
        <v>1092</v>
      </c>
      <c r="M424">
        <v>5.49</v>
      </c>
      <c r="N424">
        <v>66</v>
      </c>
      <c r="O424" t="s">
        <v>61</v>
      </c>
      <c r="Q424" t="s">
        <v>552</v>
      </c>
      <c r="R424" t="s">
        <v>85</v>
      </c>
      <c r="S424" t="s">
        <v>86</v>
      </c>
    </row>
    <row r="425" spans="1:19" x14ac:dyDescent="0.25">
      <c r="A425" t="s">
        <v>30</v>
      </c>
      <c r="B425" t="s">
        <v>31</v>
      </c>
      <c r="C425" t="s">
        <v>32</v>
      </c>
      <c r="D425" t="s">
        <v>33</v>
      </c>
      <c r="E425" t="s">
        <v>1292</v>
      </c>
      <c r="F425" t="s">
        <v>35</v>
      </c>
      <c r="G425" t="s">
        <v>35</v>
      </c>
      <c r="H425" t="s">
        <v>35</v>
      </c>
      <c r="J425" t="s">
        <v>1411</v>
      </c>
      <c r="K425" t="s">
        <v>1092</v>
      </c>
      <c r="M425">
        <v>9.27</v>
      </c>
      <c r="N425">
        <v>39</v>
      </c>
      <c r="O425" t="s">
        <v>52</v>
      </c>
      <c r="Q425" t="s">
        <v>493</v>
      </c>
      <c r="R425" t="s">
        <v>85</v>
      </c>
      <c r="S425" t="s">
        <v>86</v>
      </c>
    </row>
    <row r="426" spans="1:19" x14ac:dyDescent="0.25">
      <c r="A426" t="s">
        <v>30</v>
      </c>
      <c r="B426" t="s">
        <v>31</v>
      </c>
      <c r="C426" t="s">
        <v>32</v>
      </c>
      <c r="D426" t="s">
        <v>33</v>
      </c>
      <c r="E426" t="s">
        <v>204</v>
      </c>
      <c r="F426" t="s">
        <v>35</v>
      </c>
      <c r="G426" t="s">
        <v>35</v>
      </c>
      <c r="H426" t="s">
        <v>35</v>
      </c>
      <c r="J426" t="s">
        <v>2144</v>
      </c>
      <c r="K426" t="s">
        <v>1092</v>
      </c>
      <c r="M426">
        <v>4.41</v>
      </c>
      <c r="N426">
        <v>120</v>
      </c>
      <c r="O426" t="s">
        <v>106</v>
      </c>
      <c r="Q426" t="s">
        <v>2145</v>
      </c>
      <c r="R426" t="s">
        <v>85</v>
      </c>
      <c r="S426" t="s">
        <v>86</v>
      </c>
    </row>
    <row r="427" spans="1:19" x14ac:dyDescent="0.25">
      <c r="A427" t="s">
        <v>30</v>
      </c>
      <c r="B427" t="s">
        <v>31</v>
      </c>
      <c r="C427" t="s">
        <v>32</v>
      </c>
      <c r="D427" t="s">
        <v>33</v>
      </c>
      <c r="E427" t="s">
        <v>204</v>
      </c>
      <c r="F427" t="s">
        <v>35</v>
      </c>
      <c r="G427" t="s">
        <v>35</v>
      </c>
      <c r="H427" t="s">
        <v>35</v>
      </c>
      <c r="J427" t="s">
        <v>2144</v>
      </c>
      <c r="K427" t="s">
        <v>1092</v>
      </c>
      <c r="M427">
        <v>5.49</v>
      </c>
      <c r="N427">
        <v>38</v>
      </c>
      <c r="O427" t="s">
        <v>52</v>
      </c>
      <c r="Q427" t="s">
        <v>716</v>
      </c>
      <c r="R427" t="s">
        <v>85</v>
      </c>
      <c r="S427" t="s">
        <v>86</v>
      </c>
    </row>
    <row r="428" spans="1:19" x14ac:dyDescent="0.25">
      <c r="A428" t="s">
        <v>44</v>
      </c>
      <c r="B428" t="s">
        <v>51</v>
      </c>
      <c r="C428" t="s">
        <v>32</v>
      </c>
      <c r="D428" t="s">
        <v>33</v>
      </c>
      <c r="E428" t="s">
        <v>122</v>
      </c>
      <c r="F428" t="s">
        <v>35</v>
      </c>
      <c r="G428" t="s">
        <v>35</v>
      </c>
      <c r="H428" t="s">
        <v>35</v>
      </c>
      <c r="J428" t="s">
        <v>1701</v>
      </c>
      <c r="K428" t="s">
        <v>1092</v>
      </c>
      <c r="M428">
        <v>5</v>
      </c>
      <c r="N428">
        <v>21</v>
      </c>
      <c r="O428" t="s">
        <v>46</v>
      </c>
      <c r="Q428" t="s">
        <v>176</v>
      </c>
      <c r="R428" t="s">
        <v>85</v>
      </c>
      <c r="S428" t="s">
        <v>86</v>
      </c>
    </row>
    <row r="429" spans="1:19" x14ac:dyDescent="0.25">
      <c r="A429" t="s">
        <v>30</v>
      </c>
      <c r="B429" t="s">
        <v>31</v>
      </c>
      <c r="C429" t="s">
        <v>32</v>
      </c>
      <c r="D429" t="s">
        <v>33</v>
      </c>
      <c r="E429" t="s">
        <v>1292</v>
      </c>
      <c r="F429" t="s">
        <v>35</v>
      </c>
      <c r="G429" t="s">
        <v>35</v>
      </c>
      <c r="H429" t="s">
        <v>35</v>
      </c>
      <c r="J429" t="s">
        <v>1364</v>
      </c>
      <c r="K429" t="s">
        <v>1092</v>
      </c>
      <c r="M429">
        <v>2.6549999999999998</v>
      </c>
      <c r="N429">
        <v>38</v>
      </c>
      <c r="O429" t="s">
        <v>52</v>
      </c>
      <c r="Q429" t="s">
        <v>716</v>
      </c>
      <c r="R429" t="s">
        <v>85</v>
      </c>
      <c r="S429" t="s">
        <v>86</v>
      </c>
    </row>
    <row r="430" spans="1:19" x14ac:dyDescent="0.25">
      <c r="A430" t="s">
        <v>59</v>
      </c>
      <c r="B430" t="s">
        <v>31</v>
      </c>
      <c r="C430" t="s">
        <v>32</v>
      </c>
      <c r="D430" t="s">
        <v>33</v>
      </c>
      <c r="E430" t="s">
        <v>1292</v>
      </c>
      <c r="F430" t="s">
        <v>35</v>
      </c>
      <c r="G430" t="s">
        <v>35</v>
      </c>
      <c r="H430" t="s">
        <v>35</v>
      </c>
      <c r="J430" t="s">
        <v>1364</v>
      </c>
      <c r="K430" t="s">
        <v>1092</v>
      </c>
      <c r="M430">
        <v>5.4450000000000003</v>
      </c>
      <c r="N430">
        <v>63</v>
      </c>
      <c r="O430" t="s">
        <v>61</v>
      </c>
      <c r="Q430" t="s">
        <v>126</v>
      </c>
      <c r="R430" t="s">
        <v>85</v>
      </c>
      <c r="S430" t="s">
        <v>86</v>
      </c>
    </row>
    <row r="431" spans="1:19" x14ac:dyDescent="0.25">
      <c r="A431" t="s">
        <v>59</v>
      </c>
      <c r="B431" t="s">
        <v>31</v>
      </c>
      <c r="C431" t="s">
        <v>32</v>
      </c>
      <c r="D431" t="s">
        <v>33</v>
      </c>
      <c r="E431" t="s">
        <v>1292</v>
      </c>
      <c r="F431" t="s">
        <v>35</v>
      </c>
      <c r="G431" t="s">
        <v>35</v>
      </c>
      <c r="H431" t="s">
        <v>35</v>
      </c>
      <c r="J431" t="s">
        <v>1348</v>
      </c>
      <c r="K431" t="s">
        <v>1092</v>
      </c>
      <c r="M431">
        <v>5.49</v>
      </c>
      <c r="N431">
        <v>55</v>
      </c>
      <c r="O431" t="s">
        <v>52</v>
      </c>
      <c r="Q431" t="s">
        <v>90</v>
      </c>
      <c r="R431" t="s">
        <v>85</v>
      </c>
      <c r="S431" t="s">
        <v>86</v>
      </c>
    </row>
    <row r="432" spans="1:19" x14ac:dyDescent="0.25">
      <c r="A432" t="s">
        <v>30</v>
      </c>
      <c r="B432" t="s">
        <v>31</v>
      </c>
      <c r="C432" t="s">
        <v>32</v>
      </c>
      <c r="D432" t="s">
        <v>33</v>
      </c>
      <c r="E432" t="s">
        <v>1292</v>
      </c>
      <c r="F432" t="s">
        <v>35</v>
      </c>
      <c r="G432" t="s">
        <v>35</v>
      </c>
      <c r="H432" t="s">
        <v>35</v>
      </c>
      <c r="J432" t="s">
        <v>1348</v>
      </c>
      <c r="K432" t="s">
        <v>1092</v>
      </c>
      <c r="M432">
        <v>9.5399999999999991</v>
      </c>
      <c r="N432">
        <v>13</v>
      </c>
      <c r="O432" t="s">
        <v>46</v>
      </c>
      <c r="Q432" t="s">
        <v>1004</v>
      </c>
      <c r="R432" t="s">
        <v>85</v>
      </c>
      <c r="S432" t="s">
        <v>86</v>
      </c>
    </row>
    <row r="433" spans="1:19" x14ac:dyDescent="0.25">
      <c r="A433" t="s">
        <v>59</v>
      </c>
      <c r="B433" t="s">
        <v>60</v>
      </c>
      <c r="C433" t="s">
        <v>32</v>
      </c>
      <c r="D433" t="s">
        <v>33</v>
      </c>
      <c r="E433" t="s">
        <v>1292</v>
      </c>
      <c r="F433" t="s">
        <v>35</v>
      </c>
      <c r="G433" t="s">
        <v>35</v>
      </c>
      <c r="H433" t="s">
        <v>35</v>
      </c>
      <c r="J433" t="s">
        <v>1348</v>
      </c>
      <c r="K433" t="s">
        <v>1092</v>
      </c>
      <c r="M433">
        <v>4.25</v>
      </c>
      <c r="N433">
        <v>86</v>
      </c>
      <c r="O433" t="s">
        <v>61</v>
      </c>
      <c r="Q433" t="s">
        <v>941</v>
      </c>
      <c r="R433" t="s">
        <v>85</v>
      </c>
      <c r="S433" t="s">
        <v>86</v>
      </c>
    </row>
    <row r="434" spans="1:19" x14ac:dyDescent="0.25">
      <c r="A434" t="s">
        <v>30</v>
      </c>
      <c r="B434" t="s">
        <v>31</v>
      </c>
      <c r="C434" t="s">
        <v>32</v>
      </c>
      <c r="D434" t="s">
        <v>33</v>
      </c>
      <c r="E434" t="s">
        <v>1292</v>
      </c>
      <c r="F434" t="s">
        <v>35</v>
      </c>
      <c r="G434" t="s">
        <v>35</v>
      </c>
      <c r="H434" t="s">
        <v>35</v>
      </c>
      <c r="J434" t="s">
        <v>1294</v>
      </c>
      <c r="K434" t="s">
        <v>1092</v>
      </c>
      <c r="M434">
        <v>13.59</v>
      </c>
      <c r="N434">
        <v>13</v>
      </c>
      <c r="O434" t="s">
        <v>46</v>
      </c>
      <c r="Q434" t="s">
        <v>1004</v>
      </c>
      <c r="R434" t="s">
        <v>85</v>
      </c>
      <c r="S434" t="s">
        <v>86</v>
      </c>
    </row>
    <row r="435" spans="1:19" x14ac:dyDescent="0.25">
      <c r="A435" t="s">
        <v>59</v>
      </c>
      <c r="B435" t="s">
        <v>31</v>
      </c>
      <c r="C435" t="s">
        <v>32</v>
      </c>
      <c r="D435" t="s">
        <v>33</v>
      </c>
      <c r="E435" t="s">
        <v>122</v>
      </c>
      <c r="F435" t="s">
        <v>35</v>
      </c>
      <c r="G435" t="s">
        <v>35</v>
      </c>
      <c r="H435" t="s">
        <v>35</v>
      </c>
      <c r="J435" t="s">
        <v>1646</v>
      </c>
      <c r="K435" t="s">
        <v>1092</v>
      </c>
      <c r="M435">
        <v>8.4149999999999991</v>
      </c>
      <c r="N435">
        <v>55</v>
      </c>
      <c r="O435" t="s">
        <v>52</v>
      </c>
      <c r="Q435" t="s">
        <v>90</v>
      </c>
      <c r="R435" t="s">
        <v>85</v>
      </c>
      <c r="S435" t="s">
        <v>86</v>
      </c>
    </row>
    <row r="436" spans="1:19" x14ac:dyDescent="0.25">
      <c r="A436" t="s">
        <v>30</v>
      </c>
      <c r="B436" t="s">
        <v>31</v>
      </c>
      <c r="C436" t="s">
        <v>32</v>
      </c>
      <c r="D436" t="s">
        <v>33</v>
      </c>
      <c r="E436" t="s">
        <v>122</v>
      </c>
      <c r="F436" t="s">
        <v>35</v>
      </c>
      <c r="G436" t="s">
        <v>35</v>
      </c>
      <c r="H436" t="s">
        <v>35</v>
      </c>
      <c r="J436" t="s">
        <v>1646</v>
      </c>
      <c r="K436" t="s">
        <v>1092</v>
      </c>
      <c r="M436">
        <v>9.99</v>
      </c>
      <c r="N436">
        <v>13</v>
      </c>
      <c r="O436" t="s">
        <v>46</v>
      </c>
      <c r="Q436" t="s">
        <v>1004</v>
      </c>
      <c r="R436" t="s">
        <v>85</v>
      </c>
      <c r="S436" t="s">
        <v>86</v>
      </c>
    </row>
    <row r="437" spans="1:19" x14ac:dyDescent="0.25">
      <c r="A437" t="s">
        <v>44</v>
      </c>
      <c r="B437" t="s">
        <v>51</v>
      </c>
      <c r="C437" t="s">
        <v>32</v>
      </c>
      <c r="D437" t="s">
        <v>33</v>
      </c>
      <c r="E437" t="s">
        <v>122</v>
      </c>
      <c r="F437" t="s">
        <v>35</v>
      </c>
      <c r="G437" t="s">
        <v>35</v>
      </c>
      <c r="H437" t="s">
        <v>35</v>
      </c>
      <c r="J437" t="s">
        <v>1646</v>
      </c>
      <c r="K437" t="s">
        <v>1092</v>
      </c>
      <c r="M437">
        <v>5.5</v>
      </c>
      <c r="N437">
        <v>21</v>
      </c>
      <c r="O437" t="s">
        <v>46</v>
      </c>
      <c r="Q437" t="s">
        <v>176</v>
      </c>
      <c r="R437" t="s">
        <v>85</v>
      </c>
      <c r="S437" t="s">
        <v>86</v>
      </c>
    </row>
    <row r="438" spans="1:19" x14ac:dyDescent="0.25">
      <c r="A438" t="s">
        <v>44</v>
      </c>
      <c r="B438" t="s">
        <v>3</v>
      </c>
      <c r="C438" t="s">
        <v>32</v>
      </c>
      <c r="D438" t="s">
        <v>33</v>
      </c>
      <c r="E438" t="s">
        <v>122</v>
      </c>
      <c r="F438" t="s">
        <v>35</v>
      </c>
      <c r="G438" t="s">
        <v>35</v>
      </c>
      <c r="H438" t="s">
        <v>35</v>
      </c>
      <c r="J438" t="s">
        <v>1646</v>
      </c>
      <c r="K438" t="s">
        <v>1092</v>
      </c>
      <c r="M438">
        <v>3.95</v>
      </c>
      <c r="N438">
        <v>52</v>
      </c>
      <c r="O438" t="s">
        <v>52</v>
      </c>
      <c r="Q438" t="s">
        <v>84</v>
      </c>
      <c r="R438" t="s">
        <v>85</v>
      </c>
      <c r="S438" t="s">
        <v>86</v>
      </c>
    </row>
    <row r="439" spans="1:19" x14ac:dyDescent="0.25">
      <c r="A439" t="s">
        <v>59</v>
      </c>
      <c r="B439" t="s">
        <v>60</v>
      </c>
      <c r="C439" t="s">
        <v>32</v>
      </c>
      <c r="D439" t="s">
        <v>33</v>
      </c>
      <c r="E439" t="s">
        <v>122</v>
      </c>
      <c r="F439" t="s">
        <v>35</v>
      </c>
      <c r="G439" t="s">
        <v>35</v>
      </c>
      <c r="H439" t="s">
        <v>35</v>
      </c>
      <c r="J439" t="s">
        <v>1646</v>
      </c>
      <c r="K439" t="s">
        <v>1092</v>
      </c>
      <c r="M439">
        <v>5</v>
      </c>
      <c r="N439">
        <v>55</v>
      </c>
      <c r="O439" t="s">
        <v>52</v>
      </c>
      <c r="Q439" t="s">
        <v>90</v>
      </c>
      <c r="R439" t="s">
        <v>85</v>
      </c>
      <c r="S439" t="s">
        <v>86</v>
      </c>
    </row>
    <row r="440" spans="1:19" x14ac:dyDescent="0.25">
      <c r="A440" t="s">
        <v>44</v>
      </c>
      <c r="B440" t="s">
        <v>51</v>
      </c>
      <c r="C440" t="s">
        <v>32</v>
      </c>
      <c r="D440" t="s">
        <v>33</v>
      </c>
      <c r="E440" t="s">
        <v>204</v>
      </c>
      <c r="F440" t="s">
        <v>35</v>
      </c>
      <c r="G440" t="s">
        <v>35</v>
      </c>
      <c r="H440" t="s">
        <v>35</v>
      </c>
      <c r="J440" t="s">
        <v>2147</v>
      </c>
      <c r="K440" t="s">
        <v>1092</v>
      </c>
      <c r="M440">
        <v>5.5</v>
      </c>
      <c r="N440">
        <v>21</v>
      </c>
      <c r="O440" t="s">
        <v>46</v>
      </c>
      <c r="Q440" t="s">
        <v>176</v>
      </c>
      <c r="R440" t="s">
        <v>85</v>
      </c>
      <c r="S440" t="s">
        <v>86</v>
      </c>
    </row>
    <row r="441" spans="1:19" x14ac:dyDescent="0.25">
      <c r="A441" t="s">
        <v>44</v>
      </c>
      <c r="B441" t="s">
        <v>3</v>
      </c>
      <c r="C441" t="s">
        <v>32</v>
      </c>
      <c r="D441" t="s">
        <v>33</v>
      </c>
      <c r="E441" t="s">
        <v>204</v>
      </c>
      <c r="F441" t="s">
        <v>35</v>
      </c>
      <c r="G441" t="s">
        <v>35</v>
      </c>
      <c r="H441" t="s">
        <v>35</v>
      </c>
      <c r="J441" t="s">
        <v>2147</v>
      </c>
      <c r="K441" t="s">
        <v>1092</v>
      </c>
      <c r="M441">
        <v>5.5</v>
      </c>
      <c r="N441">
        <v>55</v>
      </c>
      <c r="O441" t="s">
        <v>52</v>
      </c>
      <c r="Q441" t="s">
        <v>90</v>
      </c>
      <c r="R441" t="s">
        <v>85</v>
      </c>
      <c r="S441" t="s">
        <v>86</v>
      </c>
    </row>
    <row r="442" spans="1:19" x14ac:dyDescent="0.25">
      <c r="A442" t="s">
        <v>30</v>
      </c>
      <c r="B442" t="s">
        <v>31</v>
      </c>
      <c r="C442" t="s">
        <v>32</v>
      </c>
      <c r="D442" t="s">
        <v>33</v>
      </c>
      <c r="E442" t="s">
        <v>204</v>
      </c>
      <c r="F442" t="s">
        <v>35</v>
      </c>
      <c r="G442" t="s">
        <v>35</v>
      </c>
      <c r="H442" t="s">
        <v>35</v>
      </c>
      <c r="J442" t="s">
        <v>2147</v>
      </c>
      <c r="K442" t="s">
        <v>1092</v>
      </c>
      <c r="M442">
        <v>9.5399999999999991</v>
      </c>
      <c r="N442">
        <v>39</v>
      </c>
      <c r="O442" t="s">
        <v>52</v>
      </c>
      <c r="Q442" t="s">
        <v>493</v>
      </c>
      <c r="R442" t="s">
        <v>85</v>
      </c>
      <c r="S442" t="s">
        <v>86</v>
      </c>
    </row>
    <row r="443" spans="1:19" x14ac:dyDescent="0.25">
      <c r="A443" t="s">
        <v>59</v>
      </c>
      <c r="B443" t="s">
        <v>60</v>
      </c>
      <c r="C443" t="s">
        <v>32</v>
      </c>
      <c r="D443" t="s">
        <v>33</v>
      </c>
      <c r="E443" t="s">
        <v>204</v>
      </c>
      <c r="F443" t="s">
        <v>35</v>
      </c>
      <c r="G443" t="s">
        <v>35</v>
      </c>
      <c r="H443" t="s">
        <v>35</v>
      </c>
      <c r="J443" t="s">
        <v>2147</v>
      </c>
      <c r="K443" t="s">
        <v>1092</v>
      </c>
      <c r="M443">
        <v>1.9</v>
      </c>
      <c r="N443">
        <v>66</v>
      </c>
      <c r="O443" t="s">
        <v>61</v>
      </c>
      <c r="Q443" t="s">
        <v>552</v>
      </c>
      <c r="R443" t="s">
        <v>85</v>
      </c>
      <c r="S443" t="s">
        <v>86</v>
      </c>
    </row>
    <row r="444" spans="1:19" x14ac:dyDescent="0.25">
      <c r="A444" t="s">
        <v>44</v>
      </c>
      <c r="B444" t="s">
        <v>3</v>
      </c>
      <c r="C444" t="s">
        <v>32</v>
      </c>
      <c r="D444" t="s">
        <v>33</v>
      </c>
      <c r="E444" t="s">
        <v>204</v>
      </c>
      <c r="F444" t="s">
        <v>35</v>
      </c>
      <c r="G444" t="s">
        <v>35</v>
      </c>
      <c r="H444" t="s">
        <v>35</v>
      </c>
      <c r="J444" t="s">
        <v>209</v>
      </c>
      <c r="K444" t="s">
        <v>37</v>
      </c>
      <c r="M444">
        <v>11</v>
      </c>
      <c r="N444">
        <v>52</v>
      </c>
      <c r="O444" t="s">
        <v>52</v>
      </c>
      <c r="P444" t="s">
        <v>211</v>
      </c>
      <c r="Q444" t="s">
        <v>84</v>
      </c>
      <c r="R444" t="s">
        <v>85</v>
      </c>
      <c r="S444" t="s">
        <v>86</v>
      </c>
    </row>
    <row r="445" spans="1:19" x14ac:dyDescent="0.25">
      <c r="A445" t="s">
        <v>44</v>
      </c>
      <c r="B445" t="s">
        <v>3</v>
      </c>
      <c r="C445" t="s">
        <v>32</v>
      </c>
      <c r="D445" t="s">
        <v>33</v>
      </c>
      <c r="E445" t="s">
        <v>204</v>
      </c>
      <c r="F445" t="s">
        <v>35</v>
      </c>
      <c r="G445" t="s">
        <v>35</v>
      </c>
      <c r="H445" t="s">
        <v>35</v>
      </c>
      <c r="J445" t="s">
        <v>209</v>
      </c>
      <c r="K445" t="s">
        <v>37</v>
      </c>
      <c r="M445">
        <v>8</v>
      </c>
      <c r="N445">
        <v>52</v>
      </c>
      <c r="O445" t="s">
        <v>52</v>
      </c>
      <c r="P445" t="s">
        <v>212</v>
      </c>
      <c r="Q445" t="s">
        <v>84</v>
      </c>
      <c r="R445" t="s">
        <v>85</v>
      </c>
      <c r="S445" t="s">
        <v>86</v>
      </c>
    </row>
    <row r="446" spans="1:19" x14ac:dyDescent="0.25">
      <c r="A446" t="s">
        <v>30</v>
      </c>
      <c r="B446" t="s">
        <v>31</v>
      </c>
      <c r="C446" t="s">
        <v>32</v>
      </c>
      <c r="D446" t="s">
        <v>33</v>
      </c>
      <c r="E446" t="s">
        <v>1292</v>
      </c>
      <c r="F446" t="s">
        <v>35</v>
      </c>
      <c r="G446" t="s">
        <v>35</v>
      </c>
      <c r="H446" t="s">
        <v>35</v>
      </c>
      <c r="J446" t="s">
        <v>1358</v>
      </c>
      <c r="K446" t="s">
        <v>1092</v>
      </c>
      <c r="M446">
        <v>9.18</v>
      </c>
      <c r="N446">
        <v>10</v>
      </c>
      <c r="O446" t="s">
        <v>46</v>
      </c>
      <c r="Q446" t="s">
        <v>1302</v>
      </c>
      <c r="R446" t="s">
        <v>85</v>
      </c>
      <c r="S446" t="s">
        <v>86</v>
      </c>
    </row>
    <row r="447" spans="1:19" x14ac:dyDescent="0.25">
      <c r="A447" t="s">
        <v>44</v>
      </c>
      <c r="B447" t="s">
        <v>3</v>
      </c>
      <c r="C447" t="s">
        <v>32</v>
      </c>
      <c r="D447" t="s">
        <v>33</v>
      </c>
      <c r="E447" t="s">
        <v>204</v>
      </c>
      <c r="F447" t="s">
        <v>35</v>
      </c>
      <c r="G447" t="s">
        <v>35</v>
      </c>
      <c r="H447" t="s">
        <v>35</v>
      </c>
      <c r="J447" t="s">
        <v>2153</v>
      </c>
      <c r="K447" t="s">
        <v>1092</v>
      </c>
      <c r="M447">
        <v>4.25</v>
      </c>
      <c r="N447">
        <v>55</v>
      </c>
      <c r="O447" t="s">
        <v>52</v>
      </c>
      <c r="Q447" t="s">
        <v>90</v>
      </c>
      <c r="R447" t="s">
        <v>85</v>
      </c>
      <c r="S447" t="s">
        <v>86</v>
      </c>
    </row>
    <row r="448" spans="1:19" x14ac:dyDescent="0.25">
      <c r="A448" t="s">
        <v>59</v>
      </c>
      <c r="B448" t="s">
        <v>60</v>
      </c>
      <c r="C448" t="s">
        <v>32</v>
      </c>
      <c r="D448" t="s">
        <v>33</v>
      </c>
      <c r="E448" t="s">
        <v>34</v>
      </c>
      <c r="F448" t="s">
        <v>35</v>
      </c>
      <c r="G448" t="s">
        <v>35</v>
      </c>
      <c r="H448" t="s">
        <v>35</v>
      </c>
      <c r="J448" t="s">
        <v>1162</v>
      </c>
      <c r="K448" t="s">
        <v>1092</v>
      </c>
      <c r="M448">
        <v>3.4</v>
      </c>
      <c r="N448">
        <v>66</v>
      </c>
      <c r="O448" t="s">
        <v>61</v>
      </c>
      <c r="Q448" t="s">
        <v>552</v>
      </c>
      <c r="R448" t="s">
        <v>85</v>
      </c>
      <c r="S448" t="s">
        <v>86</v>
      </c>
    </row>
    <row r="449" spans="1:19" x14ac:dyDescent="0.25">
      <c r="A449" t="s">
        <v>30</v>
      </c>
      <c r="B449" t="s">
        <v>31</v>
      </c>
      <c r="C449" t="s">
        <v>32</v>
      </c>
      <c r="D449" t="s">
        <v>33</v>
      </c>
      <c r="E449" t="s">
        <v>122</v>
      </c>
      <c r="F449" t="s">
        <v>35</v>
      </c>
      <c r="G449" t="s">
        <v>35</v>
      </c>
      <c r="H449" t="s">
        <v>35</v>
      </c>
      <c r="J449" t="s">
        <v>1703</v>
      </c>
      <c r="K449" t="s">
        <v>1092</v>
      </c>
      <c r="M449">
        <v>5.49</v>
      </c>
      <c r="N449">
        <v>39</v>
      </c>
      <c r="O449" t="s">
        <v>52</v>
      </c>
      <c r="Q449" t="s">
        <v>493</v>
      </c>
      <c r="R449" t="s">
        <v>85</v>
      </c>
      <c r="S449" t="s">
        <v>86</v>
      </c>
    </row>
    <row r="450" spans="1:19" x14ac:dyDescent="0.25">
      <c r="A450" t="s">
        <v>59</v>
      </c>
      <c r="B450" t="s">
        <v>60</v>
      </c>
      <c r="C450" t="s">
        <v>32</v>
      </c>
      <c r="D450" t="s">
        <v>33</v>
      </c>
      <c r="E450" t="s">
        <v>64</v>
      </c>
      <c r="F450" t="s">
        <v>35</v>
      </c>
      <c r="G450" t="s">
        <v>35</v>
      </c>
      <c r="H450" t="s">
        <v>35</v>
      </c>
      <c r="J450" t="s">
        <v>1289</v>
      </c>
      <c r="K450" t="s">
        <v>1092</v>
      </c>
      <c r="M450">
        <v>5.4</v>
      </c>
      <c r="N450">
        <v>66</v>
      </c>
      <c r="O450" t="s">
        <v>61</v>
      </c>
      <c r="Q450" t="s">
        <v>552</v>
      </c>
      <c r="R450" t="s">
        <v>85</v>
      </c>
      <c r="S450" t="s">
        <v>86</v>
      </c>
    </row>
    <row r="451" spans="1:19" x14ac:dyDescent="0.25">
      <c r="A451" t="s">
        <v>30</v>
      </c>
      <c r="B451" t="s">
        <v>31</v>
      </c>
      <c r="C451" t="s">
        <v>32</v>
      </c>
      <c r="D451" t="s">
        <v>33</v>
      </c>
      <c r="E451" t="s">
        <v>122</v>
      </c>
      <c r="F451" t="s">
        <v>35</v>
      </c>
      <c r="G451" t="s">
        <v>35</v>
      </c>
      <c r="H451" t="s">
        <v>35</v>
      </c>
      <c r="J451" t="s">
        <v>1648</v>
      </c>
      <c r="K451" t="s">
        <v>1092</v>
      </c>
      <c r="M451">
        <v>6.66</v>
      </c>
      <c r="N451">
        <v>66</v>
      </c>
      <c r="O451" t="s">
        <v>61</v>
      </c>
      <c r="Q451" t="s">
        <v>552</v>
      </c>
      <c r="R451" t="s">
        <v>85</v>
      </c>
      <c r="S451" t="s">
        <v>86</v>
      </c>
    </row>
    <row r="452" spans="1:19" x14ac:dyDescent="0.25">
      <c r="A452" t="s">
        <v>59</v>
      </c>
      <c r="B452" t="s">
        <v>60</v>
      </c>
      <c r="C452" t="s">
        <v>32</v>
      </c>
      <c r="D452" t="s">
        <v>33</v>
      </c>
      <c r="E452" t="s">
        <v>122</v>
      </c>
      <c r="F452" t="s">
        <v>35</v>
      </c>
      <c r="G452" t="s">
        <v>35</v>
      </c>
      <c r="H452" t="s">
        <v>35</v>
      </c>
      <c r="J452" t="s">
        <v>1648</v>
      </c>
      <c r="K452" t="s">
        <v>1092</v>
      </c>
      <c r="M452">
        <v>1.45</v>
      </c>
      <c r="N452">
        <v>63</v>
      </c>
      <c r="O452" t="s">
        <v>61</v>
      </c>
      <c r="Q452" t="s">
        <v>126</v>
      </c>
      <c r="R452" t="s">
        <v>85</v>
      </c>
      <c r="S452" t="s">
        <v>86</v>
      </c>
    </row>
    <row r="453" spans="1:19" x14ac:dyDescent="0.25">
      <c r="A453" t="s">
        <v>59</v>
      </c>
      <c r="B453" t="s">
        <v>60</v>
      </c>
      <c r="C453" t="s">
        <v>32</v>
      </c>
      <c r="D453" t="s">
        <v>33</v>
      </c>
      <c r="E453" t="s">
        <v>114</v>
      </c>
      <c r="F453" t="s">
        <v>35</v>
      </c>
      <c r="G453" t="s">
        <v>35</v>
      </c>
      <c r="H453" t="s">
        <v>35</v>
      </c>
      <c r="J453" t="s">
        <v>1599</v>
      </c>
      <c r="K453" t="s">
        <v>1092</v>
      </c>
      <c r="M453">
        <v>0.19900000000000001</v>
      </c>
      <c r="N453">
        <v>326</v>
      </c>
      <c r="O453" t="s">
        <v>5</v>
      </c>
      <c r="Q453" t="s">
        <v>1600</v>
      </c>
      <c r="R453" t="s">
        <v>85</v>
      </c>
      <c r="S453" t="s">
        <v>86</v>
      </c>
    </row>
    <row r="454" spans="1:19" x14ac:dyDescent="0.25">
      <c r="A454" t="s">
        <v>44</v>
      </c>
      <c r="B454" t="s">
        <v>3</v>
      </c>
      <c r="C454" t="s">
        <v>32</v>
      </c>
      <c r="D454" t="s">
        <v>33</v>
      </c>
      <c r="E454" t="s">
        <v>177</v>
      </c>
      <c r="F454" t="s">
        <v>35</v>
      </c>
      <c r="G454" t="s">
        <v>35</v>
      </c>
      <c r="H454" t="s">
        <v>35</v>
      </c>
      <c r="J454" t="s">
        <v>2022</v>
      </c>
      <c r="K454" t="s">
        <v>1092</v>
      </c>
      <c r="M454">
        <v>3.65</v>
      </c>
      <c r="N454">
        <v>55</v>
      </c>
      <c r="O454" t="s">
        <v>52</v>
      </c>
      <c r="Q454" t="s">
        <v>90</v>
      </c>
      <c r="R454" t="s">
        <v>85</v>
      </c>
      <c r="S454" t="s">
        <v>86</v>
      </c>
    </row>
    <row r="455" spans="1:19" x14ac:dyDescent="0.25">
      <c r="A455" t="s">
        <v>30</v>
      </c>
      <c r="B455" t="s">
        <v>31</v>
      </c>
      <c r="C455" t="s">
        <v>32</v>
      </c>
      <c r="D455" t="s">
        <v>33</v>
      </c>
      <c r="E455" t="s">
        <v>177</v>
      </c>
      <c r="F455" t="s">
        <v>35</v>
      </c>
      <c r="G455" t="s">
        <v>35</v>
      </c>
      <c r="H455" t="s">
        <v>35</v>
      </c>
      <c r="J455" t="s">
        <v>2022</v>
      </c>
      <c r="K455" t="s">
        <v>1092</v>
      </c>
      <c r="M455">
        <v>5.49</v>
      </c>
      <c r="N455">
        <v>39</v>
      </c>
      <c r="O455" t="s">
        <v>52</v>
      </c>
      <c r="Q455" t="s">
        <v>493</v>
      </c>
      <c r="R455" t="s">
        <v>85</v>
      </c>
      <c r="S455" t="s">
        <v>86</v>
      </c>
    </row>
    <row r="456" spans="1:19" x14ac:dyDescent="0.25">
      <c r="A456" t="s">
        <v>59</v>
      </c>
      <c r="B456" t="s">
        <v>60</v>
      </c>
      <c r="C456" t="s">
        <v>32</v>
      </c>
      <c r="D456" t="s">
        <v>33</v>
      </c>
      <c r="E456" t="s">
        <v>177</v>
      </c>
      <c r="F456" t="s">
        <v>35</v>
      </c>
      <c r="G456" t="s">
        <v>35</v>
      </c>
      <c r="H456" t="s">
        <v>35</v>
      </c>
      <c r="J456" t="s">
        <v>2022</v>
      </c>
      <c r="K456" t="s">
        <v>1092</v>
      </c>
      <c r="M456">
        <v>1.1000000000000001</v>
      </c>
      <c r="N456">
        <v>93</v>
      </c>
      <c r="O456" t="s">
        <v>106</v>
      </c>
      <c r="Q456" t="s">
        <v>1112</v>
      </c>
      <c r="R456" t="s">
        <v>85</v>
      </c>
      <c r="S456" t="s">
        <v>86</v>
      </c>
    </row>
    <row r="457" spans="1:19" x14ac:dyDescent="0.25">
      <c r="A457" t="s">
        <v>44</v>
      </c>
      <c r="B457" t="s">
        <v>51</v>
      </c>
      <c r="C457" t="s">
        <v>32</v>
      </c>
      <c r="D457" t="s">
        <v>33</v>
      </c>
      <c r="E457" t="s">
        <v>177</v>
      </c>
      <c r="F457" t="s">
        <v>35</v>
      </c>
      <c r="G457" t="s">
        <v>35</v>
      </c>
      <c r="H457" t="s">
        <v>35</v>
      </c>
      <c r="J457" t="s">
        <v>2022</v>
      </c>
      <c r="K457" t="s">
        <v>1092</v>
      </c>
      <c r="M457">
        <v>5.5</v>
      </c>
      <c r="N457">
        <v>21</v>
      </c>
      <c r="O457" t="s">
        <v>46</v>
      </c>
      <c r="Q457" t="s">
        <v>176</v>
      </c>
      <c r="R457" t="s">
        <v>85</v>
      </c>
      <c r="S457" t="s">
        <v>86</v>
      </c>
    </row>
    <row r="458" spans="1:19" x14ac:dyDescent="0.25">
      <c r="A458" t="s">
        <v>59</v>
      </c>
      <c r="B458" t="s">
        <v>31</v>
      </c>
      <c r="C458" t="s">
        <v>32</v>
      </c>
      <c r="D458" t="s">
        <v>33</v>
      </c>
      <c r="E458" t="s">
        <v>122</v>
      </c>
      <c r="F458" t="s">
        <v>35</v>
      </c>
      <c r="G458" t="s">
        <v>35</v>
      </c>
      <c r="H458" t="s">
        <v>35</v>
      </c>
      <c r="J458" t="s">
        <v>1752</v>
      </c>
      <c r="K458" t="s">
        <v>1092</v>
      </c>
      <c r="M458">
        <v>10.98</v>
      </c>
      <c r="N458">
        <v>66</v>
      </c>
      <c r="O458" t="s">
        <v>61</v>
      </c>
      <c r="Q458" t="s">
        <v>552</v>
      </c>
      <c r="R458" t="s">
        <v>85</v>
      </c>
      <c r="S458" t="s">
        <v>86</v>
      </c>
    </row>
    <row r="459" spans="1:19" x14ac:dyDescent="0.25">
      <c r="A459" t="s">
        <v>30</v>
      </c>
      <c r="B459" t="s">
        <v>31</v>
      </c>
      <c r="C459" t="s">
        <v>32</v>
      </c>
      <c r="D459" t="s">
        <v>33</v>
      </c>
      <c r="E459" t="s">
        <v>122</v>
      </c>
      <c r="F459" t="s">
        <v>35</v>
      </c>
      <c r="G459" t="s">
        <v>35</v>
      </c>
      <c r="H459" t="s">
        <v>35</v>
      </c>
      <c r="J459" t="s">
        <v>1752</v>
      </c>
      <c r="K459" t="s">
        <v>1092</v>
      </c>
      <c r="M459">
        <v>9.99</v>
      </c>
      <c r="N459">
        <v>10</v>
      </c>
      <c r="O459" t="s">
        <v>46</v>
      </c>
      <c r="Q459" t="s">
        <v>1302</v>
      </c>
      <c r="R459" t="s">
        <v>85</v>
      </c>
      <c r="S459" t="s">
        <v>86</v>
      </c>
    </row>
    <row r="460" spans="1:19" x14ac:dyDescent="0.25">
      <c r="A460" t="s">
        <v>30</v>
      </c>
      <c r="B460" t="s">
        <v>31</v>
      </c>
      <c r="C460" t="s">
        <v>32</v>
      </c>
      <c r="D460" t="s">
        <v>33</v>
      </c>
      <c r="E460" t="s">
        <v>122</v>
      </c>
      <c r="F460" t="s">
        <v>35</v>
      </c>
      <c r="G460" t="s">
        <v>35</v>
      </c>
      <c r="H460" t="s">
        <v>35</v>
      </c>
      <c r="J460" t="s">
        <v>1752</v>
      </c>
      <c r="K460" t="s">
        <v>1092</v>
      </c>
      <c r="M460">
        <v>5.22</v>
      </c>
      <c r="N460">
        <v>69</v>
      </c>
      <c r="O460" t="s">
        <v>61</v>
      </c>
      <c r="Q460" t="s">
        <v>234</v>
      </c>
      <c r="R460" t="s">
        <v>85</v>
      </c>
      <c r="S460" t="s">
        <v>86</v>
      </c>
    </row>
    <row r="461" spans="1:19" x14ac:dyDescent="0.25">
      <c r="A461" t="s">
        <v>59</v>
      </c>
      <c r="B461" t="s">
        <v>60</v>
      </c>
      <c r="C461" t="s">
        <v>32</v>
      </c>
      <c r="D461" t="s">
        <v>33</v>
      </c>
      <c r="E461" t="s">
        <v>122</v>
      </c>
      <c r="F461" t="s">
        <v>35</v>
      </c>
      <c r="G461" t="s">
        <v>35</v>
      </c>
      <c r="H461" t="s">
        <v>35</v>
      </c>
      <c r="J461" t="s">
        <v>1752</v>
      </c>
      <c r="K461" t="s">
        <v>1092</v>
      </c>
      <c r="M461">
        <v>2.4</v>
      </c>
      <c r="N461">
        <v>55</v>
      </c>
      <c r="O461" t="s">
        <v>52</v>
      </c>
      <c r="Q461" t="s">
        <v>90</v>
      </c>
      <c r="R461" t="s">
        <v>85</v>
      </c>
      <c r="S461" t="s">
        <v>86</v>
      </c>
    </row>
    <row r="462" spans="1:19" x14ac:dyDescent="0.25">
      <c r="A462" t="s">
        <v>59</v>
      </c>
      <c r="B462" t="s">
        <v>60</v>
      </c>
      <c r="C462" t="s">
        <v>32</v>
      </c>
      <c r="D462" t="s">
        <v>33</v>
      </c>
      <c r="F462" t="s">
        <v>35</v>
      </c>
      <c r="G462" t="s">
        <v>35</v>
      </c>
      <c r="H462" t="s">
        <v>35</v>
      </c>
      <c r="J462" t="s">
        <v>2347</v>
      </c>
      <c r="K462" t="s">
        <v>1092</v>
      </c>
      <c r="M462">
        <v>0.78</v>
      </c>
      <c r="N462">
        <v>2632</v>
      </c>
      <c r="O462" t="s">
        <v>575</v>
      </c>
      <c r="Q462" t="s">
        <v>2348</v>
      </c>
      <c r="R462" t="s">
        <v>2349</v>
      </c>
      <c r="S462" t="s">
        <v>2350</v>
      </c>
    </row>
    <row r="463" spans="1:19" x14ac:dyDescent="0.25">
      <c r="A463" t="s">
        <v>59</v>
      </c>
      <c r="B463" t="s">
        <v>31</v>
      </c>
      <c r="C463" t="s">
        <v>32</v>
      </c>
      <c r="D463" t="s">
        <v>33</v>
      </c>
      <c r="E463" t="s">
        <v>2098</v>
      </c>
      <c r="F463" t="s">
        <v>35</v>
      </c>
      <c r="G463" t="s">
        <v>35</v>
      </c>
      <c r="H463" t="s">
        <v>35</v>
      </c>
      <c r="J463" t="s">
        <v>2103</v>
      </c>
      <c r="K463" t="s">
        <v>1092</v>
      </c>
      <c r="M463">
        <v>0.79500000000000004</v>
      </c>
      <c r="N463">
        <v>1941</v>
      </c>
      <c r="O463" t="s">
        <v>575</v>
      </c>
      <c r="Q463" t="s">
        <v>2105</v>
      </c>
      <c r="R463" t="s">
        <v>1473</v>
      </c>
      <c r="S463" t="s">
        <v>1474</v>
      </c>
    </row>
    <row r="464" spans="1:19" x14ac:dyDescent="0.25">
      <c r="A464" t="s">
        <v>30</v>
      </c>
      <c r="B464" t="s">
        <v>31</v>
      </c>
      <c r="C464" t="s">
        <v>32</v>
      </c>
      <c r="D464" t="s">
        <v>33</v>
      </c>
      <c r="E464" t="s">
        <v>2059</v>
      </c>
      <c r="F464" t="s">
        <v>35</v>
      </c>
      <c r="G464" t="s">
        <v>35</v>
      </c>
      <c r="H464" t="s">
        <v>35</v>
      </c>
      <c r="J464" t="s">
        <v>2073</v>
      </c>
      <c r="K464" t="s">
        <v>1092</v>
      </c>
      <c r="M464">
        <v>1.2150000000000001</v>
      </c>
      <c r="N464">
        <v>145</v>
      </c>
      <c r="O464" t="s">
        <v>38</v>
      </c>
      <c r="Q464" t="s">
        <v>408</v>
      </c>
      <c r="R464" t="s">
        <v>1473</v>
      </c>
      <c r="S464" t="s">
        <v>1474</v>
      </c>
    </row>
    <row r="465" spans="1:19" x14ac:dyDescent="0.25">
      <c r="A465" t="s">
        <v>59</v>
      </c>
      <c r="B465" t="s">
        <v>60</v>
      </c>
      <c r="C465" t="s">
        <v>32</v>
      </c>
      <c r="D465" t="s">
        <v>33</v>
      </c>
      <c r="E465" t="s">
        <v>87</v>
      </c>
      <c r="F465" t="s">
        <v>35</v>
      </c>
      <c r="G465" t="s">
        <v>35</v>
      </c>
      <c r="H465" t="s">
        <v>35</v>
      </c>
      <c r="J465" t="s">
        <v>625</v>
      </c>
      <c r="K465" t="s">
        <v>1092</v>
      </c>
      <c r="M465">
        <v>0.15</v>
      </c>
      <c r="N465">
        <v>538</v>
      </c>
      <c r="O465" t="s">
        <v>294</v>
      </c>
      <c r="Q465" t="s">
        <v>1472</v>
      </c>
      <c r="R465" t="s">
        <v>1473</v>
      </c>
      <c r="S465" t="s">
        <v>1474</v>
      </c>
    </row>
    <row r="466" spans="1:19" x14ac:dyDescent="0.25">
      <c r="A466" t="s">
        <v>59</v>
      </c>
      <c r="B466" t="s">
        <v>60</v>
      </c>
      <c r="C466" t="s">
        <v>32</v>
      </c>
      <c r="D466" t="s">
        <v>33</v>
      </c>
      <c r="E466" t="s">
        <v>34</v>
      </c>
      <c r="F466" t="s">
        <v>35</v>
      </c>
      <c r="G466" t="s">
        <v>35</v>
      </c>
      <c r="H466" t="s">
        <v>35</v>
      </c>
      <c r="J466" t="s">
        <v>1197</v>
      </c>
      <c r="K466" t="s">
        <v>1092</v>
      </c>
      <c r="M466">
        <v>0.05</v>
      </c>
      <c r="N466">
        <v>78</v>
      </c>
      <c r="O466" t="s">
        <v>61</v>
      </c>
      <c r="Q466" t="s">
        <v>1202</v>
      </c>
      <c r="R466" t="s">
        <v>1196</v>
      </c>
      <c r="S466" t="s">
        <v>1197</v>
      </c>
    </row>
    <row r="467" spans="1:19" x14ac:dyDescent="0.25">
      <c r="A467" t="s">
        <v>59</v>
      </c>
      <c r="B467" t="s">
        <v>60</v>
      </c>
      <c r="C467" t="s">
        <v>32</v>
      </c>
      <c r="D467" t="s">
        <v>33</v>
      </c>
      <c r="E467" t="s">
        <v>34</v>
      </c>
      <c r="F467" t="s">
        <v>35</v>
      </c>
      <c r="G467" t="s">
        <v>35</v>
      </c>
      <c r="H467" t="s">
        <v>35</v>
      </c>
      <c r="J467" t="s">
        <v>1194</v>
      </c>
      <c r="K467" t="s">
        <v>1092</v>
      </c>
      <c r="M467">
        <v>1.5</v>
      </c>
      <c r="N467">
        <v>108</v>
      </c>
      <c r="O467" t="s">
        <v>106</v>
      </c>
      <c r="Q467" t="s">
        <v>1195</v>
      </c>
      <c r="R467" t="s">
        <v>1196</v>
      </c>
      <c r="S467" t="s">
        <v>1197</v>
      </c>
    </row>
    <row r="468" spans="1:19" x14ac:dyDescent="0.25">
      <c r="A468" t="s">
        <v>44</v>
      </c>
      <c r="B468" t="s">
        <v>3</v>
      </c>
      <c r="C468" t="s">
        <v>32</v>
      </c>
      <c r="D468" t="s">
        <v>33</v>
      </c>
      <c r="E468" t="s">
        <v>204</v>
      </c>
      <c r="F468" t="s">
        <v>35</v>
      </c>
      <c r="G468" t="s">
        <v>35</v>
      </c>
      <c r="H468" t="s">
        <v>35</v>
      </c>
      <c r="J468" t="s">
        <v>2123</v>
      </c>
      <c r="K468" t="s">
        <v>1092</v>
      </c>
      <c r="M468">
        <v>0.05</v>
      </c>
      <c r="N468">
        <v>206</v>
      </c>
      <c r="O468" t="s">
        <v>5</v>
      </c>
      <c r="Q468" t="s">
        <v>1298</v>
      </c>
      <c r="R468" t="s">
        <v>2124</v>
      </c>
      <c r="S468" t="s">
        <v>213</v>
      </c>
    </row>
    <row r="469" spans="1:19" x14ac:dyDescent="0.25">
      <c r="A469" t="s">
        <v>44</v>
      </c>
      <c r="B469" t="s">
        <v>3</v>
      </c>
      <c r="C469" t="s">
        <v>32</v>
      </c>
      <c r="D469" t="s">
        <v>33</v>
      </c>
      <c r="E469" t="s">
        <v>204</v>
      </c>
      <c r="F469" t="s">
        <v>35</v>
      </c>
      <c r="G469" t="s">
        <v>35</v>
      </c>
      <c r="H469" t="s">
        <v>35</v>
      </c>
      <c r="J469" t="s">
        <v>2167</v>
      </c>
      <c r="K469" t="s">
        <v>1092</v>
      </c>
      <c r="M469">
        <v>2.9</v>
      </c>
      <c r="N469">
        <v>11</v>
      </c>
      <c r="O469" t="s">
        <v>46</v>
      </c>
      <c r="Q469" t="s">
        <v>1476</v>
      </c>
      <c r="R469" t="s">
        <v>2124</v>
      </c>
      <c r="S469" t="s">
        <v>213</v>
      </c>
    </row>
    <row r="470" spans="1:19" x14ac:dyDescent="0.25">
      <c r="A470" t="s">
        <v>30</v>
      </c>
      <c r="B470" t="s">
        <v>31</v>
      </c>
      <c r="C470" t="s">
        <v>32</v>
      </c>
      <c r="D470" t="s">
        <v>33</v>
      </c>
      <c r="E470" t="s">
        <v>122</v>
      </c>
      <c r="F470" t="s">
        <v>35</v>
      </c>
      <c r="G470" t="s">
        <v>35</v>
      </c>
      <c r="H470" t="s">
        <v>35</v>
      </c>
      <c r="J470" t="s">
        <v>1731</v>
      </c>
      <c r="K470" t="s">
        <v>1092</v>
      </c>
      <c r="M470">
        <v>0.46</v>
      </c>
      <c r="N470">
        <v>394</v>
      </c>
      <c r="O470" t="s">
        <v>294</v>
      </c>
      <c r="Q470" t="s">
        <v>1434</v>
      </c>
      <c r="R470" t="s">
        <v>1641</v>
      </c>
      <c r="S470" t="s">
        <v>1642</v>
      </c>
    </row>
    <row r="471" spans="1:19" x14ac:dyDescent="0.25">
      <c r="A471" t="s">
        <v>30</v>
      </c>
      <c r="B471" t="s">
        <v>31</v>
      </c>
      <c r="C471" t="s">
        <v>32</v>
      </c>
      <c r="D471" t="s">
        <v>33</v>
      </c>
      <c r="E471" t="s">
        <v>122</v>
      </c>
      <c r="F471" t="s">
        <v>35</v>
      </c>
      <c r="G471" t="s">
        <v>35</v>
      </c>
      <c r="H471" t="s">
        <v>35</v>
      </c>
      <c r="J471" t="s">
        <v>1731</v>
      </c>
      <c r="K471" t="s">
        <v>1092</v>
      </c>
      <c r="M471">
        <v>1</v>
      </c>
      <c r="N471">
        <v>181</v>
      </c>
      <c r="O471" t="s">
        <v>5</v>
      </c>
      <c r="Q471" t="s">
        <v>1277</v>
      </c>
      <c r="R471" t="s">
        <v>1641</v>
      </c>
      <c r="S471" t="s">
        <v>1642</v>
      </c>
    </row>
    <row r="472" spans="1:19" x14ac:dyDescent="0.25">
      <c r="A472" t="s">
        <v>30</v>
      </c>
      <c r="B472" t="s">
        <v>31</v>
      </c>
      <c r="C472" t="s">
        <v>32</v>
      </c>
      <c r="D472" t="s">
        <v>33</v>
      </c>
      <c r="E472" t="s">
        <v>122</v>
      </c>
      <c r="F472" t="s">
        <v>35</v>
      </c>
      <c r="G472" t="s">
        <v>35</v>
      </c>
      <c r="H472" t="s">
        <v>35</v>
      </c>
      <c r="J472" t="s">
        <v>1731</v>
      </c>
      <c r="K472" t="s">
        <v>1092</v>
      </c>
      <c r="M472">
        <v>1.35</v>
      </c>
      <c r="N472">
        <v>368</v>
      </c>
      <c r="O472" t="s">
        <v>294</v>
      </c>
      <c r="Q472" t="s">
        <v>1732</v>
      </c>
      <c r="R472" t="s">
        <v>1641</v>
      </c>
      <c r="S472" t="s">
        <v>1642</v>
      </c>
    </row>
    <row r="473" spans="1:19" x14ac:dyDescent="0.25">
      <c r="A473" t="s">
        <v>30</v>
      </c>
      <c r="B473" t="s">
        <v>31</v>
      </c>
      <c r="C473" t="s">
        <v>32</v>
      </c>
      <c r="D473" t="s">
        <v>33</v>
      </c>
      <c r="E473" t="s">
        <v>122</v>
      </c>
      <c r="F473" t="s">
        <v>35</v>
      </c>
      <c r="G473" t="s">
        <v>35</v>
      </c>
      <c r="H473" t="s">
        <v>35</v>
      </c>
      <c r="J473" t="s">
        <v>1809</v>
      </c>
      <c r="K473" t="s">
        <v>1092</v>
      </c>
      <c r="M473">
        <v>0.09</v>
      </c>
      <c r="N473">
        <v>202</v>
      </c>
      <c r="O473" t="s">
        <v>5</v>
      </c>
      <c r="Q473" t="s">
        <v>1810</v>
      </c>
      <c r="R473" t="s">
        <v>1641</v>
      </c>
      <c r="S473" t="s">
        <v>1642</v>
      </c>
    </row>
    <row r="474" spans="1:19" x14ac:dyDescent="0.25">
      <c r="A474" t="s">
        <v>30</v>
      </c>
      <c r="B474" t="s">
        <v>31</v>
      </c>
      <c r="C474" t="s">
        <v>32</v>
      </c>
      <c r="D474" t="s">
        <v>33</v>
      </c>
      <c r="E474" t="s">
        <v>122</v>
      </c>
      <c r="F474" t="s">
        <v>35</v>
      </c>
      <c r="G474" t="s">
        <v>35</v>
      </c>
      <c r="H474" t="s">
        <v>35</v>
      </c>
      <c r="J474" t="s">
        <v>1777</v>
      </c>
      <c r="K474" t="s">
        <v>1092</v>
      </c>
      <c r="M474">
        <v>0.45</v>
      </c>
      <c r="N474">
        <v>731</v>
      </c>
      <c r="O474" t="s">
        <v>575</v>
      </c>
      <c r="Q474" t="s">
        <v>1778</v>
      </c>
      <c r="R474" t="s">
        <v>1641</v>
      </c>
      <c r="S474" t="s">
        <v>1642</v>
      </c>
    </row>
    <row r="475" spans="1:19" x14ac:dyDescent="0.25">
      <c r="A475" t="s">
        <v>44</v>
      </c>
      <c r="B475" t="s">
        <v>51</v>
      </c>
      <c r="C475" t="s">
        <v>32</v>
      </c>
      <c r="D475" t="s">
        <v>33</v>
      </c>
      <c r="E475" t="s">
        <v>122</v>
      </c>
      <c r="F475" t="s">
        <v>35</v>
      </c>
      <c r="G475" t="s">
        <v>35</v>
      </c>
      <c r="H475" t="s">
        <v>35</v>
      </c>
      <c r="J475" t="s">
        <v>1753</v>
      </c>
      <c r="K475" t="s">
        <v>1092</v>
      </c>
      <c r="M475">
        <v>0.1</v>
      </c>
      <c r="N475">
        <v>258</v>
      </c>
      <c r="O475" t="s">
        <v>5</v>
      </c>
      <c r="Q475" t="s">
        <v>1754</v>
      </c>
      <c r="R475" t="s">
        <v>1641</v>
      </c>
      <c r="S475" t="s">
        <v>1642</v>
      </c>
    </row>
    <row r="476" spans="1:19" x14ac:dyDescent="0.25">
      <c r="A476" t="s">
        <v>44</v>
      </c>
      <c r="B476" t="s">
        <v>51</v>
      </c>
      <c r="C476" t="s">
        <v>32</v>
      </c>
      <c r="D476" t="s">
        <v>33</v>
      </c>
      <c r="E476" t="s">
        <v>122</v>
      </c>
      <c r="F476" t="s">
        <v>35</v>
      </c>
      <c r="G476" t="s">
        <v>35</v>
      </c>
      <c r="H476" t="s">
        <v>35</v>
      </c>
      <c r="J476" t="s">
        <v>1779</v>
      </c>
      <c r="K476" t="s">
        <v>1092</v>
      </c>
      <c r="M476">
        <v>0.55000000000000004</v>
      </c>
      <c r="N476">
        <v>227</v>
      </c>
      <c r="O476" t="s">
        <v>5</v>
      </c>
      <c r="Q476" t="s">
        <v>1780</v>
      </c>
      <c r="R476" t="s">
        <v>1641</v>
      </c>
      <c r="S476" t="s">
        <v>1642</v>
      </c>
    </row>
    <row r="477" spans="1:19" x14ac:dyDescent="0.25">
      <c r="A477" t="s">
        <v>44</v>
      </c>
      <c r="B477" t="s">
        <v>3</v>
      </c>
      <c r="C477" t="s">
        <v>32</v>
      </c>
      <c r="D477" t="s">
        <v>33</v>
      </c>
      <c r="E477" t="s">
        <v>122</v>
      </c>
      <c r="F477" t="s">
        <v>35</v>
      </c>
      <c r="G477" t="s">
        <v>35</v>
      </c>
      <c r="H477" t="s">
        <v>35</v>
      </c>
      <c r="J477" t="s">
        <v>1343</v>
      </c>
      <c r="K477" t="s">
        <v>1092</v>
      </c>
      <c r="M477">
        <v>0.25</v>
      </c>
      <c r="N477">
        <v>364</v>
      </c>
      <c r="O477" t="s">
        <v>5</v>
      </c>
      <c r="Q477" t="s">
        <v>1640</v>
      </c>
      <c r="R477" t="s">
        <v>1641</v>
      </c>
      <c r="S477" t="s">
        <v>1642</v>
      </c>
    </row>
    <row r="478" spans="1:19" x14ac:dyDescent="0.25">
      <c r="A478" t="s">
        <v>44</v>
      </c>
      <c r="B478" t="s">
        <v>51</v>
      </c>
      <c r="C478" t="s">
        <v>32</v>
      </c>
      <c r="D478" t="s">
        <v>33</v>
      </c>
      <c r="E478" t="s">
        <v>122</v>
      </c>
      <c r="F478" t="s">
        <v>35</v>
      </c>
      <c r="G478" t="s">
        <v>35</v>
      </c>
      <c r="H478" t="s">
        <v>35</v>
      </c>
      <c r="J478" t="s">
        <v>1759</v>
      </c>
      <c r="K478" t="s">
        <v>1092</v>
      </c>
      <c r="M478">
        <v>0.435</v>
      </c>
      <c r="N478">
        <v>448</v>
      </c>
      <c r="O478" t="s">
        <v>294</v>
      </c>
      <c r="Q478" t="s">
        <v>1760</v>
      </c>
      <c r="R478" t="s">
        <v>1641</v>
      </c>
      <c r="S478" t="s">
        <v>1642</v>
      </c>
    </row>
    <row r="479" spans="1:19" x14ac:dyDescent="0.25">
      <c r="A479" t="s">
        <v>59</v>
      </c>
      <c r="B479" t="s">
        <v>60</v>
      </c>
      <c r="C479" t="s">
        <v>32</v>
      </c>
      <c r="D479" t="s">
        <v>33</v>
      </c>
      <c r="E479" t="s">
        <v>87</v>
      </c>
      <c r="F479" t="s">
        <v>35</v>
      </c>
      <c r="G479" t="s">
        <v>35</v>
      </c>
      <c r="H479" t="s">
        <v>35</v>
      </c>
      <c r="J479" t="s">
        <v>95</v>
      </c>
      <c r="K479" t="s">
        <v>37</v>
      </c>
      <c r="M479">
        <v>0.2</v>
      </c>
      <c r="N479">
        <v>128</v>
      </c>
      <c r="O479" t="s">
        <v>38</v>
      </c>
      <c r="P479" t="s">
        <v>97</v>
      </c>
      <c r="Q479" t="s">
        <v>98</v>
      </c>
      <c r="R479" t="s">
        <v>99</v>
      </c>
      <c r="S479" t="s">
        <v>100</v>
      </c>
    </row>
    <row r="480" spans="1:19" x14ac:dyDescent="0.25">
      <c r="A480" t="s">
        <v>59</v>
      </c>
      <c r="B480" t="s">
        <v>60</v>
      </c>
      <c r="C480" t="s">
        <v>32</v>
      </c>
      <c r="D480" t="s">
        <v>33</v>
      </c>
      <c r="E480" t="s">
        <v>1292</v>
      </c>
      <c r="F480" t="s">
        <v>35</v>
      </c>
      <c r="G480" t="s">
        <v>35</v>
      </c>
      <c r="H480" t="s">
        <v>35</v>
      </c>
      <c r="J480" t="s">
        <v>1400</v>
      </c>
      <c r="K480" t="s">
        <v>1092</v>
      </c>
      <c r="M480">
        <v>2.5000000000000001E-2</v>
      </c>
      <c r="N480">
        <v>562</v>
      </c>
      <c r="O480" t="s">
        <v>575</v>
      </c>
      <c r="Q480" t="s">
        <v>1401</v>
      </c>
      <c r="R480" t="s">
        <v>1402</v>
      </c>
      <c r="S480" t="s">
        <v>1403</v>
      </c>
    </row>
    <row r="481" spans="1:19" x14ac:dyDescent="0.25">
      <c r="A481" t="s">
        <v>30</v>
      </c>
      <c r="B481" t="s">
        <v>31</v>
      </c>
      <c r="C481" t="s">
        <v>32</v>
      </c>
      <c r="D481" t="s">
        <v>33</v>
      </c>
      <c r="E481" t="s">
        <v>1292</v>
      </c>
      <c r="F481" t="s">
        <v>35</v>
      </c>
      <c r="G481" t="s">
        <v>35</v>
      </c>
      <c r="H481" t="s">
        <v>35</v>
      </c>
      <c r="J481" t="s">
        <v>1400</v>
      </c>
      <c r="K481" t="s">
        <v>1092</v>
      </c>
      <c r="M481">
        <v>4.4999999999999998E-2</v>
      </c>
      <c r="N481">
        <v>562</v>
      </c>
      <c r="O481" t="s">
        <v>575</v>
      </c>
      <c r="Q481" t="s">
        <v>1401</v>
      </c>
      <c r="R481" t="s">
        <v>1402</v>
      </c>
      <c r="S481" t="s">
        <v>1403</v>
      </c>
    </row>
    <row r="482" spans="1:19" x14ac:dyDescent="0.25">
      <c r="A482" t="s">
        <v>59</v>
      </c>
      <c r="B482" t="s">
        <v>31</v>
      </c>
      <c r="C482" t="s">
        <v>32</v>
      </c>
      <c r="D482" t="s">
        <v>33</v>
      </c>
      <c r="E482" t="s">
        <v>122</v>
      </c>
      <c r="F482" t="s">
        <v>35</v>
      </c>
      <c r="G482" t="s">
        <v>35</v>
      </c>
      <c r="H482" t="s">
        <v>35</v>
      </c>
      <c r="J482" t="s">
        <v>1650</v>
      </c>
      <c r="K482" t="s">
        <v>1092</v>
      </c>
      <c r="M482">
        <v>0.04</v>
      </c>
      <c r="N482">
        <v>506</v>
      </c>
      <c r="O482" t="s">
        <v>294</v>
      </c>
      <c r="Q482" t="s">
        <v>1651</v>
      </c>
      <c r="R482" t="s">
        <v>1402</v>
      </c>
      <c r="S482" t="s">
        <v>1403</v>
      </c>
    </row>
    <row r="483" spans="1:19" x14ac:dyDescent="0.25">
      <c r="A483" t="s">
        <v>59</v>
      </c>
      <c r="B483" t="s">
        <v>60</v>
      </c>
      <c r="C483" t="s">
        <v>32</v>
      </c>
      <c r="D483" t="s">
        <v>33</v>
      </c>
      <c r="F483" t="s">
        <v>35</v>
      </c>
      <c r="G483" t="s">
        <v>35</v>
      </c>
      <c r="H483" t="s">
        <v>35</v>
      </c>
      <c r="J483" t="s">
        <v>2238</v>
      </c>
      <c r="K483" t="s">
        <v>1092</v>
      </c>
      <c r="M483">
        <v>0.41</v>
      </c>
      <c r="N483">
        <v>1762</v>
      </c>
      <c r="O483" t="s">
        <v>575</v>
      </c>
      <c r="Q483" t="s">
        <v>2239</v>
      </c>
      <c r="R483" t="s">
        <v>1402</v>
      </c>
      <c r="S483" t="s">
        <v>1403</v>
      </c>
    </row>
    <row r="484" spans="1:19" x14ac:dyDescent="0.25">
      <c r="A484" t="s">
        <v>30</v>
      </c>
      <c r="B484" t="s">
        <v>31</v>
      </c>
      <c r="C484" t="s">
        <v>32</v>
      </c>
      <c r="D484" t="s">
        <v>33</v>
      </c>
      <c r="F484" t="s">
        <v>35</v>
      </c>
      <c r="G484" t="s">
        <v>35</v>
      </c>
      <c r="H484" t="s">
        <v>35</v>
      </c>
      <c r="J484" t="s">
        <v>2238</v>
      </c>
      <c r="K484" t="s">
        <v>1092</v>
      </c>
      <c r="M484">
        <v>0.15</v>
      </c>
      <c r="N484">
        <v>2124</v>
      </c>
      <c r="O484" t="s">
        <v>575</v>
      </c>
      <c r="Q484" t="s">
        <v>2240</v>
      </c>
      <c r="R484" t="s">
        <v>1402</v>
      </c>
      <c r="S484" t="s">
        <v>1403</v>
      </c>
    </row>
    <row r="485" spans="1:19" x14ac:dyDescent="0.25">
      <c r="A485" t="s">
        <v>30</v>
      </c>
      <c r="B485" t="s">
        <v>31</v>
      </c>
      <c r="C485" t="s">
        <v>32</v>
      </c>
      <c r="D485" t="s">
        <v>33</v>
      </c>
      <c r="E485" t="s">
        <v>1292</v>
      </c>
      <c r="F485" t="s">
        <v>35</v>
      </c>
      <c r="G485" t="s">
        <v>35</v>
      </c>
      <c r="H485" t="s">
        <v>35</v>
      </c>
      <c r="J485" t="s">
        <v>1297</v>
      </c>
      <c r="K485" t="s">
        <v>1092</v>
      </c>
      <c r="M485">
        <v>1.9350000000000001</v>
      </c>
      <c r="N485">
        <v>206</v>
      </c>
      <c r="O485" t="s">
        <v>5</v>
      </c>
      <c r="Q485" t="s">
        <v>1298</v>
      </c>
      <c r="R485" t="s">
        <v>69</v>
      </c>
      <c r="S485" t="s">
        <v>70</v>
      </c>
    </row>
    <row r="486" spans="1:19" x14ac:dyDescent="0.25">
      <c r="A486" t="s">
        <v>30</v>
      </c>
      <c r="B486" t="s">
        <v>31</v>
      </c>
      <c r="C486" t="s">
        <v>32</v>
      </c>
      <c r="D486" t="s">
        <v>33</v>
      </c>
      <c r="E486" t="s">
        <v>172</v>
      </c>
      <c r="F486" t="s">
        <v>35</v>
      </c>
      <c r="G486" t="s">
        <v>35</v>
      </c>
      <c r="H486" t="s">
        <v>35</v>
      </c>
      <c r="J486" t="s">
        <v>148</v>
      </c>
      <c r="K486" t="s">
        <v>37</v>
      </c>
      <c r="M486">
        <v>4.4550000000000001</v>
      </c>
      <c r="N486">
        <v>40</v>
      </c>
      <c r="O486" t="s">
        <v>52</v>
      </c>
      <c r="P486" t="s">
        <v>173</v>
      </c>
      <c r="Q486" t="s">
        <v>132</v>
      </c>
      <c r="R486" t="s">
        <v>69</v>
      </c>
      <c r="S486" t="s">
        <v>70</v>
      </c>
    </row>
    <row r="487" spans="1:19" x14ac:dyDescent="0.25">
      <c r="A487" t="s">
        <v>59</v>
      </c>
      <c r="B487" t="s">
        <v>31</v>
      </c>
      <c r="C487" t="s">
        <v>32</v>
      </c>
      <c r="D487" t="s">
        <v>33</v>
      </c>
      <c r="E487" t="s">
        <v>119</v>
      </c>
      <c r="F487" t="s">
        <v>35</v>
      </c>
      <c r="G487" t="s">
        <v>35</v>
      </c>
      <c r="H487" t="s">
        <v>35</v>
      </c>
      <c r="J487" t="s">
        <v>1629</v>
      </c>
      <c r="K487" t="s">
        <v>1092</v>
      </c>
      <c r="M487">
        <v>1.08</v>
      </c>
      <c r="N487">
        <v>88</v>
      </c>
      <c r="O487" t="s">
        <v>61</v>
      </c>
      <c r="Q487" t="s">
        <v>724</v>
      </c>
      <c r="R487" t="s">
        <v>69</v>
      </c>
      <c r="S487" t="s">
        <v>70</v>
      </c>
    </row>
    <row r="488" spans="1:19" x14ac:dyDescent="0.25">
      <c r="A488" t="s">
        <v>30</v>
      </c>
      <c r="B488" t="s">
        <v>31</v>
      </c>
      <c r="C488" t="s">
        <v>32</v>
      </c>
      <c r="D488" t="s">
        <v>33</v>
      </c>
      <c r="E488" t="s">
        <v>1520</v>
      </c>
      <c r="F488" t="s">
        <v>35</v>
      </c>
      <c r="G488" t="s">
        <v>35</v>
      </c>
      <c r="H488" t="s">
        <v>35</v>
      </c>
      <c r="J488" t="s">
        <v>1521</v>
      </c>
      <c r="K488" t="s">
        <v>1092</v>
      </c>
      <c r="M488">
        <v>5.9219999999999997</v>
      </c>
      <c r="N488">
        <v>34</v>
      </c>
      <c r="O488" t="s">
        <v>52</v>
      </c>
      <c r="Q488" t="s">
        <v>249</v>
      </c>
      <c r="R488" t="s">
        <v>69</v>
      </c>
      <c r="S488" t="s">
        <v>70</v>
      </c>
    </row>
    <row r="489" spans="1:19" x14ac:dyDescent="0.25">
      <c r="A489" t="s">
        <v>44</v>
      </c>
      <c r="B489" t="s">
        <v>3</v>
      </c>
      <c r="C489" t="s">
        <v>32</v>
      </c>
      <c r="D489" t="s">
        <v>33</v>
      </c>
      <c r="E489" t="s">
        <v>1520</v>
      </c>
      <c r="F489" t="s">
        <v>35</v>
      </c>
      <c r="G489" t="s">
        <v>35</v>
      </c>
      <c r="H489" t="s">
        <v>35</v>
      </c>
      <c r="J489" t="s">
        <v>1521</v>
      </c>
      <c r="K489" t="s">
        <v>1092</v>
      </c>
      <c r="M489">
        <v>11</v>
      </c>
      <c r="N489">
        <v>34</v>
      </c>
      <c r="O489" t="s">
        <v>52</v>
      </c>
      <c r="Q489" t="s">
        <v>249</v>
      </c>
      <c r="R489" t="s">
        <v>69</v>
      </c>
      <c r="S489" t="s">
        <v>70</v>
      </c>
    </row>
    <row r="490" spans="1:19" x14ac:dyDescent="0.25">
      <c r="A490" t="s">
        <v>59</v>
      </c>
      <c r="B490" t="s">
        <v>60</v>
      </c>
      <c r="C490" t="s">
        <v>32</v>
      </c>
      <c r="D490" t="s">
        <v>33</v>
      </c>
      <c r="E490" t="s">
        <v>87</v>
      </c>
      <c r="F490" t="s">
        <v>35</v>
      </c>
      <c r="G490" t="s">
        <v>35</v>
      </c>
      <c r="H490" t="s">
        <v>35</v>
      </c>
      <c r="J490" t="s">
        <v>105</v>
      </c>
      <c r="K490" t="s">
        <v>37</v>
      </c>
      <c r="M490">
        <v>0.5</v>
      </c>
      <c r="N490">
        <v>91</v>
      </c>
      <c r="O490" t="s">
        <v>106</v>
      </c>
      <c r="P490" t="s">
        <v>107</v>
      </c>
      <c r="Q490" t="s">
        <v>108</v>
      </c>
      <c r="R490" t="s">
        <v>69</v>
      </c>
      <c r="S490" t="s">
        <v>70</v>
      </c>
    </row>
    <row r="491" spans="1:19" x14ac:dyDescent="0.25">
      <c r="A491" t="s">
        <v>59</v>
      </c>
      <c r="B491" t="s">
        <v>60</v>
      </c>
      <c r="C491" t="s">
        <v>32</v>
      </c>
      <c r="D491" t="s">
        <v>33</v>
      </c>
      <c r="E491" t="s">
        <v>64</v>
      </c>
      <c r="F491" t="s">
        <v>35</v>
      </c>
      <c r="G491" t="s">
        <v>35</v>
      </c>
      <c r="H491" t="s">
        <v>35</v>
      </c>
      <c r="J491" t="s">
        <v>65</v>
      </c>
      <c r="K491" t="s">
        <v>37</v>
      </c>
      <c r="M491">
        <v>11</v>
      </c>
      <c r="N491">
        <v>126</v>
      </c>
      <c r="O491" t="s">
        <v>38</v>
      </c>
      <c r="P491" t="s">
        <v>67</v>
      </c>
      <c r="Q491" t="s">
        <v>68</v>
      </c>
      <c r="R491" t="s">
        <v>69</v>
      </c>
      <c r="S491" t="s">
        <v>70</v>
      </c>
    </row>
    <row r="492" spans="1:19" x14ac:dyDescent="0.25">
      <c r="A492" t="s">
        <v>30</v>
      </c>
      <c r="B492" t="s">
        <v>31</v>
      </c>
      <c r="C492" t="s">
        <v>32</v>
      </c>
      <c r="D492" t="s">
        <v>33</v>
      </c>
      <c r="E492" t="s">
        <v>64</v>
      </c>
      <c r="F492" t="s">
        <v>35</v>
      </c>
      <c r="G492" t="s">
        <v>35</v>
      </c>
      <c r="H492" t="s">
        <v>35</v>
      </c>
      <c r="J492" t="s">
        <v>65</v>
      </c>
      <c r="K492" t="s">
        <v>37</v>
      </c>
      <c r="M492">
        <v>3.645</v>
      </c>
      <c r="N492">
        <v>142</v>
      </c>
      <c r="O492" t="s">
        <v>38</v>
      </c>
      <c r="P492" t="s">
        <v>72</v>
      </c>
      <c r="Q492" t="s">
        <v>73</v>
      </c>
      <c r="R492" t="s">
        <v>69</v>
      </c>
      <c r="S492" t="s">
        <v>70</v>
      </c>
    </row>
    <row r="493" spans="1:19" x14ac:dyDescent="0.25">
      <c r="A493" t="s">
        <v>59</v>
      </c>
      <c r="B493" t="s">
        <v>31</v>
      </c>
      <c r="C493" t="s">
        <v>32</v>
      </c>
      <c r="D493" t="s">
        <v>33</v>
      </c>
      <c r="E493" t="s">
        <v>64</v>
      </c>
      <c r="F493" t="s">
        <v>35</v>
      </c>
      <c r="G493" t="s">
        <v>35</v>
      </c>
      <c r="H493" t="s">
        <v>35</v>
      </c>
      <c r="J493" t="s">
        <v>65</v>
      </c>
      <c r="K493" t="s">
        <v>37</v>
      </c>
      <c r="M493">
        <v>0.23</v>
      </c>
      <c r="N493">
        <v>214</v>
      </c>
      <c r="O493" t="s">
        <v>5</v>
      </c>
      <c r="P493" t="s">
        <v>78</v>
      </c>
      <c r="Q493" t="s">
        <v>79</v>
      </c>
      <c r="R493" t="s">
        <v>69</v>
      </c>
      <c r="S493" t="s">
        <v>70</v>
      </c>
    </row>
    <row r="494" spans="1:19" x14ac:dyDescent="0.25">
      <c r="A494" t="s">
        <v>59</v>
      </c>
      <c r="B494" t="s">
        <v>60</v>
      </c>
      <c r="C494" t="s">
        <v>32</v>
      </c>
      <c r="D494" t="s">
        <v>33</v>
      </c>
      <c r="E494" t="s">
        <v>64</v>
      </c>
      <c r="F494" t="s">
        <v>35</v>
      </c>
      <c r="G494" t="s">
        <v>35</v>
      </c>
      <c r="H494" t="s">
        <v>35</v>
      </c>
      <c r="J494" t="s">
        <v>65</v>
      </c>
      <c r="K494" t="s">
        <v>37</v>
      </c>
      <c r="M494">
        <v>11</v>
      </c>
      <c r="N494">
        <v>142</v>
      </c>
      <c r="O494" t="s">
        <v>38</v>
      </c>
      <c r="P494" t="s">
        <v>80</v>
      </c>
      <c r="Q494" t="s">
        <v>73</v>
      </c>
      <c r="R494" t="s">
        <v>69</v>
      </c>
      <c r="S494" t="s">
        <v>70</v>
      </c>
    </row>
    <row r="495" spans="1:19" x14ac:dyDescent="0.25">
      <c r="A495" t="s">
        <v>59</v>
      </c>
      <c r="B495" t="s">
        <v>31</v>
      </c>
      <c r="C495" t="s">
        <v>32</v>
      </c>
      <c r="D495" t="s">
        <v>33</v>
      </c>
      <c r="E495" t="s">
        <v>64</v>
      </c>
      <c r="F495" t="s">
        <v>35</v>
      </c>
      <c r="G495" t="s">
        <v>35</v>
      </c>
      <c r="H495" t="s">
        <v>35</v>
      </c>
      <c r="J495" t="s">
        <v>1255</v>
      </c>
      <c r="K495" t="s">
        <v>1092</v>
      </c>
      <c r="M495">
        <v>3.51</v>
      </c>
      <c r="N495">
        <v>88</v>
      </c>
      <c r="O495" t="s">
        <v>61</v>
      </c>
      <c r="Q495" t="s">
        <v>724</v>
      </c>
      <c r="R495" t="s">
        <v>69</v>
      </c>
      <c r="S495" t="s">
        <v>70</v>
      </c>
    </row>
    <row r="496" spans="1:19" x14ac:dyDescent="0.25">
      <c r="A496" t="s">
        <v>30</v>
      </c>
      <c r="B496" t="s">
        <v>31</v>
      </c>
      <c r="C496" t="s">
        <v>32</v>
      </c>
      <c r="D496" t="s">
        <v>33</v>
      </c>
      <c r="E496" t="s">
        <v>122</v>
      </c>
      <c r="F496" t="s">
        <v>35</v>
      </c>
      <c r="G496" t="s">
        <v>35</v>
      </c>
      <c r="H496" t="s">
        <v>35</v>
      </c>
      <c r="J496" t="s">
        <v>1762</v>
      </c>
      <c r="K496" t="s">
        <v>1092</v>
      </c>
      <c r="M496">
        <v>10.845000000000001</v>
      </c>
      <c r="N496">
        <v>174</v>
      </c>
      <c r="O496" t="s">
        <v>38</v>
      </c>
      <c r="Q496" t="s">
        <v>1684</v>
      </c>
      <c r="R496" t="s">
        <v>69</v>
      </c>
      <c r="S496" t="s">
        <v>70</v>
      </c>
    </row>
    <row r="497" spans="1:19" x14ac:dyDescent="0.25">
      <c r="A497" t="s">
        <v>59</v>
      </c>
      <c r="B497" t="s">
        <v>60</v>
      </c>
      <c r="C497" t="s">
        <v>32</v>
      </c>
      <c r="D497" t="s">
        <v>33</v>
      </c>
      <c r="E497" t="s">
        <v>34</v>
      </c>
      <c r="F497" t="s">
        <v>35</v>
      </c>
      <c r="G497" t="s">
        <v>35</v>
      </c>
      <c r="H497" t="s">
        <v>35</v>
      </c>
      <c r="J497" t="s">
        <v>1180</v>
      </c>
      <c r="K497" t="s">
        <v>1092</v>
      </c>
      <c r="M497">
        <v>0.13</v>
      </c>
      <c r="N497">
        <v>495</v>
      </c>
      <c r="O497" t="s">
        <v>294</v>
      </c>
      <c r="Q497" t="s">
        <v>1181</v>
      </c>
      <c r="R497" t="s">
        <v>1182</v>
      </c>
      <c r="S497" t="s">
        <v>1183</v>
      </c>
    </row>
    <row r="498" spans="1:19" x14ac:dyDescent="0.25">
      <c r="A498" t="s">
        <v>59</v>
      </c>
      <c r="B498" t="s">
        <v>60</v>
      </c>
      <c r="C498" t="s">
        <v>32</v>
      </c>
      <c r="D498" t="s">
        <v>33</v>
      </c>
      <c r="E498" t="s">
        <v>1572</v>
      </c>
      <c r="F498" t="s">
        <v>35</v>
      </c>
      <c r="G498" t="s">
        <v>35</v>
      </c>
      <c r="H498" t="s">
        <v>35</v>
      </c>
      <c r="J498" t="s">
        <v>1581</v>
      </c>
      <c r="K498" t="s">
        <v>1092</v>
      </c>
      <c r="M498">
        <v>0.56000000000000005</v>
      </c>
      <c r="N498">
        <v>483</v>
      </c>
      <c r="O498" t="s">
        <v>294</v>
      </c>
      <c r="Q498" t="s">
        <v>1582</v>
      </c>
      <c r="R498" t="s">
        <v>1182</v>
      </c>
      <c r="S498" t="s">
        <v>1183</v>
      </c>
    </row>
    <row r="499" spans="1:19" x14ac:dyDescent="0.25">
      <c r="A499" t="s">
        <v>59</v>
      </c>
      <c r="B499" t="s">
        <v>60</v>
      </c>
      <c r="C499" t="s">
        <v>32</v>
      </c>
      <c r="D499" t="s">
        <v>33</v>
      </c>
      <c r="E499" t="s">
        <v>87</v>
      </c>
      <c r="F499" t="s">
        <v>35</v>
      </c>
      <c r="G499" t="s">
        <v>35</v>
      </c>
      <c r="H499" t="s">
        <v>35</v>
      </c>
      <c r="J499" t="s">
        <v>1515</v>
      </c>
      <c r="K499" t="s">
        <v>1092</v>
      </c>
      <c r="M499">
        <v>0.9</v>
      </c>
      <c r="N499">
        <v>461</v>
      </c>
      <c r="O499" t="s">
        <v>294</v>
      </c>
      <c r="Q499" t="s">
        <v>1516</v>
      </c>
      <c r="R499" t="s">
        <v>1182</v>
      </c>
      <c r="S499" t="s">
        <v>1183</v>
      </c>
    </row>
    <row r="500" spans="1:19" x14ac:dyDescent="0.25">
      <c r="A500" t="s">
        <v>59</v>
      </c>
      <c r="B500" t="s">
        <v>60</v>
      </c>
      <c r="C500" t="s">
        <v>32</v>
      </c>
      <c r="D500" t="s">
        <v>33</v>
      </c>
      <c r="E500" t="s">
        <v>87</v>
      </c>
      <c r="F500" t="s">
        <v>35</v>
      </c>
      <c r="G500" t="s">
        <v>35</v>
      </c>
      <c r="H500" t="s">
        <v>35</v>
      </c>
      <c r="J500" t="s">
        <v>1515</v>
      </c>
      <c r="K500" t="s">
        <v>1092</v>
      </c>
      <c r="M500">
        <v>0.45</v>
      </c>
      <c r="N500">
        <v>466</v>
      </c>
      <c r="O500" t="s">
        <v>294</v>
      </c>
      <c r="Q500" t="s">
        <v>1187</v>
      </c>
      <c r="R500" t="s">
        <v>1182</v>
      </c>
      <c r="S500" t="s">
        <v>1183</v>
      </c>
    </row>
    <row r="501" spans="1:19" x14ac:dyDescent="0.25">
      <c r="A501" t="s">
        <v>59</v>
      </c>
      <c r="B501" t="s">
        <v>60</v>
      </c>
      <c r="C501" t="s">
        <v>32</v>
      </c>
      <c r="D501" t="s">
        <v>33</v>
      </c>
      <c r="E501" t="s">
        <v>87</v>
      </c>
      <c r="F501" t="s">
        <v>35</v>
      </c>
      <c r="G501" t="s">
        <v>35</v>
      </c>
      <c r="H501" t="s">
        <v>35</v>
      </c>
      <c r="J501" t="s">
        <v>1495</v>
      </c>
      <c r="K501" t="s">
        <v>1092</v>
      </c>
      <c r="M501">
        <v>0.5</v>
      </c>
      <c r="N501">
        <v>527</v>
      </c>
      <c r="O501" t="s">
        <v>294</v>
      </c>
      <c r="Q501" t="s">
        <v>1496</v>
      </c>
      <c r="R501" t="s">
        <v>1182</v>
      </c>
      <c r="S501" t="s">
        <v>1183</v>
      </c>
    </row>
    <row r="502" spans="1:19" x14ac:dyDescent="0.25">
      <c r="A502" t="s">
        <v>59</v>
      </c>
      <c r="B502" t="s">
        <v>60</v>
      </c>
      <c r="C502" t="s">
        <v>32</v>
      </c>
      <c r="D502" t="s">
        <v>33</v>
      </c>
      <c r="E502" t="s">
        <v>87</v>
      </c>
      <c r="F502" t="s">
        <v>35</v>
      </c>
      <c r="G502" t="s">
        <v>35</v>
      </c>
      <c r="H502" t="s">
        <v>35</v>
      </c>
      <c r="J502" t="s">
        <v>1495</v>
      </c>
      <c r="K502" t="s">
        <v>1092</v>
      </c>
      <c r="M502">
        <v>1</v>
      </c>
      <c r="N502">
        <v>467</v>
      </c>
      <c r="O502" t="s">
        <v>294</v>
      </c>
      <c r="Q502" t="s">
        <v>1498</v>
      </c>
      <c r="R502" t="s">
        <v>1182</v>
      </c>
      <c r="S502" t="s">
        <v>1183</v>
      </c>
    </row>
    <row r="503" spans="1:19" x14ac:dyDescent="0.25">
      <c r="A503" t="s">
        <v>30</v>
      </c>
      <c r="B503" t="s">
        <v>31</v>
      </c>
      <c r="C503" t="s">
        <v>32</v>
      </c>
      <c r="D503" t="s">
        <v>33</v>
      </c>
      <c r="E503" t="s">
        <v>34</v>
      </c>
      <c r="F503" t="s">
        <v>35</v>
      </c>
      <c r="G503" t="s">
        <v>35</v>
      </c>
      <c r="H503" t="s">
        <v>35</v>
      </c>
      <c r="J503" t="s">
        <v>1185</v>
      </c>
      <c r="K503" t="s">
        <v>1092</v>
      </c>
      <c r="M503">
        <v>0.22500000000000001</v>
      </c>
      <c r="N503">
        <v>485</v>
      </c>
      <c r="O503" t="s">
        <v>294</v>
      </c>
      <c r="Q503" t="s">
        <v>1186</v>
      </c>
      <c r="R503" t="s">
        <v>1182</v>
      </c>
      <c r="S503" t="s">
        <v>1183</v>
      </c>
    </row>
    <row r="504" spans="1:19" x14ac:dyDescent="0.25">
      <c r="A504" t="s">
        <v>59</v>
      </c>
      <c r="B504" t="s">
        <v>60</v>
      </c>
      <c r="C504" t="s">
        <v>32</v>
      </c>
      <c r="D504" t="s">
        <v>33</v>
      </c>
      <c r="E504" t="s">
        <v>34</v>
      </c>
      <c r="F504" t="s">
        <v>35</v>
      </c>
      <c r="G504" t="s">
        <v>35</v>
      </c>
      <c r="H504" t="s">
        <v>35</v>
      </c>
      <c r="J504" t="s">
        <v>1185</v>
      </c>
      <c r="K504" t="s">
        <v>1092</v>
      </c>
      <c r="M504">
        <v>0.1</v>
      </c>
      <c r="N504">
        <v>466</v>
      </c>
      <c r="O504" t="s">
        <v>294</v>
      </c>
      <c r="Q504" t="s">
        <v>1187</v>
      </c>
      <c r="R504" t="s">
        <v>1182</v>
      </c>
      <c r="S504" t="s">
        <v>1183</v>
      </c>
    </row>
    <row r="505" spans="1:19" x14ac:dyDescent="0.25">
      <c r="A505" t="s">
        <v>30</v>
      </c>
      <c r="B505" t="s">
        <v>31</v>
      </c>
      <c r="C505" t="s">
        <v>32</v>
      </c>
      <c r="D505" t="s">
        <v>33</v>
      </c>
      <c r="E505" t="s">
        <v>122</v>
      </c>
      <c r="F505" t="s">
        <v>35</v>
      </c>
      <c r="G505" t="s">
        <v>35</v>
      </c>
      <c r="H505" t="s">
        <v>35</v>
      </c>
      <c r="J505" t="s">
        <v>1670</v>
      </c>
      <c r="K505" t="s">
        <v>1092</v>
      </c>
      <c r="M505">
        <v>5.0000000000000001E-3</v>
      </c>
      <c r="N505">
        <v>2014</v>
      </c>
      <c r="O505" t="s">
        <v>575</v>
      </c>
      <c r="Q505" t="s">
        <v>1671</v>
      </c>
      <c r="R505" t="s">
        <v>1672</v>
      </c>
      <c r="S505" t="s">
        <v>1673</v>
      </c>
    </row>
    <row r="506" spans="1:19" x14ac:dyDescent="0.25">
      <c r="A506" t="s">
        <v>44</v>
      </c>
      <c r="B506" t="s">
        <v>3</v>
      </c>
      <c r="C506" t="s">
        <v>32</v>
      </c>
      <c r="D506" t="s">
        <v>33</v>
      </c>
      <c r="E506" t="s">
        <v>196</v>
      </c>
      <c r="F506" t="s">
        <v>35</v>
      </c>
      <c r="G506" t="s">
        <v>35</v>
      </c>
      <c r="H506" t="s">
        <v>35</v>
      </c>
      <c r="J506" t="s">
        <v>2036</v>
      </c>
      <c r="K506" t="s">
        <v>1092</v>
      </c>
      <c r="M506">
        <v>2.2999999999999998</v>
      </c>
      <c r="N506">
        <v>32</v>
      </c>
      <c r="O506" t="s">
        <v>52</v>
      </c>
      <c r="Q506" t="s">
        <v>816</v>
      </c>
      <c r="R506" t="s">
        <v>2037</v>
      </c>
      <c r="S506" t="s">
        <v>197</v>
      </c>
    </row>
    <row r="507" spans="1:19" x14ac:dyDescent="0.25">
      <c r="A507" t="s">
        <v>59</v>
      </c>
      <c r="B507" t="s">
        <v>60</v>
      </c>
      <c r="C507" t="s">
        <v>32</v>
      </c>
      <c r="D507" t="s">
        <v>33</v>
      </c>
      <c r="E507" t="s">
        <v>196</v>
      </c>
      <c r="F507" t="s">
        <v>35</v>
      </c>
      <c r="G507" t="s">
        <v>35</v>
      </c>
      <c r="H507" t="s">
        <v>35</v>
      </c>
      <c r="J507" t="s">
        <v>2036</v>
      </c>
      <c r="K507" t="s">
        <v>1092</v>
      </c>
      <c r="M507">
        <v>1.4</v>
      </c>
      <c r="N507">
        <v>8</v>
      </c>
      <c r="O507" t="s">
        <v>46</v>
      </c>
      <c r="Q507" t="s">
        <v>1944</v>
      </c>
      <c r="R507" t="s">
        <v>2037</v>
      </c>
      <c r="S507" t="s">
        <v>197</v>
      </c>
    </row>
    <row r="508" spans="1:19" x14ac:dyDescent="0.25">
      <c r="A508" t="s">
        <v>59</v>
      </c>
      <c r="B508" t="s">
        <v>31</v>
      </c>
      <c r="C508" t="s">
        <v>32</v>
      </c>
      <c r="D508" t="s">
        <v>33</v>
      </c>
      <c r="E508" t="s">
        <v>196</v>
      </c>
      <c r="F508" t="s">
        <v>35</v>
      </c>
      <c r="G508" t="s">
        <v>35</v>
      </c>
      <c r="H508" t="s">
        <v>35</v>
      </c>
      <c r="J508" t="s">
        <v>2058</v>
      </c>
      <c r="K508" t="s">
        <v>1092</v>
      </c>
      <c r="M508">
        <v>4.4999999999999998E-2</v>
      </c>
      <c r="N508">
        <v>83</v>
      </c>
      <c r="O508" t="s">
        <v>61</v>
      </c>
      <c r="Q508" t="s">
        <v>897</v>
      </c>
      <c r="R508" t="s">
        <v>2037</v>
      </c>
      <c r="S508" t="s">
        <v>197</v>
      </c>
    </row>
    <row r="509" spans="1:19" x14ac:dyDescent="0.25">
      <c r="A509" t="s">
        <v>59</v>
      </c>
      <c r="B509" t="s">
        <v>60</v>
      </c>
      <c r="C509" t="s">
        <v>32</v>
      </c>
      <c r="D509" t="s">
        <v>33</v>
      </c>
      <c r="E509" t="s">
        <v>196</v>
      </c>
      <c r="F509" t="s">
        <v>35</v>
      </c>
      <c r="G509" t="s">
        <v>35</v>
      </c>
      <c r="H509" t="s">
        <v>35</v>
      </c>
      <c r="J509" t="s">
        <v>2058</v>
      </c>
      <c r="K509" t="s">
        <v>1092</v>
      </c>
      <c r="M509">
        <v>0.35</v>
      </c>
      <c r="N509">
        <v>49</v>
      </c>
      <c r="O509" t="s">
        <v>52</v>
      </c>
      <c r="Q509" t="s">
        <v>453</v>
      </c>
      <c r="R509" t="s">
        <v>2037</v>
      </c>
      <c r="S509" t="s">
        <v>197</v>
      </c>
    </row>
    <row r="510" spans="1:19" x14ac:dyDescent="0.25">
      <c r="A510" t="s">
        <v>44</v>
      </c>
      <c r="B510" t="s">
        <v>3</v>
      </c>
      <c r="C510" t="s">
        <v>32</v>
      </c>
      <c r="D510" t="s">
        <v>33</v>
      </c>
      <c r="E510" t="s">
        <v>196</v>
      </c>
      <c r="F510" t="s">
        <v>35</v>
      </c>
      <c r="G510" t="s">
        <v>35</v>
      </c>
      <c r="H510" t="s">
        <v>35</v>
      </c>
      <c r="J510" t="s">
        <v>2058</v>
      </c>
      <c r="K510" t="s">
        <v>1092</v>
      </c>
      <c r="M510">
        <v>0.55000000000000004</v>
      </c>
      <c r="N510">
        <v>49</v>
      </c>
      <c r="O510" t="s">
        <v>52</v>
      </c>
      <c r="Q510" t="s">
        <v>453</v>
      </c>
      <c r="R510" t="s">
        <v>2037</v>
      </c>
      <c r="S510" t="s">
        <v>197</v>
      </c>
    </row>
    <row r="511" spans="1:19" x14ac:dyDescent="0.25">
      <c r="A511" t="s">
        <v>59</v>
      </c>
      <c r="B511" t="s">
        <v>31</v>
      </c>
      <c r="C511" t="s">
        <v>32</v>
      </c>
      <c r="D511" t="s">
        <v>33</v>
      </c>
      <c r="E511" t="s">
        <v>196</v>
      </c>
      <c r="F511" t="s">
        <v>35</v>
      </c>
      <c r="G511" t="s">
        <v>35</v>
      </c>
      <c r="H511" t="s">
        <v>35</v>
      </c>
      <c r="J511" t="s">
        <v>2042</v>
      </c>
      <c r="K511" t="s">
        <v>1092</v>
      </c>
      <c r="M511">
        <v>1.7</v>
      </c>
      <c r="N511">
        <v>933</v>
      </c>
      <c r="O511" t="s">
        <v>575</v>
      </c>
      <c r="Q511" t="s">
        <v>2044</v>
      </c>
      <c r="R511" t="s">
        <v>2037</v>
      </c>
      <c r="S511" t="s">
        <v>197</v>
      </c>
    </row>
    <row r="512" spans="1:19" x14ac:dyDescent="0.25">
      <c r="A512" t="s">
        <v>44</v>
      </c>
      <c r="B512" t="s">
        <v>51</v>
      </c>
      <c r="C512" t="s">
        <v>32</v>
      </c>
      <c r="D512" t="s">
        <v>33</v>
      </c>
      <c r="E512" t="s">
        <v>34</v>
      </c>
      <c r="F512" t="s">
        <v>35</v>
      </c>
      <c r="G512" t="s">
        <v>35</v>
      </c>
      <c r="H512" t="s">
        <v>35</v>
      </c>
      <c r="J512" t="s">
        <v>50</v>
      </c>
      <c r="K512" t="s">
        <v>37</v>
      </c>
      <c r="M512">
        <v>22</v>
      </c>
      <c r="N512">
        <v>44</v>
      </c>
      <c r="O512" t="s">
        <v>52</v>
      </c>
      <c r="P512" t="s">
        <v>53</v>
      </c>
      <c r="Q512" t="s">
        <v>54</v>
      </c>
      <c r="R512" t="s">
        <v>55</v>
      </c>
      <c r="S512" t="s">
        <v>56</v>
      </c>
    </row>
    <row r="513" spans="1:19" x14ac:dyDescent="0.25">
      <c r="A513" t="s">
        <v>44</v>
      </c>
      <c r="B513" t="s">
        <v>3</v>
      </c>
      <c r="C513" t="s">
        <v>32</v>
      </c>
      <c r="D513" t="s">
        <v>33</v>
      </c>
      <c r="E513" t="s">
        <v>34</v>
      </c>
      <c r="F513" t="s">
        <v>35</v>
      </c>
      <c r="G513" t="s">
        <v>35</v>
      </c>
      <c r="H513" t="s">
        <v>35</v>
      </c>
      <c r="J513" t="s">
        <v>50</v>
      </c>
      <c r="K513" t="s">
        <v>37</v>
      </c>
      <c r="M513">
        <v>3</v>
      </c>
      <c r="N513">
        <v>51</v>
      </c>
      <c r="O513" t="s">
        <v>52</v>
      </c>
      <c r="P513" t="s">
        <v>57</v>
      </c>
      <c r="Q513" t="s">
        <v>58</v>
      </c>
      <c r="R513" t="s">
        <v>55</v>
      </c>
      <c r="S513" t="s">
        <v>56</v>
      </c>
    </row>
    <row r="514" spans="1:19" x14ac:dyDescent="0.25">
      <c r="A514" t="s">
        <v>59</v>
      </c>
      <c r="B514" t="s">
        <v>60</v>
      </c>
      <c r="C514" t="s">
        <v>32</v>
      </c>
      <c r="D514" t="s">
        <v>33</v>
      </c>
      <c r="E514" t="s">
        <v>34</v>
      </c>
      <c r="F514" t="s">
        <v>35</v>
      </c>
      <c r="G514" t="s">
        <v>35</v>
      </c>
      <c r="H514" t="s">
        <v>35</v>
      </c>
      <c r="J514" t="s">
        <v>50</v>
      </c>
      <c r="K514" t="s">
        <v>37</v>
      </c>
      <c r="M514">
        <v>0.5</v>
      </c>
      <c r="N514">
        <v>65</v>
      </c>
      <c r="O514" t="s">
        <v>61</v>
      </c>
      <c r="P514" t="s">
        <v>62</v>
      </c>
      <c r="Q514" t="s">
        <v>63</v>
      </c>
      <c r="R514" t="s">
        <v>55</v>
      </c>
      <c r="S514" t="s">
        <v>56</v>
      </c>
    </row>
    <row r="515" spans="1:19" x14ac:dyDescent="0.25">
      <c r="A515" t="s">
        <v>59</v>
      </c>
      <c r="B515" t="s">
        <v>60</v>
      </c>
      <c r="C515" t="s">
        <v>32</v>
      </c>
      <c r="D515" t="s">
        <v>33</v>
      </c>
      <c r="E515" t="s">
        <v>1292</v>
      </c>
      <c r="F515" t="s">
        <v>35</v>
      </c>
      <c r="G515" t="s">
        <v>35</v>
      </c>
      <c r="H515" t="s">
        <v>35</v>
      </c>
      <c r="J515" t="s">
        <v>1367</v>
      </c>
      <c r="K515" t="s">
        <v>1092</v>
      </c>
      <c r="M515">
        <v>0.2</v>
      </c>
      <c r="N515">
        <v>166</v>
      </c>
      <c r="O515" t="s">
        <v>38</v>
      </c>
      <c r="Q515" t="s">
        <v>1345</v>
      </c>
      <c r="R515" t="s">
        <v>1346</v>
      </c>
      <c r="S515" t="s">
        <v>1347</v>
      </c>
    </row>
    <row r="516" spans="1:19" x14ac:dyDescent="0.25">
      <c r="A516" t="s">
        <v>59</v>
      </c>
      <c r="B516" t="s">
        <v>60</v>
      </c>
      <c r="C516" t="s">
        <v>32</v>
      </c>
      <c r="D516" t="s">
        <v>33</v>
      </c>
      <c r="F516" t="s">
        <v>35</v>
      </c>
      <c r="G516" t="s">
        <v>35</v>
      </c>
      <c r="H516" t="s">
        <v>35</v>
      </c>
      <c r="J516" t="s">
        <v>2299</v>
      </c>
      <c r="K516" t="s">
        <v>1092</v>
      </c>
      <c r="M516">
        <v>1.9</v>
      </c>
      <c r="N516">
        <v>166</v>
      </c>
      <c r="O516" t="s">
        <v>38</v>
      </c>
      <c r="Q516" t="s">
        <v>1345</v>
      </c>
      <c r="R516" t="s">
        <v>1346</v>
      </c>
      <c r="S516" t="s">
        <v>1347</v>
      </c>
    </row>
    <row r="517" spans="1:19" x14ac:dyDescent="0.25">
      <c r="A517" t="s">
        <v>59</v>
      </c>
      <c r="B517" t="s">
        <v>60</v>
      </c>
      <c r="C517" t="s">
        <v>32</v>
      </c>
      <c r="D517" t="s">
        <v>33</v>
      </c>
      <c r="E517" t="s">
        <v>122</v>
      </c>
      <c r="F517" t="s">
        <v>35</v>
      </c>
      <c r="G517" t="s">
        <v>35</v>
      </c>
      <c r="H517" t="s">
        <v>35</v>
      </c>
      <c r="J517" t="s">
        <v>1694</v>
      </c>
      <c r="K517" t="s">
        <v>1092</v>
      </c>
      <c r="M517">
        <v>3</v>
      </c>
      <c r="N517">
        <v>166</v>
      </c>
      <c r="O517" t="s">
        <v>38</v>
      </c>
      <c r="Q517" t="s">
        <v>1345</v>
      </c>
      <c r="R517" t="s">
        <v>1346</v>
      </c>
      <c r="S517" t="s">
        <v>1347</v>
      </c>
    </row>
    <row r="518" spans="1:19" x14ac:dyDescent="0.25">
      <c r="A518" t="s">
        <v>59</v>
      </c>
      <c r="B518" t="s">
        <v>60</v>
      </c>
      <c r="C518" t="s">
        <v>32</v>
      </c>
      <c r="D518" t="s">
        <v>33</v>
      </c>
      <c r="E518" t="s">
        <v>1292</v>
      </c>
      <c r="F518" t="s">
        <v>35</v>
      </c>
      <c r="G518" t="s">
        <v>35</v>
      </c>
      <c r="H518" t="s">
        <v>35</v>
      </c>
      <c r="J518" t="s">
        <v>1344</v>
      </c>
      <c r="K518" t="s">
        <v>1092</v>
      </c>
      <c r="M518">
        <v>0.75</v>
      </c>
      <c r="N518">
        <v>166</v>
      </c>
      <c r="O518" t="s">
        <v>38</v>
      </c>
      <c r="Q518" t="s">
        <v>1345</v>
      </c>
      <c r="R518" t="s">
        <v>1346</v>
      </c>
      <c r="S518" t="s">
        <v>1347</v>
      </c>
    </row>
    <row r="519" spans="1:19" x14ac:dyDescent="0.25">
      <c r="A519" t="s">
        <v>59</v>
      </c>
      <c r="B519" t="s">
        <v>60</v>
      </c>
      <c r="C519" t="s">
        <v>32</v>
      </c>
      <c r="D519" t="s">
        <v>33</v>
      </c>
      <c r="E519" t="s">
        <v>122</v>
      </c>
      <c r="F519" t="s">
        <v>35</v>
      </c>
      <c r="G519" t="s">
        <v>35</v>
      </c>
      <c r="H519" t="s">
        <v>35</v>
      </c>
      <c r="J519" t="s">
        <v>1650</v>
      </c>
      <c r="K519" t="s">
        <v>1092</v>
      </c>
      <c r="M519">
        <v>0.25</v>
      </c>
      <c r="N519">
        <v>649</v>
      </c>
      <c r="O519" t="s">
        <v>575</v>
      </c>
      <c r="Q519" t="s">
        <v>1652</v>
      </c>
      <c r="R519" t="s">
        <v>1653</v>
      </c>
      <c r="S519" t="s">
        <v>1654</v>
      </c>
    </row>
    <row r="520" spans="1:19" x14ac:dyDescent="0.25">
      <c r="A520" t="s">
        <v>30</v>
      </c>
      <c r="B520" t="s">
        <v>31</v>
      </c>
      <c r="C520" t="s">
        <v>32</v>
      </c>
      <c r="D520" t="s">
        <v>33</v>
      </c>
      <c r="E520" t="s">
        <v>172</v>
      </c>
      <c r="F520" t="s">
        <v>35</v>
      </c>
      <c r="G520" t="s">
        <v>35</v>
      </c>
      <c r="H520" t="s">
        <v>35</v>
      </c>
      <c r="J520" t="s">
        <v>1973</v>
      </c>
      <c r="K520" t="s">
        <v>1092</v>
      </c>
      <c r="M520">
        <v>9</v>
      </c>
      <c r="N520">
        <v>18</v>
      </c>
      <c r="O520" t="s">
        <v>46</v>
      </c>
      <c r="Q520" t="s">
        <v>831</v>
      </c>
      <c r="R520" t="s">
        <v>199</v>
      </c>
      <c r="S520" t="s">
        <v>200</v>
      </c>
    </row>
    <row r="521" spans="1:19" x14ac:dyDescent="0.25">
      <c r="A521" t="s">
        <v>30</v>
      </c>
      <c r="B521" t="s">
        <v>31</v>
      </c>
      <c r="C521" t="s">
        <v>32</v>
      </c>
      <c r="D521" t="s">
        <v>33</v>
      </c>
      <c r="E521" t="s">
        <v>1292</v>
      </c>
      <c r="F521" t="s">
        <v>35</v>
      </c>
      <c r="G521" t="s">
        <v>35</v>
      </c>
      <c r="H521" t="s">
        <v>35</v>
      </c>
      <c r="J521" t="s">
        <v>1382</v>
      </c>
      <c r="K521" t="s">
        <v>1092</v>
      </c>
      <c r="M521">
        <v>5.2649999999999997</v>
      </c>
      <c r="N521">
        <v>40</v>
      </c>
      <c r="O521" t="s">
        <v>52</v>
      </c>
      <c r="Q521" t="s">
        <v>132</v>
      </c>
      <c r="R521" t="s">
        <v>199</v>
      </c>
      <c r="S521" t="s">
        <v>200</v>
      </c>
    </row>
    <row r="522" spans="1:19" x14ac:dyDescent="0.25">
      <c r="A522" t="s">
        <v>30</v>
      </c>
      <c r="B522" t="s">
        <v>31</v>
      </c>
      <c r="C522" t="s">
        <v>32</v>
      </c>
      <c r="D522" t="s">
        <v>33</v>
      </c>
      <c r="E522" t="s">
        <v>2059</v>
      </c>
      <c r="F522" t="s">
        <v>35</v>
      </c>
      <c r="G522" t="s">
        <v>35</v>
      </c>
      <c r="H522" t="s">
        <v>35</v>
      </c>
      <c r="J522" t="s">
        <v>2060</v>
      </c>
      <c r="K522" t="s">
        <v>1092</v>
      </c>
      <c r="M522">
        <v>0.35299999999999998</v>
      </c>
      <c r="N522">
        <v>248</v>
      </c>
      <c r="O522" t="s">
        <v>5</v>
      </c>
      <c r="Q522" t="s">
        <v>1747</v>
      </c>
      <c r="R522" t="s">
        <v>199</v>
      </c>
      <c r="S522" t="s">
        <v>200</v>
      </c>
    </row>
    <row r="523" spans="1:19" x14ac:dyDescent="0.25">
      <c r="A523" t="s">
        <v>1439</v>
      </c>
      <c r="B523" t="s">
        <v>1440</v>
      </c>
      <c r="C523" t="s">
        <v>32</v>
      </c>
      <c r="D523" t="s">
        <v>33</v>
      </c>
      <c r="E523" t="s">
        <v>1572</v>
      </c>
      <c r="F523" t="s">
        <v>35</v>
      </c>
      <c r="G523" t="s">
        <v>35</v>
      </c>
      <c r="H523" t="s">
        <v>35</v>
      </c>
      <c r="J523" t="s">
        <v>1580</v>
      </c>
      <c r="K523" t="s">
        <v>1092</v>
      </c>
      <c r="M523">
        <v>1.28</v>
      </c>
      <c r="N523">
        <v>93</v>
      </c>
      <c r="O523" t="s">
        <v>106</v>
      </c>
      <c r="Q523" t="s">
        <v>1112</v>
      </c>
      <c r="R523" t="s">
        <v>199</v>
      </c>
      <c r="S523" t="s">
        <v>200</v>
      </c>
    </row>
    <row r="524" spans="1:19" x14ac:dyDescent="0.25">
      <c r="A524" t="s">
        <v>59</v>
      </c>
      <c r="B524" t="s">
        <v>60</v>
      </c>
      <c r="C524" t="s">
        <v>32</v>
      </c>
      <c r="D524" t="s">
        <v>33</v>
      </c>
      <c r="E524" t="s">
        <v>177</v>
      </c>
      <c r="F524" t="s">
        <v>35</v>
      </c>
      <c r="G524" t="s">
        <v>35</v>
      </c>
      <c r="H524" t="s">
        <v>35</v>
      </c>
      <c r="J524" t="s">
        <v>2019</v>
      </c>
      <c r="K524" t="s">
        <v>1092</v>
      </c>
      <c r="M524">
        <v>2.4500000000000002</v>
      </c>
      <c r="N524">
        <v>68</v>
      </c>
      <c r="O524" t="s">
        <v>61</v>
      </c>
      <c r="Q524" t="s">
        <v>805</v>
      </c>
      <c r="R524" t="s">
        <v>199</v>
      </c>
      <c r="S524" t="s">
        <v>200</v>
      </c>
    </row>
    <row r="525" spans="1:19" x14ac:dyDescent="0.25">
      <c r="A525" t="s">
        <v>30</v>
      </c>
      <c r="B525" t="s">
        <v>31</v>
      </c>
      <c r="C525" t="s">
        <v>32</v>
      </c>
      <c r="D525" t="s">
        <v>33</v>
      </c>
      <c r="E525" t="s">
        <v>172</v>
      </c>
      <c r="F525" t="s">
        <v>35</v>
      </c>
      <c r="G525" t="s">
        <v>35</v>
      </c>
      <c r="H525" t="s">
        <v>35</v>
      </c>
      <c r="J525" t="s">
        <v>1915</v>
      </c>
      <c r="K525" t="s">
        <v>1092</v>
      </c>
      <c r="M525">
        <v>8.3699999999999992</v>
      </c>
      <c r="N525">
        <v>18</v>
      </c>
      <c r="O525" t="s">
        <v>46</v>
      </c>
      <c r="Q525" t="s">
        <v>831</v>
      </c>
      <c r="R525" t="s">
        <v>199</v>
      </c>
      <c r="S525" t="s">
        <v>200</v>
      </c>
    </row>
    <row r="526" spans="1:19" x14ac:dyDescent="0.25">
      <c r="A526" t="s">
        <v>59</v>
      </c>
      <c r="B526" t="s">
        <v>60</v>
      </c>
      <c r="C526" t="s">
        <v>32</v>
      </c>
      <c r="D526" t="s">
        <v>33</v>
      </c>
      <c r="E526" t="s">
        <v>196</v>
      </c>
      <c r="F526" t="s">
        <v>35</v>
      </c>
      <c r="G526" t="s">
        <v>35</v>
      </c>
      <c r="H526" t="s">
        <v>35</v>
      </c>
      <c r="J526" t="s">
        <v>2031</v>
      </c>
      <c r="K526" t="s">
        <v>1092</v>
      </c>
      <c r="M526">
        <v>7.8</v>
      </c>
      <c r="N526">
        <v>68</v>
      </c>
      <c r="O526" t="s">
        <v>61</v>
      </c>
      <c r="Q526" t="s">
        <v>805</v>
      </c>
      <c r="R526" t="s">
        <v>199</v>
      </c>
      <c r="S526" t="s">
        <v>200</v>
      </c>
    </row>
    <row r="527" spans="1:19" x14ac:dyDescent="0.25">
      <c r="A527" t="s">
        <v>30</v>
      </c>
      <c r="B527" t="s">
        <v>31</v>
      </c>
      <c r="C527" t="s">
        <v>32</v>
      </c>
      <c r="D527" t="s">
        <v>33</v>
      </c>
      <c r="E527" t="s">
        <v>196</v>
      </c>
      <c r="F527" t="s">
        <v>35</v>
      </c>
      <c r="G527" t="s">
        <v>35</v>
      </c>
      <c r="H527" t="s">
        <v>35</v>
      </c>
      <c r="J527" t="s">
        <v>2031</v>
      </c>
      <c r="K527" t="s">
        <v>1092</v>
      </c>
      <c r="M527">
        <v>2.0550000000000002</v>
      </c>
      <c r="N527">
        <v>68</v>
      </c>
      <c r="O527" t="s">
        <v>61</v>
      </c>
      <c r="Q527" t="s">
        <v>805</v>
      </c>
      <c r="R527" t="s">
        <v>199</v>
      </c>
      <c r="S527" t="s">
        <v>200</v>
      </c>
    </row>
    <row r="528" spans="1:19" x14ac:dyDescent="0.25">
      <c r="A528" t="s">
        <v>59</v>
      </c>
      <c r="B528" t="s">
        <v>60</v>
      </c>
      <c r="C528" t="s">
        <v>32</v>
      </c>
      <c r="D528" t="s">
        <v>33</v>
      </c>
      <c r="E528" t="s">
        <v>122</v>
      </c>
      <c r="F528" t="s">
        <v>35</v>
      </c>
      <c r="G528" t="s">
        <v>35</v>
      </c>
      <c r="H528" t="s">
        <v>35</v>
      </c>
      <c r="J528" t="s">
        <v>1715</v>
      </c>
      <c r="K528" t="s">
        <v>285</v>
      </c>
      <c r="M528">
        <v>11</v>
      </c>
      <c r="N528">
        <v>68</v>
      </c>
      <c r="O528" t="s">
        <v>61</v>
      </c>
      <c r="Q528" t="s">
        <v>805</v>
      </c>
      <c r="R528" t="s">
        <v>199</v>
      </c>
      <c r="S528" t="s">
        <v>200</v>
      </c>
    </row>
    <row r="529" spans="1:19" x14ac:dyDescent="0.25">
      <c r="A529" t="s">
        <v>59</v>
      </c>
      <c r="B529" t="s">
        <v>31</v>
      </c>
      <c r="C529" t="s">
        <v>32</v>
      </c>
      <c r="D529" t="s">
        <v>33</v>
      </c>
      <c r="E529" t="s">
        <v>122</v>
      </c>
      <c r="F529" t="s">
        <v>35</v>
      </c>
      <c r="G529" t="s">
        <v>35</v>
      </c>
      <c r="H529" t="s">
        <v>35</v>
      </c>
      <c r="J529" t="s">
        <v>1715</v>
      </c>
      <c r="K529" t="s">
        <v>285</v>
      </c>
      <c r="M529">
        <v>3.42</v>
      </c>
      <c r="N529">
        <v>93</v>
      </c>
      <c r="O529" t="s">
        <v>106</v>
      </c>
      <c r="Q529" t="s">
        <v>1112</v>
      </c>
      <c r="R529" t="s">
        <v>199</v>
      </c>
      <c r="S529" t="s">
        <v>200</v>
      </c>
    </row>
    <row r="530" spans="1:19" x14ac:dyDescent="0.25">
      <c r="A530" t="s">
        <v>59</v>
      </c>
      <c r="B530" t="s">
        <v>60</v>
      </c>
      <c r="C530" t="s">
        <v>32</v>
      </c>
      <c r="D530" t="s">
        <v>33</v>
      </c>
      <c r="E530" t="s">
        <v>122</v>
      </c>
      <c r="F530" t="s">
        <v>35</v>
      </c>
      <c r="G530" t="s">
        <v>35</v>
      </c>
      <c r="H530" t="s">
        <v>35</v>
      </c>
      <c r="J530" t="s">
        <v>1715</v>
      </c>
      <c r="K530" t="s">
        <v>285</v>
      </c>
      <c r="M530">
        <v>4.3</v>
      </c>
      <c r="N530">
        <v>93</v>
      </c>
      <c r="O530" t="s">
        <v>106</v>
      </c>
      <c r="Q530" t="s">
        <v>1112</v>
      </c>
      <c r="R530" t="s">
        <v>199</v>
      </c>
      <c r="S530" t="s">
        <v>200</v>
      </c>
    </row>
    <row r="531" spans="1:19" x14ac:dyDescent="0.25">
      <c r="A531" t="s">
        <v>59</v>
      </c>
      <c r="B531" t="s">
        <v>31</v>
      </c>
      <c r="C531" t="s">
        <v>32</v>
      </c>
      <c r="D531" t="s">
        <v>33</v>
      </c>
      <c r="E531" t="s">
        <v>172</v>
      </c>
      <c r="F531" t="s">
        <v>35</v>
      </c>
      <c r="G531" t="s">
        <v>35</v>
      </c>
      <c r="H531" t="s">
        <v>35</v>
      </c>
      <c r="J531" t="s">
        <v>1911</v>
      </c>
      <c r="K531" t="s">
        <v>1092</v>
      </c>
      <c r="M531">
        <v>0.09</v>
      </c>
      <c r="N531">
        <v>68</v>
      </c>
      <c r="O531" t="s">
        <v>61</v>
      </c>
      <c r="Q531" t="s">
        <v>805</v>
      </c>
      <c r="R531" t="s">
        <v>199</v>
      </c>
      <c r="S531" t="s">
        <v>200</v>
      </c>
    </row>
    <row r="532" spans="1:19" x14ac:dyDescent="0.25">
      <c r="A532" t="s">
        <v>59</v>
      </c>
      <c r="B532" t="s">
        <v>60</v>
      </c>
      <c r="C532" t="s">
        <v>32</v>
      </c>
      <c r="D532" t="s">
        <v>33</v>
      </c>
      <c r="E532" t="s">
        <v>122</v>
      </c>
      <c r="F532" t="s">
        <v>35</v>
      </c>
      <c r="G532" t="s">
        <v>35</v>
      </c>
      <c r="H532" t="s">
        <v>35</v>
      </c>
      <c r="J532" t="s">
        <v>1768</v>
      </c>
      <c r="K532" t="s">
        <v>1092</v>
      </c>
      <c r="M532">
        <v>1.8</v>
      </c>
      <c r="N532">
        <v>67</v>
      </c>
      <c r="O532" t="s">
        <v>61</v>
      </c>
      <c r="Q532" t="s">
        <v>488</v>
      </c>
      <c r="R532" t="s">
        <v>199</v>
      </c>
      <c r="S532" t="s">
        <v>200</v>
      </c>
    </row>
    <row r="533" spans="1:19" x14ac:dyDescent="0.25">
      <c r="A533" t="s">
        <v>59</v>
      </c>
      <c r="B533" t="s">
        <v>60</v>
      </c>
      <c r="C533" t="s">
        <v>32</v>
      </c>
      <c r="D533" t="s">
        <v>33</v>
      </c>
      <c r="E533" t="s">
        <v>87</v>
      </c>
      <c r="F533" t="s">
        <v>35</v>
      </c>
      <c r="G533" t="s">
        <v>35</v>
      </c>
      <c r="H533" t="s">
        <v>35</v>
      </c>
      <c r="J533" t="s">
        <v>1443</v>
      </c>
      <c r="K533" t="s">
        <v>1092</v>
      </c>
      <c r="M533">
        <v>0.25</v>
      </c>
      <c r="N533">
        <v>93</v>
      </c>
      <c r="O533" t="s">
        <v>106</v>
      </c>
      <c r="Q533" t="s">
        <v>1112</v>
      </c>
      <c r="R533" t="s">
        <v>199</v>
      </c>
      <c r="S533" t="s">
        <v>200</v>
      </c>
    </row>
    <row r="534" spans="1:19" x14ac:dyDescent="0.25">
      <c r="A534" t="s">
        <v>59</v>
      </c>
      <c r="B534" t="s">
        <v>60</v>
      </c>
      <c r="C534" t="s">
        <v>32</v>
      </c>
      <c r="D534" t="s">
        <v>33</v>
      </c>
      <c r="E534" t="s">
        <v>1292</v>
      </c>
      <c r="F534" t="s">
        <v>35</v>
      </c>
      <c r="G534" t="s">
        <v>35</v>
      </c>
      <c r="H534" t="s">
        <v>35</v>
      </c>
      <c r="J534" t="s">
        <v>1303</v>
      </c>
      <c r="K534" t="s">
        <v>1092</v>
      </c>
      <c r="M534">
        <v>2.2999999999999998</v>
      </c>
      <c r="N534">
        <v>58</v>
      </c>
      <c r="O534" t="s">
        <v>52</v>
      </c>
      <c r="Q534" t="s">
        <v>128</v>
      </c>
      <c r="R534" t="s">
        <v>199</v>
      </c>
      <c r="S534" t="s">
        <v>200</v>
      </c>
    </row>
    <row r="535" spans="1:19" x14ac:dyDescent="0.25">
      <c r="A535" t="s">
        <v>30</v>
      </c>
      <c r="B535" t="s">
        <v>31</v>
      </c>
      <c r="C535" t="s">
        <v>32</v>
      </c>
      <c r="D535" t="s">
        <v>33</v>
      </c>
      <c r="E535" t="s">
        <v>1292</v>
      </c>
      <c r="F535" t="s">
        <v>35</v>
      </c>
      <c r="G535" t="s">
        <v>35</v>
      </c>
      <c r="H535" t="s">
        <v>35</v>
      </c>
      <c r="J535" t="s">
        <v>1307</v>
      </c>
      <c r="K535" t="s">
        <v>1092</v>
      </c>
      <c r="M535">
        <v>3.96</v>
      </c>
      <c r="N535">
        <v>39</v>
      </c>
      <c r="O535" t="s">
        <v>52</v>
      </c>
      <c r="Q535" t="s">
        <v>493</v>
      </c>
      <c r="R535" t="s">
        <v>199</v>
      </c>
      <c r="S535" t="s">
        <v>200</v>
      </c>
    </row>
    <row r="536" spans="1:19" x14ac:dyDescent="0.25">
      <c r="A536" t="s">
        <v>30</v>
      </c>
      <c r="B536" t="s">
        <v>31</v>
      </c>
      <c r="C536" t="s">
        <v>32</v>
      </c>
      <c r="D536" t="s">
        <v>33</v>
      </c>
      <c r="E536" t="s">
        <v>196</v>
      </c>
      <c r="F536" t="s">
        <v>35</v>
      </c>
      <c r="G536" t="s">
        <v>35</v>
      </c>
      <c r="H536" t="s">
        <v>35</v>
      </c>
      <c r="J536" t="s">
        <v>2052</v>
      </c>
      <c r="K536" t="s">
        <v>1092</v>
      </c>
      <c r="M536">
        <v>8.82</v>
      </c>
      <c r="N536">
        <v>18</v>
      </c>
      <c r="O536" t="s">
        <v>46</v>
      </c>
      <c r="Q536" t="s">
        <v>831</v>
      </c>
      <c r="R536" t="s">
        <v>199</v>
      </c>
      <c r="S536" t="s">
        <v>200</v>
      </c>
    </row>
    <row r="537" spans="1:19" x14ac:dyDescent="0.25">
      <c r="A537" t="s">
        <v>30</v>
      </c>
      <c r="B537" t="s">
        <v>31</v>
      </c>
      <c r="C537" t="s">
        <v>32</v>
      </c>
      <c r="D537" t="s">
        <v>33</v>
      </c>
      <c r="E537" t="s">
        <v>122</v>
      </c>
      <c r="F537" t="s">
        <v>35</v>
      </c>
      <c r="G537" t="s">
        <v>35</v>
      </c>
      <c r="H537" t="s">
        <v>35</v>
      </c>
      <c r="J537" t="s">
        <v>1705</v>
      </c>
      <c r="K537" t="s">
        <v>1092</v>
      </c>
      <c r="M537">
        <v>32.94</v>
      </c>
      <c r="N537">
        <v>40</v>
      </c>
      <c r="O537" t="s">
        <v>52</v>
      </c>
      <c r="Q537" t="s">
        <v>132</v>
      </c>
      <c r="R537" t="s">
        <v>199</v>
      </c>
      <c r="S537" t="s">
        <v>200</v>
      </c>
    </row>
    <row r="538" spans="1:19" x14ac:dyDescent="0.25">
      <c r="A538" t="s">
        <v>44</v>
      </c>
      <c r="B538" t="s">
        <v>3</v>
      </c>
      <c r="C538" t="s">
        <v>32</v>
      </c>
      <c r="D538" t="s">
        <v>33</v>
      </c>
      <c r="E538" t="s">
        <v>122</v>
      </c>
      <c r="F538" t="s">
        <v>35</v>
      </c>
      <c r="G538" t="s">
        <v>35</v>
      </c>
      <c r="H538" t="s">
        <v>35</v>
      </c>
      <c r="J538" t="s">
        <v>1705</v>
      </c>
      <c r="K538" t="s">
        <v>1092</v>
      </c>
      <c r="M538">
        <v>4.2</v>
      </c>
      <c r="N538">
        <v>61</v>
      </c>
      <c r="O538" t="s">
        <v>61</v>
      </c>
      <c r="Q538" t="s">
        <v>146</v>
      </c>
      <c r="R538" t="s">
        <v>199</v>
      </c>
      <c r="S538" t="s">
        <v>200</v>
      </c>
    </row>
    <row r="539" spans="1:19" x14ac:dyDescent="0.25">
      <c r="A539" t="s">
        <v>59</v>
      </c>
      <c r="B539" t="s">
        <v>60</v>
      </c>
      <c r="C539" t="s">
        <v>32</v>
      </c>
      <c r="D539" t="s">
        <v>33</v>
      </c>
      <c r="E539" t="s">
        <v>122</v>
      </c>
      <c r="F539" t="s">
        <v>35</v>
      </c>
      <c r="G539" t="s">
        <v>35</v>
      </c>
      <c r="H539" t="s">
        <v>35</v>
      </c>
      <c r="J539" t="s">
        <v>1705</v>
      </c>
      <c r="K539" t="s">
        <v>1092</v>
      </c>
      <c r="M539">
        <v>38.5</v>
      </c>
      <c r="N539">
        <v>66</v>
      </c>
      <c r="O539" t="s">
        <v>61</v>
      </c>
      <c r="Q539" t="s">
        <v>552</v>
      </c>
      <c r="R539" t="s">
        <v>199</v>
      </c>
      <c r="S539" t="s">
        <v>200</v>
      </c>
    </row>
    <row r="540" spans="1:19" x14ac:dyDescent="0.25">
      <c r="A540" t="s">
        <v>59</v>
      </c>
      <c r="B540" t="s">
        <v>60</v>
      </c>
      <c r="C540" t="s">
        <v>32</v>
      </c>
      <c r="D540" t="s">
        <v>33</v>
      </c>
      <c r="E540" t="s">
        <v>122</v>
      </c>
      <c r="F540" t="s">
        <v>35</v>
      </c>
      <c r="G540" t="s">
        <v>35</v>
      </c>
      <c r="H540" t="s">
        <v>35</v>
      </c>
      <c r="J540" t="s">
        <v>1820</v>
      </c>
      <c r="K540" t="s">
        <v>1092</v>
      </c>
      <c r="M540">
        <v>0.5</v>
      </c>
      <c r="N540">
        <v>67</v>
      </c>
      <c r="O540" t="s">
        <v>61</v>
      </c>
      <c r="Q540" t="s">
        <v>488</v>
      </c>
      <c r="R540" t="s">
        <v>199</v>
      </c>
      <c r="S540" t="s">
        <v>200</v>
      </c>
    </row>
    <row r="541" spans="1:19" x14ac:dyDescent="0.25">
      <c r="A541" t="s">
        <v>44</v>
      </c>
      <c r="B541" t="s">
        <v>3</v>
      </c>
      <c r="C541" t="s">
        <v>32</v>
      </c>
      <c r="D541" t="s">
        <v>33</v>
      </c>
      <c r="E541" t="s">
        <v>172</v>
      </c>
      <c r="F541" t="s">
        <v>35</v>
      </c>
      <c r="G541" t="s">
        <v>35</v>
      </c>
      <c r="H541" t="s">
        <v>35</v>
      </c>
      <c r="J541" t="s">
        <v>1921</v>
      </c>
      <c r="K541" t="s">
        <v>404</v>
      </c>
      <c r="M541">
        <v>5.5</v>
      </c>
      <c r="N541">
        <v>61</v>
      </c>
      <c r="O541" t="s">
        <v>61</v>
      </c>
      <c r="Q541" t="s">
        <v>146</v>
      </c>
      <c r="R541" t="s">
        <v>199</v>
      </c>
      <c r="S541" t="s">
        <v>200</v>
      </c>
    </row>
    <row r="542" spans="1:19" x14ac:dyDescent="0.25">
      <c r="A542" t="s">
        <v>30</v>
      </c>
      <c r="B542" t="s">
        <v>31</v>
      </c>
      <c r="C542" t="s">
        <v>32</v>
      </c>
      <c r="D542" t="s">
        <v>33</v>
      </c>
      <c r="E542" t="s">
        <v>2059</v>
      </c>
      <c r="F542" t="s">
        <v>35</v>
      </c>
      <c r="G542" t="s">
        <v>35</v>
      </c>
      <c r="H542" t="s">
        <v>35</v>
      </c>
      <c r="J542" t="s">
        <v>2073</v>
      </c>
      <c r="K542" t="s">
        <v>1092</v>
      </c>
      <c r="M542">
        <v>10.98</v>
      </c>
      <c r="N542">
        <v>40</v>
      </c>
      <c r="O542" t="s">
        <v>52</v>
      </c>
      <c r="Q542" t="s">
        <v>132</v>
      </c>
      <c r="R542" t="s">
        <v>199</v>
      </c>
      <c r="S542" t="s">
        <v>200</v>
      </c>
    </row>
    <row r="543" spans="1:19" x14ac:dyDescent="0.25">
      <c r="A543" t="s">
        <v>59</v>
      </c>
      <c r="B543" t="s">
        <v>31</v>
      </c>
      <c r="C543" t="s">
        <v>32</v>
      </c>
      <c r="D543" t="s">
        <v>33</v>
      </c>
      <c r="F543" t="s">
        <v>35</v>
      </c>
      <c r="G543" t="s">
        <v>35</v>
      </c>
      <c r="H543" t="s">
        <v>35</v>
      </c>
      <c r="J543" t="s">
        <v>2203</v>
      </c>
      <c r="K543" t="s">
        <v>1144</v>
      </c>
      <c r="M543">
        <v>9.09</v>
      </c>
      <c r="N543">
        <v>93</v>
      </c>
      <c r="O543" t="s">
        <v>106</v>
      </c>
      <c r="Q543" t="s">
        <v>1112</v>
      </c>
      <c r="R543" t="s">
        <v>199</v>
      </c>
      <c r="S543" t="s">
        <v>200</v>
      </c>
    </row>
    <row r="544" spans="1:19" x14ac:dyDescent="0.25">
      <c r="A544" t="s">
        <v>59</v>
      </c>
      <c r="B544" t="s">
        <v>60</v>
      </c>
      <c r="C544" t="s">
        <v>32</v>
      </c>
      <c r="D544" t="s">
        <v>33</v>
      </c>
      <c r="F544" t="s">
        <v>35</v>
      </c>
      <c r="G544" t="s">
        <v>35</v>
      </c>
      <c r="H544" t="s">
        <v>35</v>
      </c>
      <c r="J544" t="s">
        <v>2203</v>
      </c>
      <c r="K544" t="s">
        <v>1144</v>
      </c>
      <c r="M544">
        <v>21.15</v>
      </c>
      <c r="N544">
        <v>93</v>
      </c>
      <c r="O544" t="s">
        <v>106</v>
      </c>
      <c r="Q544" t="s">
        <v>1112</v>
      </c>
      <c r="R544" t="s">
        <v>199</v>
      </c>
      <c r="S544" t="s">
        <v>200</v>
      </c>
    </row>
    <row r="545" spans="1:19" x14ac:dyDescent="0.25">
      <c r="A545" t="s">
        <v>59</v>
      </c>
      <c r="B545" t="s">
        <v>31</v>
      </c>
      <c r="C545" t="s">
        <v>32</v>
      </c>
      <c r="D545" t="s">
        <v>33</v>
      </c>
      <c r="E545" t="s">
        <v>87</v>
      </c>
      <c r="F545" t="s">
        <v>35</v>
      </c>
      <c r="G545" t="s">
        <v>35</v>
      </c>
      <c r="H545" t="s">
        <v>35</v>
      </c>
      <c r="J545" t="s">
        <v>625</v>
      </c>
      <c r="K545" t="s">
        <v>1092</v>
      </c>
      <c r="M545">
        <v>5.2649999999999997</v>
      </c>
      <c r="N545">
        <v>87</v>
      </c>
      <c r="O545" t="s">
        <v>61</v>
      </c>
      <c r="Q545" t="s">
        <v>394</v>
      </c>
      <c r="R545" t="s">
        <v>199</v>
      </c>
      <c r="S545" t="s">
        <v>200</v>
      </c>
    </row>
    <row r="546" spans="1:19" x14ac:dyDescent="0.25">
      <c r="A546" t="s">
        <v>44</v>
      </c>
      <c r="B546" t="s">
        <v>3</v>
      </c>
      <c r="C546" t="s">
        <v>32</v>
      </c>
      <c r="D546" t="s">
        <v>33</v>
      </c>
      <c r="E546" t="s">
        <v>87</v>
      </c>
      <c r="F546" t="s">
        <v>35</v>
      </c>
      <c r="G546" t="s">
        <v>35</v>
      </c>
      <c r="H546" t="s">
        <v>35</v>
      </c>
      <c r="J546" t="s">
        <v>1353</v>
      </c>
      <c r="K546" t="s">
        <v>1092</v>
      </c>
      <c r="M546">
        <v>5.5</v>
      </c>
      <c r="N546">
        <v>61</v>
      </c>
      <c r="O546" t="s">
        <v>61</v>
      </c>
      <c r="Q546" t="s">
        <v>146</v>
      </c>
      <c r="R546" t="s">
        <v>199</v>
      </c>
      <c r="S546" t="s">
        <v>200</v>
      </c>
    </row>
    <row r="547" spans="1:19" x14ac:dyDescent="0.25">
      <c r="A547" t="s">
        <v>59</v>
      </c>
      <c r="B547" t="s">
        <v>60</v>
      </c>
      <c r="C547" t="s">
        <v>32</v>
      </c>
      <c r="D547" t="s">
        <v>33</v>
      </c>
      <c r="E547" t="s">
        <v>87</v>
      </c>
      <c r="F547" t="s">
        <v>35</v>
      </c>
      <c r="G547" t="s">
        <v>35</v>
      </c>
      <c r="H547" t="s">
        <v>35</v>
      </c>
      <c r="J547" t="s">
        <v>1353</v>
      </c>
      <c r="K547" t="s">
        <v>1092</v>
      </c>
      <c r="M547">
        <v>6.7489999999999997</v>
      </c>
      <c r="N547">
        <v>93</v>
      </c>
      <c r="O547" t="s">
        <v>106</v>
      </c>
      <c r="Q547" t="s">
        <v>1112</v>
      </c>
      <c r="R547" t="s">
        <v>199</v>
      </c>
      <c r="S547" t="s">
        <v>200</v>
      </c>
    </row>
    <row r="548" spans="1:19" x14ac:dyDescent="0.25">
      <c r="A548" t="s">
        <v>44</v>
      </c>
      <c r="B548" t="s">
        <v>51</v>
      </c>
      <c r="C548" t="s">
        <v>32</v>
      </c>
      <c r="D548" t="s">
        <v>33</v>
      </c>
      <c r="E548" t="s">
        <v>87</v>
      </c>
      <c r="F548" t="s">
        <v>35</v>
      </c>
      <c r="G548" t="s">
        <v>35</v>
      </c>
      <c r="H548" t="s">
        <v>35</v>
      </c>
      <c r="J548" t="s">
        <v>1353</v>
      </c>
      <c r="K548" t="s">
        <v>1092</v>
      </c>
      <c r="M548">
        <v>4.4000000000000004</v>
      </c>
      <c r="N548">
        <v>55</v>
      </c>
      <c r="O548" t="s">
        <v>52</v>
      </c>
      <c r="Q548" t="s">
        <v>90</v>
      </c>
      <c r="R548" t="s">
        <v>199</v>
      </c>
      <c r="S548" t="s">
        <v>200</v>
      </c>
    </row>
    <row r="549" spans="1:19" x14ac:dyDescent="0.25">
      <c r="A549" t="s">
        <v>30</v>
      </c>
      <c r="B549" t="s">
        <v>31</v>
      </c>
      <c r="C549" t="s">
        <v>32</v>
      </c>
      <c r="D549" t="s">
        <v>33</v>
      </c>
      <c r="E549" t="s">
        <v>87</v>
      </c>
      <c r="F549" t="s">
        <v>35</v>
      </c>
      <c r="G549" t="s">
        <v>35</v>
      </c>
      <c r="H549" t="s">
        <v>35</v>
      </c>
      <c r="J549" t="s">
        <v>1353</v>
      </c>
      <c r="K549" t="s">
        <v>1092</v>
      </c>
      <c r="M549">
        <v>10.305</v>
      </c>
      <c r="N549">
        <v>40</v>
      </c>
      <c r="O549" t="s">
        <v>52</v>
      </c>
      <c r="Q549" t="s">
        <v>132</v>
      </c>
      <c r="R549" t="s">
        <v>199</v>
      </c>
      <c r="S549" t="s">
        <v>200</v>
      </c>
    </row>
    <row r="550" spans="1:19" x14ac:dyDescent="0.25">
      <c r="A550" t="s">
        <v>59</v>
      </c>
      <c r="B550" t="s">
        <v>31</v>
      </c>
      <c r="C550" t="s">
        <v>32</v>
      </c>
      <c r="D550" t="s">
        <v>33</v>
      </c>
      <c r="E550" t="s">
        <v>87</v>
      </c>
      <c r="F550" t="s">
        <v>35</v>
      </c>
      <c r="G550" t="s">
        <v>35</v>
      </c>
      <c r="H550" t="s">
        <v>35</v>
      </c>
      <c r="J550" t="s">
        <v>1353</v>
      </c>
      <c r="K550" t="s">
        <v>1092</v>
      </c>
      <c r="M550">
        <v>5.49</v>
      </c>
      <c r="N550">
        <v>68</v>
      </c>
      <c r="O550" t="s">
        <v>61</v>
      </c>
      <c r="Q550" t="s">
        <v>805</v>
      </c>
      <c r="R550" t="s">
        <v>199</v>
      </c>
      <c r="S550" t="s">
        <v>200</v>
      </c>
    </row>
    <row r="551" spans="1:19" x14ac:dyDescent="0.25">
      <c r="A551" t="s">
        <v>59</v>
      </c>
      <c r="B551" t="s">
        <v>60</v>
      </c>
      <c r="C551" t="s">
        <v>32</v>
      </c>
      <c r="D551" t="s">
        <v>33</v>
      </c>
      <c r="E551" t="s">
        <v>87</v>
      </c>
      <c r="F551" t="s">
        <v>35</v>
      </c>
      <c r="G551" t="s">
        <v>35</v>
      </c>
      <c r="H551" t="s">
        <v>35</v>
      </c>
      <c r="J551" t="s">
        <v>1353</v>
      </c>
      <c r="K551" t="s">
        <v>1092</v>
      </c>
      <c r="M551">
        <v>11</v>
      </c>
      <c r="N551">
        <v>68</v>
      </c>
      <c r="O551" t="s">
        <v>61</v>
      </c>
      <c r="Q551" t="s">
        <v>805</v>
      </c>
      <c r="R551" t="s">
        <v>199</v>
      </c>
      <c r="S551" t="s">
        <v>200</v>
      </c>
    </row>
    <row r="552" spans="1:19" x14ac:dyDescent="0.25">
      <c r="A552" t="s">
        <v>30</v>
      </c>
      <c r="B552" t="s">
        <v>31</v>
      </c>
      <c r="C552" t="s">
        <v>32</v>
      </c>
      <c r="D552" t="s">
        <v>33</v>
      </c>
      <c r="E552" t="s">
        <v>122</v>
      </c>
      <c r="F552" t="s">
        <v>35</v>
      </c>
      <c r="G552" t="s">
        <v>35</v>
      </c>
      <c r="H552" t="s">
        <v>35</v>
      </c>
      <c r="J552" t="s">
        <v>1792</v>
      </c>
      <c r="K552" t="s">
        <v>1092</v>
      </c>
      <c r="M552">
        <v>4.95</v>
      </c>
      <c r="N552">
        <v>40</v>
      </c>
      <c r="O552" t="s">
        <v>52</v>
      </c>
      <c r="Q552" t="s">
        <v>132</v>
      </c>
      <c r="R552" t="s">
        <v>199</v>
      </c>
      <c r="S552" t="s">
        <v>200</v>
      </c>
    </row>
    <row r="553" spans="1:19" x14ac:dyDescent="0.25">
      <c r="A553" t="s">
        <v>44</v>
      </c>
      <c r="B553" t="s">
        <v>51</v>
      </c>
      <c r="C553" t="s">
        <v>32</v>
      </c>
      <c r="D553" t="s">
        <v>33</v>
      </c>
      <c r="E553" t="s">
        <v>122</v>
      </c>
      <c r="F553" t="s">
        <v>35</v>
      </c>
      <c r="G553" t="s">
        <v>35</v>
      </c>
      <c r="H553" t="s">
        <v>35</v>
      </c>
      <c r="J553" t="s">
        <v>1761</v>
      </c>
      <c r="K553" t="s">
        <v>1092</v>
      </c>
      <c r="M553">
        <v>5.5</v>
      </c>
      <c r="N553">
        <v>53</v>
      </c>
      <c r="O553" t="s">
        <v>52</v>
      </c>
      <c r="Q553" t="s">
        <v>1734</v>
      </c>
      <c r="R553" t="s">
        <v>199</v>
      </c>
      <c r="S553" t="s">
        <v>200</v>
      </c>
    </row>
    <row r="554" spans="1:19" x14ac:dyDescent="0.25">
      <c r="A554" t="s">
        <v>30</v>
      </c>
      <c r="B554" t="s">
        <v>31</v>
      </c>
      <c r="C554" t="s">
        <v>32</v>
      </c>
      <c r="D554" t="s">
        <v>33</v>
      </c>
      <c r="E554" t="s">
        <v>122</v>
      </c>
      <c r="F554" t="s">
        <v>35</v>
      </c>
      <c r="G554" t="s">
        <v>35</v>
      </c>
      <c r="H554" t="s">
        <v>35</v>
      </c>
      <c r="J554" t="s">
        <v>1761</v>
      </c>
      <c r="K554" t="s">
        <v>1092</v>
      </c>
      <c r="M554">
        <v>9.99</v>
      </c>
      <c r="N554">
        <v>18</v>
      </c>
      <c r="O554" t="s">
        <v>46</v>
      </c>
      <c r="Q554" t="s">
        <v>831</v>
      </c>
      <c r="R554" t="s">
        <v>199</v>
      </c>
      <c r="S554" t="s">
        <v>200</v>
      </c>
    </row>
    <row r="555" spans="1:19" x14ac:dyDescent="0.25">
      <c r="A555" t="s">
        <v>59</v>
      </c>
      <c r="B555" t="s">
        <v>60</v>
      </c>
      <c r="C555" t="s">
        <v>32</v>
      </c>
      <c r="D555" t="s">
        <v>33</v>
      </c>
      <c r="E555" t="s">
        <v>87</v>
      </c>
      <c r="F555" t="s">
        <v>35</v>
      </c>
      <c r="G555" t="s">
        <v>35</v>
      </c>
      <c r="H555" t="s">
        <v>35</v>
      </c>
      <c r="J555" t="s">
        <v>1430</v>
      </c>
      <c r="K555" t="s">
        <v>1092</v>
      </c>
      <c r="M555">
        <v>0.75</v>
      </c>
      <c r="N555">
        <v>93</v>
      </c>
      <c r="O555" t="s">
        <v>106</v>
      </c>
      <c r="Q555" t="s">
        <v>1112</v>
      </c>
      <c r="R555" t="s">
        <v>199</v>
      </c>
      <c r="S555" t="s">
        <v>200</v>
      </c>
    </row>
    <row r="556" spans="1:19" x14ac:dyDescent="0.25">
      <c r="A556" t="s">
        <v>59</v>
      </c>
      <c r="B556" t="s">
        <v>60</v>
      </c>
      <c r="C556" t="s">
        <v>32</v>
      </c>
      <c r="D556" t="s">
        <v>33</v>
      </c>
      <c r="F556" t="s">
        <v>35</v>
      </c>
      <c r="G556" t="s">
        <v>35</v>
      </c>
      <c r="H556" t="s">
        <v>35</v>
      </c>
      <c r="J556" t="s">
        <v>1430</v>
      </c>
      <c r="K556" t="s">
        <v>1092</v>
      </c>
      <c r="M556">
        <v>0.1</v>
      </c>
      <c r="N556">
        <v>2068</v>
      </c>
      <c r="O556" t="s">
        <v>575</v>
      </c>
      <c r="Q556" t="s">
        <v>2369</v>
      </c>
      <c r="R556" t="s">
        <v>199</v>
      </c>
      <c r="S556" t="s">
        <v>200</v>
      </c>
    </row>
    <row r="557" spans="1:19" x14ac:dyDescent="0.25">
      <c r="A557" t="s">
        <v>59</v>
      </c>
      <c r="B557" t="s">
        <v>60</v>
      </c>
      <c r="C557" t="s">
        <v>32</v>
      </c>
      <c r="D557" t="s">
        <v>33</v>
      </c>
      <c r="E557" t="s">
        <v>122</v>
      </c>
      <c r="F557" t="s">
        <v>35</v>
      </c>
      <c r="G557" t="s">
        <v>35</v>
      </c>
      <c r="H557" t="s">
        <v>35</v>
      </c>
      <c r="J557" t="s">
        <v>1758</v>
      </c>
      <c r="K557" t="s">
        <v>1092</v>
      </c>
      <c r="M557">
        <v>1.5</v>
      </c>
      <c r="N557">
        <v>93</v>
      </c>
      <c r="O557" t="s">
        <v>106</v>
      </c>
      <c r="Q557" t="s">
        <v>1112</v>
      </c>
      <c r="R557" t="s">
        <v>199</v>
      </c>
      <c r="S557" t="s">
        <v>200</v>
      </c>
    </row>
    <row r="558" spans="1:19" x14ac:dyDescent="0.25">
      <c r="A558" t="s">
        <v>30</v>
      </c>
      <c r="B558" t="s">
        <v>31</v>
      </c>
      <c r="C558" t="s">
        <v>32</v>
      </c>
      <c r="D558" t="s">
        <v>33</v>
      </c>
      <c r="E558" t="s">
        <v>196</v>
      </c>
      <c r="F558" t="s">
        <v>35</v>
      </c>
      <c r="G558" t="s">
        <v>35</v>
      </c>
      <c r="H558" t="s">
        <v>35</v>
      </c>
      <c r="J558" t="s">
        <v>2056</v>
      </c>
      <c r="K558" t="s">
        <v>1092</v>
      </c>
      <c r="M558">
        <v>9.36</v>
      </c>
      <c r="N558">
        <v>18</v>
      </c>
      <c r="O558" t="s">
        <v>46</v>
      </c>
      <c r="Q558" t="s">
        <v>831</v>
      </c>
      <c r="R558" t="s">
        <v>199</v>
      </c>
      <c r="S558" t="s">
        <v>200</v>
      </c>
    </row>
    <row r="559" spans="1:19" x14ac:dyDescent="0.25">
      <c r="A559" t="s">
        <v>59</v>
      </c>
      <c r="B559" t="s">
        <v>31</v>
      </c>
      <c r="C559" t="s">
        <v>32</v>
      </c>
      <c r="D559" t="s">
        <v>33</v>
      </c>
      <c r="E559" t="s">
        <v>2081</v>
      </c>
      <c r="F559" t="s">
        <v>35</v>
      </c>
      <c r="G559" t="s">
        <v>35</v>
      </c>
      <c r="H559" t="s">
        <v>35</v>
      </c>
      <c r="J559" t="s">
        <v>2084</v>
      </c>
      <c r="K559" t="s">
        <v>1092</v>
      </c>
      <c r="M559">
        <v>1.2150000000000001</v>
      </c>
      <c r="N559">
        <v>142</v>
      </c>
      <c r="O559" t="s">
        <v>38</v>
      </c>
      <c r="Q559" t="s">
        <v>73</v>
      </c>
      <c r="R559" t="s">
        <v>199</v>
      </c>
      <c r="S559" t="s">
        <v>200</v>
      </c>
    </row>
    <row r="560" spans="1:19" x14ac:dyDescent="0.25">
      <c r="A560" t="s">
        <v>44</v>
      </c>
      <c r="B560" t="s">
        <v>51</v>
      </c>
      <c r="C560" t="s">
        <v>32</v>
      </c>
      <c r="D560" t="s">
        <v>33</v>
      </c>
      <c r="E560" t="s">
        <v>196</v>
      </c>
      <c r="F560" t="s">
        <v>35</v>
      </c>
      <c r="G560" t="s">
        <v>35</v>
      </c>
      <c r="H560" t="s">
        <v>35</v>
      </c>
      <c r="J560" t="s">
        <v>2036</v>
      </c>
      <c r="K560" t="s">
        <v>1092</v>
      </c>
      <c r="M560">
        <v>2.2999999999999998</v>
      </c>
      <c r="N560">
        <v>55</v>
      </c>
      <c r="O560" t="s">
        <v>52</v>
      </c>
      <c r="Q560" t="s">
        <v>90</v>
      </c>
      <c r="R560" t="s">
        <v>199</v>
      </c>
      <c r="S560" t="s">
        <v>200</v>
      </c>
    </row>
    <row r="561" spans="1:19" x14ac:dyDescent="0.25">
      <c r="A561" t="s">
        <v>44</v>
      </c>
      <c r="B561" t="s">
        <v>3</v>
      </c>
      <c r="C561" t="s">
        <v>32</v>
      </c>
      <c r="D561" t="s">
        <v>33</v>
      </c>
      <c r="E561" t="s">
        <v>196</v>
      </c>
      <c r="F561" t="s">
        <v>35</v>
      </c>
      <c r="G561" t="s">
        <v>35</v>
      </c>
      <c r="H561" t="s">
        <v>35</v>
      </c>
      <c r="J561" t="s">
        <v>197</v>
      </c>
      <c r="K561" t="s">
        <v>37</v>
      </c>
      <c r="M561">
        <v>3.7</v>
      </c>
      <c r="N561">
        <v>61</v>
      </c>
      <c r="O561" t="s">
        <v>61</v>
      </c>
      <c r="P561" t="s">
        <v>198</v>
      </c>
      <c r="Q561" t="s">
        <v>146</v>
      </c>
      <c r="R561" t="s">
        <v>199</v>
      </c>
      <c r="S561" t="s">
        <v>200</v>
      </c>
    </row>
    <row r="562" spans="1:19" x14ac:dyDescent="0.25">
      <c r="A562" t="s">
        <v>59</v>
      </c>
      <c r="B562" t="s">
        <v>60</v>
      </c>
      <c r="C562" t="s">
        <v>32</v>
      </c>
      <c r="D562" t="s">
        <v>33</v>
      </c>
      <c r="E562" t="s">
        <v>122</v>
      </c>
      <c r="F562" t="s">
        <v>35</v>
      </c>
      <c r="G562" t="s">
        <v>35</v>
      </c>
      <c r="H562" t="s">
        <v>35</v>
      </c>
      <c r="J562" t="s">
        <v>1753</v>
      </c>
      <c r="K562" t="s">
        <v>1092</v>
      </c>
      <c r="M562">
        <v>5</v>
      </c>
      <c r="N562">
        <v>58</v>
      </c>
      <c r="O562" t="s">
        <v>52</v>
      </c>
      <c r="Q562" t="s">
        <v>128</v>
      </c>
      <c r="R562" t="s">
        <v>199</v>
      </c>
      <c r="S562" t="s">
        <v>200</v>
      </c>
    </row>
    <row r="563" spans="1:19" x14ac:dyDescent="0.25">
      <c r="A563" t="s">
        <v>30</v>
      </c>
      <c r="B563" t="s">
        <v>31</v>
      </c>
      <c r="C563" t="s">
        <v>32</v>
      </c>
      <c r="D563" t="s">
        <v>33</v>
      </c>
      <c r="E563" t="s">
        <v>122</v>
      </c>
      <c r="F563" t="s">
        <v>35</v>
      </c>
      <c r="G563" t="s">
        <v>35</v>
      </c>
      <c r="H563" t="s">
        <v>35</v>
      </c>
      <c r="J563" t="s">
        <v>1753</v>
      </c>
      <c r="K563" t="s">
        <v>1092</v>
      </c>
      <c r="M563">
        <v>4.1849999999999996</v>
      </c>
      <c r="N563">
        <v>40</v>
      </c>
      <c r="O563" t="s">
        <v>52</v>
      </c>
      <c r="Q563" t="s">
        <v>132</v>
      </c>
      <c r="R563" t="s">
        <v>199</v>
      </c>
      <c r="S563" t="s">
        <v>200</v>
      </c>
    </row>
    <row r="564" spans="1:19" x14ac:dyDescent="0.25">
      <c r="A564" t="s">
        <v>59</v>
      </c>
      <c r="B564" t="s">
        <v>31</v>
      </c>
      <c r="C564" t="s">
        <v>32</v>
      </c>
      <c r="D564" t="s">
        <v>33</v>
      </c>
      <c r="E564" t="s">
        <v>1292</v>
      </c>
      <c r="F564" t="s">
        <v>35</v>
      </c>
      <c r="G564" t="s">
        <v>35</v>
      </c>
      <c r="H564" t="s">
        <v>35</v>
      </c>
      <c r="J564" t="s">
        <v>1419</v>
      </c>
      <c r="K564" t="s">
        <v>1092</v>
      </c>
      <c r="M564">
        <v>0.13500000000000001</v>
      </c>
      <c r="N564">
        <v>126</v>
      </c>
      <c r="O564" t="s">
        <v>38</v>
      </c>
      <c r="Q564" t="s">
        <v>68</v>
      </c>
      <c r="R564" t="s">
        <v>199</v>
      </c>
      <c r="S564" t="s">
        <v>200</v>
      </c>
    </row>
    <row r="565" spans="1:19" x14ac:dyDescent="0.25">
      <c r="A565" t="s">
        <v>59</v>
      </c>
      <c r="B565" t="s">
        <v>60</v>
      </c>
      <c r="C565" t="s">
        <v>32</v>
      </c>
      <c r="D565" t="s">
        <v>33</v>
      </c>
      <c r="E565" t="s">
        <v>1292</v>
      </c>
      <c r="F565" t="s">
        <v>35</v>
      </c>
      <c r="G565" t="s">
        <v>35</v>
      </c>
      <c r="H565" t="s">
        <v>35</v>
      </c>
      <c r="J565" t="s">
        <v>1323</v>
      </c>
      <c r="K565" t="s">
        <v>1092</v>
      </c>
      <c r="M565">
        <v>2.7</v>
      </c>
      <c r="N565">
        <v>126</v>
      </c>
      <c r="O565" t="s">
        <v>38</v>
      </c>
      <c r="Q565" t="s">
        <v>68</v>
      </c>
      <c r="R565" t="s">
        <v>199</v>
      </c>
      <c r="S565" t="s">
        <v>200</v>
      </c>
    </row>
    <row r="566" spans="1:19" x14ac:dyDescent="0.25">
      <c r="A566" t="s">
        <v>30</v>
      </c>
      <c r="B566" t="s">
        <v>31</v>
      </c>
      <c r="C566" t="s">
        <v>32</v>
      </c>
      <c r="D566" t="s">
        <v>33</v>
      </c>
      <c r="E566" t="s">
        <v>87</v>
      </c>
      <c r="F566" t="s">
        <v>35</v>
      </c>
      <c r="G566" t="s">
        <v>35</v>
      </c>
      <c r="H566" t="s">
        <v>35</v>
      </c>
      <c r="J566" t="s">
        <v>1462</v>
      </c>
      <c r="K566" t="s">
        <v>1092</v>
      </c>
      <c r="M566">
        <v>0.61</v>
      </c>
      <c r="N566">
        <v>420</v>
      </c>
      <c r="O566" t="s">
        <v>294</v>
      </c>
      <c r="Q566" t="s">
        <v>1463</v>
      </c>
      <c r="R566" t="s">
        <v>199</v>
      </c>
      <c r="S566" t="s">
        <v>200</v>
      </c>
    </row>
    <row r="567" spans="1:19" x14ac:dyDescent="0.25">
      <c r="A567" t="s">
        <v>30</v>
      </c>
      <c r="B567" t="s">
        <v>31</v>
      </c>
      <c r="C567" t="s">
        <v>32</v>
      </c>
      <c r="D567" t="s">
        <v>33</v>
      </c>
      <c r="E567" t="s">
        <v>2059</v>
      </c>
      <c r="F567" t="s">
        <v>35</v>
      </c>
      <c r="G567" t="s">
        <v>35</v>
      </c>
      <c r="H567" t="s">
        <v>35</v>
      </c>
      <c r="J567" t="s">
        <v>2080</v>
      </c>
      <c r="K567" t="s">
        <v>1092</v>
      </c>
      <c r="M567">
        <v>10.98</v>
      </c>
      <c r="N567">
        <v>40</v>
      </c>
      <c r="O567" t="s">
        <v>52</v>
      </c>
      <c r="Q567" t="s">
        <v>132</v>
      </c>
      <c r="R567" t="s">
        <v>199</v>
      </c>
      <c r="S567" t="s">
        <v>200</v>
      </c>
    </row>
    <row r="568" spans="1:19" x14ac:dyDescent="0.25">
      <c r="A568" t="s">
        <v>59</v>
      </c>
      <c r="B568" t="s">
        <v>31</v>
      </c>
      <c r="C568" t="s">
        <v>32</v>
      </c>
      <c r="D568" t="s">
        <v>33</v>
      </c>
      <c r="E568" t="s">
        <v>1520</v>
      </c>
      <c r="F568" t="s">
        <v>35</v>
      </c>
      <c r="G568" t="s">
        <v>35</v>
      </c>
      <c r="H568" t="s">
        <v>35</v>
      </c>
      <c r="J568" t="s">
        <v>1535</v>
      </c>
      <c r="K568" t="s">
        <v>1092</v>
      </c>
      <c r="M568">
        <v>0.63</v>
      </c>
      <c r="N568">
        <v>66</v>
      </c>
      <c r="O568" t="s">
        <v>61</v>
      </c>
      <c r="Q568" t="s">
        <v>552</v>
      </c>
      <c r="R568" t="s">
        <v>199</v>
      </c>
      <c r="S568" t="s">
        <v>200</v>
      </c>
    </row>
    <row r="569" spans="1:19" x14ac:dyDescent="0.25">
      <c r="A569" t="s">
        <v>59</v>
      </c>
      <c r="B569" t="s">
        <v>60</v>
      </c>
      <c r="C569" t="s">
        <v>32</v>
      </c>
      <c r="D569" t="s">
        <v>33</v>
      </c>
      <c r="E569" t="s">
        <v>34</v>
      </c>
      <c r="F569" t="s">
        <v>35</v>
      </c>
      <c r="G569" t="s">
        <v>35</v>
      </c>
      <c r="H569" t="s">
        <v>35</v>
      </c>
      <c r="J569" t="s">
        <v>1109</v>
      </c>
      <c r="K569" t="s">
        <v>1092</v>
      </c>
      <c r="M569">
        <v>1</v>
      </c>
      <c r="N569">
        <v>516</v>
      </c>
      <c r="O569" t="s">
        <v>294</v>
      </c>
      <c r="Q569" t="s">
        <v>1110</v>
      </c>
      <c r="R569" t="s">
        <v>199</v>
      </c>
      <c r="S569" t="s">
        <v>200</v>
      </c>
    </row>
    <row r="570" spans="1:19" x14ac:dyDescent="0.25">
      <c r="A570" t="s">
        <v>44</v>
      </c>
      <c r="B570" t="s">
        <v>3</v>
      </c>
      <c r="C570" t="s">
        <v>32</v>
      </c>
      <c r="D570" t="s">
        <v>33</v>
      </c>
      <c r="E570" t="s">
        <v>122</v>
      </c>
      <c r="F570" t="s">
        <v>35</v>
      </c>
      <c r="G570" t="s">
        <v>35</v>
      </c>
      <c r="H570" t="s">
        <v>35</v>
      </c>
      <c r="J570" t="s">
        <v>1803</v>
      </c>
      <c r="K570" t="s">
        <v>1092</v>
      </c>
      <c r="M570">
        <v>8.9</v>
      </c>
      <c r="N570">
        <v>61</v>
      </c>
      <c r="O570" t="s">
        <v>61</v>
      </c>
      <c r="Q570" t="s">
        <v>146</v>
      </c>
      <c r="R570" t="s">
        <v>199</v>
      </c>
      <c r="S570" t="s">
        <v>200</v>
      </c>
    </row>
    <row r="571" spans="1:19" x14ac:dyDescent="0.25">
      <c r="A571" t="s">
        <v>30</v>
      </c>
      <c r="B571" t="s">
        <v>31</v>
      </c>
      <c r="C571" t="s">
        <v>32</v>
      </c>
      <c r="D571" t="s">
        <v>33</v>
      </c>
      <c r="F571" t="s">
        <v>35</v>
      </c>
      <c r="G571" t="s">
        <v>35</v>
      </c>
      <c r="H571" t="s">
        <v>35</v>
      </c>
      <c r="J571" t="s">
        <v>2191</v>
      </c>
      <c r="K571" t="s">
        <v>1092</v>
      </c>
      <c r="M571">
        <v>1.58</v>
      </c>
      <c r="N571">
        <v>206</v>
      </c>
      <c r="O571" t="s">
        <v>5</v>
      </c>
      <c r="Q571" t="s">
        <v>1298</v>
      </c>
      <c r="R571" t="s">
        <v>199</v>
      </c>
      <c r="S571" t="s">
        <v>200</v>
      </c>
    </row>
    <row r="572" spans="1:19" x14ac:dyDescent="0.25">
      <c r="A572" t="s">
        <v>59</v>
      </c>
      <c r="B572" t="s">
        <v>60</v>
      </c>
      <c r="C572" t="s">
        <v>32</v>
      </c>
      <c r="D572" t="s">
        <v>33</v>
      </c>
      <c r="E572" t="s">
        <v>34</v>
      </c>
      <c r="F572" t="s">
        <v>35</v>
      </c>
      <c r="G572" t="s">
        <v>35</v>
      </c>
      <c r="H572" t="s">
        <v>35</v>
      </c>
      <c r="J572" t="s">
        <v>1111</v>
      </c>
      <c r="K572" t="s">
        <v>1092</v>
      </c>
      <c r="M572">
        <v>0.28299999999999997</v>
      </c>
      <c r="N572">
        <v>93</v>
      </c>
      <c r="O572" t="s">
        <v>106</v>
      </c>
      <c r="Q572" t="s">
        <v>1112</v>
      </c>
      <c r="R572" t="s">
        <v>199</v>
      </c>
      <c r="S572" t="s">
        <v>200</v>
      </c>
    </row>
    <row r="573" spans="1:19" x14ac:dyDescent="0.25">
      <c r="A573" t="s">
        <v>59</v>
      </c>
      <c r="B573" t="s">
        <v>60</v>
      </c>
      <c r="C573" t="s">
        <v>32</v>
      </c>
      <c r="D573" t="s">
        <v>33</v>
      </c>
      <c r="E573" t="s">
        <v>34</v>
      </c>
      <c r="F573" t="s">
        <v>35</v>
      </c>
      <c r="G573" t="s">
        <v>35</v>
      </c>
      <c r="H573" t="s">
        <v>35</v>
      </c>
      <c r="J573" t="s">
        <v>1157</v>
      </c>
      <c r="K573" t="s">
        <v>1092</v>
      </c>
      <c r="M573">
        <v>5.5</v>
      </c>
      <c r="N573">
        <v>87</v>
      </c>
      <c r="O573" t="s">
        <v>61</v>
      </c>
      <c r="Q573" t="s">
        <v>394</v>
      </c>
      <c r="R573" t="s">
        <v>199</v>
      </c>
      <c r="S573" t="s">
        <v>200</v>
      </c>
    </row>
    <row r="574" spans="1:19" x14ac:dyDescent="0.25">
      <c r="A574" t="s">
        <v>59</v>
      </c>
      <c r="B574" t="s">
        <v>60</v>
      </c>
      <c r="C574" t="s">
        <v>32</v>
      </c>
      <c r="D574" t="s">
        <v>33</v>
      </c>
      <c r="E574" t="s">
        <v>172</v>
      </c>
      <c r="F574" t="s">
        <v>35</v>
      </c>
      <c r="G574" t="s">
        <v>35</v>
      </c>
      <c r="H574" t="s">
        <v>35</v>
      </c>
      <c r="J574" t="s">
        <v>1907</v>
      </c>
      <c r="K574" t="s">
        <v>1092</v>
      </c>
      <c r="M574">
        <v>1.3</v>
      </c>
      <c r="N574">
        <v>142</v>
      </c>
      <c r="O574" t="s">
        <v>38</v>
      </c>
      <c r="Q574" t="s">
        <v>73</v>
      </c>
      <c r="R574" t="s">
        <v>199</v>
      </c>
      <c r="S574" t="s">
        <v>200</v>
      </c>
    </row>
    <row r="575" spans="1:19" x14ac:dyDescent="0.25">
      <c r="A575" t="s">
        <v>59</v>
      </c>
      <c r="B575" t="s">
        <v>31</v>
      </c>
      <c r="C575" t="s">
        <v>32</v>
      </c>
      <c r="D575" t="s">
        <v>33</v>
      </c>
      <c r="E575" t="s">
        <v>172</v>
      </c>
      <c r="F575" t="s">
        <v>35</v>
      </c>
      <c r="G575" t="s">
        <v>35</v>
      </c>
      <c r="H575" t="s">
        <v>35</v>
      </c>
      <c r="J575" t="s">
        <v>1907</v>
      </c>
      <c r="K575" t="s">
        <v>1092</v>
      </c>
      <c r="M575">
        <v>4.05</v>
      </c>
      <c r="N575">
        <v>68</v>
      </c>
      <c r="O575" t="s">
        <v>61</v>
      </c>
      <c r="Q575" t="s">
        <v>805</v>
      </c>
      <c r="R575" t="s">
        <v>199</v>
      </c>
      <c r="S575" t="s">
        <v>200</v>
      </c>
    </row>
    <row r="576" spans="1:19" x14ac:dyDescent="0.25">
      <c r="A576" t="s">
        <v>59</v>
      </c>
      <c r="B576" t="s">
        <v>60</v>
      </c>
      <c r="C576" t="s">
        <v>32</v>
      </c>
      <c r="D576" t="s">
        <v>33</v>
      </c>
      <c r="E576" t="s">
        <v>34</v>
      </c>
      <c r="F576" t="s">
        <v>35</v>
      </c>
      <c r="G576" t="s">
        <v>35</v>
      </c>
      <c r="H576" t="s">
        <v>35</v>
      </c>
      <c r="J576" t="s">
        <v>1161</v>
      </c>
      <c r="K576" t="s">
        <v>1092</v>
      </c>
      <c r="M576">
        <v>0.05</v>
      </c>
      <c r="N576">
        <v>87</v>
      </c>
      <c r="O576" t="s">
        <v>61</v>
      </c>
      <c r="Q576" t="s">
        <v>394</v>
      </c>
      <c r="R576" t="s">
        <v>199</v>
      </c>
      <c r="S576" t="s">
        <v>200</v>
      </c>
    </row>
    <row r="577" spans="1:19" x14ac:dyDescent="0.25">
      <c r="A577" t="s">
        <v>59</v>
      </c>
      <c r="B577" t="s">
        <v>60</v>
      </c>
      <c r="C577" t="s">
        <v>32</v>
      </c>
      <c r="D577" t="s">
        <v>33</v>
      </c>
      <c r="E577" t="s">
        <v>122</v>
      </c>
      <c r="F577" t="s">
        <v>35</v>
      </c>
      <c r="G577" t="s">
        <v>35</v>
      </c>
      <c r="H577" t="s">
        <v>35</v>
      </c>
      <c r="J577" t="s">
        <v>1708</v>
      </c>
      <c r="K577" t="s">
        <v>1092</v>
      </c>
      <c r="M577">
        <v>2.1549999999999998</v>
      </c>
      <c r="N577">
        <v>68</v>
      </c>
      <c r="O577" t="s">
        <v>61</v>
      </c>
      <c r="Q577" t="s">
        <v>805</v>
      </c>
      <c r="R577" t="s">
        <v>199</v>
      </c>
      <c r="S577" t="s">
        <v>200</v>
      </c>
    </row>
    <row r="578" spans="1:19" x14ac:dyDescent="0.25">
      <c r="A578" t="s">
        <v>59</v>
      </c>
      <c r="B578" t="s">
        <v>31</v>
      </c>
      <c r="C578" t="s">
        <v>32</v>
      </c>
      <c r="D578" t="s">
        <v>33</v>
      </c>
      <c r="E578" t="s">
        <v>1292</v>
      </c>
      <c r="F578" t="s">
        <v>35</v>
      </c>
      <c r="G578" t="s">
        <v>35</v>
      </c>
      <c r="H578" t="s">
        <v>35</v>
      </c>
      <c r="J578" t="s">
        <v>1399</v>
      </c>
      <c r="K578" t="s">
        <v>1092</v>
      </c>
      <c r="M578">
        <v>4.9950000000000001</v>
      </c>
      <c r="N578">
        <v>126</v>
      </c>
      <c r="O578" t="s">
        <v>38</v>
      </c>
      <c r="Q578" t="s">
        <v>68</v>
      </c>
      <c r="R578" t="s">
        <v>199</v>
      </c>
      <c r="S578" t="s">
        <v>200</v>
      </c>
    </row>
    <row r="579" spans="1:19" x14ac:dyDescent="0.25">
      <c r="A579" t="s">
        <v>59</v>
      </c>
      <c r="B579" t="s">
        <v>60</v>
      </c>
      <c r="C579" t="s">
        <v>32</v>
      </c>
      <c r="D579" t="s">
        <v>33</v>
      </c>
      <c r="E579" t="s">
        <v>162</v>
      </c>
      <c r="F579" t="s">
        <v>35</v>
      </c>
      <c r="G579" t="s">
        <v>35</v>
      </c>
      <c r="H579" t="s">
        <v>35</v>
      </c>
      <c r="J579" t="s">
        <v>1836</v>
      </c>
      <c r="K579" t="s">
        <v>1092</v>
      </c>
      <c r="M579">
        <v>2.75</v>
      </c>
      <c r="N579">
        <v>68</v>
      </c>
      <c r="O579" t="s">
        <v>61</v>
      </c>
      <c r="Q579" t="s">
        <v>805</v>
      </c>
      <c r="R579" t="s">
        <v>199</v>
      </c>
      <c r="S579" t="s">
        <v>200</v>
      </c>
    </row>
    <row r="580" spans="1:19" x14ac:dyDescent="0.25">
      <c r="A580" t="s">
        <v>30</v>
      </c>
      <c r="B580" t="s">
        <v>31</v>
      </c>
      <c r="C580" t="s">
        <v>32</v>
      </c>
      <c r="D580" t="s">
        <v>33</v>
      </c>
      <c r="E580" t="s">
        <v>1292</v>
      </c>
      <c r="F580" t="s">
        <v>35</v>
      </c>
      <c r="G580" t="s">
        <v>35</v>
      </c>
      <c r="H580" t="s">
        <v>35</v>
      </c>
      <c r="J580" t="s">
        <v>1385</v>
      </c>
      <c r="K580" t="s">
        <v>1092</v>
      </c>
      <c r="M580">
        <v>0.36</v>
      </c>
      <c r="N580">
        <v>421</v>
      </c>
      <c r="O580" t="s">
        <v>294</v>
      </c>
      <c r="Q580" t="s">
        <v>1325</v>
      </c>
      <c r="R580" t="s">
        <v>199</v>
      </c>
      <c r="S580" t="s">
        <v>200</v>
      </c>
    </row>
    <row r="581" spans="1:19" x14ac:dyDescent="0.25">
      <c r="A581" t="s">
        <v>44</v>
      </c>
      <c r="B581" t="s">
        <v>3</v>
      </c>
      <c r="C581" t="s">
        <v>32</v>
      </c>
      <c r="D581" t="s">
        <v>33</v>
      </c>
      <c r="E581" t="s">
        <v>1292</v>
      </c>
      <c r="F581" t="s">
        <v>35</v>
      </c>
      <c r="G581" t="s">
        <v>35</v>
      </c>
      <c r="H581" t="s">
        <v>35</v>
      </c>
      <c r="J581" t="s">
        <v>1385</v>
      </c>
      <c r="K581" t="s">
        <v>1092</v>
      </c>
      <c r="M581">
        <v>3.4000000000000002E-2</v>
      </c>
      <c r="N581">
        <v>421</v>
      </c>
      <c r="O581" t="s">
        <v>294</v>
      </c>
      <c r="Q581" t="s">
        <v>1325</v>
      </c>
      <c r="R581" t="s">
        <v>199</v>
      </c>
      <c r="S581" t="s">
        <v>200</v>
      </c>
    </row>
    <row r="582" spans="1:19" x14ac:dyDescent="0.25">
      <c r="A582" t="s">
        <v>59</v>
      </c>
      <c r="B582" t="s">
        <v>60</v>
      </c>
      <c r="C582" t="s">
        <v>32</v>
      </c>
      <c r="D582" t="s">
        <v>33</v>
      </c>
      <c r="E582" t="s">
        <v>1292</v>
      </c>
      <c r="F582" t="s">
        <v>35</v>
      </c>
      <c r="G582" t="s">
        <v>35</v>
      </c>
      <c r="H582" t="s">
        <v>35</v>
      </c>
      <c r="J582" t="s">
        <v>1359</v>
      </c>
      <c r="K582" t="s">
        <v>1092</v>
      </c>
      <c r="M582">
        <v>5</v>
      </c>
      <c r="N582">
        <v>58</v>
      </c>
      <c r="O582" t="s">
        <v>52</v>
      </c>
      <c r="Q582" t="s">
        <v>128</v>
      </c>
      <c r="R582" t="s">
        <v>199</v>
      </c>
      <c r="S582" t="s">
        <v>200</v>
      </c>
    </row>
    <row r="583" spans="1:19" x14ac:dyDescent="0.25">
      <c r="A583" t="s">
        <v>30</v>
      </c>
      <c r="B583" t="s">
        <v>31</v>
      </c>
      <c r="C583" t="s">
        <v>32</v>
      </c>
      <c r="D583" t="s">
        <v>33</v>
      </c>
      <c r="E583" t="s">
        <v>1292</v>
      </c>
      <c r="F583" t="s">
        <v>35</v>
      </c>
      <c r="G583" t="s">
        <v>35</v>
      </c>
      <c r="H583" t="s">
        <v>35</v>
      </c>
      <c r="J583" t="s">
        <v>1324</v>
      </c>
      <c r="K583" t="s">
        <v>1092</v>
      </c>
      <c r="M583">
        <v>4.4999999999999998E-2</v>
      </c>
      <c r="N583">
        <v>421</v>
      </c>
      <c r="O583" t="s">
        <v>294</v>
      </c>
      <c r="Q583" t="s">
        <v>1325</v>
      </c>
      <c r="R583" t="s">
        <v>199</v>
      </c>
      <c r="S583" t="s">
        <v>200</v>
      </c>
    </row>
    <row r="584" spans="1:19" x14ac:dyDescent="0.25">
      <c r="A584" t="s">
        <v>30</v>
      </c>
      <c r="B584" t="s">
        <v>31</v>
      </c>
      <c r="C584" t="s">
        <v>32</v>
      </c>
      <c r="D584" t="s">
        <v>33</v>
      </c>
      <c r="E584" t="s">
        <v>162</v>
      </c>
      <c r="F584" t="s">
        <v>35</v>
      </c>
      <c r="G584" t="s">
        <v>35</v>
      </c>
      <c r="H584" t="s">
        <v>35</v>
      </c>
      <c r="J584" t="s">
        <v>1838</v>
      </c>
      <c r="K584" t="s">
        <v>1092</v>
      </c>
      <c r="M584">
        <v>5.49</v>
      </c>
      <c r="N584">
        <v>66</v>
      </c>
      <c r="O584" t="s">
        <v>61</v>
      </c>
      <c r="Q584" t="s">
        <v>552</v>
      </c>
      <c r="R584" t="s">
        <v>199</v>
      </c>
      <c r="S584" t="s">
        <v>200</v>
      </c>
    </row>
    <row r="585" spans="1:19" x14ac:dyDescent="0.25">
      <c r="A585" t="s">
        <v>59</v>
      </c>
      <c r="B585" t="s">
        <v>60</v>
      </c>
      <c r="C585" t="s">
        <v>32</v>
      </c>
      <c r="D585" t="s">
        <v>33</v>
      </c>
      <c r="F585" t="s">
        <v>35</v>
      </c>
      <c r="G585" t="s">
        <v>35</v>
      </c>
      <c r="H585" t="s">
        <v>35</v>
      </c>
      <c r="J585" t="s">
        <v>2272</v>
      </c>
      <c r="K585" t="s">
        <v>1092</v>
      </c>
      <c r="M585">
        <v>0.05</v>
      </c>
      <c r="N585">
        <v>1423</v>
      </c>
      <c r="O585" t="s">
        <v>575</v>
      </c>
      <c r="Q585" t="s">
        <v>2273</v>
      </c>
      <c r="R585" t="s">
        <v>199</v>
      </c>
      <c r="S585" t="s">
        <v>200</v>
      </c>
    </row>
    <row r="586" spans="1:19" x14ac:dyDescent="0.25">
      <c r="A586" t="s">
        <v>59</v>
      </c>
      <c r="B586" t="s">
        <v>31</v>
      </c>
      <c r="C586" t="s">
        <v>32</v>
      </c>
      <c r="D586" t="s">
        <v>33</v>
      </c>
      <c r="F586" t="s">
        <v>35</v>
      </c>
      <c r="G586" t="s">
        <v>35</v>
      </c>
      <c r="H586" t="s">
        <v>35</v>
      </c>
      <c r="J586" t="s">
        <v>2272</v>
      </c>
      <c r="K586" t="s">
        <v>1092</v>
      </c>
      <c r="M586">
        <v>7.6950000000000003</v>
      </c>
      <c r="N586">
        <v>1423</v>
      </c>
      <c r="O586" t="s">
        <v>575</v>
      </c>
      <c r="Q586" t="s">
        <v>2273</v>
      </c>
      <c r="R586" t="s">
        <v>199</v>
      </c>
      <c r="S586" t="s">
        <v>200</v>
      </c>
    </row>
    <row r="587" spans="1:19" x14ac:dyDescent="0.25">
      <c r="A587" t="s">
        <v>30</v>
      </c>
      <c r="B587" t="s">
        <v>31</v>
      </c>
      <c r="C587" t="s">
        <v>32</v>
      </c>
      <c r="D587" t="s">
        <v>33</v>
      </c>
      <c r="E587" t="s">
        <v>1520</v>
      </c>
      <c r="F587" t="s">
        <v>35</v>
      </c>
      <c r="G587" t="s">
        <v>35</v>
      </c>
      <c r="H587" t="s">
        <v>35</v>
      </c>
      <c r="J587" t="s">
        <v>1561</v>
      </c>
      <c r="K587" t="s">
        <v>1092</v>
      </c>
      <c r="M587">
        <v>0.60499999999999998</v>
      </c>
      <c r="N587">
        <v>238</v>
      </c>
      <c r="O587" t="s">
        <v>5</v>
      </c>
      <c r="Q587" t="s">
        <v>111</v>
      </c>
      <c r="R587" t="s">
        <v>199</v>
      </c>
      <c r="S587" t="s">
        <v>200</v>
      </c>
    </row>
    <row r="588" spans="1:19" x14ac:dyDescent="0.25">
      <c r="A588" t="s">
        <v>30</v>
      </c>
      <c r="B588" t="s">
        <v>31</v>
      </c>
      <c r="C588" t="s">
        <v>32</v>
      </c>
      <c r="D588" t="s">
        <v>33</v>
      </c>
      <c r="E588" t="s">
        <v>1292</v>
      </c>
      <c r="F588" t="s">
        <v>35</v>
      </c>
      <c r="G588" t="s">
        <v>35</v>
      </c>
      <c r="H588" t="s">
        <v>35</v>
      </c>
      <c r="J588" t="s">
        <v>1406</v>
      </c>
      <c r="K588" t="s">
        <v>1092</v>
      </c>
      <c r="M588">
        <v>1.8</v>
      </c>
      <c r="N588">
        <v>1060</v>
      </c>
      <c r="O588" t="s">
        <v>575</v>
      </c>
      <c r="Q588" t="s">
        <v>1407</v>
      </c>
      <c r="R588" t="s">
        <v>199</v>
      </c>
      <c r="S588" t="s">
        <v>200</v>
      </c>
    </row>
    <row r="589" spans="1:19" x14ac:dyDescent="0.25">
      <c r="A589" t="s">
        <v>59</v>
      </c>
      <c r="B589" t="s">
        <v>31</v>
      </c>
      <c r="C589" t="s">
        <v>32</v>
      </c>
      <c r="D589" t="s">
        <v>33</v>
      </c>
      <c r="E589" t="s">
        <v>1292</v>
      </c>
      <c r="F589" t="s">
        <v>35</v>
      </c>
      <c r="G589" t="s">
        <v>35</v>
      </c>
      <c r="H589" t="s">
        <v>35</v>
      </c>
      <c r="J589" t="s">
        <v>1406</v>
      </c>
      <c r="K589" t="s">
        <v>1092</v>
      </c>
      <c r="M589">
        <v>0.315</v>
      </c>
      <c r="N589">
        <v>1086</v>
      </c>
      <c r="O589" t="s">
        <v>575</v>
      </c>
      <c r="Q589" t="s">
        <v>1408</v>
      </c>
      <c r="R589" t="s">
        <v>199</v>
      </c>
      <c r="S589" t="s">
        <v>200</v>
      </c>
    </row>
    <row r="590" spans="1:19" x14ac:dyDescent="0.25">
      <c r="A590" t="s">
        <v>59</v>
      </c>
      <c r="B590" t="s">
        <v>31</v>
      </c>
      <c r="C590" t="s">
        <v>32</v>
      </c>
      <c r="D590" t="s">
        <v>33</v>
      </c>
      <c r="E590" t="s">
        <v>87</v>
      </c>
      <c r="F590" t="s">
        <v>35</v>
      </c>
      <c r="G590" t="s">
        <v>35</v>
      </c>
      <c r="H590" t="s">
        <v>35</v>
      </c>
      <c r="J590" t="s">
        <v>1495</v>
      </c>
      <c r="K590" t="s">
        <v>1092</v>
      </c>
      <c r="M590">
        <v>0.01</v>
      </c>
      <c r="N590">
        <v>1141</v>
      </c>
      <c r="O590" t="s">
        <v>575</v>
      </c>
      <c r="Q590" t="s">
        <v>1497</v>
      </c>
      <c r="R590" t="s">
        <v>199</v>
      </c>
      <c r="S590" t="s">
        <v>200</v>
      </c>
    </row>
    <row r="591" spans="1:19" x14ac:dyDescent="0.25">
      <c r="A591" t="s">
        <v>44</v>
      </c>
      <c r="B591" t="s">
        <v>3</v>
      </c>
      <c r="C591" t="s">
        <v>32</v>
      </c>
      <c r="D591" t="s">
        <v>33</v>
      </c>
      <c r="E591" t="s">
        <v>162</v>
      </c>
      <c r="F591" t="s">
        <v>35</v>
      </c>
      <c r="G591" t="s">
        <v>35</v>
      </c>
      <c r="H591" t="s">
        <v>35</v>
      </c>
      <c r="J591" t="s">
        <v>1897</v>
      </c>
      <c r="K591" t="s">
        <v>1092</v>
      </c>
      <c r="M591">
        <v>4.25</v>
      </c>
      <c r="N591">
        <v>61</v>
      </c>
      <c r="O591" t="s">
        <v>61</v>
      </c>
      <c r="Q591" t="s">
        <v>146</v>
      </c>
      <c r="R591" t="s">
        <v>199</v>
      </c>
      <c r="S591" t="s">
        <v>200</v>
      </c>
    </row>
    <row r="592" spans="1:19" x14ac:dyDescent="0.25">
      <c r="A592" t="s">
        <v>59</v>
      </c>
      <c r="B592" t="s">
        <v>60</v>
      </c>
      <c r="C592" t="s">
        <v>32</v>
      </c>
      <c r="D592" t="s">
        <v>33</v>
      </c>
      <c r="E592" t="s">
        <v>162</v>
      </c>
      <c r="F592" t="s">
        <v>35</v>
      </c>
      <c r="G592" t="s">
        <v>35</v>
      </c>
      <c r="H592" t="s">
        <v>35</v>
      </c>
      <c r="J592" t="s">
        <v>1897</v>
      </c>
      <c r="K592" t="s">
        <v>1092</v>
      </c>
      <c r="M592">
        <v>2.85</v>
      </c>
      <c r="N592">
        <v>68</v>
      </c>
      <c r="O592" t="s">
        <v>61</v>
      </c>
      <c r="Q592" t="s">
        <v>805</v>
      </c>
      <c r="R592" t="s">
        <v>199</v>
      </c>
      <c r="S592" t="s">
        <v>200</v>
      </c>
    </row>
    <row r="593" spans="1:19" x14ac:dyDescent="0.25">
      <c r="A593" t="s">
        <v>44</v>
      </c>
      <c r="B593" t="s">
        <v>51</v>
      </c>
      <c r="C593" t="s">
        <v>32</v>
      </c>
      <c r="D593" t="s">
        <v>33</v>
      </c>
      <c r="E593" t="s">
        <v>87</v>
      </c>
      <c r="F593" t="s">
        <v>35</v>
      </c>
      <c r="G593" t="s">
        <v>35</v>
      </c>
      <c r="H593" t="s">
        <v>35</v>
      </c>
      <c r="J593" t="s">
        <v>1478</v>
      </c>
      <c r="K593" t="s">
        <v>1092</v>
      </c>
      <c r="M593">
        <v>5.5</v>
      </c>
      <c r="N593">
        <v>55</v>
      </c>
      <c r="O593" t="s">
        <v>52</v>
      </c>
      <c r="Q593" t="s">
        <v>90</v>
      </c>
      <c r="R593" t="s">
        <v>199</v>
      </c>
      <c r="S593" t="s">
        <v>200</v>
      </c>
    </row>
    <row r="594" spans="1:19" x14ac:dyDescent="0.25">
      <c r="A594" t="s">
        <v>30</v>
      </c>
      <c r="B594" t="s">
        <v>31</v>
      </c>
      <c r="C594" t="s">
        <v>32</v>
      </c>
      <c r="D594" t="s">
        <v>33</v>
      </c>
      <c r="E594" t="s">
        <v>122</v>
      </c>
      <c r="F594" t="s">
        <v>35</v>
      </c>
      <c r="G594" t="s">
        <v>35</v>
      </c>
      <c r="H594" t="s">
        <v>35</v>
      </c>
      <c r="J594" t="s">
        <v>1722</v>
      </c>
      <c r="K594" t="s">
        <v>1092</v>
      </c>
      <c r="M594">
        <v>9.99</v>
      </c>
      <c r="N594">
        <v>18</v>
      </c>
      <c r="O594" t="s">
        <v>46</v>
      </c>
      <c r="Q594" t="s">
        <v>831</v>
      </c>
      <c r="R594" t="s">
        <v>199</v>
      </c>
      <c r="S594" t="s">
        <v>200</v>
      </c>
    </row>
    <row r="595" spans="1:19" x14ac:dyDescent="0.25">
      <c r="A595" t="s">
        <v>59</v>
      </c>
      <c r="B595" t="s">
        <v>60</v>
      </c>
      <c r="C595" t="s">
        <v>32</v>
      </c>
      <c r="D595" t="s">
        <v>33</v>
      </c>
      <c r="E595" t="s">
        <v>1292</v>
      </c>
      <c r="F595" t="s">
        <v>35</v>
      </c>
      <c r="G595" t="s">
        <v>35</v>
      </c>
      <c r="H595" t="s">
        <v>35</v>
      </c>
      <c r="J595" t="s">
        <v>1371</v>
      </c>
      <c r="K595" t="s">
        <v>1092</v>
      </c>
      <c r="M595">
        <v>5.48</v>
      </c>
      <c r="N595">
        <v>1485</v>
      </c>
      <c r="O595" t="s">
        <v>575</v>
      </c>
      <c r="Q595" t="s">
        <v>1372</v>
      </c>
      <c r="R595" t="s">
        <v>199</v>
      </c>
      <c r="S595" t="s">
        <v>200</v>
      </c>
    </row>
    <row r="596" spans="1:19" x14ac:dyDescent="0.25">
      <c r="A596" t="s">
        <v>59</v>
      </c>
      <c r="B596" t="s">
        <v>31</v>
      </c>
      <c r="C596" t="s">
        <v>32</v>
      </c>
      <c r="D596" t="s">
        <v>33</v>
      </c>
      <c r="E596" t="s">
        <v>2059</v>
      </c>
      <c r="F596" t="s">
        <v>35</v>
      </c>
      <c r="G596" t="s">
        <v>35</v>
      </c>
      <c r="H596" t="s">
        <v>35</v>
      </c>
      <c r="J596" t="s">
        <v>2072</v>
      </c>
      <c r="K596" t="s">
        <v>1092</v>
      </c>
      <c r="M596">
        <v>2.7E-2</v>
      </c>
      <c r="N596">
        <v>205</v>
      </c>
      <c r="O596" t="s">
        <v>5</v>
      </c>
      <c r="Q596" t="s">
        <v>1711</v>
      </c>
      <c r="R596" t="s">
        <v>199</v>
      </c>
      <c r="S596" t="s">
        <v>200</v>
      </c>
    </row>
    <row r="597" spans="1:19" x14ac:dyDescent="0.25">
      <c r="A597" t="s">
        <v>44</v>
      </c>
      <c r="B597" t="s">
        <v>51</v>
      </c>
      <c r="C597" t="s">
        <v>32</v>
      </c>
      <c r="D597" t="s">
        <v>33</v>
      </c>
      <c r="E597" t="s">
        <v>196</v>
      </c>
      <c r="F597" t="s">
        <v>35</v>
      </c>
      <c r="G597" t="s">
        <v>35</v>
      </c>
      <c r="H597" t="s">
        <v>35</v>
      </c>
      <c r="J597" t="s">
        <v>2054</v>
      </c>
      <c r="K597" t="s">
        <v>1092</v>
      </c>
      <c r="M597">
        <v>1.7</v>
      </c>
      <c r="N597">
        <v>55</v>
      </c>
      <c r="O597" t="s">
        <v>52</v>
      </c>
      <c r="Q597" t="s">
        <v>90</v>
      </c>
      <c r="R597" t="s">
        <v>199</v>
      </c>
      <c r="S597" t="s">
        <v>200</v>
      </c>
    </row>
    <row r="598" spans="1:19" x14ac:dyDescent="0.25">
      <c r="A598" t="s">
        <v>59</v>
      </c>
      <c r="B598" t="s">
        <v>60</v>
      </c>
      <c r="C598" t="s">
        <v>32</v>
      </c>
      <c r="D598" t="s">
        <v>33</v>
      </c>
      <c r="E598" t="s">
        <v>196</v>
      </c>
      <c r="F598" t="s">
        <v>35</v>
      </c>
      <c r="G598" t="s">
        <v>35</v>
      </c>
      <c r="H598" t="s">
        <v>35</v>
      </c>
      <c r="J598" t="s">
        <v>2054</v>
      </c>
      <c r="K598" t="s">
        <v>1092</v>
      </c>
      <c r="M598">
        <v>5.2</v>
      </c>
      <c r="N598">
        <v>68</v>
      </c>
      <c r="O598" t="s">
        <v>61</v>
      </c>
      <c r="Q598" t="s">
        <v>805</v>
      </c>
      <c r="R598" t="s">
        <v>199</v>
      </c>
      <c r="S598" t="s">
        <v>200</v>
      </c>
    </row>
    <row r="599" spans="1:19" x14ac:dyDescent="0.25">
      <c r="A599" t="s">
        <v>59</v>
      </c>
      <c r="B599" t="s">
        <v>60</v>
      </c>
      <c r="C599" t="s">
        <v>32</v>
      </c>
      <c r="D599" t="s">
        <v>33</v>
      </c>
      <c r="E599" t="s">
        <v>122</v>
      </c>
      <c r="F599" t="s">
        <v>35</v>
      </c>
      <c r="G599" t="s">
        <v>35</v>
      </c>
      <c r="H599" t="s">
        <v>35</v>
      </c>
      <c r="J599" t="s">
        <v>1763</v>
      </c>
      <c r="K599" t="s">
        <v>1092</v>
      </c>
      <c r="M599">
        <v>5.3</v>
      </c>
      <c r="N599">
        <v>175</v>
      </c>
      <c r="O599" t="s">
        <v>38</v>
      </c>
      <c r="Q599" t="s">
        <v>1764</v>
      </c>
      <c r="R599" t="s">
        <v>199</v>
      </c>
      <c r="S599" t="s">
        <v>200</v>
      </c>
    </row>
    <row r="600" spans="1:19" x14ac:dyDescent="0.25">
      <c r="A600" t="s">
        <v>59</v>
      </c>
      <c r="B600" t="s">
        <v>60</v>
      </c>
      <c r="C600" t="s">
        <v>32</v>
      </c>
      <c r="D600" t="s">
        <v>33</v>
      </c>
      <c r="E600" t="s">
        <v>1292</v>
      </c>
      <c r="F600" t="s">
        <v>35</v>
      </c>
      <c r="G600" t="s">
        <v>35</v>
      </c>
      <c r="H600" t="s">
        <v>35</v>
      </c>
      <c r="J600" t="s">
        <v>1414</v>
      </c>
      <c r="K600" t="s">
        <v>1092</v>
      </c>
      <c r="M600">
        <v>2.65</v>
      </c>
      <c r="N600">
        <v>356</v>
      </c>
      <c r="O600" t="s">
        <v>5</v>
      </c>
      <c r="Q600" t="s">
        <v>1415</v>
      </c>
      <c r="R600" t="s">
        <v>199</v>
      </c>
      <c r="S600" t="s">
        <v>200</v>
      </c>
    </row>
    <row r="601" spans="1:19" x14ac:dyDescent="0.25">
      <c r="A601" t="s">
        <v>59</v>
      </c>
      <c r="B601" t="s">
        <v>60</v>
      </c>
      <c r="C601" t="s">
        <v>32</v>
      </c>
      <c r="D601" t="s">
        <v>33</v>
      </c>
      <c r="F601" t="s">
        <v>35</v>
      </c>
      <c r="G601" t="s">
        <v>35</v>
      </c>
      <c r="H601" t="s">
        <v>35</v>
      </c>
      <c r="J601" t="s">
        <v>2376</v>
      </c>
      <c r="K601" t="s">
        <v>1092</v>
      </c>
      <c r="M601">
        <v>5</v>
      </c>
      <c r="N601">
        <v>2355</v>
      </c>
      <c r="O601" t="s">
        <v>575</v>
      </c>
      <c r="Q601" t="s">
        <v>2378</v>
      </c>
      <c r="R601" t="s">
        <v>199</v>
      </c>
      <c r="S601" t="s">
        <v>200</v>
      </c>
    </row>
    <row r="602" spans="1:19" x14ac:dyDescent="0.25">
      <c r="A602" t="s">
        <v>59</v>
      </c>
      <c r="B602" t="s">
        <v>60</v>
      </c>
      <c r="C602" t="s">
        <v>32</v>
      </c>
      <c r="D602" t="s">
        <v>33</v>
      </c>
      <c r="F602" t="s">
        <v>35</v>
      </c>
      <c r="G602" t="s">
        <v>35</v>
      </c>
      <c r="H602" t="s">
        <v>35</v>
      </c>
      <c r="J602" t="s">
        <v>2376</v>
      </c>
      <c r="K602" t="s">
        <v>1092</v>
      </c>
      <c r="M602">
        <v>1.55</v>
      </c>
      <c r="N602">
        <v>2357</v>
      </c>
      <c r="O602" t="s">
        <v>575</v>
      </c>
      <c r="Q602" t="s">
        <v>2379</v>
      </c>
      <c r="R602" t="s">
        <v>199</v>
      </c>
      <c r="S602" t="s">
        <v>200</v>
      </c>
    </row>
    <row r="603" spans="1:19" x14ac:dyDescent="0.25">
      <c r="A603" t="s">
        <v>30</v>
      </c>
      <c r="B603" t="s">
        <v>31</v>
      </c>
      <c r="C603" t="s">
        <v>32</v>
      </c>
      <c r="D603" t="s">
        <v>33</v>
      </c>
      <c r="E603" t="s">
        <v>162</v>
      </c>
      <c r="F603" t="s">
        <v>35</v>
      </c>
      <c r="G603" t="s">
        <v>35</v>
      </c>
      <c r="H603" t="s">
        <v>35</v>
      </c>
      <c r="J603" t="s">
        <v>1895</v>
      </c>
      <c r="K603" t="s">
        <v>1092</v>
      </c>
      <c r="M603">
        <v>0.18</v>
      </c>
      <c r="N603">
        <v>186</v>
      </c>
      <c r="O603" t="s">
        <v>5</v>
      </c>
      <c r="Q603" t="s">
        <v>1894</v>
      </c>
      <c r="R603" t="s">
        <v>199</v>
      </c>
      <c r="S603" t="s">
        <v>200</v>
      </c>
    </row>
    <row r="604" spans="1:19" x14ac:dyDescent="0.25">
      <c r="A604" t="s">
        <v>59</v>
      </c>
      <c r="B604" t="s">
        <v>60</v>
      </c>
      <c r="C604" t="s">
        <v>32</v>
      </c>
      <c r="D604" t="s">
        <v>33</v>
      </c>
      <c r="E604" t="s">
        <v>1520</v>
      </c>
      <c r="F604" t="s">
        <v>35</v>
      </c>
      <c r="G604" t="s">
        <v>35</v>
      </c>
      <c r="H604" t="s">
        <v>35</v>
      </c>
      <c r="J604" t="s">
        <v>1549</v>
      </c>
      <c r="K604" t="s">
        <v>1092</v>
      </c>
      <c r="M604">
        <v>2.5499999999999998</v>
      </c>
      <c r="N604">
        <v>67</v>
      </c>
      <c r="O604" t="s">
        <v>61</v>
      </c>
      <c r="Q604" t="s">
        <v>488</v>
      </c>
      <c r="R604" t="s">
        <v>199</v>
      </c>
      <c r="S604" t="s">
        <v>200</v>
      </c>
    </row>
    <row r="605" spans="1:19" x14ac:dyDescent="0.25">
      <c r="A605" t="s">
        <v>59</v>
      </c>
      <c r="B605" t="s">
        <v>60</v>
      </c>
      <c r="C605" t="s">
        <v>32</v>
      </c>
      <c r="D605" t="s">
        <v>33</v>
      </c>
      <c r="E605" t="s">
        <v>87</v>
      </c>
      <c r="F605" t="s">
        <v>35</v>
      </c>
      <c r="G605" t="s">
        <v>35</v>
      </c>
      <c r="H605" t="s">
        <v>35</v>
      </c>
      <c r="J605" t="s">
        <v>1465</v>
      </c>
      <c r="K605" t="s">
        <v>1092</v>
      </c>
      <c r="M605">
        <v>0.4</v>
      </c>
      <c r="N605">
        <v>142</v>
      </c>
      <c r="O605" t="s">
        <v>38</v>
      </c>
      <c r="Q605" t="s">
        <v>73</v>
      </c>
      <c r="R605" t="s">
        <v>199</v>
      </c>
      <c r="S605" t="s">
        <v>200</v>
      </c>
    </row>
    <row r="606" spans="1:19" x14ac:dyDescent="0.25">
      <c r="A606" t="s">
        <v>30</v>
      </c>
      <c r="B606" t="s">
        <v>31</v>
      </c>
      <c r="C606" t="s">
        <v>32</v>
      </c>
      <c r="D606" t="s">
        <v>33</v>
      </c>
      <c r="E606" t="s">
        <v>162</v>
      </c>
      <c r="F606" t="s">
        <v>35</v>
      </c>
      <c r="G606" t="s">
        <v>35</v>
      </c>
      <c r="H606" t="s">
        <v>35</v>
      </c>
      <c r="J606" t="s">
        <v>1858</v>
      </c>
      <c r="K606" t="s">
        <v>1092</v>
      </c>
      <c r="M606">
        <v>1.2150000000000001</v>
      </c>
      <c r="N606">
        <v>248</v>
      </c>
      <c r="O606" t="s">
        <v>5</v>
      </c>
      <c r="Q606" t="s">
        <v>1747</v>
      </c>
      <c r="R606" t="s">
        <v>199</v>
      </c>
      <c r="S606" t="s">
        <v>200</v>
      </c>
    </row>
    <row r="607" spans="1:19" x14ac:dyDescent="0.25">
      <c r="A607" t="s">
        <v>59</v>
      </c>
      <c r="B607" t="s">
        <v>60</v>
      </c>
      <c r="C607" t="s">
        <v>32</v>
      </c>
      <c r="D607" t="s">
        <v>33</v>
      </c>
      <c r="E607" t="s">
        <v>122</v>
      </c>
      <c r="F607" t="s">
        <v>35</v>
      </c>
      <c r="G607" t="s">
        <v>35</v>
      </c>
      <c r="H607" t="s">
        <v>35</v>
      </c>
      <c r="J607" t="s">
        <v>1689</v>
      </c>
      <c r="K607" t="s">
        <v>1092</v>
      </c>
      <c r="M607">
        <v>5</v>
      </c>
      <c r="N607">
        <v>68</v>
      </c>
      <c r="O607" t="s">
        <v>61</v>
      </c>
      <c r="Q607" t="s">
        <v>805</v>
      </c>
      <c r="R607" t="s">
        <v>199</v>
      </c>
      <c r="S607" t="s">
        <v>200</v>
      </c>
    </row>
    <row r="608" spans="1:19" x14ac:dyDescent="0.25">
      <c r="A608" t="s">
        <v>30</v>
      </c>
      <c r="B608" t="s">
        <v>31</v>
      </c>
      <c r="C608" t="s">
        <v>32</v>
      </c>
      <c r="D608" t="s">
        <v>33</v>
      </c>
      <c r="E608" t="s">
        <v>2107</v>
      </c>
      <c r="F608" t="s">
        <v>35</v>
      </c>
      <c r="G608" t="s">
        <v>35</v>
      </c>
      <c r="H608" t="s">
        <v>35</v>
      </c>
      <c r="J608" t="s">
        <v>1340</v>
      </c>
      <c r="K608" t="s">
        <v>1092</v>
      </c>
      <c r="M608">
        <v>5.49</v>
      </c>
      <c r="N608">
        <v>40</v>
      </c>
      <c r="O608" t="s">
        <v>52</v>
      </c>
      <c r="Q608" t="s">
        <v>132</v>
      </c>
      <c r="R608" t="s">
        <v>199</v>
      </c>
      <c r="S608" t="s">
        <v>200</v>
      </c>
    </row>
    <row r="609" spans="1:19" x14ac:dyDescent="0.25">
      <c r="A609" t="s">
        <v>59</v>
      </c>
      <c r="B609" t="s">
        <v>60</v>
      </c>
      <c r="C609" t="s">
        <v>32</v>
      </c>
      <c r="D609" t="s">
        <v>33</v>
      </c>
      <c r="E609" t="s">
        <v>122</v>
      </c>
      <c r="F609" t="s">
        <v>35</v>
      </c>
      <c r="G609" t="s">
        <v>35</v>
      </c>
      <c r="H609" t="s">
        <v>35</v>
      </c>
      <c r="J609" t="s">
        <v>1733</v>
      </c>
      <c r="K609" t="s">
        <v>1092</v>
      </c>
      <c r="M609">
        <v>0.4</v>
      </c>
      <c r="N609">
        <v>68</v>
      </c>
      <c r="O609" t="s">
        <v>61</v>
      </c>
      <c r="Q609" t="s">
        <v>805</v>
      </c>
      <c r="R609" t="s">
        <v>199</v>
      </c>
      <c r="S609" t="s">
        <v>200</v>
      </c>
    </row>
    <row r="610" spans="1:19" x14ac:dyDescent="0.25">
      <c r="A610" t="s">
        <v>59</v>
      </c>
      <c r="B610" t="s">
        <v>60</v>
      </c>
      <c r="C610" t="s">
        <v>32</v>
      </c>
      <c r="D610" t="s">
        <v>33</v>
      </c>
      <c r="E610" t="s">
        <v>122</v>
      </c>
      <c r="F610" t="s">
        <v>35</v>
      </c>
      <c r="G610" t="s">
        <v>35</v>
      </c>
      <c r="H610" t="s">
        <v>35</v>
      </c>
      <c r="J610" t="s">
        <v>1733</v>
      </c>
      <c r="K610" t="s">
        <v>1092</v>
      </c>
      <c r="M610">
        <v>5.5</v>
      </c>
      <c r="N610">
        <v>53</v>
      </c>
      <c r="O610" t="s">
        <v>52</v>
      </c>
      <c r="Q610" t="s">
        <v>1734</v>
      </c>
      <c r="R610" t="s">
        <v>199</v>
      </c>
      <c r="S610" t="s">
        <v>200</v>
      </c>
    </row>
    <row r="611" spans="1:19" x14ac:dyDescent="0.25">
      <c r="A611" t="s">
        <v>59</v>
      </c>
      <c r="B611" t="s">
        <v>31</v>
      </c>
      <c r="C611" t="s">
        <v>32</v>
      </c>
      <c r="D611" t="s">
        <v>33</v>
      </c>
      <c r="F611" t="s">
        <v>35</v>
      </c>
      <c r="G611" t="s">
        <v>35</v>
      </c>
      <c r="H611" t="s">
        <v>35</v>
      </c>
      <c r="J611" t="s">
        <v>2325</v>
      </c>
      <c r="K611" t="s">
        <v>1092</v>
      </c>
      <c r="M611">
        <v>5.49</v>
      </c>
      <c r="N611">
        <v>1171</v>
      </c>
      <c r="O611" t="s">
        <v>575</v>
      </c>
      <c r="Q611" t="s">
        <v>2326</v>
      </c>
      <c r="R611" t="s">
        <v>199</v>
      </c>
      <c r="S611" t="s">
        <v>200</v>
      </c>
    </row>
    <row r="612" spans="1:19" x14ac:dyDescent="0.25">
      <c r="A612" t="s">
        <v>59</v>
      </c>
      <c r="B612" t="s">
        <v>60</v>
      </c>
      <c r="C612" t="s">
        <v>32</v>
      </c>
      <c r="D612" t="s">
        <v>33</v>
      </c>
      <c r="E612" t="s">
        <v>122</v>
      </c>
      <c r="F612" t="s">
        <v>35</v>
      </c>
      <c r="G612" t="s">
        <v>35</v>
      </c>
      <c r="H612" t="s">
        <v>35</v>
      </c>
      <c r="J612" t="s">
        <v>1788</v>
      </c>
      <c r="K612" t="s">
        <v>1092</v>
      </c>
      <c r="M612">
        <v>2.2999999999999998</v>
      </c>
      <c r="N612">
        <v>68</v>
      </c>
      <c r="O612" t="s">
        <v>61</v>
      </c>
      <c r="Q612" t="s">
        <v>805</v>
      </c>
      <c r="R612" t="s">
        <v>199</v>
      </c>
      <c r="S612" t="s">
        <v>200</v>
      </c>
    </row>
    <row r="613" spans="1:19" x14ac:dyDescent="0.25">
      <c r="A613" t="s">
        <v>59</v>
      </c>
      <c r="B613" t="s">
        <v>31</v>
      </c>
      <c r="C613" t="s">
        <v>32</v>
      </c>
      <c r="D613" t="s">
        <v>33</v>
      </c>
      <c r="E613" t="s">
        <v>122</v>
      </c>
      <c r="F613" t="s">
        <v>35</v>
      </c>
      <c r="G613" t="s">
        <v>35</v>
      </c>
      <c r="H613" t="s">
        <v>35</v>
      </c>
      <c r="J613" t="s">
        <v>1757</v>
      </c>
      <c r="K613" t="s">
        <v>1092</v>
      </c>
      <c r="M613">
        <v>7.58</v>
      </c>
      <c r="N613">
        <v>51</v>
      </c>
      <c r="O613" t="s">
        <v>52</v>
      </c>
      <c r="Q613" t="s">
        <v>58</v>
      </c>
      <c r="R613" t="s">
        <v>199</v>
      </c>
      <c r="S613" t="s">
        <v>200</v>
      </c>
    </row>
    <row r="614" spans="1:19" x14ac:dyDescent="0.25">
      <c r="A614" t="s">
        <v>30</v>
      </c>
      <c r="B614" t="s">
        <v>31</v>
      </c>
      <c r="C614" t="s">
        <v>32</v>
      </c>
      <c r="D614" t="s">
        <v>33</v>
      </c>
      <c r="E614" t="s">
        <v>1292</v>
      </c>
      <c r="F614" t="s">
        <v>35</v>
      </c>
      <c r="G614" t="s">
        <v>35</v>
      </c>
      <c r="H614" t="s">
        <v>35</v>
      </c>
      <c r="J614" t="s">
        <v>1343</v>
      </c>
      <c r="K614" t="s">
        <v>1092</v>
      </c>
      <c r="M614">
        <v>4.9950000000000001</v>
      </c>
      <c r="N614">
        <v>17</v>
      </c>
      <c r="O614" t="s">
        <v>46</v>
      </c>
      <c r="Q614" t="s">
        <v>255</v>
      </c>
      <c r="R614" t="s">
        <v>199</v>
      </c>
      <c r="S614" t="s">
        <v>200</v>
      </c>
    </row>
    <row r="615" spans="1:19" x14ac:dyDescent="0.25">
      <c r="A615" t="s">
        <v>30</v>
      </c>
      <c r="B615" t="s">
        <v>31</v>
      </c>
      <c r="C615" t="s">
        <v>32</v>
      </c>
      <c r="D615" t="s">
        <v>33</v>
      </c>
      <c r="E615" t="s">
        <v>122</v>
      </c>
      <c r="F615" t="s">
        <v>35</v>
      </c>
      <c r="G615" t="s">
        <v>35</v>
      </c>
      <c r="H615" t="s">
        <v>35</v>
      </c>
      <c r="J615" t="s">
        <v>1710</v>
      </c>
      <c r="K615" t="s">
        <v>1092</v>
      </c>
      <c r="M615">
        <v>0.26100000000000001</v>
      </c>
      <c r="N615">
        <v>142</v>
      </c>
      <c r="O615" t="s">
        <v>38</v>
      </c>
      <c r="Q615" t="s">
        <v>73</v>
      </c>
      <c r="R615" t="s">
        <v>199</v>
      </c>
      <c r="S615" t="s">
        <v>200</v>
      </c>
    </row>
    <row r="616" spans="1:19" x14ac:dyDescent="0.25">
      <c r="A616" t="s">
        <v>44</v>
      </c>
      <c r="B616" t="s">
        <v>3</v>
      </c>
      <c r="C616" t="s">
        <v>32</v>
      </c>
      <c r="D616" t="s">
        <v>33</v>
      </c>
      <c r="E616" t="s">
        <v>1292</v>
      </c>
      <c r="F616" t="s">
        <v>35</v>
      </c>
      <c r="G616" t="s">
        <v>35</v>
      </c>
      <c r="H616" t="s">
        <v>35</v>
      </c>
      <c r="J616" t="s">
        <v>1429</v>
      </c>
      <c r="K616" t="s">
        <v>1092</v>
      </c>
      <c r="M616">
        <v>4.95</v>
      </c>
      <c r="N616">
        <v>61</v>
      </c>
      <c r="O616" t="s">
        <v>61</v>
      </c>
      <c r="Q616" t="s">
        <v>146</v>
      </c>
      <c r="R616" t="s">
        <v>199</v>
      </c>
      <c r="S616" t="s">
        <v>200</v>
      </c>
    </row>
    <row r="617" spans="1:19" x14ac:dyDescent="0.25">
      <c r="A617" t="s">
        <v>59</v>
      </c>
      <c r="B617" t="s">
        <v>60</v>
      </c>
      <c r="C617" t="s">
        <v>32</v>
      </c>
      <c r="D617" t="s">
        <v>33</v>
      </c>
      <c r="E617" t="s">
        <v>1292</v>
      </c>
      <c r="F617" t="s">
        <v>35</v>
      </c>
      <c r="G617" t="s">
        <v>35</v>
      </c>
      <c r="H617" t="s">
        <v>35</v>
      </c>
      <c r="J617" t="s">
        <v>1429</v>
      </c>
      <c r="K617" t="s">
        <v>1092</v>
      </c>
      <c r="M617">
        <v>2.65</v>
      </c>
      <c r="N617">
        <v>126</v>
      </c>
      <c r="O617" t="s">
        <v>38</v>
      </c>
      <c r="Q617" t="s">
        <v>68</v>
      </c>
      <c r="R617" t="s">
        <v>199</v>
      </c>
      <c r="S617" t="s">
        <v>200</v>
      </c>
    </row>
    <row r="618" spans="1:19" x14ac:dyDescent="0.25">
      <c r="A618" t="s">
        <v>59</v>
      </c>
      <c r="B618" t="s">
        <v>60</v>
      </c>
      <c r="C618" t="s">
        <v>32</v>
      </c>
      <c r="D618" t="s">
        <v>33</v>
      </c>
      <c r="E618" t="s">
        <v>1292</v>
      </c>
      <c r="F618" t="s">
        <v>35</v>
      </c>
      <c r="G618" t="s">
        <v>35</v>
      </c>
      <c r="H618" t="s">
        <v>35</v>
      </c>
      <c r="J618" t="s">
        <v>1429</v>
      </c>
      <c r="K618" t="s">
        <v>1092</v>
      </c>
      <c r="M618">
        <v>7</v>
      </c>
      <c r="N618">
        <v>58</v>
      </c>
      <c r="O618" t="s">
        <v>52</v>
      </c>
      <c r="Q618" t="s">
        <v>128</v>
      </c>
      <c r="R618" t="s">
        <v>199</v>
      </c>
      <c r="S618" t="s">
        <v>200</v>
      </c>
    </row>
    <row r="619" spans="1:19" x14ac:dyDescent="0.25">
      <c r="A619" t="s">
        <v>59</v>
      </c>
      <c r="B619" t="s">
        <v>31</v>
      </c>
      <c r="C619" t="s">
        <v>32</v>
      </c>
      <c r="D619" t="s">
        <v>33</v>
      </c>
      <c r="E619" t="s">
        <v>1292</v>
      </c>
      <c r="F619" t="s">
        <v>35</v>
      </c>
      <c r="G619" t="s">
        <v>35</v>
      </c>
      <c r="H619" t="s">
        <v>35</v>
      </c>
      <c r="J619" t="s">
        <v>1429</v>
      </c>
      <c r="K619" t="s">
        <v>1092</v>
      </c>
      <c r="M619">
        <v>0.99</v>
      </c>
      <c r="N619">
        <v>58</v>
      </c>
      <c r="O619" t="s">
        <v>52</v>
      </c>
      <c r="Q619" t="s">
        <v>128</v>
      </c>
      <c r="R619" t="s">
        <v>199</v>
      </c>
      <c r="S619" t="s">
        <v>200</v>
      </c>
    </row>
    <row r="620" spans="1:19" x14ac:dyDescent="0.25">
      <c r="A620" t="s">
        <v>59</v>
      </c>
      <c r="B620" t="s">
        <v>60</v>
      </c>
      <c r="C620" t="s">
        <v>32</v>
      </c>
      <c r="D620" t="s">
        <v>33</v>
      </c>
      <c r="E620" t="s">
        <v>2098</v>
      </c>
      <c r="F620" t="s">
        <v>35</v>
      </c>
      <c r="G620" t="s">
        <v>35</v>
      </c>
      <c r="H620" t="s">
        <v>35</v>
      </c>
      <c r="J620" t="s">
        <v>2100</v>
      </c>
      <c r="K620" t="s">
        <v>1092</v>
      </c>
      <c r="M620">
        <v>0.29499999999999998</v>
      </c>
      <c r="N620">
        <v>444</v>
      </c>
      <c r="O620" t="s">
        <v>294</v>
      </c>
      <c r="Q620" t="s">
        <v>2102</v>
      </c>
      <c r="R620" t="s">
        <v>199</v>
      </c>
      <c r="S620" t="s">
        <v>200</v>
      </c>
    </row>
    <row r="621" spans="1:19" x14ac:dyDescent="0.25">
      <c r="A621" t="s">
        <v>59</v>
      </c>
      <c r="B621" t="s">
        <v>31</v>
      </c>
      <c r="C621" t="s">
        <v>32</v>
      </c>
      <c r="D621" t="s">
        <v>33</v>
      </c>
      <c r="F621" t="s">
        <v>35</v>
      </c>
      <c r="G621" t="s">
        <v>35</v>
      </c>
      <c r="H621" t="s">
        <v>35</v>
      </c>
      <c r="J621" t="s">
        <v>2321</v>
      </c>
      <c r="K621" t="s">
        <v>1092</v>
      </c>
      <c r="M621">
        <v>1E-3</v>
      </c>
      <c r="N621">
        <v>1086</v>
      </c>
      <c r="O621" t="s">
        <v>575</v>
      </c>
      <c r="Q621" t="s">
        <v>1408</v>
      </c>
      <c r="R621" t="s">
        <v>199</v>
      </c>
      <c r="S621" t="s">
        <v>200</v>
      </c>
    </row>
    <row r="622" spans="1:19" x14ac:dyDescent="0.25">
      <c r="A622" t="s">
        <v>59</v>
      </c>
      <c r="B622" t="s">
        <v>60</v>
      </c>
      <c r="C622" t="s">
        <v>32</v>
      </c>
      <c r="D622" t="s">
        <v>33</v>
      </c>
      <c r="E622" t="s">
        <v>122</v>
      </c>
      <c r="F622" t="s">
        <v>35</v>
      </c>
      <c r="G622" t="s">
        <v>35</v>
      </c>
      <c r="H622" t="s">
        <v>35</v>
      </c>
      <c r="J622" t="s">
        <v>1741</v>
      </c>
      <c r="K622" t="s">
        <v>1092</v>
      </c>
      <c r="M622">
        <v>5.5</v>
      </c>
      <c r="N622">
        <v>93</v>
      </c>
      <c r="O622" t="s">
        <v>106</v>
      </c>
      <c r="Q622" t="s">
        <v>1112</v>
      </c>
      <c r="R622" t="s">
        <v>199</v>
      </c>
      <c r="S622" t="s">
        <v>200</v>
      </c>
    </row>
    <row r="623" spans="1:19" x14ac:dyDescent="0.25">
      <c r="A623" t="s">
        <v>59</v>
      </c>
      <c r="B623" t="s">
        <v>60</v>
      </c>
      <c r="C623" t="s">
        <v>32</v>
      </c>
      <c r="D623" t="s">
        <v>33</v>
      </c>
      <c r="E623" t="s">
        <v>122</v>
      </c>
      <c r="F623" t="s">
        <v>35</v>
      </c>
      <c r="G623" t="s">
        <v>35</v>
      </c>
      <c r="H623" t="s">
        <v>35</v>
      </c>
      <c r="J623" t="s">
        <v>1741</v>
      </c>
      <c r="K623" t="s">
        <v>1092</v>
      </c>
      <c r="M623">
        <v>1.35</v>
      </c>
      <c r="N623">
        <v>357</v>
      </c>
      <c r="O623" t="s">
        <v>5</v>
      </c>
      <c r="Q623" t="s">
        <v>1742</v>
      </c>
      <c r="R623" t="s">
        <v>199</v>
      </c>
      <c r="S623" t="s">
        <v>200</v>
      </c>
    </row>
    <row r="624" spans="1:19" x14ac:dyDescent="0.25">
      <c r="A624" t="s">
        <v>30</v>
      </c>
      <c r="B624" t="s">
        <v>31</v>
      </c>
      <c r="C624" t="s">
        <v>32</v>
      </c>
      <c r="D624" t="s">
        <v>33</v>
      </c>
      <c r="E624" t="s">
        <v>162</v>
      </c>
      <c r="F624" t="s">
        <v>35</v>
      </c>
      <c r="G624" t="s">
        <v>35</v>
      </c>
      <c r="H624" t="s">
        <v>35</v>
      </c>
      <c r="J624" t="s">
        <v>1862</v>
      </c>
      <c r="K624" t="s">
        <v>1092</v>
      </c>
      <c r="M624">
        <v>3.915</v>
      </c>
      <c r="N624">
        <v>39</v>
      </c>
      <c r="O624" t="s">
        <v>52</v>
      </c>
      <c r="Q624" t="s">
        <v>493</v>
      </c>
      <c r="R624" t="s">
        <v>199</v>
      </c>
      <c r="S624" t="s">
        <v>200</v>
      </c>
    </row>
    <row r="625" spans="1:19" x14ac:dyDescent="0.25">
      <c r="A625" t="s">
        <v>44</v>
      </c>
      <c r="B625" t="s">
        <v>3</v>
      </c>
      <c r="C625" t="s">
        <v>32</v>
      </c>
      <c r="D625" t="s">
        <v>33</v>
      </c>
      <c r="E625" t="s">
        <v>64</v>
      </c>
      <c r="F625" t="s">
        <v>35</v>
      </c>
      <c r="G625" t="s">
        <v>35</v>
      </c>
      <c r="H625" t="s">
        <v>35</v>
      </c>
      <c r="J625" t="s">
        <v>1206</v>
      </c>
      <c r="K625" t="s">
        <v>1092</v>
      </c>
      <c r="M625">
        <v>0.5</v>
      </c>
      <c r="N625">
        <v>47</v>
      </c>
      <c r="O625" t="s">
        <v>52</v>
      </c>
      <c r="Q625" t="s">
        <v>1207</v>
      </c>
      <c r="R625" t="s">
        <v>1208</v>
      </c>
      <c r="S625" t="s">
        <v>1209</v>
      </c>
    </row>
    <row r="626" spans="1:19" x14ac:dyDescent="0.25">
      <c r="A626" t="s">
        <v>59</v>
      </c>
      <c r="B626" t="s">
        <v>60</v>
      </c>
      <c r="C626" t="s">
        <v>32</v>
      </c>
      <c r="D626" t="s">
        <v>33</v>
      </c>
      <c r="E626" t="s">
        <v>204</v>
      </c>
      <c r="F626" t="s">
        <v>35</v>
      </c>
      <c r="G626" t="s">
        <v>35</v>
      </c>
      <c r="H626" t="s">
        <v>35</v>
      </c>
      <c r="J626" t="s">
        <v>2182</v>
      </c>
      <c r="K626" t="s">
        <v>1092</v>
      </c>
      <c r="M626">
        <v>0.2</v>
      </c>
      <c r="N626">
        <v>285</v>
      </c>
      <c r="O626" t="s">
        <v>5</v>
      </c>
      <c r="Q626" t="s">
        <v>1234</v>
      </c>
      <c r="R626" t="s">
        <v>1208</v>
      </c>
      <c r="S626" t="s">
        <v>1209</v>
      </c>
    </row>
    <row r="627" spans="1:19" x14ac:dyDescent="0.25">
      <c r="A627" t="s">
        <v>59</v>
      </c>
      <c r="B627" t="s">
        <v>31</v>
      </c>
      <c r="C627" t="s">
        <v>32</v>
      </c>
      <c r="D627" t="s">
        <v>33</v>
      </c>
      <c r="E627" t="s">
        <v>64</v>
      </c>
      <c r="F627" t="s">
        <v>35</v>
      </c>
      <c r="G627" t="s">
        <v>35</v>
      </c>
      <c r="H627" t="s">
        <v>35</v>
      </c>
      <c r="J627" t="s">
        <v>1215</v>
      </c>
      <c r="K627" t="s">
        <v>1092</v>
      </c>
      <c r="M627">
        <v>0.09</v>
      </c>
      <c r="N627">
        <v>92</v>
      </c>
      <c r="O627" t="s">
        <v>106</v>
      </c>
      <c r="Q627" t="s">
        <v>1216</v>
      </c>
      <c r="R627" t="s">
        <v>1208</v>
      </c>
      <c r="S627" t="s">
        <v>1209</v>
      </c>
    </row>
    <row r="628" spans="1:19" x14ac:dyDescent="0.25">
      <c r="A628" t="s">
        <v>59</v>
      </c>
      <c r="B628" t="s">
        <v>60</v>
      </c>
      <c r="C628" t="s">
        <v>32</v>
      </c>
      <c r="D628" t="s">
        <v>33</v>
      </c>
      <c r="E628" t="s">
        <v>204</v>
      </c>
      <c r="F628" t="s">
        <v>35</v>
      </c>
      <c r="G628" t="s">
        <v>35</v>
      </c>
      <c r="H628" t="s">
        <v>35</v>
      </c>
      <c r="J628" t="s">
        <v>2171</v>
      </c>
      <c r="K628" t="s">
        <v>1092</v>
      </c>
      <c r="M628">
        <v>0.4</v>
      </c>
      <c r="N628">
        <v>57</v>
      </c>
      <c r="O628" t="s">
        <v>52</v>
      </c>
      <c r="Q628" t="s">
        <v>381</v>
      </c>
      <c r="R628" t="s">
        <v>1208</v>
      </c>
      <c r="S628" t="s">
        <v>1209</v>
      </c>
    </row>
    <row r="629" spans="1:19" x14ac:dyDescent="0.25">
      <c r="A629" t="s">
        <v>59</v>
      </c>
      <c r="B629" t="s">
        <v>60</v>
      </c>
      <c r="C629" t="s">
        <v>32</v>
      </c>
      <c r="D629" t="s">
        <v>33</v>
      </c>
      <c r="F629" t="s">
        <v>35</v>
      </c>
      <c r="G629" t="s">
        <v>35</v>
      </c>
      <c r="H629" t="s">
        <v>35</v>
      </c>
      <c r="J629" t="s">
        <v>2202</v>
      </c>
      <c r="K629" t="s">
        <v>1092</v>
      </c>
      <c r="M629">
        <v>0.75</v>
      </c>
      <c r="N629">
        <v>92</v>
      </c>
      <c r="O629" t="s">
        <v>106</v>
      </c>
      <c r="Q629" t="s">
        <v>1216</v>
      </c>
      <c r="R629" t="s">
        <v>1208</v>
      </c>
      <c r="S629" t="s">
        <v>1209</v>
      </c>
    </row>
    <row r="630" spans="1:19" x14ac:dyDescent="0.25">
      <c r="A630" t="s">
        <v>59</v>
      </c>
      <c r="B630" t="s">
        <v>31</v>
      </c>
      <c r="C630" t="s">
        <v>32</v>
      </c>
      <c r="D630" t="s">
        <v>33</v>
      </c>
      <c r="F630" t="s">
        <v>35</v>
      </c>
      <c r="G630" t="s">
        <v>35</v>
      </c>
      <c r="H630" t="s">
        <v>35</v>
      </c>
      <c r="J630" t="s">
        <v>2202</v>
      </c>
      <c r="K630" t="s">
        <v>1092</v>
      </c>
      <c r="M630">
        <v>0.45</v>
      </c>
      <c r="N630">
        <v>92</v>
      </c>
      <c r="O630" t="s">
        <v>106</v>
      </c>
      <c r="Q630" t="s">
        <v>1216</v>
      </c>
      <c r="R630" t="s">
        <v>1208</v>
      </c>
      <c r="S630" t="s">
        <v>1209</v>
      </c>
    </row>
    <row r="631" spans="1:19" x14ac:dyDescent="0.25">
      <c r="A631" t="s">
        <v>44</v>
      </c>
      <c r="B631" t="s">
        <v>3</v>
      </c>
      <c r="C631" t="s">
        <v>32</v>
      </c>
      <c r="D631" t="s">
        <v>33</v>
      </c>
      <c r="E631" t="s">
        <v>64</v>
      </c>
      <c r="F631" t="s">
        <v>35</v>
      </c>
      <c r="G631" t="s">
        <v>35</v>
      </c>
      <c r="H631" t="s">
        <v>35</v>
      </c>
      <c r="J631" t="s">
        <v>1227</v>
      </c>
      <c r="K631" t="s">
        <v>1092</v>
      </c>
      <c r="M631">
        <v>0.5</v>
      </c>
      <c r="N631">
        <v>21</v>
      </c>
      <c r="O631" t="s">
        <v>46</v>
      </c>
      <c r="Q631" t="s">
        <v>176</v>
      </c>
      <c r="R631" t="s">
        <v>1208</v>
      </c>
      <c r="S631" t="s">
        <v>1209</v>
      </c>
    </row>
    <row r="632" spans="1:19" x14ac:dyDescent="0.25">
      <c r="A632" t="s">
        <v>44</v>
      </c>
      <c r="B632" t="s">
        <v>3</v>
      </c>
      <c r="C632" t="s">
        <v>32</v>
      </c>
      <c r="D632" t="s">
        <v>33</v>
      </c>
      <c r="E632" t="s">
        <v>64</v>
      </c>
      <c r="F632" t="s">
        <v>35</v>
      </c>
      <c r="G632" t="s">
        <v>35</v>
      </c>
      <c r="H632" t="s">
        <v>35</v>
      </c>
      <c r="J632" t="s">
        <v>1228</v>
      </c>
      <c r="K632" t="s">
        <v>1092</v>
      </c>
      <c r="M632">
        <v>1</v>
      </c>
      <c r="N632">
        <v>45</v>
      </c>
      <c r="O632" t="s">
        <v>52</v>
      </c>
      <c r="Q632" t="s">
        <v>1230</v>
      </c>
      <c r="R632" t="s">
        <v>1208</v>
      </c>
      <c r="S632" t="s">
        <v>1209</v>
      </c>
    </row>
    <row r="633" spans="1:19" x14ac:dyDescent="0.25">
      <c r="A633" t="s">
        <v>59</v>
      </c>
      <c r="B633" t="s">
        <v>60</v>
      </c>
      <c r="C633" t="s">
        <v>32</v>
      </c>
      <c r="D633" t="s">
        <v>33</v>
      </c>
      <c r="F633" t="s">
        <v>35</v>
      </c>
      <c r="G633" t="s">
        <v>35</v>
      </c>
      <c r="H633" t="s">
        <v>35</v>
      </c>
      <c r="J633" t="s">
        <v>2204</v>
      </c>
      <c r="K633" t="s">
        <v>1092</v>
      </c>
      <c r="M633">
        <v>0.749</v>
      </c>
      <c r="N633">
        <v>2482</v>
      </c>
      <c r="O633" t="s">
        <v>575</v>
      </c>
      <c r="Q633" t="s">
        <v>2205</v>
      </c>
      <c r="R633" t="s">
        <v>1208</v>
      </c>
      <c r="S633" t="s">
        <v>1209</v>
      </c>
    </row>
    <row r="634" spans="1:19" x14ac:dyDescent="0.25">
      <c r="A634" t="s">
        <v>30</v>
      </c>
      <c r="B634" t="s">
        <v>31</v>
      </c>
      <c r="C634" t="s">
        <v>32</v>
      </c>
      <c r="D634" t="s">
        <v>33</v>
      </c>
      <c r="F634" t="s">
        <v>35</v>
      </c>
      <c r="G634" t="s">
        <v>35</v>
      </c>
      <c r="H634" t="s">
        <v>35</v>
      </c>
      <c r="J634" t="s">
        <v>2204</v>
      </c>
      <c r="K634" t="s">
        <v>1092</v>
      </c>
      <c r="M634">
        <v>2.6749999999999998</v>
      </c>
      <c r="N634">
        <v>2482</v>
      </c>
      <c r="O634" t="s">
        <v>575</v>
      </c>
      <c r="Q634" t="s">
        <v>2205</v>
      </c>
      <c r="R634" t="s">
        <v>1208</v>
      </c>
      <c r="S634" t="s">
        <v>1209</v>
      </c>
    </row>
    <row r="635" spans="1:19" x14ac:dyDescent="0.25">
      <c r="A635" t="s">
        <v>44</v>
      </c>
      <c r="B635" t="s">
        <v>3</v>
      </c>
      <c r="C635" t="s">
        <v>32</v>
      </c>
      <c r="D635" t="s">
        <v>33</v>
      </c>
      <c r="E635" t="s">
        <v>204</v>
      </c>
      <c r="F635" t="s">
        <v>35</v>
      </c>
      <c r="G635" t="s">
        <v>35</v>
      </c>
      <c r="H635" t="s">
        <v>35</v>
      </c>
      <c r="J635" t="s">
        <v>2125</v>
      </c>
      <c r="K635" t="s">
        <v>1092</v>
      </c>
      <c r="M635">
        <v>0.5</v>
      </c>
      <c r="N635">
        <v>47</v>
      </c>
      <c r="O635" t="s">
        <v>52</v>
      </c>
      <c r="Q635" t="s">
        <v>1207</v>
      </c>
      <c r="R635" t="s">
        <v>1208</v>
      </c>
      <c r="S635" t="s">
        <v>1209</v>
      </c>
    </row>
    <row r="636" spans="1:19" x14ac:dyDescent="0.25">
      <c r="A636" t="s">
        <v>59</v>
      </c>
      <c r="B636" t="s">
        <v>60</v>
      </c>
      <c r="C636" t="s">
        <v>32</v>
      </c>
      <c r="D636" t="s">
        <v>33</v>
      </c>
      <c r="E636" t="s">
        <v>64</v>
      </c>
      <c r="F636" t="s">
        <v>35</v>
      </c>
      <c r="G636" t="s">
        <v>35</v>
      </c>
      <c r="H636" t="s">
        <v>35</v>
      </c>
      <c r="J636" t="s">
        <v>1232</v>
      </c>
      <c r="K636" t="s">
        <v>1092</v>
      </c>
      <c r="M636">
        <v>0.35</v>
      </c>
      <c r="N636">
        <v>62</v>
      </c>
      <c r="O636" t="s">
        <v>61</v>
      </c>
      <c r="Q636" t="s">
        <v>139</v>
      </c>
      <c r="R636" t="s">
        <v>1208</v>
      </c>
      <c r="S636" t="s">
        <v>1209</v>
      </c>
    </row>
    <row r="637" spans="1:19" x14ac:dyDescent="0.25">
      <c r="A637" t="s">
        <v>59</v>
      </c>
      <c r="B637" t="s">
        <v>60</v>
      </c>
      <c r="C637" t="s">
        <v>32</v>
      </c>
      <c r="D637" t="s">
        <v>33</v>
      </c>
      <c r="E637" t="s">
        <v>204</v>
      </c>
      <c r="F637" t="s">
        <v>35</v>
      </c>
      <c r="G637" t="s">
        <v>35</v>
      </c>
      <c r="H637" t="s">
        <v>35</v>
      </c>
      <c r="J637" t="s">
        <v>2129</v>
      </c>
      <c r="K637" t="s">
        <v>1092</v>
      </c>
      <c r="M637">
        <v>2</v>
      </c>
      <c r="N637">
        <v>92</v>
      </c>
      <c r="O637" t="s">
        <v>106</v>
      </c>
      <c r="Q637" t="s">
        <v>1216</v>
      </c>
      <c r="R637" t="s">
        <v>1208</v>
      </c>
      <c r="S637" t="s">
        <v>1209</v>
      </c>
    </row>
    <row r="638" spans="1:19" x14ac:dyDescent="0.25">
      <c r="A638" t="s">
        <v>44</v>
      </c>
      <c r="B638" t="s">
        <v>3</v>
      </c>
      <c r="C638" t="s">
        <v>32</v>
      </c>
      <c r="D638" t="s">
        <v>33</v>
      </c>
      <c r="E638" t="s">
        <v>64</v>
      </c>
      <c r="F638" t="s">
        <v>35</v>
      </c>
      <c r="G638" t="s">
        <v>35</v>
      </c>
      <c r="H638" t="s">
        <v>35</v>
      </c>
      <c r="J638" t="s">
        <v>1291</v>
      </c>
      <c r="K638" t="s">
        <v>1092</v>
      </c>
      <c r="M638">
        <v>0.15</v>
      </c>
      <c r="N638">
        <v>47</v>
      </c>
      <c r="O638" t="s">
        <v>52</v>
      </c>
      <c r="Q638" t="s">
        <v>1207</v>
      </c>
      <c r="R638" t="s">
        <v>1208</v>
      </c>
      <c r="S638" t="s">
        <v>1209</v>
      </c>
    </row>
    <row r="639" spans="1:19" x14ac:dyDescent="0.25">
      <c r="A639" t="s">
        <v>44</v>
      </c>
      <c r="B639" t="s">
        <v>3</v>
      </c>
      <c r="C639" t="s">
        <v>32</v>
      </c>
      <c r="D639" t="s">
        <v>33</v>
      </c>
      <c r="E639" t="s">
        <v>204</v>
      </c>
      <c r="F639" t="s">
        <v>35</v>
      </c>
      <c r="G639" t="s">
        <v>35</v>
      </c>
      <c r="H639" t="s">
        <v>35</v>
      </c>
      <c r="J639" t="s">
        <v>2131</v>
      </c>
      <c r="K639" t="s">
        <v>1092</v>
      </c>
      <c r="M639">
        <v>1</v>
      </c>
      <c r="N639">
        <v>21</v>
      </c>
      <c r="O639" t="s">
        <v>46</v>
      </c>
      <c r="Q639" t="s">
        <v>176</v>
      </c>
      <c r="R639" t="s">
        <v>1208</v>
      </c>
      <c r="S639" t="s">
        <v>1209</v>
      </c>
    </row>
    <row r="640" spans="1:19" x14ac:dyDescent="0.25">
      <c r="A640" t="s">
        <v>44</v>
      </c>
      <c r="B640" t="s">
        <v>51</v>
      </c>
      <c r="C640" t="s">
        <v>32</v>
      </c>
      <c r="D640" t="s">
        <v>33</v>
      </c>
      <c r="E640" t="s">
        <v>64</v>
      </c>
      <c r="F640" t="s">
        <v>35</v>
      </c>
      <c r="G640" t="s">
        <v>35</v>
      </c>
      <c r="H640" t="s">
        <v>35</v>
      </c>
      <c r="J640" t="s">
        <v>1243</v>
      </c>
      <c r="K640" t="s">
        <v>1092</v>
      </c>
      <c r="M640">
        <v>0.05</v>
      </c>
      <c r="N640">
        <v>812</v>
      </c>
      <c r="O640" t="s">
        <v>575</v>
      </c>
      <c r="Q640" t="s">
        <v>1244</v>
      </c>
      <c r="R640" t="s">
        <v>1208</v>
      </c>
      <c r="S640" t="s">
        <v>1209</v>
      </c>
    </row>
    <row r="641" spans="1:19" x14ac:dyDescent="0.25">
      <c r="A641" t="s">
        <v>59</v>
      </c>
      <c r="B641" t="s">
        <v>60</v>
      </c>
      <c r="C641" t="s">
        <v>32</v>
      </c>
      <c r="D641" t="s">
        <v>33</v>
      </c>
      <c r="E641" t="s">
        <v>204</v>
      </c>
      <c r="F641" t="s">
        <v>35</v>
      </c>
      <c r="G641" t="s">
        <v>35</v>
      </c>
      <c r="H641" t="s">
        <v>35</v>
      </c>
      <c r="J641" t="s">
        <v>2132</v>
      </c>
      <c r="K641" t="s">
        <v>1092</v>
      </c>
      <c r="M641">
        <v>0.25</v>
      </c>
      <c r="N641">
        <v>62</v>
      </c>
      <c r="O641" t="s">
        <v>61</v>
      </c>
      <c r="Q641" t="s">
        <v>139</v>
      </c>
      <c r="R641" t="s">
        <v>1208</v>
      </c>
      <c r="S641" t="s">
        <v>1209</v>
      </c>
    </row>
    <row r="642" spans="1:19" x14ac:dyDescent="0.25">
      <c r="A642" t="s">
        <v>44</v>
      </c>
      <c r="B642" t="s">
        <v>51</v>
      </c>
      <c r="C642" t="s">
        <v>32</v>
      </c>
      <c r="D642" t="s">
        <v>33</v>
      </c>
      <c r="E642" t="s">
        <v>204</v>
      </c>
      <c r="F642" t="s">
        <v>35</v>
      </c>
      <c r="G642" t="s">
        <v>35</v>
      </c>
      <c r="H642" t="s">
        <v>35</v>
      </c>
      <c r="J642" t="s">
        <v>2133</v>
      </c>
      <c r="K642" t="s">
        <v>1092</v>
      </c>
      <c r="M642">
        <v>0.2</v>
      </c>
      <c r="N642">
        <v>784</v>
      </c>
      <c r="O642" t="s">
        <v>575</v>
      </c>
      <c r="Q642" t="s">
        <v>2135</v>
      </c>
      <c r="R642" t="s">
        <v>1208</v>
      </c>
      <c r="S642" t="s">
        <v>1209</v>
      </c>
    </row>
    <row r="643" spans="1:19" x14ac:dyDescent="0.25">
      <c r="A643" t="s">
        <v>44</v>
      </c>
      <c r="B643" t="s">
        <v>3</v>
      </c>
      <c r="C643" t="s">
        <v>32</v>
      </c>
      <c r="D643" t="s">
        <v>33</v>
      </c>
      <c r="E643" t="s">
        <v>64</v>
      </c>
      <c r="F643" t="s">
        <v>35</v>
      </c>
      <c r="G643" t="s">
        <v>35</v>
      </c>
      <c r="H643" t="s">
        <v>35</v>
      </c>
      <c r="J643" t="s">
        <v>1270</v>
      </c>
      <c r="K643" t="s">
        <v>1092</v>
      </c>
      <c r="M643">
        <v>0.45</v>
      </c>
      <c r="N643">
        <v>425</v>
      </c>
      <c r="O643" t="s">
        <v>294</v>
      </c>
      <c r="Q643" t="s">
        <v>1271</v>
      </c>
      <c r="R643" t="s">
        <v>1208</v>
      </c>
      <c r="S643" t="s">
        <v>1209</v>
      </c>
    </row>
    <row r="644" spans="1:19" x14ac:dyDescent="0.25">
      <c r="A644" t="s">
        <v>44</v>
      </c>
      <c r="B644" t="s">
        <v>3</v>
      </c>
      <c r="C644" t="s">
        <v>32</v>
      </c>
      <c r="D644" t="s">
        <v>33</v>
      </c>
      <c r="E644" t="s">
        <v>204</v>
      </c>
      <c r="F644" t="s">
        <v>35</v>
      </c>
      <c r="G644" t="s">
        <v>35</v>
      </c>
      <c r="H644" t="s">
        <v>35</v>
      </c>
      <c r="J644" t="s">
        <v>2159</v>
      </c>
      <c r="K644" t="s">
        <v>1092</v>
      </c>
      <c r="M644">
        <v>1.5</v>
      </c>
      <c r="N644">
        <v>47</v>
      </c>
      <c r="O644" t="s">
        <v>52</v>
      </c>
      <c r="Q644" t="s">
        <v>1207</v>
      </c>
      <c r="R644" t="s">
        <v>1208</v>
      </c>
      <c r="S644" t="s">
        <v>1209</v>
      </c>
    </row>
    <row r="645" spans="1:19" x14ac:dyDescent="0.25">
      <c r="A645" t="s">
        <v>59</v>
      </c>
      <c r="B645" t="s">
        <v>60</v>
      </c>
      <c r="C645" t="s">
        <v>32</v>
      </c>
      <c r="D645" t="s">
        <v>33</v>
      </c>
      <c r="E645" t="s">
        <v>204</v>
      </c>
      <c r="F645" t="s">
        <v>35</v>
      </c>
      <c r="G645" t="s">
        <v>35</v>
      </c>
      <c r="H645" t="s">
        <v>35</v>
      </c>
      <c r="J645" t="s">
        <v>2159</v>
      </c>
      <c r="K645" t="s">
        <v>1092</v>
      </c>
      <c r="M645">
        <v>2</v>
      </c>
      <c r="N645">
        <v>92</v>
      </c>
      <c r="O645" t="s">
        <v>106</v>
      </c>
      <c r="Q645" t="s">
        <v>1216</v>
      </c>
      <c r="R645" t="s">
        <v>1208</v>
      </c>
      <c r="S645" t="s">
        <v>1209</v>
      </c>
    </row>
    <row r="646" spans="1:19" x14ac:dyDescent="0.25">
      <c r="A646" t="s">
        <v>44</v>
      </c>
      <c r="B646" t="s">
        <v>3</v>
      </c>
      <c r="C646" t="s">
        <v>32</v>
      </c>
      <c r="D646" t="s">
        <v>33</v>
      </c>
      <c r="E646" t="s">
        <v>204</v>
      </c>
      <c r="F646" t="s">
        <v>35</v>
      </c>
      <c r="G646" t="s">
        <v>35</v>
      </c>
      <c r="H646" t="s">
        <v>35</v>
      </c>
      <c r="J646" t="s">
        <v>2136</v>
      </c>
      <c r="K646" t="s">
        <v>1092</v>
      </c>
      <c r="M646">
        <v>0.75</v>
      </c>
      <c r="N646">
        <v>425</v>
      </c>
      <c r="O646" t="s">
        <v>294</v>
      </c>
      <c r="Q646" t="s">
        <v>1271</v>
      </c>
      <c r="R646" t="s">
        <v>1208</v>
      </c>
      <c r="S646" t="s">
        <v>1209</v>
      </c>
    </row>
    <row r="647" spans="1:19" x14ac:dyDescent="0.25">
      <c r="A647" t="s">
        <v>30</v>
      </c>
      <c r="B647" t="s">
        <v>31</v>
      </c>
      <c r="C647" t="s">
        <v>32</v>
      </c>
      <c r="D647" t="s">
        <v>33</v>
      </c>
      <c r="E647" t="s">
        <v>204</v>
      </c>
      <c r="F647" t="s">
        <v>35</v>
      </c>
      <c r="G647" t="s">
        <v>35</v>
      </c>
      <c r="H647" t="s">
        <v>35</v>
      </c>
      <c r="J647" t="s">
        <v>2172</v>
      </c>
      <c r="K647" t="s">
        <v>1092</v>
      </c>
      <c r="M647">
        <v>1.26</v>
      </c>
      <c r="N647">
        <v>40</v>
      </c>
      <c r="O647" t="s">
        <v>52</v>
      </c>
      <c r="Q647" t="s">
        <v>132</v>
      </c>
      <c r="R647" t="s">
        <v>1208</v>
      </c>
      <c r="S647" t="s">
        <v>1209</v>
      </c>
    </row>
    <row r="648" spans="1:19" x14ac:dyDescent="0.25">
      <c r="A648" t="s">
        <v>59</v>
      </c>
      <c r="B648" t="s">
        <v>60</v>
      </c>
      <c r="C648" t="s">
        <v>32</v>
      </c>
      <c r="D648" t="s">
        <v>33</v>
      </c>
      <c r="E648" t="s">
        <v>64</v>
      </c>
      <c r="F648" t="s">
        <v>35</v>
      </c>
      <c r="G648" t="s">
        <v>35</v>
      </c>
      <c r="H648" t="s">
        <v>35</v>
      </c>
      <c r="J648" t="s">
        <v>1265</v>
      </c>
      <c r="K648" t="s">
        <v>1092</v>
      </c>
      <c r="M648">
        <v>5.5</v>
      </c>
      <c r="N648">
        <v>92</v>
      </c>
      <c r="O648" t="s">
        <v>106</v>
      </c>
      <c r="Q648" t="s">
        <v>1216</v>
      </c>
      <c r="R648" t="s">
        <v>1208</v>
      </c>
      <c r="S648" t="s">
        <v>1209</v>
      </c>
    </row>
    <row r="649" spans="1:19" x14ac:dyDescent="0.25">
      <c r="A649" t="s">
        <v>59</v>
      </c>
      <c r="B649" t="s">
        <v>60</v>
      </c>
      <c r="C649" t="s">
        <v>32</v>
      </c>
      <c r="D649" t="s">
        <v>33</v>
      </c>
      <c r="E649" t="s">
        <v>204</v>
      </c>
      <c r="F649" t="s">
        <v>35</v>
      </c>
      <c r="G649" t="s">
        <v>35</v>
      </c>
      <c r="H649" t="s">
        <v>35</v>
      </c>
      <c r="J649" t="s">
        <v>2162</v>
      </c>
      <c r="K649" t="s">
        <v>1092</v>
      </c>
      <c r="M649">
        <v>2.5</v>
      </c>
      <c r="N649">
        <v>64</v>
      </c>
      <c r="O649" t="s">
        <v>61</v>
      </c>
      <c r="Q649" t="s">
        <v>102</v>
      </c>
      <c r="R649" t="s">
        <v>1208</v>
      </c>
      <c r="S649" t="s">
        <v>1209</v>
      </c>
    </row>
    <row r="650" spans="1:19" x14ac:dyDescent="0.25">
      <c r="A650" t="s">
        <v>59</v>
      </c>
      <c r="B650" t="s">
        <v>60</v>
      </c>
      <c r="C650" t="s">
        <v>32</v>
      </c>
      <c r="D650" t="s">
        <v>33</v>
      </c>
      <c r="E650" t="s">
        <v>204</v>
      </c>
      <c r="F650" t="s">
        <v>35</v>
      </c>
      <c r="G650" t="s">
        <v>35</v>
      </c>
      <c r="H650" t="s">
        <v>35</v>
      </c>
      <c r="J650" t="s">
        <v>2140</v>
      </c>
      <c r="K650" t="s">
        <v>1092</v>
      </c>
      <c r="M650">
        <v>2.8</v>
      </c>
      <c r="N650">
        <v>92</v>
      </c>
      <c r="O650" t="s">
        <v>106</v>
      </c>
      <c r="Q650" t="s">
        <v>1216</v>
      </c>
      <c r="R650" t="s">
        <v>1208</v>
      </c>
      <c r="S650" t="s">
        <v>1209</v>
      </c>
    </row>
    <row r="651" spans="1:19" x14ac:dyDescent="0.25">
      <c r="A651" t="s">
        <v>30</v>
      </c>
      <c r="B651" t="s">
        <v>31</v>
      </c>
      <c r="C651" t="s">
        <v>32</v>
      </c>
      <c r="D651" t="s">
        <v>33</v>
      </c>
      <c r="E651" t="s">
        <v>64</v>
      </c>
      <c r="F651" t="s">
        <v>35</v>
      </c>
      <c r="G651" t="s">
        <v>35</v>
      </c>
      <c r="H651" t="s">
        <v>35</v>
      </c>
      <c r="J651" t="s">
        <v>1254</v>
      </c>
      <c r="K651" t="s">
        <v>1092</v>
      </c>
      <c r="M651">
        <v>0.94499999999999995</v>
      </c>
      <c r="N651">
        <v>40</v>
      </c>
      <c r="O651" t="s">
        <v>52</v>
      </c>
      <c r="Q651" t="s">
        <v>132</v>
      </c>
      <c r="R651" t="s">
        <v>1208</v>
      </c>
      <c r="S651" t="s">
        <v>1209</v>
      </c>
    </row>
    <row r="652" spans="1:19" x14ac:dyDescent="0.25">
      <c r="A652" t="s">
        <v>59</v>
      </c>
      <c r="B652" t="s">
        <v>60</v>
      </c>
      <c r="C652" t="s">
        <v>32</v>
      </c>
      <c r="D652" t="s">
        <v>33</v>
      </c>
      <c r="E652" t="s">
        <v>204</v>
      </c>
      <c r="F652" t="s">
        <v>35</v>
      </c>
      <c r="G652" t="s">
        <v>35</v>
      </c>
      <c r="H652" t="s">
        <v>35</v>
      </c>
      <c r="J652" t="s">
        <v>2142</v>
      </c>
      <c r="K652" t="s">
        <v>1092</v>
      </c>
      <c r="M652">
        <v>2</v>
      </c>
      <c r="N652">
        <v>92</v>
      </c>
      <c r="O652" t="s">
        <v>106</v>
      </c>
      <c r="Q652" t="s">
        <v>1216</v>
      </c>
      <c r="R652" t="s">
        <v>1208</v>
      </c>
      <c r="S652" t="s">
        <v>1209</v>
      </c>
    </row>
    <row r="653" spans="1:19" x14ac:dyDescent="0.25">
      <c r="A653" t="s">
        <v>59</v>
      </c>
      <c r="B653" t="s">
        <v>60</v>
      </c>
      <c r="C653" t="s">
        <v>32</v>
      </c>
      <c r="D653" t="s">
        <v>33</v>
      </c>
      <c r="E653" t="s">
        <v>64</v>
      </c>
      <c r="F653" t="s">
        <v>35</v>
      </c>
      <c r="G653" t="s">
        <v>35</v>
      </c>
      <c r="H653" t="s">
        <v>35</v>
      </c>
      <c r="J653" t="s">
        <v>1276</v>
      </c>
      <c r="K653" t="s">
        <v>1092</v>
      </c>
      <c r="M653">
        <v>3.5000000000000003E-2</v>
      </c>
      <c r="N653">
        <v>181</v>
      </c>
      <c r="O653" t="s">
        <v>5</v>
      </c>
      <c r="Q653" t="s">
        <v>1277</v>
      </c>
      <c r="R653" t="s">
        <v>1208</v>
      </c>
      <c r="S653" t="s">
        <v>1209</v>
      </c>
    </row>
    <row r="654" spans="1:19" x14ac:dyDescent="0.25">
      <c r="A654" t="s">
        <v>44</v>
      </c>
      <c r="B654" t="s">
        <v>3</v>
      </c>
      <c r="C654" t="s">
        <v>32</v>
      </c>
      <c r="D654" t="s">
        <v>33</v>
      </c>
      <c r="E654" t="s">
        <v>64</v>
      </c>
      <c r="F654" t="s">
        <v>35</v>
      </c>
      <c r="G654" t="s">
        <v>35</v>
      </c>
      <c r="H654" t="s">
        <v>35</v>
      </c>
      <c r="J654" t="s">
        <v>1276</v>
      </c>
      <c r="K654" t="s">
        <v>1092</v>
      </c>
      <c r="M654">
        <v>1</v>
      </c>
      <c r="N654">
        <v>45</v>
      </c>
      <c r="O654" t="s">
        <v>52</v>
      </c>
      <c r="Q654" t="s">
        <v>1230</v>
      </c>
      <c r="R654" t="s">
        <v>1208</v>
      </c>
      <c r="S654" t="s">
        <v>1209</v>
      </c>
    </row>
    <row r="655" spans="1:19" x14ac:dyDescent="0.25">
      <c r="A655" t="s">
        <v>59</v>
      </c>
      <c r="B655" t="s">
        <v>60</v>
      </c>
      <c r="C655" t="s">
        <v>32</v>
      </c>
      <c r="D655" t="s">
        <v>33</v>
      </c>
      <c r="E655" t="s">
        <v>204</v>
      </c>
      <c r="F655" t="s">
        <v>35</v>
      </c>
      <c r="G655" t="s">
        <v>35</v>
      </c>
      <c r="H655" t="s">
        <v>35</v>
      </c>
      <c r="J655" t="s">
        <v>2149</v>
      </c>
      <c r="K655" t="s">
        <v>1092</v>
      </c>
      <c r="M655">
        <v>0.5</v>
      </c>
      <c r="N655">
        <v>62</v>
      </c>
      <c r="O655" t="s">
        <v>61</v>
      </c>
      <c r="Q655" t="s">
        <v>139</v>
      </c>
      <c r="R655" t="s">
        <v>1208</v>
      </c>
      <c r="S655" t="s">
        <v>1209</v>
      </c>
    </row>
    <row r="656" spans="1:19" x14ac:dyDescent="0.25">
      <c r="A656" t="s">
        <v>59</v>
      </c>
      <c r="B656" t="s">
        <v>60</v>
      </c>
      <c r="C656" t="s">
        <v>32</v>
      </c>
      <c r="D656" t="s">
        <v>33</v>
      </c>
      <c r="E656" t="s">
        <v>114</v>
      </c>
      <c r="F656" t="s">
        <v>35</v>
      </c>
      <c r="G656" t="s">
        <v>35</v>
      </c>
      <c r="H656" t="s">
        <v>35</v>
      </c>
      <c r="J656" t="s">
        <v>1608</v>
      </c>
      <c r="K656" t="s">
        <v>1092</v>
      </c>
      <c r="M656">
        <v>0.35</v>
      </c>
      <c r="N656">
        <v>55</v>
      </c>
      <c r="O656" t="s">
        <v>52</v>
      </c>
      <c r="Q656" t="s">
        <v>90</v>
      </c>
      <c r="R656" t="s">
        <v>1208</v>
      </c>
      <c r="S656" t="s">
        <v>1209</v>
      </c>
    </row>
    <row r="657" spans="1:19" x14ac:dyDescent="0.25">
      <c r="A657" t="s">
        <v>30</v>
      </c>
      <c r="B657" t="s">
        <v>31</v>
      </c>
      <c r="C657" t="s">
        <v>32</v>
      </c>
      <c r="D657" t="s">
        <v>33</v>
      </c>
      <c r="E657" t="s">
        <v>114</v>
      </c>
      <c r="F657" t="s">
        <v>35</v>
      </c>
      <c r="G657" t="s">
        <v>35</v>
      </c>
      <c r="H657" t="s">
        <v>35</v>
      </c>
      <c r="J657" t="s">
        <v>1608</v>
      </c>
      <c r="K657" t="s">
        <v>1092</v>
      </c>
      <c r="M657">
        <v>1.35</v>
      </c>
      <c r="N657">
        <v>33</v>
      </c>
      <c r="O657" t="s">
        <v>52</v>
      </c>
      <c r="Q657" t="s">
        <v>130</v>
      </c>
      <c r="R657" t="s">
        <v>1208</v>
      </c>
      <c r="S657" t="s">
        <v>1209</v>
      </c>
    </row>
    <row r="658" spans="1:19" x14ac:dyDescent="0.25">
      <c r="A658" t="s">
        <v>30</v>
      </c>
      <c r="B658" t="s">
        <v>31</v>
      </c>
      <c r="C658" t="s">
        <v>32</v>
      </c>
      <c r="D658" t="s">
        <v>33</v>
      </c>
      <c r="E658" t="s">
        <v>204</v>
      </c>
      <c r="F658" t="s">
        <v>35</v>
      </c>
      <c r="G658" t="s">
        <v>35</v>
      </c>
      <c r="H658" t="s">
        <v>35</v>
      </c>
      <c r="J658" t="s">
        <v>2163</v>
      </c>
      <c r="K658" t="s">
        <v>1092</v>
      </c>
      <c r="M658">
        <v>0.13500000000000001</v>
      </c>
      <c r="N658">
        <v>40</v>
      </c>
      <c r="O658" t="s">
        <v>52</v>
      </c>
      <c r="Q658" t="s">
        <v>132</v>
      </c>
      <c r="R658" t="s">
        <v>1208</v>
      </c>
      <c r="S658" t="s">
        <v>1209</v>
      </c>
    </row>
    <row r="659" spans="1:19" x14ac:dyDescent="0.25">
      <c r="A659" t="s">
        <v>44</v>
      </c>
      <c r="B659" t="s">
        <v>3</v>
      </c>
      <c r="C659" t="s">
        <v>32</v>
      </c>
      <c r="D659" t="s">
        <v>33</v>
      </c>
      <c r="E659" t="s">
        <v>204</v>
      </c>
      <c r="F659" t="s">
        <v>35</v>
      </c>
      <c r="G659" t="s">
        <v>35</v>
      </c>
      <c r="H659" t="s">
        <v>35</v>
      </c>
      <c r="J659" t="s">
        <v>2148</v>
      </c>
      <c r="K659" t="s">
        <v>1092</v>
      </c>
      <c r="M659">
        <v>1</v>
      </c>
      <c r="N659">
        <v>47</v>
      </c>
      <c r="O659" t="s">
        <v>52</v>
      </c>
      <c r="Q659" t="s">
        <v>1207</v>
      </c>
      <c r="R659" t="s">
        <v>1208</v>
      </c>
      <c r="S659" t="s">
        <v>1209</v>
      </c>
    </row>
    <row r="660" spans="1:19" x14ac:dyDescent="0.25">
      <c r="A660" t="s">
        <v>59</v>
      </c>
      <c r="B660" t="s">
        <v>60</v>
      </c>
      <c r="C660" t="s">
        <v>32</v>
      </c>
      <c r="D660" t="s">
        <v>33</v>
      </c>
      <c r="F660" t="s">
        <v>35</v>
      </c>
      <c r="G660" t="s">
        <v>35</v>
      </c>
      <c r="H660" t="s">
        <v>35</v>
      </c>
      <c r="J660" t="s">
        <v>2309</v>
      </c>
      <c r="K660" t="s">
        <v>1092</v>
      </c>
      <c r="M660">
        <v>1.35</v>
      </c>
      <c r="N660">
        <v>2265</v>
      </c>
      <c r="O660" t="s">
        <v>575</v>
      </c>
      <c r="Q660" t="s">
        <v>2310</v>
      </c>
      <c r="R660" t="s">
        <v>1395</v>
      </c>
      <c r="S660" t="s">
        <v>1396</v>
      </c>
    </row>
    <row r="661" spans="1:19" x14ac:dyDescent="0.25">
      <c r="A661" t="s">
        <v>59</v>
      </c>
      <c r="B661" t="s">
        <v>31</v>
      </c>
      <c r="C661" t="s">
        <v>32</v>
      </c>
      <c r="D661" t="s">
        <v>33</v>
      </c>
      <c r="F661" t="s">
        <v>35</v>
      </c>
      <c r="G661" t="s">
        <v>35</v>
      </c>
      <c r="H661" t="s">
        <v>35</v>
      </c>
      <c r="J661" t="s">
        <v>2309</v>
      </c>
      <c r="K661" t="s">
        <v>1092</v>
      </c>
      <c r="M661">
        <v>0.27</v>
      </c>
      <c r="N661">
        <v>2265</v>
      </c>
      <c r="O661" t="s">
        <v>575</v>
      </c>
      <c r="Q661" t="s">
        <v>2310</v>
      </c>
      <c r="R661" t="s">
        <v>1395</v>
      </c>
      <c r="S661" t="s">
        <v>1396</v>
      </c>
    </row>
    <row r="662" spans="1:19" x14ac:dyDescent="0.25">
      <c r="A662" t="s">
        <v>59</v>
      </c>
      <c r="B662" t="s">
        <v>60</v>
      </c>
      <c r="C662" t="s">
        <v>32</v>
      </c>
      <c r="D662" t="s">
        <v>33</v>
      </c>
      <c r="E662" t="s">
        <v>172</v>
      </c>
      <c r="F662" t="s">
        <v>35</v>
      </c>
      <c r="G662" t="s">
        <v>35</v>
      </c>
      <c r="H662" t="s">
        <v>35</v>
      </c>
      <c r="J662" t="s">
        <v>1978</v>
      </c>
      <c r="K662" t="s">
        <v>1092</v>
      </c>
      <c r="M662">
        <v>0.2</v>
      </c>
      <c r="N662">
        <v>221</v>
      </c>
      <c r="O662" t="s">
        <v>5</v>
      </c>
      <c r="Q662" t="s">
        <v>1979</v>
      </c>
      <c r="R662" t="s">
        <v>1395</v>
      </c>
      <c r="S662" t="s">
        <v>1396</v>
      </c>
    </row>
    <row r="663" spans="1:19" x14ac:dyDescent="0.25">
      <c r="A663" t="s">
        <v>59</v>
      </c>
      <c r="B663" t="s">
        <v>31</v>
      </c>
      <c r="C663" t="s">
        <v>32</v>
      </c>
      <c r="D663" t="s">
        <v>33</v>
      </c>
      <c r="F663" t="s">
        <v>35</v>
      </c>
      <c r="G663" t="s">
        <v>35</v>
      </c>
      <c r="H663" t="s">
        <v>35</v>
      </c>
      <c r="J663" t="s">
        <v>2332</v>
      </c>
      <c r="K663" t="s">
        <v>1092</v>
      </c>
      <c r="M663">
        <v>0.22500000000000001</v>
      </c>
      <c r="N663">
        <v>2322</v>
      </c>
      <c r="O663" t="s">
        <v>575</v>
      </c>
      <c r="Q663" t="s">
        <v>2333</v>
      </c>
      <c r="R663" t="s">
        <v>1395</v>
      </c>
      <c r="S663" t="s">
        <v>1396</v>
      </c>
    </row>
    <row r="664" spans="1:19" x14ac:dyDescent="0.25">
      <c r="A664" t="s">
        <v>59</v>
      </c>
      <c r="B664" t="s">
        <v>60</v>
      </c>
      <c r="C664" t="s">
        <v>32</v>
      </c>
      <c r="D664" t="s">
        <v>33</v>
      </c>
      <c r="F664" t="s">
        <v>35</v>
      </c>
      <c r="G664" t="s">
        <v>35</v>
      </c>
      <c r="H664" t="s">
        <v>35</v>
      </c>
      <c r="J664" t="s">
        <v>2332</v>
      </c>
      <c r="K664" t="s">
        <v>1092</v>
      </c>
      <c r="M664">
        <v>0.51</v>
      </c>
      <c r="N664">
        <v>2376</v>
      </c>
      <c r="O664" t="s">
        <v>575</v>
      </c>
      <c r="Q664" t="s">
        <v>2334</v>
      </c>
      <c r="R664" t="s">
        <v>1395</v>
      </c>
      <c r="S664" t="s">
        <v>1396</v>
      </c>
    </row>
    <row r="665" spans="1:19" x14ac:dyDescent="0.25">
      <c r="A665" t="s">
        <v>59</v>
      </c>
      <c r="B665" t="s">
        <v>60</v>
      </c>
      <c r="C665" t="s">
        <v>32</v>
      </c>
      <c r="D665" t="s">
        <v>33</v>
      </c>
      <c r="E665" t="s">
        <v>1292</v>
      </c>
      <c r="F665" t="s">
        <v>35</v>
      </c>
      <c r="G665" t="s">
        <v>35</v>
      </c>
      <c r="H665" t="s">
        <v>35</v>
      </c>
      <c r="J665" t="s">
        <v>1420</v>
      </c>
      <c r="K665" t="s">
        <v>1092</v>
      </c>
      <c r="M665">
        <v>0.65</v>
      </c>
      <c r="N665">
        <v>281</v>
      </c>
      <c r="O665" t="s">
        <v>5</v>
      </c>
      <c r="Q665" t="s">
        <v>1421</v>
      </c>
      <c r="R665" t="s">
        <v>1395</v>
      </c>
      <c r="S665" t="s">
        <v>1396</v>
      </c>
    </row>
    <row r="666" spans="1:19" x14ac:dyDescent="0.25">
      <c r="A666" t="s">
        <v>30</v>
      </c>
      <c r="B666" t="s">
        <v>31</v>
      </c>
      <c r="C666" t="s">
        <v>32</v>
      </c>
      <c r="D666" t="s">
        <v>33</v>
      </c>
      <c r="F666" t="s">
        <v>35</v>
      </c>
      <c r="G666" t="s">
        <v>35</v>
      </c>
      <c r="H666" t="s">
        <v>35</v>
      </c>
      <c r="J666" t="s">
        <v>2370</v>
      </c>
      <c r="K666" t="s">
        <v>1092</v>
      </c>
      <c r="M666">
        <v>0.09</v>
      </c>
      <c r="N666">
        <v>2250</v>
      </c>
      <c r="O666" t="s">
        <v>575</v>
      </c>
      <c r="Q666" t="s">
        <v>2371</v>
      </c>
      <c r="R666" t="s">
        <v>1395</v>
      </c>
      <c r="S666" t="s">
        <v>1396</v>
      </c>
    </row>
    <row r="667" spans="1:19" x14ac:dyDescent="0.25">
      <c r="A667" t="s">
        <v>59</v>
      </c>
      <c r="B667" t="s">
        <v>60</v>
      </c>
      <c r="C667" t="s">
        <v>32</v>
      </c>
      <c r="D667" t="s">
        <v>33</v>
      </c>
      <c r="F667" t="s">
        <v>35</v>
      </c>
      <c r="G667" t="s">
        <v>35</v>
      </c>
      <c r="H667" t="s">
        <v>35</v>
      </c>
      <c r="J667" t="s">
        <v>2370</v>
      </c>
      <c r="K667" t="s">
        <v>1092</v>
      </c>
      <c r="M667">
        <v>0.1</v>
      </c>
      <c r="N667">
        <v>2250</v>
      </c>
      <c r="O667" t="s">
        <v>575</v>
      </c>
      <c r="Q667" t="s">
        <v>2371</v>
      </c>
      <c r="R667" t="s">
        <v>1395</v>
      </c>
      <c r="S667" t="s">
        <v>1396</v>
      </c>
    </row>
    <row r="668" spans="1:19" x14ac:dyDescent="0.25">
      <c r="A668" t="s">
        <v>59</v>
      </c>
      <c r="B668" t="s">
        <v>60</v>
      </c>
      <c r="C668" t="s">
        <v>32</v>
      </c>
      <c r="D668" t="s">
        <v>33</v>
      </c>
      <c r="E668" t="s">
        <v>122</v>
      </c>
      <c r="F668" t="s">
        <v>35</v>
      </c>
      <c r="G668" t="s">
        <v>35</v>
      </c>
      <c r="H668" t="s">
        <v>35</v>
      </c>
      <c r="J668" t="s">
        <v>1776</v>
      </c>
      <c r="K668" t="s">
        <v>1092</v>
      </c>
      <c r="M668">
        <v>3.8</v>
      </c>
      <c r="N668">
        <v>206</v>
      </c>
      <c r="O668" t="s">
        <v>5</v>
      </c>
      <c r="Q668" t="s">
        <v>1298</v>
      </c>
      <c r="R668" t="s">
        <v>1395</v>
      </c>
      <c r="S668" t="s">
        <v>1396</v>
      </c>
    </row>
    <row r="669" spans="1:19" x14ac:dyDescent="0.25">
      <c r="A669" t="s">
        <v>59</v>
      </c>
      <c r="B669" t="s">
        <v>60</v>
      </c>
      <c r="C669" t="s">
        <v>32</v>
      </c>
      <c r="D669" t="s">
        <v>33</v>
      </c>
      <c r="E669" t="s">
        <v>1292</v>
      </c>
      <c r="F669" t="s">
        <v>35</v>
      </c>
      <c r="G669" t="s">
        <v>35</v>
      </c>
      <c r="H669" t="s">
        <v>35</v>
      </c>
      <c r="J669" t="s">
        <v>1424</v>
      </c>
      <c r="K669" t="s">
        <v>1092</v>
      </c>
      <c r="M669">
        <v>0.75</v>
      </c>
      <c r="N669">
        <v>252</v>
      </c>
      <c r="O669" t="s">
        <v>5</v>
      </c>
      <c r="Q669" t="s">
        <v>1425</v>
      </c>
      <c r="R669" t="s">
        <v>1395</v>
      </c>
      <c r="S669" t="s">
        <v>1396</v>
      </c>
    </row>
    <row r="670" spans="1:19" x14ac:dyDescent="0.25">
      <c r="A670" t="s">
        <v>59</v>
      </c>
      <c r="B670" t="s">
        <v>60</v>
      </c>
      <c r="C670" t="s">
        <v>32</v>
      </c>
      <c r="D670" t="s">
        <v>33</v>
      </c>
      <c r="E670" t="s">
        <v>122</v>
      </c>
      <c r="F670" t="s">
        <v>35</v>
      </c>
      <c r="G670" t="s">
        <v>35</v>
      </c>
      <c r="H670" t="s">
        <v>35</v>
      </c>
      <c r="J670" t="s">
        <v>1763</v>
      </c>
      <c r="K670" t="s">
        <v>1092</v>
      </c>
      <c r="M670">
        <v>1.25</v>
      </c>
      <c r="N670">
        <v>129</v>
      </c>
      <c r="O670" t="s">
        <v>38</v>
      </c>
      <c r="Q670" t="s">
        <v>157</v>
      </c>
      <c r="R670" t="s">
        <v>1395</v>
      </c>
      <c r="S670" t="s">
        <v>1396</v>
      </c>
    </row>
    <row r="671" spans="1:19" x14ac:dyDescent="0.25">
      <c r="A671" t="s">
        <v>59</v>
      </c>
      <c r="B671" t="s">
        <v>31</v>
      </c>
      <c r="C671" t="s">
        <v>32</v>
      </c>
      <c r="D671" t="s">
        <v>33</v>
      </c>
      <c r="E671" t="s">
        <v>122</v>
      </c>
      <c r="F671" t="s">
        <v>35</v>
      </c>
      <c r="G671" t="s">
        <v>35</v>
      </c>
      <c r="H671" t="s">
        <v>35</v>
      </c>
      <c r="J671" t="s">
        <v>1763</v>
      </c>
      <c r="K671" t="s">
        <v>1092</v>
      </c>
      <c r="M671">
        <v>4.5449999999999999</v>
      </c>
      <c r="N671">
        <v>530</v>
      </c>
      <c r="O671" t="s">
        <v>294</v>
      </c>
      <c r="Q671" t="s">
        <v>1388</v>
      </c>
      <c r="R671" t="s">
        <v>1395</v>
      </c>
      <c r="S671" t="s">
        <v>1396</v>
      </c>
    </row>
    <row r="672" spans="1:19" x14ac:dyDescent="0.25">
      <c r="A672" t="s">
        <v>59</v>
      </c>
      <c r="B672" t="s">
        <v>60</v>
      </c>
      <c r="C672" t="s">
        <v>32</v>
      </c>
      <c r="D672" t="s">
        <v>33</v>
      </c>
      <c r="E672" t="s">
        <v>1292</v>
      </c>
      <c r="F672" t="s">
        <v>35</v>
      </c>
      <c r="G672" t="s">
        <v>35</v>
      </c>
      <c r="H672" t="s">
        <v>35</v>
      </c>
      <c r="J672" t="s">
        <v>1394</v>
      </c>
      <c r="K672" t="s">
        <v>1092</v>
      </c>
      <c r="M672">
        <v>0.06</v>
      </c>
      <c r="N672">
        <v>224</v>
      </c>
      <c r="O672" t="s">
        <v>5</v>
      </c>
      <c r="Q672" t="s">
        <v>402</v>
      </c>
      <c r="R672" t="s">
        <v>1395</v>
      </c>
      <c r="S672" t="s">
        <v>1396</v>
      </c>
    </row>
    <row r="673" spans="1:19" x14ac:dyDescent="0.25">
      <c r="A673" t="s">
        <v>59</v>
      </c>
      <c r="B673" t="s">
        <v>60</v>
      </c>
      <c r="C673" t="s">
        <v>32</v>
      </c>
      <c r="D673" t="s">
        <v>33</v>
      </c>
      <c r="F673" t="s">
        <v>35</v>
      </c>
      <c r="G673" t="s">
        <v>35</v>
      </c>
      <c r="H673" t="s">
        <v>35</v>
      </c>
      <c r="J673" t="s">
        <v>2265</v>
      </c>
      <c r="K673" t="s">
        <v>1092</v>
      </c>
      <c r="M673">
        <v>0.5</v>
      </c>
      <c r="N673">
        <v>1289</v>
      </c>
      <c r="O673" t="s">
        <v>575</v>
      </c>
      <c r="Q673" t="s">
        <v>2266</v>
      </c>
      <c r="R673" t="s">
        <v>1395</v>
      </c>
      <c r="S673" t="s">
        <v>1396</v>
      </c>
    </row>
    <row r="674" spans="1:19" x14ac:dyDescent="0.25">
      <c r="A674" t="s">
        <v>59</v>
      </c>
      <c r="B674" t="s">
        <v>60</v>
      </c>
      <c r="C674" t="s">
        <v>32</v>
      </c>
      <c r="D674" t="s">
        <v>33</v>
      </c>
      <c r="E674" t="s">
        <v>1520</v>
      </c>
      <c r="F674" t="s">
        <v>35</v>
      </c>
      <c r="G674" t="s">
        <v>35</v>
      </c>
      <c r="H674" t="s">
        <v>35</v>
      </c>
      <c r="J674" t="s">
        <v>1554</v>
      </c>
      <c r="K674" t="s">
        <v>1092</v>
      </c>
      <c r="M674">
        <v>0.05</v>
      </c>
      <c r="N674">
        <v>217</v>
      </c>
      <c r="O674" t="s">
        <v>5</v>
      </c>
      <c r="Q674" t="s">
        <v>1150</v>
      </c>
      <c r="R674" t="s">
        <v>1555</v>
      </c>
      <c r="S674" t="s">
        <v>1556</v>
      </c>
    </row>
    <row r="675" spans="1:19" x14ac:dyDescent="0.25">
      <c r="A675" t="s">
        <v>59</v>
      </c>
      <c r="B675" t="s">
        <v>60</v>
      </c>
      <c r="C675" t="s">
        <v>32</v>
      </c>
      <c r="D675" t="s">
        <v>33</v>
      </c>
      <c r="E675" t="s">
        <v>177</v>
      </c>
      <c r="F675" t="s">
        <v>35</v>
      </c>
      <c r="G675" t="s">
        <v>35</v>
      </c>
      <c r="H675" t="s">
        <v>35</v>
      </c>
      <c r="J675" t="s">
        <v>2023</v>
      </c>
      <c r="K675" t="s">
        <v>404</v>
      </c>
      <c r="M675">
        <v>1.65</v>
      </c>
      <c r="N675">
        <v>90</v>
      </c>
      <c r="O675" t="s">
        <v>61</v>
      </c>
      <c r="Q675" t="s">
        <v>557</v>
      </c>
      <c r="R675" t="s">
        <v>2024</v>
      </c>
      <c r="S675" t="s">
        <v>2025</v>
      </c>
    </row>
    <row r="676" spans="1:19" x14ac:dyDescent="0.25">
      <c r="A676" t="s">
        <v>30</v>
      </c>
      <c r="B676" t="s">
        <v>31</v>
      </c>
      <c r="C676" t="s">
        <v>32</v>
      </c>
      <c r="D676" t="s">
        <v>33</v>
      </c>
      <c r="E676" t="s">
        <v>119</v>
      </c>
      <c r="F676" t="s">
        <v>35</v>
      </c>
      <c r="G676" t="s">
        <v>35</v>
      </c>
      <c r="H676" t="s">
        <v>35</v>
      </c>
      <c r="J676" t="s">
        <v>1626</v>
      </c>
      <c r="K676" t="s">
        <v>1092</v>
      </c>
      <c r="M676">
        <v>5.49</v>
      </c>
      <c r="N676">
        <v>38</v>
      </c>
      <c r="O676" t="s">
        <v>52</v>
      </c>
      <c r="Q676" t="s">
        <v>716</v>
      </c>
      <c r="R676" t="s">
        <v>1129</v>
      </c>
      <c r="S676" t="s">
        <v>1130</v>
      </c>
    </row>
    <row r="677" spans="1:19" x14ac:dyDescent="0.25">
      <c r="A677" t="s">
        <v>30</v>
      </c>
      <c r="B677" t="s">
        <v>31</v>
      </c>
      <c r="C677" t="s">
        <v>32</v>
      </c>
      <c r="D677" t="s">
        <v>33</v>
      </c>
      <c r="E677" t="s">
        <v>87</v>
      </c>
      <c r="F677" t="s">
        <v>35</v>
      </c>
      <c r="G677" t="s">
        <v>35</v>
      </c>
      <c r="H677" t="s">
        <v>35</v>
      </c>
      <c r="J677" t="s">
        <v>1437</v>
      </c>
      <c r="K677" t="s">
        <v>1092</v>
      </c>
      <c r="M677">
        <v>4.1399999999999997</v>
      </c>
      <c r="N677">
        <v>38</v>
      </c>
      <c r="O677" t="s">
        <v>52</v>
      </c>
      <c r="Q677" t="s">
        <v>716</v>
      </c>
      <c r="R677" t="s">
        <v>1129</v>
      </c>
      <c r="S677" t="s">
        <v>1130</v>
      </c>
    </row>
    <row r="678" spans="1:19" x14ac:dyDescent="0.25">
      <c r="A678" t="s">
        <v>59</v>
      </c>
      <c r="B678" t="s">
        <v>60</v>
      </c>
      <c r="C678" t="s">
        <v>32</v>
      </c>
      <c r="D678" t="s">
        <v>33</v>
      </c>
      <c r="E678" t="s">
        <v>64</v>
      </c>
      <c r="F678" t="s">
        <v>35</v>
      </c>
      <c r="G678" t="s">
        <v>35</v>
      </c>
      <c r="H678" t="s">
        <v>35</v>
      </c>
      <c r="J678" t="s">
        <v>1218</v>
      </c>
      <c r="K678" t="s">
        <v>1092</v>
      </c>
      <c r="M678">
        <v>0.6</v>
      </c>
      <c r="N678">
        <v>24</v>
      </c>
      <c r="O678" t="s">
        <v>46</v>
      </c>
      <c r="Q678" t="s">
        <v>972</v>
      </c>
      <c r="R678" t="s">
        <v>1129</v>
      </c>
      <c r="S678" t="s">
        <v>1130</v>
      </c>
    </row>
    <row r="679" spans="1:19" x14ac:dyDescent="0.25">
      <c r="A679" t="s">
        <v>59</v>
      </c>
      <c r="B679" t="s">
        <v>60</v>
      </c>
      <c r="C679" t="s">
        <v>32</v>
      </c>
      <c r="D679" t="s">
        <v>33</v>
      </c>
      <c r="E679" t="s">
        <v>64</v>
      </c>
      <c r="F679" t="s">
        <v>35</v>
      </c>
      <c r="G679" t="s">
        <v>35</v>
      </c>
      <c r="H679" t="s">
        <v>35</v>
      </c>
      <c r="J679" t="s">
        <v>1224</v>
      </c>
      <c r="K679" t="s">
        <v>1092</v>
      </c>
      <c r="M679">
        <v>1.05</v>
      </c>
      <c r="N679">
        <v>274</v>
      </c>
      <c r="O679" t="s">
        <v>5</v>
      </c>
      <c r="Q679" t="s">
        <v>1226</v>
      </c>
      <c r="R679" t="s">
        <v>1129</v>
      </c>
      <c r="S679" t="s">
        <v>1130</v>
      </c>
    </row>
    <row r="680" spans="1:19" x14ac:dyDescent="0.25">
      <c r="A680" t="s">
        <v>59</v>
      </c>
      <c r="B680" t="s">
        <v>60</v>
      </c>
      <c r="C680" t="s">
        <v>32</v>
      </c>
      <c r="D680" t="s">
        <v>33</v>
      </c>
      <c r="F680" t="s">
        <v>35</v>
      </c>
      <c r="G680" t="s">
        <v>35</v>
      </c>
      <c r="H680" t="s">
        <v>35</v>
      </c>
      <c r="J680" t="s">
        <v>2314</v>
      </c>
      <c r="K680" t="s">
        <v>1092</v>
      </c>
      <c r="M680">
        <v>0.1</v>
      </c>
      <c r="N680">
        <v>187</v>
      </c>
      <c r="O680" t="s">
        <v>5</v>
      </c>
      <c r="Q680" t="s">
        <v>2315</v>
      </c>
      <c r="R680" t="s">
        <v>1129</v>
      </c>
      <c r="S680" t="s">
        <v>1130</v>
      </c>
    </row>
    <row r="681" spans="1:19" x14ac:dyDescent="0.25">
      <c r="A681" t="s">
        <v>30</v>
      </c>
      <c r="B681" t="s">
        <v>31</v>
      </c>
      <c r="C681" t="s">
        <v>32</v>
      </c>
      <c r="D681" t="s">
        <v>33</v>
      </c>
      <c r="F681" t="s">
        <v>35</v>
      </c>
      <c r="G681" t="s">
        <v>35</v>
      </c>
      <c r="H681" t="s">
        <v>35</v>
      </c>
      <c r="J681" t="s">
        <v>2314</v>
      </c>
      <c r="K681" t="s">
        <v>1092</v>
      </c>
      <c r="M681">
        <v>0.13500000000000001</v>
      </c>
      <c r="N681">
        <v>159</v>
      </c>
      <c r="O681" t="s">
        <v>38</v>
      </c>
      <c r="Q681" t="s">
        <v>2316</v>
      </c>
      <c r="R681" t="s">
        <v>1129</v>
      </c>
      <c r="S681" t="s">
        <v>1130</v>
      </c>
    </row>
    <row r="682" spans="1:19" x14ac:dyDescent="0.25">
      <c r="A682" t="s">
        <v>59</v>
      </c>
      <c r="B682" t="s">
        <v>60</v>
      </c>
      <c r="C682" t="s">
        <v>32</v>
      </c>
      <c r="D682" t="s">
        <v>33</v>
      </c>
      <c r="F682" t="s">
        <v>35</v>
      </c>
      <c r="G682" t="s">
        <v>35</v>
      </c>
      <c r="H682" t="s">
        <v>35</v>
      </c>
      <c r="J682" t="s">
        <v>2314</v>
      </c>
      <c r="K682" t="s">
        <v>1092</v>
      </c>
      <c r="M682">
        <v>1</v>
      </c>
      <c r="N682">
        <v>24</v>
      </c>
      <c r="O682" t="s">
        <v>46</v>
      </c>
      <c r="Q682" t="s">
        <v>972</v>
      </c>
      <c r="R682" t="s">
        <v>1129</v>
      </c>
      <c r="S682" t="s">
        <v>1130</v>
      </c>
    </row>
    <row r="683" spans="1:19" x14ac:dyDescent="0.25">
      <c r="A683" t="s">
        <v>59</v>
      </c>
      <c r="B683" t="s">
        <v>31</v>
      </c>
      <c r="C683" t="s">
        <v>32</v>
      </c>
      <c r="D683" t="s">
        <v>33</v>
      </c>
      <c r="F683" t="s">
        <v>35</v>
      </c>
      <c r="G683" t="s">
        <v>35</v>
      </c>
      <c r="H683" t="s">
        <v>35</v>
      </c>
      <c r="J683" t="s">
        <v>2314</v>
      </c>
      <c r="K683" t="s">
        <v>1092</v>
      </c>
      <c r="M683">
        <v>4.4999999999999998E-2</v>
      </c>
      <c r="N683">
        <v>218</v>
      </c>
      <c r="O683" t="s">
        <v>5</v>
      </c>
      <c r="Q683" t="s">
        <v>1260</v>
      </c>
      <c r="R683" t="s">
        <v>1129</v>
      </c>
      <c r="S683" t="s">
        <v>1130</v>
      </c>
    </row>
    <row r="684" spans="1:19" x14ac:dyDescent="0.25">
      <c r="A684" t="s">
        <v>59</v>
      </c>
      <c r="B684" t="s">
        <v>60</v>
      </c>
      <c r="C684" t="s">
        <v>32</v>
      </c>
      <c r="D684" t="s">
        <v>33</v>
      </c>
      <c r="E684" t="s">
        <v>64</v>
      </c>
      <c r="F684" t="s">
        <v>35</v>
      </c>
      <c r="G684" t="s">
        <v>35</v>
      </c>
      <c r="H684" t="s">
        <v>35</v>
      </c>
      <c r="J684" t="s">
        <v>1237</v>
      </c>
      <c r="K684" t="s">
        <v>1092</v>
      </c>
      <c r="M684">
        <v>0.2</v>
      </c>
      <c r="N684">
        <v>369</v>
      </c>
      <c r="O684" t="s">
        <v>294</v>
      </c>
      <c r="Q684" t="s">
        <v>1238</v>
      </c>
      <c r="R684" t="s">
        <v>1129</v>
      </c>
      <c r="S684" t="s">
        <v>1130</v>
      </c>
    </row>
    <row r="685" spans="1:19" x14ac:dyDescent="0.25">
      <c r="A685" t="s">
        <v>30</v>
      </c>
      <c r="B685" t="s">
        <v>31</v>
      </c>
      <c r="C685" t="s">
        <v>32</v>
      </c>
      <c r="D685" t="s">
        <v>33</v>
      </c>
      <c r="E685" t="s">
        <v>64</v>
      </c>
      <c r="F685" t="s">
        <v>35</v>
      </c>
      <c r="G685" t="s">
        <v>35</v>
      </c>
      <c r="H685" t="s">
        <v>35</v>
      </c>
      <c r="J685" t="s">
        <v>1275</v>
      </c>
      <c r="K685" t="s">
        <v>1092</v>
      </c>
      <c r="M685">
        <v>0.54</v>
      </c>
      <c r="N685">
        <v>38</v>
      </c>
      <c r="O685" t="s">
        <v>52</v>
      </c>
      <c r="Q685" t="s">
        <v>716</v>
      </c>
      <c r="R685" t="s">
        <v>1129</v>
      </c>
      <c r="S685" t="s">
        <v>1130</v>
      </c>
    </row>
    <row r="686" spans="1:19" x14ac:dyDescent="0.25">
      <c r="A686" t="s">
        <v>59</v>
      </c>
      <c r="B686" t="s">
        <v>60</v>
      </c>
      <c r="C686" t="s">
        <v>32</v>
      </c>
      <c r="D686" t="s">
        <v>33</v>
      </c>
      <c r="E686" t="s">
        <v>64</v>
      </c>
      <c r="F686" t="s">
        <v>35</v>
      </c>
      <c r="G686" t="s">
        <v>35</v>
      </c>
      <c r="H686" t="s">
        <v>35</v>
      </c>
      <c r="J686" t="s">
        <v>1239</v>
      </c>
      <c r="K686" t="s">
        <v>1092</v>
      </c>
      <c r="M686">
        <v>0.4</v>
      </c>
      <c r="N686">
        <v>24</v>
      </c>
      <c r="O686" t="s">
        <v>46</v>
      </c>
      <c r="Q686" t="s">
        <v>972</v>
      </c>
      <c r="R686" t="s">
        <v>1129</v>
      </c>
      <c r="S686" t="s">
        <v>1130</v>
      </c>
    </row>
    <row r="687" spans="1:19" x14ac:dyDescent="0.25">
      <c r="A687" t="s">
        <v>59</v>
      </c>
      <c r="B687" t="s">
        <v>60</v>
      </c>
      <c r="C687" t="s">
        <v>32</v>
      </c>
      <c r="D687" t="s">
        <v>33</v>
      </c>
      <c r="E687" t="s">
        <v>34</v>
      </c>
      <c r="F687" t="s">
        <v>35</v>
      </c>
      <c r="G687" t="s">
        <v>35</v>
      </c>
      <c r="H687" t="s">
        <v>35</v>
      </c>
      <c r="J687" t="s">
        <v>1128</v>
      </c>
      <c r="K687" t="s">
        <v>1092</v>
      </c>
      <c r="M687">
        <v>0.9</v>
      </c>
      <c r="N687">
        <v>24</v>
      </c>
      <c r="O687" t="s">
        <v>46</v>
      </c>
      <c r="Q687" t="s">
        <v>972</v>
      </c>
      <c r="R687" t="s">
        <v>1129</v>
      </c>
      <c r="S687" t="s">
        <v>1130</v>
      </c>
    </row>
    <row r="688" spans="1:19" x14ac:dyDescent="0.25">
      <c r="A688" t="s">
        <v>59</v>
      </c>
      <c r="B688" t="s">
        <v>31</v>
      </c>
      <c r="C688" t="s">
        <v>32</v>
      </c>
      <c r="D688" t="s">
        <v>33</v>
      </c>
      <c r="E688" t="s">
        <v>64</v>
      </c>
      <c r="F688" t="s">
        <v>35</v>
      </c>
      <c r="G688" t="s">
        <v>35</v>
      </c>
      <c r="H688" t="s">
        <v>35</v>
      </c>
      <c r="J688" t="s">
        <v>1259</v>
      </c>
      <c r="K688" t="s">
        <v>1092</v>
      </c>
      <c r="M688">
        <v>0.09</v>
      </c>
      <c r="N688">
        <v>218</v>
      </c>
      <c r="O688" t="s">
        <v>5</v>
      </c>
      <c r="Q688" t="s">
        <v>1260</v>
      </c>
      <c r="R688" t="s">
        <v>1129</v>
      </c>
      <c r="S688" t="s">
        <v>1130</v>
      </c>
    </row>
    <row r="689" spans="1:19" x14ac:dyDescent="0.25">
      <c r="A689" t="s">
        <v>59</v>
      </c>
      <c r="B689" t="s">
        <v>31</v>
      </c>
      <c r="C689" t="s">
        <v>32</v>
      </c>
      <c r="D689" t="s">
        <v>33</v>
      </c>
      <c r="E689" t="s">
        <v>1520</v>
      </c>
      <c r="F689" t="s">
        <v>35</v>
      </c>
      <c r="G689" t="s">
        <v>35</v>
      </c>
      <c r="H689" t="s">
        <v>35</v>
      </c>
      <c r="J689" t="s">
        <v>1568</v>
      </c>
      <c r="K689" t="s">
        <v>1092</v>
      </c>
      <c r="M689">
        <v>5.04</v>
      </c>
      <c r="N689">
        <v>184</v>
      </c>
      <c r="O689" t="s">
        <v>5</v>
      </c>
      <c r="Q689" t="s">
        <v>1569</v>
      </c>
      <c r="R689" t="s">
        <v>1570</v>
      </c>
      <c r="S689" t="s">
        <v>1571</v>
      </c>
    </row>
    <row r="690" spans="1:19" x14ac:dyDescent="0.25">
      <c r="A690" t="s">
        <v>59</v>
      </c>
      <c r="B690" t="s">
        <v>60</v>
      </c>
      <c r="C690" t="s">
        <v>32</v>
      </c>
      <c r="D690" t="s">
        <v>33</v>
      </c>
      <c r="E690" t="s">
        <v>64</v>
      </c>
      <c r="F690" t="s">
        <v>35</v>
      </c>
      <c r="G690" t="s">
        <v>35</v>
      </c>
      <c r="H690" t="s">
        <v>35</v>
      </c>
      <c r="J690" t="s">
        <v>65</v>
      </c>
      <c r="K690" t="s">
        <v>37</v>
      </c>
      <c r="M690">
        <v>1.4</v>
      </c>
      <c r="N690">
        <v>149</v>
      </c>
      <c r="O690" t="s">
        <v>38</v>
      </c>
      <c r="P690" t="s">
        <v>74</v>
      </c>
      <c r="Q690" t="s">
        <v>75</v>
      </c>
      <c r="R690" t="s">
        <v>76</v>
      </c>
      <c r="S690" t="s">
        <v>77</v>
      </c>
    </row>
    <row r="691" spans="1:19" x14ac:dyDescent="0.25">
      <c r="A691" t="s">
        <v>59</v>
      </c>
      <c r="B691" t="s">
        <v>60</v>
      </c>
      <c r="C691" t="s">
        <v>32</v>
      </c>
      <c r="D691" t="s">
        <v>33</v>
      </c>
      <c r="E691" t="s">
        <v>122</v>
      </c>
      <c r="F691" t="s">
        <v>35</v>
      </c>
      <c r="G691" t="s">
        <v>35</v>
      </c>
      <c r="H691" t="s">
        <v>35</v>
      </c>
      <c r="J691" t="s">
        <v>1655</v>
      </c>
      <c r="K691" t="s">
        <v>1092</v>
      </c>
      <c r="M691">
        <v>0.6</v>
      </c>
      <c r="N691">
        <v>123</v>
      </c>
      <c r="O691" t="s">
        <v>38</v>
      </c>
      <c r="Q691" t="s">
        <v>1656</v>
      </c>
      <c r="R691" t="s">
        <v>1376</v>
      </c>
      <c r="S691" t="s">
        <v>154</v>
      </c>
    </row>
    <row r="692" spans="1:19" x14ac:dyDescent="0.25">
      <c r="A692" t="s">
        <v>44</v>
      </c>
      <c r="B692" t="s">
        <v>3</v>
      </c>
      <c r="C692" t="s">
        <v>32</v>
      </c>
      <c r="D692" t="s">
        <v>33</v>
      </c>
      <c r="E692" t="s">
        <v>1292</v>
      </c>
      <c r="F692" t="s">
        <v>35</v>
      </c>
      <c r="G692" t="s">
        <v>35</v>
      </c>
      <c r="H692" t="s">
        <v>35</v>
      </c>
      <c r="J692" t="s">
        <v>1374</v>
      </c>
      <c r="K692" t="s">
        <v>1092</v>
      </c>
      <c r="M692">
        <v>1.7000000000000001E-2</v>
      </c>
      <c r="N692">
        <v>344</v>
      </c>
      <c r="O692" t="s">
        <v>5</v>
      </c>
      <c r="Q692" t="s">
        <v>1375</v>
      </c>
      <c r="R692" t="s">
        <v>1376</v>
      </c>
      <c r="S692" t="s">
        <v>154</v>
      </c>
    </row>
    <row r="693" spans="1:19" x14ac:dyDescent="0.25">
      <c r="A693" t="s">
        <v>30</v>
      </c>
      <c r="B693" t="s">
        <v>31</v>
      </c>
      <c r="C693" t="s">
        <v>32</v>
      </c>
      <c r="D693" t="s">
        <v>33</v>
      </c>
      <c r="F693" t="s">
        <v>35</v>
      </c>
      <c r="G693" t="s">
        <v>35</v>
      </c>
      <c r="H693" t="s">
        <v>35</v>
      </c>
      <c r="J693" t="s">
        <v>2373</v>
      </c>
      <c r="K693" t="s">
        <v>1092</v>
      </c>
      <c r="M693">
        <v>0.9</v>
      </c>
      <c r="N693">
        <v>2249</v>
      </c>
      <c r="O693" t="s">
        <v>575</v>
      </c>
      <c r="Q693" t="s">
        <v>2374</v>
      </c>
      <c r="R693" t="s">
        <v>2323</v>
      </c>
      <c r="S693" t="s">
        <v>2324</v>
      </c>
    </row>
    <row r="694" spans="1:19" x14ac:dyDescent="0.25">
      <c r="A694" t="s">
        <v>59</v>
      </c>
      <c r="B694" t="s">
        <v>60</v>
      </c>
      <c r="C694" t="s">
        <v>32</v>
      </c>
      <c r="D694" t="s">
        <v>33</v>
      </c>
      <c r="F694" t="s">
        <v>35</v>
      </c>
      <c r="G694" t="s">
        <v>35</v>
      </c>
      <c r="H694" t="s">
        <v>35</v>
      </c>
      <c r="J694" t="s">
        <v>2373</v>
      </c>
      <c r="K694" t="s">
        <v>1092</v>
      </c>
      <c r="M694">
        <v>0.5</v>
      </c>
      <c r="N694">
        <v>2128</v>
      </c>
      <c r="O694" t="s">
        <v>575</v>
      </c>
      <c r="Q694" t="s">
        <v>2375</v>
      </c>
      <c r="R694" t="s">
        <v>2323</v>
      </c>
      <c r="S694" t="s">
        <v>2324</v>
      </c>
    </row>
    <row r="695" spans="1:19" x14ac:dyDescent="0.25">
      <c r="A695" t="s">
        <v>59</v>
      </c>
      <c r="B695" t="s">
        <v>31</v>
      </c>
      <c r="C695" t="s">
        <v>32</v>
      </c>
      <c r="D695" t="s">
        <v>33</v>
      </c>
      <c r="F695" t="s">
        <v>35</v>
      </c>
      <c r="G695" t="s">
        <v>35</v>
      </c>
      <c r="H695" t="s">
        <v>35</v>
      </c>
      <c r="J695" t="s">
        <v>2373</v>
      </c>
      <c r="K695" t="s">
        <v>1092</v>
      </c>
      <c r="M695">
        <v>0.9</v>
      </c>
      <c r="N695">
        <v>2128</v>
      </c>
      <c r="O695" t="s">
        <v>575</v>
      </c>
      <c r="Q695" t="s">
        <v>2375</v>
      </c>
      <c r="R695" t="s">
        <v>2323</v>
      </c>
      <c r="S695" t="s">
        <v>2324</v>
      </c>
    </row>
    <row r="696" spans="1:19" x14ac:dyDescent="0.25">
      <c r="A696" t="s">
        <v>59</v>
      </c>
      <c r="B696" t="s">
        <v>60</v>
      </c>
      <c r="C696" t="s">
        <v>32</v>
      </c>
      <c r="D696" t="s">
        <v>33</v>
      </c>
      <c r="F696" t="s">
        <v>35</v>
      </c>
      <c r="G696" t="s">
        <v>35</v>
      </c>
      <c r="H696" t="s">
        <v>35</v>
      </c>
      <c r="J696" t="s">
        <v>2327</v>
      </c>
      <c r="K696" t="s">
        <v>1092</v>
      </c>
      <c r="M696">
        <v>2</v>
      </c>
      <c r="N696">
        <v>2449</v>
      </c>
      <c r="O696" t="s">
        <v>575</v>
      </c>
      <c r="Q696" t="s">
        <v>2328</v>
      </c>
      <c r="R696" t="s">
        <v>2323</v>
      </c>
      <c r="S696" t="s">
        <v>2324</v>
      </c>
    </row>
    <row r="697" spans="1:19" x14ac:dyDescent="0.25">
      <c r="A697" t="s">
        <v>59</v>
      </c>
      <c r="B697" t="s">
        <v>60</v>
      </c>
      <c r="C697" t="s">
        <v>32</v>
      </c>
      <c r="D697" t="s">
        <v>33</v>
      </c>
      <c r="F697" t="s">
        <v>35</v>
      </c>
      <c r="G697" t="s">
        <v>35</v>
      </c>
      <c r="H697" t="s">
        <v>35</v>
      </c>
      <c r="J697" t="s">
        <v>2327</v>
      </c>
      <c r="K697" t="s">
        <v>1092</v>
      </c>
      <c r="M697">
        <v>2</v>
      </c>
      <c r="N697">
        <v>2445</v>
      </c>
      <c r="O697" t="s">
        <v>575</v>
      </c>
      <c r="Q697" t="s">
        <v>2329</v>
      </c>
      <c r="R697" t="s">
        <v>2323</v>
      </c>
      <c r="S697" t="s">
        <v>2324</v>
      </c>
    </row>
    <row r="698" spans="1:19" x14ac:dyDescent="0.25">
      <c r="A698" t="s">
        <v>30</v>
      </c>
      <c r="B698" t="s">
        <v>31</v>
      </c>
      <c r="C698" t="s">
        <v>32</v>
      </c>
      <c r="D698" t="s">
        <v>33</v>
      </c>
      <c r="F698" t="s">
        <v>35</v>
      </c>
      <c r="G698" t="s">
        <v>35</v>
      </c>
      <c r="H698" t="s">
        <v>35</v>
      </c>
      <c r="J698" t="s">
        <v>2327</v>
      </c>
      <c r="K698" t="s">
        <v>1092</v>
      </c>
      <c r="M698">
        <v>2.25</v>
      </c>
      <c r="N698">
        <v>2348</v>
      </c>
      <c r="O698" t="s">
        <v>575</v>
      </c>
      <c r="Q698" t="s">
        <v>2330</v>
      </c>
      <c r="R698" t="s">
        <v>2323</v>
      </c>
      <c r="S698" t="s">
        <v>2324</v>
      </c>
    </row>
    <row r="699" spans="1:19" x14ac:dyDescent="0.25">
      <c r="A699" t="s">
        <v>59</v>
      </c>
      <c r="B699" t="s">
        <v>60</v>
      </c>
      <c r="C699" t="s">
        <v>32</v>
      </c>
      <c r="D699" t="s">
        <v>33</v>
      </c>
      <c r="F699" t="s">
        <v>35</v>
      </c>
      <c r="G699" t="s">
        <v>35</v>
      </c>
      <c r="H699" t="s">
        <v>35</v>
      </c>
      <c r="J699" t="s">
        <v>2327</v>
      </c>
      <c r="K699" t="s">
        <v>1092</v>
      </c>
      <c r="M699">
        <v>0.25</v>
      </c>
      <c r="N699">
        <v>2489</v>
      </c>
      <c r="O699" t="s">
        <v>575</v>
      </c>
      <c r="Q699" t="s">
        <v>2331</v>
      </c>
      <c r="R699" t="s">
        <v>2323</v>
      </c>
      <c r="S699" t="s">
        <v>2324</v>
      </c>
    </row>
    <row r="700" spans="1:19" x14ac:dyDescent="0.25">
      <c r="A700" t="s">
        <v>59</v>
      </c>
      <c r="B700" t="s">
        <v>60</v>
      </c>
      <c r="C700" t="s">
        <v>32</v>
      </c>
      <c r="D700" t="s">
        <v>33</v>
      </c>
      <c r="F700" t="s">
        <v>35</v>
      </c>
      <c r="G700" t="s">
        <v>35</v>
      </c>
      <c r="H700" t="s">
        <v>35</v>
      </c>
      <c r="J700" t="s">
        <v>2321</v>
      </c>
      <c r="K700" t="s">
        <v>1092</v>
      </c>
      <c r="M700">
        <v>1E-3</v>
      </c>
      <c r="N700">
        <v>1851</v>
      </c>
      <c r="O700" t="s">
        <v>575</v>
      </c>
      <c r="Q700" t="s">
        <v>2322</v>
      </c>
      <c r="R700" t="s">
        <v>2323</v>
      </c>
      <c r="S700" t="s">
        <v>2324</v>
      </c>
    </row>
    <row r="701" spans="1:19" x14ac:dyDescent="0.25">
      <c r="A701" t="s">
        <v>30</v>
      </c>
      <c r="B701" t="s">
        <v>31</v>
      </c>
      <c r="C701" t="s">
        <v>32</v>
      </c>
      <c r="D701" t="s">
        <v>33</v>
      </c>
      <c r="F701" t="s">
        <v>35</v>
      </c>
      <c r="G701" t="s">
        <v>35</v>
      </c>
      <c r="H701" t="s">
        <v>35</v>
      </c>
      <c r="J701" t="s">
        <v>2321</v>
      </c>
      <c r="K701" t="s">
        <v>1092</v>
      </c>
      <c r="M701">
        <v>1E-3</v>
      </c>
      <c r="N701">
        <v>1851</v>
      </c>
      <c r="O701" t="s">
        <v>575</v>
      </c>
      <c r="Q701" t="s">
        <v>2322</v>
      </c>
      <c r="R701" t="s">
        <v>2323</v>
      </c>
      <c r="S701" t="s">
        <v>2324</v>
      </c>
    </row>
    <row r="702" spans="1:19" x14ac:dyDescent="0.25">
      <c r="A702" t="s">
        <v>59</v>
      </c>
      <c r="B702" t="s">
        <v>60</v>
      </c>
      <c r="C702" t="s">
        <v>32</v>
      </c>
      <c r="D702" t="s">
        <v>33</v>
      </c>
      <c r="E702" t="s">
        <v>1520</v>
      </c>
      <c r="F702" t="s">
        <v>35</v>
      </c>
      <c r="G702" t="s">
        <v>35</v>
      </c>
      <c r="H702" t="s">
        <v>35</v>
      </c>
      <c r="J702" t="s">
        <v>1541</v>
      </c>
      <c r="K702" t="s">
        <v>1092</v>
      </c>
      <c r="M702">
        <v>0.5</v>
      </c>
      <c r="N702">
        <v>60</v>
      </c>
      <c r="O702" t="s">
        <v>52</v>
      </c>
      <c r="Q702" t="s">
        <v>1311</v>
      </c>
      <c r="R702" t="s">
        <v>1102</v>
      </c>
      <c r="S702" t="s">
        <v>105</v>
      </c>
    </row>
    <row r="703" spans="1:19" x14ac:dyDescent="0.25">
      <c r="A703" t="s">
        <v>59</v>
      </c>
      <c r="B703" t="s">
        <v>60</v>
      </c>
      <c r="C703" t="s">
        <v>32</v>
      </c>
      <c r="D703" t="s">
        <v>33</v>
      </c>
      <c r="E703" t="s">
        <v>87</v>
      </c>
      <c r="F703" t="s">
        <v>35</v>
      </c>
      <c r="G703" t="s">
        <v>35</v>
      </c>
      <c r="H703" t="s">
        <v>35</v>
      </c>
      <c r="J703" t="s">
        <v>1461</v>
      </c>
      <c r="K703" t="s">
        <v>1092</v>
      </c>
      <c r="M703">
        <v>0.2</v>
      </c>
      <c r="N703">
        <v>48</v>
      </c>
      <c r="O703" t="s">
        <v>52</v>
      </c>
      <c r="Q703" t="s">
        <v>518</v>
      </c>
      <c r="R703" t="s">
        <v>1102</v>
      </c>
      <c r="S703" t="s">
        <v>105</v>
      </c>
    </row>
    <row r="704" spans="1:19" x14ac:dyDescent="0.25">
      <c r="A704" t="s">
        <v>59</v>
      </c>
      <c r="B704" t="s">
        <v>60</v>
      </c>
      <c r="C704" t="s">
        <v>32</v>
      </c>
      <c r="D704" t="s">
        <v>33</v>
      </c>
      <c r="E704" t="s">
        <v>34</v>
      </c>
      <c r="F704" t="s">
        <v>35</v>
      </c>
      <c r="G704" t="s">
        <v>35</v>
      </c>
      <c r="H704" t="s">
        <v>35</v>
      </c>
      <c r="J704" t="s">
        <v>1101</v>
      </c>
      <c r="K704" t="s">
        <v>1092</v>
      </c>
      <c r="M704">
        <v>1</v>
      </c>
      <c r="N704">
        <v>37</v>
      </c>
      <c r="O704" t="s">
        <v>52</v>
      </c>
      <c r="Q704" t="s">
        <v>192</v>
      </c>
      <c r="R704" t="s">
        <v>1102</v>
      </c>
      <c r="S704" t="s">
        <v>105</v>
      </c>
    </row>
    <row r="705" spans="1:19" x14ac:dyDescent="0.25">
      <c r="A705" t="s">
        <v>59</v>
      </c>
      <c r="B705" t="s">
        <v>60</v>
      </c>
      <c r="C705" t="s">
        <v>32</v>
      </c>
      <c r="D705" t="s">
        <v>33</v>
      </c>
      <c r="E705" t="s">
        <v>87</v>
      </c>
      <c r="F705" t="s">
        <v>35</v>
      </c>
      <c r="G705" t="s">
        <v>35</v>
      </c>
      <c r="H705" t="s">
        <v>35</v>
      </c>
      <c r="J705" t="s">
        <v>1431</v>
      </c>
      <c r="K705" t="s">
        <v>1092</v>
      </c>
      <c r="M705">
        <v>0.7</v>
      </c>
      <c r="N705">
        <v>60</v>
      </c>
      <c r="O705" t="s">
        <v>52</v>
      </c>
      <c r="Q705" t="s">
        <v>1311</v>
      </c>
      <c r="R705" t="s">
        <v>1102</v>
      </c>
      <c r="S705" t="s">
        <v>105</v>
      </c>
    </row>
    <row r="706" spans="1:19" x14ac:dyDescent="0.25">
      <c r="A706" t="s">
        <v>59</v>
      </c>
      <c r="B706" t="s">
        <v>60</v>
      </c>
      <c r="C706" t="s">
        <v>32</v>
      </c>
      <c r="D706" t="s">
        <v>33</v>
      </c>
      <c r="E706" t="s">
        <v>87</v>
      </c>
      <c r="F706" t="s">
        <v>35</v>
      </c>
      <c r="G706" t="s">
        <v>35</v>
      </c>
      <c r="H706" t="s">
        <v>35</v>
      </c>
      <c r="J706" t="s">
        <v>1490</v>
      </c>
      <c r="K706" t="s">
        <v>1092</v>
      </c>
      <c r="M706">
        <v>0.75</v>
      </c>
      <c r="N706">
        <v>90</v>
      </c>
      <c r="O706" t="s">
        <v>61</v>
      </c>
      <c r="Q706" t="s">
        <v>557</v>
      </c>
      <c r="R706" t="s">
        <v>1102</v>
      </c>
      <c r="S706" t="s">
        <v>105</v>
      </c>
    </row>
    <row r="707" spans="1:19" x14ac:dyDescent="0.25">
      <c r="A707" t="s">
        <v>59</v>
      </c>
      <c r="B707" t="s">
        <v>60</v>
      </c>
      <c r="C707" t="s">
        <v>32</v>
      </c>
      <c r="D707" t="s">
        <v>33</v>
      </c>
      <c r="E707" t="s">
        <v>87</v>
      </c>
      <c r="F707" t="s">
        <v>35</v>
      </c>
      <c r="G707" t="s">
        <v>35</v>
      </c>
      <c r="H707" t="s">
        <v>35</v>
      </c>
      <c r="J707" t="s">
        <v>1490</v>
      </c>
      <c r="K707" t="s">
        <v>1092</v>
      </c>
      <c r="M707">
        <v>0.5</v>
      </c>
      <c r="N707">
        <v>60</v>
      </c>
      <c r="O707" t="s">
        <v>52</v>
      </c>
      <c r="Q707" t="s">
        <v>1311</v>
      </c>
      <c r="R707" t="s">
        <v>1102</v>
      </c>
      <c r="S707" t="s">
        <v>105</v>
      </c>
    </row>
    <row r="708" spans="1:19" x14ac:dyDescent="0.25">
      <c r="A708" t="s">
        <v>59</v>
      </c>
      <c r="B708" t="s">
        <v>60</v>
      </c>
      <c r="C708" t="s">
        <v>32</v>
      </c>
      <c r="D708" t="s">
        <v>33</v>
      </c>
      <c r="E708" t="s">
        <v>87</v>
      </c>
      <c r="F708" t="s">
        <v>35</v>
      </c>
      <c r="G708" t="s">
        <v>35</v>
      </c>
      <c r="H708" t="s">
        <v>35</v>
      </c>
      <c r="J708" t="s">
        <v>1465</v>
      </c>
      <c r="K708" t="s">
        <v>1092</v>
      </c>
      <c r="M708">
        <v>0.5</v>
      </c>
      <c r="N708">
        <v>90</v>
      </c>
      <c r="O708" t="s">
        <v>61</v>
      </c>
      <c r="Q708" t="s">
        <v>557</v>
      </c>
      <c r="R708" t="s">
        <v>1102</v>
      </c>
      <c r="S708" t="s">
        <v>105</v>
      </c>
    </row>
    <row r="709" spans="1:19" x14ac:dyDescent="0.25">
      <c r="A709" t="s">
        <v>59</v>
      </c>
      <c r="B709" t="s">
        <v>60</v>
      </c>
      <c r="C709" t="s">
        <v>32</v>
      </c>
      <c r="D709" t="s">
        <v>33</v>
      </c>
      <c r="E709" t="s">
        <v>87</v>
      </c>
      <c r="F709" t="s">
        <v>35</v>
      </c>
      <c r="G709" t="s">
        <v>35</v>
      </c>
      <c r="H709" t="s">
        <v>35</v>
      </c>
      <c r="J709" t="s">
        <v>1475</v>
      </c>
      <c r="K709" t="s">
        <v>1092</v>
      </c>
      <c r="M709">
        <v>1</v>
      </c>
      <c r="N709">
        <v>61</v>
      </c>
      <c r="O709" t="s">
        <v>61</v>
      </c>
      <c r="Q709" t="s">
        <v>146</v>
      </c>
      <c r="R709" t="s">
        <v>1102</v>
      </c>
      <c r="S709" t="s">
        <v>105</v>
      </c>
    </row>
    <row r="710" spans="1:19" x14ac:dyDescent="0.25">
      <c r="A710" t="s">
        <v>59</v>
      </c>
      <c r="B710" t="s">
        <v>60</v>
      </c>
      <c r="C710" t="s">
        <v>32</v>
      </c>
      <c r="D710" t="s">
        <v>33</v>
      </c>
      <c r="E710" t="s">
        <v>122</v>
      </c>
      <c r="F710" t="s">
        <v>35</v>
      </c>
      <c r="G710" t="s">
        <v>35</v>
      </c>
      <c r="H710" t="s">
        <v>35</v>
      </c>
      <c r="J710" t="s">
        <v>1638</v>
      </c>
      <c r="K710" t="s">
        <v>404</v>
      </c>
      <c r="M710">
        <v>1.3049999999999999</v>
      </c>
      <c r="N710">
        <v>80</v>
      </c>
      <c r="O710" t="s">
        <v>61</v>
      </c>
      <c r="Q710" t="s">
        <v>1639</v>
      </c>
      <c r="R710" t="s">
        <v>1102</v>
      </c>
      <c r="S710" t="s">
        <v>105</v>
      </c>
    </row>
    <row r="711" spans="1:19" x14ac:dyDescent="0.25">
      <c r="A711" t="s">
        <v>59</v>
      </c>
      <c r="B711" t="s">
        <v>60</v>
      </c>
      <c r="C711" t="s">
        <v>32</v>
      </c>
      <c r="D711" t="s">
        <v>33</v>
      </c>
      <c r="E711" t="s">
        <v>162</v>
      </c>
      <c r="F711" t="s">
        <v>35</v>
      </c>
      <c r="G711" t="s">
        <v>35</v>
      </c>
      <c r="H711" t="s">
        <v>35</v>
      </c>
      <c r="J711" t="s">
        <v>1863</v>
      </c>
      <c r="K711" t="s">
        <v>1092</v>
      </c>
      <c r="M711">
        <v>0.35</v>
      </c>
      <c r="N711">
        <v>48</v>
      </c>
      <c r="O711" t="s">
        <v>52</v>
      </c>
      <c r="Q711" t="s">
        <v>518</v>
      </c>
      <c r="R711" t="s">
        <v>1102</v>
      </c>
      <c r="S711" t="s">
        <v>105</v>
      </c>
    </row>
    <row r="712" spans="1:19" x14ac:dyDescent="0.25">
      <c r="A712" t="s">
        <v>44</v>
      </c>
      <c r="B712" t="s">
        <v>3</v>
      </c>
      <c r="C712" t="s">
        <v>32</v>
      </c>
      <c r="D712" t="s">
        <v>33</v>
      </c>
      <c r="E712" t="s">
        <v>122</v>
      </c>
      <c r="F712" t="s">
        <v>35</v>
      </c>
      <c r="G712" t="s">
        <v>35</v>
      </c>
      <c r="H712" t="s">
        <v>35</v>
      </c>
      <c r="J712" t="s">
        <v>1657</v>
      </c>
      <c r="K712" t="s">
        <v>1092</v>
      </c>
      <c r="M712">
        <v>4.05</v>
      </c>
      <c r="N712">
        <v>50</v>
      </c>
      <c r="O712" t="s">
        <v>52</v>
      </c>
      <c r="Q712" t="s">
        <v>665</v>
      </c>
      <c r="R712" t="s">
        <v>1341</v>
      </c>
      <c r="S712" t="s">
        <v>1342</v>
      </c>
    </row>
    <row r="713" spans="1:19" x14ac:dyDescent="0.25">
      <c r="A713" t="s">
        <v>30</v>
      </c>
      <c r="B713" t="s">
        <v>31</v>
      </c>
      <c r="C713" t="s">
        <v>32</v>
      </c>
      <c r="D713" t="s">
        <v>33</v>
      </c>
      <c r="F713" t="s">
        <v>35</v>
      </c>
      <c r="G713" t="s">
        <v>35</v>
      </c>
      <c r="H713" t="s">
        <v>35</v>
      </c>
      <c r="J713" t="s">
        <v>2342</v>
      </c>
      <c r="K713" t="s">
        <v>1092</v>
      </c>
      <c r="M713">
        <v>0.21299999999999999</v>
      </c>
      <c r="N713">
        <v>1838</v>
      </c>
      <c r="O713" t="s">
        <v>575</v>
      </c>
      <c r="Q713" t="s">
        <v>2344</v>
      </c>
      <c r="R713" t="s">
        <v>1341</v>
      </c>
      <c r="S713" t="s">
        <v>1342</v>
      </c>
    </row>
    <row r="714" spans="1:19" x14ac:dyDescent="0.25">
      <c r="A714" t="s">
        <v>59</v>
      </c>
      <c r="B714" t="s">
        <v>60</v>
      </c>
      <c r="C714" t="s">
        <v>32</v>
      </c>
      <c r="D714" t="s">
        <v>33</v>
      </c>
      <c r="E714" t="s">
        <v>1292</v>
      </c>
      <c r="F714" t="s">
        <v>35</v>
      </c>
      <c r="G714" t="s">
        <v>35</v>
      </c>
      <c r="H714" t="s">
        <v>35</v>
      </c>
      <c r="J714" t="s">
        <v>1417</v>
      </c>
      <c r="K714" t="s">
        <v>1092</v>
      </c>
      <c r="M714">
        <v>2.95</v>
      </c>
      <c r="N714">
        <v>287</v>
      </c>
      <c r="O714" t="s">
        <v>5</v>
      </c>
      <c r="Q714" t="s">
        <v>1418</v>
      </c>
      <c r="R714" t="s">
        <v>1341</v>
      </c>
      <c r="S714" t="s">
        <v>1342</v>
      </c>
    </row>
    <row r="715" spans="1:19" x14ac:dyDescent="0.25">
      <c r="A715" t="s">
        <v>59</v>
      </c>
      <c r="B715" t="s">
        <v>60</v>
      </c>
      <c r="C715" t="s">
        <v>32</v>
      </c>
      <c r="D715" t="s">
        <v>33</v>
      </c>
      <c r="E715" t="s">
        <v>122</v>
      </c>
      <c r="F715" t="s">
        <v>35</v>
      </c>
      <c r="G715" t="s">
        <v>35</v>
      </c>
      <c r="H715" t="s">
        <v>35</v>
      </c>
      <c r="J715" t="s">
        <v>1679</v>
      </c>
      <c r="K715" t="s">
        <v>1092</v>
      </c>
      <c r="M715">
        <v>4.75</v>
      </c>
      <c r="N715">
        <v>55</v>
      </c>
      <c r="O715" t="s">
        <v>52</v>
      </c>
      <c r="Q715" t="s">
        <v>90</v>
      </c>
      <c r="R715" t="s">
        <v>1341</v>
      </c>
      <c r="S715" t="s">
        <v>1342</v>
      </c>
    </row>
    <row r="716" spans="1:19" x14ac:dyDescent="0.25">
      <c r="A716" t="s">
        <v>59</v>
      </c>
      <c r="B716" t="s">
        <v>60</v>
      </c>
      <c r="C716" t="s">
        <v>32</v>
      </c>
      <c r="D716" t="s">
        <v>33</v>
      </c>
      <c r="F716" t="s">
        <v>35</v>
      </c>
      <c r="G716" t="s">
        <v>35</v>
      </c>
      <c r="H716" t="s">
        <v>35</v>
      </c>
      <c r="J716" t="s">
        <v>2244</v>
      </c>
      <c r="K716" t="s">
        <v>1092</v>
      </c>
      <c r="M716">
        <v>1.7</v>
      </c>
      <c r="N716">
        <v>1752</v>
      </c>
      <c r="O716" t="s">
        <v>575</v>
      </c>
      <c r="Q716" t="s">
        <v>2245</v>
      </c>
      <c r="R716" t="s">
        <v>1341</v>
      </c>
      <c r="S716" t="s">
        <v>1342</v>
      </c>
    </row>
    <row r="717" spans="1:19" x14ac:dyDescent="0.25">
      <c r="A717" t="s">
        <v>59</v>
      </c>
      <c r="B717" t="s">
        <v>31</v>
      </c>
      <c r="C717" t="s">
        <v>32</v>
      </c>
      <c r="D717" t="s">
        <v>33</v>
      </c>
      <c r="F717" t="s">
        <v>35</v>
      </c>
      <c r="G717" t="s">
        <v>35</v>
      </c>
      <c r="H717" t="s">
        <v>35</v>
      </c>
      <c r="J717" t="s">
        <v>2244</v>
      </c>
      <c r="K717" t="s">
        <v>1092</v>
      </c>
      <c r="M717">
        <v>2.4750000000000001</v>
      </c>
      <c r="N717">
        <v>1752</v>
      </c>
      <c r="O717" t="s">
        <v>575</v>
      </c>
      <c r="Q717" t="s">
        <v>2245</v>
      </c>
      <c r="R717" t="s">
        <v>1341</v>
      </c>
      <c r="S717" t="s">
        <v>1342</v>
      </c>
    </row>
    <row r="718" spans="1:19" x14ac:dyDescent="0.25">
      <c r="A718" t="s">
        <v>59</v>
      </c>
      <c r="B718" t="s">
        <v>31</v>
      </c>
      <c r="C718" t="s">
        <v>32</v>
      </c>
      <c r="D718" t="s">
        <v>33</v>
      </c>
      <c r="F718" t="s">
        <v>35</v>
      </c>
      <c r="G718" t="s">
        <v>35</v>
      </c>
      <c r="H718" t="s">
        <v>35</v>
      </c>
      <c r="J718" t="s">
        <v>2248</v>
      </c>
      <c r="K718" t="s">
        <v>1092</v>
      </c>
      <c r="M718">
        <v>4.4550000000000001</v>
      </c>
      <c r="N718">
        <v>2064</v>
      </c>
      <c r="O718" t="s">
        <v>575</v>
      </c>
      <c r="Q718" t="s">
        <v>2249</v>
      </c>
      <c r="R718" t="s">
        <v>1341</v>
      </c>
      <c r="S718" t="s">
        <v>1342</v>
      </c>
    </row>
    <row r="719" spans="1:19" x14ac:dyDescent="0.25">
      <c r="A719" t="s">
        <v>59</v>
      </c>
      <c r="B719" t="s">
        <v>60</v>
      </c>
      <c r="C719" t="s">
        <v>32</v>
      </c>
      <c r="D719" t="s">
        <v>33</v>
      </c>
      <c r="F719" t="s">
        <v>35</v>
      </c>
      <c r="G719" t="s">
        <v>35</v>
      </c>
      <c r="H719" t="s">
        <v>35</v>
      </c>
      <c r="J719" t="s">
        <v>2248</v>
      </c>
      <c r="K719" t="s">
        <v>1092</v>
      </c>
      <c r="M719">
        <v>2.6</v>
      </c>
      <c r="N719">
        <v>2064</v>
      </c>
      <c r="O719" t="s">
        <v>575</v>
      </c>
      <c r="Q719" t="s">
        <v>2249</v>
      </c>
      <c r="R719" t="s">
        <v>1341</v>
      </c>
      <c r="S719" t="s">
        <v>1342</v>
      </c>
    </row>
    <row r="720" spans="1:19" x14ac:dyDescent="0.25">
      <c r="A720" t="s">
        <v>59</v>
      </c>
      <c r="B720" t="s">
        <v>60</v>
      </c>
      <c r="C720" t="s">
        <v>32</v>
      </c>
      <c r="D720" t="s">
        <v>33</v>
      </c>
      <c r="E720" t="s">
        <v>1292</v>
      </c>
      <c r="F720" t="s">
        <v>35</v>
      </c>
      <c r="G720" t="s">
        <v>35</v>
      </c>
      <c r="H720" t="s">
        <v>35</v>
      </c>
      <c r="J720" t="s">
        <v>1359</v>
      </c>
      <c r="K720" t="s">
        <v>1092</v>
      </c>
      <c r="M720">
        <v>1.05</v>
      </c>
      <c r="N720">
        <v>302</v>
      </c>
      <c r="O720" t="s">
        <v>5</v>
      </c>
      <c r="Q720" t="s">
        <v>1360</v>
      </c>
      <c r="R720" t="s">
        <v>1341</v>
      </c>
      <c r="S720" t="s">
        <v>1342</v>
      </c>
    </row>
    <row r="721" spans="1:19" x14ac:dyDescent="0.25">
      <c r="A721" t="s">
        <v>59</v>
      </c>
      <c r="B721" t="s">
        <v>60</v>
      </c>
      <c r="C721" t="s">
        <v>32</v>
      </c>
      <c r="D721" t="s">
        <v>33</v>
      </c>
      <c r="E721" t="s">
        <v>1292</v>
      </c>
      <c r="F721" t="s">
        <v>35</v>
      </c>
      <c r="G721" t="s">
        <v>35</v>
      </c>
      <c r="H721" t="s">
        <v>35</v>
      </c>
      <c r="J721" t="s">
        <v>1386</v>
      </c>
      <c r="K721" t="s">
        <v>1092</v>
      </c>
      <c r="M721">
        <v>1.6479999999999999</v>
      </c>
      <c r="N721">
        <v>57</v>
      </c>
      <c r="O721" t="s">
        <v>52</v>
      </c>
      <c r="Q721" t="s">
        <v>381</v>
      </c>
      <c r="R721" t="s">
        <v>1341</v>
      </c>
      <c r="S721" t="s">
        <v>1342</v>
      </c>
    </row>
    <row r="722" spans="1:19" x14ac:dyDescent="0.25">
      <c r="A722" t="s">
        <v>59</v>
      </c>
      <c r="B722" t="s">
        <v>60</v>
      </c>
      <c r="C722" t="s">
        <v>32</v>
      </c>
      <c r="D722" t="s">
        <v>33</v>
      </c>
      <c r="E722" t="s">
        <v>1292</v>
      </c>
      <c r="F722" t="s">
        <v>35</v>
      </c>
      <c r="G722" t="s">
        <v>35</v>
      </c>
      <c r="H722" t="s">
        <v>35</v>
      </c>
      <c r="J722" t="s">
        <v>1340</v>
      </c>
      <c r="K722" t="s">
        <v>1092</v>
      </c>
      <c r="M722">
        <v>3.65</v>
      </c>
      <c r="N722">
        <v>57</v>
      </c>
      <c r="O722" t="s">
        <v>52</v>
      </c>
      <c r="Q722" t="s">
        <v>381</v>
      </c>
      <c r="R722" t="s">
        <v>1341</v>
      </c>
      <c r="S722" t="s">
        <v>1342</v>
      </c>
    </row>
    <row r="723" spans="1:19" x14ac:dyDescent="0.25">
      <c r="A723" t="s">
        <v>59</v>
      </c>
      <c r="B723" t="s">
        <v>60</v>
      </c>
      <c r="C723" t="s">
        <v>32</v>
      </c>
      <c r="D723" t="s">
        <v>33</v>
      </c>
      <c r="E723" t="s">
        <v>122</v>
      </c>
      <c r="F723" t="s">
        <v>35</v>
      </c>
      <c r="G723" t="s">
        <v>35</v>
      </c>
      <c r="H723" t="s">
        <v>35</v>
      </c>
      <c r="J723" t="s">
        <v>1788</v>
      </c>
      <c r="K723" t="s">
        <v>1092</v>
      </c>
      <c r="M723">
        <v>6</v>
      </c>
      <c r="N723">
        <v>55</v>
      </c>
      <c r="O723" t="s">
        <v>52</v>
      </c>
      <c r="Q723" t="s">
        <v>90</v>
      </c>
      <c r="R723" t="s">
        <v>1341</v>
      </c>
      <c r="S723" t="s">
        <v>1342</v>
      </c>
    </row>
    <row r="724" spans="1:19" x14ac:dyDescent="0.25">
      <c r="A724" t="s">
        <v>30</v>
      </c>
      <c r="B724" t="s">
        <v>31</v>
      </c>
      <c r="C724" t="s">
        <v>32</v>
      </c>
      <c r="D724" t="s">
        <v>33</v>
      </c>
      <c r="E724" t="s">
        <v>64</v>
      </c>
      <c r="F724" t="s">
        <v>35</v>
      </c>
      <c r="G724" t="s">
        <v>35</v>
      </c>
      <c r="H724" t="s">
        <v>35</v>
      </c>
      <c r="J724" t="s">
        <v>1210</v>
      </c>
      <c r="K724" t="s">
        <v>1092</v>
      </c>
      <c r="M724">
        <v>2.9249999999999998</v>
      </c>
      <c r="N724">
        <v>203</v>
      </c>
      <c r="O724" t="s">
        <v>5</v>
      </c>
      <c r="Q724" t="s">
        <v>1104</v>
      </c>
      <c r="R724" t="s">
        <v>1211</v>
      </c>
      <c r="S724" t="s">
        <v>1212</v>
      </c>
    </row>
    <row r="725" spans="1:19" x14ac:dyDescent="0.25">
      <c r="A725" t="s">
        <v>59</v>
      </c>
      <c r="B725" t="s">
        <v>60</v>
      </c>
      <c r="C725" t="s">
        <v>32</v>
      </c>
      <c r="D725" t="s">
        <v>33</v>
      </c>
      <c r="F725" t="s">
        <v>35</v>
      </c>
      <c r="G725" t="s">
        <v>35</v>
      </c>
      <c r="H725" t="s">
        <v>35</v>
      </c>
      <c r="J725" t="s">
        <v>2230</v>
      </c>
      <c r="K725" t="s">
        <v>1092</v>
      </c>
      <c r="M725">
        <v>0.5</v>
      </c>
      <c r="N725">
        <v>1739</v>
      </c>
      <c r="O725" t="s">
        <v>575</v>
      </c>
      <c r="Q725" t="s">
        <v>2312</v>
      </c>
      <c r="R725" t="s">
        <v>1211</v>
      </c>
      <c r="S725" t="s">
        <v>1212</v>
      </c>
    </row>
    <row r="726" spans="1:19" x14ac:dyDescent="0.25">
      <c r="A726" t="s">
        <v>30</v>
      </c>
      <c r="B726" t="s">
        <v>31</v>
      </c>
      <c r="C726" t="s">
        <v>32</v>
      </c>
      <c r="D726" t="s">
        <v>33</v>
      </c>
      <c r="E726" t="s">
        <v>1520</v>
      </c>
      <c r="F726" t="s">
        <v>35</v>
      </c>
      <c r="G726" t="s">
        <v>35</v>
      </c>
      <c r="H726" t="s">
        <v>35</v>
      </c>
      <c r="J726" t="s">
        <v>1539</v>
      </c>
      <c r="K726" t="s">
        <v>1092</v>
      </c>
      <c r="M726">
        <v>5.4450000000000003</v>
      </c>
      <c r="N726">
        <v>138</v>
      </c>
      <c r="O726" t="s">
        <v>38</v>
      </c>
      <c r="Q726" t="s">
        <v>1149</v>
      </c>
      <c r="R726" t="s">
        <v>1211</v>
      </c>
      <c r="S726" t="s">
        <v>1212</v>
      </c>
    </row>
    <row r="727" spans="1:19" x14ac:dyDescent="0.25">
      <c r="A727" t="s">
        <v>59</v>
      </c>
      <c r="B727" t="s">
        <v>31</v>
      </c>
      <c r="C727" t="s">
        <v>32</v>
      </c>
      <c r="D727" t="s">
        <v>33</v>
      </c>
      <c r="E727" t="s">
        <v>162</v>
      </c>
      <c r="F727" t="s">
        <v>35</v>
      </c>
      <c r="G727" t="s">
        <v>35</v>
      </c>
      <c r="H727" t="s">
        <v>35</v>
      </c>
      <c r="J727" t="s">
        <v>1834</v>
      </c>
      <c r="K727" t="s">
        <v>1092</v>
      </c>
      <c r="M727">
        <v>5.58</v>
      </c>
      <c r="N727">
        <v>941</v>
      </c>
      <c r="O727" t="s">
        <v>575</v>
      </c>
      <c r="Q727" t="s">
        <v>1835</v>
      </c>
      <c r="R727" t="s">
        <v>1211</v>
      </c>
      <c r="S727" t="s">
        <v>1212</v>
      </c>
    </row>
    <row r="728" spans="1:19" x14ac:dyDescent="0.25">
      <c r="A728" t="s">
        <v>30</v>
      </c>
      <c r="B728" t="s">
        <v>31</v>
      </c>
      <c r="C728" t="s">
        <v>32</v>
      </c>
      <c r="D728" t="s">
        <v>33</v>
      </c>
      <c r="E728" t="s">
        <v>1520</v>
      </c>
      <c r="F728" t="s">
        <v>35</v>
      </c>
      <c r="G728" t="s">
        <v>35</v>
      </c>
      <c r="H728" t="s">
        <v>35</v>
      </c>
      <c r="J728" t="s">
        <v>1564</v>
      </c>
      <c r="K728" t="s">
        <v>1092</v>
      </c>
      <c r="M728">
        <v>4.41</v>
      </c>
      <c r="N728">
        <v>167</v>
      </c>
      <c r="O728" t="s">
        <v>38</v>
      </c>
      <c r="Q728" t="s">
        <v>1565</v>
      </c>
      <c r="R728" t="s">
        <v>1211</v>
      </c>
      <c r="S728" t="s">
        <v>1212</v>
      </c>
    </row>
    <row r="729" spans="1:19" x14ac:dyDescent="0.25">
      <c r="A729" t="s">
        <v>30</v>
      </c>
      <c r="B729" t="s">
        <v>31</v>
      </c>
      <c r="C729" t="s">
        <v>32</v>
      </c>
      <c r="D729" t="s">
        <v>33</v>
      </c>
      <c r="F729" t="s">
        <v>35</v>
      </c>
      <c r="G729" t="s">
        <v>35</v>
      </c>
      <c r="H729" t="s">
        <v>35</v>
      </c>
      <c r="J729" t="s">
        <v>2216</v>
      </c>
      <c r="K729" t="s">
        <v>1092</v>
      </c>
      <c r="M729">
        <v>0.45</v>
      </c>
      <c r="N729">
        <v>203</v>
      </c>
      <c r="O729" t="s">
        <v>5</v>
      </c>
      <c r="Q729" t="s">
        <v>1104</v>
      </c>
      <c r="R729" t="s">
        <v>1211</v>
      </c>
      <c r="S729" t="s">
        <v>1212</v>
      </c>
    </row>
    <row r="730" spans="1:19" x14ac:dyDescent="0.25">
      <c r="A730" t="s">
        <v>59</v>
      </c>
      <c r="B730" t="s">
        <v>31</v>
      </c>
      <c r="C730" t="s">
        <v>32</v>
      </c>
      <c r="D730" t="s">
        <v>33</v>
      </c>
      <c r="E730" t="s">
        <v>2090</v>
      </c>
      <c r="F730" t="s">
        <v>35</v>
      </c>
      <c r="G730" t="s">
        <v>35</v>
      </c>
      <c r="H730" t="s">
        <v>35</v>
      </c>
      <c r="J730" t="s">
        <v>2091</v>
      </c>
      <c r="K730" t="s">
        <v>1092</v>
      </c>
      <c r="M730">
        <v>1.4850000000000001</v>
      </c>
      <c r="N730">
        <v>197</v>
      </c>
      <c r="O730" t="s">
        <v>5</v>
      </c>
      <c r="Q730" t="s">
        <v>1730</v>
      </c>
      <c r="R730" t="s">
        <v>1594</v>
      </c>
      <c r="S730" t="s">
        <v>1595</v>
      </c>
    </row>
    <row r="731" spans="1:19" x14ac:dyDescent="0.25">
      <c r="A731" t="s">
        <v>59</v>
      </c>
      <c r="B731" t="s">
        <v>31</v>
      </c>
      <c r="C731" t="s">
        <v>32</v>
      </c>
      <c r="D731" t="s">
        <v>33</v>
      </c>
      <c r="F731" t="s">
        <v>35</v>
      </c>
      <c r="G731" t="s">
        <v>35</v>
      </c>
      <c r="H731" t="s">
        <v>35</v>
      </c>
      <c r="J731" t="s">
        <v>2337</v>
      </c>
      <c r="K731" t="s">
        <v>1092</v>
      </c>
      <c r="M731">
        <v>0.45</v>
      </c>
      <c r="N731">
        <v>2300</v>
      </c>
      <c r="O731" t="s">
        <v>575</v>
      </c>
      <c r="Q731" t="s">
        <v>2338</v>
      </c>
      <c r="R731" t="s">
        <v>1594</v>
      </c>
      <c r="S731" t="s">
        <v>1595</v>
      </c>
    </row>
    <row r="732" spans="1:19" x14ac:dyDescent="0.25">
      <c r="A732" t="s">
        <v>59</v>
      </c>
      <c r="B732" t="s">
        <v>31</v>
      </c>
      <c r="C732" t="s">
        <v>32</v>
      </c>
      <c r="D732" t="s">
        <v>33</v>
      </c>
      <c r="F732" t="s">
        <v>35</v>
      </c>
      <c r="G732" t="s">
        <v>35</v>
      </c>
      <c r="H732" t="s">
        <v>35</v>
      </c>
      <c r="J732" t="s">
        <v>2337</v>
      </c>
      <c r="K732" t="s">
        <v>1092</v>
      </c>
      <c r="M732">
        <v>0.40200000000000002</v>
      </c>
      <c r="N732">
        <v>2312</v>
      </c>
      <c r="O732" t="s">
        <v>575</v>
      </c>
      <c r="Q732" t="s">
        <v>2339</v>
      </c>
      <c r="R732" t="s">
        <v>1594</v>
      </c>
      <c r="S732" t="s">
        <v>1595</v>
      </c>
    </row>
    <row r="733" spans="1:19" x14ac:dyDescent="0.25">
      <c r="A733" t="s">
        <v>59</v>
      </c>
      <c r="B733" t="s">
        <v>60</v>
      </c>
      <c r="C733" t="s">
        <v>32</v>
      </c>
      <c r="D733" t="s">
        <v>33</v>
      </c>
      <c r="F733" t="s">
        <v>35</v>
      </c>
      <c r="G733" t="s">
        <v>35</v>
      </c>
      <c r="H733" t="s">
        <v>35</v>
      </c>
      <c r="J733" t="s">
        <v>2337</v>
      </c>
      <c r="K733" t="s">
        <v>1092</v>
      </c>
      <c r="M733">
        <v>0.25</v>
      </c>
      <c r="N733">
        <v>2193</v>
      </c>
      <c r="O733" t="s">
        <v>575</v>
      </c>
      <c r="Q733" t="s">
        <v>2340</v>
      </c>
      <c r="R733" t="s">
        <v>1594</v>
      </c>
      <c r="S733" t="s">
        <v>1595</v>
      </c>
    </row>
    <row r="734" spans="1:19" x14ac:dyDescent="0.25">
      <c r="A734" t="s">
        <v>59</v>
      </c>
      <c r="B734" t="s">
        <v>60</v>
      </c>
      <c r="C734" t="s">
        <v>32</v>
      </c>
      <c r="D734" t="s">
        <v>33</v>
      </c>
      <c r="F734" t="s">
        <v>35</v>
      </c>
      <c r="G734" t="s">
        <v>35</v>
      </c>
      <c r="H734" t="s">
        <v>35</v>
      </c>
      <c r="J734" t="s">
        <v>2337</v>
      </c>
      <c r="K734" t="s">
        <v>1092</v>
      </c>
      <c r="M734">
        <v>0.25</v>
      </c>
      <c r="N734">
        <v>2227</v>
      </c>
      <c r="O734" t="s">
        <v>575</v>
      </c>
      <c r="Q734" t="s">
        <v>2341</v>
      </c>
      <c r="R734" t="s">
        <v>1594</v>
      </c>
      <c r="S734" t="s">
        <v>1595</v>
      </c>
    </row>
    <row r="735" spans="1:19" x14ac:dyDescent="0.25">
      <c r="A735" t="s">
        <v>59</v>
      </c>
      <c r="B735" t="s">
        <v>60</v>
      </c>
      <c r="C735" t="s">
        <v>32</v>
      </c>
      <c r="D735" t="s">
        <v>33</v>
      </c>
      <c r="F735" t="s">
        <v>35</v>
      </c>
      <c r="G735" t="s">
        <v>35</v>
      </c>
      <c r="H735" t="s">
        <v>35</v>
      </c>
      <c r="J735" t="s">
        <v>2337</v>
      </c>
      <c r="K735" t="s">
        <v>1092</v>
      </c>
      <c r="M735">
        <v>0.17499999999999999</v>
      </c>
      <c r="N735">
        <v>2300</v>
      </c>
      <c r="O735" t="s">
        <v>575</v>
      </c>
      <c r="Q735" t="s">
        <v>2338</v>
      </c>
      <c r="R735" t="s">
        <v>1594</v>
      </c>
      <c r="S735" t="s">
        <v>1595</v>
      </c>
    </row>
    <row r="736" spans="1:19" x14ac:dyDescent="0.25">
      <c r="A736" t="s">
        <v>59</v>
      </c>
      <c r="B736" t="s">
        <v>31</v>
      </c>
      <c r="C736" t="s">
        <v>32</v>
      </c>
      <c r="D736" t="s">
        <v>33</v>
      </c>
      <c r="E736" t="s">
        <v>2113</v>
      </c>
      <c r="F736" t="s">
        <v>35</v>
      </c>
      <c r="G736" t="s">
        <v>35</v>
      </c>
      <c r="H736" t="s">
        <v>35</v>
      </c>
      <c r="J736" t="s">
        <v>2114</v>
      </c>
      <c r="K736" t="s">
        <v>1092</v>
      </c>
      <c r="M736">
        <v>0.67500000000000004</v>
      </c>
      <c r="N736">
        <v>197</v>
      </c>
      <c r="O736" t="s">
        <v>5</v>
      </c>
      <c r="Q736" t="s">
        <v>1730</v>
      </c>
      <c r="R736" t="s">
        <v>1594</v>
      </c>
      <c r="S736" t="s">
        <v>1595</v>
      </c>
    </row>
    <row r="737" spans="1:19" x14ac:dyDescent="0.25">
      <c r="A737" t="s">
        <v>59</v>
      </c>
      <c r="B737" t="s">
        <v>31</v>
      </c>
      <c r="C737" t="s">
        <v>32</v>
      </c>
      <c r="D737" t="s">
        <v>33</v>
      </c>
      <c r="E737" t="s">
        <v>114</v>
      </c>
      <c r="F737" t="s">
        <v>35</v>
      </c>
      <c r="G737" t="s">
        <v>35</v>
      </c>
      <c r="H737" t="s">
        <v>35</v>
      </c>
      <c r="J737" t="s">
        <v>1592</v>
      </c>
      <c r="K737" t="s">
        <v>1092</v>
      </c>
      <c r="M737">
        <v>0.09</v>
      </c>
      <c r="N737">
        <v>151</v>
      </c>
      <c r="O737" t="s">
        <v>38</v>
      </c>
      <c r="Q737" t="s">
        <v>1593</v>
      </c>
      <c r="R737" t="s">
        <v>1594</v>
      </c>
      <c r="S737" t="s">
        <v>1595</v>
      </c>
    </row>
    <row r="738" spans="1:19" x14ac:dyDescent="0.25">
      <c r="A738" t="s">
        <v>59</v>
      </c>
      <c r="B738" t="s">
        <v>60</v>
      </c>
      <c r="C738" t="s">
        <v>32</v>
      </c>
      <c r="D738" t="s">
        <v>33</v>
      </c>
      <c r="F738" t="s">
        <v>35</v>
      </c>
      <c r="G738" t="s">
        <v>35</v>
      </c>
      <c r="H738" t="s">
        <v>35</v>
      </c>
      <c r="J738" t="s">
        <v>2192</v>
      </c>
      <c r="K738" t="s">
        <v>1092</v>
      </c>
      <c r="M738">
        <v>0.28000000000000003</v>
      </c>
      <c r="N738">
        <v>2403</v>
      </c>
      <c r="O738" t="s">
        <v>575</v>
      </c>
      <c r="Q738" t="s">
        <v>2193</v>
      </c>
      <c r="R738" t="s">
        <v>1447</v>
      </c>
      <c r="S738" t="s">
        <v>109</v>
      </c>
    </row>
    <row r="739" spans="1:19" x14ac:dyDescent="0.25">
      <c r="A739" t="s">
        <v>59</v>
      </c>
      <c r="B739" t="s">
        <v>60</v>
      </c>
      <c r="C739" t="s">
        <v>32</v>
      </c>
      <c r="D739" t="s">
        <v>33</v>
      </c>
      <c r="E739" t="s">
        <v>87</v>
      </c>
      <c r="F739" t="s">
        <v>35</v>
      </c>
      <c r="G739" t="s">
        <v>35</v>
      </c>
      <c r="H739" t="s">
        <v>35</v>
      </c>
      <c r="J739" t="s">
        <v>1446</v>
      </c>
      <c r="K739" t="s">
        <v>1092</v>
      </c>
      <c r="M739">
        <v>0.21</v>
      </c>
      <c r="N739">
        <v>194</v>
      </c>
      <c r="O739" t="s">
        <v>5</v>
      </c>
      <c r="Q739" t="s">
        <v>1428</v>
      </c>
      <c r="R739" t="s">
        <v>1447</v>
      </c>
      <c r="S739" t="s">
        <v>109</v>
      </c>
    </row>
    <row r="740" spans="1:19" x14ac:dyDescent="0.25">
      <c r="A740" t="s">
        <v>44</v>
      </c>
      <c r="B740" t="s">
        <v>51</v>
      </c>
      <c r="C740" t="s">
        <v>32</v>
      </c>
      <c r="D740" t="s">
        <v>33</v>
      </c>
      <c r="E740" t="s">
        <v>122</v>
      </c>
      <c r="F740" t="s">
        <v>35</v>
      </c>
      <c r="G740" t="s">
        <v>35</v>
      </c>
      <c r="H740" t="s">
        <v>35</v>
      </c>
      <c r="J740" t="s">
        <v>123</v>
      </c>
      <c r="K740" t="s">
        <v>37</v>
      </c>
      <c r="M740">
        <v>2.5</v>
      </c>
      <c r="N740">
        <v>40</v>
      </c>
      <c r="O740" t="s">
        <v>52</v>
      </c>
      <c r="P740" t="s">
        <v>131</v>
      </c>
      <c r="Q740" t="s">
        <v>132</v>
      </c>
      <c r="R740" t="s">
        <v>133</v>
      </c>
      <c r="S740" t="s">
        <v>134</v>
      </c>
    </row>
    <row r="741" spans="1:19" x14ac:dyDescent="0.25">
      <c r="A741" t="s">
        <v>30</v>
      </c>
      <c r="B741" t="s">
        <v>31</v>
      </c>
      <c r="C741" t="s">
        <v>32</v>
      </c>
      <c r="D741" t="s">
        <v>33</v>
      </c>
      <c r="E741" t="s">
        <v>119</v>
      </c>
      <c r="F741" t="s">
        <v>35</v>
      </c>
      <c r="G741" t="s">
        <v>35</v>
      </c>
      <c r="H741" t="s">
        <v>35</v>
      </c>
      <c r="J741" t="s">
        <v>1204</v>
      </c>
      <c r="K741" t="s">
        <v>1092</v>
      </c>
      <c r="M741">
        <v>0.315</v>
      </c>
      <c r="N741">
        <v>143</v>
      </c>
      <c r="O741" t="s">
        <v>38</v>
      </c>
      <c r="Q741" t="s">
        <v>1612</v>
      </c>
      <c r="R741" t="s">
        <v>103</v>
      </c>
      <c r="S741" t="s">
        <v>104</v>
      </c>
    </row>
    <row r="742" spans="1:19" x14ac:dyDescent="0.25">
      <c r="A742" t="s">
        <v>59</v>
      </c>
      <c r="B742" t="s">
        <v>60</v>
      </c>
      <c r="C742" t="s">
        <v>32</v>
      </c>
      <c r="D742" t="s">
        <v>33</v>
      </c>
      <c r="E742" t="s">
        <v>87</v>
      </c>
      <c r="F742" t="s">
        <v>35</v>
      </c>
      <c r="G742" t="s">
        <v>35</v>
      </c>
      <c r="H742" t="s">
        <v>35</v>
      </c>
      <c r="J742" t="s">
        <v>1505</v>
      </c>
      <c r="K742" t="s">
        <v>1092</v>
      </c>
      <c r="M742">
        <v>3.5</v>
      </c>
      <c r="N742">
        <v>54</v>
      </c>
      <c r="O742" t="s">
        <v>52</v>
      </c>
      <c r="Q742" t="s">
        <v>671</v>
      </c>
      <c r="R742" t="s">
        <v>103</v>
      </c>
      <c r="S742" t="s">
        <v>104</v>
      </c>
    </row>
    <row r="743" spans="1:19" x14ac:dyDescent="0.25">
      <c r="A743" t="s">
        <v>44</v>
      </c>
      <c r="B743" t="s">
        <v>51</v>
      </c>
      <c r="C743" t="s">
        <v>32</v>
      </c>
      <c r="D743" t="s">
        <v>33</v>
      </c>
      <c r="E743" t="s">
        <v>1292</v>
      </c>
      <c r="F743" t="s">
        <v>35</v>
      </c>
      <c r="G743" t="s">
        <v>35</v>
      </c>
      <c r="H743" t="s">
        <v>35</v>
      </c>
      <c r="J743" t="s">
        <v>1297</v>
      </c>
      <c r="K743" t="s">
        <v>1092</v>
      </c>
      <c r="M743">
        <v>2.6659999999999999</v>
      </c>
      <c r="N743">
        <v>55</v>
      </c>
      <c r="O743" t="s">
        <v>52</v>
      </c>
      <c r="Q743" t="s">
        <v>90</v>
      </c>
      <c r="R743" t="s">
        <v>103</v>
      </c>
      <c r="S743" t="s">
        <v>104</v>
      </c>
    </row>
    <row r="744" spans="1:19" x14ac:dyDescent="0.25">
      <c r="A744" t="s">
        <v>30</v>
      </c>
      <c r="B744" t="s">
        <v>31</v>
      </c>
      <c r="C744" t="s">
        <v>32</v>
      </c>
      <c r="D744" t="s">
        <v>33</v>
      </c>
      <c r="E744" t="s">
        <v>2098</v>
      </c>
      <c r="F744" t="s">
        <v>35</v>
      </c>
      <c r="G744" t="s">
        <v>35</v>
      </c>
      <c r="H744" t="s">
        <v>35</v>
      </c>
      <c r="J744" t="s">
        <v>2103</v>
      </c>
      <c r="K744" t="s">
        <v>1092</v>
      </c>
      <c r="M744">
        <v>3.915</v>
      </c>
      <c r="N744">
        <v>450</v>
      </c>
      <c r="O744" t="s">
        <v>294</v>
      </c>
      <c r="Q744" t="s">
        <v>2104</v>
      </c>
      <c r="R744" t="s">
        <v>103</v>
      </c>
      <c r="S744" t="s">
        <v>104</v>
      </c>
    </row>
    <row r="745" spans="1:19" x14ac:dyDescent="0.25">
      <c r="A745" t="s">
        <v>59</v>
      </c>
      <c r="B745" t="s">
        <v>60</v>
      </c>
      <c r="C745" t="s">
        <v>32</v>
      </c>
      <c r="D745" t="s">
        <v>33</v>
      </c>
      <c r="E745" t="s">
        <v>162</v>
      </c>
      <c r="F745" t="s">
        <v>35</v>
      </c>
      <c r="G745" t="s">
        <v>35</v>
      </c>
      <c r="H745" t="s">
        <v>35</v>
      </c>
      <c r="J745" t="s">
        <v>1826</v>
      </c>
      <c r="K745" t="s">
        <v>1092</v>
      </c>
      <c r="M745">
        <v>11</v>
      </c>
      <c r="N745">
        <v>92</v>
      </c>
      <c r="O745" t="s">
        <v>106</v>
      </c>
      <c r="Q745" t="s">
        <v>1216</v>
      </c>
      <c r="R745" t="s">
        <v>103</v>
      </c>
      <c r="S745" t="s">
        <v>104</v>
      </c>
    </row>
    <row r="746" spans="1:19" x14ac:dyDescent="0.25">
      <c r="A746" t="s">
        <v>44</v>
      </c>
      <c r="B746" t="s">
        <v>51</v>
      </c>
      <c r="C746" t="s">
        <v>32</v>
      </c>
      <c r="D746" t="s">
        <v>33</v>
      </c>
      <c r="E746" t="s">
        <v>162</v>
      </c>
      <c r="F746" t="s">
        <v>35</v>
      </c>
      <c r="G746" t="s">
        <v>35</v>
      </c>
      <c r="H746" t="s">
        <v>35</v>
      </c>
      <c r="J746" t="s">
        <v>1826</v>
      </c>
      <c r="K746" t="s">
        <v>1092</v>
      </c>
      <c r="M746">
        <v>5.5</v>
      </c>
      <c r="N746">
        <v>240</v>
      </c>
      <c r="O746" t="s">
        <v>5</v>
      </c>
      <c r="Q746" t="s">
        <v>574</v>
      </c>
      <c r="R746" t="s">
        <v>103</v>
      </c>
      <c r="S746" t="s">
        <v>104</v>
      </c>
    </row>
    <row r="747" spans="1:19" x14ac:dyDescent="0.25">
      <c r="A747" t="s">
        <v>59</v>
      </c>
      <c r="B747" t="s">
        <v>60</v>
      </c>
      <c r="C747" t="s">
        <v>32</v>
      </c>
      <c r="D747" t="s">
        <v>33</v>
      </c>
      <c r="E747" t="s">
        <v>177</v>
      </c>
      <c r="F747" t="s">
        <v>35</v>
      </c>
      <c r="G747" t="s">
        <v>35</v>
      </c>
      <c r="H747" t="s">
        <v>35</v>
      </c>
      <c r="J747" t="s">
        <v>2021</v>
      </c>
      <c r="K747" t="s">
        <v>1092</v>
      </c>
      <c r="M747">
        <v>1.65</v>
      </c>
      <c r="N747">
        <v>92</v>
      </c>
      <c r="O747" t="s">
        <v>106</v>
      </c>
      <c r="Q747" t="s">
        <v>1216</v>
      </c>
      <c r="R747" t="s">
        <v>103</v>
      </c>
      <c r="S747" t="s">
        <v>104</v>
      </c>
    </row>
    <row r="748" spans="1:19" x14ac:dyDescent="0.25">
      <c r="A748" t="s">
        <v>44</v>
      </c>
      <c r="B748" t="s">
        <v>3</v>
      </c>
      <c r="C748" t="s">
        <v>32</v>
      </c>
      <c r="D748" t="s">
        <v>33</v>
      </c>
      <c r="E748" t="s">
        <v>1572</v>
      </c>
      <c r="F748" t="s">
        <v>35</v>
      </c>
      <c r="G748" t="s">
        <v>35</v>
      </c>
      <c r="H748" t="s">
        <v>35</v>
      </c>
      <c r="J748" t="s">
        <v>1580</v>
      </c>
      <c r="K748" t="s">
        <v>1092</v>
      </c>
      <c r="M748">
        <v>5.05</v>
      </c>
      <c r="N748">
        <v>61</v>
      </c>
      <c r="O748" t="s">
        <v>61</v>
      </c>
      <c r="Q748" t="s">
        <v>146</v>
      </c>
      <c r="R748" t="s">
        <v>103</v>
      </c>
      <c r="S748" t="s">
        <v>104</v>
      </c>
    </row>
    <row r="749" spans="1:19" x14ac:dyDescent="0.25">
      <c r="A749" t="s">
        <v>59</v>
      </c>
      <c r="B749" t="s">
        <v>60</v>
      </c>
      <c r="C749" t="s">
        <v>32</v>
      </c>
      <c r="D749" t="s">
        <v>33</v>
      </c>
      <c r="E749" t="s">
        <v>1572</v>
      </c>
      <c r="F749" t="s">
        <v>35</v>
      </c>
      <c r="G749" t="s">
        <v>35</v>
      </c>
      <c r="H749" t="s">
        <v>35</v>
      </c>
      <c r="J749" t="s">
        <v>1580</v>
      </c>
      <c r="K749" t="s">
        <v>1092</v>
      </c>
      <c r="M749">
        <v>2.95</v>
      </c>
      <c r="N749">
        <v>92</v>
      </c>
      <c r="O749" t="s">
        <v>106</v>
      </c>
      <c r="Q749" t="s">
        <v>1216</v>
      </c>
      <c r="R749" t="s">
        <v>103</v>
      </c>
      <c r="S749" t="s">
        <v>104</v>
      </c>
    </row>
    <row r="750" spans="1:19" x14ac:dyDescent="0.25">
      <c r="A750" t="s">
        <v>59</v>
      </c>
      <c r="B750" t="s">
        <v>60</v>
      </c>
      <c r="C750" t="s">
        <v>32</v>
      </c>
      <c r="D750" t="s">
        <v>33</v>
      </c>
      <c r="E750" t="s">
        <v>122</v>
      </c>
      <c r="F750" t="s">
        <v>35</v>
      </c>
      <c r="G750" t="s">
        <v>35</v>
      </c>
      <c r="H750" t="s">
        <v>35</v>
      </c>
      <c r="J750" t="s">
        <v>1735</v>
      </c>
      <c r="K750" t="s">
        <v>1092</v>
      </c>
      <c r="M750">
        <v>0.15</v>
      </c>
      <c r="N750">
        <v>64</v>
      </c>
      <c r="O750" t="s">
        <v>61</v>
      </c>
      <c r="Q750" t="s">
        <v>102</v>
      </c>
      <c r="R750" t="s">
        <v>103</v>
      </c>
      <c r="S750" t="s">
        <v>104</v>
      </c>
    </row>
    <row r="751" spans="1:19" x14ac:dyDescent="0.25">
      <c r="A751" t="s">
        <v>44</v>
      </c>
      <c r="B751" t="s">
        <v>3</v>
      </c>
      <c r="C751" t="s">
        <v>32</v>
      </c>
      <c r="D751" t="s">
        <v>33</v>
      </c>
      <c r="F751" t="s">
        <v>35</v>
      </c>
      <c r="G751" t="s">
        <v>35</v>
      </c>
      <c r="H751" t="s">
        <v>35</v>
      </c>
      <c r="J751" t="s">
        <v>2194</v>
      </c>
      <c r="K751" t="s">
        <v>1092</v>
      </c>
      <c r="M751">
        <v>0.35</v>
      </c>
      <c r="N751">
        <v>429</v>
      </c>
      <c r="O751" t="s">
        <v>294</v>
      </c>
      <c r="Q751" t="s">
        <v>1787</v>
      </c>
      <c r="R751" t="s">
        <v>103</v>
      </c>
      <c r="S751" t="s">
        <v>104</v>
      </c>
    </row>
    <row r="752" spans="1:19" x14ac:dyDescent="0.25">
      <c r="A752" t="s">
        <v>59</v>
      </c>
      <c r="B752" t="s">
        <v>31</v>
      </c>
      <c r="C752" t="s">
        <v>32</v>
      </c>
      <c r="D752" t="s">
        <v>33</v>
      </c>
      <c r="E752" t="s">
        <v>177</v>
      </c>
      <c r="F752" t="s">
        <v>35</v>
      </c>
      <c r="G752" t="s">
        <v>35</v>
      </c>
      <c r="H752" t="s">
        <v>35</v>
      </c>
      <c r="J752" t="s">
        <v>1990</v>
      </c>
      <c r="K752" t="s">
        <v>1092</v>
      </c>
      <c r="M752">
        <v>5.49</v>
      </c>
      <c r="N752">
        <v>64</v>
      </c>
      <c r="O752" t="s">
        <v>61</v>
      </c>
      <c r="Q752" t="s">
        <v>102</v>
      </c>
      <c r="R752" t="s">
        <v>103</v>
      </c>
      <c r="S752" t="s">
        <v>104</v>
      </c>
    </row>
    <row r="753" spans="1:19" x14ac:dyDescent="0.25">
      <c r="A753" t="s">
        <v>30</v>
      </c>
      <c r="B753" t="s">
        <v>31</v>
      </c>
      <c r="C753" t="s">
        <v>32</v>
      </c>
      <c r="D753" t="s">
        <v>33</v>
      </c>
      <c r="E753" t="s">
        <v>177</v>
      </c>
      <c r="F753" t="s">
        <v>35</v>
      </c>
      <c r="G753" t="s">
        <v>35</v>
      </c>
      <c r="H753" t="s">
        <v>35</v>
      </c>
      <c r="J753" t="s">
        <v>1990</v>
      </c>
      <c r="K753" t="s">
        <v>1092</v>
      </c>
      <c r="M753">
        <v>3.7349999999999999</v>
      </c>
      <c r="N753">
        <v>40</v>
      </c>
      <c r="O753" t="s">
        <v>52</v>
      </c>
      <c r="Q753" t="s">
        <v>132</v>
      </c>
      <c r="R753" t="s">
        <v>103</v>
      </c>
      <c r="S753" t="s">
        <v>104</v>
      </c>
    </row>
    <row r="754" spans="1:19" x14ac:dyDescent="0.25">
      <c r="A754" t="s">
        <v>59</v>
      </c>
      <c r="B754" t="s">
        <v>60</v>
      </c>
      <c r="C754" t="s">
        <v>32</v>
      </c>
      <c r="D754" t="s">
        <v>33</v>
      </c>
      <c r="E754" t="s">
        <v>1292</v>
      </c>
      <c r="F754" t="s">
        <v>35</v>
      </c>
      <c r="G754" t="s">
        <v>35</v>
      </c>
      <c r="H754" t="s">
        <v>35</v>
      </c>
      <c r="J754" t="s">
        <v>1304</v>
      </c>
      <c r="K754" t="s">
        <v>1092</v>
      </c>
      <c r="M754">
        <v>0.53</v>
      </c>
      <c r="N754">
        <v>56</v>
      </c>
      <c r="O754" t="s">
        <v>52</v>
      </c>
      <c r="Q754" t="s">
        <v>423</v>
      </c>
      <c r="R754" t="s">
        <v>103</v>
      </c>
      <c r="S754" t="s">
        <v>104</v>
      </c>
    </row>
    <row r="755" spans="1:19" x14ac:dyDescent="0.25">
      <c r="A755" t="s">
        <v>59</v>
      </c>
      <c r="B755" t="s">
        <v>60</v>
      </c>
      <c r="C755" t="s">
        <v>32</v>
      </c>
      <c r="D755" t="s">
        <v>33</v>
      </c>
      <c r="E755" t="s">
        <v>172</v>
      </c>
      <c r="F755" t="s">
        <v>35</v>
      </c>
      <c r="G755" t="s">
        <v>35</v>
      </c>
      <c r="H755" t="s">
        <v>35</v>
      </c>
      <c r="J755" t="s">
        <v>1304</v>
      </c>
      <c r="K755" t="s">
        <v>1092</v>
      </c>
      <c r="M755">
        <v>1.9</v>
      </c>
      <c r="N755">
        <v>92</v>
      </c>
      <c r="O755" t="s">
        <v>106</v>
      </c>
      <c r="Q755" t="s">
        <v>1216</v>
      </c>
      <c r="R755" t="s">
        <v>103</v>
      </c>
      <c r="S755" t="s">
        <v>104</v>
      </c>
    </row>
    <row r="756" spans="1:19" x14ac:dyDescent="0.25">
      <c r="A756" t="s">
        <v>44</v>
      </c>
      <c r="B756" t="s">
        <v>3</v>
      </c>
      <c r="C756" t="s">
        <v>32</v>
      </c>
      <c r="D756" t="s">
        <v>33</v>
      </c>
      <c r="E756" t="s">
        <v>172</v>
      </c>
      <c r="F756" t="s">
        <v>35</v>
      </c>
      <c r="G756" t="s">
        <v>35</v>
      </c>
      <c r="H756" t="s">
        <v>35</v>
      </c>
      <c r="J756" t="s">
        <v>1304</v>
      </c>
      <c r="K756" t="s">
        <v>1092</v>
      </c>
      <c r="M756">
        <v>1.75</v>
      </c>
      <c r="N756">
        <v>55</v>
      </c>
      <c r="O756" t="s">
        <v>52</v>
      </c>
      <c r="Q756" t="s">
        <v>90</v>
      </c>
      <c r="R756" t="s">
        <v>103</v>
      </c>
      <c r="S756" t="s">
        <v>104</v>
      </c>
    </row>
    <row r="757" spans="1:19" x14ac:dyDescent="0.25">
      <c r="A757" t="s">
        <v>30</v>
      </c>
      <c r="B757" t="s">
        <v>31</v>
      </c>
      <c r="C757" t="s">
        <v>32</v>
      </c>
      <c r="D757" t="s">
        <v>33</v>
      </c>
      <c r="E757" t="s">
        <v>64</v>
      </c>
      <c r="F757" t="s">
        <v>35</v>
      </c>
      <c r="G757" t="s">
        <v>35</v>
      </c>
      <c r="H757" t="s">
        <v>35</v>
      </c>
      <c r="J757" t="s">
        <v>1221</v>
      </c>
      <c r="K757" t="s">
        <v>1092</v>
      </c>
      <c r="M757">
        <v>0.66500000000000004</v>
      </c>
      <c r="N757">
        <v>245</v>
      </c>
      <c r="O757" t="s">
        <v>5</v>
      </c>
      <c r="Q757" t="s">
        <v>1222</v>
      </c>
      <c r="R757" t="s">
        <v>103</v>
      </c>
      <c r="S757" t="s">
        <v>104</v>
      </c>
    </row>
    <row r="758" spans="1:19" x14ac:dyDescent="0.25">
      <c r="A758" t="s">
        <v>59</v>
      </c>
      <c r="B758" t="s">
        <v>60</v>
      </c>
      <c r="C758" t="s">
        <v>32</v>
      </c>
      <c r="D758" t="s">
        <v>33</v>
      </c>
      <c r="E758" t="s">
        <v>204</v>
      </c>
      <c r="F758" t="s">
        <v>35</v>
      </c>
      <c r="G758" t="s">
        <v>35</v>
      </c>
      <c r="H758" t="s">
        <v>35</v>
      </c>
      <c r="J758" t="s">
        <v>1221</v>
      </c>
      <c r="K758" t="s">
        <v>1092</v>
      </c>
      <c r="M758">
        <v>1.85</v>
      </c>
      <c r="N758">
        <v>92</v>
      </c>
      <c r="O758" t="s">
        <v>106</v>
      </c>
      <c r="Q758" t="s">
        <v>1216</v>
      </c>
      <c r="R758" t="s">
        <v>103</v>
      </c>
      <c r="S758" t="s">
        <v>104</v>
      </c>
    </row>
    <row r="759" spans="1:19" x14ac:dyDescent="0.25">
      <c r="A759" t="s">
        <v>44</v>
      </c>
      <c r="B759" t="s">
        <v>3</v>
      </c>
      <c r="C759" t="s">
        <v>32</v>
      </c>
      <c r="D759" t="s">
        <v>33</v>
      </c>
      <c r="E759" t="s">
        <v>172</v>
      </c>
      <c r="F759" t="s">
        <v>35</v>
      </c>
      <c r="G759" t="s">
        <v>35</v>
      </c>
      <c r="H759" t="s">
        <v>35</v>
      </c>
      <c r="J759" t="s">
        <v>1981</v>
      </c>
      <c r="K759" t="s">
        <v>1092</v>
      </c>
      <c r="M759">
        <v>5.5</v>
      </c>
      <c r="N759">
        <v>61</v>
      </c>
      <c r="O759" t="s">
        <v>61</v>
      </c>
      <c r="Q759" t="s">
        <v>146</v>
      </c>
      <c r="R759" t="s">
        <v>103</v>
      </c>
      <c r="S759" t="s">
        <v>104</v>
      </c>
    </row>
    <row r="760" spans="1:19" x14ac:dyDescent="0.25">
      <c r="A760" t="s">
        <v>30</v>
      </c>
      <c r="B760" t="s">
        <v>31</v>
      </c>
      <c r="C760" t="s">
        <v>32</v>
      </c>
      <c r="D760" t="s">
        <v>33</v>
      </c>
      <c r="E760" t="s">
        <v>172</v>
      </c>
      <c r="F760" t="s">
        <v>35</v>
      </c>
      <c r="G760" t="s">
        <v>35</v>
      </c>
      <c r="H760" t="s">
        <v>35</v>
      </c>
      <c r="J760" t="s">
        <v>1981</v>
      </c>
      <c r="K760" t="s">
        <v>1092</v>
      </c>
      <c r="M760">
        <v>2.4750000000000001</v>
      </c>
      <c r="N760">
        <v>143</v>
      </c>
      <c r="O760" t="s">
        <v>38</v>
      </c>
      <c r="Q760" t="s">
        <v>1612</v>
      </c>
      <c r="R760" t="s">
        <v>103</v>
      </c>
      <c r="S760" t="s">
        <v>104</v>
      </c>
    </row>
    <row r="761" spans="1:19" x14ac:dyDescent="0.25">
      <c r="A761" t="s">
        <v>59</v>
      </c>
      <c r="B761" t="s">
        <v>31</v>
      </c>
      <c r="C761" t="s">
        <v>32</v>
      </c>
      <c r="D761" t="s">
        <v>33</v>
      </c>
      <c r="E761" t="s">
        <v>177</v>
      </c>
      <c r="F761" t="s">
        <v>35</v>
      </c>
      <c r="G761" t="s">
        <v>35</v>
      </c>
      <c r="H761" t="s">
        <v>35</v>
      </c>
      <c r="J761" t="s">
        <v>1991</v>
      </c>
      <c r="K761" t="s">
        <v>1092</v>
      </c>
      <c r="M761">
        <v>0.67500000000000004</v>
      </c>
      <c r="N761">
        <v>58</v>
      </c>
      <c r="O761" t="s">
        <v>52</v>
      </c>
      <c r="Q761" t="s">
        <v>128</v>
      </c>
      <c r="R761" t="s">
        <v>103</v>
      </c>
      <c r="S761" t="s">
        <v>104</v>
      </c>
    </row>
    <row r="762" spans="1:19" x14ac:dyDescent="0.25">
      <c r="A762" t="s">
        <v>59</v>
      </c>
      <c r="B762" t="s">
        <v>60</v>
      </c>
      <c r="C762" t="s">
        <v>32</v>
      </c>
      <c r="D762" t="s">
        <v>33</v>
      </c>
      <c r="E762" t="s">
        <v>177</v>
      </c>
      <c r="F762" t="s">
        <v>35</v>
      </c>
      <c r="G762" t="s">
        <v>35</v>
      </c>
      <c r="H762" t="s">
        <v>35</v>
      </c>
      <c r="J762" t="s">
        <v>2023</v>
      </c>
      <c r="K762" t="s">
        <v>404</v>
      </c>
      <c r="M762">
        <v>11</v>
      </c>
      <c r="N762">
        <v>33</v>
      </c>
      <c r="O762" t="s">
        <v>52</v>
      </c>
      <c r="Q762" t="s">
        <v>130</v>
      </c>
      <c r="R762" t="s">
        <v>103</v>
      </c>
      <c r="S762" t="s">
        <v>104</v>
      </c>
    </row>
    <row r="763" spans="1:19" x14ac:dyDescent="0.25">
      <c r="A763" t="s">
        <v>59</v>
      </c>
      <c r="B763" t="s">
        <v>31</v>
      </c>
      <c r="C763" t="s">
        <v>32</v>
      </c>
      <c r="D763" t="s">
        <v>33</v>
      </c>
      <c r="E763" t="s">
        <v>177</v>
      </c>
      <c r="F763" t="s">
        <v>35</v>
      </c>
      <c r="G763" t="s">
        <v>35</v>
      </c>
      <c r="H763" t="s">
        <v>35</v>
      </c>
      <c r="J763" t="s">
        <v>2023</v>
      </c>
      <c r="K763" t="s">
        <v>404</v>
      </c>
      <c r="M763">
        <v>5.49</v>
      </c>
      <c r="N763">
        <v>33</v>
      </c>
      <c r="O763" t="s">
        <v>52</v>
      </c>
      <c r="Q763" t="s">
        <v>130</v>
      </c>
      <c r="R763" t="s">
        <v>103</v>
      </c>
      <c r="S763" t="s">
        <v>104</v>
      </c>
    </row>
    <row r="764" spans="1:19" x14ac:dyDescent="0.25">
      <c r="A764" t="s">
        <v>30</v>
      </c>
      <c r="B764" t="s">
        <v>31</v>
      </c>
      <c r="C764" t="s">
        <v>32</v>
      </c>
      <c r="D764" t="s">
        <v>33</v>
      </c>
      <c r="E764" t="s">
        <v>64</v>
      </c>
      <c r="F764" t="s">
        <v>35</v>
      </c>
      <c r="G764" t="s">
        <v>35</v>
      </c>
      <c r="H764" t="s">
        <v>35</v>
      </c>
      <c r="J764" t="s">
        <v>1224</v>
      </c>
      <c r="K764" t="s">
        <v>1092</v>
      </c>
      <c r="M764">
        <v>0.9</v>
      </c>
      <c r="N764">
        <v>275</v>
      </c>
      <c r="O764" t="s">
        <v>5</v>
      </c>
      <c r="Q764" t="s">
        <v>1225</v>
      </c>
      <c r="R764" t="s">
        <v>103</v>
      </c>
      <c r="S764" t="s">
        <v>104</v>
      </c>
    </row>
    <row r="765" spans="1:19" x14ac:dyDescent="0.25">
      <c r="A765" t="s">
        <v>30</v>
      </c>
      <c r="B765" t="s">
        <v>31</v>
      </c>
      <c r="C765" t="s">
        <v>32</v>
      </c>
      <c r="D765" t="s">
        <v>33</v>
      </c>
      <c r="E765" t="s">
        <v>122</v>
      </c>
      <c r="F765" t="s">
        <v>35</v>
      </c>
      <c r="G765" t="s">
        <v>35</v>
      </c>
      <c r="H765" t="s">
        <v>35</v>
      </c>
      <c r="J765" t="s">
        <v>1816</v>
      </c>
      <c r="K765" t="s">
        <v>1092</v>
      </c>
      <c r="M765">
        <v>4.5449999999999999</v>
      </c>
      <c r="N765">
        <v>9</v>
      </c>
      <c r="O765" t="s">
        <v>46</v>
      </c>
      <c r="Q765" t="s">
        <v>323</v>
      </c>
      <c r="R765" t="s">
        <v>103</v>
      </c>
      <c r="S765" t="s">
        <v>104</v>
      </c>
    </row>
    <row r="766" spans="1:19" x14ac:dyDescent="0.25">
      <c r="A766" t="s">
        <v>59</v>
      </c>
      <c r="B766" t="s">
        <v>31</v>
      </c>
      <c r="C766" t="s">
        <v>32</v>
      </c>
      <c r="D766" t="s">
        <v>33</v>
      </c>
      <c r="E766" t="s">
        <v>34</v>
      </c>
      <c r="F766" t="s">
        <v>35</v>
      </c>
      <c r="G766" t="s">
        <v>35</v>
      </c>
      <c r="H766" t="s">
        <v>35</v>
      </c>
      <c r="J766" t="s">
        <v>1138</v>
      </c>
      <c r="K766" t="s">
        <v>1092</v>
      </c>
      <c r="M766">
        <v>10.484999999999999</v>
      </c>
      <c r="N766">
        <v>56</v>
      </c>
      <c r="O766" t="s">
        <v>52</v>
      </c>
      <c r="Q766" t="s">
        <v>423</v>
      </c>
      <c r="R766" t="s">
        <v>103</v>
      </c>
      <c r="S766" t="s">
        <v>104</v>
      </c>
    </row>
    <row r="767" spans="1:19" x14ac:dyDescent="0.25">
      <c r="A767" t="s">
        <v>44</v>
      </c>
      <c r="B767" t="s">
        <v>3</v>
      </c>
      <c r="C767" t="s">
        <v>32</v>
      </c>
      <c r="D767" t="s">
        <v>33</v>
      </c>
      <c r="E767" t="s">
        <v>114</v>
      </c>
      <c r="F767" t="s">
        <v>35</v>
      </c>
      <c r="G767" t="s">
        <v>35</v>
      </c>
      <c r="H767" t="s">
        <v>35</v>
      </c>
      <c r="J767" t="s">
        <v>1598</v>
      </c>
      <c r="K767" t="s">
        <v>1092</v>
      </c>
      <c r="M767">
        <v>0.35</v>
      </c>
      <c r="N767">
        <v>61</v>
      </c>
      <c r="O767" t="s">
        <v>61</v>
      </c>
      <c r="Q767" t="s">
        <v>146</v>
      </c>
      <c r="R767" t="s">
        <v>103</v>
      </c>
      <c r="S767" t="s">
        <v>104</v>
      </c>
    </row>
    <row r="768" spans="1:19" x14ac:dyDescent="0.25">
      <c r="A768" t="s">
        <v>44</v>
      </c>
      <c r="B768" t="s">
        <v>3</v>
      </c>
      <c r="C768" t="s">
        <v>32</v>
      </c>
      <c r="D768" t="s">
        <v>33</v>
      </c>
      <c r="E768" t="s">
        <v>122</v>
      </c>
      <c r="F768" t="s">
        <v>35</v>
      </c>
      <c r="G768" t="s">
        <v>35</v>
      </c>
      <c r="H768" t="s">
        <v>35</v>
      </c>
      <c r="J768" t="s">
        <v>1786</v>
      </c>
      <c r="K768" t="s">
        <v>1092</v>
      </c>
      <c r="M768">
        <v>0.45</v>
      </c>
      <c r="N768">
        <v>429</v>
      </c>
      <c r="O768" t="s">
        <v>294</v>
      </c>
      <c r="Q768" t="s">
        <v>1787</v>
      </c>
      <c r="R768" t="s">
        <v>103</v>
      </c>
      <c r="S768" t="s">
        <v>104</v>
      </c>
    </row>
    <row r="769" spans="1:19" x14ac:dyDescent="0.25">
      <c r="A769" t="s">
        <v>59</v>
      </c>
      <c r="B769" t="s">
        <v>60</v>
      </c>
      <c r="C769" t="s">
        <v>32</v>
      </c>
      <c r="D769" t="s">
        <v>33</v>
      </c>
      <c r="E769" t="s">
        <v>122</v>
      </c>
      <c r="F769" t="s">
        <v>35</v>
      </c>
      <c r="G769" t="s">
        <v>35</v>
      </c>
      <c r="H769" t="s">
        <v>35</v>
      </c>
      <c r="J769" t="s">
        <v>1786</v>
      </c>
      <c r="K769" t="s">
        <v>1092</v>
      </c>
      <c r="M769">
        <v>4.4000000000000004</v>
      </c>
      <c r="N769">
        <v>56</v>
      </c>
      <c r="O769" t="s">
        <v>52</v>
      </c>
      <c r="Q769" t="s">
        <v>423</v>
      </c>
      <c r="R769" t="s">
        <v>103</v>
      </c>
      <c r="S769" t="s">
        <v>104</v>
      </c>
    </row>
    <row r="770" spans="1:19" x14ac:dyDescent="0.25">
      <c r="A770" t="s">
        <v>44</v>
      </c>
      <c r="B770" t="s">
        <v>51</v>
      </c>
      <c r="C770" t="s">
        <v>32</v>
      </c>
      <c r="D770" t="s">
        <v>33</v>
      </c>
      <c r="E770" t="s">
        <v>122</v>
      </c>
      <c r="F770" t="s">
        <v>35</v>
      </c>
      <c r="G770" t="s">
        <v>35</v>
      </c>
      <c r="H770" t="s">
        <v>35</v>
      </c>
      <c r="J770" t="s">
        <v>1677</v>
      </c>
      <c r="K770" t="s">
        <v>1092</v>
      </c>
      <c r="M770">
        <v>3.25</v>
      </c>
      <c r="N770">
        <v>54</v>
      </c>
      <c r="O770" t="s">
        <v>52</v>
      </c>
      <c r="Q770" t="s">
        <v>671</v>
      </c>
      <c r="R770" t="s">
        <v>103</v>
      </c>
      <c r="S770" t="s">
        <v>104</v>
      </c>
    </row>
    <row r="771" spans="1:19" x14ac:dyDescent="0.25">
      <c r="A771" t="s">
        <v>59</v>
      </c>
      <c r="B771" t="s">
        <v>60</v>
      </c>
      <c r="C771" t="s">
        <v>32</v>
      </c>
      <c r="D771" t="s">
        <v>33</v>
      </c>
      <c r="E771" t="s">
        <v>122</v>
      </c>
      <c r="F771" t="s">
        <v>35</v>
      </c>
      <c r="G771" t="s">
        <v>35</v>
      </c>
      <c r="H771" t="s">
        <v>35</v>
      </c>
      <c r="J771" t="s">
        <v>1677</v>
      </c>
      <c r="K771" t="s">
        <v>1092</v>
      </c>
      <c r="M771">
        <v>9.3000000000000007</v>
      </c>
      <c r="N771">
        <v>64</v>
      </c>
      <c r="O771" t="s">
        <v>61</v>
      </c>
      <c r="Q771" t="s">
        <v>102</v>
      </c>
      <c r="R771" t="s">
        <v>103</v>
      </c>
      <c r="S771" t="s">
        <v>104</v>
      </c>
    </row>
    <row r="772" spans="1:19" x14ac:dyDescent="0.25">
      <c r="A772" t="s">
        <v>59</v>
      </c>
      <c r="B772" t="s">
        <v>31</v>
      </c>
      <c r="C772" t="s">
        <v>32</v>
      </c>
      <c r="D772" t="s">
        <v>33</v>
      </c>
      <c r="E772" t="s">
        <v>122</v>
      </c>
      <c r="F772" t="s">
        <v>35</v>
      </c>
      <c r="G772" t="s">
        <v>35</v>
      </c>
      <c r="H772" t="s">
        <v>35</v>
      </c>
      <c r="J772" t="s">
        <v>1677</v>
      </c>
      <c r="K772" t="s">
        <v>1092</v>
      </c>
      <c r="M772">
        <v>1.53</v>
      </c>
      <c r="N772">
        <v>64</v>
      </c>
      <c r="O772" t="s">
        <v>61</v>
      </c>
      <c r="Q772" t="s">
        <v>102</v>
      </c>
      <c r="R772" t="s">
        <v>103</v>
      </c>
      <c r="S772" t="s">
        <v>104</v>
      </c>
    </row>
    <row r="773" spans="1:19" x14ac:dyDescent="0.25">
      <c r="A773" t="s">
        <v>59</v>
      </c>
      <c r="B773" t="s">
        <v>60</v>
      </c>
      <c r="C773" t="s">
        <v>32</v>
      </c>
      <c r="D773" t="s">
        <v>33</v>
      </c>
      <c r="E773" t="s">
        <v>122</v>
      </c>
      <c r="F773" t="s">
        <v>35</v>
      </c>
      <c r="G773" t="s">
        <v>35</v>
      </c>
      <c r="H773" t="s">
        <v>35</v>
      </c>
      <c r="J773" t="s">
        <v>1677</v>
      </c>
      <c r="K773" t="s">
        <v>1092</v>
      </c>
      <c r="M773">
        <v>10</v>
      </c>
      <c r="N773">
        <v>56</v>
      </c>
      <c r="O773" t="s">
        <v>52</v>
      </c>
      <c r="Q773" t="s">
        <v>423</v>
      </c>
      <c r="R773" t="s">
        <v>103</v>
      </c>
      <c r="S773" t="s">
        <v>104</v>
      </c>
    </row>
    <row r="774" spans="1:19" x14ac:dyDescent="0.25">
      <c r="A774" t="s">
        <v>59</v>
      </c>
      <c r="B774" t="s">
        <v>60</v>
      </c>
      <c r="C774" t="s">
        <v>32</v>
      </c>
      <c r="D774" t="s">
        <v>33</v>
      </c>
      <c r="E774" t="s">
        <v>64</v>
      </c>
      <c r="F774" t="s">
        <v>35</v>
      </c>
      <c r="G774" t="s">
        <v>35</v>
      </c>
      <c r="H774" t="s">
        <v>35</v>
      </c>
      <c r="J774" t="s">
        <v>1228</v>
      </c>
      <c r="K774" t="s">
        <v>1092</v>
      </c>
      <c r="M774">
        <v>0.45</v>
      </c>
      <c r="N774">
        <v>140</v>
      </c>
      <c r="O774" t="s">
        <v>38</v>
      </c>
      <c r="Q774" t="s">
        <v>1229</v>
      </c>
      <c r="R774" t="s">
        <v>103</v>
      </c>
      <c r="S774" t="s">
        <v>104</v>
      </c>
    </row>
    <row r="775" spans="1:19" x14ac:dyDescent="0.25">
      <c r="A775" t="s">
        <v>59</v>
      </c>
      <c r="B775" t="s">
        <v>31</v>
      </c>
      <c r="C775" t="s">
        <v>32</v>
      </c>
      <c r="D775" t="s">
        <v>33</v>
      </c>
      <c r="E775" t="s">
        <v>119</v>
      </c>
      <c r="F775" t="s">
        <v>35</v>
      </c>
      <c r="G775" t="s">
        <v>35</v>
      </c>
      <c r="H775" t="s">
        <v>35</v>
      </c>
      <c r="J775" t="s">
        <v>1620</v>
      </c>
      <c r="K775" t="s">
        <v>1092</v>
      </c>
      <c r="M775">
        <v>3.0150000000000001</v>
      </c>
      <c r="N775">
        <v>100</v>
      </c>
      <c r="O775" t="s">
        <v>106</v>
      </c>
      <c r="Q775" t="s">
        <v>1621</v>
      </c>
      <c r="R775" t="s">
        <v>103</v>
      </c>
      <c r="S775" t="s">
        <v>104</v>
      </c>
    </row>
    <row r="776" spans="1:19" x14ac:dyDescent="0.25">
      <c r="A776" t="s">
        <v>30</v>
      </c>
      <c r="B776" t="s">
        <v>31</v>
      </c>
      <c r="C776" t="s">
        <v>32</v>
      </c>
      <c r="D776" t="s">
        <v>33</v>
      </c>
      <c r="E776" t="s">
        <v>122</v>
      </c>
      <c r="F776" t="s">
        <v>35</v>
      </c>
      <c r="G776" t="s">
        <v>35</v>
      </c>
      <c r="H776" t="s">
        <v>35</v>
      </c>
      <c r="J776" t="s">
        <v>1709</v>
      </c>
      <c r="K776" t="s">
        <v>1092</v>
      </c>
      <c r="M776">
        <v>5.49</v>
      </c>
      <c r="N776">
        <v>69</v>
      </c>
      <c r="O776" t="s">
        <v>61</v>
      </c>
      <c r="Q776" t="s">
        <v>234</v>
      </c>
      <c r="R776" t="s">
        <v>103</v>
      </c>
      <c r="S776" t="s">
        <v>104</v>
      </c>
    </row>
    <row r="777" spans="1:19" x14ac:dyDescent="0.25">
      <c r="A777" t="s">
        <v>59</v>
      </c>
      <c r="B777" t="s">
        <v>60</v>
      </c>
      <c r="C777" t="s">
        <v>32</v>
      </c>
      <c r="D777" t="s">
        <v>33</v>
      </c>
      <c r="E777" t="s">
        <v>64</v>
      </c>
      <c r="F777" t="s">
        <v>35</v>
      </c>
      <c r="G777" t="s">
        <v>35</v>
      </c>
      <c r="H777" t="s">
        <v>35</v>
      </c>
      <c r="J777" t="s">
        <v>1233</v>
      </c>
      <c r="K777" t="s">
        <v>1092</v>
      </c>
      <c r="M777">
        <v>2</v>
      </c>
      <c r="N777">
        <v>285</v>
      </c>
      <c r="O777" t="s">
        <v>5</v>
      </c>
      <c r="Q777" t="s">
        <v>1234</v>
      </c>
      <c r="R777" t="s">
        <v>103</v>
      </c>
      <c r="S777" t="s">
        <v>104</v>
      </c>
    </row>
    <row r="778" spans="1:19" x14ac:dyDescent="0.25">
      <c r="A778" t="s">
        <v>59</v>
      </c>
      <c r="B778" t="s">
        <v>60</v>
      </c>
      <c r="C778" t="s">
        <v>32</v>
      </c>
      <c r="D778" t="s">
        <v>33</v>
      </c>
      <c r="E778" t="s">
        <v>196</v>
      </c>
      <c r="F778" t="s">
        <v>35</v>
      </c>
      <c r="G778" t="s">
        <v>35</v>
      </c>
      <c r="H778" t="s">
        <v>35</v>
      </c>
      <c r="J778" t="s">
        <v>197</v>
      </c>
      <c r="K778" t="s">
        <v>37</v>
      </c>
      <c r="M778">
        <v>3</v>
      </c>
      <c r="N778">
        <v>59</v>
      </c>
      <c r="O778" t="s">
        <v>52</v>
      </c>
      <c r="P778" t="s">
        <v>202</v>
      </c>
      <c r="Q778" t="s">
        <v>203</v>
      </c>
      <c r="R778" t="s">
        <v>103</v>
      </c>
      <c r="S778" t="s">
        <v>104</v>
      </c>
    </row>
    <row r="779" spans="1:19" x14ac:dyDescent="0.25">
      <c r="A779" t="s">
        <v>44</v>
      </c>
      <c r="B779" t="s">
        <v>51</v>
      </c>
      <c r="C779" t="s">
        <v>32</v>
      </c>
      <c r="D779" t="s">
        <v>33</v>
      </c>
      <c r="F779" t="s">
        <v>35</v>
      </c>
      <c r="G779" t="s">
        <v>35</v>
      </c>
      <c r="H779" t="s">
        <v>35</v>
      </c>
      <c r="J779" t="s">
        <v>2246</v>
      </c>
      <c r="K779" t="s">
        <v>1092</v>
      </c>
      <c r="M779">
        <v>2.2999999999999998</v>
      </c>
      <c r="N779">
        <v>240</v>
      </c>
      <c r="O779" t="s">
        <v>5</v>
      </c>
      <c r="Q779" t="s">
        <v>574</v>
      </c>
      <c r="R779" t="s">
        <v>103</v>
      </c>
      <c r="S779" t="s">
        <v>104</v>
      </c>
    </row>
    <row r="780" spans="1:19" x14ac:dyDescent="0.25">
      <c r="A780" t="s">
        <v>59</v>
      </c>
      <c r="B780" t="s">
        <v>31</v>
      </c>
      <c r="C780" t="s">
        <v>32</v>
      </c>
      <c r="D780" t="s">
        <v>33</v>
      </c>
      <c r="F780" t="s">
        <v>35</v>
      </c>
      <c r="G780" t="s">
        <v>35</v>
      </c>
      <c r="H780" t="s">
        <v>35</v>
      </c>
      <c r="J780" t="s">
        <v>2246</v>
      </c>
      <c r="K780" t="s">
        <v>1092</v>
      </c>
      <c r="M780">
        <v>4.6349999999999998</v>
      </c>
      <c r="N780">
        <v>56</v>
      </c>
      <c r="O780" t="s">
        <v>52</v>
      </c>
      <c r="Q780" t="s">
        <v>423</v>
      </c>
      <c r="R780" t="s">
        <v>103</v>
      </c>
      <c r="S780" t="s">
        <v>104</v>
      </c>
    </row>
    <row r="781" spans="1:19" x14ac:dyDescent="0.25">
      <c r="A781" t="s">
        <v>44</v>
      </c>
      <c r="B781" t="s">
        <v>51</v>
      </c>
      <c r="C781" t="s">
        <v>32</v>
      </c>
      <c r="D781" t="s">
        <v>33</v>
      </c>
      <c r="F781" t="s">
        <v>35</v>
      </c>
      <c r="G781" t="s">
        <v>35</v>
      </c>
      <c r="H781" t="s">
        <v>35</v>
      </c>
      <c r="J781" t="s">
        <v>2247</v>
      </c>
      <c r="K781" t="s">
        <v>1092</v>
      </c>
      <c r="M781">
        <v>5.5</v>
      </c>
      <c r="N781">
        <v>55</v>
      </c>
      <c r="O781" t="s">
        <v>52</v>
      </c>
      <c r="Q781" t="s">
        <v>90</v>
      </c>
      <c r="R781" t="s">
        <v>103</v>
      </c>
      <c r="S781" t="s">
        <v>104</v>
      </c>
    </row>
    <row r="782" spans="1:19" x14ac:dyDescent="0.25">
      <c r="A782" t="s">
        <v>59</v>
      </c>
      <c r="B782" t="s">
        <v>60</v>
      </c>
      <c r="C782" t="s">
        <v>32</v>
      </c>
      <c r="D782" t="s">
        <v>33</v>
      </c>
      <c r="F782" t="s">
        <v>35</v>
      </c>
      <c r="G782" t="s">
        <v>35</v>
      </c>
      <c r="H782" t="s">
        <v>35</v>
      </c>
      <c r="J782" t="s">
        <v>2247</v>
      </c>
      <c r="K782" t="s">
        <v>1092</v>
      </c>
      <c r="M782">
        <v>0.9</v>
      </c>
      <c r="N782">
        <v>425</v>
      </c>
      <c r="O782" t="s">
        <v>294</v>
      </c>
      <c r="Q782" t="s">
        <v>1271</v>
      </c>
      <c r="R782" t="s">
        <v>103</v>
      </c>
      <c r="S782" t="s">
        <v>104</v>
      </c>
    </row>
    <row r="783" spans="1:19" x14ac:dyDescent="0.25">
      <c r="A783" t="s">
        <v>59</v>
      </c>
      <c r="B783" t="s">
        <v>31</v>
      </c>
      <c r="C783" t="s">
        <v>32</v>
      </c>
      <c r="D783" t="s">
        <v>33</v>
      </c>
      <c r="F783" t="s">
        <v>35</v>
      </c>
      <c r="G783" t="s">
        <v>35</v>
      </c>
      <c r="H783" t="s">
        <v>35</v>
      </c>
      <c r="J783" t="s">
        <v>2247</v>
      </c>
      <c r="K783" t="s">
        <v>1092</v>
      </c>
      <c r="M783">
        <v>3.94</v>
      </c>
      <c r="N783">
        <v>56</v>
      </c>
      <c r="O783" t="s">
        <v>52</v>
      </c>
      <c r="Q783" t="s">
        <v>423</v>
      </c>
      <c r="R783" t="s">
        <v>103</v>
      </c>
      <c r="S783" t="s">
        <v>104</v>
      </c>
    </row>
    <row r="784" spans="1:19" x14ac:dyDescent="0.25">
      <c r="A784" t="s">
        <v>44</v>
      </c>
      <c r="B784" t="s">
        <v>3</v>
      </c>
      <c r="C784" t="s">
        <v>32</v>
      </c>
      <c r="D784" t="s">
        <v>33</v>
      </c>
      <c r="F784" t="s">
        <v>35</v>
      </c>
      <c r="G784" t="s">
        <v>35</v>
      </c>
      <c r="H784" t="s">
        <v>35</v>
      </c>
      <c r="J784" t="s">
        <v>2247</v>
      </c>
      <c r="K784" t="s">
        <v>1092</v>
      </c>
      <c r="M784">
        <v>0.5</v>
      </c>
      <c r="N784">
        <v>427</v>
      </c>
      <c r="O784" t="s">
        <v>294</v>
      </c>
      <c r="Q784" t="s">
        <v>1370</v>
      </c>
      <c r="R784" t="s">
        <v>103</v>
      </c>
      <c r="S784" t="s">
        <v>104</v>
      </c>
    </row>
    <row r="785" spans="1:19" x14ac:dyDescent="0.25">
      <c r="A785" t="s">
        <v>59</v>
      </c>
      <c r="B785" t="s">
        <v>60</v>
      </c>
      <c r="C785" t="s">
        <v>32</v>
      </c>
      <c r="D785" t="s">
        <v>33</v>
      </c>
      <c r="E785" t="s">
        <v>1292</v>
      </c>
      <c r="F785" t="s">
        <v>35</v>
      </c>
      <c r="G785" t="s">
        <v>35</v>
      </c>
      <c r="H785" t="s">
        <v>35</v>
      </c>
      <c r="J785" t="s">
        <v>1323</v>
      </c>
      <c r="K785" t="s">
        <v>1092</v>
      </c>
      <c r="M785">
        <v>4</v>
      </c>
      <c r="N785">
        <v>56</v>
      </c>
      <c r="O785" t="s">
        <v>52</v>
      </c>
      <c r="Q785" t="s">
        <v>423</v>
      </c>
      <c r="R785" t="s">
        <v>103</v>
      </c>
      <c r="S785" t="s">
        <v>104</v>
      </c>
    </row>
    <row r="786" spans="1:19" x14ac:dyDescent="0.25">
      <c r="A786" t="s">
        <v>44</v>
      </c>
      <c r="B786" t="s">
        <v>51</v>
      </c>
      <c r="C786" t="s">
        <v>32</v>
      </c>
      <c r="D786" t="s">
        <v>33</v>
      </c>
      <c r="E786" t="s">
        <v>1292</v>
      </c>
      <c r="F786" t="s">
        <v>35</v>
      </c>
      <c r="G786" t="s">
        <v>35</v>
      </c>
      <c r="H786" t="s">
        <v>35</v>
      </c>
      <c r="J786" t="s">
        <v>1323</v>
      </c>
      <c r="K786" t="s">
        <v>1092</v>
      </c>
      <c r="M786">
        <v>5.5</v>
      </c>
      <c r="N786">
        <v>24</v>
      </c>
      <c r="O786" t="s">
        <v>46</v>
      </c>
      <c r="Q786" t="s">
        <v>972</v>
      </c>
      <c r="R786" t="s">
        <v>103</v>
      </c>
      <c r="S786" t="s">
        <v>104</v>
      </c>
    </row>
    <row r="787" spans="1:19" x14ac:dyDescent="0.25">
      <c r="A787" t="s">
        <v>30</v>
      </c>
      <c r="B787" t="s">
        <v>31</v>
      </c>
      <c r="C787" t="s">
        <v>32</v>
      </c>
      <c r="D787" t="s">
        <v>33</v>
      </c>
      <c r="E787" t="s">
        <v>172</v>
      </c>
      <c r="F787" t="s">
        <v>35</v>
      </c>
      <c r="G787" t="s">
        <v>35</v>
      </c>
      <c r="H787" t="s">
        <v>35</v>
      </c>
      <c r="J787" t="s">
        <v>1968</v>
      </c>
      <c r="K787" t="s">
        <v>1092</v>
      </c>
      <c r="M787">
        <v>5.49</v>
      </c>
      <c r="N787">
        <v>69</v>
      </c>
      <c r="O787" t="s">
        <v>61</v>
      </c>
      <c r="Q787" t="s">
        <v>234</v>
      </c>
      <c r="R787" t="s">
        <v>103</v>
      </c>
      <c r="S787" t="s">
        <v>104</v>
      </c>
    </row>
    <row r="788" spans="1:19" x14ac:dyDescent="0.25">
      <c r="A788" t="s">
        <v>44</v>
      </c>
      <c r="B788" t="s">
        <v>3</v>
      </c>
      <c r="C788" t="s">
        <v>32</v>
      </c>
      <c r="D788" t="s">
        <v>33</v>
      </c>
      <c r="E788" t="s">
        <v>172</v>
      </c>
      <c r="F788" t="s">
        <v>35</v>
      </c>
      <c r="G788" t="s">
        <v>35</v>
      </c>
      <c r="H788" t="s">
        <v>35</v>
      </c>
      <c r="J788" t="s">
        <v>1928</v>
      </c>
      <c r="K788" t="s">
        <v>1092</v>
      </c>
      <c r="M788">
        <v>4.5</v>
      </c>
      <c r="N788">
        <v>61</v>
      </c>
      <c r="O788" t="s">
        <v>61</v>
      </c>
      <c r="Q788" t="s">
        <v>146</v>
      </c>
      <c r="R788" t="s">
        <v>103</v>
      </c>
      <c r="S788" t="s">
        <v>104</v>
      </c>
    </row>
    <row r="789" spans="1:19" x14ac:dyDescent="0.25">
      <c r="A789" t="s">
        <v>30</v>
      </c>
      <c r="B789" t="s">
        <v>31</v>
      </c>
      <c r="C789" t="s">
        <v>32</v>
      </c>
      <c r="D789" t="s">
        <v>33</v>
      </c>
      <c r="E789" t="s">
        <v>114</v>
      </c>
      <c r="F789" t="s">
        <v>35</v>
      </c>
      <c r="G789" t="s">
        <v>35</v>
      </c>
      <c r="H789" t="s">
        <v>35</v>
      </c>
      <c r="J789" t="s">
        <v>1603</v>
      </c>
      <c r="K789" t="s">
        <v>1092</v>
      </c>
      <c r="M789">
        <v>4.95</v>
      </c>
      <c r="N789">
        <v>40</v>
      </c>
      <c r="O789" t="s">
        <v>52</v>
      </c>
      <c r="Q789" t="s">
        <v>132</v>
      </c>
      <c r="R789" t="s">
        <v>103</v>
      </c>
      <c r="S789" t="s">
        <v>104</v>
      </c>
    </row>
    <row r="790" spans="1:19" x14ac:dyDescent="0.25">
      <c r="A790" t="s">
        <v>44</v>
      </c>
      <c r="B790" t="s">
        <v>3</v>
      </c>
      <c r="C790" t="s">
        <v>32</v>
      </c>
      <c r="D790" t="s">
        <v>33</v>
      </c>
      <c r="E790" t="s">
        <v>114</v>
      </c>
      <c r="F790" t="s">
        <v>35</v>
      </c>
      <c r="G790" t="s">
        <v>35</v>
      </c>
      <c r="H790" t="s">
        <v>35</v>
      </c>
      <c r="J790" t="s">
        <v>1603</v>
      </c>
      <c r="K790" t="s">
        <v>1092</v>
      </c>
      <c r="M790">
        <v>2.5</v>
      </c>
      <c r="N790">
        <v>61</v>
      </c>
      <c r="O790" t="s">
        <v>61</v>
      </c>
      <c r="Q790" t="s">
        <v>146</v>
      </c>
      <c r="R790" t="s">
        <v>103</v>
      </c>
      <c r="S790" t="s">
        <v>104</v>
      </c>
    </row>
    <row r="791" spans="1:19" x14ac:dyDescent="0.25">
      <c r="A791" t="s">
        <v>59</v>
      </c>
      <c r="B791" t="s">
        <v>60</v>
      </c>
      <c r="C791" t="s">
        <v>32</v>
      </c>
      <c r="D791" t="s">
        <v>33</v>
      </c>
      <c r="E791" t="s">
        <v>34</v>
      </c>
      <c r="F791" t="s">
        <v>35</v>
      </c>
      <c r="G791" t="s">
        <v>35</v>
      </c>
      <c r="H791" t="s">
        <v>35</v>
      </c>
      <c r="J791" t="s">
        <v>1125</v>
      </c>
      <c r="K791" t="s">
        <v>1092</v>
      </c>
      <c r="M791">
        <v>0.5</v>
      </c>
      <c r="N791">
        <v>346</v>
      </c>
      <c r="O791" t="s">
        <v>5</v>
      </c>
      <c r="Q791" t="s">
        <v>1126</v>
      </c>
      <c r="R791" t="s">
        <v>103</v>
      </c>
      <c r="S791" t="s">
        <v>104</v>
      </c>
    </row>
    <row r="792" spans="1:19" x14ac:dyDescent="0.25">
      <c r="A792" t="s">
        <v>44</v>
      </c>
      <c r="B792" t="s">
        <v>51</v>
      </c>
      <c r="C792" t="s">
        <v>32</v>
      </c>
      <c r="D792" t="s">
        <v>33</v>
      </c>
      <c r="E792" t="s">
        <v>34</v>
      </c>
      <c r="F792" t="s">
        <v>35</v>
      </c>
      <c r="G792" t="s">
        <v>35</v>
      </c>
      <c r="H792" t="s">
        <v>35</v>
      </c>
      <c r="J792" t="s">
        <v>1125</v>
      </c>
      <c r="K792" t="s">
        <v>1092</v>
      </c>
      <c r="M792">
        <v>5</v>
      </c>
      <c r="N792">
        <v>55</v>
      </c>
      <c r="O792" t="s">
        <v>52</v>
      </c>
      <c r="Q792" t="s">
        <v>90</v>
      </c>
      <c r="R792" t="s">
        <v>103</v>
      </c>
      <c r="S792" t="s">
        <v>104</v>
      </c>
    </row>
    <row r="793" spans="1:19" x14ac:dyDescent="0.25">
      <c r="A793" t="s">
        <v>30</v>
      </c>
      <c r="B793" t="s">
        <v>31</v>
      </c>
      <c r="C793" t="s">
        <v>32</v>
      </c>
      <c r="D793" t="s">
        <v>33</v>
      </c>
      <c r="F793" t="s">
        <v>35</v>
      </c>
      <c r="G793" t="s">
        <v>35</v>
      </c>
      <c r="H793" t="s">
        <v>35</v>
      </c>
      <c r="J793" t="s">
        <v>2214</v>
      </c>
      <c r="K793" t="s">
        <v>1092</v>
      </c>
      <c r="M793">
        <v>10.98</v>
      </c>
      <c r="N793">
        <v>275</v>
      </c>
      <c r="O793" t="s">
        <v>5</v>
      </c>
      <c r="Q793" t="s">
        <v>1225</v>
      </c>
      <c r="R793" t="s">
        <v>103</v>
      </c>
      <c r="S793" t="s">
        <v>104</v>
      </c>
    </row>
    <row r="794" spans="1:19" x14ac:dyDescent="0.25">
      <c r="A794" t="s">
        <v>44</v>
      </c>
      <c r="B794" t="s">
        <v>51</v>
      </c>
      <c r="C794" t="s">
        <v>32</v>
      </c>
      <c r="D794" t="s">
        <v>33</v>
      </c>
      <c r="F794" t="s">
        <v>35</v>
      </c>
      <c r="G794" t="s">
        <v>35</v>
      </c>
      <c r="H794" t="s">
        <v>35</v>
      </c>
      <c r="J794" t="s">
        <v>2382</v>
      </c>
      <c r="K794" t="s">
        <v>1092</v>
      </c>
      <c r="M794">
        <v>5.5</v>
      </c>
      <c r="N794">
        <v>52</v>
      </c>
      <c r="O794" t="s">
        <v>52</v>
      </c>
      <c r="Q794" t="s">
        <v>84</v>
      </c>
      <c r="R794" t="s">
        <v>103</v>
      </c>
      <c r="S794" t="s">
        <v>104</v>
      </c>
    </row>
    <row r="795" spans="1:19" x14ac:dyDescent="0.25">
      <c r="A795" t="s">
        <v>30</v>
      </c>
      <c r="B795" t="s">
        <v>31</v>
      </c>
      <c r="C795" t="s">
        <v>32</v>
      </c>
      <c r="D795" t="s">
        <v>33</v>
      </c>
      <c r="E795" t="s">
        <v>172</v>
      </c>
      <c r="F795" t="s">
        <v>35</v>
      </c>
      <c r="G795" t="s">
        <v>35</v>
      </c>
      <c r="H795" t="s">
        <v>35</v>
      </c>
      <c r="J795" t="s">
        <v>1965</v>
      </c>
      <c r="K795" t="s">
        <v>1092</v>
      </c>
      <c r="M795">
        <v>3.24</v>
      </c>
      <c r="N795">
        <v>40</v>
      </c>
      <c r="O795" t="s">
        <v>52</v>
      </c>
      <c r="Q795" t="s">
        <v>132</v>
      </c>
      <c r="R795" t="s">
        <v>103</v>
      </c>
      <c r="S795" t="s">
        <v>104</v>
      </c>
    </row>
    <row r="796" spans="1:19" x14ac:dyDescent="0.25">
      <c r="A796" t="s">
        <v>30</v>
      </c>
      <c r="B796" t="s">
        <v>31</v>
      </c>
      <c r="C796" t="s">
        <v>32</v>
      </c>
      <c r="D796" t="s">
        <v>33</v>
      </c>
      <c r="E796" t="s">
        <v>204</v>
      </c>
      <c r="F796" t="s">
        <v>35</v>
      </c>
      <c r="G796" t="s">
        <v>35</v>
      </c>
      <c r="H796" t="s">
        <v>35</v>
      </c>
      <c r="J796" t="s">
        <v>2173</v>
      </c>
      <c r="K796" t="s">
        <v>1092</v>
      </c>
      <c r="M796">
        <v>2.25</v>
      </c>
      <c r="N796">
        <v>40</v>
      </c>
      <c r="O796" t="s">
        <v>52</v>
      </c>
      <c r="Q796" t="s">
        <v>132</v>
      </c>
      <c r="R796" t="s">
        <v>103</v>
      </c>
      <c r="S796" t="s">
        <v>104</v>
      </c>
    </row>
    <row r="797" spans="1:19" x14ac:dyDescent="0.25">
      <c r="A797" t="s">
        <v>44</v>
      </c>
      <c r="B797" t="s">
        <v>51</v>
      </c>
      <c r="C797" t="s">
        <v>32</v>
      </c>
      <c r="D797" t="s">
        <v>33</v>
      </c>
      <c r="E797" t="s">
        <v>64</v>
      </c>
      <c r="F797" t="s">
        <v>35</v>
      </c>
      <c r="G797" t="s">
        <v>35</v>
      </c>
      <c r="H797" t="s">
        <v>35</v>
      </c>
      <c r="J797" t="s">
        <v>1247</v>
      </c>
      <c r="K797" t="s">
        <v>1092</v>
      </c>
      <c r="M797">
        <v>1.5</v>
      </c>
      <c r="N797">
        <v>55</v>
      </c>
      <c r="O797" t="s">
        <v>52</v>
      </c>
      <c r="Q797" t="s">
        <v>90</v>
      </c>
      <c r="R797" t="s">
        <v>103</v>
      </c>
      <c r="S797" t="s">
        <v>104</v>
      </c>
    </row>
    <row r="798" spans="1:19" x14ac:dyDescent="0.25">
      <c r="A798" t="s">
        <v>44</v>
      </c>
      <c r="B798" t="s">
        <v>3</v>
      </c>
      <c r="C798" t="s">
        <v>32</v>
      </c>
      <c r="D798" t="s">
        <v>33</v>
      </c>
      <c r="E798" t="s">
        <v>64</v>
      </c>
      <c r="F798" t="s">
        <v>35</v>
      </c>
      <c r="G798" t="s">
        <v>35</v>
      </c>
      <c r="H798" t="s">
        <v>35</v>
      </c>
      <c r="J798" t="s">
        <v>1247</v>
      </c>
      <c r="K798" t="s">
        <v>1092</v>
      </c>
      <c r="M798">
        <v>2.1</v>
      </c>
      <c r="N798">
        <v>61</v>
      </c>
      <c r="O798" t="s">
        <v>61</v>
      </c>
      <c r="Q798" t="s">
        <v>146</v>
      </c>
      <c r="R798" t="s">
        <v>103</v>
      </c>
      <c r="S798" t="s">
        <v>104</v>
      </c>
    </row>
    <row r="799" spans="1:19" x14ac:dyDescent="0.25">
      <c r="A799" t="s">
        <v>30</v>
      </c>
      <c r="B799" t="s">
        <v>31</v>
      </c>
      <c r="C799" t="s">
        <v>32</v>
      </c>
      <c r="D799" t="s">
        <v>33</v>
      </c>
      <c r="E799" t="s">
        <v>1583</v>
      </c>
      <c r="F799" t="s">
        <v>35</v>
      </c>
      <c r="G799" t="s">
        <v>35</v>
      </c>
      <c r="H799" t="s">
        <v>35</v>
      </c>
      <c r="J799" t="s">
        <v>1584</v>
      </c>
      <c r="K799" t="s">
        <v>1092</v>
      </c>
      <c r="M799">
        <v>0.72</v>
      </c>
      <c r="N799">
        <v>40</v>
      </c>
      <c r="O799" t="s">
        <v>52</v>
      </c>
      <c r="Q799" t="s">
        <v>132</v>
      </c>
      <c r="R799" t="s">
        <v>103</v>
      </c>
      <c r="S799" t="s">
        <v>104</v>
      </c>
    </row>
    <row r="800" spans="1:19" x14ac:dyDescent="0.25">
      <c r="A800" t="s">
        <v>44</v>
      </c>
      <c r="B800" t="s">
        <v>51</v>
      </c>
      <c r="C800" t="s">
        <v>32</v>
      </c>
      <c r="D800" t="s">
        <v>33</v>
      </c>
      <c r="E800" t="s">
        <v>1583</v>
      </c>
      <c r="F800" t="s">
        <v>35</v>
      </c>
      <c r="G800" t="s">
        <v>35</v>
      </c>
      <c r="H800" t="s">
        <v>35</v>
      </c>
      <c r="J800" t="s">
        <v>1584</v>
      </c>
      <c r="K800" t="s">
        <v>1092</v>
      </c>
      <c r="M800">
        <v>2</v>
      </c>
      <c r="N800">
        <v>55</v>
      </c>
      <c r="O800" t="s">
        <v>52</v>
      </c>
      <c r="Q800" t="s">
        <v>90</v>
      </c>
      <c r="R800" t="s">
        <v>103</v>
      </c>
      <c r="S800" t="s">
        <v>104</v>
      </c>
    </row>
    <row r="801" spans="1:19" x14ac:dyDescent="0.25">
      <c r="A801" t="s">
        <v>30</v>
      </c>
      <c r="B801" t="s">
        <v>31</v>
      </c>
      <c r="C801" t="s">
        <v>32</v>
      </c>
      <c r="D801" t="s">
        <v>33</v>
      </c>
      <c r="E801" t="s">
        <v>172</v>
      </c>
      <c r="F801" t="s">
        <v>35</v>
      </c>
      <c r="G801" t="s">
        <v>35</v>
      </c>
      <c r="H801" t="s">
        <v>35</v>
      </c>
      <c r="J801" t="s">
        <v>1912</v>
      </c>
      <c r="K801" t="s">
        <v>1092</v>
      </c>
      <c r="M801">
        <v>1.665</v>
      </c>
      <c r="N801">
        <v>40</v>
      </c>
      <c r="O801" t="s">
        <v>52</v>
      </c>
      <c r="Q801" t="s">
        <v>132</v>
      </c>
      <c r="R801" t="s">
        <v>103</v>
      </c>
      <c r="S801" t="s">
        <v>104</v>
      </c>
    </row>
    <row r="802" spans="1:19" x14ac:dyDescent="0.25">
      <c r="A802" t="s">
        <v>59</v>
      </c>
      <c r="B802" t="s">
        <v>60</v>
      </c>
      <c r="C802" t="s">
        <v>32</v>
      </c>
      <c r="D802" t="s">
        <v>33</v>
      </c>
      <c r="E802" t="s">
        <v>172</v>
      </c>
      <c r="F802" t="s">
        <v>35</v>
      </c>
      <c r="G802" t="s">
        <v>35</v>
      </c>
      <c r="H802" t="s">
        <v>35</v>
      </c>
      <c r="J802" t="s">
        <v>1912</v>
      </c>
      <c r="K802" t="s">
        <v>1092</v>
      </c>
      <c r="M802">
        <v>0.45</v>
      </c>
      <c r="N802">
        <v>92</v>
      </c>
      <c r="O802" t="s">
        <v>106</v>
      </c>
      <c r="Q802" t="s">
        <v>1216</v>
      </c>
      <c r="R802" t="s">
        <v>103</v>
      </c>
      <c r="S802" t="s">
        <v>104</v>
      </c>
    </row>
    <row r="803" spans="1:19" x14ac:dyDescent="0.25">
      <c r="A803" t="s">
        <v>44</v>
      </c>
      <c r="B803" t="s">
        <v>51</v>
      </c>
      <c r="C803" t="s">
        <v>32</v>
      </c>
      <c r="D803" t="s">
        <v>33</v>
      </c>
      <c r="F803" t="s">
        <v>35</v>
      </c>
      <c r="G803" t="s">
        <v>35</v>
      </c>
      <c r="H803" t="s">
        <v>35</v>
      </c>
      <c r="J803" t="s">
        <v>2384</v>
      </c>
      <c r="K803" t="s">
        <v>1092</v>
      </c>
      <c r="M803">
        <v>2.2570000000000001</v>
      </c>
      <c r="N803">
        <v>36</v>
      </c>
      <c r="O803" t="s">
        <v>52</v>
      </c>
      <c r="Q803" t="s">
        <v>892</v>
      </c>
      <c r="R803" t="s">
        <v>103</v>
      </c>
      <c r="S803" t="s">
        <v>104</v>
      </c>
    </row>
    <row r="804" spans="1:19" x14ac:dyDescent="0.25">
      <c r="A804" t="s">
        <v>44</v>
      </c>
      <c r="B804" t="s">
        <v>3</v>
      </c>
      <c r="C804" t="s">
        <v>32</v>
      </c>
      <c r="D804" t="s">
        <v>33</v>
      </c>
      <c r="F804" t="s">
        <v>35</v>
      </c>
      <c r="G804" t="s">
        <v>35</v>
      </c>
      <c r="H804" t="s">
        <v>35</v>
      </c>
      <c r="J804" t="s">
        <v>2384</v>
      </c>
      <c r="K804" t="s">
        <v>1092</v>
      </c>
      <c r="M804">
        <v>4.6749999999999998</v>
      </c>
      <c r="N804">
        <v>36</v>
      </c>
      <c r="O804" t="s">
        <v>52</v>
      </c>
      <c r="Q804" t="s">
        <v>892</v>
      </c>
      <c r="R804" t="s">
        <v>103</v>
      </c>
      <c r="S804" t="s">
        <v>104</v>
      </c>
    </row>
    <row r="805" spans="1:19" x14ac:dyDescent="0.25">
      <c r="A805" t="s">
        <v>59</v>
      </c>
      <c r="B805" t="s">
        <v>31</v>
      </c>
      <c r="C805" t="s">
        <v>32</v>
      </c>
      <c r="D805" t="s">
        <v>33</v>
      </c>
      <c r="E805" t="s">
        <v>64</v>
      </c>
      <c r="F805" t="s">
        <v>35</v>
      </c>
      <c r="G805" t="s">
        <v>35</v>
      </c>
      <c r="H805" t="s">
        <v>35</v>
      </c>
      <c r="J805" t="s">
        <v>1241</v>
      </c>
      <c r="K805" t="s">
        <v>1092</v>
      </c>
      <c r="M805">
        <v>0.63</v>
      </c>
      <c r="N805">
        <v>237</v>
      </c>
      <c r="O805" t="s">
        <v>5</v>
      </c>
      <c r="Q805" t="s">
        <v>1242</v>
      </c>
      <c r="R805" t="s">
        <v>103</v>
      </c>
      <c r="S805" t="s">
        <v>104</v>
      </c>
    </row>
    <row r="806" spans="1:19" x14ac:dyDescent="0.25">
      <c r="A806" t="s">
        <v>30</v>
      </c>
      <c r="B806" t="s">
        <v>31</v>
      </c>
      <c r="C806" t="s">
        <v>32</v>
      </c>
      <c r="D806" t="s">
        <v>33</v>
      </c>
      <c r="E806" t="s">
        <v>162</v>
      </c>
      <c r="F806" t="s">
        <v>35</v>
      </c>
      <c r="G806" t="s">
        <v>35</v>
      </c>
      <c r="H806" t="s">
        <v>35</v>
      </c>
      <c r="J806" t="s">
        <v>1833</v>
      </c>
      <c r="K806" t="s">
        <v>1092</v>
      </c>
      <c r="M806">
        <v>10.98</v>
      </c>
      <c r="N806">
        <v>40</v>
      </c>
      <c r="O806" t="s">
        <v>52</v>
      </c>
      <c r="Q806" t="s">
        <v>132</v>
      </c>
      <c r="R806" t="s">
        <v>103</v>
      </c>
      <c r="S806" t="s">
        <v>104</v>
      </c>
    </row>
    <row r="807" spans="1:19" x14ac:dyDescent="0.25">
      <c r="A807" t="s">
        <v>59</v>
      </c>
      <c r="B807" t="s">
        <v>60</v>
      </c>
      <c r="C807" t="s">
        <v>32</v>
      </c>
      <c r="D807" t="s">
        <v>33</v>
      </c>
      <c r="E807" t="s">
        <v>172</v>
      </c>
      <c r="F807" t="s">
        <v>35</v>
      </c>
      <c r="G807" t="s">
        <v>35</v>
      </c>
      <c r="H807" t="s">
        <v>35</v>
      </c>
      <c r="J807" t="s">
        <v>1943</v>
      </c>
      <c r="K807" t="s">
        <v>1092</v>
      </c>
      <c r="M807">
        <v>4.9349999999999996</v>
      </c>
      <c r="N807">
        <v>90</v>
      </c>
      <c r="O807" t="s">
        <v>61</v>
      </c>
      <c r="Q807" t="s">
        <v>557</v>
      </c>
      <c r="R807" t="s">
        <v>103</v>
      </c>
      <c r="S807" t="s">
        <v>104</v>
      </c>
    </row>
    <row r="808" spans="1:19" x14ac:dyDescent="0.25">
      <c r="A808" t="s">
        <v>30</v>
      </c>
      <c r="B808" t="s">
        <v>31</v>
      </c>
      <c r="C808" t="s">
        <v>32</v>
      </c>
      <c r="D808" t="s">
        <v>33</v>
      </c>
      <c r="E808" t="s">
        <v>2098</v>
      </c>
      <c r="F808" t="s">
        <v>35</v>
      </c>
      <c r="G808" t="s">
        <v>35</v>
      </c>
      <c r="H808" t="s">
        <v>35</v>
      </c>
      <c r="J808" t="s">
        <v>2099</v>
      </c>
      <c r="K808" t="s">
        <v>1092</v>
      </c>
      <c r="M808">
        <v>5.94</v>
      </c>
      <c r="N808">
        <v>275</v>
      </c>
      <c r="O808" t="s">
        <v>5</v>
      </c>
      <c r="Q808" t="s">
        <v>1225</v>
      </c>
      <c r="R808" t="s">
        <v>103</v>
      </c>
      <c r="S808" t="s">
        <v>104</v>
      </c>
    </row>
    <row r="809" spans="1:19" x14ac:dyDescent="0.25">
      <c r="A809" t="s">
        <v>30</v>
      </c>
      <c r="B809" t="s">
        <v>31</v>
      </c>
      <c r="C809" t="s">
        <v>32</v>
      </c>
      <c r="D809" t="s">
        <v>33</v>
      </c>
      <c r="E809" t="s">
        <v>204</v>
      </c>
      <c r="F809" t="s">
        <v>35</v>
      </c>
      <c r="G809" t="s">
        <v>35</v>
      </c>
      <c r="H809" t="s">
        <v>35</v>
      </c>
      <c r="J809" t="s">
        <v>2180</v>
      </c>
      <c r="K809" t="s">
        <v>1092</v>
      </c>
      <c r="M809">
        <v>2.9249999999999998</v>
      </c>
      <c r="N809">
        <v>69</v>
      </c>
      <c r="O809" t="s">
        <v>61</v>
      </c>
      <c r="Q809" t="s">
        <v>234</v>
      </c>
      <c r="R809" t="s">
        <v>103</v>
      </c>
      <c r="S809" t="s">
        <v>104</v>
      </c>
    </row>
    <row r="810" spans="1:19" x14ac:dyDescent="0.25">
      <c r="A810" t="s">
        <v>59</v>
      </c>
      <c r="B810" t="s">
        <v>31</v>
      </c>
      <c r="C810" t="s">
        <v>32</v>
      </c>
      <c r="D810" t="s">
        <v>33</v>
      </c>
      <c r="E810" t="s">
        <v>122</v>
      </c>
      <c r="F810" t="s">
        <v>35</v>
      </c>
      <c r="G810" t="s">
        <v>35</v>
      </c>
      <c r="H810" t="s">
        <v>35</v>
      </c>
      <c r="J810" t="s">
        <v>1683</v>
      </c>
      <c r="K810" t="s">
        <v>1092</v>
      </c>
      <c r="M810">
        <v>3.375</v>
      </c>
      <c r="N810">
        <v>174</v>
      </c>
      <c r="O810" t="s">
        <v>38</v>
      </c>
      <c r="Q810" t="s">
        <v>1684</v>
      </c>
      <c r="R810" t="s">
        <v>103</v>
      </c>
      <c r="S810" t="s">
        <v>104</v>
      </c>
    </row>
    <row r="811" spans="1:19" x14ac:dyDescent="0.25">
      <c r="A811" t="s">
        <v>44</v>
      </c>
      <c r="B811" t="s">
        <v>51</v>
      </c>
      <c r="C811" t="s">
        <v>32</v>
      </c>
      <c r="D811" t="s">
        <v>33</v>
      </c>
      <c r="E811" t="s">
        <v>122</v>
      </c>
      <c r="F811" t="s">
        <v>35</v>
      </c>
      <c r="G811" t="s">
        <v>35</v>
      </c>
      <c r="H811" t="s">
        <v>35</v>
      </c>
      <c r="J811" t="s">
        <v>1683</v>
      </c>
      <c r="K811" t="s">
        <v>1092</v>
      </c>
      <c r="M811">
        <v>5.5</v>
      </c>
      <c r="N811">
        <v>54</v>
      </c>
      <c r="O811" t="s">
        <v>52</v>
      </c>
      <c r="Q811" t="s">
        <v>671</v>
      </c>
      <c r="R811" t="s">
        <v>103</v>
      </c>
      <c r="S811" t="s">
        <v>104</v>
      </c>
    </row>
    <row r="812" spans="1:19" x14ac:dyDescent="0.25">
      <c r="A812" t="s">
        <v>59</v>
      </c>
      <c r="B812" t="s">
        <v>31</v>
      </c>
      <c r="C812" t="s">
        <v>32</v>
      </c>
      <c r="D812" t="s">
        <v>33</v>
      </c>
      <c r="E812" t="s">
        <v>64</v>
      </c>
      <c r="F812" t="s">
        <v>35</v>
      </c>
      <c r="G812" t="s">
        <v>35</v>
      </c>
      <c r="H812" t="s">
        <v>35</v>
      </c>
      <c r="J812" t="s">
        <v>1288</v>
      </c>
      <c r="K812" t="s">
        <v>1092</v>
      </c>
      <c r="M812">
        <v>0.125</v>
      </c>
      <c r="N812">
        <v>140</v>
      </c>
      <c r="O812" t="s">
        <v>38</v>
      </c>
      <c r="Q812" t="s">
        <v>1229</v>
      </c>
      <c r="R812" t="s">
        <v>103</v>
      </c>
      <c r="S812" t="s">
        <v>104</v>
      </c>
    </row>
    <row r="813" spans="1:19" x14ac:dyDescent="0.25">
      <c r="A813" t="s">
        <v>59</v>
      </c>
      <c r="B813" t="s">
        <v>60</v>
      </c>
      <c r="C813" t="s">
        <v>32</v>
      </c>
      <c r="D813" t="s">
        <v>33</v>
      </c>
      <c r="E813" t="s">
        <v>64</v>
      </c>
      <c r="F813" t="s">
        <v>35</v>
      </c>
      <c r="G813" t="s">
        <v>35</v>
      </c>
      <c r="H813" t="s">
        <v>35</v>
      </c>
      <c r="J813" t="s">
        <v>1288</v>
      </c>
      <c r="K813" t="s">
        <v>1092</v>
      </c>
      <c r="M813">
        <v>0.379</v>
      </c>
      <c r="N813">
        <v>140</v>
      </c>
      <c r="O813" t="s">
        <v>38</v>
      </c>
      <c r="Q813" t="s">
        <v>1229</v>
      </c>
      <c r="R813" t="s">
        <v>103</v>
      </c>
      <c r="S813" t="s">
        <v>104</v>
      </c>
    </row>
    <row r="814" spans="1:19" x14ac:dyDescent="0.25">
      <c r="A814" t="s">
        <v>59</v>
      </c>
      <c r="B814" t="s">
        <v>60</v>
      </c>
      <c r="C814" t="s">
        <v>32</v>
      </c>
      <c r="D814" t="s">
        <v>33</v>
      </c>
      <c r="E814" t="s">
        <v>177</v>
      </c>
      <c r="F814" t="s">
        <v>35</v>
      </c>
      <c r="G814" t="s">
        <v>35</v>
      </c>
      <c r="H814" t="s">
        <v>35</v>
      </c>
      <c r="J814" t="s">
        <v>2010</v>
      </c>
      <c r="K814" t="s">
        <v>1092</v>
      </c>
      <c r="M814">
        <v>1.5</v>
      </c>
      <c r="N814">
        <v>92</v>
      </c>
      <c r="O814" t="s">
        <v>106</v>
      </c>
      <c r="Q814" t="s">
        <v>1216</v>
      </c>
      <c r="R814" t="s">
        <v>103</v>
      </c>
      <c r="S814" t="s">
        <v>104</v>
      </c>
    </row>
    <row r="815" spans="1:19" x14ac:dyDescent="0.25">
      <c r="A815" t="s">
        <v>59</v>
      </c>
      <c r="B815" t="s">
        <v>31</v>
      </c>
      <c r="C815" t="s">
        <v>32</v>
      </c>
      <c r="D815" t="s">
        <v>33</v>
      </c>
      <c r="E815" t="s">
        <v>204</v>
      </c>
      <c r="F815" t="s">
        <v>35</v>
      </c>
      <c r="G815" t="s">
        <v>35</v>
      </c>
      <c r="H815" t="s">
        <v>35</v>
      </c>
      <c r="J815" t="s">
        <v>2133</v>
      </c>
      <c r="K815" t="s">
        <v>1092</v>
      </c>
      <c r="M815">
        <v>7.1999999999999995E-2</v>
      </c>
      <c r="N815">
        <v>1469</v>
      </c>
      <c r="O815" t="s">
        <v>575</v>
      </c>
      <c r="Q815" t="s">
        <v>2134</v>
      </c>
      <c r="R815" t="s">
        <v>103</v>
      </c>
      <c r="S815" t="s">
        <v>104</v>
      </c>
    </row>
    <row r="816" spans="1:19" x14ac:dyDescent="0.25">
      <c r="A816" t="s">
        <v>59</v>
      </c>
      <c r="B816" t="s">
        <v>31</v>
      </c>
      <c r="C816" t="s">
        <v>32</v>
      </c>
      <c r="D816" t="s">
        <v>33</v>
      </c>
      <c r="E816" t="s">
        <v>162</v>
      </c>
      <c r="F816" t="s">
        <v>35</v>
      </c>
      <c r="G816" t="s">
        <v>35</v>
      </c>
      <c r="H816" t="s">
        <v>35</v>
      </c>
      <c r="J816" t="s">
        <v>1897</v>
      </c>
      <c r="K816" t="s">
        <v>1092</v>
      </c>
      <c r="M816">
        <v>1.53</v>
      </c>
      <c r="N816">
        <v>140</v>
      </c>
      <c r="O816" t="s">
        <v>38</v>
      </c>
      <c r="Q816" t="s">
        <v>1229</v>
      </c>
      <c r="R816" t="s">
        <v>103</v>
      </c>
      <c r="S816" t="s">
        <v>104</v>
      </c>
    </row>
    <row r="817" spans="1:19" x14ac:dyDescent="0.25">
      <c r="A817" t="s">
        <v>59</v>
      </c>
      <c r="B817" t="s">
        <v>31</v>
      </c>
      <c r="C817" t="s">
        <v>32</v>
      </c>
      <c r="D817" t="s">
        <v>33</v>
      </c>
      <c r="E817" t="s">
        <v>177</v>
      </c>
      <c r="F817" t="s">
        <v>35</v>
      </c>
      <c r="G817" t="s">
        <v>35</v>
      </c>
      <c r="H817" t="s">
        <v>35</v>
      </c>
      <c r="J817" t="s">
        <v>2016</v>
      </c>
      <c r="K817" t="s">
        <v>1092</v>
      </c>
      <c r="M817">
        <v>2.1150000000000002</v>
      </c>
      <c r="N817">
        <v>52</v>
      </c>
      <c r="O817" t="s">
        <v>52</v>
      </c>
      <c r="Q817" t="s">
        <v>84</v>
      </c>
      <c r="R817" t="s">
        <v>103</v>
      </c>
      <c r="S817" t="s">
        <v>104</v>
      </c>
    </row>
    <row r="818" spans="1:19" x14ac:dyDescent="0.25">
      <c r="A818" t="s">
        <v>30</v>
      </c>
      <c r="B818" t="s">
        <v>31</v>
      </c>
      <c r="C818" t="s">
        <v>32</v>
      </c>
      <c r="D818" t="s">
        <v>33</v>
      </c>
      <c r="E818" t="s">
        <v>177</v>
      </c>
      <c r="F818" t="s">
        <v>35</v>
      </c>
      <c r="G818" t="s">
        <v>35</v>
      </c>
      <c r="H818" t="s">
        <v>35</v>
      </c>
      <c r="J818" t="s">
        <v>2016</v>
      </c>
      <c r="K818" t="s">
        <v>1092</v>
      </c>
      <c r="M818">
        <v>9.9</v>
      </c>
      <c r="N818">
        <v>9</v>
      </c>
      <c r="O818" t="s">
        <v>46</v>
      </c>
      <c r="Q818" t="s">
        <v>323</v>
      </c>
      <c r="R818" t="s">
        <v>103</v>
      </c>
      <c r="S818" t="s">
        <v>104</v>
      </c>
    </row>
    <row r="819" spans="1:19" x14ac:dyDescent="0.25">
      <c r="A819" t="s">
        <v>30</v>
      </c>
      <c r="B819" t="s">
        <v>31</v>
      </c>
      <c r="C819" t="s">
        <v>32</v>
      </c>
      <c r="D819" t="s">
        <v>33</v>
      </c>
      <c r="E819" t="s">
        <v>172</v>
      </c>
      <c r="F819" t="s">
        <v>35</v>
      </c>
      <c r="G819" t="s">
        <v>35</v>
      </c>
      <c r="H819" t="s">
        <v>35</v>
      </c>
      <c r="J819" t="s">
        <v>1937</v>
      </c>
      <c r="K819" t="s">
        <v>1092</v>
      </c>
      <c r="M819">
        <v>1.8</v>
      </c>
      <c r="N819">
        <v>40</v>
      </c>
      <c r="O819" t="s">
        <v>52</v>
      </c>
      <c r="Q819" t="s">
        <v>132</v>
      </c>
      <c r="R819" t="s">
        <v>103</v>
      </c>
      <c r="S819" t="s">
        <v>104</v>
      </c>
    </row>
    <row r="820" spans="1:19" x14ac:dyDescent="0.25">
      <c r="A820" t="s">
        <v>30</v>
      </c>
      <c r="B820" t="s">
        <v>31</v>
      </c>
      <c r="C820" t="s">
        <v>32</v>
      </c>
      <c r="D820" t="s">
        <v>33</v>
      </c>
      <c r="E820" t="s">
        <v>1292</v>
      </c>
      <c r="F820" t="s">
        <v>35</v>
      </c>
      <c r="G820" t="s">
        <v>35</v>
      </c>
      <c r="H820" t="s">
        <v>35</v>
      </c>
      <c r="J820" t="s">
        <v>1381</v>
      </c>
      <c r="K820" t="s">
        <v>1092</v>
      </c>
      <c r="M820">
        <v>5.22</v>
      </c>
      <c r="N820">
        <v>69</v>
      </c>
      <c r="O820" t="s">
        <v>61</v>
      </c>
      <c r="Q820" t="s">
        <v>234</v>
      </c>
      <c r="R820" t="s">
        <v>103</v>
      </c>
      <c r="S820" t="s">
        <v>104</v>
      </c>
    </row>
    <row r="821" spans="1:19" x14ac:dyDescent="0.25">
      <c r="A821" t="s">
        <v>30</v>
      </c>
      <c r="B821" t="s">
        <v>31</v>
      </c>
      <c r="C821" t="s">
        <v>32</v>
      </c>
      <c r="D821" t="s">
        <v>33</v>
      </c>
      <c r="E821" t="s">
        <v>1292</v>
      </c>
      <c r="F821" t="s">
        <v>35</v>
      </c>
      <c r="G821" t="s">
        <v>35</v>
      </c>
      <c r="H821" t="s">
        <v>35</v>
      </c>
      <c r="J821" t="s">
        <v>1381</v>
      </c>
      <c r="K821" t="s">
        <v>1092</v>
      </c>
      <c r="M821">
        <v>5.49</v>
      </c>
      <c r="N821">
        <v>36</v>
      </c>
      <c r="O821" t="s">
        <v>52</v>
      </c>
      <c r="Q821" t="s">
        <v>892</v>
      </c>
      <c r="R821" t="s">
        <v>103</v>
      </c>
      <c r="S821" t="s">
        <v>104</v>
      </c>
    </row>
    <row r="822" spans="1:19" x14ac:dyDescent="0.25">
      <c r="A822" t="s">
        <v>44</v>
      </c>
      <c r="B822" t="s">
        <v>3</v>
      </c>
      <c r="C822" t="s">
        <v>32</v>
      </c>
      <c r="D822" t="s">
        <v>33</v>
      </c>
      <c r="E822" t="s">
        <v>1292</v>
      </c>
      <c r="F822" t="s">
        <v>35</v>
      </c>
      <c r="G822" t="s">
        <v>35</v>
      </c>
      <c r="H822" t="s">
        <v>35</v>
      </c>
      <c r="J822" t="s">
        <v>1381</v>
      </c>
      <c r="K822" t="s">
        <v>1092</v>
      </c>
      <c r="M822">
        <v>0.6</v>
      </c>
      <c r="N822">
        <v>61</v>
      </c>
      <c r="O822" t="s">
        <v>61</v>
      </c>
      <c r="Q822" t="s">
        <v>146</v>
      </c>
      <c r="R822" t="s">
        <v>103</v>
      </c>
      <c r="S822" t="s">
        <v>104</v>
      </c>
    </row>
    <row r="823" spans="1:19" x14ac:dyDescent="0.25">
      <c r="A823" t="s">
        <v>59</v>
      </c>
      <c r="B823" t="s">
        <v>60</v>
      </c>
      <c r="C823" t="s">
        <v>32</v>
      </c>
      <c r="D823" t="s">
        <v>33</v>
      </c>
      <c r="E823" t="s">
        <v>1292</v>
      </c>
      <c r="F823" t="s">
        <v>35</v>
      </c>
      <c r="G823" t="s">
        <v>35</v>
      </c>
      <c r="H823" t="s">
        <v>35</v>
      </c>
      <c r="J823" t="s">
        <v>1381</v>
      </c>
      <c r="K823" t="s">
        <v>1092</v>
      </c>
      <c r="M823">
        <v>0.05</v>
      </c>
      <c r="N823">
        <v>64</v>
      </c>
      <c r="O823" t="s">
        <v>61</v>
      </c>
      <c r="Q823" t="s">
        <v>102</v>
      </c>
      <c r="R823" t="s">
        <v>103</v>
      </c>
      <c r="S823" t="s">
        <v>104</v>
      </c>
    </row>
    <row r="824" spans="1:19" x14ac:dyDescent="0.25">
      <c r="A824" t="s">
        <v>59</v>
      </c>
      <c r="B824" t="s">
        <v>60</v>
      </c>
      <c r="C824" t="s">
        <v>32</v>
      </c>
      <c r="D824" t="s">
        <v>33</v>
      </c>
      <c r="E824" t="s">
        <v>172</v>
      </c>
      <c r="F824" t="s">
        <v>35</v>
      </c>
      <c r="G824" t="s">
        <v>35</v>
      </c>
      <c r="H824" t="s">
        <v>35</v>
      </c>
      <c r="J824" t="s">
        <v>1936</v>
      </c>
      <c r="K824" t="s">
        <v>1092</v>
      </c>
      <c r="M824">
        <v>2.2000000000000002</v>
      </c>
      <c r="N824">
        <v>239</v>
      </c>
      <c r="O824" t="s">
        <v>5</v>
      </c>
      <c r="Q824" t="s">
        <v>1903</v>
      </c>
      <c r="R824" t="s">
        <v>103</v>
      </c>
      <c r="S824" t="s">
        <v>104</v>
      </c>
    </row>
    <row r="825" spans="1:19" x14ac:dyDescent="0.25">
      <c r="A825" t="s">
        <v>59</v>
      </c>
      <c r="B825" t="s">
        <v>60</v>
      </c>
      <c r="C825" t="s">
        <v>32</v>
      </c>
      <c r="D825" t="s">
        <v>33</v>
      </c>
      <c r="E825" t="s">
        <v>172</v>
      </c>
      <c r="F825" t="s">
        <v>35</v>
      </c>
      <c r="G825" t="s">
        <v>35</v>
      </c>
      <c r="H825" t="s">
        <v>35</v>
      </c>
      <c r="J825" t="s">
        <v>1980</v>
      </c>
      <c r="K825" t="s">
        <v>1092</v>
      </c>
      <c r="M825">
        <v>1</v>
      </c>
      <c r="N825">
        <v>92</v>
      </c>
      <c r="O825" t="s">
        <v>106</v>
      </c>
      <c r="Q825" t="s">
        <v>1216</v>
      </c>
      <c r="R825" t="s">
        <v>103</v>
      </c>
      <c r="S825" t="s">
        <v>104</v>
      </c>
    </row>
    <row r="826" spans="1:19" x14ac:dyDescent="0.25">
      <c r="A826" t="s">
        <v>30</v>
      </c>
      <c r="B826" t="s">
        <v>31</v>
      </c>
      <c r="C826" t="s">
        <v>32</v>
      </c>
      <c r="D826" t="s">
        <v>33</v>
      </c>
      <c r="E826" t="s">
        <v>172</v>
      </c>
      <c r="F826" t="s">
        <v>35</v>
      </c>
      <c r="G826" t="s">
        <v>35</v>
      </c>
      <c r="H826" t="s">
        <v>35</v>
      </c>
      <c r="J826" t="s">
        <v>1980</v>
      </c>
      <c r="K826" t="s">
        <v>1092</v>
      </c>
      <c r="M826">
        <v>0.27</v>
      </c>
      <c r="N826">
        <v>69</v>
      </c>
      <c r="O826" t="s">
        <v>61</v>
      </c>
      <c r="Q826" t="s">
        <v>234</v>
      </c>
      <c r="R826" t="s">
        <v>103</v>
      </c>
      <c r="S826" t="s">
        <v>104</v>
      </c>
    </row>
    <row r="827" spans="1:19" x14ac:dyDescent="0.25">
      <c r="A827" t="s">
        <v>30</v>
      </c>
      <c r="B827" t="s">
        <v>31</v>
      </c>
      <c r="C827" t="s">
        <v>32</v>
      </c>
      <c r="D827" t="s">
        <v>33</v>
      </c>
      <c r="E827" t="s">
        <v>122</v>
      </c>
      <c r="F827" t="s">
        <v>35</v>
      </c>
      <c r="G827" t="s">
        <v>35</v>
      </c>
      <c r="H827" t="s">
        <v>35</v>
      </c>
      <c r="J827" t="s">
        <v>1783</v>
      </c>
      <c r="K827" t="s">
        <v>1092</v>
      </c>
      <c r="M827">
        <v>2.61</v>
      </c>
      <c r="N827">
        <v>40</v>
      </c>
      <c r="O827" t="s">
        <v>52</v>
      </c>
      <c r="Q827" t="s">
        <v>132</v>
      </c>
      <c r="R827" t="s">
        <v>103</v>
      </c>
      <c r="S827" t="s">
        <v>104</v>
      </c>
    </row>
    <row r="828" spans="1:19" x14ac:dyDescent="0.25">
      <c r="A828" t="s">
        <v>30</v>
      </c>
      <c r="B828" t="s">
        <v>31</v>
      </c>
      <c r="C828" t="s">
        <v>32</v>
      </c>
      <c r="D828" t="s">
        <v>33</v>
      </c>
      <c r="E828" t="s">
        <v>114</v>
      </c>
      <c r="F828" t="s">
        <v>35</v>
      </c>
      <c r="G828" t="s">
        <v>35</v>
      </c>
      <c r="H828" t="s">
        <v>35</v>
      </c>
      <c r="J828" t="s">
        <v>1597</v>
      </c>
      <c r="K828" t="s">
        <v>1092</v>
      </c>
      <c r="M828">
        <v>5.085</v>
      </c>
      <c r="N828">
        <v>69</v>
      </c>
      <c r="O828" t="s">
        <v>61</v>
      </c>
      <c r="Q828" t="s">
        <v>234</v>
      </c>
      <c r="R828" t="s">
        <v>103</v>
      </c>
      <c r="S828" t="s">
        <v>104</v>
      </c>
    </row>
    <row r="829" spans="1:19" x14ac:dyDescent="0.25">
      <c r="A829" t="s">
        <v>59</v>
      </c>
      <c r="B829" t="s">
        <v>31</v>
      </c>
      <c r="C829" t="s">
        <v>32</v>
      </c>
      <c r="D829" t="s">
        <v>33</v>
      </c>
      <c r="E829" t="s">
        <v>204</v>
      </c>
      <c r="F829" t="s">
        <v>35</v>
      </c>
      <c r="G829" t="s">
        <v>35</v>
      </c>
      <c r="H829" t="s">
        <v>35</v>
      </c>
      <c r="J829" t="s">
        <v>2136</v>
      </c>
      <c r="K829" t="s">
        <v>1092</v>
      </c>
      <c r="M829">
        <v>2.7</v>
      </c>
      <c r="N829">
        <v>92</v>
      </c>
      <c r="O829" t="s">
        <v>106</v>
      </c>
      <c r="Q829" t="s">
        <v>1216</v>
      </c>
      <c r="R829" t="s">
        <v>103</v>
      </c>
      <c r="S829" t="s">
        <v>104</v>
      </c>
    </row>
    <row r="830" spans="1:19" x14ac:dyDescent="0.25">
      <c r="A830" t="s">
        <v>30</v>
      </c>
      <c r="B830" t="s">
        <v>31</v>
      </c>
      <c r="C830" t="s">
        <v>32</v>
      </c>
      <c r="D830" t="s">
        <v>33</v>
      </c>
      <c r="E830" t="s">
        <v>122</v>
      </c>
      <c r="F830" t="s">
        <v>35</v>
      </c>
      <c r="G830" t="s">
        <v>35</v>
      </c>
      <c r="H830" t="s">
        <v>35</v>
      </c>
      <c r="J830" t="s">
        <v>1698</v>
      </c>
      <c r="K830" t="s">
        <v>1092</v>
      </c>
      <c r="M830">
        <v>9.99</v>
      </c>
      <c r="N830">
        <v>9</v>
      </c>
      <c r="O830" t="s">
        <v>46</v>
      </c>
      <c r="Q830" t="s">
        <v>323</v>
      </c>
      <c r="R830" t="s">
        <v>103</v>
      </c>
      <c r="S830" t="s">
        <v>104</v>
      </c>
    </row>
    <row r="831" spans="1:19" x14ac:dyDescent="0.25">
      <c r="A831" t="s">
        <v>44</v>
      </c>
      <c r="B831" t="s">
        <v>3</v>
      </c>
      <c r="C831" t="s">
        <v>32</v>
      </c>
      <c r="D831" t="s">
        <v>33</v>
      </c>
      <c r="E831" t="s">
        <v>122</v>
      </c>
      <c r="F831" t="s">
        <v>35</v>
      </c>
      <c r="G831" t="s">
        <v>35</v>
      </c>
      <c r="H831" t="s">
        <v>35</v>
      </c>
      <c r="J831" t="s">
        <v>1698</v>
      </c>
      <c r="K831" t="s">
        <v>1092</v>
      </c>
      <c r="M831">
        <v>3.05</v>
      </c>
      <c r="N831">
        <v>61</v>
      </c>
      <c r="O831" t="s">
        <v>61</v>
      </c>
      <c r="Q831" t="s">
        <v>146</v>
      </c>
      <c r="R831" t="s">
        <v>103</v>
      </c>
      <c r="S831" t="s">
        <v>104</v>
      </c>
    </row>
    <row r="832" spans="1:19" x14ac:dyDescent="0.25">
      <c r="A832" t="s">
        <v>59</v>
      </c>
      <c r="B832" t="s">
        <v>60</v>
      </c>
      <c r="C832" t="s">
        <v>32</v>
      </c>
      <c r="D832" t="s">
        <v>33</v>
      </c>
      <c r="E832" t="s">
        <v>122</v>
      </c>
      <c r="F832" t="s">
        <v>35</v>
      </c>
      <c r="G832" t="s">
        <v>35</v>
      </c>
      <c r="H832" t="s">
        <v>35</v>
      </c>
      <c r="J832" t="s">
        <v>1765</v>
      </c>
      <c r="K832" t="s">
        <v>1092</v>
      </c>
      <c r="M832">
        <v>5.5</v>
      </c>
      <c r="N832">
        <v>92</v>
      </c>
      <c r="O832" t="s">
        <v>106</v>
      </c>
      <c r="Q832" t="s">
        <v>1216</v>
      </c>
      <c r="R832" t="s">
        <v>103</v>
      </c>
      <c r="S832" t="s">
        <v>104</v>
      </c>
    </row>
    <row r="833" spans="1:19" x14ac:dyDescent="0.25">
      <c r="A833" t="s">
        <v>59</v>
      </c>
      <c r="B833" t="s">
        <v>60</v>
      </c>
      <c r="C833" t="s">
        <v>32</v>
      </c>
      <c r="D833" t="s">
        <v>33</v>
      </c>
      <c r="E833" t="s">
        <v>64</v>
      </c>
      <c r="F833" t="s">
        <v>35</v>
      </c>
      <c r="G833" t="s">
        <v>35</v>
      </c>
      <c r="H833" t="s">
        <v>35</v>
      </c>
      <c r="J833" t="s">
        <v>1265</v>
      </c>
      <c r="K833" t="s">
        <v>1092</v>
      </c>
      <c r="M833">
        <v>1.6</v>
      </c>
      <c r="N833">
        <v>140</v>
      </c>
      <c r="O833" t="s">
        <v>38</v>
      </c>
      <c r="Q833" t="s">
        <v>1229</v>
      </c>
      <c r="R833" t="s">
        <v>103</v>
      </c>
      <c r="S833" t="s">
        <v>104</v>
      </c>
    </row>
    <row r="834" spans="1:19" x14ac:dyDescent="0.25">
      <c r="A834" t="s">
        <v>30</v>
      </c>
      <c r="B834" t="s">
        <v>31</v>
      </c>
      <c r="C834" t="s">
        <v>32</v>
      </c>
      <c r="D834" t="s">
        <v>33</v>
      </c>
      <c r="E834" t="s">
        <v>1292</v>
      </c>
      <c r="F834" t="s">
        <v>35</v>
      </c>
      <c r="G834" t="s">
        <v>35</v>
      </c>
      <c r="H834" t="s">
        <v>35</v>
      </c>
      <c r="J834" t="s">
        <v>1337</v>
      </c>
      <c r="K834" t="s">
        <v>1092</v>
      </c>
      <c r="M834">
        <v>2.88</v>
      </c>
      <c r="N834">
        <v>69</v>
      </c>
      <c r="O834" t="s">
        <v>61</v>
      </c>
      <c r="Q834" t="s">
        <v>234</v>
      </c>
      <c r="R834" t="s">
        <v>103</v>
      </c>
      <c r="S834" t="s">
        <v>104</v>
      </c>
    </row>
    <row r="835" spans="1:19" x14ac:dyDescent="0.25">
      <c r="A835" t="s">
        <v>59</v>
      </c>
      <c r="B835" t="s">
        <v>31</v>
      </c>
      <c r="C835" t="s">
        <v>32</v>
      </c>
      <c r="D835" t="s">
        <v>33</v>
      </c>
      <c r="E835" t="s">
        <v>1292</v>
      </c>
      <c r="F835" t="s">
        <v>35</v>
      </c>
      <c r="G835" t="s">
        <v>35</v>
      </c>
      <c r="H835" t="s">
        <v>35</v>
      </c>
      <c r="J835" t="s">
        <v>1380</v>
      </c>
      <c r="K835" t="s">
        <v>1092</v>
      </c>
      <c r="M835">
        <v>1.71</v>
      </c>
      <c r="N835">
        <v>56</v>
      </c>
      <c r="O835" t="s">
        <v>52</v>
      </c>
      <c r="Q835" t="s">
        <v>423</v>
      </c>
      <c r="R835" t="s">
        <v>103</v>
      </c>
      <c r="S835" t="s">
        <v>104</v>
      </c>
    </row>
    <row r="836" spans="1:19" x14ac:dyDescent="0.25">
      <c r="A836" t="s">
        <v>59</v>
      </c>
      <c r="B836" t="s">
        <v>60</v>
      </c>
      <c r="C836" t="s">
        <v>32</v>
      </c>
      <c r="D836" t="s">
        <v>33</v>
      </c>
      <c r="E836" t="s">
        <v>1292</v>
      </c>
      <c r="F836" t="s">
        <v>35</v>
      </c>
      <c r="G836" t="s">
        <v>35</v>
      </c>
      <c r="H836" t="s">
        <v>35</v>
      </c>
      <c r="J836" t="s">
        <v>1380</v>
      </c>
      <c r="K836" t="s">
        <v>1092</v>
      </c>
      <c r="M836">
        <v>3.6</v>
      </c>
      <c r="N836">
        <v>56</v>
      </c>
      <c r="O836" t="s">
        <v>52</v>
      </c>
      <c r="Q836" t="s">
        <v>423</v>
      </c>
      <c r="R836" t="s">
        <v>103</v>
      </c>
      <c r="S836" t="s">
        <v>104</v>
      </c>
    </row>
    <row r="837" spans="1:19" x14ac:dyDescent="0.25">
      <c r="A837" t="s">
        <v>59</v>
      </c>
      <c r="B837" t="s">
        <v>60</v>
      </c>
      <c r="C837" t="s">
        <v>32</v>
      </c>
      <c r="D837" t="s">
        <v>33</v>
      </c>
      <c r="E837" t="s">
        <v>1292</v>
      </c>
      <c r="F837" t="s">
        <v>35</v>
      </c>
      <c r="G837" t="s">
        <v>35</v>
      </c>
      <c r="H837" t="s">
        <v>35</v>
      </c>
      <c r="J837" t="s">
        <v>1338</v>
      </c>
      <c r="K837" t="s">
        <v>1092</v>
      </c>
      <c r="M837">
        <v>0.2</v>
      </c>
      <c r="N837">
        <v>56</v>
      </c>
      <c r="O837" t="s">
        <v>52</v>
      </c>
      <c r="Q837" t="s">
        <v>423</v>
      </c>
      <c r="R837" t="s">
        <v>103</v>
      </c>
      <c r="S837" t="s">
        <v>104</v>
      </c>
    </row>
    <row r="838" spans="1:19" x14ac:dyDescent="0.25">
      <c r="A838" t="s">
        <v>44</v>
      </c>
      <c r="B838" t="s">
        <v>51</v>
      </c>
      <c r="C838" t="s">
        <v>32</v>
      </c>
      <c r="D838" t="s">
        <v>33</v>
      </c>
      <c r="E838" t="s">
        <v>1292</v>
      </c>
      <c r="F838" t="s">
        <v>35</v>
      </c>
      <c r="G838" t="s">
        <v>35</v>
      </c>
      <c r="H838" t="s">
        <v>35</v>
      </c>
      <c r="J838" t="s">
        <v>1338</v>
      </c>
      <c r="K838" t="s">
        <v>1092</v>
      </c>
      <c r="M838">
        <v>2.75</v>
      </c>
      <c r="N838">
        <v>55</v>
      </c>
      <c r="O838" t="s">
        <v>52</v>
      </c>
      <c r="Q838" t="s">
        <v>90</v>
      </c>
      <c r="R838" t="s">
        <v>103</v>
      </c>
      <c r="S838" t="s">
        <v>104</v>
      </c>
    </row>
    <row r="839" spans="1:19" x14ac:dyDescent="0.25">
      <c r="A839" t="s">
        <v>30</v>
      </c>
      <c r="B839" t="s">
        <v>31</v>
      </c>
      <c r="C839" t="s">
        <v>32</v>
      </c>
      <c r="D839" t="s">
        <v>33</v>
      </c>
      <c r="E839" t="s">
        <v>1292</v>
      </c>
      <c r="F839" t="s">
        <v>35</v>
      </c>
      <c r="G839" t="s">
        <v>35</v>
      </c>
      <c r="H839" t="s">
        <v>35</v>
      </c>
      <c r="J839" t="s">
        <v>1338</v>
      </c>
      <c r="K839" t="s">
        <v>1092</v>
      </c>
      <c r="M839">
        <v>4.9950000000000001</v>
      </c>
      <c r="N839">
        <v>9</v>
      </c>
      <c r="O839" t="s">
        <v>46</v>
      </c>
      <c r="Q839" t="s">
        <v>323</v>
      </c>
      <c r="R839" t="s">
        <v>103</v>
      </c>
      <c r="S839" t="s">
        <v>104</v>
      </c>
    </row>
    <row r="840" spans="1:19" x14ac:dyDescent="0.25">
      <c r="A840" t="s">
        <v>30</v>
      </c>
      <c r="B840" t="s">
        <v>31</v>
      </c>
      <c r="C840" t="s">
        <v>32</v>
      </c>
      <c r="D840" t="s">
        <v>33</v>
      </c>
      <c r="E840" t="s">
        <v>1292</v>
      </c>
      <c r="F840" t="s">
        <v>35</v>
      </c>
      <c r="G840" t="s">
        <v>35</v>
      </c>
      <c r="H840" t="s">
        <v>35</v>
      </c>
      <c r="J840" t="s">
        <v>1426</v>
      </c>
      <c r="K840" t="s">
        <v>1092</v>
      </c>
      <c r="M840">
        <v>9.99</v>
      </c>
      <c r="N840">
        <v>9</v>
      </c>
      <c r="O840" t="s">
        <v>46</v>
      </c>
      <c r="Q840" t="s">
        <v>323</v>
      </c>
      <c r="R840" t="s">
        <v>103</v>
      </c>
      <c r="S840" t="s">
        <v>104</v>
      </c>
    </row>
    <row r="841" spans="1:19" x14ac:dyDescent="0.25">
      <c r="A841" t="s">
        <v>59</v>
      </c>
      <c r="B841" t="s">
        <v>60</v>
      </c>
      <c r="C841" t="s">
        <v>32</v>
      </c>
      <c r="D841" t="s">
        <v>33</v>
      </c>
      <c r="E841" t="s">
        <v>1292</v>
      </c>
      <c r="F841" t="s">
        <v>35</v>
      </c>
      <c r="G841" t="s">
        <v>35</v>
      </c>
      <c r="H841" t="s">
        <v>35</v>
      </c>
      <c r="J841" t="s">
        <v>1426</v>
      </c>
      <c r="K841" t="s">
        <v>1092</v>
      </c>
      <c r="M841">
        <v>0.05</v>
      </c>
      <c r="N841">
        <v>64</v>
      </c>
      <c r="O841" t="s">
        <v>61</v>
      </c>
      <c r="Q841" t="s">
        <v>102</v>
      </c>
      <c r="R841" t="s">
        <v>103</v>
      </c>
      <c r="S841" t="s">
        <v>104</v>
      </c>
    </row>
    <row r="842" spans="1:19" x14ac:dyDescent="0.25">
      <c r="A842" t="s">
        <v>59</v>
      </c>
      <c r="B842" t="s">
        <v>31</v>
      </c>
      <c r="C842" t="s">
        <v>32</v>
      </c>
      <c r="D842" t="s">
        <v>33</v>
      </c>
      <c r="F842" t="s">
        <v>35</v>
      </c>
      <c r="G842" t="s">
        <v>35</v>
      </c>
      <c r="H842" t="s">
        <v>35</v>
      </c>
      <c r="J842" t="s">
        <v>2263</v>
      </c>
      <c r="K842" t="s">
        <v>1092</v>
      </c>
      <c r="M842">
        <v>0.63</v>
      </c>
      <c r="N842">
        <v>52</v>
      </c>
      <c r="O842" t="s">
        <v>52</v>
      </c>
      <c r="Q842" t="s">
        <v>84</v>
      </c>
      <c r="R842" t="s">
        <v>103</v>
      </c>
      <c r="S842" t="s">
        <v>104</v>
      </c>
    </row>
    <row r="843" spans="1:19" x14ac:dyDescent="0.25">
      <c r="A843" t="s">
        <v>1439</v>
      </c>
      <c r="B843" t="s">
        <v>1440</v>
      </c>
      <c r="C843" t="s">
        <v>32</v>
      </c>
      <c r="D843" t="s">
        <v>33</v>
      </c>
      <c r="F843" t="s">
        <v>35</v>
      </c>
      <c r="G843" t="s">
        <v>35</v>
      </c>
      <c r="H843" t="s">
        <v>35</v>
      </c>
      <c r="J843" t="s">
        <v>2263</v>
      </c>
      <c r="K843" t="s">
        <v>1092</v>
      </c>
      <c r="M843">
        <v>1</v>
      </c>
      <c r="N843">
        <v>52</v>
      </c>
      <c r="O843" t="s">
        <v>52</v>
      </c>
      <c r="Q843" t="s">
        <v>84</v>
      </c>
      <c r="R843" t="s">
        <v>103</v>
      </c>
      <c r="S843" t="s">
        <v>104</v>
      </c>
    </row>
    <row r="844" spans="1:19" x14ac:dyDescent="0.25">
      <c r="A844" t="s">
        <v>59</v>
      </c>
      <c r="B844" t="s">
        <v>60</v>
      </c>
      <c r="C844" t="s">
        <v>32</v>
      </c>
      <c r="D844" t="s">
        <v>33</v>
      </c>
      <c r="E844" t="s">
        <v>87</v>
      </c>
      <c r="F844" t="s">
        <v>35</v>
      </c>
      <c r="G844" t="s">
        <v>35</v>
      </c>
      <c r="H844" t="s">
        <v>35</v>
      </c>
      <c r="J844" t="s">
        <v>95</v>
      </c>
      <c r="K844" t="s">
        <v>37</v>
      </c>
      <c r="M844">
        <v>11</v>
      </c>
      <c r="N844">
        <v>64</v>
      </c>
      <c r="O844" t="s">
        <v>61</v>
      </c>
      <c r="P844" t="s">
        <v>101</v>
      </c>
      <c r="Q844" t="s">
        <v>102</v>
      </c>
      <c r="R844" t="s">
        <v>103</v>
      </c>
      <c r="S844" t="s">
        <v>104</v>
      </c>
    </row>
    <row r="845" spans="1:19" x14ac:dyDescent="0.25">
      <c r="A845" t="s">
        <v>30</v>
      </c>
      <c r="B845" t="s">
        <v>31</v>
      </c>
      <c r="C845" t="s">
        <v>32</v>
      </c>
      <c r="D845" t="s">
        <v>33</v>
      </c>
      <c r="E845" t="s">
        <v>172</v>
      </c>
      <c r="F845" t="s">
        <v>35</v>
      </c>
      <c r="G845" t="s">
        <v>35</v>
      </c>
      <c r="H845" t="s">
        <v>35</v>
      </c>
      <c r="J845" t="s">
        <v>1983</v>
      </c>
      <c r="K845" t="s">
        <v>1092</v>
      </c>
      <c r="M845">
        <v>0.45</v>
      </c>
      <c r="N845">
        <v>40</v>
      </c>
      <c r="O845" t="s">
        <v>52</v>
      </c>
      <c r="Q845" t="s">
        <v>132</v>
      </c>
      <c r="R845" t="s">
        <v>103</v>
      </c>
      <c r="S845" t="s">
        <v>104</v>
      </c>
    </row>
    <row r="846" spans="1:19" x14ac:dyDescent="0.25">
      <c r="A846" t="s">
        <v>44</v>
      </c>
      <c r="B846" t="s">
        <v>3</v>
      </c>
      <c r="C846" t="s">
        <v>32</v>
      </c>
      <c r="D846" t="s">
        <v>33</v>
      </c>
      <c r="E846" t="s">
        <v>172</v>
      </c>
      <c r="F846" t="s">
        <v>35</v>
      </c>
      <c r="G846" t="s">
        <v>35</v>
      </c>
      <c r="H846" t="s">
        <v>35</v>
      </c>
      <c r="J846" t="s">
        <v>1983</v>
      </c>
      <c r="K846" t="s">
        <v>1092</v>
      </c>
      <c r="M846">
        <v>2.35</v>
      </c>
      <c r="N846">
        <v>55</v>
      </c>
      <c r="O846" t="s">
        <v>52</v>
      </c>
      <c r="Q846" t="s">
        <v>90</v>
      </c>
      <c r="R846" t="s">
        <v>103</v>
      </c>
      <c r="S846" t="s">
        <v>104</v>
      </c>
    </row>
    <row r="847" spans="1:19" x14ac:dyDescent="0.25">
      <c r="A847" t="s">
        <v>59</v>
      </c>
      <c r="B847" t="s">
        <v>31</v>
      </c>
      <c r="C847" t="s">
        <v>32</v>
      </c>
      <c r="D847" t="s">
        <v>33</v>
      </c>
      <c r="E847" t="s">
        <v>172</v>
      </c>
      <c r="F847" t="s">
        <v>35</v>
      </c>
      <c r="G847" t="s">
        <v>35</v>
      </c>
      <c r="H847" t="s">
        <v>35</v>
      </c>
      <c r="J847" t="s">
        <v>1983</v>
      </c>
      <c r="K847" t="s">
        <v>1092</v>
      </c>
      <c r="M847">
        <v>1.845</v>
      </c>
      <c r="N847">
        <v>92</v>
      </c>
      <c r="O847" t="s">
        <v>106</v>
      </c>
      <c r="Q847" t="s">
        <v>1216</v>
      </c>
      <c r="R847" t="s">
        <v>103</v>
      </c>
      <c r="S847" t="s">
        <v>104</v>
      </c>
    </row>
    <row r="848" spans="1:19" x14ac:dyDescent="0.25">
      <c r="A848" t="s">
        <v>59</v>
      </c>
      <c r="B848" t="s">
        <v>60</v>
      </c>
      <c r="C848" t="s">
        <v>32</v>
      </c>
      <c r="D848" t="s">
        <v>33</v>
      </c>
      <c r="E848" t="s">
        <v>172</v>
      </c>
      <c r="F848" t="s">
        <v>35</v>
      </c>
      <c r="G848" t="s">
        <v>35</v>
      </c>
      <c r="H848" t="s">
        <v>35</v>
      </c>
      <c r="J848" t="s">
        <v>1983</v>
      </c>
      <c r="K848" t="s">
        <v>1092</v>
      </c>
      <c r="M848">
        <v>2.4500000000000002</v>
      </c>
      <c r="N848">
        <v>92</v>
      </c>
      <c r="O848" t="s">
        <v>106</v>
      </c>
      <c r="Q848" t="s">
        <v>1216</v>
      </c>
      <c r="R848" t="s">
        <v>103</v>
      </c>
      <c r="S848" t="s">
        <v>104</v>
      </c>
    </row>
    <row r="849" spans="1:19" x14ac:dyDescent="0.25">
      <c r="A849" t="s">
        <v>44</v>
      </c>
      <c r="B849" t="s">
        <v>51</v>
      </c>
      <c r="C849" t="s">
        <v>32</v>
      </c>
      <c r="D849" t="s">
        <v>33</v>
      </c>
      <c r="E849" t="s">
        <v>162</v>
      </c>
      <c r="F849" t="s">
        <v>35</v>
      </c>
      <c r="G849" t="s">
        <v>35</v>
      </c>
      <c r="H849" t="s">
        <v>35</v>
      </c>
      <c r="J849" t="s">
        <v>1856</v>
      </c>
      <c r="K849" t="s">
        <v>1092</v>
      </c>
      <c r="M849">
        <v>5.5</v>
      </c>
      <c r="N849">
        <v>55</v>
      </c>
      <c r="O849" t="s">
        <v>52</v>
      </c>
      <c r="Q849" t="s">
        <v>90</v>
      </c>
      <c r="R849" t="s">
        <v>103</v>
      </c>
      <c r="S849" t="s">
        <v>104</v>
      </c>
    </row>
    <row r="850" spans="1:19" x14ac:dyDescent="0.25">
      <c r="A850" t="s">
        <v>30</v>
      </c>
      <c r="B850" t="s">
        <v>31</v>
      </c>
      <c r="C850" t="s">
        <v>32</v>
      </c>
      <c r="D850" t="s">
        <v>33</v>
      </c>
      <c r="E850" t="s">
        <v>162</v>
      </c>
      <c r="F850" t="s">
        <v>35</v>
      </c>
      <c r="G850" t="s">
        <v>35</v>
      </c>
      <c r="H850" t="s">
        <v>35</v>
      </c>
      <c r="J850" t="s">
        <v>1873</v>
      </c>
      <c r="K850" t="s">
        <v>1092</v>
      </c>
      <c r="M850">
        <v>9.99</v>
      </c>
      <c r="N850">
        <v>14</v>
      </c>
      <c r="O850" t="s">
        <v>46</v>
      </c>
      <c r="Q850" t="s">
        <v>1874</v>
      </c>
      <c r="R850" t="s">
        <v>103</v>
      </c>
      <c r="S850" t="s">
        <v>104</v>
      </c>
    </row>
    <row r="851" spans="1:19" x14ac:dyDescent="0.25">
      <c r="A851" t="s">
        <v>30</v>
      </c>
      <c r="B851" t="s">
        <v>31</v>
      </c>
      <c r="C851" t="s">
        <v>32</v>
      </c>
      <c r="D851" t="s">
        <v>33</v>
      </c>
      <c r="E851" t="s">
        <v>122</v>
      </c>
      <c r="F851" t="s">
        <v>35</v>
      </c>
      <c r="G851" t="s">
        <v>35</v>
      </c>
      <c r="H851" t="s">
        <v>35</v>
      </c>
      <c r="J851" t="s">
        <v>1821</v>
      </c>
      <c r="K851" t="s">
        <v>1092</v>
      </c>
      <c r="M851">
        <v>1.9350000000000001</v>
      </c>
      <c r="N851">
        <v>134</v>
      </c>
      <c r="O851" t="s">
        <v>38</v>
      </c>
      <c r="Q851" t="s">
        <v>1822</v>
      </c>
      <c r="R851" t="s">
        <v>103</v>
      </c>
      <c r="S851" t="s">
        <v>104</v>
      </c>
    </row>
    <row r="852" spans="1:19" x14ac:dyDescent="0.25">
      <c r="A852" t="s">
        <v>59</v>
      </c>
      <c r="B852" t="s">
        <v>60</v>
      </c>
      <c r="C852" t="s">
        <v>32</v>
      </c>
      <c r="D852" t="s">
        <v>33</v>
      </c>
      <c r="E852" t="s">
        <v>204</v>
      </c>
      <c r="F852" t="s">
        <v>35</v>
      </c>
      <c r="G852" t="s">
        <v>35</v>
      </c>
      <c r="H852" t="s">
        <v>35</v>
      </c>
      <c r="J852" t="s">
        <v>2142</v>
      </c>
      <c r="K852" t="s">
        <v>1092</v>
      </c>
      <c r="M852">
        <v>1.25</v>
      </c>
      <c r="N852">
        <v>92</v>
      </c>
      <c r="O852" t="s">
        <v>106</v>
      </c>
      <c r="Q852" t="s">
        <v>1216</v>
      </c>
      <c r="R852" t="s">
        <v>103</v>
      </c>
      <c r="S852" t="s">
        <v>104</v>
      </c>
    </row>
    <row r="853" spans="1:19" x14ac:dyDescent="0.25">
      <c r="A853" t="s">
        <v>59</v>
      </c>
      <c r="B853" t="s">
        <v>60</v>
      </c>
      <c r="C853" t="s">
        <v>32</v>
      </c>
      <c r="D853" t="s">
        <v>33</v>
      </c>
      <c r="E853" t="s">
        <v>122</v>
      </c>
      <c r="F853" t="s">
        <v>35</v>
      </c>
      <c r="G853" t="s">
        <v>35</v>
      </c>
      <c r="H853" t="s">
        <v>35</v>
      </c>
      <c r="J853" t="s">
        <v>1762</v>
      </c>
      <c r="K853" t="s">
        <v>1092</v>
      </c>
      <c r="M853">
        <v>5.25</v>
      </c>
      <c r="N853">
        <v>64</v>
      </c>
      <c r="O853" t="s">
        <v>61</v>
      </c>
      <c r="Q853" t="s">
        <v>102</v>
      </c>
      <c r="R853" t="s">
        <v>103</v>
      </c>
      <c r="S853" t="s">
        <v>104</v>
      </c>
    </row>
    <row r="854" spans="1:19" x14ac:dyDescent="0.25">
      <c r="A854" t="s">
        <v>59</v>
      </c>
      <c r="B854" t="s">
        <v>31</v>
      </c>
      <c r="C854" t="s">
        <v>32</v>
      </c>
      <c r="D854" t="s">
        <v>33</v>
      </c>
      <c r="E854" t="s">
        <v>122</v>
      </c>
      <c r="F854" t="s">
        <v>35</v>
      </c>
      <c r="G854" t="s">
        <v>35</v>
      </c>
      <c r="H854" t="s">
        <v>35</v>
      </c>
      <c r="J854" t="s">
        <v>1762</v>
      </c>
      <c r="K854" t="s">
        <v>1092</v>
      </c>
      <c r="M854">
        <v>5.49</v>
      </c>
      <c r="N854">
        <v>64</v>
      </c>
      <c r="O854" t="s">
        <v>61</v>
      </c>
      <c r="Q854" t="s">
        <v>102</v>
      </c>
      <c r="R854" t="s">
        <v>103</v>
      </c>
      <c r="S854" t="s">
        <v>104</v>
      </c>
    </row>
    <row r="855" spans="1:19" x14ac:dyDescent="0.25">
      <c r="A855" t="s">
        <v>30</v>
      </c>
      <c r="B855" t="s">
        <v>31</v>
      </c>
      <c r="C855" t="s">
        <v>32</v>
      </c>
      <c r="D855" t="s">
        <v>33</v>
      </c>
      <c r="E855" t="s">
        <v>172</v>
      </c>
      <c r="F855" t="s">
        <v>35</v>
      </c>
      <c r="G855" t="s">
        <v>35</v>
      </c>
      <c r="H855" t="s">
        <v>35</v>
      </c>
      <c r="J855" t="s">
        <v>1977</v>
      </c>
      <c r="K855" t="s">
        <v>1092</v>
      </c>
      <c r="M855">
        <v>0.85499999999999998</v>
      </c>
      <c r="N855">
        <v>69</v>
      </c>
      <c r="O855" t="s">
        <v>61</v>
      </c>
      <c r="Q855" t="s">
        <v>234</v>
      </c>
      <c r="R855" t="s">
        <v>103</v>
      </c>
      <c r="S855" t="s">
        <v>104</v>
      </c>
    </row>
    <row r="856" spans="1:19" x14ac:dyDescent="0.25">
      <c r="A856" t="s">
        <v>44</v>
      </c>
      <c r="B856" t="s">
        <v>3</v>
      </c>
      <c r="C856" t="s">
        <v>32</v>
      </c>
      <c r="D856" t="s">
        <v>33</v>
      </c>
      <c r="E856" t="s">
        <v>172</v>
      </c>
      <c r="F856" t="s">
        <v>35</v>
      </c>
      <c r="G856" t="s">
        <v>35</v>
      </c>
      <c r="H856" t="s">
        <v>35</v>
      </c>
      <c r="J856" t="s">
        <v>1977</v>
      </c>
      <c r="K856" t="s">
        <v>1092</v>
      </c>
      <c r="M856">
        <v>1.5</v>
      </c>
      <c r="N856">
        <v>61</v>
      </c>
      <c r="O856" t="s">
        <v>61</v>
      </c>
      <c r="Q856" t="s">
        <v>146</v>
      </c>
      <c r="R856" t="s">
        <v>103</v>
      </c>
      <c r="S856" t="s">
        <v>104</v>
      </c>
    </row>
    <row r="857" spans="1:19" x14ac:dyDescent="0.25">
      <c r="A857" t="s">
        <v>30</v>
      </c>
      <c r="B857" t="s">
        <v>31</v>
      </c>
      <c r="C857" t="s">
        <v>32</v>
      </c>
      <c r="D857" t="s">
        <v>33</v>
      </c>
      <c r="E857" t="s">
        <v>177</v>
      </c>
      <c r="F857" t="s">
        <v>35</v>
      </c>
      <c r="G857" t="s">
        <v>35</v>
      </c>
      <c r="H857" t="s">
        <v>35</v>
      </c>
      <c r="J857" t="s">
        <v>1985</v>
      </c>
      <c r="K857" t="s">
        <v>1092</v>
      </c>
      <c r="M857">
        <v>1.98</v>
      </c>
      <c r="N857">
        <v>12</v>
      </c>
      <c r="O857" t="s">
        <v>46</v>
      </c>
      <c r="Q857" t="s">
        <v>1192</v>
      </c>
      <c r="R857" t="s">
        <v>103</v>
      </c>
      <c r="S857" t="s">
        <v>104</v>
      </c>
    </row>
    <row r="858" spans="1:19" x14ac:dyDescent="0.25">
      <c r="A858" t="s">
        <v>59</v>
      </c>
      <c r="B858" t="s">
        <v>60</v>
      </c>
      <c r="C858" t="s">
        <v>32</v>
      </c>
      <c r="D858" t="s">
        <v>33</v>
      </c>
      <c r="E858" t="s">
        <v>204</v>
      </c>
      <c r="F858" t="s">
        <v>35</v>
      </c>
      <c r="G858" t="s">
        <v>35</v>
      </c>
      <c r="H858" t="s">
        <v>35</v>
      </c>
      <c r="J858" t="s">
        <v>2149</v>
      </c>
      <c r="K858" t="s">
        <v>1092</v>
      </c>
      <c r="M858">
        <v>1.8</v>
      </c>
      <c r="N858">
        <v>92</v>
      </c>
      <c r="O858" t="s">
        <v>106</v>
      </c>
      <c r="Q858" t="s">
        <v>1216</v>
      </c>
      <c r="R858" t="s">
        <v>103</v>
      </c>
      <c r="S858" t="s">
        <v>104</v>
      </c>
    </row>
    <row r="859" spans="1:19" x14ac:dyDescent="0.25">
      <c r="A859" t="s">
        <v>59</v>
      </c>
      <c r="B859" t="s">
        <v>60</v>
      </c>
      <c r="C859" t="s">
        <v>32</v>
      </c>
      <c r="D859" t="s">
        <v>33</v>
      </c>
      <c r="E859" t="s">
        <v>119</v>
      </c>
      <c r="F859" t="s">
        <v>35</v>
      </c>
      <c r="G859" t="s">
        <v>35</v>
      </c>
      <c r="H859" t="s">
        <v>35</v>
      </c>
      <c r="J859" t="s">
        <v>1631</v>
      </c>
      <c r="K859" t="s">
        <v>1092</v>
      </c>
      <c r="M859">
        <v>1</v>
      </c>
      <c r="N859">
        <v>156</v>
      </c>
      <c r="O859" t="s">
        <v>38</v>
      </c>
      <c r="Q859" t="s">
        <v>1632</v>
      </c>
      <c r="R859" t="s">
        <v>103</v>
      </c>
      <c r="S859" t="s">
        <v>104</v>
      </c>
    </row>
    <row r="860" spans="1:19" x14ac:dyDescent="0.25">
      <c r="A860" t="s">
        <v>59</v>
      </c>
      <c r="B860" t="s">
        <v>60</v>
      </c>
      <c r="C860" t="s">
        <v>32</v>
      </c>
      <c r="D860" t="s">
        <v>33</v>
      </c>
      <c r="E860" t="s">
        <v>122</v>
      </c>
      <c r="F860" t="s">
        <v>35</v>
      </c>
      <c r="G860" t="s">
        <v>35</v>
      </c>
      <c r="H860" t="s">
        <v>35</v>
      </c>
      <c r="J860" t="s">
        <v>1785</v>
      </c>
      <c r="K860" t="s">
        <v>1092</v>
      </c>
      <c r="M860">
        <v>0.76700000000000002</v>
      </c>
      <c r="N860">
        <v>205</v>
      </c>
      <c r="O860" t="s">
        <v>5</v>
      </c>
      <c r="Q860" t="s">
        <v>1711</v>
      </c>
      <c r="R860" t="s">
        <v>103</v>
      </c>
      <c r="S860" t="s">
        <v>104</v>
      </c>
    </row>
    <row r="861" spans="1:19" x14ac:dyDescent="0.25">
      <c r="A861" t="s">
        <v>30</v>
      </c>
      <c r="B861" t="s">
        <v>31</v>
      </c>
      <c r="C861" t="s">
        <v>32</v>
      </c>
      <c r="D861" t="s">
        <v>33</v>
      </c>
      <c r="E861" t="s">
        <v>64</v>
      </c>
      <c r="F861" t="s">
        <v>35</v>
      </c>
      <c r="G861" t="s">
        <v>35</v>
      </c>
      <c r="H861" t="s">
        <v>35</v>
      </c>
      <c r="J861" t="s">
        <v>1272</v>
      </c>
      <c r="K861" t="s">
        <v>1092</v>
      </c>
      <c r="M861">
        <v>4.9950000000000001</v>
      </c>
      <c r="N861">
        <v>9</v>
      </c>
      <c r="O861" t="s">
        <v>46</v>
      </c>
      <c r="Q861" t="s">
        <v>323</v>
      </c>
      <c r="R861" t="s">
        <v>103</v>
      </c>
      <c r="S861" t="s">
        <v>104</v>
      </c>
    </row>
    <row r="862" spans="1:19" x14ac:dyDescent="0.25">
      <c r="A862" t="s">
        <v>44</v>
      </c>
      <c r="B862" t="s">
        <v>3</v>
      </c>
      <c r="C862" t="s">
        <v>32</v>
      </c>
      <c r="D862" t="s">
        <v>33</v>
      </c>
      <c r="E862" t="s">
        <v>64</v>
      </c>
      <c r="F862" t="s">
        <v>35</v>
      </c>
      <c r="G862" t="s">
        <v>35</v>
      </c>
      <c r="H862" t="s">
        <v>35</v>
      </c>
      <c r="J862" t="s">
        <v>1272</v>
      </c>
      <c r="K862" t="s">
        <v>1092</v>
      </c>
      <c r="M862">
        <v>1.1000000000000001</v>
      </c>
      <c r="N862">
        <v>58</v>
      </c>
      <c r="O862" t="s">
        <v>52</v>
      </c>
      <c r="Q862" t="s">
        <v>128</v>
      </c>
      <c r="R862" t="s">
        <v>103</v>
      </c>
      <c r="S862" t="s">
        <v>104</v>
      </c>
    </row>
    <row r="863" spans="1:19" x14ac:dyDescent="0.25">
      <c r="A863" t="s">
        <v>44</v>
      </c>
      <c r="B863" t="s">
        <v>51</v>
      </c>
      <c r="C863" t="s">
        <v>32</v>
      </c>
      <c r="D863" t="s">
        <v>33</v>
      </c>
      <c r="E863" t="s">
        <v>64</v>
      </c>
      <c r="F863" t="s">
        <v>35</v>
      </c>
      <c r="G863" t="s">
        <v>35</v>
      </c>
      <c r="H863" t="s">
        <v>35</v>
      </c>
      <c r="J863" t="s">
        <v>1272</v>
      </c>
      <c r="K863" t="s">
        <v>1092</v>
      </c>
      <c r="M863">
        <v>1.75</v>
      </c>
      <c r="N863">
        <v>55</v>
      </c>
      <c r="O863" t="s">
        <v>52</v>
      </c>
      <c r="Q863" t="s">
        <v>90</v>
      </c>
      <c r="R863" t="s">
        <v>103</v>
      </c>
      <c r="S863" t="s">
        <v>104</v>
      </c>
    </row>
    <row r="864" spans="1:19" x14ac:dyDescent="0.25">
      <c r="A864" t="s">
        <v>30</v>
      </c>
      <c r="B864" t="s">
        <v>31</v>
      </c>
      <c r="C864" t="s">
        <v>32</v>
      </c>
      <c r="D864" t="s">
        <v>33</v>
      </c>
      <c r="E864" t="s">
        <v>1292</v>
      </c>
      <c r="F864" t="s">
        <v>35</v>
      </c>
      <c r="G864" t="s">
        <v>35</v>
      </c>
      <c r="H864" t="s">
        <v>35</v>
      </c>
      <c r="J864" t="s">
        <v>1368</v>
      </c>
      <c r="K864" t="s">
        <v>1092</v>
      </c>
      <c r="M864">
        <v>0.81</v>
      </c>
      <c r="N864">
        <v>395</v>
      </c>
      <c r="O864" t="s">
        <v>294</v>
      </c>
      <c r="Q864" t="s">
        <v>1369</v>
      </c>
      <c r="R864" t="s">
        <v>103</v>
      </c>
      <c r="S864" t="s">
        <v>104</v>
      </c>
    </row>
    <row r="865" spans="1:19" x14ac:dyDescent="0.25">
      <c r="A865" t="s">
        <v>44</v>
      </c>
      <c r="B865" t="s">
        <v>3</v>
      </c>
      <c r="C865" t="s">
        <v>32</v>
      </c>
      <c r="D865" t="s">
        <v>33</v>
      </c>
      <c r="E865" t="s">
        <v>1292</v>
      </c>
      <c r="F865" t="s">
        <v>35</v>
      </c>
      <c r="G865" t="s">
        <v>35</v>
      </c>
      <c r="H865" t="s">
        <v>35</v>
      </c>
      <c r="J865" t="s">
        <v>1368</v>
      </c>
      <c r="K865" t="s">
        <v>1092</v>
      </c>
      <c r="M865">
        <v>0.5</v>
      </c>
      <c r="N865">
        <v>427</v>
      </c>
      <c r="O865" t="s">
        <v>294</v>
      </c>
      <c r="Q865" t="s">
        <v>1370</v>
      </c>
      <c r="R865" t="s">
        <v>103</v>
      </c>
      <c r="S865" t="s">
        <v>104</v>
      </c>
    </row>
    <row r="866" spans="1:19" x14ac:dyDescent="0.25">
      <c r="A866" t="s">
        <v>59</v>
      </c>
      <c r="B866" t="s">
        <v>60</v>
      </c>
      <c r="C866" t="s">
        <v>32</v>
      </c>
      <c r="D866" t="s">
        <v>33</v>
      </c>
      <c r="E866" t="s">
        <v>122</v>
      </c>
      <c r="F866" t="s">
        <v>35</v>
      </c>
      <c r="G866" t="s">
        <v>35</v>
      </c>
      <c r="H866" t="s">
        <v>35</v>
      </c>
      <c r="J866" t="s">
        <v>1710</v>
      </c>
      <c r="K866" t="s">
        <v>1092</v>
      </c>
      <c r="M866">
        <v>3</v>
      </c>
      <c r="N866">
        <v>205</v>
      </c>
      <c r="O866" t="s">
        <v>5</v>
      </c>
      <c r="Q866" t="s">
        <v>1711</v>
      </c>
      <c r="R866" t="s">
        <v>103</v>
      </c>
      <c r="S866" t="s">
        <v>104</v>
      </c>
    </row>
    <row r="867" spans="1:19" x14ac:dyDescent="0.25">
      <c r="A867" t="s">
        <v>30</v>
      </c>
      <c r="B867" t="s">
        <v>31</v>
      </c>
      <c r="C867" t="s">
        <v>32</v>
      </c>
      <c r="D867" t="s">
        <v>33</v>
      </c>
      <c r="E867" t="s">
        <v>1292</v>
      </c>
      <c r="F867" t="s">
        <v>35</v>
      </c>
      <c r="G867" t="s">
        <v>35</v>
      </c>
      <c r="H867" t="s">
        <v>35</v>
      </c>
      <c r="J867" t="s">
        <v>1377</v>
      </c>
      <c r="K867" t="s">
        <v>1092</v>
      </c>
      <c r="M867">
        <v>5.49</v>
      </c>
      <c r="N867">
        <v>36</v>
      </c>
      <c r="O867" t="s">
        <v>52</v>
      </c>
      <c r="Q867" t="s">
        <v>892</v>
      </c>
      <c r="R867" t="s">
        <v>103</v>
      </c>
      <c r="S867" t="s">
        <v>104</v>
      </c>
    </row>
    <row r="868" spans="1:19" x14ac:dyDescent="0.25">
      <c r="A868" t="s">
        <v>30</v>
      </c>
      <c r="B868" t="s">
        <v>31</v>
      </c>
      <c r="C868" t="s">
        <v>32</v>
      </c>
      <c r="D868" t="s">
        <v>33</v>
      </c>
      <c r="E868" t="s">
        <v>64</v>
      </c>
      <c r="F868" t="s">
        <v>35</v>
      </c>
      <c r="G868" t="s">
        <v>35</v>
      </c>
      <c r="H868" t="s">
        <v>35</v>
      </c>
      <c r="J868" t="s">
        <v>1261</v>
      </c>
      <c r="K868" t="s">
        <v>1092</v>
      </c>
      <c r="M868">
        <v>4.9950000000000001</v>
      </c>
      <c r="N868">
        <v>9</v>
      </c>
      <c r="O868" t="s">
        <v>46</v>
      </c>
      <c r="Q868" t="s">
        <v>323</v>
      </c>
      <c r="R868" t="s">
        <v>103</v>
      </c>
      <c r="S868" t="s">
        <v>104</v>
      </c>
    </row>
    <row r="869" spans="1:19" x14ac:dyDescent="0.25">
      <c r="A869" t="s">
        <v>59</v>
      </c>
      <c r="B869" t="s">
        <v>60</v>
      </c>
      <c r="C869" t="s">
        <v>32</v>
      </c>
      <c r="D869" t="s">
        <v>33</v>
      </c>
      <c r="E869" t="s">
        <v>162</v>
      </c>
      <c r="F869" t="s">
        <v>35</v>
      </c>
      <c r="G869" t="s">
        <v>35</v>
      </c>
      <c r="H869" t="s">
        <v>35</v>
      </c>
      <c r="J869" t="s">
        <v>1861</v>
      </c>
      <c r="K869" t="s">
        <v>1144</v>
      </c>
      <c r="M869">
        <v>5.9980000000000002</v>
      </c>
      <c r="N869">
        <v>63</v>
      </c>
      <c r="O869" t="s">
        <v>61</v>
      </c>
      <c r="Q869" t="s">
        <v>126</v>
      </c>
      <c r="R869" t="s">
        <v>103</v>
      </c>
      <c r="S869" t="s">
        <v>104</v>
      </c>
    </row>
    <row r="870" spans="1:19" x14ac:dyDescent="0.25">
      <c r="A870" t="s">
        <v>30</v>
      </c>
      <c r="B870" t="s">
        <v>31</v>
      </c>
      <c r="C870" t="s">
        <v>32</v>
      </c>
      <c r="D870" t="s">
        <v>33</v>
      </c>
      <c r="E870" t="s">
        <v>1292</v>
      </c>
      <c r="F870" t="s">
        <v>35</v>
      </c>
      <c r="G870" t="s">
        <v>35</v>
      </c>
      <c r="H870" t="s">
        <v>35</v>
      </c>
      <c r="J870" t="s">
        <v>1356</v>
      </c>
      <c r="K870" t="s">
        <v>1092</v>
      </c>
      <c r="M870">
        <v>5.085</v>
      </c>
      <c r="N870">
        <v>36</v>
      </c>
      <c r="O870" t="s">
        <v>52</v>
      </c>
      <c r="Q870" t="s">
        <v>892</v>
      </c>
      <c r="R870" t="s">
        <v>103</v>
      </c>
      <c r="S870" t="s">
        <v>104</v>
      </c>
    </row>
    <row r="871" spans="1:19" x14ac:dyDescent="0.25">
      <c r="A871" t="s">
        <v>1439</v>
      </c>
      <c r="B871" t="s">
        <v>1440</v>
      </c>
      <c r="C871" t="s">
        <v>32</v>
      </c>
      <c r="D871" t="s">
        <v>33</v>
      </c>
      <c r="E871" t="s">
        <v>177</v>
      </c>
      <c r="F871" t="s">
        <v>35</v>
      </c>
      <c r="G871" t="s">
        <v>35</v>
      </c>
      <c r="H871" t="s">
        <v>35</v>
      </c>
      <c r="J871" t="s">
        <v>2015</v>
      </c>
      <c r="K871" t="s">
        <v>1092</v>
      </c>
      <c r="M871">
        <v>2.4</v>
      </c>
      <c r="N871">
        <v>90</v>
      </c>
      <c r="O871" t="s">
        <v>61</v>
      </c>
      <c r="Q871" t="s">
        <v>557</v>
      </c>
      <c r="R871" t="s">
        <v>103</v>
      </c>
      <c r="S871" t="s">
        <v>104</v>
      </c>
    </row>
    <row r="872" spans="1:19" x14ac:dyDescent="0.25">
      <c r="A872" t="s">
        <v>30</v>
      </c>
      <c r="B872" t="s">
        <v>31</v>
      </c>
      <c r="C872" t="s">
        <v>32</v>
      </c>
      <c r="D872" t="s">
        <v>33</v>
      </c>
      <c r="E872" t="s">
        <v>177</v>
      </c>
      <c r="F872" t="s">
        <v>35</v>
      </c>
      <c r="G872" t="s">
        <v>35</v>
      </c>
      <c r="H872" t="s">
        <v>35</v>
      </c>
      <c r="J872" t="s">
        <v>2015</v>
      </c>
      <c r="K872" t="s">
        <v>1092</v>
      </c>
      <c r="M872">
        <v>5.49</v>
      </c>
      <c r="N872">
        <v>40</v>
      </c>
      <c r="O872" t="s">
        <v>52</v>
      </c>
      <c r="Q872" t="s">
        <v>132</v>
      </c>
      <c r="R872" t="s">
        <v>103</v>
      </c>
      <c r="S872" t="s">
        <v>104</v>
      </c>
    </row>
    <row r="873" spans="1:19" x14ac:dyDescent="0.25">
      <c r="A873" t="s">
        <v>30</v>
      </c>
      <c r="B873" t="s">
        <v>31</v>
      </c>
      <c r="C873" t="s">
        <v>32</v>
      </c>
      <c r="D873" t="s">
        <v>33</v>
      </c>
      <c r="E873" t="s">
        <v>177</v>
      </c>
      <c r="F873" t="s">
        <v>35</v>
      </c>
      <c r="G873" t="s">
        <v>35</v>
      </c>
      <c r="H873" t="s">
        <v>35</v>
      </c>
      <c r="J873" t="s">
        <v>2015</v>
      </c>
      <c r="K873" t="s">
        <v>1092</v>
      </c>
      <c r="M873">
        <v>9.11</v>
      </c>
      <c r="N873">
        <v>61</v>
      </c>
      <c r="O873" t="s">
        <v>61</v>
      </c>
      <c r="Q873" t="s">
        <v>146</v>
      </c>
      <c r="R873" t="s">
        <v>103</v>
      </c>
      <c r="S873" t="s">
        <v>104</v>
      </c>
    </row>
    <row r="874" spans="1:19" x14ac:dyDescent="0.25">
      <c r="A874" t="s">
        <v>59</v>
      </c>
      <c r="B874" t="s">
        <v>60</v>
      </c>
      <c r="C874" t="s">
        <v>32</v>
      </c>
      <c r="D874" t="s">
        <v>33</v>
      </c>
      <c r="E874" t="s">
        <v>172</v>
      </c>
      <c r="F874" t="s">
        <v>35</v>
      </c>
      <c r="G874" t="s">
        <v>35</v>
      </c>
      <c r="H874" t="s">
        <v>35</v>
      </c>
      <c r="J874" t="s">
        <v>1962</v>
      </c>
      <c r="K874" t="s">
        <v>1092</v>
      </c>
      <c r="M874">
        <v>0.25</v>
      </c>
      <c r="N874">
        <v>92</v>
      </c>
      <c r="O874" t="s">
        <v>106</v>
      </c>
      <c r="Q874" t="s">
        <v>1216</v>
      </c>
      <c r="R874" t="s">
        <v>103</v>
      </c>
      <c r="S874" t="s">
        <v>104</v>
      </c>
    </row>
    <row r="875" spans="1:19" x14ac:dyDescent="0.25">
      <c r="A875" t="s">
        <v>44</v>
      </c>
      <c r="B875" t="s">
        <v>3</v>
      </c>
      <c r="C875" t="s">
        <v>32</v>
      </c>
      <c r="D875" t="s">
        <v>33</v>
      </c>
      <c r="E875" t="s">
        <v>172</v>
      </c>
      <c r="F875" t="s">
        <v>35</v>
      </c>
      <c r="G875" t="s">
        <v>35</v>
      </c>
      <c r="H875" t="s">
        <v>35</v>
      </c>
      <c r="J875" t="s">
        <v>1962</v>
      </c>
      <c r="K875" t="s">
        <v>1092</v>
      </c>
      <c r="M875">
        <v>5.25</v>
      </c>
      <c r="N875">
        <v>61</v>
      </c>
      <c r="O875" t="s">
        <v>61</v>
      </c>
      <c r="Q875" t="s">
        <v>146</v>
      </c>
      <c r="R875" t="s">
        <v>103</v>
      </c>
      <c r="S875" t="s">
        <v>104</v>
      </c>
    </row>
    <row r="876" spans="1:19" x14ac:dyDescent="0.25">
      <c r="A876" t="s">
        <v>44</v>
      </c>
      <c r="B876" t="s">
        <v>51</v>
      </c>
      <c r="C876" t="s">
        <v>32</v>
      </c>
      <c r="D876" t="s">
        <v>33</v>
      </c>
      <c r="E876" t="s">
        <v>172</v>
      </c>
      <c r="F876" t="s">
        <v>35</v>
      </c>
      <c r="G876" t="s">
        <v>35</v>
      </c>
      <c r="H876" t="s">
        <v>35</v>
      </c>
      <c r="J876" t="s">
        <v>1962</v>
      </c>
      <c r="K876" t="s">
        <v>1092</v>
      </c>
      <c r="M876">
        <v>5.5</v>
      </c>
      <c r="N876">
        <v>55</v>
      </c>
      <c r="O876" t="s">
        <v>52</v>
      </c>
      <c r="Q876" t="s">
        <v>90</v>
      </c>
      <c r="R876" t="s">
        <v>103</v>
      </c>
      <c r="S876" t="s">
        <v>104</v>
      </c>
    </row>
    <row r="877" spans="1:19" x14ac:dyDescent="0.25">
      <c r="A877" t="s">
        <v>59</v>
      </c>
      <c r="B877" t="s">
        <v>31</v>
      </c>
      <c r="C877" t="s">
        <v>32</v>
      </c>
      <c r="D877" t="s">
        <v>33</v>
      </c>
      <c r="E877" t="s">
        <v>204</v>
      </c>
      <c r="F877" t="s">
        <v>35</v>
      </c>
      <c r="G877" t="s">
        <v>35</v>
      </c>
      <c r="H877" t="s">
        <v>35</v>
      </c>
      <c r="J877" t="s">
        <v>2148</v>
      </c>
      <c r="K877" t="s">
        <v>1092</v>
      </c>
      <c r="M877">
        <v>1.9550000000000001</v>
      </c>
      <c r="N877">
        <v>92</v>
      </c>
      <c r="O877" t="s">
        <v>106</v>
      </c>
      <c r="Q877" t="s">
        <v>1216</v>
      </c>
      <c r="R877" t="s">
        <v>103</v>
      </c>
      <c r="S877" t="s">
        <v>104</v>
      </c>
    </row>
    <row r="878" spans="1:19" x14ac:dyDescent="0.25">
      <c r="A878" t="s">
        <v>59</v>
      </c>
      <c r="B878" t="s">
        <v>60</v>
      </c>
      <c r="C878" t="s">
        <v>32</v>
      </c>
      <c r="D878" t="s">
        <v>33</v>
      </c>
      <c r="E878" t="s">
        <v>204</v>
      </c>
      <c r="F878" t="s">
        <v>35</v>
      </c>
      <c r="G878" t="s">
        <v>35</v>
      </c>
      <c r="H878" t="s">
        <v>35</v>
      </c>
      <c r="J878" t="s">
        <v>2148</v>
      </c>
      <c r="K878" t="s">
        <v>1092</v>
      </c>
      <c r="M878">
        <v>1.9</v>
      </c>
      <c r="N878">
        <v>92</v>
      </c>
      <c r="O878" t="s">
        <v>106</v>
      </c>
      <c r="Q878" t="s">
        <v>1216</v>
      </c>
      <c r="R878" t="s">
        <v>103</v>
      </c>
      <c r="S878" t="s">
        <v>104</v>
      </c>
    </row>
    <row r="879" spans="1:19" x14ac:dyDescent="0.25">
      <c r="A879" t="s">
        <v>59</v>
      </c>
      <c r="B879" t="s">
        <v>60</v>
      </c>
      <c r="C879" t="s">
        <v>32</v>
      </c>
      <c r="D879" t="s">
        <v>33</v>
      </c>
      <c r="E879" t="s">
        <v>122</v>
      </c>
      <c r="F879" t="s">
        <v>35</v>
      </c>
      <c r="G879" t="s">
        <v>35</v>
      </c>
      <c r="H879" t="s">
        <v>35</v>
      </c>
      <c r="J879" t="s">
        <v>154</v>
      </c>
      <c r="K879" t="s">
        <v>37</v>
      </c>
      <c r="M879">
        <v>7</v>
      </c>
      <c r="N879">
        <v>129</v>
      </c>
      <c r="O879" t="s">
        <v>38</v>
      </c>
      <c r="P879" t="s">
        <v>156</v>
      </c>
      <c r="Q879" t="s">
        <v>157</v>
      </c>
      <c r="R879" t="s">
        <v>158</v>
      </c>
      <c r="S879" t="s">
        <v>159</v>
      </c>
    </row>
    <row r="880" spans="1:19" x14ac:dyDescent="0.25">
      <c r="A880" t="s">
        <v>30</v>
      </c>
      <c r="B880" t="s">
        <v>31</v>
      </c>
      <c r="C880" t="s">
        <v>32</v>
      </c>
      <c r="D880" t="s">
        <v>33</v>
      </c>
      <c r="E880" t="s">
        <v>2081</v>
      </c>
      <c r="F880" t="s">
        <v>35</v>
      </c>
      <c r="G880" t="s">
        <v>35</v>
      </c>
      <c r="H880" t="s">
        <v>35</v>
      </c>
      <c r="J880" t="s">
        <v>2087</v>
      </c>
      <c r="K880" t="s">
        <v>1092</v>
      </c>
      <c r="M880">
        <v>0.09</v>
      </c>
      <c r="N880">
        <v>1908</v>
      </c>
      <c r="O880" t="s">
        <v>575</v>
      </c>
      <c r="Q880" t="s">
        <v>2088</v>
      </c>
      <c r="R880" t="s">
        <v>1560</v>
      </c>
      <c r="S880" t="s">
        <v>115</v>
      </c>
    </row>
    <row r="881" spans="1:19" x14ac:dyDescent="0.25">
      <c r="A881" t="s">
        <v>30</v>
      </c>
      <c r="B881" t="s">
        <v>31</v>
      </c>
      <c r="C881" t="s">
        <v>32</v>
      </c>
      <c r="D881" t="s">
        <v>33</v>
      </c>
      <c r="E881" t="s">
        <v>1520</v>
      </c>
      <c r="F881" t="s">
        <v>35</v>
      </c>
      <c r="G881" t="s">
        <v>35</v>
      </c>
      <c r="H881" t="s">
        <v>35</v>
      </c>
      <c r="J881" t="s">
        <v>1559</v>
      </c>
      <c r="K881" t="s">
        <v>1092</v>
      </c>
      <c r="M881">
        <v>0.26500000000000001</v>
      </c>
      <c r="N881">
        <v>238</v>
      </c>
      <c r="O881" t="s">
        <v>5</v>
      </c>
      <c r="Q881" t="s">
        <v>111</v>
      </c>
      <c r="R881" t="s">
        <v>1560</v>
      </c>
      <c r="S881" t="s">
        <v>115</v>
      </c>
    </row>
    <row r="882" spans="1:19" x14ac:dyDescent="0.25">
      <c r="A882" t="s">
        <v>30</v>
      </c>
      <c r="B882" t="s">
        <v>31</v>
      </c>
      <c r="C882" t="s">
        <v>32</v>
      </c>
      <c r="D882" t="s">
        <v>33</v>
      </c>
      <c r="F882" t="s">
        <v>35</v>
      </c>
      <c r="G882" t="s">
        <v>35</v>
      </c>
      <c r="H882" t="s">
        <v>35</v>
      </c>
      <c r="J882" t="s">
        <v>2209</v>
      </c>
      <c r="K882" t="s">
        <v>1092</v>
      </c>
      <c r="M882">
        <v>0.22500000000000001</v>
      </c>
      <c r="N882">
        <v>2252</v>
      </c>
      <c r="O882" t="s">
        <v>575</v>
      </c>
      <c r="Q882" t="s">
        <v>2210</v>
      </c>
      <c r="R882" t="s">
        <v>1560</v>
      </c>
      <c r="S882" t="s">
        <v>115</v>
      </c>
    </row>
    <row r="883" spans="1:19" x14ac:dyDescent="0.25">
      <c r="A883" t="s">
        <v>30</v>
      </c>
      <c r="B883" t="s">
        <v>31</v>
      </c>
      <c r="C883" t="s">
        <v>32</v>
      </c>
      <c r="D883" t="s">
        <v>33</v>
      </c>
      <c r="E883" t="s">
        <v>119</v>
      </c>
      <c r="F883" t="s">
        <v>35</v>
      </c>
      <c r="G883" t="s">
        <v>35</v>
      </c>
      <c r="H883" t="s">
        <v>35</v>
      </c>
      <c r="J883" t="s">
        <v>1618</v>
      </c>
      <c r="K883" t="s">
        <v>1092</v>
      </c>
      <c r="M883">
        <v>0.32500000000000001</v>
      </c>
      <c r="N883">
        <v>524</v>
      </c>
      <c r="O883" t="s">
        <v>294</v>
      </c>
      <c r="Q883" t="s">
        <v>1619</v>
      </c>
      <c r="R883" t="s">
        <v>1560</v>
      </c>
      <c r="S883" t="s">
        <v>115</v>
      </c>
    </row>
    <row r="884" spans="1:19" x14ac:dyDescent="0.25">
      <c r="A884" t="s">
        <v>59</v>
      </c>
      <c r="B884" t="s">
        <v>31</v>
      </c>
      <c r="C884" t="s">
        <v>32</v>
      </c>
      <c r="D884" t="s">
        <v>33</v>
      </c>
      <c r="E884" t="s">
        <v>2081</v>
      </c>
      <c r="F884" t="s">
        <v>35</v>
      </c>
      <c r="G884" t="s">
        <v>35</v>
      </c>
      <c r="H884" t="s">
        <v>35</v>
      </c>
      <c r="J884" t="s">
        <v>2085</v>
      </c>
      <c r="K884" t="s">
        <v>1092</v>
      </c>
      <c r="M884">
        <v>0.60499999999999998</v>
      </c>
      <c r="N884">
        <v>528</v>
      </c>
      <c r="O884" t="s">
        <v>294</v>
      </c>
      <c r="Q884" t="s">
        <v>2086</v>
      </c>
      <c r="R884" t="s">
        <v>1560</v>
      </c>
      <c r="S884" t="s">
        <v>115</v>
      </c>
    </row>
    <row r="885" spans="1:19" x14ac:dyDescent="0.25">
      <c r="A885" t="s">
        <v>59</v>
      </c>
      <c r="B885" t="s">
        <v>31</v>
      </c>
      <c r="C885" t="s">
        <v>32</v>
      </c>
      <c r="D885" t="s">
        <v>33</v>
      </c>
      <c r="F885" t="s">
        <v>35</v>
      </c>
      <c r="G885" t="s">
        <v>35</v>
      </c>
      <c r="H885" t="s">
        <v>35</v>
      </c>
      <c r="J885" t="s">
        <v>2226</v>
      </c>
      <c r="K885" t="s">
        <v>1092</v>
      </c>
      <c r="M885">
        <v>0.08</v>
      </c>
      <c r="N885">
        <v>1908</v>
      </c>
      <c r="O885" t="s">
        <v>575</v>
      </c>
      <c r="Q885" t="s">
        <v>2088</v>
      </c>
      <c r="R885" t="s">
        <v>1560</v>
      </c>
      <c r="S885" t="s">
        <v>115</v>
      </c>
    </row>
    <row r="886" spans="1:19" x14ac:dyDescent="0.25">
      <c r="A886" t="s">
        <v>59</v>
      </c>
      <c r="B886" t="s">
        <v>60</v>
      </c>
      <c r="C886" t="s">
        <v>32</v>
      </c>
      <c r="D886" t="s">
        <v>33</v>
      </c>
      <c r="F886" t="s">
        <v>35</v>
      </c>
      <c r="G886" t="s">
        <v>35</v>
      </c>
      <c r="H886" t="s">
        <v>35</v>
      </c>
      <c r="J886" t="s">
        <v>2221</v>
      </c>
      <c r="K886" t="s">
        <v>1092</v>
      </c>
      <c r="M886">
        <v>0.48499999999999999</v>
      </c>
      <c r="N886">
        <v>2656</v>
      </c>
      <c r="O886" t="s">
        <v>575</v>
      </c>
      <c r="Q886" t="s">
        <v>2222</v>
      </c>
      <c r="R886" t="s">
        <v>2223</v>
      </c>
      <c r="S886" t="s">
        <v>981</v>
      </c>
    </row>
    <row r="887" spans="1:19" x14ac:dyDescent="0.25">
      <c r="A887" t="s">
        <v>30</v>
      </c>
      <c r="B887" t="s">
        <v>31</v>
      </c>
      <c r="C887" t="s">
        <v>32</v>
      </c>
      <c r="D887" t="s">
        <v>33</v>
      </c>
      <c r="E887" t="s">
        <v>2059</v>
      </c>
      <c r="F887" t="s">
        <v>35</v>
      </c>
      <c r="G887" t="s">
        <v>35</v>
      </c>
      <c r="H887" t="s">
        <v>35</v>
      </c>
      <c r="J887" t="s">
        <v>2074</v>
      </c>
      <c r="K887" t="s">
        <v>1092</v>
      </c>
      <c r="M887">
        <v>5.13</v>
      </c>
      <c r="N887">
        <v>188</v>
      </c>
      <c r="O887" t="s">
        <v>5</v>
      </c>
      <c r="Q887" t="s">
        <v>2075</v>
      </c>
      <c r="R887" t="s">
        <v>2076</v>
      </c>
      <c r="S887" t="s">
        <v>2077</v>
      </c>
    </row>
    <row r="888" spans="1:19" x14ac:dyDescent="0.25">
      <c r="A888" t="s">
        <v>30</v>
      </c>
      <c r="B888" t="s">
        <v>31</v>
      </c>
      <c r="C888" t="s">
        <v>32</v>
      </c>
      <c r="D888" t="s">
        <v>33</v>
      </c>
      <c r="E888" t="s">
        <v>87</v>
      </c>
      <c r="F888" t="s">
        <v>35</v>
      </c>
      <c r="G888" t="s">
        <v>35</v>
      </c>
      <c r="H888" t="s">
        <v>35</v>
      </c>
      <c r="J888" t="s">
        <v>1460</v>
      </c>
      <c r="K888" t="s">
        <v>1092</v>
      </c>
      <c r="M888">
        <v>6.75</v>
      </c>
      <c r="N888">
        <v>9</v>
      </c>
      <c r="O888" t="s">
        <v>46</v>
      </c>
      <c r="Q888" t="s">
        <v>323</v>
      </c>
      <c r="R888" t="s">
        <v>193</v>
      </c>
      <c r="S888" t="s">
        <v>181</v>
      </c>
    </row>
    <row r="889" spans="1:19" x14ac:dyDescent="0.25">
      <c r="A889" t="s">
        <v>59</v>
      </c>
      <c r="B889" t="s">
        <v>60</v>
      </c>
      <c r="C889" t="s">
        <v>32</v>
      </c>
      <c r="D889" t="s">
        <v>33</v>
      </c>
      <c r="E889" t="s">
        <v>64</v>
      </c>
      <c r="F889" t="s">
        <v>35</v>
      </c>
      <c r="G889" t="s">
        <v>35</v>
      </c>
      <c r="H889" t="s">
        <v>35</v>
      </c>
      <c r="J889" t="s">
        <v>1204</v>
      </c>
      <c r="K889" t="s">
        <v>1092</v>
      </c>
      <c r="M889">
        <v>7.2</v>
      </c>
      <c r="N889">
        <v>44</v>
      </c>
      <c r="O889" t="s">
        <v>52</v>
      </c>
      <c r="Q889" t="s">
        <v>54</v>
      </c>
      <c r="R889" t="s">
        <v>193</v>
      </c>
      <c r="S889" t="s">
        <v>181</v>
      </c>
    </row>
    <row r="890" spans="1:19" x14ac:dyDescent="0.25">
      <c r="A890" t="s">
        <v>59</v>
      </c>
      <c r="B890" t="s">
        <v>60</v>
      </c>
      <c r="C890" t="s">
        <v>32</v>
      </c>
      <c r="D890" t="s">
        <v>33</v>
      </c>
      <c r="E890" t="s">
        <v>204</v>
      </c>
      <c r="F890" t="s">
        <v>35</v>
      </c>
      <c r="G890" t="s">
        <v>35</v>
      </c>
      <c r="H890" t="s">
        <v>35</v>
      </c>
      <c r="J890" t="s">
        <v>2165</v>
      </c>
      <c r="K890" t="s">
        <v>1092</v>
      </c>
      <c r="M890">
        <v>3.8</v>
      </c>
      <c r="N890">
        <v>61</v>
      </c>
      <c r="O890" t="s">
        <v>61</v>
      </c>
      <c r="Q890" t="s">
        <v>146</v>
      </c>
      <c r="R890" t="s">
        <v>193</v>
      </c>
      <c r="S890" t="s">
        <v>181</v>
      </c>
    </row>
    <row r="891" spans="1:19" x14ac:dyDescent="0.25">
      <c r="A891" t="s">
        <v>59</v>
      </c>
      <c r="B891" t="s">
        <v>31</v>
      </c>
      <c r="C891" t="s">
        <v>32</v>
      </c>
      <c r="D891" t="s">
        <v>33</v>
      </c>
      <c r="E891" t="s">
        <v>204</v>
      </c>
      <c r="F891" t="s">
        <v>35</v>
      </c>
      <c r="G891" t="s">
        <v>35</v>
      </c>
      <c r="H891" t="s">
        <v>35</v>
      </c>
      <c r="J891" t="s">
        <v>2118</v>
      </c>
      <c r="K891" t="s">
        <v>1092</v>
      </c>
      <c r="M891">
        <v>4.59</v>
      </c>
      <c r="N891">
        <v>65</v>
      </c>
      <c r="O891" t="s">
        <v>61</v>
      </c>
      <c r="Q891" t="s">
        <v>63</v>
      </c>
      <c r="R891" t="s">
        <v>193</v>
      </c>
      <c r="S891" t="s">
        <v>181</v>
      </c>
    </row>
    <row r="892" spans="1:19" x14ac:dyDescent="0.25">
      <c r="A892" t="s">
        <v>59</v>
      </c>
      <c r="B892" t="s">
        <v>60</v>
      </c>
      <c r="C892" t="s">
        <v>32</v>
      </c>
      <c r="D892" t="s">
        <v>33</v>
      </c>
      <c r="E892" t="s">
        <v>34</v>
      </c>
      <c r="F892" t="s">
        <v>35</v>
      </c>
      <c r="G892" t="s">
        <v>35</v>
      </c>
      <c r="H892" t="s">
        <v>35</v>
      </c>
      <c r="J892" t="s">
        <v>1116</v>
      </c>
      <c r="K892" t="s">
        <v>1092</v>
      </c>
      <c r="M892">
        <v>1.075</v>
      </c>
      <c r="N892">
        <v>51</v>
      </c>
      <c r="O892" t="s">
        <v>52</v>
      </c>
      <c r="Q892" t="s">
        <v>58</v>
      </c>
      <c r="R892" t="s">
        <v>193</v>
      </c>
      <c r="S892" t="s">
        <v>181</v>
      </c>
    </row>
    <row r="893" spans="1:19" x14ac:dyDescent="0.25">
      <c r="A893" t="s">
        <v>59</v>
      </c>
      <c r="B893" t="s">
        <v>60</v>
      </c>
      <c r="C893" t="s">
        <v>32</v>
      </c>
      <c r="D893" t="s">
        <v>33</v>
      </c>
      <c r="E893" t="s">
        <v>1572</v>
      </c>
      <c r="F893" t="s">
        <v>35</v>
      </c>
      <c r="G893" t="s">
        <v>35</v>
      </c>
      <c r="H893" t="s">
        <v>35</v>
      </c>
      <c r="J893" t="s">
        <v>1579</v>
      </c>
      <c r="K893" t="s">
        <v>1092</v>
      </c>
      <c r="M893">
        <v>1.2</v>
      </c>
      <c r="N893">
        <v>91</v>
      </c>
      <c r="O893" t="s">
        <v>106</v>
      </c>
      <c r="Q893" t="s">
        <v>108</v>
      </c>
      <c r="R893" t="s">
        <v>193</v>
      </c>
      <c r="S893" t="s">
        <v>181</v>
      </c>
    </row>
    <row r="894" spans="1:19" x14ac:dyDescent="0.25">
      <c r="A894" t="s">
        <v>44</v>
      </c>
      <c r="B894" t="s">
        <v>3</v>
      </c>
      <c r="C894" t="s">
        <v>32</v>
      </c>
      <c r="D894" t="s">
        <v>33</v>
      </c>
      <c r="E894" t="s">
        <v>1572</v>
      </c>
      <c r="F894" t="s">
        <v>35</v>
      </c>
      <c r="G894" t="s">
        <v>35</v>
      </c>
      <c r="H894" t="s">
        <v>35</v>
      </c>
      <c r="J894" t="s">
        <v>1579</v>
      </c>
      <c r="K894" t="s">
        <v>1092</v>
      </c>
      <c r="M894">
        <v>0.25</v>
      </c>
      <c r="N894">
        <v>37</v>
      </c>
      <c r="O894" t="s">
        <v>52</v>
      </c>
      <c r="Q894" t="s">
        <v>192</v>
      </c>
      <c r="R894" t="s">
        <v>193</v>
      </c>
      <c r="S894" t="s">
        <v>181</v>
      </c>
    </row>
    <row r="895" spans="1:19" x14ac:dyDescent="0.25">
      <c r="A895" t="s">
        <v>59</v>
      </c>
      <c r="B895" t="s">
        <v>60</v>
      </c>
      <c r="C895" t="s">
        <v>32</v>
      </c>
      <c r="D895" t="s">
        <v>33</v>
      </c>
      <c r="E895" t="s">
        <v>64</v>
      </c>
      <c r="F895" t="s">
        <v>35</v>
      </c>
      <c r="G895" t="s">
        <v>35</v>
      </c>
      <c r="H895" t="s">
        <v>35</v>
      </c>
      <c r="J895" t="s">
        <v>1268</v>
      </c>
      <c r="K895" t="s">
        <v>1092</v>
      </c>
      <c r="M895">
        <v>5.2</v>
      </c>
      <c r="N895">
        <v>91</v>
      </c>
      <c r="O895" t="s">
        <v>106</v>
      </c>
      <c r="Q895" t="s">
        <v>108</v>
      </c>
      <c r="R895" t="s">
        <v>193</v>
      </c>
      <c r="S895" t="s">
        <v>181</v>
      </c>
    </row>
    <row r="896" spans="1:19" x14ac:dyDescent="0.25">
      <c r="A896" t="s">
        <v>59</v>
      </c>
      <c r="B896" t="s">
        <v>60</v>
      </c>
      <c r="C896" t="s">
        <v>32</v>
      </c>
      <c r="D896" t="s">
        <v>33</v>
      </c>
      <c r="E896" t="s">
        <v>87</v>
      </c>
      <c r="F896" t="s">
        <v>35</v>
      </c>
      <c r="G896" t="s">
        <v>35</v>
      </c>
      <c r="H896" t="s">
        <v>35</v>
      </c>
      <c r="J896" t="s">
        <v>1437</v>
      </c>
      <c r="K896" t="s">
        <v>1092</v>
      </c>
      <c r="M896">
        <v>0.7</v>
      </c>
      <c r="N896">
        <v>91</v>
      </c>
      <c r="O896" t="s">
        <v>106</v>
      </c>
      <c r="Q896" t="s">
        <v>108</v>
      </c>
      <c r="R896" t="s">
        <v>193</v>
      </c>
      <c r="S896" t="s">
        <v>181</v>
      </c>
    </row>
    <row r="897" spans="1:19" x14ac:dyDescent="0.25">
      <c r="A897" t="s">
        <v>44</v>
      </c>
      <c r="B897" t="s">
        <v>3</v>
      </c>
      <c r="C897" t="s">
        <v>32</v>
      </c>
      <c r="D897" t="s">
        <v>33</v>
      </c>
      <c r="E897" t="s">
        <v>172</v>
      </c>
      <c r="F897" t="s">
        <v>35</v>
      </c>
      <c r="G897" t="s">
        <v>35</v>
      </c>
      <c r="H897" t="s">
        <v>35</v>
      </c>
      <c r="J897" t="s">
        <v>1916</v>
      </c>
      <c r="K897" t="s">
        <v>1092</v>
      </c>
      <c r="M897">
        <v>5.5</v>
      </c>
      <c r="N897">
        <v>61</v>
      </c>
      <c r="O897" t="s">
        <v>61</v>
      </c>
      <c r="Q897" t="s">
        <v>146</v>
      </c>
      <c r="R897" t="s">
        <v>193</v>
      </c>
      <c r="S897" t="s">
        <v>181</v>
      </c>
    </row>
    <row r="898" spans="1:19" x14ac:dyDescent="0.25">
      <c r="A898" t="s">
        <v>59</v>
      </c>
      <c r="B898" t="s">
        <v>60</v>
      </c>
      <c r="C898" t="s">
        <v>32</v>
      </c>
      <c r="D898" t="s">
        <v>33</v>
      </c>
      <c r="E898" t="s">
        <v>172</v>
      </c>
      <c r="F898" t="s">
        <v>35</v>
      </c>
      <c r="G898" t="s">
        <v>35</v>
      </c>
      <c r="H898" t="s">
        <v>35</v>
      </c>
      <c r="J898" t="s">
        <v>1916</v>
      </c>
      <c r="K898" t="s">
        <v>1092</v>
      </c>
      <c r="M898">
        <v>1.75</v>
      </c>
      <c r="N898">
        <v>38</v>
      </c>
      <c r="O898" t="s">
        <v>52</v>
      </c>
      <c r="Q898" t="s">
        <v>716</v>
      </c>
      <c r="R898" t="s">
        <v>193</v>
      </c>
      <c r="S898" t="s">
        <v>181</v>
      </c>
    </row>
    <row r="899" spans="1:19" x14ac:dyDescent="0.25">
      <c r="A899" t="s">
        <v>59</v>
      </c>
      <c r="B899" t="s">
        <v>60</v>
      </c>
      <c r="C899" t="s">
        <v>32</v>
      </c>
      <c r="D899" t="s">
        <v>33</v>
      </c>
      <c r="E899" t="s">
        <v>172</v>
      </c>
      <c r="F899" t="s">
        <v>35</v>
      </c>
      <c r="G899" t="s">
        <v>35</v>
      </c>
      <c r="H899" t="s">
        <v>35</v>
      </c>
      <c r="J899" t="s">
        <v>1916</v>
      </c>
      <c r="K899" t="s">
        <v>1092</v>
      </c>
      <c r="M899">
        <v>2</v>
      </c>
      <c r="N899">
        <v>9</v>
      </c>
      <c r="O899" t="s">
        <v>46</v>
      </c>
      <c r="Q899" t="s">
        <v>323</v>
      </c>
      <c r="R899" t="s">
        <v>193</v>
      </c>
      <c r="S899" t="s">
        <v>181</v>
      </c>
    </row>
    <row r="900" spans="1:19" x14ac:dyDescent="0.25">
      <c r="A900" t="s">
        <v>59</v>
      </c>
      <c r="B900" t="s">
        <v>60</v>
      </c>
      <c r="C900" t="s">
        <v>32</v>
      </c>
      <c r="D900" t="s">
        <v>33</v>
      </c>
      <c r="E900" t="s">
        <v>64</v>
      </c>
      <c r="F900" t="s">
        <v>35</v>
      </c>
      <c r="G900" t="s">
        <v>35</v>
      </c>
      <c r="H900" t="s">
        <v>35</v>
      </c>
      <c r="J900" t="s">
        <v>1210</v>
      </c>
      <c r="K900" t="s">
        <v>1092</v>
      </c>
      <c r="M900">
        <v>0.45</v>
      </c>
      <c r="N900">
        <v>62</v>
      </c>
      <c r="O900" t="s">
        <v>61</v>
      </c>
      <c r="Q900" t="s">
        <v>139</v>
      </c>
      <c r="R900" t="s">
        <v>193</v>
      </c>
      <c r="S900" t="s">
        <v>181</v>
      </c>
    </row>
    <row r="901" spans="1:19" x14ac:dyDescent="0.25">
      <c r="A901" t="s">
        <v>59</v>
      </c>
      <c r="B901" t="s">
        <v>31</v>
      </c>
      <c r="C901" t="s">
        <v>32</v>
      </c>
      <c r="D901" t="s">
        <v>33</v>
      </c>
      <c r="E901" t="s">
        <v>196</v>
      </c>
      <c r="F901" t="s">
        <v>35</v>
      </c>
      <c r="G901" t="s">
        <v>35</v>
      </c>
      <c r="H901" t="s">
        <v>35</v>
      </c>
      <c r="J901" t="s">
        <v>2032</v>
      </c>
      <c r="K901" t="s">
        <v>1092</v>
      </c>
      <c r="M901">
        <v>0.54</v>
      </c>
      <c r="N901">
        <v>111</v>
      </c>
      <c r="O901" t="s">
        <v>106</v>
      </c>
      <c r="Q901" t="s">
        <v>1469</v>
      </c>
      <c r="R901" t="s">
        <v>193</v>
      </c>
      <c r="S901" t="s">
        <v>181</v>
      </c>
    </row>
    <row r="902" spans="1:19" x14ac:dyDescent="0.25">
      <c r="A902" t="s">
        <v>59</v>
      </c>
      <c r="B902" t="s">
        <v>60</v>
      </c>
      <c r="C902" t="s">
        <v>32</v>
      </c>
      <c r="D902" t="s">
        <v>33</v>
      </c>
      <c r="E902" t="s">
        <v>122</v>
      </c>
      <c r="F902" t="s">
        <v>35</v>
      </c>
      <c r="G902" t="s">
        <v>35</v>
      </c>
      <c r="H902" t="s">
        <v>35</v>
      </c>
      <c r="J902" t="s">
        <v>1774</v>
      </c>
      <c r="K902" t="s">
        <v>1092</v>
      </c>
      <c r="M902">
        <v>0.38</v>
      </c>
      <c r="N902">
        <v>566</v>
      </c>
      <c r="O902" t="s">
        <v>575</v>
      </c>
      <c r="Q902" t="s">
        <v>1775</v>
      </c>
      <c r="R902" t="s">
        <v>193</v>
      </c>
      <c r="S902" t="s">
        <v>181</v>
      </c>
    </row>
    <row r="903" spans="1:19" x14ac:dyDescent="0.25">
      <c r="A903" t="s">
        <v>30</v>
      </c>
      <c r="B903" t="s">
        <v>31</v>
      </c>
      <c r="C903" t="s">
        <v>32</v>
      </c>
      <c r="D903" t="s">
        <v>33</v>
      </c>
      <c r="E903" t="s">
        <v>196</v>
      </c>
      <c r="F903" t="s">
        <v>35</v>
      </c>
      <c r="G903" t="s">
        <v>35</v>
      </c>
      <c r="H903" t="s">
        <v>35</v>
      </c>
      <c r="J903" t="s">
        <v>2050</v>
      </c>
      <c r="K903" t="s">
        <v>1092</v>
      </c>
      <c r="M903">
        <v>3.69</v>
      </c>
      <c r="N903">
        <v>37</v>
      </c>
      <c r="O903" t="s">
        <v>52</v>
      </c>
      <c r="Q903" t="s">
        <v>192</v>
      </c>
      <c r="R903" t="s">
        <v>193</v>
      </c>
      <c r="S903" t="s">
        <v>181</v>
      </c>
    </row>
    <row r="904" spans="1:19" x14ac:dyDescent="0.25">
      <c r="A904" t="s">
        <v>59</v>
      </c>
      <c r="B904" t="s">
        <v>60</v>
      </c>
      <c r="C904" t="s">
        <v>32</v>
      </c>
      <c r="D904" t="s">
        <v>33</v>
      </c>
      <c r="E904" t="s">
        <v>64</v>
      </c>
      <c r="F904" t="s">
        <v>35</v>
      </c>
      <c r="G904" t="s">
        <v>35</v>
      </c>
      <c r="H904" t="s">
        <v>35</v>
      </c>
      <c r="J904" t="s">
        <v>1263</v>
      </c>
      <c r="K904" t="s">
        <v>1092</v>
      </c>
      <c r="M904">
        <v>0.5</v>
      </c>
      <c r="N904">
        <v>72</v>
      </c>
      <c r="O904" t="s">
        <v>61</v>
      </c>
      <c r="Q904" t="s">
        <v>1156</v>
      </c>
      <c r="R904" t="s">
        <v>193</v>
      </c>
      <c r="S904" t="s">
        <v>181</v>
      </c>
    </row>
    <row r="905" spans="1:19" x14ac:dyDescent="0.25">
      <c r="A905" t="s">
        <v>59</v>
      </c>
      <c r="B905" t="s">
        <v>60</v>
      </c>
      <c r="C905" t="s">
        <v>32</v>
      </c>
      <c r="D905" t="s">
        <v>33</v>
      </c>
      <c r="E905" t="s">
        <v>64</v>
      </c>
      <c r="F905" t="s">
        <v>35</v>
      </c>
      <c r="G905" t="s">
        <v>35</v>
      </c>
      <c r="H905" t="s">
        <v>35</v>
      </c>
      <c r="J905" t="s">
        <v>1263</v>
      </c>
      <c r="K905" t="s">
        <v>1092</v>
      </c>
      <c r="M905">
        <v>0.5</v>
      </c>
      <c r="N905">
        <v>153</v>
      </c>
      <c r="O905" t="s">
        <v>38</v>
      </c>
      <c r="Q905" t="s">
        <v>260</v>
      </c>
      <c r="R905" t="s">
        <v>193</v>
      </c>
      <c r="S905" t="s">
        <v>181</v>
      </c>
    </row>
    <row r="906" spans="1:19" x14ac:dyDescent="0.25">
      <c r="A906" t="s">
        <v>59</v>
      </c>
      <c r="B906" t="s">
        <v>60</v>
      </c>
      <c r="C906" t="s">
        <v>32</v>
      </c>
      <c r="D906" t="s">
        <v>33</v>
      </c>
      <c r="E906" t="s">
        <v>172</v>
      </c>
      <c r="F906" t="s">
        <v>35</v>
      </c>
      <c r="G906" t="s">
        <v>35</v>
      </c>
      <c r="H906" t="s">
        <v>35</v>
      </c>
      <c r="J906" t="s">
        <v>1913</v>
      </c>
      <c r="K906" t="s">
        <v>1092</v>
      </c>
      <c r="M906">
        <v>2.2000000000000002</v>
      </c>
      <c r="N906">
        <v>750</v>
      </c>
      <c r="O906" t="s">
        <v>575</v>
      </c>
      <c r="Q906" t="s">
        <v>1914</v>
      </c>
      <c r="R906" t="s">
        <v>193</v>
      </c>
      <c r="S906" t="s">
        <v>181</v>
      </c>
    </row>
    <row r="907" spans="1:19" x14ac:dyDescent="0.25">
      <c r="A907" t="s">
        <v>59</v>
      </c>
      <c r="B907" t="s">
        <v>60</v>
      </c>
      <c r="C907" t="s">
        <v>32</v>
      </c>
      <c r="D907" t="s">
        <v>33</v>
      </c>
      <c r="E907" t="s">
        <v>172</v>
      </c>
      <c r="F907" t="s">
        <v>35</v>
      </c>
      <c r="G907" t="s">
        <v>35</v>
      </c>
      <c r="H907" t="s">
        <v>35</v>
      </c>
      <c r="J907" t="s">
        <v>1945</v>
      </c>
      <c r="K907" t="s">
        <v>1092</v>
      </c>
      <c r="M907">
        <v>0.1</v>
      </c>
      <c r="N907">
        <v>90</v>
      </c>
      <c r="O907" t="s">
        <v>61</v>
      </c>
      <c r="Q907" t="s">
        <v>557</v>
      </c>
      <c r="R907" t="s">
        <v>193</v>
      </c>
      <c r="S907" t="s">
        <v>181</v>
      </c>
    </row>
    <row r="908" spans="1:19" x14ac:dyDescent="0.25">
      <c r="A908" t="s">
        <v>59</v>
      </c>
      <c r="B908" t="s">
        <v>60</v>
      </c>
      <c r="C908" t="s">
        <v>32</v>
      </c>
      <c r="D908" t="s">
        <v>33</v>
      </c>
      <c r="E908" t="s">
        <v>172</v>
      </c>
      <c r="F908" t="s">
        <v>35</v>
      </c>
      <c r="G908" t="s">
        <v>35</v>
      </c>
      <c r="H908" t="s">
        <v>35</v>
      </c>
      <c r="J908" t="s">
        <v>1945</v>
      </c>
      <c r="K908" t="s">
        <v>1092</v>
      </c>
      <c r="M908">
        <v>0.75</v>
      </c>
      <c r="N908">
        <v>21</v>
      </c>
      <c r="O908" t="s">
        <v>46</v>
      </c>
      <c r="Q908" t="s">
        <v>176</v>
      </c>
      <c r="R908" t="s">
        <v>193</v>
      </c>
      <c r="S908" t="s">
        <v>181</v>
      </c>
    </row>
    <row r="909" spans="1:19" x14ac:dyDescent="0.25">
      <c r="A909" t="s">
        <v>59</v>
      </c>
      <c r="B909" t="s">
        <v>60</v>
      </c>
      <c r="C909" t="s">
        <v>32</v>
      </c>
      <c r="D909" t="s">
        <v>33</v>
      </c>
      <c r="E909" t="s">
        <v>172</v>
      </c>
      <c r="F909" t="s">
        <v>35</v>
      </c>
      <c r="G909" t="s">
        <v>35</v>
      </c>
      <c r="H909" t="s">
        <v>35</v>
      </c>
      <c r="J909" t="s">
        <v>1945</v>
      </c>
      <c r="K909" t="s">
        <v>1092</v>
      </c>
      <c r="M909">
        <v>0.5</v>
      </c>
      <c r="N909">
        <v>37</v>
      </c>
      <c r="O909" t="s">
        <v>52</v>
      </c>
      <c r="Q909" t="s">
        <v>192</v>
      </c>
      <c r="R909" t="s">
        <v>193</v>
      </c>
      <c r="S909" t="s">
        <v>181</v>
      </c>
    </row>
    <row r="910" spans="1:19" x14ac:dyDescent="0.25">
      <c r="A910" t="s">
        <v>30</v>
      </c>
      <c r="B910" t="s">
        <v>31</v>
      </c>
      <c r="C910" t="s">
        <v>32</v>
      </c>
      <c r="D910" t="s">
        <v>33</v>
      </c>
      <c r="E910" t="s">
        <v>172</v>
      </c>
      <c r="F910" t="s">
        <v>35</v>
      </c>
      <c r="G910" t="s">
        <v>35</v>
      </c>
      <c r="H910" t="s">
        <v>35</v>
      </c>
      <c r="J910" t="s">
        <v>1219</v>
      </c>
      <c r="K910" t="s">
        <v>1092</v>
      </c>
      <c r="M910">
        <v>5.49</v>
      </c>
      <c r="N910">
        <v>37</v>
      </c>
      <c r="O910" t="s">
        <v>52</v>
      </c>
      <c r="Q910" t="s">
        <v>192</v>
      </c>
      <c r="R910" t="s">
        <v>193</v>
      </c>
      <c r="S910" t="s">
        <v>181</v>
      </c>
    </row>
    <row r="911" spans="1:19" x14ac:dyDescent="0.25">
      <c r="A911" t="s">
        <v>30</v>
      </c>
      <c r="B911" t="s">
        <v>31</v>
      </c>
      <c r="C911" t="s">
        <v>32</v>
      </c>
      <c r="D911" t="s">
        <v>33</v>
      </c>
      <c r="E911" t="s">
        <v>172</v>
      </c>
      <c r="F911" t="s">
        <v>35</v>
      </c>
      <c r="G911" t="s">
        <v>35</v>
      </c>
      <c r="H911" t="s">
        <v>35</v>
      </c>
      <c r="J911" t="s">
        <v>1219</v>
      </c>
      <c r="K911" t="s">
        <v>1092</v>
      </c>
      <c r="M911">
        <v>0.99</v>
      </c>
      <c r="N911">
        <v>68</v>
      </c>
      <c r="O911" t="s">
        <v>61</v>
      </c>
      <c r="Q911" t="s">
        <v>805</v>
      </c>
      <c r="R911" t="s">
        <v>193</v>
      </c>
      <c r="S911" t="s">
        <v>181</v>
      </c>
    </row>
    <row r="912" spans="1:19" x14ac:dyDescent="0.25">
      <c r="A912" t="s">
        <v>30</v>
      </c>
      <c r="B912" t="s">
        <v>31</v>
      </c>
      <c r="C912" t="s">
        <v>32</v>
      </c>
      <c r="D912" t="s">
        <v>33</v>
      </c>
      <c r="E912" t="s">
        <v>172</v>
      </c>
      <c r="F912" t="s">
        <v>35</v>
      </c>
      <c r="G912" t="s">
        <v>35</v>
      </c>
      <c r="H912" t="s">
        <v>35</v>
      </c>
      <c r="J912" t="s">
        <v>1219</v>
      </c>
      <c r="K912" t="s">
        <v>1092</v>
      </c>
      <c r="M912">
        <v>4.9950000000000001</v>
      </c>
      <c r="N912">
        <v>12</v>
      </c>
      <c r="O912" t="s">
        <v>46</v>
      </c>
      <c r="Q912" t="s">
        <v>1192</v>
      </c>
      <c r="R912" t="s">
        <v>193</v>
      </c>
      <c r="S912" t="s">
        <v>181</v>
      </c>
    </row>
    <row r="913" spans="1:19" x14ac:dyDescent="0.25">
      <c r="A913" t="s">
        <v>59</v>
      </c>
      <c r="B913" t="s">
        <v>60</v>
      </c>
      <c r="C913" t="s">
        <v>32</v>
      </c>
      <c r="D913" t="s">
        <v>33</v>
      </c>
      <c r="F913" t="s">
        <v>35</v>
      </c>
      <c r="G913" t="s">
        <v>35</v>
      </c>
      <c r="H913" t="s">
        <v>35</v>
      </c>
      <c r="J913" t="s">
        <v>2185</v>
      </c>
      <c r="K913" t="s">
        <v>1092</v>
      </c>
      <c r="M913">
        <v>5.5</v>
      </c>
      <c r="N913">
        <v>1227</v>
      </c>
      <c r="O913" t="s">
        <v>575</v>
      </c>
      <c r="Q913" t="s">
        <v>2186</v>
      </c>
      <c r="R913" t="s">
        <v>193</v>
      </c>
      <c r="S913" t="s">
        <v>181</v>
      </c>
    </row>
    <row r="914" spans="1:19" x14ac:dyDescent="0.25">
      <c r="A914" t="s">
        <v>59</v>
      </c>
      <c r="B914" t="s">
        <v>60</v>
      </c>
      <c r="C914" t="s">
        <v>32</v>
      </c>
      <c r="D914" t="s">
        <v>33</v>
      </c>
      <c r="F914" t="s">
        <v>35</v>
      </c>
      <c r="G914" t="s">
        <v>35</v>
      </c>
      <c r="H914" t="s">
        <v>35</v>
      </c>
      <c r="J914" t="s">
        <v>2185</v>
      </c>
      <c r="K914" t="s">
        <v>1092</v>
      </c>
      <c r="M914">
        <v>5.5</v>
      </c>
      <c r="N914">
        <v>1196</v>
      </c>
      <c r="O914" t="s">
        <v>575</v>
      </c>
      <c r="Q914" t="s">
        <v>2190</v>
      </c>
      <c r="R914" t="s">
        <v>193</v>
      </c>
      <c r="S914" t="s">
        <v>181</v>
      </c>
    </row>
    <row r="915" spans="1:19" x14ac:dyDescent="0.25">
      <c r="A915" t="s">
        <v>30</v>
      </c>
      <c r="B915" t="s">
        <v>31</v>
      </c>
      <c r="C915" t="s">
        <v>32</v>
      </c>
      <c r="D915" t="s">
        <v>33</v>
      </c>
      <c r="E915" t="s">
        <v>177</v>
      </c>
      <c r="F915" t="s">
        <v>35</v>
      </c>
      <c r="G915" t="s">
        <v>35</v>
      </c>
      <c r="H915" t="s">
        <v>35</v>
      </c>
      <c r="J915" t="s">
        <v>1991</v>
      </c>
      <c r="K915" t="s">
        <v>1092</v>
      </c>
      <c r="M915">
        <v>3.42</v>
      </c>
      <c r="N915">
        <v>38</v>
      </c>
      <c r="O915" t="s">
        <v>52</v>
      </c>
      <c r="Q915" t="s">
        <v>716</v>
      </c>
      <c r="R915" t="s">
        <v>193</v>
      </c>
      <c r="S915" t="s">
        <v>181</v>
      </c>
    </row>
    <row r="916" spans="1:19" x14ac:dyDescent="0.25">
      <c r="A916" t="s">
        <v>59</v>
      </c>
      <c r="B916" t="s">
        <v>60</v>
      </c>
      <c r="C916" t="s">
        <v>32</v>
      </c>
      <c r="D916" t="s">
        <v>33</v>
      </c>
      <c r="E916" t="s">
        <v>87</v>
      </c>
      <c r="F916" t="s">
        <v>35</v>
      </c>
      <c r="G916" t="s">
        <v>35</v>
      </c>
      <c r="H916" t="s">
        <v>35</v>
      </c>
      <c r="J916" t="s">
        <v>1438</v>
      </c>
      <c r="K916" t="s">
        <v>1092</v>
      </c>
      <c r="M916">
        <v>1.8</v>
      </c>
      <c r="N916">
        <v>91</v>
      </c>
      <c r="O916" t="s">
        <v>106</v>
      </c>
      <c r="Q916" t="s">
        <v>108</v>
      </c>
      <c r="R916" t="s">
        <v>193</v>
      </c>
      <c r="S916" t="s">
        <v>181</v>
      </c>
    </row>
    <row r="917" spans="1:19" x14ac:dyDescent="0.25">
      <c r="A917" t="s">
        <v>44</v>
      </c>
      <c r="B917" t="s">
        <v>3</v>
      </c>
      <c r="C917" t="s">
        <v>32</v>
      </c>
      <c r="D917" t="s">
        <v>33</v>
      </c>
      <c r="E917" t="s">
        <v>2107</v>
      </c>
      <c r="F917" t="s">
        <v>35</v>
      </c>
      <c r="G917" t="s">
        <v>35</v>
      </c>
      <c r="H917" t="s">
        <v>35</v>
      </c>
      <c r="J917" t="s">
        <v>2112</v>
      </c>
      <c r="K917" t="s">
        <v>1092</v>
      </c>
      <c r="M917">
        <v>2.0739999999999998</v>
      </c>
      <c r="N917">
        <v>28</v>
      </c>
      <c r="O917" t="s">
        <v>46</v>
      </c>
      <c r="Q917" t="s">
        <v>48</v>
      </c>
      <c r="R917" t="s">
        <v>193</v>
      </c>
      <c r="S917" t="s">
        <v>181</v>
      </c>
    </row>
    <row r="918" spans="1:19" x14ac:dyDescent="0.25">
      <c r="A918" t="s">
        <v>30</v>
      </c>
      <c r="B918" t="s">
        <v>31</v>
      </c>
      <c r="C918" t="s">
        <v>32</v>
      </c>
      <c r="D918" t="s">
        <v>33</v>
      </c>
      <c r="E918" t="s">
        <v>2107</v>
      </c>
      <c r="F918" t="s">
        <v>35</v>
      </c>
      <c r="G918" t="s">
        <v>35</v>
      </c>
      <c r="H918" t="s">
        <v>35</v>
      </c>
      <c r="J918" t="s">
        <v>2112</v>
      </c>
      <c r="K918" t="s">
        <v>1092</v>
      </c>
      <c r="M918">
        <v>9.0519999999999996</v>
      </c>
      <c r="N918">
        <v>12</v>
      </c>
      <c r="O918" t="s">
        <v>46</v>
      </c>
      <c r="Q918" t="s">
        <v>1192</v>
      </c>
      <c r="R918" t="s">
        <v>193</v>
      </c>
      <c r="S918" t="s">
        <v>181</v>
      </c>
    </row>
    <row r="919" spans="1:19" x14ac:dyDescent="0.25">
      <c r="A919" t="s">
        <v>59</v>
      </c>
      <c r="B919" t="s">
        <v>60</v>
      </c>
      <c r="C919" t="s">
        <v>32</v>
      </c>
      <c r="D919" t="s">
        <v>33</v>
      </c>
      <c r="E919" t="s">
        <v>87</v>
      </c>
      <c r="F919" t="s">
        <v>35</v>
      </c>
      <c r="G919" t="s">
        <v>35</v>
      </c>
      <c r="H919" t="s">
        <v>35</v>
      </c>
      <c r="J919" t="s">
        <v>1491</v>
      </c>
      <c r="K919" t="s">
        <v>1092</v>
      </c>
      <c r="M919">
        <v>1</v>
      </c>
      <c r="N919">
        <v>209</v>
      </c>
      <c r="O919" t="s">
        <v>5</v>
      </c>
      <c r="Q919" t="s">
        <v>1492</v>
      </c>
      <c r="R919" t="s">
        <v>193</v>
      </c>
      <c r="S919" t="s">
        <v>181</v>
      </c>
    </row>
    <row r="920" spans="1:19" x14ac:dyDescent="0.25">
      <c r="A920" t="s">
        <v>30</v>
      </c>
      <c r="B920" t="s">
        <v>31</v>
      </c>
      <c r="C920" t="s">
        <v>32</v>
      </c>
      <c r="D920" t="s">
        <v>33</v>
      </c>
      <c r="E920" t="s">
        <v>87</v>
      </c>
      <c r="F920" t="s">
        <v>35</v>
      </c>
      <c r="G920" t="s">
        <v>35</v>
      </c>
      <c r="H920" t="s">
        <v>35</v>
      </c>
      <c r="J920" t="s">
        <v>1491</v>
      </c>
      <c r="K920" t="s">
        <v>1092</v>
      </c>
      <c r="M920">
        <v>4.4550000000000001</v>
      </c>
      <c r="N920">
        <v>37</v>
      </c>
      <c r="O920" t="s">
        <v>52</v>
      </c>
      <c r="Q920" t="s">
        <v>192</v>
      </c>
      <c r="R920" t="s">
        <v>193</v>
      </c>
      <c r="S920" t="s">
        <v>181</v>
      </c>
    </row>
    <row r="921" spans="1:19" x14ac:dyDescent="0.25">
      <c r="A921" t="s">
        <v>59</v>
      </c>
      <c r="B921" t="s">
        <v>60</v>
      </c>
      <c r="C921" t="s">
        <v>32</v>
      </c>
      <c r="D921" t="s">
        <v>33</v>
      </c>
      <c r="E921" t="s">
        <v>87</v>
      </c>
      <c r="F921" t="s">
        <v>35</v>
      </c>
      <c r="G921" t="s">
        <v>35</v>
      </c>
      <c r="H921" t="s">
        <v>35</v>
      </c>
      <c r="J921" t="s">
        <v>1491</v>
      </c>
      <c r="K921" t="s">
        <v>1092</v>
      </c>
      <c r="M921">
        <v>5.5</v>
      </c>
      <c r="N921">
        <v>91</v>
      </c>
      <c r="O921" t="s">
        <v>106</v>
      </c>
      <c r="Q921" t="s">
        <v>108</v>
      </c>
      <c r="R921" t="s">
        <v>193</v>
      </c>
      <c r="S921" t="s">
        <v>181</v>
      </c>
    </row>
    <row r="922" spans="1:19" x14ac:dyDescent="0.25">
      <c r="A922" t="s">
        <v>59</v>
      </c>
      <c r="B922" t="s">
        <v>60</v>
      </c>
      <c r="C922" t="s">
        <v>32</v>
      </c>
      <c r="D922" t="s">
        <v>33</v>
      </c>
      <c r="E922" t="s">
        <v>87</v>
      </c>
      <c r="F922" t="s">
        <v>35</v>
      </c>
      <c r="G922" t="s">
        <v>35</v>
      </c>
      <c r="H922" t="s">
        <v>35</v>
      </c>
      <c r="J922" t="s">
        <v>1506</v>
      </c>
      <c r="K922" t="s">
        <v>1092</v>
      </c>
      <c r="M922">
        <v>0.25</v>
      </c>
      <c r="N922">
        <v>23</v>
      </c>
      <c r="O922" t="s">
        <v>46</v>
      </c>
      <c r="Q922" t="s">
        <v>793</v>
      </c>
      <c r="R922" t="s">
        <v>193</v>
      </c>
      <c r="S922" t="s">
        <v>181</v>
      </c>
    </row>
    <row r="923" spans="1:19" x14ac:dyDescent="0.25">
      <c r="A923" t="s">
        <v>59</v>
      </c>
      <c r="B923" t="s">
        <v>60</v>
      </c>
      <c r="C923" t="s">
        <v>32</v>
      </c>
      <c r="D923" t="s">
        <v>33</v>
      </c>
      <c r="E923" t="s">
        <v>87</v>
      </c>
      <c r="F923" t="s">
        <v>35</v>
      </c>
      <c r="G923" t="s">
        <v>35</v>
      </c>
      <c r="H923" t="s">
        <v>35</v>
      </c>
      <c r="J923" t="s">
        <v>1506</v>
      </c>
      <c r="K923" t="s">
        <v>1092</v>
      </c>
      <c r="M923">
        <v>0.2</v>
      </c>
      <c r="N923">
        <v>35</v>
      </c>
      <c r="O923" t="s">
        <v>52</v>
      </c>
      <c r="Q923" t="s">
        <v>991</v>
      </c>
      <c r="R923" t="s">
        <v>193</v>
      </c>
      <c r="S923" t="s">
        <v>181</v>
      </c>
    </row>
    <row r="924" spans="1:19" x14ac:dyDescent="0.25">
      <c r="A924" t="s">
        <v>44</v>
      </c>
      <c r="B924" t="s">
        <v>51</v>
      </c>
      <c r="C924" t="s">
        <v>32</v>
      </c>
      <c r="D924" t="s">
        <v>33</v>
      </c>
      <c r="E924" t="s">
        <v>196</v>
      </c>
      <c r="F924" t="s">
        <v>35</v>
      </c>
      <c r="G924" t="s">
        <v>35</v>
      </c>
      <c r="H924" t="s">
        <v>35</v>
      </c>
      <c r="J924" t="s">
        <v>2052</v>
      </c>
      <c r="K924" t="s">
        <v>1092</v>
      </c>
      <c r="M924">
        <v>5.3</v>
      </c>
      <c r="N924">
        <v>51</v>
      </c>
      <c r="O924" t="s">
        <v>52</v>
      </c>
      <c r="Q924" t="s">
        <v>58</v>
      </c>
      <c r="R924" t="s">
        <v>193</v>
      </c>
      <c r="S924" t="s">
        <v>181</v>
      </c>
    </row>
    <row r="925" spans="1:19" x14ac:dyDescent="0.25">
      <c r="A925" t="s">
        <v>59</v>
      </c>
      <c r="B925" t="s">
        <v>60</v>
      </c>
      <c r="C925" t="s">
        <v>32</v>
      </c>
      <c r="D925" t="s">
        <v>33</v>
      </c>
      <c r="E925" t="s">
        <v>196</v>
      </c>
      <c r="F925" t="s">
        <v>35</v>
      </c>
      <c r="G925" t="s">
        <v>35</v>
      </c>
      <c r="H925" t="s">
        <v>35</v>
      </c>
      <c r="J925" t="s">
        <v>2052</v>
      </c>
      <c r="K925" t="s">
        <v>1092</v>
      </c>
      <c r="M925">
        <v>1.1499999999999999</v>
      </c>
      <c r="N925">
        <v>91</v>
      </c>
      <c r="O925" t="s">
        <v>106</v>
      </c>
      <c r="Q925" t="s">
        <v>108</v>
      </c>
      <c r="R925" t="s">
        <v>193</v>
      </c>
      <c r="S925" t="s">
        <v>181</v>
      </c>
    </row>
    <row r="926" spans="1:19" x14ac:dyDescent="0.25">
      <c r="A926" t="s">
        <v>59</v>
      </c>
      <c r="B926" t="s">
        <v>60</v>
      </c>
      <c r="C926" t="s">
        <v>32</v>
      </c>
      <c r="D926" t="s">
        <v>33</v>
      </c>
      <c r="E926" t="s">
        <v>172</v>
      </c>
      <c r="F926" t="s">
        <v>35</v>
      </c>
      <c r="G926" t="s">
        <v>35</v>
      </c>
      <c r="H926" t="s">
        <v>35</v>
      </c>
      <c r="J926" t="s">
        <v>1920</v>
      </c>
      <c r="K926" t="s">
        <v>404</v>
      </c>
      <c r="M926">
        <v>0.7</v>
      </c>
      <c r="N926">
        <v>54</v>
      </c>
      <c r="O926" t="s">
        <v>52</v>
      </c>
      <c r="Q926" t="s">
        <v>671</v>
      </c>
      <c r="R926" t="s">
        <v>193</v>
      </c>
      <c r="S926" t="s">
        <v>181</v>
      </c>
    </row>
    <row r="927" spans="1:19" x14ac:dyDescent="0.25">
      <c r="A927" t="s">
        <v>59</v>
      </c>
      <c r="B927" t="s">
        <v>60</v>
      </c>
      <c r="C927" t="s">
        <v>32</v>
      </c>
      <c r="D927" t="s">
        <v>33</v>
      </c>
      <c r="E927" t="s">
        <v>172</v>
      </c>
      <c r="F927" t="s">
        <v>35</v>
      </c>
      <c r="G927" t="s">
        <v>35</v>
      </c>
      <c r="H927" t="s">
        <v>35</v>
      </c>
      <c r="J927" t="s">
        <v>1927</v>
      </c>
      <c r="K927" t="s">
        <v>1092</v>
      </c>
      <c r="M927">
        <v>1.64</v>
      </c>
      <c r="N927">
        <v>68</v>
      </c>
      <c r="O927" t="s">
        <v>61</v>
      </c>
      <c r="Q927" t="s">
        <v>805</v>
      </c>
      <c r="R927" t="s">
        <v>193</v>
      </c>
      <c r="S927" t="s">
        <v>181</v>
      </c>
    </row>
    <row r="928" spans="1:19" x14ac:dyDescent="0.25">
      <c r="A928" t="s">
        <v>59</v>
      </c>
      <c r="B928" t="s">
        <v>60</v>
      </c>
      <c r="C928" t="s">
        <v>32</v>
      </c>
      <c r="D928" t="s">
        <v>33</v>
      </c>
      <c r="E928" t="s">
        <v>172</v>
      </c>
      <c r="F928" t="s">
        <v>35</v>
      </c>
      <c r="G928" t="s">
        <v>35</v>
      </c>
      <c r="H928" t="s">
        <v>35</v>
      </c>
      <c r="J928" t="s">
        <v>1927</v>
      </c>
      <c r="K928" t="s">
        <v>1092</v>
      </c>
      <c r="M928">
        <v>2.4</v>
      </c>
      <c r="N928">
        <v>44</v>
      </c>
      <c r="O928" t="s">
        <v>52</v>
      </c>
      <c r="Q928" t="s">
        <v>54</v>
      </c>
      <c r="R928" t="s">
        <v>193</v>
      </c>
      <c r="S928" t="s">
        <v>181</v>
      </c>
    </row>
    <row r="929" spans="1:19" x14ac:dyDescent="0.25">
      <c r="A929" t="s">
        <v>59</v>
      </c>
      <c r="B929" t="s">
        <v>60</v>
      </c>
      <c r="C929" t="s">
        <v>32</v>
      </c>
      <c r="D929" t="s">
        <v>33</v>
      </c>
      <c r="E929" t="s">
        <v>172</v>
      </c>
      <c r="F929" t="s">
        <v>35</v>
      </c>
      <c r="G929" t="s">
        <v>35</v>
      </c>
      <c r="H929" t="s">
        <v>35</v>
      </c>
      <c r="J929" t="s">
        <v>1927</v>
      </c>
      <c r="K929" t="s">
        <v>1092</v>
      </c>
      <c r="M929">
        <v>1</v>
      </c>
      <c r="N929">
        <v>37</v>
      </c>
      <c r="O929" t="s">
        <v>52</v>
      </c>
      <c r="Q929" t="s">
        <v>192</v>
      </c>
      <c r="R929" t="s">
        <v>193</v>
      </c>
      <c r="S929" t="s">
        <v>181</v>
      </c>
    </row>
    <row r="930" spans="1:19" x14ac:dyDescent="0.25">
      <c r="A930" t="s">
        <v>44</v>
      </c>
      <c r="B930" t="s">
        <v>3</v>
      </c>
      <c r="C930" t="s">
        <v>32</v>
      </c>
      <c r="D930" t="s">
        <v>33</v>
      </c>
      <c r="E930" t="s">
        <v>172</v>
      </c>
      <c r="F930" t="s">
        <v>35</v>
      </c>
      <c r="G930" t="s">
        <v>35</v>
      </c>
      <c r="H930" t="s">
        <v>35</v>
      </c>
      <c r="J930" t="s">
        <v>1927</v>
      </c>
      <c r="K930" t="s">
        <v>1092</v>
      </c>
      <c r="M930">
        <v>0.2</v>
      </c>
      <c r="N930">
        <v>44</v>
      </c>
      <c r="O930" t="s">
        <v>52</v>
      </c>
      <c r="Q930" t="s">
        <v>54</v>
      </c>
      <c r="R930" t="s">
        <v>193</v>
      </c>
      <c r="S930" t="s">
        <v>181</v>
      </c>
    </row>
    <row r="931" spans="1:19" x14ac:dyDescent="0.25">
      <c r="A931" t="s">
        <v>59</v>
      </c>
      <c r="B931" t="s">
        <v>31</v>
      </c>
      <c r="C931" t="s">
        <v>32</v>
      </c>
      <c r="D931" t="s">
        <v>33</v>
      </c>
      <c r="E931" t="s">
        <v>172</v>
      </c>
      <c r="F931" t="s">
        <v>35</v>
      </c>
      <c r="G931" t="s">
        <v>35</v>
      </c>
      <c r="H931" t="s">
        <v>35</v>
      </c>
      <c r="J931" t="s">
        <v>1927</v>
      </c>
      <c r="K931" t="s">
        <v>1092</v>
      </c>
      <c r="M931">
        <v>0.72</v>
      </c>
      <c r="N931">
        <v>44</v>
      </c>
      <c r="O931" t="s">
        <v>52</v>
      </c>
      <c r="Q931" t="s">
        <v>54</v>
      </c>
      <c r="R931" t="s">
        <v>193</v>
      </c>
      <c r="S931" t="s">
        <v>181</v>
      </c>
    </row>
    <row r="932" spans="1:19" x14ac:dyDescent="0.25">
      <c r="A932" t="s">
        <v>44</v>
      </c>
      <c r="B932" t="s">
        <v>3</v>
      </c>
      <c r="C932" t="s">
        <v>32</v>
      </c>
      <c r="D932" t="s">
        <v>33</v>
      </c>
      <c r="E932" t="s">
        <v>172</v>
      </c>
      <c r="F932" t="s">
        <v>35</v>
      </c>
      <c r="G932" t="s">
        <v>35</v>
      </c>
      <c r="H932" t="s">
        <v>35</v>
      </c>
      <c r="J932" t="s">
        <v>1927</v>
      </c>
      <c r="K932" t="s">
        <v>1092</v>
      </c>
      <c r="M932">
        <v>0.25</v>
      </c>
      <c r="N932">
        <v>28</v>
      </c>
      <c r="O932" t="s">
        <v>46</v>
      </c>
      <c r="Q932" t="s">
        <v>48</v>
      </c>
      <c r="R932" t="s">
        <v>193</v>
      </c>
      <c r="S932" t="s">
        <v>181</v>
      </c>
    </row>
    <row r="933" spans="1:19" x14ac:dyDescent="0.25">
      <c r="A933" t="s">
        <v>59</v>
      </c>
      <c r="B933" t="s">
        <v>31</v>
      </c>
      <c r="C933" t="s">
        <v>32</v>
      </c>
      <c r="D933" t="s">
        <v>33</v>
      </c>
      <c r="E933" t="s">
        <v>172</v>
      </c>
      <c r="F933" t="s">
        <v>35</v>
      </c>
      <c r="G933" t="s">
        <v>35</v>
      </c>
      <c r="H933" t="s">
        <v>35</v>
      </c>
      <c r="J933" t="s">
        <v>1927</v>
      </c>
      <c r="K933" t="s">
        <v>1092</v>
      </c>
      <c r="M933">
        <v>0.45</v>
      </c>
      <c r="N933">
        <v>28</v>
      </c>
      <c r="O933" t="s">
        <v>46</v>
      </c>
      <c r="Q933" t="s">
        <v>48</v>
      </c>
      <c r="R933" t="s">
        <v>193</v>
      </c>
      <c r="S933" t="s">
        <v>181</v>
      </c>
    </row>
    <row r="934" spans="1:19" x14ac:dyDescent="0.25">
      <c r="A934" t="s">
        <v>59</v>
      </c>
      <c r="B934" t="s">
        <v>60</v>
      </c>
      <c r="C934" t="s">
        <v>32</v>
      </c>
      <c r="D934" t="s">
        <v>33</v>
      </c>
      <c r="E934" t="s">
        <v>172</v>
      </c>
      <c r="F934" t="s">
        <v>35</v>
      </c>
      <c r="G934" t="s">
        <v>35</v>
      </c>
      <c r="H934" t="s">
        <v>35</v>
      </c>
      <c r="J934" t="s">
        <v>1927</v>
      </c>
      <c r="K934" t="s">
        <v>1092</v>
      </c>
      <c r="M934">
        <v>0.35</v>
      </c>
      <c r="N934">
        <v>28</v>
      </c>
      <c r="O934" t="s">
        <v>46</v>
      </c>
      <c r="Q934" t="s">
        <v>48</v>
      </c>
      <c r="R934" t="s">
        <v>193</v>
      </c>
      <c r="S934" t="s">
        <v>181</v>
      </c>
    </row>
    <row r="935" spans="1:19" x14ac:dyDescent="0.25">
      <c r="A935" t="s">
        <v>59</v>
      </c>
      <c r="B935" t="s">
        <v>60</v>
      </c>
      <c r="C935" t="s">
        <v>32</v>
      </c>
      <c r="D935" t="s">
        <v>33</v>
      </c>
      <c r="E935" t="s">
        <v>172</v>
      </c>
      <c r="F935" t="s">
        <v>35</v>
      </c>
      <c r="G935" t="s">
        <v>35</v>
      </c>
      <c r="H935" t="s">
        <v>35</v>
      </c>
      <c r="J935" t="s">
        <v>1927</v>
      </c>
      <c r="K935" t="s">
        <v>1092</v>
      </c>
      <c r="M935">
        <v>1</v>
      </c>
      <c r="N935">
        <v>21</v>
      </c>
      <c r="O935" t="s">
        <v>46</v>
      </c>
      <c r="Q935" t="s">
        <v>176</v>
      </c>
      <c r="R935" t="s">
        <v>193</v>
      </c>
      <c r="S935" t="s">
        <v>181</v>
      </c>
    </row>
    <row r="936" spans="1:19" x14ac:dyDescent="0.25">
      <c r="A936" t="s">
        <v>44</v>
      </c>
      <c r="B936" t="s">
        <v>51</v>
      </c>
      <c r="C936" t="s">
        <v>32</v>
      </c>
      <c r="D936" t="s">
        <v>33</v>
      </c>
      <c r="E936" t="s">
        <v>172</v>
      </c>
      <c r="F936" t="s">
        <v>35</v>
      </c>
      <c r="G936" t="s">
        <v>35</v>
      </c>
      <c r="H936" t="s">
        <v>35</v>
      </c>
      <c r="J936" t="s">
        <v>1927</v>
      </c>
      <c r="K936" t="s">
        <v>1092</v>
      </c>
      <c r="M936">
        <v>0.5</v>
      </c>
      <c r="N936">
        <v>21</v>
      </c>
      <c r="O936" t="s">
        <v>46</v>
      </c>
      <c r="Q936" t="s">
        <v>176</v>
      </c>
      <c r="R936" t="s">
        <v>193</v>
      </c>
      <c r="S936" t="s">
        <v>181</v>
      </c>
    </row>
    <row r="937" spans="1:19" x14ac:dyDescent="0.25">
      <c r="A937" t="s">
        <v>59</v>
      </c>
      <c r="B937" t="s">
        <v>31</v>
      </c>
      <c r="C937" t="s">
        <v>32</v>
      </c>
      <c r="D937" t="s">
        <v>33</v>
      </c>
      <c r="E937" t="s">
        <v>172</v>
      </c>
      <c r="F937" t="s">
        <v>35</v>
      </c>
      <c r="G937" t="s">
        <v>35</v>
      </c>
      <c r="H937" t="s">
        <v>35</v>
      </c>
      <c r="J937" t="s">
        <v>1930</v>
      </c>
      <c r="K937" t="s">
        <v>1092</v>
      </c>
      <c r="M937">
        <v>0.67500000000000004</v>
      </c>
      <c r="N937">
        <v>152</v>
      </c>
      <c r="O937" t="s">
        <v>38</v>
      </c>
      <c r="Q937" t="s">
        <v>40</v>
      </c>
      <c r="R937" t="s">
        <v>193</v>
      </c>
      <c r="S937" t="s">
        <v>181</v>
      </c>
    </row>
    <row r="938" spans="1:19" x14ac:dyDescent="0.25">
      <c r="A938" t="s">
        <v>30</v>
      </c>
      <c r="B938" t="s">
        <v>31</v>
      </c>
      <c r="C938" t="s">
        <v>32</v>
      </c>
      <c r="D938" t="s">
        <v>33</v>
      </c>
      <c r="E938" t="s">
        <v>172</v>
      </c>
      <c r="F938" t="s">
        <v>35</v>
      </c>
      <c r="G938" t="s">
        <v>35</v>
      </c>
      <c r="H938" t="s">
        <v>35</v>
      </c>
      <c r="J938" t="s">
        <v>1930</v>
      </c>
      <c r="K938" t="s">
        <v>1092</v>
      </c>
      <c r="M938">
        <v>0.495</v>
      </c>
      <c r="N938">
        <v>152</v>
      </c>
      <c r="O938" t="s">
        <v>38</v>
      </c>
      <c r="Q938" t="s">
        <v>40</v>
      </c>
      <c r="R938" t="s">
        <v>193</v>
      </c>
      <c r="S938" t="s">
        <v>181</v>
      </c>
    </row>
    <row r="939" spans="1:19" x14ac:dyDescent="0.25">
      <c r="A939" t="s">
        <v>59</v>
      </c>
      <c r="B939" t="s">
        <v>60</v>
      </c>
      <c r="C939" t="s">
        <v>32</v>
      </c>
      <c r="D939" t="s">
        <v>33</v>
      </c>
      <c r="E939" t="s">
        <v>172</v>
      </c>
      <c r="F939" t="s">
        <v>35</v>
      </c>
      <c r="G939" t="s">
        <v>35</v>
      </c>
      <c r="H939" t="s">
        <v>35</v>
      </c>
      <c r="J939" t="s">
        <v>1930</v>
      </c>
      <c r="K939" t="s">
        <v>1092</v>
      </c>
      <c r="M939">
        <v>0.75</v>
      </c>
      <c r="N939">
        <v>152</v>
      </c>
      <c r="O939" t="s">
        <v>38</v>
      </c>
      <c r="Q939" t="s">
        <v>40</v>
      </c>
      <c r="R939" t="s">
        <v>193</v>
      </c>
      <c r="S939" t="s">
        <v>181</v>
      </c>
    </row>
    <row r="940" spans="1:19" x14ac:dyDescent="0.25">
      <c r="A940" t="s">
        <v>59</v>
      </c>
      <c r="B940" t="s">
        <v>60</v>
      </c>
      <c r="C940" t="s">
        <v>32</v>
      </c>
      <c r="D940" t="s">
        <v>33</v>
      </c>
      <c r="E940" t="s">
        <v>34</v>
      </c>
      <c r="F940" t="s">
        <v>35</v>
      </c>
      <c r="G940" t="s">
        <v>35</v>
      </c>
      <c r="H940" t="s">
        <v>35</v>
      </c>
      <c r="J940" t="s">
        <v>1121</v>
      </c>
      <c r="K940" t="s">
        <v>1092</v>
      </c>
      <c r="M940">
        <v>0.25</v>
      </c>
      <c r="N940">
        <v>217</v>
      </c>
      <c r="O940" t="s">
        <v>5</v>
      </c>
      <c r="Q940" t="s">
        <v>1150</v>
      </c>
      <c r="R940" t="s">
        <v>193</v>
      </c>
      <c r="S940" t="s">
        <v>181</v>
      </c>
    </row>
    <row r="941" spans="1:19" x14ac:dyDescent="0.25">
      <c r="A941" t="s">
        <v>59</v>
      </c>
      <c r="B941" t="s">
        <v>60</v>
      </c>
      <c r="C941" t="s">
        <v>32</v>
      </c>
      <c r="D941" t="s">
        <v>33</v>
      </c>
      <c r="E941" t="s">
        <v>34</v>
      </c>
      <c r="F941" t="s">
        <v>35</v>
      </c>
      <c r="G941" t="s">
        <v>35</v>
      </c>
      <c r="H941" t="s">
        <v>35</v>
      </c>
      <c r="J941" t="s">
        <v>1121</v>
      </c>
      <c r="K941" t="s">
        <v>1092</v>
      </c>
      <c r="M941">
        <v>0.4</v>
      </c>
      <c r="N941">
        <v>236</v>
      </c>
      <c r="O941" t="s">
        <v>5</v>
      </c>
      <c r="Q941" t="s">
        <v>1151</v>
      </c>
      <c r="R941" t="s">
        <v>193</v>
      </c>
      <c r="S941" t="s">
        <v>181</v>
      </c>
    </row>
    <row r="942" spans="1:19" x14ac:dyDescent="0.25">
      <c r="A942" t="s">
        <v>30</v>
      </c>
      <c r="B942" t="s">
        <v>31</v>
      </c>
      <c r="C942" t="s">
        <v>32</v>
      </c>
      <c r="D942" t="s">
        <v>33</v>
      </c>
      <c r="E942" t="s">
        <v>34</v>
      </c>
      <c r="F942" t="s">
        <v>35</v>
      </c>
      <c r="G942" t="s">
        <v>35</v>
      </c>
      <c r="H942" t="s">
        <v>35</v>
      </c>
      <c r="J942" t="s">
        <v>1197</v>
      </c>
      <c r="K942" t="s">
        <v>1092</v>
      </c>
      <c r="M942">
        <v>1.2150000000000001</v>
      </c>
      <c r="N942">
        <v>9</v>
      </c>
      <c r="O942" t="s">
        <v>46</v>
      </c>
      <c r="Q942" t="s">
        <v>323</v>
      </c>
      <c r="R942" t="s">
        <v>193</v>
      </c>
      <c r="S942" t="s">
        <v>181</v>
      </c>
    </row>
    <row r="943" spans="1:19" x14ac:dyDescent="0.25">
      <c r="A943" t="s">
        <v>30</v>
      </c>
      <c r="B943" t="s">
        <v>31</v>
      </c>
      <c r="C943" t="s">
        <v>32</v>
      </c>
      <c r="D943" t="s">
        <v>33</v>
      </c>
      <c r="E943" t="s">
        <v>34</v>
      </c>
      <c r="F943" t="s">
        <v>35</v>
      </c>
      <c r="G943" t="s">
        <v>35</v>
      </c>
      <c r="H943" t="s">
        <v>35</v>
      </c>
      <c r="J943" t="s">
        <v>1177</v>
      </c>
      <c r="K943" t="s">
        <v>1092</v>
      </c>
      <c r="M943">
        <v>0.495</v>
      </c>
      <c r="N943">
        <v>1475</v>
      </c>
      <c r="O943" t="s">
        <v>575</v>
      </c>
      <c r="Q943" t="s">
        <v>1178</v>
      </c>
      <c r="R943" t="s">
        <v>193</v>
      </c>
      <c r="S943" t="s">
        <v>181</v>
      </c>
    </row>
    <row r="944" spans="1:19" x14ac:dyDescent="0.25">
      <c r="A944" t="s">
        <v>59</v>
      </c>
      <c r="B944" t="s">
        <v>60</v>
      </c>
      <c r="C944" t="s">
        <v>32</v>
      </c>
      <c r="D944" t="s">
        <v>33</v>
      </c>
      <c r="E944" t="s">
        <v>204</v>
      </c>
      <c r="F944" t="s">
        <v>35</v>
      </c>
      <c r="G944" t="s">
        <v>35</v>
      </c>
      <c r="H944" t="s">
        <v>35</v>
      </c>
      <c r="J944" t="s">
        <v>2177</v>
      </c>
      <c r="K944" t="s">
        <v>1092</v>
      </c>
      <c r="M944">
        <v>3.95</v>
      </c>
      <c r="N944">
        <v>93</v>
      </c>
      <c r="O944" t="s">
        <v>106</v>
      </c>
      <c r="Q944" t="s">
        <v>1112</v>
      </c>
      <c r="R944" t="s">
        <v>193</v>
      </c>
      <c r="S944" t="s">
        <v>181</v>
      </c>
    </row>
    <row r="945" spans="1:19" x14ac:dyDescent="0.25">
      <c r="A945" t="s">
        <v>59</v>
      </c>
      <c r="B945" t="s">
        <v>60</v>
      </c>
      <c r="C945" t="s">
        <v>32</v>
      </c>
      <c r="D945" t="s">
        <v>33</v>
      </c>
      <c r="F945" t="s">
        <v>35</v>
      </c>
      <c r="G945" t="s">
        <v>35</v>
      </c>
      <c r="H945" t="s">
        <v>35</v>
      </c>
      <c r="J945" t="s">
        <v>2207</v>
      </c>
      <c r="K945" t="s">
        <v>1144</v>
      </c>
      <c r="M945">
        <v>4.5999999999999996</v>
      </c>
      <c r="N945">
        <v>65</v>
      </c>
      <c r="O945" t="s">
        <v>61</v>
      </c>
      <c r="Q945" t="s">
        <v>63</v>
      </c>
      <c r="R945" t="s">
        <v>193</v>
      </c>
      <c r="S945" t="s">
        <v>181</v>
      </c>
    </row>
    <row r="946" spans="1:19" x14ac:dyDescent="0.25">
      <c r="A946" t="s">
        <v>44</v>
      </c>
      <c r="B946" t="s">
        <v>3</v>
      </c>
      <c r="C946" t="s">
        <v>32</v>
      </c>
      <c r="D946" t="s">
        <v>33</v>
      </c>
      <c r="E946" t="s">
        <v>162</v>
      </c>
      <c r="F946" t="s">
        <v>35</v>
      </c>
      <c r="G946" t="s">
        <v>35</v>
      </c>
      <c r="H946" t="s">
        <v>35</v>
      </c>
      <c r="J946" t="s">
        <v>1829</v>
      </c>
      <c r="K946" t="s">
        <v>1092</v>
      </c>
      <c r="M946">
        <v>2.25</v>
      </c>
      <c r="N946">
        <v>61</v>
      </c>
      <c r="O946" t="s">
        <v>61</v>
      </c>
      <c r="Q946" t="s">
        <v>146</v>
      </c>
      <c r="R946" t="s">
        <v>193</v>
      </c>
      <c r="S946" t="s">
        <v>181</v>
      </c>
    </row>
    <row r="947" spans="1:19" x14ac:dyDescent="0.25">
      <c r="A947" t="s">
        <v>59</v>
      </c>
      <c r="B947" t="s">
        <v>31</v>
      </c>
      <c r="C947" t="s">
        <v>32</v>
      </c>
      <c r="D947" t="s">
        <v>33</v>
      </c>
      <c r="E947" t="s">
        <v>162</v>
      </c>
      <c r="F947" t="s">
        <v>35</v>
      </c>
      <c r="G947" t="s">
        <v>35</v>
      </c>
      <c r="H947" t="s">
        <v>35</v>
      </c>
      <c r="J947" t="s">
        <v>1829</v>
      </c>
      <c r="K947" t="s">
        <v>1092</v>
      </c>
      <c r="M947">
        <v>2.79</v>
      </c>
      <c r="N947">
        <v>61</v>
      </c>
      <c r="O947" t="s">
        <v>61</v>
      </c>
      <c r="Q947" t="s">
        <v>146</v>
      </c>
      <c r="R947" t="s">
        <v>193</v>
      </c>
      <c r="S947" t="s">
        <v>181</v>
      </c>
    </row>
    <row r="948" spans="1:19" x14ac:dyDescent="0.25">
      <c r="A948" t="s">
        <v>44</v>
      </c>
      <c r="B948" t="s">
        <v>51</v>
      </c>
      <c r="C948" t="s">
        <v>32</v>
      </c>
      <c r="D948" t="s">
        <v>33</v>
      </c>
      <c r="E948" t="s">
        <v>162</v>
      </c>
      <c r="F948" t="s">
        <v>35</v>
      </c>
      <c r="G948" t="s">
        <v>35</v>
      </c>
      <c r="H948" t="s">
        <v>35</v>
      </c>
      <c r="J948" t="s">
        <v>1883</v>
      </c>
      <c r="K948" t="s">
        <v>1092</v>
      </c>
      <c r="M948">
        <v>1.85</v>
      </c>
      <c r="N948">
        <v>26</v>
      </c>
      <c r="O948" t="s">
        <v>46</v>
      </c>
      <c r="Q948" t="s">
        <v>137</v>
      </c>
      <c r="R948" t="s">
        <v>193</v>
      </c>
      <c r="S948" t="s">
        <v>181</v>
      </c>
    </row>
    <row r="949" spans="1:19" x14ac:dyDescent="0.25">
      <c r="A949" t="s">
        <v>59</v>
      </c>
      <c r="B949" t="s">
        <v>60</v>
      </c>
      <c r="C949" t="s">
        <v>32</v>
      </c>
      <c r="D949" t="s">
        <v>33</v>
      </c>
      <c r="E949" t="s">
        <v>162</v>
      </c>
      <c r="F949" t="s">
        <v>35</v>
      </c>
      <c r="G949" t="s">
        <v>35</v>
      </c>
      <c r="H949" t="s">
        <v>35</v>
      </c>
      <c r="J949" t="s">
        <v>1901</v>
      </c>
      <c r="K949" t="s">
        <v>1092</v>
      </c>
      <c r="M949">
        <v>2</v>
      </c>
      <c r="N949">
        <v>91</v>
      </c>
      <c r="O949" t="s">
        <v>106</v>
      </c>
      <c r="Q949" t="s">
        <v>108</v>
      </c>
      <c r="R949" t="s">
        <v>193</v>
      </c>
      <c r="S949" t="s">
        <v>181</v>
      </c>
    </row>
    <row r="950" spans="1:19" x14ac:dyDescent="0.25">
      <c r="A950" t="s">
        <v>44</v>
      </c>
      <c r="B950" t="s">
        <v>3</v>
      </c>
      <c r="C950" t="s">
        <v>32</v>
      </c>
      <c r="D950" t="s">
        <v>33</v>
      </c>
      <c r="E950" t="s">
        <v>172</v>
      </c>
      <c r="F950" t="s">
        <v>35</v>
      </c>
      <c r="G950" t="s">
        <v>35</v>
      </c>
      <c r="H950" t="s">
        <v>35</v>
      </c>
      <c r="J950" t="s">
        <v>1919</v>
      </c>
      <c r="K950" t="s">
        <v>404</v>
      </c>
      <c r="M950">
        <v>9.75</v>
      </c>
      <c r="N950">
        <v>44</v>
      </c>
      <c r="O950" t="s">
        <v>52</v>
      </c>
      <c r="Q950" t="s">
        <v>54</v>
      </c>
      <c r="R950" t="s">
        <v>193</v>
      </c>
      <c r="S950" t="s">
        <v>181</v>
      </c>
    </row>
    <row r="951" spans="1:19" x14ac:dyDescent="0.25">
      <c r="A951" t="s">
        <v>59</v>
      </c>
      <c r="B951" t="s">
        <v>60</v>
      </c>
      <c r="C951" t="s">
        <v>32</v>
      </c>
      <c r="D951" t="s">
        <v>33</v>
      </c>
      <c r="E951" t="s">
        <v>34</v>
      </c>
      <c r="F951" t="s">
        <v>35</v>
      </c>
      <c r="G951" t="s">
        <v>35</v>
      </c>
      <c r="H951" t="s">
        <v>35</v>
      </c>
      <c r="J951" t="s">
        <v>1201</v>
      </c>
      <c r="K951" t="s">
        <v>1092</v>
      </c>
      <c r="M951">
        <v>2.4</v>
      </c>
      <c r="N951">
        <v>141</v>
      </c>
      <c r="O951" t="s">
        <v>38</v>
      </c>
      <c r="Q951" t="s">
        <v>1168</v>
      </c>
      <c r="R951" t="s">
        <v>193</v>
      </c>
      <c r="S951" t="s">
        <v>181</v>
      </c>
    </row>
    <row r="952" spans="1:19" x14ac:dyDescent="0.25">
      <c r="A952" t="s">
        <v>59</v>
      </c>
      <c r="B952" t="s">
        <v>60</v>
      </c>
      <c r="C952" t="s">
        <v>32</v>
      </c>
      <c r="D952" t="s">
        <v>33</v>
      </c>
      <c r="E952" t="s">
        <v>196</v>
      </c>
      <c r="F952" t="s">
        <v>35</v>
      </c>
      <c r="G952" t="s">
        <v>35</v>
      </c>
      <c r="H952" t="s">
        <v>35</v>
      </c>
      <c r="J952" t="s">
        <v>207</v>
      </c>
      <c r="K952" t="s">
        <v>1092</v>
      </c>
      <c r="M952">
        <v>4.5</v>
      </c>
      <c r="N952">
        <v>65</v>
      </c>
      <c r="O952" t="s">
        <v>61</v>
      </c>
      <c r="Q952" t="s">
        <v>63</v>
      </c>
      <c r="R952" t="s">
        <v>193</v>
      </c>
      <c r="S952" t="s">
        <v>181</v>
      </c>
    </row>
    <row r="953" spans="1:19" x14ac:dyDescent="0.25">
      <c r="A953" t="s">
        <v>30</v>
      </c>
      <c r="B953" t="s">
        <v>31</v>
      </c>
      <c r="C953" t="s">
        <v>32</v>
      </c>
      <c r="D953" t="s">
        <v>33</v>
      </c>
      <c r="E953" t="s">
        <v>34</v>
      </c>
      <c r="F953" t="s">
        <v>35</v>
      </c>
      <c r="G953" t="s">
        <v>35</v>
      </c>
      <c r="H953" t="s">
        <v>35</v>
      </c>
      <c r="J953" t="s">
        <v>1153</v>
      </c>
      <c r="K953" t="s">
        <v>1092</v>
      </c>
      <c r="M953">
        <v>4.4999999999999998E-2</v>
      </c>
      <c r="N953">
        <v>241</v>
      </c>
      <c r="O953" t="s">
        <v>5</v>
      </c>
      <c r="Q953" t="s">
        <v>1154</v>
      </c>
      <c r="R953" t="s">
        <v>193</v>
      </c>
      <c r="S953" t="s">
        <v>181</v>
      </c>
    </row>
    <row r="954" spans="1:19" x14ac:dyDescent="0.25">
      <c r="A954" t="s">
        <v>44</v>
      </c>
      <c r="B954" t="s">
        <v>3</v>
      </c>
      <c r="C954" t="s">
        <v>32</v>
      </c>
      <c r="D954" t="s">
        <v>33</v>
      </c>
      <c r="E954" t="s">
        <v>2090</v>
      </c>
      <c r="F954" t="s">
        <v>35</v>
      </c>
      <c r="G954" t="s">
        <v>35</v>
      </c>
      <c r="H954" t="s">
        <v>35</v>
      </c>
      <c r="J954" t="s">
        <v>2096</v>
      </c>
      <c r="K954" t="s">
        <v>1092</v>
      </c>
      <c r="M954">
        <v>3.8</v>
      </c>
      <c r="N954">
        <v>49</v>
      </c>
      <c r="O954" t="s">
        <v>52</v>
      </c>
      <c r="Q954" t="s">
        <v>453</v>
      </c>
      <c r="R954" t="s">
        <v>193</v>
      </c>
      <c r="S954" t="s">
        <v>181</v>
      </c>
    </row>
    <row r="955" spans="1:19" x14ac:dyDescent="0.25">
      <c r="A955" t="s">
        <v>30</v>
      </c>
      <c r="B955" t="s">
        <v>31</v>
      </c>
      <c r="C955" t="s">
        <v>32</v>
      </c>
      <c r="D955" t="s">
        <v>33</v>
      </c>
      <c r="E955" t="s">
        <v>2090</v>
      </c>
      <c r="F955" t="s">
        <v>35</v>
      </c>
      <c r="G955" t="s">
        <v>35</v>
      </c>
      <c r="H955" t="s">
        <v>35</v>
      </c>
      <c r="J955" t="s">
        <v>2096</v>
      </c>
      <c r="K955" t="s">
        <v>1092</v>
      </c>
      <c r="M955">
        <v>5.7149999999999999</v>
      </c>
      <c r="N955">
        <v>271</v>
      </c>
      <c r="O955" t="s">
        <v>5</v>
      </c>
      <c r="Q955" t="s">
        <v>1724</v>
      </c>
      <c r="R955" t="s">
        <v>193</v>
      </c>
      <c r="S955" t="s">
        <v>181</v>
      </c>
    </row>
    <row r="956" spans="1:19" x14ac:dyDescent="0.25">
      <c r="A956" t="s">
        <v>59</v>
      </c>
      <c r="B956" t="s">
        <v>60</v>
      </c>
      <c r="C956" t="s">
        <v>32</v>
      </c>
      <c r="D956" t="s">
        <v>33</v>
      </c>
      <c r="E956" t="s">
        <v>177</v>
      </c>
      <c r="F956" t="s">
        <v>35</v>
      </c>
      <c r="G956" t="s">
        <v>35</v>
      </c>
      <c r="H956" t="s">
        <v>35</v>
      </c>
      <c r="J956" t="s">
        <v>1993</v>
      </c>
      <c r="K956" t="s">
        <v>1092</v>
      </c>
      <c r="M956">
        <v>0.9</v>
      </c>
      <c r="N956">
        <v>35</v>
      </c>
      <c r="O956" t="s">
        <v>52</v>
      </c>
      <c r="Q956" t="s">
        <v>991</v>
      </c>
      <c r="R956" t="s">
        <v>193</v>
      </c>
      <c r="S956" t="s">
        <v>181</v>
      </c>
    </row>
    <row r="957" spans="1:19" x14ac:dyDescent="0.25">
      <c r="A957" t="s">
        <v>44</v>
      </c>
      <c r="B957" t="s">
        <v>3</v>
      </c>
      <c r="C957" t="s">
        <v>32</v>
      </c>
      <c r="D957" t="s">
        <v>33</v>
      </c>
      <c r="E957" t="s">
        <v>177</v>
      </c>
      <c r="F957" t="s">
        <v>35</v>
      </c>
      <c r="G957" t="s">
        <v>35</v>
      </c>
      <c r="H957" t="s">
        <v>35</v>
      </c>
      <c r="J957" t="s">
        <v>1993</v>
      </c>
      <c r="K957" t="s">
        <v>1092</v>
      </c>
      <c r="M957">
        <v>3.2</v>
      </c>
      <c r="N957">
        <v>61</v>
      </c>
      <c r="O957" t="s">
        <v>61</v>
      </c>
      <c r="Q957" t="s">
        <v>146</v>
      </c>
      <c r="R957" t="s">
        <v>193</v>
      </c>
      <c r="S957" t="s">
        <v>181</v>
      </c>
    </row>
    <row r="958" spans="1:19" x14ac:dyDescent="0.25">
      <c r="A958" t="s">
        <v>44</v>
      </c>
      <c r="B958" t="s">
        <v>51</v>
      </c>
      <c r="C958" t="s">
        <v>32</v>
      </c>
      <c r="D958" t="s">
        <v>33</v>
      </c>
      <c r="E958" t="s">
        <v>177</v>
      </c>
      <c r="F958" t="s">
        <v>35</v>
      </c>
      <c r="G958" t="s">
        <v>35</v>
      </c>
      <c r="H958" t="s">
        <v>35</v>
      </c>
      <c r="J958" t="s">
        <v>1993</v>
      </c>
      <c r="K958" t="s">
        <v>1092</v>
      </c>
      <c r="M958">
        <v>3.7</v>
      </c>
      <c r="N958">
        <v>51</v>
      </c>
      <c r="O958" t="s">
        <v>52</v>
      </c>
      <c r="Q958" t="s">
        <v>58</v>
      </c>
      <c r="R958" t="s">
        <v>193</v>
      </c>
      <c r="S958" t="s">
        <v>181</v>
      </c>
    </row>
    <row r="959" spans="1:19" x14ac:dyDescent="0.25">
      <c r="A959" t="s">
        <v>30</v>
      </c>
      <c r="B959" t="s">
        <v>31</v>
      </c>
      <c r="C959" t="s">
        <v>32</v>
      </c>
      <c r="D959" t="s">
        <v>33</v>
      </c>
      <c r="E959" t="s">
        <v>204</v>
      </c>
      <c r="F959" t="s">
        <v>35</v>
      </c>
      <c r="G959" t="s">
        <v>35</v>
      </c>
      <c r="H959" t="s">
        <v>35</v>
      </c>
      <c r="J959" t="s">
        <v>2128</v>
      </c>
      <c r="K959" t="s">
        <v>1092</v>
      </c>
      <c r="M959">
        <v>0.09</v>
      </c>
      <c r="N959">
        <v>68</v>
      </c>
      <c r="O959" t="s">
        <v>61</v>
      </c>
      <c r="Q959" t="s">
        <v>805</v>
      </c>
      <c r="R959" t="s">
        <v>193</v>
      </c>
      <c r="S959" t="s">
        <v>181</v>
      </c>
    </row>
    <row r="960" spans="1:19" x14ac:dyDescent="0.25">
      <c r="A960" t="s">
        <v>59</v>
      </c>
      <c r="B960" t="s">
        <v>31</v>
      </c>
      <c r="C960" t="s">
        <v>32</v>
      </c>
      <c r="D960" t="s">
        <v>33</v>
      </c>
      <c r="E960" t="s">
        <v>196</v>
      </c>
      <c r="F960" t="s">
        <v>35</v>
      </c>
      <c r="G960" t="s">
        <v>35</v>
      </c>
      <c r="H960" t="s">
        <v>35</v>
      </c>
      <c r="J960" t="s">
        <v>2027</v>
      </c>
      <c r="K960" t="s">
        <v>1144</v>
      </c>
      <c r="M960">
        <v>5.49</v>
      </c>
      <c r="N960">
        <v>65</v>
      </c>
      <c r="O960" t="s">
        <v>61</v>
      </c>
      <c r="Q960" t="s">
        <v>63</v>
      </c>
      <c r="R960" t="s">
        <v>193</v>
      </c>
      <c r="S960" t="s">
        <v>181</v>
      </c>
    </row>
    <row r="961" spans="1:19" x14ac:dyDescent="0.25">
      <c r="A961" t="s">
        <v>59</v>
      </c>
      <c r="B961" t="s">
        <v>60</v>
      </c>
      <c r="C961" t="s">
        <v>32</v>
      </c>
      <c r="D961" t="s">
        <v>33</v>
      </c>
      <c r="E961" t="s">
        <v>122</v>
      </c>
      <c r="F961" t="s">
        <v>35</v>
      </c>
      <c r="G961" t="s">
        <v>35</v>
      </c>
      <c r="H961" t="s">
        <v>35</v>
      </c>
      <c r="J961" t="s">
        <v>1750</v>
      </c>
      <c r="K961" t="s">
        <v>1092</v>
      </c>
      <c r="M961">
        <v>1</v>
      </c>
      <c r="N961">
        <v>33</v>
      </c>
      <c r="O961" t="s">
        <v>52</v>
      </c>
      <c r="Q961" t="s">
        <v>130</v>
      </c>
      <c r="R961" t="s">
        <v>193</v>
      </c>
      <c r="S961" t="s">
        <v>181</v>
      </c>
    </row>
    <row r="962" spans="1:19" x14ac:dyDescent="0.25">
      <c r="A962" t="s">
        <v>30</v>
      </c>
      <c r="B962" t="s">
        <v>31</v>
      </c>
      <c r="C962" t="s">
        <v>32</v>
      </c>
      <c r="D962" t="s">
        <v>33</v>
      </c>
      <c r="E962" t="s">
        <v>2090</v>
      </c>
      <c r="F962" t="s">
        <v>35</v>
      </c>
      <c r="G962" t="s">
        <v>35</v>
      </c>
      <c r="H962" t="s">
        <v>35</v>
      </c>
      <c r="J962" t="s">
        <v>2097</v>
      </c>
      <c r="K962" t="s">
        <v>1092</v>
      </c>
      <c r="M962">
        <v>2.34</v>
      </c>
      <c r="N962">
        <v>258</v>
      </c>
      <c r="O962" t="s">
        <v>5</v>
      </c>
      <c r="Q962" t="s">
        <v>1754</v>
      </c>
      <c r="R962" t="s">
        <v>193</v>
      </c>
      <c r="S962" t="s">
        <v>181</v>
      </c>
    </row>
    <row r="963" spans="1:19" x14ac:dyDescent="0.25">
      <c r="A963" t="s">
        <v>59</v>
      </c>
      <c r="B963" t="s">
        <v>60</v>
      </c>
      <c r="C963" t="s">
        <v>32</v>
      </c>
      <c r="D963" t="s">
        <v>33</v>
      </c>
      <c r="E963" t="s">
        <v>204</v>
      </c>
      <c r="F963" t="s">
        <v>35</v>
      </c>
      <c r="G963" t="s">
        <v>35</v>
      </c>
      <c r="H963" t="s">
        <v>35</v>
      </c>
      <c r="J963" t="s">
        <v>2130</v>
      </c>
      <c r="K963" t="s">
        <v>1092</v>
      </c>
      <c r="M963">
        <v>2.75</v>
      </c>
      <c r="N963">
        <v>124</v>
      </c>
      <c r="O963" t="s">
        <v>38</v>
      </c>
      <c r="Q963" t="s">
        <v>646</v>
      </c>
      <c r="R963" t="s">
        <v>193</v>
      </c>
      <c r="S963" t="s">
        <v>181</v>
      </c>
    </row>
    <row r="964" spans="1:19" x14ac:dyDescent="0.25">
      <c r="A964" t="s">
        <v>44</v>
      </c>
      <c r="B964" t="s">
        <v>3</v>
      </c>
      <c r="C964" t="s">
        <v>32</v>
      </c>
      <c r="D964" t="s">
        <v>33</v>
      </c>
      <c r="E964" t="s">
        <v>2081</v>
      </c>
      <c r="F964" t="s">
        <v>35</v>
      </c>
      <c r="G964" t="s">
        <v>35</v>
      </c>
      <c r="H964" t="s">
        <v>35</v>
      </c>
      <c r="J964" t="s">
        <v>2082</v>
      </c>
      <c r="K964" t="s">
        <v>1092</v>
      </c>
      <c r="M964">
        <v>2</v>
      </c>
      <c r="N964">
        <v>61</v>
      </c>
      <c r="O964" t="s">
        <v>61</v>
      </c>
      <c r="Q964" t="s">
        <v>146</v>
      </c>
      <c r="R964" t="s">
        <v>193</v>
      </c>
      <c r="S964" t="s">
        <v>181</v>
      </c>
    </row>
    <row r="965" spans="1:19" x14ac:dyDescent="0.25">
      <c r="A965" t="s">
        <v>59</v>
      </c>
      <c r="B965" t="s">
        <v>31</v>
      </c>
      <c r="C965" t="s">
        <v>32</v>
      </c>
      <c r="D965" t="s">
        <v>33</v>
      </c>
      <c r="E965" t="s">
        <v>196</v>
      </c>
      <c r="F965" t="s">
        <v>35</v>
      </c>
      <c r="G965" t="s">
        <v>35</v>
      </c>
      <c r="H965" t="s">
        <v>35</v>
      </c>
      <c r="J965" t="s">
        <v>2035</v>
      </c>
      <c r="K965" t="s">
        <v>1092</v>
      </c>
      <c r="M965">
        <v>4.41</v>
      </c>
      <c r="N965">
        <v>65</v>
      </c>
      <c r="O965" t="s">
        <v>61</v>
      </c>
      <c r="Q965" t="s">
        <v>63</v>
      </c>
      <c r="R965" t="s">
        <v>193</v>
      </c>
      <c r="S965" t="s">
        <v>181</v>
      </c>
    </row>
    <row r="966" spans="1:19" x14ac:dyDescent="0.25">
      <c r="A966" t="s">
        <v>59</v>
      </c>
      <c r="B966" t="s">
        <v>60</v>
      </c>
      <c r="C966" t="s">
        <v>32</v>
      </c>
      <c r="D966" t="s">
        <v>33</v>
      </c>
      <c r="E966" t="s">
        <v>196</v>
      </c>
      <c r="F966" t="s">
        <v>35</v>
      </c>
      <c r="G966" t="s">
        <v>35</v>
      </c>
      <c r="H966" t="s">
        <v>35</v>
      </c>
      <c r="J966" t="s">
        <v>2035</v>
      </c>
      <c r="K966" t="s">
        <v>1092</v>
      </c>
      <c r="M966">
        <v>5.5</v>
      </c>
      <c r="N966">
        <v>65</v>
      </c>
      <c r="O966" t="s">
        <v>61</v>
      </c>
      <c r="Q966" t="s">
        <v>63</v>
      </c>
      <c r="R966" t="s">
        <v>193</v>
      </c>
      <c r="S966" t="s">
        <v>181</v>
      </c>
    </row>
    <row r="967" spans="1:19" x14ac:dyDescent="0.25">
      <c r="A967" t="s">
        <v>59</v>
      </c>
      <c r="B967" t="s">
        <v>60</v>
      </c>
      <c r="C967" t="s">
        <v>32</v>
      </c>
      <c r="D967" t="s">
        <v>33</v>
      </c>
      <c r="F967" t="s">
        <v>35</v>
      </c>
      <c r="G967" t="s">
        <v>35</v>
      </c>
      <c r="H967" t="s">
        <v>35</v>
      </c>
      <c r="J967" t="s">
        <v>2276</v>
      </c>
      <c r="K967" t="s">
        <v>1092</v>
      </c>
      <c r="M967">
        <v>0.65</v>
      </c>
      <c r="N967">
        <v>155</v>
      </c>
      <c r="O967" t="s">
        <v>38</v>
      </c>
      <c r="Q967" t="s">
        <v>2277</v>
      </c>
      <c r="R967" t="s">
        <v>193</v>
      </c>
      <c r="S967" t="s">
        <v>181</v>
      </c>
    </row>
    <row r="968" spans="1:19" x14ac:dyDescent="0.25">
      <c r="A968" t="s">
        <v>30</v>
      </c>
      <c r="B968" t="s">
        <v>31</v>
      </c>
      <c r="C968" t="s">
        <v>32</v>
      </c>
      <c r="D968" t="s">
        <v>33</v>
      </c>
      <c r="E968" t="s">
        <v>204</v>
      </c>
      <c r="F968" t="s">
        <v>35</v>
      </c>
      <c r="G968" t="s">
        <v>35</v>
      </c>
      <c r="H968" t="s">
        <v>35</v>
      </c>
      <c r="J968" t="s">
        <v>2164</v>
      </c>
      <c r="K968" t="s">
        <v>1092</v>
      </c>
      <c r="M968">
        <v>10.98</v>
      </c>
      <c r="N968">
        <v>38</v>
      </c>
      <c r="O968" t="s">
        <v>52</v>
      </c>
      <c r="Q968" t="s">
        <v>716</v>
      </c>
      <c r="R968" t="s">
        <v>193</v>
      </c>
      <c r="S968" t="s">
        <v>181</v>
      </c>
    </row>
    <row r="969" spans="1:19" x14ac:dyDescent="0.25">
      <c r="A969" t="s">
        <v>59</v>
      </c>
      <c r="B969" t="s">
        <v>31</v>
      </c>
      <c r="C969" t="s">
        <v>32</v>
      </c>
      <c r="D969" t="s">
        <v>33</v>
      </c>
      <c r="E969" t="s">
        <v>162</v>
      </c>
      <c r="F969" t="s">
        <v>35</v>
      </c>
      <c r="G969" t="s">
        <v>35</v>
      </c>
      <c r="H969" t="s">
        <v>35</v>
      </c>
      <c r="J969" t="s">
        <v>1868</v>
      </c>
      <c r="K969" t="s">
        <v>1092</v>
      </c>
      <c r="M969">
        <v>0.01</v>
      </c>
      <c r="N969">
        <v>334</v>
      </c>
      <c r="O969" t="s">
        <v>5</v>
      </c>
      <c r="Q969" t="s">
        <v>1871</v>
      </c>
      <c r="R969" t="s">
        <v>193</v>
      </c>
      <c r="S969" t="s">
        <v>181</v>
      </c>
    </row>
    <row r="970" spans="1:19" x14ac:dyDescent="0.25">
      <c r="A970" t="s">
        <v>59</v>
      </c>
      <c r="B970" t="s">
        <v>60</v>
      </c>
      <c r="C970" t="s">
        <v>32</v>
      </c>
      <c r="D970" t="s">
        <v>33</v>
      </c>
      <c r="E970" t="s">
        <v>122</v>
      </c>
      <c r="F970" t="s">
        <v>35</v>
      </c>
      <c r="G970" t="s">
        <v>35</v>
      </c>
      <c r="H970" t="s">
        <v>35</v>
      </c>
      <c r="J970" t="s">
        <v>1519</v>
      </c>
      <c r="K970" t="s">
        <v>1092</v>
      </c>
      <c r="M970">
        <v>0.2</v>
      </c>
      <c r="N970">
        <v>238</v>
      </c>
      <c r="O970" t="s">
        <v>5</v>
      </c>
      <c r="Q970" t="s">
        <v>111</v>
      </c>
      <c r="R970" t="s">
        <v>193</v>
      </c>
      <c r="S970" t="s">
        <v>181</v>
      </c>
    </row>
    <row r="971" spans="1:19" x14ac:dyDescent="0.25">
      <c r="A971" t="s">
        <v>59</v>
      </c>
      <c r="B971" t="s">
        <v>31</v>
      </c>
      <c r="C971" t="s">
        <v>32</v>
      </c>
      <c r="D971" t="s">
        <v>33</v>
      </c>
      <c r="E971" t="s">
        <v>87</v>
      </c>
      <c r="F971" t="s">
        <v>35</v>
      </c>
      <c r="G971" t="s">
        <v>35</v>
      </c>
      <c r="H971" t="s">
        <v>35</v>
      </c>
      <c r="J971" t="s">
        <v>1499</v>
      </c>
      <c r="K971" t="s">
        <v>1092</v>
      </c>
      <c r="M971">
        <v>0.45</v>
      </c>
      <c r="N971">
        <v>1321</v>
      </c>
      <c r="O971" t="s">
        <v>575</v>
      </c>
      <c r="Q971" t="s">
        <v>1500</v>
      </c>
      <c r="R971" t="s">
        <v>193</v>
      </c>
      <c r="S971" t="s">
        <v>181</v>
      </c>
    </row>
    <row r="972" spans="1:19" x14ac:dyDescent="0.25">
      <c r="A972" t="s">
        <v>59</v>
      </c>
      <c r="B972" t="s">
        <v>60</v>
      </c>
      <c r="C972" t="s">
        <v>32</v>
      </c>
      <c r="D972" t="s">
        <v>33</v>
      </c>
      <c r="E972" t="s">
        <v>196</v>
      </c>
      <c r="F972" t="s">
        <v>35</v>
      </c>
      <c r="G972" t="s">
        <v>35</v>
      </c>
      <c r="H972" t="s">
        <v>35</v>
      </c>
      <c r="J972" t="s">
        <v>2053</v>
      </c>
      <c r="K972" t="s">
        <v>1092</v>
      </c>
      <c r="M972">
        <v>1.25</v>
      </c>
      <c r="N972">
        <v>91</v>
      </c>
      <c r="O972" t="s">
        <v>106</v>
      </c>
      <c r="Q972" t="s">
        <v>108</v>
      </c>
      <c r="R972" t="s">
        <v>193</v>
      </c>
      <c r="S972" t="s">
        <v>181</v>
      </c>
    </row>
    <row r="973" spans="1:19" x14ac:dyDescent="0.25">
      <c r="A973" t="s">
        <v>59</v>
      </c>
      <c r="B973" t="s">
        <v>31</v>
      </c>
      <c r="C973" t="s">
        <v>32</v>
      </c>
      <c r="D973" t="s">
        <v>33</v>
      </c>
      <c r="E973" t="s">
        <v>196</v>
      </c>
      <c r="F973" t="s">
        <v>35</v>
      </c>
      <c r="G973" t="s">
        <v>35</v>
      </c>
      <c r="H973" t="s">
        <v>35</v>
      </c>
      <c r="J973" t="s">
        <v>2053</v>
      </c>
      <c r="K973" t="s">
        <v>1092</v>
      </c>
      <c r="M973">
        <v>0.315</v>
      </c>
      <c r="N973">
        <v>91</v>
      </c>
      <c r="O973" t="s">
        <v>106</v>
      </c>
      <c r="Q973" t="s">
        <v>108</v>
      </c>
      <c r="R973" t="s">
        <v>193</v>
      </c>
      <c r="S973" t="s">
        <v>181</v>
      </c>
    </row>
    <row r="974" spans="1:19" x14ac:dyDescent="0.25">
      <c r="A974" t="s">
        <v>59</v>
      </c>
      <c r="B974" t="s">
        <v>60</v>
      </c>
      <c r="C974" t="s">
        <v>32</v>
      </c>
      <c r="D974" t="s">
        <v>33</v>
      </c>
      <c r="E974" t="s">
        <v>196</v>
      </c>
      <c r="F974" t="s">
        <v>35</v>
      </c>
      <c r="G974" t="s">
        <v>35</v>
      </c>
      <c r="H974" t="s">
        <v>35</v>
      </c>
      <c r="J974" t="s">
        <v>2028</v>
      </c>
      <c r="K974" t="s">
        <v>1092</v>
      </c>
      <c r="M974">
        <v>0.1</v>
      </c>
      <c r="N974">
        <v>162</v>
      </c>
      <c r="O974" t="s">
        <v>38</v>
      </c>
      <c r="Q974" t="s">
        <v>1189</v>
      </c>
      <c r="R974" t="s">
        <v>193</v>
      </c>
      <c r="S974" t="s">
        <v>181</v>
      </c>
    </row>
    <row r="975" spans="1:19" x14ac:dyDescent="0.25">
      <c r="A975" t="s">
        <v>59</v>
      </c>
      <c r="B975" t="s">
        <v>60</v>
      </c>
      <c r="C975" t="s">
        <v>32</v>
      </c>
      <c r="D975" t="s">
        <v>33</v>
      </c>
      <c r="E975" t="s">
        <v>196</v>
      </c>
      <c r="F975" t="s">
        <v>35</v>
      </c>
      <c r="G975" t="s">
        <v>35</v>
      </c>
      <c r="H975" t="s">
        <v>35</v>
      </c>
      <c r="J975" t="s">
        <v>2028</v>
      </c>
      <c r="K975" t="s">
        <v>1092</v>
      </c>
      <c r="M975">
        <v>0.1</v>
      </c>
      <c r="N975">
        <v>266</v>
      </c>
      <c r="O975" t="s">
        <v>5</v>
      </c>
      <c r="Q975" t="s">
        <v>1989</v>
      </c>
      <c r="R975" t="s">
        <v>193</v>
      </c>
      <c r="S975" t="s">
        <v>181</v>
      </c>
    </row>
    <row r="976" spans="1:19" x14ac:dyDescent="0.25">
      <c r="A976" t="s">
        <v>59</v>
      </c>
      <c r="B976" t="s">
        <v>60</v>
      </c>
      <c r="C976" t="s">
        <v>32</v>
      </c>
      <c r="D976" t="s">
        <v>33</v>
      </c>
      <c r="E976" t="s">
        <v>196</v>
      </c>
      <c r="F976" t="s">
        <v>35</v>
      </c>
      <c r="G976" t="s">
        <v>35</v>
      </c>
      <c r="H976" t="s">
        <v>35</v>
      </c>
      <c r="J976" t="s">
        <v>2028</v>
      </c>
      <c r="K976" t="s">
        <v>1092</v>
      </c>
      <c r="M976">
        <v>0.25</v>
      </c>
      <c r="N976">
        <v>86</v>
      </c>
      <c r="O976" t="s">
        <v>61</v>
      </c>
      <c r="Q976" t="s">
        <v>941</v>
      </c>
      <c r="R976" t="s">
        <v>193</v>
      </c>
      <c r="S976" t="s">
        <v>181</v>
      </c>
    </row>
    <row r="977" spans="1:19" x14ac:dyDescent="0.25">
      <c r="A977" t="s">
        <v>59</v>
      </c>
      <c r="B977" t="s">
        <v>31</v>
      </c>
      <c r="C977" t="s">
        <v>32</v>
      </c>
      <c r="D977" t="s">
        <v>33</v>
      </c>
      <c r="F977" t="s">
        <v>35</v>
      </c>
      <c r="G977" t="s">
        <v>35</v>
      </c>
      <c r="H977" t="s">
        <v>35</v>
      </c>
      <c r="J977" t="s">
        <v>2028</v>
      </c>
      <c r="K977" t="s">
        <v>1092</v>
      </c>
      <c r="M977">
        <v>1.89</v>
      </c>
      <c r="N977">
        <v>1304</v>
      </c>
      <c r="O977" t="s">
        <v>575</v>
      </c>
      <c r="Q977" t="s">
        <v>2302</v>
      </c>
      <c r="R977" t="s">
        <v>193</v>
      </c>
      <c r="S977" t="s">
        <v>181</v>
      </c>
    </row>
    <row r="978" spans="1:19" x14ac:dyDescent="0.25">
      <c r="A978" t="s">
        <v>59</v>
      </c>
      <c r="B978" t="s">
        <v>60</v>
      </c>
      <c r="C978" t="s">
        <v>32</v>
      </c>
      <c r="D978" t="s">
        <v>33</v>
      </c>
      <c r="E978" t="s">
        <v>64</v>
      </c>
      <c r="F978" t="s">
        <v>35</v>
      </c>
      <c r="G978" t="s">
        <v>35</v>
      </c>
      <c r="H978" t="s">
        <v>35</v>
      </c>
      <c r="J978" t="s">
        <v>1274</v>
      </c>
      <c r="K978" t="s">
        <v>1092</v>
      </c>
      <c r="M978">
        <v>0.25</v>
      </c>
      <c r="N978">
        <v>162</v>
      </c>
      <c r="O978" t="s">
        <v>38</v>
      </c>
      <c r="Q978" t="s">
        <v>1189</v>
      </c>
      <c r="R978" t="s">
        <v>193</v>
      </c>
      <c r="S978" t="s">
        <v>181</v>
      </c>
    </row>
    <row r="979" spans="1:19" x14ac:dyDescent="0.25">
      <c r="A979" t="s">
        <v>59</v>
      </c>
      <c r="B979" t="s">
        <v>60</v>
      </c>
      <c r="C979" t="s">
        <v>32</v>
      </c>
      <c r="D979" t="s">
        <v>33</v>
      </c>
      <c r="E979" t="s">
        <v>64</v>
      </c>
      <c r="F979" t="s">
        <v>35</v>
      </c>
      <c r="G979" t="s">
        <v>35</v>
      </c>
      <c r="H979" t="s">
        <v>35</v>
      </c>
      <c r="J979" t="s">
        <v>1274</v>
      </c>
      <c r="K979" t="s">
        <v>1092</v>
      </c>
      <c r="M979">
        <v>0.35</v>
      </c>
      <c r="N979">
        <v>90</v>
      </c>
      <c r="O979" t="s">
        <v>61</v>
      </c>
      <c r="Q979" t="s">
        <v>557</v>
      </c>
      <c r="R979" t="s">
        <v>193</v>
      </c>
      <c r="S979" t="s">
        <v>181</v>
      </c>
    </row>
    <row r="980" spans="1:19" x14ac:dyDescent="0.25">
      <c r="A980" t="s">
        <v>59</v>
      </c>
      <c r="B980" t="s">
        <v>60</v>
      </c>
      <c r="C980" t="s">
        <v>32</v>
      </c>
      <c r="D980" t="s">
        <v>33</v>
      </c>
      <c r="E980" t="s">
        <v>64</v>
      </c>
      <c r="F980" t="s">
        <v>35</v>
      </c>
      <c r="G980" t="s">
        <v>35</v>
      </c>
      <c r="H980" t="s">
        <v>35</v>
      </c>
      <c r="J980" t="s">
        <v>1274</v>
      </c>
      <c r="K980" t="s">
        <v>1092</v>
      </c>
      <c r="M980">
        <v>0.5</v>
      </c>
      <c r="N980">
        <v>23</v>
      </c>
      <c r="O980" t="s">
        <v>46</v>
      </c>
      <c r="Q980" t="s">
        <v>793</v>
      </c>
      <c r="R980" t="s">
        <v>193</v>
      </c>
      <c r="S980" t="s">
        <v>181</v>
      </c>
    </row>
    <row r="981" spans="1:19" x14ac:dyDescent="0.25">
      <c r="A981" t="s">
        <v>59</v>
      </c>
      <c r="B981" t="s">
        <v>60</v>
      </c>
      <c r="C981" t="s">
        <v>32</v>
      </c>
      <c r="D981" t="s">
        <v>33</v>
      </c>
      <c r="F981" t="s">
        <v>35</v>
      </c>
      <c r="G981" t="s">
        <v>35</v>
      </c>
      <c r="H981" t="s">
        <v>35</v>
      </c>
      <c r="J981" t="s">
        <v>2264</v>
      </c>
      <c r="K981" t="s">
        <v>1092</v>
      </c>
      <c r="M981">
        <v>2.75</v>
      </c>
      <c r="N981">
        <v>91</v>
      </c>
      <c r="O981" t="s">
        <v>106</v>
      </c>
      <c r="Q981" t="s">
        <v>108</v>
      </c>
      <c r="R981" t="s">
        <v>193</v>
      </c>
      <c r="S981" t="s">
        <v>181</v>
      </c>
    </row>
    <row r="982" spans="1:19" x14ac:dyDescent="0.25">
      <c r="A982" t="s">
        <v>59</v>
      </c>
      <c r="B982" t="s">
        <v>31</v>
      </c>
      <c r="C982" t="s">
        <v>32</v>
      </c>
      <c r="D982" t="s">
        <v>33</v>
      </c>
      <c r="E982" t="s">
        <v>177</v>
      </c>
      <c r="F982" t="s">
        <v>35</v>
      </c>
      <c r="G982" t="s">
        <v>35</v>
      </c>
      <c r="H982" t="s">
        <v>35</v>
      </c>
      <c r="J982" t="s">
        <v>1997</v>
      </c>
      <c r="K982" t="s">
        <v>1092</v>
      </c>
      <c r="M982">
        <v>1.08</v>
      </c>
      <c r="N982">
        <v>407</v>
      </c>
      <c r="O982" t="s">
        <v>294</v>
      </c>
      <c r="Q982" t="s">
        <v>1998</v>
      </c>
      <c r="R982" t="s">
        <v>193</v>
      </c>
      <c r="S982" t="s">
        <v>181</v>
      </c>
    </row>
    <row r="983" spans="1:19" x14ac:dyDescent="0.25">
      <c r="A983" t="s">
        <v>30</v>
      </c>
      <c r="B983" t="s">
        <v>31</v>
      </c>
      <c r="C983" t="s">
        <v>32</v>
      </c>
      <c r="D983" t="s">
        <v>33</v>
      </c>
      <c r="E983" t="s">
        <v>34</v>
      </c>
      <c r="F983" t="s">
        <v>35</v>
      </c>
      <c r="G983" t="s">
        <v>35</v>
      </c>
      <c r="H983" t="s">
        <v>35</v>
      </c>
      <c r="J983" t="s">
        <v>1169</v>
      </c>
      <c r="K983" t="s">
        <v>1092</v>
      </c>
      <c r="M983">
        <v>0.99</v>
      </c>
      <c r="N983">
        <v>121</v>
      </c>
      <c r="O983" t="s">
        <v>38</v>
      </c>
      <c r="Q983" t="s">
        <v>1170</v>
      </c>
      <c r="R983" t="s">
        <v>193</v>
      </c>
      <c r="S983" t="s">
        <v>181</v>
      </c>
    </row>
    <row r="984" spans="1:19" x14ac:dyDescent="0.25">
      <c r="A984" t="s">
        <v>59</v>
      </c>
      <c r="B984" t="s">
        <v>60</v>
      </c>
      <c r="C984" t="s">
        <v>32</v>
      </c>
      <c r="D984" t="s">
        <v>33</v>
      </c>
      <c r="E984" t="s">
        <v>34</v>
      </c>
      <c r="F984" t="s">
        <v>35</v>
      </c>
      <c r="G984" t="s">
        <v>35</v>
      </c>
      <c r="H984" t="s">
        <v>35</v>
      </c>
      <c r="J984" t="s">
        <v>1193</v>
      </c>
      <c r="K984" t="s">
        <v>1092</v>
      </c>
      <c r="M984">
        <v>4.05</v>
      </c>
      <c r="N984">
        <v>84</v>
      </c>
      <c r="O984" t="s">
        <v>61</v>
      </c>
      <c r="Q984" t="s">
        <v>1147</v>
      </c>
      <c r="R984" t="s">
        <v>193</v>
      </c>
      <c r="S984" t="s">
        <v>181</v>
      </c>
    </row>
    <row r="985" spans="1:19" x14ac:dyDescent="0.25">
      <c r="A985" t="s">
        <v>59</v>
      </c>
      <c r="B985" t="s">
        <v>60</v>
      </c>
      <c r="C985" t="s">
        <v>32</v>
      </c>
      <c r="D985" t="s">
        <v>33</v>
      </c>
      <c r="E985" t="s">
        <v>34</v>
      </c>
      <c r="F985" t="s">
        <v>35</v>
      </c>
      <c r="G985" t="s">
        <v>35</v>
      </c>
      <c r="H985" t="s">
        <v>35</v>
      </c>
      <c r="J985" t="s">
        <v>1167</v>
      </c>
      <c r="K985" t="s">
        <v>1092</v>
      </c>
      <c r="M985">
        <v>5.5</v>
      </c>
      <c r="N985">
        <v>124</v>
      </c>
      <c r="O985" t="s">
        <v>38</v>
      </c>
      <c r="Q985" t="s">
        <v>646</v>
      </c>
      <c r="R985" t="s">
        <v>193</v>
      </c>
      <c r="S985" t="s">
        <v>181</v>
      </c>
    </row>
    <row r="986" spans="1:19" x14ac:dyDescent="0.25">
      <c r="A986" t="s">
        <v>59</v>
      </c>
      <c r="B986" t="s">
        <v>60</v>
      </c>
      <c r="C986" t="s">
        <v>32</v>
      </c>
      <c r="D986" t="s">
        <v>33</v>
      </c>
      <c r="E986" t="s">
        <v>34</v>
      </c>
      <c r="F986" t="s">
        <v>35</v>
      </c>
      <c r="G986" t="s">
        <v>35</v>
      </c>
      <c r="H986" t="s">
        <v>35</v>
      </c>
      <c r="J986" t="s">
        <v>1167</v>
      </c>
      <c r="K986" t="s">
        <v>1092</v>
      </c>
      <c r="M986">
        <v>2.694</v>
      </c>
      <c r="N986">
        <v>141</v>
      </c>
      <c r="O986" t="s">
        <v>38</v>
      </c>
      <c r="Q986" t="s">
        <v>1168</v>
      </c>
      <c r="R986" t="s">
        <v>193</v>
      </c>
      <c r="S986" t="s">
        <v>181</v>
      </c>
    </row>
    <row r="987" spans="1:19" x14ac:dyDescent="0.25">
      <c r="A987" t="s">
        <v>59</v>
      </c>
      <c r="B987" t="s">
        <v>60</v>
      </c>
      <c r="C987" t="s">
        <v>32</v>
      </c>
      <c r="D987" t="s">
        <v>33</v>
      </c>
      <c r="E987" t="s">
        <v>34</v>
      </c>
      <c r="F987" t="s">
        <v>35</v>
      </c>
      <c r="G987" t="s">
        <v>35</v>
      </c>
      <c r="H987" t="s">
        <v>35</v>
      </c>
      <c r="J987" t="s">
        <v>1167</v>
      </c>
      <c r="K987" t="s">
        <v>1092</v>
      </c>
      <c r="M987">
        <v>11</v>
      </c>
      <c r="N987">
        <v>93</v>
      </c>
      <c r="O987" t="s">
        <v>106</v>
      </c>
      <c r="Q987" t="s">
        <v>1112</v>
      </c>
      <c r="R987" t="s">
        <v>193</v>
      </c>
      <c r="S987" t="s">
        <v>181</v>
      </c>
    </row>
    <row r="988" spans="1:19" x14ac:dyDescent="0.25">
      <c r="A988" t="s">
        <v>59</v>
      </c>
      <c r="B988" t="s">
        <v>31</v>
      </c>
      <c r="C988" t="s">
        <v>32</v>
      </c>
      <c r="D988" t="s">
        <v>33</v>
      </c>
      <c r="E988" t="s">
        <v>34</v>
      </c>
      <c r="F988" t="s">
        <v>35</v>
      </c>
      <c r="G988" t="s">
        <v>35</v>
      </c>
      <c r="H988" t="s">
        <v>35</v>
      </c>
      <c r="J988" t="s">
        <v>1167</v>
      </c>
      <c r="K988" t="s">
        <v>1092</v>
      </c>
      <c r="M988">
        <v>4.319</v>
      </c>
      <c r="N988">
        <v>141</v>
      </c>
      <c r="O988" t="s">
        <v>38</v>
      </c>
      <c r="Q988" t="s">
        <v>1168</v>
      </c>
      <c r="R988" t="s">
        <v>193</v>
      </c>
      <c r="S988" t="s">
        <v>181</v>
      </c>
    </row>
    <row r="989" spans="1:19" x14ac:dyDescent="0.25">
      <c r="A989" t="s">
        <v>59</v>
      </c>
      <c r="B989" t="s">
        <v>31</v>
      </c>
      <c r="C989" t="s">
        <v>32</v>
      </c>
      <c r="D989" t="s">
        <v>33</v>
      </c>
      <c r="E989" t="s">
        <v>34</v>
      </c>
      <c r="F989" t="s">
        <v>35</v>
      </c>
      <c r="G989" t="s">
        <v>35</v>
      </c>
      <c r="H989" t="s">
        <v>35</v>
      </c>
      <c r="J989" t="s">
        <v>1167</v>
      </c>
      <c r="K989" t="s">
        <v>1092</v>
      </c>
      <c r="M989">
        <v>5.49</v>
      </c>
      <c r="N989">
        <v>93</v>
      </c>
      <c r="O989" t="s">
        <v>106</v>
      </c>
      <c r="Q989" t="s">
        <v>1112</v>
      </c>
      <c r="R989" t="s">
        <v>193</v>
      </c>
      <c r="S989" t="s">
        <v>181</v>
      </c>
    </row>
    <row r="990" spans="1:19" x14ac:dyDescent="0.25">
      <c r="A990" t="s">
        <v>59</v>
      </c>
      <c r="B990" t="s">
        <v>31</v>
      </c>
      <c r="C990" t="s">
        <v>32</v>
      </c>
      <c r="D990" t="s">
        <v>33</v>
      </c>
      <c r="E990" t="s">
        <v>34</v>
      </c>
      <c r="F990" t="s">
        <v>35</v>
      </c>
      <c r="G990" t="s">
        <v>35</v>
      </c>
      <c r="H990" t="s">
        <v>35</v>
      </c>
      <c r="J990" t="s">
        <v>1167</v>
      </c>
      <c r="K990" t="s">
        <v>1092</v>
      </c>
      <c r="M990">
        <v>5.49</v>
      </c>
      <c r="N990">
        <v>65</v>
      </c>
      <c r="O990" t="s">
        <v>61</v>
      </c>
      <c r="Q990" t="s">
        <v>63</v>
      </c>
      <c r="R990" t="s">
        <v>193</v>
      </c>
      <c r="S990" t="s">
        <v>181</v>
      </c>
    </row>
    <row r="991" spans="1:19" x14ac:dyDescent="0.25">
      <c r="A991" t="s">
        <v>59</v>
      </c>
      <c r="B991" t="s">
        <v>60</v>
      </c>
      <c r="C991" t="s">
        <v>32</v>
      </c>
      <c r="D991" t="s">
        <v>33</v>
      </c>
      <c r="E991" t="s">
        <v>34</v>
      </c>
      <c r="F991" t="s">
        <v>35</v>
      </c>
      <c r="G991" t="s">
        <v>35</v>
      </c>
      <c r="H991" t="s">
        <v>35</v>
      </c>
      <c r="J991" t="s">
        <v>1167</v>
      </c>
      <c r="K991" t="s">
        <v>1092</v>
      </c>
      <c r="M991">
        <v>5.5</v>
      </c>
      <c r="N991">
        <v>65</v>
      </c>
      <c r="O991" t="s">
        <v>61</v>
      </c>
      <c r="Q991" t="s">
        <v>63</v>
      </c>
      <c r="R991" t="s">
        <v>193</v>
      </c>
      <c r="S991" t="s">
        <v>181</v>
      </c>
    </row>
    <row r="992" spans="1:19" x14ac:dyDescent="0.25">
      <c r="A992" t="s">
        <v>59</v>
      </c>
      <c r="B992" t="s">
        <v>60</v>
      </c>
      <c r="C992" t="s">
        <v>32</v>
      </c>
      <c r="D992" t="s">
        <v>33</v>
      </c>
      <c r="E992" t="s">
        <v>64</v>
      </c>
      <c r="F992" t="s">
        <v>35</v>
      </c>
      <c r="G992" t="s">
        <v>35</v>
      </c>
      <c r="H992" t="s">
        <v>35</v>
      </c>
      <c r="J992" t="s">
        <v>1248</v>
      </c>
      <c r="K992" t="s">
        <v>1092</v>
      </c>
      <c r="M992">
        <v>5.5</v>
      </c>
      <c r="N992">
        <v>141</v>
      </c>
      <c r="O992" t="s">
        <v>38</v>
      </c>
      <c r="Q992" t="s">
        <v>1168</v>
      </c>
      <c r="R992" t="s">
        <v>193</v>
      </c>
      <c r="S992" t="s">
        <v>181</v>
      </c>
    </row>
    <row r="993" spans="1:19" x14ac:dyDescent="0.25">
      <c r="A993" t="s">
        <v>59</v>
      </c>
      <c r="B993" t="s">
        <v>60</v>
      </c>
      <c r="C993" t="s">
        <v>32</v>
      </c>
      <c r="D993" t="s">
        <v>33</v>
      </c>
      <c r="E993" t="s">
        <v>64</v>
      </c>
      <c r="F993" t="s">
        <v>35</v>
      </c>
      <c r="G993" t="s">
        <v>35</v>
      </c>
      <c r="H993" t="s">
        <v>35</v>
      </c>
      <c r="J993" t="s">
        <v>1248</v>
      </c>
      <c r="K993" t="s">
        <v>1092</v>
      </c>
      <c r="M993">
        <v>0.25</v>
      </c>
      <c r="N993">
        <v>284</v>
      </c>
      <c r="O993" t="s">
        <v>5</v>
      </c>
      <c r="Q993" t="s">
        <v>1249</v>
      </c>
      <c r="R993" t="s">
        <v>193</v>
      </c>
      <c r="S993" t="s">
        <v>181</v>
      </c>
    </row>
    <row r="994" spans="1:19" x14ac:dyDescent="0.25">
      <c r="A994" t="s">
        <v>59</v>
      </c>
      <c r="B994" t="s">
        <v>60</v>
      </c>
      <c r="C994" t="s">
        <v>32</v>
      </c>
      <c r="D994" t="s">
        <v>33</v>
      </c>
      <c r="E994" t="s">
        <v>177</v>
      </c>
      <c r="F994" t="s">
        <v>35</v>
      </c>
      <c r="G994" t="s">
        <v>35</v>
      </c>
      <c r="H994" t="s">
        <v>35</v>
      </c>
      <c r="J994" t="s">
        <v>2001</v>
      </c>
      <c r="K994" t="s">
        <v>1092</v>
      </c>
      <c r="M994">
        <v>6.0000000000000001E-3</v>
      </c>
      <c r="N994">
        <v>226</v>
      </c>
      <c r="O994" t="s">
        <v>5</v>
      </c>
      <c r="Q994" t="s">
        <v>2002</v>
      </c>
      <c r="R994" t="s">
        <v>193</v>
      </c>
      <c r="S994" t="s">
        <v>181</v>
      </c>
    </row>
    <row r="995" spans="1:19" x14ac:dyDescent="0.25">
      <c r="A995" t="s">
        <v>59</v>
      </c>
      <c r="B995" t="s">
        <v>60</v>
      </c>
      <c r="C995" t="s">
        <v>32</v>
      </c>
      <c r="D995" t="s">
        <v>33</v>
      </c>
      <c r="E995" t="s">
        <v>177</v>
      </c>
      <c r="F995" t="s">
        <v>35</v>
      </c>
      <c r="G995" t="s">
        <v>35</v>
      </c>
      <c r="H995" t="s">
        <v>35</v>
      </c>
      <c r="J995" t="s">
        <v>2013</v>
      </c>
      <c r="K995" t="s">
        <v>1092</v>
      </c>
      <c r="M995">
        <v>2.35</v>
      </c>
      <c r="N995">
        <v>93</v>
      </c>
      <c r="O995" t="s">
        <v>106</v>
      </c>
      <c r="Q995" t="s">
        <v>1112</v>
      </c>
      <c r="R995" t="s">
        <v>193</v>
      </c>
      <c r="S995" t="s">
        <v>181</v>
      </c>
    </row>
    <row r="996" spans="1:19" x14ac:dyDescent="0.25">
      <c r="A996" t="s">
        <v>30</v>
      </c>
      <c r="B996" t="s">
        <v>31</v>
      </c>
      <c r="C996" t="s">
        <v>32</v>
      </c>
      <c r="D996" t="s">
        <v>33</v>
      </c>
      <c r="E996" t="s">
        <v>177</v>
      </c>
      <c r="F996" t="s">
        <v>35</v>
      </c>
      <c r="G996" t="s">
        <v>35</v>
      </c>
      <c r="H996" t="s">
        <v>35</v>
      </c>
      <c r="J996" t="s">
        <v>2013</v>
      </c>
      <c r="K996" t="s">
        <v>1092</v>
      </c>
      <c r="M996">
        <v>4.6349999999999998</v>
      </c>
      <c r="N996">
        <v>37</v>
      </c>
      <c r="O996" t="s">
        <v>52</v>
      </c>
      <c r="Q996" t="s">
        <v>192</v>
      </c>
      <c r="R996" t="s">
        <v>193</v>
      </c>
      <c r="S996" t="s">
        <v>181</v>
      </c>
    </row>
    <row r="997" spans="1:19" x14ac:dyDescent="0.25">
      <c r="A997" t="s">
        <v>30</v>
      </c>
      <c r="B997" t="s">
        <v>31</v>
      </c>
      <c r="C997" t="s">
        <v>32</v>
      </c>
      <c r="D997" t="s">
        <v>33</v>
      </c>
      <c r="E997" t="s">
        <v>177</v>
      </c>
      <c r="F997" t="s">
        <v>35</v>
      </c>
      <c r="G997" t="s">
        <v>35</v>
      </c>
      <c r="H997" t="s">
        <v>35</v>
      </c>
      <c r="J997" t="s">
        <v>2004</v>
      </c>
      <c r="K997" t="s">
        <v>1092</v>
      </c>
      <c r="M997">
        <v>4.59</v>
      </c>
      <c r="N997">
        <v>37</v>
      </c>
      <c r="O997" t="s">
        <v>52</v>
      </c>
      <c r="Q997" t="s">
        <v>192</v>
      </c>
      <c r="R997" t="s">
        <v>193</v>
      </c>
      <c r="S997" t="s">
        <v>181</v>
      </c>
    </row>
    <row r="998" spans="1:19" x14ac:dyDescent="0.25">
      <c r="A998" t="s">
        <v>59</v>
      </c>
      <c r="B998" t="s">
        <v>60</v>
      </c>
      <c r="C998" t="s">
        <v>32</v>
      </c>
      <c r="D998" t="s">
        <v>33</v>
      </c>
      <c r="F998" t="s">
        <v>35</v>
      </c>
      <c r="G998" t="s">
        <v>35</v>
      </c>
      <c r="H998" t="s">
        <v>35</v>
      </c>
      <c r="J998" t="s">
        <v>2191</v>
      </c>
      <c r="K998" t="s">
        <v>1092</v>
      </c>
      <c r="M998">
        <v>3</v>
      </c>
      <c r="N998">
        <v>65</v>
      </c>
      <c r="O998" t="s">
        <v>61</v>
      </c>
      <c r="Q998" t="s">
        <v>63</v>
      </c>
      <c r="R998" t="s">
        <v>193</v>
      </c>
      <c r="S998" t="s">
        <v>181</v>
      </c>
    </row>
    <row r="999" spans="1:19" x14ac:dyDescent="0.25">
      <c r="A999" t="s">
        <v>30</v>
      </c>
      <c r="B999" t="s">
        <v>31</v>
      </c>
      <c r="C999" t="s">
        <v>32</v>
      </c>
      <c r="D999" t="s">
        <v>33</v>
      </c>
      <c r="E999" t="s">
        <v>34</v>
      </c>
      <c r="F999" t="s">
        <v>35</v>
      </c>
      <c r="G999" t="s">
        <v>35</v>
      </c>
      <c r="H999" t="s">
        <v>35</v>
      </c>
      <c r="J999" t="s">
        <v>1108</v>
      </c>
      <c r="K999" t="s">
        <v>1092</v>
      </c>
      <c r="M999">
        <v>3.15</v>
      </c>
      <c r="N999">
        <v>68</v>
      </c>
      <c r="O999" t="s">
        <v>61</v>
      </c>
      <c r="Q999" t="s">
        <v>805</v>
      </c>
      <c r="R999" t="s">
        <v>193</v>
      </c>
      <c r="S999" t="s">
        <v>181</v>
      </c>
    </row>
    <row r="1000" spans="1:19" x14ac:dyDescent="0.25">
      <c r="A1000" t="s">
        <v>30</v>
      </c>
      <c r="B1000" t="s">
        <v>31</v>
      </c>
      <c r="C1000" t="s">
        <v>32</v>
      </c>
      <c r="D1000" t="s">
        <v>33</v>
      </c>
      <c r="E1000" t="s">
        <v>162</v>
      </c>
      <c r="F1000" t="s">
        <v>35</v>
      </c>
      <c r="G1000" t="s">
        <v>35</v>
      </c>
      <c r="H1000" t="s">
        <v>35</v>
      </c>
      <c r="J1000" t="s">
        <v>1831</v>
      </c>
      <c r="K1000" t="s">
        <v>1092</v>
      </c>
      <c r="M1000">
        <v>3.6</v>
      </c>
      <c r="N1000">
        <v>37</v>
      </c>
      <c r="O1000" t="s">
        <v>52</v>
      </c>
      <c r="Q1000" t="s">
        <v>192</v>
      </c>
      <c r="R1000" t="s">
        <v>193</v>
      </c>
      <c r="S1000" t="s">
        <v>181</v>
      </c>
    </row>
    <row r="1001" spans="1:19" x14ac:dyDescent="0.25">
      <c r="A1001" t="s">
        <v>44</v>
      </c>
      <c r="B1001" t="s">
        <v>51</v>
      </c>
      <c r="C1001" t="s">
        <v>32</v>
      </c>
      <c r="D1001" t="s">
        <v>33</v>
      </c>
      <c r="E1001" t="s">
        <v>119</v>
      </c>
      <c r="F1001" t="s">
        <v>35</v>
      </c>
      <c r="G1001" t="s">
        <v>35</v>
      </c>
      <c r="H1001" t="s">
        <v>35</v>
      </c>
      <c r="J1001" t="s">
        <v>1630</v>
      </c>
      <c r="K1001" t="s">
        <v>1092</v>
      </c>
      <c r="M1001">
        <v>5.5</v>
      </c>
      <c r="N1001">
        <v>49</v>
      </c>
      <c r="O1001" t="s">
        <v>52</v>
      </c>
      <c r="Q1001" t="s">
        <v>453</v>
      </c>
      <c r="R1001" t="s">
        <v>193</v>
      </c>
      <c r="S1001" t="s">
        <v>181</v>
      </c>
    </row>
    <row r="1002" spans="1:19" x14ac:dyDescent="0.25">
      <c r="A1002" t="s">
        <v>30</v>
      </c>
      <c r="B1002" t="s">
        <v>31</v>
      </c>
      <c r="C1002" t="s">
        <v>32</v>
      </c>
      <c r="D1002" t="s">
        <v>33</v>
      </c>
      <c r="E1002" t="s">
        <v>162</v>
      </c>
      <c r="F1002" t="s">
        <v>35</v>
      </c>
      <c r="G1002" t="s">
        <v>35</v>
      </c>
      <c r="H1002" t="s">
        <v>35</v>
      </c>
      <c r="J1002" t="s">
        <v>1832</v>
      </c>
      <c r="K1002" t="s">
        <v>1092</v>
      </c>
      <c r="M1002">
        <v>5.49</v>
      </c>
      <c r="N1002">
        <v>37</v>
      </c>
      <c r="O1002" t="s">
        <v>52</v>
      </c>
      <c r="Q1002" t="s">
        <v>192</v>
      </c>
      <c r="R1002" t="s">
        <v>193</v>
      </c>
      <c r="S1002" t="s">
        <v>181</v>
      </c>
    </row>
    <row r="1003" spans="1:19" x14ac:dyDescent="0.25">
      <c r="A1003" t="s">
        <v>44</v>
      </c>
      <c r="B1003" t="s">
        <v>51</v>
      </c>
      <c r="C1003" t="s">
        <v>32</v>
      </c>
      <c r="D1003" t="s">
        <v>33</v>
      </c>
      <c r="E1003" t="s">
        <v>162</v>
      </c>
      <c r="F1003" t="s">
        <v>35</v>
      </c>
      <c r="G1003" t="s">
        <v>35</v>
      </c>
      <c r="H1003" t="s">
        <v>35</v>
      </c>
      <c r="J1003" t="s">
        <v>1832</v>
      </c>
      <c r="K1003" t="s">
        <v>1092</v>
      </c>
      <c r="M1003">
        <v>4.7</v>
      </c>
      <c r="N1003">
        <v>49</v>
      </c>
      <c r="O1003" t="s">
        <v>52</v>
      </c>
      <c r="Q1003" t="s">
        <v>453</v>
      </c>
      <c r="R1003" t="s">
        <v>193</v>
      </c>
      <c r="S1003" t="s">
        <v>181</v>
      </c>
    </row>
    <row r="1004" spans="1:19" x14ac:dyDescent="0.25">
      <c r="A1004" t="s">
        <v>30</v>
      </c>
      <c r="B1004" t="s">
        <v>31</v>
      </c>
      <c r="C1004" t="s">
        <v>32</v>
      </c>
      <c r="D1004" t="s">
        <v>33</v>
      </c>
      <c r="E1004" t="s">
        <v>162</v>
      </c>
      <c r="F1004" t="s">
        <v>35</v>
      </c>
      <c r="G1004" t="s">
        <v>35</v>
      </c>
      <c r="H1004" t="s">
        <v>35</v>
      </c>
      <c r="J1004" t="s">
        <v>1832</v>
      </c>
      <c r="K1004" t="s">
        <v>1092</v>
      </c>
      <c r="M1004">
        <v>5.49</v>
      </c>
      <c r="N1004">
        <v>68</v>
      </c>
      <c r="O1004" t="s">
        <v>61</v>
      </c>
      <c r="Q1004" t="s">
        <v>805</v>
      </c>
      <c r="R1004" t="s">
        <v>193</v>
      </c>
      <c r="S1004" t="s">
        <v>181</v>
      </c>
    </row>
    <row r="1005" spans="1:19" x14ac:dyDescent="0.25">
      <c r="A1005" t="s">
        <v>59</v>
      </c>
      <c r="B1005" t="s">
        <v>31</v>
      </c>
      <c r="C1005" t="s">
        <v>32</v>
      </c>
      <c r="D1005" t="s">
        <v>33</v>
      </c>
      <c r="E1005" t="s">
        <v>162</v>
      </c>
      <c r="F1005" t="s">
        <v>35</v>
      </c>
      <c r="G1005" t="s">
        <v>35</v>
      </c>
      <c r="H1005" t="s">
        <v>35</v>
      </c>
      <c r="J1005" t="s">
        <v>1832</v>
      </c>
      <c r="K1005" t="s">
        <v>1092</v>
      </c>
      <c r="M1005">
        <v>5.49</v>
      </c>
      <c r="N1005">
        <v>107</v>
      </c>
      <c r="O1005" t="s">
        <v>106</v>
      </c>
      <c r="Q1005" t="s">
        <v>288</v>
      </c>
      <c r="R1005" t="s">
        <v>193</v>
      </c>
      <c r="S1005" t="s">
        <v>181</v>
      </c>
    </row>
    <row r="1006" spans="1:19" x14ac:dyDescent="0.25">
      <c r="A1006" t="s">
        <v>59</v>
      </c>
      <c r="B1006" t="s">
        <v>31</v>
      </c>
      <c r="C1006" t="s">
        <v>32</v>
      </c>
      <c r="D1006" t="s">
        <v>33</v>
      </c>
      <c r="E1006" t="s">
        <v>162</v>
      </c>
      <c r="F1006" t="s">
        <v>35</v>
      </c>
      <c r="G1006" t="s">
        <v>35</v>
      </c>
      <c r="H1006" t="s">
        <v>35</v>
      </c>
      <c r="J1006" t="s">
        <v>1832</v>
      </c>
      <c r="K1006" t="s">
        <v>1092</v>
      </c>
      <c r="M1006">
        <v>5.04</v>
      </c>
      <c r="N1006">
        <v>153</v>
      </c>
      <c r="O1006" t="s">
        <v>38</v>
      </c>
      <c r="Q1006" t="s">
        <v>260</v>
      </c>
      <c r="R1006" t="s">
        <v>193</v>
      </c>
      <c r="S1006" t="s">
        <v>181</v>
      </c>
    </row>
    <row r="1007" spans="1:19" x14ac:dyDescent="0.25">
      <c r="A1007" t="s">
        <v>30</v>
      </c>
      <c r="B1007" t="s">
        <v>31</v>
      </c>
      <c r="C1007" t="s">
        <v>32</v>
      </c>
      <c r="D1007" t="s">
        <v>33</v>
      </c>
      <c r="E1007" t="s">
        <v>162</v>
      </c>
      <c r="F1007" t="s">
        <v>35</v>
      </c>
      <c r="G1007" t="s">
        <v>35</v>
      </c>
      <c r="H1007" t="s">
        <v>35</v>
      </c>
      <c r="J1007" t="s">
        <v>1832</v>
      </c>
      <c r="K1007" t="s">
        <v>1092</v>
      </c>
      <c r="M1007">
        <v>0.63</v>
      </c>
      <c r="N1007">
        <v>421</v>
      </c>
      <c r="O1007" t="s">
        <v>294</v>
      </c>
      <c r="Q1007" t="s">
        <v>1325</v>
      </c>
      <c r="R1007" t="s">
        <v>193</v>
      </c>
      <c r="S1007" t="s">
        <v>181</v>
      </c>
    </row>
    <row r="1008" spans="1:19" x14ac:dyDescent="0.25">
      <c r="A1008" t="s">
        <v>30</v>
      </c>
      <c r="B1008" t="s">
        <v>31</v>
      </c>
      <c r="C1008" t="s">
        <v>32</v>
      </c>
      <c r="D1008" t="s">
        <v>33</v>
      </c>
      <c r="E1008" t="s">
        <v>87</v>
      </c>
      <c r="F1008" t="s">
        <v>35</v>
      </c>
      <c r="G1008" t="s">
        <v>35</v>
      </c>
      <c r="H1008" t="s">
        <v>35</v>
      </c>
      <c r="J1008" t="s">
        <v>1452</v>
      </c>
      <c r="K1008" t="s">
        <v>1092</v>
      </c>
      <c r="M1008">
        <v>0.22500000000000001</v>
      </c>
      <c r="N1008">
        <v>1529</v>
      </c>
      <c r="O1008" t="s">
        <v>575</v>
      </c>
      <c r="Q1008" t="s">
        <v>1458</v>
      </c>
      <c r="R1008" t="s">
        <v>193</v>
      </c>
      <c r="S1008" t="s">
        <v>181</v>
      </c>
    </row>
    <row r="1009" spans="1:19" x14ac:dyDescent="0.25">
      <c r="A1009" t="s">
        <v>59</v>
      </c>
      <c r="B1009" t="s">
        <v>60</v>
      </c>
      <c r="C1009" t="s">
        <v>32</v>
      </c>
      <c r="D1009" t="s">
        <v>33</v>
      </c>
      <c r="E1009" t="s">
        <v>34</v>
      </c>
      <c r="F1009" t="s">
        <v>35</v>
      </c>
      <c r="G1009" t="s">
        <v>35</v>
      </c>
      <c r="H1009" t="s">
        <v>35</v>
      </c>
      <c r="J1009" t="s">
        <v>1160</v>
      </c>
      <c r="K1009" t="s">
        <v>1092</v>
      </c>
      <c r="M1009">
        <v>0.79600000000000004</v>
      </c>
      <c r="N1009">
        <v>160</v>
      </c>
      <c r="O1009" t="s">
        <v>38</v>
      </c>
      <c r="Q1009" t="s">
        <v>1120</v>
      </c>
      <c r="R1009" t="s">
        <v>193</v>
      </c>
      <c r="S1009" t="s">
        <v>181</v>
      </c>
    </row>
    <row r="1010" spans="1:19" x14ac:dyDescent="0.25">
      <c r="A1010" t="s">
        <v>44</v>
      </c>
      <c r="B1010" t="s">
        <v>3</v>
      </c>
      <c r="C1010" t="s">
        <v>32</v>
      </c>
      <c r="D1010" t="s">
        <v>33</v>
      </c>
      <c r="E1010" t="s">
        <v>64</v>
      </c>
      <c r="F1010" t="s">
        <v>35</v>
      </c>
      <c r="G1010" t="s">
        <v>35</v>
      </c>
      <c r="H1010" t="s">
        <v>35</v>
      </c>
      <c r="J1010" t="s">
        <v>1240</v>
      </c>
      <c r="K1010" t="s">
        <v>1092</v>
      </c>
      <c r="M1010">
        <v>5.5</v>
      </c>
      <c r="N1010">
        <v>61</v>
      </c>
      <c r="O1010" t="s">
        <v>61</v>
      </c>
      <c r="Q1010" t="s">
        <v>146</v>
      </c>
      <c r="R1010" t="s">
        <v>193</v>
      </c>
      <c r="S1010" t="s">
        <v>181</v>
      </c>
    </row>
    <row r="1011" spans="1:19" x14ac:dyDescent="0.25">
      <c r="A1011" t="s">
        <v>59</v>
      </c>
      <c r="B1011" t="s">
        <v>60</v>
      </c>
      <c r="C1011" t="s">
        <v>32</v>
      </c>
      <c r="D1011" t="s">
        <v>33</v>
      </c>
      <c r="E1011" t="s">
        <v>64</v>
      </c>
      <c r="F1011" t="s">
        <v>35</v>
      </c>
      <c r="G1011" t="s">
        <v>35</v>
      </c>
      <c r="H1011" t="s">
        <v>35</v>
      </c>
      <c r="J1011" t="s">
        <v>1240</v>
      </c>
      <c r="K1011" t="s">
        <v>1092</v>
      </c>
      <c r="M1011">
        <v>5.5</v>
      </c>
      <c r="N1011">
        <v>91</v>
      </c>
      <c r="O1011" t="s">
        <v>106</v>
      </c>
      <c r="Q1011" t="s">
        <v>108</v>
      </c>
      <c r="R1011" t="s">
        <v>193</v>
      </c>
      <c r="S1011" t="s">
        <v>181</v>
      </c>
    </row>
    <row r="1012" spans="1:19" x14ac:dyDescent="0.25">
      <c r="A1012" t="s">
        <v>59</v>
      </c>
      <c r="B1012" t="s">
        <v>60</v>
      </c>
      <c r="C1012" t="s">
        <v>32</v>
      </c>
      <c r="D1012" t="s">
        <v>33</v>
      </c>
      <c r="E1012" t="s">
        <v>64</v>
      </c>
      <c r="F1012" t="s">
        <v>35</v>
      </c>
      <c r="G1012" t="s">
        <v>35</v>
      </c>
      <c r="H1012" t="s">
        <v>35</v>
      </c>
      <c r="J1012" t="s">
        <v>1240</v>
      </c>
      <c r="K1012" t="s">
        <v>1092</v>
      </c>
      <c r="M1012">
        <v>5.5</v>
      </c>
      <c r="N1012">
        <v>65</v>
      </c>
      <c r="O1012" t="s">
        <v>61</v>
      </c>
      <c r="Q1012" t="s">
        <v>63</v>
      </c>
      <c r="R1012" t="s">
        <v>193</v>
      </c>
      <c r="S1012" t="s">
        <v>181</v>
      </c>
    </row>
    <row r="1013" spans="1:19" x14ac:dyDescent="0.25">
      <c r="A1013" t="s">
        <v>59</v>
      </c>
      <c r="B1013" t="s">
        <v>60</v>
      </c>
      <c r="C1013" t="s">
        <v>32</v>
      </c>
      <c r="D1013" t="s">
        <v>33</v>
      </c>
      <c r="E1013" t="s">
        <v>162</v>
      </c>
      <c r="F1013" t="s">
        <v>35</v>
      </c>
      <c r="G1013" t="s">
        <v>35</v>
      </c>
      <c r="H1013" t="s">
        <v>35</v>
      </c>
      <c r="J1013" t="s">
        <v>1889</v>
      </c>
      <c r="K1013" t="s">
        <v>1092</v>
      </c>
      <c r="M1013">
        <v>4.25</v>
      </c>
      <c r="N1013">
        <v>93</v>
      </c>
      <c r="O1013" t="s">
        <v>106</v>
      </c>
      <c r="Q1013" t="s">
        <v>1112</v>
      </c>
      <c r="R1013" t="s">
        <v>193</v>
      </c>
      <c r="S1013" t="s">
        <v>181</v>
      </c>
    </row>
    <row r="1014" spans="1:19" x14ac:dyDescent="0.25">
      <c r="A1014" t="s">
        <v>30</v>
      </c>
      <c r="B1014" t="s">
        <v>31</v>
      </c>
      <c r="C1014" t="s">
        <v>32</v>
      </c>
      <c r="D1014" t="s">
        <v>33</v>
      </c>
      <c r="E1014" t="s">
        <v>177</v>
      </c>
      <c r="F1014" t="s">
        <v>35</v>
      </c>
      <c r="G1014" t="s">
        <v>35</v>
      </c>
      <c r="H1014" t="s">
        <v>35</v>
      </c>
      <c r="J1014" t="s">
        <v>1996</v>
      </c>
      <c r="K1014" t="s">
        <v>1092</v>
      </c>
      <c r="M1014">
        <v>4.2300000000000004</v>
      </c>
      <c r="N1014">
        <v>37</v>
      </c>
      <c r="O1014" t="s">
        <v>52</v>
      </c>
      <c r="Q1014" t="s">
        <v>192</v>
      </c>
      <c r="R1014" t="s">
        <v>193</v>
      </c>
      <c r="S1014" t="s">
        <v>181</v>
      </c>
    </row>
    <row r="1015" spans="1:19" x14ac:dyDescent="0.25">
      <c r="A1015" t="s">
        <v>59</v>
      </c>
      <c r="B1015" t="s">
        <v>31</v>
      </c>
      <c r="C1015" t="s">
        <v>32</v>
      </c>
      <c r="D1015" t="s">
        <v>33</v>
      </c>
      <c r="E1015" t="s">
        <v>2081</v>
      </c>
      <c r="F1015" t="s">
        <v>35</v>
      </c>
      <c r="G1015" t="s">
        <v>35</v>
      </c>
      <c r="H1015" t="s">
        <v>35</v>
      </c>
      <c r="J1015" t="s">
        <v>2083</v>
      </c>
      <c r="K1015" t="s">
        <v>1092</v>
      </c>
      <c r="M1015">
        <v>5.13</v>
      </c>
      <c r="N1015">
        <v>91</v>
      </c>
      <c r="O1015" t="s">
        <v>106</v>
      </c>
      <c r="Q1015" t="s">
        <v>108</v>
      </c>
      <c r="R1015" t="s">
        <v>193</v>
      </c>
      <c r="S1015" t="s">
        <v>181</v>
      </c>
    </row>
    <row r="1016" spans="1:19" x14ac:dyDescent="0.25">
      <c r="A1016" t="s">
        <v>59</v>
      </c>
      <c r="B1016" t="s">
        <v>60</v>
      </c>
      <c r="C1016" t="s">
        <v>32</v>
      </c>
      <c r="D1016" t="s">
        <v>33</v>
      </c>
      <c r="E1016" t="s">
        <v>122</v>
      </c>
      <c r="F1016" t="s">
        <v>35</v>
      </c>
      <c r="G1016" t="s">
        <v>35</v>
      </c>
      <c r="H1016" t="s">
        <v>35</v>
      </c>
      <c r="J1016" t="s">
        <v>1681</v>
      </c>
      <c r="K1016" t="s">
        <v>1092</v>
      </c>
      <c r="M1016">
        <v>1</v>
      </c>
      <c r="N1016">
        <v>474</v>
      </c>
      <c r="O1016" t="s">
        <v>294</v>
      </c>
      <c r="Q1016" t="s">
        <v>1682</v>
      </c>
      <c r="R1016" t="s">
        <v>193</v>
      </c>
      <c r="S1016" t="s">
        <v>181</v>
      </c>
    </row>
    <row r="1017" spans="1:19" x14ac:dyDescent="0.25">
      <c r="A1017" t="s">
        <v>30</v>
      </c>
      <c r="B1017" t="s">
        <v>31</v>
      </c>
      <c r="C1017" t="s">
        <v>32</v>
      </c>
      <c r="D1017" t="s">
        <v>33</v>
      </c>
      <c r="E1017" t="s">
        <v>162</v>
      </c>
      <c r="F1017" t="s">
        <v>35</v>
      </c>
      <c r="G1017" t="s">
        <v>35</v>
      </c>
      <c r="H1017" t="s">
        <v>35</v>
      </c>
      <c r="J1017" t="s">
        <v>1880</v>
      </c>
      <c r="K1017" t="s">
        <v>1092</v>
      </c>
      <c r="M1017">
        <v>0.01</v>
      </c>
      <c r="N1017">
        <v>264</v>
      </c>
      <c r="O1017" t="s">
        <v>5</v>
      </c>
      <c r="Q1017" t="s">
        <v>1881</v>
      </c>
      <c r="R1017" t="s">
        <v>193</v>
      </c>
      <c r="S1017" t="s">
        <v>181</v>
      </c>
    </row>
    <row r="1018" spans="1:19" x14ac:dyDescent="0.25">
      <c r="A1018" t="s">
        <v>44</v>
      </c>
      <c r="B1018" t="s">
        <v>51</v>
      </c>
      <c r="C1018" t="s">
        <v>32</v>
      </c>
      <c r="D1018" t="s">
        <v>33</v>
      </c>
      <c r="E1018" t="s">
        <v>162</v>
      </c>
      <c r="F1018" t="s">
        <v>35</v>
      </c>
      <c r="G1018" t="s">
        <v>35</v>
      </c>
      <c r="H1018" t="s">
        <v>35</v>
      </c>
      <c r="J1018" t="s">
        <v>1880</v>
      </c>
      <c r="K1018" t="s">
        <v>1092</v>
      </c>
      <c r="M1018">
        <v>2.5</v>
      </c>
      <c r="N1018">
        <v>26</v>
      </c>
      <c r="O1018" t="s">
        <v>46</v>
      </c>
      <c r="Q1018" t="s">
        <v>137</v>
      </c>
      <c r="R1018" t="s">
        <v>193</v>
      </c>
      <c r="S1018" t="s">
        <v>181</v>
      </c>
    </row>
    <row r="1019" spans="1:19" x14ac:dyDescent="0.25">
      <c r="A1019" t="s">
        <v>59</v>
      </c>
      <c r="B1019" t="s">
        <v>60</v>
      </c>
      <c r="C1019" t="s">
        <v>32</v>
      </c>
      <c r="D1019" t="s">
        <v>33</v>
      </c>
      <c r="E1019" t="s">
        <v>204</v>
      </c>
      <c r="F1019" t="s">
        <v>35</v>
      </c>
      <c r="G1019" t="s">
        <v>35</v>
      </c>
      <c r="H1019" t="s">
        <v>35</v>
      </c>
      <c r="J1019" t="s">
        <v>2180</v>
      </c>
      <c r="K1019" t="s">
        <v>1092</v>
      </c>
      <c r="M1019">
        <v>5.5</v>
      </c>
      <c r="N1019">
        <v>72</v>
      </c>
      <c r="O1019" t="s">
        <v>61</v>
      </c>
      <c r="Q1019" t="s">
        <v>1156</v>
      </c>
      <c r="R1019" t="s">
        <v>193</v>
      </c>
      <c r="S1019" t="s">
        <v>181</v>
      </c>
    </row>
    <row r="1020" spans="1:19" x14ac:dyDescent="0.25">
      <c r="A1020" t="s">
        <v>59</v>
      </c>
      <c r="B1020" t="s">
        <v>60</v>
      </c>
      <c r="C1020" t="s">
        <v>32</v>
      </c>
      <c r="D1020" t="s">
        <v>33</v>
      </c>
      <c r="E1020" t="s">
        <v>204</v>
      </c>
      <c r="F1020" t="s">
        <v>35</v>
      </c>
      <c r="G1020" t="s">
        <v>35</v>
      </c>
      <c r="H1020" t="s">
        <v>35</v>
      </c>
      <c r="J1020" t="s">
        <v>2180</v>
      </c>
      <c r="K1020" t="s">
        <v>1092</v>
      </c>
      <c r="M1020">
        <v>5.5</v>
      </c>
      <c r="N1020">
        <v>61</v>
      </c>
      <c r="O1020" t="s">
        <v>61</v>
      </c>
      <c r="Q1020" t="s">
        <v>146</v>
      </c>
      <c r="R1020" t="s">
        <v>193</v>
      </c>
      <c r="S1020" t="s">
        <v>181</v>
      </c>
    </row>
    <row r="1021" spans="1:19" x14ac:dyDescent="0.25">
      <c r="A1021" t="s">
        <v>59</v>
      </c>
      <c r="B1021" t="s">
        <v>31</v>
      </c>
      <c r="C1021" t="s">
        <v>32</v>
      </c>
      <c r="D1021" t="s">
        <v>33</v>
      </c>
      <c r="E1021" t="s">
        <v>2081</v>
      </c>
      <c r="F1021" t="s">
        <v>35</v>
      </c>
      <c r="G1021" t="s">
        <v>35</v>
      </c>
      <c r="H1021" t="s">
        <v>35</v>
      </c>
      <c r="J1021" t="s">
        <v>1288</v>
      </c>
      <c r="K1021" t="s">
        <v>1092</v>
      </c>
      <c r="M1021">
        <v>0.255</v>
      </c>
      <c r="N1021">
        <v>91</v>
      </c>
      <c r="O1021" t="s">
        <v>106</v>
      </c>
      <c r="Q1021" t="s">
        <v>108</v>
      </c>
      <c r="R1021" t="s">
        <v>193</v>
      </c>
      <c r="S1021" t="s">
        <v>181</v>
      </c>
    </row>
    <row r="1022" spans="1:19" x14ac:dyDescent="0.25">
      <c r="A1022" t="s">
        <v>59</v>
      </c>
      <c r="B1022" t="s">
        <v>31</v>
      </c>
      <c r="C1022" t="s">
        <v>32</v>
      </c>
      <c r="D1022" t="s">
        <v>33</v>
      </c>
      <c r="E1022" t="s">
        <v>87</v>
      </c>
      <c r="F1022" t="s">
        <v>35</v>
      </c>
      <c r="G1022" t="s">
        <v>35</v>
      </c>
      <c r="H1022" t="s">
        <v>35</v>
      </c>
      <c r="J1022" t="s">
        <v>1495</v>
      </c>
      <c r="K1022" t="s">
        <v>1092</v>
      </c>
      <c r="M1022">
        <v>5.49</v>
      </c>
      <c r="N1022">
        <v>141</v>
      </c>
      <c r="O1022" t="s">
        <v>38</v>
      </c>
      <c r="Q1022" t="s">
        <v>1168</v>
      </c>
      <c r="R1022" t="s">
        <v>193</v>
      </c>
      <c r="S1022" t="s">
        <v>181</v>
      </c>
    </row>
    <row r="1023" spans="1:19" x14ac:dyDescent="0.25">
      <c r="A1023" t="s">
        <v>44</v>
      </c>
      <c r="B1023" t="s">
        <v>3</v>
      </c>
      <c r="C1023" t="s">
        <v>32</v>
      </c>
      <c r="D1023" t="s">
        <v>33</v>
      </c>
      <c r="E1023" t="s">
        <v>122</v>
      </c>
      <c r="F1023" t="s">
        <v>35</v>
      </c>
      <c r="G1023" t="s">
        <v>35</v>
      </c>
      <c r="H1023" t="s">
        <v>35</v>
      </c>
      <c r="J1023" t="s">
        <v>1637</v>
      </c>
      <c r="K1023" t="s">
        <v>404</v>
      </c>
      <c r="M1023">
        <v>4.8499999999999996</v>
      </c>
      <c r="N1023">
        <v>61</v>
      </c>
      <c r="O1023" t="s">
        <v>61</v>
      </c>
      <c r="Q1023" t="s">
        <v>146</v>
      </c>
      <c r="R1023" t="s">
        <v>193</v>
      </c>
      <c r="S1023" t="s">
        <v>181</v>
      </c>
    </row>
    <row r="1024" spans="1:19" x14ac:dyDescent="0.25">
      <c r="A1024" t="s">
        <v>30</v>
      </c>
      <c r="B1024" t="s">
        <v>31</v>
      </c>
      <c r="C1024" t="s">
        <v>32</v>
      </c>
      <c r="D1024" t="s">
        <v>33</v>
      </c>
      <c r="E1024" t="s">
        <v>204</v>
      </c>
      <c r="F1024" t="s">
        <v>35</v>
      </c>
      <c r="G1024" t="s">
        <v>35</v>
      </c>
      <c r="H1024" t="s">
        <v>35</v>
      </c>
      <c r="J1024" t="s">
        <v>2159</v>
      </c>
      <c r="K1024" t="s">
        <v>1092</v>
      </c>
      <c r="M1024">
        <v>8.2349999999999994</v>
      </c>
      <c r="N1024">
        <v>36</v>
      </c>
      <c r="O1024" t="s">
        <v>52</v>
      </c>
      <c r="Q1024" t="s">
        <v>892</v>
      </c>
      <c r="R1024" t="s">
        <v>193</v>
      </c>
      <c r="S1024" t="s">
        <v>181</v>
      </c>
    </row>
    <row r="1025" spans="1:19" x14ac:dyDescent="0.25">
      <c r="A1025" t="s">
        <v>59</v>
      </c>
      <c r="B1025" t="s">
        <v>31</v>
      </c>
      <c r="C1025" t="s">
        <v>32</v>
      </c>
      <c r="D1025" t="s">
        <v>33</v>
      </c>
      <c r="E1025" t="s">
        <v>196</v>
      </c>
      <c r="F1025" t="s">
        <v>35</v>
      </c>
      <c r="G1025" t="s">
        <v>35</v>
      </c>
      <c r="H1025" t="s">
        <v>35</v>
      </c>
      <c r="J1025" t="s">
        <v>2040</v>
      </c>
      <c r="K1025" t="s">
        <v>1092</v>
      </c>
      <c r="M1025">
        <v>0.72</v>
      </c>
      <c r="N1025">
        <v>91</v>
      </c>
      <c r="O1025" t="s">
        <v>106</v>
      </c>
      <c r="Q1025" t="s">
        <v>108</v>
      </c>
      <c r="R1025" t="s">
        <v>193</v>
      </c>
      <c r="S1025" t="s">
        <v>181</v>
      </c>
    </row>
    <row r="1026" spans="1:19" x14ac:dyDescent="0.25">
      <c r="A1026" t="s">
        <v>59</v>
      </c>
      <c r="B1026" t="s">
        <v>60</v>
      </c>
      <c r="C1026" t="s">
        <v>32</v>
      </c>
      <c r="D1026" t="s">
        <v>33</v>
      </c>
      <c r="E1026" t="s">
        <v>196</v>
      </c>
      <c r="F1026" t="s">
        <v>35</v>
      </c>
      <c r="G1026" t="s">
        <v>35</v>
      </c>
      <c r="H1026" t="s">
        <v>35</v>
      </c>
      <c r="J1026" t="s">
        <v>2040</v>
      </c>
      <c r="K1026" t="s">
        <v>1092</v>
      </c>
      <c r="M1026">
        <v>0.8</v>
      </c>
      <c r="N1026">
        <v>91</v>
      </c>
      <c r="O1026" t="s">
        <v>106</v>
      </c>
      <c r="Q1026" t="s">
        <v>108</v>
      </c>
      <c r="R1026" t="s">
        <v>193</v>
      </c>
      <c r="S1026" t="s">
        <v>181</v>
      </c>
    </row>
    <row r="1027" spans="1:19" x14ac:dyDescent="0.25">
      <c r="A1027" t="s">
        <v>44</v>
      </c>
      <c r="B1027" t="s">
        <v>3</v>
      </c>
      <c r="C1027" t="s">
        <v>32</v>
      </c>
      <c r="D1027" t="s">
        <v>33</v>
      </c>
      <c r="E1027" t="s">
        <v>162</v>
      </c>
      <c r="F1027" t="s">
        <v>35</v>
      </c>
      <c r="G1027" t="s">
        <v>35</v>
      </c>
      <c r="H1027" t="s">
        <v>35</v>
      </c>
      <c r="J1027" t="s">
        <v>1891</v>
      </c>
      <c r="K1027" t="s">
        <v>1092</v>
      </c>
      <c r="M1027">
        <v>4.75</v>
      </c>
      <c r="N1027">
        <v>61</v>
      </c>
      <c r="O1027" t="s">
        <v>61</v>
      </c>
      <c r="Q1027" t="s">
        <v>146</v>
      </c>
      <c r="R1027" t="s">
        <v>193</v>
      </c>
      <c r="S1027" t="s">
        <v>181</v>
      </c>
    </row>
    <row r="1028" spans="1:19" x14ac:dyDescent="0.25">
      <c r="A1028" t="s">
        <v>59</v>
      </c>
      <c r="B1028" t="s">
        <v>60</v>
      </c>
      <c r="C1028" t="s">
        <v>32</v>
      </c>
      <c r="D1028" t="s">
        <v>33</v>
      </c>
      <c r="E1028" t="s">
        <v>162</v>
      </c>
      <c r="F1028" t="s">
        <v>35</v>
      </c>
      <c r="G1028" t="s">
        <v>35</v>
      </c>
      <c r="H1028" t="s">
        <v>35</v>
      </c>
      <c r="J1028" t="s">
        <v>1891</v>
      </c>
      <c r="K1028" t="s">
        <v>1092</v>
      </c>
      <c r="M1028">
        <v>3.15</v>
      </c>
      <c r="N1028">
        <v>87</v>
      </c>
      <c r="O1028" t="s">
        <v>61</v>
      </c>
      <c r="Q1028" t="s">
        <v>394</v>
      </c>
      <c r="R1028" t="s">
        <v>193</v>
      </c>
      <c r="S1028" t="s">
        <v>181</v>
      </c>
    </row>
    <row r="1029" spans="1:19" x14ac:dyDescent="0.25">
      <c r="A1029" t="s">
        <v>59</v>
      </c>
      <c r="B1029" t="s">
        <v>31</v>
      </c>
      <c r="C1029" t="s">
        <v>32</v>
      </c>
      <c r="D1029" t="s">
        <v>33</v>
      </c>
      <c r="E1029" t="s">
        <v>34</v>
      </c>
      <c r="F1029" t="s">
        <v>35</v>
      </c>
      <c r="G1029" t="s">
        <v>35</v>
      </c>
      <c r="H1029" t="s">
        <v>35</v>
      </c>
      <c r="J1029" t="s">
        <v>1143</v>
      </c>
      <c r="K1029" t="s">
        <v>1144</v>
      </c>
      <c r="M1029">
        <v>2.2949999999999999</v>
      </c>
      <c r="N1029">
        <v>514</v>
      </c>
      <c r="O1029" t="s">
        <v>294</v>
      </c>
      <c r="Q1029" t="s">
        <v>1146</v>
      </c>
      <c r="R1029" t="s">
        <v>193</v>
      </c>
      <c r="S1029" t="s">
        <v>181</v>
      </c>
    </row>
    <row r="1030" spans="1:19" x14ac:dyDescent="0.25">
      <c r="A1030" t="s">
        <v>59</v>
      </c>
      <c r="B1030" t="s">
        <v>60</v>
      </c>
      <c r="C1030" t="s">
        <v>32</v>
      </c>
      <c r="D1030" t="s">
        <v>33</v>
      </c>
      <c r="E1030" t="s">
        <v>34</v>
      </c>
      <c r="F1030" t="s">
        <v>35</v>
      </c>
      <c r="G1030" t="s">
        <v>35</v>
      </c>
      <c r="H1030" t="s">
        <v>35</v>
      </c>
      <c r="J1030" t="s">
        <v>1143</v>
      </c>
      <c r="K1030" t="s">
        <v>1144</v>
      </c>
      <c r="M1030">
        <v>5</v>
      </c>
      <c r="N1030">
        <v>84</v>
      </c>
      <c r="O1030" t="s">
        <v>61</v>
      </c>
      <c r="Q1030" t="s">
        <v>1147</v>
      </c>
      <c r="R1030" t="s">
        <v>193</v>
      </c>
      <c r="S1030" t="s">
        <v>181</v>
      </c>
    </row>
    <row r="1031" spans="1:19" x14ac:dyDescent="0.25">
      <c r="A1031" t="s">
        <v>44</v>
      </c>
      <c r="B1031" t="s">
        <v>3</v>
      </c>
      <c r="C1031" t="s">
        <v>32</v>
      </c>
      <c r="D1031" t="s">
        <v>33</v>
      </c>
      <c r="E1031" t="s">
        <v>34</v>
      </c>
      <c r="F1031" t="s">
        <v>35</v>
      </c>
      <c r="G1031" t="s">
        <v>35</v>
      </c>
      <c r="H1031" t="s">
        <v>35</v>
      </c>
      <c r="J1031" t="s">
        <v>1143</v>
      </c>
      <c r="K1031" t="s">
        <v>1144</v>
      </c>
      <c r="M1031">
        <v>5.5</v>
      </c>
      <c r="N1031">
        <v>49</v>
      </c>
      <c r="O1031" t="s">
        <v>52</v>
      </c>
      <c r="Q1031" t="s">
        <v>453</v>
      </c>
      <c r="R1031" t="s">
        <v>193</v>
      </c>
      <c r="S1031" t="s">
        <v>181</v>
      </c>
    </row>
    <row r="1032" spans="1:19" x14ac:dyDescent="0.25">
      <c r="A1032" t="s">
        <v>59</v>
      </c>
      <c r="B1032" t="s">
        <v>60</v>
      </c>
      <c r="C1032" t="s">
        <v>32</v>
      </c>
      <c r="D1032" t="s">
        <v>33</v>
      </c>
      <c r="E1032" t="s">
        <v>172</v>
      </c>
      <c r="F1032" t="s">
        <v>35</v>
      </c>
      <c r="G1032" t="s">
        <v>35</v>
      </c>
      <c r="H1032" t="s">
        <v>35</v>
      </c>
      <c r="J1032" t="s">
        <v>1961</v>
      </c>
      <c r="K1032" t="s">
        <v>1092</v>
      </c>
      <c r="M1032">
        <v>1.7949999999999999</v>
      </c>
      <c r="N1032">
        <v>54</v>
      </c>
      <c r="O1032" t="s">
        <v>52</v>
      </c>
      <c r="Q1032" t="s">
        <v>671</v>
      </c>
      <c r="R1032" t="s">
        <v>193</v>
      </c>
      <c r="S1032" t="s">
        <v>181</v>
      </c>
    </row>
    <row r="1033" spans="1:19" x14ac:dyDescent="0.25">
      <c r="A1033" t="s">
        <v>59</v>
      </c>
      <c r="B1033" t="s">
        <v>60</v>
      </c>
      <c r="C1033" t="s">
        <v>32</v>
      </c>
      <c r="D1033" t="s">
        <v>33</v>
      </c>
      <c r="E1033" t="s">
        <v>114</v>
      </c>
      <c r="F1033" t="s">
        <v>35</v>
      </c>
      <c r="G1033" t="s">
        <v>35</v>
      </c>
      <c r="H1033" t="s">
        <v>35</v>
      </c>
      <c r="J1033" t="s">
        <v>1597</v>
      </c>
      <c r="K1033" t="s">
        <v>1092</v>
      </c>
      <c r="M1033">
        <v>5.5</v>
      </c>
      <c r="N1033">
        <v>42</v>
      </c>
      <c r="O1033" t="s">
        <v>52</v>
      </c>
      <c r="Q1033" t="s">
        <v>219</v>
      </c>
      <c r="R1033" t="s">
        <v>193</v>
      </c>
      <c r="S1033" t="s">
        <v>181</v>
      </c>
    </row>
    <row r="1034" spans="1:19" x14ac:dyDescent="0.25">
      <c r="A1034" t="s">
        <v>59</v>
      </c>
      <c r="B1034" t="s">
        <v>31</v>
      </c>
      <c r="C1034" t="s">
        <v>32</v>
      </c>
      <c r="D1034" t="s">
        <v>33</v>
      </c>
      <c r="E1034" t="s">
        <v>114</v>
      </c>
      <c r="F1034" t="s">
        <v>35</v>
      </c>
      <c r="G1034" t="s">
        <v>35</v>
      </c>
      <c r="H1034" t="s">
        <v>35</v>
      </c>
      <c r="J1034" t="s">
        <v>1597</v>
      </c>
      <c r="K1034" t="s">
        <v>1092</v>
      </c>
      <c r="M1034">
        <v>0.01</v>
      </c>
      <c r="N1034">
        <v>65</v>
      </c>
      <c r="O1034" t="s">
        <v>61</v>
      </c>
      <c r="Q1034" t="s">
        <v>63</v>
      </c>
      <c r="R1034" t="s">
        <v>193</v>
      </c>
      <c r="S1034" t="s">
        <v>181</v>
      </c>
    </row>
    <row r="1035" spans="1:19" x14ac:dyDescent="0.25">
      <c r="A1035" t="s">
        <v>59</v>
      </c>
      <c r="B1035" t="s">
        <v>60</v>
      </c>
      <c r="C1035" t="s">
        <v>32</v>
      </c>
      <c r="D1035" t="s">
        <v>33</v>
      </c>
      <c r="E1035" t="s">
        <v>114</v>
      </c>
      <c r="F1035" t="s">
        <v>35</v>
      </c>
      <c r="G1035" t="s">
        <v>35</v>
      </c>
      <c r="H1035" t="s">
        <v>35</v>
      </c>
      <c r="J1035" t="s">
        <v>1597</v>
      </c>
      <c r="K1035" t="s">
        <v>1092</v>
      </c>
      <c r="M1035">
        <v>0.75</v>
      </c>
      <c r="N1035">
        <v>91</v>
      </c>
      <c r="O1035" t="s">
        <v>106</v>
      </c>
      <c r="Q1035" t="s">
        <v>108</v>
      </c>
      <c r="R1035" t="s">
        <v>193</v>
      </c>
      <c r="S1035" t="s">
        <v>181</v>
      </c>
    </row>
    <row r="1036" spans="1:19" x14ac:dyDescent="0.25">
      <c r="A1036" t="s">
        <v>44</v>
      </c>
      <c r="B1036" t="s">
        <v>51</v>
      </c>
      <c r="C1036" t="s">
        <v>32</v>
      </c>
      <c r="D1036" t="s">
        <v>33</v>
      </c>
      <c r="E1036" t="s">
        <v>162</v>
      </c>
      <c r="F1036" t="s">
        <v>35</v>
      </c>
      <c r="G1036" t="s">
        <v>35</v>
      </c>
      <c r="H1036" t="s">
        <v>35</v>
      </c>
      <c r="J1036" t="s">
        <v>1872</v>
      </c>
      <c r="K1036" t="s">
        <v>1092</v>
      </c>
      <c r="M1036">
        <v>0.20499999999999999</v>
      </c>
      <c r="N1036">
        <v>236</v>
      </c>
      <c r="O1036" t="s">
        <v>5</v>
      </c>
      <c r="Q1036" t="s">
        <v>1151</v>
      </c>
      <c r="R1036" t="s">
        <v>193</v>
      </c>
      <c r="S1036" t="s">
        <v>181</v>
      </c>
    </row>
    <row r="1037" spans="1:19" x14ac:dyDescent="0.25">
      <c r="A1037" t="s">
        <v>30</v>
      </c>
      <c r="B1037" t="s">
        <v>31</v>
      </c>
      <c r="C1037" t="s">
        <v>32</v>
      </c>
      <c r="D1037" t="s">
        <v>33</v>
      </c>
      <c r="E1037" t="s">
        <v>122</v>
      </c>
      <c r="F1037" t="s">
        <v>35</v>
      </c>
      <c r="G1037" t="s">
        <v>35</v>
      </c>
      <c r="H1037" t="s">
        <v>35</v>
      </c>
      <c r="J1037" t="s">
        <v>1698</v>
      </c>
      <c r="K1037" t="s">
        <v>1092</v>
      </c>
      <c r="M1037">
        <v>5.625</v>
      </c>
      <c r="N1037">
        <v>12</v>
      </c>
      <c r="O1037" t="s">
        <v>46</v>
      </c>
      <c r="Q1037" t="s">
        <v>1192</v>
      </c>
      <c r="R1037" t="s">
        <v>193</v>
      </c>
      <c r="S1037" t="s">
        <v>181</v>
      </c>
    </row>
    <row r="1038" spans="1:19" x14ac:dyDescent="0.25">
      <c r="A1038" t="s">
        <v>59</v>
      </c>
      <c r="B1038" t="s">
        <v>60</v>
      </c>
      <c r="C1038" t="s">
        <v>32</v>
      </c>
      <c r="D1038" t="s">
        <v>33</v>
      </c>
      <c r="E1038" t="s">
        <v>122</v>
      </c>
      <c r="F1038" t="s">
        <v>35</v>
      </c>
      <c r="G1038" t="s">
        <v>35</v>
      </c>
      <c r="H1038" t="s">
        <v>35</v>
      </c>
      <c r="J1038" t="s">
        <v>1698</v>
      </c>
      <c r="K1038" t="s">
        <v>1092</v>
      </c>
      <c r="M1038">
        <v>3.44</v>
      </c>
      <c r="N1038">
        <v>54</v>
      </c>
      <c r="O1038" t="s">
        <v>52</v>
      </c>
      <c r="Q1038" t="s">
        <v>671</v>
      </c>
      <c r="R1038" t="s">
        <v>193</v>
      </c>
      <c r="S1038" t="s">
        <v>181</v>
      </c>
    </row>
    <row r="1039" spans="1:19" x14ac:dyDescent="0.25">
      <c r="A1039" t="s">
        <v>59</v>
      </c>
      <c r="B1039" t="s">
        <v>60</v>
      </c>
      <c r="C1039" t="s">
        <v>32</v>
      </c>
      <c r="D1039" t="s">
        <v>33</v>
      </c>
      <c r="E1039" t="s">
        <v>2059</v>
      </c>
      <c r="F1039" t="s">
        <v>35</v>
      </c>
      <c r="G1039" t="s">
        <v>35</v>
      </c>
      <c r="H1039" t="s">
        <v>35</v>
      </c>
      <c r="J1039" t="s">
        <v>2071</v>
      </c>
      <c r="K1039" t="s">
        <v>1092</v>
      </c>
      <c r="M1039">
        <v>2</v>
      </c>
      <c r="N1039">
        <v>54</v>
      </c>
      <c r="O1039" t="s">
        <v>52</v>
      </c>
      <c r="Q1039" t="s">
        <v>671</v>
      </c>
      <c r="R1039" t="s">
        <v>193</v>
      </c>
      <c r="S1039" t="s">
        <v>181</v>
      </c>
    </row>
    <row r="1040" spans="1:19" x14ac:dyDescent="0.25">
      <c r="A1040" t="s">
        <v>59</v>
      </c>
      <c r="B1040" t="s">
        <v>31</v>
      </c>
      <c r="C1040" t="s">
        <v>32</v>
      </c>
      <c r="D1040" t="s">
        <v>33</v>
      </c>
      <c r="E1040" t="s">
        <v>2059</v>
      </c>
      <c r="F1040" t="s">
        <v>35</v>
      </c>
      <c r="G1040" t="s">
        <v>35</v>
      </c>
      <c r="H1040" t="s">
        <v>35</v>
      </c>
      <c r="J1040" t="s">
        <v>2071</v>
      </c>
      <c r="K1040" t="s">
        <v>1092</v>
      </c>
      <c r="M1040">
        <v>0.495</v>
      </c>
      <c r="N1040">
        <v>54</v>
      </c>
      <c r="O1040" t="s">
        <v>52</v>
      </c>
      <c r="Q1040" t="s">
        <v>671</v>
      </c>
      <c r="R1040" t="s">
        <v>193</v>
      </c>
      <c r="S1040" t="s">
        <v>181</v>
      </c>
    </row>
    <row r="1041" spans="1:19" x14ac:dyDescent="0.25">
      <c r="A1041" t="s">
        <v>59</v>
      </c>
      <c r="B1041" t="s">
        <v>60</v>
      </c>
      <c r="C1041" t="s">
        <v>32</v>
      </c>
      <c r="D1041" t="s">
        <v>33</v>
      </c>
      <c r="E1041" t="s">
        <v>122</v>
      </c>
      <c r="F1041" t="s">
        <v>35</v>
      </c>
      <c r="G1041" t="s">
        <v>35</v>
      </c>
      <c r="H1041" t="s">
        <v>35</v>
      </c>
      <c r="J1041" t="s">
        <v>1647</v>
      </c>
      <c r="K1041" t="s">
        <v>1092</v>
      </c>
      <c r="M1041">
        <v>0.45</v>
      </c>
      <c r="N1041">
        <v>356</v>
      </c>
      <c r="O1041" t="s">
        <v>5</v>
      </c>
      <c r="Q1041" t="s">
        <v>1415</v>
      </c>
      <c r="R1041" t="s">
        <v>193</v>
      </c>
      <c r="S1041" t="s">
        <v>181</v>
      </c>
    </row>
    <row r="1042" spans="1:19" x14ac:dyDescent="0.25">
      <c r="A1042" t="s">
        <v>44</v>
      </c>
      <c r="B1042" t="s">
        <v>3</v>
      </c>
      <c r="C1042" t="s">
        <v>32</v>
      </c>
      <c r="D1042" t="s">
        <v>33</v>
      </c>
      <c r="E1042" t="s">
        <v>122</v>
      </c>
      <c r="F1042" t="s">
        <v>35</v>
      </c>
      <c r="G1042" t="s">
        <v>35</v>
      </c>
      <c r="H1042" t="s">
        <v>35</v>
      </c>
      <c r="J1042" t="s">
        <v>1647</v>
      </c>
      <c r="K1042" t="s">
        <v>1092</v>
      </c>
      <c r="M1042">
        <v>1.85</v>
      </c>
      <c r="N1042">
        <v>428</v>
      </c>
      <c r="O1042" t="s">
        <v>294</v>
      </c>
      <c r="Q1042" t="s">
        <v>1350</v>
      </c>
      <c r="R1042" t="s">
        <v>193</v>
      </c>
      <c r="S1042" t="s">
        <v>181</v>
      </c>
    </row>
    <row r="1043" spans="1:19" x14ac:dyDescent="0.25">
      <c r="A1043" t="s">
        <v>59</v>
      </c>
      <c r="B1043" t="s">
        <v>60</v>
      </c>
      <c r="C1043" t="s">
        <v>32</v>
      </c>
      <c r="D1043" t="s">
        <v>33</v>
      </c>
      <c r="E1043" t="s">
        <v>34</v>
      </c>
      <c r="F1043" t="s">
        <v>35</v>
      </c>
      <c r="G1043" t="s">
        <v>35</v>
      </c>
      <c r="H1043" t="s">
        <v>35</v>
      </c>
      <c r="J1043" t="s">
        <v>1188</v>
      </c>
      <c r="K1043" t="s">
        <v>1092</v>
      </c>
      <c r="M1043">
        <v>1</v>
      </c>
      <c r="N1043">
        <v>162</v>
      </c>
      <c r="O1043" t="s">
        <v>38</v>
      </c>
      <c r="Q1043" t="s">
        <v>1189</v>
      </c>
      <c r="R1043" t="s">
        <v>193</v>
      </c>
      <c r="S1043" t="s">
        <v>181</v>
      </c>
    </row>
    <row r="1044" spans="1:19" x14ac:dyDescent="0.25">
      <c r="A1044" t="s">
        <v>59</v>
      </c>
      <c r="B1044" t="s">
        <v>60</v>
      </c>
      <c r="C1044" t="s">
        <v>32</v>
      </c>
      <c r="D1044" t="s">
        <v>33</v>
      </c>
      <c r="E1044" t="s">
        <v>34</v>
      </c>
      <c r="F1044" t="s">
        <v>35</v>
      </c>
      <c r="G1044" t="s">
        <v>35</v>
      </c>
      <c r="H1044" t="s">
        <v>35</v>
      </c>
      <c r="J1044" t="s">
        <v>1188</v>
      </c>
      <c r="K1044" t="s">
        <v>1092</v>
      </c>
      <c r="M1044">
        <v>1</v>
      </c>
      <c r="N1044">
        <v>146</v>
      </c>
      <c r="O1044" t="s">
        <v>38</v>
      </c>
      <c r="Q1044" t="s">
        <v>569</v>
      </c>
      <c r="R1044" t="s">
        <v>193</v>
      </c>
      <c r="S1044" t="s">
        <v>181</v>
      </c>
    </row>
    <row r="1045" spans="1:19" x14ac:dyDescent="0.25">
      <c r="A1045" t="s">
        <v>59</v>
      </c>
      <c r="B1045" t="s">
        <v>60</v>
      </c>
      <c r="C1045" t="s">
        <v>32</v>
      </c>
      <c r="D1045" t="s">
        <v>33</v>
      </c>
      <c r="E1045" t="s">
        <v>34</v>
      </c>
      <c r="F1045" t="s">
        <v>35</v>
      </c>
      <c r="G1045" t="s">
        <v>35</v>
      </c>
      <c r="H1045" t="s">
        <v>35</v>
      </c>
      <c r="J1045" t="s">
        <v>1188</v>
      </c>
      <c r="K1045" t="s">
        <v>1092</v>
      </c>
      <c r="M1045">
        <v>0.05</v>
      </c>
      <c r="N1045">
        <v>345</v>
      </c>
      <c r="O1045" t="s">
        <v>5</v>
      </c>
      <c r="Q1045" t="s">
        <v>1190</v>
      </c>
      <c r="R1045" t="s">
        <v>193</v>
      </c>
      <c r="S1045" t="s">
        <v>181</v>
      </c>
    </row>
    <row r="1046" spans="1:19" x14ac:dyDescent="0.25">
      <c r="A1046" t="s">
        <v>59</v>
      </c>
      <c r="B1046" t="s">
        <v>60</v>
      </c>
      <c r="C1046" t="s">
        <v>32</v>
      </c>
      <c r="D1046" t="s">
        <v>33</v>
      </c>
      <c r="E1046" t="s">
        <v>196</v>
      </c>
      <c r="F1046" t="s">
        <v>35</v>
      </c>
      <c r="G1046" t="s">
        <v>35</v>
      </c>
      <c r="H1046" t="s">
        <v>35</v>
      </c>
      <c r="J1046" t="s">
        <v>1508</v>
      </c>
      <c r="K1046" t="s">
        <v>1092</v>
      </c>
      <c r="M1046">
        <v>0.25</v>
      </c>
      <c r="N1046">
        <v>493</v>
      </c>
      <c r="O1046" t="s">
        <v>294</v>
      </c>
      <c r="Q1046" t="s">
        <v>2051</v>
      </c>
      <c r="R1046" t="s">
        <v>193</v>
      </c>
      <c r="S1046" t="s">
        <v>181</v>
      </c>
    </row>
    <row r="1047" spans="1:19" x14ac:dyDescent="0.25">
      <c r="A1047" t="s">
        <v>30</v>
      </c>
      <c r="B1047" t="s">
        <v>31</v>
      </c>
      <c r="C1047" t="s">
        <v>32</v>
      </c>
      <c r="D1047" t="s">
        <v>33</v>
      </c>
      <c r="E1047" t="s">
        <v>119</v>
      </c>
      <c r="F1047" t="s">
        <v>35</v>
      </c>
      <c r="G1047" t="s">
        <v>35</v>
      </c>
      <c r="H1047" t="s">
        <v>35</v>
      </c>
      <c r="J1047" t="s">
        <v>1618</v>
      </c>
      <c r="K1047" t="s">
        <v>1092</v>
      </c>
      <c r="M1047">
        <v>0.99</v>
      </c>
      <c r="N1047">
        <v>416</v>
      </c>
      <c r="O1047" t="s">
        <v>294</v>
      </c>
      <c r="Q1047" t="s">
        <v>1607</v>
      </c>
      <c r="R1047" t="s">
        <v>193</v>
      </c>
      <c r="S1047" t="s">
        <v>181</v>
      </c>
    </row>
    <row r="1048" spans="1:19" x14ac:dyDescent="0.25">
      <c r="A1048" t="s">
        <v>59</v>
      </c>
      <c r="B1048" t="s">
        <v>60</v>
      </c>
      <c r="C1048" t="s">
        <v>32</v>
      </c>
      <c r="D1048" t="s">
        <v>33</v>
      </c>
      <c r="E1048" t="s">
        <v>196</v>
      </c>
      <c r="F1048" t="s">
        <v>35</v>
      </c>
      <c r="G1048" t="s">
        <v>35</v>
      </c>
      <c r="H1048" t="s">
        <v>35</v>
      </c>
      <c r="J1048" t="s">
        <v>2057</v>
      </c>
      <c r="K1048" t="s">
        <v>1092</v>
      </c>
      <c r="M1048">
        <v>0.25</v>
      </c>
      <c r="N1048">
        <v>68</v>
      </c>
      <c r="O1048" t="s">
        <v>61</v>
      </c>
      <c r="Q1048" t="s">
        <v>805</v>
      </c>
      <c r="R1048" t="s">
        <v>193</v>
      </c>
      <c r="S1048" t="s">
        <v>181</v>
      </c>
    </row>
    <row r="1049" spans="1:19" x14ac:dyDescent="0.25">
      <c r="A1049" t="s">
        <v>59</v>
      </c>
      <c r="B1049" t="s">
        <v>31</v>
      </c>
      <c r="C1049" t="s">
        <v>32</v>
      </c>
      <c r="D1049" t="s">
        <v>33</v>
      </c>
      <c r="E1049" t="s">
        <v>196</v>
      </c>
      <c r="F1049" t="s">
        <v>35</v>
      </c>
      <c r="G1049" t="s">
        <v>35</v>
      </c>
      <c r="H1049" t="s">
        <v>35</v>
      </c>
      <c r="J1049" t="s">
        <v>2057</v>
      </c>
      <c r="K1049" t="s">
        <v>1092</v>
      </c>
      <c r="M1049">
        <v>4.4999999999999998E-2</v>
      </c>
      <c r="N1049">
        <v>94</v>
      </c>
      <c r="O1049" t="s">
        <v>106</v>
      </c>
      <c r="Q1049" t="s">
        <v>1164</v>
      </c>
      <c r="R1049" t="s">
        <v>193</v>
      </c>
      <c r="S1049" t="s">
        <v>181</v>
      </c>
    </row>
    <row r="1050" spans="1:19" x14ac:dyDescent="0.25">
      <c r="A1050" t="s">
        <v>59</v>
      </c>
      <c r="B1050" t="s">
        <v>60</v>
      </c>
      <c r="C1050" t="s">
        <v>32</v>
      </c>
      <c r="D1050" t="s">
        <v>33</v>
      </c>
      <c r="E1050" t="s">
        <v>64</v>
      </c>
      <c r="F1050" t="s">
        <v>35</v>
      </c>
      <c r="G1050" t="s">
        <v>35</v>
      </c>
      <c r="H1050" t="s">
        <v>35</v>
      </c>
      <c r="J1050" t="s">
        <v>1280</v>
      </c>
      <c r="K1050" t="s">
        <v>1092</v>
      </c>
      <c r="M1050">
        <v>0.42499999999999999</v>
      </c>
      <c r="N1050">
        <v>62</v>
      </c>
      <c r="O1050" t="s">
        <v>61</v>
      </c>
      <c r="Q1050" t="s">
        <v>139</v>
      </c>
      <c r="R1050" t="s">
        <v>193</v>
      </c>
      <c r="S1050" t="s">
        <v>181</v>
      </c>
    </row>
    <row r="1051" spans="1:19" x14ac:dyDescent="0.25">
      <c r="A1051" t="s">
        <v>44</v>
      </c>
      <c r="B1051" t="s">
        <v>3</v>
      </c>
      <c r="C1051" t="s">
        <v>32</v>
      </c>
      <c r="D1051" t="s">
        <v>33</v>
      </c>
      <c r="E1051" t="s">
        <v>64</v>
      </c>
      <c r="F1051" t="s">
        <v>35</v>
      </c>
      <c r="G1051" t="s">
        <v>35</v>
      </c>
      <c r="H1051" t="s">
        <v>35</v>
      </c>
      <c r="J1051" t="s">
        <v>1280</v>
      </c>
      <c r="K1051" t="s">
        <v>1092</v>
      </c>
      <c r="M1051">
        <v>0.65</v>
      </c>
      <c r="N1051">
        <v>54</v>
      </c>
      <c r="O1051" t="s">
        <v>52</v>
      </c>
      <c r="Q1051" t="s">
        <v>671</v>
      </c>
      <c r="R1051" t="s">
        <v>193</v>
      </c>
      <c r="S1051" t="s">
        <v>181</v>
      </c>
    </row>
    <row r="1052" spans="1:19" x14ac:dyDescent="0.25">
      <c r="A1052" t="s">
        <v>59</v>
      </c>
      <c r="B1052" t="s">
        <v>60</v>
      </c>
      <c r="C1052" t="s">
        <v>32</v>
      </c>
      <c r="D1052" t="s">
        <v>33</v>
      </c>
      <c r="E1052" t="s">
        <v>34</v>
      </c>
      <c r="F1052" t="s">
        <v>35</v>
      </c>
      <c r="G1052" t="s">
        <v>35</v>
      </c>
      <c r="H1052" t="s">
        <v>35</v>
      </c>
      <c r="J1052" t="s">
        <v>1191</v>
      </c>
      <c r="K1052" t="s">
        <v>1092</v>
      </c>
      <c r="M1052">
        <v>5.05</v>
      </c>
      <c r="N1052">
        <v>65</v>
      </c>
      <c r="O1052" t="s">
        <v>61</v>
      </c>
      <c r="Q1052" t="s">
        <v>63</v>
      </c>
      <c r="R1052" t="s">
        <v>193</v>
      </c>
      <c r="S1052" t="s">
        <v>181</v>
      </c>
    </row>
    <row r="1053" spans="1:19" x14ac:dyDescent="0.25">
      <c r="A1053" t="s">
        <v>30</v>
      </c>
      <c r="B1053" t="s">
        <v>31</v>
      </c>
      <c r="C1053" t="s">
        <v>32</v>
      </c>
      <c r="D1053" t="s">
        <v>33</v>
      </c>
      <c r="E1053" t="s">
        <v>34</v>
      </c>
      <c r="F1053" t="s">
        <v>35</v>
      </c>
      <c r="G1053" t="s">
        <v>35</v>
      </c>
      <c r="H1053" t="s">
        <v>35</v>
      </c>
      <c r="J1053" t="s">
        <v>1191</v>
      </c>
      <c r="K1053" t="s">
        <v>1092</v>
      </c>
      <c r="M1053">
        <v>1.44</v>
      </c>
      <c r="N1053">
        <v>37</v>
      </c>
      <c r="O1053" t="s">
        <v>52</v>
      </c>
      <c r="Q1053" t="s">
        <v>192</v>
      </c>
      <c r="R1053" t="s">
        <v>193</v>
      </c>
      <c r="S1053" t="s">
        <v>181</v>
      </c>
    </row>
    <row r="1054" spans="1:19" x14ac:dyDescent="0.25">
      <c r="A1054" t="s">
        <v>30</v>
      </c>
      <c r="B1054" t="s">
        <v>31</v>
      </c>
      <c r="C1054" t="s">
        <v>32</v>
      </c>
      <c r="D1054" t="s">
        <v>33</v>
      </c>
      <c r="E1054" t="s">
        <v>34</v>
      </c>
      <c r="F1054" t="s">
        <v>35</v>
      </c>
      <c r="G1054" t="s">
        <v>35</v>
      </c>
      <c r="H1054" t="s">
        <v>35</v>
      </c>
      <c r="J1054" t="s">
        <v>1191</v>
      </c>
      <c r="K1054" t="s">
        <v>1092</v>
      </c>
      <c r="M1054">
        <v>9.99</v>
      </c>
      <c r="N1054">
        <v>12</v>
      </c>
      <c r="O1054" t="s">
        <v>46</v>
      </c>
      <c r="Q1054" t="s">
        <v>1192</v>
      </c>
      <c r="R1054" t="s">
        <v>193</v>
      </c>
      <c r="S1054" t="s">
        <v>181</v>
      </c>
    </row>
    <row r="1055" spans="1:19" x14ac:dyDescent="0.25">
      <c r="A1055" t="s">
        <v>44</v>
      </c>
      <c r="B1055" t="s">
        <v>51</v>
      </c>
      <c r="C1055" t="s">
        <v>32</v>
      </c>
      <c r="D1055" t="s">
        <v>33</v>
      </c>
      <c r="E1055" t="s">
        <v>34</v>
      </c>
      <c r="F1055" t="s">
        <v>35</v>
      </c>
      <c r="G1055" t="s">
        <v>35</v>
      </c>
      <c r="H1055" t="s">
        <v>35</v>
      </c>
      <c r="J1055" t="s">
        <v>1191</v>
      </c>
      <c r="K1055" t="s">
        <v>1092</v>
      </c>
      <c r="M1055">
        <v>3</v>
      </c>
      <c r="N1055">
        <v>49</v>
      </c>
      <c r="O1055" t="s">
        <v>52</v>
      </c>
      <c r="Q1055" t="s">
        <v>453</v>
      </c>
      <c r="R1055" t="s">
        <v>193</v>
      </c>
      <c r="S1055" t="s">
        <v>181</v>
      </c>
    </row>
    <row r="1056" spans="1:19" x14ac:dyDescent="0.25">
      <c r="A1056" t="s">
        <v>59</v>
      </c>
      <c r="B1056" t="s">
        <v>60</v>
      </c>
      <c r="C1056" t="s">
        <v>32</v>
      </c>
      <c r="D1056" t="s">
        <v>33</v>
      </c>
      <c r="E1056" t="s">
        <v>177</v>
      </c>
      <c r="F1056" t="s">
        <v>35</v>
      </c>
      <c r="G1056" t="s">
        <v>35</v>
      </c>
      <c r="H1056" t="s">
        <v>35</v>
      </c>
      <c r="J1056" t="s">
        <v>2007</v>
      </c>
      <c r="K1056" t="s">
        <v>1092</v>
      </c>
      <c r="M1056">
        <v>0.5</v>
      </c>
      <c r="N1056">
        <v>91</v>
      </c>
      <c r="O1056" t="s">
        <v>106</v>
      </c>
      <c r="Q1056" t="s">
        <v>108</v>
      </c>
      <c r="R1056" t="s">
        <v>193</v>
      </c>
      <c r="S1056" t="s">
        <v>181</v>
      </c>
    </row>
    <row r="1057" spans="1:19" x14ac:dyDescent="0.25">
      <c r="A1057" t="s">
        <v>59</v>
      </c>
      <c r="B1057" t="s">
        <v>60</v>
      </c>
      <c r="C1057" t="s">
        <v>32</v>
      </c>
      <c r="D1057" t="s">
        <v>33</v>
      </c>
      <c r="E1057" t="s">
        <v>122</v>
      </c>
      <c r="F1057" t="s">
        <v>35</v>
      </c>
      <c r="G1057" t="s">
        <v>35</v>
      </c>
      <c r="H1057" t="s">
        <v>35</v>
      </c>
      <c r="J1057" t="s">
        <v>1662</v>
      </c>
      <c r="K1057" t="s">
        <v>1092</v>
      </c>
      <c r="M1057">
        <v>1</v>
      </c>
      <c r="N1057">
        <v>278</v>
      </c>
      <c r="O1057" t="s">
        <v>5</v>
      </c>
      <c r="Q1057" t="s">
        <v>1687</v>
      </c>
      <c r="R1057" t="s">
        <v>193</v>
      </c>
      <c r="S1057" t="s">
        <v>181</v>
      </c>
    </row>
    <row r="1058" spans="1:19" x14ac:dyDescent="0.25">
      <c r="A1058" t="s">
        <v>30</v>
      </c>
      <c r="B1058" t="s">
        <v>31</v>
      </c>
      <c r="C1058" t="s">
        <v>32</v>
      </c>
      <c r="D1058" t="s">
        <v>33</v>
      </c>
      <c r="E1058" t="s">
        <v>122</v>
      </c>
      <c r="F1058" t="s">
        <v>35</v>
      </c>
      <c r="G1058" t="s">
        <v>35</v>
      </c>
      <c r="H1058" t="s">
        <v>35</v>
      </c>
      <c r="J1058" t="s">
        <v>1662</v>
      </c>
      <c r="K1058" t="s">
        <v>1092</v>
      </c>
      <c r="M1058">
        <v>0.22500000000000001</v>
      </c>
      <c r="N1058">
        <v>244</v>
      </c>
      <c r="O1058" t="s">
        <v>5</v>
      </c>
      <c r="Q1058" t="s">
        <v>1688</v>
      </c>
      <c r="R1058" t="s">
        <v>193</v>
      </c>
      <c r="S1058" t="s">
        <v>181</v>
      </c>
    </row>
    <row r="1059" spans="1:19" x14ac:dyDescent="0.25">
      <c r="A1059" t="s">
        <v>59</v>
      </c>
      <c r="B1059" t="s">
        <v>60</v>
      </c>
      <c r="C1059" t="s">
        <v>32</v>
      </c>
      <c r="D1059" t="s">
        <v>33</v>
      </c>
      <c r="E1059" t="s">
        <v>122</v>
      </c>
      <c r="F1059" t="s">
        <v>35</v>
      </c>
      <c r="G1059" t="s">
        <v>35</v>
      </c>
      <c r="H1059" t="s">
        <v>35</v>
      </c>
      <c r="J1059" t="s">
        <v>1686</v>
      </c>
      <c r="K1059" t="s">
        <v>1092</v>
      </c>
      <c r="M1059">
        <v>0.65</v>
      </c>
      <c r="N1059">
        <v>278</v>
      </c>
      <c r="O1059" t="s">
        <v>5</v>
      </c>
      <c r="Q1059" t="s">
        <v>1687</v>
      </c>
      <c r="R1059" t="s">
        <v>193</v>
      </c>
      <c r="S1059" t="s">
        <v>181</v>
      </c>
    </row>
    <row r="1060" spans="1:19" x14ac:dyDescent="0.25">
      <c r="A1060" t="s">
        <v>30</v>
      </c>
      <c r="B1060" t="s">
        <v>31</v>
      </c>
      <c r="C1060" t="s">
        <v>32</v>
      </c>
      <c r="D1060" t="s">
        <v>33</v>
      </c>
      <c r="E1060" t="s">
        <v>122</v>
      </c>
      <c r="F1060" t="s">
        <v>35</v>
      </c>
      <c r="G1060" t="s">
        <v>35</v>
      </c>
      <c r="H1060" t="s">
        <v>35</v>
      </c>
      <c r="J1060" t="s">
        <v>1686</v>
      </c>
      <c r="K1060" t="s">
        <v>1092</v>
      </c>
      <c r="M1060">
        <v>2.7450000000000001</v>
      </c>
      <c r="N1060">
        <v>65</v>
      </c>
      <c r="O1060" t="s">
        <v>61</v>
      </c>
      <c r="Q1060" t="s">
        <v>63</v>
      </c>
      <c r="R1060" t="s">
        <v>193</v>
      </c>
      <c r="S1060" t="s">
        <v>181</v>
      </c>
    </row>
    <row r="1061" spans="1:19" x14ac:dyDescent="0.25">
      <c r="A1061" t="s">
        <v>30</v>
      </c>
      <c r="B1061" t="s">
        <v>31</v>
      </c>
      <c r="C1061" t="s">
        <v>32</v>
      </c>
      <c r="D1061" t="s">
        <v>33</v>
      </c>
      <c r="E1061" t="s">
        <v>122</v>
      </c>
      <c r="F1061" t="s">
        <v>35</v>
      </c>
      <c r="G1061" t="s">
        <v>35</v>
      </c>
      <c r="H1061" t="s">
        <v>35</v>
      </c>
      <c r="J1061" t="s">
        <v>1686</v>
      </c>
      <c r="K1061" t="s">
        <v>1092</v>
      </c>
      <c r="M1061">
        <v>4.4999999999999998E-2</v>
      </c>
      <c r="N1061">
        <v>244</v>
      </c>
      <c r="O1061" t="s">
        <v>5</v>
      </c>
      <c r="Q1061" t="s">
        <v>1688</v>
      </c>
      <c r="R1061" t="s">
        <v>193</v>
      </c>
      <c r="S1061" t="s">
        <v>181</v>
      </c>
    </row>
    <row r="1062" spans="1:19" x14ac:dyDescent="0.25">
      <c r="A1062" t="s">
        <v>59</v>
      </c>
      <c r="B1062" t="s">
        <v>60</v>
      </c>
      <c r="C1062" t="s">
        <v>32</v>
      </c>
      <c r="D1062" t="s">
        <v>33</v>
      </c>
      <c r="E1062" t="s">
        <v>87</v>
      </c>
      <c r="F1062" t="s">
        <v>35</v>
      </c>
      <c r="G1062" t="s">
        <v>35</v>
      </c>
      <c r="H1062" t="s">
        <v>35</v>
      </c>
      <c r="J1062" t="s">
        <v>1513</v>
      </c>
      <c r="K1062" t="s">
        <v>1092</v>
      </c>
      <c r="M1062">
        <v>0.65</v>
      </c>
      <c r="N1062">
        <v>91</v>
      </c>
      <c r="O1062" t="s">
        <v>106</v>
      </c>
      <c r="Q1062" t="s">
        <v>108</v>
      </c>
      <c r="R1062" t="s">
        <v>193</v>
      </c>
      <c r="S1062" t="s">
        <v>181</v>
      </c>
    </row>
    <row r="1063" spans="1:19" x14ac:dyDescent="0.25">
      <c r="A1063" t="s">
        <v>59</v>
      </c>
      <c r="B1063" t="s">
        <v>31</v>
      </c>
      <c r="C1063" t="s">
        <v>32</v>
      </c>
      <c r="D1063" t="s">
        <v>33</v>
      </c>
      <c r="E1063" t="s">
        <v>64</v>
      </c>
      <c r="F1063" t="s">
        <v>35</v>
      </c>
      <c r="G1063" t="s">
        <v>35</v>
      </c>
      <c r="H1063" t="s">
        <v>35</v>
      </c>
      <c r="J1063" t="s">
        <v>1281</v>
      </c>
      <c r="K1063" t="s">
        <v>1092</v>
      </c>
      <c r="M1063">
        <v>5.1749999999999998</v>
      </c>
      <c r="N1063">
        <v>91</v>
      </c>
      <c r="O1063" t="s">
        <v>106</v>
      </c>
      <c r="Q1063" t="s">
        <v>108</v>
      </c>
      <c r="R1063" t="s">
        <v>193</v>
      </c>
      <c r="S1063" t="s">
        <v>181</v>
      </c>
    </row>
    <row r="1064" spans="1:19" x14ac:dyDescent="0.25">
      <c r="A1064" t="s">
        <v>59</v>
      </c>
      <c r="B1064" t="s">
        <v>60</v>
      </c>
      <c r="C1064" t="s">
        <v>32</v>
      </c>
      <c r="D1064" t="s">
        <v>33</v>
      </c>
      <c r="E1064" t="s">
        <v>64</v>
      </c>
      <c r="F1064" t="s">
        <v>35</v>
      </c>
      <c r="G1064" t="s">
        <v>35</v>
      </c>
      <c r="H1064" t="s">
        <v>35</v>
      </c>
      <c r="J1064" t="s">
        <v>1281</v>
      </c>
      <c r="K1064" t="s">
        <v>1092</v>
      </c>
      <c r="M1064">
        <v>4.05</v>
      </c>
      <c r="N1064">
        <v>91</v>
      </c>
      <c r="O1064" t="s">
        <v>106</v>
      </c>
      <c r="Q1064" t="s">
        <v>108</v>
      </c>
      <c r="R1064" t="s">
        <v>193</v>
      </c>
      <c r="S1064" t="s">
        <v>181</v>
      </c>
    </row>
    <row r="1065" spans="1:19" x14ac:dyDescent="0.25">
      <c r="A1065" t="s">
        <v>59</v>
      </c>
      <c r="B1065" t="s">
        <v>60</v>
      </c>
      <c r="C1065" t="s">
        <v>32</v>
      </c>
      <c r="D1065" t="s">
        <v>33</v>
      </c>
      <c r="E1065" t="s">
        <v>34</v>
      </c>
      <c r="F1065" t="s">
        <v>35</v>
      </c>
      <c r="G1065" t="s">
        <v>35</v>
      </c>
      <c r="H1065" t="s">
        <v>35</v>
      </c>
      <c r="J1065" t="s">
        <v>1148</v>
      </c>
      <c r="K1065" t="s">
        <v>1092</v>
      </c>
      <c r="M1065">
        <v>4.5</v>
      </c>
      <c r="N1065">
        <v>65</v>
      </c>
      <c r="O1065" t="s">
        <v>61</v>
      </c>
      <c r="Q1065" t="s">
        <v>63</v>
      </c>
      <c r="R1065" t="s">
        <v>193</v>
      </c>
      <c r="S1065" t="s">
        <v>181</v>
      </c>
    </row>
    <row r="1066" spans="1:19" x14ac:dyDescent="0.25">
      <c r="A1066" t="s">
        <v>59</v>
      </c>
      <c r="B1066" t="s">
        <v>60</v>
      </c>
      <c r="C1066" t="s">
        <v>32</v>
      </c>
      <c r="D1066" t="s">
        <v>33</v>
      </c>
      <c r="F1066" t="s">
        <v>35</v>
      </c>
      <c r="G1066" t="s">
        <v>35</v>
      </c>
      <c r="H1066" t="s">
        <v>35</v>
      </c>
      <c r="J1066" t="s">
        <v>1511</v>
      </c>
      <c r="K1066" t="s">
        <v>1092</v>
      </c>
      <c r="M1066">
        <v>0.85</v>
      </c>
      <c r="N1066">
        <v>1468</v>
      </c>
      <c r="O1066" t="s">
        <v>575</v>
      </c>
      <c r="Q1066" t="s">
        <v>2227</v>
      </c>
      <c r="R1066" t="s">
        <v>193</v>
      </c>
      <c r="S1066" t="s">
        <v>181</v>
      </c>
    </row>
    <row r="1067" spans="1:19" x14ac:dyDescent="0.25">
      <c r="A1067" t="s">
        <v>59</v>
      </c>
      <c r="B1067" t="s">
        <v>60</v>
      </c>
      <c r="C1067" t="s">
        <v>32</v>
      </c>
      <c r="D1067" t="s">
        <v>33</v>
      </c>
      <c r="E1067" t="s">
        <v>172</v>
      </c>
      <c r="F1067" t="s">
        <v>35</v>
      </c>
      <c r="G1067" t="s">
        <v>35</v>
      </c>
      <c r="H1067" t="s">
        <v>35</v>
      </c>
      <c r="J1067" t="s">
        <v>1960</v>
      </c>
      <c r="K1067" t="s">
        <v>1092</v>
      </c>
      <c r="M1067">
        <v>3.5</v>
      </c>
      <c r="N1067">
        <v>65</v>
      </c>
      <c r="O1067" t="s">
        <v>61</v>
      </c>
      <c r="Q1067" t="s">
        <v>63</v>
      </c>
      <c r="R1067" t="s">
        <v>193</v>
      </c>
      <c r="S1067" t="s">
        <v>181</v>
      </c>
    </row>
    <row r="1068" spans="1:19" x14ac:dyDescent="0.25">
      <c r="A1068" t="s">
        <v>59</v>
      </c>
      <c r="B1068" t="s">
        <v>31</v>
      </c>
      <c r="C1068" t="s">
        <v>32</v>
      </c>
      <c r="D1068" t="s">
        <v>33</v>
      </c>
      <c r="E1068" t="s">
        <v>2107</v>
      </c>
      <c r="F1068" t="s">
        <v>35</v>
      </c>
      <c r="G1068" t="s">
        <v>35</v>
      </c>
      <c r="H1068" t="s">
        <v>35</v>
      </c>
      <c r="J1068" t="s">
        <v>2109</v>
      </c>
      <c r="K1068" t="s">
        <v>1092</v>
      </c>
      <c r="M1068">
        <v>3.42</v>
      </c>
      <c r="N1068">
        <v>209</v>
      </c>
      <c r="O1068" t="s">
        <v>5</v>
      </c>
      <c r="Q1068" t="s">
        <v>1492</v>
      </c>
      <c r="R1068" t="s">
        <v>193</v>
      </c>
      <c r="S1068" t="s">
        <v>181</v>
      </c>
    </row>
    <row r="1069" spans="1:19" x14ac:dyDescent="0.25">
      <c r="A1069" t="s">
        <v>59</v>
      </c>
      <c r="B1069" t="s">
        <v>31</v>
      </c>
      <c r="C1069" t="s">
        <v>32</v>
      </c>
      <c r="D1069" t="s">
        <v>33</v>
      </c>
      <c r="E1069" t="s">
        <v>2107</v>
      </c>
      <c r="F1069" t="s">
        <v>35</v>
      </c>
      <c r="G1069" t="s">
        <v>35</v>
      </c>
      <c r="H1069" t="s">
        <v>35</v>
      </c>
      <c r="J1069" t="s">
        <v>2109</v>
      </c>
      <c r="K1069" t="s">
        <v>1092</v>
      </c>
      <c r="M1069">
        <v>10.98</v>
      </c>
      <c r="N1069">
        <v>93</v>
      </c>
      <c r="O1069" t="s">
        <v>106</v>
      </c>
      <c r="Q1069" t="s">
        <v>1112</v>
      </c>
      <c r="R1069" t="s">
        <v>193</v>
      </c>
      <c r="S1069" t="s">
        <v>181</v>
      </c>
    </row>
    <row r="1070" spans="1:19" x14ac:dyDescent="0.25">
      <c r="A1070" t="s">
        <v>44</v>
      </c>
      <c r="B1070" t="s">
        <v>3</v>
      </c>
      <c r="C1070" t="s">
        <v>32</v>
      </c>
      <c r="D1070" t="s">
        <v>33</v>
      </c>
      <c r="E1070" t="s">
        <v>2107</v>
      </c>
      <c r="F1070" t="s">
        <v>35</v>
      </c>
      <c r="G1070" t="s">
        <v>35</v>
      </c>
      <c r="H1070" t="s">
        <v>35</v>
      </c>
      <c r="J1070" t="s">
        <v>2109</v>
      </c>
      <c r="K1070" t="s">
        <v>1092</v>
      </c>
      <c r="M1070">
        <v>11</v>
      </c>
      <c r="N1070">
        <v>61</v>
      </c>
      <c r="O1070" t="s">
        <v>61</v>
      </c>
      <c r="Q1070" t="s">
        <v>146</v>
      </c>
      <c r="R1070" t="s">
        <v>193</v>
      </c>
      <c r="S1070" t="s">
        <v>181</v>
      </c>
    </row>
    <row r="1071" spans="1:19" x14ac:dyDescent="0.25">
      <c r="A1071" t="s">
        <v>44</v>
      </c>
      <c r="B1071" t="s">
        <v>51</v>
      </c>
      <c r="C1071" t="s">
        <v>32</v>
      </c>
      <c r="D1071" t="s">
        <v>33</v>
      </c>
      <c r="E1071" t="s">
        <v>2107</v>
      </c>
      <c r="F1071" t="s">
        <v>35</v>
      </c>
      <c r="G1071" t="s">
        <v>35</v>
      </c>
      <c r="H1071" t="s">
        <v>35</v>
      </c>
      <c r="J1071" t="s">
        <v>2109</v>
      </c>
      <c r="K1071" t="s">
        <v>1092</v>
      </c>
      <c r="M1071">
        <v>11</v>
      </c>
      <c r="N1071">
        <v>49</v>
      </c>
      <c r="O1071" t="s">
        <v>52</v>
      </c>
      <c r="Q1071" t="s">
        <v>453</v>
      </c>
      <c r="R1071" t="s">
        <v>193</v>
      </c>
      <c r="S1071" t="s">
        <v>181</v>
      </c>
    </row>
    <row r="1072" spans="1:19" x14ac:dyDescent="0.25">
      <c r="A1072" t="s">
        <v>30</v>
      </c>
      <c r="B1072" t="s">
        <v>31</v>
      </c>
      <c r="C1072" t="s">
        <v>32</v>
      </c>
      <c r="D1072" t="s">
        <v>33</v>
      </c>
      <c r="E1072" t="s">
        <v>2107</v>
      </c>
      <c r="F1072" t="s">
        <v>35</v>
      </c>
      <c r="G1072" t="s">
        <v>35</v>
      </c>
      <c r="H1072" t="s">
        <v>35</v>
      </c>
      <c r="J1072" t="s">
        <v>2109</v>
      </c>
      <c r="K1072" t="s">
        <v>1092</v>
      </c>
      <c r="M1072">
        <v>10.98</v>
      </c>
      <c r="N1072">
        <v>68</v>
      </c>
      <c r="O1072" t="s">
        <v>61</v>
      </c>
      <c r="Q1072" t="s">
        <v>805</v>
      </c>
      <c r="R1072" t="s">
        <v>193</v>
      </c>
      <c r="S1072" t="s">
        <v>181</v>
      </c>
    </row>
    <row r="1073" spans="1:19" x14ac:dyDescent="0.25">
      <c r="A1073" t="s">
        <v>44</v>
      </c>
      <c r="B1073" t="s">
        <v>51</v>
      </c>
      <c r="C1073" t="s">
        <v>32</v>
      </c>
      <c r="D1073" t="s">
        <v>33</v>
      </c>
      <c r="E1073" t="s">
        <v>122</v>
      </c>
      <c r="F1073" t="s">
        <v>35</v>
      </c>
      <c r="G1073" t="s">
        <v>35</v>
      </c>
      <c r="H1073" t="s">
        <v>35</v>
      </c>
      <c r="J1073" t="s">
        <v>1795</v>
      </c>
      <c r="K1073" t="s">
        <v>1092</v>
      </c>
      <c r="M1073">
        <v>10.6</v>
      </c>
      <c r="N1073">
        <v>54</v>
      </c>
      <c r="O1073" t="s">
        <v>52</v>
      </c>
      <c r="Q1073" t="s">
        <v>671</v>
      </c>
      <c r="R1073" t="s">
        <v>193</v>
      </c>
      <c r="S1073" t="s">
        <v>181</v>
      </c>
    </row>
    <row r="1074" spans="1:19" x14ac:dyDescent="0.25">
      <c r="A1074" t="s">
        <v>30</v>
      </c>
      <c r="B1074" t="s">
        <v>31</v>
      </c>
      <c r="C1074" t="s">
        <v>32</v>
      </c>
      <c r="D1074" t="s">
        <v>33</v>
      </c>
      <c r="E1074" t="s">
        <v>122</v>
      </c>
      <c r="F1074" t="s">
        <v>35</v>
      </c>
      <c r="G1074" t="s">
        <v>35</v>
      </c>
      <c r="H1074" t="s">
        <v>35</v>
      </c>
      <c r="J1074" t="s">
        <v>1795</v>
      </c>
      <c r="K1074" t="s">
        <v>1092</v>
      </c>
      <c r="M1074">
        <v>9.99</v>
      </c>
      <c r="N1074">
        <v>12</v>
      </c>
      <c r="O1074" t="s">
        <v>46</v>
      </c>
      <c r="Q1074" t="s">
        <v>1192</v>
      </c>
      <c r="R1074" t="s">
        <v>193</v>
      </c>
      <c r="S1074" t="s">
        <v>181</v>
      </c>
    </row>
    <row r="1075" spans="1:19" x14ac:dyDescent="0.25">
      <c r="A1075" t="s">
        <v>30</v>
      </c>
      <c r="B1075" t="s">
        <v>31</v>
      </c>
      <c r="C1075" t="s">
        <v>32</v>
      </c>
      <c r="D1075" t="s">
        <v>33</v>
      </c>
      <c r="E1075" t="s">
        <v>122</v>
      </c>
      <c r="F1075" t="s">
        <v>35</v>
      </c>
      <c r="G1075" t="s">
        <v>35</v>
      </c>
      <c r="H1075" t="s">
        <v>35</v>
      </c>
      <c r="J1075" t="s">
        <v>1795</v>
      </c>
      <c r="K1075" t="s">
        <v>1092</v>
      </c>
      <c r="M1075">
        <v>9</v>
      </c>
      <c r="N1075">
        <v>38</v>
      </c>
      <c r="O1075" t="s">
        <v>52</v>
      </c>
      <c r="Q1075" t="s">
        <v>716</v>
      </c>
      <c r="R1075" t="s">
        <v>193</v>
      </c>
      <c r="S1075" t="s">
        <v>181</v>
      </c>
    </row>
    <row r="1076" spans="1:19" x14ac:dyDescent="0.25">
      <c r="A1076" t="s">
        <v>59</v>
      </c>
      <c r="B1076" t="s">
        <v>60</v>
      </c>
      <c r="C1076" t="s">
        <v>32</v>
      </c>
      <c r="D1076" t="s">
        <v>33</v>
      </c>
      <c r="E1076" t="s">
        <v>122</v>
      </c>
      <c r="F1076" t="s">
        <v>35</v>
      </c>
      <c r="G1076" t="s">
        <v>35</v>
      </c>
      <c r="H1076" t="s">
        <v>35</v>
      </c>
      <c r="J1076" t="s">
        <v>1691</v>
      </c>
      <c r="K1076" t="s">
        <v>1092</v>
      </c>
      <c r="M1076">
        <v>0.5</v>
      </c>
      <c r="N1076">
        <v>168</v>
      </c>
      <c r="O1076" t="s">
        <v>38</v>
      </c>
      <c r="Q1076" t="s">
        <v>1692</v>
      </c>
      <c r="R1076" t="s">
        <v>193</v>
      </c>
      <c r="S1076" t="s">
        <v>181</v>
      </c>
    </row>
    <row r="1077" spans="1:19" x14ac:dyDescent="0.25">
      <c r="A1077" t="s">
        <v>30</v>
      </c>
      <c r="B1077" t="s">
        <v>31</v>
      </c>
      <c r="C1077" t="s">
        <v>32</v>
      </c>
      <c r="D1077" t="s">
        <v>33</v>
      </c>
      <c r="E1077" t="s">
        <v>114</v>
      </c>
      <c r="F1077" t="s">
        <v>35</v>
      </c>
      <c r="G1077" t="s">
        <v>35</v>
      </c>
      <c r="H1077" t="s">
        <v>35</v>
      </c>
      <c r="J1077" t="s">
        <v>1606</v>
      </c>
      <c r="K1077" t="s">
        <v>1092</v>
      </c>
      <c r="M1077">
        <v>0.40500000000000003</v>
      </c>
      <c r="N1077">
        <v>416</v>
      </c>
      <c r="O1077" t="s">
        <v>294</v>
      </c>
      <c r="Q1077" t="s">
        <v>1607</v>
      </c>
      <c r="R1077" t="s">
        <v>193</v>
      </c>
      <c r="S1077" t="s">
        <v>181</v>
      </c>
    </row>
    <row r="1078" spans="1:19" x14ac:dyDescent="0.25">
      <c r="A1078" t="s">
        <v>30</v>
      </c>
      <c r="B1078" t="s">
        <v>31</v>
      </c>
      <c r="C1078" t="s">
        <v>32</v>
      </c>
      <c r="D1078" t="s">
        <v>33</v>
      </c>
      <c r="E1078" t="s">
        <v>34</v>
      </c>
      <c r="F1078" t="s">
        <v>35</v>
      </c>
      <c r="G1078" t="s">
        <v>35</v>
      </c>
      <c r="H1078" t="s">
        <v>35</v>
      </c>
      <c r="J1078" t="s">
        <v>1198</v>
      </c>
      <c r="K1078" t="s">
        <v>1092</v>
      </c>
      <c r="M1078">
        <v>0.05</v>
      </c>
      <c r="N1078">
        <v>241</v>
      </c>
      <c r="O1078" t="s">
        <v>5</v>
      </c>
      <c r="Q1078" t="s">
        <v>1154</v>
      </c>
      <c r="R1078" t="s">
        <v>193</v>
      </c>
      <c r="S1078" t="s">
        <v>181</v>
      </c>
    </row>
    <row r="1079" spans="1:19" x14ac:dyDescent="0.25">
      <c r="A1079" t="s">
        <v>30</v>
      </c>
      <c r="B1079" t="s">
        <v>31</v>
      </c>
      <c r="C1079" t="s">
        <v>32</v>
      </c>
      <c r="D1079" t="s">
        <v>33</v>
      </c>
      <c r="E1079" t="s">
        <v>87</v>
      </c>
      <c r="F1079" t="s">
        <v>35</v>
      </c>
      <c r="G1079" t="s">
        <v>35</v>
      </c>
      <c r="H1079" t="s">
        <v>35</v>
      </c>
      <c r="J1079" t="s">
        <v>1501</v>
      </c>
      <c r="K1079" t="s">
        <v>1092</v>
      </c>
      <c r="M1079">
        <v>2.3E-2</v>
      </c>
      <c r="N1079">
        <v>246</v>
      </c>
      <c r="O1079" t="s">
        <v>5</v>
      </c>
      <c r="Q1079" t="s">
        <v>1502</v>
      </c>
      <c r="R1079" t="s">
        <v>193</v>
      </c>
      <c r="S1079" t="s">
        <v>181</v>
      </c>
    </row>
    <row r="1080" spans="1:19" x14ac:dyDescent="0.25">
      <c r="A1080" t="s">
        <v>59</v>
      </c>
      <c r="B1080" t="s">
        <v>60</v>
      </c>
      <c r="C1080" t="s">
        <v>32</v>
      </c>
      <c r="D1080" t="s">
        <v>33</v>
      </c>
      <c r="E1080" t="s">
        <v>87</v>
      </c>
      <c r="F1080" t="s">
        <v>35</v>
      </c>
      <c r="G1080" t="s">
        <v>35</v>
      </c>
      <c r="H1080" t="s">
        <v>35</v>
      </c>
      <c r="J1080" t="s">
        <v>1501</v>
      </c>
      <c r="K1080" t="s">
        <v>1092</v>
      </c>
      <c r="M1080">
        <v>1.4999999999999999E-2</v>
      </c>
      <c r="N1080">
        <v>492</v>
      </c>
      <c r="O1080" t="s">
        <v>294</v>
      </c>
      <c r="Q1080" t="s">
        <v>1503</v>
      </c>
      <c r="R1080" t="s">
        <v>193</v>
      </c>
      <c r="S1080" t="s">
        <v>181</v>
      </c>
    </row>
    <row r="1081" spans="1:19" x14ac:dyDescent="0.25">
      <c r="A1081" t="s">
        <v>59</v>
      </c>
      <c r="B1081" t="s">
        <v>60</v>
      </c>
      <c r="C1081" t="s">
        <v>32</v>
      </c>
      <c r="D1081" t="s">
        <v>33</v>
      </c>
      <c r="E1081" t="s">
        <v>87</v>
      </c>
      <c r="F1081" t="s">
        <v>35</v>
      </c>
      <c r="G1081" t="s">
        <v>35</v>
      </c>
      <c r="H1081" t="s">
        <v>35</v>
      </c>
      <c r="J1081" t="s">
        <v>1501</v>
      </c>
      <c r="K1081" t="s">
        <v>1092</v>
      </c>
      <c r="M1081">
        <v>0.05</v>
      </c>
      <c r="N1081">
        <v>211</v>
      </c>
      <c r="O1081" t="s">
        <v>5</v>
      </c>
      <c r="Q1081" t="s">
        <v>1504</v>
      </c>
      <c r="R1081" t="s">
        <v>193</v>
      </c>
      <c r="S1081" t="s">
        <v>181</v>
      </c>
    </row>
    <row r="1082" spans="1:19" x14ac:dyDescent="0.25">
      <c r="A1082" t="s">
        <v>44</v>
      </c>
      <c r="B1082" t="s">
        <v>3</v>
      </c>
      <c r="C1082" t="s">
        <v>32</v>
      </c>
      <c r="D1082" t="s">
        <v>33</v>
      </c>
      <c r="E1082" t="s">
        <v>177</v>
      </c>
      <c r="F1082" t="s">
        <v>35</v>
      </c>
      <c r="G1082" t="s">
        <v>35</v>
      </c>
      <c r="H1082" t="s">
        <v>35</v>
      </c>
      <c r="J1082" t="s">
        <v>189</v>
      </c>
      <c r="K1082" t="s">
        <v>37</v>
      </c>
      <c r="M1082">
        <v>4.2</v>
      </c>
      <c r="N1082">
        <v>37</v>
      </c>
      <c r="O1082" t="s">
        <v>52</v>
      </c>
      <c r="P1082" t="s">
        <v>191</v>
      </c>
      <c r="Q1082" t="s">
        <v>192</v>
      </c>
      <c r="R1082" t="s">
        <v>193</v>
      </c>
      <c r="S1082" t="s">
        <v>181</v>
      </c>
    </row>
    <row r="1083" spans="1:19" x14ac:dyDescent="0.25">
      <c r="A1083" t="s">
        <v>30</v>
      </c>
      <c r="B1083" t="s">
        <v>31</v>
      </c>
      <c r="C1083" t="s">
        <v>32</v>
      </c>
      <c r="D1083" t="s">
        <v>33</v>
      </c>
      <c r="E1083" t="s">
        <v>122</v>
      </c>
      <c r="F1083" t="s">
        <v>35</v>
      </c>
      <c r="G1083" t="s">
        <v>35</v>
      </c>
      <c r="H1083" t="s">
        <v>35</v>
      </c>
      <c r="J1083" t="s">
        <v>1785</v>
      </c>
      <c r="K1083" t="s">
        <v>1092</v>
      </c>
      <c r="M1083">
        <v>1.665</v>
      </c>
      <c r="N1083">
        <v>42</v>
      </c>
      <c r="O1083" t="s">
        <v>52</v>
      </c>
      <c r="Q1083" t="s">
        <v>219</v>
      </c>
      <c r="R1083" t="s">
        <v>193</v>
      </c>
      <c r="S1083" t="s">
        <v>181</v>
      </c>
    </row>
    <row r="1084" spans="1:19" x14ac:dyDescent="0.25">
      <c r="A1084" t="s">
        <v>59</v>
      </c>
      <c r="B1084" t="s">
        <v>60</v>
      </c>
      <c r="C1084" t="s">
        <v>32</v>
      </c>
      <c r="D1084" t="s">
        <v>33</v>
      </c>
      <c r="E1084" t="s">
        <v>122</v>
      </c>
      <c r="F1084" t="s">
        <v>35</v>
      </c>
      <c r="G1084" t="s">
        <v>35</v>
      </c>
      <c r="H1084" t="s">
        <v>35</v>
      </c>
      <c r="J1084" t="s">
        <v>1785</v>
      </c>
      <c r="K1084" t="s">
        <v>1092</v>
      </c>
      <c r="M1084">
        <v>1.75</v>
      </c>
      <c r="N1084">
        <v>150</v>
      </c>
      <c r="O1084" t="s">
        <v>38</v>
      </c>
      <c r="Q1084" t="s">
        <v>1145</v>
      </c>
      <c r="R1084" t="s">
        <v>193</v>
      </c>
      <c r="S1084" t="s">
        <v>181</v>
      </c>
    </row>
    <row r="1085" spans="1:19" x14ac:dyDescent="0.25">
      <c r="A1085" t="s">
        <v>30</v>
      </c>
      <c r="B1085" t="s">
        <v>31</v>
      </c>
      <c r="C1085" t="s">
        <v>32</v>
      </c>
      <c r="D1085" t="s">
        <v>33</v>
      </c>
      <c r="E1085" t="s">
        <v>162</v>
      </c>
      <c r="F1085" t="s">
        <v>35</v>
      </c>
      <c r="G1085" t="s">
        <v>35</v>
      </c>
      <c r="H1085" t="s">
        <v>35</v>
      </c>
      <c r="J1085" t="s">
        <v>1866</v>
      </c>
      <c r="K1085" t="s">
        <v>1092</v>
      </c>
      <c r="M1085">
        <v>0.4</v>
      </c>
      <c r="N1085">
        <v>241</v>
      </c>
      <c r="O1085" t="s">
        <v>5</v>
      </c>
      <c r="Q1085" t="s">
        <v>1154</v>
      </c>
      <c r="R1085" t="s">
        <v>193</v>
      </c>
      <c r="S1085" t="s">
        <v>181</v>
      </c>
    </row>
    <row r="1086" spans="1:19" x14ac:dyDescent="0.25">
      <c r="A1086" t="s">
        <v>59</v>
      </c>
      <c r="B1086" t="s">
        <v>60</v>
      </c>
      <c r="C1086" t="s">
        <v>32</v>
      </c>
      <c r="D1086" t="s">
        <v>33</v>
      </c>
      <c r="E1086" t="s">
        <v>122</v>
      </c>
      <c r="F1086" t="s">
        <v>35</v>
      </c>
      <c r="G1086" t="s">
        <v>35</v>
      </c>
      <c r="H1086" t="s">
        <v>35</v>
      </c>
      <c r="J1086" t="s">
        <v>1706</v>
      </c>
      <c r="K1086" t="s">
        <v>1092</v>
      </c>
      <c r="M1086">
        <v>1.25</v>
      </c>
      <c r="N1086">
        <v>392</v>
      </c>
      <c r="O1086" t="s">
        <v>294</v>
      </c>
      <c r="Q1086" t="s">
        <v>1707</v>
      </c>
      <c r="R1086" t="s">
        <v>193</v>
      </c>
      <c r="S1086" t="s">
        <v>181</v>
      </c>
    </row>
    <row r="1087" spans="1:19" x14ac:dyDescent="0.25">
      <c r="A1087" t="s">
        <v>30</v>
      </c>
      <c r="B1087" t="s">
        <v>31</v>
      </c>
      <c r="C1087" t="s">
        <v>32</v>
      </c>
      <c r="D1087" t="s">
        <v>33</v>
      </c>
      <c r="E1087" t="s">
        <v>122</v>
      </c>
      <c r="F1087" t="s">
        <v>35</v>
      </c>
      <c r="G1087" t="s">
        <v>35</v>
      </c>
      <c r="H1087" t="s">
        <v>35</v>
      </c>
      <c r="J1087" t="s">
        <v>1706</v>
      </c>
      <c r="K1087" t="s">
        <v>1092</v>
      </c>
      <c r="M1087">
        <v>9.99</v>
      </c>
      <c r="N1087">
        <v>12</v>
      </c>
      <c r="O1087" t="s">
        <v>46</v>
      </c>
      <c r="Q1087" t="s">
        <v>1192</v>
      </c>
      <c r="R1087" t="s">
        <v>193</v>
      </c>
      <c r="S1087" t="s">
        <v>181</v>
      </c>
    </row>
    <row r="1088" spans="1:19" x14ac:dyDescent="0.25">
      <c r="A1088" t="s">
        <v>59</v>
      </c>
      <c r="B1088" t="s">
        <v>31</v>
      </c>
      <c r="C1088" t="s">
        <v>32</v>
      </c>
      <c r="D1088" t="s">
        <v>33</v>
      </c>
      <c r="E1088" t="s">
        <v>122</v>
      </c>
      <c r="F1088" t="s">
        <v>35</v>
      </c>
      <c r="G1088" t="s">
        <v>35</v>
      </c>
      <c r="H1088" t="s">
        <v>35</v>
      </c>
      <c r="J1088" t="s">
        <v>1706</v>
      </c>
      <c r="K1088" t="s">
        <v>1092</v>
      </c>
      <c r="M1088">
        <v>4.05</v>
      </c>
      <c r="N1088">
        <v>65</v>
      </c>
      <c r="O1088" t="s">
        <v>61</v>
      </c>
      <c r="Q1088" t="s">
        <v>63</v>
      </c>
      <c r="R1088" t="s">
        <v>193</v>
      </c>
      <c r="S1088" t="s">
        <v>181</v>
      </c>
    </row>
    <row r="1089" spans="1:19" x14ac:dyDescent="0.25">
      <c r="A1089" t="s">
        <v>59</v>
      </c>
      <c r="B1089" t="s">
        <v>31</v>
      </c>
      <c r="C1089" t="s">
        <v>32</v>
      </c>
      <c r="D1089" t="s">
        <v>33</v>
      </c>
      <c r="E1089" t="s">
        <v>172</v>
      </c>
      <c r="F1089" t="s">
        <v>35</v>
      </c>
      <c r="G1089" t="s">
        <v>35</v>
      </c>
      <c r="H1089" t="s">
        <v>35</v>
      </c>
      <c r="J1089" t="s">
        <v>1953</v>
      </c>
      <c r="K1089" t="s">
        <v>1092</v>
      </c>
      <c r="M1089">
        <v>5.49</v>
      </c>
      <c r="N1089">
        <v>65</v>
      </c>
      <c r="O1089" t="s">
        <v>61</v>
      </c>
      <c r="Q1089" t="s">
        <v>63</v>
      </c>
      <c r="R1089" t="s">
        <v>193</v>
      </c>
      <c r="S1089" t="s">
        <v>181</v>
      </c>
    </row>
    <row r="1090" spans="1:19" x14ac:dyDescent="0.25">
      <c r="A1090" t="s">
        <v>59</v>
      </c>
      <c r="B1090" t="s">
        <v>60</v>
      </c>
      <c r="C1090" t="s">
        <v>32</v>
      </c>
      <c r="D1090" t="s">
        <v>33</v>
      </c>
      <c r="E1090" t="s">
        <v>172</v>
      </c>
      <c r="F1090" t="s">
        <v>35</v>
      </c>
      <c r="G1090" t="s">
        <v>35</v>
      </c>
      <c r="H1090" t="s">
        <v>35</v>
      </c>
      <c r="J1090" t="s">
        <v>1953</v>
      </c>
      <c r="K1090" t="s">
        <v>1092</v>
      </c>
      <c r="M1090">
        <v>5</v>
      </c>
      <c r="N1090">
        <v>84</v>
      </c>
      <c r="O1090" t="s">
        <v>61</v>
      </c>
      <c r="Q1090" t="s">
        <v>1147</v>
      </c>
      <c r="R1090" t="s">
        <v>193</v>
      </c>
      <c r="S1090" t="s">
        <v>181</v>
      </c>
    </row>
    <row r="1091" spans="1:19" x14ac:dyDescent="0.25">
      <c r="A1091" t="s">
        <v>44</v>
      </c>
      <c r="B1091" t="s">
        <v>51</v>
      </c>
      <c r="C1091" t="s">
        <v>32</v>
      </c>
      <c r="D1091" t="s">
        <v>33</v>
      </c>
      <c r="E1091" t="s">
        <v>172</v>
      </c>
      <c r="F1091" t="s">
        <v>35</v>
      </c>
      <c r="G1091" t="s">
        <v>35</v>
      </c>
      <c r="H1091" t="s">
        <v>35</v>
      </c>
      <c r="J1091" t="s">
        <v>1953</v>
      </c>
      <c r="K1091" t="s">
        <v>1092</v>
      </c>
      <c r="M1091">
        <v>0.25</v>
      </c>
      <c r="N1091">
        <v>44</v>
      </c>
      <c r="O1091" t="s">
        <v>52</v>
      </c>
      <c r="Q1091" t="s">
        <v>54</v>
      </c>
      <c r="R1091" t="s">
        <v>193</v>
      </c>
      <c r="S1091" t="s">
        <v>181</v>
      </c>
    </row>
    <row r="1092" spans="1:19" x14ac:dyDescent="0.25">
      <c r="A1092" t="s">
        <v>59</v>
      </c>
      <c r="B1092" t="s">
        <v>31</v>
      </c>
      <c r="C1092" t="s">
        <v>32</v>
      </c>
      <c r="D1092" t="s">
        <v>33</v>
      </c>
      <c r="E1092" t="s">
        <v>172</v>
      </c>
      <c r="F1092" t="s">
        <v>35</v>
      </c>
      <c r="G1092" t="s">
        <v>35</v>
      </c>
      <c r="H1092" t="s">
        <v>35</v>
      </c>
      <c r="J1092" t="s">
        <v>1953</v>
      </c>
      <c r="K1092" t="s">
        <v>1092</v>
      </c>
      <c r="M1092">
        <v>0.27</v>
      </c>
      <c r="N1092">
        <v>118</v>
      </c>
      <c r="O1092" t="s">
        <v>106</v>
      </c>
      <c r="Q1092" t="s">
        <v>1954</v>
      </c>
      <c r="R1092" t="s">
        <v>193</v>
      </c>
      <c r="S1092" t="s">
        <v>181</v>
      </c>
    </row>
    <row r="1093" spans="1:19" x14ac:dyDescent="0.25">
      <c r="A1093" t="s">
        <v>44</v>
      </c>
      <c r="B1093" t="s">
        <v>51</v>
      </c>
      <c r="C1093" t="s">
        <v>32</v>
      </c>
      <c r="D1093" t="s">
        <v>33</v>
      </c>
      <c r="E1093" t="s">
        <v>172</v>
      </c>
      <c r="F1093" t="s">
        <v>35</v>
      </c>
      <c r="G1093" t="s">
        <v>35</v>
      </c>
      <c r="H1093" t="s">
        <v>35</v>
      </c>
      <c r="J1093" t="s">
        <v>1953</v>
      </c>
      <c r="K1093" t="s">
        <v>1092</v>
      </c>
      <c r="M1093">
        <v>0.2</v>
      </c>
      <c r="N1093">
        <v>160</v>
      </c>
      <c r="O1093" t="s">
        <v>38</v>
      </c>
      <c r="Q1093" t="s">
        <v>1120</v>
      </c>
      <c r="R1093" t="s">
        <v>193</v>
      </c>
      <c r="S1093" t="s">
        <v>181</v>
      </c>
    </row>
    <row r="1094" spans="1:19" x14ac:dyDescent="0.25">
      <c r="A1094" t="s">
        <v>59</v>
      </c>
      <c r="B1094" t="s">
        <v>60</v>
      </c>
      <c r="C1094" t="s">
        <v>32</v>
      </c>
      <c r="D1094" t="s">
        <v>33</v>
      </c>
      <c r="E1094" t="s">
        <v>172</v>
      </c>
      <c r="F1094" t="s">
        <v>35</v>
      </c>
      <c r="G1094" t="s">
        <v>35</v>
      </c>
      <c r="H1094" t="s">
        <v>35</v>
      </c>
      <c r="J1094" t="s">
        <v>1953</v>
      </c>
      <c r="K1094" t="s">
        <v>1092</v>
      </c>
      <c r="M1094">
        <v>7.4999999999999997E-2</v>
      </c>
      <c r="N1094">
        <v>118</v>
      </c>
      <c r="O1094" t="s">
        <v>106</v>
      </c>
      <c r="Q1094" t="s">
        <v>1954</v>
      </c>
      <c r="R1094" t="s">
        <v>193</v>
      </c>
      <c r="S1094" t="s">
        <v>181</v>
      </c>
    </row>
    <row r="1095" spans="1:19" x14ac:dyDescent="0.25">
      <c r="A1095" t="s">
        <v>44</v>
      </c>
      <c r="B1095" t="s">
        <v>3</v>
      </c>
      <c r="C1095" t="s">
        <v>32</v>
      </c>
      <c r="D1095" t="s">
        <v>33</v>
      </c>
      <c r="E1095" t="s">
        <v>172</v>
      </c>
      <c r="F1095" t="s">
        <v>35</v>
      </c>
      <c r="G1095" t="s">
        <v>35</v>
      </c>
      <c r="H1095" t="s">
        <v>35</v>
      </c>
      <c r="J1095" t="s">
        <v>1953</v>
      </c>
      <c r="K1095" t="s">
        <v>1092</v>
      </c>
      <c r="M1095">
        <v>0.9</v>
      </c>
      <c r="N1095">
        <v>44</v>
      </c>
      <c r="O1095" t="s">
        <v>52</v>
      </c>
      <c r="Q1095" t="s">
        <v>54</v>
      </c>
      <c r="R1095" t="s">
        <v>193</v>
      </c>
      <c r="S1095" t="s">
        <v>181</v>
      </c>
    </row>
    <row r="1096" spans="1:19" x14ac:dyDescent="0.25">
      <c r="A1096" t="s">
        <v>59</v>
      </c>
      <c r="B1096" t="s">
        <v>60</v>
      </c>
      <c r="C1096" t="s">
        <v>32</v>
      </c>
      <c r="D1096" t="s">
        <v>33</v>
      </c>
      <c r="E1096" t="s">
        <v>1572</v>
      </c>
      <c r="F1096" t="s">
        <v>35</v>
      </c>
      <c r="G1096" t="s">
        <v>35</v>
      </c>
      <c r="H1096" t="s">
        <v>35</v>
      </c>
      <c r="J1096" t="s">
        <v>1576</v>
      </c>
      <c r="K1096" t="s">
        <v>1092</v>
      </c>
      <c r="M1096">
        <v>3.05</v>
      </c>
      <c r="N1096">
        <v>65</v>
      </c>
      <c r="O1096" t="s">
        <v>61</v>
      </c>
      <c r="Q1096" t="s">
        <v>63</v>
      </c>
      <c r="R1096" t="s">
        <v>193</v>
      </c>
      <c r="S1096" t="s">
        <v>181</v>
      </c>
    </row>
    <row r="1097" spans="1:19" x14ac:dyDescent="0.25">
      <c r="A1097" t="s">
        <v>30</v>
      </c>
      <c r="B1097" t="s">
        <v>31</v>
      </c>
      <c r="C1097" t="s">
        <v>32</v>
      </c>
      <c r="D1097" t="s">
        <v>33</v>
      </c>
      <c r="E1097" t="s">
        <v>1572</v>
      </c>
      <c r="F1097" t="s">
        <v>35</v>
      </c>
      <c r="G1097" t="s">
        <v>35</v>
      </c>
      <c r="H1097" t="s">
        <v>35</v>
      </c>
      <c r="J1097" t="s">
        <v>1576</v>
      </c>
      <c r="K1097" t="s">
        <v>1092</v>
      </c>
      <c r="M1097">
        <v>0.63</v>
      </c>
      <c r="N1097">
        <v>65</v>
      </c>
      <c r="O1097" t="s">
        <v>61</v>
      </c>
      <c r="Q1097" t="s">
        <v>63</v>
      </c>
      <c r="R1097" t="s">
        <v>193</v>
      </c>
      <c r="S1097" t="s">
        <v>181</v>
      </c>
    </row>
    <row r="1098" spans="1:19" x14ac:dyDescent="0.25">
      <c r="A1098" t="s">
        <v>44</v>
      </c>
      <c r="B1098" t="s">
        <v>3</v>
      </c>
      <c r="C1098" t="s">
        <v>32</v>
      </c>
      <c r="D1098" t="s">
        <v>33</v>
      </c>
      <c r="E1098" t="s">
        <v>1572</v>
      </c>
      <c r="F1098" t="s">
        <v>35</v>
      </c>
      <c r="G1098" t="s">
        <v>35</v>
      </c>
      <c r="H1098" t="s">
        <v>35</v>
      </c>
      <c r="J1098" t="s">
        <v>1576</v>
      </c>
      <c r="K1098" t="s">
        <v>1092</v>
      </c>
      <c r="M1098">
        <v>0.25</v>
      </c>
      <c r="N1098">
        <v>37</v>
      </c>
      <c r="O1098" t="s">
        <v>52</v>
      </c>
      <c r="Q1098" t="s">
        <v>192</v>
      </c>
      <c r="R1098" t="s">
        <v>193</v>
      </c>
      <c r="S1098" t="s">
        <v>181</v>
      </c>
    </row>
    <row r="1099" spans="1:19" x14ac:dyDescent="0.25">
      <c r="A1099" t="s">
        <v>59</v>
      </c>
      <c r="B1099" t="s">
        <v>60</v>
      </c>
      <c r="C1099" t="s">
        <v>32</v>
      </c>
      <c r="D1099" t="s">
        <v>33</v>
      </c>
      <c r="E1099" t="s">
        <v>122</v>
      </c>
      <c r="F1099" t="s">
        <v>35</v>
      </c>
      <c r="G1099" t="s">
        <v>35</v>
      </c>
      <c r="H1099" t="s">
        <v>35</v>
      </c>
      <c r="J1099" t="s">
        <v>1710</v>
      </c>
      <c r="K1099" t="s">
        <v>1092</v>
      </c>
      <c r="M1099">
        <v>1.5</v>
      </c>
      <c r="N1099">
        <v>238</v>
      </c>
      <c r="O1099" t="s">
        <v>5</v>
      </c>
      <c r="Q1099" t="s">
        <v>111</v>
      </c>
      <c r="R1099" t="s">
        <v>193</v>
      </c>
      <c r="S1099" t="s">
        <v>181</v>
      </c>
    </row>
    <row r="1100" spans="1:19" x14ac:dyDescent="0.25">
      <c r="A1100" t="s">
        <v>59</v>
      </c>
      <c r="B1100" t="s">
        <v>60</v>
      </c>
      <c r="C1100" t="s">
        <v>32</v>
      </c>
      <c r="D1100" t="s">
        <v>33</v>
      </c>
      <c r="E1100" t="s">
        <v>122</v>
      </c>
      <c r="F1100" t="s">
        <v>35</v>
      </c>
      <c r="G1100" t="s">
        <v>35</v>
      </c>
      <c r="H1100" t="s">
        <v>35</v>
      </c>
      <c r="J1100" t="s">
        <v>1710</v>
      </c>
      <c r="K1100" t="s">
        <v>1092</v>
      </c>
      <c r="M1100">
        <v>1.75</v>
      </c>
      <c r="N1100">
        <v>168</v>
      </c>
      <c r="O1100" t="s">
        <v>38</v>
      </c>
      <c r="Q1100" t="s">
        <v>1692</v>
      </c>
      <c r="R1100" t="s">
        <v>193</v>
      </c>
      <c r="S1100" t="s">
        <v>181</v>
      </c>
    </row>
    <row r="1101" spans="1:19" x14ac:dyDescent="0.25">
      <c r="A1101" t="s">
        <v>59</v>
      </c>
      <c r="B1101" t="s">
        <v>31</v>
      </c>
      <c r="C1101" t="s">
        <v>32</v>
      </c>
      <c r="D1101" t="s">
        <v>33</v>
      </c>
      <c r="E1101" t="s">
        <v>122</v>
      </c>
      <c r="F1101" t="s">
        <v>35</v>
      </c>
      <c r="G1101" t="s">
        <v>35</v>
      </c>
      <c r="H1101" t="s">
        <v>35</v>
      </c>
      <c r="J1101" t="s">
        <v>1710</v>
      </c>
      <c r="K1101" t="s">
        <v>1092</v>
      </c>
      <c r="M1101">
        <v>0.09</v>
      </c>
      <c r="N1101">
        <v>423</v>
      </c>
      <c r="O1101" t="s">
        <v>294</v>
      </c>
      <c r="Q1101" t="s">
        <v>1712</v>
      </c>
      <c r="R1101" t="s">
        <v>193</v>
      </c>
      <c r="S1101" t="s">
        <v>181</v>
      </c>
    </row>
    <row r="1102" spans="1:19" x14ac:dyDescent="0.25">
      <c r="A1102" t="s">
        <v>59</v>
      </c>
      <c r="B1102" t="s">
        <v>60</v>
      </c>
      <c r="C1102" t="s">
        <v>32</v>
      </c>
      <c r="D1102" t="s">
        <v>33</v>
      </c>
      <c r="E1102" t="s">
        <v>122</v>
      </c>
      <c r="F1102" t="s">
        <v>35</v>
      </c>
      <c r="G1102" t="s">
        <v>35</v>
      </c>
      <c r="H1102" t="s">
        <v>35</v>
      </c>
      <c r="J1102" t="s">
        <v>1710</v>
      </c>
      <c r="K1102" t="s">
        <v>1092</v>
      </c>
      <c r="M1102">
        <v>0.1</v>
      </c>
      <c r="N1102">
        <v>388</v>
      </c>
      <c r="O1102" t="s">
        <v>294</v>
      </c>
      <c r="Q1102" t="s">
        <v>1713</v>
      </c>
      <c r="R1102" t="s">
        <v>193</v>
      </c>
      <c r="S1102" t="s">
        <v>181</v>
      </c>
    </row>
    <row r="1103" spans="1:19" x14ac:dyDescent="0.25">
      <c r="A1103" t="s">
        <v>59</v>
      </c>
      <c r="B1103" t="s">
        <v>60</v>
      </c>
      <c r="C1103" t="s">
        <v>32</v>
      </c>
      <c r="D1103" t="s">
        <v>33</v>
      </c>
      <c r="E1103" t="s">
        <v>204</v>
      </c>
      <c r="F1103" t="s">
        <v>35</v>
      </c>
      <c r="G1103" t="s">
        <v>35</v>
      </c>
      <c r="H1103" t="s">
        <v>35</v>
      </c>
      <c r="J1103" t="s">
        <v>2150</v>
      </c>
      <c r="K1103" t="s">
        <v>1092</v>
      </c>
      <c r="M1103">
        <v>0.15</v>
      </c>
      <c r="N1103">
        <v>160</v>
      </c>
      <c r="O1103" t="s">
        <v>38</v>
      </c>
      <c r="Q1103" t="s">
        <v>1120</v>
      </c>
      <c r="R1103" t="s">
        <v>193</v>
      </c>
      <c r="S1103" t="s">
        <v>181</v>
      </c>
    </row>
    <row r="1104" spans="1:19" x14ac:dyDescent="0.25">
      <c r="A1104" t="s">
        <v>44</v>
      </c>
      <c r="B1104" t="s">
        <v>3</v>
      </c>
      <c r="C1104" t="s">
        <v>32</v>
      </c>
      <c r="D1104" t="s">
        <v>33</v>
      </c>
      <c r="E1104" t="s">
        <v>204</v>
      </c>
      <c r="F1104" t="s">
        <v>35</v>
      </c>
      <c r="G1104" t="s">
        <v>35</v>
      </c>
      <c r="H1104" t="s">
        <v>35</v>
      </c>
      <c r="J1104" t="s">
        <v>2150</v>
      </c>
      <c r="K1104" t="s">
        <v>1092</v>
      </c>
      <c r="M1104">
        <v>4.9000000000000004</v>
      </c>
      <c r="N1104">
        <v>61</v>
      </c>
      <c r="O1104" t="s">
        <v>61</v>
      </c>
      <c r="Q1104" t="s">
        <v>146</v>
      </c>
      <c r="R1104" t="s">
        <v>193</v>
      </c>
      <c r="S1104" t="s">
        <v>181</v>
      </c>
    </row>
    <row r="1105" spans="1:19" x14ac:dyDescent="0.25">
      <c r="A1105" t="s">
        <v>59</v>
      </c>
      <c r="B1105" t="s">
        <v>60</v>
      </c>
      <c r="C1105" t="s">
        <v>32</v>
      </c>
      <c r="D1105" t="s">
        <v>33</v>
      </c>
      <c r="F1105" t="s">
        <v>35</v>
      </c>
      <c r="G1105" t="s">
        <v>35</v>
      </c>
      <c r="H1105" t="s">
        <v>35</v>
      </c>
      <c r="J1105" t="s">
        <v>2225</v>
      </c>
      <c r="K1105" t="s">
        <v>1092</v>
      </c>
      <c r="M1105">
        <v>1.1950000000000001</v>
      </c>
      <c r="N1105">
        <v>65</v>
      </c>
      <c r="O1105" t="s">
        <v>61</v>
      </c>
      <c r="Q1105" t="s">
        <v>63</v>
      </c>
      <c r="R1105" t="s">
        <v>193</v>
      </c>
      <c r="S1105" t="s">
        <v>181</v>
      </c>
    </row>
    <row r="1106" spans="1:19" x14ac:dyDescent="0.25">
      <c r="A1106" t="s">
        <v>30</v>
      </c>
      <c r="B1106" t="s">
        <v>31</v>
      </c>
      <c r="C1106" t="s">
        <v>32</v>
      </c>
      <c r="D1106" t="s">
        <v>33</v>
      </c>
      <c r="F1106" t="s">
        <v>35</v>
      </c>
      <c r="G1106" t="s">
        <v>35</v>
      </c>
      <c r="H1106" t="s">
        <v>35</v>
      </c>
      <c r="J1106" t="s">
        <v>2225</v>
      </c>
      <c r="K1106" t="s">
        <v>1092</v>
      </c>
      <c r="M1106">
        <v>4.625</v>
      </c>
      <c r="N1106">
        <v>12</v>
      </c>
      <c r="O1106" t="s">
        <v>46</v>
      </c>
      <c r="Q1106" t="s">
        <v>1192</v>
      </c>
      <c r="R1106" t="s">
        <v>193</v>
      </c>
      <c r="S1106" t="s">
        <v>181</v>
      </c>
    </row>
    <row r="1107" spans="1:19" x14ac:dyDescent="0.25">
      <c r="A1107" t="s">
        <v>59</v>
      </c>
      <c r="B1107" t="s">
        <v>31</v>
      </c>
      <c r="C1107" t="s">
        <v>32</v>
      </c>
      <c r="D1107" t="s">
        <v>33</v>
      </c>
      <c r="E1107" t="s">
        <v>2107</v>
      </c>
      <c r="F1107" t="s">
        <v>35</v>
      </c>
      <c r="G1107" t="s">
        <v>35</v>
      </c>
      <c r="H1107" t="s">
        <v>35</v>
      </c>
      <c r="J1107" t="s">
        <v>2111</v>
      </c>
      <c r="K1107" t="s">
        <v>1092</v>
      </c>
      <c r="M1107">
        <v>2.52</v>
      </c>
      <c r="N1107">
        <v>119</v>
      </c>
      <c r="O1107" t="s">
        <v>106</v>
      </c>
      <c r="Q1107" t="s">
        <v>1813</v>
      </c>
      <c r="R1107" t="s">
        <v>193</v>
      </c>
      <c r="S1107" t="s">
        <v>181</v>
      </c>
    </row>
    <row r="1108" spans="1:19" x14ac:dyDescent="0.25">
      <c r="A1108" t="s">
        <v>30</v>
      </c>
      <c r="B1108" t="s">
        <v>31</v>
      </c>
      <c r="C1108" t="s">
        <v>32</v>
      </c>
      <c r="D1108" t="s">
        <v>33</v>
      </c>
      <c r="E1108" t="s">
        <v>2081</v>
      </c>
      <c r="F1108" t="s">
        <v>35</v>
      </c>
      <c r="G1108" t="s">
        <v>35</v>
      </c>
      <c r="H1108" t="s">
        <v>35</v>
      </c>
      <c r="J1108" t="s">
        <v>2085</v>
      </c>
      <c r="K1108" t="s">
        <v>1092</v>
      </c>
      <c r="M1108">
        <v>0.09</v>
      </c>
      <c r="N1108">
        <v>416</v>
      </c>
      <c r="O1108" t="s">
        <v>294</v>
      </c>
      <c r="Q1108" t="s">
        <v>1607</v>
      </c>
      <c r="R1108" t="s">
        <v>193</v>
      </c>
      <c r="S1108" t="s">
        <v>181</v>
      </c>
    </row>
    <row r="1109" spans="1:19" x14ac:dyDescent="0.25">
      <c r="A1109" t="s">
        <v>59</v>
      </c>
      <c r="B1109" t="s">
        <v>31</v>
      </c>
      <c r="C1109" t="s">
        <v>32</v>
      </c>
      <c r="D1109" t="s">
        <v>33</v>
      </c>
      <c r="E1109" t="s">
        <v>122</v>
      </c>
      <c r="F1109" t="s">
        <v>35</v>
      </c>
      <c r="G1109" t="s">
        <v>35</v>
      </c>
      <c r="H1109" t="s">
        <v>35</v>
      </c>
      <c r="J1109" t="s">
        <v>1818</v>
      </c>
      <c r="K1109" t="s">
        <v>1092</v>
      </c>
      <c r="M1109">
        <v>4.165</v>
      </c>
      <c r="N1109">
        <v>54</v>
      </c>
      <c r="O1109" t="s">
        <v>52</v>
      </c>
      <c r="Q1109" t="s">
        <v>671</v>
      </c>
      <c r="R1109" t="s">
        <v>193</v>
      </c>
      <c r="S1109" t="s">
        <v>181</v>
      </c>
    </row>
    <row r="1110" spans="1:19" x14ac:dyDescent="0.25">
      <c r="A1110" t="s">
        <v>59</v>
      </c>
      <c r="B1110" t="s">
        <v>60</v>
      </c>
      <c r="C1110" t="s">
        <v>32</v>
      </c>
      <c r="D1110" t="s">
        <v>33</v>
      </c>
      <c r="E1110" t="s">
        <v>122</v>
      </c>
      <c r="F1110" t="s">
        <v>35</v>
      </c>
      <c r="G1110" t="s">
        <v>35</v>
      </c>
      <c r="H1110" t="s">
        <v>35</v>
      </c>
      <c r="J1110" t="s">
        <v>1818</v>
      </c>
      <c r="K1110" t="s">
        <v>1092</v>
      </c>
      <c r="M1110">
        <v>9.9670000000000005</v>
      </c>
      <c r="N1110">
        <v>54</v>
      </c>
      <c r="O1110" t="s">
        <v>52</v>
      </c>
      <c r="Q1110" t="s">
        <v>671</v>
      </c>
      <c r="R1110" t="s">
        <v>193</v>
      </c>
      <c r="S1110" t="s">
        <v>181</v>
      </c>
    </row>
    <row r="1111" spans="1:19" x14ac:dyDescent="0.25">
      <c r="A1111" t="s">
        <v>59</v>
      </c>
      <c r="B1111" t="s">
        <v>60</v>
      </c>
      <c r="C1111" t="s">
        <v>32</v>
      </c>
      <c r="D1111" t="s">
        <v>33</v>
      </c>
      <c r="E1111" t="s">
        <v>114</v>
      </c>
      <c r="F1111" t="s">
        <v>35</v>
      </c>
      <c r="G1111" t="s">
        <v>35</v>
      </c>
      <c r="H1111" t="s">
        <v>35</v>
      </c>
      <c r="J1111" t="s">
        <v>1599</v>
      </c>
      <c r="K1111" t="s">
        <v>1092</v>
      </c>
      <c r="M1111">
        <v>5.5</v>
      </c>
      <c r="N1111">
        <v>54</v>
      </c>
      <c r="O1111" t="s">
        <v>52</v>
      </c>
      <c r="Q1111" t="s">
        <v>671</v>
      </c>
      <c r="R1111" t="s">
        <v>193</v>
      </c>
      <c r="S1111" t="s">
        <v>181</v>
      </c>
    </row>
    <row r="1112" spans="1:19" x14ac:dyDescent="0.25">
      <c r="A1112" t="s">
        <v>30</v>
      </c>
      <c r="B1112" t="s">
        <v>31</v>
      </c>
      <c r="C1112" t="s">
        <v>32</v>
      </c>
      <c r="D1112" t="s">
        <v>33</v>
      </c>
      <c r="F1112" t="s">
        <v>35</v>
      </c>
      <c r="G1112" t="s">
        <v>35</v>
      </c>
      <c r="H1112" t="s">
        <v>35</v>
      </c>
      <c r="J1112" t="s">
        <v>2185</v>
      </c>
      <c r="K1112" t="s">
        <v>1092</v>
      </c>
      <c r="M1112">
        <v>5.9850000000000003</v>
      </c>
      <c r="N1112">
        <v>1213</v>
      </c>
      <c r="O1112" t="s">
        <v>575</v>
      </c>
      <c r="Q1112" t="s">
        <v>1525</v>
      </c>
      <c r="R1112" t="s">
        <v>2187</v>
      </c>
      <c r="S1112" t="s">
        <v>2188</v>
      </c>
    </row>
    <row r="1113" spans="1:19" x14ac:dyDescent="0.25">
      <c r="A1113" t="s">
        <v>44</v>
      </c>
      <c r="B1113" t="s">
        <v>3</v>
      </c>
      <c r="C1113" t="s">
        <v>32</v>
      </c>
      <c r="D1113" t="s">
        <v>33</v>
      </c>
      <c r="E1113" t="s">
        <v>87</v>
      </c>
      <c r="F1113" t="s">
        <v>35</v>
      </c>
      <c r="G1113" t="s">
        <v>35</v>
      </c>
      <c r="H1113" t="s">
        <v>35</v>
      </c>
      <c r="J1113" t="s">
        <v>1466</v>
      </c>
      <c r="K1113" t="s">
        <v>1092</v>
      </c>
      <c r="M1113">
        <v>0.5</v>
      </c>
      <c r="N1113">
        <v>60</v>
      </c>
      <c r="O1113" t="s">
        <v>52</v>
      </c>
      <c r="Q1113" t="s">
        <v>1311</v>
      </c>
      <c r="R1113" t="s">
        <v>1467</v>
      </c>
      <c r="S1113" t="s">
        <v>1468</v>
      </c>
    </row>
    <row r="1114" spans="1:19" x14ac:dyDescent="0.25">
      <c r="A1114" t="s">
        <v>59</v>
      </c>
      <c r="B1114" t="s">
        <v>60</v>
      </c>
      <c r="C1114" t="s">
        <v>32</v>
      </c>
      <c r="D1114" t="s">
        <v>33</v>
      </c>
      <c r="E1114" t="s">
        <v>87</v>
      </c>
      <c r="F1114" t="s">
        <v>35</v>
      </c>
      <c r="G1114" t="s">
        <v>35</v>
      </c>
      <c r="H1114" t="s">
        <v>35</v>
      </c>
      <c r="J1114" t="s">
        <v>1466</v>
      </c>
      <c r="K1114" t="s">
        <v>1092</v>
      </c>
      <c r="M1114">
        <v>0.05</v>
      </c>
      <c r="N1114">
        <v>111</v>
      </c>
      <c r="O1114" t="s">
        <v>106</v>
      </c>
      <c r="Q1114" t="s">
        <v>1469</v>
      </c>
      <c r="R1114" t="s">
        <v>1467</v>
      </c>
      <c r="S1114" t="s">
        <v>1468</v>
      </c>
    </row>
    <row r="1115" spans="1:19" x14ac:dyDescent="0.25">
      <c r="A1115" t="s">
        <v>44</v>
      </c>
      <c r="B1115" t="s">
        <v>51</v>
      </c>
      <c r="C1115" t="s">
        <v>32</v>
      </c>
      <c r="D1115" t="s">
        <v>33</v>
      </c>
      <c r="E1115" t="s">
        <v>87</v>
      </c>
      <c r="F1115" t="s">
        <v>35</v>
      </c>
      <c r="G1115" t="s">
        <v>35</v>
      </c>
      <c r="H1115" t="s">
        <v>35</v>
      </c>
      <c r="J1115" t="s">
        <v>1466</v>
      </c>
      <c r="K1115" t="s">
        <v>1092</v>
      </c>
      <c r="M1115">
        <v>0.45</v>
      </c>
      <c r="N1115">
        <v>614</v>
      </c>
      <c r="O1115" t="s">
        <v>575</v>
      </c>
      <c r="Q1115" t="s">
        <v>1470</v>
      </c>
      <c r="R1115" t="s">
        <v>1467</v>
      </c>
      <c r="S1115" t="s">
        <v>1468</v>
      </c>
    </row>
    <row r="1116" spans="1:19" x14ac:dyDescent="0.25">
      <c r="A1116" t="s">
        <v>30</v>
      </c>
      <c r="B1116" t="s">
        <v>31</v>
      </c>
      <c r="C1116" t="s">
        <v>32</v>
      </c>
      <c r="D1116" t="s">
        <v>33</v>
      </c>
      <c r="E1116" t="s">
        <v>87</v>
      </c>
      <c r="F1116" t="s">
        <v>35</v>
      </c>
      <c r="G1116" t="s">
        <v>35</v>
      </c>
      <c r="H1116" t="s">
        <v>35</v>
      </c>
      <c r="J1116" t="s">
        <v>1466</v>
      </c>
      <c r="K1116" t="s">
        <v>1092</v>
      </c>
      <c r="M1116">
        <v>0.02</v>
      </c>
      <c r="N1116">
        <v>232</v>
      </c>
      <c r="O1116" t="s">
        <v>5</v>
      </c>
      <c r="Q1116" t="s">
        <v>1471</v>
      </c>
      <c r="R1116" t="s">
        <v>1467</v>
      </c>
      <c r="S1116" t="s">
        <v>1468</v>
      </c>
    </row>
    <row r="1117" spans="1:19" x14ac:dyDescent="0.25">
      <c r="A1117" t="s">
        <v>44</v>
      </c>
      <c r="B1117" t="s">
        <v>3</v>
      </c>
      <c r="C1117" t="s">
        <v>32</v>
      </c>
      <c r="D1117" t="s">
        <v>33</v>
      </c>
      <c r="E1117" t="s">
        <v>177</v>
      </c>
      <c r="F1117" t="s">
        <v>35</v>
      </c>
      <c r="G1117" t="s">
        <v>35</v>
      </c>
      <c r="H1117" t="s">
        <v>35</v>
      </c>
      <c r="J1117" t="s">
        <v>1987</v>
      </c>
      <c r="K1117" t="s">
        <v>1092</v>
      </c>
      <c r="M1117">
        <v>0.15</v>
      </c>
      <c r="N1117">
        <v>343</v>
      </c>
      <c r="O1117" t="s">
        <v>5</v>
      </c>
      <c r="Q1117" t="s">
        <v>1988</v>
      </c>
      <c r="R1117" t="s">
        <v>1467</v>
      </c>
      <c r="S1117" t="s">
        <v>1468</v>
      </c>
    </row>
    <row r="1118" spans="1:19" x14ac:dyDescent="0.25">
      <c r="A1118" t="s">
        <v>44</v>
      </c>
      <c r="B1118" t="s">
        <v>3</v>
      </c>
      <c r="C1118" t="s">
        <v>32</v>
      </c>
      <c r="D1118" t="s">
        <v>33</v>
      </c>
      <c r="E1118" t="s">
        <v>177</v>
      </c>
      <c r="F1118" t="s">
        <v>35</v>
      </c>
      <c r="G1118" t="s">
        <v>35</v>
      </c>
      <c r="H1118" t="s">
        <v>35</v>
      </c>
      <c r="J1118" t="s">
        <v>1987</v>
      </c>
      <c r="K1118" t="s">
        <v>1092</v>
      </c>
      <c r="M1118">
        <v>0.25</v>
      </c>
      <c r="N1118">
        <v>266</v>
      </c>
      <c r="O1118" t="s">
        <v>5</v>
      </c>
      <c r="Q1118" t="s">
        <v>1989</v>
      </c>
      <c r="R1118" t="s">
        <v>1467</v>
      </c>
      <c r="S1118" t="s">
        <v>1468</v>
      </c>
    </row>
    <row r="1119" spans="1:19" x14ac:dyDescent="0.25">
      <c r="A1119" t="s">
        <v>59</v>
      </c>
      <c r="B1119" t="s">
        <v>60</v>
      </c>
      <c r="C1119" t="s">
        <v>32</v>
      </c>
      <c r="D1119" t="s">
        <v>33</v>
      </c>
      <c r="E1119" t="s">
        <v>177</v>
      </c>
      <c r="F1119" t="s">
        <v>35</v>
      </c>
      <c r="G1119" t="s">
        <v>35</v>
      </c>
      <c r="H1119" t="s">
        <v>35</v>
      </c>
      <c r="J1119" t="s">
        <v>1987</v>
      </c>
      <c r="K1119" t="s">
        <v>1092</v>
      </c>
      <c r="M1119">
        <v>0.4</v>
      </c>
      <c r="N1119">
        <v>266</v>
      </c>
      <c r="O1119" t="s">
        <v>5</v>
      </c>
      <c r="Q1119" t="s">
        <v>1989</v>
      </c>
      <c r="R1119" t="s">
        <v>1467</v>
      </c>
      <c r="S1119" t="s">
        <v>1468</v>
      </c>
    </row>
    <row r="1120" spans="1:19" x14ac:dyDescent="0.25">
      <c r="A1120" t="s">
        <v>30</v>
      </c>
      <c r="B1120" t="s">
        <v>31</v>
      </c>
      <c r="C1120" t="s">
        <v>32</v>
      </c>
      <c r="D1120" t="s">
        <v>33</v>
      </c>
      <c r="E1120" t="s">
        <v>162</v>
      </c>
      <c r="F1120" t="s">
        <v>35</v>
      </c>
      <c r="G1120" t="s">
        <v>35</v>
      </c>
      <c r="H1120" t="s">
        <v>35</v>
      </c>
      <c r="J1120" t="s">
        <v>1875</v>
      </c>
      <c r="K1120" t="s">
        <v>1092</v>
      </c>
      <c r="M1120">
        <v>0.9</v>
      </c>
      <c r="N1120">
        <v>183</v>
      </c>
      <c r="O1120" t="s">
        <v>5</v>
      </c>
      <c r="Q1120" t="s">
        <v>1869</v>
      </c>
      <c r="R1120" t="s">
        <v>1467</v>
      </c>
      <c r="S1120" t="s">
        <v>1468</v>
      </c>
    </row>
    <row r="1121" spans="1:19" x14ac:dyDescent="0.25">
      <c r="A1121" t="s">
        <v>59</v>
      </c>
      <c r="B1121" t="s">
        <v>60</v>
      </c>
      <c r="C1121" t="s">
        <v>32</v>
      </c>
      <c r="D1121" t="s">
        <v>33</v>
      </c>
      <c r="E1121" t="s">
        <v>162</v>
      </c>
      <c r="F1121" t="s">
        <v>35</v>
      </c>
      <c r="G1121" t="s">
        <v>35</v>
      </c>
      <c r="H1121" t="s">
        <v>35</v>
      </c>
      <c r="J1121" t="s">
        <v>1868</v>
      </c>
      <c r="K1121" t="s">
        <v>1092</v>
      </c>
      <c r="M1121">
        <v>0.2</v>
      </c>
      <c r="N1121">
        <v>240</v>
      </c>
      <c r="O1121" t="s">
        <v>5</v>
      </c>
      <c r="Q1121" t="s">
        <v>574</v>
      </c>
      <c r="R1121" t="s">
        <v>1467</v>
      </c>
      <c r="S1121" t="s">
        <v>1468</v>
      </c>
    </row>
    <row r="1122" spans="1:19" x14ac:dyDescent="0.25">
      <c r="A1122" t="s">
        <v>30</v>
      </c>
      <c r="B1122" t="s">
        <v>31</v>
      </c>
      <c r="C1122" t="s">
        <v>32</v>
      </c>
      <c r="D1122" t="s">
        <v>33</v>
      </c>
      <c r="E1122" t="s">
        <v>162</v>
      </c>
      <c r="F1122" t="s">
        <v>35</v>
      </c>
      <c r="G1122" t="s">
        <v>35</v>
      </c>
      <c r="H1122" t="s">
        <v>35</v>
      </c>
      <c r="J1122" t="s">
        <v>1868</v>
      </c>
      <c r="K1122" t="s">
        <v>1092</v>
      </c>
      <c r="M1122">
        <v>0.04</v>
      </c>
      <c r="N1122">
        <v>183</v>
      </c>
      <c r="O1122" t="s">
        <v>5</v>
      </c>
      <c r="Q1122" t="s">
        <v>1869</v>
      </c>
      <c r="R1122" t="s">
        <v>1467</v>
      </c>
      <c r="S1122" t="s">
        <v>1468</v>
      </c>
    </row>
    <row r="1123" spans="1:19" x14ac:dyDescent="0.25">
      <c r="A1123" t="s">
        <v>44</v>
      </c>
      <c r="B1123" t="s">
        <v>3</v>
      </c>
      <c r="C1123" t="s">
        <v>32</v>
      </c>
      <c r="D1123" t="s">
        <v>33</v>
      </c>
      <c r="E1123" t="s">
        <v>162</v>
      </c>
      <c r="F1123" t="s">
        <v>35</v>
      </c>
      <c r="G1123" t="s">
        <v>35</v>
      </c>
      <c r="H1123" t="s">
        <v>35</v>
      </c>
      <c r="J1123" t="s">
        <v>1868</v>
      </c>
      <c r="K1123" t="s">
        <v>1092</v>
      </c>
      <c r="M1123">
        <v>0.05</v>
      </c>
      <c r="N1123">
        <v>379</v>
      </c>
      <c r="O1123" t="s">
        <v>294</v>
      </c>
      <c r="Q1123" t="s">
        <v>1870</v>
      </c>
      <c r="R1123" t="s">
        <v>1467</v>
      </c>
      <c r="S1123" t="s">
        <v>1468</v>
      </c>
    </row>
    <row r="1124" spans="1:19" x14ac:dyDescent="0.25">
      <c r="A1124" t="s">
        <v>59</v>
      </c>
      <c r="B1124" t="s">
        <v>60</v>
      </c>
      <c r="C1124" t="s">
        <v>32</v>
      </c>
      <c r="D1124" t="s">
        <v>33</v>
      </c>
      <c r="E1124" t="s">
        <v>162</v>
      </c>
      <c r="F1124" t="s">
        <v>35</v>
      </c>
      <c r="G1124" t="s">
        <v>35</v>
      </c>
      <c r="H1124" t="s">
        <v>35</v>
      </c>
      <c r="J1124" t="s">
        <v>1868</v>
      </c>
      <c r="K1124" t="s">
        <v>1092</v>
      </c>
      <c r="M1124">
        <v>0.25</v>
      </c>
      <c r="N1124">
        <v>183</v>
      </c>
      <c r="O1124" t="s">
        <v>5</v>
      </c>
      <c r="Q1124" t="s">
        <v>1869</v>
      </c>
      <c r="R1124" t="s">
        <v>1467</v>
      </c>
      <c r="S1124" t="s">
        <v>1468</v>
      </c>
    </row>
    <row r="1125" spans="1:19" x14ac:dyDescent="0.25">
      <c r="A1125" t="s">
        <v>44</v>
      </c>
      <c r="B1125" t="s">
        <v>3</v>
      </c>
      <c r="C1125" t="s">
        <v>32</v>
      </c>
      <c r="D1125" t="s">
        <v>33</v>
      </c>
      <c r="E1125" t="s">
        <v>162</v>
      </c>
      <c r="F1125" t="s">
        <v>35</v>
      </c>
      <c r="G1125" t="s">
        <v>35</v>
      </c>
      <c r="H1125" t="s">
        <v>35</v>
      </c>
      <c r="J1125" t="s">
        <v>1893</v>
      </c>
      <c r="K1125" t="s">
        <v>1092</v>
      </c>
      <c r="M1125">
        <v>0.5</v>
      </c>
      <c r="N1125">
        <v>57</v>
      </c>
      <c r="O1125" t="s">
        <v>52</v>
      </c>
      <c r="Q1125" t="s">
        <v>381</v>
      </c>
      <c r="R1125" t="s">
        <v>1467</v>
      </c>
      <c r="S1125" t="s">
        <v>1468</v>
      </c>
    </row>
    <row r="1126" spans="1:19" x14ac:dyDescent="0.25">
      <c r="A1126" t="s">
        <v>59</v>
      </c>
      <c r="B1126" t="s">
        <v>60</v>
      </c>
      <c r="C1126" t="s">
        <v>32</v>
      </c>
      <c r="D1126" t="s">
        <v>33</v>
      </c>
      <c r="E1126" t="s">
        <v>162</v>
      </c>
      <c r="F1126" t="s">
        <v>35</v>
      </c>
      <c r="G1126" t="s">
        <v>35</v>
      </c>
      <c r="H1126" t="s">
        <v>35</v>
      </c>
      <c r="J1126" t="s">
        <v>1893</v>
      </c>
      <c r="K1126" t="s">
        <v>1092</v>
      </c>
      <c r="M1126">
        <v>0.45</v>
      </c>
      <c r="N1126">
        <v>186</v>
      </c>
      <c r="O1126" t="s">
        <v>5</v>
      </c>
      <c r="Q1126" t="s">
        <v>1894</v>
      </c>
      <c r="R1126" t="s">
        <v>1467</v>
      </c>
      <c r="S1126" t="s">
        <v>1468</v>
      </c>
    </row>
    <row r="1127" spans="1:19" x14ac:dyDescent="0.25">
      <c r="A1127" t="s">
        <v>44</v>
      </c>
      <c r="B1127" t="s">
        <v>3</v>
      </c>
      <c r="C1127" t="s">
        <v>32</v>
      </c>
      <c r="D1127" t="s">
        <v>33</v>
      </c>
      <c r="E1127" t="s">
        <v>172</v>
      </c>
      <c r="F1127" t="s">
        <v>35</v>
      </c>
      <c r="G1127" t="s">
        <v>35</v>
      </c>
      <c r="H1127" t="s">
        <v>35</v>
      </c>
      <c r="J1127" t="s">
        <v>1943</v>
      </c>
      <c r="K1127" t="s">
        <v>1092</v>
      </c>
      <c r="M1127">
        <v>2.25</v>
      </c>
      <c r="N1127">
        <v>8</v>
      </c>
      <c r="O1127" t="s">
        <v>46</v>
      </c>
      <c r="Q1127" t="s">
        <v>1944</v>
      </c>
      <c r="R1127" t="s">
        <v>1467</v>
      </c>
      <c r="S1127" t="s">
        <v>1468</v>
      </c>
    </row>
    <row r="1128" spans="1:19" x14ac:dyDescent="0.25">
      <c r="A1128" t="s">
        <v>44</v>
      </c>
      <c r="B1128" t="s">
        <v>3</v>
      </c>
      <c r="C1128" t="s">
        <v>32</v>
      </c>
      <c r="D1128" t="s">
        <v>33</v>
      </c>
      <c r="E1128" t="s">
        <v>162</v>
      </c>
      <c r="F1128" t="s">
        <v>35</v>
      </c>
      <c r="G1128" t="s">
        <v>35</v>
      </c>
      <c r="H1128" t="s">
        <v>35</v>
      </c>
      <c r="J1128" t="s">
        <v>1613</v>
      </c>
      <c r="K1128" t="s">
        <v>1092</v>
      </c>
      <c r="M1128">
        <v>0.5</v>
      </c>
      <c r="N1128">
        <v>41</v>
      </c>
      <c r="O1128" t="s">
        <v>52</v>
      </c>
      <c r="Q1128" t="s">
        <v>496</v>
      </c>
      <c r="R1128" t="s">
        <v>1467</v>
      </c>
      <c r="S1128" t="s">
        <v>1468</v>
      </c>
    </row>
    <row r="1129" spans="1:19" x14ac:dyDescent="0.25">
      <c r="A1129" t="s">
        <v>59</v>
      </c>
      <c r="B1129" t="s">
        <v>60</v>
      </c>
      <c r="C1129" t="s">
        <v>32</v>
      </c>
      <c r="D1129" t="s">
        <v>33</v>
      </c>
      <c r="E1129" t="s">
        <v>162</v>
      </c>
      <c r="F1129" t="s">
        <v>35</v>
      </c>
      <c r="G1129" t="s">
        <v>35</v>
      </c>
      <c r="H1129" t="s">
        <v>35</v>
      </c>
      <c r="J1129" t="s">
        <v>1837</v>
      </c>
      <c r="K1129" t="s">
        <v>1092</v>
      </c>
      <c r="M1129">
        <v>0.1</v>
      </c>
      <c r="N1129">
        <v>121</v>
      </c>
      <c r="O1129" t="s">
        <v>38</v>
      </c>
      <c r="Q1129" t="s">
        <v>1170</v>
      </c>
      <c r="R1129" t="s">
        <v>1467</v>
      </c>
      <c r="S1129" t="s">
        <v>1468</v>
      </c>
    </row>
    <row r="1130" spans="1:19" x14ac:dyDescent="0.25">
      <c r="A1130" t="s">
        <v>59</v>
      </c>
      <c r="B1130" t="s">
        <v>60</v>
      </c>
      <c r="C1130" t="s">
        <v>32</v>
      </c>
      <c r="D1130" t="s">
        <v>33</v>
      </c>
      <c r="E1130" t="s">
        <v>162</v>
      </c>
      <c r="F1130" t="s">
        <v>35</v>
      </c>
      <c r="G1130" t="s">
        <v>35</v>
      </c>
      <c r="H1130" t="s">
        <v>35</v>
      </c>
      <c r="J1130" t="s">
        <v>1892</v>
      </c>
      <c r="K1130" t="s">
        <v>1092</v>
      </c>
      <c r="M1130">
        <v>0.15</v>
      </c>
      <c r="N1130">
        <v>222</v>
      </c>
      <c r="O1130" t="s">
        <v>5</v>
      </c>
      <c r="Q1130" t="s">
        <v>1562</v>
      </c>
      <c r="R1130" t="s">
        <v>1467</v>
      </c>
      <c r="S1130" t="s">
        <v>1468</v>
      </c>
    </row>
    <row r="1131" spans="1:19" x14ac:dyDescent="0.25">
      <c r="A1131" t="s">
        <v>44</v>
      </c>
      <c r="B1131" t="s">
        <v>3</v>
      </c>
      <c r="C1131" t="s">
        <v>32</v>
      </c>
      <c r="D1131" t="s">
        <v>33</v>
      </c>
      <c r="E1131" t="s">
        <v>162</v>
      </c>
      <c r="F1131" t="s">
        <v>35</v>
      </c>
      <c r="G1131" t="s">
        <v>35</v>
      </c>
      <c r="H1131" t="s">
        <v>35</v>
      </c>
      <c r="J1131" t="s">
        <v>1892</v>
      </c>
      <c r="K1131" t="s">
        <v>1092</v>
      </c>
      <c r="M1131">
        <v>0.5</v>
      </c>
      <c r="N1131">
        <v>240</v>
      </c>
      <c r="O1131" t="s">
        <v>5</v>
      </c>
      <c r="Q1131" t="s">
        <v>574</v>
      </c>
      <c r="R1131" t="s">
        <v>1467</v>
      </c>
      <c r="S1131" t="s">
        <v>1468</v>
      </c>
    </row>
    <row r="1132" spans="1:19" x14ac:dyDescent="0.25">
      <c r="A1132" t="s">
        <v>44</v>
      </c>
      <c r="B1132" t="s">
        <v>3</v>
      </c>
      <c r="C1132" t="s">
        <v>32</v>
      </c>
      <c r="D1132" t="s">
        <v>33</v>
      </c>
      <c r="E1132" t="s">
        <v>162</v>
      </c>
      <c r="F1132" t="s">
        <v>35</v>
      </c>
      <c r="G1132" t="s">
        <v>35</v>
      </c>
      <c r="H1132" t="s">
        <v>35</v>
      </c>
      <c r="J1132" t="s">
        <v>1886</v>
      </c>
      <c r="K1132" t="s">
        <v>1092</v>
      </c>
      <c r="M1132">
        <v>0.69899999999999995</v>
      </c>
      <c r="N1132">
        <v>414</v>
      </c>
      <c r="O1132" t="s">
        <v>294</v>
      </c>
      <c r="Q1132" t="s">
        <v>1887</v>
      </c>
      <c r="R1132" t="s">
        <v>1467</v>
      </c>
      <c r="S1132" t="s">
        <v>1468</v>
      </c>
    </row>
    <row r="1133" spans="1:19" x14ac:dyDescent="0.25">
      <c r="A1133" t="s">
        <v>59</v>
      </c>
      <c r="B1133" t="s">
        <v>60</v>
      </c>
      <c r="C1133" t="s">
        <v>32</v>
      </c>
      <c r="D1133" t="s">
        <v>33</v>
      </c>
      <c r="E1133" t="s">
        <v>177</v>
      </c>
      <c r="F1133" t="s">
        <v>35</v>
      </c>
      <c r="G1133" t="s">
        <v>35</v>
      </c>
      <c r="H1133" t="s">
        <v>35</v>
      </c>
      <c r="J1133" t="s">
        <v>2017</v>
      </c>
      <c r="K1133" t="s">
        <v>1092</v>
      </c>
      <c r="M1133">
        <v>3.5999999999999997E-2</v>
      </c>
      <c r="N1133">
        <v>610</v>
      </c>
      <c r="O1133" t="s">
        <v>575</v>
      </c>
      <c r="Q1133" t="s">
        <v>2018</v>
      </c>
      <c r="R1133" t="s">
        <v>1467</v>
      </c>
      <c r="S1133" t="s">
        <v>1468</v>
      </c>
    </row>
    <row r="1134" spans="1:19" x14ac:dyDescent="0.25">
      <c r="A1134" t="s">
        <v>59</v>
      </c>
      <c r="B1134" t="s">
        <v>60</v>
      </c>
      <c r="C1134" t="s">
        <v>32</v>
      </c>
      <c r="D1134" t="s">
        <v>33</v>
      </c>
      <c r="E1134" t="s">
        <v>87</v>
      </c>
      <c r="F1134" t="s">
        <v>35</v>
      </c>
      <c r="G1134" t="s">
        <v>35</v>
      </c>
      <c r="H1134" t="s">
        <v>35</v>
      </c>
      <c r="J1134" t="s">
        <v>1493</v>
      </c>
      <c r="K1134" t="s">
        <v>1092</v>
      </c>
      <c r="M1134">
        <v>0.1</v>
      </c>
      <c r="N1134">
        <v>103</v>
      </c>
      <c r="O1134" t="s">
        <v>106</v>
      </c>
      <c r="Q1134" t="s">
        <v>1494</v>
      </c>
      <c r="R1134" t="s">
        <v>1467</v>
      </c>
      <c r="S1134" t="s">
        <v>1468</v>
      </c>
    </row>
    <row r="1135" spans="1:19" x14ac:dyDescent="0.25">
      <c r="A1135" t="s">
        <v>59</v>
      </c>
      <c r="B1135" t="s">
        <v>60</v>
      </c>
      <c r="C1135" t="s">
        <v>32</v>
      </c>
      <c r="D1135" t="s">
        <v>33</v>
      </c>
      <c r="E1135" t="s">
        <v>162</v>
      </c>
      <c r="F1135" t="s">
        <v>35</v>
      </c>
      <c r="G1135" t="s">
        <v>35</v>
      </c>
      <c r="H1135" t="s">
        <v>35</v>
      </c>
      <c r="J1135" t="s">
        <v>1858</v>
      </c>
      <c r="K1135" t="s">
        <v>1092</v>
      </c>
      <c r="M1135">
        <v>1</v>
      </c>
      <c r="N1135">
        <v>232</v>
      </c>
      <c r="O1135" t="s">
        <v>5</v>
      </c>
      <c r="Q1135" t="s">
        <v>1471</v>
      </c>
      <c r="R1135" t="s">
        <v>1467</v>
      </c>
      <c r="S1135" t="s">
        <v>1468</v>
      </c>
    </row>
    <row r="1136" spans="1:19" x14ac:dyDescent="0.25">
      <c r="A1136" t="s">
        <v>44</v>
      </c>
      <c r="B1136" t="s">
        <v>3</v>
      </c>
      <c r="C1136" t="s">
        <v>32</v>
      </c>
      <c r="D1136" t="s">
        <v>33</v>
      </c>
      <c r="E1136" t="s">
        <v>162</v>
      </c>
      <c r="F1136" t="s">
        <v>35</v>
      </c>
      <c r="G1136" t="s">
        <v>35</v>
      </c>
      <c r="H1136" t="s">
        <v>35</v>
      </c>
      <c r="J1136" t="s">
        <v>1858</v>
      </c>
      <c r="K1136" t="s">
        <v>1092</v>
      </c>
      <c r="M1136">
        <v>0.5</v>
      </c>
      <c r="N1136">
        <v>337</v>
      </c>
      <c r="O1136" t="s">
        <v>5</v>
      </c>
      <c r="Q1136" t="s">
        <v>1859</v>
      </c>
      <c r="R1136" t="s">
        <v>1467</v>
      </c>
      <c r="S1136" t="s">
        <v>1468</v>
      </c>
    </row>
    <row r="1137" spans="1:19" x14ac:dyDescent="0.25">
      <c r="A1137" t="s">
        <v>44</v>
      </c>
      <c r="B1137" t="s">
        <v>3</v>
      </c>
      <c r="C1137" t="s">
        <v>32</v>
      </c>
      <c r="D1137" t="s">
        <v>33</v>
      </c>
      <c r="E1137" t="s">
        <v>87</v>
      </c>
      <c r="F1137" t="s">
        <v>35</v>
      </c>
      <c r="G1137" t="s">
        <v>35</v>
      </c>
      <c r="H1137" t="s">
        <v>35</v>
      </c>
      <c r="J1137" t="s">
        <v>1475</v>
      </c>
      <c r="K1137" t="s">
        <v>1092</v>
      </c>
      <c r="M1137">
        <v>0.5</v>
      </c>
      <c r="N1137">
        <v>11</v>
      </c>
      <c r="O1137" t="s">
        <v>46</v>
      </c>
      <c r="Q1137" t="s">
        <v>1476</v>
      </c>
      <c r="R1137" t="s">
        <v>1467</v>
      </c>
      <c r="S1137" t="s">
        <v>1468</v>
      </c>
    </row>
    <row r="1138" spans="1:19" x14ac:dyDescent="0.25">
      <c r="A1138" t="s">
        <v>44</v>
      </c>
      <c r="B1138" t="s">
        <v>3</v>
      </c>
      <c r="C1138" t="s">
        <v>32</v>
      </c>
      <c r="D1138" t="s">
        <v>33</v>
      </c>
      <c r="E1138" t="s">
        <v>204</v>
      </c>
      <c r="F1138" t="s">
        <v>35</v>
      </c>
      <c r="G1138" t="s">
        <v>35</v>
      </c>
      <c r="H1138" t="s">
        <v>35</v>
      </c>
      <c r="J1138" t="s">
        <v>2181</v>
      </c>
      <c r="K1138" t="s">
        <v>1092</v>
      </c>
      <c r="M1138">
        <v>0.47499999999999998</v>
      </c>
      <c r="N1138">
        <v>221</v>
      </c>
      <c r="O1138" t="s">
        <v>5</v>
      </c>
      <c r="Q1138" t="s">
        <v>1979</v>
      </c>
      <c r="R1138" t="s">
        <v>2179</v>
      </c>
      <c r="S1138" t="s">
        <v>205</v>
      </c>
    </row>
    <row r="1139" spans="1:19" x14ac:dyDescent="0.25">
      <c r="A1139" t="s">
        <v>44</v>
      </c>
      <c r="B1139" t="s">
        <v>3</v>
      </c>
      <c r="C1139" t="s">
        <v>32</v>
      </c>
      <c r="D1139" t="s">
        <v>33</v>
      </c>
      <c r="F1139" t="s">
        <v>35</v>
      </c>
      <c r="G1139" t="s">
        <v>35</v>
      </c>
      <c r="H1139" t="s">
        <v>35</v>
      </c>
      <c r="J1139" t="s">
        <v>2235</v>
      </c>
      <c r="K1139" t="s">
        <v>1092</v>
      </c>
      <c r="M1139">
        <v>1</v>
      </c>
      <c r="N1139">
        <v>220</v>
      </c>
      <c r="O1139" t="s">
        <v>5</v>
      </c>
      <c r="Q1139" t="s">
        <v>2236</v>
      </c>
      <c r="R1139" t="s">
        <v>2179</v>
      </c>
      <c r="S1139" t="s">
        <v>205</v>
      </c>
    </row>
    <row r="1140" spans="1:19" x14ac:dyDescent="0.25">
      <c r="A1140" t="s">
        <v>44</v>
      </c>
      <c r="B1140" t="s">
        <v>3</v>
      </c>
      <c r="C1140" t="s">
        <v>32</v>
      </c>
      <c r="D1140" t="s">
        <v>33</v>
      </c>
      <c r="E1140" t="s">
        <v>204</v>
      </c>
      <c r="F1140" t="s">
        <v>35</v>
      </c>
      <c r="G1140" t="s">
        <v>35</v>
      </c>
      <c r="H1140" t="s">
        <v>35</v>
      </c>
      <c r="J1140" t="s">
        <v>2178</v>
      </c>
      <c r="K1140" t="s">
        <v>1092</v>
      </c>
      <c r="M1140">
        <v>1</v>
      </c>
      <c r="N1140">
        <v>271</v>
      </c>
      <c r="O1140" t="s">
        <v>5</v>
      </c>
      <c r="Q1140" t="s">
        <v>1724</v>
      </c>
      <c r="R1140" t="s">
        <v>2179</v>
      </c>
      <c r="S1140" t="s">
        <v>205</v>
      </c>
    </row>
    <row r="1141" spans="1:19" x14ac:dyDescent="0.25">
      <c r="A1141" t="s">
        <v>44</v>
      </c>
      <c r="B1141" t="s">
        <v>3</v>
      </c>
      <c r="C1141" t="s">
        <v>32</v>
      </c>
      <c r="D1141" t="s">
        <v>33</v>
      </c>
      <c r="E1141" t="s">
        <v>34</v>
      </c>
      <c r="F1141" t="s">
        <v>35</v>
      </c>
      <c r="G1141" t="s">
        <v>35</v>
      </c>
      <c r="H1141" t="s">
        <v>35</v>
      </c>
      <c r="J1141" t="s">
        <v>1155</v>
      </c>
      <c r="K1141" t="s">
        <v>1092</v>
      </c>
      <c r="M1141">
        <v>0.1</v>
      </c>
      <c r="N1141">
        <v>165</v>
      </c>
      <c r="O1141" t="s">
        <v>38</v>
      </c>
      <c r="Q1141" t="s">
        <v>1124</v>
      </c>
      <c r="R1141" t="s">
        <v>49</v>
      </c>
      <c r="S1141" t="s">
        <v>50</v>
      </c>
    </row>
    <row r="1142" spans="1:19" x14ac:dyDescent="0.25">
      <c r="A1142" t="s">
        <v>30</v>
      </c>
      <c r="B1142" t="s">
        <v>31</v>
      </c>
      <c r="C1142" t="s">
        <v>32</v>
      </c>
      <c r="D1142" t="s">
        <v>33</v>
      </c>
      <c r="E1142" t="s">
        <v>34</v>
      </c>
      <c r="F1142" t="s">
        <v>35</v>
      </c>
      <c r="G1142" t="s">
        <v>35</v>
      </c>
      <c r="H1142" t="s">
        <v>35</v>
      </c>
      <c r="J1142" t="s">
        <v>1155</v>
      </c>
      <c r="K1142" t="s">
        <v>1092</v>
      </c>
      <c r="M1142">
        <v>3.105</v>
      </c>
      <c r="N1142">
        <v>23</v>
      </c>
      <c r="O1142" t="s">
        <v>46</v>
      </c>
      <c r="Q1142" t="s">
        <v>793</v>
      </c>
      <c r="R1142" t="s">
        <v>49</v>
      </c>
      <c r="S1142" t="s">
        <v>50</v>
      </c>
    </row>
    <row r="1143" spans="1:19" x14ac:dyDescent="0.25">
      <c r="A1143" t="s">
        <v>59</v>
      </c>
      <c r="B1143" t="s">
        <v>60</v>
      </c>
      <c r="C1143" t="s">
        <v>32</v>
      </c>
      <c r="D1143" t="s">
        <v>33</v>
      </c>
      <c r="E1143" t="s">
        <v>34</v>
      </c>
      <c r="F1143" t="s">
        <v>35</v>
      </c>
      <c r="G1143" t="s">
        <v>35</v>
      </c>
      <c r="H1143" t="s">
        <v>35</v>
      </c>
      <c r="J1143" t="s">
        <v>1155</v>
      </c>
      <c r="K1143" t="s">
        <v>1092</v>
      </c>
      <c r="M1143">
        <v>3.55</v>
      </c>
      <c r="N1143">
        <v>72</v>
      </c>
      <c r="O1143" t="s">
        <v>61</v>
      </c>
      <c r="Q1143" t="s">
        <v>1156</v>
      </c>
      <c r="R1143" t="s">
        <v>49</v>
      </c>
      <c r="S1143" t="s">
        <v>50</v>
      </c>
    </row>
    <row r="1144" spans="1:19" x14ac:dyDescent="0.25">
      <c r="A1144" t="s">
        <v>59</v>
      </c>
      <c r="B1144" t="s">
        <v>60</v>
      </c>
      <c r="C1144" t="s">
        <v>32</v>
      </c>
      <c r="D1144" t="s">
        <v>33</v>
      </c>
      <c r="E1144" t="s">
        <v>87</v>
      </c>
      <c r="F1144" t="s">
        <v>35</v>
      </c>
      <c r="G1144" t="s">
        <v>35</v>
      </c>
      <c r="H1144" t="s">
        <v>35</v>
      </c>
      <c r="J1144" t="s">
        <v>1460</v>
      </c>
      <c r="K1144" t="s">
        <v>1092</v>
      </c>
      <c r="M1144">
        <v>5.5</v>
      </c>
      <c r="N1144">
        <v>64</v>
      </c>
      <c r="O1144" t="s">
        <v>61</v>
      </c>
      <c r="Q1144" t="s">
        <v>102</v>
      </c>
      <c r="R1144" t="s">
        <v>49</v>
      </c>
      <c r="S1144" t="s">
        <v>50</v>
      </c>
    </row>
    <row r="1145" spans="1:19" x14ac:dyDescent="0.25">
      <c r="A1145" t="s">
        <v>59</v>
      </c>
      <c r="B1145" t="s">
        <v>60</v>
      </c>
      <c r="C1145" t="s">
        <v>32</v>
      </c>
      <c r="D1145" t="s">
        <v>33</v>
      </c>
      <c r="E1145" t="s">
        <v>87</v>
      </c>
      <c r="F1145" t="s">
        <v>35</v>
      </c>
      <c r="G1145" t="s">
        <v>35</v>
      </c>
      <c r="H1145" t="s">
        <v>35</v>
      </c>
      <c r="J1145" t="s">
        <v>1460</v>
      </c>
      <c r="K1145" t="s">
        <v>1092</v>
      </c>
      <c r="M1145">
        <v>3.95</v>
      </c>
      <c r="N1145">
        <v>85</v>
      </c>
      <c r="O1145" t="s">
        <v>61</v>
      </c>
      <c r="Q1145" t="s">
        <v>1100</v>
      </c>
      <c r="R1145" t="s">
        <v>49</v>
      </c>
      <c r="S1145" t="s">
        <v>50</v>
      </c>
    </row>
    <row r="1146" spans="1:19" x14ac:dyDescent="0.25">
      <c r="A1146" t="s">
        <v>59</v>
      </c>
      <c r="B1146" t="s">
        <v>31</v>
      </c>
      <c r="C1146" t="s">
        <v>32</v>
      </c>
      <c r="D1146" t="s">
        <v>33</v>
      </c>
      <c r="E1146" t="s">
        <v>87</v>
      </c>
      <c r="F1146" t="s">
        <v>35</v>
      </c>
      <c r="G1146" t="s">
        <v>35</v>
      </c>
      <c r="H1146" t="s">
        <v>35</v>
      </c>
      <c r="J1146" t="s">
        <v>1460</v>
      </c>
      <c r="K1146" t="s">
        <v>1092</v>
      </c>
      <c r="M1146">
        <v>4.83</v>
      </c>
      <c r="N1146">
        <v>85</v>
      </c>
      <c r="O1146" t="s">
        <v>61</v>
      </c>
      <c r="Q1146" t="s">
        <v>1100</v>
      </c>
      <c r="R1146" t="s">
        <v>49</v>
      </c>
      <c r="S1146" t="s">
        <v>50</v>
      </c>
    </row>
    <row r="1147" spans="1:19" x14ac:dyDescent="0.25">
      <c r="A1147" t="s">
        <v>59</v>
      </c>
      <c r="B1147" t="s">
        <v>31</v>
      </c>
      <c r="C1147" t="s">
        <v>32</v>
      </c>
      <c r="D1147" t="s">
        <v>33</v>
      </c>
      <c r="E1147" t="s">
        <v>34</v>
      </c>
      <c r="F1147" t="s">
        <v>35</v>
      </c>
      <c r="G1147" t="s">
        <v>35</v>
      </c>
      <c r="H1147" t="s">
        <v>35</v>
      </c>
      <c r="J1147" t="s">
        <v>1117</v>
      </c>
      <c r="K1147" t="s">
        <v>1092</v>
      </c>
      <c r="M1147">
        <v>5.49</v>
      </c>
      <c r="N1147">
        <v>49</v>
      </c>
      <c r="O1147" t="s">
        <v>52</v>
      </c>
      <c r="Q1147" t="s">
        <v>453</v>
      </c>
      <c r="R1147" t="s">
        <v>49</v>
      </c>
      <c r="S1147" t="s">
        <v>50</v>
      </c>
    </row>
    <row r="1148" spans="1:19" x14ac:dyDescent="0.25">
      <c r="A1148" t="s">
        <v>44</v>
      </c>
      <c r="B1148" t="s">
        <v>3</v>
      </c>
      <c r="C1148" t="s">
        <v>32</v>
      </c>
      <c r="D1148" t="s">
        <v>33</v>
      </c>
      <c r="E1148" t="s">
        <v>34</v>
      </c>
      <c r="F1148" t="s">
        <v>35</v>
      </c>
      <c r="G1148" t="s">
        <v>35</v>
      </c>
      <c r="H1148" t="s">
        <v>35</v>
      </c>
      <c r="J1148" t="s">
        <v>45</v>
      </c>
      <c r="K1148" t="s">
        <v>37</v>
      </c>
      <c r="M1148">
        <v>19</v>
      </c>
      <c r="N1148">
        <v>28</v>
      </c>
      <c r="O1148" t="s">
        <v>46</v>
      </c>
      <c r="P1148" t="s">
        <v>47</v>
      </c>
      <c r="Q1148" t="s">
        <v>48</v>
      </c>
      <c r="R1148" t="s">
        <v>49</v>
      </c>
      <c r="S1148" t="s">
        <v>50</v>
      </c>
    </row>
    <row r="1149" spans="1:19" x14ac:dyDescent="0.25">
      <c r="A1149" t="s">
        <v>30</v>
      </c>
      <c r="B1149" t="s">
        <v>31</v>
      </c>
      <c r="C1149" t="s">
        <v>32</v>
      </c>
      <c r="D1149" t="s">
        <v>33</v>
      </c>
      <c r="E1149" t="s">
        <v>34</v>
      </c>
      <c r="F1149" t="s">
        <v>35</v>
      </c>
      <c r="G1149" t="s">
        <v>35</v>
      </c>
      <c r="H1149" t="s">
        <v>35</v>
      </c>
      <c r="J1149" t="s">
        <v>1184</v>
      </c>
      <c r="K1149" t="s">
        <v>1092</v>
      </c>
      <c r="M1149">
        <v>2.2050000000000001</v>
      </c>
      <c r="N1149">
        <v>24</v>
      </c>
      <c r="O1149" t="s">
        <v>46</v>
      </c>
      <c r="Q1149" t="s">
        <v>972</v>
      </c>
      <c r="R1149" t="s">
        <v>49</v>
      </c>
      <c r="S1149" t="s">
        <v>50</v>
      </c>
    </row>
    <row r="1150" spans="1:19" x14ac:dyDescent="0.25">
      <c r="A1150" t="s">
        <v>59</v>
      </c>
      <c r="B1150" t="s">
        <v>60</v>
      </c>
      <c r="C1150" t="s">
        <v>32</v>
      </c>
      <c r="D1150" t="s">
        <v>33</v>
      </c>
      <c r="F1150" t="s">
        <v>35</v>
      </c>
      <c r="G1150" t="s">
        <v>35</v>
      </c>
      <c r="H1150" t="s">
        <v>35</v>
      </c>
      <c r="J1150" t="s">
        <v>2200</v>
      </c>
      <c r="K1150" t="s">
        <v>1092</v>
      </c>
      <c r="M1150">
        <v>0.55000000000000004</v>
      </c>
      <c r="N1150">
        <v>1895</v>
      </c>
      <c r="O1150" t="s">
        <v>575</v>
      </c>
      <c r="Q1150" t="s">
        <v>2201</v>
      </c>
      <c r="R1150" t="s">
        <v>49</v>
      </c>
      <c r="S1150" t="s">
        <v>50</v>
      </c>
    </row>
    <row r="1151" spans="1:19" x14ac:dyDescent="0.25">
      <c r="A1151" t="s">
        <v>30</v>
      </c>
      <c r="B1151" t="s">
        <v>31</v>
      </c>
      <c r="C1151" t="s">
        <v>32</v>
      </c>
      <c r="D1151" t="s">
        <v>33</v>
      </c>
      <c r="E1151" t="s">
        <v>34</v>
      </c>
      <c r="F1151" t="s">
        <v>35</v>
      </c>
      <c r="G1151" t="s">
        <v>35</v>
      </c>
      <c r="H1151" t="s">
        <v>35</v>
      </c>
      <c r="J1151" t="s">
        <v>1153</v>
      </c>
      <c r="K1151" t="s">
        <v>1092</v>
      </c>
      <c r="M1151">
        <v>5.4</v>
      </c>
      <c r="N1151">
        <v>23</v>
      </c>
      <c r="O1151" t="s">
        <v>46</v>
      </c>
      <c r="Q1151" t="s">
        <v>793</v>
      </c>
      <c r="R1151" t="s">
        <v>49</v>
      </c>
      <c r="S1151" t="s">
        <v>50</v>
      </c>
    </row>
    <row r="1152" spans="1:19" x14ac:dyDescent="0.25">
      <c r="A1152" t="s">
        <v>59</v>
      </c>
      <c r="B1152" t="s">
        <v>60</v>
      </c>
      <c r="C1152" t="s">
        <v>32</v>
      </c>
      <c r="D1152" t="s">
        <v>33</v>
      </c>
      <c r="E1152" t="s">
        <v>196</v>
      </c>
      <c r="F1152" t="s">
        <v>35</v>
      </c>
      <c r="G1152" t="s">
        <v>35</v>
      </c>
      <c r="H1152" t="s">
        <v>35</v>
      </c>
      <c r="J1152" t="s">
        <v>2026</v>
      </c>
      <c r="K1152" t="s">
        <v>1092</v>
      </c>
      <c r="M1152">
        <v>0.82699999999999996</v>
      </c>
      <c r="N1152">
        <v>165</v>
      </c>
      <c r="O1152" t="s">
        <v>38</v>
      </c>
      <c r="Q1152" t="s">
        <v>1124</v>
      </c>
      <c r="R1152" t="s">
        <v>49</v>
      </c>
      <c r="S1152" t="s">
        <v>50</v>
      </c>
    </row>
    <row r="1153" spans="1:19" x14ac:dyDescent="0.25">
      <c r="A1153" t="s">
        <v>59</v>
      </c>
      <c r="B1153" t="s">
        <v>60</v>
      </c>
      <c r="C1153" t="s">
        <v>32</v>
      </c>
      <c r="D1153" t="s">
        <v>33</v>
      </c>
      <c r="E1153" t="s">
        <v>196</v>
      </c>
      <c r="F1153" t="s">
        <v>35</v>
      </c>
      <c r="G1153" t="s">
        <v>35</v>
      </c>
      <c r="H1153" t="s">
        <v>35</v>
      </c>
      <c r="J1153" t="s">
        <v>2026</v>
      </c>
      <c r="K1153" t="s">
        <v>1092</v>
      </c>
      <c r="M1153">
        <v>1.5</v>
      </c>
      <c r="N1153">
        <v>123</v>
      </c>
      <c r="O1153" t="s">
        <v>38</v>
      </c>
      <c r="Q1153" t="s">
        <v>1656</v>
      </c>
      <c r="R1153" t="s">
        <v>49</v>
      </c>
      <c r="S1153" t="s">
        <v>50</v>
      </c>
    </row>
    <row r="1154" spans="1:19" x14ac:dyDescent="0.25">
      <c r="A1154" t="s">
        <v>30</v>
      </c>
      <c r="B1154" t="s">
        <v>31</v>
      </c>
      <c r="C1154" t="s">
        <v>32</v>
      </c>
      <c r="D1154" t="s">
        <v>33</v>
      </c>
      <c r="E1154" t="s">
        <v>1572</v>
      </c>
      <c r="F1154" t="s">
        <v>35</v>
      </c>
      <c r="G1154" t="s">
        <v>35</v>
      </c>
      <c r="H1154" t="s">
        <v>35</v>
      </c>
      <c r="J1154" t="s">
        <v>1577</v>
      </c>
      <c r="K1154" t="s">
        <v>1092</v>
      </c>
      <c r="M1154">
        <v>5.51</v>
      </c>
      <c r="N1154">
        <v>35</v>
      </c>
      <c r="O1154" t="s">
        <v>52</v>
      </c>
      <c r="Q1154" t="s">
        <v>991</v>
      </c>
      <c r="R1154" t="s">
        <v>49</v>
      </c>
      <c r="S1154" t="s">
        <v>50</v>
      </c>
    </row>
    <row r="1155" spans="1:19" x14ac:dyDescent="0.25">
      <c r="A1155" t="s">
        <v>59</v>
      </c>
      <c r="B1155" t="s">
        <v>60</v>
      </c>
      <c r="C1155" t="s">
        <v>32</v>
      </c>
      <c r="D1155" t="s">
        <v>33</v>
      </c>
      <c r="E1155" t="s">
        <v>1572</v>
      </c>
      <c r="F1155" t="s">
        <v>35</v>
      </c>
      <c r="G1155" t="s">
        <v>35</v>
      </c>
      <c r="H1155" t="s">
        <v>35</v>
      </c>
      <c r="J1155" t="s">
        <v>1577</v>
      </c>
      <c r="K1155" t="s">
        <v>1092</v>
      </c>
      <c r="M1155">
        <v>0.5</v>
      </c>
      <c r="N1155">
        <v>212</v>
      </c>
      <c r="O1155" t="s">
        <v>5</v>
      </c>
      <c r="Q1155" t="s">
        <v>1578</v>
      </c>
      <c r="R1155" t="s">
        <v>49</v>
      </c>
      <c r="S1155" t="s">
        <v>50</v>
      </c>
    </row>
    <row r="1156" spans="1:19" x14ac:dyDescent="0.25">
      <c r="A1156" t="s">
        <v>59</v>
      </c>
      <c r="B1156" t="s">
        <v>31</v>
      </c>
      <c r="C1156" t="s">
        <v>32</v>
      </c>
      <c r="D1156" t="s">
        <v>33</v>
      </c>
      <c r="E1156" t="s">
        <v>1572</v>
      </c>
      <c r="F1156" t="s">
        <v>35</v>
      </c>
      <c r="G1156" t="s">
        <v>35</v>
      </c>
      <c r="H1156" t="s">
        <v>35</v>
      </c>
      <c r="J1156" t="s">
        <v>1577</v>
      </c>
      <c r="K1156" t="s">
        <v>1092</v>
      </c>
      <c r="M1156">
        <v>4.9800000000000004</v>
      </c>
      <c r="N1156">
        <v>72</v>
      </c>
      <c r="O1156" t="s">
        <v>61</v>
      </c>
      <c r="Q1156" t="s">
        <v>1156</v>
      </c>
      <c r="R1156" t="s">
        <v>49</v>
      </c>
      <c r="S1156" t="s">
        <v>50</v>
      </c>
    </row>
    <row r="1157" spans="1:19" x14ac:dyDescent="0.25">
      <c r="A1157" t="s">
        <v>59</v>
      </c>
      <c r="B1157" t="s">
        <v>31</v>
      </c>
      <c r="C1157" t="s">
        <v>32</v>
      </c>
      <c r="D1157" t="s">
        <v>33</v>
      </c>
      <c r="E1157" t="s">
        <v>1572</v>
      </c>
      <c r="F1157" t="s">
        <v>35</v>
      </c>
      <c r="G1157" t="s">
        <v>35</v>
      </c>
      <c r="H1157" t="s">
        <v>35</v>
      </c>
      <c r="J1157" t="s">
        <v>1577</v>
      </c>
      <c r="K1157" t="s">
        <v>1092</v>
      </c>
      <c r="M1157">
        <v>3.65</v>
      </c>
      <c r="N1157">
        <v>212</v>
      </c>
      <c r="O1157" t="s">
        <v>5</v>
      </c>
      <c r="Q1157" t="s">
        <v>1578</v>
      </c>
      <c r="R1157" t="s">
        <v>49</v>
      </c>
      <c r="S1157" t="s">
        <v>50</v>
      </c>
    </row>
    <row r="1158" spans="1:19" x14ac:dyDescent="0.25">
      <c r="A1158" t="s">
        <v>59</v>
      </c>
      <c r="B1158" t="s">
        <v>31</v>
      </c>
      <c r="C1158" t="s">
        <v>32</v>
      </c>
      <c r="D1158" t="s">
        <v>33</v>
      </c>
      <c r="E1158" t="s">
        <v>1572</v>
      </c>
      <c r="F1158" t="s">
        <v>35</v>
      </c>
      <c r="G1158" t="s">
        <v>35</v>
      </c>
      <c r="H1158" t="s">
        <v>35</v>
      </c>
      <c r="J1158" t="s">
        <v>1577</v>
      </c>
      <c r="K1158" t="s">
        <v>1092</v>
      </c>
      <c r="M1158">
        <v>5.49</v>
      </c>
      <c r="N1158">
        <v>49</v>
      </c>
      <c r="O1158" t="s">
        <v>52</v>
      </c>
      <c r="Q1158" t="s">
        <v>453</v>
      </c>
      <c r="R1158" t="s">
        <v>49</v>
      </c>
      <c r="S1158" t="s">
        <v>50</v>
      </c>
    </row>
    <row r="1159" spans="1:19" x14ac:dyDescent="0.25">
      <c r="A1159" t="s">
        <v>59</v>
      </c>
      <c r="B1159" t="s">
        <v>60</v>
      </c>
      <c r="C1159" t="s">
        <v>32</v>
      </c>
      <c r="D1159" t="s">
        <v>33</v>
      </c>
      <c r="E1159" t="s">
        <v>34</v>
      </c>
      <c r="F1159" t="s">
        <v>35</v>
      </c>
      <c r="G1159" t="s">
        <v>35</v>
      </c>
      <c r="H1159" t="s">
        <v>35</v>
      </c>
      <c r="J1159" t="s">
        <v>1099</v>
      </c>
      <c r="K1159" t="s">
        <v>1092</v>
      </c>
      <c r="M1159">
        <v>3.45</v>
      </c>
      <c r="N1159">
        <v>85</v>
      </c>
      <c r="O1159" t="s">
        <v>61</v>
      </c>
      <c r="Q1159" t="s">
        <v>1100</v>
      </c>
      <c r="R1159" t="s">
        <v>49</v>
      </c>
      <c r="S1159" t="s">
        <v>50</v>
      </c>
    </row>
    <row r="1160" spans="1:19" x14ac:dyDescent="0.25">
      <c r="A1160" t="s">
        <v>30</v>
      </c>
      <c r="B1160" t="s">
        <v>31</v>
      </c>
      <c r="C1160" t="s">
        <v>32</v>
      </c>
      <c r="D1160" t="s">
        <v>33</v>
      </c>
      <c r="E1160" t="s">
        <v>34</v>
      </c>
      <c r="F1160" t="s">
        <v>35</v>
      </c>
      <c r="G1160" t="s">
        <v>35</v>
      </c>
      <c r="H1160" t="s">
        <v>35</v>
      </c>
      <c r="J1160" t="s">
        <v>1127</v>
      </c>
      <c r="K1160" t="s">
        <v>1092</v>
      </c>
      <c r="M1160">
        <v>2.23</v>
      </c>
      <c r="N1160">
        <v>23</v>
      </c>
      <c r="O1160" t="s">
        <v>46</v>
      </c>
      <c r="Q1160" t="s">
        <v>793</v>
      </c>
      <c r="R1160" t="s">
        <v>49</v>
      </c>
      <c r="S1160" t="s">
        <v>50</v>
      </c>
    </row>
    <row r="1161" spans="1:19" x14ac:dyDescent="0.25">
      <c r="A1161" t="s">
        <v>30</v>
      </c>
      <c r="B1161" t="s">
        <v>31</v>
      </c>
      <c r="C1161" t="s">
        <v>32</v>
      </c>
      <c r="D1161" t="s">
        <v>33</v>
      </c>
      <c r="E1161" t="s">
        <v>34</v>
      </c>
      <c r="F1161" t="s">
        <v>35</v>
      </c>
      <c r="G1161" t="s">
        <v>35</v>
      </c>
      <c r="H1161" t="s">
        <v>35</v>
      </c>
      <c r="J1161" t="s">
        <v>1167</v>
      </c>
      <c r="K1161" t="s">
        <v>1092</v>
      </c>
      <c r="M1161">
        <v>2.25</v>
      </c>
      <c r="N1161">
        <v>24</v>
      </c>
      <c r="O1161" t="s">
        <v>46</v>
      </c>
      <c r="Q1161" t="s">
        <v>972</v>
      </c>
      <c r="R1161" t="s">
        <v>49</v>
      </c>
      <c r="S1161" t="s">
        <v>50</v>
      </c>
    </row>
    <row r="1162" spans="1:19" x14ac:dyDescent="0.25">
      <c r="A1162" t="s">
        <v>44</v>
      </c>
      <c r="B1162" t="s">
        <v>3</v>
      </c>
      <c r="C1162" t="s">
        <v>32</v>
      </c>
      <c r="D1162" t="s">
        <v>33</v>
      </c>
      <c r="E1162" t="s">
        <v>34</v>
      </c>
      <c r="F1162" t="s">
        <v>35</v>
      </c>
      <c r="G1162" t="s">
        <v>35</v>
      </c>
      <c r="H1162" t="s">
        <v>35</v>
      </c>
      <c r="J1162" t="s">
        <v>1103</v>
      </c>
      <c r="K1162" t="s">
        <v>1092</v>
      </c>
      <c r="M1162">
        <v>0.75</v>
      </c>
      <c r="N1162">
        <v>203</v>
      </c>
      <c r="O1162" t="s">
        <v>5</v>
      </c>
      <c r="Q1162" t="s">
        <v>1104</v>
      </c>
      <c r="R1162" t="s">
        <v>49</v>
      </c>
      <c r="S1162" t="s">
        <v>50</v>
      </c>
    </row>
    <row r="1163" spans="1:19" x14ac:dyDescent="0.25">
      <c r="A1163" t="s">
        <v>59</v>
      </c>
      <c r="B1163" t="s">
        <v>60</v>
      </c>
      <c r="C1163" t="s">
        <v>32</v>
      </c>
      <c r="D1163" t="s">
        <v>33</v>
      </c>
      <c r="E1163" t="s">
        <v>34</v>
      </c>
      <c r="F1163" t="s">
        <v>35</v>
      </c>
      <c r="G1163" t="s">
        <v>35</v>
      </c>
      <c r="H1163" t="s">
        <v>35</v>
      </c>
      <c r="J1163" t="s">
        <v>1106</v>
      </c>
      <c r="K1163" t="s">
        <v>1092</v>
      </c>
      <c r="M1163">
        <v>0.04</v>
      </c>
      <c r="N1163">
        <v>486</v>
      </c>
      <c r="O1163" t="s">
        <v>294</v>
      </c>
      <c r="Q1163" t="s">
        <v>1107</v>
      </c>
      <c r="R1163" t="s">
        <v>49</v>
      </c>
      <c r="S1163" t="s">
        <v>50</v>
      </c>
    </row>
    <row r="1164" spans="1:19" x14ac:dyDescent="0.25">
      <c r="A1164" t="s">
        <v>30</v>
      </c>
      <c r="B1164" t="s">
        <v>31</v>
      </c>
      <c r="C1164" t="s">
        <v>32</v>
      </c>
      <c r="D1164" t="s">
        <v>33</v>
      </c>
      <c r="E1164" t="s">
        <v>34</v>
      </c>
      <c r="F1164" t="s">
        <v>35</v>
      </c>
      <c r="G1164" t="s">
        <v>35</v>
      </c>
      <c r="H1164" t="s">
        <v>35</v>
      </c>
      <c r="J1164" t="s">
        <v>1123</v>
      </c>
      <c r="K1164" t="s">
        <v>1092</v>
      </c>
      <c r="M1164">
        <v>4.5</v>
      </c>
      <c r="N1164">
        <v>24</v>
      </c>
      <c r="O1164" t="s">
        <v>46</v>
      </c>
      <c r="Q1164" t="s">
        <v>972</v>
      </c>
      <c r="R1164" t="s">
        <v>49</v>
      </c>
      <c r="S1164" t="s">
        <v>50</v>
      </c>
    </row>
    <row r="1165" spans="1:19" x14ac:dyDescent="0.25">
      <c r="A1165" t="s">
        <v>44</v>
      </c>
      <c r="B1165" t="s">
        <v>3</v>
      </c>
      <c r="C1165" t="s">
        <v>32</v>
      </c>
      <c r="D1165" t="s">
        <v>33</v>
      </c>
      <c r="E1165" t="s">
        <v>34</v>
      </c>
      <c r="F1165" t="s">
        <v>35</v>
      </c>
      <c r="G1165" t="s">
        <v>35</v>
      </c>
      <c r="H1165" t="s">
        <v>35</v>
      </c>
      <c r="J1165" t="s">
        <v>1123</v>
      </c>
      <c r="K1165" t="s">
        <v>1092</v>
      </c>
      <c r="M1165">
        <v>0.5</v>
      </c>
      <c r="N1165">
        <v>165</v>
      </c>
      <c r="O1165" t="s">
        <v>38</v>
      </c>
      <c r="Q1165" t="s">
        <v>1124</v>
      </c>
      <c r="R1165" t="s">
        <v>49</v>
      </c>
      <c r="S1165" t="s">
        <v>50</v>
      </c>
    </row>
    <row r="1166" spans="1:19" x14ac:dyDescent="0.25">
      <c r="A1166" t="s">
        <v>44</v>
      </c>
      <c r="B1166" t="s">
        <v>3</v>
      </c>
      <c r="C1166" t="s">
        <v>32</v>
      </c>
      <c r="D1166" t="s">
        <v>33</v>
      </c>
      <c r="E1166" t="s">
        <v>34</v>
      </c>
      <c r="F1166" t="s">
        <v>35</v>
      </c>
      <c r="G1166" t="s">
        <v>35</v>
      </c>
      <c r="H1166" t="s">
        <v>35</v>
      </c>
      <c r="J1166" t="s">
        <v>1139</v>
      </c>
      <c r="K1166" t="s">
        <v>1092</v>
      </c>
      <c r="M1166">
        <v>0.2</v>
      </c>
      <c r="N1166">
        <v>229</v>
      </c>
      <c r="O1166" t="s">
        <v>5</v>
      </c>
      <c r="Q1166" t="s">
        <v>1140</v>
      </c>
      <c r="R1166" t="s">
        <v>49</v>
      </c>
      <c r="S1166" t="s">
        <v>50</v>
      </c>
    </row>
    <row r="1167" spans="1:19" x14ac:dyDescent="0.25">
      <c r="A1167" t="s">
        <v>59</v>
      </c>
      <c r="B1167" t="s">
        <v>31</v>
      </c>
      <c r="C1167" t="s">
        <v>32</v>
      </c>
      <c r="D1167" t="s">
        <v>33</v>
      </c>
      <c r="E1167" t="s">
        <v>34</v>
      </c>
      <c r="F1167" t="s">
        <v>35</v>
      </c>
      <c r="G1167" t="s">
        <v>35</v>
      </c>
      <c r="H1167" t="s">
        <v>35</v>
      </c>
      <c r="J1167" t="s">
        <v>1139</v>
      </c>
      <c r="K1167" t="s">
        <v>1092</v>
      </c>
      <c r="M1167">
        <v>0.09</v>
      </c>
      <c r="N1167">
        <v>229</v>
      </c>
      <c r="O1167" t="s">
        <v>5</v>
      </c>
      <c r="Q1167" t="s">
        <v>1140</v>
      </c>
      <c r="R1167" t="s">
        <v>49</v>
      </c>
      <c r="S1167" t="s">
        <v>50</v>
      </c>
    </row>
    <row r="1168" spans="1:19" x14ac:dyDescent="0.25">
      <c r="A1168" t="s">
        <v>59</v>
      </c>
      <c r="B1168" t="s">
        <v>60</v>
      </c>
      <c r="C1168" t="s">
        <v>32</v>
      </c>
      <c r="D1168" t="s">
        <v>33</v>
      </c>
      <c r="E1168" t="s">
        <v>34</v>
      </c>
      <c r="F1168" t="s">
        <v>35</v>
      </c>
      <c r="G1168" t="s">
        <v>35</v>
      </c>
      <c r="H1168" t="s">
        <v>35</v>
      </c>
      <c r="J1168" t="s">
        <v>1139</v>
      </c>
      <c r="K1168" t="s">
        <v>1092</v>
      </c>
      <c r="M1168">
        <v>0.1</v>
      </c>
      <c r="N1168">
        <v>229</v>
      </c>
      <c r="O1168" t="s">
        <v>5</v>
      </c>
      <c r="Q1168" t="s">
        <v>1140</v>
      </c>
      <c r="R1168" t="s">
        <v>49</v>
      </c>
      <c r="S1168" t="s">
        <v>50</v>
      </c>
    </row>
    <row r="1169" spans="1:19" x14ac:dyDescent="0.25">
      <c r="A1169" t="s">
        <v>44</v>
      </c>
      <c r="B1169" t="s">
        <v>3</v>
      </c>
      <c r="C1169" t="s">
        <v>32</v>
      </c>
      <c r="D1169" t="s">
        <v>33</v>
      </c>
      <c r="E1169" t="s">
        <v>34</v>
      </c>
      <c r="F1169" t="s">
        <v>35</v>
      </c>
      <c r="G1169" t="s">
        <v>35</v>
      </c>
      <c r="H1169" t="s">
        <v>35</v>
      </c>
      <c r="J1169" t="s">
        <v>1143</v>
      </c>
      <c r="K1169" t="s">
        <v>1144</v>
      </c>
      <c r="M1169">
        <v>3.25</v>
      </c>
      <c r="N1169">
        <v>150</v>
      </c>
      <c r="O1169" t="s">
        <v>38</v>
      </c>
      <c r="Q1169" t="s">
        <v>1145</v>
      </c>
      <c r="R1169" t="s">
        <v>49</v>
      </c>
      <c r="S1169" t="s">
        <v>50</v>
      </c>
    </row>
    <row r="1170" spans="1:19" x14ac:dyDescent="0.25">
      <c r="A1170" t="s">
        <v>44</v>
      </c>
      <c r="B1170" t="s">
        <v>3</v>
      </c>
      <c r="C1170" t="s">
        <v>32</v>
      </c>
      <c r="D1170" t="s">
        <v>33</v>
      </c>
      <c r="E1170" t="s">
        <v>34</v>
      </c>
      <c r="F1170" t="s">
        <v>35</v>
      </c>
      <c r="G1170" t="s">
        <v>35</v>
      </c>
      <c r="H1170" t="s">
        <v>35</v>
      </c>
      <c r="J1170" t="s">
        <v>1143</v>
      </c>
      <c r="K1170" t="s">
        <v>1144</v>
      </c>
      <c r="M1170">
        <v>2.75</v>
      </c>
      <c r="N1170">
        <v>165</v>
      </c>
      <c r="O1170" t="s">
        <v>38</v>
      </c>
      <c r="Q1170" t="s">
        <v>1124</v>
      </c>
      <c r="R1170" t="s">
        <v>49</v>
      </c>
      <c r="S1170" t="s">
        <v>50</v>
      </c>
    </row>
    <row r="1171" spans="1:19" x14ac:dyDescent="0.25">
      <c r="A1171" t="s">
        <v>59</v>
      </c>
      <c r="B1171" t="s">
        <v>60</v>
      </c>
      <c r="C1171" t="s">
        <v>32</v>
      </c>
      <c r="D1171" t="s">
        <v>33</v>
      </c>
      <c r="E1171" t="s">
        <v>34</v>
      </c>
      <c r="F1171" t="s">
        <v>35</v>
      </c>
      <c r="G1171" t="s">
        <v>35</v>
      </c>
      <c r="H1171" t="s">
        <v>35</v>
      </c>
      <c r="J1171" t="s">
        <v>1143</v>
      </c>
      <c r="K1171" t="s">
        <v>1144</v>
      </c>
      <c r="M1171">
        <v>5.5</v>
      </c>
      <c r="N1171">
        <v>64</v>
      </c>
      <c r="O1171" t="s">
        <v>61</v>
      </c>
      <c r="Q1171" t="s">
        <v>102</v>
      </c>
      <c r="R1171" t="s">
        <v>49</v>
      </c>
      <c r="S1171" t="s">
        <v>50</v>
      </c>
    </row>
    <row r="1172" spans="1:19" x14ac:dyDescent="0.25">
      <c r="A1172" t="s">
        <v>30</v>
      </c>
      <c r="B1172" t="s">
        <v>31</v>
      </c>
      <c r="C1172" t="s">
        <v>32</v>
      </c>
      <c r="D1172" t="s">
        <v>33</v>
      </c>
      <c r="E1172" t="s">
        <v>34</v>
      </c>
      <c r="F1172" t="s">
        <v>35</v>
      </c>
      <c r="G1172" t="s">
        <v>35</v>
      </c>
      <c r="H1172" t="s">
        <v>35</v>
      </c>
      <c r="J1172" t="s">
        <v>1131</v>
      </c>
      <c r="K1172" t="s">
        <v>1092</v>
      </c>
      <c r="M1172">
        <v>0.4</v>
      </c>
      <c r="N1172">
        <v>2507</v>
      </c>
      <c r="O1172" t="s">
        <v>575</v>
      </c>
      <c r="Q1172" t="s">
        <v>1132</v>
      </c>
      <c r="R1172" t="s">
        <v>49</v>
      </c>
      <c r="S1172" t="s">
        <v>50</v>
      </c>
    </row>
    <row r="1173" spans="1:19" x14ac:dyDescent="0.25">
      <c r="A1173" t="s">
        <v>59</v>
      </c>
      <c r="B1173" t="s">
        <v>60</v>
      </c>
      <c r="C1173" t="s">
        <v>32</v>
      </c>
      <c r="D1173" t="s">
        <v>33</v>
      </c>
      <c r="E1173" t="s">
        <v>34</v>
      </c>
      <c r="F1173" t="s">
        <v>35</v>
      </c>
      <c r="G1173" t="s">
        <v>35</v>
      </c>
      <c r="H1173" t="s">
        <v>35</v>
      </c>
      <c r="J1173" t="s">
        <v>1131</v>
      </c>
      <c r="K1173" t="s">
        <v>1092</v>
      </c>
      <c r="M1173">
        <v>3.45</v>
      </c>
      <c r="N1173">
        <v>2071</v>
      </c>
      <c r="O1173" t="s">
        <v>575</v>
      </c>
      <c r="Q1173" t="s">
        <v>1133</v>
      </c>
      <c r="R1173" t="s">
        <v>49</v>
      </c>
      <c r="S1173" t="s">
        <v>50</v>
      </c>
    </row>
    <row r="1174" spans="1:19" x14ac:dyDescent="0.25">
      <c r="A1174" t="s">
        <v>59</v>
      </c>
      <c r="B1174" t="s">
        <v>31</v>
      </c>
      <c r="C1174" t="s">
        <v>32</v>
      </c>
      <c r="D1174" t="s">
        <v>33</v>
      </c>
      <c r="E1174" t="s">
        <v>34</v>
      </c>
      <c r="F1174" t="s">
        <v>35</v>
      </c>
      <c r="G1174" t="s">
        <v>35</v>
      </c>
      <c r="H1174" t="s">
        <v>35</v>
      </c>
      <c r="J1174" t="s">
        <v>1131</v>
      </c>
      <c r="K1174" t="s">
        <v>1092</v>
      </c>
      <c r="M1174">
        <v>1.8</v>
      </c>
      <c r="N1174">
        <v>2071</v>
      </c>
      <c r="O1174" t="s">
        <v>575</v>
      </c>
      <c r="Q1174" t="s">
        <v>1133</v>
      </c>
      <c r="R1174" t="s">
        <v>49</v>
      </c>
      <c r="S1174" t="s">
        <v>50</v>
      </c>
    </row>
    <row r="1175" spans="1:19" x14ac:dyDescent="0.25">
      <c r="A1175" t="s">
        <v>59</v>
      </c>
      <c r="B1175" t="s">
        <v>60</v>
      </c>
      <c r="C1175" t="s">
        <v>32</v>
      </c>
      <c r="D1175" t="s">
        <v>33</v>
      </c>
      <c r="E1175" t="s">
        <v>34</v>
      </c>
      <c r="F1175" t="s">
        <v>35</v>
      </c>
      <c r="G1175" t="s">
        <v>35</v>
      </c>
      <c r="H1175" t="s">
        <v>35</v>
      </c>
      <c r="J1175" t="s">
        <v>1131</v>
      </c>
      <c r="K1175" t="s">
        <v>1092</v>
      </c>
      <c r="M1175">
        <v>0.5</v>
      </c>
      <c r="N1175">
        <v>1965</v>
      </c>
      <c r="O1175" t="s">
        <v>575</v>
      </c>
      <c r="Q1175" t="s">
        <v>1134</v>
      </c>
      <c r="R1175" t="s">
        <v>49</v>
      </c>
      <c r="S1175" t="s">
        <v>50</v>
      </c>
    </row>
    <row r="1176" spans="1:19" x14ac:dyDescent="0.25">
      <c r="A1176" t="s">
        <v>59</v>
      </c>
      <c r="B1176" t="s">
        <v>60</v>
      </c>
      <c r="C1176" t="s">
        <v>32</v>
      </c>
      <c r="D1176" t="s">
        <v>33</v>
      </c>
      <c r="E1176" t="s">
        <v>34</v>
      </c>
      <c r="F1176" t="s">
        <v>35</v>
      </c>
      <c r="G1176" t="s">
        <v>35</v>
      </c>
      <c r="H1176" t="s">
        <v>35</v>
      </c>
      <c r="J1176" t="s">
        <v>1131</v>
      </c>
      <c r="K1176" t="s">
        <v>1092</v>
      </c>
      <c r="M1176">
        <v>0.15</v>
      </c>
      <c r="N1176">
        <v>1967</v>
      </c>
      <c r="O1176" t="s">
        <v>575</v>
      </c>
      <c r="Q1176" t="s">
        <v>1135</v>
      </c>
      <c r="R1176" t="s">
        <v>49</v>
      </c>
      <c r="S1176" t="s">
        <v>50</v>
      </c>
    </row>
    <row r="1177" spans="1:19" x14ac:dyDescent="0.25">
      <c r="A1177" t="s">
        <v>59</v>
      </c>
      <c r="B1177" t="s">
        <v>60</v>
      </c>
      <c r="C1177" t="s">
        <v>32</v>
      </c>
      <c r="D1177" t="s">
        <v>33</v>
      </c>
      <c r="E1177" t="s">
        <v>34</v>
      </c>
      <c r="F1177" t="s">
        <v>35</v>
      </c>
      <c r="G1177" t="s">
        <v>35</v>
      </c>
      <c r="H1177" t="s">
        <v>35</v>
      </c>
      <c r="J1177" t="s">
        <v>1131</v>
      </c>
      <c r="K1177" t="s">
        <v>1092</v>
      </c>
      <c r="M1177">
        <v>0.5</v>
      </c>
      <c r="N1177">
        <v>1986</v>
      </c>
      <c r="O1177" t="s">
        <v>575</v>
      </c>
      <c r="Q1177" t="s">
        <v>1136</v>
      </c>
      <c r="R1177" t="s">
        <v>49</v>
      </c>
      <c r="S1177" t="s">
        <v>50</v>
      </c>
    </row>
    <row r="1178" spans="1:19" x14ac:dyDescent="0.25">
      <c r="A1178" t="s">
        <v>59</v>
      </c>
      <c r="B1178" t="s">
        <v>60</v>
      </c>
      <c r="C1178" t="s">
        <v>32</v>
      </c>
      <c r="D1178" t="s">
        <v>33</v>
      </c>
      <c r="E1178" t="s">
        <v>34</v>
      </c>
      <c r="F1178" t="s">
        <v>35</v>
      </c>
      <c r="G1178" t="s">
        <v>35</v>
      </c>
      <c r="H1178" t="s">
        <v>35</v>
      </c>
      <c r="J1178" t="s">
        <v>1131</v>
      </c>
      <c r="K1178" t="s">
        <v>1092</v>
      </c>
      <c r="M1178">
        <v>0.25</v>
      </c>
      <c r="N1178">
        <v>1974</v>
      </c>
      <c r="O1178" t="s">
        <v>575</v>
      </c>
      <c r="Q1178" t="s">
        <v>1137</v>
      </c>
      <c r="R1178" t="s">
        <v>49</v>
      </c>
      <c r="S1178" t="s">
        <v>50</v>
      </c>
    </row>
    <row r="1179" spans="1:19" x14ac:dyDescent="0.25">
      <c r="A1179" t="s">
        <v>59</v>
      </c>
      <c r="B1179" t="s">
        <v>60</v>
      </c>
      <c r="C1179" t="s">
        <v>32</v>
      </c>
      <c r="D1179" t="s">
        <v>33</v>
      </c>
      <c r="E1179" t="s">
        <v>34</v>
      </c>
      <c r="F1179" t="s">
        <v>35</v>
      </c>
      <c r="G1179" t="s">
        <v>35</v>
      </c>
      <c r="H1179" t="s">
        <v>35</v>
      </c>
      <c r="J1179" t="s">
        <v>1131</v>
      </c>
      <c r="K1179" t="s">
        <v>1092</v>
      </c>
      <c r="M1179">
        <v>0.50900000000000001</v>
      </c>
      <c r="N1179">
        <v>2507</v>
      </c>
      <c r="O1179" t="s">
        <v>575</v>
      </c>
      <c r="Q1179" t="s">
        <v>1132</v>
      </c>
      <c r="R1179" t="s">
        <v>49</v>
      </c>
      <c r="S1179" t="s">
        <v>50</v>
      </c>
    </row>
    <row r="1180" spans="1:19" x14ac:dyDescent="0.25">
      <c r="A1180" t="s">
        <v>59</v>
      </c>
      <c r="B1180" t="s">
        <v>60</v>
      </c>
      <c r="C1180" t="s">
        <v>32</v>
      </c>
      <c r="D1180" t="s">
        <v>33</v>
      </c>
      <c r="E1180" t="s">
        <v>34</v>
      </c>
      <c r="F1180" t="s">
        <v>35</v>
      </c>
      <c r="G1180" t="s">
        <v>35</v>
      </c>
      <c r="H1180" t="s">
        <v>35</v>
      </c>
      <c r="J1180" t="s">
        <v>1198</v>
      </c>
      <c r="K1180" t="s">
        <v>1092</v>
      </c>
      <c r="M1180">
        <v>1.1000000000000001</v>
      </c>
      <c r="N1180">
        <v>452</v>
      </c>
      <c r="O1180" t="s">
        <v>294</v>
      </c>
      <c r="Q1180" t="s">
        <v>1199</v>
      </c>
      <c r="R1180" t="s">
        <v>49</v>
      </c>
      <c r="S1180" t="s">
        <v>50</v>
      </c>
    </row>
    <row r="1181" spans="1:19" x14ac:dyDescent="0.25">
      <c r="A1181" t="s">
        <v>59</v>
      </c>
      <c r="B1181" t="s">
        <v>60</v>
      </c>
      <c r="C1181" t="s">
        <v>32</v>
      </c>
      <c r="D1181" t="s">
        <v>33</v>
      </c>
      <c r="E1181" t="s">
        <v>34</v>
      </c>
      <c r="F1181" t="s">
        <v>35</v>
      </c>
      <c r="G1181" t="s">
        <v>35</v>
      </c>
      <c r="H1181" t="s">
        <v>35</v>
      </c>
      <c r="J1181" t="s">
        <v>1198</v>
      </c>
      <c r="K1181" t="s">
        <v>1092</v>
      </c>
      <c r="M1181">
        <v>0.85</v>
      </c>
      <c r="N1181">
        <v>509</v>
      </c>
      <c r="O1181" t="s">
        <v>294</v>
      </c>
      <c r="Q1181" t="s">
        <v>1200</v>
      </c>
      <c r="R1181" t="s">
        <v>49</v>
      </c>
      <c r="S1181" t="s">
        <v>50</v>
      </c>
    </row>
    <row r="1182" spans="1:19" x14ac:dyDescent="0.25">
      <c r="A1182" t="s">
        <v>30</v>
      </c>
      <c r="B1182" t="s">
        <v>31</v>
      </c>
      <c r="C1182" t="s">
        <v>32</v>
      </c>
      <c r="D1182" t="s">
        <v>33</v>
      </c>
      <c r="E1182" t="s">
        <v>34</v>
      </c>
      <c r="F1182" t="s">
        <v>35</v>
      </c>
      <c r="G1182" t="s">
        <v>35</v>
      </c>
      <c r="H1182" t="s">
        <v>35</v>
      </c>
      <c r="J1182" t="s">
        <v>1198</v>
      </c>
      <c r="K1182" t="s">
        <v>1092</v>
      </c>
      <c r="M1182">
        <v>2.0249999999999999</v>
      </c>
      <c r="N1182">
        <v>24</v>
      </c>
      <c r="O1182" t="s">
        <v>46</v>
      </c>
      <c r="Q1182" t="s">
        <v>972</v>
      </c>
      <c r="R1182" t="s">
        <v>49</v>
      </c>
      <c r="S1182" t="s">
        <v>50</v>
      </c>
    </row>
    <row r="1183" spans="1:19" x14ac:dyDescent="0.25">
      <c r="A1183" t="s">
        <v>44</v>
      </c>
      <c r="B1183" t="s">
        <v>51</v>
      </c>
      <c r="C1183" t="s">
        <v>32</v>
      </c>
      <c r="D1183" t="s">
        <v>33</v>
      </c>
      <c r="E1183" t="s">
        <v>122</v>
      </c>
      <c r="F1183" t="s">
        <v>35</v>
      </c>
      <c r="G1183" t="s">
        <v>35</v>
      </c>
      <c r="H1183" t="s">
        <v>35</v>
      </c>
      <c r="J1183" t="s">
        <v>1781</v>
      </c>
      <c r="K1183" t="s">
        <v>1092</v>
      </c>
      <c r="M1183">
        <v>0.5</v>
      </c>
      <c r="N1183">
        <v>318</v>
      </c>
      <c r="O1183" t="s">
        <v>5</v>
      </c>
      <c r="Q1183" t="s">
        <v>1782</v>
      </c>
      <c r="R1183" t="s">
        <v>1352</v>
      </c>
      <c r="S1183" t="s">
        <v>141</v>
      </c>
    </row>
    <row r="1184" spans="1:19" x14ac:dyDescent="0.25">
      <c r="A1184" t="s">
        <v>44</v>
      </c>
      <c r="B1184" t="s">
        <v>3</v>
      </c>
      <c r="C1184" t="s">
        <v>32</v>
      </c>
      <c r="D1184" t="s">
        <v>33</v>
      </c>
      <c r="E1184" t="s">
        <v>122</v>
      </c>
      <c r="F1184" t="s">
        <v>35</v>
      </c>
      <c r="G1184" t="s">
        <v>35</v>
      </c>
      <c r="H1184" t="s">
        <v>35</v>
      </c>
      <c r="J1184" t="s">
        <v>1770</v>
      </c>
      <c r="K1184" t="s">
        <v>1092</v>
      </c>
      <c r="M1184">
        <v>1</v>
      </c>
      <c r="N1184">
        <v>18</v>
      </c>
      <c r="O1184" t="s">
        <v>46</v>
      </c>
      <c r="Q1184" t="s">
        <v>831</v>
      </c>
      <c r="R1184" t="s">
        <v>1352</v>
      </c>
      <c r="S1184" t="s">
        <v>141</v>
      </c>
    </row>
    <row r="1185" spans="1:19" x14ac:dyDescent="0.25">
      <c r="A1185" t="s">
        <v>44</v>
      </c>
      <c r="B1185" t="s">
        <v>51</v>
      </c>
      <c r="C1185" t="s">
        <v>32</v>
      </c>
      <c r="D1185" t="s">
        <v>33</v>
      </c>
      <c r="E1185" t="s">
        <v>122</v>
      </c>
      <c r="F1185" t="s">
        <v>35</v>
      </c>
      <c r="G1185" t="s">
        <v>35</v>
      </c>
      <c r="H1185" t="s">
        <v>35</v>
      </c>
      <c r="J1185" t="s">
        <v>1748</v>
      </c>
      <c r="K1185" t="s">
        <v>1092</v>
      </c>
      <c r="M1185">
        <v>0.5</v>
      </c>
      <c r="N1185">
        <v>301</v>
      </c>
      <c r="O1185" t="s">
        <v>5</v>
      </c>
      <c r="Q1185" t="s">
        <v>1567</v>
      </c>
      <c r="R1185" t="s">
        <v>1352</v>
      </c>
      <c r="S1185" t="s">
        <v>141</v>
      </c>
    </row>
    <row r="1186" spans="1:19" x14ac:dyDescent="0.25">
      <c r="A1186" t="s">
        <v>44</v>
      </c>
      <c r="B1186" t="s">
        <v>3</v>
      </c>
      <c r="C1186" t="s">
        <v>32</v>
      </c>
      <c r="D1186" t="s">
        <v>33</v>
      </c>
      <c r="E1186" t="s">
        <v>122</v>
      </c>
      <c r="F1186" t="s">
        <v>35</v>
      </c>
      <c r="G1186" t="s">
        <v>35</v>
      </c>
      <c r="H1186" t="s">
        <v>35</v>
      </c>
      <c r="J1186" t="s">
        <v>1748</v>
      </c>
      <c r="K1186" t="s">
        <v>1092</v>
      </c>
      <c r="M1186">
        <v>0.5</v>
      </c>
      <c r="N1186">
        <v>417</v>
      </c>
      <c r="O1186" t="s">
        <v>294</v>
      </c>
      <c r="Q1186" t="s">
        <v>1749</v>
      </c>
      <c r="R1186" t="s">
        <v>1352</v>
      </c>
      <c r="S1186" t="s">
        <v>141</v>
      </c>
    </row>
    <row r="1187" spans="1:19" x14ac:dyDescent="0.25">
      <c r="A1187" t="s">
        <v>59</v>
      </c>
      <c r="B1187" t="s">
        <v>60</v>
      </c>
      <c r="C1187" t="s">
        <v>32</v>
      </c>
      <c r="D1187" t="s">
        <v>33</v>
      </c>
      <c r="F1187" t="s">
        <v>35</v>
      </c>
      <c r="G1187" t="s">
        <v>35</v>
      </c>
      <c r="H1187" t="s">
        <v>35</v>
      </c>
      <c r="J1187" t="s">
        <v>2345</v>
      </c>
      <c r="K1187" t="s">
        <v>1092</v>
      </c>
      <c r="M1187">
        <v>5.5E-2</v>
      </c>
      <c r="N1187">
        <v>2516</v>
      </c>
      <c r="O1187" t="s">
        <v>575</v>
      </c>
      <c r="Q1187" t="s">
        <v>2346</v>
      </c>
      <c r="R1187" t="s">
        <v>1352</v>
      </c>
      <c r="S1187" t="s">
        <v>141</v>
      </c>
    </row>
    <row r="1188" spans="1:19" x14ac:dyDescent="0.25">
      <c r="A1188" t="s">
        <v>44</v>
      </c>
      <c r="B1188" t="s">
        <v>3</v>
      </c>
      <c r="C1188" t="s">
        <v>32</v>
      </c>
      <c r="D1188" t="s">
        <v>33</v>
      </c>
      <c r="E1188" t="s">
        <v>122</v>
      </c>
      <c r="F1188" t="s">
        <v>35</v>
      </c>
      <c r="G1188" t="s">
        <v>35</v>
      </c>
      <c r="H1188" t="s">
        <v>35</v>
      </c>
      <c r="J1188" t="s">
        <v>1801</v>
      </c>
      <c r="K1188" t="s">
        <v>1092</v>
      </c>
      <c r="M1188">
        <v>0.16500000000000001</v>
      </c>
      <c r="N1188">
        <v>413</v>
      </c>
      <c r="O1188" t="s">
        <v>294</v>
      </c>
      <c r="Q1188" t="s">
        <v>1643</v>
      </c>
      <c r="R1188" t="s">
        <v>1352</v>
      </c>
      <c r="S1188" t="s">
        <v>141</v>
      </c>
    </row>
    <row r="1189" spans="1:19" x14ac:dyDescent="0.25">
      <c r="A1189" t="s">
        <v>44</v>
      </c>
      <c r="B1189" t="s">
        <v>51</v>
      </c>
      <c r="C1189" t="s">
        <v>32</v>
      </c>
      <c r="D1189" t="s">
        <v>33</v>
      </c>
      <c r="E1189" t="s">
        <v>122</v>
      </c>
      <c r="F1189" t="s">
        <v>35</v>
      </c>
      <c r="G1189" t="s">
        <v>35</v>
      </c>
      <c r="H1189" t="s">
        <v>35</v>
      </c>
      <c r="J1189" t="s">
        <v>50</v>
      </c>
      <c r="K1189" t="s">
        <v>1092</v>
      </c>
      <c r="M1189">
        <v>0.25</v>
      </c>
      <c r="N1189">
        <v>314</v>
      </c>
      <c r="O1189" t="s">
        <v>5</v>
      </c>
      <c r="Q1189" t="s">
        <v>1824</v>
      </c>
      <c r="R1189" t="s">
        <v>1352</v>
      </c>
      <c r="S1189" t="s">
        <v>141</v>
      </c>
    </row>
    <row r="1190" spans="1:19" x14ac:dyDescent="0.25">
      <c r="A1190" t="s">
        <v>44</v>
      </c>
      <c r="B1190" t="s">
        <v>51</v>
      </c>
      <c r="C1190" t="s">
        <v>32</v>
      </c>
      <c r="D1190" t="s">
        <v>33</v>
      </c>
      <c r="E1190" t="s">
        <v>122</v>
      </c>
      <c r="F1190" t="s">
        <v>35</v>
      </c>
      <c r="G1190" t="s">
        <v>35</v>
      </c>
      <c r="H1190" t="s">
        <v>35</v>
      </c>
      <c r="J1190" t="s">
        <v>50</v>
      </c>
      <c r="K1190" t="s">
        <v>1092</v>
      </c>
      <c r="M1190">
        <v>0.5</v>
      </c>
      <c r="N1190">
        <v>330</v>
      </c>
      <c r="O1190" t="s">
        <v>5</v>
      </c>
      <c r="Q1190" t="s">
        <v>1825</v>
      </c>
      <c r="R1190" t="s">
        <v>1352</v>
      </c>
      <c r="S1190" t="s">
        <v>141</v>
      </c>
    </row>
    <row r="1191" spans="1:19" x14ac:dyDescent="0.25">
      <c r="A1191" t="s">
        <v>44</v>
      </c>
      <c r="B1191" t="s">
        <v>3</v>
      </c>
      <c r="C1191" t="s">
        <v>32</v>
      </c>
      <c r="D1191" t="s">
        <v>33</v>
      </c>
      <c r="E1191" t="s">
        <v>122</v>
      </c>
      <c r="F1191" t="s">
        <v>35</v>
      </c>
      <c r="G1191" t="s">
        <v>35</v>
      </c>
      <c r="H1191" t="s">
        <v>35</v>
      </c>
      <c r="J1191" t="s">
        <v>1790</v>
      </c>
      <c r="K1191" t="s">
        <v>1092</v>
      </c>
      <c r="M1191">
        <v>0.25</v>
      </c>
      <c r="N1191">
        <v>18</v>
      </c>
      <c r="O1191" t="s">
        <v>46</v>
      </c>
      <c r="Q1191" t="s">
        <v>831</v>
      </c>
      <c r="R1191" t="s">
        <v>1352</v>
      </c>
      <c r="S1191" t="s">
        <v>141</v>
      </c>
    </row>
    <row r="1192" spans="1:19" x14ac:dyDescent="0.25">
      <c r="A1192" t="s">
        <v>44</v>
      </c>
      <c r="B1192" t="s">
        <v>3</v>
      </c>
      <c r="C1192" t="s">
        <v>32</v>
      </c>
      <c r="D1192" t="s">
        <v>33</v>
      </c>
      <c r="E1192" t="s">
        <v>122</v>
      </c>
      <c r="F1192" t="s">
        <v>35</v>
      </c>
      <c r="G1192" t="s">
        <v>35</v>
      </c>
      <c r="H1192" t="s">
        <v>35</v>
      </c>
      <c r="J1192" t="s">
        <v>1722</v>
      </c>
      <c r="K1192" t="s">
        <v>1092</v>
      </c>
      <c r="M1192">
        <v>1.5</v>
      </c>
      <c r="N1192">
        <v>18</v>
      </c>
      <c r="O1192" t="s">
        <v>46</v>
      </c>
      <c r="Q1192" t="s">
        <v>831</v>
      </c>
      <c r="R1192" t="s">
        <v>1352</v>
      </c>
      <c r="S1192" t="s">
        <v>141</v>
      </c>
    </row>
    <row r="1193" spans="1:19" x14ac:dyDescent="0.25">
      <c r="A1193" t="s">
        <v>44</v>
      </c>
      <c r="B1193" t="s">
        <v>3</v>
      </c>
      <c r="C1193" t="s">
        <v>32</v>
      </c>
      <c r="D1193" t="s">
        <v>33</v>
      </c>
      <c r="E1193" t="s">
        <v>1292</v>
      </c>
      <c r="F1193" t="s">
        <v>35</v>
      </c>
      <c r="G1193" t="s">
        <v>35</v>
      </c>
      <c r="H1193" t="s">
        <v>35</v>
      </c>
      <c r="J1193" t="s">
        <v>1351</v>
      </c>
      <c r="K1193" t="s">
        <v>1092</v>
      </c>
      <c r="M1193">
        <v>0.75</v>
      </c>
      <c r="N1193">
        <v>19</v>
      </c>
      <c r="O1193" t="s">
        <v>46</v>
      </c>
      <c r="Q1193" t="s">
        <v>94</v>
      </c>
      <c r="R1193" t="s">
        <v>1352</v>
      </c>
      <c r="S1193" t="s">
        <v>141</v>
      </c>
    </row>
    <row r="1194" spans="1:19" x14ac:dyDescent="0.25">
      <c r="A1194" t="s">
        <v>44</v>
      </c>
      <c r="B1194" t="s">
        <v>3</v>
      </c>
      <c r="C1194" t="s">
        <v>32</v>
      </c>
      <c r="D1194" t="s">
        <v>33</v>
      </c>
      <c r="E1194" t="s">
        <v>122</v>
      </c>
      <c r="F1194" t="s">
        <v>35</v>
      </c>
      <c r="G1194" t="s">
        <v>35</v>
      </c>
      <c r="H1194" t="s">
        <v>35</v>
      </c>
      <c r="J1194" t="s">
        <v>1690</v>
      </c>
      <c r="K1194" t="s">
        <v>1092</v>
      </c>
      <c r="M1194">
        <v>1</v>
      </c>
      <c r="N1194">
        <v>18</v>
      </c>
      <c r="O1194" t="s">
        <v>46</v>
      </c>
      <c r="Q1194" t="s">
        <v>831</v>
      </c>
      <c r="R1194" t="s">
        <v>1352</v>
      </c>
      <c r="S1194" t="s">
        <v>141</v>
      </c>
    </row>
    <row r="1195" spans="1:19" x14ac:dyDescent="0.25">
      <c r="A1195" t="s">
        <v>44</v>
      </c>
      <c r="B1195" t="s">
        <v>3</v>
      </c>
      <c r="C1195" t="s">
        <v>32</v>
      </c>
      <c r="D1195" t="s">
        <v>33</v>
      </c>
      <c r="E1195" t="s">
        <v>122</v>
      </c>
      <c r="F1195" t="s">
        <v>35</v>
      </c>
      <c r="G1195" t="s">
        <v>35</v>
      </c>
      <c r="H1195" t="s">
        <v>35</v>
      </c>
      <c r="J1195" t="s">
        <v>1785</v>
      </c>
      <c r="K1195" t="s">
        <v>1092</v>
      </c>
      <c r="M1195">
        <v>0.5</v>
      </c>
      <c r="N1195">
        <v>4</v>
      </c>
      <c r="O1195" t="s">
        <v>46</v>
      </c>
      <c r="Q1195" t="s">
        <v>1053</v>
      </c>
      <c r="R1195" t="s">
        <v>1352</v>
      </c>
      <c r="S1195" t="s">
        <v>141</v>
      </c>
    </row>
    <row r="1196" spans="1:19" x14ac:dyDescent="0.25">
      <c r="A1196" t="s">
        <v>44</v>
      </c>
      <c r="B1196" t="s">
        <v>3</v>
      </c>
      <c r="C1196" t="s">
        <v>32</v>
      </c>
      <c r="D1196" t="s">
        <v>33</v>
      </c>
      <c r="E1196" t="s">
        <v>122</v>
      </c>
      <c r="F1196" t="s">
        <v>35</v>
      </c>
      <c r="G1196" t="s">
        <v>35</v>
      </c>
      <c r="H1196" t="s">
        <v>35</v>
      </c>
      <c r="J1196" t="s">
        <v>1785</v>
      </c>
      <c r="K1196" t="s">
        <v>1092</v>
      </c>
      <c r="M1196">
        <v>1</v>
      </c>
      <c r="N1196">
        <v>18</v>
      </c>
      <c r="O1196" t="s">
        <v>46</v>
      </c>
      <c r="Q1196" t="s">
        <v>831</v>
      </c>
      <c r="R1196" t="s">
        <v>1352</v>
      </c>
      <c r="S1196" t="s">
        <v>141</v>
      </c>
    </row>
    <row r="1197" spans="1:19" x14ac:dyDescent="0.25">
      <c r="A1197" t="s">
        <v>44</v>
      </c>
      <c r="B1197" t="s">
        <v>3</v>
      </c>
      <c r="C1197" t="s">
        <v>32</v>
      </c>
      <c r="D1197" t="s">
        <v>33</v>
      </c>
      <c r="E1197" t="s">
        <v>122</v>
      </c>
      <c r="F1197" t="s">
        <v>35</v>
      </c>
      <c r="G1197" t="s">
        <v>35</v>
      </c>
      <c r="H1197" t="s">
        <v>35</v>
      </c>
      <c r="J1197" t="s">
        <v>1343</v>
      </c>
      <c r="K1197" t="s">
        <v>1092</v>
      </c>
      <c r="M1197">
        <v>0.25</v>
      </c>
      <c r="N1197">
        <v>413</v>
      </c>
      <c r="O1197" t="s">
        <v>294</v>
      </c>
      <c r="Q1197" t="s">
        <v>1643</v>
      </c>
      <c r="R1197" t="s">
        <v>1352</v>
      </c>
      <c r="S1197" t="s">
        <v>141</v>
      </c>
    </row>
    <row r="1198" spans="1:19" x14ac:dyDescent="0.25">
      <c r="A1198" t="s">
        <v>59</v>
      </c>
      <c r="B1198" t="s">
        <v>60</v>
      </c>
      <c r="C1198" t="s">
        <v>32</v>
      </c>
      <c r="D1198" t="s">
        <v>33</v>
      </c>
      <c r="E1198" t="s">
        <v>122</v>
      </c>
      <c r="F1198" t="s">
        <v>35</v>
      </c>
      <c r="G1198" t="s">
        <v>35</v>
      </c>
      <c r="H1198" t="s">
        <v>35</v>
      </c>
      <c r="J1198" t="s">
        <v>1799</v>
      </c>
      <c r="K1198" t="s">
        <v>1092</v>
      </c>
      <c r="M1198">
        <v>1E-3</v>
      </c>
      <c r="N1198">
        <v>1875</v>
      </c>
      <c r="O1198" t="s">
        <v>575</v>
      </c>
      <c r="Q1198" t="s">
        <v>1800</v>
      </c>
      <c r="R1198" t="s">
        <v>1352</v>
      </c>
      <c r="S1198" t="s">
        <v>141</v>
      </c>
    </row>
    <row r="1199" spans="1:19" x14ac:dyDescent="0.25">
      <c r="A1199" t="s">
        <v>30</v>
      </c>
      <c r="B1199" t="s">
        <v>31</v>
      </c>
      <c r="C1199" t="s">
        <v>32</v>
      </c>
      <c r="D1199" t="s">
        <v>33</v>
      </c>
      <c r="F1199" t="s">
        <v>35</v>
      </c>
      <c r="G1199" t="s">
        <v>35</v>
      </c>
      <c r="H1199" t="s">
        <v>35</v>
      </c>
      <c r="J1199" t="s">
        <v>2250</v>
      </c>
      <c r="K1199" t="s">
        <v>1092</v>
      </c>
      <c r="M1199">
        <v>1.17</v>
      </c>
      <c r="N1199">
        <v>2220</v>
      </c>
      <c r="O1199" t="s">
        <v>575</v>
      </c>
      <c r="Q1199" t="s">
        <v>2251</v>
      </c>
      <c r="R1199" t="s">
        <v>2252</v>
      </c>
      <c r="S1199" t="s">
        <v>2250</v>
      </c>
    </row>
    <row r="1200" spans="1:19" x14ac:dyDescent="0.25">
      <c r="A1200" t="s">
        <v>59</v>
      </c>
      <c r="B1200" t="s">
        <v>60</v>
      </c>
      <c r="C1200" t="s">
        <v>32</v>
      </c>
      <c r="D1200" t="s">
        <v>33</v>
      </c>
      <c r="E1200" t="s">
        <v>162</v>
      </c>
      <c r="F1200" t="s">
        <v>35</v>
      </c>
      <c r="G1200" t="s">
        <v>35</v>
      </c>
      <c r="H1200" t="s">
        <v>35</v>
      </c>
      <c r="J1200" t="s">
        <v>1839</v>
      </c>
      <c r="K1200" t="s">
        <v>1092</v>
      </c>
      <c r="M1200">
        <v>5.0000000000000001E-3</v>
      </c>
      <c r="N1200">
        <v>2066</v>
      </c>
      <c r="O1200" t="s">
        <v>575</v>
      </c>
      <c r="Q1200" t="s">
        <v>1840</v>
      </c>
      <c r="R1200" t="s">
        <v>1841</v>
      </c>
      <c r="S1200" t="s">
        <v>1842</v>
      </c>
    </row>
    <row r="1201" spans="1:19" x14ac:dyDescent="0.25">
      <c r="A1201" t="s">
        <v>59</v>
      </c>
      <c r="B1201" t="s">
        <v>31</v>
      </c>
      <c r="C1201" t="s">
        <v>32</v>
      </c>
      <c r="D1201" t="s">
        <v>33</v>
      </c>
      <c r="E1201" t="s">
        <v>34</v>
      </c>
      <c r="F1201" t="s">
        <v>35</v>
      </c>
      <c r="G1201" t="s">
        <v>35</v>
      </c>
      <c r="H1201" t="s">
        <v>35</v>
      </c>
      <c r="J1201" t="s">
        <v>1117</v>
      </c>
      <c r="K1201" t="s">
        <v>1092</v>
      </c>
      <c r="M1201">
        <v>2.4300000000000002</v>
      </c>
      <c r="N1201">
        <v>88</v>
      </c>
      <c r="O1201" t="s">
        <v>61</v>
      </c>
      <c r="Q1201" t="s">
        <v>724</v>
      </c>
      <c r="R1201" t="s">
        <v>169</v>
      </c>
      <c r="S1201" t="s">
        <v>123</v>
      </c>
    </row>
    <row r="1202" spans="1:19" x14ac:dyDescent="0.25">
      <c r="A1202" t="s">
        <v>30</v>
      </c>
      <c r="B1202" t="s">
        <v>31</v>
      </c>
      <c r="C1202" t="s">
        <v>32</v>
      </c>
      <c r="D1202" t="s">
        <v>33</v>
      </c>
      <c r="E1202" t="s">
        <v>122</v>
      </c>
      <c r="F1202" t="s">
        <v>35</v>
      </c>
      <c r="G1202" t="s">
        <v>35</v>
      </c>
      <c r="H1202" t="s">
        <v>35</v>
      </c>
      <c r="J1202" t="s">
        <v>1812</v>
      </c>
      <c r="K1202" t="s">
        <v>1092</v>
      </c>
      <c r="M1202">
        <v>5.49</v>
      </c>
      <c r="N1202">
        <v>35</v>
      </c>
      <c r="O1202" t="s">
        <v>52</v>
      </c>
      <c r="Q1202" t="s">
        <v>991</v>
      </c>
      <c r="R1202" t="s">
        <v>169</v>
      </c>
      <c r="S1202" t="s">
        <v>123</v>
      </c>
    </row>
    <row r="1203" spans="1:19" x14ac:dyDescent="0.25">
      <c r="A1203" t="s">
        <v>59</v>
      </c>
      <c r="B1203" t="s">
        <v>60</v>
      </c>
      <c r="C1203" t="s">
        <v>32</v>
      </c>
      <c r="D1203" t="s">
        <v>33</v>
      </c>
      <c r="E1203" t="s">
        <v>64</v>
      </c>
      <c r="F1203" t="s">
        <v>35</v>
      </c>
      <c r="G1203" t="s">
        <v>35</v>
      </c>
      <c r="H1203" t="s">
        <v>35</v>
      </c>
      <c r="J1203" t="s">
        <v>1203</v>
      </c>
      <c r="K1203" t="s">
        <v>1092</v>
      </c>
      <c r="M1203">
        <v>4.05</v>
      </c>
      <c r="N1203">
        <v>61</v>
      </c>
      <c r="O1203" t="s">
        <v>61</v>
      </c>
      <c r="Q1203" t="s">
        <v>146</v>
      </c>
      <c r="R1203" t="s">
        <v>169</v>
      </c>
      <c r="S1203" t="s">
        <v>123</v>
      </c>
    </row>
    <row r="1204" spans="1:19" x14ac:dyDescent="0.25">
      <c r="A1204" t="s">
        <v>30</v>
      </c>
      <c r="B1204" t="s">
        <v>31</v>
      </c>
      <c r="C1204" t="s">
        <v>32</v>
      </c>
      <c r="D1204" t="s">
        <v>33</v>
      </c>
      <c r="E1204" t="s">
        <v>2059</v>
      </c>
      <c r="F1204" t="s">
        <v>35</v>
      </c>
      <c r="G1204" t="s">
        <v>35</v>
      </c>
      <c r="H1204" t="s">
        <v>35</v>
      </c>
      <c r="J1204" t="s">
        <v>2069</v>
      </c>
      <c r="K1204" t="s">
        <v>1092</v>
      </c>
      <c r="M1204">
        <v>1.2150000000000001</v>
      </c>
      <c r="N1204">
        <v>195</v>
      </c>
      <c r="O1204" t="s">
        <v>5</v>
      </c>
      <c r="Q1204" t="s">
        <v>1299</v>
      </c>
      <c r="R1204" t="s">
        <v>169</v>
      </c>
      <c r="S1204" t="s">
        <v>123</v>
      </c>
    </row>
    <row r="1205" spans="1:19" x14ac:dyDescent="0.25">
      <c r="A1205" t="s">
        <v>59</v>
      </c>
      <c r="B1205" t="s">
        <v>31</v>
      </c>
      <c r="C1205" t="s">
        <v>32</v>
      </c>
      <c r="D1205" t="s">
        <v>33</v>
      </c>
      <c r="E1205" t="s">
        <v>1292</v>
      </c>
      <c r="F1205" t="s">
        <v>35</v>
      </c>
      <c r="G1205" t="s">
        <v>35</v>
      </c>
      <c r="H1205" t="s">
        <v>35</v>
      </c>
      <c r="J1205" t="s">
        <v>1297</v>
      </c>
      <c r="K1205" t="s">
        <v>1092</v>
      </c>
      <c r="M1205">
        <v>3.33</v>
      </c>
      <c r="N1205">
        <v>195</v>
      </c>
      <c r="O1205" t="s">
        <v>5</v>
      </c>
      <c r="Q1205" t="s">
        <v>1299</v>
      </c>
      <c r="R1205" t="s">
        <v>169</v>
      </c>
      <c r="S1205" t="s">
        <v>123</v>
      </c>
    </row>
    <row r="1206" spans="1:19" x14ac:dyDescent="0.25">
      <c r="A1206" t="s">
        <v>59</v>
      </c>
      <c r="B1206" t="s">
        <v>60</v>
      </c>
      <c r="C1206" t="s">
        <v>32</v>
      </c>
      <c r="D1206" t="s">
        <v>33</v>
      </c>
      <c r="E1206" t="s">
        <v>162</v>
      </c>
      <c r="F1206" t="s">
        <v>35</v>
      </c>
      <c r="G1206" t="s">
        <v>35</v>
      </c>
      <c r="H1206" t="s">
        <v>35</v>
      </c>
      <c r="J1206" t="s">
        <v>1826</v>
      </c>
      <c r="K1206" t="s">
        <v>1092</v>
      </c>
      <c r="M1206">
        <v>3</v>
      </c>
      <c r="N1206">
        <v>63</v>
      </c>
      <c r="O1206" t="s">
        <v>61</v>
      </c>
      <c r="Q1206" t="s">
        <v>126</v>
      </c>
      <c r="R1206" t="s">
        <v>169</v>
      </c>
      <c r="S1206" t="s">
        <v>123</v>
      </c>
    </row>
    <row r="1207" spans="1:19" x14ac:dyDescent="0.25">
      <c r="A1207" t="s">
        <v>59</v>
      </c>
      <c r="B1207" t="s">
        <v>60</v>
      </c>
      <c r="C1207" t="s">
        <v>32</v>
      </c>
      <c r="D1207" t="s">
        <v>33</v>
      </c>
      <c r="E1207" t="s">
        <v>162</v>
      </c>
      <c r="F1207" t="s">
        <v>35</v>
      </c>
      <c r="G1207" t="s">
        <v>35</v>
      </c>
      <c r="H1207" t="s">
        <v>35</v>
      </c>
      <c r="J1207" t="s">
        <v>166</v>
      </c>
      <c r="K1207" t="s">
        <v>37</v>
      </c>
      <c r="M1207">
        <v>6.7</v>
      </c>
      <c r="N1207">
        <v>303</v>
      </c>
      <c r="O1207" t="s">
        <v>5</v>
      </c>
      <c r="P1207" t="s">
        <v>167</v>
      </c>
      <c r="Q1207" t="s">
        <v>168</v>
      </c>
      <c r="R1207" t="s">
        <v>169</v>
      </c>
      <c r="S1207" t="s">
        <v>123</v>
      </c>
    </row>
    <row r="1208" spans="1:19" x14ac:dyDescent="0.25">
      <c r="A1208" t="s">
        <v>59</v>
      </c>
      <c r="B1208" t="s">
        <v>31</v>
      </c>
      <c r="C1208" t="s">
        <v>32</v>
      </c>
      <c r="D1208" t="s">
        <v>33</v>
      </c>
      <c r="E1208" t="s">
        <v>122</v>
      </c>
      <c r="F1208" t="s">
        <v>35</v>
      </c>
      <c r="G1208" t="s">
        <v>35</v>
      </c>
      <c r="H1208" t="s">
        <v>35</v>
      </c>
      <c r="J1208" t="s">
        <v>1770</v>
      </c>
      <c r="K1208" t="s">
        <v>1092</v>
      </c>
      <c r="M1208">
        <v>3.6</v>
      </c>
      <c r="N1208">
        <v>276</v>
      </c>
      <c r="O1208" t="s">
        <v>5</v>
      </c>
      <c r="Q1208" t="s">
        <v>1771</v>
      </c>
      <c r="R1208" t="s">
        <v>169</v>
      </c>
      <c r="S1208" t="s">
        <v>123</v>
      </c>
    </row>
    <row r="1209" spans="1:19" x14ac:dyDescent="0.25">
      <c r="A1209" t="s">
        <v>30</v>
      </c>
      <c r="B1209" t="s">
        <v>31</v>
      </c>
      <c r="C1209" t="s">
        <v>32</v>
      </c>
      <c r="D1209" t="s">
        <v>33</v>
      </c>
      <c r="E1209" t="s">
        <v>204</v>
      </c>
      <c r="F1209" t="s">
        <v>35</v>
      </c>
      <c r="G1209" t="s">
        <v>35</v>
      </c>
      <c r="H1209" t="s">
        <v>35</v>
      </c>
      <c r="J1209" t="s">
        <v>2118</v>
      </c>
      <c r="K1209" t="s">
        <v>1092</v>
      </c>
      <c r="M1209">
        <v>5.04</v>
      </c>
      <c r="N1209">
        <v>32</v>
      </c>
      <c r="O1209" t="s">
        <v>52</v>
      </c>
      <c r="Q1209" t="s">
        <v>816</v>
      </c>
      <c r="R1209" t="s">
        <v>169</v>
      </c>
      <c r="S1209" t="s">
        <v>123</v>
      </c>
    </row>
    <row r="1210" spans="1:19" x14ac:dyDescent="0.25">
      <c r="A1210" t="s">
        <v>30</v>
      </c>
      <c r="B1210" t="s">
        <v>31</v>
      </c>
      <c r="C1210" t="s">
        <v>32</v>
      </c>
      <c r="D1210" t="s">
        <v>33</v>
      </c>
      <c r="E1210" t="s">
        <v>177</v>
      </c>
      <c r="F1210" t="s">
        <v>35</v>
      </c>
      <c r="G1210" t="s">
        <v>35</v>
      </c>
      <c r="H1210" t="s">
        <v>35</v>
      </c>
      <c r="J1210" t="s">
        <v>1986</v>
      </c>
      <c r="K1210" t="s">
        <v>1092</v>
      </c>
      <c r="M1210">
        <v>3.2850000000000001</v>
      </c>
      <c r="N1210">
        <v>13</v>
      </c>
      <c r="O1210" t="s">
        <v>46</v>
      </c>
      <c r="Q1210" t="s">
        <v>1004</v>
      </c>
      <c r="R1210" t="s">
        <v>169</v>
      </c>
      <c r="S1210" t="s">
        <v>123</v>
      </c>
    </row>
    <row r="1211" spans="1:19" x14ac:dyDescent="0.25">
      <c r="A1211" t="s">
        <v>30</v>
      </c>
      <c r="B1211" t="s">
        <v>31</v>
      </c>
      <c r="C1211" t="s">
        <v>32</v>
      </c>
      <c r="D1211" t="s">
        <v>33</v>
      </c>
      <c r="E1211" t="s">
        <v>122</v>
      </c>
      <c r="F1211" t="s">
        <v>35</v>
      </c>
      <c r="G1211" t="s">
        <v>35</v>
      </c>
      <c r="H1211" t="s">
        <v>35</v>
      </c>
      <c r="J1211" t="s">
        <v>1804</v>
      </c>
      <c r="K1211" t="s">
        <v>1092</v>
      </c>
      <c r="M1211">
        <v>0.99</v>
      </c>
      <c r="N1211">
        <v>192</v>
      </c>
      <c r="O1211" t="s">
        <v>5</v>
      </c>
      <c r="Q1211" t="s">
        <v>1720</v>
      </c>
      <c r="R1211" t="s">
        <v>169</v>
      </c>
      <c r="S1211" t="s">
        <v>123</v>
      </c>
    </row>
    <row r="1212" spans="1:19" x14ac:dyDescent="0.25">
      <c r="A1212" t="s">
        <v>44</v>
      </c>
      <c r="B1212" t="s">
        <v>51</v>
      </c>
      <c r="C1212" t="s">
        <v>32</v>
      </c>
      <c r="D1212" t="s">
        <v>33</v>
      </c>
      <c r="E1212" t="s">
        <v>34</v>
      </c>
      <c r="F1212" t="s">
        <v>35</v>
      </c>
      <c r="G1212" t="s">
        <v>35</v>
      </c>
      <c r="H1212" t="s">
        <v>35</v>
      </c>
      <c r="J1212" t="s">
        <v>1091</v>
      </c>
      <c r="K1212" t="s">
        <v>1092</v>
      </c>
      <c r="M1212">
        <v>5</v>
      </c>
      <c r="N1212">
        <v>24</v>
      </c>
      <c r="O1212" t="s">
        <v>46</v>
      </c>
      <c r="Q1212" t="s">
        <v>972</v>
      </c>
      <c r="R1212" t="s">
        <v>169</v>
      </c>
      <c r="S1212" t="s">
        <v>123</v>
      </c>
    </row>
    <row r="1213" spans="1:19" x14ac:dyDescent="0.25">
      <c r="A1213" t="s">
        <v>59</v>
      </c>
      <c r="B1213" t="s">
        <v>60</v>
      </c>
      <c r="C1213" t="s">
        <v>32</v>
      </c>
      <c r="D1213" t="s">
        <v>33</v>
      </c>
      <c r="E1213" t="s">
        <v>34</v>
      </c>
      <c r="F1213" t="s">
        <v>35</v>
      </c>
      <c r="G1213" t="s">
        <v>35</v>
      </c>
      <c r="H1213" t="s">
        <v>35</v>
      </c>
      <c r="J1213" t="s">
        <v>1171</v>
      </c>
      <c r="K1213" t="s">
        <v>1092</v>
      </c>
      <c r="M1213">
        <v>5.5</v>
      </c>
      <c r="N1213">
        <v>94</v>
      </c>
      <c r="O1213" t="s">
        <v>106</v>
      </c>
      <c r="Q1213" t="s">
        <v>1164</v>
      </c>
      <c r="R1213" t="s">
        <v>169</v>
      </c>
      <c r="S1213" t="s">
        <v>123</v>
      </c>
    </row>
    <row r="1214" spans="1:19" x14ac:dyDescent="0.25">
      <c r="A1214" t="s">
        <v>30</v>
      </c>
      <c r="B1214" t="s">
        <v>31</v>
      </c>
      <c r="C1214" t="s">
        <v>32</v>
      </c>
      <c r="D1214" t="s">
        <v>33</v>
      </c>
      <c r="E1214" t="s">
        <v>172</v>
      </c>
      <c r="F1214" t="s">
        <v>35</v>
      </c>
      <c r="G1214" t="s">
        <v>35</v>
      </c>
      <c r="H1214" t="s">
        <v>35</v>
      </c>
      <c r="J1214" t="s">
        <v>1915</v>
      </c>
      <c r="K1214" t="s">
        <v>1092</v>
      </c>
      <c r="M1214">
        <v>9.99</v>
      </c>
      <c r="N1214">
        <v>11</v>
      </c>
      <c r="O1214" t="s">
        <v>46</v>
      </c>
      <c r="Q1214" t="s">
        <v>1476</v>
      </c>
      <c r="R1214" t="s">
        <v>169</v>
      </c>
      <c r="S1214" t="s">
        <v>123</v>
      </c>
    </row>
    <row r="1215" spans="1:19" x14ac:dyDescent="0.25">
      <c r="A1215" t="s">
        <v>30</v>
      </c>
      <c r="B1215" t="s">
        <v>31</v>
      </c>
      <c r="C1215" t="s">
        <v>32</v>
      </c>
      <c r="D1215" t="s">
        <v>33</v>
      </c>
      <c r="E1215" t="s">
        <v>172</v>
      </c>
      <c r="F1215" t="s">
        <v>35</v>
      </c>
      <c r="G1215" t="s">
        <v>35</v>
      </c>
      <c r="H1215" t="s">
        <v>35</v>
      </c>
      <c r="J1215" t="s">
        <v>1915</v>
      </c>
      <c r="K1215" t="s">
        <v>1092</v>
      </c>
      <c r="M1215">
        <v>9.99</v>
      </c>
      <c r="N1215">
        <v>10</v>
      </c>
      <c r="O1215" t="s">
        <v>46</v>
      </c>
      <c r="Q1215" t="s">
        <v>1302</v>
      </c>
      <c r="R1215" t="s">
        <v>169</v>
      </c>
      <c r="S1215" t="s">
        <v>123</v>
      </c>
    </row>
    <row r="1216" spans="1:19" x14ac:dyDescent="0.25">
      <c r="A1216" t="s">
        <v>59</v>
      </c>
      <c r="B1216" t="s">
        <v>31</v>
      </c>
      <c r="C1216" t="s">
        <v>32</v>
      </c>
      <c r="D1216" t="s">
        <v>33</v>
      </c>
      <c r="E1216" t="s">
        <v>1292</v>
      </c>
      <c r="F1216" t="s">
        <v>35</v>
      </c>
      <c r="G1216" t="s">
        <v>35</v>
      </c>
      <c r="H1216" t="s">
        <v>35</v>
      </c>
      <c r="J1216" t="s">
        <v>1384</v>
      </c>
      <c r="K1216" t="s">
        <v>1092</v>
      </c>
      <c r="M1216">
        <v>4.4999999999999998E-2</v>
      </c>
      <c r="N1216">
        <v>195</v>
      </c>
      <c r="O1216" t="s">
        <v>5</v>
      </c>
      <c r="Q1216" t="s">
        <v>1299</v>
      </c>
      <c r="R1216" t="s">
        <v>169</v>
      </c>
      <c r="S1216" t="s">
        <v>123</v>
      </c>
    </row>
    <row r="1217" spans="1:19" x14ac:dyDescent="0.25">
      <c r="A1217" t="s">
        <v>59</v>
      </c>
      <c r="B1217" t="s">
        <v>60</v>
      </c>
      <c r="C1217" t="s">
        <v>32</v>
      </c>
      <c r="D1217" t="s">
        <v>33</v>
      </c>
      <c r="E1217" t="s">
        <v>162</v>
      </c>
      <c r="F1217" t="s">
        <v>35</v>
      </c>
      <c r="G1217" t="s">
        <v>35</v>
      </c>
      <c r="H1217" t="s">
        <v>35</v>
      </c>
      <c r="J1217" t="s">
        <v>1827</v>
      </c>
      <c r="K1217" t="s">
        <v>1092</v>
      </c>
      <c r="M1217">
        <v>5.5</v>
      </c>
      <c r="N1217">
        <v>61</v>
      </c>
      <c r="O1217" t="s">
        <v>61</v>
      </c>
      <c r="Q1217" t="s">
        <v>146</v>
      </c>
      <c r="R1217" t="s">
        <v>169</v>
      </c>
      <c r="S1217" t="s">
        <v>123</v>
      </c>
    </row>
    <row r="1218" spans="1:19" x14ac:dyDescent="0.25">
      <c r="A1218" t="s">
        <v>59</v>
      </c>
      <c r="B1218" t="s">
        <v>60</v>
      </c>
      <c r="C1218" t="s">
        <v>32</v>
      </c>
      <c r="D1218" t="s">
        <v>33</v>
      </c>
      <c r="E1218" t="s">
        <v>162</v>
      </c>
      <c r="F1218" t="s">
        <v>35</v>
      </c>
      <c r="G1218" t="s">
        <v>35</v>
      </c>
      <c r="H1218" t="s">
        <v>35</v>
      </c>
      <c r="J1218" t="s">
        <v>1827</v>
      </c>
      <c r="K1218" t="s">
        <v>1092</v>
      </c>
      <c r="M1218">
        <v>2.25</v>
      </c>
      <c r="N1218">
        <v>84</v>
      </c>
      <c r="O1218" t="s">
        <v>61</v>
      </c>
      <c r="Q1218" t="s">
        <v>1147</v>
      </c>
      <c r="R1218" t="s">
        <v>169</v>
      </c>
      <c r="S1218" t="s">
        <v>123</v>
      </c>
    </row>
    <row r="1219" spans="1:19" x14ac:dyDescent="0.25">
      <c r="A1219" t="s">
        <v>30</v>
      </c>
      <c r="B1219" t="s">
        <v>31</v>
      </c>
      <c r="C1219" t="s">
        <v>32</v>
      </c>
      <c r="D1219" t="s">
        <v>33</v>
      </c>
      <c r="E1219" t="s">
        <v>162</v>
      </c>
      <c r="F1219" t="s">
        <v>35</v>
      </c>
      <c r="G1219" t="s">
        <v>35</v>
      </c>
      <c r="H1219" t="s">
        <v>35</v>
      </c>
      <c r="J1219" t="s">
        <v>1827</v>
      </c>
      <c r="K1219" t="s">
        <v>1092</v>
      </c>
      <c r="M1219">
        <v>4.7699999999999996</v>
      </c>
      <c r="N1219">
        <v>61</v>
      </c>
      <c r="O1219" t="s">
        <v>61</v>
      </c>
      <c r="Q1219" t="s">
        <v>146</v>
      </c>
      <c r="R1219" t="s">
        <v>169</v>
      </c>
      <c r="S1219" t="s">
        <v>123</v>
      </c>
    </row>
    <row r="1220" spans="1:19" x14ac:dyDescent="0.25">
      <c r="A1220" t="s">
        <v>59</v>
      </c>
      <c r="B1220" t="s">
        <v>60</v>
      </c>
      <c r="C1220" t="s">
        <v>32</v>
      </c>
      <c r="D1220" t="s">
        <v>33</v>
      </c>
      <c r="E1220" t="s">
        <v>34</v>
      </c>
      <c r="F1220" t="s">
        <v>35</v>
      </c>
      <c r="G1220" t="s">
        <v>35</v>
      </c>
      <c r="H1220" t="s">
        <v>35</v>
      </c>
      <c r="J1220" t="s">
        <v>1163</v>
      </c>
      <c r="K1220" t="s">
        <v>1092</v>
      </c>
      <c r="M1220">
        <v>0.6</v>
      </c>
      <c r="N1220">
        <v>133</v>
      </c>
      <c r="O1220" t="s">
        <v>38</v>
      </c>
      <c r="Q1220" t="s">
        <v>609</v>
      </c>
      <c r="R1220" t="s">
        <v>169</v>
      </c>
      <c r="S1220" t="s">
        <v>123</v>
      </c>
    </row>
    <row r="1221" spans="1:19" x14ac:dyDescent="0.25">
      <c r="A1221" t="s">
        <v>30</v>
      </c>
      <c r="B1221" t="s">
        <v>31</v>
      </c>
      <c r="C1221" t="s">
        <v>32</v>
      </c>
      <c r="D1221" t="s">
        <v>33</v>
      </c>
      <c r="E1221" t="s">
        <v>34</v>
      </c>
      <c r="F1221" t="s">
        <v>35</v>
      </c>
      <c r="G1221" t="s">
        <v>35</v>
      </c>
      <c r="H1221" t="s">
        <v>35</v>
      </c>
      <c r="J1221" t="s">
        <v>1163</v>
      </c>
      <c r="K1221" t="s">
        <v>1092</v>
      </c>
      <c r="M1221">
        <v>2.2050000000000001</v>
      </c>
      <c r="N1221">
        <v>94</v>
      </c>
      <c r="O1221" t="s">
        <v>106</v>
      </c>
      <c r="Q1221" t="s">
        <v>1164</v>
      </c>
      <c r="R1221" t="s">
        <v>169</v>
      </c>
      <c r="S1221" t="s">
        <v>123</v>
      </c>
    </row>
    <row r="1222" spans="1:19" x14ac:dyDescent="0.25">
      <c r="A1222" t="s">
        <v>59</v>
      </c>
      <c r="B1222" t="s">
        <v>60</v>
      </c>
      <c r="C1222" t="s">
        <v>32</v>
      </c>
      <c r="D1222" t="s">
        <v>33</v>
      </c>
      <c r="E1222" t="s">
        <v>34</v>
      </c>
      <c r="F1222" t="s">
        <v>35</v>
      </c>
      <c r="G1222" t="s">
        <v>35</v>
      </c>
      <c r="H1222" t="s">
        <v>35</v>
      </c>
      <c r="J1222" t="s">
        <v>1163</v>
      </c>
      <c r="K1222" t="s">
        <v>1092</v>
      </c>
      <c r="M1222">
        <v>5.5</v>
      </c>
      <c r="N1222">
        <v>88</v>
      </c>
      <c r="O1222" t="s">
        <v>61</v>
      </c>
      <c r="Q1222" t="s">
        <v>724</v>
      </c>
      <c r="R1222" t="s">
        <v>169</v>
      </c>
      <c r="S1222" t="s">
        <v>123</v>
      </c>
    </row>
    <row r="1223" spans="1:19" x14ac:dyDescent="0.25">
      <c r="A1223" t="s">
        <v>59</v>
      </c>
      <c r="B1223" t="s">
        <v>60</v>
      </c>
      <c r="C1223" t="s">
        <v>32</v>
      </c>
      <c r="D1223" t="s">
        <v>33</v>
      </c>
      <c r="E1223" t="s">
        <v>122</v>
      </c>
      <c r="F1223" t="s">
        <v>35</v>
      </c>
      <c r="G1223" t="s">
        <v>35</v>
      </c>
      <c r="H1223" t="s">
        <v>35</v>
      </c>
      <c r="J1223" t="s">
        <v>1668</v>
      </c>
      <c r="K1223" t="s">
        <v>1092</v>
      </c>
      <c r="M1223">
        <v>0.55000000000000004</v>
      </c>
      <c r="N1223">
        <v>387</v>
      </c>
      <c r="O1223" t="s">
        <v>294</v>
      </c>
      <c r="Q1223" t="s">
        <v>1410</v>
      </c>
      <c r="R1223" t="s">
        <v>169</v>
      </c>
      <c r="S1223" t="s">
        <v>123</v>
      </c>
    </row>
    <row r="1224" spans="1:19" x14ac:dyDescent="0.25">
      <c r="A1224" t="s">
        <v>59</v>
      </c>
      <c r="B1224" t="s">
        <v>60</v>
      </c>
      <c r="C1224" t="s">
        <v>32</v>
      </c>
      <c r="D1224" t="s">
        <v>33</v>
      </c>
      <c r="E1224" t="s">
        <v>64</v>
      </c>
      <c r="F1224" t="s">
        <v>35</v>
      </c>
      <c r="G1224" t="s">
        <v>35</v>
      </c>
      <c r="H1224" t="s">
        <v>35</v>
      </c>
      <c r="J1224" t="s">
        <v>1219</v>
      </c>
      <c r="K1224" t="s">
        <v>1092</v>
      </c>
      <c r="M1224">
        <v>0.05</v>
      </c>
      <c r="N1224">
        <v>277</v>
      </c>
      <c r="O1224" t="s">
        <v>5</v>
      </c>
      <c r="Q1224" t="s">
        <v>1220</v>
      </c>
      <c r="R1224" t="s">
        <v>169</v>
      </c>
      <c r="S1224" t="s">
        <v>123</v>
      </c>
    </row>
    <row r="1225" spans="1:19" x14ac:dyDescent="0.25">
      <c r="A1225" t="s">
        <v>59</v>
      </c>
      <c r="B1225" t="s">
        <v>31</v>
      </c>
      <c r="C1225" t="s">
        <v>32</v>
      </c>
      <c r="D1225" t="s">
        <v>33</v>
      </c>
      <c r="E1225" t="s">
        <v>64</v>
      </c>
      <c r="F1225" t="s">
        <v>35</v>
      </c>
      <c r="G1225" t="s">
        <v>35</v>
      </c>
      <c r="H1225" t="s">
        <v>35</v>
      </c>
      <c r="J1225" t="s">
        <v>1219</v>
      </c>
      <c r="K1225" t="s">
        <v>1092</v>
      </c>
      <c r="M1225">
        <v>5.49</v>
      </c>
      <c r="N1225">
        <v>81</v>
      </c>
      <c r="O1225" t="s">
        <v>61</v>
      </c>
      <c r="Q1225" t="s">
        <v>858</v>
      </c>
      <c r="R1225" t="s">
        <v>169</v>
      </c>
      <c r="S1225" t="s">
        <v>123</v>
      </c>
    </row>
    <row r="1226" spans="1:19" x14ac:dyDescent="0.25">
      <c r="A1226" t="s">
        <v>59</v>
      </c>
      <c r="B1226" t="s">
        <v>60</v>
      </c>
      <c r="C1226" t="s">
        <v>32</v>
      </c>
      <c r="D1226" t="s">
        <v>33</v>
      </c>
      <c r="E1226" t="s">
        <v>64</v>
      </c>
      <c r="F1226" t="s">
        <v>35</v>
      </c>
      <c r="G1226" t="s">
        <v>35</v>
      </c>
      <c r="H1226" t="s">
        <v>35</v>
      </c>
      <c r="J1226" t="s">
        <v>1219</v>
      </c>
      <c r="K1226" t="s">
        <v>1092</v>
      </c>
      <c r="M1226">
        <v>5.5</v>
      </c>
      <c r="N1226">
        <v>81</v>
      </c>
      <c r="O1226" t="s">
        <v>61</v>
      </c>
      <c r="Q1226" t="s">
        <v>858</v>
      </c>
      <c r="R1226" t="s">
        <v>169</v>
      </c>
      <c r="S1226" t="s">
        <v>123</v>
      </c>
    </row>
    <row r="1227" spans="1:19" x14ac:dyDescent="0.25">
      <c r="A1227" t="s">
        <v>59</v>
      </c>
      <c r="B1227" t="s">
        <v>60</v>
      </c>
      <c r="C1227" t="s">
        <v>32</v>
      </c>
      <c r="D1227" t="s">
        <v>33</v>
      </c>
      <c r="E1227" t="s">
        <v>122</v>
      </c>
      <c r="F1227" t="s">
        <v>35</v>
      </c>
      <c r="G1227" t="s">
        <v>35</v>
      </c>
      <c r="H1227" t="s">
        <v>35</v>
      </c>
      <c r="J1227" t="s">
        <v>1670</v>
      </c>
      <c r="K1227" t="s">
        <v>1092</v>
      </c>
      <c r="M1227">
        <v>2.2000000000000002</v>
      </c>
      <c r="N1227">
        <v>1223</v>
      </c>
      <c r="O1227" t="s">
        <v>575</v>
      </c>
      <c r="Q1227" t="s">
        <v>1674</v>
      </c>
      <c r="R1227" t="s">
        <v>169</v>
      </c>
      <c r="S1227" t="s">
        <v>123</v>
      </c>
    </row>
    <row r="1228" spans="1:19" x14ac:dyDescent="0.25">
      <c r="A1228" t="s">
        <v>30</v>
      </c>
      <c r="B1228" t="s">
        <v>31</v>
      </c>
      <c r="C1228" t="s">
        <v>32</v>
      </c>
      <c r="D1228" t="s">
        <v>33</v>
      </c>
      <c r="E1228" t="s">
        <v>162</v>
      </c>
      <c r="F1228" t="s">
        <v>35</v>
      </c>
      <c r="G1228" t="s">
        <v>35</v>
      </c>
      <c r="H1228" t="s">
        <v>35</v>
      </c>
      <c r="J1228" t="s">
        <v>1882</v>
      </c>
      <c r="K1228" t="s">
        <v>1092</v>
      </c>
      <c r="M1228">
        <v>5.49</v>
      </c>
      <c r="N1228">
        <v>27</v>
      </c>
      <c r="O1228" t="s">
        <v>46</v>
      </c>
      <c r="Q1228" t="s">
        <v>809</v>
      </c>
      <c r="R1228" t="s">
        <v>169</v>
      </c>
      <c r="S1228" t="s">
        <v>123</v>
      </c>
    </row>
    <row r="1229" spans="1:19" x14ac:dyDescent="0.25">
      <c r="A1229" t="s">
        <v>59</v>
      </c>
      <c r="B1229" t="s">
        <v>31</v>
      </c>
      <c r="C1229" t="s">
        <v>32</v>
      </c>
      <c r="D1229" t="s">
        <v>33</v>
      </c>
      <c r="E1229" t="s">
        <v>122</v>
      </c>
      <c r="F1229" t="s">
        <v>35</v>
      </c>
      <c r="G1229" t="s">
        <v>35</v>
      </c>
      <c r="H1229" t="s">
        <v>35</v>
      </c>
      <c r="J1229" t="s">
        <v>1491</v>
      </c>
      <c r="K1229" t="s">
        <v>1092</v>
      </c>
      <c r="M1229">
        <v>1.8</v>
      </c>
      <c r="N1229">
        <v>167</v>
      </c>
      <c r="O1229" t="s">
        <v>38</v>
      </c>
      <c r="Q1229" t="s">
        <v>1565</v>
      </c>
      <c r="R1229" t="s">
        <v>169</v>
      </c>
      <c r="S1229" t="s">
        <v>123</v>
      </c>
    </row>
    <row r="1230" spans="1:19" x14ac:dyDescent="0.25">
      <c r="A1230" t="s">
        <v>59</v>
      </c>
      <c r="B1230" t="s">
        <v>60</v>
      </c>
      <c r="C1230" t="s">
        <v>32</v>
      </c>
      <c r="D1230" t="s">
        <v>33</v>
      </c>
      <c r="E1230" t="s">
        <v>122</v>
      </c>
      <c r="F1230" t="s">
        <v>35</v>
      </c>
      <c r="G1230" t="s">
        <v>35</v>
      </c>
      <c r="H1230" t="s">
        <v>35</v>
      </c>
      <c r="J1230" t="s">
        <v>1705</v>
      </c>
      <c r="K1230" t="s">
        <v>1092</v>
      </c>
      <c r="M1230">
        <v>22</v>
      </c>
      <c r="N1230">
        <v>81</v>
      </c>
      <c r="O1230" t="s">
        <v>61</v>
      </c>
      <c r="Q1230" t="s">
        <v>858</v>
      </c>
      <c r="R1230" t="s">
        <v>169</v>
      </c>
      <c r="S1230" t="s">
        <v>123</v>
      </c>
    </row>
    <row r="1231" spans="1:19" x14ac:dyDescent="0.25">
      <c r="A1231" t="s">
        <v>59</v>
      </c>
      <c r="B1231" t="s">
        <v>60</v>
      </c>
      <c r="C1231" t="s">
        <v>32</v>
      </c>
      <c r="D1231" t="s">
        <v>33</v>
      </c>
      <c r="E1231" t="s">
        <v>122</v>
      </c>
      <c r="F1231" t="s">
        <v>35</v>
      </c>
      <c r="G1231" t="s">
        <v>35</v>
      </c>
      <c r="H1231" t="s">
        <v>35</v>
      </c>
      <c r="J1231" t="s">
        <v>1705</v>
      </c>
      <c r="K1231" t="s">
        <v>1092</v>
      </c>
      <c r="M1231">
        <v>8</v>
      </c>
      <c r="N1231">
        <v>167</v>
      </c>
      <c r="O1231" t="s">
        <v>38</v>
      </c>
      <c r="Q1231" t="s">
        <v>1565</v>
      </c>
      <c r="R1231" t="s">
        <v>169</v>
      </c>
      <c r="S1231" t="s">
        <v>123</v>
      </c>
    </row>
    <row r="1232" spans="1:19" x14ac:dyDescent="0.25">
      <c r="A1232" t="s">
        <v>30</v>
      </c>
      <c r="B1232" t="s">
        <v>31</v>
      </c>
      <c r="C1232" t="s">
        <v>32</v>
      </c>
      <c r="D1232" t="s">
        <v>33</v>
      </c>
      <c r="E1232" t="s">
        <v>64</v>
      </c>
      <c r="F1232" t="s">
        <v>35</v>
      </c>
      <c r="G1232" t="s">
        <v>35</v>
      </c>
      <c r="H1232" t="s">
        <v>35</v>
      </c>
      <c r="J1232" t="s">
        <v>1266</v>
      </c>
      <c r="K1232" t="s">
        <v>1092</v>
      </c>
      <c r="M1232">
        <v>21.96</v>
      </c>
      <c r="N1232">
        <v>13</v>
      </c>
      <c r="O1232" t="s">
        <v>46</v>
      </c>
      <c r="Q1232" t="s">
        <v>1004</v>
      </c>
      <c r="R1232" t="s">
        <v>169</v>
      </c>
      <c r="S1232" t="s">
        <v>123</v>
      </c>
    </row>
    <row r="1233" spans="1:19" x14ac:dyDescent="0.25">
      <c r="A1233" t="s">
        <v>59</v>
      </c>
      <c r="B1233" t="s">
        <v>60</v>
      </c>
      <c r="C1233" t="s">
        <v>32</v>
      </c>
      <c r="D1233" t="s">
        <v>33</v>
      </c>
      <c r="E1233" t="s">
        <v>64</v>
      </c>
      <c r="F1233" t="s">
        <v>35</v>
      </c>
      <c r="G1233" t="s">
        <v>35</v>
      </c>
      <c r="H1233" t="s">
        <v>35</v>
      </c>
      <c r="J1233" t="s">
        <v>1266</v>
      </c>
      <c r="K1233" t="s">
        <v>1092</v>
      </c>
      <c r="M1233">
        <v>5.5</v>
      </c>
      <c r="N1233">
        <v>109</v>
      </c>
      <c r="O1233" t="s">
        <v>106</v>
      </c>
      <c r="Q1233" t="s">
        <v>1256</v>
      </c>
      <c r="R1233" t="s">
        <v>169</v>
      </c>
      <c r="S1233" t="s">
        <v>123</v>
      </c>
    </row>
    <row r="1234" spans="1:19" x14ac:dyDescent="0.25">
      <c r="A1234" t="s">
        <v>59</v>
      </c>
      <c r="B1234" t="s">
        <v>60</v>
      </c>
      <c r="C1234" t="s">
        <v>32</v>
      </c>
      <c r="D1234" t="s">
        <v>33</v>
      </c>
      <c r="E1234" t="s">
        <v>172</v>
      </c>
      <c r="F1234" t="s">
        <v>35</v>
      </c>
      <c r="G1234" t="s">
        <v>35</v>
      </c>
      <c r="H1234" t="s">
        <v>35</v>
      </c>
      <c r="J1234" t="s">
        <v>1921</v>
      </c>
      <c r="K1234" t="s">
        <v>404</v>
      </c>
      <c r="M1234">
        <v>8.0500000000000007</v>
      </c>
      <c r="N1234">
        <v>84</v>
      </c>
      <c r="O1234" t="s">
        <v>61</v>
      </c>
      <c r="Q1234" t="s">
        <v>1147</v>
      </c>
      <c r="R1234" t="s">
        <v>169</v>
      </c>
      <c r="S1234" t="s">
        <v>123</v>
      </c>
    </row>
    <row r="1235" spans="1:19" x14ac:dyDescent="0.25">
      <c r="A1235" t="s">
        <v>59</v>
      </c>
      <c r="B1235" t="s">
        <v>60</v>
      </c>
      <c r="C1235" t="s">
        <v>32</v>
      </c>
      <c r="D1235" t="s">
        <v>33</v>
      </c>
      <c r="E1235" t="s">
        <v>34</v>
      </c>
      <c r="F1235" t="s">
        <v>35</v>
      </c>
      <c r="G1235" t="s">
        <v>35</v>
      </c>
      <c r="H1235" t="s">
        <v>35</v>
      </c>
      <c r="J1235" t="s">
        <v>1119</v>
      </c>
      <c r="K1235" t="s">
        <v>1092</v>
      </c>
      <c r="M1235">
        <v>1</v>
      </c>
      <c r="N1235">
        <v>65</v>
      </c>
      <c r="O1235" t="s">
        <v>61</v>
      </c>
      <c r="Q1235" t="s">
        <v>63</v>
      </c>
      <c r="R1235" t="s">
        <v>169</v>
      </c>
      <c r="S1235" t="s">
        <v>123</v>
      </c>
    </row>
    <row r="1236" spans="1:19" x14ac:dyDescent="0.25">
      <c r="A1236" t="s">
        <v>59</v>
      </c>
      <c r="B1236" t="s">
        <v>60</v>
      </c>
      <c r="C1236" t="s">
        <v>32</v>
      </c>
      <c r="D1236" t="s">
        <v>33</v>
      </c>
      <c r="E1236" t="s">
        <v>34</v>
      </c>
      <c r="F1236" t="s">
        <v>35</v>
      </c>
      <c r="G1236" t="s">
        <v>35</v>
      </c>
      <c r="H1236" t="s">
        <v>35</v>
      </c>
      <c r="J1236" t="s">
        <v>1119</v>
      </c>
      <c r="K1236" t="s">
        <v>1092</v>
      </c>
      <c r="M1236">
        <v>0.3</v>
      </c>
      <c r="N1236">
        <v>160</v>
      </c>
      <c r="O1236" t="s">
        <v>38</v>
      </c>
      <c r="Q1236" t="s">
        <v>1120</v>
      </c>
      <c r="R1236" t="s">
        <v>169</v>
      </c>
      <c r="S1236" t="s">
        <v>123</v>
      </c>
    </row>
    <row r="1237" spans="1:19" x14ac:dyDescent="0.25">
      <c r="A1237" t="s">
        <v>59</v>
      </c>
      <c r="B1237" t="s">
        <v>60</v>
      </c>
      <c r="C1237" t="s">
        <v>32</v>
      </c>
      <c r="D1237" t="s">
        <v>33</v>
      </c>
      <c r="E1237" t="s">
        <v>87</v>
      </c>
      <c r="F1237" t="s">
        <v>35</v>
      </c>
      <c r="G1237" t="s">
        <v>35</v>
      </c>
      <c r="H1237" t="s">
        <v>35</v>
      </c>
      <c r="J1237" t="s">
        <v>625</v>
      </c>
      <c r="K1237" t="s">
        <v>1092</v>
      </c>
      <c r="M1237">
        <v>5.5</v>
      </c>
      <c r="N1237">
        <v>40</v>
      </c>
      <c r="O1237" t="s">
        <v>52</v>
      </c>
      <c r="Q1237" t="s">
        <v>132</v>
      </c>
      <c r="R1237" t="s">
        <v>169</v>
      </c>
      <c r="S1237" t="s">
        <v>123</v>
      </c>
    </row>
    <row r="1238" spans="1:19" x14ac:dyDescent="0.25">
      <c r="A1238" t="s">
        <v>59</v>
      </c>
      <c r="B1238" t="s">
        <v>31</v>
      </c>
      <c r="C1238" t="s">
        <v>32</v>
      </c>
      <c r="D1238" t="s">
        <v>33</v>
      </c>
      <c r="E1238" t="s">
        <v>34</v>
      </c>
      <c r="F1238" t="s">
        <v>35</v>
      </c>
      <c r="G1238" t="s">
        <v>35</v>
      </c>
      <c r="H1238" t="s">
        <v>35</v>
      </c>
      <c r="J1238" t="s">
        <v>1121</v>
      </c>
      <c r="K1238" t="s">
        <v>1092</v>
      </c>
      <c r="M1238">
        <v>0.495</v>
      </c>
      <c r="N1238">
        <v>65</v>
      </c>
      <c r="O1238" t="s">
        <v>61</v>
      </c>
      <c r="Q1238" t="s">
        <v>63</v>
      </c>
      <c r="R1238" t="s">
        <v>169</v>
      </c>
      <c r="S1238" t="s">
        <v>123</v>
      </c>
    </row>
    <row r="1239" spans="1:19" x14ac:dyDescent="0.25">
      <c r="A1239" t="s">
        <v>30</v>
      </c>
      <c r="B1239" t="s">
        <v>31</v>
      </c>
      <c r="C1239" t="s">
        <v>32</v>
      </c>
      <c r="D1239" t="s">
        <v>33</v>
      </c>
      <c r="E1239" t="s">
        <v>204</v>
      </c>
      <c r="F1239" t="s">
        <v>35</v>
      </c>
      <c r="G1239" t="s">
        <v>35</v>
      </c>
      <c r="H1239" t="s">
        <v>35</v>
      </c>
      <c r="J1239" t="s">
        <v>1121</v>
      </c>
      <c r="K1239" t="s">
        <v>1092</v>
      </c>
      <c r="M1239">
        <v>3.2850000000000001</v>
      </c>
      <c r="N1239">
        <v>13</v>
      </c>
      <c r="O1239" t="s">
        <v>46</v>
      </c>
      <c r="Q1239" t="s">
        <v>1004</v>
      </c>
      <c r="R1239" t="s">
        <v>169</v>
      </c>
      <c r="S1239" t="s">
        <v>123</v>
      </c>
    </row>
    <row r="1240" spans="1:19" x14ac:dyDescent="0.25">
      <c r="A1240" t="s">
        <v>59</v>
      </c>
      <c r="B1240" t="s">
        <v>60</v>
      </c>
      <c r="C1240" t="s">
        <v>32</v>
      </c>
      <c r="D1240" t="s">
        <v>33</v>
      </c>
      <c r="E1240" t="s">
        <v>1292</v>
      </c>
      <c r="F1240" t="s">
        <v>35</v>
      </c>
      <c r="G1240" t="s">
        <v>35</v>
      </c>
      <c r="H1240" t="s">
        <v>35</v>
      </c>
      <c r="J1240" t="s">
        <v>1310</v>
      </c>
      <c r="K1240" t="s">
        <v>1092</v>
      </c>
      <c r="M1240">
        <v>8.5</v>
      </c>
      <c r="N1240">
        <v>65</v>
      </c>
      <c r="O1240" t="s">
        <v>61</v>
      </c>
      <c r="Q1240" t="s">
        <v>63</v>
      </c>
      <c r="R1240" t="s">
        <v>169</v>
      </c>
      <c r="S1240" t="s">
        <v>123</v>
      </c>
    </row>
    <row r="1241" spans="1:19" x14ac:dyDescent="0.25">
      <c r="A1241" t="s">
        <v>59</v>
      </c>
      <c r="B1241" t="s">
        <v>31</v>
      </c>
      <c r="C1241" t="s">
        <v>32</v>
      </c>
      <c r="D1241" t="s">
        <v>33</v>
      </c>
      <c r="E1241" t="s">
        <v>1292</v>
      </c>
      <c r="F1241" t="s">
        <v>35</v>
      </c>
      <c r="G1241" t="s">
        <v>35</v>
      </c>
      <c r="H1241" t="s">
        <v>35</v>
      </c>
      <c r="J1241" t="s">
        <v>1310</v>
      </c>
      <c r="K1241" t="s">
        <v>1092</v>
      </c>
      <c r="M1241">
        <v>5.4450000000000003</v>
      </c>
      <c r="N1241">
        <v>65</v>
      </c>
      <c r="O1241" t="s">
        <v>61</v>
      </c>
      <c r="Q1241" t="s">
        <v>63</v>
      </c>
      <c r="R1241" t="s">
        <v>169</v>
      </c>
      <c r="S1241" t="s">
        <v>123</v>
      </c>
    </row>
    <row r="1242" spans="1:19" x14ac:dyDescent="0.25">
      <c r="A1242" t="s">
        <v>59</v>
      </c>
      <c r="B1242" t="s">
        <v>60</v>
      </c>
      <c r="C1242" t="s">
        <v>32</v>
      </c>
      <c r="D1242" t="s">
        <v>33</v>
      </c>
      <c r="E1242" t="s">
        <v>1292</v>
      </c>
      <c r="F1242" t="s">
        <v>35</v>
      </c>
      <c r="G1242" t="s">
        <v>35</v>
      </c>
      <c r="H1242" t="s">
        <v>35</v>
      </c>
      <c r="J1242" t="s">
        <v>1310</v>
      </c>
      <c r="K1242" t="s">
        <v>1092</v>
      </c>
      <c r="M1242">
        <v>11</v>
      </c>
      <c r="N1242">
        <v>60</v>
      </c>
      <c r="O1242" t="s">
        <v>52</v>
      </c>
      <c r="Q1242" t="s">
        <v>1311</v>
      </c>
      <c r="R1242" t="s">
        <v>169</v>
      </c>
      <c r="S1242" t="s">
        <v>123</v>
      </c>
    </row>
    <row r="1243" spans="1:19" x14ac:dyDescent="0.25">
      <c r="A1243" t="s">
        <v>44</v>
      </c>
      <c r="B1243" t="s">
        <v>3</v>
      </c>
      <c r="C1243" t="s">
        <v>32</v>
      </c>
      <c r="D1243" t="s">
        <v>33</v>
      </c>
      <c r="E1243" t="s">
        <v>1292</v>
      </c>
      <c r="F1243" t="s">
        <v>35</v>
      </c>
      <c r="G1243" t="s">
        <v>35</v>
      </c>
      <c r="H1243" t="s">
        <v>35</v>
      </c>
      <c r="J1243" t="s">
        <v>1310</v>
      </c>
      <c r="K1243" t="s">
        <v>1092</v>
      </c>
      <c r="M1243">
        <v>10</v>
      </c>
      <c r="N1243">
        <v>52</v>
      </c>
      <c r="O1243" t="s">
        <v>52</v>
      </c>
      <c r="Q1243" t="s">
        <v>84</v>
      </c>
      <c r="R1243" t="s">
        <v>169</v>
      </c>
      <c r="S1243" t="s">
        <v>123</v>
      </c>
    </row>
    <row r="1244" spans="1:19" x14ac:dyDescent="0.25">
      <c r="A1244" t="s">
        <v>30</v>
      </c>
      <c r="B1244" t="s">
        <v>31</v>
      </c>
      <c r="C1244" t="s">
        <v>32</v>
      </c>
      <c r="D1244" t="s">
        <v>33</v>
      </c>
      <c r="E1244" t="s">
        <v>196</v>
      </c>
      <c r="F1244" t="s">
        <v>35</v>
      </c>
      <c r="G1244" t="s">
        <v>35</v>
      </c>
      <c r="H1244" t="s">
        <v>35</v>
      </c>
      <c r="J1244" t="s">
        <v>2034</v>
      </c>
      <c r="K1244" t="s">
        <v>1092</v>
      </c>
      <c r="M1244">
        <v>10.62</v>
      </c>
      <c r="N1244">
        <v>35</v>
      </c>
      <c r="O1244" t="s">
        <v>52</v>
      </c>
      <c r="Q1244" t="s">
        <v>991</v>
      </c>
      <c r="R1244" t="s">
        <v>169</v>
      </c>
      <c r="S1244" t="s">
        <v>123</v>
      </c>
    </row>
    <row r="1245" spans="1:19" x14ac:dyDescent="0.25">
      <c r="A1245" t="s">
        <v>59</v>
      </c>
      <c r="B1245" t="s">
        <v>60</v>
      </c>
      <c r="C1245" t="s">
        <v>32</v>
      </c>
      <c r="D1245" t="s">
        <v>33</v>
      </c>
      <c r="E1245" t="s">
        <v>162</v>
      </c>
      <c r="F1245" t="s">
        <v>35</v>
      </c>
      <c r="G1245" t="s">
        <v>35</v>
      </c>
      <c r="H1245" t="s">
        <v>35</v>
      </c>
      <c r="J1245" t="s">
        <v>1901</v>
      </c>
      <c r="K1245" t="s">
        <v>1092</v>
      </c>
      <c r="M1245">
        <v>2.5</v>
      </c>
      <c r="N1245">
        <v>91</v>
      </c>
      <c r="O1245" t="s">
        <v>106</v>
      </c>
      <c r="Q1245" t="s">
        <v>108</v>
      </c>
      <c r="R1245" t="s">
        <v>169</v>
      </c>
      <c r="S1245" t="s">
        <v>123</v>
      </c>
    </row>
    <row r="1246" spans="1:19" x14ac:dyDescent="0.25">
      <c r="A1246" t="s">
        <v>30</v>
      </c>
      <c r="B1246" t="s">
        <v>31</v>
      </c>
      <c r="C1246" t="s">
        <v>32</v>
      </c>
      <c r="D1246" t="s">
        <v>33</v>
      </c>
      <c r="E1246" t="s">
        <v>162</v>
      </c>
      <c r="F1246" t="s">
        <v>35</v>
      </c>
      <c r="G1246" t="s">
        <v>35</v>
      </c>
      <c r="H1246" t="s">
        <v>35</v>
      </c>
      <c r="J1246" t="s">
        <v>1898</v>
      </c>
      <c r="K1246" t="s">
        <v>1092</v>
      </c>
      <c r="M1246">
        <v>0.94499999999999995</v>
      </c>
      <c r="N1246">
        <v>441</v>
      </c>
      <c r="O1246" t="s">
        <v>294</v>
      </c>
      <c r="Q1246" t="s">
        <v>1899</v>
      </c>
      <c r="R1246" t="s">
        <v>169</v>
      </c>
      <c r="S1246" t="s">
        <v>123</v>
      </c>
    </row>
    <row r="1247" spans="1:19" x14ac:dyDescent="0.25">
      <c r="A1247" t="s">
        <v>30</v>
      </c>
      <c r="B1247" t="s">
        <v>31</v>
      </c>
      <c r="C1247" t="s">
        <v>32</v>
      </c>
      <c r="D1247" t="s">
        <v>33</v>
      </c>
      <c r="E1247" t="s">
        <v>1520</v>
      </c>
      <c r="F1247" t="s">
        <v>35</v>
      </c>
      <c r="G1247" t="s">
        <v>35</v>
      </c>
      <c r="H1247" t="s">
        <v>35</v>
      </c>
      <c r="J1247" t="s">
        <v>1524</v>
      </c>
      <c r="K1247" t="s">
        <v>1092</v>
      </c>
      <c r="M1247">
        <v>1.99</v>
      </c>
      <c r="N1247">
        <v>1213</v>
      </c>
      <c r="O1247" t="s">
        <v>575</v>
      </c>
      <c r="Q1247" t="s">
        <v>1525</v>
      </c>
      <c r="R1247" t="s">
        <v>169</v>
      </c>
      <c r="S1247" t="s">
        <v>123</v>
      </c>
    </row>
    <row r="1248" spans="1:19" x14ac:dyDescent="0.25">
      <c r="A1248" t="s">
        <v>59</v>
      </c>
      <c r="B1248" t="s">
        <v>31</v>
      </c>
      <c r="C1248" t="s">
        <v>32</v>
      </c>
      <c r="D1248" t="s">
        <v>33</v>
      </c>
      <c r="E1248" t="s">
        <v>122</v>
      </c>
      <c r="F1248" t="s">
        <v>35</v>
      </c>
      <c r="G1248" t="s">
        <v>35</v>
      </c>
      <c r="H1248" t="s">
        <v>35</v>
      </c>
      <c r="J1248" t="s">
        <v>1784</v>
      </c>
      <c r="K1248" t="s">
        <v>1092</v>
      </c>
      <c r="M1248">
        <v>8.91</v>
      </c>
      <c r="N1248">
        <v>167</v>
      </c>
      <c r="O1248" t="s">
        <v>38</v>
      </c>
      <c r="Q1248" t="s">
        <v>1565</v>
      </c>
      <c r="R1248" t="s">
        <v>169</v>
      </c>
      <c r="S1248" t="s">
        <v>123</v>
      </c>
    </row>
    <row r="1249" spans="1:19" x14ac:dyDescent="0.25">
      <c r="A1249" t="s">
        <v>59</v>
      </c>
      <c r="B1249" t="s">
        <v>31</v>
      </c>
      <c r="C1249" t="s">
        <v>32</v>
      </c>
      <c r="D1249" t="s">
        <v>33</v>
      </c>
      <c r="E1249" t="s">
        <v>196</v>
      </c>
      <c r="F1249" t="s">
        <v>35</v>
      </c>
      <c r="G1249" t="s">
        <v>35</v>
      </c>
      <c r="H1249" t="s">
        <v>35</v>
      </c>
      <c r="J1249" t="s">
        <v>2056</v>
      </c>
      <c r="K1249" t="s">
        <v>1092</v>
      </c>
      <c r="M1249">
        <v>8.5050000000000008</v>
      </c>
      <c r="N1249">
        <v>39</v>
      </c>
      <c r="O1249" t="s">
        <v>52</v>
      </c>
      <c r="Q1249" t="s">
        <v>493</v>
      </c>
      <c r="R1249" t="s">
        <v>169</v>
      </c>
      <c r="S1249" t="s">
        <v>123</v>
      </c>
    </row>
    <row r="1250" spans="1:19" x14ac:dyDescent="0.25">
      <c r="A1250" t="s">
        <v>59</v>
      </c>
      <c r="B1250" t="s">
        <v>31</v>
      </c>
      <c r="C1250" t="s">
        <v>32</v>
      </c>
      <c r="D1250" t="s">
        <v>33</v>
      </c>
      <c r="E1250" t="s">
        <v>122</v>
      </c>
      <c r="F1250" t="s">
        <v>35</v>
      </c>
      <c r="G1250" t="s">
        <v>35</v>
      </c>
      <c r="H1250" t="s">
        <v>35</v>
      </c>
      <c r="J1250" t="s">
        <v>1695</v>
      </c>
      <c r="K1250" t="s">
        <v>1092</v>
      </c>
      <c r="M1250">
        <v>0.58499999999999996</v>
      </c>
      <c r="N1250">
        <v>132</v>
      </c>
      <c r="O1250" t="s">
        <v>38</v>
      </c>
      <c r="Q1250" t="s">
        <v>1696</v>
      </c>
      <c r="R1250" t="s">
        <v>169</v>
      </c>
      <c r="S1250" t="s">
        <v>123</v>
      </c>
    </row>
    <row r="1251" spans="1:19" x14ac:dyDescent="0.25">
      <c r="A1251" t="s">
        <v>30</v>
      </c>
      <c r="B1251" t="s">
        <v>31</v>
      </c>
      <c r="C1251" t="s">
        <v>32</v>
      </c>
      <c r="D1251" t="s">
        <v>33</v>
      </c>
      <c r="E1251" t="s">
        <v>162</v>
      </c>
      <c r="F1251" t="s">
        <v>35</v>
      </c>
      <c r="G1251" t="s">
        <v>35</v>
      </c>
      <c r="H1251" t="s">
        <v>35</v>
      </c>
      <c r="J1251" t="s">
        <v>1868</v>
      </c>
      <c r="K1251" t="s">
        <v>1092</v>
      </c>
      <c r="M1251">
        <v>5.49</v>
      </c>
      <c r="N1251">
        <v>32</v>
      </c>
      <c r="O1251" t="s">
        <v>52</v>
      </c>
      <c r="Q1251" t="s">
        <v>816</v>
      </c>
      <c r="R1251" t="s">
        <v>169</v>
      </c>
      <c r="S1251" t="s">
        <v>123</v>
      </c>
    </row>
    <row r="1252" spans="1:19" x14ac:dyDescent="0.25">
      <c r="A1252" t="s">
        <v>59</v>
      </c>
      <c r="B1252" t="s">
        <v>31</v>
      </c>
      <c r="C1252" t="s">
        <v>32</v>
      </c>
      <c r="D1252" t="s">
        <v>33</v>
      </c>
      <c r="E1252" t="s">
        <v>87</v>
      </c>
      <c r="F1252" t="s">
        <v>35</v>
      </c>
      <c r="G1252" t="s">
        <v>35</v>
      </c>
      <c r="H1252" t="s">
        <v>35</v>
      </c>
      <c r="J1252" t="s">
        <v>1519</v>
      </c>
      <c r="K1252" t="s">
        <v>1092</v>
      </c>
      <c r="M1252">
        <v>1.575</v>
      </c>
      <c r="N1252">
        <v>195</v>
      </c>
      <c r="O1252" t="s">
        <v>5</v>
      </c>
      <c r="Q1252" t="s">
        <v>1299</v>
      </c>
      <c r="R1252" t="s">
        <v>169</v>
      </c>
      <c r="S1252" t="s">
        <v>123</v>
      </c>
    </row>
    <row r="1253" spans="1:19" x14ac:dyDescent="0.25">
      <c r="A1253" t="s">
        <v>59</v>
      </c>
      <c r="B1253" t="s">
        <v>60</v>
      </c>
      <c r="C1253" t="s">
        <v>32</v>
      </c>
      <c r="D1253" t="s">
        <v>33</v>
      </c>
      <c r="E1253" t="s">
        <v>87</v>
      </c>
      <c r="F1253" t="s">
        <v>35</v>
      </c>
      <c r="G1253" t="s">
        <v>35</v>
      </c>
      <c r="H1253" t="s">
        <v>35</v>
      </c>
      <c r="J1253" t="s">
        <v>1519</v>
      </c>
      <c r="K1253" t="s">
        <v>1092</v>
      </c>
      <c r="M1253">
        <v>4.95</v>
      </c>
      <c r="N1253">
        <v>195</v>
      </c>
      <c r="O1253" t="s">
        <v>5</v>
      </c>
      <c r="Q1253" t="s">
        <v>1299</v>
      </c>
      <c r="R1253" t="s">
        <v>169</v>
      </c>
      <c r="S1253" t="s">
        <v>123</v>
      </c>
    </row>
    <row r="1254" spans="1:19" x14ac:dyDescent="0.25">
      <c r="A1254" t="s">
        <v>30</v>
      </c>
      <c r="B1254" t="s">
        <v>31</v>
      </c>
      <c r="C1254" t="s">
        <v>32</v>
      </c>
      <c r="D1254" t="s">
        <v>33</v>
      </c>
      <c r="F1254" t="s">
        <v>35</v>
      </c>
      <c r="G1254" t="s">
        <v>35</v>
      </c>
      <c r="H1254" t="s">
        <v>35</v>
      </c>
      <c r="J1254" t="s">
        <v>2247</v>
      </c>
      <c r="K1254" t="s">
        <v>1092</v>
      </c>
      <c r="M1254">
        <v>2.5649999999999999</v>
      </c>
      <c r="N1254">
        <v>192</v>
      </c>
      <c r="O1254" t="s">
        <v>5</v>
      </c>
      <c r="Q1254" t="s">
        <v>1720</v>
      </c>
      <c r="R1254" t="s">
        <v>169</v>
      </c>
      <c r="S1254" t="s">
        <v>123</v>
      </c>
    </row>
    <row r="1255" spans="1:19" x14ac:dyDescent="0.25">
      <c r="A1255" t="s">
        <v>59</v>
      </c>
      <c r="B1255" t="s">
        <v>60</v>
      </c>
      <c r="C1255" t="s">
        <v>32</v>
      </c>
      <c r="D1255" t="s">
        <v>33</v>
      </c>
      <c r="E1255" t="s">
        <v>1520</v>
      </c>
      <c r="F1255" t="s">
        <v>35</v>
      </c>
      <c r="G1255" t="s">
        <v>35</v>
      </c>
      <c r="H1255" t="s">
        <v>35</v>
      </c>
      <c r="J1255" t="s">
        <v>1522</v>
      </c>
      <c r="K1255" t="s">
        <v>1092</v>
      </c>
      <c r="M1255">
        <v>2</v>
      </c>
      <c r="N1255">
        <v>40</v>
      </c>
      <c r="O1255" t="s">
        <v>52</v>
      </c>
      <c r="Q1255" t="s">
        <v>132</v>
      </c>
      <c r="R1255" t="s">
        <v>169</v>
      </c>
      <c r="S1255" t="s">
        <v>123</v>
      </c>
    </row>
    <row r="1256" spans="1:19" x14ac:dyDescent="0.25">
      <c r="A1256" t="s">
        <v>44</v>
      </c>
      <c r="B1256" t="s">
        <v>51</v>
      </c>
      <c r="C1256" t="s">
        <v>32</v>
      </c>
      <c r="D1256" t="s">
        <v>33</v>
      </c>
      <c r="E1256" t="s">
        <v>34</v>
      </c>
      <c r="F1256" t="s">
        <v>35</v>
      </c>
      <c r="G1256" t="s">
        <v>35</v>
      </c>
      <c r="H1256" t="s">
        <v>35</v>
      </c>
      <c r="J1256" t="s">
        <v>1105</v>
      </c>
      <c r="K1256" t="s">
        <v>1092</v>
      </c>
      <c r="M1256">
        <v>0.5</v>
      </c>
      <c r="N1256">
        <v>34</v>
      </c>
      <c r="O1256" t="s">
        <v>52</v>
      </c>
      <c r="Q1256" t="s">
        <v>249</v>
      </c>
      <c r="R1256" t="s">
        <v>169</v>
      </c>
      <c r="S1256" t="s">
        <v>123</v>
      </c>
    </row>
    <row r="1257" spans="1:19" x14ac:dyDescent="0.25">
      <c r="A1257" t="s">
        <v>59</v>
      </c>
      <c r="B1257" t="s">
        <v>31</v>
      </c>
      <c r="C1257" t="s">
        <v>32</v>
      </c>
      <c r="D1257" t="s">
        <v>33</v>
      </c>
      <c r="E1257" t="s">
        <v>34</v>
      </c>
      <c r="F1257" t="s">
        <v>35</v>
      </c>
      <c r="G1257" t="s">
        <v>35</v>
      </c>
      <c r="H1257" t="s">
        <v>35</v>
      </c>
      <c r="J1257" t="s">
        <v>1105</v>
      </c>
      <c r="K1257" t="s">
        <v>1092</v>
      </c>
      <c r="M1257">
        <v>1.7549999999999999</v>
      </c>
      <c r="N1257">
        <v>65</v>
      </c>
      <c r="O1257" t="s">
        <v>61</v>
      </c>
      <c r="Q1257" t="s">
        <v>63</v>
      </c>
      <c r="R1257" t="s">
        <v>169</v>
      </c>
      <c r="S1257" t="s">
        <v>123</v>
      </c>
    </row>
    <row r="1258" spans="1:19" x14ac:dyDescent="0.25">
      <c r="A1258" t="s">
        <v>59</v>
      </c>
      <c r="B1258" t="s">
        <v>60</v>
      </c>
      <c r="C1258" t="s">
        <v>32</v>
      </c>
      <c r="D1258" t="s">
        <v>33</v>
      </c>
      <c r="E1258" t="s">
        <v>34</v>
      </c>
      <c r="F1258" t="s">
        <v>35</v>
      </c>
      <c r="G1258" t="s">
        <v>35</v>
      </c>
      <c r="H1258" t="s">
        <v>35</v>
      </c>
      <c r="J1258" t="s">
        <v>1105</v>
      </c>
      <c r="K1258" t="s">
        <v>1092</v>
      </c>
      <c r="M1258">
        <v>0.6</v>
      </c>
      <c r="N1258">
        <v>65</v>
      </c>
      <c r="O1258" t="s">
        <v>61</v>
      </c>
      <c r="Q1258" t="s">
        <v>63</v>
      </c>
      <c r="R1258" t="s">
        <v>169</v>
      </c>
      <c r="S1258" t="s">
        <v>123</v>
      </c>
    </row>
    <row r="1259" spans="1:19" x14ac:dyDescent="0.25">
      <c r="A1259" t="s">
        <v>59</v>
      </c>
      <c r="B1259" t="s">
        <v>31</v>
      </c>
      <c r="C1259" t="s">
        <v>32</v>
      </c>
      <c r="D1259" t="s">
        <v>33</v>
      </c>
      <c r="E1259" t="s">
        <v>34</v>
      </c>
      <c r="F1259" t="s">
        <v>35</v>
      </c>
      <c r="G1259" t="s">
        <v>35</v>
      </c>
      <c r="H1259" t="s">
        <v>35</v>
      </c>
      <c r="J1259" t="s">
        <v>1193</v>
      </c>
      <c r="K1259" t="s">
        <v>1092</v>
      </c>
      <c r="M1259">
        <v>8.5050000000000008</v>
      </c>
      <c r="N1259">
        <v>88</v>
      </c>
      <c r="O1259" t="s">
        <v>61</v>
      </c>
      <c r="Q1259" t="s">
        <v>724</v>
      </c>
      <c r="R1259" t="s">
        <v>169</v>
      </c>
      <c r="S1259" t="s">
        <v>123</v>
      </c>
    </row>
    <row r="1260" spans="1:19" x14ac:dyDescent="0.25">
      <c r="A1260" t="s">
        <v>44</v>
      </c>
      <c r="B1260" t="s">
        <v>3</v>
      </c>
      <c r="C1260" t="s">
        <v>32</v>
      </c>
      <c r="D1260" t="s">
        <v>33</v>
      </c>
      <c r="E1260" t="s">
        <v>2098</v>
      </c>
      <c r="F1260" t="s">
        <v>35</v>
      </c>
      <c r="G1260" t="s">
        <v>35</v>
      </c>
      <c r="H1260" t="s">
        <v>35</v>
      </c>
      <c r="J1260" t="s">
        <v>2106</v>
      </c>
      <c r="K1260" t="s">
        <v>1092</v>
      </c>
      <c r="M1260">
        <v>7.45</v>
      </c>
      <c r="N1260">
        <v>51</v>
      </c>
      <c r="O1260" t="s">
        <v>52</v>
      </c>
      <c r="Q1260" t="s">
        <v>58</v>
      </c>
      <c r="R1260" t="s">
        <v>169</v>
      </c>
      <c r="S1260" t="s">
        <v>123</v>
      </c>
    </row>
    <row r="1261" spans="1:19" x14ac:dyDescent="0.25">
      <c r="A1261" t="s">
        <v>30</v>
      </c>
      <c r="B1261" t="s">
        <v>31</v>
      </c>
      <c r="C1261" t="s">
        <v>32</v>
      </c>
      <c r="D1261" t="s">
        <v>33</v>
      </c>
      <c r="E1261" t="s">
        <v>2098</v>
      </c>
      <c r="F1261" t="s">
        <v>35</v>
      </c>
      <c r="G1261" t="s">
        <v>35</v>
      </c>
      <c r="H1261" t="s">
        <v>35</v>
      </c>
      <c r="J1261" t="s">
        <v>2106</v>
      </c>
      <c r="K1261" t="s">
        <v>1092</v>
      </c>
      <c r="M1261">
        <v>11.925000000000001</v>
      </c>
      <c r="N1261">
        <v>60</v>
      </c>
      <c r="O1261" t="s">
        <v>52</v>
      </c>
      <c r="Q1261" t="s">
        <v>1311</v>
      </c>
      <c r="R1261" t="s">
        <v>169</v>
      </c>
      <c r="S1261" t="s">
        <v>123</v>
      </c>
    </row>
    <row r="1262" spans="1:19" x14ac:dyDescent="0.25">
      <c r="A1262" t="s">
        <v>30</v>
      </c>
      <c r="B1262" t="s">
        <v>31</v>
      </c>
      <c r="C1262" t="s">
        <v>32</v>
      </c>
      <c r="D1262" t="s">
        <v>33</v>
      </c>
      <c r="E1262" t="s">
        <v>64</v>
      </c>
      <c r="F1262" t="s">
        <v>35</v>
      </c>
      <c r="G1262" t="s">
        <v>35</v>
      </c>
      <c r="H1262" t="s">
        <v>35</v>
      </c>
      <c r="J1262" t="s">
        <v>1248</v>
      </c>
      <c r="K1262" t="s">
        <v>1092</v>
      </c>
      <c r="M1262">
        <v>3.33</v>
      </c>
      <c r="N1262">
        <v>13</v>
      </c>
      <c r="O1262" t="s">
        <v>46</v>
      </c>
      <c r="Q1262" t="s">
        <v>1004</v>
      </c>
      <c r="R1262" t="s">
        <v>169</v>
      </c>
      <c r="S1262" t="s">
        <v>123</v>
      </c>
    </row>
    <row r="1263" spans="1:19" x14ac:dyDescent="0.25">
      <c r="A1263" t="s">
        <v>44</v>
      </c>
      <c r="B1263" t="s">
        <v>51</v>
      </c>
      <c r="C1263" t="s">
        <v>32</v>
      </c>
      <c r="D1263" t="s">
        <v>33</v>
      </c>
      <c r="E1263" t="s">
        <v>196</v>
      </c>
      <c r="F1263" t="s">
        <v>35</v>
      </c>
      <c r="G1263" t="s">
        <v>35</v>
      </c>
      <c r="H1263" t="s">
        <v>35</v>
      </c>
      <c r="J1263" t="s">
        <v>2049</v>
      </c>
      <c r="K1263" t="s">
        <v>1092</v>
      </c>
      <c r="M1263">
        <v>3</v>
      </c>
      <c r="N1263">
        <v>44</v>
      </c>
      <c r="O1263" t="s">
        <v>52</v>
      </c>
      <c r="Q1263" t="s">
        <v>54</v>
      </c>
      <c r="R1263" t="s">
        <v>169</v>
      </c>
      <c r="S1263" t="s">
        <v>123</v>
      </c>
    </row>
    <row r="1264" spans="1:19" x14ac:dyDescent="0.25">
      <c r="A1264" t="s">
        <v>59</v>
      </c>
      <c r="B1264" t="s">
        <v>31</v>
      </c>
      <c r="C1264" t="s">
        <v>32</v>
      </c>
      <c r="D1264" t="s">
        <v>33</v>
      </c>
      <c r="E1264" t="s">
        <v>34</v>
      </c>
      <c r="F1264" t="s">
        <v>35</v>
      </c>
      <c r="G1264" t="s">
        <v>35</v>
      </c>
      <c r="H1264" t="s">
        <v>35</v>
      </c>
      <c r="J1264" t="s">
        <v>1166</v>
      </c>
      <c r="K1264" t="s">
        <v>1092</v>
      </c>
      <c r="M1264">
        <v>2.88</v>
      </c>
      <c r="N1264">
        <v>65</v>
      </c>
      <c r="O1264" t="s">
        <v>61</v>
      </c>
      <c r="Q1264" t="s">
        <v>63</v>
      </c>
      <c r="R1264" t="s">
        <v>169</v>
      </c>
      <c r="S1264" t="s">
        <v>123</v>
      </c>
    </row>
    <row r="1265" spans="1:19" x14ac:dyDescent="0.25">
      <c r="A1265" t="s">
        <v>44</v>
      </c>
      <c r="B1265" t="s">
        <v>3</v>
      </c>
      <c r="C1265" t="s">
        <v>32</v>
      </c>
      <c r="D1265" t="s">
        <v>33</v>
      </c>
      <c r="E1265" t="s">
        <v>2107</v>
      </c>
      <c r="F1265" t="s">
        <v>35</v>
      </c>
      <c r="G1265" t="s">
        <v>35</v>
      </c>
      <c r="H1265" t="s">
        <v>35</v>
      </c>
      <c r="J1265" t="s">
        <v>2108</v>
      </c>
      <c r="K1265" t="s">
        <v>1092</v>
      </c>
      <c r="M1265">
        <v>10.65</v>
      </c>
      <c r="N1265">
        <v>56</v>
      </c>
      <c r="O1265" t="s">
        <v>52</v>
      </c>
      <c r="Q1265" t="s">
        <v>423</v>
      </c>
      <c r="R1265" t="s">
        <v>169</v>
      </c>
      <c r="S1265" t="s">
        <v>123</v>
      </c>
    </row>
    <row r="1266" spans="1:19" x14ac:dyDescent="0.25">
      <c r="A1266" t="s">
        <v>30</v>
      </c>
      <c r="B1266" t="s">
        <v>31</v>
      </c>
      <c r="C1266" t="s">
        <v>32</v>
      </c>
      <c r="D1266" t="s">
        <v>33</v>
      </c>
      <c r="E1266" t="s">
        <v>2107</v>
      </c>
      <c r="F1266" t="s">
        <v>35</v>
      </c>
      <c r="G1266" t="s">
        <v>35</v>
      </c>
      <c r="H1266" t="s">
        <v>35</v>
      </c>
      <c r="J1266" t="s">
        <v>2108</v>
      </c>
      <c r="K1266" t="s">
        <v>1092</v>
      </c>
      <c r="M1266">
        <v>21.96</v>
      </c>
      <c r="N1266">
        <v>39</v>
      </c>
      <c r="O1266" t="s">
        <v>52</v>
      </c>
      <c r="Q1266" t="s">
        <v>493</v>
      </c>
      <c r="R1266" t="s">
        <v>169</v>
      </c>
      <c r="S1266" t="s">
        <v>123</v>
      </c>
    </row>
    <row r="1267" spans="1:19" x14ac:dyDescent="0.25">
      <c r="A1267" t="s">
        <v>30</v>
      </c>
      <c r="B1267" t="s">
        <v>31</v>
      </c>
      <c r="C1267" t="s">
        <v>32</v>
      </c>
      <c r="D1267" t="s">
        <v>33</v>
      </c>
      <c r="E1267" t="s">
        <v>2107</v>
      </c>
      <c r="F1267" t="s">
        <v>35</v>
      </c>
      <c r="G1267" t="s">
        <v>35</v>
      </c>
      <c r="H1267" t="s">
        <v>35</v>
      </c>
      <c r="J1267" t="s">
        <v>2108</v>
      </c>
      <c r="K1267" t="s">
        <v>1092</v>
      </c>
      <c r="M1267">
        <v>10.17</v>
      </c>
      <c r="N1267">
        <v>67</v>
      </c>
      <c r="O1267" t="s">
        <v>61</v>
      </c>
      <c r="Q1267" t="s">
        <v>488</v>
      </c>
      <c r="R1267" t="s">
        <v>169</v>
      </c>
      <c r="S1267" t="s">
        <v>123</v>
      </c>
    </row>
    <row r="1268" spans="1:19" x14ac:dyDescent="0.25">
      <c r="A1268" t="s">
        <v>30</v>
      </c>
      <c r="B1268" t="s">
        <v>31</v>
      </c>
      <c r="C1268" t="s">
        <v>32</v>
      </c>
      <c r="D1268" t="s">
        <v>33</v>
      </c>
      <c r="E1268" t="s">
        <v>2059</v>
      </c>
      <c r="F1268" t="s">
        <v>35</v>
      </c>
      <c r="G1268" t="s">
        <v>35</v>
      </c>
      <c r="H1268" t="s">
        <v>35</v>
      </c>
      <c r="J1268" t="s">
        <v>2068</v>
      </c>
      <c r="K1268" t="s">
        <v>1092</v>
      </c>
      <c r="M1268">
        <v>5.76</v>
      </c>
      <c r="N1268">
        <v>35</v>
      </c>
      <c r="O1268" t="s">
        <v>52</v>
      </c>
      <c r="Q1268" t="s">
        <v>991</v>
      </c>
      <c r="R1268" t="s">
        <v>169</v>
      </c>
      <c r="S1268" t="s">
        <v>123</v>
      </c>
    </row>
    <row r="1269" spans="1:19" x14ac:dyDescent="0.25">
      <c r="A1269" t="s">
        <v>59</v>
      </c>
      <c r="B1269" t="s">
        <v>31</v>
      </c>
      <c r="C1269" t="s">
        <v>32</v>
      </c>
      <c r="D1269" t="s">
        <v>33</v>
      </c>
      <c r="E1269" t="s">
        <v>34</v>
      </c>
      <c r="F1269" t="s">
        <v>35</v>
      </c>
      <c r="G1269" t="s">
        <v>35</v>
      </c>
      <c r="H1269" t="s">
        <v>35</v>
      </c>
      <c r="J1269" t="s">
        <v>1101</v>
      </c>
      <c r="K1269" t="s">
        <v>1092</v>
      </c>
      <c r="M1269">
        <v>6.3</v>
      </c>
      <c r="N1269">
        <v>88</v>
      </c>
      <c r="O1269" t="s">
        <v>61</v>
      </c>
      <c r="Q1269" t="s">
        <v>724</v>
      </c>
      <c r="R1269" t="s">
        <v>169</v>
      </c>
      <c r="S1269" t="s">
        <v>123</v>
      </c>
    </row>
    <row r="1270" spans="1:19" x14ac:dyDescent="0.25">
      <c r="A1270" t="s">
        <v>30</v>
      </c>
      <c r="B1270" t="s">
        <v>31</v>
      </c>
      <c r="C1270" t="s">
        <v>32</v>
      </c>
      <c r="D1270" t="s">
        <v>33</v>
      </c>
      <c r="E1270" t="s">
        <v>34</v>
      </c>
      <c r="F1270" t="s">
        <v>35</v>
      </c>
      <c r="G1270" t="s">
        <v>35</v>
      </c>
      <c r="H1270" t="s">
        <v>35</v>
      </c>
      <c r="J1270" t="s">
        <v>1101</v>
      </c>
      <c r="K1270" t="s">
        <v>1092</v>
      </c>
      <c r="M1270">
        <v>0.72</v>
      </c>
      <c r="N1270">
        <v>231</v>
      </c>
      <c r="O1270" t="s">
        <v>5</v>
      </c>
      <c r="Q1270" t="s">
        <v>933</v>
      </c>
      <c r="R1270" t="s">
        <v>169</v>
      </c>
      <c r="S1270" t="s">
        <v>123</v>
      </c>
    </row>
    <row r="1271" spans="1:19" x14ac:dyDescent="0.25">
      <c r="A1271" t="s">
        <v>59</v>
      </c>
      <c r="B1271" t="s">
        <v>60</v>
      </c>
      <c r="C1271" t="s">
        <v>32</v>
      </c>
      <c r="D1271" t="s">
        <v>33</v>
      </c>
      <c r="E1271" t="s">
        <v>34</v>
      </c>
      <c r="F1271" t="s">
        <v>35</v>
      </c>
      <c r="G1271" t="s">
        <v>35</v>
      </c>
      <c r="H1271" t="s">
        <v>35</v>
      </c>
      <c r="J1271" t="s">
        <v>1157</v>
      </c>
      <c r="K1271" t="s">
        <v>1092</v>
      </c>
      <c r="M1271">
        <v>11.5</v>
      </c>
      <c r="N1271">
        <v>65</v>
      </c>
      <c r="O1271" t="s">
        <v>61</v>
      </c>
      <c r="Q1271" t="s">
        <v>63</v>
      </c>
      <c r="R1271" t="s">
        <v>169</v>
      </c>
      <c r="S1271" t="s">
        <v>123</v>
      </c>
    </row>
    <row r="1272" spans="1:19" x14ac:dyDescent="0.25">
      <c r="A1272" t="s">
        <v>59</v>
      </c>
      <c r="B1272" t="s">
        <v>31</v>
      </c>
      <c r="C1272" t="s">
        <v>32</v>
      </c>
      <c r="D1272" t="s">
        <v>33</v>
      </c>
      <c r="E1272" t="s">
        <v>34</v>
      </c>
      <c r="F1272" t="s">
        <v>35</v>
      </c>
      <c r="G1272" t="s">
        <v>35</v>
      </c>
      <c r="H1272" t="s">
        <v>35</v>
      </c>
      <c r="J1272" t="s">
        <v>1123</v>
      </c>
      <c r="K1272" t="s">
        <v>1092</v>
      </c>
      <c r="M1272">
        <v>0.495</v>
      </c>
      <c r="N1272">
        <v>65</v>
      </c>
      <c r="O1272" t="s">
        <v>61</v>
      </c>
      <c r="Q1272" t="s">
        <v>63</v>
      </c>
      <c r="R1272" t="s">
        <v>169</v>
      </c>
      <c r="S1272" t="s">
        <v>123</v>
      </c>
    </row>
    <row r="1273" spans="1:19" x14ac:dyDescent="0.25">
      <c r="A1273" t="s">
        <v>59</v>
      </c>
      <c r="B1273" t="s">
        <v>60</v>
      </c>
      <c r="C1273" t="s">
        <v>32</v>
      </c>
      <c r="D1273" t="s">
        <v>33</v>
      </c>
      <c r="E1273" t="s">
        <v>34</v>
      </c>
      <c r="F1273" t="s">
        <v>35</v>
      </c>
      <c r="G1273" t="s">
        <v>35</v>
      </c>
      <c r="H1273" t="s">
        <v>35</v>
      </c>
      <c r="J1273" t="s">
        <v>1123</v>
      </c>
      <c r="K1273" t="s">
        <v>1092</v>
      </c>
      <c r="M1273">
        <v>0.05</v>
      </c>
      <c r="N1273">
        <v>65</v>
      </c>
      <c r="O1273" t="s">
        <v>61</v>
      </c>
      <c r="Q1273" t="s">
        <v>63</v>
      </c>
      <c r="R1273" t="s">
        <v>169</v>
      </c>
      <c r="S1273" t="s">
        <v>123</v>
      </c>
    </row>
    <row r="1274" spans="1:19" x14ac:dyDescent="0.25">
      <c r="A1274" t="s">
        <v>59</v>
      </c>
      <c r="B1274" t="s">
        <v>31</v>
      </c>
      <c r="C1274" t="s">
        <v>32</v>
      </c>
      <c r="D1274" t="s">
        <v>33</v>
      </c>
      <c r="E1274" t="s">
        <v>87</v>
      </c>
      <c r="F1274" t="s">
        <v>35</v>
      </c>
      <c r="G1274" t="s">
        <v>35</v>
      </c>
      <c r="H1274" t="s">
        <v>35</v>
      </c>
      <c r="J1274" t="s">
        <v>1477</v>
      </c>
      <c r="K1274" t="s">
        <v>1092</v>
      </c>
      <c r="M1274">
        <v>1.89</v>
      </c>
      <c r="N1274">
        <v>210</v>
      </c>
      <c r="O1274" t="s">
        <v>5</v>
      </c>
      <c r="Q1274" t="s">
        <v>1159</v>
      </c>
      <c r="R1274" t="s">
        <v>169</v>
      </c>
      <c r="S1274" t="s">
        <v>123</v>
      </c>
    </row>
    <row r="1275" spans="1:19" x14ac:dyDescent="0.25">
      <c r="A1275" t="s">
        <v>59</v>
      </c>
      <c r="B1275" t="s">
        <v>60</v>
      </c>
      <c r="C1275" t="s">
        <v>32</v>
      </c>
      <c r="D1275" t="s">
        <v>33</v>
      </c>
      <c r="E1275" t="s">
        <v>87</v>
      </c>
      <c r="F1275" t="s">
        <v>35</v>
      </c>
      <c r="G1275" t="s">
        <v>35</v>
      </c>
      <c r="H1275" t="s">
        <v>35</v>
      </c>
      <c r="J1275" t="s">
        <v>1477</v>
      </c>
      <c r="K1275" t="s">
        <v>1092</v>
      </c>
      <c r="M1275">
        <v>0.91500000000000004</v>
      </c>
      <c r="N1275">
        <v>210</v>
      </c>
      <c r="O1275" t="s">
        <v>5</v>
      </c>
      <c r="Q1275" t="s">
        <v>1159</v>
      </c>
      <c r="R1275" t="s">
        <v>169</v>
      </c>
      <c r="S1275" t="s">
        <v>123</v>
      </c>
    </row>
    <row r="1276" spans="1:19" x14ac:dyDescent="0.25">
      <c r="A1276" t="s">
        <v>59</v>
      </c>
      <c r="B1276" t="s">
        <v>31</v>
      </c>
      <c r="C1276" t="s">
        <v>32</v>
      </c>
      <c r="D1276" t="s">
        <v>33</v>
      </c>
      <c r="E1276" t="s">
        <v>196</v>
      </c>
      <c r="F1276" t="s">
        <v>35</v>
      </c>
      <c r="G1276" t="s">
        <v>35</v>
      </c>
      <c r="H1276" t="s">
        <v>35</v>
      </c>
      <c r="J1276" t="s">
        <v>2038</v>
      </c>
      <c r="K1276" t="s">
        <v>1092</v>
      </c>
      <c r="M1276">
        <v>5.49</v>
      </c>
      <c r="N1276">
        <v>61</v>
      </c>
      <c r="O1276" t="s">
        <v>61</v>
      </c>
      <c r="Q1276" t="s">
        <v>146</v>
      </c>
      <c r="R1276" t="s">
        <v>169</v>
      </c>
      <c r="S1276" t="s">
        <v>123</v>
      </c>
    </row>
    <row r="1277" spans="1:19" x14ac:dyDescent="0.25">
      <c r="A1277" t="s">
        <v>59</v>
      </c>
      <c r="B1277" t="s">
        <v>60</v>
      </c>
      <c r="C1277" t="s">
        <v>32</v>
      </c>
      <c r="D1277" t="s">
        <v>33</v>
      </c>
      <c r="E1277" t="s">
        <v>204</v>
      </c>
      <c r="F1277" t="s">
        <v>35</v>
      </c>
      <c r="G1277" t="s">
        <v>35</v>
      </c>
      <c r="H1277" t="s">
        <v>35</v>
      </c>
      <c r="J1277" t="s">
        <v>2156</v>
      </c>
      <c r="K1277" t="s">
        <v>1092</v>
      </c>
      <c r="M1277">
        <v>0.75</v>
      </c>
      <c r="N1277">
        <v>84</v>
      </c>
      <c r="O1277" t="s">
        <v>61</v>
      </c>
      <c r="Q1277" t="s">
        <v>1147</v>
      </c>
      <c r="R1277" t="s">
        <v>169</v>
      </c>
      <c r="S1277" t="s">
        <v>123</v>
      </c>
    </row>
    <row r="1278" spans="1:19" x14ac:dyDescent="0.25">
      <c r="A1278" t="s">
        <v>59</v>
      </c>
      <c r="B1278" t="s">
        <v>60</v>
      </c>
      <c r="C1278" t="s">
        <v>32</v>
      </c>
      <c r="D1278" t="s">
        <v>33</v>
      </c>
      <c r="E1278" t="s">
        <v>119</v>
      </c>
      <c r="F1278" t="s">
        <v>35</v>
      </c>
      <c r="G1278" t="s">
        <v>35</v>
      </c>
      <c r="H1278" t="s">
        <v>35</v>
      </c>
      <c r="J1278" t="s">
        <v>1622</v>
      </c>
      <c r="K1278" t="s">
        <v>1092</v>
      </c>
      <c r="M1278">
        <v>6.8</v>
      </c>
      <c r="N1278">
        <v>91</v>
      </c>
      <c r="O1278" t="s">
        <v>106</v>
      </c>
      <c r="Q1278" t="s">
        <v>108</v>
      </c>
      <c r="R1278" t="s">
        <v>169</v>
      </c>
      <c r="S1278" t="s">
        <v>123</v>
      </c>
    </row>
    <row r="1279" spans="1:19" x14ac:dyDescent="0.25">
      <c r="A1279" t="s">
        <v>30</v>
      </c>
      <c r="B1279" t="s">
        <v>31</v>
      </c>
      <c r="C1279" t="s">
        <v>32</v>
      </c>
      <c r="D1279" t="s">
        <v>33</v>
      </c>
      <c r="E1279" t="s">
        <v>119</v>
      </c>
      <c r="F1279" t="s">
        <v>35</v>
      </c>
      <c r="G1279" t="s">
        <v>35</v>
      </c>
      <c r="H1279" t="s">
        <v>35</v>
      </c>
      <c r="J1279" t="s">
        <v>1622</v>
      </c>
      <c r="K1279" t="s">
        <v>1092</v>
      </c>
      <c r="M1279">
        <v>12.51</v>
      </c>
      <c r="N1279">
        <v>91</v>
      </c>
      <c r="O1279" t="s">
        <v>106</v>
      </c>
      <c r="Q1279" t="s">
        <v>108</v>
      </c>
      <c r="R1279" t="s">
        <v>169</v>
      </c>
      <c r="S1279" t="s">
        <v>123</v>
      </c>
    </row>
    <row r="1280" spans="1:19" x14ac:dyDescent="0.25">
      <c r="A1280" t="s">
        <v>30</v>
      </c>
      <c r="B1280" t="s">
        <v>31</v>
      </c>
      <c r="C1280" t="s">
        <v>32</v>
      </c>
      <c r="D1280" t="s">
        <v>33</v>
      </c>
      <c r="E1280" t="s">
        <v>119</v>
      </c>
      <c r="F1280" t="s">
        <v>35</v>
      </c>
      <c r="G1280" t="s">
        <v>35</v>
      </c>
      <c r="H1280" t="s">
        <v>35</v>
      </c>
      <c r="J1280" t="s">
        <v>1627</v>
      </c>
      <c r="K1280" t="s">
        <v>1092</v>
      </c>
      <c r="M1280">
        <v>10.98</v>
      </c>
      <c r="N1280">
        <v>32</v>
      </c>
      <c r="O1280" t="s">
        <v>52</v>
      </c>
      <c r="Q1280" t="s">
        <v>816</v>
      </c>
      <c r="R1280" t="s">
        <v>169</v>
      </c>
      <c r="S1280" t="s">
        <v>123</v>
      </c>
    </row>
    <row r="1281" spans="1:19" x14ac:dyDescent="0.25">
      <c r="A1281" t="s">
        <v>59</v>
      </c>
      <c r="B1281" t="s">
        <v>60</v>
      </c>
      <c r="C1281" t="s">
        <v>32</v>
      </c>
      <c r="D1281" t="s">
        <v>33</v>
      </c>
      <c r="E1281" t="s">
        <v>119</v>
      </c>
      <c r="F1281" t="s">
        <v>35</v>
      </c>
      <c r="G1281" t="s">
        <v>35</v>
      </c>
      <c r="H1281" t="s">
        <v>35</v>
      </c>
      <c r="J1281" t="s">
        <v>1627</v>
      </c>
      <c r="K1281" t="s">
        <v>1092</v>
      </c>
      <c r="M1281">
        <v>4.05</v>
      </c>
      <c r="N1281">
        <v>61</v>
      </c>
      <c r="O1281" t="s">
        <v>61</v>
      </c>
      <c r="Q1281" t="s">
        <v>146</v>
      </c>
      <c r="R1281" t="s">
        <v>169</v>
      </c>
      <c r="S1281" t="s">
        <v>123</v>
      </c>
    </row>
    <row r="1282" spans="1:19" x14ac:dyDescent="0.25">
      <c r="A1282" t="s">
        <v>30</v>
      </c>
      <c r="B1282" t="s">
        <v>31</v>
      </c>
      <c r="C1282" t="s">
        <v>32</v>
      </c>
      <c r="D1282" t="s">
        <v>33</v>
      </c>
      <c r="E1282" t="s">
        <v>119</v>
      </c>
      <c r="F1282" t="s">
        <v>35</v>
      </c>
      <c r="G1282" t="s">
        <v>35</v>
      </c>
      <c r="H1282" t="s">
        <v>35</v>
      </c>
      <c r="J1282" t="s">
        <v>1627</v>
      </c>
      <c r="K1282" t="s">
        <v>1092</v>
      </c>
      <c r="M1282">
        <v>5.04</v>
      </c>
      <c r="N1282">
        <v>61</v>
      </c>
      <c r="O1282" t="s">
        <v>61</v>
      </c>
      <c r="Q1282" t="s">
        <v>146</v>
      </c>
      <c r="R1282" t="s">
        <v>169</v>
      </c>
      <c r="S1282" t="s">
        <v>123</v>
      </c>
    </row>
    <row r="1283" spans="1:19" x14ac:dyDescent="0.25">
      <c r="A1283" t="s">
        <v>59</v>
      </c>
      <c r="B1283" t="s">
        <v>31</v>
      </c>
      <c r="C1283" t="s">
        <v>32</v>
      </c>
      <c r="D1283" t="s">
        <v>33</v>
      </c>
      <c r="E1283" t="s">
        <v>64</v>
      </c>
      <c r="F1283" t="s">
        <v>35</v>
      </c>
      <c r="G1283" t="s">
        <v>35</v>
      </c>
      <c r="H1283" t="s">
        <v>35</v>
      </c>
      <c r="J1283" t="s">
        <v>1243</v>
      </c>
      <c r="K1283" t="s">
        <v>1092</v>
      </c>
      <c r="M1283">
        <v>2.74</v>
      </c>
      <c r="N1283">
        <v>1245</v>
      </c>
      <c r="O1283" t="s">
        <v>575</v>
      </c>
      <c r="Q1283" t="s">
        <v>1245</v>
      </c>
      <c r="R1283" t="s">
        <v>169</v>
      </c>
      <c r="S1283" t="s">
        <v>123</v>
      </c>
    </row>
    <row r="1284" spans="1:19" x14ac:dyDescent="0.25">
      <c r="A1284" t="s">
        <v>44</v>
      </c>
      <c r="B1284" t="s">
        <v>51</v>
      </c>
      <c r="C1284" t="s">
        <v>32</v>
      </c>
      <c r="D1284" t="s">
        <v>33</v>
      </c>
      <c r="E1284" t="s">
        <v>2059</v>
      </c>
      <c r="F1284" t="s">
        <v>35</v>
      </c>
      <c r="G1284" t="s">
        <v>35</v>
      </c>
      <c r="H1284" t="s">
        <v>35</v>
      </c>
      <c r="J1284" t="s">
        <v>2063</v>
      </c>
      <c r="K1284" t="s">
        <v>1092</v>
      </c>
      <c r="M1284">
        <v>3.5</v>
      </c>
      <c r="N1284">
        <v>31</v>
      </c>
      <c r="O1284" t="s">
        <v>52</v>
      </c>
      <c r="Q1284" t="s">
        <v>748</v>
      </c>
      <c r="R1284" t="s">
        <v>169</v>
      </c>
      <c r="S1284" t="s">
        <v>123</v>
      </c>
    </row>
    <row r="1285" spans="1:19" x14ac:dyDescent="0.25">
      <c r="A1285" t="s">
        <v>30</v>
      </c>
      <c r="B1285" t="s">
        <v>31</v>
      </c>
      <c r="C1285" t="s">
        <v>32</v>
      </c>
      <c r="D1285" t="s">
        <v>33</v>
      </c>
      <c r="E1285" t="s">
        <v>162</v>
      </c>
      <c r="F1285" t="s">
        <v>35</v>
      </c>
      <c r="G1285" t="s">
        <v>35</v>
      </c>
      <c r="H1285" t="s">
        <v>35</v>
      </c>
      <c r="J1285" t="s">
        <v>1833</v>
      </c>
      <c r="K1285" t="s">
        <v>1092</v>
      </c>
      <c r="M1285">
        <v>6.21</v>
      </c>
      <c r="N1285">
        <v>138</v>
      </c>
      <c r="O1285" t="s">
        <v>38</v>
      </c>
      <c r="Q1285" t="s">
        <v>1149</v>
      </c>
      <c r="R1285" t="s">
        <v>169</v>
      </c>
      <c r="S1285" t="s">
        <v>123</v>
      </c>
    </row>
    <row r="1286" spans="1:19" x14ac:dyDescent="0.25">
      <c r="A1286" t="s">
        <v>59</v>
      </c>
      <c r="B1286" t="s">
        <v>60</v>
      </c>
      <c r="C1286" t="s">
        <v>32</v>
      </c>
      <c r="D1286" t="s">
        <v>33</v>
      </c>
      <c r="E1286" t="s">
        <v>204</v>
      </c>
      <c r="F1286" t="s">
        <v>35</v>
      </c>
      <c r="G1286" t="s">
        <v>35</v>
      </c>
      <c r="H1286" t="s">
        <v>35</v>
      </c>
      <c r="J1286" t="s">
        <v>2180</v>
      </c>
      <c r="K1286" t="s">
        <v>1092</v>
      </c>
      <c r="M1286">
        <v>5</v>
      </c>
      <c r="N1286">
        <v>84</v>
      </c>
      <c r="O1286" t="s">
        <v>61</v>
      </c>
      <c r="Q1286" t="s">
        <v>1147</v>
      </c>
      <c r="R1286" t="s">
        <v>169</v>
      </c>
      <c r="S1286" t="s">
        <v>123</v>
      </c>
    </row>
    <row r="1287" spans="1:19" x14ac:dyDescent="0.25">
      <c r="A1287" t="s">
        <v>59</v>
      </c>
      <c r="B1287" t="s">
        <v>31</v>
      </c>
      <c r="C1287" t="s">
        <v>32</v>
      </c>
      <c r="D1287" t="s">
        <v>33</v>
      </c>
      <c r="E1287" t="s">
        <v>172</v>
      </c>
      <c r="F1287" t="s">
        <v>35</v>
      </c>
      <c r="G1287" t="s">
        <v>35</v>
      </c>
      <c r="H1287" t="s">
        <v>35</v>
      </c>
      <c r="J1287" t="s">
        <v>1923</v>
      </c>
      <c r="K1287" t="s">
        <v>1092</v>
      </c>
      <c r="M1287">
        <v>3.04</v>
      </c>
      <c r="N1287">
        <v>818</v>
      </c>
      <c r="O1287" t="s">
        <v>575</v>
      </c>
      <c r="Q1287" t="s">
        <v>1924</v>
      </c>
      <c r="R1287" t="s">
        <v>169</v>
      </c>
      <c r="S1287" t="s">
        <v>123</v>
      </c>
    </row>
    <row r="1288" spans="1:19" x14ac:dyDescent="0.25">
      <c r="A1288" t="s">
        <v>59</v>
      </c>
      <c r="B1288" t="s">
        <v>60</v>
      </c>
      <c r="C1288" t="s">
        <v>32</v>
      </c>
      <c r="D1288" t="s">
        <v>33</v>
      </c>
      <c r="E1288" t="s">
        <v>204</v>
      </c>
      <c r="F1288" t="s">
        <v>35</v>
      </c>
      <c r="G1288" t="s">
        <v>35</v>
      </c>
      <c r="H1288" t="s">
        <v>35</v>
      </c>
      <c r="J1288" t="s">
        <v>2184</v>
      </c>
      <c r="K1288" t="s">
        <v>1092</v>
      </c>
      <c r="M1288">
        <v>1.1000000000000001</v>
      </c>
      <c r="N1288">
        <v>91</v>
      </c>
      <c r="O1288" t="s">
        <v>106</v>
      </c>
      <c r="Q1288" t="s">
        <v>108</v>
      </c>
      <c r="R1288" t="s">
        <v>169</v>
      </c>
      <c r="S1288" t="s">
        <v>123</v>
      </c>
    </row>
    <row r="1289" spans="1:19" x14ac:dyDescent="0.25">
      <c r="A1289" t="s">
        <v>30</v>
      </c>
      <c r="B1289" t="s">
        <v>31</v>
      </c>
      <c r="C1289" t="s">
        <v>32</v>
      </c>
      <c r="D1289" t="s">
        <v>33</v>
      </c>
      <c r="E1289" t="s">
        <v>204</v>
      </c>
      <c r="F1289" t="s">
        <v>35</v>
      </c>
      <c r="G1289" t="s">
        <v>35</v>
      </c>
      <c r="H1289" t="s">
        <v>35</v>
      </c>
      <c r="J1289" t="s">
        <v>2184</v>
      </c>
      <c r="K1289" t="s">
        <v>1092</v>
      </c>
      <c r="M1289">
        <v>4.5</v>
      </c>
      <c r="N1289">
        <v>91</v>
      </c>
      <c r="O1289" t="s">
        <v>106</v>
      </c>
      <c r="Q1289" t="s">
        <v>108</v>
      </c>
      <c r="R1289" t="s">
        <v>169</v>
      </c>
      <c r="S1289" t="s">
        <v>123</v>
      </c>
    </row>
    <row r="1290" spans="1:19" x14ac:dyDescent="0.25">
      <c r="A1290" t="s">
        <v>59</v>
      </c>
      <c r="B1290" t="s">
        <v>31</v>
      </c>
      <c r="C1290" t="s">
        <v>32</v>
      </c>
      <c r="D1290" t="s">
        <v>33</v>
      </c>
      <c r="E1290" t="s">
        <v>1520</v>
      </c>
      <c r="F1290" t="s">
        <v>35</v>
      </c>
      <c r="G1290" t="s">
        <v>35</v>
      </c>
      <c r="H1290" t="s">
        <v>35</v>
      </c>
      <c r="J1290" t="s">
        <v>1530</v>
      </c>
      <c r="K1290" t="s">
        <v>1092</v>
      </c>
      <c r="M1290">
        <v>0.04</v>
      </c>
      <c r="N1290">
        <v>873</v>
      </c>
      <c r="O1290" t="s">
        <v>575</v>
      </c>
      <c r="Q1290" t="s">
        <v>1531</v>
      </c>
      <c r="R1290" t="s">
        <v>169</v>
      </c>
      <c r="S1290" t="s">
        <v>123</v>
      </c>
    </row>
    <row r="1291" spans="1:19" x14ac:dyDescent="0.25">
      <c r="A1291" t="s">
        <v>59</v>
      </c>
      <c r="B1291" t="s">
        <v>60</v>
      </c>
      <c r="C1291" t="s">
        <v>32</v>
      </c>
      <c r="D1291" t="s">
        <v>33</v>
      </c>
      <c r="E1291" t="s">
        <v>64</v>
      </c>
      <c r="F1291" t="s">
        <v>35</v>
      </c>
      <c r="G1291" t="s">
        <v>35</v>
      </c>
      <c r="H1291" t="s">
        <v>35</v>
      </c>
      <c r="J1291" t="s">
        <v>1246</v>
      </c>
      <c r="K1291" t="s">
        <v>1092</v>
      </c>
      <c r="M1291">
        <v>1.3</v>
      </c>
      <c r="N1291">
        <v>61</v>
      </c>
      <c r="O1291" t="s">
        <v>61</v>
      </c>
      <c r="Q1291" t="s">
        <v>146</v>
      </c>
      <c r="R1291" t="s">
        <v>169</v>
      </c>
      <c r="S1291" t="s">
        <v>123</v>
      </c>
    </row>
    <row r="1292" spans="1:19" x14ac:dyDescent="0.25">
      <c r="A1292" t="s">
        <v>59</v>
      </c>
      <c r="B1292" t="s">
        <v>60</v>
      </c>
      <c r="C1292" t="s">
        <v>32</v>
      </c>
      <c r="D1292" t="s">
        <v>33</v>
      </c>
      <c r="E1292" t="s">
        <v>122</v>
      </c>
      <c r="F1292" t="s">
        <v>35</v>
      </c>
      <c r="G1292" t="s">
        <v>35</v>
      </c>
      <c r="H1292" t="s">
        <v>35</v>
      </c>
      <c r="J1292" t="s">
        <v>1737</v>
      </c>
      <c r="K1292" t="s">
        <v>1092</v>
      </c>
      <c r="M1292">
        <v>2.5</v>
      </c>
      <c r="N1292">
        <v>76</v>
      </c>
      <c r="O1292" t="s">
        <v>61</v>
      </c>
      <c r="Q1292" t="s">
        <v>455</v>
      </c>
      <c r="R1292" t="s">
        <v>169</v>
      </c>
      <c r="S1292" t="s">
        <v>123</v>
      </c>
    </row>
    <row r="1293" spans="1:19" x14ac:dyDescent="0.25">
      <c r="A1293" t="s">
        <v>59</v>
      </c>
      <c r="B1293" t="s">
        <v>60</v>
      </c>
      <c r="C1293" t="s">
        <v>32</v>
      </c>
      <c r="D1293" t="s">
        <v>33</v>
      </c>
      <c r="E1293" t="s">
        <v>64</v>
      </c>
      <c r="F1293" t="s">
        <v>35</v>
      </c>
      <c r="G1293" t="s">
        <v>35</v>
      </c>
      <c r="H1293" t="s">
        <v>35</v>
      </c>
      <c r="J1293" t="s">
        <v>1250</v>
      </c>
      <c r="K1293" t="s">
        <v>1092</v>
      </c>
      <c r="M1293">
        <v>2.15</v>
      </c>
      <c r="N1293">
        <v>84</v>
      </c>
      <c r="O1293" t="s">
        <v>61</v>
      </c>
      <c r="Q1293" t="s">
        <v>1147</v>
      </c>
      <c r="R1293" t="s">
        <v>169</v>
      </c>
      <c r="S1293" t="s">
        <v>123</v>
      </c>
    </row>
    <row r="1294" spans="1:19" x14ac:dyDescent="0.25">
      <c r="A1294" t="s">
        <v>44</v>
      </c>
      <c r="B1294" t="s">
        <v>51</v>
      </c>
      <c r="C1294" t="s">
        <v>32</v>
      </c>
      <c r="D1294" t="s">
        <v>33</v>
      </c>
      <c r="E1294" t="s">
        <v>162</v>
      </c>
      <c r="F1294" t="s">
        <v>35</v>
      </c>
      <c r="G1294" t="s">
        <v>35</v>
      </c>
      <c r="H1294" t="s">
        <v>35</v>
      </c>
      <c r="J1294" t="s">
        <v>1424</v>
      </c>
      <c r="K1294" t="s">
        <v>1092</v>
      </c>
      <c r="M1294">
        <v>10</v>
      </c>
      <c r="N1294">
        <v>6</v>
      </c>
      <c r="O1294" t="s">
        <v>46</v>
      </c>
      <c r="Q1294" t="s">
        <v>310</v>
      </c>
      <c r="R1294" t="s">
        <v>169</v>
      </c>
      <c r="S1294" t="s">
        <v>123</v>
      </c>
    </row>
    <row r="1295" spans="1:19" x14ac:dyDescent="0.25">
      <c r="A1295" t="s">
        <v>30</v>
      </c>
      <c r="B1295" t="s">
        <v>31</v>
      </c>
      <c r="C1295" t="s">
        <v>32</v>
      </c>
      <c r="D1295" t="s">
        <v>33</v>
      </c>
      <c r="E1295" t="s">
        <v>162</v>
      </c>
      <c r="F1295" t="s">
        <v>35</v>
      </c>
      <c r="G1295" t="s">
        <v>35</v>
      </c>
      <c r="H1295" t="s">
        <v>35</v>
      </c>
      <c r="J1295" t="s">
        <v>1424</v>
      </c>
      <c r="K1295" t="s">
        <v>1092</v>
      </c>
      <c r="M1295">
        <v>21.39</v>
      </c>
      <c r="N1295">
        <v>11</v>
      </c>
      <c r="O1295" t="s">
        <v>46</v>
      </c>
      <c r="Q1295" t="s">
        <v>1476</v>
      </c>
      <c r="R1295" t="s">
        <v>169</v>
      </c>
      <c r="S1295" t="s">
        <v>123</v>
      </c>
    </row>
    <row r="1296" spans="1:19" x14ac:dyDescent="0.25">
      <c r="A1296" t="s">
        <v>59</v>
      </c>
      <c r="B1296" t="s">
        <v>60</v>
      </c>
      <c r="C1296" t="s">
        <v>32</v>
      </c>
      <c r="D1296" t="s">
        <v>33</v>
      </c>
      <c r="E1296" t="s">
        <v>1292</v>
      </c>
      <c r="F1296" t="s">
        <v>35</v>
      </c>
      <c r="G1296" t="s">
        <v>35</v>
      </c>
      <c r="H1296" t="s">
        <v>35</v>
      </c>
      <c r="J1296" t="s">
        <v>1409</v>
      </c>
      <c r="K1296" t="s">
        <v>1092</v>
      </c>
      <c r="M1296">
        <v>0.95</v>
      </c>
      <c r="N1296">
        <v>387</v>
      </c>
      <c r="O1296" t="s">
        <v>294</v>
      </c>
      <c r="Q1296" t="s">
        <v>1410</v>
      </c>
      <c r="R1296" t="s">
        <v>169</v>
      </c>
      <c r="S1296" t="s">
        <v>123</v>
      </c>
    </row>
    <row r="1297" spans="1:19" x14ac:dyDescent="0.25">
      <c r="A1297" t="s">
        <v>59</v>
      </c>
      <c r="B1297" t="s">
        <v>60</v>
      </c>
      <c r="C1297" t="s">
        <v>32</v>
      </c>
      <c r="D1297" t="s">
        <v>33</v>
      </c>
      <c r="E1297" t="s">
        <v>172</v>
      </c>
      <c r="F1297" t="s">
        <v>35</v>
      </c>
      <c r="G1297" t="s">
        <v>35</v>
      </c>
      <c r="H1297" t="s">
        <v>35</v>
      </c>
      <c r="J1297" t="s">
        <v>1941</v>
      </c>
      <c r="K1297" t="s">
        <v>1092</v>
      </c>
      <c r="M1297">
        <v>0.59499999999999997</v>
      </c>
      <c r="N1297">
        <v>282</v>
      </c>
      <c r="O1297" t="s">
        <v>5</v>
      </c>
      <c r="Q1297" t="s">
        <v>1172</v>
      </c>
      <c r="R1297" t="s">
        <v>169</v>
      </c>
      <c r="S1297" t="s">
        <v>123</v>
      </c>
    </row>
    <row r="1298" spans="1:19" x14ac:dyDescent="0.25">
      <c r="A1298" t="s">
        <v>44</v>
      </c>
      <c r="B1298" t="s">
        <v>3</v>
      </c>
      <c r="C1298" t="s">
        <v>32</v>
      </c>
      <c r="D1298" t="s">
        <v>33</v>
      </c>
      <c r="E1298" t="s">
        <v>122</v>
      </c>
      <c r="F1298" t="s">
        <v>35</v>
      </c>
      <c r="G1298" t="s">
        <v>35</v>
      </c>
      <c r="H1298" t="s">
        <v>35</v>
      </c>
      <c r="J1298" t="s">
        <v>1783</v>
      </c>
      <c r="K1298" t="s">
        <v>1092</v>
      </c>
      <c r="M1298">
        <v>2.5</v>
      </c>
      <c r="N1298">
        <v>52</v>
      </c>
      <c r="O1298" t="s">
        <v>52</v>
      </c>
      <c r="Q1298" t="s">
        <v>84</v>
      </c>
      <c r="R1298" t="s">
        <v>169</v>
      </c>
      <c r="S1298" t="s">
        <v>123</v>
      </c>
    </row>
    <row r="1299" spans="1:19" x14ac:dyDescent="0.25">
      <c r="A1299" t="s">
        <v>59</v>
      </c>
      <c r="B1299" t="s">
        <v>60</v>
      </c>
      <c r="C1299" t="s">
        <v>32</v>
      </c>
      <c r="D1299" t="s">
        <v>33</v>
      </c>
      <c r="E1299" t="s">
        <v>34</v>
      </c>
      <c r="F1299" t="s">
        <v>35</v>
      </c>
      <c r="G1299" t="s">
        <v>35</v>
      </c>
      <c r="H1299" t="s">
        <v>35</v>
      </c>
      <c r="J1299" t="s">
        <v>1176</v>
      </c>
      <c r="K1299" t="s">
        <v>1092</v>
      </c>
      <c r="M1299">
        <v>1</v>
      </c>
      <c r="N1299">
        <v>65</v>
      </c>
      <c r="O1299" t="s">
        <v>61</v>
      </c>
      <c r="Q1299" t="s">
        <v>63</v>
      </c>
      <c r="R1299" t="s">
        <v>169</v>
      </c>
      <c r="S1299" t="s">
        <v>123</v>
      </c>
    </row>
    <row r="1300" spans="1:19" x14ac:dyDescent="0.25">
      <c r="A1300" t="s">
        <v>59</v>
      </c>
      <c r="B1300" t="s">
        <v>31</v>
      </c>
      <c r="C1300" t="s">
        <v>32</v>
      </c>
      <c r="D1300" t="s">
        <v>33</v>
      </c>
      <c r="E1300" t="s">
        <v>122</v>
      </c>
      <c r="F1300" t="s">
        <v>35</v>
      </c>
      <c r="G1300" t="s">
        <v>35</v>
      </c>
      <c r="H1300" t="s">
        <v>35</v>
      </c>
      <c r="J1300" t="s">
        <v>1823</v>
      </c>
      <c r="K1300" t="s">
        <v>1092</v>
      </c>
      <c r="M1300">
        <v>0.85499999999999998</v>
      </c>
      <c r="N1300">
        <v>132</v>
      </c>
      <c r="O1300" t="s">
        <v>38</v>
      </c>
      <c r="Q1300" t="s">
        <v>1696</v>
      </c>
      <c r="R1300" t="s">
        <v>169</v>
      </c>
      <c r="S1300" t="s">
        <v>123</v>
      </c>
    </row>
    <row r="1301" spans="1:19" x14ac:dyDescent="0.25">
      <c r="A1301" t="s">
        <v>59</v>
      </c>
      <c r="B1301" t="s">
        <v>31</v>
      </c>
      <c r="C1301" t="s">
        <v>32</v>
      </c>
      <c r="D1301" t="s">
        <v>33</v>
      </c>
      <c r="E1301" t="s">
        <v>204</v>
      </c>
      <c r="F1301" t="s">
        <v>35</v>
      </c>
      <c r="G1301" t="s">
        <v>35</v>
      </c>
      <c r="H1301" t="s">
        <v>35</v>
      </c>
      <c r="J1301" t="s">
        <v>2160</v>
      </c>
      <c r="K1301" t="s">
        <v>1092</v>
      </c>
      <c r="M1301">
        <v>0.09</v>
      </c>
      <c r="N1301">
        <v>1173</v>
      </c>
      <c r="O1301" t="s">
        <v>575</v>
      </c>
      <c r="Q1301" t="s">
        <v>2161</v>
      </c>
      <c r="R1301" t="s">
        <v>169</v>
      </c>
      <c r="S1301" t="s">
        <v>123</v>
      </c>
    </row>
    <row r="1302" spans="1:19" x14ac:dyDescent="0.25">
      <c r="A1302" t="s">
        <v>59</v>
      </c>
      <c r="B1302" t="s">
        <v>31</v>
      </c>
      <c r="C1302" t="s">
        <v>32</v>
      </c>
      <c r="D1302" t="s">
        <v>33</v>
      </c>
      <c r="E1302" t="s">
        <v>34</v>
      </c>
      <c r="F1302" t="s">
        <v>35</v>
      </c>
      <c r="G1302" t="s">
        <v>35</v>
      </c>
      <c r="H1302" t="s">
        <v>35</v>
      </c>
      <c r="J1302" t="s">
        <v>1158</v>
      </c>
      <c r="K1302" t="s">
        <v>1092</v>
      </c>
      <c r="M1302">
        <v>0.09</v>
      </c>
      <c r="N1302">
        <v>210</v>
      </c>
      <c r="O1302" t="s">
        <v>5</v>
      </c>
      <c r="Q1302" t="s">
        <v>1159</v>
      </c>
      <c r="R1302" t="s">
        <v>169</v>
      </c>
      <c r="S1302" t="s">
        <v>123</v>
      </c>
    </row>
    <row r="1303" spans="1:19" x14ac:dyDescent="0.25">
      <c r="A1303" t="s">
        <v>30</v>
      </c>
      <c r="B1303" t="s">
        <v>31</v>
      </c>
      <c r="C1303" t="s">
        <v>32</v>
      </c>
      <c r="D1303" t="s">
        <v>33</v>
      </c>
      <c r="E1303" t="s">
        <v>34</v>
      </c>
      <c r="F1303" t="s">
        <v>35</v>
      </c>
      <c r="G1303" t="s">
        <v>35</v>
      </c>
      <c r="H1303" t="s">
        <v>35</v>
      </c>
      <c r="J1303" t="s">
        <v>1158</v>
      </c>
      <c r="K1303" t="s">
        <v>1092</v>
      </c>
      <c r="M1303">
        <v>0.94499999999999995</v>
      </c>
      <c r="N1303">
        <v>138</v>
      </c>
      <c r="O1303" t="s">
        <v>38</v>
      </c>
      <c r="Q1303" t="s">
        <v>1149</v>
      </c>
      <c r="R1303" t="s">
        <v>169</v>
      </c>
      <c r="S1303" t="s">
        <v>123</v>
      </c>
    </row>
    <row r="1304" spans="1:19" x14ac:dyDescent="0.25">
      <c r="A1304" t="s">
        <v>59</v>
      </c>
      <c r="B1304" t="s">
        <v>60</v>
      </c>
      <c r="C1304" t="s">
        <v>32</v>
      </c>
      <c r="D1304" t="s">
        <v>33</v>
      </c>
      <c r="E1304" t="s">
        <v>172</v>
      </c>
      <c r="F1304" t="s">
        <v>35</v>
      </c>
      <c r="G1304" t="s">
        <v>35</v>
      </c>
      <c r="H1304" t="s">
        <v>35</v>
      </c>
      <c r="J1304" t="s">
        <v>1974</v>
      </c>
      <c r="K1304" t="s">
        <v>404</v>
      </c>
      <c r="M1304">
        <v>2.4500000000000002</v>
      </c>
      <c r="N1304">
        <v>84</v>
      </c>
      <c r="O1304" t="s">
        <v>61</v>
      </c>
      <c r="Q1304" t="s">
        <v>1147</v>
      </c>
      <c r="R1304" t="s">
        <v>169</v>
      </c>
      <c r="S1304" t="s">
        <v>123</v>
      </c>
    </row>
    <row r="1305" spans="1:19" x14ac:dyDescent="0.25">
      <c r="A1305" t="s">
        <v>30</v>
      </c>
      <c r="B1305" t="s">
        <v>31</v>
      </c>
      <c r="C1305" t="s">
        <v>32</v>
      </c>
      <c r="D1305" t="s">
        <v>33</v>
      </c>
      <c r="E1305" t="s">
        <v>122</v>
      </c>
      <c r="F1305" t="s">
        <v>35</v>
      </c>
      <c r="G1305" t="s">
        <v>35</v>
      </c>
      <c r="H1305" t="s">
        <v>35</v>
      </c>
      <c r="J1305" t="s">
        <v>1716</v>
      </c>
      <c r="K1305" t="s">
        <v>1092</v>
      </c>
      <c r="M1305">
        <v>9.99</v>
      </c>
      <c r="N1305">
        <v>192</v>
      </c>
      <c r="O1305" t="s">
        <v>5</v>
      </c>
      <c r="Q1305" t="s">
        <v>1720</v>
      </c>
      <c r="R1305" t="s">
        <v>169</v>
      </c>
      <c r="S1305" t="s">
        <v>123</v>
      </c>
    </row>
    <row r="1306" spans="1:19" x14ac:dyDescent="0.25">
      <c r="A1306" t="s">
        <v>59</v>
      </c>
      <c r="B1306" t="s">
        <v>31</v>
      </c>
      <c r="C1306" t="s">
        <v>32</v>
      </c>
      <c r="D1306" t="s">
        <v>33</v>
      </c>
      <c r="E1306" t="s">
        <v>1292</v>
      </c>
      <c r="F1306" t="s">
        <v>35</v>
      </c>
      <c r="G1306" t="s">
        <v>35</v>
      </c>
      <c r="H1306" t="s">
        <v>35</v>
      </c>
      <c r="J1306" t="s">
        <v>1380</v>
      </c>
      <c r="K1306" t="s">
        <v>1092</v>
      </c>
      <c r="M1306">
        <v>4.9950000000000001</v>
      </c>
      <c r="N1306">
        <v>52</v>
      </c>
      <c r="O1306" t="s">
        <v>52</v>
      </c>
      <c r="Q1306" t="s">
        <v>84</v>
      </c>
      <c r="R1306" t="s">
        <v>169</v>
      </c>
      <c r="S1306" t="s">
        <v>123</v>
      </c>
    </row>
    <row r="1307" spans="1:19" x14ac:dyDescent="0.25">
      <c r="A1307" t="s">
        <v>30</v>
      </c>
      <c r="B1307" t="s">
        <v>31</v>
      </c>
      <c r="C1307" t="s">
        <v>32</v>
      </c>
      <c r="D1307" t="s">
        <v>33</v>
      </c>
      <c r="E1307" t="s">
        <v>1292</v>
      </c>
      <c r="F1307" t="s">
        <v>35</v>
      </c>
      <c r="G1307" t="s">
        <v>35</v>
      </c>
      <c r="H1307" t="s">
        <v>35</v>
      </c>
      <c r="J1307" t="s">
        <v>1426</v>
      </c>
      <c r="K1307" t="s">
        <v>1092</v>
      </c>
      <c r="M1307">
        <v>9</v>
      </c>
      <c r="N1307">
        <v>12</v>
      </c>
      <c r="O1307" t="s">
        <v>46</v>
      </c>
      <c r="Q1307" t="s">
        <v>1192</v>
      </c>
      <c r="R1307" t="s">
        <v>169</v>
      </c>
      <c r="S1307" t="s">
        <v>123</v>
      </c>
    </row>
    <row r="1308" spans="1:19" x14ac:dyDescent="0.25">
      <c r="A1308" t="s">
        <v>59</v>
      </c>
      <c r="B1308" t="s">
        <v>60</v>
      </c>
      <c r="C1308" t="s">
        <v>32</v>
      </c>
      <c r="D1308" t="s">
        <v>33</v>
      </c>
      <c r="E1308" t="s">
        <v>34</v>
      </c>
      <c r="F1308" t="s">
        <v>35</v>
      </c>
      <c r="G1308" t="s">
        <v>35</v>
      </c>
      <c r="H1308" t="s">
        <v>35</v>
      </c>
      <c r="J1308" t="s">
        <v>1179</v>
      </c>
      <c r="K1308" t="s">
        <v>1092</v>
      </c>
      <c r="M1308">
        <v>11</v>
      </c>
      <c r="N1308">
        <v>65</v>
      </c>
      <c r="O1308" t="s">
        <v>61</v>
      </c>
      <c r="Q1308" t="s">
        <v>63</v>
      </c>
      <c r="R1308" t="s">
        <v>169</v>
      </c>
      <c r="S1308" t="s">
        <v>123</v>
      </c>
    </row>
    <row r="1309" spans="1:19" x14ac:dyDescent="0.25">
      <c r="A1309" t="s">
        <v>59</v>
      </c>
      <c r="B1309" t="s">
        <v>60</v>
      </c>
      <c r="C1309" t="s">
        <v>32</v>
      </c>
      <c r="D1309" t="s">
        <v>33</v>
      </c>
      <c r="E1309" t="s">
        <v>34</v>
      </c>
      <c r="F1309" t="s">
        <v>35</v>
      </c>
      <c r="G1309" t="s">
        <v>35</v>
      </c>
      <c r="H1309" t="s">
        <v>35</v>
      </c>
      <c r="J1309" t="s">
        <v>1179</v>
      </c>
      <c r="K1309" t="s">
        <v>1092</v>
      </c>
      <c r="M1309">
        <v>0.95</v>
      </c>
      <c r="N1309">
        <v>88</v>
      </c>
      <c r="O1309" t="s">
        <v>61</v>
      </c>
      <c r="Q1309" t="s">
        <v>724</v>
      </c>
      <c r="R1309" t="s">
        <v>169</v>
      </c>
      <c r="S1309" t="s">
        <v>123</v>
      </c>
    </row>
    <row r="1310" spans="1:19" x14ac:dyDescent="0.25">
      <c r="A1310" t="s">
        <v>30</v>
      </c>
      <c r="B1310" t="s">
        <v>31</v>
      </c>
      <c r="C1310" t="s">
        <v>32</v>
      </c>
      <c r="D1310" t="s">
        <v>33</v>
      </c>
      <c r="F1310" t="s">
        <v>35</v>
      </c>
      <c r="G1310" t="s">
        <v>35</v>
      </c>
      <c r="H1310" t="s">
        <v>35</v>
      </c>
      <c r="J1310" t="s">
        <v>2380</v>
      </c>
      <c r="K1310" t="s">
        <v>1092</v>
      </c>
      <c r="M1310">
        <v>4.5</v>
      </c>
      <c r="N1310">
        <v>1468</v>
      </c>
      <c r="O1310" t="s">
        <v>575</v>
      </c>
      <c r="Q1310" t="s">
        <v>2227</v>
      </c>
      <c r="R1310" t="s">
        <v>169</v>
      </c>
      <c r="S1310" t="s">
        <v>123</v>
      </c>
    </row>
    <row r="1311" spans="1:19" x14ac:dyDescent="0.25">
      <c r="A1311" t="s">
        <v>30</v>
      </c>
      <c r="B1311" t="s">
        <v>31</v>
      </c>
      <c r="C1311" t="s">
        <v>32</v>
      </c>
      <c r="D1311" t="s">
        <v>33</v>
      </c>
      <c r="E1311" t="s">
        <v>172</v>
      </c>
      <c r="F1311" t="s">
        <v>35</v>
      </c>
      <c r="G1311" t="s">
        <v>35</v>
      </c>
      <c r="H1311" t="s">
        <v>35</v>
      </c>
      <c r="J1311" t="s">
        <v>1946</v>
      </c>
      <c r="K1311" t="s">
        <v>1092</v>
      </c>
      <c r="M1311">
        <v>3.24</v>
      </c>
      <c r="N1311">
        <v>10</v>
      </c>
      <c r="O1311" t="s">
        <v>46</v>
      </c>
      <c r="Q1311" t="s">
        <v>1302</v>
      </c>
      <c r="R1311" t="s">
        <v>169</v>
      </c>
      <c r="S1311" t="s">
        <v>123</v>
      </c>
    </row>
    <row r="1312" spans="1:19" x14ac:dyDescent="0.25">
      <c r="A1312" t="s">
        <v>59</v>
      </c>
      <c r="B1312" t="s">
        <v>60</v>
      </c>
      <c r="C1312" t="s">
        <v>32</v>
      </c>
      <c r="D1312" t="s">
        <v>33</v>
      </c>
      <c r="E1312" t="s">
        <v>34</v>
      </c>
      <c r="F1312" t="s">
        <v>35</v>
      </c>
      <c r="G1312" t="s">
        <v>35</v>
      </c>
      <c r="H1312" t="s">
        <v>35</v>
      </c>
      <c r="J1312" t="s">
        <v>1148</v>
      </c>
      <c r="K1312" t="s">
        <v>1092</v>
      </c>
      <c r="M1312">
        <v>2.5</v>
      </c>
      <c r="N1312">
        <v>65</v>
      </c>
      <c r="O1312" t="s">
        <v>61</v>
      </c>
      <c r="Q1312" t="s">
        <v>63</v>
      </c>
      <c r="R1312" t="s">
        <v>169</v>
      </c>
      <c r="S1312" t="s">
        <v>123</v>
      </c>
    </row>
    <row r="1313" spans="1:19" x14ac:dyDescent="0.25">
      <c r="A1313" t="s">
        <v>30</v>
      </c>
      <c r="B1313" t="s">
        <v>31</v>
      </c>
      <c r="C1313" t="s">
        <v>32</v>
      </c>
      <c r="D1313" t="s">
        <v>33</v>
      </c>
      <c r="E1313" t="s">
        <v>34</v>
      </c>
      <c r="F1313" t="s">
        <v>35</v>
      </c>
      <c r="G1313" t="s">
        <v>35</v>
      </c>
      <c r="H1313" t="s">
        <v>35</v>
      </c>
      <c r="J1313" t="s">
        <v>1148</v>
      </c>
      <c r="K1313" t="s">
        <v>1092</v>
      </c>
      <c r="M1313">
        <v>1.44</v>
      </c>
      <c r="N1313">
        <v>138</v>
      </c>
      <c r="O1313" t="s">
        <v>38</v>
      </c>
      <c r="Q1313" t="s">
        <v>1149</v>
      </c>
      <c r="R1313" t="s">
        <v>169</v>
      </c>
      <c r="S1313" t="s">
        <v>123</v>
      </c>
    </row>
    <row r="1314" spans="1:19" x14ac:dyDescent="0.25">
      <c r="A1314" t="s">
        <v>59</v>
      </c>
      <c r="B1314" t="s">
        <v>60</v>
      </c>
      <c r="C1314" t="s">
        <v>32</v>
      </c>
      <c r="D1314" t="s">
        <v>33</v>
      </c>
      <c r="E1314" t="s">
        <v>122</v>
      </c>
      <c r="F1314" t="s">
        <v>35</v>
      </c>
      <c r="G1314" t="s">
        <v>35</v>
      </c>
      <c r="H1314" t="s">
        <v>35</v>
      </c>
      <c r="J1314" t="s">
        <v>1821</v>
      </c>
      <c r="K1314" t="s">
        <v>1092</v>
      </c>
      <c r="M1314">
        <v>4.3499999999999996</v>
      </c>
      <c r="N1314">
        <v>76</v>
      </c>
      <c r="O1314" t="s">
        <v>61</v>
      </c>
      <c r="Q1314" t="s">
        <v>455</v>
      </c>
      <c r="R1314" t="s">
        <v>169</v>
      </c>
      <c r="S1314" t="s">
        <v>123</v>
      </c>
    </row>
    <row r="1315" spans="1:19" x14ac:dyDescent="0.25">
      <c r="A1315" t="s">
        <v>59</v>
      </c>
      <c r="B1315" t="s">
        <v>60</v>
      </c>
      <c r="C1315" t="s">
        <v>32</v>
      </c>
      <c r="D1315" t="s">
        <v>33</v>
      </c>
      <c r="E1315" t="s">
        <v>172</v>
      </c>
      <c r="F1315" t="s">
        <v>35</v>
      </c>
      <c r="G1315" t="s">
        <v>35</v>
      </c>
      <c r="H1315" t="s">
        <v>35</v>
      </c>
      <c r="J1315" t="s">
        <v>1966</v>
      </c>
      <c r="K1315" t="s">
        <v>1092</v>
      </c>
      <c r="M1315">
        <v>0.85</v>
      </c>
      <c r="N1315">
        <v>378</v>
      </c>
      <c r="O1315" t="s">
        <v>294</v>
      </c>
      <c r="Q1315" t="s">
        <v>1967</v>
      </c>
      <c r="R1315" t="s">
        <v>169</v>
      </c>
      <c r="S1315" t="s">
        <v>123</v>
      </c>
    </row>
    <row r="1316" spans="1:19" x14ac:dyDescent="0.25">
      <c r="A1316" t="s">
        <v>59</v>
      </c>
      <c r="B1316" t="s">
        <v>31</v>
      </c>
      <c r="C1316" t="s">
        <v>32</v>
      </c>
      <c r="D1316" t="s">
        <v>33</v>
      </c>
      <c r="E1316" t="s">
        <v>122</v>
      </c>
      <c r="F1316" t="s">
        <v>35</v>
      </c>
      <c r="G1316" t="s">
        <v>35</v>
      </c>
      <c r="H1316" t="s">
        <v>35</v>
      </c>
      <c r="J1316" t="s">
        <v>1744</v>
      </c>
      <c r="K1316" t="s">
        <v>1092</v>
      </c>
      <c r="M1316">
        <v>0.72</v>
      </c>
      <c r="N1316">
        <v>132</v>
      </c>
      <c r="O1316" t="s">
        <v>38</v>
      </c>
      <c r="Q1316" t="s">
        <v>1696</v>
      </c>
      <c r="R1316" t="s">
        <v>169</v>
      </c>
      <c r="S1316" t="s">
        <v>123</v>
      </c>
    </row>
    <row r="1317" spans="1:19" x14ac:dyDescent="0.25">
      <c r="A1317" t="s">
        <v>30</v>
      </c>
      <c r="B1317" t="s">
        <v>31</v>
      </c>
      <c r="C1317" t="s">
        <v>32</v>
      </c>
      <c r="D1317" t="s">
        <v>33</v>
      </c>
      <c r="E1317" t="s">
        <v>122</v>
      </c>
      <c r="F1317" t="s">
        <v>35</v>
      </c>
      <c r="G1317" t="s">
        <v>35</v>
      </c>
      <c r="H1317" t="s">
        <v>35</v>
      </c>
      <c r="J1317" t="s">
        <v>1733</v>
      </c>
      <c r="K1317" t="s">
        <v>1092</v>
      </c>
      <c r="M1317">
        <v>5.49</v>
      </c>
      <c r="N1317">
        <v>35</v>
      </c>
      <c r="O1317" t="s">
        <v>52</v>
      </c>
      <c r="Q1317" t="s">
        <v>991</v>
      </c>
      <c r="R1317" t="s">
        <v>169</v>
      </c>
      <c r="S1317" t="s">
        <v>123</v>
      </c>
    </row>
    <row r="1318" spans="1:19" x14ac:dyDescent="0.25">
      <c r="A1318" t="s">
        <v>59</v>
      </c>
      <c r="B1318" t="s">
        <v>60</v>
      </c>
      <c r="C1318" t="s">
        <v>32</v>
      </c>
      <c r="D1318" t="s">
        <v>33</v>
      </c>
      <c r="E1318" t="s">
        <v>64</v>
      </c>
      <c r="F1318" t="s">
        <v>35</v>
      </c>
      <c r="G1318" t="s">
        <v>35</v>
      </c>
      <c r="H1318" t="s">
        <v>35</v>
      </c>
      <c r="J1318" t="s">
        <v>1255</v>
      </c>
      <c r="K1318" t="s">
        <v>1092</v>
      </c>
      <c r="M1318">
        <v>2.5</v>
      </c>
      <c r="N1318">
        <v>109</v>
      </c>
      <c r="O1318" t="s">
        <v>106</v>
      </c>
      <c r="Q1318" t="s">
        <v>1256</v>
      </c>
      <c r="R1318" t="s">
        <v>169</v>
      </c>
      <c r="S1318" t="s">
        <v>123</v>
      </c>
    </row>
    <row r="1319" spans="1:19" x14ac:dyDescent="0.25">
      <c r="A1319" t="s">
        <v>30</v>
      </c>
      <c r="B1319" t="s">
        <v>31</v>
      </c>
      <c r="C1319" t="s">
        <v>32</v>
      </c>
      <c r="D1319" t="s">
        <v>33</v>
      </c>
      <c r="E1319" t="s">
        <v>172</v>
      </c>
      <c r="F1319" t="s">
        <v>35</v>
      </c>
      <c r="G1319" t="s">
        <v>35</v>
      </c>
      <c r="H1319" t="s">
        <v>35</v>
      </c>
      <c r="J1319" t="s">
        <v>1947</v>
      </c>
      <c r="K1319" t="s">
        <v>1092</v>
      </c>
      <c r="M1319">
        <v>2.835</v>
      </c>
      <c r="N1319">
        <v>10</v>
      </c>
      <c r="O1319" t="s">
        <v>46</v>
      </c>
      <c r="Q1319" t="s">
        <v>1302</v>
      </c>
      <c r="R1319" t="s">
        <v>169</v>
      </c>
      <c r="S1319" t="s">
        <v>123</v>
      </c>
    </row>
    <row r="1320" spans="1:19" x14ac:dyDescent="0.25">
      <c r="A1320" t="s">
        <v>30</v>
      </c>
      <c r="B1320" t="s">
        <v>31</v>
      </c>
      <c r="C1320" t="s">
        <v>32</v>
      </c>
      <c r="D1320" t="s">
        <v>33</v>
      </c>
      <c r="E1320" t="s">
        <v>1292</v>
      </c>
      <c r="F1320" t="s">
        <v>35</v>
      </c>
      <c r="G1320" t="s">
        <v>35</v>
      </c>
      <c r="H1320" t="s">
        <v>35</v>
      </c>
      <c r="J1320" t="s">
        <v>1373</v>
      </c>
      <c r="K1320" t="s">
        <v>1092</v>
      </c>
      <c r="M1320">
        <v>5.9850000000000003</v>
      </c>
      <c r="N1320">
        <v>12</v>
      </c>
      <c r="O1320" t="s">
        <v>46</v>
      </c>
      <c r="Q1320" t="s">
        <v>1192</v>
      </c>
      <c r="R1320" t="s">
        <v>169</v>
      </c>
      <c r="S1320" t="s">
        <v>123</v>
      </c>
    </row>
    <row r="1321" spans="1:19" x14ac:dyDescent="0.25">
      <c r="A1321" t="s">
        <v>30</v>
      </c>
      <c r="B1321" t="s">
        <v>31</v>
      </c>
      <c r="C1321" t="s">
        <v>32</v>
      </c>
      <c r="D1321" t="s">
        <v>33</v>
      </c>
      <c r="E1321" t="s">
        <v>122</v>
      </c>
      <c r="F1321" t="s">
        <v>35</v>
      </c>
      <c r="G1321" t="s">
        <v>35</v>
      </c>
      <c r="H1321" t="s">
        <v>35</v>
      </c>
      <c r="J1321" t="s">
        <v>1762</v>
      </c>
      <c r="K1321" t="s">
        <v>1092</v>
      </c>
      <c r="M1321">
        <v>5.04</v>
      </c>
      <c r="N1321">
        <v>195</v>
      </c>
      <c r="O1321" t="s">
        <v>5</v>
      </c>
      <c r="Q1321" t="s">
        <v>1299</v>
      </c>
      <c r="R1321" t="s">
        <v>169</v>
      </c>
      <c r="S1321" t="s">
        <v>123</v>
      </c>
    </row>
    <row r="1322" spans="1:19" x14ac:dyDescent="0.25">
      <c r="A1322" t="s">
        <v>59</v>
      </c>
      <c r="B1322" t="s">
        <v>31</v>
      </c>
      <c r="C1322" t="s">
        <v>32</v>
      </c>
      <c r="D1322" t="s">
        <v>33</v>
      </c>
      <c r="E1322" t="s">
        <v>2098</v>
      </c>
      <c r="F1322" t="s">
        <v>35</v>
      </c>
      <c r="G1322" t="s">
        <v>35</v>
      </c>
      <c r="H1322" t="s">
        <v>35</v>
      </c>
      <c r="J1322" t="s">
        <v>2100</v>
      </c>
      <c r="K1322" t="s">
        <v>1092</v>
      </c>
      <c r="M1322">
        <v>2.61</v>
      </c>
      <c r="N1322">
        <v>499</v>
      </c>
      <c r="O1322" t="s">
        <v>294</v>
      </c>
      <c r="Q1322" t="s">
        <v>2101</v>
      </c>
      <c r="R1322" t="s">
        <v>169</v>
      </c>
      <c r="S1322" t="s">
        <v>123</v>
      </c>
    </row>
    <row r="1323" spans="1:19" x14ac:dyDescent="0.25">
      <c r="A1323" t="s">
        <v>59</v>
      </c>
      <c r="B1323" t="s">
        <v>31</v>
      </c>
      <c r="C1323" t="s">
        <v>32</v>
      </c>
      <c r="D1323" t="s">
        <v>33</v>
      </c>
      <c r="E1323" t="s">
        <v>122</v>
      </c>
      <c r="F1323" t="s">
        <v>35</v>
      </c>
      <c r="G1323" t="s">
        <v>35</v>
      </c>
      <c r="H1323" t="s">
        <v>35</v>
      </c>
      <c r="J1323" t="s">
        <v>1740</v>
      </c>
      <c r="K1323" t="s">
        <v>1092</v>
      </c>
      <c r="M1323">
        <v>0.09</v>
      </c>
      <c r="N1323">
        <v>132</v>
      </c>
      <c r="O1323" t="s">
        <v>38</v>
      </c>
      <c r="Q1323" t="s">
        <v>1696</v>
      </c>
      <c r="R1323" t="s">
        <v>169</v>
      </c>
      <c r="S1323" t="s">
        <v>123</v>
      </c>
    </row>
    <row r="1324" spans="1:19" x14ac:dyDescent="0.25">
      <c r="A1324" t="s">
        <v>59</v>
      </c>
      <c r="B1324" t="s">
        <v>60</v>
      </c>
      <c r="C1324" t="s">
        <v>32</v>
      </c>
      <c r="D1324" t="s">
        <v>33</v>
      </c>
      <c r="E1324" t="s">
        <v>162</v>
      </c>
      <c r="F1324" t="s">
        <v>35</v>
      </c>
      <c r="G1324" t="s">
        <v>35</v>
      </c>
      <c r="H1324" t="s">
        <v>35</v>
      </c>
      <c r="J1324" t="s">
        <v>1860</v>
      </c>
      <c r="K1324" t="s">
        <v>1092</v>
      </c>
      <c r="M1324">
        <v>1.9</v>
      </c>
      <c r="N1324">
        <v>109</v>
      </c>
      <c r="O1324" t="s">
        <v>106</v>
      </c>
      <c r="Q1324" t="s">
        <v>1256</v>
      </c>
      <c r="R1324" t="s">
        <v>169</v>
      </c>
      <c r="S1324" t="s">
        <v>123</v>
      </c>
    </row>
    <row r="1325" spans="1:19" x14ac:dyDescent="0.25">
      <c r="A1325" t="s">
        <v>30</v>
      </c>
      <c r="B1325" t="s">
        <v>31</v>
      </c>
      <c r="C1325" t="s">
        <v>32</v>
      </c>
      <c r="D1325" t="s">
        <v>33</v>
      </c>
      <c r="E1325" t="s">
        <v>122</v>
      </c>
      <c r="F1325" t="s">
        <v>35</v>
      </c>
      <c r="G1325" t="s">
        <v>35</v>
      </c>
      <c r="H1325" t="s">
        <v>35</v>
      </c>
      <c r="J1325" t="s">
        <v>1805</v>
      </c>
      <c r="K1325" t="s">
        <v>1092</v>
      </c>
      <c r="M1325">
        <v>4.2300000000000004</v>
      </c>
      <c r="N1325">
        <v>192</v>
      </c>
      <c r="O1325" t="s">
        <v>5</v>
      </c>
      <c r="Q1325" t="s">
        <v>1720</v>
      </c>
      <c r="R1325" t="s">
        <v>169</v>
      </c>
      <c r="S1325" t="s">
        <v>123</v>
      </c>
    </row>
    <row r="1326" spans="1:19" x14ac:dyDescent="0.25">
      <c r="A1326" t="s">
        <v>44</v>
      </c>
      <c r="B1326" t="s">
        <v>3</v>
      </c>
      <c r="C1326" t="s">
        <v>32</v>
      </c>
      <c r="D1326" t="s">
        <v>33</v>
      </c>
      <c r="E1326" t="s">
        <v>122</v>
      </c>
      <c r="F1326" t="s">
        <v>35</v>
      </c>
      <c r="G1326" t="s">
        <v>35</v>
      </c>
      <c r="H1326" t="s">
        <v>35</v>
      </c>
      <c r="J1326" t="s">
        <v>1752</v>
      </c>
      <c r="K1326" t="s">
        <v>1092</v>
      </c>
      <c r="M1326">
        <v>10.45</v>
      </c>
      <c r="N1326">
        <v>56</v>
      </c>
      <c r="O1326" t="s">
        <v>52</v>
      </c>
      <c r="Q1326" t="s">
        <v>423</v>
      </c>
      <c r="R1326" t="s">
        <v>169</v>
      </c>
      <c r="S1326" t="s">
        <v>123</v>
      </c>
    </row>
    <row r="1327" spans="1:19" x14ac:dyDescent="0.25">
      <c r="A1327" t="s">
        <v>59</v>
      </c>
      <c r="B1327" t="s">
        <v>31</v>
      </c>
      <c r="C1327" t="s">
        <v>32</v>
      </c>
      <c r="D1327" t="s">
        <v>33</v>
      </c>
      <c r="E1327" t="s">
        <v>122</v>
      </c>
      <c r="F1327" t="s">
        <v>35</v>
      </c>
      <c r="G1327" t="s">
        <v>35</v>
      </c>
      <c r="H1327" t="s">
        <v>35</v>
      </c>
      <c r="J1327" t="s">
        <v>1752</v>
      </c>
      <c r="K1327" t="s">
        <v>1092</v>
      </c>
      <c r="M1327">
        <v>3.2850000000000001</v>
      </c>
      <c r="N1327">
        <v>79</v>
      </c>
      <c r="O1327" t="s">
        <v>61</v>
      </c>
      <c r="Q1327" t="s">
        <v>1076</v>
      </c>
      <c r="R1327" t="s">
        <v>169</v>
      </c>
      <c r="S1327" t="s">
        <v>123</v>
      </c>
    </row>
    <row r="1328" spans="1:19" x14ac:dyDescent="0.25">
      <c r="A1328" t="s">
        <v>30</v>
      </c>
      <c r="B1328" t="s">
        <v>31</v>
      </c>
      <c r="C1328" t="s">
        <v>32</v>
      </c>
      <c r="D1328" t="s">
        <v>33</v>
      </c>
      <c r="E1328" t="s">
        <v>2059</v>
      </c>
      <c r="F1328" t="s">
        <v>35</v>
      </c>
      <c r="G1328" t="s">
        <v>35</v>
      </c>
      <c r="H1328" t="s">
        <v>35</v>
      </c>
      <c r="J1328" t="s">
        <v>2066</v>
      </c>
      <c r="K1328" t="s">
        <v>1092</v>
      </c>
      <c r="M1328">
        <v>4.4999999999999998E-2</v>
      </c>
      <c r="N1328">
        <v>135</v>
      </c>
      <c r="O1328" t="s">
        <v>38</v>
      </c>
      <c r="Q1328" t="s">
        <v>2067</v>
      </c>
      <c r="R1328" t="s">
        <v>169</v>
      </c>
      <c r="S1328" t="s">
        <v>123</v>
      </c>
    </row>
    <row r="1329" spans="1:19" x14ac:dyDescent="0.25">
      <c r="A1329" t="s">
        <v>59</v>
      </c>
      <c r="B1329" t="s">
        <v>31</v>
      </c>
      <c r="C1329" t="s">
        <v>32</v>
      </c>
      <c r="D1329" t="s">
        <v>33</v>
      </c>
      <c r="E1329" t="s">
        <v>177</v>
      </c>
      <c r="F1329" t="s">
        <v>35</v>
      </c>
      <c r="G1329" t="s">
        <v>35</v>
      </c>
      <c r="H1329" t="s">
        <v>35</v>
      </c>
      <c r="J1329" t="s">
        <v>1579</v>
      </c>
      <c r="K1329" t="s">
        <v>1092</v>
      </c>
      <c r="M1329">
        <v>3.42</v>
      </c>
      <c r="N1329">
        <v>86</v>
      </c>
      <c r="O1329" t="s">
        <v>61</v>
      </c>
      <c r="Q1329" t="s">
        <v>941</v>
      </c>
      <c r="R1329" t="s">
        <v>1279</v>
      </c>
      <c r="S1329" t="s">
        <v>163</v>
      </c>
    </row>
    <row r="1330" spans="1:19" x14ac:dyDescent="0.25">
      <c r="A1330" t="s">
        <v>1439</v>
      </c>
      <c r="B1330" t="s">
        <v>1440</v>
      </c>
      <c r="C1330" t="s">
        <v>32</v>
      </c>
      <c r="D1330" t="s">
        <v>33</v>
      </c>
      <c r="E1330" t="s">
        <v>177</v>
      </c>
      <c r="F1330" t="s">
        <v>35</v>
      </c>
      <c r="G1330" t="s">
        <v>35</v>
      </c>
      <c r="H1330" t="s">
        <v>35</v>
      </c>
      <c r="J1330" t="s">
        <v>1579</v>
      </c>
      <c r="K1330" t="s">
        <v>1092</v>
      </c>
      <c r="M1330">
        <v>1.84</v>
      </c>
      <c r="N1330">
        <v>86</v>
      </c>
      <c r="O1330" t="s">
        <v>61</v>
      </c>
      <c r="Q1330" t="s">
        <v>941</v>
      </c>
      <c r="R1330" t="s">
        <v>1279</v>
      </c>
      <c r="S1330" t="s">
        <v>163</v>
      </c>
    </row>
    <row r="1331" spans="1:19" x14ac:dyDescent="0.25">
      <c r="A1331" t="s">
        <v>59</v>
      </c>
      <c r="B1331" t="s">
        <v>31</v>
      </c>
      <c r="C1331" t="s">
        <v>32</v>
      </c>
      <c r="D1331" t="s">
        <v>33</v>
      </c>
      <c r="E1331" t="s">
        <v>87</v>
      </c>
      <c r="F1331" t="s">
        <v>35</v>
      </c>
      <c r="G1331" t="s">
        <v>35</v>
      </c>
      <c r="H1331" t="s">
        <v>35</v>
      </c>
      <c r="J1331" t="s">
        <v>1445</v>
      </c>
      <c r="K1331" t="s">
        <v>1092</v>
      </c>
      <c r="M1331">
        <v>4.9950000000000001</v>
      </c>
      <c r="N1331">
        <v>19</v>
      </c>
      <c r="O1331" t="s">
        <v>46</v>
      </c>
      <c r="Q1331" t="s">
        <v>94</v>
      </c>
      <c r="R1331" t="s">
        <v>1279</v>
      </c>
      <c r="S1331" t="s">
        <v>163</v>
      </c>
    </row>
    <row r="1332" spans="1:19" x14ac:dyDescent="0.25">
      <c r="A1332" t="s">
        <v>44</v>
      </c>
      <c r="B1332" t="s">
        <v>51</v>
      </c>
      <c r="C1332" t="s">
        <v>32</v>
      </c>
      <c r="D1332" t="s">
        <v>33</v>
      </c>
      <c r="E1332" t="s">
        <v>1292</v>
      </c>
      <c r="F1332" t="s">
        <v>35</v>
      </c>
      <c r="G1332" t="s">
        <v>35</v>
      </c>
      <c r="H1332" t="s">
        <v>35</v>
      </c>
      <c r="J1332" t="s">
        <v>1301</v>
      </c>
      <c r="K1332" t="s">
        <v>1092</v>
      </c>
      <c r="M1332">
        <v>3</v>
      </c>
      <c r="N1332">
        <v>49</v>
      </c>
      <c r="O1332" t="s">
        <v>52</v>
      </c>
      <c r="Q1332" t="s">
        <v>453</v>
      </c>
      <c r="R1332" t="s">
        <v>1279</v>
      </c>
      <c r="S1332" t="s">
        <v>163</v>
      </c>
    </row>
    <row r="1333" spans="1:19" x14ac:dyDescent="0.25">
      <c r="A1333" t="s">
        <v>59</v>
      </c>
      <c r="B1333" t="s">
        <v>31</v>
      </c>
      <c r="C1333" t="s">
        <v>32</v>
      </c>
      <c r="D1333" t="s">
        <v>33</v>
      </c>
      <c r="E1333" t="s">
        <v>1292</v>
      </c>
      <c r="F1333" t="s">
        <v>35</v>
      </c>
      <c r="G1333" t="s">
        <v>35</v>
      </c>
      <c r="H1333" t="s">
        <v>35</v>
      </c>
      <c r="J1333" t="s">
        <v>1301</v>
      </c>
      <c r="K1333" t="s">
        <v>1092</v>
      </c>
      <c r="M1333">
        <v>1.71</v>
      </c>
      <c r="N1333">
        <v>68</v>
      </c>
      <c r="O1333" t="s">
        <v>61</v>
      </c>
      <c r="Q1333" t="s">
        <v>805</v>
      </c>
      <c r="R1333" t="s">
        <v>1279</v>
      </c>
      <c r="S1333" t="s">
        <v>163</v>
      </c>
    </row>
    <row r="1334" spans="1:19" x14ac:dyDescent="0.25">
      <c r="A1334" t="s">
        <v>59</v>
      </c>
      <c r="B1334" t="s">
        <v>60</v>
      </c>
      <c r="C1334" t="s">
        <v>32</v>
      </c>
      <c r="D1334" t="s">
        <v>33</v>
      </c>
      <c r="E1334" t="s">
        <v>1292</v>
      </c>
      <c r="F1334" t="s">
        <v>35</v>
      </c>
      <c r="G1334" t="s">
        <v>35</v>
      </c>
      <c r="H1334" t="s">
        <v>35</v>
      </c>
      <c r="J1334" t="s">
        <v>1301</v>
      </c>
      <c r="K1334" t="s">
        <v>1092</v>
      </c>
      <c r="M1334">
        <v>1.25</v>
      </c>
      <c r="N1334">
        <v>49</v>
      </c>
      <c r="O1334" t="s">
        <v>52</v>
      </c>
      <c r="Q1334" t="s">
        <v>453</v>
      </c>
      <c r="R1334" t="s">
        <v>1279</v>
      </c>
      <c r="S1334" t="s">
        <v>163</v>
      </c>
    </row>
    <row r="1335" spans="1:19" x14ac:dyDescent="0.25">
      <c r="A1335" t="s">
        <v>59</v>
      </c>
      <c r="B1335" t="s">
        <v>60</v>
      </c>
      <c r="C1335" t="s">
        <v>32</v>
      </c>
      <c r="D1335" t="s">
        <v>33</v>
      </c>
      <c r="E1335" t="s">
        <v>64</v>
      </c>
      <c r="F1335" t="s">
        <v>35</v>
      </c>
      <c r="G1335" t="s">
        <v>35</v>
      </c>
      <c r="H1335" t="s">
        <v>35</v>
      </c>
      <c r="J1335" t="s">
        <v>1278</v>
      </c>
      <c r="K1335" t="s">
        <v>1092</v>
      </c>
      <c r="M1335">
        <v>3.35</v>
      </c>
      <c r="N1335">
        <v>86</v>
      </c>
      <c r="O1335" t="s">
        <v>61</v>
      </c>
      <c r="Q1335" t="s">
        <v>941</v>
      </c>
      <c r="R1335" t="s">
        <v>1279</v>
      </c>
      <c r="S1335" t="s">
        <v>163</v>
      </c>
    </row>
    <row r="1336" spans="1:19" x14ac:dyDescent="0.25">
      <c r="A1336" t="s">
        <v>1439</v>
      </c>
      <c r="B1336" t="s">
        <v>1440</v>
      </c>
      <c r="C1336" t="s">
        <v>32</v>
      </c>
      <c r="D1336" t="s">
        <v>33</v>
      </c>
      <c r="E1336" t="s">
        <v>87</v>
      </c>
      <c r="F1336" t="s">
        <v>35</v>
      </c>
      <c r="G1336" t="s">
        <v>35</v>
      </c>
      <c r="H1336" t="s">
        <v>35</v>
      </c>
      <c r="J1336" t="s">
        <v>1441</v>
      </c>
      <c r="K1336" t="s">
        <v>1092</v>
      </c>
      <c r="M1336">
        <v>0.28000000000000003</v>
      </c>
      <c r="N1336">
        <v>86</v>
      </c>
      <c r="O1336" t="s">
        <v>61</v>
      </c>
      <c r="Q1336" t="s">
        <v>941</v>
      </c>
      <c r="R1336" t="s">
        <v>1279</v>
      </c>
      <c r="S1336" t="s">
        <v>163</v>
      </c>
    </row>
    <row r="1337" spans="1:19" x14ac:dyDescent="0.25">
      <c r="A1337" t="s">
        <v>59</v>
      </c>
      <c r="B1337" t="s">
        <v>31</v>
      </c>
      <c r="C1337" t="s">
        <v>32</v>
      </c>
      <c r="D1337" t="s">
        <v>33</v>
      </c>
      <c r="E1337" t="s">
        <v>87</v>
      </c>
      <c r="F1337" t="s">
        <v>35</v>
      </c>
      <c r="G1337" t="s">
        <v>35</v>
      </c>
      <c r="H1337" t="s">
        <v>35</v>
      </c>
      <c r="J1337" t="s">
        <v>1441</v>
      </c>
      <c r="K1337" t="s">
        <v>1092</v>
      </c>
      <c r="M1337">
        <v>2.4750000000000001</v>
      </c>
      <c r="N1337">
        <v>86</v>
      </c>
      <c r="O1337" t="s">
        <v>61</v>
      </c>
      <c r="Q1337" t="s">
        <v>941</v>
      </c>
      <c r="R1337" t="s">
        <v>1279</v>
      </c>
      <c r="S1337" t="s">
        <v>163</v>
      </c>
    </row>
    <row r="1338" spans="1:19" x14ac:dyDescent="0.25">
      <c r="A1338" t="s">
        <v>1439</v>
      </c>
      <c r="B1338" t="s">
        <v>1440</v>
      </c>
      <c r="C1338" t="s">
        <v>32</v>
      </c>
      <c r="D1338" t="s">
        <v>33</v>
      </c>
      <c r="E1338" t="s">
        <v>162</v>
      </c>
      <c r="F1338" t="s">
        <v>35</v>
      </c>
      <c r="G1338" t="s">
        <v>35</v>
      </c>
      <c r="H1338" t="s">
        <v>35</v>
      </c>
      <c r="J1338" t="s">
        <v>1900</v>
      </c>
      <c r="K1338" t="s">
        <v>1092</v>
      </c>
      <c r="M1338">
        <v>1.84</v>
      </c>
      <c r="N1338">
        <v>88</v>
      </c>
      <c r="O1338" t="s">
        <v>61</v>
      </c>
      <c r="Q1338" t="s">
        <v>724</v>
      </c>
      <c r="R1338" t="s">
        <v>1279</v>
      </c>
      <c r="S1338" t="s">
        <v>163</v>
      </c>
    </row>
    <row r="1339" spans="1:19" x14ac:dyDescent="0.25">
      <c r="A1339" t="s">
        <v>59</v>
      </c>
      <c r="B1339" t="s">
        <v>31</v>
      </c>
      <c r="C1339" t="s">
        <v>32</v>
      </c>
      <c r="D1339" t="s">
        <v>33</v>
      </c>
      <c r="E1339" t="s">
        <v>162</v>
      </c>
      <c r="F1339" t="s">
        <v>35</v>
      </c>
      <c r="G1339" t="s">
        <v>35</v>
      </c>
      <c r="H1339" t="s">
        <v>35</v>
      </c>
      <c r="J1339" t="s">
        <v>1900</v>
      </c>
      <c r="K1339" t="s">
        <v>1092</v>
      </c>
      <c r="M1339">
        <v>0.81</v>
      </c>
      <c r="N1339">
        <v>88</v>
      </c>
      <c r="O1339" t="s">
        <v>61</v>
      </c>
      <c r="Q1339" t="s">
        <v>724</v>
      </c>
      <c r="R1339" t="s">
        <v>1279</v>
      </c>
      <c r="S1339" t="s">
        <v>163</v>
      </c>
    </row>
    <row r="1340" spans="1:19" x14ac:dyDescent="0.25">
      <c r="A1340" t="s">
        <v>59</v>
      </c>
      <c r="B1340" t="s">
        <v>31</v>
      </c>
      <c r="C1340" t="s">
        <v>32</v>
      </c>
      <c r="D1340" t="s">
        <v>33</v>
      </c>
      <c r="E1340" t="s">
        <v>87</v>
      </c>
      <c r="F1340" t="s">
        <v>35</v>
      </c>
      <c r="G1340" t="s">
        <v>35</v>
      </c>
      <c r="H1340" t="s">
        <v>35</v>
      </c>
      <c r="J1340" t="s">
        <v>1436</v>
      </c>
      <c r="K1340" t="s">
        <v>1092</v>
      </c>
      <c r="M1340">
        <v>2.6549999999999998</v>
      </c>
      <c r="N1340">
        <v>88</v>
      </c>
      <c r="O1340" t="s">
        <v>61</v>
      </c>
      <c r="Q1340" t="s">
        <v>724</v>
      </c>
      <c r="R1340" t="s">
        <v>1279</v>
      </c>
      <c r="S1340" t="s">
        <v>163</v>
      </c>
    </row>
    <row r="1341" spans="1:19" x14ac:dyDescent="0.25">
      <c r="A1341" t="s">
        <v>59</v>
      </c>
      <c r="B1341" t="s">
        <v>60</v>
      </c>
      <c r="C1341" t="s">
        <v>32</v>
      </c>
      <c r="D1341" t="s">
        <v>33</v>
      </c>
      <c r="E1341" t="s">
        <v>87</v>
      </c>
      <c r="F1341" t="s">
        <v>35</v>
      </c>
      <c r="G1341" t="s">
        <v>35</v>
      </c>
      <c r="H1341" t="s">
        <v>35</v>
      </c>
      <c r="J1341" t="s">
        <v>1436</v>
      </c>
      <c r="K1341" t="s">
        <v>1092</v>
      </c>
      <c r="M1341">
        <v>7.45</v>
      </c>
      <c r="N1341">
        <v>68</v>
      </c>
      <c r="O1341" t="s">
        <v>61</v>
      </c>
      <c r="Q1341" t="s">
        <v>805</v>
      </c>
      <c r="R1341" t="s">
        <v>1279</v>
      </c>
      <c r="S1341" t="s">
        <v>163</v>
      </c>
    </row>
    <row r="1342" spans="1:19" x14ac:dyDescent="0.25">
      <c r="A1342" t="s">
        <v>30</v>
      </c>
      <c r="B1342" t="s">
        <v>31</v>
      </c>
      <c r="C1342" t="s">
        <v>32</v>
      </c>
      <c r="D1342" t="s">
        <v>33</v>
      </c>
      <c r="E1342" t="s">
        <v>162</v>
      </c>
      <c r="F1342" t="s">
        <v>35</v>
      </c>
      <c r="G1342" t="s">
        <v>35</v>
      </c>
      <c r="H1342" t="s">
        <v>35</v>
      </c>
      <c r="J1342" t="s">
        <v>1896</v>
      </c>
      <c r="K1342" t="s">
        <v>1092</v>
      </c>
      <c r="M1342">
        <v>0.76</v>
      </c>
      <c r="N1342">
        <v>19</v>
      </c>
      <c r="O1342" t="s">
        <v>46</v>
      </c>
      <c r="Q1342" t="s">
        <v>94</v>
      </c>
      <c r="R1342" t="s">
        <v>1279</v>
      </c>
      <c r="S1342" t="s">
        <v>163</v>
      </c>
    </row>
    <row r="1343" spans="1:19" x14ac:dyDescent="0.25">
      <c r="A1343" t="s">
        <v>59</v>
      </c>
      <c r="B1343" t="s">
        <v>31</v>
      </c>
      <c r="C1343" t="s">
        <v>32</v>
      </c>
      <c r="D1343" t="s">
        <v>33</v>
      </c>
      <c r="E1343" t="s">
        <v>172</v>
      </c>
      <c r="F1343" t="s">
        <v>35</v>
      </c>
      <c r="G1343" t="s">
        <v>35</v>
      </c>
      <c r="H1343" t="s">
        <v>35</v>
      </c>
      <c r="J1343" t="s">
        <v>1942</v>
      </c>
      <c r="K1343" t="s">
        <v>1092</v>
      </c>
      <c r="M1343">
        <v>8.9550000000000001</v>
      </c>
      <c r="N1343">
        <v>63</v>
      </c>
      <c r="O1343" t="s">
        <v>61</v>
      </c>
      <c r="Q1343" t="s">
        <v>126</v>
      </c>
      <c r="R1343" t="s">
        <v>1279</v>
      </c>
      <c r="S1343" t="s">
        <v>163</v>
      </c>
    </row>
    <row r="1344" spans="1:19" x14ac:dyDescent="0.25">
      <c r="A1344" t="s">
        <v>59</v>
      </c>
      <c r="B1344" t="s">
        <v>60</v>
      </c>
      <c r="C1344" t="s">
        <v>32</v>
      </c>
      <c r="D1344" t="s">
        <v>33</v>
      </c>
      <c r="E1344" t="s">
        <v>172</v>
      </c>
      <c r="F1344" t="s">
        <v>35</v>
      </c>
      <c r="G1344" t="s">
        <v>35</v>
      </c>
      <c r="H1344" t="s">
        <v>35</v>
      </c>
      <c r="J1344" t="s">
        <v>1942</v>
      </c>
      <c r="K1344" t="s">
        <v>1092</v>
      </c>
      <c r="M1344">
        <v>3</v>
      </c>
      <c r="N1344">
        <v>63</v>
      </c>
      <c r="O1344" t="s">
        <v>61</v>
      </c>
      <c r="Q1344" t="s">
        <v>126</v>
      </c>
      <c r="R1344" t="s">
        <v>1279</v>
      </c>
      <c r="S1344" t="s">
        <v>163</v>
      </c>
    </row>
    <row r="1345" spans="1:19" x14ac:dyDescent="0.25">
      <c r="A1345" t="s">
        <v>59</v>
      </c>
      <c r="B1345" t="s">
        <v>60</v>
      </c>
      <c r="C1345" t="s">
        <v>32</v>
      </c>
      <c r="D1345" t="s">
        <v>33</v>
      </c>
      <c r="E1345" t="s">
        <v>114</v>
      </c>
      <c r="F1345" t="s">
        <v>35</v>
      </c>
      <c r="G1345" t="s">
        <v>35</v>
      </c>
      <c r="H1345" t="s">
        <v>35</v>
      </c>
      <c r="J1345" t="s">
        <v>1611</v>
      </c>
      <c r="K1345" t="s">
        <v>1092</v>
      </c>
      <c r="M1345">
        <v>3</v>
      </c>
      <c r="N1345">
        <v>68</v>
      </c>
      <c r="O1345" t="s">
        <v>61</v>
      </c>
      <c r="Q1345" t="s">
        <v>805</v>
      </c>
      <c r="R1345" t="s">
        <v>1279</v>
      </c>
      <c r="S1345" t="s">
        <v>163</v>
      </c>
    </row>
    <row r="1346" spans="1:19" x14ac:dyDescent="0.25">
      <c r="A1346" t="s">
        <v>30</v>
      </c>
      <c r="B1346" t="s">
        <v>31</v>
      </c>
      <c r="C1346" t="s">
        <v>32</v>
      </c>
      <c r="D1346" t="s">
        <v>33</v>
      </c>
      <c r="F1346" t="s">
        <v>35</v>
      </c>
      <c r="G1346" t="s">
        <v>35</v>
      </c>
      <c r="H1346" t="s">
        <v>35</v>
      </c>
      <c r="J1346" t="s">
        <v>2211</v>
      </c>
      <c r="K1346" t="s">
        <v>1092</v>
      </c>
      <c r="M1346">
        <v>4.0999999999999996</v>
      </c>
      <c r="N1346">
        <v>4</v>
      </c>
      <c r="O1346" t="s">
        <v>46</v>
      </c>
      <c r="Q1346" t="s">
        <v>1053</v>
      </c>
      <c r="R1346" t="s">
        <v>1279</v>
      </c>
      <c r="S1346" t="s">
        <v>163</v>
      </c>
    </row>
    <row r="1347" spans="1:19" x14ac:dyDescent="0.25">
      <c r="A1347" t="s">
        <v>44</v>
      </c>
      <c r="B1347" t="s">
        <v>3</v>
      </c>
      <c r="C1347" t="s">
        <v>32</v>
      </c>
      <c r="D1347" t="s">
        <v>33</v>
      </c>
      <c r="E1347" t="s">
        <v>162</v>
      </c>
      <c r="F1347" t="s">
        <v>35</v>
      </c>
      <c r="G1347" t="s">
        <v>35</v>
      </c>
      <c r="H1347" t="s">
        <v>35</v>
      </c>
      <c r="J1347" t="s">
        <v>1885</v>
      </c>
      <c r="K1347" t="s">
        <v>1092</v>
      </c>
      <c r="M1347">
        <v>1.9</v>
      </c>
      <c r="N1347">
        <v>49</v>
      </c>
      <c r="O1347" t="s">
        <v>52</v>
      </c>
      <c r="Q1347" t="s">
        <v>453</v>
      </c>
      <c r="R1347" t="s">
        <v>1279</v>
      </c>
      <c r="S1347" t="s">
        <v>163</v>
      </c>
    </row>
    <row r="1348" spans="1:19" x14ac:dyDescent="0.25">
      <c r="A1348" t="s">
        <v>44</v>
      </c>
      <c r="B1348" t="s">
        <v>51</v>
      </c>
      <c r="C1348" t="s">
        <v>32</v>
      </c>
      <c r="D1348" t="s">
        <v>33</v>
      </c>
      <c r="E1348" t="s">
        <v>162</v>
      </c>
      <c r="F1348" t="s">
        <v>35</v>
      </c>
      <c r="G1348" t="s">
        <v>35</v>
      </c>
      <c r="H1348" t="s">
        <v>35</v>
      </c>
      <c r="J1348" t="s">
        <v>1885</v>
      </c>
      <c r="K1348" t="s">
        <v>1092</v>
      </c>
      <c r="M1348">
        <v>3.2</v>
      </c>
      <c r="N1348">
        <v>49</v>
      </c>
      <c r="O1348" t="s">
        <v>52</v>
      </c>
      <c r="Q1348" t="s">
        <v>453</v>
      </c>
      <c r="R1348" t="s">
        <v>1279</v>
      </c>
      <c r="S1348" t="s">
        <v>163</v>
      </c>
    </row>
    <row r="1349" spans="1:19" x14ac:dyDescent="0.25">
      <c r="A1349" t="s">
        <v>44</v>
      </c>
      <c r="B1349" t="s">
        <v>51</v>
      </c>
      <c r="C1349" t="s">
        <v>32</v>
      </c>
      <c r="D1349" t="s">
        <v>33</v>
      </c>
      <c r="E1349" t="s">
        <v>1292</v>
      </c>
      <c r="F1349" t="s">
        <v>35</v>
      </c>
      <c r="G1349" t="s">
        <v>35</v>
      </c>
      <c r="H1349" t="s">
        <v>35</v>
      </c>
      <c r="J1349" t="s">
        <v>1381</v>
      </c>
      <c r="K1349" t="s">
        <v>1092</v>
      </c>
      <c r="M1349">
        <v>5.25</v>
      </c>
      <c r="N1349">
        <v>49</v>
      </c>
      <c r="O1349" t="s">
        <v>52</v>
      </c>
      <c r="Q1349" t="s">
        <v>453</v>
      </c>
      <c r="R1349" t="s">
        <v>1279</v>
      </c>
      <c r="S1349" t="s">
        <v>163</v>
      </c>
    </row>
    <row r="1350" spans="1:19" x14ac:dyDescent="0.25">
      <c r="A1350" t="s">
        <v>59</v>
      </c>
      <c r="B1350" t="s">
        <v>60</v>
      </c>
      <c r="C1350" t="s">
        <v>32</v>
      </c>
      <c r="D1350" t="s">
        <v>33</v>
      </c>
      <c r="E1350" t="s">
        <v>1292</v>
      </c>
      <c r="F1350" t="s">
        <v>35</v>
      </c>
      <c r="G1350" t="s">
        <v>35</v>
      </c>
      <c r="H1350" t="s">
        <v>35</v>
      </c>
      <c r="J1350" t="s">
        <v>1381</v>
      </c>
      <c r="K1350" t="s">
        <v>1092</v>
      </c>
      <c r="M1350">
        <v>5</v>
      </c>
      <c r="N1350">
        <v>49</v>
      </c>
      <c r="O1350" t="s">
        <v>52</v>
      </c>
      <c r="Q1350" t="s">
        <v>453</v>
      </c>
      <c r="R1350" t="s">
        <v>1279</v>
      </c>
      <c r="S1350" t="s">
        <v>163</v>
      </c>
    </row>
    <row r="1351" spans="1:19" x14ac:dyDescent="0.25">
      <c r="A1351" t="s">
        <v>44</v>
      </c>
      <c r="B1351" t="s">
        <v>3</v>
      </c>
      <c r="C1351" t="s">
        <v>32</v>
      </c>
      <c r="D1351" t="s">
        <v>33</v>
      </c>
      <c r="E1351" t="s">
        <v>162</v>
      </c>
      <c r="F1351" t="s">
        <v>35</v>
      </c>
      <c r="G1351" t="s">
        <v>35</v>
      </c>
      <c r="H1351" t="s">
        <v>35</v>
      </c>
      <c r="J1351" t="s">
        <v>1879</v>
      </c>
      <c r="K1351" t="s">
        <v>1092</v>
      </c>
      <c r="M1351">
        <v>2</v>
      </c>
      <c r="N1351">
        <v>41</v>
      </c>
      <c r="O1351" t="s">
        <v>52</v>
      </c>
      <c r="Q1351" t="s">
        <v>496</v>
      </c>
      <c r="R1351" t="s">
        <v>1279</v>
      </c>
      <c r="S1351" t="s">
        <v>163</v>
      </c>
    </row>
    <row r="1352" spans="1:19" x14ac:dyDescent="0.25">
      <c r="A1352" t="s">
        <v>30</v>
      </c>
      <c r="B1352" t="s">
        <v>31</v>
      </c>
      <c r="C1352" t="s">
        <v>32</v>
      </c>
      <c r="D1352" t="s">
        <v>33</v>
      </c>
      <c r="E1352" t="s">
        <v>122</v>
      </c>
      <c r="F1352" t="s">
        <v>35</v>
      </c>
      <c r="G1352" t="s">
        <v>35</v>
      </c>
      <c r="H1352" t="s">
        <v>35</v>
      </c>
      <c r="J1352" t="s">
        <v>1689</v>
      </c>
      <c r="K1352" t="s">
        <v>1092</v>
      </c>
      <c r="M1352">
        <v>5</v>
      </c>
      <c r="N1352">
        <v>22</v>
      </c>
      <c r="O1352" t="s">
        <v>46</v>
      </c>
      <c r="Q1352" t="s">
        <v>1645</v>
      </c>
      <c r="R1352" t="s">
        <v>1279</v>
      </c>
      <c r="S1352" t="s">
        <v>163</v>
      </c>
    </row>
    <row r="1353" spans="1:19" x14ac:dyDescent="0.25">
      <c r="A1353" t="s">
        <v>30</v>
      </c>
      <c r="B1353" t="s">
        <v>31</v>
      </c>
      <c r="C1353" t="s">
        <v>32</v>
      </c>
      <c r="D1353" t="s">
        <v>33</v>
      </c>
      <c r="E1353" t="s">
        <v>196</v>
      </c>
      <c r="F1353" t="s">
        <v>35</v>
      </c>
      <c r="G1353" t="s">
        <v>35</v>
      </c>
      <c r="H1353" t="s">
        <v>35</v>
      </c>
      <c r="J1353" t="s">
        <v>2045</v>
      </c>
      <c r="K1353" t="s">
        <v>1092</v>
      </c>
      <c r="M1353">
        <v>3.2850000000000001</v>
      </c>
      <c r="N1353">
        <v>41</v>
      </c>
      <c r="O1353" t="s">
        <v>52</v>
      </c>
      <c r="Q1353" t="s">
        <v>496</v>
      </c>
      <c r="R1353" t="s">
        <v>1279</v>
      </c>
      <c r="S1353" t="s">
        <v>163</v>
      </c>
    </row>
    <row r="1354" spans="1:19" x14ac:dyDescent="0.25">
      <c r="A1354" t="s">
        <v>59</v>
      </c>
      <c r="B1354" t="s">
        <v>60</v>
      </c>
      <c r="C1354" t="s">
        <v>32</v>
      </c>
      <c r="D1354" t="s">
        <v>33</v>
      </c>
      <c r="E1354" t="s">
        <v>196</v>
      </c>
      <c r="F1354" t="s">
        <v>35</v>
      </c>
      <c r="G1354" t="s">
        <v>35</v>
      </c>
      <c r="H1354" t="s">
        <v>35</v>
      </c>
      <c r="J1354" t="s">
        <v>2045</v>
      </c>
      <c r="K1354" t="s">
        <v>1092</v>
      </c>
      <c r="M1354">
        <v>0.5</v>
      </c>
      <c r="N1354">
        <v>88</v>
      </c>
      <c r="O1354" t="s">
        <v>61</v>
      </c>
      <c r="Q1354" t="s">
        <v>724</v>
      </c>
      <c r="R1354" t="s">
        <v>1279</v>
      </c>
      <c r="S1354" t="s">
        <v>163</v>
      </c>
    </row>
    <row r="1355" spans="1:19" x14ac:dyDescent="0.25">
      <c r="A1355" t="s">
        <v>44</v>
      </c>
      <c r="B1355" t="s">
        <v>51</v>
      </c>
      <c r="C1355" t="s">
        <v>32</v>
      </c>
      <c r="D1355" t="s">
        <v>33</v>
      </c>
      <c r="E1355" t="s">
        <v>196</v>
      </c>
      <c r="F1355" t="s">
        <v>35</v>
      </c>
      <c r="G1355" t="s">
        <v>35</v>
      </c>
      <c r="H1355" t="s">
        <v>35</v>
      </c>
      <c r="J1355" t="s">
        <v>2045</v>
      </c>
      <c r="K1355" t="s">
        <v>1092</v>
      </c>
      <c r="M1355">
        <v>6</v>
      </c>
      <c r="N1355">
        <v>32</v>
      </c>
      <c r="O1355" t="s">
        <v>52</v>
      </c>
      <c r="Q1355" t="s">
        <v>816</v>
      </c>
      <c r="R1355" t="s">
        <v>1279</v>
      </c>
      <c r="S1355" t="s">
        <v>163</v>
      </c>
    </row>
    <row r="1356" spans="1:19" x14ac:dyDescent="0.25">
      <c r="A1356" t="s">
        <v>59</v>
      </c>
      <c r="B1356" t="s">
        <v>31</v>
      </c>
      <c r="C1356" t="s">
        <v>32</v>
      </c>
      <c r="D1356" t="s">
        <v>33</v>
      </c>
      <c r="E1356" t="s">
        <v>122</v>
      </c>
      <c r="F1356" t="s">
        <v>35</v>
      </c>
      <c r="G1356" t="s">
        <v>35</v>
      </c>
      <c r="H1356" t="s">
        <v>35</v>
      </c>
      <c r="J1356" t="s">
        <v>1644</v>
      </c>
      <c r="K1356" t="s">
        <v>1092</v>
      </c>
      <c r="M1356">
        <v>0.40500000000000003</v>
      </c>
      <c r="N1356">
        <v>49</v>
      </c>
      <c r="O1356" t="s">
        <v>52</v>
      </c>
      <c r="Q1356" t="s">
        <v>453</v>
      </c>
      <c r="R1356" t="s">
        <v>1279</v>
      </c>
      <c r="S1356" t="s">
        <v>163</v>
      </c>
    </row>
    <row r="1357" spans="1:19" x14ac:dyDescent="0.25">
      <c r="A1357" t="s">
        <v>30</v>
      </c>
      <c r="B1357" t="s">
        <v>31</v>
      </c>
      <c r="C1357" t="s">
        <v>32</v>
      </c>
      <c r="D1357" t="s">
        <v>33</v>
      </c>
      <c r="E1357" t="s">
        <v>122</v>
      </c>
      <c r="F1357" t="s">
        <v>35</v>
      </c>
      <c r="G1357" t="s">
        <v>35</v>
      </c>
      <c r="H1357" t="s">
        <v>35</v>
      </c>
      <c r="J1357" t="s">
        <v>1644</v>
      </c>
      <c r="K1357" t="s">
        <v>1092</v>
      </c>
      <c r="M1357">
        <v>5.49</v>
      </c>
      <c r="N1357">
        <v>22</v>
      </c>
      <c r="O1357" t="s">
        <v>46</v>
      </c>
      <c r="Q1357" t="s">
        <v>1645</v>
      </c>
      <c r="R1357" t="s">
        <v>1279</v>
      </c>
      <c r="S1357" t="s">
        <v>163</v>
      </c>
    </row>
    <row r="1358" spans="1:19" x14ac:dyDescent="0.25">
      <c r="A1358" t="s">
        <v>44</v>
      </c>
      <c r="B1358" t="s">
        <v>3</v>
      </c>
      <c r="C1358" t="s">
        <v>32</v>
      </c>
      <c r="D1358" t="s">
        <v>33</v>
      </c>
      <c r="E1358" t="s">
        <v>172</v>
      </c>
      <c r="F1358" t="s">
        <v>35</v>
      </c>
      <c r="G1358" t="s">
        <v>35</v>
      </c>
      <c r="H1358" t="s">
        <v>35</v>
      </c>
      <c r="J1358" t="s">
        <v>1911</v>
      </c>
      <c r="K1358" t="s">
        <v>1092</v>
      </c>
      <c r="M1358">
        <v>1</v>
      </c>
      <c r="N1358">
        <v>39</v>
      </c>
      <c r="O1358" t="s">
        <v>52</v>
      </c>
      <c r="Q1358" t="s">
        <v>493</v>
      </c>
      <c r="R1358" t="s">
        <v>1700</v>
      </c>
      <c r="S1358" t="s">
        <v>174</v>
      </c>
    </row>
    <row r="1359" spans="1:19" x14ac:dyDescent="0.25">
      <c r="A1359" t="s">
        <v>44</v>
      </c>
      <c r="B1359" t="s">
        <v>3</v>
      </c>
      <c r="C1359" t="s">
        <v>32</v>
      </c>
      <c r="D1359" t="s">
        <v>33</v>
      </c>
      <c r="E1359" t="s">
        <v>172</v>
      </c>
      <c r="F1359" t="s">
        <v>35</v>
      </c>
      <c r="G1359" t="s">
        <v>35</v>
      </c>
      <c r="H1359" t="s">
        <v>35</v>
      </c>
      <c r="J1359" t="s">
        <v>1972</v>
      </c>
      <c r="K1359" t="s">
        <v>1092</v>
      </c>
      <c r="M1359">
        <v>2.5</v>
      </c>
      <c r="N1359">
        <v>39</v>
      </c>
      <c r="O1359" t="s">
        <v>52</v>
      </c>
      <c r="Q1359" t="s">
        <v>493</v>
      </c>
      <c r="R1359" t="s">
        <v>1700</v>
      </c>
      <c r="S1359" t="s">
        <v>174</v>
      </c>
    </row>
    <row r="1360" spans="1:19" x14ac:dyDescent="0.25">
      <c r="A1360" t="s">
        <v>44</v>
      </c>
      <c r="B1360" t="s">
        <v>51</v>
      </c>
      <c r="C1360" t="s">
        <v>32</v>
      </c>
      <c r="D1360" t="s">
        <v>33</v>
      </c>
      <c r="E1360" t="s">
        <v>172</v>
      </c>
      <c r="F1360" t="s">
        <v>35</v>
      </c>
      <c r="G1360" t="s">
        <v>35</v>
      </c>
      <c r="H1360" t="s">
        <v>35</v>
      </c>
      <c r="J1360" t="s">
        <v>1972</v>
      </c>
      <c r="K1360" t="s">
        <v>1092</v>
      </c>
      <c r="M1360">
        <v>1.5</v>
      </c>
      <c r="N1360">
        <v>14</v>
      </c>
      <c r="O1360" t="s">
        <v>46</v>
      </c>
      <c r="Q1360" t="s">
        <v>1874</v>
      </c>
      <c r="R1360" t="s">
        <v>1700</v>
      </c>
      <c r="S1360" t="s">
        <v>174</v>
      </c>
    </row>
    <row r="1361" spans="1:19" x14ac:dyDescent="0.25">
      <c r="A1361" t="s">
        <v>44</v>
      </c>
      <c r="B1361" t="s">
        <v>51</v>
      </c>
      <c r="C1361" t="s">
        <v>32</v>
      </c>
      <c r="D1361" t="s">
        <v>33</v>
      </c>
      <c r="E1361" t="s">
        <v>172</v>
      </c>
      <c r="F1361" t="s">
        <v>35</v>
      </c>
      <c r="G1361" t="s">
        <v>35</v>
      </c>
      <c r="H1361" t="s">
        <v>35</v>
      </c>
      <c r="J1361" t="s">
        <v>1975</v>
      </c>
      <c r="K1361" t="s">
        <v>404</v>
      </c>
      <c r="M1361">
        <v>0.8</v>
      </c>
      <c r="N1361">
        <v>10</v>
      </c>
      <c r="O1361" t="s">
        <v>46</v>
      </c>
      <c r="Q1361" t="s">
        <v>1302</v>
      </c>
      <c r="R1361" t="s">
        <v>1700</v>
      </c>
      <c r="S1361" t="s">
        <v>174</v>
      </c>
    </row>
    <row r="1362" spans="1:19" x14ac:dyDescent="0.25">
      <c r="A1362" t="s">
        <v>44</v>
      </c>
      <c r="B1362" t="s">
        <v>3</v>
      </c>
      <c r="C1362" t="s">
        <v>32</v>
      </c>
      <c r="D1362" t="s">
        <v>33</v>
      </c>
      <c r="E1362" t="s">
        <v>122</v>
      </c>
      <c r="F1362" t="s">
        <v>35</v>
      </c>
      <c r="G1362" t="s">
        <v>35</v>
      </c>
      <c r="H1362" t="s">
        <v>35</v>
      </c>
      <c r="J1362" t="s">
        <v>1699</v>
      </c>
      <c r="K1362" t="s">
        <v>1092</v>
      </c>
      <c r="M1362">
        <v>2</v>
      </c>
      <c r="N1362">
        <v>52</v>
      </c>
      <c r="O1362" t="s">
        <v>52</v>
      </c>
      <c r="Q1362" t="s">
        <v>84</v>
      </c>
      <c r="R1362" t="s">
        <v>1700</v>
      </c>
      <c r="S1362" t="s">
        <v>174</v>
      </c>
    </row>
    <row r="1363" spans="1:19" x14ac:dyDescent="0.25">
      <c r="A1363" t="s">
        <v>44</v>
      </c>
      <c r="B1363" t="s">
        <v>3</v>
      </c>
      <c r="C1363" t="s">
        <v>32</v>
      </c>
      <c r="D1363" t="s">
        <v>33</v>
      </c>
      <c r="E1363" t="s">
        <v>172</v>
      </c>
      <c r="F1363" t="s">
        <v>35</v>
      </c>
      <c r="G1363" t="s">
        <v>35</v>
      </c>
      <c r="H1363" t="s">
        <v>35</v>
      </c>
      <c r="J1363" t="s">
        <v>1906</v>
      </c>
      <c r="K1363" t="s">
        <v>404</v>
      </c>
      <c r="M1363">
        <v>1.5</v>
      </c>
      <c r="N1363">
        <v>28</v>
      </c>
      <c r="O1363" t="s">
        <v>46</v>
      </c>
      <c r="Q1363" t="s">
        <v>48</v>
      </c>
      <c r="R1363" t="s">
        <v>1700</v>
      </c>
      <c r="S1363" t="s">
        <v>174</v>
      </c>
    </row>
    <row r="1364" spans="1:19" x14ac:dyDescent="0.25">
      <c r="A1364" t="s">
        <v>44</v>
      </c>
      <c r="B1364" t="s">
        <v>3</v>
      </c>
      <c r="C1364" t="s">
        <v>32</v>
      </c>
      <c r="D1364" t="s">
        <v>33</v>
      </c>
      <c r="E1364" t="s">
        <v>172</v>
      </c>
      <c r="F1364" t="s">
        <v>35</v>
      </c>
      <c r="G1364" t="s">
        <v>35</v>
      </c>
      <c r="H1364" t="s">
        <v>35</v>
      </c>
      <c r="J1364" t="s">
        <v>1969</v>
      </c>
      <c r="K1364" t="s">
        <v>1092</v>
      </c>
      <c r="M1364">
        <v>0.2</v>
      </c>
      <c r="N1364">
        <v>33</v>
      </c>
      <c r="O1364" t="s">
        <v>52</v>
      </c>
      <c r="Q1364" t="s">
        <v>130</v>
      </c>
      <c r="R1364" t="s">
        <v>1700</v>
      </c>
      <c r="S1364" t="s">
        <v>174</v>
      </c>
    </row>
    <row r="1365" spans="1:19" x14ac:dyDescent="0.25">
      <c r="A1365" t="s">
        <v>59</v>
      </c>
      <c r="B1365" t="s">
        <v>31</v>
      </c>
      <c r="C1365" t="s">
        <v>32</v>
      </c>
      <c r="D1365" t="s">
        <v>33</v>
      </c>
      <c r="E1365" t="s">
        <v>172</v>
      </c>
      <c r="F1365" t="s">
        <v>35</v>
      </c>
      <c r="G1365" t="s">
        <v>35</v>
      </c>
      <c r="H1365" t="s">
        <v>35</v>
      </c>
      <c r="J1365" t="s">
        <v>1951</v>
      </c>
      <c r="K1365" t="s">
        <v>1092</v>
      </c>
      <c r="M1365">
        <v>0.18</v>
      </c>
      <c r="N1365">
        <v>224</v>
      </c>
      <c r="O1365" t="s">
        <v>5</v>
      </c>
      <c r="Q1365" t="s">
        <v>402</v>
      </c>
      <c r="R1365" t="s">
        <v>1700</v>
      </c>
      <c r="S1365" t="s">
        <v>174</v>
      </c>
    </row>
    <row r="1366" spans="1:19" x14ac:dyDescent="0.25">
      <c r="A1366" t="s">
        <v>59</v>
      </c>
      <c r="B1366" t="s">
        <v>60</v>
      </c>
      <c r="C1366" t="s">
        <v>32</v>
      </c>
      <c r="D1366" t="s">
        <v>33</v>
      </c>
      <c r="E1366" t="s">
        <v>172</v>
      </c>
      <c r="F1366" t="s">
        <v>35</v>
      </c>
      <c r="G1366" t="s">
        <v>35</v>
      </c>
      <c r="H1366" t="s">
        <v>35</v>
      </c>
      <c r="J1366" t="s">
        <v>1951</v>
      </c>
      <c r="K1366" t="s">
        <v>1092</v>
      </c>
      <c r="M1366">
        <v>0.4</v>
      </c>
      <c r="N1366">
        <v>269</v>
      </c>
      <c r="O1366" t="s">
        <v>5</v>
      </c>
      <c r="Q1366" t="s">
        <v>1952</v>
      </c>
      <c r="R1366" t="s">
        <v>1700</v>
      </c>
      <c r="S1366" t="s">
        <v>174</v>
      </c>
    </row>
    <row r="1367" spans="1:19" x14ac:dyDescent="0.25">
      <c r="A1367" t="s">
        <v>44</v>
      </c>
      <c r="B1367" t="s">
        <v>51</v>
      </c>
      <c r="C1367" t="s">
        <v>32</v>
      </c>
      <c r="D1367" t="s">
        <v>33</v>
      </c>
      <c r="E1367" t="s">
        <v>172</v>
      </c>
      <c r="F1367" t="s">
        <v>35</v>
      </c>
      <c r="G1367" t="s">
        <v>35</v>
      </c>
      <c r="H1367" t="s">
        <v>35</v>
      </c>
      <c r="J1367" t="s">
        <v>1926</v>
      </c>
      <c r="K1367" t="s">
        <v>1092</v>
      </c>
      <c r="M1367">
        <v>0.55000000000000004</v>
      </c>
      <c r="N1367">
        <v>16</v>
      </c>
      <c r="O1367" t="s">
        <v>46</v>
      </c>
      <c r="Q1367" t="s">
        <v>1819</v>
      </c>
      <c r="R1367" t="s">
        <v>1700</v>
      </c>
      <c r="S1367" t="s">
        <v>174</v>
      </c>
    </row>
    <row r="1368" spans="1:19" x14ac:dyDescent="0.25">
      <c r="A1368" t="s">
        <v>44</v>
      </c>
      <c r="B1368" t="s">
        <v>3</v>
      </c>
      <c r="C1368" t="s">
        <v>32</v>
      </c>
      <c r="D1368" t="s">
        <v>33</v>
      </c>
      <c r="E1368" t="s">
        <v>122</v>
      </c>
      <c r="F1368" t="s">
        <v>35</v>
      </c>
      <c r="G1368" t="s">
        <v>35</v>
      </c>
      <c r="H1368" t="s">
        <v>35</v>
      </c>
      <c r="J1368" t="s">
        <v>1818</v>
      </c>
      <c r="K1368" t="s">
        <v>1092</v>
      </c>
      <c r="M1368">
        <v>8.2000000000000003E-2</v>
      </c>
      <c r="N1368">
        <v>16</v>
      </c>
      <c r="O1368" t="s">
        <v>46</v>
      </c>
      <c r="Q1368" t="s">
        <v>1819</v>
      </c>
      <c r="R1368" t="s">
        <v>1700</v>
      </c>
      <c r="S1368" t="s">
        <v>174</v>
      </c>
    </row>
    <row r="1369" spans="1:19" x14ac:dyDescent="0.25">
      <c r="A1369" t="s">
        <v>44</v>
      </c>
      <c r="B1369" t="s">
        <v>51</v>
      </c>
      <c r="C1369" t="s">
        <v>32</v>
      </c>
      <c r="D1369" t="s">
        <v>33</v>
      </c>
      <c r="E1369" t="s">
        <v>122</v>
      </c>
      <c r="F1369" t="s">
        <v>35</v>
      </c>
      <c r="G1369" t="s">
        <v>35</v>
      </c>
      <c r="H1369" t="s">
        <v>35</v>
      </c>
      <c r="J1369" t="s">
        <v>1818</v>
      </c>
      <c r="K1369" t="s">
        <v>1092</v>
      </c>
      <c r="M1369">
        <v>2.7650000000000001</v>
      </c>
      <c r="N1369">
        <v>16</v>
      </c>
      <c r="O1369" t="s">
        <v>46</v>
      </c>
      <c r="Q1369" t="s">
        <v>1819</v>
      </c>
      <c r="R1369" t="s">
        <v>1700</v>
      </c>
      <c r="S1369" t="s">
        <v>174</v>
      </c>
    </row>
    <row r="1370" spans="1:19" x14ac:dyDescent="0.25">
      <c r="A1370" t="s">
        <v>44</v>
      </c>
      <c r="B1370" t="s">
        <v>51</v>
      </c>
      <c r="C1370" t="s">
        <v>32</v>
      </c>
      <c r="D1370" t="s">
        <v>33</v>
      </c>
      <c r="E1370" t="s">
        <v>122</v>
      </c>
      <c r="F1370" t="s">
        <v>35</v>
      </c>
      <c r="G1370" t="s">
        <v>35</v>
      </c>
      <c r="H1370" t="s">
        <v>35</v>
      </c>
      <c r="J1370" t="s">
        <v>1657</v>
      </c>
      <c r="K1370" t="s">
        <v>1092</v>
      </c>
      <c r="M1370">
        <v>5.5</v>
      </c>
      <c r="N1370">
        <v>46</v>
      </c>
      <c r="O1370" t="s">
        <v>52</v>
      </c>
      <c r="Q1370" t="s">
        <v>332</v>
      </c>
      <c r="R1370" t="s">
        <v>1658</v>
      </c>
      <c r="S1370" t="s">
        <v>1659</v>
      </c>
    </row>
    <row r="1371" spans="1:19" x14ac:dyDescent="0.25">
      <c r="A1371" t="s">
        <v>59</v>
      </c>
      <c r="B1371" t="s">
        <v>31</v>
      </c>
      <c r="C1371" t="s">
        <v>32</v>
      </c>
      <c r="D1371" t="s">
        <v>33</v>
      </c>
      <c r="F1371" t="s">
        <v>35</v>
      </c>
      <c r="G1371" t="s">
        <v>35</v>
      </c>
      <c r="H1371" t="s">
        <v>35</v>
      </c>
      <c r="J1371" t="s">
        <v>2217</v>
      </c>
      <c r="K1371" t="s">
        <v>1092</v>
      </c>
      <c r="M1371">
        <v>0.02</v>
      </c>
      <c r="N1371">
        <v>2416</v>
      </c>
      <c r="O1371" t="s">
        <v>575</v>
      </c>
      <c r="Q1371" t="s">
        <v>2218</v>
      </c>
      <c r="R1371" t="s">
        <v>1658</v>
      </c>
      <c r="S1371" t="s">
        <v>1659</v>
      </c>
    </row>
    <row r="1372" spans="1:19" x14ac:dyDescent="0.25">
      <c r="A1372" t="s">
        <v>59</v>
      </c>
      <c r="B1372" t="s">
        <v>60</v>
      </c>
      <c r="C1372" t="s">
        <v>32</v>
      </c>
      <c r="D1372" t="s">
        <v>33</v>
      </c>
      <c r="F1372" t="s">
        <v>35</v>
      </c>
      <c r="G1372" t="s">
        <v>35</v>
      </c>
      <c r="H1372" t="s">
        <v>35</v>
      </c>
      <c r="J1372" t="s">
        <v>2230</v>
      </c>
      <c r="K1372" t="s">
        <v>1092</v>
      </c>
      <c r="M1372">
        <v>0.05</v>
      </c>
      <c r="N1372">
        <v>2341</v>
      </c>
      <c r="O1372" t="s">
        <v>575</v>
      </c>
      <c r="Q1372" t="s">
        <v>2231</v>
      </c>
      <c r="R1372" t="s">
        <v>1590</v>
      </c>
      <c r="S1372" t="s">
        <v>1591</v>
      </c>
    </row>
    <row r="1373" spans="1:19" x14ac:dyDescent="0.25">
      <c r="A1373" t="s">
        <v>59</v>
      </c>
      <c r="B1373" t="s">
        <v>60</v>
      </c>
      <c r="C1373" t="s">
        <v>32</v>
      </c>
      <c r="D1373" t="s">
        <v>33</v>
      </c>
      <c r="E1373" t="s">
        <v>114</v>
      </c>
      <c r="F1373" t="s">
        <v>35</v>
      </c>
      <c r="G1373" t="s">
        <v>35</v>
      </c>
      <c r="H1373" t="s">
        <v>35</v>
      </c>
      <c r="J1373" t="s">
        <v>1588</v>
      </c>
      <c r="K1373" t="s">
        <v>1092</v>
      </c>
      <c r="M1373">
        <v>0.5</v>
      </c>
      <c r="N1373">
        <v>396</v>
      </c>
      <c r="O1373" t="s">
        <v>294</v>
      </c>
      <c r="Q1373" t="s">
        <v>1589</v>
      </c>
      <c r="R1373" t="s">
        <v>1590</v>
      </c>
      <c r="S1373" t="s">
        <v>1591</v>
      </c>
    </row>
    <row r="1374" spans="1:19" x14ac:dyDescent="0.25">
      <c r="A1374" t="s">
        <v>59</v>
      </c>
      <c r="B1374" t="s">
        <v>60</v>
      </c>
      <c r="C1374" t="s">
        <v>32</v>
      </c>
      <c r="D1374" t="s">
        <v>33</v>
      </c>
      <c r="E1374" t="s">
        <v>172</v>
      </c>
      <c r="F1374" t="s">
        <v>35</v>
      </c>
      <c r="G1374" t="s">
        <v>35</v>
      </c>
      <c r="H1374" t="s">
        <v>35</v>
      </c>
      <c r="J1374" t="s">
        <v>1984</v>
      </c>
      <c r="K1374" t="s">
        <v>404</v>
      </c>
      <c r="M1374">
        <v>1.55</v>
      </c>
      <c r="N1374">
        <v>140</v>
      </c>
      <c r="O1374" t="s">
        <v>38</v>
      </c>
      <c r="Q1374" t="s">
        <v>1229</v>
      </c>
      <c r="R1374" t="s">
        <v>1590</v>
      </c>
      <c r="S1374" t="s">
        <v>1591</v>
      </c>
    </row>
    <row r="1375" spans="1:19" x14ac:dyDescent="0.25">
      <c r="A1375" t="s">
        <v>30</v>
      </c>
      <c r="B1375" t="s">
        <v>31</v>
      </c>
      <c r="C1375" t="s">
        <v>32</v>
      </c>
      <c r="D1375" t="s">
        <v>33</v>
      </c>
      <c r="F1375" t="s">
        <v>35</v>
      </c>
      <c r="G1375" t="s">
        <v>35</v>
      </c>
      <c r="H1375" t="s">
        <v>35</v>
      </c>
      <c r="J1375" t="s">
        <v>2295</v>
      </c>
      <c r="K1375" t="s">
        <v>1092</v>
      </c>
      <c r="M1375">
        <v>1.26</v>
      </c>
      <c r="N1375">
        <v>2123</v>
      </c>
      <c r="O1375" t="s">
        <v>575</v>
      </c>
      <c r="Q1375" t="s">
        <v>2296</v>
      </c>
      <c r="R1375" t="s">
        <v>2297</v>
      </c>
      <c r="S1375" t="s">
        <v>1647</v>
      </c>
    </row>
    <row r="1376" spans="1:19" x14ac:dyDescent="0.25">
      <c r="A1376" t="s">
        <v>44</v>
      </c>
      <c r="B1376" t="s">
        <v>3</v>
      </c>
      <c r="C1376" t="s">
        <v>32</v>
      </c>
      <c r="D1376" t="s">
        <v>33</v>
      </c>
      <c r="E1376" t="s">
        <v>114</v>
      </c>
      <c r="F1376" t="s">
        <v>35</v>
      </c>
      <c r="G1376" t="s">
        <v>35</v>
      </c>
      <c r="H1376" t="s">
        <v>35</v>
      </c>
      <c r="J1376" t="s">
        <v>1604</v>
      </c>
      <c r="K1376" t="s">
        <v>1092</v>
      </c>
      <c r="M1376">
        <v>3</v>
      </c>
      <c r="N1376">
        <v>23</v>
      </c>
      <c r="O1376" t="s">
        <v>46</v>
      </c>
      <c r="Q1376" t="s">
        <v>793</v>
      </c>
      <c r="R1376" t="s">
        <v>1605</v>
      </c>
      <c r="S1376" t="s">
        <v>120</v>
      </c>
    </row>
    <row r="1377" spans="1:19" x14ac:dyDescent="0.25">
      <c r="A1377" t="s">
        <v>44</v>
      </c>
      <c r="B1377" t="s">
        <v>3</v>
      </c>
      <c r="C1377" t="s">
        <v>32</v>
      </c>
      <c r="D1377" t="s">
        <v>33</v>
      </c>
      <c r="E1377" t="s">
        <v>122</v>
      </c>
      <c r="F1377" t="s">
        <v>35</v>
      </c>
      <c r="G1377" t="s">
        <v>35</v>
      </c>
      <c r="H1377" t="s">
        <v>35</v>
      </c>
      <c r="J1377" t="s">
        <v>1660</v>
      </c>
      <c r="K1377" t="s">
        <v>1092</v>
      </c>
      <c r="M1377">
        <v>0.38</v>
      </c>
      <c r="N1377">
        <v>416</v>
      </c>
      <c r="O1377" t="s">
        <v>294</v>
      </c>
      <c r="Q1377" t="s">
        <v>1607</v>
      </c>
      <c r="R1377" t="s">
        <v>1661</v>
      </c>
      <c r="S1377" t="s">
        <v>1662</v>
      </c>
    </row>
    <row r="1378" spans="1:19" x14ac:dyDescent="0.25">
      <c r="A1378" t="s">
        <v>44</v>
      </c>
      <c r="B1378" t="s">
        <v>3</v>
      </c>
      <c r="C1378" t="s">
        <v>32</v>
      </c>
      <c r="D1378" t="s">
        <v>33</v>
      </c>
      <c r="E1378" t="s">
        <v>122</v>
      </c>
      <c r="F1378" t="s">
        <v>35</v>
      </c>
      <c r="G1378" t="s">
        <v>35</v>
      </c>
      <c r="H1378" t="s">
        <v>35</v>
      </c>
      <c r="J1378" t="s">
        <v>1738</v>
      </c>
      <c r="K1378" t="s">
        <v>1092</v>
      </c>
      <c r="M1378">
        <v>0.8</v>
      </c>
      <c r="N1378">
        <v>457</v>
      </c>
      <c r="O1378" t="s">
        <v>294</v>
      </c>
      <c r="Q1378" t="s">
        <v>1739</v>
      </c>
      <c r="R1378" t="s">
        <v>1661</v>
      </c>
      <c r="S1378" t="s">
        <v>1662</v>
      </c>
    </row>
    <row r="1379" spans="1:19" x14ac:dyDescent="0.25">
      <c r="A1379" t="s">
        <v>59</v>
      </c>
      <c r="B1379" t="s">
        <v>60</v>
      </c>
      <c r="C1379" t="s">
        <v>32</v>
      </c>
      <c r="D1379" t="s">
        <v>33</v>
      </c>
      <c r="E1379" t="s">
        <v>1520</v>
      </c>
      <c r="F1379" t="s">
        <v>35</v>
      </c>
      <c r="G1379" t="s">
        <v>35</v>
      </c>
      <c r="H1379" t="s">
        <v>35</v>
      </c>
      <c r="J1379" t="s">
        <v>1553</v>
      </c>
      <c r="K1379" t="s">
        <v>1092</v>
      </c>
      <c r="M1379">
        <v>0.72499999999999998</v>
      </c>
      <c r="N1379">
        <v>73</v>
      </c>
      <c r="O1379" t="s">
        <v>61</v>
      </c>
      <c r="Q1379" t="s">
        <v>477</v>
      </c>
      <c r="R1379" t="s">
        <v>1481</v>
      </c>
      <c r="S1379" t="s">
        <v>1482</v>
      </c>
    </row>
    <row r="1380" spans="1:19" x14ac:dyDescent="0.25">
      <c r="A1380" t="s">
        <v>59</v>
      </c>
      <c r="B1380" t="s">
        <v>60</v>
      </c>
      <c r="C1380" t="s">
        <v>32</v>
      </c>
      <c r="D1380" t="s">
        <v>33</v>
      </c>
      <c r="E1380" t="s">
        <v>87</v>
      </c>
      <c r="F1380" t="s">
        <v>35</v>
      </c>
      <c r="G1380" t="s">
        <v>35</v>
      </c>
      <c r="H1380" t="s">
        <v>35</v>
      </c>
      <c r="J1380" t="s">
        <v>1479</v>
      </c>
      <c r="K1380" t="s">
        <v>1092</v>
      </c>
      <c r="M1380">
        <v>0.5</v>
      </c>
      <c r="N1380">
        <v>477</v>
      </c>
      <c r="O1380" t="s">
        <v>294</v>
      </c>
      <c r="Q1380" t="s">
        <v>1480</v>
      </c>
      <c r="R1380" t="s">
        <v>1481</v>
      </c>
      <c r="S1380" t="s">
        <v>1482</v>
      </c>
    </row>
    <row r="1381" spans="1:19" x14ac:dyDescent="0.25">
      <c r="A1381" t="s">
        <v>59</v>
      </c>
      <c r="B1381" t="s">
        <v>60</v>
      </c>
      <c r="C1381" t="s">
        <v>32</v>
      </c>
      <c r="D1381" t="s">
        <v>33</v>
      </c>
      <c r="E1381" t="s">
        <v>1520</v>
      </c>
      <c r="F1381" t="s">
        <v>35</v>
      </c>
      <c r="G1381" t="s">
        <v>35</v>
      </c>
      <c r="H1381" t="s">
        <v>35</v>
      </c>
      <c r="J1381" t="s">
        <v>1552</v>
      </c>
      <c r="K1381" t="s">
        <v>1092</v>
      </c>
      <c r="M1381">
        <v>1.65</v>
      </c>
      <c r="N1381">
        <v>139</v>
      </c>
      <c r="O1381" t="s">
        <v>38</v>
      </c>
      <c r="Q1381" t="s">
        <v>1335</v>
      </c>
      <c r="R1381" t="s">
        <v>1481</v>
      </c>
      <c r="S1381" t="s">
        <v>1482</v>
      </c>
    </row>
    <row r="1382" spans="1:19" x14ac:dyDescent="0.25">
      <c r="A1382" t="s">
        <v>59</v>
      </c>
      <c r="B1382" t="s">
        <v>60</v>
      </c>
      <c r="C1382" t="s">
        <v>32</v>
      </c>
      <c r="D1382" t="s">
        <v>33</v>
      </c>
      <c r="E1382" t="s">
        <v>1292</v>
      </c>
      <c r="F1382" t="s">
        <v>35</v>
      </c>
      <c r="G1382" t="s">
        <v>35</v>
      </c>
      <c r="H1382" t="s">
        <v>35</v>
      </c>
      <c r="J1382" t="s">
        <v>1404</v>
      </c>
      <c r="K1382" t="s">
        <v>1092</v>
      </c>
      <c r="M1382">
        <v>0.95</v>
      </c>
      <c r="N1382">
        <v>473</v>
      </c>
      <c r="O1382" t="s">
        <v>294</v>
      </c>
      <c r="Q1382" t="s">
        <v>1405</v>
      </c>
      <c r="R1382" t="s">
        <v>1316</v>
      </c>
      <c r="S1382" t="s">
        <v>1317</v>
      </c>
    </row>
    <row r="1383" spans="1:19" x14ac:dyDescent="0.25">
      <c r="A1383" t="s">
        <v>44</v>
      </c>
      <c r="B1383" t="s">
        <v>3</v>
      </c>
      <c r="C1383" t="s">
        <v>32</v>
      </c>
      <c r="D1383" t="s">
        <v>33</v>
      </c>
      <c r="E1383" t="s">
        <v>1292</v>
      </c>
      <c r="F1383" t="s">
        <v>35</v>
      </c>
      <c r="G1383" t="s">
        <v>35</v>
      </c>
      <c r="H1383" t="s">
        <v>35</v>
      </c>
      <c r="J1383" t="s">
        <v>1404</v>
      </c>
      <c r="K1383" t="s">
        <v>1092</v>
      </c>
      <c r="M1383">
        <v>0.5</v>
      </c>
      <c r="N1383">
        <v>200</v>
      </c>
      <c r="O1383" t="s">
        <v>5</v>
      </c>
      <c r="Q1383" t="s">
        <v>1315</v>
      </c>
      <c r="R1383" t="s">
        <v>1316</v>
      </c>
      <c r="S1383" t="s">
        <v>1317</v>
      </c>
    </row>
    <row r="1384" spans="1:19" x14ac:dyDescent="0.25">
      <c r="A1384" t="s">
        <v>59</v>
      </c>
      <c r="B1384" t="s">
        <v>31</v>
      </c>
      <c r="C1384" t="s">
        <v>32</v>
      </c>
      <c r="D1384" t="s">
        <v>33</v>
      </c>
      <c r="E1384" t="s">
        <v>1292</v>
      </c>
      <c r="F1384" t="s">
        <v>35</v>
      </c>
      <c r="G1384" t="s">
        <v>35</v>
      </c>
      <c r="H1384" t="s">
        <v>35</v>
      </c>
      <c r="J1384" t="s">
        <v>1314</v>
      </c>
      <c r="K1384" t="s">
        <v>1092</v>
      </c>
      <c r="M1384">
        <v>7.4999999999999997E-2</v>
      </c>
      <c r="N1384">
        <v>200</v>
      </c>
      <c r="O1384" t="s">
        <v>5</v>
      </c>
      <c r="Q1384" t="s">
        <v>1315</v>
      </c>
      <c r="R1384" t="s">
        <v>1316</v>
      </c>
      <c r="S1384" t="s">
        <v>1317</v>
      </c>
    </row>
    <row r="1385" spans="1:19" x14ac:dyDescent="0.25">
      <c r="A1385" t="s">
        <v>44</v>
      </c>
      <c r="B1385" t="s">
        <v>3</v>
      </c>
      <c r="C1385" t="s">
        <v>32</v>
      </c>
      <c r="D1385" t="s">
        <v>33</v>
      </c>
      <c r="E1385" t="s">
        <v>1292</v>
      </c>
      <c r="F1385" t="s">
        <v>35</v>
      </c>
      <c r="G1385" t="s">
        <v>35</v>
      </c>
      <c r="H1385" t="s">
        <v>35</v>
      </c>
      <c r="J1385" t="s">
        <v>1326</v>
      </c>
      <c r="K1385" t="s">
        <v>1092</v>
      </c>
      <c r="M1385">
        <v>1.25</v>
      </c>
      <c r="N1385">
        <v>463</v>
      </c>
      <c r="O1385" t="s">
        <v>294</v>
      </c>
      <c r="Q1385" t="s">
        <v>1327</v>
      </c>
      <c r="R1385" t="s">
        <v>1316</v>
      </c>
      <c r="S1385" t="s">
        <v>1317</v>
      </c>
    </row>
    <row r="1386" spans="1:19" x14ac:dyDescent="0.25">
      <c r="A1386" t="s">
        <v>44</v>
      </c>
      <c r="B1386" t="s">
        <v>51</v>
      </c>
      <c r="C1386" t="s">
        <v>32</v>
      </c>
      <c r="D1386" t="s">
        <v>33</v>
      </c>
      <c r="E1386" t="s">
        <v>1292</v>
      </c>
      <c r="F1386" t="s">
        <v>35</v>
      </c>
      <c r="G1386" t="s">
        <v>35</v>
      </c>
      <c r="H1386" t="s">
        <v>35</v>
      </c>
      <c r="J1386" t="s">
        <v>1326</v>
      </c>
      <c r="K1386" t="s">
        <v>1092</v>
      </c>
      <c r="M1386">
        <v>1.75</v>
      </c>
      <c r="N1386">
        <v>463</v>
      </c>
      <c r="O1386" t="s">
        <v>294</v>
      </c>
      <c r="Q1386" t="s">
        <v>1327</v>
      </c>
      <c r="R1386" t="s">
        <v>1316</v>
      </c>
      <c r="S1386" t="s">
        <v>1317</v>
      </c>
    </row>
    <row r="1387" spans="1:19" x14ac:dyDescent="0.25">
      <c r="A1387" t="s">
        <v>59</v>
      </c>
      <c r="B1387" t="s">
        <v>60</v>
      </c>
      <c r="C1387" t="s">
        <v>32</v>
      </c>
      <c r="D1387" t="s">
        <v>33</v>
      </c>
      <c r="E1387" t="s">
        <v>1292</v>
      </c>
      <c r="F1387" t="s">
        <v>35</v>
      </c>
      <c r="G1387" t="s">
        <v>35</v>
      </c>
      <c r="H1387" t="s">
        <v>35</v>
      </c>
      <c r="J1387" t="s">
        <v>1326</v>
      </c>
      <c r="K1387" t="s">
        <v>1092</v>
      </c>
      <c r="M1387">
        <v>1.5</v>
      </c>
      <c r="N1387">
        <v>199</v>
      </c>
      <c r="O1387" t="s">
        <v>5</v>
      </c>
      <c r="Q1387" t="s">
        <v>1328</v>
      </c>
      <c r="R1387" t="s">
        <v>1316</v>
      </c>
      <c r="S1387" t="s">
        <v>1317</v>
      </c>
    </row>
    <row r="1388" spans="1:19" x14ac:dyDescent="0.25">
      <c r="A1388" t="s">
        <v>59</v>
      </c>
      <c r="B1388" t="s">
        <v>31</v>
      </c>
      <c r="C1388" t="s">
        <v>32</v>
      </c>
      <c r="D1388" t="s">
        <v>33</v>
      </c>
      <c r="E1388" t="s">
        <v>1292</v>
      </c>
      <c r="F1388" t="s">
        <v>35</v>
      </c>
      <c r="G1388" t="s">
        <v>35</v>
      </c>
      <c r="H1388" t="s">
        <v>35</v>
      </c>
      <c r="J1388" t="s">
        <v>1326</v>
      </c>
      <c r="K1388" t="s">
        <v>1092</v>
      </c>
      <c r="M1388">
        <v>0.85499999999999998</v>
      </c>
      <c r="N1388">
        <v>200</v>
      </c>
      <c r="O1388" t="s">
        <v>5</v>
      </c>
      <c r="Q1388" t="s">
        <v>1315</v>
      </c>
      <c r="R1388" t="s">
        <v>1316</v>
      </c>
      <c r="S1388" t="s">
        <v>1317</v>
      </c>
    </row>
    <row r="1389" spans="1:19" x14ac:dyDescent="0.25">
      <c r="A1389" t="s">
        <v>44</v>
      </c>
      <c r="B1389" t="s">
        <v>3</v>
      </c>
      <c r="C1389" t="s">
        <v>32</v>
      </c>
      <c r="D1389" t="s">
        <v>33</v>
      </c>
      <c r="E1389" t="s">
        <v>1292</v>
      </c>
      <c r="F1389" t="s">
        <v>35</v>
      </c>
      <c r="G1389" t="s">
        <v>35</v>
      </c>
      <c r="H1389" t="s">
        <v>35</v>
      </c>
      <c r="J1389" t="s">
        <v>1326</v>
      </c>
      <c r="K1389" t="s">
        <v>1092</v>
      </c>
      <c r="M1389">
        <v>2</v>
      </c>
      <c r="N1389">
        <v>200</v>
      </c>
      <c r="O1389" t="s">
        <v>5</v>
      </c>
      <c r="Q1389" t="s">
        <v>1315</v>
      </c>
      <c r="R1389" t="s">
        <v>1316</v>
      </c>
      <c r="S1389" t="s">
        <v>1317</v>
      </c>
    </row>
    <row r="1390" spans="1:19" x14ac:dyDescent="0.25">
      <c r="A1390" t="s">
        <v>59</v>
      </c>
      <c r="B1390" t="s">
        <v>31</v>
      </c>
      <c r="C1390" t="s">
        <v>32</v>
      </c>
      <c r="D1390" t="s">
        <v>33</v>
      </c>
      <c r="E1390" t="s">
        <v>1292</v>
      </c>
      <c r="F1390" t="s">
        <v>35</v>
      </c>
      <c r="G1390" t="s">
        <v>35</v>
      </c>
      <c r="H1390" t="s">
        <v>35</v>
      </c>
      <c r="J1390" t="s">
        <v>1349</v>
      </c>
      <c r="K1390" t="s">
        <v>1092</v>
      </c>
      <c r="M1390">
        <v>0.36</v>
      </c>
      <c r="N1390">
        <v>428</v>
      </c>
      <c r="O1390" t="s">
        <v>294</v>
      </c>
      <c r="Q1390" t="s">
        <v>1350</v>
      </c>
      <c r="R1390" t="s">
        <v>1316</v>
      </c>
      <c r="S1390" t="s">
        <v>1317</v>
      </c>
    </row>
    <row r="1391" spans="1:19" x14ac:dyDescent="0.25">
      <c r="A1391" t="s">
        <v>59</v>
      </c>
      <c r="B1391" t="s">
        <v>60</v>
      </c>
      <c r="C1391" t="s">
        <v>32</v>
      </c>
      <c r="D1391" t="s">
        <v>33</v>
      </c>
      <c r="E1391" t="s">
        <v>1292</v>
      </c>
      <c r="F1391" t="s">
        <v>35</v>
      </c>
      <c r="G1391" t="s">
        <v>35</v>
      </c>
      <c r="H1391" t="s">
        <v>35</v>
      </c>
      <c r="J1391" t="s">
        <v>1379</v>
      </c>
      <c r="K1391" t="s">
        <v>1092</v>
      </c>
      <c r="M1391">
        <v>0.25</v>
      </c>
      <c r="N1391">
        <v>240</v>
      </c>
      <c r="O1391" t="s">
        <v>5</v>
      </c>
      <c r="Q1391" t="s">
        <v>574</v>
      </c>
      <c r="R1391" t="s">
        <v>1316</v>
      </c>
      <c r="S1391" t="s">
        <v>1317</v>
      </c>
    </row>
    <row r="1392" spans="1:19" x14ac:dyDescent="0.25">
      <c r="A1392" t="s">
        <v>44</v>
      </c>
      <c r="B1392" t="s">
        <v>3</v>
      </c>
      <c r="C1392" t="s">
        <v>32</v>
      </c>
      <c r="D1392" t="s">
        <v>33</v>
      </c>
      <c r="E1392" t="s">
        <v>1292</v>
      </c>
      <c r="F1392" t="s">
        <v>35</v>
      </c>
      <c r="G1392" t="s">
        <v>35</v>
      </c>
      <c r="H1392" t="s">
        <v>35</v>
      </c>
      <c r="J1392" t="s">
        <v>1338</v>
      </c>
      <c r="K1392" t="s">
        <v>1092</v>
      </c>
      <c r="M1392">
        <v>1.4</v>
      </c>
      <c r="N1392">
        <v>33</v>
      </c>
      <c r="O1392" t="s">
        <v>52</v>
      </c>
      <c r="Q1392" t="s">
        <v>130</v>
      </c>
      <c r="R1392" t="s">
        <v>1316</v>
      </c>
      <c r="S1392" t="s">
        <v>1317</v>
      </c>
    </row>
    <row r="1393" spans="1:19" x14ac:dyDescent="0.25">
      <c r="A1393" t="s">
        <v>44</v>
      </c>
      <c r="B1393" t="s">
        <v>3</v>
      </c>
      <c r="C1393" t="s">
        <v>32</v>
      </c>
      <c r="D1393" t="s">
        <v>33</v>
      </c>
      <c r="E1393" t="s">
        <v>1292</v>
      </c>
      <c r="F1393" t="s">
        <v>35</v>
      </c>
      <c r="G1393" t="s">
        <v>35</v>
      </c>
      <c r="H1393" t="s">
        <v>35</v>
      </c>
      <c r="J1393" t="s">
        <v>1338</v>
      </c>
      <c r="K1393" t="s">
        <v>1092</v>
      </c>
      <c r="M1393">
        <v>1.5</v>
      </c>
      <c r="N1393">
        <v>23</v>
      </c>
      <c r="O1393" t="s">
        <v>46</v>
      </c>
      <c r="Q1393" t="s">
        <v>793</v>
      </c>
      <c r="R1393" t="s">
        <v>1316</v>
      </c>
      <c r="S1393" t="s">
        <v>1317</v>
      </c>
    </row>
    <row r="1394" spans="1:19" x14ac:dyDescent="0.25">
      <c r="A1394" t="s">
        <v>59</v>
      </c>
      <c r="B1394" t="s">
        <v>31</v>
      </c>
      <c r="C1394" t="s">
        <v>32</v>
      </c>
      <c r="D1394" t="s">
        <v>33</v>
      </c>
      <c r="E1394" t="s">
        <v>1292</v>
      </c>
      <c r="F1394" t="s">
        <v>35</v>
      </c>
      <c r="G1394" t="s">
        <v>35</v>
      </c>
      <c r="H1394" t="s">
        <v>35</v>
      </c>
      <c r="J1394" t="s">
        <v>1427</v>
      </c>
      <c r="K1394" t="s">
        <v>1092</v>
      </c>
      <c r="M1394">
        <v>0.18</v>
      </c>
      <c r="N1394">
        <v>194</v>
      </c>
      <c r="O1394" t="s">
        <v>5</v>
      </c>
      <c r="Q1394" t="s">
        <v>1428</v>
      </c>
      <c r="R1394" t="s">
        <v>1316</v>
      </c>
      <c r="S1394" t="s">
        <v>1317</v>
      </c>
    </row>
    <row r="1395" spans="1:19" x14ac:dyDescent="0.25">
      <c r="A1395" t="s">
        <v>59</v>
      </c>
      <c r="B1395" t="s">
        <v>31</v>
      </c>
      <c r="C1395" t="s">
        <v>32</v>
      </c>
      <c r="D1395" t="s">
        <v>33</v>
      </c>
      <c r="E1395" t="s">
        <v>1292</v>
      </c>
      <c r="F1395" t="s">
        <v>35</v>
      </c>
      <c r="G1395" t="s">
        <v>35</v>
      </c>
      <c r="H1395" t="s">
        <v>35</v>
      </c>
      <c r="J1395" t="s">
        <v>1377</v>
      </c>
      <c r="K1395" t="s">
        <v>1092</v>
      </c>
      <c r="M1395">
        <v>1.35</v>
      </c>
      <c r="N1395">
        <v>200</v>
      </c>
      <c r="O1395" t="s">
        <v>5</v>
      </c>
      <c r="Q1395" t="s">
        <v>1315</v>
      </c>
      <c r="R1395" t="s">
        <v>1316</v>
      </c>
      <c r="S1395" t="s">
        <v>1317</v>
      </c>
    </row>
    <row r="1396" spans="1:19" x14ac:dyDescent="0.25">
      <c r="A1396" t="s">
        <v>59</v>
      </c>
      <c r="B1396" t="s">
        <v>60</v>
      </c>
      <c r="C1396" t="s">
        <v>32</v>
      </c>
      <c r="D1396" t="s">
        <v>33</v>
      </c>
      <c r="E1396" t="s">
        <v>1292</v>
      </c>
      <c r="F1396" t="s">
        <v>35</v>
      </c>
      <c r="G1396" t="s">
        <v>35</v>
      </c>
      <c r="H1396" t="s">
        <v>35</v>
      </c>
      <c r="J1396" t="s">
        <v>1377</v>
      </c>
      <c r="K1396" t="s">
        <v>1092</v>
      </c>
      <c r="M1396">
        <v>1</v>
      </c>
      <c r="N1396">
        <v>241</v>
      </c>
      <c r="O1396" t="s">
        <v>5</v>
      </c>
      <c r="Q1396" t="s">
        <v>1154</v>
      </c>
      <c r="R1396" t="s">
        <v>1316</v>
      </c>
      <c r="S1396" t="s">
        <v>1317</v>
      </c>
    </row>
    <row r="1397" spans="1:19" x14ac:dyDescent="0.25">
      <c r="A1397" t="s">
        <v>59</v>
      </c>
      <c r="B1397" t="s">
        <v>31</v>
      </c>
      <c r="C1397" t="s">
        <v>32</v>
      </c>
      <c r="D1397" t="s">
        <v>33</v>
      </c>
      <c r="F1397" t="s">
        <v>35</v>
      </c>
      <c r="G1397" t="s">
        <v>35</v>
      </c>
      <c r="H1397" t="s">
        <v>35</v>
      </c>
      <c r="J1397" t="s">
        <v>222</v>
      </c>
      <c r="K1397" t="s">
        <v>37</v>
      </c>
      <c r="M1397">
        <v>1.8</v>
      </c>
      <c r="N1397">
        <v>58</v>
      </c>
      <c r="O1397" t="s">
        <v>52</v>
      </c>
      <c r="P1397" t="s">
        <v>223</v>
      </c>
      <c r="Q1397" t="s">
        <v>128</v>
      </c>
      <c r="R1397" t="s">
        <v>91</v>
      </c>
      <c r="S1397" t="s">
        <v>92</v>
      </c>
    </row>
    <row r="1398" spans="1:19" x14ac:dyDescent="0.25">
      <c r="A1398" t="s">
        <v>44</v>
      </c>
      <c r="B1398" t="s">
        <v>51</v>
      </c>
      <c r="C1398" t="s">
        <v>32</v>
      </c>
      <c r="D1398" t="s">
        <v>33</v>
      </c>
      <c r="F1398" t="s">
        <v>35</v>
      </c>
      <c r="G1398" t="s">
        <v>35</v>
      </c>
      <c r="H1398" t="s">
        <v>35</v>
      </c>
      <c r="J1398" t="s">
        <v>222</v>
      </c>
      <c r="K1398" t="s">
        <v>37</v>
      </c>
      <c r="M1398">
        <v>3.5</v>
      </c>
      <c r="N1398">
        <v>55</v>
      </c>
      <c r="O1398" t="s">
        <v>52</v>
      </c>
      <c r="P1398" t="s">
        <v>224</v>
      </c>
      <c r="Q1398" t="s">
        <v>90</v>
      </c>
      <c r="R1398" t="s">
        <v>91</v>
      </c>
      <c r="S1398" t="s">
        <v>92</v>
      </c>
    </row>
    <row r="1399" spans="1:19" x14ac:dyDescent="0.25">
      <c r="A1399" t="s">
        <v>59</v>
      </c>
      <c r="B1399" t="s">
        <v>60</v>
      </c>
      <c r="C1399" t="s">
        <v>32</v>
      </c>
      <c r="D1399" t="s">
        <v>33</v>
      </c>
      <c r="F1399" t="s">
        <v>35</v>
      </c>
      <c r="G1399" t="s">
        <v>35</v>
      </c>
      <c r="H1399" t="s">
        <v>35</v>
      </c>
      <c r="J1399" t="s">
        <v>222</v>
      </c>
      <c r="K1399" t="s">
        <v>37</v>
      </c>
      <c r="M1399">
        <v>1</v>
      </c>
      <c r="N1399">
        <v>58</v>
      </c>
      <c r="O1399" t="s">
        <v>52</v>
      </c>
      <c r="P1399" t="s">
        <v>225</v>
      </c>
      <c r="Q1399" t="s">
        <v>128</v>
      </c>
      <c r="R1399" t="s">
        <v>91</v>
      </c>
      <c r="S1399" t="s">
        <v>92</v>
      </c>
    </row>
    <row r="1400" spans="1:19" x14ac:dyDescent="0.25">
      <c r="A1400" t="s">
        <v>30</v>
      </c>
      <c r="B1400" t="s">
        <v>31</v>
      </c>
      <c r="C1400" t="s">
        <v>32</v>
      </c>
      <c r="D1400" t="s">
        <v>33</v>
      </c>
      <c r="F1400" t="s">
        <v>35</v>
      </c>
      <c r="G1400" t="s">
        <v>35</v>
      </c>
      <c r="H1400" t="s">
        <v>35</v>
      </c>
      <c r="J1400" t="s">
        <v>222</v>
      </c>
      <c r="K1400" t="s">
        <v>37</v>
      </c>
      <c r="M1400">
        <v>5.49</v>
      </c>
      <c r="N1400">
        <v>42</v>
      </c>
      <c r="O1400" t="s">
        <v>52</v>
      </c>
      <c r="P1400" t="s">
        <v>226</v>
      </c>
      <c r="Q1400" t="s">
        <v>219</v>
      </c>
      <c r="R1400" t="s">
        <v>91</v>
      </c>
      <c r="S1400" t="s">
        <v>92</v>
      </c>
    </row>
    <row r="1401" spans="1:19" x14ac:dyDescent="0.25">
      <c r="A1401" t="s">
        <v>30</v>
      </c>
      <c r="B1401" t="s">
        <v>31</v>
      </c>
      <c r="C1401" t="s">
        <v>32</v>
      </c>
      <c r="D1401" t="s">
        <v>33</v>
      </c>
      <c r="E1401" t="s">
        <v>177</v>
      </c>
      <c r="F1401" t="s">
        <v>35</v>
      </c>
      <c r="G1401" t="s">
        <v>35</v>
      </c>
      <c r="H1401" t="s">
        <v>35</v>
      </c>
      <c r="J1401" t="s">
        <v>194</v>
      </c>
      <c r="K1401" t="s">
        <v>37</v>
      </c>
      <c r="M1401">
        <v>5.49</v>
      </c>
      <c r="N1401">
        <v>19</v>
      </c>
      <c r="O1401" t="s">
        <v>46</v>
      </c>
      <c r="P1401" t="s">
        <v>195</v>
      </c>
      <c r="Q1401" t="s">
        <v>94</v>
      </c>
      <c r="R1401" t="s">
        <v>91</v>
      </c>
      <c r="S1401" t="s">
        <v>92</v>
      </c>
    </row>
    <row r="1402" spans="1:19" x14ac:dyDescent="0.25">
      <c r="A1402" t="s">
        <v>44</v>
      </c>
      <c r="B1402" t="s">
        <v>51</v>
      </c>
      <c r="C1402" t="s">
        <v>32</v>
      </c>
      <c r="D1402" t="s">
        <v>33</v>
      </c>
      <c r="E1402" t="s">
        <v>87</v>
      </c>
      <c r="F1402" t="s">
        <v>35</v>
      </c>
      <c r="G1402" t="s">
        <v>35</v>
      </c>
      <c r="H1402" t="s">
        <v>35</v>
      </c>
      <c r="J1402" t="s">
        <v>88</v>
      </c>
      <c r="K1402" t="s">
        <v>37</v>
      </c>
      <c r="M1402">
        <v>3.25</v>
      </c>
      <c r="N1402">
        <v>55</v>
      </c>
      <c r="O1402" t="s">
        <v>52</v>
      </c>
      <c r="P1402" t="s">
        <v>89</v>
      </c>
      <c r="Q1402" t="s">
        <v>90</v>
      </c>
      <c r="R1402" t="s">
        <v>91</v>
      </c>
      <c r="S1402" t="s">
        <v>92</v>
      </c>
    </row>
    <row r="1403" spans="1:19" x14ac:dyDescent="0.25">
      <c r="A1403" t="s">
        <v>30</v>
      </c>
      <c r="B1403" t="s">
        <v>31</v>
      </c>
      <c r="C1403" t="s">
        <v>32</v>
      </c>
      <c r="D1403" t="s">
        <v>33</v>
      </c>
      <c r="E1403" t="s">
        <v>87</v>
      </c>
      <c r="F1403" t="s">
        <v>35</v>
      </c>
      <c r="G1403" t="s">
        <v>35</v>
      </c>
      <c r="H1403" t="s">
        <v>35</v>
      </c>
      <c r="J1403" t="s">
        <v>88</v>
      </c>
      <c r="K1403" t="s">
        <v>37</v>
      </c>
      <c r="M1403">
        <v>0.315</v>
      </c>
      <c r="N1403">
        <v>19</v>
      </c>
      <c r="O1403" t="s">
        <v>46</v>
      </c>
      <c r="P1403" t="s">
        <v>93</v>
      </c>
      <c r="Q1403" t="s">
        <v>94</v>
      </c>
      <c r="R1403" t="s">
        <v>91</v>
      </c>
      <c r="S1403" t="s">
        <v>92</v>
      </c>
    </row>
    <row r="1404" spans="1:19" x14ac:dyDescent="0.25">
      <c r="A1404" t="s">
        <v>30</v>
      </c>
      <c r="B1404" t="s">
        <v>31</v>
      </c>
      <c r="C1404" t="s">
        <v>32</v>
      </c>
      <c r="D1404" t="s">
        <v>33</v>
      </c>
      <c r="E1404" t="s">
        <v>177</v>
      </c>
      <c r="F1404" t="s">
        <v>35</v>
      </c>
      <c r="G1404" t="s">
        <v>35</v>
      </c>
      <c r="H1404" t="s">
        <v>35</v>
      </c>
      <c r="J1404" t="s">
        <v>86</v>
      </c>
      <c r="K1404" t="s">
        <v>37</v>
      </c>
      <c r="M1404">
        <v>10.26</v>
      </c>
      <c r="N1404">
        <v>19</v>
      </c>
      <c r="O1404" t="s">
        <v>46</v>
      </c>
      <c r="P1404" t="s">
        <v>179</v>
      </c>
      <c r="Q1404" t="s">
        <v>94</v>
      </c>
      <c r="R1404" t="s">
        <v>91</v>
      </c>
      <c r="S1404" t="s">
        <v>92</v>
      </c>
    </row>
    <row r="1405" spans="1:19" x14ac:dyDescent="0.25">
      <c r="A1405" t="s">
        <v>30</v>
      </c>
      <c r="B1405" t="s">
        <v>31</v>
      </c>
      <c r="C1405" t="s">
        <v>32</v>
      </c>
      <c r="D1405" t="s">
        <v>33</v>
      </c>
      <c r="E1405" t="s">
        <v>177</v>
      </c>
      <c r="F1405" t="s">
        <v>35</v>
      </c>
      <c r="G1405" t="s">
        <v>35</v>
      </c>
      <c r="H1405" t="s">
        <v>35</v>
      </c>
      <c r="J1405" t="s">
        <v>86</v>
      </c>
      <c r="K1405" t="s">
        <v>37</v>
      </c>
      <c r="M1405">
        <v>29.7</v>
      </c>
      <c r="N1405">
        <v>19</v>
      </c>
      <c r="O1405" t="s">
        <v>46</v>
      </c>
      <c r="P1405" t="s">
        <v>180</v>
      </c>
      <c r="Q1405" t="s">
        <v>94</v>
      </c>
      <c r="R1405" t="s">
        <v>91</v>
      </c>
      <c r="S1405" t="s">
        <v>92</v>
      </c>
    </row>
    <row r="1406" spans="1:19" x14ac:dyDescent="0.25">
      <c r="A1406" t="s">
        <v>30</v>
      </c>
      <c r="B1406" t="s">
        <v>31</v>
      </c>
      <c r="C1406" t="s">
        <v>32</v>
      </c>
      <c r="D1406" t="s">
        <v>33</v>
      </c>
      <c r="E1406" t="s">
        <v>177</v>
      </c>
      <c r="F1406" t="s">
        <v>35</v>
      </c>
      <c r="G1406" t="s">
        <v>35</v>
      </c>
      <c r="H1406" t="s">
        <v>35</v>
      </c>
      <c r="J1406" t="s">
        <v>104</v>
      </c>
      <c r="K1406" t="s">
        <v>37</v>
      </c>
      <c r="M1406">
        <v>9.99</v>
      </c>
      <c r="N1406">
        <v>19</v>
      </c>
      <c r="O1406" t="s">
        <v>46</v>
      </c>
      <c r="P1406" t="s">
        <v>178</v>
      </c>
      <c r="Q1406" t="s">
        <v>94</v>
      </c>
      <c r="R1406" t="s">
        <v>91</v>
      </c>
      <c r="S1406" t="s">
        <v>92</v>
      </c>
    </row>
    <row r="1407" spans="1:19" x14ac:dyDescent="0.25">
      <c r="A1407" t="s">
        <v>59</v>
      </c>
      <c r="B1407" t="s">
        <v>60</v>
      </c>
      <c r="C1407" t="s">
        <v>32</v>
      </c>
      <c r="D1407" t="s">
        <v>33</v>
      </c>
      <c r="E1407" t="s">
        <v>177</v>
      </c>
      <c r="F1407" t="s">
        <v>35</v>
      </c>
      <c r="G1407" t="s">
        <v>35</v>
      </c>
      <c r="H1407" t="s">
        <v>35</v>
      </c>
      <c r="J1407" t="s">
        <v>181</v>
      </c>
      <c r="K1407" t="s">
        <v>37</v>
      </c>
      <c r="M1407">
        <v>11.515000000000001</v>
      </c>
      <c r="N1407">
        <v>58</v>
      </c>
      <c r="O1407" t="s">
        <v>52</v>
      </c>
      <c r="P1407" t="s">
        <v>182</v>
      </c>
      <c r="Q1407" t="s">
        <v>128</v>
      </c>
      <c r="R1407" t="s">
        <v>91</v>
      </c>
      <c r="S1407" t="s">
        <v>92</v>
      </c>
    </row>
    <row r="1408" spans="1:19" x14ac:dyDescent="0.25">
      <c r="A1408" t="s">
        <v>44</v>
      </c>
      <c r="B1408" t="s">
        <v>51</v>
      </c>
      <c r="C1408" t="s">
        <v>32</v>
      </c>
      <c r="D1408" t="s">
        <v>33</v>
      </c>
      <c r="E1408" t="s">
        <v>177</v>
      </c>
      <c r="F1408" t="s">
        <v>35</v>
      </c>
      <c r="G1408" t="s">
        <v>35</v>
      </c>
      <c r="H1408" t="s">
        <v>35</v>
      </c>
      <c r="J1408" t="s">
        <v>181</v>
      </c>
      <c r="K1408" t="s">
        <v>37</v>
      </c>
      <c r="M1408">
        <v>5</v>
      </c>
      <c r="N1408">
        <v>55</v>
      </c>
      <c r="O1408" t="s">
        <v>52</v>
      </c>
      <c r="P1408" t="s">
        <v>183</v>
      </c>
      <c r="Q1408" t="s">
        <v>90</v>
      </c>
      <c r="R1408" t="s">
        <v>91</v>
      </c>
      <c r="S1408" t="s">
        <v>92</v>
      </c>
    </row>
    <row r="1409" spans="1:19" x14ac:dyDescent="0.25">
      <c r="A1409" t="s">
        <v>59</v>
      </c>
      <c r="B1409" t="s">
        <v>31</v>
      </c>
      <c r="C1409" t="s">
        <v>32</v>
      </c>
      <c r="D1409" t="s">
        <v>33</v>
      </c>
      <c r="E1409" t="s">
        <v>177</v>
      </c>
      <c r="F1409" t="s">
        <v>35</v>
      </c>
      <c r="G1409" t="s">
        <v>35</v>
      </c>
      <c r="H1409" t="s">
        <v>35</v>
      </c>
      <c r="J1409" t="s">
        <v>181</v>
      </c>
      <c r="K1409" t="s">
        <v>37</v>
      </c>
      <c r="M1409">
        <v>7.8650000000000002</v>
      </c>
      <c r="N1409">
        <v>58</v>
      </c>
      <c r="O1409" t="s">
        <v>52</v>
      </c>
      <c r="P1409" t="s">
        <v>184</v>
      </c>
      <c r="Q1409" t="s">
        <v>128</v>
      </c>
      <c r="R1409" t="s">
        <v>91</v>
      </c>
      <c r="S1409" t="s">
        <v>92</v>
      </c>
    </row>
    <row r="1410" spans="1:19" x14ac:dyDescent="0.25">
      <c r="A1410" t="s">
        <v>44</v>
      </c>
      <c r="B1410" t="s">
        <v>3</v>
      </c>
      <c r="C1410" t="s">
        <v>32</v>
      </c>
      <c r="D1410" t="s">
        <v>33</v>
      </c>
      <c r="E1410" t="s">
        <v>177</v>
      </c>
      <c r="F1410" t="s">
        <v>35</v>
      </c>
      <c r="G1410" t="s">
        <v>35</v>
      </c>
      <c r="H1410" t="s">
        <v>35</v>
      </c>
      <c r="J1410" t="s">
        <v>181</v>
      </c>
      <c r="K1410" t="s">
        <v>37</v>
      </c>
      <c r="M1410">
        <v>18.7</v>
      </c>
      <c r="N1410">
        <v>63</v>
      </c>
      <c r="O1410" t="s">
        <v>61</v>
      </c>
      <c r="P1410" t="s">
        <v>185</v>
      </c>
      <c r="Q1410" t="s">
        <v>126</v>
      </c>
      <c r="R1410" t="s">
        <v>91</v>
      </c>
      <c r="S1410" t="s">
        <v>92</v>
      </c>
    </row>
    <row r="1411" spans="1:19" x14ac:dyDescent="0.25">
      <c r="A1411" t="s">
        <v>44</v>
      </c>
      <c r="B1411" t="s">
        <v>3</v>
      </c>
      <c r="C1411" t="s">
        <v>32</v>
      </c>
      <c r="D1411" t="s">
        <v>33</v>
      </c>
      <c r="E1411" t="s">
        <v>177</v>
      </c>
      <c r="F1411" t="s">
        <v>35</v>
      </c>
      <c r="G1411" t="s">
        <v>35</v>
      </c>
      <c r="H1411" t="s">
        <v>35</v>
      </c>
      <c r="J1411" t="s">
        <v>181</v>
      </c>
      <c r="K1411" t="s">
        <v>37</v>
      </c>
      <c r="M1411">
        <v>8</v>
      </c>
      <c r="N1411">
        <v>63</v>
      </c>
      <c r="O1411" t="s">
        <v>61</v>
      </c>
      <c r="P1411" t="s">
        <v>186</v>
      </c>
      <c r="Q1411" t="s">
        <v>126</v>
      </c>
      <c r="R1411" t="s">
        <v>91</v>
      </c>
      <c r="S1411" t="s">
        <v>92</v>
      </c>
    </row>
    <row r="1412" spans="1:19" x14ac:dyDescent="0.25">
      <c r="A1412" t="s">
        <v>30</v>
      </c>
      <c r="B1412" t="s">
        <v>31</v>
      </c>
      <c r="C1412" t="s">
        <v>32</v>
      </c>
      <c r="D1412" t="s">
        <v>33</v>
      </c>
      <c r="E1412" t="s">
        <v>177</v>
      </c>
      <c r="F1412" t="s">
        <v>35</v>
      </c>
      <c r="G1412" t="s">
        <v>35</v>
      </c>
      <c r="H1412" t="s">
        <v>35</v>
      </c>
      <c r="J1412" t="s">
        <v>181</v>
      </c>
      <c r="K1412" t="s">
        <v>37</v>
      </c>
      <c r="M1412">
        <v>54.945</v>
      </c>
      <c r="N1412">
        <v>19</v>
      </c>
      <c r="O1412" t="s">
        <v>46</v>
      </c>
      <c r="P1412" t="s">
        <v>187</v>
      </c>
      <c r="Q1412" t="s">
        <v>94</v>
      </c>
      <c r="R1412" t="s">
        <v>91</v>
      </c>
      <c r="S1412" t="s">
        <v>92</v>
      </c>
    </row>
    <row r="1413" spans="1:19" x14ac:dyDescent="0.25">
      <c r="A1413" t="s">
        <v>30</v>
      </c>
      <c r="B1413" t="s">
        <v>31</v>
      </c>
      <c r="C1413" t="s">
        <v>32</v>
      </c>
      <c r="D1413" t="s">
        <v>33</v>
      </c>
      <c r="E1413" t="s">
        <v>177</v>
      </c>
      <c r="F1413" t="s">
        <v>35</v>
      </c>
      <c r="G1413" t="s">
        <v>35</v>
      </c>
      <c r="H1413" t="s">
        <v>35</v>
      </c>
      <c r="J1413" t="s">
        <v>181</v>
      </c>
      <c r="K1413" t="s">
        <v>37</v>
      </c>
      <c r="M1413">
        <v>7.02</v>
      </c>
      <c r="N1413">
        <v>19</v>
      </c>
      <c r="O1413" t="s">
        <v>46</v>
      </c>
      <c r="P1413" t="s">
        <v>188</v>
      </c>
      <c r="Q1413" t="s">
        <v>94</v>
      </c>
      <c r="R1413" t="s">
        <v>91</v>
      </c>
      <c r="S1413" t="s">
        <v>92</v>
      </c>
    </row>
    <row r="1414" spans="1:19" x14ac:dyDescent="0.25">
      <c r="A1414" t="s">
        <v>44</v>
      </c>
      <c r="B1414" t="s">
        <v>3</v>
      </c>
      <c r="C1414" t="s">
        <v>32</v>
      </c>
      <c r="D1414" t="s">
        <v>33</v>
      </c>
      <c r="E1414" t="s">
        <v>122</v>
      </c>
      <c r="F1414" t="s">
        <v>35</v>
      </c>
      <c r="G1414" t="s">
        <v>35</v>
      </c>
      <c r="H1414" t="s">
        <v>35</v>
      </c>
      <c r="J1414" t="s">
        <v>123</v>
      </c>
      <c r="K1414" t="s">
        <v>37</v>
      </c>
      <c r="M1414">
        <v>3.85</v>
      </c>
      <c r="N1414">
        <v>63</v>
      </c>
      <c r="O1414" t="s">
        <v>61</v>
      </c>
      <c r="P1414" t="s">
        <v>125</v>
      </c>
      <c r="Q1414" t="s">
        <v>126</v>
      </c>
      <c r="R1414" t="s">
        <v>91</v>
      </c>
      <c r="S1414" t="s">
        <v>92</v>
      </c>
    </row>
    <row r="1415" spans="1:19" x14ac:dyDescent="0.25">
      <c r="A1415" t="s">
        <v>59</v>
      </c>
      <c r="B1415" t="s">
        <v>31</v>
      </c>
      <c r="C1415" t="s">
        <v>32</v>
      </c>
      <c r="D1415" t="s">
        <v>33</v>
      </c>
      <c r="E1415" t="s">
        <v>122</v>
      </c>
      <c r="F1415" t="s">
        <v>35</v>
      </c>
      <c r="G1415" t="s">
        <v>35</v>
      </c>
      <c r="H1415" t="s">
        <v>35</v>
      </c>
      <c r="J1415" t="s">
        <v>123</v>
      </c>
      <c r="K1415" t="s">
        <v>37</v>
      </c>
      <c r="M1415">
        <v>3</v>
      </c>
      <c r="N1415">
        <v>58</v>
      </c>
      <c r="O1415" t="s">
        <v>52</v>
      </c>
      <c r="P1415" t="s">
        <v>127</v>
      </c>
      <c r="Q1415" t="s">
        <v>128</v>
      </c>
      <c r="R1415" t="s">
        <v>91</v>
      </c>
      <c r="S1415" t="s">
        <v>92</v>
      </c>
    </row>
    <row r="1416" spans="1:19" x14ac:dyDescent="0.25">
      <c r="A1416" t="s">
        <v>44</v>
      </c>
      <c r="B1416" t="s">
        <v>51</v>
      </c>
      <c r="C1416" t="s">
        <v>32</v>
      </c>
      <c r="D1416" t="s">
        <v>33</v>
      </c>
      <c r="E1416" t="s">
        <v>122</v>
      </c>
      <c r="F1416" t="s">
        <v>35</v>
      </c>
      <c r="G1416" t="s">
        <v>35</v>
      </c>
      <c r="H1416" t="s">
        <v>35</v>
      </c>
      <c r="J1416" t="s">
        <v>123</v>
      </c>
      <c r="K1416" t="s">
        <v>37</v>
      </c>
      <c r="M1416">
        <v>2.4</v>
      </c>
      <c r="N1416">
        <v>33</v>
      </c>
      <c r="O1416" t="s">
        <v>52</v>
      </c>
      <c r="P1416" t="s">
        <v>129</v>
      </c>
      <c r="Q1416" t="s">
        <v>130</v>
      </c>
      <c r="R1416" t="s">
        <v>91</v>
      </c>
      <c r="S1416" t="s">
        <v>92</v>
      </c>
    </row>
    <row r="1417" spans="1:19" x14ac:dyDescent="0.25">
      <c r="A1417" t="s">
        <v>44</v>
      </c>
      <c r="B1417" t="s">
        <v>51</v>
      </c>
      <c r="C1417" t="s">
        <v>32</v>
      </c>
      <c r="D1417" t="s">
        <v>33</v>
      </c>
      <c r="E1417" t="s">
        <v>122</v>
      </c>
      <c r="F1417" t="s">
        <v>35</v>
      </c>
      <c r="G1417" t="s">
        <v>35</v>
      </c>
      <c r="H1417" t="s">
        <v>35</v>
      </c>
      <c r="J1417" t="s">
        <v>123</v>
      </c>
      <c r="K1417" t="s">
        <v>37</v>
      </c>
      <c r="M1417">
        <v>35</v>
      </c>
      <c r="N1417">
        <v>26</v>
      </c>
      <c r="O1417" t="s">
        <v>46</v>
      </c>
      <c r="P1417" t="s">
        <v>136</v>
      </c>
      <c r="Q1417" t="s">
        <v>137</v>
      </c>
      <c r="R1417" t="s">
        <v>91</v>
      </c>
      <c r="S1417" t="s">
        <v>92</v>
      </c>
    </row>
    <row r="1418" spans="1:19" x14ac:dyDescent="0.25">
      <c r="A1418" t="s">
        <v>44</v>
      </c>
      <c r="B1418" t="s">
        <v>3</v>
      </c>
      <c r="C1418" t="s">
        <v>32</v>
      </c>
      <c r="D1418" t="s">
        <v>33</v>
      </c>
      <c r="E1418" t="s">
        <v>122</v>
      </c>
      <c r="F1418" t="s">
        <v>35</v>
      </c>
      <c r="G1418" t="s">
        <v>35</v>
      </c>
      <c r="H1418" t="s">
        <v>35</v>
      </c>
      <c r="J1418" t="s">
        <v>123</v>
      </c>
      <c r="K1418" t="s">
        <v>37</v>
      </c>
      <c r="M1418">
        <v>17</v>
      </c>
      <c r="N1418">
        <v>62</v>
      </c>
      <c r="O1418" t="s">
        <v>61</v>
      </c>
      <c r="P1418" t="s">
        <v>138</v>
      </c>
      <c r="Q1418" t="s">
        <v>139</v>
      </c>
      <c r="R1418" t="s">
        <v>91</v>
      </c>
      <c r="S1418" t="s">
        <v>92</v>
      </c>
    </row>
    <row r="1419" spans="1:19" x14ac:dyDescent="0.25">
      <c r="A1419" t="s">
        <v>44</v>
      </c>
      <c r="B1419" t="s">
        <v>51</v>
      </c>
      <c r="C1419" t="s">
        <v>32</v>
      </c>
      <c r="D1419" t="s">
        <v>33</v>
      </c>
      <c r="E1419" t="s">
        <v>122</v>
      </c>
      <c r="F1419" t="s">
        <v>35</v>
      </c>
      <c r="G1419" t="s">
        <v>35</v>
      </c>
      <c r="H1419" t="s">
        <v>35</v>
      </c>
      <c r="J1419" t="s">
        <v>123</v>
      </c>
      <c r="K1419" t="s">
        <v>37</v>
      </c>
      <c r="M1419">
        <v>50</v>
      </c>
      <c r="N1419">
        <v>33</v>
      </c>
      <c r="O1419" t="s">
        <v>52</v>
      </c>
      <c r="P1419" t="s">
        <v>140</v>
      </c>
      <c r="Q1419" t="s">
        <v>130</v>
      </c>
      <c r="R1419" t="s">
        <v>91</v>
      </c>
      <c r="S1419" t="s">
        <v>92</v>
      </c>
    </row>
    <row r="1420" spans="1:19" x14ac:dyDescent="0.25">
      <c r="A1420" t="s">
        <v>59</v>
      </c>
      <c r="B1420" t="s">
        <v>31</v>
      </c>
      <c r="C1420" t="s">
        <v>32</v>
      </c>
      <c r="D1420" t="s">
        <v>33</v>
      </c>
      <c r="E1420" t="s">
        <v>162</v>
      </c>
      <c r="F1420" t="s">
        <v>35</v>
      </c>
      <c r="G1420" t="s">
        <v>35</v>
      </c>
      <c r="H1420" t="s">
        <v>35</v>
      </c>
      <c r="J1420" t="s">
        <v>163</v>
      </c>
      <c r="K1420" t="s">
        <v>37</v>
      </c>
      <c r="M1420">
        <v>2.99</v>
      </c>
      <c r="N1420">
        <v>58</v>
      </c>
      <c r="O1420" t="s">
        <v>52</v>
      </c>
      <c r="P1420" t="s">
        <v>164</v>
      </c>
      <c r="Q1420" t="s">
        <v>128</v>
      </c>
      <c r="R1420" t="s">
        <v>91</v>
      </c>
      <c r="S1420" t="s">
        <v>92</v>
      </c>
    </row>
    <row r="1421" spans="1:19" x14ac:dyDescent="0.25">
      <c r="A1421" t="s">
        <v>30</v>
      </c>
      <c r="B1421" t="s">
        <v>31</v>
      </c>
      <c r="C1421" t="s">
        <v>32</v>
      </c>
      <c r="D1421" t="s">
        <v>33</v>
      </c>
      <c r="E1421" t="s">
        <v>162</v>
      </c>
      <c r="F1421" t="s">
        <v>35</v>
      </c>
      <c r="G1421" t="s">
        <v>35</v>
      </c>
      <c r="H1421" t="s">
        <v>35</v>
      </c>
      <c r="J1421" t="s">
        <v>163</v>
      </c>
      <c r="K1421" t="s">
        <v>37</v>
      </c>
      <c r="M1421">
        <v>28.98</v>
      </c>
      <c r="N1421">
        <v>19</v>
      </c>
      <c r="O1421" t="s">
        <v>46</v>
      </c>
      <c r="P1421" t="s">
        <v>165</v>
      </c>
      <c r="Q1421" t="s">
        <v>94</v>
      </c>
      <c r="R1421" t="s">
        <v>91</v>
      </c>
      <c r="S1421" t="s">
        <v>92</v>
      </c>
    </row>
    <row r="1422" spans="1:19" x14ac:dyDescent="0.25">
      <c r="A1422" t="s">
        <v>59</v>
      </c>
      <c r="B1422" t="s">
        <v>60</v>
      </c>
      <c r="C1422" t="s">
        <v>32</v>
      </c>
      <c r="D1422" t="s">
        <v>33</v>
      </c>
      <c r="F1422" t="s">
        <v>35</v>
      </c>
      <c r="G1422" t="s">
        <v>35</v>
      </c>
      <c r="H1422" t="s">
        <v>35</v>
      </c>
      <c r="J1422" t="s">
        <v>215</v>
      </c>
      <c r="K1422" t="s">
        <v>37</v>
      </c>
      <c r="M1422">
        <v>1</v>
      </c>
      <c r="N1422">
        <v>58</v>
      </c>
      <c r="O1422" t="s">
        <v>52</v>
      </c>
      <c r="P1422" t="s">
        <v>217</v>
      </c>
      <c r="Q1422" t="s">
        <v>128</v>
      </c>
      <c r="R1422" t="s">
        <v>91</v>
      </c>
      <c r="S1422" t="s">
        <v>92</v>
      </c>
    </row>
    <row r="1423" spans="1:19" x14ac:dyDescent="0.25">
      <c r="A1423" t="s">
        <v>30</v>
      </c>
      <c r="B1423" t="s">
        <v>31</v>
      </c>
      <c r="C1423" t="s">
        <v>32</v>
      </c>
      <c r="D1423" t="s">
        <v>33</v>
      </c>
      <c r="F1423" t="s">
        <v>35</v>
      </c>
      <c r="G1423" t="s">
        <v>35</v>
      </c>
      <c r="H1423" t="s">
        <v>35</v>
      </c>
      <c r="J1423" t="s">
        <v>215</v>
      </c>
      <c r="K1423" t="s">
        <v>37</v>
      </c>
      <c r="M1423">
        <v>16.47</v>
      </c>
      <c r="N1423">
        <v>42</v>
      </c>
      <c r="O1423" t="s">
        <v>52</v>
      </c>
      <c r="P1423" t="s">
        <v>218</v>
      </c>
      <c r="Q1423" t="s">
        <v>219</v>
      </c>
      <c r="R1423" t="s">
        <v>91</v>
      </c>
      <c r="S1423" t="s">
        <v>92</v>
      </c>
    </row>
    <row r="1424" spans="1:19" x14ac:dyDescent="0.25">
      <c r="A1424" t="s">
        <v>44</v>
      </c>
      <c r="B1424" t="s">
        <v>3</v>
      </c>
      <c r="C1424" t="s">
        <v>32</v>
      </c>
      <c r="D1424" t="s">
        <v>33</v>
      </c>
      <c r="F1424" t="s">
        <v>35</v>
      </c>
      <c r="G1424" t="s">
        <v>35</v>
      </c>
      <c r="H1424" t="s">
        <v>35</v>
      </c>
      <c r="J1424" t="s">
        <v>215</v>
      </c>
      <c r="K1424" t="s">
        <v>37</v>
      </c>
      <c r="M1424">
        <v>9</v>
      </c>
      <c r="N1424">
        <v>63</v>
      </c>
      <c r="O1424" t="s">
        <v>61</v>
      </c>
      <c r="P1424" t="s">
        <v>220</v>
      </c>
      <c r="Q1424" t="s">
        <v>126</v>
      </c>
      <c r="R1424" t="s">
        <v>91</v>
      </c>
      <c r="S1424" t="s">
        <v>92</v>
      </c>
    </row>
    <row r="1425" spans="1:20" x14ac:dyDescent="0.25">
      <c r="A1425" t="s">
        <v>59</v>
      </c>
      <c r="B1425" t="s">
        <v>31</v>
      </c>
      <c r="C1425" t="s">
        <v>32</v>
      </c>
      <c r="D1425" t="s">
        <v>33</v>
      </c>
      <c r="F1425" t="s">
        <v>35</v>
      </c>
      <c r="G1425" t="s">
        <v>35</v>
      </c>
      <c r="H1425" t="s">
        <v>35</v>
      </c>
      <c r="J1425" t="s">
        <v>215</v>
      </c>
      <c r="K1425" t="s">
        <v>37</v>
      </c>
      <c r="M1425">
        <v>5.49</v>
      </c>
      <c r="N1425">
        <v>58</v>
      </c>
      <c r="O1425" t="s">
        <v>52</v>
      </c>
      <c r="P1425" t="s">
        <v>221</v>
      </c>
      <c r="Q1425" t="s">
        <v>128</v>
      </c>
      <c r="R1425" t="s">
        <v>91</v>
      </c>
      <c r="S1425" t="s">
        <v>92</v>
      </c>
    </row>
    <row r="1426" spans="1:20" x14ac:dyDescent="0.25">
      <c r="A1426" t="s">
        <v>59</v>
      </c>
      <c r="B1426" t="s">
        <v>60</v>
      </c>
      <c r="C1426" t="s">
        <v>32</v>
      </c>
      <c r="D1426" t="s">
        <v>33</v>
      </c>
      <c r="E1426" t="s">
        <v>172</v>
      </c>
      <c r="F1426" t="s">
        <v>35</v>
      </c>
      <c r="G1426" t="s">
        <v>35</v>
      </c>
      <c r="H1426" t="s">
        <v>35</v>
      </c>
      <c r="J1426" t="s">
        <v>1955</v>
      </c>
      <c r="K1426" t="s">
        <v>1092</v>
      </c>
      <c r="M1426">
        <v>0.02</v>
      </c>
      <c r="N1426">
        <v>2659</v>
      </c>
      <c r="O1426" t="s">
        <v>575</v>
      </c>
      <c r="Q1426" t="s">
        <v>1956</v>
      </c>
      <c r="R1426" t="s">
        <v>1957</v>
      </c>
      <c r="S1426" t="s">
        <v>1958</v>
      </c>
      <c r="T1426" t="s">
        <v>1959</v>
      </c>
    </row>
    <row r="1427" spans="1:20" x14ac:dyDescent="0.25">
      <c r="A1427" t="s">
        <v>59</v>
      </c>
      <c r="B1427" t="s">
        <v>60</v>
      </c>
      <c r="C1427" t="s">
        <v>32</v>
      </c>
      <c r="D1427" t="s">
        <v>33</v>
      </c>
      <c r="E1427" t="s">
        <v>122</v>
      </c>
      <c r="F1427" t="s">
        <v>35</v>
      </c>
      <c r="G1427" t="s">
        <v>35</v>
      </c>
      <c r="H1427" t="s">
        <v>35</v>
      </c>
      <c r="J1427" t="s">
        <v>1660</v>
      </c>
      <c r="K1427" t="s">
        <v>1092</v>
      </c>
      <c r="M1427">
        <v>0.41</v>
      </c>
      <c r="N1427">
        <v>431</v>
      </c>
      <c r="O1427" t="s">
        <v>294</v>
      </c>
      <c r="Q1427" t="s">
        <v>1663</v>
      </c>
      <c r="R1427" t="s">
        <v>1664</v>
      </c>
      <c r="S1427" t="s">
        <v>1665</v>
      </c>
      <c r="T1427" t="s">
        <v>1666</v>
      </c>
    </row>
    <row r="1428" spans="1:20" x14ac:dyDescent="0.25">
      <c r="A1428" t="s">
        <v>30</v>
      </c>
      <c r="B1428" t="s">
        <v>31</v>
      </c>
      <c r="C1428" t="s">
        <v>32</v>
      </c>
      <c r="D1428" t="s">
        <v>33</v>
      </c>
      <c r="E1428" t="s">
        <v>172</v>
      </c>
      <c r="F1428" t="s">
        <v>35</v>
      </c>
      <c r="G1428" t="s">
        <v>35</v>
      </c>
      <c r="H1428" t="s">
        <v>35</v>
      </c>
      <c r="J1428" t="s">
        <v>1930</v>
      </c>
      <c r="K1428" t="s">
        <v>1092</v>
      </c>
      <c r="M1428">
        <v>0.13500000000000001</v>
      </c>
      <c r="N1428">
        <v>337</v>
      </c>
      <c r="O1428" t="s">
        <v>5</v>
      </c>
      <c r="Q1428" t="s">
        <v>1859</v>
      </c>
      <c r="R1428" t="s">
        <v>1664</v>
      </c>
      <c r="S1428" t="s">
        <v>1665</v>
      </c>
      <c r="T1428" t="s">
        <v>1666</v>
      </c>
    </row>
    <row r="1429" spans="1:20" x14ac:dyDescent="0.25">
      <c r="A1429" t="s">
        <v>59</v>
      </c>
      <c r="B1429" t="s">
        <v>60</v>
      </c>
      <c r="C1429" t="s">
        <v>32</v>
      </c>
      <c r="D1429" t="s">
        <v>33</v>
      </c>
      <c r="E1429" t="s">
        <v>172</v>
      </c>
      <c r="F1429" t="s">
        <v>35</v>
      </c>
      <c r="G1429" t="s">
        <v>35</v>
      </c>
      <c r="H1429" t="s">
        <v>35</v>
      </c>
      <c r="J1429" t="s">
        <v>1934</v>
      </c>
      <c r="K1429" t="s">
        <v>1092</v>
      </c>
      <c r="M1429">
        <v>0.27</v>
      </c>
      <c r="N1429">
        <v>426</v>
      </c>
      <c r="O1429" t="s">
        <v>294</v>
      </c>
      <c r="Q1429" t="s">
        <v>1935</v>
      </c>
      <c r="R1429" t="s">
        <v>1664</v>
      </c>
      <c r="S1429" t="s">
        <v>1665</v>
      </c>
      <c r="T1429" t="s">
        <v>1666</v>
      </c>
    </row>
    <row r="1430" spans="1:20" x14ac:dyDescent="0.25">
      <c r="A1430" t="s">
        <v>59</v>
      </c>
      <c r="B1430" t="s">
        <v>60</v>
      </c>
      <c r="C1430" t="s">
        <v>32</v>
      </c>
      <c r="D1430" t="s">
        <v>33</v>
      </c>
      <c r="E1430" t="s">
        <v>122</v>
      </c>
      <c r="F1430" t="s">
        <v>35</v>
      </c>
      <c r="G1430" t="s">
        <v>35</v>
      </c>
      <c r="H1430" t="s">
        <v>35</v>
      </c>
      <c r="J1430" t="s">
        <v>1697</v>
      </c>
      <c r="K1430" t="s">
        <v>1092</v>
      </c>
      <c r="M1430">
        <v>0.2</v>
      </c>
      <c r="N1430">
        <v>396</v>
      </c>
      <c r="O1430" t="s">
        <v>294</v>
      </c>
      <c r="Q1430" t="s">
        <v>1589</v>
      </c>
      <c r="R1430" t="s">
        <v>1664</v>
      </c>
      <c r="S1430" t="s">
        <v>1665</v>
      </c>
      <c r="T1430" t="s">
        <v>1666</v>
      </c>
    </row>
    <row r="1431" spans="1:20" x14ac:dyDescent="0.25">
      <c r="A1431" t="s">
        <v>30</v>
      </c>
      <c r="B1431" t="s">
        <v>31</v>
      </c>
      <c r="C1431" t="s">
        <v>32</v>
      </c>
      <c r="D1431" t="s">
        <v>33</v>
      </c>
      <c r="E1431" t="s">
        <v>122</v>
      </c>
      <c r="F1431" t="s">
        <v>35</v>
      </c>
      <c r="G1431" t="s">
        <v>35</v>
      </c>
      <c r="H1431" t="s">
        <v>35</v>
      </c>
      <c r="J1431" t="s">
        <v>1793</v>
      </c>
      <c r="K1431" t="s">
        <v>1092</v>
      </c>
      <c r="M1431">
        <v>1.4999999999999999E-2</v>
      </c>
      <c r="N1431">
        <v>384</v>
      </c>
      <c r="O1431" t="s">
        <v>294</v>
      </c>
      <c r="Q1431" t="s">
        <v>1794</v>
      </c>
      <c r="R1431" t="s">
        <v>1664</v>
      </c>
      <c r="S1431" t="s">
        <v>1665</v>
      </c>
      <c r="T1431" t="s">
        <v>1666</v>
      </c>
    </row>
    <row r="1432" spans="1:20" x14ac:dyDescent="0.25">
      <c r="A1432" t="s">
        <v>59</v>
      </c>
      <c r="B1432" t="s">
        <v>60</v>
      </c>
      <c r="C1432" t="s">
        <v>32</v>
      </c>
      <c r="D1432" t="s">
        <v>33</v>
      </c>
      <c r="F1432" t="s">
        <v>35</v>
      </c>
      <c r="G1432" t="s">
        <v>35</v>
      </c>
      <c r="H1432" t="s">
        <v>35</v>
      </c>
      <c r="J1432" t="s">
        <v>2287</v>
      </c>
      <c r="K1432" t="s">
        <v>1092</v>
      </c>
      <c r="M1432">
        <v>1</v>
      </c>
      <c r="N1432">
        <v>1887</v>
      </c>
      <c r="O1432" t="s">
        <v>575</v>
      </c>
      <c r="Q1432" t="s">
        <v>2288</v>
      </c>
      <c r="R1432" t="s">
        <v>1454</v>
      </c>
      <c r="S1432" t="s">
        <v>1455</v>
      </c>
      <c r="T1432" t="s">
        <v>1456</v>
      </c>
    </row>
    <row r="1433" spans="1:20" x14ac:dyDescent="0.25">
      <c r="A1433" t="s">
        <v>59</v>
      </c>
      <c r="B1433" t="s">
        <v>60</v>
      </c>
      <c r="C1433" t="s">
        <v>32</v>
      </c>
      <c r="D1433" t="s">
        <v>33</v>
      </c>
      <c r="F1433" t="s">
        <v>35</v>
      </c>
      <c r="G1433" t="s">
        <v>35</v>
      </c>
      <c r="H1433" t="s">
        <v>35</v>
      </c>
      <c r="J1433" t="s">
        <v>2287</v>
      </c>
      <c r="K1433" t="s">
        <v>1092</v>
      </c>
      <c r="M1433">
        <v>0.45</v>
      </c>
      <c r="N1433">
        <v>1937</v>
      </c>
      <c r="O1433" t="s">
        <v>575</v>
      </c>
      <c r="Q1433" t="s">
        <v>2289</v>
      </c>
      <c r="R1433" t="s">
        <v>1454</v>
      </c>
      <c r="S1433" t="s">
        <v>1455</v>
      </c>
      <c r="T1433" t="s">
        <v>1456</v>
      </c>
    </row>
    <row r="1434" spans="1:20" x14ac:dyDescent="0.25">
      <c r="A1434" t="s">
        <v>59</v>
      </c>
      <c r="B1434" t="s">
        <v>31</v>
      </c>
      <c r="C1434" t="s">
        <v>32</v>
      </c>
      <c r="D1434" t="s">
        <v>33</v>
      </c>
      <c r="E1434" t="s">
        <v>87</v>
      </c>
      <c r="F1434" t="s">
        <v>35</v>
      </c>
      <c r="G1434" t="s">
        <v>35</v>
      </c>
      <c r="H1434" t="s">
        <v>35</v>
      </c>
      <c r="J1434" t="s">
        <v>1452</v>
      </c>
      <c r="K1434" t="s">
        <v>1092</v>
      </c>
      <c r="M1434">
        <v>0.45</v>
      </c>
      <c r="N1434">
        <v>1577</v>
      </c>
      <c r="O1434" t="s">
        <v>575</v>
      </c>
      <c r="Q1434" t="s">
        <v>1453</v>
      </c>
      <c r="R1434" t="s">
        <v>1454</v>
      </c>
      <c r="S1434" t="s">
        <v>1455</v>
      </c>
      <c r="T1434" t="s">
        <v>1456</v>
      </c>
    </row>
    <row r="1435" spans="1:20" x14ac:dyDescent="0.25">
      <c r="A1435" t="s">
        <v>59</v>
      </c>
      <c r="B1435" t="s">
        <v>60</v>
      </c>
      <c r="C1435" t="s">
        <v>32</v>
      </c>
      <c r="D1435" t="s">
        <v>33</v>
      </c>
      <c r="E1435" t="s">
        <v>87</v>
      </c>
      <c r="F1435" t="s">
        <v>35</v>
      </c>
      <c r="G1435" t="s">
        <v>35</v>
      </c>
      <c r="H1435" t="s">
        <v>35</v>
      </c>
      <c r="J1435" t="s">
        <v>1452</v>
      </c>
      <c r="K1435" t="s">
        <v>1092</v>
      </c>
      <c r="M1435">
        <v>0.05</v>
      </c>
      <c r="N1435">
        <v>1620</v>
      </c>
      <c r="O1435" t="s">
        <v>575</v>
      </c>
      <c r="Q1435" t="s">
        <v>1457</v>
      </c>
      <c r="R1435" t="s">
        <v>1454</v>
      </c>
      <c r="S1435" t="s">
        <v>1455</v>
      </c>
      <c r="T1435" t="s">
        <v>1456</v>
      </c>
    </row>
    <row r="1436" spans="1:20" x14ac:dyDescent="0.25">
      <c r="A1436" t="s">
        <v>59</v>
      </c>
      <c r="B1436" t="s">
        <v>60</v>
      </c>
      <c r="C1436" t="s">
        <v>32</v>
      </c>
      <c r="D1436" t="s">
        <v>33</v>
      </c>
      <c r="E1436" t="s">
        <v>1572</v>
      </c>
      <c r="F1436" t="s">
        <v>35</v>
      </c>
      <c r="G1436" t="s">
        <v>35</v>
      </c>
      <c r="H1436" t="s">
        <v>35</v>
      </c>
      <c r="J1436" t="s">
        <v>1573</v>
      </c>
      <c r="K1436" t="s">
        <v>1092</v>
      </c>
      <c r="M1436">
        <v>2.7</v>
      </c>
      <c r="N1436">
        <v>75</v>
      </c>
      <c r="O1436" t="s">
        <v>61</v>
      </c>
      <c r="Q1436" t="s">
        <v>447</v>
      </c>
      <c r="R1436" t="s">
        <v>1122</v>
      </c>
      <c r="S1436" t="s">
        <v>95</v>
      </c>
      <c r="T1436" t="s">
        <v>96</v>
      </c>
    </row>
    <row r="1437" spans="1:20" x14ac:dyDescent="0.25">
      <c r="A1437" t="s">
        <v>59</v>
      </c>
      <c r="B1437" t="s">
        <v>60</v>
      </c>
      <c r="C1437" t="s">
        <v>32</v>
      </c>
      <c r="D1437" t="s">
        <v>33</v>
      </c>
      <c r="E1437" t="s">
        <v>34</v>
      </c>
      <c r="F1437" t="s">
        <v>35</v>
      </c>
      <c r="G1437" t="s">
        <v>35</v>
      </c>
      <c r="H1437" t="s">
        <v>35</v>
      </c>
      <c r="J1437" t="s">
        <v>1121</v>
      </c>
      <c r="K1437" t="s">
        <v>1092</v>
      </c>
      <c r="M1437">
        <v>0.95</v>
      </c>
      <c r="N1437">
        <v>25</v>
      </c>
      <c r="O1437" t="s">
        <v>46</v>
      </c>
      <c r="Q1437" t="s">
        <v>547</v>
      </c>
      <c r="R1437" t="s">
        <v>1122</v>
      </c>
      <c r="S1437" t="s">
        <v>95</v>
      </c>
      <c r="T1437" t="s">
        <v>96</v>
      </c>
    </row>
    <row r="1438" spans="1:20" x14ac:dyDescent="0.25">
      <c r="A1438" t="s">
        <v>59</v>
      </c>
      <c r="B1438" t="s">
        <v>60</v>
      </c>
      <c r="C1438" t="s">
        <v>32</v>
      </c>
      <c r="D1438" t="s">
        <v>33</v>
      </c>
      <c r="E1438" t="s">
        <v>34</v>
      </c>
      <c r="F1438" t="s">
        <v>35</v>
      </c>
      <c r="G1438" t="s">
        <v>35</v>
      </c>
      <c r="H1438" t="s">
        <v>35</v>
      </c>
      <c r="J1438" t="s">
        <v>1121</v>
      </c>
      <c r="K1438" t="s">
        <v>1092</v>
      </c>
      <c r="M1438">
        <v>0.35</v>
      </c>
      <c r="N1438">
        <v>42</v>
      </c>
      <c r="O1438" t="s">
        <v>52</v>
      </c>
      <c r="Q1438" t="s">
        <v>219</v>
      </c>
      <c r="R1438" t="s">
        <v>1122</v>
      </c>
      <c r="S1438" t="s">
        <v>95</v>
      </c>
      <c r="T1438" t="s">
        <v>96</v>
      </c>
    </row>
    <row r="1439" spans="1:20" x14ac:dyDescent="0.25">
      <c r="A1439" t="s">
        <v>59</v>
      </c>
      <c r="B1439" t="s">
        <v>60</v>
      </c>
      <c r="C1439" t="s">
        <v>32</v>
      </c>
      <c r="D1439" t="s">
        <v>33</v>
      </c>
      <c r="E1439" t="s">
        <v>1520</v>
      </c>
      <c r="F1439" t="s">
        <v>35</v>
      </c>
      <c r="G1439" t="s">
        <v>35</v>
      </c>
      <c r="H1439" t="s">
        <v>35</v>
      </c>
      <c r="J1439" t="s">
        <v>1540</v>
      </c>
      <c r="K1439" t="s">
        <v>1092</v>
      </c>
      <c r="M1439">
        <v>0.5</v>
      </c>
      <c r="N1439">
        <v>75</v>
      </c>
      <c r="O1439" t="s">
        <v>61</v>
      </c>
      <c r="Q1439" t="s">
        <v>447</v>
      </c>
      <c r="R1439" t="s">
        <v>1122</v>
      </c>
      <c r="S1439" t="s">
        <v>95</v>
      </c>
      <c r="T1439" t="s">
        <v>96</v>
      </c>
    </row>
    <row r="1440" spans="1:20" x14ac:dyDescent="0.25">
      <c r="A1440" t="s">
        <v>59</v>
      </c>
      <c r="B1440" t="s">
        <v>60</v>
      </c>
      <c r="C1440" t="s">
        <v>32</v>
      </c>
      <c r="D1440" t="s">
        <v>33</v>
      </c>
      <c r="E1440" t="s">
        <v>87</v>
      </c>
      <c r="F1440" t="s">
        <v>35</v>
      </c>
      <c r="G1440" t="s">
        <v>35</v>
      </c>
      <c r="H1440" t="s">
        <v>35</v>
      </c>
      <c r="J1440" t="s">
        <v>1448</v>
      </c>
      <c r="K1440" t="s">
        <v>1092</v>
      </c>
      <c r="M1440">
        <v>1.85</v>
      </c>
      <c r="N1440">
        <v>122</v>
      </c>
      <c r="O1440" t="s">
        <v>38</v>
      </c>
      <c r="Q1440" t="s">
        <v>1449</v>
      </c>
      <c r="R1440" t="s">
        <v>1122</v>
      </c>
      <c r="S1440" t="s">
        <v>95</v>
      </c>
      <c r="T1440" t="s">
        <v>96</v>
      </c>
    </row>
    <row r="1441" spans="1:20" x14ac:dyDescent="0.25">
      <c r="A1441" t="s">
        <v>59</v>
      </c>
      <c r="B1441" t="s">
        <v>60</v>
      </c>
      <c r="C1441" t="s">
        <v>32</v>
      </c>
      <c r="D1441" t="s">
        <v>33</v>
      </c>
      <c r="E1441" t="s">
        <v>87</v>
      </c>
      <c r="F1441" t="s">
        <v>35</v>
      </c>
      <c r="G1441" t="s">
        <v>35</v>
      </c>
      <c r="H1441" t="s">
        <v>35</v>
      </c>
      <c r="J1441" t="s">
        <v>1448</v>
      </c>
      <c r="K1441" t="s">
        <v>1092</v>
      </c>
      <c r="M1441">
        <v>1</v>
      </c>
      <c r="N1441">
        <v>101</v>
      </c>
      <c r="O1441" t="s">
        <v>106</v>
      </c>
      <c r="Q1441" t="s">
        <v>1450</v>
      </c>
      <c r="R1441" t="s">
        <v>1122</v>
      </c>
      <c r="S1441" t="s">
        <v>95</v>
      </c>
      <c r="T1441" t="s">
        <v>96</v>
      </c>
    </row>
    <row r="1442" spans="1:20" x14ac:dyDescent="0.25">
      <c r="A1442" t="s">
        <v>59</v>
      </c>
      <c r="B1442" t="s">
        <v>60</v>
      </c>
      <c r="C1442" t="s">
        <v>32</v>
      </c>
      <c r="D1442" t="s">
        <v>33</v>
      </c>
      <c r="E1442" t="s">
        <v>87</v>
      </c>
      <c r="F1442" t="s">
        <v>35</v>
      </c>
      <c r="G1442" t="s">
        <v>35</v>
      </c>
      <c r="H1442" t="s">
        <v>35</v>
      </c>
      <c r="J1442" t="s">
        <v>1451</v>
      </c>
      <c r="K1442" t="s">
        <v>1092</v>
      </c>
      <c r="M1442">
        <v>1</v>
      </c>
      <c r="N1442">
        <v>55</v>
      </c>
      <c r="O1442" t="s">
        <v>52</v>
      </c>
      <c r="Q1442" t="s">
        <v>90</v>
      </c>
      <c r="R1442" t="s">
        <v>1122</v>
      </c>
      <c r="S1442" t="s">
        <v>95</v>
      </c>
      <c r="T1442" t="s">
        <v>96</v>
      </c>
    </row>
    <row r="1443" spans="1:20" x14ac:dyDescent="0.25">
      <c r="A1443" t="s">
        <v>59</v>
      </c>
      <c r="B1443" t="s">
        <v>60</v>
      </c>
      <c r="C1443" t="s">
        <v>32</v>
      </c>
      <c r="D1443" t="s">
        <v>33</v>
      </c>
      <c r="E1443" t="s">
        <v>87</v>
      </c>
      <c r="F1443" t="s">
        <v>35</v>
      </c>
      <c r="G1443" t="s">
        <v>35</v>
      </c>
      <c r="H1443" t="s">
        <v>35</v>
      </c>
      <c r="J1443" t="s">
        <v>1514</v>
      </c>
      <c r="K1443" t="s">
        <v>1092</v>
      </c>
      <c r="M1443">
        <v>1.05</v>
      </c>
      <c r="N1443">
        <v>25</v>
      </c>
      <c r="O1443" t="s">
        <v>46</v>
      </c>
      <c r="Q1443" t="s">
        <v>547</v>
      </c>
      <c r="R1443" t="s">
        <v>1122</v>
      </c>
      <c r="S1443" t="s">
        <v>95</v>
      </c>
      <c r="T1443" t="s">
        <v>96</v>
      </c>
    </row>
    <row r="1444" spans="1:20" x14ac:dyDescent="0.25">
      <c r="A1444" t="s">
        <v>59</v>
      </c>
      <c r="B1444" t="s">
        <v>60</v>
      </c>
      <c r="C1444" t="s">
        <v>32</v>
      </c>
      <c r="D1444" t="s">
        <v>33</v>
      </c>
      <c r="E1444" t="s">
        <v>87</v>
      </c>
      <c r="F1444" t="s">
        <v>35</v>
      </c>
      <c r="G1444" t="s">
        <v>35</v>
      </c>
      <c r="H1444" t="s">
        <v>35</v>
      </c>
      <c r="J1444" t="s">
        <v>1517</v>
      </c>
      <c r="K1444" t="s">
        <v>1092</v>
      </c>
      <c r="M1444">
        <v>4.9000000000000002E-2</v>
      </c>
      <c r="N1444">
        <v>660</v>
      </c>
      <c r="O1444" t="s">
        <v>575</v>
      </c>
      <c r="Q1444" t="s">
        <v>1518</v>
      </c>
      <c r="R1444" t="s">
        <v>1122</v>
      </c>
      <c r="S1444" t="s">
        <v>95</v>
      </c>
      <c r="T1444" t="s">
        <v>96</v>
      </c>
    </row>
    <row r="1445" spans="1:20" x14ac:dyDescent="0.25">
      <c r="A1445" t="s">
        <v>59</v>
      </c>
      <c r="B1445" t="s">
        <v>60</v>
      </c>
      <c r="C1445" t="s">
        <v>32</v>
      </c>
      <c r="D1445" t="s">
        <v>33</v>
      </c>
      <c r="E1445" t="s">
        <v>119</v>
      </c>
      <c r="F1445" t="s">
        <v>35</v>
      </c>
      <c r="G1445" t="s">
        <v>35</v>
      </c>
      <c r="H1445" t="s">
        <v>35</v>
      </c>
      <c r="J1445" t="s">
        <v>1624</v>
      </c>
      <c r="K1445" t="s">
        <v>1092</v>
      </c>
      <c r="M1445">
        <v>0.05</v>
      </c>
      <c r="N1445">
        <v>821</v>
      </c>
      <c r="O1445" t="s">
        <v>575</v>
      </c>
      <c r="Q1445" t="s">
        <v>1625</v>
      </c>
      <c r="R1445" t="s">
        <v>118</v>
      </c>
      <c r="S1445" t="s">
        <v>65</v>
      </c>
      <c r="T1445" t="s">
        <v>66</v>
      </c>
    </row>
    <row r="1446" spans="1:20" x14ac:dyDescent="0.25">
      <c r="A1446" t="s">
        <v>30</v>
      </c>
      <c r="B1446" t="s">
        <v>31</v>
      </c>
      <c r="C1446" t="s">
        <v>32</v>
      </c>
      <c r="D1446" t="s">
        <v>33</v>
      </c>
      <c r="E1446" t="s">
        <v>162</v>
      </c>
      <c r="F1446" t="s">
        <v>35</v>
      </c>
      <c r="G1446" t="s">
        <v>35</v>
      </c>
      <c r="H1446" t="s">
        <v>35</v>
      </c>
      <c r="J1446" t="s">
        <v>166</v>
      </c>
      <c r="K1446" t="s">
        <v>37</v>
      </c>
      <c r="M1446">
        <v>10.98</v>
      </c>
      <c r="N1446">
        <v>105</v>
      </c>
      <c r="O1446" t="s">
        <v>106</v>
      </c>
      <c r="P1446" t="s">
        <v>170</v>
      </c>
      <c r="Q1446" t="s">
        <v>171</v>
      </c>
      <c r="R1446" t="s">
        <v>118</v>
      </c>
      <c r="S1446" t="s">
        <v>65</v>
      </c>
      <c r="T1446" t="s">
        <v>66</v>
      </c>
    </row>
    <row r="1447" spans="1:20" x14ac:dyDescent="0.25">
      <c r="A1447" t="s">
        <v>59</v>
      </c>
      <c r="B1447" t="s">
        <v>31</v>
      </c>
      <c r="C1447" t="s">
        <v>32</v>
      </c>
      <c r="D1447" t="s">
        <v>33</v>
      </c>
      <c r="E1447" t="s">
        <v>177</v>
      </c>
      <c r="F1447" t="s">
        <v>35</v>
      </c>
      <c r="G1447" t="s">
        <v>35</v>
      </c>
      <c r="H1447" t="s">
        <v>35</v>
      </c>
      <c r="J1447" t="s">
        <v>1986</v>
      </c>
      <c r="K1447" t="s">
        <v>1092</v>
      </c>
      <c r="M1447">
        <v>1.4850000000000001</v>
      </c>
      <c r="N1447">
        <v>119</v>
      </c>
      <c r="O1447" t="s">
        <v>106</v>
      </c>
      <c r="Q1447" t="s">
        <v>1813</v>
      </c>
      <c r="R1447" t="s">
        <v>118</v>
      </c>
      <c r="S1447" t="s">
        <v>65</v>
      </c>
      <c r="T1447" t="s">
        <v>66</v>
      </c>
    </row>
    <row r="1448" spans="1:20" x14ac:dyDescent="0.25">
      <c r="A1448" t="s">
        <v>59</v>
      </c>
      <c r="B1448" t="s">
        <v>60</v>
      </c>
      <c r="C1448" t="s">
        <v>32</v>
      </c>
      <c r="D1448" t="s">
        <v>33</v>
      </c>
      <c r="E1448" t="s">
        <v>177</v>
      </c>
      <c r="F1448" t="s">
        <v>35</v>
      </c>
      <c r="G1448" t="s">
        <v>35</v>
      </c>
      <c r="H1448" t="s">
        <v>35</v>
      </c>
      <c r="J1448" t="s">
        <v>1986</v>
      </c>
      <c r="K1448" t="s">
        <v>1092</v>
      </c>
      <c r="M1448">
        <v>0.2</v>
      </c>
      <c r="N1448">
        <v>128</v>
      </c>
      <c r="O1448" t="s">
        <v>38</v>
      </c>
      <c r="Q1448" t="s">
        <v>98</v>
      </c>
      <c r="R1448" t="s">
        <v>118</v>
      </c>
      <c r="S1448" t="s">
        <v>65</v>
      </c>
      <c r="T1448" t="s">
        <v>66</v>
      </c>
    </row>
    <row r="1449" spans="1:20" x14ac:dyDescent="0.25">
      <c r="A1449" t="s">
        <v>59</v>
      </c>
      <c r="B1449" t="s">
        <v>31</v>
      </c>
      <c r="C1449" t="s">
        <v>32</v>
      </c>
      <c r="D1449" t="s">
        <v>33</v>
      </c>
      <c r="F1449" t="s">
        <v>35</v>
      </c>
      <c r="G1449" t="s">
        <v>35</v>
      </c>
      <c r="H1449" t="s">
        <v>35</v>
      </c>
      <c r="J1449" t="s">
        <v>2304</v>
      </c>
      <c r="K1449" t="s">
        <v>1092</v>
      </c>
      <c r="M1449">
        <v>0.72</v>
      </c>
      <c r="N1449">
        <v>56</v>
      </c>
      <c r="O1449" t="s">
        <v>52</v>
      </c>
      <c r="Q1449" t="s">
        <v>423</v>
      </c>
      <c r="R1449" t="s">
        <v>118</v>
      </c>
      <c r="S1449" t="s">
        <v>65</v>
      </c>
      <c r="T1449" t="s">
        <v>66</v>
      </c>
    </row>
    <row r="1450" spans="1:20" x14ac:dyDescent="0.25">
      <c r="A1450" t="s">
        <v>59</v>
      </c>
      <c r="B1450" t="s">
        <v>60</v>
      </c>
      <c r="C1450" t="s">
        <v>32</v>
      </c>
      <c r="D1450" t="s">
        <v>33</v>
      </c>
      <c r="E1450" t="s">
        <v>204</v>
      </c>
      <c r="F1450" t="s">
        <v>35</v>
      </c>
      <c r="G1450" t="s">
        <v>35</v>
      </c>
      <c r="H1450" t="s">
        <v>35</v>
      </c>
      <c r="J1450" t="s">
        <v>2120</v>
      </c>
      <c r="K1450" t="s">
        <v>1092</v>
      </c>
      <c r="M1450">
        <v>0.65</v>
      </c>
      <c r="N1450">
        <v>136</v>
      </c>
      <c r="O1450" t="s">
        <v>38</v>
      </c>
      <c r="Q1450" t="s">
        <v>2121</v>
      </c>
      <c r="R1450" t="s">
        <v>118</v>
      </c>
      <c r="S1450" t="s">
        <v>65</v>
      </c>
      <c r="T1450" t="s">
        <v>66</v>
      </c>
    </row>
    <row r="1451" spans="1:20" x14ac:dyDescent="0.25">
      <c r="A1451" t="s">
        <v>59</v>
      </c>
      <c r="B1451" t="s">
        <v>60</v>
      </c>
      <c r="C1451" t="s">
        <v>32</v>
      </c>
      <c r="D1451" t="s">
        <v>33</v>
      </c>
      <c r="E1451" t="s">
        <v>64</v>
      </c>
      <c r="F1451" t="s">
        <v>35</v>
      </c>
      <c r="G1451" t="s">
        <v>35</v>
      </c>
      <c r="H1451" t="s">
        <v>35</v>
      </c>
      <c r="J1451" t="s">
        <v>1213</v>
      </c>
      <c r="K1451" t="s">
        <v>1092</v>
      </c>
      <c r="M1451">
        <v>0.01</v>
      </c>
      <c r="N1451">
        <v>1076</v>
      </c>
      <c r="O1451" t="s">
        <v>575</v>
      </c>
      <c r="Q1451" t="s">
        <v>1214</v>
      </c>
      <c r="R1451" t="s">
        <v>118</v>
      </c>
      <c r="S1451" t="s">
        <v>65</v>
      </c>
      <c r="T1451" t="s">
        <v>66</v>
      </c>
    </row>
    <row r="1452" spans="1:20" x14ac:dyDescent="0.25">
      <c r="A1452" t="s">
        <v>59</v>
      </c>
      <c r="B1452" t="s">
        <v>60</v>
      </c>
      <c r="C1452" t="s">
        <v>32</v>
      </c>
      <c r="D1452" t="s">
        <v>33</v>
      </c>
      <c r="E1452" t="s">
        <v>64</v>
      </c>
      <c r="F1452" t="s">
        <v>35</v>
      </c>
      <c r="G1452" t="s">
        <v>35</v>
      </c>
      <c r="H1452" t="s">
        <v>35</v>
      </c>
      <c r="J1452" t="s">
        <v>1263</v>
      </c>
      <c r="K1452" t="s">
        <v>1092</v>
      </c>
      <c r="M1452">
        <v>0.75</v>
      </c>
      <c r="N1452">
        <v>128</v>
      </c>
      <c r="O1452" t="s">
        <v>38</v>
      </c>
      <c r="Q1452" t="s">
        <v>98</v>
      </c>
      <c r="R1452" t="s">
        <v>118</v>
      </c>
      <c r="S1452" t="s">
        <v>65</v>
      </c>
      <c r="T1452" t="s">
        <v>66</v>
      </c>
    </row>
    <row r="1453" spans="1:20" x14ac:dyDescent="0.25">
      <c r="A1453" t="s">
        <v>59</v>
      </c>
      <c r="B1453" t="s">
        <v>60</v>
      </c>
      <c r="C1453" t="s">
        <v>32</v>
      </c>
      <c r="D1453" t="s">
        <v>33</v>
      </c>
      <c r="E1453" t="s">
        <v>64</v>
      </c>
      <c r="F1453" t="s">
        <v>35</v>
      </c>
      <c r="G1453" t="s">
        <v>35</v>
      </c>
      <c r="H1453" t="s">
        <v>35</v>
      </c>
      <c r="J1453" t="s">
        <v>1263</v>
      </c>
      <c r="K1453" t="s">
        <v>1092</v>
      </c>
      <c r="M1453">
        <v>0.3</v>
      </c>
      <c r="N1453">
        <v>265</v>
      </c>
      <c r="O1453" t="s">
        <v>5</v>
      </c>
      <c r="Q1453" t="s">
        <v>1264</v>
      </c>
      <c r="R1453" t="s">
        <v>118</v>
      </c>
      <c r="S1453" t="s">
        <v>65</v>
      </c>
      <c r="T1453" t="s">
        <v>66</v>
      </c>
    </row>
    <row r="1454" spans="1:20" x14ac:dyDescent="0.25">
      <c r="A1454" t="s">
        <v>30</v>
      </c>
      <c r="B1454" t="s">
        <v>31</v>
      </c>
      <c r="C1454" t="s">
        <v>32</v>
      </c>
      <c r="D1454" t="s">
        <v>33</v>
      </c>
      <c r="E1454" t="s">
        <v>177</v>
      </c>
      <c r="F1454" t="s">
        <v>35</v>
      </c>
      <c r="G1454" t="s">
        <v>35</v>
      </c>
      <c r="H1454" t="s">
        <v>35</v>
      </c>
      <c r="J1454" t="s">
        <v>2003</v>
      </c>
      <c r="K1454" t="s">
        <v>1092</v>
      </c>
      <c r="M1454">
        <v>0.09</v>
      </c>
      <c r="N1454">
        <v>259</v>
      </c>
      <c r="O1454" t="s">
        <v>5</v>
      </c>
      <c r="Q1454" t="s">
        <v>117</v>
      </c>
      <c r="R1454" t="s">
        <v>118</v>
      </c>
      <c r="S1454" t="s">
        <v>65</v>
      </c>
      <c r="T1454" t="s">
        <v>66</v>
      </c>
    </row>
    <row r="1455" spans="1:20" x14ac:dyDescent="0.25">
      <c r="A1455" t="s">
        <v>59</v>
      </c>
      <c r="B1455" t="s">
        <v>31</v>
      </c>
      <c r="C1455" t="s">
        <v>32</v>
      </c>
      <c r="D1455" t="s">
        <v>33</v>
      </c>
      <c r="E1455" t="s">
        <v>204</v>
      </c>
      <c r="F1455" t="s">
        <v>35</v>
      </c>
      <c r="G1455" t="s">
        <v>35</v>
      </c>
      <c r="H1455" t="s">
        <v>35</v>
      </c>
      <c r="J1455" t="s">
        <v>1121</v>
      </c>
      <c r="K1455" t="s">
        <v>1092</v>
      </c>
      <c r="M1455">
        <v>1.8</v>
      </c>
      <c r="N1455">
        <v>69</v>
      </c>
      <c r="O1455" t="s">
        <v>61</v>
      </c>
      <c r="Q1455" t="s">
        <v>234</v>
      </c>
      <c r="R1455" t="s">
        <v>118</v>
      </c>
      <c r="S1455" t="s">
        <v>65</v>
      </c>
      <c r="T1455" t="s">
        <v>66</v>
      </c>
    </row>
    <row r="1456" spans="1:20" x14ac:dyDescent="0.25">
      <c r="A1456" t="s">
        <v>59</v>
      </c>
      <c r="B1456" t="s">
        <v>60</v>
      </c>
      <c r="C1456" t="s">
        <v>32</v>
      </c>
      <c r="D1456" t="s">
        <v>33</v>
      </c>
      <c r="E1456" t="s">
        <v>204</v>
      </c>
      <c r="F1456" t="s">
        <v>35</v>
      </c>
      <c r="G1456" t="s">
        <v>35</v>
      </c>
      <c r="H1456" t="s">
        <v>35</v>
      </c>
      <c r="J1456" t="s">
        <v>2125</v>
      </c>
      <c r="K1456" t="s">
        <v>1092</v>
      </c>
      <c r="M1456">
        <v>0.35</v>
      </c>
      <c r="N1456">
        <v>90</v>
      </c>
      <c r="O1456" t="s">
        <v>61</v>
      </c>
      <c r="Q1456" t="s">
        <v>557</v>
      </c>
      <c r="R1456" t="s">
        <v>118</v>
      </c>
      <c r="S1456" t="s">
        <v>65</v>
      </c>
      <c r="T1456" t="s">
        <v>66</v>
      </c>
    </row>
    <row r="1457" spans="1:20" x14ac:dyDescent="0.25">
      <c r="A1457" t="s">
        <v>59</v>
      </c>
      <c r="B1457" t="s">
        <v>60</v>
      </c>
      <c r="C1457" t="s">
        <v>32</v>
      </c>
      <c r="D1457" t="s">
        <v>33</v>
      </c>
      <c r="E1457" t="s">
        <v>64</v>
      </c>
      <c r="F1457" t="s">
        <v>35</v>
      </c>
      <c r="G1457" t="s">
        <v>35</v>
      </c>
      <c r="H1457" t="s">
        <v>35</v>
      </c>
      <c r="J1457" t="s">
        <v>1235</v>
      </c>
      <c r="K1457" t="s">
        <v>1092</v>
      </c>
      <c r="M1457">
        <v>0.2</v>
      </c>
      <c r="N1457">
        <v>665</v>
      </c>
      <c r="O1457" t="s">
        <v>575</v>
      </c>
      <c r="Q1457" t="s">
        <v>1236</v>
      </c>
      <c r="R1457" t="s">
        <v>118</v>
      </c>
      <c r="S1457" t="s">
        <v>65</v>
      </c>
      <c r="T1457" t="s">
        <v>66</v>
      </c>
    </row>
    <row r="1458" spans="1:20" x14ac:dyDescent="0.25">
      <c r="A1458" t="s">
        <v>59</v>
      </c>
      <c r="B1458" t="s">
        <v>31</v>
      </c>
      <c r="C1458" t="s">
        <v>32</v>
      </c>
      <c r="D1458" t="s">
        <v>33</v>
      </c>
      <c r="E1458" t="s">
        <v>1520</v>
      </c>
      <c r="F1458" t="s">
        <v>35</v>
      </c>
      <c r="G1458" t="s">
        <v>35</v>
      </c>
      <c r="H1458" t="s">
        <v>35</v>
      </c>
      <c r="J1458" t="s">
        <v>1547</v>
      </c>
      <c r="K1458" t="s">
        <v>1092</v>
      </c>
      <c r="M1458">
        <v>1.1879999999999999</v>
      </c>
      <c r="N1458">
        <v>158</v>
      </c>
      <c r="O1458" t="s">
        <v>38</v>
      </c>
      <c r="Q1458" t="s">
        <v>1548</v>
      </c>
      <c r="R1458" t="s">
        <v>118</v>
      </c>
      <c r="S1458" t="s">
        <v>65</v>
      </c>
      <c r="T1458" t="s">
        <v>66</v>
      </c>
    </row>
    <row r="1459" spans="1:20" x14ac:dyDescent="0.25">
      <c r="A1459" t="s">
        <v>30</v>
      </c>
      <c r="B1459" t="s">
        <v>31</v>
      </c>
      <c r="C1459" t="s">
        <v>32</v>
      </c>
      <c r="D1459" t="s">
        <v>33</v>
      </c>
      <c r="E1459" t="s">
        <v>172</v>
      </c>
      <c r="F1459" t="s">
        <v>35</v>
      </c>
      <c r="G1459" t="s">
        <v>35</v>
      </c>
      <c r="H1459" t="s">
        <v>35</v>
      </c>
      <c r="J1459" t="s">
        <v>1969</v>
      </c>
      <c r="K1459" t="s">
        <v>1092</v>
      </c>
      <c r="M1459">
        <v>0.19</v>
      </c>
      <c r="N1459">
        <v>413</v>
      </c>
      <c r="O1459" t="s">
        <v>294</v>
      </c>
      <c r="Q1459" t="s">
        <v>1643</v>
      </c>
      <c r="R1459" t="s">
        <v>118</v>
      </c>
      <c r="S1459" t="s">
        <v>65</v>
      </c>
      <c r="T1459" t="s">
        <v>66</v>
      </c>
    </row>
    <row r="1460" spans="1:20" x14ac:dyDescent="0.25">
      <c r="A1460" t="s">
        <v>30</v>
      </c>
      <c r="B1460" t="s">
        <v>31</v>
      </c>
      <c r="C1460" t="s">
        <v>32</v>
      </c>
      <c r="D1460" t="s">
        <v>33</v>
      </c>
      <c r="E1460" t="s">
        <v>114</v>
      </c>
      <c r="F1460" t="s">
        <v>35</v>
      </c>
      <c r="G1460" t="s">
        <v>35</v>
      </c>
      <c r="H1460" t="s">
        <v>35</v>
      </c>
      <c r="J1460" t="s">
        <v>115</v>
      </c>
      <c r="K1460" t="s">
        <v>37</v>
      </c>
      <c r="M1460">
        <v>10.08</v>
      </c>
      <c r="N1460">
        <v>259</v>
      </c>
      <c r="O1460" t="s">
        <v>5</v>
      </c>
      <c r="P1460" t="s">
        <v>116</v>
      </c>
      <c r="Q1460" t="s">
        <v>117</v>
      </c>
      <c r="R1460" t="s">
        <v>118</v>
      </c>
      <c r="S1460" t="s">
        <v>65</v>
      </c>
      <c r="T1460" t="s">
        <v>66</v>
      </c>
    </row>
    <row r="1461" spans="1:20" x14ac:dyDescent="0.25">
      <c r="A1461" t="s">
        <v>59</v>
      </c>
      <c r="B1461" t="s">
        <v>60</v>
      </c>
      <c r="C1461" t="s">
        <v>32</v>
      </c>
      <c r="D1461" t="s">
        <v>33</v>
      </c>
      <c r="F1461" t="s">
        <v>35</v>
      </c>
      <c r="G1461" t="s">
        <v>35</v>
      </c>
      <c r="H1461" t="s">
        <v>35</v>
      </c>
      <c r="J1461" t="s">
        <v>2352</v>
      </c>
      <c r="K1461" t="s">
        <v>1092</v>
      </c>
      <c r="M1461">
        <v>0.15</v>
      </c>
      <c r="N1461">
        <v>2245</v>
      </c>
      <c r="O1461" t="s">
        <v>575</v>
      </c>
      <c r="Q1461" t="s">
        <v>2353</v>
      </c>
      <c r="R1461" t="s">
        <v>118</v>
      </c>
      <c r="S1461" t="s">
        <v>65</v>
      </c>
      <c r="T1461" t="s">
        <v>66</v>
      </c>
    </row>
    <row r="1462" spans="1:20" x14ac:dyDescent="0.25">
      <c r="A1462" t="s">
        <v>59</v>
      </c>
      <c r="B1462" t="s">
        <v>60</v>
      </c>
      <c r="C1462" t="s">
        <v>32</v>
      </c>
      <c r="D1462" t="s">
        <v>33</v>
      </c>
      <c r="F1462" t="s">
        <v>35</v>
      </c>
      <c r="G1462" t="s">
        <v>35</v>
      </c>
      <c r="H1462" t="s">
        <v>35</v>
      </c>
      <c r="J1462" t="s">
        <v>2352</v>
      </c>
      <c r="K1462" t="s">
        <v>1092</v>
      </c>
      <c r="M1462">
        <v>0.1</v>
      </c>
      <c r="N1462">
        <v>2256</v>
      </c>
      <c r="O1462" t="s">
        <v>575</v>
      </c>
      <c r="Q1462" t="s">
        <v>2354</v>
      </c>
      <c r="R1462" t="s">
        <v>118</v>
      </c>
      <c r="S1462" t="s">
        <v>65</v>
      </c>
      <c r="T1462" t="s">
        <v>66</v>
      </c>
    </row>
    <row r="1463" spans="1:20" x14ac:dyDescent="0.25">
      <c r="A1463" t="s">
        <v>59</v>
      </c>
      <c r="B1463" t="s">
        <v>60</v>
      </c>
      <c r="C1463" t="s">
        <v>32</v>
      </c>
      <c r="D1463" t="s">
        <v>33</v>
      </c>
      <c r="F1463" t="s">
        <v>35</v>
      </c>
      <c r="G1463" t="s">
        <v>35</v>
      </c>
      <c r="H1463" t="s">
        <v>35</v>
      </c>
      <c r="J1463" t="s">
        <v>2352</v>
      </c>
      <c r="K1463" t="s">
        <v>1092</v>
      </c>
      <c r="M1463">
        <v>0.25</v>
      </c>
      <c r="N1463">
        <v>2192</v>
      </c>
      <c r="O1463" t="s">
        <v>575</v>
      </c>
      <c r="Q1463" t="s">
        <v>2355</v>
      </c>
      <c r="R1463" t="s">
        <v>118</v>
      </c>
      <c r="S1463" t="s">
        <v>65</v>
      </c>
      <c r="T1463" t="s">
        <v>66</v>
      </c>
    </row>
    <row r="1464" spans="1:20" x14ac:dyDescent="0.25">
      <c r="A1464" t="s">
        <v>59</v>
      </c>
      <c r="B1464" t="s">
        <v>60</v>
      </c>
      <c r="C1464" t="s">
        <v>32</v>
      </c>
      <c r="D1464" t="s">
        <v>33</v>
      </c>
      <c r="F1464" t="s">
        <v>35</v>
      </c>
      <c r="G1464" t="s">
        <v>35</v>
      </c>
      <c r="H1464" t="s">
        <v>35</v>
      </c>
      <c r="J1464" t="s">
        <v>2352</v>
      </c>
      <c r="K1464" t="s">
        <v>1092</v>
      </c>
      <c r="M1464">
        <v>0.2</v>
      </c>
      <c r="N1464">
        <v>2218</v>
      </c>
      <c r="O1464" t="s">
        <v>575</v>
      </c>
      <c r="Q1464" t="s">
        <v>2356</v>
      </c>
      <c r="R1464" t="s">
        <v>118</v>
      </c>
      <c r="S1464" t="s">
        <v>65</v>
      </c>
      <c r="T1464" t="s">
        <v>66</v>
      </c>
    </row>
    <row r="1465" spans="1:20" x14ac:dyDescent="0.25">
      <c r="A1465" t="s">
        <v>59</v>
      </c>
      <c r="B1465" t="s">
        <v>60</v>
      </c>
      <c r="C1465" t="s">
        <v>32</v>
      </c>
      <c r="D1465" t="s">
        <v>33</v>
      </c>
      <c r="F1465" t="s">
        <v>35</v>
      </c>
      <c r="G1465" t="s">
        <v>35</v>
      </c>
      <c r="H1465" t="s">
        <v>35</v>
      </c>
      <c r="J1465" t="s">
        <v>2352</v>
      </c>
      <c r="K1465" t="s">
        <v>1092</v>
      </c>
      <c r="M1465">
        <v>0.2</v>
      </c>
      <c r="N1465">
        <v>2296</v>
      </c>
      <c r="O1465" t="s">
        <v>575</v>
      </c>
      <c r="Q1465" t="s">
        <v>2357</v>
      </c>
      <c r="R1465" t="s">
        <v>118</v>
      </c>
      <c r="S1465" t="s">
        <v>65</v>
      </c>
      <c r="T1465" t="s">
        <v>66</v>
      </c>
    </row>
    <row r="1466" spans="1:20" x14ac:dyDescent="0.25">
      <c r="A1466" t="s">
        <v>59</v>
      </c>
      <c r="B1466" t="s">
        <v>31</v>
      </c>
      <c r="C1466" t="s">
        <v>32</v>
      </c>
      <c r="D1466" t="s">
        <v>33</v>
      </c>
      <c r="F1466" t="s">
        <v>35</v>
      </c>
      <c r="G1466" t="s">
        <v>35</v>
      </c>
      <c r="H1466" t="s">
        <v>35</v>
      </c>
      <c r="J1466" t="s">
        <v>2352</v>
      </c>
      <c r="K1466" t="s">
        <v>1092</v>
      </c>
      <c r="M1466">
        <v>3.5000000000000003E-2</v>
      </c>
      <c r="N1466">
        <v>2296</v>
      </c>
      <c r="O1466" t="s">
        <v>575</v>
      </c>
      <c r="Q1466" t="s">
        <v>2357</v>
      </c>
      <c r="R1466" t="s">
        <v>118</v>
      </c>
      <c r="S1466" t="s">
        <v>65</v>
      </c>
      <c r="T1466" t="s">
        <v>66</v>
      </c>
    </row>
    <row r="1467" spans="1:20" x14ac:dyDescent="0.25">
      <c r="A1467" t="s">
        <v>30</v>
      </c>
      <c r="B1467" t="s">
        <v>31</v>
      </c>
      <c r="C1467" t="s">
        <v>32</v>
      </c>
      <c r="D1467" t="s">
        <v>33</v>
      </c>
      <c r="E1467" t="s">
        <v>172</v>
      </c>
      <c r="F1467" t="s">
        <v>35</v>
      </c>
      <c r="G1467" t="s">
        <v>35</v>
      </c>
      <c r="H1467" t="s">
        <v>35</v>
      </c>
      <c r="J1467" t="s">
        <v>1923</v>
      </c>
      <c r="K1467" t="s">
        <v>1092</v>
      </c>
      <c r="M1467">
        <v>4.5</v>
      </c>
      <c r="N1467">
        <v>413</v>
      </c>
      <c r="O1467" t="s">
        <v>294</v>
      </c>
      <c r="Q1467" t="s">
        <v>1643</v>
      </c>
      <c r="R1467" t="s">
        <v>118</v>
      </c>
      <c r="S1467" t="s">
        <v>65</v>
      </c>
      <c r="T1467" t="s">
        <v>66</v>
      </c>
    </row>
    <row r="1468" spans="1:20" x14ac:dyDescent="0.25">
      <c r="A1468" t="s">
        <v>30</v>
      </c>
      <c r="B1468" t="s">
        <v>31</v>
      </c>
      <c r="C1468" t="s">
        <v>32</v>
      </c>
      <c r="D1468" t="s">
        <v>33</v>
      </c>
      <c r="E1468" t="s">
        <v>204</v>
      </c>
      <c r="F1468" t="s">
        <v>35</v>
      </c>
      <c r="G1468" t="s">
        <v>35</v>
      </c>
      <c r="H1468" t="s">
        <v>35</v>
      </c>
      <c r="J1468" t="s">
        <v>2137</v>
      </c>
      <c r="K1468" t="s">
        <v>1092</v>
      </c>
      <c r="M1468">
        <v>0.54</v>
      </c>
      <c r="N1468">
        <v>173</v>
      </c>
      <c r="O1468" t="s">
        <v>38</v>
      </c>
      <c r="Q1468" t="s">
        <v>2138</v>
      </c>
      <c r="R1468" t="s">
        <v>118</v>
      </c>
      <c r="S1468" t="s">
        <v>65</v>
      </c>
      <c r="T1468" t="s">
        <v>66</v>
      </c>
    </row>
    <row r="1469" spans="1:20" x14ac:dyDescent="0.25">
      <c r="A1469" t="s">
        <v>30</v>
      </c>
      <c r="B1469" t="s">
        <v>31</v>
      </c>
      <c r="C1469" t="s">
        <v>32</v>
      </c>
      <c r="D1469" t="s">
        <v>33</v>
      </c>
      <c r="F1469" t="s">
        <v>35</v>
      </c>
      <c r="G1469" t="s">
        <v>35</v>
      </c>
      <c r="H1469" t="s">
        <v>35</v>
      </c>
      <c r="J1469" t="s">
        <v>2290</v>
      </c>
      <c r="K1469" t="s">
        <v>1092</v>
      </c>
      <c r="M1469">
        <v>1.17</v>
      </c>
      <c r="N1469">
        <v>1203</v>
      </c>
      <c r="O1469" t="s">
        <v>575</v>
      </c>
      <c r="Q1469" t="s">
        <v>2291</v>
      </c>
      <c r="R1469" t="s">
        <v>118</v>
      </c>
      <c r="S1469" t="s">
        <v>65</v>
      </c>
      <c r="T1469" t="s">
        <v>66</v>
      </c>
    </row>
    <row r="1470" spans="1:20" x14ac:dyDescent="0.25">
      <c r="A1470" t="s">
        <v>30</v>
      </c>
      <c r="B1470" t="s">
        <v>31</v>
      </c>
      <c r="C1470" t="s">
        <v>32</v>
      </c>
      <c r="D1470" t="s">
        <v>33</v>
      </c>
      <c r="E1470" t="s">
        <v>1520</v>
      </c>
      <c r="F1470" t="s">
        <v>35</v>
      </c>
      <c r="G1470" t="s">
        <v>35</v>
      </c>
      <c r="H1470" t="s">
        <v>35</v>
      </c>
      <c r="J1470" t="s">
        <v>1551</v>
      </c>
      <c r="K1470" t="s">
        <v>1092</v>
      </c>
      <c r="M1470">
        <v>3.5550000000000002</v>
      </c>
      <c r="N1470">
        <v>33</v>
      </c>
      <c r="O1470" t="s">
        <v>52</v>
      </c>
      <c r="Q1470" t="s">
        <v>130</v>
      </c>
      <c r="R1470" t="s">
        <v>1529</v>
      </c>
      <c r="S1470" t="s">
        <v>215</v>
      </c>
      <c r="T1470" t="s">
        <v>216</v>
      </c>
    </row>
    <row r="1471" spans="1:20" x14ac:dyDescent="0.25">
      <c r="A1471" t="s">
        <v>44</v>
      </c>
      <c r="B1471" t="s">
        <v>3</v>
      </c>
      <c r="C1471" t="s">
        <v>32</v>
      </c>
      <c r="D1471" t="s">
        <v>33</v>
      </c>
      <c r="E1471" t="s">
        <v>1520</v>
      </c>
      <c r="F1471" t="s">
        <v>35</v>
      </c>
      <c r="G1471" t="s">
        <v>35</v>
      </c>
      <c r="H1471" t="s">
        <v>35</v>
      </c>
      <c r="J1471" t="s">
        <v>1551</v>
      </c>
      <c r="K1471" t="s">
        <v>1092</v>
      </c>
      <c r="M1471">
        <v>1.55</v>
      </c>
      <c r="N1471">
        <v>60</v>
      </c>
      <c r="O1471" t="s">
        <v>52</v>
      </c>
      <c r="Q1471" t="s">
        <v>1311</v>
      </c>
      <c r="R1471" t="s">
        <v>1529</v>
      </c>
      <c r="S1471" t="s">
        <v>215</v>
      </c>
      <c r="T1471" t="s">
        <v>216</v>
      </c>
    </row>
    <row r="1472" spans="1:20" x14ac:dyDescent="0.25">
      <c r="A1472" t="s">
        <v>44</v>
      </c>
      <c r="B1472" t="s">
        <v>51</v>
      </c>
      <c r="C1472" t="s">
        <v>32</v>
      </c>
      <c r="D1472" t="s">
        <v>33</v>
      </c>
      <c r="E1472" t="s">
        <v>1520</v>
      </c>
      <c r="F1472" t="s">
        <v>35</v>
      </c>
      <c r="G1472" t="s">
        <v>35</v>
      </c>
      <c r="H1472" t="s">
        <v>35</v>
      </c>
      <c r="J1472" t="s">
        <v>1551</v>
      </c>
      <c r="K1472" t="s">
        <v>1092</v>
      </c>
      <c r="M1472">
        <v>2.7</v>
      </c>
      <c r="N1472">
        <v>54</v>
      </c>
      <c r="O1472" t="s">
        <v>52</v>
      </c>
      <c r="Q1472" t="s">
        <v>671</v>
      </c>
      <c r="R1472" t="s">
        <v>1529</v>
      </c>
      <c r="S1472" t="s">
        <v>215</v>
      </c>
      <c r="T1472" t="s">
        <v>216</v>
      </c>
    </row>
    <row r="1473" spans="1:20" x14ac:dyDescent="0.25">
      <c r="A1473" t="s">
        <v>59</v>
      </c>
      <c r="B1473" t="s">
        <v>60</v>
      </c>
      <c r="C1473" t="s">
        <v>32</v>
      </c>
      <c r="D1473" t="s">
        <v>33</v>
      </c>
      <c r="E1473" t="s">
        <v>162</v>
      </c>
      <c r="F1473" t="s">
        <v>35</v>
      </c>
      <c r="G1473" t="s">
        <v>35</v>
      </c>
      <c r="H1473" t="s">
        <v>35</v>
      </c>
      <c r="J1473" t="s">
        <v>1163</v>
      </c>
      <c r="K1473" t="s">
        <v>1092</v>
      </c>
      <c r="M1473">
        <v>4.75</v>
      </c>
      <c r="N1473">
        <v>68</v>
      </c>
      <c r="O1473" t="s">
        <v>61</v>
      </c>
      <c r="Q1473" t="s">
        <v>805</v>
      </c>
      <c r="R1473" t="s">
        <v>1529</v>
      </c>
      <c r="S1473" t="s">
        <v>215</v>
      </c>
      <c r="T1473" t="s">
        <v>216</v>
      </c>
    </row>
    <row r="1474" spans="1:20" x14ac:dyDescent="0.25">
      <c r="A1474" t="s">
        <v>59</v>
      </c>
      <c r="B1474" t="s">
        <v>60</v>
      </c>
      <c r="C1474" t="s">
        <v>32</v>
      </c>
      <c r="D1474" t="s">
        <v>33</v>
      </c>
      <c r="F1474" t="s">
        <v>35</v>
      </c>
      <c r="G1474" t="s">
        <v>35</v>
      </c>
      <c r="H1474" t="s">
        <v>35</v>
      </c>
      <c r="J1474" t="s">
        <v>2185</v>
      </c>
      <c r="K1474" t="s">
        <v>1092</v>
      </c>
      <c r="M1474">
        <v>2.25</v>
      </c>
      <c r="N1474">
        <v>1245</v>
      </c>
      <c r="O1474" t="s">
        <v>575</v>
      </c>
      <c r="Q1474" t="s">
        <v>1245</v>
      </c>
      <c r="R1474" t="s">
        <v>1529</v>
      </c>
      <c r="S1474" t="s">
        <v>215</v>
      </c>
      <c r="T1474" t="s">
        <v>216</v>
      </c>
    </row>
    <row r="1475" spans="1:20" x14ac:dyDescent="0.25">
      <c r="A1475" t="s">
        <v>30</v>
      </c>
      <c r="B1475" t="s">
        <v>31</v>
      </c>
      <c r="C1475" t="s">
        <v>32</v>
      </c>
      <c r="D1475" t="s">
        <v>33</v>
      </c>
      <c r="F1475" t="s">
        <v>35</v>
      </c>
      <c r="G1475" t="s">
        <v>35</v>
      </c>
      <c r="H1475" t="s">
        <v>35</v>
      </c>
      <c r="J1475" t="s">
        <v>2185</v>
      </c>
      <c r="K1475" t="s">
        <v>1092</v>
      </c>
      <c r="M1475">
        <v>2.4300000000000002</v>
      </c>
      <c r="N1475">
        <v>1493</v>
      </c>
      <c r="O1475" t="s">
        <v>575</v>
      </c>
      <c r="Q1475" t="s">
        <v>2189</v>
      </c>
      <c r="R1475" t="s">
        <v>1529</v>
      </c>
      <c r="S1475" t="s">
        <v>215</v>
      </c>
      <c r="T1475" t="s">
        <v>216</v>
      </c>
    </row>
    <row r="1476" spans="1:20" x14ac:dyDescent="0.25">
      <c r="A1476" t="s">
        <v>44</v>
      </c>
      <c r="B1476" t="s">
        <v>3</v>
      </c>
      <c r="C1476" t="s">
        <v>32</v>
      </c>
      <c r="D1476" t="s">
        <v>33</v>
      </c>
      <c r="E1476" t="s">
        <v>1520</v>
      </c>
      <c r="F1476" t="s">
        <v>35</v>
      </c>
      <c r="G1476" t="s">
        <v>35</v>
      </c>
      <c r="H1476" t="s">
        <v>35</v>
      </c>
      <c r="J1476" t="s">
        <v>1532</v>
      </c>
      <c r="K1476" t="s">
        <v>1092</v>
      </c>
      <c r="M1476">
        <v>0.05</v>
      </c>
      <c r="N1476">
        <v>46</v>
      </c>
      <c r="O1476" t="s">
        <v>52</v>
      </c>
      <c r="Q1476" t="s">
        <v>332</v>
      </c>
      <c r="R1476" t="s">
        <v>1529</v>
      </c>
      <c r="S1476" t="s">
        <v>215</v>
      </c>
      <c r="T1476" t="s">
        <v>216</v>
      </c>
    </row>
    <row r="1477" spans="1:20" x14ac:dyDescent="0.25">
      <c r="A1477" t="s">
        <v>59</v>
      </c>
      <c r="B1477" t="s">
        <v>60</v>
      </c>
      <c r="C1477" t="s">
        <v>32</v>
      </c>
      <c r="D1477" t="s">
        <v>33</v>
      </c>
      <c r="E1477" t="s">
        <v>1520</v>
      </c>
      <c r="F1477" t="s">
        <v>35</v>
      </c>
      <c r="G1477" t="s">
        <v>35</v>
      </c>
      <c r="H1477" t="s">
        <v>35</v>
      </c>
      <c r="J1477" t="s">
        <v>1533</v>
      </c>
      <c r="K1477" t="s">
        <v>1092</v>
      </c>
      <c r="M1477">
        <v>3.55</v>
      </c>
      <c r="N1477">
        <v>68</v>
      </c>
      <c r="O1477" t="s">
        <v>61</v>
      </c>
      <c r="Q1477" t="s">
        <v>805</v>
      </c>
      <c r="R1477" t="s">
        <v>1529</v>
      </c>
      <c r="S1477" t="s">
        <v>215</v>
      </c>
      <c r="T1477" t="s">
        <v>216</v>
      </c>
    </row>
    <row r="1478" spans="1:20" x14ac:dyDescent="0.25">
      <c r="A1478" t="s">
        <v>59</v>
      </c>
      <c r="B1478" t="s">
        <v>60</v>
      </c>
      <c r="C1478" t="s">
        <v>32</v>
      </c>
      <c r="D1478" t="s">
        <v>33</v>
      </c>
      <c r="E1478" t="s">
        <v>1520</v>
      </c>
      <c r="F1478" t="s">
        <v>35</v>
      </c>
      <c r="G1478" t="s">
        <v>35</v>
      </c>
      <c r="H1478" t="s">
        <v>35</v>
      </c>
      <c r="J1478" t="s">
        <v>1533</v>
      </c>
      <c r="K1478" t="s">
        <v>1092</v>
      </c>
      <c r="M1478">
        <v>0.25</v>
      </c>
      <c r="N1478">
        <v>58</v>
      </c>
      <c r="O1478" t="s">
        <v>52</v>
      </c>
      <c r="Q1478" t="s">
        <v>128</v>
      </c>
      <c r="R1478" t="s">
        <v>1529</v>
      </c>
      <c r="S1478" t="s">
        <v>215</v>
      </c>
      <c r="T1478" t="s">
        <v>216</v>
      </c>
    </row>
    <row r="1479" spans="1:20" x14ac:dyDescent="0.25">
      <c r="A1479" t="s">
        <v>59</v>
      </c>
      <c r="B1479" t="s">
        <v>31</v>
      </c>
      <c r="C1479" t="s">
        <v>32</v>
      </c>
      <c r="D1479" t="s">
        <v>33</v>
      </c>
      <c r="E1479" t="s">
        <v>1520</v>
      </c>
      <c r="F1479" t="s">
        <v>35</v>
      </c>
      <c r="G1479" t="s">
        <v>35</v>
      </c>
      <c r="H1479" t="s">
        <v>35</v>
      </c>
      <c r="J1479" t="s">
        <v>1536</v>
      </c>
      <c r="K1479" t="s">
        <v>1092</v>
      </c>
      <c r="M1479">
        <v>1.4999999999999999E-2</v>
      </c>
      <c r="N1479">
        <v>345</v>
      </c>
      <c r="O1479" t="s">
        <v>5</v>
      </c>
      <c r="Q1479" t="s">
        <v>1190</v>
      </c>
      <c r="R1479" t="s">
        <v>1529</v>
      </c>
      <c r="S1479" t="s">
        <v>215</v>
      </c>
      <c r="T1479" t="s">
        <v>216</v>
      </c>
    </row>
    <row r="1480" spans="1:20" x14ac:dyDescent="0.25">
      <c r="A1480" t="s">
        <v>59</v>
      </c>
      <c r="B1480" t="s">
        <v>60</v>
      </c>
      <c r="C1480" t="s">
        <v>32</v>
      </c>
      <c r="D1480" t="s">
        <v>33</v>
      </c>
      <c r="E1480" t="s">
        <v>1520</v>
      </c>
      <c r="F1480" t="s">
        <v>35</v>
      </c>
      <c r="G1480" t="s">
        <v>35</v>
      </c>
      <c r="H1480" t="s">
        <v>35</v>
      </c>
      <c r="J1480" t="s">
        <v>1537</v>
      </c>
      <c r="K1480" t="s">
        <v>1092</v>
      </c>
      <c r="M1480">
        <v>0.5</v>
      </c>
      <c r="N1480">
        <v>84</v>
      </c>
      <c r="O1480" t="s">
        <v>61</v>
      </c>
      <c r="Q1480" t="s">
        <v>1147</v>
      </c>
      <c r="R1480" t="s">
        <v>1529</v>
      </c>
      <c r="S1480" t="s">
        <v>215</v>
      </c>
      <c r="T1480" t="s">
        <v>216</v>
      </c>
    </row>
    <row r="1481" spans="1:20" x14ac:dyDescent="0.25">
      <c r="A1481" t="s">
        <v>59</v>
      </c>
      <c r="B1481" t="s">
        <v>60</v>
      </c>
      <c r="C1481" t="s">
        <v>32</v>
      </c>
      <c r="D1481" t="s">
        <v>33</v>
      </c>
      <c r="E1481" t="s">
        <v>1520</v>
      </c>
      <c r="F1481" t="s">
        <v>35</v>
      </c>
      <c r="G1481" t="s">
        <v>35</v>
      </c>
      <c r="H1481" t="s">
        <v>35</v>
      </c>
      <c r="J1481" t="s">
        <v>1537</v>
      </c>
      <c r="K1481" t="s">
        <v>1092</v>
      </c>
      <c r="M1481">
        <v>1</v>
      </c>
      <c r="N1481">
        <v>93</v>
      </c>
      <c r="O1481" t="s">
        <v>106</v>
      </c>
      <c r="Q1481" t="s">
        <v>1112</v>
      </c>
      <c r="R1481" t="s">
        <v>1529</v>
      </c>
      <c r="S1481" t="s">
        <v>215</v>
      </c>
      <c r="T1481" t="s">
        <v>216</v>
      </c>
    </row>
    <row r="1482" spans="1:20" x14ac:dyDescent="0.25">
      <c r="A1482" t="s">
        <v>59</v>
      </c>
      <c r="B1482" t="s">
        <v>31</v>
      </c>
      <c r="C1482" t="s">
        <v>32</v>
      </c>
      <c r="D1482" t="s">
        <v>33</v>
      </c>
      <c r="E1482" t="s">
        <v>1520</v>
      </c>
      <c r="F1482" t="s">
        <v>35</v>
      </c>
      <c r="G1482" t="s">
        <v>35</v>
      </c>
      <c r="H1482" t="s">
        <v>35</v>
      </c>
      <c r="J1482" t="s">
        <v>1537</v>
      </c>
      <c r="K1482" t="s">
        <v>1092</v>
      </c>
      <c r="M1482">
        <v>0.45</v>
      </c>
      <c r="N1482">
        <v>93</v>
      </c>
      <c r="O1482" t="s">
        <v>106</v>
      </c>
      <c r="Q1482" t="s">
        <v>1112</v>
      </c>
      <c r="R1482" t="s">
        <v>1529</v>
      </c>
      <c r="S1482" t="s">
        <v>215</v>
      </c>
      <c r="T1482" t="s">
        <v>216</v>
      </c>
    </row>
    <row r="1483" spans="1:20" x14ac:dyDescent="0.25">
      <c r="A1483" t="s">
        <v>59</v>
      </c>
      <c r="B1483" t="s">
        <v>31</v>
      </c>
      <c r="C1483" t="s">
        <v>32</v>
      </c>
      <c r="D1483" t="s">
        <v>33</v>
      </c>
      <c r="E1483" t="s">
        <v>1520</v>
      </c>
      <c r="F1483" t="s">
        <v>35</v>
      </c>
      <c r="G1483" t="s">
        <v>35</v>
      </c>
      <c r="H1483" t="s">
        <v>35</v>
      </c>
      <c r="J1483" t="s">
        <v>1546</v>
      </c>
      <c r="K1483" t="s">
        <v>1092</v>
      </c>
      <c r="M1483">
        <v>2.52</v>
      </c>
      <c r="N1483">
        <v>68</v>
      </c>
      <c r="O1483" t="s">
        <v>61</v>
      </c>
      <c r="Q1483" t="s">
        <v>805</v>
      </c>
      <c r="R1483" t="s">
        <v>1529</v>
      </c>
      <c r="S1483" t="s">
        <v>215</v>
      </c>
      <c r="T1483" t="s">
        <v>216</v>
      </c>
    </row>
    <row r="1484" spans="1:20" x14ac:dyDescent="0.25">
      <c r="A1484" t="s">
        <v>44</v>
      </c>
      <c r="B1484" t="s">
        <v>51</v>
      </c>
      <c r="C1484" t="s">
        <v>32</v>
      </c>
      <c r="D1484" t="s">
        <v>33</v>
      </c>
      <c r="E1484" t="s">
        <v>1520</v>
      </c>
      <c r="F1484" t="s">
        <v>35</v>
      </c>
      <c r="G1484" t="s">
        <v>35</v>
      </c>
      <c r="H1484" t="s">
        <v>35</v>
      </c>
      <c r="J1484" t="s">
        <v>1546</v>
      </c>
      <c r="K1484" t="s">
        <v>1092</v>
      </c>
      <c r="M1484">
        <v>4.4000000000000004</v>
      </c>
      <c r="N1484">
        <v>54</v>
      </c>
      <c r="O1484" t="s">
        <v>52</v>
      </c>
      <c r="Q1484" t="s">
        <v>671</v>
      </c>
      <c r="R1484" t="s">
        <v>1529</v>
      </c>
      <c r="S1484" t="s">
        <v>215</v>
      </c>
      <c r="T1484" t="s">
        <v>216</v>
      </c>
    </row>
    <row r="1485" spans="1:20" x14ac:dyDescent="0.25">
      <c r="A1485" t="s">
        <v>59</v>
      </c>
      <c r="B1485" t="s">
        <v>60</v>
      </c>
      <c r="C1485" t="s">
        <v>32</v>
      </c>
      <c r="D1485" t="s">
        <v>33</v>
      </c>
      <c r="E1485" t="s">
        <v>1520</v>
      </c>
      <c r="F1485" t="s">
        <v>35</v>
      </c>
      <c r="G1485" t="s">
        <v>35</v>
      </c>
      <c r="H1485" t="s">
        <v>35</v>
      </c>
      <c r="J1485" t="s">
        <v>1546</v>
      </c>
      <c r="K1485" t="s">
        <v>1092</v>
      </c>
      <c r="M1485">
        <v>0.35</v>
      </c>
      <c r="N1485">
        <v>68</v>
      </c>
      <c r="O1485" t="s">
        <v>61</v>
      </c>
      <c r="Q1485" t="s">
        <v>805</v>
      </c>
      <c r="R1485" t="s">
        <v>1529</v>
      </c>
      <c r="S1485" t="s">
        <v>215</v>
      </c>
      <c r="T1485" t="s">
        <v>216</v>
      </c>
    </row>
    <row r="1486" spans="1:20" x14ac:dyDescent="0.25">
      <c r="A1486" t="s">
        <v>59</v>
      </c>
      <c r="B1486" t="s">
        <v>60</v>
      </c>
      <c r="C1486" t="s">
        <v>32</v>
      </c>
      <c r="D1486" t="s">
        <v>33</v>
      </c>
      <c r="E1486" t="s">
        <v>1520</v>
      </c>
      <c r="F1486" t="s">
        <v>35</v>
      </c>
      <c r="G1486" t="s">
        <v>35</v>
      </c>
      <c r="H1486" t="s">
        <v>35</v>
      </c>
      <c r="J1486" t="s">
        <v>1528</v>
      </c>
      <c r="K1486" t="s">
        <v>1092</v>
      </c>
      <c r="M1486">
        <v>2</v>
      </c>
      <c r="N1486">
        <v>20</v>
      </c>
      <c r="O1486" t="s">
        <v>46</v>
      </c>
      <c r="Q1486" t="s">
        <v>1011</v>
      </c>
      <c r="R1486" t="s">
        <v>1529</v>
      </c>
      <c r="S1486" t="s">
        <v>215</v>
      </c>
      <c r="T1486" t="s">
        <v>216</v>
      </c>
    </row>
    <row r="1487" spans="1:20" x14ac:dyDescent="0.25">
      <c r="A1487" t="s">
        <v>59</v>
      </c>
      <c r="B1487" t="s">
        <v>60</v>
      </c>
      <c r="C1487" t="s">
        <v>32</v>
      </c>
      <c r="D1487" t="s">
        <v>33</v>
      </c>
      <c r="E1487" t="s">
        <v>1520</v>
      </c>
      <c r="F1487" t="s">
        <v>35</v>
      </c>
      <c r="G1487" t="s">
        <v>35</v>
      </c>
      <c r="H1487" t="s">
        <v>35</v>
      </c>
      <c r="J1487" t="s">
        <v>1528</v>
      </c>
      <c r="K1487" t="s">
        <v>1092</v>
      </c>
      <c r="M1487">
        <v>1.6</v>
      </c>
      <c r="N1487">
        <v>63</v>
      </c>
      <c r="O1487" t="s">
        <v>61</v>
      </c>
      <c r="Q1487" t="s">
        <v>126</v>
      </c>
      <c r="R1487" t="s">
        <v>1529</v>
      </c>
      <c r="S1487" t="s">
        <v>215</v>
      </c>
      <c r="T1487" t="s">
        <v>216</v>
      </c>
    </row>
    <row r="1488" spans="1:20" x14ac:dyDescent="0.25">
      <c r="A1488" t="s">
        <v>44</v>
      </c>
      <c r="B1488" t="s">
        <v>3</v>
      </c>
      <c r="C1488" t="s">
        <v>32</v>
      </c>
      <c r="D1488" t="s">
        <v>33</v>
      </c>
      <c r="E1488" t="s">
        <v>1520</v>
      </c>
      <c r="F1488" t="s">
        <v>35</v>
      </c>
      <c r="G1488" t="s">
        <v>35</v>
      </c>
      <c r="H1488" t="s">
        <v>35</v>
      </c>
      <c r="J1488" t="s">
        <v>1528</v>
      </c>
      <c r="K1488" t="s">
        <v>1092</v>
      </c>
      <c r="M1488">
        <v>1.4</v>
      </c>
      <c r="N1488">
        <v>60</v>
      </c>
      <c r="O1488" t="s">
        <v>52</v>
      </c>
      <c r="Q1488" t="s">
        <v>1311</v>
      </c>
      <c r="R1488" t="s">
        <v>1529</v>
      </c>
      <c r="S1488" t="s">
        <v>215</v>
      </c>
      <c r="T1488" t="s">
        <v>216</v>
      </c>
    </row>
    <row r="1489" spans="1:20" x14ac:dyDescent="0.25">
      <c r="A1489" t="s">
        <v>59</v>
      </c>
      <c r="B1489" t="s">
        <v>60</v>
      </c>
      <c r="C1489" t="s">
        <v>32</v>
      </c>
      <c r="D1489" t="s">
        <v>33</v>
      </c>
      <c r="E1489" t="s">
        <v>162</v>
      </c>
      <c r="F1489" t="s">
        <v>35</v>
      </c>
      <c r="G1489" t="s">
        <v>35</v>
      </c>
      <c r="H1489" t="s">
        <v>35</v>
      </c>
      <c r="J1489" t="s">
        <v>1884</v>
      </c>
      <c r="K1489" t="s">
        <v>1092</v>
      </c>
      <c r="M1489">
        <v>0.72</v>
      </c>
      <c r="N1489">
        <v>63</v>
      </c>
      <c r="O1489" t="s">
        <v>61</v>
      </c>
      <c r="Q1489" t="s">
        <v>126</v>
      </c>
      <c r="R1489" t="s">
        <v>1529</v>
      </c>
      <c r="S1489" t="s">
        <v>215</v>
      </c>
      <c r="T1489" t="s">
        <v>216</v>
      </c>
    </row>
    <row r="1490" spans="1:20" x14ac:dyDescent="0.25">
      <c r="A1490" t="s">
        <v>59</v>
      </c>
      <c r="B1490" t="s">
        <v>31</v>
      </c>
      <c r="C1490" t="s">
        <v>32</v>
      </c>
      <c r="D1490" t="s">
        <v>33</v>
      </c>
      <c r="E1490" t="s">
        <v>162</v>
      </c>
      <c r="F1490" t="s">
        <v>35</v>
      </c>
      <c r="G1490" t="s">
        <v>35</v>
      </c>
      <c r="H1490" t="s">
        <v>35</v>
      </c>
      <c r="J1490" t="s">
        <v>1876</v>
      </c>
      <c r="K1490" t="s">
        <v>1092</v>
      </c>
      <c r="M1490">
        <v>5.49</v>
      </c>
      <c r="N1490">
        <v>68</v>
      </c>
      <c r="O1490" t="s">
        <v>61</v>
      </c>
      <c r="Q1490" t="s">
        <v>805</v>
      </c>
      <c r="R1490" t="s">
        <v>1529</v>
      </c>
      <c r="S1490" t="s">
        <v>215</v>
      </c>
      <c r="T1490" t="s">
        <v>216</v>
      </c>
    </row>
    <row r="1491" spans="1:20" x14ac:dyDescent="0.25">
      <c r="A1491" t="s">
        <v>44</v>
      </c>
      <c r="B1491" t="s">
        <v>51</v>
      </c>
      <c r="C1491" t="s">
        <v>32</v>
      </c>
      <c r="D1491" t="s">
        <v>33</v>
      </c>
      <c r="E1491" t="s">
        <v>162</v>
      </c>
      <c r="F1491" t="s">
        <v>35</v>
      </c>
      <c r="G1491" t="s">
        <v>35</v>
      </c>
      <c r="H1491" t="s">
        <v>35</v>
      </c>
      <c r="J1491" t="s">
        <v>1876</v>
      </c>
      <c r="K1491" t="s">
        <v>1092</v>
      </c>
      <c r="M1491">
        <v>0.5</v>
      </c>
      <c r="N1491">
        <v>54</v>
      </c>
      <c r="O1491" t="s">
        <v>52</v>
      </c>
      <c r="Q1491" t="s">
        <v>671</v>
      </c>
      <c r="R1491" t="s">
        <v>1529</v>
      </c>
      <c r="S1491" t="s">
        <v>215</v>
      </c>
      <c r="T1491" t="s">
        <v>216</v>
      </c>
    </row>
    <row r="1492" spans="1:20" x14ac:dyDescent="0.25">
      <c r="A1492" t="s">
        <v>59</v>
      </c>
      <c r="B1492" t="s">
        <v>31</v>
      </c>
      <c r="C1492" t="s">
        <v>32</v>
      </c>
      <c r="D1492" t="s">
        <v>33</v>
      </c>
      <c r="E1492" t="s">
        <v>1520</v>
      </c>
      <c r="F1492" t="s">
        <v>35</v>
      </c>
      <c r="G1492" t="s">
        <v>35</v>
      </c>
      <c r="H1492" t="s">
        <v>35</v>
      </c>
      <c r="J1492" t="s">
        <v>1561</v>
      </c>
      <c r="K1492" t="s">
        <v>1092</v>
      </c>
      <c r="M1492">
        <v>1.4550000000000001</v>
      </c>
      <c r="N1492">
        <v>222</v>
      </c>
      <c r="O1492" t="s">
        <v>5</v>
      </c>
      <c r="Q1492" t="s">
        <v>1562</v>
      </c>
      <c r="R1492" t="s">
        <v>1529</v>
      </c>
      <c r="S1492" t="s">
        <v>215</v>
      </c>
      <c r="T1492" t="s">
        <v>216</v>
      </c>
    </row>
    <row r="1493" spans="1:20" x14ac:dyDescent="0.25">
      <c r="A1493" t="s">
        <v>59</v>
      </c>
      <c r="B1493" t="s">
        <v>60</v>
      </c>
      <c r="C1493" t="s">
        <v>32</v>
      </c>
      <c r="D1493" t="s">
        <v>33</v>
      </c>
      <c r="E1493" t="s">
        <v>162</v>
      </c>
      <c r="F1493" t="s">
        <v>35</v>
      </c>
      <c r="G1493" t="s">
        <v>35</v>
      </c>
      <c r="H1493" t="s">
        <v>35</v>
      </c>
      <c r="J1493" t="s">
        <v>1877</v>
      </c>
      <c r="K1493" t="s">
        <v>1092</v>
      </c>
      <c r="M1493">
        <v>0.95</v>
      </c>
      <c r="N1493">
        <v>83</v>
      </c>
      <c r="O1493" t="s">
        <v>61</v>
      </c>
      <c r="Q1493" t="s">
        <v>897</v>
      </c>
      <c r="R1493" t="s">
        <v>1529</v>
      </c>
      <c r="S1493" t="s">
        <v>215</v>
      </c>
      <c r="T1493" t="s">
        <v>216</v>
      </c>
    </row>
    <row r="1494" spans="1:20" x14ac:dyDescent="0.25">
      <c r="A1494" t="s">
        <v>59</v>
      </c>
      <c r="B1494" t="s">
        <v>31</v>
      </c>
      <c r="C1494" t="s">
        <v>32</v>
      </c>
      <c r="D1494" t="s">
        <v>33</v>
      </c>
      <c r="E1494" t="s">
        <v>162</v>
      </c>
      <c r="F1494" t="s">
        <v>35</v>
      </c>
      <c r="G1494" t="s">
        <v>35</v>
      </c>
      <c r="H1494" t="s">
        <v>35</v>
      </c>
      <c r="J1494" t="s">
        <v>1864</v>
      </c>
      <c r="K1494" t="s">
        <v>1092</v>
      </c>
      <c r="M1494">
        <v>3.24</v>
      </c>
      <c r="N1494">
        <v>5</v>
      </c>
      <c r="O1494" t="s">
        <v>46</v>
      </c>
      <c r="Q1494" t="s">
        <v>1865</v>
      </c>
      <c r="R1494" t="s">
        <v>1529</v>
      </c>
      <c r="S1494" t="s">
        <v>215</v>
      </c>
      <c r="T1494" t="s">
        <v>216</v>
      </c>
    </row>
    <row r="1495" spans="1:20" x14ac:dyDescent="0.25">
      <c r="A1495" t="s">
        <v>44</v>
      </c>
      <c r="B1495" t="s">
        <v>3</v>
      </c>
      <c r="C1495" t="s">
        <v>32</v>
      </c>
      <c r="D1495" t="s">
        <v>33</v>
      </c>
      <c r="E1495" t="s">
        <v>162</v>
      </c>
      <c r="F1495" t="s">
        <v>35</v>
      </c>
      <c r="G1495" t="s">
        <v>35</v>
      </c>
      <c r="H1495" t="s">
        <v>35</v>
      </c>
      <c r="J1495" t="s">
        <v>1864</v>
      </c>
      <c r="K1495" t="s">
        <v>1092</v>
      </c>
      <c r="M1495">
        <v>0.75</v>
      </c>
      <c r="N1495">
        <v>60</v>
      </c>
      <c r="O1495" t="s">
        <v>52</v>
      </c>
      <c r="Q1495" t="s">
        <v>1311</v>
      </c>
      <c r="R1495" t="s">
        <v>1529</v>
      </c>
      <c r="S1495" t="s">
        <v>215</v>
      </c>
      <c r="T1495" t="s">
        <v>216</v>
      </c>
    </row>
    <row r="1496" spans="1:20" x14ac:dyDescent="0.25">
      <c r="A1496" t="s">
        <v>59</v>
      </c>
      <c r="B1496" t="s">
        <v>60</v>
      </c>
      <c r="C1496" t="s">
        <v>32</v>
      </c>
      <c r="D1496" t="s">
        <v>33</v>
      </c>
      <c r="E1496" t="s">
        <v>162</v>
      </c>
      <c r="F1496" t="s">
        <v>35</v>
      </c>
      <c r="G1496" t="s">
        <v>35</v>
      </c>
      <c r="H1496" t="s">
        <v>35</v>
      </c>
      <c r="J1496" t="s">
        <v>1864</v>
      </c>
      <c r="K1496" t="s">
        <v>1092</v>
      </c>
      <c r="M1496">
        <v>1.2</v>
      </c>
      <c r="N1496">
        <v>5</v>
      </c>
      <c r="O1496" t="s">
        <v>46</v>
      </c>
      <c r="Q1496" t="s">
        <v>1865</v>
      </c>
      <c r="R1496" t="s">
        <v>1529</v>
      </c>
      <c r="S1496" t="s">
        <v>215</v>
      </c>
      <c r="T1496" t="s">
        <v>216</v>
      </c>
    </row>
    <row r="1497" spans="1:20" x14ac:dyDescent="0.25">
      <c r="A1497" t="s">
        <v>44</v>
      </c>
      <c r="B1497" t="s">
        <v>3</v>
      </c>
      <c r="C1497" t="s">
        <v>32</v>
      </c>
      <c r="D1497" t="s">
        <v>33</v>
      </c>
      <c r="E1497" t="s">
        <v>162</v>
      </c>
      <c r="F1497" t="s">
        <v>35</v>
      </c>
      <c r="G1497" t="s">
        <v>35</v>
      </c>
      <c r="H1497" t="s">
        <v>35</v>
      </c>
      <c r="J1497" t="s">
        <v>1864</v>
      </c>
      <c r="K1497" t="s">
        <v>1092</v>
      </c>
      <c r="M1497">
        <v>2.5</v>
      </c>
      <c r="N1497">
        <v>13</v>
      </c>
      <c r="O1497" t="s">
        <v>46</v>
      </c>
      <c r="Q1497" t="s">
        <v>1004</v>
      </c>
      <c r="R1497" t="s">
        <v>1529</v>
      </c>
      <c r="S1497" t="s">
        <v>215</v>
      </c>
      <c r="T1497" t="s">
        <v>216</v>
      </c>
    </row>
    <row r="1498" spans="1:20" x14ac:dyDescent="0.25">
      <c r="A1498" t="s">
        <v>44</v>
      </c>
      <c r="B1498" t="s">
        <v>51</v>
      </c>
      <c r="C1498" t="s">
        <v>32</v>
      </c>
      <c r="D1498" t="s">
        <v>33</v>
      </c>
      <c r="E1498" t="s">
        <v>162</v>
      </c>
      <c r="F1498" t="s">
        <v>35</v>
      </c>
      <c r="G1498" t="s">
        <v>35</v>
      </c>
      <c r="H1498" t="s">
        <v>35</v>
      </c>
      <c r="J1498" t="s">
        <v>1857</v>
      </c>
      <c r="K1498" t="s">
        <v>1092</v>
      </c>
      <c r="M1498">
        <v>3.95</v>
      </c>
      <c r="N1498">
        <v>54</v>
      </c>
      <c r="O1498" t="s">
        <v>52</v>
      </c>
      <c r="Q1498" t="s">
        <v>671</v>
      </c>
      <c r="R1498" t="s">
        <v>1529</v>
      </c>
      <c r="S1498" t="s">
        <v>215</v>
      </c>
      <c r="T1498" t="s">
        <v>216</v>
      </c>
    </row>
    <row r="1499" spans="1:20" x14ac:dyDescent="0.25">
      <c r="A1499" t="s">
        <v>59</v>
      </c>
      <c r="B1499" t="s">
        <v>31</v>
      </c>
      <c r="C1499" t="s">
        <v>32</v>
      </c>
      <c r="D1499" t="s">
        <v>33</v>
      </c>
      <c r="E1499" t="s">
        <v>162</v>
      </c>
      <c r="F1499" t="s">
        <v>35</v>
      </c>
      <c r="G1499" t="s">
        <v>35</v>
      </c>
      <c r="H1499" t="s">
        <v>35</v>
      </c>
      <c r="J1499" t="s">
        <v>1857</v>
      </c>
      <c r="K1499" t="s">
        <v>1092</v>
      </c>
      <c r="M1499">
        <v>2.9249999999999998</v>
      </c>
      <c r="N1499">
        <v>68</v>
      </c>
      <c r="O1499" t="s">
        <v>61</v>
      </c>
      <c r="Q1499" t="s">
        <v>805</v>
      </c>
      <c r="R1499" t="s">
        <v>1529</v>
      </c>
      <c r="S1499" t="s">
        <v>215</v>
      </c>
      <c r="T1499" t="s">
        <v>216</v>
      </c>
    </row>
    <row r="1500" spans="1:20" x14ac:dyDescent="0.25">
      <c r="A1500" t="s">
        <v>59</v>
      </c>
      <c r="B1500" t="s">
        <v>60</v>
      </c>
      <c r="C1500" t="s">
        <v>32</v>
      </c>
      <c r="D1500" t="s">
        <v>33</v>
      </c>
      <c r="E1500" t="s">
        <v>162</v>
      </c>
      <c r="F1500" t="s">
        <v>35</v>
      </c>
      <c r="G1500" t="s">
        <v>35</v>
      </c>
      <c r="H1500" t="s">
        <v>35</v>
      </c>
      <c r="J1500" t="s">
        <v>1890</v>
      </c>
      <c r="K1500" t="s">
        <v>1092</v>
      </c>
      <c r="M1500">
        <v>3.85</v>
      </c>
      <c r="N1500">
        <v>94</v>
      </c>
      <c r="O1500" t="s">
        <v>106</v>
      </c>
      <c r="Q1500" t="s">
        <v>1164</v>
      </c>
      <c r="R1500" t="s">
        <v>1529</v>
      </c>
      <c r="S1500" t="s">
        <v>215</v>
      </c>
      <c r="T1500" t="s">
        <v>216</v>
      </c>
    </row>
    <row r="1501" spans="1:20" x14ac:dyDescent="0.25">
      <c r="A1501" t="s">
        <v>59</v>
      </c>
      <c r="B1501" t="s">
        <v>60</v>
      </c>
      <c r="C1501" t="s">
        <v>32</v>
      </c>
      <c r="D1501" t="s">
        <v>33</v>
      </c>
      <c r="F1501" t="s">
        <v>35</v>
      </c>
      <c r="G1501" t="s">
        <v>35</v>
      </c>
      <c r="H1501" t="s">
        <v>35</v>
      </c>
      <c r="J1501" t="s">
        <v>2363</v>
      </c>
      <c r="K1501" t="s">
        <v>1092</v>
      </c>
      <c r="M1501">
        <v>0.19</v>
      </c>
      <c r="N1501">
        <v>2342</v>
      </c>
      <c r="O1501" t="s">
        <v>575</v>
      </c>
      <c r="Q1501" t="s">
        <v>2364</v>
      </c>
      <c r="R1501" t="s">
        <v>1510</v>
      </c>
      <c r="S1501" t="s">
        <v>1511</v>
      </c>
      <c r="T1501" t="s">
        <v>1512</v>
      </c>
    </row>
    <row r="1502" spans="1:20" x14ac:dyDescent="0.25">
      <c r="A1502" t="s">
        <v>30</v>
      </c>
      <c r="B1502" t="s">
        <v>31</v>
      </c>
      <c r="C1502" t="s">
        <v>32</v>
      </c>
      <c r="D1502" t="s">
        <v>33</v>
      </c>
      <c r="F1502" t="s">
        <v>35</v>
      </c>
      <c r="G1502" t="s">
        <v>35</v>
      </c>
      <c r="H1502" t="s">
        <v>35</v>
      </c>
      <c r="J1502" t="s">
        <v>2363</v>
      </c>
      <c r="K1502" t="s">
        <v>1092</v>
      </c>
      <c r="M1502">
        <v>0.315</v>
      </c>
      <c r="N1502">
        <v>2107</v>
      </c>
      <c r="O1502" t="s">
        <v>575</v>
      </c>
      <c r="Q1502" t="s">
        <v>2365</v>
      </c>
      <c r="R1502" t="s">
        <v>1510</v>
      </c>
      <c r="S1502" t="s">
        <v>1511</v>
      </c>
      <c r="T1502" t="s">
        <v>1512</v>
      </c>
    </row>
    <row r="1503" spans="1:20" x14ac:dyDescent="0.25">
      <c r="A1503" t="s">
        <v>59</v>
      </c>
      <c r="B1503" t="s">
        <v>60</v>
      </c>
      <c r="C1503" t="s">
        <v>32</v>
      </c>
      <c r="D1503" t="s">
        <v>33</v>
      </c>
      <c r="E1503" t="s">
        <v>162</v>
      </c>
      <c r="F1503" t="s">
        <v>35</v>
      </c>
      <c r="G1503" t="s">
        <v>35</v>
      </c>
      <c r="H1503" t="s">
        <v>35</v>
      </c>
      <c r="J1503" t="s">
        <v>1886</v>
      </c>
      <c r="K1503" t="s">
        <v>1092</v>
      </c>
      <c r="M1503">
        <v>2.29</v>
      </c>
      <c r="N1503">
        <v>434</v>
      </c>
      <c r="O1503" t="s">
        <v>294</v>
      </c>
      <c r="Q1503" t="s">
        <v>1888</v>
      </c>
      <c r="R1503" t="s">
        <v>1510</v>
      </c>
      <c r="S1503" t="s">
        <v>1511</v>
      </c>
      <c r="T1503" t="s">
        <v>1512</v>
      </c>
    </row>
    <row r="1504" spans="1:20" x14ac:dyDescent="0.25">
      <c r="A1504" t="s">
        <v>59</v>
      </c>
      <c r="B1504" t="s">
        <v>60</v>
      </c>
      <c r="C1504" t="s">
        <v>32</v>
      </c>
      <c r="D1504" t="s">
        <v>33</v>
      </c>
      <c r="E1504" t="s">
        <v>87</v>
      </c>
      <c r="F1504" t="s">
        <v>35</v>
      </c>
      <c r="G1504" t="s">
        <v>35</v>
      </c>
      <c r="H1504" t="s">
        <v>35</v>
      </c>
      <c r="J1504" t="s">
        <v>1508</v>
      </c>
      <c r="K1504" t="s">
        <v>1092</v>
      </c>
      <c r="M1504">
        <v>0.95</v>
      </c>
      <c r="N1504">
        <v>454</v>
      </c>
      <c r="O1504" t="s">
        <v>294</v>
      </c>
      <c r="Q1504" t="s">
        <v>1509</v>
      </c>
      <c r="R1504" t="s">
        <v>1510</v>
      </c>
      <c r="S1504" t="s">
        <v>1511</v>
      </c>
      <c r="T1504" t="s">
        <v>1512</v>
      </c>
    </row>
    <row r="1505" spans="1:20" x14ac:dyDescent="0.25">
      <c r="A1505" t="s">
        <v>59</v>
      </c>
      <c r="B1505" t="s">
        <v>31</v>
      </c>
      <c r="C1505" t="s">
        <v>32</v>
      </c>
      <c r="D1505" t="s">
        <v>33</v>
      </c>
      <c r="E1505" t="s">
        <v>2090</v>
      </c>
      <c r="F1505" t="s">
        <v>35</v>
      </c>
      <c r="G1505" t="s">
        <v>35</v>
      </c>
      <c r="H1505" t="s">
        <v>35</v>
      </c>
      <c r="J1505" t="s">
        <v>2092</v>
      </c>
      <c r="K1505" t="s">
        <v>1092</v>
      </c>
      <c r="M1505">
        <v>2.15</v>
      </c>
      <c r="N1505">
        <v>493</v>
      </c>
      <c r="O1505" t="s">
        <v>294</v>
      </c>
      <c r="Q1505" t="s">
        <v>2051</v>
      </c>
      <c r="R1505" t="s">
        <v>2093</v>
      </c>
      <c r="S1505" t="s">
        <v>2094</v>
      </c>
      <c r="T1505" t="s">
        <v>2095</v>
      </c>
    </row>
    <row r="1506" spans="1:20" x14ac:dyDescent="0.25">
      <c r="A1506" t="s">
        <v>44</v>
      </c>
      <c r="B1506" t="s">
        <v>3</v>
      </c>
      <c r="C1506" t="s">
        <v>32</v>
      </c>
      <c r="D1506" t="s">
        <v>33</v>
      </c>
      <c r="F1506" t="s">
        <v>35</v>
      </c>
      <c r="G1506" t="s">
        <v>35</v>
      </c>
      <c r="H1506" t="s">
        <v>35</v>
      </c>
      <c r="J1506" t="s">
        <v>2383</v>
      </c>
      <c r="K1506" t="s">
        <v>1092</v>
      </c>
      <c r="M1506">
        <v>1</v>
      </c>
      <c r="N1506">
        <v>23</v>
      </c>
      <c r="O1506" t="s">
        <v>46</v>
      </c>
      <c r="Q1506" t="s">
        <v>793</v>
      </c>
      <c r="R1506" t="s">
        <v>1252</v>
      </c>
      <c r="S1506" t="s">
        <v>81</v>
      </c>
      <c r="T1506" t="s">
        <v>82</v>
      </c>
    </row>
    <row r="1507" spans="1:20" x14ac:dyDescent="0.25">
      <c r="A1507" t="s">
        <v>44</v>
      </c>
      <c r="B1507" t="s">
        <v>3</v>
      </c>
      <c r="C1507" t="s">
        <v>32</v>
      </c>
      <c r="D1507" t="s">
        <v>33</v>
      </c>
      <c r="F1507" t="s">
        <v>35</v>
      </c>
      <c r="G1507" t="s">
        <v>35</v>
      </c>
      <c r="H1507" t="s">
        <v>35</v>
      </c>
      <c r="J1507" t="s">
        <v>2195</v>
      </c>
      <c r="K1507" t="s">
        <v>1092</v>
      </c>
      <c r="M1507">
        <v>1</v>
      </c>
      <c r="N1507">
        <v>552</v>
      </c>
      <c r="O1507" t="s">
        <v>575</v>
      </c>
      <c r="Q1507" t="s">
        <v>2199</v>
      </c>
      <c r="R1507" t="s">
        <v>1252</v>
      </c>
      <c r="S1507" t="s">
        <v>81</v>
      </c>
      <c r="T1507" t="s">
        <v>82</v>
      </c>
    </row>
    <row r="1508" spans="1:20" x14ac:dyDescent="0.25">
      <c r="A1508" t="s">
        <v>44</v>
      </c>
      <c r="B1508" t="s">
        <v>3</v>
      </c>
      <c r="C1508" t="s">
        <v>32</v>
      </c>
      <c r="D1508" t="s">
        <v>33</v>
      </c>
      <c r="E1508" t="s">
        <v>204</v>
      </c>
      <c r="F1508" t="s">
        <v>35</v>
      </c>
      <c r="G1508" t="s">
        <v>35</v>
      </c>
      <c r="H1508" t="s">
        <v>35</v>
      </c>
      <c r="J1508" t="s">
        <v>1389</v>
      </c>
      <c r="K1508" t="s">
        <v>1092</v>
      </c>
      <c r="M1508">
        <v>1.1499999999999999</v>
      </c>
      <c r="N1508">
        <v>47</v>
      </c>
      <c r="O1508" t="s">
        <v>52</v>
      </c>
      <c r="Q1508" t="s">
        <v>1207</v>
      </c>
      <c r="R1508" t="s">
        <v>1252</v>
      </c>
      <c r="S1508" t="s">
        <v>81</v>
      </c>
      <c r="T1508" t="s">
        <v>82</v>
      </c>
    </row>
    <row r="1509" spans="1:20" x14ac:dyDescent="0.25">
      <c r="A1509" t="s">
        <v>44</v>
      </c>
      <c r="B1509" t="s">
        <v>3</v>
      </c>
      <c r="C1509" t="s">
        <v>32</v>
      </c>
      <c r="D1509" t="s">
        <v>33</v>
      </c>
      <c r="E1509" t="s">
        <v>64</v>
      </c>
      <c r="F1509" t="s">
        <v>35</v>
      </c>
      <c r="G1509" t="s">
        <v>35</v>
      </c>
      <c r="H1509" t="s">
        <v>35</v>
      </c>
      <c r="J1509" t="s">
        <v>1251</v>
      </c>
      <c r="K1509" t="s">
        <v>1092</v>
      </c>
      <c r="M1509">
        <v>0.2</v>
      </c>
      <c r="N1509">
        <v>33</v>
      </c>
      <c r="O1509" t="s">
        <v>52</v>
      </c>
      <c r="Q1509" t="s">
        <v>130</v>
      </c>
      <c r="R1509" t="s">
        <v>1252</v>
      </c>
      <c r="S1509" t="s">
        <v>81</v>
      </c>
      <c r="T1509" t="s">
        <v>82</v>
      </c>
    </row>
    <row r="1510" spans="1:20" x14ac:dyDescent="0.25">
      <c r="A1510" t="s">
        <v>59</v>
      </c>
      <c r="B1510" t="s">
        <v>60</v>
      </c>
      <c r="C1510" t="s">
        <v>32</v>
      </c>
      <c r="D1510" t="s">
        <v>33</v>
      </c>
      <c r="E1510" t="s">
        <v>122</v>
      </c>
      <c r="F1510" t="s">
        <v>35</v>
      </c>
      <c r="G1510" t="s">
        <v>35</v>
      </c>
      <c r="H1510" t="s">
        <v>35</v>
      </c>
      <c r="J1510" t="s">
        <v>1772</v>
      </c>
      <c r="K1510" t="s">
        <v>1092</v>
      </c>
      <c r="M1510">
        <v>2</v>
      </c>
      <c r="N1510">
        <v>83</v>
      </c>
      <c r="O1510" t="s">
        <v>61</v>
      </c>
      <c r="Q1510" t="s">
        <v>897</v>
      </c>
      <c r="R1510" t="s">
        <v>1331</v>
      </c>
      <c r="S1510" t="s">
        <v>1332</v>
      </c>
      <c r="T1510" t="s">
        <v>1333</v>
      </c>
    </row>
    <row r="1511" spans="1:20" x14ac:dyDescent="0.25">
      <c r="A1511" t="s">
        <v>59</v>
      </c>
      <c r="B1511" t="s">
        <v>31</v>
      </c>
      <c r="C1511" t="s">
        <v>32</v>
      </c>
      <c r="D1511" t="s">
        <v>33</v>
      </c>
      <c r="E1511" t="s">
        <v>122</v>
      </c>
      <c r="F1511" t="s">
        <v>35</v>
      </c>
      <c r="G1511" t="s">
        <v>35</v>
      </c>
      <c r="H1511" t="s">
        <v>35</v>
      </c>
      <c r="J1511" t="s">
        <v>1772</v>
      </c>
      <c r="K1511" t="s">
        <v>1092</v>
      </c>
      <c r="M1511">
        <v>7.02</v>
      </c>
      <c r="N1511">
        <v>83</v>
      </c>
      <c r="O1511" t="s">
        <v>61</v>
      </c>
      <c r="Q1511" t="s">
        <v>897</v>
      </c>
      <c r="R1511">
        <v>289634</v>
      </c>
      <c r="S1511" t="s">
        <v>1332</v>
      </c>
      <c r="T1511" t="s">
        <v>1333</v>
      </c>
    </row>
    <row r="1512" spans="1:20" x14ac:dyDescent="0.25">
      <c r="A1512" t="s">
        <v>59</v>
      </c>
      <c r="B1512" t="s">
        <v>60</v>
      </c>
      <c r="C1512" t="s">
        <v>32</v>
      </c>
      <c r="D1512" t="s">
        <v>33</v>
      </c>
      <c r="E1512" t="s">
        <v>172</v>
      </c>
      <c r="F1512" t="s">
        <v>35</v>
      </c>
      <c r="G1512" t="s">
        <v>35</v>
      </c>
      <c r="H1512" t="s">
        <v>35</v>
      </c>
      <c r="J1512" t="s">
        <v>1904</v>
      </c>
      <c r="K1512" t="s">
        <v>1092</v>
      </c>
      <c r="M1512">
        <v>0.5</v>
      </c>
      <c r="N1512">
        <v>140</v>
      </c>
      <c r="O1512" t="s">
        <v>38</v>
      </c>
      <c r="Q1512" t="s">
        <v>1229</v>
      </c>
      <c r="R1512" t="s">
        <v>1331</v>
      </c>
      <c r="S1512" t="s">
        <v>1332</v>
      </c>
      <c r="T1512" t="s">
        <v>1333</v>
      </c>
    </row>
    <row r="1513" spans="1:20" x14ac:dyDescent="0.25">
      <c r="A1513" t="s">
        <v>30</v>
      </c>
      <c r="B1513" t="s">
        <v>31</v>
      </c>
      <c r="C1513" t="s">
        <v>32</v>
      </c>
      <c r="D1513" t="s">
        <v>33</v>
      </c>
      <c r="E1513" t="s">
        <v>122</v>
      </c>
      <c r="F1513" t="s">
        <v>35</v>
      </c>
      <c r="G1513" t="s">
        <v>35</v>
      </c>
      <c r="H1513" t="s">
        <v>35</v>
      </c>
      <c r="J1513" t="s">
        <v>1657</v>
      </c>
      <c r="K1513" t="s">
        <v>1092</v>
      </c>
      <c r="M1513">
        <v>2.61</v>
      </c>
      <c r="N1513">
        <v>68</v>
      </c>
      <c r="O1513" t="s">
        <v>61</v>
      </c>
      <c r="Q1513" t="s">
        <v>805</v>
      </c>
      <c r="R1513" t="s">
        <v>1331</v>
      </c>
      <c r="S1513" t="s">
        <v>1332</v>
      </c>
      <c r="T1513" t="s">
        <v>1333</v>
      </c>
    </row>
    <row r="1514" spans="1:20" x14ac:dyDescent="0.25">
      <c r="A1514" t="s">
        <v>30</v>
      </c>
      <c r="B1514" t="s">
        <v>31</v>
      </c>
      <c r="C1514" t="s">
        <v>32</v>
      </c>
      <c r="D1514" t="s">
        <v>33</v>
      </c>
      <c r="E1514" t="s">
        <v>122</v>
      </c>
      <c r="F1514" t="s">
        <v>35</v>
      </c>
      <c r="G1514" t="s">
        <v>35</v>
      </c>
      <c r="H1514" t="s">
        <v>35</v>
      </c>
      <c r="J1514" t="s">
        <v>1649</v>
      </c>
      <c r="K1514" t="s">
        <v>1092</v>
      </c>
      <c r="M1514">
        <v>4.0049999999999999</v>
      </c>
      <c r="N1514">
        <v>17</v>
      </c>
      <c r="O1514" t="s">
        <v>46</v>
      </c>
      <c r="Q1514" t="s">
        <v>255</v>
      </c>
      <c r="R1514" t="s">
        <v>1331</v>
      </c>
      <c r="S1514" t="s">
        <v>1332</v>
      </c>
      <c r="T1514" t="s">
        <v>1333</v>
      </c>
    </row>
    <row r="1515" spans="1:20" x14ac:dyDescent="0.25">
      <c r="A1515" t="s">
        <v>59</v>
      </c>
      <c r="B1515" t="s">
        <v>60</v>
      </c>
      <c r="C1515" t="s">
        <v>32</v>
      </c>
      <c r="D1515" t="s">
        <v>33</v>
      </c>
      <c r="E1515" t="s">
        <v>172</v>
      </c>
      <c r="F1515" t="s">
        <v>35</v>
      </c>
      <c r="G1515" t="s">
        <v>35</v>
      </c>
      <c r="H1515" t="s">
        <v>35</v>
      </c>
      <c r="J1515" t="s">
        <v>1905</v>
      </c>
      <c r="K1515" t="s">
        <v>1144</v>
      </c>
      <c r="M1515">
        <v>10.18</v>
      </c>
      <c r="N1515">
        <v>93</v>
      </c>
      <c r="O1515" t="s">
        <v>106</v>
      </c>
      <c r="Q1515" t="s">
        <v>1112</v>
      </c>
      <c r="R1515" t="s">
        <v>1331</v>
      </c>
      <c r="S1515" t="s">
        <v>1332</v>
      </c>
      <c r="T1515" t="s">
        <v>1333</v>
      </c>
    </row>
    <row r="1516" spans="1:20" x14ac:dyDescent="0.25">
      <c r="A1516" t="s">
        <v>59</v>
      </c>
      <c r="B1516" t="s">
        <v>60</v>
      </c>
      <c r="C1516" t="s">
        <v>32</v>
      </c>
      <c r="D1516" t="s">
        <v>33</v>
      </c>
      <c r="E1516" t="s">
        <v>122</v>
      </c>
      <c r="F1516" t="s">
        <v>35</v>
      </c>
      <c r="G1516" t="s">
        <v>35</v>
      </c>
      <c r="H1516" t="s">
        <v>35</v>
      </c>
      <c r="J1516" t="s">
        <v>1802</v>
      </c>
      <c r="K1516" t="s">
        <v>1092</v>
      </c>
      <c r="M1516">
        <v>4.7</v>
      </c>
      <c r="N1516">
        <v>83</v>
      </c>
      <c r="O1516" t="s">
        <v>61</v>
      </c>
      <c r="Q1516" t="s">
        <v>897</v>
      </c>
      <c r="R1516" t="s">
        <v>1331</v>
      </c>
      <c r="S1516" t="s">
        <v>1332</v>
      </c>
      <c r="T1516" t="s">
        <v>1333</v>
      </c>
    </row>
    <row r="1517" spans="1:20" x14ac:dyDescent="0.25">
      <c r="A1517" t="s">
        <v>59</v>
      </c>
      <c r="B1517" t="s">
        <v>60</v>
      </c>
      <c r="C1517" t="s">
        <v>32</v>
      </c>
      <c r="D1517" t="s">
        <v>33</v>
      </c>
      <c r="E1517" t="s">
        <v>122</v>
      </c>
      <c r="F1517" t="s">
        <v>35</v>
      </c>
      <c r="G1517" t="s">
        <v>35</v>
      </c>
      <c r="H1517" t="s">
        <v>35</v>
      </c>
      <c r="J1517" t="s">
        <v>1705</v>
      </c>
      <c r="K1517" t="s">
        <v>1092</v>
      </c>
      <c r="M1517">
        <v>11</v>
      </c>
      <c r="N1517">
        <v>93</v>
      </c>
      <c r="O1517" t="s">
        <v>106</v>
      </c>
      <c r="Q1517" t="s">
        <v>1112</v>
      </c>
      <c r="R1517" t="s">
        <v>1331</v>
      </c>
      <c r="S1517" t="s">
        <v>1332</v>
      </c>
      <c r="T1517" t="s">
        <v>1333</v>
      </c>
    </row>
    <row r="1518" spans="1:20" x14ac:dyDescent="0.25">
      <c r="A1518" t="s">
        <v>59</v>
      </c>
      <c r="B1518" t="s">
        <v>31</v>
      </c>
      <c r="C1518" t="s">
        <v>32</v>
      </c>
      <c r="D1518" t="s">
        <v>33</v>
      </c>
      <c r="E1518" t="s">
        <v>122</v>
      </c>
      <c r="F1518" t="s">
        <v>35</v>
      </c>
      <c r="G1518" t="s">
        <v>35</v>
      </c>
      <c r="H1518" t="s">
        <v>35</v>
      </c>
      <c r="J1518" t="s">
        <v>1705</v>
      </c>
      <c r="K1518" t="s">
        <v>1092</v>
      </c>
      <c r="M1518">
        <v>4.9950000000000001</v>
      </c>
      <c r="N1518">
        <v>54</v>
      </c>
      <c r="O1518" t="s">
        <v>52</v>
      </c>
      <c r="Q1518" t="s">
        <v>671</v>
      </c>
      <c r="R1518" t="s">
        <v>1331</v>
      </c>
      <c r="S1518" t="s">
        <v>1332</v>
      </c>
      <c r="T1518" t="s">
        <v>1333</v>
      </c>
    </row>
    <row r="1519" spans="1:20" x14ac:dyDescent="0.25">
      <c r="A1519" t="s">
        <v>59</v>
      </c>
      <c r="B1519" t="s">
        <v>31</v>
      </c>
      <c r="C1519" t="s">
        <v>32</v>
      </c>
      <c r="D1519" t="s">
        <v>33</v>
      </c>
      <c r="E1519" t="s">
        <v>122</v>
      </c>
      <c r="F1519" t="s">
        <v>35</v>
      </c>
      <c r="G1519" t="s">
        <v>35</v>
      </c>
      <c r="H1519" t="s">
        <v>35</v>
      </c>
      <c r="J1519" t="s">
        <v>1705</v>
      </c>
      <c r="K1519" t="s">
        <v>1092</v>
      </c>
      <c r="M1519">
        <v>5.085</v>
      </c>
      <c r="N1519">
        <v>93</v>
      </c>
      <c r="O1519" t="s">
        <v>106</v>
      </c>
      <c r="Q1519" t="s">
        <v>1112</v>
      </c>
      <c r="R1519" t="s">
        <v>1331</v>
      </c>
      <c r="S1519" t="s">
        <v>1332</v>
      </c>
      <c r="T1519" t="s">
        <v>1333</v>
      </c>
    </row>
    <row r="1520" spans="1:20" x14ac:dyDescent="0.25">
      <c r="A1520" t="s">
        <v>30</v>
      </c>
      <c r="B1520" t="s">
        <v>31</v>
      </c>
      <c r="C1520" t="s">
        <v>32</v>
      </c>
      <c r="D1520" t="s">
        <v>33</v>
      </c>
      <c r="E1520" t="s">
        <v>122</v>
      </c>
      <c r="F1520" t="s">
        <v>35</v>
      </c>
      <c r="G1520" t="s">
        <v>35</v>
      </c>
      <c r="H1520" t="s">
        <v>35</v>
      </c>
      <c r="J1520" t="s">
        <v>1806</v>
      </c>
      <c r="K1520" t="s">
        <v>1092</v>
      </c>
      <c r="M1520">
        <v>4.9950000000000001</v>
      </c>
      <c r="N1520">
        <v>17</v>
      </c>
      <c r="O1520" t="s">
        <v>46</v>
      </c>
      <c r="Q1520" t="s">
        <v>255</v>
      </c>
      <c r="R1520" t="s">
        <v>1331</v>
      </c>
      <c r="S1520" t="s">
        <v>1332</v>
      </c>
      <c r="T1520" t="s">
        <v>1333</v>
      </c>
    </row>
    <row r="1521" spans="1:20" x14ac:dyDescent="0.25">
      <c r="A1521" t="s">
        <v>59</v>
      </c>
      <c r="B1521" t="s">
        <v>60</v>
      </c>
      <c r="C1521" t="s">
        <v>32</v>
      </c>
      <c r="D1521" t="s">
        <v>33</v>
      </c>
      <c r="E1521" t="s">
        <v>196</v>
      </c>
      <c r="F1521" t="s">
        <v>35</v>
      </c>
      <c r="G1521" t="s">
        <v>35</v>
      </c>
      <c r="H1521" t="s">
        <v>35</v>
      </c>
      <c r="J1521" t="s">
        <v>2056</v>
      </c>
      <c r="K1521" t="s">
        <v>1092</v>
      </c>
      <c r="M1521">
        <v>3.35</v>
      </c>
      <c r="N1521">
        <v>68</v>
      </c>
      <c r="O1521" t="s">
        <v>61</v>
      </c>
      <c r="Q1521" t="s">
        <v>805</v>
      </c>
      <c r="R1521" t="s">
        <v>1331</v>
      </c>
      <c r="S1521" t="s">
        <v>1332</v>
      </c>
      <c r="T1521" t="s">
        <v>1333</v>
      </c>
    </row>
    <row r="1522" spans="1:20" x14ac:dyDescent="0.25">
      <c r="A1522" t="s">
        <v>59</v>
      </c>
      <c r="B1522" t="s">
        <v>60</v>
      </c>
      <c r="C1522" t="s">
        <v>32</v>
      </c>
      <c r="D1522" t="s">
        <v>33</v>
      </c>
      <c r="E1522" t="s">
        <v>87</v>
      </c>
      <c r="F1522" t="s">
        <v>35</v>
      </c>
      <c r="G1522" t="s">
        <v>35</v>
      </c>
      <c r="H1522" t="s">
        <v>35</v>
      </c>
      <c r="J1522" t="s">
        <v>1489</v>
      </c>
      <c r="K1522" t="s">
        <v>1092</v>
      </c>
      <c r="M1522">
        <v>2.4510000000000001</v>
      </c>
      <c r="N1522">
        <v>238</v>
      </c>
      <c r="O1522" t="s">
        <v>5</v>
      </c>
      <c r="Q1522" t="s">
        <v>111</v>
      </c>
      <c r="R1522" t="s">
        <v>1331</v>
      </c>
      <c r="S1522" t="s">
        <v>1332</v>
      </c>
      <c r="T1522" t="s">
        <v>1333</v>
      </c>
    </row>
    <row r="1523" spans="1:20" x14ac:dyDescent="0.25">
      <c r="A1523" t="s">
        <v>59</v>
      </c>
      <c r="B1523" t="s">
        <v>60</v>
      </c>
      <c r="C1523" t="s">
        <v>32</v>
      </c>
      <c r="D1523" t="s">
        <v>33</v>
      </c>
      <c r="E1523" t="s">
        <v>1520</v>
      </c>
      <c r="F1523" t="s">
        <v>35</v>
      </c>
      <c r="G1523" t="s">
        <v>35</v>
      </c>
      <c r="H1523" t="s">
        <v>35</v>
      </c>
      <c r="J1523" t="s">
        <v>1523</v>
      </c>
      <c r="K1523" t="s">
        <v>1092</v>
      </c>
      <c r="M1523">
        <v>1.5</v>
      </c>
      <c r="N1523">
        <v>68</v>
      </c>
      <c r="O1523" t="s">
        <v>61</v>
      </c>
      <c r="Q1523" t="s">
        <v>805</v>
      </c>
      <c r="R1523" t="s">
        <v>1331</v>
      </c>
      <c r="S1523" t="s">
        <v>1332</v>
      </c>
      <c r="T1523" t="s">
        <v>1333</v>
      </c>
    </row>
    <row r="1524" spans="1:20" x14ac:dyDescent="0.25">
      <c r="A1524" t="s">
        <v>59</v>
      </c>
      <c r="B1524" t="s">
        <v>60</v>
      </c>
      <c r="C1524" t="s">
        <v>32</v>
      </c>
      <c r="D1524" t="s">
        <v>33</v>
      </c>
      <c r="E1524" t="s">
        <v>1520</v>
      </c>
      <c r="F1524" t="s">
        <v>35</v>
      </c>
      <c r="G1524" t="s">
        <v>35</v>
      </c>
      <c r="H1524" t="s">
        <v>35</v>
      </c>
      <c r="J1524" t="s">
        <v>1564</v>
      </c>
      <c r="K1524" t="s">
        <v>1092</v>
      </c>
      <c r="M1524">
        <v>3</v>
      </c>
      <c r="N1524">
        <v>68</v>
      </c>
      <c r="O1524" t="s">
        <v>61</v>
      </c>
      <c r="Q1524" t="s">
        <v>805</v>
      </c>
      <c r="R1524" t="s">
        <v>1331</v>
      </c>
      <c r="S1524" t="s">
        <v>1332</v>
      </c>
      <c r="T1524" t="s">
        <v>1333</v>
      </c>
    </row>
    <row r="1525" spans="1:20" x14ac:dyDescent="0.25">
      <c r="A1525" t="s">
        <v>59</v>
      </c>
      <c r="B1525" t="s">
        <v>31</v>
      </c>
      <c r="C1525" t="s">
        <v>32</v>
      </c>
      <c r="D1525" t="s">
        <v>33</v>
      </c>
      <c r="E1525" t="s">
        <v>1520</v>
      </c>
      <c r="F1525" t="s">
        <v>35</v>
      </c>
      <c r="G1525" t="s">
        <v>35</v>
      </c>
      <c r="H1525" t="s">
        <v>35</v>
      </c>
      <c r="J1525" t="s">
        <v>1564</v>
      </c>
      <c r="K1525" t="s">
        <v>1092</v>
      </c>
      <c r="M1525">
        <v>3.4649999999999999</v>
      </c>
      <c r="N1525">
        <v>68</v>
      </c>
      <c r="O1525" t="s">
        <v>61</v>
      </c>
      <c r="Q1525" t="s">
        <v>805</v>
      </c>
      <c r="R1525" t="s">
        <v>1331</v>
      </c>
      <c r="S1525" t="s">
        <v>1332</v>
      </c>
      <c r="T1525" t="s">
        <v>1333</v>
      </c>
    </row>
    <row r="1526" spans="1:20" x14ac:dyDescent="0.25">
      <c r="A1526" t="s">
        <v>59</v>
      </c>
      <c r="B1526" t="s">
        <v>60</v>
      </c>
      <c r="C1526" t="s">
        <v>32</v>
      </c>
      <c r="D1526" t="s">
        <v>33</v>
      </c>
      <c r="E1526" t="s">
        <v>122</v>
      </c>
      <c r="F1526" t="s">
        <v>35</v>
      </c>
      <c r="G1526" t="s">
        <v>35</v>
      </c>
      <c r="H1526" t="s">
        <v>35</v>
      </c>
      <c r="J1526" t="s">
        <v>1683</v>
      </c>
      <c r="K1526" t="s">
        <v>1092</v>
      </c>
      <c r="M1526">
        <v>0.75</v>
      </c>
      <c r="N1526">
        <v>354</v>
      </c>
      <c r="O1526" t="s">
        <v>5</v>
      </c>
      <c r="Q1526" t="s">
        <v>1685</v>
      </c>
      <c r="R1526" t="s">
        <v>1331</v>
      </c>
      <c r="S1526" t="s">
        <v>1332</v>
      </c>
      <c r="T1526" t="s">
        <v>1333</v>
      </c>
    </row>
    <row r="1527" spans="1:20" x14ac:dyDescent="0.25">
      <c r="A1527" t="s">
        <v>59</v>
      </c>
      <c r="B1527" t="s">
        <v>60</v>
      </c>
      <c r="C1527" t="s">
        <v>32</v>
      </c>
      <c r="D1527" t="s">
        <v>33</v>
      </c>
      <c r="E1527" t="s">
        <v>172</v>
      </c>
      <c r="F1527" t="s">
        <v>35</v>
      </c>
      <c r="G1527" t="s">
        <v>35</v>
      </c>
      <c r="H1527" t="s">
        <v>35</v>
      </c>
      <c r="J1527" t="s">
        <v>1910</v>
      </c>
      <c r="K1527" t="s">
        <v>404</v>
      </c>
      <c r="M1527">
        <v>10.675000000000001</v>
      </c>
      <c r="N1527">
        <v>68</v>
      </c>
      <c r="O1527" t="s">
        <v>61</v>
      </c>
      <c r="Q1527" t="s">
        <v>805</v>
      </c>
      <c r="R1527" t="s">
        <v>1331</v>
      </c>
      <c r="S1527" t="s">
        <v>1332</v>
      </c>
      <c r="T1527" t="s">
        <v>1333</v>
      </c>
    </row>
    <row r="1528" spans="1:20" x14ac:dyDescent="0.25">
      <c r="A1528" t="s">
        <v>59</v>
      </c>
      <c r="B1528" t="s">
        <v>60</v>
      </c>
      <c r="C1528" t="s">
        <v>32</v>
      </c>
      <c r="D1528" t="s">
        <v>33</v>
      </c>
      <c r="E1528" t="s">
        <v>1292</v>
      </c>
      <c r="F1528" t="s">
        <v>35</v>
      </c>
      <c r="G1528" t="s">
        <v>35</v>
      </c>
      <c r="H1528" t="s">
        <v>35</v>
      </c>
      <c r="J1528" t="s">
        <v>1354</v>
      </c>
      <c r="K1528" t="s">
        <v>1092</v>
      </c>
      <c r="M1528">
        <v>0.8</v>
      </c>
      <c r="N1528">
        <v>451</v>
      </c>
      <c r="O1528" t="s">
        <v>294</v>
      </c>
      <c r="Q1528" t="s">
        <v>1355</v>
      </c>
      <c r="R1528" t="s">
        <v>1331</v>
      </c>
      <c r="S1528" t="s">
        <v>1332</v>
      </c>
      <c r="T1528" t="s">
        <v>1333</v>
      </c>
    </row>
    <row r="1529" spans="1:20" x14ac:dyDescent="0.25">
      <c r="A1529" t="s">
        <v>59</v>
      </c>
      <c r="B1529" t="s">
        <v>60</v>
      </c>
      <c r="C1529" t="s">
        <v>32</v>
      </c>
      <c r="D1529" t="s">
        <v>33</v>
      </c>
      <c r="E1529" t="s">
        <v>1292</v>
      </c>
      <c r="F1529" t="s">
        <v>35</v>
      </c>
      <c r="G1529" t="s">
        <v>35</v>
      </c>
      <c r="H1529" t="s">
        <v>35</v>
      </c>
      <c r="J1529" t="s">
        <v>1357</v>
      </c>
      <c r="K1529" t="s">
        <v>1092</v>
      </c>
      <c r="M1529">
        <v>4</v>
      </c>
      <c r="N1529">
        <v>56</v>
      </c>
      <c r="O1529" t="s">
        <v>52</v>
      </c>
      <c r="Q1529" t="s">
        <v>423</v>
      </c>
      <c r="R1529" t="s">
        <v>1331</v>
      </c>
      <c r="S1529" t="s">
        <v>1332</v>
      </c>
      <c r="T1529" t="s">
        <v>1333</v>
      </c>
    </row>
    <row r="1530" spans="1:20" x14ac:dyDescent="0.25">
      <c r="A1530" t="s">
        <v>59</v>
      </c>
      <c r="B1530" t="s">
        <v>31</v>
      </c>
      <c r="C1530" t="s">
        <v>32</v>
      </c>
      <c r="D1530" t="s">
        <v>33</v>
      </c>
      <c r="E1530" t="s">
        <v>1292</v>
      </c>
      <c r="F1530" t="s">
        <v>35</v>
      </c>
      <c r="G1530" t="s">
        <v>35</v>
      </c>
      <c r="H1530" t="s">
        <v>35</v>
      </c>
      <c r="J1530" t="s">
        <v>1357</v>
      </c>
      <c r="K1530" t="s">
        <v>1092</v>
      </c>
      <c r="M1530">
        <v>4.9950000000000001</v>
      </c>
      <c r="N1530">
        <v>56</v>
      </c>
      <c r="O1530" t="s">
        <v>52</v>
      </c>
      <c r="Q1530" t="s">
        <v>423</v>
      </c>
      <c r="R1530" t="s">
        <v>1331</v>
      </c>
      <c r="S1530" t="s">
        <v>1332</v>
      </c>
      <c r="T1530" t="s">
        <v>1333</v>
      </c>
    </row>
    <row r="1531" spans="1:20" x14ac:dyDescent="0.25">
      <c r="A1531" t="s">
        <v>59</v>
      </c>
      <c r="B1531" t="s">
        <v>60</v>
      </c>
      <c r="C1531" t="s">
        <v>32</v>
      </c>
      <c r="D1531" t="s">
        <v>33</v>
      </c>
      <c r="E1531" t="s">
        <v>1292</v>
      </c>
      <c r="F1531" t="s">
        <v>35</v>
      </c>
      <c r="G1531" t="s">
        <v>35</v>
      </c>
      <c r="H1531" t="s">
        <v>35</v>
      </c>
      <c r="J1531" t="s">
        <v>1330</v>
      </c>
      <c r="K1531" t="s">
        <v>1092</v>
      </c>
      <c r="M1531">
        <v>5.0999999999999996</v>
      </c>
      <c r="N1531">
        <v>56</v>
      </c>
      <c r="O1531" t="s">
        <v>52</v>
      </c>
      <c r="Q1531" t="s">
        <v>423</v>
      </c>
      <c r="R1531" t="s">
        <v>1331</v>
      </c>
      <c r="S1531" t="s">
        <v>1332</v>
      </c>
      <c r="T1531" t="s">
        <v>1333</v>
      </c>
    </row>
    <row r="1532" spans="1:20" x14ac:dyDescent="0.25">
      <c r="A1532" t="s">
        <v>59</v>
      </c>
      <c r="B1532" t="s">
        <v>31</v>
      </c>
      <c r="C1532" t="s">
        <v>32</v>
      </c>
      <c r="D1532" t="s">
        <v>33</v>
      </c>
      <c r="E1532" t="s">
        <v>119</v>
      </c>
      <c r="F1532" t="s">
        <v>35</v>
      </c>
      <c r="G1532" t="s">
        <v>35</v>
      </c>
      <c r="H1532" t="s">
        <v>35</v>
      </c>
      <c r="J1532" t="s">
        <v>1628</v>
      </c>
      <c r="K1532" t="s">
        <v>1092</v>
      </c>
      <c r="M1532">
        <v>5.49</v>
      </c>
      <c r="N1532">
        <v>24</v>
      </c>
      <c r="O1532" t="s">
        <v>46</v>
      </c>
      <c r="Q1532" t="s">
        <v>972</v>
      </c>
      <c r="R1532" t="s">
        <v>1331</v>
      </c>
      <c r="S1532" t="s">
        <v>1332</v>
      </c>
      <c r="T1532" t="s">
        <v>1333</v>
      </c>
    </row>
    <row r="1533" spans="1:20" x14ac:dyDescent="0.25">
      <c r="A1533" t="s">
        <v>30</v>
      </c>
      <c r="B1533" t="s">
        <v>31</v>
      </c>
      <c r="C1533" t="s">
        <v>32</v>
      </c>
      <c r="D1533" t="s">
        <v>33</v>
      </c>
      <c r="E1533" t="s">
        <v>196</v>
      </c>
      <c r="F1533" t="s">
        <v>35</v>
      </c>
      <c r="G1533" t="s">
        <v>35</v>
      </c>
      <c r="H1533" t="s">
        <v>35</v>
      </c>
      <c r="J1533" t="s">
        <v>2039</v>
      </c>
      <c r="K1533" t="s">
        <v>1092</v>
      </c>
      <c r="M1533">
        <v>5.49</v>
      </c>
      <c r="N1533">
        <v>40</v>
      </c>
      <c r="O1533" t="s">
        <v>52</v>
      </c>
      <c r="Q1533" t="s">
        <v>132</v>
      </c>
      <c r="R1533" t="s">
        <v>1331</v>
      </c>
      <c r="S1533" t="s">
        <v>1332</v>
      </c>
      <c r="T1533" t="s">
        <v>1333</v>
      </c>
    </row>
    <row r="1534" spans="1:20" x14ac:dyDescent="0.25">
      <c r="A1534" t="s">
        <v>59</v>
      </c>
      <c r="B1534" t="s">
        <v>60</v>
      </c>
      <c r="C1534" t="s">
        <v>32</v>
      </c>
      <c r="D1534" t="s">
        <v>33</v>
      </c>
      <c r="E1534" t="s">
        <v>87</v>
      </c>
      <c r="F1534" t="s">
        <v>35</v>
      </c>
      <c r="G1534" t="s">
        <v>35</v>
      </c>
      <c r="H1534" t="s">
        <v>35</v>
      </c>
      <c r="J1534" t="s">
        <v>1514</v>
      </c>
      <c r="K1534" t="s">
        <v>1092</v>
      </c>
      <c r="M1534">
        <v>0.75</v>
      </c>
      <c r="N1534">
        <v>68</v>
      </c>
      <c r="O1534" t="s">
        <v>61</v>
      </c>
      <c r="Q1534" t="s">
        <v>805</v>
      </c>
      <c r="R1534" t="s">
        <v>1331</v>
      </c>
      <c r="S1534" t="s">
        <v>1332</v>
      </c>
      <c r="T1534" t="s">
        <v>1333</v>
      </c>
    </row>
    <row r="1535" spans="1:20" x14ac:dyDescent="0.25">
      <c r="A1535" t="s">
        <v>30</v>
      </c>
      <c r="B1535" t="s">
        <v>31</v>
      </c>
      <c r="C1535" t="s">
        <v>32</v>
      </c>
      <c r="D1535" t="s">
        <v>33</v>
      </c>
      <c r="E1535" t="s">
        <v>87</v>
      </c>
      <c r="F1535" t="s">
        <v>35</v>
      </c>
      <c r="G1535" t="s">
        <v>35</v>
      </c>
      <c r="H1535" t="s">
        <v>35</v>
      </c>
      <c r="J1535" t="s">
        <v>1514</v>
      </c>
      <c r="K1535" t="s">
        <v>1092</v>
      </c>
      <c r="M1535">
        <v>4.68</v>
      </c>
      <c r="N1535">
        <v>40</v>
      </c>
      <c r="O1535" t="s">
        <v>52</v>
      </c>
      <c r="Q1535" t="s">
        <v>132</v>
      </c>
      <c r="R1535" t="s">
        <v>1331</v>
      </c>
      <c r="S1535" t="s">
        <v>1332</v>
      </c>
      <c r="T1535" t="s">
        <v>1333</v>
      </c>
    </row>
    <row r="1536" spans="1:20" x14ac:dyDescent="0.25">
      <c r="A1536" t="s">
        <v>44</v>
      </c>
      <c r="B1536" t="s">
        <v>3</v>
      </c>
      <c r="C1536" t="s">
        <v>32</v>
      </c>
      <c r="D1536" t="s">
        <v>33</v>
      </c>
      <c r="E1536" t="s">
        <v>87</v>
      </c>
      <c r="F1536" t="s">
        <v>35</v>
      </c>
      <c r="G1536" t="s">
        <v>35</v>
      </c>
      <c r="H1536" t="s">
        <v>35</v>
      </c>
      <c r="J1536" t="s">
        <v>1514</v>
      </c>
      <c r="K1536" t="s">
        <v>1092</v>
      </c>
      <c r="M1536">
        <v>5.25</v>
      </c>
      <c r="N1536">
        <v>60</v>
      </c>
      <c r="O1536" t="s">
        <v>52</v>
      </c>
      <c r="Q1536" t="s">
        <v>1311</v>
      </c>
      <c r="R1536" t="s">
        <v>1331</v>
      </c>
      <c r="S1536" t="s">
        <v>1332</v>
      </c>
      <c r="T1536" t="s">
        <v>1333</v>
      </c>
    </row>
    <row r="1537" spans="1:20" x14ac:dyDescent="0.25">
      <c r="A1537" t="s">
        <v>44</v>
      </c>
      <c r="B1537" t="s">
        <v>51</v>
      </c>
      <c r="C1537" t="s">
        <v>32</v>
      </c>
      <c r="D1537" t="s">
        <v>33</v>
      </c>
      <c r="E1537" t="s">
        <v>87</v>
      </c>
      <c r="F1537" t="s">
        <v>35</v>
      </c>
      <c r="G1537" t="s">
        <v>35</v>
      </c>
      <c r="H1537" t="s">
        <v>35</v>
      </c>
      <c r="J1537" t="s">
        <v>1514</v>
      </c>
      <c r="K1537" t="s">
        <v>1092</v>
      </c>
      <c r="M1537">
        <v>2.85</v>
      </c>
      <c r="N1537">
        <v>54</v>
      </c>
      <c r="O1537" t="s">
        <v>52</v>
      </c>
      <c r="Q1537" t="s">
        <v>671</v>
      </c>
      <c r="R1537" t="s">
        <v>1331</v>
      </c>
      <c r="S1537" t="s">
        <v>1332</v>
      </c>
      <c r="T1537" t="s">
        <v>1333</v>
      </c>
    </row>
    <row r="1538" spans="1:20" x14ac:dyDescent="0.25">
      <c r="A1538" t="s">
        <v>30</v>
      </c>
      <c r="B1538" t="s">
        <v>31</v>
      </c>
      <c r="C1538" t="s">
        <v>32</v>
      </c>
      <c r="D1538" t="s">
        <v>33</v>
      </c>
      <c r="E1538" t="s">
        <v>1292</v>
      </c>
      <c r="F1538" t="s">
        <v>35</v>
      </c>
      <c r="G1538" t="s">
        <v>35</v>
      </c>
      <c r="H1538" t="s">
        <v>35</v>
      </c>
      <c r="J1538" t="s">
        <v>1409</v>
      </c>
      <c r="K1538" t="s">
        <v>1092</v>
      </c>
      <c r="M1538">
        <v>0.01</v>
      </c>
      <c r="N1538">
        <v>451</v>
      </c>
      <c r="O1538" t="s">
        <v>294</v>
      </c>
      <c r="Q1538" t="s">
        <v>1355</v>
      </c>
      <c r="R1538" t="s">
        <v>1331</v>
      </c>
      <c r="S1538" t="s">
        <v>1332</v>
      </c>
      <c r="T1538" t="s">
        <v>1333</v>
      </c>
    </row>
    <row r="1539" spans="1:20" x14ac:dyDescent="0.25">
      <c r="A1539" t="s">
        <v>30</v>
      </c>
      <c r="B1539" t="s">
        <v>31</v>
      </c>
      <c r="C1539" t="s">
        <v>32</v>
      </c>
      <c r="D1539" t="s">
        <v>33</v>
      </c>
      <c r="E1539" t="s">
        <v>122</v>
      </c>
      <c r="F1539" t="s">
        <v>35</v>
      </c>
      <c r="G1539" t="s">
        <v>35</v>
      </c>
      <c r="H1539" t="s">
        <v>35</v>
      </c>
      <c r="J1539" t="s">
        <v>1814</v>
      </c>
      <c r="K1539" t="s">
        <v>1092</v>
      </c>
      <c r="M1539">
        <v>8.2799999999999994</v>
      </c>
      <c r="N1539">
        <v>17</v>
      </c>
      <c r="O1539" t="s">
        <v>46</v>
      </c>
      <c r="Q1539" t="s">
        <v>255</v>
      </c>
      <c r="R1539" t="s">
        <v>1331</v>
      </c>
      <c r="S1539" t="s">
        <v>1332</v>
      </c>
      <c r="T1539" t="s">
        <v>1333</v>
      </c>
    </row>
    <row r="1540" spans="1:20" x14ac:dyDescent="0.25">
      <c r="A1540" t="s">
        <v>59</v>
      </c>
      <c r="B1540" t="s">
        <v>60</v>
      </c>
      <c r="C1540" t="s">
        <v>32</v>
      </c>
      <c r="D1540" t="s">
        <v>33</v>
      </c>
      <c r="E1540" t="s">
        <v>1520</v>
      </c>
      <c r="F1540" t="s">
        <v>35</v>
      </c>
      <c r="G1540" t="s">
        <v>35</v>
      </c>
      <c r="H1540" t="s">
        <v>35</v>
      </c>
      <c r="J1540" t="s">
        <v>1563</v>
      </c>
      <c r="K1540" t="s">
        <v>1092</v>
      </c>
      <c r="M1540">
        <v>0.1</v>
      </c>
      <c r="N1540">
        <v>68</v>
      </c>
      <c r="O1540" t="s">
        <v>61</v>
      </c>
      <c r="Q1540" t="s">
        <v>805</v>
      </c>
      <c r="R1540" t="s">
        <v>1331</v>
      </c>
      <c r="S1540" t="s">
        <v>1332</v>
      </c>
      <c r="T1540" t="s">
        <v>1333</v>
      </c>
    </row>
    <row r="1541" spans="1:20" x14ac:dyDescent="0.25">
      <c r="A1541" t="s">
        <v>30</v>
      </c>
      <c r="B1541" t="s">
        <v>31</v>
      </c>
      <c r="C1541" t="s">
        <v>32</v>
      </c>
      <c r="D1541" t="s">
        <v>33</v>
      </c>
      <c r="E1541" t="s">
        <v>1520</v>
      </c>
      <c r="F1541" t="s">
        <v>35</v>
      </c>
      <c r="G1541" t="s">
        <v>35</v>
      </c>
      <c r="H1541" t="s">
        <v>35</v>
      </c>
      <c r="J1541" t="s">
        <v>1549</v>
      </c>
      <c r="K1541" t="s">
        <v>1092</v>
      </c>
      <c r="M1541">
        <v>1.415</v>
      </c>
      <c r="N1541">
        <v>419</v>
      </c>
      <c r="O1541" t="s">
        <v>294</v>
      </c>
      <c r="Q1541" t="s">
        <v>1550</v>
      </c>
      <c r="R1541" t="s">
        <v>1331</v>
      </c>
      <c r="S1541" t="s">
        <v>1332</v>
      </c>
      <c r="T1541" t="s">
        <v>1333</v>
      </c>
    </row>
    <row r="1542" spans="1:20" x14ac:dyDescent="0.25">
      <c r="A1542" t="s">
        <v>59</v>
      </c>
      <c r="B1542" t="s">
        <v>60</v>
      </c>
      <c r="C1542" t="s">
        <v>32</v>
      </c>
      <c r="D1542" t="s">
        <v>33</v>
      </c>
      <c r="E1542" t="s">
        <v>122</v>
      </c>
      <c r="F1542" t="s">
        <v>35</v>
      </c>
      <c r="G1542" t="s">
        <v>35</v>
      </c>
      <c r="H1542" t="s">
        <v>35</v>
      </c>
      <c r="J1542" t="s">
        <v>1743</v>
      </c>
      <c r="K1542" t="s">
        <v>1092</v>
      </c>
      <c r="M1542">
        <v>1.57</v>
      </c>
      <c r="N1542">
        <v>473</v>
      </c>
      <c r="O1542" t="s">
        <v>294</v>
      </c>
      <c r="Q1542" t="s">
        <v>1405</v>
      </c>
      <c r="R1542" t="s">
        <v>1331</v>
      </c>
      <c r="S1542" t="s">
        <v>1332</v>
      </c>
      <c r="T1542" t="s">
        <v>1333</v>
      </c>
    </row>
    <row r="1543" spans="1:20" x14ac:dyDescent="0.25">
      <c r="A1543" t="s">
        <v>59</v>
      </c>
      <c r="B1543" t="s">
        <v>60</v>
      </c>
      <c r="C1543" t="s">
        <v>32</v>
      </c>
      <c r="D1543" t="s">
        <v>33</v>
      </c>
      <c r="E1543" t="s">
        <v>172</v>
      </c>
      <c r="F1543" t="s">
        <v>35</v>
      </c>
      <c r="G1543" t="s">
        <v>35</v>
      </c>
      <c r="H1543" t="s">
        <v>35</v>
      </c>
      <c r="J1543" t="s">
        <v>1976</v>
      </c>
      <c r="K1543" t="s">
        <v>404</v>
      </c>
      <c r="M1543">
        <v>5.5</v>
      </c>
      <c r="N1543">
        <v>68</v>
      </c>
      <c r="O1543" t="s">
        <v>61</v>
      </c>
      <c r="Q1543" t="s">
        <v>805</v>
      </c>
      <c r="R1543" t="s">
        <v>1331</v>
      </c>
      <c r="S1543" t="s">
        <v>1332</v>
      </c>
      <c r="T1543" t="s">
        <v>1333</v>
      </c>
    </row>
    <row r="1544" spans="1:20" x14ac:dyDescent="0.25">
      <c r="A1544" t="s">
        <v>59</v>
      </c>
      <c r="B1544" t="s">
        <v>31</v>
      </c>
      <c r="C1544" t="s">
        <v>32</v>
      </c>
      <c r="D1544" t="s">
        <v>33</v>
      </c>
      <c r="E1544" t="s">
        <v>172</v>
      </c>
      <c r="F1544" t="s">
        <v>35</v>
      </c>
      <c r="G1544" t="s">
        <v>35</v>
      </c>
      <c r="H1544" t="s">
        <v>35</v>
      </c>
      <c r="J1544" t="s">
        <v>1976</v>
      </c>
      <c r="K1544" t="s">
        <v>404</v>
      </c>
      <c r="M1544">
        <v>10.98</v>
      </c>
      <c r="N1544">
        <v>68</v>
      </c>
      <c r="O1544" t="s">
        <v>61</v>
      </c>
      <c r="Q1544" t="s">
        <v>805</v>
      </c>
      <c r="R1544" t="s">
        <v>1331</v>
      </c>
      <c r="S1544" t="s">
        <v>1332</v>
      </c>
      <c r="T1544" t="s">
        <v>1333</v>
      </c>
    </row>
    <row r="1545" spans="1:20" x14ac:dyDescent="0.25">
      <c r="A1545" t="s">
        <v>30</v>
      </c>
      <c r="B1545" t="s">
        <v>31</v>
      </c>
      <c r="C1545" t="s">
        <v>32</v>
      </c>
      <c r="D1545" t="s">
        <v>33</v>
      </c>
      <c r="E1545" t="s">
        <v>122</v>
      </c>
      <c r="F1545" t="s">
        <v>35</v>
      </c>
      <c r="G1545" t="s">
        <v>35</v>
      </c>
      <c r="H1545" t="s">
        <v>35</v>
      </c>
      <c r="J1545" t="s">
        <v>1767</v>
      </c>
      <c r="K1545" t="s">
        <v>1092</v>
      </c>
      <c r="M1545">
        <v>9.99</v>
      </c>
      <c r="N1545">
        <v>17</v>
      </c>
      <c r="O1545" t="s">
        <v>46</v>
      </c>
      <c r="Q1545" t="s">
        <v>255</v>
      </c>
      <c r="R1545" t="s">
        <v>1331</v>
      </c>
      <c r="S1545" t="s">
        <v>1332</v>
      </c>
      <c r="T1545" t="s">
        <v>1333</v>
      </c>
    </row>
    <row r="1546" spans="1:20" x14ac:dyDescent="0.25">
      <c r="A1546" t="s">
        <v>30</v>
      </c>
      <c r="B1546" t="s">
        <v>31</v>
      </c>
      <c r="C1546" t="s">
        <v>32</v>
      </c>
      <c r="D1546" t="s">
        <v>33</v>
      </c>
      <c r="E1546" t="s">
        <v>2107</v>
      </c>
      <c r="F1546" t="s">
        <v>35</v>
      </c>
      <c r="G1546" t="s">
        <v>35</v>
      </c>
      <c r="H1546" t="s">
        <v>35</v>
      </c>
      <c r="J1546" t="s">
        <v>2110</v>
      </c>
      <c r="K1546" t="s">
        <v>1092</v>
      </c>
      <c r="M1546">
        <v>5.4450000000000003</v>
      </c>
      <c r="N1546">
        <v>40</v>
      </c>
      <c r="O1546" t="s">
        <v>52</v>
      </c>
      <c r="Q1546" t="s">
        <v>132</v>
      </c>
      <c r="R1546" t="s">
        <v>1331</v>
      </c>
      <c r="S1546" t="s">
        <v>1332</v>
      </c>
      <c r="T1546" t="s">
        <v>1333</v>
      </c>
    </row>
    <row r="1547" spans="1:20" x14ac:dyDescent="0.25">
      <c r="A1547" t="s">
        <v>59</v>
      </c>
      <c r="B1547" t="s">
        <v>60</v>
      </c>
      <c r="C1547" t="s">
        <v>32</v>
      </c>
      <c r="D1547" t="s">
        <v>33</v>
      </c>
      <c r="E1547" t="s">
        <v>119</v>
      </c>
      <c r="F1547" t="s">
        <v>35</v>
      </c>
      <c r="G1547" t="s">
        <v>35</v>
      </c>
      <c r="H1547" t="s">
        <v>35</v>
      </c>
      <c r="J1547" t="s">
        <v>1613</v>
      </c>
      <c r="K1547" t="s">
        <v>1092</v>
      </c>
      <c r="M1547">
        <v>0.8</v>
      </c>
      <c r="N1547">
        <v>497</v>
      </c>
      <c r="O1547" t="s">
        <v>294</v>
      </c>
      <c r="Q1547" t="s">
        <v>1614</v>
      </c>
      <c r="R1547" t="s">
        <v>1615</v>
      </c>
      <c r="S1547" t="s">
        <v>1616</v>
      </c>
      <c r="T1547" t="s">
        <v>1617</v>
      </c>
    </row>
    <row r="1548" spans="1:20" x14ac:dyDescent="0.25">
      <c r="A1548" t="s">
        <v>59</v>
      </c>
      <c r="B1548" t="s">
        <v>60</v>
      </c>
      <c r="C1548" t="s">
        <v>32</v>
      </c>
      <c r="D1548" t="s">
        <v>33</v>
      </c>
      <c r="E1548" t="s">
        <v>2059</v>
      </c>
      <c r="F1548" t="s">
        <v>35</v>
      </c>
      <c r="G1548" t="s">
        <v>35</v>
      </c>
      <c r="H1548" t="s">
        <v>35</v>
      </c>
      <c r="J1548" t="s">
        <v>2064</v>
      </c>
      <c r="K1548" t="s">
        <v>1092</v>
      </c>
      <c r="M1548">
        <v>0.6</v>
      </c>
      <c r="N1548">
        <v>325</v>
      </c>
      <c r="O1548" t="s">
        <v>5</v>
      </c>
      <c r="Q1548" t="s">
        <v>2065</v>
      </c>
      <c r="R1548" t="s">
        <v>1615</v>
      </c>
      <c r="S1548" t="s">
        <v>1616</v>
      </c>
      <c r="T1548" t="s">
        <v>1617</v>
      </c>
    </row>
    <row r="1549" spans="1:20" x14ac:dyDescent="0.25">
      <c r="A1549" t="s">
        <v>59</v>
      </c>
      <c r="B1549" t="s">
        <v>60</v>
      </c>
      <c r="C1549" t="s">
        <v>32</v>
      </c>
      <c r="D1549" t="s">
        <v>33</v>
      </c>
      <c r="E1549" t="s">
        <v>2059</v>
      </c>
      <c r="F1549" t="s">
        <v>35</v>
      </c>
      <c r="G1549" t="s">
        <v>35</v>
      </c>
      <c r="H1549" t="s">
        <v>35</v>
      </c>
      <c r="J1549" t="s">
        <v>2078</v>
      </c>
      <c r="K1549" t="s">
        <v>1092</v>
      </c>
      <c r="M1549">
        <v>0.1</v>
      </c>
      <c r="N1549">
        <v>300</v>
      </c>
      <c r="O1549" t="s">
        <v>5</v>
      </c>
      <c r="Q1549" t="s">
        <v>2079</v>
      </c>
      <c r="R1549" t="s">
        <v>1615</v>
      </c>
      <c r="S1549" t="s">
        <v>1616</v>
      </c>
      <c r="T1549" t="s">
        <v>1617</v>
      </c>
    </row>
    <row r="1550" spans="1:20" x14ac:dyDescent="0.25">
      <c r="A1550" t="s">
        <v>59</v>
      </c>
      <c r="B1550" t="s">
        <v>60</v>
      </c>
      <c r="C1550" t="s">
        <v>32</v>
      </c>
      <c r="D1550" t="s">
        <v>33</v>
      </c>
      <c r="E1550" t="s">
        <v>119</v>
      </c>
      <c r="F1550" t="s">
        <v>35</v>
      </c>
      <c r="G1550" t="s">
        <v>35</v>
      </c>
      <c r="H1550" t="s">
        <v>35</v>
      </c>
      <c r="J1550" t="s">
        <v>1623</v>
      </c>
      <c r="K1550" t="s">
        <v>1092</v>
      </c>
      <c r="M1550">
        <v>0.155</v>
      </c>
      <c r="N1550">
        <v>538</v>
      </c>
      <c r="O1550" t="s">
        <v>294</v>
      </c>
      <c r="Q1550" t="s">
        <v>1472</v>
      </c>
      <c r="R1550" t="s">
        <v>1615</v>
      </c>
      <c r="S1550" t="s">
        <v>1616</v>
      </c>
      <c r="T1550" t="s">
        <v>1617</v>
      </c>
    </row>
    <row r="1551" spans="1:20" x14ac:dyDescent="0.25">
      <c r="A1551" t="s">
        <v>59</v>
      </c>
      <c r="B1551" t="s">
        <v>31</v>
      </c>
      <c r="C1551" t="s">
        <v>32</v>
      </c>
      <c r="D1551" t="s">
        <v>33</v>
      </c>
      <c r="E1551" t="s">
        <v>122</v>
      </c>
      <c r="F1551" t="s">
        <v>35</v>
      </c>
      <c r="G1551" t="s">
        <v>35</v>
      </c>
      <c r="H1551" t="s">
        <v>35</v>
      </c>
      <c r="J1551" t="s">
        <v>1812</v>
      </c>
      <c r="K1551" t="s">
        <v>1092</v>
      </c>
      <c r="M1551">
        <v>6</v>
      </c>
      <c r="N1551">
        <v>68</v>
      </c>
      <c r="O1551" t="s">
        <v>61</v>
      </c>
      <c r="Q1551" t="s">
        <v>805</v>
      </c>
      <c r="R1551" t="s">
        <v>1726</v>
      </c>
      <c r="S1551" t="s">
        <v>149</v>
      </c>
      <c r="T1551" t="s">
        <v>150</v>
      </c>
    </row>
    <row r="1552" spans="1:20" x14ac:dyDescent="0.25">
      <c r="A1552" t="s">
        <v>59</v>
      </c>
      <c r="B1552" t="s">
        <v>31</v>
      </c>
      <c r="C1552" t="s">
        <v>32</v>
      </c>
      <c r="D1552" t="s">
        <v>33</v>
      </c>
      <c r="E1552" t="s">
        <v>122</v>
      </c>
      <c r="F1552" t="s">
        <v>35</v>
      </c>
      <c r="G1552" t="s">
        <v>35</v>
      </c>
      <c r="H1552" t="s">
        <v>35</v>
      </c>
      <c r="J1552" t="s">
        <v>1789</v>
      </c>
      <c r="K1552" t="s">
        <v>1092</v>
      </c>
      <c r="M1552">
        <v>2.44</v>
      </c>
      <c r="N1552">
        <v>68</v>
      </c>
      <c r="O1552" t="s">
        <v>61</v>
      </c>
      <c r="Q1552" t="s">
        <v>805</v>
      </c>
      <c r="R1552" t="s">
        <v>1726</v>
      </c>
      <c r="S1552" t="s">
        <v>149</v>
      </c>
      <c r="T1552" t="s">
        <v>150</v>
      </c>
    </row>
    <row r="1553" spans="1:20" x14ac:dyDescent="0.25">
      <c r="A1553" t="s">
        <v>44</v>
      </c>
      <c r="B1553" t="s">
        <v>51</v>
      </c>
      <c r="C1553" t="s">
        <v>32</v>
      </c>
      <c r="D1553" t="s">
        <v>33</v>
      </c>
      <c r="E1553" t="s">
        <v>172</v>
      </c>
      <c r="F1553" t="s">
        <v>35</v>
      </c>
      <c r="G1553" t="s">
        <v>35</v>
      </c>
      <c r="H1553" t="s">
        <v>35</v>
      </c>
      <c r="J1553" t="s">
        <v>1950</v>
      </c>
      <c r="K1553" t="s">
        <v>1092</v>
      </c>
      <c r="M1553">
        <v>0.14000000000000001</v>
      </c>
      <c r="N1553">
        <v>282</v>
      </c>
      <c r="O1553" t="s">
        <v>5</v>
      </c>
      <c r="Q1553" t="s">
        <v>1172</v>
      </c>
      <c r="R1553" t="s">
        <v>1726</v>
      </c>
      <c r="S1553" t="s">
        <v>149</v>
      </c>
      <c r="T1553" t="s">
        <v>150</v>
      </c>
    </row>
    <row r="1554" spans="1:20" x14ac:dyDescent="0.25">
      <c r="A1554" t="s">
        <v>44</v>
      </c>
      <c r="B1554" t="s">
        <v>3</v>
      </c>
      <c r="C1554" t="s">
        <v>32</v>
      </c>
      <c r="D1554" t="s">
        <v>33</v>
      </c>
      <c r="E1554" t="s">
        <v>122</v>
      </c>
      <c r="F1554" t="s">
        <v>35</v>
      </c>
      <c r="G1554" t="s">
        <v>35</v>
      </c>
      <c r="H1554" t="s">
        <v>35</v>
      </c>
      <c r="J1554" t="s">
        <v>1807</v>
      </c>
      <c r="K1554" t="s">
        <v>1092</v>
      </c>
      <c r="M1554">
        <v>1</v>
      </c>
      <c r="N1554">
        <v>390</v>
      </c>
      <c r="O1554" t="s">
        <v>294</v>
      </c>
      <c r="Q1554" t="s">
        <v>1808</v>
      </c>
      <c r="R1554" t="s">
        <v>1726</v>
      </c>
      <c r="S1554" t="s">
        <v>149</v>
      </c>
      <c r="T1554" t="s">
        <v>150</v>
      </c>
    </row>
    <row r="1555" spans="1:20" x14ac:dyDescent="0.25">
      <c r="A1555" t="s">
        <v>59</v>
      </c>
      <c r="B1555" t="s">
        <v>31</v>
      </c>
      <c r="C1555" t="s">
        <v>32</v>
      </c>
      <c r="D1555" t="s">
        <v>33</v>
      </c>
      <c r="E1555" t="s">
        <v>122</v>
      </c>
      <c r="F1555" t="s">
        <v>35</v>
      </c>
      <c r="G1555" t="s">
        <v>35</v>
      </c>
      <c r="H1555" t="s">
        <v>35</v>
      </c>
      <c r="J1555" t="s">
        <v>1784</v>
      </c>
      <c r="K1555" t="s">
        <v>1092</v>
      </c>
      <c r="M1555">
        <v>5</v>
      </c>
      <c r="N1555">
        <v>49</v>
      </c>
      <c r="O1555" t="s">
        <v>52</v>
      </c>
      <c r="Q1555" t="s">
        <v>453</v>
      </c>
      <c r="R1555" t="s">
        <v>1726</v>
      </c>
      <c r="S1555" t="s">
        <v>149</v>
      </c>
      <c r="T1555" t="s">
        <v>150</v>
      </c>
    </row>
    <row r="1556" spans="1:20" x14ac:dyDescent="0.25">
      <c r="A1556" t="s">
        <v>59</v>
      </c>
      <c r="B1556" t="s">
        <v>31</v>
      </c>
      <c r="C1556" t="s">
        <v>32</v>
      </c>
      <c r="D1556" t="s">
        <v>33</v>
      </c>
      <c r="E1556" t="s">
        <v>122</v>
      </c>
      <c r="F1556" t="s">
        <v>35</v>
      </c>
      <c r="G1556" t="s">
        <v>35</v>
      </c>
      <c r="H1556" t="s">
        <v>35</v>
      </c>
      <c r="J1556" t="s">
        <v>1744</v>
      </c>
      <c r="K1556" t="s">
        <v>1092</v>
      </c>
      <c r="M1556">
        <v>6.44</v>
      </c>
      <c r="N1556">
        <v>49</v>
      </c>
      <c r="O1556" t="s">
        <v>52</v>
      </c>
      <c r="Q1556" t="s">
        <v>453</v>
      </c>
      <c r="R1556" t="s">
        <v>1726</v>
      </c>
      <c r="S1556" t="s">
        <v>149</v>
      </c>
      <c r="T1556" t="s">
        <v>150</v>
      </c>
    </row>
    <row r="1557" spans="1:20" x14ac:dyDescent="0.25">
      <c r="A1557" t="s">
        <v>44</v>
      </c>
      <c r="B1557" t="s">
        <v>51</v>
      </c>
      <c r="C1557" t="s">
        <v>32</v>
      </c>
      <c r="D1557" t="s">
        <v>33</v>
      </c>
      <c r="E1557" t="s">
        <v>122</v>
      </c>
      <c r="F1557" t="s">
        <v>35</v>
      </c>
      <c r="G1557" t="s">
        <v>35</v>
      </c>
      <c r="H1557" t="s">
        <v>35</v>
      </c>
      <c r="J1557" t="s">
        <v>1727</v>
      </c>
      <c r="K1557" t="s">
        <v>1092</v>
      </c>
      <c r="M1557">
        <v>8.5</v>
      </c>
      <c r="N1557">
        <v>23</v>
      </c>
      <c r="O1557" t="s">
        <v>46</v>
      </c>
      <c r="Q1557" t="s">
        <v>793</v>
      </c>
      <c r="R1557" t="s">
        <v>1726</v>
      </c>
      <c r="S1557" t="s">
        <v>149</v>
      </c>
      <c r="T1557" t="s">
        <v>150</v>
      </c>
    </row>
    <row r="1558" spans="1:20" x14ac:dyDescent="0.25">
      <c r="A1558" t="s">
        <v>59</v>
      </c>
      <c r="B1558" t="s">
        <v>31</v>
      </c>
      <c r="C1558" t="s">
        <v>32</v>
      </c>
      <c r="D1558" t="s">
        <v>33</v>
      </c>
      <c r="E1558" t="s">
        <v>122</v>
      </c>
      <c r="F1558" t="s">
        <v>35</v>
      </c>
      <c r="G1558" t="s">
        <v>35</v>
      </c>
      <c r="H1558" t="s">
        <v>35</v>
      </c>
      <c r="J1558" t="s">
        <v>1725</v>
      </c>
      <c r="K1558" t="s">
        <v>1092</v>
      </c>
      <c r="M1558">
        <v>6.22</v>
      </c>
      <c r="N1558">
        <v>68</v>
      </c>
      <c r="O1558" t="s">
        <v>61</v>
      </c>
      <c r="Q1558" t="s">
        <v>805</v>
      </c>
      <c r="R1558" t="s">
        <v>1726</v>
      </c>
      <c r="S1558" t="s">
        <v>149</v>
      </c>
      <c r="T1558" t="s">
        <v>150</v>
      </c>
    </row>
    <row r="1559" spans="1:20" x14ac:dyDescent="0.25">
      <c r="A1559" t="s">
        <v>59</v>
      </c>
      <c r="B1559" t="s">
        <v>60</v>
      </c>
      <c r="C1559" t="s">
        <v>32</v>
      </c>
      <c r="D1559" t="s">
        <v>33</v>
      </c>
      <c r="F1559" t="s">
        <v>35</v>
      </c>
      <c r="G1559" t="s">
        <v>35</v>
      </c>
      <c r="H1559" t="s">
        <v>35</v>
      </c>
      <c r="J1559" t="s">
        <v>2195</v>
      </c>
      <c r="K1559" t="s">
        <v>1092</v>
      </c>
      <c r="M1559">
        <v>6.0000000000000001E-3</v>
      </c>
      <c r="N1559">
        <v>1113</v>
      </c>
      <c r="O1559" t="s">
        <v>575</v>
      </c>
      <c r="Q1559" t="s">
        <v>2196</v>
      </c>
      <c r="R1559" t="s">
        <v>2197</v>
      </c>
      <c r="S1559" t="s">
        <v>2198</v>
      </c>
      <c r="T1559" t="s">
        <v>1596</v>
      </c>
    </row>
    <row r="1560" spans="1:20" x14ac:dyDescent="0.25">
      <c r="A1560" t="s">
        <v>44</v>
      </c>
      <c r="B1560" t="s">
        <v>3</v>
      </c>
      <c r="C1560" t="s">
        <v>32</v>
      </c>
      <c r="D1560" t="s">
        <v>33</v>
      </c>
      <c r="E1560" t="s">
        <v>177</v>
      </c>
      <c r="F1560" t="s">
        <v>35</v>
      </c>
      <c r="G1560" t="s">
        <v>35</v>
      </c>
      <c r="H1560" t="s">
        <v>35</v>
      </c>
      <c r="J1560" t="s">
        <v>2019</v>
      </c>
      <c r="K1560" t="s">
        <v>1092</v>
      </c>
      <c r="M1560">
        <v>0.5</v>
      </c>
      <c r="N1560">
        <v>56</v>
      </c>
      <c r="O1560" t="s">
        <v>52</v>
      </c>
      <c r="Q1560" t="s">
        <v>423</v>
      </c>
      <c r="R1560" t="s">
        <v>1287</v>
      </c>
      <c r="S1560" t="s">
        <v>189</v>
      </c>
      <c r="T1560" t="s">
        <v>190</v>
      </c>
    </row>
    <row r="1561" spans="1:20" x14ac:dyDescent="0.25">
      <c r="A1561" t="s">
        <v>44</v>
      </c>
      <c r="B1561" t="s">
        <v>3</v>
      </c>
      <c r="C1561" t="s">
        <v>32</v>
      </c>
      <c r="D1561" t="s">
        <v>33</v>
      </c>
      <c r="E1561" t="s">
        <v>177</v>
      </c>
      <c r="F1561" t="s">
        <v>35</v>
      </c>
      <c r="G1561" t="s">
        <v>35</v>
      </c>
      <c r="H1561" t="s">
        <v>35</v>
      </c>
      <c r="J1561" t="s">
        <v>2019</v>
      </c>
      <c r="K1561" t="s">
        <v>1092</v>
      </c>
      <c r="M1561">
        <v>0.5</v>
      </c>
      <c r="N1561">
        <v>29</v>
      </c>
      <c r="O1561" t="s">
        <v>46</v>
      </c>
      <c r="Q1561" t="s">
        <v>2005</v>
      </c>
      <c r="R1561" t="s">
        <v>1287</v>
      </c>
      <c r="S1561" t="s">
        <v>189</v>
      </c>
      <c r="T1561" t="s">
        <v>190</v>
      </c>
    </row>
    <row r="1562" spans="1:20" x14ac:dyDescent="0.25">
      <c r="A1562" t="s">
        <v>44</v>
      </c>
      <c r="B1562" t="s">
        <v>3</v>
      </c>
      <c r="C1562" t="s">
        <v>32</v>
      </c>
      <c r="D1562" t="s">
        <v>33</v>
      </c>
      <c r="E1562" t="s">
        <v>177</v>
      </c>
      <c r="F1562" t="s">
        <v>35</v>
      </c>
      <c r="G1562" t="s">
        <v>35</v>
      </c>
      <c r="H1562" t="s">
        <v>35</v>
      </c>
      <c r="J1562" t="s">
        <v>2019</v>
      </c>
      <c r="K1562" t="s">
        <v>1092</v>
      </c>
      <c r="M1562">
        <v>0.5</v>
      </c>
      <c r="N1562">
        <v>21</v>
      </c>
      <c r="O1562" t="s">
        <v>46</v>
      </c>
      <c r="Q1562" t="s">
        <v>176</v>
      </c>
      <c r="R1562" t="s">
        <v>1287</v>
      </c>
      <c r="S1562" t="s">
        <v>189</v>
      </c>
      <c r="T1562" t="s">
        <v>190</v>
      </c>
    </row>
    <row r="1563" spans="1:20" x14ac:dyDescent="0.25">
      <c r="A1563" t="s">
        <v>44</v>
      </c>
      <c r="B1563" t="s">
        <v>3</v>
      </c>
      <c r="C1563" t="s">
        <v>32</v>
      </c>
      <c r="D1563" t="s">
        <v>33</v>
      </c>
      <c r="E1563" t="s">
        <v>177</v>
      </c>
      <c r="F1563" t="s">
        <v>35</v>
      </c>
      <c r="G1563" t="s">
        <v>35</v>
      </c>
      <c r="H1563" t="s">
        <v>35</v>
      </c>
      <c r="J1563" t="s">
        <v>2019</v>
      </c>
      <c r="K1563" t="s">
        <v>1092</v>
      </c>
      <c r="M1563">
        <v>0.3</v>
      </c>
      <c r="N1563">
        <v>40</v>
      </c>
      <c r="O1563" t="s">
        <v>52</v>
      </c>
      <c r="Q1563" t="s">
        <v>132</v>
      </c>
      <c r="R1563" t="s">
        <v>1287</v>
      </c>
      <c r="S1563" t="s">
        <v>189</v>
      </c>
      <c r="T1563" t="s">
        <v>190</v>
      </c>
    </row>
    <row r="1564" spans="1:20" x14ac:dyDescent="0.25">
      <c r="A1564" t="s">
        <v>59</v>
      </c>
      <c r="B1564" t="s">
        <v>60</v>
      </c>
      <c r="C1564" t="s">
        <v>32</v>
      </c>
      <c r="D1564" t="s">
        <v>33</v>
      </c>
      <c r="E1564" t="s">
        <v>64</v>
      </c>
      <c r="F1564" t="s">
        <v>35</v>
      </c>
      <c r="G1564" t="s">
        <v>35</v>
      </c>
      <c r="H1564" t="s">
        <v>35</v>
      </c>
      <c r="J1564" t="s">
        <v>1285</v>
      </c>
      <c r="K1564" t="s">
        <v>1092</v>
      </c>
      <c r="M1564">
        <v>0.25</v>
      </c>
      <c r="N1564">
        <v>250</v>
      </c>
      <c r="O1564" t="s">
        <v>5</v>
      </c>
      <c r="Q1564" t="s">
        <v>1286</v>
      </c>
      <c r="R1564" t="s">
        <v>1287</v>
      </c>
      <c r="S1564" t="s">
        <v>189</v>
      </c>
      <c r="T1564" t="s">
        <v>190</v>
      </c>
    </row>
    <row r="1565" spans="1:20" x14ac:dyDescent="0.25">
      <c r="A1565" t="s">
        <v>44</v>
      </c>
      <c r="B1565" t="s">
        <v>3</v>
      </c>
      <c r="C1565" t="s">
        <v>32</v>
      </c>
      <c r="D1565" t="s">
        <v>33</v>
      </c>
      <c r="E1565" t="s">
        <v>87</v>
      </c>
      <c r="F1565" t="s">
        <v>35</v>
      </c>
      <c r="G1565" t="s">
        <v>35</v>
      </c>
      <c r="H1565" t="s">
        <v>35</v>
      </c>
      <c r="J1565" t="s">
        <v>1443</v>
      </c>
      <c r="K1565" t="s">
        <v>1092</v>
      </c>
      <c r="M1565">
        <v>0.7</v>
      </c>
      <c r="N1565">
        <v>21</v>
      </c>
      <c r="O1565" t="s">
        <v>46</v>
      </c>
      <c r="Q1565" t="s">
        <v>176</v>
      </c>
      <c r="R1565" t="s">
        <v>1287</v>
      </c>
      <c r="S1565" t="s">
        <v>189</v>
      </c>
      <c r="T1565" t="s">
        <v>190</v>
      </c>
    </row>
    <row r="1566" spans="1:20" x14ac:dyDescent="0.25">
      <c r="A1566" t="s">
        <v>44</v>
      </c>
      <c r="B1566" t="s">
        <v>3</v>
      </c>
      <c r="C1566" t="s">
        <v>32</v>
      </c>
      <c r="D1566" t="s">
        <v>33</v>
      </c>
      <c r="E1566" t="s">
        <v>162</v>
      </c>
      <c r="F1566" t="s">
        <v>35</v>
      </c>
      <c r="G1566" t="s">
        <v>35</v>
      </c>
      <c r="H1566" t="s">
        <v>35</v>
      </c>
      <c r="J1566" t="s">
        <v>1867</v>
      </c>
      <c r="K1566" t="s">
        <v>1092</v>
      </c>
      <c r="M1566">
        <v>0.25</v>
      </c>
      <c r="N1566">
        <v>35</v>
      </c>
      <c r="O1566" t="s">
        <v>52</v>
      </c>
      <c r="Q1566" t="s">
        <v>991</v>
      </c>
      <c r="R1566" t="s">
        <v>1287</v>
      </c>
      <c r="S1566" t="s">
        <v>189</v>
      </c>
      <c r="T1566" t="s">
        <v>190</v>
      </c>
    </row>
    <row r="1567" spans="1:20" x14ac:dyDescent="0.25">
      <c r="A1567" t="s">
        <v>44</v>
      </c>
      <c r="B1567" t="s">
        <v>3</v>
      </c>
      <c r="C1567" t="s">
        <v>32</v>
      </c>
      <c r="D1567" t="s">
        <v>33</v>
      </c>
      <c r="E1567" t="s">
        <v>177</v>
      </c>
      <c r="F1567" t="s">
        <v>35</v>
      </c>
      <c r="G1567" t="s">
        <v>35</v>
      </c>
      <c r="H1567" t="s">
        <v>35</v>
      </c>
      <c r="J1567" t="s">
        <v>2014</v>
      </c>
      <c r="K1567" t="s">
        <v>1092</v>
      </c>
      <c r="M1567">
        <v>0.4</v>
      </c>
      <c r="N1567">
        <v>29</v>
      </c>
      <c r="O1567" t="s">
        <v>46</v>
      </c>
      <c r="Q1567" t="s">
        <v>2005</v>
      </c>
      <c r="R1567" t="s">
        <v>1287</v>
      </c>
      <c r="S1567" t="s">
        <v>189</v>
      </c>
      <c r="T1567" t="s">
        <v>190</v>
      </c>
    </row>
    <row r="1568" spans="1:20" x14ac:dyDescent="0.25">
      <c r="A1568" t="s">
        <v>44</v>
      </c>
      <c r="B1568" t="s">
        <v>3</v>
      </c>
      <c r="C1568" t="s">
        <v>32</v>
      </c>
      <c r="D1568" t="s">
        <v>33</v>
      </c>
      <c r="E1568" t="s">
        <v>177</v>
      </c>
      <c r="F1568" t="s">
        <v>35</v>
      </c>
      <c r="G1568" t="s">
        <v>35</v>
      </c>
      <c r="H1568" t="s">
        <v>35</v>
      </c>
      <c r="J1568" t="s">
        <v>2004</v>
      </c>
      <c r="K1568" t="s">
        <v>1092</v>
      </c>
      <c r="M1568">
        <v>0.5</v>
      </c>
      <c r="N1568">
        <v>46</v>
      </c>
      <c r="O1568" t="s">
        <v>52</v>
      </c>
      <c r="Q1568" t="s">
        <v>332</v>
      </c>
      <c r="R1568" t="s">
        <v>1287</v>
      </c>
      <c r="S1568" t="s">
        <v>189</v>
      </c>
      <c r="T1568" t="s">
        <v>190</v>
      </c>
    </row>
    <row r="1569" spans="1:20" x14ac:dyDescent="0.25">
      <c r="A1569" t="s">
        <v>44</v>
      </c>
      <c r="B1569" t="s">
        <v>3</v>
      </c>
      <c r="C1569" t="s">
        <v>32</v>
      </c>
      <c r="D1569" t="s">
        <v>33</v>
      </c>
      <c r="E1569" t="s">
        <v>177</v>
      </c>
      <c r="F1569" t="s">
        <v>35</v>
      </c>
      <c r="G1569" t="s">
        <v>35</v>
      </c>
      <c r="H1569" t="s">
        <v>35</v>
      </c>
      <c r="J1569" t="s">
        <v>2004</v>
      </c>
      <c r="K1569" t="s">
        <v>1092</v>
      </c>
      <c r="M1569">
        <v>0.4</v>
      </c>
      <c r="N1569">
        <v>59</v>
      </c>
      <c r="O1569" t="s">
        <v>52</v>
      </c>
      <c r="Q1569" t="s">
        <v>203</v>
      </c>
      <c r="R1569" t="s">
        <v>1287</v>
      </c>
      <c r="S1569" t="s">
        <v>189</v>
      </c>
      <c r="T1569" t="s">
        <v>190</v>
      </c>
    </row>
    <row r="1570" spans="1:20" x14ac:dyDescent="0.25">
      <c r="A1570" t="s">
        <v>44</v>
      </c>
      <c r="B1570" t="s">
        <v>3</v>
      </c>
      <c r="C1570" t="s">
        <v>32</v>
      </c>
      <c r="D1570" t="s">
        <v>33</v>
      </c>
      <c r="E1570" t="s">
        <v>177</v>
      </c>
      <c r="F1570" t="s">
        <v>35</v>
      </c>
      <c r="G1570" t="s">
        <v>35</v>
      </c>
      <c r="H1570" t="s">
        <v>35</v>
      </c>
      <c r="J1570" t="s">
        <v>2004</v>
      </c>
      <c r="K1570" t="s">
        <v>1092</v>
      </c>
      <c r="M1570">
        <v>0.4</v>
      </c>
      <c r="N1570">
        <v>29</v>
      </c>
      <c r="O1570" t="s">
        <v>46</v>
      </c>
      <c r="Q1570" t="s">
        <v>2005</v>
      </c>
      <c r="R1570" t="s">
        <v>1287</v>
      </c>
      <c r="S1570" t="s">
        <v>189</v>
      </c>
      <c r="T1570" t="s">
        <v>190</v>
      </c>
    </row>
    <row r="1571" spans="1:20" x14ac:dyDescent="0.25">
      <c r="A1571" t="s">
        <v>44</v>
      </c>
      <c r="B1571" t="s">
        <v>3</v>
      </c>
      <c r="C1571" t="s">
        <v>32</v>
      </c>
      <c r="D1571" t="s">
        <v>33</v>
      </c>
      <c r="E1571" t="s">
        <v>162</v>
      </c>
      <c r="F1571" t="s">
        <v>35</v>
      </c>
      <c r="G1571" t="s">
        <v>35</v>
      </c>
      <c r="H1571" t="s">
        <v>35</v>
      </c>
      <c r="J1571" t="s">
        <v>1836</v>
      </c>
      <c r="K1571" t="s">
        <v>1092</v>
      </c>
      <c r="M1571">
        <v>0.5</v>
      </c>
      <c r="N1571">
        <v>46</v>
      </c>
      <c r="O1571" t="s">
        <v>52</v>
      </c>
      <c r="Q1571" t="s">
        <v>332</v>
      </c>
      <c r="R1571" t="s">
        <v>1287</v>
      </c>
      <c r="S1571" t="s">
        <v>189</v>
      </c>
      <c r="T1571" t="s">
        <v>190</v>
      </c>
    </row>
    <row r="1572" spans="1:20" x14ac:dyDescent="0.25">
      <c r="A1572" t="s">
        <v>59</v>
      </c>
      <c r="B1572" t="s">
        <v>60</v>
      </c>
      <c r="C1572" t="s">
        <v>32</v>
      </c>
      <c r="D1572" t="s">
        <v>33</v>
      </c>
      <c r="E1572" t="s">
        <v>162</v>
      </c>
      <c r="F1572" t="s">
        <v>35</v>
      </c>
      <c r="G1572" t="s">
        <v>35</v>
      </c>
      <c r="H1572" t="s">
        <v>35</v>
      </c>
      <c r="J1572" t="s">
        <v>1902</v>
      </c>
      <c r="K1572" t="s">
        <v>1092</v>
      </c>
      <c r="M1572">
        <v>2.5000000000000001E-2</v>
      </c>
      <c r="N1572">
        <v>239</v>
      </c>
      <c r="O1572" t="s">
        <v>5</v>
      </c>
      <c r="Q1572" t="s">
        <v>1903</v>
      </c>
      <c r="R1572" t="s">
        <v>1287</v>
      </c>
      <c r="S1572" t="s">
        <v>189</v>
      </c>
      <c r="T1572" t="s">
        <v>190</v>
      </c>
    </row>
    <row r="1573" spans="1:20" x14ac:dyDescent="0.25">
      <c r="A1573" t="s">
        <v>44</v>
      </c>
      <c r="B1573" t="s">
        <v>3</v>
      </c>
      <c r="C1573" t="s">
        <v>32</v>
      </c>
      <c r="D1573" t="s">
        <v>33</v>
      </c>
      <c r="E1573" t="s">
        <v>64</v>
      </c>
      <c r="F1573" t="s">
        <v>35</v>
      </c>
      <c r="G1573" t="s">
        <v>35</v>
      </c>
      <c r="H1573" t="s">
        <v>35</v>
      </c>
      <c r="J1573" t="s">
        <v>1288</v>
      </c>
      <c r="K1573" t="s">
        <v>1092</v>
      </c>
      <c r="M1573">
        <v>0.3</v>
      </c>
      <c r="N1573">
        <v>21</v>
      </c>
      <c r="O1573" t="s">
        <v>46</v>
      </c>
      <c r="Q1573" t="s">
        <v>176</v>
      </c>
      <c r="R1573" t="s">
        <v>1287</v>
      </c>
      <c r="S1573" t="s">
        <v>189</v>
      </c>
      <c r="T1573" t="s">
        <v>190</v>
      </c>
    </row>
    <row r="1574" spans="1:20" x14ac:dyDescent="0.25">
      <c r="A1574" t="s">
        <v>44</v>
      </c>
      <c r="B1574" t="s">
        <v>3</v>
      </c>
      <c r="C1574" t="s">
        <v>32</v>
      </c>
      <c r="D1574" t="s">
        <v>33</v>
      </c>
      <c r="E1574" t="s">
        <v>64</v>
      </c>
      <c r="F1574" t="s">
        <v>35</v>
      </c>
      <c r="G1574" t="s">
        <v>35</v>
      </c>
      <c r="H1574" t="s">
        <v>35</v>
      </c>
      <c r="J1574" t="s">
        <v>1288</v>
      </c>
      <c r="K1574" t="s">
        <v>1092</v>
      </c>
      <c r="M1574">
        <v>0.5</v>
      </c>
      <c r="N1574">
        <v>46</v>
      </c>
      <c r="O1574" t="s">
        <v>52</v>
      </c>
      <c r="Q1574" t="s">
        <v>332</v>
      </c>
      <c r="R1574" t="s">
        <v>1287</v>
      </c>
      <c r="S1574" t="s">
        <v>189</v>
      </c>
      <c r="T1574" t="s">
        <v>190</v>
      </c>
    </row>
    <row r="1575" spans="1:20" x14ac:dyDescent="0.25">
      <c r="A1575" t="s">
        <v>44</v>
      </c>
      <c r="B1575" t="s">
        <v>3</v>
      </c>
      <c r="C1575" t="s">
        <v>32</v>
      </c>
      <c r="D1575" t="s">
        <v>33</v>
      </c>
      <c r="E1575" t="s">
        <v>177</v>
      </c>
      <c r="F1575" t="s">
        <v>35</v>
      </c>
      <c r="G1575" t="s">
        <v>35</v>
      </c>
      <c r="H1575" t="s">
        <v>35</v>
      </c>
      <c r="J1575" t="s">
        <v>2006</v>
      </c>
      <c r="K1575" t="s">
        <v>1092</v>
      </c>
      <c r="M1575">
        <v>0.5</v>
      </c>
      <c r="N1575">
        <v>56</v>
      </c>
      <c r="O1575" t="s">
        <v>52</v>
      </c>
      <c r="Q1575" t="s">
        <v>423</v>
      </c>
      <c r="R1575" t="s">
        <v>1287</v>
      </c>
      <c r="S1575" t="s">
        <v>189</v>
      </c>
      <c r="T1575" t="s">
        <v>190</v>
      </c>
    </row>
    <row r="1576" spans="1:20" x14ac:dyDescent="0.25">
      <c r="A1576" t="s">
        <v>59</v>
      </c>
      <c r="B1576" t="s">
        <v>60</v>
      </c>
      <c r="C1576" t="s">
        <v>32</v>
      </c>
      <c r="D1576" t="s">
        <v>33</v>
      </c>
      <c r="F1576" t="s">
        <v>35</v>
      </c>
      <c r="G1576" t="s">
        <v>35</v>
      </c>
      <c r="H1576" t="s">
        <v>35</v>
      </c>
      <c r="J1576" t="s">
        <v>2293</v>
      </c>
      <c r="K1576" t="s">
        <v>1092</v>
      </c>
      <c r="M1576">
        <v>1E-3</v>
      </c>
      <c r="N1576">
        <v>2578</v>
      </c>
      <c r="O1576" t="s">
        <v>575</v>
      </c>
      <c r="Q1576" t="s">
        <v>2294</v>
      </c>
      <c r="R1576" t="s">
        <v>1287</v>
      </c>
      <c r="S1576" t="s">
        <v>189</v>
      </c>
      <c r="T1576" t="s">
        <v>190</v>
      </c>
    </row>
    <row r="1577" spans="1:20" x14ac:dyDescent="0.25">
      <c r="A1577" t="s">
        <v>44</v>
      </c>
      <c r="B1577" t="s">
        <v>3</v>
      </c>
      <c r="C1577" t="s">
        <v>32</v>
      </c>
      <c r="D1577" t="s">
        <v>33</v>
      </c>
      <c r="E1577" t="s">
        <v>177</v>
      </c>
      <c r="F1577" t="s">
        <v>35</v>
      </c>
      <c r="G1577" t="s">
        <v>35</v>
      </c>
      <c r="H1577" t="s">
        <v>35</v>
      </c>
      <c r="J1577" t="s">
        <v>2007</v>
      </c>
      <c r="K1577" t="s">
        <v>1092</v>
      </c>
      <c r="M1577">
        <v>0.3</v>
      </c>
      <c r="N1577">
        <v>24</v>
      </c>
      <c r="O1577" t="s">
        <v>46</v>
      </c>
      <c r="Q1577" t="s">
        <v>972</v>
      </c>
      <c r="R1577" t="s">
        <v>1287</v>
      </c>
      <c r="S1577" t="s">
        <v>189</v>
      </c>
      <c r="T1577" t="s">
        <v>190</v>
      </c>
    </row>
    <row r="1578" spans="1:20" x14ac:dyDescent="0.25">
      <c r="A1578" t="s">
        <v>44</v>
      </c>
      <c r="B1578" t="s">
        <v>3</v>
      </c>
      <c r="C1578" t="s">
        <v>32</v>
      </c>
      <c r="D1578" t="s">
        <v>33</v>
      </c>
      <c r="E1578" t="s">
        <v>177</v>
      </c>
      <c r="F1578" t="s">
        <v>35</v>
      </c>
      <c r="G1578" t="s">
        <v>35</v>
      </c>
      <c r="H1578" t="s">
        <v>35</v>
      </c>
      <c r="J1578" t="s">
        <v>2008</v>
      </c>
      <c r="K1578" t="s">
        <v>1092</v>
      </c>
      <c r="M1578">
        <v>0.25</v>
      </c>
      <c r="N1578">
        <v>2</v>
      </c>
      <c r="O1578" t="s">
        <v>46</v>
      </c>
      <c r="Q1578" t="s">
        <v>2009</v>
      </c>
      <c r="R1578" t="s">
        <v>1287</v>
      </c>
      <c r="S1578" t="s">
        <v>189</v>
      </c>
      <c r="T1578" t="s">
        <v>190</v>
      </c>
    </row>
    <row r="1579" spans="1:20" x14ac:dyDescent="0.25">
      <c r="A1579" t="s">
        <v>44</v>
      </c>
      <c r="B1579" t="s">
        <v>3</v>
      </c>
      <c r="C1579" t="s">
        <v>32</v>
      </c>
      <c r="D1579" t="s">
        <v>33</v>
      </c>
      <c r="E1579" t="s">
        <v>177</v>
      </c>
      <c r="F1579" t="s">
        <v>35</v>
      </c>
      <c r="G1579" t="s">
        <v>35</v>
      </c>
      <c r="H1579" t="s">
        <v>35</v>
      </c>
      <c r="J1579" t="s">
        <v>2008</v>
      </c>
      <c r="K1579" t="s">
        <v>1092</v>
      </c>
      <c r="M1579">
        <v>0.1</v>
      </c>
      <c r="N1579">
        <v>56</v>
      </c>
      <c r="O1579" t="s">
        <v>52</v>
      </c>
      <c r="Q1579" t="s">
        <v>423</v>
      </c>
      <c r="R1579" t="s">
        <v>1287</v>
      </c>
      <c r="S1579" t="s">
        <v>189</v>
      </c>
      <c r="T1579" t="s">
        <v>190</v>
      </c>
    </row>
    <row r="1580" spans="1:20" x14ac:dyDescent="0.25">
      <c r="A1580" t="s">
        <v>44</v>
      </c>
      <c r="B1580" t="s">
        <v>3</v>
      </c>
      <c r="C1580" t="s">
        <v>32</v>
      </c>
      <c r="D1580" t="s">
        <v>33</v>
      </c>
      <c r="E1580" t="s">
        <v>177</v>
      </c>
      <c r="F1580" t="s">
        <v>35</v>
      </c>
      <c r="G1580" t="s">
        <v>35</v>
      </c>
      <c r="H1580" t="s">
        <v>35</v>
      </c>
      <c r="J1580" t="s">
        <v>2008</v>
      </c>
      <c r="K1580" t="s">
        <v>1092</v>
      </c>
      <c r="M1580">
        <v>0.3</v>
      </c>
      <c r="N1580">
        <v>46</v>
      </c>
      <c r="O1580" t="s">
        <v>52</v>
      </c>
      <c r="Q1580" t="s">
        <v>332</v>
      </c>
      <c r="R1580" t="s">
        <v>1287</v>
      </c>
      <c r="S1580" t="s">
        <v>189</v>
      </c>
      <c r="T1580" t="s">
        <v>190</v>
      </c>
    </row>
    <row r="1581" spans="1:20" x14ac:dyDescent="0.25">
      <c r="A1581" t="s">
        <v>59</v>
      </c>
      <c r="B1581" t="s">
        <v>60</v>
      </c>
      <c r="C1581" t="s">
        <v>32</v>
      </c>
      <c r="D1581" t="s">
        <v>33</v>
      </c>
      <c r="E1581" t="s">
        <v>162</v>
      </c>
      <c r="F1581" t="s">
        <v>35</v>
      </c>
      <c r="G1581" t="s">
        <v>35</v>
      </c>
      <c r="H1581" t="s">
        <v>35</v>
      </c>
      <c r="J1581" t="s">
        <v>1848</v>
      </c>
      <c r="K1581" t="s">
        <v>1092</v>
      </c>
      <c r="M1581">
        <v>0.4</v>
      </c>
      <c r="N1581">
        <v>609</v>
      </c>
      <c r="O1581" t="s">
        <v>575</v>
      </c>
      <c r="Q1581" t="s">
        <v>1849</v>
      </c>
      <c r="R1581" t="s">
        <v>1287</v>
      </c>
      <c r="S1581" t="s">
        <v>189</v>
      </c>
      <c r="T1581" t="s">
        <v>190</v>
      </c>
    </row>
    <row r="1582" spans="1:20" x14ac:dyDescent="0.25">
      <c r="A1582" t="s">
        <v>59</v>
      </c>
      <c r="B1582" t="s">
        <v>60</v>
      </c>
      <c r="C1582" t="s">
        <v>32</v>
      </c>
      <c r="D1582" t="s">
        <v>33</v>
      </c>
      <c r="E1582" t="s">
        <v>162</v>
      </c>
      <c r="F1582" t="s">
        <v>35</v>
      </c>
      <c r="G1582" t="s">
        <v>35</v>
      </c>
      <c r="H1582" t="s">
        <v>35</v>
      </c>
      <c r="J1582" t="s">
        <v>1848</v>
      </c>
      <c r="K1582" t="s">
        <v>1092</v>
      </c>
      <c r="M1582">
        <v>0.5</v>
      </c>
      <c r="N1582">
        <v>643</v>
      </c>
      <c r="O1582" t="s">
        <v>575</v>
      </c>
      <c r="Q1582" t="s">
        <v>1850</v>
      </c>
      <c r="R1582" t="s">
        <v>1287</v>
      </c>
      <c r="S1582" t="s">
        <v>189</v>
      </c>
      <c r="T1582" t="s">
        <v>190</v>
      </c>
    </row>
    <row r="1583" spans="1:20" x14ac:dyDescent="0.25">
      <c r="A1583" t="s">
        <v>59</v>
      </c>
      <c r="B1583" t="s">
        <v>60</v>
      </c>
      <c r="C1583" t="s">
        <v>32</v>
      </c>
      <c r="D1583" t="s">
        <v>33</v>
      </c>
      <c r="E1583" t="s">
        <v>162</v>
      </c>
      <c r="F1583" t="s">
        <v>35</v>
      </c>
      <c r="G1583" t="s">
        <v>35</v>
      </c>
      <c r="H1583" t="s">
        <v>35</v>
      </c>
      <c r="J1583" t="s">
        <v>1848</v>
      </c>
      <c r="K1583" t="s">
        <v>1092</v>
      </c>
      <c r="M1583">
        <v>0.6</v>
      </c>
      <c r="N1583">
        <v>648</v>
      </c>
      <c r="O1583" t="s">
        <v>575</v>
      </c>
      <c r="Q1583" t="s">
        <v>1851</v>
      </c>
      <c r="R1583" t="s">
        <v>1287</v>
      </c>
      <c r="S1583" t="s">
        <v>189</v>
      </c>
      <c r="T1583" t="s">
        <v>190</v>
      </c>
    </row>
    <row r="1584" spans="1:20" x14ac:dyDescent="0.25">
      <c r="A1584" t="s">
        <v>59</v>
      </c>
      <c r="B1584" t="s">
        <v>60</v>
      </c>
      <c r="C1584" t="s">
        <v>32</v>
      </c>
      <c r="D1584" t="s">
        <v>33</v>
      </c>
      <c r="E1584" t="s">
        <v>162</v>
      </c>
      <c r="F1584" t="s">
        <v>35</v>
      </c>
      <c r="G1584" t="s">
        <v>35</v>
      </c>
      <c r="H1584" t="s">
        <v>35</v>
      </c>
      <c r="J1584" t="s">
        <v>1848</v>
      </c>
      <c r="K1584" t="s">
        <v>1092</v>
      </c>
      <c r="M1584">
        <v>1.5</v>
      </c>
      <c r="N1584">
        <v>697</v>
      </c>
      <c r="O1584" t="s">
        <v>575</v>
      </c>
      <c r="Q1584" t="s">
        <v>1852</v>
      </c>
      <c r="R1584" t="s">
        <v>1287</v>
      </c>
      <c r="S1584" t="s">
        <v>189</v>
      </c>
      <c r="T1584" t="s">
        <v>190</v>
      </c>
    </row>
    <row r="1585" spans="1:20" x14ac:dyDescent="0.25">
      <c r="A1585" t="s">
        <v>59</v>
      </c>
      <c r="B1585" t="s">
        <v>60</v>
      </c>
      <c r="C1585" t="s">
        <v>32</v>
      </c>
      <c r="D1585" t="s">
        <v>33</v>
      </c>
      <c r="E1585" t="s">
        <v>162</v>
      </c>
      <c r="F1585" t="s">
        <v>35</v>
      </c>
      <c r="G1585" t="s">
        <v>35</v>
      </c>
      <c r="H1585" t="s">
        <v>35</v>
      </c>
      <c r="J1585" t="s">
        <v>1848</v>
      </c>
      <c r="K1585" t="s">
        <v>1092</v>
      </c>
      <c r="M1585">
        <v>0.7</v>
      </c>
      <c r="N1585">
        <v>704</v>
      </c>
      <c r="O1585" t="s">
        <v>575</v>
      </c>
      <c r="Q1585" t="s">
        <v>1853</v>
      </c>
      <c r="R1585" t="s">
        <v>1287</v>
      </c>
      <c r="S1585" t="s">
        <v>189</v>
      </c>
      <c r="T1585" t="s">
        <v>190</v>
      </c>
    </row>
    <row r="1586" spans="1:20" x14ac:dyDescent="0.25">
      <c r="A1586" t="s">
        <v>30</v>
      </c>
      <c r="B1586" t="s">
        <v>31</v>
      </c>
      <c r="C1586" t="s">
        <v>32</v>
      </c>
      <c r="D1586" t="s">
        <v>33</v>
      </c>
      <c r="E1586" t="s">
        <v>162</v>
      </c>
      <c r="F1586" t="s">
        <v>35</v>
      </c>
      <c r="G1586" t="s">
        <v>35</v>
      </c>
      <c r="H1586" t="s">
        <v>35</v>
      </c>
      <c r="J1586" t="s">
        <v>1848</v>
      </c>
      <c r="K1586" t="s">
        <v>1092</v>
      </c>
      <c r="M1586">
        <v>2.25</v>
      </c>
      <c r="N1586">
        <v>704</v>
      </c>
      <c r="O1586" t="s">
        <v>575</v>
      </c>
      <c r="Q1586" t="s">
        <v>1853</v>
      </c>
      <c r="R1586" t="s">
        <v>1287</v>
      </c>
      <c r="S1586" t="s">
        <v>189</v>
      </c>
      <c r="T1586" t="s">
        <v>190</v>
      </c>
    </row>
    <row r="1587" spans="1:20" x14ac:dyDescent="0.25">
      <c r="A1587" t="s">
        <v>59</v>
      </c>
      <c r="B1587" t="s">
        <v>60</v>
      </c>
      <c r="C1587" t="s">
        <v>32</v>
      </c>
      <c r="D1587" t="s">
        <v>33</v>
      </c>
      <c r="E1587" t="s">
        <v>162</v>
      </c>
      <c r="F1587" t="s">
        <v>35</v>
      </c>
      <c r="G1587" t="s">
        <v>35</v>
      </c>
      <c r="H1587" t="s">
        <v>35</v>
      </c>
      <c r="J1587" t="s">
        <v>1848</v>
      </c>
      <c r="K1587" t="s">
        <v>1092</v>
      </c>
      <c r="M1587">
        <v>0.4</v>
      </c>
      <c r="N1587">
        <v>614</v>
      </c>
      <c r="O1587" t="s">
        <v>575</v>
      </c>
      <c r="Q1587" t="s">
        <v>1470</v>
      </c>
      <c r="R1587" t="s">
        <v>1287</v>
      </c>
      <c r="S1587" t="s">
        <v>189</v>
      </c>
      <c r="T1587" t="s">
        <v>190</v>
      </c>
    </row>
    <row r="1588" spans="1:20" x14ac:dyDescent="0.25">
      <c r="A1588" t="s">
        <v>59</v>
      </c>
      <c r="B1588" t="s">
        <v>60</v>
      </c>
      <c r="C1588" t="s">
        <v>32</v>
      </c>
      <c r="D1588" t="s">
        <v>33</v>
      </c>
      <c r="E1588" t="s">
        <v>162</v>
      </c>
      <c r="F1588" t="s">
        <v>35</v>
      </c>
      <c r="G1588" t="s">
        <v>35</v>
      </c>
      <c r="H1588" t="s">
        <v>35</v>
      </c>
      <c r="J1588" t="s">
        <v>1848</v>
      </c>
      <c r="K1588" t="s">
        <v>1092</v>
      </c>
      <c r="M1588">
        <v>0.3</v>
      </c>
      <c r="N1588">
        <v>597</v>
      </c>
      <c r="O1588" t="s">
        <v>575</v>
      </c>
      <c r="Q1588" t="s">
        <v>1854</v>
      </c>
      <c r="R1588" t="s">
        <v>1287</v>
      </c>
      <c r="S1588" t="s">
        <v>189</v>
      </c>
      <c r="T1588" t="s">
        <v>190</v>
      </c>
    </row>
    <row r="1589" spans="1:20" x14ac:dyDescent="0.25">
      <c r="A1589" t="s">
        <v>59</v>
      </c>
      <c r="B1589" t="s">
        <v>60</v>
      </c>
      <c r="C1589" t="s">
        <v>32</v>
      </c>
      <c r="D1589" t="s">
        <v>33</v>
      </c>
      <c r="E1589" t="s">
        <v>162</v>
      </c>
      <c r="F1589" t="s">
        <v>35</v>
      </c>
      <c r="G1589" t="s">
        <v>35</v>
      </c>
      <c r="H1589" t="s">
        <v>35</v>
      </c>
      <c r="J1589" t="s">
        <v>1848</v>
      </c>
      <c r="K1589" t="s">
        <v>1092</v>
      </c>
      <c r="M1589">
        <v>3</v>
      </c>
      <c r="N1589">
        <v>690</v>
      </c>
      <c r="O1589" t="s">
        <v>575</v>
      </c>
      <c r="Q1589" t="s">
        <v>1855</v>
      </c>
      <c r="R1589" t="s">
        <v>1287</v>
      </c>
      <c r="S1589" t="s">
        <v>189</v>
      </c>
      <c r="T1589" t="s">
        <v>190</v>
      </c>
    </row>
    <row r="1590" spans="1:20" x14ac:dyDescent="0.25">
      <c r="A1590" t="s">
        <v>59</v>
      </c>
      <c r="B1590" t="s">
        <v>60</v>
      </c>
      <c r="C1590" t="s">
        <v>32</v>
      </c>
      <c r="D1590" t="s">
        <v>33</v>
      </c>
      <c r="E1590" t="s">
        <v>204</v>
      </c>
      <c r="F1590" t="s">
        <v>35</v>
      </c>
      <c r="G1590" t="s">
        <v>35</v>
      </c>
      <c r="H1590" t="s">
        <v>35</v>
      </c>
      <c r="J1590" t="s">
        <v>2151</v>
      </c>
      <c r="K1590" t="s">
        <v>1092</v>
      </c>
      <c r="M1590">
        <v>0.35</v>
      </c>
      <c r="N1590">
        <v>545</v>
      </c>
      <c r="O1590" t="s">
        <v>294</v>
      </c>
      <c r="Q1590" t="s">
        <v>2152</v>
      </c>
      <c r="R1590" t="s">
        <v>1287</v>
      </c>
      <c r="S1590" t="s">
        <v>189</v>
      </c>
      <c r="T1590" t="s">
        <v>190</v>
      </c>
    </row>
    <row r="1591" spans="1:20" x14ac:dyDescent="0.25">
      <c r="A1591" t="s">
        <v>44</v>
      </c>
      <c r="B1591" t="s">
        <v>3</v>
      </c>
      <c r="C1591" t="s">
        <v>32</v>
      </c>
      <c r="D1591" t="s">
        <v>33</v>
      </c>
      <c r="E1591" t="s">
        <v>1292</v>
      </c>
      <c r="F1591" t="s">
        <v>35</v>
      </c>
      <c r="G1591" t="s">
        <v>35</v>
      </c>
      <c r="H1591" t="s">
        <v>35</v>
      </c>
      <c r="J1591" t="s">
        <v>1300</v>
      </c>
      <c r="K1591" t="s">
        <v>1092</v>
      </c>
      <c r="M1591">
        <v>0.25</v>
      </c>
      <c r="N1591">
        <v>32</v>
      </c>
      <c r="O1591" t="s">
        <v>52</v>
      </c>
      <c r="Q1591" t="s">
        <v>816</v>
      </c>
      <c r="R1591" t="s">
        <v>1296</v>
      </c>
      <c r="S1591" t="s">
        <v>1294</v>
      </c>
      <c r="T1591" t="s">
        <v>1295</v>
      </c>
    </row>
    <row r="1592" spans="1:20" x14ac:dyDescent="0.25">
      <c r="A1592" t="s">
        <v>44</v>
      </c>
      <c r="B1592" t="s">
        <v>3</v>
      </c>
      <c r="C1592" t="s">
        <v>32</v>
      </c>
      <c r="D1592" t="s">
        <v>33</v>
      </c>
      <c r="E1592" t="s">
        <v>1292</v>
      </c>
      <c r="F1592" t="s">
        <v>35</v>
      </c>
      <c r="G1592" t="s">
        <v>35</v>
      </c>
      <c r="H1592" t="s">
        <v>35</v>
      </c>
      <c r="J1592" t="s">
        <v>1300</v>
      </c>
      <c r="K1592" t="s">
        <v>1092</v>
      </c>
      <c r="M1592">
        <v>0.2</v>
      </c>
      <c r="N1592">
        <v>39</v>
      </c>
      <c r="O1592" t="s">
        <v>52</v>
      </c>
      <c r="Q1592" t="s">
        <v>493</v>
      </c>
      <c r="R1592" t="s">
        <v>1296</v>
      </c>
      <c r="S1592" t="s">
        <v>1294</v>
      </c>
      <c r="T1592" t="s">
        <v>1295</v>
      </c>
    </row>
    <row r="1593" spans="1:20" x14ac:dyDescent="0.25">
      <c r="A1593" t="s">
        <v>44</v>
      </c>
      <c r="B1593" t="s">
        <v>3</v>
      </c>
      <c r="C1593" t="s">
        <v>32</v>
      </c>
      <c r="D1593" t="s">
        <v>33</v>
      </c>
      <c r="E1593" t="s">
        <v>1292</v>
      </c>
      <c r="F1593" t="s">
        <v>35</v>
      </c>
      <c r="G1593" t="s">
        <v>35</v>
      </c>
      <c r="H1593" t="s">
        <v>35</v>
      </c>
      <c r="J1593" t="s">
        <v>1300</v>
      </c>
      <c r="K1593" t="s">
        <v>1092</v>
      </c>
      <c r="M1593">
        <v>0.25</v>
      </c>
      <c r="N1593">
        <v>50</v>
      </c>
      <c r="O1593" t="s">
        <v>52</v>
      </c>
      <c r="Q1593" t="s">
        <v>665</v>
      </c>
      <c r="R1593" t="s">
        <v>1296</v>
      </c>
      <c r="S1593" t="s">
        <v>1294</v>
      </c>
      <c r="T1593" t="s">
        <v>1295</v>
      </c>
    </row>
    <row r="1594" spans="1:20" x14ac:dyDescent="0.25">
      <c r="A1594" t="s">
        <v>59</v>
      </c>
      <c r="B1594" t="s">
        <v>31</v>
      </c>
      <c r="C1594" t="s">
        <v>32</v>
      </c>
      <c r="D1594" t="s">
        <v>33</v>
      </c>
      <c r="F1594" t="s">
        <v>35</v>
      </c>
      <c r="G1594" t="s">
        <v>35</v>
      </c>
      <c r="H1594" t="s">
        <v>35</v>
      </c>
      <c r="J1594" t="s">
        <v>2342</v>
      </c>
      <c r="K1594" t="s">
        <v>1092</v>
      </c>
      <c r="M1594">
        <v>0.63300000000000001</v>
      </c>
      <c r="N1594">
        <v>2448</v>
      </c>
      <c r="O1594" t="s">
        <v>575</v>
      </c>
      <c r="Q1594" t="s">
        <v>2343</v>
      </c>
      <c r="R1594" t="s">
        <v>1296</v>
      </c>
      <c r="S1594" t="s">
        <v>1294</v>
      </c>
      <c r="T1594" t="s">
        <v>1295</v>
      </c>
    </row>
    <row r="1595" spans="1:20" x14ac:dyDescent="0.25">
      <c r="A1595" t="s">
        <v>44</v>
      </c>
      <c r="B1595" t="s">
        <v>3</v>
      </c>
      <c r="C1595" t="s">
        <v>32</v>
      </c>
      <c r="D1595" t="s">
        <v>33</v>
      </c>
      <c r="E1595" t="s">
        <v>1292</v>
      </c>
      <c r="F1595" t="s">
        <v>35</v>
      </c>
      <c r="G1595" t="s">
        <v>35</v>
      </c>
      <c r="H1595" t="s">
        <v>35</v>
      </c>
      <c r="J1595" t="s">
        <v>1308</v>
      </c>
      <c r="K1595" t="s">
        <v>1092</v>
      </c>
      <c r="M1595">
        <v>0.25</v>
      </c>
      <c r="N1595">
        <v>50</v>
      </c>
      <c r="O1595" t="s">
        <v>52</v>
      </c>
      <c r="Q1595" t="s">
        <v>665</v>
      </c>
      <c r="R1595" t="s">
        <v>1296</v>
      </c>
      <c r="S1595" t="s">
        <v>1294</v>
      </c>
      <c r="T1595" t="s">
        <v>1295</v>
      </c>
    </row>
    <row r="1596" spans="1:20" x14ac:dyDescent="0.25">
      <c r="A1596" t="s">
        <v>44</v>
      </c>
      <c r="B1596" t="s">
        <v>3</v>
      </c>
      <c r="C1596" t="s">
        <v>32</v>
      </c>
      <c r="D1596" t="s">
        <v>33</v>
      </c>
      <c r="E1596" t="s">
        <v>1292</v>
      </c>
      <c r="F1596" t="s">
        <v>35</v>
      </c>
      <c r="G1596" t="s">
        <v>35</v>
      </c>
      <c r="H1596" t="s">
        <v>35</v>
      </c>
      <c r="J1596" t="s">
        <v>1353</v>
      </c>
      <c r="K1596" t="s">
        <v>1092</v>
      </c>
      <c r="M1596">
        <v>0.5</v>
      </c>
      <c r="N1596">
        <v>49</v>
      </c>
      <c r="O1596" t="s">
        <v>52</v>
      </c>
      <c r="Q1596" t="s">
        <v>453</v>
      </c>
      <c r="R1596" t="s">
        <v>1296</v>
      </c>
      <c r="S1596" t="s">
        <v>1294</v>
      </c>
      <c r="T1596" t="s">
        <v>1295</v>
      </c>
    </row>
    <row r="1597" spans="1:20" x14ac:dyDescent="0.25">
      <c r="A1597" t="s">
        <v>44</v>
      </c>
      <c r="B1597" t="s">
        <v>3</v>
      </c>
      <c r="C1597" t="s">
        <v>32</v>
      </c>
      <c r="D1597" t="s">
        <v>33</v>
      </c>
      <c r="E1597" t="s">
        <v>1292</v>
      </c>
      <c r="F1597" t="s">
        <v>35</v>
      </c>
      <c r="G1597" t="s">
        <v>35</v>
      </c>
      <c r="H1597" t="s">
        <v>35</v>
      </c>
      <c r="J1597" t="s">
        <v>1313</v>
      </c>
      <c r="K1597" t="s">
        <v>1092</v>
      </c>
      <c r="M1597">
        <v>0.2</v>
      </c>
      <c r="N1597">
        <v>24</v>
      </c>
      <c r="O1597" t="s">
        <v>46</v>
      </c>
      <c r="Q1597" t="s">
        <v>972</v>
      </c>
      <c r="R1597" t="s">
        <v>1296</v>
      </c>
      <c r="S1597" t="s">
        <v>1294</v>
      </c>
      <c r="T1597" t="s">
        <v>1295</v>
      </c>
    </row>
    <row r="1598" spans="1:20" x14ac:dyDescent="0.25">
      <c r="A1598" t="s">
        <v>44</v>
      </c>
      <c r="B1598" t="s">
        <v>3</v>
      </c>
      <c r="C1598" t="s">
        <v>32</v>
      </c>
      <c r="D1598" t="s">
        <v>33</v>
      </c>
      <c r="E1598" t="s">
        <v>1292</v>
      </c>
      <c r="F1598" t="s">
        <v>35</v>
      </c>
      <c r="G1598" t="s">
        <v>35</v>
      </c>
      <c r="H1598" t="s">
        <v>35</v>
      </c>
      <c r="J1598" t="s">
        <v>1319</v>
      </c>
      <c r="K1598" t="s">
        <v>1092</v>
      </c>
      <c r="M1598">
        <v>0.12</v>
      </c>
      <c r="N1598">
        <v>24</v>
      </c>
      <c r="O1598" t="s">
        <v>46</v>
      </c>
      <c r="Q1598" t="s">
        <v>972</v>
      </c>
      <c r="R1598" t="s">
        <v>1296</v>
      </c>
      <c r="S1598" t="s">
        <v>1294</v>
      </c>
      <c r="T1598" t="s">
        <v>1295</v>
      </c>
    </row>
    <row r="1599" spans="1:20" x14ac:dyDescent="0.25">
      <c r="A1599" t="s">
        <v>44</v>
      </c>
      <c r="B1599" t="s">
        <v>3</v>
      </c>
      <c r="C1599" t="s">
        <v>32</v>
      </c>
      <c r="D1599" t="s">
        <v>33</v>
      </c>
      <c r="E1599" t="s">
        <v>1292</v>
      </c>
      <c r="F1599" t="s">
        <v>35</v>
      </c>
      <c r="G1599" t="s">
        <v>35</v>
      </c>
      <c r="H1599" t="s">
        <v>35</v>
      </c>
      <c r="J1599" t="s">
        <v>1330</v>
      </c>
      <c r="K1599" t="s">
        <v>1092</v>
      </c>
      <c r="M1599">
        <v>0.5</v>
      </c>
      <c r="N1599">
        <v>33</v>
      </c>
      <c r="O1599" t="s">
        <v>52</v>
      </c>
      <c r="Q1599" t="s">
        <v>130</v>
      </c>
      <c r="R1599" t="s">
        <v>1296</v>
      </c>
      <c r="S1599" t="s">
        <v>1294</v>
      </c>
      <c r="T1599" t="s">
        <v>1295</v>
      </c>
    </row>
    <row r="1600" spans="1:20" x14ac:dyDescent="0.25">
      <c r="A1600" t="s">
        <v>44</v>
      </c>
      <c r="B1600" t="s">
        <v>3</v>
      </c>
      <c r="C1600" t="s">
        <v>32</v>
      </c>
      <c r="D1600" t="s">
        <v>33</v>
      </c>
      <c r="E1600" t="s">
        <v>1292</v>
      </c>
      <c r="F1600" t="s">
        <v>35</v>
      </c>
      <c r="G1600" t="s">
        <v>35</v>
      </c>
      <c r="H1600" t="s">
        <v>35</v>
      </c>
      <c r="J1600" t="s">
        <v>1397</v>
      </c>
      <c r="K1600" t="s">
        <v>1092</v>
      </c>
      <c r="M1600">
        <v>0.2</v>
      </c>
      <c r="N1600">
        <v>38</v>
      </c>
      <c r="O1600" t="s">
        <v>52</v>
      </c>
      <c r="Q1600" t="s">
        <v>716</v>
      </c>
      <c r="R1600" t="s">
        <v>1296</v>
      </c>
      <c r="S1600" t="s">
        <v>1294</v>
      </c>
      <c r="T1600" t="s">
        <v>1295</v>
      </c>
    </row>
    <row r="1601" spans="1:20" x14ac:dyDescent="0.25">
      <c r="A1601" t="s">
        <v>44</v>
      </c>
      <c r="B1601" t="s">
        <v>3</v>
      </c>
      <c r="C1601" t="s">
        <v>32</v>
      </c>
      <c r="D1601" t="s">
        <v>33</v>
      </c>
      <c r="E1601" t="s">
        <v>1292</v>
      </c>
      <c r="F1601" t="s">
        <v>35</v>
      </c>
      <c r="G1601" t="s">
        <v>35</v>
      </c>
      <c r="H1601" t="s">
        <v>35</v>
      </c>
      <c r="J1601" t="s">
        <v>1378</v>
      </c>
      <c r="K1601" t="s">
        <v>1092</v>
      </c>
      <c r="M1601">
        <v>0.25</v>
      </c>
      <c r="N1601">
        <v>41</v>
      </c>
      <c r="O1601" t="s">
        <v>52</v>
      </c>
      <c r="Q1601" t="s">
        <v>496</v>
      </c>
      <c r="R1601" t="s">
        <v>1296</v>
      </c>
      <c r="S1601" t="s">
        <v>1294</v>
      </c>
      <c r="T1601" t="s">
        <v>1295</v>
      </c>
    </row>
    <row r="1602" spans="1:20" x14ac:dyDescent="0.25">
      <c r="A1602" t="s">
        <v>44</v>
      </c>
      <c r="B1602" t="s">
        <v>3</v>
      </c>
      <c r="C1602" t="s">
        <v>32</v>
      </c>
      <c r="D1602" t="s">
        <v>33</v>
      </c>
      <c r="E1602" t="s">
        <v>1292</v>
      </c>
      <c r="F1602" t="s">
        <v>35</v>
      </c>
      <c r="G1602" t="s">
        <v>35</v>
      </c>
      <c r="H1602" t="s">
        <v>35</v>
      </c>
      <c r="J1602" t="s">
        <v>1339</v>
      </c>
      <c r="K1602" t="s">
        <v>1092</v>
      </c>
      <c r="M1602">
        <v>0.1</v>
      </c>
      <c r="N1602">
        <v>39</v>
      </c>
      <c r="O1602" t="s">
        <v>52</v>
      </c>
      <c r="Q1602" t="s">
        <v>493</v>
      </c>
      <c r="R1602" t="s">
        <v>1296</v>
      </c>
      <c r="S1602" t="s">
        <v>1294</v>
      </c>
      <c r="T1602" t="s">
        <v>1295</v>
      </c>
    </row>
    <row r="1603" spans="1:20" x14ac:dyDescent="0.25">
      <c r="A1603" t="s">
        <v>44</v>
      </c>
      <c r="B1603" t="s">
        <v>3</v>
      </c>
      <c r="C1603" t="s">
        <v>32</v>
      </c>
      <c r="D1603" t="s">
        <v>33</v>
      </c>
      <c r="E1603" t="s">
        <v>1292</v>
      </c>
      <c r="F1603" t="s">
        <v>35</v>
      </c>
      <c r="G1603" t="s">
        <v>35</v>
      </c>
      <c r="H1603" t="s">
        <v>35</v>
      </c>
      <c r="J1603" t="s">
        <v>1339</v>
      </c>
      <c r="K1603" t="s">
        <v>1092</v>
      </c>
      <c r="M1603">
        <v>0.25</v>
      </c>
      <c r="N1603">
        <v>32</v>
      </c>
      <c r="O1603" t="s">
        <v>52</v>
      </c>
      <c r="Q1603" t="s">
        <v>816</v>
      </c>
      <c r="R1603" t="s">
        <v>1296</v>
      </c>
      <c r="S1603" t="s">
        <v>1294</v>
      </c>
      <c r="T1603" t="s">
        <v>1295</v>
      </c>
    </row>
    <row r="1604" spans="1:20" x14ac:dyDescent="0.25">
      <c r="A1604" t="s">
        <v>44</v>
      </c>
      <c r="B1604" t="s">
        <v>3</v>
      </c>
      <c r="C1604" t="s">
        <v>32</v>
      </c>
      <c r="D1604" t="s">
        <v>33</v>
      </c>
      <c r="E1604" t="s">
        <v>1292</v>
      </c>
      <c r="F1604" t="s">
        <v>35</v>
      </c>
      <c r="G1604" t="s">
        <v>35</v>
      </c>
      <c r="H1604" t="s">
        <v>35</v>
      </c>
      <c r="J1604" t="s">
        <v>1294</v>
      </c>
      <c r="K1604" t="s">
        <v>1092</v>
      </c>
      <c r="M1604">
        <v>0.25</v>
      </c>
      <c r="N1604">
        <v>24</v>
      </c>
      <c r="O1604" t="s">
        <v>46</v>
      </c>
      <c r="Q1604" t="s">
        <v>972</v>
      </c>
      <c r="R1604" t="s">
        <v>1296</v>
      </c>
      <c r="S1604" t="s">
        <v>1294</v>
      </c>
      <c r="T1604" t="s">
        <v>1295</v>
      </c>
    </row>
    <row r="1605" spans="1:20" x14ac:dyDescent="0.25">
      <c r="A1605" t="s">
        <v>44</v>
      </c>
      <c r="B1605" t="s">
        <v>3</v>
      </c>
      <c r="C1605" t="s">
        <v>32</v>
      </c>
      <c r="D1605" t="s">
        <v>33</v>
      </c>
      <c r="E1605" t="s">
        <v>1292</v>
      </c>
      <c r="F1605" t="s">
        <v>35</v>
      </c>
      <c r="G1605" t="s">
        <v>35</v>
      </c>
      <c r="H1605" t="s">
        <v>35</v>
      </c>
      <c r="J1605" t="s">
        <v>1366</v>
      </c>
      <c r="K1605" t="s">
        <v>1092</v>
      </c>
      <c r="M1605">
        <v>0.25</v>
      </c>
      <c r="N1605">
        <v>40</v>
      </c>
      <c r="O1605" t="s">
        <v>52</v>
      </c>
      <c r="Q1605" t="s">
        <v>132</v>
      </c>
      <c r="R1605" t="s">
        <v>1296</v>
      </c>
      <c r="S1605" t="s">
        <v>1294</v>
      </c>
      <c r="T1605" t="s">
        <v>1295</v>
      </c>
    </row>
    <row r="1606" spans="1:20" x14ac:dyDescent="0.25">
      <c r="A1606" t="s">
        <v>30</v>
      </c>
      <c r="B1606" t="s">
        <v>31</v>
      </c>
      <c r="C1606" t="s">
        <v>32</v>
      </c>
      <c r="D1606" t="s">
        <v>33</v>
      </c>
      <c r="E1606" t="s">
        <v>34</v>
      </c>
      <c r="F1606" t="s">
        <v>35</v>
      </c>
      <c r="G1606" t="s">
        <v>35</v>
      </c>
      <c r="H1606" t="s">
        <v>35</v>
      </c>
      <c r="J1606" t="s">
        <v>36</v>
      </c>
      <c r="K1606" t="s">
        <v>37</v>
      </c>
      <c r="M1606">
        <v>2.7</v>
      </c>
      <c r="N1606">
        <v>152</v>
      </c>
      <c r="O1606" t="s">
        <v>38</v>
      </c>
      <c r="P1606" t="s">
        <v>39</v>
      </c>
      <c r="Q1606" t="s">
        <v>40</v>
      </c>
      <c r="R1606" t="s">
        <v>41</v>
      </c>
      <c r="S1606" t="s">
        <v>42</v>
      </c>
      <c r="T1606" t="s">
        <v>43</v>
      </c>
    </row>
    <row r="1607" spans="1:20" x14ac:dyDescent="0.25">
      <c r="A1607" t="s">
        <v>44</v>
      </c>
      <c r="B1607" t="s">
        <v>3</v>
      </c>
      <c r="C1607" t="s">
        <v>32</v>
      </c>
      <c r="D1607" t="s">
        <v>33</v>
      </c>
      <c r="E1607" t="s">
        <v>204</v>
      </c>
      <c r="F1607" t="s">
        <v>35</v>
      </c>
      <c r="G1607" t="s">
        <v>35</v>
      </c>
      <c r="H1607" t="s">
        <v>35</v>
      </c>
      <c r="J1607" t="s">
        <v>2144</v>
      </c>
      <c r="K1607" t="s">
        <v>1092</v>
      </c>
      <c r="M1607">
        <v>3</v>
      </c>
      <c r="N1607">
        <v>43</v>
      </c>
      <c r="O1607" t="s">
        <v>52</v>
      </c>
      <c r="Q1607" t="s">
        <v>425</v>
      </c>
      <c r="R1607" t="s">
        <v>2146</v>
      </c>
      <c r="S1607" t="s">
        <v>209</v>
      </c>
      <c r="T1607" t="s">
        <v>210</v>
      </c>
    </row>
    <row r="1608" spans="1:20" x14ac:dyDescent="0.25">
      <c r="A1608" t="s">
        <v>59</v>
      </c>
      <c r="B1608" t="s">
        <v>60</v>
      </c>
      <c r="C1608" t="s">
        <v>32</v>
      </c>
      <c r="D1608" t="s">
        <v>33</v>
      </c>
      <c r="F1608" t="s">
        <v>35</v>
      </c>
      <c r="G1608" t="s">
        <v>35</v>
      </c>
      <c r="H1608" t="s">
        <v>35</v>
      </c>
      <c r="J1608" t="s">
        <v>2228</v>
      </c>
      <c r="K1608" t="s">
        <v>1092</v>
      </c>
      <c r="M1608">
        <v>1E-3</v>
      </c>
      <c r="N1608">
        <v>2037</v>
      </c>
      <c r="O1608" t="s">
        <v>575</v>
      </c>
      <c r="Q1608" t="s">
        <v>2229</v>
      </c>
      <c r="R1608" t="s">
        <v>2146</v>
      </c>
      <c r="S1608" t="s">
        <v>209</v>
      </c>
      <c r="T1608" t="s">
        <v>210</v>
      </c>
    </row>
    <row r="1609" spans="1:20" x14ac:dyDescent="0.25">
      <c r="A1609" t="s">
        <v>44</v>
      </c>
      <c r="B1609" t="s">
        <v>51</v>
      </c>
      <c r="C1609" t="s">
        <v>32</v>
      </c>
      <c r="D1609" t="s">
        <v>33</v>
      </c>
      <c r="E1609" t="s">
        <v>122</v>
      </c>
      <c r="F1609" t="s">
        <v>35</v>
      </c>
      <c r="G1609" t="s">
        <v>35</v>
      </c>
      <c r="H1609" t="s">
        <v>35</v>
      </c>
      <c r="J1609" t="s">
        <v>1633</v>
      </c>
      <c r="K1609" t="s">
        <v>1092</v>
      </c>
      <c r="M1609">
        <v>4.0999999999999996</v>
      </c>
      <c r="N1609">
        <v>145</v>
      </c>
      <c r="O1609" t="s">
        <v>38</v>
      </c>
      <c r="Q1609" t="s">
        <v>408</v>
      </c>
      <c r="R1609" t="s">
        <v>1635</v>
      </c>
      <c r="S1609" t="s">
        <v>1636</v>
      </c>
      <c r="T1609" t="s">
        <v>1634</v>
      </c>
    </row>
    <row r="1610" spans="1:20" x14ac:dyDescent="0.25">
      <c r="A1610" t="s">
        <v>59</v>
      </c>
      <c r="B1610" t="s">
        <v>60</v>
      </c>
      <c r="C1610" t="s">
        <v>32</v>
      </c>
      <c r="D1610" t="s">
        <v>33</v>
      </c>
      <c r="E1610" t="s">
        <v>2059</v>
      </c>
      <c r="F1610" t="s">
        <v>35</v>
      </c>
      <c r="G1610" t="s">
        <v>35</v>
      </c>
      <c r="H1610" t="s">
        <v>35</v>
      </c>
      <c r="J1610" t="s">
        <v>2061</v>
      </c>
      <c r="K1610" t="s">
        <v>1092</v>
      </c>
      <c r="M1610">
        <v>0.28000000000000003</v>
      </c>
      <c r="N1610">
        <v>868</v>
      </c>
      <c r="O1610" t="s">
        <v>575</v>
      </c>
      <c r="Q1610" t="s">
        <v>2062</v>
      </c>
      <c r="R1610" t="s">
        <v>1845</v>
      </c>
      <c r="S1610" t="s">
        <v>1846</v>
      </c>
      <c r="T1610" t="s">
        <v>1847</v>
      </c>
    </row>
    <row r="1611" spans="1:20" x14ac:dyDescent="0.25">
      <c r="A1611" t="s">
        <v>30</v>
      </c>
      <c r="B1611" t="s">
        <v>31</v>
      </c>
      <c r="C1611" t="s">
        <v>32</v>
      </c>
      <c r="D1611" t="s">
        <v>33</v>
      </c>
      <c r="E1611" t="s">
        <v>2059</v>
      </c>
      <c r="F1611" t="s">
        <v>35</v>
      </c>
      <c r="G1611" t="s">
        <v>35</v>
      </c>
      <c r="H1611" t="s">
        <v>35</v>
      </c>
      <c r="J1611" t="s">
        <v>2063</v>
      </c>
      <c r="K1611" t="s">
        <v>1092</v>
      </c>
      <c r="M1611">
        <v>1.4850000000000001</v>
      </c>
      <c r="N1611">
        <v>417</v>
      </c>
      <c r="O1611" t="s">
        <v>294</v>
      </c>
      <c r="Q1611" t="s">
        <v>1749</v>
      </c>
      <c r="R1611" t="s">
        <v>1845</v>
      </c>
      <c r="S1611" t="s">
        <v>1846</v>
      </c>
      <c r="T1611" t="s">
        <v>1847</v>
      </c>
    </row>
    <row r="1612" spans="1:20" x14ac:dyDescent="0.25">
      <c r="A1612" t="s">
        <v>59</v>
      </c>
      <c r="B1612" t="s">
        <v>31</v>
      </c>
      <c r="C1612" t="s">
        <v>32</v>
      </c>
      <c r="D1612" t="s">
        <v>33</v>
      </c>
      <c r="E1612" t="s">
        <v>2113</v>
      </c>
      <c r="F1612" t="s">
        <v>35</v>
      </c>
      <c r="G1612" t="s">
        <v>35</v>
      </c>
      <c r="H1612" t="s">
        <v>35</v>
      </c>
      <c r="J1612" t="s">
        <v>2115</v>
      </c>
      <c r="K1612" t="s">
        <v>1092</v>
      </c>
      <c r="M1612">
        <v>0.45</v>
      </c>
      <c r="N1612">
        <v>810</v>
      </c>
      <c r="O1612" t="s">
        <v>575</v>
      </c>
      <c r="Q1612" t="s">
        <v>2116</v>
      </c>
      <c r="R1612" t="s">
        <v>1845</v>
      </c>
      <c r="S1612" t="s">
        <v>1846</v>
      </c>
      <c r="T1612" t="s">
        <v>1847</v>
      </c>
    </row>
    <row r="1613" spans="1:20" x14ac:dyDescent="0.25">
      <c r="A1613" t="s">
        <v>59</v>
      </c>
      <c r="B1613" t="s">
        <v>31</v>
      </c>
      <c r="C1613" t="s">
        <v>32</v>
      </c>
      <c r="D1613" t="s">
        <v>33</v>
      </c>
      <c r="E1613" t="s">
        <v>162</v>
      </c>
      <c r="F1613" t="s">
        <v>35</v>
      </c>
      <c r="G1613" t="s">
        <v>35</v>
      </c>
      <c r="H1613" t="s">
        <v>35</v>
      </c>
      <c r="J1613" t="s">
        <v>1843</v>
      </c>
      <c r="K1613" t="s">
        <v>1092</v>
      </c>
      <c r="M1613">
        <v>2.88</v>
      </c>
      <c r="N1613">
        <v>957</v>
      </c>
      <c r="O1613" t="s">
        <v>575</v>
      </c>
      <c r="Q1613" t="s">
        <v>1844</v>
      </c>
      <c r="R1613" t="s">
        <v>1845</v>
      </c>
      <c r="S1613" t="s">
        <v>1846</v>
      </c>
      <c r="T1613" t="s">
        <v>1847</v>
      </c>
    </row>
    <row r="1614" spans="1:20" x14ac:dyDescent="0.25">
      <c r="A1614" t="s">
        <v>59</v>
      </c>
      <c r="B1614" t="s">
        <v>60</v>
      </c>
      <c r="C1614" t="s">
        <v>32</v>
      </c>
      <c r="D1614" t="s">
        <v>33</v>
      </c>
      <c r="F1614" t="s">
        <v>35</v>
      </c>
      <c r="G1614" t="s">
        <v>35</v>
      </c>
      <c r="H1614" t="s">
        <v>35</v>
      </c>
      <c r="J1614" t="s">
        <v>2351</v>
      </c>
      <c r="K1614" t="s">
        <v>1092</v>
      </c>
      <c r="M1614">
        <v>0.5</v>
      </c>
      <c r="N1614">
        <v>2666</v>
      </c>
      <c r="O1614" t="s">
        <v>575</v>
      </c>
      <c r="Q1614" t="s">
        <v>1486</v>
      </c>
      <c r="R1614" t="s">
        <v>1487</v>
      </c>
      <c r="S1614" t="s">
        <v>1488</v>
      </c>
    </row>
    <row r="1615" spans="1:20" x14ac:dyDescent="0.25">
      <c r="A1615" t="s">
        <v>59</v>
      </c>
      <c r="B1615" t="s">
        <v>60</v>
      </c>
      <c r="C1615" t="s">
        <v>32</v>
      </c>
      <c r="D1615" t="s">
        <v>33</v>
      </c>
      <c r="F1615" t="s">
        <v>35</v>
      </c>
      <c r="G1615" t="s">
        <v>35</v>
      </c>
      <c r="H1615" t="s">
        <v>35</v>
      </c>
      <c r="J1615" t="s">
        <v>2372</v>
      </c>
      <c r="K1615" t="s">
        <v>1092</v>
      </c>
      <c r="M1615">
        <v>0.15</v>
      </c>
      <c r="N1615">
        <v>2666</v>
      </c>
      <c r="O1615" t="s">
        <v>575</v>
      </c>
      <c r="Q1615" t="s">
        <v>1486</v>
      </c>
      <c r="R1615" t="s">
        <v>1487</v>
      </c>
      <c r="S1615" t="s">
        <v>1488</v>
      </c>
    </row>
    <row r="1616" spans="1:20" x14ac:dyDescent="0.25">
      <c r="A1616" t="s">
        <v>30</v>
      </c>
      <c r="B1616" t="s">
        <v>31</v>
      </c>
      <c r="C1616" t="s">
        <v>32</v>
      </c>
      <c r="D1616" t="s">
        <v>33</v>
      </c>
      <c r="F1616" t="s">
        <v>35</v>
      </c>
      <c r="G1616" t="s">
        <v>35</v>
      </c>
      <c r="H1616" t="s">
        <v>35</v>
      </c>
      <c r="J1616" t="s">
        <v>2335</v>
      </c>
      <c r="K1616" t="s">
        <v>1092</v>
      </c>
      <c r="M1616">
        <v>1E-3</v>
      </c>
      <c r="N1616">
        <v>2666</v>
      </c>
      <c r="O1616" t="s">
        <v>575</v>
      </c>
      <c r="Q1616" t="s">
        <v>1486</v>
      </c>
      <c r="R1616" t="s">
        <v>1487</v>
      </c>
      <c r="S1616" t="s">
        <v>1488</v>
      </c>
    </row>
    <row r="1617" spans="1:19" x14ac:dyDescent="0.25">
      <c r="A1617" t="s">
        <v>59</v>
      </c>
      <c r="B1617" t="s">
        <v>60</v>
      </c>
      <c r="C1617" t="s">
        <v>32</v>
      </c>
      <c r="D1617" t="s">
        <v>33</v>
      </c>
      <c r="F1617" t="s">
        <v>35</v>
      </c>
      <c r="G1617" t="s">
        <v>35</v>
      </c>
      <c r="H1617" t="s">
        <v>35</v>
      </c>
      <c r="J1617" t="s">
        <v>2241</v>
      </c>
      <c r="K1617" t="s">
        <v>1092</v>
      </c>
      <c r="M1617">
        <v>7.0000000000000007E-2</v>
      </c>
      <c r="N1617">
        <v>2666</v>
      </c>
      <c r="O1617" t="s">
        <v>575</v>
      </c>
      <c r="Q1617" t="s">
        <v>1486</v>
      </c>
      <c r="R1617" t="s">
        <v>1487</v>
      </c>
      <c r="S1617" t="s">
        <v>1488</v>
      </c>
    </row>
    <row r="1618" spans="1:19" x14ac:dyDescent="0.25">
      <c r="A1618" t="s">
        <v>59</v>
      </c>
      <c r="B1618" t="s">
        <v>31</v>
      </c>
      <c r="C1618" t="s">
        <v>32</v>
      </c>
      <c r="D1618" t="s">
        <v>33</v>
      </c>
      <c r="F1618" t="s">
        <v>35</v>
      </c>
      <c r="G1618" t="s">
        <v>35</v>
      </c>
      <c r="H1618" t="s">
        <v>35</v>
      </c>
      <c r="J1618" t="s">
        <v>2303</v>
      </c>
      <c r="K1618" t="s">
        <v>1092</v>
      </c>
      <c r="M1618">
        <v>2.5000000000000001E-2</v>
      </c>
      <c r="N1618">
        <v>2666</v>
      </c>
      <c r="O1618" t="s">
        <v>575</v>
      </c>
      <c r="Q1618" t="s">
        <v>1486</v>
      </c>
      <c r="R1618" t="s">
        <v>1487</v>
      </c>
      <c r="S1618" t="s">
        <v>1488</v>
      </c>
    </row>
    <row r="1619" spans="1:19" x14ac:dyDescent="0.25">
      <c r="A1619" t="s">
        <v>59</v>
      </c>
      <c r="B1619" t="s">
        <v>60</v>
      </c>
      <c r="C1619" t="s">
        <v>32</v>
      </c>
      <c r="D1619" t="s">
        <v>33</v>
      </c>
      <c r="F1619" t="s">
        <v>35</v>
      </c>
      <c r="G1619" t="s">
        <v>35</v>
      </c>
      <c r="H1619" t="s">
        <v>35</v>
      </c>
      <c r="J1619" t="s">
        <v>2243</v>
      </c>
      <c r="K1619" t="s">
        <v>1092</v>
      </c>
      <c r="M1619">
        <v>6.7000000000000004E-2</v>
      </c>
      <c r="N1619">
        <v>2666</v>
      </c>
      <c r="O1619" t="s">
        <v>575</v>
      </c>
      <c r="Q1619" t="s">
        <v>1486</v>
      </c>
      <c r="R1619" t="s">
        <v>1487</v>
      </c>
      <c r="S1619" t="s">
        <v>1488</v>
      </c>
    </row>
    <row r="1620" spans="1:19" x14ac:dyDescent="0.25">
      <c r="A1620" t="s">
        <v>59</v>
      </c>
      <c r="B1620" t="s">
        <v>60</v>
      </c>
      <c r="C1620" t="s">
        <v>32</v>
      </c>
      <c r="D1620" t="s">
        <v>33</v>
      </c>
      <c r="F1620" t="s">
        <v>35</v>
      </c>
      <c r="G1620" t="s">
        <v>35</v>
      </c>
      <c r="H1620" t="s">
        <v>35</v>
      </c>
      <c r="J1620" t="s">
        <v>1304</v>
      </c>
      <c r="K1620" t="s">
        <v>1092</v>
      </c>
      <c r="M1620">
        <v>0.02</v>
      </c>
      <c r="N1620">
        <v>2666</v>
      </c>
      <c r="O1620" t="s">
        <v>575</v>
      </c>
      <c r="Q1620" t="s">
        <v>1486</v>
      </c>
      <c r="R1620" t="s">
        <v>1487</v>
      </c>
      <c r="S1620" t="s">
        <v>1488</v>
      </c>
    </row>
    <row r="1621" spans="1:19" x14ac:dyDescent="0.25">
      <c r="A1621" t="s">
        <v>59</v>
      </c>
      <c r="B1621" t="s">
        <v>60</v>
      </c>
      <c r="C1621" t="s">
        <v>32</v>
      </c>
      <c r="D1621" t="s">
        <v>33</v>
      </c>
      <c r="F1621" t="s">
        <v>35</v>
      </c>
      <c r="G1621" t="s">
        <v>35</v>
      </c>
      <c r="H1621" t="s">
        <v>35</v>
      </c>
      <c r="J1621" t="s">
        <v>2275</v>
      </c>
      <c r="K1621" t="s">
        <v>1092</v>
      </c>
      <c r="M1621">
        <v>0.20499999999999999</v>
      </c>
      <c r="N1621">
        <v>2666</v>
      </c>
      <c r="O1621" t="s">
        <v>575</v>
      </c>
      <c r="Q1621" t="s">
        <v>1486</v>
      </c>
      <c r="R1621" t="s">
        <v>1487</v>
      </c>
      <c r="S1621" t="s">
        <v>1488</v>
      </c>
    </row>
    <row r="1622" spans="1:19" x14ac:dyDescent="0.25">
      <c r="A1622" t="s">
        <v>59</v>
      </c>
      <c r="B1622" t="s">
        <v>31</v>
      </c>
      <c r="C1622" t="s">
        <v>32</v>
      </c>
      <c r="D1622" t="s">
        <v>33</v>
      </c>
      <c r="F1622" t="s">
        <v>35</v>
      </c>
      <c r="G1622" t="s">
        <v>35</v>
      </c>
      <c r="H1622" t="s">
        <v>35</v>
      </c>
      <c r="J1622" t="s">
        <v>2206</v>
      </c>
      <c r="K1622" t="s">
        <v>1092</v>
      </c>
      <c r="M1622">
        <v>0.44500000000000001</v>
      </c>
      <c r="N1622">
        <v>2666</v>
      </c>
      <c r="O1622" t="s">
        <v>575</v>
      </c>
      <c r="Q1622" t="s">
        <v>1486</v>
      </c>
      <c r="R1622" t="s">
        <v>1487</v>
      </c>
      <c r="S1622" t="s">
        <v>1488</v>
      </c>
    </row>
    <row r="1623" spans="1:19" x14ac:dyDescent="0.25">
      <c r="A1623" t="s">
        <v>59</v>
      </c>
      <c r="B1623" t="s">
        <v>60</v>
      </c>
      <c r="C1623" t="s">
        <v>32</v>
      </c>
      <c r="D1623" t="s">
        <v>33</v>
      </c>
      <c r="F1623" t="s">
        <v>35</v>
      </c>
      <c r="G1623" t="s">
        <v>35</v>
      </c>
      <c r="H1623" t="s">
        <v>35</v>
      </c>
      <c r="J1623" t="s">
        <v>2206</v>
      </c>
      <c r="K1623" t="s">
        <v>1092</v>
      </c>
      <c r="M1623">
        <v>0.59499999999999997</v>
      </c>
      <c r="N1623">
        <v>2666</v>
      </c>
      <c r="O1623" t="s">
        <v>575</v>
      </c>
      <c r="Q1623" t="s">
        <v>1486</v>
      </c>
      <c r="R1623" t="s">
        <v>1487</v>
      </c>
      <c r="S1623" t="s">
        <v>1488</v>
      </c>
    </row>
    <row r="1624" spans="1:19" x14ac:dyDescent="0.25">
      <c r="A1624" t="s">
        <v>59</v>
      </c>
      <c r="B1624" t="s">
        <v>60</v>
      </c>
      <c r="C1624" t="s">
        <v>32</v>
      </c>
      <c r="D1624" t="s">
        <v>33</v>
      </c>
      <c r="F1624" t="s">
        <v>35</v>
      </c>
      <c r="G1624" t="s">
        <v>35</v>
      </c>
      <c r="H1624" t="s">
        <v>35</v>
      </c>
      <c r="J1624" t="s">
        <v>2282</v>
      </c>
      <c r="K1624" t="s">
        <v>1092</v>
      </c>
      <c r="M1624">
        <v>0.5</v>
      </c>
      <c r="N1624">
        <v>2666</v>
      </c>
      <c r="O1624" t="s">
        <v>575</v>
      </c>
      <c r="Q1624" t="s">
        <v>1486</v>
      </c>
      <c r="R1624" t="s">
        <v>1487</v>
      </c>
      <c r="S1624" t="s">
        <v>1488</v>
      </c>
    </row>
    <row r="1625" spans="1:19" x14ac:dyDescent="0.25">
      <c r="A1625" t="s">
        <v>30</v>
      </c>
      <c r="B1625" t="s">
        <v>2278</v>
      </c>
      <c r="C1625" t="s">
        <v>32</v>
      </c>
      <c r="D1625" t="s">
        <v>33</v>
      </c>
      <c r="F1625" t="s">
        <v>35</v>
      </c>
      <c r="G1625" t="s">
        <v>35</v>
      </c>
      <c r="H1625" t="s">
        <v>35</v>
      </c>
      <c r="J1625" t="s">
        <v>2279</v>
      </c>
      <c r="K1625" t="s">
        <v>1092</v>
      </c>
      <c r="M1625">
        <v>0.23799999999999999</v>
      </c>
      <c r="N1625">
        <v>2666</v>
      </c>
      <c r="O1625" t="s">
        <v>575</v>
      </c>
      <c r="Q1625" t="s">
        <v>1486</v>
      </c>
      <c r="R1625" t="s">
        <v>1487</v>
      </c>
      <c r="S1625" t="s">
        <v>1488</v>
      </c>
    </row>
    <row r="1626" spans="1:19" x14ac:dyDescent="0.25">
      <c r="A1626" t="s">
        <v>59</v>
      </c>
      <c r="B1626" t="s">
        <v>60</v>
      </c>
      <c r="C1626" t="s">
        <v>32</v>
      </c>
      <c r="D1626" t="s">
        <v>33</v>
      </c>
      <c r="F1626" t="s">
        <v>35</v>
      </c>
      <c r="G1626" t="s">
        <v>35</v>
      </c>
      <c r="H1626" t="s">
        <v>35</v>
      </c>
      <c r="J1626" t="s">
        <v>2279</v>
      </c>
      <c r="K1626" t="s">
        <v>1092</v>
      </c>
      <c r="M1626">
        <v>2.1999999999999999E-2</v>
      </c>
      <c r="N1626">
        <v>2666</v>
      </c>
      <c r="O1626" t="s">
        <v>575</v>
      </c>
      <c r="Q1626" t="s">
        <v>1486</v>
      </c>
      <c r="R1626" t="s">
        <v>1487</v>
      </c>
      <c r="S1626" t="s">
        <v>1488</v>
      </c>
    </row>
    <row r="1627" spans="1:19" x14ac:dyDescent="0.25">
      <c r="A1627" t="s">
        <v>59</v>
      </c>
      <c r="B1627" t="s">
        <v>60</v>
      </c>
      <c r="C1627" t="s">
        <v>32</v>
      </c>
      <c r="D1627" t="s">
        <v>33</v>
      </c>
      <c r="F1627" t="s">
        <v>35</v>
      </c>
      <c r="G1627" t="s">
        <v>35</v>
      </c>
      <c r="H1627" t="s">
        <v>35</v>
      </c>
      <c r="J1627" t="s">
        <v>2281</v>
      </c>
      <c r="K1627" t="s">
        <v>1092</v>
      </c>
      <c r="M1627">
        <v>0.25</v>
      </c>
      <c r="N1627">
        <v>2666</v>
      </c>
      <c r="O1627" t="s">
        <v>575</v>
      </c>
      <c r="Q1627" t="s">
        <v>1486</v>
      </c>
      <c r="R1627" t="s">
        <v>1487</v>
      </c>
      <c r="S1627" t="s">
        <v>1488</v>
      </c>
    </row>
    <row r="1628" spans="1:19" x14ac:dyDescent="0.25">
      <c r="A1628" t="s">
        <v>59</v>
      </c>
      <c r="B1628" t="s">
        <v>31</v>
      </c>
      <c r="C1628" t="s">
        <v>32</v>
      </c>
      <c r="D1628" t="s">
        <v>33</v>
      </c>
      <c r="F1628" t="s">
        <v>35</v>
      </c>
      <c r="G1628" t="s">
        <v>35</v>
      </c>
      <c r="H1628" t="s">
        <v>35</v>
      </c>
      <c r="J1628" t="s">
        <v>2368</v>
      </c>
      <c r="K1628" t="s">
        <v>1092</v>
      </c>
      <c r="M1628">
        <v>3.2000000000000001E-2</v>
      </c>
      <c r="N1628">
        <v>2666</v>
      </c>
      <c r="O1628" t="s">
        <v>575</v>
      </c>
      <c r="Q1628" t="s">
        <v>1486</v>
      </c>
      <c r="R1628" t="s">
        <v>1487</v>
      </c>
      <c r="S1628" t="s">
        <v>1488</v>
      </c>
    </row>
    <row r="1629" spans="1:19" x14ac:dyDescent="0.25">
      <c r="A1629" t="s">
        <v>59</v>
      </c>
      <c r="B1629" t="s">
        <v>31</v>
      </c>
      <c r="C1629" t="s">
        <v>32</v>
      </c>
      <c r="D1629" t="s">
        <v>33</v>
      </c>
      <c r="F1629" t="s">
        <v>35</v>
      </c>
      <c r="G1629" t="s">
        <v>35</v>
      </c>
      <c r="H1629" t="s">
        <v>35</v>
      </c>
      <c r="J1629" t="s">
        <v>2208</v>
      </c>
      <c r="K1629" t="s">
        <v>1092</v>
      </c>
      <c r="M1629">
        <v>0.75</v>
      </c>
      <c r="N1629">
        <v>2666</v>
      </c>
      <c r="O1629" t="s">
        <v>575</v>
      </c>
      <c r="Q1629" t="s">
        <v>1486</v>
      </c>
      <c r="R1629" t="s">
        <v>1487</v>
      </c>
      <c r="S1629" t="s">
        <v>1488</v>
      </c>
    </row>
    <row r="1630" spans="1:19" x14ac:dyDescent="0.25">
      <c r="A1630" t="s">
        <v>59</v>
      </c>
      <c r="B1630" t="s">
        <v>60</v>
      </c>
      <c r="C1630" t="s">
        <v>32</v>
      </c>
      <c r="D1630" t="s">
        <v>33</v>
      </c>
      <c r="F1630" t="s">
        <v>35</v>
      </c>
      <c r="G1630" t="s">
        <v>35</v>
      </c>
      <c r="H1630" t="s">
        <v>35</v>
      </c>
      <c r="J1630" t="s">
        <v>2274</v>
      </c>
      <c r="K1630" t="s">
        <v>1092</v>
      </c>
      <c r="M1630">
        <v>0.05</v>
      </c>
      <c r="N1630">
        <v>2666</v>
      </c>
      <c r="O1630" t="s">
        <v>575</v>
      </c>
      <c r="Q1630" t="s">
        <v>1486</v>
      </c>
      <c r="R1630" t="s">
        <v>1487</v>
      </c>
      <c r="S1630" t="s">
        <v>1488</v>
      </c>
    </row>
    <row r="1631" spans="1:19" x14ac:dyDescent="0.25">
      <c r="A1631" t="s">
        <v>59</v>
      </c>
      <c r="B1631" t="s">
        <v>60</v>
      </c>
      <c r="C1631" t="s">
        <v>32</v>
      </c>
      <c r="D1631" t="s">
        <v>33</v>
      </c>
      <c r="F1631" t="s">
        <v>35</v>
      </c>
      <c r="G1631" t="s">
        <v>35</v>
      </c>
      <c r="H1631" t="s">
        <v>35</v>
      </c>
      <c r="J1631" t="s">
        <v>2212</v>
      </c>
      <c r="K1631" t="s">
        <v>1092</v>
      </c>
      <c r="M1631">
        <v>1</v>
      </c>
      <c r="N1631">
        <v>2666</v>
      </c>
      <c r="O1631" t="s">
        <v>575</v>
      </c>
      <c r="Q1631" t="s">
        <v>1486</v>
      </c>
      <c r="R1631" t="s">
        <v>1487</v>
      </c>
      <c r="S1631" t="s">
        <v>1488</v>
      </c>
    </row>
    <row r="1632" spans="1:19" x14ac:dyDescent="0.25">
      <c r="A1632" t="s">
        <v>59</v>
      </c>
      <c r="B1632" t="s">
        <v>60</v>
      </c>
      <c r="C1632" t="s">
        <v>32</v>
      </c>
      <c r="D1632" t="s">
        <v>33</v>
      </c>
      <c r="F1632" t="s">
        <v>35</v>
      </c>
      <c r="G1632" t="s">
        <v>35</v>
      </c>
      <c r="H1632" t="s">
        <v>35</v>
      </c>
      <c r="J1632" t="s">
        <v>2213</v>
      </c>
      <c r="K1632" t="s">
        <v>1092</v>
      </c>
      <c r="M1632">
        <v>4.4999999999999998E-2</v>
      </c>
      <c r="N1632">
        <v>2666</v>
      </c>
      <c r="O1632" t="s">
        <v>575</v>
      </c>
      <c r="Q1632" t="s">
        <v>1486</v>
      </c>
      <c r="R1632" t="s">
        <v>1487</v>
      </c>
      <c r="S1632" t="s">
        <v>1488</v>
      </c>
    </row>
    <row r="1633" spans="1:19" x14ac:dyDescent="0.25">
      <c r="A1633" t="s">
        <v>59</v>
      </c>
      <c r="B1633" t="s">
        <v>60</v>
      </c>
      <c r="C1633" t="s">
        <v>32</v>
      </c>
      <c r="D1633" t="s">
        <v>33</v>
      </c>
      <c r="F1633" t="s">
        <v>35</v>
      </c>
      <c r="G1633" t="s">
        <v>35</v>
      </c>
      <c r="H1633" t="s">
        <v>35</v>
      </c>
      <c r="J1633" t="s">
        <v>2280</v>
      </c>
      <c r="K1633" t="s">
        <v>1092</v>
      </c>
      <c r="M1633">
        <v>0.44500000000000001</v>
      </c>
      <c r="N1633">
        <v>2666</v>
      </c>
      <c r="O1633" t="s">
        <v>575</v>
      </c>
      <c r="Q1633" t="s">
        <v>1486</v>
      </c>
      <c r="R1633" t="s">
        <v>1487</v>
      </c>
      <c r="S1633" t="s">
        <v>1488</v>
      </c>
    </row>
    <row r="1634" spans="1:19" x14ac:dyDescent="0.25">
      <c r="A1634" t="s">
        <v>59</v>
      </c>
      <c r="B1634" t="s">
        <v>60</v>
      </c>
      <c r="C1634" t="s">
        <v>32</v>
      </c>
      <c r="D1634" t="s">
        <v>33</v>
      </c>
      <c r="F1634" t="s">
        <v>35</v>
      </c>
      <c r="G1634" t="s">
        <v>35</v>
      </c>
      <c r="H1634" t="s">
        <v>35</v>
      </c>
      <c r="J1634" t="s">
        <v>2215</v>
      </c>
      <c r="K1634" t="s">
        <v>1092</v>
      </c>
      <c r="M1634">
        <v>0.03</v>
      </c>
      <c r="N1634">
        <v>2666</v>
      </c>
      <c r="O1634" t="s">
        <v>575</v>
      </c>
      <c r="Q1634" t="s">
        <v>1486</v>
      </c>
      <c r="R1634" t="s">
        <v>1487</v>
      </c>
      <c r="S1634" t="s">
        <v>1488</v>
      </c>
    </row>
    <row r="1635" spans="1:19" x14ac:dyDescent="0.25">
      <c r="A1635" t="s">
        <v>59</v>
      </c>
      <c r="B1635" t="s">
        <v>60</v>
      </c>
      <c r="C1635" t="s">
        <v>32</v>
      </c>
      <c r="D1635" t="s">
        <v>33</v>
      </c>
      <c r="F1635" t="s">
        <v>35</v>
      </c>
      <c r="G1635" t="s">
        <v>35</v>
      </c>
      <c r="H1635" t="s">
        <v>35</v>
      </c>
      <c r="J1635" t="s">
        <v>2298</v>
      </c>
      <c r="K1635" t="s">
        <v>1092</v>
      </c>
      <c r="M1635">
        <v>0.08</v>
      </c>
      <c r="N1635">
        <v>2666</v>
      </c>
      <c r="O1635" t="s">
        <v>575</v>
      </c>
      <c r="Q1635" t="s">
        <v>1486</v>
      </c>
      <c r="R1635" t="s">
        <v>1487</v>
      </c>
      <c r="S1635" t="s">
        <v>1488</v>
      </c>
    </row>
    <row r="1636" spans="1:19" x14ac:dyDescent="0.25">
      <c r="A1636" t="s">
        <v>30</v>
      </c>
      <c r="B1636" t="s">
        <v>31</v>
      </c>
      <c r="C1636" t="s">
        <v>32</v>
      </c>
      <c r="D1636" t="s">
        <v>33</v>
      </c>
      <c r="F1636" t="s">
        <v>35</v>
      </c>
      <c r="G1636" t="s">
        <v>35</v>
      </c>
      <c r="H1636" t="s">
        <v>35</v>
      </c>
      <c r="J1636" t="s">
        <v>2366</v>
      </c>
      <c r="K1636" t="s">
        <v>1092</v>
      </c>
      <c r="M1636">
        <v>0.16500000000000001</v>
      </c>
      <c r="N1636">
        <v>2666</v>
      </c>
      <c r="O1636" t="s">
        <v>575</v>
      </c>
      <c r="Q1636" t="s">
        <v>1486</v>
      </c>
      <c r="R1636" t="s">
        <v>1487</v>
      </c>
      <c r="S1636" t="s">
        <v>1488</v>
      </c>
    </row>
    <row r="1637" spans="1:19" x14ac:dyDescent="0.25">
      <c r="A1637" t="s">
        <v>59</v>
      </c>
      <c r="B1637" t="s">
        <v>60</v>
      </c>
      <c r="C1637" t="s">
        <v>32</v>
      </c>
      <c r="D1637" t="s">
        <v>33</v>
      </c>
      <c r="F1637" t="s">
        <v>35</v>
      </c>
      <c r="G1637" t="s">
        <v>35</v>
      </c>
      <c r="H1637" t="s">
        <v>35</v>
      </c>
      <c r="J1637" t="s">
        <v>2366</v>
      </c>
      <c r="K1637" t="s">
        <v>1092</v>
      </c>
      <c r="M1637">
        <v>0.125</v>
      </c>
      <c r="N1637">
        <v>2666</v>
      </c>
      <c r="O1637" t="s">
        <v>575</v>
      </c>
      <c r="Q1637" t="s">
        <v>1486</v>
      </c>
      <c r="R1637" t="s">
        <v>1487</v>
      </c>
      <c r="S1637" t="s">
        <v>1488</v>
      </c>
    </row>
    <row r="1638" spans="1:19" x14ac:dyDescent="0.25">
      <c r="A1638" t="s">
        <v>59</v>
      </c>
      <c r="B1638" t="s">
        <v>60</v>
      </c>
      <c r="C1638" t="s">
        <v>32</v>
      </c>
      <c r="D1638" t="s">
        <v>33</v>
      </c>
      <c r="F1638" t="s">
        <v>35</v>
      </c>
      <c r="G1638" t="s">
        <v>35</v>
      </c>
      <c r="H1638" t="s">
        <v>35</v>
      </c>
      <c r="J1638" t="s">
        <v>1838</v>
      </c>
      <c r="K1638" t="s">
        <v>1092</v>
      </c>
      <c r="M1638">
        <v>0.03</v>
      </c>
      <c r="N1638">
        <v>2666</v>
      </c>
      <c r="O1638" t="s">
        <v>575</v>
      </c>
      <c r="Q1638" t="s">
        <v>1486</v>
      </c>
      <c r="R1638" t="s">
        <v>1487</v>
      </c>
      <c r="S1638" t="s">
        <v>1488</v>
      </c>
    </row>
    <row r="1639" spans="1:19" x14ac:dyDescent="0.25">
      <c r="A1639" t="s">
        <v>59</v>
      </c>
      <c r="B1639" t="s">
        <v>60</v>
      </c>
      <c r="C1639" t="s">
        <v>32</v>
      </c>
      <c r="D1639" t="s">
        <v>33</v>
      </c>
      <c r="F1639" t="s">
        <v>35</v>
      </c>
      <c r="G1639" t="s">
        <v>35</v>
      </c>
      <c r="H1639" t="s">
        <v>35</v>
      </c>
      <c r="J1639" t="s">
        <v>2220</v>
      </c>
      <c r="K1639" t="s">
        <v>1092</v>
      </c>
      <c r="M1639">
        <v>0.28999999999999998</v>
      </c>
      <c r="N1639">
        <v>2666</v>
      </c>
      <c r="O1639" t="s">
        <v>575</v>
      </c>
      <c r="Q1639" t="s">
        <v>1486</v>
      </c>
      <c r="R1639" t="s">
        <v>1487</v>
      </c>
      <c r="S1639" t="s">
        <v>1488</v>
      </c>
    </row>
    <row r="1640" spans="1:19" x14ac:dyDescent="0.25">
      <c r="A1640" t="s">
        <v>59</v>
      </c>
      <c r="B1640" t="s">
        <v>60</v>
      </c>
      <c r="C1640" t="s">
        <v>32</v>
      </c>
      <c r="D1640" t="s">
        <v>33</v>
      </c>
      <c r="F1640" t="s">
        <v>35</v>
      </c>
      <c r="G1640" t="s">
        <v>35</v>
      </c>
      <c r="H1640" t="s">
        <v>35</v>
      </c>
      <c r="J1640" t="s">
        <v>2367</v>
      </c>
      <c r="K1640" t="s">
        <v>1092</v>
      </c>
      <c r="M1640">
        <v>0.04</v>
      </c>
      <c r="N1640">
        <v>2666</v>
      </c>
      <c r="O1640" t="s">
        <v>575</v>
      </c>
      <c r="Q1640" t="s">
        <v>1486</v>
      </c>
      <c r="R1640" t="s">
        <v>1487</v>
      </c>
      <c r="S1640" t="s">
        <v>1488</v>
      </c>
    </row>
    <row r="1641" spans="1:19" x14ac:dyDescent="0.25">
      <c r="A1641" t="s">
        <v>59</v>
      </c>
      <c r="B1641" t="s">
        <v>60</v>
      </c>
      <c r="C1641" t="s">
        <v>32</v>
      </c>
      <c r="D1641" t="s">
        <v>33</v>
      </c>
      <c r="E1641" t="s">
        <v>87</v>
      </c>
      <c r="F1641" t="s">
        <v>35</v>
      </c>
      <c r="G1641" t="s">
        <v>35</v>
      </c>
      <c r="H1641" t="s">
        <v>35</v>
      </c>
      <c r="J1641" t="s">
        <v>1484</v>
      </c>
      <c r="K1641" t="s">
        <v>1092</v>
      </c>
      <c r="M1641">
        <v>0.01</v>
      </c>
      <c r="N1641">
        <v>2666</v>
      </c>
      <c r="O1641" t="s">
        <v>575</v>
      </c>
      <c r="Q1641" t="s">
        <v>1486</v>
      </c>
      <c r="R1641" t="s">
        <v>1487</v>
      </c>
      <c r="S1641" t="s">
        <v>1488</v>
      </c>
    </row>
    <row r="1642" spans="1:19" x14ac:dyDescent="0.25">
      <c r="A1642" t="s">
        <v>59</v>
      </c>
      <c r="B1642" t="s">
        <v>60</v>
      </c>
      <c r="C1642" t="s">
        <v>32</v>
      </c>
      <c r="D1642" t="s">
        <v>33</v>
      </c>
      <c r="F1642" t="s">
        <v>35</v>
      </c>
      <c r="G1642" t="s">
        <v>35</v>
      </c>
      <c r="H1642" t="s">
        <v>35</v>
      </c>
      <c r="J1642" t="s">
        <v>2317</v>
      </c>
      <c r="K1642" t="s">
        <v>1092</v>
      </c>
      <c r="M1642">
        <v>0.1</v>
      </c>
      <c r="N1642">
        <v>2666</v>
      </c>
      <c r="O1642" t="s">
        <v>575</v>
      </c>
      <c r="Q1642" t="s">
        <v>1486</v>
      </c>
      <c r="R1642" t="s">
        <v>1487</v>
      </c>
      <c r="S1642" t="s">
        <v>1488</v>
      </c>
    </row>
    <row r="1643" spans="1:19" x14ac:dyDescent="0.25">
      <c r="A1643" t="s">
        <v>59</v>
      </c>
      <c r="B1643" t="s">
        <v>60</v>
      </c>
      <c r="C1643" t="s">
        <v>32</v>
      </c>
      <c r="D1643" t="s">
        <v>33</v>
      </c>
      <c r="F1643" t="s">
        <v>35</v>
      </c>
      <c r="G1643" t="s">
        <v>35</v>
      </c>
      <c r="H1643" t="s">
        <v>35</v>
      </c>
      <c r="J1643" t="s">
        <v>2300</v>
      </c>
      <c r="K1643" t="s">
        <v>1092</v>
      </c>
      <c r="M1643">
        <v>0.11</v>
      </c>
      <c r="N1643">
        <v>2666</v>
      </c>
      <c r="O1643" t="s">
        <v>575</v>
      </c>
      <c r="Q1643" t="s">
        <v>1486</v>
      </c>
      <c r="R1643" t="s">
        <v>1487</v>
      </c>
      <c r="S1643" t="s">
        <v>1488</v>
      </c>
    </row>
    <row r="1644" spans="1:19" x14ac:dyDescent="0.25">
      <c r="A1644" t="s">
        <v>59</v>
      </c>
      <c r="B1644" t="s">
        <v>60</v>
      </c>
      <c r="C1644" t="s">
        <v>32</v>
      </c>
      <c r="D1644" t="s">
        <v>33</v>
      </c>
      <c r="F1644" t="s">
        <v>35</v>
      </c>
      <c r="G1644" t="s">
        <v>35</v>
      </c>
      <c r="H1644" t="s">
        <v>35</v>
      </c>
      <c r="J1644" t="s">
        <v>2267</v>
      </c>
      <c r="K1644" t="s">
        <v>1092</v>
      </c>
      <c r="M1644">
        <v>0.06</v>
      </c>
      <c r="N1644">
        <v>2666</v>
      </c>
      <c r="O1644" t="s">
        <v>575</v>
      </c>
      <c r="Q1644" t="s">
        <v>1486</v>
      </c>
      <c r="R1644" t="s">
        <v>1487</v>
      </c>
      <c r="S1644" t="s">
        <v>1488</v>
      </c>
    </row>
    <row r="1645" spans="1:19" x14ac:dyDescent="0.25">
      <c r="A1645" t="s">
        <v>59</v>
      </c>
      <c r="B1645" t="s">
        <v>60</v>
      </c>
      <c r="C1645" t="s">
        <v>32</v>
      </c>
      <c r="D1645" t="s">
        <v>33</v>
      </c>
      <c r="F1645" t="s">
        <v>35</v>
      </c>
      <c r="G1645" t="s">
        <v>35</v>
      </c>
      <c r="H1645" t="s">
        <v>35</v>
      </c>
      <c r="J1645" t="s">
        <v>2311</v>
      </c>
      <c r="K1645" t="s">
        <v>1092</v>
      </c>
      <c r="M1645">
        <v>0.06</v>
      </c>
      <c r="N1645">
        <v>2666</v>
      </c>
      <c r="O1645" t="s">
        <v>575</v>
      </c>
      <c r="Q1645" t="s">
        <v>1486</v>
      </c>
      <c r="R1645" t="s">
        <v>1487</v>
      </c>
      <c r="S1645" t="s">
        <v>1488</v>
      </c>
    </row>
    <row r="1646" spans="1:19" x14ac:dyDescent="0.25">
      <c r="A1646" t="s">
        <v>59</v>
      </c>
      <c r="B1646" t="s">
        <v>60</v>
      </c>
      <c r="C1646" t="s">
        <v>32</v>
      </c>
      <c r="D1646" t="s">
        <v>33</v>
      </c>
      <c r="F1646" t="s">
        <v>35</v>
      </c>
      <c r="G1646" t="s">
        <v>35</v>
      </c>
      <c r="H1646" t="s">
        <v>35</v>
      </c>
      <c r="J1646" t="s">
        <v>2268</v>
      </c>
      <c r="K1646" t="s">
        <v>1092</v>
      </c>
      <c r="M1646">
        <v>7.0000000000000007E-2</v>
      </c>
      <c r="N1646">
        <v>2666</v>
      </c>
      <c r="O1646" t="s">
        <v>575</v>
      </c>
      <c r="Q1646" t="s">
        <v>1486</v>
      </c>
      <c r="R1646" t="s">
        <v>1487</v>
      </c>
      <c r="S1646" t="s">
        <v>1488</v>
      </c>
    </row>
    <row r="1647" spans="1:19" x14ac:dyDescent="0.25">
      <c r="A1647" t="s">
        <v>59</v>
      </c>
      <c r="B1647" t="s">
        <v>60</v>
      </c>
      <c r="C1647" t="s">
        <v>32</v>
      </c>
      <c r="D1647" t="s">
        <v>33</v>
      </c>
      <c r="F1647" t="s">
        <v>35</v>
      </c>
      <c r="G1647" t="s">
        <v>35</v>
      </c>
      <c r="H1647" t="s">
        <v>35</v>
      </c>
      <c r="J1647" t="s">
        <v>2224</v>
      </c>
      <c r="K1647" t="s">
        <v>1092</v>
      </c>
      <c r="M1647">
        <v>3.0000000000000001E-3</v>
      </c>
      <c r="N1647">
        <v>2666</v>
      </c>
      <c r="O1647" t="s">
        <v>575</v>
      </c>
      <c r="Q1647" t="s">
        <v>1486</v>
      </c>
      <c r="R1647" t="s">
        <v>1487</v>
      </c>
      <c r="S1647" t="s">
        <v>1488</v>
      </c>
    </row>
    <row r="1648" spans="1:19" x14ac:dyDescent="0.25">
      <c r="A1648" t="s">
        <v>59</v>
      </c>
      <c r="B1648" t="s">
        <v>60</v>
      </c>
      <c r="C1648" t="s">
        <v>32</v>
      </c>
      <c r="D1648" t="s">
        <v>33</v>
      </c>
      <c r="E1648" t="s">
        <v>2081</v>
      </c>
      <c r="F1648" t="s">
        <v>35</v>
      </c>
      <c r="G1648" t="s">
        <v>35</v>
      </c>
      <c r="H1648" t="s">
        <v>35</v>
      </c>
      <c r="J1648" t="s">
        <v>2089</v>
      </c>
      <c r="K1648" t="s">
        <v>1092</v>
      </c>
      <c r="M1648">
        <v>0.5</v>
      </c>
      <c r="N1648">
        <v>2666</v>
      </c>
      <c r="O1648" t="s">
        <v>575</v>
      </c>
      <c r="Q1648" t="s">
        <v>1486</v>
      </c>
      <c r="R1648" t="s">
        <v>1487</v>
      </c>
      <c r="S1648" t="s">
        <v>1488</v>
      </c>
    </row>
    <row r="1649" spans="1:20" x14ac:dyDescent="0.25">
      <c r="A1649" t="s">
        <v>59</v>
      </c>
      <c r="B1649" t="s">
        <v>31</v>
      </c>
      <c r="C1649" t="s">
        <v>32</v>
      </c>
      <c r="D1649" t="s">
        <v>227</v>
      </c>
      <c r="F1649" t="s">
        <v>35</v>
      </c>
      <c r="G1649" t="s">
        <v>35</v>
      </c>
      <c r="H1649" t="s">
        <v>35</v>
      </c>
      <c r="J1649" t="s">
        <v>3095</v>
      </c>
      <c r="K1649" t="s">
        <v>1092</v>
      </c>
      <c r="M1649">
        <v>0.02</v>
      </c>
      <c r="N1649">
        <v>1186</v>
      </c>
      <c r="O1649" t="s">
        <v>575</v>
      </c>
      <c r="Q1649" t="s">
        <v>3096</v>
      </c>
      <c r="R1649" t="s">
        <v>2696</v>
      </c>
      <c r="S1649" t="s">
        <v>284</v>
      </c>
      <c r="T1649" t="s">
        <v>286</v>
      </c>
    </row>
    <row r="1650" spans="1:20" x14ac:dyDescent="0.25">
      <c r="A1650" t="s">
        <v>59</v>
      </c>
      <c r="B1650" t="s">
        <v>60</v>
      </c>
      <c r="C1650" t="s">
        <v>32</v>
      </c>
      <c r="D1650" t="s">
        <v>227</v>
      </c>
      <c r="F1650" t="s">
        <v>35</v>
      </c>
      <c r="G1650" t="s">
        <v>35</v>
      </c>
      <c r="H1650" t="s">
        <v>35</v>
      </c>
      <c r="J1650" t="s">
        <v>3102</v>
      </c>
      <c r="K1650" t="s">
        <v>1092</v>
      </c>
      <c r="M1650">
        <v>0.5</v>
      </c>
      <c r="N1650">
        <v>2336</v>
      </c>
      <c r="O1650" t="s">
        <v>575</v>
      </c>
      <c r="Q1650" t="s">
        <v>3103</v>
      </c>
      <c r="R1650" t="s">
        <v>2696</v>
      </c>
      <c r="S1650" t="s">
        <v>284</v>
      </c>
      <c r="T1650" t="s">
        <v>286</v>
      </c>
    </row>
    <row r="1651" spans="1:20" x14ac:dyDescent="0.25">
      <c r="A1651" t="s">
        <v>59</v>
      </c>
      <c r="B1651" t="s">
        <v>60</v>
      </c>
      <c r="C1651" t="s">
        <v>32</v>
      </c>
      <c r="D1651" t="s">
        <v>227</v>
      </c>
      <c r="E1651" t="s">
        <v>2850</v>
      </c>
      <c r="F1651" t="s">
        <v>35</v>
      </c>
      <c r="G1651" t="s">
        <v>35</v>
      </c>
      <c r="H1651" t="s">
        <v>35</v>
      </c>
      <c r="J1651" t="s">
        <v>2868</v>
      </c>
      <c r="K1651" t="s">
        <v>1092</v>
      </c>
      <c r="M1651">
        <v>0.25</v>
      </c>
      <c r="N1651">
        <v>119</v>
      </c>
      <c r="O1651" t="s">
        <v>106</v>
      </c>
      <c r="Q1651" t="s">
        <v>1813</v>
      </c>
      <c r="R1651" t="s">
        <v>2696</v>
      </c>
      <c r="S1651" t="s">
        <v>284</v>
      </c>
      <c r="T1651" t="s">
        <v>286</v>
      </c>
    </row>
    <row r="1652" spans="1:20" x14ac:dyDescent="0.25">
      <c r="A1652" t="s">
        <v>59</v>
      </c>
      <c r="B1652" t="s">
        <v>60</v>
      </c>
      <c r="C1652" t="s">
        <v>32</v>
      </c>
      <c r="D1652" t="s">
        <v>227</v>
      </c>
      <c r="E1652" t="s">
        <v>2675</v>
      </c>
      <c r="F1652" t="s">
        <v>35</v>
      </c>
      <c r="G1652" t="s">
        <v>35</v>
      </c>
      <c r="H1652" t="s">
        <v>35</v>
      </c>
      <c r="J1652" t="s">
        <v>2695</v>
      </c>
      <c r="K1652" t="s">
        <v>1092</v>
      </c>
      <c r="M1652">
        <v>3</v>
      </c>
      <c r="N1652">
        <v>25</v>
      </c>
      <c r="O1652" t="s">
        <v>46</v>
      </c>
      <c r="Q1652" t="s">
        <v>547</v>
      </c>
      <c r="R1652" t="s">
        <v>2696</v>
      </c>
      <c r="S1652" t="s">
        <v>284</v>
      </c>
      <c r="T1652" t="s">
        <v>286</v>
      </c>
    </row>
    <row r="1653" spans="1:20" x14ac:dyDescent="0.25">
      <c r="A1653" t="s">
        <v>59</v>
      </c>
      <c r="B1653" t="s">
        <v>60</v>
      </c>
      <c r="C1653" t="s">
        <v>32</v>
      </c>
      <c r="D1653" t="s">
        <v>227</v>
      </c>
      <c r="E1653" t="s">
        <v>2675</v>
      </c>
      <c r="F1653" t="s">
        <v>35</v>
      </c>
      <c r="G1653" t="s">
        <v>35</v>
      </c>
      <c r="H1653" t="s">
        <v>35</v>
      </c>
      <c r="J1653" t="s">
        <v>2719</v>
      </c>
      <c r="K1653" t="s">
        <v>1092</v>
      </c>
      <c r="M1653">
        <v>0.25</v>
      </c>
      <c r="N1653">
        <v>1940</v>
      </c>
      <c r="O1653" t="s">
        <v>575</v>
      </c>
      <c r="Q1653" t="s">
        <v>2720</v>
      </c>
      <c r="R1653" t="s">
        <v>2706</v>
      </c>
      <c r="S1653" t="s">
        <v>2707</v>
      </c>
      <c r="T1653" t="s">
        <v>286</v>
      </c>
    </row>
    <row r="1654" spans="1:20" x14ac:dyDescent="0.25">
      <c r="A1654" t="s">
        <v>59</v>
      </c>
      <c r="B1654" t="s">
        <v>60</v>
      </c>
      <c r="C1654" t="s">
        <v>32</v>
      </c>
      <c r="D1654" t="s">
        <v>227</v>
      </c>
      <c r="E1654" t="s">
        <v>2675</v>
      </c>
      <c r="F1654" t="s">
        <v>35</v>
      </c>
      <c r="G1654" t="s">
        <v>35</v>
      </c>
      <c r="H1654" t="s">
        <v>35</v>
      </c>
      <c r="J1654" t="s">
        <v>2704</v>
      </c>
      <c r="K1654" t="s">
        <v>1092</v>
      </c>
      <c r="M1654">
        <v>2.1999999999999999E-2</v>
      </c>
      <c r="N1654">
        <v>1854</v>
      </c>
      <c r="O1654" t="s">
        <v>575</v>
      </c>
      <c r="Q1654" t="s">
        <v>2705</v>
      </c>
      <c r="R1654" t="s">
        <v>2706</v>
      </c>
      <c r="S1654" t="s">
        <v>2707</v>
      </c>
      <c r="T1654" t="s">
        <v>286</v>
      </c>
    </row>
    <row r="1655" spans="1:20" x14ac:dyDescent="0.25">
      <c r="A1655" t="s">
        <v>59</v>
      </c>
      <c r="B1655" t="s">
        <v>31</v>
      </c>
      <c r="C1655" t="s">
        <v>32</v>
      </c>
      <c r="D1655" t="s">
        <v>227</v>
      </c>
      <c r="E1655" t="s">
        <v>2675</v>
      </c>
      <c r="F1655" t="s">
        <v>35</v>
      </c>
      <c r="G1655" t="s">
        <v>35</v>
      </c>
      <c r="H1655" t="s">
        <v>35</v>
      </c>
      <c r="J1655" t="s">
        <v>2709</v>
      </c>
      <c r="K1655" t="s">
        <v>1092</v>
      </c>
      <c r="M1655">
        <v>0.45</v>
      </c>
      <c r="N1655">
        <v>2029</v>
      </c>
      <c r="O1655" t="s">
        <v>575</v>
      </c>
      <c r="Q1655" t="s">
        <v>2710</v>
      </c>
      <c r="R1655" t="s">
        <v>2706</v>
      </c>
      <c r="S1655" t="s">
        <v>2707</v>
      </c>
      <c r="T1655" t="s">
        <v>286</v>
      </c>
    </row>
    <row r="1656" spans="1:20" x14ac:dyDescent="0.25">
      <c r="A1656" t="s">
        <v>59</v>
      </c>
      <c r="B1656" t="s">
        <v>60</v>
      </c>
      <c r="C1656" t="s">
        <v>32</v>
      </c>
      <c r="D1656" t="s">
        <v>227</v>
      </c>
      <c r="E1656" t="s">
        <v>2675</v>
      </c>
      <c r="F1656" t="s">
        <v>35</v>
      </c>
      <c r="G1656" t="s">
        <v>35</v>
      </c>
      <c r="H1656" t="s">
        <v>35</v>
      </c>
      <c r="J1656" t="s">
        <v>2728</v>
      </c>
      <c r="K1656" t="s">
        <v>1092</v>
      </c>
      <c r="M1656">
        <v>0.7</v>
      </c>
      <c r="N1656">
        <v>482</v>
      </c>
      <c r="O1656" t="s">
        <v>294</v>
      </c>
      <c r="Q1656" t="s">
        <v>2729</v>
      </c>
      <c r="R1656" t="s">
        <v>2706</v>
      </c>
      <c r="S1656" t="s">
        <v>2707</v>
      </c>
      <c r="T1656" t="s">
        <v>286</v>
      </c>
    </row>
    <row r="1657" spans="1:20" x14ac:dyDescent="0.25">
      <c r="A1657" t="s">
        <v>59</v>
      </c>
      <c r="B1657" t="s">
        <v>60</v>
      </c>
      <c r="C1657" t="s">
        <v>32</v>
      </c>
      <c r="D1657" t="s">
        <v>227</v>
      </c>
      <c r="E1657" t="s">
        <v>2385</v>
      </c>
      <c r="F1657" t="s">
        <v>35</v>
      </c>
      <c r="G1657" t="s">
        <v>35</v>
      </c>
      <c r="H1657" t="s">
        <v>35</v>
      </c>
      <c r="J1657" t="s">
        <v>2414</v>
      </c>
      <c r="K1657" t="s">
        <v>1092</v>
      </c>
      <c r="M1657">
        <v>0.05</v>
      </c>
      <c r="N1657">
        <v>2365</v>
      </c>
      <c r="O1657" t="s">
        <v>575</v>
      </c>
      <c r="Q1657" t="s">
        <v>2415</v>
      </c>
      <c r="R1657" t="s">
        <v>2416</v>
      </c>
      <c r="S1657" t="s">
        <v>2417</v>
      </c>
      <c r="T1657" t="s">
        <v>2418</v>
      </c>
    </row>
    <row r="1658" spans="1:20" x14ac:dyDescent="0.25">
      <c r="A1658" t="s">
        <v>30</v>
      </c>
      <c r="B1658" t="s">
        <v>31</v>
      </c>
      <c r="C1658" t="s">
        <v>32</v>
      </c>
      <c r="D1658" t="s">
        <v>227</v>
      </c>
      <c r="F1658" t="s">
        <v>35</v>
      </c>
      <c r="G1658" t="s">
        <v>35</v>
      </c>
      <c r="H1658" t="s">
        <v>35</v>
      </c>
      <c r="J1658" t="s">
        <v>3060</v>
      </c>
      <c r="K1658" t="s">
        <v>1092</v>
      </c>
      <c r="M1658">
        <v>0.45</v>
      </c>
      <c r="N1658">
        <v>2293</v>
      </c>
      <c r="O1658" t="s">
        <v>575</v>
      </c>
      <c r="Q1658" t="s">
        <v>3061</v>
      </c>
      <c r="R1658" t="s">
        <v>3062</v>
      </c>
      <c r="S1658" t="s">
        <v>3063</v>
      </c>
      <c r="T1658" t="s">
        <v>3064</v>
      </c>
    </row>
    <row r="1659" spans="1:20" x14ac:dyDescent="0.25">
      <c r="A1659" t="s">
        <v>30</v>
      </c>
      <c r="B1659" t="s">
        <v>31</v>
      </c>
      <c r="C1659" t="s">
        <v>32</v>
      </c>
      <c r="D1659" t="s">
        <v>227</v>
      </c>
      <c r="E1659" t="s">
        <v>2492</v>
      </c>
      <c r="F1659" t="s">
        <v>35</v>
      </c>
      <c r="G1659" t="s">
        <v>35</v>
      </c>
      <c r="H1659" t="s">
        <v>35</v>
      </c>
      <c r="J1659" t="s">
        <v>2523</v>
      </c>
      <c r="K1659" t="s">
        <v>1092</v>
      </c>
      <c r="M1659">
        <v>6.4349999999999996</v>
      </c>
      <c r="N1659">
        <v>142</v>
      </c>
      <c r="O1659" t="s">
        <v>38</v>
      </c>
      <c r="Q1659" t="s">
        <v>73</v>
      </c>
      <c r="R1659" t="s">
        <v>2480</v>
      </c>
      <c r="S1659" t="s">
        <v>2481</v>
      </c>
      <c r="T1659" t="s">
        <v>2482</v>
      </c>
    </row>
    <row r="1660" spans="1:20" x14ac:dyDescent="0.25">
      <c r="A1660" t="s">
        <v>59</v>
      </c>
      <c r="B1660" t="s">
        <v>60</v>
      </c>
      <c r="C1660" t="s">
        <v>32</v>
      </c>
      <c r="D1660" t="s">
        <v>227</v>
      </c>
      <c r="E1660" t="s">
        <v>228</v>
      </c>
      <c r="F1660" t="s">
        <v>35</v>
      </c>
      <c r="G1660" t="s">
        <v>35</v>
      </c>
      <c r="H1660" t="s">
        <v>35</v>
      </c>
      <c r="J1660" t="s">
        <v>2483</v>
      </c>
      <c r="K1660" t="s">
        <v>1092</v>
      </c>
      <c r="M1660">
        <v>2.5000000000000001E-2</v>
      </c>
      <c r="N1660">
        <v>492</v>
      </c>
      <c r="O1660" t="s">
        <v>294</v>
      </c>
      <c r="Q1660" t="s">
        <v>1503</v>
      </c>
      <c r="R1660" t="s">
        <v>2480</v>
      </c>
      <c r="S1660" t="s">
        <v>2481</v>
      </c>
      <c r="T1660" t="s">
        <v>2482</v>
      </c>
    </row>
    <row r="1661" spans="1:20" x14ac:dyDescent="0.25">
      <c r="A1661" t="s">
        <v>30</v>
      </c>
      <c r="B1661" t="s">
        <v>31</v>
      </c>
      <c r="C1661" t="s">
        <v>32</v>
      </c>
      <c r="D1661" t="s">
        <v>227</v>
      </c>
      <c r="E1661" t="s">
        <v>2492</v>
      </c>
      <c r="F1661" t="s">
        <v>35</v>
      </c>
      <c r="G1661" t="s">
        <v>35</v>
      </c>
      <c r="H1661" t="s">
        <v>35</v>
      </c>
      <c r="J1661" t="s">
        <v>2504</v>
      </c>
      <c r="K1661" t="s">
        <v>1092</v>
      </c>
      <c r="M1661">
        <v>0.93</v>
      </c>
      <c r="N1661">
        <v>126</v>
      </c>
      <c r="O1661" t="s">
        <v>38</v>
      </c>
      <c r="Q1661" t="s">
        <v>68</v>
      </c>
      <c r="R1661" t="s">
        <v>2480</v>
      </c>
      <c r="S1661" t="s">
        <v>2481</v>
      </c>
      <c r="T1661" t="s">
        <v>2482</v>
      </c>
    </row>
    <row r="1662" spans="1:20" x14ac:dyDescent="0.25">
      <c r="A1662" t="s">
        <v>59</v>
      </c>
      <c r="B1662" t="s">
        <v>60</v>
      </c>
      <c r="C1662" t="s">
        <v>32</v>
      </c>
      <c r="D1662" t="s">
        <v>227</v>
      </c>
      <c r="E1662" t="s">
        <v>2492</v>
      </c>
      <c r="F1662" t="s">
        <v>35</v>
      </c>
      <c r="G1662" t="s">
        <v>35</v>
      </c>
      <c r="H1662" t="s">
        <v>35</v>
      </c>
      <c r="J1662" t="s">
        <v>2519</v>
      </c>
      <c r="K1662" t="s">
        <v>1092</v>
      </c>
      <c r="M1662">
        <v>8.65</v>
      </c>
      <c r="N1662">
        <v>321</v>
      </c>
      <c r="O1662" t="s">
        <v>5</v>
      </c>
      <c r="Q1662" t="s">
        <v>2520</v>
      </c>
      <c r="R1662" t="s">
        <v>2480</v>
      </c>
      <c r="S1662" t="s">
        <v>2481</v>
      </c>
      <c r="T1662" t="s">
        <v>2482</v>
      </c>
    </row>
    <row r="1663" spans="1:20" x14ac:dyDescent="0.25">
      <c r="A1663" t="s">
        <v>30</v>
      </c>
      <c r="B1663" t="s">
        <v>31</v>
      </c>
      <c r="C1663" t="s">
        <v>32</v>
      </c>
      <c r="D1663" t="s">
        <v>227</v>
      </c>
      <c r="F1663" t="s">
        <v>35</v>
      </c>
      <c r="G1663" t="s">
        <v>35</v>
      </c>
      <c r="H1663" t="s">
        <v>35</v>
      </c>
      <c r="J1663" t="s">
        <v>2996</v>
      </c>
      <c r="K1663" t="s">
        <v>1092</v>
      </c>
      <c r="M1663">
        <v>4.5449999999999999</v>
      </c>
      <c r="N1663">
        <v>1826</v>
      </c>
      <c r="O1663" t="s">
        <v>575</v>
      </c>
      <c r="Q1663" t="s">
        <v>2997</v>
      </c>
      <c r="R1663" t="s">
        <v>2480</v>
      </c>
      <c r="S1663" t="s">
        <v>2481</v>
      </c>
      <c r="T1663" t="s">
        <v>2482</v>
      </c>
    </row>
    <row r="1664" spans="1:20" x14ac:dyDescent="0.25">
      <c r="A1664" t="s">
        <v>59</v>
      </c>
      <c r="B1664" t="s">
        <v>60</v>
      </c>
      <c r="C1664" t="s">
        <v>32</v>
      </c>
      <c r="D1664" t="s">
        <v>227</v>
      </c>
      <c r="F1664" t="s">
        <v>35</v>
      </c>
      <c r="G1664" t="s">
        <v>35</v>
      </c>
      <c r="H1664" t="s">
        <v>35</v>
      </c>
      <c r="J1664" t="s">
        <v>2996</v>
      </c>
      <c r="K1664" t="s">
        <v>1092</v>
      </c>
      <c r="M1664">
        <v>2.5</v>
      </c>
      <c r="N1664">
        <v>1236</v>
      </c>
      <c r="O1664" t="s">
        <v>575</v>
      </c>
      <c r="Q1664" t="s">
        <v>2998</v>
      </c>
      <c r="R1664" t="s">
        <v>2480</v>
      </c>
      <c r="S1664" t="s">
        <v>2481</v>
      </c>
      <c r="T1664" t="s">
        <v>2482</v>
      </c>
    </row>
    <row r="1665" spans="1:20" x14ac:dyDescent="0.25">
      <c r="A1665" t="s">
        <v>59</v>
      </c>
      <c r="B1665" t="s">
        <v>31</v>
      </c>
      <c r="C1665" t="s">
        <v>32</v>
      </c>
      <c r="D1665" t="s">
        <v>227</v>
      </c>
      <c r="E1665" t="s">
        <v>2492</v>
      </c>
      <c r="F1665" t="s">
        <v>35</v>
      </c>
      <c r="G1665" t="s">
        <v>35</v>
      </c>
      <c r="H1665" t="s">
        <v>35</v>
      </c>
      <c r="J1665" t="s">
        <v>2500</v>
      </c>
      <c r="K1665" t="s">
        <v>1092</v>
      </c>
      <c r="M1665">
        <v>3.915</v>
      </c>
      <c r="N1665">
        <v>90</v>
      </c>
      <c r="O1665" t="s">
        <v>61</v>
      </c>
      <c r="Q1665" t="s">
        <v>557</v>
      </c>
      <c r="R1665" t="s">
        <v>2480</v>
      </c>
      <c r="S1665" t="s">
        <v>2481</v>
      </c>
      <c r="T1665" t="s">
        <v>2482</v>
      </c>
    </row>
    <row r="1666" spans="1:20" x14ac:dyDescent="0.25">
      <c r="A1666" t="s">
        <v>59</v>
      </c>
      <c r="B1666" t="s">
        <v>31</v>
      </c>
      <c r="C1666" t="s">
        <v>32</v>
      </c>
      <c r="D1666" t="s">
        <v>227</v>
      </c>
      <c r="E1666" t="s">
        <v>2492</v>
      </c>
      <c r="F1666" t="s">
        <v>35</v>
      </c>
      <c r="G1666" t="s">
        <v>35</v>
      </c>
      <c r="H1666" t="s">
        <v>35</v>
      </c>
      <c r="J1666" t="s">
        <v>2508</v>
      </c>
      <c r="K1666" t="s">
        <v>1092</v>
      </c>
      <c r="M1666">
        <v>3.0000000000000001E-3</v>
      </c>
      <c r="N1666">
        <v>510</v>
      </c>
      <c r="O1666" t="s">
        <v>294</v>
      </c>
      <c r="Q1666" t="s">
        <v>2509</v>
      </c>
      <c r="R1666" t="s">
        <v>2480</v>
      </c>
      <c r="S1666" t="s">
        <v>2481</v>
      </c>
      <c r="T1666" t="s">
        <v>2482</v>
      </c>
    </row>
    <row r="1667" spans="1:20" x14ac:dyDescent="0.25">
      <c r="A1667" t="s">
        <v>59</v>
      </c>
      <c r="B1667" t="s">
        <v>60</v>
      </c>
      <c r="C1667" t="s">
        <v>32</v>
      </c>
      <c r="D1667" t="s">
        <v>227</v>
      </c>
      <c r="E1667" t="s">
        <v>2492</v>
      </c>
      <c r="F1667" t="s">
        <v>35</v>
      </c>
      <c r="G1667" t="s">
        <v>35</v>
      </c>
      <c r="H1667" t="s">
        <v>35</v>
      </c>
      <c r="J1667" t="s">
        <v>2508</v>
      </c>
      <c r="K1667" t="s">
        <v>1092</v>
      </c>
      <c r="M1667">
        <v>0.1</v>
      </c>
      <c r="N1667">
        <v>65</v>
      </c>
      <c r="O1667" t="s">
        <v>61</v>
      </c>
      <c r="Q1667" t="s">
        <v>63</v>
      </c>
      <c r="R1667" t="s">
        <v>2480</v>
      </c>
      <c r="S1667" t="s">
        <v>2481</v>
      </c>
      <c r="T1667" t="s">
        <v>2482</v>
      </c>
    </row>
    <row r="1668" spans="1:20" x14ac:dyDescent="0.25">
      <c r="A1668" t="s">
        <v>59</v>
      </c>
      <c r="B1668" t="s">
        <v>60</v>
      </c>
      <c r="C1668" t="s">
        <v>32</v>
      </c>
      <c r="D1668" t="s">
        <v>227</v>
      </c>
      <c r="E1668" t="s">
        <v>2492</v>
      </c>
      <c r="F1668" t="s">
        <v>35</v>
      </c>
      <c r="G1668" t="s">
        <v>35</v>
      </c>
      <c r="H1668" t="s">
        <v>35</v>
      </c>
      <c r="J1668" t="s">
        <v>2526</v>
      </c>
      <c r="K1668" t="s">
        <v>1092</v>
      </c>
      <c r="M1668">
        <v>0.2</v>
      </c>
      <c r="N1668">
        <v>781</v>
      </c>
      <c r="O1668" t="s">
        <v>575</v>
      </c>
      <c r="Q1668" t="s">
        <v>2527</v>
      </c>
      <c r="R1668" t="s">
        <v>2480</v>
      </c>
      <c r="S1668" t="s">
        <v>2481</v>
      </c>
      <c r="T1668" t="s">
        <v>2482</v>
      </c>
    </row>
    <row r="1669" spans="1:20" x14ac:dyDescent="0.25">
      <c r="A1669" t="s">
        <v>30</v>
      </c>
      <c r="B1669" t="s">
        <v>31</v>
      </c>
      <c r="C1669" t="s">
        <v>32</v>
      </c>
      <c r="D1669" t="s">
        <v>227</v>
      </c>
      <c r="E1669" t="s">
        <v>2492</v>
      </c>
      <c r="F1669" t="s">
        <v>35</v>
      </c>
      <c r="G1669" t="s">
        <v>35</v>
      </c>
      <c r="H1669" t="s">
        <v>35</v>
      </c>
      <c r="J1669" t="s">
        <v>2515</v>
      </c>
      <c r="K1669" t="s">
        <v>1092</v>
      </c>
      <c r="M1669">
        <v>9.9149999999999991</v>
      </c>
      <c r="N1669">
        <v>142</v>
      </c>
      <c r="O1669" t="s">
        <v>38</v>
      </c>
      <c r="Q1669" t="s">
        <v>73</v>
      </c>
      <c r="R1669" t="s">
        <v>2480</v>
      </c>
      <c r="S1669" t="s">
        <v>2481</v>
      </c>
      <c r="T1669" t="s">
        <v>2482</v>
      </c>
    </row>
    <row r="1670" spans="1:20" x14ac:dyDescent="0.25">
      <c r="A1670" t="s">
        <v>59</v>
      </c>
      <c r="B1670" t="s">
        <v>60</v>
      </c>
      <c r="C1670" t="s">
        <v>32</v>
      </c>
      <c r="D1670" t="s">
        <v>227</v>
      </c>
      <c r="E1670" t="s">
        <v>2492</v>
      </c>
      <c r="F1670" t="s">
        <v>35</v>
      </c>
      <c r="G1670" t="s">
        <v>35</v>
      </c>
      <c r="H1670" t="s">
        <v>35</v>
      </c>
      <c r="J1670" t="s">
        <v>2515</v>
      </c>
      <c r="K1670" t="s">
        <v>1092</v>
      </c>
      <c r="M1670">
        <v>0.05</v>
      </c>
      <c r="N1670">
        <v>128</v>
      </c>
      <c r="O1670" t="s">
        <v>38</v>
      </c>
      <c r="Q1670" t="s">
        <v>98</v>
      </c>
      <c r="R1670" t="s">
        <v>2480</v>
      </c>
      <c r="S1670" t="s">
        <v>2481</v>
      </c>
      <c r="T1670" t="s">
        <v>2482</v>
      </c>
    </row>
    <row r="1671" spans="1:20" x14ac:dyDescent="0.25">
      <c r="A1671" t="s">
        <v>59</v>
      </c>
      <c r="B1671" t="s">
        <v>31</v>
      </c>
      <c r="C1671" t="s">
        <v>32</v>
      </c>
      <c r="D1671" t="s">
        <v>227</v>
      </c>
      <c r="E1671" t="s">
        <v>2492</v>
      </c>
      <c r="F1671" t="s">
        <v>35</v>
      </c>
      <c r="G1671" t="s">
        <v>35</v>
      </c>
      <c r="H1671" t="s">
        <v>35</v>
      </c>
      <c r="J1671" t="s">
        <v>2515</v>
      </c>
      <c r="K1671" t="s">
        <v>1092</v>
      </c>
      <c r="M1671">
        <v>4.8600000000000003</v>
      </c>
      <c r="N1671">
        <v>233</v>
      </c>
      <c r="O1671" t="s">
        <v>5</v>
      </c>
      <c r="Q1671" t="s">
        <v>2516</v>
      </c>
      <c r="R1671" t="s">
        <v>2480</v>
      </c>
      <c r="S1671" t="s">
        <v>2481</v>
      </c>
      <c r="T1671" t="s">
        <v>2482</v>
      </c>
    </row>
    <row r="1672" spans="1:20" x14ac:dyDescent="0.25">
      <c r="A1672" t="s">
        <v>59</v>
      </c>
      <c r="B1672" t="s">
        <v>31</v>
      </c>
      <c r="C1672" t="s">
        <v>32</v>
      </c>
      <c r="D1672" t="s">
        <v>227</v>
      </c>
      <c r="E1672" t="s">
        <v>2492</v>
      </c>
      <c r="F1672" t="s">
        <v>35</v>
      </c>
      <c r="G1672" t="s">
        <v>35</v>
      </c>
      <c r="H1672" t="s">
        <v>35</v>
      </c>
      <c r="J1672" t="s">
        <v>2515</v>
      </c>
      <c r="K1672" t="s">
        <v>1092</v>
      </c>
      <c r="M1672">
        <v>0.36</v>
      </c>
      <c r="N1672">
        <v>291</v>
      </c>
      <c r="O1672" t="s">
        <v>5</v>
      </c>
      <c r="Q1672" t="s">
        <v>2517</v>
      </c>
      <c r="R1672" t="s">
        <v>2480</v>
      </c>
      <c r="S1672" t="s">
        <v>2481</v>
      </c>
      <c r="T1672" t="s">
        <v>2482</v>
      </c>
    </row>
    <row r="1673" spans="1:20" x14ac:dyDescent="0.25">
      <c r="A1673" t="s">
        <v>59</v>
      </c>
      <c r="B1673" t="s">
        <v>60</v>
      </c>
      <c r="C1673" t="s">
        <v>32</v>
      </c>
      <c r="D1673" t="s">
        <v>227</v>
      </c>
      <c r="E1673" t="s">
        <v>2492</v>
      </c>
      <c r="F1673" t="s">
        <v>35</v>
      </c>
      <c r="G1673" t="s">
        <v>35</v>
      </c>
      <c r="H1673" t="s">
        <v>35</v>
      </c>
      <c r="J1673" t="s">
        <v>2518</v>
      </c>
      <c r="K1673" t="s">
        <v>1092</v>
      </c>
      <c r="M1673">
        <v>4.1500000000000004</v>
      </c>
      <c r="N1673">
        <v>65</v>
      </c>
      <c r="O1673" t="s">
        <v>61</v>
      </c>
      <c r="Q1673" t="s">
        <v>63</v>
      </c>
      <c r="R1673" t="s">
        <v>2480</v>
      </c>
      <c r="S1673" t="s">
        <v>2481</v>
      </c>
      <c r="T1673" t="s">
        <v>2482</v>
      </c>
    </row>
    <row r="1674" spans="1:20" x14ac:dyDescent="0.25">
      <c r="A1674" t="s">
        <v>59</v>
      </c>
      <c r="B1674" t="s">
        <v>31</v>
      </c>
      <c r="C1674" t="s">
        <v>32</v>
      </c>
      <c r="D1674" t="s">
        <v>227</v>
      </c>
      <c r="E1674" t="s">
        <v>2492</v>
      </c>
      <c r="F1674" t="s">
        <v>35</v>
      </c>
      <c r="G1674" t="s">
        <v>35</v>
      </c>
      <c r="H1674" t="s">
        <v>35</v>
      </c>
      <c r="J1674" t="s">
        <v>2505</v>
      </c>
      <c r="K1674" t="s">
        <v>1092</v>
      </c>
      <c r="M1674">
        <v>2.2949999999999999</v>
      </c>
      <c r="N1674">
        <v>377</v>
      </c>
      <c r="O1674" t="s">
        <v>294</v>
      </c>
      <c r="Q1674" t="s">
        <v>2506</v>
      </c>
      <c r="R1674" t="s">
        <v>2480</v>
      </c>
      <c r="S1674" t="s">
        <v>2481</v>
      </c>
      <c r="T1674" t="s">
        <v>2482</v>
      </c>
    </row>
    <row r="1675" spans="1:20" x14ac:dyDescent="0.25">
      <c r="A1675" t="s">
        <v>59</v>
      </c>
      <c r="B1675" t="s">
        <v>31</v>
      </c>
      <c r="C1675" t="s">
        <v>32</v>
      </c>
      <c r="D1675" t="s">
        <v>227</v>
      </c>
      <c r="E1675" t="s">
        <v>228</v>
      </c>
      <c r="F1675" t="s">
        <v>35</v>
      </c>
      <c r="G1675" t="s">
        <v>35</v>
      </c>
      <c r="H1675" t="s">
        <v>35</v>
      </c>
      <c r="J1675" t="s">
        <v>2479</v>
      </c>
      <c r="K1675" t="s">
        <v>1092</v>
      </c>
      <c r="M1675">
        <v>3.1949999999999998</v>
      </c>
      <c r="N1675">
        <v>90</v>
      </c>
      <c r="O1675" t="s">
        <v>61</v>
      </c>
      <c r="Q1675" t="s">
        <v>557</v>
      </c>
      <c r="R1675" t="s">
        <v>2480</v>
      </c>
      <c r="S1675" t="s">
        <v>2481</v>
      </c>
      <c r="T1675" t="s">
        <v>2482</v>
      </c>
    </row>
    <row r="1676" spans="1:20" x14ac:dyDescent="0.25">
      <c r="A1676" t="s">
        <v>59</v>
      </c>
      <c r="B1676" t="s">
        <v>60</v>
      </c>
      <c r="C1676" t="s">
        <v>32</v>
      </c>
      <c r="D1676" t="s">
        <v>227</v>
      </c>
      <c r="E1676" t="s">
        <v>2825</v>
      </c>
      <c r="F1676" t="s">
        <v>35</v>
      </c>
      <c r="G1676" t="s">
        <v>35</v>
      </c>
      <c r="H1676" t="s">
        <v>35</v>
      </c>
      <c r="J1676" t="s">
        <v>2838</v>
      </c>
      <c r="K1676" t="s">
        <v>1092</v>
      </c>
      <c r="M1676">
        <v>1E-3</v>
      </c>
      <c r="N1676">
        <v>1566</v>
      </c>
      <c r="O1676" t="s">
        <v>575</v>
      </c>
      <c r="Q1676" t="s">
        <v>2839</v>
      </c>
      <c r="R1676" t="s">
        <v>2716</v>
      </c>
      <c r="S1676" t="s">
        <v>2717</v>
      </c>
      <c r="T1676" t="s">
        <v>2718</v>
      </c>
    </row>
    <row r="1677" spans="1:20" x14ac:dyDescent="0.25">
      <c r="A1677" t="s">
        <v>59</v>
      </c>
      <c r="B1677" t="s">
        <v>60</v>
      </c>
      <c r="C1677" t="s">
        <v>32</v>
      </c>
      <c r="D1677" t="s">
        <v>227</v>
      </c>
      <c r="E1677" t="s">
        <v>2675</v>
      </c>
      <c r="F1677" t="s">
        <v>35</v>
      </c>
      <c r="G1677" t="s">
        <v>35</v>
      </c>
      <c r="H1677" t="s">
        <v>35</v>
      </c>
      <c r="J1677" t="s">
        <v>2714</v>
      </c>
      <c r="K1677" t="s">
        <v>1092</v>
      </c>
      <c r="M1677">
        <v>0.01</v>
      </c>
      <c r="N1677">
        <v>1497</v>
      </c>
      <c r="O1677" t="s">
        <v>575</v>
      </c>
      <c r="Q1677" t="s">
        <v>2715</v>
      </c>
      <c r="R1677" t="s">
        <v>2716</v>
      </c>
      <c r="S1677" t="s">
        <v>2717</v>
      </c>
      <c r="T1677" t="s">
        <v>2718</v>
      </c>
    </row>
    <row r="1678" spans="1:20" x14ac:dyDescent="0.25">
      <c r="A1678" t="s">
        <v>44</v>
      </c>
      <c r="B1678" t="s">
        <v>3</v>
      </c>
      <c r="C1678" t="s">
        <v>32</v>
      </c>
      <c r="D1678" t="s">
        <v>227</v>
      </c>
      <c r="E1678" t="s">
        <v>2794</v>
      </c>
      <c r="F1678" t="s">
        <v>35</v>
      </c>
      <c r="G1678" t="s">
        <v>35</v>
      </c>
      <c r="H1678" t="s">
        <v>35</v>
      </c>
      <c r="J1678" t="s">
        <v>2802</v>
      </c>
      <c r="K1678" t="s">
        <v>1092</v>
      </c>
      <c r="M1678">
        <v>1.5</v>
      </c>
      <c r="N1678">
        <v>43</v>
      </c>
      <c r="O1678" t="s">
        <v>52</v>
      </c>
      <c r="Q1678" t="s">
        <v>425</v>
      </c>
      <c r="R1678" t="s">
        <v>2801</v>
      </c>
      <c r="S1678" t="s">
        <v>281</v>
      </c>
      <c r="T1678" t="s">
        <v>282</v>
      </c>
    </row>
    <row r="1679" spans="1:20" x14ac:dyDescent="0.25">
      <c r="A1679" t="s">
        <v>59</v>
      </c>
      <c r="B1679" t="s">
        <v>60</v>
      </c>
      <c r="C1679" t="s">
        <v>32</v>
      </c>
      <c r="D1679" t="s">
        <v>227</v>
      </c>
      <c r="F1679" t="s">
        <v>35</v>
      </c>
      <c r="G1679" t="s">
        <v>35</v>
      </c>
      <c r="H1679" t="s">
        <v>35</v>
      </c>
      <c r="J1679" t="s">
        <v>2976</v>
      </c>
      <c r="K1679" t="s">
        <v>1092</v>
      </c>
      <c r="M1679">
        <v>0.9</v>
      </c>
      <c r="N1679">
        <v>2289</v>
      </c>
      <c r="O1679" t="s">
        <v>575</v>
      </c>
      <c r="Q1679" t="s">
        <v>2977</v>
      </c>
      <c r="R1679" t="s">
        <v>2801</v>
      </c>
      <c r="S1679" t="s">
        <v>281</v>
      </c>
      <c r="T1679" t="s">
        <v>282</v>
      </c>
    </row>
    <row r="1680" spans="1:20" x14ac:dyDescent="0.25">
      <c r="A1680" t="s">
        <v>30</v>
      </c>
      <c r="B1680" t="s">
        <v>31</v>
      </c>
      <c r="C1680" t="s">
        <v>32</v>
      </c>
      <c r="D1680" t="s">
        <v>227</v>
      </c>
      <c r="F1680" t="s">
        <v>35</v>
      </c>
      <c r="G1680" t="s">
        <v>35</v>
      </c>
      <c r="H1680" t="s">
        <v>35</v>
      </c>
      <c r="J1680" t="s">
        <v>2976</v>
      </c>
      <c r="K1680" t="s">
        <v>1092</v>
      </c>
      <c r="M1680">
        <v>0.97</v>
      </c>
      <c r="N1680">
        <v>2240</v>
      </c>
      <c r="O1680" t="s">
        <v>575</v>
      </c>
      <c r="Q1680" t="s">
        <v>2978</v>
      </c>
      <c r="R1680" t="s">
        <v>2801</v>
      </c>
      <c r="S1680" t="s">
        <v>281</v>
      </c>
      <c r="T1680" t="s">
        <v>282</v>
      </c>
    </row>
    <row r="1681" spans="1:20" x14ac:dyDescent="0.25">
      <c r="A1681" t="s">
        <v>59</v>
      </c>
      <c r="B1681" t="s">
        <v>60</v>
      </c>
      <c r="C1681" t="s">
        <v>32</v>
      </c>
      <c r="D1681" t="s">
        <v>227</v>
      </c>
      <c r="E1681" t="s">
        <v>276</v>
      </c>
      <c r="F1681" t="s">
        <v>35</v>
      </c>
      <c r="G1681" t="s">
        <v>35</v>
      </c>
      <c r="H1681" t="s">
        <v>35</v>
      </c>
      <c r="J1681" t="s">
        <v>2811</v>
      </c>
      <c r="K1681" t="s">
        <v>1092</v>
      </c>
      <c r="M1681">
        <v>0.05</v>
      </c>
      <c r="N1681">
        <v>1554</v>
      </c>
      <c r="O1681" t="s">
        <v>575</v>
      </c>
      <c r="Q1681" t="s">
        <v>2812</v>
      </c>
      <c r="R1681" t="s">
        <v>2801</v>
      </c>
      <c r="S1681" t="s">
        <v>281</v>
      </c>
      <c r="T1681" t="s">
        <v>282</v>
      </c>
    </row>
    <row r="1682" spans="1:20" x14ac:dyDescent="0.25">
      <c r="A1682" t="s">
        <v>44</v>
      </c>
      <c r="B1682" t="s">
        <v>3</v>
      </c>
      <c r="C1682" t="s">
        <v>32</v>
      </c>
      <c r="D1682" t="s">
        <v>227</v>
      </c>
      <c r="F1682" t="s">
        <v>35</v>
      </c>
      <c r="G1682" t="s">
        <v>35</v>
      </c>
      <c r="H1682" t="s">
        <v>35</v>
      </c>
      <c r="J1682" t="s">
        <v>3111</v>
      </c>
      <c r="K1682" t="s">
        <v>1092</v>
      </c>
      <c r="M1682">
        <v>1</v>
      </c>
      <c r="N1682">
        <v>44</v>
      </c>
      <c r="O1682" t="s">
        <v>52</v>
      </c>
      <c r="Q1682" t="s">
        <v>54</v>
      </c>
      <c r="R1682" t="s">
        <v>2801</v>
      </c>
      <c r="S1682" t="s">
        <v>281</v>
      </c>
      <c r="T1682" t="s">
        <v>282</v>
      </c>
    </row>
    <row r="1683" spans="1:20" x14ac:dyDescent="0.25">
      <c r="A1683" t="s">
        <v>44</v>
      </c>
      <c r="B1683" t="s">
        <v>3</v>
      </c>
      <c r="C1683" t="s">
        <v>32</v>
      </c>
      <c r="D1683" t="s">
        <v>227</v>
      </c>
      <c r="E1683" t="s">
        <v>2794</v>
      </c>
      <c r="F1683" t="s">
        <v>35</v>
      </c>
      <c r="G1683" t="s">
        <v>35</v>
      </c>
      <c r="H1683" t="s">
        <v>35</v>
      </c>
      <c r="J1683" t="s">
        <v>2799</v>
      </c>
      <c r="K1683" t="s">
        <v>1092</v>
      </c>
      <c r="M1683">
        <v>2.1</v>
      </c>
      <c r="N1683">
        <v>402</v>
      </c>
      <c r="O1683" t="s">
        <v>294</v>
      </c>
      <c r="Q1683" t="s">
        <v>2800</v>
      </c>
      <c r="R1683" t="s">
        <v>2801</v>
      </c>
      <c r="S1683" t="s">
        <v>281</v>
      </c>
      <c r="T1683" t="s">
        <v>282</v>
      </c>
    </row>
    <row r="1684" spans="1:20" x14ac:dyDescent="0.25">
      <c r="A1684" t="s">
        <v>30</v>
      </c>
      <c r="B1684" t="s">
        <v>31</v>
      </c>
      <c r="C1684" t="s">
        <v>32</v>
      </c>
      <c r="D1684" t="s">
        <v>227</v>
      </c>
      <c r="E1684" t="s">
        <v>2492</v>
      </c>
      <c r="F1684" t="s">
        <v>35</v>
      </c>
      <c r="G1684" t="s">
        <v>35</v>
      </c>
      <c r="H1684" t="s">
        <v>35</v>
      </c>
      <c r="J1684" t="s">
        <v>2524</v>
      </c>
      <c r="K1684" t="s">
        <v>1092</v>
      </c>
      <c r="M1684">
        <v>22.05</v>
      </c>
      <c r="N1684">
        <v>64</v>
      </c>
      <c r="O1684" t="s">
        <v>61</v>
      </c>
      <c r="Q1684" t="s">
        <v>102</v>
      </c>
      <c r="R1684" t="s">
        <v>2525</v>
      </c>
      <c r="S1684" t="s">
        <v>290</v>
      </c>
      <c r="T1684" t="s">
        <v>291</v>
      </c>
    </row>
    <row r="1685" spans="1:20" x14ac:dyDescent="0.25">
      <c r="A1685" t="s">
        <v>59</v>
      </c>
      <c r="B1685" t="s">
        <v>60</v>
      </c>
      <c r="C1685" t="s">
        <v>32</v>
      </c>
      <c r="D1685" t="s">
        <v>227</v>
      </c>
      <c r="E1685" t="s">
        <v>2492</v>
      </c>
      <c r="F1685" t="s">
        <v>35</v>
      </c>
      <c r="G1685" t="s">
        <v>35</v>
      </c>
      <c r="H1685" t="s">
        <v>35</v>
      </c>
      <c r="J1685" t="s">
        <v>2524</v>
      </c>
      <c r="K1685" t="s">
        <v>1092</v>
      </c>
      <c r="M1685">
        <v>3.6</v>
      </c>
      <c r="N1685">
        <v>93</v>
      </c>
      <c r="O1685" t="s">
        <v>106</v>
      </c>
      <c r="Q1685" t="s">
        <v>1112</v>
      </c>
      <c r="R1685" t="s">
        <v>2525</v>
      </c>
      <c r="S1685" t="s">
        <v>290</v>
      </c>
      <c r="T1685" t="s">
        <v>291</v>
      </c>
    </row>
    <row r="1686" spans="1:20" x14ac:dyDescent="0.25">
      <c r="A1686" t="s">
        <v>30</v>
      </c>
      <c r="B1686" t="s">
        <v>31</v>
      </c>
      <c r="C1686" t="s">
        <v>32</v>
      </c>
      <c r="D1686" t="s">
        <v>227</v>
      </c>
      <c r="F1686" t="s">
        <v>35</v>
      </c>
      <c r="G1686" t="s">
        <v>35</v>
      </c>
      <c r="H1686" t="s">
        <v>35</v>
      </c>
      <c r="J1686" t="s">
        <v>3052</v>
      </c>
      <c r="K1686" t="s">
        <v>1092</v>
      </c>
      <c r="M1686">
        <v>0.9</v>
      </c>
      <c r="N1686">
        <v>2458</v>
      </c>
      <c r="O1686" t="s">
        <v>575</v>
      </c>
      <c r="Q1686" t="s">
        <v>3053</v>
      </c>
      <c r="R1686" t="s">
        <v>2525</v>
      </c>
      <c r="S1686" t="s">
        <v>290</v>
      </c>
      <c r="T1686" t="s">
        <v>291</v>
      </c>
    </row>
    <row r="1687" spans="1:20" x14ac:dyDescent="0.25">
      <c r="A1687" t="s">
        <v>59</v>
      </c>
      <c r="B1687" t="s">
        <v>60</v>
      </c>
      <c r="C1687" t="s">
        <v>32</v>
      </c>
      <c r="D1687" t="s">
        <v>227</v>
      </c>
      <c r="F1687" t="s">
        <v>35</v>
      </c>
      <c r="G1687" t="s">
        <v>35</v>
      </c>
      <c r="H1687" t="s">
        <v>35</v>
      </c>
      <c r="J1687" t="s">
        <v>3052</v>
      </c>
      <c r="K1687" t="s">
        <v>1092</v>
      </c>
      <c r="M1687">
        <v>0.93</v>
      </c>
      <c r="N1687">
        <v>2318</v>
      </c>
      <c r="O1687" t="s">
        <v>575</v>
      </c>
      <c r="Q1687" t="s">
        <v>3054</v>
      </c>
      <c r="R1687" t="s">
        <v>2525</v>
      </c>
      <c r="S1687" t="s">
        <v>290</v>
      </c>
      <c r="T1687" t="s">
        <v>291</v>
      </c>
    </row>
    <row r="1688" spans="1:20" x14ac:dyDescent="0.25">
      <c r="A1688" t="s">
        <v>59</v>
      </c>
      <c r="B1688" t="s">
        <v>60</v>
      </c>
      <c r="C1688" t="s">
        <v>32</v>
      </c>
      <c r="D1688" t="s">
        <v>227</v>
      </c>
      <c r="F1688" t="s">
        <v>35</v>
      </c>
      <c r="G1688" t="s">
        <v>35</v>
      </c>
      <c r="H1688" t="s">
        <v>35</v>
      </c>
      <c r="J1688" t="s">
        <v>3050</v>
      </c>
      <c r="K1688" t="s">
        <v>1092</v>
      </c>
      <c r="M1688">
        <v>1.9690000000000001</v>
      </c>
      <c r="N1688">
        <v>1898</v>
      </c>
      <c r="O1688" t="s">
        <v>575</v>
      </c>
      <c r="Q1688" t="s">
        <v>3051</v>
      </c>
      <c r="R1688" t="s">
        <v>2525</v>
      </c>
      <c r="S1688" t="s">
        <v>290</v>
      </c>
      <c r="T1688" t="s">
        <v>291</v>
      </c>
    </row>
    <row r="1689" spans="1:20" x14ac:dyDescent="0.25">
      <c r="A1689" t="s">
        <v>59</v>
      </c>
      <c r="B1689" t="s">
        <v>60</v>
      </c>
      <c r="C1689" t="s">
        <v>32</v>
      </c>
      <c r="D1689" t="s">
        <v>227</v>
      </c>
      <c r="E1689" t="s">
        <v>270</v>
      </c>
      <c r="F1689" t="s">
        <v>35</v>
      </c>
      <c r="G1689" t="s">
        <v>35</v>
      </c>
      <c r="H1689" t="s">
        <v>35</v>
      </c>
      <c r="J1689" t="s">
        <v>2762</v>
      </c>
      <c r="K1689" t="s">
        <v>1092</v>
      </c>
      <c r="M1689">
        <v>8.9999999999999993E-3</v>
      </c>
      <c r="N1689">
        <v>1871</v>
      </c>
      <c r="O1689" t="s">
        <v>575</v>
      </c>
      <c r="Q1689" t="s">
        <v>2763</v>
      </c>
      <c r="R1689" t="s">
        <v>2764</v>
      </c>
      <c r="S1689" t="s">
        <v>2765</v>
      </c>
      <c r="T1689" t="s">
        <v>2766</v>
      </c>
    </row>
    <row r="1690" spans="1:20" x14ac:dyDescent="0.25">
      <c r="A1690" t="s">
        <v>30</v>
      </c>
      <c r="B1690" t="s">
        <v>31</v>
      </c>
      <c r="C1690" t="s">
        <v>32</v>
      </c>
      <c r="D1690" t="s">
        <v>227</v>
      </c>
      <c r="E1690" t="s">
        <v>270</v>
      </c>
      <c r="F1690" t="s">
        <v>35</v>
      </c>
      <c r="G1690" t="s">
        <v>35</v>
      </c>
      <c r="H1690" t="s">
        <v>35</v>
      </c>
      <c r="J1690" t="s">
        <v>2762</v>
      </c>
      <c r="K1690" t="s">
        <v>1092</v>
      </c>
      <c r="M1690">
        <v>0.04</v>
      </c>
      <c r="N1690">
        <v>2432</v>
      </c>
      <c r="O1690" t="s">
        <v>575</v>
      </c>
      <c r="Q1690" t="s">
        <v>2767</v>
      </c>
      <c r="R1690" t="s">
        <v>2764</v>
      </c>
      <c r="S1690" t="s">
        <v>2765</v>
      </c>
      <c r="T1690" t="s">
        <v>2766</v>
      </c>
    </row>
    <row r="1691" spans="1:20" x14ac:dyDescent="0.25">
      <c r="A1691" t="s">
        <v>30</v>
      </c>
      <c r="B1691" t="s">
        <v>31</v>
      </c>
      <c r="C1691" t="s">
        <v>32</v>
      </c>
      <c r="D1691" t="s">
        <v>227</v>
      </c>
      <c r="E1691" t="s">
        <v>2442</v>
      </c>
      <c r="F1691" t="s">
        <v>35</v>
      </c>
      <c r="G1691" t="s">
        <v>35</v>
      </c>
      <c r="H1691" t="s">
        <v>35</v>
      </c>
      <c r="J1691" t="s">
        <v>2453</v>
      </c>
      <c r="K1691" t="s">
        <v>1092</v>
      </c>
      <c r="M1691">
        <v>3.4249999999999998</v>
      </c>
      <c r="N1691">
        <v>2079</v>
      </c>
      <c r="O1691" t="s">
        <v>575</v>
      </c>
      <c r="Q1691" t="s">
        <v>2454</v>
      </c>
      <c r="R1691" t="s">
        <v>2455</v>
      </c>
      <c r="S1691" t="s">
        <v>2456</v>
      </c>
      <c r="T1691" t="s">
        <v>2457</v>
      </c>
    </row>
    <row r="1692" spans="1:20" x14ac:dyDescent="0.25">
      <c r="A1692" t="s">
        <v>59</v>
      </c>
      <c r="B1692" t="s">
        <v>31</v>
      </c>
      <c r="C1692" t="s">
        <v>32</v>
      </c>
      <c r="D1692" t="s">
        <v>227</v>
      </c>
      <c r="F1692" t="s">
        <v>35</v>
      </c>
      <c r="G1692" t="s">
        <v>35</v>
      </c>
      <c r="H1692" t="s">
        <v>35</v>
      </c>
      <c r="J1692" t="s">
        <v>3008</v>
      </c>
      <c r="K1692" t="s">
        <v>1092</v>
      </c>
      <c r="M1692">
        <v>3.96</v>
      </c>
      <c r="N1692">
        <v>1723</v>
      </c>
      <c r="O1692" t="s">
        <v>575</v>
      </c>
      <c r="Q1692" t="s">
        <v>3009</v>
      </c>
      <c r="R1692" t="s">
        <v>2455</v>
      </c>
      <c r="S1692" t="s">
        <v>2456</v>
      </c>
      <c r="T1692" t="s">
        <v>2457</v>
      </c>
    </row>
    <row r="1693" spans="1:20" x14ac:dyDescent="0.25">
      <c r="A1693" t="s">
        <v>30</v>
      </c>
      <c r="B1693" t="s">
        <v>31</v>
      </c>
      <c r="C1693" t="s">
        <v>32</v>
      </c>
      <c r="D1693" t="s">
        <v>227</v>
      </c>
      <c r="E1693" t="s">
        <v>228</v>
      </c>
      <c r="F1693" t="s">
        <v>35</v>
      </c>
      <c r="G1693" t="s">
        <v>35</v>
      </c>
      <c r="H1693" t="s">
        <v>35</v>
      </c>
      <c r="J1693" t="s">
        <v>2465</v>
      </c>
      <c r="K1693" t="s">
        <v>1092</v>
      </c>
      <c r="M1693">
        <v>3.2000000000000001E-2</v>
      </c>
      <c r="N1693">
        <v>1782</v>
      </c>
      <c r="O1693" t="s">
        <v>575</v>
      </c>
      <c r="Q1693" t="s">
        <v>2466</v>
      </c>
      <c r="R1693" t="s">
        <v>2455</v>
      </c>
      <c r="S1693" t="s">
        <v>2456</v>
      </c>
      <c r="T1693" t="s">
        <v>2457</v>
      </c>
    </row>
    <row r="1694" spans="1:20" x14ac:dyDescent="0.25">
      <c r="A1694" t="s">
        <v>59</v>
      </c>
      <c r="B1694" t="s">
        <v>60</v>
      </c>
      <c r="C1694" t="s">
        <v>32</v>
      </c>
      <c r="D1694" t="s">
        <v>227</v>
      </c>
      <c r="E1694" t="s">
        <v>2385</v>
      </c>
      <c r="F1694" t="s">
        <v>35</v>
      </c>
      <c r="G1694" t="s">
        <v>35</v>
      </c>
      <c r="H1694" t="s">
        <v>35</v>
      </c>
      <c r="J1694" t="s">
        <v>2389</v>
      </c>
      <c r="K1694" t="s">
        <v>1092</v>
      </c>
      <c r="M1694">
        <v>0.75</v>
      </c>
      <c r="N1694">
        <v>886</v>
      </c>
      <c r="O1694" t="s">
        <v>575</v>
      </c>
      <c r="Q1694" t="s">
        <v>2390</v>
      </c>
      <c r="R1694" t="s">
        <v>2391</v>
      </c>
      <c r="S1694" t="s">
        <v>236</v>
      </c>
      <c r="T1694" t="s">
        <v>237</v>
      </c>
    </row>
    <row r="1695" spans="1:20" x14ac:dyDescent="0.25">
      <c r="A1695" t="s">
        <v>59</v>
      </c>
      <c r="B1695" t="s">
        <v>60</v>
      </c>
      <c r="C1695" t="s">
        <v>32</v>
      </c>
      <c r="D1695" t="s">
        <v>227</v>
      </c>
      <c r="E1695" t="s">
        <v>2385</v>
      </c>
      <c r="F1695" t="s">
        <v>35</v>
      </c>
      <c r="G1695" t="s">
        <v>35</v>
      </c>
      <c r="H1695" t="s">
        <v>35</v>
      </c>
      <c r="J1695" t="s">
        <v>2389</v>
      </c>
      <c r="K1695" t="s">
        <v>1092</v>
      </c>
      <c r="M1695">
        <v>1.95</v>
      </c>
      <c r="N1695">
        <v>1019</v>
      </c>
      <c r="O1695" t="s">
        <v>575</v>
      </c>
      <c r="Q1695" t="s">
        <v>2392</v>
      </c>
      <c r="R1695">
        <v>269533</v>
      </c>
      <c r="S1695" t="s">
        <v>236</v>
      </c>
      <c r="T1695" t="s">
        <v>237</v>
      </c>
    </row>
    <row r="1696" spans="1:20" x14ac:dyDescent="0.25">
      <c r="A1696" t="s">
        <v>30</v>
      </c>
      <c r="B1696" t="s">
        <v>31</v>
      </c>
      <c r="C1696" t="s">
        <v>32</v>
      </c>
      <c r="D1696" t="s">
        <v>227</v>
      </c>
      <c r="E1696" t="s">
        <v>2385</v>
      </c>
      <c r="F1696" t="s">
        <v>35</v>
      </c>
      <c r="G1696" t="s">
        <v>35</v>
      </c>
      <c r="H1696" t="s">
        <v>35</v>
      </c>
      <c r="J1696" t="s">
        <v>2389</v>
      </c>
      <c r="K1696" t="s">
        <v>1092</v>
      </c>
      <c r="M1696">
        <v>0.03</v>
      </c>
      <c r="N1696">
        <v>886</v>
      </c>
      <c r="O1696" t="s">
        <v>575</v>
      </c>
      <c r="Q1696" t="s">
        <v>2390</v>
      </c>
      <c r="R1696" t="s">
        <v>2391</v>
      </c>
      <c r="S1696" t="s">
        <v>236</v>
      </c>
      <c r="T1696" t="s">
        <v>237</v>
      </c>
    </row>
    <row r="1697" spans="1:20" x14ac:dyDescent="0.25">
      <c r="A1697" t="s">
        <v>44</v>
      </c>
      <c r="B1697" t="s">
        <v>3005</v>
      </c>
      <c r="C1697" t="s">
        <v>32</v>
      </c>
      <c r="D1697" t="s">
        <v>227</v>
      </c>
      <c r="F1697" t="s">
        <v>35</v>
      </c>
      <c r="G1697" t="s">
        <v>35</v>
      </c>
      <c r="H1697" t="s">
        <v>35</v>
      </c>
      <c r="J1697" t="s">
        <v>3006</v>
      </c>
      <c r="K1697" t="s">
        <v>1092</v>
      </c>
      <c r="M1697">
        <v>0.15</v>
      </c>
      <c r="N1697">
        <v>2652</v>
      </c>
      <c r="O1697" t="s">
        <v>575</v>
      </c>
      <c r="Q1697" t="s">
        <v>3007</v>
      </c>
      <c r="R1697" t="s">
        <v>2391</v>
      </c>
      <c r="S1697" t="s">
        <v>236</v>
      </c>
      <c r="T1697" t="s">
        <v>237</v>
      </c>
    </row>
    <row r="1698" spans="1:20" x14ac:dyDescent="0.25">
      <c r="A1698" t="s">
        <v>59</v>
      </c>
      <c r="B1698" t="s">
        <v>60</v>
      </c>
      <c r="C1698" t="s">
        <v>32</v>
      </c>
      <c r="D1698" t="s">
        <v>227</v>
      </c>
      <c r="E1698" t="s">
        <v>2385</v>
      </c>
      <c r="F1698" t="s">
        <v>35</v>
      </c>
      <c r="G1698" t="s">
        <v>35</v>
      </c>
      <c r="H1698" t="s">
        <v>35</v>
      </c>
      <c r="J1698" t="s">
        <v>2412</v>
      </c>
      <c r="K1698" t="s">
        <v>1092</v>
      </c>
      <c r="M1698">
        <v>0.249</v>
      </c>
      <c r="N1698">
        <v>1612</v>
      </c>
      <c r="O1698" t="s">
        <v>575</v>
      </c>
      <c r="Q1698" t="s">
        <v>2413</v>
      </c>
      <c r="R1698" t="s">
        <v>2391</v>
      </c>
      <c r="S1698" t="s">
        <v>236</v>
      </c>
      <c r="T1698" t="s">
        <v>237</v>
      </c>
    </row>
    <row r="1699" spans="1:20" x14ac:dyDescent="0.25">
      <c r="A1699" t="s">
        <v>59</v>
      </c>
      <c r="B1699" t="s">
        <v>31</v>
      </c>
      <c r="C1699" t="s">
        <v>32</v>
      </c>
      <c r="D1699" t="s">
        <v>227</v>
      </c>
      <c r="E1699" t="s">
        <v>2385</v>
      </c>
      <c r="F1699" t="s">
        <v>35</v>
      </c>
      <c r="G1699" t="s">
        <v>35</v>
      </c>
      <c r="H1699" t="s">
        <v>35</v>
      </c>
      <c r="J1699" t="s">
        <v>2412</v>
      </c>
      <c r="K1699" t="s">
        <v>1092</v>
      </c>
      <c r="M1699">
        <v>0.13500000000000001</v>
      </c>
      <c r="N1699">
        <v>1612</v>
      </c>
      <c r="O1699" t="s">
        <v>575</v>
      </c>
      <c r="Q1699" t="s">
        <v>2413</v>
      </c>
      <c r="R1699" t="s">
        <v>2391</v>
      </c>
      <c r="S1699" t="s">
        <v>236</v>
      </c>
      <c r="T1699" t="s">
        <v>237</v>
      </c>
    </row>
    <row r="1700" spans="1:20" x14ac:dyDescent="0.25">
      <c r="A1700" t="s">
        <v>59</v>
      </c>
      <c r="B1700" t="s">
        <v>60</v>
      </c>
      <c r="C1700" t="s">
        <v>32</v>
      </c>
      <c r="D1700" t="s">
        <v>227</v>
      </c>
      <c r="E1700" t="s">
        <v>2919</v>
      </c>
      <c r="F1700" t="s">
        <v>35</v>
      </c>
      <c r="G1700" t="s">
        <v>35</v>
      </c>
      <c r="H1700" t="s">
        <v>35</v>
      </c>
      <c r="J1700" t="s">
        <v>2922</v>
      </c>
      <c r="K1700" t="s">
        <v>1092</v>
      </c>
      <c r="M1700">
        <v>0.4</v>
      </c>
      <c r="N1700">
        <v>894</v>
      </c>
      <c r="O1700" t="s">
        <v>575</v>
      </c>
      <c r="Q1700" t="s">
        <v>2923</v>
      </c>
      <c r="R1700" t="s">
        <v>2391</v>
      </c>
      <c r="S1700" t="s">
        <v>236</v>
      </c>
      <c r="T1700" t="s">
        <v>237</v>
      </c>
    </row>
    <row r="1701" spans="1:20" x14ac:dyDescent="0.25">
      <c r="A1701" t="s">
        <v>30</v>
      </c>
      <c r="B1701" t="s">
        <v>31</v>
      </c>
      <c r="C1701" t="s">
        <v>32</v>
      </c>
      <c r="D1701" t="s">
        <v>227</v>
      </c>
      <c r="E1701" t="s">
        <v>235</v>
      </c>
      <c r="F1701" t="s">
        <v>35</v>
      </c>
      <c r="G1701" t="s">
        <v>35</v>
      </c>
      <c r="H1701" t="s">
        <v>35</v>
      </c>
      <c r="J1701" t="s">
        <v>2536</v>
      </c>
      <c r="K1701" t="s">
        <v>1092</v>
      </c>
      <c r="M1701">
        <v>0.63</v>
      </c>
      <c r="N1701">
        <v>128</v>
      </c>
      <c r="O1701" t="s">
        <v>38</v>
      </c>
      <c r="Q1701" t="s">
        <v>98</v>
      </c>
      <c r="R1701" t="s">
        <v>2391</v>
      </c>
      <c r="S1701" t="s">
        <v>236</v>
      </c>
      <c r="T1701" t="s">
        <v>237</v>
      </c>
    </row>
    <row r="1702" spans="1:20" x14ac:dyDescent="0.25">
      <c r="A1702" t="s">
        <v>30</v>
      </c>
      <c r="B1702" t="s">
        <v>31</v>
      </c>
      <c r="C1702" t="s">
        <v>32</v>
      </c>
      <c r="D1702" t="s">
        <v>227</v>
      </c>
      <c r="E1702" t="s">
        <v>235</v>
      </c>
      <c r="F1702" t="s">
        <v>35</v>
      </c>
      <c r="G1702" t="s">
        <v>35</v>
      </c>
      <c r="H1702" t="s">
        <v>35</v>
      </c>
      <c r="J1702" t="s">
        <v>2536</v>
      </c>
      <c r="K1702" t="s">
        <v>1092</v>
      </c>
      <c r="M1702">
        <v>3.105</v>
      </c>
      <c r="N1702">
        <v>252</v>
      </c>
      <c r="O1702" t="s">
        <v>5</v>
      </c>
      <c r="Q1702" t="s">
        <v>1425</v>
      </c>
      <c r="R1702" t="s">
        <v>2391</v>
      </c>
      <c r="S1702" t="s">
        <v>236</v>
      </c>
      <c r="T1702" t="s">
        <v>237</v>
      </c>
    </row>
    <row r="1703" spans="1:20" x14ac:dyDescent="0.25">
      <c r="A1703" t="s">
        <v>59</v>
      </c>
      <c r="B1703" t="s">
        <v>60</v>
      </c>
      <c r="C1703" t="s">
        <v>32</v>
      </c>
      <c r="D1703" t="s">
        <v>227</v>
      </c>
      <c r="E1703" t="s">
        <v>235</v>
      </c>
      <c r="F1703" t="s">
        <v>35</v>
      </c>
      <c r="G1703" t="s">
        <v>35</v>
      </c>
      <c r="H1703" t="s">
        <v>35</v>
      </c>
      <c r="J1703" t="s">
        <v>2536</v>
      </c>
      <c r="K1703" t="s">
        <v>1092</v>
      </c>
      <c r="M1703">
        <v>1.95</v>
      </c>
      <c r="N1703">
        <v>61</v>
      </c>
      <c r="O1703" t="s">
        <v>61</v>
      </c>
      <c r="Q1703" t="s">
        <v>146</v>
      </c>
      <c r="R1703" t="s">
        <v>2391</v>
      </c>
      <c r="S1703" t="s">
        <v>236</v>
      </c>
      <c r="T1703" t="s">
        <v>237</v>
      </c>
    </row>
    <row r="1704" spans="1:20" x14ac:dyDescent="0.25">
      <c r="A1704" t="s">
        <v>59</v>
      </c>
      <c r="B1704" t="s">
        <v>60</v>
      </c>
      <c r="C1704" t="s">
        <v>32</v>
      </c>
      <c r="D1704" t="s">
        <v>227</v>
      </c>
      <c r="F1704" t="s">
        <v>35</v>
      </c>
      <c r="G1704" t="s">
        <v>35</v>
      </c>
      <c r="H1704" t="s">
        <v>35</v>
      </c>
      <c r="J1704" t="s">
        <v>2943</v>
      </c>
      <c r="K1704" t="s">
        <v>1144</v>
      </c>
      <c r="M1704">
        <v>0.3</v>
      </c>
      <c r="N1704">
        <v>1245</v>
      </c>
      <c r="O1704" t="s">
        <v>575</v>
      </c>
      <c r="Q1704" t="s">
        <v>1245</v>
      </c>
      <c r="R1704" t="s">
        <v>2391</v>
      </c>
      <c r="S1704" t="s">
        <v>236</v>
      </c>
      <c r="T1704" t="s">
        <v>237</v>
      </c>
    </row>
    <row r="1705" spans="1:20" x14ac:dyDescent="0.25">
      <c r="A1705" t="s">
        <v>59</v>
      </c>
      <c r="B1705" t="s">
        <v>60</v>
      </c>
      <c r="C1705" t="s">
        <v>32</v>
      </c>
      <c r="D1705" t="s">
        <v>227</v>
      </c>
      <c r="E1705" t="s">
        <v>235</v>
      </c>
      <c r="F1705" t="s">
        <v>35</v>
      </c>
      <c r="G1705" t="s">
        <v>35</v>
      </c>
      <c r="H1705" t="s">
        <v>35</v>
      </c>
      <c r="J1705" t="s">
        <v>2530</v>
      </c>
      <c r="K1705" t="s">
        <v>1092</v>
      </c>
      <c r="M1705">
        <v>0.3</v>
      </c>
      <c r="N1705">
        <v>61</v>
      </c>
      <c r="O1705" t="s">
        <v>61</v>
      </c>
      <c r="Q1705" t="s">
        <v>146</v>
      </c>
      <c r="R1705" t="s">
        <v>2391</v>
      </c>
      <c r="S1705" t="s">
        <v>236</v>
      </c>
      <c r="T1705" t="s">
        <v>237</v>
      </c>
    </row>
    <row r="1706" spans="1:20" x14ac:dyDescent="0.25">
      <c r="A1706" t="s">
        <v>44</v>
      </c>
      <c r="B1706" t="s">
        <v>3</v>
      </c>
      <c r="C1706" t="s">
        <v>32</v>
      </c>
      <c r="D1706" t="s">
        <v>227</v>
      </c>
      <c r="E1706" t="s">
        <v>235</v>
      </c>
      <c r="F1706" t="s">
        <v>35</v>
      </c>
      <c r="G1706" t="s">
        <v>35</v>
      </c>
      <c r="H1706" t="s">
        <v>35</v>
      </c>
      <c r="J1706" t="s">
        <v>2534</v>
      </c>
      <c r="K1706" t="s">
        <v>1092</v>
      </c>
      <c r="M1706">
        <v>10.199999999999999</v>
      </c>
      <c r="N1706">
        <v>46</v>
      </c>
      <c r="O1706" t="s">
        <v>52</v>
      </c>
      <c r="Q1706" t="s">
        <v>332</v>
      </c>
      <c r="R1706" t="s">
        <v>2391</v>
      </c>
      <c r="S1706" t="s">
        <v>236</v>
      </c>
      <c r="T1706" t="s">
        <v>237</v>
      </c>
    </row>
    <row r="1707" spans="1:20" x14ac:dyDescent="0.25">
      <c r="A1707" t="s">
        <v>44</v>
      </c>
      <c r="B1707" t="s">
        <v>51</v>
      </c>
      <c r="C1707" t="s">
        <v>32</v>
      </c>
      <c r="D1707" t="s">
        <v>227</v>
      </c>
      <c r="E1707" t="s">
        <v>235</v>
      </c>
      <c r="F1707" t="s">
        <v>35</v>
      </c>
      <c r="G1707" t="s">
        <v>35</v>
      </c>
      <c r="H1707" t="s">
        <v>35</v>
      </c>
      <c r="J1707" t="s">
        <v>2534</v>
      </c>
      <c r="K1707" t="s">
        <v>1092</v>
      </c>
      <c r="M1707">
        <v>3.95</v>
      </c>
      <c r="N1707">
        <v>46</v>
      </c>
      <c r="O1707" t="s">
        <v>52</v>
      </c>
      <c r="Q1707" t="s">
        <v>332</v>
      </c>
      <c r="R1707" t="s">
        <v>2391</v>
      </c>
      <c r="S1707" t="s">
        <v>236</v>
      </c>
      <c r="T1707" t="s">
        <v>237</v>
      </c>
    </row>
    <row r="1708" spans="1:20" x14ac:dyDescent="0.25">
      <c r="A1708" t="s">
        <v>59</v>
      </c>
      <c r="B1708" t="s">
        <v>31</v>
      </c>
      <c r="C1708" t="s">
        <v>32</v>
      </c>
      <c r="D1708" t="s">
        <v>227</v>
      </c>
      <c r="F1708" t="s">
        <v>35</v>
      </c>
      <c r="G1708" t="s">
        <v>35</v>
      </c>
      <c r="H1708" t="s">
        <v>35</v>
      </c>
      <c r="J1708" t="s">
        <v>2966</v>
      </c>
      <c r="K1708" t="s">
        <v>1092</v>
      </c>
      <c r="M1708">
        <v>0.45</v>
      </c>
      <c r="N1708">
        <v>1232</v>
      </c>
      <c r="O1708" t="s">
        <v>575</v>
      </c>
      <c r="Q1708" t="s">
        <v>2967</v>
      </c>
      <c r="R1708" t="s">
        <v>2391</v>
      </c>
      <c r="S1708" t="s">
        <v>236</v>
      </c>
      <c r="T1708" t="s">
        <v>237</v>
      </c>
    </row>
    <row r="1709" spans="1:20" x14ac:dyDescent="0.25">
      <c r="A1709" t="s">
        <v>30</v>
      </c>
      <c r="B1709" t="s">
        <v>31</v>
      </c>
      <c r="C1709" t="s">
        <v>32</v>
      </c>
      <c r="D1709" t="s">
        <v>227</v>
      </c>
      <c r="F1709" t="s">
        <v>35</v>
      </c>
      <c r="G1709" t="s">
        <v>35</v>
      </c>
      <c r="H1709" t="s">
        <v>35</v>
      </c>
      <c r="J1709" t="s">
        <v>2966</v>
      </c>
      <c r="K1709" t="s">
        <v>1092</v>
      </c>
      <c r="M1709">
        <v>0.4</v>
      </c>
      <c r="N1709">
        <v>1529</v>
      </c>
      <c r="O1709" t="s">
        <v>575</v>
      </c>
      <c r="Q1709" t="s">
        <v>1458</v>
      </c>
      <c r="R1709" t="s">
        <v>2391</v>
      </c>
      <c r="S1709" t="s">
        <v>236</v>
      </c>
      <c r="T1709" t="s">
        <v>237</v>
      </c>
    </row>
    <row r="1710" spans="1:20" x14ac:dyDescent="0.25">
      <c r="A1710" t="s">
        <v>30</v>
      </c>
      <c r="B1710" t="s">
        <v>31</v>
      </c>
      <c r="C1710" t="s">
        <v>32</v>
      </c>
      <c r="D1710" t="s">
        <v>227</v>
      </c>
      <c r="E1710" t="s">
        <v>2675</v>
      </c>
      <c r="F1710" t="s">
        <v>35</v>
      </c>
      <c r="G1710" t="s">
        <v>35</v>
      </c>
      <c r="H1710" t="s">
        <v>35</v>
      </c>
      <c r="J1710" t="s">
        <v>2712</v>
      </c>
      <c r="K1710" t="s">
        <v>1092</v>
      </c>
      <c r="M1710">
        <v>8.0000000000000002E-3</v>
      </c>
      <c r="N1710">
        <v>159</v>
      </c>
      <c r="O1710" t="s">
        <v>38</v>
      </c>
      <c r="Q1710" t="s">
        <v>2316</v>
      </c>
      <c r="R1710" t="s">
        <v>2391</v>
      </c>
      <c r="S1710" t="s">
        <v>236</v>
      </c>
      <c r="T1710" t="s">
        <v>237</v>
      </c>
    </row>
    <row r="1711" spans="1:20" x14ac:dyDescent="0.25">
      <c r="A1711" t="s">
        <v>30</v>
      </c>
      <c r="B1711" t="s">
        <v>31</v>
      </c>
      <c r="C1711" t="s">
        <v>32</v>
      </c>
      <c r="D1711" t="s">
        <v>227</v>
      </c>
      <c r="E1711" t="s">
        <v>270</v>
      </c>
      <c r="F1711" t="s">
        <v>35</v>
      </c>
      <c r="G1711" t="s">
        <v>35</v>
      </c>
      <c r="H1711" t="s">
        <v>35</v>
      </c>
      <c r="J1711" t="s">
        <v>2781</v>
      </c>
      <c r="K1711" t="s">
        <v>1092</v>
      </c>
      <c r="M1711">
        <v>5.49</v>
      </c>
      <c r="N1711">
        <v>69</v>
      </c>
      <c r="O1711" t="s">
        <v>61</v>
      </c>
      <c r="Q1711" t="s">
        <v>234</v>
      </c>
      <c r="R1711" t="s">
        <v>2391</v>
      </c>
      <c r="S1711" t="s">
        <v>236</v>
      </c>
      <c r="T1711" t="s">
        <v>237</v>
      </c>
    </row>
    <row r="1712" spans="1:20" x14ac:dyDescent="0.25">
      <c r="A1712" t="s">
        <v>44</v>
      </c>
      <c r="B1712" t="s">
        <v>51</v>
      </c>
      <c r="C1712" t="s">
        <v>32</v>
      </c>
      <c r="D1712" t="s">
        <v>227</v>
      </c>
      <c r="E1712" t="s">
        <v>270</v>
      </c>
      <c r="F1712" t="s">
        <v>35</v>
      </c>
      <c r="G1712" t="s">
        <v>35</v>
      </c>
      <c r="H1712" t="s">
        <v>35</v>
      </c>
      <c r="J1712" t="s">
        <v>2781</v>
      </c>
      <c r="K1712" t="s">
        <v>1092</v>
      </c>
      <c r="M1712">
        <v>1</v>
      </c>
      <c r="N1712">
        <v>46</v>
      </c>
      <c r="O1712" t="s">
        <v>52</v>
      </c>
      <c r="Q1712" t="s">
        <v>332</v>
      </c>
      <c r="R1712" t="s">
        <v>2391</v>
      </c>
      <c r="S1712" t="s">
        <v>236</v>
      </c>
      <c r="T1712" t="s">
        <v>237</v>
      </c>
    </row>
    <row r="1713" spans="1:20" x14ac:dyDescent="0.25">
      <c r="A1713" t="s">
        <v>59</v>
      </c>
      <c r="B1713" t="s">
        <v>60</v>
      </c>
      <c r="C1713" t="s">
        <v>32</v>
      </c>
      <c r="D1713" t="s">
        <v>227</v>
      </c>
      <c r="E1713" t="s">
        <v>2385</v>
      </c>
      <c r="F1713" t="s">
        <v>35</v>
      </c>
      <c r="G1713" t="s">
        <v>35</v>
      </c>
      <c r="H1713" t="s">
        <v>35</v>
      </c>
      <c r="J1713" t="s">
        <v>2411</v>
      </c>
      <c r="K1713" t="s">
        <v>1092</v>
      </c>
      <c r="M1713">
        <v>0.75</v>
      </c>
      <c r="N1713">
        <v>26</v>
      </c>
      <c r="O1713" t="s">
        <v>46</v>
      </c>
      <c r="Q1713" t="s">
        <v>137</v>
      </c>
      <c r="R1713" t="s">
        <v>2391</v>
      </c>
      <c r="S1713" t="s">
        <v>236</v>
      </c>
      <c r="T1713" t="s">
        <v>237</v>
      </c>
    </row>
    <row r="1714" spans="1:20" x14ac:dyDescent="0.25">
      <c r="A1714" t="s">
        <v>59</v>
      </c>
      <c r="B1714" t="s">
        <v>31</v>
      </c>
      <c r="C1714" t="s">
        <v>32</v>
      </c>
      <c r="D1714" t="s">
        <v>227</v>
      </c>
      <c r="E1714" t="s">
        <v>2542</v>
      </c>
      <c r="F1714" t="s">
        <v>35</v>
      </c>
      <c r="G1714" t="s">
        <v>35</v>
      </c>
      <c r="H1714" t="s">
        <v>35</v>
      </c>
      <c r="J1714" t="s">
        <v>2546</v>
      </c>
      <c r="K1714" t="s">
        <v>1092</v>
      </c>
      <c r="M1714">
        <v>2.5649999999999999</v>
      </c>
      <c r="N1714">
        <v>658</v>
      </c>
      <c r="O1714" t="s">
        <v>575</v>
      </c>
      <c r="Q1714" t="s">
        <v>2547</v>
      </c>
      <c r="R1714" t="s">
        <v>2391</v>
      </c>
      <c r="S1714" t="s">
        <v>236</v>
      </c>
      <c r="T1714" t="s">
        <v>237</v>
      </c>
    </row>
    <row r="1715" spans="1:20" x14ac:dyDescent="0.25">
      <c r="A1715" t="s">
        <v>59</v>
      </c>
      <c r="B1715" t="s">
        <v>60</v>
      </c>
      <c r="C1715" t="s">
        <v>32</v>
      </c>
      <c r="D1715" t="s">
        <v>227</v>
      </c>
      <c r="E1715" t="s">
        <v>235</v>
      </c>
      <c r="F1715" t="s">
        <v>35</v>
      </c>
      <c r="G1715" t="s">
        <v>35</v>
      </c>
      <c r="H1715" t="s">
        <v>35</v>
      </c>
      <c r="J1715" t="s">
        <v>2537</v>
      </c>
      <c r="K1715" t="s">
        <v>1092</v>
      </c>
      <c r="M1715">
        <v>0.9</v>
      </c>
      <c r="N1715">
        <v>60</v>
      </c>
      <c r="O1715" t="s">
        <v>52</v>
      </c>
      <c r="Q1715" t="s">
        <v>1311</v>
      </c>
      <c r="R1715" t="s">
        <v>2391</v>
      </c>
      <c r="S1715" t="s">
        <v>236</v>
      </c>
      <c r="T1715" t="s">
        <v>237</v>
      </c>
    </row>
    <row r="1716" spans="1:20" x14ac:dyDescent="0.25">
      <c r="A1716" t="s">
        <v>44</v>
      </c>
      <c r="B1716" t="s">
        <v>3</v>
      </c>
      <c r="C1716" t="s">
        <v>32</v>
      </c>
      <c r="D1716" t="s">
        <v>227</v>
      </c>
      <c r="E1716" t="s">
        <v>235</v>
      </c>
      <c r="F1716" t="s">
        <v>35</v>
      </c>
      <c r="G1716" t="s">
        <v>35</v>
      </c>
      <c r="H1716" t="s">
        <v>35</v>
      </c>
      <c r="J1716" t="s">
        <v>2537</v>
      </c>
      <c r="K1716" t="s">
        <v>1092</v>
      </c>
      <c r="M1716">
        <v>1.3</v>
      </c>
      <c r="N1716">
        <v>60</v>
      </c>
      <c r="O1716" t="s">
        <v>52</v>
      </c>
      <c r="Q1716" t="s">
        <v>1311</v>
      </c>
      <c r="R1716" t="s">
        <v>2391</v>
      </c>
      <c r="S1716" t="s">
        <v>236</v>
      </c>
      <c r="T1716" t="s">
        <v>237</v>
      </c>
    </row>
    <row r="1717" spans="1:20" x14ac:dyDescent="0.25">
      <c r="A1717" t="s">
        <v>59</v>
      </c>
      <c r="B1717" t="s">
        <v>60</v>
      </c>
      <c r="C1717" t="s">
        <v>32</v>
      </c>
      <c r="D1717" t="s">
        <v>227</v>
      </c>
      <c r="E1717" t="s">
        <v>2385</v>
      </c>
      <c r="F1717" t="s">
        <v>35</v>
      </c>
      <c r="G1717" t="s">
        <v>35</v>
      </c>
      <c r="H1717" t="s">
        <v>35</v>
      </c>
      <c r="J1717" t="s">
        <v>2432</v>
      </c>
      <c r="K1717" t="s">
        <v>1092</v>
      </c>
      <c r="M1717">
        <v>0.15</v>
      </c>
      <c r="N1717">
        <v>1188</v>
      </c>
      <c r="O1717" t="s">
        <v>575</v>
      </c>
      <c r="Q1717" t="s">
        <v>2433</v>
      </c>
      <c r="R1717" t="s">
        <v>2391</v>
      </c>
      <c r="S1717" t="s">
        <v>236</v>
      </c>
      <c r="T1717" t="s">
        <v>237</v>
      </c>
    </row>
    <row r="1718" spans="1:20" x14ac:dyDescent="0.25">
      <c r="A1718" t="s">
        <v>59</v>
      </c>
      <c r="B1718" t="s">
        <v>31</v>
      </c>
      <c r="C1718" t="s">
        <v>32</v>
      </c>
      <c r="D1718" t="s">
        <v>227</v>
      </c>
      <c r="E1718" t="s">
        <v>2385</v>
      </c>
      <c r="F1718" t="s">
        <v>35</v>
      </c>
      <c r="G1718" t="s">
        <v>35</v>
      </c>
      <c r="H1718" t="s">
        <v>35</v>
      </c>
      <c r="J1718" t="s">
        <v>2432</v>
      </c>
      <c r="K1718" t="s">
        <v>1092</v>
      </c>
      <c r="M1718">
        <v>0.01</v>
      </c>
      <c r="N1718">
        <v>1215</v>
      </c>
      <c r="O1718" t="s">
        <v>575</v>
      </c>
      <c r="Q1718" t="s">
        <v>2434</v>
      </c>
      <c r="R1718" t="s">
        <v>2391</v>
      </c>
      <c r="S1718" t="s">
        <v>236</v>
      </c>
      <c r="T1718" t="s">
        <v>237</v>
      </c>
    </row>
    <row r="1719" spans="1:20" x14ac:dyDescent="0.25">
      <c r="A1719" t="s">
        <v>59</v>
      </c>
      <c r="B1719" t="s">
        <v>60</v>
      </c>
      <c r="C1719" t="s">
        <v>32</v>
      </c>
      <c r="D1719" t="s">
        <v>227</v>
      </c>
      <c r="E1719" t="s">
        <v>2385</v>
      </c>
      <c r="F1719" t="s">
        <v>35</v>
      </c>
      <c r="G1719" t="s">
        <v>35</v>
      </c>
      <c r="H1719" t="s">
        <v>35</v>
      </c>
      <c r="J1719" t="s">
        <v>2402</v>
      </c>
      <c r="K1719" t="s">
        <v>1092</v>
      </c>
      <c r="M1719">
        <v>0.05</v>
      </c>
      <c r="N1719">
        <v>1835</v>
      </c>
      <c r="O1719" t="s">
        <v>575</v>
      </c>
      <c r="Q1719" t="s">
        <v>2403</v>
      </c>
      <c r="R1719" t="s">
        <v>2391</v>
      </c>
      <c r="S1719" t="s">
        <v>236</v>
      </c>
      <c r="T1719" t="s">
        <v>237</v>
      </c>
    </row>
    <row r="1720" spans="1:20" x14ac:dyDescent="0.25">
      <c r="A1720" t="s">
        <v>59</v>
      </c>
      <c r="B1720" t="s">
        <v>31</v>
      </c>
      <c r="C1720" t="s">
        <v>32</v>
      </c>
      <c r="D1720" t="s">
        <v>227</v>
      </c>
      <c r="E1720" t="s">
        <v>2385</v>
      </c>
      <c r="F1720" t="s">
        <v>35</v>
      </c>
      <c r="G1720" t="s">
        <v>35</v>
      </c>
      <c r="H1720" t="s">
        <v>35</v>
      </c>
      <c r="J1720" t="s">
        <v>2401</v>
      </c>
      <c r="K1720" t="s">
        <v>1092</v>
      </c>
      <c r="M1720">
        <v>10.98</v>
      </c>
      <c r="N1720">
        <v>61</v>
      </c>
      <c r="O1720" t="s">
        <v>61</v>
      </c>
      <c r="Q1720" t="s">
        <v>146</v>
      </c>
      <c r="R1720" t="s">
        <v>2391</v>
      </c>
      <c r="S1720" t="s">
        <v>236</v>
      </c>
      <c r="T1720" t="s">
        <v>237</v>
      </c>
    </row>
    <row r="1721" spans="1:20" x14ac:dyDescent="0.25">
      <c r="A1721" t="s">
        <v>59</v>
      </c>
      <c r="B1721" t="s">
        <v>60</v>
      </c>
      <c r="C1721" t="s">
        <v>32</v>
      </c>
      <c r="D1721" t="s">
        <v>227</v>
      </c>
      <c r="E1721" t="s">
        <v>2385</v>
      </c>
      <c r="F1721" t="s">
        <v>35</v>
      </c>
      <c r="G1721" t="s">
        <v>35</v>
      </c>
      <c r="H1721" t="s">
        <v>35</v>
      </c>
      <c r="J1721" t="s">
        <v>2401</v>
      </c>
      <c r="K1721" t="s">
        <v>1092</v>
      </c>
      <c r="M1721">
        <v>5.5</v>
      </c>
      <c r="N1721">
        <v>61</v>
      </c>
      <c r="O1721" t="s">
        <v>61</v>
      </c>
      <c r="Q1721" t="s">
        <v>146</v>
      </c>
      <c r="R1721" t="s">
        <v>2391</v>
      </c>
      <c r="S1721" t="s">
        <v>236</v>
      </c>
      <c r="T1721" t="s">
        <v>237</v>
      </c>
    </row>
    <row r="1722" spans="1:20" x14ac:dyDescent="0.25">
      <c r="A1722" t="s">
        <v>30</v>
      </c>
      <c r="B1722" t="s">
        <v>31</v>
      </c>
      <c r="C1722" t="s">
        <v>32</v>
      </c>
      <c r="D1722" t="s">
        <v>227</v>
      </c>
      <c r="E1722" t="s">
        <v>2612</v>
      </c>
      <c r="F1722" t="s">
        <v>35</v>
      </c>
      <c r="G1722" t="s">
        <v>35</v>
      </c>
      <c r="H1722" t="s">
        <v>35</v>
      </c>
      <c r="J1722" t="s">
        <v>2615</v>
      </c>
      <c r="K1722" t="s">
        <v>1092</v>
      </c>
      <c r="M1722">
        <v>1.665</v>
      </c>
      <c r="N1722">
        <v>69</v>
      </c>
      <c r="O1722" t="s">
        <v>61</v>
      </c>
      <c r="Q1722" t="s">
        <v>234</v>
      </c>
      <c r="R1722" t="s">
        <v>2391</v>
      </c>
      <c r="S1722" t="s">
        <v>236</v>
      </c>
      <c r="T1722" t="s">
        <v>237</v>
      </c>
    </row>
    <row r="1723" spans="1:20" x14ac:dyDescent="0.25">
      <c r="A1723" t="s">
        <v>30</v>
      </c>
      <c r="B1723" t="s">
        <v>31</v>
      </c>
      <c r="C1723" t="s">
        <v>32</v>
      </c>
      <c r="D1723" t="s">
        <v>227</v>
      </c>
      <c r="F1723" t="s">
        <v>35</v>
      </c>
      <c r="G1723" t="s">
        <v>35</v>
      </c>
      <c r="H1723" t="s">
        <v>35</v>
      </c>
      <c r="J1723" t="s">
        <v>3106</v>
      </c>
      <c r="K1723" t="s">
        <v>1092</v>
      </c>
      <c r="M1723">
        <v>10.53</v>
      </c>
      <c r="N1723">
        <v>33</v>
      </c>
      <c r="O1723" t="s">
        <v>52</v>
      </c>
      <c r="Q1723" t="s">
        <v>130</v>
      </c>
      <c r="R1723" t="s">
        <v>2391</v>
      </c>
      <c r="S1723" t="s">
        <v>236</v>
      </c>
      <c r="T1723" t="s">
        <v>237</v>
      </c>
    </row>
    <row r="1724" spans="1:20" x14ac:dyDescent="0.25">
      <c r="A1724" t="s">
        <v>59</v>
      </c>
      <c r="B1724" t="s">
        <v>60</v>
      </c>
      <c r="C1724" t="s">
        <v>32</v>
      </c>
      <c r="D1724" t="s">
        <v>227</v>
      </c>
      <c r="E1724" t="s">
        <v>2385</v>
      </c>
      <c r="F1724" t="s">
        <v>35</v>
      </c>
      <c r="G1724" t="s">
        <v>35</v>
      </c>
      <c r="H1724" t="s">
        <v>35</v>
      </c>
      <c r="J1724" t="s">
        <v>2409</v>
      </c>
      <c r="K1724" t="s">
        <v>1092</v>
      </c>
      <c r="M1724">
        <v>0.25</v>
      </c>
      <c r="N1724">
        <v>166</v>
      </c>
      <c r="O1724" t="s">
        <v>38</v>
      </c>
      <c r="Q1724" t="s">
        <v>1345</v>
      </c>
      <c r="R1724" t="s">
        <v>2391</v>
      </c>
      <c r="S1724" t="s">
        <v>236</v>
      </c>
      <c r="T1724" t="s">
        <v>237</v>
      </c>
    </row>
    <row r="1725" spans="1:20" x14ac:dyDescent="0.25">
      <c r="A1725" t="s">
        <v>59</v>
      </c>
      <c r="B1725" t="s">
        <v>60</v>
      </c>
      <c r="C1725" t="s">
        <v>32</v>
      </c>
      <c r="D1725" t="s">
        <v>227</v>
      </c>
      <c r="E1725" t="s">
        <v>2385</v>
      </c>
      <c r="F1725" t="s">
        <v>35</v>
      </c>
      <c r="G1725" t="s">
        <v>35</v>
      </c>
      <c r="H1725" t="s">
        <v>35</v>
      </c>
      <c r="J1725" t="s">
        <v>2409</v>
      </c>
      <c r="K1725" t="s">
        <v>1092</v>
      </c>
      <c r="M1725">
        <v>0.26</v>
      </c>
      <c r="N1725">
        <v>1021</v>
      </c>
      <c r="O1725" t="s">
        <v>575</v>
      </c>
      <c r="Q1725" t="s">
        <v>2410</v>
      </c>
      <c r="R1725" t="s">
        <v>2391</v>
      </c>
      <c r="S1725" t="s">
        <v>236</v>
      </c>
      <c r="T1725" t="s">
        <v>237</v>
      </c>
    </row>
    <row r="1726" spans="1:20" x14ac:dyDescent="0.25">
      <c r="A1726" t="s">
        <v>30</v>
      </c>
      <c r="B1726" t="s">
        <v>31</v>
      </c>
      <c r="C1726" t="s">
        <v>32</v>
      </c>
      <c r="D1726" t="s">
        <v>227</v>
      </c>
      <c r="E1726" t="s">
        <v>2385</v>
      </c>
      <c r="F1726" t="s">
        <v>35</v>
      </c>
      <c r="G1726" t="s">
        <v>35</v>
      </c>
      <c r="H1726" t="s">
        <v>35</v>
      </c>
      <c r="J1726" t="s">
        <v>2409</v>
      </c>
      <c r="K1726" t="s">
        <v>1092</v>
      </c>
      <c r="M1726">
        <v>0.22500000000000001</v>
      </c>
      <c r="N1726">
        <v>166</v>
      </c>
      <c r="O1726" t="s">
        <v>38</v>
      </c>
      <c r="Q1726" t="s">
        <v>1345</v>
      </c>
      <c r="R1726" t="s">
        <v>2391</v>
      </c>
      <c r="S1726" t="s">
        <v>236</v>
      </c>
      <c r="T1726" t="s">
        <v>237</v>
      </c>
    </row>
    <row r="1727" spans="1:20" x14ac:dyDescent="0.25">
      <c r="A1727" t="s">
        <v>44</v>
      </c>
      <c r="B1727" t="s">
        <v>3</v>
      </c>
      <c r="C1727" t="s">
        <v>32</v>
      </c>
      <c r="D1727" t="s">
        <v>227</v>
      </c>
      <c r="E1727" t="s">
        <v>2919</v>
      </c>
      <c r="F1727" t="s">
        <v>35</v>
      </c>
      <c r="G1727" t="s">
        <v>35</v>
      </c>
      <c r="H1727" t="s">
        <v>35</v>
      </c>
      <c r="J1727" t="s">
        <v>2925</v>
      </c>
      <c r="K1727" t="s">
        <v>1092</v>
      </c>
      <c r="M1727">
        <v>0.4</v>
      </c>
      <c r="N1727">
        <v>327</v>
      </c>
      <c r="O1727" t="s">
        <v>5</v>
      </c>
      <c r="Q1727" t="s">
        <v>2926</v>
      </c>
      <c r="R1727" t="s">
        <v>2391</v>
      </c>
      <c r="S1727" t="s">
        <v>236</v>
      </c>
      <c r="T1727" t="s">
        <v>237</v>
      </c>
    </row>
    <row r="1728" spans="1:20" x14ac:dyDescent="0.25">
      <c r="A1728" t="s">
        <v>59</v>
      </c>
      <c r="B1728" t="s">
        <v>31</v>
      </c>
      <c r="C1728" t="s">
        <v>32</v>
      </c>
      <c r="D1728" t="s">
        <v>227</v>
      </c>
      <c r="E1728" t="s">
        <v>2919</v>
      </c>
      <c r="F1728" t="s">
        <v>35</v>
      </c>
      <c r="G1728" t="s">
        <v>35</v>
      </c>
      <c r="H1728" t="s">
        <v>35</v>
      </c>
      <c r="J1728" t="s">
        <v>2925</v>
      </c>
      <c r="K1728" t="s">
        <v>1092</v>
      </c>
      <c r="M1728">
        <v>0.22500000000000001</v>
      </c>
      <c r="N1728">
        <v>252</v>
      </c>
      <c r="O1728" t="s">
        <v>5</v>
      </c>
      <c r="Q1728" t="s">
        <v>1425</v>
      </c>
      <c r="R1728" t="s">
        <v>2391</v>
      </c>
      <c r="S1728" t="s">
        <v>236</v>
      </c>
      <c r="T1728" t="s">
        <v>237</v>
      </c>
    </row>
    <row r="1729" spans="1:20" x14ac:dyDescent="0.25">
      <c r="A1729" t="s">
        <v>30</v>
      </c>
      <c r="B1729" t="s">
        <v>31</v>
      </c>
      <c r="C1729" t="s">
        <v>32</v>
      </c>
      <c r="D1729" t="s">
        <v>227</v>
      </c>
      <c r="E1729" t="s">
        <v>2542</v>
      </c>
      <c r="F1729" t="s">
        <v>35</v>
      </c>
      <c r="G1729" t="s">
        <v>35</v>
      </c>
      <c r="H1729" t="s">
        <v>35</v>
      </c>
      <c r="J1729" t="s">
        <v>2544</v>
      </c>
      <c r="K1729" t="s">
        <v>1092</v>
      </c>
      <c r="M1729">
        <v>1.575</v>
      </c>
      <c r="N1729">
        <v>69</v>
      </c>
      <c r="O1729" t="s">
        <v>61</v>
      </c>
      <c r="Q1729" t="s">
        <v>234</v>
      </c>
      <c r="R1729" t="s">
        <v>2391</v>
      </c>
      <c r="S1729" t="s">
        <v>236</v>
      </c>
      <c r="T1729" t="s">
        <v>237</v>
      </c>
    </row>
    <row r="1730" spans="1:20" x14ac:dyDescent="0.25">
      <c r="A1730" t="s">
        <v>59</v>
      </c>
      <c r="B1730" t="s">
        <v>31</v>
      </c>
      <c r="C1730" t="s">
        <v>32</v>
      </c>
      <c r="D1730" t="s">
        <v>227</v>
      </c>
      <c r="F1730" t="s">
        <v>35</v>
      </c>
      <c r="G1730" t="s">
        <v>35</v>
      </c>
      <c r="H1730" t="s">
        <v>35</v>
      </c>
      <c r="J1730" t="s">
        <v>3065</v>
      </c>
      <c r="K1730" t="s">
        <v>1092</v>
      </c>
      <c r="M1730">
        <v>0.06</v>
      </c>
      <c r="N1730">
        <v>1608</v>
      </c>
      <c r="O1730" t="s">
        <v>575</v>
      </c>
      <c r="Q1730" t="s">
        <v>2674</v>
      </c>
      <c r="R1730" t="s">
        <v>2391</v>
      </c>
      <c r="S1730" t="s">
        <v>236</v>
      </c>
      <c r="T1730" t="s">
        <v>237</v>
      </c>
    </row>
    <row r="1731" spans="1:20" x14ac:dyDescent="0.25">
      <c r="A1731" t="s">
        <v>44</v>
      </c>
      <c r="B1731" t="s">
        <v>3</v>
      </c>
      <c r="C1731" t="s">
        <v>32</v>
      </c>
      <c r="D1731" t="s">
        <v>227</v>
      </c>
      <c r="E1731" t="s">
        <v>2385</v>
      </c>
      <c r="F1731" t="s">
        <v>35</v>
      </c>
      <c r="G1731" t="s">
        <v>35</v>
      </c>
      <c r="H1731" t="s">
        <v>35</v>
      </c>
      <c r="J1731" t="s">
        <v>2405</v>
      </c>
      <c r="K1731" t="s">
        <v>1092</v>
      </c>
      <c r="M1731">
        <v>0.25</v>
      </c>
      <c r="N1731">
        <v>60</v>
      </c>
      <c r="O1731" t="s">
        <v>52</v>
      </c>
      <c r="Q1731" t="s">
        <v>1311</v>
      </c>
      <c r="R1731" t="s">
        <v>2391</v>
      </c>
      <c r="S1731" t="s">
        <v>236</v>
      </c>
      <c r="T1731" t="s">
        <v>237</v>
      </c>
    </row>
    <row r="1732" spans="1:20" x14ac:dyDescent="0.25">
      <c r="A1732" t="s">
        <v>59</v>
      </c>
      <c r="B1732" t="s">
        <v>60</v>
      </c>
      <c r="C1732" t="s">
        <v>32</v>
      </c>
      <c r="D1732" t="s">
        <v>227</v>
      </c>
      <c r="E1732" t="s">
        <v>2385</v>
      </c>
      <c r="F1732" t="s">
        <v>35</v>
      </c>
      <c r="G1732" t="s">
        <v>35</v>
      </c>
      <c r="H1732" t="s">
        <v>35</v>
      </c>
      <c r="J1732" t="s">
        <v>2405</v>
      </c>
      <c r="K1732" t="s">
        <v>1092</v>
      </c>
      <c r="M1732">
        <v>0.2</v>
      </c>
      <c r="N1732">
        <v>60</v>
      </c>
      <c r="O1732" t="s">
        <v>52</v>
      </c>
      <c r="Q1732" t="s">
        <v>1311</v>
      </c>
      <c r="R1732" t="s">
        <v>2391</v>
      </c>
      <c r="S1732" t="s">
        <v>236</v>
      </c>
      <c r="T1732" t="s">
        <v>237</v>
      </c>
    </row>
    <row r="1733" spans="1:20" x14ac:dyDescent="0.25">
      <c r="A1733" t="s">
        <v>30</v>
      </c>
      <c r="B1733" t="s">
        <v>31</v>
      </c>
      <c r="C1733" t="s">
        <v>32</v>
      </c>
      <c r="D1733" t="s">
        <v>227</v>
      </c>
      <c r="E1733" t="s">
        <v>2442</v>
      </c>
      <c r="F1733" t="s">
        <v>35</v>
      </c>
      <c r="G1733" t="s">
        <v>35</v>
      </c>
      <c r="H1733" t="s">
        <v>35</v>
      </c>
      <c r="J1733" t="s">
        <v>1838</v>
      </c>
      <c r="K1733" t="s">
        <v>1092</v>
      </c>
      <c r="M1733">
        <v>10.98</v>
      </c>
      <c r="N1733">
        <v>40</v>
      </c>
      <c r="O1733" t="s">
        <v>52</v>
      </c>
      <c r="Q1733" t="s">
        <v>132</v>
      </c>
      <c r="R1733" t="s">
        <v>2391</v>
      </c>
      <c r="S1733" t="s">
        <v>236</v>
      </c>
      <c r="T1733" t="s">
        <v>237</v>
      </c>
    </row>
    <row r="1734" spans="1:20" x14ac:dyDescent="0.25">
      <c r="A1734" t="s">
        <v>59</v>
      </c>
      <c r="B1734" t="s">
        <v>31</v>
      </c>
      <c r="C1734" t="s">
        <v>32</v>
      </c>
      <c r="D1734" t="s">
        <v>227</v>
      </c>
      <c r="E1734" t="s">
        <v>2919</v>
      </c>
      <c r="F1734" t="s">
        <v>35</v>
      </c>
      <c r="G1734" t="s">
        <v>35</v>
      </c>
      <c r="H1734" t="s">
        <v>35</v>
      </c>
      <c r="J1734" t="s">
        <v>2928</v>
      </c>
      <c r="K1734" t="s">
        <v>1092</v>
      </c>
      <c r="M1734">
        <v>0.45</v>
      </c>
      <c r="N1734">
        <v>137</v>
      </c>
      <c r="O1734" t="s">
        <v>38</v>
      </c>
      <c r="Q1734" t="s">
        <v>2929</v>
      </c>
      <c r="R1734" t="s">
        <v>2391</v>
      </c>
      <c r="S1734" t="s">
        <v>236</v>
      </c>
      <c r="T1734" t="s">
        <v>237</v>
      </c>
    </row>
    <row r="1735" spans="1:20" x14ac:dyDescent="0.25">
      <c r="A1735" t="s">
        <v>59</v>
      </c>
      <c r="B1735" t="s">
        <v>60</v>
      </c>
      <c r="C1735" t="s">
        <v>32</v>
      </c>
      <c r="D1735" t="s">
        <v>227</v>
      </c>
      <c r="E1735" t="s">
        <v>2919</v>
      </c>
      <c r="F1735" t="s">
        <v>35</v>
      </c>
      <c r="G1735" t="s">
        <v>35</v>
      </c>
      <c r="H1735" t="s">
        <v>35</v>
      </c>
      <c r="J1735" t="s">
        <v>2928</v>
      </c>
      <c r="K1735" t="s">
        <v>1092</v>
      </c>
      <c r="M1735">
        <v>0.2</v>
      </c>
      <c r="N1735">
        <v>137</v>
      </c>
      <c r="O1735" t="s">
        <v>38</v>
      </c>
      <c r="Q1735" t="s">
        <v>2929</v>
      </c>
      <c r="R1735" t="s">
        <v>2391</v>
      </c>
      <c r="S1735" t="s">
        <v>236</v>
      </c>
      <c r="T1735" t="s">
        <v>237</v>
      </c>
    </row>
    <row r="1736" spans="1:20" x14ac:dyDescent="0.25">
      <c r="A1736" t="s">
        <v>59</v>
      </c>
      <c r="B1736" t="s">
        <v>31</v>
      </c>
      <c r="C1736" t="s">
        <v>32</v>
      </c>
      <c r="D1736" t="s">
        <v>227</v>
      </c>
      <c r="E1736" t="s">
        <v>235</v>
      </c>
      <c r="F1736" t="s">
        <v>35</v>
      </c>
      <c r="G1736" t="s">
        <v>35</v>
      </c>
      <c r="H1736" t="s">
        <v>35</v>
      </c>
      <c r="J1736" t="s">
        <v>2531</v>
      </c>
      <c r="K1736" t="s">
        <v>1092</v>
      </c>
      <c r="M1736">
        <v>0.54</v>
      </c>
      <c r="N1736">
        <v>438</v>
      </c>
      <c r="O1736" t="s">
        <v>294</v>
      </c>
      <c r="Q1736" t="s">
        <v>2532</v>
      </c>
      <c r="R1736" t="s">
        <v>2391</v>
      </c>
      <c r="S1736" t="s">
        <v>236</v>
      </c>
      <c r="T1736" t="s">
        <v>237</v>
      </c>
    </row>
    <row r="1737" spans="1:20" x14ac:dyDescent="0.25">
      <c r="A1737" t="s">
        <v>59</v>
      </c>
      <c r="B1737" t="s">
        <v>31</v>
      </c>
      <c r="C1737" t="s">
        <v>32</v>
      </c>
      <c r="D1737" t="s">
        <v>227</v>
      </c>
      <c r="E1737" t="s">
        <v>2931</v>
      </c>
      <c r="F1737" t="s">
        <v>35</v>
      </c>
      <c r="G1737" t="s">
        <v>35</v>
      </c>
      <c r="H1737" t="s">
        <v>35</v>
      </c>
      <c r="J1737" t="s">
        <v>2940</v>
      </c>
      <c r="K1737" t="s">
        <v>1092</v>
      </c>
      <c r="M1737">
        <v>0.40500000000000003</v>
      </c>
      <c r="N1737">
        <v>644</v>
      </c>
      <c r="O1737" t="s">
        <v>575</v>
      </c>
      <c r="Q1737" t="s">
        <v>2941</v>
      </c>
      <c r="R1737" t="s">
        <v>2391</v>
      </c>
      <c r="S1737" t="s">
        <v>236</v>
      </c>
      <c r="T1737" t="s">
        <v>237</v>
      </c>
    </row>
    <row r="1738" spans="1:20" x14ac:dyDescent="0.25">
      <c r="A1738" t="s">
        <v>30</v>
      </c>
      <c r="B1738" t="s">
        <v>31</v>
      </c>
      <c r="C1738" t="s">
        <v>32</v>
      </c>
      <c r="D1738" t="s">
        <v>227</v>
      </c>
      <c r="E1738" t="s">
        <v>270</v>
      </c>
      <c r="F1738" t="s">
        <v>35</v>
      </c>
      <c r="G1738" t="s">
        <v>35</v>
      </c>
      <c r="H1738" t="s">
        <v>35</v>
      </c>
      <c r="J1738" t="s">
        <v>2778</v>
      </c>
      <c r="K1738" t="s">
        <v>1092</v>
      </c>
      <c r="M1738">
        <v>0.22500000000000001</v>
      </c>
      <c r="N1738">
        <v>419</v>
      </c>
      <c r="O1738" t="s">
        <v>294</v>
      </c>
      <c r="Q1738" t="s">
        <v>1550</v>
      </c>
      <c r="R1738" t="s">
        <v>2391</v>
      </c>
      <c r="S1738" t="s">
        <v>236</v>
      </c>
      <c r="T1738" t="s">
        <v>237</v>
      </c>
    </row>
    <row r="1739" spans="1:20" x14ac:dyDescent="0.25">
      <c r="A1739" t="s">
        <v>59</v>
      </c>
      <c r="B1739" t="s">
        <v>60</v>
      </c>
      <c r="C1739" t="s">
        <v>32</v>
      </c>
      <c r="D1739" t="s">
        <v>227</v>
      </c>
      <c r="E1739" t="s">
        <v>2919</v>
      </c>
      <c r="F1739" t="s">
        <v>35</v>
      </c>
      <c r="G1739" t="s">
        <v>35</v>
      </c>
      <c r="H1739" t="s">
        <v>35</v>
      </c>
      <c r="J1739" t="s">
        <v>2921</v>
      </c>
      <c r="K1739" t="s">
        <v>1092</v>
      </c>
      <c r="M1739">
        <v>0.35</v>
      </c>
      <c r="N1739">
        <v>11</v>
      </c>
      <c r="O1739" t="s">
        <v>46</v>
      </c>
      <c r="Q1739" t="s">
        <v>1476</v>
      </c>
      <c r="R1739" t="s">
        <v>2391</v>
      </c>
      <c r="S1739" t="s">
        <v>236</v>
      </c>
      <c r="T1739" t="s">
        <v>237</v>
      </c>
    </row>
    <row r="1740" spans="1:20" x14ac:dyDescent="0.25">
      <c r="A1740" t="s">
        <v>44</v>
      </c>
      <c r="B1740" t="s">
        <v>51</v>
      </c>
      <c r="C1740" t="s">
        <v>32</v>
      </c>
      <c r="D1740" t="s">
        <v>227</v>
      </c>
      <c r="E1740" t="s">
        <v>2919</v>
      </c>
      <c r="F1740" t="s">
        <v>35</v>
      </c>
      <c r="G1740" t="s">
        <v>35</v>
      </c>
      <c r="H1740" t="s">
        <v>35</v>
      </c>
      <c r="J1740" t="s">
        <v>2921</v>
      </c>
      <c r="K1740" t="s">
        <v>1092</v>
      </c>
      <c r="M1740">
        <v>0.25</v>
      </c>
      <c r="N1740">
        <v>11</v>
      </c>
      <c r="O1740" t="s">
        <v>46</v>
      </c>
      <c r="Q1740" t="s">
        <v>1476</v>
      </c>
      <c r="R1740" t="s">
        <v>2391</v>
      </c>
      <c r="S1740" t="s">
        <v>236</v>
      </c>
      <c r="T1740" t="s">
        <v>237</v>
      </c>
    </row>
    <row r="1741" spans="1:20" x14ac:dyDescent="0.25">
      <c r="A1741" t="s">
        <v>30</v>
      </c>
      <c r="B1741" t="s">
        <v>31</v>
      </c>
      <c r="C1741" t="s">
        <v>32</v>
      </c>
      <c r="D1741" t="s">
        <v>227</v>
      </c>
      <c r="E1741" t="s">
        <v>2919</v>
      </c>
      <c r="F1741" t="s">
        <v>35</v>
      </c>
      <c r="G1741" t="s">
        <v>35</v>
      </c>
      <c r="H1741" t="s">
        <v>35</v>
      </c>
      <c r="J1741" t="s">
        <v>2921</v>
      </c>
      <c r="K1741" t="s">
        <v>1092</v>
      </c>
      <c r="M1741">
        <v>0.85</v>
      </c>
      <c r="N1741">
        <v>162</v>
      </c>
      <c r="O1741" t="s">
        <v>38</v>
      </c>
      <c r="Q1741" t="s">
        <v>1189</v>
      </c>
      <c r="R1741" t="s">
        <v>2391</v>
      </c>
      <c r="S1741" t="s">
        <v>236</v>
      </c>
      <c r="T1741" t="s">
        <v>237</v>
      </c>
    </row>
    <row r="1742" spans="1:20" x14ac:dyDescent="0.25">
      <c r="A1742" t="s">
        <v>59</v>
      </c>
      <c r="B1742" t="s">
        <v>60</v>
      </c>
      <c r="C1742" t="s">
        <v>32</v>
      </c>
      <c r="D1742" t="s">
        <v>227</v>
      </c>
      <c r="E1742" t="s">
        <v>2567</v>
      </c>
      <c r="F1742" t="s">
        <v>35</v>
      </c>
      <c r="G1742" t="s">
        <v>35</v>
      </c>
      <c r="H1742" t="s">
        <v>35</v>
      </c>
      <c r="J1742" t="s">
        <v>2572</v>
      </c>
      <c r="K1742" t="s">
        <v>1092</v>
      </c>
      <c r="M1742">
        <v>0.125</v>
      </c>
      <c r="N1742">
        <v>508</v>
      </c>
      <c r="O1742" t="s">
        <v>294</v>
      </c>
      <c r="Q1742" t="s">
        <v>2573</v>
      </c>
      <c r="R1742" t="s">
        <v>2391</v>
      </c>
      <c r="S1742" t="s">
        <v>236</v>
      </c>
      <c r="T1742" t="s">
        <v>237</v>
      </c>
    </row>
    <row r="1743" spans="1:20" x14ac:dyDescent="0.25">
      <c r="A1743" t="s">
        <v>59</v>
      </c>
      <c r="B1743" t="s">
        <v>31</v>
      </c>
      <c r="C1743" t="s">
        <v>32</v>
      </c>
      <c r="D1743" t="s">
        <v>227</v>
      </c>
      <c r="E1743" t="s">
        <v>2567</v>
      </c>
      <c r="F1743" t="s">
        <v>35</v>
      </c>
      <c r="G1743" t="s">
        <v>35</v>
      </c>
      <c r="H1743" t="s">
        <v>35</v>
      </c>
      <c r="J1743" t="s">
        <v>2572</v>
      </c>
      <c r="K1743" t="s">
        <v>1092</v>
      </c>
      <c r="M1743">
        <v>0.255</v>
      </c>
      <c r="N1743">
        <v>508</v>
      </c>
      <c r="O1743" t="s">
        <v>294</v>
      </c>
      <c r="Q1743" t="s">
        <v>2573</v>
      </c>
      <c r="R1743" t="s">
        <v>2391</v>
      </c>
      <c r="S1743" t="s">
        <v>236</v>
      </c>
      <c r="T1743" t="s">
        <v>237</v>
      </c>
    </row>
    <row r="1744" spans="1:20" x14ac:dyDescent="0.25">
      <c r="A1744" t="s">
        <v>30</v>
      </c>
      <c r="B1744" t="s">
        <v>31</v>
      </c>
      <c r="C1744" t="s">
        <v>32</v>
      </c>
      <c r="D1744" t="s">
        <v>227</v>
      </c>
      <c r="E1744" t="s">
        <v>2551</v>
      </c>
      <c r="F1744" t="s">
        <v>35</v>
      </c>
      <c r="G1744" t="s">
        <v>35</v>
      </c>
      <c r="H1744" t="s">
        <v>35</v>
      </c>
      <c r="J1744" t="s">
        <v>2562</v>
      </c>
      <c r="K1744" t="s">
        <v>1092</v>
      </c>
      <c r="M1744">
        <v>10.98</v>
      </c>
      <c r="N1744">
        <v>33</v>
      </c>
      <c r="O1744" t="s">
        <v>52</v>
      </c>
      <c r="Q1744" t="s">
        <v>130</v>
      </c>
      <c r="R1744" t="s">
        <v>2391</v>
      </c>
      <c r="S1744" t="s">
        <v>236</v>
      </c>
      <c r="T1744" t="s">
        <v>237</v>
      </c>
    </row>
    <row r="1745" spans="1:20" x14ac:dyDescent="0.25">
      <c r="A1745" t="s">
        <v>59</v>
      </c>
      <c r="B1745" t="s">
        <v>31</v>
      </c>
      <c r="C1745" t="s">
        <v>32</v>
      </c>
      <c r="D1745" t="s">
        <v>227</v>
      </c>
      <c r="E1745" t="s">
        <v>270</v>
      </c>
      <c r="F1745" t="s">
        <v>35</v>
      </c>
      <c r="G1745" t="s">
        <v>35</v>
      </c>
      <c r="H1745" t="s">
        <v>35</v>
      </c>
      <c r="J1745" t="s">
        <v>2772</v>
      </c>
      <c r="K1745" t="s">
        <v>1092</v>
      </c>
      <c r="M1745">
        <v>0.23</v>
      </c>
      <c r="N1745">
        <v>482</v>
      </c>
      <c r="O1745" t="s">
        <v>294</v>
      </c>
      <c r="Q1745" t="s">
        <v>2729</v>
      </c>
      <c r="R1745" t="s">
        <v>2391</v>
      </c>
      <c r="S1745" t="s">
        <v>236</v>
      </c>
      <c r="T1745" t="s">
        <v>237</v>
      </c>
    </row>
    <row r="1746" spans="1:20" x14ac:dyDescent="0.25">
      <c r="A1746" t="s">
        <v>59</v>
      </c>
      <c r="B1746" t="s">
        <v>60</v>
      </c>
      <c r="C1746" t="s">
        <v>32</v>
      </c>
      <c r="D1746" t="s">
        <v>227</v>
      </c>
      <c r="E1746" t="s">
        <v>2675</v>
      </c>
      <c r="F1746" t="s">
        <v>35</v>
      </c>
      <c r="G1746" t="s">
        <v>35</v>
      </c>
      <c r="H1746" t="s">
        <v>35</v>
      </c>
      <c r="J1746" t="s">
        <v>2681</v>
      </c>
      <c r="K1746" t="s">
        <v>1092</v>
      </c>
      <c r="M1746">
        <v>1.25</v>
      </c>
      <c r="N1746">
        <v>26</v>
      </c>
      <c r="O1746" t="s">
        <v>46</v>
      </c>
      <c r="Q1746" t="s">
        <v>137</v>
      </c>
      <c r="R1746" t="s">
        <v>2602</v>
      </c>
      <c r="S1746" t="s">
        <v>297</v>
      </c>
      <c r="T1746" t="s">
        <v>286</v>
      </c>
    </row>
    <row r="1747" spans="1:20" x14ac:dyDescent="0.25">
      <c r="A1747" t="s">
        <v>59</v>
      </c>
      <c r="B1747" t="s">
        <v>60</v>
      </c>
      <c r="C1747" t="s">
        <v>32</v>
      </c>
      <c r="D1747" t="s">
        <v>227</v>
      </c>
      <c r="E1747" t="s">
        <v>2575</v>
      </c>
      <c r="F1747" t="s">
        <v>35</v>
      </c>
      <c r="G1747" t="s">
        <v>35</v>
      </c>
      <c r="H1747" t="s">
        <v>35</v>
      </c>
      <c r="J1747" t="s">
        <v>2600</v>
      </c>
      <c r="K1747" t="s">
        <v>1092</v>
      </c>
      <c r="M1747">
        <v>0.74199999999999999</v>
      </c>
      <c r="N1747">
        <v>96</v>
      </c>
      <c r="O1747" t="s">
        <v>106</v>
      </c>
      <c r="Q1747" t="s">
        <v>2601</v>
      </c>
      <c r="R1747" t="s">
        <v>2602</v>
      </c>
      <c r="S1747" t="s">
        <v>297</v>
      </c>
      <c r="T1747" t="s">
        <v>286</v>
      </c>
    </row>
    <row r="1748" spans="1:20" x14ac:dyDescent="0.25">
      <c r="A1748" t="s">
        <v>59</v>
      </c>
      <c r="B1748" t="s">
        <v>60</v>
      </c>
      <c r="C1748" t="s">
        <v>32</v>
      </c>
      <c r="D1748" t="s">
        <v>227</v>
      </c>
      <c r="E1748" t="s">
        <v>2871</v>
      </c>
      <c r="F1748" t="s">
        <v>35</v>
      </c>
      <c r="G1748" t="s">
        <v>35</v>
      </c>
      <c r="H1748" t="s">
        <v>35</v>
      </c>
      <c r="J1748" t="s">
        <v>2894</v>
      </c>
      <c r="K1748" t="s">
        <v>1092</v>
      </c>
      <c r="M1748">
        <v>0.35</v>
      </c>
      <c r="N1748">
        <v>114</v>
      </c>
      <c r="O1748" t="s">
        <v>106</v>
      </c>
      <c r="Q1748" t="s">
        <v>2895</v>
      </c>
      <c r="R1748" t="s">
        <v>2602</v>
      </c>
      <c r="S1748" t="s">
        <v>297</v>
      </c>
      <c r="T1748" t="s">
        <v>286</v>
      </c>
    </row>
    <row r="1749" spans="1:20" x14ac:dyDescent="0.25">
      <c r="A1749" t="s">
        <v>59</v>
      </c>
      <c r="B1749" t="s">
        <v>60</v>
      </c>
      <c r="C1749" t="s">
        <v>32</v>
      </c>
      <c r="D1749" t="s">
        <v>227</v>
      </c>
      <c r="E1749" t="s">
        <v>2871</v>
      </c>
      <c r="F1749" t="s">
        <v>35</v>
      </c>
      <c r="G1749" t="s">
        <v>35</v>
      </c>
      <c r="H1749" t="s">
        <v>35</v>
      </c>
      <c r="J1749" t="s">
        <v>2907</v>
      </c>
      <c r="K1749" t="s">
        <v>1092</v>
      </c>
      <c r="M1749">
        <v>1</v>
      </c>
      <c r="N1749">
        <v>2410</v>
      </c>
      <c r="O1749" t="s">
        <v>575</v>
      </c>
      <c r="Q1749" t="s">
        <v>2908</v>
      </c>
      <c r="R1749" t="s">
        <v>2602</v>
      </c>
      <c r="S1749" t="s">
        <v>297</v>
      </c>
      <c r="T1749" t="s">
        <v>286</v>
      </c>
    </row>
    <row r="1750" spans="1:20" x14ac:dyDescent="0.25">
      <c r="A1750" t="s">
        <v>59</v>
      </c>
      <c r="B1750" t="s">
        <v>60</v>
      </c>
      <c r="C1750" t="s">
        <v>32</v>
      </c>
      <c r="D1750" t="s">
        <v>227</v>
      </c>
      <c r="E1750" t="s">
        <v>2871</v>
      </c>
      <c r="F1750" t="s">
        <v>35</v>
      </c>
      <c r="G1750" t="s">
        <v>35</v>
      </c>
      <c r="H1750" t="s">
        <v>35</v>
      </c>
      <c r="J1750" t="s">
        <v>2903</v>
      </c>
      <c r="K1750" t="s">
        <v>1092</v>
      </c>
      <c r="M1750">
        <v>0.05</v>
      </c>
      <c r="N1750">
        <v>235</v>
      </c>
      <c r="O1750" t="s">
        <v>5</v>
      </c>
      <c r="Q1750" t="s">
        <v>2904</v>
      </c>
      <c r="R1750" t="s">
        <v>2602</v>
      </c>
      <c r="S1750" t="s">
        <v>297</v>
      </c>
      <c r="T1750" t="s">
        <v>286</v>
      </c>
    </row>
    <row r="1751" spans="1:20" x14ac:dyDescent="0.25">
      <c r="A1751" t="s">
        <v>59</v>
      </c>
      <c r="B1751" t="s">
        <v>60</v>
      </c>
      <c r="C1751" t="s">
        <v>32</v>
      </c>
      <c r="D1751" t="s">
        <v>227</v>
      </c>
      <c r="E1751" t="s">
        <v>2871</v>
      </c>
      <c r="F1751" t="s">
        <v>35</v>
      </c>
      <c r="G1751" t="s">
        <v>35</v>
      </c>
      <c r="H1751" t="s">
        <v>35</v>
      </c>
      <c r="J1751" t="s">
        <v>2903</v>
      </c>
      <c r="K1751" t="s">
        <v>1092</v>
      </c>
      <c r="M1751">
        <v>0.5</v>
      </c>
      <c r="N1751">
        <v>146</v>
      </c>
      <c r="O1751" t="s">
        <v>38</v>
      </c>
      <c r="Q1751" t="s">
        <v>569</v>
      </c>
      <c r="R1751" t="s">
        <v>2602</v>
      </c>
      <c r="S1751" t="s">
        <v>297</v>
      </c>
      <c r="T1751" t="s">
        <v>286</v>
      </c>
    </row>
    <row r="1752" spans="1:20" x14ac:dyDescent="0.25">
      <c r="A1752" t="s">
        <v>59</v>
      </c>
      <c r="B1752" t="s">
        <v>60</v>
      </c>
      <c r="C1752" t="s">
        <v>32</v>
      </c>
      <c r="D1752" t="s">
        <v>227</v>
      </c>
      <c r="E1752" t="s">
        <v>2850</v>
      </c>
      <c r="F1752" t="s">
        <v>35</v>
      </c>
      <c r="G1752" t="s">
        <v>35</v>
      </c>
      <c r="H1752" t="s">
        <v>35</v>
      </c>
      <c r="J1752" t="s">
        <v>2864</v>
      </c>
      <c r="K1752" t="s">
        <v>1092</v>
      </c>
      <c r="M1752">
        <v>0.55000000000000004</v>
      </c>
      <c r="N1752">
        <v>1499</v>
      </c>
      <c r="O1752" t="s">
        <v>575</v>
      </c>
      <c r="Q1752" t="s">
        <v>2865</v>
      </c>
      <c r="R1752" t="s">
        <v>2602</v>
      </c>
      <c r="S1752" t="s">
        <v>297</v>
      </c>
      <c r="T1752" t="s">
        <v>286</v>
      </c>
    </row>
    <row r="1753" spans="1:20" x14ac:dyDescent="0.25">
      <c r="A1753" t="s">
        <v>59</v>
      </c>
      <c r="B1753" t="s">
        <v>60</v>
      </c>
      <c r="C1753" t="s">
        <v>32</v>
      </c>
      <c r="D1753" t="s">
        <v>227</v>
      </c>
      <c r="E1753" t="s">
        <v>2871</v>
      </c>
      <c r="F1753" t="s">
        <v>35</v>
      </c>
      <c r="G1753" t="s">
        <v>35</v>
      </c>
      <c r="H1753" t="s">
        <v>35</v>
      </c>
      <c r="J1753" t="s">
        <v>2915</v>
      </c>
      <c r="K1753" t="s">
        <v>1092</v>
      </c>
      <c r="M1753">
        <v>0.2</v>
      </c>
      <c r="N1753">
        <v>149</v>
      </c>
      <c r="O1753" t="s">
        <v>38</v>
      </c>
      <c r="Q1753" t="s">
        <v>75</v>
      </c>
      <c r="R1753" t="s">
        <v>2602</v>
      </c>
      <c r="S1753" t="s">
        <v>297</v>
      </c>
      <c r="T1753" t="s">
        <v>286</v>
      </c>
    </row>
    <row r="1754" spans="1:20" x14ac:dyDescent="0.25">
      <c r="A1754" t="s">
        <v>59</v>
      </c>
      <c r="B1754" t="s">
        <v>60</v>
      </c>
      <c r="C1754" t="s">
        <v>32</v>
      </c>
      <c r="D1754" t="s">
        <v>227</v>
      </c>
      <c r="E1754" t="s">
        <v>2675</v>
      </c>
      <c r="F1754" t="s">
        <v>35</v>
      </c>
      <c r="G1754" t="s">
        <v>35</v>
      </c>
      <c r="H1754" t="s">
        <v>35</v>
      </c>
      <c r="J1754" t="s">
        <v>2725</v>
      </c>
      <c r="K1754" t="s">
        <v>1092</v>
      </c>
      <c r="M1754">
        <v>1</v>
      </c>
      <c r="N1754">
        <v>1958</v>
      </c>
      <c r="O1754" t="s">
        <v>575</v>
      </c>
      <c r="Q1754" t="s">
        <v>2726</v>
      </c>
      <c r="R1754" t="s">
        <v>2701</v>
      </c>
      <c r="S1754" t="s">
        <v>2702</v>
      </c>
      <c r="T1754" t="s">
        <v>286</v>
      </c>
    </row>
    <row r="1755" spans="1:20" x14ac:dyDescent="0.25">
      <c r="A1755" t="s">
        <v>59</v>
      </c>
      <c r="B1755" t="s">
        <v>60</v>
      </c>
      <c r="C1755" t="s">
        <v>32</v>
      </c>
      <c r="D1755" t="s">
        <v>227</v>
      </c>
      <c r="E1755" t="s">
        <v>2675</v>
      </c>
      <c r="F1755" t="s">
        <v>35</v>
      </c>
      <c r="G1755" t="s">
        <v>35</v>
      </c>
      <c r="H1755" t="s">
        <v>35</v>
      </c>
      <c r="J1755" t="s">
        <v>2725</v>
      </c>
      <c r="K1755" t="s">
        <v>1092</v>
      </c>
      <c r="M1755">
        <v>1E-3</v>
      </c>
      <c r="N1755">
        <v>2294</v>
      </c>
      <c r="O1755" t="s">
        <v>575</v>
      </c>
      <c r="Q1755" t="s">
        <v>2727</v>
      </c>
      <c r="R1755" t="s">
        <v>2701</v>
      </c>
      <c r="S1755" t="s">
        <v>2702</v>
      </c>
      <c r="T1755" t="s">
        <v>286</v>
      </c>
    </row>
    <row r="1756" spans="1:20" x14ac:dyDescent="0.25">
      <c r="A1756" t="s">
        <v>59</v>
      </c>
      <c r="B1756" t="s">
        <v>60</v>
      </c>
      <c r="C1756" t="s">
        <v>32</v>
      </c>
      <c r="D1756" t="s">
        <v>227</v>
      </c>
      <c r="F1756" t="s">
        <v>35</v>
      </c>
      <c r="G1756" t="s">
        <v>35</v>
      </c>
      <c r="H1756" t="s">
        <v>35</v>
      </c>
      <c r="J1756" t="s">
        <v>2979</v>
      </c>
      <c r="K1756" t="s">
        <v>1092</v>
      </c>
      <c r="M1756">
        <v>0.20499999999999999</v>
      </c>
      <c r="N1756">
        <v>2026</v>
      </c>
      <c r="O1756" t="s">
        <v>575</v>
      </c>
      <c r="Q1756" t="s">
        <v>2980</v>
      </c>
      <c r="R1756" t="s">
        <v>2701</v>
      </c>
      <c r="S1756" t="s">
        <v>2702</v>
      </c>
      <c r="T1756" t="s">
        <v>286</v>
      </c>
    </row>
    <row r="1757" spans="1:20" x14ac:dyDescent="0.25">
      <c r="A1757" t="s">
        <v>59</v>
      </c>
      <c r="B1757" t="s">
        <v>60</v>
      </c>
      <c r="C1757" t="s">
        <v>32</v>
      </c>
      <c r="D1757" t="s">
        <v>227</v>
      </c>
      <c r="F1757" t="s">
        <v>35</v>
      </c>
      <c r="G1757" t="s">
        <v>35</v>
      </c>
      <c r="H1757" t="s">
        <v>35</v>
      </c>
      <c r="J1757" t="s">
        <v>2994</v>
      </c>
      <c r="K1757" t="s">
        <v>1092</v>
      </c>
      <c r="M1757">
        <v>1.9E-2</v>
      </c>
      <c r="N1757">
        <v>1930</v>
      </c>
      <c r="O1757" t="s">
        <v>575</v>
      </c>
      <c r="Q1757" t="s">
        <v>2259</v>
      </c>
      <c r="R1757" t="s">
        <v>2701</v>
      </c>
      <c r="S1757" t="s">
        <v>2702</v>
      </c>
      <c r="T1757" t="s">
        <v>286</v>
      </c>
    </row>
    <row r="1758" spans="1:20" x14ac:dyDescent="0.25">
      <c r="A1758" t="s">
        <v>59</v>
      </c>
      <c r="B1758" t="s">
        <v>60</v>
      </c>
      <c r="C1758" t="s">
        <v>32</v>
      </c>
      <c r="D1758" t="s">
        <v>227</v>
      </c>
      <c r="E1758" t="s">
        <v>2871</v>
      </c>
      <c r="F1758" t="s">
        <v>35</v>
      </c>
      <c r="G1758" t="s">
        <v>35</v>
      </c>
      <c r="H1758" t="s">
        <v>35</v>
      </c>
      <c r="J1758" t="s">
        <v>2910</v>
      </c>
      <c r="K1758" t="s">
        <v>1092</v>
      </c>
      <c r="M1758">
        <v>0.02</v>
      </c>
      <c r="N1758">
        <v>1559</v>
      </c>
      <c r="O1758" t="s">
        <v>575</v>
      </c>
      <c r="Q1758" t="s">
        <v>2911</v>
      </c>
      <c r="R1758" t="s">
        <v>2701</v>
      </c>
      <c r="S1758" t="s">
        <v>2702</v>
      </c>
      <c r="T1758" t="s">
        <v>286</v>
      </c>
    </row>
    <row r="1759" spans="1:20" x14ac:dyDescent="0.25">
      <c r="A1759" t="s">
        <v>30</v>
      </c>
      <c r="B1759" t="s">
        <v>31</v>
      </c>
      <c r="C1759" t="s">
        <v>32</v>
      </c>
      <c r="D1759" t="s">
        <v>227</v>
      </c>
      <c r="E1759" t="s">
        <v>2675</v>
      </c>
      <c r="F1759" t="s">
        <v>35</v>
      </c>
      <c r="G1759" t="s">
        <v>35</v>
      </c>
      <c r="H1759" t="s">
        <v>35</v>
      </c>
      <c r="J1759" t="s">
        <v>2724</v>
      </c>
      <c r="K1759" t="s">
        <v>1092</v>
      </c>
      <c r="M1759">
        <v>0.40500000000000003</v>
      </c>
      <c r="N1759">
        <v>250</v>
      </c>
      <c r="O1759" t="s">
        <v>5</v>
      </c>
      <c r="Q1759" t="s">
        <v>1286</v>
      </c>
      <c r="R1759" t="s">
        <v>2701</v>
      </c>
      <c r="S1759" t="s">
        <v>2702</v>
      </c>
      <c r="T1759" t="s">
        <v>286</v>
      </c>
    </row>
    <row r="1760" spans="1:20" x14ac:dyDescent="0.25">
      <c r="A1760" t="s">
        <v>59</v>
      </c>
      <c r="B1760" t="s">
        <v>60</v>
      </c>
      <c r="C1760" t="s">
        <v>32</v>
      </c>
      <c r="D1760" t="s">
        <v>227</v>
      </c>
      <c r="E1760" t="s">
        <v>2675</v>
      </c>
      <c r="F1760" t="s">
        <v>35</v>
      </c>
      <c r="G1760" t="s">
        <v>35</v>
      </c>
      <c r="H1760" t="s">
        <v>35</v>
      </c>
      <c r="J1760" t="s">
        <v>2724</v>
      </c>
      <c r="K1760" t="s">
        <v>1092</v>
      </c>
      <c r="M1760">
        <v>0.29699999999999999</v>
      </c>
      <c r="N1760">
        <v>250</v>
      </c>
      <c r="O1760" t="s">
        <v>5</v>
      </c>
      <c r="Q1760" t="s">
        <v>1286</v>
      </c>
      <c r="R1760" t="s">
        <v>2701</v>
      </c>
      <c r="S1760" t="s">
        <v>2702</v>
      </c>
      <c r="T1760" t="s">
        <v>286</v>
      </c>
    </row>
    <row r="1761" spans="1:20" x14ac:dyDescent="0.25">
      <c r="A1761" t="s">
        <v>59</v>
      </c>
      <c r="B1761" t="s">
        <v>60</v>
      </c>
      <c r="C1761" t="s">
        <v>32</v>
      </c>
      <c r="D1761" t="s">
        <v>227</v>
      </c>
      <c r="F1761" t="s">
        <v>35</v>
      </c>
      <c r="G1761" t="s">
        <v>35</v>
      </c>
      <c r="H1761" t="s">
        <v>35</v>
      </c>
      <c r="J1761" t="s">
        <v>3028</v>
      </c>
      <c r="K1761" t="s">
        <v>1092</v>
      </c>
      <c r="M1761">
        <v>0.65</v>
      </c>
      <c r="N1761">
        <v>85</v>
      </c>
      <c r="O1761" t="s">
        <v>61</v>
      </c>
      <c r="Q1761" t="s">
        <v>1100</v>
      </c>
      <c r="R1761" t="s">
        <v>2701</v>
      </c>
      <c r="S1761" t="s">
        <v>2702</v>
      </c>
      <c r="T1761" t="s">
        <v>286</v>
      </c>
    </row>
    <row r="1762" spans="1:20" x14ac:dyDescent="0.25">
      <c r="A1762" t="s">
        <v>30</v>
      </c>
      <c r="B1762" t="s">
        <v>31</v>
      </c>
      <c r="C1762" t="s">
        <v>32</v>
      </c>
      <c r="D1762" t="s">
        <v>227</v>
      </c>
      <c r="E1762" t="s">
        <v>2850</v>
      </c>
      <c r="F1762" t="s">
        <v>35</v>
      </c>
      <c r="G1762" t="s">
        <v>35</v>
      </c>
      <c r="H1762" t="s">
        <v>35</v>
      </c>
      <c r="J1762" t="s">
        <v>2857</v>
      </c>
      <c r="K1762" t="s">
        <v>1092</v>
      </c>
      <c r="M1762">
        <v>0.7</v>
      </c>
      <c r="N1762">
        <v>250</v>
      </c>
      <c r="O1762" t="s">
        <v>5</v>
      </c>
      <c r="Q1762" t="s">
        <v>1286</v>
      </c>
      <c r="R1762" t="s">
        <v>2701</v>
      </c>
      <c r="S1762" t="s">
        <v>2702</v>
      </c>
      <c r="T1762" t="s">
        <v>286</v>
      </c>
    </row>
    <row r="1763" spans="1:20" x14ac:dyDescent="0.25">
      <c r="A1763" t="s">
        <v>59</v>
      </c>
      <c r="B1763" t="s">
        <v>60</v>
      </c>
      <c r="C1763" t="s">
        <v>32</v>
      </c>
      <c r="D1763" t="s">
        <v>227</v>
      </c>
      <c r="E1763" t="s">
        <v>2850</v>
      </c>
      <c r="F1763" t="s">
        <v>35</v>
      </c>
      <c r="G1763" t="s">
        <v>35</v>
      </c>
      <c r="H1763" t="s">
        <v>35</v>
      </c>
      <c r="J1763" t="s">
        <v>2857</v>
      </c>
      <c r="K1763" t="s">
        <v>1092</v>
      </c>
      <c r="M1763">
        <v>0.38</v>
      </c>
      <c r="N1763">
        <v>250</v>
      </c>
      <c r="O1763" t="s">
        <v>5</v>
      </c>
      <c r="Q1763" t="s">
        <v>1286</v>
      </c>
      <c r="R1763" t="s">
        <v>2701</v>
      </c>
      <c r="S1763" t="s">
        <v>2702</v>
      </c>
      <c r="T1763" t="s">
        <v>286</v>
      </c>
    </row>
    <row r="1764" spans="1:20" x14ac:dyDescent="0.25">
      <c r="A1764" t="s">
        <v>59</v>
      </c>
      <c r="B1764" t="s">
        <v>60</v>
      </c>
      <c r="C1764" t="s">
        <v>32</v>
      </c>
      <c r="D1764" t="s">
        <v>227</v>
      </c>
      <c r="E1764" t="s">
        <v>2675</v>
      </c>
      <c r="F1764" t="s">
        <v>35</v>
      </c>
      <c r="G1764" t="s">
        <v>35</v>
      </c>
      <c r="H1764" t="s">
        <v>35</v>
      </c>
      <c r="J1764" t="s">
        <v>2700</v>
      </c>
      <c r="K1764" t="s">
        <v>1092</v>
      </c>
      <c r="M1764">
        <v>0.06</v>
      </c>
      <c r="N1764">
        <v>274</v>
      </c>
      <c r="O1764" t="s">
        <v>5</v>
      </c>
      <c r="Q1764" t="s">
        <v>1226</v>
      </c>
      <c r="R1764" t="s">
        <v>2701</v>
      </c>
      <c r="S1764" t="s">
        <v>2702</v>
      </c>
      <c r="T1764" t="s">
        <v>286</v>
      </c>
    </row>
    <row r="1765" spans="1:20" x14ac:dyDescent="0.25">
      <c r="A1765" t="s">
        <v>59</v>
      </c>
      <c r="B1765" t="s">
        <v>60</v>
      </c>
      <c r="C1765" t="s">
        <v>32</v>
      </c>
      <c r="D1765" t="s">
        <v>227</v>
      </c>
      <c r="F1765" t="s">
        <v>35</v>
      </c>
      <c r="G1765" t="s">
        <v>35</v>
      </c>
      <c r="H1765" t="s">
        <v>35</v>
      </c>
      <c r="J1765" t="s">
        <v>3084</v>
      </c>
      <c r="K1765" t="s">
        <v>1092</v>
      </c>
      <c r="M1765">
        <v>0.67500000000000004</v>
      </c>
      <c r="N1765">
        <v>1950</v>
      </c>
      <c r="O1765" t="s">
        <v>575</v>
      </c>
      <c r="Q1765" t="s">
        <v>3085</v>
      </c>
      <c r="R1765" t="s">
        <v>2701</v>
      </c>
      <c r="S1765" t="s">
        <v>2702</v>
      </c>
      <c r="T1765" t="s">
        <v>286</v>
      </c>
    </row>
    <row r="1766" spans="1:20" x14ac:dyDescent="0.25">
      <c r="A1766" t="s">
        <v>30</v>
      </c>
      <c r="B1766" t="s">
        <v>31</v>
      </c>
      <c r="C1766" t="s">
        <v>32</v>
      </c>
      <c r="D1766" t="s">
        <v>227</v>
      </c>
      <c r="E1766" t="s">
        <v>2617</v>
      </c>
      <c r="F1766" t="s">
        <v>35</v>
      </c>
      <c r="G1766" t="s">
        <v>35</v>
      </c>
      <c r="H1766" t="s">
        <v>35</v>
      </c>
      <c r="J1766" t="s">
        <v>2618</v>
      </c>
      <c r="K1766" t="s">
        <v>404</v>
      </c>
      <c r="M1766">
        <v>0.89</v>
      </c>
      <c r="N1766">
        <v>245</v>
      </c>
      <c r="O1766" t="s">
        <v>5</v>
      </c>
      <c r="Q1766" t="s">
        <v>1222</v>
      </c>
      <c r="R1766" t="s">
        <v>2619</v>
      </c>
      <c r="S1766" t="s">
        <v>2620</v>
      </c>
      <c r="T1766" t="s">
        <v>2621</v>
      </c>
    </row>
    <row r="1767" spans="1:20" x14ac:dyDescent="0.25">
      <c r="A1767" t="s">
        <v>30</v>
      </c>
      <c r="B1767" t="s">
        <v>31</v>
      </c>
      <c r="C1767" t="s">
        <v>32</v>
      </c>
      <c r="D1767" t="s">
        <v>227</v>
      </c>
      <c r="E1767" t="s">
        <v>2617</v>
      </c>
      <c r="F1767" t="s">
        <v>35</v>
      </c>
      <c r="G1767" t="s">
        <v>35</v>
      </c>
      <c r="H1767" t="s">
        <v>35</v>
      </c>
      <c r="J1767" t="s">
        <v>2633</v>
      </c>
      <c r="K1767" t="s">
        <v>1092</v>
      </c>
      <c r="M1767">
        <v>0.47499999999999998</v>
      </c>
      <c r="N1767">
        <v>761</v>
      </c>
      <c r="O1767" t="s">
        <v>575</v>
      </c>
      <c r="Q1767" t="s">
        <v>2634</v>
      </c>
      <c r="R1767" t="s">
        <v>2619</v>
      </c>
      <c r="S1767" t="s">
        <v>2620</v>
      </c>
      <c r="T1767" t="s">
        <v>2621</v>
      </c>
    </row>
    <row r="1768" spans="1:20" x14ac:dyDescent="0.25">
      <c r="A1768" t="s">
        <v>30</v>
      </c>
      <c r="B1768" t="s">
        <v>31</v>
      </c>
      <c r="C1768" t="s">
        <v>32</v>
      </c>
      <c r="D1768" t="s">
        <v>227</v>
      </c>
      <c r="E1768" t="s">
        <v>2617</v>
      </c>
      <c r="F1768" t="s">
        <v>35</v>
      </c>
      <c r="G1768" t="s">
        <v>35</v>
      </c>
      <c r="H1768" t="s">
        <v>35</v>
      </c>
      <c r="J1768" t="s">
        <v>2628</v>
      </c>
      <c r="K1768" t="s">
        <v>1092</v>
      </c>
      <c r="M1768">
        <v>6.12</v>
      </c>
      <c r="N1768">
        <v>184</v>
      </c>
      <c r="O1768" t="s">
        <v>5</v>
      </c>
      <c r="Q1768" t="s">
        <v>1569</v>
      </c>
      <c r="R1768" t="s">
        <v>2619</v>
      </c>
      <c r="S1768" t="s">
        <v>2620</v>
      </c>
      <c r="T1768" t="s">
        <v>2621</v>
      </c>
    </row>
    <row r="1769" spans="1:20" x14ac:dyDescent="0.25">
      <c r="A1769" t="s">
        <v>30</v>
      </c>
      <c r="B1769" t="s">
        <v>31</v>
      </c>
      <c r="C1769" t="s">
        <v>32</v>
      </c>
      <c r="D1769" t="s">
        <v>227</v>
      </c>
      <c r="E1769" t="s">
        <v>2617</v>
      </c>
      <c r="F1769" t="s">
        <v>35</v>
      </c>
      <c r="G1769" t="s">
        <v>35</v>
      </c>
      <c r="H1769" t="s">
        <v>35</v>
      </c>
      <c r="J1769" t="s">
        <v>2632</v>
      </c>
      <c r="K1769" t="s">
        <v>1092</v>
      </c>
      <c r="M1769">
        <v>2.52</v>
      </c>
      <c r="N1769">
        <v>184</v>
      </c>
      <c r="O1769" t="s">
        <v>5</v>
      </c>
      <c r="Q1769" t="s">
        <v>1569</v>
      </c>
      <c r="R1769" t="s">
        <v>2619</v>
      </c>
      <c r="S1769" t="s">
        <v>2620</v>
      </c>
      <c r="T1769" t="s">
        <v>2621</v>
      </c>
    </row>
    <row r="1770" spans="1:20" x14ac:dyDescent="0.25">
      <c r="A1770" t="s">
        <v>30</v>
      </c>
      <c r="B1770" t="s">
        <v>31</v>
      </c>
      <c r="C1770" t="s">
        <v>32</v>
      </c>
      <c r="D1770" t="s">
        <v>227</v>
      </c>
      <c r="E1770" t="s">
        <v>2617</v>
      </c>
      <c r="F1770" t="s">
        <v>35</v>
      </c>
      <c r="G1770" t="s">
        <v>35</v>
      </c>
      <c r="H1770" t="s">
        <v>35</v>
      </c>
      <c r="J1770" t="s">
        <v>2640</v>
      </c>
      <c r="K1770" t="s">
        <v>1092</v>
      </c>
      <c r="M1770">
        <v>1.89</v>
      </c>
      <c r="N1770">
        <v>168</v>
      </c>
      <c r="O1770" t="s">
        <v>38</v>
      </c>
      <c r="Q1770" t="s">
        <v>1692</v>
      </c>
      <c r="R1770" t="s">
        <v>2619</v>
      </c>
      <c r="S1770" t="s">
        <v>2620</v>
      </c>
      <c r="T1770" t="s">
        <v>2621</v>
      </c>
    </row>
    <row r="1771" spans="1:20" x14ac:dyDescent="0.25">
      <c r="A1771" t="s">
        <v>59</v>
      </c>
      <c r="B1771" t="s">
        <v>31</v>
      </c>
      <c r="C1771" t="s">
        <v>32</v>
      </c>
      <c r="D1771" t="s">
        <v>227</v>
      </c>
      <c r="E1771" t="s">
        <v>228</v>
      </c>
      <c r="F1771" t="s">
        <v>35</v>
      </c>
      <c r="G1771" t="s">
        <v>35</v>
      </c>
      <c r="H1771" t="s">
        <v>35</v>
      </c>
      <c r="J1771" t="s">
        <v>2468</v>
      </c>
      <c r="K1771" t="s">
        <v>1092</v>
      </c>
      <c r="M1771">
        <v>5.49</v>
      </c>
      <c r="N1771">
        <v>94</v>
      </c>
      <c r="O1771" t="s">
        <v>106</v>
      </c>
      <c r="Q1771" t="s">
        <v>1164</v>
      </c>
      <c r="R1771" t="s">
        <v>2387</v>
      </c>
      <c r="S1771" t="s">
        <v>277</v>
      </c>
      <c r="T1771" t="s">
        <v>278</v>
      </c>
    </row>
    <row r="1772" spans="1:20" x14ac:dyDescent="0.25">
      <c r="A1772" t="s">
        <v>59</v>
      </c>
      <c r="B1772" t="s">
        <v>60</v>
      </c>
      <c r="C1772" t="s">
        <v>32</v>
      </c>
      <c r="D1772" t="s">
        <v>227</v>
      </c>
      <c r="E1772" t="s">
        <v>228</v>
      </c>
      <c r="F1772" t="s">
        <v>35</v>
      </c>
      <c r="G1772" t="s">
        <v>35</v>
      </c>
      <c r="H1772" t="s">
        <v>35</v>
      </c>
      <c r="J1772" t="s">
        <v>2468</v>
      </c>
      <c r="K1772" t="s">
        <v>1092</v>
      </c>
      <c r="M1772">
        <v>5.5</v>
      </c>
      <c r="N1772">
        <v>94</v>
      </c>
      <c r="O1772" t="s">
        <v>106</v>
      </c>
      <c r="Q1772" t="s">
        <v>1164</v>
      </c>
      <c r="R1772" t="s">
        <v>2387</v>
      </c>
      <c r="S1772" t="s">
        <v>277</v>
      </c>
      <c r="T1772" t="s">
        <v>278</v>
      </c>
    </row>
    <row r="1773" spans="1:20" x14ac:dyDescent="0.25">
      <c r="A1773" t="s">
        <v>30</v>
      </c>
      <c r="B1773" t="s">
        <v>31</v>
      </c>
      <c r="C1773" t="s">
        <v>32</v>
      </c>
      <c r="D1773" t="s">
        <v>227</v>
      </c>
      <c r="E1773" t="s">
        <v>2641</v>
      </c>
      <c r="F1773" t="s">
        <v>35</v>
      </c>
      <c r="G1773" t="s">
        <v>35</v>
      </c>
      <c r="H1773" t="s">
        <v>35</v>
      </c>
      <c r="J1773" t="s">
        <v>2644</v>
      </c>
      <c r="K1773" t="s">
        <v>1092</v>
      </c>
      <c r="M1773">
        <v>2.34</v>
      </c>
      <c r="N1773">
        <v>140</v>
      </c>
      <c r="O1773" t="s">
        <v>38</v>
      </c>
      <c r="Q1773" t="s">
        <v>1229</v>
      </c>
      <c r="R1773" t="s">
        <v>2387</v>
      </c>
      <c r="S1773" t="s">
        <v>277</v>
      </c>
      <c r="T1773" t="s">
        <v>278</v>
      </c>
    </row>
    <row r="1774" spans="1:20" x14ac:dyDescent="0.25">
      <c r="A1774" t="s">
        <v>59</v>
      </c>
      <c r="B1774" t="s">
        <v>60</v>
      </c>
      <c r="C1774" t="s">
        <v>32</v>
      </c>
      <c r="D1774" t="s">
        <v>227</v>
      </c>
      <c r="E1774" t="s">
        <v>2871</v>
      </c>
      <c r="F1774" t="s">
        <v>35</v>
      </c>
      <c r="G1774" t="s">
        <v>35</v>
      </c>
      <c r="H1774" t="s">
        <v>35</v>
      </c>
      <c r="J1774" t="s">
        <v>2909</v>
      </c>
      <c r="K1774" t="s">
        <v>1092</v>
      </c>
      <c r="M1774">
        <v>0.5</v>
      </c>
      <c r="N1774">
        <v>49</v>
      </c>
      <c r="O1774" t="s">
        <v>52</v>
      </c>
      <c r="Q1774" t="s">
        <v>453</v>
      </c>
      <c r="R1774" t="s">
        <v>2387</v>
      </c>
      <c r="S1774" t="s">
        <v>277</v>
      </c>
      <c r="T1774" t="s">
        <v>278</v>
      </c>
    </row>
    <row r="1775" spans="1:20" x14ac:dyDescent="0.25">
      <c r="A1775" t="s">
        <v>59</v>
      </c>
      <c r="B1775" t="s">
        <v>60</v>
      </c>
      <c r="C1775" t="s">
        <v>32</v>
      </c>
      <c r="D1775" t="s">
        <v>227</v>
      </c>
      <c r="E1775" t="s">
        <v>2871</v>
      </c>
      <c r="F1775" t="s">
        <v>35</v>
      </c>
      <c r="G1775" t="s">
        <v>35</v>
      </c>
      <c r="H1775" t="s">
        <v>35</v>
      </c>
      <c r="J1775" t="s">
        <v>2874</v>
      </c>
      <c r="K1775" t="s">
        <v>1092</v>
      </c>
      <c r="M1775">
        <v>0.25</v>
      </c>
      <c r="N1775">
        <v>22</v>
      </c>
      <c r="O1775" t="s">
        <v>46</v>
      </c>
      <c r="Q1775" t="s">
        <v>1645</v>
      </c>
      <c r="R1775" t="s">
        <v>2387</v>
      </c>
      <c r="S1775" t="s">
        <v>277</v>
      </c>
      <c r="T1775" t="s">
        <v>278</v>
      </c>
    </row>
    <row r="1776" spans="1:20" x14ac:dyDescent="0.25">
      <c r="A1776" t="s">
        <v>59</v>
      </c>
      <c r="B1776" t="s">
        <v>60</v>
      </c>
      <c r="C1776" t="s">
        <v>32</v>
      </c>
      <c r="D1776" t="s">
        <v>227</v>
      </c>
      <c r="E1776" t="s">
        <v>2871</v>
      </c>
      <c r="F1776" t="s">
        <v>35</v>
      </c>
      <c r="G1776" t="s">
        <v>35</v>
      </c>
      <c r="H1776" t="s">
        <v>35</v>
      </c>
      <c r="J1776" t="s">
        <v>2874</v>
      </c>
      <c r="K1776" t="s">
        <v>1092</v>
      </c>
      <c r="M1776">
        <v>0.25</v>
      </c>
      <c r="N1776">
        <v>8</v>
      </c>
      <c r="O1776" t="s">
        <v>46</v>
      </c>
      <c r="Q1776" t="s">
        <v>1944</v>
      </c>
      <c r="R1776" t="s">
        <v>2387</v>
      </c>
      <c r="S1776" t="s">
        <v>277</v>
      </c>
      <c r="T1776" t="s">
        <v>278</v>
      </c>
    </row>
    <row r="1777" spans="1:20" x14ac:dyDescent="0.25">
      <c r="A1777" t="s">
        <v>59</v>
      </c>
      <c r="B1777" t="s">
        <v>60</v>
      </c>
      <c r="C1777" t="s">
        <v>32</v>
      </c>
      <c r="D1777" t="s">
        <v>227</v>
      </c>
      <c r="E1777" t="s">
        <v>276</v>
      </c>
      <c r="F1777" t="s">
        <v>35</v>
      </c>
      <c r="G1777" t="s">
        <v>35</v>
      </c>
      <c r="H1777" t="s">
        <v>35</v>
      </c>
      <c r="J1777" t="s">
        <v>2806</v>
      </c>
      <c r="K1777" t="s">
        <v>1092</v>
      </c>
      <c r="M1777">
        <v>5.0999999999999996</v>
      </c>
      <c r="N1777">
        <v>83</v>
      </c>
      <c r="O1777" t="s">
        <v>61</v>
      </c>
      <c r="Q1777" t="s">
        <v>897</v>
      </c>
      <c r="R1777" t="s">
        <v>2387</v>
      </c>
      <c r="S1777" t="s">
        <v>277</v>
      </c>
      <c r="T1777" t="s">
        <v>278</v>
      </c>
    </row>
    <row r="1778" spans="1:20" x14ac:dyDescent="0.25">
      <c r="A1778" t="s">
        <v>44</v>
      </c>
      <c r="B1778" t="s">
        <v>3</v>
      </c>
      <c r="C1778" t="s">
        <v>32</v>
      </c>
      <c r="D1778" t="s">
        <v>227</v>
      </c>
      <c r="E1778" t="s">
        <v>276</v>
      </c>
      <c r="F1778" t="s">
        <v>35</v>
      </c>
      <c r="G1778" t="s">
        <v>35</v>
      </c>
      <c r="H1778" t="s">
        <v>35</v>
      </c>
      <c r="J1778" t="s">
        <v>2806</v>
      </c>
      <c r="K1778" t="s">
        <v>1092</v>
      </c>
      <c r="M1778">
        <v>0.25</v>
      </c>
      <c r="N1778">
        <v>26</v>
      </c>
      <c r="O1778" t="s">
        <v>46</v>
      </c>
      <c r="Q1778" t="s">
        <v>137</v>
      </c>
      <c r="R1778" t="s">
        <v>2387</v>
      </c>
      <c r="S1778" t="s">
        <v>277</v>
      </c>
      <c r="T1778" t="s">
        <v>278</v>
      </c>
    </row>
    <row r="1779" spans="1:20" x14ac:dyDescent="0.25">
      <c r="A1779" t="s">
        <v>44</v>
      </c>
      <c r="B1779" t="s">
        <v>3</v>
      </c>
      <c r="C1779" t="s">
        <v>32</v>
      </c>
      <c r="D1779" t="s">
        <v>227</v>
      </c>
      <c r="E1779" t="s">
        <v>276</v>
      </c>
      <c r="F1779" t="s">
        <v>35</v>
      </c>
      <c r="G1779" t="s">
        <v>35</v>
      </c>
      <c r="H1779" t="s">
        <v>35</v>
      </c>
      <c r="J1779" t="s">
        <v>2813</v>
      </c>
      <c r="K1779" t="s">
        <v>1092</v>
      </c>
      <c r="M1779">
        <v>0.5</v>
      </c>
      <c r="N1779">
        <v>45</v>
      </c>
      <c r="O1779" t="s">
        <v>52</v>
      </c>
      <c r="Q1779" t="s">
        <v>1230</v>
      </c>
      <c r="R1779" t="s">
        <v>2387</v>
      </c>
      <c r="S1779" t="s">
        <v>277</v>
      </c>
      <c r="T1779" t="s">
        <v>278</v>
      </c>
    </row>
    <row r="1780" spans="1:20" x14ac:dyDescent="0.25">
      <c r="A1780" t="s">
        <v>59</v>
      </c>
      <c r="B1780" t="s">
        <v>31</v>
      </c>
      <c r="C1780" t="s">
        <v>32</v>
      </c>
      <c r="D1780" t="s">
        <v>227</v>
      </c>
      <c r="F1780" t="s">
        <v>35</v>
      </c>
      <c r="G1780" t="s">
        <v>35</v>
      </c>
      <c r="H1780" t="s">
        <v>35</v>
      </c>
      <c r="J1780" t="s">
        <v>3024</v>
      </c>
      <c r="K1780" t="s">
        <v>1092</v>
      </c>
      <c r="M1780">
        <v>5.0000000000000001E-3</v>
      </c>
      <c r="N1780">
        <v>2256</v>
      </c>
      <c r="O1780" t="s">
        <v>575</v>
      </c>
      <c r="Q1780" t="s">
        <v>2354</v>
      </c>
      <c r="R1780" t="s">
        <v>2387</v>
      </c>
      <c r="S1780" t="s">
        <v>277</v>
      </c>
      <c r="T1780" t="s">
        <v>278</v>
      </c>
    </row>
    <row r="1781" spans="1:20" x14ac:dyDescent="0.25">
      <c r="A1781" t="s">
        <v>59</v>
      </c>
      <c r="B1781" t="s">
        <v>60</v>
      </c>
      <c r="C1781" t="s">
        <v>32</v>
      </c>
      <c r="D1781" t="s">
        <v>227</v>
      </c>
      <c r="F1781" t="s">
        <v>35</v>
      </c>
      <c r="G1781" t="s">
        <v>35</v>
      </c>
      <c r="H1781" t="s">
        <v>35</v>
      </c>
      <c r="J1781" t="s">
        <v>3024</v>
      </c>
      <c r="K1781" t="s">
        <v>1092</v>
      </c>
      <c r="M1781">
        <v>0.83299999999999996</v>
      </c>
      <c r="N1781">
        <v>1970</v>
      </c>
      <c r="O1781" t="s">
        <v>575</v>
      </c>
      <c r="Q1781" t="s">
        <v>3025</v>
      </c>
      <c r="R1781" t="s">
        <v>2387</v>
      </c>
      <c r="S1781" t="s">
        <v>277</v>
      </c>
      <c r="T1781" t="s">
        <v>278</v>
      </c>
    </row>
    <row r="1782" spans="1:20" x14ac:dyDescent="0.25">
      <c r="A1782" t="s">
        <v>59</v>
      </c>
      <c r="B1782" t="s">
        <v>31</v>
      </c>
      <c r="C1782" t="s">
        <v>32</v>
      </c>
      <c r="D1782" t="s">
        <v>227</v>
      </c>
      <c r="E1782" t="s">
        <v>276</v>
      </c>
      <c r="F1782" t="s">
        <v>35</v>
      </c>
      <c r="G1782" t="s">
        <v>35</v>
      </c>
      <c r="H1782" t="s">
        <v>35</v>
      </c>
      <c r="J1782" t="s">
        <v>2822</v>
      </c>
      <c r="K1782" t="s">
        <v>1092</v>
      </c>
      <c r="M1782">
        <v>1.26</v>
      </c>
      <c r="N1782">
        <v>79</v>
      </c>
      <c r="O1782" t="s">
        <v>61</v>
      </c>
      <c r="Q1782" t="s">
        <v>1076</v>
      </c>
      <c r="R1782" t="s">
        <v>2387</v>
      </c>
      <c r="S1782" t="s">
        <v>277</v>
      </c>
      <c r="T1782" t="s">
        <v>278</v>
      </c>
    </row>
    <row r="1783" spans="1:20" x14ac:dyDescent="0.25">
      <c r="A1783" t="s">
        <v>59</v>
      </c>
      <c r="B1783" t="s">
        <v>60</v>
      </c>
      <c r="C1783" t="s">
        <v>32</v>
      </c>
      <c r="D1783" t="s">
        <v>227</v>
      </c>
      <c r="E1783" t="s">
        <v>2871</v>
      </c>
      <c r="F1783" t="s">
        <v>35</v>
      </c>
      <c r="G1783" t="s">
        <v>35</v>
      </c>
      <c r="H1783" t="s">
        <v>35</v>
      </c>
      <c r="J1783" t="s">
        <v>2883</v>
      </c>
      <c r="K1783" t="s">
        <v>1092</v>
      </c>
      <c r="M1783">
        <v>0.35</v>
      </c>
      <c r="N1783">
        <v>26</v>
      </c>
      <c r="O1783" t="s">
        <v>46</v>
      </c>
      <c r="Q1783" t="s">
        <v>137</v>
      </c>
      <c r="R1783" t="s">
        <v>2387</v>
      </c>
      <c r="S1783" t="s">
        <v>277</v>
      </c>
      <c r="T1783" t="s">
        <v>278</v>
      </c>
    </row>
    <row r="1784" spans="1:20" x14ac:dyDescent="0.25">
      <c r="A1784" t="s">
        <v>44</v>
      </c>
      <c r="B1784" t="s">
        <v>51</v>
      </c>
      <c r="C1784" t="s">
        <v>32</v>
      </c>
      <c r="D1784" t="s">
        <v>227</v>
      </c>
      <c r="E1784" t="s">
        <v>2492</v>
      </c>
      <c r="F1784" t="s">
        <v>35</v>
      </c>
      <c r="G1784" t="s">
        <v>35</v>
      </c>
      <c r="H1784" t="s">
        <v>35</v>
      </c>
      <c r="J1784" t="s">
        <v>2495</v>
      </c>
      <c r="K1784" t="s">
        <v>1092</v>
      </c>
      <c r="M1784">
        <v>3.75</v>
      </c>
      <c r="N1784">
        <v>36</v>
      </c>
      <c r="O1784" t="s">
        <v>52</v>
      </c>
      <c r="Q1784" t="s">
        <v>892</v>
      </c>
      <c r="R1784" t="s">
        <v>2387</v>
      </c>
      <c r="S1784" t="s">
        <v>277</v>
      </c>
      <c r="T1784" t="s">
        <v>278</v>
      </c>
    </row>
    <row r="1785" spans="1:20" x14ac:dyDescent="0.25">
      <c r="A1785" t="s">
        <v>59</v>
      </c>
      <c r="B1785" t="s">
        <v>60</v>
      </c>
      <c r="C1785" t="s">
        <v>32</v>
      </c>
      <c r="D1785" t="s">
        <v>227</v>
      </c>
      <c r="E1785" t="s">
        <v>2675</v>
      </c>
      <c r="F1785" t="s">
        <v>35</v>
      </c>
      <c r="G1785" t="s">
        <v>35</v>
      </c>
      <c r="H1785" t="s">
        <v>35</v>
      </c>
      <c r="J1785" t="s">
        <v>2691</v>
      </c>
      <c r="K1785" t="s">
        <v>1092</v>
      </c>
      <c r="M1785">
        <v>0.5</v>
      </c>
      <c r="N1785">
        <v>118</v>
      </c>
      <c r="O1785" t="s">
        <v>106</v>
      </c>
      <c r="Q1785" t="s">
        <v>1954</v>
      </c>
      <c r="R1785" t="s">
        <v>2387</v>
      </c>
      <c r="S1785" t="s">
        <v>277</v>
      </c>
      <c r="T1785" t="s">
        <v>278</v>
      </c>
    </row>
    <row r="1786" spans="1:20" x14ac:dyDescent="0.25">
      <c r="A1786" t="s">
        <v>59</v>
      </c>
      <c r="B1786" t="s">
        <v>31</v>
      </c>
      <c r="C1786" t="s">
        <v>32</v>
      </c>
      <c r="D1786" t="s">
        <v>227</v>
      </c>
      <c r="F1786" t="s">
        <v>35</v>
      </c>
      <c r="G1786" t="s">
        <v>35</v>
      </c>
      <c r="H1786" t="s">
        <v>35</v>
      </c>
      <c r="J1786" t="s">
        <v>1491</v>
      </c>
      <c r="K1786" t="s">
        <v>1092</v>
      </c>
      <c r="M1786">
        <v>1.64</v>
      </c>
      <c r="N1786">
        <v>2634</v>
      </c>
      <c r="O1786" t="s">
        <v>575</v>
      </c>
      <c r="Q1786" t="s">
        <v>3094</v>
      </c>
      <c r="R1786" t="s">
        <v>2387</v>
      </c>
      <c r="S1786" t="s">
        <v>277</v>
      </c>
      <c r="T1786" t="s">
        <v>278</v>
      </c>
    </row>
    <row r="1787" spans="1:20" x14ac:dyDescent="0.25">
      <c r="A1787" t="s">
        <v>59</v>
      </c>
      <c r="B1787" t="s">
        <v>31</v>
      </c>
      <c r="C1787" t="s">
        <v>32</v>
      </c>
      <c r="D1787" t="s">
        <v>227</v>
      </c>
      <c r="E1787" t="s">
        <v>2785</v>
      </c>
      <c r="F1787" t="s">
        <v>35</v>
      </c>
      <c r="G1787" t="s">
        <v>35</v>
      </c>
      <c r="H1787" t="s">
        <v>35</v>
      </c>
      <c r="J1787" t="s">
        <v>2787</v>
      </c>
      <c r="K1787" t="s">
        <v>1092</v>
      </c>
      <c r="M1787">
        <v>2.16</v>
      </c>
      <c r="N1787">
        <v>65</v>
      </c>
      <c r="O1787" t="s">
        <v>61</v>
      </c>
      <c r="Q1787" t="s">
        <v>63</v>
      </c>
      <c r="R1787" t="s">
        <v>2387</v>
      </c>
      <c r="S1787" t="s">
        <v>277</v>
      </c>
      <c r="T1787" t="s">
        <v>278</v>
      </c>
    </row>
    <row r="1788" spans="1:20" x14ac:dyDescent="0.25">
      <c r="A1788" t="s">
        <v>44</v>
      </c>
      <c r="B1788" t="s">
        <v>51</v>
      </c>
      <c r="C1788" t="s">
        <v>32</v>
      </c>
      <c r="D1788" t="s">
        <v>227</v>
      </c>
      <c r="E1788" t="s">
        <v>2785</v>
      </c>
      <c r="F1788" t="s">
        <v>35</v>
      </c>
      <c r="G1788" t="s">
        <v>35</v>
      </c>
      <c r="H1788" t="s">
        <v>35</v>
      </c>
      <c r="J1788" t="s">
        <v>2787</v>
      </c>
      <c r="K1788" t="s">
        <v>1092</v>
      </c>
      <c r="M1788">
        <v>0.95</v>
      </c>
      <c r="N1788">
        <v>56</v>
      </c>
      <c r="O1788" t="s">
        <v>52</v>
      </c>
      <c r="Q1788" t="s">
        <v>423</v>
      </c>
      <c r="R1788" t="s">
        <v>2387</v>
      </c>
      <c r="S1788" t="s">
        <v>277</v>
      </c>
      <c r="T1788" t="s">
        <v>278</v>
      </c>
    </row>
    <row r="1789" spans="1:20" x14ac:dyDescent="0.25">
      <c r="A1789" t="s">
        <v>44</v>
      </c>
      <c r="B1789" t="s">
        <v>3</v>
      </c>
      <c r="C1789" t="s">
        <v>32</v>
      </c>
      <c r="D1789" t="s">
        <v>227</v>
      </c>
      <c r="E1789" t="s">
        <v>276</v>
      </c>
      <c r="F1789" t="s">
        <v>35</v>
      </c>
      <c r="G1789" t="s">
        <v>35</v>
      </c>
      <c r="H1789" t="s">
        <v>35</v>
      </c>
      <c r="J1789" t="s">
        <v>2815</v>
      </c>
      <c r="K1789" t="s">
        <v>1092</v>
      </c>
      <c r="M1789">
        <v>0.25</v>
      </c>
      <c r="N1789">
        <v>59</v>
      </c>
      <c r="O1789" t="s">
        <v>52</v>
      </c>
      <c r="Q1789" t="s">
        <v>203</v>
      </c>
      <c r="R1789" t="s">
        <v>2387</v>
      </c>
      <c r="S1789" t="s">
        <v>277</v>
      </c>
      <c r="T1789" t="s">
        <v>278</v>
      </c>
    </row>
    <row r="1790" spans="1:20" x14ac:dyDescent="0.25">
      <c r="A1790" t="s">
        <v>30</v>
      </c>
      <c r="B1790" t="s">
        <v>31</v>
      </c>
      <c r="C1790" t="s">
        <v>32</v>
      </c>
      <c r="D1790" t="s">
        <v>227</v>
      </c>
      <c r="E1790" t="s">
        <v>2794</v>
      </c>
      <c r="F1790" t="s">
        <v>35</v>
      </c>
      <c r="G1790" t="s">
        <v>35</v>
      </c>
      <c r="H1790" t="s">
        <v>35</v>
      </c>
      <c r="J1790" t="s">
        <v>2797</v>
      </c>
      <c r="K1790" t="s">
        <v>1092</v>
      </c>
      <c r="M1790">
        <v>1.2150000000000001</v>
      </c>
      <c r="N1790">
        <v>65</v>
      </c>
      <c r="O1790" t="s">
        <v>61</v>
      </c>
      <c r="Q1790" t="s">
        <v>63</v>
      </c>
      <c r="R1790" t="s">
        <v>2387</v>
      </c>
      <c r="S1790" t="s">
        <v>277</v>
      </c>
      <c r="T1790" t="s">
        <v>278</v>
      </c>
    </row>
    <row r="1791" spans="1:20" x14ac:dyDescent="0.25">
      <c r="A1791" t="s">
        <v>30</v>
      </c>
      <c r="B1791" t="s">
        <v>31</v>
      </c>
      <c r="C1791" t="s">
        <v>32</v>
      </c>
      <c r="D1791" t="s">
        <v>227</v>
      </c>
      <c r="E1791" t="s">
        <v>2785</v>
      </c>
      <c r="F1791" t="s">
        <v>35</v>
      </c>
      <c r="G1791" t="s">
        <v>35</v>
      </c>
      <c r="H1791" t="s">
        <v>35</v>
      </c>
      <c r="J1791" t="s">
        <v>2786</v>
      </c>
      <c r="K1791" t="s">
        <v>1092</v>
      </c>
      <c r="M1791">
        <v>4.0049999999999999</v>
      </c>
      <c r="N1791">
        <v>65</v>
      </c>
      <c r="O1791" t="s">
        <v>61</v>
      </c>
      <c r="Q1791" t="s">
        <v>63</v>
      </c>
      <c r="R1791" t="s">
        <v>2387</v>
      </c>
      <c r="S1791" t="s">
        <v>277</v>
      </c>
      <c r="T1791" t="s">
        <v>278</v>
      </c>
    </row>
    <row r="1792" spans="1:20" x14ac:dyDescent="0.25">
      <c r="A1792" t="s">
        <v>44</v>
      </c>
      <c r="B1792" t="s">
        <v>51</v>
      </c>
      <c r="C1792" t="s">
        <v>32</v>
      </c>
      <c r="D1792" t="s">
        <v>227</v>
      </c>
      <c r="E1792" t="s">
        <v>2785</v>
      </c>
      <c r="F1792" t="s">
        <v>35</v>
      </c>
      <c r="G1792" t="s">
        <v>35</v>
      </c>
      <c r="H1792" t="s">
        <v>35</v>
      </c>
      <c r="J1792" t="s">
        <v>2786</v>
      </c>
      <c r="K1792" t="s">
        <v>1092</v>
      </c>
      <c r="M1792">
        <v>1</v>
      </c>
      <c r="N1792">
        <v>56</v>
      </c>
      <c r="O1792" t="s">
        <v>52</v>
      </c>
      <c r="Q1792" t="s">
        <v>423</v>
      </c>
      <c r="R1792" t="s">
        <v>2387</v>
      </c>
      <c r="S1792" t="s">
        <v>277</v>
      </c>
      <c r="T1792" t="s">
        <v>278</v>
      </c>
    </row>
    <row r="1793" spans="1:20" x14ac:dyDescent="0.25">
      <c r="A1793" t="s">
        <v>59</v>
      </c>
      <c r="B1793" t="s">
        <v>60</v>
      </c>
      <c r="C1793" t="s">
        <v>32</v>
      </c>
      <c r="D1793" t="s">
        <v>227</v>
      </c>
      <c r="E1793" t="s">
        <v>276</v>
      </c>
      <c r="F1793" t="s">
        <v>35</v>
      </c>
      <c r="G1793" t="s">
        <v>35</v>
      </c>
      <c r="H1793" t="s">
        <v>35</v>
      </c>
      <c r="J1793" t="s">
        <v>2792</v>
      </c>
      <c r="K1793" t="s">
        <v>1092</v>
      </c>
      <c r="M1793">
        <v>0.2</v>
      </c>
      <c r="N1793">
        <v>513</v>
      </c>
      <c r="O1793" t="s">
        <v>294</v>
      </c>
      <c r="Q1793" t="s">
        <v>2816</v>
      </c>
      <c r="R1793" t="s">
        <v>2387</v>
      </c>
      <c r="S1793" t="s">
        <v>277</v>
      </c>
      <c r="T1793" t="s">
        <v>278</v>
      </c>
    </row>
    <row r="1794" spans="1:20" x14ac:dyDescent="0.25">
      <c r="A1794" t="s">
        <v>59</v>
      </c>
      <c r="B1794" t="s">
        <v>31</v>
      </c>
      <c r="C1794" t="s">
        <v>32</v>
      </c>
      <c r="D1794" t="s">
        <v>227</v>
      </c>
      <c r="F1794" t="s">
        <v>35</v>
      </c>
      <c r="G1794" t="s">
        <v>35</v>
      </c>
      <c r="H1794" t="s">
        <v>35</v>
      </c>
      <c r="J1794" t="s">
        <v>3038</v>
      </c>
      <c r="K1794" t="s">
        <v>1092</v>
      </c>
      <c r="M1794">
        <v>0.41499999999999998</v>
      </c>
      <c r="N1794">
        <v>2401</v>
      </c>
      <c r="O1794" t="s">
        <v>575</v>
      </c>
      <c r="Q1794" t="s">
        <v>3039</v>
      </c>
      <c r="R1794" t="s">
        <v>2387</v>
      </c>
      <c r="S1794" t="s">
        <v>277</v>
      </c>
      <c r="T1794" t="s">
        <v>278</v>
      </c>
    </row>
    <row r="1795" spans="1:20" x14ac:dyDescent="0.25">
      <c r="A1795" t="s">
        <v>59</v>
      </c>
      <c r="B1795" t="s">
        <v>60</v>
      </c>
      <c r="C1795" t="s">
        <v>32</v>
      </c>
      <c r="D1795" t="s">
        <v>227</v>
      </c>
      <c r="E1795" t="s">
        <v>2575</v>
      </c>
      <c r="F1795" t="s">
        <v>35</v>
      </c>
      <c r="G1795" t="s">
        <v>35</v>
      </c>
      <c r="H1795" t="s">
        <v>35</v>
      </c>
      <c r="J1795" t="s">
        <v>2595</v>
      </c>
      <c r="K1795" t="s">
        <v>1092</v>
      </c>
      <c r="M1795">
        <v>0.5</v>
      </c>
      <c r="N1795">
        <v>236</v>
      </c>
      <c r="O1795" t="s">
        <v>5</v>
      </c>
      <c r="Q1795" t="s">
        <v>1151</v>
      </c>
      <c r="R1795" t="s">
        <v>2387</v>
      </c>
      <c r="S1795" t="s">
        <v>277</v>
      </c>
      <c r="T1795" t="s">
        <v>278</v>
      </c>
    </row>
    <row r="1796" spans="1:20" x14ac:dyDescent="0.25">
      <c r="A1796" t="s">
        <v>59</v>
      </c>
      <c r="B1796" t="s">
        <v>31</v>
      </c>
      <c r="C1796" t="s">
        <v>32</v>
      </c>
      <c r="D1796" t="s">
        <v>227</v>
      </c>
      <c r="E1796" t="s">
        <v>276</v>
      </c>
      <c r="F1796" t="s">
        <v>35</v>
      </c>
      <c r="G1796" t="s">
        <v>35</v>
      </c>
      <c r="H1796" t="s">
        <v>35</v>
      </c>
      <c r="J1796" t="s">
        <v>2814</v>
      </c>
      <c r="K1796" t="s">
        <v>1092</v>
      </c>
      <c r="M1796">
        <v>0.495</v>
      </c>
      <c r="N1796">
        <v>265</v>
      </c>
      <c r="O1796" t="s">
        <v>5</v>
      </c>
      <c r="Q1796" t="s">
        <v>1264</v>
      </c>
      <c r="R1796" t="s">
        <v>2387</v>
      </c>
      <c r="S1796" t="s">
        <v>277</v>
      </c>
      <c r="T1796" t="s">
        <v>278</v>
      </c>
    </row>
    <row r="1797" spans="1:20" x14ac:dyDescent="0.25">
      <c r="A1797" t="s">
        <v>44</v>
      </c>
      <c r="B1797" t="s">
        <v>3</v>
      </c>
      <c r="C1797" t="s">
        <v>32</v>
      </c>
      <c r="D1797" t="s">
        <v>227</v>
      </c>
      <c r="E1797" t="s">
        <v>251</v>
      </c>
      <c r="F1797" t="s">
        <v>35</v>
      </c>
      <c r="G1797" t="s">
        <v>35</v>
      </c>
      <c r="H1797" t="s">
        <v>35</v>
      </c>
      <c r="J1797" t="s">
        <v>2742</v>
      </c>
      <c r="K1797" t="s">
        <v>1092</v>
      </c>
      <c r="M1797">
        <v>0.25</v>
      </c>
      <c r="N1797">
        <v>49</v>
      </c>
      <c r="O1797" t="s">
        <v>52</v>
      </c>
      <c r="Q1797" t="s">
        <v>453</v>
      </c>
      <c r="R1797" t="s">
        <v>2387</v>
      </c>
      <c r="S1797" t="s">
        <v>277</v>
      </c>
      <c r="T1797" t="s">
        <v>278</v>
      </c>
    </row>
    <row r="1798" spans="1:20" x14ac:dyDescent="0.25">
      <c r="A1798" t="s">
        <v>59</v>
      </c>
      <c r="B1798" t="s">
        <v>31</v>
      </c>
      <c r="C1798" t="s">
        <v>32</v>
      </c>
      <c r="D1798" t="s">
        <v>227</v>
      </c>
      <c r="E1798" t="s">
        <v>276</v>
      </c>
      <c r="F1798" t="s">
        <v>35</v>
      </c>
      <c r="G1798" t="s">
        <v>35</v>
      </c>
      <c r="H1798" t="s">
        <v>35</v>
      </c>
      <c r="J1798" t="s">
        <v>2805</v>
      </c>
      <c r="K1798" t="s">
        <v>1092</v>
      </c>
      <c r="M1798">
        <v>1.665</v>
      </c>
      <c r="N1798">
        <v>62</v>
      </c>
      <c r="O1798" t="s">
        <v>61</v>
      </c>
      <c r="Q1798" t="s">
        <v>139</v>
      </c>
      <c r="R1798" t="s">
        <v>2387</v>
      </c>
      <c r="S1798" t="s">
        <v>277</v>
      </c>
      <c r="T1798" t="s">
        <v>278</v>
      </c>
    </row>
    <row r="1799" spans="1:20" x14ac:dyDescent="0.25">
      <c r="A1799" t="s">
        <v>30</v>
      </c>
      <c r="B1799" t="s">
        <v>31</v>
      </c>
      <c r="C1799" t="s">
        <v>32</v>
      </c>
      <c r="D1799" t="s">
        <v>227</v>
      </c>
      <c r="E1799" t="s">
        <v>2675</v>
      </c>
      <c r="F1799" t="s">
        <v>35</v>
      </c>
      <c r="G1799" t="s">
        <v>35</v>
      </c>
      <c r="H1799" t="s">
        <v>35</v>
      </c>
      <c r="J1799" t="s">
        <v>2681</v>
      </c>
      <c r="K1799" t="s">
        <v>1092</v>
      </c>
      <c r="M1799">
        <v>11.43</v>
      </c>
      <c r="N1799">
        <v>65</v>
      </c>
      <c r="O1799" t="s">
        <v>61</v>
      </c>
      <c r="Q1799" t="s">
        <v>63</v>
      </c>
      <c r="R1799" t="s">
        <v>2387</v>
      </c>
      <c r="S1799" t="s">
        <v>277</v>
      </c>
      <c r="T1799" t="s">
        <v>278</v>
      </c>
    </row>
    <row r="1800" spans="1:20" x14ac:dyDescent="0.25">
      <c r="A1800" t="s">
        <v>59</v>
      </c>
      <c r="B1800" t="s">
        <v>60</v>
      </c>
      <c r="C1800" t="s">
        <v>32</v>
      </c>
      <c r="D1800" t="s">
        <v>227</v>
      </c>
      <c r="E1800" t="s">
        <v>2871</v>
      </c>
      <c r="F1800" t="s">
        <v>35</v>
      </c>
      <c r="G1800" t="s">
        <v>35</v>
      </c>
      <c r="H1800" t="s">
        <v>35</v>
      </c>
      <c r="J1800" t="s">
        <v>2917</v>
      </c>
      <c r="K1800" t="s">
        <v>1092</v>
      </c>
      <c r="M1800">
        <v>0.05</v>
      </c>
      <c r="N1800">
        <v>133</v>
      </c>
      <c r="O1800" t="s">
        <v>38</v>
      </c>
      <c r="Q1800" t="s">
        <v>609</v>
      </c>
      <c r="R1800" t="s">
        <v>2387</v>
      </c>
      <c r="S1800" t="s">
        <v>277</v>
      </c>
      <c r="T1800" t="s">
        <v>278</v>
      </c>
    </row>
    <row r="1801" spans="1:20" x14ac:dyDescent="0.25">
      <c r="A1801" t="s">
        <v>30</v>
      </c>
      <c r="B1801" t="s">
        <v>31</v>
      </c>
      <c r="C1801" t="s">
        <v>32</v>
      </c>
      <c r="D1801" t="s">
        <v>227</v>
      </c>
      <c r="E1801" t="s">
        <v>2731</v>
      </c>
      <c r="F1801" t="s">
        <v>35</v>
      </c>
      <c r="G1801" t="s">
        <v>35</v>
      </c>
      <c r="H1801" t="s">
        <v>35</v>
      </c>
      <c r="J1801" t="s">
        <v>2735</v>
      </c>
      <c r="K1801" t="s">
        <v>1092</v>
      </c>
      <c r="M1801">
        <v>2.25</v>
      </c>
      <c r="N1801">
        <v>65</v>
      </c>
      <c r="O1801" t="s">
        <v>61</v>
      </c>
      <c r="Q1801" t="s">
        <v>63</v>
      </c>
      <c r="R1801" t="s">
        <v>2387</v>
      </c>
      <c r="S1801" t="s">
        <v>277</v>
      </c>
      <c r="T1801" t="s">
        <v>278</v>
      </c>
    </row>
    <row r="1802" spans="1:20" x14ac:dyDescent="0.25">
      <c r="A1802" t="s">
        <v>59</v>
      </c>
      <c r="B1802" t="s">
        <v>60</v>
      </c>
      <c r="C1802" t="s">
        <v>32</v>
      </c>
      <c r="D1802" t="s">
        <v>227</v>
      </c>
      <c r="E1802" t="s">
        <v>2731</v>
      </c>
      <c r="F1802" t="s">
        <v>35</v>
      </c>
      <c r="G1802" t="s">
        <v>35</v>
      </c>
      <c r="H1802" t="s">
        <v>35</v>
      </c>
      <c r="J1802" t="s">
        <v>2737</v>
      </c>
      <c r="K1802" t="s">
        <v>1092</v>
      </c>
      <c r="M1802">
        <v>0.25</v>
      </c>
      <c r="N1802">
        <v>50</v>
      </c>
      <c r="O1802" t="s">
        <v>52</v>
      </c>
      <c r="Q1802" t="s">
        <v>665</v>
      </c>
      <c r="R1802" t="s">
        <v>2387</v>
      </c>
      <c r="S1802" t="s">
        <v>277</v>
      </c>
      <c r="T1802" t="s">
        <v>278</v>
      </c>
    </row>
    <row r="1803" spans="1:20" x14ac:dyDescent="0.25">
      <c r="A1803" t="s">
        <v>59</v>
      </c>
      <c r="B1803" t="s">
        <v>60</v>
      </c>
      <c r="C1803" t="s">
        <v>32</v>
      </c>
      <c r="D1803" t="s">
        <v>227</v>
      </c>
      <c r="E1803" t="s">
        <v>2825</v>
      </c>
      <c r="F1803" t="s">
        <v>35</v>
      </c>
      <c r="G1803" t="s">
        <v>35</v>
      </c>
      <c r="H1803" t="s">
        <v>35</v>
      </c>
      <c r="J1803" t="s">
        <v>2845</v>
      </c>
      <c r="K1803" t="s">
        <v>1092</v>
      </c>
      <c r="M1803">
        <v>0.15</v>
      </c>
      <c r="N1803">
        <v>65</v>
      </c>
      <c r="O1803" t="s">
        <v>61</v>
      </c>
      <c r="Q1803" t="s">
        <v>63</v>
      </c>
      <c r="R1803" t="s">
        <v>2387</v>
      </c>
      <c r="S1803" t="s">
        <v>277</v>
      </c>
      <c r="T1803" t="s">
        <v>278</v>
      </c>
    </row>
    <row r="1804" spans="1:20" x14ac:dyDescent="0.25">
      <c r="A1804" t="s">
        <v>59</v>
      </c>
      <c r="B1804" t="s">
        <v>60</v>
      </c>
      <c r="C1804" t="s">
        <v>32</v>
      </c>
      <c r="D1804" t="s">
        <v>227</v>
      </c>
      <c r="E1804" t="s">
        <v>2652</v>
      </c>
      <c r="F1804" t="s">
        <v>35</v>
      </c>
      <c r="G1804" t="s">
        <v>35</v>
      </c>
      <c r="H1804" t="s">
        <v>35</v>
      </c>
      <c r="J1804" t="s">
        <v>2657</v>
      </c>
      <c r="K1804" t="s">
        <v>1092</v>
      </c>
      <c r="M1804">
        <v>2.2000000000000002</v>
      </c>
      <c r="N1804">
        <v>83</v>
      </c>
      <c r="O1804" t="s">
        <v>61</v>
      </c>
      <c r="Q1804" t="s">
        <v>897</v>
      </c>
      <c r="R1804" t="s">
        <v>2387</v>
      </c>
      <c r="S1804" t="s">
        <v>277</v>
      </c>
      <c r="T1804" t="s">
        <v>278</v>
      </c>
    </row>
    <row r="1805" spans="1:20" x14ac:dyDescent="0.25">
      <c r="A1805" t="s">
        <v>59</v>
      </c>
      <c r="B1805" t="s">
        <v>31</v>
      </c>
      <c r="C1805" t="s">
        <v>32</v>
      </c>
      <c r="D1805" t="s">
        <v>227</v>
      </c>
      <c r="E1805" t="s">
        <v>2492</v>
      </c>
      <c r="F1805" t="s">
        <v>35</v>
      </c>
      <c r="G1805" t="s">
        <v>35</v>
      </c>
      <c r="H1805" t="s">
        <v>35</v>
      </c>
      <c r="J1805" t="s">
        <v>2521</v>
      </c>
      <c r="K1805" t="s">
        <v>1092</v>
      </c>
      <c r="M1805">
        <v>0.18</v>
      </c>
      <c r="N1805">
        <v>254</v>
      </c>
      <c r="O1805" t="s">
        <v>5</v>
      </c>
      <c r="Q1805" t="s">
        <v>2522</v>
      </c>
      <c r="R1805" t="s">
        <v>2387</v>
      </c>
      <c r="S1805" t="s">
        <v>277</v>
      </c>
      <c r="T1805" t="s">
        <v>278</v>
      </c>
    </row>
    <row r="1806" spans="1:20" x14ac:dyDescent="0.25">
      <c r="A1806" t="s">
        <v>30</v>
      </c>
      <c r="B1806" t="s">
        <v>31</v>
      </c>
      <c r="C1806" t="s">
        <v>32</v>
      </c>
      <c r="D1806" t="s">
        <v>227</v>
      </c>
      <c r="E1806" t="s">
        <v>2675</v>
      </c>
      <c r="F1806" t="s">
        <v>35</v>
      </c>
      <c r="G1806" t="s">
        <v>35</v>
      </c>
      <c r="H1806" t="s">
        <v>35</v>
      </c>
      <c r="J1806" t="s">
        <v>2699</v>
      </c>
      <c r="K1806" t="s">
        <v>1092</v>
      </c>
      <c r="M1806">
        <v>0.495</v>
      </c>
      <c r="N1806">
        <v>237</v>
      </c>
      <c r="O1806" t="s">
        <v>5</v>
      </c>
      <c r="Q1806" t="s">
        <v>1242</v>
      </c>
      <c r="R1806" t="s">
        <v>2387</v>
      </c>
      <c r="S1806" t="s">
        <v>277</v>
      </c>
      <c r="T1806" t="s">
        <v>278</v>
      </c>
    </row>
    <row r="1807" spans="1:20" x14ac:dyDescent="0.25">
      <c r="A1807" t="s">
        <v>59</v>
      </c>
      <c r="B1807" t="s">
        <v>60</v>
      </c>
      <c r="C1807" t="s">
        <v>32</v>
      </c>
      <c r="D1807" t="s">
        <v>227</v>
      </c>
      <c r="E1807" t="s">
        <v>2675</v>
      </c>
      <c r="F1807" t="s">
        <v>35</v>
      </c>
      <c r="G1807" t="s">
        <v>35</v>
      </c>
      <c r="H1807" t="s">
        <v>35</v>
      </c>
      <c r="J1807" t="s">
        <v>2686</v>
      </c>
      <c r="K1807" t="s">
        <v>1092</v>
      </c>
      <c r="M1807">
        <v>0.5</v>
      </c>
      <c r="N1807">
        <v>22</v>
      </c>
      <c r="O1807" t="s">
        <v>46</v>
      </c>
      <c r="Q1807" t="s">
        <v>1645</v>
      </c>
      <c r="R1807" t="s">
        <v>2387</v>
      </c>
      <c r="S1807" t="s">
        <v>277</v>
      </c>
      <c r="T1807" t="s">
        <v>278</v>
      </c>
    </row>
    <row r="1808" spans="1:20" x14ac:dyDescent="0.25">
      <c r="A1808" t="s">
        <v>59</v>
      </c>
      <c r="B1808" t="s">
        <v>31</v>
      </c>
      <c r="C1808" t="s">
        <v>32</v>
      </c>
      <c r="D1808" t="s">
        <v>227</v>
      </c>
      <c r="E1808" t="s">
        <v>2385</v>
      </c>
      <c r="F1808" t="s">
        <v>35</v>
      </c>
      <c r="G1808" t="s">
        <v>35</v>
      </c>
      <c r="H1808" t="s">
        <v>35</v>
      </c>
      <c r="J1808" t="s">
        <v>2396</v>
      </c>
      <c r="K1808" t="s">
        <v>1092</v>
      </c>
      <c r="M1808">
        <v>1.8</v>
      </c>
      <c r="N1808">
        <v>1172</v>
      </c>
      <c r="O1808" t="s">
        <v>575</v>
      </c>
      <c r="Q1808" t="s">
        <v>2398</v>
      </c>
      <c r="R1808" t="s">
        <v>2387</v>
      </c>
      <c r="S1808" t="s">
        <v>277</v>
      </c>
      <c r="T1808" t="s">
        <v>278</v>
      </c>
    </row>
    <row r="1809" spans="1:20" x14ac:dyDescent="0.25">
      <c r="A1809" t="s">
        <v>59</v>
      </c>
      <c r="B1809" t="s">
        <v>60</v>
      </c>
      <c r="C1809" t="s">
        <v>32</v>
      </c>
      <c r="D1809" t="s">
        <v>227</v>
      </c>
      <c r="E1809" t="s">
        <v>2850</v>
      </c>
      <c r="F1809" t="s">
        <v>35</v>
      </c>
      <c r="G1809" t="s">
        <v>35</v>
      </c>
      <c r="H1809" t="s">
        <v>35</v>
      </c>
      <c r="J1809" t="s">
        <v>2866</v>
      </c>
      <c r="K1809" t="s">
        <v>1092</v>
      </c>
      <c r="M1809">
        <v>0.01</v>
      </c>
      <c r="N1809">
        <v>1495</v>
      </c>
      <c r="O1809" t="s">
        <v>575</v>
      </c>
      <c r="Q1809" t="s">
        <v>2867</v>
      </c>
      <c r="R1809" t="s">
        <v>2387</v>
      </c>
      <c r="S1809" t="s">
        <v>277</v>
      </c>
      <c r="T1809" t="s">
        <v>278</v>
      </c>
    </row>
    <row r="1810" spans="1:20" x14ac:dyDescent="0.25">
      <c r="A1810" t="s">
        <v>30</v>
      </c>
      <c r="B1810" t="s">
        <v>31</v>
      </c>
      <c r="C1810" t="s">
        <v>32</v>
      </c>
      <c r="D1810" t="s">
        <v>227</v>
      </c>
      <c r="E1810" t="s">
        <v>2385</v>
      </c>
      <c r="F1810" t="s">
        <v>35</v>
      </c>
      <c r="G1810" t="s">
        <v>35</v>
      </c>
      <c r="H1810" t="s">
        <v>35</v>
      </c>
      <c r="J1810" t="s">
        <v>2386</v>
      </c>
      <c r="K1810" t="s">
        <v>1092</v>
      </c>
      <c r="M1810">
        <v>2.0249999999999999</v>
      </c>
      <c r="N1810">
        <v>168</v>
      </c>
      <c r="O1810" t="s">
        <v>38</v>
      </c>
      <c r="Q1810" t="s">
        <v>1692</v>
      </c>
      <c r="R1810" t="s">
        <v>2387</v>
      </c>
      <c r="S1810" t="s">
        <v>277</v>
      </c>
      <c r="T1810" t="s">
        <v>278</v>
      </c>
    </row>
    <row r="1811" spans="1:20" x14ac:dyDescent="0.25">
      <c r="A1811" t="s">
        <v>59</v>
      </c>
      <c r="B1811" t="s">
        <v>60</v>
      </c>
      <c r="C1811" t="s">
        <v>32</v>
      </c>
      <c r="D1811" t="s">
        <v>227</v>
      </c>
      <c r="E1811" t="s">
        <v>2731</v>
      </c>
      <c r="F1811" t="s">
        <v>35</v>
      </c>
      <c r="G1811" t="s">
        <v>35</v>
      </c>
      <c r="H1811" t="s">
        <v>35</v>
      </c>
      <c r="J1811" t="s">
        <v>2741</v>
      </c>
      <c r="K1811" t="s">
        <v>1092</v>
      </c>
      <c r="M1811">
        <v>0.25</v>
      </c>
      <c r="N1811">
        <v>76</v>
      </c>
      <c r="O1811" t="s">
        <v>61</v>
      </c>
      <c r="Q1811" t="s">
        <v>455</v>
      </c>
      <c r="R1811" t="s">
        <v>2387</v>
      </c>
      <c r="S1811" t="s">
        <v>277</v>
      </c>
      <c r="T1811" t="s">
        <v>278</v>
      </c>
    </row>
    <row r="1812" spans="1:20" x14ac:dyDescent="0.25">
      <c r="A1812" t="s">
        <v>30</v>
      </c>
      <c r="B1812" t="s">
        <v>31</v>
      </c>
      <c r="C1812" t="s">
        <v>32</v>
      </c>
      <c r="D1812" t="s">
        <v>227</v>
      </c>
      <c r="E1812" t="s">
        <v>2731</v>
      </c>
      <c r="F1812" t="s">
        <v>35</v>
      </c>
      <c r="G1812" t="s">
        <v>35</v>
      </c>
      <c r="H1812" t="s">
        <v>35</v>
      </c>
      <c r="J1812" t="s">
        <v>2740</v>
      </c>
      <c r="K1812" t="s">
        <v>1092</v>
      </c>
      <c r="M1812">
        <v>0.63</v>
      </c>
      <c r="N1812">
        <v>65</v>
      </c>
      <c r="O1812" t="s">
        <v>61</v>
      </c>
      <c r="Q1812" t="s">
        <v>63</v>
      </c>
      <c r="R1812" t="s">
        <v>2387</v>
      </c>
      <c r="S1812" t="s">
        <v>277</v>
      </c>
      <c r="T1812" t="s">
        <v>278</v>
      </c>
    </row>
    <row r="1813" spans="1:20" x14ac:dyDescent="0.25">
      <c r="A1813" t="s">
        <v>59</v>
      </c>
      <c r="B1813" t="s">
        <v>60</v>
      </c>
      <c r="C1813" t="s">
        <v>32</v>
      </c>
      <c r="D1813" t="s">
        <v>227</v>
      </c>
      <c r="E1813" t="s">
        <v>2675</v>
      </c>
      <c r="F1813" t="s">
        <v>35</v>
      </c>
      <c r="G1813" t="s">
        <v>35</v>
      </c>
      <c r="H1813" t="s">
        <v>35</v>
      </c>
      <c r="J1813" t="s">
        <v>2711</v>
      </c>
      <c r="K1813" t="s">
        <v>1092</v>
      </c>
      <c r="M1813">
        <v>1.5</v>
      </c>
      <c r="N1813">
        <v>126</v>
      </c>
      <c r="O1813" t="s">
        <v>38</v>
      </c>
      <c r="Q1813" t="s">
        <v>68</v>
      </c>
      <c r="R1813" t="s">
        <v>2387</v>
      </c>
      <c r="S1813" t="s">
        <v>277</v>
      </c>
      <c r="T1813" t="s">
        <v>278</v>
      </c>
    </row>
    <row r="1814" spans="1:20" x14ac:dyDescent="0.25">
      <c r="A1814" t="s">
        <v>44</v>
      </c>
      <c r="B1814" t="s">
        <v>3</v>
      </c>
      <c r="C1814" t="s">
        <v>32</v>
      </c>
      <c r="D1814" t="s">
        <v>227</v>
      </c>
      <c r="E1814" t="s">
        <v>2850</v>
      </c>
      <c r="F1814" t="s">
        <v>35</v>
      </c>
      <c r="G1814" t="s">
        <v>35</v>
      </c>
      <c r="H1814" t="s">
        <v>35</v>
      </c>
      <c r="J1814" t="s">
        <v>2711</v>
      </c>
      <c r="K1814" t="s">
        <v>1092</v>
      </c>
      <c r="M1814">
        <v>0.5</v>
      </c>
      <c r="N1814">
        <v>54</v>
      </c>
      <c r="O1814" t="s">
        <v>52</v>
      </c>
      <c r="Q1814" t="s">
        <v>671</v>
      </c>
      <c r="R1814" t="s">
        <v>2387</v>
      </c>
      <c r="S1814" t="s">
        <v>277</v>
      </c>
      <c r="T1814" t="s">
        <v>278</v>
      </c>
    </row>
    <row r="1815" spans="1:20" x14ac:dyDescent="0.25">
      <c r="A1815" t="s">
        <v>59</v>
      </c>
      <c r="B1815" t="s">
        <v>31</v>
      </c>
      <c r="C1815" t="s">
        <v>32</v>
      </c>
      <c r="D1815" t="s">
        <v>227</v>
      </c>
      <c r="E1815" t="s">
        <v>2825</v>
      </c>
      <c r="F1815" t="s">
        <v>35</v>
      </c>
      <c r="G1815" t="s">
        <v>35</v>
      </c>
      <c r="H1815" t="s">
        <v>35</v>
      </c>
      <c r="J1815" t="s">
        <v>2846</v>
      </c>
      <c r="K1815" t="s">
        <v>1092</v>
      </c>
      <c r="M1815">
        <v>2.97</v>
      </c>
      <c r="N1815">
        <v>65</v>
      </c>
      <c r="O1815" t="s">
        <v>61</v>
      </c>
      <c r="Q1815" t="s">
        <v>63</v>
      </c>
      <c r="R1815" t="s">
        <v>2387</v>
      </c>
      <c r="S1815" t="s">
        <v>277</v>
      </c>
      <c r="T1815" t="s">
        <v>278</v>
      </c>
    </row>
    <row r="1816" spans="1:20" x14ac:dyDescent="0.25">
      <c r="A1816" t="s">
        <v>59</v>
      </c>
      <c r="B1816" t="s">
        <v>31</v>
      </c>
      <c r="C1816" t="s">
        <v>32</v>
      </c>
      <c r="D1816" t="s">
        <v>227</v>
      </c>
      <c r="E1816" t="s">
        <v>2850</v>
      </c>
      <c r="F1816" t="s">
        <v>35</v>
      </c>
      <c r="G1816" t="s">
        <v>35</v>
      </c>
      <c r="H1816" t="s">
        <v>35</v>
      </c>
      <c r="J1816" t="s">
        <v>2869</v>
      </c>
      <c r="K1816" t="s">
        <v>1092</v>
      </c>
      <c r="M1816">
        <v>0.27</v>
      </c>
      <c r="N1816">
        <v>558</v>
      </c>
      <c r="O1816" t="s">
        <v>575</v>
      </c>
      <c r="Q1816" t="s">
        <v>2870</v>
      </c>
      <c r="R1816" t="s">
        <v>2387</v>
      </c>
      <c r="S1816" t="s">
        <v>277</v>
      </c>
      <c r="T1816" t="s">
        <v>278</v>
      </c>
    </row>
    <row r="1817" spans="1:20" x14ac:dyDescent="0.25">
      <c r="A1817" t="s">
        <v>30</v>
      </c>
      <c r="B1817" t="s">
        <v>31</v>
      </c>
      <c r="C1817" t="s">
        <v>32</v>
      </c>
      <c r="D1817" t="s">
        <v>227</v>
      </c>
      <c r="E1817" t="s">
        <v>2850</v>
      </c>
      <c r="F1817" t="s">
        <v>35</v>
      </c>
      <c r="G1817" t="s">
        <v>35</v>
      </c>
      <c r="H1817" t="s">
        <v>35</v>
      </c>
      <c r="J1817" t="s">
        <v>2869</v>
      </c>
      <c r="K1817" t="s">
        <v>1092</v>
      </c>
      <c r="M1817">
        <v>0.45</v>
      </c>
      <c r="N1817">
        <v>495</v>
      </c>
      <c r="O1817" t="s">
        <v>294</v>
      </c>
      <c r="Q1817" t="s">
        <v>1181</v>
      </c>
      <c r="R1817" t="s">
        <v>2387</v>
      </c>
      <c r="S1817" t="s">
        <v>277</v>
      </c>
      <c r="T1817" t="s">
        <v>278</v>
      </c>
    </row>
    <row r="1818" spans="1:20" x14ac:dyDescent="0.25">
      <c r="A1818" t="s">
        <v>59</v>
      </c>
      <c r="B1818" t="s">
        <v>31</v>
      </c>
      <c r="C1818" t="s">
        <v>32</v>
      </c>
      <c r="D1818" t="s">
        <v>227</v>
      </c>
      <c r="E1818" t="s">
        <v>2794</v>
      </c>
      <c r="F1818" t="s">
        <v>35</v>
      </c>
      <c r="G1818" t="s">
        <v>35</v>
      </c>
      <c r="H1818" t="s">
        <v>35</v>
      </c>
      <c r="J1818" t="s">
        <v>2795</v>
      </c>
      <c r="K1818" t="s">
        <v>1092</v>
      </c>
      <c r="M1818">
        <v>5.31</v>
      </c>
      <c r="N1818">
        <v>74</v>
      </c>
      <c r="O1818" t="s">
        <v>61</v>
      </c>
      <c r="Q1818" t="s">
        <v>527</v>
      </c>
      <c r="R1818" t="s">
        <v>2387</v>
      </c>
      <c r="S1818" t="s">
        <v>277</v>
      </c>
      <c r="T1818" t="s">
        <v>278</v>
      </c>
    </row>
    <row r="1819" spans="1:20" x14ac:dyDescent="0.25">
      <c r="A1819" t="s">
        <v>30</v>
      </c>
      <c r="B1819" t="s">
        <v>31</v>
      </c>
      <c r="C1819" t="s">
        <v>32</v>
      </c>
      <c r="D1819" t="s">
        <v>227</v>
      </c>
      <c r="E1819" t="s">
        <v>2794</v>
      </c>
      <c r="F1819" t="s">
        <v>35</v>
      </c>
      <c r="G1819" t="s">
        <v>35</v>
      </c>
      <c r="H1819" t="s">
        <v>35</v>
      </c>
      <c r="J1819" t="s">
        <v>2795</v>
      </c>
      <c r="K1819" t="s">
        <v>1092</v>
      </c>
      <c r="M1819">
        <v>4.5</v>
      </c>
      <c r="N1819">
        <v>65</v>
      </c>
      <c r="O1819" t="s">
        <v>61</v>
      </c>
      <c r="Q1819" t="s">
        <v>63</v>
      </c>
      <c r="R1819" t="s">
        <v>2387</v>
      </c>
      <c r="S1819" t="s">
        <v>277</v>
      </c>
      <c r="T1819" t="s">
        <v>278</v>
      </c>
    </row>
    <row r="1820" spans="1:20" x14ac:dyDescent="0.25">
      <c r="A1820" t="s">
        <v>30</v>
      </c>
      <c r="B1820" t="s">
        <v>31</v>
      </c>
      <c r="C1820" t="s">
        <v>32</v>
      </c>
      <c r="D1820" t="s">
        <v>227</v>
      </c>
      <c r="E1820" t="s">
        <v>2652</v>
      </c>
      <c r="F1820" t="s">
        <v>35</v>
      </c>
      <c r="G1820" t="s">
        <v>35</v>
      </c>
      <c r="H1820" t="s">
        <v>35</v>
      </c>
      <c r="J1820" t="s">
        <v>2661</v>
      </c>
      <c r="K1820" t="s">
        <v>1092</v>
      </c>
      <c r="M1820">
        <v>2.25</v>
      </c>
      <c r="N1820">
        <v>1564</v>
      </c>
      <c r="O1820" t="s">
        <v>575</v>
      </c>
      <c r="Q1820" t="s">
        <v>2672</v>
      </c>
      <c r="R1820" t="s">
        <v>2387</v>
      </c>
      <c r="S1820" t="s">
        <v>277</v>
      </c>
      <c r="T1820" t="s">
        <v>278</v>
      </c>
    </row>
    <row r="1821" spans="1:20" x14ac:dyDescent="0.25">
      <c r="A1821" t="s">
        <v>59</v>
      </c>
      <c r="B1821" t="s">
        <v>60</v>
      </c>
      <c r="C1821" t="s">
        <v>32</v>
      </c>
      <c r="D1821" t="s">
        <v>227</v>
      </c>
      <c r="E1821" t="s">
        <v>2652</v>
      </c>
      <c r="F1821" t="s">
        <v>35</v>
      </c>
      <c r="G1821" t="s">
        <v>35</v>
      </c>
      <c r="H1821" t="s">
        <v>35</v>
      </c>
      <c r="J1821" t="s">
        <v>2661</v>
      </c>
      <c r="K1821" t="s">
        <v>1092</v>
      </c>
      <c r="M1821">
        <v>1.5</v>
      </c>
      <c r="N1821">
        <v>1608</v>
      </c>
      <c r="O1821" t="s">
        <v>575</v>
      </c>
      <c r="Q1821" t="s">
        <v>2674</v>
      </c>
      <c r="R1821" t="s">
        <v>2387</v>
      </c>
      <c r="S1821" t="s">
        <v>277</v>
      </c>
      <c r="T1821" t="s">
        <v>278</v>
      </c>
    </row>
    <row r="1822" spans="1:20" x14ac:dyDescent="0.25">
      <c r="A1822" t="s">
        <v>44</v>
      </c>
      <c r="B1822" t="s">
        <v>3</v>
      </c>
      <c r="C1822" t="s">
        <v>32</v>
      </c>
      <c r="D1822" t="s">
        <v>227</v>
      </c>
      <c r="E1822" t="s">
        <v>2825</v>
      </c>
      <c r="F1822" t="s">
        <v>35</v>
      </c>
      <c r="G1822" t="s">
        <v>35</v>
      </c>
      <c r="H1822" t="s">
        <v>35</v>
      </c>
      <c r="J1822" t="s">
        <v>2843</v>
      </c>
      <c r="K1822" t="s">
        <v>1092</v>
      </c>
      <c r="M1822">
        <v>1</v>
      </c>
      <c r="N1822">
        <v>581</v>
      </c>
      <c r="O1822" t="s">
        <v>575</v>
      </c>
      <c r="Q1822" t="s">
        <v>2636</v>
      </c>
      <c r="R1822" t="s">
        <v>2387</v>
      </c>
      <c r="S1822" t="s">
        <v>277</v>
      </c>
      <c r="T1822" t="s">
        <v>278</v>
      </c>
    </row>
    <row r="1823" spans="1:20" x14ac:dyDescent="0.25">
      <c r="A1823" t="s">
        <v>30</v>
      </c>
      <c r="B1823" t="s">
        <v>31</v>
      </c>
      <c r="C1823" t="s">
        <v>32</v>
      </c>
      <c r="D1823" t="s">
        <v>227</v>
      </c>
      <c r="E1823" t="s">
        <v>2825</v>
      </c>
      <c r="F1823" t="s">
        <v>35</v>
      </c>
      <c r="G1823" t="s">
        <v>35</v>
      </c>
      <c r="H1823" t="s">
        <v>35</v>
      </c>
      <c r="J1823" t="s">
        <v>2843</v>
      </c>
      <c r="K1823" t="s">
        <v>1092</v>
      </c>
      <c r="M1823">
        <v>5.3999999999999999E-2</v>
      </c>
      <c r="N1823">
        <v>188</v>
      </c>
      <c r="O1823" t="s">
        <v>5</v>
      </c>
      <c r="Q1823" t="s">
        <v>2075</v>
      </c>
      <c r="R1823" t="s">
        <v>2387</v>
      </c>
      <c r="S1823" t="s">
        <v>277</v>
      </c>
      <c r="T1823" t="s">
        <v>278</v>
      </c>
    </row>
    <row r="1824" spans="1:20" x14ac:dyDescent="0.25">
      <c r="A1824" t="s">
        <v>59</v>
      </c>
      <c r="B1824" t="s">
        <v>60</v>
      </c>
      <c r="C1824" t="s">
        <v>32</v>
      </c>
      <c r="D1824" t="s">
        <v>227</v>
      </c>
      <c r="E1824" t="s">
        <v>228</v>
      </c>
      <c r="F1824" t="s">
        <v>35</v>
      </c>
      <c r="G1824" t="s">
        <v>35</v>
      </c>
      <c r="H1824" t="s">
        <v>35</v>
      </c>
      <c r="J1824" t="s">
        <v>2491</v>
      </c>
      <c r="K1824" t="s">
        <v>1092</v>
      </c>
      <c r="M1824">
        <v>2.7</v>
      </c>
      <c r="N1824">
        <v>65</v>
      </c>
      <c r="O1824" t="s">
        <v>61</v>
      </c>
      <c r="Q1824" t="s">
        <v>63</v>
      </c>
      <c r="R1824" t="s">
        <v>2387</v>
      </c>
      <c r="S1824" t="s">
        <v>277</v>
      </c>
      <c r="T1824" t="s">
        <v>278</v>
      </c>
    </row>
    <row r="1825" spans="1:20" x14ac:dyDescent="0.25">
      <c r="A1825" t="s">
        <v>30</v>
      </c>
      <c r="B1825" t="s">
        <v>31</v>
      </c>
      <c r="C1825" t="s">
        <v>32</v>
      </c>
      <c r="D1825" t="s">
        <v>227</v>
      </c>
      <c r="E1825" t="s">
        <v>2675</v>
      </c>
      <c r="F1825" t="s">
        <v>35</v>
      </c>
      <c r="G1825" t="s">
        <v>35</v>
      </c>
      <c r="H1825" t="s">
        <v>35</v>
      </c>
      <c r="J1825" t="s">
        <v>2678</v>
      </c>
      <c r="K1825" t="s">
        <v>1092</v>
      </c>
      <c r="M1825">
        <v>0.85499999999999998</v>
      </c>
      <c r="N1825">
        <v>140</v>
      </c>
      <c r="O1825" t="s">
        <v>38</v>
      </c>
      <c r="Q1825" t="s">
        <v>1229</v>
      </c>
      <c r="R1825" t="s">
        <v>2387</v>
      </c>
      <c r="S1825" t="s">
        <v>277</v>
      </c>
      <c r="T1825" t="s">
        <v>278</v>
      </c>
    </row>
    <row r="1826" spans="1:20" x14ac:dyDescent="0.25">
      <c r="A1826" t="s">
        <v>44</v>
      </c>
      <c r="B1826" t="s">
        <v>3</v>
      </c>
      <c r="C1826" t="s">
        <v>32</v>
      </c>
      <c r="D1826" t="s">
        <v>227</v>
      </c>
      <c r="E1826" t="s">
        <v>276</v>
      </c>
      <c r="F1826" t="s">
        <v>35</v>
      </c>
      <c r="G1826" t="s">
        <v>35</v>
      </c>
      <c r="H1826" t="s">
        <v>35</v>
      </c>
      <c r="J1826" t="s">
        <v>2823</v>
      </c>
      <c r="K1826" t="s">
        <v>1092</v>
      </c>
      <c r="M1826">
        <v>1.5</v>
      </c>
      <c r="N1826">
        <v>34</v>
      </c>
      <c r="O1826" t="s">
        <v>52</v>
      </c>
      <c r="Q1826" t="s">
        <v>249</v>
      </c>
      <c r="R1826" t="s">
        <v>2387</v>
      </c>
      <c r="S1826" t="s">
        <v>277</v>
      </c>
      <c r="T1826" t="s">
        <v>278</v>
      </c>
    </row>
    <row r="1827" spans="1:20" x14ac:dyDescent="0.25">
      <c r="A1827" t="s">
        <v>59</v>
      </c>
      <c r="B1827" t="s">
        <v>60</v>
      </c>
      <c r="C1827" t="s">
        <v>32</v>
      </c>
      <c r="D1827" t="s">
        <v>227</v>
      </c>
      <c r="E1827" t="s">
        <v>276</v>
      </c>
      <c r="F1827" t="s">
        <v>35</v>
      </c>
      <c r="G1827" t="s">
        <v>35</v>
      </c>
      <c r="H1827" t="s">
        <v>35</v>
      </c>
      <c r="J1827" t="s">
        <v>2823</v>
      </c>
      <c r="K1827" t="s">
        <v>1092</v>
      </c>
      <c r="M1827">
        <v>0.25</v>
      </c>
      <c r="N1827">
        <v>46</v>
      </c>
      <c r="O1827" t="s">
        <v>52</v>
      </c>
      <c r="Q1827" t="s">
        <v>332</v>
      </c>
      <c r="R1827" t="s">
        <v>2387</v>
      </c>
      <c r="S1827" t="s">
        <v>277</v>
      </c>
      <c r="T1827" t="s">
        <v>278</v>
      </c>
    </row>
    <row r="1828" spans="1:20" x14ac:dyDescent="0.25">
      <c r="A1828" t="s">
        <v>44</v>
      </c>
      <c r="B1828" t="s">
        <v>3</v>
      </c>
      <c r="C1828" t="s">
        <v>32</v>
      </c>
      <c r="D1828" t="s">
        <v>227</v>
      </c>
      <c r="E1828" t="s">
        <v>2675</v>
      </c>
      <c r="F1828" t="s">
        <v>35</v>
      </c>
      <c r="G1828" t="s">
        <v>35</v>
      </c>
      <c r="H1828" t="s">
        <v>35</v>
      </c>
      <c r="J1828" t="s">
        <v>2680</v>
      </c>
      <c r="K1828" t="s">
        <v>1092</v>
      </c>
      <c r="M1828">
        <v>0.25</v>
      </c>
      <c r="N1828">
        <v>51</v>
      </c>
      <c r="O1828" t="s">
        <v>52</v>
      </c>
      <c r="Q1828" t="s">
        <v>58</v>
      </c>
      <c r="R1828" t="s">
        <v>2387</v>
      </c>
      <c r="S1828" t="s">
        <v>277</v>
      </c>
      <c r="T1828" t="s">
        <v>278</v>
      </c>
    </row>
    <row r="1829" spans="1:20" x14ac:dyDescent="0.25">
      <c r="A1829" t="s">
        <v>59</v>
      </c>
      <c r="B1829" t="s">
        <v>60</v>
      </c>
      <c r="C1829" t="s">
        <v>32</v>
      </c>
      <c r="D1829" t="s">
        <v>227</v>
      </c>
      <c r="E1829" t="s">
        <v>2675</v>
      </c>
      <c r="F1829" t="s">
        <v>35</v>
      </c>
      <c r="G1829" t="s">
        <v>35</v>
      </c>
      <c r="H1829" t="s">
        <v>35</v>
      </c>
      <c r="J1829" t="s">
        <v>2680</v>
      </c>
      <c r="K1829" t="s">
        <v>1092</v>
      </c>
      <c r="M1829">
        <v>0.5</v>
      </c>
      <c r="N1829">
        <v>51</v>
      </c>
      <c r="O1829" t="s">
        <v>52</v>
      </c>
      <c r="Q1829" t="s">
        <v>58</v>
      </c>
      <c r="R1829" t="s">
        <v>2387</v>
      </c>
      <c r="S1829" t="s">
        <v>277</v>
      </c>
      <c r="T1829" t="s">
        <v>278</v>
      </c>
    </row>
    <row r="1830" spans="1:20" x14ac:dyDescent="0.25">
      <c r="A1830" t="s">
        <v>30</v>
      </c>
      <c r="B1830" t="s">
        <v>31</v>
      </c>
      <c r="C1830" t="s">
        <v>32</v>
      </c>
      <c r="D1830" t="s">
        <v>227</v>
      </c>
      <c r="E1830" t="s">
        <v>2675</v>
      </c>
      <c r="F1830" t="s">
        <v>35</v>
      </c>
      <c r="G1830" t="s">
        <v>35</v>
      </c>
      <c r="H1830" t="s">
        <v>35</v>
      </c>
      <c r="J1830" t="s">
        <v>2730</v>
      </c>
      <c r="K1830" t="s">
        <v>1092</v>
      </c>
      <c r="M1830">
        <v>3.87</v>
      </c>
      <c r="N1830">
        <v>37</v>
      </c>
      <c r="O1830" t="s">
        <v>52</v>
      </c>
      <c r="Q1830" t="s">
        <v>192</v>
      </c>
      <c r="R1830" t="s">
        <v>2387</v>
      </c>
      <c r="S1830" t="s">
        <v>277</v>
      </c>
      <c r="T1830" t="s">
        <v>278</v>
      </c>
    </row>
    <row r="1831" spans="1:20" x14ac:dyDescent="0.25">
      <c r="A1831" t="s">
        <v>30</v>
      </c>
      <c r="B1831" t="s">
        <v>31</v>
      </c>
      <c r="C1831" t="s">
        <v>32</v>
      </c>
      <c r="D1831" t="s">
        <v>227</v>
      </c>
      <c r="E1831" t="s">
        <v>2442</v>
      </c>
      <c r="F1831" t="s">
        <v>35</v>
      </c>
      <c r="G1831" t="s">
        <v>35</v>
      </c>
      <c r="H1831" t="s">
        <v>35</v>
      </c>
      <c r="J1831" t="s">
        <v>2447</v>
      </c>
      <c r="K1831" t="s">
        <v>1092</v>
      </c>
      <c r="M1831">
        <v>6.75</v>
      </c>
      <c r="N1831">
        <v>168</v>
      </c>
      <c r="O1831" t="s">
        <v>38</v>
      </c>
      <c r="Q1831" t="s">
        <v>1692</v>
      </c>
      <c r="R1831" t="s">
        <v>2387</v>
      </c>
      <c r="S1831" t="s">
        <v>277</v>
      </c>
      <c r="T1831" t="s">
        <v>278</v>
      </c>
    </row>
    <row r="1832" spans="1:20" x14ac:dyDescent="0.25">
      <c r="A1832" t="s">
        <v>30</v>
      </c>
      <c r="B1832" t="s">
        <v>31</v>
      </c>
      <c r="C1832" t="s">
        <v>32</v>
      </c>
      <c r="D1832" t="s">
        <v>227</v>
      </c>
      <c r="E1832" t="s">
        <v>251</v>
      </c>
      <c r="F1832" t="s">
        <v>35</v>
      </c>
      <c r="G1832" t="s">
        <v>35</v>
      </c>
      <c r="H1832" t="s">
        <v>35</v>
      </c>
      <c r="J1832" t="s">
        <v>2752</v>
      </c>
      <c r="K1832" t="s">
        <v>1092</v>
      </c>
      <c r="M1832">
        <v>1.77</v>
      </c>
      <c r="N1832">
        <v>427</v>
      </c>
      <c r="O1832" t="s">
        <v>294</v>
      </c>
      <c r="Q1832" t="s">
        <v>1370</v>
      </c>
      <c r="R1832" t="s">
        <v>2387</v>
      </c>
      <c r="S1832" t="s">
        <v>277</v>
      </c>
      <c r="T1832" t="s">
        <v>278</v>
      </c>
    </row>
    <row r="1833" spans="1:20" x14ac:dyDescent="0.25">
      <c r="A1833" t="s">
        <v>59</v>
      </c>
      <c r="B1833" t="s">
        <v>31</v>
      </c>
      <c r="C1833" t="s">
        <v>32</v>
      </c>
      <c r="D1833" t="s">
        <v>227</v>
      </c>
      <c r="E1833" t="s">
        <v>2825</v>
      </c>
      <c r="F1833" t="s">
        <v>35</v>
      </c>
      <c r="G1833" t="s">
        <v>35</v>
      </c>
      <c r="H1833" t="s">
        <v>35</v>
      </c>
      <c r="J1833" t="s">
        <v>2834</v>
      </c>
      <c r="K1833" t="s">
        <v>1092</v>
      </c>
      <c r="M1833">
        <v>1.98</v>
      </c>
      <c r="N1833">
        <v>65</v>
      </c>
      <c r="O1833" t="s">
        <v>61</v>
      </c>
      <c r="Q1833" t="s">
        <v>63</v>
      </c>
      <c r="R1833" t="s">
        <v>2387</v>
      </c>
      <c r="S1833" t="s">
        <v>277</v>
      </c>
      <c r="T1833" t="s">
        <v>278</v>
      </c>
    </row>
    <row r="1834" spans="1:20" x14ac:dyDescent="0.25">
      <c r="A1834" t="s">
        <v>59</v>
      </c>
      <c r="B1834" t="s">
        <v>60</v>
      </c>
      <c r="C1834" t="s">
        <v>32</v>
      </c>
      <c r="D1834" t="s">
        <v>227</v>
      </c>
      <c r="E1834" t="s">
        <v>2825</v>
      </c>
      <c r="F1834" t="s">
        <v>35</v>
      </c>
      <c r="G1834" t="s">
        <v>35</v>
      </c>
      <c r="H1834" t="s">
        <v>35</v>
      </c>
      <c r="J1834" t="s">
        <v>2834</v>
      </c>
      <c r="K1834" t="s">
        <v>1092</v>
      </c>
      <c r="M1834">
        <v>0.5</v>
      </c>
      <c r="N1834">
        <v>100</v>
      </c>
      <c r="O1834" t="s">
        <v>106</v>
      </c>
      <c r="Q1834" t="s">
        <v>1621</v>
      </c>
      <c r="R1834" t="s">
        <v>2387</v>
      </c>
      <c r="S1834" t="s">
        <v>277</v>
      </c>
      <c r="T1834" t="s">
        <v>278</v>
      </c>
    </row>
    <row r="1835" spans="1:20" x14ac:dyDescent="0.25">
      <c r="A1835" t="s">
        <v>59</v>
      </c>
      <c r="B1835" t="s">
        <v>31</v>
      </c>
      <c r="C1835" t="s">
        <v>32</v>
      </c>
      <c r="D1835" t="s">
        <v>227</v>
      </c>
      <c r="E1835" t="s">
        <v>2731</v>
      </c>
      <c r="F1835" t="s">
        <v>35</v>
      </c>
      <c r="G1835" t="s">
        <v>35</v>
      </c>
      <c r="H1835" t="s">
        <v>35</v>
      </c>
      <c r="J1835" t="s">
        <v>2739</v>
      </c>
      <c r="K1835" t="s">
        <v>1092</v>
      </c>
      <c r="M1835">
        <v>4.4999999999999998E-2</v>
      </c>
      <c r="N1835">
        <v>254</v>
      </c>
      <c r="O1835" t="s">
        <v>5</v>
      </c>
      <c r="Q1835" t="s">
        <v>2522</v>
      </c>
      <c r="R1835" t="s">
        <v>2387</v>
      </c>
      <c r="S1835" t="s">
        <v>277</v>
      </c>
      <c r="T1835" t="s">
        <v>278</v>
      </c>
    </row>
    <row r="1836" spans="1:20" x14ac:dyDescent="0.25">
      <c r="A1836" t="s">
        <v>30</v>
      </c>
      <c r="B1836" t="s">
        <v>31</v>
      </c>
      <c r="C1836" t="s">
        <v>32</v>
      </c>
      <c r="D1836" t="s">
        <v>227</v>
      </c>
      <c r="F1836" t="s">
        <v>35</v>
      </c>
      <c r="G1836" t="s">
        <v>35</v>
      </c>
      <c r="H1836" t="s">
        <v>35</v>
      </c>
      <c r="J1836" t="s">
        <v>3010</v>
      </c>
      <c r="K1836" t="s">
        <v>1092</v>
      </c>
      <c r="M1836">
        <v>1.08</v>
      </c>
      <c r="N1836">
        <v>64</v>
      </c>
      <c r="O1836" t="s">
        <v>61</v>
      </c>
      <c r="Q1836" t="s">
        <v>102</v>
      </c>
      <c r="R1836" t="s">
        <v>2387</v>
      </c>
      <c r="S1836" t="s">
        <v>277</v>
      </c>
      <c r="T1836" t="s">
        <v>278</v>
      </c>
    </row>
    <row r="1837" spans="1:20" x14ac:dyDescent="0.25">
      <c r="A1837" t="s">
        <v>59</v>
      </c>
      <c r="B1837" t="s">
        <v>60</v>
      </c>
      <c r="C1837" t="s">
        <v>32</v>
      </c>
      <c r="D1837" t="s">
        <v>227</v>
      </c>
      <c r="F1837" t="s">
        <v>35</v>
      </c>
      <c r="G1837" t="s">
        <v>35</v>
      </c>
      <c r="H1837" t="s">
        <v>35</v>
      </c>
      <c r="J1837" t="s">
        <v>3010</v>
      </c>
      <c r="K1837" t="s">
        <v>1092</v>
      </c>
      <c r="M1837">
        <v>1.47</v>
      </c>
      <c r="N1837">
        <v>64</v>
      </c>
      <c r="O1837" t="s">
        <v>61</v>
      </c>
      <c r="Q1837" t="s">
        <v>102</v>
      </c>
      <c r="R1837" t="s">
        <v>2387</v>
      </c>
      <c r="S1837" t="s">
        <v>277</v>
      </c>
      <c r="T1837" t="s">
        <v>278</v>
      </c>
    </row>
    <row r="1838" spans="1:20" x14ac:dyDescent="0.25">
      <c r="A1838" t="s">
        <v>59</v>
      </c>
      <c r="B1838" t="s">
        <v>31</v>
      </c>
      <c r="C1838" t="s">
        <v>32</v>
      </c>
      <c r="D1838" t="s">
        <v>227</v>
      </c>
      <c r="E1838" t="s">
        <v>2675</v>
      </c>
      <c r="F1838" t="s">
        <v>35</v>
      </c>
      <c r="G1838" t="s">
        <v>35</v>
      </c>
      <c r="H1838" t="s">
        <v>35</v>
      </c>
      <c r="J1838" t="s">
        <v>2721</v>
      </c>
      <c r="K1838" t="s">
        <v>1092</v>
      </c>
      <c r="M1838">
        <v>2.0249999999999999</v>
      </c>
      <c r="N1838">
        <v>76</v>
      </c>
      <c r="O1838" t="s">
        <v>61</v>
      </c>
      <c r="Q1838" t="s">
        <v>455</v>
      </c>
      <c r="R1838" t="s">
        <v>2387</v>
      </c>
      <c r="S1838" t="s">
        <v>277</v>
      </c>
      <c r="T1838" t="s">
        <v>278</v>
      </c>
    </row>
    <row r="1839" spans="1:20" x14ac:dyDescent="0.25">
      <c r="A1839" t="s">
        <v>59</v>
      </c>
      <c r="B1839" t="s">
        <v>60</v>
      </c>
      <c r="C1839" t="s">
        <v>32</v>
      </c>
      <c r="D1839" t="s">
        <v>227</v>
      </c>
      <c r="F1839" t="s">
        <v>35</v>
      </c>
      <c r="G1839" t="s">
        <v>35</v>
      </c>
      <c r="H1839" t="s">
        <v>35</v>
      </c>
      <c r="J1839" t="s">
        <v>3029</v>
      </c>
      <c r="K1839" t="s">
        <v>1092</v>
      </c>
      <c r="M1839">
        <v>5.5E-2</v>
      </c>
      <c r="N1839">
        <v>2053</v>
      </c>
      <c r="O1839" t="s">
        <v>575</v>
      </c>
      <c r="Q1839" t="s">
        <v>3030</v>
      </c>
      <c r="R1839" t="s">
        <v>2387</v>
      </c>
      <c r="S1839" t="s">
        <v>277</v>
      </c>
      <c r="T1839" t="s">
        <v>278</v>
      </c>
    </row>
    <row r="1840" spans="1:20" x14ac:dyDescent="0.25">
      <c r="A1840" t="s">
        <v>59</v>
      </c>
      <c r="B1840" t="s">
        <v>60</v>
      </c>
      <c r="C1840" t="s">
        <v>32</v>
      </c>
      <c r="D1840" t="s">
        <v>227</v>
      </c>
      <c r="F1840" t="s">
        <v>35</v>
      </c>
      <c r="G1840" t="s">
        <v>35</v>
      </c>
      <c r="H1840" t="s">
        <v>35</v>
      </c>
      <c r="J1840" t="s">
        <v>3029</v>
      </c>
      <c r="K1840" t="s">
        <v>1092</v>
      </c>
      <c r="M1840">
        <v>0.5</v>
      </c>
      <c r="N1840">
        <v>1863</v>
      </c>
      <c r="O1840" t="s">
        <v>575</v>
      </c>
      <c r="Q1840" t="s">
        <v>3032</v>
      </c>
      <c r="R1840" t="s">
        <v>2387</v>
      </c>
      <c r="S1840" t="s">
        <v>277</v>
      </c>
      <c r="T1840" t="s">
        <v>278</v>
      </c>
    </row>
    <row r="1841" spans="1:20" x14ac:dyDescent="0.25">
      <c r="A1841" t="s">
        <v>59</v>
      </c>
      <c r="B1841" t="s">
        <v>60</v>
      </c>
      <c r="C1841" t="s">
        <v>32</v>
      </c>
      <c r="D1841" t="s">
        <v>227</v>
      </c>
      <c r="F1841" t="s">
        <v>35</v>
      </c>
      <c r="G1841" t="s">
        <v>35</v>
      </c>
      <c r="H1841" t="s">
        <v>35</v>
      </c>
      <c r="J1841" t="s">
        <v>3029</v>
      </c>
      <c r="K1841" t="s">
        <v>1092</v>
      </c>
      <c r="M1841">
        <v>0.5</v>
      </c>
      <c r="N1841">
        <v>1878</v>
      </c>
      <c r="O1841" t="s">
        <v>575</v>
      </c>
      <c r="Q1841" t="s">
        <v>3033</v>
      </c>
      <c r="R1841" t="s">
        <v>2387</v>
      </c>
      <c r="S1841" t="s">
        <v>277</v>
      </c>
      <c r="T1841" t="s">
        <v>278</v>
      </c>
    </row>
    <row r="1842" spans="1:20" x14ac:dyDescent="0.25">
      <c r="A1842" t="s">
        <v>59</v>
      </c>
      <c r="B1842" t="s">
        <v>60</v>
      </c>
      <c r="C1842" t="s">
        <v>32</v>
      </c>
      <c r="D1842" t="s">
        <v>227</v>
      </c>
      <c r="E1842" t="s">
        <v>2871</v>
      </c>
      <c r="F1842" t="s">
        <v>35</v>
      </c>
      <c r="G1842" t="s">
        <v>35</v>
      </c>
      <c r="H1842" t="s">
        <v>35</v>
      </c>
      <c r="J1842" t="s">
        <v>2916</v>
      </c>
      <c r="K1842" t="s">
        <v>1092</v>
      </c>
      <c r="M1842">
        <v>1</v>
      </c>
      <c r="N1842">
        <v>47</v>
      </c>
      <c r="O1842" t="s">
        <v>52</v>
      </c>
      <c r="Q1842" t="s">
        <v>1207</v>
      </c>
      <c r="R1842" t="s">
        <v>2387</v>
      </c>
      <c r="S1842" t="s">
        <v>277</v>
      </c>
      <c r="T1842" t="s">
        <v>278</v>
      </c>
    </row>
    <row r="1843" spans="1:20" x14ac:dyDescent="0.25">
      <c r="A1843" t="s">
        <v>59</v>
      </c>
      <c r="B1843" t="s">
        <v>60</v>
      </c>
      <c r="C1843" t="s">
        <v>32</v>
      </c>
      <c r="D1843" t="s">
        <v>227</v>
      </c>
      <c r="E1843" t="s">
        <v>2871</v>
      </c>
      <c r="F1843" t="s">
        <v>35</v>
      </c>
      <c r="G1843" t="s">
        <v>35</v>
      </c>
      <c r="H1843" t="s">
        <v>35</v>
      </c>
      <c r="J1843" t="s">
        <v>2916</v>
      </c>
      <c r="K1843" t="s">
        <v>1092</v>
      </c>
      <c r="M1843">
        <v>0.55000000000000004</v>
      </c>
      <c r="N1843">
        <v>59</v>
      </c>
      <c r="O1843" t="s">
        <v>52</v>
      </c>
      <c r="Q1843" t="s">
        <v>203</v>
      </c>
      <c r="R1843" t="s">
        <v>2387</v>
      </c>
      <c r="S1843" t="s">
        <v>277</v>
      </c>
      <c r="T1843" t="s">
        <v>278</v>
      </c>
    </row>
    <row r="1844" spans="1:20" x14ac:dyDescent="0.25">
      <c r="A1844" t="s">
        <v>44</v>
      </c>
      <c r="B1844" t="s">
        <v>3</v>
      </c>
      <c r="C1844" t="s">
        <v>32</v>
      </c>
      <c r="D1844" t="s">
        <v>227</v>
      </c>
      <c r="E1844" t="s">
        <v>2850</v>
      </c>
      <c r="F1844" t="s">
        <v>35</v>
      </c>
      <c r="G1844" t="s">
        <v>35</v>
      </c>
      <c r="H1844" t="s">
        <v>35</v>
      </c>
      <c r="J1844" t="s">
        <v>2860</v>
      </c>
      <c r="K1844" t="s">
        <v>1092</v>
      </c>
      <c r="M1844">
        <v>0.25</v>
      </c>
      <c r="N1844">
        <v>26</v>
      </c>
      <c r="O1844" t="s">
        <v>46</v>
      </c>
      <c r="Q1844" t="s">
        <v>137</v>
      </c>
      <c r="R1844" t="s">
        <v>2387</v>
      </c>
      <c r="S1844" t="s">
        <v>277</v>
      </c>
      <c r="T1844" t="s">
        <v>278</v>
      </c>
    </row>
    <row r="1845" spans="1:20" x14ac:dyDescent="0.25">
      <c r="A1845" t="s">
        <v>59</v>
      </c>
      <c r="B1845" t="s">
        <v>60</v>
      </c>
      <c r="C1845" t="s">
        <v>32</v>
      </c>
      <c r="D1845" t="s">
        <v>227</v>
      </c>
      <c r="E1845" t="s">
        <v>2871</v>
      </c>
      <c r="F1845" t="s">
        <v>35</v>
      </c>
      <c r="G1845" t="s">
        <v>35</v>
      </c>
      <c r="H1845" t="s">
        <v>35</v>
      </c>
      <c r="J1845" t="s">
        <v>2918</v>
      </c>
      <c r="K1845" t="s">
        <v>1092</v>
      </c>
      <c r="M1845">
        <v>0.5</v>
      </c>
      <c r="N1845">
        <v>32</v>
      </c>
      <c r="O1845" t="s">
        <v>52</v>
      </c>
      <c r="Q1845" t="s">
        <v>816</v>
      </c>
      <c r="R1845" t="s">
        <v>2387</v>
      </c>
      <c r="S1845" t="s">
        <v>277</v>
      </c>
      <c r="T1845" t="s">
        <v>278</v>
      </c>
    </row>
    <row r="1846" spans="1:20" x14ac:dyDescent="0.25">
      <c r="A1846" t="s">
        <v>44</v>
      </c>
      <c r="B1846" t="s">
        <v>51</v>
      </c>
      <c r="C1846" t="s">
        <v>32</v>
      </c>
      <c r="D1846" t="s">
        <v>227</v>
      </c>
      <c r="E1846" t="s">
        <v>276</v>
      </c>
      <c r="F1846" t="s">
        <v>35</v>
      </c>
      <c r="G1846" t="s">
        <v>35</v>
      </c>
      <c r="H1846" t="s">
        <v>35</v>
      </c>
      <c r="J1846" t="s">
        <v>2807</v>
      </c>
      <c r="K1846" t="s">
        <v>1092</v>
      </c>
      <c r="M1846">
        <v>1.9</v>
      </c>
      <c r="N1846">
        <v>55</v>
      </c>
      <c r="O1846" t="s">
        <v>52</v>
      </c>
      <c r="Q1846" t="s">
        <v>90</v>
      </c>
      <c r="R1846" t="s">
        <v>2387</v>
      </c>
      <c r="S1846" t="s">
        <v>277</v>
      </c>
      <c r="T1846" t="s">
        <v>278</v>
      </c>
    </row>
    <row r="1847" spans="1:20" x14ac:dyDescent="0.25">
      <c r="A1847" t="s">
        <v>59</v>
      </c>
      <c r="B1847" t="s">
        <v>60</v>
      </c>
      <c r="C1847" t="s">
        <v>32</v>
      </c>
      <c r="D1847" t="s">
        <v>227</v>
      </c>
      <c r="E1847" t="s">
        <v>2871</v>
      </c>
      <c r="F1847" t="s">
        <v>35</v>
      </c>
      <c r="G1847" t="s">
        <v>35</v>
      </c>
      <c r="H1847" t="s">
        <v>35</v>
      </c>
      <c r="J1847" t="s">
        <v>2876</v>
      </c>
      <c r="K1847" t="s">
        <v>1092</v>
      </c>
      <c r="M1847">
        <v>0.7</v>
      </c>
      <c r="N1847">
        <v>102</v>
      </c>
      <c r="O1847" t="s">
        <v>106</v>
      </c>
      <c r="Q1847" t="s">
        <v>2624</v>
      </c>
      <c r="R1847" t="s">
        <v>2387</v>
      </c>
      <c r="S1847" t="s">
        <v>277</v>
      </c>
      <c r="T1847" t="s">
        <v>278</v>
      </c>
    </row>
    <row r="1848" spans="1:20" x14ac:dyDescent="0.25">
      <c r="A1848" t="s">
        <v>59</v>
      </c>
      <c r="B1848" t="s">
        <v>60</v>
      </c>
      <c r="C1848" t="s">
        <v>32</v>
      </c>
      <c r="D1848" t="s">
        <v>227</v>
      </c>
      <c r="F1848" t="s">
        <v>35</v>
      </c>
      <c r="G1848" t="s">
        <v>35</v>
      </c>
      <c r="H1848" t="s">
        <v>35</v>
      </c>
      <c r="J1848" t="s">
        <v>2986</v>
      </c>
      <c r="K1848" t="s">
        <v>1092</v>
      </c>
      <c r="M1848">
        <v>2.1000000000000001E-2</v>
      </c>
      <c r="N1848">
        <v>2418</v>
      </c>
      <c r="O1848" t="s">
        <v>575</v>
      </c>
      <c r="Q1848" t="s">
        <v>2987</v>
      </c>
      <c r="R1848" t="s">
        <v>2387</v>
      </c>
      <c r="S1848" t="s">
        <v>277</v>
      </c>
      <c r="T1848" t="s">
        <v>278</v>
      </c>
    </row>
    <row r="1849" spans="1:20" x14ac:dyDescent="0.25">
      <c r="A1849" t="s">
        <v>30</v>
      </c>
      <c r="B1849" t="s">
        <v>31</v>
      </c>
      <c r="C1849" t="s">
        <v>32</v>
      </c>
      <c r="D1849" t="s">
        <v>227</v>
      </c>
      <c r="E1849" t="s">
        <v>2871</v>
      </c>
      <c r="F1849" t="s">
        <v>35</v>
      </c>
      <c r="G1849" t="s">
        <v>35</v>
      </c>
      <c r="H1849" t="s">
        <v>35</v>
      </c>
      <c r="J1849" t="s">
        <v>2886</v>
      </c>
      <c r="K1849" t="s">
        <v>1092</v>
      </c>
      <c r="M1849">
        <v>0.21</v>
      </c>
      <c r="N1849">
        <v>237</v>
      </c>
      <c r="O1849" t="s">
        <v>5</v>
      </c>
      <c r="Q1849" t="s">
        <v>1242</v>
      </c>
      <c r="R1849" t="s">
        <v>2387</v>
      </c>
      <c r="S1849" t="s">
        <v>277</v>
      </c>
      <c r="T1849" t="s">
        <v>278</v>
      </c>
    </row>
    <row r="1850" spans="1:20" x14ac:dyDescent="0.25">
      <c r="A1850" t="s">
        <v>59</v>
      </c>
      <c r="B1850" t="s">
        <v>60</v>
      </c>
      <c r="C1850" t="s">
        <v>32</v>
      </c>
      <c r="D1850" t="s">
        <v>227</v>
      </c>
      <c r="E1850" t="s">
        <v>2825</v>
      </c>
      <c r="F1850" t="s">
        <v>35</v>
      </c>
      <c r="G1850" t="s">
        <v>35</v>
      </c>
      <c r="H1850" t="s">
        <v>35</v>
      </c>
      <c r="J1850" t="s">
        <v>2830</v>
      </c>
      <c r="K1850" t="s">
        <v>1092</v>
      </c>
      <c r="M1850">
        <v>1.6</v>
      </c>
      <c r="N1850">
        <v>65</v>
      </c>
      <c r="O1850" t="s">
        <v>61</v>
      </c>
      <c r="Q1850" t="s">
        <v>63</v>
      </c>
      <c r="R1850" t="s">
        <v>2387</v>
      </c>
      <c r="S1850" t="s">
        <v>277</v>
      </c>
      <c r="T1850" t="s">
        <v>278</v>
      </c>
    </row>
    <row r="1851" spans="1:20" x14ac:dyDescent="0.25">
      <c r="A1851" t="s">
        <v>30</v>
      </c>
      <c r="B1851" t="s">
        <v>31</v>
      </c>
      <c r="C1851" t="s">
        <v>32</v>
      </c>
      <c r="D1851" t="s">
        <v>227</v>
      </c>
      <c r="E1851" t="s">
        <v>2825</v>
      </c>
      <c r="F1851" t="s">
        <v>35</v>
      </c>
      <c r="G1851" t="s">
        <v>35</v>
      </c>
      <c r="H1851" t="s">
        <v>35</v>
      </c>
      <c r="J1851" t="s">
        <v>2830</v>
      </c>
      <c r="K1851" t="s">
        <v>1092</v>
      </c>
      <c r="M1851">
        <v>3.915</v>
      </c>
      <c r="N1851">
        <v>126</v>
      </c>
      <c r="O1851" t="s">
        <v>38</v>
      </c>
      <c r="Q1851" t="s">
        <v>68</v>
      </c>
      <c r="R1851" t="s">
        <v>2387</v>
      </c>
      <c r="S1851" t="s">
        <v>277</v>
      </c>
      <c r="T1851" t="s">
        <v>278</v>
      </c>
    </row>
    <row r="1852" spans="1:20" x14ac:dyDescent="0.25">
      <c r="A1852" t="s">
        <v>30</v>
      </c>
      <c r="B1852" t="s">
        <v>31</v>
      </c>
      <c r="C1852" t="s">
        <v>32</v>
      </c>
      <c r="D1852" t="s">
        <v>227</v>
      </c>
      <c r="E1852" t="s">
        <v>2825</v>
      </c>
      <c r="F1852" t="s">
        <v>35</v>
      </c>
      <c r="G1852" t="s">
        <v>35</v>
      </c>
      <c r="H1852" t="s">
        <v>35</v>
      </c>
      <c r="J1852" t="s">
        <v>2830</v>
      </c>
      <c r="K1852" t="s">
        <v>1092</v>
      </c>
      <c r="M1852">
        <v>4.1399999999999997</v>
      </c>
      <c r="N1852">
        <v>65</v>
      </c>
      <c r="O1852" t="s">
        <v>61</v>
      </c>
      <c r="Q1852" t="s">
        <v>63</v>
      </c>
      <c r="R1852" t="s">
        <v>2387</v>
      </c>
      <c r="S1852" t="s">
        <v>277</v>
      </c>
      <c r="T1852" t="s">
        <v>278</v>
      </c>
    </row>
    <row r="1853" spans="1:20" x14ac:dyDescent="0.25">
      <c r="A1853" t="s">
        <v>59</v>
      </c>
      <c r="B1853" t="s">
        <v>60</v>
      </c>
      <c r="C1853" t="s">
        <v>32</v>
      </c>
      <c r="D1853" t="s">
        <v>227</v>
      </c>
      <c r="E1853" t="s">
        <v>2675</v>
      </c>
      <c r="F1853" t="s">
        <v>35</v>
      </c>
      <c r="G1853" t="s">
        <v>35</v>
      </c>
      <c r="H1853" t="s">
        <v>35</v>
      </c>
      <c r="J1853" t="s">
        <v>2685</v>
      </c>
      <c r="K1853" t="s">
        <v>1092</v>
      </c>
      <c r="M1853">
        <v>0.2</v>
      </c>
      <c r="N1853">
        <v>131</v>
      </c>
      <c r="O1853" t="s">
        <v>38</v>
      </c>
      <c r="Q1853" t="s">
        <v>542</v>
      </c>
      <c r="R1853" t="s">
        <v>2387</v>
      </c>
      <c r="S1853" t="s">
        <v>277</v>
      </c>
      <c r="T1853" t="s">
        <v>278</v>
      </c>
    </row>
    <row r="1854" spans="1:20" x14ac:dyDescent="0.25">
      <c r="A1854" t="s">
        <v>59</v>
      </c>
      <c r="B1854" t="s">
        <v>60</v>
      </c>
      <c r="C1854" t="s">
        <v>32</v>
      </c>
      <c r="D1854" t="s">
        <v>227</v>
      </c>
      <c r="E1854" t="s">
        <v>2871</v>
      </c>
      <c r="F1854" t="s">
        <v>35</v>
      </c>
      <c r="G1854" t="s">
        <v>35</v>
      </c>
      <c r="H1854" t="s">
        <v>35</v>
      </c>
      <c r="J1854" t="s">
        <v>2880</v>
      </c>
      <c r="K1854" t="s">
        <v>1092</v>
      </c>
      <c r="M1854">
        <v>0.8</v>
      </c>
      <c r="N1854">
        <v>23</v>
      </c>
      <c r="O1854" t="s">
        <v>46</v>
      </c>
      <c r="Q1854" t="s">
        <v>793</v>
      </c>
      <c r="R1854" t="s">
        <v>2387</v>
      </c>
      <c r="S1854" t="s">
        <v>277</v>
      </c>
      <c r="T1854" t="s">
        <v>278</v>
      </c>
    </row>
    <row r="1855" spans="1:20" x14ac:dyDescent="0.25">
      <c r="A1855" t="s">
        <v>59</v>
      </c>
      <c r="B1855" t="s">
        <v>60</v>
      </c>
      <c r="C1855" t="s">
        <v>32</v>
      </c>
      <c r="D1855" t="s">
        <v>227</v>
      </c>
      <c r="F1855" t="s">
        <v>35</v>
      </c>
      <c r="G1855" t="s">
        <v>35</v>
      </c>
      <c r="H1855" t="s">
        <v>35</v>
      </c>
      <c r="J1855" t="s">
        <v>3036</v>
      </c>
      <c r="K1855" t="s">
        <v>1092</v>
      </c>
      <c r="M1855">
        <v>4.4999999999999998E-2</v>
      </c>
      <c r="N1855">
        <v>1924</v>
      </c>
      <c r="O1855" t="s">
        <v>575</v>
      </c>
      <c r="Q1855" t="s">
        <v>3037</v>
      </c>
      <c r="R1855" t="s">
        <v>2387</v>
      </c>
      <c r="S1855" t="s">
        <v>277</v>
      </c>
      <c r="T1855" t="s">
        <v>278</v>
      </c>
    </row>
    <row r="1856" spans="1:20" x14ac:dyDescent="0.25">
      <c r="A1856" t="s">
        <v>30</v>
      </c>
      <c r="B1856" t="s">
        <v>31</v>
      </c>
      <c r="C1856" t="s">
        <v>32</v>
      </c>
      <c r="D1856" t="s">
        <v>227</v>
      </c>
      <c r="E1856" t="s">
        <v>2825</v>
      </c>
      <c r="F1856" t="s">
        <v>35</v>
      </c>
      <c r="G1856" t="s">
        <v>35</v>
      </c>
      <c r="H1856" t="s">
        <v>35</v>
      </c>
      <c r="J1856" t="s">
        <v>2836</v>
      </c>
      <c r="K1856" t="s">
        <v>1092</v>
      </c>
      <c r="M1856">
        <v>0.27</v>
      </c>
      <c r="N1856">
        <v>583</v>
      </c>
      <c r="O1856" t="s">
        <v>575</v>
      </c>
      <c r="Q1856" t="s">
        <v>624</v>
      </c>
      <c r="R1856" t="s">
        <v>2387</v>
      </c>
      <c r="S1856" t="s">
        <v>277</v>
      </c>
      <c r="T1856" t="s">
        <v>278</v>
      </c>
    </row>
    <row r="1857" spans="1:20" x14ac:dyDescent="0.25">
      <c r="A1857" t="s">
        <v>59</v>
      </c>
      <c r="B1857" t="s">
        <v>31</v>
      </c>
      <c r="C1857" t="s">
        <v>32</v>
      </c>
      <c r="D1857" t="s">
        <v>227</v>
      </c>
      <c r="E1857" t="s">
        <v>2825</v>
      </c>
      <c r="F1857" t="s">
        <v>35</v>
      </c>
      <c r="G1857" t="s">
        <v>35</v>
      </c>
      <c r="H1857" t="s">
        <v>35</v>
      </c>
      <c r="J1857" t="s">
        <v>2836</v>
      </c>
      <c r="K1857" t="s">
        <v>1092</v>
      </c>
      <c r="M1857">
        <v>0.27200000000000002</v>
      </c>
      <c r="N1857">
        <v>214</v>
      </c>
      <c r="O1857" t="s">
        <v>5</v>
      </c>
      <c r="Q1857" t="s">
        <v>79</v>
      </c>
      <c r="R1857" t="s">
        <v>2387</v>
      </c>
      <c r="S1857" t="s">
        <v>277</v>
      </c>
      <c r="T1857" t="s">
        <v>278</v>
      </c>
    </row>
    <row r="1858" spans="1:20" x14ac:dyDescent="0.25">
      <c r="A1858" t="s">
        <v>59</v>
      </c>
      <c r="B1858" t="s">
        <v>60</v>
      </c>
      <c r="C1858" t="s">
        <v>32</v>
      </c>
      <c r="D1858" t="s">
        <v>227</v>
      </c>
      <c r="E1858" t="s">
        <v>2825</v>
      </c>
      <c r="F1858" t="s">
        <v>35</v>
      </c>
      <c r="G1858" t="s">
        <v>35</v>
      </c>
      <c r="H1858" t="s">
        <v>35</v>
      </c>
      <c r="J1858" t="s">
        <v>2841</v>
      </c>
      <c r="K1858" t="s">
        <v>1092</v>
      </c>
      <c r="M1858">
        <v>1.2</v>
      </c>
      <c r="N1858">
        <v>65</v>
      </c>
      <c r="O1858" t="s">
        <v>61</v>
      </c>
      <c r="Q1858" t="s">
        <v>63</v>
      </c>
      <c r="R1858" t="s">
        <v>2387</v>
      </c>
      <c r="S1858" t="s">
        <v>277</v>
      </c>
      <c r="T1858" t="s">
        <v>278</v>
      </c>
    </row>
    <row r="1859" spans="1:20" x14ac:dyDescent="0.25">
      <c r="A1859" t="s">
        <v>30</v>
      </c>
      <c r="B1859" t="s">
        <v>31</v>
      </c>
      <c r="C1859" t="s">
        <v>32</v>
      </c>
      <c r="D1859" t="s">
        <v>227</v>
      </c>
      <c r="E1859" t="s">
        <v>2825</v>
      </c>
      <c r="F1859" t="s">
        <v>35</v>
      </c>
      <c r="G1859" t="s">
        <v>35</v>
      </c>
      <c r="H1859" t="s">
        <v>35</v>
      </c>
      <c r="J1859" t="s">
        <v>2841</v>
      </c>
      <c r="K1859" t="s">
        <v>1092</v>
      </c>
      <c r="M1859">
        <v>0.76500000000000001</v>
      </c>
      <c r="N1859">
        <v>65</v>
      </c>
      <c r="O1859" t="s">
        <v>61</v>
      </c>
      <c r="Q1859" t="s">
        <v>63</v>
      </c>
      <c r="R1859" t="s">
        <v>2387</v>
      </c>
      <c r="S1859" t="s">
        <v>277</v>
      </c>
      <c r="T1859" t="s">
        <v>278</v>
      </c>
    </row>
    <row r="1860" spans="1:20" x14ac:dyDescent="0.25">
      <c r="A1860" t="s">
        <v>30</v>
      </c>
      <c r="B1860" t="s">
        <v>31</v>
      </c>
      <c r="C1860" t="s">
        <v>32</v>
      </c>
      <c r="D1860" t="s">
        <v>227</v>
      </c>
      <c r="E1860" t="s">
        <v>270</v>
      </c>
      <c r="F1860" t="s">
        <v>35</v>
      </c>
      <c r="G1860" t="s">
        <v>35</v>
      </c>
      <c r="H1860" t="s">
        <v>35</v>
      </c>
      <c r="J1860" t="s">
        <v>2782</v>
      </c>
      <c r="K1860" t="s">
        <v>1092</v>
      </c>
      <c r="M1860">
        <v>1.26</v>
      </c>
      <c r="N1860">
        <v>168</v>
      </c>
      <c r="O1860" t="s">
        <v>38</v>
      </c>
      <c r="Q1860" t="s">
        <v>1692</v>
      </c>
      <c r="R1860" t="s">
        <v>2387</v>
      </c>
      <c r="S1860" t="s">
        <v>277</v>
      </c>
      <c r="T1860" t="s">
        <v>278</v>
      </c>
    </row>
    <row r="1861" spans="1:20" x14ac:dyDescent="0.25">
      <c r="A1861" t="s">
        <v>59</v>
      </c>
      <c r="B1861" t="s">
        <v>60</v>
      </c>
      <c r="C1861" t="s">
        <v>32</v>
      </c>
      <c r="D1861" t="s">
        <v>227</v>
      </c>
      <c r="E1861" t="s">
        <v>2871</v>
      </c>
      <c r="F1861" t="s">
        <v>35</v>
      </c>
      <c r="G1861" t="s">
        <v>35</v>
      </c>
      <c r="H1861" t="s">
        <v>35</v>
      </c>
      <c r="J1861" t="s">
        <v>2893</v>
      </c>
      <c r="K1861" t="s">
        <v>1092</v>
      </c>
      <c r="M1861">
        <v>0.2</v>
      </c>
      <c r="N1861">
        <v>102</v>
      </c>
      <c r="O1861" t="s">
        <v>106</v>
      </c>
      <c r="Q1861" t="s">
        <v>2624</v>
      </c>
      <c r="R1861" t="s">
        <v>2387</v>
      </c>
      <c r="S1861" t="s">
        <v>277</v>
      </c>
      <c r="T1861" t="s">
        <v>278</v>
      </c>
    </row>
    <row r="1862" spans="1:20" x14ac:dyDescent="0.25">
      <c r="A1862" t="s">
        <v>44</v>
      </c>
      <c r="B1862" t="s">
        <v>3</v>
      </c>
      <c r="C1862" t="s">
        <v>32</v>
      </c>
      <c r="D1862" t="s">
        <v>227</v>
      </c>
      <c r="E1862" t="s">
        <v>276</v>
      </c>
      <c r="F1862" t="s">
        <v>35</v>
      </c>
      <c r="G1862" t="s">
        <v>35</v>
      </c>
      <c r="H1862" t="s">
        <v>35</v>
      </c>
      <c r="J1862" t="s">
        <v>2808</v>
      </c>
      <c r="K1862" t="s">
        <v>404</v>
      </c>
      <c r="M1862">
        <v>0.5</v>
      </c>
      <c r="N1862">
        <v>34</v>
      </c>
      <c r="O1862" t="s">
        <v>52</v>
      </c>
      <c r="Q1862" t="s">
        <v>249</v>
      </c>
      <c r="R1862" t="s">
        <v>2387</v>
      </c>
      <c r="S1862" t="s">
        <v>277</v>
      </c>
      <c r="T1862" t="s">
        <v>278</v>
      </c>
    </row>
    <row r="1863" spans="1:20" x14ac:dyDescent="0.25">
      <c r="A1863" t="s">
        <v>59</v>
      </c>
      <c r="B1863" t="s">
        <v>60</v>
      </c>
      <c r="C1863" t="s">
        <v>32</v>
      </c>
      <c r="D1863" t="s">
        <v>227</v>
      </c>
      <c r="E1863" t="s">
        <v>2825</v>
      </c>
      <c r="F1863" t="s">
        <v>35</v>
      </c>
      <c r="G1863" t="s">
        <v>35</v>
      </c>
      <c r="H1863" t="s">
        <v>35</v>
      </c>
      <c r="J1863" t="s">
        <v>2835</v>
      </c>
      <c r="K1863" t="s">
        <v>1092</v>
      </c>
      <c r="M1863">
        <v>0.5</v>
      </c>
      <c r="N1863">
        <v>126</v>
      </c>
      <c r="O1863" t="s">
        <v>38</v>
      </c>
      <c r="Q1863" t="s">
        <v>68</v>
      </c>
      <c r="R1863" t="s">
        <v>2387</v>
      </c>
      <c r="S1863" t="s">
        <v>277</v>
      </c>
      <c r="T1863" t="s">
        <v>278</v>
      </c>
    </row>
    <row r="1864" spans="1:20" x14ac:dyDescent="0.25">
      <c r="A1864" t="s">
        <v>59</v>
      </c>
      <c r="B1864" t="s">
        <v>31</v>
      </c>
      <c r="C1864" t="s">
        <v>32</v>
      </c>
      <c r="D1864" t="s">
        <v>227</v>
      </c>
      <c r="E1864" t="s">
        <v>2825</v>
      </c>
      <c r="F1864" t="s">
        <v>35</v>
      </c>
      <c r="G1864" t="s">
        <v>35</v>
      </c>
      <c r="H1864" t="s">
        <v>35</v>
      </c>
      <c r="J1864" t="s">
        <v>2835</v>
      </c>
      <c r="K1864" t="s">
        <v>1092</v>
      </c>
      <c r="M1864">
        <v>1.8</v>
      </c>
      <c r="N1864">
        <v>44</v>
      </c>
      <c r="O1864" t="s">
        <v>52</v>
      </c>
      <c r="Q1864" t="s">
        <v>54</v>
      </c>
      <c r="R1864" t="s">
        <v>2387</v>
      </c>
      <c r="S1864" t="s">
        <v>277</v>
      </c>
      <c r="T1864" t="s">
        <v>278</v>
      </c>
    </row>
    <row r="1865" spans="1:20" x14ac:dyDescent="0.25">
      <c r="A1865" t="s">
        <v>44</v>
      </c>
      <c r="B1865" t="s">
        <v>3</v>
      </c>
      <c r="C1865" t="s">
        <v>32</v>
      </c>
      <c r="D1865" t="s">
        <v>227</v>
      </c>
      <c r="E1865" t="s">
        <v>2850</v>
      </c>
      <c r="F1865" t="s">
        <v>35</v>
      </c>
      <c r="G1865" t="s">
        <v>35</v>
      </c>
      <c r="H1865" t="s">
        <v>35</v>
      </c>
      <c r="J1865" t="s">
        <v>2861</v>
      </c>
      <c r="K1865" t="s">
        <v>1092</v>
      </c>
      <c r="M1865">
        <v>1</v>
      </c>
      <c r="N1865">
        <v>11</v>
      </c>
      <c r="O1865" t="s">
        <v>46</v>
      </c>
      <c r="Q1865" t="s">
        <v>1476</v>
      </c>
      <c r="R1865" t="s">
        <v>2387</v>
      </c>
      <c r="S1865" t="s">
        <v>277</v>
      </c>
      <c r="T1865" t="s">
        <v>278</v>
      </c>
    </row>
    <row r="1866" spans="1:20" x14ac:dyDescent="0.25">
      <c r="A1866" t="s">
        <v>59</v>
      </c>
      <c r="B1866" t="s">
        <v>60</v>
      </c>
      <c r="C1866" t="s">
        <v>32</v>
      </c>
      <c r="D1866" t="s">
        <v>227</v>
      </c>
      <c r="E1866" t="s">
        <v>2871</v>
      </c>
      <c r="F1866" t="s">
        <v>35</v>
      </c>
      <c r="G1866" t="s">
        <v>35</v>
      </c>
      <c r="H1866" t="s">
        <v>35</v>
      </c>
      <c r="J1866" t="s">
        <v>2902</v>
      </c>
      <c r="K1866" t="s">
        <v>1092</v>
      </c>
      <c r="M1866">
        <v>0.5</v>
      </c>
      <c r="N1866">
        <v>22</v>
      </c>
      <c r="O1866" t="s">
        <v>46</v>
      </c>
      <c r="Q1866" t="s">
        <v>1645</v>
      </c>
      <c r="R1866" t="s">
        <v>2387</v>
      </c>
      <c r="S1866" t="s">
        <v>277</v>
      </c>
      <c r="T1866" t="s">
        <v>278</v>
      </c>
    </row>
    <row r="1867" spans="1:20" x14ac:dyDescent="0.25">
      <c r="A1867" t="s">
        <v>59</v>
      </c>
      <c r="B1867" t="s">
        <v>60</v>
      </c>
      <c r="C1867" t="s">
        <v>32</v>
      </c>
      <c r="D1867" t="s">
        <v>227</v>
      </c>
      <c r="E1867" t="s">
        <v>2675</v>
      </c>
      <c r="F1867" t="s">
        <v>35</v>
      </c>
      <c r="G1867" t="s">
        <v>35</v>
      </c>
      <c r="H1867" t="s">
        <v>35</v>
      </c>
      <c r="J1867" t="s">
        <v>2682</v>
      </c>
      <c r="K1867" t="s">
        <v>1092</v>
      </c>
      <c r="M1867">
        <v>0.1</v>
      </c>
      <c r="N1867">
        <v>132</v>
      </c>
      <c r="O1867" t="s">
        <v>38</v>
      </c>
      <c r="Q1867" t="s">
        <v>1696</v>
      </c>
      <c r="R1867" t="s">
        <v>2387</v>
      </c>
      <c r="S1867" t="s">
        <v>277</v>
      </c>
      <c r="T1867" t="s">
        <v>278</v>
      </c>
    </row>
    <row r="1868" spans="1:20" x14ac:dyDescent="0.25">
      <c r="A1868" t="s">
        <v>59</v>
      </c>
      <c r="B1868" t="s">
        <v>60</v>
      </c>
      <c r="C1868" t="s">
        <v>32</v>
      </c>
      <c r="D1868" t="s">
        <v>227</v>
      </c>
      <c r="E1868" t="s">
        <v>2675</v>
      </c>
      <c r="F1868" t="s">
        <v>35</v>
      </c>
      <c r="G1868" t="s">
        <v>35</v>
      </c>
      <c r="H1868" t="s">
        <v>35</v>
      </c>
      <c r="J1868" t="s">
        <v>2682</v>
      </c>
      <c r="K1868" t="s">
        <v>1092</v>
      </c>
      <c r="M1868">
        <v>0.02</v>
      </c>
      <c r="N1868">
        <v>214</v>
      </c>
      <c r="O1868" t="s">
        <v>5</v>
      </c>
      <c r="Q1868" t="s">
        <v>79</v>
      </c>
      <c r="R1868" t="s">
        <v>2387</v>
      </c>
      <c r="S1868" t="s">
        <v>277</v>
      </c>
      <c r="T1868" t="s">
        <v>278</v>
      </c>
    </row>
    <row r="1869" spans="1:20" x14ac:dyDescent="0.25">
      <c r="A1869" t="s">
        <v>59</v>
      </c>
      <c r="B1869" t="s">
        <v>60</v>
      </c>
      <c r="C1869" t="s">
        <v>32</v>
      </c>
      <c r="D1869" t="s">
        <v>227</v>
      </c>
      <c r="F1869" t="s">
        <v>35</v>
      </c>
      <c r="G1869" t="s">
        <v>35</v>
      </c>
      <c r="H1869" t="s">
        <v>35</v>
      </c>
      <c r="J1869" t="s">
        <v>3000</v>
      </c>
      <c r="K1869" t="s">
        <v>1092</v>
      </c>
      <c r="M1869">
        <v>0.5</v>
      </c>
      <c r="N1869">
        <v>1992</v>
      </c>
      <c r="O1869" t="s">
        <v>575</v>
      </c>
      <c r="Q1869" t="s">
        <v>3002</v>
      </c>
      <c r="R1869" t="s">
        <v>2387</v>
      </c>
      <c r="S1869" t="s">
        <v>277</v>
      </c>
      <c r="T1869" t="s">
        <v>278</v>
      </c>
    </row>
    <row r="1870" spans="1:20" x14ac:dyDescent="0.25">
      <c r="A1870" t="s">
        <v>59</v>
      </c>
      <c r="B1870" t="s">
        <v>60</v>
      </c>
      <c r="C1870" t="s">
        <v>32</v>
      </c>
      <c r="D1870" t="s">
        <v>227</v>
      </c>
      <c r="E1870" t="s">
        <v>2575</v>
      </c>
      <c r="F1870" t="s">
        <v>35</v>
      </c>
      <c r="G1870" t="s">
        <v>35</v>
      </c>
      <c r="H1870" t="s">
        <v>35</v>
      </c>
      <c r="J1870" t="s">
        <v>2597</v>
      </c>
      <c r="K1870" t="s">
        <v>1092</v>
      </c>
      <c r="M1870">
        <v>0.03</v>
      </c>
      <c r="N1870">
        <v>162</v>
      </c>
      <c r="O1870" t="s">
        <v>38</v>
      </c>
      <c r="Q1870" t="s">
        <v>1189</v>
      </c>
      <c r="R1870" t="s">
        <v>2387</v>
      </c>
      <c r="S1870" t="s">
        <v>277</v>
      </c>
      <c r="T1870" t="s">
        <v>278</v>
      </c>
    </row>
    <row r="1871" spans="1:20" x14ac:dyDescent="0.25">
      <c r="A1871" t="s">
        <v>30</v>
      </c>
      <c r="B1871" t="s">
        <v>31</v>
      </c>
      <c r="C1871" t="s">
        <v>32</v>
      </c>
      <c r="D1871" t="s">
        <v>227</v>
      </c>
      <c r="E1871" t="s">
        <v>2385</v>
      </c>
      <c r="F1871" t="s">
        <v>35</v>
      </c>
      <c r="G1871" t="s">
        <v>35</v>
      </c>
      <c r="H1871" t="s">
        <v>35</v>
      </c>
      <c r="J1871" t="s">
        <v>2407</v>
      </c>
      <c r="K1871" t="s">
        <v>1092</v>
      </c>
      <c r="M1871">
        <v>0.18</v>
      </c>
      <c r="N1871">
        <v>355</v>
      </c>
      <c r="O1871" t="s">
        <v>5</v>
      </c>
      <c r="Q1871" t="s">
        <v>2408</v>
      </c>
      <c r="R1871" t="s">
        <v>2387</v>
      </c>
      <c r="S1871" t="s">
        <v>277</v>
      </c>
      <c r="T1871" t="s">
        <v>278</v>
      </c>
    </row>
    <row r="1872" spans="1:20" x14ac:dyDescent="0.25">
      <c r="A1872" t="s">
        <v>44</v>
      </c>
      <c r="B1872" t="s">
        <v>3</v>
      </c>
      <c r="C1872" t="s">
        <v>32</v>
      </c>
      <c r="D1872" t="s">
        <v>227</v>
      </c>
      <c r="E1872" t="s">
        <v>2385</v>
      </c>
      <c r="F1872" t="s">
        <v>35</v>
      </c>
      <c r="G1872" t="s">
        <v>35</v>
      </c>
      <c r="H1872" t="s">
        <v>35</v>
      </c>
      <c r="J1872" t="s">
        <v>2407</v>
      </c>
      <c r="K1872" t="s">
        <v>1092</v>
      </c>
      <c r="M1872">
        <v>0.25</v>
      </c>
      <c r="N1872">
        <v>355</v>
      </c>
      <c r="O1872" t="s">
        <v>5</v>
      </c>
      <c r="Q1872" t="s">
        <v>2408</v>
      </c>
      <c r="R1872" t="s">
        <v>2387</v>
      </c>
      <c r="S1872" t="s">
        <v>277</v>
      </c>
      <c r="T1872" t="s">
        <v>278</v>
      </c>
    </row>
    <row r="1873" spans="1:20" x14ac:dyDescent="0.25">
      <c r="A1873" t="s">
        <v>59</v>
      </c>
      <c r="B1873" t="s">
        <v>31</v>
      </c>
      <c r="C1873" t="s">
        <v>32</v>
      </c>
      <c r="D1873" t="s">
        <v>227</v>
      </c>
      <c r="E1873" t="s">
        <v>2652</v>
      </c>
      <c r="F1873" t="s">
        <v>35</v>
      </c>
      <c r="G1873" t="s">
        <v>35</v>
      </c>
      <c r="H1873" t="s">
        <v>35</v>
      </c>
      <c r="J1873" t="s">
        <v>2668</v>
      </c>
      <c r="K1873" t="s">
        <v>1092</v>
      </c>
      <c r="M1873">
        <v>6.6150000000000002</v>
      </c>
      <c r="N1873">
        <v>188</v>
      </c>
      <c r="O1873" t="s">
        <v>5</v>
      </c>
      <c r="Q1873" t="s">
        <v>2075</v>
      </c>
      <c r="R1873" t="s">
        <v>2387</v>
      </c>
      <c r="S1873" t="s">
        <v>277</v>
      </c>
      <c r="T1873" t="s">
        <v>278</v>
      </c>
    </row>
    <row r="1874" spans="1:20" x14ac:dyDescent="0.25">
      <c r="A1874" t="s">
        <v>59</v>
      </c>
      <c r="B1874" t="s">
        <v>60</v>
      </c>
      <c r="C1874" t="s">
        <v>32</v>
      </c>
      <c r="D1874" t="s">
        <v>227</v>
      </c>
      <c r="E1874" t="s">
        <v>2871</v>
      </c>
      <c r="F1874" t="s">
        <v>35</v>
      </c>
      <c r="G1874" t="s">
        <v>35</v>
      </c>
      <c r="H1874" t="s">
        <v>35</v>
      </c>
      <c r="J1874" t="s">
        <v>2905</v>
      </c>
      <c r="K1874" t="s">
        <v>1092</v>
      </c>
      <c r="M1874">
        <v>0.5</v>
      </c>
      <c r="N1874">
        <v>46</v>
      </c>
      <c r="O1874" t="s">
        <v>52</v>
      </c>
      <c r="Q1874" t="s">
        <v>332</v>
      </c>
      <c r="R1874" t="s">
        <v>2387</v>
      </c>
      <c r="S1874" t="s">
        <v>277</v>
      </c>
      <c r="T1874" t="s">
        <v>278</v>
      </c>
    </row>
    <row r="1875" spans="1:20" x14ac:dyDescent="0.25">
      <c r="A1875" t="s">
        <v>30</v>
      </c>
      <c r="B1875" t="s">
        <v>31</v>
      </c>
      <c r="C1875" t="s">
        <v>32</v>
      </c>
      <c r="D1875" t="s">
        <v>227</v>
      </c>
      <c r="E1875" t="s">
        <v>276</v>
      </c>
      <c r="F1875" t="s">
        <v>35</v>
      </c>
      <c r="G1875" t="s">
        <v>35</v>
      </c>
      <c r="H1875" t="s">
        <v>35</v>
      </c>
      <c r="J1875" t="s">
        <v>2809</v>
      </c>
      <c r="K1875" t="s">
        <v>1092</v>
      </c>
      <c r="M1875">
        <v>2.5000000000000001E-2</v>
      </c>
      <c r="N1875">
        <v>1125</v>
      </c>
      <c r="O1875" t="s">
        <v>575</v>
      </c>
      <c r="Q1875" t="s">
        <v>2810</v>
      </c>
      <c r="R1875" t="s">
        <v>2387</v>
      </c>
      <c r="S1875" t="s">
        <v>277</v>
      </c>
      <c r="T1875" t="s">
        <v>278</v>
      </c>
    </row>
    <row r="1876" spans="1:20" x14ac:dyDescent="0.25">
      <c r="A1876" t="s">
        <v>59</v>
      </c>
      <c r="B1876" t="s">
        <v>31</v>
      </c>
      <c r="C1876" t="s">
        <v>32</v>
      </c>
      <c r="D1876" t="s">
        <v>227</v>
      </c>
      <c r="E1876" t="s">
        <v>276</v>
      </c>
      <c r="F1876" t="s">
        <v>35</v>
      </c>
      <c r="G1876" t="s">
        <v>35</v>
      </c>
      <c r="H1876" t="s">
        <v>35</v>
      </c>
      <c r="J1876" t="s">
        <v>2809</v>
      </c>
      <c r="K1876" t="s">
        <v>1092</v>
      </c>
      <c r="M1876">
        <v>2.5000000000000001E-2</v>
      </c>
      <c r="N1876">
        <v>1125</v>
      </c>
      <c r="O1876" t="s">
        <v>575</v>
      </c>
      <c r="Q1876" t="s">
        <v>2810</v>
      </c>
      <c r="R1876" t="s">
        <v>2387</v>
      </c>
      <c r="S1876" t="s">
        <v>277</v>
      </c>
      <c r="T1876" t="s">
        <v>278</v>
      </c>
    </row>
    <row r="1877" spans="1:20" x14ac:dyDescent="0.25">
      <c r="A1877" t="s">
        <v>59</v>
      </c>
      <c r="B1877" t="s">
        <v>60</v>
      </c>
      <c r="C1877" t="s">
        <v>32</v>
      </c>
      <c r="D1877" t="s">
        <v>227</v>
      </c>
      <c r="F1877" t="s">
        <v>35</v>
      </c>
      <c r="G1877" t="s">
        <v>35</v>
      </c>
      <c r="H1877" t="s">
        <v>35</v>
      </c>
      <c r="J1877" t="s">
        <v>3080</v>
      </c>
      <c r="K1877" t="s">
        <v>1092</v>
      </c>
      <c r="M1877">
        <v>0.3</v>
      </c>
      <c r="N1877">
        <v>2602</v>
      </c>
      <c r="O1877" t="s">
        <v>575</v>
      </c>
      <c r="Q1877" t="s">
        <v>3081</v>
      </c>
      <c r="R1877" t="s">
        <v>2387</v>
      </c>
      <c r="S1877" t="s">
        <v>277</v>
      </c>
      <c r="T1877" t="s">
        <v>278</v>
      </c>
    </row>
    <row r="1878" spans="1:20" x14ac:dyDescent="0.25">
      <c r="A1878" t="s">
        <v>44</v>
      </c>
      <c r="B1878" t="s">
        <v>51</v>
      </c>
      <c r="C1878" t="s">
        <v>32</v>
      </c>
      <c r="D1878" t="s">
        <v>227</v>
      </c>
      <c r="E1878" t="s">
        <v>2850</v>
      </c>
      <c r="F1878" t="s">
        <v>35</v>
      </c>
      <c r="G1878" t="s">
        <v>35</v>
      </c>
      <c r="H1878" t="s">
        <v>35</v>
      </c>
      <c r="J1878" t="s">
        <v>2853</v>
      </c>
      <c r="K1878" t="s">
        <v>1092</v>
      </c>
      <c r="M1878">
        <v>0.68</v>
      </c>
      <c r="N1878">
        <v>36</v>
      </c>
      <c r="O1878" t="s">
        <v>52</v>
      </c>
      <c r="Q1878" t="s">
        <v>892</v>
      </c>
      <c r="R1878" t="s">
        <v>2387</v>
      </c>
      <c r="S1878" t="s">
        <v>277</v>
      </c>
      <c r="T1878" t="s">
        <v>278</v>
      </c>
    </row>
    <row r="1879" spans="1:20" x14ac:dyDescent="0.25">
      <c r="A1879" t="s">
        <v>44</v>
      </c>
      <c r="B1879" t="s">
        <v>51</v>
      </c>
      <c r="C1879" t="s">
        <v>32</v>
      </c>
      <c r="D1879" t="s">
        <v>227</v>
      </c>
      <c r="E1879" t="s">
        <v>2785</v>
      </c>
      <c r="F1879" t="s">
        <v>35</v>
      </c>
      <c r="G1879" t="s">
        <v>35</v>
      </c>
      <c r="H1879" t="s">
        <v>35</v>
      </c>
      <c r="J1879" t="s">
        <v>2793</v>
      </c>
      <c r="K1879" t="s">
        <v>1092</v>
      </c>
      <c r="M1879">
        <v>2.5</v>
      </c>
      <c r="N1879">
        <v>56</v>
      </c>
      <c r="O1879" t="s">
        <v>52</v>
      </c>
      <c r="Q1879" t="s">
        <v>423</v>
      </c>
      <c r="R1879" t="s">
        <v>2387</v>
      </c>
      <c r="S1879" t="s">
        <v>277</v>
      </c>
      <c r="T1879" t="s">
        <v>278</v>
      </c>
    </row>
    <row r="1880" spans="1:20" x14ac:dyDescent="0.25">
      <c r="A1880" t="s">
        <v>44</v>
      </c>
      <c r="B1880" t="s">
        <v>3</v>
      </c>
      <c r="C1880" t="s">
        <v>32</v>
      </c>
      <c r="D1880" t="s">
        <v>227</v>
      </c>
      <c r="E1880" t="s">
        <v>276</v>
      </c>
      <c r="F1880" t="s">
        <v>35</v>
      </c>
      <c r="G1880" t="s">
        <v>35</v>
      </c>
      <c r="H1880" t="s">
        <v>35</v>
      </c>
      <c r="J1880" t="s">
        <v>2824</v>
      </c>
      <c r="K1880" t="s">
        <v>1092</v>
      </c>
      <c r="M1880">
        <v>5</v>
      </c>
      <c r="N1880">
        <v>20</v>
      </c>
      <c r="O1880" t="s">
        <v>46</v>
      </c>
      <c r="Q1880" t="s">
        <v>1011</v>
      </c>
      <c r="R1880" t="s">
        <v>2387</v>
      </c>
      <c r="S1880" t="s">
        <v>277</v>
      </c>
      <c r="T1880" t="s">
        <v>278</v>
      </c>
    </row>
    <row r="1881" spans="1:20" x14ac:dyDescent="0.25">
      <c r="A1881" t="s">
        <v>44</v>
      </c>
      <c r="B1881" t="s">
        <v>3</v>
      </c>
      <c r="C1881" t="s">
        <v>32</v>
      </c>
      <c r="D1881" t="s">
        <v>227</v>
      </c>
      <c r="E1881" t="s">
        <v>276</v>
      </c>
      <c r="F1881" t="s">
        <v>35</v>
      </c>
      <c r="G1881" t="s">
        <v>35</v>
      </c>
      <c r="H1881" t="s">
        <v>35</v>
      </c>
      <c r="J1881" t="s">
        <v>2824</v>
      </c>
      <c r="K1881" t="s">
        <v>1092</v>
      </c>
      <c r="M1881">
        <v>1.25</v>
      </c>
      <c r="N1881">
        <v>28</v>
      </c>
      <c r="O1881" t="s">
        <v>46</v>
      </c>
      <c r="Q1881" t="s">
        <v>48</v>
      </c>
      <c r="R1881" t="s">
        <v>2387</v>
      </c>
      <c r="S1881" t="s">
        <v>277</v>
      </c>
      <c r="T1881" t="s">
        <v>278</v>
      </c>
    </row>
    <row r="1882" spans="1:20" x14ac:dyDescent="0.25">
      <c r="A1882" t="s">
        <v>59</v>
      </c>
      <c r="B1882" t="s">
        <v>60</v>
      </c>
      <c r="C1882" t="s">
        <v>32</v>
      </c>
      <c r="D1882" t="s">
        <v>227</v>
      </c>
      <c r="E1882" t="s">
        <v>2871</v>
      </c>
      <c r="F1882" t="s">
        <v>35</v>
      </c>
      <c r="G1882" t="s">
        <v>35</v>
      </c>
      <c r="H1882" t="s">
        <v>35</v>
      </c>
      <c r="J1882" t="s">
        <v>2898</v>
      </c>
      <c r="K1882" t="s">
        <v>1092</v>
      </c>
      <c r="M1882">
        <v>0.5</v>
      </c>
      <c r="N1882">
        <v>124</v>
      </c>
      <c r="O1882" t="s">
        <v>38</v>
      </c>
      <c r="Q1882" t="s">
        <v>646</v>
      </c>
      <c r="R1882" t="s">
        <v>2387</v>
      </c>
      <c r="S1882" t="s">
        <v>277</v>
      </c>
      <c r="T1882" t="s">
        <v>278</v>
      </c>
    </row>
    <row r="1883" spans="1:20" x14ac:dyDescent="0.25">
      <c r="A1883" t="s">
        <v>44</v>
      </c>
      <c r="B1883" t="s">
        <v>51</v>
      </c>
      <c r="C1883" t="s">
        <v>32</v>
      </c>
      <c r="D1883" t="s">
        <v>227</v>
      </c>
      <c r="E1883" t="s">
        <v>2785</v>
      </c>
      <c r="F1883" t="s">
        <v>35</v>
      </c>
      <c r="G1883" t="s">
        <v>35</v>
      </c>
      <c r="H1883" t="s">
        <v>35</v>
      </c>
      <c r="J1883" t="s">
        <v>2789</v>
      </c>
      <c r="K1883" t="s">
        <v>1092</v>
      </c>
      <c r="M1883">
        <v>1.9</v>
      </c>
      <c r="N1883">
        <v>53</v>
      </c>
      <c r="O1883" t="s">
        <v>52</v>
      </c>
      <c r="Q1883" t="s">
        <v>1734</v>
      </c>
      <c r="R1883" t="s">
        <v>2387</v>
      </c>
      <c r="S1883" t="s">
        <v>277</v>
      </c>
      <c r="T1883" t="s">
        <v>278</v>
      </c>
    </row>
    <row r="1884" spans="1:20" x14ac:dyDescent="0.25">
      <c r="A1884" t="s">
        <v>30</v>
      </c>
      <c r="B1884" t="s">
        <v>31</v>
      </c>
      <c r="C1884" t="s">
        <v>32</v>
      </c>
      <c r="D1884" t="s">
        <v>227</v>
      </c>
      <c r="E1884" t="s">
        <v>2731</v>
      </c>
      <c r="F1884" t="s">
        <v>35</v>
      </c>
      <c r="G1884" t="s">
        <v>35</v>
      </c>
      <c r="H1884" t="s">
        <v>35</v>
      </c>
      <c r="J1884" t="s">
        <v>2738</v>
      </c>
      <c r="K1884" t="s">
        <v>1092</v>
      </c>
      <c r="M1884">
        <v>1.575</v>
      </c>
      <c r="N1884">
        <v>65</v>
      </c>
      <c r="O1884" t="s">
        <v>61</v>
      </c>
      <c r="Q1884" t="s">
        <v>63</v>
      </c>
      <c r="R1884" t="s">
        <v>2387</v>
      </c>
      <c r="S1884" t="s">
        <v>277</v>
      </c>
      <c r="T1884" t="s">
        <v>278</v>
      </c>
    </row>
    <row r="1885" spans="1:20" x14ac:dyDescent="0.25">
      <c r="A1885" t="s">
        <v>59</v>
      </c>
      <c r="B1885" t="s">
        <v>60</v>
      </c>
      <c r="C1885" t="s">
        <v>32</v>
      </c>
      <c r="D1885" t="s">
        <v>227</v>
      </c>
      <c r="E1885" t="s">
        <v>2652</v>
      </c>
      <c r="F1885" t="s">
        <v>35</v>
      </c>
      <c r="G1885" t="s">
        <v>35</v>
      </c>
      <c r="H1885" t="s">
        <v>35</v>
      </c>
      <c r="J1885" t="s">
        <v>2659</v>
      </c>
      <c r="K1885" t="s">
        <v>1092</v>
      </c>
      <c r="M1885">
        <v>0.15</v>
      </c>
      <c r="N1885">
        <v>102</v>
      </c>
      <c r="O1885" t="s">
        <v>106</v>
      </c>
      <c r="Q1885" t="s">
        <v>2624</v>
      </c>
      <c r="R1885" t="s">
        <v>2387</v>
      </c>
      <c r="S1885" t="s">
        <v>277</v>
      </c>
      <c r="T1885" t="s">
        <v>278</v>
      </c>
    </row>
    <row r="1886" spans="1:20" x14ac:dyDescent="0.25">
      <c r="A1886" t="s">
        <v>59</v>
      </c>
      <c r="B1886" t="s">
        <v>60</v>
      </c>
      <c r="C1886" t="s">
        <v>32</v>
      </c>
      <c r="D1886" t="s">
        <v>227</v>
      </c>
      <c r="E1886" t="s">
        <v>2675</v>
      </c>
      <c r="F1886" t="s">
        <v>35</v>
      </c>
      <c r="G1886" t="s">
        <v>35</v>
      </c>
      <c r="H1886" t="s">
        <v>35</v>
      </c>
      <c r="J1886" t="s">
        <v>2697</v>
      </c>
      <c r="K1886" t="s">
        <v>1092</v>
      </c>
      <c r="M1886">
        <v>0.25</v>
      </c>
      <c r="N1886">
        <v>46</v>
      </c>
      <c r="O1886" t="s">
        <v>52</v>
      </c>
      <c r="Q1886" t="s">
        <v>332</v>
      </c>
      <c r="R1886" t="s">
        <v>2387</v>
      </c>
      <c r="S1886" t="s">
        <v>277</v>
      </c>
      <c r="T1886" t="s">
        <v>278</v>
      </c>
    </row>
    <row r="1887" spans="1:20" x14ac:dyDescent="0.25">
      <c r="A1887" t="s">
        <v>59</v>
      </c>
      <c r="B1887" t="s">
        <v>60</v>
      </c>
      <c r="C1887" t="s">
        <v>32</v>
      </c>
      <c r="D1887" t="s">
        <v>227</v>
      </c>
      <c r="E1887" t="s">
        <v>2675</v>
      </c>
      <c r="F1887" t="s">
        <v>35</v>
      </c>
      <c r="G1887" t="s">
        <v>35</v>
      </c>
      <c r="H1887" t="s">
        <v>35</v>
      </c>
      <c r="J1887" t="s">
        <v>2697</v>
      </c>
      <c r="K1887" t="s">
        <v>1092</v>
      </c>
      <c r="M1887">
        <v>0.25</v>
      </c>
      <c r="N1887">
        <v>22</v>
      </c>
      <c r="O1887" t="s">
        <v>46</v>
      </c>
      <c r="Q1887" t="s">
        <v>1645</v>
      </c>
      <c r="R1887" t="s">
        <v>2387</v>
      </c>
      <c r="S1887" t="s">
        <v>277</v>
      </c>
      <c r="T1887" t="s">
        <v>278</v>
      </c>
    </row>
    <row r="1888" spans="1:20" x14ac:dyDescent="0.25">
      <c r="A1888" t="s">
        <v>59</v>
      </c>
      <c r="B1888" t="s">
        <v>60</v>
      </c>
      <c r="C1888" t="s">
        <v>32</v>
      </c>
      <c r="D1888" t="s">
        <v>227</v>
      </c>
      <c r="E1888" t="s">
        <v>2675</v>
      </c>
      <c r="F1888" t="s">
        <v>35</v>
      </c>
      <c r="G1888" t="s">
        <v>35</v>
      </c>
      <c r="H1888" t="s">
        <v>35</v>
      </c>
      <c r="J1888" t="s">
        <v>2697</v>
      </c>
      <c r="K1888" t="s">
        <v>1092</v>
      </c>
      <c r="M1888">
        <v>1</v>
      </c>
      <c r="N1888">
        <v>102</v>
      </c>
      <c r="O1888" t="s">
        <v>106</v>
      </c>
      <c r="Q1888" t="s">
        <v>2624</v>
      </c>
      <c r="R1888" t="s">
        <v>2387</v>
      </c>
      <c r="S1888" t="s">
        <v>277</v>
      </c>
      <c r="T1888" t="s">
        <v>278</v>
      </c>
    </row>
    <row r="1889" spans="1:20" x14ac:dyDescent="0.25">
      <c r="A1889" t="s">
        <v>30</v>
      </c>
      <c r="B1889" t="s">
        <v>31</v>
      </c>
      <c r="C1889" t="s">
        <v>32</v>
      </c>
      <c r="D1889" t="s">
        <v>227</v>
      </c>
      <c r="E1889" t="s">
        <v>2675</v>
      </c>
      <c r="F1889" t="s">
        <v>35</v>
      </c>
      <c r="G1889" t="s">
        <v>35</v>
      </c>
      <c r="H1889" t="s">
        <v>35</v>
      </c>
      <c r="J1889" t="s">
        <v>2697</v>
      </c>
      <c r="K1889" t="s">
        <v>1092</v>
      </c>
      <c r="M1889">
        <v>0.09</v>
      </c>
      <c r="N1889">
        <v>206</v>
      </c>
      <c r="O1889" t="s">
        <v>5</v>
      </c>
      <c r="Q1889" t="s">
        <v>1298</v>
      </c>
      <c r="R1889" t="s">
        <v>2387</v>
      </c>
      <c r="S1889" t="s">
        <v>277</v>
      </c>
      <c r="T1889" t="s">
        <v>278</v>
      </c>
    </row>
    <row r="1890" spans="1:20" x14ac:dyDescent="0.25">
      <c r="A1890" t="s">
        <v>59</v>
      </c>
      <c r="B1890" t="s">
        <v>60</v>
      </c>
      <c r="C1890" t="s">
        <v>32</v>
      </c>
      <c r="D1890" t="s">
        <v>227</v>
      </c>
      <c r="E1890" t="s">
        <v>2871</v>
      </c>
      <c r="F1890" t="s">
        <v>35</v>
      </c>
      <c r="G1890" t="s">
        <v>35</v>
      </c>
      <c r="H1890" t="s">
        <v>35</v>
      </c>
      <c r="J1890" t="s">
        <v>2879</v>
      </c>
      <c r="K1890" t="s">
        <v>1092</v>
      </c>
      <c r="M1890">
        <v>0.45</v>
      </c>
      <c r="N1890">
        <v>20</v>
      </c>
      <c r="O1890" t="s">
        <v>46</v>
      </c>
      <c r="Q1890" t="s">
        <v>1011</v>
      </c>
      <c r="R1890" t="s">
        <v>2387</v>
      </c>
      <c r="S1890" t="s">
        <v>277</v>
      </c>
      <c r="T1890" t="s">
        <v>278</v>
      </c>
    </row>
    <row r="1891" spans="1:20" x14ac:dyDescent="0.25">
      <c r="A1891" t="s">
        <v>44</v>
      </c>
      <c r="B1891" t="s">
        <v>3</v>
      </c>
      <c r="C1891" t="s">
        <v>32</v>
      </c>
      <c r="D1891" t="s">
        <v>227</v>
      </c>
      <c r="E1891" t="s">
        <v>2871</v>
      </c>
      <c r="F1891" t="s">
        <v>35</v>
      </c>
      <c r="G1891" t="s">
        <v>35</v>
      </c>
      <c r="H1891" t="s">
        <v>35</v>
      </c>
      <c r="J1891" t="s">
        <v>2879</v>
      </c>
      <c r="K1891" t="s">
        <v>1092</v>
      </c>
      <c r="M1891">
        <v>1.5</v>
      </c>
      <c r="N1891">
        <v>38</v>
      </c>
      <c r="O1891" t="s">
        <v>52</v>
      </c>
      <c r="Q1891" t="s">
        <v>716</v>
      </c>
      <c r="R1891" t="s">
        <v>2387</v>
      </c>
      <c r="S1891" t="s">
        <v>277</v>
      </c>
      <c r="T1891" t="s">
        <v>278</v>
      </c>
    </row>
    <row r="1892" spans="1:20" x14ac:dyDescent="0.25">
      <c r="A1892" t="s">
        <v>59</v>
      </c>
      <c r="B1892" t="s">
        <v>60</v>
      </c>
      <c r="C1892" t="s">
        <v>32</v>
      </c>
      <c r="D1892" t="s">
        <v>227</v>
      </c>
      <c r="E1892" t="s">
        <v>2794</v>
      </c>
      <c r="F1892" t="s">
        <v>35</v>
      </c>
      <c r="G1892" t="s">
        <v>35</v>
      </c>
      <c r="H1892" t="s">
        <v>35</v>
      </c>
      <c r="J1892" t="s">
        <v>2796</v>
      </c>
      <c r="K1892" t="s">
        <v>1092</v>
      </c>
      <c r="M1892">
        <v>0.4</v>
      </c>
      <c r="N1892">
        <v>49</v>
      </c>
      <c r="O1892" t="s">
        <v>52</v>
      </c>
      <c r="Q1892" t="s">
        <v>453</v>
      </c>
      <c r="R1892" t="s">
        <v>2387</v>
      </c>
      <c r="S1892" t="s">
        <v>277</v>
      </c>
      <c r="T1892" t="s">
        <v>278</v>
      </c>
    </row>
    <row r="1893" spans="1:20" x14ac:dyDescent="0.25">
      <c r="A1893" t="s">
        <v>59</v>
      </c>
      <c r="B1893" t="s">
        <v>60</v>
      </c>
      <c r="C1893" t="s">
        <v>32</v>
      </c>
      <c r="D1893" t="s">
        <v>227</v>
      </c>
      <c r="E1893" t="s">
        <v>2825</v>
      </c>
      <c r="F1893" t="s">
        <v>35</v>
      </c>
      <c r="G1893" t="s">
        <v>35</v>
      </c>
      <c r="H1893" t="s">
        <v>35</v>
      </c>
      <c r="J1893" t="s">
        <v>2842</v>
      </c>
      <c r="K1893" t="s">
        <v>1092</v>
      </c>
      <c r="M1893">
        <v>0.14499999999999999</v>
      </c>
      <c r="N1893">
        <v>154</v>
      </c>
      <c r="O1893" t="s">
        <v>38</v>
      </c>
      <c r="Q1893" t="s">
        <v>2639</v>
      </c>
      <c r="R1893" t="s">
        <v>2387</v>
      </c>
      <c r="S1893" t="s">
        <v>277</v>
      </c>
      <c r="T1893" t="s">
        <v>278</v>
      </c>
    </row>
    <row r="1894" spans="1:20" x14ac:dyDescent="0.25">
      <c r="A1894" t="s">
        <v>59</v>
      </c>
      <c r="B1894" t="s">
        <v>60</v>
      </c>
      <c r="C1894" t="s">
        <v>32</v>
      </c>
      <c r="D1894" t="s">
        <v>227</v>
      </c>
      <c r="E1894" t="s">
        <v>2675</v>
      </c>
      <c r="F1894" t="s">
        <v>35</v>
      </c>
      <c r="G1894" t="s">
        <v>35</v>
      </c>
      <c r="H1894" t="s">
        <v>35</v>
      </c>
      <c r="J1894" t="s">
        <v>2694</v>
      </c>
      <c r="K1894" t="s">
        <v>1092</v>
      </c>
      <c r="M1894">
        <v>0.25</v>
      </c>
      <c r="N1894">
        <v>132</v>
      </c>
      <c r="O1894" t="s">
        <v>38</v>
      </c>
      <c r="Q1894" t="s">
        <v>1696</v>
      </c>
      <c r="R1894" t="s">
        <v>2387</v>
      </c>
      <c r="S1894" t="s">
        <v>277</v>
      </c>
      <c r="T1894" t="s">
        <v>278</v>
      </c>
    </row>
    <row r="1895" spans="1:20" x14ac:dyDescent="0.25">
      <c r="A1895" t="s">
        <v>30</v>
      </c>
      <c r="B1895" t="s">
        <v>31</v>
      </c>
      <c r="C1895" t="s">
        <v>32</v>
      </c>
      <c r="D1895" t="s">
        <v>227</v>
      </c>
      <c r="E1895" t="s">
        <v>251</v>
      </c>
      <c r="F1895" t="s">
        <v>35</v>
      </c>
      <c r="G1895" t="s">
        <v>35</v>
      </c>
      <c r="H1895" t="s">
        <v>35</v>
      </c>
      <c r="J1895" t="s">
        <v>2751</v>
      </c>
      <c r="K1895" t="s">
        <v>1092</v>
      </c>
      <c r="M1895">
        <v>19.035</v>
      </c>
      <c r="N1895">
        <v>37</v>
      </c>
      <c r="O1895" t="s">
        <v>52</v>
      </c>
      <c r="Q1895" t="s">
        <v>192</v>
      </c>
      <c r="R1895" t="s">
        <v>2387</v>
      </c>
      <c r="S1895" t="s">
        <v>277</v>
      </c>
      <c r="T1895" t="s">
        <v>278</v>
      </c>
    </row>
    <row r="1896" spans="1:20" x14ac:dyDescent="0.25">
      <c r="A1896" t="s">
        <v>59</v>
      </c>
      <c r="B1896" t="s">
        <v>60</v>
      </c>
      <c r="C1896" t="s">
        <v>32</v>
      </c>
      <c r="D1896" t="s">
        <v>227</v>
      </c>
      <c r="E1896" t="s">
        <v>2850</v>
      </c>
      <c r="F1896" t="s">
        <v>35</v>
      </c>
      <c r="G1896" t="s">
        <v>35</v>
      </c>
      <c r="H1896" t="s">
        <v>35</v>
      </c>
      <c r="J1896" t="s">
        <v>2854</v>
      </c>
      <c r="K1896" t="s">
        <v>1092</v>
      </c>
      <c r="M1896">
        <v>0.5</v>
      </c>
      <c r="N1896">
        <v>161</v>
      </c>
      <c r="O1896" t="s">
        <v>38</v>
      </c>
      <c r="Q1896" t="s">
        <v>2431</v>
      </c>
      <c r="R1896" t="s">
        <v>2387</v>
      </c>
      <c r="S1896" t="s">
        <v>277</v>
      </c>
      <c r="T1896" t="s">
        <v>278</v>
      </c>
    </row>
    <row r="1897" spans="1:20" x14ac:dyDescent="0.25">
      <c r="A1897" t="s">
        <v>44</v>
      </c>
      <c r="B1897" t="s">
        <v>3</v>
      </c>
      <c r="C1897" t="s">
        <v>32</v>
      </c>
      <c r="D1897" t="s">
        <v>227</v>
      </c>
      <c r="E1897" t="s">
        <v>2850</v>
      </c>
      <c r="F1897" t="s">
        <v>35</v>
      </c>
      <c r="G1897" t="s">
        <v>35</v>
      </c>
      <c r="H1897" t="s">
        <v>35</v>
      </c>
      <c r="J1897" t="s">
        <v>2859</v>
      </c>
      <c r="K1897" t="s">
        <v>1092</v>
      </c>
      <c r="M1897">
        <v>0.75</v>
      </c>
      <c r="N1897">
        <v>26</v>
      </c>
      <c r="O1897" t="s">
        <v>46</v>
      </c>
      <c r="Q1897" t="s">
        <v>137</v>
      </c>
      <c r="R1897" t="s">
        <v>2387</v>
      </c>
      <c r="S1897" t="s">
        <v>277</v>
      </c>
      <c r="T1897" t="s">
        <v>278</v>
      </c>
    </row>
    <row r="1898" spans="1:20" x14ac:dyDescent="0.25">
      <c r="A1898" t="s">
        <v>59</v>
      </c>
      <c r="B1898" t="s">
        <v>31</v>
      </c>
      <c r="C1898" t="s">
        <v>32</v>
      </c>
      <c r="D1898" t="s">
        <v>227</v>
      </c>
      <c r="E1898" t="s">
        <v>2785</v>
      </c>
      <c r="F1898" t="s">
        <v>35</v>
      </c>
      <c r="G1898" t="s">
        <v>35</v>
      </c>
      <c r="H1898" t="s">
        <v>35</v>
      </c>
      <c r="J1898" t="s">
        <v>2790</v>
      </c>
      <c r="K1898" t="s">
        <v>1092</v>
      </c>
      <c r="M1898">
        <v>0.45</v>
      </c>
      <c r="N1898">
        <v>65</v>
      </c>
      <c r="O1898" t="s">
        <v>61</v>
      </c>
      <c r="Q1898" t="s">
        <v>63</v>
      </c>
      <c r="R1898" t="s">
        <v>2387</v>
      </c>
      <c r="S1898" t="s">
        <v>277</v>
      </c>
      <c r="T1898" t="s">
        <v>278</v>
      </c>
    </row>
    <row r="1899" spans="1:20" x14ac:dyDescent="0.25">
      <c r="A1899" t="s">
        <v>30</v>
      </c>
      <c r="B1899" t="s">
        <v>31</v>
      </c>
      <c r="C1899" t="s">
        <v>32</v>
      </c>
      <c r="D1899" t="s">
        <v>227</v>
      </c>
      <c r="E1899" t="s">
        <v>2794</v>
      </c>
      <c r="F1899" t="s">
        <v>35</v>
      </c>
      <c r="G1899" t="s">
        <v>35</v>
      </c>
      <c r="H1899" t="s">
        <v>35</v>
      </c>
      <c r="J1899" t="s">
        <v>2798</v>
      </c>
      <c r="K1899" t="s">
        <v>1092</v>
      </c>
      <c r="M1899">
        <v>2.0249999999999999</v>
      </c>
      <c r="N1899">
        <v>65</v>
      </c>
      <c r="O1899" t="s">
        <v>61</v>
      </c>
      <c r="Q1899" t="s">
        <v>63</v>
      </c>
      <c r="R1899" t="s">
        <v>2387</v>
      </c>
      <c r="S1899" t="s">
        <v>277</v>
      </c>
      <c r="T1899" t="s">
        <v>278</v>
      </c>
    </row>
    <row r="1900" spans="1:20" x14ac:dyDescent="0.25">
      <c r="A1900" t="s">
        <v>59</v>
      </c>
      <c r="B1900" t="s">
        <v>60</v>
      </c>
      <c r="C1900" t="s">
        <v>32</v>
      </c>
      <c r="D1900" t="s">
        <v>227</v>
      </c>
      <c r="E1900" t="s">
        <v>2871</v>
      </c>
      <c r="F1900" t="s">
        <v>35</v>
      </c>
      <c r="G1900" t="s">
        <v>35</v>
      </c>
      <c r="H1900" t="s">
        <v>35</v>
      </c>
      <c r="J1900" t="s">
        <v>2881</v>
      </c>
      <c r="K1900" t="s">
        <v>1092</v>
      </c>
      <c r="M1900">
        <v>0.5</v>
      </c>
      <c r="N1900">
        <v>28</v>
      </c>
      <c r="O1900" t="s">
        <v>46</v>
      </c>
      <c r="Q1900" t="s">
        <v>48</v>
      </c>
      <c r="R1900" t="s">
        <v>2387</v>
      </c>
      <c r="S1900" t="s">
        <v>277</v>
      </c>
      <c r="T1900" t="s">
        <v>278</v>
      </c>
    </row>
    <row r="1901" spans="1:20" x14ac:dyDescent="0.25">
      <c r="A1901" t="s">
        <v>44</v>
      </c>
      <c r="B1901" t="s">
        <v>51</v>
      </c>
      <c r="C1901" t="s">
        <v>32</v>
      </c>
      <c r="D1901" t="s">
        <v>227</v>
      </c>
      <c r="E1901" t="s">
        <v>2871</v>
      </c>
      <c r="F1901" t="s">
        <v>35</v>
      </c>
      <c r="G1901" t="s">
        <v>35</v>
      </c>
      <c r="H1901" t="s">
        <v>35</v>
      </c>
      <c r="J1901" t="s">
        <v>2881</v>
      </c>
      <c r="K1901" t="s">
        <v>1092</v>
      </c>
      <c r="M1901">
        <v>0.5</v>
      </c>
      <c r="N1901">
        <v>28</v>
      </c>
      <c r="O1901" t="s">
        <v>46</v>
      </c>
      <c r="Q1901" t="s">
        <v>48</v>
      </c>
      <c r="R1901" t="s">
        <v>2387</v>
      </c>
      <c r="S1901" t="s">
        <v>277</v>
      </c>
      <c r="T1901" t="s">
        <v>278</v>
      </c>
    </row>
    <row r="1902" spans="1:20" x14ac:dyDescent="0.25">
      <c r="A1902" t="s">
        <v>44</v>
      </c>
      <c r="B1902" t="s">
        <v>3</v>
      </c>
      <c r="C1902" t="s">
        <v>32</v>
      </c>
      <c r="D1902" t="s">
        <v>227</v>
      </c>
      <c r="E1902" t="s">
        <v>276</v>
      </c>
      <c r="F1902" t="s">
        <v>35</v>
      </c>
      <c r="G1902" t="s">
        <v>35</v>
      </c>
      <c r="H1902" t="s">
        <v>35</v>
      </c>
      <c r="J1902" t="s">
        <v>281</v>
      </c>
      <c r="K1902" t="s">
        <v>37</v>
      </c>
      <c r="M1902">
        <v>4.5</v>
      </c>
      <c r="N1902">
        <v>61</v>
      </c>
      <c r="O1902" t="s">
        <v>61</v>
      </c>
      <c r="P1902" t="s">
        <v>283</v>
      </c>
      <c r="Q1902" t="s">
        <v>146</v>
      </c>
      <c r="R1902" t="s">
        <v>199</v>
      </c>
      <c r="S1902" t="s">
        <v>200</v>
      </c>
      <c r="T1902" t="s">
        <v>201</v>
      </c>
    </row>
    <row r="1903" spans="1:20" x14ac:dyDescent="0.25">
      <c r="A1903" t="s">
        <v>44</v>
      </c>
      <c r="B1903" t="s">
        <v>3</v>
      </c>
      <c r="C1903" t="s">
        <v>32</v>
      </c>
      <c r="D1903" t="s">
        <v>227</v>
      </c>
      <c r="F1903" t="s">
        <v>35</v>
      </c>
      <c r="G1903" t="s">
        <v>35</v>
      </c>
      <c r="H1903" t="s">
        <v>35</v>
      </c>
      <c r="J1903" t="s">
        <v>290</v>
      </c>
      <c r="K1903" t="s">
        <v>37</v>
      </c>
      <c r="M1903">
        <v>5.5</v>
      </c>
      <c r="N1903">
        <v>61</v>
      </c>
      <c r="O1903" t="s">
        <v>61</v>
      </c>
      <c r="P1903" t="s">
        <v>292</v>
      </c>
      <c r="Q1903" t="s">
        <v>146</v>
      </c>
      <c r="R1903" t="s">
        <v>199</v>
      </c>
      <c r="S1903" t="s">
        <v>200</v>
      </c>
      <c r="T1903" t="s">
        <v>201</v>
      </c>
    </row>
    <row r="1904" spans="1:20" x14ac:dyDescent="0.25">
      <c r="A1904" t="s">
        <v>59</v>
      </c>
      <c r="B1904" t="s">
        <v>31</v>
      </c>
      <c r="C1904" t="s">
        <v>32</v>
      </c>
      <c r="D1904" t="s">
        <v>227</v>
      </c>
      <c r="E1904" t="s">
        <v>2731</v>
      </c>
      <c r="F1904" t="s">
        <v>35</v>
      </c>
      <c r="G1904" t="s">
        <v>35</v>
      </c>
      <c r="H1904" t="s">
        <v>35</v>
      </c>
      <c r="J1904" t="s">
        <v>2736</v>
      </c>
      <c r="K1904" t="s">
        <v>1092</v>
      </c>
      <c r="M1904">
        <v>0.13500000000000001</v>
      </c>
      <c r="N1904">
        <v>245</v>
      </c>
      <c r="O1904" t="s">
        <v>5</v>
      </c>
      <c r="Q1904" t="s">
        <v>1222</v>
      </c>
      <c r="R1904" t="s">
        <v>2540</v>
      </c>
      <c r="S1904" t="s">
        <v>246</v>
      </c>
      <c r="T1904" t="s">
        <v>247</v>
      </c>
    </row>
    <row r="1905" spans="1:20" x14ac:dyDescent="0.25">
      <c r="A1905" t="s">
        <v>44</v>
      </c>
      <c r="B1905" t="s">
        <v>51</v>
      </c>
      <c r="C1905" t="s">
        <v>32</v>
      </c>
      <c r="D1905" t="s">
        <v>227</v>
      </c>
      <c r="E1905" t="s">
        <v>241</v>
      </c>
      <c r="F1905" t="s">
        <v>35</v>
      </c>
      <c r="G1905" t="s">
        <v>35</v>
      </c>
      <c r="H1905" t="s">
        <v>35</v>
      </c>
      <c r="J1905" t="s">
        <v>246</v>
      </c>
      <c r="K1905" t="s">
        <v>1092</v>
      </c>
      <c r="M1905">
        <v>0.2</v>
      </c>
      <c r="N1905">
        <v>12</v>
      </c>
      <c r="O1905" t="s">
        <v>46</v>
      </c>
      <c r="Q1905" t="s">
        <v>1192</v>
      </c>
      <c r="R1905" t="s">
        <v>2540</v>
      </c>
      <c r="S1905" t="s">
        <v>246</v>
      </c>
      <c r="T1905" t="s">
        <v>247</v>
      </c>
    </row>
    <row r="1906" spans="1:20" x14ac:dyDescent="0.25">
      <c r="A1906" t="s">
        <v>44</v>
      </c>
      <c r="B1906" t="s">
        <v>51</v>
      </c>
      <c r="C1906" t="s">
        <v>32</v>
      </c>
      <c r="D1906" t="s">
        <v>227</v>
      </c>
      <c r="E1906" t="s">
        <v>241</v>
      </c>
      <c r="F1906" t="s">
        <v>35</v>
      </c>
      <c r="G1906" t="s">
        <v>35</v>
      </c>
      <c r="H1906" t="s">
        <v>35</v>
      </c>
      <c r="J1906" t="s">
        <v>2541</v>
      </c>
      <c r="K1906" t="s">
        <v>1092</v>
      </c>
      <c r="M1906">
        <v>0.2</v>
      </c>
      <c r="N1906">
        <v>34</v>
      </c>
      <c r="O1906" t="s">
        <v>52</v>
      </c>
      <c r="Q1906" t="s">
        <v>249</v>
      </c>
      <c r="R1906" t="s">
        <v>2540</v>
      </c>
      <c r="S1906" t="s">
        <v>246</v>
      </c>
      <c r="T1906" t="s">
        <v>247</v>
      </c>
    </row>
    <row r="1907" spans="1:20" x14ac:dyDescent="0.25">
      <c r="A1907" t="s">
        <v>59</v>
      </c>
      <c r="B1907" t="s">
        <v>31</v>
      </c>
      <c r="C1907" t="s">
        <v>32</v>
      </c>
      <c r="D1907" t="s">
        <v>227</v>
      </c>
      <c r="E1907" t="s">
        <v>2641</v>
      </c>
      <c r="F1907" t="s">
        <v>35</v>
      </c>
      <c r="G1907" t="s">
        <v>35</v>
      </c>
      <c r="H1907" t="s">
        <v>35</v>
      </c>
      <c r="J1907" t="s">
        <v>2650</v>
      </c>
      <c r="K1907" t="s">
        <v>1092</v>
      </c>
      <c r="M1907">
        <v>4.87</v>
      </c>
      <c r="N1907">
        <v>257</v>
      </c>
      <c r="O1907" t="s">
        <v>5</v>
      </c>
      <c r="Q1907" t="s">
        <v>1721</v>
      </c>
      <c r="R1907" t="s">
        <v>256</v>
      </c>
      <c r="S1907" t="s">
        <v>257</v>
      </c>
      <c r="T1907" t="s">
        <v>258</v>
      </c>
    </row>
    <row r="1908" spans="1:20" x14ac:dyDescent="0.25">
      <c r="A1908" t="s">
        <v>44</v>
      </c>
      <c r="B1908" t="s">
        <v>3</v>
      </c>
      <c r="C1908" t="s">
        <v>32</v>
      </c>
      <c r="D1908" t="s">
        <v>227</v>
      </c>
      <c r="F1908" t="s">
        <v>35</v>
      </c>
      <c r="G1908" t="s">
        <v>35</v>
      </c>
      <c r="H1908" t="s">
        <v>35</v>
      </c>
      <c r="J1908" t="s">
        <v>2974</v>
      </c>
      <c r="K1908" t="s">
        <v>1092</v>
      </c>
      <c r="M1908">
        <v>0.75</v>
      </c>
      <c r="N1908">
        <v>51</v>
      </c>
      <c r="O1908" t="s">
        <v>52</v>
      </c>
      <c r="Q1908" t="s">
        <v>58</v>
      </c>
      <c r="R1908" t="s">
        <v>256</v>
      </c>
      <c r="S1908" t="s">
        <v>257</v>
      </c>
      <c r="T1908" t="s">
        <v>258</v>
      </c>
    </row>
    <row r="1909" spans="1:20" x14ac:dyDescent="0.25">
      <c r="A1909" t="s">
        <v>59</v>
      </c>
      <c r="B1909" t="s">
        <v>60</v>
      </c>
      <c r="C1909" t="s">
        <v>32</v>
      </c>
      <c r="D1909" t="s">
        <v>227</v>
      </c>
      <c r="E1909" t="s">
        <v>2871</v>
      </c>
      <c r="F1909" t="s">
        <v>35</v>
      </c>
      <c r="G1909" t="s">
        <v>35</v>
      </c>
      <c r="H1909" t="s">
        <v>35</v>
      </c>
      <c r="J1909" t="s">
        <v>2914</v>
      </c>
      <c r="K1909" t="s">
        <v>1092</v>
      </c>
      <c r="M1909">
        <v>4.75</v>
      </c>
      <c r="N1909">
        <v>92</v>
      </c>
      <c r="O1909" t="s">
        <v>106</v>
      </c>
      <c r="Q1909" t="s">
        <v>1216</v>
      </c>
      <c r="R1909" t="s">
        <v>256</v>
      </c>
      <c r="S1909" t="s">
        <v>257</v>
      </c>
      <c r="T1909" t="s">
        <v>258</v>
      </c>
    </row>
    <row r="1910" spans="1:20" x14ac:dyDescent="0.25">
      <c r="A1910" t="s">
        <v>30</v>
      </c>
      <c r="B1910" t="s">
        <v>31</v>
      </c>
      <c r="C1910" t="s">
        <v>32</v>
      </c>
      <c r="D1910" t="s">
        <v>227</v>
      </c>
      <c r="E1910" t="s">
        <v>2794</v>
      </c>
      <c r="F1910" t="s">
        <v>35</v>
      </c>
      <c r="G1910" t="s">
        <v>35</v>
      </c>
      <c r="H1910" t="s">
        <v>35</v>
      </c>
      <c r="J1910" t="s">
        <v>2802</v>
      </c>
      <c r="K1910" t="s">
        <v>1092</v>
      </c>
      <c r="M1910">
        <v>4.4999999999999998E-2</v>
      </c>
      <c r="N1910">
        <v>422</v>
      </c>
      <c r="O1910" t="s">
        <v>294</v>
      </c>
      <c r="Q1910" t="s">
        <v>2570</v>
      </c>
      <c r="R1910" t="s">
        <v>256</v>
      </c>
      <c r="S1910" t="s">
        <v>257</v>
      </c>
      <c r="T1910" t="s">
        <v>258</v>
      </c>
    </row>
    <row r="1911" spans="1:20" x14ac:dyDescent="0.25">
      <c r="A1911" t="s">
        <v>59</v>
      </c>
      <c r="B1911" t="s">
        <v>60</v>
      </c>
      <c r="C1911" t="s">
        <v>32</v>
      </c>
      <c r="D1911" t="s">
        <v>227</v>
      </c>
      <c r="E1911" t="s">
        <v>2575</v>
      </c>
      <c r="F1911" t="s">
        <v>35</v>
      </c>
      <c r="G1911" t="s">
        <v>35</v>
      </c>
      <c r="H1911" t="s">
        <v>35</v>
      </c>
      <c r="J1911" t="s">
        <v>2594</v>
      </c>
      <c r="K1911" t="s">
        <v>1092</v>
      </c>
      <c r="M1911">
        <v>0.25</v>
      </c>
      <c r="N1911">
        <v>237</v>
      </c>
      <c r="O1911" t="s">
        <v>5</v>
      </c>
      <c r="Q1911" t="s">
        <v>1242</v>
      </c>
      <c r="R1911" t="s">
        <v>256</v>
      </c>
      <c r="S1911" t="s">
        <v>257</v>
      </c>
      <c r="T1911" t="s">
        <v>258</v>
      </c>
    </row>
    <row r="1912" spans="1:20" x14ac:dyDescent="0.25">
      <c r="A1912" t="s">
        <v>30</v>
      </c>
      <c r="B1912" t="s">
        <v>31</v>
      </c>
      <c r="C1912" t="s">
        <v>32</v>
      </c>
      <c r="D1912" t="s">
        <v>227</v>
      </c>
      <c r="E1912" t="s">
        <v>2652</v>
      </c>
      <c r="F1912" t="s">
        <v>35</v>
      </c>
      <c r="G1912" t="s">
        <v>35</v>
      </c>
      <c r="H1912" t="s">
        <v>35</v>
      </c>
      <c r="J1912" t="s">
        <v>2660</v>
      </c>
      <c r="K1912" t="s">
        <v>1092</v>
      </c>
      <c r="M1912">
        <v>5.49</v>
      </c>
      <c r="N1912">
        <v>38</v>
      </c>
      <c r="O1912" t="s">
        <v>52</v>
      </c>
      <c r="Q1912" t="s">
        <v>716</v>
      </c>
      <c r="R1912" t="s">
        <v>256</v>
      </c>
      <c r="S1912" t="s">
        <v>257</v>
      </c>
      <c r="T1912" t="s">
        <v>258</v>
      </c>
    </row>
    <row r="1913" spans="1:20" x14ac:dyDescent="0.25">
      <c r="A1913" t="s">
        <v>59</v>
      </c>
      <c r="B1913" t="s">
        <v>60</v>
      </c>
      <c r="C1913" t="s">
        <v>32</v>
      </c>
      <c r="D1913" t="s">
        <v>227</v>
      </c>
      <c r="E1913" t="s">
        <v>228</v>
      </c>
      <c r="F1913" t="s">
        <v>35</v>
      </c>
      <c r="G1913" t="s">
        <v>35</v>
      </c>
      <c r="H1913" t="s">
        <v>35</v>
      </c>
      <c r="J1913" t="s">
        <v>2477</v>
      </c>
      <c r="K1913" t="s">
        <v>1092</v>
      </c>
      <c r="M1913">
        <v>0.35</v>
      </c>
      <c r="N1913">
        <v>92</v>
      </c>
      <c r="O1913" t="s">
        <v>106</v>
      </c>
      <c r="Q1913" t="s">
        <v>1216</v>
      </c>
      <c r="R1913" t="s">
        <v>256</v>
      </c>
      <c r="S1913" t="s">
        <v>257</v>
      </c>
      <c r="T1913" t="s">
        <v>258</v>
      </c>
    </row>
    <row r="1914" spans="1:20" x14ac:dyDescent="0.25">
      <c r="A1914" t="s">
        <v>44</v>
      </c>
      <c r="B1914" t="s">
        <v>3</v>
      </c>
      <c r="C1914" t="s">
        <v>32</v>
      </c>
      <c r="D1914" t="s">
        <v>227</v>
      </c>
      <c r="E1914" t="s">
        <v>228</v>
      </c>
      <c r="F1914" t="s">
        <v>35</v>
      </c>
      <c r="G1914" t="s">
        <v>35</v>
      </c>
      <c r="H1914" t="s">
        <v>35</v>
      </c>
      <c r="J1914" t="s">
        <v>2477</v>
      </c>
      <c r="K1914" t="s">
        <v>1092</v>
      </c>
      <c r="M1914">
        <v>4.7</v>
      </c>
      <c r="N1914">
        <v>60</v>
      </c>
      <c r="O1914" t="s">
        <v>52</v>
      </c>
      <c r="Q1914" t="s">
        <v>1311</v>
      </c>
      <c r="R1914" t="s">
        <v>256</v>
      </c>
      <c r="S1914" t="s">
        <v>257</v>
      </c>
      <c r="T1914" t="s">
        <v>258</v>
      </c>
    </row>
    <row r="1915" spans="1:20" x14ac:dyDescent="0.25">
      <c r="A1915" t="s">
        <v>59</v>
      </c>
      <c r="B1915" t="s">
        <v>31</v>
      </c>
      <c r="C1915" t="s">
        <v>32</v>
      </c>
      <c r="D1915" t="s">
        <v>227</v>
      </c>
      <c r="E1915" t="s">
        <v>228</v>
      </c>
      <c r="F1915" t="s">
        <v>35</v>
      </c>
      <c r="G1915" t="s">
        <v>35</v>
      </c>
      <c r="H1915" t="s">
        <v>35</v>
      </c>
      <c r="J1915" t="s">
        <v>2477</v>
      </c>
      <c r="K1915" t="s">
        <v>1092</v>
      </c>
      <c r="M1915">
        <v>0.67500000000000004</v>
      </c>
      <c r="N1915">
        <v>92</v>
      </c>
      <c r="O1915" t="s">
        <v>106</v>
      </c>
      <c r="Q1915" t="s">
        <v>1216</v>
      </c>
      <c r="R1915" t="s">
        <v>256</v>
      </c>
      <c r="S1915" t="s">
        <v>257</v>
      </c>
      <c r="T1915" t="s">
        <v>258</v>
      </c>
    </row>
    <row r="1916" spans="1:20" x14ac:dyDescent="0.25">
      <c r="A1916" t="s">
        <v>44</v>
      </c>
      <c r="B1916" t="s">
        <v>3</v>
      </c>
      <c r="C1916" t="s">
        <v>32</v>
      </c>
      <c r="D1916" t="s">
        <v>227</v>
      </c>
      <c r="E1916" t="s">
        <v>2825</v>
      </c>
      <c r="F1916" t="s">
        <v>35</v>
      </c>
      <c r="G1916" t="s">
        <v>35</v>
      </c>
      <c r="H1916" t="s">
        <v>35</v>
      </c>
      <c r="J1916" t="s">
        <v>2847</v>
      </c>
      <c r="K1916" t="s">
        <v>1092</v>
      </c>
      <c r="M1916">
        <v>1.65</v>
      </c>
      <c r="N1916">
        <v>60</v>
      </c>
      <c r="O1916" t="s">
        <v>52</v>
      </c>
      <c r="Q1916" t="s">
        <v>1311</v>
      </c>
      <c r="R1916" t="s">
        <v>256</v>
      </c>
      <c r="S1916" t="s">
        <v>257</v>
      </c>
      <c r="T1916" t="s">
        <v>258</v>
      </c>
    </row>
    <row r="1917" spans="1:20" x14ac:dyDescent="0.25">
      <c r="A1917" t="s">
        <v>30</v>
      </c>
      <c r="B1917" t="s">
        <v>31</v>
      </c>
      <c r="C1917" t="s">
        <v>32</v>
      </c>
      <c r="D1917" t="s">
        <v>227</v>
      </c>
      <c r="F1917" t="s">
        <v>35</v>
      </c>
      <c r="G1917" t="s">
        <v>35</v>
      </c>
      <c r="H1917" t="s">
        <v>35</v>
      </c>
      <c r="J1917" t="s">
        <v>3024</v>
      </c>
      <c r="K1917" t="s">
        <v>1092</v>
      </c>
      <c r="M1917">
        <v>0.9</v>
      </c>
      <c r="N1917">
        <v>1239</v>
      </c>
      <c r="O1917" t="s">
        <v>575</v>
      </c>
      <c r="Q1917" t="s">
        <v>3026</v>
      </c>
      <c r="R1917" t="s">
        <v>256</v>
      </c>
      <c r="S1917" t="s">
        <v>257</v>
      </c>
      <c r="T1917" t="s">
        <v>258</v>
      </c>
    </row>
    <row r="1918" spans="1:20" x14ac:dyDescent="0.25">
      <c r="A1918" t="s">
        <v>59</v>
      </c>
      <c r="B1918" t="s">
        <v>60</v>
      </c>
      <c r="C1918" t="s">
        <v>32</v>
      </c>
      <c r="D1918" t="s">
        <v>227</v>
      </c>
      <c r="E1918" t="s">
        <v>2492</v>
      </c>
      <c r="F1918" t="s">
        <v>35</v>
      </c>
      <c r="G1918" t="s">
        <v>35</v>
      </c>
      <c r="H1918" t="s">
        <v>35</v>
      </c>
      <c r="J1918" t="s">
        <v>2495</v>
      </c>
      <c r="K1918" t="s">
        <v>1092</v>
      </c>
      <c r="M1918">
        <v>1.1499999999999999</v>
      </c>
      <c r="N1918">
        <v>52</v>
      </c>
      <c r="O1918" t="s">
        <v>52</v>
      </c>
      <c r="Q1918" t="s">
        <v>84</v>
      </c>
      <c r="R1918" t="s">
        <v>256</v>
      </c>
      <c r="S1918" t="s">
        <v>257</v>
      </c>
      <c r="T1918" t="s">
        <v>258</v>
      </c>
    </row>
    <row r="1919" spans="1:20" x14ac:dyDescent="0.25">
      <c r="A1919" t="s">
        <v>30</v>
      </c>
      <c r="B1919" t="s">
        <v>31</v>
      </c>
      <c r="C1919" t="s">
        <v>32</v>
      </c>
      <c r="D1919" t="s">
        <v>227</v>
      </c>
      <c r="E1919" t="s">
        <v>2492</v>
      </c>
      <c r="F1919" t="s">
        <v>35</v>
      </c>
      <c r="G1919" t="s">
        <v>35</v>
      </c>
      <c r="H1919" t="s">
        <v>35</v>
      </c>
      <c r="J1919" t="s">
        <v>2495</v>
      </c>
      <c r="K1919" t="s">
        <v>1092</v>
      </c>
      <c r="M1919">
        <v>3.8250000000000002</v>
      </c>
      <c r="N1919">
        <v>38</v>
      </c>
      <c r="O1919" t="s">
        <v>52</v>
      </c>
      <c r="Q1919" t="s">
        <v>716</v>
      </c>
      <c r="R1919" t="s">
        <v>256</v>
      </c>
      <c r="S1919" t="s">
        <v>257</v>
      </c>
      <c r="T1919" t="s">
        <v>258</v>
      </c>
    </row>
    <row r="1920" spans="1:20" x14ac:dyDescent="0.25">
      <c r="A1920" t="s">
        <v>30</v>
      </c>
      <c r="B1920" t="s">
        <v>31</v>
      </c>
      <c r="C1920" t="s">
        <v>32</v>
      </c>
      <c r="D1920" t="s">
        <v>227</v>
      </c>
      <c r="E1920" t="s">
        <v>2551</v>
      </c>
      <c r="F1920" t="s">
        <v>35</v>
      </c>
      <c r="G1920" t="s">
        <v>35</v>
      </c>
      <c r="H1920" t="s">
        <v>35</v>
      </c>
      <c r="J1920" t="s">
        <v>2553</v>
      </c>
      <c r="K1920" t="s">
        <v>1092</v>
      </c>
      <c r="M1920">
        <v>2.88</v>
      </c>
      <c r="N1920">
        <v>275</v>
      </c>
      <c r="O1920" t="s">
        <v>5</v>
      </c>
      <c r="Q1920" t="s">
        <v>1225</v>
      </c>
      <c r="R1920" t="s">
        <v>256</v>
      </c>
      <c r="S1920" t="s">
        <v>257</v>
      </c>
      <c r="T1920" t="s">
        <v>258</v>
      </c>
    </row>
    <row r="1921" spans="1:20" x14ac:dyDescent="0.25">
      <c r="A1921" t="s">
        <v>44</v>
      </c>
      <c r="B1921" t="s">
        <v>3</v>
      </c>
      <c r="C1921" t="s">
        <v>32</v>
      </c>
      <c r="D1921" t="s">
        <v>227</v>
      </c>
      <c r="E1921" t="s">
        <v>2551</v>
      </c>
      <c r="F1921" t="s">
        <v>35</v>
      </c>
      <c r="G1921" t="s">
        <v>35</v>
      </c>
      <c r="H1921" t="s">
        <v>35</v>
      </c>
      <c r="J1921" t="s">
        <v>2553</v>
      </c>
      <c r="K1921" t="s">
        <v>1092</v>
      </c>
      <c r="M1921">
        <v>3</v>
      </c>
      <c r="N1921">
        <v>52</v>
      </c>
      <c r="O1921" t="s">
        <v>52</v>
      </c>
      <c r="Q1921" t="s">
        <v>84</v>
      </c>
      <c r="R1921" t="s">
        <v>256</v>
      </c>
      <c r="S1921" t="s">
        <v>257</v>
      </c>
      <c r="T1921" t="s">
        <v>258</v>
      </c>
    </row>
    <row r="1922" spans="1:20" x14ac:dyDescent="0.25">
      <c r="A1922" t="s">
        <v>59</v>
      </c>
      <c r="B1922" t="s">
        <v>60</v>
      </c>
      <c r="C1922" t="s">
        <v>32</v>
      </c>
      <c r="D1922" t="s">
        <v>227</v>
      </c>
      <c r="E1922" t="s">
        <v>2652</v>
      </c>
      <c r="F1922" t="s">
        <v>35</v>
      </c>
      <c r="G1922" t="s">
        <v>35</v>
      </c>
      <c r="H1922" t="s">
        <v>35</v>
      </c>
      <c r="J1922" t="s">
        <v>2655</v>
      </c>
      <c r="K1922" t="s">
        <v>1092</v>
      </c>
      <c r="M1922">
        <v>0.05</v>
      </c>
      <c r="N1922">
        <v>1964</v>
      </c>
      <c r="O1922" t="s">
        <v>575</v>
      </c>
      <c r="Q1922" t="s">
        <v>2656</v>
      </c>
      <c r="R1922" t="s">
        <v>256</v>
      </c>
      <c r="S1922" t="s">
        <v>257</v>
      </c>
      <c r="T1922" t="s">
        <v>258</v>
      </c>
    </row>
    <row r="1923" spans="1:20" x14ac:dyDescent="0.25">
      <c r="A1923" t="s">
        <v>59</v>
      </c>
      <c r="B1923" t="s">
        <v>60</v>
      </c>
      <c r="C1923" t="s">
        <v>32</v>
      </c>
      <c r="D1923" t="s">
        <v>227</v>
      </c>
      <c r="E1923" t="s">
        <v>2825</v>
      </c>
      <c r="F1923" t="s">
        <v>35</v>
      </c>
      <c r="G1923" t="s">
        <v>35</v>
      </c>
      <c r="H1923" t="s">
        <v>35</v>
      </c>
      <c r="J1923" t="s">
        <v>2833</v>
      </c>
      <c r="K1923" t="s">
        <v>1092</v>
      </c>
      <c r="M1923">
        <v>2.7</v>
      </c>
      <c r="N1923">
        <v>60</v>
      </c>
      <c r="O1923" t="s">
        <v>52</v>
      </c>
      <c r="Q1923" t="s">
        <v>1311</v>
      </c>
      <c r="R1923" t="s">
        <v>256</v>
      </c>
      <c r="S1923" t="s">
        <v>257</v>
      </c>
      <c r="T1923" t="s">
        <v>258</v>
      </c>
    </row>
    <row r="1924" spans="1:20" x14ac:dyDescent="0.25">
      <c r="A1924" t="s">
        <v>59</v>
      </c>
      <c r="B1924" t="s">
        <v>60</v>
      </c>
      <c r="C1924" t="s">
        <v>32</v>
      </c>
      <c r="D1924" t="s">
        <v>227</v>
      </c>
      <c r="E1924" t="s">
        <v>2575</v>
      </c>
      <c r="F1924" t="s">
        <v>35</v>
      </c>
      <c r="G1924" t="s">
        <v>35</v>
      </c>
      <c r="H1924" t="s">
        <v>35</v>
      </c>
      <c r="J1924" t="s">
        <v>2052</v>
      </c>
      <c r="K1924" t="s">
        <v>1092</v>
      </c>
      <c r="M1924">
        <v>0.1</v>
      </c>
      <c r="N1924">
        <v>63</v>
      </c>
      <c r="O1924" t="s">
        <v>61</v>
      </c>
      <c r="Q1924" t="s">
        <v>126</v>
      </c>
      <c r="R1924" t="s">
        <v>256</v>
      </c>
      <c r="S1924" t="s">
        <v>257</v>
      </c>
      <c r="T1924" t="s">
        <v>258</v>
      </c>
    </row>
    <row r="1925" spans="1:20" x14ac:dyDescent="0.25">
      <c r="A1925" t="s">
        <v>44</v>
      </c>
      <c r="B1925" t="s">
        <v>3</v>
      </c>
      <c r="C1925" t="s">
        <v>32</v>
      </c>
      <c r="D1925" t="s">
        <v>227</v>
      </c>
      <c r="F1925" t="s">
        <v>35</v>
      </c>
      <c r="G1925" t="s">
        <v>35</v>
      </c>
      <c r="H1925" t="s">
        <v>35</v>
      </c>
      <c r="J1925" t="s">
        <v>3003</v>
      </c>
      <c r="K1925" t="s">
        <v>1092</v>
      </c>
      <c r="M1925">
        <v>1</v>
      </c>
      <c r="N1925">
        <v>51</v>
      </c>
      <c r="O1925" t="s">
        <v>52</v>
      </c>
      <c r="Q1925" t="s">
        <v>58</v>
      </c>
      <c r="R1925" t="s">
        <v>256</v>
      </c>
      <c r="S1925" t="s">
        <v>257</v>
      </c>
      <c r="T1925" t="s">
        <v>258</v>
      </c>
    </row>
    <row r="1926" spans="1:20" x14ac:dyDescent="0.25">
      <c r="A1926" t="s">
        <v>59</v>
      </c>
      <c r="B1926" t="s">
        <v>60</v>
      </c>
      <c r="C1926" t="s">
        <v>32</v>
      </c>
      <c r="D1926" t="s">
        <v>227</v>
      </c>
      <c r="E1926" t="s">
        <v>2825</v>
      </c>
      <c r="F1926" t="s">
        <v>35</v>
      </c>
      <c r="G1926" t="s">
        <v>35</v>
      </c>
      <c r="H1926" t="s">
        <v>35</v>
      </c>
      <c r="J1926" t="s">
        <v>2837</v>
      </c>
      <c r="K1926" t="s">
        <v>1092</v>
      </c>
      <c r="M1926">
        <v>0.25</v>
      </c>
      <c r="N1926">
        <v>95</v>
      </c>
      <c r="O1926" t="s">
        <v>106</v>
      </c>
      <c r="Q1926" t="s">
        <v>2747</v>
      </c>
      <c r="R1926" t="s">
        <v>256</v>
      </c>
      <c r="S1926" t="s">
        <v>257</v>
      </c>
      <c r="T1926" t="s">
        <v>258</v>
      </c>
    </row>
    <row r="1927" spans="1:20" x14ac:dyDescent="0.25">
      <c r="A1927" t="s">
        <v>30</v>
      </c>
      <c r="B1927" t="s">
        <v>31</v>
      </c>
      <c r="C1927" t="s">
        <v>32</v>
      </c>
      <c r="D1927" t="s">
        <v>227</v>
      </c>
      <c r="E1927" t="s">
        <v>2871</v>
      </c>
      <c r="F1927" t="s">
        <v>35</v>
      </c>
      <c r="G1927" t="s">
        <v>35</v>
      </c>
      <c r="H1927" t="s">
        <v>35</v>
      </c>
      <c r="J1927" t="s">
        <v>2899</v>
      </c>
      <c r="K1927" t="s">
        <v>1092</v>
      </c>
      <c r="M1927">
        <v>4.41</v>
      </c>
      <c r="N1927">
        <v>143</v>
      </c>
      <c r="O1927" t="s">
        <v>38</v>
      </c>
      <c r="Q1927" t="s">
        <v>1612</v>
      </c>
      <c r="R1927" t="s">
        <v>256</v>
      </c>
      <c r="S1927" t="s">
        <v>257</v>
      </c>
      <c r="T1927" t="s">
        <v>258</v>
      </c>
    </row>
    <row r="1928" spans="1:20" x14ac:dyDescent="0.25">
      <c r="A1928" t="s">
        <v>44</v>
      </c>
      <c r="B1928" t="s">
        <v>3</v>
      </c>
      <c r="C1928" t="s">
        <v>32</v>
      </c>
      <c r="D1928" t="s">
        <v>227</v>
      </c>
      <c r="F1928" t="s">
        <v>35</v>
      </c>
      <c r="G1928" t="s">
        <v>35</v>
      </c>
      <c r="H1928" t="s">
        <v>35</v>
      </c>
      <c r="J1928" t="s">
        <v>2958</v>
      </c>
      <c r="K1928" t="s">
        <v>1092</v>
      </c>
      <c r="M1928">
        <v>1.75</v>
      </c>
      <c r="N1928">
        <v>51</v>
      </c>
      <c r="O1928" t="s">
        <v>52</v>
      </c>
      <c r="Q1928" t="s">
        <v>58</v>
      </c>
      <c r="R1928" t="s">
        <v>256</v>
      </c>
      <c r="S1928" t="s">
        <v>257</v>
      </c>
      <c r="T1928" t="s">
        <v>258</v>
      </c>
    </row>
    <row r="1929" spans="1:20" x14ac:dyDescent="0.25">
      <c r="A1929" t="s">
        <v>59</v>
      </c>
      <c r="B1929" t="s">
        <v>60</v>
      </c>
      <c r="C1929" t="s">
        <v>32</v>
      </c>
      <c r="D1929" t="s">
        <v>227</v>
      </c>
      <c r="F1929" t="s">
        <v>35</v>
      </c>
      <c r="G1929" t="s">
        <v>35</v>
      </c>
      <c r="H1929" t="s">
        <v>35</v>
      </c>
      <c r="J1929" t="s">
        <v>3077</v>
      </c>
      <c r="K1929" t="s">
        <v>1092</v>
      </c>
      <c r="M1929">
        <v>0.85</v>
      </c>
      <c r="N1929">
        <v>2023</v>
      </c>
      <c r="O1929" t="s">
        <v>575</v>
      </c>
      <c r="Q1929" t="s">
        <v>3078</v>
      </c>
      <c r="R1929" t="s">
        <v>256</v>
      </c>
      <c r="S1929" t="s">
        <v>257</v>
      </c>
      <c r="T1929" t="s">
        <v>258</v>
      </c>
    </row>
    <row r="1930" spans="1:20" x14ac:dyDescent="0.25">
      <c r="A1930" t="s">
        <v>59</v>
      </c>
      <c r="B1930" t="s">
        <v>31</v>
      </c>
      <c r="C1930" t="s">
        <v>32</v>
      </c>
      <c r="D1930" t="s">
        <v>227</v>
      </c>
      <c r="E1930" t="s">
        <v>2825</v>
      </c>
      <c r="F1930" t="s">
        <v>35</v>
      </c>
      <c r="G1930" t="s">
        <v>35</v>
      </c>
      <c r="H1930" t="s">
        <v>35</v>
      </c>
      <c r="J1930" t="s">
        <v>2848</v>
      </c>
      <c r="K1930" t="s">
        <v>1092</v>
      </c>
      <c r="M1930">
        <v>4.4999999999999998E-2</v>
      </c>
      <c r="N1930">
        <v>493</v>
      </c>
      <c r="O1930" t="s">
        <v>294</v>
      </c>
      <c r="Q1930" t="s">
        <v>2051</v>
      </c>
      <c r="R1930" t="s">
        <v>256</v>
      </c>
      <c r="S1930" t="s">
        <v>257</v>
      </c>
      <c r="T1930" t="s">
        <v>258</v>
      </c>
    </row>
    <row r="1931" spans="1:20" x14ac:dyDescent="0.25">
      <c r="A1931" t="s">
        <v>30</v>
      </c>
      <c r="B1931" t="s">
        <v>31</v>
      </c>
      <c r="C1931" t="s">
        <v>32</v>
      </c>
      <c r="D1931" t="s">
        <v>227</v>
      </c>
      <c r="F1931" t="s">
        <v>35</v>
      </c>
      <c r="G1931" t="s">
        <v>35</v>
      </c>
      <c r="H1931" t="s">
        <v>35</v>
      </c>
      <c r="J1931" t="s">
        <v>3108</v>
      </c>
      <c r="K1931" t="s">
        <v>1092</v>
      </c>
      <c r="M1931">
        <v>5.31</v>
      </c>
      <c r="N1931">
        <v>38</v>
      </c>
      <c r="O1931" t="s">
        <v>52</v>
      </c>
      <c r="Q1931" t="s">
        <v>716</v>
      </c>
      <c r="R1931" t="s">
        <v>256</v>
      </c>
      <c r="S1931" t="s">
        <v>257</v>
      </c>
      <c r="T1931" t="s">
        <v>258</v>
      </c>
    </row>
    <row r="1932" spans="1:20" x14ac:dyDescent="0.25">
      <c r="A1932" t="s">
        <v>30</v>
      </c>
      <c r="B1932" t="s">
        <v>31</v>
      </c>
      <c r="C1932" t="s">
        <v>32</v>
      </c>
      <c r="D1932" t="s">
        <v>227</v>
      </c>
      <c r="E1932" t="s">
        <v>2385</v>
      </c>
      <c r="F1932" t="s">
        <v>35</v>
      </c>
      <c r="G1932" t="s">
        <v>35</v>
      </c>
      <c r="H1932" t="s">
        <v>35</v>
      </c>
      <c r="J1932" t="s">
        <v>2430</v>
      </c>
      <c r="K1932" t="s">
        <v>1092</v>
      </c>
      <c r="M1932">
        <v>1.9350000000000001</v>
      </c>
      <c r="N1932">
        <v>161</v>
      </c>
      <c r="O1932" t="s">
        <v>38</v>
      </c>
      <c r="Q1932" t="s">
        <v>2431</v>
      </c>
      <c r="R1932" t="s">
        <v>256</v>
      </c>
      <c r="S1932" t="s">
        <v>257</v>
      </c>
      <c r="T1932" t="s">
        <v>258</v>
      </c>
    </row>
    <row r="1933" spans="1:20" x14ac:dyDescent="0.25">
      <c r="A1933" t="s">
        <v>59</v>
      </c>
      <c r="B1933" t="s">
        <v>31</v>
      </c>
      <c r="C1933" t="s">
        <v>32</v>
      </c>
      <c r="D1933" t="s">
        <v>227</v>
      </c>
      <c r="E1933" t="s">
        <v>2825</v>
      </c>
      <c r="F1933" t="s">
        <v>35</v>
      </c>
      <c r="G1933" t="s">
        <v>35</v>
      </c>
      <c r="H1933" t="s">
        <v>35</v>
      </c>
      <c r="J1933" t="s">
        <v>2844</v>
      </c>
      <c r="K1933" t="s">
        <v>1092</v>
      </c>
      <c r="M1933">
        <v>5.49</v>
      </c>
      <c r="N1933">
        <v>244</v>
      </c>
      <c r="O1933" t="s">
        <v>5</v>
      </c>
      <c r="Q1933" t="s">
        <v>1688</v>
      </c>
      <c r="R1933" t="s">
        <v>256</v>
      </c>
      <c r="S1933" t="s">
        <v>257</v>
      </c>
      <c r="T1933" t="s">
        <v>258</v>
      </c>
    </row>
    <row r="1934" spans="1:20" x14ac:dyDescent="0.25">
      <c r="A1934" t="s">
        <v>59</v>
      </c>
      <c r="B1934" t="s">
        <v>31</v>
      </c>
      <c r="C1934" t="s">
        <v>32</v>
      </c>
      <c r="D1934" t="s">
        <v>227</v>
      </c>
      <c r="F1934" t="s">
        <v>35</v>
      </c>
      <c r="G1934" t="s">
        <v>35</v>
      </c>
      <c r="H1934" t="s">
        <v>35</v>
      </c>
      <c r="J1934" t="s">
        <v>3110</v>
      </c>
      <c r="K1934" t="s">
        <v>1092</v>
      </c>
      <c r="M1934">
        <v>0.99</v>
      </c>
      <c r="N1934">
        <v>52</v>
      </c>
      <c r="O1934" t="s">
        <v>52</v>
      </c>
      <c r="Q1934" t="s">
        <v>84</v>
      </c>
      <c r="R1934" t="s">
        <v>256</v>
      </c>
      <c r="S1934" t="s">
        <v>257</v>
      </c>
      <c r="T1934" t="s">
        <v>258</v>
      </c>
    </row>
    <row r="1935" spans="1:20" x14ac:dyDescent="0.25">
      <c r="A1935" t="s">
        <v>59</v>
      </c>
      <c r="B1935" t="s">
        <v>31</v>
      </c>
      <c r="C1935" t="s">
        <v>32</v>
      </c>
      <c r="D1935" t="s">
        <v>227</v>
      </c>
      <c r="E1935" t="s">
        <v>2652</v>
      </c>
      <c r="F1935" t="s">
        <v>35</v>
      </c>
      <c r="G1935" t="s">
        <v>35</v>
      </c>
      <c r="H1935" t="s">
        <v>35</v>
      </c>
      <c r="J1935" t="s">
        <v>2666</v>
      </c>
      <c r="K1935" t="s">
        <v>1092</v>
      </c>
      <c r="M1935">
        <v>0.22500000000000001</v>
      </c>
      <c r="N1935">
        <v>2075</v>
      </c>
      <c r="O1935" t="s">
        <v>575</v>
      </c>
      <c r="Q1935" t="s">
        <v>2667</v>
      </c>
      <c r="R1935" t="s">
        <v>256</v>
      </c>
      <c r="S1935" t="s">
        <v>257</v>
      </c>
      <c r="T1935" t="s">
        <v>258</v>
      </c>
    </row>
    <row r="1936" spans="1:20" x14ac:dyDescent="0.25">
      <c r="A1936" t="s">
        <v>59</v>
      </c>
      <c r="B1936" t="s">
        <v>60</v>
      </c>
      <c r="C1936" t="s">
        <v>32</v>
      </c>
      <c r="D1936" t="s">
        <v>227</v>
      </c>
      <c r="E1936" t="s">
        <v>2825</v>
      </c>
      <c r="F1936" t="s">
        <v>35</v>
      </c>
      <c r="G1936" t="s">
        <v>35</v>
      </c>
      <c r="H1936" t="s">
        <v>35</v>
      </c>
      <c r="J1936" t="s">
        <v>2828</v>
      </c>
      <c r="K1936" t="s">
        <v>1092</v>
      </c>
      <c r="M1936">
        <v>0.25</v>
      </c>
      <c r="N1936">
        <v>25</v>
      </c>
      <c r="O1936" t="s">
        <v>46</v>
      </c>
      <c r="Q1936" t="s">
        <v>547</v>
      </c>
      <c r="R1936" t="s">
        <v>256</v>
      </c>
      <c r="S1936" t="s">
        <v>257</v>
      </c>
      <c r="T1936" t="s">
        <v>258</v>
      </c>
    </row>
    <row r="1937" spans="1:20" x14ac:dyDescent="0.25">
      <c r="A1937" t="s">
        <v>59</v>
      </c>
      <c r="B1937" t="s">
        <v>60</v>
      </c>
      <c r="C1937" t="s">
        <v>32</v>
      </c>
      <c r="D1937" t="s">
        <v>227</v>
      </c>
      <c r="E1937" t="s">
        <v>2825</v>
      </c>
      <c r="F1937" t="s">
        <v>35</v>
      </c>
      <c r="G1937" t="s">
        <v>35</v>
      </c>
      <c r="H1937" t="s">
        <v>35</v>
      </c>
      <c r="J1937" t="s">
        <v>2828</v>
      </c>
      <c r="K1937" t="s">
        <v>1092</v>
      </c>
      <c r="M1937">
        <v>0.15</v>
      </c>
      <c r="N1937">
        <v>123</v>
      </c>
      <c r="O1937" t="s">
        <v>38</v>
      </c>
      <c r="Q1937" t="s">
        <v>1656</v>
      </c>
      <c r="R1937" t="s">
        <v>256</v>
      </c>
      <c r="S1937" t="s">
        <v>257</v>
      </c>
      <c r="T1937" t="s">
        <v>258</v>
      </c>
    </row>
    <row r="1938" spans="1:20" x14ac:dyDescent="0.25">
      <c r="A1938" t="s">
        <v>44</v>
      </c>
      <c r="B1938" t="s">
        <v>3</v>
      </c>
      <c r="C1938" t="s">
        <v>32</v>
      </c>
      <c r="D1938" t="s">
        <v>227</v>
      </c>
      <c r="E1938" t="s">
        <v>2675</v>
      </c>
      <c r="F1938" t="s">
        <v>35</v>
      </c>
      <c r="G1938" t="s">
        <v>35</v>
      </c>
      <c r="H1938" t="s">
        <v>35</v>
      </c>
      <c r="J1938" t="s">
        <v>2683</v>
      </c>
      <c r="K1938" t="s">
        <v>1092</v>
      </c>
      <c r="M1938">
        <v>5.4</v>
      </c>
      <c r="N1938">
        <v>60</v>
      </c>
      <c r="O1938" t="s">
        <v>52</v>
      </c>
      <c r="Q1938" t="s">
        <v>1311</v>
      </c>
      <c r="R1938" t="s">
        <v>256</v>
      </c>
      <c r="S1938" t="s">
        <v>257</v>
      </c>
      <c r="T1938" t="s">
        <v>258</v>
      </c>
    </row>
    <row r="1939" spans="1:20" x14ac:dyDescent="0.25">
      <c r="A1939" t="s">
        <v>59</v>
      </c>
      <c r="B1939" t="s">
        <v>60</v>
      </c>
      <c r="C1939" t="s">
        <v>32</v>
      </c>
      <c r="D1939" t="s">
        <v>227</v>
      </c>
      <c r="E1939" t="s">
        <v>2825</v>
      </c>
      <c r="F1939" t="s">
        <v>35</v>
      </c>
      <c r="G1939" t="s">
        <v>35</v>
      </c>
      <c r="H1939" t="s">
        <v>35</v>
      </c>
      <c r="J1939" t="s">
        <v>2849</v>
      </c>
      <c r="K1939" t="s">
        <v>1092</v>
      </c>
      <c r="M1939">
        <v>1</v>
      </c>
      <c r="N1939">
        <v>126</v>
      </c>
      <c r="O1939" t="s">
        <v>38</v>
      </c>
      <c r="Q1939" t="s">
        <v>68</v>
      </c>
      <c r="R1939" t="s">
        <v>256</v>
      </c>
      <c r="S1939" t="s">
        <v>257</v>
      </c>
      <c r="T1939" t="s">
        <v>258</v>
      </c>
    </row>
    <row r="1940" spans="1:20" x14ac:dyDescent="0.25">
      <c r="A1940" t="s">
        <v>59</v>
      </c>
      <c r="B1940" t="s">
        <v>60</v>
      </c>
      <c r="C1940" t="s">
        <v>32</v>
      </c>
      <c r="D1940" t="s">
        <v>227</v>
      </c>
      <c r="E1940" t="s">
        <v>2825</v>
      </c>
      <c r="F1940" t="s">
        <v>35</v>
      </c>
      <c r="G1940" t="s">
        <v>35</v>
      </c>
      <c r="H1940" t="s">
        <v>35</v>
      </c>
      <c r="J1940" t="s">
        <v>2846</v>
      </c>
      <c r="K1940" t="s">
        <v>1092</v>
      </c>
      <c r="M1940">
        <v>0.2</v>
      </c>
      <c r="N1940">
        <v>120</v>
      </c>
      <c r="O1940" t="s">
        <v>106</v>
      </c>
      <c r="Q1940" t="s">
        <v>2145</v>
      </c>
      <c r="R1940" t="s">
        <v>256</v>
      </c>
      <c r="S1940" t="s">
        <v>257</v>
      </c>
      <c r="T1940" t="s">
        <v>258</v>
      </c>
    </row>
    <row r="1941" spans="1:20" x14ac:dyDescent="0.25">
      <c r="A1941" t="s">
        <v>44</v>
      </c>
      <c r="B1941" t="s">
        <v>3</v>
      </c>
      <c r="C1941" t="s">
        <v>32</v>
      </c>
      <c r="D1941" t="s">
        <v>227</v>
      </c>
      <c r="E1941" t="s">
        <v>251</v>
      </c>
      <c r="F1941" t="s">
        <v>35</v>
      </c>
      <c r="G1941" t="s">
        <v>35</v>
      </c>
      <c r="H1941" t="s">
        <v>35</v>
      </c>
      <c r="J1941" t="s">
        <v>2758</v>
      </c>
      <c r="K1941" t="s">
        <v>1092</v>
      </c>
      <c r="M1941">
        <v>0.65</v>
      </c>
      <c r="N1941">
        <v>59</v>
      </c>
      <c r="O1941" t="s">
        <v>52</v>
      </c>
      <c r="Q1941" t="s">
        <v>203</v>
      </c>
      <c r="R1941" t="s">
        <v>256</v>
      </c>
      <c r="S1941" t="s">
        <v>257</v>
      </c>
      <c r="T1941" t="s">
        <v>258</v>
      </c>
    </row>
    <row r="1942" spans="1:20" x14ac:dyDescent="0.25">
      <c r="A1942" t="s">
        <v>30</v>
      </c>
      <c r="B1942" t="s">
        <v>31</v>
      </c>
      <c r="C1942" t="s">
        <v>32</v>
      </c>
      <c r="D1942" t="s">
        <v>227</v>
      </c>
      <c r="E1942" t="s">
        <v>2652</v>
      </c>
      <c r="F1942" t="s">
        <v>35</v>
      </c>
      <c r="G1942" t="s">
        <v>35</v>
      </c>
      <c r="H1942" t="s">
        <v>35</v>
      </c>
      <c r="J1942" t="s">
        <v>2661</v>
      </c>
      <c r="K1942" t="s">
        <v>1092</v>
      </c>
      <c r="M1942">
        <v>0.45</v>
      </c>
      <c r="N1942">
        <v>2028</v>
      </c>
      <c r="O1942" t="s">
        <v>575</v>
      </c>
      <c r="Q1942" t="s">
        <v>2673</v>
      </c>
      <c r="R1942" t="s">
        <v>256</v>
      </c>
      <c r="S1942" t="s">
        <v>257</v>
      </c>
      <c r="T1942" t="s">
        <v>258</v>
      </c>
    </row>
    <row r="1943" spans="1:20" x14ac:dyDescent="0.25">
      <c r="A1943" t="s">
        <v>44</v>
      </c>
      <c r="B1943" t="s">
        <v>3</v>
      </c>
      <c r="C1943" t="s">
        <v>32</v>
      </c>
      <c r="D1943" t="s">
        <v>227</v>
      </c>
      <c r="F1943" t="s">
        <v>35</v>
      </c>
      <c r="G1943" t="s">
        <v>35</v>
      </c>
      <c r="H1943" t="s">
        <v>35</v>
      </c>
      <c r="J1943" t="s">
        <v>3107</v>
      </c>
      <c r="K1943" t="s">
        <v>1092</v>
      </c>
      <c r="M1943">
        <v>2</v>
      </c>
      <c r="N1943">
        <v>52</v>
      </c>
      <c r="O1943" t="s">
        <v>52</v>
      </c>
      <c r="Q1943" t="s">
        <v>84</v>
      </c>
      <c r="R1943" t="s">
        <v>256</v>
      </c>
      <c r="S1943" t="s">
        <v>257</v>
      </c>
      <c r="T1943" t="s">
        <v>258</v>
      </c>
    </row>
    <row r="1944" spans="1:20" x14ac:dyDescent="0.25">
      <c r="A1944" t="s">
        <v>44</v>
      </c>
      <c r="B1944" t="s">
        <v>3</v>
      </c>
      <c r="C1944" t="s">
        <v>32</v>
      </c>
      <c r="D1944" t="s">
        <v>227</v>
      </c>
      <c r="E1944" t="s">
        <v>251</v>
      </c>
      <c r="F1944" t="s">
        <v>35</v>
      </c>
      <c r="G1944" t="s">
        <v>35</v>
      </c>
      <c r="H1944" t="s">
        <v>35</v>
      </c>
      <c r="J1944" t="s">
        <v>2757</v>
      </c>
      <c r="K1944" t="s">
        <v>1092</v>
      </c>
      <c r="M1944">
        <v>1.95</v>
      </c>
      <c r="N1944">
        <v>59</v>
      </c>
      <c r="O1944" t="s">
        <v>52</v>
      </c>
      <c r="Q1944" t="s">
        <v>203</v>
      </c>
      <c r="R1944" t="s">
        <v>256</v>
      </c>
      <c r="S1944" t="s">
        <v>257</v>
      </c>
      <c r="T1944" t="s">
        <v>258</v>
      </c>
    </row>
    <row r="1945" spans="1:20" x14ac:dyDescent="0.25">
      <c r="A1945" t="s">
        <v>59</v>
      </c>
      <c r="B1945" t="s">
        <v>60</v>
      </c>
      <c r="C1945" t="s">
        <v>32</v>
      </c>
      <c r="D1945" t="s">
        <v>227</v>
      </c>
      <c r="E1945" t="s">
        <v>228</v>
      </c>
      <c r="F1945" t="s">
        <v>35</v>
      </c>
      <c r="G1945" t="s">
        <v>35</v>
      </c>
      <c r="H1945" t="s">
        <v>35</v>
      </c>
      <c r="J1945" t="s">
        <v>2484</v>
      </c>
      <c r="K1945" t="s">
        <v>1092</v>
      </c>
      <c r="M1945">
        <v>0.75</v>
      </c>
      <c r="N1945">
        <v>272</v>
      </c>
      <c r="O1945" t="s">
        <v>5</v>
      </c>
      <c r="Q1945" t="s">
        <v>1717</v>
      </c>
      <c r="R1945" t="s">
        <v>256</v>
      </c>
      <c r="S1945" t="s">
        <v>257</v>
      </c>
      <c r="T1945" t="s">
        <v>258</v>
      </c>
    </row>
    <row r="1946" spans="1:20" x14ac:dyDescent="0.25">
      <c r="A1946" t="s">
        <v>59</v>
      </c>
      <c r="B1946" t="s">
        <v>60</v>
      </c>
      <c r="C1946" t="s">
        <v>32</v>
      </c>
      <c r="D1946" t="s">
        <v>227</v>
      </c>
      <c r="E1946" t="s">
        <v>228</v>
      </c>
      <c r="F1946" t="s">
        <v>35</v>
      </c>
      <c r="G1946" t="s">
        <v>35</v>
      </c>
      <c r="H1946" t="s">
        <v>35</v>
      </c>
      <c r="J1946" t="s">
        <v>2484</v>
      </c>
      <c r="K1946" t="s">
        <v>1092</v>
      </c>
      <c r="M1946">
        <v>2</v>
      </c>
      <c r="N1946">
        <v>91</v>
      </c>
      <c r="O1946" t="s">
        <v>106</v>
      </c>
      <c r="Q1946" t="s">
        <v>108</v>
      </c>
      <c r="R1946" t="s">
        <v>256</v>
      </c>
      <c r="S1946" t="s">
        <v>257</v>
      </c>
      <c r="T1946" t="s">
        <v>258</v>
      </c>
    </row>
    <row r="1947" spans="1:20" x14ac:dyDescent="0.25">
      <c r="A1947" t="s">
        <v>59</v>
      </c>
      <c r="B1947" t="s">
        <v>31</v>
      </c>
      <c r="C1947" t="s">
        <v>32</v>
      </c>
      <c r="D1947" t="s">
        <v>227</v>
      </c>
      <c r="E1947" t="s">
        <v>228</v>
      </c>
      <c r="F1947" t="s">
        <v>35</v>
      </c>
      <c r="G1947" t="s">
        <v>35</v>
      </c>
      <c r="H1947" t="s">
        <v>35</v>
      </c>
      <c r="J1947" t="s">
        <v>2484</v>
      </c>
      <c r="K1947" t="s">
        <v>1092</v>
      </c>
      <c r="M1947">
        <v>2.61</v>
      </c>
      <c r="N1947">
        <v>91</v>
      </c>
      <c r="O1947" t="s">
        <v>106</v>
      </c>
      <c r="Q1947" t="s">
        <v>108</v>
      </c>
      <c r="R1947" t="s">
        <v>256</v>
      </c>
      <c r="S1947" t="s">
        <v>257</v>
      </c>
      <c r="T1947" t="s">
        <v>258</v>
      </c>
    </row>
    <row r="1948" spans="1:20" x14ac:dyDescent="0.25">
      <c r="A1948" t="s">
        <v>44</v>
      </c>
      <c r="B1948" t="s">
        <v>3</v>
      </c>
      <c r="C1948" t="s">
        <v>32</v>
      </c>
      <c r="D1948" t="s">
        <v>227</v>
      </c>
      <c r="E1948" t="s">
        <v>251</v>
      </c>
      <c r="F1948" t="s">
        <v>35</v>
      </c>
      <c r="G1948" t="s">
        <v>35</v>
      </c>
      <c r="H1948" t="s">
        <v>35</v>
      </c>
      <c r="J1948" t="s">
        <v>2756</v>
      </c>
      <c r="K1948" t="s">
        <v>1092</v>
      </c>
      <c r="M1948">
        <v>2</v>
      </c>
      <c r="N1948">
        <v>59</v>
      </c>
      <c r="O1948" t="s">
        <v>52</v>
      </c>
      <c r="Q1948" t="s">
        <v>203</v>
      </c>
      <c r="R1948" t="s">
        <v>256</v>
      </c>
      <c r="S1948" t="s">
        <v>257</v>
      </c>
      <c r="T1948" t="s">
        <v>258</v>
      </c>
    </row>
    <row r="1949" spans="1:20" x14ac:dyDescent="0.25">
      <c r="A1949" t="s">
        <v>59</v>
      </c>
      <c r="B1949" t="s">
        <v>60</v>
      </c>
      <c r="C1949" t="s">
        <v>32</v>
      </c>
      <c r="D1949" t="s">
        <v>227</v>
      </c>
      <c r="E1949" t="s">
        <v>2385</v>
      </c>
      <c r="F1949" t="s">
        <v>35</v>
      </c>
      <c r="G1949" t="s">
        <v>35</v>
      </c>
      <c r="H1949" t="s">
        <v>35</v>
      </c>
      <c r="J1949" t="s">
        <v>2388</v>
      </c>
      <c r="K1949" t="s">
        <v>1092</v>
      </c>
      <c r="M1949">
        <v>0.25</v>
      </c>
      <c r="N1949">
        <v>10</v>
      </c>
      <c r="O1949" t="s">
        <v>46</v>
      </c>
      <c r="Q1949" t="s">
        <v>1302</v>
      </c>
      <c r="R1949" t="s">
        <v>256</v>
      </c>
      <c r="S1949" t="s">
        <v>257</v>
      </c>
      <c r="T1949" t="s">
        <v>258</v>
      </c>
    </row>
    <row r="1950" spans="1:20" x14ac:dyDescent="0.25">
      <c r="A1950" t="s">
        <v>59</v>
      </c>
      <c r="B1950" t="s">
        <v>60</v>
      </c>
      <c r="C1950" t="s">
        <v>32</v>
      </c>
      <c r="D1950" t="s">
        <v>227</v>
      </c>
      <c r="E1950" t="s">
        <v>251</v>
      </c>
      <c r="F1950" t="s">
        <v>35</v>
      </c>
      <c r="G1950" t="s">
        <v>35</v>
      </c>
      <c r="H1950" t="s">
        <v>35</v>
      </c>
      <c r="J1950" t="s">
        <v>261</v>
      </c>
      <c r="K1950" t="s">
        <v>37</v>
      </c>
      <c r="M1950">
        <v>11</v>
      </c>
      <c r="N1950">
        <v>255</v>
      </c>
      <c r="O1950" t="s">
        <v>5</v>
      </c>
      <c r="P1950" t="s">
        <v>263</v>
      </c>
      <c r="Q1950" t="s">
        <v>264</v>
      </c>
      <c r="R1950" t="s">
        <v>256</v>
      </c>
      <c r="S1950" t="s">
        <v>257</v>
      </c>
      <c r="T1950" t="s">
        <v>258</v>
      </c>
    </row>
    <row r="1951" spans="1:20" x14ac:dyDescent="0.25">
      <c r="A1951" t="s">
        <v>44</v>
      </c>
      <c r="B1951" t="s">
        <v>3</v>
      </c>
      <c r="C1951" t="s">
        <v>32</v>
      </c>
      <c r="D1951" t="s">
        <v>227</v>
      </c>
      <c r="E1951" t="s">
        <v>2675</v>
      </c>
      <c r="F1951" t="s">
        <v>35</v>
      </c>
      <c r="G1951" t="s">
        <v>35</v>
      </c>
      <c r="H1951" t="s">
        <v>35</v>
      </c>
      <c r="J1951" t="s">
        <v>2677</v>
      </c>
      <c r="K1951" t="s">
        <v>1092</v>
      </c>
      <c r="M1951">
        <v>4</v>
      </c>
      <c r="N1951">
        <v>60</v>
      </c>
      <c r="O1951" t="s">
        <v>52</v>
      </c>
      <c r="Q1951" t="s">
        <v>1311</v>
      </c>
      <c r="R1951" t="s">
        <v>256</v>
      </c>
      <c r="S1951" t="s">
        <v>257</v>
      </c>
      <c r="T1951" t="s">
        <v>258</v>
      </c>
    </row>
    <row r="1952" spans="1:20" x14ac:dyDescent="0.25">
      <c r="A1952" t="s">
        <v>59</v>
      </c>
      <c r="B1952" t="s">
        <v>60</v>
      </c>
      <c r="C1952" t="s">
        <v>32</v>
      </c>
      <c r="D1952" t="s">
        <v>227</v>
      </c>
      <c r="E1952" t="s">
        <v>2794</v>
      </c>
      <c r="F1952" t="s">
        <v>35</v>
      </c>
      <c r="G1952" t="s">
        <v>35</v>
      </c>
      <c r="H1952" t="s">
        <v>35</v>
      </c>
      <c r="J1952" t="s">
        <v>1160</v>
      </c>
      <c r="K1952" t="s">
        <v>1092</v>
      </c>
      <c r="M1952">
        <v>0.1</v>
      </c>
      <c r="N1952">
        <v>255</v>
      </c>
      <c r="O1952" t="s">
        <v>5</v>
      </c>
      <c r="Q1952" t="s">
        <v>264</v>
      </c>
      <c r="R1952" t="s">
        <v>256</v>
      </c>
      <c r="S1952" t="s">
        <v>257</v>
      </c>
      <c r="T1952" t="s">
        <v>258</v>
      </c>
    </row>
    <row r="1953" spans="1:20" x14ac:dyDescent="0.25">
      <c r="A1953" t="s">
        <v>59</v>
      </c>
      <c r="B1953" t="s">
        <v>60</v>
      </c>
      <c r="C1953" t="s">
        <v>32</v>
      </c>
      <c r="D1953" t="s">
        <v>227</v>
      </c>
      <c r="E1953" t="s">
        <v>2492</v>
      </c>
      <c r="F1953" t="s">
        <v>35</v>
      </c>
      <c r="G1953" t="s">
        <v>35</v>
      </c>
      <c r="H1953" t="s">
        <v>35</v>
      </c>
      <c r="J1953" t="s">
        <v>2501</v>
      </c>
      <c r="K1953" t="s">
        <v>1092</v>
      </c>
      <c r="M1953">
        <v>0.1</v>
      </c>
      <c r="N1953">
        <v>833</v>
      </c>
      <c r="O1953" t="s">
        <v>575</v>
      </c>
      <c r="Q1953" t="s">
        <v>2502</v>
      </c>
      <c r="R1953" t="s">
        <v>256</v>
      </c>
      <c r="S1953" t="s">
        <v>257</v>
      </c>
      <c r="T1953" t="s">
        <v>258</v>
      </c>
    </row>
    <row r="1954" spans="1:20" x14ac:dyDescent="0.25">
      <c r="A1954" t="s">
        <v>59</v>
      </c>
      <c r="B1954" t="s">
        <v>31</v>
      </c>
      <c r="C1954" t="s">
        <v>32</v>
      </c>
      <c r="D1954" t="s">
        <v>227</v>
      </c>
      <c r="E1954" t="s">
        <v>251</v>
      </c>
      <c r="F1954" t="s">
        <v>35</v>
      </c>
      <c r="G1954" t="s">
        <v>35</v>
      </c>
      <c r="H1954" t="s">
        <v>35</v>
      </c>
      <c r="J1954" t="s">
        <v>2743</v>
      </c>
      <c r="K1954" t="s">
        <v>1092</v>
      </c>
      <c r="M1954">
        <v>1.26</v>
      </c>
      <c r="N1954">
        <v>52</v>
      </c>
      <c r="O1954" t="s">
        <v>52</v>
      </c>
      <c r="Q1954" t="s">
        <v>84</v>
      </c>
      <c r="R1954" t="s">
        <v>256</v>
      </c>
      <c r="S1954" t="s">
        <v>257</v>
      </c>
      <c r="T1954" t="s">
        <v>258</v>
      </c>
    </row>
    <row r="1955" spans="1:20" x14ac:dyDescent="0.25">
      <c r="A1955" t="s">
        <v>59</v>
      </c>
      <c r="B1955" t="s">
        <v>31</v>
      </c>
      <c r="C1955" t="s">
        <v>32</v>
      </c>
      <c r="D1955" t="s">
        <v>227</v>
      </c>
      <c r="F1955" t="s">
        <v>35</v>
      </c>
      <c r="G1955" t="s">
        <v>35</v>
      </c>
      <c r="H1955" t="s">
        <v>35</v>
      </c>
      <c r="J1955" t="s">
        <v>3040</v>
      </c>
      <c r="K1955" t="s">
        <v>1092</v>
      </c>
      <c r="M1955">
        <v>0.63</v>
      </c>
      <c r="N1955">
        <v>2017</v>
      </c>
      <c r="O1955" t="s">
        <v>575</v>
      </c>
      <c r="Q1955" t="s">
        <v>3041</v>
      </c>
      <c r="R1955" t="s">
        <v>256</v>
      </c>
      <c r="S1955" t="s">
        <v>257</v>
      </c>
      <c r="T1955" t="s">
        <v>258</v>
      </c>
    </row>
    <row r="1956" spans="1:20" x14ac:dyDescent="0.25">
      <c r="A1956" t="s">
        <v>59</v>
      </c>
      <c r="B1956" t="s">
        <v>60</v>
      </c>
      <c r="C1956" t="s">
        <v>32</v>
      </c>
      <c r="D1956" t="s">
        <v>227</v>
      </c>
      <c r="E1956" t="s">
        <v>2675</v>
      </c>
      <c r="F1956" t="s">
        <v>35</v>
      </c>
      <c r="G1956" t="s">
        <v>35</v>
      </c>
      <c r="H1956" t="s">
        <v>35</v>
      </c>
      <c r="J1956" t="s">
        <v>2708</v>
      </c>
      <c r="K1956" t="s">
        <v>1092</v>
      </c>
      <c r="M1956">
        <v>4.8000000000000001E-2</v>
      </c>
      <c r="N1956">
        <v>67</v>
      </c>
      <c r="O1956" t="s">
        <v>61</v>
      </c>
      <c r="Q1956" t="s">
        <v>488</v>
      </c>
      <c r="R1956" t="s">
        <v>256</v>
      </c>
      <c r="S1956" t="s">
        <v>257</v>
      </c>
      <c r="T1956" t="s">
        <v>258</v>
      </c>
    </row>
    <row r="1957" spans="1:20" x14ac:dyDescent="0.25">
      <c r="A1957" t="s">
        <v>59</v>
      </c>
      <c r="B1957" t="s">
        <v>60</v>
      </c>
      <c r="C1957" t="s">
        <v>32</v>
      </c>
      <c r="D1957" t="s">
        <v>227</v>
      </c>
      <c r="E1957" t="s">
        <v>2675</v>
      </c>
      <c r="F1957" t="s">
        <v>35</v>
      </c>
      <c r="G1957" t="s">
        <v>35</v>
      </c>
      <c r="H1957" t="s">
        <v>35</v>
      </c>
      <c r="J1957" t="s">
        <v>2679</v>
      </c>
      <c r="K1957" t="s">
        <v>1092</v>
      </c>
      <c r="M1957">
        <v>2.8</v>
      </c>
      <c r="N1957">
        <v>126</v>
      </c>
      <c r="O1957" t="s">
        <v>38</v>
      </c>
      <c r="Q1957" t="s">
        <v>68</v>
      </c>
      <c r="R1957" t="s">
        <v>256</v>
      </c>
      <c r="S1957" t="s">
        <v>257</v>
      </c>
      <c r="T1957" t="s">
        <v>258</v>
      </c>
    </row>
    <row r="1958" spans="1:20" x14ac:dyDescent="0.25">
      <c r="A1958" t="s">
        <v>59</v>
      </c>
      <c r="B1958" t="s">
        <v>60</v>
      </c>
      <c r="C1958" t="s">
        <v>32</v>
      </c>
      <c r="D1958" t="s">
        <v>227</v>
      </c>
      <c r="E1958" t="s">
        <v>2850</v>
      </c>
      <c r="F1958" t="s">
        <v>35</v>
      </c>
      <c r="G1958" t="s">
        <v>35</v>
      </c>
      <c r="H1958" t="s">
        <v>35</v>
      </c>
      <c r="J1958" t="s">
        <v>2856</v>
      </c>
      <c r="K1958" t="s">
        <v>1092</v>
      </c>
      <c r="M1958">
        <v>0.8</v>
      </c>
      <c r="N1958">
        <v>192</v>
      </c>
      <c r="O1958" t="s">
        <v>5</v>
      </c>
      <c r="Q1958" t="s">
        <v>1720</v>
      </c>
      <c r="R1958" t="s">
        <v>256</v>
      </c>
      <c r="S1958" t="s">
        <v>257</v>
      </c>
      <c r="T1958" t="s">
        <v>258</v>
      </c>
    </row>
    <row r="1959" spans="1:20" x14ac:dyDescent="0.25">
      <c r="A1959" t="s">
        <v>30</v>
      </c>
      <c r="B1959" t="s">
        <v>31</v>
      </c>
      <c r="C1959" t="s">
        <v>32</v>
      </c>
      <c r="D1959" t="s">
        <v>227</v>
      </c>
      <c r="E1959" t="s">
        <v>2850</v>
      </c>
      <c r="F1959" t="s">
        <v>35</v>
      </c>
      <c r="G1959" t="s">
        <v>35</v>
      </c>
      <c r="H1959" t="s">
        <v>35</v>
      </c>
      <c r="J1959" t="s">
        <v>2856</v>
      </c>
      <c r="K1959" t="s">
        <v>1092</v>
      </c>
      <c r="M1959">
        <v>0.67500000000000004</v>
      </c>
      <c r="N1959">
        <v>34</v>
      </c>
      <c r="O1959" t="s">
        <v>52</v>
      </c>
      <c r="Q1959" t="s">
        <v>249</v>
      </c>
      <c r="R1959" t="s">
        <v>256</v>
      </c>
      <c r="S1959" t="s">
        <v>257</v>
      </c>
      <c r="T1959" t="s">
        <v>258</v>
      </c>
    </row>
    <row r="1960" spans="1:20" x14ac:dyDescent="0.25">
      <c r="A1960" t="s">
        <v>59</v>
      </c>
      <c r="B1960" t="s">
        <v>31</v>
      </c>
      <c r="C1960" t="s">
        <v>32</v>
      </c>
      <c r="D1960" t="s">
        <v>227</v>
      </c>
      <c r="E1960" t="s">
        <v>2492</v>
      </c>
      <c r="F1960" t="s">
        <v>35</v>
      </c>
      <c r="G1960" t="s">
        <v>35</v>
      </c>
      <c r="H1960" t="s">
        <v>35</v>
      </c>
      <c r="J1960" t="s">
        <v>2493</v>
      </c>
      <c r="K1960" t="s">
        <v>1092</v>
      </c>
      <c r="M1960">
        <v>0.13500000000000001</v>
      </c>
      <c r="N1960">
        <v>204</v>
      </c>
      <c r="O1960" t="s">
        <v>5</v>
      </c>
      <c r="Q1960" t="s">
        <v>2494</v>
      </c>
      <c r="R1960" t="s">
        <v>256</v>
      </c>
      <c r="S1960" t="s">
        <v>257</v>
      </c>
      <c r="T1960" t="s">
        <v>258</v>
      </c>
    </row>
    <row r="1961" spans="1:20" x14ac:dyDescent="0.25">
      <c r="A1961" t="s">
        <v>44</v>
      </c>
      <c r="B1961" t="s">
        <v>3</v>
      </c>
      <c r="C1961" t="s">
        <v>32</v>
      </c>
      <c r="D1961" t="s">
        <v>227</v>
      </c>
      <c r="E1961" t="s">
        <v>2492</v>
      </c>
      <c r="F1961" t="s">
        <v>35</v>
      </c>
      <c r="G1961" t="s">
        <v>35</v>
      </c>
      <c r="H1961" t="s">
        <v>35</v>
      </c>
      <c r="J1961" t="s">
        <v>2493</v>
      </c>
      <c r="K1961" t="s">
        <v>1092</v>
      </c>
      <c r="M1961">
        <v>5.5</v>
      </c>
      <c r="N1961">
        <v>60</v>
      </c>
      <c r="O1961" t="s">
        <v>52</v>
      </c>
      <c r="Q1961" t="s">
        <v>1311</v>
      </c>
      <c r="R1961" t="s">
        <v>256</v>
      </c>
      <c r="S1961" t="s">
        <v>257</v>
      </c>
      <c r="T1961" t="s">
        <v>258</v>
      </c>
    </row>
    <row r="1962" spans="1:20" x14ac:dyDescent="0.25">
      <c r="A1962" t="s">
        <v>59</v>
      </c>
      <c r="B1962" t="s">
        <v>31</v>
      </c>
      <c r="C1962" t="s">
        <v>32</v>
      </c>
      <c r="D1962" t="s">
        <v>227</v>
      </c>
      <c r="E1962" t="s">
        <v>2825</v>
      </c>
      <c r="F1962" t="s">
        <v>35</v>
      </c>
      <c r="G1962" t="s">
        <v>35</v>
      </c>
      <c r="H1962" t="s">
        <v>35</v>
      </c>
      <c r="J1962" t="s">
        <v>2831</v>
      </c>
      <c r="K1962" t="s">
        <v>1092</v>
      </c>
      <c r="M1962">
        <v>0.18</v>
      </c>
      <c r="N1962">
        <v>38</v>
      </c>
      <c r="O1962" t="s">
        <v>52</v>
      </c>
      <c r="Q1962" t="s">
        <v>716</v>
      </c>
      <c r="R1962" t="s">
        <v>256</v>
      </c>
      <c r="S1962" t="s">
        <v>257</v>
      </c>
      <c r="T1962" t="s">
        <v>258</v>
      </c>
    </row>
    <row r="1963" spans="1:20" x14ac:dyDescent="0.25">
      <c r="A1963" t="s">
        <v>59</v>
      </c>
      <c r="B1963" t="s">
        <v>60</v>
      </c>
      <c r="C1963" t="s">
        <v>32</v>
      </c>
      <c r="D1963" t="s">
        <v>227</v>
      </c>
      <c r="E1963" t="s">
        <v>2871</v>
      </c>
      <c r="F1963" t="s">
        <v>35</v>
      </c>
      <c r="G1963" t="s">
        <v>35</v>
      </c>
      <c r="H1963" t="s">
        <v>35</v>
      </c>
      <c r="J1963" t="s">
        <v>2877</v>
      </c>
      <c r="K1963" t="s">
        <v>1092</v>
      </c>
      <c r="M1963">
        <v>2.3E-2</v>
      </c>
      <c r="N1963">
        <v>192</v>
      </c>
      <c r="O1963" t="s">
        <v>5</v>
      </c>
      <c r="Q1963" t="s">
        <v>1720</v>
      </c>
      <c r="R1963" t="s">
        <v>256</v>
      </c>
      <c r="S1963" t="s">
        <v>257</v>
      </c>
      <c r="T1963" t="s">
        <v>258</v>
      </c>
    </row>
    <row r="1964" spans="1:20" x14ac:dyDescent="0.25">
      <c r="A1964" t="s">
        <v>59</v>
      </c>
      <c r="B1964" t="s">
        <v>60</v>
      </c>
      <c r="C1964" t="s">
        <v>32</v>
      </c>
      <c r="D1964" t="s">
        <v>227</v>
      </c>
      <c r="E1964" t="s">
        <v>2919</v>
      </c>
      <c r="F1964" t="s">
        <v>35</v>
      </c>
      <c r="G1964" t="s">
        <v>35</v>
      </c>
      <c r="H1964" t="s">
        <v>35</v>
      </c>
      <c r="J1964" t="s">
        <v>2924</v>
      </c>
      <c r="K1964" t="s">
        <v>1092</v>
      </c>
      <c r="M1964">
        <v>0.15</v>
      </c>
      <c r="N1964">
        <v>54</v>
      </c>
      <c r="O1964" t="s">
        <v>52</v>
      </c>
      <c r="Q1964" t="s">
        <v>671</v>
      </c>
      <c r="R1964" t="s">
        <v>256</v>
      </c>
      <c r="S1964" t="s">
        <v>257</v>
      </c>
      <c r="T1964" t="s">
        <v>258</v>
      </c>
    </row>
    <row r="1965" spans="1:20" x14ac:dyDescent="0.25">
      <c r="A1965" t="s">
        <v>30</v>
      </c>
      <c r="B1965" t="s">
        <v>31</v>
      </c>
      <c r="C1965" t="s">
        <v>32</v>
      </c>
      <c r="D1965" t="s">
        <v>227</v>
      </c>
      <c r="E1965" t="s">
        <v>2551</v>
      </c>
      <c r="F1965" t="s">
        <v>35</v>
      </c>
      <c r="G1965" t="s">
        <v>35</v>
      </c>
      <c r="H1965" t="s">
        <v>35</v>
      </c>
      <c r="J1965" t="s">
        <v>2558</v>
      </c>
      <c r="K1965" t="s">
        <v>1092</v>
      </c>
      <c r="M1965">
        <v>2.5649999999999999</v>
      </c>
      <c r="N1965">
        <v>260</v>
      </c>
      <c r="O1965" t="s">
        <v>5</v>
      </c>
      <c r="Q1965" t="s">
        <v>2559</v>
      </c>
      <c r="R1965" t="s">
        <v>256</v>
      </c>
      <c r="S1965" t="s">
        <v>257</v>
      </c>
      <c r="T1965" t="s">
        <v>258</v>
      </c>
    </row>
    <row r="1966" spans="1:20" x14ac:dyDescent="0.25">
      <c r="A1966" t="s">
        <v>59</v>
      </c>
      <c r="B1966" t="s">
        <v>60</v>
      </c>
      <c r="C1966" t="s">
        <v>32</v>
      </c>
      <c r="D1966" t="s">
        <v>227</v>
      </c>
      <c r="E1966" t="s">
        <v>2825</v>
      </c>
      <c r="F1966" t="s">
        <v>35</v>
      </c>
      <c r="G1966" t="s">
        <v>35</v>
      </c>
      <c r="H1966" t="s">
        <v>35</v>
      </c>
      <c r="J1966" t="s">
        <v>2842</v>
      </c>
      <c r="K1966" t="s">
        <v>1092</v>
      </c>
      <c r="M1966">
        <v>0.25</v>
      </c>
      <c r="N1966">
        <v>120</v>
      </c>
      <c r="O1966" t="s">
        <v>106</v>
      </c>
      <c r="Q1966" t="s">
        <v>2145</v>
      </c>
      <c r="R1966" t="s">
        <v>256</v>
      </c>
      <c r="S1966" t="s">
        <v>257</v>
      </c>
      <c r="T1966" t="s">
        <v>258</v>
      </c>
    </row>
    <row r="1967" spans="1:20" x14ac:dyDescent="0.25">
      <c r="A1967" t="s">
        <v>59</v>
      </c>
      <c r="B1967" t="s">
        <v>60</v>
      </c>
      <c r="C1967" t="s">
        <v>32</v>
      </c>
      <c r="D1967" t="s">
        <v>227</v>
      </c>
      <c r="E1967" t="s">
        <v>251</v>
      </c>
      <c r="F1967" t="s">
        <v>35</v>
      </c>
      <c r="G1967" t="s">
        <v>35</v>
      </c>
      <c r="H1967" t="s">
        <v>35</v>
      </c>
      <c r="J1967" t="s">
        <v>252</v>
      </c>
      <c r="K1967" t="s">
        <v>37</v>
      </c>
      <c r="M1967">
        <v>11</v>
      </c>
      <c r="N1967">
        <v>17</v>
      </c>
      <c r="O1967" t="s">
        <v>46</v>
      </c>
      <c r="P1967" t="s">
        <v>254</v>
      </c>
      <c r="Q1967" t="s">
        <v>255</v>
      </c>
      <c r="R1967" t="s">
        <v>256</v>
      </c>
      <c r="S1967" t="s">
        <v>257</v>
      </c>
      <c r="T1967" t="s">
        <v>258</v>
      </c>
    </row>
    <row r="1968" spans="1:20" x14ac:dyDescent="0.25">
      <c r="A1968" t="s">
        <v>59</v>
      </c>
      <c r="B1968" t="s">
        <v>60</v>
      </c>
      <c r="C1968" t="s">
        <v>32</v>
      </c>
      <c r="D1968" t="s">
        <v>227</v>
      </c>
      <c r="E1968" t="s">
        <v>251</v>
      </c>
      <c r="F1968" t="s">
        <v>35</v>
      </c>
      <c r="G1968" t="s">
        <v>35</v>
      </c>
      <c r="H1968" t="s">
        <v>35</v>
      </c>
      <c r="J1968" t="s">
        <v>252</v>
      </c>
      <c r="K1968" t="s">
        <v>37</v>
      </c>
      <c r="M1968">
        <v>6.7</v>
      </c>
      <c r="N1968">
        <v>153</v>
      </c>
      <c r="O1968" t="s">
        <v>38</v>
      </c>
      <c r="P1968" t="s">
        <v>259</v>
      </c>
      <c r="Q1968" t="s">
        <v>260</v>
      </c>
      <c r="R1968" t="s">
        <v>256</v>
      </c>
      <c r="S1968" t="s">
        <v>257</v>
      </c>
      <c r="T1968" t="s">
        <v>258</v>
      </c>
    </row>
    <row r="1969" spans="1:20" x14ac:dyDescent="0.25">
      <c r="A1969" t="s">
        <v>59</v>
      </c>
      <c r="B1969" t="s">
        <v>60</v>
      </c>
      <c r="C1969" t="s">
        <v>32</v>
      </c>
      <c r="D1969" t="s">
        <v>227</v>
      </c>
      <c r="E1969" t="s">
        <v>2825</v>
      </c>
      <c r="F1969" t="s">
        <v>35</v>
      </c>
      <c r="G1969" t="s">
        <v>35</v>
      </c>
      <c r="H1969" t="s">
        <v>35</v>
      </c>
      <c r="J1969" t="s">
        <v>252</v>
      </c>
      <c r="K1969" t="s">
        <v>1092</v>
      </c>
      <c r="M1969">
        <v>0.6</v>
      </c>
      <c r="N1969">
        <v>123</v>
      </c>
      <c r="O1969" t="s">
        <v>38</v>
      </c>
      <c r="Q1969" t="s">
        <v>1656</v>
      </c>
      <c r="R1969" t="s">
        <v>256</v>
      </c>
      <c r="S1969" t="s">
        <v>257</v>
      </c>
      <c r="T1969" t="s">
        <v>258</v>
      </c>
    </row>
    <row r="1970" spans="1:20" x14ac:dyDescent="0.25">
      <c r="A1970" t="s">
        <v>44</v>
      </c>
      <c r="B1970" t="s">
        <v>3</v>
      </c>
      <c r="C1970" t="s">
        <v>32</v>
      </c>
      <c r="D1970" t="s">
        <v>227</v>
      </c>
      <c r="E1970" t="s">
        <v>2825</v>
      </c>
      <c r="F1970" t="s">
        <v>35</v>
      </c>
      <c r="G1970" t="s">
        <v>35</v>
      </c>
      <c r="H1970" t="s">
        <v>35</v>
      </c>
      <c r="J1970" t="s">
        <v>252</v>
      </c>
      <c r="K1970" t="s">
        <v>1092</v>
      </c>
      <c r="M1970">
        <v>2</v>
      </c>
      <c r="N1970">
        <v>60</v>
      </c>
      <c r="O1970" t="s">
        <v>52</v>
      </c>
      <c r="Q1970" t="s">
        <v>1311</v>
      </c>
      <c r="R1970" t="s">
        <v>256</v>
      </c>
      <c r="S1970" t="s">
        <v>257</v>
      </c>
      <c r="T1970" t="s">
        <v>258</v>
      </c>
    </row>
    <row r="1971" spans="1:20" x14ac:dyDescent="0.25">
      <c r="A1971" t="s">
        <v>30</v>
      </c>
      <c r="B1971" t="s">
        <v>31</v>
      </c>
      <c r="C1971" t="s">
        <v>32</v>
      </c>
      <c r="D1971" t="s">
        <v>227</v>
      </c>
      <c r="F1971" t="s">
        <v>35</v>
      </c>
      <c r="G1971" t="s">
        <v>35</v>
      </c>
      <c r="H1971" t="s">
        <v>35</v>
      </c>
      <c r="J1971" t="s">
        <v>3071</v>
      </c>
      <c r="K1971" t="s">
        <v>1092</v>
      </c>
      <c r="M1971">
        <v>4.5</v>
      </c>
      <c r="N1971">
        <v>1528</v>
      </c>
      <c r="O1971" t="s">
        <v>575</v>
      </c>
      <c r="Q1971" t="s">
        <v>3072</v>
      </c>
      <c r="R1971" t="s">
        <v>256</v>
      </c>
      <c r="S1971" t="s">
        <v>257</v>
      </c>
      <c r="T1971" t="s">
        <v>258</v>
      </c>
    </row>
    <row r="1972" spans="1:20" x14ac:dyDescent="0.25">
      <c r="A1972" t="s">
        <v>59</v>
      </c>
      <c r="B1972" t="s">
        <v>31</v>
      </c>
      <c r="C1972" t="s">
        <v>32</v>
      </c>
      <c r="D1972" t="s">
        <v>227</v>
      </c>
      <c r="E1972" t="s">
        <v>2575</v>
      </c>
      <c r="F1972" t="s">
        <v>35</v>
      </c>
      <c r="G1972" t="s">
        <v>35</v>
      </c>
      <c r="H1972" t="s">
        <v>35</v>
      </c>
      <c r="J1972" t="s">
        <v>2587</v>
      </c>
      <c r="K1972" t="s">
        <v>1092</v>
      </c>
      <c r="M1972">
        <v>0.89</v>
      </c>
      <c r="N1972">
        <v>287</v>
      </c>
      <c r="O1972" t="s">
        <v>5</v>
      </c>
      <c r="Q1972" t="s">
        <v>1418</v>
      </c>
      <c r="R1972" t="s">
        <v>256</v>
      </c>
      <c r="S1972" t="s">
        <v>257</v>
      </c>
      <c r="T1972" t="s">
        <v>258</v>
      </c>
    </row>
    <row r="1973" spans="1:20" x14ac:dyDescent="0.25">
      <c r="A1973" t="s">
        <v>44</v>
      </c>
      <c r="B1973" t="s">
        <v>3</v>
      </c>
      <c r="C1973" t="s">
        <v>32</v>
      </c>
      <c r="D1973" t="s">
        <v>227</v>
      </c>
      <c r="E1973" t="s">
        <v>2825</v>
      </c>
      <c r="F1973" t="s">
        <v>35</v>
      </c>
      <c r="G1973" t="s">
        <v>35</v>
      </c>
      <c r="H1973" t="s">
        <v>35</v>
      </c>
      <c r="J1973" t="s">
        <v>2840</v>
      </c>
      <c r="K1973" t="s">
        <v>1092</v>
      </c>
      <c r="M1973">
        <v>1.8</v>
      </c>
      <c r="N1973">
        <v>60</v>
      </c>
      <c r="O1973" t="s">
        <v>52</v>
      </c>
      <c r="Q1973" t="s">
        <v>1311</v>
      </c>
      <c r="R1973" t="s">
        <v>256</v>
      </c>
      <c r="S1973" t="s">
        <v>257</v>
      </c>
      <c r="T1973" t="s">
        <v>258</v>
      </c>
    </row>
    <row r="1974" spans="1:20" x14ac:dyDescent="0.25">
      <c r="A1974" t="s">
        <v>59</v>
      </c>
      <c r="B1974" t="s">
        <v>60</v>
      </c>
      <c r="C1974" t="s">
        <v>32</v>
      </c>
      <c r="D1974" t="s">
        <v>227</v>
      </c>
      <c r="E1974" t="s">
        <v>2825</v>
      </c>
      <c r="F1974" t="s">
        <v>35</v>
      </c>
      <c r="G1974" t="s">
        <v>35</v>
      </c>
      <c r="H1974" t="s">
        <v>35</v>
      </c>
      <c r="J1974" t="s">
        <v>2826</v>
      </c>
      <c r="K1974" t="s">
        <v>1092</v>
      </c>
      <c r="M1974">
        <v>0.58699999999999997</v>
      </c>
      <c r="N1974">
        <v>171</v>
      </c>
      <c r="O1974" t="s">
        <v>38</v>
      </c>
      <c r="Q1974" t="s">
        <v>2827</v>
      </c>
      <c r="R1974" t="s">
        <v>250</v>
      </c>
      <c r="S1974" t="s">
        <v>242</v>
      </c>
      <c r="T1974" t="s">
        <v>243</v>
      </c>
    </row>
    <row r="1975" spans="1:20" x14ac:dyDescent="0.25">
      <c r="A1975" t="s">
        <v>59</v>
      </c>
      <c r="B1975" t="s">
        <v>60</v>
      </c>
      <c r="C1975" t="s">
        <v>32</v>
      </c>
      <c r="D1975" t="s">
        <v>227</v>
      </c>
      <c r="E1975" t="s">
        <v>2850</v>
      </c>
      <c r="F1975" t="s">
        <v>35</v>
      </c>
      <c r="G1975" t="s">
        <v>35</v>
      </c>
      <c r="H1975" t="s">
        <v>35</v>
      </c>
      <c r="J1975" t="s">
        <v>2863</v>
      </c>
      <c r="K1975" t="s">
        <v>1092</v>
      </c>
      <c r="M1975">
        <v>0.45</v>
      </c>
      <c r="N1975">
        <v>284</v>
      </c>
      <c r="O1975" t="s">
        <v>5</v>
      </c>
      <c r="Q1975" t="s">
        <v>1249</v>
      </c>
      <c r="R1975" t="s">
        <v>250</v>
      </c>
      <c r="S1975" t="s">
        <v>242</v>
      </c>
      <c r="T1975" t="s">
        <v>243</v>
      </c>
    </row>
    <row r="1976" spans="1:20" x14ac:dyDescent="0.25">
      <c r="A1976" t="s">
        <v>59</v>
      </c>
      <c r="B1976" t="s">
        <v>60</v>
      </c>
      <c r="C1976" t="s">
        <v>32</v>
      </c>
      <c r="D1976" t="s">
        <v>227</v>
      </c>
      <c r="F1976" t="s">
        <v>35</v>
      </c>
      <c r="G1976" t="s">
        <v>35</v>
      </c>
      <c r="H1976" t="s">
        <v>35</v>
      </c>
      <c r="J1976" t="s">
        <v>284</v>
      </c>
      <c r="K1976" t="s">
        <v>285</v>
      </c>
      <c r="M1976">
        <v>1.5</v>
      </c>
      <c r="N1976">
        <v>107</v>
      </c>
      <c r="O1976" t="s">
        <v>106</v>
      </c>
      <c r="P1976" t="s">
        <v>287</v>
      </c>
      <c r="Q1976" t="s">
        <v>288</v>
      </c>
      <c r="R1976" t="s">
        <v>250</v>
      </c>
      <c r="S1976" t="s">
        <v>242</v>
      </c>
      <c r="T1976" t="s">
        <v>243</v>
      </c>
    </row>
    <row r="1977" spans="1:20" x14ac:dyDescent="0.25">
      <c r="A1977" t="s">
        <v>59</v>
      </c>
      <c r="B1977" t="s">
        <v>60</v>
      </c>
      <c r="C1977" t="s">
        <v>32</v>
      </c>
      <c r="D1977" t="s">
        <v>227</v>
      </c>
      <c r="F1977" t="s">
        <v>35</v>
      </c>
      <c r="G1977" t="s">
        <v>35</v>
      </c>
      <c r="H1977" t="s">
        <v>35</v>
      </c>
      <c r="J1977" t="s">
        <v>284</v>
      </c>
      <c r="K1977" t="s">
        <v>285</v>
      </c>
      <c r="M1977">
        <v>3</v>
      </c>
      <c r="N1977">
        <v>107</v>
      </c>
      <c r="O1977" t="s">
        <v>106</v>
      </c>
      <c r="P1977" t="s">
        <v>289</v>
      </c>
      <c r="Q1977" t="s">
        <v>288</v>
      </c>
      <c r="R1977" t="s">
        <v>250</v>
      </c>
      <c r="S1977" t="s">
        <v>242</v>
      </c>
      <c r="T1977" t="s">
        <v>243</v>
      </c>
    </row>
    <row r="1978" spans="1:20" x14ac:dyDescent="0.25">
      <c r="A1978" t="s">
        <v>59</v>
      </c>
      <c r="B1978" t="s">
        <v>60</v>
      </c>
      <c r="C1978" t="s">
        <v>32</v>
      </c>
      <c r="D1978" t="s">
        <v>227</v>
      </c>
      <c r="E1978" t="s">
        <v>2675</v>
      </c>
      <c r="F1978" t="s">
        <v>35</v>
      </c>
      <c r="G1978" t="s">
        <v>35</v>
      </c>
      <c r="H1978" t="s">
        <v>35</v>
      </c>
      <c r="J1978" t="s">
        <v>2687</v>
      </c>
      <c r="K1978" t="s">
        <v>1092</v>
      </c>
      <c r="M1978">
        <v>0.05</v>
      </c>
      <c r="N1978">
        <v>102</v>
      </c>
      <c r="O1978" t="s">
        <v>106</v>
      </c>
      <c r="Q1978" t="s">
        <v>2624</v>
      </c>
      <c r="R1978" t="s">
        <v>250</v>
      </c>
      <c r="S1978" t="s">
        <v>242</v>
      </c>
      <c r="T1978" t="s">
        <v>243</v>
      </c>
    </row>
    <row r="1979" spans="1:20" x14ac:dyDescent="0.25">
      <c r="A1979" t="s">
        <v>59</v>
      </c>
      <c r="B1979" t="s">
        <v>60</v>
      </c>
      <c r="C1979" t="s">
        <v>32</v>
      </c>
      <c r="D1979" t="s">
        <v>227</v>
      </c>
      <c r="E1979" t="s">
        <v>2871</v>
      </c>
      <c r="F1979" t="s">
        <v>35</v>
      </c>
      <c r="G1979" t="s">
        <v>35</v>
      </c>
      <c r="H1979" t="s">
        <v>35</v>
      </c>
      <c r="J1979" t="s">
        <v>2888</v>
      </c>
      <c r="K1979" t="s">
        <v>1092</v>
      </c>
      <c r="M1979">
        <v>4.4999999999999998E-2</v>
      </c>
      <c r="N1979">
        <v>1012</v>
      </c>
      <c r="O1979" t="s">
        <v>575</v>
      </c>
      <c r="Q1979" t="s">
        <v>2889</v>
      </c>
      <c r="R1979" t="s">
        <v>250</v>
      </c>
      <c r="S1979" t="s">
        <v>242</v>
      </c>
      <c r="T1979" t="s">
        <v>243</v>
      </c>
    </row>
    <row r="1980" spans="1:20" x14ac:dyDescent="0.25">
      <c r="A1980" t="s">
        <v>30</v>
      </c>
      <c r="B1980" t="s">
        <v>31</v>
      </c>
      <c r="C1980" t="s">
        <v>32</v>
      </c>
      <c r="D1980" t="s">
        <v>227</v>
      </c>
      <c r="E1980" t="s">
        <v>2612</v>
      </c>
      <c r="F1980" t="s">
        <v>35</v>
      </c>
      <c r="G1980" t="s">
        <v>35</v>
      </c>
      <c r="H1980" t="s">
        <v>35</v>
      </c>
      <c r="J1980" t="s">
        <v>2613</v>
      </c>
      <c r="K1980" t="s">
        <v>1092</v>
      </c>
      <c r="M1980">
        <v>5.0000000000000001E-3</v>
      </c>
      <c r="N1980">
        <v>1477</v>
      </c>
      <c r="O1980" t="s">
        <v>575</v>
      </c>
      <c r="Q1980" t="s">
        <v>2614</v>
      </c>
      <c r="R1980" t="s">
        <v>250</v>
      </c>
      <c r="S1980" t="s">
        <v>242</v>
      </c>
      <c r="T1980" t="s">
        <v>243</v>
      </c>
    </row>
    <row r="1981" spans="1:20" x14ac:dyDescent="0.25">
      <c r="A1981" t="s">
        <v>59</v>
      </c>
      <c r="B1981" t="s">
        <v>60</v>
      </c>
      <c r="C1981" t="s">
        <v>32</v>
      </c>
      <c r="D1981" t="s">
        <v>227</v>
      </c>
      <c r="E1981" t="s">
        <v>2871</v>
      </c>
      <c r="F1981" t="s">
        <v>35</v>
      </c>
      <c r="G1981" t="s">
        <v>35</v>
      </c>
      <c r="H1981" t="s">
        <v>35</v>
      </c>
      <c r="J1981" t="s">
        <v>2912</v>
      </c>
      <c r="K1981" t="s">
        <v>1092</v>
      </c>
      <c r="M1981">
        <v>7.5</v>
      </c>
      <c r="N1981">
        <v>18</v>
      </c>
      <c r="O1981" t="s">
        <v>46</v>
      </c>
      <c r="Q1981" t="s">
        <v>831</v>
      </c>
      <c r="R1981" t="s">
        <v>250</v>
      </c>
      <c r="S1981" t="s">
        <v>242</v>
      </c>
      <c r="T1981" t="s">
        <v>243</v>
      </c>
    </row>
    <row r="1982" spans="1:20" x14ac:dyDescent="0.25">
      <c r="A1982" t="s">
        <v>44</v>
      </c>
      <c r="B1982" t="s">
        <v>51</v>
      </c>
      <c r="C1982" t="s">
        <v>32</v>
      </c>
      <c r="D1982" t="s">
        <v>227</v>
      </c>
      <c r="E1982" t="s">
        <v>2931</v>
      </c>
      <c r="F1982" t="s">
        <v>35</v>
      </c>
      <c r="G1982" t="s">
        <v>35</v>
      </c>
      <c r="H1982" t="s">
        <v>35</v>
      </c>
      <c r="J1982" t="s">
        <v>2932</v>
      </c>
      <c r="K1982" t="s">
        <v>1092</v>
      </c>
      <c r="M1982">
        <v>0.25</v>
      </c>
      <c r="N1982">
        <v>42</v>
      </c>
      <c r="O1982" t="s">
        <v>52</v>
      </c>
      <c r="Q1982" t="s">
        <v>219</v>
      </c>
      <c r="R1982" t="s">
        <v>250</v>
      </c>
      <c r="S1982" t="s">
        <v>242</v>
      </c>
      <c r="T1982" t="s">
        <v>243</v>
      </c>
    </row>
    <row r="1983" spans="1:20" x14ac:dyDescent="0.25">
      <c r="A1983" t="s">
        <v>59</v>
      </c>
      <c r="B1983" t="s">
        <v>31</v>
      </c>
      <c r="C1983" t="s">
        <v>32</v>
      </c>
      <c r="D1983" t="s">
        <v>227</v>
      </c>
      <c r="E1983" t="s">
        <v>2575</v>
      </c>
      <c r="F1983" t="s">
        <v>35</v>
      </c>
      <c r="G1983" t="s">
        <v>35</v>
      </c>
      <c r="H1983" t="s">
        <v>35</v>
      </c>
      <c r="J1983" t="s">
        <v>2586</v>
      </c>
      <c r="K1983" t="s">
        <v>1092</v>
      </c>
      <c r="M1983">
        <v>0.09</v>
      </c>
      <c r="N1983">
        <v>93</v>
      </c>
      <c r="O1983" t="s">
        <v>106</v>
      </c>
      <c r="Q1983" t="s">
        <v>1112</v>
      </c>
      <c r="R1983" t="s">
        <v>250</v>
      </c>
      <c r="S1983" t="s">
        <v>242</v>
      </c>
      <c r="T1983" t="s">
        <v>243</v>
      </c>
    </row>
    <row r="1984" spans="1:20" x14ac:dyDescent="0.25">
      <c r="A1984" t="s">
        <v>59</v>
      </c>
      <c r="B1984" t="s">
        <v>31</v>
      </c>
      <c r="C1984" t="s">
        <v>32</v>
      </c>
      <c r="D1984" t="s">
        <v>227</v>
      </c>
      <c r="F1984" t="s">
        <v>35</v>
      </c>
      <c r="G1984" t="s">
        <v>35</v>
      </c>
      <c r="H1984" t="s">
        <v>35</v>
      </c>
      <c r="J1984" t="s">
        <v>2981</v>
      </c>
      <c r="K1984" t="s">
        <v>1092</v>
      </c>
      <c r="M1984">
        <v>1.5249999999999999</v>
      </c>
      <c r="N1984">
        <v>1325</v>
      </c>
      <c r="O1984" t="s">
        <v>575</v>
      </c>
      <c r="Q1984" t="s">
        <v>2982</v>
      </c>
      <c r="R1984" t="s">
        <v>250</v>
      </c>
      <c r="S1984" t="s">
        <v>242</v>
      </c>
      <c r="T1984" t="s">
        <v>243</v>
      </c>
    </row>
    <row r="1985" spans="1:20" x14ac:dyDescent="0.25">
      <c r="A1985" t="s">
        <v>59</v>
      </c>
      <c r="B1985" t="s">
        <v>60</v>
      </c>
      <c r="C1985" t="s">
        <v>32</v>
      </c>
      <c r="D1985" t="s">
        <v>227</v>
      </c>
      <c r="E1985" t="s">
        <v>2871</v>
      </c>
      <c r="F1985" t="s">
        <v>35</v>
      </c>
      <c r="G1985" t="s">
        <v>35</v>
      </c>
      <c r="H1985" t="s">
        <v>35</v>
      </c>
      <c r="J1985" t="s">
        <v>2875</v>
      </c>
      <c r="K1985" t="s">
        <v>1092</v>
      </c>
      <c r="M1985">
        <v>8.85</v>
      </c>
      <c r="N1985">
        <v>21</v>
      </c>
      <c r="O1985" t="s">
        <v>46</v>
      </c>
      <c r="Q1985" t="s">
        <v>176</v>
      </c>
      <c r="R1985" t="s">
        <v>250</v>
      </c>
      <c r="S1985" t="s">
        <v>242</v>
      </c>
      <c r="T1985" t="s">
        <v>243</v>
      </c>
    </row>
    <row r="1986" spans="1:20" x14ac:dyDescent="0.25">
      <c r="A1986" t="s">
        <v>44</v>
      </c>
      <c r="B1986" t="s">
        <v>51</v>
      </c>
      <c r="C1986" t="s">
        <v>32</v>
      </c>
      <c r="D1986" t="s">
        <v>227</v>
      </c>
      <c r="E1986" t="s">
        <v>2871</v>
      </c>
      <c r="F1986" t="s">
        <v>35</v>
      </c>
      <c r="G1986" t="s">
        <v>35</v>
      </c>
      <c r="H1986" t="s">
        <v>35</v>
      </c>
      <c r="J1986" t="s">
        <v>2875</v>
      </c>
      <c r="K1986" t="s">
        <v>1092</v>
      </c>
      <c r="M1986">
        <v>2.6</v>
      </c>
      <c r="N1986">
        <v>20</v>
      </c>
      <c r="O1986" t="s">
        <v>46</v>
      </c>
      <c r="Q1986" t="s">
        <v>1011</v>
      </c>
      <c r="R1986" t="s">
        <v>250</v>
      </c>
      <c r="S1986" t="s">
        <v>242</v>
      </c>
      <c r="T1986" t="s">
        <v>243</v>
      </c>
    </row>
    <row r="1987" spans="1:20" x14ac:dyDescent="0.25">
      <c r="A1987" t="s">
        <v>59</v>
      </c>
      <c r="B1987" t="s">
        <v>60</v>
      </c>
      <c r="C1987" t="s">
        <v>32</v>
      </c>
      <c r="D1987" t="s">
        <v>227</v>
      </c>
      <c r="E1987" t="s">
        <v>2385</v>
      </c>
      <c r="F1987" t="s">
        <v>35</v>
      </c>
      <c r="G1987" t="s">
        <v>35</v>
      </c>
      <c r="H1987" t="s">
        <v>35</v>
      </c>
      <c r="J1987" t="s">
        <v>1506</v>
      </c>
      <c r="K1987" t="s">
        <v>1092</v>
      </c>
      <c r="M1987">
        <v>0.75</v>
      </c>
      <c r="N1987">
        <v>44</v>
      </c>
      <c r="O1987" t="s">
        <v>52</v>
      </c>
      <c r="Q1987" t="s">
        <v>54</v>
      </c>
      <c r="R1987" t="s">
        <v>250</v>
      </c>
      <c r="S1987" t="s">
        <v>242</v>
      </c>
      <c r="T1987" t="s">
        <v>243</v>
      </c>
    </row>
    <row r="1988" spans="1:20" x14ac:dyDescent="0.25">
      <c r="A1988" t="s">
        <v>59</v>
      </c>
      <c r="B1988" t="s">
        <v>60</v>
      </c>
      <c r="C1988" t="s">
        <v>32</v>
      </c>
      <c r="D1988" t="s">
        <v>227</v>
      </c>
      <c r="E1988" t="s">
        <v>2785</v>
      </c>
      <c r="F1988" t="s">
        <v>35</v>
      </c>
      <c r="G1988" t="s">
        <v>35</v>
      </c>
      <c r="H1988" t="s">
        <v>35</v>
      </c>
      <c r="J1988" t="s">
        <v>2788</v>
      </c>
      <c r="K1988" t="s">
        <v>1092</v>
      </c>
      <c r="M1988">
        <v>0.5</v>
      </c>
      <c r="N1988">
        <v>52</v>
      </c>
      <c r="O1988" t="s">
        <v>52</v>
      </c>
      <c r="Q1988" t="s">
        <v>84</v>
      </c>
      <c r="R1988" t="s">
        <v>250</v>
      </c>
      <c r="S1988" t="s">
        <v>242</v>
      </c>
      <c r="T1988" t="s">
        <v>243</v>
      </c>
    </row>
    <row r="1989" spans="1:20" x14ac:dyDescent="0.25">
      <c r="A1989" t="s">
        <v>30</v>
      </c>
      <c r="B1989" t="s">
        <v>31</v>
      </c>
      <c r="C1989" t="s">
        <v>32</v>
      </c>
      <c r="D1989" t="s">
        <v>227</v>
      </c>
      <c r="E1989" t="s">
        <v>2675</v>
      </c>
      <c r="F1989" t="s">
        <v>35</v>
      </c>
      <c r="G1989" t="s">
        <v>35</v>
      </c>
      <c r="H1989" t="s">
        <v>35</v>
      </c>
      <c r="J1989" t="s">
        <v>2676</v>
      </c>
      <c r="K1989" t="s">
        <v>1092</v>
      </c>
      <c r="M1989">
        <v>2.5649999999999999</v>
      </c>
      <c r="N1989">
        <v>41</v>
      </c>
      <c r="O1989" t="s">
        <v>52</v>
      </c>
      <c r="Q1989" t="s">
        <v>496</v>
      </c>
      <c r="R1989" t="s">
        <v>250</v>
      </c>
      <c r="S1989" t="s">
        <v>242</v>
      </c>
      <c r="T1989" t="s">
        <v>243</v>
      </c>
    </row>
    <row r="1990" spans="1:20" x14ac:dyDescent="0.25">
      <c r="A1990" t="s">
        <v>30</v>
      </c>
      <c r="B1990" t="s">
        <v>31</v>
      </c>
      <c r="C1990" t="s">
        <v>32</v>
      </c>
      <c r="D1990" t="s">
        <v>227</v>
      </c>
      <c r="E1990" t="s">
        <v>2785</v>
      </c>
      <c r="F1990" t="s">
        <v>35</v>
      </c>
      <c r="G1990" t="s">
        <v>35</v>
      </c>
      <c r="H1990" t="s">
        <v>35</v>
      </c>
      <c r="J1990" t="s">
        <v>2792</v>
      </c>
      <c r="K1990" t="s">
        <v>1092</v>
      </c>
      <c r="M1990">
        <v>1.71</v>
      </c>
      <c r="N1990">
        <v>42</v>
      </c>
      <c r="O1990" t="s">
        <v>52</v>
      </c>
      <c r="Q1990" t="s">
        <v>219</v>
      </c>
      <c r="R1990" t="s">
        <v>250</v>
      </c>
      <c r="S1990" t="s">
        <v>242</v>
      </c>
      <c r="T1990" t="s">
        <v>243</v>
      </c>
    </row>
    <row r="1991" spans="1:20" x14ac:dyDescent="0.25">
      <c r="A1991" t="s">
        <v>59</v>
      </c>
      <c r="B1991" t="s">
        <v>60</v>
      </c>
      <c r="C1991" t="s">
        <v>32</v>
      </c>
      <c r="D1991" t="s">
        <v>227</v>
      </c>
      <c r="F1991" t="s">
        <v>35</v>
      </c>
      <c r="G1991" t="s">
        <v>35</v>
      </c>
      <c r="H1991" t="s">
        <v>35</v>
      </c>
      <c r="J1991" t="s">
        <v>297</v>
      </c>
      <c r="K1991" t="s">
        <v>37</v>
      </c>
      <c r="M1991">
        <v>3.5</v>
      </c>
      <c r="N1991">
        <v>82</v>
      </c>
      <c r="O1991" t="s">
        <v>61</v>
      </c>
      <c r="P1991" t="s">
        <v>298</v>
      </c>
      <c r="Q1991" t="s">
        <v>299</v>
      </c>
      <c r="R1991" t="s">
        <v>250</v>
      </c>
      <c r="S1991" t="s">
        <v>242</v>
      </c>
      <c r="T1991" t="s">
        <v>243</v>
      </c>
    </row>
    <row r="1992" spans="1:20" x14ac:dyDescent="0.25">
      <c r="A1992" t="s">
        <v>44</v>
      </c>
      <c r="B1992" t="s">
        <v>3</v>
      </c>
      <c r="C1992" t="s">
        <v>32</v>
      </c>
      <c r="D1992" t="s">
        <v>227</v>
      </c>
      <c r="E1992" t="s">
        <v>2675</v>
      </c>
      <c r="F1992" t="s">
        <v>35</v>
      </c>
      <c r="G1992" t="s">
        <v>35</v>
      </c>
      <c r="H1992" t="s">
        <v>35</v>
      </c>
      <c r="J1992" t="s">
        <v>2712</v>
      </c>
      <c r="K1992" t="s">
        <v>1092</v>
      </c>
      <c r="M1992">
        <v>10.5</v>
      </c>
      <c r="N1992">
        <v>445</v>
      </c>
      <c r="O1992" t="s">
        <v>294</v>
      </c>
      <c r="Q1992" t="s">
        <v>2713</v>
      </c>
      <c r="R1992" t="s">
        <v>250</v>
      </c>
      <c r="S1992" t="s">
        <v>242</v>
      </c>
      <c r="T1992" t="s">
        <v>243</v>
      </c>
    </row>
    <row r="1993" spans="1:20" x14ac:dyDescent="0.25">
      <c r="A1993" t="s">
        <v>59</v>
      </c>
      <c r="B1993" t="s">
        <v>31</v>
      </c>
      <c r="C1993" t="s">
        <v>32</v>
      </c>
      <c r="D1993" t="s">
        <v>227</v>
      </c>
      <c r="E1993" t="s">
        <v>2675</v>
      </c>
      <c r="F1993" t="s">
        <v>35</v>
      </c>
      <c r="G1993" t="s">
        <v>35</v>
      </c>
      <c r="H1993" t="s">
        <v>35</v>
      </c>
      <c r="J1993" t="s">
        <v>2712</v>
      </c>
      <c r="K1993" t="s">
        <v>1092</v>
      </c>
      <c r="M1993">
        <v>0.01</v>
      </c>
      <c r="N1993">
        <v>445</v>
      </c>
      <c r="O1993" t="s">
        <v>294</v>
      </c>
      <c r="Q1993" t="s">
        <v>2713</v>
      </c>
      <c r="R1993" t="s">
        <v>250</v>
      </c>
      <c r="S1993" t="s">
        <v>242</v>
      </c>
      <c r="T1993" t="s">
        <v>243</v>
      </c>
    </row>
    <row r="1994" spans="1:20" x14ac:dyDescent="0.25">
      <c r="A1994" t="s">
        <v>59</v>
      </c>
      <c r="B1994" t="s">
        <v>60</v>
      </c>
      <c r="C1994" t="s">
        <v>32</v>
      </c>
      <c r="D1994" t="s">
        <v>227</v>
      </c>
      <c r="E1994" t="s">
        <v>2675</v>
      </c>
      <c r="F1994" t="s">
        <v>35</v>
      </c>
      <c r="G1994" t="s">
        <v>35</v>
      </c>
      <c r="H1994" t="s">
        <v>35</v>
      </c>
      <c r="J1994" t="s">
        <v>2712</v>
      </c>
      <c r="K1994" t="s">
        <v>1092</v>
      </c>
      <c r="M1994">
        <v>3.95</v>
      </c>
      <c r="N1994">
        <v>445</v>
      </c>
      <c r="O1994" t="s">
        <v>294</v>
      </c>
      <c r="Q1994" t="s">
        <v>2713</v>
      </c>
      <c r="R1994" t="s">
        <v>250</v>
      </c>
      <c r="S1994" t="s">
        <v>242</v>
      </c>
      <c r="T1994" t="s">
        <v>243</v>
      </c>
    </row>
    <row r="1995" spans="1:20" x14ac:dyDescent="0.25">
      <c r="A1995" t="s">
        <v>30</v>
      </c>
      <c r="B1995" t="s">
        <v>31</v>
      </c>
      <c r="C1995" t="s">
        <v>32</v>
      </c>
      <c r="D1995" t="s">
        <v>227</v>
      </c>
      <c r="E1995" t="s">
        <v>2442</v>
      </c>
      <c r="F1995" t="s">
        <v>35</v>
      </c>
      <c r="G1995" t="s">
        <v>35</v>
      </c>
      <c r="H1995" t="s">
        <v>35</v>
      </c>
      <c r="J1995" t="s">
        <v>2446</v>
      </c>
      <c r="K1995" t="s">
        <v>1092</v>
      </c>
      <c r="M1995">
        <v>10.08</v>
      </c>
      <c r="N1995">
        <v>41</v>
      </c>
      <c r="O1995" t="s">
        <v>52</v>
      </c>
      <c r="Q1995" t="s">
        <v>496</v>
      </c>
      <c r="R1995" t="s">
        <v>250</v>
      </c>
      <c r="S1995" t="s">
        <v>242</v>
      </c>
      <c r="T1995" t="s">
        <v>243</v>
      </c>
    </row>
    <row r="1996" spans="1:20" x14ac:dyDescent="0.25">
      <c r="A1996" t="s">
        <v>59</v>
      </c>
      <c r="B1996" t="s">
        <v>60</v>
      </c>
      <c r="C1996" t="s">
        <v>32</v>
      </c>
      <c r="D1996" t="s">
        <v>227</v>
      </c>
      <c r="E1996" t="s">
        <v>2385</v>
      </c>
      <c r="F1996" t="s">
        <v>35</v>
      </c>
      <c r="G1996" t="s">
        <v>35</v>
      </c>
      <c r="H1996" t="s">
        <v>35</v>
      </c>
      <c r="J1996" t="s">
        <v>2420</v>
      </c>
      <c r="K1996" t="s">
        <v>1092</v>
      </c>
      <c r="M1996">
        <v>0.5</v>
      </c>
      <c r="N1996">
        <v>44</v>
      </c>
      <c r="O1996" t="s">
        <v>52</v>
      </c>
      <c r="Q1996" t="s">
        <v>54</v>
      </c>
      <c r="R1996" t="s">
        <v>250</v>
      </c>
      <c r="S1996" t="s">
        <v>242</v>
      </c>
      <c r="T1996" t="s">
        <v>243</v>
      </c>
    </row>
    <row r="1997" spans="1:20" x14ac:dyDescent="0.25">
      <c r="A1997" t="s">
        <v>59</v>
      </c>
      <c r="B1997" t="s">
        <v>60</v>
      </c>
      <c r="C1997" t="s">
        <v>32</v>
      </c>
      <c r="D1997" t="s">
        <v>227</v>
      </c>
      <c r="E1997" t="s">
        <v>2919</v>
      </c>
      <c r="F1997" t="s">
        <v>35</v>
      </c>
      <c r="G1997" t="s">
        <v>35</v>
      </c>
      <c r="H1997" t="s">
        <v>35</v>
      </c>
      <c r="J1997" t="s">
        <v>2930</v>
      </c>
      <c r="K1997" t="s">
        <v>1092</v>
      </c>
      <c r="M1997">
        <v>0.35</v>
      </c>
      <c r="N1997">
        <v>96</v>
      </c>
      <c r="O1997" t="s">
        <v>106</v>
      </c>
      <c r="Q1997" t="s">
        <v>2601</v>
      </c>
      <c r="R1997" t="s">
        <v>250</v>
      </c>
      <c r="S1997" t="s">
        <v>242</v>
      </c>
      <c r="T1997" t="s">
        <v>243</v>
      </c>
    </row>
    <row r="1998" spans="1:20" x14ac:dyDescent="0.25">
      <c r="A1998" t="s">
        <v>30</v>
      </c>
      <c r="B1998" t="s">
        <v>31</v>
      </c>
      <c r="C1998" t="s">
        <v>32</v>
      </c>
      <c r="D1998" t="s">
        <v>227</v>
      </c>
      <c r="E1998" t="s">
        <v>2850</v>
      </c>
      <c r="F1998" t="s">
        <v>35</v>
      </c>
      <c r="G1998" t="s">
        <v>35</v>
      </c>
      <c r="H1998" t="s">
        <v>35</v>
      </c>
      <c r="J1998" t="s">
        <v>2851</v>
      </c>
      <c r="K1998" t="s">
        <v>1092</v>
      </c>
      <c r="M1998">
        <v>7.0650000000000004</v>
      </c>
      <c r="N1998">
        <v>70</v>
      </c>
      <c r="O1998" t="s">
        <v>61</v>
      </c>
      <c r="Q1998" t="s">
        <v>305</v>
      </c>
      <c r="R1998" t="s">
        <v>250</v>
      </c>
      <c r="S1998" t="s">
        <v>242</v>
      </c>
      <c r="T1998" t="s">
        <v>243</v>
      </c>
    </row>
    <row r="1999" spans="1:20" x14ac:dyDescent="0.25">
      <c r="A1999" t="s">
        <v>44</v>
      </c>
      <c r="B1999" t="s">
        <v>51</v>
      </c>
      <c r="C1999" t="s">
        <v>32</v>
      </c>
      <c r="D1999" t="s">
        <v>227</v>
      </c>
      <c r="E1999" t="s">
        <v>2850</v>
      </c>
      <c r="F1999" t="s">
        <v>35</v>
      </c>
      <c r="G1999" t="s">
        <v>35</v>
      </c>
      <c r="H1999" t="s">
        <v>35</v>
      </c>
      <c r="J1999" t="s">
        <v>2851</v>
      </c>
      <c r="K1999" t="s">
        <v>1092</v>
      </c>
      <c r="M1999">
        <v>0.5</v>
      </c>
      <c r="N1999">
        <v>20</v>
      </c>
      <c r="O1999" t="s">
        <v>46</v>
      </c>
      <c r="Q1999" t="s">
        <v>1011</v>
      </c>
      <c r="R1999" t="s">
        <v>250</v>
      </c>
      <c r="S1999" t="s">
        <v>242</v>
      </c>
      <c r="T1999" t="s">
        <v>243</v>
      </c>
    </row>
    <row r="2000" spans="1:20" x14ac:dyDescent="0.25">
      <c r="A2000" t="s">
        <v>59</v>
      </c>
      <c r="B2000" t="s">
        <v>60</v>
      </c>
      <c r="C2000" t="s">
        <v>32</v>
      </c>
      <c r="D2000" t="s">
        <v>227</v>
      </c>
      <c r="E2000" t="s">
        <v>2675</v>
      </c>
      <c r="F2000" t="s">
        <v>35</v>
      </c>
      <c r="G2000" t="s">
        <v>35</v>
      </c>
      <c r="H2000" t="s">
        <v>35</v>
      </c>
      <c r="J2000" t="s">
        <v>2683</v>
      </c>
      <c r="K2000" t="s">
        <v>1092</v>
      </c>
      <c r="M2000">
        <v>3.15</v>
      </c>
      <c r="N2000">
        <v>82</v>
      </c>
      <c r="O2000" t="s">
        <v>61</v>
      </c>
      <c r="Q2000" t="s">
        <v>299</v>
      </c>
      <c r="R2000" t="s">
        <v>250</v>
      </c>
      <c r="S2000" t="s">
        <v>242</v>
      </c>
      <c r="T2000" t="s">
        <v>243</v>
      </c>
    </row>
    <row r="2001" spans="1:20" x14ac:dyDescent="0.25">
      <c r="A2001" t="s">
        <v>30</v>
      </c>
      <c r="B2001" t="s">
        <v>31</v>
      </c>
      <c r="C2001" t="s">
        <v>32</v>
      </c>
      <c r="D2001" t="s">
        <v>227</v>
      </c>
      <c r="E2001" t="s">
        <v>2675</v>
      </c>
      <c r="F2001" t="s">
        <v>35</v>
      </c>
      <c r="G2001" t="s">
        <v>35</v>
      </c>
      <c r="H2001" t="s">
        <v>35</v>
      </c>
      <c r="J2001" t="s">
        <v>2698</v>
      </c>
      <c r="K2001" t="s">
        <v>1092</v>
      </c>
      <c r="M2001">
        <v>0.63</v>
      </c>
      <c r="N2001">
        <v>41</v>
      </c>
      <c r="O2001" t="s">
        <v>52</v>
      </c>
      <c r="Q2001" t="s">
        <v>496</v>
      </c>
      <c r="R2001" t="s">
        <v>250</v>
      </c>
      <c r="S2001" t="s">
        <v>242</v>
      </c>
      <c r="T2001" t="s">
        <v>243</v>
      </c>
    </row>
    <row r="2002" spans="1:20" x14ac:dyDescent="0.25">
      <c r="A2002" t="s">
        <v>44</v>
      </c>
      <c r="B2002" t="s">
        <v>51</v>
      </c>
      <c r="C2002" t="s">
        <v>32</v>
      </c>
      <c r="D2002" t="s">
        <v>227</v>
      </c>
      <c r="E2002" t="s">
        <v>2612</v>
      </c>
      <c r="F2002" t="s">
        <v>35</v>
      </c>
      <c r="G2002" t="s">
        <v>35</v>
      </c>
      <c r="H2002" t="s">
        <v>35</v>
      </c>
      <c r="J2002" t="s">
        <v>2616</v>
      </c>
      <c r="K2002" t="s">
        <v>1092</v>
      </c>
      <c r="M2002">
        <v>5.75</v>
      </c>
      <c r="N2002">
        <v>20</v>
      </c>
      <c r="O2002" t="s">
        <v>46</v>
      </c>
      <c r="Q2002" t="s">
        <v>1011</v>
      </c>
      <c r="R2002" t="s">
        <v>250</v>
      </c>
      <c r="S2002" t="s">
        <v>242</v>
      </c>
      <c r="T2002" t="s">
        <v>243</v>
      </c>
    </row>
    <row r="2003" spans="1:20" x14ac:dyDescent="0.25">
      <c r="A2003" t="s">
        <v>30</v>
      </c>
      <c r="B2003" t="s">
        <v>31</v>
      </c>
      <c r="C2003" t="s">
        <v>32</v>
      </c>
      <c r="D2003" t="s">
        <v>227</v>
      </c>
      <c r="E2003" t="s">
        <v>2612</v>
      </c>
      <c r="F2003" t="s">
        <v>35</v>
      </c>
      <c r="G2003" t="s">
        <v>35</v>
      </c>
      <c r="H2003" t="s">
        <v>35</v>
      </c>
      <c r="J2003" t="s">
        <v>2616</v>
      </c>
      <c r="K2003" t="s">
        <v>1092</v>
      </c>
      <c r="M2003">
        <v>10.98</v>
      </c>
      <c r="N2003">
        <v>70</v>
      </c>
      <c r="O2003" t="s">
        <v>61</v>
      </c>
      <c r="Q2003" t="s">
        <v>305</v>
      </c>
      <c r="R2003" t="s">
        <v>250</v>
      </c>
      <c r="S2003" t="s">
        <v>242</v>
      </c>
      <c r="T2003" t="s">
        <v>243</v>
      </c>
    </row>
    <row r="2004" spans="1:20" x14ac:dyDescent="0.25">
      <c r="A2004" t="s">
        <v>59</v>
      </c>
      <c r="B2004" t="s">
        <v>60</v>
      </c>
      <c r="C2004" t="s">
        <v>32</v>
      </c>
      <c r="D2004" t="s">
        <v>227</v>
      </c>
      <c r="E2004" t="s">
        <v>2575</v>
      </c>
      <c r="F2004" t="s">
        <v>35</v>
      </c>
      <c r="G2004" t="s">
        <v>35</v>
      </c>
      <c r="H2004" t="s">
        <v>35</v>
      </c>
      <c r="J2004" t="s">
        <v>2576</v>
      </c>
      <c r="K2004" t="s">
        <v>1092</v>
      </c>
      <c r="M2004">
        <v>0.05</v>
      </c>
      <c r="N2004">
        <v>97</v>
      </c>
      <c r="O2004" t="s">
        <v>106</v>
      </c>
      <c r="Q2004" t="s">
        <v>2577</v>
      </c>
      <c r="R2004" t="s">
        <v>250</v>
      </c>
      <c r="S2004" t="s">
        <v>242</v>
      </c>
      <c r="T2004" t="s">
        <v>243</v>
      </c>
    </row>
    <row r="2005" spans="1:20" x14ac:dyDescent="0.25">
      <c r="A2005" t="s">
        <v>59</v>
      </c>
      <c r="B2005" t="s">
        <v>60</v>
      </c>
      <c r="C2005" t="s">
        <v>32</v>
      </c>
      <c r="D2005" t="s">
        <v>227</v>
      </c>
      <c r="E2005" t="s">
        <v>2675</v>
      </c>
      <c r="F2005" t="s">
        <v>35</v>
      </c>
      <c r="G2005" t="s">
        <v>35</v>
      </c>
      <c r="H2005" t="s">
        <v>35</v>
      </c>
      <c r="J2005" t="s">
        <v>2678</v>
      </c>
      <c r="K2005" t="s">
        <v>1092</v>
      </c>
      <c r="M2005">
        <v>5.5</v>
      </c>
      <c r="N2005">
        <v>26</v>
      </c>
      <c r="O2005" t="s">
        <v>46</v>
      </c>
      <c r="Q2005" t="s">
        <v>137</v>
      </c>
      <c r="R2005" t="s">
        <v>250</v>
      </c>
      <c r="S2005" t="s">
        <v>242</v>
      </c>
      <c r="T2005" t="s">
        <v>243</v>
      </c>
    </row>
    <row r="2006" spans="1:20" x14ac:dyDescent="0.25">
      <c r="A2006" t="s">
        <v>59</v>
      </c>
      <c r="B2006" t="s">
        <v>60</v>
      </c>
      <c r="C2006" t="s">
        <v>32</v>
      </c>
      <c r="D2006" t="s">
        <v>227</v>
      </c>
      <c r="E2006" t="s">
        <v>2675</v>
      </c>
      <c r="F2006" t="s">
        <v>35</v>
      </c>
      <c r="G2006" t="s">
        <v>35</v>
      </c>
      <c r="H2006" t="s">
        <v>35</v>
      </c>
      <c r="J2006" t="s">
        <v>2678</v>
      </c>
      <c r="K2006" t="s">
        <v>1092</v>
      </c>
      <c r="M2006">
        <v>2.5</v>
      </c>
      <c r="N2006">
        <v>13</v>
      </c>
      <c r="O2006" t="s">
        <v>46</v>
      </c>
      <c r="Q2006" t="s">
        <v>1004</v>
      </c>
      <c r="R2006" t="s">
        <v>250</v>
      </c>
      <c r="S2006" t="s">
        <v>242</v>
      </c>
      <c r="T2006" t="s">
        <v>243</v>
      </c>
    </row>
    <row r="2007" spans="1:20" x14ac:dyDescent="0.25">
      <c r="A2007" t="s">
        <v>59</v>
      </c>
      <c r="B2007" t="s">
        <v>60</v>
      </c>
      <c r="C2007" t="s">
        <v>32</v>
      </c>
      <c r="D2007" t="s">
        <v>227</v>
      </c>
      <c r="E2007" t="s">
        <v>2675</v>
      </c>
      <c r="F2007" t="s">
        <v>35</v>
      </c>
      <c r="G2007" t="s">
        <v>35</v>
      </c>
      <c r="H2007" t="s">
        <v>35</v>
      </c>
      <c r="J2007" t="s">
        <v>2678</v>
      </c>
      <c r="K2007" t="s">
        <v>1092</v>
      </c>
      <c r="M2007">
        <v>5.5</v>
      </c>
      <c r="N2007">
        <v>82</v>
      </c>
      <c r="O2007" t="s">
        <v>61</v>
      </c>
      <c r="Q2007" t="s">
        <v>299</v>
      </c>
      <c r="R2007" t="s">
        <v>250</v>
      </c>
      <c r="S2007" t="s">
        <v>242</v>
      </c>
      <c r="T2007" t="s">
        <v>243</v>
      </c>
    </row>
    <row r="2008" spans="1:20" x14ac:dyDescent="0.25">
      <c r="A2008" t="s">
        <v>44</v>
      </c>
      <c r="B2008" t="s">
        <v>51</v>
      </c>
      <c r="C2008" t="s">
        <v>32</v>
      </c>
      <c r="D2008" t="s">
        <v>227</v>
      </c>
      <c r="E2008" t="s">
        <v>241</v>
      </c>
      <c r="F2008" t="s">
        <v>35</v>
      </c>
      <c r="G2008" t="s">
        <v>35</v>
      </c>
      <c r="H2008" t="s">
        <v>35</v>
      </c>
      <c r="J2008" t="s">
        <v>246</v>
      </c>
      <c r="K2008" t="s">
        <v>37</v>
      </c>
      <c r="M2008">
        <v>3</v>
      </c>
      <c r="N2008">
        <v>34</v>
      </c>
      <c r="O2008" t="s">
        <v>52</v>
      </c>
      <c r="P2008" t="s">
        <v>248</v>
      </c>
      <c r="Q2008" t="s">
        <v>249</v>
      </c>
      <c r="R2008" t="s">
        <v>250</v>
      </c>
      <c r="S2008" t="s">
        <v>242</v>
      </c>
      <c r="T2008" t="s">
        <v>243</v>
      </c>
    </row>
    <row r="2009" spans="1:20" x14ac:dyDescent="0.25">
      <c r="A2009" t="s">
        <v>30</v>
      </c>
      <c r="B2009" t="s">
        <v>31</v>
      </c>
      <c r="C2009" t="s">
        <v>32</v>
      </c>
      <c r="D2009" t="s">
        <v>227</v>
      </c>
      <c r="F2009" t="s">
        <v>35</v>
      </c>
      <c r="G2009" t="s">
        <v>35</v>
      </c>
      <c r="H2009" t="s">
        <v>35</v>
      </c>
      <c r="J2009" t="s">
        <v>3066</v>
      </c>
      <c r="K2009" t="s">
        <v>1092</v>
      </c>
      <c r="M2009">
        <v>4.4999999999999998E-2</v>
      </c>
      <c r="N2009">
        <v>2249</v>
      </c>
      <c r="O2009" t="s">
        <v>575</v>
      </c>
      <c r="Q2009" t="s">
        <v>2374</v>
      </c>
      <c r="R2009" t="s">
        <v>250</v>
      </c>
      <c r="S2009" t="s">
        <v>242</v>
      </c>
      <c r="T2009" t="s">
        <v>243</v>
      </c>
    </row>
    <row r="2010" spans="1:20" x14ac:dyDescent="0.25">
      <c r="A2010" t="s">
        <v>30</v>
      </c>
      <c r="B2010" t="s">
        <v>31</v>
      </c>
      <c r="C2010" t="s">
        <v>32</v>
      </c>
      <c r="D2010" t="s">
        <v>227</v>
      </c>
      <c r="F2010" t="s">
        <v>35</v>
      </c>
      <c r="G2010" t="s">
        <v>35</v>
      </c>
      <c r="H2010" t="s">
        <v>35</v>
      </c>
      <c r="J2010" t="s">
        <v>3066</v>
      </c>
      <c r="K2010" t="s">
        <v>1092</v>
      </c>
      <c r="M2010">
        <v>0.67500000000000004</v>
      </c>
      <c r="N2010">
        <v>1526</v>
      </c>
      <c r="O2010" t="s">
        <v>575</v>
      </c>
      <c r="Q2010" t="s">
        <v>3067</v>
      </c>
      <c r="R2010" t="s">
        <v>250</v>
      </c>
      <c r="S2010" t="s">
        <v>242</v>
      </c>
      <c r="T2010" t="s">
        <v>243</v>
      </c>
    </row>
    <row r="2011" spans="1:20" x14ac:dyDescent="0.25">
      <c r="A2011" t="s">
        <v>59</v>
      </c>
      <c r="B2011" t="s">
        <v>31</v>
      </c>
      <c r="C2011" t="s">
        <v>32</v>
      </c>
      <c r="D2011" t="s">
        <v>227</v>
      </c>
      <c r="E2011" t="s">
        <v>2850</v>
      </c>
      <c r="F2011" t="s">
        <v>35</v>
      </c>
      <c r="G2011" t="s">
        <v>35</v>
      </c>
      <c r="H2011" t="s">
        <v>35</v>
      </c>
      <c r="J2011" t="s">
        <v>2862</v>
      </c>
      <c r="K2011" t="s">
        <v>1092</v>
      </c>
      <c r="M2011">
        <v>5.0000000000000001E-3</v>
      </c>
      <c r="N2011">
        <v>810</v>
      </c>
      <c r="O2011" t="s">
        <v>575</v>
      </c>
      <c r="Q2011" t="s">
        <v>2116</v>
      </c>
      <c r="R2011" t="s">
        <v>250</v>
      </c>
      <c r="S2011" t="s">
        <v>242</v>
      </c>
      <c r="T2011" t="s">
        <v>243</v>
      </c>
    </row>
    <row r="2012" spans="1:20" x14ac:dyDescent="0.25">
      <c r="A2012" t="s">
        <v>59</v>
      </c>
      <c r="B2012" t="s">
        <v>60</v>
      </c>
      <c r="C2012" t="s">
        <v>32</v>
      </c>
      <c r="D2012" t="s">
        <v>227</v>
      </c>
      <c r="E2012" t="s">
        <v>270</v>
      </c>
      <c r="F2012" t="s">
        <v>35</v>
      </c>
      <c r="G2012" t="s">
        <v>35</v>
      </c>
      <c r="H2012" t="s">
        <v>35</v>
      </c>
      <c r="J2012" t="s">
        <v>2771</v>
      </c>
      <c r="K2012" t="s">
        <v>1092</v>
      </c>
      <c r="M2012">
        <v>0.25</v>
      </c>
      <c r="N2012">
        <v>51</v>
      </c>
      <c r="O2012" t="s">
        <v>52</v>
      </c>
      <c r="Q2012" t="s">
        <v>58</v>
      </c>
      <c r="R2012" t="s">
        <v>250</v>
      </c>
      <c r="S2012" t="s">
        <v>242</v>
      </c>
      <c r="T2012" t="s">
        <v>243</v>
      </c>
    </row>
    <row r="2013" spans="1:20" x14ac:dyDescent="0.25">
      <c r="A2013" t="s">
        <v>59</v>
      </c>
      <c r="B2013" t="s">
        <v>60</v>
      </c>
      <c r="C2013" t="s">
        <v>32</v>
      </c>
      <c r="D2013" t="s">
        <v>227</v>
      </c>
      <c r="E2013" t="s">
        <v>270</v>
      </c>
      <c r="F2013" t="s">
        <v>35</v>
      </c>
      <c r="G2013" t="s">
        <v>35</v>
      </c>
      <c r="H2013" t="s">
        <v>35</v>
      </c>
      <c r="J2013" t="s">
        <v>2771</v>
      </c>
      <c r="K2013" t="s">
        <v>1092</v>
      </c>
      <c r="M2013">
        <v>0.5</v>
      </c>
      <c r="N2013">
        <v>20</v>
      </c>
      <c r="O2013" t="s">
        <v>46</v>
      </c>
      <c r="Q2013" t="s">
        <v>1011</v>
      </c>
      <c r="R2013" t="s">
        <v>250</v>
      </c>
      <c r="S2013" t="s">
        <v>242</v>
      </c>
      <c r="T2013" t="s">
        <v>243</v>
      </c>
    </row>
    <row r="2014" spans="1:20" x14ac:dyDescent="0.25">
      <c r="A2014" t="s">
        <v>59</v>
      </c>
      <c r="B2014" t="s">
        <v>60</v>
      </c>
      <c r="C2014" t="s">
        <v>32</v>
      </c>
      <c r="D2014" t="s">
        <v>227</v>
      </c>
      <c r="E2014" t="s">
        <v>270</v>
      </c>
      <c r="F2014" t="s">
        <v>35</v>
      </c>
      <c r="G2014" t="s">
        <v>35</v>
      </c>
      <c r="H2014" t="s">
        <v>35</v>
      </c>
      <c r="J2014" t="s">
        <v>2771</v>
      </c>
      <c r="K2014" t="s">
        <v>1092</v>
      </c>
      <c r="M2014">
        <v>1</v>
      </c>
      <c r="N2014">
        <v>44</v>
      </c>
      <c r="O2014" t="s">
        <v>52</v>
      </c>
      <c r="Q2014" t="s">
        <v>54</v>
      </c>
      <c r="R2014" t="s">
        <v>250</v>
      </c>
      <c r="S2014" t="s">
        <v>242</v>
      </c>
      <c r="T2014" t="s">
        <v>243</v>
      </c>
    </row>
    <row r="2015" spans="1:20" x14ac:dyDescent="0.25">
      <c r="A2015" t="s">
        <v>59</v>
      </c>
      <c r="B2015" t="s">
        <v>31</v>
      </c>
      <c r="C2015" t="s">
        <v>32</v>
      </c>
      <c r="D2015" t="s">
        <v>227</v>
      </c>
      <c r="E2015" t="s">
        <v>265</v>
      </c>
      <c r="F2015" t="s">
        <v>35</v>
      </c>
      <c r="G2015" t="s">
        <v>35</v>
      </c>
      <c r="H2015" t="s">
        <v>35</v>
      </c>
      <c r="J2015" t="s">
        <v>2760</v>
      </c>
      <c r="K2015" t="s">
        <v>1092</v>
      </c>
      <c r="M2015">
        <v>5.04</v>
      </c>
      <c r="N2015">
        <v>93</v>
      </c>
      <c r="O2015" t="s">
        <v>106</v>
      </c>
      <c r="Q2015" t="s">
        <v>1112</v>
      </c>
      <c r="R2015" t="s">
        <v>250</v>
      </c>
      <c r="S2015" t="s">
        <v>242</v>
      </c>
      <c r="T2015" t="s">
        <v>243</v>
      </c>
    </row>
    <row r="2016" spans="1:20" x14ac:dyDescent="0.25">
      <c r="A2016" t="s">
        <v>44</v>
      </c>
      <c r="B2016" t="s">
        <v>51</v>
      </c>
      <c r="C2016" t="s">
        <v>32</v>
      </c>
      <c r="D2016" t="s">
        <v>227</v>
      </c>
      <c r="E2016" t="s">
        <v>265</v>
      </c>
      <c r="F2016" t="s">
        <v>35</v>
      </c>
      <c r="G2016" t="s">
        <v>35</v>
      </c>
      <c r="H2016" t="s">
        <v>35</v>
      </c>
      <c r="J2016" t="s">
        <v>2760</v>
      </c>
      <c r="K2016" t="s">
        <v>1092</v>
      </c>
      <c r="M2016">
        <v>5.5</v>
      </c>
      <c r="N2016">
        <v>20</v>
      </c>
      <c r="O2016" t="s">
        <v>46</v>
      </c>
      <c r="Q2016" t="s">
        <v>1011</v>
      </c>
      <c r="R2016" t="s">
        <v>250</v>
      </c>
      <c r="S2016" t="s">
        <v>242</v>
      </c>
      <c r="T2016" t="s">
        <v>243</v>
      </c>
    </row>
    <row r="2017" spans="1:20" x14ac:dyDescent="0.25">
      <c r="A2017" t="s">
        <v>59</v>
      </c>
      <c r="B2017" t="s">
        <v>31</v>
      </c>
      <c r="C2017" t="s">
        <v>32</v>
      </c>
      <c r="D2017" t="s">
        <v>227</v>
      </c>
      <c r="E2017" t="s">
        <v>265</v>
      </c>
      <c r="F2017" t="s">
        <v>35</v>
      </c>
      <c r="G2017" t="s">
        <v>35</v>
      </c>
      <c r="H2017" t="s">
        <v>35</v>
      </c>
      <c r="J2017" t="s">
        <v>2760</v>
      </c>
      <c r="K2017" t="s">
        <v>1092</v>
      </c>
      <c r="M2017">
        <v>10.98</v>
      </c>
      <c r="N2017">
        <v>68</v>
      </c>
      <c r="O2017" t="s">
        <v>61</v>
      </c>
      <c r="Q2017" t="s">
        <v>805</v>
      </c>
      <c r="R2017" t="s">
        <v>250</v>
      </c>
      <c r="S2017" t="s">
        <v>242</v>
      </c>
      <c r="T2017" t="s">
        <v>243</v>
      </c>
    </row>
    <row r="2018" spans="1:20" x14ac:dyDescent="0.25">
      <c r="A2018" t="s">
        <v>59</v>
      </c>
      <c r="B2018" t="s">
        <v>60</v>
      </c>
      <c r="C2018" t="s">
        <v>32</v>
      </c>
      <c r="D2018" t="s">
        <v>227</v>
      </c>
      <c r="E2018" t="s">
        <v>2871</v>
      </c>
      <c r="F2018" t="s">
        <v>35</v>
      </c>
      <c r="G2018" t="s">
        <v>35</v>
      </c>
      <c r="H2018" t="s">
        <v>35</v>
      </c>
      <c r="J2018" t="s">
        <v>2748</v>
      </c>
      <c r="K2018" t="s">
        <v>1092</v>
      </c>
      <c r="M2018">
        <v>2.5</v>
      </c>
      <c r="N2018">
        <v>18</v>
      </c>
      <c r="O2018" t="s">
        <v>46</v>
      </c>
      <c r="Q2018" t="s">
        <v>831</v>
      </c>
      <c r="R2018" t="s">
        <v>250</v>
      </c>
      <c r="S2018" t="s">
        <v>242</v>
      </c>
      <c r="T2018" t="s">
        <v>243</v>
      </c>
    </row>
    <row r="2019" spans="1:20" x14ac:dyDescent="0.25">
      <c r="A2019" t="s">
        <v>59</v>
      </c>
      <c r="B2019" t="s">
        <v>60</v>
      </c>
      <c r="C2019" t="s">
        <v>32</v>
      </c>
      <c r="D2019" t="s">
        <v>227</v>
      </c>
      <c r="F2019" t="s">
        <v>35</v>
      </c>
      <c r="G2019" t="s">
        <v>35</v>
      </c>
      <c r="H2019" t="s">
        <v>35</v>
      </c>
      <c r="J2019" t="s">
        <v>293</v>
      </c>
      <c r="K2019" t="s">
        <v>37</v>
      </c>
      <c r="M2019">
        <v>3</v>
      </c>
      <c r="N2019">
        <v>502</v>
      </c>
      <c r="O2019" t="s">
        <v>294</v>
      </c>
      <c r="P2019" t="s">
        <v>295</v>
      </c>
      <c r="Q2019" t="s">
        <v>296</v>
      </c>
      <c r="R2019" t="s">
        <v>250</v>
      </c>
      <c r="S2019" t="s">
        <v>242</v>
      </c>
      <c r="T2019" t="s">
        <v>243</v>
      </c>
    </row>
    <row r="2020" spans="1:20" x14ac:dyDescent="0.25">
      <c r="A2020" t="s">
        <v>59</v>
      </c>
      <c r="B2020" t="s">
        <v>60</v>
      </c>
      <c r="C2020" t="s">
        <v>32</v>
      </c>
      <c r="D2020" t="s">
        <v>227</v>
      </c>
      <c r="E2020" t="s">
        <v>2385</v>
      </c>
      <c r="F2020" t="s">
        <v>35</v>
      </c>
      <c r="G2020" t="s">
        <v>35</v>
      </c>
      <c r="H2020" t="s">
        <v>35</v>
      </c>
      <c r="J2020" t="s">
        <v>2435</v>
      </c>
      <c r="K2020" t="s">
        <v>1092</v>
      </c>
      <c r="M2020">
        <v>10.98</v>
      </c>
      <c r="N2020">
        <v>40</v>
      </c>
      <c r="O2020" t="s">
        <v>52</v>
      </c>
      <c r="Q2020" t="s">
        <v>132</v>
      </c>
      <c r="R2020" t="s">
        <v>250</v>
      </c>
      <c r="S2020" t="s">
        <v>242</v>
      </c>
      <c r="T2020" t="s">
        <v>243</v>
      </c>
    </row>
    <row r="2021" spans="1:20" x14ac:dyDescent="0.25">
      <c r="A2021" t="s">
        <v>30</v>
      </c>
      <c r="B2021" t="s">
        <v>31</v>
      </c>
      <c r="C2021" t="s">
        <v>32</v>
      </c>
      <c r="D2021" t="s">
        <v>227</v>
      </c>
      <c r="F2021" t="s">
        <v>35</v>
      </c>
      <c r="G2021" t="s">
        <v>35</v>
      </c>
      <c r="H2021" t="s">
        <v>35</v>
      </c>
      <c r="J2021" t="s">
        <v>2962</v>
      </c>
      <c r="K2021" t="s">
        <v>1092</v>
      </c>
      <c r="M2021">
        <v>0.34</v>
      </c>
      <c r="N2021">
        <v>1678</v>
      </c>
      <c r="O2021" t="s">
        <v>575</v>
      </c>
      <c r="Q2021" t="s">
        <v>2963</v>
      </c>
      <c r="R2021" t="s">
        <v>250</v>
      </c>
      <c r="S2021" t="s">
        <v>242</v>
      </c>
      <c r="T2021" t="s">
        <v>243</v>
      </c>
    </row>
    <row r="2022" spans="1:20" x14ac:dyDescent="0.25">
      <c r="A2022" t="s">
        <v>59</v>
      </c>
      <c r="B2022" t="s">
        <v>31</v>
      </c>
      <c r="C2022" t="s">
        <v>32</v>
      </c>
      <c r="D2022" t="s">
        <v>227</v>
      </c>
      <c r="E2022" t="s">
        <v>2871</v>
      </c>
      <c r="F2022" t="s">
        <v>35</v>
      </c>
      <c r="G2022" t="s">
        <v>35</v>
      </c>
      <c r="H2022" t="s">
        <v>35</v>
      </c>
      <c r="J2022" t="s">
        <v>2900</v>
      </c>
      <c r="K2022" t="s">
        <v>1092</v>
      </c>
      <c r="M2022">
        <v>4.4999999999999998E-2</v>
      </c>
      <c r="N2022">
        <v>125</v>
      </c>
      <c r="O2022" t="s">
        <v>38</v>
      </c>
      <c r="Q2022" t="s">
        <v>2901</v>
      </c>
      <c r="R2022" t="s">
        <v>250</v>
      </c>
      <c r="S2022" t="s">
        <v>242</v>
      </c>
      <c r="T2022" t="s">
        <v>243</v>
      </c>
    </row>
    <row r="2023" spans="1:20" x14ac:dyDescent="0.25">
      <c r="A2023" t="s">
        <v>59</v>
      </c>
      <c r="B2023" t="s">
        <v>31</v>
      </c>
      <c r="C2023" t="s">
        <v>32</v>
      </c>
      <c r="D2023" t="s">
        <v>227</v>
      </c>
      <c r="E2023" t="s">
        <v>2575</v>
      </c>
      <c r="F2023" t="s">
        <v>35</v>
      </c>
      <c r="G2023" t="s">
        <v>35</v>
      </c>
      <c r="H2023" t="s">
        <v>35</v>
      </c>
      <c r="J2023" t="s">
        <v>2596</v>
      </c>
      <c r="K2023" t="s">
        <v>1092</v>
      </c>
      <c r="M2023">
        <v>0.09</v>
      </c>
      <c r="N2023">
        <v>93</v>
      </c>
      <c r="O2023" t="s">
        <v>106</v>
      </c>
      <c r="Q2023" t="s">
        <v>1112</v>
      </c>
      <c r="R2023" t="s">
        <v>250</v>
      </c>
      <c r="S2023" t="s">
        <v>242</v>
      </c>
      <c r="T2023" t="s">
        <v>243</v>
      </c>
    </row>
    <row r="2024" spans="1:20" x14ac:dyDescent="0.25">
      <c r="A2024" t="s">
        <v>30</v>
      </c>
      <c r="B2024" t="s">
        <v>31</v>
      </c>
      <c r="C2024" t="s">
        <v>32</v>
      </c>
      <c r="D2024" t="s">
        <v>227</v>
      </c>
      <c r="E2024" t="s">
        <v>2575</v>
      </c>
      <c r="F2024" t="s">
        <v>35</v>
      </c>
      <c r="G2024" t="s">
        <v>35</v>
      </c>
      <c r="H2024" t="s">
        <v>35</v>
      </c>
      <c r="J2024" t="s">
        <v>2596</v>
      </c>
      <c r="K2024" t="s">
        <v>1092</v>
      </c>
      <c r="M2024">
        <v>5.5E-2</v>
      </c>
      <c r="N2024">
        <v>140</v>
      </c>
      <c r="O2024" t="s">
        <v>38</v>
      </c>
      <c r="Q2024" t="s">
        <v>1229</v>
      </c>
      <c r="R2024" t="s">
        <v>250</v>
      </c>
      <c r="S2024" t="s">
        <v>242</v>
      </c>
      <c r="T2024" t="s">
        <v>243</v>
      </c>
    </row>
    <row r="2025" spans="1:20" x14ac:dyDescent="0.25">
      <c r="A2025" t="s">
        <v>59</v>
      </c>
      <c r="B2025" t="s">
        <v>31</v>
      </c>
      <c r="C2025" t="s">
        <v>32</v>
      </c>
      <c r="D2025" t="s">
        <v>227</v>
      </c>
      <c r="E2025" t="s">
        <v>2603</v>
      </c>
      <c r="F2025" t="s">
        <v>35</v>
      </c>
      <c r="G2025" t="s">
        <v>35</v>
      </c>
      <c r="H2025" t="s">
        <v>35</v>
      </c>
      <c r="J2025" t="s">
        <v>2604</v>
      </c>
      <c r="K2025" t="s">
        <v>1092</v>
      </c>
      <c r="M2025">
        <v>0.193</v>
      </c>
      <c r="N2025">
        <v>2649</v>
      </c>
      <c r="O2025" t="s">
        <v>575</v>
      </c>
      <c r="Q2025" t="s">
        <v>2605</v>
      </c>
      <c r="R2025" t="s">
        <v>250</v>
      </c>
      <c r="S2025" t="s">
        <v>242</v>
      </c>
      <c r="T2025" t="s">
        <v>243</v>
      </c>
    </row>
    <row r="2026" spans="1:20" x14ac:dyDescent="0.25">
      <c r="A2026" t="s">
        <v>30</v>
      </c>
      <c r="B2026" t="s">
        <v>31</v>
      </c>
      <c r="C2026" t="s">
        <v>32</v>
      </c>
      <c r="D2026" t="s">
        <v>227</v>
      </c>
      <c r="E2026" t="s">
        <v>251</v>
      </c>
      <c r="F2026" t="s">
        <v>35</v>
      </c>
      <c r="G2026" t="s">
        <v>35</v>
      </c>
      <c r="H2026" t="s">
        <v>35</v>
      </c>
      <c r="J2026" t="s">
        <v>2745</v>
      </c>
      <c r="K2026" t="s">
        <v>1092</v>
      </c>
      <c r="M2026">
        <v>9.36</v>
      </c>
      <c r="N2026">
        <v>41</v>
      </c>
      <c r="O2026" t="s">
        <v>52</v>
      </c>
      <c r="Q2026" t="s">
        <v>496</v>
      </c>
      <c r="R2026" t="s">
        <v>250</v>
      </c>
      <c r="S2026" t="s">
        <v>242</v>
      </c>
      <c r="T2026" t="s">
        <v>243</v>
      </c>
    </row>
    <row r="2027" spans="1:20" x14ac:dyDescent="0.25">
      <c r="A2027" t="s">
        <v>59</v>
      </c>
      <c r="B2027" t="s">
        <v>31</v>
      </c>
      <c r="C2027" t="s">
        <v>32</v>
      </c>
      <c r="D2027" t="s">
        <v>227</v>
      </c>
      <c r="E2027" t="s">
        <v>2675</v>
      </c>
      <c r="F2027" t="s">
        <v>35</v>
      </c>
      <c r="G2027" t="s">
        <v>35</v>
      </c>
      <c r="H2027" t="s">
        <v>35</v>
      </c>
      <c r="J2027" t="s">
        <v>2684</v>
      </c>
      <c r="K2027" t="s">
        <v>1092</v>
      </c>
      <c r="M2027">
        <v>0.59499999999999997</v>
      </c>
      <c r="N2027">
        <v>88</v>
      </c>
      <c r="O2027" t="s">
        <v>61</v>
      </c>
      <c r="Q2027" t="s">
        <v>724</v>
      </c>
      <c r="R2027" t="s">
        <v>250</v>
      </c>
      <c r="S2027" t="s">
        <v>242</v>
      </c>
      <c r="T2027" t="s">
        <v>243</v>
      </c>
    </row>
    <row r="2028" spans="1:20" x14ac:dyDescent="0.25">
      <c r="A2028" t="s">
        <v>59</v>
      </c>
      <c r="B2028" t="s">
        <v>60</v>
      </c>
      <c r="C2028" t="s">
        <v>32</v>
      </c>
      <c r="D2028" t="s">
        <v>227</v>
      </c>
      <c r="F2028" t="s">
        <v>35</v>
      </c>
      <c r="G2028" t="s">
        <v>35</v>
      </c>
      <c r="H2028" t="s">
        <v>35</v>
      </c>
      <c r="J2028" t="s">
        <v>2975</v>
      </c>
      <c r="K2028" t="s">
        <v>1092</v>
      </c>
      <c r="M2028">
        <v>0.5</v>
      </c>
      <c r="N2028">
        <v>20</v>
      </c>
      <c r="O2028" t="s">
        <v>46</v>
      </c>
      <c r="Q2028" t="s">
        <v>1011</v>
      </c>
      <c r="R2028" t="s">
        <v>250</v>
      </c>
      <c r="S2028" t="s">
        <v>242</v>
      </c>
      <c r="T2028" t="s">
        <v>243</v>
      </c>
    </row>
    <row r="2029" spans="1:20" x14ac:dyDescent="0.25">
      <c r="A2029" t="s">
        <v>59</v>
      </c>
      <c r="B2029" t="s">
        <v>60</v>
      </c>
      <c r="C2029" t="s">
        <v>32</v>
      </c>
      <c r="D2029" t="s">
        <v>227</v>
      </c>
      <c r="E2029" t="s">
        <v>2919</v>
      </c>
      <c r="F2029" t="s">
        <v>35</v>
      </c>
      <c r="G2029" t="s">
        <v>35</v>
      </c>
      <c r="H2029" t="s">
        <v>35</v>
      </c>
      <c r="J2029" t="s">
        <v>2921</v>
      </c>
      <c r="K2029" t="s">
        <v>1092</v>
      </c>
      <c r="M2029">
        <v>0.22700000000000001</v>
      </c>
      <c r="N2029">
        <v>88</v>
      </c>
      <c r="O2029" t="s">
        <v>61</v>
      </c>
      <c r="Q2029" t="s">
        <v>724</v>
      </c>
      <c r="R2029" t="s">
        <v>250</v>
      </c>
      <c r="S2029" t="s">
        <v>242</v>
      </c>
      <c r="T2029" t="s">
        <v>243</v>
      </c>
    </row>
    <row r="2030" spans="1:20" x14ac:dyDescent="0.25">
      <c r="A2030" t="s">
        <v>59</v>
      </c>
      <c r="B2030" t="s">
        <v>60</v>
      </c>
      <c r="C2030" t="s">
        <v>32</v>
      </c>
      <c r="D2030" t="s">
        <v>227</v>
      </c>
      <c r="E2030" t="s">
        <v>2542</v>
      </c>
      <c r="F2030" t="s">
        <v>35</v>
      </c>
      <c r="G2030" t="s">
        <v>35</v>
      </c>
      <c r="H2030" t="s">
        <v>35</v>
      </c>
      <c r="J2030" t="s">
        <v>2550</v>
      </c>
      <c r="K2030" t="s">
        <v>1092</v>
      </c>
      <c r="M2030">
        <v>0.05</v>
      </c>
      <c r="N2030">
        <v>139</v>
      </c>
      <c r="O2030" t="s">
        <v>38</v>
      </c>
      <c r="Q2030" t="s">
        <v>1335</v>
      </c>
      <c r="R2030" t="s">
        <v>250</v>
      </c>
      <c r="S2030" t="s">
        <v>242</v>
      </c>
      <c r="T2030" t="s">
        <v>243</v>
      </c>
    </row>
    <row r="2031" spans="1:20" x14ac:dyDescent="0.25">
      <c r="A2031" t="s">
        <v>59</v>
      </c>
      <c r="B2031" t="s">
        <v>60</v>
      </c>
      <c r="C2031" t="s">
        <v>32</v>
      </c>
      <c r="D2031" t="s">
        <v>227</v>
      </c>
      <c r="E2031" t="s">
        <v>2871</v>
      </c>
      <c r="F2031" t="s">
        <v>35</v>
      </c>
      <c r="G2031" t="s">
        <v>35</v>
      </c>
      <c r="H2031" t="s">
        <v>35</v>
      </c>
      <c r="J2031" t="s">
        <v>2878</v>
      </c>
      <c r="K2031" t="s">
        <v>1092</v>
      </c>
      <c r="M2031">
        <v>0.45</v>
      </c>
      <c r="N2031">
        <v>27</v>
      </c>
      <c r="O2031" t="s">
        <v>46</v>
      </c>
      <c r="Q2031" t="s">
        <v>809</v>
      </c>
      <c r="R2031" t="s">
        <v>250</v>
      </c>
      <c r="S2031" t="s">
        <v>242</v>
      </c>
      <c r="T2031" t="s">
        <v>243</v>
      </c>
    </row>
    <row r="2032" spans="1:20" x14ac:dyDescent="0.25">
      <c r="A2032" t="s">
        <v>44</v>
      </c>
      <c r="B2032" t="s">
        <v>51</v>
      </c>
      <c r="C2032" t="s">
        <v>32</v>
      </c>
      <c r="D2032" t="s">
        <v>227</v>
      </c>
      <c r="E2032" t="s">
        <v>2850</v>
      </c>
      <c r="F2032" t="s">
        <v>35</v>
      </c>
      <c r="G2032" t="s">
        <v>35</v>
      </c>
      <c r="H2032" t="s">
        <v>35</v>
      </c>
      <c r="J2032" t="s">
        <v>2852</v>
      </c>
      <c r="K2032" t="s">
        <v>1092</v>
      </c>
      <c r="M2032">
        <v>5.25</v>
      </c>
      <c r="N2032">
        <v>20</v>
      </c>
      <c r="O2032" t="s">
        <v>46</v>
      </c>
      <c r="Q2032" t="s">
        <v>1011</v>
      </c>
      <c r="R2032" t="s">
        <v>250</v>
      </c>
      <c r="S2032" t="s">
        <v>242</v>
      </c>
      <c r="T2032" t="s">
        <v>243</v>
      </c>
    </row>
    <row r="2033" spans="1:20" x14ac:dyDescent="0.25">
      <c r="A2033" t="s">
        <v>59</v>
      </c>
      <c r="B2033" t="s">
        <v>60</v>
      </c>
      <c r="C2033" t="s">
        <v>32</v>
      </c>
      <c r="D2033" t="s">
        <v>227</v>
      </c>
      <c r="E2033" t="s">
        <v>2850</v>
      </c>
      <c r="F2033" t="s">
        <v>35</v>
      </c>
      <c r="G2033" t="s">
        <v>35</v>
      </c>
      <c r="H2033" t="s">
        <v>35</v>
      </c>
      <c r="J2033" t="s">
        <v>2852</v>
      </c>
      <c r="K2033" t="s">
        <v>1092</v>
      </c>
      <c r="M2033">
        <v>6.95</v>
      </c>
      <c r="N2033">
        <v>21</v>
      </c>
      <c r="O2033" t="s">
        <v>46</v>
      </c>
      <c r="Q2033" t="s">
        <v>176</v>
      </c>
      <c r="R2033" t="s">
        <v>250</v>
      </c>
      <c r="S2033" t="s">
        <v>242</v>
      </c>
      <c r="T2033" t="s">
        <v>243</v>
      </c>
    </row>
    <row r="2034" spans="1:20" x14ac:dyDescent="0.25">
      <c r="A2034" t="s">
        <v>30</v>
      </c>
      <c r="B2034" t="s">
        <v>31</v>
      </c>
      <c r="C2034" t="s">
        <v>32</v>
      </c>
      <c r="D2034" t="s">
        <v>227</v>
      </c>
      <c r="E2034" t="s">
        <v>2675</v>
      </c>
      <c r="F2034" t="s">
        <v>35</v>
      </c>
      <c r="G2034" t="s">
        <v>35</v>
      </c>
      <c r="H2034" t="s">
        <v>35</v>
      </c>
      <c r="J2034" t="s">
        <v>2426</v>
      </c>
      <c r="K2034" t="s">
        <v>1092</v>
      </c>
      <c r="M2034">
        <v>1.155</v>
      </c>
      <c r="N2034">
        <v>54</v>
      </c>
      <c r="O2034" t="s">
        <v>52</v>
      </c>
      <c r="Q2034" t="s">
        <v>671</v>
      </c>
      <c r="R2034" t="s">
        <v>250</v>
      </c>
      <c r="S2034" t="s">
        <v>242</v>
      </c>
      <c r="T2034" t="s">
        <v>243</v>
      </c>
    </row>
    <row r="2035" spans="1:20" x14ac:dyDescent="0.25">
      <c r="A2035" t="s">
        <v>30</v>
      </c>
      <c r="B2035" t="s">
        <v>31</v>
      </c>
      <c r="C2035" t="s">
        <v>32</v>
      </c>
      <c r="D2035" t="s">
        <v>227</v>
      </c>
      <c r="E2035" t="s">
        <v>2871</v>
      </c>
      <c r="F2035" t="s">
        <v>35</v>
      </c>
      <c r="G2035" t="s">
        <v>35</v>
      </c>
      <c r="H2035" t="s">
        <v>35</v>
      </c>
      <c r="J2035" t="s">
        <v>2892</v>
      </c>
      <c r="K2035" t="s">
        <v>1092</v>
      </c>
      <c r="M2035">
        <v>0.9</v>
      </c>
      <c r="N2035">
        <v>42</v>
      </c>
      <c r="O2035" t="s">
        <v>52</v>
      </c>
      <c r="Q2035" t="s">
        <v>219</v>
      </c>
      <c r="R2035" t="s">
        <v>250</v>
      </c>
      <c r="S2035" t="s">
        <v>242</v>
      </c>
      <c r="T2035" t="s">
        <v>243</v>
      </c>
    </row>
    <row r="2036" spans="1:20" x14ac:dyDescent="0.25">
      <c r="A2036" t="s">
        <v>59</v>
      </c>
      <c r="B2036" t="s">
        <v>31</v>
      </c>
      <c r="C2036" t="s">
        <v>32</v>
      </c>
      <c r="D2036" t="s">
        <v>227</v>
      </c>
      <c r="E2036" t="s">
        <v>2785</v>
      </c>
      <c r="F2036" t="s">
        <v>35</v>
      </c>
      <c r="G2036" t="s">
        <v>35</v>
      </c>
      <c r="H2036" t="s">
        <v>35</v>
      </c>
      <c r="J2036" t="s">
        <v>2791</v>
      </c>
      <c r="K2036" t="s">
        <v>1092</v>
      </c>
      <c r="M2036">
        <v>6.3</v>
      </c>
      <c r="N2036">
        <v>93</v>
      </c>
      <c r="O2036" t="s">
        <v>106</v>
      </c>
      <c r="Q2036" t="s">
        <v>1112</v>
      </c>
      <c r="R2036" t="s">
        <v>250</v>
      </c>
      <c r="S2036" t="s">
        <v>242</v>
      </c>
      <c r="T2036" t="s">
        <v>243</v>
      </c>
    </row>
    <row r="2037" spans="1:20" x14ac:dyDescent="0.25">
      <c r="A2037" t="s">
        <v>59</v>
      </c>
      <c r="B2037" t="s">
        <v>31</v>
      </c>
      <c r="C2037" t="s">
        <v>32</v>
      </c>
      <c r="D2037" t="s">
        <v>227</v>
      </c>
      <c r="E2037" t="s">
        <v>2785</v>
      </c>
      <c r="F2037" t="s">
        <v>35</v>
      </c>
      <c r="G2037" t="s">
        <v>35</v>
      </c>
      <c r="H2037" t="s">
        <v>35</v>
      </c>
      <c r="J2037" t="s">
        <v>2791</v>
      </c>
      <c r="K2037" t="s">
        <v>1092</v>
      </c>
      <c r="M2037">
        <v>4.8949999999999996</v>
      </c>
      <c r="N2037">
        <v>88</v>
      </c>
      <c r="O2037" t="s">
        <v>61</v>
      </c>
      <c r="Q2037" t="s">
        <v>724</v>
      </c>
      <c r="R2037" t="s">
        <v>250</v>
      </c>
      <c r="S2037" t="s">
        <v>242</v>
      </c>
      <c r="T2037" t="s">
        <v>243</v>
      </c>
    </row>
    <row r="2038" spans="1:20" x14ac:dyDescent="0.25">
      <c r="A2038" t="s">
        <v>30</v>
      </c>
      <c r="B2038" t="s">
        <v>31</v>
      </c>
      <c r="C2038" t="s">
        <v>32</v>
      </c>
      <c r="D2038" t="s">
        <v>227</v>
      </c>
      <c r="E2038" t="s">
        <v>2731</v>
      </c>
      <c r="F2038" t="s">
        <v>35</v>
      </c>
      <c r="G2038" t="s">
        <v>35</v>
      </c>
      <c r="H2038" t="s">
        <v>35</v>
      </c>
      <c r="J2038" t="s">
        <v>2732</v>
      </c>
      <c r="K2038" t="s">
        <v>1092</v>
      </c>
      <c r="M2038">
        <v>1.125</v>
      </c>
      <c r="N2038">
        <v>42</v>
      </c>
      <c r="O2038" t="s">
        <v>52</v>
      </c>
      <c r="Q2038" t="s">
        <v>219</v>
      </c>
      <c r="R2038" t="s">
        <v>250</v>
      </c>
      <c r="S2038" t="s">
        <v>242</v>
      </c>
      <c r="T2038" t="s">
        <v>243</v>
      </c>
    </row>
    <row r="2039" spans="1:20" x14ac:dyDescent="0.25">
      <c r="A2039" t="s">
        <v>30</v>
      </c>
      <c r="B2039" t="s">
        <v>31</v>
      </c>
      <c r="C2039" t="s">
        <v>32</v>
      </c>
      <c r="D2039" t="s">
        <v>227</v>
      </c>
      <c r="F2039" t="s">
        <v>35</v>
      </c>
      <c r="G2039" t="s">
        <v>35</v>
      </c>
      <c r="H2039" t="s">
        <v>35</v>
      </c>
      <c r="J2039" t="s">
        <v>2953</v>
      </c>
      <c r="K2039" t="s">
        <v>1092</v>
      </c>
      <c r="M2039">
        <v>2.2949999999999999</v>
      </c>
      <c r="N2039">
        <v>1399</v>
      </c>
      <c r="O2039" t="s">
        <v>575</v>
      </c>
      <c r="Q2039" t="s">
        <v>2957</v>
      </c>
      <c r="R2039" t="s">
        <v>250</v>
      </c>
      <c r="S2039" t="s">
        <v>242</v>
      </c>
      <c r="T2039" t="s">
        <v>243</v>
      </c>
    </row>
    <row r="2040" spans="1:20" x14ac:dyDescent="0.25">
      <c r="A2040" t="s">
        <v>59</v>
      </c>
      <c r="B2040" t="s">
        <v>60</v>
      </c>
      <c r="C2040" t="s">
        <v>32</v>
      </c>
      <c r="D2040" t="s">
        <v>227</v>
      </c>
      <c r="E2040" t="s">
        <v>2542</v>
      </c>
      <c r="F2040" t="s">
        <v>35</v>
      </c>
      <c r="G2040" t="s">
        <v>35</v>
      </c>
      <c r="H2040" t="s">
        <v>35</v>
      </c>
      <c r="J2040" t="s">
        <v>2543</v>
      </c>
      <c r="K2040" t="s">
        <v>1092</v>
      </c>
      <c r="M2040">
        <v>0.25</v>
      </c>
      <c r="N2040">
        <v>20</v>
      </c>
      <c r="O2040" t="s">
        <v>46</v>
      </c>
      <c r="Q2040" t="s">
        <v>1011</v>
      </c>
      <c r="R2040" t="s">
        <v>250</v>
      </c>
      <c r="S2040" t="s">
        <v>242</v>
      </c>
      <c r="T2040" t="s">
        <v>243</v>
      </c>
    </row>
    <row r="2041" spans="1:20" x14ac:dyDescent="0.25">
      <c r="A2041" t="s">
        <v>59</v>
      </c>
      <c r="B2041" t="s">
        <v>60</v>
      </c>
      <c r="C2041" t="s">
        <v>32</v>
      </c>
      <c r="D2041" t="s">
        <v>227</v>
      </c>
      <c r="E2041" t="s">
        <v>2871</v>
      </c>
      <c r="F2041" t="s">
        <v>35</v>
      </c>
      <c r="G2041" t="s">
        <v>35</v>
      </c>
      <c r="H2041" t="s">
        <v>35</v>
      </c>
      <c r="J2041" t="s">
        <v>2891</v>
      </c>
      <c r="K2041" t="s">
        <v>1092</v>
      </c>
      <c r="M2041">
        <v>5.5</v>
      </c>
      <c r="N2041">
        <v>21</v>
      </c>
      <c r="O2041" t="s">
        <v>46</v>
      </c>
      <c r="Q2041" t="s">
        <v>176</v>
      </c>
      <c r="R2041" t="s">
        <v>250</v>
      </c>
      <c r="S2041" t="s">
        <v>242</v>
      </c>
      <c r="T2041" t="s">
        <v>243</v>
      </c>
    </row>
    <row r="2042" spans="1:20" x14ac:dyDescent="0.25">
      <c r="A2042" t="s">
        <v>59</v>
      </c>
      <c r="B2042" t="s">
        <v>60</v>
      </c>
      <c r="C2042" t="s">
        <v>32</v>
      </c>
      <c r="D2042" t="s">
        <v>227</v>
      </c>
      <c r="E2042" t="s">
        <v>2871</v>
      </c>
      <c r="F2042" t="s">
        <v>35</v>
      </c>
      <c r="G2042" t="s">
        <v>35</v>
      </c>
      <c r="H2042" t="s">
        <v>35</v>
      </c>
      <c r="J2042" t="s">
        <v>2891</v>
      </c>
      <c r="K2042" t="s">
        <v>1092</v>
      </c>
      <c r="M2042">
        <v>0.8</v>
      </c>
      <c r="N2042">
        <v>97</v>
      </c>
      <c r="O2042" t="s">
        <v>106</v>
      </c>
      <c r="Q2042" t="s">
        <v>2577</v>
      </c>
      <c r="R2042" t="s">
        <v>250</v>
      </c>
      <c r="S2042" t="s">
        <v>242</v>
      </c>
      <c r="T2042" t="s">
        <v>243</v>
      </c>
    </row>
    <row r="2043" spans="1:20" x14ac:dyDescent="0.25">
      <c r="A2043" t="s">
        <v>59</v>
      </c>
      <c r="B2043" t="s">
        <v>60</v>
      </c>
      <c r="C2043" t="s">
        <v>32</v>
      </c>
      <c r="D2043" t="s">
        <v>227</v>
      </c>
      <c r="E2043" t="s">
        <v>2871</v>
      </c>
      <c r="F2043" t="s">
        <v>35</v>
      </c>
      <c r="G2043" t="s">
        <v>35</v>
      </c>
      <c r="H2043" t="s">
        <v>35</v>
      </c>
      <c r="J2043" t="s">
        <v>2897</v>
      </c>
      <c r="K2043" t="s">
        <v>1092</v>
      </c>
      <c r="M2043">
        <v>0.9</v>
      </c>
      <c r="N2043">
        <v>21</v>
      </c>
      <c r="O2043" t="s">
        <v>46</v>
      </c>
      <c r="Q2043" t="s">
        <v>176</v>
      </c>
      <c r="R2043" t="s">
        <v>250</v>
      </c>
      <c r="S2043" t="s">
        <v>242</v>
      </c>
      <c r="T2043" t="s">
        <v>243</v>
      </c>
    </row>
    <row r="2044" spans="1:20" x14ac:dyDescent="0.25">
      <c r="A2044" t="s">
        <v>59</v>
      </c>
      <c r="B2044" t="s">
        <v>60</v>
      </c>
      <c r="C2044" t="s">
        <v>32</v>
      </c>
      <c r="D2044" t="s">
        <v>227</v>
      </c>
      <c r="E2044" t="s">
        <v>228</v>
      </c>
      <c r="F2044" t="s">
        <v>35</v>
      </c>
      <c r="G2044" t="s">
        <v>35</v>
      </c>
      <c r="H2044" t="s">
        <v>35</v>
      </c>
      <c r="J2044" t="s">
        <v>2485</v>
      </c>
      <c r="K2044" t="s">
        <v>1092</v>
      </c>
      <c r="M2044">
        <v>2.1</v>
      </c>
      <c r="N2044">
        <v>491</v>
      </c>
      <c r="O2044" t="s">
        <v>294</v>
      </c>
      <c r="Q2044" t="s">
        <v>2487</v>
      </c>
      <c r="R2044" t="s">
        <v>2488</v>
      </c>
      <c r="S2044" t="s">
        <v>2489</v>
      </c>
      <c r="T2044" t="s">
        <v>2490</v>
      </c>
    </row>
    <row r="2045" spans="1:20" x14ac:dyDescent="0.25">
      <c r="A2045" t="s">
        <v>59</v>
      </c>
      <c r="B2045" t="s">
        <v>60</v>
      </c>
      <c r="C2045" t="s">
        <v>32</v>
      </c>
      <c r="D2045" t="s">
        <v>227</v>
      </c>
      <c r="E2045" t="s">
        <v>2492</v>
      </c>
      <c r="F2045" t="s">
        <v>35</v>
      </c>
      <c r="G2045" t="s">
        <v>35</v>
      </c>
      <c r="H2045" t="s">
        <v>35</v>
      </c>
      <c r="J2045" t="s">
        <v>2510</v>
      </c>
      <c r="K2045" t="s">
        <v>1092</v>
      </c>
      <c r="M2045">
        <v>11</v>
      </c>
      <c r="N2045">
        <v>21</v>
      </c>
      <c r="O2045" t="s">
        <v>46</v>
      </c>
      <c r="Q2045" t="s">
        <v>176</v>
      </c>
      <c r="R2045" t="s">
        <v>2488</v>
      </c>
      <c r="S2045" t="s">
        <v>2489</v>
      </c>
      <c r="T2045" t="s">
        <v>2490</v>
      </c>
    </row>
    <row r="2046" spans="1:20" x14ac:dyDescent="0.25">
      <c r="A2046" t="s">
        <v>59</v>
      </c>
      <c r="B2046" t="s">
        <v>60</v>
      </c>
      <c r="C2046" t="s">
        <v>32</v>
      </c>
      <c r="D2046" t="s">
        <v>227</v>
      </c>
      <c r="F2046" t="s">
        <v>35</v>
      </c>
      <c r="G2046" t="s">
        <v>35</v>
      </c>
      <c r="H2046" t="s">
        <v>35</v>
      </c>
      <c r="J2046" t="s">
        <v>2996</v>
      </c>
      <c r="K2046" t="s">
        <v>1092</v>
      </c>
      <c r="M2046">
        <v>1.1000000000000001</v>
      </c>
      <c r="N2046">
        <v>1867</v>
      </c>
      <c r="O2046" t="s">
        <v>575</v>
      </c>
      <c r="Q2046" t="s">
        <v>2999</v>
      </c>
      <c r="R2046" t="s">
        <v>2488</v>
      </c>
      <c r="S2046" t="s">
        <v>2489</v>
      </c>
      <c r="T2046" t="s">
        <v>2490</v>
      </c>
    </row>
    <row r="2047" spans="1:20" x14ac:dyDescent="0.25">
      <c r="A2047" t="s">
        <v>59</v>
      </c>
      <c r="B2047" t="s">
        <v>31</v>
      </c>
      <c r="C2047" t="s">
        <v>32</v>
      </c>
      <c r="D2047" t="s">
        <v>227</v>
      </c>
      <c r="F2047" t="s">
        <v>35</v>
      </c>
      <c r="G2047" t="s">
        <v>35</v>
      </c>
      <c r="H2047" t="s">
        <v>35</v>
      </c>
      <c r="J2047" t="s">
        <v>3097</v>
      </c>
      <c r="K2047" t="s">
        <v>1092</v>
      </c>
      <c r="M2047">
        <v>0.13</v>
      </c>
      <c r="N2047">
        <v>2346</v>
      </c>
      <c r="O2047" t="s">
        <v>575</v>
      </c>
      <c r="Q2047" t="s">
        <v>3098</v>
      </c>
      <c r="R2047" t="s">
        <v>3099</v>
      </c>
      <c r="S2047" t="s">
        <v>3100</v>
      </c>
      <c r="T2047" t="s">
        <v>3101</v>
      </c>
    </row>
    <row r="2048" spans="1:20" x14ac:dyDescent="0.25">
      <c r="A2048" t="s">
        <v>59</v>
      </c>
      <c r="B2048" t="s">
        <v>60</v>
      </c>
      <c r="C2048" t="s">
        <v>32</v>
      </c>
      <c r="D2048" t="s">
        <v>227</v>
      </c>
      <c r="F2048" t="s">
        <v>35</v>
      </c>
      <c r="G2048" t="s">
        <v>35</v>
      </c>
      <c r="H2048" t="s">
        <v>35</v>
      </c>
      <c r="J2048" t="s">
        <v>3097</v>
      </c>
      <c r="K2048" t="s">
        <v>1092</v>
      </c>
      <c r="M2048">
        <v>3.5000000000000003E-2</v>
      </c>
      <c r="N2048">
        <v>2346</v>
      </c>
      <c r="O2048" t="s">
        <v>575</v>
      </c>
      <c r="Q2048" t="s">
        <v>3098</v>
      </c>
      <c r="R2048" t="s">
        <v>3099</v>
      </c>
      <c r="S2048" t="s">
        <v>3100</v>
      </c>
      <c r="T2048" t="s">
        <v>3101</v>
      </c>
    </row>
    <row r="2049" spans="1:20" x14ac:dyDescent="0.25">
      <c r="A2049" t="s">
        <v>30</v>
      </c>
      <c r="B2049" t="s">
        <v>31</v>
      </c>
      <c r="C2049" t="s">
        <v>32</v>
      </c>
      <c r="D2049" t="s">
        <v>227</v>
      </c>
      <c r="F2049" t="s">
        <v>35</v>
      </c>
      <c r="G2049" t="s">
        <v>35</v>
      </c>
      <c r="H2049" t="s">
        <v>35</v>
      </c>
      <c r="J2049" t="s">
        <v>2991</v>
      </c>
      <c r="K2049" t="s">
        <v>1092</v>
      </c>
      <c r="M2049">
        <v>1.335</v>
      </c>
      <c r="N2049">
        <v>1969</v>
      </c>
      <c r="O2049" t="s">
        <v>575</v>
      </c>
      <c r="Q2049" t="s">
        <v>2992</v>
      </c>
      <c r="R2049" t="s">
        <v>2749</v>
      </c>
      <c r="S2049" t="s">
        <v>261</v>
      </c>
      <c r="T2049" t="s">
        <v>262</v>
      </c>
    </row>
    <row r="2050" spans="1:20" x14ac:dyDescent="0.25">
      <c r="A2050" t="s">
        <v>59</v>
      </c>
      <c r="B2050" t="s">
        <v>31</v>
      </c>
      <c r="C2050" t="s">
        <v>32</v>
      </c>
      <c r="D2050" t="s">
        <v>227</v>
      </c>
      <c r="E2050" t="s">
        <v>251</v>
      </c>
      <c r="F2050" t="s">
        <v>35</v>
      </c>
      <c r="G2050" t="s">
        <v>35</v>
      </c>
      <c r="H2050" t="s">
        <v>35</v>
      </c>
      <c r="J2050" t="s">
        <v>2748</v>
      </c>
      <c r="K2050" t="s">
        <v>1092</v>
      </c>
      <c r="M2050">
        <v>0.72</v>
      </c>
      <c r="N2050">
        <v>941</v>
      </c>
      <c r="O2050" t="s">
        <v>575</v>
      </c>
      <c r="Q2050" t="s">
        <v>1835</v>
      </c>
      <c r="R2050" t="s">
        <v>2749</v>
      </c>
      <c r="S2050" t="s">
        <v>261</v>
      </c>
      <c r="T2050" t="s">
        <v>262</v>
      </c>
    </row>
    <row r="2051" spans="1:20" x14ac:dyDescent="0.25">
      <c r="A2051" t="s">
        <v>59</v>
      </c>
      <c r="B2051" t="s">
        <v>31</v>
      </c>
      <c r="C2051" t="s">
        <v>32</v>
      </c>
      <c r="D2051" t="s">
        <v>227</v>
      </c>
      <c r="F2051" t="s">
        <v>35</v>
      </c>
      <c r="G2051" t="s">
        <v>35</v>
      </c>
      <c r="H2051" t="s">
        <v>35</v>
      </c>
      <c r="J2051" t="s">
        <v>2944</v>
      </c>
      <c r="K2051" t="s">
        <v>1092</v>
      </c>
      <c r="M2051">
        <v>1.45</v>
      </c>
      <c r="N2051">
        <v>2082</v>
      </c>
      <c r="O2051" t="s">
        <v>575</v>
      </c>
      <c r="Q2051" t="s">
        <v>2945</v>
      </c>
      <c r="R2051" t="s">
        <v>2406</v>
      </c>
      <c r="S2051" t="s">
        <v>266</v>
      </c>
      <c r="T2051" t="s">
        <v>267</v>
      </c>
    </row>
    <row r="2052" spans="1:20" x14ac:dyDescent="0.25">
      <c r="A2052" t="s">
        <v>59</v>
      </c>
      <c r="B2052" t="s">
        <v>60</v>
      </c>
      <c r="C2052" t="s">
        <v>32</v>
      </c>
      <c r="D2052" t="s">
        <v>227</v>
      </c>
      <c r="F2052" t="s">
        <v>35</v>
      </c>
      <c r="G2052" t="s">
        <v>35</v>
      </c>
      <c r="H2052" t="s">
        <v>35</v>
      </c>
      <c r="J2052" t="s">
        <v>2944</v>
      </c>
      <c r="K2052" t="s">
        <v>1092</v>
      </c>
      <c r="M2052">
        <v>0.25</v>
      </c>
      <c r="N2052">
        <v>1609</v>
      </c>
      <c r="O2052" t="s">
        <v>575</v>
      </c>
      <c r="Q2052" t="s">
        <v>2946</v>
      </c>
      <c r="R2052" t="s">
        <v>2406</v>
      </c>
      <c r="S2052" t="s">
        <v>266</v>
      </c>
      <c r="T2052" t="s">
        <v>267</v>
      </c>
    </row>
    <row r="2053" spans="1:20" x14ac:dyDescent="0.25">
      <c r="A2053" t="s">
        <v>59</v>
      </c>
      <c r="B2053" t="s">
        <v>60</v>
      </c>
      <c r="C2053" t="s">
        <v>32</v>
      </c>
      <c r="D2053" t="s">
        <v>227</v>
      </c>
      <c r="F2053" t="s">
        <v>35</v>
      </c>
      <c r="G2053" t="s">
        <v>35</v>
      </c>
      <c r="H2053" t="s">
        <v>35</v>
      </c>
      <c r="J2053" t="s">
        <v>2944</v>
      </c>
      <c r="K2053" t="s">
        <v>1092</v>
      </c>
      <c r="M2053">
        <v>1</v>
      </c>
      <c r="N2053">
        <v>1480</v>
      </c>
      <c r="O2053" t="s">
        <v>575</v>
      </c>
      <c r="Q2053" t="s">
        <v>2947</v>
      </c>
      <c r="R2053" t="s">
        <v>2406</v>
      </c>
      <c r="S2053" t="s">
        <v>266</v>
      </c>
      <c r="T2053" t="s">
        <v>267</v>
      </c>
    </row>
    <row r="2054" spans="1:20" x14ac:dyDescent="0.25">
      <c r="A2054" t="s">
        <v>30</v>
      </c>
      <c r="B2054" t="s">
        <v>31</v>
      </c>
      <c r="C2054" t="s">
        <v>32</v>
      </c>
      <c r="D2054" t="s">
        <v>227</v>
      </c>
      <c r="F2054" t="s">
        <v>35</v>
      </c>
      <c r="G2054" t="s">
        <v>35</v>
      </c>
      <c r="H2054" t="s">
        <v>35</v>
      </c>
      <c r="J2054" t="s">
        <v>3021</v>
      </c>
      <c r="K2054" t="s">
        <v>1092</v>
      </c>
      <c r="M2054">
        <v>5.0000000000000001E-3</v>
      </c>
      <c r="N2054">
        <v>1546</v>
      </c>
      <c r="O2054" t="s">
        <v>575</v>
      </c>
      <c r="Q2054" t="s">
        <v>3022</v>
      </c>
      <c r="R2054" t="s">
        <v>2406</v>
      </c>
      <c r="S2054" t="s">
        <v>266</v>
      </c>
      <c r="T2054" t="s">
        <v>267</v>
      </c>
    </row>
    <row r="2055" spans="1:20" x14ac:dyDescent="0.25">
      <c r="A2055" t="s">
        <v>59</v>
      </c>
      <c r="B2055" t="s">
        <v>60</v>
      </c>
      <c r="C2055" t="s">
        <v>32</v>
      </c>
      <c r="D2055" t="s">
        <v>227</v>
      </c>
      <c r="F2055" t="s">
        <v>35</v>
      </c>
      <c r="G2055" t="s">
        <v>35</v>
      </c>
      <c r="H2055" t="s">
        <v>35</v>
      </c>
      <c r="J2055" t="s">
        <v>3048</v>
      </c>
      <c r="K2055" t="s">
        <v>1092</v>
      </c>
      <c r="M2055">
        <v>0.45</v>
      </c>
      <c r="N2055">
        <v>1402</v>
      </c>
      <c r="O2055" t="s">
        <v>575</v>
      </c>
      <c r="Q2055" t="s">
        <v>3049</v>
      </c>
      <c r="R2055" t="s">
        <v>2406</v>
      </c>
      <c r="S2055" t="s">
        <v>266</v>
      </c>
      <c r="T2055" t="s">
        <v>267</v>
      </c>
    </row>
    <row r="2056" spans="1:20" x14ac:dyDescent="0.25">
      <c r="A2056" t="s">
        <v>59</v>
      </c>
      <c r="B2056" t="s">
        <v>31</v>
      </c>
      <c r="C2056" t="s">
        <v>32</v>
      </c>
      <c r="D2056" t="s">
        <v>227</v>
      </c>
      <c r="E2056" t="s">
        <v>2575</v>
      </c>
      <c r="F2056" t="s">
        <v>35</v>
      </c>
      <c r="G2056" t="s">
        <v>35</v>
      </c>
      <c r="H2056" t="s">
        <v>35</v>
      </c>
      <c r="J2056" t="s">
        <v>2592</v>
      </c>
      <c r="K2056" t="s">
        <v>1092</v>
      </c>
      <c r="M2056">
        <v>5.0000000000000001E-3</v>
      </c>
      <c r="N2056">
        <v>999</v>
      </c>
      <c r="O2056" t="s">
        <v>575</v>
      </c>
      <c r="Q2056" t="s">
        <v>2593</v>
      </c>
      <c r="R2056" t="s">
        <v>2406</v>
      </c>
      <c r="S2056" t="s">
        <v>266</v>
      </c>
      <c r="T2056" t="s">
        <v>267</v>
      </c>
    </row>
    <row r="2057" spans="1:20" x14ac:dyDescent="0.25">
      <c r="A2057" t="s">
        <v>59</v>
      </c>
      <c r="B2057" t="s">
        <v>31</v>
      </c>
      <c r="C2057" t="s">
        <v>32</v>
      </c>
      <c r="D2057" t="s">
        <v>227</v>
      </c>
      <c r="E2057" t="s">
        <v>235</v>
      </c>
      <c r="F2057" t="s">
        <v>35</v>
      </c>
      <c r="G2057" t="s">
        <v>35</v>
      </c>
      <c r="H2057" t="s">
        <v>35</v>
      </c>
      <c r="J2057" t="s">
        <v>2533</v>
      </c>
      <c r="K2057" t="s">
        <v>1092</v>
      </c>
      <c r="M2057">
        <v>0.09</v>
      </c>
      <c r="N2057">
        <v>88</v>
      </c>
      <c r="O2057" t="s">
        <v>61</v>
      </c>
      <c r="Q2057" t="s">
        <v>724</v>
      </c>
      <c r="R2057" t="s">
        <v>2406</v>
      </c>
      <c r="S2057" t="s">
        <v>266</v>
      </c>
      <c r="T2057" t="s">
        <v>267</v>
      </c>
    </row>
    <row r="2058" spans="1:20" x14ac:dyDescent="0.25">
      <c r="A2058" t="s">
        <v>30</v>
      </c>
      <c r="B2058" t="s">
        <v>31</v>
      </c>
      <c r="C2058" t="s">
        <v>32</v>
      </c>
      <c r="D2058" t="s">
        <v>227</v>
      </c>
      <c r="E2058" t="s">
        <v>265</v>
      </c>
      <c r="F2058" t="s">
        <v>35</v>
      </c>
      <c r="G2058" t="s">
        <v>35</v>
      </c>
      <c r="H2058" t="s">
        <v>35</v>
      </c>
      <c r="J2058" t="s">
        <v>2759</v>
      </c>
      <c r="K2058" t="s">
        <v>1092</v>
      </c>
      <c r="M2058">
        <v>2.88</v>
      </c>
      <c r="N2058">
        <v>33</v>
      </c>
      <c r="O2058" t="s">
        <v>52</v>
      </c>
      <c r="Q2058" t="s">
        <v>130</v>
      </c>
      <c r="R2058" t="s">
        <v>2406</v>
      </c>
      <c r="S2058" t="s">
        <v>266</v>
      </c>
      <c r="T2058" t="s">
        <v>267</v>
      </c>
    </row>
    <row r="2059" spans="1:20" x14ac:dyDescent="0.25">
      <c r="A2059" t="s">
        <v>59</v>
      </c>
      <c r="B2059" t="s">
        <v>31</v>
      </c>
      <c r="C2059" t="s">
        <v>32</v>
      </c>
      <c r="D2059" t="s">
        <v>227</v>
      </c>
      <c r="E2059" t="s">
        <v>2575</v>
      </c>
      <c r="F2059" t="s">
        <v>35</v>
      </c>
      <c r="G2059" t="s">
        <v>35</v>
      </c>
      <c r="H2059" t="s">
        <v>35</v>
      </c>
      <c r="J2059" t="s">
        <v>2578</v>
      </c>
      <c r="K2059" t="s">
        <v>1092</v>
      </c>
      <c r="M2059">
        <v>5.0000000000000001E-3</v>
      </c>
      <c r="N2059">
        <v>245</v>
      </c>
      <c r="O2059" t="s">
        <v>5</v>
      </c>
      <c r="Q2059" t="s">
        <v>1222</v>
      </c>
      <c r="R2059" t="s">
        <v>2406</v>
      </c>
      <c r="S2059" t="s">
        <v>266</v>
      </c>
      <c r="T2059" t="s">
        <v>267</v>
      </c>
    </row>
    <row r="2060" spans="1:20" x14ac:dyDescent="0.25">
      <c r="A2060" t="s">
        <v>59</v>
      </c>
      <c r="B2060" t="s">
        <v>60</v>
      </c>
      <c r="C2060" t="s">
        <v>32</v>
      </c>
      <c r="D2060" t="s">
        <v>227</v>
      </c>
      <c r="F2060" t="s">
        <v>35</v>
      </c>
      <c r="G2060" t="s">
        <v>35</v>
      </c>
      <c r="H2060" t="s">
        <v>35</v>
      </c>
      <c r="J2060" t="s">
        <v>3013</v>
      </c>
      <c r="K2060" t="s">
        <v>1092</v>
      </c>
      <c r="M2060">
        <v>0.2</v>
      </c>
      <c r="N2060">
        <v>1683</v>
      </c>
      <c r="O2060" t="s">
        <v>575</v>
      </c>
      <c r="Q2060" t="s">
        <v>3014</v>
      </c>
      <c r="R2060" t="s">
        <v>2406</v>
      </c>
      <c r="S2060" t="s">
        <v>266</v>
      </c>
      <c r="T2060" t="s">
        <v>267</v>
      </c>
    </row>
    <row r="2061" spans="1:20" x14ac:dyDescent="0.25">
      <c r="A2061" t="s">
        <v>59</v>
      </c>
      <c r="B2061" t="s">
        <v>31</v>
      </c>
      <c r="C2061" t="s">
        <v>32</v>
      </c>
      <c r="D2061" t="s">
        <v>227</v>
      </c>
      <c r="F2061" t="s">
        <v>35</v>
      </c>
      <c r="G2061" t="s">
        <v>35</v>
      </c>
      <c r="H2061" t="s">
        <v>35</v>
      </c>
      <c r="J2061" t="s">
        <v>3013</v>
      </c>
      <c r="K2061" t="s">
        <v>1092</v>
      </c>
      <c r="M2061">
        <v>4.4999999999999998E-2</v>
      </c>
      <c r="N2061">
        <v>1683</v>
      </c>
      <c r="O2061" t="s">
        <v>575</v>
      </c>
      <c r="Q2061" t="s">
        <v>3014</v>
      </c>
      <c r="R2061" t="s">
        <v>2406</v>
      </c>
      <c r="S2061" t="s">
        <v>266</v>
      </c>
      <c r="T2061" t="s">
        <v>267</v>
      </c>
    </row>
    <row r="2062" spans="1:20" x14ac:dyDescent="0.25">
      <c r="A2062" t="s">
        <v>59</v>
      </c>
      <c r="B2062" t="s">
        <v>60</v>
      </c>
      <c r="C2062" t="s">
        <v>32</v>
      </c>
      <c r="D2062" t="s">
        <v>227</v>
      </c>
      <c r="E2062" t="s">
        <v>2492</v>
      </c>
      <c r="F2062" t="s">
        <v>35</v>
      </c>
      <c r="G2062" t="s">
        <v>35</v>
      </c>
      <c r="H2062" t="s">
        <v>35</v>
      </c>
      <c r="J2062" t="s">
        <v>2498</v>
      </c>
      <c r="K2062" t="s">
        <v>1092</v>
      </c>
      <c r="M2062">
        <v>0.05</v>
      </c>
      <c r="N2062">
        <v>256</v>
      </c>
      <c r="O2062" t="s">
        <v>5</v>
      </c>
      <c r="Q2062" t="s">
        <v>2499</v>
      </c>
      <c r="R2062" t="s">
        <v>2406</v>
      </c>
      <c r="S2062" t="s">
        <v>266</v>
      </c>
      <c r="T2062" t="s">
        <v>267</v>
      </c>
    </row>
    <row r="2063" spans="1:20" x14ac:dyDescent="0.25">
      <c r="A2063" t="s">
        <v>30</v>
      </c>
      <c r="B2063" t="s">
        <v>31</v>
      </c>
      <c r="C2063" t="s">
        <v>32</v>
      </c>
      <c r="D2063" t="s">
        <v>227</v>
      </c>
      <c r="E2063" t="s">
        <v>2492</v>
      </c>
      <c r="F2063" t="s">
        <v>35</v>
      </c>
      <c r="G2063" t="s">
        <v>35</v>
      </c>
      <c r="H2063" t="s">
        <v>35</v>
      </c>
      <c r="J2063" t="s">
        <v>2498</v>
      </c>
      <c r="K2063" t="s">
        <v>1092</v>
      </c>
      <c r="M2063">
        <v>4.1399999999999997</v>
      </c>
      <c r="N2063">
        <v>256</v>
      </c>
      <c r="O2063" t="s">
        <v>5</v>
      </c>
      <c r="Q2063" t="s">
        <v>2499</v>
      </c>
      <c r="R2063" t="s">
        <v>2406</v>
      </c>
      <c r="S2063" t="s">
        <v>266</v>
      </c>
      <c r="T2063" t="s">
        <v>267</v>
      </c>
    </row>
    <row r="2064" spans="1:20" x14ac:dyDescent="0.25">
      <c r="A2064" t="s">
        <v>44</v>
      </c>
      <c r="B2064" t="s">
        <v>51</v>
      </c>
      <c r="C2064" t="s">
        <v>32</v>
      </c>
      <c r="D2064" t="s">
        <v>227</v>
      </c>
      <c r="E2064" t="s">
        <v>2385</v>
      </c>
      <c r="F2064" t="s">
        <v>35</v>
      </c>
      <c r="G2064" t="s">
        <v>35</v>
      </c>
      <c r="H2064" t="s">
        <v>35</v>
      </c>
      <c r="J2064" t="s">
        <v>2405</v>
      </c>
      <c r="K2064" t="s">
        <v>1092</v>
      </c>
      <c r="M2064">
        <v>0.9</v>
      </c>
      <c r="N2064">
        <v>37</v>
      </c>
      <c r="O2064" t="s">
        <v>52</v>
      </c>
      <c r="Q2064" t="s">
        <v>192</v>
      </c>
      <c r="R2064" t="s">
        <v>2406</v>
      </c>
      <c r="S2064" t="s">
        <v>266</v>
      </c>
      <c r="T2064" t="s">
        <v>267</v>
      </c>
    </row>
    <row r="2065" spans="1:20" x14ac:dyDescent="0.25">
      <c r="A2065" t="s">
        <v>59</v>
      </c>
      <c r="B2065" t="s">
        <v>60</v>
      </c>
      <c r="C2065" t="s">
        <v>32</v>
      </c>
      <c r="D2065" t="s">
        <v>227</v>
      </c>
      <c r="E2065" t="s">
        <v>2551</v>
      </c>
      <c r="F2065" t="s">
        <v>35</v>
      </c>
      <c r="G2065" t="s">
        <v>35</v>
      </c>
      <c r="H2065" t="s">
        <v>35</v>
      </c>
      <c r="J2065" t="s">
        <v>2555</v>
      </c>
      <c r="K2065" t="s">
        <v>1092</v>
      </c>
      <c r="M2065">
        <v>5</v>
      </c>
      <c r="N2065">
        <v>571</v>
      </c>
      <c r="O2065" t="s">
        <v>575</v>
      </c>
      <c r="Q2065" t="s">
        <v>2556</v>
      </c>
      <c r="R2065" t="s">
        <v>2406</v>
      </c>
      <c r="S2065" t="s">
        <v>266</v>
      </c>
      <c r="T2065" t="s">
        <v>267</v>
      </c>
    </row>
    <row r="2066" spans="1:20" x14ac:dyDescent="0.25">
      <c r="A2066" t="s">
        <v>30</v>
      </c>
      <c r="B2066" t="s">
        <v>31</v>
      </c>
      <c r="C2066" t="s">
        <v>32</v>
      </c>
      <c r="D2066" t="s">
        <v>227</v>
      </c>
      <c r="E2066" t="s">
        <v>2551</v>
      </c>
      <c r="F2066" t="s">
        <v>35</v>
      </c>
      <c r="G2066" t="s">
        <v>35</v>
      </c>
      <c r="H2066" t="s">
        <v>35</v>
      </c>
      <c r="J2066" t="s">
        <v>2555</v>
      </c>
      <c r="K2066" t="s">
        <v>1092</v>
      </c>
      <c r="M2066">
        <v>3.5550000000000002</v>
      </c>
      <c r="N2066">
        <v>569</v>
      </c>
      <c r="O2066" t="s">
        <v>575</v>
      </c>
      <c r="Q2066" t="s">
        <v>2557</v>
      </c>
      <c r="R2066" t="s">
        <v>2406</v>
      </c>
      <c r="S2066" t="s">
        <v>266</v>
      </c>
      <c r="T2066" t="s">
        <v>267</v>
      </c>
    </row>
    <row r="2067" spans="1:20" x14ac:dyDescent="0.25">
      <c r="A2067" t="s">
        <v>30</v>
      </c>
      <c r="B2067" t="s">
        <v>31</v>
      </c>
      <c r="C2067" t="s">
        <v>32</v>
      </c>
      <c r="D2067" t="s">
        <v>227</v>
      </c>
      <c r="E2067" t="s">
        <v>2542</v>
      </c>
      <c r="F2067" t="s">
        <v>35</v>
      </c>
      <c r="G2067" t="s">
        <v>35</v>
      </c>
      <c r="H2067" t="s">
        <v>35</v>
      </c>
      <c r="J2067" t="s">
        <v>2545</v>
      </c>
      <c r="K2067" t="s">
        <v>1092</v>
      </c>
      <c r="M2067">
        <v>0.85499999999999998</v>
      </c>
      <c r="N2067">
        <v>226</v>
      </c>
      <c r="O2067" t="s">
        <v>5</v>
      </c>
      <c r="Q2067" t="s">
        <v>2002</v>
      </c>
      <c r="R2067" t="s">
        <v>2406</v>
      </c>
      <c r="S2067" t="s">
        <v>266</v>
      </c>
      <c r="T2067" t="s">
        <v>267</v>
      </c>
    </row>
    <row r="2068" spans="1:20" x14ac:dyDescent="0.25">
      <c r="A2068" t="s">
        <v>44</v>
      </c>
      <c r="B2068" t="s">
        <v>3</v>
      </c>
      <c r="C2068" t="s">
        <v>32</v>
      </c>
      <c r="D2068" t="s">
        <v>227</v>
      </c>
      <c r="E2068" t="s">
        <v>2542</v>
      </c>
      <c r="F2068" t="s">
        <v>35</v>
      </c>
      <c r="G2068" t="s">
        <v>35</v>
      </c>
      <c r="H2068" t="s">
        <v>35</v>
      </c>
      <c r="J2068" t="s">
        <v>2545</v>
      </c>
      <c r="K2068" t="s">
        <v>1092</v>
      </c>
      <c r="M2068">
        <v>0.25</v>
      </c>
      <c r="N2068">
        <v>226</v>
      </c>
      <c r="O2068" t="s">
        <v>5</v>
      </c>
      <c r="Q2068" t="s">
        <v>2002</v>
      </c>
      <c r="R2068" t="s">
        <v>2406</v>
      </c>
      <c r="S2068" t="s">
        <v>266</v>
      </c>
      <c r="T2068" t="s">
        <v>267</v>
      </c>
    </row>
    <row r="2069" spans="1:20" x14ac:dyDescent="0.25">
      <c r="A2069" t="s">
        <v>59</v>
      </c>
      <c r="B2069" t="s">
        <v>60</v>
      </c>
      <c r="C2069" t="s">
        <v>32</v>
      </c>
      <c r="D2069" t="s">
        <v>227</v>
      </c>
      <c r="E2069" t="s">
        <v>235</v>
      </c>
      <c r="F2069" t="s">
        <v>35</v>
      </c>
      <c r="G2069" t="s">
        <v>35</v>
      </c>
      <c r="H2069" t="s">
        <v>35</v>
      </c>
      <c r="J2069" t="s">
        <v>2535</v>
      </c>
      <c r="K2069" t="s">
        <v>1092</v>
      </c>
      <c r="M2069">
        <v>0.85</v>
      </c>
      <c r="N2069">
        <v>126</v>
      </c>
      <c r="O2069" t="s">
        <v>38</v>
      </c>
      <c r="Q2069" t="s">
        <v>68</v>
      </c>
      <c r="R2069" t="s">
        <v>2406</v>
      </c>
      <c r="S2069" t="s">
        <v>266</v>
      </c>
      <c r="T2069" t="s">
        <v>267</v>
      </c>
    </row>
    <row r="2070" spans="1:20" x14ac:dyDescent="0.25">
      <c r="A2070" t="s">
        <v>30</v>
      </c>
      <c r="B2070" t="s">
        <v>31</v>
      </c>
      <c r="C2070" t="s">
        <v>32</v>
      </c>
      <c r="D2070" t="s">
        <v>227</v>
      </c>
      <c r="E2070" t="s">
        <v>2567</v>
      </c>
      <c r="F2070" t="s">
        <v>35</v>
      </c>
      <c r="G2070" t="s">
        <v>35</v>
      </c>
      <c r="H2070" t="s">
        <v>35</v>
      </c>
      <c r="J2070" t="s">
        <v>2569</v>
      </c>
      <c r="K2070" t="s">
        <v>1092</v>
      </c>
      <c r="M2070">
        <v>10.98</v>
      </c>
      <c r="N2070">
        <v>69</v>
      </c>
      <c r="O2070" t="s">
        <v>61</v>
      </c>
      <c r="Q2070" t="s">
        <v>234</v>
      </c>
      <c r="R2070" t="s">
        <v>2406</v>
      </c>
      <c r="S2070" t="s">
        <v>266</v>
      </c>
      <c r="T2070" t="s">
        <v>267</v>
      </c>
    </row>
    <row r="2071" spans="1:20" x14ac:dyDescent="0.25">
      <c r="A2071" t="s">
        <v>30</v>
      </c>
      <c r="B2071" t="s">
        <v>31</v>
      </c>
      <c r="C2071" t="s">
        <v>32</v>
      </c>
      <c r="D2071" t="s">
        <v>227</v>
      </c>
      <c r="E2071" t="s">
        <v>2567</v>
      </c>
      <c r="F2071" t="s">
        <v>35</v>
      </c>
      <c r="G2071" t="s">
        <v>35</v>
      </c>
      <c r="H2071" t="s">
        <v>35</v>
      </c>
      <c r="J2071" t="s">
        <v>2569</v>
      </c>
      <c r="K2071" t="s">
        <v>1092</v>
      </c>
      <c r="M2071">
        <v>0.96699999999999997</v>
      </c>
      <c r="N2071">
        <v>422</v>
      </c>
      <c r="O2071" t="s">
        <v>294</v>
      </c>
      <c r="Q2071" t="s">
        <v>2570</v>
      </c>
      <c r="R2071" t="s">
        <v>2406</v>
      </c>
      <c r="S2071" t="s">
        <v>266</v>
      </c>
      <c r="T2071" t="s">
        <v>267</v>
      </c>
    </row>
    <row r="2072" spans="1:20" x14ac:dyDescent="0.25">
      <c r="A2072" t="s">
        <v>30</v>
      </c>
      <c r="B2072" t="s">
        <v>31</v>
      </c>
      <c r="C2072" t="s">
        <v>32</v>
      </c>
      <c r="D2072" t="s">
        <v>227</v>
      </c>
      <c r="E2072" t="s">
        <v>2931</v>
      </c>
      <c r="F2072" t="s">
        <v>35</v>
      </c>
      <c r="G2072" t="s">
        <v>35</v>
      </c>
      <c r="H2072" t="s">
        <v>35</v>
      </c>
      <c r="J2072" t="s">
        <v>2942</v>
      </c>
      <c r="K2072" t="s">
        <v>1092</v>
      </c>
      <c r="M2072">
        <v>0.45</v>
      </c>
      <c r="N2072">
        <v>226</v>
      </c>
      <c r="O2072" t="s">
        <v>5</v>
      </c>
      <c r="Q2072" t="s">
        <v>2002</v>
      </c>
      <c r="R2072" t="s">
        <v>2406</v>
      </c>
      <c r="S2072" t="s">
        <v>266</v>
      </c>
      <c r="T2072" t="s">
        <v>267</v>
      </c>
    </row>
    <row r="2073" spans="1:20" x14ac:dyDescent="0.25">
      <c r="A2073" t="s">
        <v>44</v>
      </c>
      <c r="B2073" t="s">
        <v>3</v>
      </c>
      <c r="C2073" t="s">
        <v>32</v>
      </c>
      <c r="D2073" t="s">
        <v>227</v>
      </c>
      <c r="E2073" t="s">
        <v>2551</v>
      </c>
      <c r="F2073" t="s">
        <v>35</v>
      </c>
      <c r="G2073" t="s">
        <v>35</v>
      </c>
      <c r="H2073" t="s">
        <v>35</v>
      </c>
      <c r="J2073" t="s">
        <v>2563</v>
      </c>
      <c r="K2073" t="s">
        <v>1092</v>
      </c>
      <c r="M2073">
        <v>1.25</v>
      </c>
      <c r="N2073">
        <v>414</v>
      </c>
      <c r="O2073" t="s">
        <v>294</v>
      </c>
      <c r="Q2073" t="s">
        <v>1887</v>
      </c>
      <c r="R2073" t="s">
        <v>2564</v>
      </c>
      <c r="S2073" t="s">
        <v>2565</v>
      </c>
      <c r="T2073" t="s">
        <v>2566</v>
      </c>
    </row>
    <row r="2074" spans="1:20" x14ac:dyDescent="0.25">
      <c r="A2074" t="s">
        <v>44</v>
      </c>
      <c r="B2074" t="s">
        <v>51</v>
      </c>
      <c r="C2074" t="s">
        <v>32</v>
      </c>
      <c r="D2074" t="s">
        <v>227</v>
      </c>
      <c r="E2074" t="s">
        <v>2442</v>
      </c>
      <c r="F2074" t="s">
        <v>35</v>
      </c>
      <c r="G2074" t="s">
        <v>35</v>
      </c>
      <c r="H2074" t="s">
        <v>35</v>
      </c>
      <c r="J2074" t="s">
        <v>2453</v>
      </c>
      <c r="K2074" t="s">
        <v>1092</v>
      </c>
      <c r="M2074">
        <v>1.85</v>
      </c>
      <c r="N2074">
        <v>218</v>
      </c>
      <c r="O2074" t="s">
        <v>5</v>
      </c>
      <c r="Q2074" t="s">
        <v>1260</v>
      </c>
      <c r="R2074" t="s">
        <v>2394</v>
      </c>
      <c r="S2074" t="s">
        <v>271</v>
      </c>
      <c r="T2074" t="s">
        <v>272</v>
      </c>
    </row>
    <row r="2075" spans="1:20" x14ac:dyDescent="0.25">
      <c r="A2075" t="s">
        <v>44</v>
      </c>
      <c r="B2075" t="s">
        <v>51</v>
      </c>
      <c r="C2075" t="s">
        <v>32</v>
      </c>
      <c r="D2075" t="s">
        <v>227</v>
      </c>
      <c r="E2075" t="s">
        <v>270</v>
      </c>
      <c r="F2075" t="s">
        <v>35</v>
      </c>
      <c r="G2075" t="s">
        <v>35</v>
      </c>
      <c r="H2075" t="s">
        <v>35</v>
      </c>
      <c r="J2075" t="s">
        <v>2775</v>
      </c>
      <c r="K2075" t="s">
        <v>1092</v>
      </c>
      <c r="M2075">
        <v>4.4999999999999998E-2</v>
      </c>
      <c r="N2075">
        <v>49</v>
      </c>
      <c r="O2075" t="s">
        <v>52</v>
      </c>
      <c r="Q2075" t="s">
        <v>453</v>
      </c>
      <c r="R2075" t="s">
        <v>2394</v>
      </c>
      <c r="S2075" t="s">
        <v>271</v>
      </c>
      <c r="T2075" t="s">
        <v>272</v>
      </c>
    </row>
    <row r="2076" spans="1:20" x14ac:dyDescent="0.25">
      <c r="A2076" t="s">
        <v>44</v>
      </c>
      <c r="B2076" t="s">
        <v>3</v>
      </c>
      <c r="C2076" t="s">
        <v>32</v>
      </c>
      <c r="D2076" t="s">
        <v>227</v>
      </c>
      <c r="E2076" t="s">
        <v>270</v>
      </c>
      <c r="F2076" t="s">
        <v>35</v>
      </c>
      <c r="G2076" t="s">
        <v>35</v>
      </c>
      <c r="H2076" t="s">
        <v>35</v>
      </c>
      <c r="J2076" t="s">
        <v>2770</v>
      </c>
      <c r="K2076" t="s">
        <v>1092</v>
      </c>
      <c r="M2076">
        <v>0.05</v>
      </c>
      <c r="N2076">
        <v>55</v>
      </c>
      <c r="O2076" t="s">
        <v>52</v>
      </c>
      <c r="Q2076" t="s">
        <v>90</v>
      </c>
      <c r="R2076" t="s">
        <v>2394</v>
      </c>
      <c r="S2076" t="s">
        <v>271</v>
      </c>
      <c r="T2076" t="s">
        <v>272</v>
      </c>
    </row>
    <row r="2077" spans="1:20" x14ac:dyDescent="0.25">
      <c r="A2077" t="s">
        <v>30</v>
      </c>
      <c r="B2077" t="s">
        <v>31</v>
      </c>
      <c r="C2077" t="s">
        <v>32</v>
      </c>
      <c r="D2077" t="s">
        <v>227</v>
      </c>
      <c r="E2077" t="s">
        <v>2385</v>
      </c>
      <c r="F2077" t="s">
        <v>35</v>
      </c>
      <c r="G2077" t="s">
        <v>35</v>
      </c>
      <c r="H2077" t="s">
        <v>35</v>
      </c>
      <c r="J2077" t="s">
        <v>2395</v>
      </c>
      <c r="K2077" t="s">
        <v>1092</v>
      </c>
      <c r="M2077">
        <v>0.58499999999999996</v>
      </c>
      <c r="N2077">
        <v>37</v>
      </c>
      <c r="O2077" t="s">
        <v>52</v>
      </c>
      <c r="Q2077" t="s">
        <v>192</v>
      </c>
      <c r="R2077" t="s">
        <v>2394</v>
      </c>
      <c r="S2077" t="s">
        <v>271</v>
      </c>
      <c r="T2077" t="s">
        <v>272</v>
      </c>
    </row>
    <row r="2078" spans="1:20" x14ac:dyDescent="0.25">
      <c r="A2078" t="s">
        <v>44</v>
      </c>
      <c r="B2078" t="s">
        <v>51</v>
      </c>
      <c r="C2078" t="s">
        <v>32</v>
      </c>
      <c r="D2078" t="s">
        <v>227</v>
      </c>
      <c r="E2078" t="s">
        <v>2641</v>
      </c>
      <c r="F2078" t="s">
        <v>35</v>
      </c>
      <c r="G2078" t="s">
        <v>35</v>
      </c>
      <c r="H2078" t="s">
        <v>35</v>
      </c>
      <c r="J2078" t="s">
        <v>2647</v>
      </c>
      <c r="K2078" t="s">
        <v>1092</v>
      </c>
      <c r="M2078">
        <v>0.25</v>
      </c>
      <c r="N2078">
        <v>51</v>
      </c>
      <c r="O2078" t="s">
        <v>52</v>
      </c>
      <c r="Q2078" t="s">
        <v>58</v>
      </c>
      <c r="R2078" t="s">
        <v>2394</v>
      </c>
      <c r="S2078" t="s">
        <v>271</v>
      </c>
      <c r="T2078" t="s">
        <v>272</v>
      </c>
    </row>
    <row r="2079" spans="1:20" x14ac:dyDescent="0.25">
      <c r="A2079" t="s">
        <v>44</v>
      </c>
      <c r="B2079" t="s">
        <v>51</v>
      </c>
      <c r="C2079" t="s">
        <v>32</v>
      </c>
      <c r="D2079" t="s">
        <v>227</v>
      </c>
      <c r="E2079" t="s">
        <v>270</v>
      </c>
      <c r="F2079" t="s">
        <v>35</v>
      </c>
      <c r="G2079" t="s">
        <v>35</v>
      </c>
      <c r="H2079" t="s">
        <v>35</v>
      </c>
      <c r="J2079" t="s">
        <v>2773</v>
      </c>
      <c r="K2079" t="s">
        <v>1092</v>
      </c>
      <c r="M2079">
        <v>0.15</v>
      </c>
      <c r="N2079">
        <v>14</v>
      </c>
      <c r="O2079" t="s">
        <v>46</v>
      </c>
      <c r="Q2079" t="s">
        <v>1874</v>
      </c>
      <c r="R2079" t="s">
        <v>2394</v>
      </c>
      <c r="S2079" t="s">
        <v>271</v>
      </c>
      <c r="T2079" t="s">
        <v>272</v>
      </c>
    </row>
    <row r="2080" spans="1:20" x14ac:dyDescent="0.25">
      <c r="A2080" t="s">
        <v>44</v>
      </c>
      <c r="B2080" t="s">
        <v>51</v>
      </c>
      <c r="C2080" t="s">
        <v>32</v>
      </c>
      <c r="D2080" t="s">
        <v>227</v>
      </c>
      <c r="E2080" t="s">
        <v>270</v>
      </c>
      <c r="F2080" t="s">
        <v>35</v>
      </c>
      <c r="G2080" t="s">
        <v>35</v>
      </c>
      <c r="H2080" t="s">
        <v>35</v>
      </c>
      <c r="J2080" t="s">
        <v>2773</v>
      </c>
      <c r="K2080" t="s">
        <v>1092</v>
      </c>
      <c r="M2080">
        <v>0.15</v>
      </c>
      <c r="N2080">
        <v>23</v>
      </c>
      <c r="O2080" t="s">
        <v>46</v>
      </c>
      <c r="Q2080" t="s">
        <v>793</v>
      </c>
      <c r="R2080" t="s">
        <v>2394</v>
      </c>
      <c r="S2080" t="s">
        <v>271</v>
      </c>
      <c r="T2080" t="s">
        <v>272</v>
      </c>
    </row>
    <row r="2081" spans="1:20" x14ac:dyDescent="0.25">
      <c r="A2081" t="s">
        <v>44</v>
      </c>
      <c r="B2081" t="s">
        <v>51</v>
      </c>
      <c r="C2081" t="s">
        <v>32</v>
      </c>
      <c r="D2081" t="s">
        <v>227</v>
      </c>
      <c r="E2081" t="s">
        <v>270</v>
      </c>
      <c r="F2081" t="s">
        <v>35</v>
      </c>
      <c r="G2081" t="s">
        <v>35</v>
      </c>
      <c r="H2081" t="s">
        <v>35</v>
      </c>
      <c r="J2081" t="s">
        <v>2773</v>
      </c>
      <c r="K2081" t="s">
        <v>1092</v>
      </c>
      <c r="M2081">
        <v>0.15</v>
      </c>
      <c r="N2081">
        <v>44</v>
      </c>
      <c r="O2081" t="s">
        <v>52</v>
      </c>
      <c r="Q2081" t="s">
        <v>54</v>
      </c>
      <c r="R2081" t="s">
        <v>2394</v>
      </c>
      <c r="S2081" t="s">
        <v>271</v>
      </c>
      <c r="T2081" t="s">
        <v>272</v>
      </c>
    </row>
    <row r="2082" spans="1:20" x14ac:dyDescent="0.25">
      <c r="A2082" t="s">
        <v>44</v>
      </c>
      <c r="B2082" t="s">
        <v>51</v>
      </c>
      <c r="C2082" t="s">
        <v>32</v>
      </c>
      <c r="D2082" t="s">
        <v>227</v>
      </c>
      <c r="E2082" t="s">
        <v>270</v>
      </c>
      <c r="F2082" t="s">
        <v>35</v>
      </c>
      <c r="G2082" t="s">
        <v>35</v>
      </c>
      <c r="H2082" t="s">
        <v>35</v>
      </c>
      <c r="J2082" t="s">
        <v>2776</v>
      </c>
      <c r="K2082" t="s">
        <v>1092</v>
      </c>
      <c r="M2082">
        <v>0.4</v>
      </c>
      <c r="N2082">
        <v>20</v>
      </c>
      <c r="O2082" t="s">
        <v>46</v>
      </c>
      <c r="Q2082" t="s">
        <v>1011</v>
      </c>
      <c r="R2082" t="s">
        <v>2394</v>
      </c>
      <c r="S2082" t="s">
        <v>271</v>
      </c>
      <c r="T2082" t="s">
        <v>272</v>
      </c>
    </row>
    <row r="2083" spans="1:20" x14ac:dyDescent="0.25">
      <c r="A2083" t="s">
        <v>44</v>
      </c>
      <c r="B2083" t="s">
        <v>3</v>
      </c>
      <c r="C2083" t="s">
        <v>32</v>
      </c>
      <c r="D2083" t="s">
        <v>227</v>
      </c>
      <c r="E2083" t="s">
        <v>270</v>
      </c>
      <c r="F2083" t="s">
        <v>35</v>
      </c>
      <c r="G2083" t="s">
        <v>35</v>
      </c>
      <c r="H2083" t="s">
        <v>35</v>
      </c>
      <c r="J2083" t="s">
        <v>2776</v>
      </c>
      <c r="K2083" t="s">
        <v>1092</v>
      </c>
      <c r="M2083">
        <v>1</v>
      </c>
      <c r="N2083">
        <v>55</v>
      </c>
      <c r="O2083" t="s">
        <v>52</v>
      </c>
      <c r="Q2083" t="s">
        <v>90</v>
      </c>
      <c r="R2083" t="s">
        <v>2394</v>
      </c>
      <c r="S2083" t="s">
        <v>271</v>
      </c>
      <c r="T2083" t="s">
        <v>272</v>
      </c>
    </row>
    <row r="2084" spans="1:20" x14ac:dyDescent="0.25">
      <c r="A2084" t="s">
        <v>44</v>
      </c>
      <c r="B2084" t="s">
        <v>3</v>
      </c>
      <c r="C2084" t="s">
        <v>32</v>
      </c>
      <c r="D2084" t="s">
        <v>227</v>
      </c>
      <c r="E2084" t="s">
        <v>2652</v>
      </c>
      <c r="F2084" t="s">
        <v>35</v>
      </c>
      <c r="G2084" t="s">
        <v>35</v>
      </c>
      <c r="H2084" t="s">
        <v>35</v>
      </c>
      <c r="J2084" t="s">
        <v>2670</v>
      </c>
      <c r="K2084" t="s">
        <v>1092</v>
      </c>
      <c r="M2084">
        <v>0.75</v>
      </c>
      <c r="N2084">
        <v>33</v>
      </c>
      <c r="O2084" t="s">
        <v>52</v>
      </c>
      <c r="Q2084" t="s">
        <v>130</v>
      </c>
      <c r="R2084" t="s">
        <v>2394</v>
      </c>
      <c r="S2084" t="s">
        <v>271</v>
      </c>
      <c r="T2084" t="s">
        <v>272</v>
      </c>
    </row>
    <row r="2085" spans="1:20" x14ac:dyDescent="0.25">
      <c r="A2085" t="s">
        <v>44</v>
      </c>
      <c r="B2085" t="s">
        <v>3</v>
      </c>
      <c r="C2085" t="s">
        <v>32</v>
      </c>
      <c r="D2085" t="s">
        <v>227</v>
      </c>
      <c r="E2085" t="s">
        <v>2652</v>
      </c>
      <c r="F2085" t="s">
        <v>35</v>
      </c>
      <c r="G2085" t="s">
        <v>35</v>
      </c>
      <c r="H2085" t="s">
        <v>35</v>
      </c>
      <c r="J2085" t="s">
        <v>2665</v>
      </c>
      <c r="K2085" t="s">
        <v>1092</v>
      </c>
      <c r="M2085">
        <v>0.25</v>
      </c>
      <c r="N2085">
        <v>33</v>
      </c>
      <c r="O2085" t="s">
        <v>52</v>
      </c>
      <c r="Q2085" t="s">
        <v>130</v>
      </c>
      <c r="R2085" t="s">
        <v>2394</v>
      </c>
      <c r="S2085" t="s">
        <v>271</v>
      </c>
      <c r="T2085" t="s">
        <v>272</v>
      </c>
    </row>
    <row r="2086" spans="1:20" x14ac:dyDescent="0.25">
      <c r="A2086" t="s">
        <v>59</v>
      </c>
      <c r="B2086" t="s">
        <v>60</v>
      </c>
      <c r="C2086" t="s">
        <v>32</v>
      </c>
      <c r="D2086" t="s">
        <v>227</v>
      </c>
      <c r="E2086" t="s">
        <v>2567</v>
      </c>
      <c r="F2086" t="s">
        <v>35</v>
      </c>
      <c r="G2086" t="s">
        <v>35</v>
      </c>
      <c r="H2086" t="s">
        <v>35</v>
      </c>
      <c r="J2086" t="s">
        <v>2571</v>
      </c>
      <c r="K2086" t="s">
        <v>1092</v>
      </c>
      <c r="M2086">
        <v>3.5</v>
      </c>
      <c r="N2086">
        <v>492</v>
      </c>
      <c r="O2086" t="s">
        <v>294</v>
      </c>
      <c r="Q2086" t="s">
        <v>1503</v>
      </c>
      <c r="R2086" t="s">
        <v>2394</v>
      </c>
      <c r="S2086" t="s">
        <v>271</v>
      </c>
      <c r="T2086" t="s">
        <v>272</v>
      </c>
    </row>
    <row r="2087" spans="1:20" x14ac:dyDescent="0.25">
      <c r="A2087" t="s">
        <v>59</v>
      </c>
      <c r="B2087" t="s">
        <v>60</v>
      </c>
      <c r="C2087" t="s">
        <v>32</v>
      </c>
      <c r="D2087" t="s">
        <v>227</v>
      </c>
      <c r="F2087" t="s">
        <v>35</v>
      </c>
      <c r="G2087" t="s">
        <v>35</v>
      </c>
      <c r="H2087" t="s">
        <v>35</v>
      </c>
      <c r="J2087" t="s">
        <v>3058</v>
      </c>
      <c r="K2087" t="s">
        <v>1092</v>
      </c>
      <c r="M2087">
        <v>0.17499999999999999</v>
      </c>
      <c r="N2087">
        <v>1580</v>
      </c>
      <c r="O2087" t="s">
        <v>575</v>
      </c>
      <c r="Q2087" t="s">
        <v>3059</v>
      </c>
      <c r="R2087" t="s">
        <v>2394</v>
      </c>
      <c r="S2087" t="s">
        <v>271</v>
      </c>
      <c r="T2087" t="s">
        <v>272</v>
      </c>
    </row>
    <row r="2088" spans="1:20" x14ac:dyDescent="0.25">
      <c r="A2088" t="s">
        <v>59</v>
      </c>
      <c r="B2088" t="s">
        <v>31</v>
      </c>
      <c r="C2088" t="s">
        <v>32</v>
      </c>
      <c r="D2088" t="s">
        <v>227</v>
      </c>
      <c r="E2088" t="s">
        <v>2385</v>
      </c>
      <c r="F2088" t="s">
        <v>35</v>
      </c>
      <c r="G2088" t="s">
        <v>35</v>
      </c>
      <c r="H2088" t="s">
        <v>35</v>
      </c>
      <c r="J2088" t="s">
        <v>2396</v>
      </c>
      <c r="K2088" t="s">
        <v>1092</v>
      </c>
      <c r="M2088">
        <v>0.27</v>
      </c>
      <c r="N2088">
        <v>885</v>
      </c>
      <c r="O2088" t="s">
        <v>575</v>
      </c>
      <c r="Q2088" t="s">
        <v>2397</v>
      </c>
      <c r="R2088" t="s">
        <v>2394</v>
      </c>
      <c r="S2088" t="s">
        <v>271</v>
      </c>
      <c r="T2088" t="s">
        <v>272</v>
      </c>
    </row>
    <row r="2089" spans="1:20" x14ac:dyDescent="0.25">
      <c r="A2089" t="s">
        <v>44</v>
      </c>
      <c r="B2089" t="s">
        <v>3</v>
      </c>
      <c r="C2089" t="s">
        <v>32</v>
      </c>
      <c r="D2089" t="s">
        <v>227</v>
      </c>
      <c r="E2089" t="s">
        <v>270</v>
      </c>
      <c r="F2089" t="s">
        <v>35</v>
      </c>
      <c r="G2089" t="s">
        <v>35</v>
      </c>
      <c r="H2089" t="s">
        <v>35</v>
      </c>
      <c r="J2089" t="s">
        <v>2768</v>
      </c>
      <c r="K2089" t="s">
        <v>1092</v>
      </c>
      <c r="M2089">
        <v>0.2</v>
      </c>
      <c r="N2089">
        <v>55</v>
      </c>
      <c r="O2089" t="s">
        <v>52</v>
      </c>
      <c r="Q2089" t="s">
        <v>90</v>
      </c>
      <c r="R2089" t="s">
        <v>2394</v>
      </c>
      <c r="S2089" t="s">
        <v>271</v>
      </c>
      <c r="T2089" t="s">
        <v>272</v>
      </c>
    </row>
    <row r="2090" spans="1:20" x14ac:dyDescent="0.25">
      <c r="A2090" t="s">
        <v>44</v>
      </c>
      <c r="B2090" t="s">
        <v>3</v>
      </c>
      <c r="C2090" t="s">
        <v>32</v>
      </c>
      <c r="D2090" t="s">
        <v>227</v>
      </c>
      <c r="E2090" t="s">
        <v>270</v>
      </c>
      <c r="F2090" t="s">
        <v>35</v>
      </c>
      <c r="G2090" t="s">
        <v>35</v>
      </c>
      <c r="H2090" t="s">
        <v>35</v>
      </c>
      <c r="J2090" t="s">
        <v>2768</v>
      </c>
      <c r="K2090" t="s">
        <v>1092</v>
      </c>
      <c r="M2090">
        <v>0.1</v>
      </c>
      <c r="N2090">
        <v>40</v>
      </c>
      <c r="O2090" t="s">
        <v>52</v>
      </c>
      <c r="Q2090" t="s">
        <v>132</v>
      </c>
      <c r="R2090" t="s">
        <v>2394</v>
      </c>
      <c r="S2090" t="s">
        <v>271</v>
      </c>
      <c r="T2090" t="s">
        <v>272</v>
      </c>
    </row>
    <row r="2091" spans="1:20" x14ac:dyDescent="0.25">
      <c r="A2091" t="s">
        <v>30</v>
      </c>
      <c r="B2091" t="s">
        <v>31</v>
      </c>
      <c r="C2091" t="s">
        <v>32</v>
      </c>
      <c r="D2091" t="s">
        <v>227</v>
      </c>
      <c r="E2091" t="s">
        <v>2385</v>
      </c>
      <c r="F2091" t="s">
        <v>35</v>
      </c>
      <c r="G2091" t="s">
        <v>35</v>
      </c>
      <c r="H2091" t="s">
        <v>35</v>
      </c>
      <c r="J2091" t="s">
        <v>2399</v>
      </c>
      <c r="K2091" t="s">
        <v>1092</v>
      </c>
      <c r="M2091">
        <v>0.71</v>
      </c>
      <c r="N2091">
        <v>525</v>
      </c>
      <c r="O2091" t="s">
        <v>294</v>
      </c>
      <c r="Q2091" t="s">
        <v>2400</v>
      </c>
      <c r="R2091" t="s">
        <v>2394</v>
      </c>
      <c r="S2091" t="s">
        <v>271</v>
      </c>
      <c r="T2091" t="s">
        <v>272</v>
      </c>
    </row>
    <row r="2092" spans="1:20" x14ac:dyDescent="0.25">
      <c r="A2092" t="s">
        <v>59</v>
      </c>
      <c r="B2092" t="s">
        <v>60</v>
      </c>
      <c r="C2092" t="s">
        <v>32</v>
      </c>
      <c r="D2092" t="s">
        <v>227</v>
      </c>
      <c r="E2092" t="s">
        <v>2385</v>
      </c>
      <c r="F2092" t="s">
        <v>35</v>
      </c>
      <c r="G2092" t="s">
        <v>35</v>
      </c>
      <c r="H2092" t="s">
        <v>35</v>
      </c>
      <c r="J2092" t="s">
        <v>2399</v>
      </c>
      <c r="K2092" t="s">
        <v>1092</v>
      </c>
      <c r="M2092">
        <v>0.25</v>
      </c>
      <c r="N2092">
        <v>450</v>
      </c>
      <c r="O2092" t="s">
        <v>294</v>
      </c>
      <c r="Q2092" t="s">
        <v>2104</v>
      </c>
      <c r="R2092" t="s">
        <v>2394</v>
      </c>
      <c r="S2092" t="s">
        <v>271</v>
      </c>
      <c r="T2092" t="s">
        <v>272</v>
      </c>
    </row>
    <row r="2093" spans="1:20" x14ac:dyDescent="0.25">
      <c r="A2093" t="s">
        <v>44</v>
      </c>
      <c r="B2093" t="s">
        <v>51</v>
      </c>
      <c r="C2093" t="s">
        <v>32</v>
      </c>
      <c r="D2093" t="s">
        <v>227</v>
      </c>
      <c r="E2093" t="s">
        <v>2385</v>
      </c>
      <c r="F2093" t="s">
        <v>35</v>
      </c>
      <c r="G2093" t="s">
        <v>35</v>
      </c>
      <c r="H2093" t="s">
        <v>35</v>
      </c>
      <c r="J2093" t="s">
        <v>2439</v>
      </c>
      <c r="K2093" t="s">
        <v>1092</v>
      </c>
      <c r="M2093">
        <v>0.25</v>
      </c>
      <c r="N2093">
        <v>7</v>
      </c>
      <c r="O2093" t="s">
        <v>46</v>
      </c>
      <c r="Q2093" t="s">
        <v>2440</v>
      </c>
      <c r="R2093" t="s">
        <v>2394</v>
      </c>
      <c r="S2093" t="s">
        <v>271</v>
      </c>
      <c r="T2093" t="s">
        <v>272</v>
      </c>
    </row>
    <row r="2094" spans="1:20" x14ac:dyDescent="0.25">
      <c r="A2094" t="s">
        <v>59</v>
      </c>
      <c r="B2094" t="s">
        <v>60</v>
      </c>
      <c r="C2094" t="s">
        <v>32</v>
      </c>
      <c r="D2094" t="s">
        <v>227</v>
      </c>
      <c r="F2094" t="s">
        <v>35</v>
      </c>
      <c r="G2094" t="s">
        <v>35</v>
      </c>
      <c r="H2094" t="s">
        <v>35</v>
      </c>
      <c r="J2094" t="s">
        <v>2970</v>
      </c>
      <c r="K2094" t="s">
        <v>1092</v>
      </c>
      <c r="M2094">
        <v>0.2</v>
      </c>
      <c r="N2094">
        <v>2028</v>
      </c>
      <c r="O2094" t="s">
        <v>575</v>
      </c>
      <c r="Q2094" t="s">
        <v>2673</v>
      </c>
      <c r="R2094" t="s">
        <v>2394</v>
      </c>
      <c r="S2094" t="s">
        <v>271</v>
      </c>
      <c r="T2094" t="s">
        <v>272</v>
      </c>
    </row>
    <row r="2095" spans="1:20" x14ac:dyDescent="0.25">
      <c r="A2095" t="s">
        <v>59</v>
      </c>
      <c r="B2095" t="s">
        <v>60</v>
      </c>
      <c r="C2095" t="s">
        <v>32</v>
      </c>
      <c r="D2095" t="s">
        <v>227</v>
      </c>
      <c r="E2095" t="s">
        <v>2385</v>
      </c>
      <c r="F2095" t="s">
        <v>35</v>
      </c>
      <c r="G2095" t="s">
        <v>35</v>
      </c>
      <c r="H2095" t="s">
        <v>35</v>
      </c>
      <c r="J2095" t="s">
        <v>2421</v>
      </c>
      <c r="K2095" t="s">
        <v>1092</v>
      </c>
      <c r="M2095">
        <v>0.25</v>
      </c>
      <c r="N2095">
        <v>606</v>
      </c>
      <c r="O2095" t="s">
        <v>575</v>
      </c>
      <c r="Q2095" t="s">
        <v>2422</v>
      </c>
      <c r="R2095" t="s">
        <v>2394</v>
      </c>
      <c r="S2095" t="s">
        <v>271</v>
      </c>
      <c r="T2095" t="s">
        <v>272</v>
      </c>
    </row>
    <row r="2096" spans="1:20" x14ac:dyDescent="0.25">
      <c r="A2096" t="s">
        <v>59</v>
      </c>
      <c r="B2096" t="s">
        <v>60</v>
      </c>
      <c r="C2096" t="s">
        <v>32</v>
      </c>
      <c r="D2096" t="s">
        <v>227</v>
      </c>
      <c r="E2096" t="s">
        <v>2385</v>
      </c>
      <c r="F2096" t="s">
        <v>35</v>
      </c>
      <c r="G2096" t="s">
        <v>35</v>
      </c>
      <c r="H2096" t="s">
        <v>35</v>
      </c>
      <c r="J2096" t="s">
        <v>2421</v>
      </c>
      <c r="K2096" t="s">
        <v>1092</v>
      </c>
      <c r="M2096">
        <v>0.05</v>
      </c>
      <c r="N2096">
        <v>621</v>
      </c>
      <c r="O2096" t="s">
        <v>575</v>
      </c>
      <c r="Q2096" t="s">
        <v>2423</v>
      </c>
      <c r="R2096" t="s">
        <v>2394</v>
      </c>
      <c r="S2096" t="s">
        <v>271</v>
      </c>
      <c r="T2096" t="s">
        <v>272</v>
      </c>
    </row>
    <row r="2097" spans="1:20" x14ac:dyDescent="0.25">
      <c r="A2097" t="s">
        <v>59</v>
      </c>
      <c r="B2097" t="s">
        <v>60</v>
      </c>
      <c r="C2097" t="s">
        <v>32</v>
      </c>
      <c r="D2097" t="s">
        <v>227</v>
      </c>
      <c r="E2097" t="s">
        <v>251</v>
      </c>
      <c r="F2097" t="s">
        <v>35</v>
      </c>
      <c r="G2097" t="s">
        <v>35</v>
      </c>
      <c r="H2097" t="s">
        <v>35</v>
      </c>
      <c r="J2097" t="s">
        <v>2744</v>
      </c>
      <c r="K2097" t="s">
        <v>1092</v>
      </c>
      <c r="M2097">
        <v>0.5</v>
      </c>
      <c r="N2097">
        <v>690</v>
      </c>
      <c r="O2097" t="s">
        <v>575</v>
      </c>
      <c r="Q2097" t="s">
        <v>1855</v>
      </c>
      <c r="R2097" t="s">
        <v>2394</v>
      </c>
      <c r="S2097" t="s">
        <v>271</v>
      </c>
      <c r="T2097" t="s">
        <v>272</v>
      </c>
    </row>
    <row r="2098" spans="1:20" x14ac:dyDescent="0.25">
      <c r="A2098" t="s">
        <v>44</v>
      </c>
      <c r="B2098" t="s">
        <v>3</v>
      </c>
      <c r="C2098" t="s">
        <v>32</v>
      </c>
      <c r="D2098" t="s">
        <v>227</v>
      </c>
      <c r="F2098" t="s">
        <v>35</v>
      </c>
      <c r="G2098" t="s">
        <v>35</v>
      </c>
      <c r="H2098" t="s">
        <v>35</v>
      </c>
      <c r="J2098" t="s">
        <v>3109</v>
      </c>
      <c r="K2098" t="s">
        <v>1092</v>
      </c>
      <c r="M2098">
        <v>0.15</v>
      </c>
      <c r="N2098">
        <v>51</v>
      </c>
      <c r="O2098" t="s">
        <v>52</v>
      </c>
      <c r="Q2098" t="s">
        <v>58</v>
      </c>
      <c r="R2098" t="s">
        <v>2394</v>
      </c>
      <c r="S2098" t="s">
        <v>271</v>
      </c>
      <c r="T2098" t="s">
        <v>272</v>
      </c>
    </row>
    <row r="2099" spans="1:20" x14ac:dyDescent="0.25">
      <c r="A2099" t="s">
        <v>44</v>
      </c>
      <c r="B2099" t="s">
        <v>3</v>
      </c>
      <c r="C2099" t="s">
        <v>32</v>
      </c>
      <c r="D2099" t="s">
        <v>227</v>
      </c>
      <c r="F2099" t="s">
        <v>35</v>
      </c>
      <c r="G2099" t="s">
        <v>35</v>
      </c>
      <c r="H2099" t="s">
        <v>35</v>
      </c>
      <c r="J2099" t="s">
        <v>3109</v>
      </c>
      <c r="K2099" t="s">
        <v>1092</v>
      </c>
      <c r="M2099">
        <v>0.1</v>
      </c>
      <c r="N2099">
        <v>37</v>
      </c>
      <c r="O2099" t="s">
        <v>52</v>
      </c>
      <c r="Q2099" t="s">
        <v>192</v>
      </c>
      <c r="R2099" t="s">
        <v>2394</v>
      </c>
      <c r="S2099" t="s">
        <v>271</v>
      </c>
      <c r="T2099" t="s">
        <v>272</v>
      </c>
    </row>
    <row r="2100" spans="1:20" x14ac:dyDescent="0.25">
      <c r="A2100" t="s">
        <v>59</v>
      </c>
      <c r="B2100" t="s">
        <v>60</v>
      </c>
      <c r="C2100" t="s">
        <v>32</v>
      </c>
      <c r="D2100" t="s">
        <v>227</v>
      </c>
      <c r="E2100" t="s">
        <v>2567</v>
      </c>
      <c r="F2100" t="s">
        <v>35</v>
      </c>
      <c r="G2100" t="s">
        <v>35</v>
      </c>
      <c r="H2100" t="s">
        <v>35</v>
      </c>
      <c r="J2100" t="s">
        <v>2574</v>
      </c>
      <c r="K2100" t="s">
        <v>1092</v>
      </c>
      <c r="M2100">
        <v>0.5</v>
      </c>
      <c r="N2100">
        <v>88</v>
      </c>
      <c r="O2100" t="s">
        <v>61</v>
      </c>
      <c r="Q2100" t="s">
        <v>724</v>
      </c>
      <c r="R2100" t="s">
        <v>2394</v>
      </c>
      <c r="S2100" t="s">
        <v>271</v>
      </c>
      <c r="T2100" t="s">
        <v>272</v>
      </c>
    </row>
    <row r="2101" spans="1:20" x14ac:dyDescent="0.25">
      <c r="A2101" t="s">
        <v>59</v>
      </c>
      <c r="B2101" t="s">
        <v>60</v>
      </c>
      <c r="C2101" t="s">
        <v>32</v>
      </c>
      <c r="D2101" t="s">
        <v>227</v>
      </c>
      <c r="E2101" t="s">
        <v>2567</v>
      </c>
      <c r="F2101" t="s">
        <v>35</v>
      </c>
      <c r="G2101" t="s">
        <v>35</v>
      </c>
      <c r="H2101" t="s">
        <v>35</v>
      </c>
      <c r="J2101" t="s">
        <v>2574</v>
      </c>
      <c r="K2101" t="s">
        <v>1092</v>
      </c>
      <c r="M2101">
        <v>0.5</v>
      </c>
      <c r="N2101">
        <v>69</v>
      </c>
      <c r="O2101" t="s">
        <v>61</v>
      </c>
      <c r="Q2101" t="s">
        <v>234</v>
      </c>
      <c r="R2101" t="s">
        <v>2394</v>
      </c>
      <c r="S2101" t="s">
        <v>271</v>
      </c>
      <c r="T2101" t="s">
        <v>272</v>
      </c>
    </row>
    <row r="2102" spans="1:20" x14ac:dyDescent="0.25">
      <c r="A2102" t="s">
        <v>59</v>
      </c>
      <c r="B2102" t="s">
        <v>60</v>
      </c>
      <c r="C2102" t="s">
        <v>32</v>
      </c>
      <c r="D2102" t="s">
        <v>227</v>
      </c>
      <c r="E2102" t="s">
        <v>2641</v>
      </c>
      <c r="F2102" t="s">
        <v>35</v>
      </c>
      <c r="G2102" t="s">
        <v>35</v>
      </c>
      <c r="H2102" t="s">
        <v>35</v>
      </c>
      <c r="J2102" t="s">
        <v>2642</v>
      </c>
      <c r="K2102" t="s">
        <v>1092</v>
      </c>
      <c r="M2102">
        <v>0.5</v>
      </c>
      <c r="N2102">
        <v>93</v>
      </c>
      <c r="O2102" t="s">
        <v>106</v>
      </c>
      <c r="Q2102" t="s">
        <v>1112</v>
      </c>
      <c r="R2102" t="s">
        <v>2394</v>
      </c>
      <c r="S2102" t="s">
        <v>271</v>
      </c>
      <c r="T2102" t="s">
        <v>272</v>
      </c>
    </row>
    <row r="2103" spans="1:20" x14ac:dyDescent="0.25">
      <c r="A2103" t="s">
        <v>30</v>
      </c>
      <c r="B2103" t="s">
        <v>31</v>
      </c>
      <c r="C2103" t="s">
        <v>32</v>
      </c>
      <c r="D2103" t="s">
        <v>227</v>
      </c>
      <c r="F2103" t="s">
        <v>35</v>
      </c>
      <c r="G2103" t="s">
        <v>35</v>
      </c>
      <c r="H2103" t="s">
        <v>35</v>
      </c>
      <c r="J2103" t="s">
        <v>2948</v>
      </c>
      <c r="K2103" t="s">
        <v>1092</v>
      </c>
      <c r="M2103">
        <v>0.27</v>
      </c>
      <c r="N2103">
        <v>2595</v>
      </c>
      <c r="O2103" t="s">
        <v>575</v>
      </c>
      <c r="Q2103" t="s">
        <v>2949</v>
      </c>
      <c r="R2103" t="s">
        <v>2394</v>
      </c>
      <c r="S2103" t="s">
        <v>271</v>
      </c>
      <c r="T2103" t="s">
        <v>272</v>
      </c>
    </row>
    <row r="2104" spans="1:20" x14ac:dyDescent="0.25">
      <c r="A2104" t="s">
        <v>59</v>
      </c>
      <c r="B2104" t="s">
        <v>60</v>
      </c>
      <c r="C2104" t="s">
        <v>32</v>
      </c>
      <c r="D2104" t="s">
        <v>227</v>
      </c>
      <c r="E2104" t="s">
        <v>2385</v>
      </c>
      <c r="F2104" t="s">
        <v>35</v>
      </c>
      <c r="G2104" t="s">
        <v>35</v>
      </c>
      <c r="H2104" t="s">
        <v>35</v>
      </c>
      <c r="J2104" t="s">
        <v>1130</v>
      </c>
      <c r="K2104" t="s">
        <v>1092</v>
      </c>
      <c r="M2104">
        <v>0.1</v>
      </c>
      <c r="N2104">
        <v>44</v>
      </c>
      <c r="O2104" t="s">
        <v>52</v>
      </c>
      <c r="Q2104" t="s">
        <v>54</v>
      </c>
      <c r="R2104" t="s">
        <v>2394</v>
      </c>
      <c r="S2104" t="s">
        <v>271</v>
      </c>
      <c r="T2104" t="s">
        <v>272</v>
      </c>
    </row>
    <row r="2105" spans="1:20" x14ac:dyDescent="0.25">
      <c r="A2105" t="s">
        <v>44</v>
      </c>
      <c r="B2105" t="s">
        <v>3</v>
      </c>
      <c r="C2105" t="s">
        <v>32</v>
      </c>
      <c r="D2105" t="s">
        <v>227</v>
      </c>
      <c r="E2105" t="s">
        <v>2385</v>
      </c>
      <c r="F2105" t="s">
        <v>35</v>
      </c>
      <c r="G2105" t="s">
        <v>35</v>
      </c>
      <c r="H2105" t="s">
        <v>35</v>
      </c>
      <c r="J2105" t="s">
        <v>2441</v>
      </c>
      <c r="K2105" t="s">
        <v>1092</v>
      </c>
      <c r="M2105">
        <v>2.0499999999999998</v>
      </c>
      <c r="N2105">
        <v>59</v>
      </c>
      <c r="O2105" t="s">
        <v>52</v>
      </c>
      <c r="Q2105" t="s">
        <v>203</v>
      </c>
      <c r="R2105" t="s">
        <v>2394</v>
      </c>
      <c r="S2105" t="s">
        <v>271</v>
      </c>
      <c r="T2105" t="s">
        <v>272</v>
      </c>
    </row>
    <row r="2106" spans="1:20" x14ac:dyDescent="0.25">
      <c r="A2106" t="s">
        <v>59</v>
      </c>
      <c r="B2106" t="s">
        <v>60</v>
      </c>
      <c r="C2106" t="s">
        <v>32</v>
      </c>
      <c r="D2106" t="s">
        <v>227</v>
      </c>
      <c r="E2106" t="s">
        <v>270</v>
      </c>
      <c r="F2106" t="s">
        <v>35</v>
      </c>
      <c r="G2106" t="s">
        <v>35</v>
      </c>
      <c r="H2106" t="s">
        <v>35</v>
      </c>
      <c r="J2106" t="s">
        <v>2784</v>
      </c>
      <c r="K2106" t="s">
        <v>1092</v>
      </c>
      <c r="M2106">
        <v>0.5</v>
      </c>
      <c r="N2106">
        <v>10</v>
      </c>
      <c r="O2106" t="s">
        <v>46</v>
      </c>
      <c r="Q2106" t="s">
        <v>1302</v>
      </c>
      <c r="R2106" t="s">
        <v>2394</v>
      </c>
      <c r="S2106" t="s">
        <v>271</v>
      </c>
      <c r="T2106" t="s">
        <v>272</v>
      </c>
    </row>
    <row r="2107" spans="1:20" x14ac:dyDescent="0.25">
      <c r="A2107" t="s">
        <v>59</v>
      </c>
      <c r="B2107" t="s">
        <v>60</v>
      </c>
      <c r="C2107" t="s">
        <v>32</v>
      </c>
      <c r="D2107" t="s">
        <v>227</v>
      </c>
      <c r="E2107" t="s">
        <v>2385</v>
      </c>
      <c r="F2107" t="s">
        <v>35</v>
      </c>
      <c r="G2107" t="s">
        <v>35</v>
      </c>
      <c r="H2107" t="s">
        <v>35</v>
      </c>
      <c r="J2107" t="s">
        <v>2402</v>
      </c>
      <c r="K2107" t="s">
        <v>1092</v>
      </c>
      <c r="M2107">
        <v>0.5</v>
      </c>
      <c r="N2107">
        <v>1774</v>
      </c>
      <c r="O2107" t="s">
        <v>575</v>
      </c>
      <c r="Q2107" t="s">
        <v>2404</v>
      </c>
      <c r="R2107" t="s">
        <v>2394</v>
      </c>
      <c r="S2107" t="s">
        <v>271</v>
      </c>
      <c r="T2107" t="s">
        <v>272</v>
      </c>
    </row>
    <row r="2108" spans="1:20" x14ac:dyDescent="0.25">
      <c r="A2108" t="s">
        <v>59</v>
      </c>
      <c r="B2108" t="s">
        <v>60</v>
      </c>
      <c r="C2108" t="s">
        <v>32</v>
      </c>
      <c r="D2108" t="s">
        <v>227</v>
      </c>
      <c r="E2108" t="s">
        <v>2652</v>
      </c>
      <c r="F2108" t="s">
        <v>35</v>
      </c>
      <c r="G2108" t="s">
        <v>35</v>
      </c>
      <c r="H2108" t="s">
        <v>35</v>
      </c>
      <c r="J2108" t="s">
        <v>2661</v>
      </c>
      <c r="K2108" t="s">
        <v>1092</v>
      </c>
      <c r="M2108">
        <v>0.7</v>
      </c>
      <c r="N2108">
        <v>195</v>
      </c>
      <c r="O2108" t="s">
        <v>5</v>
      </c>
      <c r="Q2108" t="s">
        <v>1299</v>
      </c>
      <c r="R2108" t="s">
        <v>2394</v>
      </c>
      <c r="S2108" t="s">
        <v>271</v>
      </c>
      <c r="T2108" t="s">
        <v>272</v>
      </c>
    </row>
    <row r="2109" spans="1:20" x14ac:dyDescent="0.25">
      <c r="A2109" t="s">
        <v>59</v>
      </c>
      <c r="B2109" t="s">
        <v>60</v>
      </c>
      <c r="C2109" t="s">
        <v>32</v>
      </c>
      <c r="D2109" t="s">
        <v>227</v>
      </c>
      <c r="E2109" t="s">
        <v>2731</v>
      </c>
      <c r="F2109" t="s">
        <v>35</v>
      </c>
      <c r="G2109" t="s">
        <v>35</v>
      </c>
      <c r="H2109" t="s">
        <v>35</v>
      </c>
      <c r="J2109" t="s">
        <v>2733</v>
      </c>
      <c r="K2109" t="s">
        <v>1092</v>
      </c>
      <c r="M2109">
        <v>0.75</v>
      </c>
      <c r="N2109">
        <v>1120</v>
      </c>
      <c r="O2109" t="s">
        <v>575</v>
      </c>
      <c r="Q2109" t="s">
        <v>2734</v>
      </c>
      <c r="R2109" t="s">
        <v>2394</v>
      </c>
      <c r="S2109" t="s">
        <v>271</v>
      </c>
      <c r="T2109" t="s">
        <v>272</v>
      </c>
    </row>
    <row r="2110" spans="1:20" x14ac:dyDescent="0.25">
      <c r="A2110" t="s">
        <v>44</v>
      </c>
      <c r="B2110" t="s">
        <v>3</v>
      </c>
      <c r="C2110" t="s">
        <v>32</v>
      </c>
      <c r="D2110" t="s">
        <v>227</v>
      </c>
      <c r="E2110" t="s">
        <v>2385</v>
      </c>
      <c r="F2110" t="s">
        <v>35</v>
      </c>
      <c r="G2110" t="s">
        <v>35</v>
      </c>
      <c r="H2110" t="s">
        <v>35</v>
      </c>
      <c r="J2110" t="s">
        <v>2393</v>
      </c>
      <c r="K2110" t="s">
        <v>1092</v>
      </c>
      <c r="M2110">
        <v>0.5</v>
      </c>
      <c r="N2110">
        <v>55</v>
      </c>
      <c r="O2110" t="s">
        <v>52</v>
      </c>
      <c r="Q2110" t="s">
        <v>90</v>
      </c>
      <c r="R2110" t="s">
        <v>2394</v>
      </c>
      <c r="S2110" t="s">
        <v>271</v>
      </c>
      <c r="T2110" t="s">
        <v>272</v>
      </c>
    </row>
    <row r="2111" spans="1:20" x14ac:dyDescent="0.25">
      <c r="A2111" t="s">
        <v>44</v>
      </c>
      <c r="B2111" t="s">
        <v>3</v>
      </c>
      <c r="C2111" t="s">
        <v>32</v>
      </c>
      <c r="D2111" t="s">
        <v>227</v>
      </c>
      <c r="E2111" t="s">
        <v>270</v>
      </c>
      <c r="F2111" t="s">
        <v>35</v>
      </c>
      <c r="G2111" t="s">
        <v>35</v>
      </c>
      <c r="H2111" t="s">
        <v>35</v>
      </c>
      <c r="J2111" t="s">
        <v>2761</v>
      </c>
      <c r="K2111" t="s">
        <v>1092</v>
      </c>
      <c r="M2111">
        <v>2.5</v>
      </c>
      <c r="N2111">
        <v>49</v>
      </c>
      <c r="O2111" t="s">
        <v>52</v>
      </c>
      <c r="Q2111" t="s">
        <v>453</v>
      </c>
      <c r="R2111" t="s">
        <v>2394</v>
      </c>
      <c r="S2111" t="s">
        <v>271</v>
      </c>
      <c r="T2111" t="s">
        <v>272</v>
      </c>
    </row>
    <row r="2112" spans="1:20" x14ac:dyDescent="0.25">
      <c r="A2112" t="s">
        <v>44</v>
      </c>
      <c r="B2112" t="s">
        <v>3</v>
      </c>
      <c r="C2112" t="s">
        <v>32</v>
      </c>
      <c r="D2112" t="s">
        <v>227</v>
      </c>
      <c r="E2112" t="s">
        <v>270</v>
      </c>
      <c r="F2112" t="s">
        <v>35</v>
      </c>
      <c r="G2112" t="s">
        <v>35</v>
      </c>
      <c r="H2112" t="s">
        <v>35</v>
      </c>
      <c r="J2112" t="s">
        <v>2761</v>
      </c>
      <c r="K2112" t="s">
        <v>1092</v>
      </c>
      <c r="M2112">
        <v>2</v>
      </c>
      <c r="N2112">
        <v>47</v>
      </c>
      <c r="O2112" t="s">
        <v>52</v>
      </c>
      <c r="Q2112" t="s">
        <v>1207</v>
      </c>
      <c r="R2112" t="s">
        <v>2394</v>
      </c>
      <c r="S2112" t="s">
        <v>271</v>
      </c>
      <c r="T2112" t="s">
        <v>272</v>
      </c>
    </row>
    <row r="2113" spans="1:20" x14ac:dyDescent="0.25">
      <c r="A2113" t="s">
        <v>44</v>
      </c>
      <c r="B2113" t="s">
        <v>3</v>
      </c>
      <c r="C2113" t="s">
        <v>32</v>
      </c>
      <c r="D2113" t="s">
        <v>227</v>
      </c>
      <c r="E2113" t="s">
        <v>2551</v>
      </c>
      <c r="F2113" t="s">
        <v>35</v>
      </c>
      <c r="G2113" t="s">
        <v>35</v>
      </c>
      <c r="H2113" t="s">
        <v>35</v>
      </c>
      <c r="J2113" t="s">
        <v>2552</v>
      </c>
      <c r="K2113" t="s">
        <v>1092</v>
      </c>
      <c r="M2113">
        <v>0.5</v>
      </c>
      <c r="N2113">
        <v>37</v>
      </c>
      <c r="O2113" t="s">
        <v>52</v>
      </c>
      <c r="Q2113" t="s">
        <v>192</v>
      </c>
      <c r="R2113" t="s">
        <v>2394</v>
      </c>
      <c r="S2113" t="s">
        <v>271</v>
      </c>
      <c r="T2113" t="s">
        <v>272</v>
      </c>
    </row>
    <row r="2114" spans="1:20" x14ac:dyDescent="0.25">
      <c r="A2114" t="s">
        <v>44</v>
      </c>
      <c r="B2114" t="s">
        <v>3</v>
      </c>
      <c r="C2114" t="s">
        <v>32</v>
      </c>
      <c r="D2114" t="s">
        <v>227</v>
      </c>
      <c r="E2114" t="s">
        <v>2551</v>
      </c>
      <c r="F2114" t="s">
        <v>35</v>
      </c>
      <c r="G2114" t="s">
        <v>35</v>
      </c>
      <c r="H2114" t="s">
        <v>35</v>
      </c>
      <c r="J2114" t="s">
        <v>2552</v>
      </c>
      <c r="K2114" t="s">
        <v>1092</v>
      </c>
      <c r="M2114">
        <v>0.75</v>
      </c>
      <c r="N2114">
        <v>56</v>
      </c>
      <c r="O2114" t="s">
        <v>52</v>
      </c>
      <c r="Q2114" t="s">
        <v>423</v>
      </c>
      <c r="R2114" t="s">
        <v>2394</v>
      </c>
      <c r="S2114" t="s">
        <v>271</v>
      </c>
      <c r="T2114" t="s">
        <v>272</v>
      </c>
    </row>
    <row r="2115" spans="1:20" x14ac:dyDescent="0.25">
      <c r="A2115" t="s">
        <v>44</v>
      </c>
      <c r="B2115" t="s">
        <v>51</v>
      </c>
      <c r="C2115" t="s">
        <v>32</v>
      </c>
      <c r="D2115" t="s">
        <v>227</v>
      </c>
      <c r="E2115" t="s">
        <v>2551</v>
      </c>
      <c r="F2115" t="s">
        <v>35</v>
      </c>
      <c r="G2115" t="s">
        <v>35</v>
      </c>
      <c r="H2115" t="s">
        <v>35</v>
      </c>
      <c r="J2115" t="s">
        <v>2552</v>
      </c>
      <c r="K2115" t="s">
        <v>1092</v>
      </c>
      <c r="M2115">
        <v>0.25</v>
      </c>
      <c r="N2115">
        <v>37</v>
      </c>
      <c r="O2115" t="s">
        <v>52</v>
      </c>
      <c r="Q2115" t="s">
        <v>192</v>
      </c>
      <c r="R2115" t="s">
        <v>2394</v>
      </c>
      <c r="S2115" t="s">
        <v>271</v>
      </c>
      <c r="T2115" t="s">
        <v>272</v>
      </c>
    </row>
    <row r="2116" spans="1:20" x14ac:dyDescent="0.25">
      <c r="A2116" t="s">
        <v>59</v>
      </c>
      <c r="B2116" t="s">
        <v>60</v>
      </c>
      <c r="C2116" t="s">
        <v>32</v>
      </c>
      <c r="D2116" t="s">
        <v>227</v>
      </c>
      <c r="E2116" t="s">
        <v>2551</v>
      </c>
      <c r="F2116" t="s">
        <v>35</v>
      </c>
      <c r="G2116" t="s">
        <v>35</v>
      </c>
      <c r="H2116" t="s">
        <v>35</v>
      </c>
      <c r="J2116" t="s">
        <v>2552</v>
      </c>
      <c r="K2116" t="s">
        <v>1092</v>
      </c>
      <c r="M2116">
        <v>0.25</v>
      </c>
      <c r="N2116">
        <v>37</v>
      </c>
      <c r="O2116" t="s">
        <v>52</v>
      </c>
      <c r="Q2116" t="s">
        <v>192</v>
      </c>
      <c r="R2116" t="s">
        <v>2394</v>
      </c>
      <c r="S2116" t="s">
        <v>271</v>
      </c>
      <c r="T2116" t="s">
        <v>272</v>
      </c>
    </row>
    <row r="2117" spans="1:20" x14ac:dyDescent="0.25">
      <c r="A2117" t="s">
        <v>59</v>
      </c>
      <c r="B2117" t="s">
        <v>60</v>
      </c>
      <c r="C2117" t="s">
        <v>32</v>
      </c>
      <c r="D2117" t="s">
        <v>227</v>
      </c>
      <c r="E2117" t="s">
        <v>2641</v>
      </c>
      <c r="F2117" t="s">
        <v>35</v>
      </c>
      <c r="G2117" t="s">
        <v>35</v>
      </c>
      <c r="H2117" t="s">
        <v>35</v>
      </c>
      <c r="J2117" t="s">
        <v>2649</v>
      </c>
      <c r="K2117" t="s">
        <v>1092</v>
      </c>
      <c r="M2117">
        <v>0.15</v>
      </c>
      <c r="N2117">
        <v>33</v>
      </c>
      <c r="O2117" t="s">
        <v>52</v>
      </c>
      <c r="Q2117" t="s">
        <v>130</v>
      </c>
      <c r="R2117" t="s">
        <v>2394</v>
      </c>
      <c r="S2117" t="s">
        <v>271</v>
      </c>
      <c r="T2117" t="s">
        <v>272</v>
      </c>
    </row>
    <row r="2118" spans="1:20" x14ac:dyDescent="0.25">
      <c r="A2118" t="s">
        <v>59</v>
      </c>
      <c r="B2118" t="s">
        <v>60</v>
      </c>
      <c r="C2118" t="s">
        <v>32</v>
      </c>
      <c r="D2118" t="s">
        <v>227</v>
      </c>
      <c r="E2118" t="s">
        <v>228</v>
      </c>
      <c r="F2118" t="s">
        <v>35</v>
      </c>
      <c r="G2118" t="s">
        <v>35</v>
      </c>
      <c r="H2118" t="s">
        <v>35</v>
      </c>
      <c r="J2118" t="s">
        <v>2462</v>
      </c>
      <c r="K2118" t="s">
        <v>1092</v>
      </c>
      <c r="M2118">
        <v>1.7999999999999999E-2</v>
      </c>
      <c r="N2118">
        <v>835</v>
      </c>
      <c r="O2118" t="s">
        <v>575</v>
      </c>
      <c r="Q2118" t="s">
        <v>2463</v>
      </c>
      <c r="R2118" t="s">
        <v>2394</v>
      </c>
      <c r="S2118" t="s">
        <v>271</v>
      </c>
      <c r="T2118" t="s">
        <v>272</v>
      </c>
    </row>
    <row r="2119" spans="1:20" x14ac:dyDescent="0.25">
      <c r="A2119" t="s">
        <v>30</v>
      </c>
      <c r="B2119" t="s">
        <v>31</v>
      </c>
      <c r="C2119" t="s">
        <v>32</v>
      </c>
      <c r="D2119" t="s">
        <v>227</v>
      </c>
      <c r="E2119" t="s">
        <v>228</v>
      </c>
      <c r="F2119" t="s">
        <v>35</v>
      </c>
      <c r="G2119" t="s">
        <v>35</v>
      </c>
      <c r="H2119" t="s">
        <v>35</v>
      </c>
      <c r="J2119" t="s">
        <v>2462</v>
      </c>
      <c r="K2119" t="s">
        <v>1092</v>
      </c>
      <c r="M2119">
        <v>0.18</v>
      </c>
      <c r="N2119">
        <v>880</v>
      </c>
      <c r="O2119" t="s">
        <v>575</v>
      </c>
      <c r="Q2119" t="s">
        <v>576</v>
      </c>
      <c r="R2119" t="s">
        <v>2394</v>
      </c>
      <c r="S2119" t="s">
        <v>271</v>
      </c>
      <c r="T2119" t="s">
        <v>272</v>
      </c>
    </row>
    <row r="2120" spans="1:20" x14ac:dyDescent="0.25">
      <c r="A2120" t="s">
        <v>59</v>
      </c>
      <c r="B2120" t="s">
        <v>31</v>
      </c>
      <c r="C2120" t="s">
        <v>32</v>
      </c>
      <c r="D2120" t="s">
        <v>227</v>
      </c>
      <c r="E2120" t="s">
        <v>228</v>
      </c>
      <c r="F2120" t="s">
        <v>35</v>
      </c>
      <c r="G2120" t="s">
        <v>35</v>
      </c>
      <c r="H2120" t="s">
        <v>35</v>
      </c>
      <c r="J2120" t="s">
        <v>2462</v>
      </c>
      <c r="K2120" t="s">
        <v>1092</v>
      </c>
      <c r="M2120">
        <v>0.9</v>
      </c>
      <c r="N2120">
        <v>835</v>
      </c>
      <c r="O2120" t="s">
        <v>575</v>
      </c>
      <c r="Q2120" t="s">
        <v>2463</v>
      </c>
      <c r="R2120" t="s">
        <v>2394</v>
      </c>
      <c r="S2120" t="s">
        <v>271</v>
      </c>
      <c r="T2120" t="s">
        <v>272</v>
      </c>
    </row>
    <row r="2121" spans="1:20" x14ac:dyDescent="0.25">
      <c r="A2121" t="s">
        <v>59</v>
      </c>
      <c r="B2121" t="s">
        <v>60</v>
      </c>
      <c r="C2121" t="s">
        <v>32</v>
      </c>
      <c r="D2121" t="s">
        <v>227</v>
      </c>
      <c r="E2121" t="s">
        <v>270</v>
      </c>
      <c r="F2121" t="s">
        <v>35</v>
      </c>
      <c r="G2121" t="s">
        <v>35</v>
      </c>
      <c r="H2121" t="s">
        <v>35</v>
      </c>
      <c r="J2121" t="s">
        <v>2783</v>
      </c>
      <c r="K2121" t="s">
        <v>1092</v>
      </c>
      <c r="M2121">
        <v>1.2</v>
      </c>
      <c r="N2121">
        <v>77</v>
      </c>
      <c r="O2121" t="s">
        <v>61</v>
      </c>
      <c r="Q2121" t="s">
        <v>778</v>
      </c>
      <c r="R2121" t="s">
        <v>2394</v>
      </c>
      <c r="S2121" t="s">
        <v>271</v>
      </c>
      <c r="T2121" t="s">
        <v>272</v>
      </c>
    </row>
    <row r="2122" spans="1:20" x14ac:dyDescent="0.25">
      <c r="A2122" t="s">
        <v>59</v>
      </c>
      <c r="B2122" t="s">
        <v>31</v>
      </c>
      <c r="C2122" t="s">
        <v>32</v>
      </c>
      <c r="D2122" t="s">
        <v>227</v>
      </c>
      <c r="F2122" t="s">
        <v>35</v>
      </c>
      <c r="G2122" t="s">
        <v>35</v>
      </c>
      <c r="H2122" t="s">
        <v>35</v>
      </c>
      <c r="J2122" t="s">
        <v>3091</v>
      </c>
      <c r="K2122" t="s">
        <v>1092</v>
      </c>
      <c r="M2122">
        <v>0.18</v>
      </c>
      <c r="N2122">
        <v>2082</v>
      </c>
      <c r="O2122" t="s">
        <v>575</v>
      </c>
      <c r="Q2122" t="s">
        <v>2945</v>
      </c>
      <c r="R2122" t="s">
        <v>2394</v>
      </c>
      <c r="S2122" t="s">
        <v>271</v>
      </c>
      <c r="T2122" t="s">
        <v>272</v>
      </c>
    </row>
    <row r="2123" spans="1:20" x14ac:dyDescent="0.25">
      <c r="A2123" t="s">
        <v>30</v>
      </c>
      <c r="B2123" t="s">
        <v>31</v>
      </c>
      <c r="C2123" t="s">
        <v>32</v>
      </c>
      <c r="D2123" t="s">
        <v>227</v>
      </c>
      <c r="F2123" t="s">
        <v>35</v>
      </c>
      <c r="G2123" t="s">
        <v>35</v>
      </c>
      <c r="H2123" t="s">
        <v>35</v>
      </c>
      <c r="J2123" t="s">
        <v>3091</v>
      </c>
      <c r="K2123" t="s">
        <v>1092</v>
      </c>
      <c r="M2123">
        <v>0.495</v>
      </c>
      <c r="N2123">
        <v>2082</v>
      </c>
      <c r="O2123" t="s">
        <v>575</v>
      </c>
      <c r="Q2123" t="s">
        <v>2945</v>
      </c>
      <c r="R2123" t="s">
        <v>2394</v>
      </c>
      <c r="S2123" t="s">
        <v>271</v>
      </c>
      <c r="T2123" t="s">
        <v>272</v>
      </c>
    </row>
    <row r="2124" spans="1:20" x14ac:dyDescent="0.25">
      <c r="A2124" t="s">
        <v>59</v>
      </c>
      <c r="B2124" t="s">
        <v>31</v>
      </c>
      <c r="C2124" t="s">
        <v>32</v>
      </c>
      <c r="D2124" t="s">
        <v>227</v>
      </c>
      <c r="F2124" t="s">
        <v>35</v>
      </c>
      <c r="G2124" t="s">
        <v>35</v>
      </c>
      <c r="H2124" t="s">
        <v>35</v>
      </c>
      <c r="J2124" t="s">
        <v>3091</v>
      </c>
      <c r="K2124" t="s">
        <v>1092</v>
      </c>
      <c r="M2124">
        <v>0.45</v>
      </c>
      <c r="N2124">
        <v>2334</v>
      </c>
      <c r="O2124" t="s">
        <v>575</v>
      </c>
      <c r="Q2124" t="s">
        <v>3092</v>
      </c>
      <c r="R2124" t="s">
        <v>2394</v>
      </c>
      <c r="S2124" t="s">
        <v>271</v>
      </c>
      <c r="T2124" t="s">
        <v>272</v>
      </c>
    </row>
    <row r="2125" spans="1:20" x14ac:dyDescent="0.25">
      <c r="A2125" t="s">
        <v>59</v>
      </c>
      <c r="B2125" t="s">
        <v>31</v>
      </c>
      <c r="C2125" t="s">
        <v>32</v>
      </c>
      <c r="D2125" t="s">
        <v>227</v>
      </c>
      <c r="F2125" t="s">
        <v>35</v>
      </c>
      <c r="G2125" t="s">
        <v>35</v>
      </c>
      <c r="H2125" t="s">
        <v>35</v>
      </c>
      <c r="J2125" t="s">
        <v>3091</v>
      </c>
      <c r="K2125" t="s">
        <v>1092</v>
      </c>
      <c r="M2125">
        <v>0.9</v>
      </c>
      <c r="N2125">
        <v>2290</v>
      </c>
      <c r="O2125" t="s">
        <v>575</v>
      </c>
      <c r="Q2125" t="s">
        <v>3093</v>
      </c>
      <c r="R2125" t="s">
        <v>2394</v>
      </c>
      <c r="S2125" t="s">
        <v>271</v>
      </c>
      <c r="T2125" t="s">
        <v>272</v>
      </c>
    </row>
    <row r="2126" spans="1:20" x14ac:dyDescent="0.25">
      <c r="A2126" t="s">
        <v>30</v>
      </c>
      <c r="B2126" t="s">
        <v>31</v>
      </c>
      <c r="C2126" t="s">
        <v>32</v>
      </c>
      <c r="D2126" t="s">
        <v>227</v>
      </c>
      <c r="F2126" t="s">
        <v>35</v>
      </c>
      <c r="G2126" t="s">
        <v>35</v>
      </c>
      <c r="H2126" t="s">
        <v>35</v>
      </c>
      <c r="J2126" t="s">
        <v>3091</v>
      </c>
      <c r="K2126" t="s">
        <v>1092</v>
      </c>
      <c r="M2126">
        <v>0.67500000000000004</v>
      </c>
      <c r="N2126">
        <v>2270</v>
      </c>
      <c r="O2126" t="s">
        <v>575</v>
      </c>
      <c r="Q2126" t="s">
        <v>2320</v>
      </c>
      <c r="R2126" t="s">
        <v>2394</v>
      </c>
      <c r="S2126" t="s">
        <v>271</v>
      </c>
      <c r="T2126" t="s">
        <v>272</v>
      </c>
    </row>
    <row r="2127" spans="1:20" x14ac:dyDescent="0.25">
      <c r="A2127" t="s">
        <v>59</v>
      </c>
      <c r="B2127" t="s">
        <v>31</v>
      </c>
      <c r="C2127" t="s">
        <v>32</v>
      </c>
      <c r="D2127" t="s">
        <v>227</v>
      </c>
      <c r="F2127" t="s">
        <v>35</v>
      </c>
      <c r="G2127" t="s">
        <v>35</v>
      </c>
      <c r="H2127" t="s">
        <v>35</v>
      </c>
      <c r="J2127" t="s">
        <v>3091</v>
      </c>
      <c r="K2127" t="s">
        <v>1092</v>
      </c>
      <c r="M2127">
        <v>0.45</v>
      </c>
      <c r="N2127">
        <v>1941</v>
      </c>
      <c r="O2127" t="s">
        <v>575</v>
      </c>
      <c r="Q2127" t="s">
        <v>2105</v>
      </c>
      <c r="R2127" t="s">
        <v>2394</v>
      </c>
      <c r="S2127" t="s">
        <v>271</v>
      </c>
      <c r="T2127" t="s">
        <v>272</v>
      </c>
    </row>
    <row r="2128" spans="1:20" x14ac:dyDescent="0.25">
      <c r="A2128" t="s">
        <v>30</v>
      </c>
      <c r="B2128" t="s">
        <v>31</v>
      </c>
      <c r="C2128" t="s">
        <v>32</v>
      </c>
      <c r="D2128" t="s">
        <v>227</v>
      </c>
      <c r="E2128" t="s">
        <v>251</v>
      </c>
      <c r="F2128" t="s">
        <v>35</v>
      </c>
      <c r="G2128" t="s">
        <v>35</v>
      </c>
      <c r="H2128" t="s">
        <v>35</v>
      </c>
      <c r="J2128" t="s">
        <v>2746</v>
      </c>
      <c r="K2128" t="s">
        <v>1092</v>
      </c>
      <c r="M2128">
        <v>6.48</v>
      </c>
      <c r="N2128">
        <v>126</v>
      </c>
      <c r="O2128" t="s">
        <v>38</v>
      </c>
      <c r="Q2128" t="s">
        <v>68</v>
      </c>
      <c r="R2128" t="s">
        <v>2394</v>
      </c>
      <c r="S2128" t="s">
        <v>271</v>
      </c>
      <c r="T2128" t="s">
        <v>272</v>
      </c>
    </row>
    <row r="2129" spans="1:20" x14ac:dyDescent="0.25">
      <c r="A2129" t="s">
        <v>59</v>
      </c>
      <c r="B2129" t="s">
        <v>31</v>
      </c>
      <c r="C2129" t="s">
        <v>32</v>
      </c>
      <c r="D2129" t="s">
        <v>227</v>
      </c>
      <c r="E2129" t="s">
        <v>251</v>
      </c>
      <c r="F2129" t="s">
        <v>35</v>
      </c>
      <c r="G2129" t="s">
        <v>35</v>
      </c>
      <c r="H2129" t="s">
        <v>35</v>
      </c>
      <c r="J2129" t="s">
        <v>2746</v>
      </c>
      <c r="K2129" t="s">
        <v>1092</v>
      </c>
      <c r="M2129">
        <v>9.6300000000000008</v>
      </c>
      <c r="N2129">
        <v>95</v>
      </c>
      <c r="O2129" t="s">
        <v>106</v>
      </c>
      <c r="Q2129" t="s">
        <v>2747</v>
      </c>
      <c r="R2129" t="s">
        <v>2394</v>
      </c>
      <c r="S2129" t="s">
        <v>271</v>
      </c>
      <c r="T2129" t="s">
        <v>272</v>
      </c>
    </row>
    <row r="2130" spans="1:20" x14ac:dyDescent="0.25">
      <c r="A2130" t="s">
        <v>59</v>
      </c>
      <c r="B2130" t="s">
        <v>60</v>
      </c>
      <c r="C2130" t="s">
        <v>32</v>
      </c>
      <c r="D2130" t="s">
        <v>227</v>
      </c>
      <c r="E2130" t="s">
        <v>228</v>
      </c>
      <c r="F2130" t="s">
        <v>35</v>
      </c>
      <c r="G2130" t="s">
        <v>35</v>
      </c>
      <c r="H2130" t="s">
        <v>35</v>
      </c>
      <c r="J2130" t="s">
        <v>2470</v>
      </c>
      <c r="K2130" t="s">
        <v>1092</v>
      </c>
      <c r="M2130">
        <v>0.25</v>
      </c>
      <c r="N2130">
        <v>42</v>
      </c>
      <c r="O2130" t="s">
        <v>52</v>
      </c>
      <c r="Q2130" t="s">
        <v>219</v>
      </c>
      <c r="R2130" t="s">
        <v>2394</v>
      </c>
      <c r="S2130" t="s">
        <v>271</v>
      </c>
      <c r="T2130" t="s">
        <v>272</v>
      </c>
    </row>
    <row r="2131" spans="1:20" x14ac:dyDescent="0.25">
      <c r="A2131" t="s">
        <v>59</v>
      </c>
      <c r="B2131" t="s">
        <v>31</v>
      </c>
      <c r="C2131" t="s">
        <v>32</v>
      </c>
      <c r="D2131" t="s">
        <v>227</v>
      </c>
      <c r="E2131" t="s">
        <v>270</v>
      </c>
      <c r="F2131" t="s">
        <v>35</v>
      </c>
      <c r="G2131" t="s">
        <v>35</v>
      </c>
      <c r="H2131" t="s">
        <v>35</v>
      </c>
      <c r="J2131" t="s">
        <v>2774</v>
      </c>
      <c r="K2131" t="s">
        <v>1092</v>
      </c>
      <c r="M2131">
        <v>0.76500000000000001</v>
      </c>
      <c r="N2131">
        <v>61</v>
      </c>
      <c r="O2131" t="s">
        <v>61</v>
      </c>
      <c r="Q2131" t="s">
        <v>146</v>
      </c>
      <c r="R2131" t="s">
        <v>2394</v>
      </c>
      <c r="S2131" t="s">
        <v>271</v>
      </c>
      <c r="T2131" t="s">
        <v>272</v>
      </c>
    </row>
    <row r="2132" spans="1:20" x14ac:dyDescent="0.25">
      <c r="A2132" t="s">
        <v>59</v>
      </c>
      <c r="B2132" t="s">
        <v>60</v>
      </c>
      <c r="C2132" t="s">
        <v>32</v>
      </c>
      <c r="D2132" t="s">
        <v>227</v>
      </c>
      <c r="E2132" t="s">
        <v>2385</v>
      </c>
      <c r="F2132" t="s">
        <v>35</v>
      </c>
      <c r="G2132" t="s">
        <v>35</v>
      </c>
      <c r="H2132" t="s">
        <v>35</v>
      </c>
      <c r="J2132" t="s">
        <v>2419</v>
      </c>
      <c r="K2132" t="s">
        <v>1092</v>
      </c>
      <c r="M2132">
        <v>0.15</v>
      </c>
      <c r="N2132">
        <v>23</v>
      </c>
      <c r="O2132" t="s">
        <v>46</v>
      </c>
      <c r="Q2132" t="s">
        <v>793</v>
      </c>
      <c r="R2132" t="s">
        <v>2394</v>
      </c>
      <c r="S2132" t="s">
        <v>271</v>
      </c>
      <c r="T2132" t="s">
        <v>272</v>
      </c>
    </row>
    <row r="2133" spans="1:20" x14ac:dyDescent="0.25">
      <c r="A2133" t="s">
        <v>59</v>
      </c>
      <c r="B2133" t="s">
        <v>60</v>
      </c>
      <c r="C2133" t="s">
        <v>32</v>
      </c>
      <c r="D2133" t="s">
        <v>227</v>
      </c>
      <c r="E2133" t="s">
        <v>2575</v>
      </c>
      <c r="F2133" t="s">
        <v>35</v>
      </c>
      <c r="G2133" t="s">
        <v>35</v>
      </c>
      <c r="H2133" t="s">
        <v>35</v>
      </c>
      <c r="J2133" t="s">
        <v>50</v>
      </c>
      <c r="K2133" t="s">
        <v>1092</v>
      </c>
      <c r="M2133">
        <v>4.9000000000000002E-2</v>
      </c>
      <c r="N2133">
        <v>1946</v>
      </c>
      <c r="O2133" t="s">
        <v>575</v>
      </c>
      <c r="Q2133" t="s">
        <v>2598</v>
      </c>
      <c r="R2133" t="s">
        <v>2394</v>
      </c>
      <c r="S2133" t="s">
        <v>271</v>
      </c>
      <c r="T2133" t="s">
        <v>272</v>
      </c>
    </row>
    <row r="2134" spans="1:20" x14ac:dyDescent="0.25">
      <c r="A2134" t="s">
        <v>30</v>
      </c>
      <c r="B2134" t="s">
        <v>31</v>
      </c>
      <c r="C2134" t="s">
        <v>32</v>
      </c>
      <c r="D2134" t="s">
        <v>227</v>
      </c>
      <c r="E2134" t="s">
        <v>2575</v>
      </c>
      <c r="F2134" t="s">
        <v>35</v>
      </c>
      <c r="G2134" t="s">
        <v>35</v>
      </c>
      <c r="H2134" t="s">
        <v>35</v>
      </c>
      <c r="J2134" t="s">
        <v>50</v>
      </c>
      <c r="K2134" t="s">
        <v>1092</v>
      </c>
      <c r="M2134">
        <v>1E-3</v>
      </c>
      <c r="N2134">
        <v>2268</v>
      </c>
      <c r="O2134" t="s">
        <v>575</v>
      </c>
      <c r="Q2134" t="s">
        <v>2599</v>
      </c>
      <c r="R2134" t="s">
        <v>2394</v>
      </c>
      <c r="S2134" t="s">
        <v>271</v>
      </c>
      <c r="T2134" t="s">
        <v>272</v>
      </c>
    </row>
    <row r="2135" spans="1:20" x14ac:dyDescent="0.25">
      <c r="A2135" t="s">
        <v>44</v>
      </c>
      <c r="B2135" t="s">
        <v>3</v>
      </c>
      <c r="C2135" t="s">
        <v>32</v>
      </c>
      <c r="D2135" t="s">
        <v>227</v>
      </c>
      <c r="E2135" t="s">
        <v>2652</v>
      </c>
      <c r="F2135" t="s">
        <v>35</v>
      </c>
      <c r="G2135" t="s">
        <v>35</v>
      </c>
      <c r="H2135" t="s">
        <v>35</v>
      </c>
      <c r="J2135" t="s">
        <v>2653</v>
      </c>
      <c r="K2135" t="s">
        <v>1092</v>
      </c>
      <c r="M2135">
        <v>0.5</v>
      </c>
      <c r="N2135">
        <v>33</v>
      </c>
      <c r="O2135" t="s">
        <v>52</v>
      </c>
      <c r="Q2135" t="s">
        <v>130</v>
      </c>
      <c r="R2135" t="s">
        <v>2394</v>
      </c>
      <c r="S2135" t="s">
        <v>271</v>
      </c>
      <c r="T2135" t="s">
        <v>272</v>
      </c>
    </row>
    <row r="2136" spans="1:20" x14ac:dyDescent="0.25">
      <c r="A2136" t="s">
        <v>30</v>
      </c>
      <c r="B2136" t="s">
        <v>31</v>
      </c>
      <c r="C2136" t="s">
        <v>32</v>
      </c>
      <c r="D2136" t="s">
        <v>227</v>
      </c>
      <c r="E2136" t="s">
        <v>2794</v>
      </c>
      <c r="F2136" t="s">
        <v>35</v>
      </c>
      <c r="G2136" t="s">
        <v>35</v>
      </c>
      <c r="H2136" t="s">
        <v>35</v>
      </c>
      <c r="J2136" t="s">
        <v>2803</v>
      </c>
      <c r="K2136" t="s">
        <v>1092</v>
      </c>
      <c r="M2136">
        <v>1.0349999999999999</v>
      </c>
      <c r="N2136">
        <v>40</v>
      </c>
      <c r="O2136" t="s">
        <v>52</v>
      </c>
      <c r="Q2136" t="s">
        <v>132</v>
      </c>
      <c r="R2136" t="s">
        <v>2394</v>
      </c>
      <c r="S2136" t="s">
        <v>271</v>
      </c>
      <c r="T2136" t="s">
        <v>272</v>
      </c>
    </row>
    <row r="2137" spans="1:20" x14ac:dyDescent="0.25">
      <c r="A2137" t="s">
        <v>59</v>
      </c>
      <c r="B2137" t="s">
        <v>60</v>
      </c>
      <c r="C2137" t="s">
        <v>32</v>
      </c>
      <c r="D2137" t="s">
        <v>227</v>
      </c>
      <c r="E2137" t="s">
        <v>2603</v>
      </c>
      <c r="F2137" t="s">
        <v>35</v>
      </c>
      <c r="G2137" t="s">
        <v>35</v>
      </c>
      <c r="H2137" t="s">
        <v>35</v>
      </c>
      <c r="J2137" t="s">
        <v>2609</v>
      </c>
      <c r="K2137" t="s">
        <v>1092</v>
      </c>
      <c r="M2137">
        <v>0.25</v>
      </c>
      <c r="N2137">
        <v>488</v>
      </c>
      <c r="O2137" t="s">
        <v>294</v>
      </c>
      <c r="Q2137" t="s">
        <v>2610</v>
      </c>
      <c r="R2137" t="s">
        <v>2394</v>
      </c>
      <c r="S2137" t="s">
        <v>271</v>
      </c>
      <c r="T2137" t="s">
        <v>272</v>
      </c>
    </row>
    <row r="2138" spans="1:20" x14ac:dyDescent="0.25">
      <c r="A2138" t="s">
        <v>30</v>
      </c>
      <c r="B2138" t="s">
        <v>31</v>
      </c>
      <c r="C2138" t="s">
        <v>32</v>
      </c>
      <c r="D2138" t="s">
        <v>227</v>
      </c>
      <c r="E2138" t="s">
        <v>2603</v>
      </c>
      <c r="F2138" t="s">
        <v>35</v>
      </c>
      <c r="G2138" t="s">
        <v>35</v>
      </c>
      <c r="H2138" t="s">
        <v>35</v>
      </c>
      <c r="J2138" t="s">
        <v>2609</v>
      </c>
      <c r="K2138" t="s">
        <v>1092</v>
      </c>
      <c r="M2138">
        <v>0.09</v>
      </c>
      <c r="N2138">
        <v>853</v>
      </c>
      <c r="O2138" t="s">
        <v>575</v>
      </c>
      <c r="Q2138" t="s">
        <v>1464</v>
      </c>
      <c r="R2138" t="s">
        <v>2394</v>
      </c>
      <c r="S2138" t="s">
        <v>271</v>
      </c>
      <c r="T2138" t="s">
        <v>272</v>
      </c>
    </row>
    <row r="2139" spans="1:20" x14ac:dyDescent="0.25">
      <c r="A2139" t="s">
        <v>59</v>
      </c>
      <c r="B2139" t="s">
        <v>60</v>
      </c>
      <c r="C2139" t="s">
        <v>32</v>
      </c>
      <c r="D2139" t="s">
        <v>227</v>
      </c>
      <c r="E2139" t="s">
        <v>2603</v>
      </c>
      <c r="F2139" t="s">
        <v>35</v>
      </c>
      <c r="G2139" t="s">
        <v>35</v>
      </c>
      <c r="H2139" t="s">
        <v>35</v>
      </c>
      <c r="J2139" t="s">
        <v>2609</v>
      </c>
      <c r="K2139" t="s">
        <v>1092</v>
      </c>
      <c r="M2139">
        <v>0.2</v>
      </c>
      <c r="N2139">
        <v>979</v>
      </c>
      <c r="O2139" t="s">
        <v>575</v>
      </c>
      <c r="Q2139" t="s">
        <v>2611</v>
      </c>
      <c r="R2139" t="s">
        <v>2394</v>
      </c>
      <c r="S2139" t="s">
        <v>271</v>
      </c>
      <c r="T2139" t="s">
        <v>272</v>
      </c>
    </row>
    <row r="2140" spans="1:20" x14ac:dyDescent="0.25">
      <c r="A2140" t="s">
        <v>59</v>
      </c>
      <c r="B2140" t="s">
        <v>31</v>
      </c>
      <c r="C2140" t="s">
        <v>32</v>
      </c>
      <c r="D2140" t="s">
        <v>227</v>
      </c>
      <c r="E2140" t="s">
        <v>2825</v>
      </c>
      <c r="F2140" t="s">
        <v>35</v>
      </c>
      <c r="G2140" t="s">
        <v>35</v>
      </c>
      <c r="H2140" t="s">
        <v>35</v>
      </c>
      <c r="J2140" t="s">
        <v>2832</v>
      </c>
      <c r="K2140" t="s">
        <v>1092</v>
      </c>
      <c r="M2140">
        <v>0.85499999999999998</v>
      </c>
      <c r="N2140">
        <v>205</v>
      </c>
      <c r="O2140" t="s">
        <v>5</v>
      </c>
      <c r="Q2140" t="s">
        <v>1711</v>
      </c>
      <c r="R2140" t="s">
        <v>2394</v>
      </c>
      <c r="S2140" t="s">
        <v>271</v>
      </c>
      <c r="T2140" t="s">
        <v>272</v>
      </c>
    </row>
    <row r="2141" spans="1:20" x14ac:dyDescent="0.25">
      <c r="A2141" t="s">
        <v>44</v>
      </c>
      <c r="B2141" t="s">
        <v>3</v>
      </c>
      <c r="C2141" t="s">
        <v>32</v>
      </c>
      <c r="D2141" t="s">
        <v>227</v>
      </c>
      <c r="E2141" t="s">
        <v>2641</v>
      </c>
      <c r="F2141" t="s">
        <v>35</v>
      </c>
      <c r="G2141" t="s">
        <v>35</v>
      </c>
      <c r="H2141" t="s">
        <v>35</v>
      </c>
      <c r="J2141" t="s">
        <v>2643</v>
      </c>
      <c r="K2141" t="s">
        <v>1092</v>
      </c>
      <c r="M2141">
        <v>0.05</v>
      </c>
      <c r="N2141">
        <v>49</v>
      </c>
      <c r="O2141" t="s">
        <v>52</v>
      </c>
      <c r="Q2141" t="s">
        <v>453</v>
      </c>
      <c r="R2141" t="s">
        <v>2394</v>
      </c>
      <c r="S2141" t="s">
        <v>271</v>
      </c>
      <c r="T2141" t="s">
        <v>272</v>
      </c>
    </row>
    <row r="2142" spans="1:20" x14ac:dyDescent="0.25">
      <c r="A2142" t="s">
        <v>59</v>
      </c>
      <c r="B2142" t="s">
        <v>31</v>
      </c>
      <c r="C2142" t="s">
        <v>32</v>
      </c>
      <c r="D2142" t="s">
        <v>227</v>
      </c>
      <c r="E2142" t="s">
        <v>2641</v>
      </c>
      <c r="F2142" t="s">
        <v>35</v>
      </c>
      <c r="G2142" t="s">
        <v>35</v>
      </c>
      <c r="H2142" t="s">
        <v>35</v>
      </c>
      <c r="J2142" t="s">
        <v>2643</v>
      </c>
      <c r="K2142" t="s">
        <v>1092</v>
      </c>
      <c r="M2142">
        <v>4.4999999999999998E-2</v>
      </c>
      <c r="N2142">
        <v>486</v>
      </c>
      <c r="O2142" t="s">
        <v>294</v>
      </c>
      <c r="Q2142" t="s">
        <v>1107</v>
      </c>
      <c r="R2142" t="s">
        <v>2394</v>
      </c>
      <c r="S2142" t="s">
        <v>271</v>
      </c>
      <c r="T2142" t="s">
        <v>272</v>
      </c>
    </row>
    <row r="2143" spans="1:20" x14ac:dyDescent="0.25">
      <c r="A2143" t="s">
        <v>44</v>
      </c>
      <c r="B2143" t="s">
        <v>3</v>
      </c>
      <c r="C2143" t="s">
        <v>32</v>
      </c>
      <c r="D2143" t="s">
        <v>227</v>
      </c>
      <c r="E2143" t="s">
        <v>2551</v>
      </c>
      <c r="F2143" t="s">
        <v>35</v>
      </c>
      <c r="G2143" t="s">
        <v>35</v>
      </c>
      <c r="H2143" t="s">
        <v>35</v>
      </c>
      <c r="J2143" t="s">
        <v>2554</v>
      </c>
      <c r="K2143" t="s">
        <v>1092</v>
      </c>
      <c r="M2143">
        <v>0.2</v>
      </c>
      <c r="N2143">
        <v>42</v>
      </c>
      <c r="O2143" t="s">
        <v>52</v>
      </c>
      <c r="Q2143" t="s">
        <v>219</v>
      </c>
      <c r="R2143" t="s">
        <v>2394</v>
      </c>
      <c r="S2143" t="s">
        <v>271</v>
      </c>
      <c r="T2143" t="s">
        <v>272</v>
      </c>
    </row>
    <row r="2144" spans="1:20" x14ac:dyDescent="0.25">
      <c r="A2144" t="s">
        <v>44</v>
      </c>
      <c r="B2144" t="s">
        <v>3</v>
      </c>
      <c r="C2144" t="s">
        <v>32</v>
      </c>
      <c r="D2144" t="s">
        <v>227</v>
      </c>
      <c r="E2144" t="s">
        <v>2551</v>
      </c>
      <c r="F2144" t="s">
        <v>35</v>
      </c>
      <c r="G2144" t="s">
        <v>35</v>
      </c>
      <c r="H2144" t="s">
        <v>35</v>
      </c>
      <c r="J2144" t="s">
        <v>2554</v>
      </c>
      <c r="K2144" t="s">
        <v>1092</v>
      </c>
      <c r="M2144">
        <v>0.5</v>
      </c>
      <c r="N2144">
        <v>26</v>
      </c>
      <c r="O2144" t="s">
        <v>46</v>
      </c>
      <c r="Q2144" t="s">
        <v>137</v>
      </c>
      <c r="R2144" t="s">
        <v>2394</v>
      </c>
      <c r="S2144" t="s">
        <v>271</v>
      </c>
      <c r="T2144" t="s">
        <v>272</v>
      </c>
    </row>
    <row r="2145" spans="1:20" x14ac:dyDescent="0.25">
      <c r="A2145" t="s">
        <v>59</v>
      </c>
      <c r="B2145" t="s">
        <v>60</v>
      </c>
      <c r="C2145" t="s">
        <v>32</v>
      </c>
      <c r="D2145" t="s">
        <v>227</v>
      </c>
      <c r="E2145" t="s">
        <v>2641</v>
      </c>
      <c r="F2145" t="s">
        <v>35</v>
      </c>
      <c r="G2145" t="s">
        <v>35</v>
      </c>
      <c r="H2145" t="s">
        <v>35</v>
      </c>
      <c r="J2145" t="s">
        <v>2645</v>
      </c>
      <c r="K2145" t="s">
        <v>1092</v>
      </c>
      <c r="M2145">
        <v>0.1</v>
      </c>
      <c r="N2145">
        <v>42</v>
      </c>
      <c r="O2145" t="s">
        <v>52</v>
      </c>
      <c r="Q2145" t="s">
        <v>219</v>
      </c>
      <c r="R2145" t="s">
        <v>2394</v>
      </c>
      <c r="S2145" t="s">
        <v>271</v>
      </c>
      <c r="T2145" t="s">
        <v>272</v>
      </c>
    </row>
    <row r="2146" spans="1:20" x14ac:dyDescent="0.25">
      <c r="A2146" t="s">
        <v>44</v>
      </c>
      <c r="B2146" t="s">
        <v>51</v>
      </c>
      <c r="C2146" t="s">
        <v>32</v>
      </c>
      <c r="D2146" t="s">
        <v>227</v>
      </c>
      <c r="E2146" t="s">
        <v>2641</v>
      </c>
      <c r="F2146" t="s">
        <v>35</v>
      </c>
      <c r="G2146" t="s">
        <v>35</v>
      </c>
      <c r="H2146" t="s">
        <v>35</v>
      </c>
      <c r="J2146" t="s">
        <v>2645</v>
      </c>
      <c r="K2146" t="s">
        <v>1092</v>
      </c>
      <c r="M2146">
        <v>0.1</v>
      </c>
      <c r="N2146">
        <v>42</v>
      </c>
      <c r="O2146" t="s">
        <v>52</v>
      </c>
      <c r="Q2146" t="s">
        <v>219</v>
      </c>
      <c r="R2146" t="s">
        <v>2394</v>
      </c>
      <c r="S2146" t="s">
        <v>271</v>
      </c>
      <c r="T2146" t="s">
        <v>272</v>
      </c>
    </row>
    <row r="2147" spans="1:20" x14ac:dyDescent="0.25">
      <c r="A2147" t="s">
        <v>44</v>
      </c>
      <c r="B2147" t="s">
        <v>3</v>
      </c>
      <c r="C2147" t="s">
        <v>32</v>
      </c>
      <c r="D2147" t="s">
        <v>227</v>
      </c>
      <c r="E2147" t="s">
        <v>2641</v>
      </c>
      <c r="F2147" t="s">
        <v>35</v>
      </c>
      <c r="G2147" t="s">
        <v>35</v>
      </c>
      <c r="H2147" t="s">
        <v>35</v>
      </c>
      <c r="J2147" t="s">
        <v>2645</v>
      </c>
      <c r="K2147" t="s">
        <v>1092</v>
      </c>
      <c r="M2147">
        <v>0.25</v>
      </c>
      <c r="N2147">
        <v>40</v>
      </c>
      <c r="O2147" t="s">
        <v>52</v>
      </c>
      <c r="Q2147" t="s">
        <v>132</v>
      </c>
      <c r="R2147" t="s">
        <v>2394</v>
      </c>
      <c r="S2147" t="s">
        <v>271</v>
      </c>
      <c r="T2147" t="s">
        <v>272</v>
      </c>
    </row>
    <row r="2148" spans="1:20" x14ac:dyDescent="0.25">
      <c r="A2148" t="s">
        <v>59</v>
      </c>
      <c r="B2148" t="s">
        <v>31</v>
      </c>
      <c r="C2148" t="s">
        <v>32</v>
      </c>
      <c r="D2148" t="s">
        <v>227</v>
      </c>
      <c r="F2148" t="s">
        <v>35</v>
      </c>
      <c r="G2148" t="s">
        <v>35</v>
      </c>
      <c r="H2148" t="s">
        <v>35</v>
      </c>
      <c r="J2148" t="s">
        <v>3015</v>
      </c>
      <c r="K2148" t="s">
        <v>1092</v>
      </c>
      <c r="M2148">
        <v>1.125</v>
      </c>
      <c r="N2148">
        <v>1944</v>
      </c>
      <c r="O2148" t="s">
        <v>575</v>
      </c>
      <c r="Q2148" t="s">
        <v>3016</v>
      </c>
      <c r="R2148" t="s">
        <v>2394</v>
      </c>
      <c r="S2148" t="s">
        <v>271</v>
      </c>
      <c r="T2148" t="s">
        <v>272</v>
      </c>
    </row>
    <row r="2149" spans="1:20" x14ac:dyDescent="0.25">
      <c r="A2149" t="s">
        <v>59</v>
      </c>
      <c r="B2149" t="s">
        <v>60</v>
      </c>
      <c r="C2149" t="s">
        <v>32</v>
      </c>
      <c r="D2149" t="s">
        <v>227</v>
      </c>
      <c r="E2149" t="s">
        <v>2850</v>
      </c>
      <c r="F2149" t="s">
        <v>35</v>
      </c>
      <c r="G2149" t="s">
        <v>35</v>
      </c>
      <c r="H2149" t="s">
        <v>35</v>
      </c>
      <c r="J2149" t="s">
        <v>2858</v>
      </c>
      <c r="K2149" t="s">
        <v>1092</v>
      </c>
      <c r="M2149">
        <v>0.9</v>
      </c>
      <c r="N2149">
        <v>88</v>
      </c>
      <c r="O2149" t="s">
        <v>61</v>
      </c>
      <c r="Q2149" t="s">
        <v>724</v>
      </c>
      <c r="R2149" t="s">
        <v>2394</v>
      </c>
      <c r="S2149" t="s">
        <v>271</v>
      </c>
      <c r="T2149" t="s">
        <v>272</v>
      </c>
    </row>
    <row r="2150" spans="1:20" x14ac:dyDescent="0.25">
      <c r="A2150" t="s">
        <v>44</v>
      </c>
      <c r="B2150" t="s">
        <v>3</v>
      </c>
      <c r="C2150" t="s">
        <v>32</v>
      </c>
      <c r="D2150" t="s">
        <v>227</v>
      </c>
      <c r="E2150" t="s">
        <v>2641</v>
      </c>
      <c r="F2150" t="s">
        <v>35</v>
      </c>
      <c r="G2150" t="s">
        <v>35</v>
      </c>
      <c r="H2150" t="s">
        <v>35</v>
      </c>
      <c r="J2150" t="s">
        <v>2651</v>
      </c>
      <c r="K2150" t="s">
        <v>1092</v>
      </c>
      <c r="M2150">
        <v>0.05</v>
      </c>
      <c r="N2150">
        <v>33</v>
      </c>
      <c r="O2150" t="s">
        <v>52</v>
      </c>
      <c r="Q2150" t="s">
        <v>130</v>
      </c>
      <c r="R2150" t="s">
        <v>2394</v>
      </c>
      <c r="S2150" t="s">
        <v>271</v>
      </c>
      <c r="T2150" t="s">
        <v>272</v>
      </c>
    </row>
    <row r="2151" spans="1:20" x14ac:dyDescent="0.25">
      <c r="A2151" t="s">
        <v>30</v>
      </c>
      <c r="B2151" t="s">
        <v>31</v>
      </c>
      <c r="C2151" t="s">
        <v>32</v>
      </c>
      <c r="D2151" t="s">
        <v>227</v>
      </c>
      <c r="E2151" t="s">
        <v>2641</v>
      </c>
      <c r="F2151" t="s">
        <v>35</v>
      </c>
      <c r="G2151" t="s">
        <v>35</v>
      </c>
      <c r="H2151" t="s">
        <v>35</v>
      </c>
      <c r="J2151" t="s">
        <v>2651</v>
      </c>
      <c r="K2151" t="s">
        <v>1092</v>
      </c>
      <c r="M2151">
        <v>2.7450000000000001</v>
      </c>
      <c r="N2151">
        <v>37</v>
      </c>
      <c r="O2151" t="s">
        <v>52</v>
      </c>
      <c r="Q2151" t="s">
        <v>192</v>
      </c>
      <c r="R2151" t="s">
        <v>2394</v>
      </c>
      <c r="S2151" t="s">
        <v>271</v>
      </c>
      <c r="T2151" t="s">
        <v>272</v>
      </c>
    </row>
    <row r="2152" spans="1:20" x14ac:dyDescent="0.25">
      <c r="A2152" t="s">
        <v>44</v>
      </c>
      <c r="B2152" t="s">
        <v>3</v>
      </c>
      <c r="C2152" t="s">
        <v>32</v>
      </c>
      <c r="D2152" t="s">
        <v>227</v>
      </c>
      <c r="E2152" t="s">
        <v>2641</v>
      </c>
      <c r="F2152" t="s">
        <v>35</v>
      </c>
      <c r="G2152" t="s">
        <v>35</v>
      </c>
      <c r="H2152" t="s">
        <v>35</v>
      </c>
      <c r="J2152" t="s">
        <v>2651</v>
      </c>
      <c r="K2152" t="s">
        <v>1092</v>
      </c>
      <c r="M2152">
        <v>0.05</v>
      </c>
      <c r="N2152">
        <v>44</v>
      </c>
      <c r="O2152" t="s">
        <v>52</v>
      </c>
      <c r="Q2152" t="s">
        <v>54</v>
      </c>
      <c r="R2152" t="s">
        <v>2394</v>
      </c>
      <c r="S2152" t="s">
        <v>271</v>
      </c>
      <c r="T2152" t="s">
        <v>272</v>
      </c>
    </row>
    <row r="2153" spans="1:20" x14ac:dyDescent="0.25">
      <c r="A2153" t="s">
        <v>44</v>
      </c>
      <c r="B2153" t="s">
        <v>3</v>
      </c>
      <c r="C2153" t="s">
        <v>32</v>
      </c>
      <c r="D2153" t="s">
        <v>227</v>
      </c>
      <c r="E2153" t="s">
        <v>2641</v>
      </c>
      <c r="F2153" t="s">
        <v>35</v>
      </c>
      <c r="G2153" t="s">
        <v>35</v>
      </c>
      <c r="H2153" t="s">
        <v>35</v>
      </c>
      <c r="J2153" t="s">
        <v>2651</v>
      </c>
      <c r="K2153" t="s">
        <v>1092</v>
      </c>
      <c r="M2153">
        <v>0.25</v>
      </c>
      <c r="N2153">
        <v>49</v>
      </c>
      <c r="O2153" t="s">
        <v>52</v>
      </c>
      <c r="Q2153" t="s">
        <v>453</v>
      </c>
      <c r="R2153" t="s">
        <v>2394</v>
      </c>
      <c r="S2153" t="s">
        <v>271</v>
      </c>
      <c r="T2153" t="s">
        <v>272</v>
      </c>
    </row>
    <row r="2154" spans="1:20" x14ac:dyDescent="0.25">
      <c r="A2154" t="s">
        <v>44</v>
      </c>
      <c r="B2154" t="s">
        <v>3</v>
      </c>
      <c r="C2154" t="s">
        <v>32</v>
      </c>
      <c r="D2154" t="s">
        <v>227</v>
      </c>
      <c r="E2154" t="s">
        <v>2641</v>
      </c>
      <c r="F2154" t="s">
        <v>35</v>
      </c>
      <c r="G2154" t="s">
        <v>35</v>
      </c>
      <c r="H2154" t="s">
        <v>35</v>
      </c>
      <c r="J2154" t="s">
        <v>2651</v>
      </c>
      <c r="K2154" t="s">
        <v>1092</v>
      </c>
      <c r="M2154">
        <v>0.1</v>
      </c>
      <c r="N2154">
        <v>55</v>
      </c>
      <c r="O2154" t="s">
        <v>52</v>
      </c>
      <c r="Q2154" t="s">
        <v>90</v>
      </c>
      <c r="R2154" t="s">
        <v>2394</v>
      </c>
      <c r="S2154" t="s">
        <v>271</v>
      </c>
      <c r="T2154" t="s">
        <v>272</v>
      </c>
    </row>
    <row r="2155" spans="1:20" x14ac:dyDescent="0.25">
      <c r="A2155" t="s">
        <v>59</v>
      </c>
      <c r="B2155" t="s">
        <v>60</v>
      </c>
      <c r="C2155" t="s">
        <v>32</v>
      </c>
      <c r="D2155" t="s">
        <v>227</v>
      </c>
      <c r="E2155" t="s">
        <v>2919</v>
      </c>
      <c r="F2155" t="s">
        <v>35</v>
      </c>
      <c r="G2155" t="s">
        <v>35</v>
      </c>
      <c r="H2155" t="s">
        <v>35</v>
      </c>
      <c r="J2155" t="s">
        <v>2920</v>
      </c>
      <c r="K2155" t="s">
        <v>1092</v>
      </c>
      <c r="M2155">
        <v>0.5</v>
      </c>
      <c r="N2155">
        <v>33</v>
      </c>
      <c r="O2155" t="s">
        <v>52</v>
      </c>
      <c r="Q2155" t="s">
        <v>130</v>
      </c>
      <c r="R2155" t="s">
        <v>2394</v>
      </c>
      <c r="S2155" t="s">
        <v>271</v>
      </c>
      <c r="T2155" t="s">
        <v>272</v>
      </c>
    </row>
    <row r="2156" spans="1:20" x14ac:dyDescent="0.25">
      <c r="A2156" t="s">
        <v>59</v>
      </c>
      <c r="B2156" t="s">
        <v>60</v>
      </c>
      <c r="C2156" t="s">
        <v>32</v>
      </c>
      <c r="D2156" t="s">
        <v>227</v>
      </c>
      <c r="F2156" t="s">
        <v>35</v>
      </c>
      <c r="G2156" t="s">
        <v>35</v>
      </c>
      <c r="H2156" t="s">
        <v>35</v>
      </c>
      <c r="J2156" t="s">
        <v>3104</v>
      </c>
      <c r="K2156" t="s">
        <v>1092</v>
      </c>
      <c r="M2156">
        <v>0.25</v>
      </c>
      <c r="N2156">
        <v>963</v>
      </c>
      <c r="O2156" t="s">
        <v>575</v>
      </c>
      <c r="Q2156" t="s">
        <v>3105</v>
      </c>
      <c r="R2156" t="s">
        <v>2394</v>
      </c>
      <c r="S2156" t="s">
        <v>271</v>
      </c>
      <c r="T2156" t="s">
        <v>272</v>
      </c>
    </row>
    <row r="2157" spans="1:20" x14ac:dyDescent="0.25">
      <c r="A2157" t="s">
        <v>59</v>
      </c>
      <c r="B2157" t="s">
        <v>60</v>
      </c>
      <c r="C2157" t="s">
        <v>32</v>
      </c>
      <c r="D2157" t="s">
        <v>227</v>
      </c>
      <c r="E2157" t="s">
        <v>228</v>
      </c>
      <c r="F2157" t="s">
        <v>35</v>
      </c>
      <c r="G2157" t="s">
        <v>35</v>
      </c>
      <c r="H2157" t="s">
        <v>35</v>
      </c>
      <c r="J2157" t="s">
        <v>2469</v>
      </c>
      <c r="K2157" t="s">
        <v>1092</v>
      </c>
      <c r="M2157">
        <v>0.5</v>
      </c>
      <c r="N2157">
        <v>126</v>
      </c>
      <c r="O2157" t="s">
        <v>38</v>
      </c>
      <c r="Q2157" t="s">
        <v>68</v>
      </c>
      <c r="R2157" t="s">
        <v>2394</v>
      </c>
      <c r="S2157" t="s">
        <v>271</v>
      </c>
      <c r="T2157" t="s">
        <v>272</v>
      </c>
    </row>
    <row r="2158" spans="1:20" x14ac:dyDescent="0.25">
      <c r="A2158" t="s">
        <v>44</v>
      </c>
      <c r="B2158" t="s">
        <v>3</v>
      </c>
      <c r="C2158" t="s">
        <v>32</v>
      </c>
      <c r="D2158" t="s">
        <v>227</v>
      </c>
      <c r="E2158" t="s">
        <v>2652</v>
      </c>
      <c r="F2158" t="s">
        <v>35</v>
      </c>
      <c r="G2158" t="s">
        <v>35</v>
      </c>
      <c r="H2158" t="s">
        <v>35</v>
      </c>
      <c r="J2158" t="s">
        <v>2654</v>
      </c>
      <c r="K2158" t="s">
        <v>1092</v>
      </c>
      <c r="M2158">
        <v>0.14499999999999999</v>
      </c>
      <c r="N2158">
        <v>51</v>
      </c>
      <c r="O2158" t="s">
        <v>52</v>
      </c>
      <c r="Q2158" t="s">
        <v>58</v>
      </c>
      <c r="R2158" t="s">
        <v>2394</v>
      </c>
      <c r="S2158" t="s">
        <v>271</v>
      </c>
      <c r="T2158" t="s">
        <v>272</v>
      </c>
    </row>
    <row r="2159" spans="1:20" x14ac:dyDescent="0.25">
      <c r="A2159" t="s">
        <v>59</v>
      </c>
      <c r="B2159" t="s">
        <v>60</v>
      </c>
      <c r="C2159" t="s">
        <v>32</v>
      </c>
      <c r="D2159" t="s">
        <v>227</v>
      </c>
      <c r="E2159" t="s">
        <v>2675</v>
      </c>
      <c r="F2159" t="s">
        <v>35</v>
      </c>
      <c r="G2159" t="s">
        <v>35</v>
      </c>
      <c r="H2159" t="s">
        <v>35</v>
      </c>
      <c r="J2159" t="s">
        <v>2694</v>
      </c>
      <c r="K2159" t="s">
        <v>1092</v>
      </c>
      <c r="M2159">
        <v>0.35</v>
      </c>
      <c r="N2159">
        <v>180</v>
      </c>
      <c r="O2159" t="s">
        <v>38</v>
      </c>
      <c r="Q2159" t="s">
        <v>1798</v>
      </c>
      <c r="R2159" t="s">
        <v>2394</v>
      </c>
      <c r="S2159" t="s">
        <v>271</v>
      </c>
      <c r="T2159" t="s">
        <v>272</v>
      </c>
    </row>
    <row r="2160" spans="1:20" x14ac:dyDescent="0.25">
      <c r="A2160" t="s">
        <v>44</v>
      </c>
      <c r="B2160" t="s">
        <v>51</v>
      </c>
      <c r="C2160" t="s">
        <v>32</v>
      </c>
      <c r="D2160" t="s">
        <v>227</v>
      </c>
      <c r="E2160" t="s">
        <v>270</v>
      </c>
      <c r="F2160" t="s">
        <v>35</v>
      </c>
      <c r="G2160" t="s">
        <v>35</v>
      </c>
      <c r="H2160" t="s">
        <v>35</v>
      </c>
      <c r="J2160" t="s">
        <v>2777</v>
      </c>
      <c r="K2160" t="s">
        <v>1092</v>
      </c>
      <c r="M2160">
        <v>0.5</v>
      </c>
      <c r="N2160">
        <v>44</v>
      </c>
      <c r="O2160" t="s">
        <v>52</v>
      </c>
      <c r="Q2160" t="s">
        <v>54</v>
      </c>
      <c r="R2160" t="s">
        <v>2394</v>
      </c>
      <c r="S2160" t="s">
        <v>271</v>
      </c>
      <c r="T2160" t="s">
        <v>272</v>
      </c>
    </row>
    <row r="2161" spans="1:20" x14ac:dyDescent="0.25">
      <c r="A2161" t="s">
        <v>30</v>
      </c>
      <c r="B2161" t="s">
        <v>31</v>
      </c>
      <c r="C2161" t="s">
        <v>32</v>
      </c>
      <c r="D2161" t="s">
        <v>227</v>
      </c>
      <c r="E2161" t="s">
        <v>270</v>
      </c>
      <c r="F2161" t="s">
        <v>35</v>
      </c>
      <c r="G2161" t="s">
        <v>35</v>
      </c>
      <c r="H2161" t="s">
        <v>35</v>
      </c>
      <c r="J2161" t="s">
        <v>2779</v>
      </c>
      <c r="K2161" t="s">
        <v>1092</v>
      </c>
      <c r="M2161">
        <v>0.36</v>
      </c>
      <c r="N2161">
        <v>163</v>
      </c>
      <c r="O2161" t="s">
        <v>38</v>
      </c>
      <c r="Q2161" t="s">
        <v>2780</v>
      </c>
      <c r="R2161" t="s">
        <v>2394</v>
      </c>
      <c r="S2161" t="s">
        <v>271</v>
      </c>
      <c r="T2161" t="s">
        <v>272</v>
      </c>
    </row>
    <row r="2162" spans="1:20" x14ac:dyDescent="0.25">
      <c r="A2162" t="s">
        <v>44</v>
      </c>
      <c r="B2162" t="s">
        <v>3</v>
      </c>
      <c r="C2162" t="s">
        <v>32</v>
      </c>
      <c r="D2162" t="s">
        <v>227</v>
      </c>
      <c r="E2162" t="s">
        <v>2641</v>
      </c>
      <c r="F2162" t="s">
        <v>35</v>
      </c>
      <c r="G2162" t="s">
        <v>35</v>
      </c>
      <c r="H2162" t="s">
        <v>35</v>
      </c>
      <c r="J2162" t="s">
        <v>2646</v>
      </c>
      <c r="K2162" t="s">
        <v>1092</v>
      </c>
      <c r="M2162">
        <v>0.15</v>
      </c>
      <c r="N2162">
        <v>49</v>
      </c>
      <c r="O2162" t="s">
        <v>52</v>
      </c>
      <c r="Q2162" t="s">
        <v>453</v>
      </c>
      <c r="R2162" t="s">
        <v>2394</v>
      </c>
      <c r="S2162" t="s">
        <v>271</v>
      </c>
      <c r="T2162" t="s">
        <v>272</v>
      </c>
    </row>
    <row r="2163" spans="1:20" x14ac:dyDescent="0.25">
      <c r="A2163" t="s">
        <v>59</v>
      </c>
      <c r="B2163" t="s">
        <v>60</v>
      </c>
      <c r="C2163" t="s">
        <v>32</v>
      </c>
      <c r="D2163" t="s">
        <v>227</v>
      </c>
      <c r="E2163" t="s">
        <v>228</v>
      </c>
      <c r="F2163" t="s">
        <v>35</v>
      </c>
      <c r="G2163" t="s">
        <v>35</v>
      </c>
      <c r="H2163" t="s">
        <v>35</v>
      </c>
      <c r="J2163" t="s">
        <v>2478</v>
      </c>
      <c r="K2163" t="s">
        <v>1092</v>
      </c>
      <c r="M2163">
        <v>2.5</v>
      </c>
      <c r="N2163">
        <v>94</v>
      </c>
      <c r="O2163" t="s">
        <v>106</v>
      </c>
      <c r="Q2163" t="s">
        <v>1164</v>
      </c>
      <c r="R2163" t="s">
        <v>2459</v>
      </c>
      <c r="S2163" t="s">
        <v>229</v>
      </c>
      <c r="T2163" t="s">
        <v>230</v>
      </c>
    </row>
    <row r="2164" spans="1:20" x14ac:dyDescent="0.25">
      <c r="A2164" t="s">
        <v>30</v>
      </c>
      <c r="B2164" t="s">
        <v>31</v>
      </c>
      <c r="C2164" t="s">
        <v>32</v>
      </c>
      <c r="D2164" t="s">
        <v>227</v>
      </c>
      <c r="F2164" t="s">
        <v>35</v>
      </c>
      <c r="G2164" t="s">
        <v>35</v>
      </c>
      <c r="H2164" t="s">
        <v>35</v>
      </c>
      <c r="J2164" t="s">
        <v>3075</v>
      </c>
      <c r="K2164" t="s">
        <v>1092</v>
      </c>
      <c r="M2164">
        <v>4.4999999999999998E-2</v>
      </c>
      <c r="N2164">
        <v>1577</v>
      </c>
      <c r="O2164" t="s">
        <v>575</v>
      </c>
      <c r="Q2164" t="s">
        <v>1453</v>
      </c>
      <c r="R2164" t="s">
        <v>2459</v>
      </c>
      <c r="S2164" t="s">
        <v>229</v>
      </c>
      <c r="T2164" t="s">
        <v>230</v>
      </c>
    </row>
    <row r="2165" spans="1:20" x14ac:dyDescent="0.25">
      <c r="A2165" t="s">
        <v>30</v>
      </c>
      <c r="B2165" t="s">
        <v>31</v>
      </c>
      <c r="C2165" t="s">
        <v>32</v>
      </c>
      <c r="D2165" t="s">
        <v>227</v>
      </c>
      <c r="E2165" t="s">
        <v>228</v>
      </c>
      <c r="F2165" t="s">
        <v>35</v>
      </c>
      <c r="G2165" t="s">
        <v>35</v>
      </c>
      <c r="H2165" t="s">
        <v>35</v>
      </c>
      <c r="J2165" t="s">
        <v>2464</v>
      </c>
      <c r="K2165" t="s">
        <v>1092</v>
      </c>
      <c r="M2165">
        <v>10.98</v>
      </c>
      <c r="N2165">
        <v>31</v>
      </c>
      <c r="O2165" t="s">
        <v>52</v>
      </c>
      <c r="Q2165" t="s">
        <v>748</v>
      </c>
      <c r="R2165" t="s">
        <v>2459</v>
      </c>
      <c r="S2165" t="s">
        <v>229</v>
      </c>
      <c r="T2165" t="s">
        <v>230</v>
      </c>
    </row>
    <row r="2166" spans="1:20" x14ac:dyDescent="0.25">
      <c r="A2166" t="s">
        <v>30</v>
      </c>
      <c r="B2166" t="s">
        <v>31</v>
      </c>
      <c r="C2166" t="s">
        <v>32</v>
      </c>
      <c r="D2166" t="s">
        <v>227</v>
      </c>
      <c r="E2166" t="s">
        <v>228</v>
      </c>
      <c r="F2166" t="s">
        <v>35</v>
      </c>
      <c r="G2166" t="s">
        <v>35</v>
      </c>
      <c r="H2166" t="s">
        <v>35</v>
      </c>
      <c r="J2166" t="s">
        <v>2458</v>
      </c>
      <c r="K2166" t="s">
        <v>1092</v>
      </c>
      <c r="M2166">
        <v>1.2150000000000001</v>
      </c>
      <c r="N2166">
        <v>44</v>
      </c>
      <c r="O2166" t="s">
        <v>52</v>
      </c>
      <c r="Q2166" t="s">
        <v>54</v>
      </c>
      <c r="R2166" t="s">
        <v>2459</v>
      </c>
      <c r="S2166" t="s">
        <v>229</v>
      </c>
      <c r="T2166" t="s">
        <v>230</v>
      </c>
    </row>
    <row r="2167" spans="1:20" x14ac:dyDescent="0.25">
      <c r="A2167" t="s">
        <v>59</v>
      </c>
      <c r="B2167" t="s">
        <v>60</v>
      </c>
      <c r="C2167" t="s">
        <v>32</v>
      </c>
      <c r="D2167" t="s">
        <v>227</v>
      </c>
      <c r="E2167" t="s">
        <v>228</v>
      </c>
      <c r="F2167" t="s">
        <v>35</v>
      </c>
      <c r="G2167" t="s">
        <v>35</v>
      </c>
      <c r="H2167" t="s">
        <v>35</v>
      </c>
      <c r="J2167" t="s">
        <v>2467</v>
      </c>
      <c r="K2167" t="s">
        <v>1092</v>
      </c>
      <c r="M2167">
        <v>0.45</v>
      </c>
      <c r="N2167">
        <v>45</v>
      </c>
      <c r="O2167" t="s">
        <v>52</v>
      </c>
      <c r="Q2167" t="s">
        <v>1230</v>
      </c>
      <c r="R2167" t="s">
        <v>2459</v>
      </c>
      <c r="S2167" t="s">
        <v>229</v>
      </c>
      <c r="T2167" t="s">
        <v>230</v>
      </c>
    </row>
    <row r="2168" spans="1:20" x14ac:dyDescent="0.25">
      <c r="A2168" t="s">
        <v>59</v>
      </c>
      <c r="B2168" t="s">
        <v>31</v>
      </c>
      <c r="C2168" t="s">
        <v>32</v>
      </c>
      <c r="D2168" t="s">
        <v>227</v>
      </c>
      <c r="E2168" t="s">
        <v>2931</v>
      </c>
      <c r="F2168" t="s">
        <v>35</v>
      </c>
      <c r="G2168" t="s">
        <v>35</v>
      </c>
      <c r="H2168" t="s">
        <v>35</v>
      </c>
      <c r="J2168" t="s">
        <v>2933</v>
      </c>
      <c r="K2168" t="s">
        <v>1092</v>
      </c>
      <c r="M2168">
        <v>2.1</v>
      </c>
      <c r="N2168">
        <v>582</v>
      </c>
      <c r="O2168" t="s">
        <v>575</v>
      </c>
      <c r="Q2168" t="s">
        <v>2935</v>
      </c>
      <c r="R2168" t="s">
        <v>2936</v>
      </c>
      <c r="S2168" t="s">
        <v>2937</v>
      </c>
      <c r="T2168" t="s">
        <v>2934</v>
      </c>
    </row>
    <row r="2169" spans="1:20" x14ac:dyDescent="0.25">
      <c r="A2169" t="s">
        <v>30</v>
      </c>
      <c r="B2169" t="s">
        <v>31</v>
      </c>
      <c r="C2169" t="s">
        <v>32</v>
      </c>
      <c r="D2169" t="s">
        <v>227</v>
      </c>
      <c r="E2169" t="s">
        <v>2617</v>
      </c>
      <c r="F2169" t="s">
        <v>35</v>
      </c>
      <c r="G2169" t="s">
        <v>35</v>
      </c>
      <c r="H2169" t="s">
        <v>35</v>
      </c>
      <c r="J2169" t="s">
        <v>2638</v>
      </c>
      <c r="K2169" t="s">
        <v>1092</v>
      </c>
      <c r="M2169">
        <v>3.89</v>
      </c>
      <c r="N2169">
        <v>56</v>
      </c>
      <c r="O2169" t="s">
        <v>52</v>
      </c>
      <c r="Q2169" t="s">
        <v>423</v>
      </c>
      <c r="R2169" t="s">
        <v>2444</v>
      </c>
      <c r="S2169" t="s">
        <v>2445</v>
      </c>
      <c r="T2169" t="s">
        <v>135</v>
      </c>
    </row>
    <row r="2170" spans="1:20" x14ac:dyDescent="0.25">
      <c r="A2170" t="s">
        <v>30</v>
      </c>
      <c r="B2170" t="s">
        <v>31</v>
      </c>
      <c r="C2170" t="s">
        <v>32</v>
      </c>
      <c r="D2170" t="s">
        <v>227</v>
      </c>
      <c r="E2170" t="s">
        <v>2652</v>
      </c>
      <c r="F2170" t="s">
        <v>35</v>
      </c>
      <c r="G2170" t="s">
        <v>35</v>
      </c>
      <c r="H2170" t="s">
        <v>35</v>
      </c>
      <c r="J2170" t="s">
        <v>2662</v>
      </c>
      <c r="K2170" t="s">
        <v>1092</v>
      </c>
      <c r="M2170">
        <v>11.115</v>
      </c>
      <c r="N2170">
        <v>25</v>
      </c>
      <c r="O2170" t="s">
        <v>46</v>
      </c>
      <c r="Q2170" t="s">
        <v>547</v>
      </c>
      <c r="R2170" t="s">
        <v>2444</v>
      </c>
      <c r="S2170" t="s">
        <v>2445</v>
      </c>
      <c r="T2170" t="s">
        <v>135</v>
      </c>
    </row>
    <row r="2171" spans="1:20" x14ac:dyDescent="0.25">
      <c r="A2171" t="s">
        <v>30</v>
      </c>
      <c r="B2171" t="s">
        <v>31</v>
      </c>
      <c r="C2171" t="s">
        <v>32</v>
      </c>
      <c r="D2171" t="s">
        <v>227</v>
      </c>
      <c r="E2171" t="s">
        <v>228</v>
      </c>
      <c r="F2171" t="s">
        <v>35</v>
      </c>
      <c r="G2171" t="s">
        <v>35</v>
      </c>
      <c r="H2171" t="s">
        <v>35</v>
      </c>
      <c r="J2171" t="s">
        <v>2461</v>
      </c>
      <c r="K2171" t="s">
        <v>1092</v>
      </c>
      <c r="M2171">
        <v>0.28799999999999998</v>
      </c>
      <c r="N2171">
        <v>413</v>
      </c>
      <c r="O2171" t="s">
        <v>294</v>
      </c>
      <c r="Q2171" t="s">
        <v>1643</v>
      </c>
      <c r="R2171" t="s">
        <v>2444</v>
      </c>
      <c r="S2171" t="s">
        <v>2445</v>
      </c>
      <c r="T2171" t="s">
        <v>135</v>
      </c>
    </row>
    <row r="2172" spans="1:20" x14ac:dyDescent="0.25">
      <c r="A2172" t="s">
        <v>30</v>
      </c>
      <c r="B2172" t="s">
        <v>31</v>
      </c>
      <c r="C2172" t="s">
        <v>32</v>
      </c>
      <c r="D2172" t="s">
        <v>227</v>
      </c>
      <c r="E2172" t="s">
        <v>2442</v>
      </c>
      <c r="F2172" t="s">
        <v>35</v>
      </c>
      <c r="G2172" t="s">
        <v>35</v>
      </c>
      <c r="H2172" t="s">
        <v>35</v>
      </c>
      <c r="J2172" t="s">
        <v>2443</v>
      </c>
      <c r="K2172" t="s">
        <v>1092</v>
      </c>
      <c r="M2172">
        <v>2.4300000000000002</v>
      </c>
      <c r="N2172">
        <v>192</v>
      </c>
      <c r="O2172" t="s">
        <v>5</v>
      </c>
      <c r="Q2172" t="s">
        <v>1720</v>
      </c>
      <c r="R2172" t="s">
        <v>2444</v>
      </c>
      <c r="S2172" t="s">
        <v>2445</v>
      </c>
      <c r="T2172" t="s">
        <v>135</v>
      </c>
    </row>
    <row r="2173" spans="1:20" x14ac:dyDescent="0.25">
      <c r="A2173" t="s">
        <v>30</v>
      </c>
      <c r="B2173" t="s">
        <v>31</v>
      </c>
      <c r="C2173" t="s">
        <v>32</v>
      </c>
      <c r="D2173" t="s">
        <v>227</v>
      </c>
      <c r="E2173" t="s">
        <v>276</v>
      </c>
      <c r="F2173" t="s">
        <v>35</v>
      </c>
      <c r="G2173" t="s">
        <v>35</v>
      </c>
      <c r="H2173" t="s">
        <v>35</v>
      </c>
      <c r="J2173" t="s">
        <v>2804</v>
      </c>
      <c r="K2173" t="s">
        <v>1092</v>
      </c>
      <c r="M2173">
        <v>9.0449999999999999</v>
      </c>
      <c r="N2173">
        <v>40</v>
      </c>
      <c r="O2173" t="s">
        <v>52</v>
      </c>
      <c r="Q2173" t="s">
        <v>132</v>
      </c>
      <c r="R2173" t="s">
        <v>2444</v>
      </c>
      <c r="S2173" t="s">
        <v>2445</v>
      </c>
      <c r="T2173" t="s">
        <v>135</v>
      </c>
    </row>
    <row r="2174" spans="1:20" x14ac:dyDescent="0.25">
      <c r="A2174" t="s">
        <v>30</v>
      </c>
      <c r="B2174" t="s">
        <v>31</v>
      </c>
      <c r="C2174" t="s">
        <v>32</v>
      </c>
      <c r="D2174" t="s">
        <v>227</v>
      </c>
      <c r="E2174" t="s">
        <v>2641</v>
      </c>
      <c r="F2174" t="s">
        <v>35</v>
      </c>
      <c r="G2174" t="s">
        <v>35</v>
      </c>
      <c r="H2174" t="s">
        <v>35</v>
      </c>
      <c r="J2174" t="s">
        <v>2648</v>
      </c>
      <c r="K2174" t="s">
        <v>1092</v>
      </c>
      <c r="M2174">
        <v>5.76</v>
      </c>
      <c r="N2174">
        <v>51</v>
      </c>
      <c r="O2174" t="s">
        <v>52</v>
      </c>
      <c r="Q2174" t="s">
        <v>58</v>
      </c>
      <c r="R2174" t="s">
        <v>2444</v>
      </c>
      <c r="S2174" t="s">
        <v>2445</v>
      </c>
      <c r="T2174" t="s">
        <v>135</v>
      </c>
    </row>
    <row r="2175" spans="1:20" x14ac:dyDescent="0.25">
      <c r="A2175" t="s">
        <v>59</v>
      </c>
      <c r="B2175" t="s">
        <v>60</v>
      </c>
      <c r="C2175" t="s">
        <v>32</v>
      </c>
      <c r="D2175" t="s">
        <v>227</v>
      </c>
      <c r="F2175" t="s">
        <v>35</v>
      </c>
      <c r="G2175" t="s">
        <v>35</v>
      </c>
      <c r="H2175" t="s">
        <v>35</v>
      </c>
      <c r="J2175" t="s">
        <v>3045</v>
      </c>
      <c r="K2175" t="s">
        <v>1092</v>
      </c>
      <c r="M2175">
        <v>1</v>
      </c>
      <c r="N2175">
        <v>1393</v>
      </c>
      <c r="O2175" t="s">
        <v>575</v>
      </c>
      <c r="Q2175" t="s">
        <v>3046</v>
      </c>
      <c r="R2175" t="s">
        <v>2444</v>
      </c>
      <c r="S2175" t="s">
        <v>2445</v>
      </c>
      <c r="T2175" t="s">
        <v>135</v>
      </c>
    </row>
    <row r="2176" spans="1:20" x14ac:dyDescent="0.25">
      <c r="A2176" t="s">
        <v>30</v>
      </c>
      <c r="B2176" t="s">
        <v>31</v>
      </c>
      <c r="C2176" t="s">
        <v>32</v>
      </c>
      <c r="D2176" t="s">
        <v>227</v>
      </c>
      <c r="E2176" t="s">
        <v>2652</v>
      </c>
      <c r="F2176" t="s">
        <v>35</v>
      </c>
      <c r="G2176" t="s">
        <v>35</v>
      </c>
      <c r="H2176" t="s">
        <v>35</v>
      </c>
      <c r="J2176" t="s">
        <v>2671</v>
      </c>
      <c r="K2176" t="s">
        <v>1092</v>
      </c>
      <c r="M2176">
        <v>0.67500000000000004</v>
      </c>
      <c r="N2176">
        <v>373</v>
      </c>
      <c r="O2176" t="s">
        <v>294</v>
      </c>
      <c r="Q2176" t="s">
        <v>2664</v>
      </c>
      <c r="R2176" t="s">
        <v>2444</v>
      </c>
      <c r="S2176" t="s">
        <v>2445</v>
      </c>
      <c r="T2176" t="s">
        <v>135</v>
      </c>
    </row>
    <row r="2177" spans="1:20" x14ac:dyDescent="0.25">
      <c r="A2177" t="s">
        <v>30</v>
      </c>
      <c r="B2177" t="s">
        <v>31</v>
      </c>
      <c r="C2177" t="s">
        <v>32</v>
      </c>
      <c r="D2177" t="s">
        <v>227</v>
      </c>
      <c r="E2177" t="s">
        <v>2652</v>
      </c>
      <c r="F2177" t="s">
        <v>35</v>
      </c>
      <c r="G2177" t="s">
        <v>35</v>
      </c>
      <c r="H2177" t="s">
        <v>35</v>
      </c>
      <c r="J2177" t="s">
        <v>2671</v>
      </c>
      <c r="K2177" t="s">
        <v>1092</v>
      </c>
      <c r="M2177">
        <v>10.98</v>
      </c>
      <c r="N2177">
        <v>2</v>
      </c>
      <c r="O2177" t="s">
        <v>46</v>
      </c>
      <c r="Q2177" t="s">
        <v>2009</v>
      </c>
      <c r="R2177" t="s">
        <v>2444</v>
      </c>
      <c r="S2177" t="s">
        <v>2445</v>
      </c>
      <c r="T2177" t="s">
        <v>135</v>
      </c>
    </row>
    <row r="2178" spans="1:20" x14ac:dyDescent="0.25">
      <c r="A2178" t="s">
        <v>30</v>
      </c>
      <c r="B2178" t="s">
        <v>31</v>
      </c>
      <c r="C2178" t="s">
        <v>32</v>
      </c>
      <c r="D2178" t="s">
        <v>227</v>
      </c>
      <c r="E2178" t="s">
        <v>2442</v>
      </c>
      <c r="F2178" t="s">
        <v>35</v>
      </c>
      <c r="G2178" t="s">
        <v>35</v>
      </c>
      <c r="H2178" t="s">
        <v>35</v>
      </c>
      <c r="J2178" t="s">
        <v>2449</v>
      </c>
      <c r="K2178" t="s">
        <v>1144</v>
      </c>
      <c r="M2178">
        <v>32.94</v>
      </c>
      <c r="N2178">
        <v>40</v>
      </c>
      <c r="O2178" t="s">
        <v>52</v>
      </c>
      <c r="Q2178" t="s">
        <v>132</v>
      </c>
      <c r="R2178" t="s">
        <v>2444</v>
      </c>
      <c r="S2178" t="s">
        <v>2445</v>
      </c>
      <c r="T2178" t="s">
        <v>135</v>
      </c>
    </row>
    <row r="2179" spans="1:20" x14ac:dyDescent="0.25">
      <c r="A2179" t="s">
        <v>44</v>
      </c>
      <c r="B2179" t="s">
        <v>3</v>
      </c>
      <c r="C2179" t="s">
        <v>32</v>
      </c>
      <c r="D2179" t="s">
        <v>227</v>
      </c>
      <c r="E2179" t="s">
        <v>2442</v>
      </c>
      <c r="F2179" t="s">
        <v>35</v>
      </c>
      <c r="G2179" t="s">
        <v>35</v>
      </c>
      <c r="H2179" t="s">
        <v>35</v>
      </c>
      <c r="J2179" t="s">
        <v>2449</v>
      </c>
      <c r="K2179" t="s">
        <v>1144</v>
      </c>
      <c r="M2179">
        <v>11</v>
      </c>
      <c r="N2179">
        <v>56</v>
      </c>
      <c r="O2179" t="s">
        <v>52</v>
      </c>
      <c r="Q2179" t="s">
        <v>423</v>
      </c>
      <c r="R2179" t="s">
        <v>2444</v>
      </c>
      <c r="S2179" t="s">
        <v>2445</v>
      </c>
      <c r="T2179" t="s">
        <v>135</v>
      </c>
    </row>
    <row r="2180" spans="1:20" x14ac:dyDescent="0.25">
      <c r="A2180" t="s">
        <v>30</v>
      </c>
      <c r="B2180" t="s">
        <v>31</v>
      </c>
      <c r="C2180" t="s">
        <v>32</v>
      </c>
      <c r="D2180" t="s">
        <v>227</v>
      </c>
      <c r="E2180" t="s">
        <v>2442</v>
      </c>
      <c r="F2180" t="s">
        <v>35</v>
      </c>
      <c r="G2180" t="s">
        <v>35</v>
      </c>
      <c r="H2180" t="s">
        <v>35</v>
      </c>
      <c r="J2180" t="s">
        <v>2449</v>
      </c>
      <c r="K2180" t="s">
        <v>1144</v>
      </c>
      <c r="M2180">
        <v>16.155000000000001</v>
      </c>
      <c r="N2180">
        <v>65</v>
      </c>
      <c r="O2180" t="s">
        <v>61</v>
      </c>
      <c r="Q2180" t="s">
        <v>63</v>
      </c>
      <c r="R2180" t="s">
        <v>2444</v>
      </c>
      <c r="S2180" t="s">
        <v>2445</v>
      </c>
      <c r="T2180" t="s">
        <v>135</v>
      </c>
    </row>
    <row r="2181" spans="1:20" x14ac:dyDescent="0.25">
      <c r="A2181" t="s">
        <v>59</v>
      </c>
      <c r="B2181" t="s">
        <v>31</v>
      </c>
      <c r="C2181" t="s">
        <v>32</v>
      </c>
      <c r="D2181" t="s">
        <v>227</v>
      </c>
      <c r="E2181" t="s">
        <v>251</v>
      </c>
      <c r="F2181" t="s">
        <v>35</v>
      </c>
      <c r="G2181" t="s">
        <v>35</v>
      </c>
      <c r="H2181" t="s">
        <v>35</v>
      </c>
      <c r="J2181" t="s">
        <v>2750</v>
      </c>
      <c r="K2181" t="s">
        <v>1092</v>
      </c>
      <c r="M2181">
        <v>29.385000000000002</v>
      </c>
      <c r="N2181">
        <v>40</v>
      </c>
      <c r="O2181" t="s">
        <v>52</v>
      </c>
      <c r="Q2181" t="s">
        <v>132</v>
      </c>
      <c r="R2181" t="s">
        <v>2444</v>
      </c>
      <c r="S2181" t="s">
        <v>2445</v>
      </c>
      <c r="T2181" t="s">
        <v>135</v>
      </c>
    </row>
    <row r="2182" spans="1:20" x14ac:dyDescent="0.25">
      <c r="A2182" t="s">
        <v>30</v>
      </c>
      <c r="B2182" t="s">
        <v>31</v>
      </c>
      <c r="C2182" t="s">
        <v>32</v>
      </c>
      <c r="D2182" t="s">
        <v>227</v>
      </c>
      <c r="E2182" t="s">
        <v>251</v>
      </c>
      <c r="F2182" t="s">
        <v>35</v>
      </c>
      <c r="G2182" t="s">
        <v>35</v>
      </c>
      <c r="H2182" t="s">
        <v>35</v>
      </c>
      <c r="J2182" t="s">
        <v>2750</v>
      </c>
      <c r="K2182" t="s">
        <v>1092</v>
      </c>
      <c r="M2182">
        <v>24.614999999999998</v>
      </c>
      <c r="N2182">
        <v>40</v>
      </c>
      <c r="O2182" t="s">
        <v>52</v>
      </c>
      <c r="Q2182" t="s">
        <v>132</v>
      </c>
      <c r="R2182" t="s">
        <v>2444</v>
      </c>
      <c r="S2182" t="s">
        <v>2445</v>
      </c>
      <c r="T2182" t="s">
        <v>135</v>
      </c>
    </row>
    <row r="2183" spans="1:20" x14ac:dyDescent="0.25">
      <c r="A2183" t="s">
        <v>59</v>
      </c>
      <c r="B2183" t="s">
        <v>31</v>
      </c>
      <c r="C2183" t="s">
        <v>32</v>
      </c>
      <c r="D2183" t="s">
        <v>227</v>
      </c>
      <c r="E2183" t="s">
        <v>2652</v>
      </c>
      <c r="F2183" t="s">
        <v>35</v>
      </c>
      <c r="G2183" t="s">
        <v>35</v>
      </c>
      <c r="H2183" t="s">
        <v>35</v>
      </c>
      <c r="J2183" t="s">
        <v>2658</v>
      </c>
      <c r="K2183" t="s">
        <v>1092</v>
      </c>
      <c r="M2183">
        <v>0.54</v>
      </c>
      <c r="N2183">
        <v>88</v>
      </c>
      <c r="O2183" t="s">
        <v>61</v>
      </c>
      <c r="Q2183" t="s">
        <v>724</v>
      </c>
      <c r="R2183" t="s">
        <v>2444</v>
      </c>
      <c r="S2183" t="s">
        <v>2445</v>
      </c>
      <c r="T2183" t="s">
        <v>135</v>
      </c>
    </row>
    <row r="2184" spans="1:20" x14ac:dyDescent="0.25">
      <c r="A2184" t="s">
        <v>59</v>
      </c>
      <c r="B2184" t="s">
        <v>60</v>
      </c>
      <c r="C2184" t="s">
        <v>32</v>
      </c>
      <c r="D2184" t="s">
        <v>227</v>
      </c>
      <c r="E2184" t="s">
        <v>2652</v>
      </c>
      <c r="F2184" t="s">
        <v>35</v>
      </c>
      <c r="G2184" t="s">
        <v>35</v>
      </c>
      <c r="H2184" t="s">
        <v>35</v>
      </c>
      <c r="J2184" t="s">
        <v>2658</v>
      </c>
      <c r="K2184" t="s">
        <v>1092</v>
      </c>
      <c r="M2184">
        <v>1.78</v>
      </c>
      <c r="N2184">
        <v>88</v>
      </c>
      <c r="O2184" t="s">
        <v>61</v>
      </c>
      <c r="Q2184" t="s">
        <v>724</v>
      </c>
      <c r="R2184" t="s">
        <v>2444</v>
      </c>
      <c r="S2184" t="s">
        <v>2445</v>
      </c>
      <c r="T2184" t="s">
        <v>135</v>
      </c>
    </row>
    <row r="2185" spans="1:20" x14ac:dyDescent="0.25">
      <c r="A2185" t="s">
        <v>30</v>
      </c>
      <c r="B2185" t="s">
        <v>31</v>
      </c>
      <c r="C2185" t="s">
        <v>32</v>
      </c>
      <c r="D2185" t="s">
        <v>227</v>
      </c>
      <c r="E2185" t="s">
        <v>2652</v>
      </c>
      <c r="F2185" t="s">
        <v>35</v>
      </c>
      <c r="G2185" t="s">
        <v>35</v>
      </c>
      <c r="H2185" t="s">
        <v>35</v>
      </c>
      <c r="J2185" t="s">
        <v>2658</v>
      </c>
      <c r="K2185" t="s">
        <v>1092</v>
      </c>
      <c r="M2185">
        <v>0.45</v>
      </c>
      <c r="N2185">
        <v>93</v>
      </c>
      <c r="O2185" t="s">
        <v>106</v>
      </c>
      <c r="Q2185" t="s">
        <v>1112</v>
      </c>
      <c r="R2185" t="s">
        <v>2444</v>
      </c>
      <c r="S2185" t="s">
        <v>2445</v>
      </c>
      <c r="T2185" t="s">
        <v>135</v>
      </c>
    </row>
    <row r="2186" spans="1:20" x14ac:dyDescent="0.25">
      <c r="A2186" t="s">
        <v>59</v>
      </c>
      <c r="B2186" t="s">
        <v>31</v>
      </c>
      <c r="C2186" t="s">
        <v>32</v>
      </c>
      <c r="D2186" t="s">
        <v>227</v>
      </c>
      <c r="E2186" t="s">
        <v>270</v>
      </c>
      <c r="F2186" t="s">
        <v>35</v>
      </c>
      <c r="G2186" t="s">
        <v>35</v>
      </c>
      <c r="H2186" t="s">
        <v>35</v>
      </c>
      <c r="J2186" t="s">
        <v>2782</v>
      </c>
      <c r="K2186" t="s">
        <v>1092</v>
      </c>
      <c r="M2186">
        <v>4.41</v>
      </c>
      <c r="N2186">
        <v>126</v>
      </c>
      <c r="O2186" t="s">
        <v>38</v>
      </c>
      <c r="Q2186" t="s">
        <v>68</v>
      </c>
      <c r="R2186" t="s">
        <v>2444</v>
      </c>
      <c r="S2186" t="s">
        <v>2445</v>
      </c>
      <c r="T2186" t="s">
        <v>135</v>
      </c>
    </row>
    <row r="2187" spans="1:20" x14ac:dyDescent="0.25">
      <c r="A2187" t="s">
        <v>44</v>
      </c>
      <c r="B2187" t="s">
        <v>51</v>
      </c>
      <c r="C2187" t="s">
        <v>32</v>
      </c>
      <c r="D2187" t="s">
        <v>227</v>
      </c>
      <c r="E2187" t="s">
        <v>270</v>
      </c>
      <c r="F2187" t="s">
        <v>35</v>
      </c>
      <c r="G2187" t="s">
        <v>35</v>
      </c>
      <c r="H2187" t="s">
        <v>35</v>
      </c>
      <c r="J2187" t="s">
        <v>2782</v>
      </c>
      <c r="K2187" t="s">
        <v>1092</v>
      </c>
      <c r="M2187">
        <v>9.75</v>
      </c>
      <c r="N2187">
        <v>44</v>
      </c>
      <c r="O2187" t="s">
        <v>52</v>
      </c>
      <c r="Q2187" t="s">
        <v>54</v>
      </c>
      <c r="R2187" t="s">
        <v>2444</v>
      </c>
      <c r="S2187" t="s">
        <v>2445</v>
      </c>
      <c r="T2187" t="s">
        <v>135</v>
      </c>
    </row>
    <row r="2188" spans="1:20" x14ac:dyDescent="0.25">
      <c r="A2188" t="s">
        <v>59</v>
      </c>
      <c r="B2188" t="s">
        <v>60</v>
      </c>
      <c r="C2188" t="s">
        <v>32</v>
      </c>
      <c r="D2188" t="s">
        <v>227</v>
      </c>
      <c r="E2188" t="s">
        <v>270</v>
      </c>
      <c r="F2188" t="s">
        <v>35</v>
      </c>
      <c r="G2188" t="s">
        <v>35</v>
      </c>
      <c r="H2188" t="s">
        <v>35</v>
      </c>
      <c r="J2188" t="s">
        <v>2782</v>
      </c>
      <c r="K2188" t="s">
        <v>1092</v>
      </c>
      <c r="M2188">
        <v>4.75</v>
      </c>
      <c r="N2188">
        <v>46</v>
      </c>
      <c r="O2188" t="s">
        <v>52</v>
      </c>
      <c r="Q2188" t="s">
        <v>332</v>
      </c>
      <c r="R2188" t="s">
        <v>2444</v>
      </c>
      <c r="S2188" t="s">
        <v>2445</v>
      </c>
      <c r="T2188" t="s">
        <v>135</v>
      </c>
    </row>
    <row r="2189" spans="1:20" x14ac:dyDescent="0.25">
      <c r="A2189" t="s">
        <v>30</v>
      </c>
      <c r="B2189" t="s">
        <v>31</v>
      </c>
      <c r="C2189" t="s">
        <v>32</v>
      </c>
      <c r="D2189" t="s">
        <v>227</v>
      </c>
      <c r="E2189" t="s">
        <v>2652</v>
      </c>
      <c r="F2189" t="s">
        <v>35</v>
      </c>
      <c r="G2189" t="s">
        <v>35</v>
      </c>
      <c r="H2189" t="s">
        <v>35</v>
      </c>
      <c r="J2189" t="s">
        <v>2669</v>
      </c>
      <c r="K2189" t="s">
        <v>1092</v>
      </c>
      <c r="M2189">
        <v>10.98</v>
      </c>
      <c r="N2189">
        <v>25</v>
      </c>
      <c r="O2189" t="s">
        <v>46</v>
      </c>
      <c r="Q2189" t="s">
        <v>547</v>
      </c>
      <c r="R2189" t="s">
        <v>2444</v>
      </c>
      <c r="S2189" t="s">
        <v>2445</v>
      </c>
      <c r="T2189" t="s">
        <v>135</v>
      </c>
    </row>
    <row r="2190" spans="1:20" x14ac:dyDescent="0.25">
      <c r="A2190" t="s">
        <v>30</v>
      </c>
      <c r="B2190" t="s">
        <v>31</v>
      </c>
      <c r="C2190" t="s">
        <v>32</v>
      </c>
      <c r="D2190" t="s">
        <v>227</v>
      </c>
      <c r="E2190" t="s">
        <v>2652</v>
      </c>
      <c r="F2190" t="s">
        <v>35</v>
      </c>
      <c r="G2190" t="s">
        <v>35</v>
      </c>
      <c r="H2190" t="s">
        <v>35</v>
      </c>
      <c r="J2190" t="s">
        <v>2669</v>
      </c>
      <c r="K2190" t="s">
        <v>1092</v>
      </c>
      <c r="M2190">
        <v>0.13500000000000001</v>
      </c>
      <c r="N2190">
        <v>373</v>
      </c>
      <c r="O2190" t="s">
        <v>294</v>
      </c>
      <c r="Q2190" t="s">
        <v>2664</v>
      </c>
      <c r="R2190" t="s">
        <v>2444</v>
      </c>
      <c r="S2190" t="s">
        <v>2445</v>
      </c>
      <c r="T2190" t="s">
        <v>135</v>
      </c>
    </row>
    <row r="2191" spans="1:20" x14ac:dyDescent="0.25">
      <c r="A2191" t="s">
        <v>30</v>
      </c>
      <c r="B2191" t="s">
        <v>31</v>
      </c>
      <c r="C2191" t="s">
        <v>32</v>
      </c>
      <c r="D2191" t="s">
        <v>227</v>
      </c>
      <c r="F2191" t="s">
        <v>35</v>
      </c>
      <c r="G2191" t="s">
        <v>35</v>
      </c>
      <c r="H2191" t="s">
        <v>35</v>
      </c>
      <c r="J2191" t="s">
        <v>2960</v>
      </c>
      <c r="K2191" t="s">
        <v>1092</v>
      </c>
      <c r="M2191">
        <v>1.98</v>
      </c>
      <c r="N2191">
        <v>1699</v>
      </c>
      <c r="O2191" t="s">
        <v>575</v>
      </c>
      <c r="Q2191" t="s">
        <v>2961</v>
      </c>
      <c r="R2191" t="s">
        <v>2444</v>
      </c>
      <c r="S2191" t="s">
        <v>2445</v>
      </c>
      <c r="T2191" t="s">
        <v>135</v>
      </c>
    </row>
    <row r="2192" spans="1:20" x14ac:dyDescent="0.25">
      <c r="A2192" t="s">
        <v>30</v>
      </c>
      <c r="B2192" t="s">
        <v>31</v>
      </c>
      <c r="C2192" t="s">
        <v>32</v>
      </c>
      <c r="D2192" t="s">
        <v>227</v>
      </c>
      <c r="E2192" t="s">
        <v>2652</v>
      </c>
      <c r="F2192" t="s">
        <v>35</v>
      </c>
      <c r="G2192" t="s">
        <v>35</v>
      </c>
      <c r="H2192" t="s">
        <v>35</v>
      </c>
      <c r="J2192" t="s">
        <v>2663</v>
      </c>
      <c r="K2192" t="s">
        <v>1092</v>
      </c>
      <c r="M2192">
        <v>0.67500000000000004</v>
      </c>
      <c r="N2192">
        <v>373</v>
      </c>
      <c r="O2192" t="s">
        <v>294</v>
      </c>
      <c r="Q2192" t="s">
        <v>2664</v>
      </c>
      <c r="R2192" t="s">
        <v>2444</v>
      </c>
      <c r="S2192" t="s">
        <v>2445</v>
      </c>
      <c r="T2192" t="s">
        <v>135</v>
      </c>
    </row>
    <row r="2193" spans="1:20" x14ac:dyDescent="0.25">
      <c r="A2193" t="s">
        <v>59</v>
      </c>
      <c r="B2193" t="s">
        <v>60</v>
      </c>
      <c r="C2193" t="s">
        <v>32</v>
      </c>
      <c r="D2193" t="s">
        <v>227</v>
      </c>
      <c r="E2193" t="s">
        <v>270</v>
      </c>
      <c r="F2193" t="s">
        <v>35</v>
      </c>
      <c r="G2193" t="s">
        <v>35</v>
      </c>
      <c r="H2193" t="s">
        <v>35</v>
      </c>
      <c r="J2193" t="s">
        <v>2584</v>
      </c>
      <c r="K2193" t="s">
        <v>1092</v>
      </c>
      <c r="M2193">
        <v>3.45</v>
      </c>
      <c r="N2193">
        <v>88</v>
      </c>
      <c r="O2193" t="s">
        <v>61</v>
      </c>
      <c r="Q2193" t="s">
        <v>724</v>
      </c>
      <c r="R2193" t="s">
        <v>2444</v>
      </c>
      <c r="S2193" t="s">
        <v>2445</v>
      </c>
      <c r="T2193" t="s">
        <v>135</v>
      </c>
    </row>
    <row r="2194" spans="1:20" x14ac:dyDescent="0.25">
      <c r="A2194" t="s">
        <v>59</v>
      </c>
      <c r="B2194" t="s">
        <v>31</v>
      </c>
      <c r="C2194" t="s">
        <v>32</v>
      </c>
      <c r="D2194" t="s">
        <v>227</v>
      </c>
      <c r="E2194" t="s">
        <v>270</v>
      </c>
      <c r="F2194" t="s">
        <v>35</v>
      </c>
      <c r="G2194" t="s">
        <v>35</v>
      </c>
      <c r="H2194" t="s">
        <v>35</v>
      </c>
      <c r="J2194" t="s">
        <v>2584</v>
      </c>
      <c r="K2194" t="s">
        <v>1092</v>
      </c>
      <c r="M2194">
        <v>5.49</v>
      </c>
      <c r="N2194">
        <v>88</v>
      </c>
      <c r="O2194" t="s">
        <v>61</v>
      </c>
      <c r="Q2194" t="s">
        <v>724</v>
      </c>
      <c r="R2194" t="s">
        <v>2444</v>
      </c>
      <c r="S2194" t="s">
        <v>2445</v>
      </c>
      <c r="T2194" t="s">
        <v>135</v>
      </c>
    </row>
    <row r="2195" spans="1:20" x14ac:dyDescent="0.25">
      <c r="A2195" t="s">
        <v>30</v>
      </c>
      <c r="B2195" t="s">
        <v>31</v>
      </c>
      <c r="C2195" t="s">
        <v>32</v>
      </c>
      <c r="D2195" t="s">
        <v>227</v>
      </c>
      <c r="E2195" t="s">
        <v>270</v>
      </c>
      <c r="F2195" t="s">
        <v>35</v>
      </c>
      <c r="G2195" t="s">
        <v>35</v>
      </c>
      <c r="H2195" t="s">
        <v>35</v>
      </c>
      <c r="J2195" t="s">
        <v>2584</v>
      </c>
      <c r="K2195" t="s">
        <v>1092</v>
      </c>
      <c r="M2195">
        <v>6.0750000000000002</v>
      </c>
      <c r="N2195">
        <v>362</v>
      </c>
      <c r="O2195" t="s">
        <v>5</v>
      </c>
      <c r="Q2195" t="s">
        <v>2769</v>
      </c>
      <c r="R2195" t="s">
        <v>2444</v>
      </c>
      <c r="S2195" t="s">
        <v>2445</v>
      </c>
      <c r="T2195" t="s">
        <v>135</v>
      </c>
    </row>
    <row r="2196" spans="1:20" x14ac:dyDescent="0.25">
      <c r="A2196" t="s">
        <v>59</v>
      </c>
      <c r="B2196" t="s">
        <v>31</v>
      </c>
      <c r="C2196" t="s">
        <v>32</v>
      </c>
      <c r="D2196" t="s">
        <v>227</v>
      </c>
      <c r="E2196" t="s">
        <v>270</v>
      </c>
      <c r="F2196" t="s">
        <v>35</v>
      </c>
      <c r="G2196" t="s">
        <v>35</v>
      </c>
      <c r="H2196" t="s">
        <v>35</v>
      </c>
      <c r="J2196" t="s">
        <v>2584</v>
      </c>
      <c r="K2196" t="s">
        <v>1092</v>
      </c>
      <c r="M2196">
        <v>5.5350000000000001</v>
      </c>
      <c r="N2196">
        <v>369</v>
      </c>
      <c r="O2196" t="s">
        <v>294</v>
      </c>
      <c r="Q2196" t="s">
        <v>1238</v>
      </c>
      <c r="R2196" t="s">
        <v>2444</v>
      </c>
      <c r="S2196" t="s">
        <v>2445</v>
      </c>
      <c r="T2196" t="s">
        <v>135</v>
      </c>
    </row>
    <row r="2197" spans="1:20" x14ac:dyDescent="0.25">
      <c r="A2197" t="s">
        <v>59</v>
      </c>
      <c r="B2197" t="s">
        <v>31</v>
      </c>
      <c r="C2197" t="s">
        <v>32</v>
      </c>
      <c r="D2197" t="s">
        <v>227</v>
      </c>
      <c r="E2197" t="s">
        <v>2617</v>
      </c>
      <c r="F2197" t="s">
        <v>35</v>
      </c>
      <c r="G2197" t="s">
        <v>35</v>
      </c>
      <c r="H2197" t="s">
        <v>35</v>
      </c>
      <c r="J2197" t="s">
        <v>2622</v>
      </c>
      <c r="K2197" t="s">
        <v>1092</v>
      </c>
      <c r="M2197">
        <v>5.0000000000000001E-3</v>
      </c>
      <c r="N2197">
        <v>571</v>
      </c>
      <c r="O2197" t="s">
        <v>575</v>
      </c>
      <c r="Q2197" t="s">
        <v>2556</v>
      </c>
      <c r="R2197" t="s">
        <v>2444</v>
      </c>
      <c r="S2197" t="s">
        <v>2445</v>
      </c>
      <c r="T2197" t="s">
        <v>135</v>
      </c>
    </row>
    <row r="2198" spans="1:20" x14ac:dyDescent="0.25">
      <c r="A2198" t="s">
        <v>59</v>
      </c>
      <c r="B2198" t="s">
        <v>60</v>
      </c>
      <c r="C2198" t="s">
        <v>32</v>
      </c>
      <c r="D2198" t="s">
        <v>227</v>
      </c>
      <c r="E2198" t="s">
        <v>2492</v>
      </c>
      <c r="F2198" t="s">
        <v>35</v>
      </c>
      <c r="G2198" t="s">
        <v>35</v>
      </c>
      <c r="H2198" t="s">
        <v>35</v>
      </c>
      <c r="J2198" t="s">
        <v>2496</v>
      </c>
      <c r="K2198" t="s">
        <v>1092</v>
      </c>
      <c r="M2198">
        <v>0.54500000000000004</v>
      </c>
      <c r="N2198">
        <v>123</v>
      </c>
      <c r="O2198" t="s">
        <v>38</v>
      </c>
      <c r="Q2198" t="s">
        <v>1656</v>
      </c>
      <c r="R2198" t="s">
        <v>2444</v>
      </c>
      <c r="S2198" t="s">
        <v>2445</v>
      </c>
      <c r="T2198" t="s">
        <v>135</v>
      </c>
    </row>
    <row r="2199" spans="1:20" x14ac:dyDescent="0.25">
      <c r="A2199" t="s">
        <v>59</v>
      </c>
      <c r="B2199" t="s">
        <v>31</v>
      </c>
      <c r="C2199" t="s">
        <v>32</v>
      </c>
      <c r="D2199" t="s">
        <v>227</v>
      </c>
      <c r="F2199" t="s">
        <v>35</v>
      </c>
      <c r="G2199" t="s">
        <v>35</v>
      </c>
      <c r="H2199" t="s">
        <v>35</v>
      </c>
      <c r="J2199" t="s">
        <v>3086</v>
      </c>
      <c r="K2199" t="s">
        <v>1092</v>
      </c>
      <c r="M2199">
        <v>3.2650000000000001</v>
      </c>
      <c r="N2199">
        <v>2635</v>
      </c>
      <c r="O2199" t="s">
        <v>575</v>
      </c>
      <c r="Q2199" t="s">
        <v>3087</v>
      </c>
      <c r="R2199" t="s">
        <v>3088</v>
      </c>
      <c r="S2199" t="s">
        <v>3089</v>
      </c>
      <c r="T2199" t="s">
        <v>3090</v>
      </c>
    </row>
    <row r="2200" spans="1:20" x14ac:dyDescent="0.25">
      <c r="A2200" t="s">
        <v>59</v>
      </c>
      <c r="B2200" t="s">
        <v>31</v>
      </c>
      <c r="C2200" t="s">
        <v>32</v>
      </c>
      <c r="D2200" t="s">
        <v>227</v>
      </c>
      <c r="E2200" t="s">
        <v>2575</v>
      </c>
      <c r="F2200" t="s">
        <v>35</v>
      </c>
      <c r="G2200" t="s">
        <v>35</v>
      </c>
      <c r="H2200" t="s">
        <v>35</v>
      </c>
      <c r="J2200" t="s">
        <v>2581</v>
      </c>
      <c r="K2200" t="s">
        <v>1092</v>
      </c>
      <c r="M2200">
        <v>8.9999999999999993E-3</v>
      </c>
      <c r="N2200">
        <v>1822</v>
      </c>
      <c r="O2200" t="s">
        <v>575</v>
      </c>
      <c r="Q2200" t="s">
        <v>2582</v>
      </c>
      <c r="R2200" t="s">
        <v>2583</v>
      </c>
      <c r="S2200" t="s">
        <v>2584</v>
      </c>
      <c r="T2200" t="s">
        <v>2585</v>
      </c>
    </row>
    <row r="2201" spans="1:20" x14ac:dyDescent="0.25">
      <c r="A2201" t="s">
        <v>44</v>
      </c>
      <c r="B2201" t="s">
        <v>3</v>
      </c>
      <c r="C2201" t="s">
        <v>32</v>
      </c>
      <c r="D2201" t="s">
        <v>227</v>
      </c>
      <c r="E2201" t="s">
        <v>2575</v>
      </c>
      <c r="F2201" t="s">
        <v>35</v>
      </c>
      <c r="G2201" t="s">
        <v>35</v>
      </c>
      <c r="H2201" t="s">
        <v>35</v>
      </c>
      <c r="J2201" t="s">
        <v>2588</v>
      </c>
      <c r="K2201" t="s">
        <v>1092</v>
      </c>
      <c r="M2201">
        <v>2.15</v>
      </c>
      <c r="N2201">
        <v>146</v>
      </c>
      <c r="O2201" t="s">
        <v>38</v>
      </c>
      <c r="Q2201" t="s">
        <v>569</v>
      </c>
      <c r="R2201" t="s">
        <v>2589</v>
      </c>
      <c r="S2201" t="s">
        <v>2590</v>
      </c>
      <c r="T2201" t="s">
        <v>2591</v>
      </c>
    </row>
    <row r="2202" spans="1:20" x14ac:dyDescent="0.25">
      <c r="A2202" t="s">
        <v>44</v>
      </c>
      <c r="B2202" t="s">
        <v>3</v>
      </c>
      <c r="C2202" t="s">
        <v>32</v>
      </c>
      <c r="D2202" t="s">
        <v>227</v>
      </c>
      <c r="E2202" t="s">
        <v>2603</v>
      </c>
      <c r="F2202" t="s">
        <v>35</v>
      </c>
      <c r="G2202" t="s">
        <v>35</v>
      </c>
      <c r="H2202" t="s">
        <v>35</v>
      </c>
      <c r="J2202" t="s">
        <v>2607</v>
      </c>
      <c r="K2202" t="s">
        <v>1092</v>
      </c>
      <c r="M2202">
        <v>0.05</v>
      </c>
      <c r="N2202">
        <v>400</v>
      </c>
      <c r="O2202" t="s">
        <v>294</v>
      </c>
      <c r="Q2202" t="s">
        <v>2608</v>
      </c>
      <c r="R2202" t="s">
        <v>2589</v>
      </c>
      <c r="S2202" t="s">
        <v>2590</v>
      </c>
      <c r="T2202" t="s">
        <v>2591</v>
      </c>
    </row>
    <row r="2203" spans="1:20" x14ac:dyDescent="0.25">
      <c r="A2203" t="s">
        <v>59</v>
      </c>
      <c r="B2203" t="s">
        <v>60</v>
      </c>
      <c r="C2203" t="s">
        <v>32</v>
      </c>
      <c r="D2203" t="s">
        <v>227</v>
      </c>
      <c r="E2203" t="s">
        <v>2919</v>
      </c>
      <c r="F2203" t="s">
        <v>35</v>
      </c>
      <c r="G2203" t="s">
        <v>35</v>
      </c>
      <c r="H2203" t="s">
        <v>35</v>
      </c>
      <c r="J2203" t="s">
        <v>2927</v>
      </c>
      <c r="K2203" t="s">
        <v>1092</v>
      </c>
      <c r="M2203">
        <v>0.16500000000000001</v>
      </c>
      <c r="N2203">
        <v>2355</v>
      </c>
      <c r="O2203" t="s">
        <v>575</v>
      </c>
      <c r="Q2203" t="s">
        <v>2378</v>
      </c>
      <c r="R2203" t="s">
        <v>2474</v>
      </c>
      <c r="S2203" t="s">
        <v>2475</v>
      </c>
      <c r="T2203" t="s">
        <v>2476</v>
      </c>
    </row>
    <row r="2204" spans="1:20" x14ac:dyDescent="0.25">
      <c r="A2204" t="s">
        <v>30</v>
      </c>
      <c r="B2204" t="s">
        <v>31</v>
      </c>
      <c r="C2204" t="s">
        <v>32</v>
      </c>
      <c r="D2204" t="s">
        <v>227</v>
      </c>
      <c r="E2204" t="s">
        <v>2931</v>
      </c>
      <c r="F2204" t="s">
        <v>35</v>
      </c>
      <c r="G2204" t="s">
        <v>35</v>
      </c>
      <c r="H2204" t="s">
        <v>35</v>
      </c>
      <c r="J2204" t="s">
        <v>2938</v>
      </c>
      <c r="K2204" t="s">
        <v>1092</v>
      </c>
      <c r="M2204">
        <v>3.07</v>
      </c>
      <c r="N2204">
        <v>803</v>
      </c>
      <c r="O2204" t="s">
        <v>575</v>
      </c>
      <c r="Q2204" t="s">
        <v>2939</v>
      </c>
      <c r="R2204" t="s">
        <v>2474</v>
      </c>
      <c r="S2204" t="s">
        <v>2475</v>
      </c>
      <c r="T2204" t="s">
        <v>2476</v>
      </c>
    </row>
    <row r="2205" spans="1:20" x14ac:dyDescent="0.25">
      <c r="A2205" t="s">
        <v>59</v>
      </c>
      <c r="B2205" t="s">
        <v>31</v>
      </c>
      <c r="C2205" t="s">
        <v>32</v>
      </c>
      <c r="D2205" t="s">
        <v>227</v>
      </c>
      <c r="F2205" t="s">
        <v>35</v>
      </c>
      <c r="G2205" t="s">
        <v>35</v>
      </c>
      <c r="H2205" t="s">
        <v>35</v>
      </c>
      <c r="J2205" t="s">
        <v>2991</v>
      </c>
      <c r="K2205" t="s">
        <v>1092</v>
      </c>
      <c r="M2205">
        <v>8.2750000000000004</v>
      </c>
      <c r="N2205">
        <v>1451</v>
      </c>
      <c r="O2205" t="s">
        <v>575</v>
      </c>
      <c r="Q2205" t="s">
        <v>2993</v>
      </c>
      <c r="R2205" t="s">
        <v>2474</v>
      </c>
      <c r="S2205" t="s">
        <v>2475</v>
      </c>
      <c r="T2205" t="s">
        <v>2476</v>
      </c>
    </row>
    <row r="2206" spans="1:20" x14ac:dyDescent="0.25">
      <c r="A2206" t="s">
        <v>59</v>
      </c>
      <c r="B2206" t="s">
        <v>60</v>
      </c>
      <c r="C2206" t="s">
        <v>32</v>
      </c>
      <c r="D2206" t="s">
        <v>227</v>
      </c>
      <c r="F2206" t="s">
        <v>35</v>
      </c>
      <c r="G2206" t="s">
        <v>35</v>
      </c>
      <c r="H2206" t="s">
        <v>35</v>
      </c>
      <c r="J2206" t="s">
        <v>3045</v>
      </c>
      <c r="K2206" t="s">
        <v>1092</v>
      </c>
      <c r="M2206">
        <v>3</v>
      </c>
      <c r="N2206">
        <v>1349</v>
      </c>
      <c r="O2206" t="s">
        <v>575</v>
      </c>
      <c r="Q2206" t="s">
        <v>3047</v>
      </c>
      <c r="R2206" t="s">
        <v>2474</v>
      </c>
      <c r="S2206" t="s">
        <v>2475</v>
      </c>
      <c r="T2206" t="s">
        <v>2476</v>
      </c>
    </row>
    <row r="2207" spans="1:20" x14ac:dyDescent="0.25">
      <c r="A2207" t="s">
        <v>59</v>
      </c>
      <c r="B2207" t="s">
        <v>31</v>
      </c>
      <c r="C2207" t="s">
        <v>32</v>
      </c>
      <c r="D2207" t="s">
        <v>227</v>
      </c>
      <c r="F2207" t="s">
        <v>35</v>
      </c>
      <c r="G2207" t="s">
        <v>35</v>
      </c>
      <c r="H2207" t="s">
        <v>35</v>
      </c>
      <c r="J2207" t="s">
        <v>3068</v>
      </c>
      <c r="K2207" t="s">
        <v>1092</v>
      </c>
      <c r="M2207">
        <v>6.39</v>
      </c>
      <c r="N2207">
        <v>1134</v>
      </c>
      <c r="O2207" t="s">
        <v>575</v>
      </c>
      <c r="Q2207" t="s">
        <v>3069</v>
      </c>
      <c r="R2207" t="s">
        <v>2474</v>
      </c>
      <c r="S2207" t="s">
        <v>2475</v>
      </c>
      <c r="T2207" t="s">
        <v>2476</v>
      </c>
    </row>
    <row r="2208" spans="1:20" x14ac:dyDescent="0.25">
      <c r="A2208" t="s">
        <v>30</v>
      </c>
      <c r="B2208" t="s">
        <v>31</v>
      </c>
      <c r="C2208" t="s">
        <v>32</v>
      </c>
      <c r="D2208" t="s">
        <v>227</v>
      </c>
      <c r="F2208" t="s">
        <v>35</v>
      </c>
      <c r="G2208" t="s">
        <v>35</v>
      </c>
      <c r="H2208" t="s">
        <v>35</v>
      </c>
      <c r="J2208" t="s">
        <v>3004</v>
      </c>
      <c r="K2208" t="s">
        <v>1092</v>
      </c>
      <c r="M2208">
        <v>1.0349999999999999</v>
      </c>
      <c r="N2208">
        <v>886</v>
      </c>
      <c r="O2208" t="s">
        <v>575</v>
      </c>
      <c r="Q2208" t="s">
        <v>2390</v>
      </c>
      <c r="R2208" t="s">
        <v>2474</v>
      </c>
      <c r="S2208" t="s">
        <v>2475</v>
      </c>
      <c r="T2208" t="s">
        <v>2476</v>
      </c>
    </row>
    <row r="2209" spans="1:20" x14ac:dyDescent="0.25">
      <c r="A2209" t="s">
        <v>59</v>
      </c>
      <c r="B2209" t="s">
        <v>31</v>
      </c>
      <c r="C2209" t="s">
        <v>32</v>
      </c>
      <c r="D2209" t="s">
        <v>227</v>
      </c>
      <c r="F2209" t="s">
        <v>35</v>
      </c>
      <c r="G2209" t="s">
        <v>35</v>
      </c>
      <c r="H2209" t="s">
        <v>35</v>
      </c>
      <c r="J2209" t="s">
        <v>2951</v>
      </c>
      <c r="K2209" t="s">
        <v>1092</v>
      </c>
      <c r="M2209">
        <v>1.25</v>
      </c>
      <c r="N2209">
        <v>2618</v>
      </c>
      <c r="O2209" t="s">
        <v>575</v>
      </c>
      <c r="Q2209" t="s">
        <v>2952</v>
      </c>
      <c r="R2209" t="s">
        <v>2474</v>
      </c>
      <c r="S2209" t="s">
        <v>2475</v>
      </c>
      <c r="T2209" t="s">
        <v>2476</v>
      </c>
    </row>
    <row r="2210" spans="1:20" x14ac:dyDescent="0.25">
      <c r="A2210" t="s">
        <v>59</v>
      </c>
      <c r="B2210" t="s">
        <v>31</v>
      </c>
      <c r="C2210" t="s">
        <v>32</v>
      </c>
      <c r="D2210" t="s">
        <v>227</v>
      </c>
      <c r="E2210" t="s">
        <v>235</v>
      </c>
      <c r="F2210" t="s">
        <v>35</v>
      </c>
      <c r="G2210" t="s">
        <v>35</v>
      </c>
      <c r="H2210" t="s">
        <v>35</v>
      </c>
      <c r="J2210" t="s">
        <v>2538</v>
      </c>
      <c r="K2210" t="s">
        <v>1092</v>
      </c>
      <c r="M2210">
        <v>6.8</v>
      </c>
      <c r="N2210">
        <v>807</v>
      </c>
      <c r="O2210" t="s">
        <v>575</v>
      </c>
      <c r="Q2210" t="s">
        <v>2539</v>
      </c>
      <c r="R2210" t="s">
        <v>2474</v>
      </c>
      <c r="S2210" t="s">
        <v>2475</v>
      </c>
      <c r="T2210" t="s">
        <v>2476</v>
      </c>
    </row>
    <row r="2211" spans="1:20" x14ac:dyDescent="0.25">
      <c r="A2211" t="s">
        <v>59</v>
      </c>
      <c r="B2211" t="s">
        <v>31</v>
      </c>
      <c r="C2211" t="s">
        <v>32</v>
      </c>
      <c r="D2211" t="s">
        <v>227</v>
      </c>
      <c r="E2211" t="s">
        <v>2551</v>
      </c>
      <c r="F2211" t="s">
        <v>35</v>
      </c>
      <c r="G2211" t="s">
        <v>35</v>
      </c>
      <c r="H2211" t="s">
        <v>35</v>
      </c>
      <c r="J2211" t="s">
        <v>2560</v>
      </c>
      <c r="K2211" t="s">
        <v>1092</v>
      </c>
      <c r="M2211">
        <v>0.75</v>
      </c>
      <c r="N2211">
        <v>1895</v>
      </c>
      <c r="O2211" t="s">
        <v>575</v>
      </c>
      <c r="Q2211" t="s">
        <v>2201</v>
      </c>
      <c r="R2211" t="s">
        <v>2474</v>
      </c>
      <c r="S2211" t="s">
        <v>2475</v>
      </c>
      <c r="T2211" t="s">
        <v>2476</v>
      </c>
    </row>
    <row r="2212" spans="1:20" x14ac:dyDescent="0.25">
      <c r="A2212" t="s">
        <v>30</v>
      </c>
      <c r="B2212" t="s">
        <v>31</v>
      </c>
      <c r="C2212" t="s">
        <v>32</v>
      </c>
      <c r="D2212" t="s">
        <v>227</v>
      </c>
      <c r="E2212" t="s">
        <v>251</v>
      </c>
      <c r="F2212" t="s">
        <v>35</v>
      </c>
      <c r="G2212" t="s">
        <v>35</v>
      </c>
      <c r="H2212" t="s">
        <v>35</v>
      </c>
      <c r="J2212" t="s">
        <v>2753</v>
      </c>
      <c r="K2212" t="s">
        <v>1092</v>
      </c>
      <c r="M2212">
        <v>7.38</v>
      </c>
      <c r="N2212">
        <v>1157</v>
      </c>
      <c r="O2212" t="s">
        <v>575</v>
      </c>
      <c r="Q2212" t="s">
        <v>2754</v>
      </c>
      <c r="R2212" t="s">
        <v>2474</v>
      </c>
      <c r="S2212" t="s">
        <v>2475</v>
      </c>
      <c r="T2212" t="s">
        <v>2476</v>
      </c>
    </row>
    <row r="2213" spans="1:20" x14ac:dyDescent="0.25">
      <c r="A2213" t="s">
        <v>59</v>
      </c>
      <c r="B2213" t="s">
        <v>60</v>
      </c>
      <c r="C2213" t="s">
        <v>32</v>
      </c>
      <c r="D2213" t="s">
        <v>227</v>
      </c>
      <c r="E2213" t="s">
        <v>2492</v>
      </c>
      <c r="F2213" t="s">
        <v>35</v>
      </c>
      <c r="G2213" t="s">
        <v>35</v>
      </c>
      <c r="H2213" t="s">
        <v>35</v>
      </c>
      <c r="J2213" t="s">
        <v>2528</v>
      </c>
      <c r="K2213" t="s">
        <v>1092</v>
      </c>
      <c r="M2213">
        <v>0.35</v>
      </c>
      <c r="N2213">
        <v>886</v>
      </c>
      <c r="O2213" t="s">
        <v>575</v>
      </c>
      <c r="Q2213" t="s">
        <v>2390</v>
      </c>
      <c r="R2213" t="s">
        <v>2474</v>
      </c>
      <c r="S2213" t="s">
        <v>2475</v>
      </c>
      <c r="T2213" t="s">
        <v>2476</v>
      </c>
    </row>
    <row r="2214" spans="1:20" x14ac:dyDescent="0.25">
      <c r="A2214" t="s">
        <v>30</v>
      </c>
      <c r="B2214" t="s">
        <v>31</v>
      </c>
      <c r="C2214" t="s">
        <v>32</v>
      </c>
      <c r="D2214" t="s">
        <v>227</v>
      </c>
      <c r="E2214" t="s">
        <v>2492</v>
      </c>
      <c r="F2214" t="s">
        <v>35</v>
      </c>
      <c r="G2214" t="s">
        <v>35</v>
      </c>
      <c r="H2214" t="s">
        <v>35</v>
      </c>
      <c r="J2214" t="s">
        <v>2528</v>
      </c>
      <c r="K2214" t="s">
        <v>1092</v>
      </c>
      <c r="M2214">
        <v>0.76500000000000001</v>
      </c>
      <c r="N2214">
        <v>886</v>
      </c>
      <c r="O2214" t="s">
        <v>575</v>
      </c>
      <c r="Q2214" t="s">
        <v>2390</v>
      </c>
      <c r="R2214" t="s">
        <v>2474</v>
      </c>
      <c r="S2214" t="s">
        <v>2475</v>
      </c>
      <c r="T2214" t="s">
        <v>2476</v>
      </c>
    </row>
    <row r="2215" spans="1:20" x14ac:dyDescent="0.25">
      <c r="A2215" t="s">
        <v>59</v>
      </c>
      <c r="B2215" t="s">
        <v>60</v>
      </c>
      <c r="C2215" t="s">
        <v>32</v>
      </c>
      <c r="D2215" t="s">
        <v>227</v>
      </c>
      <c r="E2215" t="s">
        <v>2492</v>
      </c>
      <c r="F2215" t="s">
        <v>35</v>
      </c>
      <c r="G2215" t="s">
        <v>35</v>
      </c>
      <c r="H2215" t="s">
        <v>35</v>
      </c>
      <c r="J2215" t="s">
        <v>2528</v>
      </c>
      <c r="K2215" t="s">
        <v>1092</v>
      </c>
      <c r="M2215">
        <v>3</v>
      </c>
      <c r="N2215">
        <v>856</v>
      </c>
      <c r="O2215" t="s">
        <v>575</v>
      </c>
      <c r="Q2215" t="s">
        <v>2529</v>
      </c>
      <c r="R2215" t="s">
        <v>2474</v>
      </c>
      <c r="S2215" t="s">
        <v>2475</v>
      </c>
      <c r="T2215" t="s">
        <v>2476</v>
      </c>
    </row>
    <row r="2216" spans="1:20" x14ac:dyDescent="0.25">
      <c r="A2216" t="s">
        <v>59</v>
      </c>
      <c r="B2216" t="s">
        <v>31</v>
      </c>
      <c r="C2216" t="s">
        <v>32</v>
      </c>
      <c r="D2216" t="s">
        <v>227</v>
      </c>
      <c r="E2216" t="s">
        <v>228</v>
      </c>
      <c r="F2216" t="s">
        <v>35</v>
      </c>
      <c r="G2216" t="s">
        <v>35</v>
      </c>
      <c r="H2216" t="s">
        <v>35</v>
      </c>
      <c r="J2216" t="s">
        <v>2472</v>
      </c>
      <c r="K2216" t="s">
        <v>1092</v>
      </c>
      <c r="M2216">
        <v>0.54</v>
      </c>
      <c r="N2216">
        <v>1190</v>
      </c>
      <c r="O2216" t="s">
        <v>575</v>
      </c>
      <c r="Q2216" t="s">
        <v>2473</v>
      </c>
      <c r="R2216" t="s">
        <v>2474</v>
      </c>
      <c r="S2216" t="s">
        <v>2475</v>
      </c>
      <c r="T2216" t="s">
        <v>2476</v>
      </c>
    </row>
    <row r="2217" spans="1:20" x14ac:dyDescent="0.25">
      <c r="A2217" t="s">
        <v>30</v>
      </c>
      <c r="B2217" t="s">
        <v>31</v>
      </c>
      <c r="C2217" t="s">
        <v>32</v>
      </c>
      <c r="D2217" t="s">
        <v>227</v>
      </c>
      <c r="F2217" t="s">
        <v>35</v>
      </c>
      <c r="G2217" t="s">
        <v>35</v>
      </c>
      <c r="H2217" t="s">
        <v>35</v>
      </c>
      <c r="J2217" t="s">
        <v>2972</v>
      </c>
      <c r="K2217" t="s">
        <v>1092</v>
      </c>
      <c r="M2217">
        <v>5.0000000000000001E-3</v>
      </c>
      <c r="N2217">
        <v>1179</v>
      </c>
      <c r="O2217" t="s">
        <v>575</v>
      </c>
      <c r="Q2217" t="s">
        <v>2973</v>
      </c>
      <c r="R2217" t="s">
        <v>2474</v>
      </c>
      <c r="S2217" t="s">
        <v>2475</v>
      </c>
      <c r="T2217" t="s">
        <v>2476</v>
      </c>
    </row>
    <row r="2218" spans="1:20" x14ac:dyDescent="0.25">
      <c r="A2218" t="s">
        <v>30</v>
      </c>
      <c r="B2218" t="s">
        <v>31</v>
      </c>
      <c r="C2218" t="s">
        <v>32</v>
      </c>
      <c r="D2218" t="s">
        <v>227</v>
      </c>
      <c r="F2218" t="s">
        <v>35</v>
      </c>
      <c r="G2218" t="s">
        <v>35</v>
      </c>
      <c r="H2218" t="s">
        <v>35</v>
      </c>
      <c r="J2218" t="s">
        <v>2964</v>
      </c>
      <c r="K2218" t="s">
        <v>1092</v>
      </c>
      <c r="M2218">
        <v>2.3E-2</v>
      </c>
      <c r="N2218">
        <v>2320</v>
      </c>
      <c r="O2218" t="s">
        <v>575</v>
      </c>
      <c r="Q2218" t="s">
        <v>2965</v>
      </c>
      <c r="R2218" t="s">
        <v>2474</v>
      </c>
      <c r="S2218" t="s">
        <v>2475</v>
      </c>
      <c r="T2218" t="s">
        <v>2476</v>
      </c>
    </row>
    <row r="2219" spans="1:20" x14ac:dyDescent="0.25">
      <c r="A2219" t="s">
        <v>59</v>
      </c>
      <c r="B2219" t="s">
        <v>60</v>
      </c>
      <c r="C2219" t="s">
        <v>32</v>
      </c>
      <c r="D2219" t="s">
        <v>227</v>
      </c>
      <c r="F2219" t="s">
        <v>35</v>
      </c>
      <c r="G2219" t="s">
        <v>35</v>
      </c>
      <c r="H2219" t="s">
        <v>35</v>
      </c>
      <c r="J2219" t="s">
        <v>2964</v>
      </c>
      <c r="K2219" t="s">
        <v>1092</v>
      </c>
      <c r="M2219">
        <v>5.0000000000000001E-3</v>
      </c>
      <c r="N2219">
        <v>2322</v>
      </c>
      <c r="O2219" t="s">
        <v>575</v>
      </c>
      <c r="Q2219" t="s">
        <v>2333</v>
      </c>
      <c r="R2219" t="s">
        <v>2474</v>
      </c>
      <c r="S2219" t="s">
        <v>2475</v>
      </c>
      <c r="T2219" t="s">
        <v>2476</v>
      </c>
    </row>
    <row r="2220" spans="1:20" x14ac:dyDescent="0.25">
      <c r="A2220" t="s">
        <v>30</v>
      </c>
      <c r="B2220" t="s">
        <v>31</v>
      </c>
      <c r="C2220" t="s">
        <v>32</v>
      </c>
      <c r="D2220" t="s">
        <v>227</v>
      </c>
      <c r="F2220" t="s">
        <v>35</v>
      </c>
      <c r="G2220" t="s">
        <v>35</v>
      </c>
      <c r="H2220" t="s">
        <v>35</v>
      </c>
      <c r="J2220" t="s">
        <v>3073</v>
      </c>
      <c r="K2220" t="s">
        <v>1092</v>
      </c>
      <c r="M2220">
        <v>0.02</v>
      </c>
      <c r="N2220">
        <v>1490</v>
      </c>
      <c r="O2220" t="s">
        <v>575</v>
      </c>
      <c r="Q2220" t="s">
        <v>3074</v>
      </c>
      <c r="R2220" t="s">
        <v>2474</v>
      </c>
      <c r="S2220" t="s">
        <v>2475</v>
      </c>
      <c r="T2220" t="s">
        <v>2476</v>
      </c>
    </row>
    <row r="2221" spans="1:20" x14ac:dyDescent="0.25">
      <c r="A2221" t="s">
        <v>59</v>
      </c>
      <c r="B2221" t="s">
        <v>31</v>
      </c>
      <c r="C2221" t="s">
        <v>32</v>
      </c>
      <c r="D2221" t="s">
        <v>227</v>
      </c>
      <c r="E2221" t="s">
        <v>2575</v>
      </c>
      <c r="F2221" t="s">
        <v>35</v>
      </c>
      <c r="G2221" t="s">
        <v>35</v>
      </c>
      <c r="H2221" t="s">
        <v>35</v>
      </c>
      <c r="J2221" t="s">
        <v>2579</v>
      </c>
      <c r="K2221" t="s">
        <v>1092</v>
      </c>
      <c r="M2221">
        <v>0.09</v>
      </c>
      <c r="N2221">
        <v>931</v>
      </c>
      <c r="O2221" t="s">
        <v>575</v>
      </c>
      <c r="Q2221" t="s">
        <v>2580</v>
      </c>
      <c r="R2221" t="s">
        <v>2474</v>
      </c>
      <c r="S2221" t="s">
        <v>2475</v>
      </c>
      <c r="T2221" t="s">
        <v>2476</v>
      </c>
    </row>
    <row r="2222" spans="1:20" x14ac:dyDescent="0.25">
      <c r="A2222" t="s">
        <v>59</v>
      </c>
      <c r="B2222" t="s">
        <v>31</v>
      </c>
      <c r="C2222" t="s">
        <v>32</v>
      </c>
      <c r="D2222" t="s">
        <v>227</v>
      </c>
      <c r="E2222" t="s">
        <v>2542</v>
      </c>
      <c r="F2222" t="s">
        <v>35</v>
      </c>
      <c r="G2222" t="s">
        <v>35</v>
      </c>
      <c r="H2222" t="s">
        <v>35</v>
      </c>
      <c r="J2222" t="s">
        <v>2548</v>
      </c>
      <c r="K2222" t="s">
        <v>1092</v>
      </c>
      <c r="M2222">
        <v>0.77500000000000002</v>
      </c>
      <c r="N2222">
        <v>1244</v>
      </c>
      <c r="O2222" t="s">
        <v>575</v>
      </c>
      <c r="Q2222" t="s">
        <v>2549</v>
      </c>
      <c r="R2222" t="s">
        <v>2474</v>
      </c>
      <c r="S2222" t="s">
        <v>2475</v>
      </c>
      <c r="T2222" t="s">
        <v>2476</v>
      </c>
    </row>
    <row r="2223" spans="1:20" x14ac:dyDescent="0.25">
      <c r="A2223" t="s">
        <v>44</v>
      </c>
      <c r="B2223" t="s">
        <v>51</v>
      </c>
      <c r="C2223" t="s">
        <v>32</v>
      </c>
      <c r="D2223" t="s">
        <v>227</v>
      </c>
      <c r="E2223" t="s">
        <v>235</v>
      </c>
      <c r="F2223" t="s">
        <v>35</v>
      </c>
      <c r="G2223" t="s">
        <v>35</v>
      </c>
      <c r="H2223" t="s">
        <v>35</v>
      </c>
      <c r="J2223" t="s">
        <v>236</v>
      </c>
      <c r="K2223" t="s">
        <v>37</v>
      </c>
      <c r="M2223">
        <v>8.75</v>
      </c>
      <c r="N2223">
        <v>55</v>
      </c>
      <c r="O2223" t="s">
        <v>52</v>
      </c>
      <c r="P2223" t="s">
        <v>238</v>
      </c>
      <c r="Q2223" t="s">
        <v>90</v>
      </c>
      <c r="R2223" t="s">
        <v>91</v>
      </c>
      <c r="S2223" t="s">
        <v>92</v>
      </c>
    </row>
    <row r="2224" spans="1:20" x14ac:dyDescent="0.25">
      <c r="A2224" t="s">
        <v>44</v>
      </c>
      <c r="B2224" t="s">
        <v>3</v>
      </c>
      <c r="C2224" t="s">
        <v>32</v>
      </c>
      <c r="D2224" t="s">
        <v>227</v>
      </c>
      <c r="E2224" t="s">
        <v>235</v>
      </c>
      <c r="F2224" t="s">
        <v>35</v>
      </c>
      <c r="G2224" t="s">
        <v>35</v>
      </c>
      <c r="H2224" t="s">
        <v>35</v>
      </c>
      <c r="J2224" t="s">
        <v>236</v>
      </c>
      <c r="K2224" t="s">
        <v>37</v>
      </c>
      <c r="M2224">
        <v>12</v>
      </c>
      <c r="N2224">
        <v>63</v>
      </c>
      <c r="O2224" t="s">
        <v>61</v>
      </c>
      <c r="P2224" t="s">
        <v>239</v>
      </c>
      <c r="Q2224" t="s">
        <v>126</v>
      </c>
      <c r="R2224" t="s">
        <v>91</v>
      </c>
      <c r="S2224" t="s">
        <v>92</v>
      </c>
    </row>
    <row r="2225" spans="1:20" x14ac:dyDescent="0.25">
      <c r="A2225" t="s">
        <v>59</v>
      </c>
      <c r="B2225" t="s">
        <v>60</v>
      </c>
      <c r="C2225" t="s">
        <v>32</v>
      </c>
      <c r="D2225" t="s">
        <v>227</v>
      </c>
      <c r="E2225" t="s">
        <v>235</v>
      </c>
      <c r="F2225" t="s">
        <v>35</v>
      </c>
      <c r="G2225" t="s">
        <v>35</v>
      </c>
      <c r="H2225" t="s">
        <v>35</v>
      </c>
      <c r="J2225" t="s">
        <v>236</v>
      </c>
      <c r="K2225" t="s">
        <v>37</v>
      </c>
      <c r="M2225">
        <v>6.4</v>
      </c>
      <c r="N2225">
        <v>69</v>
      </c>
      <c r="O2225" t="s">
        <v>61</v>
      </c>
      <c r="P2225" t="s">
        <v>240</v>
      </c>
      <c r="Q2225" t="s">
        <v>234</v>
      </c>
      <c r="R2225" t="s">
        <v>91</v>
      </c>
      <c r="S2225" t="s">
        <v>92</v>
      </c>
    </row>
    <row r="2226" spans="1:20" x14ac:dyDescent="0.25">
      <c r="A2226" t="s">
        <v>44</v>
      </c>
      <c r="B2226" t="s">
        <v>51</v>
      </c>
      <c r="C2226" t="s">
        <v>32</v>
      </c>
      <c r="D2226" t="s">
        <v>227</v>
      </c>
      <c r="E2226" t="s">
        <v>276</v>
      </c>
      <c r="F2226" t="s">
        <v>35</v>
      </c>
      <c r="G2226" t="s">
        <v>35</v>
      </c>
      <c r="H2226" t="s">
        <v>35</v>
      </c>
      <c r="J2226" t="s">
        <v>277</v>
      </c>
      <c r="K2226" t="s">
        <v>37</v>
      </c>
      <c r="M2226">
        <v>16</v>
      </c>
      <c r="N2226">
        <v>55</v>
      </c>
      <c r="O2226" t="s">
        <v>52</v>
      </c>
      <c r="P2226" t="s">
        <v>279</v>
      </c>
      <c r="Q2226" t="s">
        <v>90</v>
      </c>
      <c r="R2226" t="s">
        <v>91</v>
      </c>
      <c r="S2226" t="s">
        <v>92</v>
      </c>
    </row>
    <row r="2227" spans="1:20" x14ac:dyDescent="0.25">
      <c r="A2227" t="s">
        <v>59</v>
      </c>
      <c r="B2227" t="s">
        <v>60</v>
      </c>
      <c r="C2227" t="s">
        <v>32</v>
      </c>
      <c r="D2227" t="s">
        <v>227</v>
      </c>
      <c r="E2227" t="s">
        <v>276</v>
      </c>
      <c r="F2227" t="s">
        <v>35</v>
      </c>
      <c r="G2227" t="s">
        <v>35</v>
      </c>
      <c r="H2227" t="s">
        <v>35</v>
      </c>
      <c r="J2227" t="s">
        <v>277</v>
      </c>
      <c r="K2227" t="s">
        <v>37</v>
      </c>
      <c r="M2227">
        <v>5.85</v>
      </c>
      <c r="N2227">
        <v>69</v>
      </c>
      <c r="O2227" t="s">
        <v>61</v>
      </c>
      <c r="P2227" t="s">
        <v>280</v>
      </c>
      <c r="Q2227" t="s">
        <v>234</v>
      </c>
      <c r="R2227" t="s">
        <v>91</v>
      </c>
      <c r="S2227" t="s">
        <v>92</v>
      </c>
    </row>
    <row r="2228" spans="1:20" x14ac:dyDescent="0.25">
      <c r="A2228" t="s">
        <v>30</v>
      </c>
      <c r="B2228" t="s">
        <v>31</v>
      </c>
      <c r="C2228" t="s">
        <v>32</v>
      </c>
      <c r="D2228" t="s">
        <v>227</v>
      </c>
      <c r="E2228" t="s">
        <v>241</v>
      </c>
      <c r="F2228" t="s">
        <v>35</v>
      </c>
      <c r="G2228" t="s">
        <v>35</v>
      </c>
      <c r="H2228" t="s">
        <v>35</v>
      </c>
      <c r="J2228" t="s">
        <v>242</v>
      </c>
      <c r="K2228" t="s">
        <v>37</v>
      </c>
      <c r="M2228">
        <v>3.2949999999999999</v>
      </c>
      <c r="N2228">
        <v>42</v>
      </c>
      <c r="O2228" t="s">
        <v>52</v>
      </c>
      <c r="P2228" t="s">
        <v>244</v>
      </c>
      <c r="Q2228" t="s">
        <v>219</v>
      </c>
      <c r="R2228" t="s">
        <v>91</v>
      </c>
      <c r="S2228" t="s">
        <v>92</v>
      </c>
    </row>
    <row r="2229" spans="1:20" x14ac:dyDescent="0.25">
      <c r="A2229" t="s">
        <v>44</v>
      </c>
      <c r="B2229" t="s">
        <v>3</v>
      </c>
      <c r="C2229" t="s">
        <v>32</v>
      </c>
      <c r="D2229" t="s">
        <v>227</v>
      </c>
      <c r="E2229" t="s">
        <v>241</v>
      </c>
      <c r="F2229" t="s">
        <v>35</v>
      </c>
      <c r="G2229" t="s">
        <v>35</v>
      </c>
      <c r="H2229" t="s">
        <v>35</v>
      </c>
      <c r="J2229" t="s">
        <v>242</v>
      </c>
      <c r="K2229" t="s">
        <v>37</v>
      </c>
      <c r="M2229">
        <v>22</v>
      </c>
      <c r="N2229">
        <v>63</v>
      </c>
      <c r="O2229" t="s">
        <v>61</v>
      </c>
      <c r="P2229" t="s">
        <v>245</v>
      </c>
      <c r="Q2229" t="s">
        <v>126</v>
      </c>
      <c r="R2229" t="s">
        <v>91</v>
      </c>
      <c r="S2229" t="s">
        <v>92</v>
      </c>
    </row>
    <row r="2230" spans="1:20" x14ac:dyDescent="0.25">
      <c r="A2230" t="s">
        <v>44</v>
      </c>
      <c r="B2230" t="s">
        <v>51</v>
      </c>
      <c r="C2230" t="s">
        <v>32</v>
      </c>
      <c r="D2230" t="s">
        <v>227</v>
      </c>
      <c r="E2230" t="s">
        <v>265</v>
      </c>
      <c r="F2230" t="s">
        <v>35</v>
      </c>
      <c r="G2230" t="s">
        <v>35</v>
      </c>
      <c r="H2230" t="s">
        <v>35</v>
      </c>
      <c r="J2230" t="s">
        <v>266</v>
      </c>
      <c r="K2230" t="s">
        <v>37</v>
      </c>
      <c r="M2230">
        <v>4.5</v>
      </c>
      <c r="N2230">
        <v>58</v>
      </c>
      <c r="O2230" t="s">
        <v>52</v>
      </c>
      <c r="P2230" t="s">
        <v>268</v>
      </c>
      <c r="Q2230" t="s">
        <v>128</v>
      </c>
      <c r="R2230" t="s">
        <v>91</v>
      </c>
      <c r="S2230" t="s">
        <v>92</v>
      </c>
    </row>
    <row r="2231" spans="1:20" x14ac:dyDescent="0.25">
      <c r="A2231" t="s">
        <v>44</v>
      </c>
      <c r="B2231" t="s">
        <v>3</v>
      </c>
      <c r="C2231" t="s">
        <v>32</v>
      </c>
      <c r="D2231" t="s">
        <v>227</v>
      </c>
      <c r="E2231" t="s">
        <v>265</v>
      </c>
      <c r="F2231" t="s">
        <v>35</v>
      </c>
      <c r="G2231" t="s">
        <v>35</v>
      </c>
      <c r="H2231" t="s">
        <v>35</v>
      </c>
      <c r="J2231" t="s">
        <v>266</v>
      </c>
      <c r="K2231" t="s">
        <v>37</v>
      </c>
      <c r="M2231">
        <v>11</v>
      </c>
      <c r="N2231">
        <v>63</v>
      </c>
      <c r="O2231" t="s">
        <v>61</v>
      </c>
      <c r="P2231" t="s">
        <v>269</v>
      </c>
      <c r="Q2231" t="s">
        <v>126</v>
      </c>
      <c r="R2231" t="s">
        <v>91</v>
      </c>
      <c r="S2231" t="s">
        <v>92</v>
      </c>
    </row>
    <row r="2232" spans="1:20" x14ac:dyDescent="0.25">
      <c r="A2232" t="s">
        <v>59</v>
      </c>
      <c r="B2232" t="s">
        <v>60</v>
      </c>
      <c r="C2232" t="s">
        <v>32</v>
      </c>
      <c r="D2232" t="s">
        <v>227</v>
      </c>
      <c r="E2232" t="s">
        <v>270</v>
      </c>
      <c r="F2232" t="s">
        <v>35</v>
      </c>
      <c r="G2232" t="s">
        <v>35</v>
      </c>
      <c r="H2232" t="s">
        <v>35</v>
      </c>
      <c r="J2232" t="s">
        <v>271</v>
      </c>
      <c r="K2232" t="s">
        <v>37</v>
      </c>
      <c r="M2232">
        <v>20.25</v>
      </c>
      <c r="N2232">
        <v>69</v>
      </c>
      <c r="O2232" t="s">
        <v>61</v>
      </c>
      <c r="P2232" t="s">
        <v>273</v>
      </c>
      <c r="Q2232" t="s">
        <v>234</v>
      </c>
      <c r="R2232" t="s">
        <v>91</v>
      </c>
      <c r="S2232" t="s">
        <v>92</v>
      </c>
    </row>
    <row r="2233" spans="1:20" x14ac:dyDescent="0.25">
      <c r="A2233" t="s">
        <v>44</v>
      </c>
      <c r="B2233" t="s">
        <v>51</v>
      </c>
      <c r="C2233" t="s">
        <v>32</v>
      </c>
      <c r="D2233" t="s">
        <v>227</v>
      </c>
      <c r="E2233" t="s">
        <v>270</v>
      </c>
      <c r="F2233" t="s">
        <v>35</v>
      </c>
      <c r="G2233" t="s">
        <v>35</v>
      </c>
      <c r="H2233" t="s">
        <v>35</v>
      </c>
      <c r="J2233" t="s">
        <v>271</v>
      </c>
      <c r="K2233" t="s">
        <v>37</v>
      </c>
      <c r="M2233">
        <v>8.35</v>
      </c>
      <c r="N2233">
        <v>58</v>
      </c>
      <c r="O2233" t="s">
        <v>52</v>
      </c>
      <c r="P2233" t="s">
        <v>274</v>
      </c>
      <c r="Q2233" t="s">
        <v>128</v>
      </c>
      <c r="R2233" t="s">
        <v>91</v>
      </c>
      <c r="S2233" t="s">
        <v>92</v>
      </c>
    </row>
    <row r="2234" spans="1:20" x14ac:dyDescent="0.25">
      <c r="A2234" t="s">
        <v>44</v>
      </c>
      <c r="B2234" t="s">
        <v>3</v>
      </c>
      <c r="C2234" t="s">
        <v>32</v>
      </c>
      <c r="D2234" t="s">
        <v>227</v>
      </c>
      <c r="E2234" t="s">
        <v>270</v>
      </c>
      <c r="F2234" t="s">
        <v>35</v>
      </c>
      <c r="G2234" t="s">
        <v>35</v>
      </c>
      <c r="H2234" t="s">
        <v>35</v>
      </c>
      <c r="J2234" t="s">
        <v>271</v>
      </c>
      <c r="K2234" t="s">
        <v>37</v>
      </c>
      <c r="M2234">
        <v>2</v>
      </c>
      <c r="N2234">
        <v>63</v>
      </c>
      <c r="O2234" t="s">
        <v>61</v>
      </c>
      <c r="P2234" t="s">
        <v>275</v>
      </c>
      <c r="Q2234" t="s">
        <v>126</v>
      </c>
      <c r="R2234" t="s">
        <v>91</v>
      </c>
      <c r="S2234" t="s">
        <v>92</v>
      </c>
    </row>
    <row r="2235" spans="1:20" x14ac:dyDescent="0.25">
      <c r="A2235" t="s">
        <v>44</v>
      </c>
      <c r="B2235" t="s">
        <v>51</v>
      </c>
      <c r="C2235" t="s">
        <v>32</v>
      </c>
      <c r="D2235" t="s">
        <v>227</v>
      </c>
      <c r="E2235" t="s">
        <v>228</v>
      </c>
      <c r="F2235" t="s">
        <v>35</v>
      </c>
      <c r="G2235" t="s">
        <v>35</v>
      </c>
      <c r="H2235" t="s">
        <v>35</v>
      </c>
      <c r="J2235" t="s">
        <v>229</v>
      </c>
      <c r="K2235" t="s">
        <v>37</v>
      </c>
      <c r="M2235">
        <v>8</v>
      </c>
      <c r="N2235">
        <v>58</v>
      </c>
      <c r="O2235" t="s">
        <v>52</v>
      </c>
      <c r="P2235" t="s">
        <v>231</v>
      </c>
      <c r="Q2235" t="s">
        <v>128</v>
      </c>
      <c r="R2235" t="s">
        <v>91</v>
      </c>
      <c r="S2235" t="s">
        <v>92</v>
      </c>
    </row>
    <row r="2236" spans="1:20" x14ac:dyDescent="0.25">
      <c r="A2236" t="s">
        <v>44</v>
      </c>
      <c r="B2236" t="s">
        <v>3</v>
      </c>
      <c r="C2236" t="s">
        <v>32</v>
      </c>
      <c r="D2236" t="s">
        <v>227</v>
      </c>
      <c r="E2236" t="s">
        <v>228</v>
      </c>
      <c r="F2236" t="s">
        <v>35</v>
      </c>
      <c r="G2236" t="s">
        <v>35</v>
      </c>
      <c r="H2236" t="s">
        <v>35</v>
      </c>
      <c r="J2236" t="s">
        <v>229</v>
      </c>
      <c r="K2236" t="s">
        <v>37</v>
      </c>
      <c r="M2236">
        <v>11</v>
      </c>
      <c r="N2236">
        <v>63</v>
      </c>
      <c r="O2236" t="s">
        <v>61</v>
      </c>
      <c r="P2236" t="s">
        <v>232</v>
      </c>
      <c r="Q2236" t="s">
        <v>126</v>
      </c>
      <c r="R2236" t="s">
        <v>91</v>
      </c>
      <c r="S2236" t="s">
        <v>92</v>
      </c>
    </row>
    <row r="2237" spans="1:20" x14ac:dyDescent="0.25">
      <c r="A2237" t="s">
        <v>59</v>
      </c>
      <c r="B2237" t="s">
        <v>60</v>
      </c>
      <c r="C2237" t="s">
        <v>32</v>
      </c>
      <c r="D2237" t="s">
        <v>227</v>
      </c>
      <c r="E2237" t="s">
        <v>228</v>
      </c>
      <c r="F2237" t="s">
        <v>35</v>
      </c>
      <c r="G2237" t="s">
        <v>35</v>
      </c>
      <c r="H2237" t="s">
        <v>35</v>
      </c>
      <c r="J2237" t="s">
        <v>229</v>
      </c>
      <c r="K2237" t="s">
        <v>37</v>
      </c>
      <c r="M2237">
        <v>2.5</v>
      </c>
      <c r="N2237">
        <v>69</v>
      </c>
      <c r="O2237" t="s">
        <v>61</v>
      </c>
      <c r="P2237" t="s">
        <v>233</v>
      </c>
      <c r="Q2237" t="s">
        <v>234</v>
      </c>
      <c r="R2237" t="s">
        <v>91</v>
      </c>
      <c r="S2237" t="s">
        <v>92</v>
      </c>
    </row>
    <row r="2238" spans="1:20" x14ac:dyDescent="0.25">
      <c r="A2238" t="s">
        <v>59</v>
      </c>
      <c r="B2238" t="s">
        <v>60</v>
      </c>
      <c r="C2238" t="s">
        <v>32</v>
      </c>
      <c r="D2238" t="s">
        <v>227</v>
      </c>
      <c r="E2238" t="s">
        <v>2492</v>
      </c>
      <c r="F2238" t="s">
        <v>35</v>
      </c>
      <c r="G2238" t="s">
        <v>35</v>
      </c>
      <c r="H2238" t="s">
        <v>35</v>
      </c>
      <c r="J2238" t="s">
        <v>2523</v>
      </c>
      <c r="K2238" t="s">
        <v>1092</v>
      </c>
      <c r="M2238">
        <v>6</v>
      </c>
      <c r="N2238">
        <v>46</v>
      </c>
      <c r="O2238" t="s">
        <v>52</v>
      </c>
      <c r="Q2238" t="s">
        <v>332</v>
      </c>
      <c r="R2238" t="s">
        <v>2428</v>
      </c>
      <c r="S2238" t="s">
        <v>2429</v>
      </c>
      <c r="T2238" t="s">
        <v>1483</v>
      </c>
    </row>
    <row r="2239" spans="1:20" x14ac:dyDescent="0.25">
      <c r="A2239" t="s">
        <v>59</v>
      </c>
      <c r="B2239" t="s">
        <v>60</v>
      </c>
      <c r="C2239" t="s">
        <v>32</v>
      </c>
      <c r="D2239" t="s">
        <v>227</v>
      </c>
      <c r="E2239" t="s">
        <v>2551</v>
      </c>
      <c r="F2239" t="s">
        <v>35</v>
      </c>
      <c r="G2239" t="s">
        <v>35</v>
      </c>
      <c r="H2239" t="s">
        <v>35</v>
      </c>
      <c r="J2239" t="s">
        <v>2561</v>
      </c>
      <c r="K2239" t="s">
        <v>1092</v>
      </c>
      <c r="M2239">
        <v>5.0999999999999996</v>
      </c>
      <c r="N2239">
        <v>63</v>
      </c>
      <c r="O2239" t="s">
        <v>61</v>
      </c>
      <c r="Q2239" t="s">
        <v>126</v>
      </c>
      <c r="R2239" t="s">
        <v>2428</v>
      </c>
      <c r="S2239" t="s">
        <v>2429</v>
      </c>
      <c r="T2239" t="s">
        <v>1483</v>
      </c>
    </row>
    <row r="2240" spans="1:20" x14ac:dyDescent="0.25">
      <c r="A2240" t="s">
        <v>59</v>
      </c>
      <c r="B2240" t="s">
        <v>60</v>
      </c>
      <c r="C2240" t="s">
        <v>32</v>
      </c>
      <c r="D2240" t="s">
        <v>227</v>
      </c>
      <c r="E2240" t="s">
        <v>228</v>
      </c>
      <c r="F2240" t="s">
        <v>35</v>
      </c>
      <c r="G2240" t="s">
        <v>35</v>
      </c>
      <c r="H2240" t="s">
        <v>35</v>
      </c>
      <c r="J2240" t="s">
        <v>2460</v>
      </c>
      <c r="K2240" t="s">
        <v>1092</v>
      </c>
      <c r="M2240">
        <v>15.25</v>
      </c>
      <c r="N2240">
        <v>63</v>
      </c>
      <c r="O2240" t="s">
        <v>61</v>
      </c>
      <c r="Q2240" t="s">
        <v>126</v>
      </c>
      <c r="R2240" t="s">
        <v>2428</v>
      </c>
      <c r="S2240" t="s">
        <v>2429</v>
      </c>
      <c r="T2240" t="s">
        <v>1483</v>
      </c>
    </row>
    <row r="2241" spans="1:20" x14ac:dyDescent="0.25">
      <c r="A2241" t="s">
        <v>59</v>
      </c>
      <c r="B2241" t="s">
        <v>60</v>
      </c>
      <c r="C2241" t="s">
        <v>32</v>
      </c>
      <c r="D2241" t="s">
        <v>227</v>
      </c>
      <c r="E2241" t="s">
        <v>2492</v>
      </c>
      <c r="F2241" t="s">
        <v>35</v>
      </c>
      <c r="G2241" t="s">
        <v>35</v>
      </c>
      <c r="H2241" t="s">
        <v>35</v>
      </c>
      <c r="J2241" t="s">
        <v>2515</v>
      </c>
      <c r="K2241" t="s">
        <v>1092</v>
      </c>
      <c r="M2241">
        <v>5</v>
      </c>
      <c r="N2241">
        <v>46</v>
      </c>
      <c r="O2241" t="s">
        <v>52</v>
      </c>
      <c r="Q2241" t="s">
        <v>332</v>
      </c>
      <c r="R2241" t="s">
        <v>2428</v>
      </c>
      <c r="S2241" t="s">
        <v>2429</v>
      </c>
      <c r="T2241" t="s">
        <v>1483</v>
      </c>
    </row>
    <row r="2242" spans="1:20" x14ac:dyDescent="0.25">
      <c r="A2242" t="s">
        <v>30</v>
      </c>
      <c r="B2242" t="s">
        <v>31</v>
      </c>
      <c r="C2242" t="s">
        <v>32</v>
      </c>
      <c r="D2242" t="s">
        <v>227</v>
      </c>
      <c r="E2242" t="s">
        <v>2385</v>
      </c>
      <c r="F2242" t="s">
        <v>35</v>
      </c>
      <c r="G2242" t="s">
        <v>35</v>
      </c>
      <c r="H2242" t="s">
        <v>35</v>
      </c>
      <c r="J2242" t="s">
        <v>2424</v>
      </c>
      <c r="K2242" t="s">
        <v>1092</v>
      </c>
      <c r="M2242">
        <v>1.0349999999999999</v>
      </c>
      <c r="N2242">
        <v>145</v>
      </c>
      <c r="O2242" t="s">
        <v>38</v>
      </c>
      <c r="Q2242" t="s">
        <v>408</v>
      </c>
      <c r="R2242" t="s">
        <v>2428</v>
      </c>
      <c r="S2242" t="s">
        <v>2429</v>
      </c>
      <c r="T2242" t="s">
        <v>1483</v>
      </c>
    </row>
    <row r="2243" spans="1:20" x14ac:dyDescent="0.25">
      <c r="A2243" t="s">
        <v>30</v>
      </c>
      <c r="B2243" t="s">
        <v>31</v>
      </c>
      <c r="C2243" t="s">
        <v>32</v>
      </c>
      <c r="D2243" t="s">
        <v>227</v>
      </c>
      <c r="E2243" t="s">
        <v>2385</v>
      </c>
      <c r="F2243" t="s">
        <v>35</v>
      </c>
      <c r="G2243" t="s">
        <v>35</v>
      </c>
      <c r="H2243" t="s">
        <v>35</v>
      </c>
      <c r="J2243" t="s">
        <v>2436</v>
      </c>
      <c r="K2243" t="s">
        <v>1092</v>
      </c>
      <c r="M2243">
        <v>7.02</v>
      </c>
      <c r="N2243">
        <v>195</v>
      </c>
      <c r="O2243" t="s">
        <v>5</v>
      </c>
      <c r="Q2243" t="s">
        <v>1299</v>
      </c>
      <c r="R2243" t="s">
        <v>2437</v>
      </c>
      <c r="S2243" t="s">
        <v>2438</v>
      </c>
      <c r="T2243" t="s">
        <v>1267</v>
      </c>
    </row>
    <row r="2244" spans="1:20" x14ac:dyDescent="0.25">
      <c r="A2244" t="s">
        <v>59</v>
      </c>
      <c r="B2244" t="s">
        <v>60</v>
      </c>
      <c r="C2244" t="s">
        <v>32</v>
      </c>
      <c r="D2244" t="s">
        <v>227</v>
      </c>
      <c r="E2244" t="s">
        <v>228</v>
      </c>
      <c r="F2244" t="s">
        <v>35</v>
      </c>
      <c r="G2244" t="s">
        <v>35</v>
      </c>
      <c r="H2244" t="s">
        <v>35</v>
      </c>
      <c r="J2244" t="s">
        <v>2485</v>
      </c>
      <c r="K2244" t="s">
        <v>1092</v>
      </c>
      <c r="M2244">
        <v>5</v>
      </c>
      <c r="N2244">
        <v>263</v>
      </c>
      <c r="O2244" t="s">
        <v>5</v>
      </c>
      <c r="Q2244" t="s">
        <v>2486</v>
      </c>
      <c r="R2244" t="s">
        <v>2425</v>
      </c>
      <c r="S2244" t="s">
        <v>2426</v>
      </c>
      <c r="T2244" t="s">
        <v>2427</v>
      </c>
    </row>
    <row r="2245" spans="1:20" x14ac:dyDescent="0.25">
      <c r="A2245" t="s">
        <v>59</v>
      </c>
      <c r="B2245" t="s">
        <v>60</v>
      </c>
      <c r="C2245" t="s">
        <v>32</v>
      </c>
      <c r="D2245" t="s">
        <v>227</v>
      </c>
      <c r="E2245" t="s">
        <v>2492</v>
      </c>
      <c r="F2245" t="s">
        <v>35</v>
      </c>
      <c r="G2245" t="s">
        <v>35</v>
      </c>
      <c r="H2245" t="s">
        <v>35</v>
      </c>
      <c r="J2245" t="s">
        <v>2507</v>
      </c>
      <c r="K2245" t="s">
        <v>1092</v>
      </c>
      <c r="M2245">
        <v>3.7999999999999999E-2</v>
      </c>
      <c r="N2245">
        <v>145</v>
      </c>
      <c r="O2245" t="s">
        <v>38</v>
      </c>
      <c r="Q2245" t="s">
        <v>408</v>
      </c>
      <c r="R2245" t="s">
        <v>2425</v>
      </c>
      <c r="S2245" t="s">
        <v>2426</v>
      </c>
      <c r="T2245" t="s">
        <v>2427</v>
      </c>
    </row>
    <row r="2246" spans="1:20" x14ac:dyDescent="0.25">
      <c r="A2246" t="s">
        <v>59</v>
      </c>
      <c r="B2246" t="s">
        <v>31</v>
      </c>
      <c r="C2246" t="s">
        <v>32</v>
      </c>
      <c r="D2246" t="s">
        <v>227</v>
      </c>
      <c r="E2246" t="s">
        <v>2442</v>
      </c>
      <c r="F2246" t="s">
        <v>35</v>
      </c>
      <c r="G2246" t="s">
        <v>35</v>
      </c>
      <c r="H2246" t="s">
        <v>35</v>
      </c>
      <c r="J2246" t="s">
        <v>2443</v>
      </c>
      <c r="K2246" t="s">
        <v>1092</v>
      </c>
      <c r="M2246">
        <v>3.0150000000000001</v>
      </c>
      <c r="N2246">
        <v>67</v>
      </c>
      <c r="O2246" t="s">
        <v>61</v>
      </c>
      <c r="Q2246" t="s">
        <v>488</v>
      </c>
      <c r="R2246" t="s">
        <v>2425</v>
      </c>
      <c r="S2246" t="s">
        <v>2426</v>
      </c>
      <c r="T2246" t="s">
        <v>2427</v>
      </c>
    </row>
    <row r="2247" spans="1:20" x14ac:dyDescent="0.25">
      <c r="A2247" t="s">
        <v>44</v>
      </c>
      <c r="B2247" t="s">
        <v>51</v>
      </c>
      <c r="C2247" t="s">
        <v>32</v>
      </c>
      <c r="D2247" t="s">
        <v>227</v>
      </c>
      <c r="E2247" t="s">
        <v>2442</v>
      </c>
      <c r="F2247" t="s">
        <v>35</v>
      </c>
      <c r="G2247" t="s">
        <v>35</v>
      </c>
      <c r="H2247" t="s">
        <v>35</v>
      </c>
      <c r="J2247" t="s">
        <v>2452</v>
      </c>
      <c r="K2247" t="s">
        <v>1092</v>
      </c>
      <c r="M2247">
        <v>0.05</v>
      </c>
      <c r="N2247">
        <v>497</v>
      </c>
      <c r="O2247" t="s">
        <v>294</v>
      </c>
      <c r="Q2247" t="s">
        <v>1614</v>
      </c>
      <c r="R2247" t="s">
        <v>2425</v>
      </c>
      <c r="S2247" t="s">
        <v>2426</v>
      </c>
      <c r="T2247" t="s">
        <v>2427</v>
      </c>
    </row>
    <row r="2248" spans="1:20" x14ac:dyDescent="0.25">
      <c r="A2248" t="s">
        <v>59</v>
      </c>
      <c r="B2248" t="s">
        <v>60</v>
      </c>
      <c r="C2248" t="s">
        <v>32</v>
      </c>
      <c r="D2248" t="s">
        <v>227</v>
      </c>
      <c r="E2248" t="s">
        <v>228</v>
      </c>
      <c r="F2248" t="s">
        <v>35</v>
      </c>
      <c r="G2248" t="s">
        <v>35</v>
      </c>
      <c r="H2248" t="s">
        <v>35</v>
      </c>
      <c r="J2248" t="s">
        <v>2471</v>
      </c>
      <c r="K2248" t="s">
        <v>1092</v>
      </c>
      <c r="M2248">
        <v>0.04</v>
      </c>
      <c r="N2248">
        <v>224</v>
      </c>
      <c r="O2248" t="s">
        <v>5</v>
      </c>
      <c r="Q2248" t="s">
        <v>402</v>
      </c>
      <c r="R2248" t="s">
        <v>2425</v>
      </c>
      <c r="S2248" t="s">
        <v>2426</v>
      </c>
      <c r="T2248" t="s">
        <v>2427</v>
      </c>
    </row>
    <row r="2249" spans="1:20" x14ac:dyDescent="0.25">
      <c r="A2249" t="s">
        <v>44</v>
      </c>
      <c r="B2249" t="s">
        <v>3</v>
      </c>
      <c r="C2249" t="s">
        <v>32</v>
      </c>
      <c r="D2249" t="s">
        <v>227</v>
      </c>
      <c r="E2249" t="s">
        <v>2567</v>
      </c>
      <c r="F2249" t="s">
        <v>35</v>
      </c>
      <c r="G2249" t="s">
        <v>35</v>
      </c>
      <c r="H2249" t="s">
        <v>35</v>
      </c>
      <c r="J2249" t="s">
        <v>2568</v>
      </c>
      <c r="K2249" t="s">
        <v>1092</v>
      </c>
      <c r="M2249">
        <v>0.48199999999999998</v>
      </c>
      <c r="N2249">
        <v>144</v>
      </c>
      <c r="O2249" t="s">
        <v>38</v>
      </c>
      <c r="Q2249" t="s">
        <v>1269</v>
      </c>
      <c r="R2249" t="s">
        <v>2425</v>
      </c>
      <c r="S2249" t="s">
        <v>2426</v>
      </c>
      <c r="T2249" t="s">
        <v>2427</v>
      </c>
    </row>
    <row r="2250" spans="1:20" x14ac:dyDescent="0.25">
      <c r="A2250" t="s">
        <v>59</v>
      </c>
      <c r="B2250" t="s">
        <v>60</v>
      </c>
      <c r="C2250" t="s">
        <v>32</v>
      </c>
      <c r="D2250" t="s">
        <v>227</v>
      </c>
      <c r="E2250" t="s">
        <v>2492</v>
      </c>
      <c r="F2250" t="s">
        <v>35</v>
      </c>
      <c r="G2250" t="s">
        <v>35</v>
      </c>
      <c r="H2250" t="s">
        <v>35</v>
      </c>
      <c r="J2250" t="s">
        <v>2503</v>
      </c>
      <c r="K2250" t="s">
        <v>1092</v>
      </c>
      <c r="M2250">
        <v>4.4999999999999998E-2</v>
      </c>
      <c r="N2250">
        <v>768</v>
      </c>
      <c r="O2250" t="s">
        <v>575</v>
      </c>
      <c r="Q2250" t="s">
        <v>2043</v>
      </c>
      <c r="R2250" t="s">
        <v>2425</v>
      </c>
      <c r="S2250" t="s">
        <v>2426</v>
      </c>
      <c r="T2250" t="s">
        <v>2427</v>
      </c>
    </row>
    <row r="2251" spans="1:20" x14ac:dyDescent="0.25">
      <c r="A2251" t="s">
        <v>44</v>
      </c>
      <c r="B2251" t="s">
        <v>3</v>
      </c>
      <c r="C2251" t="s">
        <v>32</v>
      </c>
      <c r="D2251" t="s">
        <v>227</v>
      </c>
      <c r="E2251" t="s">
        <v>2931</v>
      </c>
      <c r="F2251" t="s">
        <v>35</v>
      </c>
      <c r="G2251" t="s">
        <v>35</v>
      </c>
      <c r="H2251" t="s">
        <v>35</v>
      </c>
      <c r="J2251" t="s">
        <v>2933</v>
      </c>
      <c r="K2251" t="s">
        <v>1092</v>
      </c>
      <c r="M2251">
        <v>5.5</v>
      </c>
      <c r="N2251">
        <v>59</v>
      </c>
      <c r="O2251" t="s">
        <v>52</v>
      </c>
      <c r="Q2251" t="s">
        <v>203</v>
      </c>
      <c r="R2251" t="s">
        <v>2425</v>
      </c>
      <c r="S2251" t="s">
        <v>2426</v>
      </c>
      <c r="T2251" t="s">
        <v>2427</v>
      </c>
    </row>
    <row r="2252" spans="1:20" x14ac:dyDescent="0.25">
      <c r="A2252" t="s">
        <v>30</v>
      </c>
      <c r="B2252" t="s">
        <v>31</v>
      </c>
      <c r="C2252" t="s">
        <v>32</v>
      </c>
      <c r="D2252" t="s">
        <v>227</v>
      </c>
      <c r="E2252" t="s">
        <v>2931</v>
      </c>
      <c r="F2252" t="s">
        <v>35</v>
      </c>
      <c r="G2252" t="s">
        <v>35</v>
      </c>
      <c r="H2252" t="s">
        <v>35</v>
      </c>
      <c r="J2252" t="s">
        <v>2933</v>
      </c>
      <c r="K2252" t="s">
        <v>1092</v>
      </c>
      <c r="M2252">
        <v>10.59</v>
      </c>
      <c r="N2252">
        <v>38</v>
      </c>
      <c r="O2252" t="s">
        <v>52</v>
      </c>
      <c r="Q2252" t="s">
        <v>716</v>
      </c>
      <c r="R2252" t="s">
        <v>2425</v>
      </c>
      <c r="S2252" t="s">
        <v>2426</v>
      </c>
      <c r="T2252" t="s">
        <v>2427</v>
      </c>
    </row>
    <row r="2253" spans="1:20" x14ac:dyDescent="0.25">
      <c r="A2253" t="s">
        <v>59</v>
      </c>
      <c r="B2253" t="s">
        <v>31</v>
      </c>
      <c r="C2253" t="s">
        <v>32</v>
      </c>
      <c r="D2253" t="s">
        <v>227</v>
      </c>
      <c r="E2253" t="s">
        <v>2442</v>
      </c>
      <c r="F2253" t="s">
        <v>35</v>
      </c>
      <c r="G2253" t="s">
        <v>35</v>
      </c>
      <c r="H2253" t="s">
        <v>35</v>
      </c>
      <c r="J2253" t="s">
        <v>2450</v>
      </c>
      <c r="K2253" t="s">
        <v>1092</v>
      </c>
      <c r="M2253">
        <v>0.03</v>
      </c>
      <c r="N2253">
        <v>1823</v>
      </c>
      <c r="O2253" t="s">
        <v>575</v>
      </c>
      <c r="Q2253" t="s">
        <v>2451</v>
      </c>
      <c r="R2253" t="s">
        <v>2425</v>
      </c>
      <c r="S2253" t="s">
        <v>2426</v>
      </c>
      <c r="T2253" t="s">
        <v>2427</v>
      </c>
    </row>
    <row r="2254" spans="1:20" x14ac:dyDescent="0.25">
      <c r="A2254" t="s">
        <v>59</v>
      </c>
      <c r="B2254" t="s">
        <v>31</v>
      </c>
      <c r="C2254" t="s">
        <v>32</v>
      </c>
      <c r="D2254" t="s">
        <v>227</v>
      </c>
      <c r="F2254" t="s">
        <v>35</v>
      </c>
      <c r="G2254" t="s">
        <v>35</v>
      </c>
      <c r="H2254" t="s">
        <v>35</v>
      </c>
      <c r="J2254" t="s">
        <v>3104</v>
      </c>
      <c r="K2254" t="s">
        <v>1092</v>
      </c>
      <c r="M2254">
        <v>0.67500000000000004</v>
      </c>
      <c r="N2254">
        <v>1823</v>
      </c>
      <c r="O2254" t="s">
        <v>575</v>
      </c>
      <c r="Q2254" t="s">
        <v>2451</v>
      </c>
      <c r="R2254" t="s">
        <v>2425</v>
      </c>
      <c r="S2254" t="s">
        <v>2426</v>
      </c>
      <c r="T2254" t="s">
        <v>2427</v>
      </c>
    </row>
    <row r="2255" spans="1:20" x14ac:dyDescent="0.25">
      <c r="A2255" t="s">
        <v>59</v>
      </c>
      <c r="B2255" t="s">
        <v>31</v>
      </c>
      <c r="C2255" t="s">
        <v>32</v>
      </c>
      <c r="D2255" t="s">
        <v>227</v>
      </c>
      <c r="E2255" t="s">
        <v>2442</v>
      </c>
      <c r="F2255" t="s">
        <v>35</v>
      </c>
      <c r="G2255" t="s">
        <v>35</v>
      </c>
      <c r="H2255" t="s">
        <v>35</v>
      </c>
      <c r="J2255" t="s">
        <v>2448</v>
      </c>
      <c r="K2255" t="s">
        <v>1092</v>
      </c>
      <c r="M2255">
        <v>5.04</v>
      </c>
      <c r="N2255">
        <v>67</v>
      </c>
      <c r="O2255" t="s">
        <v>61</v>
      </c>
      <c r="Q2255" t="s">
        <v>488</v>
      </c>
      <c r="R2255" t="s">
        <v>2425</v>
      </c>
      <c r="S2255" t="s">
        <v>2426</v>
      </c>
      <c r="T2255" t="s">
        <v>2427</v>
      </c>
    </row>
    <row r="2256" spans="1:20" x14ac:dyDescent="0.25">
      <c r="A2256" t="s">
        <v>44</v>
      </c>
      <c r="B2256" t="s">
        <v>3</v>
      </c>
      <c r="C2256" t="s">
        <v>32</v>
      </c>
      <c r="D2256" t="s">
        <v>227</v>
      </c>
      <c r="E2256" t="s">
        <v>2492</v>
      </c>
      <c r="F2256" t="s">
        <v>35</v>
      </c>
      <c r="G2256" t="s">
        <v>35</v>
      </c>
      <c r="H2256" t="s">
        <v>35</v>
      </c>
      <c r="J2256" t="s">
        <v>2496</v>
      </c>
      <c r="K2256" t="s">
        <v>1092</v>
      </c>
      <c r="M2256">
        <v>5.5</v>
      </c>
      <c r="N2256">
        <v>59</v>
      </c>
      <c r="O2256" t="s">
        <v>52</v>
      </c>
      <c r="Q2256" t="s">
        <v>203</v>
      </c>
      <c r="R2256" t="s">
        <v>2425</v>
      </c>
      <c r="S2256" t="s">
        <v>2426</v>
      </c>
      <c r="T2256" t="s">
        <v>2427</v>
      </c>
    </row>
    <row r="2257" spans="1:20" x14ac:dyDescent="0.25">
      <c r="A2257" t="s">
        <v>30</v>
      </c>
      <c r="B2257" t="s">
        <v>31</v>
      </c>
      <c r="C2257" t="s">
        <v>32</v>
      </c>
      <c r="D2257" t="s">
        <v>227</v>
      </c>
      <c r="E2257" t="s">
        <v>2385</v>
      </c>
      <c r="F2257" t="s">
        <v>35</v>
      </c>
      <c r="G2257" t="s">
        <v>35</v>
      </c>
      <c r="H2257" t="s">
        <v>35</v>
      </c>
      <c r="J2257" t="s">
        <v>2424</v>
      </c>
      <c r="K2257" t="s">
        <v>1092</v>
      </c>
      <c r="M2257">
        <v>10.98</v>
      </c>
      <c r="N2257">
        <v>40</v>
      </c>
      <c r="O2257" t="s">
        <v>52</v>
      </c>
      <c r="Q2257" t="s">
        <v>132</v>
      </c>
      <c r="R2257" t="s">
        <v>2425</v>
      </c>
      <c r="S2257" t="s">
        <v>2426</v>
      </c>
      <c r="T2257" t="s">
        <v>2427</v>
      </c>
    </row>
    <row r="2258" spans="1:20" x14ac:dyDescent="0.25">
      <c r="A2258" t="s">
        <v>59</v>
      </c>
      <c r="B2258" t="s">
        <v>31</v>
      </c>
      <c r="C2258" t="s">
        <v>32</v>
      </c>
      <c r="D2258" t="s">
        <v>227</v>
      </c>
      <c r="E2258" t="s">
        <v>2617</v>
      </c>
      <c r="F2258" t="s">
        <v>35</v>
      </c>
      <c r="G2258" t="s">
        <v>35</v>
      </c>
      <c r="H2258" t="s">
        <v>35</v>
      </c>
      <c r="J2258" t="s">
        <v>2628</v>
      </c>
      <c r="K2258" t="s">
        <v>1092</v>
      </c>
      <c r="M2258">
        <v>5.8049999999999997</v>
      </c>
      <c r="N2258">
        <v>387</v>
      </c>
      <c r="O2258" t="s">
        <v>294</v>
      </c>
      <c r="Q2258" t="s">
        <v>1410</v>
      </c>
      <c r="R2258" t="s">
        <v>2629</v>
      </c>
      <c r="S2258" t="s">
        <v>2630</v>
      </c>
      <c r="T2258" t="s">
        <v>2631</v>
      </c>
    </row>
    <row r="2259" spans="1:20" x14ac:dyDescent="0.25">
      <c r="A2259" t="s">
        <v>59</v>
      </c>
      <c r="B2259" t="s">
        <v>60</v>
      </c>
      <c r="C2259" t="s">
        <v>32</v>
      </c>
      <c r="D2259" t="s">
        <v>227</v>
      </c>
      <c r="E2259" t="s">
        <v>251</v>
      </c>
      <c r="F2259" t="s">
        <v>35</v>
      </c>
      <c r="G2259" t="s">
        <v>35</v>
      </c>
      <c r="H2259" t="s">
        <v>35</v>
      </c>
      <c r="J2259" t="s">
        <v>2755</v>
      </c>
      <c r="K2259" t="s">
        <v>1092</v>
      </c>
      <c r="M2259">
        <v>17.399999999999999</v>
      </c>
      <c r="N2259">
        <v>88</v>
      </c>
      <c r="O2259" t="s">
        <v>61</v>
      </c>
      <c r="Q2259" t="s">
        <v>724</v>
      </c>
      <c r="R2259" t="s">
        <v>2629</v>
      </c>
      <c r="S2259" t="s">
        <v>2630</v>
      </c>
      <c r="T2259" t="s">
        <v>2631</v>
      </c>
    </row>
    <row r="2260" spans="1:20" x14ac:dyDescent="0.25">
      <c r="A2260" t="s">
        <v>59</v>
      </c>
      <c r="B2260" t="s">
        <v>60</v>
      </c>
      <c r="C2260" t="s">
        <v>32</v>
      </c>
      <c r="D2260" t="s">
        <v>227</v>
      </c>
      <c r="E2260" t="s">
        <v>2617</v>
      </c>
      <c r="F2260" t="s">
        <v>35</v>
      </c>
      <c r="G2260" t="s">
        <v>35</v>
      </c>
      <c r="H2260" t="s">
        <v>35</v>
      </c>
      <c r="J2260" t="s">
        <v>2640</v>
      </c>
      <c r="K2260" t="s">
        <v>1092</v>
      </c>
      <c r="M2260">
        <v>2</v>
      </c>
      <c r="N2260">
        <v>486</v>
      </c>
      <c r="O2260" t="s">
        <v>294</v>
      </c>
      <c r="Q2260" t="s">
        <v>1107</v>
      </c>
      <c r="R2260" t="s">
        <v>2629</v>
      </c>
      <c r="S2260" t="s">
        <v>2630</v>
      </c>
      <c r="T2260" t="s">
        <v>2631</v>
      </c>
    </row>
    <row r="2261" spans="1:20" x14ac:dyDescent="0.25">
      <c r="A2261" t="s">
        <v>59</v>
      </c>
      <c r="B2261" t="s">
        <v>60</v>
      </c>
      <c r="C2261" t="s">
        <v>32</v>
      </c>
      <c r="D2261" t="s">
        <v>227</v>
      </c>
      <c r="F2261" t="s">
        <v>35</v>
      </c>
      <c r="G2261" t="s">
        <v>35</v>
      </c>
      <c r="H2261" t="s">
        <v>35</v>
      </c>
      <c r="J2261" t="s">
        <v>3017</v>
      </c>
      <c r="K2261" t="s">
        <v>1092</v>
      </c>
      <c r="M2261">
        <v>0.45500000000000002</v>
      </c>
      <c r="N2261">
        <v>2124</v>
      </c>
      <c r="O2261" t="s">
        <v>575</v>
      </c>
      <c r="Q2261" t="s">
        <v>2240</v>
      </c>
      <c r="R2261" t="s">
        <v>3018</v>
      </c>
      <c r="S2261" t="s">
        <v>3019</v>
      </c>
      <c r="T2261" t="s">
        <v>3020</v>
      </c>
    </row>
    <row r="2262" spans="1:20" x14ac:dyDescent="0.25">
      <c r="A2262" t="s">
        <v>59</v>
      </c>
      <c r="B2262" t="s">
        <v>31</v>
      </c>
      <c r="C2262" t="s">
        <v>32</v>
      </c>
      <c r="D2262" t="s">
        <v>227</v>
      </c>
      <c r="E2262" t="s">
        <v>276</v>
      </c>
      <c r="F2262" t="s">
        <v>35</v>
      </c>
      <c r="G2262" t="s">
        <v>35</v>
      </c>
      <c r="H2262" t="s">
        <v>35</v>
      </c>
      <c r="J2262" t="s">
        <v>2817</v>
      </c>
      <c r="K2262" t="s">
        <v>1092</v>
      </c>
      <c r="M2262">
        <v>2.7450000000000001</v>
      </c>
      <c r="N2262">
        <v>1391</v>
      </c>
      <c r="O2262" t="s">
        <v>575</v>
      </c>
      <c r="Q2262" t="s">
        <v>2818</v>
      </c>
      <c r="R2262" t="s">
        <v>2819</v>
      </c>
      <c r="S2262" t="s">
        <v>2820</v>
      </c>
      <c r="T2262" t="s">
        <v>2821</v>
      </c>
    </row>
    <row r="2263" spans="1:20" x14ac:dyDescent="0.25">
      <c r="A2263" t="s">
        <v>59</v>
      </c>
      <c r="B2263" t="s">
        <v>31</v>
      </c>
      <c r="C2263" t="s">
        <v>32</v>
      </c>
      <c r="D2263" t="s">
        <v>227</v>
      </c>
      <c r="F2263" t="s">
        <v>35</v>
      </c>
      <c r="G2263" t="s">
        <v>35</v>
      </c>
      <c r="H2263" t="s">
        <v>35</v>
      </c>
      <c r="J2263" t="s">
        <v>3011</v>
      </c>
      <c r="K2263" t="s">
        <v>1092</v>
      </c>
      <c r="M2263">
        <v>0.62</v>
      </c>
      <c r="N2263">
        <v>2057</v>
      </c>
      <c r="O2263" t="s">
        <v>575</v>
      </c>
      <c r="Q2263" t="s">
        <v>3012</v>
      </c>
      <c r="R2263" t="s">
        <v>2956</v>
      </c>
      <c r="S2263" t="s">
        <v>2953</v>
      </c>
      <c r="T2263" t="s">
        <v>2954</v>
      </c>
    </row>
    <row r="2264" spans="1:20" x14ac:dyDescent="0.25">
      <c r="A2264" t="s">
        <v>59</v>
      </c>
      <c r="B2264" t="s">
        <v>60</v>
      </c>
      <c r="C2264" t="s">
        <v>32</v>
      </c>
      <c r="D2264" t="s">
        <v>227</v>
      </c>
      <c r="F2264" t="s">
        <v>35</v>
      </c>
      <c r="G2264" t="s">
        <v>35</v>
      </c>
      <c r="H2264" t="s">
        <v>35</v>
      </c>
      <c r="J2264" t="s">
        <v>3042</v>
      </c>
      <c r="K2264" t="s">
        <v>1092</v>
      </c>
      <c r="M2264">
        <v>3.75</v>
      </c>
      <c r="N2264">
        <v>1579</v>
      </c>
      <c r="O2264" t="s">
        <v>575</v>
      </c>
      <c r="Q2264" t="s">
        <v>3043</v>
      </c>
      <c r="R2264" t="s">
        <v>2956</v>
      </c>
      <c r="S2264" t="s">
        <v>2953</v>
      </c>
      <c r="T2264" t="s">
        <v>2954</v>
      </c>
    </row>
    <row r="2265" spans="1:20" x14ac:dyDescent="0.25">
      <c r="A2265" t="s">
        <v>59</v>
      </c>
      <c r="B2265" t="s">
        <v>60</v>
      </c>
      <c r="C2265" t="s">
        <v>32</v>
      </c>
      <c r="D2265" t="s">
        <v>227</v>
      </c>
      <c r="F2265" t="s">
        <v>35</v>
      </c>
      <c r="G2265" t="s">
        <v>35</v>
      </c>
      <c r="H2265" t="s">
        <v>35</v>
      </c>
      <c r="J2265" t="s">
        <v>3082</v>
      </c>
      <c r="K2265" t="s">
        <v>1092</v>
      </c>
      <c r="M2265">
        <v>2.1000000000000001E-2</v>
      </c>
      <c r="N2265">
        <v>1649</v>
      </c>
      <c r="O2265" t="s">
        <v>575</v>
      </c>
      <c r="Q2265" t="s">
        <v>3083</v>
      </c>
      <c r="R2265" t="s">
        <v>2956</v>
      </c>
      <c r="S2265" t="s">
        <v>2953</v>
      </c>
      <c r="T2265" t="s">
        <v>2954</v>
      </c>
    </row>
    <row r="2266" spans="1:20" x14ac:dyDescent="0.25">
      <c r="A2266" t="s">
        <v>59</v>
      </c>
      <c r="B2266" t="s">
        <v>60</v>
      </c>
      <c r="C2266" t="s">
        <v>32</v>
      </c>
      <c r="D2266" t="s">
        <v>227</v>
      </c>
      <c r="F2266" t="s">
        <v>35</v>
      </c>
      <c r="G2266" t="s">
        <v>35</v>
      </c>
      <c r="H2266" t="s">
        <v>35</v>
      </c>
      <c r="J2266" t="s">
        <v>2989</v>
      </c>
      <c r="K2266" t="s">
        <v>1092</v>
      </c>
      <c r="M2266">
        <v>0.4</v>
      </c>
      <c r="N2266">
        <v>1524</v>
      </c>
      <c r="O2266" t="s">
        <v>575</v>
      </c>
      <c r="Q2266" t="s">
        <v>2262</v>
      </c>
      <c r="R2266" t="s">
        <v>2956</v>
      </c>
      <c r="S2266" t="s">
        <v>2953</v>
      </c>
      <c r="T2266" t="s">
        <v>2954</v>
      </c>
    </row>
    <row r="2267" spans="1:20" x14ac:dyDescent="0.25">
      <c r="A2267" t="s">
        <v>59</v>
      </c>
      <c r="B2267" t="s">
        <v>60</v>
      </c>
      <c r="C2267" t="s">
        <v>32</v>
      </c>
      <c r="D2267" t="s">
        <v>227</v>
      </c>
      <c r="F2267" t="s">
        <v>35</v>
      </c>
      <c r="G2267" t="s">
        <v>35</v>
      </c>
      <c r="H2267" t="s">
        <v>35</v>
      </c>
      <c r="J2267" t="s">
        <v>2984</v>
      </c>
      <c r="K2267" t="s">
        <v>1092</v>
      </c>
      <c r="M2267">
        <v>0.5</v>
      </c>
      <c r="N2267">
        <v>1890</v>
      </c>
      <c r="O2267" t="s">
        <v>575</v>
      </c>
      <c r="Q2267" t="s">
        <v>2985</v>
      </c>
      <c r="R2267" t="s">
        <v>2956</v>
      </c>
      <c r="S2267" t="s">
        <v>2953</v>
      </c>
      <c r="T2267" t="s">
        <v>2954</v>
      </c>
    </row>
    <row r="2268" spans="1:20" x14ac:dyDescent="0.25">
      <c r="A2268" t="s">
        <v>59</v>
      </c>
      <c r="B2268" t="s">
        <v>60</v>
      </c>
      <c r="C2268" t="s">
        <v>32</v>
      </c>
      <c r="D2268" t="s">
        <v>227</v>
      </c>
      <c r="F2268" t="s">
        <v>35</v>
      </c>
      <c r="G2268" t="s">
        <v>35</v>
      </c>
      <c r="H2268" t="s">
        <v>35</v>
      </c>
      <c r="J2268" t="s">
        <v>3000</v>
      </c>
      <c r="K2268" t="s">
        <v>1092</v>
      </c>
      <c r="M2268">
        <v>1</v>
      </c>
      <c r="N2268">
        <v>2546</v>
      </c>
      <c r="O2268" t="s">
        <v>575</v>
      </c>
      <c r="Q2268" t="s">
        <v>3001</v>
      </c>
      <c r="R2268" t="s">
        <v>2956</v>
      </c>
      <c r="S2268" t="s">
        <v>2953</v>
      </c>
      <c r="T2268" t="s">
        <v>2954</v>
      </c>
    </row>
    <row r="2269" spans="1:20" x14ac:dyDescent="0.25">
      <c r="A2269" t="s">
        <v>59</v>
      </c>
      <c r="B2269" t="s">
        <v>60</v>
      </c>
      <c r="C2269" t="s">
        <v>32</v>
      </c>
      <c r="D2269" t="s">
        <v>227</v>
      </c>
      <c r="F2269" t="s">
        <v>35</v>
      </c>
      <c r="G2269" t="s">
        <v>35</v>
      </c>
      <c r="H2269" t="s">
        <v>35</v>
      </c>
      <c r="J2269" t="s">
        <v>2953</v>
      </c>
      <c r="K2269" t="s">
        <v>1092</v>
      </c>
      <c r="M2269">
        <v>0.16500000000000001</v>
      </c>
      <c r="N2269">
        <v>2483</v>
      </c>
      <c r="O2269" t="s">
        <v>575</v>
      </c>
      <c r="Q2269" t="s">
        <v>2955</v>
      </c>
      <c r="R2269" t="s">
        <v>2956</v>
      </c>
      <c r="S2269" t="s">
        <v>2953</v>
      </c>
      <c r="T2269" t="s">
        <v>2954</v>
      </c>
    </row>
    <row r="2270" spans="1:20" x14ac:dyDescent="0.25">
      <c r="A2270" t="s">
        <v>44</v>
      </c>
      <c r="B2270" t="s">
        <v>3</v>
      </c>
      <c r="C2270" t="s">
        <v>32</v>
      </c>
      <c r="D2270" t="s">
        <v>227</v>
      </c>
      <c r="E2270" t="s">
        <v>2617</v>
      </c>
      <c r="F2270" t="s">
        <v>35</v>
      </c>
      <c r="G2270" t="s">
        <v>35</v>
      </c>
      <c r="H2270" t="s">
        <v>35</v>
      </c>
      <c r="J2270" t="s">
        <v>2638</v>
      </c>
      <c r="K2270" t="s">
        <v>1092</v>
      </c>
      <c r="M2270">
        <v>0.05</v>
      </c>
      <c r="N2270">
        <v>154</v>
      </c>
      <c r="O2270" t="s">
        <v>38</v>
      </c>
      <c r="Q2270" t="s">
        <v>2639</v>
      </c>
      <c r="R2270" t="s">
        <v>2625</v>
      </c>
      <c r="S2270" t="s">
        <v>2626</v>
      </c>
      <c r="T2270" t="s">
        <v>2627</v>
      </c>
    </row>
    <row r="2271" spans="1:20" x14ac:dyDescent="0.25">
      <c r="A2271" t="s">
        <v>30</v>
      </c>
      <c r="B2271" t="s">
        <v>31</v>
      </c>
      <c r="C2271" t="s">
        <v>32</v>
      </c>
      <c r="D2271" t="s">
        <v>227</v>
      </c>
      <c r="E2271" t="s">
        <v>2617</v>
      </c>
      <c r="F2271" t="s">
        <v>35</v>
      </c>
      <c r="G2271" t="s">
        <v>35</v>
      </c>
      <c r="H2271" t="s">
        <v>35</v>
      </c>
      <c r="J2271" t="s">
        <v>2637</v>
      </c>
      <c r="K2271" t="s">
        <v>1092</v>
      </c>
      <c r="M2271">
        <v>0.1</v>
      </c>
      <c r="N2271">
        <v>581</v>
      </c>
      <c r="O2271" t="s">
        <v>575</v>
      </c>
      <c r="Q2271" t="s">
        <v>2636</v>
      </c>
      <c r="R2271" t="s">
        <v>2625</v>
      </c>
      <c r="S2271" t="s">
        <v>2626</v>
      </c>
      <c r="T2271" t="s">
        <v>2627</v>
      </c>
    </row>
    <row r="2272" spans="1:20" x14ac:dyDescent="0.25">
      <c r="A2272" t="s">
        <v>30</v>
      </c>
      <c r="B2272" t="s">
        <v>31</v>
      </c>
      <c r="C2272" t="s">
        <v>32</v>
      </c>
      <c r="D2272" t="s">
        <v>227</v>
      </c>
      <c r="E2272" t="s">
        <v>2617</v>
      </c>
      <c r="F2272" t="s">
        <v>35</v>
      </c>
      <c r="G2272" t="s">
        <v>35</v>
      </c>
      <c r="H2272" t="s">
        <v>35</v>
      </c>
      <c r="J2272" t="s">
        <v>2635</v>
      </c>
      <c r="K2272" t="s">
        <v>1092</v>
      </c>
      <c r="M2272">
        <v>0.505</v>
      </c>
      <c r="N2272">
        <v>581</v>
      </c>
      <c r="O2272" t="s">
        <v>575</v>
      </c>
      <c r="Q2272" t="s">
        <v>2636</v>
      </c>
      <c r="R2272" t="s">
        <v>2625</v>
      </c>
      <c r="S2272" t="s">
        <v>2626</v>
      </c>
      <c r="T2272" t="s">
        <v>2627</v>
      </c>
    </row>
    <row r="2273" spans="1:20" x14ac:dyDescent="0.25">
      <c r="A2273" t="s">
        <v>44</v>
      </c>
      <c r="B2273" t="s">
        <v>3</v>
      </c>
      <c r="C2273" t="s">
        <v>32</v>
      </c>
      <c r="D2273" t="s">
        <v>227</v>
      </c>
      <c r="E2273" t="s">
        <v>2617</v>
      </c>
      <c r="F2273" t="s">
        <v>35</v>
      </c>
      <c r="G2273" t="s">
        <v>35</v>
      </c>
      <c r="H2273" t="s">
        <v>35</v>
      </c>
      <c r="J2273" t="s">
        <v>2623</v>
      </c>
      <c r="K2273" t="s">
        <v>1092</v>
      </c>
      <c r="M2273">
        <v>4.2</v>
      </c>
      <c r="N2273">
        <v>102</v>
      </c>
      <c r="O2273" t="s">
        <v>106</v>
      </c>
      <c r="Q2273" t="s">
        <v>2624</v>
      </c>
      <c r="R2273" t="s">
        <v>2625</v>
      </c>
      <c r="S2273" t="s">
        <v>2626</v>
      </c>
      <c r="T2273" t="s">
        <v>2627</v>
      </c>
    </row>
    <row r="2274" spans="1:20" x14ac:dyDescent="0.25">
      <c r="A2274" t="s">
        <v>59</v>
      </c>
      <c r="B2274" t="s">
        <v>60</v>
      </c>
      <c r="C2274" t="s">
        <v>32</v>
      </c>
      <c r="D2274" t="s">
        <v>227</v>
      </c>
      <c r="E2274" t="s">
        <v>2871</v>
      </c>
      <c r="F2274" t="s">
        <v>35</v>
      </c>
      <c r="G2274" t="s">
        <v>35</v>
      </c>
      <c r="H2274" t="s">
        <v>35</v>
      </c>
      <c r="J2274" t="s">
        <v>2887</v>
      </c>
      <c r="K2274" t="s">
        <v>1092</v>
      </c>
      <c r="M2274">
        <v>0.2</v>
      </c>
      <c r="N2274">
        <v>14</v>
      </c>
      <c r="O2274" t="s">
        <v>46</v>
      </c>
      <c r="Q2274" t="s">
        <v>1874</v>
      </c>
      <c r="R2274" t="s">
        <v>2690</v>
      </c>
      <c r="S2274" t="s">
        <v>252</v>
      </c>
      <c r="T2274" t="s">
        <v>253</v>
      </c>
    </row>
    <row r="2275" spans="1:20" x14ac:dyDescent="0.25">
      <c r="A2275" t="s">
        <v>59</v>
      </c>
      <c r="B2275" t="s">
        <v>60</v>
      </c>
      <c r="C2275" t="s">
        <v>32</v>
      </c>
      <c r="D2275" t="s">
        <v>227</v>
      </c>
      <c r="E2275" t="s">
        <v>2675</v>
      </c>
      <c r="F2275" t="s">
        <v>35</v>
      </c>
      <c r="G2275" t="s">
        <v>35</v>
      </c>
      <c r="H2275" t="s">
        <v>35</v>
      </c>
      <c r="J2275" t="s">
        <v>2688</v>
      </c>
      <c r="K2275" t="s">
        <v>1092</v>
      </c>
      <c r="M2275">
        <v>0.06</v>
      </c>
      <c r="N2275">
        <v>336</v>
      </c>
      <c r="O2275" t="s">
        <v>5</v>
      </c>
      <c r="Q2275" t="s">
        <v>2689</v>
      </c>
      <c r="R2275" t="s">
        <v>2690</v>
      </c>
      <c r="S2275" t="s">
        <v>252</v>
      </c>
      <c r="T2275" t="s">
        <v>253</v>
      </c>
    </row>
    <row r="2276" spans="1:20" x14ac:dyDescent="0.25">
      <c r="A2276" t="s">
        <v>59</v>
      </c>
      <c r="B2276" t="s">
        <v>60</v>
      </c>
      <c r="C2276" t="s">
        <v>32</v>
      </c>
      <c r="D2276" t="s">
        <v>227</v>
      </c>
      <c r="E2276" t="s">
        <v>2871</v>
      </c>
      <c r="F2276" t="s">
        <v>35</v>
      </c>
      <c r="G2276" t="s">
        <v>35</v>
      </c>
      <c r="H2276" t="s">
        <v>35</v>
      </c>
      <c r="J2276" t="s">
        <v>2872</v>
      </c>
      <c r="K2276" t="s">
        <v>1092</v>
      </c>
      <c r="M2276">
        <v>3.0000000000000001E-3</v>
      </c>
      <c r="N2276">
        <v>1694</v>
      </c>
      <c r="O2276" t="s">
        <v>575</v>
      </c>
      <c r="Q2276" t="s">
        <v>2873</v>
      </c>
      <c r="R2276" t="s">
        <v>2690</v>
      </c>
      <c r="S2276" t="s">
        <v>252</v>
      </c>
      <c r="T2276" t="s">
        <v>253</v>
      </c>
    </row>
    <row r="2277" spans="1:20" x14ac:dyDescent="0.25">
      <c r="A2277" t="s">
        <v>59</v>
      </c>
      <c r="B2277" t="s">
        <v>60</v>
      </c>
      <c r="C2277" t="s">
        <v>32</v>
      </c>
      <c r="D2277" t="s">
        <v>227</v>
      </c>
      <c r="F2277" t="s">
        <v>35</v>
      </c>
      <c r="G2277" t="s">
        <v>35</v>
      </c>
      <c r="H2277" t="s">
        <v>35</v>
      </c>
      <c r="J2277" t="s">
        <v>3029</v>
      </c>
      <c r="K2277" t="s">
        <v>1092</v>
      </c>
      <c r="M2277">
        <v>0.5</v>
      </c>
      <c r="N2277">
        <v>1904</v>
      </c>
      <c r="O2277" t="s">
        <v>575</v>
      </c>
      <c r="Q2277" t="s">
        <v>3031</v>
      </c>
      <c r="R2277" t="s">
        <v>2690</v>
      </c>
      <c r="S2277" t="s">
        <v>252</v>
      </c>
      <c r="T2277" t="s">
        <v>253</v>
      </c>
    </row>
    <row r="2278" spans="1:20" x14ac:dyDescent="0.25">
      <c r="A2278" t="s">
        <v>59</v>
      </c>
      <c r="B2278" t="s">
        <v>60</v>
      </c>
      <c r="C2278" t="s">
        <v>32</v>
      </c>
      <c r="D2278" t="s">
        <v>227</v>
      </c>
      <c r="F2278" t="s">
        <v>35</v>
      </c>
      <c r="G2278" t="s">
        <v>35</v>
      </c>
      <c r="H2278" t="s">
        <v>35</v>
      </c>
      <c r="J2278" t="s">
        <v>3029</v>
      </c>
      <c r="K2278" t="s">
        <v>1092</v>
      </c>
      <c r="M2278">
        <v>0.25</v>
      </c>
      <c r="N2278">
        <v>1687</v>
      </c>
      <c r="O2278" t="s">
        <v>575</v>
      </c>
      <c r="Q2278" t="s">
        <v>3034</v>
      </c>
      <c r="R2278" t="s">
        <v>2690</v>
      </c>
      <c r="S2278" t="s">
        <v>252</v>
      </c>
      <c r="T2278" t="s">
        <v>253</v>
      </c>
    </row>
    <row r="2279" spans="1:20" x14ac:dyDescent="0.25">
      <c r="A2279" t="s">
        <v>59</v>
      </c>
      <c r="B2279" t="s">
        <v>60</v>
      </c>
      <c r="C2279" t="s">
        <v>32</v>
      </c>
      <c r="D2279" t="s">
        <v>227</v>
      </c>
      <c r="F2279" t="s">
        <v>35</v>
      </c>
      <c r="G2279" t="s">
        <v>35</v>
      </c>
      <c r="H2279" t="s">
        <v>35</v>
      </c>
      <c r="J2279" t="s">
        <v>3029</v>
      </c>
      <c r="K2279" t="s">
        <v>1092</v>
      </c>
      <c r="M2279">
        <v>0.5</v>
      </c>
      <c r="N2279">
        <v>1741</v>
      </c>
      <c r="O2279" t="s">
        <v>575</v>
      </c>
      <c r="Q2279" t="s">
        <v>3035</v>
      </c>
      <c r="R2279" t="s">
        <v>2690</v>
      </c>
      <c r="S2279" t="s">
        <v>252</v>
      </c>
      <c r="T2279" t="s">
        <v>253</v>
      </c>
    </row>
    <row r="2280" spans="1:20" x14ac:dyDescent="0.25">
      <c r="A2280" t="s">
        <v>59</v>
      </c>
      <c r="B2280" t="s">
        <v>60</v>
      </c>
      <c r="C2280" t="s">
        <v>32</v>
      </c>
      <c r="D2280" t="s">
        <v>227</v>
      </c>
      <c r="E2280" t="s">
        <v>2871</v>
      </c>
      <c r="F2280" t="s">
        <v>35</v>
      </c>
      <c r="G2280" t="s">
        <v>35</v>
      </c>
      <c r="H2280" t="s">
        <v>35</v>
      </c>
      <c r="J2280" t="s">
        <v>2890</v>
      </c>
      <c r="K2280" t="s">
        <v>1092</v>
      </c>
      <c r="M2280">
        <v>0.2</v>
      </c>
      <c r="N2280">
        <v>260</v>
      </c>
      <c r="O2280" t="s">
        <v>5</v>
      </c>
      <c r="Q2280" t="s">
        <v>2559</v>
      </c>
      <c r="R2280" t="s">
        <v>2690</v>
      </c>
      <c r="S2280" t="s">
        <v>252</v>
      </c>
      <c r="T2280" t="s">
        <v>253</v>
      </c>
    </row>
    <row r="2281" spans="1:20" x14ac:dyDescent="0.25">
      <c r="A2281" t="s">
        <v>59</v>
      </c>
      <c r="B2281" t="s">
        <v>60</v>
      </c>
      <c r="C2281" t="s">
        <v>32</v>
      </c>
      <c r="D2281" t="s">
        <v>227</v>
      </c>
      <c r="E2281" t="s">
        <v>2871</v>
      </c>
      <c r="F2281" t="s">
        <v>35</v>
      </c>
      <c r="G2281" t="s">
        <v>35</v>
      </c>
      <c r="H2281" t="s">
        <v>35</v>
      </c>
      <c r="J2281" t="s">
        <v>1160</v>
      </c>
      <c r="K2281" t="s">
        <v>1092</v>
      </c>
      <c r="M2281">
        <v>0.4</v>
      </c>
      <c r="N2281">
        <v>381</v>
      </c>
      <c r="O2281" t="s">
        <v>294</v>
      </c>
      <c r="Q2281" t="s">
        <v>1433</v>
      </c>
      <c r="R2281" t="s">
        <v>2690</v>
      </c>
      <c r="S2281" t="s">
        <v>252</v>
      </c>
      <c r="T2281" t="s">
        <v>253</v>
      </c>
    </row>
    <row r="2282" spans="1:20" x14ac:dyDescent="0.25">
      <c r="A2282" t="s">
        <v>59</v>
      </c>
      <c r="B2282" t="s">
        <v>60</v>
      </c>
      <c r="C2282" t="s">
        <v>32</v>
      </c>
      <c r="D2282" t="s">
        <v>227</v>
      </c>
      <c r="E2282" t="s">
        <v>2871</v>
      </c>
      <c r="F2282" t="s">
        <v>35</v>
      </c>
      <c r="G2282" t="s">
        <v>35</v>
      </c>
      <c r="H2282" t="s">
        <v>35</v>
      </c>
      <c r="J2282" t="s">
        <v>2882</v>
      </c>
      <c r="K2282" t="s">
        <v>1092</v>
      </c>
      <c r="M2282">
        <v>3.0000000000000001E-3</v>
      </c>
      <c r="N2282">
        <v>276</v>
      </c>
      <c r="O2282" t="s">
        <v>5</v>
      </c>
      <c r="Q2282" t="s">
        <v>1771</v>
      </c>
      <c r="R2282" t="s">
        <v>2690</v>
      </c>
      <c r="S2282" t="s">
        <v>252</v>
      </c>
      <c r="T2282" t="s">
        <v>253</v>
      </c>
    </row>
    <row r="2283" spans="1:20" x14ac:dyDescent="0.25">
      <c r="A2283" t="s">
        <v>59</v>
      </c>
      <c r="B2283" t="s">
        <v>60</v>
      </c>
      <c r="C2283" t="s">
        <v>32</v>
      </c>
      <c r="D2283" t="s">
        <v>227</v>
      </c>
      <c r="E2283" t="s">
        <v>2675</v>
      </c>
      <c r="F2283" t="s">
        <v>35</v>
      </c>
      <c r="G2283" t="s">
        <v>35</v>
      </c>
      <c r="H2283" t="s">
        <v>35</v>
      </c>
      <c r="J2283" t="s">
        <v>2692</v>
      </c>
      <c r="K2283" t="s">
        <v>1092</v>
      </c>
      <c r="M2283">
        <v>0.9</v>
      </c>
      <c r="N2283">
        <v>36</v>
      </c>
      <c r="O2283" t="s">
        <v>52</v>
      </c>
      <c r="Q2283" t="s">
        <v>892</v>
      </c>
      <c r="R2283" t="s">
        <v>2690</v>
      </c>
      <c r="S2283" t="s">
        <v>252</v>
      </c>
      <c r="T2283" t="s">
        <v>253</v>
      </c>
    </row>
    <row r="2284" spans="1:20" x14ac:dyDescent="0.25">
      <c r="A2284" t="s">
        <v>59</v>
      </c>
      <c r="B2284" t="s">
        <v>60</v>
      </c>
      <c r="C2284" t="s">
        <v>32</v>
      </c>
      <c r="D2284" t="s">
        <v>227</v>
      </c>
      <c r="E2284" t="s">
        <v>2871</v>
      </c>
      <c r="F2284" t="s">
        <v>35</v>
      </c>
      <c r="G2284" t="s">
        <v>35</v>
      </c>
      <c r="H2284" t="s">
        <v>35</v>
      </c>
      <c r="J2284" t="s">
        <v>2884</v>
      </c>
      <c r="K2284" t="s">
        <v>1092</v>
      </c>
      <c r="M2284">
        <v>0.45</v>
      </c>
      <c r="N2284">
        <v>602</v>
      </c>
      <c r="O2284" t="s">
        <v>575</v>
      </c>
      <c r="Q2284" t="s">
        <v>2885</v>
      </c>
      <c r="R2284" t="s">
        <v>2690</v>
      </c>
      <c r="S2284" t="s">
        <v>252</v>
      </c>
      <c r="T2284" t="s">
        <v>253</v>
      </c>
    </row>
    <row r="2285" spans="1:20" x14ac:dyDescent="0.25">
      <c r="A2285" t="s">
        <v>59</v>
      </c>
      <c r="B2285" t="s">
        <v>60</v>
      </c>
      <c r="C2285" t="s">
        <v>32</v>
      </c>
      <c r="D2285" t="s">
        <v>227</v>
      </c>
      <c r="E2285" t="s">
        <v>2675</v>
      </c>
      <c r="F2285" t="s">
        <v>35</v>
      </c>
      <c r="G2285" t="s">
        <v>35</v>
      </c>
      <c r="H2285" t="s">
        <v>35</v>
      </c>
      <c r="J2285" t="s">
        <v>2693</v>
      </c>
      <c r="K2285" t="s">
        <v>1092</v>
      </c>
      <c r="M2285">
        <v>0.77500000000000002</v>
      </c>
      <c r="N2285">
        <v>28</v>
      </c>
      <c r="O2285" t="s">
        <v>46</v>
      </c>
      <c r="Q2285" t="s">
        <v>48</v>
      </c>
      <c r="R2285" t="s">
        <v>2690</v>
      </c>
      <c r="S2285" t="s">
        <v>252</v>
      </c>
      <c r="T2285" t="s">
        <v>253</v>
      </c>
    </row>
    <row r="2286" spans="1:20" x14ac:dyDescent="0.25">
      <c r="A2286" t="s">
        <v>59</v>
      </c>
      <c r="B2286" t="s">
        <v>60</v>
      </c>
      <c r="C2286" t="s">
        <v>32</v>
      </c>
      <c r="D2286" t="s">
        <v>227</v>
      </c>
      <c r="E2286" t="s">
        <v>2675</v>
      </c>
      <c r="F2286" t="s">
        <v>35</v>
      </c>
      <c r="G2286" t="s">
        <v>35</v>
      </c>
      <c r="H2286" t="s">
        <v>35</v>
      </c>
      <c r="J2286" t="s">
        <v>2426</v>
      </c>
      <c r="K2286" t="s">
        <v>1092</v>
      </c>
      <c r="M2286">
        <v>0.45</v>
      </c>
      <c r="N2286">
        <v>276</v>
      </c>
      <c r="O2286" t="s">
        <v>5</v>
      </c>
      <c r="Q2286" t="s">
        <v>1771</v>
      </c>
      <c r="R2286" t="s">
        <v>2690</v>
      </c>
      <c r="S2286" t="s">
        <v>252</v>
      </c>
      <c r="T2286" t="s">
        <v>253</v>
      </c>
    </row>
    <row r="2287" spans="1:20" x14ac:dyDescent="0.25">
      <c r="A2287" t="s">
        <v>59</v>
      </c>
      <c r="B2287" t="s">
        <v>60</v>
      </c>
      <c r="C2287" t="s">
        <v>32</v>
      </c>
      <c r="D2287" t="s">
        <v>227</v>
      </c>
      <c r="E2287" t="s">
        <v>2675</v>
      </c>
      <c r="F2287" t="s">
        <v>35</v>
      </c>
      <c r="G2287" t="s">
        <v>35</v>
      </c>
      <c r="H2287" t="s">
        <v>35</v>
      </c>
      <c r="J2287" t="s">
        <v>2722</v>
      </c>
      <c r="K2287" t="s">
        <v>1092</v>
      </c>
      <c r="M2287">
        <v>0.45</v>
      </c>
      <c r="N2287">
        <v>2242</v>
      </c>
      <c r="O2287" t="s">
        <v>575</v>
      </c>
      <c r="Q2287" t="s">
        <v>2723</v>
      </c>
      <c r="R2287" t="s">
        <v>2690</v>
      </c>
      <c r="S2287" t="s">
        <v>252</v>
      </c>
      <c r="T2287" t="s">
        <v>253</v>
      </c>
    </row>
    <row r="2288" spans="1:20" x14ac:dyDescent="0.25">
      <c r="A2288" t="s">
        <v>59</v>
      </c>
      <c r="B2288" t="s">
        <v>60</v>
      </c>
      <c r="C2288" t="s">
        <v>32</v>
      </c>
      <c r="D2288" t="s">
        <v>227</v>
      </c>
      <c r="E2288" t="s">
        <v>2871</v>
      </c>
      <c r="F2288" t="s">
        <v>35</v>
      </c>
      <c r="G2288" t="s">
        <v>35</v>
      </c>
      <c r="H2288" t="s">
        <v>35</v>
      </c>
      <c r="J2288" t="s">
        <v>2906</v>
      </c>
      <c r="K2288" t="s">
        <v>1092</v>
      </c>
      <c r="M2288">
        <v>0.55000000000000004</v>
      </c>
      <c r="N2288">
        <v>260</v>
      </c>
      <c r="O2288" t="s">
        <v>5</v>
      </c>
      <c r="Q2288" t="s">
        <v>2559</v>
      </c>
      <c r="R2288" t="s">
        <v>2690</v>
      </c>
      <c r="S2288" t="s">
        <v>252</v>
      </c>
      <c r="T2288" t="s">
        <v>253</v>
      </c>
    </row>
    <row r="2289" spans="1:20" x14ac:dyDescent="0.25">
      <c r="A2289" t="s">
        <v>59</v>
      </c>
      <c r="B2289" t="s">
        <v>60</v>
      </c>
      <c r="C2289" t="s">
        <v>32</v>
      </c>
      <c r="D2289" t="s">
        <v>227</v>
      </c>
      <c r="E2289" t="s">
        <v>2675</v>
      </c>
      <c r="F2289" t="s">
        <v>35</v>
      </c>
      <c r="G2289" t="s">
        <v>35</v>
      </c>
      <c r="H2289" t="s">
        <v>35</v>
      </c>
      <c r="J2289" t="s">
        <v>2703</v>
      </c>
      <c r="K2289" t="s">
        <v>1092</v>
      </c>
      <c r="M2289">
        <v>0.04</v>
      </c>
      <c r="N2289">
        <v>159</v>
      </c>
      <c r="O2289" t="s">
        <v>38</v>
      </c>
      <c r="Q2289" t="s">
        <v>2316</v>
      </c>
      <c r="R2289" t="s">
        <v>2690</v>
      </c>
      <c r="S2289" t="s">
        <v>252</v>
      </c>
      <c r="T2289" t="s">
        <v>253</v>
      </c>
    </row>
    <row r="2290" spans="1:20" x14ac:dyDescent="0.25">
      <c r="A2290" t="s">
        <v>59</v>
      </c>
      <c r="B2290" t="s">
        <v>60</v>
      </c>
      <c r="C2290" t="s">
        <v>32</v>
      </c>
      <c r="D2290" t="s">
        <v>227</v>
      </c>
      <c r="E2290" t="s">
        <v>2871</v>
      </c>
      <c r="F2290" t="s">
        <v>35</v>
      </c>
      <c r="G2290" t="s">
        <v>35</v>
      </c>
      <c r="H2290" t="s">
        <v>35</v>
      </c>
      <c r="J2290" t="s">
        <v>2896</v>
      </c>
      <c r="K2290" t="s">
        <v>1092</v>
      </c>
      <c r="M2290">
        <v>0.28000000000000003</v>
      </c>
      <c r="N2290">
        <v>138</v>
      </c>
      <c r="O2290" t="s">
        <v>38</v>
      </c>
      <c r="Q2290" t="s">
        <v>1149</v>
      </c>
      <c r="R2290" t="s">
        <v>2690</v>
      </c>
      <c r="S2290" t="s">
        <v>252</v>
      </c>
      <c r="T2290" t="s">
        <v>253</v>
      </c>
    </row>
    <row r="2291" spans="1:20" x14ac:dyDescent="0.25">
      <c r="A2291" t="s">
        <v>59</v>
      </c>
      <c r="B2291" t="s">
        <v>60</v>
      </c>
      <c r="C2291" t="s">
        <v>32</v>
      </c>
      <c r="D2291" t="s">
        <v>227</v>
      </c>
      <c r="E2291" t="s">
        <v>2871</v>
      </c>
      <c r="F2291" t="s">
        <v>35</v>
      </c>
      <c r="G2291" t="s">
        <v>35</v>
      </c>
      <c r="H2291" t="s">
        <v>35</v>
      </c>
      <c r="J2291" t="s">
        <v>2913</v>
      </c>
      <c r="K2291" t="s">
        <v>1092</v>
      </c>
      <c r="M2291">
        <v>8.5999999999999993E-2</v>
      </c>
      <c r="N2291">
        <v>260</v>
      </c>
      <c r="O2291" t="s">
        <v>5</v>
      </c>
      <c r="Q2291" t="s">
        <v>2559</v>
      </c>
      <c r="R2291" t="s">
        <v>2690</v>
      </c>
      <c r="S2291" t="s">
        <v>252</v>
      </c>
      <c r="T2291" t="s">
        <v>253</v>
      </c>
    </row>
    <row r="2292" spans="1:20" x14ac:dyDescent="0.25">
      <c r="A2292" t="s">
        <v>59</v>
      </c>
      <c r="B2292" t="s">
        <v>31</v>
      </c>
      <c r="C2292" t="s">
        <v>32</v>
      </c>
      <c r="D2292" t="s">
        <v>227</v>
      </c>
      <c r="E2292" t="s">
        <v>2492</v>
      </c>
      <c r="F2292" t="s">
        <v>35</v>
      </c>
      <c r="G2292" t="s">
        <v>35</v>
      </c>
      <c r="H2292" t="s">
        <v>35</v>
      </c>
      <c r="J2292" t="s">
        <v>2511</v>
      </c>
      <c r="K2292" t="s">
        <v>1092</v>
      </c>
      <c r="M2292">
        <v>5.0000000000000001E-3</v>
      </c>
      <c r="N2292">
        <v>1251</v>
      </c>
      <c r="O2292" t="s">
        <v>575</v>
      </c>
      <c r="Q2292" t="s">
        <v>2512</v>
      </c>
      <c r="R2292" t="s">
        <v>2513</v>
      </c>
      <c r="S2292" t="s">
        <v>2514</v>
      </c>
      <c r="T2292" t="s">
        <v>2497</v>
      </c>
    </row>
    <row r="2293" spans="1:20" x14ac:dyDescent="0.25">
      <c r="A2293" t="s">
        <v>59</v>
      </c>
      <c r="B2293" t="s">
        <v>60</v>
      </c>
      <c r="C2293" t="s">
        <v>32</v>
      </c>
      <c r="D2293" t="s">
        <v>227</v>
      </c>
      <c r="F2293" t="s">
        <v>35</v>
      </c>
      <c r="G2293" t="s">
        <v>35</v>
      </c>
      <c r="H2293" t="s">
        <v>35</v>
      </c>
      <c r="J2293" t="s">
        <v>3055</v>
      </c>
      <c r="K2293" t="s">
        <v>1092</v>
      </c>
      <c r="M2293">
        <v>0.1</v>
      </c>
      <c r="N2293">
        <v>2666</v>
      </c>
      <c r="O2293" t="s">
        <v>575</v>
      </c>
      <c r="Q2293" t="s">
        <v>1486</v>
      </c>
      <c r="R2293" t="s">
        <v>1487</v>
      </c>
      <c r="S2293" t="s">
        <v>1488</v>
      </c>
    </row>
    <row r="2294" spans="1:20" x14ac:dyDescent="0.25">
      <c r="A2294" t="s">
        <v>59</v>
      </c>
      <c r="B2294" t="s">
        <v>60</v>
      </c>
      <c r="C2294" t="s">
        <v>32</v>
      </c>
      <c r="D2294" t="s">
        <v>227</v>
      </c>
      <c r="F2294" t="s">
        <v>35</v>
      </c>
      <c r="G2294" t="s">
        <v>35</v>
      </c>
      <c r="H2294" t="s">
        <v>35</v>
      </c>
      <c r="J2294" t="s">
        <v>3023</v>
      </c>
      <c r="K2294" t="s">
        <v>1092</v>
      </c>
      <c r="M2294">
        <v>0.32500000000000001</v>
      </c>
      <c r="N2294">
        <v>2666</v>
      </c>
      <c r="O2294" t="s">
        <v>575</v>
      </c>
      <c r="Q2294" t="s">
        <v>1486</v>
      </c>
      <c r="R2294" t="s">
        <v>1487</v>
      </c>
      <c r="S2294" t="s">
        <v>1488</v>
      </c>
    </row>
    <row r="2295" spans="1:20" x14ac:dyDescent="0.25">
      <c r="A2295" t="s">
        <v>59</v>
      </c>
      <c r="B2295" t="s">
        <v>31</v>
      </c>
      <c r="C2295" t="s">
        <v>32</v>
      </c>
      <c r="D2295" t="s">
        <v>227</v>
      </c>
      <c r="F2295" t="s">
        <v>35</v>
      </c>
      <c r="G2295" t="s">
        <v>35</v>
      </c>
      <c r="H2295" t="s">
        <v>35</v>
      </c>
      <c r="J2295" t="s">
        <v>3006</v>
      </c>
      <c r="K2295" t="s">
        <v>1092</v>
      </c>
      <c r="M2295">
        <v>2.585</v>
      </c>
      <c r="N2295">
        <v>2666</v>
      </c>
      <c r="O2295" t="s">
        <v>575</v>
      </c>
      <c r="Q2295" t="s">
        <v>1486</v>
      </c>
      <c r="R2295" t="s">
        <v>1487</v>
      </c>
      <c r="S2295" t="s">
        <v>1488</v>
      </c>
    </row>
    <row r="2296" spans="1:20" x14ac:dyDescent="0.25">
      <c r="A2296" t="s">
        <v>59</v>
      </c>
      <c r="B2296" t="s">
        <v>60</v>
      </c>
      <c r="C2296" t="s">
        <v>32</v>
      </c>
      <c r="D2296" t="s">
        <v>227</v>
      </c>
      <c r="F2296" t="s">
        <v>35</v>
      </c>
      <c r="G2296" t="s">
        <v>35</v>
      </c>
      <c r="H2296" t="s">
        <v>35</v>
      </c>
      <c r="J2296" t="s">
        <v>2988</v>
      </c>
      <c r="K2296" t="s">
        <v>1092</v>
      </c>
      <c r="M2296">
        <v>0.04</v>
      </c>
      <c r="N2296">
        <v>2666</v>
      </c>
      <c r="O2296" t="s">
        <v>575</v>
      </c>
      <c r="Q2296" t="s">
        <v>1486</v>
      </c>
      <c r="R2296" t="s">
        <v>1487</v>
      </c>
      <c r="S2296" t="s">
        <v>1488</v>
      </c>
    </row>
    <row r="2297" spans="1:20" x14ac:dyDescent="0.25">
      <c r="A2297" t="s">
        <v>59</v>
      </c>
      <c r="B2297" t="s">
        <v>60</v>
      </c>
      <c r="C2297" t="s">
        <v>32</v>
      </c>
      <c r="D2297" t="s">
        <v>227</v>
      </c>
      <c r="F2297" t="s">
        <v>35</v>
      </c>
      <c r="G2297" t="s">
        <v>35</v>
      </c>
      <c r="H2297" t="s">
        <v>35</v>
      </c>
      <c r="J2297" t="s">
        <v>3044</v>
      </c>
      <c r="K2297" t="s">
        <v>1092</v>
      </c>
      <c r="M2297">
        <v>3.9E-2</v>
      </c>
      <c r="N2297">
        <v>2666</v>
      </c>
      <c r="O2297" t="s">
        <v>575</v>
      </c>
      <c r="Q2297" t="s">
        <v>1486</v>
      </c>
      <c r="R2297" t="s">
        <v>1487</v>
      </c>
      <c r="S2297" t="s">
        <v>1488</v>
      </c>
    </row>
    <row r="2298" spans="1:20" x14ac:dyDescent="0.25">
      <c r="A2298" t="s">
        <v>59</v>
      </c>
      <c r="B2298" t="s">
        <v>60</v>
      </c>
      <c r="C2298" t="s">
        <v>32</v>
      </c>
      <c r="D2298" t="s">
        <v>227</v>
      </c>
      <c r="F2298" t="s">
        <v>35</v>
      </c>
      <c r="G2298" t="s">
        <v>35</v>
      </c>
      <c r="H2298" t="s">
        <v>35</v>
      </c>
      <c r="J2298" t="s">
        <v>2950</v>
      </c>
      <c r="K2298" t="s">
        <v>1092</v>
      </c>
      <c r="M2298">
        <v>0.5</v>
      </c>
      <c r="N2298">
        <v>2666</v>
      </c>
      <c r="O2298" t="s">
        <v>575</v>
      </c>
      <c r="Q2298" t="s">
        <v>1486</v>
      </c>
      <c r="R2298" t="s">
        <v>1487</v>
      </c>
      <c r="S2298" t="s">
        <v>1488</v>
      </c>
    </row>
    <row r="2299" spans="1:20" x14ac:dyDescent="0.25">
      <c r="A2299" t="s">
        <v>59</v>
      </c>
      <c r="B2299" t="s">
        <v>60</v>
      </c>
      <c r="C2299" t="s">
        <v>32</v>
      </c>
      <c r="D2299" t="s">
        <v>227</v>
      </c>
      <c r="E2299" t="s">
        <v>2603</v>
      </c>
      <c r="F2299" t="s">
        <v>35</v>
      </c>
      <c r="G2299" t="s">
        <v>35</v>
      </c>
      <c r="H2299" t="s">
        <v>35</v>
      </c>
      <c r="J2299" t="s">
        <v>2606</v>
      </c>
      <c r="K2299" t="s">
        <v>1092</v>
      </c>
      <c r="M2299">
        <v>0.05</v>
      </c>
      <c r="N2299">
        <v>2666</v>
      </c>
      <c r="O2299" t="s">
        <v>575</v>
      </c>
      <c r="Q2299" t="s">
        <v>1486</v>
      </c>
      <c r="R2299" t="s">
        <v>1487</v>
      </c>
      <c r="S2299" t="s">
        <v>1488</v>
      </c>
    </row>
    <row r="2300" spans="1:20" x14ac:dyDescent="0.25">
      <c r="A2300" t="s">
        <v>59</v>
      </c>
      <c r="B2300" t="s">
        <v>60</v>
      </c>
      <c r="C2300" t="s">
        <v>32</v>
      </c>
      <c r="D2300" t="s">
        <v>227</v>
      </c>
      <c r="F2300" t="s">
        <v>35</v>
      </c>
      <c r="G2300" t="s">
        <v>35</v>
      </c>
      <c r="H2300" t="s">
        <v>35</v>
      </c>
      <c r="J2300" t="s">
        <v>2971</v>
      </c>
      <c r="K2300" t="s">
        <v>1092</v>
      </c>
      <c r="M2300">
        <v>0.1</v>
      </c>
      <c r="N2300">
        <v>2666</v>
      </c>
      <c r="O2300" t="s">
        <v>575</v>
      </c>
      <c r="Q2300" t="s">
        <v>1486</v>
      </c>
      <c r="R2300" t="s">
        <v>1487</v>
      </c>
      <c r="S2300" t="s">
        <v>1488</v>
      </c>
    </row>
    <row r="2301" spans="1:20" x14ac:dyDescent="0.25">
      <c r="A2301" t="s">
        <v>59</v>
      </c>
      <c r="B2301" t="s">
        <v>60</v>
      </c>
      <c r="C2301" t="s">
        <v>32</v>
      </c>
      <c r="D2301" t="s">
        <v>227</v>
      </c>
      <c r="F2301" t="s">
        <v>35</v>
      </c>
      <c r="G2301" t="s">
        <v>35</v>
      </c>
      <c r="H2301" t="s">
        <v>35</v>
      </c>
      <c r="J2301" t="s">
        <v>2792</v>
      </c>
      <c r="K2301" t="s">
        <v>1092</v>
      </c>
      <c r="M2301">
        <v>0.35</v>
      </c>
      <c r="N2301">
        <v>2666</v>
      </c>
      <c r="O2301" t="s">
        <v>575</v>
      </c>
      <c r="Q2301" t="s">
        <v>1486</v>
      </c>
      <c r="R2301" t="s">
        <v>1487</v>
      </c>
      <c r="S2301" t="s">
        <v>1488</v>
      </c>
    </row>
    <row r="2302" spans="1:20" x14ac:dyDescent="0.25">
      <c r="A2302" t="s">
        <v>30</v>
      </c>
      <c r="B2302" t="s">
        <v>31</v>
      </c>
      <c r="C2302" t="s">
        <v>32</v>
      </c>
      <c r="D2302" t="s">
        <v>227</v>
      </c>
      <c r="F2302" t="s">
        <v>35</v>
      </c>
      <c r="G2302" t="s">
        <v>35</v>
      </c>
      <c r="H2302" t="s">
        <v>35</v>
      </c>
      <c r="J2302" t="s">
        <v>2792</v>
      </c>
      <c r="K2302" t="s">
        <v>1092</v>
      </c>
      <c r="M2302">
        <v>0.45</v>
      </c>
      <c r="N2302">
        <v>2666</v>
      </c>
      <c r="O2302" t="s">
        <v>575</v>
      </c>
      <c r="Q2302" t="s">
        <v>1486</v>
      </c>
      <c r="R2302" t="s">
        <v>1487</v>
      </c>
      <c r="S2302" t="s">
        <v>1488</v>
      </c>
    </row>
    <row r="2303" spans="1:20" x14ac:dyDescent="0.25">
      <c r="A2303" t="s">
        <v>59</v>
      </c>
      <c r="B2303" t="s">
        <v>60</v>
      </c>
      <c r="C2303" t="s">
        <v>32</v>
      </c>
      <c r="D2303" t="s">
        <v>227</v>
      </c>
      <c r="F2303" t="s">
        <v>35</v>
      </c>
      <c r="G2303" t="s">
        <v>35</v>
      </c>
      <c r="H2303" t="s">
        <v>35</v>
      </c>
      <c r="J2303" t="s">
        <v>3038</v>
      </c>
      <c r="K2303" t="s">
        <v>1092</v>
      </c>
      <c r="M2303">
        <v>0.5</v>
      </c>
      <c r="N2303">
        <v>2666</v>
      </c>
      <c r="O2303" t="s">
        <v>575</v>
      </c>
      <c r="Q2303" t="s">
        <v>1486</v>
      </c>
      <c r="R2303" t="s">
        <v>1487</v>
      </c>
      <c r="S2303" t="s">
        <v>1488</v>
      </c>
    </row>
    <row r="2304" spans="1:20" x14ac:dyDescent="0.25">
      <c r="A2304" t="s">
        <v>59</v>
      </c>
      <c r="B2304" t="s">
        <v>60</v>
      </c>
      <c r="C2304" t="s">
        <v>32</v>
      </c>
      <c r="D2304" t="s">
        <v>227</v>
      </c>
      <c r="F2304" t="s">
        <v>35</v>
      </c>
      <c r="G2304" t="s">
        <v>35</v>
      </c>
      <c r="H2304" t="s">
        <v>35</v>
      </c>
      <c r="J2304" t="s">
        <v>3011</v>
      </c>
      <c r="K2304" t="s">
        <v>1092</v>
      </c>
      <c r="M2304">
        <v>1.6E-2</v>
      </c>
      <c r="N2304">
        <v>2666</v>
      </c>
      <c r="O2304" t="s">
        <v>575</v>
      </c>
      <c r="Q2304" t="s">
        <v>1486</v>
      </c>
      <c r="R2304" t="s">
        <v>1487</v>
      </c>
      <c r="S2304" t="s">
        <v>1488</v>
      </c>
    </row>
    <row r="2305" spans="1:19" x14ac:dyDescent="0.25">
      <c r="A2305" t="s">
        <v>59</v>
      </c>
      <c r="B2305" t="s">
        <v>60</v>
      </c>
      <c r="C2305" t="s">
        <v>32</v>
      </c>
      <c r="D2305" t="s">
        <v>227</v>
      </c>
      <c r="F2305" t="s">
        <v>35</v>
      </c>
      <c r="G2305" t="s">
        <v>35</v>
      </c>
      <c r="H2305" t="s">
        <v>35</v>
      </c>
      <c r="J2305" t="s">
        <v>2990</v>
      </c>
      <c r="K2305" t="s">
        <v>1092</v>
      </c>
      <c r="M2305">
        <v>0.157</v>
      </c>
      <c r="N2305">
        <v>2666</v>
      </c>
      <c r="O2305" t="s">
        <v>575</v>
      </c>
      <c r="Q2305" t="s">
        <v>1486</v>
      </c>
      <c r="R2305" t="s">
        <v>1487</v>
      </c>
      <c r="S2305" t="s">
        <v>1488</v>
      </c>
    </row>
    <row r="2306" spans="1:19" x14ac:dyDescent="0.25">
      <c r="A2306" t="s">
        <v>59</v>
      </c>
      <c r="B2306" t="s">
        <v>60</v>
      </c>
      <c r="C2306" t="s">
        <v>32</v>
      </c>
      <c r="D2306" t="s">
        <v>227</v>
      </c>
      <c r="F2306" t="s">
        <v>35</v>
      </c>
      <c r="G2306" t="s">
        <v>35</v>
      </c>
      <c r="H2306" t="s">
        <v>35</v>
      </c>
      <c r="J2306" t="s">
        <v>2948</v>
      </c>
      <c r="K2306" t="s">
        <v>1092</v>
      </c>
      <c r="M2306">
        <v>0.3</v>
      </c>
      <c r="N2306">
        <v>2666</v>
      </c>
      <c r="O2306" t="s">
        <v>575</v>
      </c>
      <c r="Q2306" t="s">
        <v>1486</v>
      </c>
      <c r="R2306" t="s">
        <v>1487</v>
      </c>
      <c r="S2306" t="s">
        <v>1488</v>
      </c>
    </row>
    <row r="2307" spans="1:19" x14ac:dyDescent="0.25">
      <c r="A2307" t="s">
        <v>59</v>
      </c>
      <c r="B2307" t="s">
        <v>60</v>
      </c>
      <c r="C2307" t="s">
        <v>32</v>
      </c>
      <c r="D2307" t="s">
        <v>227</v>
      </c>
      <c r="F2307" t="s">
        <v>35</v>
      </c>
      <c r="G2307" t="s">
        <v>35</v>
      </c>
      <c r="H2307" t="s">
        <v>35</v>
      </c>
      <c r="J2307" t="s">
        <v>2969</v>
      </c>
      <c r="K2307" t="s">
        <v>1092</v>
      </c>
      <c r="M2307">
        <v>0.1</v>
      </c>
      <c r="N2307">
        <v>2666</v>
      </c>
      <c r="O2307" t="s">
        <v>575</v>
      </c>
      <c r="Q2307" t="s">
        <v>1486</v>
      </c>
      <c r="R2307" t="s">
        <v>1487</v>
      </c>
      <c r="S2307" t="s">
        <v>1488</v>
      </c>
    </row>
    <row r="2308" spans="1:19" x14ac:dyDescent="0.25">
      <c r="A2308" t="s">
        <v>59</v>
      </c>
      <c r="B2308" t="s">
        <v>60</v>
      </c>
      <c r="C2308" t="s">
        <v>32</v>
      </c>
      <c r="D2308" t="s">
        <v>227</v>
      </c>
      <c r="F2308" t="s">
        <v>35</v>
      </c>
      <c r="G2308" t="s">
        <v>35</v>
      </c>
      <c r="H2308" t="s">
        <v>35</v>
      </c>
      <c r="J2308" t="s">
        <v>2983</v>
      </c>
      <c r="K2308" t="s">
        <v>1092</v>
      </c>
      <c r="M2308">
        <v>0.05</v>
      </c>
      <c r="N2308">
        <v>2666</v>
      </c>
      <c r="O2308" t="s">
        <v>575</v>
      </c>
      <c r="Q2308" t="s">
        <v>1486</v>
      </c>
      <c r="R2308" t="s">
        <v>1487</v>
      </c>
      <c r="S2308" t="s">
        <v>1488</v>
      </c>
    </row>
    <row r="2309" spans="1:19" x14ac:dyDescent="0.25">
      <c r="A2309" t="s">
        <v>59</v>
      </c>
      <c r="B2309" t="s">
        <v>60</v>
      </c>
      <c r="C2309" t="s">
        <v>32</v>
      </c>
      <c r="D2309" t="s">
        <v>227</v>
      </c>
      <c r="F2309" t="s">
        <v>35</v>
      </c>
      <c r="G2309" t="s">
        <v>35</v>
      </c>
      <c r="H2309" t="s">
        <v>35</v>
      </c>
      <c r="J2309" t="s">
        <v>3056</v>
      </c>
      <c r="K2309" t="s">
        <v>1092</v>
      </c>
      <c r="M2309">
        <v>4.3999999999999997E-2</v>
      </c>
      <c r="N2309">
        <v>2666</v>
      </c>
      <c r="O2309" t="s">
        <v>575</v>
      </c>
      <c r="Q2309" t="s">
        <v>1486</v>
      </c>
      <c r="R2309" t="s">
        <v>1487</v>
      </c>
      <c r="S2309" t="s">
        <v>1488</v>
      </c>
    </row>
    <row r="2310" spans="1:19" x14ac:dyDescent="0.25">
      <c r="A2310" t="s">
        <v>59</v>
      </c>
      <c r="B2310" t="s">
        <v>60</v>
      </c>
      <c r="C2310" t="s">
        <v>32</v>
      </c>
      <c r="D2310" t="s">
        <v>227</v>
      </c>
      <c r="F2310" t="s">
        <v>35</v>
      </c>
      <c r="G2310" t="s">
        <v>35</v>
      </c>
      <c r="H2310" t="s">
        <v>35</v>
      </c>
      <c r="J2310" t="s">
        <v>3070</v>
      </c>
      <c r="K2310" t="s">
        <v>1092</v>
      </c>
      <c r="M2310">
        <v>3.4000000000000002E-2</v>
      </c>
      <c r="N2310">
        <v>2666</v>
      </c>
      <c r="O2310" t="s">
        <v>575</v>
      </c>
      <c r="Q2310" t="s">
        <v>1486</v>
      </c>
      <c r="R2310" t="s">
        <v>1487</v>
      </c>
      <c r="S2310" t="s">
        <v>1488</v>
      </c>
    </row>
    <row r="2311" spans="1:19" x14ac:dyDescent="0.25">
      <c r="A2311" t="s">
        <v>59</v>
      </c>
      <c r="B2311" t="s">
        <v>60</v>
      </c>
      <c r="C2311" t="s">
        <v>32</v>
      </c>
      <c r="D2311" t="s">
        <v>227</v>
      </c>
      <c r="F2311" t="s">
        <v>35</v>
      </c>
      <c r="G2311" t="s">
        <v>35</v>
      </c>
      <c r="H2311" t="s">
        <v>35</v>
      </c>
      <c r="J2311" t="s">
        <v>2677</v>
      </c>
      <c r="K2311" t="s">
        <v>1092</v>
      </c>
      <c r="M2311">
        <v>1.4999999999999999E-2</v>
      </c>
      <c r="N2311">
        <v>2666</v>
      </c>
      <c r="O2311" t="s">
        <v>575</v>
      </c>
      <c r="Q2311" t="s">
        <v>1486</v>
      </c>
      <c r="R2311" t="s">
        <v>1487</v>
      </c>
      <c r="S2311" t="s">
        <v>1488</v>
      </c>
    </row>
    <row r="2312" spans="1:19" x14ac:dyDescent="0.25">
      <c r="A2312" t="s">
        <v>59</v>
      </c>
      <c r="B2312" t="s">
        <v>60</v>
      </c>
      <c r="C2312" t="s">
        <v>32</v>
      </c>
      <c r="D2312" t="s">
        <v>227</v>
      </c>
      <c r="E2312" t="s">
        <v>2825</v>
      </c>
      <c r="F2312" t="s">
        <v>35</v>
      </c>
      <c r="G2312" t="s">
        <v>35</v>
      </c>
      <c r="H2312" t="s">
        <v>35</v>
      </c>
      <c r="J2312" t="s">
        <v>2829</v>
      </c>
      <c r="K2312" t="s">
        <v>1092</v>
      </c>
      <c r="M2312">
        <v>0.15</v>
      </c>
      <c r="N2312">
        <v>2666</v>
      </c>
      <c r="O2312" t="s">
        <v>575</v>
      </c>
      <c r="Q2312" t="s">
        <v>1486</v>
      </c>
      <c r="R2312" t="s">
        <v>1487</v>
      </c>
      <c r="S2312" t="s">
        <v>1488</v>
      </c>
    </row>
    <row r="2313" spans="1:19" x14ac:dyDescent="0.25">
      <c r="A2313" t="s">
        <v>59</v>
      </c>
      <c r="B2313" t="s">
        <v>60</v>
      </c>
      <c r="C2313" t="s">
        <v>32</v>
      </c>
      <c r="D2313" t="s">
        <v>227</v>
      </c>
      <c r="F2313" t="s">
        <v>35</v>
      </c>
      <c r="G2313" t="s">
        <v>35</v>
      </c>
      <c r="H2313" t="s">
        <v>35</v>
      </c>
      <c r="J2313" t="s">
        <v>2959</v>
      </c>
      <c r="K2313" t="s">
        <v>1092</v>
      </c>
      <c r="M2313">
        <v>0.5</v>
      </c>
      <c r="N2313">
        <v>2666</v>
      </c>
      <c r="O2313" t="s">
        <v>575</v>
      </c>
      <c r="Q2313" t="s">
        <v>1486</v>
      </c>
      <c r="R2313" t="s">
        <v>1487</v>
      </c>
      <c r="S2313" t="s">
        <v>1488</v>
      </c>
    </row>
    <row r="2314" spans="1:19" x14ac:dyDescent="0.25">
      <c r="A2314" t="s">
        <v>59</v>
      </c>
      <c r="B2314" t="s">
        <v>60</v>
      </c>
      <c r="C2314" t="s">
        <v>32</v>
      </c>
      <c r="D2314" t="s">
        <v>227</v>
      </c>
      <c r="F2314" t="s">
        <v>35</v>
      </c>
      <c r="G2314" t="s">
        <v>35</v>
      </c>
      <c r="H2314" t="s">
        <v>35</v>
      </c>
      <c r="J2314" t="s">
        <v>3057</v>
      </c>
      <c r="K2314" t="s">
        <v>1092</v>
      </c>
      <c r="M2314">
        <v>0.1</v>
      </c>
      <c r="N2314">
        <v>2666</v>
      </c>
      <c r="O2314" t="s">
        <v>575</v>
      </c>
      <c r="Q2314" t="s">
        <v>1486</v>
      </c>
      <c r="R2314" t="s">
        <v>1487</v>
      </c>
      <c r="S2314" t="s">
        <v>1488</v>
      </c>
    </row>
    <row r="2315" spans="1:19" x14ac:dyDescent="0.25">
      <c r="A2315" t="s">
        <v>59</v>
      </c>
      <c r="B2315" t="s">
        <v>60</v>
      </c>
      <c r="C2315" t="s">
        <v>32</v>
      </c>
      <c r="D2315" t="s">
        <v>227</v>
      </c>
      <c r="F2315" t="s">
        <v>35</v>
      </c>
      <c r="G2315" t="s">
        <v>35</v>
      </c>
      <c r="H2315" t="s">
        <v>35</v>
      </c>
      <c r="J2315" t="s">
        <v>2995</v>
      </c>
      <c r="K2315" t="s">
        <v>1092</v>
      </c>
      <c r="M2315">
        <v>0.15</v>
      </c>
      <c r="N2315">
        <v>2666</v>
      </c>
      <c r="O2315" t="s">
        <v>575</v>
      </c>
      <c r="Q2315" t="s">
        <v>1486</v>
      </c>
      <c r="R2315" t="s">
        <v>1487</v>
      </c>
      <c r="S2315" t="s">
        <v>1488</v>
      </c>
    </row>
    <row r="2316" spans="1:19" x14ac:dyDescent="0.25">
      <c r="A2316" t="s">
        <v>59</v>
      </c>
      <c r="B2316" t="s">
        <v>60</v>
      </c>
      <c r="C2316" t="s">
        <v>32</v>
      </c>
      <c r="D2316" t="s">
        <v>227</v>
      </c>
      <c r="F2316" t="s">
        <v>35</v>
      </c>
      <c r="G2316" t="s">
        <v>35</v>
      </c>
      <c r="H2316" t="s">
        <v>35</v>
      </c>
      <c r="J2316" t="s">
        <v>3079</v>
      </c>
      <c r="K2316" t="s">
        <v>1092</v>
      </c>
      <c r="M2316">
        <v>0.1</v>
      </c>
      <c r="N2316">
        <v>2666</v>
      </c>
      <c r="O2316" t="s">
        <v>575</v>
      </c>
      <c r="Q2316" t="s">
        <v>1486</v>
      </c>
      <c r="R2316" t="s">
        <v>1487</v>
      </c>
      <c r="S2316" t="s">
        <v>1488</v>
      </c>
    </row>
    <row r="2317" spans="1:19" x14ac:dyDescent="0.25">
      <c r="A2317" t="s">
        <v>59</v>
      </c>
      <c r="B2317" t="s">
        <v>60</v>
      </c>
      <c r="C2317" t="s">
        <v>32</v>
      </c>
      <c r="D2317" t="s">
        <v>227</v>
      </c>
      <c r="F2317" t="s">
        <v>35</v>
      </c>
      <c r="G2317" t="s">
        <v>35</v>
      </c>
      <c r="H2317" t="s">
        <v>35</v>
      </c>
      <c r="J2317" t="s">
        <v>3076</v>
      </c>
      <c r="K2317" t="s">
        <v>1092</v>
      </c>
      <c r="M2317">
        <v>1.2E-2</v>
      </c>
      <c r="N2317">
        <v>2666</v>
      </c>
      <c r="O2317" t="s">
        <v>575</v>
      </c>
      <c r="Q2317" t="s">
        <v>1486</v>
      </c>
      <c r="R2317" t="s">
        <v>1487</v>
      </c>
      <c r="S2317" t="s">
        <v>1488</v>
      </c>
    </row>
    <row r="2318" spans="1:19" x14ac:dyDescent="0.25">
      <c r="A2318" t="s">
        <v>59</v>
      </c>
      <c r="B2318" t="s">
        <v>60</v>
      </c>
      <c r="C2318" t="s">
        <v>32</v>
      </c>
      <c r="D2318" t="s">
        <v>227</v>
      </c>
      <c r="F2318" t="s">
        <v>35</v>
      </c>
      <c r="G2318" t="s">
        <v>35</v>
      </c>
      <c r="H2318" t="s">
        <v>35</v>
      </c>
      <c r="J2318" t="s">
        <v>3000</v>
      </c>
      <c r="K2318" t="s">
        <v>1092</v>
      </c>
      <c r="M2318">
        <v>2.133</v>
      </c>
      <c r="N2318">
        <v>2666</v>
      </c>
      <c r="O2318" t="s">
        <v>575</v>
      </c>
      <c r="Q2318" t="s">
        <v>1486</v>
      </c>
      <c r="R2318" t="s">
        <v>1487</v>
      </c>
      <c r="S2318" t="s">
        <v>1488</v>
      </c>
    </row>
    <row r="2319" spans="1:19" x14ac:dyDescent="0.25">
      <c r="A2319" t="s">
        <v>59</v>
      </c>
      <c r="B2319" t="s">
        <v>60</v>
      </c>
      <c r="C2319" t="s">
        <v>32</v>
      </c>
      <c r="D2319" t="s">
        <v>227</v>
      </c>
      <c r="F2319" t="s">
        <v>35</v>
      </c>
      <c r="G2319" t="s">
        <v>35</v>
      </c>
      <c r="H2319" t="s">
        <v>35</v>
      </c>
      <c r="J2319" t="s">
        <v>3027</v>
      </c>
      <c r="K2319" t="s">
        <v>1092</v>
      </c>
      <c r="M2319">
        <v>0.39</v>
      </c>
      <c r="N2319">
        <v>2666</v>
      </c>
      <c r="O2319" t="s">
        <v>575</v>
      </c>
      <c r="Q2319" t="s">
        <v>1486</v>
      </c>
      <c r="R2319" t="s">
        <v>1487</v>
      </c>
      <c r="S2319" t="s">
        <v>1488</v>
      </c>
    </row>
    <row r="2320" spans="1:19" x14ac:dyDescent="0.25">
      <c r="A2320" t="s">
        <v>59</v>
      </c>
      <c r="B2320" t="s">
        <v>60</v>
      </c>
      <c r="C2320" t="s">
        <v>32</v>
      </c>
      <c r="D2320" t="s">
        <v>227</v>
      </c>
      <c r="E2320" t="s">
        <v>2871</v>
      </c>
      <c r="F2320" t="s">
        <v>35</v>
      </c>
      <c r="G2320" t="s">
        <v>35</v>
      </c>
      <c r="H2320" t="s">
        <v>35</v>
      </c>
      <c r="J2320" t="s">
        <v>2907</v>
      </c>
      <c r="K2320" t="s">
        <v>1092</v>
      </c>
      <c r="M2320">
        <v>0.22</v>
      </c>
      <c r="N2320">
        <v>2666</v>
      </c>
      <c r="O2320" t="s">
        <v>575</v>
      </c>
      <c r="Q2320" t="s">
        <v>1486</v>
      </c>
      <c r="R2320" t="s">
        <v>1487</v>
      </c>
      <c r="S2320" t="s">
        <v>1488</v>
      </c>
    </row>
    <row r="2321" spans="1:20" x14ac:dyDescent="0.25">
      <c r="A2321" t="s">
        <v>59</v>
      </c>
      <c r="B2321" t="s">
        <v>60</v>
      </c>
      <c r="C2321" t="s">
        <v>32</v>
      </c>
      <c r="D2321" t="s">
        <v>227</v>
      </c>
      <c r="E2321" t="s">
        <v>2850</v>
      </c>
      <c r="F2321" t="s">
        <v>35</v>
      </c>
      <c r="G2321" t="s">
        <v>35</v>
      </c>
      <c r="H2321" t="s">
        <v>35</v>
      </c>
      <c r="J2321" t="s">
        <v>2855</v>
      </c>
      <c r="K2321" t="s">
        <v>1092</v>
      </c>
      <c r="M2321">
        <v>0.06</v>
      </c>
      <c r="N2321">
        <v>2666</v>
      </c>
      <c r="O2321" t="s">
        <v>575</v>
      </c>
      <c r="Q2321" t="s">
        <v>1486</v>
      </c>
      <c r="R2321" t="s">
        <v>1487</v>
      </c>
      <c r="S2321" t="s">
        <v>1488</v>
      </c>
    </row>
    <row r="2322" spans="1:20" x14ac:dyDescent="0.25">
      <c r="A2322" t="s">
        <v>59</v>
      </c>
      <c r="B2322" t="s">
        <v>60</v>
      </c>
      <c r="C2322" t="s">
        <v>32</v>
      </c>
      <c r="D2322" t="s">
        <v>227</v>
      </c>
      <c r="F2322" t="s">
        <v>35</v>
      </c>
      <c r="G2322" t="s">
        <v>35</v>
      </c>
      <c r="H2322" t="s">
        <v>35</v>
      </c>
      <c r="J2322" t="s">
        <v>2968</v>
      </c>
      <c r="K2322" t="s">
        <v>1092</v>
      </c>
      <c r="M2322">
        <v>0.15</v>
      </c>
      <c r="N2322">
        <v>2666</v>
      </c>
      <c r="O2322" t="s">
        <v>575</v>
      </c>
      <c r="Q2322" t="s">
        <v>1486</v>
      </c>
      <c r="R2322" t="s">
        <v>1487</v>
      </c>
      <c r="S2322" t="s">
        <v>1488</v>
      </c>
    </row>
    <row r="2323" spans="1:20" x14ac:dyDescent="0.25">
      <c r="A2323" t="s">
        <v>59</v>
      </c>
      <c r="B2323" t="s">
        <v>60</v>
      </c>
      <c r="C2323" t="s">
        <v>32</v>
      </c>
      <c r="D2323" t="s">
        <v>300</v>
      </c>
      <c r="E2323" t="s">
        <v>301</v>
      </c>
      <c r="F2323" t="s">
        <v>35</v>
      </c>
      <c r="G2323" t="s">
        <v>35</v>
      </c>
      <c r="H2323" t="s">
        <v>35</v>
      </c>
      <c r="J2323" t="s">
        <v>3134</v>
      </c>
      <c r="K2323" t="s">
        <v>1092</v>
      </c>
      <c r="M2323">
        <v>6</v>
      </c>
      <c r="N2323">
        <v>52</v>
      </c>
      <c r="O2323" t="s">
        <v>52</v>
      </c>
      <c r="Q2323" t="s">
        <v>84</v>
      </c>
      <c r="R2323" t="s">
        <v>3135</v>
      </c>
      <c r="S2323" t="s">
        <v>3136</v>
      </c>
      <c r="T2323" t="s">
        <v>480</v>
      </c>
    </row>
    <row r="2324" spans="1:20" x14ac:dyDescent="0.25">
      <c r="A2324" t="s">
        <v>30</v>
      </c>
      <c r="B2324" t="s">
        <v>31</v>
      </c>
      <c r="C2324" t="s">
        <v>32</v>
      </c>
      <c r="D2324" t="s">
        <v>300</v>
      </c>
      <c r="E2324" t="s">
        <v>3112</v>
      </c>
      <c r="F2324" t="s">
        <v>35</v>
      </c>
      <c r="G2324" t="s">
        <v>35</v>
      </c>
      <c r="H2324" t="s">
        <v>35</v>
      </c>
      <c r="J2324" t="s">
        <v>3124</v>
      </c>
      <c r="K2324" t="s">
        <v>1092</v>
      </c>
      <c r="M2324">
        <v>1.35</v>
      </c>
      <c r="N2324">
        <v>45</v>
      </c>
      <c r="O2324" t="s">
        <v>52</v>
      </c>
      <c r="Q2324" t="s">
        <v>1230</v>
      </c>
      <c r="R2324" t="s">
        <v>3125</v>
      </c>
      <c r="S2324" t="s">
        <v>3126</v>
      </c>
      <c r="T2324" t="s">
        <v>451</v>
      </c>
    </row>
    <row r="2325" spans="1:20" x14ac:dyDescent="0.25">
      <c r="A2325" t="s">
        <v>30</v>
      </c>
      <c r="B2325" t="s">
        <v>31</v>
      </c>
      <c r="C2325" t="s">
        <v>32</v>
      </c>
      <c r="D2325" t="s">
        <v>300</v>
      </c>
      <c r="F2325" t="s">
        <v>35</v>
      </c>
      <c r="G2325" t="s">
        <v>35</v>
      </c>
      <c r="H2325" t="s">
        <v>35</v>
      </c>
      <c r="J2325" t="s">
        <v>3171</v>
      </c>
      <c r="K2325" t="s">
        <v>1092</v>
      </c>
      <c r="M2325">
        <v>11.025</v>
      </c>
      <c r="N2325">
        <v>46</v>
      </c>
      <c r="O2325" t="s">
        <v>52</v>
      </c>
      <c r="Q2325" t="s">
        <v>332</v>
      </c>
      <c r="R2325" t="s">
        <v>333</v>
      </c>
      <c r="S2325" t="s">
        <v>334</v>
      </c>
      <c r="T2325" t="s">
        <v>335</v>
      </c>
    </row>
    <row r="2326" spans="1:20" x14ac:dyDescent="0.25">
      <c r="A2326" t="s">
        <v>59</v>
      </c>
      <c r="B2326" t="s">
        <v>60</v>
      </c>
      <c r="C2326" t="s">
        <v>32</v>
      </c>
      <c r="D2326" t="s">
        <v>300</v>
      </c>
      <c r="F2326" t="s">
        <v>35</v>
      </c>
      <c r="G2326" t="s">
        <v>35</v>
      </c>
      <c r="H2326" t="s">
        <v>35</v>
      </c>
      <c r="J2326" t="s">
        <v>3177</v>
      </c>
      <c r="K2326" t="s">
        <v>1092</v>
      </c>
      <c r="M2326">
        <v>11</v>
      </c>
      <c r="N2326">
        <v>7</v>
      </c>
      <c r="O2326" t="s">
        <v>46</v>
      </c>
      <c r="Q2326" t="s">
        <v>2440</v>
      </c>
      <c r="R2326" t="s">
        <v>333</v>
      </c>
      <c r="S2326" t="s">
        <v>334</v>
      </c>
      <c r="T2326" t="s">
        <v>335</v>
      </c>
    </row>
    <row r="2327" spans="1:20" x14ac:dyDescent="0.25">
      <c r="A2327" t="s">
        <v>30</v>
      </c>
      <c r="B2327" t="s">
        <v>31</v>
      </c>
      <c r="C2327" t="s">
        <v>32</v>
      </c>
      <c r="D2327" t="s">
        <v>300</v>
      </c>
      <c r="E2327" t="s">
        <v>326</v>
      </c>
      <c r="F2327" t="s">
        <v>35</v>
      </c>
      <c r="G2327" t="s">
        <v>35</v>
      </c>
      <c r="H2327" t="s">
        <v>35</v>
      </c>
      <c r="J2327" t="s">
        <v>3154</v>
      </c>
      <c r="K2327" t="s">
        <v>1092</v>
      </c>
      <c r="M2327">
        <v>6.84</v>
      </c>
      <c r="N2327">
        <v>46</v>
      </c>
      <c r="O2327" t="s">
        <v>52</v>
      </c>
      <c r="Q2327" t="s">
        <v>332</v>
      </c>
      <c r="R2327" t="s">
        <v>333</v>
      </c>
      <c r="S2327" t="s">
        <v>334</v>
      </c>
      <c r="T2327" t="s">
        <v>335</v>
      </c>
    </row>
    <row r="2328" spans="1:20" x14ac:dyDescent="0.25">
      <c r="A2328" t="s">
        <v>30</v>
      </c>
      <c r="B2328" t="s">
        <v>31</v>
      </c>
      <c r="C2328" t="s">
        <v>32</v>
      </c>
      <c r="D2328" t="s">
        <v>300</v>
      </c>
      <c r="E2328" t="s">
        <v>326</v>
      </c>
      <c r="F2328" t="s">
        <v>35</v>
      </c>
      <c r="G2328" t="s">
        <v>35</v>
      </c>
      <c r="H2328" t="s">
        <v>35</v>
      </c>
      <c r="J2328" t="s">
        <v>330</v>
      </c>
      <c r="K2328" t="s">
        <v>37</v>
      </c>
      <c r="M2328">
        <v>11.025</v>
      </c>
      <c r="N2328">
        <v>46</v>
      </c>
      <c r="O2328" t="s">
        <v>52</v>
      </c>
      <c r="P2328" t="s">
        <v>331</v>
      </c>
      <c r="Q2328" t="s">
        <v>332</v>
      </c>
      <c r="R2328" t="s">
        <v>333</v>
      </c>
      <c r="S2328" t="s">
        <v>334</v>
      </c>
      <c r="T2328" t="s">
        <v>335</v>
      </c>
    </row>
    <row r="2329" spans="1:20" x14ac:dyDescent="0.25">
      <c r="A2329" t="s">
        <v>59</v>
      </c>
      <c r="B2329" t="s">
        <v>60</v>
      </c>
      <c r="C2329" t="s">
        <v>32</v>
      </c>
      <c r="D2329" t="s">
        <v>300</v>
      </c>
      <c r="E2329" t="s">
        <v>3112</v>
      </c>
      <c r="F2329" t="s">
        <v>35</v>
      </c>
      <c r="G2329" t="s">
        <v>35</v>
      </c>
      <c r="H2329" t="s">
        <v>35</v>
      </c>
      <c r="J2329" t="s">
        <v>3123</v>
      </c>
      <c r="K2329" t="s">
        <v>1092</v>
      </c>
      <c r="M2329">
        <v>11</v>
      </c>
      <c r="N2329">
        <v>9</v>
      </c>
      <c r="O2329" t="s">
        <v>46</v>
      </c>
      <c r="Q2329" t="s">
        <v>323</v>
      </c>
      <c r="R2329" t="s">
        <v>333</v>
      </c>
      <c r="S2329" t="s">
        <v>334</v>
      </c>
      <c r="T2329" t="s">
        <v>335</v>
      </c>
    </row>
    <row r="2330" spans="1:20" x14ac:dyDescent="0.25">
      <c r="A2330" t="s">
        <v>59</v>
      </c>
      <c r="B2330" t="s">
        <v>60</v>
      </c>
      <c r="C2330" t="s">
        <v>32</v>
      </c>
      <c r="D2330" t="s">
        <v>300</v>
      </c>
      <c r="F2330" t="s">
        <v>35</v>
      </c>
      <c r="G2330" t="s">
        <v>35</v>
      </c>
      <c r="H2330" t="s">
        <v>35</v>
      </c>
      <c r="J2330" t="s">
        <v>3127</v>
      </c>
      <c r="K2330" t="s">
        <v>1092</v>
      </c>
      <c r="M2330">
        <v>13</v>
      </c>
      <c r="N2330">
        <v>7</v>
      </c>
      <c r="O2330" t="s">
        <v>46</v>
      </c>
      <c r="Q2330" t="s">
        <v>2440</v>
      </c>
      <c r="R2330" t="s">
        <v>333</v>
      </c>
      <c r="S2330" t="s">
        <v>334</v>
      </c>
      <c r="T2330" t="s">
        <v>335</v>
      </c>
    </row>
    <row r="2331" spans="1:20" x14ac:dyDescent="0.25">
      <c r="A2331" t="s">
        <v>59</v>
      </c>
      <c r="B2331" t="s">
        <v>60</v>
      </c>
      <c r="C2331" t="s">
        <v>32</v>
      </c>
      <c r="D2331" t="s">
        <v>300</v>
      </c>
      <c r="F2331" t="s">
        <v>35</v>
      </c>
      <c r="G2331" t="s">
        <v>35</v>
      </c>
      <c r="H2331" t="s">
        <v>35</v>
      </c>
      <c r="J2331" t="s">
        <v>3172</v>
      </c>
      <c r="K2331" t="s">
        <v>1092</v>
      </c>
      <c r="M2331">
        <v>0.5</v>
      </c>
      <c r="N2331">
        <v>6</v>
      </c>
      <c r="O2331" t="s">
        <v>46</v>
      </c>
      <c r="Q2331" t="s">
        <v>310</v>
      </c>
      <c r="R2331" t="s">
        <v>3161</v>
      </c>
      <c r="S2331" t="s">
        <v>319</v>
      </c>
      <c r="T2331" t="s">
        <v>320</v>
      </c>
    </row>
    <row r="2332" spans="1:20" x14ac:dyDescent="0.25">
      <c r="A2332" t="s">
        <v>59</v>
      </c>
      <c r="B2332" t="s">
        <v>60</v>
      </c>
      <c r="C2332" t="s">
        <v>32</v>
      </c>
      <c r="D2332" t="s">
        <v>300</v>
      </c>
      <c r="F2332" t="s">
        <v>35</v>
      </c>
      <c r="G2332" t="s">
        <v>35</v>
      </c>
      <c r="H2332" t="s">
        <v>35</v>
      </c>
      <c r="J2332" t="s">
        <v>3160</v>
      </c>
      <c r="K2332" t="s">
        <v>1092</v>
      </c>
      <c r="M2332">
        <v>0.5</v>
      </c>
      <c r="N2332">
        <v>6</v>
      </c>
      <c r="O2332" t="s">
        <v>46</v>
      </c>
      <c r="Q2332" t="s">
        <v>310</v>
      </c>
      <c r="R2332" t="s">
        <v>3161</v>
      </c>
      <c r="S2332" t="s">
        <v>319</v>
      </c>
      <c r="T2332" t="s">
        <v>320</v>
      </c>
    </row>
    <row r="2333" spans="1:20" x14ac:dyDescent="0.25">
      <c r="A2333" t="s">
        <v>59</v>
      </c>
      <c r="B2333" t="s">
        <v>60</v>
      </c>
      <c r="C2333" t="s">
        <v>32</v>
      </c>
      <c r="D2333" t="s">
        <v>300</v>
      </c>
      <c r="E2333" t="s">
        <v>3112</v>
      </c>
      <c r="F2333" t="s">
        <v>35</v>
      </c>
      <c r="G2333" t="s">
        <v>35</v>
      </c>
      <c r="H2333" t="s">
        <v>35</v>
      </c>
      <c r="J2333" t="s">
        <v>3120</v>
      </c>
      <c r="K2333" t="s">
        <v>1092</v>
      </c>
      <c r="M2333">
        <v>1.8</v>
      </c>
      <c r="N2333">
        <v>27</v>
      </c>
      <c r="O2333" t="s">
        <v>46</v>
      </c>
      <c r="Q2333" t="s">
        <v>809</v>
      </c>
      <c r="R2333" t="s">
        <v>329</v>
      </c>
      <c r="S2333" t="s">
        <v>312</v>
      </c>
      <c r="T2333" t="s">
        <v>313</v>
      </c>
    </row>
    <row r="2334" spans="1:20" x14ac:dyDescent="0.25">
      <c r="A2334" t="s">
        <v>59</v>
      </c>
      <c r="B2334" t="s">
        <v>60</v>
      </c>
      <c r="C2334" t="s">
        <v>32</v>
      </c>
      <c r="D2334" t="s">
        <v>300</v>
      </c>
      <c r="E2334" t="s">
        <v>326</v>
      </c>
      <c r="F2334" t="s">
        <v>35</v>
      </c>
      <c r="G2334" t="s">
        <v>35</v>
      </c>
      <c r="H2334" t="s">
        <v>35</v>
      </c>
      <c r="J2334" t="s">
        <v>327</v>
      </c>
      <c r="K2334" t="s">
        <v>37</v>
      </c>
      <c r="M2334">
        <v>10</v>
      </c>
      <c r="N2334">
        <v>19</v>
      </c>
      <c r="O2334" t="s">
        <v>46</v>
      </c>
      <c r="P2334" t="s">
        <v>328</v>
      </c>
      <c r="Q2334" t="s">
        <v>94</v>
      </c>
      <c r="R2334" t="s">
        <v>329</v>
      </c>
      <c r="S2334" t="s">
        <v>312</v>
      </c>
      <c r="T2334" t="s">
        <v>313</v>
      </c>
    </row>
    <row r="2335" spans="1:20" x14ac:dyDescent="0.25">
      <c r="A2335" t="s">
        <v>59</v>
      </c>
      <c r="B2335" t="s">
        <v>60</v>
      </c>
      <c r="C2335" t="s">
        <v>32</v>
      </c>
      <c r="D2335" t="s">
        <v>300</v>
      </c>
      <c r="E2335" t="s">
        <v>301</v>
      </c>
      <c r="F2335" t="s">
        <v>35</v>
      </c>
      <c r="G2335" t="s">
        <v>35</v>
      </c>
      <c r="H2335" t="s">
        <v>35</v>
      </c>
      <c r="J2335" t="s">
        <v>3144</v>
      </c>
      <c r="K2335" t="s">
        <v>1092</v>
      </c>
      <c r="M2335">
        <v>0.25</v>
      </c>
      <c r="N2335">
        <v>48</v>
      </c>
      <c r="O2335" t="s">
        <v>52</v>
      </c>
      <c r="Q2335" t="s">
        <v>518</v>
      </c>
      <c r="R2335" t="s">
        <v>329</v>
      </c>
      <c r="S2335" t="s">
        <v>312</v>
      </c>
      <c r="T2335" t="s">
        <v>313</v>
      </c>
    </row>
    <row r="2336" spans="1:20" x14ac:dyDescent="0.25">
      <c r="A2336" t="s">
        <v>59</v>
      </c>
      <c r="B2336" t="s">
        <v>60</v>
      </c>
      <c r="C2336" t="s">
        <v>32</v>
      </c>
      <c r="D2336" t="s">
        <v>300</v>
      </c>
      <c r="E2336" t="s">
        <v>301</v>
      </c>
      <c r="F2336" t="s">
        <v>35</v>
      </c>
      <c r="G2336" t="s">
        <v>35</v>
      </c>
      <c r="H2336" t="s">
        <v>35</v>
      </c>
      <c r="J2336" t="s">
        <v>3140</v>
      </c>
      <c r="K2336" t="s">
        <v>1092</v>
      </c>
      <c r="M2336">
        <v>3.1</v>
      </c>
      <c r="N2336">
        <v>13</v>
      </c>
      <c r="O2336" t="s">
        <v>46</v>
      </c>
      <c r="Q2336" t="s">
        <v>1004</v>
      </c>
      <c r="R2336" t="s">
        <v>329</v>
      </c>
      <c r="S2336" t="s">
        <v>312</v>
      </c>
      <c r="T2336" t="s">
        <v>313</v>
      </c>
    </row>
    <row r="2337" spans="1:20" x14ac:dyDescent="0.25">
      <c r="A2337" t="s">
        <v>59</v>
      </c>
      <c r="B2337" t="s">
        <v>60</v>
      </c>
      <c r="C2337" t="s">
        <v>32</v>
      </c>
      <c r="D2337" t="s">
        <v>300</v>
      </c>
      <c r="E2337" t="s">
        <v>301</v>
      </c>
      <c r="F2337" t="s">
        <v>35</v>
      </c>
      <c r="G2337" t="s">
        <v>35</v>
      </c>
      <c r="H2337" t="s">
        <v>35</v>
      </c>
      <c r="J2337" t="s">
        <v>3140</v>
      </c>
      <c r="K2337" t="s">
        <v>1092</v>
      </c>
      <c r="M2337">
        <v>6.65</v>
      </c>
      <c r="N2337">
        <v>22</v>
      </c>
      <c r="O2337" t="s">
        <v>46</v>
      </c>
      <c r="Q2337" t="s">
        <v>1645</v>
      </c>
      <c r="R2337" t="s">
        <v>329</v>
      </c>
      <c r="S2337" t="s">
        <v>312</v>
      </c>
      <c r="T2337" t="s">
        <v>313</v>
      </c>
    </row>
    <row r="2338" spans="1:20" x14ac:dyDescent="0.25">
      <c r="A2338" t="s">
        <v>59</v>
      </c>
      <c r="B2338" t="s">
        <v>60</v>
      </c>
      <c r="C2338" t="s">
        <v>32</v>
      </c>
      <c r="D2338" t="s">
        <v>300</v>
      </c>
      <c r="F2338" t="s">
        <v>35</v>
      </c>
      <c r="G2338" t="s">
        <v>35</v>
      </c>
      <c r="H2338" t="s">
        <v>35</v>
      </c>
      <c r="J2338" t="s">
        <v>3162</v>
      </c>
      <c r="K2338" t="s">
        <v>1092</v>
      </c>
      <c r="M2338">
        <v>1</v>
      </c>
      <c r="N2338">
        <v>22</v>
      </c>
      <c r="O2338" t="s">
        <v>46</v>
      </c>
      <c r="Q2338" t="s">
        <v>1645</v>
      </c>
      <c r="R2338" t="s">
        <v>329</v>
      </c>
      <c r="S2338" t="s">
        <v>312</v>
      </c>
      <c r="T2338" t="s">
        <v>313</v>
      </c>
    </row>
    <row r="2339" spans="1:20" x14ac:dyDescent="0.25">
      <c r="A2339" t="s">
        <v>59</v>
      </c>
      <c r="B2339" t="s">
        <v>60</v>
      </c>
      <c r="C2339" t="s">
        <v>32</v>
      </c>
      <c r="D2339" t="s">
        <v>300</v>
      </c>
      <c r="F2339" t="s">
        <v>35</v>
      </c>
      <c r="G2339" t="s">
        <v>35</v>
      </c>
      <c r="H2339" t="s">
        <v>35</v>
      </c>
      <c r="J2339" t="s">
        <v>3163</v>
      </c>
      <c r="K2339" t="s">
        <v>1092</v>
      </c>
      <c r="M2339">
        <v>0.45</v>
      </c>
      <c r="N2339">
        <v>21</v>
      </c>
      <c r="O2339" t="s">
        <v>46</v>
      </c>
      <c r="Q2339" t="s">
        <v>176</v>
      </c>
      <c r="R2339" t="s">
        <v>329</v>
      </c>
      <c r="S2339" t="s">
        <v>312</v>
      </c>
      <c r="T2339" t="s">
        <v>313</v>
      </c>
    </row>
    <row r="2340" spans="1:20" x14ac:dyDescent="0.25">
      <c r="A2340" t="s">
        <v>59</v>
      </c>
      <c r="B2340" t="s">
        <v>31</v>
      </c>
      <c r="C2340" t="s">
        <v>32</v>
      </c>
      <c r="D2340" t="s">
        <v>300</v>
      </c>
      <c r="F2340" t="s">
        <v>35</v>
      </c>
      <c r="G2340" t="s">
        <v>35</v>
      </c>
      <c r="H2340" t="s">
        <v>35</v>
      </c>
      <c r="J2340" t="s">
        <v>3173</v>
      </c>
      <c r="K2340" t="s">
        <v>1092</v>
      </c>
      <c r="M2340">
        <v>8.1000000000000003E-2</v>
      </c>
      <c r="N2340">
        <v>611</v>
      </c>
      <c r="O2340" t="s">
        <v>575</v>
      </c>
      <c r="Q2340" t="s">
        <v>3174</v>
      </c>
      <c r="R2340" t="s">
        <v>329</v>
      </c>
      <c r="S2340" t="s">
        <v>312</v>
      </c>
      <c r="T2340" t="s">
        <v>313</v>
      </c>
    </row>
    <row r="2341" spans="1:20" x14ac:dyDescent="0.25">
      <c r="A2341" t="s">
        <v>30</v>
      </c>
      <c r="B2341" t="s">
        <v>31</v>
      </c>
      <c r="C2341" t="s">
        <v>32</v>
      </c>
      <c r="D2341" t="s">
        <v>300</v>
      </c>
      <c r="F2341" t="s">
        <v>35</v>
      </c>
      <c r="G2341" t="s">
        <v>35</v>
      </c>
      <c r="H2341" t="s">
        <v>35</v>
      </c>
      <c r="J2341" t="s">
        <v>3155</v>
      </c>
      <c r="K2341" t="s">
        <v>1092</v>
      </c>
      <c r="M2341">
        <v>12.195</v>
      </c>
      <c r="N2341">
        <v>2155</v>
      </c>
      <c r="O2341" t="s">
        <v>575</v>
      </c>
      <c r="Q2341" t="s">
        <v>3156</v>
      </c>
      <c r="R2341" t="s">
        <v>3157</v>
      </c>
      <c r="S2341" t="s">
        <v>3158</v>
      </c>
      <c r="T2341" t="s">
        <v>3159</v>
      </c>
    </row>
    <row r="2342" spans="1:20" x14ac:dyDescent="0.25">
      <c r="A2342" t="s">
        <v>59</v>
      </c>
      <c r="B2342" t="s">
        <v>60</v>
      </c>
      <c r="C2342" t="s">
        <v>32</v>
      </c>
      <c r="D2342" t="s">
        <v>300</v>
      </c>
      <c r="E2342" t="s">
        <v>301</v>
      </c>
      <c r="F2342" t="s">
        <v>35</v>
      </c>
      <c r="G2342" t="s">
        <v>35</v>
      </c>
      <c r="H2342" t="s">
        <v>35</v>
      </c>
      <c r="J2342" t="s">
        <v>319</v>
      </c>
      <c r="K2342" t="s">
        <v>37</v>
      </c>
      <c r="M2342">
        <v>11</v>
      </c>
      <c r="N2342">
        <v>6</v>
      </c>
      <c r="O2342" t="s">
        <v>46</v>
      </c>
      <c r="P2342" t="s">
        <v>321</v>
      </c>
      <c r="Q2342" t="s">
        <v>310</v>
      </c>
      <c r="R2342" t="s">
        <v>306</v>
      </c>
      <c r="S2342" t="s">
        <v>307</v>
      </c>
      <c r="T2342" t="s">
        <v>308</v>
      </c>
    </row>
    <row r="2343" spans="1:20" x14ac:dyDescent="0.25">
      <c r="A2343" t="s">
        <v>59</v>
      </c>
      <c r="B2343" t="s">
        <v>31</v>
      </c>
      <c r="C2343" t="s">
        <v>32</v>
      </c>
      <c r="D2343" t="s">
        <v>300</v>
      </c>
      <c r="E2343" t="s">
        <v>301</v>
      </c>
      <c r="F2343" t="s">
        <v>35</v>
      </c>
      <c r="G2343" t="s">
        <v>35</v>
      </c>
      <c r="H2343" t="s">
        <v>35</v>
      </c>
      <c r="J2343" t="s">
        <v>302</v>
      </c>
      <c r="K2343" t="s">
        <v>37</v>
      </c>
      <c r="M2343">
        <v>0.155</v>
      </c>
      <c r="N2343">
        <v>70</v>
      </c>
      <c r="O2343" t="s">
        <v>61</v>
      </c>
      <c r="P2343" t="s">
        <v>304</v>
      </c>
      <c r="Q2343" t="s">
        <v>305</v>
      </c>
      <c r="R2343" t="s">
        <v>306</v>
      </c>
      <c r="S2343" t="s">
        <v>307</v>
      </c>
      <c r="T2343" t="s">
        <v>308</v>
      </c>
    </row>
    <row r="2344" spans="1:20" x14ac:dyDescent="0.25">
      <c r="A2344" t="s">
        <v>59</v>
      </c>
      <c r="B2344" t="s">
        <v>60</v>
      </c>
      <c r="C2344" t="s">
        <v>32</v>
      </c>
      <c r="D2344" t="s">
        <v>300</v>
      </c>
      <c r="E2344" t="s">
        <v>301</v>
      </c>
      <c r="F2344" t="s">
        <v>35</v>
      </c>
      <c r="G2344" t="s">
        <v>35</v>
      </c>
      <c r="H2344" t="s">
        <v>35</v>
      </c>
      <c r="J2344" t="s">
        <v>302</v>
      </c>
      <c r="K2344" t="s">
        <v>37</v>
      </c>
      <c r="M2344">
        <v>11</v>
      </c>
      <c r="N2344">
        <v>6</v>
      </c>
      <c r="O2344" t="s">
        <v>46</v>
      </c>
      <c r="P2344" t="s">
        <v>309</v>
      </c>
      <c r="Q2344" t="s">
        <v>310</v>
      </c>
      <c r="R2344" t="s">
        <v>306</v>
      </c>
      <c r="S2344" t="s">
        <v>307</v>
      </c>
      <c r="T2344" t="s">
        <v>308</v>
      </c>
    </row>
    <row r="2345" spans="1:20" x14ac:dyDescent="0.25">
      <c r="A2345" t="s">
        <v>59</v>
      </c>
      <c r="B2345" t="s">
        <v>60</v>
      </c>
      <c r="C2345" t="s">
        <v>32</v>
      </c>
      <c r="D2345" t="s">
        <v>300</v>
      </c>
      <c r="E2345" t="s">
        <v>301</v>
      </c>
      <c r="F2345" t="s">
        <v>35</v>
      </c>
      <c r="G2345" t="s">
        <v>35</v>
      </c>
      <c r="H2345" t="s">
        <v>35</v>
      </c>
      <c r="J2345" t="s">
        <v>302</v>
      </c>
      <c r="K2345" t="s">
        <v>37</v>
      </c>
      <c r="M2345">
        <v>12.55</v>
      </c>
      <c r="N2345">
        <v>58</v>
      </c>
      <c r="O2345" t="s">
        <v>52</v>
      </c>
      <c r="P2345" t="s">
        <v>311</v>
      </c>
      <c r="Q2345" t="s">
        <v>128</v>
      </c>
      <c r="R2345" t="s">
        <v>306</v>
      </c>
      <c r="S2345" t="s">
        <v>307</v>
      </c>
      <c r="T2345" t="s">
        <v>308</v>
      </c>
    </row>
    <row r="2346" spans="1:20" x14ac:dyDescent="0.25">
      <c r="A2346" t="s">
        <v>59</v>
      </c>
      <c r="B2346" t="s">
        <v>60</v>
      </c>
      <c r="C2346" t="s">
        <v>32</v>
      </c>
      <c r="D2346" t="s">
        <v>300</v>
      </c>
      <c r="E2346" t="s">
        <v>301</v>
      </c>
      <c r="F2346" t="s">
        <v>35</v>
      </c>
      <c r="G2346" t="s">
        <v>35</v>
      </c>
      <c r="H2346" t="s">
        <v>35</v>
      </c>
      <c r="J2346" t="s">
        <v>3138</v>
      </c>
      <c r="K2346" t="s">
        <v>1092</v>
      </c>
      <c r="M2346">
        <v>0.25</v>
      </c>
      <c r="N2346">
        <v>27</v>
      </c>
      <c r="O2346" t="s">
        <v>46</v>
      </c>
      <c r="Q2346" t="s">
        <v>809</v>
      </c>
      <c r="R2346" t="s">
        <v>3118</v>
      </c>
      <c r="S2346" t="s">
        <v>302</v>
      </c>
      <c r="T2346" t="s">
        <v>303</v>
      </c>
    </row>
    <row r="2347" spans="1:20" x14ac:dyDescent="0.25">
      <c r="A2347" t="s">
        <v>59</v>
      </c>
      <c r="B2347" t="s">
        <v>60</v>
      </c>
      <c r="C2347" t="s">
        <v>32</v>
      </c>
      <c r="D2347" t="s">
        <v>300</v>
      </c>
      <c r="E2347" t="s">
        <v>301</v>
      </c>
      <c r="F2347" t="s">
        <v>35</v>
      </c>
      <c r="G2347" t="s">
        <v>35</v>
      </c>
      <c r="H2347" t="s">
        <v>35</v>
      </c>
      <c r="J2347" t="s">
        <v>3141</v>
      </c>
      <c r="K2347" t="s">
        <v>1092</v>
      </c>
      <c r="M2347">
        <v>0.2</v>
      </c>
      <c r="N2347">
        <v>380</v>
      </c>
      <c r="O2347" t="s">
        <v>294</v>
      </c>
      <c r="Q2347" t="s">
        <v>3142</v>
      </c>
      <c r="R2347" t="s">
        <v>3118</v>
      </c>
      <c r="S2347" t="s">
        <v>302</v>
      </c>
      <c r="T2347" t="s">
        <v>303</v>
      </c>
    </row>
    <row r="2348" spans="1:20" x14ac:dyDescent="0.25">
      <c r="A2348" t="s">
        <v>59</v>
      </c>
      <c r="B2348" t="s">
        <v>60</v>
      </c>
      <c r="C2348" t="s">
        <v>32</v>
      </c>
      <c r="D2348" t="s">
        <v>300</v>
      </c>
      <c r="E2348" t="s">
        <v>3112</v>
      </c>
      <c r="F2348" t="s">
        <v>35</v>
      </c>
      <c r="G2348" t="s">
        <v>35</v>
      </c>
      <c r="H2348" t="s">
        <v>35</v>
      </c>
      <c r="J2348" t="s">
        <v>3117</v>
      </c>
      <c r="K2348" t="s">
        <v>1092</v>
      </c>
      <c r="M2348">
        <v>0.4</v>
      </c>
      <c r="N2348">
        <v>136</v>
      </c>
      <c r="O2348" t="s">
        <v>38</v>
      </c>
      <c r="Q2348" t="s">
        <v>2121</v>
      </c>
      <c r="R2348" t="s">
        <v>3118</v>
      </c>
      <c r="S2348" t="s">
        <v>302</v>
      </c>
      <c r="T2348" t="s">
        <v>303</v>
      </c>
    </row>
    <row r="2349" spans="1:20" x14ac:dyDescent="0.25">
      <c r="A2349" t="s">
        <v>59</v>
      </c>
      <c r="B2349" t="s">
        <v>60</v>
      </c>
      <c r="C2349" t="s">
        <v>32</v>
      </c>
      <c r="D2349" t="s">
        <v>300</v>
      </c>
      <c r="F2349" t="s">
        <v>35</v>
      </c>
      <c r="G2349" t="s">
        <v>35</v>
      </c>
      <c r="H2349" t="s">
        <v>35</v>
      </c>
      <c r="J2349" t="s">
        <v>3167</v>
      </c>
      <c r="K2349" t="s">
        <v>1092</v>
      </c>
      <c r="M2349">
        <v>0.05</v>
      </c>
      <c r="N2349">
        <v>182</v>
      </c>
      <c r="O2349" t="s">
        <v>5</v>
      </c>
      <c r="Q2349" t="s">
        <v>3168</v>
      </c>
      <c r="R2349" t="s">
        <v>3118</v>
      </c>
      <c r="S2349" t="s">
        <v>302</v>
      </c>
      <c r="T2349" t="s">
        <v>303</v>
      </c>
    </row>
    <row r="2350" spans="1:20" x14ac:dyDescent="0.25">
      <c r="A2350" t="s">
        <v>44</v>
      </c>
      <c r="B2350" t="s">
        <v>51</v>
      </c>
      <c r="C2350" t="s">
        <v>32</v>
      </c>
      <c r="D2350" t="s">
        <v>300</v>
      </c>
      <c r="E2350" t="s">
        <v>301</v>
      </c>
      <c r="F2350" t="s">
        <v>35</v>
      </c>
      <c r="G2350" t="s">
        <v>35</v>
      </c>
      <c r="H2350" t="s">
        <v>35</v>
      </c>
      <c r="J2350" t="s">
        <v>1506</v>
      </c>
      <c r="K2350" t="s">
        <v>1092</v>
      </c>
      <c r="M2350">
        <v>0.05</v>
      </c>
      <c r="N2350">
        <v>496</v>
      </c>
      <c r="O2350" t="s">
        <v>294</v>
      </c>
      <c r="Q2350" t="s">
        <v>3139</v>
      </c>
      <c r="R2350" t="s">
        <v>3118</v>
      </c>
      <c r="S2350" t="s">
        <v>302</v>
      </c>
      <c r="T2350" t="s">
        <v>303</v>
      </c>
    </row>
    <row r="2351" spans="1:20" x14ac:dyDescent="0.25">
      <c r="A2351" t="s">
        <v>59</v>
      </c>
      <c r="B2351" t="s">
        <v>60</v>
      </c>
      <c r="C2351" t="s">
        <v>32</v>
      </c>
      <c r="D2351" t="s">
        <v>300</v>
      </c>
      <c r="F2351" t="s">
        <v>35</v>
      </c>
      <c r="G2351" t="s">
        <v>35</v>
      </c>
      <c r="H2351" t="s">
        <v>35</v>
      </c>
      <c r="J2351" t="s">
        <v>1506</v>
      </c>
      <c r="K2351" t="s">
        <v>1092</v>
      </c>
      <c r="M2351">
        <v>0.25</v>
      </c>
      <c r="N2351">
        <v>111</v>
      </c>
      <c r="O2351" t="s">
        <v>106</v>
      </c>
      <c r="Q2351" t="s">
        <v>1469</v>
      </c>
      <c r="R2351" t="s">
        <v>3118</v>
      </c>
      <c r="S2351" t="s">
        <v>302</v>
      </c>
      <c r="T2351" t="s">
        <v>303</v>
      </c>
    </row>
    <row r="2352" spans="1:20" x14ac:dyDescent="0.25">
      <c r="A2352" t="s">
        <v>59</v>
      </c>
      <c r="B2352" t="s">
        <v>60</v>
      </c>
      <c r="C2352" t="s">
        <v>32</v>
      </c>
      <c r="D2352" t="s">
        <v>300</v>
      </c>
      <c r="E2352" t="s">
        <v>3112</v>
      </c>
      <c r="F2352" t="s">
        <v>35</v>
      </c>
      <c r="G2352" t="s">
        <v>35</v>
      </c>
      <c r="H2352" t="s">
        <v>35</v>
      </c>
      <c r="J2352" t="s">
        <v>3121</v>
      </c>
      <c r="K2352" t="s">
        <v>1092</v>
      </c>
      <c r="M2352">
        <v>0.35</v>
      </c>
      <c r="N2352">
        <v>208</v>
      </c>
      <c r="O2352" t="s">
        <v>5</v>
      </c>
      <c r="Q2352" t="s">
        <v>3122</v>
      </c>
      <c r="R2352" t="s">
        <v>3118</v>
      </c>
      <c r="S2352" t="s">
        <v>302</v>
      </c>
      <c r="T2352" t="s">
        <v>303</v>
      </c>
    </row>
    <row r="2353" spans="1:20" x14ac:dyDescent="0.25">
      <c r="A2353" t="s">
        <v>59</v>
      </c>
      <c r="B2353" t="s">
        <v>60</v>
      </c>
      <c r="C2353" t="s">
        <v>32</v>
      </c>
      <c r="D2353" t="s">
        <v>300</v>
      </c>
      <c r="E2353" t="s">
        <v>301</v>
      </c>
      <c r="F2353" t="s">
        <v>35</v>
      </c>
      <c r="G2353" t="s">
        <v>35</v>
      </c>
      <c r="H2353" t="s">
        <v>35</v>
      </c>
      <c r="J2353" t="s">
        <v>3143</v>
      </c>
      <c r="K2353" t="s">
        <v>1092</v>
      </c>
      <c r="M2353">
        <v>0.1</v>
      </c>
      <c r="N2353">
        <v>17</v>
      </c>
      <c r="O2353" t="s">
        <v>46</v>
      </c>
      <c r="Q2353" t="s">
        <v>255</v>
      </c>
      <c r="R2353" t="s">
        <v>3118</v>
      </c>
      <c r="S2353" t="s">
        <v>302</v>
      </c>
      <c r="T2353" t="s">
        <v>303</v>
      </c>
    </row>
    <row r="2354" spans="1:20" x14ac:dyDescent="0.25">
      <c r="A2354" t="s">
        <v>59</v>
      </c>
      <c r="B2354" t="s">
        <v>31</v>
      </c>
      <c r="C2354" t="s">
        <v>32</v>
      </c>
      <c r="D2354" t="s">
        <v>300</v>
      </c>
      <c r="E2354" t="s">
        <v>301</v>
      </c>
      <c r="F2354" t="s">
        <v>35</v>
      </c>
      <c r="G2354" t="s">
        <v>35</v>
      </c>
      <c r="H2354" t="s">
        <v>35</v>
      </c>
      <c r="J2354" t="s">
        <v>3143</v>
      </c>
      <c r="K2354" t="s">
        <v>1092</v>
      </c>
      <c r="M2354">
        <v>0.36</v>
      </c>
      <c r="N2354">
        <v>59</v>
      </c>
      <c r="O2354" t="s">
        <v>52</v>
      </c>
      <c r="Q2354" t="s">
        <v>203</v>
      </c>
      <c r="R2354" t="s">
        <v>3118</v>
      </c>
      <c r="S2354" t="s">
        <v>302</v>
      </c>
      <c r="T2354" t="s">
        <v>303</v>
      </c>
    </row>
    <row r="2355" spans="1:20" x14ac:dyDescent="0.25">
      <c r="A2355" t="s">
        <v>59</v>
      </c>
      <c r="B2355" t="s">
        <v>60</v>
      </c>
      <c r="C2355" t="s">
        <v>32</v>
      </c>
      <c r="D2355" t="s">
        <v>300</v>
      </c>
      <c r="E2355" t="s">
        <v>301</v>
      </c>
      <c r="F2355" t="s">
        <v>35</v>
      </c>
      <c r="G2355" t="s">
        <v>35</v>
      </c>
      <c r="H2355" t="s">
        <v>35</v>
      </c>
      <c r="J2355" t="s">
        <v>3143</v>
      </c>
      <c r="K2355" t="s">
        <v>1092</v>
      </c>
      <c r="M2355">
        <v>0.15</v>
      </c>
      <c r="N2355">
        <v>35</v>
      </c>
      <c r="O2355" t="s">
        <v>52</v>
      </c>
      <c r="Q2355" t="s">
        <v>991</v>
      </c>
      <c r="R2355" t="s">
        <v>3118</v>
      </c>
      <c r="S2355" t="s">
        <v>302</v>
      </c>
      <c r="T2355" t="s">
        <v>303</v>
      </c>
    </row>
    <row r="2356" spans="1:20" x14ac:dyDescent="0.25">
      <c r="A2356" t="s">
        <v>59</v>
      </c>
      <c r="B2356" t="s">
        <v>60</v>
      </c>
      <c r="C2356" t="s">
        <v>32</v>
      </c>
      <c r="D2356" t="s">
        <v>300</v>
      </c>
      <c r="E2356" t="s">
        <v>301</v>
      </c>
      <c r="F2356" t="s">
        <v>35</v>
      </c>
      <c r="G2356" t="s">
        <v>35</v>
      </c>
      <c r="H2356" t="s">
        <v>35</v>
      </c>
      <c r="J2356" t="s">
        <v>3143</v>
      </c>
      <c r="K2356" t="s">
        <v>1092</v>
      </c>
      <c r="M2356">
        <v>0.15</v>
      </c>
      <c r="N2356">
        <v>111</v>
      </c>
      <c r="O2356" t="s">
        <v>106</v>
      </c>
      <c r="Q2356" t="s">
        <v>1469</v>
      </c>
      <c r="R2356" t="s">
        <v>3118</v>
      </c>
      <c r="S2356" t="s">
        <v>302</v>
      </c>
      <c r="T2356" t="s">
        <v>303</v>
      </c>
    </row>
    <row r="2357" spans="1:20" x14ac:dyDescent="0.25">
      <c r="A2357" t="s">
        <v>59</v>
      </c>
      <c r="B2357" t="s">
        <v>60</v>
      </c>
      <c r="C2357" t="s">
        <v>32</v>
      </c>
      <c r="D2357" t="s">
        <v>300</v>
      </c>
      <c r="F2357" t="s">
        <v>35</v>
      </c>
      <c r="G2357" t="s">
        <v>35</v>
      </c>
      <c r="H2357" t="s">
        <v>35</v>
      </c>
      <c r="J2357" t="s">
        <v>3169</v>
      </c>
      <c r="K2357" t="s">
        <v>1092</v>
      </c>
      <c r="M2357">
        <v>0.13</v>
      </c>
      <c r="N2357">
        <v>1299</v>
      </c>
      <c r="O2357" t="s">
        <v>575</v>
      </c>
      <c r="Q2357" t="s">
        <v>3170</v>
      </c>
      <c r="R2357" t="s">
        <v>3118</v>
      </c>
      <c r="S2357" t="s">
        <v>302</v>
      </c>
      <c r="T2357" t="s">
        <v>303</v>
      </c>
    </row>
    <row r="2358" spans="1:20" x14ac:dyDescent="0.25">
      <c r="A2358" t="s">
        <v>59</v>
      </c>
      <c r="B2358" t="s">
        <v>31</v>
      </c>
      <c r="C2358" t="s">
        <v>32</v>
      </c>
      <c r="D2358" t="s">
        <v>300</v>
      </c>
      <c r="E2358" t="s">
        <v>326</v>
      </c>
      <c r="F2358" t="s">
        <v>35</v>
      </c>
      <c r="G2358" t="s">
        <v>35</v>
      </c>
      <c r="H2358" t="s">
        <v>35</v>
      </c>
      <c r="J2358" t="s">
        <v>3145</v>
      </c>
      <c r="K2358" t="s">
        <v>1092</v>
      </c>
      <c r="M2358">
        <v>0.9</v>
      </c>
      <c r="N2358">
        <v>66</v>
      </c>
      <c r="O2358" t="s">
        <v>61</v>
      </c>
      <c r="Q2358" t="s">
        <v>552</v>
      </c>
      <c r="R2358" t="s">
        <v>3118</v>
      </c>
      <c r="S2358" t="s">
        <v>302</v>
      </c>
      <c r="T2358" t="s">
        <v>303</v>
      </c>
    </row>
    <row r="2359" spans="1:20" x14ac:dyDescent="0.25">
      <c r="A2359" t="s">
        <v>59</v>
      </c>
      <c r="B2359" t="s">
        <v>60</v>
      </c>
      <c r="C2359" t="s">
        <v>32</v>
      </c>
      <c r="D2359" t="s">
        <v>300</v>
      </c>
      <c r="E2359" t="s">
        <v>301</v>
      </c>
      <c r="F2359" t="s">
        <v>35</v>
      </c>
      <c r="G2359" t="s">
        <v>35</v>
      </c>
      <c r="H2359" t="s">
        <v>35</v>
      </c>
      <c r="J2359" t="s">
        <v>3144</v>
      </c>
      <c r="K2359" t="s">
        <v>1092</v>
      </c>
      <c r="M2359">
        <v>0.05</v>
      </c>
      <c r="N2359">
        <v>49</v>
      </c>
      <c r="O2359" t="s">
        <v>52</v>
      </c>
      <c r="Q2359" t="s">
        <v>453</v>
      </c>
      <c r="R2359" t="s">
        <v>3118</v>
      </c>
      <c r="S2359" t="s">
        <v>302</v>
      </c>
      <c r="T2359" t="s">
        <v>303</v>
      </c>
    </row>
    <row r="2360" spans="1:20" x14ac:dyDescent="0.25">
      <c r="A2360" t="s">
        <v>59</v>
      </c>
      <c r="B2360" t="s">
        <v>60</v>
      </c>
      <c r="C2360" t="s">
        <v>32</v>
      </c>
      <c r="D2360" t="s">
        <v>300</v>
      </c>
      <c r="E2360" t="s">
        <v>301</v>
      </c>
      <c r="F2360" t="s">
        <v>35</v>
      </c>
      <c r="G2360" t="s">
        <v>35</v>
      </c>
      <c r="H2360" t="s">
        <v>35</v>
      </c>
      <c r="J2360" t="s">
        <v>3144</v>
      </c>
      <c r="K2360" t="s">
        <v>1092</v>
      </c>
      <c r="M2360">
        <v>0.1</v>
      </c>
      <c r="N2360">
        <v>17</v>
      </c>
      <c r="O2360" t="s">
        <v>46</v>
      </c>
      <c r="Q2360" t="s">
        <v>255</v>
      </c>
      <c r="R2360" t="s">
        <v>3118</v>
      </c>
      <c r="S2360" t="s">
        <v>302</v>
      </c>
      <c r="T2360" t="s">
        <v>303</v>
      </c>
    </row>
    <row r="2361" spans="1:20" x14ac:dyDescent="0.25">
      <c r="A2361" t="s">
        <v>59</v>
      </c>
      <c r="B2361" t="s">
        <v>60</v>
      </c>
      <c r="C2361" t="s">
        <v>32</v>
      </c>
      <c r="D2361" t="s">
        <v>300</v>
      </c>
      <c r="E2361" t="s">
        <v>301</v>
      </c>
      <c r="F2361" t="s">
        <v>35</v>
      </c>
      <c r="G2361" t="s">
        <v>35</v>
      </c>
      <c r="H2361" t="s">
        <v>35</v>
      </c>
      <c r="J2361" t="s">
        <v>3144</v>
      </c>
      <c r="K2361" t="s">
        <v>1092</v>
      </c>
      <c r="M2361">
        <v>0.15</v>
      </c>
      <c r="N2361">
        <v>45</v>
      </c>
      <c r="O2361" t="s">
        <v>52</v>
      </c>
      <c r="Q2361" t="s">
        <v>1230</v>
      </c>
      <c r="R2361" t="s">
        <v>3118</v>
      </c>
      <c r="S2361" t="s">
        <v>302</v>
      </c>
      <c r="T2361" t="s">
        <v>303</v>
      </c>
    </row>
    <row r="2362" spans="1:20" x14ac:dyDescent="0.25">
      <c r="A2362" t="s">
        <v>59</v>
      </c>
      <c r="B2362" t="s">
        <v>60</v>
      </c>
      <c r="C2362" t="s">
        <v>32</v>
      </c>
      <c r="D2362" t="s">
        <v>300</v>
      </c>
      <c r="E2362" t="s">
        <v>301</v>
      </c>
      <c r="F2362" t="s">
        <v>35</v>
      </c>
      <c r="G2362" t="s">
        <v>35</v>
      </c>
      <c r="H2362" t="s">
        <v>35</v>
      </c>
      <c r="J2362" t="s">
        <v>3137</v>
      </c>
      <c r="K2362" t="s">
        <v>1092</v>
      </c>
      <c r="M2362">
        <v>0.05</v>
      </c>
      <c r="N2362">
        <v>35</v>
      </c>
      <c r="O2362" t="s">
        <v>52</v>
      </c>
      <c r="Q2362" t="s">
        <v>991</v>
      </c>
      <c r="R2362" t="s">
        <v>3118</v>
      </c>
      <c r="S2362" t="s">
        <v>302</v>
      </c>
      <c r="T2362" t="s">
        <v>303</v>
      </c>
    </row>
    <row r="2363" spans="1:20" x14ac:dyDescent="0.25">
      <c r="A2363" t="s">
        <v>59</v>
      </c>
      <c r="B2363" t="s">
        <v>60</v>
      </c>
      <c r="C2363" t="s">
        <v>32</v>
      </c>
      <c r="D2363" t="s">
        <v>300</v>
      </c>
      <c r="E2363" t="s">
        <v>3112</v>
      </c>
      <c r="F2363" t="s">
        <v>35</v>
      </c>
      <c r="G2363" t="s">
        <v>35</v>
      </c>
      <c r="H2363" t="s">
        <v>35</v>
      </c>
      <c r="J2363" t="s">
        <v>3119</v>
      </c>
      <c r="K2363" t="s">
        <v>1092</v>
      </c>
      <c r="M2363">
        <v>0.5</v>
      </c>
      <c r="N2363">
        <v>52</v>
      </c>
      <c r="O2363" t="s">
        <v>52</v>
      </c>
      <c r="Q2363" t="s">
        <v>84</v>
      </c>
      <c r="R2363" t="s">
        <v>3118</v>
      </c>
      <c r="S2363" t="s">
        <v>302</v>
      </c>
      <c r="T2363" t="s">
        <v>303</v>
      </c>
    </row>
    <row r="2364" spans="1:20" x14ac:dyDescent="0.25">
      <c r="A2364" t="s">
        <v>44</v>
      </c>
      <c r="B2364" t="s">
        <v>51</v>
      </c>
      <c r="C2364" t="s">
        <v>32</v>
      </c>
      <c r="D2364" t="s">
        <v>300</v>
      </c>
      <c r="E2364" t="s">
        <v>3112</v>
      </c>
      <c r="F2364" t="s">
        <v>35</v>
      </c>
      <c r="G2364" t="s">
        <v>35</v>
      </c>
      <c r="H2364" t="s">
        <v>35</v>
      </c>
      <c r="J2364" t="s">
        <v>3127</v>
      </c>
      <c r="K2364" t="s">
        <v>1092</v>
      </c>
      <c r="M2364">
        <v>0.35</v>
      </c>
      <c r="N2364">
        <v>877</v>
      </c>
      <c r="O2364" t="s">
        <v>575</v>
      </c>
      <c r="Q2364" t="s">
        <v>3128</v>
      </c>
      <c r="R2364" t="s">
        <v>3118</v>
      </c>
      <c r="S2364" t="s">
        <v>302</v>
      </c>
      <c r="T2364" t="s">
        <v>303</v>
      </c>
    </row>
    <row r="2365" spans="1:20" x14ac:dyDescent="0.25">
      <c r="A2365" t="s">
        <v>59</v>
      </c>
      <c r="B2365" t="s">
        <v>60</v>
      </c>
      <c r="C2365" t="s">
        <v>32</v>
      </c>
      <c r="D2365" t="s">
        <v>300</v>
      </c>
      <c r="F2365" t="s">
        <v>35</v>
      </c>
      <c r="G2365" t="s">
        <v>35</v>
      </c>
      <c r="H2365" t="s">
        <v>35</v>
      </c>
      <c r="J2365" t="s">
        <v>3163</v>
      </c>
      <c r="K2365" t="s">
        <v>1092</v>
      </c>
      <c r="M2365">
        <v>0.35</v>
      </c>
      <c r="N2365">
        <v>4</v>
      </c>
      <c r="O2365" t="s">
        <v>46</v>
      </c>
      <c r="Q2365" t="s">
        <v>1053</v>
      </c>
      <c r="R2365" t="s">
        <v>3118</v>
      </c>
      <c r="S2365" t="s">
        <v>302</v>
      </c>
      <c r="T2365" t="s">
        <v>303</v>
      </c>
    </row>
    <row r="2366" spans="1:20" x14ac:dyDescent="0.25">
      <c r="A2366" t="s">
        <v>59</v>
      </c>
      <c r="B2366" t="s">
        <v>31</v>
      </c>
      <c r="C2366" t="s">
        <v>32</v>
      </c>
      <c r="D2366" t="s">
        <v>300</v>
      </c>
      <c r="E2366" t="s">
        <v>3129</v>
      </c>
      <c r="F2366" t="s">
        <v>35</v>
      </c>
      <c r="G2366" t="s">
        <v>35</v>
      </c>
      <c r="H2366" t="s">
        <v>35</v>
      </c>
      <c r="J2366" t="s">
        <v>3131</v>
      </c>
      <c r="K2366" t="s">
        <v>3132</v>
      </c>
      <c r="M2366">
        <v>0.9</v>
      </c>
      <c r="N2366">
        <v>70</v>
      </c>
      <c r="O2366" t="s">
        <v>61</v>
      </c>
      <c r="Q2366" t="s">
        <v>305</v>
      </c>
      <c r="R2366" t="s">
        <v>3118</v>
      </c>
      <c r="S2366" t="s">
        <v>302</v>
      </c>
      <c r="T2366" t="s">
        <v>303</v>
      </c>
    </row>
    <row r="2367" spans="1:20" x14ac:dyDescent="0.25">
      <c r="A2367" t="s">
        <v>59</v>
      </c>
      <c r="B2367" t="s">
        <v>60</v>
      </c>
      <c r="C2367" t="s">
        <v>32</v>
      </c>
      <c r="D2367" t="s">
        <v>300</v>
      </c>
      <c r="E2367" t="s">
        <v>301</v>
      </c>
      <c r="F2367" t="s">
        <v>35</v>
      </c>
      <c r="G2367" t="s">
        <v>35</v>
      </c>
      <c r="H2367" t="s">
        <v>35</v>
      </c>
      <c r="J2367" t="s">
        <v>319</v>
      </c>
      <c r="K2367" t="s">
        <v>37</v>
      </c>
      <c r="M2367">
        <v>1</v>
      </c>
      <c r="N2367">
        <v>9</v>
      </c>
      <c r="O2367" t="s">
        <v>46</v>
      </c>
      <c r="P2367" t="s">
        <v>322</v>
      </c>
      <c r="Q2367" t="s">
        <v>323</v>
      </c>
      <c r="R2367" t="s">
        <v>324</v>
      </c>
      <c r="S2367" t="s">
        <v>325</v>
      </c>
      <c r="T2367" t="s">
        <v>320</v>
      </c>
    </row>
    <row r="2368" spans="1:20" x14ac:dyDescent="0.25">
      <c r="A2368" t="s">
        <v>30</v>
      </c>
      <c r="B2368" t="s">
        <v>31</v>
      </c>
      <c r="C2368" t="s">
        <v>32</v>
      </c>
      <c r="D2368" t="s">
        <v>300</v>
      </c>
      <c r="E2368" t="s">
        <v>3129</v>
      </c>
      <c r="F2368" t="s">
        <v>35</v>
      </c>
      <c r="G2368" t="s">
        <v>35</v>
      </c>
      <c r="H2368" t="s">
        <v>35</v>
      </c>
      <c r="J2368" t="s">
        <v>3130</v>
      </c>
      <c r="K2368" t="s">
        <v>1092</v>
      </c>
      <c r="M2368">
        <v>2.9249999999999998</v>
      </c>
      <c r="N2368">
        <v>35</v>
      </c>
      <c r="O2368" t="s">
        <v>52</v>
      </c>
      <c r="Q2368" t="s">
        <v>991</v>
      </c>
      <c r="R2368" t="s">
        <v>3114</v>
      </c>
      <c r="S2368" t="s">
        <v>3115</v>
      </c>
      <c r="T2368" t="s">
        <v>3116</v>
      </c>
    </row>
    <row r="2369" spans="1:20" x14ac:dyDescent="0.25">
      <c r="A2369" t="s">
        <v>30</v>
      </c>
      <c r="B2369" t="s">
        <v>31</v>
      </c>
      <c r="C2369" t="s">
        <v>32</v>
      </c>
      <c r="D2369" t="s">
        <v>300</v>
      </c>
      <c r="E2369" t="s">
        <v>326</v>
      </c>
      <c r="F2369" t="s">
        <v>35</v>
      </c>
      <c r="G2369" t="s">
        <v>35</v>
      </c>
      <c r="H2369" t="s">
        <v>35</v>
      </c>
      <c r="J2369" t="s">
        <v>3146</v>
      </c>
      <c r="K2369" t="s">
        <v>1092</v>
      </c>
      <c r="M2369">
        <v>1.845</v>
      </c>
      <c r="N2369">
        <v>46</v>
      </c>
      <c r="O2369" t="s">
        <v>52</v>
      </c>
      <c r="Q2369" t="s">
        <v>332</v>
      </c>
      <c r="R2369" t="s">
        <v>3114</v>
      </c>
      <c r="S2369" t="s">
        <v>3115</v>
      </c>
      <c r="T2369" t="s">
        <v>3116</v>
      </c>
    </row>
    <row r="2370" spans="1:20" x14ac:dyDescent="0.25">
      <c r="A2370" t="s">
        <v>30</v>
      </c>
      <c r="B2370" t="s">
        <v>31</v>
      </c>
      <c r="C2370" t="s">
        <v>32</v>
      </c>
      <c r="D2370" t="s">
        <v>300</v>
      </c>
      <c r="F2370" t="s">
        <v>35</v>
      </c>
      <c r="G2370" t="s">
        <v>35</v>
      </c>
      <c r="H2370" t="s">
        <v>35</v>
      </c>
      <c r="J2370" t="s">
        <v>3175</v>
      </c>
      <c r="K2370" t="s">
        <v>1092</v>
      </c>
      <c r="M2370">
        <v>0.40500000000000003</v>
      </c>
      <c r="N2370">
        <v>46</v>
      </c>
      <c r="O2370" t="s">
        <v>52</v>
      </c>
      <c r="Q2370" t="s">
        <v>332</v>
      </c>
      <c r="R2370" t="s">
        <v>3114</v>
      </c>
      <c r="S2370" t="s">
        <v>3115</v>
      </c>
      <c r="T2370" t="s">
        <v>3116</v>
      </c>
    </row>
    <row r="2371" spans="1:20" x14ac:dyDescent="0.25">
      <c r="A2371" t="s">
        <v>30</v>
      </c>
      <c r="B2371" t="s">
        <v>31</v>
      </c>
      <c r="C2371" t="s">
        <v>32</v>
      </c>
      <c r="D2371" t="s">
        <v>300</v>
      </c>
      <c r="F2371" t="s">
        <v>35</v>
      </c>
      <c r="G2371" t="s">
        <v>35</v>
      </c>
      <c r="H2371" t="s">
        <v>35</v>
      </c>
      <c r="J2371" t="s">
        <v>3164</v>
      </c>
      <c r="K2371" t="s">
        <v>1092</v>
      </c>
      <c r="M2371">
        <v>1.35</v>
      </c>
      <c r="N2371">
        <v>35</v>
      </c>
      <c r="O2371" t="s">
        <v>52</v>
      </c>
      <c r="Q2371" t="s">
        <v>991</v>
      </c>
      <c r="R2371" t="s">
        <v>3114</v>
      </c>
      <c r="S2371" t="s">
        <v>3115</v>
      </c>
      <c r="T2371" t="s">
        <v>3116</v>
      </c>
    </row>
    <row r="2372" spans="1:20" x14ac:dyDescent="0.25">
      <c r="A2372" t="s">
        <v>30</v>
      </c>
      <c r="B2372" t="s">
        <v>31</v>
      </c>
      <c r="C2372" t="s">
        <v>32</v>
      </c>
      <c r="D2372" t="s">
        <v>300</v>
      </c>
      <c r="F2372" t="s">
        <v>35</v>
      </c>
      <c r="G2372" t="s">
        <v>35</v>
      </c>
      <c r="H2372" t="s">
        <v>35</v>
      </c>
      <c r="J2372" t="s">
        <v>3166</v>
      </c>
      <c r="K2372" t="s">
        <v>1092</v>
      </c>
      <c r="M2372">
        <v>3.15</v>
      </c>
      <c r="N2372">
        <v>46</v>
      </c>
      <c r="O2372" t="s">
        <v>52</v>
      </c>
      <c r="Q2372" t="s">
        <v>332</v>
      </c>
      <c r="R2372" t="s">
        <v>3114</v>
      </c>
      <c r="S2372" t="s">
        <v>3115</v>
      </c>
      <c r="T2372" t="s">
        <v>3116</v>
      </c>
    </row>
    <row r="2373" spans="1:20" x14ac:dyDescent="0.25">
      <c r="A2373" t="s">
        <v>30</v>
      </c>
      <c r="B2373" t="s">
        <v>31</v>
      </c>
      <c r="C2373" t="s">
        <v>32</v>
      </c>
      <c r="D2373" t="s">
        <v>300</v>
      </c>
      <c r="F2373" t="s">
        <v>35</v>
      </c>
      <c r="G2373" t="s">
        <v>35</v>
      </c>
      <c r="H2373" t="s">
        <v>35</v>
      </c>
      <c r="J2373" t="s">
        <v>3165</v>
      </c>
      <c r="K2373" t="s">
        <v>1092</v>
      </c>
      <c r="M2373">
        <v>4.4999999999999998E-2</v>
      </c>
      <c r="N2373">
        <v>35</v>
      </c>
      <c r="O2373" t="s">
        <v>52</v>
      </c>
      <c r="Q2373" t="s">
        <v>991</v>
      </c>
      <c r="R2373" t="s">
        <v>3114</v>
      </c>
      <c r="S2373" t="s">
        <v>3115</v>
      </c>
      <c r="T2373" t="s">
        <v>3116</v>
      </c>
    </row>
    <row r="2374" spans="1:20" x14ac:dyDescent="0.25">
      <c r="A2374" t="s">
        <v>30</v>
      </c>
      <c r="B2374" t="s">
        <v>31</v>
      </c>
      <c r="C2374" t="s">
        <v>32</v>
      </c>
      <c r="D2374" t="s">
        <v>300</v>
      </c>
      <c r="E2374" t="s">
        <v>3112</v>
      </c>
      <c r="F2374" t="s">
        <v>35</v>
      </c>
      <c r="G2374" t="s">
        <v>35</v>
      </c>
      <c r="H2374" t="s">
        <v>35</v>
      </c>
      <c r="J2374" t="s">
        <v>3113</v>
      </c>
      <c r="K2374" t="s">
        <v>1092</v>
      </c>
      <c r="M2374">
        <v>2.4750000000000001</v>
      </c>
      <c r="N2374">
        <v>46</v>
      </c>
      <c r="O2374" t="s">
        <v>52</v>
      </c>
      <c r="Q2374" t="s">
        <v>332</v>
      </c>
      <c r="R2374" t="s">
        <v>3114</v>
      </c>
      <c r="S2374" t="s">
        <v>3115</v>
      </c>
      <c r="T2374" t="s">
        <v>3116</v>
      </c>
    </row>
    <row r="2375" spans="1:20" x14ac:dyDescent="0.25">
      <c r="A2375" t="s">
        <v>30</v>
      </c>
      <c r="B2375" t="s">
        <v>31</v>
      </c>
      <c r="C2375" t="s">
        <v>32</v>
      </c>
      <c r="D2375" t="s">
        <v>300</v>
      </c>
      <c r="E2375" t="s">
        <v>326</v>
      </c>
      <c r="F2375" t="s">
        <v>35</v>
      </c>
      <c r="G2375" t="s">
        <v>35</v>
      </c>
      <c r="H2375" t="s">
        <v>35</v>
      </c>
      <c r="J2375" t="s">
        <v>3153</v>
      </c>
      <c r="K2375" t="s">
        <v>1092</v>
      </c>
      <c r="M2375">
        <v>3.15</v>
      </c>
      <c r="N2375">
        <v>46</v>
      </c>
      <c r="O2375" t="s">
        <v>52</v>
      </c>
      <c r="Q2375" t="s">
        <v>332</v>
      </c>
      <c r="R2375" t="s">
        <v>3114</v>
      </c>
      <c r="S2375" t="s">
        <v>3115</v>
      </c>
      <c r="T2375" t="s">
        <v>3116</v>
      </c>
    </row>
    <row r="2376" spans="1:20" x14ac:dyDescent="0.25">
      <c r="A2376" t="s">
        <v>30</v>
      </c>
      <c r="B2376" t="s">
        <v>31</v>
      </c>
      <c r="C2376" t="s">
        <v>32</v>
      </c>
      <c r="D2376" t="s">
        <v>300</v>
      </c>
      <c r="E2376" t="s">
        <v>3129</v>
      </c>
      <c r="F2376" t="s">
        <v>35</v>
      </c>
      <c r="G2376" t="s">
        <v>35</v>
      </c>
      <c r="H2376" t="s">
        <v>35</v>
      </c>
      <c r="J2376" t="s">
        <v>3133</v>
      </c>
      <c r="K2376" t="s">
        <v>1092</v>
      </c>
      <c r="M2376">
        <v>0.67500000000000004</v>
      </c>
      <c r="N2376">
        <v>44</v>
      </c>
      <c r="O2376" t="s">
        <v>52</v>
      </c>
      <c r="Q2376" t="s">
        <v>54</v>
      </c>
      <c r="R2376" t="s">
        <v>3114</v>
      </c>
      <c r="S2376" t="s">
        <v>3115</v>
      </c>
      <c r="T2376" t="s">
        <v>3116</v>
      </c>
    </row>
    <row r="2377" spans="1:20" x14ac:dyDescent="0.25">
      <c r="A2377" t="s">
        <v>59</v>
      </c>
      <c r="B2377" t="s">
        <v>31</v>
      </c>
      <c r="C2377" t="s">
        <v>32</v>
      </c>
      <c r="D2377" t="s">
        <v>300</v>
      </c>
      <c r="E2377" t="s">
        <v>326</v>
      </c>
      <c r="F2377" t="s">
        <v>35</v>
      </c>
      <c r="G2377" t="s">
        <v>35</v>
      </c>
      <c r="H2377" t="s">
        <v>35</v>
      </c>
      <c r="J2377" t="s">
        <v>3147</v>
      </c>
      <c r="K2377" t="s">
        <v>1092</v>
      </c>
      <c r="M2377">
        <v>0.01</v>
      </c>
      <c r="N2377">
        <v>436</v>
      </c>
      <c r="O2377" t="s">
        <v>294</v>
      </c>
      <c r="Q2377" t="s">
        <v>3148</v>
      </c>
      <c r="R2377" t="s">
        <v>3149</v>
      </c>
      <c r="S2377" t="s">
        <v>3150</v>
      </c>
      <c r="T2377" t="s">
        <v>3151</v>
      </c>
    </row>
    <row r="2378" spans="1:20" x14ac:dyDescent="0.25">
      <c r="A2378" t="s">
        <v>30</v>
      </c>
      <c r="B2378" t="s">
        <v>31</v>
      </c>
      <c r="C2378" t="s">
        <v>32</v>
      </c>
      <c r="D2378" t="s">
        <v>300</v>
      </c>
      <c r="E2378" t="s">
        <v>326</v>
      </c>
      <c r="F2378" t="s">
        <v>35</v>
      </c>
      <c r="G2378" t="s">
        <v>35</v>
      </c>
      <c r="H2378" t="s">
        <v>35</v>
      </c>
      <c r="J2378" t="s">
        <v>3147</v>
      </c>
      <c r="K2378" t="s">
        <v>1092</v>
      </c>
      <c r="M2378">
        <v>0.02</v>
      </c>
      <c r="N2378">
        <v>439</v>
      </c>
      <c r="O2378" t="s">
        <v>294</v>
      </c>
      <c r="Q2378" t="s">
        <v>3152</v>
      </c>
      <c r="R2378" t="s">
        <v>3149</v>
      </c>
      <c r="S2378" t="s">
        <v>3150</v>
      </c>
      <c r="T2378" t="s">
        <v>3151</v>
      </c>
    </row>
    <row r="2379" spans="1:20" x14ac:dyDescent="0.25">
      <c r="A2379" t="s">
        <v>59</v>
      </c>
      <c r="B2379" t="s">
        <v>31</v>
      </c>
      <c r="C2379" t="s">
        <v>32</v>
      </c>
      <c r="D2379" t="s">
        <v>300</v>
      </c>
      <c r="F2379" t="s">
        <v>35</v>
      </c>
      <c r="G2379" t="s">
        <v>35</v>
      </c>
      <c r="H2379" t="s">
        <v>35</v>
      </c>
      <c r="J2379" t="s">
        <v>3176</v>
      </c>
      <c r="K2379" t="s">
        <v>1092</v>
      </c>
      <c r="M2379">
        <v>3.8250000000000002</v>
      </c>
      <c r="N2379">
        <v>2666</v>
      </c>
      <c r="O2379" t="s">
        <v>575</v>
      </c>
      <c r="Q2379" t="s">
        <v>1486</v>
      </c>
      <c r="R2379" t="s">
        <v>1487</v>
      </c>
      <c r="S2379" t="s">
        <v>1488</v>
      </c>
    </row>
    <row r="2380" spans="1:20" x14ac:dyDescent="0.25">
      <c r="A2380" t="s">
        <v>59</v>
      </c>
      <c r="B2380" t="s">
        <v>60</v>
      </c>
      <c r="C2380" t="s">
        <v>32</v>
      </c>
      <c r="D2380" t="s">
        <v>300</v>
      </c>
      <c r="E2380" t="s">
        <v>301</v>
      </c>
      <c r="F2380" t="s">
        <v>35</v>
      </c>
      <c r="G2380" t="s">
        <v>35</v>
      </c>
      <c r="H2380" t="s">
        <v>35</v>
      </c>
      <c r="J2380" t="s">
        <v>312</v>
      </c>
      <c r="K2380" t="s">
        <v>37</v>
      </c>
      <c r="M2380">
        <v>18.899999999999999</v>
      </c>
      <c r="N2380">
        <v>65</v>
      </c>
      <c r="O2380" t="s">
        <v>61</v>
      </c>
      <c r="P2380" t="s">
        <v>314</v>
      </c>
      <c r="Q2380" t="s">
        <v>63</v>
      </c>
      <c r="R2380" t="s">
        <v>315</v>
      </c>
      <c r="S2380" t="s">
        <v>316</v>
      </c>
      <c r="T2380" t="s">
        <v>317</v>
      </c>
    </row>
    <row r="2381" spans="1:20" x14ac:dyDescent="0.25">
      <c r="A2381" t="s">
        <v>59</v>
      </c>
      <c r="B2381" t="s">
        <v>60</v>
      </c>
      <c r="C2381" t="s">
        <v>32</v>
      </c>
      <c r="D2381" t="s">
        <v>300</v>
      </c>
      <c r="E2381" t="s">
        <v>301</v>
      </c>
      <c r="F2381" t="s">
        <v>35</v>
      </c>
      <c r="G2381" t="s">
        <v>35</v>
      </c>
      <c r="H2381" t="s">
        <v>35</v>
      </c>
      <c r="J2381" t="s">
        <v>312</v>
      </c>
      <c r="K2381" t="s">
        <v>37</v>
      </c>
      <c r="M2381">
        <v>25</v>
      </c>
      <c r="N2381">
        <v>65</v>
      </c>
      <c r="O2381" t="s">
        <v>61</v>
      </c>
      <c r="P2381" t="s">
        <v>318</v>
      </c>
      <c r="Q2381" t="s">
        <v>63</v>
      </c>
      <c r="R2381" t="s">
        <v>315</v>
      </c>
      <c r="S2381" t="s">
        <v>316</v>
      </c>
      <c r="T2381" t="s">
        <v>317</v>
      </c>
    </row>
    <row r="2382" spans="1:20" x14ac:dyDescent="0.25">
      <c r="A2382" t="s">
        <v>44</v>
      </c>
      <c r="B2382" t="s">
        <v>51</v>
      </c>
      <c r="C2382" t="s">
        <v>32</v>
      </c>
      <c r="D2382" t="s">
        <v>336</v>
      </c>
      <c r="E2382" t="s">
        <v>3223</v>
      </c>
      <c r="F2382" t="s">
        <v>35</v>
      </c>
      <c r="G2382" t="s">
        <v>35</v>
      </c>
      <c r="H2382" t="s">
        <v>35</v>
      </c>
      <c r="J2382" t="s">
        <v>3228</v>
      </c>
      <c r="K2382" t="s">
        <v>1092</v>
      </c>
      <c r="M2382">
        <v>4.9000000000000004</v>
      </c>
      <c r="N2382">
        <v>54</v>
      </c>
      <c r="O2382" t="s">
        <v>52</v>
      </c>
      <c r="Q2382" t="s">
        <v>671</v>
      </c>
      <c r="R2382" t="s">
        <v>3180</v>
      </c>
      <c r="S2382" t="s">
        <v>338</v>
      </c>
      <c r="T2382" t="s">
        <v>339</v>
      </c>
    </row>
    <row r="2383" spans="1:20" x14ac:dyDescent="0.25">
      <c r="A2383" t="s">
        <v>59</v>
      </c>
      <c r="B2383" t="s">
        <v>60</v>
      </c>
      <c r="C2383" t="s">
        <v>32</v>
      </c>
      <c r="D2383" t="s">
        <v>336</v>
      </c>
      <c r="E2383" t="s">
        <v>3223</v>
      </c>
      <c r="F2383" t="s">
        <v>35</v>
      </c>
      <c r="G2383" t="s">
        <v>35</v>
      </c>
      <c r="H2383" t="s">
        <v>35</v>
      </c>
      <c r="J2383" t="s">
        <v>3228</v>
      </c>
      <c r="K2383" t="s">
        <v>1092</v>
      </c>
      <c r="M2383">
        <v>1.65</v>
      </c>
      <c r="N2383">
        <v>124</v>
      </c>
      <c r="O2383" t="s">
        <v>38</v>
      </c>
      <c r="Q2383" t="s">
        <v>646</v>
      </c>
      <c r="R2383" t="s">
        <v>3180</v>
      </c>
      <c r="S2383" t="s">
        <v>338</v>
      </c>
      <c r="T2383" t="s">
        <v>339</v>
      </c>
    </row>
    <row r="2384" spans="1:20" x14ac:dyDescent="0.25">
      <c r="A2384" t="s">
        <v>30</v>
      </c>
      <c r="B2384" t="s">
        <v>31</v>
      </c>
      <c r="C2384" t="s">
        <v>32</v>
      </c>
      <c r="D2384" t="s">
        <v>336</v>
      </c>
      <c r="E2384" t="s">
        <v>3196</v>
      </c>
      <c r="F2384" t="s">
        <v>35</v>
      </c>
      <c r="G2384" t="s">
        <v>35</v>
      </c>
      <c r="H2384" t="s">
        <v>35</v>
      </c>
      <c r="J2384" t="s">
        <v>3206</v>
      </c>
      <c r="K2384" t="s">
        <v>1092</v>
      </c>
      <c r="M2384">
        <v>2.97</v>
      </c>
      <c r="N2384">
        <v>475</v>
      </c>
      <c r="O2384" t="s">
        <v>294</v>
      </c>
      <c r="Q2384" t="s">
        <v>3207</v>
      </c>
      <c r="R2384" t="s">
        <v>3180</v>
      </c>
      <c r="S2384" t="s">
        <v>338</v>
      </c>
      <c r="T2384" t="s">
        <v>339</v>
      </c>
    </row>
    <row r="2385" spans="1:20" x14ac:dyDescent="0.25">
      <c r="A2385" t="s">
        <v>30</v>
      </c>
      <c r="B2385" t="s">
        <v>31</v>
      </c>
      <c r="C2385" t="s">
        <v>32</v>
      </c>
      <c r="D2385" t="s">
        <v>336</v>
      </c>
      <c r="E2385" t="s">
        <v>337</v>
      </c>
      <c r="F2385" t="s">
        <v>35</v>
      </c>
      <c r="G2385" t="s">
        <v>35</v>
      </c>
      <c r="H2385" t="s">
        <v>35</v>
      </c>
      <c r="J2385" t="s">
        <v>3252</v>
      </c>
      <c r="K2385" t="s">
        <v>1092</v>
      </c>
      <c r="M2385">
        <v>13.32</v>
      </c>
      <c r="N2385">
        <v>168</v>
      </c>
      <c r="O2385" t="s">
        <v>38</v>
      </c>
      <c r="Q2385" t="s">
        <v>1692</v>
      </c>
      <c r="R2385" t="s">
        <v>3180</v>
      </c>
      <c r="S2385" t="s">
        <v>338</v>
      </c>
      <c r="T2385" t="s">
        <v>339</v>
      </c>
    </row>
    <row r="2386" spans="1:20" x14ac:dyDescent="0.25">
      <c r="A2386" t="s">
        <v>59</v>
      </c>
      <c r="B2386" t="s">
        <v>60</v>
      </c>
      <c r="C2386" t="s">
        <v>32</v>
      </c>
      <c r="D2386" t="s">
        <v>336</v>
      </c>
      <c r="E2386" t="s">
        <v>337</v>
      </c>
      <c r="F2386" t="s">
        <v>35</v>
      </c>
      <c r="G2386" t="s">
        <v>35</v>
      </c>
      <c r="H2386" t="s">
        <v>35</v>
      </c>
      <c r="J2386" t="s">
        <v>3235</v>
      </c>
      <c r="K2386" t="s">
        <v>404</v>
      </c>
      <c r="M2386">
        <v>4.55</v>
      </c>
      <c r="N2386">
        <v>258</v>
      </c>
      <c r="O2386" t="s">
        <v>5</v>
      </c>
      <c r="Q2386" t="s">
        <v>1754</v>
      </c>
      <c r="R2386" t="s">
        <v>3180</v>
      </c>
      <c r="S2386" t="s">
        <v>338</v>
      </c>
      <c r="T2386" t="s">
        <v>339</v>
      </c>
    </row>
    <row r="2387" spans="1:20" x14ac:dyDescent="0.25">
      <c r="A2387" t="s">
        <v>59</v>
      </c>
      <c r="B2387" t="s">
        <v>60</v>
      </c>
      <c r="C2387" t="s">
        <v>32</v>
      </c>
      <c r="D2387" t="s">
        <v>336</v>
      </c>
      <c r="E2387" t="s">
        <v>337</v>
      </c>
      <c r="F2387" t="s">
        <v>35</v>
      </c>
      <c r="G2387" t="s">
        <v>35</v>
      </c>
      <c r="H2387" t="s">
        <v>35</v>
      </c>
      <c r="J2387" t="s">
        <v>3241</v>
      </c>
      <c r="K2387" t="s">
        <v>1092</v>
      </c>
      <c r="M2387">
        <v>3.9</v>
      </c>
      <c r="N2387">
        <v>124</v>
      </c>
      <c r="O2387" t="s">
        <v>38</v>
      </c>
      <c r="Q2387" t="s">
        <v>646</v>
      </c>
      <c r="R2387" t="s">
        <v>3180</v>
      </c>
      <c r="S2387" t="s">
        <v>338</v>
      </c>
      <c r="T2387" t="s">
        <v>339</v>
      </c>
    </row>
    <row r="2388" spans="1:20" x14ac:dyDescent="0.25">
      <c r="A2388" t="s">
        <v>30</v>
      </c>
      <c r="B2388" t="s">
        <v>31</v>
      </c>
      <c r="C2388" t="s">
        <v>32</v>
      </c>
      <c r="D2388" t="s">
        <v>336</v>
      </c>
      <c r="E2388" t="s">
        <v>3188</v>
      </c>
      <c r="F2388" t="s">
        <v>35</v>
      </c>
      <c r="G2388" t="s">
        <v>35</v>
      </c>
      <c r="H2388" t="s">
        <v>35</v>
      </c>
      <c r="J2388" t="s">
        <v>3191</v>
      </c>
      <c r="K2388" t="s">
        <v>1092</v>
      </c>
      <c r="M2388">
        <v>0.09</v>
      </c>
      <c r="N2388">
        <v>168</v>
      </c>
      <c r="O2388" t="s">
        <v>38</v>
      </c>
      <c r="Q2388" t="s">
        <v>1692</v>
      </c>
      <c r="R2388" t="s">
        <v>3180</v>
      </c>
      <c r="S2388" t="s">
        <v>338</v>
      </c>
      <c r="T2388" t="s">
        <v>339</v>
      </c>
    </row>
    <row r="2389" spans="1:20" x14ac:dyDescent="0.25">
      <c r="A2389" t="s">
        <v>59</v>
      </c>
      <c r="B2389" t="s">
        <v>60</v>
      </c>
      <c r="C2389" t="s">
        <v>32</v>
      </c>
      <c r="D2389" t="s">
        <v>336</v>
      </c>
      <c r="E2389" t="s">
        <v>3223</v>
      </c>
      <c r="F2389" t="s">
        <v>35</v>
      </c>
      <c r="G2389" t="s">
        <v>35</v>
      </c>
      <c r="H2389" t="s">
        <v>35</v>
      </c>
      <c r="J2389" t="s">
        <v>3233</v>
      </c>
      <c r="K2389" t="s">
        <v>1092</v>
      </c>
      <c r="M2389">
        <v>2.5</v>
      </c>
      <c r="N2389">
        <v>124</v>
      </c>
      <c r="O2389" t="s">
        <v>38</v>
      </c>
      <c r="Q2389" t="s">
        <v>646</v>
      </c>
      <c r="R2389" t="s">
        <v>3180</v>
      </c>
      <c r="S2389" t="s">
        <v>338</v>
      </c>
      <c r="T2389" t="s">
        <v>339</v>
      </c>
    </row>
    <row r="2390" spans="1:20" x14ac:dyDescent="0.25">
      <c r="A2390" t="s">
        <v>59</v>
      </c>
      <c r="B2390" t="s">
        <v>31</v>
      </c>
      <c r="C2390" t="s">
        <v>32</v>
      </c>
      <c r="D2390" t="s">
        <v>336</v>
      </c>
      <c r="E2390" t="s">
        <v>3223</v>
      </c>
      <c r="F2390" t="s">
        <v>35</v>
      </c>
      <c r="G2390" t="s">
        <v>35</v>
      </c>
      <c r="H2390" t="s">
        <v>35</v>
      </c>
      <c r="J2390" t="s">
        <v>3233</v>
      </c>
      <c r="K2390" t="s">
        <v>1092</v>
      </c>
      <c r="M2390">
        <v>3.7349999999999999</v>
      </c>
      <c r="N2390">
        <v>124</v>
      </c>
      <c r="O2390" t="s">
        <v>38</v>
      </c>
      <c r="Q2390" t="s">
        <v>646</v>
      </c>
      <c r="R2390" t="s">
        <v>3180</v>
      </c>
      <c r="S2390" t="s">
        <v>338</v>
      </c>
      <c r="T2390" t="s">
        <v>339</v>
      </c>
    </row>
    <row r="2391" spans="1:20" x14ac:dyDescent="0.25">
      <c r="A2391" t="s">
        <v>30</v>
      </c>
      <c r="B2391" t="s">
        <v>31</v>
      </c>
      <c r="C2391" t="s">
        <v>32</v>
      </c>
      <c r="D2391" t="s">
        <v>336</v>
      </c>
      <c r="E2391" t="s">
        <v>3196</v>
      </c>
      <c r="F2391" t="s">
        <v>35</v>
      </c>
      <c r="G2391" t="s">
        <v>35</v>
      </c>
      <c r="H2391" t="s">
        <v>35</v>
      </c>
      <c r="J2391" t="s">
        <v>3201</v>
      </c>
      <c r="K2391" t="s">
        <v>1092</v>
      </c>
      <c r="M2391">
        <v>9</v>
      </c>
      <c r="N2391">
        <v>248</v>
      </c>
      <c r="O2391" t="s">
        <v>5</v>
      </c>
      <c r="Q2391" t="s">
        <v>1747</v>
      </c>
      <c r="R2391" t="s">
        <v>3180</v>
      </c>
      <c r="S2391" t="s">
        <v>338</v>
      </c>
      <c r="T2391" t="s">
        <v>339</v>
      </c>
    </row>
    <row r="2392" spans="1:20" x14ac:dyDescent="0.25">
      <c r="A2392" t="s">
        <v>30</v>
      </c>
      <c r="B2392" t="s">
        <v>31</v>
      </c>
      <c r="C2392" t="s">
        <v>32</v>
      </c>
      <c r="D2392" t="s">
        <v>336</v>
      </c>
      <c r="E2392" t="s">
        <v>3215</v>
      </c>
      <c r="F2392" t="s">
        <v>35</v>
      </c>
      <c r="G2392" t="s">
        <v>35</v>
      </c>
      <c r="H2392" t="s">
        <v>35</v>
      </c>
      <c r="J2392" t="s">
        <v>3218</v>
      </c>
      <c r="K2392" t="s">
        <v>1092</v>
      </c>
      <c r="M2392">
        <v>1.395</v>
      </c>
      <c r="N2392">
        <v>168</v>
      </c>
      <c r="O2392" t="s">
        <v>38</v>
      </c>
      <c r="Q2392" t="s">
        <v>1692</v>
      </c>
      <c r="R2392" t="s">
        <v>3180</v>
      </c>
      <c r="S2392" t="s">
        <v>338</v>
      </c>
      <c r="T2392" t="s">
        <v>339</v>
      </c>
    </row>
    <row r="2393" spans="1:20" x14ac:dyDescent="0.25">
      <c r="A2393" t="s">
        <v>30</v>
      </c>
      <c r="B2393" t="s">
        <v>31</v>
      </c>
      <c r="C2393" t="s">
        <v>32</v>
      </c>
      <c r="D2393" t="s">
        <v>336</v>
      </c>
      <c r="E2393" t="s">
        <v>3188</v>
      </c>
      <c r="F2393" t="s">
        <v>35</v>
      </c>
      <c r="G2393" t="s">
        <v>35</v>
      </c>
      <c r="H2393" t="s">
        <v>35</v>
      </c>
      <c r="J2393" t="s">
        <v>3190</v>
      </c>
      <c r="K2393" t="s">
        <v>1092</v>
      </c>
      <c r="M2393">
        <v>0.36</v>
      </c>
      <c r="N2393">
        <v>168</v>
      </c>
      <c r="O2393" t="s">
        <v>38</v>
      </c>
      <c r="Q2393" t="s">
        <v>1692</v>
      </c>
      <c r="R2393" t="s">
        <v>3180</v>
      </c>
      <c r="S2393" t="s">
        <v>338</v>
      </c>
      <c r="T2393" t="s">
        <v>339</v>
      </c>
    </row>
    <row r="2394" spans="1:20" x14ac:dyDescent="0.25">
      <c r="A2394" t="s">
        <v>59</v>
      </c>
      <c r="B2394" t="s">
        <v>60</v>
      </c>
      <c r="C2394" t="s">
        <v>32</v>
      </c>
      <c r="D2394" t="s">
        <v>336</v>
      </c>
      <c r="E2394" t="s">
        <v>3209</v>
      </c>
      <c r="F2394" t="s">
        <v>35</v>
      </c>
      <c r="G2394" t="s">
        <v>35</v>
      </c>
      <c r="H2394" t="s">
        <v>35</v>
      </c>
      <c r="J2394" t="s">
        <v>3210</v>
      </c>
      <c r="K2394" t="s">
        <v>1092</v>
      </c>
      <c r="M2394">
        <v>3.45</v>
      </c>
      <c r="N2394">
        <v>124</v>
      </c>
      <c r="O2394" t="s">
        <v>38</v>
      </c>
      <c r="Q2394" t="s">
        <v>646</v>
      </c>
      <c r="R2394" t="s">
        <v>3180</v>
      </c>
      <c r="S2394" t="s">
        <v>338</v>
      </c>
      <c r="T2394" t="s">
        <v>339</v>
      </c>
    </row>
    <row r="2395" spans="1:20" x14ac:dyDescent="0.25">
      <c r="A2395" t="s">
        <v>44</v>
      </c>
      <c r="B2395" t="s">
        <v>51</v>
      </c>
      <c r="C2395" t="s">
        <v>32</v>
      </c>
      <c r="D2395" t="s">
        <v>336</v>
      </c>
      <c r="E2395" t="s">
        <v>3196</v>
      </c>
      <c r="F2395" t="s">
        <v>35</v>
      </c>
      <c r="G2395" t="s">
        <v>35</v>
      </c>
      <c r="H2395" t="s">
        <v>35</v>
      </c>
      <c r="J2395" t="s">
        <v>3197</v>
      </c>
      <c r="K2395" t="s">
        <v>1092</v>
      </c>
      <c r="M2395">
        <v>10.95</v>
      </c>
      <c r="N2395">
        <v>54</v>
      </c>
      <c r="O2395" t="s">
        <v>52</v>
      </c>
      <c r="Q2395" t="s">
        <v>671</v>
      </c>
      <c r="R2395" t="s">
        <v>3180</v>
      </c>
      <c r="S2395" t="s">
        <v>338</v>
      </c>
      <c r="T2395" t="s">
        <v>339</v>
      </c>
    </row>
    <row r="2396" spans="1:20" x14ac:dyDescent="0.25">
      <c r="A2396" t="s">
        <v>44</v>
      </c>
      <c r="B2396" t="s">
        <v>51</v>
      </c>
      <c r="C2396" t="s">
        <v>32</v>
      </c>
      <c r="D2396" t="s">
        <v>336</v>
      </c>
      <c r="E2396" t="s">
        <v>337</v>
      </c>
      <c r="F2396" t="s">
        <v>35</v>
      </c>
      <c r="G2396" t="s">
        <v>35</v>
      </c>
      <c r="H2396" t="s">
        <v>35</v>
      </c>
      <c r="J2396" t="s">
        <v>3236</v>
      </c>
      <c r="K2396" t="s">
        <v>1092</v>
      </c>
      <c r="M2396">
        <v>3.75</v>
      </c>
      <c r="N2396">
        <v>54</v>
      </c>
      <c r="O2396" t="s">
        <v>52</v>
      </c>
      <c r="Q2396" t="s">
        <v>671</v>
      </c>
      <c r="R2396" t="s">
        <v>3180</v>
      </c>
      <c r="S2396" t="s">
        <v>338</v>
      </c>
      <c r="T2396" t="s">
        <v>339</v>
      </c>
    </row>
    <row r="2397" spans="1:20" x14ac:dyDescent="0.25">
      <c r="A2397" t="s">
        <v>59</v>
      </c>
      <c r="B2397" t="s">
        <v>60</v>
      </c>
      <c r="C2397" t="s">
        <v>32</v>
      </c>
      <c r="D2397" t="s">
        <v>336</v>
      </c>
      <c r="F2397" t="s">
        <v>35</v>
      </c>
      <c r="G2397" t="s">
        <v>35</v>
      </c>
      <c r="H2397" t="s">
        <v>35</v>
      </c>
      <c r="J2397" t="s">
        <v>3253</v>
      </c>
      <c r="K2397" t="s">
        <v>1092</v>
      </c>
      <c r="M2397">
        <v>6.8</v>
      </c>
      <c r="N2397">
        <v>124</v>
      </c>
      <c r="O2397" t="s">
        <v>38</v>
      </c>
      <c r="Q2397" t="s">
        <v>646</v>
      </c>
      <c r="R2397" t="s">
        <v>3180</v>
      </c>
      <c r="S2397" t="s">
        <v>338</v>
      </c>
      <c r="T2397" t="s">
        <v>339</v>
      </c>
    </row>
    <row r="2398" spans="1:20" x14ac:dyDescent="0.25">
      <c r="A2398" t="s">
        <v>30</v>
      </c>
      <c r="B2398" t="s">
        <v>31</v>
      </c>
      <c r="C2398" t="s">
        <v>32</v>
      </c>
      <c r="D2398" t="s">
        <v>336</v>
      </c>
      <c r="E2398" t="s">
        <v>3220</v>
      </c>
      <c r="F2398" t="s">
        <v>35</v>
      </c>
      <c r="G2398" t="s">
        <v>35</v>
      </c>
      <c r="H2398" t="s">
        <v>35</v>
      </c>
      <c r="J2398" t="s">
        <v>3222</v>
      </c>
      <c r="K2398" t="s">
        <v>1092</v>
      </c>
      <c r="M2398">
        <v>17.64</v>
      </c>
      <c r="N2398">
        <v>67</v>
      </c>
      <c r="O2398" t="s">
        <v>61</v>
      </c>
      <c r="Q2398" t="s">
        <v>488</v>
      </c>
      <c r="R2398" t="s">
        <v>3180</v>
      </c>
      <c r="S2398" t="s">
        <v>338</v>
      </c>
      <c r="T2398" t="s">
        <v>339</v>
      </c>
    </row>
    <row r="2399" spans="1:20" x14ac:dyDescent="0.25">
      <c r="A2399" t="s">
        <v>44</v>
      </c>
      <c r="B2399" t="s">
        <v>51</v>
      </c>
      <c r="C2399" t="s">
        <v>32</v>
      </c>
      <c r="D2399" t="s">
        <v>336</v>
      </c>
      <c r="E2399" t="s">
        <v>3188</v>
      </c>
      <c r="F2399" t="s">
        <v>35</v>
      </c>
      <c r="G2399" t="s">
        <v>35</v>
      </c>
      <c r="H2399" t="s">
        <v>35</v>
      </c>
      <c r="J2399" t="s">
        <v>3189</v>
      </c>
      <c r="K2399" t="s">
        <v>1092</v>
      </c>
      <c r="M2399">
        <v>3.45</v>
      </c>
      <c r="N2399">
        <v>54</v>
      </c>
      <c r="O2399" t="s">
        <v>52</v>
      </c>
      <c r="Q2399" t="s">
        <v>671</v>
      </c>
      <c r="R2399" t="s">
        <v>3180</v>
      </c>
      <c r="S2399" t="s">
        <v>338</v>
      </c>
      <c r="T2399" t="s">
        <v>339</v>
      </c>
    </row>
    <row r="2400" spans="1:20" x14ac:dyDescent="0.25">
      <c r="A2400" t="s">
        <v>30</v>
      </c>
      <c r="B2400" t="s">
        <v>31</v>
      </c>
      <c r="C2400" t="s">
        <v>32</v>
      </c>
      <c r="D2400" t="s">
        <v>336</v>
      </c>
      <c r="E2400" t="s">
        <v>3188</v>
      </c>
      <c r="F2400" t="s">
        <v>35</v>
      </c>
      <c r="G2400" t="s">
        <v>35</v>
      </c>
      <c r="H2400" t="s">
        <v>35</v>
      </c>
      <c r="J2400" t="s">
        <v>3189</v>
      </c>
      <c r="K2400" t="s">
        <v>1092</v>
      </c>
      <c r="M2400">
        <v>2.6549999999999998</v>
      </c>
      <c r="N2400">
        <v>67</v>
      </c>
      <c r="O2400" t="s">
        <v>61</v>
      </c>
      <c r="Q2400" t="s">
        <v>488</v>
      </c>
      <c r="R2400" t="s">
        <v>3180</v>
      </c>
      <c r="S2400" t="s">
        <v>338</v>
      </c>
      <c r="T2400" t="s">
        <v>339</v>
      </c>
    </row>
    <row r="2401" spans="1:20" x14ac:dyDescent="0.25">
      <c r="A2401" t="s">
        <v>59</v>
      </c>
      <c r="B2401" t="s">
        <v>60</v>
      </c>
      <c r="C2401" t="s">
        <v>32</v>
      </c>
      <c r="D2401" t="s">
        <v>336</v>
      </c>
      <c r="E2401" t="s">
        <v>3196</v>
      </c>
      <c r="F2401" t="s">
        <v>35</v>
      </c>
      <c r="G2401" t="s">
        <v>35</v>
      </c>
      <c r="H2401" t="s">
        <v>35</v>
      </c>
      <c r="J2401" t="s">
        <v>3198</v>
      </c>
      <c r="K2401" t="s">
        <v>1092</v>
      </c>
      <c r="M2401">
        <v>1.25</v>
      </c>
      <c r="N2401">
        <v>124</v>
      </c>
      <c r="O2401" t="s">
        <v>38</v>
      </c>
      <c r="Q2401" t="s">
        <v>646</v>
      </c>
      <c r="R2401" t="s">
        <v>3180</v>
      </c>
      <c r="S2401" t="s">
        <v>338</v>
      </c>
      <c r="T2401" t="s">
        <v>339</v>
      </c>
    </row>
    <row r="2402" spans="1:20" x14ac:dyDescent="0.25">
      <c r="A2402" t="s">
        <v>59</v>
      </c>
      <c r="B2402" t="s">
        <v>31</v>
      </c>
      <c r="C2402" t="s">
        <v>32</v>
      </c>
      <c r="D2402" t="s">
        <v>336</v>
      </c>
      <c r="E2402" t="s">
        <v>3196</v>
      </c>
      <c r="F2402" t="s">
        <v>35</v>
      </c>
      <c r="G2402" t="s">
        <v>35</v>
      </c>
      <c r="H2402" t="s">
        <v>35</v>
      </c>
      <c r="J2402" t="s">
        <v>3198</v>
      </c>
      <c r="K2402" t="s">
        <v>1092</v>
      </c>
      <c r="M2402">
        <v>3.78</v>
      </c>
      <c r="N2402">
        <v>124</v>
      </c>
      <c r="O2402" t="s">
        <v>38</v>
      </c>
      <c r="Q2402" t="s">
        <v>646</v>
      </c>
      <c r="R2402" t="s">
        <v>3180</v>
      </c>
      <c r="S2402" t="s">
        <v>338</v>
      </c>
      <c r="T2402" t="s">
        <v>339</v>
      </c>
    </row>
    <row r="2403" spans="1:20" x14ac:dyDescent="0.25">
      <c r="A2403" t="s">
        <v>59</v>
      </c>
      <c r="B2403" t="s">
        <v>60</v>
      </c>
      <c r="C2403" t="s">
        <v>32</v>
      </c>
      <c r="D2403" t="s">
        <v>336</v>
      </c>
      <c r="E2403" t="s">
        <v>3178</v>
      </c>
      <c r="F2403" t="s">
        <v>35</v>
      </c>
      <c r="G2403" t="s">
        <v>35</v>
      </c>
      <c r="H2403" t="s">
        <v>35</v>
      </c>
      <c r="J2403" t="s">
        <v>3179</v>
      </c>
      <c r="K2403" t="s">
        <v>1092</v>
      </c>
      <c r="M2403">
        <v>7.85</v>
      </c>
      <c r="N2403">
        <v>124</v>
      </c>
      <c r="O2403" t="s">
        <v>38</v>
      </c>
      <c r="Q2403" t="s">
        <v>646</v>
      </c>
      <c r="R2403" t="s">
        <v>3180</v>
      </c>
      <c r="S2403" t="s">
        <v>338</v>
      </c>
      <c r="T2403" t="s">
        <v>339</v>
      </c>
    </row>
    <row r="2404" spans="1:20" x14ac:dyDescent="0.25">
      <c r="A2404" t="s">
        <v>30</v>
      </c>
      <c r="B2404" t="s">
        <v>31</v>
      </c>
      <c r="C2404" t="s">
        <v>32</v>
      </c>
      <c r="D2404" t="s">
        <v>336</v>
      </c>
      <c r="E2404" t="s">
        <v>3215</v>
      </c>
      <c r="F2404" t="s">
        <v>35</v>
      </c>
      <c r="G2404" t="s">
        <v>35</v>
      </c>
      <c r="H2404" t="s">
        <v>35</v>
      </c>
      <c r="J2404" t="s">
        <v>3217</v>
      </c>
      <c r="K2404" t="s">
        <v>1092</v>
      </c>
      <c r="M2404">
        <v>7.11</v>
      </c>
      <c r="N2404">
        <v>167</v>
      </c>
      <c r="O2404" t="s">
        <v>38</v>
      </c>
      <c r="Q2404" t="s">
        <v>1565</v>
      </c>
      <c r="R2404" t="s">
        <v>3180</v>
      </c>
      <c r="S2404" t="s">
        <v>338</v>
      </c>
      <c r="T2404" t="s">
        <v>339</v>
      </c>
    </row>
    <row r="2405" spans="1:20" x14ac:dyDescent="0.25">
      <c r="A2405" t="s">
        <v>59</v>
      </c>
      <c r="B2405" t="s">
        <v>31</v>
      </c>
      <c r="C2405" t="s">
        <v>32</v>
      </c>
      <c r="D2405" t="s">
        <v>336</v>
      </c>
      <c r="E2405" t="s">
        <v>3215</v>
      </c>
      <c r="F2405" t="s">
        <v>35</v>
      </c>
      <c r="G2405" t="s">
        <v>35</v>
      </c>
      <c r="H2405" t="s">
        <v>35</v>
      </c>
      <c r="J2405" t="s">
        <v>3219</v>
      </c>
      <c r="K2405" t="s">
        <v>1092</v>
      </c>
      <c r="M2405">
        <v>5.22</v>
      </c>
      <c r="N2405">
        <v>463</v>
      </c>
      <c r="O2405" t="s">
        <v>294</v>
      </c>
      <c r="Q2405" t="s">
        <v>1327</v>
      </c>
      <c r="R2405" t="s">
        <v>3180</v>
      </c>
      <c r="S2405" t="s">
        <v>338</v>
      </c>
      <c r="T2405" t="s">
        <v>339</v>
      </c>
    </row>
    <row r="2406" spans="1:20" x14ac:dyDescent="0.25">
      <c r="A2406" t="s">
        <v>30</v>
      </c>
      <c r="B2406" t="s">
        <v>31</v>
      </c>
      <c r="C2406" t="s">
        <v>32</v>
      </c>
      <c r="D2406" t="s">
        <v>336</v>
      </c>
      <c r="E2406" t="s">
        <v>3215</v>
      </c>
      <c r="F2406" t="s">
        <v>35</v>
      </c>
      <c r="G2406" t="s">
        <v>35</v>
      </c>
      <c r="H2406" t="s">
        <v>35</v>
      </c>
      <c r="J2406" t="s">
        <v>3219</v>
      </c>
      <c r="K2406" t="s">
        <v>1092</v>
      </c>
      <c r="M2406">
        <v>15.57</v>
      </c>
      <c r="N2406">
        <v>168</v>
      </c>
      <c r="O2406" t="s">
        <v>38</v>
      </c>
      <c r="Q2406" t="s">
        <v>1692</v>
      </c>
      <c r="R2406" t="s">
        <v>3180</v>
      </c>
      <c r="S2406" t="s">
        <v>338</v>
      </c>
      <c r="T2406" t="s">
        <v>339</v>
      </c>
    </row>
    <row r="2407" spans="1:20" x14ac:dyDescent="0.25">
      <c r="A2407" t="s">
        <v>59</v>
      </c>
      <c r="B2407" t="s">
        <v>31</v>
      </c>
      <c r="C2407" t="s">
        <v>32</v>
      </c>
      <c r="D2407" t="s">
        <v>336</v>
      </c>
      <c r="E2407" t="s">
        <v>3215</v>
      </c>
      <c r="F2407" t="s">
        <v>35</v>
      </c>
      <c r="G2407" t="s">
        <v>35</v>
      </c>
      <c r="H2407" t="s">
        <v>35</v>
      </c>
      <c r="J2407" t="s">
        <v>3219</v>
      </c>
      <c r="K2407" t="s">
        <v>1092</v>
      </c>
      <c r="M2407">
        <v>5.9850000000000003</v>
      </c>
      <c r="N2407">
        <v>258</v>
      </c>
      <c r="O2407" t="s">
        <v>5</v>
      </c>
      <c r="Q2407" t="s">
        <v>1754</v>
      </c>
      <c r="R2407" t="s">
        <v>3180</v>
      </c>
      <c r="S2407" t="s">
        <v>338</v>
      </c>
      <c r="T2407" t="s">
        <v>339</v>
      </c>
    </row>
    <row r="2408" spans="1:20" x14ac:dyDescent="0.25">
      <c r="A2408" t="s">
        <v>59</v>
      </c>
      <c r="B2408" t="s">
        <v>60</v>
      </c>
      <c r="C2408" t="s">
        <v>32</v>
      </c>
      <c r="D2408" t="s">
        <v>336</v>
      </c>
      <c r="E2408" t="s">
        <v>3209</v>
      </c>
      <c r="F2408" t="s">
        <v>35</v>
      </c>
      <c r="G2408" t="s">
        <v>35</v>
      </c>
      <c r="H2408" t="s">
        <v>35</v>
      </c>
      <c r="J2408" t="s">
        <v>3214</v>
      </c>
      <c r="K2408" t="s">
        <v>1092</v>
      </c>
      <c r="M2408">
        <v>2.2000000000000002</v>
      </c>
      <c r="N2408">
        <v>335</v>
      </c>
      <c r="O2408" t="s">
        <v>5</v>
      </c>
      <c r="Q2408" t="s">
        <v>3213</v>
      </c>
      <c r="R2408" t="s">
        <v>3180</v>
      </c>
      <c r="S2408" t="s">
        <v>338</v>
      </c>
      <c r="T2408" t="s">
        <v>339</v>
      </c>
    </row>
    <row r="2409" spans="1:20" x14ac:dyDescent="0.25">
      <c r="A2409" t="s">
        <v>59</v>
      </c>
      <c r="B2409" t="s">
        <v>60</v>
      </c>
      <c r="C2409" t="s">
        <v>32</v>
      </c>
      <c r="D2409" t="s">
        <v>336</v>
      </c>
      <c r="E2409" t="s">
        <v>337</v>
      </c>
      <c r="F2409" t="s">
        <v>35</v>
      </c>
      <c r="G2409" t="s">
        <v>35</v>
      </c>
      <c r="H2409" t="s">
        <v>35</v>
      </c>
      <c r="J2409" t="s">
        <v>3238</v>
      </c>
      <c r="K2409" t="s">
        <v>1092</v>
      </c>
      <c r="M2409">
        <v>6</v>
      </c>
      <c r="N2409">
        <v>108</v>
      </c>
      <c r="O2409" t="s">
        <v>106</v>
      </c>
      <c r="Q2409" t="s">
        <v>1195</v>
      </c>
      <c r="R2409" t="s">
        <v>3180</v>
      </c>
      <c r="S2409" t="s">
        <v>338</v>
      </c>
      <c r="T2409" t="s">
        <v>339</v>
      </c>
    </row>
    <row r="2410" spans="1:20" x14ac:dyDescent="0.25">
      <c r="A2410" t="s">
        <v>59</v>
      </c>
      <c r="B2410" t="s">
        <v>31</v>
      </c>
      <c r="C2410" t="s">
        <v>32</v>
      </c>
      <c r="D2410" t="s">
        <v>336</v>
      </c>
      <c r="E2410" t="s">
        <v>337</v>
      </c>
      <c r="F2410" t="s">
        <v>35</v>
      </c>
      <c r="G2410" t="s">
        <v>35</v>
      </c>
      <c r="H2410" t="s">
        <v>35</v>
      </c>
      <c r="J2410" t="s">
        <v>3238</v>
      </c>
      <c r="K2410" t="s">
        <v>1092</v>
      </c>
      <c r="M2410">
        <v>5.2649999999999997</v>
      </c>
      <c r="N2410">
        <v>108</v>
      </c>
      <c r="O2410" t="s">
        <v>106</v>
      </c>
      <c r="Q2410" t="s">
        <v>1195</v>
      </c>
      <c r="R2410" t="s">
        <v>3180</v>
      </c>
      <c r="S2410" t="s">
        <v>338</v>
      </c>
      <c r="T2410" t="s">
        <v>339</v>
      </c>
    </row>
    <row r="2411" spans="1:20" x14ac:dyDescent="0.25">
      <c r="A2411" t="s">
        <v>59</v>
      </c>
      <c r="B2411" t="s">
        <v>60</v>
      </c>
      <c r="C2411" t="s">
        <v>32</v>
      </c>
      <c r="D2411" t="s">
        <v>336</v>
      </c>
      <c r="E2411" t="s">
        <v>3209</v>
      </c>
      <c r="F2411" t="s">
        <v>35</v>
      </c>
      <c r="G2411" t="s">
        <v>35</v>
      </c>
      <c r="H2411" t="s">
        <v>35</v>
      </c>
      <c r="J2411" t="s">
        <v>3211</v>
      </c>
      <c r="K2411" t="s">
        <v>1092</v>
      </c>
      <c r="M2411">
        <v>0.4</v>
      </c>
      <c r="N2411">
        <v>124</v>
      </c>
      <c r="O2411" t="s">
        <v>38</v>
      </c>
      <c r="Q2411" t="s">
        <v>646</v>
      </c>
      <c r="R2411" t="s">
        <v>3180</v>
      </c>
      <c r="S2411" t="s">
        <v>338</v>
      </c>
      <c r="T2411" t="s">
        <v>339</v>
      </c>
    </row>
    <row r="2412" spans="1:20" x14ac:dyDescent="0.25">
      <c r="A2412" t="s">
        <v>59</v>
      </c>
      <c r="B2412" t="s">
        <v>60</v>
      </c>
      <c r="C2412" t="s">
        <v>32</v>
      </c>
      <c r="D2412" t="s">
        <v>336</v>
      </c>
      <c r="E2412" t="s">
        <v>3196</v>
      </c>
      <c r="F2412" t="s">
        <v>35</v>
      </c>
      <c r="G2412" t="s">
        <v>35</v>
      </c>
      <c r="H2412" t="s">
        <v>35</v>
      </c>
      <c r="J2412" t="s">
        <v>3199</v>
      </c>
      <c r="K2412" t="s">
        <v>1092</v>
      </c>
      <c r="M2412">
        <v>2.218</v>
      </c>
      <c r="N2412">
        <v>1274</v>
      </c>
      <c r="O2412" t="s">
        <v>575</v>
      </c>
      <c r="Q2412" t="s">
        <v>3200</v>
      </c>
      <c r="R2412" t="s">
        <v>3180</v>
      </c>
      <c r="S2412" t="s">
        <v>338</v>
      </c>
      <c r="T2412" t="s">
        <v>339</v>
      </c>
    </row>
    <row r="2413" spans="1:20" x14ac:dyDescent="0.25">
      <c r="A2413" t="s">
        <v>59</v>
      </c>
      <c r="B2413" t="s">
        <v>31</v>
      </c>
      <c r="C2413" t="s">
        <v>32</v>
      </c>
      <c r="D2413" t="s">
        <v>336</v>
      </c>
      <c r="E2413" t="s">
        <v>337</v>
      </c>
      <c r="F2413" t="s">
        <v>35</v>
      </c>
      <c r="G2413" t="s">
        <v>35</v>
      </c>
      <c r="H2413" t="s">
        <v>35</v>
      </c>
      <c r="J2413" t="s">
        <v>3243</v>
      </c>
      <c r="K2413" t="s">
        <v>1092</v>
      </c>
      <c r="M2413">
        <v>0.09</v>
      </c>
      <c r="N2413">
        <v>1626</v>
      </c>
      <c r="O2413" t="s">
        <v>575</v>
      </c>
      <c r="Q2413" t="s">
        <v>3248</v>
      </c>
      <c r="R2413" t="s">
        <v>3180</v>
      </c>
      <c r="S2413" t="s">
        <v>338</v>
      </c>
      <c r="T2413" t="s">
        <v>339</v>
      </c>
    </row>
    <row r="2414" spans="1:20" x14ac:dyDescent="0.25">
      <c r="A2414" t="s">
        <v>59</v>
      </c>
      <c r="B2414" t="s">
        <v>60</v>
      </c>
      <c r="C2414" t="s">
        <v>32</v>
      </c>
      <c r="D2414" t="s">
        <v>336</v>
      </c>
      <c r="E2414" t="s">
        <v>337</v>
      </c>
      <c r="F2414" t="s">
        <v>35</v>
      </c>
      <c r="G2414" t="s">
        <v>35</v>
      </c>
      <c r="H2414" t="s">
        <v>35</v>
      </c>
      <c r="J2414" t="s">
        <v>3242</v>
      </c>
      <c r="K2414" t="s">
        <v>1092</v>
      </c>
      <c r="M2414">
        <v>7.6</v>
      </c>
      <c r="N2414">
        <v>124</v>
      </c>
      <c r="O2414" t="s">
        <v>38</v>
      </c>
      <c r="Q2414" t="s">
        <v>646</v>
      </c>
      <c r="R2414" t="s">
        <v>3180</v>
      </c>
      <c r="S2414" t="s">
        <v>338</v>
      </c>
      <c r="T2414" t="s">
        <v>339</v>
      </c>
    </row>
    <row r="2415" spans="1:20" x14ac:dyDescent="0.25">
      <c r="A2415" t="s">
        <v>59</v>
      </c>
      <c r="B2415" t="s">
        <v>60</v>
      </c>
      <c r="C2415" t="s">
        <v>32</v>
      </c>
      <c r="D2415" t="s">
        <v>336</v>
      </c>
      <c r="E2415" t="s">
        <v>3209</v>
      </c>
      <c r="F2415" t="s">
        <v>35</v>
      </c>
      <c r="G2415" t="s">
        <v>35</v>
      </c>
      <c r="H2415" t="s">
        <v>35</v>
      </c>
      <c r="J2415" t="s">
        <v>3212</v>
      </c>
      <c r="K2415" t="s">
        <v>1092</v>
      </c>
      <c r="M2415">
        <v>0.5</v>
      </c>
      <c r="N2415">
        <v>335</v>
      </c>
      <c r="O2415" t="s">
        <v>5</v>
      </c>
      <c r="Q2415" t="s">
        <v>3213</v>
      </c>
      <c r="R2415" t="s">
        <v>3180</v>
      </c>
      <c r="S2415" t="s">
        <v>338</v>
      </c>
      <c r="T2415" t="s">
        <v>339</v>
      </c>
    </row>
    <row r="2416" spans="1:20" x14ac:dyDescent="0.25">
      <c r="A2416" t="s">
        <v>44</v>
      </c>
      <c r="B2416" t="s">
        <v>51</v>
      </c>
      <c r="C2416" t="s">
        <v>32</v>
      </c>
      <c r="D2416" t="s">
        <v>336</v>
      </c>
      <c r="E2416" t="s">
        <v>337</v>
      </c>
      <c r="F2416" t="s">
        <v>35</v>
      </c>
      <c r="G2416" t="s">
        <v>35</v>
      </c>
      <c r="H2416" t="s">
        <v>35</v>
      </c>
      <c r="J2416" t="s">
        <v>3249</v>
      </c>
      <c r="K2416" t="s">
        <v>1092</v>
      </c>
      <c r="M2416">
        <v>5.25</v>
      </c>
      <c r="N2416">
        <v>54</v>
      </c>
      <c r="O2416" t="s">
        <v>52</v>
      </c>
      <c r="Q2416" t="s">
        <v>671</v>
      </c>
      <c r="R2416" t="s">
        <v>3180</v>
      </c>
      <c r="S2416" t="s">
        <v>338</v>
      </c>
      <c r="T2416" t="s">
        <v>339</v>
      </c>
    </row>
    <row r="2417" spans="1:20" x14ac:dyDescent="0.25">
      <c r="A2417" t="s">
        <v>44</v>
      </c>
      <c r="B2417" t="s">
        <v>51</v>
      </c>
      <c r="C2417" t="s">
        <v>32</v>
      </c>
      <c r="D2417" t="s">
        <v>336</v>
      </c>
      <c r="E2417" t="s">
        <v>3188</v>
      </c>
      <c r="F2417" t="s">
        <v>35</v>
      </c>
      <c r="G2417" t="s">
        <v>35</v>
      </c>
      <c r="H2417" t="s">
        <v>35</v>
      </c>
      <c r="J2417" t="s">
        <v>3192</v>
      </c>
      <c r="K2417" t="s">
        <v>1092</v>
      </c>
      <c r="M2417">
        <v>6</v>
      </c>
      <c r="N2417">
        <v>54</v>
      </c>
      <c r="O2417" t="s">
        <v>52</v>
      </c>
      <c r="Q2417" t="s">
        <v>671</v>
      </c>
      <c r="R2417" t="s">
        <v>3180</v>
      </c>
      <c r="S2417" t="s">
        <v>338</v>
      </c>
      <c r="T2417" t="s">
        <v>339</v>
      </c>
    </row>
    <row r="2418" spans="1:20" x14ac:dyDescent="0.25">
      <c r="A2418" t="s">
        <v>30</v>
      </c>
      <c r="B2418" t="s">
        <v>31</v>
      </c>
      <c r="C2418" t="s">
        <v>32</v>
      </c>
      <c r="D2418" t="s">
        <v>336</v>
      </c>
      <c r="E2418" t="s">
        <v>3188</v>
      </c>
      <c r="F2418" t="s">
        <v>35</v>
      </c>
      <c r="G2418" t="s">
        <v>35</v>
      </c>
      <c r="H2418" t="s">
        <v>35</v>
      </c>
      <c r="J2418" t="s">
        <v>3192</v>
      </c>
      <c r="K2418" t="s">
        <v>1092</v>
      </c>
      <c r="M2418">
        <v>0.13500000000000001</v>
      </c>
      <c r="N2418">
        <v>67</v>
      </c>
      <c r="O2418" t="s">
        <v>61</v>
      </c>
      <c r="Q2418" t="s">
        <v>488</v>
      </c>
      <c r="R2418" t="s">
        <v>3180</v>
      </c>
      <c r="S2418" t="s">
        <v>338</v>
      </c>
      <c r="T2418" t="s">
        <v>339</v>
      </c>
    </row>
    <row r="2419" spans="1:20" x14ac:dyDescent="0.25">
      <c r="A2419" t="s">
        <v>59</v>
      </c>
      <c r="B2419" t="s">
        <v>60</v>
      </c>
      <c r="C2419" t="s">
        <v>32</v>
      </c>
      <c r="D2419" t="s">
        <v>336</v>
      </c>
      <c r="E2419" t="s">
        <v>3223</v>
      </c>
      <c r="F2419" t="s">
        <v>35</v>
      </c>
      <c r="G2419" t="s">
        <v>35</v>
      </c>
      <c r="H2419" t="s">
        <v>35</v>
      </c>
      <c r="J2419" t="s">
        <v>3234</v>
      </c>
      <c r="K2419" t="s">
        <v>1092</v>
      </c>
      <c r="M2419">
        <v>2.0499999999999998</v>
      </c>
      <c r="N2419">
        <v>257</v>
      </c>
      <c r="O2419" t="s">
        <v>5</v>
      </c>
      <c r="Q2419" t="s">
        <v>1721</v>
      </c>
      <c r="R2419" t="s">
        <v>3180</v>
      </c>
      <c r="S2419" t="s">
        <v>338</v>
      </c>
      <c r="T2419" t="s">
        <v>339</v>
      </c>
    </row>
    <row r="2420" spans="1:20" x14ac:dyDescent="0.25">
      <c r="A2420" t="s">
        <v>30</v>
      </c>
      <c r="B2420" t="s">
        <v>31</v>
      </c>
      <c r="C2420" t="s">
        <v>32</v>
      </c>
      <c r="D2420" t="s">
        <v>336</v>
      </c>
      <c r="E2420" t="s">
        <v>3223</v>
      </c>
      <c r="F2420" t="s">
        <v>35</v>
      </c>
      <c r="G2420" t="s">
        <v>35</v>
      </c>
      <c r="H2420" t="s">
        <v>35</v>
      </c>
      <c r="J2420" t="s">
        <v>3234</v>
      </c>
      <c r="K2420" t="s">
        <v>1092</v>
      </c>
      <c r="M2420">
        <v>1.08</v>
      </c>
      <c r="N2420">
        <v>168</v>
      </c>
      <c r="O2420" t="s">
        <v>38</v>
      </c>
      <c r="Q2420" t="s">
        <v>1692</v>
      </c>
      <c r="R2420" t="s">
        <v>3180</v>
      </c>
      <c r="S2420" t="s">
        <v>338</v>
      </c>
      <c r="T2420" t="s">
        <v>339</v>
      </c>
    </row>
    <row r="2421" spans="1:20" x14ac:dyDescent="0.25">
      <c r="A2421" t="s">
        <v>44</v>
      </c>
      <c r="B2421" t="s">
        <v>51</v>
      </c>
      <c r="C2421" t="s">
        <v>32</v>
      </c>
      <c r="D2421" t="s">
        <v>336</v>
      </c>
      <c r="E2421" t="s">
        <v>3223</v>
      </c>
      <c r="F2421" t="s">
        <v>35</v>
      </c>
      <c r="G2421" t="s">
        <v>35</v>
      </c>
      <c r="H2421" t="s">
        <v>35</v>
      </c>
      <c r="J2421" t="s">
        <v>3234</v>
      </c>
      <c r="K2421" t="s">
        <v>1092</v>
      </c>
      <c r="M2421">
        <v>2.7</v>
      </c>
      <c r="N2421">
        <v>241</v>
      </c>
      <c r="O2421" t="s">
        <v>5</v>
      </c>
      <c r="Q2421" t="s">
        <v>1154</v>
      </c>
      <c r="R2421" t="s">
        <v>3180</v>
      </c>
      <c r="S2421" t="s">
        <v>338</v>
      </c>
      <c r="T2421" t="s">
        <v>339</v>
      </c>
    </row>
    <row r="2422" spans="1:20" x14ac:dyDescent="0.25">
      <c r="A2422" t="s">
        <v>59</v>
      </c>
      <c r="B2422" t="s">
        <v>31</v>
      </c>
      <c r="C2422" t="s">
        <v>32</v>
      </c>
      <c r="D2422" t="s">
        <v>336</v>
      </c>
      <c r="E2422" t="s">
        <v>3223</v>
      </c>
      <c r="F2422" t="s">
        <v>35</v>
      </c>
      <c r="G2422" t="s">
        <v>35</v>
      </c>
      <c r="H2422" t="s">
        <v>35</v>
      </c>
      <c r="J2422" t="s">
        <v>3234</v>
      </c>
      <c r="K2422" t="s">
        <v>1092</v>
      </c>
      <c r="M2422">
        <v>2.5649999999999999</v>
      </c>
      <c r="N2422">
        <v>258</v>
      </c>
      <c r="O2422" t="s">
        <v>5</v>
      </c>
      <c r="Q2422" t="s">
        <v>1754</v>
      </c>
      <c r="R2422" t="s">
        <v>3180</v>
      </c>
      <c r="S2422" t="s">
        <v>338</v>
      </c>
      <c r="T2422" t="s">
        <v>339</v>
      </c>
    </row>
    <row r="2423" spans="1:20" x14ac:dyDescent="0.25">
      <c r="A2423" t="s">
        <v>30</v>
      </c>
      <c r="B2423" t="s">
        <v>31</v>
      </c>
      <c r="C2423" t="s">
        <v>32</v>
      </c>
      <c r="D2423" t="s">
        <v>336</v>
      </c>
      <c r="E2423" t="s">
        <v>3196</v>
      </c>
      <c r="F2423" t="s">
        <v>35</v>
      </c>
      <c r="G2423" t="s">
        <v>35</v>
      </c>
      <c r="H2423" t="s">
        <v>35</v>
      </c>
      <c r="J2423" t="s">
        <v>3208</v>
      </c>
      <c r="K2423" t="s">
        <v>1092</v>
      </c>
      <c r="M2423">
        <v>0.40500000000000003</v>
      </c>
      <c r="N2423">
        <v>168</v>
      </c>
      <c r="O2423" t="s">
        <v>38</v>
      </c>
      <c r="Q2423" t="s">
        <v>1692</v>
      </c>
      <c r="R2423" t="s">
        <v>3180</v>
      </c>
      <c r="S2423" t="s">
        <v>338</v>
      </c>
      <c r="T2423" t="s">
        <v>339</v>
      </c>
    </row>
    <row r="2424" spans="1:20" x14ac:dyDescent="0.25">
      <c r="A2424" t="s">
        <v>59</v>
      </c>
      <c r="B2424" t="s">
        <v>31</v>
      </c>
      <c r="C2424" t="s">
        <v>32</v>
      </c>
      <c r="D2424" t="s">
        <v>336</v>
      </c>
      <c r="E2424" t="s">
        <v>3196</v>
      </c>
      <c r="F2424" t="s">
        <v>35</v>
      </c>
      <c r="G2424" t="s">
        <v>35</v>
      </c>
      <c r="H2424" t="s">
        <v>35</v>
      </c>
      <c r="J2424" t="s">
        <v>3208</v>
      </c>
      <c r="K2424" t="s">
        <v>1092</v>
      </c>
      <c r="M2424">
        <v>6.2549999999999999</v>
      </c>
      <c r="N2424">
        <v>124</v>
      </c>
      <c r="O2424" t="s">
        <v>38</v>
      </c>
      <c r="Q2424" t="s">
        <v>646</v>
      </c>
      <c r="R2424" t="s">
        <v>3180</v>
      </c>
      <c r="S2424" t="s">
        <v>338</v>
      </c>
      <c r="T2424" t="s">
        <v>339</v>
      </c>
    </row>
    <row r="2425" spans="1:20" x14ac:dyDescent="0.25">
      <c r="A2425" t="s">
        <v>59</v>
      </c>
      <c r="B2425" t="s">
        <v>31</v>
      </c>
      <c r="C2425" t="s">
        <v>32</v>
      </c>
      <c r="D2425" t="s">
        <v>336</v>
      </c>
      <c r="E2425" t="s">
        <v>3196</v>
      </c>
      <c r="F2425" t="s">
        <v>35</v>
      </c>
      <c r="G2425" t="s">
        <v>35</v>
      </c>
      <c r="H2425" t="s">
        <v>35</v>
      </c>
      <c r="J2425" t="s">
        <v>3205</v>
      </c>
      <c r="K2425" t="s">
        <v>1092</v>
      </c>
      <c r="M2425">
        <v>0.18</v>
      </c>
      <c r="N2425">
        <v>258</v>
      </c>
      <c r="O2425" t="s">
        <v>5</v>
      </c>
      <c r="Q2425" t="s">
        <v>1754</v>
      </c>
      <c r="R2425" t="s">
        <v>3180</v>
      </c>
      <c r="S2425" t="s">
        <v>338</v>
      </c>
      <c r="T2425" t="s">
        <v>339</v>
      </c>
    </row>
    <row r="2426" spans="1:20" x14ac:dyDescent="0.25">
      <c r="A2426" t="s">
        <v>30</v>
      </c>
      <c r="B2426" t="s">
        <v>31</v>
      </c>
      <c r="C2426" t="s">
        <v>32</v>
      </c>
      <c r="D2426" t="s">
        <v>336</v>
      </c>
      <c r="E2426" t="s">
        <v>3223</v>
      </c>
      <c r="F2426" t="s">
        <v>35</v>
      </c>
      <c r="G2426" t="s">
        <v>35</v>
      </c>
      <c r="H2426" t="s">
        <v>35</v>
      </c>
      <c r="J2426" t="s">
        <v>3227</v>
      </c>
      <c r="K2426" t="s">
        <v>1092</v>
      </c>
      <c r="M2426">
        <v>4.8150000000000004</v>
      </c>
      <c r="N2426">
        <v>168</v>
      </c>
      <c r="O2426" t="s">
        <v>38</v>
      </c>
      <c r="Q2426" t="s">
        <v>1692</v>
      </c>
      <c r="R2426" t="s">
        <v>3180</v>
      </c>
      <c r="S2426" t="s">
        <v>338</v>
      </c>
      <c r="T2426" t="s">
        <v>339</v>
      </c>
    </row>
    <row r="2427" spans="1:20" x14ac:dyDescent="0.25">
      <c r="A2427" t="s">
        <v>30</v>
      </c>
      <c r="B2427" t="s">
        <v>31</v>
      </c>
      <c r="C2427" t="s">
        <v>32</v>
      </c>
      <c r="D2427" t="s">
        <v>336</v>
      </c>
      <c r="F2427" t="s">
        <v>35</v>
      </c>
      <c r="G2427" t="s">
        <v>35</v>
      </c>
      <c r="H2427" t="s">
        <v>35</v>
      </c>
      <c r="J2427" t="s">
        <v>3254</v>
      </c>
      <c r="K2427" t="s">
        <v>1092</v>
      </c>
      <c r="M2427">
        <v>0.85499999999999998</v>
      </c>
      <c r="N2427">
        <v>67</v>
      </c>
      <c r="O2427" t="s">
        <v>61</v>
      </c>
      <c r="Q2427" t="s">
        <v>488</v>
      </c>
      <c r="R2427" t="s">
        <v>3180</v>
      </c>
      <c r="S2427" t="s">
        <v>338</v>
      </c>
      <c r="T2427" t="s">
        <v>339</v>
      </c>
    </row>
    <row r="2428" spans="1:20" x14ac:dyDescent="0.25">
      <c r="A2428" t="s">
        <v>59</v>
      </c>
      <c r="B2428" t="s">
        <v>31</v>
      </c>
      <c r="C2428" t="s">
        <v>32</v>
      </c>
      <c r="D2428" t="s">
        <v>336</v>
      </c>
      <c r="E2428" t="s">
        <v>3186</v>
      </c>
      <c r="F2428" t="s">
        <v>35</v>
      </c>
      <c r="G2428" t="s">
        <v>35</v>
      </c>
      <c r="H2428" t="s">
        <v>35</v>
      </c>
      <c r="J2428" t="s">
        <v>3187</v>
      </c>
      <c r="K2428" t="s">
        <v>1092</v>
      </c>
      <c r="M2428">
        <v>0.09</v>
      </c>
      <c r="N2428">
        <v>258</v>
      </c>
      <c r="O2428" t="s">
        <v>5</v>
      </c>
      <c r="Q2428" t="s">
        <v>1754</v>
      </c>
      <c r="R2428" t="s">
        <v>3180</v>
      </c>
      <c r="S2428" t="s">
        <v>338</v>
      </c>
      <c r="T2428" t="s">
        <v>339</v>
      </c>
    </row>
    <row r="2429" spans="1:20" x14ac:dyDescent="0.25">
      <c r="A2429" t="s">
        <v>59</v>
      </c>
      <c r="B2429" t="s">
        <v>60</v>
      </c>
      <c r="C2429" t="s">
        <v>32</v>
      </c>
      <c r="D2429" t="s">
        <v>336</v>
      </c>
      <c r="E2429" t="s">
        <v>3215</v>
      </c>
      <c r="F2429" t="s">
        <v>35</v>
      </c>
      <c r="G2429" t="s">
        <v>35</v>
      </c>
      <c r="H2429" t="s">
        <v>35</v>
      </c>
      <c r="J2429" t="s">
        <v>3216</v>
      </c>
      <c r="K2429" t="s">
        <v>1092</v>
      </c>
      <c r="M2429">
        <v>1.95</v>
      </c>
      <c r="N2429">
        <v>124</v>
      </c>
      <c r="O2429" t="s">
        <v>38</v>
      </c>
      <c r="Q2429" t="s">
        <v>646</v>
      </c>
      <c r="R2429" t="s">
        <v>3180</v>
      </c>
      <c r="S2429" t="s">
        <v>338</v>
      </c>
      <c r="T2429" t="s">
        <v>339</v>
      </c>
    </row>
    <row r="2430" spans="1:20" x14ac:dyDescent="0.25">
      <c r="A2430" t="s">
        <v>30</v>
      </c>
      <c r="B2430" t="s">
        <v>31</v>
      </c>
      <c r="C2430" t="s">
        <v>32</v>
      </c>
      <c r="D2430" t="s">
        <v>336</v>
      </c>
      <c r="E2430" t="s">
        <v>3193</v>
      </c>
      <c r="F2430" t="s">
        <v>35</v>
      </c>
      <c r="G2430" t="s">
        <v>35</v>
      </c>
      <c r="H2430" t="s">
        <v>35</v>
      </c>
      <c r="J2430" t="s">
        <v>3194</v>
      </c>
      <c r="K2430" t="s">
        <v>1092</v>
      </c>
      <c r="M2430">
        <v>5.49</v>
      </c>
      <c r="N2430">
        <v>476</v>
      </c>
      <c r="O2430" t="s">
        <v>294</v>
      </c>
      <c r="Q2430" t="s">
        <v>3195</v>
      </c>
      <c r="R2430" t="s">
        <v>3180</v>
      </c>
      <c r="S2430" t="s">
        <v>338</v>
      </c>
      <c r="T2430" t="s">
        <v>339</v>
      </c>
    </row>
    <row r="2431" spans="1:20" x14ac:dyDescent="0.25">
      <c r="A2431" t="s">
        <v>59</v>
      </c>
      <c r="B2431" t="s">
        <v>31</v>
      </c>
      <c r="C2431" t="s">
        <v>32</v>
      </c>
      <c r="D2431" t="s">
        <v>336</v>
      </c>
      <c r="E2431" t="s">
        <v>3193</v>
      </c>
      <c r="F2431" t="s">
        <v>35</v>
      </c>
      <c r="G2431" t="s">
        <v>35</v>
      </c>
      <c r="H2431" t="s">
        <v>35</v>
      </c>
      <c r="J2431" t="s">
        <v>3194</v>
      </c>
      <c r="K2431" t="s">
        <v>1092</v>
      </c>
      <c r="M2431">
        <v>3.645</v>
      </c>
      <c r="N2431">
        <v>463</v>
      </c>
      <c r="O2431" t="s">
        <v>294</v>
      </c>
      <c r="Q2431" t="s">
        <v>1327</v>
      </c>
      <c r="R2431" t="s">
        <v>3180</v>
      </c>
      <c r="S2431" t="s">
        <v>338</v>
      </c>
      <c r="T2431" t="s">
        <v>339</v>
      </c>
    </row>
    <row r="2432" spans="1:20" x14ac:dyDescent="0.25">
      <c r="A2432" t="s">
        <v>30</v>
      </c>
      <c r="B2432" t="s">
        <v>31</v>
      </c>
      <c r="C2432" t="s">
        <v>32</v>
      </c>
      <c r="D2432" t="s">
        <v>336</v>
      </c>
      <c r="E2432" t="s">
        <v>3223</v>
      </c>
      <c r="F2432" t="s">
        <v>35</v>
      </c>
      <c r="G2432" t="s">
        <v>35</v>
      </c>
      <c r="H2432" t="s">
        <v>35</v>
      </c>
      <c r="J2432" t="s">
        <v>3226</v>
      </c>
      <c r="K2432" t="s">
        <v>1092</v>
      </c>
      <c r="M2432">
        <v>18.465</v>
      </c>
      <c r="N2432">
        <v>168</v>
      </c>
      <c r="O2432" t="s">
        <v>38</v>
      </c>
      <c r="Q2432" t="s">
        <v>1692</v>
      </c>
      <c r="R2432" t="s">
        <v>3180</v>
      </c>
      <c r="S2432" t="s">
        <v>338</v>
      </c>
      <c r="T2432" t="s">
        <v>339</v>
      </c>
    </row>
    <row r="2433" spans="1:20" x14ac:dyDescent="0.25">
      <c r="A2433" t="s">
        <v>59</v>
      </c>
      <c r="B2433" t="s">
        <v>31</v>
      </c>
      <c r="C2433" t="s">
        <v>32</v>
      </c>
      <c r="D2433" t="s">
        <v>336</v>
      </c>
      <c r="E2433" t="s">
        <v>3223</v>
      </c>
      <c r="F2433" t="s">
        <v>35</v>
      </c>
      <c r="G2433" t="s">
        <v>35</v>
      </c>
      <c r="H2433" t="s">
        <v>35</v>
      </c>
      <c r="J2433" t="s">
        <v>3226</v>
      </c>
      <c r="K2433" t="s">
        <v>1092</v>
      </c>
      <c r="M2433">
        <v>9.1920000000000002</v>
      </c>
      <c r="N2433">
        <v>258</v>
      </c>
      <c r="O2433" t="s">
        <v>5</v>
      </c>
      <c r="Q2433" t="s">
        <v>1754</v>
      </c>
      <c r="R2433" t="s">
        <v>3180</v>
      </c>
      <c r="S2433" t="s">
        <v>338</v>
      </c>
      <c r="T2433" t="s">
        <v>339</v>
      </c>
    </row>
    <row r="2434" spans="1:20" x14ac:dyDescent="0.25">
      <c r="A2434" t="s">
        <v>59</v>
      </c>
      <c r="B2434" t="s">
        <v>31</v>
      </c>
      <c r="C2434" t="s">
        <v>32</v>
      </c>
      <c r="D2434" t="s">
        <v>336</v>
      </c>
      <c r="E2434" t="s">
        <v>3223</v>
      </c>
      <c r="F2434" t="s">
        <v>35</v>
      </c>
      <c r="G2434" t="s">
        <v>35</v>
      </c>
      <c r="H2434" t="s">
        <v>35</v>
      </c>
      <c r="J2434" t="s">
        <v>3226</v>
      </c>
      <c r="K2434" t="s">
        <v>1092</v>
      </c>
      <c r="M2434">
        <v>5.9850000000000003</v>
      </c>
      <c r="N2434">
        <v>210</v>
      </c>
      <c r="O2434" t="s">
        <v>5</v>
      </c>
      <c r="Q2434" t="s">
        <v>1159</v>
      </c>
      <c r="R2434" t="s">
        <v>3180</v>
      </c>
      <c r="S2434" t="s">
        <v>338</v>
      </c>
      <c r="T2434" t="s">
        <v>339</v>
      </c>
    </row>
    <row r="2435" spans="1:20" x14ac:dyDescent="0.25">
      <c r="A2435" t="s">
        <v>59</v>
      </c>
      <c r="B2435" t="s">
        <v>60</v>
      </c>
      <c r="C2435" t="s">
        <v>32</v>
      </c>
      <c r="D2435" t="s">
        <v>336</v>
      </c>
      <c r="E2435" t="s">
        <v>337</v>
      </c>
      <c r="F2435" t="s">
        <v>35</v>
      </c>
      <c r="G2435" t="s">
        <v>35</v>
      </c>
      <c r="H2435" t="s">
        <v>35</v>
      </c>
      <c r="J2435" t="s">
        <v>3251</v>
      </c>
      <c r="K2435" t="s">
        <v>1092</v>
      </c>
      <c r="M2435">
        <v>0.8</v>
      </c>
      <c r="N2435">
        <v>257</v>
      </c>
      <c r="O2435" t="s">
        <v>5</v>
      </c>
      <c r="Q2435" t="s">
        <v>1721</v>
      </c>
      <c r="R2435" t="s">
        <v>3180</v>
      </c>
      <c r="S2435" t="s">
        <v>338</v>
      </c>
      <c r="T2435" t="s">
        <v>339</v>
      </c>
    </row>
    <row r="2436" spans="1:20" x14ac:dyDescent="0.25">
      <c r="A2436" t="s">
        <v>59</v>
      </c>
      <c r="B2436" t="s">
        <v>31</v>
      </c>
      <c r="C2436" t="s">
        <v>32</v>
      </c>
      <c r="D2436" t="s">
        <v>336</v>
      </c>
      <c r="E2436" t="s">
        <v>337</v>
      </c>
      <c r="F2436" t="s">
        <v>35</v>
      </c>
      <c r="G2436" t="s">
        <v>35</v>
      </c>
      <c r="H2436" t="s">
        <v>35</v>
      </c>
      <c r="J2436" t="s">
        <v>3240</v>
      </c>
      <c r="K2436" t="s">
        <v>1092</v>
      </c>
      <c r="M2436">
        <v>3.2</v>
      </c>
      <c r="N2436">
        <v>258</v>
      </c>
      <c r="O2436" t="s">
        <v>5</v>
      </c>
      <c r="Q2436" t="s">
        <v>1754</v>
      </c>
      <c r="R2436" t="s">
        <v>3180</v>
      </c>
      <c r="S2436" t="s">
        <v>338</v>
      </c>
      <c r="T2436" t="s">
        <v>339</v>
      </c>
    </row>
    <row r="2437" spans="1:20" x14ac:dyDescent="0.25">
      <c r="A2437" t="s">
        <v>59</v>
      </c>
      <c r="B2437" t="s">
        <v>31</v>
      </c>
      <c r="C2437" t="s">
        <v>32</v>
      </c>
      <c r="D2437" t="s">
        <v>336</v>
      </c>
      <c r="E2437" t="s">
        <v>3223</v>
      </c>
      <c r="F2437" t="s">
        <v>35</v>
      </c>
      <c r="G2437" t="s">
        <v>35</v>
      </c>
      <c r="H2437" t="s">
        <v>35</v>
      </c>
      <c r="J2437" t="s">
        <v>3230</v>
      </c>
      <c r="K2437" t="s">
        <v>1092</v>
      </c>
      <c r="M2437">
        <v>5.9850000000000003</v>
      </c>
      <c r="N2437">
        <v>124</v>
      </c>
      <c r="O2437" t="s">
        <v>38</v>
      </c>
      <c r="Q2437" t="s">
        <v>646</v>
      </c>
      <c r="R2437" t="s">
        <v>3180</v>
      </c>
      <c r="S2437" t="s">
        <v>338</v>
      </c>
      <c r="T2437" t="s">
        <v>339</v>
      </c>
    </row>
    <row r="2438" spans="1:20" x14ac:dyDescent="0.25">
      <c r="A2438" t="s">
        <v>59</v>
      </c>
      <c r="B2438" t="s">
        <v>60</v>
      </c>
      <c r="C2438" t="s">
        <v>32</v>
      </c>
      <c r="D2438" t="s">
        <v>336</v>
      </c>
      <c r="E2438" t="s">
        <v>3223</v>
      </c>
      <c r="F2438" t="s">
        <v>35</v>
      </c>
      <c r="G2438" t="s">
        <v>35</v>
      </c>
      <c r="H2438" t="s">
        <v>35</v>
      </c>
      <c r="J2438" t="s">
        <v>3230</v>
      </c>
      <c r="K2438" t="s">
        <v>1092</v>
      </c>
      <c r="M2438">
        <v>4.25</v>
      </c>
      <c r="N2438">
        <v>124</v>
      </c>
      <c r="O2438" t="s">
        <v>38</v>
      </c>
      <c r="Q2438" t="s">
        <v>646</v>
      </c>
      <c r="R2438" t="s">
        <v>3180</v>
      </c>
      <c r="S2438" t="s">
        <v>338</v>
      </c>
      <c r="T2438" t="s">
        <v>339</v>
      </c>
    </row>
    <row r="2439" spans="1:20" x14ac:dyDescent="0.25">
      <c r="A2439" t="s">
        <v>30</v>
      </c>
      <c r="B2439" t="s">
        <v>31</v>
      </c>
      <c r="C2439" t="s">
        <v>32</v>
      </c>
      <c r="D2439" t="s">
        <v>336</v>
      </c>
      <c r="E2439" t="s">
        <v>3223</v>
      </c>
      <c r="F2439" t="s">
        <v>35</v>
      </c>
      <c r="G2439" t="s">
        <v>35</v>
      </c>
      <c r="H2439" t="s">
        <v>35</v>
      </c>
      <c r="J2439" t="s">
        <v>3230</v>
      </c>
      <c r="K2439" t="s">
        <v>1092</v>
      </c>
      <c r="M2439">
        <v>0.04</v>
      </c>
      <c r="N2439">
        <v>168</v>
      </c>
      <c r="O2439" t="s">
        <v>38</v>
      </c>
      <c r="Q2439" t="s">
        <v>1692</v>
      </c>
      <c r="R2439" t="s">
        <v>3180</v>
      </c>
      <c r="S2439" t="s">
        <v>338</v>
      </c>
      <c r="T2439" t="s">
        <v>339</v>
      </c>
    </row>
    <row r="2440" spans="1:20" x14ac:dyDescent="0.25">
      <c r="A2440" t="s">
        <v>44</v>
      </c>
      <c r="B2440" t="s">
        <v>51</v>
      </c>
      <c r="C2440" t="s">
        <v>32</v>
      </c>
      <c r="D2440" t="s">
        <v>336</v>
      </c>
      <c r="E2440" t="s">
        <v>3223</v>
      </c>
      <c r="F2440" t="s">
        <v>35</v>
      </c>
      <c r="G2440" t="s">
        <v>35</v>
      </c>
      <c r="H2440" t="s">
        <v>35</v>
      </c>
      <c r="J2440" t="s">
        <v>3230</v>
      </c>
      <c r="K2440" t="s">
        <v>1092</v>
      </c>
      <c r="M2440">
        <v>6</v>
      </c>
      <c r="N2440">
        <v>54</v>
      </c>
      <c r="O2440" t="s">
        <v>52</v>
      </c>
      <c r="Q2440" t="s">
        <v>671</v>
      </c>
      <c r="R2440" t="s">
        <v>3180</v>
      </c>
      <c r="S2440" t="s">
        <v>338</v>
      </c>
      <c r="T2440" t="s">
        <v>339</v>
      </c>
    </row>
    <row r="2441" spans="1:20" x14ac:dyDescent="0.25">
      <c r="A2441" t="s">
        <v>59</v>
      </c>
      <c r="B2441" t="s">
        <v>31</v>
      </c>
      <c r="C2441" t="s">
        <v>32</v>
      </c>
      <c r="D2441" t="s">
        <v>336</v>
      </c>
      <c r="E2441" t="s">
        <v>3223</v>
      </c>
      <c r="F2441" t="s">
        <v>35</v>
      </c>
      <c r="G2441" t="s">
        <v>35</v>
      </c>
      <c r="H2441" t="s">
        <v>35</v>
      </c>
      <c r="J2441" t="s">
        <v>3230</v>
      </c>
      <c r="K2441" t="s">
        <v>1092</v>
      </c>
      <c r="M2441">
        <v>3.915</v>
      </c>
      <c r="N2441">
        <v>562</v>
      </c>
      <c r="O2441" t="s">
        <v>575</v>
      </c>
      <c r="Q2441" t="s">
        <v>1401</v>
      </c>
      <c r="R2441" t="s">
        <v>3180</v>
      </c>
      <c r="S2441" t="s">
        <v>338</v>
      </c>
      <c r="T2441" t="s">
        <v>339</v>
      </c>
    </row>
    <row r="2442" spans="1:20" x14ac:dyDescent="0.25">
      <c r="A2442" t="s">
        <v>30</v>
      </c>
      <c r="B2442" t="s">
        <v>31</v>
      </c>
      <c r="C2442" t="s">
        <v>32</v>
      </c>
      <c r="D2442" t="s">
        <v>336</v>
      </c>
      <c r="E2442" t="s">
        <v>3196</v>
      </c>
      <c r="F2442" t="s">
        <v>35</v>
      </c>
      <c r="G2442" t="s">
        <v>35</v>
      </c>
      <c r="H2442" t="s">
        <v>35</v>
      </c>
      <c r="J2442" t="s">
        <v>2791</v>
      </c>
      <c r="K2442" t="s">
        <v>1092</v>
      </c>
      <c r="M2442">
        <v>13.5</v>
      </c>
      <c r="N2442">
        <v>168</v>
      </c>
      <c r="O2442" t="s">
        <v>38</v>
      </c>
      <c r="Q2442" t="s">
        <v>1692</v>
      </c>
      <c r="R2442" t="s">
        <v>3180</v>
      </c>
      <c r="S2442" t="s">
        <v>338</v>
      </c>
      <c r="T2442" t="s">
        <v>339</v>
      </c>
    </row>
    <row r="2443" spans="1:20" x14ac:dyDescent="0.25">
      <c r="A2443" t="s">
        <v>59</v>
      </c>
      <c r="B2443" t="s">
        <v>60</v>
      </c>
      <c r="C2443" t="s">
        <v>32</v>
      </c>
      <c r="D2443" t="s">
        <v>336</v>
      </c>
      <c r="E2443" t="s">
        <v>3196</v>
      </c>
      <c r="F2443" t="s">
        <v>35</v>
      </c>
      <c r="G2443" t="s">
        <v>35</v>
      </c>
      <c r="H2443" t="s">
        <v>35</v>
      </c>
      <c r="J2443" t="s">
        <v>2791</v>
      </c>
      <c r="K2443" t="s">
        <v>1092</v>
      </c>
      <c r="M2443">
        <v>4.1500000000000004</v>
      </c>
      <c r="N2443">
        <v>124</v>
      </c>
      <c r="O2443" t="s">
        <v>38</v>
      </c>
      <c r="Q2443" t="s">
        <v>646</v>
      </c>
      <c r="R2443" t="s">
        <v>3180</v>
      </c>
      <c r="S2443" t="s">
        <v>338</v>
      </c>
      <c r="T2443" t="s">
        <v>339</v>
      </c>
    </row>
    <row r="2444" spans="1:20" x14ac:dyDescent="0.25">
      <c r="A2444" t="s">
        <v>59</v>
      </c>
      <c r="B2444" t="s">
        <v>31</v>
      </c>
      <c r="C2444" t="s">
        <v>32</v>
      </c>
      <c r="D2444" t="s">
        <v>336</v>
      </c>
      <c r="E2444" t="s">
        <v>3196</v>
      </c>
      <c r="F2444" t="s">
        <v>35</v>
      </c>
      <c r="G2444" t="s">
        <v>35</v>
      </c>
      <c r="H2444" t="s">
        <v>35</v>
      </c>
      <c r="J2444" t="s">
        <v>2791</v>
      </c>
      <c r="K2444" t="s">
        <v>1092</v>
      </c>
      <c r="M2444">
        <v>6.4349999999999996</v>
      </c>
      <c r="N2444">
        <v>124</v>
      </c>
      <c r="O2444" t="s">
        <v>38</v>
      </c>
      <c r="Q2444" t="s">
        <v>646</v>
      </c>
      <c r="R2444" t="s">
        <v>3180</v>
      </c>
      <c r="S2444" t="s">
        <v>338</v>
      </c>
      <c r="T2444" t="s">
        <v>339</v>
      </c>
    </row>
    <row r="2445" spans="1:20" x14ac:dyDescent="0.25">
      <c r="A2445" t="s">
        <v>30</v>
      </c>
      <c r="B2445" t="s">
        <v>31</v>
      </c>
      <c r="C2445" t="s">
        <v>32</v>
      </c>
      <c r="D2445" t="s">
        <v>336</v>
      </c>
      <c r="E2445" t="s">
        <v>3196</v>
      </c>
      <c r="F2445" t="s">
        <v>35</v>
      </c>
      <c r="G2445" t="s">
        <v>35</v>
      </c>
      <c r="H2445" t="s">
        <v>35</v>
      </c>
      <c r="J2445" t="s">
        <v>2791</v>
      </c>
      <c r="K2445" t="s">
        <v>1092</v>
      </c>
      <c r="M2445">
        <v>3.69</v>
      </c>
      <c r="N2445">
        <v>248</v>
      </c>
      <c r="O2445" t="s">
        <v>5</v>
      </c>
      <c r="Q2445" t="s">
        <v>1747</v>
      </c>
      <c r="R2445" t="s">
        <v>3180</v>
      </c>
      <c r="S2445" t="s">
        <v>338</v>
      </c>
      <c r="T2445" t="s">
        <v>339</v>
      </c>
    </row>
    <row r="2446" spans="1:20" x14ac:dyDescent="0.25">
      <c r="A2446" t="s">
        <v>59</v>
      </c>
      <c r="B2446" t="s">
        <v>60</v>
      </c>
      <c r="C2446" t="s">
        <v>32</v>
      </c>
      <c r="D2446" t="s">
        <v>336</v>
      </c>
      <c r="E2446" t="s">
        <v>3196</v>
      </c>
      <c r="F2446" t="s">
        <v>35</v>
      </c>
      <c r="G2446" t="s">
        <v>35</v>
      </c>
      <c r="H2446" t="s">
        <v>35</v>
      </c>
      <c r="J2446" t="s">
        <v>3204</v>
      </c>
      <c r="K2446" t="s">
        <v>1092</v>
      </c>
      <c r="M2446">
        <v>0.75</v>
      </c>
      <c r="N2446">
        <v>258</v>
      </c>
      <c r="O2446" t="s">
        <v>5</v>
      </c>
      <c r="Q2446" t="s">
        <v>1754</v>
      </c>
      <c r="R2446" t="s">
        <v>3180</v>
      </c>
      <c r="S2446" t="s">
        <v>338</v>
      </c>
      <c r="T2446" t="s">
        <v>339</v>
      </c>
    </row>
    <row r="2447" spans="1:20" x14ac:dyDescent="0.25">
      <c r="A2447" t="s">
        <v>30</v>
      </c>
      <c r="B2447" t="s">
        <v>31</v>
      </c>
      <c r="C2447" t="s">
        <v>32</v>
      </c>
      <c r="D2447" t="s">
        <v>336</v>
      </c>
      <c r="E2447" t="s">
        <v>3196</v>
      </c>
      <c r="F2447" t="s">
        <v>35</v>
      </c>
      <c r="G2447" t="s">
        <v>35</v>
      </c>
      <c r="H2447" t="s">
        <v>35</v>
      </c>
      <c r="J2447" t="s">
        <v>3204</v>
      </c>
      <c r="K2447" t="s">
        <v>1092</v>
      </c>
      <c r="M2447">
        <v>3.1949999999999998</v>
      </c>
      <c r="N2447">
        <v>248</v>
      </c>
      <c r="O2447" t="s">
        <v>5</v>
      </c>
      <c r="Q2447" t="s">
        <v>1747</v>
      </c>
      <c r="R2447" t="s">
        <v>3180</v>
      </c>
      <c r="S2447" t="s">
        <v>338</v>
      </c>
      <c r="T2447" t="s">
        <v>339</v>
      </c>
    </row>
    <row r="2448" spans="1:20" x14ac:dyDescent="0.25">
      <c r="A2448" t="s">
        <v>30</v>
      </c>
      <c r="B2448" t="s">
        <v>31</v>
      </c>
      <c r="C2448" t="s">
        <v>32</v>
      </c>
      <c r="D2448" t="s">
        <v>336</v>
      </c>
      <c r="E2448" t="s">
        <v>3196</v>
      </c>
      <c r="F2448" t="s">
        <v>35</v>
      </c>
      <c r="G2448" t="s">
        <v>35</v>
      </c>
      <c r="H2448" t="s">
        <v>35</v>
      </c>
      <c r="J2448" t="s">
        <v>3202</v>
      </c>
      <c r="K2448" t="s">
        <v>1092</v>
      </c>
      <c r="M2448">
        <v>0.60299999999999998</v>
      </c>
      <c r="N2448">
        <v>248</v>
      </c>
      <c r="O2448" t="s">
        <v>5</v>
      </c>
      <c r="Q2448" t="s">
        <v>1747</v>
      </c>
      <c r="R2448" t="s">
        <v>3180</v>
      </c>
      <c r="S2448" t="s">
        <v>338</v>
      </c>
      <c r="T2448" t="s">
        <v>339</v>
      </c>
    </row>
    <row r="2449" spans="1:20" x14ac:dyDescent="0.25">
      <c r="A2449" t="s">
        <v>59</v>
      </c>
      <c r="B2449" t="s">
        <v>60</v>
      </c>
      <c r="C2449" t="s">
        <v>32</v>
      </c>
      <c r="D2449" t="s">
        <v>336</v>
      </c>
      <c r="E2449" t="s">
        <v>3223</v>
      </c>
      <c r="F2449" t="s">
        <v>35</v>
      </c>
      <c r="G2449" t="s">
        <v>35</v>
      </c>
      <c r="H2449" t="s">
        <v>35</v>
      </c>
      <c r="J2449" t="s">
        <v>3224</v>
      </c>
      <c r="K2449" t="s">
        <v>1092</v>
      </c>
      <c r="M2449">
        <v>3</v>
      </c>
      <c r="N2449">
        <v>124</v>
      </c>
      <c r="O2449" t="s">
        <v>38</v>
      </c>
      <c r="Q2449" t="s">
        <v>646</v>
      </c>
      <c r="R2449" t="s">
        <v>3180</v>
      </c>
      <c r="S2449" t="s">
        <v>338</v>
      </c>
      <c r="T2449" t="s">
        <v>339</v>
      </c>
    </row>
    <row r="2450" spans="1:20" x14ac:dyDescent="0.25">
      <c r="A2450" t="s">
        <v>30</v>
      </c>
      <c r="B2450" t="s">
        <v>31</v>
      </c>
      <c r="C2450" t="s">
        <v>32</v>
      </c>
      <c r="D2450" t="s">
        <v>336</v>
      </c>
      <c r="E2450" t="s">
        <v>3223</v>
      </c>
      <c r="F2450" t="s">
        <v>35</v>
      </c>
      <c r="G2450" t="s">
        <v>35</v>
      </c>
      <c r="H2450" t="s">
        <v>35</v>
      </c>
      <c r="J2450" t="s">
        <v>3229</v>
      </c>
      <c r="K2450" t="s">
        <v>1092</v>
      </c>
      <c r="M2450">
        <v>5.49</v>
      </c>
      <c r="N2450">
        <v>67</v>
      </c>
      <c r="O2450" t="s">
        <v>61</v>
      </c>
      <c r="Q2450" t="s">
        <v>488</v>
      </c>
      <c r="R2450" t="s">
        <v>3180</v>
      </c>
      <c r="S2450" t="s">
        <v>338</v>
      </c>
      <c r="T2450" t="s">
        <v>339</v>
      </c>
    </row>
    <row r="2451" spans="1:20" x14ac:dyDescent="0.25">
      <c r="A2451" t="s">
        <v>44</v>
      </c>
      <c r="B2451" t="s">
        <v>51</v>
      </c>
      <c r="C2451" t="s">
        <v>32</v>
      </c>
      <c r="D2451" t="s">
        <v>336</v>
      </c>
      <c r="E2451" t="s">
        <v>3223</v>
      </c>
      <c r="F2451" t="s">
        <v>35</v>
      </c>
      <c r="G2451" t="s">
        <v>35</v>
      </c>
      <c r="H2451" t="s">
        <v>35</v>
      </c>
      <c r="J2451" t="s">
        <v>3229</v>
      </c>
      <c r="K2451" t="s">
        <v>1092</v>
      </c>
      <c r="M2451">
        <v>3.3</v>
      </c>
      <c r="N2451">
        <v>241</v>
      </c>
      <c r="O2451" t="s">
        <v>5</v>
      </c>
      <c r="Q2451" t="s">
        <v>1154</v>
      </c>
      <c r="R2451" t="s">
        <v>3180</v>
      </c>
      <c r="S2451" t="s">
        <v>338</v>
      </c>
      <c r="T2451" t="s">
        <v>339</v>
      </c>
    </row>
    <row r="2452" spans="1:20" x14ac:dyDescent="0.25">
      <c r="A2452" t="s">
        <v>59</v>
      </c>
      <c r="B2452" t="s">
        <v>60</v>
      </c>
      <c r="C2452" t="s">
        <v>32</v>
      </c>
      <c r="D2452" t="s">
        <v>336</v>
      </c>
      <c r="E2452" t="s">
        <v>3223</v>
      </c>
      <c r="F2452" t="s">
        <v>35</v>
      </c>
      <c r="G2452" t="s">
        <v>35</v>
      </c>
      <c r="H2452" t="s">
        <v>35</v>
      </c>
      <c r="J2452" t="s">
        <v>3229</v>
      </c>
      <c r="K2452" t="s">
        <v>1092</v>
      </c>
      <c r="M2452">
        <v>3.65</v>
      </c>
      <c r="N2452">
        <v>124</v>
      </c>
      <c r="O2452" t="s">
        <v>38</v>
      </c>
      <c r="Q2452" t="s">
        <v>646</v>
      </c>
      <c r="R2452" t="s">
        <v>3180</v>
      </c>
      <c r="S2452" t="s">
        <v>338</v>
      </c>
      <c r="T2452" t="s">
        <v>339</v>
      </c>
    </row>
    <row r="2453" spans="1:20" x14ac:dyDescent="0.25">
      <c r="A2453" t="s">
        <v>59</v>
      </c>
      <c r="B2453" t="s">
        <v>31</v>
      </c>
      <c r="C2453" t="s">
        <v>32</v>
      </c>
      <c r="D2453" t="s">
        <v>336</v>
      </c>
      <c r="E2453" t="s">
        <v>3223</v>
      </c>
      <c r="F2453" t="s">
        <v>35</v>
      </c>
      <c r="G2453" t="s">
        <v>35</v>
      </c>
      <c r="H2453" t="s">
        <v>35</v>
      </c>
      <c r="J2453" t="s">
        <v>3229</v>
      </c>
      <c r="K2453" t="s">
        <v>1092</v>
      </c>
      <c r="M2453">
        <v>4.9950000000000001</v>
      </c>
      <c r="N2453">
        <v>124</v>
      </c>
      <c r="O2453" t="s">
        <v>38</v>
      </c>
      <c r="Q2453" t="s">
        <v>646</v>
      </c>
      <c r="R2453" t="s">
        <v>3180</v>
      </c>
      <c r="S2453" t="s">
        <v>338</v>
      </c>
      <c r="T2453" t="s">
        <v>339</v>
      </c>
    </row>
    <row r="2454" spans="1:20" x14ac:dyDescent="0.25">
      <c r="A2454" t="s">
        <v>44</v>
      </c>
      <c r="B2454" t="s">
        <v>51</v>
      </c>
      <c r="C2454" t="s">
        <v>32</v>
      </c>
      <c r="D2454" t="s">
        <v>336</v>
      </c>
      <c r="E2454" t="s">
        <v>337</v>
      </c>
      <c r="F2454" t="s">
        <v>35</v>
      </c>
      <c r="G2454" t="s">
        <v>35</v>
      </c>
      <c r="H2454" t="s">
        <v>35</v>
      </c>
      <c r="J2454" t="s">
        <v>3237</v>
      </c>
      <c r="K2454" t="s">
        <v>1092</v>
      </c>
      <c r="M2454">
        <v>4.8499999999999996</v>
      </c>
      <c r="N2454">
        <v>54</v>
      </c>
      <c r="O2454" t="s">
        <v>52</v>
      </c>
      <c r="Q2454" t="s">
        <v>671</v>
      </c>
      <c r="R2454" t="s">
        <v>3180</v>
      </c>
      <c r="S2454" t="s">
        <v>338</v>
      </c>
      <c r="T2454" t="s">
        <v>339</v>
      </c>
    </row>
    <row r="2455" spans="1:20" x14ac:dyDescent="0.25">
      <c r="A2455" t="s">
        <v>59</v>
      </c>
      <c r="B2455" t="s">
        <v>60</v>
      </c>
      <c r="C2455" t="s">
        <v>32</v>
      </c>
      <c r="D2455" t="s">
        <v>336</v>
      </c>
      <c r="E2455" t="s">
        <v>337</v>
      </c>
      <c r="F2455" t="s">
        <v>35</v>
      </c>
      <c r="G2455" t="s">
        <v>35</v>
      </c>
      <c r="H2455" t="s">
        <v>35</v>
      </c>
      <c r="J2455" t="s">
        <v>3237</v>
      </c>
      <c r="K2455" t="s">
        <v>1092</v>
      </c>
      <c r="M2455">
        <v>2.1</v>
      </c>
      <c r="N2455">
        <v>124</v>
      </c>
      <c r="O2455" t="s">
        <v>38</v>
      </c>
      <c r="Q2455" t="s">
        <v>646</v>
      </c>
      <c r="R2455" t="s">
        <v>3180</v>
      </c>
      <c r="S2455" t="s">
        <v>338</v>
      </c>
      <c r="T2455" t="s">
        <v>339</v>
      </c>
    </row>
    <row r="2456" spans="1:20" x14ac:dyDescent="0.25">
      <c r="A2456" t="s">
        <v>30</v>
      </c>
      <c r="B2456" t="s">
        <v>31</v>
      </c>
      <c r="C2456" t="s">
        <v>32</v>
      </c>
      <c r="D2456" t="s">
        <v>336</v>
      </c>
      <c r="E2456" t="s">
        <v>337</v>
      </c>
      <c r="F2456" t="s">
        <v>35</v>
      </c>
      <c r="G2456" t="s">
        <v>35</v>
      </c>
      <c r="H2456" t="s">
        <v>35</v>
      </c>
      <c r="J2456" t="s">
        <v>3237</v>
      </c>
      <c r="K2456" t="s">
        <v>1092</v>
      </c>
      <c r="M2456">
        <v>4.2300000000000004</v>
      </c>
      <c r="N2456">
        <v>67</v>
      </c>
      <c r="O2456" t="s">
        <v>61</v>
      </c>
      <c r="Q2456" t="s">
        <v>488</v>
      </c>
      <c r="R2456" t="s">
        <v>3180</v>
      </c>
      <c r="S2456" t="s">
        <v>338</v>
      </c>
      <c r="T2456" t="s">
        <v>339</v>
      </c>
    </row>
    <row r="2457" spans="1:20" x14ac:dyDescent="0.25">
      <c r="A2457" t="s">
        <v>30</v>
      </c>
      <c r="B2457" t="s">
        <v>31</v>
      </c>
      <c r="C2457" t="s">
        <v>32</v>
      </c>
      <c r="D2457" t="s">
        <v>336</v>
      </c>
      <c r="E2457" t="s">
        <v>337</v>
      </c>
      <c r="F2457" t="s">
        <v>35</v>
      </c>
      <c r="G2457" t="s">
        <v>35</v>
      </c>
      <c r="H2457" t="s">
        <v>35</v>
      </c>
      <c r="J2457" t="s">
        <v>3250</v>
      </c>
      <c r="K2457" t="s">
        <v>1092</v>
      </c>
      <c r="M2457">
        <v>11.34</v>
      </c>
      <c r="N2457">
        <v>67</v>
      </c>
      <c r="O2457" t="s">
        <v>61</v>
      </c>
      <c r="Q2457" t="s">
        <v>488</v>
      </c>
      <c r="R2457" t="s">
        <v>3180</v>
      </c>
      <c r="S2457" t="s">
        <v>338</v>
      </c>
      <c r="T2457" t="s">
        <v>339</v>
      </c>
    </row>
    <row r="2458" spans="1:20" x14ac:dyDescent="0.25">
      <c r="A2458" t="s">
        <v>30</v>
      </c>
      <c r="B2458" t="s">
        <v>31</v>
      </c>
      <c r="C2458" t="s">
        <v>32</v>
      </c>
      <c r="D2458" t="s">
        <v>336</v>
      </c>
      <c r="E2458" t="s">
        <v>337</v>
      </c>
      <c r="F2458" t="s">
        <v>35</v>
      </c>
      <c r="G2458" t="s">
        <v>35</v>
      </c>
      <c r="H2458" t="s">
        <v>35</v>
      </c>
      <c r="J2458" t="s">
        <v>3239</v>
      </c>
      <c r="K2458" t="s">
        <v>1092</v>
      </c>
      <c r="M2458">
        <v>3.24</v>
      </c>
      <c r="N2458">
        <v>168</v>
      </c>
      <c r="O2458" t="s">
        <v>38</v>
      </c>
      <c r="Q2458" t="s">
        <v>1692</v>
      </c>
      <c r="R2458" t="s">
        <v>3180</v>
      </c>
      <c r="S2458" t="s">
        <v>338</v>
      </c>
      <c r="T2458" t="s">
        <v>339</v>
      </c>
    </row>
    <row r="2459" spans="1:20" x14ac:dyDescent="0.25">
      <c r="A2459" t="s">
        <v>59</v>
      </c>
      <c r="B2459" t="s">
        <v>31</v>
      </c>
      <c r="C2459" t="s">
        <v>32</v>
      </c>
      <c r="D2459" t="s">
        <v>336</v>
      </c>
      <c r="E2459" t="s">
        <v>337</v>
      </c>
      <c r="F2459" t="s">
        <v>35</v>
      </c>
      <c r="G2459" t="s">
        <v>35</v>
      </c>
      <c r="H2459" t="s">
        <v>35</v>
      </c>
      <c r="J2459" t="s">
        <v>3239</v>
      </c>
      <c r="K2459" t="s">
        <v>1092</v>
      </c>
      <c r="M2459">
        <v>4.4999999999999998E-2</v>
      </c>
      <c r="N2459">
        <v>258</v>
      </c>
      <c r="O2459" t="s">
        <v>5</v>
      </c>
      <c r="Q2459" t="s">
        <v>1754</v>
      </c>
      <c r="R2459" t="s">
        <v>3180</v>
      </c>
      <c r="S2459" t="s">
        <v>338</v>
      </c>
      <c r="T2459" t="s">
        <v>339</v>
      </c>
    </row>
    <row r="2460" spans="1:20" x14ac:dyDescent="0.25">
      <c r="A2460" t="s">
        <v>59</v>
      </c>
      <c r="B2460" t="s">
        <v>60</v>
      </c>
      <c r="C2460" t="s">
        <v>32</v>
      </c>
      <c r="D2460" t="s">
        <v>336</v>
      </c>
      <c r="E2460" t="s">
        <v>337</v>
      </c>
      <c r="F2460" t="s">
        <v>35</v>
      </c>
      <c r="G2460" t="s">
        <v>35</v>
      </c>
      <c r="H2460" t="s">
        <v>35</v>
      </c>
      <c r="J2460" t="s">
        <v>3239</v>
      </c>
      <c r="K2460" t="s">
        <v>1092</v>
      </c>
      <c r="M2460">
        <v>0.15</v>
      </c>
      <c r="N2460">
        <v>210</v>
      </c>
      <c r="O2460" t="s">
        <v>5</v>
      </c>
      <c r="Q2460" t="s">
        <v>1159</v>
      </c>
      <c r="R2460" t="s">
        <v>3180</v>
      </c>
      <c r="S2460" t="s">
        <v>338</v>
      </c>
      <c r="T2460" t="s">
        <v>339</v>
      </c>
    </row>
    <row r="2461" spans="1:20" x14ac:dyDescent="0.25">
      <c r="A2461" t="s">
        <v>44</v>
      </c>
      <c r="B2461" t="s">
        <v>51</v>
      </c>
      <c r="C2461" t="s">
        <v>32</v>
      </c>
      <c r="D2461" t="s">
        <v>336</v>
      </c>
      <c r="E2461" t="s">
        <v>337</v>
      </c>
      <c r="F2461" t="s">
        <v>35</v>
      </c>
      <c r="G2461" t="s">
        <v>35</v>
      </c>
      <c r="H2461" t="s">
        <v>35</v>
      </c>
      <c r="J2461" t="s">
        <v>3239</v>
      </c>
      <c r="K2461" t="s">
        <v>1092</v>
      </c>
      <c r="M2461">
        <v>6</v>
      </c>
      <c r="N2461">
        <v>54</v>
      </c>
      <c r="O2461" t="s">
        <v>52</v>
      </c>
      <c r="Q2461" t="s">
        <v>671</v>
      </c>
      <c r="R2461" t="s">
        <v>3180</v>
      </c>
      <c r="S2461" t="s">
        <v>338</v>
      </c>
      <c r="T2461" t="s">
        <v>339</v>
      </c>
    </row>
    <row r="2462" spans="1:20" x14ac:dyDescent="0.25">
      <c r="A2462" t="s">
        <v>59</v>
      </c>
      <c r="B2462" t="s">
        <v>60</v>
      </c>
      <c r="C2462" t="s">
        <v>32</v>
      </c>
      <c r="D2462" t="s">
        <v>336</v>
      </c>
      <c r="F2462" t="s">
        <v>35</v>
      </c>
      <c r="G2462" t="s">
        <v>35</v>
      </c>
      <c r="H2462" t="s">
        <v>35</v>
      </c>
      <c r="J2462" t="s">
        <v>3255</v>
      </c>
      <c r="K2462" t="s">
        <v>1092</v>
      </c>
      <c r="M2462">
        <v>2</v>
      </c>
      <c r="N2462">
        <v>257</v>
      </c>
      <c r="O2462" t="s">
        <v>5</v>
      </c>
      <c r="Q2462" t="s">
        <v>1721</v>
      </c>
      <c r="R2462" t="s">
        <v>3180</v>
      </c>
      <c r="S2462" t="s">
        <v>338</v>
      </c>
      <c r="T2462" t="s">
        <v>339</v>
      </c>
    </row>
    <row r="2463" spans="1:20" x14ac:dyDescent="0.25">
      <c r="A2463" t="s">
        <v>30</v>
      </c>
      <c r="B2463" t="s">
        <v>31</v>
      </c>
      <c r="C2463" t="s">
        <v>32</v>
      </c>
      <c r="D2463" t="s">
        <v>336</v>
      </c>
      <c r="E2463" t="s">
        <v>3220</v>
      </c>
      <c r="F2463" t="s">
        <v>35</v>
      </c>
      <c r="G2463" t="s">
        <v>35</v>
      </c>
      <c r="H2463" t="s">
        <v>35</v>
      </c>
      <c r="J2463" t="s">
        <v>3221</v>
      </c>
      <c r="K2463" t="s">
        <v>1092</v>
      </c>
      <c r="M2463">
        <v>4.2300000000000004</v>
      </c>
      <c r="N2463">
        <v>168</v>
      </c>
      <c r="O2463" t="s">
        <v>38</v>
      </c>
      <c r="Q2463" t="s">
        <v>1692</v>
      </c>
      <c r="R2463" t="s">
        <v>3180</v>
      </c>
      <c r="S2463" t="s">
        <v>338</v>
      </c>
      <c r="T2463" t="s">
        <v>339</v>
      </c>
    </row>
    <row r="2464" spans="1:20" x14ac:dyDescent="0.25">
      <c r="A2464" t="s">
        <v>30</v>
      </c>
      <c r="B2464" t="s">
        <v>31</v>
      </c>
      <c r="C2464" t="s">
        <v>32</v>
      </c>
      <c r="D2464" t="s">
        <v>336</v>
      </c>
      <c r="E2464" t="s">
        <v>3220</v>
      </c>
      <c r="F2464" t="s">
        <v>35</v>
      </c>
      <c r="G2464" t="s">
        <v>35</v>
      </c>
      <c r="H2464" t="s">
        <v>35</v>
      </c>
      <c r="J2464" t="s">
        <v>3221</v>
      </c>
      <c r="K2464" t="s">
        <v>1092</v>
      </c>
      <c r="M2464">
        <v>11.97</v>
      </c>
      <c r="N2464">
        <v>67</v>
      </c>
      <c r="O2464" t="s">
        <v>61</v>
      </c>
      <c r="Q2464" t="s">
        <v>488</v>
      </c>
      <c r="R2464" t="s">
        <v>3180</v>
      </c>
      <c r="S2464" t="s">
        <v>338</v>
      </c>
      <c r="T2464" t="s">
        <v>339</v>
      </c>
    </row>
    <row r="2465" spans="1:20" x14ac:dyDescent="0.25">
      <c r="A2465" t="s">
        <v>59</v>
      </c>
      <c r="B2465" t="s">
        <v>31</v>
      </c>
      <c r="C2465" t="s">
        <v>32</v>
      </c>
      <c r="D2465" t="s">
        <v>336</v>
      </c>
      <c r="E2465" t="s">
        <v>3223</v>
      </c>
      <c r="F2465" t="s">
        <v>35</v>
      </c>
      <c r="G2465" t="s">
        <v>35</v>
      </c>
      <c r="H2465" t="s">
        <v>35</v>
      </c>
      <c r="J2465" t="s">
        <v>3232</v>
      </c>
      <c r="K2465" t="s">
        <v>1092</v>
      </c>
      <c r="M2465">
        <v>0.02</v>
      </c>
      <c r="N2465">
        <v>123</v>
      </c>
      <c r="O2465" t="s">
        <v>38</v>
      </c>
      <c r="Q2465" t="s">
        <v>1656</v>
      </c>
      <c r="R2465" t="s">
        <v>3180</v>
      </c>
      <c r="S2465" t="s">
        <v>338</v>
      </c>
      <c r="T2465" t="s">
        <v>339</v>
      </c>
    </row>
    <row r="2466" spans="1:20" x14ac:dyDescent="0.25">
      <c r="A2466" t="s">
        <v>59</v>
      </c>
      <c r="B2466" t="s">
        <v>60</v>
      </c>
      <c r="C2466" t="s">
        <v>32</v>
      </c>
      <c r="D2466" t="s">
        <v>336</v>
      </c>
      <c r="E2466" t="s">
        <v>3223</v>
      </c>
      <c r="F2466" t="s">
        <v>35</v>
      </c>
      <c r="G2466" t="s">
        <v>35</v>
      </c>
      <c r="H2466" t="s">
        <v>35</v>
      </c>
      <c r="J2466" t="s">
        <v>3232</v>
      </c>
      <c r="K2466" t="s">
        <v>1092</v>
      </c>
      <c r="M2466">
        <v>0.25</v>
      </c>
      <c r="N2466">
        <v>258</v>
      </c>
      <c r="O2466" t="s">
        <v>5</v>
      </c>
      <c r="Q2466" t="s">
        <v>1754</v>
      </c>
      <c r="R2466" t="s">
        <v>3180</v>
      </c>
      <c r="S2466" t="s">
        <v>338</v>
      </c>
      <c r="T2466" t="s">
        <v>339</v>
      </c>
    </row>
    <row r="2467" spans="1:20" x14ac:dyDescent="0.25">
      <c r="A2467" t="s">
        <v>59</v>
      </c>
      <c r="B2467" t="s">
        <v>60</v>
      </c>
      <c r="C2467" t="s">
        <v>32</v>
      </c>
      <c r="D2467" t="s">
        <v>336</v>
      </c>
      <c r="E2467" t="s">
        <v>3223</v>
      </c>
      <c r="F2467" t="s">
        <v>35</v>
      </c>
      <c r="G2467" t="s">
        <v>35</v>
      </c>
      <c r="H2467" t="s">
        <v>35</v>
      </c>
      <c r="J2467" t="s">
        <v>3225</v>
      </c>
      <c r="K2467" t="s">
        <v>1092</v>
      </c>
      <c r="M2467">
        <v>2.85</v>
      </c>
      <c r="N2467">
        <v>124</v>
      </c>
      <c r="O2467" t="s">
        <v>38</v>
      </c>
      <c r="Q2467" t="s">
        <v>646</v>
      </c>
      <c r="R2467" t="s">
        <v>3180</v>
      </c>
      <c r="S2467" t="s">
        <v>338</v>
      </c>
      <c r="T2467" t="s">
        <v>339</v>
      </c>
    </row>
    <row r="2468" spans="1:20" x14ac:dyDescent="0.25">
      <c r="A2468" t="s">
        <v>44</v>
      </c>
      <c r="B2468" t="s">
        <v>51</v>
      </c>
      <c r="C2468" t="s">
        <v>32</v>
      </c>
      <c r="D2468" t="s">
        <v>336</v>
      </c>
      <c r="E2468" t="s">
        <v>3223</v>
      </c>
      <c r="F2468" t="s">
        <v>35</v>
      </c>
      <c r="G2468" t="s">
        <v>35</v>
      </c>
      <c r="H2468" t="s">
        <v>35</v>
      </c>
      <c r="J2468" t="s">
        <v>3225</v>
      </c>
      <c r="K2468" t="s">
        <v>1092</v>
      </c>
      <c r="M2468">
        <v>4.1500000000000004</v>
      </c>
      <c r="N2468">
        <v>241</v>
      </c>
      <c r="O2468" t="s">
        <v>5</v>
      </c>
      <c r="Q2468" t="s">
        <v>1154</v>
      </c>
      <c r="R2468" t="s">
        <v>3180</v>
      </c>
      <c r="S2468" t="s">
        <v>338</v>
      </c>
      <c r="T2468" t="s">
        <v>339</v>
      </c>
    </row>
    <row r="2469" spans="1:20" x14ac:dyDescent="0.25">
      <c r="A2469" t="s">
        <v>59</v>
      </c>
      <c r="B2469" t="s">
        <v>31</v>
      </c>
      <c r="C2469" t="s">
        <v>32</v>
      </c>
      <c r="D2469" t="s">
        <v>336</v>
      </c>
      <c r="E2469" t="s">
        <v>3223</v>
      </c>
      <c r="F2469" t="s">
        <v>35</v>
      </c>
      <c r="G2469" t="s">
        <v>35</v>
      </c>
      <c r="H2469" t="s">
        <v>35</v>
      </c>
      <c r="J2469" t="s">
        <v>3231</v>
      </c>
      <c r="K2469" t="s">
        <v>1092</v>
      </c>
      <c r="M2469">
        <v>2.6549999999999998</v>
      </c>
      <c r="N2469">
        <v>258</v>
      </c>
      <c r="O2469" t="s">
        <v>5</v>
      </c>
      <c r="Q2469" t="s">
        <v>1754</v>
      </c>
      <c r="R2469" t="s">
        <v>3180</v>
      </c>
      <c r="S2469" t="s">
        <v>338</v>
      </c>
      <c r="T2469" t="s">
        <v>339</v>
      </c>
    </row>
    <row r="2470" spans="1:20" x14ac:dyDescent="0.25">
      <c r="A2470" t="s">
        <v>59</v>
      </c>
      <c r="B2470" t="s">
        <v>60</v>
      </c>
      <c r="C2470" t="s">
        <v>32</v>
      </c>
      <c r="D2470" t="s">
        <v>336</v>
      </c>
      <c r="E2470" t="s">
        <v>3223</v>
      </c>
      <c r="F2470" t="s">
        <v>35</v>
      </c>
      <c r="G2470" t="s">
        <v>35</v>
      </c>
      <c r="H2470" t="s">
        <v>35</v>
      </c>
      <c r="J2470" t="s">
        <v>3231</v>
      </c>
      <c r="K2470" t="s">
        <v>1092</v>
      </c>
      <c r="M2470">
        <v>0.9</v>
      </c>
      <c r="N2470">
        <v>124</v>
      </c>
      <c r="O2470" t="s">
        <v>38</v>
      </c>
      <c r="Q2470" t="s">
        <v>646</v>
      </c>
      <c r="R2470" t="s">
        <v>3180</v>
      </c>
      <c r="S2470" t="s">
        <v>338</v>
      </c>
      <c r="T2470" t="s">
        <v>339</v>
      </c>
    </row>
    <row r="2471" spans="1:20" x14ac:dyDescent="0.25">
      <c r="A2471" t="s">
        <v>59</v>
      </c>
      <c r="B2471" t="s">
        <v>31</v>
      </c>
      <c r="C2471" t="s">
        <v>32</v>
      </c>
      <c r="D2471" t="s">
        <v>336</v>
      </c>
      <c r="E2471" t="s">
        <v>3223</v>
      </c>
      <c r="F2471" t="s">
        <v>35</v>
      </c>
      <c r="G2471" t="s">
        <v>35</v>
      </c>
      <c r="H2471" t="s">
        <v>35</v>
      </c>
      <c r="J2471" t="s">
        <v>3231</v>
      </c>
      <c r="K2471" t="s">
        <v>1092</v>
      </c>
      <c r="M2471">
        <v>4.9950000000000001</v>
      </c>
      <c r="N2471">
        <v>124</v>
      </c>
      <c r="O2471" t="s">
        <v>38</v>
      </c>
      <c r="Q2471" t="s">
        <v>646</v>
      </c>
      <c r="R2471" t="s">
        <v>3180</v>
      </c>
      <c r="S2471" t="s">
        <v>338</v>
      </c>
      <c r="T2471" t="s">
        <v>339</v>
      </c>
    </row>
    <row r="2472" spans="1:20" x14ac:dyDescent="0.25">
      <c r="A2472" t="s">
        <v>30</v>
      </c>
      <c r="B2472" t="s">
        <v>31</v>
      </c>
      <c r="C2472" t="s">
        <v>32</v>
      </c>
      <c r="D2472" t="s">
        <v>336</v>
      </c>
      <c r="E2472" t="s">
        <v>3223</v>
      </c>
      <c r="F2472" t="s">
        <v>35</v>
      </c>
      <c r="G2472" t="s">
        <v>35</v>
      </c>
      <c r="H2472" t="s">
        <v>35</v>
      </c>
      <c r="J2472" t="s">
        <v>3231</v>
      </c>
      <c r="K2472" t="s">
        <v>1092</v>
      </c>
      <c r="M2472">
        <v>13.005000000000001</v>
      </c>
      <c r="N2472">
        <v>168</v>
      </c>
      <c r="O2472" t="s">
        <v>38</v>
      </c>
      <c r="Q2472" t="s">
        <v>1692</v>
      </c>
      <c r="R2472" t="s">
        <v>3180</v>
      </c>
      <c r="S2472" t="s">
        <v>338</v>
      </c>
      <c r="T2472" t="s">
        <v>339</v>
      </c>
    </row>
    <row r="2473" spans="1:20" x14ac:dyDescent="0.25">
      <c r="A2473" t="s">
        <v>30</v>
      </c>
      <c r="B2473" t="s">
        <v>31</v>
      </c>
      <c r="C2473" t="s">
        <v>32</v>
      </c>
      <c r="D2473" t="s">
        <v>336</v>
      </c>
      <c r="E2473" t="s">
        <v>3223</v>
      </c>
      <c r="F2473" t="s">
        <v>35</v>
      </c>
      <c r="G2473" t="s">
        <v>35</v>
      </c>
      <c r="H2473" t="s">
        <v>35</v>
      </c>
      <c r="J2473" t="s">
        <v>3231</v>
      </c>
      <c r="K2473" t="s">
        <v>1092</v>
      </c>
      <c r="M2473">
        <v>2.25</v>
      </c>
      <c r="N2473">
        <v>475</v>
      </c>
      <c r="O2473" t="s">
        <v>294</v>
      </c>
      <c r="Q2473" t="s">
        <v>3207</v>
      </c>
      <c r="R2473" t="s">
        <v>3180</v>
      </c>
      <c r="S2473" t="s">
        <v>338</v>
      </c>
      <c r="T2473" t="s">
        <v>339</v>
      </c>
    </row>
    <row r="2474" spans="1:20" x14ac:dyDescent="0.25">
      <c r="A2474" t="s">
        <v>59</v>
      </c>
      <c r="B2474" t="s">
        <v>31</v>
      </c>
      <c r="C2474" t="s">
        <v>32</v>
      </c>
      <c r="D2474" t="s">
        <v>336</v>
      </c>
      <c r="F2474" t="s">
        <v>35</v>
      </c>
      <c r="G2474" t="s">
        <v>35</v>
      </c>
      <c r="H2474" t="s">
        <v>35</v>
      </c>
      <c r="J2474" t="s">
        <v>3261</v>
      </c>
      <c r="K2474" t="s">
        <v>1092</v>
      </c>
      <c r="M2474">
        <v>8.2349999999999994</v>
      </c>
      <c r="N2474">
        <v>2083</v>
      </c>
      <c r="O2474" t="s">
        <v>575</v>
      </c>
      <c r="Q2474" t="s">
        <v>3262</v>
      </c>
      <c r="R2474" t="s">
        <v>3263</v>
      </c>
      <c r="S2474" t="s">
        <v>3264</v>
      </c>
      <c r="T2474" t="s">
        <v>3265</v>
      </c>
    </row>
    <row r="2475" spans="1:20" x14ac:dyDescent="0.25">
      <c r="A2475" t="s">
        <v>59</v>
      </c>
      <c r="B2475" t="s">
        <v>60</v>
      </c>
      <c r="C2475" t="s">
        <v>32</v>
      </c>
      <c r="D2475" t="s">
        <v>336</v>
      </c>
      <c r="E2475" t="s">
        <v>337</v>
      </c>
      <c r="F2475" t="s">
        <v>35</v>
      </c>
      <c r="G2475" t="s">
        <v>35</v>
      </c>
      <c r="H2475" t="s">
        <v>35</v>
      </c>
      <c r="J2475" t="s">
        <v>3243</v>
      </c>
      <c r="K2475" t="s">
        <v>1092</v>
      </c>
      <c r="M2475">
        <v>0.8</v>
      </c>
      <c r="N2475">
        <v>746</v>
      </c>
      <c r="O2475" t="s">
        <v>575</v>
      </c>
      <c r="Q2475" t="s">
        <v>3244</v>
      </c>
      <c r="R2475" t="s">
        <v>3245</v>
      </c>
      <c r="S2475" t="s">
        <v>3246</v>
      </c>
      <c r="T2475" t="s">
        <v>3247</v>
      </c>
    </row>
    <row r="2476" spans="1:20" x14ac:dyDescent="0.25">
      <c r="A2476" t="s">
        <v>30</v>
      </c>
      <c r="B2476" t="s">
        <v>31</v>
      </c>
      <c r="C2476" t="s">
        <v>32</v>
      </c>
      <c r="D2476" t="s">
        <v>336</v>
      </c>
      <c r="E2476" t="s">
        <v>337</v>
      </c>
      <c r="F2476" t="s">
        <v>35</v>
      </c>
      <c r="G2476" t="s">
        <v>35</v>
      </c>
      <c r="H2476" t="s">
        <v>35</v>
      </c>
      <c r="J2476" t="s">
        <v>3243</v>
      </c>
      <c r="K2476" t="s">
        <v>1092</v>
      </c>
      <c r="M2476">
        <v>1.675</v>
      </c>
      <c r="N2476">
        <v>746</v>
      </c>
      <c r="O2476" t="s">
        <v>575</v>
      </c>
      <c r="Q2476" t="s">
        <v>3244</v>
      </c>
      <c r="R2476" t="s">
        <v>3245</v>
      </c>
      <c r="S2476" t="s">
        <v>3246</v>
      </c>
      <c r="T2476" t="s">
        <v>3247</v>
      </c>
    </row>
    <row r="2477" spans="1:20" x14ac:dyDescent="0.25">
      <c r="A2477" t="s">
        <v>59</v>
      </c>
      <c r="B2477" t="s">
        <v>60</v>
      </c>
      <c r="C2477" t="s">
        <v>32</v>
      </c>
      <c r="D2477" t="s">
        <v>336</v>
      </c>
      <c r="E2477" t="s">
        <v>3181</v>
      </c>
      <c r="F2477" t="s">
        <v>35</v>
      </c>
      <c r="G2477" t="s">
        <v>35</v>
      </c>
      <c r="H2477" t="s">
        <v>35</v>
      </c>
      <c r="J2477" t="s">
        <v>3182</v>
      </c>
      <c r="K2477" t="s">
        <v>1092</v>
      </c>
      <c r="M2477">
        <v>3.15</v>
      </c>
      <c r="N2477">
        <v>252</v>
      </c>
      <c r="O2477" t="s">
        <v>5</v>
      </c>
      <c r="Q2477" t="s">
        <v>1425</v>
      </c>
      <c r="R2477" t="s">
        <v>3183</v>
      </c>
      <c r="S2477" t="s">
        <v>3184</v>
      </c>
      <c r="T2477" t="s">
        <v>3185</v>
      </c>
    </row>
    <row r="2478" spans="1:20" x14ac:dyDescent="0.25">
      <c r="A2478" t="s">
        <v>59</v>
      </c>
      <c r="B2478" t="s">
        <v>60</v>
      </c>
      <c r="C2478" t="s">
        <v>32</v>
      </c>
      <c r="D2478" t="s">
        <v>336</v>
      </c>
      <c r="E2478" t="s">
        <v>3196</v>
      </c>
      <c r="F2478" t="s">
        <v>35</v>
      </c>
      <c r="G2478" t="s">
        <v>35</v>
      </c>
      <c r="H2478" t="s">
        <v>35</v>
      </c>
      <c r="J2478" t="s">
        <v>3203</v>
      </c>
      <c r="K2478" t="s">
        <v>1092</v>
      </c>
      <c r="M2478">
        <v>1.9</v>
      </c>
      <c r="N2478">
        <v>235</v>
      </c>
      <c r="O2478" t="s">
        <v>5</v>
      </c>
      <c r="Q2478" t="s">
        <v>2904</v>
      </c>
      <c r="R2478" t="s">
        <v>3183</v>
      </c>
      <c r="S2478" t="s">
        <v>3184</v>
      </c>
      <c r="T2478" t="s">
        <v>3185</v>
      </c>
    </row>
    <row r="2479" spans="1:20" x14ac:dyDescent="0.25">
      <c r="A2479" t="s">
        <v>44</v>
      </c>
      <c r="B2479" t="s">
        <v>51</v>
      </c>
      <c r="C2479" t="s">
        <v>32</v>
      </c>
      <c r="D2479" t="s">
        <v>336</v>
      </c>
      <c r="E2479" t="s">
        <v>337</v>
      </c>
      <c r="F2479" t="s">
        <v>35</v>
      </c>
      <c r="G2479" t="s">
        <v>35</v>
      </c>
      <c r="H2479" t="s">
        <v>35</v>
      </c>
      <c r="J2479" t="s">
        <v>338</v>
      </c>
      <c r="K2479" t="s">
        <v>37</v>
      </c>
      <c r="M2479">
        <v>6</v>
      </c>
      <c r="N2479">
        <v>58</v>
      </c>
      <c r="O2479" t="s">
        <v>52</v>
      </c>
      <c r="P2479" t="s">
        <v>340</v>
      </c>
      <c r="Q2479" t="s">
        <v>128</v>
      </c>
      <c r="R2479" t="s">
        <v>91</v>
      </c>
      <c r="S2479" t="s">
        <v>92</v>
      </c>
    </row>
    <row r="2480" spans="1:20" x14ac:dyDescent="0.25">
      <c r="A2480" t="s">
        <v>44</v>
      </c>
      <c r="B2480" t="s">
        <v>51</v>
      </c>
      <c r="C2480" t="s">
        <v>32</v>
      </c>
      <c r="D2480" t="s">
        <v>336</v>
      </c>
      <c r="F2480" t="s">
        <v>35</v>
      </c>
      <c r="G2480" t="s">
        <v>35</v>
      </c>
      <c r="H2480" t="s">
        <v>35</v>
      </c>
      <c r="J2480" t="s">
        <v>3256</v>
      </c>
      <c r="K2480" t="s">
        <v>1092</v>
      </c>
      <c r="M2480">
        <v>1.75</v>
      </c>
      <c r="N2480">
        <v>919</v>
      </c>
      <c r="O2480" t="s">
        <v>575</v>
      </c>
      <c r="Q2480" t="s">
        <v>3257</v>
      </c>
      <c r="R2480" t="s">
        <v>3258</v>
      </c>
      <c r="S2480" t="s">
        <v>3259</v>
      </c>
      <c r="T2480" t="s">
        <v>3260</v>
      </c>
    </row>
    <row r="2481" spans="1:20" x14ac:dyDescent="0.25">
      <c r="A2481" t="s">
        <v>1439</v>
      </c>
      <c r="B2481" t="s">
        <v>1440</v>
      </c>
      <c r="C2481" t="s">
        <v>32</v>
      </c>
      <c r="D2481" t="s">
        <v>341</v>
      </c>
      <c r="E2481" t="s">
        <v>3450</v>
      </c>
      <c r="F2481" t="s">
        <v>35</v>
      </c>
      <c r="G2481" t="s">
        <v>35</v>
      </c>
      <c r="H2481" t="s">
        <v>35</v>
      </c>
      <c r="J2481" t="s">
        <v>3451</v>
      </c>
      <c r="K2481" t="s">
        <v>404</v>
      </c>
      <c r="M2481">
        <v>5</v>
      </c>
      <c r="N2481">
        <v>758</v>
      </c>
      <c r="O2481" t="s">
        <v>575</v>
      </c>
      <c r="Q2481" t="s">
        <v>3444</v>
      </c>
      <c r="R2481" t="s">
        <v>3404</v>
      </c>
      <c r="S2481" t="s">
        <v>3405</v>
      </c>
      <c r="T2481" t="s">
        <v>3406</v>
      </c>
    </row>
    <row r="2482" spans="1:20" x14ac:dyDescent="0.25">
      <c r="A2482" t="s">
        <v>1439</v>
      </c>
      <c r="B2482" t="s">
        <v>1440</v>
      </c>
      <c r="C2482" t="s">
        <v>32</v>
      </c>
      <c r="D2482" t="s">
        <v>341</v>
      </c>
      <c r="E2482" t="s">
        <v>413</v>
      </c>
      <c r="F2482" t="s">
        <v>35</v>
      </c>
      <c r="G2482" t="s">
        <v>35</v>
      </c>
      <c r="H2482" t="s">
        <v>35</v>
      </c>
      <c r="J2482" t="s">
        <v>3443</v>
      </c>
      <c r="K2482" t="s">
        <v>404</v>
      </c>
      <c r="M2482">
        <v>5</v>
      </c>
      <c r="N2482">
        <v>758</v>
      </c>
      <c r="O2482" t="s">
        <v>575</v>
      </c>
      <c r="Q2482" t="s">
        <v>3444</v>
      </c>
      <c r="R2482" t="s">
        <v>3404</v>
      </c>
      <c r="S2482" t="s">
        <v>3405</v>
      </c>
      <c r="T2482" t="s">
        <v>3406</v>
      </c>
    </row>
    <row r="2483" spans="1:20" x14ac:dyDescent="0.25">
      <c r="A2483" t="s">
        <v>30</v>
      </c>
      <c r="B2483" t="s">
        <v>31</v>
      </c>
      <c r="C2483" t="s">
        <v>32</v>
      </c>
      <c r="D2483" t="s">
        <v>341</v>
      </c>
      <c r="E2483" t="s">
        <v>413</v>
      </c>
      <c r="F2483" t="s">
        <v>35</v>
      </c>
      <c r="G2483" t="s">
        <v>35</v>
      </c>
      <c r="H2483" t="s">
        <v>35</v>
      </c>
      <c r="J2483" t="s">
        <v>3439</v>
      </c>
      <c r="K2483" t="s">
        <v>1092</v>
      </c>
      <c r="M2483">
        <v>0.27</v>
      </c>
      <c r="N2483">
        <v>67</v>
      </c>
      <c r="O2483" t="s">
        <v>61</v>
      </c>
      <c r="Q2483" t="s">
        <v>488</v>
      </c>
      <c r="R2483" t="s">
        <v>3404</v>
      </c>
      <c r="S2483" t="s">
        <v>3405</v>
      </c>
      <c r="T2483" t="s">
        <v>3406</v>
      </c>
    </row>
    <row r="2484" spans="1:20" x14ac:dyDescent="0.25">
      <c r="A2484" t="s">
        <v>44</v>
      </c>
      <c r="B2484" t="s">
        <v>51</v>
      </c>
      <c r="C2484" t="s">
        <v>32</v>
      </c>
      <c r="D2484" t="s">
        <v>341</v>
      </c>
      <c r="E2484" t="s">
        <v>413</v>
      </c>
      <c r="F2484" t="s">
        <v>35</v>
      </c>
      <c r="G2484" t="s">
        <v>35</v>
      </c>
      <c r="H2484" t="s">
        <v>35</v>
      </c>
      <c r="J2484" t="s">
        <v>3439</v>
      </c>
      <c r="K2484" t="s">
        <v>1092</v>
      </c>
      <c r="M2484">
        <v>6</v>
      </c>
      <c r="N2484">
        <v>50</v>
      </c>
      <c r="O2484" t="s">
        <v>52</v>
      </c>
      <c r="Q2484" t="s">
        <v>665</v>
      </c>
      <c r="R2484" t="s">
        <v>3404</v>
      </c>
      <c r="S2484" t="s">
        <v>3405</v>
      </c>
      <c r="T2484" t="s">
        <v>3406</v>
      </c>
    </row>
    <row r="2485" spans="1:20" x14ac:dyDescent="0.25">
      <c r="A2485" t="s">
        <v>30</v>
      </c>
      <c r="B2485" t="s">
        <v>31</v>
      </c>
      <c r="C2485" t="s">
        <v>32</v>
      </c>
      <c r="D2485" t="s">
        <v>341</v>
      </c>
      <c r="E2485" t="s">
        <v>409</v>
      </c>
      <c r="F2485" t="s">
        <v>35</v>
      </c>
      <c r="G2485" t="s">
        <v>35</v>
      </c>
      <c r="H2485" t="s">
        <v>35</v>
      </c>
      <c r="J2485" t="s">
        <v>554</v>
      </c>
      <c r="K2485" t="s">
        <v>1092</v>
      </c>
      <c r="M2485">
        <v>6.57</v>
      </c>
      <c r="N2485">
        <v>67</v>
      </c>
      <c r="O2485" t="s">
        <v>61</v>
      </c>
      <c r="Q2485" t="s">
        <v>488</v>
      </c>
      <c r="R2485" t="s">
        <v>3404</v>
      </c>
      <c r="S2485" t="s">
        <v>3405</v>
      </c>
      <c r="T2485" t="s">
        <v>3406</v>
      </c>
    </row>
    <row r="2486" spans="1:20" x14ac:dyDescent="0.25">
      <c r="A2486" t="s">
        <v>30</v>
      </c>
      <c r="B2486" t="s">
        <v>31</v>
      </c>
      <c r="C2486" t="s">
        <v>32</v>
      </c>
      <c r="D2486" t="s">
        <v>341</v>
      </c>
      <c r="E2486" t="s">
        <v>413</v>
      </c>
      <c r="F2486" t="s">
        <v>35</v>
      </c>
      <c r="G2486" t="s">
        <v>35</v>
      </c>
      <c r="H2486" t="s">
        <v>35</v>
      </c>
      <c r="J2486" t="s">
        <v>3448</v>
      </c>
      <c r="K2486" t="s">
        <v>1092</v>
      </c>
      <c r="M2486">
        <v>0.315</v>
      </c>
      <c r="N2486">
        <v>68</v>
      </c>
      <c r="O2486" t="s">
        <v>61</v>
      </c>
      <c r="Q2486" t="s">
        <v>805</v>
      </c>
      <c r="R2486" t="s">
        <v>3404</v>
      </c>
      <c r="S2486" t="s">
        <v>3405</v>
      </c>
      <c r="T2486" t="s">
        <v>3406</v>
      </c>
    </row>
    <row r="2487" spans="1:20" x14ac:dyDescent="0.25">
      <c r="A2487" t="s">
        <v>30</v>
      </c>
      <c r="B2487" t="s">
        <v>31</v>
      </c>
      <c r="C2487" t="s">
        <v>32</v>
      </c>
      <c r="D2487" t="s">
        <v>341</v>
      </c>
      <c r="E2487" t="s">
        <v>413</v>
      </c>
      <c r="F2487" t="s">
        <v>35</v>
      </c>
      <c r="G2487" t="s">
        <v>35</v>
      </c>
      <c r="H2487" t="s">
        <v>35</v>
      </c>
      <c r="J2487" t="s">
        <v>3438</v>
      </c>
      <c r="K2487" t="s">
        <v>1092</v>
      </c>
      <c r="M2487">
        <v>4.59</v>
      </c>
      <c r="N2487">
        <v>67</v>
      </c>
      <c r="O2487" t="s">
        <v>61</v>
      </c>
      <c r="Q2487" t="s">
        <v>488</v>
      </c>
      <c r="R2487" t="s">
        <v>3404</v>
      </c>
      <c r="S2487" t="s">
        <v>3405</v>
      </c>
      <c r="T2487" t="s">
        <v>3406</v>
      </c>
    </row>
    <row r="2488" spans="1:20" x14ac:dyDescent="0.25">
      <c r="A2488" t="s">
        <v>44</v>
      </c>
      <c r="B2488" t="s">
        <v>51</v>
      </c>
      <c r="C2488" t="s">
        <v>32</v>
      </c>
      <c r="D2488" t="s">
        <v>341</v>
      </c>
      <c r="E2488" t="s">
        <v>413</v>
      </c>
      <c r="F2488" t="s">
        <v>35</v>
      </c>
      <c r="G2488" t="s">
        <v>35</v>
      </c>
      <c r="H2488" t="s">
        <v>35</v>
      </c>
      <c r="J2488" t="s">
        <v>3438</v>
      </c>
      <c r="K2488" t="s">
        <v>1092</v>
      </c>
      <c r="M2488">
        <v>5.45</v>
      </c>
      <c r="N2488">
        <v>50</v>
      </c>
      <c r="O2488" t="s">
        <v>52</v>
      </c>
      <c r="Q2488" t="s">
        <v>665</v>
      </c>
      <c r="R2488" t="s">
        <v>3404</v>
      </c>
      <c r="S2488" t="s">
        <v>3405</v>
      </c>
      <c r="T2488" t="s">
        <v>3406</v>
      </c>
    </row>
    <row r="2489" spans="1:20" x14ac:dyDescent="0.25">
      <c r="A2489" t="s">
        <v>59</v>
      </c>
      <c r="B2489" t="s">
        <v>60</v>
      </c>
      <c r="C2489" t="s">
        <v>32</v>
      </c>
      <c r="D2489" t="s">
        <v>341</v>
      </c>
      <c r="E2489" t="s">
        <v>398</v>
      </c>
      <c r="F2489" t="s">
        <v>35</v>
      </c>
      <c r="G2489" t="s">
        <v>35</v>
      </c>
      <c r="H2489" t="s">
        <v>35</v>
      </c>
      <c r="J2489" t="s">
        <v>399</v>
      </c>
      <c r="K2489" t="s">
        <v>37</v>
      </c>
      <c r="M2489">
        <v>7</v>
      </c>
      <c r="N2489">
        <v>224</v>
      </c>
      <c r="O2489" t="s">
        <v>5</v>
      </c>
      <c r="P2489" t="s">
        <v>401</v>
      </c>
      <c r="Q2489" t="s">
        <v>402</v>
      </c>
      <c r="R2489" t="s">
        <v>360</v>
      </c>
      <c r="S2489" t="s">
        <v>361</v>
      </c>
      <c r="T2489" t="s">
        <v>362</v>
      </c>
    </row>
    <row r="2490" spans="1:20" x14ac:dyDescent="0.25">
      <c r="A2490" t="s">
        <v>30</v>
      </c>
      <c r="B2490" t="s">
        <v>31</v>
      </c>
      <c r="C2490" t="s">
        <v>32</v>
      </c>
      <c r="D2490" t="s">
        <v>341</v>
      </c>
      <c r="E2490" t="s">
        <v>3374</v>
      </c>
      <c r="F2490" t="s">
        <v>35</v>
      </c>
      <c r="G2490" t="s">
        <v>35</v>
      </c>
      <c r="H2490" t="s">
        <v>35</v>
      </c>
      <c r="J2490" t="s">
        <v>3392</v>
      </c>
      <c r="K2490" t="s">
        <v>1092</v>
      </c>
      <c r="M2490">
        <v>11.97</v>
      </c>
      <c r="N2490">
        <v>207</v>
      </c>
      <c r="O2490" t="s">
        <v>5</v>
      </c>
      <c r="Q2490" t="s">
        <v>537</v>
      </c>
      <c r="R2490" t="s">
        <v>360</v>
      </c>
      <c r="S2490" t="s">
        <v>361</v>
      </c>
      <c r="T2490" t="s">
        <v>362</v>
      </c>
    </row>
    <row r="2491" spans="1:20" x14ac:dyDescent="0.25">
      <c r="A2491" t="s">
        <v>30</v>
      </c>
      <c r="B2491" t="s">
        <v>31</v>
      </c>
      <c r="C2491" t="s">
        <v>32</v>
      </c>
      <c r="D2491" t="s">
        <v>341</v>
      </c>
      <c r="E2491" t="s">
        <v>3374</v>
      </c>
      <c r="F2491" t="s">
        <v>35</v>
      </c>
      <c r="G2491" t="s">
        <v>35</v>
      </c>
      <c r="H2491" t="s">
        <v>35</v>
      </c>
      <c r="J2491" t="s">
        <v>3392</v>
      </c>
      <c r="K2491" t="s">
        <v>1092</v>
      </c>
      <c r="M2491">
        <v>11.97</v>
      </c>
      <c r="N2491">
        <v>493</v>
      </c>
      <c r="O2491" t="s">
        <v>294</v>
      </c>
      <c r="Q2491" t="s">
        <v>2051</v>
      </c>
      <c r="R2491" t="s">
        <v>360</v>
      </c>
      <c r="S2491" t="s">
        <v>361</v>
      </c>
      <c r="T2491" t="s">
        <v>362</v>
      </c>
    </row>
    <row r="2492" spans="1:20" x14ac:dyDescent="0.25">
      <c r="A2492" t="s">
        <v>59</v>
      </c>
      <c r="B2492" t="s">
        <v>60</v>
      </c>
      <c r="C2492" t="s">
        <v>32</v>
      </c>
      <c r="D2492" t="s">
        <v>341</v>
      </c>
      <c r="E2492" t="s">
        <v>409</v>
      </c>
      <c r="F2492" t="s">
        <v>35</v>
      </c>
      <c r="G2492" t="s">
        <v>35</v>
      </c>
      <c r="H2492" t="s">
        <v>35</v>
      </c>
      <c r="J2492" t="s">
        <v>3403</v>
      </c>
      <c r="K2492" t="s">
        <v>1092</v>
      </c>
      <c r="M2492">
        <v>0.75</v>
      </c>
      <c r="N2492">
        <v>244</v>
      </c>
      <c r="O2492" t="s">
        <v>5</v>
      </c>
      <c r="Q2492" t="s">
        <v>1688</v>
      </c>
      <c r="R2492" t="s">
        <v>360</v>
      </c>
      <c r="S2492" t="s">
        <v>361</v>
      </c>
      <c r="T2492" t="s">
        <v>362</v>
      </c>
    </row>
    <row r="2493" spans="1:20" x14ac:dyDescent="0.25">
      <c r="A2493" t="s">
        <v>59</v>
      </c>
      <c r="B2493" t="s">
        <v>60</v>
      </c>
      <c r="C2493" t="s">
        <v>32</v>
      </c>
      <c r="D2493" t="s">
        <v>341</v>
      </c>
      <c r="E2493" t="s">
        <v>352</v>
      </c>
      <c r="F2493" t="s">
        <v>35</v>
      </c>
      <c r="G2493" t="s">
        <v>35</v>
      </c>
      <c r="H2493" t="s">
        <v>35</v>
      </c>
      <c r="J2493" t="s">
        <v>353</v>
      </c>
      <c r="K2493" t="s">
        <v>37</v>
      </c>
      <c r="M2493">
        <v>0.7</v>
      </c>
      <c r="N2493">
        <v>152</v>
      </c>
      <c r="O2493" t="s">
        <v>38</v>
      </c>
      <c r="P2493" t="s">
        <v>359</v>
      </c>
      <c r="Q2493" t="s">
        <v>40</v>
      </c>
      <c r="R2493" t="s">
        <v>360</v>
      </c>
      <c r="S2493" t="s">
        <v>361</v>
      </c>
      <c r="T2493" t="s">
        <v>362</v>
      </c>
    </row>
    <row r="2494" spans="1:20" x14ac:dyDescent="0.25">
      <c r="A2494" t="s">
        <v>59</v>
      </c>
      <c r="B2494" t="s">
        <v>60</v>
      </c>
      <c r="C2494" t="s">
        <v>32</v>
      </c>
      <c r="D2494" t="s">
        <v>341</v>
      </c>
      <c r="E2494" t="s">
        <v>342</v>
      </c>
      <c r="F2494" t="s">
        <v>35</v>
      </c>
      <c r="G2494" t="s">
        <v>35</v>
      </c>
      <c r="H2494" t="s">
        <v>35</v>
      </c>
      <c r="J2494" t="s">
        <v>3277</v>
      </c>
      <c r="K2494" t="s">
        <v>1092</v>
      </c>
      <c r="M2494">
        <v>2.4500000000000002</v>
      </c>
      <c r="N2494">
        <v>224</v>
      </c>
      <c r="O2494" t="s">
        <v>5</v>
      </c>
      <c r="Q2494" t="s">
        <v>402</v>
      </c>
      <c r="R2494" t="s">
        <v>360</v>
      </c>
      <c r="S2494" t="s">
        <v>361</v>
      </c>
      <c r="T2494" t="s">
        <v>362</v>
      </c>
    </row>
    <row r="2495" spans="1:20" x14ac:dyDescent="0.25">
      <c r="A2495" t="s">
        <v>30</v>
      </c>
      <c r="B2495" t="s">
        <v>31</v>
      </c>
      <c r="C2495" t="s">
        <v>32</v>
      </c>
      <c r="D2495" t="s">
        <v>341</v>
      </c>
      <c r="E2495" t="s">
        <v>377</v>
      </c>
      <c r="F2495" t="s">
        <v>35</v>
      </c>
      <c r="G2495" t="s">
        <v>35</v>
      </c>
      <c r="H2495" t="s">
        <v>35</v>
      </c>
      <c r="J2495" t="s">
        <v>3316</v>
      </c>
      <c r="K2495" t="s">
        <v>1092</v>
      </c>
      <c r="M2495">
        <v>0.99</v>
      </c>
      <c r="N2495">
        <v>125</v>
      </c>
      <c r="O2495" t="s">
        <v>38</v>
      </c>
      <c r="Q2495" t="s">
        <v>2901</v>
      </c>
      <c r="R2495" t="s">
        <v>360</v>
      </c>
      <c r="S2495" t="s">
        <v>361</v>
      </c>
      <c r="T2495" t="s">
        <v>362</v>
      </c>
    </row>
    <row r="2496" spans="1:20" x14ac:dyDescent="0.25">
      <c r="A2496" t="s">
        <v>59</v>
      </c>
      <c r="B2496" t="s">
        <v>31</v>
      </c>
      <c r="C2496" t="s">
        <v>32</v>
      </c>
      <c r="D2496" t="s">
        <v>341</v>
      </c>
      <c r="F2496" t="s">
        <v>35</v>
      </c>
      <c r="G2496" t="s">
        <v>35</v>
      </c>
      <c r="H2496" t="s">
        <v>35</v>
      </c>
      <c r="J2496" t="s">
        <v>3454</v>
      </c>
      <c r="K2496" t="s">
        <v>1092</v>
      </c>
      <c r="M2496">
        <v>0.02</v>
      </c>
      <c r="N2496">
        <v>1978</v>
      </c>
      <c r="O2496" t="s">
        <v>575</v>
      </c>
      <c r="Q2496" t="s">
        <v>3455</v>
      </c>
      <c r="R2496" t="s">
        <v>3456</v>
      </c>
      <c r="S2496" t="s">
        <v>3457</v>
      </c>
      <c r="T2496" t="s">
        <v>3458</v>
      </c>
    </row>
    <row r="2497" spans="1:20" x14ac:dyDescent="0.25">
      <c r="A2497" t="s">
        <v>59</v>
      </c>
      <c r="B2497" t="s">
        <v>60</v>
      </c>
      <c r="C2497" t="s">
        <v>32</v>
      </c>
      <c r="D2497" t="s">
        <v>341</v>
      </c>
      <c r="E2497" t="s">
        <v>413</v>
      </c>
      <c r="F2497" t="s">
        <v>35</v>
      </c>
      <c r="G2497" t="s">
        <v>35</v>
      </c>
      <c r="H2497" t="s">
        <v>35</v>
      </c>
      <c r="J2497" t="s">
        <v>3436</v>
      </c>
      <c r="K2497" t="s">
        <v>404</v>
      </c>
      <c r="M2497">
        <v>11.1</v>
      </c>
      <c r="N2497">
        <v>100</v>
      </c>
      <c r="O2497" t="s">
        <v>106</v>
      </c>
      <c r="Q2497" t="s">
        <v>1621</v>
      </c>
      <c r="R2497" t="s">
        <v>3437</v>
      </c>
      <c r="S2497" t="s">
        <v>369</v>
      </c>
      <c r="T2497" t="s">
        <v>371</v>
      </c>
    </row>
    <row r="2498" spans="1:20" x14ac:dyDescent="0.25">
      <c r="A2498" t="s">
        <v>30</v>
      </c>
      <c r="B2498" t="s">
        <v>31</v>
      </c>
      <c r="C2498" t="s">
        <v>32</v>
      </c>
      <c r="D2498" t="s">
        <v>341</v>
      </c>
      <c r="E2498" t="s">
        <v>363</v>
      </c>
      <c r="F2498" t="s">
        <v>35</v>
      </c>
      <c r="G2498" t="s">
        <v>35</v>
      </c>
      <c r="H2498" t="s">
        <v>35</v>
      </c>
      <c r="J2498" t="s">
        <v>3293</v>
      </c>
      <c r="K2498" t="s">
        <v>1092</v>
      </c>
      <c r="M2498">
        <v>9.9450000000000003</v>
      </c>
      <c r="N2498">
        <v>244</v>
      </c>
      <c r="O2498" t="s">
        <v>5</v>
      </c>
      <c r="Q2498" t="s">
        <v>1688</v>
      </c>
      <c r="R2498" t="s">
        <v>3294</v>
      </c>
      <c r="S2498" t="s">
        <v>364</v>
      </c>
      <c r="T2498" t="s">
        <v>365</v>
      </c>
    </row>
    <row r="2499" spans="1:20" x14ac:dyDescent="0.25">
      <c r="A2499" t="s">
        <v>30</v>
      </c>
      <c r="B2499" t="s">
        <v>31</v>
      </c>
      <c r="C2499" t="s">
        <v>32</v>
      </c>
      <c r="D2499" t="s">
        <v>341</v>
      </c>
      <c r="E2499" t="s">
        <v>3374</v>
      </c>
      <c r="F2499" t="s">
        <v>35</v>
      </c>
      <c r="G2499" t="s">
        <v>35</v>
      </c>
      <c r="H2499" t="s">
        <v>35</v>
      </c>
      <c r="J2499" t="s">
        <v>3382</v>
      </c>
      <c r="K2499" t="s">
        <v>1092</v>
      </c>
      <c r="M2499">
        <v>0.68500000000000005</v>
      </c>
      <c r="N2499">
        <v>543</v>
      </c>
      <c r="O2499" t="s">
        <v>294</v>
      </c>
      <c r="Q2499" t="s">
        <v>3383</v>
      </c>
      <c r="R2499" t="s">
        <v>3384</v>
      </c>
      <c r="S2499" t="s">
        <v>3385</v>
      </c>
      <c r="T2499" t="s">
        <v>3386</v>
      </c>
    </row>
    <row r="2500" spans="1:20" x14ac:dyDescent="0.25">
      <c r="A2500" t="s">
        <v>30</v>
      </c>
      <c r="B2500" t="s">
        <v>31</v>
      </c>
      <c r="C2500" t="s">
        <v>32</v>
      </c>
      <c r="D2500" t="s">
        <v>341</v>
      </c>
      <c r="E2500" t="s">
        <v>3348</v>
      </c>
      <c r="F2500" t="s">
        <v>35</v>
      </c>
      <c r="G2500" t="s">
        <v>35</v>
      </c>
      <c r="H2500" t="s">
        <v>35</v>
      </c>
      <c r="J2500" t="s">
        <v>3349</v>
      </c>
      <c r="K2500" t="s">
        <v>1092</v>
      </c>
      <c r="M2500">
        <v>0.76500000000000001</v>
      </c>
      <c r="N2500">
        <v>68</v>
      </c>
      <c r="O2500" t="s">
        <v>61</v>
      </c>
      <c r="Q2500" t="s">
        <v>805</v>
      </c>
      <c r="R2500" t="s">
        <v>3344</v>
      </c>
      <c r="S2500" t="s">
        <v>3345</v>
      </c>
      <c r="T2500" t="s">
        <v>3346</v>
      </c>
    </row>
    <row r="2501" spans="1:20" x14ac:dyDescent="0.25">
      <c r="A2501" t="s">
        <v>30</v>
      </c>
      <c r="B2501" t="s">
        <v>31</v>
      </c>
      <c r="C2501" t="s">
        <v>32</v>
      </c>
      <c r="D2501" t="s">
        <v>341</v>
      </c>
      <c r="E2501" t="s">
        <v>390</v>
      </c>
      <c r="F2501" t="s">
        <v>35</v>
      </c>
      <c r="G2501" t="s">
        <v>35</v>
      </c>
      <c r="H2501" t="s">
        <v>35</v>
      </c>
      <c r="J2501" t="s">
        <v>3343</v>
      </c>
      <c r="K2501" t="s">
        <v>404</v>
      </c>
      <c r="M2501">
        <v>0.18</v>
      </c>
      <c r="N2501">
        <v>68</v>
      </c>
      <c r="O2501" t="s">
        <v>61</v>
      </c>
      <c r="Q2501" t="s">
        <v>805</v>
      </c>
      <c r="R2501" t="s">
        <v>3344</v>
      </c>
      <c r="S2501" t="s">
        <v>3345</v>
      </c>
      <c r="T2501" t="s">
        <v>3346</v>
      </c>
    </row>
    <row r="2502" spans="1:20" x14ac:dyDescent="0.25">
      <c r="A2502" t="s">
        <v>59</v>
      </c>
      <c r="B2502" t="s">
        <v>60</v>
      </c>
      <c r="C2502" t="s">
        <v>32</v>
      </c>
      <c r="D2502" t="s">
        <v>341</v>
      </c>
      <c r="E2502" t="s">
        <v>3356</v>
      </c>
      <c r="F2502" t="s">
        <v>35</v>
      </c>
      <c r="G2502" t="s">
        <v>35</v>
      </c>
      <c r="H2502" t="s">
        <v>35</v>
      </c>
      <c r="J2502" t="s">
        <v>3359</v>
      </c>
      <c r="K2502" t="s">
        <v>1092</v>
      </c>
      <c r="M2502">
        <v>6</v>
      </c>
      <c r="N2502">
        <v>241</v>
      </c>
      <c r="O2502" t="s">
        <v>5</v>
      </c>
      <c r="Q2502" t="s">
        <v>1154</v>
      </c>
      <c r="R2502" t="s">
        <v>3358</v>
      </c>
      <c r="S2502" t="s">
        <v>414</v>
      </c>
      <c r="T2502" t="s">
        <v>415</v>
      </c>
    </row>
    <row r="2503" spans="1:20" x14ac:dyDescent="0.25">
      <c r="A2503" t="s">
        <v>30</v>
      </c>
      <c r="B2503" t="s">
        <v>31</v>
      </c>
      <c r="C2503" t="s">
        <v>32</v>
      </c>
      <c r="D2503" t="s">
        <v>341</v>
      </c>
      <c r="E2503" t="s">
        <v>3356</v>
      </c>
      <c r="F2503" t="s">
        <v>35</v>
      </c>
      <c r="G2503" t="s">
        <v>35</v>
      </c>
      <c r="H2503" t="s">
        <v>35</v>
      </c>
      <c r="J2503" t="s">
        <v>3359</v>
      </c>
      <c r="K2503" t="s">
        <v>1092</v>
      </c>
      <c r="M2503">
        <v>0.09</v>
      </c>
      <c r="N2503">
        <v>248</v>
      </c>
      <c r="O2503" t="s">
        <v>5</v>
      </c>
      <c r="Q2503" t="s">
        <v>1747</v>
      </c>
      <c r="R2503" t="s">
        <v>3358</v>
      </c>
      <c r="S2503" t="s">
        <v>414</v>
      </c>
      <c r="T2503" t="s">
        <v>415</v>
      </c>
    </row>
    <row r="2504" spans="1:20" x14ac:dyDescent="0.25">
      <c r="A2504" t="s">
        <v>44</v>
      </c>
      <c r="B2504" t="s">
        <v>3</v>
      </c>
      <c r="C2504" t="s">
        <v>32</v>
      </c>
      <c r="D2504" t="s">
        <v>341</v>
      </c>
      <c r="E2504" t="s">
        <v>3356</v>
      </c>
      <c r="F2504" t="s">
        <v>35</v>
      </c>
      <c r="G2504" t="s">
        <v>35</v>
      </c>
      <c r="H2504" t="s">
        <v>35</v>
      </c>
      <c r="J2504" t="s">
        <v>3359</v>
      </c>
      <c r="K2504" t="s">
        <v>1092</v>
      </c>
      <c r="M2504">
        <v>2.5</v>
      </c>
      <c r="N2504">
        <v>426</v>
      </c>
      <c r="O2504" t="s">
        <v>294</v>
      </c>
      <c r="Q2504" t="s">
        <v>1935</v>
      </c>
      <c r="R2504" t="s">
        <v>3358</v>
      </c>
      <c r="S2504" t="s">
        <v>414</v>
      </c>
      <c r="T2504" t="s">
        <v>415</v>
      </c>
    </row>
    <row r="2505" spans="1:20" x14ac:dyDescent="0.25">
      <c r="A2505" t="s">
        <v>30</v>
      </c>
      <c r="B2505" t="s">
        <v>31</v>
      </c>
      <c r="C2505" t="s">
        <v>32</v>
      </c>
      <c r="D2505" t="s">
        <v>341</v>
      </c>
      <c r="E2505" t="s">
        <v>3356</v>
      </c>
      <c r="F2505" t="s">
        <v>35</v>
      </c>
      <c r="G2505" t="s">
        <v>35</v>
      </c>
      <c r="H2505" t="s">
        <v>35</v>
      </c>
      <c r="J2505" t="s">
        <v>1121</v>
      </c>
      <c r="K2505" t="s">
        <v>1092</v>
      </c>
      <c r="M2505">
        <v>1.35</v>
      </c>
      <c r="N2505">
        <v>241</v>
      </c>
      <c r="O2505" t="s">
        <v>5</v>
      </c>
      <c r="Q2505" t="s">
        <v>1154</v>
      </c>
      <c r="R2505" t="s">
        <v>3358</v>
      </c>
      <c r="S2505" t="s">
        <v>414</v>
      </c>
      <c r="T2505" t="s">
        <v>415</v>
      </c>
    </row>
    <row r="2506" spans="1:20" x14ac:dyDescent="0.25">
      <c r="A2506" t="s">
        <v>44</v>
      </c>
      <c r="B2506" t="s">
        <v>51</v>
      </c>
      <c r="C2506" t="s">
        <v>32</v>
      </c>
      <c r="D2506" t="s">
        <v>341</v>
      </c>
      <c r="E2506" t="s">
        <v>403</v>
      </c>
      <c r="F2506" t="s">
        <v>35</v>
      </c>
      <c r="G2506" t="s">
        <v>35</v>
      </c>
      <c r="H2506" t="s">
        <v>35</v>
      </c>
      <c r="J2506" t="s">
        <v>3396</v>
      </c>
      <c r="K2506" t="s">
        <v>1092</v>
      </c>
      <c r="M2506">
        <v>3</v>
      </c>
      <c r="N2506">
        <v>156</v>
      </c>
      <c r="O2506" t="s">
        <v>38</v>
      </c>
      <c r="Q2506" t="s">
        <v>1632</v>
      </c>
      <c r="R2506" t="s">
        <v>3358</v>
      </c>
      <c r="S2506" t="s">
        <v>414</v>
      </c>
      <c r="T2506" t="s">
        <v>415</v>
      </c>
    </row>
    <row r="2507" spans="1:20" x14ac:dyDescent="0.25">
      <c r="A2507" t="s">
        <v>30</v>
      </c>
      <c r="B2507" t="s">
        <v>31</v>
      </c>
      <c r="C2507" t="s">
        <v>32</v>
      </c>
      <c r="D2507" t="s">
        <v>341</v>
      </c>
      <c r="E2507" t="s">
        <v>3374</v>
      </c>
      <c r="F2507" t="s">
        <v>35</v>
      </c>
      <c r="G2507" t="s">
        <v>35</v>
      </c>
      <c r="H2507" t="s">
        <v>35</v>
      </c>
      <c r="J2507" t="s">
        <v>3387</v>
      </c>
      <c r="K2507" t="s">
        <v>1092</v>
      </c>
      <c r="M2507">
        <v>6.39</v>
      </c>
      <c r="N2507">
        <v>237</v>
      </c>
      <c r="O2507" t="s">
        <v>5</v>
      </c>
      <c r="Q2507" t="s">
        <v>1242</v>
      </c>
      <c r="R2507" t="s">
        <v>3358</v>
      </c>
      <c r="S2507" t="s">
        <v>414</v>
      </c>
      <c r="T2507" t="s">
        <v>415</v>
      </c>
    </row>
    <row r="2508" spans="1:20" x14ac:dyDescent="0.25">
      <c r="A2508" t="s">
        <v>44</v>
      </c>
      <c r="B2508" t="s">
        <v>3</v>
      </c>
      <c r="C2508" t="s">
        <v>32</v>
      </c>
      <c r="D2508" t="s">
        <v>341</v>
      </c>
      <c r="E2508" t="s">
        <v>3374</v>
      </c>
      <c r="F2508" t="s">
        <v>35</v>
      </c>
      <c r="G2508" t="s">
        <v>35</v>
      </c>
      <c r="H2508" t="s">
        <v>35</v>
      </c>
      <c r="J2508" t="s">
        <v>3387</v>
      </c>
      <c r="K2508" t="s">
        <v>1092</v>
      </c>
      <c r="M2508">
        <v>1</v>
      </c>
      <c r="N2508">
        <v>422</v>
      </c>
      <c r="O2508" t="s">
        <v>294</v>
      </c>
      <c r="Q2508" t="s">
        <v>2570</v>
      </c>
      <c r="R2508" t="s">
        <v>3358</v>
      </c>
      <c r="S2508" t="s">
        <v>414</v>
      </c>
      <c r="T2508" t="s">
        <v>415</v>
      </c>
    </row>
    <row r="2509" spans="1:20" x14ac:dyDescent="0.25">
      <c r="A2509" t="s">
        <v>44</v>
      </c>
      <c r="B2509" t="s">
        <v>51</v>
      </c>
      <c r="C2509" t="s">
        <v>32</v>
      </c>
      <c r="D2509" t="s">
        <v>341</v>
      </c>
      <c r="E2509" t="s">
        <v>3356</v>
      </c>
      <c r="F2509" t="s">
        <v>35</v>
      </c>
      <c r="G2509" t="s">
        <v>35</v>
      </c>
      <c r="H2509" t="s">
        <v>35</v>
      </c>
      <c r="J2509" t="s">
        <v>3357</v>
      </c>
      <c r="K2509" t="s">
        <v>1092</v>
      </c>
      <c r="M2509">
        <v>2</v>
      </c>
      <c r="N2509">
        <v>156</v>
      </c>
      <c r="O2509" t="s">
        <v>38</v>
      </c>
      <c r="Q2509" t="s">
        <v>1632</v>
      </c>
      <c r="R2509" t="s">
        <v>3358</v>
      </c>
      <c r="S2509" t="s">
        <v>414</v>
      </c>
      <c r="T2509" t="s">
        <v>415</v>
      </c>
    </row>
    <row r="2510" spans="1:20" x14ac:dyDescent="0.25">
      <c r="A2510" t="s">
        <v>44</v>
      </c>
      <c r="B2510" t="s">
        <v>3</v>
      </c>
      <c r="C2510" t="s">
        <v>32</v>
      </c>
      <c r="D2510" t="s">
        <v>341</v>
      </c>
      <c r="E2510" t="s">
        <v>3356</v>
      </c>
      <c r="F2510" t="s">
        <v>35</v>
      </c>
      <c r="G2510" t="s">
        <v>35</v>
      </c>
      <c r="H2510" t="s">
        <v>35</v>
      </c>
      <c r="J2510" t="s">
        <v>3366</v>
      </c>
      <c r="K2510" t="s">
        <v>1092</v>
      </c>
      <c r="M2510">
        <v>0.5</v>
      </c>
      <c r="N2510">
        <v>425</v>
      </c>
      <c r="O2510" t="s">
        <v>294</v>
      </c>
      <c r="Q2510" t="s">
        <v>1271</v>
      </c>
      <c r="R2510" t="s">
        <v>3358</v>
      </c>
      <c r="S2510" t="s">
        <v>414</v>
      </c>
      <c r="T2510" t="s">
        <v>415</v>
      </c>
    </row>
    <row r="2511" spans="1:20" x14ac:dyDescent="0.25">
      <c r="A2511" t="s">
        <v>44</v>
      </c>
      <c r="B2511" t="s">
        <v>51</v>
      </c>
      <c r="C2511" t="s">
        <v>32</v>
      </c>
      <c r="D2511" t="s">
        <v>341</v>
      </c>
      <c r="E2511" t="s">
        <v>413</v>
      </c>
      <c r="F2511" t="s">
        <v>35</v>
      </c>
      <c r="G2511" t="s">
        <v>35</v>
      </c>
      <c r="H2511" t="s">
        <v>35</v>
      </c>
      <c r="J2511" t="s">
        <v>3445</v>
      </c>
      <c r="K2511" t="s">
        <v>1092</v>
      </c>
      <c r="M2511">
        <v>1.25</v>
      </c>
      <c r="N2511">
        <v>230</v>
      </c>
      <c r="O2511" t="s">
        <v>5</v>
      </c>
      <c r="Q2511" t="s">
        <v>3446</v>
      </c>
      <c r="R2511" t="s">
        <v>3358</v>
      </c>
      <c r="S2511" t="s">
        <v>414</v>
      </c>
      <c r="T2511" t="s">
        <v>415</v>
      </c>
    </row>
    <row r="2512" spans="1:20" x14ac:dyDescent="0.25">
      <c r="A2512" t="s">
        <v>30</v>
      </c>
      <c r="B2512" t="s">
        <v>31</v>
      </c>
      <c r="C2512" t="s">
        <v>32</v>
      </c>
      <c r="D2512" t="s">
        <v>341</v>
      </c>
      <c r="E2512" t="s">
        <v>3356</v>
      </c>
      <c r="F2512" t="s">
        <v>35</v>
      </c>
      <c r="G2512" t="s">
        <v>35</v>
      </c>
      <c r="H2512" t="s">
        <v>35</v>
      </c>
      <c r="J2512" t="s">
        <v>3360</v>
      </c>
      <c r="K2512" t="s">
        <v>1092</v>
      </c>
      <c r="M2512">
        <v>2.5000000000000001E-2</v>
      </c>
      <c r="N2512">
        <v>208</v>
      </c>
      <c r="O2512" t="s">
        <v>5</v>
      </c>
      <c r="Q2512" t="s">
        <v>3122</v>
      </c>
      <c r="R2512" t="s">
        <v>3358</v>
      </c>
      <c r="S2512" t="s">
        <v>414</v>
      </c>
      <c r="T2512" t="s">
        <v>415</v>
      </c>
    </row>
    <row r="2513" spans="1:20" x14ac:dyDescent="0.25">
      <c r="A2513" t="s">
        <v>44</v>
      </c>
      <c r="B2513" t="s">
        <v>51</v>
      </c>
      <c r="C2513" t="s">
        <v>32</v>
      </c>
      <c r="D2513" t="s">
        <v>341</v>
      </c>
      <c r="E2513" t="s">
        <v>413</v>
      </c>
      <c r="F2513" t="s">
        <v>35</v>
      </c>
      <c r="G2513" t="s">
        <v>35</v>
      </c>
      <c r="H2513" t="s">
        <v>35</v>
      </c>
      <c r="J2513" t="s">
        <v>3449</v>
      </c>
      <c r="K2513" t="s">
        <v>1092</v>
      </c>
      <c r="M2513">
        <v>0.5</v>
      </c>
      <c r="N2513">
        <v>230</v>
      </c>
      <c r="O2513" t="s">
        <v>5</v>
      </c>
      <c r="Q2513" t="s">
        <v>3446</v>
      </c>
      <c r="R2513" t="s">
        <v>3358</v>
      </c>
      <c r="S2513" t="s">
        <v>414</v>
      </c>
      <c r="T2513" t="s">
        <v>415</v>
      </c>
    </row>
    <row r="2514" spans="1:20" x14ac:dyDescent="0.25">
      <c r="A2514" t="s">
        <v>30</v>
      </c>
      <c r="B2514" t="s">
        <v>31</v>
      </c>
      <c r="C2514" t="s">
        <v>32</v>
      </c>
      <c r="D2514" t="s">
        <v>341</v>
      </c>
      <c r="E2514" t="s">
        <v>413</v>
      </c>
      <c r="F2514" t="s">
        <v>35</v>
      </c>
      <c r="G2514" t="s">
        <v>35</v>
      </c>
      <c r="H2514" t="s">
        <v>35</v>
      </c>
      <c r="J2514" t="s">
        <v>3440</v>
      </c>
      <c r="K2514" t="s">
        <v>1092</v>
      </c>
      <c r="M2514">
        <v>0.13500000000000001</v>
      </c>
      <c r="N2514">
        <v>426</v>
      </c>
      <c r="O2514" t="s">
        <v>294</v>
      </c>
      <c r="Q2514" t="s">
        <v>1935</v>
      </c>
      <c r="R2514" t="s">
        <v>3358</v>
      </c>
      <c r="S2514" t="s">
        <v>414</v>
      </c>
      <c r="T2514" t="s">
        <v>415</v>
      </c>
    </row>
    <row r="2515" spans="1:20" x14ac:dyDescent="0.25">
      <c r="A2515" t="s">
        <v>44</v>
      </c>
      <c r="B2515" t="s">
        <v>3</v>
      </c>
      <c r="C2515" t="s">
        <v>32</v>
      </c>
      <c r="D2515" t="s">
        <v>341</v>
      </c>
      <c r="E2515" t="s">
        <v>413</v>
      </c>
      <c r="F2515" t="s">
        <v>35</v>
      </c>
      <c r="G2515" t="s">
        <v>35</v>
      </c>
      <c r="H2515" t="s">
        <v>35</v>
      </c>
      <c r="J2515" t="s">
        <v>3440</v>
      </c>
      <c r="K2515" t="s">
        <v>1092</v>
      </c>
      <c r="M2515">
        <v>4</v>
      </c>
      <c r="N2515">
        <v>425</v>
      </c>
      <c r="O2515" t="s">
        <v>294</v>
      </c>
      <c r="Q2515" t="s">
        <v>1271</v>
      </c>
      <c r="R2515" t="s">
        <v>3358</v>
      </c>
      <c r="S2515" t="s">
        <v>414</v>
      </c>
      <c r="T2515" t="s">
        <v>415</v>
      </c>
    </row>
    <row r="2516" spans="1:20" x14ac:dyDescent="0.25">
      <c r="A2516" t="s">
        <v>30</v>
      </c>
      <c r="B2516" t="s">
        <v>31</v>
      </c>
      <c r="C2516" t="s">
        <v>32</v>
      </c>
      <c r="D2516" t="s">
        <v>341</v>
      </c>
      <c r="E2516" t="s">
        <v>3356</v>
      </c>
      <c r="F2516" t="s">
        <v>35</v>
      </c>
      <c r="G2516" t="s">
        <v>35</v>
      </c>
      <c r="H2516" t="s">
        <v>35</v>
      </c>
      <c r="J2516" t="s">
        <v>3361</v>
      </c>
      <c r="K2516" t="s">
        <v>1092</v>
      </c>
      <c r="M2516">
        <v>5.0000000000000001E-3</v>
      </c>
      <c r="N2516">
        <v>223</v>
      </c>
      <c r="O2516" t="s">
        <v>5</v>
      </c>
      <c r="Q2516" t="s">
        <v>1544</v>
      </c>
      <c r="R2516" t="s">
        <v>3358</v>
      </c>
      <c r="S2516" t="s">
        <v>414</v>
      </c>
      <c r="T2516" t="s">
        <v>415</v>
      </c>
    </row>
    <row r="2517" spans="1:20" x14ac:dyDescent="0.25">
      <c r="A2517" t="s">
        <v>30</v>
      </c>
      <c r="B2517" t="s">
        <v>31</v>
      </c>
      <c r="C2517" t="s">
        <v>32</v>
      </c>
      <c r="D2517" t="s">
        <v>341</v>
      </c>
      <c r="E2517" t="s">
        <v>413</v>
      </c>
      <c r="F2517" t="s">
        <v>35</v>
      </c>
      <c r="G2517" t="s">
        <v>35</v>
      </c>
      <c r="H2517" t="s">
        <v>35</v>
      </c>
      <c r="J2517" t="s">
        <v>3441</v>
      </c>
      <c r="K2517" t="s">
        <v>1092</v>
      </c>
      <c r="M2517">
        <v>1.4999999999999999E-2</v>
      </c>
      <c r="N2517">
        <v>143</v>
      </c>
      <c r="O2517" t="s">
        <v>38</v>
      </c>
      <c r="Q2517" t="s">
        <v>1612</v>
      </c>
      <c r="R2517" t="s">
        <v>3358</v>
      </c>
      <c r="S2517" t="s">
        <v>414</v>
      </c>
      <c r="T2517" t="s">
        <v>415</v>
      </c>
    </row>
    <row r="2518" spans="1:20" x14ac:dyDescent="0.25">
      <c r="A2518" t="s">
        <v>59</v>
      </c>
      <c r="B2518" t="s">
        <v>60</v>
      </c>
      <c r="C2518" t="s">
        <v>32</v>
      </c>
      <c r="D2518" t="s">
        <v>341</v>
      </c>
      <c r="E2518" t="s">
        <v>398</v>
      </c>
      <c r="F2518" t="s">
        <v>35</v>
      </c>
      <c r="G2518" t="s">
        <v>35</v>
      </c>
      <c r="H2518" t="s">
        <v>35</v>
      </c>
      <c r="J2518" t="s">
        <v>3371</v>
      </c>
      <c r="K2518" t="s">
        <v>1092</v>
      </c>
      <c r="M2518">
        <v>5</v>
      </c>
      <c r="N2518">
        <v>61</v>
      </c>
      <c r="O2518" t="s">
        <v>61</v>
      </c>
      <c r="Q2518" t="s">
        <v>146</v>
      </c>
      <c r="R2518" t="s">
        <v>3372</v>
      </c>
      <c r="S2518" t="s">
        <v>399</v>
      </c>
      <c r="T2518" t="s">
        <v>400</v>
      </c>
    </row>
    <row r="2519" spans="1:20" x14ac:dyDescent="0.25">
      <c r="A2519" t="s">
        <v>59</v>
      </c>
      <c r="B2519" t="s">
        <v>60</v>
      </c>
      <c r="C2519" t="s">
        <v>32</v>
      </c>
      <c r="D2519" t="s">
        <v>341</v>
      </c>
      <c r="E2519" t="s">
        <v>3407</v>
      </c>
      <c r="F2519" t="s">
        <v>35</v>
      </c>
      <c r="G2519" t="s">
        <v>35</v>
      </c>
      <c r="H2519" t="s">
        <v>35</v>
      </c>
      <c r="J2519" t="s">
        <v>3410</v>
      </c>
      <c r="K2519" t="s">
        <v>1092</v>
      </c>
      <c r="M2519">
        <v>2.5</v>
      </c>
      <c r="N2519">
        <v>51</v>
      </c>
      <c r="O2519" t="s">
        <v>52</v>
      </c>
      <c r="Q2519" t="s">
        <v>58</v>
      </c>
      <c r="R2519" t="s">
        <v>3377</v>
      </c>
      <c r="S2519" t="s">
        <v>3378</v>
      </c>
      <c r="T2519" t="s">
        <v>3379</v>
      </c>
    </row>
    <row r="2520" spans="1:20" x14ac:dyDescent="0.25">
      <c r="A2520" t="s">
        <v>30</v>
      </c>
      <c r="B2520" t="s">
        <v>31</v>
      </c>
      <c r="C2520" t="s">
        <v>32</v>
      </c>
      <c r="D2520" t="s">
        <v>341</v>
      </c>
      <c r="E2520" t="s">
        <v>3422</v>
      </c>
      <c r="F2520" t="s">
        <v>35</v>
      </c>
      <c r="G2520" t="s">
        <v>35</v>
      </c>
      <c r="H2520" t="s">
        <v>35</v>
      </c>
      <c r="J2520" t="s">
        <v>3435</v>
      </c>
      <c r="K2520" t="s">
        <v>1092</v>
      </c>
      <c r="M2520">
        <v>3.24</v>
      </c>
      <c r="N2520">
        <v>122</v>
      </c>
      <c r="O2520" t="s">
        <v>38</v>
      </c>
      <c r="Q2520" t="s">
        <v>1449</v>
      </c>
      <c r="R2520" t="s">
        <v>3377</v>
      </c>
      <c r="S2520" t="s">
        <v>3378</v>
      </c>
      <c r="T2520" t="s">
        <v>3379</v>
      </c>
    </row>
    <row r="2521" spans="1:20" x14ac:dyDescent="0.25">
      <c r="A2521" t="s">
        <v>30</v>
      </c>
      <c r="B2521" t="s">
        <v>31</v>
      </c>
      <c r="C2521" t="s">
        <v>32</v>
      </c>
      <c r="D2521" t="s">
        <v>341</v>
      </c>
      <c r="E2521" t="s">
        <v>3374</v>
      </c>
      <c r="F2521" t="s">
        <v>35</v>
      </c>
      <c r="G2521" t="s">
        <v>35</v>
      </c>
      <c r="H2521" t="s">
        <v>35</v>
      </c>
      <c r="J2521" t="s">
        <v>3376</v>
      </c>
      <c r="K2521" t="s">
        <v>1092</v>
      </c>
      <c r="M2521">
        <v>0.13500000000000001</v>
      </c>
      <c r="N2521">
        <v>68</v>
      </c>
      <c r="O2521" t="s">
        <v>61</v>
      </c>
      <c r="Q2521" t="s">
        <v>805</v>
      </c>
      <c r="R2521" t="s">
        <v>3377</v>
      </c>
      <c r="S2521" t="s">
        <v>3378</v>
      </c>
      <c r="T2521" t="s">
        <v>3379</v>
      </c>
    </row>
    <row r="2522" spans="1:20" x14ac:dyDescent="0.25">
      <c r="A2522" t="s">
        <v>30</v>
      </c>
      <c r="B2522" t="s">
        <v>31</v>
      </c>
      <c r="C2522" t="s">
        <v>32</v>
      </c>
      <c r="D2522" t="s">
        <v>341</v>
      </c>
      <c r="E2522" t="s">
        <v>3407</v>
      </c>
      <c r="F2522" t="s">
        <v>35</v>
      </c>
      <c r="G2522" t="s">
        <v>35</v>
      </c>
      <c r="H2522" t="s">
        <v>35</v>
      </c>
      <c r="J2522" t="s">
        <v>3411</v>
      </c>
      <c r="K2522" t="s">
        <v>1092</v>
      </c>
      <c r="M2522">
        <v>1.845</v>
      </c>
      <c r="N2522">
        <v>62</v>
      </c>
      <c r="O2522" t="s">
        <v>61</v>
      </c>
      <c r="Q2522" t="s">
        <v>139</v>
      </c>
      <c r="R2522" t="s">
        <v>3377</v>
      </c>
      <c r="S2522" t="s">
        <v>3378</v>
      </c>
      <c r="T2522" t="s">
        <v>3379</v>
      </c>
    </row>
    <row r="2523" spans="1:20" x14ac:dyDescent="0.25">
      <c r="A2523" t="s">
        <v>30</v>
      </c>
      <c r="B2523" t="s">
        <v>31</v>
      </c>
      <c r="C2523" t="s">
        <v>32</v>
      </c>
      <c r="D2523" t="s">
        <v>341</v>
      </c>
      <c r="E2523" t="s">
        <v>3374</v>
      </c>
      <c r="F2523" t="s">
        <v>35</v>
      </c>
      <c r="G2523" t="s">
        <v>35</v>
      </c>
      <c r="H2523" t="s">
        <v>35</v>
      </c>
      <c r="J2523" t="s">
        <v>3393</v>
      </c>
      <c r="K2523" t="s">
        <v>1092</v>
      </c>
      <c r="M2523">
        <v>0.9</v>
      </c>
      <c r="N2523">
        <v>62</v>
      </c>
      <c r="O2523" t="s">
        <v>61</v>
      </c>
      <c r="Q2523" t="s">
        <v>139</v>
      </c>
      <c r="R2523" t="s">
        <v>3377</v>
      </c>
      <c r="S2523" t="s">
        <v>3378</v>
      </c>
      <c r="T2523" t="s">
        <v>3379</v>
      </c>
    </row>
    <row r="2524" spans="1:20" x14ac:dyDescent="0.25">
      <c r="A2524" t="s">
        <v>30</v>
      </c>
      <c r="B2524" t="s">
        <v>31</v>
      </c>
      <c r="C2524" t="s">
        <v>32</v>
      </c>
      <c r="D2524" t="s">
        <v>341</v>
      </c>
      <c r="E2524" t="s">
        <v>3374</v>
      </c>
      <c r="F2524" t="s">
        <v>35</v>
      </c>
      <c r="G2524" t="s">
        <v>35</v>
      </c>
      <c r="H2524" t="s">
        <v>35</v>
      </c>
      <c r="J2524" t="s">
        <v>3393</v>
      </c>
      <c r="K2524" t="s">
        <v>1092</v>
      </c>
      <c r="M2524">
        <v>9.8550000000000004</v>
      </c>
      <c r="N2524">
        <v>68</v>
      </c>
      <c r="O2524" t="s">
        <v>61</v>
      </c>
      <c r="Q2524" t="s">
        <v>805</v>
      </c>
      <c r="R2524" t="s">
        <v>3377</v>
      </c>
      <c r="S2524" t="s">
        <v>3378</v>
      </c>
      <c r="T2524" t="s">
        <v>3379</v>
      </c>
    </row>
    <row r="2525" spans="1:20" x14ac:dyDescent="0.25">
      <c r="A2525" t="s">
        <v>30</v>
      </c>
      <c r="B2525" t="s">
        <v>31</v>
      </c>
      <c r="C2525" t="s">
        <v>32</v>
      </c>
      <c r="D2525" t="s">
        <v>341</v>
      </c>
      <c r="E2525" t="s">
        <v>342</v>
      </c>
      <c r="F2525" t="s">
        <v>35</v>
      </c>
      <c r="G2525" t="s">
        <v>35</v>
      </c>
      <c r="H2525" t="s">
        <v>35</v>
      </c>
      <c r="J2525" t="s">
        <v>3280</v>
      </c>
      <c r="K2525" t="s">
        <v>1092</v>
      </c>
      <c r="M2525">
        <v>3.69</v>
      </c>
      <c r="N2525">
        <v>292</v>
      </c>
      <c r="O2525" t="s">
        <v>5</v>
      </c>
      <c r="Q2525" t="s">
        <v>3281</v>
      </c>
      <c r="R2525" t="s">
        <v>3269</v>
      </c>
      <c r="S2525" t="s">
        <v>3270</v>
      </c>
      <c r="T2525" t="s">
        <v>3271</v>
      </c>
    </row>
    <row r="2526" spans="1:20" x14ac:dyDescent="0.25">
      <c r="A2526" t="s">
        <v>30</v>
      </c>
      <c r="B2526" t="s">
        <v>31</v>
      </c>
      <c r="C2526" t="s">
        <v>32</v>
      </c>
      <c r="D2526" t="s">
        <v>341</v>
      </c>
      <c r="E2526" t="s">
        <v>3266</v>
      </c>
      <c r="F2526" t="s">
        <v>35</v>
      </c>
      <c r="G2526" t="s">
        <v>35</v>
      </c>
      <c r="H2526" t="s">
        <v>35</v>
      </c>
      <c r="J2526" t="s">
        <v>3268</v>
      </c>
      <c r="K2526" t="s">
        <v>1092</v>
      </c>
      <c r="M2526">
        <v>8.2799999999999994</v>
      </c>
      <c r="N2526">
        <v>46</v>
      </c>
      <c r="O2526" t="s">
        <v>52</v>
      </c>
      <c r="Q2526" t="s">
        <v>332</v>
      </c>
      <c r="R2526" t="s">
        <v>3269</v>
      </c>
      <c r="S2526" t="s">
        <v>3270</v>
      </c>
      <c r="T2526" t="s">
        <v>3271</v>
      </c>
    </row>
    <row r="2527" spans="1:20" x14ac:dyDescent="0.25">
      <c r="A2527" t="s">
        <v>30</v>
      </c>
      <c r="B2527" t="s">
        <v>31</v>
      </c>
      <c r="C2527" t="s">
        <v>32</v>
      </c>
      <c r="D2527" t="s">
        <v>341</v>
      </c>
      <c r="E2527" t="s">
        <v>377</v>
      </c>
      <c r="F2527" t="s">
        <v>35</v>
      </c>
      <c r="G2527" t="s">
        <v>35</v>
      </c>
      <c r="H2527" t="s">
        <v>35</v>
      </c>
      <c r="J2527" t="s">
        <v>3308</v>
      </c>
      <c r="K2527" t="s">
        <v>1092</v>
      </c>
      <c r="M2527">
        <v>1.4850000000000001</v>
      </c>
      <c r="N2527">
        <v>126</v>
      </c>
      <c r="O2527" t="s">
        <v>38</v>
      </c>
      <c r="Q2527" t="s">
        <v>68</v>
      </c>
      <c r="R2527" t="s">
        <v>3269</v>
      </c>
      <c r="S2527" t="s">
        <v>3270</v>
      </c>
      <c r="T2527" t="s">
        <v>3271</v>
      </c>
    </row>
    <row r="2528" spans="1:20" x14ac:dyDescent="0.25">
      <c r="A2528" t="s">
        <v>44</v>
      </c>
      <c r="B2528" t="s">
        <v>51</v>
      </c>
      <c r="C2528" t="s">
        <v>32</v>
      </c>
      <c r="D2528" t="s">
        <v>341</v>
      </c>
      <c r="E2528" t="s">
        <v>377</v>
      </c>
      <c r="F2528" t="s">
        <v>35</v>
      </c>
      <c r="G2528" t="s">
        <v>35</v>
      </c>
      <c r="H2528" t="s">
        <v>35</v>
      </c>
      <c r="J2528" t="s">
        <v>3308</v>
      </c>
      <c r="K2528" t="s">
        <v>1092</v>
      </c>
      <c r="M2528">
        <v>0.4</v>
      </c>
      <c r="N2528">
        <v>126</v>
      </c>
      <c r="O2528" t="s">
        <v>38</v>
      </c>
      <c r="Q2528" t="s">
        <v>68</v>
      </c>
      <c r="R2528" t="s">
        <v>3269</v>
      </c>
      <c r="S2528" t="s">
        <v>3270</v>
      </c>
      <c r="T2528" t="s">
        <v>3271</v>
      </c>
    </row>
    <row r="2529" spans="1:20" x14ac:dyDescent="0.25">
      <c r="A2529" t="s">
        <v>30</v>
      </c>
      <c r="B2529" t="s">
        <v>31</v>
      </c>
      <c r="C2529" t="s">
        <v>32</v>
      </c>
      <c r="D2529" t="s">
        <v>341</v>
      </c>
      <c r="E2529" t="s">
        <v>342</v>
      </c>
      <c r="F2529" t="s">
        <v>35</v>
      </c>
      <c r="G2529" t="s">
        <v>35</v>
      </c>
      <c r="H2529" t="s">
        <v>35</v>
      </c>
      <c r="J2529" t="s">
        <v>3283</v>
      </c>
      <c r="K2529" t="s">
        <v>1092</v>
      </c>
      <c r="M2529">
        <v>8.2349999999999994</v>
      </c>
      <c r="N2529">
        <v>425</v>
      </c>
      <c r="O2529" t="s">
        <v>294</v>
      </c>
      <c r="Q2529" t="s">
        <v>1271</v>
      </c>
      <c r="R2529" t="s">
        <v>3269</v>
      </c>
      <c r="S2529" t="s">
        <v>3270</v>
      </c>
      <c r="T2529" t="s">
        <v>3271</v>
      </c>
    </row>
    <row r="2530" spans="1:20" x14ac:dyDescent="0.25">
      <c r="A2530" t="s">
        <v>59</v>
      </c>
      <c r="B2530" t="s">
        <v>60</v>
      </c>
      <c r="C2530" t="s">
        <v>32</v>
      </c>
      <c r="D2530" t="s">
        <v>341</v>
      </c>
      <c r="E2530" t="s">
        <v>3266</v>
      </c>
      <c r="F2530" t="s">
        <v>35</v>
      </c>
      <c r="G2530" t="s">
        <v>35</v>
      </c>
      <c r="H2530" t="s">
        <v>35</v>
      </c>
      <c r="J2530" t="s">
        <v>3267</v>
      </c>
      <c r="K2530" t="s">
        <v>1092</v>
      </c>
      <c r="M2530">
        <v>0.4</v>
      </c>
      <c r="N2530">
        <v>117</v>
      </c>
      <c r="O2530" t="s">
        <v>106</v>
      </c>
      <c r="Q2530" t="s">
        <v>406</v>
      </c>
      <c r="R2530" t="s">
        <v>347</v>
      </c>
      <c r="S2530" t="s">
        <v>348</v>
      </c>
      <c r="T2530" t="s">
        <v>349</v>
      </c>
    </row>
    <row r="2531" spans="1:20" x14ac:dyDescent="0.25">
      <c r="A2531" t="s">
        <v>44</v>
      </c>
      <c r="B2531" t="s">
        <v>51</v>
      </c>
      <c r="C2531" t="s">
        <v>32</v>
      </c>
      <c r="D2531" t="s">
        <v>341</v>
      </c>
      <c r="E2531" t="s">
        <v>377</v>
      </c>
      <c r="F2531" t="s">
        <v>35</v>
      </c>
      <c r="G2531" t="s">
        <v>35</v>
      </c>
      <c r="H2531" t="s">
        <v>35</v>
      </c>
      <c r="J2531" t="s">
        <v>3320</v>
      </c>
      <c r="K2531" t="s">
        <v>1092</v>
      </c>
      <c r="M2531">
        <v>9.5</v>
      </c>
      <c r="N2531">
        <v>51</v>
      </c>
      <c r="O2531" t="s">
        <v>52</v>
      </c>
      <c r="Q2531" t="s">
        <v>58</v>
      </c>
      <c r="R2531" t="s">
        <v>347</v>
      </c>
      <c r="S2531" t="s">
        <v>348</v>
      </c>
      <c r="T2531" t="s">
        <v>349</v>
      </c>
    </row>
    <row r="2532" spans="1:20" x14ac:dyDescent="0.25">
      <c r="A2532" t="s">
        <v>30</v>
      </c>
      <c r="B2532" t="s">
        <v>31</v>
      </c>
      <c r="C2532" t="s">
        <v>32</v>
      </c>
      <c r="D2532" t="s">
        <v>341</v>
      </c>
      <c r="E2532" t="s">
        <v>377</v>
      </c>
      <c r="F2532" t="s">
        <v>35</v>
      </c>
      <c r="G2532" t="s">
        <v>35</v>
      </c>
      <c r="H2532" t="s">
        <v>35</v>
      </c>
      <c r="J2532" t="s">
        <v>3320</v>
      </c>
      <c r="K2532" t="s">
        <v>1092</v>
      </c>
      <c r="M2532">
        <v>11.744999999999999</v>
      </c>
      <c r="N2532">
        <v>67</v>
      </c>
      <c r="O2532" t="s">
        <v>61</v>
      </c>
      <c r="Q2532" t="s">
        <v>488</v>
      </c>
      <c r="R2532" t="s">
        <v>347</v>
      </c>
      <c r="S2532" t="s">
        <v>348</v>
      </c>
      <c r="T2532" t="s">
        <v>349</v>
      </c>
    </row>
    <row r="2533" spans="1:20" x14ac:dyDescent="0.25">
      <c r="A2533" t="s">
        <v>30</v>
      </c>
      <c r="B2533" t="s">
        <v>31</v>
      </c>
      <c r="C2533" t="s">
        <v>32</v>
      </c>
      <c r="D2533" t="s">
        <v>341</v>
      </c>
      <c r="E2533" t="s">
        <v>403</v>
      </c>
      <c r="F2533" t="s">
        <v>35</v>
      </c>
      <c r="G2533" t="s">
        <v>35</v>
      </c>
      <c r="H2533" t="s">
        <v>35</v>
      </c>
      <c r="J2533" t="s">
        <v>361</v>
      </c>
      <c r="K2533" t="s">
        <v>404</v>
      </c>
      <c r="M2533">
        <v>29.925000000000001</v>
      </c>
      <c r="N2533">
        <v>117</v>
      </c>
      <c r="O2533" t="s">
        <v>106</v>
      </c>
      <c r="P2533" t="s">
        <v>405</v>
      </c>
      <c r="Q2533" t="s">
        <v>406</v>
      </c>
      <c r="R2533" t="s">
        <v>347</v>
      </c>
      <c r="S2533" t="s">
        <v>348</v>
      </c>
      <c r="T2533" t="s">
        <v>349</v>
      </c>
    </row>
    <row r="2534" spans="1:20" x14ac:dyDescent="0.25">
      <c r="A2534" t="s">
        <v>30</v>
      </c>
      <c r="B2534" t="s">
        <v>31</v>
      </c>
      <c r="C2534" t="s">
        <v>32</v>
      </c>
      <c r="D2534" t="s">
        <v>341</v>
      </c>
      <c r="E2534" t="s">
        <v>403</v>
      </c>
      <c r="F2534" t="s">
        <v>35</v>
      </c>
      <c r="G2534" t="s">
        <v>35</v>
      </c>
      <c r="H2534" t="s">
        <v>35</v>
      </c>
      <c r="J2534" t="s">
        <v>361</v>
      </c>
      <c r="K2534" t="s">
        <v>404</v>
      </c>
      <c r="M2534">
        <v>4.4999999999999998E-2</v>
      </c>
      <c r="N2534">
        <v>145</v>
      </c>
      <c r="O2534" t="s">
        <v>38</v>
      </c>
      <c r="P2534" t="s">
        <v>407</v>
      </c>
      <c r="Q2534" t="s">
        <v>408</v>
      </c>
      <c r="R2534" t="s">
        <v>347</v>
      </c>
      <c r="S2534" t="s">
        <v>348</v>
      </c>
      <c r="T2534" t="s">
        <v>349</v>
      </c>
    </row>
    <row r="2535" spans="1:20" x14ac:dyDescent="0.25">
      <c r="A2535" t="s">
        <v>30</v>
      </c>
      <c r="B2535" t="s">
        <v>31</v>
      </c>
      <c r="C2535" t="s">
        <v>32</v>
      </c>
      <c r="D2535" t="s">
        <v>341</v>
      </c>
      <c r="E2535" t="s">
        <v>403</v>
      </c>
      <c r="F2535" t="s">
        <v>35</v>
      </c>
      <c r="G2535" t="s">
        <v>35</v>
      </c>
      <c r="H2535" t="s">
        <v>35</v>
      </c>
      <c r="J2535" t="s">
        <v>3401</v>
      </c>
      <c r="K2535" t="s">
        <v>1092</v>
      </c>
      <c r="M2535">
        <v>2.1150000000000002</v>
      </c>
      <c r="N2535">
        <v>145</v>
      </c>
      <c r="O2535" t="s">
        <v>38</v>
      </c>
      <c r="Q2535" t="s">
        <v>408</v>
      </c>
      <c r="R2535" t="s">
        <v>347</v>
      </c>
      <c r="S2535" t="s">
        <v>348</v>
      </c>
      <c r="T2535" t="s">
        <v>349</v>
      </c>
    </row>
    <row r="2536" spans="1:20" x14ac:dyDescent="0.25">
      <c r="A2536" t="s">
        <v>44</v>
      </c>
      <c r="B2536" t="s">
        <v>51</v>
      </c>
      <c r="C2536" t="s">
        <v>32</v>
      </c>
      <c r="D2536" t="s">
        <v>341</v>
      </c>
      <c r="E2536" t="s">
        <v>3325</v>
      </c>
      <c r="F2536" t="s">
        <v>35</v>
      </c>
      <c r="G2536" t="s">
        <v>35</v>
      </c>
      <c r="H2536" t="s">
        <v>35</v>
      </c>
      <c r="J2536" t="s">
        <v>3326</v>
      </c>
      <c r="K2536" t="s">
        <v>404</v>
      </c>
      <c r="M2536">
        <v>6</v>
      </c>
      <c r="N2536">
        <v>51</v>
      </c>
      <c r="O2536" t="s">
        <v>52</v>
      </c>
      <c r="Q2536" t="s">
        <v>58</v>
      </c>
      <c r="R2536" t="s">
        <v>347</v>
      </c>
      <c r="S2536" t="s">
        <v>348</v>
      </c>
      <c r="T2536" t="s">
        <v>349</v>
      </c>
    </row>
    <row r="2537" spans="1:20" x14ac:dyDescent="0.25">
      <c r="A2537" t="s">
        <v>30</v>
      </c>
      <c r="B2537" t="s">
        <v>31</v>
      </c>
      <c r="C2537" t="s">
        <v>32</v>
      </c>
      <c r="D2537" t="s">
        <v>341</v>
      </c>
      <c r="E2537" t="s">
        <v>3325</v>
      </c>
      <c r="F2537" t="s">
        <v>35</v>
      </c>
      <c r="G2537" t="s">
        <v>35</v>
      </c>
      <c r="H2537" t="s">
        <v>35</v>
      </c>
      <c r="J2537" t="s">
        <v>3326</v>
      </c>
      <c r="K2537" t="s">
        <v>404</v>
      </c>
      <c r="M2537">
        <v>0.72</v>
      </c>
      <c r="N2537">
        <v>67</v>
      </c>
      <c r="O2537" t="s">
        <v>61</v>
      </c>
      <c r="Q2537" t="s">
        <v>488</v>
      </c>
      <c r="R2537" t="s">
        <v>347</v>
      </c>
      <c r="S2537" t="s">
        <v>348</v>
      </c>
      <c r="T2537" t="s">
        <v>349</v>
      </c>
    </row>
    <row r="2538" spans="1:20" x14ac:dyDescent="0.25">
      <c r="A2538" t="s">
        <v>30</v>
      </c>
      <c r="B2538" t="s">
        <v>31</v>
      </c>
      <c r="C2538" t="s">
        <v>32</v>
      </c>
      <c r="D2538" t="s">
        <v>341</v>
      </c>
      <c r="E2538" t="s">
        <v>377</v>
      </c>
      <c r="F2538" t="s">
        <v>35</v>
      </c>
      <c r="G2538" t="s">
        <v>35</v>
      </c>
      <c r="H2538" t="s">
        <v>35</v>
      </c>
      <c r="J2538" t="s">
        <v>3313</v>
      </c>
      <c r="K2538" t="s">
        <v>1092</v>
      </c>
      <c r="M2538">
        <v>3.33</v>
      </c>
      <c r="N2538">
        <v>97</v>
      </c>
      <c r="O2538" t="s">
        <v>106</v>
      </c>
      <c r="Q2538" t="s">
        <v>2577</v>
      </c>
      <c r="R2538" t="s">
        <v>347</v>
      </c>
      <c r="S2538" t="s">
        <v>348</v>
      </c>
      <c r="T2538" t="s">
        <v>349</v>
      </c>
    </row>
    <row r="2539" spans="1:20" x14ac:dyDescent="0.25">
      <c r="A2539" t="s">
        <v>59</v>
      </c>
      <c r="B2539" t="s">
        <v>31</v>
      </c>
      <c r="C2539" t="s">
        <v>32</v>
      </c>
      <c r="D2539" t="s">
        <v>341</v>
      </c>
      <c r="E2539" t="s">
        <v>377</v>
      </c>
      <c r="F2539" t="s">
        <v>35</v>
      </c>
      <c r="G2539" t="s">
        <v>35</v>
      </c>
      <c r="H2539" t="s">
        <v>35</v>
      </c>
      <c r="J2539" t="s">
        <v>3313</v>
      </c>
      <c r="K2539" t="s">
        <v>1092</v>
      </c>
      <c r="M2539">
        <v>32.58</v>
      </c>
      <c r="N2539">
        <v>97</v>
      </c>
      <c r="O2539" t="s">
        <v>106</v>
      </c>
      <c r="Q2539" t="s">
        <v>2577</v>
      </c>
      <c r="R2539" t="s">
        <v>347</v>
      </c>
      <c r="S2539" t="s">
        <v>348</v>
      </c>
      <c r="T2539" t="s">
        <v>349</v>
      </c>
    </row>
    <row r="2540" spans="1:20" x14ac:dyDescent="0.25">
      <c r="A2540" t="s">
        <v>59</v>
      </c>
      <c r="B2540" t="s">
        <v>60</v>
      </c>
      <c r="C2540" t="s">
        <v>32</v>
      </c>
      <c r="D2540" t="s">
        <v>341</v>
      </c>
      <c r="E2540" t="s">
        <v>363</v>
      </c>
      <c r="F2540" t="s">
        <v>35</v>
      </c>
      <c r="G2540" t="s">
        <v>35</v>
      </c>
      <c r="H2540" t="s">
        <v>35</v>
      </c>
      <c r="J2540" t="s">
        <v>364</v>
      </c>
      <c r="K2540" t="s">
        <v>37</v>
      </c>
      <c r="M2540">
        <v>13</v>
      </c>
      <c r="N2540">
        <v>247</v>
      </c>
      <c r="O2540" t="s">
        <v>5</v>
      </c>
      <c r="P2540" t="s">
        <v>366</v>
      </c>
      <c r="Q2540" t="s">
        <v>367</v>
      </c>
      <c r="R2540" t="s">
        <v>347</v>
      </c>
      <c r="S2540" t="s">
        <v>348</v>
      </c>
      <c r="T2540" t="s">
        <v>349</v>
      </c>
    </row>
    <row r="2541" spans="1:20" x14ac:dyDescent="0.25">
      <c r="A2541" t="s">
        <v>44</v>
      </c>
      <c r="B2541" t="s">
        <v>51</v>
      </c>
      <c r="C2541" t="s">
        <v>32</v>
      </c>
      <c r="D2541" t="s">
        <v>341</v>
      </c>
      <c r="E2541" t="s">
        <v>377</v>
      </c>
      <c r="F2541" t="s">
        <v>35</v>
      </c>
      <c r="G2541" t="s">
        <v>35</v>
      </c>
      <c r="H2541" t="s">
        <v>35</v>
      </c>
      <c r="J2541" t="s">
        <v>3305</v>
      </c>
      <c r="K2541" t="s">
        <v>404</v>
      </c>
      <c r="M2541">
        <v>2.5499999999999998</v>
      </c>
      <c r="N2541">
        <v>118</v>
      </c>
      <c r="O2541" t="s">
        <v>106</v>
      </c>
      <c r="Q2541" t="s">
        <v>1954</v>
      </c>
      <c r="R2541" t="s">
        <v>347</v>
      </c>
      <c r="S2541" t="s">
        <v>348</v>
      </c>
      <c r="T2541" t="s">
        <v>349</v>
      </c>
    </row>
    <row r="2542" spans="1:20" x14ac:dyDescent="0.25">
      <c r="A2542" t="s">
        <v>59</v>
      </c>
      <c r="B2542" t="s">
        <v>60</v>
      </c>
      <c r="C2542" t="s">
        <v>32</v>
      </c>
      <c r="D2542" t="s">
        <v>341</v>
      </c>
      <c r="E2542" t="s">
        <v>377</v>
      </c>
      <c r="F2542" t="s">
        <v>35</v>
      </c>
      <c r="G2542" t="s">
        <v>35</v>
      </c>
      <c r="H2542" t="s">
        <v>35</v>
      </c>
      <c r="J2542" t="s">
        <v>3319</v>
      </c>
      <c r="K2542" t="s">
        <v>404</v>
      </c>
      <c r="M2542">
        <v>0.25</v>
      </c>
      <c r="N2542">
        <v>400</v>
      </c>
      <c r="O2542" t="s">
        <v>294</v>
      </c>
      <c r="Q2542" t="s">
        <v>2608</v>
      </c>
      <c r="R2542" t="s">
        <v>347</v>
      </c>
      <c r="S2542" t="s">
        <v>348</v>
      </c>
      <c r="T2542" t="s">
        <v>349</v>
      </c>
    </row>
    <row r="2543" spans="1:20" x14ac:dyDescent="0.25">
      <c r="A2543" t="s">
        <v>59</v>
      </c>
      <c r="B2543" t="s">
        <v>60</v>
      </c>
      <c r="C2543" t="s">
        <v>32</v>
      </c>
      <c r="D2543" t="s">
        <v>341</v>
      </c>
      <c r="E2543" t="s">
        <v>377</v>
      </c>
      <c r="F2543" t="s">
        <v>35</v>
      </c>
      <c r="G2543" t="s">
        <v>35</v>
      </c>
      <c r="H2543" t="s">
        <v>35</v>
      </c>
      <c r="J2543" t="s">
        <v>3304</v>
      </c>
      <c r="K2543" t="s">
        <v>404</v>
      </c>
      <c r="M2543">
        <v>0.75</v>
      </c>
      <c r="N2543">
        <v>400</v>
      </c>
      <c r="O2543" t="s">
        <v>294</v>
      </c>
      <c r="Q2543" t="s">
        <v>2608</v>
      </c>
      <c r="R2543" t="s">
        <v>347</v>
      </c>
      <c r="S2543" t="s">
        <v>348</v>
      </c>
      <c r="T2543" t="s">
        <v>349</v>
      </c>
    </row>
    <row r="2544" spans="1:20" x14ac:dyDescent="0.25">
      <c r="A2544" t="s">
        <v>59</v>
      </c>
      <c r="B2544" t="s">
        <v>60</v>
      </c>
      <c r="C2544" t="s">
        <v>32</v>
      </c>
      <c r="D2544" t="s">
        <v>341</v>
      </c>
      <c r="E2544" t="s">
        <v>377</v>
      </c>
      <c r="F2544" t="s">
        <v>35</v>
      </c>
      <c r="G2544" t="s">
        <v>35</v>
      </c>
      <c r="H2544" t="s">
        <v>35</v>
      </c>
      <c r="J2544" t="s">
        <v>3304</v>
      </c>
      <c r="K2544" t="s">
        <v>404</v>
      </c>
      <c r="M2544">
        <v>6</v>
      </c>
      <c r="N2544">
        <v>117</v>
      </c>
      <c r="O2544" t="s">
        <v>106</v>
      </c>
      <c r="Q2544" t="s">
        <v>406</v>
      </c>
      <c r="R2544" t="s">
        <v>347</v>
      </c>
      <c r="S2544" t="s">
        <v>348</v>
      </c>
      <c r="T2544" t="s">
        <v>349</v>
      </c>
    </row>
    <row r="2545" spans="1:20" x14ac:dyDescent="0.25">
      <c r="A2545" t="s">
        <v>59</v>
      </c>
      <c r="B2545" t="s">
        <v>60</v>
      </c>
      <c r="C2545" t="s">
        <v>32</v>
      </c>
      <c r="D2545" t="s">
        <v>341</v>
      </c>
      <c r="E2545" t="s">
        <v>377</v>
      </c>
      <c r="F2545" t="s">
        <v>35</v>
      </c>
      <c r="G2545" t="s">
        <v>35</v>
      </c>
      <c r="H2545" t="s">
        <v>35</v>
      </c>
      <c r="J2545" t="s">
        <v>3318</v>
      </c>
      <c r="K2545" t="s">
        <v>404</v>
      </c>
      <c r="M2545">
        <v>1.75</v>
      </c>
      <c r="N2545">
        <v>216</v>
      </c>
      <c r="O2545" t="s">
        <v>5</v>
      </c>
      <c r="Q2545" t="s">
        <v>3310</v>
      </c>
      <c r="R2545" t="s">
        <v>347</v>
      </c>
      <c r="S2545" t="s">
        <v>348</v>
      </c>
      <c r="T2545" t="s">
        <v>349</v>
      </c>
    </row>
    <row r="2546" spans="1:20" x14ac:dyDescent="0.25">
      <c r="A2546" t="s">
        <v>59</v>
      </c>
      <c r="B2546" t="s">
        <v>31</v>
      </c>
      <c r="C2546" t="s">
        <v>32</v>
      </c>
      <c r="D2546" t="s">
        <v>341</v>
      </c>
      <c r="E2546" t="s">
        <v>377</v>
      </c>
      <c r="F2546" t="s">
        <v>35</v>
      </c>
      <c r="G2546" t="s">
        <v>35</v>
      </c>
      <c r="H2546" t="s">
        <v>35</v>
      </c>
      <c r="J2546" t="s">
        <v>3314</v>
      </c>
      <c r="K2546" t="s">
        <v>1092</v>
      </c>
      <c r="M2546">
        <v>11.565</v>
      </c>
      <c r="N2546">
        <v>172</v>
      </c>
      <c r="O2546" t="s">
        <v>38</v>
      </c>
      <c r="Q2546" t="s">
        <v>346</v>
      </c>
      <c r="R2546" t="s">
        <v>347</v>
      </c>
      <c r="S2546" t="s">
        <v>348</v>
      </c>
      <c r="T2546" t="s">
        <v>349</v>
      </c>
    </row>
    <row r="2547" spans="1:20" x14ac:dyDescent="0.25">
      <c r="A2547" t="s">
        <v>59</v>
      </c>
      <c r="B2547" t="s">
        <v>60</v>
      </c>
      <c r="C2547" t="s">
        <v>32</v>
      </c>
      <c r="D2547" t="s">
        <v>341</v>
      </c>
      <c r="E2547" t="s">
        <v>413</v>
      </c>
      <c r="F2547" t="s">
        <v>35</v>
      </c>
      <c r="G2547" t="s">
        <v>35</v>
      </c>
      <c r="H2547" t="s">
        <v>35</v>
      </c>
      <c r="J2547" t="s">
        <v>414</v>
      </c>
      <c r="K2547" t="s">
        <v>37</v>
      </c>
      <c r="M2547">
        <v>3</v>
      </c>
      <c r="N2547">
        <v>238</v>
      </c>
      <c r="O2547" t="s">
        <v>5</v>
      </c>
      <c r="P2547" t="s">
        <v>416</v>
      </c>
      <c r="Q2547" t="s">
        <v>111</v>
      </c>
      <c r="R2547" t="s">
        <v>347</v>
      </c>
      <c r="S2547" t="s">
        <v>348</v>
      </c>
      <c r="T2547" t="s">
        <v>349</v>
      </c>
    </row>
    <row r="2548" spans="1:20" x14ac:dyDescent="0.25">
      <c r="A2548" t="s">
        <v>59</v>
      </c>
      <c r="B2548" t="s">
        <v>60</v>
      </c>
      <c r="C2548" t="s">
        <v>32</v>
      </c>
      <c r="D2548" t="s">
        <v>341</v>
      </c>
      <c r="E2548" t="s">
        <v>413</v>
      </c>
      <c r="F2548" t="s">
        <v>35</v>
      </c>
      <c r="G2548" t="s">
        <v>35</v>
      </c>
      <c r="H2548" t="s">
        <v>35</v>
      </c>
      <c r="J2548" t="s">
        <v>414</v>
      </c>
      <c r="K2548" t="s">
        <v>37</v>
      </c>
      <c r="M2548">
        <v>3.75</v>
      </c>
      <c r="N2548">
        <v>247</v>
      </c>
      <c r="O2548" t="s">
        <v>5</v>
      </c>
      <c r="P2548" t="s">
        <v>417</v>
      </c>
      <c r="Q2548" t="s">
        <v>367</v>
      </c>
      <c r="R2548" t="s">
        <v>347</v>
      </c>
      <c r="S2548" t="s">
        <v>348</v>
      </c>
      <c r="T2548" t="s">
        <v>349</v>
      </c>
    </row>
    <row r="2549" spans="1:20" x14ac:dyDescent="0.25">
      <c r="A2549" t="s">
        <v>30</v>
      </c>
      <c r="B2549" t="s">
        <v>31</v>
      </c>
      <c r="C2549" t="s">
        <v>32</v>
      </c>
      <c r="D2549" t="s">
        <v>341</v>
      </c>
      <c r="E2549" t="s">
        <v>403</v>
      </c>
      <c r="F2549" t="s">
        <v>35</v>
      </c>
      <c r="G2549" t="s">
        <v>35</v>
      </c>
      <c r="H2549" t="s">
        <v>35</v>
      </c>
      <c r="J2549" t="s">
        <v>3395</v>
      </c>
      <c r="K2549" t="s">
        <v>1092</v>
      </c>
      <c r="M2549">
        <v>7.83</v>
      </c>
      <c r="N2549">
        <v>67</v>
      </c>
      <c r="O2549" t="s">
        <v>61</v>
      </c>
      <c r="Q2549" t="s">
        <v>488</v>
      </c>
      <c r="R2549" t="s">
        <v>347</v>
      </c>
      <c r="S2549" t="s">
        <v>348</v>
      </c>
      <c r="T2549" t="s">
        <v>349</v>
      </c>
    </row>
    <row r="2550" spans="1:20" x14ac:dyDescent="0.25">
      <c r="A2550" t="s">
        <v>44</v>
      </c>
      <c r="B2550" t="s">
        <v>51</v>
      </c>
      <c r="C2550" t="s">
        <v>32</v>
      </c>
      <c r="D2550" t="s">
        <v>341</v>
      </c>
      <c r="E2550" t="s">
        <v>403</v>
      </c>
      <c r="F2550" t="s">
        <v>35</v>
      </c>
      <c r="G2550" t="s">
        <v>35</v>
      </c>
      <c r="H2550" t="s">
        <v>35</v>
      </c>
      <c r="J2550" t="s">
        <v>3402</v>
      </c>
      <c r="K2550" t="s">
        <v>1092</v>
      </c>
      <c r="M2550">
        <v>1</v>
      </c>
      <c r="N2550">
        <v>238</v>
      </c>
      <c r="O2550" t="s">
        <v>5</v>
      </c>
      <c r="Q2550" t="s">
        <v>111</v>
      </c>
      <c r="R2550" t="s">
        <v>347</v>
      </c>
      <c r="S2550" t="s">
        <v>348</v>
      </c>
      <c r="T2550" t="s">
        <v>349</v>
      </c>
    </row>
    <row r="2551" spans="1:20" x14ac:dyDescent="0.25">
      <c r="A2551" t="s">
        <v>44</v>
      </c>
      <c r="B2551" t="s">
        <v>51</v>
      </c>
      <c r="C2551" t="s">
        <v>32</v>
      </c>
      <c r="D2551" t="s">
        <v>341</v>
      </c>
      <c r="E2551" t="s">
        <v>403</v>
      </c>
      <c r="F2551" t="s">
        <v>35</v>
      </c>
      <c r="G2551" t="s">
        <v>35</v>
      </c>
      <c r="H2551" t="s">
        <v>35</v>
      </c>
      <c r="J2551" t="s">
        <v>3402</v>
      </c>
      <c r="K2551" t="s">
        <v>1092</v>
      </c>
      <c r="M2551">
        <v>24</v>
      </c>
      <c r="N2551">
        <v>110</v>
      </c>
      <c r="O2551" t="s">
        <v>106</v>
      </c>
      <c r="Q2551" t="s">
        <v>3342</v>
      </c>
      <c r="R2551" t="s">
        <v>347</v>
      </c>
      <c r="S2551" t="s">
        <v>348</v>
      </c>
      <c r="T2551" t="s">
        <v>349</v>
      </c>
    </row>
    <row r="2552" spans="1:20" x14ac:dyDescent="0.25">
      <c r="A2552" t="s">
        <v>44</v>
      </c>
      <c r="B2552" t="s">
        <v>51</v>
      </c>
      <c r="C2552" t="s">
        <v>32</v>
      </c>
      <c r="D2552" t="s">
        <v>341</v>
      </c>
      <c r="E2552" t="s">
        <v>403</v>
      </c>
      <c r="F2552" t="s">
        <v>35</v>
      </c>
      <c r="G2552" t="s">
        <v>35</v>
      </c>
      <c r="H2552" t="s">
        <v>35</v>
      </c>
      <c r="J2552" t="s">
        <v>3402</v>
      </c>
      <c r="K2552" t="s">
        <v>1092</v>
      </c>
      <c r="M2552">
        <v>15</v>
      </c>
      <c r="N2552">
        <v>134</v>
      </c>
      <c r="O2552" t="s">
        <v>38</v>
      </c>
      <c r="Q2552" t="s">
        <v>1822</v>
      </c>
      <c r="R2552" t="s">
        <v>347</v>
      </c>
      <c r="S2552" t="s">
        <v>348</v>
      </c>
      <c r="T2552" t="s">
        <v>349</v>
      </c>
    </row>
    <row r="2553" spans="1:20" x14ac:dyDescent="0.25">
      <c r="A2553" t="s">
        <v>44</v>
      </c>
      <c r="B2553" t="s">
        <v>51</v>
      </c>
      <c r="C2553" t="s">
        <v>32</v>
      </c>
      <c r="D2553" t="s">
        <v>341</v>
      </c>
      <c r="E2553" t="s">
        <v>403</v>
      </c>
      <c r="F2553" t="s">
        <v>35</v>
      </c>
      <c r="G2553" t="s">
        <v>35</v>
      </c>
      <c r="H2553" t="s">
        <v>35</v>
      </c>
      <c r="J2553" t="s">
        <v>3402</v>
      </c>
      <c r="K2553" t="s">
        <v>1092</v>
      </c>
      <c r="M2553">
        <v>6</v>
      </c>
      <c r="N2553">
        <v>141</v>
      </c>
      <c r="O2553" t="s">
        <v>38</v>
      </c>
      <c r="Q2553" t="s">
        <v>1168</v>
      </c>
      <c r="R2553" t="s">
        <v>347</v>
      </c>
      <c r="S2553" t="s">
        <v>348</v>
      </c>
      <c r="T2553" t="s">
        <v>349</v>
      </c>
    </row>
    <row r="2554" spans="1:20" x14ac:dyDescent="0.25">
      <c r="A2554" t="s">
        <v>59</v>
      </c>
      <c r="B2554" t="s">
        <v>31</v>
      </c>
      <c r="C2554" t="s">
        <v>32</v>
      </c>
      <c r="D2554" t="s">
        <v>341</v>
      </c>
      <c r="E2554" t="s">
        <v>342</v>
      </c>
      <c r="F2554" t="s">
        <v>35</v>
      </c>
      <c r="G2554" t="s">
        <v>35</v>
      </c>
      <c r="H2554" t="s">
        <v>35</v>
      </c>
      <c r="J2554" t="s">
        <v>343</v>
      </c>
      <c r="K2554" t="s">
        <v>37</v>
      </c>
      <c r="M2554">
        <v>23.94</v>
      </c>
      <c r="N2554">
        <v>172</v>
      </c>
      <c r="O2554" t="s">
        <v>38</v>
      </c>
      <c r="P2554" t="s">
        <v>345</v>
      </c>
      <c r="Q2554" t="s">
        <v>346</v>
      </c>
      <c r="R2554" t="s">
        <v>347</v>
      </c>
      <c r="S2554" t="s">
        <v>348</v>
      </c>
      <c r="T2554" t="s">
        <v>349</v>
      </c>
    </row>
    <row r="2555" spans="1:20" x14ac:dyDescent="0.25">
      <c r="A2555" t="s">
        <v>59</v>
      </c>
      <c r="B2555" t="s">
        <v>31</v>
      </c>
      <c r="C2555" t="s">
        <v>32</v>
      </c>
      <c r="D2555" t="s">
        <v>341</v>
      </c>
      <c r="E2555" t="s">
        <v>342</v>
      </c>
      <c r="F2555" t="s">
        <v>35</v>
      </c>
      <c r="G2555" t="s">
        <v>35</v>
      </c>
      <c r="H2555" t="s">
        <v>35</v>
      </c>
      <c r="J2555" t="s">
        <v>343</v>
      </c>
      <c r="K2555" t="s">
        <v>37</v>
      </c>
      <c r="M2555">
        <v>23.94</v>
      </c>
      <c r="N2555">
        <v>172</v>
      </c>
      <c r="O2555" t="s">
        <v>38</v>
      </c>
      <c r="P2555" t="s">
        <v>350</v>
      </c>
      <c r="Q2555" t="s">
        <v>346</v>
      </c>
      <c r="R2555" t="s">
        <v>347</v>
      </c>
      <c r="S2555" t="s">
        <v>348</v>
      </c>
      <c r="T2555" t="s">
        <v>349</v>
      </c>
    </row>
    <row r="2556" spans="1:20" x14ac:dyDescent="0.25">
      <c r="A2556" t="s">
        <v>59</v>
      </c>
      <c r="B2556" t="s">
        <v>31</v>
      </c>
      <c r="C2556" t="s">
        <v>32</v>
      </c>
      <c r="D2556" t="s">
        <v>341</v>
      </c>
      <c r="E2556" t="s">
        <v>342</v>
      </c>
      <c r="F2556" t="s">
        <v>35</v>
      </c>
      <c r="G2556" t="s">
        <v>35</v>
      </c>
      <c r="H2556" t="s">
        <v>35</v>
      </c>
      <c r="J2556" t="s">
        <v>343</v>
      </c>
      <c r="K2556" t="s">
        <v>37</v>
      </c>
      <c r="M2556">
        <v>11.97</v>
      </c>
      <c r="N2556">
        <v>172</v>
      </c>
      <c r="O2556" t="s">
        <v>38</v>
      </c>
      <c r="P2556" t="s">
        <v>351</v>
      </c>
      <c r="Q2556" t="s">
        <v>346</v>
      </c>
      <c r="R2556" t="s">
        <v>347</v>
      </c>
      <c r="S2556" t="s">
        <v>348</v>
      </c>
      <c r="T2556" t="s">
        <v>349</v>
      </c>
    </row>
    <row r="2557" spans="1:20" x14ac:dyDescent="0.25">
      <c r="A2557" t="s">
        <v>30</v>
      </c>
      <c r="B2557" t="s">
        <v>31</v>
      </c>
      <c r="C2557" t="s">
        <v>32</v>
      </c>
      <c r="D2557" t="s">
        <v>341</v>
      </c>
      <c r="E2557" t="s">
        <v>403</v>
      </c>
      <c r="F2557" t="s">
        <v>35</v>
      </c>
      <c r="G2557" t="s">
        <v>35</v>
      </c>
      <c r="H2557" t="s">
        <v>35</v>
      </c>
      <c r="J2557" t="s">
        <v>3394</v>
      </c>
      <c r="K2557" t="s">
        <v>1092</v>
      </c>
      <c r="M2557">
        <v>0.45</v>
      </c>
      <c r="N2557">
        <v>141</v>
      </c>
      <c r="O2557" t="s">
        <v>38</v>
      </c>
      <c r="Q2557" t="s">
        <v>1168</v>
      </c>
      <c r="R2557" t="s">
        <v>347</v>
      </c>
      <c r="S2557" t="s">
        <v>348</v>
      </c>
      <c r="T2557" t="s">
        <v>349</v>
      </c>
    </row>
    <row r="2558" spans="1:20" x14ac:dyDescent="0.25">
      <c r="A2558" t="s">
        <v>30</v>
      </c>
      <c r="B2558" t="s">
        <v>31</v>
      </c>
      <c r="C2558" t="s">
        <v>32</v>
      </c>
      <c r="D2558" t="s">
        <v>341</v>
      </c>
      <c r="E2558" t="s">
        <v>3325</v>
      </c>
      <c r="F2558" t="s">
        <v>35</v>
      </c>
      <c r="G2558" t="s">
        <v>35</v>
      </c>
      <c r="H2558" t="s">
        <v>35</v>
      </c>
      <c r="J2558" t="s">
        <v>3327</v>
      </c>
      <c r="K2558" t="s">
        <v>1092</v>
      </c>
      <c r="M2558">
        <v>1.575</v>
      </c>
      <c r="N2558">
        <v>67</v>
      </c>
      <c r="O2558" t="s">
        <v>61</v>
      </c>
      <c r="Q2558" t="s">
        <v>488</v>
      </c>
      <c r="R2558" t="s">
        <v>347</v>
      </c>
      <c r="S2558" t="s">
        <v>348</v>
      </c>
      <c r="T2558" t="s">
        <v>349</v>
      </c>
    </row>
    <row r="2559" spans="1:20" x14ac:dyDescent="0.25">
      <c r="A2559" t="s">
        <v>30</v>
      </c>
      <c r="B2559" t="s">
        <v>31</v>
      </c>
      <c r="C2559" t="s">
        <v>32</v>
      </c>
      <c r="D2559" t="s">
        <v>341</v>
      </c>
      <c r="E2559" t="s">
        <v>377</v>
      </c>
      <c r="F2559" t="s">
        <v>35</v>
      </c>
      <c r="G2559" t="s">
        <v>35</v>
      </c>
      <c r="H2559" t="s">
        <v>35</v>
      </c>
      <c r="J2559" t="s">
        <v>3317</v>
      </c>
      <c r="K2559" t="s">
        <v>404</v>
      </c>
      <c r="M2559">
        <v>12.465</v>
      </c>
      <c r="N2559">
        <v>145</v>
      </c>
      <c r="O2559" t="s">
        <v>38</v>
      </c>
      <c r="Q2559" t="s">
        <v>408</v>
      </c>
      <c r="R2559" t="s">
        <v>347</v>
      </c>
      <c r="S2559" t="s">
        <v>348</v>
      </c>
      <c r="T2559" t="s">
        <v>349</v>
      </c>
    </row>
    <row r="2560" spans="1:20" x14ac:dyDescent="0.25">
      <c r="A2560" t="s">
        <v>44</v>
      </c>
      <c r="B2560" t="s">
        <v>51</v>
      </c>
      <c r="C2560" t="s">
        <v>32</v>
      </c>
      <c r="D2560" t="s">
        <v>341</v>
      </c>
      <c r="E2560" t="s">
        <v>377</v>
      </c>
      <c r="F2560" t="s">
        <v>35</v>
      </c>
      <c r="G2560" t="s">
        <v>35</v>
      </c>
      <c r="H2560" t="s">
        <v>35</v>
      </c>
      <c r="J2560" t="s">
        <v>3317</v>
      </c>
      <c r="K2560" t="s">
        <v>404</v>
      </c>
      <c r="M2560">
        <v>10.1</v>
      </c>
      <c r="N2560">
        <v>145</v>
      </c>
      <c r="O2560" t="s">
        <v>38</v>
      </c>
      <c r="Q2560" t="s">
        <v>408</v>
      </c>
      <c r="R2560" t="s">
        <v>347</v>
      </c>
      <c r="S2560" t="s">
        <v>348</v>
      </c>
      <c r="T2560" t="s">
        <v>349</v>
      </c>
    </row>
    <row r="2561" spans="1:20" x14ac:dyDescent="0.25">
      <c r="A2561" t="s">
        <v>59</v>
      </c>
      <c r="B2561" t="s">
        <v>60</v>
      </c>
      <c r="C2561" t="s">
        <v>32</v>
      </c>
      <c r="D2561" t="s">
        <v>341</v>
      </c>
      <c r="E2561" t="s">
        <v>3407</v>
      </c>
      <c r="F2561" t="s">
        <v>35</v>
      </c>
      <c r="G2561" t="s">
        <v>35</v>
      </c>
      <c r="H2561" t="s">
        <v>35</v>
      </c>
      <c r="J2561" t="s">
        <v>3408</v>
      </c>
      <c r="K2561" t="s">
        <v>1092</v>
      </c>
      <c r="M2561">
        <v>0.05</v>
      </c>
      <c r="N2561">
        <v>124</v>
      </c>
      <c r="O2561" t="s">
        <v>38</v>
      </c>
      <c r="Q2561" t="s">
        <v>646</v>
      </c>
      <c r="R2561" t="s">
        <v>347</v>
      </c>
      <c r="S2561" t="s">
        <v>348</v>
      </c>
      <c r="T2561" t="s">
        <v>349</v>
      </c>
    </row>
    <row r="2562" spans="1:20" x14ac:dyDescent="0.25">
      <c r="A2562" t="s">
        <v>59</v>
      </c>
      <c r="B2562" t="s">
        <v>60</v>
      </c>
      <c r="C2562" t="s">
        <v>32</v>
      </c>
      <c r="D2562" t="s">
        <v>341</v>
      </c>
      <c r="E2562" t="s">
        <v>377</v>
      </c>
      <c r="F2562" t="s">
        <v>35</v>
      </c>
      <c r="G2562" t="s">
        <v>35</v>
      </c>
      <c r="H2562" t="s">
        <v>35</v>
      </c>
      <c r="J2562" t="s">
        <v>3315</v>
      </c>
      <c r="K2562" t="s">
        <v>404</v>
      </c>
      <c r="M2562">
        <v>5.75</v>
      </c>
      <c r="N2562">
        <v>117</v>
      </c>
      <c r="O2562" t="s">
        <v>106</v>
      </c>
      <c r="Q2562" t="s">
        <v>406</v>
      </c>
      <c r="R2562" t="s">
        <v>347</v>
      </c>
      <c r="S2562" t="s">
        <v>348</v>
      </c>
      <c r="T2562" t="s">
        <v>349</v>
      </c>
    </row>
    <row r="2563" spans="1:20" x14ac:dyDescent="0.25">
      <c r="A2563" t="s">
        <v>44</v>
      </c>
      <c r="B2563" t="s">
        <v>51</v>
      </c>
      <c r="C2563" t="s">
        <v>32</v>
      </c>
      <c r="D2563" t="s">
        <v>341</v>
      </c>
      <c r="E2563" t="s">
        <v>377</v>
      </c>
      <c r="F2563" t="s">
        <v>35</v>
      </c>
      <c r="G2563" t="s">
        <v>35</v>
      </c>
      <c r="H2563" t="s">
        <v>35</v>
      </c>
      <c r="J2563" t="s">
        <v>3315</v>
      </c>
      <c r="K2563" t="s">
        <v>404</v>
      </c>
      <c r="M2563">
        <v>1.1000000000000001</v>
      </c>
      <c r="N2563">
        <v>134</v>
      </c>
      <c r="O2563" t="s">
        <v>38</v>
      </c>
      <c r="Q2563" t="s">
        <v>1822</v>
      </c>
      <c r="R2563" t="s">
        <v>347</v>
      </c>
      <c r="S2563" t="s">
        <v>348</v>
      </c>
      <c r="T2563" t="s">
        <v>349</v>
      </c>
    </row>
    <row r="2564" spans="1:20" x14ac:dyDescent="0.25">
      <c r="A2564" t="s">
        <v>44</v>
      </c>
      <c r="B2564" t="s">
        <v>51</v>
      </c>
      <c r="C2564" t="s">
        <v>32</v>
      </c>
      <c r="D2564" t="s">
        <v>341</v>
      </c>
      <c r="E2564" t="s">
        <v>377</v>
      </c>
      <c r="F2564" t="s">
        <v>35</v>
      </c>
      <c r="G2564" t="s">
        <v>35</v>
      </c>
      <c r="H2564" t="s">
        <v>35</v>
      </c>
      <c r="J2564" t="s">
        <v>3315</v>
      </c>
      <c r="K2564" t="s">
        <v>404</v>
      </c>
      <c r="M2564">
        <v>12</v>
      </c>
      <c r="N2564">
        <v>117</v>
      </c>
      <c r="O2564" t="s">
        <v>106</v>
      </c>
      <c r="Q2564" t="s">
        <v>406</v>
      </c>
      <c r="R2564" t="s">
        <v>347</v>
      </c>
      <c r="S2564" t="s">
        <v>348</v>
      </c>
      <c r="T2564" t="s">
        <v>349</v>
      </c>
    </row>
    <row r="2565" spans="1:20" x14ac:dyDescent="0.25">
      <c r="A2565" t="s">
        <v>44</v>
      </c>
      <c r="B2565" t="s">
        <v>51</v>
      </c>
      <c r="C2565" t="s">
        <v>32</v>
      </c>
      <c r="D2565" t="s">
        <v>341</v>
      </c>
      <c r="E2565" t="s">
        <v>377</v>
      </c>
      <c r="F2565" t="s">
        <v>35</v>
      </c>
      <c r="G2565" t="s">
        <v>35</v>
      </c>
      <c r="H2565" t="s">
        <v>35</v>
      </c>
      <c r="J2565" t="s">
        <v>3306</v>
      </c>
      <c r="K2565" t="s">
        <v>404</v>
      </c>
      <c r="M2565">
        <v>12</v>
      </c>
      <c r="N2565">
        <v>51</v>
      </c>
      <c r="O2565" t="s">
        <v>52</v>
      </c>
      <c r="Q2565" t="s">
        <v>58</v>
      </c>
      <c r="R2565" t="s">
        <v>347</v>
      </c>
      <c r="S2565" t="s">
        <v>348</v>
      </c>
      <c r="T2565" t="s">
        <v>349</v>
      </c>
    </row>
    <row r="2566" spans="1:20" x14ac:dyDescent="0.25">
      <c r="A2566" t="s">
        <v>30</v>
      </c>
      <c r="B2566" t="s">
        <v>31</v>
      </c>
      <c r="C2566" t="s">
        <v>32</v>
      </c>
      <c r="D2566" t="s">
        <v>341</v>
      </c>
      <c r="E2566" t="s">
        <v>377</v>
      </c>
      <c r="F2566" t="s">
        <v>35</v>
      </c>
      <c r="G2566" t="s">
        <v>35</v>
      </c>
      <c r="H2566" t="s">
        <v>35</v>
      </c>
      <c r="J2566" t="s">
        <v>3306</v>
      </c>
      <c r="K2566" t="s">
        <v>404</v>
      </c>
      <c r="M2566">
        <v>9.5399999999999991</v>
      </c>
      <c r="N2566">
        <v>67</v>
      </c>
      <c r="O2566" t="s">
        <v>61</v>
      </c>
      <c r="Q2566" t="s">
        <v>488</v>
      </c>
      <c r="R2566" t="s">
        <v>347</v>
      </c>
      <c r="S2566" t="s">
        <v>348</v>
      </c>
      <c r="T2566" t="s">
        <v>349</v>
      </c>
    </row>
    <row r="2567" spans="1:20" x14ac:dyDescent="0.25">
      <c r="A2567" t="s">
        <v>59</v>
      </c>
      <c r="B2567" t="s">
        <v>60</v>
      </c>
      <c r="C2567" t="s">
        <v>32</v>
      </c>
      <c r="D2567" t="s">
        <v>341</v>
      </c>
      <c r="E2567" t="s">
        <v>377</v>
      </c>
      <c r="F2567" t="s">
        <v>35</v>
      </c>
      <c r="G2567" t="s">
        <v>35</v>
      </c>
      <c r="H2567" t="s">
        <v>35</v>
      </c>
      <c r="J2567" t="s">
        <v>3307</v>
      </c>
      <c r="K2567" t="s">
        <v>1092</v>
      </c>
      <c r="M2567">
        <v>2.15</v>
      </c>
      <c r="N2567">
        <v>400</v>
      </c>
      <c r="O2567" t="s">
        <v>294</v>
      </c>
      <c r="Q2567" t="s">
        <v>2608</v>
      </c>
      <c r="R2567" t="s">
        <v>347</v>
      </c>
      <c r="S2567" t="s">
        <v>348</v>
      </c>
      <c r="T2567" t="s">
        <v>349</v>
      </c>
    </row>
    <row r="2568" spans="1:20" x14ac:dyDescent="0.25">
      <c r="A2568" t="s">
        <v>44</v>
      </c>
      <c r="B2568" t="s">
        <v>51</v>
      </c>
      <c r="C2568" t="s">
        <v>32</v>
      </c>
      <c r="D2568" t="s">
        <v>341</v>
      </c>
      <c r="E2568" t="s">
        <v>403</v>
      </c>
      <c r="F2568" t="s">
        <v>35</v>
      </c>
      <c r="G2568" t="s">
        <v>35</v>
      </c>
      <c r="H2568" t="s">
        <v>35</v>
      </c>
      <c r="J2568" t="s">
        <v>3399</v>
      </c>
      <c r="K2568" t="s">
        <v>1092</v>
      </c>
      <c r="M2568">
        <v>9.15</v>
      </c>
      <c r="N2568">
        <v>113</v>
      </c>
      <c r="O2568" t="s">
        <v>106</v>
      </c>
      <c r="Q2568" t="s">
        <v>3400</v>
      </c>
      <c r="R2568" t="s">
        <v>347</v>
      </c>
      <c r="S2568" t="s">
        <v>348</v>
      </c>
      <c r="T2568" t="s">
        <v>349</v>
      </c>
    </row>
    <row r="2569" spans="1:20" x14ac:dyDescent="0.25">
      <c r="A2569" t="s">
        <v>59</v>
      </c>
      <c r="B2569" t="s">
        <v>60</v>
      </c>
      <c r="C2569" t="s">
        <v>32</v>
      </c>
      <c r="D2569" t="s">
        <v>341</v>
      </c>
      <c r="E2569" t="s">
        <v>403</v>
      </c>
      <c r="F2569" t="s">
        <v>35</v>
      </c>
      <c r="G2569" t="s">
        <v>35</v>
      </c>
      <c r="H2569" t="s">
        <v>35</v>
      </c>
      <c r="J2569" t="s">
        <v>3399</v>
      </c>
      <c r="K2569" t="s">
        <v>1092</v>
      </c>
      <c r="M2569">
        <v>0.65</v>
      </c>
      <c r="N2569">
        <v>117</v>
      </c>
      <c r="O2569" t="s">
        <v>106</v>
      </c>
      <c r="Q2569" t="s">
        <v>406</v>
      </c>
      <c r="R2569" t="s">
        <v>347</v>
      </c>
      <c r="S2569" t="s">
        <v>348</v>
      </c>
      <c r="T2569" t="s">
        <v>349</v>
      </c>
    </row>
    <row r="2570" spans="1:20" x14ac:dyDescent="0.25">
      <c r="A2570" t="s">
        <v>59</v>
      </c>
      <c r="B2570" t="s">
        <v>31</v>
      </c>
      <c r="C2570" t="s">
        <v>32</v>
      </c>
      <c r="D2570" t="s">
        <v>341</v>
      </c>
      <c r="E2570" t="s">
        <v>390</v>
      </c>
      <c r="F2570" t="s">
        <v>35</v>
      </c>
      <c r="G2570" t="s">
        <v>35</v>
      </c>
      <c r="H2570" t="s">
        <v>35</v>
      </c>
      <c r="J2570" t="s">
        <v>3341</v>
      </c>
      <c r="K2570" t="s">
        <v>1092</v>
      </c>
      <c r="M2570">
        <v>6.84</v>
      </c>
      <c r="N2570">
        <v>219</v>
      </c>
      <c r="O2570" t="s">
        <v>5</v>
      </c>
      <c r="Q2570" t="s">
        <v>3300</v>
      </c>
      <c r="R2570" t="s">
        <v>347</v>
      </c>
      <c r="S2570" t="s">
        <v>348</v>
      </c>
      <c r="T2570" t="s">
        <v>349</v>
      </c>
    </row>
    <row r="2571" spans="1:20" x14ac:dyDescent="0.25">
      <c r="A2571" t="s">
        <v>30</v>
      </c>
      <c r="B2571" t="s">
        <v>31</v>
      </c>
      <c r="C2571" t="s">
        <v>32</v>
      </c>
      <c r="D2571" t="s">
        <v>341</v>
      </c>
      <c r="E2571" t="s">
        <v>390</v>
      </c>
      <c r="F2571" t="s">
        <v>35</v>
      </c>
      <c r="G2571" t="s">
        <v>35</v>
      </c>
      <c r="H2571" t="s">
        <v>35</v>
      </c>
      <c r="J2571" t="s">
        <v>3341</v>
      </c>
      <c r="K2571" t="s">
        <v>1092</v>
      </c>
      <c r="M2571">
        <v>11.97</v>
      </c>
      <c r="N2571">
        <v>67</v>
      </c>
      <c r="O2571" t="s">
        <v>61</v>
      </c>
      <c r="Q2571" t="s">
        <v>488</v>
      </c>
      <c r="R2571" t="s">
        <v>347</v>
      </c>
      <c r="S2571" t="s">
        <v>348</v>
      </c>
      <c r="T2571" t="s">
        <v>349</v>
      </c>
    </row>
    <row r="2572" spans="1:20" x14ac:dyDescent="0.25">
      <c r="A2572" t="s">
        <v>30</v>
      </c>
      <c r="B2572" t="s">
        <v>31</v>
      </c>
      <c r="C2572" t="s">
        <v>32</v>
      </c>
      <c r="D2572" t="s">
        <v>341</v>
      </c>
      <c r="E2572" t="s">
        <v>390</v>
      </c>
      <c r="F2572" t="s">
        <v>35</v>
      </c>
      <c r="G2572" t="s">
        <v>35</v>
      </c>
      <c r="H2572" t="s">
        <v>35</v>
      </c>
      <c r="J2572" t="s">
        <v>3341</v>
      </c>
      <c r="K2572" t="s">
        <v>1092</v>
      </c>
      <c r="M2572">
        <v>3.0150000000000001</v>
      </c>
      <c r="N2572">
        <v>82</v>
      </c>
      <c r="O2572" t="s">
        <v>61</v>
      </c>
      <c r="Q2572" t="s">
        <v>299</v>
      </c>
      <c r="R2572" t="s">
        <v>347</v>
      </c>
      <c r="S2572" t="s">
        <v>348</v>
      </c>
      <c r="T2572" t="s">
        <v>349</v>
      </c>
    </row>
    <row r="2573" spans="1:20" x14ac:dyDescent="0.25">
      <c r="A2573" t="s">
        <v>59</v>
      </c>
      <c r="B2573" t="s">
        <v>60</v>
      </c>
      <c r="C2573" t="s">
        <v>32</v>
      </c>
      <c r="D2573" t="s">
        <v>341</v>
      </c>
      <c r="E2573" t="s">
        <v>390</v>
      </c>
      <c r="F2573" t="s">
        <v>35</v>
      </c>
      <c r="G2573" t="s">
        <v>35</v>
      </c>
      <c r="H2573" t="s">
        <v>35</v>
      </c>
      <c r="J2573" t="s">
        <v>3341</v>
      </c>
      <c r="K2573" t="s">
        <v>1092</v>
      </c>
      <c r="M2573">
        <v>9.15</v>
      </c>
      <c r="N2573">
        <v>82</v>
      </c>
      <c r="O2573" t="s">
        <v>61</v>
      </c>
      <c r="Q2573" t="s">
        <v>299</v>
      </c>
      <c r="R2573" t="s">
        <v>347</v>
      </c>
      <c r="S2573" t="s">
        <v>348</v>
      </c>
      <c r="T2573" t="s">
        <v>349</v>
      </c>
    </row>
    <row r="2574" spans="1:20" x14ac:dyDescent="0.25">
      <c r="A2574" t="s">
        <v>44</v>
      </c>
      <c r="B2574" t="s">
        <v>51</v>
      </c>
      <c r="C2574" t="s">
        <v>32</v>
      </c>
      <c r="D2574" t="s">
        <v>341</v>
      </c>
      <c r="E2574" t="s">
        <v>390</v>
      </c>
      <c r="F2574" t="s">
        <v>35</v>
      </c>
      <c r="G2574" t="s">
        <v>35</v>
      </c>
      <c r="H2574" t="s">
        <v>35</v>
      </c>
      <c r="J2574" t="s">
        <v>3341</v>
      </c>
      <c r="K2574" t="s">
        <v>1092</v>
      </c>
      <c r="M2574">
        <v>20.2</v>
      </c>
      <c r="N2574">
        <v>110</v>
      </c>
      <c r="O2574" t="s">
        <v>106</v>
      </c>
      <c r="Q2574" t="s">
        <v>3342</v>
      </c>
      <c r="R2574" t="s">
        <v>347</v>
      </c>
      <c r="S2574" t="s">
        <v>348</v>
      </c>
      <c r="T2574" t="s">
        <v>349</v>
      </c>
    </row>
    <row r="2575" spans="1:20" x14ac:dyDescent="0.25">
      <c r="A2575" t="s">
        <v>44</v>
      </c>
      <c r="B2575" t="s">
        <v>51</v>
      </c>
      <c r="C2575" t="s">
        <v>32</v>
      </c>
      <c r="D2575" t="s">
        <v>341</v>
      </c>
      <c r="E2575" t="s">
        <v>3325</v>
      </c>
      <c r="F2575" t="s">
        <v>35</v>
      </c>
      <c r="G2575" t="s">
        <v>35</v>
      </c>
      <c r="H2575" t="s">
        <v>35</v>
      </c>
      <c r="J2575" t="s">
        <v>3330</v>
      </c>
      <c r="K2575" t="s">
        <v>1092</v>
      </c>
      <c r="M2575">
        <v>6</v>
      </c>
      <c r="N2575">
        <v>51</v>
      </c>
      <c r="O2575" t="s">
        <v>52</v>
      </c>
      <c r="Q2575" t="s">
        <v>58</v>
      </c>
      <c r="R2575" t="s">
        <v>347</v>
      </c>
      <c r="S2575" t="s">
        <v>348</v>
      </c>
      <c r="T2575" t="s">
        <v>349</v>
      </c>
    </row>
    <row r="2576" spans="1:20" x14ac:dyDescent="0.25">
      <c r="A2576" t="s">
        <v>30</v>
      </c>
      <c r="B2576" t="s">
        <v>31</v>
      </c>
      <c r="C2576" t="s">
        <v>32</v>
      </c>
      <c r="D2576" t="s">
        <v>341</v>
      </c>
      <c r="E2576" t="s">
        <v>3325</v>
      </c>
      <c r="F2576" t="s">
        <v>35</v>
      </c>
      <c r="G2576" t="s">
        <v>35</v>
      </c>
      <c r="H2576" t="s">
        <v>35</v>
      </c>
      <c r="J2576" t="s">
        <v>3330</v>
      </c>
      <c r="K2576" t="s">
        <v>1092</v>
      </c>
      <c r="M2576">
        <v>5.9850000000000003</v>
      </c>
      <c r="N2576">
        <v>67</v>
      </c>
      <c r="O2576" t="s">
        <v>61</v>
      </c>
      <c r="Q2576" t="s">
        <v>488</v>
      </c>
      <c r="R2576" t="s">
        <v>347</v>
      </c>
      <c r="S2576" t="s">
        <v>348</v>
      </c>
      <c r="T2576" t="s">
        <v>349</v>
      </c>
    </row>
    <row r="2577" spans="1:20" x14ac:dyDescent="0.25">
      <c r="A2577" t="s">
        <v>30</v>
      </c>
      <c r="B2577" t="s">
        <v>31</v>
      </c>
      <c r="C2577" t="s">
        <v>32</v>
      </c>
      <c r="D2577" t="s">
        <v>341</v>
      </c>
      <c r="E2577" t="s">
        <v>3374</v>
      </c>
      <c r="F2577" t="s">
        <v>35</v>
      </c>
      <c r="G2577" t="s">
        <v>35</v>
      </c>
      <c r="H2577" t="s">
        <v>35</v>
      </c>
      <c r="J2577" t="s">
        <v>3375</v>
      </c>
      <c r="K2577" t="s">
        <v>1092</v>
      </c>
      <c r="M2577">
        <v>9.9</v>
      </c>
      <c r="N2577">
        <v>97</v>
      </c>
      <c r="O2577" t="s">
        <v>106</v>
      </c>
      <c r="Q2577" t="s">
        <v>2577</v>
      </c>
      <c r="R2577" t="s">
        <v>347</v>
      </c>
      <c r="S2577" t="s">
        <v>348</v>
      </c>
      <c r="T2577" t="s">
        <v>349</v>
      </c>
    </row>
    <row r="2578" spans="1:20" x14ac:dyDescent="0.25">
      <c r="A2578" t="s">
        <v>44</v>
      </c>
      <c r="B2578" t="s">
        <v>51</v>
      </c>
      <c r="C2578" t="s">
        <v>32</v>
      </c>
      <c r="D2578" t="s">
        <v>341</v>
      </c>
      <c r="E2578" t="s">
        <v>3374</v>
      </c>
      <c r="F2578" t="s">
        <v>35</v>
      </c>
      <c r="G2578" t="s">
        <v>35</v>
      </c>
      <c r="H2578" t="s">
        <v>35</v>
      </c>
      <c r="J2578" t="s">
        <v>3375</v>
      </c>
      <c r="K2578" t="s">
        <v>1092</v>
      </c>
      <c r="M2578">
        <v>2.1</v>
      </c>
      <c r="N2578">
        <v>110</v>
      </c>
      <c r="O2578" t="s">
        <v>106</v>
      </c>
      <c r="Q2578" t="s">
        <v>3342</v>
      </c>
      <c r="R2578" t="s">
        <v>347</v>
      </c>
      <c r="S2578" t="s">
        <v>348</v>
      </c>
      <c r="T2578" t="s">
        <v>349</v>
      </c>
    </row>
    <row r="2579" spans="1:20" x14ac:dyDescent="0.25">
      <c r="A2579" t="s">
        <v>59</v>
      </c>
      <c r="B2579" t="s">
        <v>60</v>
      </c>
      <c r="C2579" t="s">
        <v>32</v>
      </c>
      <c r="D2579" t="s">
        <v>341</v>
      </c>
      <c r="E2579" t="s">
        <v>3374</v>
      </c>
      <c r="F2579" t="s">
        <v>35</v>
      </c>
      <c r="G2579" t="s">
        <v>35</v>
      </c>
      <c r="H2579" t="s">
        <v>35</v>
      </c>
      <c r="J2579" t="s">
        <v>3375</v>
      </c>
      <c r="K2579" t="s">
        <v>1092</v>
      </c>
      <c r="M2579">
        <v>13.15</v>
      </c>
      <c r="N2579">
        <v>82</v>
      </c>
      <c r="O2579" t="s">
        <v>61</v>
      </c>
      <c r="Q2579" t="s">
        <v>299</v>
      </c>
      <c r="R2579" t="s">
        <v>347</v>
      </c>
      <c r="S2579" t="s">
        <v>348</v>
      </c>
      <c r="T2579" t="s">
        <v>349</v>
      </c>
    </row>
    <row r="2580" spans="1:20" x14ac:dyDescent="0.25">
      <c r="A2580" t="s">
        <v>30</v>
      </c>
      <c r="B2580" t="s">
        <v>31</v>
      </c>
      <c r="C2580" t="s">
        <v>32</v>
      </c>
      <c r="D2580" t="s">
        <v>341</v>
      </c>
      <c r="E2580" t="s">
        <v>3374</v>
      </c>
      <c r="F2580" t="s">
        <v>35</v>
      </c>
      <c r="G2580" t="s">
        <v>35</v>
      </c>
      <c r="H2580" t="s">
        <v>35</v>
      </c>
      <c r="J2580" t="s">
        <v>3375</v>
      </c>
      <c r="K2580" t="s">
        <v>1092</v>
      </c>
      <c r="M2580">
        <v>9.9</v>
      </c>
      <c r="N2580">
        <v>82</v>
      </c>
      <c r="O2580" t="s">
        <v>61</v>
      </c>
      <c r="Q2580" t="s">
        <v>299</v>
      </c>
      <c r="R2580" t="s">
        <v>347</v>
      </c>
      <c r="S2580" t="s">
        <v>348</v>
      </c>
      <c r="T2580" t="s">
        <v>349</v>
      </c>
    </row>
    <row r="2581" spans="1:20" x14ac:dyDescent="0.25">
      <c r="A2581" t="s">
        <v>30</v>
      </c>
      <c r="B2581" t="s">
        <v>31</v>
      </c>
      <c r="C2581" t="s">
        <v>32</v>
      </c>
      <c r="D2581" t="s">
        <v>341</v>
      </c>
      <c r="E2581" t="s">
        <v>3374</v>
      </c>
      <c r="F2581" t="s">
        <v>35</v>
      </c>
      <c r="G2581" t="s">
        <v>35</v>
      </c>
      <c r="H2581" t="s">
        <v>35</v>
      </c>
      <c r="J2581" t="s">
        <v>3375</v>
      </c>
      <c r="K2581" t="s">
        <v>1092</v>
      </c>
      <c r="M2581">
        <v>11.97</v>
      </c>
      <c r="N2581">
        <v>67</v>
      </c>
      <c r="O2581" t="s">
        <v>61</v>
      </c>
      <c r="Q2581" t="s">
        <v>488</v>
      </c>
      <c r="R2581" t="s">
        <v>347</v>
      </c>
      <c r="S2581" t="s">
        <v>348</v>
      </c>
      <c r="T2581" t="s">
        <v>349</v>
      </c>
    </row>
    <row r="2582" spans="1:20" x14ac:dyDescent="0.25">
      <c r="A2582" t="s">
        <v>30</v>
      </c>
      <c r="B2582" t="s">
        <v>31</v>
      </c>
      <c r="C2582" t="s">
        <v>32</v>
      </c>
      <c r="D2582" t="s">
        <v>341</v>
      </c>
      <c r="E2582" t="s">
        <v>3374</v>
      </c>
      <c r="F2582" t="s">
        <v>35</v>
      </c>
      <c r="G2582" t="s">
        <v>35</v>
      </c>
      <c r="H2582" t="s">
        <v>35</v>
      </c>
      <c r="J2582" t="s">
        <v>3375</v>
      </c>
      <c r="K2582" t="s">
        <v>1092</v>
      </c>
      <c r="M2582">
        <v>9.27</v>
      </c>
      <c r="N2582">
        <v>236</v>
      </c>
      <c r="O2582" t="s">
        <v>5</v>
      </c>
      <c r="Q2582" t="s">
        <v>1151</v>
      </c>
      <c r="R2582" t="s">
        <v>347</v>
      </c>
      <c r="S2582" t="s">
        <v>348</v>
      </c>
      <c r="T2582" t="s">
        <v>349</v>
      </c>
    </row>
    <row r="2583" spans="1:20" x14ac:dyDescent="0.25">
      <c r="A2583" t="s">
        <v>59</v>
      </c>
      <c r="B2583" t="s">
        <v>31</v>
      </c>
      <c r="C2583" t="s">
        <v>32</v>
      </c>
      <c r="D2583" t="s">
        <v>341</v>
      </c>
      <c r="E2583" t="s">
        <v>3374</v>
      </c>
      <c r="F2583" t="s">
        <v>35</v>
      </c>
      <c r="G2583" t="s">
        <v>35</v>
      </c>
      <c r="H2583" t="s">
        <v>35</v>
      </c>
      <c r="J2583" t="s">
        <v>3375</v>
      </c>
      <c r="K2583" t="s">
        <v>1092</v>
      </c>
      <c r="M2583">
        <v>2.6549999999999998</v>
      </c>
      <c r="N2583">
        <v>219</v>
      </c>
      <c r="O2583" t="s">
        <v>5</v>
      </c>
      <c r="Q2583" t="s">
        <v>3300</v>
      </c>
      <c r="R2583" t="s">
        <v>347</v>
      </c>
      <c r="S2583" t="s">
        <v>348</v>
      </c>
      <c r="T2583" t="s">
        <v>349</v>
      </c>
    </row>
    <row r="2584" spans="1:20" x14ac:dyDescent="0.25">
      <c r="A2584" t="s">
        <v>59</v>
      </c>
      <c r="B2584" t="s">
        <v>60</v>
      </c>
      <c r="C2584" t="s">
        <v>32</v>
      </c>
      <c r="D2584" t="s">
        <v>341</v>
      </c>
      <c r="E2584" t="s">
        <v>377</v>
      </c>
      <c r="F2584" t="s">
        <v>35</v>
      </c>
      <c r="G2584" t="s">
        <v>35</v>
      </c>
      <c r="H2584" t="s">
        <v>35</v>
      </c>
      <c r="J2584" t="s">
        <v>3309</v>
      </c>
      <c r="K2584" t="s">
        <v>1092</v>
      </c>
      <c r="M2584">
        <v>5</v>
      </c>
      <c r="N2584">
        <v>141</v>
      </c>
      <c r="O2584" t="s">
        <v>38</v>
      </c>
      <c r="Q2584" t="s">
        <v>1168</v>
      </c>
      <c r="R2584" t="s">
        <v>347</v>
      </c>
      <c r="S2584" t="s">
        <v>348</v>
      </c>
      <c r="T2584" t="s">
        <v>349</v>
      </c>
    </row>
    <row r="2585" spans="1:20" x14ac:dyDescent="0.25">
      <c r="A2585" t="s">
        <v>59</v>
      </c>
      <c r="B2585" t="s">
        <v>60</v>
      </c>
      <c r="C2585" t="s">
        <v>32</v>
      </c>
      <c r="D2585" t="s">
        <v>341</v>
      </c>
      <c r="E2585" t="s">
        <v>377</v>
      </c>
      <c r="F2585" t="s">
        <v>35</v>
      </c>
      <c r="G2585" t="s">
        <v>35</v>
      </c>
      <c r="H2585" t="s">
        <v>35</v>
      </c>
      <c r="J2585" t="s">
        <v>3309</v>
      </c>
      <c r="K2585" t="s">
        <v>1092</v>
      </c>
      <c r="M2585">
        <v>6</v>
      </c>
      <c r="N2585">
        <v>117</v>
      </c>
      <c r="O2585" t="s">
        <v>106</v>
      </c>
      <c r="Q2585" t="s">
        <v>406</v>
      </c>
      <c r="R2585" t="s">
        <v>347</v>
      </c>
      <c r="S2585" t="s">
        <v>348</v>
      </c>
      <c r="T2585" t="s">
        <v>349</v>
      </c>
    </row>
    <row r="2586" spans="1:20" x14ac:dyDescent="0.25">
      <c r="A2586" t="s">
        <v>30</v>
      </c>
      <c r="B2586" t="s">
        <v>31</v>
      </c>
      <c r="C2586" t="s">
        <v>32</v>
      </c>
      <c r="D2586" t="s">
        <v>341</v>
      </c>
      <c r="E2586" t="s">
        <v>377</v>
      </c>
      <c r="F2586" t="s">
        <v>35</v>
      </c>
      <c r="G2586" t="s">
        <v>35</v>
      </c>
      <c r="H2586" t="s">
        <v>35</v>
      </c>
      <c r="J2586" t="s">
        <v>3309</v>
      </c>
      <c r="K2586" t="s">
        <v>1092</v>
      </c>
      <c r="M2586">
        <v>11.43</v>
      </c>
      <c r="N2586">
        <v>67</v>
      </c>
      <c r="O2586" t="s">
        <v>61</v>
      </c>
      <c r="Q2586" t="s">
        <v>488</v>
      </c>
      <c r="R2586" t="s">
        <v>347</v>
      </c>
      <c r="S2586" t="s">
        <v>348</v>
      </c>
      <c r="T2586" t="s">
        <v>349</v>
      </c>
    </row>
    <row r="2587" spans="1:20" x14ac:dyDescent="0.25">
      <c r="A2587" t="s">
        <v>44</v>
      </c>
      <c r="B2587" t="s">
        <v>51</v>
      </c>
      <c r="C2587" t="s">
        <v>32</v>
      </c>
      <c r="D2587" t="s">
        <v>341</v>
      </c>
      <c r="E2587" t="s">
        <v>377</v>
      </c>
      <c r="F2587" t="s">
        <v>35</v>
      </c>
      <c r="G2587" t="s">
        <v>35</v>
      </c>
      <c r="H2587" t="s">
        <v>35</v>
      </c>
      <c r="J2587" t="s">
        <v>3309</v>
      </c>
      <c r="K2587" t="s">
        <v>1092</v>
      </c>
      <c r="M2587">
        <v>10.65</v>
      </c>
      <c r="N2587">
        <v>51</v>
      </c>
      <c r="O2587" t="s">
        <v>52</v>
      </c>
      <c r="Q2587" t="s">
        <v>58</v>
      </c>
      <c r="R2587" t="s">
        <v>347</v>
      </c>
      <c r="S2587" t="s">
        <v>348</v>
      </c>
      <c r="T2587" t="s">
        <v>349</v>
      </c>
    </row>
    <row r="2588" spans="1:20" x14ac:dyDescent="0.25">
      <c r="A2588" t="s">
        <v>59</v>
      </c>
      <c r="B2588" t="s">
        <v>60</v>
      </c>
      <c r="C2588" t="s">
        <v>32</v>
      </c>
      <c r="D2588" t="s">
        <v>341</v>
      </c>
      <c r="E2588" t="s">
        <v>377</v>
      </c>
      <c r="F2588" t="s">
        <v>35</v>
      </c>
      <c r="G2588" t="s">
        <v>35</v>
      </c>
      <c r="H2588" t="s">
        <v>35</v>
      </c>
      <c r="J2588" t="s">
        <v>3309</v>
      </c>
      <c r="K2588" t="s">
        <v>1092</v>
      </c>
      <c r="M2588">
        <v>0.75</v>
      </c>
      <c r="N2588">
        <v>400</v>
      </c>
      <c r="O2588" t="s">
        <v>294</v>
      </c>
      <c r="Q2588" t="s">
        <v>2608</v>
      </c>
      <c r="R2588" t="s">
        <v>347</v>
      </c>
      <c r="S2588" t="s">
        <v>348</v>
      </c>
      <c r="T2588" t="s">
        <v>349</v>
      </c>
    </row>
    <row r="2589" spans="1:20" x14ac:dyDescent="0.25">
      <c r="A2589" t="s">
        <v>30</v>
      </c>
      <c r="B2589" t="s">
        <v>31</v>
      </c>
      <c r="C2589" t="s">
        <v>32</v>
      </c>
      <c r="D2589" t="s">
        <v>341</v>
      </c>
      <c r="E2589" t="s">
        <v>377</v>
      </c>
      <c r="F2589" t="s">
        <v>35</v>
      </c>
      <c r="G2589" t="s">
        <v>35</v>
      </c>
      <c r="H2589" t="s">
        <v>35</v>
      </c>
      <c r="J2589" t="s">
        <v>3309</v>
      </c>
      <c r="K2589" t="s">
        <v>1092</v>
      </c>
      <c r="M2589">
        <v>11.97</v>
      </c>
      <c r="N2589">
        <v>22</v>
      </c>
      <c r="O2589" t="s">
        <v>46</v>
      </c>
      <c r="Q2589" t="s">
        <v>1645</v>
      </c>
      <c r="R2589" t="s">
        <v>347</v>
      </c>
      <c r="S2589" t="s">
        <v>348</v>
      </c>
      <c r="T2589" t="s">
        <v>349</v>
      </c>
    </row>
    <row r="2590" spans="1:20" x14ac:dyDescent="0.25">
      <c r="A2590" t="s">
        <v>59</v>
      </c>
      <c r="B2590" t="s">
        <v>60</v>
      </c>
      <c r="C2590" t="s">
        <v>32</v>
      </c>
      <c r="D2590" t="s">
        <v>341</v>
      </c>
      <c r="E2590" t="s">
        <v>377</v>
      </c>
      <c r="F2590" t="s">
        <v>35</v>
      </c>
      <c r="G2590" t="s">
        <v>35</v>
      </c>
      <c r="H2590" t="s">
        <v>35</v>
      </c>
      <c r="J2590" t="s">
        <v>3309</v>
      </c>
      <c r="K2590" t="s">
        <v>1092</v>
      </c>
      <c r="M2590">
        <v>3</v>
      </c>
      <c r="N2590">
        <v>216</v>
      </c>
      <c r="O2590" t="s">
        <v>5</v>
      </c>
      <c r="Q2590" t="s">
        <v>3310</v>
      </c>
      <c r="R2590" t="s">
        <v>347</v>
      </c>
      <c r="S2590" t="s">
        <v>348</v>
      </c>
      <c r="T2590" t="s">
        <v>349</v>
      </c>
    </row>
    <row r="2591" spans="1:20" x14ac:dyDescent="0.25">
      <c r="A2591" t="s">
        <v>30</v>
      </c>
      <c r="B2591" t="s">
        <v>31</v>
      </c>
      <c r="C2591" t="s">
        <v>32</v>
      </c>
      <c r="D2591" t="s">
        <v>341</v>
      </c>
      <c r="E2591" t="s">
        <v>3325</v>
      </c>
      <c r="F2591" t="s">
        <v>35</v>
      </c>
      <c r="G2591" t="s">
        <v>35</v>
      </c>
      <c r="H2591" t="s">
        <v>35</v>
      </c>
      <c r="J2591" t="s">
        <v>3328</v>
      </c>
      <c r="K2591" t="s">
        <v>1092</v>
      </c>
      <c r="M2591">
        <v>10.845000000000001</v>
      </c>
      <c r="N2591">
        <v>67</v>
      </c>
      <c r="O2591" t="s">
        <v>61</v>
      </c>
      <c r="Q2591" t="s">
        <v>488</v>
      </c>
      <c r="R2591" t="s">
        <v>347</v>
      </c>
      <c r="S2591" t="s">
        <v>348</v>
      </c>
      <c r="T2591" t="s">
        <v>349</v>
      </c>
    </row>
    <row r="2592" spans="1:20" x14ac:dyDescent="0.25">
      <c r="A2592" t="s">
        <v>30</v>
      </c>
      <c r="B2592" t="s">
        <v>31</v>
      </c>
      <c r="C2592" t="s">
        <v>32</v>
      </c>
      <c r="D2592" t="s">
        <v>341</v>
      </c>
      <c r="E2592" t="s">
        <v>342</v>
      </c>
      <c r="F2592" t="s">
        <v>35</v>
      </c>
      <c r="G2592" t="s">
        <v>35</v>
      </c>
      <c r="H2592" t="s">
        <v>35</v>
      </c>
      <c r="J2592" t="s">
        <v>3278</v>
      </c>
      <c r="K2592" t="s">
        <v>1092</v>
      </c>
      <c r="M2592">
        <v>5.9850000000000003</v>
      </c>
      <c r="N2592">
        <v>247</v>
      </c>
      <c r="O2592" t="s">
        <v>5</v>
      </c>
      <c r="Q2592" t="s">
        <v>367</v>
      </c>
      <c r="R2592" t="s">
        <v>3279</v>
      </c>
      <c r="S2592" t="s">
        <v>343</v>
      </c>
      <c r="T2592" t="s">
        <v>344</v>
      </c>
    </row>
    <row r="2593" spans="1:20" x14ac:dyDescent="0.25">
      <c r="A2593" t="s">
        <v>59</v>
      </c>
      <c r="B2593" t="s">
        <v>31</v>
      </c>
      <c r="C2593" t="s">
        <v>32</v>
      </c>
      <c r="D2593" t="s">
        <v>341</v>
      </c>
      <c r="E2593" t="s">
        <v>342</v>
      </c>
      <c r="F2593" t="s">
        <v>35</v>
      </c>
      <c r="G2593" t="s">
        <v>35</v>
      </c>
      <c r="H2593" t="s">
        <v>35</v>
      </c>
      <c r="J2593" t="s">
        <v>3282</v>
      </c>
      <c r="K2593" t="s">
        <v>1092</v>
      </c>
      <c r="M2593">
        <v>7.65</v>
      </c>
      <c r="N2593">
        <v>226</v>
      </c>
      <c r="O2593" t="s">
        <v>5</v>
      </c>
      <c r="Q2593" t="s">
        <v>2002</v>
      </c>
      <c r="R2593" t="s">
        <v>3279</v>
      </c>
      <c r="S2593" t="s">
        <v>343</v>
      </c>
      <c r="T2593" t="s">
        <v>344</v>
      </c>
    </row>
    <row r="2594" spans="1:20" x14ac:dyDescent="0.25">
      <c r="A2594" t="s">
        <v>30</v>
      </c>
      <c r="B2594" t="s">
        <v>31</v>
      </c>
      <c r="C2594" t="s">
        <v>32</v>
      </c>
      <c r="D2594" t="s">
        <v>341</v>
      </c>
      <c r="E2594" t="s">
        <v>3374</v>
      </c>
      <c r="F2594" t="s">
        <v>35</v>
      </c>
      <c r="G2594" t="s">
        <v>35</v>
      </c>
      <c r="H2594" t="s">
        <v>35</v>
      </c>
      <c r="J2594" t="s">
        <v>3380</v>
      </c>
      <c r="K2594" t="s">
        <v>1092</v>
      </c>
      <c r="M2594">
        <v>0.495</v>
      </c>
      <c r="N2594">
        <v>247</v>
      </c>
      <c r="O2594" t="s">
        <v>5</v>
      </c>
      <c r="Q2594" t="s">
        <v>367</v>
      </c>
      <c r="R2594" t="s">
        <v>3279</v>
      </c>
      <c r="S2594" t="s">
        <v>343</v>
      </c>
      <c r="T2594" t="s">
        <v>344</v>
      </c>
    </row>
    <row r="2595" spans="1:20" x14ac:dyDescent="0.25">
      <c r="A2595" t="s">
        <v>30</v>
      </c>
      <c r="B2595" t="s">
        <v>31</v>
      </c>
      <c r="C2595" t="s">
        <v>32</v>
      </c>
      <c r="D2595" t="s">
        <v>341</v>
      </c>
      <c r="E2595" t="s">
        <v>3422</v>
      </c>
      <c r="F2595" t="s">
        <v>35</v>
      </c>
      <c r="G2595" t="s">
        <v>35</v>
      </c>
      <c r="H2595" t="s">
        <v>35</v>
      </c>
      <c r="J2595" t="s">
        <v>3433</v>
      </c>
      <c r="K2595" t="s">
        <v>1092</v>
      </c>
      <c r="M2595">
        <v>5.49</v>
      </c>
      <c r="N2595">
        <v>103</v>
      </c>
      <c r="O2595" t="s">
        <v>106</v>
      </c>
      <c r="Q2595" t="s">
        <v>1494</v>
      </c>
      <c r="R2595" t="s">
        <v>3279</v>
      </c>
      <c r="S2595" t="s">
        <v>343</v>
      </c>
      <c r="T2595" t="s">
        <v>344</v>
      </c>
    </row>
    <row r="2596" spans="1:20" x14ac:dyDescent="0.25">
      <c r="A2596" t="s">
        <v>30</v>
      </c>
      <c r="B2596" t="s">
        <v>31</v>
      </c>
      <c r="C2596" t="s">
        <v>32</v>
      </c>
      <c r="D2596" t="s">
        <v>341</v>
      </c>
      <c r="E2596" t="s">
        <v>3422</v>
      </c>
      <c r="F2596" t="s">
        <v>35</v>
      </c>
      <c r="G2596" t="s">
        <v>35</v>
      </c>
      <c r="H2596" t="s">
        <v>35</v>
      </c>
      <c r="J2596" t="s">
        <v>3434</v>
      </c>
      <c r="K2596" t="s">
        <v>1092</v>
      </c>
      <c r="M2596">
        <v>2.79</v>
      </c>
      <c r="N2596">
        <v>132</v>
      </c>
      <c r="O2596" t="s">
        <v>38</v>
      </c>
      <c r="Q2596" t="s">
        <v>1696</v>
      </c>
      <c r="R2596" t="s">
        <v>3279</v>
      </c>
      <c r="S2596" t="s">
        <v>343</v>
      </c>
      <c r="T2596" t="s">
        <v>344</v>
      </c>
    </row>
    <row r="2597" spans="1:20" x14ac:dyDescent="0.25">
      <c r="A2597" t="s">
        <v>59</v>
      </c>
      <c r="B2597" t="s">
        <v>60</v>
      </c>
      <c r="C2597" t="s">
        <v>32</v>
      </c>
      <c r="D2597" t="s">
        <v>341</v>
      </c>
      <c r="E2597" t="s">
        <v>3350</v>
      </c>
      <c r="F2597" t="s">
        <v>35</v>
      </c>
      <c r="G2597" t="s">
        <v>35</v>
      </c>
      <c r="H2597" t="s">
        <v>35</v>
      </c>
      <c r="J2597" t="s">
        <v>3351</v>
      </c>
      <c r="K2597" t="s">
        <v>404</v>
      </c>
      <c r="M2597">
        <v>19</v>
      </c>
      <c r="N2597">
        <v>567</v>
      </c>
      <c r="O2597" t="s">
        <v>575</v>
      </c>
      <c r="Q2597" t="s">
        <v>3352</v>
      </c>
      <c r="R2597" t="s">
        <v>3286</v>
      </c>
      <c r="S2597" t="s">
        <v>3287</v>
      </c>
      <c r="T2597" t="s">
        <v>3288</v>
      </c>
    </row>
    <row r="2598" spans="1:20" x14ac:dyDescent="0.25">
      <c r="A2598" t="s">
        <v>30</v>
      </c>
      <c r="B2598" t="s">
        <v>31</v>
      </c>
      <c r="C2598" t="s">
        <v>32</v>
      </c>
      <c r="D2598" t="s">
        <v>341</v>
      </c>
      <c r="E2598" t="s">
        <v>352</v>
      </c>
      <c r="F2598" t="s">
        <v>35</v>
      </c>
      <c r="G2598" t="s">
        <v>35</v>
      </c>
      <c r="H2598" t="s">
        <v>35</v>
      </c>
      <c r="J2598" t="s">
        <v>3285</v>
      </c>
      <c r="K2598" t="s">
        <v>1092</v>
      </c>
      <c r="M2598">
        <v>6.57</v>
      </c>
      <c r="N2598">
        <v>356</v>
      </c>
      <c r="O2598" t="s">
        <v>5</v>
      </c>
      <c r="Q2598" t="s">
        <v>1415</v>
      </c>
      <c r="R2598" t="s">
        <v>3286</v>
      </c>
      <c r="S2598" t="s">
        <v>3287</v>
      </c>
      <c r="T2598" t="s">
        <v>3288</v>
      </c>
    </row>
    <row r="2599" spans="1:20" x14ac:dyDescent="0.25">
      <c r="A2599" t="s">
        <v>44</v>
      </c>
      <c r="B2599" t="s">
        <v>3</v>
      </c>
      <c r="C2599" t="s">
        <v>32</v>
      </c>
      <c r="D2599" t="s">
        <v>341</v>
      </c>
      <c r="E2599" t="s">
        <v>390</v>
      </c>
      <c r="F2599" t="s">
        <v>35</v>
      </c>
      <c r="G2599" t="s">
        <v>35</v>
      </c>
      <c r="H2599" t="s">
        <v>35</v>
      </c>
      <c r="J2599" t="s">
        <v>3335</v>
      </c>
      <c r="K2599" t="s">
        <v>1092</v>
      </c>
      <c r="M2599">
        <v>0.75</v>
      </c>
      <c r="N2599">
        <v>404</v>
      </c>
      <c r="O2599" t="s">
        <v>294</v>
      </c>
      <c r="Q2599" t="s">
        <v>3336</v>
      </c>
      <c r="R2599" t="s">
        <v>3337</v>
      </c>
      <c r="S2599" t="s">
        <v>3338</v>
      </c>
      <c r="T2599" t="s">
        <v>3339</v>
      </c>
    </row>
    <row r="2600" spans="1:20" x14ac:dyDescent="0.25">
      <c r="A2600" t="s">
        <v>44</v>
      </c>
      <c r="B2600" t="s">
        <v>3</v>
      </c>
      <c r="C2600" t="s">
        <v>32</v>
      </c>
      <c r="D2600" t="s">
        <v>341</v>
      </c>
      <c r="E2600" t="s">
        <v>398</v>
      </c>
      <c r="F2600" t="s">
        <v>35</v>
      </c>
      <c r="G2600" t="s">
        <v>35</v>
      </c>
      <c r="H2600" t="s">
        <v>35</v>
      </c>
      <c r="J2600" t="s">
        <v>3369</v>
      </c>
      <c r="K2600" t="s">
        <v>1092</v>
      </c>
      <c r="M2600">
        <v>0.75</v>
      </c>
      <c r="N2600">
        <v>412</v>
      </c>
      <c r="O2600" t="s">
        <v>294</v>
      </c>
      <c r="Q2600" t="s">
        <v>3370</v>
      </c>
      <c r="R2600" t="s">
        <v>3337</v>
      </c>
      <c r="S2600" t="s">
        <v>3338</v>
      </c>
      <c r="T2600" t="s">
        <v>3339</v>
      </c>
    </row>
    <row r="2601" spans="1:20" x14ac:dyDescent="0.25">
      <c r="A2601" t="s">
        <v>30</v>
      </c>
      <c r="B2601" t="s">
        <v>31</v>
      </c>
      <c r="C2601" t="s">
        <v>32</v>
      </c>
      <c r="D2601" t="s">
        <v>341</v>
      </c>
      <c r="E2601" t="s">
        <v>3356</v>
      </c>
      <c r="F2601" t="s">
        <v>35</v>
      </c>
      <c r="G2601" t="s">
        <v>35</v>
      </c>
      <c r="H2601" t="s">
        <v>35</v>
      </c>
      <c r="J2601" t="s">
        <v>3362</v>
      </c>
      <c r="K2601" t="s">
        <v>1092</v>
      </c>
      <c r="M2601">
        <v>2.3849999999999998</v>
      </c>
      <c r="N2601">
        <v>232</v>
      </c>
      <c r="O2601" t="s">
        <v>5</v>
      </c>
      <c r="Q2601" t="s">
        <v>1471</v>
      </c>
      <c r="R2601" t="s">
        <v>3363</v>
      </c>
      <c r="S2601" t="s">
        <v>3364</v>
      </c>
      <c r="T2601" t="s">
        <v>3365</v>
      </c>
    </row>
    <row r="2602" spans="1:20" x14ac:dyDescent="0.25">
      <c r="A2602" t="s">
        <v>44</v>
      </c>
      <c r="B2602" t="s">
        <v>3</v>
      </c>
      <c r="C2602" t="s">
        <v>32</v>
      </c>
      <c r="D2602" t="s">
        <v>341</v>
      </c>
      <c r="E2602" t="s">
        <v>390</v>
      </c>
      <c r="F2602" t="s">
        <v>35</v>
      </c>
      <c r="G2602" t="s">
        <v>35</v>
      </c>
      <c r="H2602" t="s">
        <v>35</v>
      </c>
      <c r="J2602" t="s">
        <v>3340</v>
      </c>
      <c r="K2602" t="s">
        <v>1092</v>
      </c>
      <c r="M2602">
        <v>3.6</v>
      </c>
      <c r="N2602">
        <v>60</v>
      </c>
      <c r="O2602" t="s">
        <v>52</v>
      </c>
      <c r="Q2602" t="s">
        <v>1311</v>
      </c>
      <c r="R2602" t="s">
        <v>3332</v>
      </c>
      <c r="S2602" t="s">
        <v>391</v>
      </c>
      <c r="T2602" t="s">
        <v>392</v>
      </c>
    </row>
    <row r="2603" spans="1:20" x14ac:dyDescent="0.25">
      <c r="A2603" t="s">
        <v>30</v>
      </c>
      <c r="B2603" t="s">
        <v>31</v>
      </c>
      <c r="C2603" t="s">
        <v>32</v>
      </c>
      <c r="D2603" t="s">
        <v>341</v>
      </c>
      <c r="E2603" t="s">
        <v>398</v>
      </c>
      <c r="F2603" t="s">
        <v>35</v>
      </c>
      <c r="G2603" t="s">
        <v>35</v>
      </c>
      <c r="H2603" t="s">
        <v>35</v>
      </c>
      <c r="J2603" t="s">
        <v>3367</v>
      </c>
      <c r="K2603" t="s">
        <v>1092</v>
      </c>
      <c r="M2603">
        <v>5.9850000000000003</v>
      </c>
      <c r="N2603">
        <v>11</v>
      </c>
      <c r="O2603" t="s">
        <v>46</v>
      </c>
      <c r="Q2603" t="s">
        <v>1476</v>
      </c>
      <c r="R2603" t="s">
        <v>3332</v>
      </c>
      <c r="S2603" t="s">
        <v>391</v>
      </c>
      <c r="T2603" t="s">
        <v>392</v>
      </c>
    </row>
    <row r="2604" spans="1:20" x14ac:dyDescent="0.25">
      <c r="A2604" t="s">
        <v>44</v>
      </c>
      <c r="B2604" t="s">
        <v>3</v>
      </c>
      <c r="C2604" t="s">
        <v>32</v>
      </c>
      <c r="D2604" t="s">
        <v>341</v>
      </c>
      <c r="E2604" t="s">
        <v>3354</v>
      </c>
      <c r="F2604" t="s">
        <v>35</v>
      </c>
      <c r="G2604" t="s">
        <v>35</v>
      </c>
      <c r="H2604" t="s">
        <v>35</v>
      </c>
      <c r="J2604" t="s">
        <v>3355</v>
      </c>
      <c r="K2604" t="s">
        <v>1092</v>
      </c>
      <c r="M2604">
        <v>0.6</v>
      </c>
      <c r="N2604">
        <v>60</v>
      </c>
      <c r="O2604" t="s">
        <v>52</v>
      </c>
      <c r="Q2604" t="s">
        <v>1311</v>
      </c>
      <c r="R2604" t="s">
        <v>3332</v>
      </c>
      <c r="S2604" t="s">
        <v>391</v>
      </c>
      <c r="T2604" t="s">
        <v>392</v>
      </c>
    </row>
    <row r="2605" spans="1:20" x14ac:dyDescent="0.25">
      <c r="A2605" t="s">
        <v>44</v>
      </c>
      <c r="B2605" t="s">
        <v>51</v>
      </c>
      <c r="C2605" t="s">
        <v>32</v>
      </c>
      <c r="D2605" t="s">
        <v>341</v>
      </c>
      <c r="E2605" t="s">
        <v>3354</v>
      </c>
      <c r="F2605" t="s">
        <v>35</v>
      </c>
      <c r="G2605" t="s">
        <v>35</v>
      </c>
      <c r="H2605" t="s">
        <v>35</v>
      </c>
      <c r="J2605" t="s">
        <v>3355</v>
      </c>
      <c r="K2605" t="s">
        <v>1092</v>
      </c>
      <c r="M2605">
        <v>3.6</v>
      </c>
      <c r="N2605">
        <v>55</v>
      </c>
      <c r="O2605" t="s">
        <v>52</v>
      </c>
      <c r="Q2605" t="s">
        <v>90</v>
      </c>
      <c r="R2605" t="s">
        <v>3332</v>
      </c>
      <c r="S2605" t="s">
        <v>391</v>
      </c>
      <c r="T2605" t="s">
        <v>392</v>
      </c>
    </row>
    <row r="2606" spans="1:20" x14ac:dyDescent="0.25">
      <c r="A2606" t="s">
        <v>59</v>
      </c>
      <c r="B2606" t="s">
        <v>60</v>
      </c>
      <c r="C2606" t="s">
        <v>32</v>
      </c>
      <c r="D2606" t="s">
        <v>341</v>
      </c>
      <c r="E2606" t="s">
        <v>390</v>
      </c>
      <c r="F2606" t="s">
        <v>35</v>
      </c>
      <c r="G2606" t="s">
        <v>35</v>
      </c>
      <c r="H2606" t="s">
        <v>35</v>
      </c>
      <c r="J2606" t="s">
        <v>3334</v>
      </c>
      <c r="K2606" t="s">
        <v>1092</v>
      </c>
      <c r="M2606">
        <v>0.05</v>
      </c>
      <c r="N2606">
        <v>55</v>
      </c>
      <c r="O2606" t="s">
        <v>52</v>
      </c>
      <c r="Q2606" t="s">
        <v>90</v>
      </c>
      <c r="R2606" t="s">
        <v>3332</v>
      </c>
      <c r="S2606" t="s">
        <v>391</v>
      </c>
      <c r="T2606" t="s">
        <v>392</v>
      </c>
    </row>
    <row r="2607" spans="1:20" x14ac:dyDescent="0.25">
      <c r="A2607" t="s">
        <v>44</v>
      </c>
      <c r="B2607" t="s">
        <v>3</v>
      </c>
      <c r="C2607" t="s">
        <v>32</v>
      </c>
      <c r="D2607" t="s">
        <v>341</v>
      </c>
      <c r="E2607" t="s">
        <v>390</v>
      </c>
      <c r="F2607" t="s">
        <v>35</v>
      </c>
      <c r="G2607" t="s">
        <v>35</v>
      </c>
      <c r="H2607" t="s">
        <v>35</v>
      </c>
      <c r="J2607" t="s">
        <v>3331</v>
      </c>
      <c r="K2607" t="s">
        <v>1092</v>
      </c>
      <c r="M2607">
        <v>4</v>
      </c>
      <c r="N2607">
        <v>60</v>
      </c>
      <c r="O2607" t="s">
        <v>52</v>
      </c>
      <c r="Q2607" t="s">
        <v>1311</v>
      </c>
      <c r="R2607" t="s">
        <v>3332</v>
      </c>
      <c r="S2607" t="s">
        <v>391</v>
      </c>
      <c r="T2607" t="s">
        <v>392</v>
      </c>
    </row>
    <row r="2608" spans="1:20" x14ac:dyDescent="0.25">
      <c r="A2608" t="s">
        <v>30</v>
      </c>
      <c r="B2608" t="s">
        <v>31</v>
      </c>
      <c r="C2608" t="s">
        <v>32</v>
      </c>
      <c r="D2608" t="s">
        <v>341</v>
      </c>
      <c r="E2608" t="s">
        <v>390</v>
      </c>
      <c r="F2608" t="s">
        <v>35</v>
      </c>
      <c r="G2608" t="s">
        <v>35</v>
      </c>
      <c r="H2608" t="s">
        <v>35</v>
      </c>
      <c r="J2608" t="s">
        <v>3331</v>
      </c>
      <c r="K2608" t="s">
        <v>1092</v>
      </c>
      <c r="M2608">
        <v>4.95</v>
      </c>
      <c r="N2608">
        <v>69</v>
      </c>
      <c r="O2608" t="s">
        <v>61</v>
      </c>
      <c r="Q2608" t="s">
        <v>234</v>
      </c>
      <c r="R2608" t="s">
        <v>3332</v>
      </c>
      <c r="S2608" t="s">
        <v>391</v>
      </c>
      <c r="T2608" t="s">
        <v>392</v>
      </c>
    </row>
    <row r="2609" spans="1:20" x14ac:dyDescent="0.25">
      <c r="A2609" t="s">
        <v>30</v>
      </c>
      <c r="B2609" t="s">
        <v>31</v>
      </c>
      <c r="C2609" t="s">
        <v>32</v>
      </c>
      <c r="D2609" t="s">
        <v>341</v>
      </c>
      <c r="E2609" t="s">
        <v>3422</v>
      </c>
      <c r="F2609" t="s">
        <v>35</v>
      </c>
      <c r="G2609" t="s">
        <v>35</v>
      </c>
      <c r="H2609" t="s">
        <v>35</v>
      </c>
      <c r="J2609" t="s">
        <v>3431</v>
      </c>
      <c r="K2609" t="s">
        <v>1092</v>
      </c>
      <c r="M2609">
        <v>0.495</v>
      </c>
      <c r="N2609">
        <v>147</v>
      </c>
      <c r="O2609" t="s">
        <v>38</v>
      </c>
      <c r="Q2609" t="s">
        <v>3398</v>
      </c>
      <c r="R2609" t="s">
        <v>3332</v>
      </c>
      <c r="S2609" t="s">
        <v>391</v>
      </c>
      <c r="T2609" t="s">
        <v>392</v>
      </c>
    </row>
    <row r="2610" spans="1:20" x14ac:dyDescent="0.25">
      <c r="A2610" t="s">
        <v>59</v>
      </c>
      <c r="B2610" t="s">
        <v>60</v>
      </c>
      <c r="C2610" t="s">
        <v>32</v>
      </c>
      <c r="D2610" t="s">
        <v>341</v>
      </c>
      <c r="E2610" t="s">
        <v>3422</v>
      </c>
      <c r="F2610" t="s">
        <v>35</v>
      </c>
      <c r="G2610" t="s">
        <v>35</v>
      </c>
      <c r="H2610" t="s">
        <v>35</v>
      </c>
      <c r="J2610" t="s">
        <v>3432</v>
      </c>
      <c r="K2610" t="s">
        <v>1092</v>
      </c>
      <c r="M2610">
        <v>1.25</v>
      </c>
      <c r="N2610">
        <v>175</v>
      </c>
      <c r="O2610" t="s">
        <v>38</v>
      </c>
      <c r="Q2610" t="s">
        <v>1764</v>
      </c>
      <c r="R2610" t="s">
        <v>3332</v>
      </c>
      <c r="S2610" t="s">
        <v>391</v>
      </c>
      <c r="T2610" t="s">
        <v>392</v>
      </c>
    </row>
    <row r="2611" spans="1:20" x14ac:dyDescent="0.25">
      <c r="A2611" t="s">
        <v>44</v>
      </c>
      <c r="B2611" t="s">
        <v>51</v>
      </c>
      <c r="C2611" t="s">
        <v>32</v>
      </c>
      <c r="D2611" t="s">
        <v>341</v>
      </c>
      <c r="E2611" t="s">
        <v>3422</v>
      </c>
      <c r="F2611" t="s">
        <v>35</v>
      </c>
      <c r="G2611" t="s">
        <v>35</v>
      </c>
      <c r="H2611" t="s">
        <v>35</v>
      </c>
      <c r="J2611" t="s">
        <v>3432</v>
      </c>
      <c r="K2611" t="s">
        <v>1092</v>
      </c>
      <c r="M2611">
        <v>5</v>
      </c>
      <c r="N2611">
        <v>55</v>
      </c>
      <c r="O2611" t="s">
        <v>52</v>
      </c>
      <c r="Q2611" t="s">
        <v>90</v>
      </c>
      <c r="R2611" t="s">
        <v>3332</v>
      </c>
      <c r="S2611" t="s">
        <v>391</v>
      </c>
      <c r="T2611" t="s">
        <v>392</v>
      </c>
    </row>
    <row r="2612" spans="1:20" x14ac:dyDescent="0.25">
      <c r="A2612" t="s">
        <v>30</v>
      </c>
      <c r="B2612" t="s">
        <v>31</v>
      </c>
      <c r="C2612" t="s">
        <v>32</v>
      </c>
      <c r="D2612" t="s">
        <v>341</v>
      </c>
      <c r="E2612" t="s">
        <v>3422</v>
      </c>
      <c r="F2612" t="s">
        <v>35</v>
      </c>
      <c r="G2612" t="s">
        <v>35</v>
      </c>
      <c r="H2612" t="s">
        <v>35</v>
      </c>
      <c r="J2612" t="s">
        <v>3423</v>
      </c>
      <c r="K2612" t="s">
        <v>1092</v>
      </c>
      <c r="M2612">
        <v>0.63</v>
      </c>
      <c r="N2612">
        <v>11</v>
      </c>
      <c r="O2612" t="s">
        <v>46</v>
      </c>
      <c r="Q2612" t="s">
        <v>1476</v>
      </c>
      <c r="R2612" t="s">
        <v>3332</v>
      </c>
      <c r="S2612" t="s">
        <v>391</v>
      </c>
      <c r="T2612" t="s">
        <v>392</v>
      </c>
    </row>
    <row r="2613" spans="1:20" x14ac:dyDescent="0.25">
      <c r="A2613" t="s">
        <v>30</v>
      </c>
      <c r="B2613" t="s">
        <v>31</v>
      </c>
      <c r="C2613" t="s">
        <v>32</v>
      </c>
      <c r="D2613" t="s">
        <v>341</v>
      </c>
      <c r="E2613" t="s">
        <v>3422</v>
      </c>
      <c r="F2613" t="s">
        <v>35</v>
      </c>
      <c r="G2613" t="s">
        <v>35</v>
      </c>
      <c r="H2613" t="s">
        <v>35</v>
      </c>
      <c r="J2613" t="s">
        <v>3428</v>
      </c>
      <c r="K2613" t="s">
        <v>1092</v>
      </c>
      <c r="M2613">
        <v>3.87</v>
      </c>
      <c r="N2613">
        <v>147</v>
      </c>
      <c r="O2613" t="s">
        <v>38</v>
      </c>
      <c r="Q2613" t="s">
        <v>3398</v>
      </c>
      <c r="R2613" t="s">
        <v>3332</v>
      </c>
      <c r="S2613" t="s">
        <v>391</v>
      </c>
      <c r="T2613" t="s">
        <v>392</v>
      </c>
    </row>
    <row r="2614" spans="1:20" x14ac:dyDescent="0.25">
      <c r="A2614" t="s">
        <v>44</v>
      </c>
      <c r="B2614" t="s">
        <v>51</v>
      </c>
      <c r="C2614" t="s">
        <v>32</v>
      </c>
      <c r="D2614" t="s">
        <v>341</v>
      </c>
      <c r="E2614" t="s">
        <v>398</v>
      </c>
      <c r="F2614" t="s">
        <v>35</v>
      </c>
      <c r="G2614" t="s">
        <v>35</v>
      </c>
      <c r="H2614" t="s">
        <v>35</v>
      </c>
      <c r="J2614" t="s">
        <v>3368</v>
      </c>
      <c r="K2614" t="s">
        <v>1092</v>
      </c>
      <c r="M2614">
        <v>6</v>
      </c>
      <c r="N2614">
        <v>55</v>
      </c>
      <c r="O2614" t="s">
        <v>52</v>
      </c>
      <c r="Q2614" t="s">
        <v>90</v>
      </c>
      <c r="R2614" t="s">
        <v>3332</v>
      </c>
      <c r="S2614" t="s">
        <v>391</v>
      </c>
      <c r="T2614" t="s">
        <v>392</v>
      </c>
    </row>
    <row r="2615" spans="1:20" x14ac:dyDescent="0.25">
      <c r="A2615" t="s">
        <v>30</v>
      </c>
      <c r="B2615" t="s">
        <v>31</v>
      </c>
      <c r="C2615" t="s">
        <v>32</v>
      </c>
      <c r="D2615" t="s">
        <v>341</v>
      </c>
      <c r="E2615" t="s">
        <v>398</v>
      </c>
      <c r="F2615" t="s">
        <v>35</v>
      </c>
      <c r="G2615" t="s">
        <v>35</v>
      </c>
      <c r="H2615" t="s">
        <v>35</v>
      </c>
      <c r="J2615" t="s">
        <v>3368</v>
      </c>
      <c r="K2615" t="s">
        <v>1092</v>
      </c>
      <c r="M2615">
        <v>5.9850000000000003</v>
      </c>
      <c r="N2615">
        <v>69</v>
      </c>
      <c r="O2615" t="s">
        <v>61</v>
      </c>
      <c r="Q2615" t="s">
        <v>234</v>
      </c>
      <c r="R2615" t="s">
        <v>3332</v>
      </c>
      <c r="S2615" t="s">
        <v>391</v>
      </c>
      <c r="T2615" t="s">
        <v>392</v>
      </c>
    </row>
    <row r="2616" spans="1:20" x14ac:dyDescent="0.25">
      <c r="A2616" t="s">
        <v>59</v>
      </c>
      <c r="B2616" t="s">
        <v>31</v>
      </c>
      <c r="C2616" t="s">
        <v>32</v>
      </c>
      <c r="D2616" t="s">
        <v>341</v>
      </c>
      <c r="E2616" t="s">
        <v>398</v>
      </c>
      <c r="F2616" t="s">
        <v>35</v>
      </c>
      <c r="G2616" t="s">
        <v>35</v>
      </c>
      <c r="H2616" t="s">
        <v>35</v>
      </c>
      <c r="J2616" t="s">
        <v>3368</v>
      </c>
      <c r="K2616" t="s">
        <v>1092</v>
      </c>
      <c r="M2616">
        <v>3.33</v>
      </c>
      <c r="N2616">
        <v>90</v>
      </c>
      <c r="O2616" t="s">
        <v>61</v>
      </c>
      <c r="Q2616" t="s">
        <v>557</v>
      </c>
      <c r="R2616" t="s">
        <v>3332</v>
      </c>
      <c r="S2616" t="s">
        <v>391</v>
      </c>
      <c r="T2616" t="s">
        <v>392</v>
      </c>
    </row>
    <row r="2617" spans="1:20" x14ac:dyDescent="0.25">
      <c r="A2617" t="s">
        <v>44</v>
      </c>
      <c r="B2617" t="s">
        <v>51</v>
      </c>
      <c r="C2617" t="s">
        <v>32</v>
      </c>
      <c r="D2617" t="s">
        <v>341</v>
      </c>
      <c r="E2617" t="s">
        <v>3407</v>
      </c>
      <c r="F2617" t="s">
        <v>35</v>
      </c>
      <c r="G2617" t="s">
        <v>35</v>
      </c>
      <c r="H2617" t="s">
        <v>35</v>
      </c>
      <c r="J2617" t="s">
        <v>3409</v>
      </c>
      <c r="K2617" t="s">
        <v>1092</v>
      </c>
      <c r="M2617">
        <v>5</v>
      </c>
      <c r="N2617">
        <v>55</v>
      </c>
      <c r="O2617" t="s">
        <v>52</v>
      </c>
      <c r="Q2617" t="s">
        <v>90</v>
      </c>
      <c r="R2617" t="s">
        <v>3332</v>
      </c>
      <c r="S2617" t="s">
        <v>391</v>
      </c>
      <c r="T2617" t="s">
        <v>392</v>
      </c>
    </row>
    <row r="2618" spans="1:20" x14ac:dyDescent="0.25">
      <c r="A2618" t="s">
        <v>59</v>
      </c>
      <c r="B2618" t="s">
        <v>31</v>
      </c>
      <c r="C2618" t="s">
        <v>32</v>
      </c>
      <c r="D2618" t="s">
        <v>341</v>
      </c>
      <c r="E2618" t="s">
        <v>3374</v>
      </c>
      <c r="F2618" t="s">
        <v>35</v>
      </c>
      <c r="G2618" t="s">
        <v>35</v>
      </c>
      <c r="H2618" t="s">
        <v>35</v>
      </c>
      <c r="J2618" t="s">
        <v>1613</v>
      </c>
      <c r="K2618" t="s">
        <v>1092</v>
      </c>
      <c r="M2618">
        <v>3.8250000000000002</v>
      </c>
      <c r="N2618">
        <v>424</v>
      </c>
      <c r="O2618" t="s">
        <v>294</v>
      </c>
      <c r="Q2618" t="s">
        <v>3381</v>
      </c>
      <c r="R2618" t="s">
        <v>3332</v>
      </c>
      <c r="S2618" t="s">
        <v>391</v>
      </c>
      <c r="T2618" t="s">
        <v>392</v>
      </c>
    </row>
    <row r="2619" spans="1:20" x14ac:dyDescent="0.25">
      <c r="A2619" t="s">
        <v>59</v>
      </c>
      <c r="B2619" t="s">
        <v>60</v>
      </c>
      <c r="C2619" t="s">
        <v>32</v>
      </c>
      <c r="D2619" t="s">
        <v>341</v>
      </c>
      <c r="F2619" t="s">
        <v>35</v>
      </c>
      <c r="G2619" t="s">
        <v>35</v>
      </c>
      <c r="H2619" t="s">
        <v>35</v>
      </c>
      <c r="J2619" t="s">
        <v>3459</v>
      </c>
      <c r="K2619" t="s">
        <v>1092</v>
      </c>
      <c r="M2619">
        <v>4.5</v>
      </c>
      <c r="N2619">
        <v>264</v>
      </c>
      <c r="O2619" t="s">
        <v>5</v>
      </c>
      <c r="Q2619" t="s">
        <v>1881</v>
      </c>
      <c r="R2619" t="s">
        <v>3332</v>
      </c>
      <c r="S2619" t="s">
        <v>391</v>
      </c>
      <c r="T2619" t="s">
        <v>392</v>
      </c>
    </row>
    <row r="2620" spans="1:20" x14ac:dyDescent="0.25">
      <c r="A2620" t="s">
        <v>44</v>
      </c>
      <c r="B2620" t="s">
        <v>51</v>
      </c>
      <c r="C2620" t="s">
        <v>32</v>
      </c>
      <c r="D2620" t="s">
        <v>341</v>
      </c>
      <c r="F2620" t="s">
        <v>35</v>
      </c>
      <c r="G2620" t="s">
        <v>35</v>
      </c>
      <c r="H2620" t="s">
        <v>35</v>
      </c>
      <c r="J2620" t="s">
        <v>3459</v>
      </c>
      <c r="K2620" t="s">
        <v>1092</v>
      </c>
      <c r="M2620">
        <v>5</v>
      </c>
      <c r="N2620">
        <v>264</v>
      </c>
      <c r="O2620" t="s">
        <v>5</v>
      </c>
      <c r="Q2620" t="s">
        <v>1881</v>
      </c>
      <c r="R2620" t="s">
        <v>3332</v>
      </c>
      <c r="S2620" t="s">
        <v>391</v>
      </c>
      <c r="T2620" t="s">
        <v>392</v>
      </c>
    </row>
    <row r="2621" spans="1:20" x14ac:dyDescent="0.25">
      <c r="A2621" t="s">
        <v>44</v>
      </c>
      <c r="B2621" t="s">
        <v>51</v>
      </c>
      <c r="C2621" t="s">
        <v>32</v>
      </c>
      <c r="D2621" t="s">
        <v>341</v>
      </c>
      <c r="E2621" t="s">
        <v>390</v>
      </c>
      <c r="F2621" t="s">
        <v>35</v>
      </c>
      <c r="G2621" t="s">
        <v>35</v>
      </c>
      <c r="H2621" t="s">
        <v>35</v>
      </c>
      <c r="J2621" t="s">
        <v>3347</v>
      </c>
      <c r="K2621" t="s">
        <v>1092</v>
      </c>
      <c r="M2621">
        <v>1.75</v>
      </c>
      <c r="N2621">
        <v>55</v>
      </c>
      <c r="O2621" t="s">
        <v>52</v>
      </c>
      <c r="Q2621" t="s">
        <v>90</v>
      </c>
      <c r="R2621" t="s">
        <v>3332</v>
      </c>
      <c r="S2621" t="s">
        <v>391</v>
      </c>
      <c r="T2621" t="s">
        <v>392</v>
      </c>
    </row>
    <row r="2622" spans="1:20" x14ac:dyDescent="0.25">
      <c r="A2622" t="s">
        <v>59</v>
      </c>
      <c r="B2622" t="s">
        <v>60</v>
      </c>
      <c r="C2622" t="s">
        <v>32</v>
      </c>
      <c r="D2622" t="s">
        <v>341</v>
      </c>
      <c r="E2622" t="s">
        <v>398</v>
      </c>
      <c r="F2622" t="s">
        <v>35</v>
      </c>
      <c r="G2622" t="s">
        <v>35</v>
      </c>
      <c r="H2622" t="s">
        <v>35</v>
      </c>
      <c r="J2622" t="s">
        <v>3373</v>
      </c>
      <c r="K2622" t="s">
        <v>1092</v>
      </c>
      <c r="M2622">
        <v>5</v>
      </c>
      <c r="N2622">
        <v>49</v>
      </c>
      <c r="O2622" t="s">
        <v>52</v>
      </c>
      <c r="Q2622" t="s">
        <v>453</v>
      </c>
      <c r="R2622" t="s">
        <v>3332</v>
      </c>
      <c r="S2622" t="s">
        <v>391</v>
      </c>
      <c r="T2622" t="s">
        <v>392</v>
      </c>
    </row>
    <row r="2623" spans="1:20" x14ac:dyDescent="0.25">
      <c r="A2623" t="s">
        <v>59</v>
      </c>
      <c r="B2623" t="s">
        <v>60</v>
      </c>
      <c r="C2623" t="s">
        <v>32</v>
      </c>
      <c r="D2623" t="s">
        <v>341</v>
      </c>
      <c r="E2623" t="s">
        <v>398</v>
      </c>
      <c r="F2623" t="s">
        <v>35</v>
      </c>
      <c r="G2623" t="s">
        <v>35</v>
      </c>
      <c r="H2623" t="s">
        <v>35</v>
      </c>
      <c r="J2623" t="s">
        <v>3373</v>
      </c>
      <c r="K2623" t="s">
        <v>1092</v>
      </c>
      <c r="M2623">
        <v>1.5</v>
      </c>
      <c r="N2623">
        <v>72</v>
      </c>
      <c r="O2623" t="s">
        <v>61</v>
      </c>
      <c r="Q2623" t="s">
        <v>1156</v>
      </c>
      <c r="R2623" t="s">
        <v>3332</v>
      </c>
      <c r="S2623" t="s">
        <v>391</v>
      </c>
      <c r="T2623" t="s">
        <v>392</v>
      </c>
    </row>
    <row r="2624" spans="1:20" x14ac:dyDescent="0.25">
      <c r="A2624" t="s">
        <v>44</v>
      </c>
      <c r="B2624" t="s">
        <v>3</v>
      </c>
      <c r="C2624" t="s">
        <v>32</v>
      </c>
      <c r="D2624" t="s">
        <v>341</v>
      </c>
      <c r="E2624" t="s">
        <v>398</v>
      </c>
      <c r="F2624" t="s">
        <v>35</v>
      </c>
      <c r="G2624" t="s">
        <v>35</v>
      </c>
      <c r="H2624" t="s">
        <v>35</v>
      </c>
      <c r="J2624" t="s">
        <v>3373</v>
      </c>
      <c r="K2624" t="s">
        <v>1092</v>
      </c>
      <c r="M2624">
        <v>3</v>
      </c>
      <c r="N2624">
        <v>60</v>
      </c>
      <c r="O2624" t="s">
        <v>52</v>
      </c>
      <c r="Q2624" t="s">
        <v>1311</v>
      </c>
      <c r="R2624" t="s">
        <v>3332</v>
      </c>
      <c r="S2624" t="s">
        <v>391</v>
      </c>
      <c r="T2624" t="s">
        <v>392</v>
      </c>
    </row>
    <row r="2625" spans="1:20" x14ac:dyDescent="0.25">
      <c r="A2625" t="s">
        <v>30</v>
      </c>
      <c r="B2625" t="s">
        <v>31</v>
      </c>
      <c r="C2625" t="s">
        <v>32</v>
      </c>
      <c r="D2625" t="s">
        <v>341</v>
      </c>
      <c r="E2625" t="s">
        <v>3450</v>
      </c>
      <c r="F2625" t="s">
        <v>35</v>
      </c>
      <c r="G2625" t="s">
        <v>35</v>
      </c>
      <c r="H2625" t="s">
        <v>35</v>
      </c>
      <c r="J2625" t="s">
        <v>3452</v>
      </c>
      <c r="K2625" t="s">
        <v>1092</v>
      </c>
      <c r="M2625">
        <v>0.54</v>
      </c>
      <c r="N2625">
        <v>68</v>
      </c>
      <c r="O2625" t="s">
        <v>61</v>
      </c>
      <c r="Q2625" t="s">
        <v>805</v>
      </c>
      <c r="R2625" t="s">
        <v>356</v>
      </c>
      <c r="S2625" t="s">
        <v>357</v>
      </c>
      <c r="T2625" t="s">
        <v>358</v>
      </c>
    </row>
    <row r="2626" spans="1:20" x14ac:dyDescent="0.25">
      <c r="A2626" t="s">
        <v>30</v>
      </c>
      <c r="B2626" t="s">
        <v>31</v>
      </c>
      <c r="C2626" t="s">
        <v>32</v>
      </c>
      <c r="D2626" t="s">
        <v>341</v>
      </c>
      <c r="E2626" t="s">
        <v>403</v>
      </c>
      <c r="F2626" t="s">
        <v>35</v>
      </c>
      <c r="G2626" t="s">
        <v>35</v>
      </c>
      <c r="H2626" t="s">
        <v>35</v>
      </c>
      <c r="J2626" t="s">
        <v>3397</v>
      </c>
      <c r="K2626" t="s">
        <v>1092</v>
      </c>
      <c r="M2626">
        <v>9.7200000000000006</v>
      </c>
      <c r="N2626">
        <v>147</v>
      </c>
      <c r="O2626" t="s">
        <v>38</v>
      </c>
      <c r="Q2626" t="s">
        <v>3398</v>
      </c>
      <c r="R2626" t="s">
        <v>356</v>
      </c>
      <c r="S2626" t="s">
        <v>357</v>
      </c>
      <c r="T2626" t="s">
        <v>358</v>
      </c>
    </row>
    <row r="2627" spans="1:20" x14ac:dyDescent="0.25">
      <c r="A2627" t="s">
        <v>44</v>
      </c>
      <c r="B2627" t="s">
        <v>51</v>
      </c>
      <c r="C2627" t="s">
        <v>32</v>
      </c>
      <c r="D2627" t="s">
        <v>341</v>
      </c>
      <c r="E2627" t="s">
        <v>3407</v>
      </c>
      <c r="F2627" t="s">
        <v>35</v>
      </c>
      <c r="G2627" t="s">
        <v>35</v>
      </c>
      <c r="H2627" t="s">
        <v>35</v>
      </c>
      <c r="J2627" t="s">
        <v>3416</v>
      </c>
      <c r="K2627" t="s">
        <v>1092</v>
      </c>
      <c r="M2627">
        <v>11</v>
      </c>
      <c r="N2627">
        <v>55</v>
      </c>
      <c r="O2627" t="s">
        <v>52</v>
      </c>
      <c r="Q2627" t="s">
        <v>90</v>
      </c>
      <c r="R2627" t="s">
        <v>356</v>
      </c>
      <c r="S2627" t="s">
        <v>357</v>
      </c>
      <c r="T2627" t="s">
        <v>358</v>
      </c>
    </row>
    <row r="2628" spans="1:20" x14ac:dyDescent="0.25">
      <c r="A2628" t="s">
        <v>30</v>
      </c>
      <c r="B2628" t="s">
        <v>31</v>
      </c>
      <c r="C2628" t="s">
        <v>32</v>
      </c>
      <c r="D2628" t="s">
        <v>341</v>
      </c>
      <c r="E2628" t="s">
        <v>352</v>
      </c>
      <c r="F2628" t="s">
        <v>35</v>
      </c>
      <c r="G2628" t="s">
        <v>35</v>
      </c>
      <c r="H2628" t="s">
        <v>35</v>
      </c>
      <c r="J2628" t="s">
        <v>353</v>
      </c>
      <c r="K2628" t="s">
        <v>37</v>
      </c>
      <c r="M2628">
        <v>0.03</v>
      </c>
      <c r="N2628">
        <v>69</v>
      </c>
      <c r="O2628" t="s">
        <v>61</v>
      </c>
      <c r="P2628" t="s">
        <v>355</v>
      </c>
      <c r="Q2628" t="s">
        <v>234</v>
      </c>
      <c r="R2628" t="s">
        <v>356</v>
      </c>
      <c r="S2628" t="s">
        <v>357</v>
      </c>
      <c r="T2628" t="s">
        <v>358</v>
      </c>
    </row>
    <row r="2629" spans="1:20" x14ac:dyDescent="0.25">
      <c r="A2629" t="s">
        <v>30</v>
      </c>
      <c r="B2629" t="s">
        <v>31</v>
      </c>
      <c r="C2629" t="s">
        <v>32</v>
      </c>
      <c r="D2629" t="s">
        <v>341</v>
      </c>
      <c r="E2629" t="s">
        <v>390</v>
      </c>
      <c r="F2629" t="s">
        <v>35</v>
      </c>
      <c r="G2629" t="s">
        <v>35</v>
      </c>
      <c r="H2629" t="s">
        <v>35</v>
      </c>
      <c r="J2629" t="s">
        <v>3333</v>
      </c>
      <c r="K2629" t="s">
        <v>1092</v>
      </c>
      <c r="M2629">
        <v>0.22500000000000001</v>
      </c>
      <c r="N2629">
        <v>144</v>
      </c>
      <c r="O2629" t="s">
        <v>38</v>
      </c>
      <c r="Q2629" t="s">
        <v>1269</v>
      </c>
      <c r="R2629" t="s">
        <v>356</v>
      </c>
      <c r="S2629" t="s">
        <v>357</v>
      </c>
      <c r="T2629" t="s">
        <v>358</v>
      </c>
    </row>
    <row r="2630" spans="1:20" x14ac:dyDescent="0.25">
      <c r="A2630" t="s">
        <v>30</v>
      </c>
      <c r="B2630" t="s">
        <v>31</v>
      </c>
      <c r="C2630" t="s">
        <v>32</v>
      </c>
      <c r="D2630" t="s">
        <v>341</v>
      </c>
      <c r="E2630" t="s">
        <v>3374</v>
      </c>
      <c r="F2630" t="s">
        <v>35</v>
      </c>
      <c r="G2630" t="s">
        <v>35</v>
      </c>
      <c r="H2630" t="s">
        <v>35</v>
      </c>
      <c r="J2630" t="s">
        <v>3388</v>
      </c>
      <c r="K2630" t="s">
        <v>1092</v>
      </c>
      <c r="M2630">
        <v>3.2850000000000001</v>
      </c>
      <c r="N2630">
        <v>422</v>
      </c>
      <c r="O2630" t="s">
        <v>294</v>
      </c>
      <c r="Q2630" t="s">
        <v>2570</v>
      </c>
      <c r="R2630" t="s">
        <v>3389</v>
      </c>
      <c r="S2630" t="s">
        <v>3390</v>
      </c>
      <c r="T2630" t="s">
        <v>3391</v>
      </c>
    </row>
    <row r="2631" spans="1:20" x14ac:dyDescent="0.25">
      <c r="A2631" t="s">
        <v>59</v>
      </c>
      <c r="B2631" t="s">
        <v>60</v>
      </c>
      <c r="C2631" t="s">
        <v>32</v>
      </c>
      <c r="D2631" t="s">
        <v>341</v>
      </c>
      <c r="E2631" t="s">
        <v>368</v>
      </c>
      <c r="F2631" t="s">
        <v>35</v>
      </c>
      <c r="G2631" t="s">
        <v>35</v>
      </c>
      <c r="H2631" t="s">
        <v>35</v>
      </c>
      <c r="J2631" t="s">
        <v>3295</v>
      </c>
      <c r="K2631" t="s">
        <v>1092</v>
      </c>
      <c r="M2631">
        <v>2.4</v>
      </c>
      <c r="N2631">
        <v>243</v>
      </c>
      <c r="O2631" t="s">
        <v>5</v>
      </c>
      <c r="Q2631" t="s">
        <v>3296</v>
      </c>
      <c r="R2631" t="s">
        <v>373</v>
      </c>
      <c r="S2631" t="s">
        <v>374</v>
      </c>
      <c r="T2631" t="s">
        <v>375</v>
      </c>
    </row>
    <row r="2632" spans="1:20" x14ac:dyDescent="0.25">
      <c r="A2632" t="s">
        <v>30</v>
      </c>
      <c r="B2632" t="s">
        <v>31</v>
      </c>
      <c r="C2632" t="s">
        <v>32</v>
      </c>
      <c r="D2632" t="s">
        <v>341</v>
      </c>
      <c r="E2632" t="s">
        <v>368</v>
      </c>
      <c r="F2632" t="s">
        <v>35</v>
      </c>
      <c r="G2632" t="s">
        <v>35</v>
      </c>
      <c r="H2632" t="s">
        <v>35</v>
      </c>
      <c r="J2632" t="s">
        <v>3302</v>
      </c>
      <c r="K2632" t="s">
        <v>1092</v>
      </c>
      <c r="M2632">
        <v>0.9</v>
      </c>
      <c r="N2632">
        <v>72</v>
      </c>
      <c r="O2632" t="s">
        <v>61</v>
      </c>
      <c r="Q2632" t="s">
        <v>1156</v>
      </c>
      <c r="R2632" t="s">
        <v>373</v>
      </c>
      <c r="S2632" t="s">
        <v>374</v>
      </c>
      <c r="T2632" t="s">
        <v>375</v>
      </c>
    </row>
    <row r="2633" spans="1:20" x14ac:dyDescent="0.25">
      <c r="A2633" t="s">
        <v>59</v>
      </c>
      <c r="B2633" t="s">
        <v>60</v>
      </c>
      <c r="C2633" t="s">
        <v>32</v>
      </c>
      <c r="D2633" t="s">
        <v>341</v>
      </c>
      <c r="E2633" t="s">
        <v>368</v>
      </c>
      <c r="F2633" t="s">
        <v>35</v>
      </c>
      <c r="G2633" t="s">
        <v>35</v>
      </c>
      <c r="H2633" t="s">
        <v>35</v>
      </c>
      <c r="J2633" t="s">
        <v>369</v>
      </c>
      <c r="K2633" t="s">
        <v>370</v>
      </c>
      <c r="M2633">
        <v>10</v>
      </c>
      <c r="N2633">
        <v>82</v>
      </c>
      <c r="O2633" t="s">
        <v>61</v>
      </c>
      <c r="P2633" t="s">
        <v>372</v>
      </c>
      <c r="Q2633" t="s">
        <v>299</v>
      </c>
      <c r="R2633" t="s">
        <v>373</v>
      </c>
      <c r="S2633" t="s">
        <v>374</v>
      </c>
      <c r="T2633" t="s">
        <v>375</v>
      </c>
    </row>
    <row r="2634" spans="1:20" x14ac:dyDescent="0.25">
      <c r="A2634" t="s">
        <v>59</v>
      </c>
      <c r="B2634" t="s">
        <v>60</v>
      </c>
      <c r="C2634" t="s">
        <v>32</v>
      </c>
      <c r="D2634" t="s">
        <v>341</v>
      </c>
      <c r="E2634" t="s">
        <v>368</v>
      </c>
      <c r="F2634" t="s">
        <v>35</v>
      </c>
      <c r="G2634" t="s">
        <v>35</v>
      </c>
      <c r="H2634" t="s">
        <v>35</v>
      </c>
      <c r="J2634" t="s">
        <v>369</v>
      </c>
      <c r="K2634" t="s">
        <v>370</v>
      </c>
      <c r="M2634">
        <v>16</v>
      </c>
      <c r="N2634">
        <v>82</v>
      </c>
      <c r="O2634" t="s">
        <v>61</v>
      </c>
      <c r="P2634" t="s">
        <v>376</v>
      </c>
      <c r="Q2634" t="s">
        <v>299</v>
      </c>
      <c r="R2634" t="s">
        <v>373</v>
      </c>
      <c r="S2634" t="s">
        <v>374</v>
      </c>
      <c r="T2634" t="s">
        <v>375</v>
      </c>
    </row>
    <row r="2635" spans="1:20" x14ac:dyDescent="0.25">
      <c r="A2635" t="s">
        <v>30</v>
      </c>
      <c r="B2635" t="s">
        <v>31</v>
      </c>
      <c r="C2635" t="s">
        <v>32</v>
      </c>
      <c r="D2635" t="s">
        <v>341</v>
      </c>
      <c r="E2635" t="s">
        <v>368</v>
      </c>
      <c r="F2635" t="s">
        <v>35</v>
      </c>
      <c r="G2635" t="s">
        <v>35</v>
      </c>
      <c r="H2635" t="s">
        <v>35</v>
      </c>
      <c r="J2635" t="s">
        <v>3298</v>
      </c>
      <c r="K2635" t="s">
        <v>404</v>
      </c>
      <c r="M2635">
        <v>18</v>
      </c>
      <c r="N2635">
        <v>248</v>
      </c>
      <c r="O2635" t="s">
        <v>5</v>
      </c>
      <c r="Q2635" t="s">
        <v>1747</v>
      </c>
      <c r="R2635" t="s">
        <v>373</v>
      </c>
      <c r="S2635" t="s">
        <v>374</v>
      </c>
      <c r="T2635" t="s">
        <v>375</v>
      </c>
    </row>
    <row r="2636" spans="1:20" x14ac:dyDescent="0.25">
      <c r="A2636" t="s">
        <v>30</v>
      </c>
      <c r="B2636" t="s">
        <v>31</v>
      </c>
      <c r="C2636" t="s">
        <v>32</v>
      </c>
      <c r="D2636" t="s">
        <v>341</v>
      </c>
      <c r="E2636" t="s">
        <v>368</v>
      </c>
      <c r="F2636" t="s">
        <v>35</v>
      </c>
      <c r="G2636" t="s">
        <v>35</v>
      </c>
      <c r="H2636" t="s">
        <v>35</v>
      </c>
      <c r="J2636" t="s">
        <v>3301</v>
      </c>
      <c r="K2636" t="s">
        <v>1092</v>
      </c>
      <c r="M2636">
        <v>0.45</v>
      </c>
      <c r="N2636">
        <v>152</v>
      </c>
      <c r="O2636" t="s">
        <v>38</v>
      </c>
      <c r="Q2636" t="s">
        <v>40</v>
      </c>
      <c r="R2636" t="s">
        <v>373</v>
      </c>
      <c r="S2636" t="s">
        <v>374</v>
      </c>
      <c r="T2636" t="s">
        <v>375</v>
      </c>
    </row>
    <row r="2637" spans="1:20" x14ac:dyDescent="0.25">
      <c r="A2637" t="s">
        <v>30</v>
      </c>
      <c r="B2637" t="s">
        <v>31</v>
      </c>
      <c r="C2637" t="s">
        <v>32</v>
      </c>
      <c r="D2637" t="s">
        <v>341</v>
      </c>
      <c r="E2637" t="s">
        <v>368</v>
      </c>
      <c r="F2637" t="s">
        <v>35</v>
      </c>
      <c r="G2637" t="s">
        <v>35</v>
      </c>
      <c r="H2637" t="s">
        <v>35</v>
      </c>
      <c r="J2637" t="s">
        <v>1584</v>
      </c>
      <c r="K2637" t="s">
        <v>1092</v>
      </c>
      <c r="M2637">
        <v>0.81</v>
      </c>
      <c r="N2637">
        <v>81</v>
      </c>
      <c r="O2637" t="s">
        <v>61</v>
      </c>
      <c r="Q2637" t="s">
        <v>858</v>
      </c>
      <c r="R2637" t="s">
        <v>373</v>
      </c>
      <c r="S2637" t="s">
        <v>374</v>
      </c>
      <c r="T2637" t="s">
        <v>375</v>
      </c>
    </row>
    <row r="2638" spans="1:20" x14ac:dyDescent="0.25">
      <c r="A2638" t="s">
        <v>59</v>
      </c>
      <c r="B2638" t="s">
        <v>60</v>
      </c>
      <c r="C2638" t="s">
        <v>32</v>
      </c>
      <c r="D2638" t="s">
        <v>341</v>
      </c>
      <c r="E2638" t="s">
        <v>368</v>
      </c>
      <c r="F2638" t="s">
        <v>35</v>
      </c>
      <c r="G2638" t="s">
        <v>35</v>
      </c>
      <c r="H2638" t="s">
        <v>35</v>
      </c>
      <c r="J2638" t="s">
        <v>3297</v>
      </c>
      <c r="K2638" t="s">
        <v>1092</v>
      </c>
      <c r="M2638">
        <v>4</v>
      </c>
      <c r="N2638">
        <v>38</v>
      </c>
      <c r="O2638" t="s">
        <v>52</v>
      </c>
      <c r="Q2638" t="s">
        <v>716</v>
      </c>
      <c r="R2638" t="s">
        <v>373</v>
      </c>
      <c r="S2638" t="s">
        <v>374</v>
      </c>
      <c r="T2638" t="s">
        <v>375</v>
      </c>
    </row>
    <row r="2639" spans="1:20" x14ac:dyDescent="0.25">
      <c r="A2639" t="s">
        <v>30</v>
      </c>
      <c r="B2639" t="s">
        <v>31</v>
      </c>
      <c r="C2639" t="s">
        <v>32</v>
      </c>
      <c r="D2639" t="s">
        <v>341</v>
      </c>
      <c r="E2639" t="s">
        <v>368</v>
      </c>
      <c r="F2639" t="s">
        <v>35</v>
      </c>
      <c r="G2639" t="s">
        <v>35</v>
      </c>
      <c r="H2639" t="s">
        <v>35</v>
      </c>
      <c r="J2639" t="s">
        <v>3299</v>
      </c>
      <c r="K2639" t="s">
        <v>1092</v>
      </c>
      <c r="M2639">
        <v>0.9</v>
      </c>
      <c r="N2639">
        <v>159</v>
      </c>
      <c r="O2639" t="s">
        <v>38</v>
      </c>
      <c r="Q2639" t="s">
        <v>2316</v>
      </c>
      <c r="R2639" t="s">
        <v>373</v>
      </c>
      <c r="S2639" t="s">
        <v>374</v>
      </c>
      <c r="T2639" t="s">
        <v>375</v>
      </c>
    </row>
    <row r="2640" spans="1:20" x14ac:dyDescent="0.25">
      <c r="A2640" t="s">
        <v>30</v>
      </c>
      <c r="B2640" t="s">
        <v>31</v>
      </c>
      <c r="C2640" t="s">
        <v>32</v>
      </c>
      <c r="D2640" t="s">
        <v>341</v>
      </c>
      <c r="E2640" t="s">
        <v>368</v>
      </c>
      <c r="F2640" t="s">
        <v>35</v>
      </c>
      <c r="G2640" t="s">
        <v>35</v>
      </c>
      <c r="H2640" t="s">
        <v>35</v>
      </c>
      <c r="J2640" t="s">
        <v>3299</v>
      </c>
      <c r="K2640" t="s">
        <v>1092</v>
      </c>
      <c r="M2640">
        <v>4.05</v>
      </c>
      <c r="N2640">
        <v>219</v>
      </c>
      <c r="O2640" t="s">
        <v>5</v>
      </c>
      <c r="Q2640" t="s">
        <v>3300</v>
      </c>
      <c r="R2640" t="s">
        <v>373</v>
      </c>
      <c r="S2640" t="s">
        <v>374</v>
      </c>
      <c r="T2640" t="s">
        <v>375</v>
      </c>
    </row>
    <row r="2641" spans="1:20" x14ac:dyDescent="0.25">
      <c r="A2641" t="s">
        <v>30</v>
      </c>
      <c r="B2641" t="s">
        <v>31</v>
      </c>
      <c r="C2641" t="s">
        <v>32</v>
      </c>
      <c r="D2641" t="s">
        <v>341</v>
      </c>
      <c r="E2641" t="s">
        <v>368</v>
      </c>
      <c r="F2641" t="s">
        <v>35</v>
      </c>
      <c r="G2641" t="s">
        <v>35</v>
      </c>
      <c r="H2641" t="s">
        <v>35</v>
      </c>
      <c r="J2641" t="s">
        <v>3303</v>
      </c>
      <c r="K2641" t="s">
        <v>1092</v>
      </c>
      <c r="M2641">
        <v>0.495</v>
      </c>
      <c r="N2641">
        <v>74</v>
      </c>
      <c r="O2641" t="s">
        <v>61</v>
      </c>
      <c r="Q2641" t="s">
        <v>527</v>
      </c>
      <c r="R2641" t="s">
        <v>373</v>
      </c>
      <c r="S2641" t="s">
        <v>374</v>
      </c>
      <c r="T2641" t="s">
        <v>375</v>
      </c>
    </row>
    <row r="2642" spans="1:20" x14ac:dyDescent="0.25">
      <c r="A2642" t="s">
        <v>30</v>
      </c>
      <c r="B2642" t="s">
        <v>31</v>
      </c>
      <c r="C2642" t="s">
        <v>32</v>
      </c>
      <c r="D2642" t="s">
        <v>341</v>
      </c>
      <c r="E2642" t="s">
        <v>3407</v>
      </c>
      <c r="F2642" t="s">
        <v>35</v>
      </c>
      <c r="G2642" t="s">
        <v>35</v>
      </c>
      <c r="H2642" t="s">
        <v>35</v>
      </c>
      <c r="J2642" t="s">
        <v>1973</v>
      </c>
      <c r="K2642" t="s">
        <v>1092</v>
      </c>
      <c r="M2642">
        <v>0.495</v>
      </c>
      <c r="N2642">
        <v>139</v>
      </c>
      <c r="O2642" t="s">
        <v>38</v>
      </c>
      <c r="Q2642" t="s">
        <v>1335</v>
      </c>
      <c r="R2642" t="s">
        <v>3323</v>
      </c>
      <c r="S2642" t="s">
        <v>353</v>
      </c>
      <c r="T2642" t="s">
        <v>354</v>
      </c>
    </row>
    <row r="2643" spans="1:20" x14ac:dyDescent="0.25">
      <c r="A2643" t="s">
        <v>59</v>
      </c>
      <c r="B2643" t="s">
        <v>31</v>
      </c>
      <c r="C2643" t="s">
        <v>32</v>
      </c>
      <c r="D2643" t="s">
        <v>341</v>
      </c>
      <c r="E2643" t="s">
        <v>3407</v>
      </c>
      <c r="F2643" t="s">
        <v>35</v>
      </c>
      <c r="G2643" t="s">
        <v>35</v>
      </c>
      <c r="H2643" t="s">
        <v>35</v>
      </c>
      <c r="J2643" t="s">
        <v>3420</v>
      </c>
      <c r="K2643" t="s">
        <v>1092</v>
      </c>
      <c r="M2643">
        <v>2.34</v>
      </c>
      <c r="N2643">
        <v>338</v>
      </c>
      <c r="O2643" t="s">
        <v>5</v>
      </c>
      <c r="Q2643" t="s">
        <v>3421</v>
      </c>
      <c r="R2643" t="s">
        <v>3323</v>
      </c>
      <c r="S2643" t="s">
        <v>353</v>
      </c>
      <c r="T2643" t="s">
        <v>354</v>
      </c>
    </row>
    <row r="2644" spans="1:20" x14ac:dyDescent="0.25">
      <c r="A2644" t="s">
        <v>30</v>
      </c>
      <c r="B2644" t="s">
        <v>31</v>
      </c>
      <c r="C2644" t="s">
        <v>32</v>
      </c>
      <c r="D2644" t="s">
        <v>341</v>
      </c>
      <c r="E2644" t="s">
        <v>3407</v>
      </c>
      <c r="F2644" t="s">
        <v>35</v>
      </c>
      <c r="G2644" t="s">
        <v>35</v>
      </c>
      <c r="H2644" t="s">
        <v>35</v>
      </c>
      <c r="J2644" t="s">
        <v>3420</v>
      </c>
      <c r="K2644" t="s">
        <v>1092</v>
      </c>
      <c r="M2644">
        <v>1.0349999999999999</v>
      </c>
      <c r="N2644">
        <v>187</v>
      </c>
      <c r="O2644" t="s">
        <v>5</v>
      </c>
      <c r="Q2644" t="s">
        <v>2315</v>
      </c>
      <c r="R2644" t="s">
        <v>3323</v>
      </c>
      <c r="S2644" t="s">
        <v>353</v>
      </c>
      <c r="T2644" t="s">
        <v>354</v>
      </c>
    </row>
    <row r="2645" spans="1:20" x14ac:dyDescent="0.25">
      <c r="A2645" t="s">
        <v>30</v>
      </c>
      <c r="B2645" t="s">
        <v>31</v>
      </c>
      <c r="C2645" t="s">
        <v>32</v>
      </c>
      <c r="D2645" t="s">
        <v>341</v>
      </c>
      <c r="E2645" t="s">
        <v>3321</v>
      </c>
      <c r="F2645" t="s">
        <v>35</v>
      </c>
      <c r="G2645" t="s">
        <v>35</v>
      </c>
      <c r="H2645" t="s">
        <v>35</v>
      </c>
      <c r="J2645" t="s">
        <v>3322</v>
      </c>
      <c r="K2645" t="s">
        <v>1092</v>
      </c>
      <c r="M2645">
        <v>2.25</v>
      </c>
      <c r="N2645">
        <v>68</v>
      </c>
      <c r="O2645" t="s">
        <v>61</v>
      </c>
      <c r="Q2645" t="s">
        <v>805</v>
      </c>
      <c r="R2645" t="s">
        <v>3323</v>
      </c>
      <c r="S2645" t="s">
        <v>353</v>
      </c>
      <c r="T2645" t="s">
        <v>354</v>
      </c>
    </row>
    <row r="2646" spans="1:20" x14ac:dyDescent="0.25">
      <c r="A2646" t="s">
        <v>44</v>
      </c>
      <c r="B2646" t="s">
        <v>51</v>
      </c>
      <c r="C2646" t="s">
        <v>32</v>
      </c>
      <c r="D2646" t="s">
        <v>341</v>
      </c>
      <c r="E2646" t="s">
        <v>3407</v>
      </c>
      <c r="F2646" t="s">
        <v>35</v>
      </c>
      <c r="G2646" t="s">
        <v>35</v>
      </c>
      <c r="H2646" t="s">
        <v>35</v>
      </c>
      <c r="J2646" t="s">
        <v>3412</v>
      </c>
      <c r="K2646" t="s">
        <v>1092</v>
      </c>
      <c r="M2646">
        <v>0.15</v>
      </c>
      <c r="N2646">
        <v>176</v>
      </c>
      <c r="O2646" t="s">
        <v>38</v>
      </c>
      <c r="Q2646" t="s">
        <v>3413</v>
      </c>
      <c r="R2646" t="s">
        <v>3323</v>
      </c>
      <c r="S2646" t="s">
        <v>353</v>
      </c>
      <c r="T2646" t="s">
        <v>354</v>
      </c>
    </row>
    <row r="2647" spans="1:20" x14ac:dyDescent="0.25">
      <c r="A2647" t="s">
        <v>30</v>
      </c>
      <c r="B2647" t="s">
        <v>31</v>
      </c>
      <c r="C2647" t="s">
        <v>32</v>
      </c>
      <c r="D2647" t="s">
        <v>341</v>
      </c>
      <c r="E2647" t="s">
        <v>3321</v>
      </c>
      <c r="F2647" t="s">
        <v>35</v>
      </c>
      <c r="G2647" t="s">
        <v>35</v>
      </c>
      <c r="H2647" t="s">
        <v>35</v>
      </c>
      <c r="J2647" t="s">
        <v>3324</v>
      </c>
      <c r="K2647" t="s">
        <v>1092</v>
      </c>
      <c r="M2647">
        <v>0.45</v>
      </c>
      <c r="N2647">
        <v>68</v>
      </c>
      <c r="O2647" t="s">
        <v>61</v>
      </c>
      <c r="Q2647" t="s">
        <v>805</v>
      </c>
      <c r="R2647" t="s">
        <v>3323</v>
      </c>
      <c r="S2647" t="s">
        <v>353</v>
      </c>
      <c r="T2647" t="s">
        <v>354</v>
      </c>
    </row>
    <row r="2648" spans="1:20" x14ac:dyDescent="0.25">
      <c r="A2648" t="s">
        <v>30</v>
      </c>
      <c r="B2648" t="s">
        <v>31</v>
      </c>
      <c r="C2648" t="s">
        <v>32</v>
      </c>
      <c r="D2648" t="s">
        <v>341</v>
      </c>
      <c r="E2648" t="s">
        <v>3407</v>
      </c>
      <c r="F2648" t="s">
        <v>35</v>
      </c>
      <c r="G2648" t="s">
        <v>35</v>
      </c>
      <c r="H2648" t="s">
        <v>35</v>
      </c>
      <c r="J2648" t="s">
        <v>3419</v>
      </c>
      <c r="K2648" t="s">
        <v>1092</v>
      </c>
      <c r="M2648">
        <v>1.4999999999999999E-2</v>
      </c>
      <c r="N2648">
        <v>245</v>
      </c>
      <c r="O2648" t="s">
        <v>5</v>
      </c>
      <c r="Q2648" t="s">
        <v>1222</v>
      </c>
      <c r="R2648" t="s">
        <v>3323</v>
      </c>
      <c r="S2648" t="s">
        <v>353</v>
      </c>
      <c r="T2648" t="s">
        <v>354</v>
      </c>
    </row>
    <row r="2649" spans="1:20" x14ac:dyDescent="0.25">
      <c r="A2649" t="s">
        <v>59</v>
      </c>
      <c r="B2649" t="s">
        <v>60</v>
      </c>
      <c r="C2649" t="s">
        <v>32</v>
      </c>
      <c r="D2649" t="s">
        <v>341</v>
      </c>
      <c r="E2649" t="s">
        <v>3407</v>
      </c>
      <c r="F2649" t="s">
        <v>35</v>
      </c>
      <c r="G2649" t="s">
        <v>35</v>
      </c>
      <c r="H2649" t="s">
        <v>35</v>
      </c>
      <c r="J2649" t="s">
        <v>3419</v>
      </c>
      <c r="K2649" t="s">
        <v>1092</v>
      </c>
      <c r="M2649">
        <v>1.5</v>
      </c>
      <c r="N2649">
        <v>223</v>
      </c>
      <c r="O2649" t="s">
        <v>5</v>
      </c>
      <c r="Q2649" t="s">
        <v>1544</v>
      </c>
      <c r="R2649" t="s">
        <v>3323</v>
      </c>
      <c r="S2649" t="s">
        <v>353</v>
      </c>
      <c r="T2649" t="s">
        <v>354</v>
      </c>
    </row>
    <row r="2650" spans="1:20" x14ac:dyDescent="0.25">
      <c r="A2650" t="s">
        <v>30</v>
      </c>
      <c r="B2650" t="s">
        <v>31</v>
      </c>
      <c r="C2650" t="s">
        <v>32</v>
      </c>
      <c r="D2650" t="s">
        <v>341</v>
      </c>
      <c r="E2650" t="s">
        <v>3407</v>
      </c>
      <c r="F2650" t="s">
        <v>35</v>
      </c>
      <c r="G2650" t="s">
        <v>35</v>
      </c>
      <c r="H2650" t="s">
        <v>35</v>
      </c>
      <c r="J2650" t="s">
        <v>3418</v>
      </c>
      <c r="K2650" t="s">
        <v>1092</v>
      </c>
      <c r="M2650">
        <v>4.4999999999999998E-2</v>
      </c>
      <c r="N2650">
        <v>245</v>
      </c>
      <c r="O2650" t="s">
        <v>5</v>
      </c>
      <c r="Q2650" t="s">
        <v>1222</v>
      </c>
      <c r="R2650" t="s">
        <v>3323</v>
      </c>
      <c r="S2650" t="s">
        <v>353</v>
      </c>
      <c r="T2650" t="s">
        <v>354</v>
      </c>
    </row>
    <row r="2651" spans="1:20" x14ac:dyDescent="0.25">
      <c r="A2651" t="s">
        <v>44</v>
      </c>
      <c r="B2651" t="s">
        <v>3</v>
      </c>
      <c r="C2651" t="s">
        <v>32</v>
      </c>
      <c r="D2651" t="s">
        <v>341</v>
      </c>
      <c r="E2651" t="s">
        <v>3325</v>
      </c>
      <c r="F2651" t="s">
        <v>35</v>
      </c>
      <c r="G2651" t="s">
        <v>35</v>
      </c>
      <c r="H2651" t="s">
        <v>35</v>
      </c>
      <c r="J2651" t="s">
        <v>3329</v>
      </c>
      <c r="K2651" t="s">
        <v>1092</v>
      </c>
      <c r="M2651">
        <v>0.4</v>
      </c>
      <c r="N2651">
        <v>428</v>
      </c>
      <c r="O2651" t="s">
        <v>294</v>
      </c>
      <c r="Q2651" t="s">
        <v>1350</v>
      </c>
      <c r="R2651" t="s">
        <v>3323</v>
      </c>
      <c r="S2651" t="s">
        <v>353</v>
      </c>
      <c r="T2651" t="s">
        <v>354</v>
      </c>
    </row>
    <row r="2652" spans="1:20" x14ac:dyDescent="0.25">
      <c r="A2652" t="s">
        <v>30</v>
      </c>
      <c r="B2652" t="s">
        <v>31</v>
      </c>
      <c r="C2652" t="s">
        <v>32</v>
      </c>
      <c r="D2652" t="s">
        <v>341</v>
      </c>
      <c r="E2652" t="s">
        <v>3407</v>
      </c>
      <c r="F2652" t="s">
        <v>35</v>
      </c>
      <c r="G2652" t="s">
        <v>35</v>
      </c>
      <c r="H2652" t="s">
        <v>35</v>
      </c>
      <c r="J2652" t="s">
        <v>3417</v>
      </c>
      <c r="K2652" t="s">
        <v>1092</v>
      </c>
      <c r="M2652">
        <v>1.4850000000000001</v>
      </c>
      <c r="N2652">
        <v>187</v>
      </c>
      <c r="O2652" t="s">
        <v>5</v>
      </c>
      <c r="Q2652" t="s">
        <v>2315</v>
      </c>
      <c r="R2652" t="s">
        <v>3323</v>
      </c>
      <c r="S2652" t="s">
        <v>353</v>
      </c>
      <c r="T2652" t="s">
        <v>354</v>
      </c>
    </row>
    <row r="2653" spans="1:20" x14ac:dyDescent="0.25">
      <c r="A2653" t="s">
        <v>44</v>
      </c>
      <c r="B2653" t="s">
        <v>51</v>
      </c>
      <c r="C2653" t="s">
        <v>32</v>
      </c>
      <c r="D2653" t="s">
        <v>341</v>
      </c>
      <c r="E2653" t="s">
        <v>3407</v>
      </c>
      <c r="F2653" t="s">
        <v>35</v>
      </c>
      <c r="G2653" t="s">
        <v>35</v>
      </c>
      <c r="H2653" t="s">
        <v>35</v>
      </c>
      <c r="J2653" t="s">
        <v>3414</v>
      </c>
      <c r="K2653" t="s">
        <v>1092</v>
      </c>
      <c r="M2653">
        <v>1.5</v>
      </c>
      <c r="N2653">
        <v>234</v>
      </c>
      <c r="O2653" t="s">
        <v>5</v>
      </c>
      <c r="Q2653" t="s">
        <v>3415</v>
      </c>
      <c r="R2653" t="s">
        <v>3323</v>
      </c>
      <c r="S2653" t="s">
        <v>353</v>
      </c>
      <c r="T2653" t="s">
        <v>354</v>
      </c>
    </row>
    <row r="2654" spans="1:20" x14ac:dyDescent="0.25">
      <c r="A2654" t="s">
        <v>30</v>
      </c>
      <c r="B2654" t="s">
        <v>31</v>
      </c>
      <c r="C2654" t="s">
        <v>32</v>
      </c>
      <c r="D2654" t="s">
        <v>341</v>
      </c>
      <c r="E2654" t="s">
        <v>377</v>
      </c>
      <c r="F2654" t="s">
        <v>35</v>
      </c>
      <c r="G2654" t="s">
        <v>35</v>
      </c>
      <c r="H2654" t="s">
        <v>35</v>
      </c>
      <c r="J2654" t="s">
        <v>348</v>
      </c>
      <c r="K2654" t="s">
        <v>37</v>
      </c>
      <c r="M2654">
        <v>21.78</v>
      </c>
      <c r="N2654">
        <v>70</v>
      </c>
      <c r="O2654" t="s">
        <v>61</v>
      </c>
      <c r="P2654" t="s">
        <v>378</v>
      </c>
      <c r="Q2654" t="s">
        <v>305</v>
      </c>
      <c r="R2654" t="s">
        <v>91</v>
      </c>
      <c r="S2654" t="s">
        <v>92</v>
      </c>
    </row>
    <row r="2655" spans="1:20" x14ac:dyDescent="0.25">
      <c r="A2655" t="s">
        <v>44</v>
      </c>
      <c r="B2655" t="s">
        <v>51</v>
      </c>
      <c r="C2655" t="s">
        <v>32</v>
      </c>
      <c r="D2655" t="s">
        <v>341</v>
      </c>
      <c r="E2655" t="s">
        <v>377</v>
      </c>
      <c r="F2655" t="s">
        <v>35</v>
      </c>
      <c r="G2655" t="s">
        <v>35</v>
      </c>
      <c r="H2655" t="s">
        <v>35</v>
      </c>
      <c r="J2655" t="s">
        <v>348</v>
      </c>
      <c r="K2655" t="s">
        <v>37</v>
      </c>
      <c r="M2655">
        <v>50</v>
      </c>
      <c r="N2655">
        <v>58</v>
      </c>
      <c r="O2655" t="s">
        <v>52</v>
      </c>
      <c r="P2655" t="s">
        <v>379</v>
      </c>
      <c r="Q2655" t="s">
        <v>128</v>
      </c>
      <c r="R2655" t="s">
        <v>91</v>
      </c>
      <c r="S2655" t="s">
        <v>92</v>
      </c>
    </row>
    <row r="2656" spans="1:20" x14ac:dyDescent="0.25">
      <c r="A2656" t="s">
        <v>44</v>
      </c>
      <c r="B2656" t="s">
        <v>51</v>
      </c>
      <c r="C2656" t="s">
        <v>32</v>
      </c>
      <c r="D2656" t="s">
        <v>341</v>
      </c>
      <c r="E2656" t="s">
        <v>377</v>
      </c>
      <c r="F2656" t="s">
        <v>35</v>
      </c>
      <c r="G2656" t="s">
        <v>35</v>
      </c>
      <c r="H2656" t="s">
        <v>35</v>
      </c>
      <c r="J2656" t="s">
        <v>348</v>
      </c>
      <c r="K2656" t="s">
        <v>37</v>
      </c>
      <c r="M2656">
        <v>10.8</v>
      </c>
      <c r="N2656">
        <v>57</v>
      </c>
      <c r="O2656" t="s">
        <v>52</v>
      </c>
      <c r="P2656" t="s">
        <v>380</v>
      </c>
      <c r="Q2656" t="s">
        <v>381</v>
      </c>
      <c r="R2656" t="s">
        <v>91</v>
      </c>
      <c r="S2656" t="s">
        <v>92</v>
      </c>
    </row>
    <row r="2657" spans="1:20" x14ac:dyDescent="0.25">
      <c r="A2657" t="s">
        <v>44</v>
      </c>
      <c r="B2657" t="s">
        <v>51</v>
      </c>
      <c r="C2657" t="s">
        <v>32</v>
      </c>
      <c r="D2657" t="s">
        <v>341</v>
      </c>
      <c r="E2657" t="s">
        <v>377</v>
      </c>
      <c r="F2657" t="s">
        <v>35</v>
      </c>
      <c r="G2657" t="s">
        <v>35</v>
      </c>
      <c r="H2657" t="s">
        <v>35</v>
      </c>
      <c r="J2657" t="s">
        <v>348</v>
      </c>
      <c r="K2657" t="s">
        <v>37</v>
      </c>
      <c r="M2657">
        <v>50</v>
      </c>
      <c r="N2657">
        <v>58</v>
      </c>
      <c r="O2657" t="s">
        <v>52</v>
      </c>
      <c r="P2657" t="s">
        <v>382</v>
      </c>
      <c r="Q2657" t="s">
        <v>128</v>
      </c>
      <c r="R2657" t="s">
        <v>91</v>
      </c>
      <c r="S2657" t="s">
        <v>92</v>
      </c>
    </row>
    <row r="2658" spans="1:20" x14ac:dyDescent="0.25">
      <c r="A2658" t="s">
        <v>30</v>
      </c>
      <c r="B2658" t="s">
        <v>31</v>
      </c>
      <c r="C2658" t="s">
        <v>32</v>
      </c>
      <c r="D2658" t="s">
        <v>341</v>
      </c>
      <c r="E2658" t="s">
        <v>377</v>
      </c>
      <c r="F2658" t="s">
        <v>35</v>
      </c>
      <c r="G2658" t="s">
        <v>35</v>
      </c>
      <c r="H2658" t="s">
        <v>35</v>
      </c>
      <c r="J2658" t="s">
        <v>348</v>
      </c>
      <c r="K2658" t="s">
        <v>37</v>
      </c>
      <c r="M2658">
        <v>0.63</v>
      </c>
      <c r="N2658">
        <v>70</v>
      </c>
      <c r="O2658" t="s">
        <v>61</v>
      </c>
      <c r="P2658" t="s">
        <v>383</v>
      </c>
      <c r="Q2658" t="s">
        <v>305</v>
      </c>
      <c r="R2658" t="s">
        <v>91</v>
      </c>
      <c r="S2658" t="s">
        <v>92</v>
      </c>
    </row>
    <row r="2659" spans="1:20" x14ac:dyDescent="0.25">
      <c r="A2659" t="s">
        <v>44</v>
      </c>
      <c r="B2659" t="s">
        <v>51</v>
      </c>
      <c r="C2659" t="s">
        <v>32</v>
      </c>
      <c r="D2659" t="s">
        <v>341</v>
      </c>
      <c r="E2659" t="s">
        <v>377</v>
      </c>
      <c r="F2659" t="s">
        <v>35</v>
      </c>
      <c r="G2659" t="s">
        <v>35</v>
      </c>
      <c r="H2659" t="s">
        <v>35</v>
      </c>
      <c r="J2659" t="s">
        <v>348</v>
      </c>
      <c r="K2659" t="s">
        <v>37</v>
      </c>
      <c r="M2659">
        <v>50</v>
      </c>
      <c r="N2659">
        <v>58</v>
      </c>
      <c r="O2659" t="s">
        <v>52</v>
      </c>
      <c r="P2659" t="s">
        <v>384</v>
      </c>
      <c r="Q2659" t="s">
        <v>128</v>
      </c>
      <c r="R2659" t="s">
        <v>91</v>
      </c>
      <c r="S2659" t="s">
        <v>92</v>
      </c>
    </row>
    <row r="2660" spans="1:20" x14ac:dyDescent="0.25">
      <c r="A2660" t="s">
        <v>30</v>
      </c>
      <c r="B2660" t="s">
        <v>31</v>
      </c>
      <c r="C2660" t="s">
        <v>32</v>
      </c>
      <c r="D2660" t="s">
        <v>341</v>
      </c>
      <c r="E2660" t="s">
        <v>377</v>
      </c>
      <c r="F2660" t="s">
        <v>35</v>
      </c>
      <c r="G2660" t="s">
        <v>35</v>
      </c>
      <c r="H2660" t="s">
        <v>35</v>
      </c>
      <c r="J2660" t="s">
        <v>348</v>
      </c>
      <c r="K2660" t="s">
        <v>37</v>
      </c>
      <c r="M2660">
        <v>54</v>
      </c>
      <c r="N2660">
        <v>70</v>
      </c>
      <c r="O2660" t="s">
        <v>61</v>
      </c>
      <c r="P2660" t="s">
        <v>385</v>
      </c>
      <c r="Q2660" t="s">
        <v>305</v>
      </c>
      <c r="R2660" t="s">
        <v>91</v>
      </c>
      <c r="S2660" t="s">
        <v>92</v>
      </c>
    </row>
    <row r="2661" spans="1:20" x14ac:dyDescent="0.25">
      <c r="A2661" t="s">
        <v>44</v>
      </c>
      <c r="B2661" t="s">
        <v>51</v>
      </c>
      <c r="C2661" t="s">
        <v>32</v>
      </c>
      <c r="D2661" t="s">
        <v>341</v>
      </c>
      <c r="E2661" t="s">
        <v>377</v>
      </c>
      <c r="F2661" t="s">
        <v>35</v>
      </c>
      <c r="G2661" t="s">
        <v>35</v>
      </c>
      <c r="H2661" t="s">
        <v>35</v>
      </c>
      <c r="J2661" t="s">
        <v>348</v>
      </c>
      <c r="K2661" t="s">
        <v>37</v>
      </c>
      <c r="M2661">
        <v>28</v>
      </c>
      <c r="N2661">
        <v>58</v>
      </c>
      <c r="O2661" t="s">
        <v>52</v>
      </c>
      <c r="P2661" t="s">
        <v>386</v>
      </c>
      <c r="Q2661" t="s">
        <v>128</v>
      </c>
      <c r="R2661" t="s">
        <v>91</v>
      </c>
      <c r="S2661" t="s">
        <v>92</v>
      </c>
    </row>
    <row r="2662" spans="1:20" x14ac:dyDescent="0.25">
      <c r="A2662" t="s">
        <v>59</v>
      </c>
      <c r="B2662" t="s">
        <v>60</v>
      </c>
      <c r="C2662" t="s">
        <v>32</v>
      </c>
      <c r="D2662" t="s">
        <v>341</v>
      </c>
      <c r="E2662" t="s">
        <v>390</v>
      </c>
      <c r="F2662" t="s">
        <v>35</v>
      </c>
      <c r="G2662" t="s">
        <v>35</v>
      </c>
      <c r="H2662" t="s">
        <v>35</v>
      </c>
      <c r="J2662" t="s">
        <v>391</v>
      </c>
      <c r="K2662" t="s">
        <v>37</v>
      </c>
      <c r="M2662">
        <v>10</v>
      </c>
      <c r="N2662">
        <v>87</v>
      </c>
      <c r="O2662" t="s">
        <v>61</v>
      </c>
      <c r="P2662" t="s">
        <v>393</v>
      </c>
      <c r="Q2662" t="s">
        <v>394</v>
      </c>
      <c r="R2662" t="s">
        <v>91</v>
      </c>
      <c r="S2662" t="s">
        <v>92</v>
      </c>
    </row>
    <row r="2663" spans="1:20" x14ac:dyDescent="0.25">
      <c r="A2663" t="s">
        <v>59</v>
      </c>
      <c r="B2663" t="s">
        <v>60</v>
      </c>
      <c r="C2663" t="s">
        <v>32</v>
      </c>
      <c r="D2663" t="s">
        <v>341</v>
      </c>
      <c r="E2663" t="s">
        <v>390</v>
      </c>
      <c r="F2663" t="s">
        <v>35</v>
      </c>
      <c r="G2663" t="s">
        <v>35</v>
      </c>
      <c r="H2663" t="s">
        <v>35</v>
      </c>
      <c r="J2663" t="s">
        <v>391</v>
      </c>
      <c r="K2663" t="s">
        <v>37</v>
      </c>
      <c r="M2663">
        <v>20</v>
      </c>
      <c r="N2663">
        <v>58</v>
      </c>
      <c r="O2663" t="s">
        <v>52</v>
      </c>
      <c r="P2663" t="s">
        <v>395</v>
      </c>
      <c r="Q2663" t="s">
        <v>128</v>
      </c>
      <c r="R2663" t="s">
        <v>91</v>
      </c>
      <c r="S2663" t="s">
        <v>92</v>
      </c>
    </row>
    <row r="2664" spans="1:20" x14ac:dyDescent="0.25">
      <c r="A2664" t="s">
        <v>59</v>
      </c>
      <c r="B2664" t="s">
        <v>60</v>
      </c>
      <c r="C2664" t="s">
        <v>32</v>
      </c>
      <c r="D2664" t="s">
        <v>341</v>
      </c>
      <c r="E2664" t="s">
        <v>390</v>
      </c>
      <c r="F2664" t="s">
        <v>35</v>
      </c>
      <c r="G2664" t="s">
        <v>35</v>
      </c>
      <c r="H2664" t="s">
        <v>35</v>
      </c>
      <c r="J2664" t="s">
        <v>391</v>
      </c>
      <c r="K2664" t="s">
        <v>37</v>
      </c>
      <c r="M2664">
        <v>8.5</v>
      </c>
      <c r="N2664">
        <v>128</v>
      </c>
      <c r="O2664" t="s">
        <v>38</v>
      </c>
      <c r="P2664" t="s">
        <v>396</v>
      </c>
      <c r="Q2664" t="s">
        <v>98</v>
      </c>
      <c r="R2664" t="s">
        <v>91</v>
      </c>
      <c r="S2664" t="s">
        <v>92</v>
      </c>
    </row>
    <row r="2665" spans="1:20" x14ac:dyDescent="0.25">
      <c r="A2665" t="s">
        <v>30</v>
      </c>
      <c r="B2665" t="s">
        <v>31</v>
      </c>
      <c r="C2665" t="s">
        <v>32</v>
      </c>
      <c r="D2665" t="s">
        <v>341</v>
      </c>
      <c r="E2665" t="s">
        <v>390</v>
      </c>
      <c r="F2665" t="s">
        <v>35</v>
      </c>
      <c r="G2665" t="s">
        <v>35</v>
      </c>
      <c r="H2665" t="s">
        <v>35</v>
      </c>
      <c r="J2665" t="s">
        <v>391</v>
      </c>
      <c r="K2665" t="s">
        <v>37</v>
      </c>
      <c r="M2665">
        <v>12.015000000000001</v>
      </c>
      <c r="N2665">
        <v>19</v>
      </c>
      <c r="O2665" t="s">
        <v>46</v>
      </c>
      <c r="P2665" t="s">
        <v>397</v>
      </c>
      <c r="Q2665" t="s">
        <v>94</v>
      </c>
      <c r="R2665" t="s">
        <v>91</v>
      </c>
      <c r="S2665" t="s">
        <v>92</v>
      </c>
    </row>
    <row r="2666" spans="1:20" x14ac:dyDescent="0.25">
      <c r="A2666" t="s">
        <v>44</v>
      </c>
      <c r="B2666" t="s">
        <v>51</v>
      </c>
      <c r="C2666" t="s">
        <v>32</v>
      </c>
      <c r="D2666" t="s">
        <v>341</v>
      </c>
      <c r="E2666" t="s">
        <v>409</v>
      </c>
      <c r="F2666" t="s">
        <v>35</v>
      </c>
      <c r="G2666" t="s">
        <v>35</v>
      </c>
      <c r="H2666" t="s">
        <v>35</v>
      </c>
      <c r="J2666" t="s">
        <v>357</v>
      </c>
      <c r="K2666" t="s">
        <v>37</v>
      </c>
      <c r="M2666">
        <v>16</v>
      </c>
      <c r="N2666">
        <v>57</v>
      </c>
      <c r="O2666" t="s">
        <v>52</v>
      </c>
      <c r="P2666" t="s">
        <v>410</v>
      </c>
      <c r="Q2666" t="s">
        <v>381</v>
      </c>
      <c r="R2666" t="s">
        <v>91</v>
      </c>
      <c r="S2666" t="s">
        <v>92</v>
      </c>
    </row>
    <row r="2667" spans="1:20" x14ac:dyDescent="0.25">
      <c r="A2667" t="s">
        <v>44</v>
      </c>
      <c r="B2667" t="s">
        <v>51</v>
      </c>
      <c r="C2667" t="s">
        <v>32</v>
      </c>
      <c r="D2667" t="s">
        <v>341</v>
      </c>
      <c r="E2667" t="s">
        <v>409</v>
      </c>
      <c r="F2667" t="s">
        <v>35</v>
      </c>
      <c r="G2667" t="s">
        <v>35</v>
      </c>
      <c r="H2667" t="s">
        <v>35</v>
      </c>
      <c r="J2667" t="s">
        <v>357</v>
      </c>
      <c r="K2667" t="s">
        <v>37</v>
      </c>
      <c r="M2667">
        <v>38</v>
      </c>
      <c r="N2667">
        <v>58</v>
      </c>
      <c r="O2667" t="s">
        <v>52</v>
      </c>
      <c r="P2667" t="s">
        <v>411</v>
      </c>
      <c r="Q2667" t="s">
        <v>128</v>
      </c>
      <c r="R2667" t="s">
        <v>91</v>
      </c>
      <c r="S2667" t="s">
        <v>92</v>
      </c>
    </row>
    <row r="2668" spans="1:20" x14ac:dyDescent="0.25">
      <c r="A2668" t="s">
        <v>44</v>
      </c>
      <c r="B2668" t="s">
        <v>51</v>
      </c>
      <c r="C2668" t="s">
        <v>32</v>
      </c>
      <c r="D2668" t="s">
        <v>341</v>
      </c>
      <c r="E2668" t="s">
        <v>409</v>
      </c>
      <c r="F2668" t="s">
        <v>35</v>
      </c>
      <c r="G2668" t="s">
        <v>35</v>
      </c>
      <c r="H2668" t="s">
        <v>35</v>
      </c>
      <c r="J2668" t="s">
        <v>357</v>
      </c>
      <c r="K2668" t="s">
        <v>37</v>
      </c>
      <c r="M2668">
        <v>30</v>
      </c>
      <c r="N2668">
        <v>57</v>
      </c>
      <c r="O2668" t="s">
        <v>52</v>
      </c>
      <c r="P2668" t="s">
        <v>412</v>
      </c>
      <c r="Q2668" t="s">
        <v>381</v>
      </c>
      <c r="R2668" t="s">
        <v>91</v>
      </c>
      <c r="S2668" t="s">
        <v>92</v>
      </c>
    </row>
    <row r="2669" spans="1:20" x14ac:dyDescent="0.25">
      <c r="A2669" t="s">
        <v>30</v>
      </c>
      <c r="B2669" t="s">
        <v>31</v>
      </c>
      <c r="C2669" t="s">
        <v>32</v>
      </c>
      <c r="D2669" t="s">
        <v>341</v>
      </c>
      <c r="E2669" t="s">
        <v>377</v>
      </c>
      <c r="F2669" t="s">
        <v>35</v>
      </c>
      <c r="G2669" t="s">
        <v>35</v>
      </c>
      <c r="H2669" t="s">
        <v>35</v>
      </c>
      <c r="J2669" t="s">
        <v>387</v>
      </c>
      <c r="K2669" t="s">
        <v>37</v>
      </c>
      <c r="M2669">
        <v>16.204999999999998</v>
      </c>
      <c r="N2669">
        <v>70</v>
      </c>
      <c r="O2669" t="s">
        <v>61</v>
      </c>
      <c r="P2669" t="s">
        <v>389</v>
      </c>
      <c r="Q2669" t="s">
        <v>305</v>
      </c>
      <c r="R2669" t="s">
        <v>91</v>
      </c>
      <c r="S2669" t="s">
        <v>92</v>
      </c>
    </row>
    <row r="2670" spans="1:20" x14ac:dyDescent="0.25">
      <c r="A2670" t="s">
        <v>30</v>
      </c>
      <c r="B2670" t="s">
        <v>31</v>
      </c>
      <c r="C2670" t="s">
        <v>32</v>
      </c>
      <c r="D2670" t="s">
        <v>341</v>
      </c>
      <c r="E2670" t="s">
        <v>363</v>
      </c>
      <c r="F2670" t="s">
        <v>35</v>
      </c>
      <c r="G2670" t="s">
        <v>35</v>
      </c>
      <c r="H2670" t="s">
        <v>35</v>
      </c>
      <c r="J2670" t="s">
        <v>3291</v>
      </c>
      <c r="K2670" t="s">
        <v>1092</v>
      </c>
      <c r="M2670">
        <v>0.85499999999999998</v>
      </c>
      <c r="N2670">
        <v>237</v>
      </c>
      <c r="O2670" t="s">
        <v>5</v>
      </c>
      <c r="Q2670" t="s">
        <v>1242</v>
      </c>
      <c r="R2670" t="s">
        <v>3274</v>
      </c>
      <c r="S2670" t="s">
        <v>3275</v>
      </c>
      <c r="T2670" t="s">
        <v>3276</v>
      </c>
    </row>
    <row r="2671" spans="1:20" x14ac:dyDescent="0.25">
      <c r="A2671" t="s">
        <v>59</v>
      </c>
      <c r="B2671" t="s">
        <v>31</v>
      </c>
      <c r="C2671" t="s">
        <v>32</v>
      </c>
      <c r="D2671" t="s">
        <v>341</v>
      </c>
      <c r="E2671" t="s">
        <v>3272</v>
      </c>
      <c r="F2671" t="s">
        <v>35</v>
      </c>
      <c r="G2671" t="s">
        <v>35</v>
      </c>
      <c r="H2671" t="s">
        <v>35</v>
      </c>
      <c r="J2671" t="s">
        <v>3273</v>
      </c>
      <c r="K2671" t="s">
        <v>1092</v>
      </c>
      <c r="M2671">
        <v>2.25</v>
      </c>
      <c r="N2671">
        <v>91</v>
      </c>
      <c r="O2671" t="s">
        <v>106</v>
      </c>
      <c r="Q2671" t="s">
        <v>108</v>
      </c>
      <c r="R2671" t="s">
        <v>3274</v>
      </c>
      <c r="S2671" t="s">
        <v>3275</v>
      </c>
      <c r="T2671" t="s">
        <v>3276</v>
      </c>
    </row>
    <row r="2672" spans="1:20" x14ac:dyDescent="0.25">
      <c r="A2672" t="s">
        <v>59</v>
      </c>
      <c r="B2672" t="s">
        <v>31</v>
      </c>
      <c r="C2672" t="s">
        <v>32</v>
      </c>
      <c r="D2672" t="s">
        <v>341</v>
      </c>
      <c r="E2672" t="s">
        <v>368</v>
      </c>
      <c r="F2672" t="s">
        <v>35</v>
      </c>
      <c r="G2672" t="s">
        <v>35</v>
      </c>
      <c r="H2672" t="s">
        <v>35</v>
      </c>
      <c r="J2672" t="s">
        <v>3301</v>
      </c>
      <c r="K2672" t="s">
        <v>1092</v>
      </c>
      <c r="M2672">
        <v>2.4750000000000001</v>
      </c>
      <c r="N2672">
        <v>63</v>
      </c>
      <c r="O2672" t="s">
        <v>61</v>
      </c>
      <c r="Q2672" t="s">
        <v>126</v>
      </c>
      <c r="R2672" t="s">
        <v>3274</v>
      </c>
      <c r="S2672" t="s">
        <v>3275</v>
      </c>
      <c r="T2672" t="s">
        <v>3276</v>
      </c>
    </row>
    <row r="2673" spans="1:20" x14ac:dyDescent="0.25">
      <c r="A2673" t="s">
        <v>59</v>
      </c>
      <c r="B2673" t="s">
        <v>31</v>
      </c>
      <c r="C2673" t="s">
        <v>32</v>
      </c>
      <c r="D2673" t="s">
        <v>341</v>
      </c>
      <c r="E2673" t="s">
        <v>363</v>
      </c>
      <c r="F2673" t="s">
        <v>35</v>
      </c>
      <c r="G2673" t="s">
        <v>35</v>
      </c>
      <c r="H2673" t="s">
        <v>35</v>
      </c>
      <c r="J2673" t="s">
        <v>3292</v>
      </c>
      <c r="K2673" t="s">
        <v>1092</v>
      </c>
      <c r="M2673">
        <v>0.09</v>
      </c>
      <c r="N2673">
        <v>63</v>
      </c>
      <c r="O2673" t="s">
        <v>61</v>
      </c>
      <c r="Q2673" t="s">
        <v>126</v>
      </c>
      <c r="R2673" t="s">
        <v>3274</v>
      </c>
      <c r="S2673" t="s">
        <v>3275</v>
      </c>
      <c r="T2673" t="s">
        <v>3276</v>
      </c>
    </row>
    <row r="2674" spans="1:20" x14ac:dyDescent="0.25">
      <c r="A2674" t="s">
        <v>30</v>
      </c>
      <c r="B2674" t="s">
        <v>31</v>
      </c>
      <c r="C2674" t="s">
        <v>32</v>
      </c>
      <c r="D2674" t="s">
        <v>341</v>
      </c>
      <c r="E2674" t="s">
        <v>363</v>
      </c>
      <c r="F2674" t="s">
        <v>35</v>
      </c>
      <c r="G2674" t="s">
        <v>35</v>
      </c>
      <c r="H2674" t="s">
        <v>35</v>
      </c>
      <c r="J2674" t="s">
        <v>3289</v>
      </c>
      <c r="K2674" t="s">
        <v>1092</v>
      </c>
      <c r="M2674">
        <v>3.6</v>
      </c>
      <c r="N2674">
        <v>67</v>
      </c>
      <c r="O2674" t="s">
        <v>61</v>
      </c>
      <c r="Q2674" t="s">
        <v>488</v>
      </c>
      <c r="R2674" t="s">
        <v>3274</v>
      </c>
      <c r="S2674" t="s">
        <v>3275</v>
      </c>
      <c r="T2674" t="s">
        <v>3276</v>
      </c>
    </row>
    <row r="2675" spans="1:20" x14ac:dyDescent="0.25">
      <c r="A2675" t="s">
        <v>30</v>
      </c>
      <c r="B2675" t="s">
        <v>31</v>
      </c>
      <c r="C2675" t="s">
        <v>32</v>
      </c>
      <c r="D2675" t="s">
        <v>341</v>
      </c>
      <c r="E2675" t="s">
        <v>363</v>
      </c>
      <c r="F2675" t="s">
        <v>35</v>
      </c>
      <c r="G2675" t="s">
        <v>35</v>
      </c>
      <c r="H2675" t="s">
        <v>35</v>
      </c>
      <c r="J2675" t="s">
        <v>3290</v>
      </c>
      <c r="K2675" t="s">
        <v>1092</v>
      </c>
      <c r="M2675">
        <v>0.54</v>
      </c>
      <c r="N2675">
        <v>67</v>
      </c>
      <c r="O2675" t="s">
        <v>61</v>
      </c>
      <c r="Q2675" t="s">
        <v>488</v>
      </c>
      <c r="R2675" t="s">
        <v>3274</v>
      </c>
      <c r="S2675" t="s">
        <v>3275</v>
      </c>
      <c r="T2675" t="s">
        <v>3276</v>
      </c>
    </row>
    <row r="2676" spans="1:20" x14ac:dyDescent="0.25">
      <c r="A2676" t="s">
        <v>30</v>
      </c>
      <c r="B2676" t="s">
        <v>31</v>
      </c>
      <c r="C2676" t="s">
        <v>32</v>
      </c>
      <c r="D2676" t="s">
        <v>341</v>
      </c>
      <c r="E2676" t="s">
        <v>413</v>
      </c>
      <c r="F2676" t="s">
        <v>35</v>
      </c>
      <c r="G2676" t="s">
        <v>35</v>
      </c>
      <c r="H2676" t="s">
        <v>35</v>
      </c>
      <c r="J2676" t="s">
        <v>3442</v>
      </c>
      <c r="K2676" t="s">
        <v>1092</v>
      </c>
      <c r="M2676">
        <v>0.315</v>
      </c>
      <c r="N2676">
        <v>59</v>
      </c>
      <c r="O2676" t="s">
        <v>52</v>
      </c>
      <c r="Q2676" t="s">
        <v>203</v>
      </c>
      <c r="R2676" t="s">
        <v>3284</v>
      </c>
      <c r="S2676" t="s">
        <v>387</v>
      </c>
      <c r="T2676" t="s">
        <v>388</v>
      </c>
    </row>
    <row r="2677" spans="1:20" x14ac:dyDescent="0.25">
      <c r="A2677" t="s">
        <v>59</v>
      </c>
      <c r="B2677" t="s">
        <v>31</v>
      </c>
      <c r="C2677" t="s">
        <v>32</v>
      </c>
      <c r="D2677" t="s">
        <v>341</v>
      </c>
      <c r="E2677" t="s">
        <v>413</v>
      </c>
      <c r="F2677" t="s">
        <v>35</v>
      </c>
      <c r="G2677" t="s">
        <v>35</v>
      </c>
      <c r="H2677" t="s">
        <v>35</v>
      </c>
      <c r="J2677" t="s">
        <v>3447</v>
      </c>
      <c r="K2677" t="s">
        <v>1092</v>
      </c>
      <c r="M2677">
        <v>0.36</v>
      </c>
      <c r="N2677">
        <v>105</v>
      </c>
      <c r="O2677" t="s">
        <v>106</v>
      </c>
      <c r="Q2677" t="s">
        <v>171</v>
      </c>
      <c r="R2677" t="s">
        <v>3284</v>
      </c>
      <c r="S2677" t="s">
        <v>387</v>
      </c>
      <c r="T2677" t="s">
        <v>388</v>
      </c>
    </row>
    <row r="2678" spans="1:20" x14ac:dyDescent="0.25">
      <c r="A2678" t="s">
        <v>44</v>
      </c>
      <c r="B2678" t="s">
        <v>51</v>
      </c>
      <c r="C2678" t="s">
        <v>32</v>
      </c>
      <c r="D2678" t="s">
        <v>341</v>
      </c>
      <c r="E2678" t="s">
        <v>413</v>
      </c>
      <c r="F2678" t="s">
        <v>35</v>
      </c>
      <c r="G2678" t="s">
        <v>35</v>
      </c>
      <c r="H2678" t="s">
        <v>35</v>
      </c>
      <c r="J2678" t="s">
        <v>3447</v>
      </c>
      <c r="K2678" t="s">
        <v>1092</v>
      </c>
      <c r="M2678">
        <v>6.45</v>
      </c>
      <c r="N2678">
        <v>49</v>
      </c>
      <c r="O2678" t="s">
        <v>52</v>
      </c>
      <c r="Q2678" t="s">
        <v>453</v>
      </c>
      <c r="R2678" t="s">
        <v>3284</v>
      </c>
      <c r="S2678" t="s">
        <v>387</v>
      </c>
      <c r="T2678" t="s">
        <v>388</v>
      </c>
    </row>
    <row r="2679" spans="1:20" x14ac:dyDescent="0.25">
      <c r="A2679" t="s">
        <v>30</v>
      </c>
      <c r="B2679" t="s">
        <v>31</v>
      </c>
      <c r="C2679" t="s">
        <v>32</v>
      </c>
      <c r="D2679" t="s">
        <v>341</v>
      </c>
      <c r="E2679" t="s">
        <v>413</v>
      </c>
      <c r="F2679" t="s">
        <v>35</v>
      </c>
      <c r="G2679" t="s">
        <v>35</v>
      </c>
      <c r="H2679" t="s">
        <v>35</v>
      </c>
      <c r="J2679" t="s">
        <v>3447</v>
      </c>
      <c r="K2679" t="s">
        <v>1092</v>
      </c>
      <c r="M2679">
        <v>4.05</v>
      </c>
      <c r="N2679">
        <v>59</v>
      </c>
      <c r="O2679" t="s">
        <v>52</v>
      </c>
      <c r="Q2679" t="s">
        <v>203</v>
      </c>
      <c r="R2679" t="s">
        <v>3284</v>
      </c>
      <c r="S2679" t="s">
        <v>387</v>
      </c>
      <c r="T2679" t="s">
        <v>388</v>
      </c>
    </row>
    <row r="2680" spans="1:20" x14ac:dyDescent="0.25">
      <c r="A2680" t="s">
        <v>30</v>
      </c>
      <c r="B2680" t="s">
        <v>31</v>
      </c>
      <c r="C2680" t="s">
        <v>32</v>
      </c>
      <c r="D2680" t="s">
        <v>341</v>
      </c>
      <c r="E2680" t="s">
        <v>377</v>
      </c>
      <c r="F2680" t="s">
        <v>35</v>
      </c>
      <c r="G2680" t="s">
        <v>35</v>
      </c>
      <c r="H2680" t="s">
        <v>35</v>
      </c>
      <c r="J2680" t="s">
        <v>3312</v>
      </c>
      <c r="K2680" t="s">
        <v>1092</v>
      </c>
      <c r="M2680">
        <v>0.315</v>
      </c>
      <c r="N2680">
        <v>137</v>
      </c>
      <c r="O2680" t="s">
        <v>38</v>
      </c>
      <c r="Q2680" t="s">
        <v>2929</v>
      </c>
      <c r="R2680" t="s">
        <v>3284</v>
      </c>
      <c r="S2680" t="s">
        <v>387</v>
      </c>
      <c r="T2680" t="s">
        <v>388</v>
      </c>
    </row>
    <row r="2681" spans="1:20" x14ac:dyDescent="0.25">
      <c r="A2681" t="s">
        <v>59</v>
      </c>
      <c r="B2681" t="s">
        <v>31</v>
      </c>
      <c r="C2681" t="s">
        <v>32</v>
      </c>
      <c r="D2681" t="s">
        <v>341</v>
      </c>
      <c r="E2681" t="s">
        <v>352</v>
      </c>
      <c r="F2681" t="s">
        <v>35</v>
      </c>
      <c r="G2681" t="s">
        <v>35</v>
      </c>
      <c r="H2681" t="s">
        <v>35</v>
      </c>
      <c r="J2681" t="s">
        <v>3270</v>
      </c>
      <c r="K2681" t="s">
        <v>1092</v>
      </c>
      <c r="M2681">
        <v>0.13500000000000001</v>
      </c>
      <c r="N2681">
        <v>184</v>
      </c>
      <c r="O2681" t="s">
        <v>5</v>
      </c>
      <c r="Q2681" t="s">
        <v>1569</v>
      </c>
      <c r="R2681" t="s">
        <v>3284</v>
      </c>
      <c r="S2681" t="s">
        <v>387</v>
      </c>
      <c r="T2681" t="s">
        <v>388</v>
      </c>
    </row>
    <row r="2682" spans="1:20" x14ac:dyDescent="0.25">
      <c r="A2682" t="s">
        <v>44</v>
      </c>
      <c r="B2682" t="s">
        <v>51</v>
      </c>
      <c r="C2682" t="s">
        <v>32</v>
      </c>
      <c r="D2682" t="s">
        <v>341</v>
      </c>
      <c r="E2682" t="s">
        <v>3350</v>
      </c>
      <c r="F2682" t="s">
        <v>35</v>
      </c>
      <c r="G2682" t="s">
        <v>35</v>
      </c>
      <c r="H2682" t="s">
        <v>35</v>
      </c>
      <c r="J2682" t="s">
        <v>3353</v>
      </c>
      <c r="K2682" t="s">
        <v>1092</v>
      </c>
      <c r="M2682">
        <v>8</v>
      </c>
      <c r="N2682">
        <v>49</v>
      </c>
      <c r="O2682" t="s">
        <v>52</v>
      </c>
      <c r="Q2682" t="s">
        <v>453</v>
      </c>
      <c r="R2682" t="s">
        <v>3284</v>
      </c>
      <c r="S2682" t="s">
        <v>387</v>
      </c>
      <c r="T2682" t="s">
        <v>388</v>
      </c>
    </row>
    <row r="2683" spans="1:20" x14ac:dyDescent="0.25">
      <c r="A2683" t="s">
        <v>59</v>
      </c>
      <c r="B2683" t="s">
        <v>31</v>
      </c>
      <c r="C2683" t="s">
        <v>32</v>
      </c>
      <c r="D2683" t="s">
        <v>341</v>
      </c>
      <c r="E2683" t="s">
        <v>377</v>
      </c>
      <c r="F2683" t="s">
        <v>35</v>
      </c>
      <c r="G2683" t="s">
        <v>35</v>
      </c>
      <c r="H2683" t="s">
        <v>35</v>
      </c>
      <c r="J2683" t="s">
        <v>3311</v>
      </c>
      <c r="K2683" t="s">
        <v>1092</v>
      </c>
      <c r="M2683">
        <v>2.7450000000000001</v>
      </c>
      <c r="N2683">
        <v>252</v>
      </c>
      <c r="O2683" t="s">
        <v>5</v>
      </c>
      <c r="Q2683" t="s">
        <v>1425</v>
      </c>
      <c r="R2683" t="s">
        <v>3284</v>
      </c>
      <c r="S2683" t="s">
        <v>387</v>
      </c>
      <c r="T2683" t="s">
        <v>388</v>
      </c>
    </row>
    <row r="2684" spans="1:20" x14ac:dyDescent="0.25">
      <c r="A2684" t="s">
        <v>30</v>
      </c>
      <c r="B2684" t="s">
        <v>31</v>
      </c>
      <c r="C2684" t="s">
        <v>32</v>
      </c>
      <c r="D2684" t="s">
        <v>341</v>
      </c>
      <c r="E2684" t="s">
        <v>377</v>
      </c>
      <c r="F2684" t="s">
        <v>35</v>
      </c>
      <c r="G2684" t="s">
        <v>35</v>
      </c>
      <c r="H2684" t="s">
        <v>35</v>
      </c>
      <c r="J2684" t="s">
        <v>3311</v>
      </c>
      <c r="K2684" t="s">
        <v>1092</v>
      </c>
      <c r="M2684">
        <v>8.4600000000000009</v>
      </c>
      <c r="N2684">
        <v>137</v>
      </c>
      <c r="O2684" t="s">
        <v>38</v>
      </c>
      <c r="Q2684" t="s">
        <v>2929</v>
      </c>
      <c r="R2684" t="s">
        <v>3284</v>
      </c>
      <c r="S2684" t="s">
        <v>387</v>
      </c>
      <c r="T2684" t="s">
        <v>388</v>
      </c>
    </row>
    <row r="2685" spans="1:20" x14ac:dyDescent="0.25">
      <c r="A2685" t="s">
        <v>30</v>
      </c>
      <c r="B2685" t="s">
        <v>31</v>
      </c>
      <c r="C2685" t="s">
        <v>32</v>
      </c>
      <c r="D2685" t="s">
        <v>341</v>
      </c>
      <c r="F2685" t="s">
        <v>35</v>
      </c>
      <c r="G2685" t="s">
        <v>35</v>
      </c>
      <c r="H2685" t="s">
        <v>35</v>
      </c>
      <c r="J2685" t="s">
        <v>3453</v>
      </c>
      <c r="K2685" t="s">
        <v>1092</v>
      </c>
      <c r="M2685">
        <v>11.97</v>
      </c>
      <c r="N2685">
        <v>38</v>
      </c>
      <c r="O2685" t="s">
        <v>52</v>
      </c>
      <c r="Q2685" t="s">
        <v>716</v>
      </c>
      <c r="R2685" t="s">
        <v>3284</v>
      </c>
      <c r="S2685" t="s">
        <v>387</v>
      </c>
      <c r="T2685" t="s">
        <v>388</v>
      </c>
    </row>
    <row r="2686" spans="1:20" x14ac:dyDescent="0.25">
      <c r="A2686" t="s">
        <v>59</v>
      </c>
      <c r="B2686" t="s">
        <v>60</v>
      </c>
      <c r="C2686" t="s">
        <v>32</v>
      </c>
      <c r="D2686" t="s">
        <v>341</v>
      </c>
      <c r="E2686" t="s">
        <v>3422</v>
      </c>
      <c r="F2686" t="s">
        <v>35</v>
      </c>
      <c r="G2686" t="s">
        <v>35</v>
      </c>
      <c r="H2686" t="s">
        <v>35</v>
      </c>
      <c r="J2686" t="s">
        <v>3429</v>
      </c>
      <c r="K2686" t="s">
        <v>1092</v>
      </c>
      <c r="M2686">
        <v>1.3</v>
      </c>
      <c r="N2686">
        <v>115</v>
      </c>
      <c r="O2686" t="s">
        <v>106</v>
      </c>
      <c r="Q2686" t="s">
        <v>3430</v>
      </c>
      <c r="R2686" t="s">
        <v>3426</v>
      </c>
      <c r="S2686" t="s">
        <v>3427</v>
      </c>
      <c r="T2686" t="s">
        <v>3425</v>
      </c>
    </row>
    <row r="2687" spans="1:20" x14ac:dyDescent="0.25">
      <c r="A2687" t="s">
        <v>59</v>
      </c>
      <c r="B2687" t="s">
        <v>60</v>
      </c>
      <c r="C2687" t="s">
        <v>32</v>
      </c>
      <c r="D2687" t="s">
        <v>341</v>
      </c>
      <c r="E2687" t="s">
        <v>3422</v>
      </c>
      <c r="F2687" t="s">
        <v>35</v>
      </c>
      <c r="G2687" t="s">
        <v>35</v>
      </c>
      <c r="H2687" t="s">
        <v>35</v>
      </c>
      <c r="J2687" t="s">
        <v>3424</v>
      </c>
      <c r="K2687" t="s">
        <v>1092</v>
      </c>
      <c r="M2687">
        <v>5.65</v>
      </c>
      <c r="N2687">
        <v>38</v>
      </c>
      <c r="O2687" t="s">
        <v>52</v>
      </c>
      <c r="Q2687" t="s">
        <v>716</v>
      </c>
      <c r="R2687" t="s">
        <v>3426</v>
      </c>
      <c r="S2687" t="s">
        <v>3427</v>
      </c>
      <c r="T2687" t="s">
        <v>3425</v>
      </c>
    </row>
    <row r="2688" spans="1:20" x14ac:dyDescent="0.25">
      <c r="A2688" t="s">
        <v>30</v>
      </c>
      <c r="B2688" t="s">
        <v>31</v>
      </c>
      <c r="C2688" t="s">
        <v>32</v>
      </c>
      <c r="D2688" t="s">
        <v>418</v>
      </c>
      <c r="E2688" t="s">
        <v>419</v>
      </c>
      <c r="F2688" t="s">
        <v>35</v>
      </c>
      <c r="G2688" t="s">
        <v>35</v>
      </c>
      <c r="H2688" t="s">
        <v>35</v>
      </c>
      <c r="J2688" t="s">
        <v>3498</v>
      </c>
      <c r="K2688" t="s">
        <v>1092</v>
      </c>
      <c r="M2688">
        <v>30</v>
      </c>
      <c r="N2688">
        <v>30</v>
      </c>
      <c r="O2688" t="s">
        <v>46</v>
      </c>
      <c r="Q2688" t="s">
        <v>3499</v>
      </c>
      <c r="R2688" t="s">
        <v>3467</v>
      </c>
      <c r="S2688" t="s">
        <v>3468</v>
      </c>
      <c r="T2688" t="s">
        <v>3469</v>
      </c>
    </row>
    <row r="2689" spans="1:20" x14ac:dyDescent="0.25">
      <c r="A2689" t="s">
        <v>30</v>
      </c>
      <c r="B2689" t="s">
        <v>31</v>
      </c>
      <c r="C2689" t="s">
        <v>32</v>
      </c>
      <c r="D2689" t="s">
        <v>418</v>
      </c>
      <c r="E2689" t="s">
        <v>419</v>
      </c>
      <c r="F2689" t="s">
        <v>35</v>
      </c>
      <c r="G2689" t="s">
        <v>35</v>
      </c>
      <c r="H2689" t="s">
        <v>35</v>
      </c>
      <c r="J2689" t="s">
        <v>3498</v>
      </c>
      <c r="K2689" t="s">
        <v>1092</v>
      </c>
      <c r="M2689">
        <v>24.47</v>
      </c>
      <c r="N2689">
        <v>6</v>
      </c>
      <c r="O2689" t="s">
        <v>46</v>
      </c>
      <c r="Q2689" t="s">
        <v>310</v>
      </c>
      <c r="R2689" t="s">
        <v>3467</v>
      </c>
      <c r="S2689" t="s">
        <v>3468</v>
      </c>
      <c r="T2689" t="s">
        <v>3469</v>
      </c>
    </row>
    <row r="2690" spans="1:20" x14ac:dyDescent="0.25">
      <c r="A2690" t="s">
        <v>59</v>
      </c>
      <c r="B2690" t="s">
        <v>60</v>
      </c>
      <c r="C2690" t="s">
        <v>32</v>
      </c>
      <c r="D2690" t="s">
        <v>418</v>
      </c>
      <c r="E2690" t="s">
        <v>419</v>
      </c>
      <c r="F2690" t="s">
        <v>35</v>
      </c>
      <c r="G2690" t="s">
        <v>35</v>
      </c>
      <c r="H2690" t="s">
        <v>35</v>
      </c>
      <c r="J2690" t="s">
        <v>3498</v>
      </c>
      <c r="K2690" t="s">
        <v>1092</v>
      </c>
      <c r="M2690">
        <v>10.199999999999999</v>
      </c>
      <c r="N2690">
        <v>31</v>
      </c>
      <c r="O2690" t="s">
        <v>52</v>
      </c>
      <c r="Q2690" t="s">
        <v>748</v>
      </c>
      <c r="R2690" t="s">
        <v>3467</v>
      </c>
      <c r="S2690" t="s">
        <v>3468</v>
      </c>
      <c r="T2690" t="s">
        <v>3469</v>
      </c>
    </row>
    <row r="2691" spans="1:20" x14ac:dyDescent="0.25">
      <c r="A2691" t="s">
        <v>59</v>
      </c>
      <c r="B2691" t="s">
        <v>60</v>
      </c>
      <c r="C2691" t="s">
        <v>32</v>
      </c>
      <c r="D2691" t="s">
        <v>418</v>
      </c>
      <c r="E2691" t="s">
        <v>419</v>
      </c>
      <c r="F2691" t="s">
        <v>35</v>
      </c>
      <c r="G2691" t="s">
        <v>35</v>
      </c>
      <c r="H2691" t="s">
        <v>35</v>
      </c>
      <c r="J2691" t="s">
        <v>3498</v>
      </c>
      <c r="K2691" t="s">
        <v>1092</v>
      </c>
      <c r="M2691">
        <v>25</v>
      </c>
      <c r="N2691">
        <v>6</v>
      </c>
      <c r="O2691" t="s">
        <v>46</v>
      </c>
      <c r="Q2691" t="s">
        <v>310</v>
      </c>
      <c r="R2691" t="s">
        <v>3467</v>
      </c>
      <c r="S2691" t="s">
        <v>3468</v>
      </c>
      <c r="T2691" t="s">
        <v>3469</v>
      </c>
    </row>
    <row r="2692" spans="1:20" x14ac:dyDescent="0.25">
      <c r="A2692" t="s">
        <v>44</v>
      </c>
      <c r="B2692" t="s">
        <v>51</v>
      </c>
      <c r="C2692" t="s">
        <v>32</v>
      </c>
      <c r="D2692" t="s">
        <v>418</v>
      </c>
      <c r="E2692" t="s">
        <v>419</v>
      </c>
      <c r="F2692" t="s">
        <v>35</v>
      </c>
      <c r="G2692" t="s">
        <v>35</v>
      </c>
      <c r="H2692" t="s">
        <v>35</v>
      </c>
      <c r="J2692" t="s">
        <v>3498</v>
      </c>
      <c r="K2692" t="s">
        <v>1092</v>
      </c>
      <c r="M2692">
        <v>11.65</v>
      </c>
      <c r="N2692">
        <v>30</v>
      </c>
      <c r="O2692" t="s">
        <v>46</v>
      </c>
      <c r="Q2692" t="s">
        <v>3499</v>
      </c>
      <c r="R2692" t="s">
        <v>3467</v>
      </c>
      <c r="S2692" t="s">
        <v>3468</v>
      </c>
      <c r="T2692" t="s">
        <v>3469</v>
      </c>
    </row>
    <row r="2693" spans="1:20" x14ac:dyDescent="0.25">
      <c r="A2693" t="s">
        <v>59</v>
      </c>
      <c r="B2693" t="s">
        <v>31</v>
      </c>
      <c r="C2693" t="s">
        <v>32</v>
      </c>
      <c r="D2693" t="s">
        <v>418</v>
      </c>
      <c r="E2693" t="s">
        <v>419</v>
      </c>
      <c r="F2693" t="s">
        <v>35</v>
      </c>
      <c r="G2693" t="s">
        <v>35</v>
      </c>
      <c r="H2693" t="s">
        <v>35</v>
      </c>
      <c r="J2693" t="s">
        <v>3498</v>
      </c>
      <c r="K2693" t="s">
        <v>1092</v>
      </c>
      <c r="M2693">
        <v>27.9</v>
      </c>
      <c r="N2693">
        <v>6</v>
      </c>
      <c r="O2693" t="s">
        <v>46</v>
      </c>
      <c r="Q2693" t="s">
        <v>310</v>
      </c>
      <c r="R2693" t="s">
        <v>3467</v>
      </c>
      <c r="S2693" t="s">
        <v>3468</v>
      </c>
      <c r="T2693" t="s">
        <v>3469</v>
      </c>
    </row>
    <row r="2694" spans="1:20" x14ac:dyDescent="0.25">
      <c r="A2694" t="s">
        <v>30</v>
      </c>
      <c r="B2694" t="s">
        <v>31</v>
      </c>
      <c r="C2694" t="s">
        <v>32</v>
      </c>
      <c r="D2694" t="s">
        <v>418</v>
      </c>
      <c r="E2694" t="s">
        <v>419</v>
      </c>
      <c r="F2694" t="s">
        <v>35</v>
      </c>
      <c r="G2694" t="s">
        <v>35</v>
      </c>
      <c r="H2694" t="s">
        <v>35</v>
      </c>
      <c r="J2694" t="s">
        <v>3498</v>
      </c>
      <c r="K2694" t="s">
        <v>1092</v>
      </c>
      <c r="M2694">
        <v>15.145</v>
      </c>
      <c r="N2694">
        <v>31</v>
      </c>
      <c r="O2694" t="s">
        <v>52</v>
      </c>
      <c r="Q2694" t="s">
        <v>748</v>
      </c>
      <c r="R2694" t="s">
        <v>3467</v>
      </c>
      <c r="S2694" t="s">
        <v>3468</v>
      </c>
      <c r="T2694" t="s">
        <v>3469</v>
      </c>
    </row>
    <row r="2695" spans="1:20" x14ac:dyDescent="0.25">
      <c r="A2695" t="s">
        <v>30</v>
      </c>
      <c r="B2695" t="s">
        <v>31</v>
      </c>
      <c r="C2695" t="s">
        <v>32</v>
      </c>
      <c r="D2695" t="s">
        <v>418</v>
      </c>
      <c r="E2695" t="s">
        <v>3480</v>
      </c>
      <c r="F2695" t="s">
        <v>35</v>
      </c>
      <c r="G2695" t="s">
        <v>35</v>
      </c>
      <c r="H2695" t="s">
        <v>35</v>
      </c>
      <c r="J2695" t="s">
        <v>3481</v>
      </c>
      <c r="K2695" t="s">
        <v>1092</v>
      </c>
      <c r="M2695">
        <v>6.58</v>
      </c>
      <c r="N2695">
        <v>111</v>
      </c>
      <c r="O2695" t="s">
        <v>106</v>
      </c>
      <c r="Q2695" t="s">
        <v>1469</v>
      </c>
      <c r="R2695" t="s">
        <v>3467</v>
      </c>
      <c r="S2695" t="s">
        <v>3468</v>
      </c>
      <c r="T2695" t="s">
        <v>3469</v>
      </c>
    </row>
    <row r="2696" spans="1:20" x14ac:dyDescent="0.25">
      <c r="A2696" t="s">
        <v>30</v>
      </c>
      <c r="B2696" t="s">
        <v>31</v>
      </c>
      <c r="C2696" t="s">
        <v>32</v>
      </c>
      <c r="D2696" t="s">
        <v>418</v>
      </c>
      <c r="E2696" t="s">
        <v>3463</v>
      </c>
      <c r="F2696" t="s">
        <v>35</v>
      </c>
      <c r="G2696" t="s">
        <v>35</v>
      </c>
      <c r="H2696" t="s">
        <v>35</v>
      </c>
      <c r="J2696" t="s">
        <v>3466</v>
      </c>
      <c r="K2696" t="s">
        <v>1092</v>
      </c>
      <c r="M2696">
        <v>10</v>
      </c>
      <c r="N2696">
        <v>111</v>
      </c>
      <c r="O2696" t="s">
        <v>106</v>
      </c>
      <c r="Q2696" t="s">
        <v>1469</v>
      </c>
      <c r="R2696" t="s">
        <v>3467</v>
      </c>
      <c r="S2696" t="s">
        <v>3468</v>
      </c>
      <c r="T2696" t="s">
        <v>3469</v>
      </c>
    </row>
    <row r="2697" spans="1:20" x14ac:dyDescent="0.25">
      <c r="A2697" t="s">
        <v>30</v>
      </c>
      <c r="B2697" t="s">
        <v>31</v>
      </c>
      <c r="C2697" t="s">
        <v>32</v>
      </c>
      <c r="D2697" t="s">
        <v>418</v>
      </c>
      <c r="E2697" t="s">
        <v>419</v>
      </c>
      <c r="F2697" t="s">
        <v>35</v>
      </c>
      <c r="G2697" t="s">
        <v>35</v>
      </c>
      <c r="H2697" t="s">
        <v>35</v>
      </c>
      <c r="J2697" t="s">
        <v>3503</v>
      </c>
      <c r="K2697" t="s">
        <v>1092</v>
      </c>
      <c r="M2697">
        <v>5.0000000000000001E-3</v>
      </c>
      <c r="N2697">
        <v>216</v>
      </c>
      <c r="O2697" t="s">
        <v>5</v>
      </c>
      <c r="Q2697" t="s">
        <v>3310</v>
      </c>
      <c r="R2697" t="s">
        <v>3467</v>
      </c>
      <c r="S2697" t="s">
        <v>3468</v>
      </c>
      <c r="T2697" t="s">
        <v>3469</v>
      </c>
    </row>
    <row r="2698" spans="1:20" x14ac:dyDescent="0.25">
      <c r="A2698" t="s">
        <v>30</v>
      </c>
      <c r="B2698" t="s">
        <v>31</v>
      </c>
      <c r="C2698" t="s">
        <v>32</v>
      </c>
      <c r="D2698" t="s">
        <v>418</v>
      </c>
      <c r="E2698" t="s">
        <v>3463</v>
      </c>
      <c r="F2698" t="s">
        <v>35</v>
      </c>
      <c r="G2698" t="s">
        <v>35</v>
      </c>
      <c r="H2698" t="s">
        <v>35</v>
      </c>
      <c r="J2698" t="s">
        <v>3479</v>
      </c>
      <c r="K2698" t="s">
        <v>1092</v>
      </c>
      <c r="M2698">
        <v>20.324999999999999</v>
      </c>
      <c r="N2698">
        <v>111</v>
      </c>
      <c r="O2698" t="s">
        <v>106</v>
      </c>
      <c r="Q2698" t="s">
        <v>1469</v>
      </c>
      <c r="R2698" t="s">
        <v>3467</v>
      </c>
      <c r="S2698" t="s">
        <v>3468</v>
      </c>
      <c r="T2698" t="s">
        <v>3469</v>
      </c>
    </row>
    <row r="2699" spans="1:20" x14ac:dyDescent="0.25">
      <c r="A2699" t="s">
        <v>44</v>
      </c>
      <c r="B2699" t="s">
        <v>51</v>
      </c>
      <c r="C2699" t="s">
        <v>32</v>
      </c>
      <c r="D2699" t="s">
        <v>418</v>
      </c>
      <c r="E2699" t="s">
        <v>441</v>
      </c>
      <c r="F2699" t="s">
        <v>35</v>
      </c>
      <c r="G2699" t="s">
        <v>35</v>
      </c>
      <c r="H2699" t="s">
        <v>35</v>
      </c>
      <c r="J2699" t="s">
        <v>77</v>
      </c>
      <c r="K2699" t="s">
        <v>37</v>
      </c>
      <c r="M2699">
        <v>7</v>
      </c>
      <c r="N2699">
        <v>40</v>
      </c>
      <c r="O2699" t="s">
        <v>52</v>
      </c>
      <c r="P2699" t="s">
        <v>442</v>
      </c>
      <c r="Q2699" t="s">
        <v>132</v>
      </c>
      <c r="R2699" t="s">
        <v>443</v>
      </c>
      <c r="S2699" t="s">
        <v>444</v>
      </c>
      <c r="T2699" t="s">
        <v>445</v>
      </c>
    </row>
    <row r="2700" spans="1:20" x14ac:dyDescent="0.25">
      <c r="A2700" t="s">
        <v>30</v>
      </c>
      <c r="B2700" t="s">
        <v>31</v>
      </c>
      <c r="C2700" t="s">
        <v>32</v>
      </c>
      <c r="D2700" t="s">
        <v>418</v>
      </c>
      <c r="E2700" t="s">
        <v>419</v>
      </c>
      <c r="F2700" t="s">
        <v>35</v>
      </c>
      <c r="G2700" t="s">
        <v>35</v>
      </c>
      <c r="H2700" t="s">
        <v>35</v>
      </c>
      <c r="J2700" t="s">
        <v>3502</v>
      </c>
      <c r="K2700" t="s">
        <v>1092</v>
      </c>
      <c r="M2700">
        <v>1.9</v>
      </c>
      <c r="N2700">
        <v>111</v>
      </c>
      <c r="O2700" t="s">
        <v>106</v>
      </c>
      <c r="Q2700" t="s">
        <v>1469</v>
      </c>
      <c r="R2700" t="s">
        <v>76</v>
      </c>
      <c r="S2700" t="s">
        <v>77</v>
      </c>
      <c r="T2700" t="s">
        <v>71</v>
      </c>
    </row>
    <row r="2701" spans="1:20" x14ac:dyDescent="0.25">
      <c r="A2701" t="s">
        <v>59</v>
      </c>
      <c r="B2701" t="s">
        <v>31</v>
      </c>
      <c r="C2701" t="s">
        <v>32</v>
      </c>
      <c r="D2701" t="s">
        <v>418</v>
      </c>
      <c r="E2701" t="s">
        <v>3505</v>
      </c>
      <c r="F2701" t="s">
        <v>35</v>
      </c>
      <c r="G2701" t="s">
        <v>35</v>
      </c>
      <c r="H2701" t="s">
        <v>35</v>
      </c>
      <c r="J2701" t="s">
        <v>3506</v>
      </c>
      <c r="K2701" t="s">
        <v>1092</v>
      </c>
      <c r="M2701">
        <v>1.08</v>
      </c>
      <c r="N2701">
        <v>84</v>
      </c>
      <c r="O2701" t="s">
        <v>61</v>
      </c>
      <c r="Q2701" t="s">
        <v>1147</v>
      </c>
      <c r="R2701" t="s">
        <v>76</v>
      </c>
      <c r="S2701" t="s">
        <v>77</v>
      </c>
      <c r="T2701" t="s">
        <v>71</v>
      </c>
    </row>
    <row r="2702" spans="1:20" x14ac:dyDescent="0.25">
      <c r="A2702" t="s">
        <v>59</v>
      </c>
      <c r="B2702" t="s">
        <v>31</v>
      </c>
      <c r="C2702" t="s">
        <v>32</v>
      </c>
      <c r="D2702" t="s">
        <v>418</v>
      </c>
      <c r="E2702" t="s">
        <v>3490</v>
      </c>
      <c r="F2702" t="s">
        <v>35</v>
      </c>
      <c r="G2702" t="s">
        <v>35</v>
      </c>
      <c r="H2702" t="s">
        <v>35</v>
      </c>
      <c r="J2702" t="s">
        <v>3494</v>
      </c>
      <c r="K2702" t="s">
        <v>1092</v>
      </c>
      <c r="M2702">
        <v>4.8600000000000003</v>
      </c>
      <c r="N2702">
        <v>39</v>
      </c>
      <c r="O2702" t="s">
        <v>52</v>
      </c>
      <c r="Q2702" t="s">
        <v>493</v>
      </c>
      <c r="R2702" t="s">
        <v>76</v>
      </c>
      <c r="S2702" t="s">
        <v>77</v>
      </c>
      <c r="T2702" t="s">
        <v>71</v>
      </c>
    </row>
    <row r="2703" spans="1:20" x14ac:dyDescent="0.25">
      <c r="A2703" t="s">
        <v>30</v>
      </c>
      <c r="B2703" t="s">
        <v>31</v>
      </c>
      <c r="C2703" t="s">
        <v>32</v>
      </c>
      <c r="D2703" t="s">
        <v>418</v>
      </c>
      <c r="E2703" t="s">
        <v>3463</v>
      </c>
      <c r="F2703" t="s">
        <v>35</v>
      </c>
      <c r="G2703" t="s">
        <v>35</v>
      </c>
      <c r="H2703" t="s">
        <v>35</v>
      </c>
      <c r="J2703" t="s">
        <v>3477</v>
      </c>
      <c r="K2703" t="s">
        <v>1092</v>
      </c>
      <c r="M2703">
        <v>0.22500000000000001</v>
      </c>
      <c r="N2703">
        <v>111</v>
      </c>
      <c r="O2703" t="s">
        <v>106</v>
      </c>
      <c r="Q2703" t="s">
        <v>1469</v>
      </c>
      <c r="R2703" t="s">
        <v>76</v>
      </c>
      <c r="S2703" t="s">
        <v>77</v>
      </c>
      <c r="T2703" t="s">
        <v>71</v>
      </c>
    </row>
    <row r="2704" spans="1:20" x14ac:dyDescent="0.25">
      <c r="A2704" t="s">
        <v>30</v>
      </c>
      <c r="B2704" t="s">
        <v>31</v>
      </c>
      <c r="C2704" t="s">
        <v>32</v>
      </c>
      <c r="D2704" t="s">
        <v>418</v>
      </c>
      <c r="E2704" t="s">
        <v>3463</v>
      </c>
      <c r="F2704" t="s">
        <v>35</v>
      </c>
      <c r="G2704" t="s">
        <v>35</v>
      </c>
      <c r="H2704" t="s">
        <v>35</v>
      </c>
      <c r="J2704" t="s">
        <v>45</v>
      </c>
      <c r="K2704" t="s">
        <v>1092</v>
      </c>
      <c r="M2704">
        <v>9.99</v>
      </c>
      <c r="N2704">
        <v>111</v>
      </c>
      <c r="O2704" t="s">
        <v>106</v>
      </c>
      <c r="Q2704" t="s">
        <v>1469</v>
      </c>
      <c r="R2704" t="s">
        <v>3462</v>
      </c>
      <c r="S2704" t="s">
        <v>427</v>
      </c>
      <c r="T2704" t="s">
        <v>428</v>
      </c>
    </row>
    <row r="2705" spans="1:20" x14ac:dyDescent="0.25">
      <c r="A2705" t="s">
        <v>59</v>
      </c>
      <c r="B2705" t="s">
        <v>60</v>
      </c>
      <c r="C2705" t="s">
        <v>32</v>
      </c>
      <c r="D2705" t="s">
        <v>418</v>
      </c>
      <c r="E2705" t="s">
        <v>3490</v>
      </c>
      <c r="F2705" t="s">
        <v>35</v>
      </c>
      <c r="G2705" t="s">
        <v>35</v>
      </c>
      <c r="H2705" t="s">
        <v>35</v>
      </c>
      <c r="J2705" t="s">
        <v>3495</v>
      </c>
      <c r="K2705" t="s">
        <v>1092</v>
      </c>
      <c r="M2705">
        <v>90</v>
      </c>
      <c r="N2705">
        <v>14</v>
      </c>
      <c r="O2705" t="s">
        <v>46</v>
      </c>
      <c r="Q2705" t="s">
        <v>1874</v>
      </c>
      <c r="R2705" t="s">
        <v>3462</v>
      </c>
      <c r="S2705" t="s">
        <v>427</v>
      </c>
      <c r="T2705" t="s">
        <v>428</v>
      </c>
    </row>
    <row r="2706" spans="1:20" x14ac:dyDescent="0.25">
      <c r="A2706" t="s">
        <v>30</v>
      </c>
      <c r="B2706" t="s">
        <v>31</v>
      </c>
      <c r="C2706" t="s">
        <v>32</v>
      </c>
      <c r="D2706" t="s">
        <v>418</v>
      </c>
      <c r="E2706" t="s">
        <v>3463</v>
      </c>
      <c r="F2706" t="s">
        <v>35</v>
      </c>
      <c r="G2706" t="s">
        <v>35</v>
      </c>
      <c r="H2706" t="s">
        <v>35</v>
      </c>
      <c r="J2706" t="s">
        <v>3464</v>
      </c>
      <c r="K2706" t="s">
        <v>1092</v>
      </c>
      <c r="M2706">
        <v>6.9749999999999996</v>
      </c>
      <c r="N2706">
        <v>112</v>
      </c>
      <c r="O2706" t="s">
        <v>106</v>
      </c>
      <c r="Q2706" t="s">
        <v>3465</v>
      </c>
      <c r="R2706" t="s">
        <v>3462</v>
      </c>
      <c r="S2706" t="s">
        <v>427</v>
      </c>
      <c r="T2706" t="s">
        <v>428</v>
      </c>
    </row>
    <row r="2707" spans="1:20" x14ac:dyDescent="0.25">
      <c r="A2707" t="s">
        <v>30</v>
      </c>
      <c r="B2707" t="s">
        <v>31</v>
      </c>
      <c r="C2707" t="s">
        <v>32</v>
      </c>
      <c r="D2707" t="s">
        <v>418</v>
      </c>
      <c r="E2707" t="s">
        <v>3496</v>
      </c>
      <c r="F2707" t="s">
        <v>35</v>
      </c>
      <c r="G2707" t="s">
        <v>35</v>
      </c>
      <c r="H2707" t="s">
        <v>35</v>
      </c>
      <c r="J2707" t="s">
        <v>3497</v>
      </c>
      <c r="K2707" t="s">
        <v>404</v>
      </c>
      <c r="M2707">
        <v>12.69</v>
      </c>
      <c r="N2707">
        <v>37</v>
      </c>
      <c r="O2707" t="s">
        <v>52</v>
      </c>
      <c r="Q2707" t="s">
        <v>192</v>
      </c>
      <c r="R2707" t="s">
        <v>3462</v>
      </c>
      <c r="S2707" t="s">
        <v>427</v>
      </c>
      <c r="T2707" t="s">
        <v>428</v>
      </c>
    </row>
    <row r="2708" spans="1:20" x14ac:dyDescent="0.25">
      <c r="A2708" t="s">
        <v>44</v>
      </c>
      <c r="B2708" t="s">
        <v>51</v>
      </c>
      <c r="C2708" t="s">
        <v>32</v>
      </c>
      <c r="D2708" t="s">
        <v>418</v>
      </c>
      <c r="E2708" t="s">
        <v>3496</v>
      </c>
      <c r="F2708" t="s">
        <v>35</v>
      </c>
      <c r="G2708" t="s">
        <v>35</v>
      </c>
      <c r="H2708" t="s">
        <v>35</v>
      </c>
      <c r="J2708" t="s">
        <v>3497</v>
      </c>
      <c r="K2708" t="s">
        <v>404</v>
      </c>
      <c r="M2708">
        <v>10</v>
      </c>
      <c r="N2708">
        <v>50</v>
      </c>
      <c r="O2708" t="s">
        <v>52</v>
      </c>
      <c r="Q2708" t="s">
        <v>665</v>
      </c>
      <c r="R2708" t="s">
        <v>3462</v>
      </c>
      <c r="S2708" t="s">
        <v>427</v>
      </c>
      <c r="T2708" t="s">
        <v>428</v>
      </c>
    </row>
    <row r="2709" spans="1:20" x14ac:dyDescent="0.25">
      <c r="A2709" t="s">
        <v>59</v>
      </c>
      <c r="B2709" t="s">
        <v>31</v>
      </c>
      <c r="C2709" t="s">
        <v>32</v>
      </c>
      <c r="D2709" t="s">
        <v>418</v>
      </c>
      <c r="E2709" t="s">
        <v>3482</v>
      </c>
      <c r="F2709" t="s">
        <v>35</v>
      </c>
      <c r="G2709" t="s">
        <v>35</v>
      </c>
      <c r="H2709" t="s">
        <v>35</v>
      </c>
      <c r="J2709" t="s">
        <v>3489</v>
      </c>
      <c r="K2709" t="s">
        <v>404</v>
      </c>
      <c r="M2709">
        <v>9.99</v>
      </c>
      <c r="N2709">
        <v>55</v>
      </c>
      <c r="O2709" t="s">
        <v>52</v>
      </c>
      <c r="Q2709" t="s">
        <v>90</v>
      </c>
      <c r="R2709" t="s">
        <v>3462</v>
      </c>
      <c r="S2709" t="s">
        <v>427</v>
      </c>
      <c r="T2709" t="s">
        <v>428</v>
      </c>
    </row>
    <row r="2710" spans="1:20" x14ac:dyDescent="0.25">
      <c r="A2710" t="s">
        <v>30</v>
      </c>
      <c r="B2710" t="s">
        <v>31</v>
      </c>
      <c r="C2710" t="s">
        <v>32</v>
      </c>
      <c r="D2710" t="s">
        <v>418</v>
      </c>
      <c r="E2710" t="s">
        <v>3482</v>
      </c>
      <c r="F2710" t="s">
        <v>35</v>
      </c>
      <c r="G2710" t="s">
        <v>35</v>
      </c>
      <c r="H2710" t="s">
        <v>35</v>
      </c>
      <c r="J2710" t="s">
        <v>3489</v>
      </c>
      <c r="K2710" t="s">
        <v>404</v>
      </c>
      <c r="M2710">
        <v>5.13</v>
      </c>
      <c r="N2710">
        <v>111</v>
      </c>
      <c r="O2710" t="s">
        <v>106</v>
      </c>
      <c r="Q2710" t="s">
        <v>1469</v>
      </c>
      <c r="R2710" t="s">
        <v>3462</v>
      </c>
      <c r="S2710" t="s">
        <v>427</v>
      </c>
      <c r="T2710" t="s">
        <v>428</v>
      </c>
    </row>
    <row r="2711" spans="1:20" x14ac:dyDescent="0.25">
      <c r="A2711" t="s">
        <v>59</v>
      </c>
      <c r="B2711" t="s">
        <v>31</v>
      </c>
      <c r="C2711" t="s">
        <v>32</v>
      </c>
      <c r="D2711" t="s">
        <v>418</v>
      </c>
      <c r="E2711" t="s">
        <v>3482</v>
      </c>
      <c r="F2711" t="s">
        <v>35</v>
      </c>
      <c r="G2711" t="s">
        <v>35</v>
      </c>
      <c r="H2711" t="s">
        <v>35</v>
      </c>
      <c r="J2711" t="s">
        <v>3489</v>
      </c>
      <c r="K2711" t="s">
        <v>404</v>
      </c>
      <c r="M2711">
        <v>5.7149999999999999</v>
      </c>
      <c r="N2711">
        <v>125</v>
      </c>
      <c r="O2711" t="s">
        <v>38</v>
      </c>
      <c r="Q2711" t="s">
        <v>2901</v>
      </c>
      <c r="R2711" t="s">
        <v>3462</v>
      </c>
      <c r="S2711" t="s">
        <v>427</v>
      </c>
      <c r="T2711" t="s">
        <v>428</v>
      </c>
    </row>
    <row r="2712" spans="1:20" x14ac:dyDescent="0.25">
      <c r="A2712" t="s">
        <v>44</v>
      </c>
      <c r="B2712" t="s">
        <v>51</v>
      </c>
      <c r="C2712" t="s">
        <v>32</v>
      </c>
      <c r="D2712" t="s">
        <v>418</v>
      </c>
      <c r="E2712" t="s">
        <v>3482</v>
      </c>
      <c r="F2712" t="s">
        <v>35</v>
      </c>
      <c r="G2712" t="s">
        <v>35</v>
      </c>
      <c r="H2712" t="s">
        <v>35</v>
      </c>
      <c r="J2712" t="s">
        <v>3489</v>
      </c>
      <c r="K2712" t="s">
        <v>404</v>
      </c>
      <c r="M2712">
        <v>10</v>
      </c>
      <c r="N2712">
        <v>55</v>
      </c>
      <c r="O2712" t="s">
        <v>52</v>
      </c>
      <c r="Q2712" t="s">
        <v>90</v>
      </c>
      <c r="R2712" t="s">
        <v>3462</v>
      </c>
      <c r="S2712" t="s">
        <v>427</v>
      </c>
      <c r="T2712" t="s">
        <v>428</v>
      </c>
    </row>
    <row r="2713" spans="1:20" x14ac:dyDescent="0.25">
      <c r="A2713" t="s">
        <v>30</v>
      </c>
      <c r="B2713" t="s">
        <v>31</v>
      </c>
      <c r="C2713" t="s">
        <v>32</v>
      </c>
      <c r="D2713" t="s">
        <v>418</v>
      </c>
      <c r="F2713" t="s">
        <v>35</v>
      </c>
      <c r="G2713" t="s">
        <v>35</v>
      </c>
      <c r="H2713" t="s">
        <v>35</v>
      </c>
      <c r="J2713" t="s">
        <v>3512</v>
      </c>
      <c r="K2713" t="s">
        <v>1092</v>
      </c>
      <c r="M2713">
        <v>12.375</v>
      </c>
      <c r="N2713">
        <v>24</v>
      </c>
      <c r="O2713" t="s">
        <v>46</v>
      </c>
      <c r="Q2713" t="s">
        <v>972</v>
      </c>
      <c r="R2713" t="s">
        <v>3462</v>
      </c>
      <c r="S2713" t="s">
        <v>427</v>
      </c>
      <c r="T2713" t="s">
        <v>428</v>
      </c>
    </row>
    <row r="2714" spans="1:20" x14ac:dyDescent="0.25">
      <c r="A2714" t="s">
        <v>59</v>
      </c>
      <c r="B2714" t="s">
        <v>31</v>
      </c>
      <c r="C2714" t="s">
        <v>32</v>
      </c>
      <c r="D2714" t="s">
        <v>418</v>
      </c>
      <c r="E2714" t="s">
        <v>3505</v>
      </c>
      <c r="F2714" t="s">
        <v>35</v>
      </c>
      <c r="G2714" t="s">
        <v>35</v>
      </c>
      <c r="H2714" t="s">
        <v>35</v>
      </c>
      <c r="J2714" t="s">
        <v>3507</v>
      </c>
      <c r="K2714" t="s">
        <v>404</v>
      </c>
      <c r="M2714">
        <v>8.01</v>
      </c>
      <c r="N2714">
        <v>55</v>
      </c>
      <c r="O2714" t="s">
        <v>52</v>
      </c>
      <c r="Q2714" t="s">
        <v>90</v>
      </c>
      <c r="R2714" t="s">
        <v>3462</v>
      </c>
      <c r="S2714" t="s">
        <v>427</v>
      </c>
      <c r="T2714" t="s">
        <v>428</v>
      </c>
    </row>
    <row r="2715" spans="1:20" x14ac:dyDescent="0.25">
      <c r="A2715" t="s">
        <v>44</v>
      </c>
      <c r="B2715" t="s">
        <v>51</v>
      </c>
      <c r="C2715" t="s">
        <v>32</v>
      </c>
      <c r="D2715" t="s">
        <v>418</v>
      </c>
      <c r="E2715" t="s">
        <v>3505</v>
      </c>
      <c r="F2715" t="s">
        <v>35</v>
      </c>
      <c r="G2715" t="s">
        <v>35</v>
      </c>
      <c r="H2715" t="s">
        <v>35</v>
      </c>
      <c r="J2715" t="s">
        <v>3507</v>
      </c>
      <c r="K2715" t="s">
        <v>404</v>
      </c>
      <c r="M2715">
        <v>10</v>
      </c>
      <c r="N2715">
        <v>55</v>
      </c>
      <c r="O2715" t="s">
        <v>52</v>
      </c>
      <c r="Q2715" t="s">
        <v>90</v>
      </c>
      <c r="R2715" t="s">
        <v>3462</v>
      </c>
      <c r="S2715" t="s">
        <v>427</v>
      </c>
      <c r="T2715" t="s">
        <v>428</v>
      </c>
    </row>
    <row r="2716" spans="1:20" x14ac:dyDescent="0.25">
      <c r="A2716" t="s">
        <v>30</v>
      </c>
      <c r="B2716" t="s">
        <v>31</v>
      </c>
      <c r="C2716" t="s">
        <v>32</v>
      </c>
      <c r="D2716" t="s">
        <v>418</v>
      </c>
      <c r="E2716" t="s">
        <v>3509</v>
      </c>
      <c r="F2716" t="s">
        <v>35</v>
      </c>
      <c r="G2716" t="s">
        <v>35</v>
      </c>
      <c r="H2716" t="s">
        <v>35</v>
      </c>
      <c r="J2716" t="s">
        <v>3510</v>
      </c>
      <c r="K2716" t="s">
        <v>1092</v>
      </c>
      <c r="M2716">
        <v>3.5000000000000003E-2</v>
      </c>
      <c r="N2716">
        <v>124</v>
      </c>
      <c r="O2716" t="s">
        <v>38</v>
      </c>
      <c r="Q2716" t="s">
        <v>646</v>
      </c>
      <c r="R2716" t="s">
        <v>3462</v>
      </c>
      <c r="S2716" t="s">
        <v>427</v>
      </c>
      <c r="T2716" t="s">
        <v>428</v>
      </c>
    </row>
    <row r="2717" spans="1:20" x14ac:dyDescent="0.25">
      <c r="A2717" t="s">
        <v>59</v>
      </c>
      <c r="B2717" t="s">
        <v>31</v>
      </c>
      <c r="C2717" t="s">
        <v>32</v>
      </c>
      <c r="D2717" t="s">
        <v>418</v>
      </c>
      <c r="E2717" t="s">
        <v>419</v>
      </c>
      <c r="F2717" t="s">
        <v>35</v>
      </c>
      <c r="G2717" t="s">
        <v>35</v>
      </c>
      <c r="H2717" t="s">
        <v>35</v>
      </c>
      <c r="J2717" t="s">
        <v>3500</v>
      </c>
      <c r="K2717" t="s">
        <v>1092</v>
      </c>
      <c r="M2717">
        <v>0.13500000000000001</v>
      </c>
      <c r="N2717">
        <v>37</v>
      </c>
      <c r="O2717" t="s">
        <v>52</v>
      </c>
      <c r="Q2717" t="s">
        <v>192</v>
      </c>
      <c r="R2717" t="s">
        <v>3462</v>
      </c>
      <c r="S2717" t="s">
        <v>427</v>
      </c>
      <c r="T2717" t="s">
        <v>428</v>
      </c>
    </row>
    <row r="2718" spans="1:20" x14ac:dyDescent="0.25">
      <c r="A2718" t="s">
        <v>30</v>
      </c>
      <c r="B2718" t="s">
        <v>31</v>
      </c>
      <c r="C2718" t="s">
        <v>32</v>
      </c>
      <c r="D2718" t="s">
        <v>418</v>
      </c>
      <c r="E2718" t="s">
        <v>3463</v>
      </c>
      <c r="F2718" t="s">
        <v>35</v>
      </c>
      <c r="G2718" t="s">
        <v>35</v>
      </c>
      <c r="H2718" t="s">
        <v>35</v>
      </c>
      <c r="J2718" t="s">
        <v>3476</v>
      </c>
      <c r="K2718" t="s">
        <v>1092</v>
      </c>
      <c r="M2718">
        <v>3.69</v>
      </c>
      <c r="N2718">
        <v>111</v>
      </c>
      <c r="O2718" t="s">
        <v>106</v>
      </c>
      <c r="Q2718" t="s">
        <v>1469</v>
      </c>
      <c r="R2718" t="s">
        <v>3462</v>
      </c>
      <c r="S2718" t="s">
        <v>427</v>
      </c>
      <c r="T2718" t="s">
        <v>428</v>
      </c>
    </row>
    <row r="2719" spans="1:20" x14ac:dyDescent="0.25">
      <c r="A2719" t="s">
        <v>59</v>
      </c>
      <c r="B2719" t="s">
        <v>31</v>
      </c>
      <c r="C2719" t="s">
        <v>32</v>
      </c>
      <c r="D2719" t="s">
        <v>418</v>
      </c>
      <c r="E2719" t="s">
        <v>3490</v>
      </c>
      <c r="F2719" t="s">
        <v>35</v>
      </c>
      <c r="G2719" t="s">
        <v>35</v>
      </c>
      <c r="H2719" t="s">
        <v>35</v>
      </c>
      <c r="J2719" t="s">
        <v>3492</v>
      </c>
      <c r="K2719" t="s">
        <v>1092</v>
      </c>
      <c r="M2719">
        <v>3.645</v>
      </c>
      <c r="N2719">
        <v>929</v>
      </c>
      <c r="O2719" t="s">
        <v>575</v>
      </c>
      <c r="Q2719" t="s">
        <v>3493</v>
      </c>
      <c r="R2719" t="s">
        <v>3462</v>
      </c>
      <c r="S2719" t="s">
        <v>427</v>
      </c>
      <c r="T2719" t="s">
        <v>428</v>
      </c>
    </row>
    <row r="2720" spans="1:20" x14ac:dyDescent="0.25">
      <c r="A2720" t="s">
        <v>59</v>
      </c>
      <c r="B2720" t="s">
        <v>31</v>
      </c>
      <c r="C2720" t="s">
        <v>32</v>
      </c>
      <c r="D2720" t="s">
        <v>418</v>
      </c>
      <c r="F2720" t="s">
        <v>35</v>
      </c>
      <c r="G2720" t="s">
        <v>35</v>
      </c>
      <c r="H2720" t="s">
        <v>35</v>
      </c>
      <c r="J2720" t="s">
        <v>3511</v>
      </c>
      <c r="K2720" t="s">
        <v>1092</v>
      </c>
      <c r="M2720">
        <v>1.3049999999999999</v>
      </c>
      <c r="N2720">
        <v>37</v>
      </c>
      <c r="O2720" t="s">
        <v>52</v>
      </c>
      <c r="Q2720" t="s">
        <v>192</v>
      </c>
      <c r="R2720" t="s">
        <v>3462</v>
      </c>
      <c r="S2720" t="s">
        <v>427</v>
      </c>
      <c r="T2720" t="s">
        <v>428</v>
      </c>
    </row>
    <row r="2721" spans="1:20" x14ac:dyDescent="0.25">
      <c r="A2721" t="s">
        <v>59</v>
      </c>
      <c r="B2721" t="s">
        <v>31</v>
      </c>
      <c r="C2721" t="s">
        <v>32</v>
      </c>
      <c r="D2721" t="s">
        <v>418</v>
      </c>
      <c r="F2721" t="s">
        <v>35</v>
      </c>
      <c r="G2721" t="s">
        <v>35</v>
      </c>
      <c r="H2721" t="s">
        <v>35</v>
      </c>
      <c r="J2721" t="s">
        <v>3513</v>
      </c>
      <c r="K2721" t="s">
        <v>404</v>
      </c>
      <c r="M2721">
        <v>4.4999999999999998E-2</v>
      </c>
      <c r="N2721">
        <v>1341</v>
      </c>
      <c r="O2721" t="s">
        <v>575</v>
      </c>
      <c r="Q2721" t="s">
        <v>3514</v>
      </c>
      <c r="R2721" t="s">
        <v>3462</v>
      </c>
      <c r="S2721" t="s">
        <v>427</v>
      </c>
      <c r="T2721" t="s">
        <v>428</v>
      </c>
    </row>
    <row r="2722" spans="1:20" x14ac:dyDescent="0.25">
      <c r="A2722" t="s">
        <v>30</v>
      </c>
      <c r="B2722" t="s">
        <v>31</v>
      </c>
      <c r="C2722" t="s">
        <v>32</v>
      </c>
      <c r="D2722" t="s">
        <v>418</v>
      </c>
      <c r="E2722" t="s">
        <v>3482</v>
      </c>
      <c r="F2722" t="s">
        <v>35</v>
      </c>
      <c r="G2722" t="s">
        <v>35</v>
      </c>
      <c r="H2722" t="s">
        <v>35</v>
      </c>
      <c r="J2722" t="s">
        <v>3486</v>
      </c>
      <c r="K2722" t="s">
        <v>1092</v>
      </c>
      <c r="M2722">
        <v>0.09</v>
      </c>
      <c r="N2722">
        <v>1237</v>
      </c>
      <c r="O2722" t="s">
        <v>575</v>
      </c>
      <c r="Q2722" t="s">
        <v>3487</v>
      </c>
      <c r="R2722" t="s">
        <v>3462</v>
      </c>
      <c r="S2722" t="s">
        <v>427</v>
      </c>
      <c r="T2722" t="s">
        <v>428</v>
      </c>
    </row>
    <row r="2723" spans="1:20" x14ac:dyDescent="0.25">
      <c r="A2723" t="s">
        <v>59</v>
      </c>
      <c r="B2723" t="s">
        <v>31</v>
      </c>
      <c r="C2723" t="s">
        <v>32</v>
      </c>
      <c r="D2723" t="s">
        <v>418</v>
      </c>
      <c r="E2723" t="s">
        <v>419</v>
      </c>
      <c r="F2723" t="s">
        <v>35</v>
      </c>
      <c r="G2723" t="s">
        <v>35</v>
      </c>
      <c r="H2723" t="s">
        <v>35</v>
      </c>
      <c r="J2723" t="s">
        <v>3504</v>
      </c>
      <c r="K2723" t="s">
        <v>1092</v>
      </c>
      <c r="M2723">
        <v>2.52</v>
      </c>
      <c r="N2723">
        <v>55</v>
      </c>
      <c r="O2723" t="s">
        <v>52</v>
      </c>
      <c r="Q2723" t="s">
        <v>90</v>
      </c>
      <c r="R2723" t="s">
        <v>3462</v>
      </c>
      <c r="S2723" t="s">
        <v>427</v>
      </c>
      <c r="T2723" t="s">
        <v>428</v>
      </c>
    </row>
    <row r="2724" spans="1:20" x14ac:dyDescent="0.25">
      <c r="A2724" t="s">
        <v>44</v>
      </c>
      <c r="B2724" t="s">
        <v>51</v>
      </c>
      <c r="C2724" t="s">
        <v>32</v>
      </c>
      <c r="D2724" t="s">
        <v>418</v>
      </c>
      <c r="E2724" t="s">
        <v>419</v>
      </c>
      <c r="F2724" t="s">
        <v>35</v>
      </c>
      <c r="G2724" t="s">
        <v>35</v>
      </c>
      <c r="H2724" t="s">
        <v>35</v>
      </c>
      <c r="J2724" t="s">
        <v>3504</v>
      </c>
      <c r="K2724" t="s">
        <v>1092</v>
      </c>
      <c r="M2724">
        <v>5.3</v>
      </c>
      <c r="N2724">
        <v>55</v>
      </c>
      <c r="O2724" t="s">
        <v>52</v>
      </c>
      <c r="Q2724" t="s">
        <v>90</v>
      </c>
      <c r="R2724" t="s">
        <v>3462</v>
      </c>
      <c r="S2724" t="s">
        <v>427</v>
      </c>
      <c r="T2724" t="s">
        <v>428</v>
      </c>
    </row>
    <row r="2725" spans="1:20" x14ac:dyDescent="0.25">
      <c r="A2725" t="s">
        <v>30</v>
      </c>
      <c r="B2725" t="s">
        <v>31</v>
      </c>
      <c r="C2725" t="s">
        <v>32</v>
      </c>
      <c r="D2725" t="s">
        <v>418</v>
      </c>
      <c r="E2725" t="s">
        <v>3460</v>
      </c>
      <c r="F2725" t="s">
        <v>35</v>
      </c>
      <c r="G2725" t="s">
        <v>35</v>
      </c>
      <c r="H2725" t="s">
        <v>35</v>
      </c>
      <c r="J2725" t="s">
        <v>3461</v>
      </c>
      <c r="K2725" t="s">
        <v>1092</v>
      </c>
      <c r="M2725">
        <v>13.32</v>
      </c>
      <c r="N2725">
        <v>37</v>
      </c>
      <c r="O2725" t="s">
        <v>52</v>
      </c>
      <c r="Q2725" t="s">
        <v>192</v>
      </c>
      <c r="R2725" t="s">
        <v>3462</v>
      </c>
      <c r="S2725" t="s">
        <v>427</v>
      </c>
      <c r="T2725" t="s">
        <v>428</v>
      </c>
    </row>
    <row r="2726" spans="1:20" x14ac:dyDescent="0.25">
      <c r="A2726" t="s">
        <v>44</v>
      </c>
      <c r="B2726" t="s">
        <v>51</v>
      </c>
      <c r="C2726" t="s">
        <v>32</v>
      </c>
      <c r="D2726" t="s">
        <v>418</v>
      </c>
      <c r="E2726" t="s">
        <v>3460</v>
      </c>
      <c r="F2726" t="s">
        <v>35</v>
      </c>
      <c r="G2726" t="s">
        <v>35</v>
      </c>
      <c r="H2726" t="s">
        <v>35</v>
      </c>
      <c r="J2726" t="s">
        <v>3461</v>
      </c>
      <c r="K2726" t="s">
        <v>1092</v>
      </c>
      <c r="M2726">
        <v>10</v>
      </c>
      <c r="N2726">
        <v>50</v>
      </c>
      <c r="O2726" t="s">
        <v>52</v>
      </c>
      <c r="Q2726" t="s">
        <v>665</v>
      </c>
      <c r="R2726" t="s">
        <v>3462</v>
      </c>
      <c r="S2726" t="s">
        <v>427</v>
      </c>
      <c r="T2726" t="s">
        <v>428</v>
      </c>
    </row>
    <row r="2727" spans="1:20" x14ac:dyDescent="0.25">
      <c r="A2727" t="s">
        <v>59</v>
      </c>
      <c r="B2727" t="s">
        <v>31</v>
      </c>
      <c r="C2727" t="s">
        <v>32</v>
      </c>
      <c r="D2727" t="s">
        <v>418</v>
      </c>
      <c r="E2727" t="s">
        <v>3482</v>
      </c>
      <c r="F2727" t="s">
        <v>35</v>
      </c>
      <c r="G2727" t="s">
        <v>35</v>
      </c>
      <c r="H2727" t="s">
        <v>35</v>
      </c>
      <c r="J2727" t="s">
        <v>3484</v>
      </c>
      <c r="K2727" t="s">
        <v>1144</v>
      </c>
      <c r="M2727">
        <v>12.015000000000001</v>
      </c>
      <c r="N2727">
        <v>55</v>
      </c>
      <c r="O2727" t="s">
        <v>52</v>
      </c>
      <c r="Q2727" t="s">
        <v>90</v>
      </c>
      <c r="R2727" t="s">
        <v>3462</v>
      </c>
      <c r="S2727" t="s">
        <v>427</v>
      </c>
      <c r="T2727" t="s">
        <v>428</v>
      </c>
    </row>
    <row r="2728" spans="1:20" x14ac:dyDescent="0.25">
      <c r="A2728" t="s">
        <v>30</v>
      </c>
      <c r="B2728" t="s">
        <v>31</v>
      </c>
      <c r="C2728" t="s">
        <v>32</v>
      </c>
      <c r="D2728" t="s">
        <v>418</v>
      </c>
      <c r="E2728" t="s">
        <v>3463</v>
      </c>
      <c r="F2728" t="s">
        <v>35</v>
      </c>
      <c r="G2728" t="s">
        <v>35</v>
      </c>
      <c r="H2728" t="s">
        <v>35</v>
      </c>
      <c r="J2728" t="s">
        <v>3471</v>
      </c>
      <c r="K2728" t="s">
        <v>1092</v>
      </c>
      <c r="M2728">
        <v>7.5149999999999997</v>
      </c>
      <c r="N2728">
        <v>111</v>
      </c>
      <c r="O2728" t="s">
        <v>106</v>
      </c>
      <c r="Q2728" t="s">
        <v>1469</v>
      </c>
      <c r="R2728" t="s">
        <v>3462</v>
      </c>
      <c r="S2728" t="s">
        <v>427</v>
      </c>
      <c r="T2728" t="s">
        <v>428</v>
      </c>
    </row>
    <row r="2729" spans="1:20" x14ac:dyDescent="0.25">
      <c r="A2729" t="s">
        <v>44</v>
      </c>
      <c r="B2729" t="s">
        <v>51</v>
      </c>
      <c r="C2729" t="s">
        <v>32</v>
      </c>
      <c r="D2729" t="s">
        <v>418</v>
      </c>
      <c r="F2729" t="s">
        <v>35</v>
      </c>
      <c r="G2729" t="s">
        <v>35</v>
      </c>
      <c r="H2729" t="s">
        <v>35</v>
      </c>
      <c r="J2729" t="s">
        <v>3515</v>
      </c>
      <c r="K2729" t="s">
        <v>1092</v>
      </c>
      <c r="M2729">
        <v>10</v>
      </c>
      <c r="N2729">
        <v>37</v>
      </c>
      <c r="O2729" t="s">
        <v>52</v>
      </c>
      <c r="Q2729" t="s">
        <v>192</v>
      </c>
      <c r="R2729" t="s">
        <v>3462</v>
      </c>
      <c r="S2729" t="s">
        <v>427</v>
      </c>
      <c r="T2729" t="s">
        <v>428</v>
      </c>
    </row>
    <row r="2730" spans="1:20" x14ac:dyDescent="0.25">
      <c r="A2730" t="s">
        <v>30</v>
      </c>
      <c r="B2730" t="s">
        <v>31</v>
      </c>
      <c r="C2730" t="s">
        <v>32</v>
      </c>
      <c r="D2730" t="s">
        <v>418</v>
      </c>
      <c r="F2730" t="s">
        <v>35</v>
      </c>
      <c r="G2730" t="s">
        <v>35</v>
      </c>
      <c r="H2730" t="s">
        <v>35</v>
      </c>
      <c r="J2730" t="s">
        <v>3515</v>
      </c>
      <c r="K2730" t="s">
        <v>1092</v>
      </c>
      <c r="M2730">
        <v>13.23</v>
      </c>
      <c r="N2730">
        <v>37</v>
      </c>
      <c r="O2730" t="s">
        <v>52</v>
      </c>
      <c r="Q2730" t="s">
        <v>192</v>
      </c>
      <c r="R2730" t="s">
        <v>3462</v>
      </c>
      <c r="S2730" t="s">
        <v>427</v>
      </c>
      <c r="T2730" t="s">
        <v>428</v>
      </c>
    </row>
    <row r="2731" spans="1:20" x14ac:dyDescent="0.25">
      <c r="A2731" t="s">
        <v>30</v>
      </c>
      <c r="B2731" t="s">
        <v>31</v>
      </c>
      <c r="C2731" t="s">
        <v>32</v>
      </c>
      <c r="D2731" t="s">
        <v>418</v>
      </c>
      <c r="E2731" t="s">
        <v>3490</v>
      </c>
      <c r="F2731" t="s">
        <v>35</v>
      </c>
      <c r="G2731" t="s">
        <v>35</v>
      </c>
      <c r="H2731" t="s">
        <v>35</v>
      </c>
      <c r="J2731" t="s">
        <v>3491</v>
      </c>
      <c r="K2731" t="s">
        <v>1092</v>
      </c>
      <c r="M2731">
        <v>0.63</v>
      </c>
      <c r="N2731">
        <v>37</v>
      </c>
      <c r="O2731" t="s">
        <v>52</v>
      </c>
      <c r="Q2731" t="s">
        <v>192</v>
      </c>
      <c r="R2731" t="s">
        <v>3462</v>
      </c>
      <c r="S2731" t="s">
        <v>427</v>
      </c>
      <c r="T2731" t="s">
        <v>428</v>
      </c>
    </row>
    <row r="2732" spans="1:20" x14ac:dyDescent="0.25">
      <c r="A2732" t="s">
        <v>30</v>
      </c>
      <c r="B2732" t="s">
        <v>31</v>
      </c>
      <c r="C2732" t="s">
        <v>32</v>
      </c>
      <c r="D2732" t="s">
        <v>418</v>
      </c>
      <c r="E2732" t="s">
        <v>3482</v>
      </c>
      <c r="F2732" t="s">
        <v>35</v>
      </c>
      <c r="G2732" t="s">
        <v>35</v>
      </c>
      <c r="H2732" t="s">
        <v>35</v>
      </c>
      <c r="J2732" t="s">
        <v>3483</v>
      </c>
      <c r="K2732" t="s">
        <v>1092</v>
      </c>
      <c r="M2732">
        <v>9.5399999999999991</v>
      </c>
      <c r="N2732">
        <v>111</v>
      </c>
      <c r="O2732" t="s">
        <v>106</v>
      </c>
      <c r="Q2732" t="s">
        <v>1469</v>
      </c>
      <c r="R2732" t="s">
        <v>3462</v>
      </c>
      <c r="S2732" t="s">
        <v>427</v>
      </c>
      <c r="T2732" t="s">
        <v>428</v>
      </c>
    </row>
    <row r="2733" spans="1:20" x14ac:dyDescent="0.25">
      <c r="A2733" t="s">
        <v>59</v>
      </c>
      <c r="B2733" t="s">
        <v>31</v>
      </c>
      <c r="C2733" t="s">
        <v>32</v>
      </c>
      <c r="D2733" t="s">
        <v>418</v>
      </c>
      <c r="E2733" t="s">
        <v>419</v>
      </c>
      <c r="F2733" t="s">
        <v>35</v>
      </c>
      <c r="G2733" t="s">
        <v>35</v>
      </c>
      <c r="H2733" t="s">
        <v>35</v>
      </c>
      <c r="J2733" t="s">
        <v>427</v>
      </c>
      <c r="K2733" t="s">
        <v>37</v>
      </c>
      <c r="M2733">
        <v>12.015000000000001</v>
      </c>
      <c r="N2733">
        <v>37</v>
      </c>
      <c r="O2733" t="s">
        <v>52</v>
      </c>
      <c r="P2733" t="s">
        <v>435</v>
      </c>
      <c r="Q2733" t="s">
        <v>192</v>
      </c>
      <c r="R2733" t="s">
        <v>436</v>
      </c>
      <c r="S2733" t="s">
        <v>437</v>
      </c>
      <c r="T2733" t="s">
        <v>438</v>
      </c>
    </row>
    <row r="2734" spans="1:20" x14ac:dyDescent="0.25">
      <c r="A2734" t="s">
        <v>44</v>
      </c>
      <c r="B2734" t="s">
        <v>51</v>
      </c>
      <c r="C2734" t="s">
        <v>32</v>
      </c>
      <c r="D2734" t="s">
        <v>418</v>
      </c>
      <c r="E2734" t="s">
        <v>441</v>
      </c>
      <c r="F2734" t="s">
        <v>35</v>
      </c>
      <c r="G2734" t="s">
        <v>35</v>
      </c>
      <c r="H2734" t="s">
        <v>35</v>
      </c>
      <c r="J2734" t="s">
        <v>77</v>
      </c>
      <c r="K2734" t="s">
        <v>37</v>
      </c>
      <c r="M2734">
        <v>10</v>
      </c>
      <c r="N2734">
        <v>75</v>
      </c>
      <c r="O2734" t="s">
        <v>61</v>
      </c>
      <c r="P2734" t="s">
        <v>446</v>
      </c>
      <c r="Q2734" t="s">
        <v>447</v>
      </c>
      <c r="R2734" t="s">
        <v>91</v>
      </c>
      <c r="S2734" t="s">
        <v>92</v>
      </c>
    </row>
    <row r="2735" spans="1:20" x14ac:dyDescent="0.25">
      <c r="A2735" t="s">
        <v>59</v>
      </c>
      <c r="B2735" t="s">
        <v>31</v>
      </c>
      <c r="C2735" t="s">
        <v>32</v>
      </c>
      <c r="D2735" t="s">
        <v>418</v>
      </c>
      <c r="E2735" t="s">
        <v>419</v>
      </c>
      <c r="F2735" t="s">
        <v>35</v>
      </c>
      <c r="G2735" t="s">
        <v>35</v>
      </c>
      <c r="H2735" t="s">
        <v>35</v>
      </c>
      <c r="J2735" t="s">
        <v>427</v>
      </c>
      <c r="K2735" t="s">
        <v>37</v>
      </c>
      <c r="M2735">
        <v>37.979999999999997</v>
      </c>
      <c r="N2735">
        <v>40</v>
      </c>
      <c r="O2735" t="s">
        <v>52</v>
      </c>
      <c r="P2735" t="s">
        <v>429</v>
      </c>
      <c r="Q2735" t="s">
        <v>132</v>
      </c>
      <c r="R2735" t="s">
        <v>91</v>
      </c>
      <c r="S2735" t="s">
        <v>92</v>
      </c>
    </row>
    <row r="2736" spans="1:20" x14ac:dyDescent="0.25">
      <c r="A2736" t="s">
        <v>30</v>
      </c>
      <c r="B2736" t="s">
        <v>31</v>
      </c>
      <c r="C2736" t="s">
        <v>32</v>
      </c>
      <c r="D2736" t="s">
        <v>418</v>
      </c>
      <c r="E2736" t="s">
        <v>419</v>
      </c>
      <c r="F2736" t="s">
        <v>35</v>
      </c>
      <c r="G2736" t="s">
        <v>35</v>
      </c>
      <c r="H2736" t="s">
        <v>35</v>
      </c>
      <c r="J2736" t="s">
        <v>427</v>
      </c>
      <c r="K2736" t="s">
        <v>37</v>
      </c>
      <c r="M2736">
        <v>5.76</v>
      </c>
      <c r="N2736">
        <v>43</v>
      </c>
      <c r="O2736" t="s">
        <v>52</v>
      </c>
      <c r="P2736" t="s">
        <v>430</v>
      </c>
      <c r="Q2736" t="s">
        <v>425</v>
      </c>
      <c r="R2736" t="s">
        <v>91</v>
      </c>
      <c r="S2736" t="s">
        <v>92</v>
      </c>
    </row>
    <row r="2737" spans="1:20" x14ac:dyDescent="0.25">
      <c r="A2737" t="s">
        <v>59</v>
      </c>
      <c r="B2737" t="s">
        <v>60</v>
      </c>
      <c r="C2737" t="s">
        <v>32</v>
      </c>
      <c r="D2737" t="s">
        <v>418</v>
      </c>
      <c r="E2737" t="s">
        <v>419</v>
      </c>
      <c r="F2737" t="s">
        <v>35</v>
      </c>
      <c r="G2737" t="s">
        <v>35</v>
      </c>
      <c r="H2737" t="s">
        <v>35</v>
      </c>
      <c r="J2737" t="s">
        <v>427</v>
      </c>
      <c r="K2737" t="s">
        <v>37</v>
      </c>
      <c r="M2737">
        <v>35</v>
      </c>
      <c r="N2737">
        <v>40</v>
      </c>
      <c r="O2737" t="s">
        <v>52</v>
      </c>
      <c r="P2737" t="s">
        <v>431</v>
      </c>
      <c r="Q2737" t="s">
        <v>132</v>
      </c>
      <c r="R2737" t="s">
        <v>91</v>
      </c>
      <c r="S2737" t="s">
        <v>92</v>
      </c>
    </row>
    <row r="2738" spans="1:20" x14ac:dyDescent="0.25">
      <c r="A2738" t="s">
        <v>59</v>
      </c>
      <c r="B2738" t="s">
        <v>31</v>
      </c>
      <c r="C2738" t="s">
        <v>32</v>
      </c>
      <c r="D2738" t="s">
        <v>418</v>
      </c>
      <c r="E2738" t="s">
        <v>419</v>
      </c>
      <c r="F2738" t="s">
        <v>35</v>
      </c>
      <c r="G2738" t="s">
        <v>35</v>
      </c>
      <c r="H2738" t="s">
        <v>35</v>
      </c>
      <c r="J2738" t="s">
        <v>427</v>
      </c>
      <c r="K2738" t="s">
        <v>37</v>
      </c>
      <c r="M2738">
        <v>7.2</v>
      </c>
      <c r="N2738">
        <v>40</v>
      </c>
      <c r="O2738" t="s">
        <v>52</v>
      </c>
      <c r="P2738" t="s">
        <v>432</v>
      </c>
      <c r="Q2738" t="s">
        <v>132</v>
      </c>
      <c r="R2738" t="s">
        <v>91</v>
      </c>
      <c r="S2738" t="s">
        <v>92</v>
      </c>
    </row>
    <row r="2739" spans="1:20" x14ac:dyDescent="0.25">
      <c r="A2739" t="s">
        <v>30</v>
      </c>
      <c r="B2739" t="s">
        <v>31</v>
      </c>
      <c r="C2739" t="s">
        <v>32</v>
      </c>
      <c r="D2739" t="s">
        <v>418</v>
      </c>
      <c r="E2739" t="s">
        <v>419</v>
      </c>
      <c r="F2739" t="s">
        <v>35</v>
      </c>
      <c r="G2739" t="s">
        <v>35</v>
      </c>
      <c r="H2739" t="s">
        <v>35</v>
      </c>
      <c r="J2739" t="s">
        <v>427</v>
      </c>
      <c r="K2739" t="s">
        <v>37</v>
      </c>
      <c r="M2739">
        <v>45</v>
      </c>
      <c r="N2739">
        <v>43</v>
      </c>
      <c r="O2739" t="s">
        <v>52</v>
      </c>
      <c r="P2739" t="s">
        <v>433</v>
      </c>
      <c r="Q2739" t="s">
        <v>425</v>
      </c>
      <c r="R2739" t="s">
        <v>91</v>
      </c>
      <c r="S2739" t="s">
        <v>92</v>
      </c>
    </row>
    <row r="2740" spans="1:20" x14ac:dyDescent="0.25">
      <c r="A2740" t="s">
        <v>44</v>
      </c>
      <c r="B2740" t="s">
        <v>51</v>
      </c>
      <c r="C2740" t="s">
        <v>32</v>
      </c>
      <c r="D2740" t="s">
        <v>418</v>
      </c>
      <c r="E2740" t="s">
        <v>419</v>
      </c>
      <c r="F2740" t="s">
        <v>35</v>
      </c>
      <c r="G2740" t="s">
        <v>35</v>
      </c>
      <c r="H2740" t="s">
        <v>35</v>
      </c>
      <c r="J2740" t="s">
        <v>427</v>
      </c>
      <c r="K2740" t="s">
        <v>37</v>
      </c>
      <c r="M2740">
        <v>10</v>
      </c>
      <c r="N2740">
        <v>59</v>
      </c>
      <c r="O2740" t="s">
        <v>52</v>
      </c>
      <c r="P2740" t="s">
        <v>434</v>
      </c>
      <c r="Q2740" t="s">
        <v>203</v>
      </c>
      <c r="R2740" t="s">
        <v>91</v>
      </c>
      <c r="S2740" t="s">
        <v>92</v>
      </c>
    </row>
    <row r="2741" spans="1:20" x14ac:dyDescent="0.25">
      <c r="A2741" t="s">
        <v>30</v>
      </c>
      <c r="B2741" t="s">
        <v>31</v>
      </c>
      <c r="C2741" t="s">
        <v>32</v>
      </c>
      <c r="D2741" t="s">
        <v>418</v>
      </c>
      <c r="E2741" t="s">
        <v>419</v>
      </c>
      <c r="F2741" t="s">
        <v>35</v>
      </c>
      <c r="G2741" t="s">
        <v>35</v>
      </c>
      <c r="H2741" t="s">
        <v>35</v>
      </c>
      <c r="J2741" t="s">
        <v>427</v>
      </c>
      <c r="K2741" t="s">
        <v>37</v>
      </c>
      <c r="M2741">
        <v>45</v>
      </c>
      <c r="N2741">
        <v>43</v>
      </c>
      <c r="O2741" t="s">
        <v>52</v>
      </c>
      <c r="P2741" t="s">
        <v>439</v>
      </c>
      <c r="Q2741" t="s">
        <v>425</v>
      </c>
      <c r="R2741" t="s">
        <v>91</v>
      </c>
      <c r="S2741" t="s">
        <v>92</v>
      </c>
    </row>
    <row r="2742" spans="1:20" x14ac:dyDescent="0.25">
      <c r="A2742" t="s">
        <v>30</v>
      </c>
      <c r="B2742" t="s">
        <v>31</v>
      </c>
      <c r="C2742" t="s">
        <v>32</v>
      </c>
      <c r="D2742" t="s">
        <v>418</v>
      </c>
      <c r="E2742" t="s">
        <v>419</v>
      </c>
      <c r="F2742" t="s">
        <v>35</v>
      </c>
      <c r="G2742" t="s">
        <v>35</v>
      </c>
      <c r="H2742" t="s">
        <v>35</v>
      </c>
      <c r="J2742" t="s">
        <v>427</v>
      </c>
      <c r="K2742" t="s">
        <v>37</v>
      </c>
      <c r="M2742">
        <v>45</v>
      </c>
      <c r="N2742">
        <v>43</v>
      </c>
      <c r="O2742" t="s">
        <v>52</v>
      </c>
      <c r="P2742" t="s">
        <v>440</v>
      </c>
      <c r="Q2742" t="s">
        <v>425</v>
      </c>
      <c r="R2742" t="s">
        <v>91</v>
      </c>
      <c r="S2742" t="s">
        <v>92</v>
      </c>
    </row>
    <row r="2743" spans="1:20" x14ac:dyDescent="0.25">
      <c r="A2743" t="s">
        <v>44</v>
      </c>
      <c r="B2743" t="s">
        <v>51</v>
      </c>
      <c r="C2743" t="s">
        <v>32</v>
      </c>
      <c r="D2743" t="s">
        <v>418</v>
      </c>
      <c r="E2743" t="s">
        <v>419</v>
      </c>
      <c r="F2743" t="s">
        <v>35</v>
      </c>
      <c r="G2743" t="s">
        <v>35</v>
      </c>
      <c r="H2743" t="s">
        <v>35</v>
      </c>
      <c r="J2743" t="s">
        <v>420</v>
      </c>
      <c r="K2743" t="s">
        <v>37</v>
      </c>
      <c r="M2743">
        <v>30</v>
      </c>
      <c r="N2743">
        <v>56</v>
      </c>
      <c r="O2743" t="s">
        <v>52</v>
      </c>
      <c r="P2743" t="s">
        <v>422</v>
      </c>
      <c r="Q2743" t="s">
        <v>423</v>
      </c>
      <c r="R2743" t="s">
        <v>91</v>
      </c>
      <c r="S2743" t="s">
        <v>92</v>
      </c>
    </row>
    <row r="2744" spans="1:20" x14ac:dyDescent="0.25">
      <c r="A2744" t="s">
        <v>30</v>
      </c>
      <c r="B2744" t="s">
        <v>31</v>
      </c>
      <c r="C2744" t="s">
        <v>32</v>
      </c>
      <c r="D2744" t="s">
        <v>418</v>
      </c>
      <c r="E2744" t="s">
        <v>419</v>
      </c>
      <c r="F2744" t="s">
        <v>35</v>
      </c>
      <c r="G2744" t="s">
        <v>35</v>
      </c>
      <c r="H2744" t="s">
        <v>35</v>
      </c>
      <c r="J2744" t="s">
        <v>420</v>
      </c>
      <c r="K2744" t="s">
        <v>37</v>
      </c>
      <c r="M2744">
        <v>9.76</v>
      </c>
      <c r="N2744">
        <v>43</v>
      </c>
      <c r="O2744" t="s">
        <v>52</v>
      </c>
      <c r="P2744" t="s">
        <v>424</v>
      </c>
      <c r="Q2744" t="s">
        <v>425</v>
      </c>
      <c r="R2744" t="s">
        <v>91</v>
      </c>
      <c r="S2744" t="s">
        <v>92</v>
      </c>
    </row>
    <row r="2745" spans="1:20" x14ac:dyDescent="0.25">
      <c r="A2745" t="s">
        <v>30</v>
      </c>
      <c r="B2745" t="s">
        <v>31</v>
      </c>
      <c r="C2745" t="s">
        <v>32</v>
      </c>
      <c r="D2745" t="s">
        <v>418</v>
      </c>
      <c r="E2745" t="s">
        <v>419</v>
      </c>
      <c r="F2745" t="s">
        <v>35</v>
      </c>
      <c r="G2745" t="s">
        <v>35</v>
      </c>
      <c r="H2745" t="s">
        <v>35</v>
      </c>
      <c r="J2745" t="s">
        <v>420</v>
      </c>
      <c r="K2745" t="s">
        <v>37</v>
      </c>
      <c r="M2745">
        <v>54</v>
      </c>
      <c r="N2745">
        <v>43</v>
      </c>
      <c r="O2745" t="s">
        <v>52</v>
      </c>
      <c r="P2745" t="s">
        <v>426</v>
      </c>
      <c r="Q2745" t="s">
        <v>425</v>
      </c>
      <c r="R2745" t="s">
        <v>91</v>
      </c>
      <c r="S2745" t="s">
        <v>92</v>
      </c>
    </row>
    <row r="2746" spans="1:20" x14ac:dyDescent="0.25">
      <c r="A2746" t="s">
        <v>30</v>
      </c>
      <c r="B2746" t="s">
        <v>31</v>
      </c>
      <c r="C2746" t="s">
        <v>32</v>
      </c>
      <c r="D2746" t="s">
        <v>418</v>
      </c>
      <c r="E2746" t="s">
        <v>3505</v>
      </c>
      <c r="F2746" t="s">
        <v>35</v>
      </c>
      <c r="G2746" t="s">
        <v>35</v>
      </c>
      <c r="H2746" t="s">
        <v>35</v>
      </c>
      <c r="J2746" t="s">
        <v>3508</v>
      </c>
      <c r="K2746" t="s">
        <v>1092</v>
      </c>
      <c r="M2746">
        <v>4</v>
      </c>
      <c r="N2746">
        <v>32</v>
      </c>
      <c r="O2746" t="s">
        <v>52</v>
      </c>
      <c r="Q2746" t="s">
        <v>816</v>
      </c>
      <c r="R2746" t="s">
        <v>3470</v>
      </c>
      <c r="S2746" t="s">
        <v>420</v>
      </c>
      <c r="T2746" t="s">
        <v>421</v>
      </c>
    </row>
    <row r="2747" spans="1:20" x14ac:dyDescent="0.25">
      <c r="A2747" t="s">
        <v>30</v>
      </c>
      <c r="B2747" t="s">
        <v>31</v>
      </c>
      <c r="C2747" t="s">
        <v>32</v>
      </c>
      <c r="D2747" t="s">
        <v>418</v>
      </c>
      <c r="E2747" t="s">
        <v>419</v>
      </c>
      <c r="F2747" t="s">
        <v>35</v>
      </c>
      <c r="G2747" t="s">
        <v>35</v>
      </c>
      <c r="H2747" t="s">
        <v>35</v>
      </c>
      <c r="J2747" t="s">
        <v>3501</v>
      </c>
      <c r="K2747" t="s">
        <v>1092</v>
      </c>
      <c r="M2747">
        <v>0.19</v>
      </c>
      <c r="N2747">
        <v>34</v>
      </c>
      <c r="O2747" t="s">
        <v>52</v>
      </c>
      <c r="Q2747" t="s">
        <v>249</v>
      </c>
      <c r="R2747" t="s">
        <v>3470</v>
      </c>
      <c r="S2747" t="s">
        <v>420</v>
      </c>
      <c r="T2747" t="s">
        <v>421</v>
      </c>
    </row>
    <row r="2748" spans="1:20" x14ac:dyDescent="0.25">
      <c r="A2748" t="s">
        <v>59</v>
      </c>
      <c r="B2748" t="s">
        <v>31</v>
      </c>
      <c r="C2748" t="s">
        <v>32</v>
      </c>
      <c r="D2748" t="s">
        <v>418</v>
      </c>
      <c r="E2748" t="s">
        <v>419</v>
      </c>
      <c r="F2748" t="s">
        <v>35</v>
      </c>
      <c r="G2748" t="s">
        <v>35</v>
      </c>
      <c r="H2748" t="s">
        <v>35</v>
      </c>
      <c r="J2748" t="s">
        <v>3501</v>
      </c>
      <c r="K2748" t="s">
        <v>1092</v>
      </c>
      <c r="M2748">
        <v>2.7</v>
      </c>
      <c r="N2748">
        <v>34</v>
      </c>
      <c r="O2748" t="s">
        <v>52</v>
      </c>
      <c r="Q2748" t="s">
        <v>249</v>
      </c>
      <c r="R2748" t="s">
        <v>3470</v>
      </c>
      <c r="S2748" t="s">
        <v>420</v>
      </c>
      <c r="T2748" t="s">
        <v>421</v>
      </c>
    </row>
    <row r="2749" spans="1:20" x14ac:dyDescent="0.25">
      <c r="A2749" t="s">
        <v>30</v>
      </c>
      <c r="B2749" t="s">
        <v>31</v>
      </c>
      <c r="C2749" t="s">
        <v>32</v>
      </c>
      <c r="D2749" t="s">
        <v>418</v>
      </c>
      <c r="E2749" t="s">
        <v>3482</v>
      </c>
      <c r="F2749" t="s">
        <v>35</v>
      </c>
      <c r="G2749" t="s">
        <v>35</v>
      </c>
      <c r="H2749" t="s">
        <v>35</v>
      </c>
      <c r="J2749" t="s">
        <v>3485</v>
      </c>
      <c r="K2749" t="s">
        <v>1092</v>
      </c>
      <c r="M2749">
        <v>2.7749999999999999</v>
      </c>
      <c r="N2749">
        <v>405</v>
      </c>
      <c r="O2749" t="s">
        <v>294</v>
      </c>
      <c r="Q2749" t="s">
        <v>3472</v>
      </c>
      <c r="R2749" t="s">
        <v>3470</v>
      </c>
      <c r="S2749" t="s">
        <v>420</v>
      </c>
      <c r="T2749" t="s">
        <v>421</v>
      </c>
    </row>
    <row r="2750" spans="1:20" x14ac:dyDescent="0.25">
      <c r="A2750" t="s">
        <v>30</v>
      </c>
      <c r="B2750" t="s">
        <v>31</v>
      </c>
      <c r="C2750" t="s">
        <v>32</v>
      </c>
      <c r="D2750" t="s">
        <v>418</v>
      </c>
      <c r="E2750" t="s">
        <v>3463</v>
      </c>
      <c r="F2750" t="s">
        <v>35</v>
      </c>
      <c r="G2750" t="s">
        <v>35</v>
      </c>
      <c r="H2750" t="s">
        <v>35</v>
      </c>
      <c r="J2750" t="s">
        <v>3466</v>
      </c>
      <c r="K2750" t="s">
        <v>1092</v>
      </c>
      <c r="M2750">
        <v>7.6050000000000004</v>
      </c>
      <c r="N2750">
        <v>111</v>
      </c>
      <c r="O2750" t="s">
        <v>106</v>
      </c>
      <c r="Q2750" t="s">
        <v>1469</v>
      </c>
      <c r="R2750" t="s">
        <v>3470</v>
      </c>
      <c r="S2750" t="s">
        <v>420</v>
      </c>
      <c r="T2750" t="s">
        <v>421</v>
      </c>
    </row>
    <row r="2751" spans="1:20" x14ac:dyDescent="0.25">
      <c r="A2751" t="s">
        <v>59</v>
      </c>
      <c r="B2751" t="s">
        <v>31</v>
      </c>
      <c r="C2751" t="s">
        <v>32</v>
      </c>
      <c r="D2751" t="s">
        <v>418</v>
      </c>
      <c r="E2751" t="s">
        <v>3482</v>
      </c>
      <c r="F2751" t="s">
        <v>35</v>
      </c>
      <c r="G2751" t="s">
        <v>35</v>
      </c>
      <c r="H2751" t="s">
        <v>35</v>
      </c>
      <c r="J2751" t="s">
        <v>3486</v>
      </c>
      <c r="K2751" t="s">
        <v>1092</v>
      </c>
      <c r="M2751">
        <v>1.26</v>
      </c>
      <c r="N2751">
        <v>1419</v>
      </c>
      <c r="O2751" t="s">
        <v>575</v>
      </c>
      <c r="Q2751" t="s">
        <v>3488</v>
      </c>
      <c r="R2751" t="s">
        <v>3470</v>
      </c>
      <c r="S2751" t="s">
        <v>420</v>
      </c>
      <c r="T2751" t="s">
        <v>421</v>
      </c>
    </row>
    <row r="2752" spans="1:20" x14ac:dyDescent="0.25">
      <c r="A2752" t="s">
        <v>30</v>
      </c>
      <c r="B2752" t="s">
        <v>31</v>
      </c>
      <c r="C2752" t="s">
        <v>32</v>
      </c>
      <c r="D2752" t="s">
        <v>418</v>
      </c>
      <c r="E2752" t="s">
        <v>3463</v>
      </c>
      <c r="F2752" t="s">
        <v>35</v>
      </c>
      <c r="G2752" t="s">
        <v>35</v>
      </c>
      <c r="H2752" t="s">
        <v>35</v>
      </c>
      <c r="J2752" t="s">
        <v>3478</v>
      </c>
      <c r="K2752" t="s">
        <v>1092</v>
      </c>
      <c r="M2752">
        <v>0.01</v>
      </c>
      <c r="N2752">
        <v>287</v>
      </c>
      <c r="O2752" t="s">
        <v>5</v>
      </c>
      <c r="Q2752" t="s">
        <v>1418</v>
      </c>
      <c r="R2752" t="s">
        <v>3470</v>
      </c>
      <c r="S2752" t="s">
        <v>420</v>
      </c>
      <c r="T2752" t="s">
        <v>421</v>
      </c>
    </row>
    <row r="2753" spans="1:20" x14ac:dyDescent="0.25">
      <c r="A2753" t="s">
        <v>30</v>
      </c>
      <c r="B2753" t="s">
        <v>31</v>
      </c>
      <c r="C2753" t="s">
        <v>32</v>
      </c>
      <c r="D2753" t="s">
        <v>418</v>
      </c>
      <c r="E2753" t="s">
        <v>3463</v>
      </c>
      <c r="F2753" t="s">
        <v>35</v>
      </c>
      <c r="G2753" t="s">
        <v>35</v>
      </c>
      <c r="H2753" t="s">
        <v>35</v>
      </c>
      <c r="J2753" t="s">
        <v>45</v>
      </c>
      <c r="K2753" t="s">
        <v>1092</v>
      </c>
      <c r="M2753">
        <v>8.1000000000000003E-2</v>
      </c>
      <c r="N2753">
        <v>405</v>
      </c>
      <c r="O2753" t="s">
        <v>294</v>
      </c>
      <c r="Q2753" t="s">
        <v>3472</v>
      </c>
      <c r="R2753" t="s">
        <v>3473</v>
      </c>
      <c r="S2753" t="s">
        <v>3474</v>
      </c>
      <c r="T2753" t="s">
        <v>3475</v>
      </c>
    </row>
    <row r="2754" spans="1:20" x14ac:dyDescent="0.25">
      <c r="A2754" t="s">
        <v>59</v>
      </c>
      <c r="B2754" t="s">
        <v>60</v>
      </c>
      <c r="C2754" t="s">
        <v>32</v>
      </c>
      <c r="D2754" t="s">
        <v>448</v>
      </c>
      <c r="E2754" t="s">
        <v>473</v>
      </c>
      <c r="F2754" t="s">
        <v>35</v>
      </c>
      <c r="G2754" t="s">
        <v>35</v>
      </c>
      <c r="H2754" t="s">
        <v>35</v>
      </c>
      <c r="J2754" t="s">
        <v>474</v>
      </c>
      <c r="K2754" t="s">
        <v>37</v>
      </c>
      <c r="M2754">
        <v>4</v>
      </c>
      <c r="N2754">
        <v>73</v>
      </c>
      <c r="O2754" t="s">
        <v>61</v>
      </c>
      <c r="P2754" t="s">
        <v>476</v>
      </c>
      <c r="Q2754" t="s">
        <v>477</v>
      </c>
      <c r="R2754" t="s">
        <v>478</v>
      </c>
      <c r="S2754" t="s">
        <v>479</v>
      </c>
      <c r="T2754" t="s">
        <v>480</v>
      </c>
    </row>
    <row r="2755" spans="1:20" x14ac:dyDescent="0.25">
      <c r="A2755" t="s">
        <v>59</v>
      </c>
      <c r="B2755" t="s">
        <v>60</v>
      </c>
      <c r="C2755" t="s">
        <v>32</v>
      </c>
      <c r="D2755" t="s">
        <v>448</v>
      </c>
      <c r="E2755" t="s">
        <v>473</v>
      </c>
      <c r="F2755" t="s">
        <v>35</v>
      </c>
      <c r="G2755" t="s">
        <v>35</v>
      </c>
      <c r="H2755" t="s">
        <v>35</v>
      </c>
      <c r="J2755" t="s">
        <v>474</v>
      </c>
      <c r="K2755" t="s">
        <v>37</v>
      </c>
      <c r="M2755">
        <v>3.5</v>
      </c>
      <c r="N2755">
        <v>73</v>
      </c>
      <c r="O2755" t="s">
        <v>61</v>
      </c>
      <c r="P2755" t="s">
        <v>481</v>
      </c>
      <c r="Q2755" t="s">
        <v>477</v>
      </c>
      <c r="R2755" t="s">
        <v>478</v>
      </c>
      <c r="S2755" t="s">
        <v>479</v>
      </c>
      <c r="T2755" t="s">
        <v>480</v>
      </c>
    </row>
    <row r="2756" spans="1:20" x14ac:dyDescent="0.25">
      <c r="A2756" t="s">
        <v>59</v>
      </c>
      <c r="B2756" t="s">
        <v>60</v>
      </c>
      <c r="C2756" t="s">
        <v>32</v>
      </c>
      <c r="D2756" t="s">
        <v>448</v>
      </c>
      <c r="E2756" t="s">
        <v>473</v>
      </c>
      <c r="F2756" t="s">
        <v>35</v>
      </c>
      <c r="G2756" t="s">
        <v>35</v>
      </c>
      <c r="H2756" t="s">
        <v>35</v>
      </c>
      <c r="J2756" t="s">
        <v>474</v>
      </c>
      <c r="K2756" t="s">
        <v>37</v>
      </c>
      <c r="M2756">
        <v>0.5</v>
      </c>
      <c r="N2756">
        <v>73</v>
      </c>
      <c r="O2756" t="s">
        <v>61</v>
      </c>
      <c r="P2756" t="s">
        <v>482</v>
      </c>
      <c r="Q2756" t="s">
        <v>477</v>
      </c>
      <c r="R2756" t="s">
        <v>478</v>
      </c>
      <c r="S2756" t="s">
        <v>479</v>
      </c>
      <c r="T2756" t="s">
        <v>480</v>
      </c>
    </row>
    <row r="2757" spans="1:20" x14ac:dyDescent="0.25">
      <c r="A2757" t="s">
        <v>30</v>
      </c>
      <c r="B2757" t="s">
        <v>31</v>
      </c>
      <c r="C2757" t="s">
        <v>32</v>
      </c>
      <c r="D2757" t="s">
        <v>448</v>
      </c>
      <c r="E2757" t="s">
        <v>473</v>
      </c>
      <c r="F2757" t="s">
        <v>35</v>
      </c>
      <c r="G2757" t="s">
        <v>35</v>
      </c>
      <c r="H2757" t="s">
        <v>35</v>
      </c>
      <c r="J2757" t="s">
        <v>474</v>
      </c>
      <c r="K2757" t="s">
        <v>37</v>
      </c>
      <c r="M2757">
        <v>11.97</v>
      </c>
      <c r="N2757">
        <v>42</v>
      </c>
      <c r="O2757" t="s">
        <v>52</v>
      </c>
      <c r="P2757" t="s">
        <v>483</v>
      </c>
      <c r="Q2757" t="s">
        <v>219</v>
      </c>
      <c r="R2757" t="s">
        <v>463</v>
      </c>
      <c r="S2757" t="s">
        <v>464</v>
      </c>
      <c r="T2757" t="s">
        <v>465</v>
      </c>
    </row>
    <row r="2758" spans="1:20" x14ac:dyDescent="0.25">
      <c r="A2758" t="s">
        <v>30</v>
      </c>
      <c r="B2758" t="s">
        <v>31</v>
      </c>
      <c r="C2758" t="s">
        <v>32</v>
      </c>
      <c r="D2758" t="s">
        <v>448</v>
      </c>
      <c r="E2758" t="s">
        <v>459</v>
      </c>
      <c r="F2758" t="s">
        <v>35</v>
      </c>
      <c r="G2758" t="s">
        <v>35</v>
      </c>
      <c r="H2758" t="s">
        <v>35</v>
      </c>
      <c r="J2758" t="s">
        <v>460</v>
      </c>
      <c r="K2758" t="s">
        <v>37</v>
      </c>
      <c r="M2758">
        <v>19.170000000000002</v>
      </c>
      <c r="N2758">
        <v>42</v>
      </c>
      <c r="O2758" t="s">
        <v>52</v>
      </c>
      <c r="P2758" t="s">
        <v>462</v>
      </c>
      <c r="Q2758" t="s">
        <v>219</v>
      </c>
      <c r="R2758" t="s">
        <v>463</v>
      </c>
      <c r="S2758" t="s">
        <v>464</v>
      </c>
      <c r="T2758" t="s">
        <v>465</v>
      </c>
    </row>
    <row r="2759" spans="1:20" x14ac:dyDescent="0.25">
      <c r="A2759" t="s">
        <v>44</v>
      </c>
      <c r="B2759" t="s">
        <v>51</v>
      </c>
      <c r="C2759" t="s">
        <v>32</v>
      </c>
      <c r="D2759" t="s">
        <v>448</v>
      </c>
      <c r="E2759" t="s">
        <v>3785</v>
      </c>
      <c r="F2759" t="s">
        <v>35</v>
      </c>
      <c r="G2759" t="s">
        <v>35</v>
      </c>
      <c r="H2759" t="s">
        <v>35</v>
      </c>
      <c r="J2759" t="s">
        <v>3803</v>
      </c>
      <c r="K2759" t="s">
        <v>1092</v>
      </c>
      <c r="M2759">
        <v>0.5</v>
      </c>
      <c r="N2759">
        <v>873</v>
      </c>
      <c r="O2759" t="s">
        <v>575</v>
      </c>
      <c r="Q2759" t="s">
        <v>1531</v>
      </c>
      <c r="R2759" t="s">
        <v>3804</v>
      </c>
      <c r="S2759" t="s">
        <v>3805</v>
      </c>
      <c r="T2759" t="s">
        <v>3806</v>
      </c>
    </row>
    <row r="2760" spans="1:20" x14ac:dyDescent="0.25">
      <c r="A2760" t="s">
        <v>44</v>
      </c>
      <c r="B2760" t="s">
        <v>3</v>
      </c>
      <c r="C2760" t="s">
        <v>32</v>
      </c>
      <c r="D2760" t="s">
        <v>448</v>
      </c>
      <c r="E2760" t="s">
        <v>473</v>
      </c>
      <c r="F2760" t="s">
        <v>35</v>
      </c>
      <c r="G2760" t="s">
        <v>35</v>
      </c>
      <c r="H2760" t="s">
        <v>35</v>
      </c>
      <c r="J2760" t="s">
        <v>3712</v>
      </c>
      <c r="K2760" t="s">
        <v>1092</v>
      </c>
      <c r="M2760">
        <v>0.4</v>
      </c>
      <c r="N2760">
        <v>583</v>
      </c>
      <c r="O2760" t="s">
        <v>575</v>
      </c>
      <c r="Q2760" t="s">
        <v>624</v>
      </c>
      <c r="R2760" t="s">
        <v>3713</v>
      </c>
      <c r="S2760" t="s">
        <v>3714</v>
      </c>
      <c r="T2760" t="s">
        <v>3715</v>
      </c>
    </row>
    <row r="2761" spans="1:20" x14ac:dyDescent="0.25">
      <c r="A2761" t="s">
        <v>59</v>
      </c>
      <c r="B2761" t="s">
        <v>60</v>
      </c>
      <c r="C2761" t="s">
        <v>32</v>
      </c>
      <c r="D2761" t="s">
        <v>448</v>
      </c>
      <c r="E2761" t="s">
        <v>466</v>
      </c>
      <c r="F2761" t="s">
        <v>35</v>
      </c>
      <c r="G2761" t="s">
        <v>35</v>
      </c>
      <c r="H2761" t="s">
        <v>35</v>
      </c>
      <c r="J2761" t="s">
        <v>467</v>
      </c>
      <c r="K2761" t="s">
        <v>37</v>
      </c>
      <c r="M2761">
        <v>3.5</v>
      </c>
      <c r="N2761">
        <v>17</v>
      </c>
      <c r="O2761" t="s">
        <v>46</v>
      </c>
      <c r="P2761" t="s">
        <v>469</v>
      </c>
      <c r="Q2761" t="s">
        <v>255</v>
      </c>
      <c r="R2761" t="s">
        <v>470</v>
      </c>
      <c r="S2761" t="s">
        <v>471</v>
      </c>
      <c r="T2761" t="s">
        <v>472</v>
      </c>
    </row>
    <row r="2762" spans="1:20" x14ac:dyDescent="0.25">
      <c r="A2762" t="s">
        <v>59</v>
      </c>
      <c r="B2762" t="s">
        <v>60</v>
      </c>
      <c r="C2762" t="s">
        <v>32</v>
      </c>
      <c r="D2762" t="s">
        <v>448</v>
      </c>
      <c r="E2762" t="s">
        <v>466</v>
      </c>
      <c r="F2762" t="s">
        <v>35</v>
      </c>
      <c r="G2762" t="s">
        <v>35</v>
      </c>
      <c r="H2762" t="s">
        <v>35</v>
      </c>
      <c r="J2762" t="s">
        <v>3678</v>
      </c>
      <c r="K2762" t="s">
        <v>1092</v>
      </c>
      <c r="M2762">
        <v>18.899999999999999</v>
      </c>
      <c r="N2762">
        <v>75</v>
      </c>
      <c r="O2762" t="s">
        <v>61</v>
      </c>
      <c r="Q2762" t="s">
        <v>447</v>
      </c>
      <c r="R2762" t="s">
        <v>3538</v>
      </c>
      <c r="S2762" t="s">
        <v>3539</v>
      </c>
      <c r="T2762" t="s">
        <v>3540</v>
      </c>
    </row>
    <row r="2763" spans="1:20" x14ac:dyDescent="0.25">
      <c r="A2763" t="s">
        <v>59</v>
      </c>
      <c r="B2763" t="s">
        <v>31</v>
      </c>
      <c r="C2763" t="s">
        <v>32</v>
      </c>
      <c r="D2763" t="s">
        <v>448</v>
      </c>
      <c r="E2763" t="s">
        <v>466</v>
      </c>
      <c r="F2763" t="s">
        <v>35</v>
      </c>
      <c r="G2763" t="s">
        <v>35</v>
      </c>
      <c r="H2763" t="s">
        <v>35</v>
      </c>
      <c r="J2763" t="s">
        <v>3678</v>
      </c>
      <c r="K2763" t="s">
        <v>1092</v>
      </c>
      <c r="M2763">
        <v>1.575</v>
      </c>
      <c r="N2763">
        <v>75</v>
      </c>
      <c r="O2763" t="s">
        <v>61</v>
      </c>
      <c r="Q2763" t="s">
        <v>447</v>
      </c>
      <c r="R2763" t="s">
        <v>3538</v>
      </c>
      <c r="S2763" t="s">
        <v>3539</v>
      </c>
      <c r="T2763" t="s">
        <v>3540</v>
      </c>
    </row>
    <row r="2764" spans="1:20" x14ac:dyDescent="0.25">
      <c r="A2764" t="s">
        <v>30</v>
      </c>
      <c r="B2764" t="s">
        <v>31</v>
      </c>
      <c r="C2764" t="s">
        <v>32</v>
      </c>
      <c r="D2764" t="s">
        <v>448</v>
      </c>
      <c r="F2764" t="s">
        <v>35</v>
      </c>
      <c r="G2764" t="s">
        <v>35</v>
      </c>
      <c r="H2764" t="s">
        <v>35</v>
      </c>
      <c r="J2764" t="s">
        <v>3871</v>
      </c>
      <c r="K2764" t="s">
        <v>1092</v>
      </c>
      <c r="M2764">
        <v>1.35</v>
      </c>
      <c r="N2764">
        <v>46</v>
      </c>
      <c r="O2764" t="s">
        <v>52</v>
      </c>
      <c r="Q2764" t="s">
        <v>332</v>
      </c>
      <c r="R2764" t="s">
        <v>3538</v>
      </c>
      <c r="S2764" t="s">
        <v>3539</v>
      </c>
      <c r="T2764" t="s">
        <v>3540</v>
      </c>
    </row>
    <row r="2765" spans="1:20" x14ac:dyDescent="0.25">
      <c r="A2765" t="s">
        <v>44</v>
      </c>
      <c r="B2765" t="s">
        <v>3</v>
      </c>
      <c r="C2765" t="s">
        <v>32</v>
      </c>
      <c r="D2765" t="s">
        <v>448</v>
      </c>
      <c r="E2765" t="s">
        <v>3785</v>
      </c>
      <c r="F2765" t="s">
        <v>35</v>
      </c>
      <c r="G2765" t="s">
        <v>35</v>
      </c>
      <c r="H2765" t="s">
        <v>35</v>
      </c>
      <c r="J2765" t="s">
        <v>3824</v>
      </c>
      <c r="K2765" t="s">
        <v>1092</v>
      </c>
      <c r="M2765">
        <v>0.25</v>
      </c>
      <c r="N2765">
        <v>501</v>
      </c>
      <c r="O2765" t="s">
        <v>294</v>
      </c>
      <c r="Q2765" t="s">
        <v>3696</v>
      </c>
      <c r="R2765" t="s">
        <v>3538</v>
      </c>
      <c r="S2765" t="s">
        <v>3539</v>
      </c>
      <c r="T2765" t="s">
        <v>3540</v>
      </c>
    </row>
    <row r="2766" spans="1:20" x14ac:dyDescent="0.25">
      <c r="A2766" t="s">
        <v>44</v>
      </c>
      <c r="B2766" t="s">
        <v>3</v>
      </c>
      <c r="C2766" t="s">
        <v>32</v>
      </c>
      <c r="D2766" t="s">
        <v>448</v>
      </c>
      <c r="E2766" t="s">
        <v>3785</v>
      </c>
      <c r="F2766" t="s">
        <v>35</v>
      </c>
      <c r="G2766" t="s">
        <v>35</v>
      </c>
      <c r="H2766" t="s">
        <v>35</v>
      </c>
      <c r="J2766" t="s">
        <v>3824</v>
      </c>
      <c r="K2766" t="s">
        <v>1092</v>
      </c>
      <c r="M2766">
        <v>0.2</v>
      </c>
      <c r="N2766">
        <v>549</v>
      </c>
      <c r="O2766" t="s">
        <v>575</v>
      </c>
      <c r="Q2766" t="s">
        <v>3825</v>
      </c>
      <c r="R2766" t="s">
        <v>3538</v>
      </c>
      <c r="S2766" t="s">
        <v>3539</v>
      </c>
      <c r="T2766" t="s">
        <v>3540</v>
      </c>
    </row>
    <row r="2767" spans="1:20" x14ac:dyDescent="0.25">
      <c r="A2767" t="s">
        <v>44</v>
      </c>
      <c r="B2767" t="s">
        <v>3</v>
      </c>
      <c r="C2767" t="s">
        <v>32</v>
      </c>
      <c r="D2767" t="s">
        <v>448</v>
      </c>
      <c r="E2767" t="s">
        <v>3785</v>
      </c>
      <c r="F2767" t="s">
        <v>35</v>
      </c>
      <c r="G2767" t="s">
        <v>35</v>
      </c>
      <c r="H2767" t="s">
        <v>35</v>
      </c>
      <c r="J2767" t="s">
        <v>3824</v>
      </c>
      <c r="K2767" t="s">
        <v>1092</v>
      </c>
      <c r="M2767">
        <v>0.1</v>
      </c>
      <c r="N2767">
        <v>572</v>
      </c>
      <c r="O2767" t="s">
        <v>575</v>
      </c>
      <c r="Q2767" t="s">
        <v>3826</v>
      </c>
      <c r="R2767" t="s">
        <v>3538</v>
      </c>
      <c r="S2767" t="s">
        <v>3539</v>
      </c>
      <c r="T2767" t="s">
        <v>3540</v>
      </c>
    </row>
    <row r="2768" spans="1:20" x14ac:dyDescent="0.25">
      <c r="A2768" t="s">
        <v>30</v>
      </c>
      <c r="B2768" t="s">
        <v>31</v>
      </c>
      <c r="C2768" t="s">
        <v>32</v>
      </c>
      <c r="D2768" t="s">
        <v>448</v>
      </c>
      <c r="E2768" t="s">
        <v>509</v>
      </c>
      <c r="F2768" t="s">
        <v>35</v>
      </c>
      <c r="G2768" t="s">
        <v>35</v>
      </c>
      <c r="H2768" t="s">
        <v>35</v>
      </c>
      <c r="J2768" t="s">
        <v>3858</v>
      </c>
      <c r="K2768" t="s">
        <v>1092</v>
      </c>
      <c r="M2768">
        <v>2.0249999999999999</v>
      </c>
      <c r="N2768">
        <v>31</v>
      </c>
      <c r="O2768" t="s">
        <v>52</v>
      </c>
      <c r="Q2768" t="s">
        <v>748</v>
      </c>
      <c r="R2768" t="s">
        <v>3538</v>
      </c>
      <c r="S2768" t="s">
        <v>3539</v>
      </c>
      <c r="T2768" t="s">
        <v>3540</v>
      </c>
    </row>
    <row r="2769" spans="1:20" x14ac:dyDescent="0.25">
      <c r="A2769" t="s">
        <v>30</v>
      </c>
      <c r="B2769" t="s">
        <v>31</v>
      </c>
      <c r="C2769" t="s">
        <v>32</v>
      </c>
      <c r="D2769" t="s">
        <v>448</v>
      </c>
      <c r="E2769" t="s">
        <v>509</v>
      </c>
      <c r="F2769" t="s">
        <v>35</v>
      </c>
      <c r="G2769" t="s">
        <v>35</v>
      </c>
      <c r="H2769" t="s">
        <v>35</v>
      </c>
      <c r="J2769" t="s">
        <v>3834</v>
      </c>
      <c r="K2769" t="s">
        <v>1092</v>
      </c>
      <c r="M2769">
        <v>1.44</v>
      </c>
      <c r="N2769">
        <v>41</v>
      </c>
      <c r="O2769" t="s">
        <v>52</v>
      </c>
      <c r="Q2769" t="s">
        <v>496</v>
      </c>
      <c r="R2769" t="s">
        <v>3538</v>
      </c>
      <c r="S2769" t="s">
        <v>3539</v>
      </c>
      <c r="T2769" t="s">
        <v>3540</v>
      </c>
    </row>
    <row r="2770" spans="1:20" x14ac:dyDescent="0.25">
      <c r="A2770" t="s">
        <v>59</v>
      </c>
      <c r="B2770" t="s">
        <v>60</v>
      </c>
      <c r="C2770" t="s">
        <v>32</v>
      </c>
      <c r="D2770" t="s">
        <v>448</v>
      </c>
      <c r="E2770" t="s">
        <v>3785</v>
      </c>
      <c r="F2770" t="s">
        <v>35</v>
      </c>
      <c r="G2770" t="s">
        <v>35</v>
      </c>
      <c r="H2770" t="s">
        <v>35</v>
      </c>
      <c r="J2770" t="s">
        <v>3795</v>
      </c>
      <c r="K2770" t="s">
        <v>1092</v>
      </c>
      <c r="M2770">
        <v>0.25</v>
      </c>
      <c r="N2770">
        <v>493</v>
      </c>
      <c r="O2770" t="s">
        <v>294</v>
      </c>
      <c r="Q2770" t="s">
        <v>2051</v>
      </c>
      <c r="R2770" t="s">
        <v>3538</v>
      </c>
      <c r="S2770" t="s">
        <v>3539</v>
      </c>
      <c r="T2770" t="s">
        <v>3540</v>
      </c>
    </row>
    <row r="2771" spans="1:20" x14ac:dyDescent="0.25">
      <c r="A2771" t="s">
        <v>30</v>
      </c>
      <c r="B2771" t="s">
        <v>31</v>
      </c>
      <c r="C2771" t="s">
        <v>32</v>
      </c>
      <c r="D2771" t="s">
        <v>448</v>
      </c>
      <c r="E2771" t="s">
        <v>3785</v>
      </c>
      <c r="F2771" t="s">
        <v>35</v>
      </c>
      <c r="G2771" t="s">
        <v>35</v>
      </c>
      <c r="H2771" t="s">
        <v>35</v>
      </c>
      <c r="J2771" t="s">
        <v>3796</v>
      </c>
      <c r="K2771" t="s">
        <v>1092</v>
      </c>
      <c r="M2771">
        <v>0.45</v>
      </c>
      <c r="N2771">
        <v>45</v>
      </c>
      <c r="O2771" t="s">
        <v>52</v>
      </c>
      <c r="Q2771" t="s">
        <v>1230</v>
      </c>
      <c r="R2771" t="s">
        <v>3538</v>
      </c>
      <c r="S2771" t="s">
        <v>3539</v>
      </c>
      <c r="T2771" t="s">
        <v>3540</v>
      </c>
    </row>
    <row r="2772" spans="1:20" x14ac:dyDescent="0.25">
      <c r="A2772" t="s">
        <v>30</v>
      </c>
      <c r="B2772" t="s">
        <v>31</v>
      </c>
      <c r="C2772" t="s">
        <v>32</v>
      </c>
      <c r="D2772" t="s">
        <v>448</v>
      </c>
      <c r="E2772" t="s">
        <v>3785</v>
      </c>
      <c r="F2772" t="s">
        <v>35</v>
      </c>
      <c r="G2772" t="s">
        <v>35</v>
      </c>
      <c r="H2772" t="s">
        <v>35</v>
      </c>
      <c r="J2772" t="s">
        <v>3797</v>
      </c>
      <c r="K2772" t="s">
        <v>1092</v>
      </c>
      <c r="M2772">
        <v>2.88</v>
      </c>
      <c r="N2772">
        <v>41</v>
      </c>
      <c r="O2772" t="s">
        <v>52</v>
      </c>
      <c r="Q2772" t="s">
        <v>496</v>
      </c>
      <c r="R2772" t="s">
        <v>3538</v>
      </c>
      <c r="S2772" t="s">
        <v>3539</v>
      </c>
      <c r="T2772" t="s">
        <v>3540</v>
      </c>
    </row>
    <row r="2773" spans="1:20" x14ac:dyDescent="0.25">
      <c r="A2773" t="s">
        <v>30</v>
      </c>
      <c r="B2773" t="s">
        <v>31</v>
      </c>
      <c r="C2773" t="s">
        <v>32</v>
      </c>
      <c r="D2773" t="s">
        <v>448</v>
      </c>
      <c r="E2773" t="s">
        <v>3785</v>
      </c>
      <c r="F2773" t="s">
        <v>35</v>
      </c>
      <c r="G2773" t="s">
        <v>35</v>
      </c>
      <c r="H2773" t="s">
        <v>35</v>
      </c>
      <c r="J2773" t="s">
        <v>3798</v>
      </c>
      <c r="K2773" t="s">
        <v>1092</v>
      </c>
      <c r="M2773">
        <v>0.09</v>
      </c>
      <c r="N2773">
        <v>41</v>
      </c>
      <c r="O2773" t="s">
        <v>52</v>
      </c>
      <c r="Q2773" t="s">
        <v>496</v>
      </c>
      <c r="R2773" t="s">
        <v>3538</v>
      </c>
      <c r="S2773" t="s">
        <v>3539</v>
      </c>
      <c r="T2773" t="s">
        <v>3540</v>
      </c>
    </row>
    <row r="2774" spans="1:20" x14ac:dyDescent="0.25">
      <c r="A2774" t="s">
        <v>59</v>
      </c>
      <c r="B2774" t="s">
        <v>60</v>
      </c>
      <c r="C2774" t="s">
        <v>32</v>
      </c>
      <c r="D2774" t="s">
        <v>448</v>
      </c>
      <c r="E2774" t="s">
        <v>3785</v>
      </c>
      <c r="F2774" t="s">
        <v>35</v>
      </c>
      <c r="G2774" t="s">
        <v>35</v>
      </c>
      <c r="H2774" t="s">
        <v>35</v>
      </c>
      <c r="J2774" t="s">
        <v>3811</v>
      </c>
      <c r="K2774" t="s">
        <v>1092</v>
      </c>
      <c r="M2774">
        <v>0.6</v>
      </c>
      <c r="N2774">
        <v>492</v>
      </c>
      <c r="O2774" t="s">
        <v>294</v>
      </c>
      <c r="Q2774" t="s">
        <v>1503</v>
      </c>
      <c r="R2774" t="s">
        <v>3538</v>
      </c>
      <c r="S2774" t="s">
        <v>3539</v>
      </c>
      <c r="T2774" t="s">
        <v>3540</v>
      </c>
    </row>
    <row r="2775" spans="1:20" x14ac:dyDescent="0.25">
      <c r="A2775" t="s">
        <v>30</v>
      </c>
      <c r="B2775" t="s">
        <v>31</v>
      </c>
      <c r="C2775" t="s">
        <v>32</v>
      </c>
      <c r="D2775" t="s">
        <v>448</v>
      </c>
      <c r="E2775" t="s">
        <v>3785</v>
      </c>
      <c r="F2775" t="s">
        <v>35</v>
      </c>
      <c r="G2775" t="s">
        <v>35</v>
      </c>
      <c r="H2775" t="s">
        <v>35</v>
      </c>
      <c r="J2775" t="s">
        <v>3811</v>
      </c>
      <c r="K2775" t="s">
        <v>1092</v>
      </c>
      <c r="M2775">
        <v>0.45</v>
      </c>
      <c r="N2775">
        <v>41</v>
      </c>
      <c r="O2775" t="s">
        <v>52</v>
      </c>
      <c r="Q2775" t="s">
        <v>496</v>
      </c>
      <c r="R2775" t="s">
        <v>3538</v>
      </c>
      <c r="S2775" t="s">
        <v>3539</v>
      </c>
      <c r="T2775" t="s">
        <v>3540</v>
      </c>
    </row>
    <row r="2776" spans="1:20" x14ac:dyDescent="0.25">
      <c r="A2776" t="s">
        <v>44</v>
      </c>
      <c r="B2776" t="s">
        <v>3</v>
      </c>
      <c r="C2776" t="s">
        <v>32</v>
      </c>
      <c r="D2776" t="s">
        <v>448</v>
      </c>
      <c r="E2776" t="s">
        <v>3785</v>
      </c>
      <c r="F2776" t="s">
        <v>35</v>
      </c>
      <c r="G2776" t="s">
        <v>35</v>
      </c>
      <c r="H2776" t="s">
        <v>35</v>
      </c>
      <c r="J2776" t="s">
        <v>3811</v>
      </c>
      <c r="K2776" t="s">
        <v>1092</v>
      </c>
      <c r="M2776">
        <v>0.05</v>
      </c>
      <c r="N2776">
        <v>564</v>
      </c>
      <c r="O2776" t="s">
        <v>575</v>
      </c>
      <c r="Q2776" t="s">
        <v>3812</v>
      </c>
      <c r="R2776" t="s">
        <v>3538</v>
      </c>
      <c r="S2776" t="s">
        <v>3539</v>
      </c>
      <c r="T2776" t="s">
        <v>3540</v>
      </c>
    </row>
    <row r="2777" spans="1:20" x14ac:dyDescent="0.25">
      <c r="A2777" t="s">
        <v>30</v>
      </c>
      <c r="B2777" t="s">
        <v>31</v>
      </c>
      <c r="C2777" t="s">
        <v>32</v>
      </c>
      <c r="D2777" t="s">
        <v>448</v>
      </c>
      <c r="E2777" t="s">
        <v>3785</v>
      </c>
      <c r="F2777" t="s">
        <v>35</v>
      </c>
      <c r="G2777" t="s">
        <v>35</v>
      </c>
      <c r="H2777" t="s">
        <v>35</v>
      </c>
      <c r="J2777" t="s">
        <v>3821</v>
      </c>
      <c r="K2777" t="s">
        <v>1092</v>
      </c>
      <c r="M2777">
        <v>0.54</v>
      </c>
      <c r="N2777">
        <v>45</v>
      </c>
      <c r="O2777" t="s">
        <v>52</v>
      </c>
      <c r="Q2777" t="s">
        <v>1230</v>
      </c>
      <c r="R2777" t="s">
        <v>3538</v>
      </c>
      <c r="S2777" t="s">
        <v>3539</v>
      </c>
      <c r="T2777" t="s">
        <v>3540</v>
      </c>
    </row>
    <row r="2778" spans="1:20" x14ac:dyDescent="0.25">
      <c r="A2778" t="s">
        <v>44</v>
      </c>
      <c r="B2778" t="s">
        <v>3</v>
      </c>
      <c r="C2778" t="s">
        <v>32</v>
      </c>
      <c r="D2778" t="s">
        <v>448</v>
      </c>
      <c r="E2778" t="s">
        <v>3785</v>
      </c>
      <c r="F2778" t="s">
        <v>35</v>
      </c>
      <c r="G2778" t="s">
        <v>35</v>
      </c>
      <c r="H2778" t="s">
        <v>35</v>
      </c>
      <c r="J2778" t="s">
        <v>3821</v>
      </c>
      <c r="K2778" t="s">
        <v>1092</v>
      </c>
      <c r="M2778">
        <v>0.4</v>
      </c>
      <c r="N2778">
        <v>495</v>
      </c>
      <c r="O2778" t="s">
        <v>294</v>
      </c>
      <c r="Q2778" t="s">
        <v>1181</v>
      </c>
      <c r="R2778" t="s">
        <v>3538</v>
      </c>
      <c r="S2778" t="s">
        <v>3539</v>
      </c>
      <c r="T2778" t="s">
        <v>3540</v>
      </c>
    </row>
    <row r="2779" spans="1:20" x14ac:dyDescent="0.25">
      <c r="A2779" t="s">
        <v>44</v>
      </c>
      <c r="B2779" t="s">
        <v>3</v>
      </c>
      <c r="C2779" t="s">
        <v>32</v>
      </c>
      <c r="D2779" t="s">
        <v>448</v>
      </c>
      <c r="E2779" t="s">
        <v>3785</v>
      </c>
      <c r="F2779" t="s">
        <v>35</v>
      </c>
      <c r="G2779" t="s">
        <v>35</v>
      </c>
      <c r="H2779" t="s">
        <v>35</v>
      </c>
      <c r="J2779" t="s">
        <v>3821</v>
      </c>
      <c r="K2779" t="s">
        <v>1092</v>
      </c>
      <c r="M2779">
        <v>0.25</v>
      </c>
      <c r="N2779">
        <v>497</v>
      </c>
      <c r="O2779" t="s">
        <v>294</v>
      </c>
      <c r="Q2779" t="s">
        <v>1614</v>
      </c>
      <c r="R2779" t="s">
        <v>3538</v>
      </c>
      <c r="S2779" t="s">
        <v>3539</v>
      </c>
      <c r="T2779" t="s">
        <v>3540</v>
      </c>
    </row>
    <row r="2780" spans="1:20" x14ac:dyDescent="0.25">
      <c r="A2780" t="s">
        <v>44</v>
      </c>
      <c r="B2780" t="s">
        <v>3</v>
      </c>
      <c r="C2780" t="s">
        <v>32</v>
      </c>
      <c r="D2780" t="s">
        <v>448</v>
      </c>
      <c r="E2780" t="s">
        <v>3785</v>
      </c>
      <c r="F2780" t="s">
        <v>35</v>
      </c>
      <c r="G2780" t="s">
        <v>35</v>
      </c>
      <c r="H2780" t="s">
        <v>35</v>
      </c>
      <c r="J2780" t="s">
        <v>3821</v>
      </c>
      <c r="K2780" t="s">
        <v>1092</v>
      </c>
      <c r="M2780">
        <v>0.25</v>
      </c>
      <c r="N2780">
        <v>492</v>
      </c>
      <c r="O2780" t="s">
        <v>294</v>
      </c>
      <c r="Q2780" t="s">
        <v>1503</v>
      </c>
      <c r="R2780" t="s">
        <v>3538</v>
      </c>
      <c r="S2780" t="s">
        <v>3539</v>
      </c>
      <c r="T2780" t="s">
        <v>3540</v>
      </c>
    </row>
    <row r="2781" spans="1:20" x14ac:dyDescent="0.25">
      <c r="A2781" t="s">
        <v>44</v>
      </c>
      <c r="B2781" t="s">
        <v>3</v>
      </c>
      <c r="C2781" t="s">
        <v>32</v>
      </c>
      <c r="D2781" t="s">
        <v>448</v>
      </c>
      <c r="E2781" t="s">
        <v>3785</v>
      </c>
      <c r="F2781" t="s">
        <v>35</v>
      </c>
      <c r="G2781" t="s">
        <v>35</v>
      </c>
      <c r="H2781" t="s">
        <v>35</v>
      </c>
      <c r="J2781" t="s">
        <v>3821</v>
      </c>
      <c r="K2781" t="s">
        <v>1092</v>
      </c>
      <c r="M2781">
        <v>0.25</v>
      </c>
      <c r="N2781">
        <v>499</v>
      </c>
      <c r="O2781" t="s">
        <v>294</v>
      </c>
      <c r="Q2781" t="s">
        <v>2101</v>
      </c>
      <c r="R2781" t="s">
        <v>3538</v>
      </c>
      <c r="S2781" t="s">
        <v>3539</v>
      </c>
      <c r="T2781" t="s">
        <v>3540</v>
      </c>
    </row>
    <row r="2782" spans="1:20" x14ac:dyDescent="0.25">
      <c r="A2782" t="s">
        <v>44</v>
      </c>
      <c r="B2782" t="s">
        <v>3</v>
      </c>
      <c r="C2782" t="s">
        <v>32</v>
      </c>
      <c r="D2782" t="s">
        <v>448</v>
      </c>
      <c r="E2782" t="s">
        <v>3785</v>
      </c>
      <c r="F2782" t="s">
        <v>35</v>
      </c>
      <c r="G2782" t="s">
        <v>35</v>
      </c>
      <c r="H2782" t="s">
        <v>35</v>
      </c>
      <c r="J2782" t="s">
        <v>3821</v>
      </c>
      <c r="K2782" t="s">
        <v>1092</v>
      </c>
      <c r="M2782">
        <v>0.25</v>
      </c>
      <c r="N2782">
        <v>490</v>
      </c>
      <c r="O2782" t="s">
        <v>294</v>
      </c>
      <c r="Q2782" t="s">
        <v>3653</v>
      </c>
      <c r="R2782" t="s">
        <v>3538</v>
      </c>
      <c r="S2782" t="s">
        <v>3539</v>
      </c>
      <c r="T2782" t="s">
        <v>3540</v>
      </c>
    </row>
    <row r="2783" spans="1:20" x14ac:dyDescent="0.25">
      <c r="A2783" t="s">
        <v>44</v>
      </c>
      <c r="B2783" t="s">
        <v>3</v>
      </c>
      <c r="C2783" t="s">
        <v>32</v>
      </c>
      <c r="D2783" t="s">
        <v>448</v>
      </c>
      <c r="E2783" t="s">
        <v>3785</v>
      </c>
      <c r="F2783" t="s">
        <v>35</v>
      </c>
      <c r="G2783" t="s">
        <v>35</v>
      </c>
      <c r="H2783" t="s">
        <v>35</v>
      </c>
      <c r="J2783" t="s">
        <v>3821</v>
      </c>
      <c r="K2783" t="s">
        <v>1092</v>
      </c>
      <c r="M2783">
        <v>0.25</v>
      </c>
      <c r="N2783">
        <v>500</v>
      </c>
      <c r="O2783" t="s">
        <v>294</v>
      </c>
      <c r="Q2783" t="s">
        <v>3822</v>
      </c>
      <c r="R2783" t="s">
        <v>3538</v>
      </c>
      <c r="S2783" t="s">
        <v>3539</v>
      </c>
      <c r="T2783" t="s">
        <v>3540</v>
      </c>
    </row>
    <row r="2784" spans="1:20" x14ac:dyDescent="0.25">
      <c r="A2784" t="s">
        <v>30</v>
      </c>
      <c r="B2784" t="s">
        <v>31</v>
      </c>
      <c r="C2784" t="s">
        <v>32</v>
      </c>
      <c r="D2784" t="s">
        <v>448</v>
      </c>
      <c r="F2784" t="s">
        <v>35</v>
      </c>
      <c r="G2784" t="s">
        <v>35</v>
      </c>
      <c r="H2784" t="s">
        <v>35</v>
      </c>
      <c r="J2784" t="s">
        <v>3890</v>
      </c>
      <c r="K2784" t="s">
        <v>1092</v>
      </c>
      <c r="M2784">
        <v>0.46500000000000002</v>
      </c>
      <c r="N2784">
        <v>879</v>
      </c>
      <c r="O2784" t="s">
        <v>575</v>
      </c>
      <c r="Q2784" t="s">
        <v>3891</v>
      </c>
      <c r="R2784" t="s">
        <v>3538</v>
      </c>
      <c r="S2784" t="s">
        <v>3539</v>
      </c>
      <c r="T2784" t="s">
        <v>3540</v>
      </c>
    </row>
    <row r="2785" spans="1:20" x14ac:dyDescent="0.25">
      <c r="A2785" t="s">
        <v>30</v>
      </c>
      <c r="B2785" t="s">
        <v>31</v>
      </c>
      <c r="C2785" t="s">
        <v>32</v>
      </c>
      <c r="D2785" t="s">
        <v>448</v>
      </c>
      <c r="E2785" t="s">
        <v>3785</v>
      </c>
      <c r="F2785" t="s">
        <v>35</v>
      </c>
      <c r="G2785" t="s">
        <v>35</v>
      </c>
      <c r="H2785" t="s">
        <v>35</v>
      </c>
      <c r="J2785" t="s">
        <v>3817</v>
      </c>
      <c r="K2785" t="s">
        <v>1092</v>
      </c>
      <c r="M2785">
        <v>0.45</v>
      </c>
      <c r="N2785">
        <v>41</v>
      </c>
      <c r="O2785" t="s">
        <v>52</v>
      </c>
      <c r="Q2785" t="s">
        <v>496</v>
      </c>
      <c r="R2785" t="s">
        <v>3538</v>
      </c>
      <c r="S2785" t="s">
        <v>3539</v>
      </c>
      <c r="T2785" t="s">
        <v>3540</v>
      </c>
    </row>
    <row r="2786" spans="1:20" x14ac:dyDescent="0.25">
      <c r="A2786" t="s">
        <v>30</v>
      </c>
      <c r="B2786" t="s">
        <v>31</v>
      </c>
      <c r="C2786" t="s">
        <v>32</v>
      </c>
      <c r="D2786" t="s">
        <v>448</v>
      </c>
      <c r="E2786" t="s">
        <v>3785</v>
      </c>
      <c r="F2786" t="s">
        <v>35</v>
      </c>
      <c r="G2786" t="s">
        <v>35</v>
      </c>
      <c r="H2786" t="s">
        <v>35</v>
      </c>
      <c r="J2786" t="s">
        <v>3788</v>
      </c>
      <c r="K2786" t="s">
        <v>1092</v>
      </c>
      <c r="M2786">
        <v>0.36</v>
      </c>
      <c r="N2786">
        <v>46</v>
      </c>
      <c r="O2786" t="s">
        <v>52</v>
      </c>
      <c r="Q2786" t="s">
        <v>332</v>
      </c>
      <c r="R2786" t="s">
        <v>3538</v>
      </c>
      <c r="S2786" t="s">
        <v>3539</v>
      </c>
      <c r="T2786" t="s">
        <v>3540</v>
      </c>
    </row>
    <row r="2787" spans="1:20" x14ac:dyDescent="0.25">
      <c r="A2787" t="s">
        <v>30</v>
      </c>
      <c r="B2787" t="s">
        <v>31</v>
      </c>
      <c r="C2787" t="s">
        <v>32</v>
      </c>
      <c r="D2787" t="s">
        <v>448</v>
      </c>
      <c r="F2787" t="s">
        <v>35</v>
      </c>
      <c r="G2787" t="s">
        <v>35</v>
      </c>
      <c r="H2787" t="s">
        <v>35</v>
      </c>
      <c r="J2787" t="s">
        <v>3922</v>
      </c>
      <c r="K2787" t="s">
        <v>1092</v>
      </c>
      <c r="M2787">
        <v>1.35</v>
      </c>
      <c r="N2787">
        <v>46</v>
      </c>
      <c r="O2787" t="s">
        <v>52</v>
      </c>
      <c r="Q2787" t="s">
        <v>332</v>
      </c>
      <c r="R2787" t="s">
        <v>3538</v>
      </c>
      <c r="S2787" t="s">
        <v>3539</v>
      </c>
      <c r="T2787" t="s">
        <v>3540</v>
      </c>
    </row>
    <row r="2788" spans="1:20" x14ac:dyDescent="0.25">
      <c r="A2788" t="s">
        <v>30</v>
      </c>
      <c r="B2788" t="s">
        <v>31</v>
      </c>
      <c r="C2788" t="s">
        <v>32</v>
      </c>
      <c r="D2788" t="s">
        <v>448</v>
      </c>
      <c r="F2788" t="s">
        <v>35</v>
      </c>
      <c r="G2788" t="s">
        <v>35</v>
      </c>
      <c r="H2788" t="s">
        <v>35</v>
      </c>
      <c r="J2788" t="s">
        <v>3923</v>
      </c>
      <c r="K2788" t="s">
        <v>1092</v>
      </c>
      <c r="M2788">
        <v>0.22500000000000001</v>
      </c>
      <c r="N2788">
        <v>38</v>
      </c>
      <c r="O2788" t="s">
        <v>52</v>
      </c>
      <c r="Q2788" t="s">
        <v>716</v>
      </c>
      <c r="R2788" t="s">
        <v>3538</v>
      </c>
      <c r="S2788" t="s">
        <v>3539</v>
      </c>
      <c r="T2788" t="s">
        <v>3540</v>
      </c>
    </row>
    <row r="2789" spans="1:20" x14ac:dyDescent="0.25">
      <c r="A2789" t="s">
        <v>30</v>
      </c>
      <c r="B2789" t="s">
        <v>31</v>
      </c>
      <c r="C2789" t="s">
        <v>32</v>
      </c>
      <c r="D2789" t="s">
        <v>448</v>
      </c>
      <c r="F2789" t="s">
        <v>35</v>
      </c>
      <c r="G2789" t="s">
        <v>35</v>
      </c>
      <c r="H2789" t="s">
        <v>35</v>
      </c>
      <c r="J2789" t="s">
        <v>3923</v>
      </c>
      <c r="K2789" t="s">
        <v>1092</v>
      </c>
      <c r="M2789">
        <v>0.58499999999999996</v>
      </c>
      <c r="N2789">
        <v>45</v>
      </c>
      <c r="O2789" t="s">
        <v>52</v>
      </c>
      <c r="Q2789" t="s">
        <v>1230</v>
      </c>
      <c r="R2789" t="s">
        <v>3538</v>
      </c>
      <c r="S2789" t="s">
        <v>3539</v>
      </c>
      <c r="T2789" t="s">
        <v>3540</v>
      </c>
    </row>
    <row r="2790" spans="1:20" x14ac:dyDescent="0.25">
      <c r="A2790" t="s">
        <v>59</v>
      </c>
      <c r="B2790" t="s">
        <v>60</v>
      </c>
      <c r="C2790" t="s">
        <v>32</v>
      </c>
      <c r="D2790" t="s">
        <v>448</v>
      </c>
      <c r="E2790" t="s">
        <v>3785</v>
      </c>
      <c r="F2790" t="s">
        <v>35</v>
      </c>
      <c r="G2790" t="s">
        <v>35</v>
      </c>
      <c r="H2790" t="s">
        <v>35</v>
      </c>
      <c r="J2790" t="s">
        <v>3790</v>
      </c>
      <c r="K2790" t="s">
        <v>1092</v>
      </c>
      <c r="M2790">
        <v>0.75</v>
      </c>
      <c r="N2790">
        <v>502</v>
      </c>
      <c r="O2790" t="s">
        <v>294</v>
      </c>
      <c r="Q2790" t="s">
        <v>296</v>
      </c>
      <c r="R2790" t="s">
        <v>3538</v>
      </c>
      <c r="S2790" t="s">
        <v>3539</v>
      </c>
      <c r="T2790" t="s">
        <v>3540</v>
      </c>
    </row>
    <row r="2791" spans="1:20" x14ac:dyDescent="0.25">
      <c r="A2791" t="s">
        <v>30</v>
      </c>
      <c r="B2791" t="s">
        <v>31</v>
      </c>
      <c r="C2791" t="s">
        <v>32</v>
      </c>
      <c r="D2791" t="s">
        <v>448</v>
      </c>
      <c r="E2791" t="s">
        <v>3785</v>
      </c>
      <c r="F2791" t="s">
        <v>35</v>
      </c>
      <c r="G2791" t="s">
        <v>35</v>
      </c>
      <c r="H2791" t="s">
        <v>35</v>
      </c>
      <c r="J2791" t="s">
        <v>3800</v>
      </c>
      <c r="K2791" t="s">
        <v>1092</v>
      </c>
      <c r="M2791">
        <v>0.45</v>
      </c>
      <c r="N2791">
        <v>41</v>
      </c>
      <c r="O2791" t="s">
        <v>52</v>
      </c>
      <c r="Q2791" t="s">
        <v>496</v>
      </c>
      <c r="R2791" t="s">
        <v>3538</v>
      </c>
      <c r="S2791" t="s">
        <v>3539</v>
      </c>
      <c r="T2791" t="s">
        <v>3540</v>
      </c>
    </row>
    <row r="2792" spans="1:20" x14ac:dyDescent="0.25">
      <c r="A2792" t="s">
        <v>30</v>
      </c>
      <c r="B2792" t="s">
        <v>31</v>
      </c>
      <c r="C2792" t="s">
        <v>32</v>
      </c>
      <c r="D2792" t="s">
        <v>448</v>
      </c>
      <c r="E2792" t="s">
        <v>3785</v>
      </c>
      <c r="F2792" t="s">
        <v>35</v>
      </c>
      <c r="G2792" t="s">
        <v>35</v>
      </c>
      <c r="H2792" t="s">
        <v>35</v>
      </c>
      <c r="J2792" t="s">
        <v>3807</v>
      </c>
      <c r="K2792" t="s">
        <v>1092</v>
      </c>
      <c r="M2792">
        <v>0.09</v>
      </c>
      <c r="N2792">
        <v>46</v>
      </c>
      <c r="O2792" t="s">
        <v>52</v>
      </c>
      <c r="Q2792" t="s">
        <v>332</v>
      </c>
      <c r="R2792" t="s">
        <v>3538</v>
      </c>
      <c r="S2792" t="s">
        <v>3539</v>
      </c>
      <c r="T2792" t="s">
        <v>3540</v>
      </c>
    </row>
    <row r="2793" spans="1:20" x14ac:dyDescent="0.25">
      <c r="A2793" t="s">
        <v>30</v>
      </c>
      <c r="B2793" t="s">
        <v>31</v>
      </c>
      <c r="C2793" t="s">
        <v>32</v>
      </c>
      <c r="D2793" t="s">
        <v>448</v>
      </c>
      <c r="E2793" t="s">
        <v>3785</v>
      </c>
      <c r="F2793" t="s">
        <v>35</v>
      </c>
      <c r="G2793" t="s">
        <v>35</v>
      </c>
      <c r="H2793" t="s">
        <v>35</v>
      </c>
      <c r="J2793" t="s">
        <v>3830</v>
      </c>
      <c r="K2793" t="s">
        <v>1092</v>
      </c>
      <c r="M2793">
        <v>1.0349999999999999</v>
      </c>
      <c r="N2793">
        <v>41</v>
      </c>
      <c r="O2793" t="s">
        <v>52</v>
      </c>
      <c r="Q2793" t="s">
        <v>496</v>
      </c>
      <c r="R2793" t="s">
        <v>3538</v>
      </c>
      <c r="S2793" t="s">
        <v>3539</v>
      </c>
      <c r="T2793" t="s">
        <v>3540</v>
      </c>
    </row>
    <row r="2794" spans="1:20" x14ac:dyDescent="0.25">
      <c r="A2794" t="s">
        <v>30</v>
      </c>
      <c r="B2794" t="s">
        <v>31</v>
      </c>
      <c r="C2794" t="s">
        <v>32</v>
      </c>
      <c r="D2794" t="s">
        <v>448</v>
      </c>
      <c r="E2794" t="s">
        <v>3785</v>
      </c>
      <c r="F2794" t="s">
        <v>35</v>
      </c>
      <c r="G2794" t="s">
        <v>35</v>
      </c>
      <c r="H2794" t="s">
        <v>35</v>
      </c>
      <c r="J2794" t="s">
        <v>3830</v>
      </c>
      <c r="K2794" t="s">
        <v>1092</v>
      </c>
      <c r="M2794">
        <v>0.58499999999999996</v>
      </c>
      <c r="N2794">
        <v>46</v>
      </c>
      <c r="O2794" t="s">
        <v>52</v>
      </c>
      <c r="Q2794" t="s">
        <v>332</v>
      </c>
      <c r="R2794" t="s">
        <v>3538</v>
      </c>
      <c r="S2794" t="s">
        <v>3539</v>
      </c>
      <c r="T2794" t="s">
        <v>3540</v>
      </c>
    </row>
    <row r="2795" spans="1:20" x14ac:dyDescent="0.25">
      <c r="A2795" t="s">
        <v>30</v>
      </c>
      <c r="B2795" t="s">
        <v>31</v>
      </c>
      <c r="C2795" t="s">
        <v>32</v>
      </c>
      <c r="D2795" t="s">
        <v>448</v>
      </c>
      <c r="E2795" t="s">
        <v>3785</v>
      </c>
      <c r="F2795" t="s">
        <v>35</v>
      </c>
      <c r="G2795" t="s">
        <v>35</v>
      </c>
      <c r="H2795" t="s">
        <v>35</v>
      </c>
      <c r="J2795" t="s">
        <v>3830</v>
      </c>
      <c r="K2795" t="s">
        <v>1092</v>
      </c>
      <c r="M2795">
        <v>1.53</v>
      </c>
      <c r="N2795">
        <v>38</v>
      </c>
      <c r="O2795" t="s">
        <v>52</v>
      </c>
      <c r="Q2795" t="s">
        <v>716</v>
      </c>
      <c r="R2795" t="s">
        <v>3538</v>
      </c>
      <c r="S2795" t="s">
        <v>3539</v>
      </c>
      <c r="T2795" t="s">
        <v>3540</v>
      </c>
    </row>
    <row r="2796" spans="1:20" x14ac:dyDescent="0.25">
      <c r="A2796" t="s">
        <v>30</v>
      </c>
      <c r="B2796" t="s">
        <v>31</v>
      </c>
      <c r="C2796" t="s">
        <v>32</v>
      </c>
      <c r="D2796" t="s">
        <v>448</v>
      </c>
      <c r="E2796" t="s">
        <v>3785</v>
      </c>
      <c r="F2796" t="s">
        <v>35</v>
      </c>
      <c r="G2796" t="s">
        <v>35</v>
      </c>
      <c r="H2796" t="s">
        <v>35</v>
      </c>
      <c r="J2796" t="s">
        <v>3813</v>
      </c>
      <c r="K2796" t="s">
        <v>1092</v>
      </c>
      <c r="M2796">
        <v>1.125</v>
      </c>
      <c r="N2796">
        <v>972</v>
      </c>
      <c r="O2796" t="s">
        <v>575</v>
      </c>
      <c r="Q2796" t="s">
        <v>3814</v>
      </c>
      <c r="R2796" t="s">
        <v>3538</v>
      </c>
      <c r="S2796" t="s">
        <v>3539</v>
      </c>
      <c r="T2796" t="s">
        <v>3540</v>
      </c>
    </row>
    <row r="2797" spans="1:20" x14ac:dyDescent="0.25">
      <c r="A2797" t="s">
        <v>59</v>
      </c>
      <c r="B2797" t="s">
        <v>60</v>
      </c>
      <c r="C2797" t="s">
        <v>32</v>
      </c>
      <c r="D2797" t="s">
        <v>448</v>
      </c>
      <c r="E2797" t="s">
        <v>509</v>
      </c>
      <c r="F2797" t="s">
        <v>35</v>
      </c>
      <c r="G2797" t="s">
        <v>35</v>
      </c>
      <c r="H2797" t="s">
        <v>35</v>
      </c>
      <c r="J2797" t="s">
        <v>3852</v>
      </c>
      <c r="K2797" t="s">
        <v>1092</v>
      </c>
      <c r="M2797">
        <v>0.55000000000000004</v>
      </c>
      <c r="N2797">
        <v>492</v>
      </c>
      <c r="O2797" t="s">
        <v>294</v>
      </c>
      <c r="Q2797" t="s">
        <v>1503</v>
      </c>
      <c r="R2797" t="s">
        <v>3538</v>
      </c>
      <c r="S2797" t="s">
        <v>3539</v>
      </c>
      <c r="T2797" t="s">
        <v>3540</v>
      </c>
    </row>
    <row r="2798" spans="1:20" x14ac:dyDescent="0.25">
      <c r="A2798" t="s">
        <v>44</v>
      </c>
      <c r="B2798" t="s">
        <v>3</v>
      </c>
      <c r="C2798" t="s">
        <v>32</v>
      </c>
      <c r="D2798" t="s">
        <v>448</v>
      </c>
      <c r="E2798" t="s">
        <v>509</v>
      </c>
      <c r="F2798" t="s">
        <v>35</v>
      </c>
      <c r="G2798" t="s">
        <v>35</v>
      </c>
      <c r="H2798" t="s">
        <v>35</v>
      </c>
      <c r="J2798" t="s">
        <v>3852</v>
      </c>
      <c r="K2798" t="s">
        <v>1092</v>
      </c>
      <c r="M2798">
        <v>1</v>
      </c>
      <c r="N2798">
        <v>497</v>
      </c>
      <c r="O2798" t="s">
        <v>294</v>
      </c>
      <c r="Q2798" t="s">
        <v>1614</v>
      </c>
      <c r="R2798" t="s">
        <v>3538</v>
      </c>
      <c r="S2798" t="s">
        <v>3539</v>
      </c>
      <c r="T2798" t="s">
        <v>3540</v>
      </c>
    </row>
    <row r="2799" spans="1:20" x14ac:dyDescent="0.25">
      <c r="A2799" t="s">
        <v>30</v>
      </c>
      <c r="B2799" t="s">
        <v>31</v>
      </c>
      <c r="C2799" t="s">
        <v>32</v>
      </c>
      <c r="D2799" t="s">
        <v>448</v>
      </c>
      <c r="E2799" t="s">
        <v>3785</v>
      </c>
      <c r="F2799" t="s">
        <v>35</v>
      </c>
      <c r="G2799" t="s">
        <v>35</v>
      </c>
      <c r="H2799" t="s">
        <v>35</v>
      </c>
      <c r="J2799" t="s">
        <v>3809</v>
      </c>
      <c r="K2799" t="s">
        <v>1092</v>
      </c>
      <c r="M2799">
        <v>4.6349999999999998</v>
      </c>
      <c r="N2799">
        <v>44</v>
      </c>
      <c r="O2799" t="s">
        <v>52</v>
      </c>
      <c r="Q2799" t="s">
        <v>54</v>
      </c>
      <c r="R2799" t="s">
        <v>3538</v>
      </c>
      <c r="S2799" t="s">
        <v>3539</v>
      </c>
      <c r="T2799" t="s">
        <v>3540</v>
      </c>
    </row>
    <row r="2800" spans="1:20" x14ac:dyDescent="0.25">
      <c r="A2800" t="s">
        <v>44</v>
      </c>
      <c r="B2800" t="s">
        <v>51</v>
      </c>
      <c r="C2800" t="s">
        <v>32</v>
      </c>
      <c r="D2800" t="s">
        <v>448</v>
      </c>
      <c r="E2800" t="s">
        <v>3785</v>
      </c>
      <c r="F2800" t="s">
        <v>35</v>
      </c>
      <c r="G2800" t="s">
        <v>35</v>
      </c>
      <c r="H2800" t="s">
        <v>35</v>
      </c>
      <c r="J2800" t="s">
        <v>3792</v>
      </c>
      <c r="K2800" t="s">
        <v>1092</v>
      </c>
      <c r="M2800">
        <v>0.15</v>
      </c>
      <c r="N2800">
        <v>858</v>
      </c>
      <c r="O2800" t="s">
        <v>575</v>
      </c>
      <c r="Q2800" t="s">
        <v>3793</v>
      </c>
      <c r="R2800" t="s">
        <v>3538</v>
      </c>
      <c r="S2800" t="s">
        <v>3539</v>
      </c>
      <c r="T2800" t="s">
        <v>3540</v>
      </c>
    </row>
    <row r="2801" spans="1:20" x14ac:dyDescent="0.25">
      <c r="A2801" t="s">
        <v>30</v>
      </c>
      <c r="B2801" t="s">
        <v>31</v>
      </c>
      <c r="C2801" t="s">
        <v>32</v>
      </c>
      <c r="D2801" t="s">
        <v>448</v>
      </c>
      <c r="E2801" t="s">
        <v>3785</v>
      </c>
      <c r="F2801" t="s">
        <v>35</v>
      </c>
      <c r="G2801" t="s">
        <v>35</v>
      </c>
      <c r="H2801" t="s">
        <v>35</v>
      </c>
      <c r="J2801" t="s">
        <v>3833</v>
      </c>
      <c r="K2801" t="s">
        <v>1092</v>
      </c>
      <c r="M2801">
        <v>0.67500000000000004</v>
      </c>
      <c r="N2801">
        <v>46</v>
      </c>
      <c r="O2801" t="s">
        <v>52</v>
      </c>
      <c r="Q2801" t="s">
        <v>332</v>
      </c>
      <c r="R2801" t="s">
        <v>3538</v>
      </c>
      <c r="S2801" t="s">
        <v>3539</v>
      </c>
      <c r="T2801" t="s">
        <v>3540</v>
      </c>
    </row>
    <row r="2802" spans="1:20" x14ac:dyDescent="0.25">
      <c r="A2802" t="s">
        <v>30</v>
      </c>
      <c r="B2802" t="s">
        <v>31</v>
      </c>
      <c r="C2802" t="s">
        <v>32</v>
      </c>
      <c r="D2802" t="s">
        <v>448</v>
      </c>
      <c r="E2802" t="s">
        <v>3785</v>
      </c>
      <c r="F2802" t="s">
        <v>35</v>
      </c>
      <c r="G2802" t="s">
        <v>35</v>
      </c>
      <c r="H2802" t="s">
        <v>35</v>
      </c>
      <c r="J2802" t="s">
        <v>3829</v>
      </c>
      <c r="K2802" t="s">
        <v>1092</v>
      </c>
      <c r="M2802">
        <v>0.67500000000000004</v>
      </c>
      <c r="N2802">
        <v>38</v>
      </c>
      <c r="O2802" t="s">
        <v>52</v>
      </c>
      <c r="Q2802" t="s">
        <v>716</v>
      </c>
      <c r="R2802" t="s">
        <v>3538</v>
      </c>
      <c r="S2802" t="s">
        <v>3539</v>
      </c>
      <c r="T2802" t="s">
        <v>3540</v>
      </c>
    </row>
    <row r="2803" spans="1:20" x14ac:dyDescent="0.25">
      <c r="A2803" t="s">
        <v>30</v>
      </c>
      <c r="B2803" t="s">
        <v>31</v>
      </c>
      <c r="C2803" t="s">
        <v>32</v>
      </c>
      <c r="D2803" t="s">
        <v>448</v>
      </c>
      <c r="E2803" t="s">
        <v>509</v>
      </c>
      <c r="F2803" t="s">
        <v>35</v>
      </c>
      <c r="G2803" t="s">
        <v>35</v>
      </c>
      <c r="H2803" t="s">
        <v>35</v>
      </c>
      <c r="J2803" t="s">
        <v>3849</v>
      </c>
      <c r="K2803" t="s">
        <v>1092</v>
      </c>
      <c r="M2803">
        <v>0.40500000000000003</v>
      </c>
      <c r="N2803">
        <v>38</v>
      </c>
      <c r="O2803" t="s">
        <v>52</v>
      </c>
      <c r="Q2803" t="s">
        <v>716</v>
      </c>
      <c r="R2803" t="s">
        <v>3538</v>
      </c>
      <c r="S2803" t="s">
        <v>3539</v>
      </c>
      <c r="T2803" t="s">
        <v>3540</v>
      </c>
    </row>
    <row r="2804" spans="1:20" x14ac:dyDescent="0.25">
      <c r="A2804" t="s">
        <v>30</v>
      </c>
      <c r="B2804" t="s">
        <v>31</v>
      </c>
      <c r="C2804" t="s">
        <v>32</v>
      </c>
      <c r="D2804" t="s">
        <v>448</v>
      </c>
      <c r="E2804" t="s">
        <v>509</v>
      </c>
      <c r="F2804" t="s">
        <v>35</v>
      </c>
      <c r="G2804" t="s">
        <v>35</v>
      </c>
      <c r="H2804" t="s">
        <v>35</v>
      </c>
      <c r="J2804" t="s">
        <v>3844</v>
      </c>
      <c r="K2804" t="s">
        <v>1092</v>
      </c>
      <c r="M2804">
        <v>1.665</v>
      </c>
      <c r="N2804">
        <v>12</v>
      </c>
      <c r="O2804" t="s">
        <v>46</v>
      </c>
      <c r="Q2804" t="s">
        <v>1192</v>
      </c>
      <c r="R2804" t="s">
        <v>3538</v>
      </c>
      <c r="S2804" t="s">
        <v>3539</v>
      </c>
      <c r="T2804" t="s">
        <v>3540</v>
      </c>
    </row>
    <row r="2805" spans="1:20" x14ac:dyDescent="0.25">
      <c r="A2805" t="s">
        <v>30</v>
      </c>
      <c r="B2805" t="s">
        <v>31</v>
      </c>
      <c r="C2805" t="s">
        <v>32</v>
      </c>
      <c r="D2805" t="s">
        <v>448</v>
      </c>
      <c r="E2805" t="s">
        <v>509</v>
      </c>
      <c r="F2805" t="s">
        <v>35</v>
      </c>
      <c r="G2805" t="s">
        <v>35</v>
      </c>
      <c r="H2805" t="s">
        <v>35</v>
      </c>
      <c r="J2805" t="s">
        <v>3850</v>
      </c>
      <c r="K2805" t="s">
        <v>1092</v>
      </c>
      <c r="M2805">
        <v>0.40500000000000003</v>
      </c>
      <c r="N2805">
        <v>41</v>
      </c>
      <c r="O2805" t="s">
        <v>52</v>
      </c>
      <c r="Q2805" t="s">
        <v>496</v>
      </c>
      <c r="R2805" t="s">
        <v>3538</v>
      </c>
      <c r="S2805" t="s">
        <v>3539</v>
      </c>
      <c r="T2805" t="s">
        <v>3540</v>
      </c>
    </row>
    <row r="2806" spans="1:20" x14ac:dyDescent="0.25">
      <c r="A2806" t="s">
        <v>59</v>
      </c>
      <c r="B2806" t="s">
        <v>60</v>
      </c>
      <c r="C2806" t="s">
        <v>32</v>
      </c>
      <c r="D2806" t="s">
        <v>448</v>
      </c>
      <c r="E2806" t="s">
        <v>3535</v>
      </c>
      <c r="F2806" t="s">
        <v>35</v>
      </c>
      <c r="G2806" t="s">
        <v>35</v>
      </c>
      <c r="H2806" t="s">
        <v>35</v>
      </c>
      <c r="J2806" t="s">
        <v>3537</v>
      </c>
      <c r="K2806" t="s">
        <v>1092</v>
      </c>
      <c r="M2806">
        <v>7.2</v>
      </c>
      <c r="N2806">
        <v>75</v>
      </c>
      <c r="O2806" t="s">
        <v>61</v>
      </c>
      <c r="Q2806" t="s">
        <v>447</v>
      </c>
      <c r="R2806" t="s">
        <v>3538</v>
      </c>
      <c r="S2806" t="s">
        <v>3539</v>
      </c>
      <c r="T2806" t="s">
        <v>3540</v>
      </c>
    </row>
    <row r="2807" spans="1:20" x14ac:dyDescent="0.25">
      <c r="A2807" t="s">
        <v>30</v>
      </c>
      <c r="B2807" t="s">
        <v>31</v>
      </c>
      <c r="C2807" t="s">
        <v>32</v>
      </c>
      <c r="D2807" t="s">
        <v>448</v>
      </c>
      <c r="E2807" t="s">
        <v>509</v>
      </c>
      <c r="F2807" t="s">
        <v>35</v>
      </c>
      <c r="G2807" t="s">
        <v>35</v>
      </c>
      <c r="H2807" t="s">
        <v>35</v>
      </c>
      <c r="J2807" t="s">
        <v>3851</v>
      </c>
      <c r="K2807" t="s">
        <v>1092</v>
      </c>
      <c r="M2807">
        <v>1.8</v>
      </c>
      <c r="N2807">
        <v>38</v>
      </c>
      <c r="O2807" t="s">
        <v>52</v>
      </c>
      <c r="Q2807" t="s">
        <v>716</v>
      </c>
      <c r="R2807" t="s">
        <v>3538</v>
      </c>
      <c r="S2807" t="s">
        <v>3539</v>
      </c>
      <c r="T2807" t="s">
        <v>3540</v>
      </c>
    </row>
    <row r="2808" spans="1:20" x14ac:dyDescent="0.25">
      <c r="A2808" t="s">
        <v>30</v>
      </c>
      <c r="B2808" t="s">
        <v>31</v>
      </c>
      <c r="C2808" t="s">
        <v>32</v>
      </c>
      <c r="D2808" t="s">
        <v>448</v>
      </c>
      <c r="E2808" t="s">
        <v>509</v>
      </c>
      <c r="F2808" t="s">
        <v>35</v>
      </c>
      <c r="G2808" t="s">
        <v>35</v>
      </c>
      <c r="H2808" t="s">
        <v>35</v>
      </c>
      <c r="J2808" t="s">
        <v>3857</v>
      </c>
      <c r="K2808" t="s">
        <v>1092</v>
      </c>
      <c r="M2808">
        <v>2.7</v>
      </c>
      <c r="N2808">
        <v>45</v>
      </c>
      <c r="O2808" t="s">
        <v>52</v>
      </c>
      <c r="Q2808" t="s">
        <v>1230</v>
      </c>
      <c r="R2808" t="s">
        <v>3538</v>
      </c>
      <c r="S2808" t="s">
        <v>3539</v>
      </c>
      <c r="T2808" t="s">
        <v>3540</v>
      </c>
    </row>
    <row r="2809" spans="1:20" x14ac:dyDescent="0.25">
      <c r="A2809" t="s">
        <v>30</v>
      </c>
      <c r="B2809" t="s">
        <v>31</v>
      </c>
      <c r="C2809" t="s">
        <v>32</v>
      </c>
      <c r="D2809" t="s">
        <v>448</v>
      </c>
      <c r="E2809" t="s">
        <v>509</v>
      </c>
      <c r="F2809" t="s">
        <v>35</v>
      </c>
      <c r="G2809" t="s">
        <v>35</v>
      </c>
      <c r="H2809" t="s">
        <v>35</v>
      </c>
      <c r="J2809" t="s">
        <v>3839</v>
      </c>
      <c r="K2809" t="s">
        <v>1092</v>
      </c>
      <c r="M2809">
        <v>0.09</v>
      </c>
      <c r="N2809">
        <v>46</v>
      </c>
      <c r="O2809" t="s">
        <v>52</v>
      </c>
      <c r="Q2809" t="s">
        <v>332</v>
      </c>
      <c r="R2809" t="s">
        <v>3538</v>
      </c>
      <c r="S2809" t="s">
        <v>3539</v>
      </c>
      <c r="T2809" t="s">
        <v>3540</v>
      </c>
    </row>
    <row r="2810" spans="1:20" x14ac:dyDescent="0.25">
      <c r="A2810" t="s">
        <v>30</v>
      </c>
      <c r="B2810" t="s">
        <v>31</v>
      </c>
      <c r="C2810" t="s">
        <v>32</v>
      </c>
      <c r="D2810" t="s">
        <v>448</v>
      </c>
      <c r="E2810" t="s">
        <v>509</v>
      </c>
      <c r="F2810" t="s">
        <v>35</v>
      </c>
      <c r="G2810" t="s">
        <v>35</v>
      </c>
      <c r="H2810" t="s">
        <v>35</v>
      </c>
      <c r="J2810" t="s">
        <v>3840</v>
      </c>
      <c r="K2810" t="s">
        <v>1092</v>
      </c>
      <c r="M2810">
        <v>1.26</v>
      </c>
      <c r="N2810">
        <v>41</v>
      </c>
      <c r="O2810" t="s">
        <v>52</v>
      </c>
      <c r="Q2810" t="s">
        <v>496</v>
      </c>
      <c r="R2810" t="s">
        <v>3538</v>
      </c>
      <c r="S2810" t="s">
        <v>3539</v>
      </c>
      <c r="T2810" t="s">
        <v>3540</v>
      </c>
    </row>
    <row r="2811" spans="1:20" x14ac:dyDescent="0.25">
      <c r="A2811" t="s">
        <v>30</v>
      </c>
      <c r="B2811" t="s">
        <v>31</v>
      </c>
      <c r="C2811" t="s">
        <v>32</v>
      </c>
      <c r="D2811" t="s">
        <v>448</v>
      </c>
      <c r="F2811" t="s">
        <v>35</v>
      </c>
      <c r="G2811" t="s">
        <v>35</v>
      </c>
      <c r="H2811" t="s">
        <v>35</v>
      </c>
      <c r="J2811" t="s">
        <v>3920</v>
      </c>
      <c r="K2811" t="s">
        <v>1092</v>
      </c>
      <c r="M2811">
        <v>0.36</v>
      </c>
      <c r="N2811">
        <v>37</v>
      </c>
      <c r="O2811" t="s">
        <v>52</v>
      </c>
      <c r="Q2811" t="s">
        <v>192</v>
      </c>
      <c r="R2811" t="s">
        <v>3538</v>
      </c>
      <c r="S2811" t="s">
        <v>3539</v>
      </c>
      <c r="T2811" t="s">
        <v>3540</v>
      </c>
    </row>
    <row r="2812" spans="1:20" x14ac:dyDescent="0.25">
      <c r="A2812" t="s">
        <v>30</v>
      </c>
      <c r="B2812" t="s">
        <v>31</v>
      </c>
      <c r="C2812" t="s">
        <v>32</v>
      </c>
      <c r="D2812" t="s">
        <v>448</v>
      </c>
      <c r="E2812" t="s">
        <v>3785</v>
      </c>
      <c r="F2812" t="s">
        <v>35</v>
      </c>
      <c r="G2812" t="s">
        <v>35</v>
      </c>
      <c r="H2812" t="s">
        <v>35</v>
      </c>
      <c r="J2812" t="s">
        <v>3791</v>
      </c>
      <c r="K2812" t="s">
        <v>1092</v>
      </c>
      <c r="M2812">
        <v>0.67500000000000004</v>
      </c>
      <c r="N2812">
        <v>38</v>
      </c>
      <c r="O2812" t="s">
        <v>52</v>
      </c>
      <c r="Q2812" t="s">
        <v>716</v>
      </c>
      <c r="R2812" t="s">
        <v>3538</v>
      </c>
      <c r="S2812" t="s">
        <v>3539</v>
      </c>
      <c r="T2812" t="s">
        <v>3540</v>
      </c>
    </row>
    <row r="2813" spans="1:20" x14ac:dyDescent="0.25">
      <c r="A2813" t="s">
        <v>30</v>
      </c>
      <c r="B2813" t="s">
        <v>31</v>
      </c>
      <c r="C2813" t="s">
        <v>32</v>
      </c>
      <c r="D2813" t="s">
        <v>448</v>
      </c>
      <c r="E2813" t="s">
        <v>3785</v>
      </c>
      <c r="F2813" t="s">
        <v>35</v>
      </c>
      <c r="G2813" t="s">
        <v>35</v>
      </c>
      <c r="H2813" t="s">
        <v>35</v>
      </c>
      <c r="J2813" t="s">
        <v>3791</v>
      </c>
      <c r="K2813" t="s">
        <v>1092</v>
      </c>
      <c r="M2813">
        <v>1.35</v>
      </c>
      <c r="N2813">
        <v>46</v>
      </c>
      <c r="O2813" t="s">
        <v>52</v>
      </c>
      <c r="Q2813" t="s">
        <v>332</v>
      </c>
      <c r="R2813" t="s">
        <v>3538</v>
      </c>
      <c r="S2813" t="s">
        <v>3539</v>
      </c>
      <c r="T2813" t="s">
        <v>3540</v>
      </c>
    </row>
    <row r="2814" spans="1:20" x14ac:dyDescent="0.25">
      <c r="A2814" t="s">
        <v>44</v>
      </c>
      <c r="B2814" t="s">
        <v>3</v>
      </c>
      <c r="C2814" t="s">
        <v>32</v>
      </c>
      <c r="D2814" t="s">
        <v>448</v>
      </c>
      <c r="E2814" t="s">
        <v>3785</v>
      </c>
      <c r="F2814" t="s">
        <v>35</v>
      </c>
      <c r="G2814" t="s">
        <v>35</v>
      </c>
      <c r="H2814" t="s">
        <v>35</v>
      </c>
      <c r="J2814" t="s">
        <v>3818</v>
      </c>
      <c r="K2814" t="s">
        <v>1092</v>
      </c>
      <c r="M2814">
        <v>0.1</v>
      </c>
      <c r="N2814">
        <v>586</v>
      </c>
      <c r="O2814" t="s">
        <v>575</v>
      </c>
      <c r="Q2814" t="s">
        <v>3819</v>
      </c>
      <c r="R2814" t="s">
        <v>3538</v>
      </c>
      <c r="S2814" t="s">
        <v>3539</v>
      </c>
      <c r="T2814" t="s">
        <v>3540</v>
      </c>
    </row>
    <row r="2815" spans="1:20" x14ac:dyDescent="0.25">
      <c r="A2815" t="s">
        <v>30</v>
      </c>
      <c r="B2815" t="s">
        <v>31</v>
      </c>
      <c r="C2815" t="s">
        <v>32</v>
      </c>
      <c r="D2815" t="s">
        <v>448</v>
      </c>
      <c r="E2815" t="s">
        <v>3785</v>
      </c>
      <c r="F2815" t="s">
        <v>35</v>
      </c>
      <c r="G2815" t="s">
        <v>35</v>
      </c>
      <c r="H2815" t="s">
        <v>35</v>
      </c>
      <c r="J2815" t="s">
        <v>3818</v>
      </c>
      <c r="K2815" t="s">
        <v>1092</v>
      </c>
      <c r="M2815">
        <v>1.3049999999999999</v>
      </c>
      <c r="N2815">
        <v>41</v>
      </c>
      <c r="O2815" t="s">
        <v>52</v>
      </c>
      <c r="Q2815" t="s">
        <v>496</v>
      </c>
      <c r="R2815" t="s">
        <v>3538</v>
      </c>
      <c r="S2815" t="s">
        <v>3539</v>
      </c>
      <c r="T2815" t="s">
        <v>3540</v>
      </c>
    </row>
    <row r="2816" spans="1:20" x14ac:dyDescent="0.25">
      <c r="A2816" t="s">
        <v>30</v>
      </c>
      <c r="B2816" t="s">
        <v>31</v>
      </c>
      <c r="C2816" t="s">
        <v>32</v>
      </c>
      <c r="D2816" t="s">
        <v>448</v>
      </c>
      <c r="E2816" t="s">
        <v>3785</v>
      </c>
      <c r="F2816" t="s">
        <v>35</v>
      </c>
      <c r="G2816" t="s">
        <v>35</v>
      </c>
      <c r="H2816" t="s">
        <v>35</v>
      </c>
      <c r="J2816" t="s">
        <v>3799</v>
      </c>
      <c r="K2816" t="s">
        <v>1092</v>
      </c>
      <c r="M2816">
        <v>0.9</v>
      </c>
      <c r="N2816">
        <v>46</v>
      </c>
      <c r="O2816" t="s">
        <v>52</v>
      </c>
      <c r="Q2816" t="s">
        <v>332</v>
      </c>
      <c r="R2816" t="s">
        <v>3538</v>
      </c>
      <c r="S2816" t="s">
        <v>3539</v>
      </c>
      <c r="T2816" t="s">
        <v>3540</v>
      </c>
    </row>
    <row r="2817" spans="1:20" x14ac:dyDescent="0.25">
      <c r="A2817" t="s">
        <v>30</v>
      </c>
      <c r="B2817" t="s">
        <v>31</v>
      </c>
      <c r="C2817" t="s">
        <v>32</v>
      </c>
      <c r="D2817" t="s">
        <v>448</v>
      </c>
      <c r="F2817" t="s">
        <v>35</v>
      </c>
      <c r="G2817" t="s">
        <v>35</v>
      </c>
      <c r="H2817" t="s">
        <v>35</v>
      </c>
      <c r="J2817" t="s">
        <v>3860</v>
      </c>
      <c r="K2817" t="s">
        <v>1092</v>
      </c>
      <c r="M2817">
        <v>0.54</v>
      </c>
      <c r="N2817">
        <v>46</v>
      </c>
      <c r="O2817" t="s">
        <v>52</v>
      </c>
      <c r="Q2817" t="s">
        <v>332</v>
      </c>
      <c r="R2817" t="s">
        <v>3538</v>
      </c>
      <c r="S2817" t="s">
        <v>3539</v>
      </c>
      <c r="T2817" t="s">
        <v>3540</v>
      </c>
    </row>
    <row r="2818" spans="1:20" x14ac:dyDescent="0.25">
      <c r="A2818" t="s">
        <v>30</v>
      </c>
      <c r="B2818" t="s">
        <v>31</v>
      </c>
      <c r="C2818" t="s">
        <v>32</v>
      </c>
      <c r="D2818" t="s">
        <v>448</v>
      </c>
      <c r="F2818" t="s">
        <v>35</v>
      </c>
      <c r="G2818" t="s">
        <v>35</v>
      </c>
      <c r="H2818" t="s">
        <v>35</v>
      </c>
      <c r="J2818" t="s">
        <v>3860</v>
      </c>
      <c r="K2818" t="s">
        <v>1092</v>
      </c>
      <c r="M2818">
        <v>0.45</v>
      </c>
      <c r="N2818">
        <v>38</v>
      </c>
      <c r="O2818" t="s">
        <v>52</v>
      </c>
      <c r="Q2818" t="s">
        <v>716</v>
      </c>
      <c r="R2818" t="s">
        <v>3538</v>
      </c>
      <c r="S2818" t="s">
        <v>3539</v>
      </c>
      <c r="T2818" t="s">
        <v>3540</v>
      </c>
    </row>
    <row r="2819" spans="1:20" x14ac:dyDescent="0.25">
      <c r="A2819" t="s">
        <v>30</v>
      </c>
      <c r="B2819" t="s">
        <v>31</v>
      </c>
      <c r="C2819" t="s">
        <v>32</v>
      </c>
      <c r="D2819" t="s">
        <v>448</v>
      </c>
      <c r="E2819" t="s">
        <v>3785</v>
      </c>
      <c r="F2819" t="s">
        <v>35</v>
      </c>
      <c r="G2819" t="s">
        <v>35</v>
      </c>
      <c r="H2819" t="s">
        <v>35</v>
      </c>
      <c r="J2819" t="s">
        <v>3832</v>
      </c>
      <c r="K2819" t="s">
        <v>1092</v>
      </c>
      <c r="M2819">
        <v>0.9</v>
      </c>
      <c r="N2819">
        <v>46</v>
      </c>
      <c r="O2819" t="s">
        <v>52</v>
      </c>
      <c r="Q2819" t="s">
        <v>332</v>
      </c>
      <c r="R2819" t="s">
        <v>3538</v>
      </c>
      <c r="S2819" t="s">
        <v>3539</v>
      </c>
      <c r="T2819" t="s">
        <v>3540</v>
      </c>
    </row>
    <row r="2820" spans="1:20" x14ac:dyDescent="0.25">
      <c r="A2820" t="s">
        <v>30</v>
      </c>
      <c r="B2820" t="s">
        <v>31</v>
      </c>
      <c r="C2820" t="s">
        <v>32</v>
      </c>
      <c r="D2820" t="s">
        <v>448</v>
      </c>
      <c r="F2820" t="s">
        <v>35</v>
      </c>
      <c r="G2820" t="s">
        <v>35</v>
      </c>
      <c r="H2820" t="s">
        <v>35</v>
      </c>
      <c r="J2820" t="s">
        <v>3924</v>
      </c>
      <c r="K2820" t="s">
        <v>1092</v>
      </c>
      <c r="M2820">
        <v>0.22500000000000001</v>
      </c>
      <c r="N2820">
        <v>38</v>
      </c>
      <c r="O2820" t="s">
        <v>52</v>
      </c>
      <c r="Q2820" t="s">
        <v>716</v>
      </c>
      <c r="R2820" t="s">
        <v>3538</v>
      </c>
      <c r="S2820" t="s">
        <v>3539</v>
      </c>
      <c r="T2820" t="s">
        <v>3540</v>
      </c>
    </row>
    <row r="2821" spans="1:20" x14ac:dyDescent="0.25">
      <c r="A2821" t="s">
        <v>44</v>
      </c>
      <c r="B2821" t="s">
        <v>3</v>
      </c>
      <c r="C2821" t="s">
        <v>32</v>
      </c>
      <c r="D2821" t="s">
        <v>448</v>
      </c>
      <c r="E2821" t="s">
        <v>3785</v>
      </c>
      <c r="F2821" t="s">
        <v>35</v>
      </c>
      <c r="G2821" t="s">
        <v>35</v>
      </c>
      <c r="H2821" t="s">
        <v>35</v>
      </c>
      <c r="J2821" t="s">
        <v>3810</v>
      </c>
      <c r="K2821" t="s">
        <v>1092</v>
      </c>
      <c r="M2821">
        <v>0.5</v>
      </c>
      <c r="N2821">
        <v>502</v>
      </c>
      <c r="O2821" t="s">
        <v>294</v>
      </c>
      <c r="Q2821" t="s">
        <v>296</v>
      </c>
      <c r="R2821" t="s">
        <v>3538</v>
      </c>
      <c r="S2821" t="s">
        <v>3539</v>
      </c>
      <c r="T2821" t="s">
        <v>3540</v>
      </c>
    </row>
    <row r="2822" spans="1:20" x14ac:dyDescent="0.25">
      <c r="A2822" t="s">
        <v>30</v>
      </c>
      <c r="B2822" t="s">
        <v>31</v>
      </c>
      <c r="C2822" t="s">
        <v>32</v>
      </c>
      <c r="D2822" t="s">
        <v>448</v>
      </c>
      <c r="F2822" t="s">
        <v>35</v>
      </c>
      <c r="G2822" t="s">
        <v>35</v>
      </c>
      <c r="H2822" t="s">
        <v>35</v>
      </c>
      <c r="J2822" t="s">
        <v>3881</v>
      </c>
      <c r="K2822" t="s">
        <v>1092</v>
      </c>
      <c r="M2822">
        <v>6.5250000000000004</v>
      </c>
      <c r="N2822">
        <v>41</v>
      </c>
      <c r="O2822" t="s">
        <v>52</v>
      </c>
      <c r="Q2822" t="s">
        <v>496</v>
      </c>
      <c r="R2822" t="s">
        <v>3538</v>
      </c>
      <c r="S2822" t="s">
        <v>3539</v>
      </c>
      <c r="T2822" t="s">
        <v>3540</v>
      </c>
    </row>
    <row r="2823" spans="1:20" x14ac:dyDescent="0.25">
      <c r="A2823" t="s">
        <v>30</v>
      </c>
      <c r="B2823" t="s">
        <v>31</v>
      </c>
      <c r="C2823" t="s">
        <v>32</v>
      </c>
      <c r="D2823" t="s">
        <v>448</v>
      </c>
      <c r="E2823" t="s">
        <v>509</v>
      </c>
      <c r="F2823" t="s">
        <v>35</v>
      </c>
      <c r="G2823" t="s">
        <v>35</v>
      </c>
      <c r="H2823" t="s">
        <v>35</v>
      </c>
      <c r="J2823" t="s">
        <v>3837</v>
      </c>
      <c r="K2823" t="s">
        <v>1092</v>
      </c>
      <c r="M2823">
        <v>0.18</v>
      </c>
      <c r="N2823">
        <v>38</v>
      </c>
      <c r="O2823" t="s">
        <v>52</v>
      </c>
      <c r="Q2823" t="s">
        <v>716</v>
      </c>
      <c r="R2823" t="s">
        <v>3538</v>
      </c>
      <c r="S2823" t="s">
        <v>3539</v>
      </c>
      <c r="T2823" t="s">
        <v>3540</v>
      </c>
    </row>
    <row r="2824" spans="1:20" x14ac:dyDescent="0.25">
      <c r="A2824" t="s">
        <v>30</v>
      </c>
      <c r="B2824" t="s">
        <v>31</v>
      </c>
      <c r="C2824" t="s">
        <v>32</v>
      </c>
      <c r="D2824" t="s">
        <v>448</v>
      </c>
      <c r="E2824" t="s">
        <v>3785</v>
      </c>
      <c r="F2824" t="s">
        <v>35</v>
      </c>
      <c r="G2824" t="s">
        <v>35</v>
      </c>
      <c r="H2824" t="s">
        <v>35</v>
      </c>
      <c r="J2824" t="s">
        <v>3823</v>
      </c>
      <c r="K2824" t="s">
        <v>1092</v>
      </c>
      <c r="M2824">
        <v>0.67500000000000004</v>
      </c>
      <c r="N2824">
        <v>41</v>
      </c>
      <c r="O2824" t="s">
        <v>52</v>
      </c>
      <c r="Q2824" t="s">
        <v>496</v>
      </c>
      <c r="R2824" t="s">
        <v>3538</v>
      </c>
      <c r="S2824" t="s">
        <v>3539</v>
      </c>
      <c r="T2824" t="s">
        <v>3540</v>
      </c>
    </row>
    <row r="2825" spans="1:20" x14ac:dyDescent="0.25">
      <c r="A2825" t="s">
        <v>30</v>
      </c>
      <c r="B2825" t="s">
        <v>31</v>
      </c>
      <c r="C2825" t="s">
        <v>32</v>
      </c>
      <c r="D2825" t="s">
        <v>448</v>
      </c>
      <c r="E2825" t="s">
        <v>3785</v>
      </c>
      <c r="F2825" t="s">
        <v>35</v>
      </c>
      <c r="G2825" t="s">
        <v>35</v>
      </c>
      <c r="H2825" t="s">
        <v>35</v>
      </c>
      <c r="J2825" t="s">
        <v>3808</v>
      </c>
      <c r="K2825" t="s">
        <v>1092</v>
      </c>
      <c r="M2825">
        <v>0.45</v>
      </c>
      <c r="N2825">
        <v>38</v>
      </c>
      <c r="O2825" t="s">
        <v>52</v>
      </c>
      <c r="Q2825" t="s">
        <v>716</v>
      </c>
      <c r="R2825" t="s">
        <v>3538</v>
      </c>
      <c r="S2825" t="s">
        <v>3539</v>
      </c>
      <c r="T2825" t="s">
        <v>3540</v>
      </c>
    </row>
    <row r="2826" spans="1:20" x14ac:dyDescent="0.25">
      <c r="A2826" t="s">
        <v>30</v>
      </c>
      <c r="B2826" t="s">
        <v>31</v>
      </c>
      <c r="C2826" t="s">
        <v>32</v>
      </c>
      <c r="D2826" t="s">
        <v>448</v>
      </c>
      <c r="E2826" t="s">
        <v>3785</v>
      </c>
      <c r="F2826" t="s">
        <v>35</v>
      </c>
      <c r="G2826" t="s">
        <v>35</v>
      </c>
      <c r="H2826" t="s">
        <v>35</v>
      </c>
      <c r="J2826" t="s">
        <v>3808</v>
      </c>
      <c r="K2826" t="s">
        <v>1092</v>
      </c>
      <c r="M2826">
        <v>0.36</v>
      </c>
      <c r="N2826">
        <v>41</v>
      </c>
      <c r="O2826" t="s">
        <v>52</v>
      </c>
      <c r="Q2826" t="s">
        <v>496</v>
      </c>
      <c r="R2826" t="s">
        <v>3538</v>
      </c>
      <c r="S2826" t="s">
        <v>3539</v>
      </c>
      <c r="T2826" t="s">
        <v>3540</v>
      </c>
    </row>
    <row r="2827" spans="1:20" x14ac:dyDescent="0.25">
      <c r="A2827" t="s">
        <v>30</v>
      </c>
      <c r="B2827" t="s">
        <v>31</v>
      </c>
      <c r="C2827" t="s">
        <v>32</v>
      </c>
      <c r="D2827" t="s">
        <v>448</v>
      </c>
      <c r="E2827" t="s">
        <v>3785</v>
      </c>
      <c r="F2827" t="s">
        <v>35</v>
      </c>
      <c r="G2827" t="s">
        <v>35</v>
      </c>
      <c r="H2827" t="s">
        <v>35</v>
      </c>
      <c r="J2827" t="s">
        <v>3816</v>
      </c>
      <c r="K2827" t="s">
        <v>1092</v>
      </c>
      <c r="M2827">
        <v>0.81</v>
      </c>
      <c r="N2827">
        <v>41</v>
      </c>
      <c r="O2827" t="s">
        <v>52</v>
      </c>
      <c r="Q2827" t="s">
        <v>496</v>
      </c>
      <c r="R2827" t="s">
        <v>3538</v>
      </c>
      <c r="S2827" t="s">
        <v>3539</v>
      </c>
      <c r="T2827" t="s">
        <v>3540</v>
      </c>
    </row>
    <row r="2828" spans="1:20" x14ac:dyDescent="0.25">
      <c r="A2828" t="s">
        <v>59</v>
      </c>
      <c r="B2828" t="s">
        <v>60</v>
      </c>
      <c r="C2828" t="s">
        <v>32</v>
      </c>
      <c r="D2828" t="s">
        <v>448</v>
      </c>
      <c r="E2828" t="s">
        <v>3634</v>
      </c>
      <c r="F2828" t="s">
        <v>35</v>
      </c>
      <c r="G2828" t="s">
        <v>35</v>
      </c>
      <c r="H2828" t="s">
        <v>35</v>
      </c>
      <c r="J2828" t="s">
        <v>3347</v>
      </c>
      <c r="K2828" t="s">
        <v>1092</v>
      </c>
      <c r="M2828">
        <v>0.5</v>
      </c>
      <c r="N2828">
        <v>342</v>
      </c>
      <c r="O2828" t="s">
        <v>5</v>
      </c>
      <c r="Q2828" t="s">
        <v>3644</v>
      </c>
      <c r="R2828" t="s">
        <v>3538</v>
      </c>
      <c r="S2828" t="s">
        <v>3539</v>
      </c>
      <c r="T2828" t="s">
        <v>3540</v>
      </c>
    </row>
    <row r="2829" spans="1:20" x14ac:dyDescent="0.25">
      <c r="A2829" t="s">
        <v>30</v>
      </c>
      <c r="B2829" t="s">
        <v>31</v>
      </c>
      <c r="C2829" t="s">
        <v>32</v>
      </c>
      <c r="D2829" t="s">
        <v>448</v>
      </c>
      <c r="E2829" t="s">
        <v>3785</v>
      </c>
      <c r="F2829" t="s">
        <v>35</v>
      </c>
      <c r="G2829" t="s">
        <v>35</v>
      </c>
      <c r="H2829" t="s">
        <v>35</v>
      </c>
      <c r="J2829" t="s">
        <v>3815</v>
      </c>
      <c r="K2829" t="s">
        <v>1092</v>
      </c>
      <c r="M2829">
        <v>0.63</v>
      </c>
      <c r="N2829">
        <v>45</v>
      </c>
      <c r="O2829" t="s">
        <v>52</v>
      </c>
      <c r="Q2829" t="s">
        <v>1230</v>
      </c>
      <c r="R2829" t="s">
        <v>3538</v>
      </c>
      <c r="S2829" t="s">
        <v>3539</v>
      </c>
      <c r="T2829" t="s">
        <v>3540</v>
      </c>
    </row>
    <row r="2830" spans="1:20" x14ac:dyDescent="0.25">
      <c r="A2830" t="s">
        <v>30</v>
      </c>
      <c r="B2830" t="s">
        <v>31</v>
      </c>
      <c r="C2830" t="s">
        <v>32</v>
      </c>
      <c r="D2830" t="s">
        <v>448</v>
      </c>
      <c r="E2830" t="s">
        <v>509</v>
      </c>
      <c r="F2830" t="s">
        <v>35</v>
      </c>
      <c r="G2830" t="s">
        <v>35</v>
      </c>
      <c r="H2830" t="s">
        <v>35</v>
      </c>
      <c r="J2830" t="s">
        <v>3842</v>
      </c>
      <c r="K2830" t="s">
        <v>1092</v>
      </c>
      <c r="M2830">
        <v>0.67500000000000004</v>
      </c>
      <c r="N2830">
        <v>46</v>
      </c>
      <c r="O2830" t="s">
        <v>52</v>
      </c>
      <c r="Q2830" t="s">
        <v>332</v>
      </c>
      <c r="R2830" t="s">
        <v>3538</v>
      </c>
      <c r="S2830" t="s">
        <v>3539</v>
      </c>
      <c r="T2830" t="s">
        <v>3540</v>
      </c>
    </row>
    <row r="2831" spans="1:20" x14ac:dyDescent="0.25">
      <c r="A2831" t="s">
        <v>30</v>
      </c>
      <c r="B2831" t="s">
        <v>31</v>
      </c>
      <c r="C2831" t="s">
        <v>32</v>
      </c>
      <c r="D2831" t="s">
        <v>448</v>
      </c>
      <c r="E2831" t="s">
        <v>3588</v>
      </c>
      <c r="F2831" t="s">
        <v>35</v>
      </c>
      <c r="G2831" t="s">
        <v>35</v>
      </c>
      <c r="H2831" t="s">
        <v>35</v>
      </c>
      <c r="J2831" t="s">
        <v>3598</v>
      </c>
      <c r="K2831" t="s">
        <v>1092</v>
      </c>
      <c r="M2831">
        <v>0.45</v>
      </c>
      <c r="N2831">
        <v>41</v>
      </c>
      <c r="O2831" t="s">
        <v>52</v>
      </c>
      <c r="Q2831" t="s">
        <v>496</v>
      </c>
      <c r="R2831" t="s">
        <v>3538</v>
      </c>
      <c r="S2831" t="s">
        <v>3539</v>
      </c>
      <c r="T2831" t="s">
        <v>3540</v>
      </c>
    </row>
    <row r="2832" spans="1:20" x14ac:dyDescent="0.25">
      <c r="A2832" t="s">
        <v>30</v>
      </c>
      <c r="B2832" t="s">
        <v>31</v>
      </c>
      <c r="C2832" t="s">
        <v>32</v>
      </c>
      <c r="D2832" t="s">
        <v>448</v>
      </c>
      <c r="E2832" t="s">
        <v>3785</v>
      </c>
      <c r="F2832" t="s">
        <v>35</v>
      </c>
      <c r="G2832" t="s">
        <v>35</v>
      </c>
      <c r="H2832" t="s">
        <v>35</v>
      </c>
      <c r="J2832" t="s">
        <v>3827</v>
      </c>
      <c r="K2832" t="s">
        <v>1092</v>
      </c>
      <c r="M2832">
        <v>0.495</v>
      </c>
      <c r="N2832">
        <v>46</v>
      </c>
      <c r="O2832" t="s">
        <v>52</v>
      </c>
      <c r="Q2832" t="s">
        <v>332</v>
      </c>
      <c r="R2832" t="s">
        <v>3538</v>
      </c>
      <c r="S2832" t="s">
        <v>3539</v>
      </c>
      <c r="T2832" t="s">
        <v>3540</v>
      </c>
    </row>
    <row r="2833" spans="1:20" x14ac:dyDescent="0.25">
      <c r="A2833" t="s">
        <v>30</v>
      </c>
      <c r="B2833" t="s">
        <v>31</v>
      </c>
      <c r="C2833" t="s">
        <v>32</v>
      </c>
      <c r="D2833" t="s">
        <v>448</v>
      </c>
      <c r="E2833" t="s">
        <v>3785</v>
      </c>
      <c r="F2833" t="s">
        <v>35</v>
      </c>
      <c r="G2833" t="s">
        <v>35</v>
      </c>
      <c r="H2833" t="s">
        <v>35</v>
      </c>
      <c r="J2833" t="s">
        <v>3827</v>
      </c>
      <c r="K2833" t="s">
        <v>1092</v>
      </c>
      <c r="M2833">
        <v>0.54</v>
      </c>
      <c r="N2833">
        <v>41</v>
      </c>
      <c r="O2833" t="s">
        <v>52</v>
      </c>
      <c r="Q2833" t="s">
        <v>496</v>
      </c>
      <c r="R2833" t="s">
        <v>3538</v>
      </c>
      <c r="S2833" t="s">
        <v>3539</v>
      </c>
      <c r="T2833" t="s">
        <v>3540</v>
      </c>
    </row>
    <row r="2834" spans="1:20" x14ac:dyDescent="0.25">
      <c r="A2834" t="s">
        <v>30</v>
      </c>
      <c r="B2834" t="s">
        <v>31</v>
      </c>
      <c r="C2834" t="s">
        <v>32</v>
      </c>
      <c r="D2834" t="s">
        <v>448</v>
      </c>
      <c r="F2834" t="s">
        <v>35</v>
      </c>
      <c r="G2834" t="s">
        <v>35</v>
      </c>
      <c r="H2834" t="s">
        <v>35</v>
      </c>
      <c r="J2834" t="s">
        <v>3874</v>
      </c>
      <c r="K2834" t="s">
        <v>1092</v>
      </c>
      <c r="M2834">
        <v>1.08</v>
      </c>
      <c r="N2834">
        <v>46</v>
      </c>
      <c r="O2834" t="s">
        <v>52</v>
      </c>
      <c r="Q2834" t="s">
        <v>332</v>
      </c>
      <c r="R2834" t="s">
        <v>3538</v>
      </c>
      <c r="S2834" t="s">
        <v>3539</v>
      </c>
      <c r="T2834" t="s">
        <v>3540</v>
      </c>
    </row>
    <row r="2835" spans="1:20" x14ac:dyDescent="0.25">
      <c r="A2835" t="s">
        <v>59</v>
      </c>
      <c r="B2835" t="s">
        <v>60</v>
      </c>
      <c r="C2835" t="s">
        <v>32</v>
      </c>
      <c r="D2835" t="s">
        <v>448</v>
      </c>
      <c r="E2835" t="s">
        <v>466</v>
      </c>
      <c r="F2835" t="s">
        <v>35</v>
      </c>
      <c r="G2835" t="s">
        <v>35</v>
      </c>
      <c r="H2835" t="s">
        <v>35</v>
      </c>
      <c r="J2835" t="s">
        <v>3682</v>
      </c>
      <c r="K2835" t="s">
        <v>1092</v>
      </c>
      <c r="M2835">
        <v>0.85</v>
      </c>
      <c r="N2835">
        <v>42</v>
      </c>
      <c r="O2835" t="s">
        <v>52</v>
      </c>
      <c r="Q2835" t="s">
        <v>219</v>
      </c>
      <c r="R2835" t="s">
        <v>3517</v>
      </c>
      <c r="S2835" t="s">
        <v>450</v>
      </c>
      <c r="T2835" t="s">
        <v>451</v>
      </c>
    </row>
    <row r="2836" spans="1:20" x14ac:dyDescent="0.25">
      <c r="A2836" t="s">
        <v>59</v>
      </c>
      <c r="B2836" t="s">
        <v>60</v>
      </c>
      <c r="C2836" t="s">
        <v>32</v>
      </c>
      <c r="D2836" t="s">
        <v>448</v>
      </c>
      <c r="E2836" t="s">
        <v>466</v>
      </c>
      <c r="F2836" t="s">
        <v>35</v>
      </c>
      <c r="G2836" t="s">
        <v>35</v>
      </c>
      <c r="H2836" t="s">
        <v>35</v>
      </c>
      <c r="J2836" t="s">
        <v>3682</v>
      </c>
      <c r="K2836" t="s">
        <v>1092</v>
      </c>
      <c r="M2836">
        <v>1</v>
      </c>
      <c r="N2836">
        <v>33</v>
      </c>
      <c r="O2836" t="s">
        <v>52</v>
      </c>
      <c r="Q2836" t="s">
        <v>130</v>
      </c>
      <c r="R2836" t="s">
        <v>3517</v>
      </c>
      <c r="S2836" t="s">
        <v>450</v>
      </c>
      <c r="T2836" t="s">
        <v>451</v>
      </c>
    </row>
    <row r="2837" spans="1:20" x14ac:dyDescent="0.25">
      <c r="A2837" t="s">
        <v>44</v>
      </c>
      <c r="B2837" t="s">
        <v>3</v>
      </c>
      <c r="C2837" t="s">
        <v>32</v>
      </c>
      <c r="D2837" t="s">
        <v>448</v>
      </c>
      <c r="E2837" t="s">
        <v>449</v>
      </c>
      <c r="F2837" t="s">
        <v>35</v>
      </c>
      <c r="G2837" t="s">
        <v>35</v>
      </c>
      <c r="H2837" t="s">
        <v>35</v>
      </c>
      <c r="J2837" t="s">
        <v>3525</v>
      </c>
      <c r="K2837" t="s">
        <v>1092</v>
      </c>
      <c r="M2837">
        <v>0.05</v>
      </c>
      <c r="N2837">
        <v>502</v>
      </c>
      <c r="O2837" t="s">
        <v>294</v>
      </c>
      <c r="Q2837" t="s">
        <v>296</v>
      </c>
      <c r="R2837" t="s">
        <v>3517</v>
      </c>
      <c r="S2837" t="s">
        <v>450</v>
      </c>
      <c r="T2837" t="s">
        <v>451</v>
      </c>
    </row>
    <row r="2838" spans="1:20" x14ac:dyDescent="0.25">
      <c r="A2838" t="s">
        <v>30</v>
      </c>
      <c r="B2838" t="s">
        <v>31</v>
      </c>
      <c r="C2838" t="s">
        <v>32</v>
      </c>
      <c r="D2838" t="s">
        <v>448</v>
      </c>
      <c r="E2838" t="s">
        <v>3535</v>
      </c>
      <c r="F2838" t="s">
        <v>35</v>
      </c>
      <c r="G2838" t="s">
        <v>35</v>
      </c>
      <c r="H2838" t="s">
        <v>35</v>
      </c>
      <c r="J2838" t="s">
        <v>3536</v>
      </c>
      <c r="K2838" t="s">
        <v>1092</v>
      </c>
      <c r="M2838">
        <v>0.22500000000000001</v>
      </c>
      <c r="N2838">
        <v>46</v>
      </c>
      <c r="O2838" t="s">
        <v>52</v>
      </c>
      <c r="Q2838" t="s">
        <v>332</v>
      </c>
      <c r="R2838" t="s">
        <v>3517</v>
      </c>
      <c r="S2838" t="s">
        <v>450</v>
      </c>
      <c r="T2838" t="s">
        <v>451</v>
      </c>
    </row>
    <row r="2839" spans="1:20" x14ac:dyDescent="0.25">
      <c r="A2839" t="s">
        <v>59</v>
      </c>
      <c r="B2839" t="s">
        <v>60</v>
      </c>
      <c r="C2839" t="s">
        <v>32</v>
      </c>
      <c r="D2839" t="s">
        <v>448</v>
      </c>
      <c r="E2839" t="s">
        <v>3535</v>
      </c>
      <c r="F2839" t="s">
        <v>35</v>
      </c>
      <c r="G2839" t="s">
        <v>35</v>
      </c>
      <c r="H2839" t="s">
        <v>35</v>
      </c>
      <c r="J2839" t="s">
        <v>1506</v>
      </c>
      <c r="K2839" t="s">
        <v>1092</v>
      </c>
      <c r="M2839">
        <v>0.15</v>
      </c>
      <c r="N2839">
        <v>65</v>
      </c>
      <c r="O2839" t="s">
        <v>61</v>
      </c>
      <c r="Q2839" t="s">
        <v>63</v>
      </c>
      <c r="R2839" t="s">
        <v>3517</v>
      </c>
      <c r="S2839" t="s">
        <v>450</v>
      </c>
      <c r="T2839" t="s">
        <v>451</v>
      </c>
    </row>
    <row r="2840" spans="1:20" x14ac:dyDescent="0.25">
      <c r="A2840" t="s">
        <v>59</v>
      </c>
      <c r="B2840" t="s">
        <v>60</v>
      </c>
      <c r="C2840" t="s">
        <v>32</v>
      </c>
      <c r="D2840" t="s">
        <v>448</v>
      </c>
      <c r="E2840" t="s">
        <v>449</v>
      </c>
      <c r="F2840" t="s">
        <v>35</v>
      </c>
      <c r="G2840" t="s">
        <v>35</v>
      </c>
      <c r="H2840" t="s">
        <v>35</v>
      </c>
      <c r="J2840" t="s">
        <v>3516</v>
      </c>
      <c r="K2840" t="s">
        <v>1092</v>
      </c>
      <c r="M2840">
        <v>0.25</v>
      </c>
      <c r="N2840">
        <v>68</v>
      </c>
      <c r="O2840" t="s">
        <v>61</v>
      </c>
      <c r="Q2840" t="s">
        <v>805</v>
      </c>
      <c r="R2840" t="s">
        <v>3517</v>
      </c>
      <c r="S2840" t="s">
        <v>450</v>
      </c>
      <c r="T2840" t="s">
        <v>451</v>
      </c>
    </row>
    <row r="2841" spans="1:20" x14ac:dyDescent="0.25">
      <c r="A2841" t="s">
        <v>30</v>
      </c>
      <c r="B2841" t="s">
        <v>31</v>
      </c>
      <c r="C2841" t="s">
        <v>32</v>
      </c>
      <c r="D2841" t="s">
        <v>448</v>
      </c>
      <c r="E2841" t="s">
        <v>449</v>
      </c>
      <c r="F2841" t="s">
        <v>35</v>
      </c>
      <c r="G2841" t="s">
        <v>35</v>
      </c>
      <c r="H2841" t="s">
        <v>35</v>
      </c>
      <c r="J2841" t="s">
        <v>3516</v>
      </c>
      <c r="K2841" t="s">
        <v>1092</v>
      </c>
      <c r="M2841">
        <v>0.54</v>
      </c>
      <c r="N2841">
        <v>46</v>
      </c>
      <c r="O2841" t="s">
        <v>52</v>
      </c>
      <c r="Q2841" t="s">
        <v>332</v>
      </c>
      <c r="R2841" t="s">
        <v>3517</v>
      </c>
      <c r="S2841" t="s">
        <v>450</v>
      </c>
      <c r="T2841" t="s">
        <v>451</v>
      </c>
    </row>
    <row r="2842" spans="1:20" x14ac:dyDescent="0.25">
      <c r="A2842" t="s">
        <v>44</v>
      </c>
      <c r="B2842" t="s">
        <v>3</v>
      </c>
      <c r="C2842" t="s">
        <v>32</v>
      </c>
      <c r="D2842" t="s">
        <v>448</v>
      </c>
      <c r="F2842" t="s">
        <v>35</v>
      </c>
      <c r="G2842" t="s">
        <v>35</v>
      </c>
      <c r="H2842" t="s">
        <v>35</v>
      </c>
      <c r="J2842" t="s">
        <v>3872</v>
      </c>
      <c r="K2842" t="s">
        <v>1092</v>
      </c>
      <c r="M2842">
        <v>0.5</v>
      </c>
      <c r="N2842">
        <v>542</v>
      </c>
      <c r="O2842" t="s">
        <v>294</v>
      </c>
      <c r="Q2842" t="s">
        <v>3873</v>
      </c>
      <c r="R2842" t="s">
        <v>3517</v>
      </c>
      <c r="S2842" t="s">
        <v>450</v>
      </c>
      <c r="T2842" t="s">
        <v>451</v>
      </c>
    </row>
    <row r="2843" spans="1:20" x14ac:dyDescent="0.25">
      <c r="A2843" t="s">
        <v>59</v>
      </c>
      <c r="B2843" t="s">
        <v>31</v>
      </c>
      <c r="C2843" t="s">
        <v>32</v>
      </c>
      <c r="D2843" t="s">
        <v>448</v>
      </c>
      <c r="E2843" t="s">
        <v>3535</v>
      </c>
      <c r="F2843" t="s">
        <v>35</v>
      </c>
      <c r="G2843" t="s">
        <v>35</v>
      </c>
      <c r="H2843" t="s">
        <v>35</v>
      </c>
      <c r="J2843" t="s">
        <v>3544</v>
      </c>
      <c r="K2843" t="s">
        <v>1092</v>
      </c>
      <c r="M2843">
        <v>0.45</v>
      </c>
      <c r="N2843">
        <v>70</v>
      </c>
      <c r="O2843" t="s">
        <v>61</v>
      </c>
      <c r="Q2843" t="s">
        <v>305</v>
      </c>
      <c r="R2843" t="s">
        <v>3517</v>
      </c>
      <c r="S2843" t="s">
        <v>450</v>
      </c>
      <c r="T2843" t="s">
        <v>451</v>
      </c>
    </row>
    <row r="2844" spans="1:20" x14ac:dyDescent="0.25">
      <c r="A2844" t="s">
        <v>30</v>
      </c>
      <c r="B2844" t="s">
        <v>31</v>
      </c>
      <c r="C2844" t="s">
        <v>32</v>
      </c>
      <c r="D2844" t="s">
        <v>448</v>
      </c>
      <c r="E2844" t="s">
        <v>3535</v>
      </c>
      <c r="F2844" t="s">
        <v>35</v>
      </c>
      <c r="G2844" t="s">
        <v>35</v>
      </c>
      <c r="H2844" t="s">
        <v>35</v>
      </c>
      <c r="J2844" t="s">
        <v>3544</v>
      </c>
      <c r="K2844" t="s">
        <v>1092</v>
      </c>
      <c r="M2844">
        <v>1.575</v>
      </c>
      <c r="N2844">
        <v>46</v>
      </c>
      <c r="O2844" t="s">
        <v>52</v>
      </c>
      <c r="Q2844" t="s">
        <v>332</v>
      </c>
      <c r="R2844" t="s">
        <v>3517</v>
      </c>
      <c r="S2844" t="s">
        <v>450</v>
      </c>
      <c r="T2844" t="s">
        <v>451</v>
      </c>
    </row>
    <row r="2845" spans="1:20" x14ac:dyDescent="0.25">
      <c r="A2845" t="s">
        <v>59</v>
      </c>
      <c r="B2845" t="s">
        <v>31</v>
      </c>
      <c r="C2845" t="s">
        <v>32</v>
      </c>
      <c r="D2845" t="s">
        <v>448</v>
      </c>
      <c r="E2845" t="s">
        <v>449</v>
      </c>
      <c r="F2845" t="s">
        <v>35</v>
      </c>
      <c r="G2845" t="s">
        <v>35</v>
      </c>
      <c r="H2845" t="s">
        <v>35</v>
      </c>
      <c r="J2845" t="s">
        <v>3518</v>
      </c>
      <c r="K2845" t="s">
        <v>1092</v>
      </c>
      <c r="M2845">
        <v>2.0249999999999999</v>
      </c>
      <c r="N2845">
        <v>70</v>
      </c>
      <c r="O2845" t="s">
        <v>61</v>
      </c>
      <c r="Q2845" t="s">
        <v>305</v>
      </c>
      <c r="R2845" t="s">
        <v>3517</v>
      </c>
      <c r="S2845" t="s">
        <v>450</v>
      </c>
      <c r="T2845" t="s">
        <v>451</v>
      </c>
    </row>
    <row r="2846" spans="1:20" x14ac:dyDescent="0.25">
      <c r="A2846" t="s">
        <v>30</v>
      </c>
      <c r="B2846" t="s">
        <v>31</v>
      </c>
      <c r="C2846" t="s">
        <v>32</v>
      </c>
      <c r="D2846" t="s">
        <v>448</v>
      </c>
      <c r="E2846" t="s">
        <v>3535</v>
      </c>
      <c r="F2846" t="s">
        <v>35</v>
      </c>
      <c r="G2846" t="s">
        <v>35</v>
      </c>
      <c r="H2846" t="s">
        <v>35</v>
      </c>
      <c r="J2846" t="s">
        <v>3549</v>
      </c>
      <c r="K2846" t="s">
        <v>1092</v>
      </c>
      <c r="M2846">
        <v>0.22500000000000001</v>
      </c>
      <c r="N2846">
        <v>37</v>
      </c>
      <c r="O2846" t="s">
        <v>52</v>
      </c>
      <c r="Q2846" t="s">
        <v>192</v>
      </c>
      <c r="R2846" t="s">
        <v>3517</v>
      </c>
      <c r="S2846" t="s">
        <v>450</v>
      </c>
      <c r="T2846" t="s">
        <v>451</v>
      </c>
    </row>
    <row r="2847" spans="1:20" x14ac:dyDescent="0.25">
      <c r="A2847" t="s">
        <v>30</v>
      </c>
      <c r="B2847" t="s">
        <v>31</v>
      </c>
      <c r="C2847" t="s">
        <v>32</v>
      </c>
      <c r="D2847" t="s">
        <v>448</v>
      </c>
      <c r="E2847" t="s">
        <v>3535</v>
      </c>
      <c r="F2847" t="s">
        <v>35</v>
      </c>
      <c r="G2847" t="s">
        <v>35</v>
      </c>
      <c r="H2847" t="s">
        <v>35</v>
      </c>
      <c r="J2847" t="s">
        <v>3542</v>
      </c>
      <c r="K2847" t="s">
        <v>1092</v>
      </c>
      <c r="M2847">
        <v>1.98</v>
      </c>
      <c r="N2847">
        <v>46</v>
      </c>
      <c r="O2847" t="s">
        <v>52</v>
      </c>
      <c r="Q2847" t="s">
        <v>332</v>
      </c>
      <c r="R2847" t="s">
        <v>3517</v>
      </c>
      <c r="S2847" t="s">
        <v>450</v>
      </c>
      <c r="T2847" t="s">
        <v>451</v>
      </c>
    </row>
    <row r="2848" spans="1:20" x14ac:dyDescent="0.25">
      <c r="A2848" t="s">
        <v>30</v>
      </c>
      <c r="B2848" t="s">
        <v>31</v>
      </c>
      <c r="C2848" t="s">
        <v>32</v>
      </c>
      <c r="D2848" t="s">
        <v>448</v>
      </c>
      <c r="E2848" t="s">
        <v>3535</v>
      </c>
      <c r="F2848" t="s">
        <v>35</v>
      </c>
      <c r="G2848" t="s">
        <v>35</v>
      </c>
      <c r="H2848" t="s">
        <v>35</v>
      </c>
      <c r="J2848" t="s">
        <v>3548</v>
      </c>
      <c r="K2848" t="s">
        <v>1092</v>
      </c>
      <c r="M2848">
        <v>2.0699999999999998</v>
      </c>
      <c r="N2848">
        <v>46</v>
      </c>
      <c r="O2848" t="s">
        <v>52</v>
      </c>
      <c r="Q2848" t="s">
        <v>332</v>
      </c>
      <c r="R2848" t="s">
        <v>3517</v>
      </c>
      <c r="S2848" t="s">
        <v>450</v>
      </c>
      <c r="T2848" t="s">
        <v>451</v>
      </c>
    </row>
    <row r="2849" spans="1:20" x14ac:dyDescent="0.25">
      <c r="A2849" t="s">
        <v>30</v>
      </c>
      <c r="B2849" t="s">
        <v>31</v>
      </c>
      <c r="C2849" t="s">
        <v>32</v>
      </c>
      <c r="D2849" t="s">
        <v>448</v>
      </c>
      <c r="E2849" t="s">
        <v>3535</v>
      </c>
      <c r="F2849" t="s">
        <v>35</v>
      </c>
      <c r="G2849" t="s">
        <v>35</v>
      </c>
      <c r="H2849" t="s">
        <v>35</v>
      </c>
      <c r="J2849" t="s">
        <v>3546</v>
      </c>
      <c r="K2849" t="s">
        <v>1092</v>
      </c>
      <c r="M2849">
        <v>0.40500000000000003</v>
      </c>
      <c r="N2849">
        <v>45</v>
      </c>
      <c r="O2849" t="s">
        <v>52</v>
      </c>
      <c r="Q2849" t="s">
        <v>1230</v>
      </c>
      <c r="R2849" t="s">
        <v>3517</v>
      </c>
      <c r="S2849" t="s">
        <v>450</v>
      </c>
      <c r="T2849" t="s">
        <v>451</v>
      </c>
    </row>
    <row r="2850" spans="1:20" x14ac:dyDescent="0.25">
      <c r="A2850" t="s">
        <v>59</v>
      </c>
      <c r="B2850" t="s">
        <v>31</v>
      </c>
      <c r="C2850" t="s">
        <v>32</v>
      </c>
      <c r="D2850" t="s">
        <v>448</v>
      </c>
      <c r="E2850" t="s">
        <v>459</v>
      </c>
      <c r="F2850" t="s">
        <v>35</v>
      </c>
      <c r="G2850" t="s">
        <v>35</v>
      </c>
      <c r="H2850" t="s">
        <v>35</v>
      </c>
      <c r="J2850" t="s">
        <v>3550</v>
      </c>
      <c r="K2850" t="s">
        <v>1092</v>
      </c>
      <c r="M2850">
        <v>0.45</v>
      </c>
      <c r="N2850">
        <v>70</v>
      </c>
      <c r="O2850" t="s">
        <v>61</v>
      </c>
      <c r="Q2850" t="s">
        <v>305</v>
      </c>
      <c r="R2850" t="s">
        <v>3517</v>
      </c>
      <c r="S2850" t="s">
        <v>450</v>
      </c>
      <c r="T2850" t="s">
        <v>451</v>
      </c>
    </row>
    <row r="2851" spans="1:20" x14ac:dyDescent="0.25">
      <c r="A2851" t="s">
        <v>59</v>
      </c>
      <c r="B2851" t="s">
        <v>60</v>
      </c>
      <c r="C2851" t="s">
        <v>32</v>
      </c>
      <c r="D2851" t="s">
        <v>448</v>
      </c>
      <c r="E2851" t="s">
        <v>3634</v>
      </c>
      <c r="F2851" t="s">
        <v>35</v>
      </c>
      <c r="G2851" t="s">
        <v>35</v>
      </c>
      <c r="H2851" t="s">
        <v>35</v>
      </c>
      <c r="J2851" t="s">
        <v>3660</v>
      </c>
      <c r="K2851" t="s">
        <v>1092</v>
      </c>
      <c r="M2851">
        <v>1.5</v>
      </c>
      <c r="N2851">
        <v>528</v>
      </c>
      <c r="O2851" t="s">
        <v>294</v>
      </c>
      <c r="Q2851" t="s">
        <v>2086</v>
      </c>
      <c r="R2851" t="s">
        <v>3517</v>
      </c>
      <c r="S2851" t="s">
        <v>450</v>
      </c>
      <c r="T2851" t="s">
        <v>451</v>
      </c>
    </row>
    <row r="2852" spans="1:20" x14ac:dyDescent="0.25">
      <c r="A2852" t="s">
        <v>30</v>
      </c>
      <c r="B2852" t="s">
        <v>31</v>
      </c>
      <c r="C2852" t="s">
        <v>32</v>
      </c>
      <c r="D2852" t="s">
        <v>448</v>
      </c>
      <c r="F2852" t="s">
        <v>35</v>
      </c>
      <c r="G2852" t="s">
        <v>35</v>
      </c>
      <c r="H2852" t="s">
        <v>35</v>
      </c>
      <c r="J2852" t="s">
        <v>3861</v>
      </c>
      <c r="K2852" t="s">
        <v>1092</v>
      </c>
      <c r="M2852">
        <v>0.9</v>
      </c>
      <c r="N2852">
        <v>1552</v>
      </c>
      <c r="O2852" t="s">
        <v>575</v>
      </c>
      <c r="Q2852" t="s">
        <v>3862</v>
      </c>
      <c r="R2852" t="s">
        <v>3517</v>
      </c>
      <c r="S2852" t="s">
        <v>450</v>
      </c>
      <c r="T2852" t="s">
        <v>451</v>
      </c>
    </row>
    <row r="2853" spans="1:20" x14ac:dyDescent="0.25">
      <c r="A2853" t="s">
        <v>59</v>
      </c>
      <c r="B2853" t="s">
        <v>60</v>
      </c>
      <c r="C2853" t="s">
        <v>32</v>
      </c>
      <c r="D2853" t="s">
        <v>448</v>
      </c>
      <c r="E2853" t="s">
        <v>3535</v>
      </c>
      <c r="F2853" t="s">
        <v>35</v>
      </c>
      <c r="G2853" t="s">
        <v>35</v>
      </c>
      <c r="H2853" t="s">
        <v>35</v>
      </c>
      <c r="J2853" t="s">
        <v>3543</v>
      </c>
      <c r="K2853" t="s">
        <v>1092</v>
      </c>
      <c r="M2853">
        <v>0.1</v>
      </c>
      <c r="N2853">
        <v>57</v>
      </c>
      <c r="O2853" t="s">
        <v>52</v>
      </c>
      <c r="Q2853" t="s">
        <v>381</v>
      </c>
      <c r="R2853" t="s">
        <v>3517</v>
      </c>
      <c r="S2853" t="s">
        <v>450</v>
      </c>
      <c r="T2853" t="s">
        <v>451</v>
      </c>
    </row>
    <row r="2854" spans="1:20" x14ac:dyDescent="0.25">
      <c r="A2854" t="s">
        <v>59</v>
      </c>
      <c r="B2854" t="s">
        <v>31</v>
      </c>
      <c r="C2854" t="s">
        <v>32</v>
      </c>
      <c r="D2854" t="s">
        <v>448</v>
      </c>
      <c r="E2854" t="s">
        <v>484</v>
      </c>
      <c r="F2854" t="s">
        <v>35</v>
      </c>
      <c r="G2854" t="s">
        <v>35</v>
      </c>
      <c r="H2854" t="s">
        <v>35</v>
      </c>
      <c r="J2854" t="s">
        <v>3755</v>
      </c>
      <c r="K2854" t="s">
        <v>1092</v>
      </c>
      <c r="M2854">
        <v>0.36</v>
      </c>
      <c r="N2854">
        <v>1887</v>
      </c>
      <c r="O2854" t="s">
        <v>575</v>
      </c>
      <c r="Q2854" t="s">
        <v>2288</v>
      </c>
      <c r="R2854" t="s">
        <v>3656</v>
      </c>
      <c r="S2854" t="s">
        <v>3657</v>
      </c>
      <c r="T2854" t="s">
        <v>3658</v>
      </c>
    </row>
    <row r="2855" spans="1:20" x14ac:dyDescent="0.25">
      <c r="A2855" t="s">
        <v>59</v>
      </c>
      <c r="B2855" t="s">
        <v>60</v>
      </c>
      <c r="C2855" t="s">
        <v>32</v>
      </c>
      <c r="D2855" t="s">
        <v>448</v>
      </c>
      <c r="E2855" t="s">
        <v>3634</v>
      </c>
      <c r="F2855" t="s">
        <v>35</v>
      </c>
      <c r="G2855" t="s">
        <v>35</v>
      </c>
      <c r="H2855" t="s">
        <v>35</v>
      </c>
      <c r="J2855" t="s">
        <v>3655</v>
      </c>
      <c r="K2855" t="s">
        <v>1092</v>
      </c>
      <c r="M2855">
        <v>2.95</v>
      </c>
      <c r="N2855">
        <v>281</v>
      </c>
      <c r="O2855" t="s">
        <v>5</v>
      </c>
      <c r="Q2855" t="s">
        <v>1421</v>
      </c>
      <c r="R2855" t="s">
        <v>3656</v>
      </c>
      <c r="S2855" t="s">
        <v>3657</v>
      </c>
      <c r="T2855" t="s">
        <v>3658</v>
      </c>
    </row>
    <row r="2856" spans="1:20" x14ac:dyDescent="0.25">
      <c r="A2856" t="s">
        <v>44</v>
      </c>
      <c r="B2856" t="s">
        <v>3</v>
      </c>
      <c r="C2856" t="s">
        <v>32</v>
      </c>
      <c r="D2856" t="s">
        <v>448</v>
      </c>
      <c r="E2856" t="s">
        <v>509</v>
      </c>
      <c r="F2856" t="s">
        <v>35</v>
      </c>
      <c r="G2856" t="s">
        <v>35</v>
      </c>
      <c r="H2856" t="s">
        <v>35</v>
      </c>
      <c r="J2856" t="s">
        <v>3852</v>
      </c>
      <c r="K2856" t="s">
        <v>1092</v>
      </c>
      <c r="M2856">
        <v>0.5</v>
      </c>
      <c r="N2856">
        <v>553</v>
      </c>
      <c r="O2856" t="s">
        <v>575</v>
      </c>
      <c r="Q2856" t="s">
        <v>3853</v>
      </c>
      <c r="R2856" t="s">
        <v>3854</v>
      </c>
      <c r="S2856" t="s">
        <v>3855</v>
      </c>
      <c r="T2856" t="s">
        <v>3787</v>
      </c>
    </row>
    <row r="2857" spans="1:20" x14ac:dyDescent="0.25">
      <c r="A2857" t="s">
        <v>44</v>
      </c>
      <c r="B2857" t="s">
        <v>51</v>
      </c>
      <c r="C2857" t="s">
        <v>32</v>
      </c>
      <c r="D2857" t="s">
        <v>448</v>
      </c>
      <c r="E2857" t="s">
        <v>473</v>
      </c>
      <c r="F2857" t="s">
        <v>35</v>
      </c>
      <c r="G2857" t="s">
        <v>35</v>
      </c>
      <c r="H2857" t="s">
        <v>35</v>
      </c>
      <c r="J2857" t="s">
        <v>3708</v>
      </c>
      <c r="K2857" t="s">
        <v>1092</v>
      </c>
      <c r="M2857">
        <v>0.05</v>
      </c>
      <c r="N2857">
        <v>855</v>
      </c>
      <c r="O2857" t="s">
        <v>575</v>
      </c>
      <c r="Q2857" t="s">
        <v>3709</v>
      </c>
      <c r="R2857" t="s">
        <v>3710</v>
      </c>
      <c r="S2857" t="s">
        <v>3494</v>
      </c>
      <c r="T2857" t="s">
        <v>3711</v>
      </c>
    </row>
    <row r="2858" spans="1:20" x14ac:dyDescent="0.25">
      <c r="A2858" t="s">
        <v>59</v>
      </c>
      <c r="B2858" t="s">
        <v>31</v>
      </c>
      <c r="C2858" t="s">
        <v>32</v>
      </c>
      <c r="D2858" t="s">
        <v>448</v>
      </c>
      <c r="E2858" t="s">
        <v>473</v>
      </c>
      <c r="F2858" t="s">
        <v>35</v>
      </c>
      <c r="G2858" t="s">
        <v>35</v>
      </c>
      <c r="H2858" t="s">
        <v>35</v>
      </c>
      <c r="J2858" t="s">
        <v>3746</v>
      </c>
      <c r="K2858" t="s">
        <v>1092</v>
      </c>
      <c r="M2858">
        <v>0.72</v>
      </c>
      <c r="N2858">
        <v>1193</v>
      </c>
      <c r="O2858" t="s">
        <v>575</v>
      </c>
      <c r="Q2858" t="s">
        <v>3747</v>
      </c>
      <c r="R2858" t="s">
        <v>3710</v>
      </c>
      <c r="S2858" t="s">
        <v>3494</v>
      </c>
      <c r="T2858" t="s">
        <v>3711</v>
      </c>
    </row>
    <row r="2859" spans="1:20" x14ac:dyDescent="0.25">
      <c r="A2859" t="s">
        <v>59</v>
      </c>
      <c r="B2859" t="s">
        <v>60</v>
      </c>
      <c r="C2859" t="s">
        <v>32</v>
      </c>
      <c r="D2859" t="s">
        <v>448</v>
      </c>
      <c r="E2859" t="s">
        <v>3634</v>
      </c>
      <c r="F2859" t="s">
        <v>35</v>
      </c>
      <c r="G2859" t="s">
        <v>35</v>
      </c>
      <c r="H2859" t="s">
        <v>35</v>
      </c>
      <c r="J2859" t="s">
        <v>3638</v>
      </c>
      <c r="K2859" t="s">
        <v>1092</v>
      </c>
      <c r="M2859">
        <v>0.5</v>
      </c>
      <c r="N2859">
        <v>127</v>
      </c>
      <c r="O2859" t="s">
        <v>38</v>
      </c>
      <c r="Q2859" t="s">
        <v>3640</v>
      </c>
      <c r="R2859" t="s">
        <v>3641</v>
      </c>
      <c r="S2859" t="s">
        <v>3642</v>
      </c>
      <c r="T2859" t="s">
        <v>3639</v>
      </c>
    </row>
    <row r="2860" spans="1:20" x14ac:dyDescent="0.25">
      <c r="A2860" t="s">
        <v>30</v>
      </c>
      <c r="B2860" t="s">
        <v>31</v>
      </c>
      <c r="C2860" t="s">
        <v>32</v>
      </c>
      <c r="D2860" t="s">
        <v>448</v>
      </c>
      <c r="E2860" t="s">
        <v>473</v>
      </c>
      <c r="F2860" t="s">
        <v>35</v>
      </c>
      <c r="G2860" t="s">
        <v>35</v>
      </c>
      <c r="H2860" t="s">
        <v>35</v>
      </c>
      <c r="J2860" t="s">
        <v>3730</v>
      </c>
      <c r="K2860" t="s">
        <v>1092</v>
      </c>
      <c r="M2860">
        <v>4.4999999999999998E-2</v>
      </c>
      <c r="N2860">
        <v>1634</v>
      </c>
      <c r="O2860" t="s">
        <v>575</v>
      </c>
      <c r="Q2860" t="s">
        <v>3731</v>
      </c>
      <c r="R2860" t="s">
        <v>3641</v>
      </c>
      <c r="S2860" t="s">
        <v>3642</v>
      </c>
      <c r="T2860" t="s">
        <v>3639</v>
      </c>
    </row>
    <row r="2861" spans="1:20" x14ac:dyDescent="0.25">
      <c r="A2861" t="s">
        <v>59</v>
      </c>
      <c r="B2861" t="s">
        <v>31</v>
      </c>
      <c r="C2861" t="s">
        <v>32</v>
      </c>
      <c r="D2861" t="s">
        <v>448</v>
      </c>
      <c r="E2861" t="s">
        <v>473</v>
      </c>
      <c r="F2861" t="s">
        <v>35</v>
      </c>
      <c r="G2861" t="s">
        <v>35</v>
      </c>
      <c r="H2861" t="s">
        <v>35</v>
      </c>
      <c r="J2861" t="s">
        <v>3736</v>
      </c>
      <c r="K2861" t="s">
        <v>1092</v>
      </c>
      <c r="M2861">
        <v>0.13500000000000001</v>
      </c>
      <c r="N2861">
        <v>1652</v>
      </c>
      <c r="O2861" t="s">
        <v>575</v>
      </c>
      <c r="Q2861" t="s">
        <v>3737</v>
      </c>
      <c r="R2861" t="s">
        <v>3641</v>
      </c>
      <c r="S2861" t="s">
        <v>3642</v>
      </c>
      <c r="T2861" t="s">
        <v>3639</v>
      </c>
    </row>
    <row r="2862" spans="1:20" x14ac:dyDescent="0.25">
      <c r="A2862" t="s">
        <v>44</v>
      </c>
      <c r="B2862" t="s">
        <v>51</v>
      </c>
      <c r="C2862" t="s">
        <v>32</v>
      </c>
      <c r="D2862" t="s">
        <v>448</v>
      </c>
      <c r="E2862" t="s">
        <v>473</v>
      </c>
      <c r="F2862" t="s">
        <v>35</v>
      </c>
      <c r="G2862" t="s">
        <v>35</v>
      </c>
      <c r="H2862" t="s">
        <v>35</v>
      </c>
      <c r="J2862" t="s">
        <v>3736</v>
      </c>
      <c r="K2862" t="s">
        <v>1092</v>
      </c>
      <c r="M2862">
        <v>0.5</v>
      </c>
      <c r="N2862">
        <v>922</v>
      </c>
      <c r="O2862" t="s">
        <v>575</v>
      </c>
      <c r="Q2862" t="s">
        <v>3738</v>
      </c>
      <c r="R2862" t="s">
        <v>3641</v>
      </c>
      <c r="S2862" t="s">
        <v>3642</v>
      </c>
      <c r="T2862" t="s">
        <v>3639</v>
      </c>
    </row>
    <row r="2863" spans="1:20" x14ac:dyDescent="0.25">
      <c r="A2863" t="s">
        <v>59</v>
      </c>
      <c r="B2863" t="s">
        <v>60</v>
      </c>
      <c r="C2863" t="s">
        <v>32</v>
      </c>
      <c r="D2863" t="s">
        <v>448</v>
      </c>
      <c r="E2863" t="s">
        <v>466</v>
      </c>
      <c r="F2863" t="s">
        <v>35</v>
      </c>
      <c r="G2863" t="s">
        <v>35</v>
      </c>
      <c r="H2863" t="s">
        <v>35</v>
      </c>
      <c r="J2863" t="s">
        <v>3679</v>
      </c>
      <c r="K2863" t="s">
        <v>1092</v>
      </c>
      <c r="M2863">
        <v>1.05</v>
      </c>
      <c r="N2863">
        <v>46</v>
      </c>
      <c r="O2863" t="s">
        <v>52</v>
      </c>
      <c r="Q2863" t="s">
        <v>332</v>
      </c>
      <c r="R2863" t="s">
        <v>3680</v>
      </c>
      <c r="S2863" t="s">
        <v>467</v>
      </c>
      <c r="T2863" t="s">
        <v>468</v>
      </c>
    </row>
    <row r="2864" spans="1:20" x14ac:dyDescent="0.25">
      <c r="A2864" t="s">
        <v>59</v>
      </c>
      <c r="B2864" t="s">
        <v>60</v>
      </c>
      <c r="C2864" t="s">
        <v>32</v>
      </c>
      <c r="D2864" t="s">
        <v>448</v>
      </c>
      <c r="E2864" t="s">
        <v>466</v>
      </c>
      <c r="F2864" t="s">
        <v>35</v>
      </c>
      <c r="G2864" t="s">
        <v>35</v>
      </c>
      <c r="H2864" t="s">
        <v>35</v>
      </c>
      <c r="J2864" t="s">
        <v>3686</v>
      </c>
      <c r="K2864" t="s">
        <v>1092</v>
      </c>
      <c r="M2864">
        <v>0.2</v>
      </c>
      <c r="N2864">
        <v>338</v>
      </c>
      <c r="O2864" t="s">
        <v>5</v>
      </c>
      <c r="Q2864" t="s">
        <v>3421</v>
      </c>
      <c r="R2864" t="s">
        <v>3680</v>
      </c>
      <c r="S2864" t="s">
        <v>467</v>
      </c>
      <c r="T2864" t="s">
        <v>468</v>
      </c>
    </row>
    <row r="2865" spans="1:20" x14ac:dyDescent="0.25">
      <c r="A2865" t="s">
        <v>30</v>
      </c>
      <c r="B2865" t="s">
        <v>31</v>
      </c>
      <c r="C2865" t="s">
        <v>32</v>
      </c>
      <c r="D2865" t="s">
        <v>448</v>
      </c>
      <c r="E2865" t="s">
        <v>484</v>
      </c>
      <c r="F2865" t="s">
        <v>35</v>
      </c>
      <c r="G2865" t="s">
        <v>35</v>
      </c>
      <c r="H2865" t="s">
        <v>35</v>
      </c>
      <c r="J2865" t="s">
        <v>3689</v>
      </c>
      <c r="K2865" t="s">
        <v>1092</v>
      </c>
      <c r="M2865">
        <v>0.58499999999999996</v>
      </c>
      <c r="N2865">
        <v>1188</v>
      </c>
      <c r="O2865" t="s">
        <v>575</v>
      </c>
      <c r="Q2865" t="s">
        <v>2433</v>
      </c>
      <c r="R2865" t="s">
        <v>3759</v>
      </c>
      <c r="S2865" t="s">
        <v>3760</v>
      </c>
      <c r="T2865" t="s">
        <v>3761</v>
      </c>
    </row>
    <row r="2866" spans="1:20" x14ac:dyDescent="0.25">
      <c r="A2866" t="s">
        <v>59</v>
      </c>
      <c r="B2866" t="s">
        <v>31</v>
      </c>
      <c r="C2866" t="s">
        <v>32</v>
      </c>
      <c r="D2866" t="s">
        <v>448</v>
      </c>
      <c r="E2866" t="s">
        <v>484</v>
      </c>
      <c r="F2866" t="s">
        <v>35</v>
      </c>
      <c r="G2866" t="s">
        <v>35</v>
      </c>
      <c r="H2866" t="s">
        <v>35</v>
      </c>
      <c r="J2866" t="s">
        <v>3689</v>
      </c>
      <c r="K2866" t="s">
        <v>1092</v>
      </c>
      <c r="M2866">
        <v>0.54</v>
      </c>
      <c r="N2866">
        <v>1195</v>
      </c>
      <c r="O2866" t="s">
        <v>575</v>
      </c>
      <c r="Q2866" t="s">
        <v>3758</v>
      </c>
      <c r="R2866" t="s">
        <v>3759</v>
      </c>
      <c r="S2866" t="s">
        <v>3760</v>
      </c>
      <c r="T2866" t="s">
        <v>3761</v>
      </c>
    </row>
    <row r="2867" spans="1:20" x14ac:dyDescent="0.25">
      <c r="A2867" t="s">
        <v>59</v>
      </c>
      <c r="B2867" t="s">
        <v>31</v>
      </c>
      <c r="C2867" t="s">
        <v>32</v>
      </c>
      <c r="D2867" t="s">
        <v>448</v>
      </c>
      <c r="E2867" t="s">
        <v>484</v>
      </c>
      <c r="F2867" t="s">
        <v>35</v>
      </c>
      <c r="G2867" t="s">
        <v>35</v>
      </c>
      <c r="H2867" t="s">
        <v>35</v>
      </c>
      <c r="J2867" t="s">
        <v>3757</v>
      </c>
      <c r="K2867" t="s">
        <v>1092</v>
      </c>
      <c r="M2867">
        <v>0.36</v>
      </c>
      <c r="N2867">
        <v>1195</v>
      </c>
      <c r="O2867" t="s">
        <v>575</v>
      </c>
      <c r="Q2867" t="s">
        <v>3758</v>
      </c>
      <c r="R2867" t="s">
        <v>3759</v>
      </c>
      <c r="S2867" t="s">
        <v>3760</v>
      </c>
      <c r="T2867" t="s">
        <v>3761</v>
      </c>
    </row>
    <row r="2868" spans="1:20" x14ac:dyDescent="0.25">
      <c r="A2868" t="s">
        <v>30</v>
      </c>
      <c r="B2868" t="s">
        <v>31</v>
      </c>
      <c r="C2868" t="s">
        <v>32</v>
      </c>
      <c r="D2868" t="s">
        <v>448</v>
      </c>
      <c r="E2868" t="s">
        <v>484</v>
      </c>
      <c r="F2868" t="s">
        <v>35</v>
      </c>
      <c r="G2868" t="s">
        <v>35</v>
      </c>
      <c r="H2868" t="s">
        <v>35</v>
      </c>
      <c r="J2868" t="s">
        <v>3757</v>
      </c>
      <c r="K2868" t="s">
        <v>1092</v>
      </c>
      <c r="M2868">
        <v>0.84499999999999997</v>
      </c>
      <c r="N2868">
        <v>1188</v>
      </c>
      <c r="O2868" t="s">
        <v>575</v>
      </c>
      <c r="Q2868" t="s">
        <v>2433</v>
      </c>
      <c r="R2868" t="s">
        <v>3759</v>
      </c>
      <c r="S2868" t="s">
        <v>3760</v>
      </c>
      <c r="T2868" t="s">
        <v>3761</v>
      </c>
    </row>
    <row r="2869" spans="1:20" x14ac:dyDescent="0.25">
      <c r="A2869" t="s">
        <v>30</v>
      </c>
      <c r="B2869" t="s">
        <v>31</v>
      </c>
      <c r="C2869" t="s">
        <v>32</v>
      </c>
      <c r="D2869" t="s">
        <v>448</v>
      </c>
      <c r="F2869" t="s">
        <v>35</v>
      </c>
      <c r="G2869" t="s">
        <v>35</v>
      </c>
      <c r="H2869" t="s">
        <v>35</v>
      </c>
      <c r="J2869" t="s">
        <v>3912</v>
      </c>
      <c r="K2869" t="s">
        <v>1092</v>
      </c>
      <c r="M2869">
        <v>1.44</v>
      </c>
      <c r="N2869">
        <v>2315</v>
      </c>
      <c r="O2869" t="s">
        <v>575</v>
      </c>
      <c r="Q2869" t="s">
        <v>3913</v>
      </c>
      <c r="R2869" t="s">
        <v>3759</v>
      </c>
      <c r="S2869" t="s">
        <v>3760</v>
      </c>
      <c r="T2869" t="s">
        <v>3761</v>
      </c>
    </row>
    <row r="2870" spans="1:20" x14ac:dyDescent="0.25">
      <c r="A2870" t="s">
        <v>59</v>
      </c>
      <c r="B2870" t="s">
        <v>60</v>
      </c>
      <c r="C2870" t="s">
        <v>32</v>
      </c>
      <c r="D2870" t="s">
        <v>448</v>
      </c>
      <c r="E2870" t="s">
        <v>497</v>
      </c>
      <c r="F2870" t="s">
        <v>35</v>
      </c>
      <c r="G2870" t="s">
        <v>35</v>
      </c>
      <c r="H2870" t="s">
        <v>35</v>
      </c>
      <c r="J2870" t="s">
        <v>498</v>
      </c>
      <c r="K2870" t="s">
        <v>37</v>
      </c>
      <c r="M2870">
        <v>2.15</v>
      </c>
      <c r="N2870">
        <v>128</v>
      </c>
      <c r="O2870" t="s">
        <v>38</v>
      </c>
      <c r="P2870" t="s">
        <v>500</v>
      </c>
      <c r="Q2870" t="s">
        <v>98</v>
      </c>
      <c r="R2870" t="s">
        <v>501</v>
      </c>
      <c r="S2870" t="s">
        <v>502</v>
      </c>
      <c r="T2870" t="s">
        <v>503</v>
      </c>
    </row>
    <row r="2871" spans="1:20" x14ac:dyDescent="0.25">
      <c r="A2871" t="s">
        <v>30</v>
      </c>
      <c r="B2871" t="s">
        <v>31</v>
      </c>
      <c r="C2871" t="s">
        <v>32</v>
      </c>
      <c r="D2871" t="s">
        <v>448</v>
      </c>
      <c r="F2871" t="s">
        <v>35</v>
      </c>
      <c r="G2871" t="s">
        <v>35</v>
      </c>
      <c r="H2871" t="s">
        <v>35</v>
      </c>
      <c r="J2871" t="s">
        <v>3914</v>
      </c>
      <c r="K2871" t="s">
        <v>1092</v>
      </c>
      <c r="M2871">
        <v>1.89</v>
      </c>
      <c r="N2871">
        <v>2425</v>
      </c>
      <c r="O2871" t="s">
        <v>575</v>
      </c>
      <c r="Q2871" t="s">
        <v>3915</v>
      </c>
      <c r="R2871" t="s">
        <v>3580</v>
      </c>
      <c r="S2871" t="s">
        <v>3581</v>
      </c>
      <c r="T2871" t="s">
        <v>3582</v>
      </c>
    </row>
    <row r="2872" spans="1:20" x14ac:dyDescent="0.25">
      <c r="A2872" t="s">
        <v>59</v>
      </c>
      <c r="B2872" t="s">
        <v>31</v>
      </c>
      <c r="C2872" t="s">
        <v>32</v>
      </c>
      <c r="D2872" t="s">
        <v>448</v>
      </c>
      <c r="E2872" t="s">
        <v>459</v>
      </c>
      <c r="F2872" t="s">
        <v>35</v>
      </c>
      <c r="G2872" t="s">
        <v>35</v>
      </c>
      <c r="H2872" t="s">
        <v>35</v>
      </c>
      <c r="J2872" t="s">
        <v>3578</v>
      </c>
      <c r="K2872" t="s">
        <v>1092</v>
      </c>
      <c r="M2872">
        <v>0.02</v>
      </c>
      <c r="N2872">
        <v>1942</v>
      </c>
      <c r="O2872" t="s">
        <v>575</v>
      </c>
      <c r="Q2872" t="s">
        <v>3579</v>
      </c>
      <c r="R2872" t="s">
        <v>3580</v>
      </c>
      <c r="S2872" t="s">
        <v>3581</v>
      </c>
      <c r="T2872" t="s">
        <v>3582</v>
      </c>
    </row>
    <row r="2873" spans="1:20" x14ac:dyDescent="0.25">
      <c r="A2873" t="s">
        <v>59</v>
      </c>
      <c r="B2873" t="s">
        <v>31</v>
      </c>
      <c r="C2873" t="s">
        <v>32</v>
      </c>
      <c r="D2873" t="s">
        <v>448</v>
      </c>
      <c r="F2873" t="s">
        <v>35</v>
      </c>
      <c r="G2873" t="s">
        <v>35</v>
      </c>
      <c r="H2873" t="s">
        <v>35</v>
      </c>
      <c r="J2873" t="s">
        <v>3898</v>
      </c>
      <c r="K2873" t="s">
        <v>1092</v>
      </c>
      <c r="M2873">
        <v>5.0049999999999999</v>
      </c>
      <c r="N2873">
        <v>2213</v>
      </c>
      <c r="O2873" t="s">
        <v>575</v>
      </c>
      <c r="Q2873" t="s">
        <v>3899</v>
      </c>
      <c r="R2873" t="s">
        <v>3580</v>
      </c>
      <c r="S2873" t="s">
        <v>3581</v>
      </c>
      <c r="T2873" t="s">
        <v>3582</v>
      </c>
    </row>
    <row r="2874" spans="1:20" x14ac:dyDescent="0.25">
      <c r="A2874" t="s">
        <v>59</v>
      </c>
      <c r="B2874" t="s">
        <v>60</v>
      </c>
      <c r="C2874" t="s">
        <v>32</v>
      </c>
      <c r="D2874" t="s">
        <v>448</v>
      </c>
      <c r="E2874" t="s">
        <v>497</v>
      </c>
      <c r="F2874" t="s">
        <v>35</v>
      </c>
      <c r="G2874" t="s">
        <v>35</v>
      </c>
      <c r="H2874" t="s">
        <v>35</v>
      </c>
      <c r="J2874" t="s">
        <v>3775</v>
      </c>
      <c r="K2874" t="s">
        <v>1092</v>
      </c>
      <c r="M2874">
        <v>0.05</v>
      </c>
      <c r="N2874">
        <v>518</v>
      </c>
      <c r="O2874" t="s">
        <v>294</v>
      </c>
      <c r="Q2874" t="s">
        <v>3776</v>
      </c>
      <c r="R2874" t="s">
        <v>3777</v>
      </c>
      <c r="S2874" t="s">
        <v>504</v>
      </c>
      <c r="T2874" t="s">
        <v>505</v>
      </c>
    </row>
    <row r="2875" spans="1:20" x14ac:dyDescent="0.25">
      <c r="A2875" t="s">
        <v>44</v>
      </c>
      <c r="B2875" t="s">
        <v>51</v>
      </c>
      <c r="C2875" t="s">
        <v>32</v>
      </c>
      <c r="D2875" t="s">
        <v>448</v>
      </c>
      <c r="E2875" t="s">
        <v>497</v>
      </c>
      <c r="F2875" t="s">
        <v>35</v>
      </c>
      <c r="G2875" t="s">
        <v>35</v>
      </c>
      <c r="H2875" t="s">
        <v>35</v>
      </c>
      <c r="J2875" t="s">
        <v>3781</v>
      </c>
      <c r="K2875" t="s">
        <v>1092</v>
      </c>
      <c r="M2875">
        <v>0.25</v>
      </c>
      <c r="N2875">
        <v>496</v>
      </c>
      <c r="O2875" t="s">
        <v>294</v>
      </c>
      <c r="Q2875" t="s">
        <v>3139</v>
      </c>
      <c r="R2875" t="s">
        <v>3777</v>
      </c>
      <c r="S2875" t="s">
        <v>504</v>
      </c>
      <c r="T2875" t="s">
        <v>505</v>
      </c>
    </row>
    <row r="2876" spans="1:20" x14ac:dyDescent="0.25">
      <c r="A2876" t="s">
        <v>59</v>
      </c>
      <c r="B2876" t="s">
        <v>31</v>
      </c>
      <c r="C2876" t="s">
        <v>32</v>
      </c>
      <c r="D2876" t="s">
        <v>448</v>
      </c>
      <c r="E2876" t="s">
        <v>484</v>
      </c>
      <c r="F2876" t="s">
        <v>35</v>
      </c>
      <c r="G2876" t="s">
        <v>35</v>
      </c>
      <c r="H2876" t="s">
        <v>35</v>
      </c>
      <c r="J2876" t="s">
        <v>3753</v>
      </c>
      <c r="K2876" t="s">
        <v>1092</v>
      </c>
      <c r="M2876">
        <v>1.53</v>
      </c>
      <c r="N2876">
        <v>63</v>
      </c>
      <c r="O2876" t="s">
        <v>61</v>
      </c>
      <c r="Q2876" t="s">
        <v>126</v>
      </c>
      <c r="R2876" t="s">
        <v>513</v>
      </c>
      <c r="S2876" t="s">
        <v>514</v>
      </c>
      <c r="T2876" t="s">
        <v>515</v>
      </c>
    </row>
    <row r="2877" spans="1:20" x14ac:dyDescent="0.25">
      <c r="A2877" t="s">
        <v>30</v>
      </c>
      <c r="B2877" t="s">
        <v>31</v>
      </c>
      <c r="C2877" t="s">
        <v>32</v>
      </c>
      <c r="D2877" t="s">
        <v>448</v>
      </c>
      <c r="E2877" t="s">
        <v>3588</v>
      </c>
      <c r="F2877" t="s">
        <v>35</v>
      </c>
      <c r="G2877" t="s">
        <v>35</v>
      </c>
      <c r="H2877" t="s">
        <v>35</v>
      </c>
      <c r="J2877" t="s">
        <v>3594</v>
      </c>
      <c r="K2877" t="s">
        <v>1092</v>
      </c>
      <c r="M2877">
        <v>4.5</v>
      </c>
      <c r="N2877">
        <v>37</v>
      </c>
      <c r="O2877" t="s">
        <v>52</v>
      </c>
      <c r="Q2877" t="s">
        <v>192</v>
      </c>
      <c r="R2877" t="s">
        <v>513</v>
      </c>
      <c r="S2877" t="s">
        <v>514</v>
      </c>
      <c r="T2877" t="s">
        <v>515</v>
      </c>
    </row>
    <row r="2878" spans="1:20" x14ac:dyDescent="0.25">
      <c r="A2878" t="s">
        <v>59</v>
      </c>
      <c r="B2878" t="s">
        <v>31</v>
      </c>
      <c r="C2878" t="s">
        <v>32</v>
      </c>
      <c r="D2878" t="s">
        <v>448</v>
      </c>
      <c r="E2878" t="s">
        <v>459</v>
      </c>
      <c r="F2878" t="s">
        <v>35</v>
      </c>
      <c r="G2878" t="s">
        <v>35</v>
      </c>
      <c r="H2878" t="s">
        <v>35</v>
      </c>
      <c r="J2878" t="s">
        <v>3551</v>
      </c>
      <c r="K2878" t="s">
        <v>1092</v>
      </c>
      <c r="M2878">
        <v>4.9950000000000001</v>
      </c>
      <c r="N2878">
        <v>63</v>
      </c>
      <c r="O2878" t="s">
        <v>61</v>
      </c>
      <c r="Q2878" t="s">
        <v>126</v>
      </c>
      <c r="R2878" t="s">
        <v>513</v>
      </c>
      <c r="S2878" t="s">
        <v>514</v>
      </c>
      <c r="T2878" t="s">
        <v>515</v>
      </c>
    </row>
    <row r="2879" spans="1:20" x14ac:dyDescent="0.25">
      <c r="A2879" t="s">
        <v>59</v>
      </c>
      <c r="B2879" t="s">
        <v>31</v>
      </c>
      <c r="C2879" t="s">
        <v>32</v>
      </c>
      <c r="D2879" t="s">
        <v>448</v>
      </c>
      <c r="F2879" t="s">
        <v>35</v>
      </c>
      <c r="G2879" t="s">
        <v>35</v>
      </c>
      <c r="H2879" t="s">
        <v>35</v>
      </c>
      <c r="J2879" t="s">
        <v>3863</v>
      </c>
      <c r="K2879" t="s">
        <v>1092</v>
      </c>
      <c r="M2879">
        <v>4.95</v>
      </c>
      <c r="N2879">
        <v>63</v>
      </c>
      <c r="O2879" t="s">
        <v>61</v>
      </c>
      <c r="Q2879" t="s">
        <v>126</v>
      </c>
      <c r="R2879" t="s">
        <v>513</v>
      </c>
      <c r="S2879" t="s">
        <v>514</v>
      </c>
      <c r="T2879" t="s">
        <v>515</v>
      </c>
    </row>
    <row r="2880" spans="1:20" x14ac:dyDescent="0.25">
      <c r="A2880" t="s">
        <v>30</v>
      </c>
      <c r="B2880" t="s">
        <v>31</v>
      </c>
      <c r="C2880" t="s">
        <v>32</v>
      </c>
      <c r="D2880" t="s">
        <v>448</v>
      </c>
      <c r="E2880" t="s">
        <v>459</v>
      </c>
      <c r="F2880" t="s">
        <v>35</v>
      </c>
      <c r="G2880" t="s">
        <v>35</v>
      </c>
      <c r="H2880" t="s">
        <v>35</v>
      </c>
      <c r="J2880" t="s">
        <v>3558</v>
      </c>
      <c r="K2880" t="s">
        <v>1092</v>
      </c>
      <c r="M2880">
        <v>0.45</v>
      </c>
      <c r="N2880">
        <v>37</v>
      </c>
      <c r="O2880" t="s">
        <v>52</v>
      </c>
      <c r="Q2880" t="s">
        <v>192</v>
      </c>
      <c r="R2880" t="s">
        <v>513</v>
      </c>
      <c r="S2880" t="s">
        <v>514</v>
      </c>
      <c r="T2880" t="s">
        <v>515</v>
      </c>
    </row>
    <row r="2881" spans="1:20" x14ac:dyDescent="0.25">
      <c r="A2881" t="s">
        <v>30</v>
      </c>
      <c r="B2881" t="s">
        <v>31</v>
      </c>
      <c r="C2881" t="s">
        <v>32</v>
      </c>
      <c r="D2881" t="s">
        <v>448</v>
      </c>
      <c r="E2881" t="s">
        <v>509</v>
      </c>
      <c r="F2881" t="s">
        <v>35</v>
      </c>
      <c r="G2881" t="s">
        <v>35</v>
      </c>
      <c r="H2881" t="s">
        <v>35</v>
      </c>
      <c r="J2881" t="s">
        <v>510</v>
      </c>
      <c r="K2881" t="s">
        <v>37</v>
      </c>
      <c r="M2881">
        <v>11.025</v>
      </c>
      <c r="N2881">
        <v>33</v>
      </c>
      <c r="O2881" t="s">
        <v>52</v>
      </c>
      <c r="P2881" t="s">
        <v>512</v>
      </c>
      <c r="Q2881" t="s">
        <v>130</v>
      </c>
      <c r="R2881" t="s">
        <v>513</v>
      </c>
      <c r="S2881" t="s">
        <v>514</v>
      </c>
      <c r="T2881" t="s">
        <v>515</v>
      </c>
    </row>
    <row r="2882" spans="1:20" x14ac:dyDescent="0.25">
      <c r="A2882" t="s">
        <v>30</v>
      </c>
      <c r="B2882" t="s">
        <v>31</v>
      </c>
      <c r="C2882" t="s">
        <v>32</v>
      </c>
      <c r="D2882" t="s">
        <v>448</v>
      </c>
      <c r="E2882" t="s">
        <v>509</v>
      </c>
      <c r="F2882" t="s">
        <v>35</v>
      </c>
      <c r="G2882" t="s">
        <v>35</v>
      </c>
      <c r="H2882" t="s">
        <v>35</v>
      </c>
      <c r="J2882" t="s">
        <v>510</v>
      </c>
      <c r="K2882" t="s">
        <v>37</v>
      </c>
      <c r="M2882">
        <v>9.7650000000000006</v>
      </c>
      <c r="N2882">
        <v>40</v>
      </c>
      <c r="O2882" t="s">
        <v>52</v>
      </c>
      <c r="P2882" t="s">
        <v>516</v>
      </c>
      <c r="Q2882" t="s">
        <v>132</v>
      </c>
      <c r="R2882" t="s">
        <v>513</v>
      </c>
      <c r="S2882" t="s">
        <v>514</v>
      </c>
      <c r="T2882" t="s">
        <v>515</v>
      </c>
    </row>
    <row r="2883" spans="1:20" x14ac:dyDescent="0.25">
      <c r="A2883" t="s">
        <v>30</v>
      </c>
      <c r="B2883" t="s">
        <v>31</v>
      </c>
      <c r="C2883" t="s">
        <v>32</v>
      </c>
      <c r="D2883" t="s">
        <v>448</v>
      </c>
      <c r="E2883" t="s">
        <v>509</v>
      </c>
      <c r="F2883" t="s">
        <v>35</v>
      </c>
      <c r="G2883" t="s">
        <v>35</v>
      </c>
      <c r="H2883" t="s">
        <v>35</v>
      </c>
      <c r="J2883" t="s">
        <v>510</v>
      </c>
      <c r="K2883" t="s">
        <v>37</v>
      </c>
      <c r="M2883">
        <v>11.025</v>
      </c>
      <c r="N2883">
        <v>40</v>
      </c>
      <c r="O2883" t="s">
        <v>52</v>
      </c>
      <c r="P2883" t="s">
        <v>521</v>
      </c>
      <c r="Q2883" t="s">
        <v>132</v>
      </c>
      <c r="R2883" t="s">
        <v>513</v>
      </c>
      <c r="S2883" t="s">
        <v>514</v>
      </c>
      <c r="T2883" t="s">
        <v>515</v>
      </c>
    </row>
    <row r="2884" spans="1:20" x14ac:dyDescent="0.25">
      <c r="A2884" t="s">
        <v>59</v>
      </c>
      <c r="B2884" t="s">
        <v>31</v>
      </c>
      <c r="C2884" t="s">
        <v>32</v>
      </c>
      <c r="D2884" t="s">
        <v>448</v>
      </c>
      <c r="E2884" t="s">
        <v>484</v>
      </c>
      <c r="F2884" t="s">
        <v>35</v>
      </c>
      <c r="G2884" t="s">
        <v>35</v>
      </c>
      <c r="H2884" t="s">
        <v>35</v>
      </c>
      <c r="J2884" t="s">
        <v>3755</v>
      </c>
      <c r="K2884" t="s">
        <v>1092</v>
      </c>
      <c r="M2884">
        <v>0.81</v>
      </c>
      <c r="N2884">
        <v>1585</v>
      </c>
      <c r="O2884" t="s">
        <v>575</v>
      </c>
      <c r="Q2884" t="s">
        <v>3756</v>
      </c>
      <c r="R2884" t="s">
        <v>513</v>
      </c>
      <c r="S2884" t="s">
        <v>514</v>
      </c>
      <c r="T2884" t="s">
        <v>515</v>
      </c>
    </row>
    <row r="2885" spans="1:20" x14ac:dyDescent="0.25">
      <c r="A2885" t="s">
        <v>30</v>
      </c>
      <c r="B2885" t="s">
        <v>31</v>
      </c>
      <c r="C2885" t="s">
        <v>32</v>
      </c>
      <c r="D2885" t="s">
        <v>448</v>
      </c>
      <c r="F2885" t="s">
        <v>35</v>
      </c>
      <c r="G2885" t="s">
        <v>35</v>
      </c>
      <c r="H2885" t="s">
        <v>35</v>
      </c>
      <c r="J2885" t="s">
        <v>3864</v>
      </c>
      <c r="K2885" t="s">
        <v>1092</v>
      </c>
      <c r="M2885">
        <v>1.35</v>
      </c>
      <c r="N2885">
        <v>37</v>
      </c>
      <c r="O2885" t="s">
        <v>52</v>
      </c>
      <c r="Q2885" t="s">
        <v>192</v>
      </c>
      <c r="R2885" t="s">
        <v>513</v>
      </c>
      <c r="S2885" t="s">
        <v>514</v>
      </c>
      <c r="T2885" t="s">
        <v>515</v>
      </c>
    </row>
    <row r="2886" spans="1:20" x14ac:dyDescent="0.25">
      <c r="A2886" t="s">
        <v>59</v>
      </c>
      <c r="B2886" t="s">
        <v>31</v>
      </c>
      <c r="C2886" t="s">
        <v>32</v>
      </c>
      <c r="D2886" t="s">
        <v>448</v>
      </c>
      <c r="E2886" t="s">
        <v>459</v>
      </c>
      <c r="F2886" t="s">
        <v>35</v>
      </c>
      <c r="G2886" t="s">
        <v>35</v>
      </c>
      <c r="H2886" t="s">
        <v>35</v>
      </c>
      <c r="J2886" t="s">
        <v>3553</v>
      </c>
      <c r="K2886" t="s">
        <v>1092</v>
      </c>
      <c r="M2886">
        <v>4.59</v>
      </c>
      <c r="N2886">
        <v>63</v>
      </c>
      <c r="O2886" t="s">
        <v>61</v>
      </c>
      <c r="Q2886" t="s">
        <v>126</v>
      </c>
      <c r="R2886" t="s">
        <v>513</v>
      </c>
      <c r="S2886" t="s">
        <v>514</v>
      </c>
      <c r="T2886" t="s">
        <v>515</v>
      </c>
    </row>
    <row r="2887" spans="1:20" x14ac:dyDescent="0.25">
      <c r="A2887" t="s">
        <v>59</v>
      </c>
      <c r="B2887" t="s">
        <v>31</v>
      </c>
      <c r="C2887" t="s">
        <v>32</v>
      </c>
      <c r="D2887" t="s">
        <v>448</v>
      </c>
      <c r="E2887" t="s">
        <v>3588</v>
      </c>
      <c r="F2887" t="s">
        <v>35</v>
      </c>
      <c r="G2887" t="s">
        <v>35</v>
      </c>
      <c r="H2887" t="s">
        <v>35</v>
      </c>
      <c r="J2887" t="s">
        <v>3597</v>
      </c>
      <c r="K2887" t="s">
        <v>1092</v>
      </c>
      <c r="M2887">
        <v>0.18</v>
      </c>
      <c r="N2887">
        <v>63</v>
      </c>
      <c r="O2887" t="s">
        <v>61</v>
      </c>
      <c r="Q2887" t="s">
        <v>126</v>
      </c>
      <c r="R2887" t="s">
        <v>513</v>
      </c>
      <c r="S2887" t="s">
        <v>514</v>
      </c>
      <c r="T2887" t="s">
        <v>515</v>
      </c>
    </row>
    <row r="2888" spans="1:20" x14ac:dyDescent="0.25">
      <c r="A2888" t="s">
        <v>30</v>
      </c>
      <c r="B2888" t="s">
        <v>31</v>
      </c>
      <c r="C2888" t="s">
        <v>32</v>
      </c>
      <c r="D2888" t="s">
        <v>448</v>
      </c>
      <c r="F2888" t="s">
        <v>35</v>
      </c>
      <c r="G2888" t="s">
        <v>35</v>
      </c>
      <c r="H2888" t="s">
        <v>35</v>
      </c>
      <c r="J2888" t="s">
        <v>3865</v>
      </c>
      <c r="K2888" t="s">
        <v>1092</v>
      </c>
      <c r="M2888">
        <v>0.72</v>
      </c>
      <c r="N2888">
        <v>1548</v>
      </c>
      <c r="O2888" t="s">
        <v>575</v>
      </c>
      <c r="Q2888" t="s">
        <v>3866</v>
      </c>
      <c r="R2888" t="s">
        <v>3867</v>
      </c>
      <c r="S2888" t="s">
        <v>3868</v>
      </c>
      <c r="T2888" t="s">
        <v>3869</v>
      </c>
    </row>
    <row r="2889" spans="1:20" x14ac:dyDescent="0.25">
      <c r="A2889" t="s">
        <v>30</v>
      </c>
      <c r="B2889" t="s">
        <v>31</v>
      </c>
      <c r="C2889" t="s">
        <v>32</v>
      </c>
      <c r="D2889" t="s">
        <v>448</v>
      </c>
      <c r="E2889" t="s">
        <v>459</v>
      </c>
      <c r="F2889" t="s">
        <v>35</v>
      </c>
      <c r="G2889" t="s">
        <v>35</v>
      </c>
      <c r="H2889" t="s">
        <v>35</v>
      </c>
      <c r="J2889" t="s">
        <v>3554</v>
      </c>
      <c r="K2889" t="s">
        <v>1092</v>
      </c>
      <c r="M2889">
        <v>2.25</v>
      </c>
      <c r="N2889">
        <v>146</v>
      </c>
      <c r="O2889" t="s">
        <v>38</v>
      </c>
      <c r="Q2889" t="s">
        <v>569</v>
      </c>
      <c r="R2889" t="s">
        <v>3555</v>
      </c>
      <c r="S2889" t="s">
        <v>3556</v>
      </c>
      <c r="T2889" t="s">
        <v>3557</v>
      </c>
    </row>
    <row r="2890" spans="1:20" x14ac:dyDescent="0.25">
      <c r="A2890" t="s">
        <v>59</v>
      </c>
      <c r="B2890" t="s">
        <v>31</v>
      </c>
      <c r="C2890" t="s">
        <v>32</v>
      </c>
      <c r="D2890" t="s">
        <v>448</v>
      </c>
      <c r="E2890" t="s">
        <v>459</v>
      </c>
      <c r="F2890" t="s">
        <v>35</v>
      </c>
      <c r="G2890" t="s">
        <v>35</v>
      </c>
      <c r="H2890" t="s">
        <v>35</v>
      </c>
      <c r="J2890" t="s">
        <v>3570</v>
      </c>
      <c r="K2890" t="s">
        <v>1092</v>
      </c>
      <c r="M2890">
        <v>0.495</v>
      </c>
      <c r="N2890">
        <v>2062</v>
      </c>
      <c r="O2890" t="s">
        <v>575</v>
      </c>
      <c r="Q2890" t="s">
        <v>3571</v>
      </c>
      <c r="R2890" t="s">
        <v>3555</v>
      </c>
      <c r="S2890" t="s">
        <v>3556</v>
      </c>
      <c r="T2890" t="s">
        <v>3557</v>
      </c>
    </row>
    <row r="2891" spans="1:20" x14ac:dyDescent="0.25">
      <c r="A2891" t="s">
        <v>30</v>
      </c>
      <c r="B2891" t="s">
        <v>31</v>
      </c>
      <c r="C2891" t="s">
        <v>32</v>
      </c>
      <c r="D2891" t="s">
        <v>448</v>
      </c>
      <c r="F2891" t="s">
        <v>35</v>
      </c>
      <c r="G2891" t="s">
        <v>35</v>
      </c>
      <c r="H2891" t="s">
        <v>35</v>
      </c>
      <c r="J2891" t="s">
        <v>3892</v>
      </c>
      <c r="K2891" t="s">
        <v>1092</v>
      </c>
      <c r="M2891">
        <v>0.45</v>
      </c>
      <c r="N2891">
        <v>2528</v>
      </c>
      <c r="O2891" t="s">
        <v>575</v>
      </c>
      <c r="Q2891" t="s">
        <v>3893</v>
      </c>
      <c r="R2891" t="s">
        <v>3555</v>
      </c>
      <c r="S2891" t="s">
        <v>3556</v>
      </c>
      <c r="T2891" t="s">
        <v>3557</v>
      </c>
    </row>
    <row r="2892" spans="1:20" x14ac:dyDescent="0.25">
      <c r="A2892" t="s">
        <v>59</v>
      </c>
      <c r="B2892" t="s">
        <v>60</v>
      </c>
      <c r="C2892" t="s">
        <v>32</v>
      </c>
      <c r="D2892" t="s">
        <v>448</v>
      </c>
      <c r="F2892" t="s">
        <v>35</v>
      </c>
      <c r="G2892" t="s">
        <v>35</v>
      </c>
      <c r="H2892" t="s">
        <v>35</v>
      </c>
      <c r="J2892" t="s">
        <v>3892</v>
      </c>
      <c r="K2892" t="s">
        <v>1092</v>
      </c>
      <c r="M2892">
        <v>0.25</v>
      </c>
      <c r="N2892">
        <v>2629</v>
      </c>
      <c r="O2892" t="s">
        <v>575</v>
      </c>
      <c r="Q2892" t="s">
        <v>3897</v>
      </c>
      <c r="R2892" t="s">
        <v>3555</v>
      </c>
      <c r="S2892" t="s">
        <v>3556</v>
      </c>
      <c r="T2892" t="s">
        <v>3557</v>
      </c>
    </row>
    <row r="2893" spans="1:20" x14ac:dyDescent="0.25">
      <c r="A2893" t="s">
        <v>30</v>
      </c>
      <c r="B2893" t="s">
        <v>31</v>
      </c>
      <c r="C2893" t="s">
        <v>32</v>
      </c>
      <c r="D2893" t="s">
        <v>448</v>
      </c>
      <c r="E2893" t="s">
        <v>459</v>
      </c>
      <c r="F2893" t="s">
        <v>35</v>
      </c>
      <c r="G2893" t="s">
        <v>35</v>
      </c>
      <c r="H2893" t="s">
        <v>35</v>
      </c>
      <c r="J2893" t="s">
        <v>3559</v>
      </c>
      <c r="K2893" t="s">
        <v>1092</v>
      </c>
      <c r="M2893">
        <v>1.3049999999999999</v>
      </c>
      <c r="N2893">
        <v>107</v>
      </c>
      <c r="O2893" t="s">
        <v>106</v>
      </c>
      <c r="Q2893" t="s">
        <v>288</v>
      </c>
      <c r="R2893" t="s">
        <v>3555</v>
      </c>
      <c r="S2893" t="s">
        <v>3556</v>
      </c>
      <c r="T2893" t="s">
        <v>3557</v>
      </c>
    </row>
    <row r="2894" spans="1:20" x14ac:dyDescent="0.25">
      <c r="A2894" t="s">
        <v>30</v>
      </c>
      <c r="B2894" t="s">
        <v>31</v>
      </c>
      <c r="C2894" t="s">
        <v>32</v>
      </c>
      <c r="D2894" t="s">
        <v>448</v>
      </c>
      <c r="E2894" t="s">
        <v>459</v>
      </c>
      <c r="F2894" t="s">
        <v>35</v>
      </c>
      <c r="G2894" t="s">
        <v>35</v>
      </c>
      <c r="H2894" t="s">
        <v>35</v>
      </c>
      <c r="J2894" t="s">
        <v>3586</v>
      </c>
      <c r="K2894" t="s">
        <v>1092</v>
      </c>
      <c r="M2894">
        <v>1.575</v>
      </c>
      <c r="N2894">
        <v>92</v>
      </c>
      <c r="O2894" t="s">
        <v>106</v>
      </c>
      <c r="Q2894" t="s">
        <v>1216</v>
      </c>
      <c r="R2894" t="s">
        <v>3555</v>
      </c>
      <c r="S2894" t="s">
        <v>3556</v>
      </c>
      <c r="T2894" t="s">
        <v>3557</v>
      </c>
    </row>
    <row r="2895" spans="1:20" x14ac:dyDescent="0.25">
      <c r="A2895" t="s">
        <v>30</v>
      </c>
      <c r="B2895" t="s">
        <v>31</v>
      </c>
      <c r="C2895" t="s">
        <v>32</v>
      </c>
      <c r="D2895" t="s">
        <v>448</v>
      </c>
      <c r="E2895" t="s">
        <v>3609</v>
      </c>
      <c r="F2895" t="s">
        <v>35</v>
      </c>
      <c r="G2895" t="s">
        <v>35</v>
      </c>
      <c r="H2895" t="s">
        <v>35</v>
      </c>
      <c r="J2895" t="s">
        <v>3626</v>
      </c>
      <c r="K2895" t="s">
        <v>1092</v>
      </c>
      <c r="M2895">
        <v>0.27</v>
      </c>
      <c r="N2895">
        <v>1242</v>
      </c>
      <c r="O2895" t="s">
        <v>575</v>
      </c>
      <c r="Q2895" t="s">
        <v>3627</v>
      </c>
      <c r="R2895" t="s">
        <v>3612</v>
      </c>
      <c r="S2895" t="s">
        <v>474</v>
      </c>
      <c r="T2895" t="s">
        <v>475</v>
      </c>
    </row>
    <row r="2896" spans="1:20" x14ac:dyDescent="0.25">
      <c r="A2896" t="s">
        <v>44</v>
      </c>
      <c r="B2896" t="s">
        <v>3</v>
      </c>
      <c r="C2896" t="s">
        <v>32</v>
      </c>
      <c r="D2896" t="s">
        <v>448</v>
      </c>
      <c r="E2896" t="s">
        <v>3609</v>
      </c>
      <c r="F2896" t="s">
        <v>35</v>
      </c>
      <c r="G2896" t="s">
        <v>35</v>
      </c>
      <c r="H2896" t="s">
        <v>35</v>
      </c>
      <c r="J2896" t="s">
        <v>3626</v>
      </c>
      <c r="K2896" t="s">
        <v>1092</v>
      </c>
      <c r="M2896">
        <v>0.55000000000000004</v>
      </c>
      <c r="N2896">
        <v>487</v>
      </c>
      <c r="O2896" t="s">
        <v>294</v>
      </c>
      <c r="Q2896" t="s">
        <v>3564</v>
      </c>
      <c r="R2896" t="s">
        <v>3612</v>
      </c>
      <c r="S2896" t="s">
        <v>474</v>
      </c>
      <c r="T2896" t="s">
        <v>475</v>
      </c>
    </row>
    <row r="2897" spans="1:20" x14ac:dyDescent="0.25">
      <c r="A2897" t="s">
        <v>30</v>
      </c>
      <c r="B2897" t="s">
        <v>31</v>
      </c>
      <c r="C2897" t="s">
        <v>32</v>
      </c>
      <c r="D2897" t="s">
        <v>448</v>
      </c>
      <c r="E2897" t="s">
        <v>473</v>
      </c>
      <c r="F2897" t="s">
        <v>35</v>
      </c>
      <c r="G2897" t="s">
        <v>35</v>
      </c>
      <c r="H2897" t="s">
        <v>35</v>
      </c>
      <c r="J2897" t="s">
        <v>3705</v>
      </c>
      <c r="K2897" t="s">
        <v>1092</v>
      </c>
      <c r="M2897">
        <v>4.5</v>
      </c>
      <c r="N2897">
        <v>23</v>
      </c>
      <c r="O2897" t="s">
        <v>46</v>
      </c>
      <c r="Q2897" t="s">
        <v>793</v>
      </c>
      <c r="R2897" t="s">
        <v>3612</v>
      </c>
      <c r="S2897" t="s">
        <v>474</v>
      </c>
      <c r="T2897" t="s">
        <v>475</v>
      </c>
    </row>
    <row r="2898" spans="1:20" x14ac:dyDescent="0.25">
      <c r="A2898" t="s">
        <v>30</v>
      </c>
      <c r="B2898" t="s">
        <v>31</v>
      </c>
      <c r="C2898" t="s">
        <v>32</v>
      </c>
      <c r="D2898" t="s">
        <v>448</v>
      </c>
      <c r="F2898" t="s">
        <v>35</v>
      </c>
      <c r="G2898" t="s">
        <v>35</v>
      </c>
      <c r="H2898" t="s">
        <v>35</v>
      </c>
      <c r="J2898" t="s">
        <v>3910</v>
      </c>
      <c r="K2898" t="s">
        <v>1092</v>
      </c>
      <c r="M2898">
        <v>0.315</v>
      </c>
      <c r="N2898">
        <v>2077</v>
      </c>
      <c r="O2898" t="s">
        <v>575</v>
      </c>
      <c r="Q2898" t="s">
        <v>3911</v>
      </c>
      <c r="R2898" t="s">
        <v>3612</v>
      </c>
      <c r="S2898" t="s">
        <v>474</v>
      </c>
      <c r="T2898" t="s">
        <v>475</v>
      </c>
    </row>
    <row r="2899" spans="1:20" x14ac:dyDescent="0.25">
      <c r="A2899" t="s">
        <v>59</v>
      </c>
      <c r="B2899" t="s">
        <v>60</v>
      </c>
      <c r="C2899" t="s">
        <v>32</v>
      </c>
      <c r="D2899" t="s">
        <v>448</v>
      </c>
      <c r="E2899" t="s">
        <v>473</v>
      </c>
      <c r="F2899" t="s">
        <v>35</v>
      </c>
      <c r="G2899" t="s">
        <v>35</v>
      </c>
      <c r="H2899" t="s">
        <v>35</v>
      </c>
      <c r="J2899" t="s">
        <v>3703</v>
      </c>
      <c r="K2899" t="s">
        <v>1092</v>
      </c>
      <c r="M2899">
        <v>4</v>
      </c>
      <c r="N2899">
        <v>21</v>
      </c>
      <c r="O2899" t="s">
        <v>46</v>
      </c>
      <c r="Q2899" t="s">
        <v>176</v>
      </c>
      <c r="R2899" t="s">
        <v>3612</v>
      </c>
      <c r="S2899" t="s">
        <v>474</v>
      </c>
      <c r="T2899" t="s">
        <v>475</v>
      </c>
    </row>
    <row r="2900" spans="1:20" x14ac:dyDescent="0.25">
      <c r="A2900" t="s">
        <v>44</v>
      </c>
      <c r="B2900" t="s">
        <v>3</v>
      </c>
      <c r="C2900" t="s">
        <v>32</v>
      </c>
      <c r="D2900" t="s">
        <v>448</v>
      </c>
      <c r="E2900" t="s">
        <v>3609</v>
      </c>
      <c r="F2900" t="s">
        <v>35</v>
      </c>
      <c r="G2900" t="s">
        <v>35</v>
      </c>
      <c r="H2900" t="s">
        <v>35</v>
      </c>
      <c r="J2900" t="s">
        <v>3611</v>
      </c>
      <c r="K2900" t="s">
        <v>1092</v>
      </c>
      <c r="M2900">
        <v>0.75</v>
      </c>
      <c r="N2900">
        <v>487</v>
      </c>
      <c r="O2900" t="s">
        <v>294</v>
      </c>
      <c r="Q2900" t="s">
        <v>3564</v>
      </c>
      <c r="R2900" t="s">
        <v>3612</v>
      </c>
      <c r="S2900" t="s">
        <v>474</v>
      </c>
      <c r="T2900" t="s">
        <v>475</v>
      </c>
    </row>
    <row r="2901" spans="1:20" x14ac:dyDescent="0.25">
      <c r="A2901" t="s">
        <v>44</v>
      </c>
      <c r="B2901" t="s">
        <v>51</v>
      </c>
      <c r="C2901" t="s">
        <v>32</v>
      </c>
      <c r="D2901" t="s">
        <v>448</v>
      </c>
      <c r="E2901" t="s">
        <v>473</v>
      </c>
      <c r="F2901" t="s">
        <v>35</v>
      </c>
      <c r="G2901" t="s">
        <v>35</v>
      </c>
      <c r="H2901" t="s">
        <v>35</v>
      </c>
      <c r="J2901" t="s">
        <v>3739</v>
      </c>
      <c r="K2901" t="s">
        <v>1092</v>
      </c>
      <c r="M2901">
        <v>2.5000000000000001E-2</v>
      </c>
      <c r="N2901">
        <v>831</v>
      </c>
      <c r="O2901" t="s">
        <v>575</v>
      </c>
      <c r="Q2901" t="s">
        <v>3740</v>
      </c>
      <c r="R2901" t="s">
        <v>3612</v>
      </c>
      <c r="S2901" t="s">
        <v>474</v>
      </c>
      <c r="T2901" t="s">
        <v>475</v>
      </c>
    </row>
    <row r="2902" spans="1:20" x14ac:dyDescent="0.25">
      <c r="A2902" t="s">
        <v>30</v>
      </c>
      <c r="B2902" t="s">
        <v>31</v>
      </c>
      <c r="C2902" t="s">
        <v>32</v>
      </c>
      <c r="D2902" t="s">
        <v>448</v>
      </c>
      <c r="F2902" t="s">
        <v>35</v>
      </c>
      <c r="G2902" t="s">
        <v>35</v>
      </c>
      <c r="H2902" t="s">
        <v>35</v>
      </c>
      <c r="J2902" t="s">
        <v>3905</v>
      </c>
      <c r="K2902" t="s">
        <v>1092</v>
      </c>
      <c r="M2902">
        <v>0.22500000000000001</v>
      </c>
      <c r="N2902">
        <v>1705</v>
      </c>
      <c r="O2902" t="s">
        <v>575</v>
      </c>
      <c r="Q2902" t="s">
        <v>3906</v>
      </c>
      <c r="R2902" t="s">
        <v>3612</v>
      </c>
      <c r="S2902" t="s">
        <v>474</v>
      </c>
      <c r="T2902" t="s">
        <v>475</v>
      </c>
    </row>
    <row r="2903" spans="1:20" x14ac:dyDescent="0.25">
      <c r="A2903" t="s">
        <v>44</v>
      </c>
      <c r="B2903" t="s">
        <v>3</v>
      </c>
      <c r="C2903" t="s">
        <v>32</v>
      </c>
      <c r="D2903" t="s">
        <v>448</v>
      </c>
      <c r="E2903" t="s">
        <v>473</v>
      </c>
      <c r="F2903" t="s">
        <v>35</v>
      </c>
      <c r="G2903" t="s">
        <v>35</v>
      </c>
      <c r="H2903" t="s">
        <v>35</v>
      </c>
      <c r="J2903" t="s">
        <v>3706</v>
      </c>
      <c r="K2903" t="s">
        <v>1092</v>
      </c>
      <c r="M2903">
        <v>1.05</v>
      </c>
      <c r="N2903">
        <v>487</v>
      </c>
      <c r="O2903" t="s">
        <v>294</v>
      </c>
      <c r="Q2903" t="s">
        <v>3564</v>
      </c>
      <c r="R2903" t="s">
        <v>3612</v>
      </c>
      <c r="S2903" t="s">
        <v>474</v>
      </c>
      <c r="T2903" t="s">
        <v>475</v>
      </c>
    </row>
    <row r="2904" spans="1:20" x14ac:dyDescent="0.25">
      <c r="A2904" t="s">
        <v>30</v>
      </c>
      <c r="B2904" t="s">
        <v>31</v>
      </c>
      <c r="C2904" t="s">
        <v>32</v>
      </c>
      <c r="D2904" t="s">
        <v>448</v>
      </c>
      <c r="E2904" t="s">
        <v>3609</v>
      </c>
      <c r="F2904" t="s">
        <v>35</v>
      </c>
      <c r="G2904" t="s">
        <v>35</v>
      </c>
      <c r="H2904" t="s">
        <v>35</v>
      </c>
      <c r="J2904" t="s">
        <v>3615</v>
      </c>
      <c r="K2904" t="s">
        <v>1092</v>
      </c>
      <c r="M2904">
        <v>6.93</v>
      </c>
      <c r="N2904">
        <v>23</v>
      </c>
      <c r="O2904" t="s">
        <v>46</v>
      </c>
      <c r="Q2904" t="s">
        <v>793</v>
      </c>
      <c r="R2904" t="s">
        <v>3612</v>
      </c>
      <c r="S2904" t="s">
        <v>474</v>
      </c>
      <c r="T2904" t="s">
        <v>475</v>
      </c>
    </row>
    <row r="2905" spans="1:20" x14ac:dyDescent="0.25">
      <c r="A2905" t="s">
        <v>30</v>
      </c>
      <c r="B2905" t="s">
        <v>31</v>
      </c>
      <c r="C2905" t="s">
        <v>32</v>
      </c>
      <c r="D2905" t="s">
        <v>448</v>
      </c>
      <c r="E2905" t="s">
        <v>473</v>
      </c>
      <c r="F2905" t="s">
        <v>35</v>
      </c>
      <c r="G2905" t="s">
        <v>35</v>
      </c>
      <c r="H2905" t="s">
        <v>35</v>
      </c>
      <c r="J2905" t="s">
        <v>3720</v>
      </c>
      <c r="K2905" t="s">
        <v>1092</v>
      </c>
      <c r="M2905">
        <v>0.01</v>
      </c>
      <c r="N2905">
        <v>2447</v>
      </c>
      <c r="O2905" t="s">
        <v>575</v>
      </c>
      <c r="Q2905" t="s">
        <v>3721</v>
      </c>
      <c r="R2905" t="s">
        <v>3722</v>
      </c>
      <c r="S2905" t="s">
        <v>3723</v>
      </c>
      <c r="T2905" t="s">
        <v>3724</v>
      </c>
    </row>
    <row r="2906" spans="1:20" x14ac:dyDescent="0.25">
      <c r="A2906" t="s">
        <v>59</v>
      </c>
      <c r="B2906" t="s">
        <v>31</v>
      </c>
      <c r="C2906" t="s">
        <v>32</v>
      </c>
      <c r="D2906" t="s">
        <v>448</v>
      </c>
      <c r="E2906" t="s">
        <v>473</v>
      </c>
      <c r="F2906" t="s">
        <v>35</v>
      </c>
      <c r="G2906" t="s">
        <v>35</v>
      </c>
      <c r="H2906" t="s">
        <v>35</v>
      </c>
      <c r="J2906" t="s">
        <v>3742</v>
      </c>
      <c r="K2906" t="s">
        <v>1092</v>
      </c>
      <c r="M2906">
        <v>0.44500000000000001</v>
      </c>
      <c r="N2906">
        <v>1098</v>
      </c>
      <c r="O2906" t="s">
        <v>575</v>
      </c>
      <c r="Q2906" t="s">
        <v>3743</v>
      </c>
      <c r="R2906" t="s">
        <v>3722</v>
      </c>
      <c r="S2906" t="s">
        <v>3723</v>
      </c>
      <c r="T2906" t="s">
        <v>3724</v>
      </c>
    </row>
    <row r="2907" spans="1:20" x14ac:dyDescent="0.25">
      <c r="A2907" t="s">
        <v>30</v>
      </c>
      <c r="B2907" t="s">
        <v>31</v>
      </c>
      <c r="C2907" t="s">
        <v>32</v>
      </c>
      <c r="D2907" t="s">
        <v>448</v>
      </c>
      <c r="E2907" t="s">
        <v>473</v>
      </c>
      <c r="F2907" t="s">
        <v>35</v>
      </c>
      <c r="G2907" t="s">
        <v>35</v>
      </c>
      <c r="H2907" t="s">
        <v>35</v>
      </c>
      <c r="J2907" t="s">
        <v>3742</v>
      </c>
      <c r="K2907" t="s">
        <v>1092</v>
      </c>
      <c r="M2907">
        <v>7.0000000000000001E-3</v>
      </c>
      <c r="N2907">
        <v>1662</v>
      </c>
      <c r="O2907" t="s">
        <v>575</v>
      </c>
      <c r="Q2907" t="s">
        <v>3744</v>
      </c>
      <c r="R2907" t="s">
        <v>3722</v>
      </c>
      <c r="S2907" t="s">
        <v>3723</v>
      </c>
      <c r="T2907" t="s">
        <v>3724</v>
      </c>
    </row>
    <row r="2908" spans="1:20" x14ac:dyDescent="0.25">
      <c r="A2908" t="s">
        <v>30</v>
      </c>
      <c r="B2908" t="s">
        <v>31</v>
      </c>
      <c r="C2908" t="s">
        <v>32</v>
      </c>
      <c r="D2908" t="s">
        <v>448</v>
      </c>
      <c r="F2908" t="s">
        <v>35</v>
      </c>
      <c r="G2908" t="s">
        <v>35</v>
      </c>
      <c r="H2908" t="s">
        <v>35</v>
      </c>
      <c r="J2908" t="s">
        <v>3909</v>
      </c>
      <c r="K2908" t="s">
        <v>1092</v>
      </c>
      <c r="M2908">
        <v>4.12</v>
      </c>
      <c r="N2908">
        <v>1608</v>
      </c>
      <c r="O2908" t="s">
        <v>575</v>
      </c>
      <c r="Q2908" t="s">
        <v>2674</v>
      </c>
      <c r="R2908" t="s">
        <v>3722</v>
      </c>
      <c r="S2908" t="s">
        <v>3723</v>
      </c>
      <c r="T2908" t="s">
        <v>3724</v>
      </c>
    </row>
    <row r="2909" spans="1:20" x14ac:dyDescent="0.25">
      <c r="A2909" t="s">
        <v>30</v>
      </c>
      <c r="B2909" t="s">
        <v>31</v>
      </c>
      <c r="C2909" t="s">
        <v>32</v>
      </c>
      <c r="D2909" t="s">
        <v>448</v>
      </c>
      <c r="E2909" t="s">
        <v>473</v>
      </c>
      <c r="F2909" t="s">
        <v>35</v>
      </c>
      <c r="G2909" t="s">
        <v>35</v>
      </c>
      <c r="H2909" t="s">
        <v>35</v>
      </c>
      <c r="J2909" t="s">
        <v>3732</v>
      </c>
      <c r="K2909" t="s">
        <v>1092</v>
      </c>
      <c r="M2909">
        <v>0.69</v>
      </c>
      <c r="N2909">
        <v>1599</v>
      </c>
      <c r="O2909" t="s">
        <v>575</v>
      </c>
      <c r="Q2909" t="s">
        <v>3733</v>
      </c>
      <c r="R2909" t="s">
        <v>3722</v>
      </c>
      <c r="S2909" t="s">
        <v>3723</v>
      </c>
      <c r="T2909" t="s">
        <v>3724</v>
      </c>
    </row>
    <row r="2910" spans="1:20" x14ac:dyDescent="0.25">
      <c r="A2910" t="s">
        <v>30</v>
      </c>
      <c r="B2910" t="s">
        <v>31</v>
      </c>
      <c r="C2910" t="s">
        <v>32</v>
      </c>
      <c r="D2910" t="s">
        <v>448</v>
      </c>
      <c r="E2910" t="s">
        <v>473</v>
      </c>
      <c r="F2910" t="s">
        <v>35</v>
      </c>
      <c r="G2910" t="s">
        <v>35</v>
      </c>
      <c r="H2910" t="s">
        <v>35</v>
      </c>
      <c r="J2910" t="s">
        <v>3734</v>
      </c>
      <c r="K2910" t="s">
        <v>1092</v>
      </c>
      <c r="M2910">
        <v>0.12</v>
      </c>
      <c r="N2910">
        <v>2439</v>
      </c>
      <c r="O2910" t="s">
        <v>575</v>
      </c>
      <c r="Q2910" t="s">
        <v>3735</v>
      </c>
      <c r="R2910" t="s">
        <v>3722</v>
      </c>
      <c r="S2910" t="s">
        <v>3723</v>
      </c>
      <c r="T2910" t="s">
        <v>3724</v>
      </c>
    </row>
    <row r="2911" spans="1:20" x14ac:dyDescent="0.25">
      <c r="A2911" t="s">
        <v>30</v>
      </c>
      <c r="B2911" t="s">
        <v>31</v>
      </c>
      <c r="C2911" t="s">
        <v>32</v>
      </c>
      <c r="D2911" t="s">
        <v>448</v>
      </c>
      <c r="E2911" t="s">
        <v>473</v>
      </c>
      <c r="F2911" t="s">
        <v>35</v>
      </c>
      <c r="G2911" t="s">
        <v>35</v>
      </c>
      <c r="H2911" t="s">
        <v>35</v>
      </c>
      <c r="J2911" t="s">
        <v>3707</v>
      </c>
      <c r="K2911" t="s">
        <v>1092</v>
      </c>
      <c r="M2911">
        <v>11.025</v>
      </c>
      <c r="N2911">
        <v>46</v>
      </c>
      <c r="O2911" t="s">
        <v>52</v>
      </c>
      <c r="Q2911" t="s">
        <v>332</v>
      </c>
      <c r="R2911" t="s">
        <v>507</v>
      </c>
      <c r="S2911" t="s">
        <v>508</v>
      </c>
      <c r="T2911" t="s">
        <v>335</v>
      </c>
    </row>
    <row r="2912" spans="1:20" x14ac:dyDescent="0.25">
      <c r="A2912" t="s">
        <v>30</v>
      </c>
      <c r="B2912" t="s">
        <v>31</v>
      </c>
      <c r="C2912" t="s">
        <v>32</v>
      </c>
      <c r="D2912" t="s">
        <v>448</v>
      </c>
      <c r="E2912" t="s">
        <v>497</v>
      </c>
      <c r="F2912" t="s">
        <v>35</v>
      </c>
      <c r="G2912" t="s">
        <v>35</v>
      </c>
      <c r="H2912" t="s">
        <v>35</v>
      </c>
      <c r="J2912" t="s">
        <v>504</v>
      </c>
      <c r="K2912" t="s">
        <v>37</v>
      </c>
      <c r="M2912">
        <v>24.975000000000001</v>
      </c>
      <c r="N2912">
        <v>46</v>
      </c>
      <c r="O2912" t="s">
        <v>52</v>
      </c>
      <c r="P2912" t="s">
        <v>506</v>
      </c>
      <c r="Q2912" t="s">
        <v>332</v>
      </c>
      <c r="R2912" t="s">
        <v>507</v>
      </c>
      <c r="S2912" t="s">
        <v>508</v>
      </c>
      <c r="T2912" t="s">
        <v>335</v>
      </c>
    </row>
    <row r="2913" spans="1:20" x14ac:dyDescent="0.25">
      <c r="A2913" t="s">
        <v>59</v>
      </c>
      <c r="B2913" t="s">
        <v>60</v>
      </c>
      <c r="C2913" t="s">
        <v>32</v>
      </c>
      <c r="D2913" t="s">
        <v>448</v>
      </c>
      <c r="E2913" t="s">
        <v>3609</v>
      </c>
      <c r="F2913" t="s">
        <v>35</v>
      </c>
      <c r="G2913" t="s">
        <v>35</v>
      </c>
      <c r="H2913" t="s">
        <v>35</v>
      </c>
      <c r="J2913" t="s">
        <v>3613</v>
      </c>
      <c r="K2913" t="s">
        <v>1092</v>
      </c>
      <c r="M2913">
        <v>0.75</v>
      </c>
      <c r="N2913">
        <v>69</v>
      </c>
      <c r="O2913" t="s">
        <v>61</v>
      </c>
      <c r="Q2913" t="s">
        <v>234</v>
      </c>
      <c r="R2913" t="s">
        <v>507</v>
      </c>
      <c r="S2913" t="s">
        <v>508</v>
      </c>
      <c r="T2913" t="s">
        <v>335</v>
      </c>
    </row>
    <row r="2914" spans="1:20" x14ac:dyDescent="0.25">
      <c r="A2914" t="s">
        <v>30</v>
      </c>
      <c r="B2914" t="s">
        <v>31</v>
      </c>
      <c r="C2914" t="s">
        <v>32</v>
      </c>
      <c r="D2914" t="s">
        <v>448</v>
      </c>
      <c r="E2914" t="s">
        <v>3609</v>
      </c>
      <c r="F2914" t="s">
        <v>35</v>
      </c>
      <c r="G2914" t="s">
        <v>35</v>
      </c>
      <c r="H2914" t="s">
        <v>35</v>
      </c>
      <c r="J2914" t="s">
        <v>3613</v>
      </c>
      <c r="K2914" t="s">
        <v>1092</v>
      </c>
      <c r="M2914">
        <v>4.4999999999999998E-2</v>
      </c>
      <c r="N2914">
        <v>1217</v>
      </c>
      <c r="O2914" t="s">
        <v>575</v>
      </c>
      <c r="Q2914" t="s">
        <v>3614</v>
      </c>
      <c r="R2914" t="s">
        <v>507</v>
      </c>
      <c r="S2914" t="s">
        <v>508</v>
      </c>
      <c r="T2914" t="s">
        <v>335</v>
      </c>
    </row>
    <row r="2915" spans="1:20" x14ac:dyDescent="0.25">
      <c r="A2915" t="s">
        <v>44</v>
      </c>
      <c r="B2915" t="s">
        <v>3</v>
      </c>
      <c r="C2915" t="s">
        <v>32</v>
      </c>
      <c r="D2915" t="s">
        <v>448</v>
      </c>
      <c r="E2915" t="s">
        <v>473</v>
      </c>
      <c r="F2915" t="s">
        <v>35</v>
      </c>
      <c r="G2915" t="s">
        <v>35</v>
      </c>
      <c r="H2915" t="s">
        <v>35</v>
      </c>
      <c r="J2915" t="s">
        <v>3748</v>
      </c>
      <c r="K2915" t="s">
        <v>1092</v>
      </c>
      <c r="M2915">
        <v>0.6</v>
      </c>
      <c r="N2915">
        <v>498</v>
      </c>
      <c r="O2915" t="s">
        <v>294</v>
      </c>
      <c r="Q2915" t="s">
        <v>3749</v>
      </c>
      <c r="R2915" t="s">
        <v>3750</v>
      </c>
      <c r="S2915" t="s">
        <v>3751</v>
      </c>
      <c r="T2915" t="s">
        <v>3752</v>
      </c>
    </row>
    <row r="2916" spans="1:20" x14ac:dyDescent="0.25">
      <c r="A2916" t="s">
        <v>30</v>
      </c>
      <c r="B2916" t="s">
        <v>31</v>
      </c>
      <c r="C2916" t="s">
        <v>32</v>
      </c>
      <c r="D2916" t="s">
        <v>448</v>
      </c>
      <c r="F2916" t="s">
        <v>35</v>
      </c>
      <c r="G2916" t="s">
        <v>35</v>
      </c>
      <c r="H2916" t="s">
        <v>35</v>
      </c>
      <c r="J2916" t="s">
        <v>3907</v>
      </c>
      <c r="K2916" t="s">
        <v>1092</v>
      </c>
      <c r="M2916">
        <v>5.0000000000000001E-3</v>
      </c>
      <c r="N2916">
        <v>2251</v>
      </c>
      <c r="O2916" t="s">
        <v>575</v>
      </c>
      <c r="Q2916" t="s">
        <v>3908</v>
      </c>
      <c r="R2916" t="s">
        <v>3618</v>
      </c>
      <c r="S2916" t="s">
        <v>3619</v>
      </c>
      <c r="T2916" t="s">
        <v>3620</v>
      </c>
    </row>
    <row r="2917" spans="1:20" x14ac:dyDescent="0.25">
      <c r="A2917" t="s">
        <v>59</v>
      </c>
      <c r="B2917" t="s">
        <v>31</v>
      </c>
      <c r="C2917" t="s">
        <v>32</v>
      </c>
      <c r="D2917" t="s">
        <v>448</v>
      </c>
      <c r="F2917" t="s">
        <v>35</v>
      </c>
      <c r="G2917" t="s">
        <v>35</v>
      </c>
      <c r="H2917" t="s">
        <v>35</v>
      </c>
      <c r="J2917" t="s">
        <v>1950</v>
      </c>
      <c r="K2917" t="s">
        <v>1092</v>
      </c>
      <c r="M2917">
        <v>0.03</v>
      </c>
      <c r="N2917">
        <v>2052</v>
      </c>
      <c r="O2917" t="s">
        <v>575</v>
      </c>
      <c r="Q2917" t="s">
        <v>3902</v>
      </c>
      <c r="R2917" t="s">
        <v>3618</v>
      </c>
      <c r="S2917" t="s">
        <v>3619</v>
      </c>
      <c r="T2917" t="s">
        <v>3620</v>
      </c>
    </row>
    <row r="2918" spans="1:20" x14ac:dyDescent="0.25">
      <c r="A2918" t="s">
        <v>30</v>
      </c>
      <c r="B2918" t="s">
        <v>31</v>
      </c>
      <c r="C2918" t="s">
        <v>32</v>
      </c>
      <c r="D2918" t="s">
        <v>448</v>
      </c>
      <c r="E2918" t="s">
        <v>3609</v>
      </c>
      <c r="F2918" t="s">
        <v>35</v>
      </c>
      <c r="G2918" t="s">
        <v>35</v>
      </c>
      <c r="H2918" t="s">
        <v>35</v>
      </c>
      <c r="J2918" t="s">
        <v>3616</v>
      </c>
      <c r="K2918" t="s">
        <v>1092</v>
      </c>
      <c r="M2918">
        <v>0.03</v>
      </c>
      <c r="N2918">
        <v>1917</v>
      </c>
      <c r="O2918" t="s">
        <v>575</v>
      </c>
      <c r="Q2918" t="s">
        <v>3617</v>
      </c>
      <c r="R2918" t="s">
        <v>3618</v>
      </c>
      <c r="S2918" t="s">
        <v>3619</v>
      </c>
      <c r="T2918" t="s">
        <v>3620</v>
      </c>
    </row>
    <row r="2919" spans="1:20" x14ac:dyDescent="0.25">
      <c r="A2919" t="s">
        <v>30</v>
      </c>
      <c r="B2919" t="s">
        <v>31</v>
      </c>
      <c r="C2919" t="s">
        <v>32</v>
      </c>
      <c r="D2919" t="s">
        <v>448</v>
      </c>
      <c r="E2919" t="s">
        <v>3609</v>
      </c>
      <c r="F2919" t="s">
        <v>35</v>
      </c>
      <c r="G2919" t="s">
        <v>35</v>
      </c>
      <c r="H2919" t="s">
        <v>35</v>
      </c>
      <c r="J2919" t="s">
        <v>3632</v>
      </c>
      <c r="K2919" t="s">
        <v>1092</v>
      </c>
      <c r="M2919">
        <v>4.4999999999999998E-2</v>
      </c>
      <c r="N2919">
        <v>1348</v>
      </c>
      <c r="O2919" t="s">
        <v>575</v>
      </c>
      <c r="Q2919" t="s">
        <v>3633</v>
      </c>
      <c r="R2919" t="s">
        <v>3618</v>
      </c>
      <c r="S2919" t="s">
        <v>3619</v>
      </c>
      <c r="T2919" t="s">
        <v>3620</v>
      </c>
    </row>
    <row r="2920" spans="1:20" x14ac:dyDescent="0.25">
      <c r="A2920" t="s">
        <v>30</v>
      </c>
      <c r="B2920" t="s">
        <v>31</v>
      </c>
      <c r="C2920" t="s">
        <v>32</v>
      </c>
      <c r="D2920" t="s">
        <v>448</v>
      </c>
      <c r="E2920" t="s">
        <v>3609</v>
      </c>
      <c r="F2920" t="s">
        <v>35</v>
      </c>
      <c r="G2920" t="s">
        <v>35</v>
      </c>
      <c r="H2920" t="s">
        <v>35</v>
      </c>
      <c r="J2920" t="s">
        <v>3628</v>
      </c>
      <c r="K2920" t="s">
        <v>1092</v>
      </c>
      <c r="M2920">
        <v>0.14499999999999999</v>
      </c>
      <c r="N2920">
        <v>2552</v>
      </c>
      <c r="O2920" t="s">
        <v>575</v>
      </c>
      <c r="Q2920" t="s">
        <v>3629</v>
      </c>
      <c r="R2920" t="s">
        <v>3618</v>
      </c>
      <c r="S2920" t="s">
        <v>3619</v>
      </c>
      <c r="T2920" t="s">
        <v>3620</v>
      </c>
    </row>
    <row r="2921" spans="1:20" x14ac:dyDescent="0.25">
      <c r="A2921" t="s">
        <v>30</v>
      </c>
      <c r="B2921" t="s">
        <v>31</v>
      </c>
      <c r="C2921" t="s">
        <v>32</v>
      </c>
      <c r="D2921" t="s">
        <v>448</v>
      </c>
      <c r="F2921" t="s">
        <v>35</v>
      </c>
      <c r="G2921" t="s">
        <v>35</v>
      </c>
      <c r="H2921" t="s">
        <v>35</v>
      </c>
      <c r="J2921" t="s">
        <v>3918</v>
      </c>
      <c r="K2921" t="s">
        <v>1092</v>
      </c>
      <c r="M2921">
        <v>7.29</v>
      </c>
      <c r="N2921">
        <v>1632</v>
      </c>
      <c r="O2921" t="s">
        <v>575</v>
      </c>
      <c r="Q2921" t="s">
        <v>3919</v>
      </c>
      <c r="R2921" t="s">
        <v>3618</v>
      </c>
      <c r="S2921" t="s">
        <v>3619</v>
      </c>
      <c r="T2921" t="s">
        <v>3620</v>
      </c>
    </row>
    <row r="2922" spans="1:20" x14ac:dyDescent="0.25">
      <c r="A2922" t="s">
        <v>59</v>
      </c>
      <c r="B2922" t="s">
        <v>60</v>
      </c>
      <c r="C2922" t="s">
        <v>32</v>
      </c>
      <c r="D2922" t="s">
        <v>448</v>
      </c>
      <c r="E2922" t="s">
        <v>497</v>
      </c>
      <c r="F2922" t="s">
        <v>35</v>
      </c>
      <c r="G2922" t="s">
        <v>35</v>
      </c>
      <c r="H2922" t="s">
        <v>35</v>
      </c>
      <c r="J2922" t="s">
        <v>3771</v>
      </c>
      <c r="K2922" t="s">
        <v>1092</v>
      </c>
      <c r="M2922">
        <v>0.5</v>
      </c>
      <c r="N2922">
        <v>141</v>
      </c>
      <c r="O2922" t="s">
        <v>38</v>
      </c>
      <c r="Q2922" t="s">
        <v>1168</v>
      </c>
      <c r="R2922" t="s">
        <v>519</v>
      </c>
      <c r="S2922" t="s">
        <v>485</v>
      </c>
      <c r="T2922" t="s">
        <v>486</v>
      </c>
    </row>
    <row r="2923" spans="1:20" x14ac:dyDescent="0.25">
      <c r="A2923" t="s">
        <v>30</v>
      </c>
      <c r="B2923" t="s">
        <v>31</v>
      </c>
      <c r="C2923" t="s">
        <v>32</v>
      </c>
      <c r="D2923" t="s">
        <v>448</v>
      </c>
      <c r="E2923" t="s">
        <v>459</v>
      </c>
      <c r="F2923" t="s">
        <v>35</v>
      </c>
      <c r="G2923" t="s">
        <v>35</v>
      </c>
      <c r="H2923" t="s">
        <v>35</v>
      </c>
      <c r="J2923" t="s">
        <v>3552</v>
      </c>
      <c r="K2923" t="s">
        <v>1092</v>
      </c>
      <c r="M2923">
        <v>1.35</v>
      </c>
      <c r="N2923">
        <v>43</v>
      </c>
      <c r="O2923" t="s">
        <v>52</v>
      </c>
      <c r="Q2923" t="s">
        <v>425</v>
      </c>
      <c r="R2923" t="s">
        <v>519</v>
      </c>
      <c r="S2923" t="s">
        <v>485</v>
      </c>
      <c r="T2923" t="s">
        <v>486</v>
      </c>
    </row>
    <row r="2924" spans="1:20" x14ac:dyDescent="0.25">
      <c r="A2924" t="s">
        <v>59</v>
      </c>
      <c r="B2924" t="s">
        <v>31</v>
      </c>
      <c r="C2924" t="s">
        <v>32</v>
      </c>
      <c r="D2924" t="s">
        <v>448</v>
      </c>
      <c r="E2924" t="s">
        <v>459</v>
      </c>
      <c r="F2924" t="s">
        <v>35</v>
      </c>
      <c r="G2924" t="s">
        <v>35</v>
      </c>
      <c r="H2924" t="s">
        <v>35</v>
      </c>
      <c r="J2924" t="s">
        <v>3563</v>
      </c>
      <c r="K2924" t="s">
        <v>1092</v>
      </c>
      <c r="M2924">
        <v>0.36</v>
      </c>
      <c r="N2924">
        <v>487</v>
      </c>
      <c r="O2924" t="s">
        <v>294</v>
      </c>
      <c r="Q2924" t="s">
        <v>3564</v>
      </c>
      <c r="R2924" t="s">
        <v>519</v>
      </c>
      <c r="S2924" t="s">
        <v>485</v>
      </c>
      <c r="T2924" t="s">
        <v>486</v>
      </c>
    </row>
    <row r="2925" spans="1:20" x14ac:dyDescent="0.25">
      <c r="A2925" t="s">
        <v>59</v>
      </c>
      <c r="B2925" t="s">
        <v>60</v>
      </c>
      <c r="C2925" t="s">
        <v>32</v>
      </c>
      <c r="D2925" t="s">
        <v>448</v>
      </c>
      <c r="E2925" t="s">
        <v>484</v>
      </c>
      <c r="F2925" t="s">
        <v>35</v>
      </c>
      <c r="G2925" t="s">
        <v>35</v>
      </c>
      <c r="H2925" t="s">
        <v>35</v>
      </c>
      <c r="J2925" t="s">
        <v>3762</v>
      </c>
      <c r="K2925" t="s">
        <v>1092</v>
      </c>
      <c r="M2925">
        <v>0.45</v>
      </c>
      <c r="N2925">
        <v>463</v>
      </c>
      <c r="O2925" t="s">
        <v>294</v>
      </c>
      <c r="Q2925" t="s">
        <v>1327</v>
      </c>
      <c r="R2925" t="s">
        <v>519</v>
      </c>
      <c r="S2925" t="s">
        <v>485</v>
      </c>
      <c r="T2925" t="s">
        <v>486</v>
      </c>
    </row>
    <row r="2926" spans="1:20" x14ac:dyDescent="0.25">
      <c r="A2926" t="s">
        <v>59</v>
      </c>
      <c r="B2926" t="s">
        <v>60</v>
      </c>
      <c r="C2926" t="s">
        <v>32</v>
      </c>
      <c r="D2926" t="s">
        <v>448</v>
      </c>
      <c r="E2926" t="s">
        <v>497</v>
      </c>
      <c r="F2926" t="s">
        <v>35</v>
      </c>
      <c r="G2926" t="s">
        <v>35</v>
      </c>
      <c r="H2926" t="s">
        <v>35</v>
      </c>
      <c r="J2926" t="s">
        <v>3780</v>
      </c>
      <c r="K2926" t="s">
        <v>1092</v>
      </c>
      <c r="M2926">
        <v>0.05</v>
      </c>
      <c r="N2926">
        <v>121</v>
      </c>
      <c r="O2926" t="s">
        <v>38</v>
      </c>
      <c r="Q2926" t="s">
        <v>1170</v>
      </c>
      <c r="R2926" t="s">
        <v>519</v>
      </c>
      <c r="S2926" t="s">
        <v>485</v>
      </c>
      <c r="T2926" t="s">
        <v>486</v>
      </c>
    </row>
    <row r="2927" spans="1:20" x14ac:dyDescent="0.25">
      <c r="A2927" t="s">
        <v>59</v>
      </c>
      <c r="B2927" t="s">
        <v>60</v>
      </c>
      <c r="C2927" t="s">
        <v>32</v>
      </c>
      <c r="D2927" t="s">
        <v>448</v>
      </c>
      <c r="E2927" t="s">
        <v>497</v>
      </c>
      <c r="F2927" t="s">
        <v>35</v>
      </c>
      <c r="G2927" t="s">
        <v>35</v>
      </c>
      <c r="H2927" t="s">
        <v>35</v>
      </c>
      <c r="J2927" t="s">
        <v>3783</v>
      </c>
      <c r="K2927" t="s">
        <v>1092</v>
      </c>
      <c r="M2927">
        <v>2.0499999999999998</v>
      </c>
      <c r="N2927">
        <v>124</v>
      </c>
      <c r="O2927" t="s">
        <v>38</v>
      </c>
      <c r="Q2927" t="s">
        <v>646</v>
      </c>
      <c r="R2927" t="s">
        <v>519</v>
      </c>
      <c r="S2927" t="s">
        <v>485</v>
      </c>
      <c r="T2927" t="s">
        <v>486</v>
      </c>
    </row>
    <row r="2928" spans="1:20" x14ac:dyDescent="0.25">
      <c r="A2928" t="s">
        <v>59</v>
      </c>
      <c r="B2928" t="s">
        <v>60</v>
      </c>
      <c r="C2928" t="s">
        <v>32</v>
      </c>
      <c r="D2928" t="s">
        <v>448</v>
      </c>
      <c r="E2928" t="s">
        <v>509</v>
      </c>
      <c r="F2928" t="s">
        <v>35</v>
      </c>
      <c r="G2928" t="s">
        <v>35</v>
      </c>
      <c r="H2928" t="s">
        <v>35</v>
      </c>
      <c r="J2928" t="s">
        <v>510</v>
      </c>
      <c r="K2928" t="s">
        <v>37</v>
      </c>
      <c r="M2928">
        <v>0.5</v>
      </c>
      <c r="N2928">
        <v>48</v>
      </c>
      <c r="O2928" t="s">
        <v>52</v>
      </c>
      <c r="P2928" t="s">
        <v>517</v>
      </c>
      <c r="Q2928" t="s">
        <v>518</v>
      </c>
      <c r="R2928" t="s">
        <v>519</v>
      </c>
      <c r="S2928" t="s">
        <v>485</v>
      </c>
      <c r="T2928" t="s">
        <v>486</v>
      </c>
    </row>
    <row r="2929" spans="1:20" x14ac:dyDescent="0.25">
      <c r="A2929" t="s">
        <v>59</v>
      </c>
      <c r="B2929" t="s">
        <v>31</v>
      </c>
      <c r="C2929" t="s">
        <v>32</v>
      </c>
      <c r="D2929" t="s">
        <v>448</v>
      </c>
      <c r="E2929" t="s">
        <v>509</v>
      </c>
      <c r="F2929" t="s">
        <v>35</v>
      </c>
      <c r="G2929" t="s">
        <v>35</v>
      </c>
      <c r="H2929" t="s">
        <v>35</v>
      </c>
      <c r="J2929" t="s">
        <v>510</v>
      </c>
      <c r="K2929" t="s">
        <v>37</v>
      </c>
      <c r="M2929">
        <v>0.09</v>
      </c>
      <c r="N2929">
        <v>67</v>
      </c>
      <c r="O2929" t="s">
        <v>61</v>
      </c>
      <c r="P2929" t="s">
        <v>520</v>
      </c>
      <c r="Q2929" t="s">
        <v>488</v>
      </c>
      <c r="R2929" t="s">
        <v>519</v>
      </c>
      <c r="S2929" t="s">
        <v>485</v>
      </c>
      <c r="T2929" t="s">
        <v>486</v>
      </c>
    </row>
    <row r="2930" spans="1:20" x14ac:dyDescent="0.25">
      <c r="A2930" t="s">
        <v>30</v>
      </c>
      <c r="B2930" t="s">
        <v>31</v>
      </c>
      <c r="C2930" t="s">
        <v>32</v>
      </c>
      <c r="D2930" t="s">
        <v>448</v>
      </c>
      <c r="E2930" t="s">
        <v>497</v>
      </c>
      <c r="F2930" t="s">
        <v>35</v>
      </c>
      <c r="G2930" t="s">
        <v>35</v>
      </c>
      <c r="H2930" t="s">
        <v>35</v>
      </c>
      <c r="J2930" t="s">
        <v>460</v>
      </c>
      <c r="K2930" t="s">
        <v>1092</v>
      </c>
      <c r="M2930">
        <v>20.43</v>
      </c>
      <c r="N2930">
        <v>42</v>
      </c>
      <c r="O2930" t="s">
        <v>52</v>
      </c>
      <c r="Q2930" t="s">
        <v>219</v>
      </c>
      <c r="R2930" t="s">
        <v>519</v>
      </c>
      <c r="S2930" t="s">
        <v>485</v>
      </c>
      <c r="T2930" t="s">
        <v>486</v>
      </c>
    </row>
    <row r="2931" spans="1:20" x14ac:dyDescent="0.25">
      <c r="A2931" t="s">
        <v>59</v>
      </c>
      <c r="B2931" t="s">
        <v>60</v>
      </c>
      <c r="C2931" t="s">
        <v>32</v>
      </c>
      <c r="D2931" t="s">
        <v>448</v>
      </c>
      <c r="E2931" t="s">
        <v>497</v>
      </c>
      <c r="F2931" t="s">
        <v>35</v>
      </c>
      <c r="G2931" t="s">
        <v>35</v>
      </c>
      <c r="H2931" t="s">
        <v>35</v>
      </c>
      <c r="J2931" t="s">
        <v>3770</v>
      </c>
      <c r="K2931" t="s">
        <v>1092</v>
      </c>
      <c r="M2931">
        <v>0.25</v>
      </c>
      <c r="N2931">
        <v>143</v>
      </c>
      <c r="O2931" t="s">
        <v>38</v>
      </c>
      <c r="Q2931" t="s">
        <v>1612</v>
      </c>
      <c r="R2931" t="s">
        <v>519</v>
      </c>
      <c r="S2931" t="s">
        <v>485</v>
      </c>
      <c r="T2931" t="s">
        <v>486</v>
      </c>
    </row>
    <row r="2932" spans="1:20" x14ac:dyDescent="0.25">
      <c r="A2932" t="s">
        <v>59</v>
      </c>
      <c r="B2932" t="s">
        <v>60</v>
      </c>
      <c r="C2932" t="s">
        <v>32</v>
      </c>
      <c r="D2932" t="s">
        <v>448</v>
      </c>
      <c r="E2932" t="s">
        <v>497</v>
      </c>
      <c r="F2932" t="s">
        <v>35</v>
      </c>
      <c r="G2932" t="s">
        <v>35</v>
      </c>
      <c r="H2932" t="s">
        <v>35</v>
      </c>
      <c r="J2932" t="s">
        <v>3770</v>
      </c>
      <c r="K2932" t="s">
        <v>1092</v>
      </c>
      <c r="M2932">
        <v>0.25</v>
      </c>
      <c r="N2932">
        <v>141</v>
      </c>
      <c r="O2932" t="s">
        <v>38</v>
      </c>
      <c r="Q2932" t="s">
        <v>1168</v>
      </c>
      <c r="R2932" t="s">
        <v>519</v>
      </c>
      <c r="S2932" t="s">
        <v>485</v>
      </c>
      <c r="T2932" t="s">
        <v>486</v>
      </c>
    </row>
    <row r="2933" spans="1:20" x14ac:dyDescent="0.25">
      <c r="A2933" t="s">
        <v>59</v>
      </c>
      <c r="B2933" t="s">
        <v>31</v>
      </c>
      <c r="C2933" t="s">
        <v>32</v>
      </c>
      <c r="D2933" t="s">
        <v>448</v>
      </c>
      <c r="E2933" t="s">
        <v>459</v>
      </c>
      <c r="F2933" t="s">
        <v>35</v>
      </c>
      <c r="G2933" t="s">
        <v>35</v>
      </c>
      <c r="H2933" t="s">
        <v>35</v>
      </c>
      <c r="J2933" t="s">
        <v>3584</v>
      </c>
      <c r="K2933" t="s">
        <v>1092</v>
      </c>
      <c r="M2933">
        <v>3.24</v>
      </c>
      <c r="N2933">
        <v>67</v>
      </c>
      <c r="O2933" t="s">
        <v>61</v>
      </c>
      <c r="Q2933" t="s">
        <v>488</v>
      </c>
      <c r="R2933" t="s">
        <v>519</v>
      </c>
      <c r="S2933" t="s">
        <v>485</v>
      </c>
      <c r="T2933" t="s">
        <v>486</v>
      </c>
    </row>
    <row r="2934" spans="1:20" x14ac:dyDescent="0.25">
      <c r="A2934" t="s">
        <v>59</v>
      </c>
      <c r="B2934" t="s">
        <v>60</v>
      </c>
      <c r="C2934" t="s">
        <v>32</v>
      </c>
      <c r="D2934" t="s">
        <v>448</v>
      </c>
      <c r="E2934" t="s">
        <v>459</v>
      </c>
      <c r="F2934" t="s">
        <v>35</v>
      </c>
      <c r="G2934" t="s">
        <v>35</v>
      </c>
      <c r="H2934" t="s">
        <v>35</v>
      </c>
      <c r="J2934" t="s">
        <v>3585</v>
      </c>
      <c r="K2934" t="s">
        <v>1092</v>
      </c>
      <c r="M2934">
        <v>0.5</v>
      </c>
      <c r="N2934">
        <v>477</v>
      </c>
      <c r="O2934" t="s">
        <v>294</v>
      </c>
      <c r="Q2934" t="s">
        <v>1480</v>
      </c>
      <c r="R2934" t="s">
        <v>519</v>
      </c>
      <c r="S2934" t="s">
        <v>485</v>
      </c>
      <c r="T2934" t="s">
        <v>486</v>
      </c>
    </row>
    <row r="2935" spans="1:20" x14ac:dyDescent="0.25">
      <c r="A2935" t="s">
        <v>59</v>
      </c>
      <c r="B2935" t="s">
        <v>31</v>
      </c>
      <c r="C2935" t="s">
        <v>32</v>
      </c>
      <c r="D2935" t="s">
        <v>448</v>
      </c>
      <c r="E2935" t="s">
        <v>459</v>
      </c>
      <c r="F2935" t="s">
        <v>35</v>
      </c>
      <c r="G2935" t="s">
        <v>35</v>
      </c>
      <c r="H2935" t="s">
        <v>35</v>
      </c>
      <c r="J2935" t="s">
        <v>3585</v>
      </c>
      <c r="K2935" t="s">
        <v>1092</v>
      </c>
      <c r="M2935">
        <v>0.67500000000000004</v>
      </c>
      <c r="N2935">
        <v>444</v>
      </c>
      <c r="O2935" t="s">
        <v>294</v>
      </c>
      <c r="Q2935" t="s">
        <v>2102</v>
      </c>
      <c r="R2935" t="s">
        <v>519</v>
      </c>
      <c r="S2935" t="s">
        <v>485</v>
      </c>
      <c r="T2935" t="s">
        <v>486</v>
      </c>
    </row>
    <row r="2936" spans="1:20" x14ac:dyDescent="0.25">
      <c r="A2936" t="s">
        <v>59</v>
      </c>
      <c r="B2936" t="s">
        <v>31</v>
      </c>
      <c r="C2936" t="s">
        <v>32</v>
      </c>
      <c r="D2936" t="s">
        <v>448</v>
      </c>
      <c r="E2936" t="s">
        <v>3588</v>
      </c>
      <c r="F2936" t="s">
        <v>35</v>
      </c>
      <c r="G2936" t="s">
        <v>35</v>
      </c>
      <c r="H2936" t="s">
        <v>35</v>
      </c>
      <c r="J2936" t="s">
        <v>3603</v>
      </c>
      <c r="K2936" t="s">
        <v>1092</v>
      </c>
      <c r="M2936">
        <v>4.0000000000000001E-3</v>
      </c>
      <c r="N2936">
        <v>1890</v>
      </c>
      <c r="O2936" t="s">
        <v>575</v>
      </c>
      <c r="Q2936" t="s">
        <v>2985</v>
      </c>
      <c r="R2936" t="s">
        <v>3604</v>
      </c>
      <c r="S2936" t="s">
        <v>3605</v>
      </c>
      <c r="T2936" t="s">
        <v>3606</v>
      </c>
    </row>
    <row r="2937" spans="1:20" x14ac:dyDescent="0.25">
      <c r="A2937" t="s">
        <v>30</v>
      </c>
      <c r="B2937" t="s">
        <v>31</v>
      </c>
      <c r="C2937" t="s">
        <v>32</v>
      </c>
      <c r="D2937" t="s">
        <v>448</v>
      </c>
      <c r="E2937" t="s">
        <v>3634</v>
      </c>
      <c r="F2937" t="s">
        <v>35</v>
      </c>
      <c r="G2937" t="s">
        <v>35</v>
      </c>
      <c r="H2937" t="s">
        <v>35</v>
      </c>
      <c r="J2937" t="s">
        <v>3672</v>
      </c>
      <c r="K2937" t="s">
        <v>1092</v>
      </c>
      <c r="M2937">
        <v>0.09</v>
      </c>
      <c r="N2937">
        <v>1598</v>
      </c>
      <c r="O2937" t="s">
        <v>575</v>
      </c>
      <c r="Q2937" t="s">
        <v>3673</v>
      </c>
      <c r="R2937" t="s">
        <v>3567</v>
      </c>
      <c r="S2937" t="s">
        <v>3568</v>
      </c>
      <c r="T2937" t="s">
        <v>3569</v>
      </c>
    </row>
    <row r="2938" spans="1:20" x14ac:dyDescent="0.25">
      <c r="A2938" t="s">
        <v>30</v>
      </c>
      <c r="B2938" t="s">
        <v>31</v>
      </c>
      <c r="C2938" t="s">
        <v>32</v>
      </c>
      <c r="D2938" t="s">
        <v>448</v>
      </c>
      <c r="F2938" t="s">
        <v>35</v>
      </c>
      <c r="G2938" t="s">
        <v>35</v>
      </c>
      <c r="H2938" t="s">
        <v>35</v>
      </c>
      <c r="J2938" t="s">
        <v>3887</v>
      </c>
      <c r="K2938" t="s">
        <v>1092</v>
      </c>
      <c r="M2938">
        <v>0.81</v>
      </c>
      <c r="N2938">
        <v>2328</v>
      </c>
      <c r="O2938" t="s">
        <v>575</v>
      </c>
      <c r="Q2938" t="s">
        <v>3889</v>
      </c>
      <c r="R2938" t="s">
        <v>3567</v>
      </c>
      <c r="S2938" t="s">
        <v>3568</v>
      </c>
      <c r="T2938" t="s">
        <v>3569</v>
      </c>
    </row>
    <row r="2939" spans="1:20" x14ac:dyDescent="0.25">
      <c r="A2939" t="s">
        <v>30</v>
      </c>
      <c r="B2939" t="s">
        <v>31</v>
      </c>
      <c r="C2939" t="s">
        <v>32</v>
      </c>
      <c r="D2939" t="s">
        <v>448</v>
      </c>
      <c r="E2939" t="s">
        <v>459</v>
      </c>
      <c r="F2939" t="s">
        <v>35</v>
      </c>
      <c r="G2939" t="s">
        <v>35</v>
      </c>
      <c r="H2939" t="s">
        <v>35</v>
      </c>
      <c r="J2939" t="s">
        <v>3565</v>
      </c>
      <c r="K2939" t="s">
        <v>1092</v>
      </c>
      <c r="M2939">
        <v>0.01</v>
      </c>
      <c r="N2939">
        <v>1894</v>
      </c>
      <c r="O2939" t="s">
        <v>575</v>
      </c>
      <c r="Q2939" t="s">
        <v>3566</v>
      </c>
      <c r="R2939" t="s">
        <v>3567</v>
      </c>
      <c r="S2939" t="s">
        <v>3568</v>
      </c>
      <c r="T2939" t="s">
        <v>3569</v>
      </c>
    </row>
    <row r="2940" spans="1:20" x14ac:dyDescent="0.25">
      <c r="A2940" t="s">
        <v>59</v>
      </c>
      <c r="B2940" t="s">
        <v>60</v>
      </c>
      <c r="C2940" t="s">
        <v>32</v>
      </c>
      <c r="D2940" t="s">
        <v>448</v>
      </c>
      <c r="E2940" t="s">
        <v>473</v>
      </c>
      <c r="F2940" t="s">
        <v>35</v>
      </c>
      <c r="G2940" t="s">
        <v>35</v>
      </c>
      <c r="H2940" t="s">
        <v>35</v>
      </c>
      <c r="J2940" t="s">
        <v>3700</v>
      </c>
      <c r="K2940" t="s">
        <v>1092</v>
      </c>
      <c r="M2940">
        <v>0.9</v>
      </c>
      <c r="N2940">
        <v>131</v>
      </c>
      <c r="O2940" t="s">
        <v>38</v>
      </c>
      <c r="Q2940" t="s">
        <v>542</v>
      </c>
      <c r="R2940" t="s">
        <v>3702</v>
      </c>
      <c r="S2940" t="s">
        <v>3700</v>
      </c>
      <c r="T2940" t="s">
        <v>3701</v>
      </c>
    </row>
    <row r="2941" spans="1:20" x14ac:dyDescent="0.25">
      <c r="A2941" t="s">
        <v>30</v>
      </c>
      <c r="B2941" t="s">
        <v>31</v>
      </c>
      <c r="C2941" t="s">
        <v>32</v>
      </c>
      <c r="D2941" t="s">
        <v>448</v>
      </c>
      <c r="F2941" t="s">
        <v>35</v>
      </c>
      <c r="G2941" t="s">
        <v>35</v>
      </c>
      <c r="H2941" t="s">
        <v>35</v>
      </c>
      <c r="J2941" t="s">
        <v>3892</v>
      </c>
      <c r="K2941" t="s">
        <v>1092</v>
      </c>
      <c r="M2941">
        <v>0.13500000000000001</v>
      </c>
      <c r="N2941">
        <v>2621</v>
      </c>
      <c r="O2941" t="s">
        <v>575</v>
      </c>
      <c r="Q2941" t="s">
        <v>3894</v>
      </c>
      <c r="R2941" t="s">
        <v>3895</v>
      </c>
      <c r="S2941" t="s">
        <v>3896</v>
      </c>
      <c r="T2941" t="s">
        <v>3557</v>
      </c>
    </row>
    <row r="2942" spans="1:20" x14ac:dyDescent="0.25">
      <c r="A2942" t="s">
        <v>30</v>
      </c>
      <c r="B2942" t="s">
        <v>31</v>
      </c>
      <c r="C2942" t="s">
        <v>32</v>
      </c>
      <c r="D2942" t="s">
        <v>448</v>
      </c>
      <c r="E2942" t="s">
        <v>509</v>
      </c>
      <c r="F2942" t="s">
        <v>35</v>
      </c>
      <c r="G2942" t="s">
        <v>35</v>
      </c>
      <c r="H2942" t="s">
        <v>35</v>
      </c>
      <c r="J2942" t="s">
        <v>3848</v>
      </c>
      <c r="K2942" t="s">
        <v>1092</v>
      </c>
      <c r="M2942">
        <v>0.27</v>
      </c>
      <c r="N2942">
        <v>41</v>
      </c>
      <c r="O2942" t="s">
        <v>52</v>
      </c>
      <c r="Q2942" t="s">
        <v>496</v>
      </c>
      <c r="R2942" t="s">
        <v>3794</v>
      </c>
      <c r="S2942" t="s">
        <v>510</v>
      </c>
      <c r="T2942" t="s">
        <v>511</v>
      </c>
    </row>
    <row r="2943" spans="1:20" x14ac:dyDescent="0.25">
      <c r="A2943" t="s">
        <v>30</v>
      </c>
      <c r="B2943" t="s">
        <v>31</v>
      </c>
      <c r="C2943" t="s">
        <v>32</v>
      </c>
      <c r="D2943" t="s">
        <v>448</v>
      </c>
      <c r="E2943" t="s">
        <v>509</v>
      </c>
      <c r="F2943" t="s">
        <v>35</v>
      </c>
      <c r="G2943" t="s">
        <v>35</v>
      </c>
      <c r="H2943" t="s">
        <v>35</v>
      </c>
      <c r="J2943" t="s">
        <v>3848</v>
      </c>
      <c r="K2943" t="s">
        <v>1092</v>
      </c>
      <c r="M2943">
        <v>0.36</v>
      </c>
      <c r="N2943">
        <v>35</v>
      </c>
      <c r="O2943" t="s">
        <v>52</v>
      </c>
      <c r="Q2943" t="s">
        <v>991</v>
      </c>
      <c r="R2943" t="s">
        <v>3794</v>
      </c>
      <c r="S2943" t="s">
        <v>510</v>
      </c>
      <c r="T2943" t="s">
        <v>511</v>
      </c>
    </row>
    <row r="2944" spans="1:20" x14ac:dyDescent="0.25">
      <c r="A2944" t="s">
        <v>30</v>
      </c>
      <c r="B2944" t="s">
        <v>31</v>
      </c>
      <c r="C2944" t="s">
        <v>32</v>
      </c>
      <c r="D2944" t="s">
        <v>448</v>
      </c>
      <c r="E2944" t="s">
        <v>509</v>
      </c>
      <c r="F2944" t="s">
        <v>35</v>
      </c>
      <c r="G2944" t="s">
        <v>35</v>
      </c>
      <c r="H2944" t="s">
        <v>35</v>
      </c>
      <c r="J2944" t="s">
        <v>3848</v>
      </c>
      <c r="K2944" t="s">
        <v>1092</v>
      </c>
      <c r="M2944">
        <v>0.27</v>
      </c>
      <c r="N2944">
        <v>23</v>
      </c>
      <c r="O2944" t="s">
        <v>46</v>
      </c>
      <c r="Q2944" t="s">
        <v>793</v>
      </c>
      <c r="R2944" t="s">
        <v>3794</v>
      </c>
      <c r="S2944" t="s">
        <v>510</v>
      </c>
      <c r="T2944" t="s">
        <v>511</v>
      </c>
    </row>
    <row r="2945" spans="1:20" x14ac:dyDescent="0.25">
      <c r="A2945" t="s">
        <v>30</v>
      </c>
      <c r="B2945" t="s">
        <v>31</v>
      </c>
      <c r="C2945" t="s">
        <v>32</v>
      </c>
      <c r="D2945" t="s">
        <v>448</v>
      </c>
      <c r="E2945" t="s">
        <v>509</v>
      </c>
      <c r="F2945" t="s">
        <v>35</v>
      </c>
      <c r="G2945" t="s">
        <v>35</v>
      </c>
      <c r="H2945" t="s">
        <v>35</v>
      </c>
      <c r="J2945" t="s">
        <v>3848</v>
      </c>
      <c r="K2945" t="s">
        <v>1092</v>
      </c>
      <c r="M2945">
        <v>0.36</v>
      </c>
      <c r="N2945">
        <v>39</v>
      </c>
      <c r="O2945" t="s">
        <v>52</v>
      </c>
      <c r="Q2945" t="s">
        <v>493</v>
      </c>
      <c r="R2945" t="s">
        <v>3794</v>
      </c>
      <c r="S2945" t="s">
        <v>510</v>
      </c>
      <c r="T2945" t="s">
        <v>511</v>
      </c>
    </row>
    <row r="2946" spans="1:20" x14ac:dyDescent="0.25">
      <c r="A2946" t="s">
        <v>30</v>
      </c>
      <c r="B2946" t="s">
        <v>31</v>
      </c>
      <c r="C2946" t="s">
        <v>32</v>
      </c>
      <c r="D2946" t="s">
        <v>448</v>
      </c>
      <c r="F2946" t="s">
        <v>35</v>
      </c>
      <c r="G2946" t="s">
        <v>35</v>
      </c>
      <c r="H2946" t="s">
        <v>35</v>
      </c>
      <c r="J2946" t="s">
        <v>3925</v>
      </c>
      <c r="K2946" t="s">
        <v>1092</v>
      </c>
      <c r="M2946">
        <v>1.8</v>
      </c>
      <c r="N2946">
        <v>39</v>
      </c>
      <c r="O2946" t="s">
        <v>52</v>
      </c>
      <c r="Q2946" t="s">
        <v>493</v>
      </c>
      <c r="R2946" t="s">
        <v>3794</v>
      </c>
      <c r="S2946" t="s">
        <v>510</v>
      </c>
      <c r="T2946" t="s">
        <v>511</v>
      </c>
    </row>
    <row r="2947" spans="1:20" x14ac:dyDescent="0.25">
      <c r="A2947" t="s">
        <v>30</v>
      </c>
      <c r="B2947" t="s">
        <v>31</v>
      </c>
      <c r="C2947" t="s">
        <v>32</v>
      </c>
      <c r="D2947" t="s">
        <v>448</v>
      </c>
      <c r="F2947" t="s">
        <v>35</v>
      </c>
      <c r="G2947" t="s">
        <v>35</v>
      </c>
      <c r="H2947" t="s">
        <v>35</v>
      </c>
      <c r="J2947" t="s">
        <v>3925</v>
      </c>
      <c r="K2947" t="s">
        <v>1092</v>
      </c>
      <c r="M2947">
        <v>0.67500000000000004</v>
      </c>
      <c r="N2947">
        <v>35</v>
      </c>
      <c r="O2947" t="s">
        <v>52</v>
      </c>
      <c r="Q2947" t="s">
        <v>991</v>
      </c>
      <c r="R2947" t="s">
        <v>3794</v>
      </c>
      <c r="S2947" t="s">
        <v>510</v>
      </c>
      <c r="T2947" t="s">
        <v>511</v>
      </c>
    </row>
    <row r="2948" spans="1:20" x14ac:dyDescent="0.25">
      <c r="A2948" t="s">
        <v>30</v>
      </c>
      <c r="B2948" t="s">
        <v>31</v>
      </c>
      <c r="C2948" t="s">
        <v>32</v>
      </c>
      <c r="D2948" t="s">
        <v>448</v>
      </c>
      <c r="F2948" t="s">
        <v>35</v>
      </c>
      <c r="G2948" t="s">
        <v>35</v>
      </c>
      <c r="H2948" t="s">
        <v>35</v>
      </c>
      <c r="J2948" t="s">
        <v>3925</v>
      </c>
      <c r="K2948" t="s">
        <v>1092</v>
      </c>
      <c r="M2948">
        <v>0.45</v>
      </c>
      <c r="N2948">
        <v>20</v>
      </c>
      <c r="O2948" t="s">
        <v>46</v>
      </c>
      <c r="Q2948" t="s">
        <v>1011</v>
      </c>
      <c r="R2948" t="s">
        <v>3794</v>
      </c>
      <c r="S2948" t="s">
        <v>510</v>
      </c>
      <c r="T2948" t="s">
        <v>511</v>
      </c>
    </row>
    <row r="2949" spans="1:20" x14ac:dyDescent="0.25">
      <c r="A2949" t="s">
        <v>30</v>
      </c>
      <c r="B2949" t="s">
        <v>31</v>
      </c>
      <c r="C2949" t="s">
        <v>32</v>
      </c>
      <c r="D2949" t="s">
        <v>448</v>
      </c>
      <c r="E2949" t="s">
        <v>3785</v>
      </c>
      <c r="F2949" t="s">
        <v>35</v>
      </c>
      <c r="G2949" t="s">
        <v>35</v>
      </c>
      <c r="H2949" t="s">
        <v>35</v>
      </c>
      <c r="J2949" t="s">
        <v>3831</v>
      </c>
      <c r="K2949" t="s">
        <v>1092</v>
      </c>
      <c r="M2949">
        <v>0.45</v>
      </c>
      <c r="N2949">
        <v>23</v>
      </c>
      <c r="O2949" t="s">
        <v>46</v>
      </c>
      <c r="Q2949" t="s">
        <v>793</v>
      </c>
      <c r="R2949" t="s">
        <v>3794</v>
      </c>
      <c r="S2949" t="s">
        <v>510</v>
      </c>
      <c r="T2949" t="s">
        <v>511</v>
      </c>
    </row>
    <row r="2950" spans="1:20" x14ac:dyDescent="0.25">
      <c r="A2950" t="s">
        <v>30</v>
      </c>
      <c r="B2950" t="s">
        <v>31</v>
      </c>
      <c r="C2950" t="s">
        <v>32</v>
      </c>
      <c r="D2950" t="s">
        <v>448</v>
      </c>
      <c r="E2950" t="s">
        <v>3785</v>
      </c>
      <c r="F2950" t="s">
        <v>35</v>
      </c>
      <c r="G2950" t="s">
        <v>35</v>
      </c>
      <c r="H2950" t="s">
        <v>35</v>
      </c>
      <c r="J2950" t="s">
        <v>3831</v>
      </c>
      <c r="K2950" t="s">
        <v>1092</v>
      </c>
      <c r="M2950">
        <v>0.22500000000000001</v>
      </c>
      <c r="N2950">
        <v>35</v>
      </c>
      <c r="O2950" t="s">
        <v>52</v>
      </c>
      <c r="Q2950" t="s">
        <v>991</v>
      </c>
      <c r="R2950" t="s">
        <v>3794</v>
      </c>
      <c r="S2950" t="s">
        <v>510</v>
      </c>
      <c r="T2950" t="s">
        <v>511</v>
      </c>
    </row>
    <row r="2951" spans="1:20" x14ac:dyDescent="0.25">
      <c r="A2951" t="s">
        <v>30</v>
      </c>
      <c r="B2951" t="s">
        <v>31</v>
      </c>
      <c r="C2951" t="s">
        <v>32</v>
      </c>
      <c r="D2951" t="s">
        <v>448</v>
      </c>
      <c r="E2951" t="s">
        <v>3785</v>
      </c>
      <c r="F2951" t="s">
        <v>35</v>
      </c>
      <c r="G2951" t="s">
        <v>35</v>
      </c>
      <c r="H2951" t="s">
        <v>35</v>
      </c>
      <c r="J2951" t="s">
        <v>3801</v>
      </c>
      <c r="K2951" t="s">
        <v>1092</v>
      </c>
      <c r="M2951">
        <v>0.45</v>
      </c>
      <c r="N2951">
        <v>35</v>
      </c>
      <c r="O2951" t="s">
        <v>52</v>
      </c>
      <c r="Q2951" t="s">
        <v>991</v>
      </c>
      <c r="R2951" t="s">
        <v>3794</v>
      </c>
      <c r="S2951" t="s">
        <v>510</v>
      </c>
      <c r="T2951" t="s">
        <v>511</v>
      </c>
    </row>
    <row r="2952" spans="1:20" x14ac:dyDescent="0.25">
      <c r="A2952" t="s">
        <v>30</v>
      </c>
      <c r="B2952" t="s">
        <v>31</v>
      </c>
      <c r="C2952" t="s">
        <v>32</v>
      </c>
      <c r="D2952" t="s">
        <v>448</v>
      </c>
      <c r="E2952" t="s">
        <v>509</v>
      </c>
      <c r="F2952" t="s">
        <v>35</v>
      </c>
      <c r="G2952" t="s">
        <v>35</v>
      </c>
      <c r="H2952" t="s">
        <v>35</v>
      </c>
      <c r="J2952" t="s">
        <v>3859</v>
      </c>
      <c r="K2952" t="s">
        <v>1092</v>
      </c>
      <c r="M2952">
        <v>0.9</v>
      </c>
      <c r="N2952">
        <v>11</v>
      </c>
      <c r="O2952" t="s">
        <v>46</v>
      </c>
      <c r="Q2952" t="s">
        <v>1476</v>
      </c>
      <c r="R2952" t="s">
        <v>3794</v>
      </c>
      <c r="S2952" t="s">
        <v>510</v>
      </c>
      <c r="T2952" t="s">
        <v>511</v>
      </c>
    </row>
    <row r="2953" spans="1:20" x14ac:dyDescent="0.25">
      <c r="A2953" t="s">
        <v>30</v>
      </c>
      <c r="B2953" t="s">
        <v>31</v>
      </c>
      <c r="C2953" t="s">
        <v>32</v>
      </c>
      <c r="D2953" t="s">
        <v>448</v>
      </c>
      <c r="E2953" t="s">
        <v>509</v>
      </c>
      <c r="F2953" t="s">
        <v>35</v>
      </c>
      <c r="G2953" t="s">
        <v>35</v>
      </c>
      <c r="H2953" t="s">
        <v>35</v>
      </c>
      <c r="J2953" t="s">
        <v>3859</v>
      </c>
      <c r="K2953" t="s">
        <v>1092</v>
      </c>
      <c r="M2953">
        <v>0.18</v>
      </c>
      <c r="N2953">
        <v>40</v>
      </c>
      <c r="O2953" t="s">
        <v>52</v>
      </c>
      <c r="Q2953" t="s">
        <v>132</v>
      </c>
      <c r="R2953" t="s">
        <v>3794</v>
      </c>
      <c r="S2953" t="s">
        <v>510</v>
      </c>
      <c r="T2953" t="s">
        <v>511</v>
      </c>
    </row>
    <row r="2954" spans="1:20" x14ac:dyDescent="0.25">
      <c r="A2954" t="s">
        <v>30</v>
      </c>
      <c r="B2954" t="s">
        <v>31</v>
      </c>
      <c r="C2954" t="s">
        <v>32</v>
      </c>
      <c r="D2954" t="s">
        <v>448</v>
      </c>
      <c r="E2954" t="s">
        <v>509</v>
      </c>
      <c r="F2954" t="s">
        <v>35</v>
      </c>
      <c r="G2954" t="s">
        <v>35</v>
      </c>
      <c r="H2954" t="s">
        <v>35</v>
      </c>
      <c r="J2954" t="s">
        <v>3859</v>
      </c>
      <c r="K2954" t="s">
        <v>1092</v>
      </c>
      <c r="M2954">
        <v>0.45</v>
      </c>
      <c r="N2954">
        <v>35</v>
      </c>
      <c r="O2954" t="s">
        <v>52</v>
      </c>
      <c r="Q2954" t="s">
        <v>991</v>
      </c>
      <c r="R2954" t="s">
        <v>3794</v>
      </c>
      <c r="S2954" t="s">
        <v>510</v>
      </c>
      <c r="T2954" t="s">
        <v>511</v>
      </c>
    </row>
    <row r="2955" spans="1:20" x14ac:dyDescent="0.25">
      <c r="A2955" t="s">
        <v>59</v>
      </c>
      <c r="B2955" t="s">
        <v>60</v>
      </c>
      <c r="C2955" t="s">
        <v>32</v>
      </c>
      <c r="D2955" t="s">
        <v>448</v>
      </c>
      <c r="E2955" t="s">
        <v>3785</v>
      </c>
      <c r="F2955" t="s">
        <v>35</v>
      </c>
      <c r="G2955" t="s">
        <v>35</v>
      </c>
      <c r="H2955" t="s">
        <v>35</v>
      </c>
      <c r="J2955" t="s">
        <v>3813</v>
      </c>
      <c r="K2955" t="s">
        <v>1092</v>
      </c>
      <c r="M2955">
        <v>0.5</v>
      </c>
      <c r="N2955">
        <v>460</v>
      </c>
      <c r="O2955" t="s">
        <v>294</v>
      </c>
      <c r="Q2955" t="s">
        <v>3590</v>
      </c>
      <c r="R2955" t="s">
        <v>3794</v>
      </c>
      <c r="S2955" t="s">
        <v>510</v>
      </c>
      <c r="T2955" t="s">
        <v>511</v>
      </c>
    </row>
    <row r="2956" spans="1:20" x14ac:dyDescent="0.25">
      <c r="A2956" t="s">
        <v>30</v>
      </c>
      <c r="B2956" t="s">
        <v>31</v>
      </c>
      <c r="C2956" t="s">
        <v>32</v>
      </c>
      <c r="D2956" t="s">
        <v>448</v>
      </c>
      <c r="E2956" t="s">
        <v>3785</v>
      </c>
      <c r="F2956" t="s">
        <v>35</v>
      </c>
      <c r="G2956" t="s">
        <v>35</v>
      </c>
      <c r="H2956" t="s">
        <v>35</v>
      </c>
      <c r="J2956" t="s">
        <v>3828</v>
      </c>
      <c r="K2956" t="s">
        <v>1092</v>
      </c>
      <c r="M2956">
        <v>0.9</v>
      </c>
      <c r="N2956">
        <v>38</v>
      </c>
      <c r="O2956" t="s">
        <v>52</v>
      </c>
      <c r="Q2956" t="s">
        <v>716</v>
      </c>
      <c r="R2956" t="s">
        <v>3794</v>
      </c>
      <c r="S2956" t="s">
        <v>510</v>
      </c>
      <c r="T2956" t="s">
        <v>511</v>
      </c>
    </row>
    <row r="2957" spans="1:20" x14ac:dyDescent="0.25">
      <c r="A2957" t="s">
        <v>30</v>
      </c>
      <c r="B2957" t="s">
        <v>31</v>
      </c>
      <c r="C2957" t="s">
        <v>32</v>
      </c>
      <c r="D2957" t="s">
        <v>448</v>
      </c>
      <c r="E2957" t="s">
        <v>3785</v>
      </c>
      <c r="F2957" t="s">
        <v>35</v>
      </c>
      <c r="G2957" t="s">
        <v>35</v>
      </c>
      <c r="H2957" t="s">
        <v>35</v>
      </c>
      <c r="J2957" t="s">
        <v>3792</v>
      </c>
      <c r="K2957" t="s">
        <v>1092</v>
      </c>
      <c r="M2957">
        <v>0.45</v>
      </c>
      <c r="N2957">
        <v>39</v>
      </c>
      <c r="O2957" t="s">
        <v>52</v>
      </c>
      <c r="Q2957" t="s">
        <v>493</v>
      </c>
      <c r="R2957" t="s">
        <v>3794</v>
      </c>
      <c r="S2957" t="s">
        <v>510</v>
      </c>
      <c r="T2957" t="s">
        <v>511</v>
      </c>
    </row>
    <row r="2958" spans="1:20" x14ac:dyDescent="0.25">
      <c r="A2958" t="s">
        <v>30</v>
      </c>
      <c r="B2958" t="s">
        <v>31</v>
      </c>
      <c r="C2958" t="s">
        <v>32</v>
      </c>
      <c r="D2958" t="s">
        <v>448</v>
      </c>
      <c r="E2958" t="s">
        <v>509</v>
      </c>
      <c r="F2958" t="s">
        <v>35</v>
      </c>
      <c r="G2958" t="s">
        <v>35</v>
      </c>
      <c r="H2958" t="s">
        <v>35</v>
      </c>
      <c r="J2958" t="s">
        <v>3856</v>
      </c>
      <c r="K2958" t="s">
        <v>1092</v>
      </c>
      <c r="M2958">
        <v>0.58499999999999996</v>
      </c>
      <c r="N2958">
        <v>23</v>
      </c>
      <c r="O2958" t="s">
        <v>46</v>
      </c>
      <c r="Q2958" t="s">
        <v>793</v>
      </c>
      <c r="R2958" t="s">
        <v>3794</v>
      </c>
      <c r="S2958" t="s">
        <v>510</v>
      </c>
      <c r="T2958" t="s">
        <v>511</v>
      </c>
    </row>
    <row r="2959" spans="1:20" x14ac:dyDescent="0.25">
      <c r="A2959" t="s">
        <v>59</v>
      </c>
      <c r="B2959" t="s">
        <v>31</v>
      </c>
      <c r="C2959" t="s">
        <v>32</v>
      </c>
      <c r="D2959" t="s">
        <v>448</v>
      </c>
      <c r="E2959" t="s">
        <v>509</v>
      </c>
      <c r="F2959" t="s">
        <v>35</v>
      </c>
      <c r="G2959" t="s">
        <v>35</v>
      </c>
      <c r="H2959" t="s">
        <v>35</v>
      </c>
      <c r="J2959" t="s">
        <v>3856</v>
      </c>
      <c r="K2959" t="s">
        <v>1092</v>
      </c>
      <c r="M2959">
        <v>0.27</v>
      </c>
      <c r="N2959">
        <v>66</v>
      </c>
      <c r="O2959" t="s">
        <v>61</v>
      </c>
      <c r="Q2959" t="s">
        <v>552</v>
      </c>
      <c r="R2959" t="s">
        <v>3794</v>
      </c>
      <c r="S2959" t="s">
        <v>510</v>
      </c>
      <c r="T2959" t="s">
        <v>511</v>
      </c>
    </row>
    <row r="2960" spans="1:20" x14ac:dyDescent="0.25">
      <c r="A2960" t="s">
        <v>30</v>
      </c>
      <c r="B2960" t="s">
        <v>31</v>
      </c>
      <c r="C2960" t="s">
        <v>32</v>
      </c>
      <c r="D2960" t="s">
        <v>448</v>
      </c>
      <c r="E2960" t="s">
        <v>509</v>
      </c>
      <c r="F2960" t="s">
        <v>35</v>
      </c>
      <c r="G2960" t="s">
        <v>35</v>
      </c>
      <c r="H2960" t="s">
        <v>35</v>
      </c>
      <c r="J2960" t="s">
        <v>3856</v>
      </c>
      <c r="K2960" t="s">
        <v>1092</v>
      </c>
      <c r="M2960">
        <v>0.45</v>
      </c>
      <c r="N2960">
        <v>35</v>
      </c>
      <c r="O2960" t="s">
        <v>52</v>
      </c>
      <c r="Q2960" t="s">
        <v>991</v>
      </c>
      <c r="R2960" t="s">
        <v>3794</v>
      </c>
      <c r="S2960" t="s">
        <v>510</v>
      </c>
      <c r="T2960" t="s">
        <v>511</v>
      </c>
    </row>
    <row r="2961" spans="1:20" x14ac:dyDescent="0.25">
      <c r="A2961" t="s">
        <v>30</v>
      </c>
      <c r="B2961" t="s">
        <v>31</v>
      </c>
      <c r="C2961" t="s">
        <v>32</v>
      </c>
      <c r="D2961" t="s">
        <v>448</v>
      </c>
      <c r="F2961" t="s">
        <v>35</v>
      </c>
      <c r="G2961" t="s">
        <v>35</v>
      </c>
      <c r="H2961" t="s">
        <v>35</v>
      </c>
      <c r="J2961" t="s">
        <v>3904</v>
      </c>
      <c r="K2961" t="s">
        <v>1092</v>
      </c>
      <c r="M2961">
        <v>0.9</v>
      </c>
      <c r="N2961">
        <v>40</v>
      </c>
      <c r="O2961" t="s">
        <v>52</v>
      </c>
      <c r="Q2961" t="s">
        <v>132</v>
      </c>
      <c r="R2961" t="s">
        <v>3794</v>
      </c>
      <c r="S2961" t="s">
        <v>510</v>
      </c>
      <c r="T2961" t="s">
        <v>511</v>
      </c>
    </row>
    <row r="2962" spans="1:20" x14ac:dyDescent="0.25">
      <c r="A2962" t="s">
        <v>30</v>
      </c>
      <c r="B2962" t="s">
        <v>31</v>
      </c>
      <c r="C2962" t="s">
        <v>32</v>
      </c>
      <c r="D2962" t="s">
        <v>448</v>
      </c>
      <c r="E2962" t="s">
        <v>509</v>
      </c>
      <c r="F2962" t="s">
        <v>35</v>
      </c>
      <c r="G2962" t="s">
        <v>35</v>
      </c>
      <c r="H2962" t="s">
        <v>35</v>
      </c>
      <c r="J2962" t="s">
        <v>3845</v>
      </c>
      <c r="K2962" t="s">
        <v>1092</v>
      </c>
      <c r="M2962">
        <v>0.45</v>
      </c>
      <c r="N2962">
        <v>39</v>
      </c>
      <c r="O2962" t="s">
        <v>52</v>
      </c>
      <c r="Q2962" t="s">
        <v>493</v>
      </c>
      <c r="R2962" t="s">
        <v>3794</v>
      </c>
      <c r="S2962" t="s">
        <v>510</v>
      </c>
      <c r="T2962" t="s">
        <v>511</v>
      </c>
    </row>
    <row r="2963" spans="1:20" x14ac:dyDescent="0.25">
      <c r="A2963" t="s">
        <v>30</v>
      </c>
      <c r="B2963" t="s">
        <v>31</v>
      </c>
      <c r="C2963" t="s">
        <v>32</v>
      </c>
      <c r="D2963" t="s">
        <v>448</v>
      </c>
      <c r="E2963" t="s">
        <v>509</v>
      </c>
      <c r="F2963" t="s">
        <v>35</v>
      </c>
      <c r="G2963" t="s">
        <v>35</v>
      </c>
      <c r="H2963" t="s">
        <v>35</v>
      </c>
      <c r="J2963" t="s">
        <v>3845</v>
      </c>
      <c r="K2963" t="s">
        <v>1092</v>
      </c>
      <c r="M2963">
        <v>0.9</v>
      </c>
      <c r="N2963">
        <v>41</v>
      </c>
      <c r="O2963" t="s">
        <v>52</v>
      </c>
      <c r="Q2963" t="s">
        <v>496</v>
      </c>
      <c r="R2963" t="s">
        <v>3794</v>
      </c>
      <c r="S2963" t="s">
        <v>510</v>
      </c>
      <c r="T2963" t="s">
        <v>511</v>
      </c>
    </row>
    <row r="2964" spans="1:20" x14ac:dyDescent="0.25">
      <c r="A2964" t="s">
        <v>59</v>
      </c>
      <c r="B2964" t="s">
        <v>31</v>
      </c>
      <c r="C2964" t="s">
        <v>32</v>
      </c>
      <c r="D2964" t="s">
        <v>448</v>
      </c>
      <c r="E2964" t="s">
        <v>509</v>
      </c>
      <c r="F2964" t="s">
        <v>35</v>
      </c>
      <c r="G2964" t="s">
        <v>35</v>
      </c>
      <c r="H2964" t="s">
        <v>35</v>
      </c>
      <c r="J2964" t="s">
        <v>3846</v>
      </c>
      <c r="K2964" t="s">
        <v>1092</v>
      </c>
      <c r="M2964">
        <v>0.18</v>
      </c>
      <c r="N2964">
        <v>66</v>
      </c>
      <c r="O2964" t="s">
        <v>61</v>
      </c>
      <c r="Q2964" t="s">
        <v>552</v>
      </c>
      <c r="R2964" t="s">
        <v>3794</v>
      </c>
      <c r="S2964" t="s">
        <v>510</v>
      </c>
      <c r="T2964" t="s">
        <v>511</v>
      </c>
    </row>
    <row r="2965" spans="1:20" x14ac:dyDescent="0.25">
      <c r="A2965" t="s">
        <v>30</v>
      </c>
      <c r="B2965" t="s">
        <v>31</v>
      </c>
      <c r="C2965" t="s">
        <v>32</v>
      </c>
      <c r="D2965" t="s">
        <v>448</v>
      </c>
      <c r="E2965" t="s">
        <v>509</v>
      </c>
      <c r="F2965" t="s">
        <v>35</v>
      </c>
      <c r="G2965" t="s">
        <v>35</v>
      </c>
      <c r="H2965" t="s">
        <v>35</v>
      </c>
      <c r="J2965" t="s">
        <v>3851</v>
      </c>
      <c r="K2965" t="s">
        <v>1092</v>
      </c>
      <c r="M2965">
        <v>0.45</v>
      </c>
      <c r="N2965">
        <v>39</v>
      </c>
      <c r="O2965" t="s">
        <v>52</v>
      </c>
      <c r="Q2965" t="s">
        <v>493</v>
      </c>
      <c r="R2965" t="s">
        <v>3794</v>
      </c>
      <c r="S2965" t="s">
        <v>510</v>
      </c>
      <c r="T2965" t="s">
        <v>511</v>
      </c>
    </row>
    <row r="2966" spans="1:20" x14ac:dyDescent="0.25">
      <c r="A2966" t="s">
        <v>30</v>
      </c>
      <c r="B2966" t="s">
        <v>31</v>
      </c>
      <c r="C2966" t="s">
        <v>32</v>
      </c>
      <c r="D2966" t="s">
        <v>448</v>
      </c>
      <c r="E2966" t="s">
        <v>509</v>
      </c>
      <c r="F2966" t="s">
        <v>35</v>
      </c>
      <c r="G2966" t="s">
        <v>35</v>
      </c>
      <c r="H2966" t="s">
        <v>35</v>
      </c>
      <c r="J2966" t="s">
        <v>3851</v>
      </c>
      <c r="K2966" t="s">
        <v>1092</v>
      </c>
      <c r="M2966">
        <v>0.67500000000000004</v>
      </c>
      <c r="N2966">
        <v>41</v>
      </c>
      <c r="O2966" t="s">
        <v>52</v>
      </c>
      <c r="Q2966" t="s">
        <v>496</v>
      </c>
      <c r="R2966" t="s">
        <v>3794</v>
      </c>
      <c r="S2966" t="s">
        <v>510</v>
      </c>
      <c r="T2966" t="s">
        <v>511</v>
      </c>
    </row>
    <row r="2967" spans="1:20" x14ac:dyDescent="0.25">
      <c r="A2967" t="s">
        <v>30</v>
      </c>
      <c r="B2967" t="s">
        <v>31</v>
      </c>
      <c r="C2967" t="s">
        <v>32</v>
      </c>
      <c r="D2967" t="s">
        <v>448</v>
      </c>
      <c r="E2967" t="s">
        <v>509</v>
      </c>
      <c r="F2967" t="s">
        <v>35</v>
      </c>
      <c r="G2967" t="s">
        <v>35</v>
      </c>
      <c r="H2967" t="s">
        <v>35</v>
      </c>
      <c r="J2967" t="s">
        <v>3847</v>
      </c>
      <c r="K2967" t="s">
        <v>1092</v>
      </c>
      <c r="M2967">
        <v>0.67500000000000004</v>
      </c>
      <c r="N2967">
        <v>23</v>
      </c>
      <c r="O2967" t="s">
        <v>46</v>
      </c>
      <c r="Q2967" t="s">
        <v>793</v>
      </c>
      <c r="R2967" t="s">
        <v>3794</v>
      </c>
      <c r="S2967" t="s">
        <v>510</v>
      </c>
      <c r="T2967" t="s">
        <v>511</v>
      </c>
    </row>
    <row r="2968" spans="1:20" x14ac:dyDescent="0.25">
      <c r="A2968" t="s">
        <v>30</v>
      </c>
      <c r="B2968" t="s">
        <v>31</v>
      </c>
      <c r="C2968" t="s">
        <v>32</v>
      </c>
      <c r="D2968" t="s">
        <v>448</v>
      </c>
      <c r="E2968" t="s">
        <v>509</v>
      </c>
      <c r="F2968" t="s">
        <v>35</v>
      </c>
      <c r="G2968" t="s">
        <v>35</v>
      </c>
      <c r="H2968" t="s">
        <v>35</v>
      </c>
      <c r="J2968" t="s">
        <v>3835</v>
      </c>
      <c r="K2968" t="s">
        <v>1092</v>
      </c>
      <c r="M2968">
        <v>0.22500000000000001</v>
      </c>
      <c r="N2968">
        <v>23</v>
      </c>
      <c r="O2968" t="s">
        <v>46</v>
      </c>
      <c r="Q2968" t="s">
        <v>793</v>
      </c>
      <c r="R2968" t="s">
        <v>3794</v>
      </c>
      <c r="S2968" t="s">
        <v>510</v>
      </c>
      <c r="T2968" t="s">
        <v>511</v>
      </c>
    </row>
    <row r="2969" spans="1:20" x14ac:dyDescent="0.25">
      <c r="A2969" t="s">
        <v>30</v>
      </c>
      <c r="B2969" t="s">
        <v>31</v>
      </c>
      <c r="C2969" t="s">
        <v>32</v>
      </c>
      <c r="D2969" t="s">
        <v>448</v>
      </c>
      <c r="E2969" t="s">
        <v>509</v>
      </c>
      <c r="F2969" t="s">
        <v>35</v>
      </c>
      <c r="G2969" t="s">
        <v>35</v>
      </c>
      <c r="H2969" t="s">
        <v>35</v>
      </c>
      <c r="J2969" t="s">
        <v>3836</v>
      </c>
      <c r="K2969" t="s">
        <v>1092</v>
      </c>
      <c r="M2969">
        <v>0.36</v>
      </c>
      <c r="N2969">
        <v>35</v>
      </c>
      <c r="O2969" t="s">
        <v>52</v>
      </c>
      <c r="Q2969" t="s">
        <v>991</v>
      </c>
      <c r="R2969" t="s">
        <v>3794</v>
      </c>
      <c r="S2969" t="s">
        <v>510</v>
      </c>
      <c r="T2969" t="s">
        <v>511</v>
      </c>
    </row>
    <row r="2970" spans="1:20" x14ac:dyDescent="0.25">
      <c r="A2970" t="s">
        <v>30</v>
      </c>
      <c r="B2970" t="s">
        <v>31</v>
      </c>
      <c r="C2970" t="s">
        <v>32</v>
      </c>
      <c r="D2970" t="s">
        <v>448</v>
      </c>
      <c r="E2970" t="s">
        <v>3785</v>
      </c>
      <c r="F2970" t="s">
        <v>35</v>
      </c>
      <c r="G2970" t="s">
        <v>35</v>
      </c>
      <c r="H2970" t="s">
        <v>35</v>
      </c>
      <c r="J2970" t="s">
        <v>3802</v>
      </c>
      <c r="K2970" t="s">
        <v>1092</v>
      </c>
      <c r="M2970">
        <v>0.45</v>
      </c>
      <c r="N2970">
        <v>40</v>
      </c>
      <c r="O2970" t="s">
        <v>52</v>
      </c>
      <c r="Q2970" t="s">
        <v>132</v>
      </c>
      <c r="R2970" t="s">
        <v>3794</v>
      </c>
      <c r="S2970" t="s">
        <v>510</v>
      </c>
      <c r="T2970" t="s">
        <v>511</v>
      </c>
    </row>
    <row r="2971" spans="1:20" x14ac:dyDescent="0.25">
      <c r="A2971" t="s">
        <v>30</v>
      </c>
      <c r="B2971" t="s">
        <v>31</v>
      </c>
      <c r="C2971" t="s">
        <v>32</v>
      </c>
      <c r="D2971" t="s">
        <v>448</v>
      </c>
      <c r="E2971" t="s">
        <v>3785</v>
      </c>
      <c r="F2971" t="s">
        <v>35</v>
      </c>
      <c r="G2971" t="s">
        <v>35</v>
      </c>
      <c r="H2971" t="s">
        <v>35</v>
      </c>
      <c r="J2971" t="s">
        <v>3808</v>
      </c>
      <c r="K2971" t="s">
        <v>1092</v>
      </c>
      <c r="M2971">
        <v>0.45</v>
      </c>
      <c r="N2971">
        <v>41</v>
      </c>
      <c r="O2971" t="s">
        <v>52</v>
      </c>
      <c r="Q2971" t="s">
        <v>496</v>
      </c>
      <c r="R2971" t="s">
        <v>3794</v>
      </c>
      <c r="S2971" t="s">
        <v>510</v>
      </c>
      <c r="T2971" t="s">
        <v>511</v>
      </c>
    </row>
    <row r="2972" spans="1:20" x14ac:dyDescent="0.25">
      <c r="A2972" t="s">
        <v>30</v>
      </c>
      <c r="B2972" t="s">
        <v>31</v>
      </c>
      <c r="C2972" t="s">
        <v>32</v>
      </c>
      <c r="D2972" t="s">
        <v>448</v>
      </c>
      <c r="E2972" t="s">
        <v>473</v>
      </c>
      <c r="F2972" t="s">
        <v>35</v>
      </c>
      <c r="G2972" t="s">
        <v>35</v>
      </c>
      <c r="H2972" t="s">
        <v>35</v>
      </c>
      <c r="J2972" t="s">
        <v>3725</v>
      </c>
      <c r="K2972" t="s">
        <v>1092</v>
      </c>
      <c r="M2972">
        <v>0.18</v>
      </c>
      <c r="N2972">
        <v>1264</v>
      </c>
      <c r="O2972" t="s">
        <v>575</v>
      </c>
      <c r="Q2972" t="s">
        <v>3726</v>
      </c>
      <c r="R2972" t="s">
        <v>3727</v>
      </c>
      <c r="S2972" t="s">
        <v>3728</v>
      </c>
      <c r="T2972" t="s">
        <v>3729</v>
      </c>
    </row>
    <row r="2973" spans="1:20" x14ac:dyDescent="0.25">
      <c r="A2973" t="s">
        <v>30</v>
      </c>
      <c r="B2973" t="s">
        <v>31</v>
      </c>
      <c r="C2973" t="s">
        <v>32</v>
      </c>
      <c r="D2973" t="s">
        <v>448</v>
      </c>
      <c r="F2973" t="s">
        <v>35</v>
      </c>
      <c r="G2973" t="s">
        <v>35</v>
      </c>
      <c r="H2973" t="s">
        <v>35</v>
      </c>
      <c r="J2973" t="s">
        <v>3903</v>
      </c>
      <c r="K2973" t="s">
        <v>1092</v>
      </c>
      <c r="M2973">
        <v>1.35</v>
      </c>
      <c r="N2973">
        <v>1325</v>
      </c>
      <c r="O2973" t="s">
        <v>575</v>
      </c>
      <c r="Q2973" t="s">
        <v>2982</v>
      </c>
      <c r="R2973" t="s">
        <v>3727</v>
      </c>
      <c r="S2973" t="s">
        <v>3728</v>
      </c>
      <c r="T2973" t="s">
        <v>3729</v>
      </c>
    </row>
    <row r="2974" spans="1:20" x14ac:dyDescent="0.25">
      <c r="A2974" t="s">
        <v>44</v>
      </c>
      <c r="B2974" t="s">
        <v>3</v>
      </c>
      <c r="C2974" t="s">
        <v>32</v>
      </c>
      <c r="D2974" t="s">
        <v>448</v>
      </c>
      <c r="E2974" t="s">
        <v>473</v>
      </c>
      <c r="F2974" t="s">
        <v>35</v>
      </c>
      <c r="G2974" t="s">
        <v>35</v>
      </c>
      <c r="H2974" t="s">
        <v>35</v>
      </c>
      <c r="J2974" t="s">
        <v>3716</v>
      </c>
      <c r="K2974" t="s">
        <v>1092</v>
      </c>
      <c r="M2974">
        <v>0.1</v>
      </c>
      <c r="N2974">
        <v>457</v>
      </c>
      <c r="O2974" t="s">
        <v>294</v>
      </c>
      <c r="Q2974" t="s">
        <v>1739</v>
      </c>
      <c r="R2974" t="s">
        <v>3717</v>
      </c>
      <c r="S2974" t="s">
        <v>3718</v>
      </c>
      <c r="T2974" t="s">
        <v>3666</v>
      </c>
    </row>
    <row r="2975" spans="1:20" x14ac:dyDescent="0.25">
      <c r="A2975" t="s">
        <v>44</v>
      </c>
      <c r="B2975" t="s">
        <v>3</v>
      </c>
      <c r="C2975" t="s">
        <v>32</v>
      </c>
      <c r="D2975" t="s">
        <v>448</v>
      </c>
      <c r="E2975" t="s">
        <v>3588</v>
      </c>
      <c r="F2975" t="s">
        <v>35</v>
      </c>
      <c r="G2975" t="s">
        <v>35</v>
      </c>
      <c r="H2975" t="s">
        <v>35</v>
      </c>
      <c r="J2975" t="s">
        <v>3589</v>
      </c>
      <c r="K2975" t="s">
        <v>1092</v>
      </c>
      <c r="M2975">
        <v>0.15</v>
      </c>
      <c r="N2975">
        <v>460</v>
      </c>
      <c r="O2975" t="s">
        <v>294</v>
      </c>
      <c r="Q2975" t="s">
        <v>3590</v>
      </c>
      <c r="R2975" t="s">
        <v>3561</v>
      </c>
      <c r="S2975" t="s">
        <v>460</v>
      </c>
      <c r="T2975" t="s">
        <v>461</v>
      </c>
    </row>
    <row r="2976" spans="1:20" x14ac:dyDescent="0.25">
      <c r="A2976" t="s">
        <v>44</v>
      </c>
      <c r="B2976" t="s">
        <v>3</v>
      </c>
      <c r="C2976" t="s">
        <v>32</v>
      </c>
      <c r="D2976" t="s">
        <v>448</v>
      </c>
      <c r="E2976" t="s">
        <v>459</v>
      </c>
      <c r="F2976" t="s">
        <v>35</v>
      </c>
      <c r="G2976" t="s">
        <v>35</v>
      </c>
      <c r="H2976" t="s">
        <v>35</v>
      </c>
      <c r="J2976" t="s">
        <v>3587</v>
      </c>
      <c r="K2976" t="s">
        <v>1092</v>
      </c>
      <c r="M2976">
        <v>0.25</v>
      </c>
      <c r="N2976">
        <v>441</v>
      </c>
      <c r="O2976" t="s">
        <v>294</v>
      </c>
      <c r="Q2976" t="s">
        <v>1899</v>
      </c>
      <c r="R2976" t="s">
        <v>3561</v>
      </c>
      <c r="S2976" t="s">
        <v>460</v>
      </c>
      <c r="T2976" t="s">
        <v>461</v>
      </c>
    </row>
    <row r="2977" spans="1:20" x14ac:dyDescent="0.25">
      <c r="A2977" t="s">
        <v>30</v>
      </c>
      <c r="B2977" t="s">
        <v>31</v>
      </c>
      <c r="C2977" t="s">
        <v>32</v>
      </c>
      <c r="D2977" t="s">
        <v>448</v>
      </c>
      <c r="E2977" t="s">
        <v>3588</v>
      </c>
      <c r="F2977" t="s">
        <v>35</v>
      </c>
      <c r="G2977" t="s">
        <v>35</v>
      </c>
      <c r="H2977" t="s">
        <v>35</v>
      </c>
      <c r="J2977" t="s">
        <v>3595</v>
      </c>
      <c r="K2977" t="s">
        <v>1092</v>
      </c>
      <c r="M2977">
        <v>1.8</v>
      </c>
      <c r="N2977">
        <v>39</v>
      </c>
      <c r="O2977" t="s">
        <v>52</v>
      </c>
      <c r="Q2977" t="s">
        <v>493</v>
      </c>
      <c r="R2977" t="s">
        <v>3561</v>
      </c>
      <c r="S2977" t="s">
        <v>460</v>
      </c>
      <c r="T2977" t="s">
        <v>461</v>
      </c>
    </row>
    <row r="2978" spans="1:20" x14ac:dyDescent="0.25">
      <c r="A2978" t="s">
        <v>44</v>
      </c>
      <c r="B2978" t="s">
        <v>3</v>
      </c>
      <c r="C2978" t="s">
        <v>32</v>
      </c>
      <c r="D2978" t="s">
        <v>448</v>
      </c>
      <c r="E2978" t="s">
        <v>459</v>
      </c>
      <c r="F2978" t="s">
        <v>35</v>
      </c>
      <c r="G2978" t="s">
        <v>35</v>
      </c>
      <c r="H2978" t="s">
        <v>35</v>
      </c>
      <c r="J2978" t="s">
        <v>3578</v>
      </c>
      <c r="K2978" t="s">
        <v>1092</v>
      </c>
      <c r="M2978">
        <v>0.25</v>
      </c>
      <c r="N2978">
        <v>483</v>
      </c>
      <c r="O2978" t="s">
        <v>294</v>
      </c>
      <c r="Q2978" t="s">
        <v>1582</v>
      </c>
      <c r="R2978" t="s">
        <v>3561</v>
      </c>
      <c r="S2978" t="s">
        <v>460</v>
      </c>
      <c r="T2978" t="s">
        <v>461</v>
      </c>
    </row>
    <row r="2979" spans="1:20" x14ac:dyDescent="0.25">
      <c r="A2979" t="s">
        <v>30</v>
      </c>
      <c r="B2979" t="s">
        <v>31</v>
      </c>
      <c r="C2979" t="s">
        <v>32</v>
      </c>
      <c r="D2979" t="s">
        <v>448</v>
      </c>
      <c r="E2979" t="s">
        <v>459</v>
      </c>
      <c r="F2979" t="s">
        <v>35</v>
      </c>
      <c r="G2979" t="s">
        <v>35</v>
      </c>
      <c r="H2979" t="s">
        <v>35</v>
      </c>
      <c r="J2979" t="s">
        <v>3578</v>
      </c>
      <c r="K2979" t="s">
        <v>1092</v>
      </c>
      <c r="M2979">
        <v>4.4999999999999998E-2</v>
      </c>
      <c r="N2979">
        <v>1197</v>
      </c>
      <c r="O2979" t="s">
        <v>575</v>
      </c>
      <c r="Q2979" t="s">
        <v>3583</v>
      </c>
      <c r="R2979" t="s">
        <v>3561</v>
      </c>
      <c r="S2979" t="s">
        <v>460</v>
      </c>
      <c r="T2979" t="s">
        <v>461</v>
      </c>
    </row>
    <row r="2980" spans="1:20" x14ac:dyDescent="0.25">
      <c r="A2980" t="s">
        <v>44</v>
      </c>
      <c r="B2980" t="s">
        <v>3</v>
      </c>
      <c r="C2980" t="s">
        <v>32</v>
      </c>
      <c r="D2980" t="s">
        <v>448</v>
      </c>
      <c r="E2980" t="s">
        <v>3588</v>
      </c>
      <c r="F2980" t="s">
        <v>35</v>
      </c>
      <c r="G2980" t="s">
        <v>35</v>
      </c>
      <c r="H2980" t="s">
        <v>35</v>
      </c>
      <c r="J2980" t="s">
        <v>3591</v>
      </c>
      <c r="K2980" t="s">
        <v>1092</v>
      </c>
      <c r="M2980">
        <v>0.25</v>
      </c>
      <c r="N2980">
        <v>391</v>
      </c>
      <c r="O2980" t="s">
        <v>294</v>
      </c>
      <c r="Q2980" t="s">
        <v>3592</v>
      </c>
      <c r="R2980" t="s">
        <v>3561</v>
      </c>
      <c r="S2980" t="s">
        <v>460</v>
      </c>
      <c r="T2980" t="s">
        <v>461</v>
      </c>
    </row>
    <row r="2981" spans="1:20" x14ac:dyDescent="0.25">
      <c r="A2981" t="s">
        <v>44</v>
      </c>
      <c r="B2981" t="s">
        <v>3</v>
      </c>
      <c r="C2981" t="s">
        <v>32</v>
      </c>
      <c r="D2981" t="s">
        <v>448</v>
      </c>
      <c r="E2981" t="s">
        <v>3588</v>
      </c>
      <c r="F2981" t="s">
        <v>35</v>
      </c>
      <c r="G2981" t="s">
        <v>35</v>
      </c>
      <c r="H2981" t="s">
        <v>35</v>
      </c>
      <c r="J2981" t="s">
        <v>3591</v>
      </c>
      <c r="K2981" t="s">
        <v>1092</v>
      </c>
      <c r="M2981">
        <v>0.1</v>
      </c>
      <c r="N2981">
        <v>399</v>
      </c>
      <c r="O2981" t="s">
        <v>294</v>
      </c>
      <c r="Q2981" t="s">
        <v>3593</v>
      </c>
      <c r="R2981" t="s">
        <v>3561</v>
      </c>
      <c r="S2981" t="s">
        <v>460</v>
      </c>
      <c r="T2981" t="s">
        <v>461</v>
      </c>
    </row>
    <row r="2982" spans="1:20" x14ac:dyDescent="0.25">
      <c r="A2982" t="s">
        <v>44</v>
      </c>
      <c r="B2982" t="s">
        <v>3</v>
      </c>
      <c r="C2982" t="s">
        <v>32</v>
      </c>
      <c r="D2982" t="s">
        <v>448</v>
      </c>
      <c r="E2982" t="s">
        <v>3588</v>
      </c>
      <c r="F2982" t="s">
        <v>35</v>
      </c>
      <c r="G2982" t="s">
        <v>35</v>
      </c>
      <c r="H2982" t="s">
        <v>35</v>
      </c>
      <c r="J2982" t="s">
        <v>3601</v>
      </c>
      <c r="K2982" t="s">
        <v>1092</v>
      </c>
      <c r="M2982">
        <v>0.1</v>
      </c>
      <c r="N2982">
        <v>489</v>
      </c>
      <c r="O2982" t="s">
        <v>294</v>
      </c>
      <c r="Q2982" t="s">
        <v>3602</v>
      </c>
      <c r="R2982" t="s">
        <v>3561</v>
      </c>
      <c r="S2982" t="s">
        <v>460</v>
      </c>
      <c r="T2982" t="s">
        <v>461</v>
      </c>
    </row>
    <row r="2983" spans="1:20" x14ac:dyDescent="0.25">
      <c r="A2983" t="s">
        <v>44</v>
      </c>
      <c r="B2983" t="s">
        <v>3</v>
      </c>
      <c r="C2983" t="s">
        <v>32</v>
      </c>
      <c r="D2983" t="s">
        <v>448</v>
      </c>
      <c r="E2983" t="s">
        <v>459</v>
      </c>
      <c r="F2983" t="s">
        <v>35</v>
      </c>
      <c r="G2983" t="s">
        <v>35</v>
      </c>
      <c r="H2983" t="s">
        <v>35</v>
      </c>
      <c r="J2983" t="s">
        <v>3560</v>
      </c>
      <c r="K2983" t="s">
        <v>1092</v>
      </c>
      <c r="M2983">
        <v>0.05</v>
      </c>
      <c r="N2983">
        <v>357</v>
      </c>
      <c r="O2983" t="s">
        <v>5</v>
      </c>
      <c r="Q2983" t="s">
        <v>1742</v>
      </c>
      <c r="R2983" t="s">
        <v>3561</v>
      </c>
      <c r="S2983" t="s">
        <v>460</v>
      </c>
      <c r="T2983" t="s">
        <v>461</v>
      </c>
    </row>
    <row r="2984" spans="1:20" x14ac:dyDescent="0.25">
      <c r="A2984" t="s">
        <v>44</v>
      </c>
      <c r="B2984" t="s">
        <v>3</v>
      </c>
      <c r="C2984" t="s">
        <v>32</v>
      </c>
      <c r="D2984" t="s">
        <v>448</v>
      </c>
      <c r="E2984" t="s">
        <v>3588</v>
      </c>
      <c r="F2984" t="s">
        <v>35</v>
      </c>
      <c r="G2984" t="s">
        <v>35</v>
      </c>
      <c r="H2984" t="s">
        <v>35</v>
      </c>
      <c r="J2984" t="s">
        <v>3607</v>
      </c>
      <c r="K2984" t="s">
        <v>1092</v>
      </c>
      <c r="M2984">
        <v>0.25</v>
      </c>
      <c r="N2984">
        <v>423</v>
      </c>
      <c r="O2984" t="s">
        <v>294</v>
      </c>
      <c r="Q2984" t="s">
        <v>1712</v>
      </c>
      <c r="R2984" t="s">
        <v>3561</v>
      </c>
      <c r="S2984" t="s">
        <v>460</v>
      </c>
      <c r="T2984" t="s">
        <v>461</v>
      </c>
    </row>
    <row r="2985" spans="1:20" x14ac:dyDescent="0.25">
      <c r="A2985" t="s">
        <v>44</v>
      </c>
      <c r="B2985" t="s">
        <v>3</v>
      </c>
      <c r="C2985" t="s">
        <v>32</v>
      </c>
      <c r="D2985" t="s">
        <v>448</v>
      </c>
      <c r="E2985" t="s">
        <v>3588</v>
      </c>
      <c r="F2985" t="s">
        <v>35</v>
      </c>
      <c r="G2985" t="s">
        <v>35</v>
      </c>
      <c r="H2985" t="s">
        <v>35</v>
      </c>
      <c r="J2985" t="s">
        <v>3607</v>
      </c>
      <c r="K2985" t="s">
        <v>1092</v>
      </c>
      <c r="M2985">
        <v>0.5</v>
      </c>
      <c r="N2985">
        <v>447</v>
      </c>
      <c r="O2985" t="s">
        <v>294</v>
      </c>
      <c r="Q2985" t="s">
        <v>1413</v>
      </c>
      <c r="R2985" t="s">
        <v>3561</v>
      </c>
      <c r="S2985" t="s">
        <v>460</v>
      </c>
      <c r="T2985" t="s">
        <v>461</v>
      </c>
    </row>
    <row r="2986" spans="1:20" x14ac:dyDescent="0.25">
      <c r="A2986" t="s">
        <v>30</v>
      </c>
      <c r="B2986" t="s">
        <v>31</v>
      </c>
      <c r="C2986" t="s">
        <v>32</v>
      </c>
      <c r="D2986" t="s">
        <v>448</v>
      </c>
      <c r="E2986" t="s">
        <v>3588</v>
      </c>
      <c r="F2986" t="s">
        <v>35</v>
      </c>
      <c r="G2986" t="s">
        <v>35</v>
      </c>
      <c r="H2986" t="s">
        <v>35</v>
      </c>
      <c r="J2986" t="s">
        <v>3596</v>
      </c>
      <c r="K2986" t="s">
        <v>1092</v>
      </c>
      <c r="M2986">
        <v>1.17</v>
      </c>
      <c r="N2986">
        <v>41</v>
      </c>
      <c r="O2986" t="s">
        <v>52</v>
      </c>
      <c r="Q2986" t="s">
        <v>496</v>
      </c>
      <c r="R2986" t="s">
        <v>3561</v>
      </c>
      <c r="S2986" t="s">
        <v>460</v>
      </c>
      <c r="T2986" t="s">
        <v>461</v>
      </c>
    </row>
    <row r="2987" spans="1:20" x14ac:dyDescent="0.25">
      <c r="A2987" t="s">
        <v>44</v>
      </c>
      <c r="B2987" t="s">
        <v>3</v>
      </c>
      <c r="C2987" t="s">
        <v>32</v>
      </c>
      <c r="D2987" t="s">
        <v>448</v>
      </c>
      <c r="E2987" t="s">
        <v>459</v>
      </c>
      <c r="F2987" t="s">
        <v>35</v>
      </c>
      <c r="G2987" t="s">
        <v>35</v>
      </c>
      <c r="H2987" t="s">
        <v>35</v>
      </c>
      <c r="J2987" t="s">
        <v>3562</v>
      </c>
      <c r="K2987" t="s">
        <v>1092</v>
      </c>
      <c r="M2987">
        <v>0.5</v>
      </c>
      <c r="N2987">
        <v>357</v>
      </c>
      <c r="O2987" t="s">
        <v>5</v>
      </c>
      <c r="Q2987" t="s">
        <v>1742</v>
      </c>
      <c r="R2987" t="s">
        <v>3561</v>
      </c>
      <c r="S2987" t="s">
        <v>460</v>
      </c>
      <c r="T2987" t="s">
        <v>461</v>
      </c>
    </row>
    <row r="2988" spans="1:20" x14ac:dyDescent="0.25">
      <c r="A2988" t="s">
        <v>30</v>
      </c>
      <c r="B2988" t="s">
        <v>31</v>
      </c>
      <c r="C2988" t="s">
        <v>32</v>
      </c>
      <c r="D2988" t="s">
        <v>448</v>
      </c>
      <c r="E2988" t="s">
        <v>449</v>
      </c>
      <c r="F2988" t="s">
        <v>35</v>
      </c>
      <c r="G2988" t="s">
        <v>35</v>
      </c>
      <c r="H2988" t="s">
        <v>35</v>
      </c>
      <c r="J2988" t="s">
        <v>3526</v>
      </c>
      <c r="K2988" t="s">
        <v>1092</v>
      </c>
      <c r="M2988">
        <v>0.09</v>
      </c>
      <c r="N2988">
        <v>1918</v>
      </c>
      <c r="O2988" t="s">
        <v>575</v>
      </c>
      <c r="Q2988" t="s">
        <v>3527</v>
      </c>
      <c r="R2988" t="s">
        <v>3528</v>
      </c>
      <c r="S2988" t="s">
        <v>3529</v>
      </c>
      <c r="T2988" t="s">
        <v>3530</v>
      </c>
    </row>
    <row r="2989" spans="1:20" x14ac:dyDescent="0.25">
      <c r="A2989" t="s">
        <v>59</v>
      </c>
      <c r="B2989" t="s">
        <v>31</v>
      </c>
      <c r="C2989" t="s">
        <v>32</v>
      </c>
      <c r="D2989" t="s">
        <v>448</v>
      </c>
      <c r="E2989" t="s">
        <v>449</v>
      </c>
      <c r="F2989" t="s">
        <v>35</v>
      </c>
      <c r="G2989" t="s">
        <v>35</v>
      </c>
      <c r="H2989" t="s">
        <v>35</v>
      </c>
      <c r="J2989" t="s">
        <v>3526</v>
      </c>
      <c r="K2989" t="s">
        <v>1092</v>
      </c>
      <c r="M2989">
        <v>0.57599999999999996</v>
      </c>
      <c r="N2989">
        <v>1968</v>
      </c>
      <c r="O2989" t="s">
        <v>575</v>
      </c>
      <c r="Q2989" t="s">
        <v>3532</v>
      </c>
      <c r="R2989" t="s">
        <v>3528</v>
      </c>
      <c r="S2989" t="s">
        <v>3529</v>
      </c>
      <c r="T2989" t="s">
        <v>3530</v>
      </c>
    </row>
    <row r="2990" spans="1:20" x14ac:dyDescent="0.25">
      <c r="A2990" t="s">
        <v>59</v>
      </c>
      <c r="B2990" t="s">
        <v>60</v>
      </c>
      <c r="C2990" t="s">
        <v>32</v>
      </c>
      <c r="D2990" t="s">
        <v>448</v>
      </c>
      <c r="E2990" t="s">
        <v>3634</v>
      </c>
      <c r="F2990" t="s">
        <v>35</v>
      </c>
      <c r="G2990" t="s">
        <v>35</v>
      </c>
      <c r="H2990" t="s">
        <v>35</v>
      </c>
      <c r="J2990" t="s">
        <v>3674</v>
      </c>
      <c r="K2990" t="s">
        <v>1092</v>
      </c>
      <c r="M2990">
        <v>1.1000000000000001</v>
      </c>
      <c r="N2990">
        <v>469</v>
      </c>
      <c r="O2990" t="s">
        <v>294</v>
      </c>
      <c r="Q2990" t="s">
        <v>3520</v>
      </c>
      <c r="R2990" t="s">
        <v>3521</v>
      </c>
      <c r="S2990" t="s">
        <v>3522</v>
      </c>
      <c r="T2990" t="s">
        <v>313</v>
      </c>
    </row>
    <row r="2991" spans="1:20" x14ac:dyDescent="0.25">
      <c r="A2991" t="s">
        <v>59</v>
      </c>
      <c r="B2991" t="s">
        <v>60</v>
      </c>
      <c r="C2991" t="s">
        <v>32</v>
      </c>
      <c r="D2991" t="s">
        <v>448</v>
      </c>
      <c r="E2991" t="s">
        <v>466</v>
      </c>
      <c r="F2991" t="s">
        <v>35</v>
      </c>
      <c r="G2991" t="s">
        <v>35</v>
      </c>
      <c r="H2991" t="s">
        <v>35</v>
      </c>
      <c r="J2991" t="s">
        <v>3685</v>
      </c>
      <c r="K2991" t="s">
        <v>1092</v>
      </c>
      <c r="M2991">
        <v>0.85</v>
      </c>
      <c r="N2991">
        <v>16</v>
      </c>
      <c r="O2991" t="s">
        <v>46</v>
      </c>
      <c r="Q2991" t="s">
        <v>1819</v>
      </c>
      <c r="R2991" t="s">
        <v>3521</v>
      </c>
      <c r="S2991" t="s">
        <v>3522</v>
      </c>
      <c r="T2991" t="s">
        <v>313</v>
      </c>
    </row>
    <row r="2992" spans="1:20" x14ac:dyDescent="0.25">
      <c r="A2992" t="s">
        <v>59</v>
      </c>
      <c r="B2992" t="s">
        <v>60</v>
      </c>
      <c r="C2992" t="s">
        <v>32</v>
      </c>
      <c r="D2992" t="s">
        <v>448</v>
      </c>
      <c r="E2992" t="s">
        <v>466</v>
      </c>
      <c r="F2992" t="s">
        <v>35</v>
      </c>
      <c r="G2992" t="s">
        <v>35</v>
      </c>
      <c r="H2992" t="s">
        <v>35</v>
      </c>
      <c r="J2992" t="s">
        <v>3685</v>
      </c>
      <c r="K2992" t="s">
        <v>1092</v>
      </c>
      <c r="M2992">
        <v>1.5</v>
      </c>
      <c r="N2992">
        <v>14</v>
      </c>
      <c r="O2992" t="s">
        <v>46</v>
      </c>
      <c r="Q2992" t="s">
        <v>1874</v>
      </c>
      <c r="R2992" t="s">
        <v>3521</v>
      </c>
      <c r="S2992" t="s">
        <v>3522</v>
      </c>
      <c r="T2992" t="s">
        <v>313</v>
      </c>
    </row>
    <row r="2993" spans="1:20" x14ac:dyDescent="0.25">
      <c r="A2993" t="s">
        <v>59</v>
      </c>
      <c r="B2993" t="s">
        <v>60</v>
      </c>
      <c r="C2993" t="s">
        <v>32</v>
      </c>
      <c r="D2993" t="s">
        <v>448</v>
      </c>
      <c r="E2993" t="s">
        <v>3634</v>
      </c>
      <c r="F2993" t="s">
        <v>35</v>
      </c>
      <c r="G2993" t="s">
        <v>35</v>
      </c>
      <c r="H2993" t="s">
        <v>35</v>
      </c>
      <c r="J2993" t="s">
        <v>3660</v>
      </c>
      <c r="K2993" t="s">
        <v>1092</v>
      </c>
      <c r="M2993">
        <v>3</v>
      </c>
      <c r="N2993">
        <v>449</v>
      </c>
      <c r="O2993" t="s">
        <v>294</v>
      </c>
      <c r="Q2993" t="s">
        <v>3661</v>
      </c>
      <c r="R2993" t="s">
        <v>3521</v>
      </c>
      <c r="S2993" t="s">
        <v>3522</v>
      </c>
      <c r="T2993" t="s">
        <v>313</v>
      </c>
    </row>
    <row r="2994" spans="1:20" x14ac:dyDescent="0.25">
      <c r="A2994" t="s">
        <v>59</v>
      </c>
      <c r="B2994" t="s">
        <v>60</v>
      </c>
      <c r="C2994" t="s">
        <v>32</v>
      </c>
      <c r="D2994" t="s">
        <v>448</v>
      </c>
      <c r="E2994" t="s">
        <v>3634</v>
      </c>
      <c r="F2994" t="s">
        <v>35</v>
      </c>
      <c r="G2994" t="s">
        <v>35</v>
      </c>
      <c r="H2994" t="s">
        <v>35</v>
      </c>
      <c r="J2994" t="s">
        <v>3660</v>
      </c>
      <c r="K2994" t="s">
        <v>1092</v>
      </c>
      <c r="M2994">
        <v>1.5</v>
      </c>
      <c r="N2994">
        <v>462</v>
      </c>
      <c r="O2994" t="s">
        <v>294</v>
      </c>
      <c r="Q2994" t="s">
        <v>3662</v>
      </c>
      <c r="R2994" t="s">
        <v>3521</v>
      </c>
      <c r="S2994" t="s">
        <v>3522</v>
      </c>
      <c r="T2994" t="s">
        <v>313</v>
      </c>
    </row>
    <row r="2995" spans="1:20" x14ac:dyDescent="0.25">
      <c r="A2995" t="s">
        <v>59</v>
      </c>
      <c r="B2995" t="s">
        <v>60</v>
      </c>
      <c r="C2995" t="s">
        <v>32</v>
      </c>
      <c r="D2995" t="s">
        <v>448</v>
      </c>
      <c r="E2995" t="s">
        <v>3634</v>
      </c>
      <c r="F2995" t="s">
        <v>35</v>
      </c>
      <c r="G2995" t="s">
        <v>35</v>
      </c>
      <c r="H2995" t="s">
        <v>35</v>
      </c>
      <c r="J2995" t="s">
        <v>3645</v>
      </c>
      <c r="K2995" t="s">
        <v>1092</v>
      </c>
      <c r="M2995">
        <v>0.05</v>
      </c>
      <c r="N2995">
        <v>457</v>
      </c>
      <c r="O2995" t="s">
        <v>294</v>
      </c>
      <c r="Q2995" t="s">
        <v>1739</v>
      </c>
      <c r="R2995" t="s">
        <v>3521</v>
      </c>
      <c r="S2995" t="s">
        <v>3522</v>
      </c>
      <c r="T2995" t="s">
        <v>313</v>
      </c>
    </row>
    <row r="2996" spans="1:20" x14ac:dyDescent="0.25">
      <c r="A2996" t="s">
        <v>59</v>
      </c>
      <c r="B2996" t="s">
        <v>60</v>
      </c>
      <c r="C2996" t="s">
        <v>32</v>
      </c>
      <c r="D2996" t="s">
        <v>448</v>
      </c>
      <c r="E2996" t="s">
        <v>449</v>
      </c>
      <c r="F2996" t="s">
        <v>35</v>
      </c>
      <c r="G2996" t="s">
        <v>35</v>
      </c>
      <c r="H2996" t="s">
        <v>35</v>
      </c>
      <c r="J2996" t="s">
        <v>3519</v>
      </c>
      <c r="K2996" t="s">
        <v>1092</v>
      </c>
      <c r="M2996">
        <v>0.75</v>
      </c>
      <c r="N2996">
        <v>469</v>
      </c>
      <c r="O2996" t="s">
        <v>294</v>
      </c>
      <c r="Q2996" t="s">
        <v>3520</v>
      </c>
      <c r="R2996" t="s">
        <v>3521</v>
      </c>
      <c r="S2996" t="s">
        <v>3522</v>
      </c>
      <c r="T2996" t="s">
        <v>313</v>
      </c>
    </row>
    <row r="2997" spans="1:20" x14ac:dyDescent="0.25">
      <c r="A2997" t="s">
        <v>59</v>
      </c>
      <c r="B2997" t="s">
        <v>31</v>
      </c>
      <c r="C2997" t="s">
        <v>32</v>
      </c>
      <c r="D2997" t="s">
        <v>448</v>
      </c>
      <c r="E2997" t="s">
        <v>449</v>
      </c>
      <c r="F2997" t="s">
        <v>35</v>
      </c>
      <c r="G2997" t="s">
        <v>35</v>
      </c>
      <c r="H2997" t="s">
        <v>35</v>
      </c>
      <c r="J2997" t="s">
        <v>325</v>
      </c>
      <c r="K2997" t="s">
        <v>37</v>
      </c>
      <c r="M2997">
        <v>0.56499999999999995</v>
      </c>
      <c r="N2997">
        <v>70</v>
      </c>
      <c r="O2997" t="s">
        <v>61</v>
      </c>
      <c r="P2997" t="s">
        <v>456</v>
      </c>
      <c r="Q2997" t="s">
        <v>305</v>
      </c>
      <c r="R2997" t="s">
        <v>306</v>
      </c>
      <c r="S2997" t="s">
        <v>307</v>
      </c>
      <c r="T2997" t="s">
        <v>308</v>
      </c>
    </row>
    <row r="2998" spans="1:20" x14ac:dyDescent="0.25">
      <c r="A2998" t="s">
        <v>30</v>
      </c>
      <c r="B2998" t="s">
        <v>31</v>
      </c>
      <c r="C2998" t="s">
        <v>32</v>
      </c>
      <c r="D2998" t="s">
        <v>448</v>
      </c>
      <c r="E2998" t="s">
        <v>449</v>
      </c>
      <c r="F2998" t="s">
        <v>35</v>
      </c>
      <c r="G2998" t="s">
        <v>35</v>
      </c>
      <c r="H2998" t="s">
        <v>35</v>
      </c>
      <c r="J2998" t="s">
        <v>325</v>
      </c>
      <c r="K2998" t="s">
        <v>37</v>
      </c>
      <c r="M2998">
        <v>4.9749999999999996</v>
      </c>
      <c r="N2998">
        <v>33</v>
      </c>
      <c r="O2998" t="s">
        <v>52</v>
      </c>
      <c r="P2998" t="s">
        <v>457</v>
      </c>
      <c r="Q2998" t="s">
        <v>130</v>
      </c>
      <c r="R2998" t="s">
        <v>306</v>
      </c>
      <c r="S2998" t="s">
        <v>307</v>
      </c>
      <c r="T2998" t="s">
        <v>308</v>
      </c>
    </row>
    <row r="2999" spans="1:20" x14ac:dyDescent="0.25">
      <c r="A2999" t="s">
        <v>59</v>
      </c>
      <c r="B2999" t="s">
        <v>60</v>
      </c>
      <c r="C2999" t="s">
        <v>32</v>
      </c>
      <c r="D2999" t="s">
        <v>448</v>
      </c>
      <c r="E2999" t="s">
        <v>449</v>
      </c>
      <c r="F2999" t="s">
        <v>35</v>
      </c>
      <c r="G2999" t="s">
        <v>35</v>
      </c>
      <c r="H2999" t="s">
        <v>35</v>
      </c>
      <c r="J2999" t="s">
        <v>325</v>
      </c>
      <c r="K2999" t="s">
        <v>37</v>
      </c>
      <c r="M2999">
        <v>24.8</v>
      </c>
      <c r="N2999">
        <v>6</v>
      </c>
      <c r="O2999" t="s">
        <v>46</v>
      </c>
      <c r="P2999" t="s">
        <v>458</v>
      </c>
      <c r="Q2999" t="s">
        <v>310</v>
      </c>
      <c r="R2999" t="s">
        <v>306</v>
      </c>
      <c r="S2999" t="s">
        <v>307</v>
      </c>
      <c r="T2999" t="s">
        <v>308</v>
      </c>
    </row>
    <row r="3000" spans="1:20" x14ac:dyDescent="0.25">
      <c r="A3000" t="s">
        <v>30</v>
      </c>
      <c r="B3000" t="s">
        <v>31</v>
      </c>
      <c r="C3000" t="s">
        <v>32</v>
      </c>
      <c r="D3000" t="s">
        <v>448</v>
      </c>
      <c r="E3000" t="s">
        <v>3588</v>
      </c>
      <c r="F3000" t="s">
        <v>35</v>
      </c>
      <c r="G3000" t="s">
        <v>35</v>
      </c>
      <c r="H3000" t="s">
        <v>35</v>
      </c>
      <c r="J3000" t="s">
        <v>3599</v>
      </c>
      <c r="K3000" t="s">
        <v>1092</v>
      </c>
      <c r="M3000">
        <v>0.63</v>
      </c>
      <c r="N3000">
        <v>46</v>
      </c>
      <c r="O3000" t="s">
        <v>52</v>
      </c>
      <c r="Q3000" t="s">
        <v>332</v>
      </c>
      <c r="R3000" t="s">
        <v>324</v>
      </c>
      <c r="S3000" t="s">
        <v>325</v>
      </c>
      <c r="T3000" t="s">
        <v>320</v>
      </c>
    </row>
    <row r="3001" spans="1:20" x14ac:dyDescent="0.25">
      <c r="A3001" t="s">
        <v>44</v>
      </c>
      <c r="B3001" t="s">
        <v>3</v>
      </c>
      <c r="C3001" t="s">
        <v>32</v>
      </c>
      <c r="D3001" t="s">
        <v>448</v>
      </c>
      <c r="E3001" t="s">
        <v>3634</v>
      </c>
      <c r="F3001" t="s">
        <v>35</v>
      </c>
      <c r="G3001" t="s">
        <v>35</v>
      </c>
      <c r="H3001" t="s">
        <v>35</v>
      </c>
      <c r="J3001" t="s">
        <v>3635</v>
      </c>
      <c r="K3001" t="s">
        <v>1092</v>
      </c>
      <c r="M3001">
        <v>0.35</v>
      </c>
      <c r="N3001">
        <v>577</v>
      </c>
      <c r="O3001" t="s">
        <v>575</v>
      </c>
      <c r="Q3001" t="s">
        <v>3636</v>
      </c>
      <c r="R3001" t="s">
        <v>324</v>
      </c>
      <c r="S3001" t="s">
        <v>325</v>
      </c>
      <c r="T3001" t="s">
        <v>320</v>
      </c>
    </row>
    <row r="3002" spans="1:20" x14ac:dyDescent="0.25">
      <c r="A3002" t="s">
        <v>59</v>
      </c>
      <c r="B3002" t="s">
        <v>60</v>
      </c>
      <c r="C3002" t="s">
        <v>32</v>
      </c>
      <c r="D3002" t="s">
        <v>448</v>
      </c>
      <c r="E3002" t="s">
        <v>466</v>
      </c>
      <c r="F3002" t="s">
        <v>35</v>
      </c>
      <c r="G3002" t="s">
        <v>35</v>
      </c>
      <c r="H3002" t="s">
        <v>35</v>
      </c>
      <c r="J3002" t="s">
        <v>3694</v>
      </c>
      <c r="K3002" t="s">
        <v>1092</v>
      </c>
      <c r="M3002">
        <v>0.25</v>
      </c>
      <c r="N3002">
        <v>21</v>
      </c>
      <c r="O3002" t="s">
        <v>46</v>
      </c>
      <c r="Q3002" t="s">
        <v>176</v>
      </c>
      <c r="R3002" t="s">
        <v>324</v>
      </c>
      <c r="S3002" t="s">
        <v>325</v>
      </c>
      <c r="T3002" t="s">
        <v>320</v>
      </c>
    </row>
    <row r="3003" spans="1:20" x14ac:dyDescent="0.25">
      <c r="A3003" t="s">
        <v>59</v>
      </c>
      <c r="B3003" t="s">
        <v>60</v>
      </c>
      <c r="C3003" t="s">
        <v>32</v>
      </c>
      <c r="D3003" t="s">
        <v>448</v>
      </c>
      <c r="E3003" t="s">
        <v>466</v>
      </c>
      <c r="F3003" t="s">
        <v>35</v>
      </c>
      <c r="G3003" t="s">
        <v>35</v>
      </c>
      <c r="H3003" t="s">
        <v>35</v>
      </c>
      <c r="J3003" t="s">
        <v>3694</v>
      </c>
      <c r="K3003" t="s">
        <v>1092</v>
      </c>
      <c r="M3003">
        <v>0.35</v>
      </c>
      <c r="N3003">
        <v>151</v>
      </c>
      <c r="O3003" t="s">
        <v>38</v>
      </c>
      <c r="Q3003" t="s">
        <v>1593</v>
      </c>
      <c r="R3003" t="s">
        <v>324</v>
      </c>
      <c r="S3003" t="s">
        <v>325</v>
      </c>
      <c r="T3003" t="s">
        <v>320</v>
      </c>
    </row>
    <row r="3004" spans="1:20" x14ac:dyDescent="0.25">
      <c r="A3004" t="s">
        <v>59</v>
      </c>
      <c r="B3004" t="s">
        <v>60</v>
      </c>
      <c r="C3004" t="s">
        <v>32</v>
      </c>
      <c r="D3004" t="s">
        <v>448</v>
      </c>
      <c r="E3004" t="s">
        <v>466</v>
      </c>
      <c r="F3004" t="s">
        <v>35</v>
      </c>
      <c r="G3004" t="s">
        <v>35</v>
      </c>
      <c r="H3004" t="s">
        <v>35</v>
      </c>
      <c r="J3004" t="s">
        <v>3678</v>
      </c>
      <c r="K3004" t="s">
        <v>1092</v>
      </c>
      <c r="M3004">
        <v>2</v>
      </c>
      <c r="N3004">
        <v>65</v>
      </c>
      <c r="O3004" t="s">
        <v>61</v>
      </c>
      <c r="Q3004" t="s">
        <v>63</v>
      </c>
      <c r="R3004" t="s">
        <v>324</v>
      </c>
      <c r="S3004" t="s">
        <v>325</v>
      </c>
      <c r="T3004" t="s">
        <v>320</v>
      </c>
    </row>
    <row r="3005" spans="1:20" x14ac:dyDescent="0.25">
      <c r="A3005" t="s">
        <v>59</v>
      </c>
      <c r="B3005" t="s">
        <v>60</v>
      </c>
      <c r="C3005" t="s">
        <v>32</v>
      </c>
      <c r="D3005" t="s">
        <v>448</v>
      </c>
      <c r="E3005" t="s">
        <v>466</v>
      </c>
      <c r="F3005" t="s">
        <v>35</v>
      </c>
      <c r="G3005" t="s">
        <v>35</v>
      </c>
      <c r="H3005" t="s">
        <v>35</v>
      </c>
      <c r="J3005" t="s">
        <v>3678</v>
      </c>
      <c r="K3005" t="s">
        <v>1092</v>
      </c>
      <c r="M3005">
        <v>2</v>
      </c>
      <c r="N3005">
        <v>67</v>
      </c>
      <c r="O3005" t="s">
        <v>61</v>
      </c>
      <c r="Q3005" t="s">
        <v>488</v>
      </c>
      <c r="R3005" t="s">
        <v>324</v>
      </c>
      <c r="S3005" t="s">
        <v>325</v>
      </c>
      <c r="T3005" t="s">
        <v>320</v>
      </c>
    </row>
    <row r="3006" spans="1:20" x14ac:dyDescent="0.25">
      <c r="A3006" t="s">
        <v>59</v>
      </c>
      <c r="B3006" t="s">
        <v>31</v>
      </c>
      <c r="C3006" t="s">
        <v>32</v>
      </c>
      <c r="D3006" t="s">
        <v>448</v>
      </c>
      <c r="E3006" t="s">
        <v>3535</v>
      </c>
      <c r="F3006" t="s">
        <v>35</v>
      </c>
      <c r="G3006" t="s">
        <v>35</v>
      </c>
      <c r="H3006" t="s">
        <v>35</v>
      </c>
      <c r="J3006" t="s">
        <v>3541</v>
      </c>
      <c r="K3006" t="s">
        <v>1092</v>
      </c>
      <c r="M3006">
        <v>2.4750000000000001</v>
      </c>
      <c r="N3006">
        <v>67</v>
      </c>
      <c r="O3006" t="s">
        <v>61</v>
      </c>
      <c r="Q3006" t="s">
        <v>488</v>
      </c>
      <c r="R3006" t="s">
        <v>324</v>
      </c>
      <c r="S3006" t="s">
        <v>325</v>
      </c>
      <c r="T3006" t="s">
        <v>320</v>
      </c>
    </row>
    <row r="3007" spans="1:20" x14ac:dyDescent="0.25">
      <c r="A3007" t="s">
        <v>59</v>
      </c>
      <c r="B3007" t="s">
        <v>60</v>
      </c>
      <c r="C3007" t="s">
        <v>32</v>
      </c>
      <c r="D3007" t="s">
        <v>448</v>
      </c>
      <c r="E3007" t="s">
        <v>466</v>
      </c>
      <c r="F3007" t="s">
        <v>35</v>
      </c>
      <c r="G3007" t="s">
        <v>35</v>
      </c>
      <c r="H3007" t="s">
        <v>35</v>
      </c>
      <c r="J3007" t="s">
        <v>3698</v>
      </c>
      <c r="K3007" t="s">
        <v>1092</v>
      </c>
      <c r="M3007">
        <v>0.05</v>
      </c>
      <c r="N3007">
        <v>203</v>
      </c>
      <c r="O3007" t="s">
        <v>5</v>
      </c>
      <c r="Q3007" t="s">
        <v>1104</v>
      </c>
      <c r="R3007" t="s">
        <v>324</v>
      </c>
      <c r="S3007" t="s">
        <v>325</v>
      </c>
      <c r="T3007" t="s">
        <v>320</v>
      </c>
    </row>
    <row r="3008" spans="1:20" x14ac:dyDescent="0.25">
      <c r="A3008" t="s">
        <v>59</v>
      </c>
      <c r="B3008" t="s">
        <v>60</v>
      </c>
      <c r="C3008" t="s">
        <v>32</v>
      </c>
      <c r="D3008" t="s">
        <v>448</v>
      </c>
      <c r="E3008" t="s">
        <v>466</v>
      </c>
      <c r="F3008" t="s">
        <v>35</v>
      </c>
      <c r="G3008" t="s">
        <v>35</v>
      </c>
      <c r="H3008" t="s">
        <v>35</v>
      </c>
      <c r="J3008" t="s">
        <v>3683</v>
      </c>
      <c r="K3008" t="s">
        <v>1092</v>
      </c>
      <c r="M3008">
        <v>0.25</v>
      </c>
      <c r="N3008">
        <v>18</v>
      </c>
      <c r="O3008" t="s">
        <v>46</v>
      </c>
      <c r="Q3008" t="s">
        <v>831</v>
      </c>
      <c r="R3008" t="s">
        <v>324</v>
      </c>
      <c r="S3008" t="s">
        <v>325</v>
      </c>
      <c r="T3008" t="s">
        <v>320</v>
      </c>
    </row>
    <row r="3009" spans="1:20" x14ac:dyDescent="0.25">
      <c r="A3009" t="s">
        <v>30</v>
      </c>
      <c r="B3009" t="s">
        <v>31</v>
      </c>
      <c r="C3009" t="s">
        <v>32</v>
      </c>
      <c r="D3009" t="s">
        <v>448</v>
      </c>
      <c r="F3009" t="s">
        <v>35</v>
      </c>
      <c r="G3009" t="s">
        <v>35</v>
      </c>
      <c r="H3009" t="s">
        <v>35</v>
      </c>
      <c r="J3009" t="s">
        <v>3921</v>
      </c>
      <c r="K3009" t="s">
        <v>1092</v>
      </c>
      <c r="M3009">
        <v>2.25</v>
      </c>
      <c r="N3009">
        <v>46</v>
      </c>
      <c r="O3009" t="s">
        <v>52</v>
      </c>
      <c r="Q3009" t="s">
        <v>332</v>
      </c>
      <c r="R3009" t="s">
        <v>324</v>
      </c>
      <c r="S3009" t="s">
        <v>325</v>
      </c>
      <c r="T3009" t="s">
        <v>320</v>
      </c>
    </row>
    <row r="3010" spans="1:20" x14ac:dyDescent="0.25">
      <c r="A3010" t="s">
        <v>59</v>
      </c>
      <c r="B3010" t="s">
        <v>60</v>
      </c>
      <c r="C3010" t="s">
        <v>32</v>
      </c>
      <c r="D3010" t="s">
        <v>448</v>
      </c>
      <c r="E3010" t="s">
        <v>3634</v>
      </c>
      <c r="F3010" t="s">
        <v>35</v>
      </c>
      <c r="G3010" t="s">
        <v>35</v>
      </c>
      <c r="H3010" t="s">
        <v>35</v>
      </c>
      <c r="J3010" t="s">
        <v>3668</v>
      </c>
      <c r="K3010" t="s">
        <v>1092</v>
      </c>
      <c r="M3010">
        <v>0.45</v>
      </c>
      <c r="N3010">
        <v>763</v>
      </c>
      <c r="O3010" t="s">
        <v>575</v>
      </c>
      <c r="Q3010" t="s">
        <v>3669</v>
      </c>
      <c r="R3010" t="s">
        <v>324</v>
      </c>
      <c r="S3010" t="s">
        <v>325</v>
      </c>
      <c r="T3010" t="s">
        <v>320</v>
      </c>
    </row>
    <row r="3011" spans="1:20" x14ac:dyDescent="0.25">
      <c r="A3011" t="s">
        <v>30</v>
      </c>
      <c r="B3011" t="s">
        <v>31</v>
      </c>
      <c r="C3011" t="s">
        <v>32</v>
      </c>
      <c r="D3011" t="s">
        <v>448</v>
      </c>
      <c r="E3011" t="s">
        <v>449</v>
      </c>
      <c r="F3011" t="s">
        <v>35</v>
      </c>
      <c r="G3011" t="s">
        <v>35</v>
      </c>
      <c r="H3011" t="s">
        <v>35</v>
      </c>
      <c r="J3011" t="s">
        <v>3524</v>
      </c>
      <c r="K3011" t="s">
        <v>1092</v>
      </c>
      <c r="M3011">
        <v>6.21</v>
      </c>
      <c r="N3011">
        <v>46</v>
      </c>
      <c r="O3011" t="s">
        <v>52</v>
      </c>
      <c r="Q3011" t="s">
        <v>332</v>
      </c>
      <c r="R3011" t="s">
        <v>324</v>
      </c>
      <c r="S3011" t="s">
        <v>325</v>
      </c>
      <c r="T3011" t="s">
        <v>320</v>
      </c>
    </row>
    <row r="3012" spans="1:20" x14ac:dyDescent="0.25">
      <c r="A3012" t="s">
        <v>30</v>
      </c>
      <c r="B3012" t="s">
        <v>31</v>
      </c>
      <c r="C3012" t="s">
        <v>32</v>
      </c>
      <c r="D3012" t="s">
        <v>448</v>
      </c>
      <c r="E3012" t="s">
        <v>3588</v>
      </c>
      <c r="F3012" t="s">
        <v>35</v>
      </c>
      <c r="G3012" t="s">
        <v>35</v>
      </c>
      <c r="H3012" t="s">
        <v>35</v>
      </c>
      <c r="J3012" t="s">
        <v>3600</v>
      </c>
      <c r="K3012" t="s">
        <v>1092</v>
      </c>
      <c r="M3012">
        <v>2.4300000000000002</v>
      </c>
      <c r="N3012">
        <v>46</v>
      </c>
      <c r="O3012" t="s">
        <v>52</v>
      </c>
      <c r="Q3012" t="s">
        <v>332</v>
      </c>
      <c r="R3012" t="s">
        <v>324</v>
      </c>
      <c r="S3012" t="s">
        <v>325</v>
      </c>
      <c r="T3012" t="s">
        <v>320</v>
      </c>
    </row>
    <row r="3013" spans="1:20" x14ac:dyDescent="0.25">
      <c r="A3013" t="s">
        <v>59</v>
      </c>
      <c r="B3013" t="s">
        <v>60</v>
      </c>
      <c r="C3013" t="s">
        <v>32</v>
      </c>
      <c r="D3013" t="s">
        <v>448</v>
      </c>
      <c r="E3013" t="s">
        <v>3535</v>
      </c>
      <c r="F3013" t="s">
        <v>35</v>
      </c>
      <c r="G3013" t="s">
        <v>35</v>
      </c>
      <c r="H3013" t="s">
        <v>35</v>
      </c>
      <c r="J3013" t="s">
        <v>3545</v>
      </c>
      <c r="K3013" t="s">
        <v>1092</v>
      </c>
      <c r="M3013">
        <v>4</v>
      </c>
      <c r="N3013">
        <v>125</v>
      </c>
      <c r="O3013" t="s">
        <v>38</v>
      </c>
      <c r="Q3013" t="s">
        <v>2901</v>
      </c>
      <c r="R3013" t="s">
        <v>324</v>
      </c>
      <c r="S3013" t="s">
        <v>325</v>
      </c>
      <c r="T3013" t="s">
        <v>320</v>
      </c>
    </row>
    <row r="3014" spans="1:20" x14ac:dyDescent="0.25">
      <c r="A3014" t="s">
        <v>59</v>
      </c>
      <c r="B3014" t="s">
        <v>60</v>
      </c>
      <c r="C3014" t="s">
        <v>32</v>
      </c>
      <c r="D3014" t="s">
        <v>448</v>
      </c>
      <c r="E3014" t="s">
        <v>466</v>
      </c>
      <c r="F3014" t="s">
        <v>35</v>
      </c>
      <c r="G3014" t="s">
        <v>35</v>
      </c>
      <c r="H3014" t="s">
        <v>35</v>
      </c>
      <c r="J3014" t="s">
        <v>3690</v>
      </c>
      <c r="K3014" t="s">
        <v>1092</v>
      </c>
      <c r="M3014">
        <v>0.75</v>
      </c>
      <c r="N3014">
        <v>193</v>
      </c>
      <c r="O3014" t="s">
        <v>5</v>
      </c>
      <c r="Q3014" t="s">
        <v>3691</v>
      </c>
      <c r="R3014" t="s">
        <v>324</v>
      </c>
      <c r="S3014" t="s">
        <v>325</v>
      </c>
      <c r="T3014" t="s">
        <v>320</v>
      </c>
    </row>
    <row r="3015" spans="1:20" x14ac:dyDescent="0.25">
      <c r="A3015" t="s">
        <v>59</v>
      </c>
      <c r="B3015" t="s">
        <v>60</v>
      </c>
      <c r="C3015" t="s">
        <v>32</v>
      </c>
      <c r="D3015" t="s">
        <v>448</v>
      </c>
      <c r="E3015" t="s">
        <v>3634</v>
      </c>
      <c r="F3015" t="s">
        <v>35</v>
      </c>
      <c r="G3015" t="s">
        <v>35</v>
      </c>
      <c r="H3015" t="s">
        <v>35</v>
      </c>
      <c r="J3015" t="s">
        <v>3643</v>
      </c>
      <c r="K3015" t="s">
        <v>1092</v>
      </c>
      <c r="M3015">
        <v>5</v>
      </c>
      <c r="N3015">
        <v>74</v>
      </c>
      <c r="O3015" t="s">
        <v>61</v>
      </c>
      <c r="Q3015" t="s">
        <v>527</v>
      </c>
      <c r="R3015" t="s">
        <v>324</v>
      </c>
      <c r="S3015" t="s">
        <v>325</v>
      </c>
      <c r="T3015" t="s">
        <v>320</v>
      </c>
    </row>
    <row r="3016" spans="1:20" x14ac:dyDescent="0.25">
      <c r="A3016" t="s">
        <v>59</v>
      </c>
      <c r="B3016" t="s">
        <v>60</v>
      </c>
      <c r="C3016" t="s">
        <v>32</v>
      </c>
      <c r="D3016" t="s">
        <v>448</v>
      </c>
      <c r="E3016" t="s">
        <v>466</v>
      </c>
      <c r="F3016" t="s">
        <v>35</v>
      </c>
      <c r="G3016" t="s">
        <v>35</v>
      </c>
      <c r="H3016" t="s">
        <v>35</v>
      </c>
      <c r="J3016" t="s">
        <v>3697</v>
      </c>
      <c r="K3016" t="s">
        <v>1092</v>
      </c>
      <c r="M3016">
        <v>0.1</v>
      </c>
      <c r="N3016">
        <v>49</v>
      </c>
      <c r="O3016" t="s">
        <v>52</v>
      </c>
      <c r="Q3016" t="s">
        <v>453</v>
      </c>
      <c r="R3016" t="s">
        <v>324</v>
      </c>
      <c r="S3016" t="s">
        <v>325</v>
      </c>
      <c r="T3016" t="s">
        <v>320</v>
      </c>
    </row>
    <row r="3017" spans="1:20" x14ac:dyDescent="0.25">
      <c r="A3017" t="s">
        <v>30</v>
      </c>
      <c r="B3017" t="s">
        <v>31</v>
      </c>
      <c r="C3017" t="s">
        <v>32</v>
      </c>
      <c r="D3017" t="s">
        <v>448</v>
      </c>
      <c r="E3017" t="s">
        <v>497</v>
      </c>
      <c r="F3017" t="s">
        <v>35</v>
      </c>
      <c r="G3017" t="s">
        <v>35</v>
      </c>
      <c r="H3017" t="s">
        <v>35</v>
      </c>
      <c r="J3017" t="s">
        <v>3782</v>
      </c>
      <c r="K3017" t="s">
        <v>1092</v>
      </c>
      <c r="M3017">
        <v>4.4999999999999998E-2</v>
      </c>
      <c r="N3017">
        <v>133</v>
      </c>
      <c r="O3017" t="s">
        <v>38</v>
      </c>
      <c r="Q3017" t="s">
        <v>609</v>
      </c>
      <c r="R3017" t="s">
        <v>324</v>
      </c>
      <c r="S3017" t="s">
        <v>325</v>
      </c>
      <c r="T3017" t="s">
        <v>320</v>
      </c>
    </row>
    <row r="3018" spans="1:20" x14ac:dyDescent="0.25">
      <c r="A3018" t="s">
        <v>59</v>
      </c>
      <c r="B3018" t="s">
        <v>60</v>
      </c>
      <c r="C3018" t="s">
        <v>32</v>
      </c>
      <c r="D3018" t="s">
        <v>448</v>
      </c>
      <c r="E3018" t="s">
        <v>3634</v>
      </c>
      <c r="F3018" t="s">
        <v>35</v>
      </c>
      <c r="G3018" t="s">
        <v>35</v>
      </c>
      <c r="H3018" t="s">
        <v>35</v>
      </c>
      <c r="J3018" t="s">
        <v>3663</v>
      </c>
      <c r="K3018" t="s">
        <v>1092</v>
      </c>
      <c r="M3018">
        <v>0.25</v>
      </c>
      <c r="N3018">
        <v>254</v>
      </c>
      <c r="O3018" t="s">
        <v>5</v>
      </c>
      <c r="Q3018" t="s">
        <v>2522</v>
      </c>
      <c r="R3018" t="s">
        <v>324</v>
      </c>
      <c r="S3018" t="s">
        <v>325</v>
      </c>
      <c r="T3018" t="s">
        <v>320</v>
      </c>
    </row>
    <row r="3019" spans="1:20" x14ac:dyDescent="0.25">
      <c r="A3019" t="s">
        <v>59</v>
      </c>
      <c r="B3019" t="s">
        <v>60</v>
      </c>
      <c r="C3019" t="s">
        <v>32</v>
      </c>
      <c r="D3019" t="s">
        <v>448</v>
      </c>
      <c r="E3019" t="s">
        <v>3634</v>
      </c>
      <c r="F3019" t="s">
        <v>35</v>
      </c>
      <c r="G3019" t="s">
        <v>35</v>
      </c>
      <c r="H3019" t="s">
        <v>35</v>
      </c>
      <c r="J3019" t="s">
        <v>3646</v>
      </c>
      <c r="K3019" t="s">
        <v>1092</v>
      </c>
      <c r="M3019">
        <v>10</v>
      </c>
      <c r="N3019">
        <v>74</v>
      </c>
      <c r="O3019" t="s">
        <v>61</v>
      </c>
      <c r="Q3019" t="s">
        <v>527</v>
      </c>
      <c r="R3019" t="s">
        <v>324</v>
      </c>
      <c r="S3019" t="s">
        <v>325</v>
      </c>
      <c r="T3019" t="s">
        <v>320</v>
      </c>
    </row>
    <row r="3020" spans="1:20" x14ac:dyDescent="0.25">
      <c r="A3020" t="s">
        <v>30</v>
      </c>
      <c r="B3020" t="s">
        <v>31</v>
      </c>
      <c r="C3020" t="s">
        <v>32</v>
      </c>
      <c r="D3020" t="s">
        <v>448</v>
      </c>
      <c r="E3020" t="s">
        <v>484</v>
      </c>
      <c r="F3020" t="s">
        <v>35</v>
      </c>
      <c r="G3020" t="s">
        <v>35</v>
      </c>
      <c r="H3020" t="s">
        <v>35</v>
      </c>
      <c r="J3020" t="s">
        <v>494</v>
      </c>
      <c r="K3020" t="s">
        <v>37</v>
      </c>
      <c r="M3020">
        <v>25.065000000000001</v>
      </c>
      <c r="N3020">
        <v>41</v>
      </c>
      <c r="O3020" t="s">
        <v>52</v>
      </c>
      <c r="P3020" t="s">
        <v>495</v>
      </c>
      <c r="Q3020" t="s">
        <v>496</v>
      </c>
      <c r="R3020" t="s">
        <v>324</v>
      </c>
      <c r="S3020" t="s">
        <v>325</v>
      </c>
      <c r="T3020" t="s">
        <v>320</v>
      </c>
    </row>
    <row r="3021" spans="1:20" x14ac:dyDescent="0.25">
      <c r="A3021" t="s">
        <v>30</v>
      </c>
      <c r="B3021" t="s">
        <v>31</v>
      </c>
      <c r="C3021" t="s">
        <v>32</v>
      </c>
      <c r="D3021" t="s">
        <v>448</v>
      </c>
      <c r="E3021" t="s">
        <v>3785</v>
      </c>
      <c r="F3021" t="s">
        <v>35</v>
      </c>
      <c r="G3021" t="s">
        <v>35</v>
      </c>
      <c r="H3021" t="s">
        <v>35</v>
      </c>
      <c r="J3021" t="s">
        <v>3821</v>
      </c>
      <c r="K3021" t="s">
        <v>1092</v>
      </c>
      <c r="M3021">
        <v>0.63</v>
      </c>
      <c r="N3021">
        <v>33</v>
      </c>
      <c r="O3021" t="s">
        <v>52</v>
      </c>
      <c r="Q3021" t="s">
        <v>130</v>
      </c>
      <c r="R3021" t="s">
        <v>324</v>
      </c>
      <c r="S3021" t="s">
        <v>325</v>
      </c>
      <c r="T3021" t="s">
        <v>320</v>
      </c>
    </row>
    <row r="3022" spans="1:20" x14ac:dyDescent="0.25">
      <c r="A3022" t="s">
        <v>30</v>
      </c>
      <c r="B3022" t="s">
        <v>31</v>
      </c>
      <c r="C3022" t="s">
        <v>32</v>
      </c>
      <c r="D3022" t="s">
        <v>448</v>
      </c>
      <c r="E3022" t="s">
        <v>3785</v>
      </c>
      <c r="F3022" t="s">
        <v>35</v>
      </c>
      <c r="G3022" t="s">
        <v>35</v>
      </c>
      <c r="H3022" t="s">
        <v>35</v>
      </c>
      <c r="J3022" t="s">
        <v>3821</v>
      </c>
      <c r="K3022" t="s">
        <v>1092</v>
      </c>
      <c r="M3022">
        <v>0.63</v>
      </c>
      <c r="N3022">
        <v>42</v>
      </c>
      <c r="O3022" t="s">
        <v>52</v>
      </c>
      <c r="Q3022" t="s">
        <v>219</v>
      </c>
      <c r="R3022" t="s">
        <v>324</v>
      </c>
      <c r="S3022" t="s">
        <v>325</v>
      </c>
      <c r="T3022" t="s">
        <v>320</v>
      </c>
    </row>
    <row r="3023" spans="1:20" x14ac:dyDescent="0.25">
      <c r="A3023" t="s">
        <v>59</v>
      </c>
      <c r="B3023" t="s">
        <v>31</v>
      </c>
      <c r="C3023" t="s">
        <v>32</v>
      </c>
      <c r="D3023" t="s">
        <v>448</v>
      </c>
      <c r="E3023" t="s">
        <v>466</v>
      </c>
      <c r="F3023" t="s">
        <v>35</v>
      </c>
      <c r="G3023" t="s">
        <v>35</v>
      </c>
      <c r="H3023" t="s">
        <v>35</v>
      </c>
      <c r="J3023" t="s">
        <v>3689</v>
      </c>
      <c r="K3023" t="s">
        <v>1092</v>
      </c>
      <c r="M3023">
        <v>0.495</v>
      </c>
      <c r="N3023">
        <v>70</v>
      </c>
      <c r="O3023" t="s">
        <v>61</v>
      </c>
      <c r="Q3023" t="s">
        <v>305</v>
      </c>
      <c r="R3023" t="s">
        <v>324</v>
      </c>
      <c r="S3023" t="s">
        <v>325</v>
      </c>
      <c r="T3023" t="s">
        <v>320</v>
      </c>
    </row>
    <row r="3024" spans="1:20" x14ac:dyDescent="0.25">
      <c r="A3024" t="s">
        <v>30</v>
      </c>
      <c r="B3024" t="s">
        <v>31</v>
      </c>
      <c r="C3024" t="s">
        <v>32</v>
      </c>
      <c r="D3024" t="s">
        <v>448</v>
      </c>
      <c r="E3024" t="s">
        <v>3785</v>
      </c>
      <c r="F3024" t="s">
        <v>35</v>
      </c>
      <c r="G3024" t="s">
        <v>35</v>
      </c>
      <c r="H3024" t="s">
        <v>35</v>
      </c>
      <c r="J3024" t="s">
        <v>3786</v>
      </c>
      <c r="K3024" t="s">
        <v>1092</v>
      </c>
      <c r="M3024">
        <v>0.9</v>
      </c>
      <c r="N3024">
        <v>33</v>
      </c>
      <c r="O3024" t="s">
        <v>52</v>
      </c>
      <c r="Q3024" t="s">
        <v>130</v>
      </c>
      <c r="R3024" t="s">
        <v>324</v>
      </c>
      <c r="S3024" t="s">
        <v>325</v>
      </c>
      <c r="T3024" t="s">
        <v>320</v>
      </c>
    </row>
    <row r="3025" spans="1:20" x14ac:dyDescent="0.25">
      <c r="A3025" t="s">
        <v>59</v>
      </c>
      <c r="B3025" t="s">
        <v>60</v>
      </c>
      <c r="C3025" t="s">
        <v>32</v>
      </c>
      <c r="D3025" t="s">
        <v>448</v>
      </c>
      <c r="E3025" t="s">
        <v>449</v>
      </c>
      <c r="F3025" t="s">
        <v>35</v>
      </c>
      <c r="G3025" t="s">
        <v>35</v>
      </c>
      <c r="H3025" t="s">
        <v>35</v>
      </c>
      <c r="J3025" t="s">
        <v>3526</v>
      </c>
      <c r="K3025" t="s">
        <v>1092</v>
      </c>
      <c r="M3025">
        <v>0.79400000000000004</v>
      </c>
      <c r="N3025">
        <v>871</v>
      </c>
      <c r="O3025" t="s">
        <v>575</v>
      </c>
      <c r="Q3025" t="s">
        <v>3531</v>
      </c>
      <c r="R3025" t="s">
        <v>324</v>
      </c>
      <c r="S3025" t="s">
        <v>325</v>
      </c>
      <c r="T3025" t="s">
        <v>320</v>
      </c>
    </row>
    <row r="3026" spans="1:20" x14ac:dyDescent="0.25">
      <c r="A3026" t="s">
        <v>30</v>
      </c>
      <c r="B3026" t="s">
        <v>31</v>
      </c>
      <c r="C3026" t="s">
        <v>32</v>
      </c>
      <c r="D3026" t="s">
        <v>448</v>
      </c>
      <c r="E3026" t="s">
        <v>3785</v>
      </c>
      <c r="F3026" t="s">
        <v>35</v>
      </c>
      <c r="G3026" t="s">
        <v>35</v>
      </c>
      <c r="H3026" t="s">
        <v>35</v>
      </c>
      <c r="J3026" t="s">
        <v>3820</v>
      </c>
      <c r="K3026" t="s">
        <v>1092</v>
      </c>
      <c r="M3026">
        <v>8.01</v>
      </c>
      <c r="N3026">
        <v>41</v>
      </c>
      <c r="O3026" t="s">
        <v>52</v>
      </c>
      <c r="Q3026" t="s">
        <v>496</v>
      </c>
      <c r="R3026" t="s">
        <v>324</v>
      </c>
      <c r="S3026" t="s">
        <v>325</v>
      </c>
      <c r="T3026" t="s">
        <v>320</v>
      </c>
    </row>
    <row r="3027" spans="1:20" x14ac:dyDescent="0.25">
      <c r="A3027" t="s">
        <v>59</v>
      </c>
      <c r="B3027" t="s">
        <v>31</v>
      </c>
      <c r="C3027" t="s">
        <v>32</v>
      </c>
      <c r="D3027" t="s">
        <v>448</v>
      </c>
      <c r="E3027" t="s">
        <v>466</v>
      </c>
      <c r="F3027" t="s">
        <v>35</v>
      </c>
      <c r="G3027" t="s">
        <v>35</v>
      </c>
      <c r="H3027" t="s">
        <v>35</v>
      </c>
      <c r="J3027" t="s">
        <v>3687</v>
      </c>
      <c r="K3027" t="s">
        <v>1092</v>
      </c>
      <c r="M3027">
        <v>0.9</v>
      </c>
      <c r="N3027">
        <v>67</v>
      </c>
      <c r="O3027" t="s">
        <v>61</v>
      </c>
      <c r="Q3027" t="s">
        <v>488</v>
      </c>
      <c r="R3027" t="s">
        <v>324</v>
      </c>
      <c r="S3027" t="s">
        <v>325</v>
      </c>
      <c r="T3027" t="s">
        <v>320</v>
      </c>
    </row>
    <row r="3028" spans="1:20" x14ac:dyDescent="0.25">
      <c r="A3028" t="s">
        <v>59</v>
      </c>
      <c r="B3028" t="s">
        <v>60</v>
      </c>
      <c r="C3028" t="s">
        <v>32</v>
      </c>
      <c r="D3028" t="s">
        <v>448</v>
      </c>
      <c r="E3028" t="s">
        <v>466</v>
      </c>
      <c r="F3028" t="s">
        <v>35</v>
      </c>
      <c r="G3028" t="s">
        <v>35</v>
      </c>
      <c r="H3028" t="s">
        <v>35</v>
      </c>
      <c r="J3028" t="s">
        <v>3687</v>
      </c>
      <c r="K3028" t="s">
        <v>1092</v>
      </c>
      <c r="M3028">
        <v>0.75</v>
      </c>
      <c r="N3028">
        <v>280</v>
      </c>
      <c r="O3028" t="s">
        <v>5</v>
      </c>
      <c r="Q3028" t="s">
        <v>3688</v>
      </c>
      <c r="R3028" t="s">
        <v>324</v>
      </c>
      <c r="S3028" t="s">
        <v>325</v>
      </c>
      <c r="T3028" t="s">
        <v>320</v>
      </c>
    </row>
    <row r="3029" spans="1:20" x14ac:dyDescent="0.25">
      <c r="A3029" t="s">
        <v>59</v>
      </c>
      <c r="B3029" t="s">
        <v>31</v>
      </c>
      <c r="C3029" t="s">
        <v>32</v>
      </c>
      <c r="D3029" t="s">
        <v>448</v>
      </c>
      <c r="E3029" t="s">
        <v>466</v>
      </c>
      <c r="F3029" t="s">
        <v>35</v>
      </c>
      <c r="G3029" t="s">
        <v>35</v>
      </c>
      <c r="H3029" t="s">
        <v>35</v>
      </c>
      <c r="J3029" t="s">
        <v>3687</v>
      </c>
      <c r="K3029" t="s">
        <v>1092</v>
      </c>
      <c r="M3029">
        <v>2.7</v>
      </c>
      <c r="N3029">
        <v>70</v>
      </c>
      <c r="O3029" t="s">
        <v>61</v>
      </c>
      <c r="Q3029" t="s">
        <v>305</v>
      </c>
      <c r="R3029" t="s">
        <v>324</v>
      </c>
      <c r="S3029" t="s">
        <v>325</v>
      </c>
      <c r="T3029" t="s">
        <v>320</v>
      </c>
    </row>
    <row r="3030" spans="1:20" x14ac:dyDescent="0.25">
      <c r="A3030" t="s">
        <v>30</v>
      </c>
      <c r="B3030" t="s">
        <v>31</v>
      </c>
      <c r="C3030" t="s">
        <v>32</v>
      </c>
      <c r="D3030" t="s">
        <v>448</v>
      </c>
      <c r="E3030" t="s">
        <v>509</v>
      </c>
      <c r="F3030" t="s">
        <v>35</v>
      </c>
      <c r="G3030" t="s">
        <v>35</v>
      </c>
      <c r="H3030" t="s">
        <v>35</v>
      </c>
      <c r="J3030" t="s">
        <v>3838</v>
      </c>
      <c r="K3030" t="s">
        <v>1092</v>
      </c>
      <c r="M3030">
        <v>10.305</v>
      </c>
      <c r="N3030">
        <v>41</v>
      </c>
      <c r="O3030" t="s">
        <v>52</v>
      </c>
      <c r="Q3030" t="s">
        <v>496</v>
      </c>
      <c r="R3030" t="s">
        <v>324</v>
      </c>
      <c r="S3030" t="s">
        <v>325</v>
      </c>
      <c r="T3030" t="s">
        <v>320</v>
      </c>
    </row>
    <row r="3031" spans="1:20" x14ac:dyDescent="0.25">
      <c r="A3031" t="s">
        <v>59</v>
      </c>
      <c r="B3031" t="s">
        <v>60</v>
      </c>
      <c r="C3031" t="s">
        <v>32</v>
      </c>
      <c r="D3031" t="s">
        <v>448</v>
      </c>
      <c r="E3031" t="s">
        <v>466</v>
      </c>
      <c r="F3031" t="s">
        <v>35</v>
      </c>
      <c r="G3031" t="s">
        <v>35</v>
      </c>
      <c r="H3031" t="s">
        <v>35</v>
      </c>
      <c r="J3031" t="s">
        <v>3677</v>
      </c>
      <c r="K3031" t="s">
        <v>1092</v>
      </c>
      <c r="M3031">
        <v>0.05</v>
      </c>
      <c r="N3031">
        <v>40</v>
      </c>
      <c r="O3031" t="s">
        <v>52</v>
      </c>
      <c r="Q3031" t="s">
        <v>132</v>
      </c>
      <c r="R3031" t="s">
        <v>324</v>
      </c>
      <c r="S3031" t="s">
        <v>325</v>
      </c>
      <c r="T3031" t="s">
        <v>320</v>
      </c>
    </row>
    <row r="3032" spans="1:20" x14ac:dyDescent="0.25">
      <c r="A3032" t="s">
        <v>59</v>
      </c>
      <c r="B3032" t="s">
        <v>60</v>
      </c>
      <c r="C3032" t="s">
        <v>32</v>
      </c>
      <c r="D3032" t="s">
        <v>448</v>
      </c>
      <c r="E3032" t="s">
        <v>466</v>
      </c>
      <c r="F3032" t="s">
        <v>35</v>
      </c>
      <c r="G3032" t="s">
        <v>35</v>
      </c>
      <c r="H3032" t="s">
        <v>35</v>
      </c>
      <c r="J3032" t="s">
        <v>3677</v>
      </c>
      <c r="K3032" t="s">
        <v>1092</v>
      </c>
      <c r="M3032">
        <v>0.1</v>
      </c>
      <c r="N3032">
        <v>35</v>
      </c>
      <c r="O3032" t="s">
        <v>52</v>
      </c>
      <c r="Q3032" t="s">
        <v>991</v>
      </c>
      <c r="R3032" t="s">
        <v>324</v>
      </c>
      <c r="S3032" t="s">
        <v>325</v>
      </c>
      <c r="T3032" t="s">
        <v>320</v>
      </c>
    </row>
    <row r="3033" spans="1:20" x14ac:dyDescent="0.25">
      <c r="A3033" t="s">
        <v>59</v>
      </c>
      <c r="B3033" t="s">
        <v>60</v>
      </c>
      <c r="C3033" t="s">
        <v>32</v>
      </c>
      <c r="D3033" t="s">
        <v>448</v>
      </c>
      <c r="E3033" t="s">
        <v>466</v>
      </c>
      <c r="F3033" t="s">
        <v>35</v>
      </c>
      <c r="G3033" t="s">
        <v>35</v>
      </c>
      <c r="H3033" t="s">
        <v>35</v>
      </c>
      <c r="J3033" t="s">
        <v>3677</v>
      </c>
      <c r="K3033" t="s">
        <v>1092</v>
      </c>
      <c r="M3033">
        <v>0.1</v>
      </c>
      <c r="N3033">
        <v>12</v>
      </c>
      <c r="O3033" t="s">
        <v>46</v>
      </c>
      <c r="Q3033" t="s">
        <v>1192</v>
      </c>
      <c r="R3033" t="s">
        <v>324</v>
      </c>
      <c r="S3033" t="s">
        <v>325</v>
      </c>
      <c r="T3033" t="s">
        <v>320</v>
      </c>
    </row>
    <row r="3034" spans="1:20" x14ac:dyDescent="0.25">
      <c r="A3034" t="s">
        <v>30</v>
      </c>
      <c r="B3034" t="s">
        <v>31</v>
      </c>
      <c r="C3034" t="s">
        <v>32</v>
      </c>
      <c r="D3034" t="s">
        <v>448</v>
      </c>
      <c r="E3034" t="s">
        <v>473</v>
      </c>
      <c r="F3034" t="s">
        <v>35</v>
      </c>
      <c r="G3034" t="s">
        <v>35</v>
      </c>
      <c r="H3034" t="s">
        <v>35</v>
      </c>
      <c r="J3034" t="s">
        <v>3719</v>
      </c>
      <c r="K3034" t="s">
        <v>1092</v>
      </c>
      <c r="M3034">
        <v>4.4999999999999998E-2</v>
      </c>
      <c r="N3034">
        <v>131</v>
      </c>
      <c r="O3034" t="s">
        <v>38</v>
      </c>
      <c r="Q3034" t="s">
        <v>542</v>
      </c>
      <c r="R3034" t="s">
        <v>324</v>
      </c>
      <c r="S3034" t="s">
        <v>325</v>
      </c>
      <c r="T3034" t="s">
        <v>320</v>
      </c>
    </row>
    <row r="3035" spans="1:20" x14ac:dyDescent="0.25">
      <c r="A3035" t="s">
        <v>30</v>
      </c>
      <c r="B3035" t="s">
        <v>31</v>
      </c>
      <c r="C3035" t="s">
        <v>32</v>
      </c>
      <c r="D3035" t="s">
        <v>448</v>
      </c>
      <c r="E3035" t="s">
        <v>509</v>
      </c>
      <c r="F3035" t="s">
        <v>35</v>
      </c>
      <c r="G3035" t="s">
        <v>35</v>
      </c>
      <c r="H3035" t="s">
        <v>35</v>
      </c>
      <c r="J3035" t="s">
        <v>3841</v>
      </c>
      <c r="K3035" t="s">
        <v>1092</v>
      </c>
      <c r="M3035">
        <v>0.67500000000000004</v>
      </c>
      <c r="N3035">
        <v>41</v>
      </c>
      <c r="O3035" t="s">
        <v>52</v>
      </c>
      <c r="Q3035" t="s">
        <v>496</v>
      </c>
      <c r="R3035" t="s">
        <v>324</v>
      </c>
      <c r="S3035" t="s">
        <v>325</v>
      </c>
      <c r="T3035" t="s">
        <v>320</v>
      </c>
    </row>
    <row r="3036" spans="1:20" x14ac:dyDescent="0.25">
      <c r="A3036" t="s">
        <v>59</v>
      </c>
      <c r="B3036" t="s">
        <v>60</v>
      </c>
      <c r="C3036" t="s">
        <v>32</v>
      </c>
      <c r="D3036" t="s">
        <v>448</v>
      </c>
      <c r="E3036" t="s">
        <v>466</v>
      </c>
      <c r="F3036" t="s">
        <v>35</v>
      </c>
      <c r="G3036" t="s">
        <v>35</v>
      </c>
      <c r="H3036" t="s">
        <v>35</v>
      </c>
      <c r="J3036" t="s">
        <v>3681</v>
      </c>
      <c r="K3036" t="s">
        <v>1092</v>
      </c>
      <c r="M3036">
        <v>0.25</v>
      </c>
      <c r="N3036">
        <v>12</v>
      </c>
      <c r="O3036" t="s">
        <v>46</v>
      </c>
      <c r="Q3036" t="s">
        <v>1192</v>
      </c>
      <c r="R3036" t="s">
        <v>324</v>
      </c>
      <c r="S3036" t="s">
        <v>325</v>
      </c>
      <c r="T3036" t="s">
        <v>320</v>
      </c>
    </row>
    <row r="3037" spans="1:20" x14ac:dyDescent="0.25">
      <c r="A3037" t="s">
        <v>59</v>
      </c>
      <c r="B3037" t="s">
        <v>60</v>
      </c>
      <c r="C3037" t="s">
        <v>32</v>
      </c>
      <c r="D3037" t="s">
        <v>448</v>
      </c>
      <c r="E3037" t="s">
        <v>466</v>
      </c>
      <c r="F3037" t="s">
        <v>35</v>
      </c>
      <c r="G3037" t="s">
        <v>35</v>
      </c>
      <c r="H3037" t="s">
        <v>35</v>
      </c>
      <c r="J3037" t="s">
        <v>3681</v>
      </c>
      <c r="K3037" t="s">
        <v>1092</v>
      </c>
      <c r="M3037">
        <v>0.1</v>
      </c>
      <c r="N3037">
        <v>42</v>
      </c>
      <c r="O3037" t="s">
        <v>52</v>
      </c>
      <c r="Q3037" t="s">
        <v>219</v>
      </c>
      <c r="R3037" t="s">
        <v>324</v>
      </c>
      <c r="S3037" t="s">
        <v>325</v>
      </c>
      <c r="T3037" t="s">
        <v>320</v>
      </c>
    </row>
    <row r="3038" spans="1:20" x14ac:dyDescent="0.25">
      <c r="A3038" t="s">
        <v>59</v>
      </c>
      <c r="B3038" t="s">
        <v>60</v>
      </c>
      <c r="C3038" t="s">
        <v>32</v>
      </c>
      <c r="D3038" t="s">
        <v>448</v>
      </c>
      <c r="E3038" t="s">
        <v>3535</v>
      </c>
      <c r="F3038" t="s">
        <v>35</v>
      </c>
      <c r="G3038" t="s">
        <v>35</v>
      </c>
      <c r="H3038" t="s">
        <v>35</v>
      </c>
      <c r="J3038" t="s">
        <v>3547</v>
      </c>
      <c r="K3038" t="s">
        <v>1092</v>
      </c>
      <c r="M3038">
        <v>5</v>
      </c>
      <c r="N3038">
        <v>100</v>
      </c>
      <c r="O3038" t="s">
        <v>106</v>
      </c>
      <c r="Q3038" t="s">
        <v>1621</v>
      </c>
      <c r="R3038" t="s">
        <v>324</v>
      </c>
      <c r="S3038" t="s">
        <v>325</v>
      </c>
      <c r="T3038" t="s">
        <v>320</v>
      </c>
    </row>
    <row r="3039" spans="1:20" x14ac:dyDescent="0.25">
      <c r="A3039" t="s">
        <v>59</v>
      </c>
      <c r="B3039" t="s">
        <v>60</v>
      </c>
      <c r="C3039" t="s">
        <v>32</v>
      </c>
      <c r="D3039" t="s">
        <v>448</v>
      </c>
      <c r="E3039" t="s">
        <v>3535</v>
      </c>
      <c r="F3039" t="s">
        <v>35</v>
      </c>
      <c r="G3039" t="s">
        <v>35</v>
      </c>
      <c r="H3039" t="s">
        <v>35</v>
      </c>
      <c r="J3039" t="s">
        <v>3547</v>
      </c>
      <c r="K3039" t="s">
        <v>1092</v>
      </c>
      <c r="M3039">
        <v>9</v>
      </c>
      <c r="N3039">
        <v>101</v>
      </c>
      <c r="O3039" t="s">
        <v>106</v>
      </c>
      <c r="Q3039" t="s">
        <v>1450</v>
      </c>
      <c r="R3039" t="s">
        <v>324</v>
      </c>
      <c r="S3039" t="s">
        <v>325</v>
      </c>
      <c r="T3039" t="s">
        <v>320</v>
      </c>
    </row>
    <row r="3040" spans="1:20" x14ac:dyDescent="0.25">
      <c r="A3040" t="s">
        <v>59</v>
      </c>
      <c r="B3040" t="s">
        <v>60</v>
      </c>
      <c r="C3040" t="s">
        <v>32</v>
      </c>
      <c r="D3040" t="s">
        <v>448</v>
      </c>
      <c r="E3040" t="s">
        <v>466</v>
      </c>
      <c r="F3040" t="s">
        <v>35</v>
      </c>
      <c r="G3040" t="s">
        <v>35</v>
      </c>
      <c r="H3040" t="s">
        <v>35</v>
      </c>
      <c r="J3040" t="s">
        <v>3699</v>
      </c>
      <c r="K3040" t="s">
        <v>1092</v>
      </c>
      <c r="M3040">
        <v>0.25</v>
      </c>
      <c r="N3040">
        <v>65</v>
      </c>
      <c r="O3040" t="s">
        <v>61</v>
      </c>
      <c r="Q3040" t="s">
        <v>63</v>
      </c>
      <c r="R3040" t="s">
        <v>324</v>
      </c>
      <c r="S3040" t="s">
        <v>325</v>
      </c>
      <c r="T3040" t="s">
        <v>320</v>
      </c>
    </row>
    <row r="3041" spans="1:20" x14ac:dyDescent="0.25">
      <c r="A3041" t="s">
        <v>59</v>
      </c>
      <c r="B3041" t="s">
        <v>31</v>
      </c>
      <c r="C3041" t="s">
        <v>32</v>
      </c>
      <c r="D3041" t="s">
        <v>448</v>
      </c>
      <c r="E3041" t="s">
        <v>473</v>
      </c>
      <c r="F3041" t="s">
        <v>35</v>
      </c>
      <c r="G3041" t="s">
        <v>35</v>
      </c>
      <c r="H3041" t="s">
        <v>35</v>
      </c>
      <c r="J3041" t="s">
        <v>3745</v>
      </c>
      <c r="K3041" t="s">
        <v>1092</v>
      </c>
      <c r="M3041">
        <v>2.79</v>
      </c>
      <c r="N3041">
        <v>70</v>
      </c>
      <c r="O3041" t="s">
        <v>61</v>
      </c>
      <c r="Q3041" t="s">
        <v>305</v>
      </c>
      <c r="R3041" t="s">
        <v>324</v>
      </c>
      <c r="S3041" t="s">
        <v>325</v>
      </c>
      <c r="T3041" t="s">
        <v>320</v>
      </c>
    </row>
    <row r="3042" spans="1:20" x14ac:dyDescent="0.25">
      <c r="A3042" t="s">
        <v>30</v>
      </c>
      <c r="B3042" t="s">
        <v>31</v>
      </c>
      <c r="C3042" t="s">
        <v>32</v>
      </c>
      <c r="D3042" t="s">
        <v>448</v>
      </c>
      <c r="E3042" t="s">
        <v>473</v>
      </c>
      <c r="F3042" t="s">
        <v>35</v>
      </c>
      <c r="G3042" t="s">
        <v>35</v>
      </c>
      <c r="H3042" t="s">
        <v>35</v>
      </c>
      <c r="J3042" t="s">
        <v>3745</v>
      </c>
      <c r="K3042" t="s">
        <v>1092</v>
      </c>
      <c r="M3042">
        <v>0.27</v>
      </c>
      <c r="N3042">
        <v>133</v>
      </c>
      <c r="O3042" t="s">
        <v>38</v>
      </c>
      <c r="Q3042" t="s">
        <v>609</v>
      </c>
      <c r="R3042" t="s">
        <v>324</v>
      </c>
      <c r="S3042" t="s">
        <v>325</v>
      </c>
      <c r="T3042" t="s">
        <v>320</v>
      </c>
    </row>
    <row r="3043" spans="1:20" x14ac:dyDescent="0.25">
      <c r="A3043" t="s">
        <v>59</v>
      </c>
      <c r="B3043" t="s">
        <v>31</v>
      </c>
      <c r="C3043" t="s">
        <v>32</v>
      </c>
      <c r="D3043" t="s">
        <v>448</v>
      </c>
      <c r="E3043" t="s">
        <v>466</v>
      </c>
      <c r="F3043" t="s">
        <v>35</v>
      </c>
      <c r="G3043" t="s">
        <v>35</v>
      </c>
      <c r="H3043" t="s">
        <v>35</v>
      </c>
      <c r="J3043" t="s">
        <v>3692</v>
      </c>
      <c r="K3043" t="s">
        <v>1092</v>
      </c>
      <c r="M3043">
        <v>1.44</v>
      </c>
      <c r="N3043">
        <v>70</v>
      </c>
      <c r="O3043" t="s">
        <v>61</v>
      </c>
      <c r="Q3043" t="s">
        <v>305</v>
      </c>
      <c r="R3043" t="s">
        <v>324</v>
      </c>
      <c r="S3043" t="s">
        <v>325</v>
      </c>
      <c r="T3043" t="s">
        <v>320</v>
      </c>
    </row>
    <row r="3044" spans="1:20" x14ac:dyDescent="0.25">
      <c r="A3044" t="s">
        <v>59</v>
      </c>
      <c r="B3044" t="s">
        <v>31</v>
      </c>
      <c r="C3044" t="s">
        <v>32</v>
      </c>
      <c r="D3044" t="s">
        <v>448</v>
      </c>
      <c r="E3044" t="s">
        <v>473</v>
      </c>
      <c r="F3044" t="s">
        <v>35</v>
      </c>
      <c r="G3044" t="s">
        <v>35</v>
      </c>
      <c r="H3044" t="s">
        <v>35</v>
      </c>
      <c r="J3044" t="s">
        <v>3741</v>
      </c>
      <c r="K3044" t="s">
        <v>1092</v>
      </c>
      <c r="M3044">
        <v>11.025</v>
      </c>
      <c r="N3044">
        <v>72</v>
      </c>
      <c r="O3044" t="s">
        <v>61</v>
      </c>
      <c r="Q3044" t="s">
        <v>1156</v>
      </c>
      <c r="R3044" t="s">
        <v>324</v>
      </c>
      <c r="S3044" t="s">
        <v>325</v>
      </c>
      <c r="T3044" t="s">
        <v>320</v>
      </c>
    </row>
    <row r="3045" spans="1:20" x14ac:dyDescent="0.25">
      <c r="A3045" t="s">
        <v>30</v>
      </c>
      <c r="B3045" t="s">
        <v>31</v>
      </c>
      <c r="C3045" t="s">
        <v>32</v>
      </c>
      <c r="D3045" t="s">
        <v>448</v>
      </c>
      <c r="E3045" t="s">
        <v>3609</v>
      </c>
      <c r="F3045" t="s">
        <v>35</v>
      </c>
      <c r="G3045" t="s">
        <v>35</v>
      </c>
      <c r="H3045" t="s">
        <v>35</v>
      </c>
      <c r="J3045" t="s">
        <v>3610</v>
      </c>
      <c r="K3045" t="s">
        <v>1092</v>
      </c>
      <c r="M3045">
        <v>0.54</v>
      </c>
      <c r="N3045">
        <v>258</v>
      </c>
      <c r="O3045" t="s">
        <v>5</v>
      </c>
      <c r="Q3045" t="s">
        <v>1754</v>
      </c>
      <c r="R3045" t="s">
        <v>324</v>
      </c>
      <c r="S3045" t="s">
        <v>325</v>
      </c>
      <c r="T3045" t="s">
        <v>320</v>
      </c>
    </row>
    <row r="3046" spans="1:20" x14ac:dyDescent="0.25">
      <c r="A3046" t="s">
        <v>30</v>
      </c>
      <c r="B3046" t="s">
        <v>31</v>
      </c>
      <c r="C3046" t="s">
        <v>32</v>
      </c>
      <c r="D3046" t="s">
        <v>448</v>
      </c>
      <c r="E3046" t="s">
        <v>484</v>
      </c>
      <c r="F3046" t="s">
        <v>35</v>
      </c>
      <c r="G3046" t="s">
        <v>35</v>
      </c>
      <c r="H3046" t="s">
        <v>35</v>
      </c>
      <c r="J3046" t="s">
        <v>3754</v>
      </c>
      <c r="K3046" t="s">
        <v>1092</v>
      </c>
      <c r="M3046">
        <v>8.5500000000000007</v>
      </c>
      <c r="N3046">
        <v>46</v>
      </c>
      <c r="O3046" t="s">
        <v>52</v>
      </c>
      <c r="Q3046" t="s">
        <v>332</v>
      </c>
      <c r="R3046" t="s">
        <v>324</v>
      </c>
      <c r="S3046" t="s">
        <v>325</v>
      </c>
      <c r="T3046" t="s">
        <v>320</v>
      </c>
    </row>
    <row r="3047" spans="1:20" x14ac:dyDescent="0.25">
      <c r="A3047" t="s">
        <v>30</v>
      </c>
      <c r="B3047" t="s">
        <v>31</v>
      </c>
      <c r="C3047" t="s">
        <v>32</v>
      </c>
      <c r="D3047" t="s">
        <v>448</v>
      </c>
      <c r="E3047" t="s">
        <v>509</v>
      </c>
      <c r="F3047" t="s">
        <v>35</v>
      </c>
      <c r="G3047" t="s">
        <v>35</v>
      </c>
      <c r="H3047" t="s">
        <v>35</v>
      </c>
      <c r="J3047" t="s">
        <v>3835</v>
      </c>
      <c r="K3047" t="s">
        <v>1092</v>
      </c>
      <c r="M3047">
        <v>3.0150000000000001</v>
      </c>
      <c r="N3047">
        <v>41</v>
      </c>
      <c r="O3047" t="s">
        <v>52</v>
      </c>
      <c r="Q3047" t="s">
        <v>496</v>
      </c>
      <c r="R3047" t="s">
        <v>324</v>
      </c>
      <c r="S3047" t="s">
        <v>325</v>
      </c>
      <c r="T3047" t="s">
        <v>320</v>
      </c>
    </row>
    <row r="3048" spans="1:20" x14ac:dyDescent="0.25">
      <c r="A3048" t="s">
        <v>59</v>
      </c>
      <c r="B3048" t="s">
        <v>60</v>
      </c>
      <c r="C3048" t="s">
        <v>32</v>
      </c>
      <c r="D3048" t="s">
        <v>448</v>
      </c>
      <c r="E3048" t="s">
        <v>466</v>
      </c>
      <c r="F3048" t="s">
        <v>35</v>
      </c>
      <c r="G3048" t="s">
        <v>35</v>
      </c>
      <c r="H3048" t="s">
        <v>35</v>
      </c>
      <c r="J3048" t="s">
        <v>3676</v>
      </c>
      <c r="K3048" t="s">
        <v>1092</v>
      </c>
      <c r="M3048">
        <v>0.5</v>
      </c>
      <c r="N3048">
        <v>207</v>
      </c>
      <c r="O3048" t="s">
        <v>5</v>
      </c>
      <c r="Q3048" t="s">
        <v>537</v>
      </c>
      <c r="R3048" t="s">
        <v>324</v>
      </c>
      <c r="S3048" t="s">
        <v>325</v>
      </c>
      <c r="T3048" t="s">
        <v>320</v>
      </c>
    </row>
    <row r="3049" spans="1:20" x14ac:dyDescent="0.25">
      <c r="A3049" t="s">
        <v>59</v>
      </c>
      <c r="B3049" t="s">
        <v>60</v>
      </c>
      <c r="C3049" t="s">
        <v>32</v>
      </c>
      <c r="D3049" t="s">
        <v>448</v>
      </c>
      <c r="E3049" t="s">
        <v>466</v>
      </c>
      <c r="F3049" t="s">
        <v>35</v>
      </c>
      <c r="G3049" t="s">
        <v>35</v>
      </c>
      <c r="H3049" t="s">
        <v>35</v>
      </c>
      <c r="J3049" t="s">
        <v>3676</v>
      </c>
      <c r="K3049" t="s">
        <v>1092</v>
      </c>
      <c r="M3049">
        <v>0.25</v>
      </c>
      <c r="N3049">
        <v>42</v>
      </c>
      <c r="O3049" t="s">
        <v>52</v>
      </c>
      <c r="Q3049" t="s">
        <v>219</v>
      </c>
      <c r="R3049" t="s">
        <v>324</v>
      </c>
      <c r="S3049" t="s">
        <v>325</v>
      </c>
      <c r="T3049" t="s">
        <v>320</v>
      </c>
    </row>
    <row r="3050" spans="1:20" x14ac:dyDescent="0.25">
      <c r="A3050" t="s">
        <v>59</v>
      </c>
      <c r="B3050" t="s">
        <v>60</v>
      </c>
      <c r="C3050" t="s">
        <v>32</v>
      </c>
      <c r="D3050" t="s">
        <v>448</v>
      </c>
      <c r="E3050" t="s">
        <v>466</v>
      </c>
      <c r="F3050" t="s">
        <v>35</v>
      </c>
      <c r="G3050" t="s">
        <v>35</v>
      </c>
      <c r="H3050" t="s">
        <v>35</v>
      </c>
      <c r="J3050" t="s">
        <v>3676</v>
      </c>
      <c r="K3050" t="s">
        <v>1092</v>
      </c>
      <c r="M3050">
        <v>0.25</v>
      </c>
      <c r="N3050">
        <v>12</v>
      </c>
      <c r="O3050" t="s">
        <v>46</v>
      </c>
      <c r="Q3050" t="s">
        <v>1192</v>
      </c>
      <c r="R3050" t="s">
        <v>324</v>
      </c>
      <c r="S3050" t="s">
        <v>325</v>
      </c>
      <c r="T3050" t="s">
        <v>320</v>
      </c>
    </row>
    <row r="3051" spans="1:20" x14ac:dyDescent="0.25">
      <c r="A3051" t="s">
        <v>59</v>
      </c>
      <c r="B3051" t="s">
        <v>60</v>
      </c>
      <c r="C3051" t="s">
        <v>32</v>
      </c>
      <c r="D3051" t="s">
        <v>448</v>
      </c>
      <c r="E3051" t="s">
        <v>466</v>
      </c>
      <c r="F3051" t="s">
        <v>35</v>
      </c>
      <c r="G3051" t="s">
        <v>35</v>
      </c>
      <c r="H3051" t="s">
        <v>35</v>
      </c>
      <c r="J3051" t="s">
        <v>3676</v>
      </c>
      <c r="K3051" t="s">
        <v>1092</v>
      </c>
      <c r="M3051">
        <v>0.25</v>
      </c>
      <c r="N3051">
        <v>6</v>
      </c>
      <c r="O3051" t="s">
        <v>46</v>
      </c>
      <c r="Q3051" t="s">
        <v>310</v>
      </c>
      <c r="R3051" t="s">
        <v>324</v>
      </c>
      <c r="S3051" t="s">
        <v>325</v>
      </c>
      <c r="T3051" t="s">
        <v>320</v>
      </c>
    </row>
    <row r="3052" spans="1:20" x14ac:dyDescent="0.25">
      <c r="A3052" t="s">
        <v>59</v>
      </c>
      <c r="B3052" t="s">
        <v>31</v>
      </c>
      <c r="C3052" t="s">
        <v>32</v>
      </c>
      <c r="D3052" t="s">
        <v>448</v>
      </c>
      <c r="E3052" t="s">
        <v>466</v>
      </c>
      <c r="F3052" t="s">
        <v>35</v>
      </c>
      <c r="G3052" t="s">
        <v>35</v>
      </c>
      <c r="H3052" t="s">
        <v>35</v>
      </c>
      <c r="J3052" t="s">
        <v>3676</v>
      </c>
      <c r="K3052" t="s">
        <v>1092</v>
      </c>
      <c r="M3052">
        <v>0.18</v>
      </c>
      <c r="N3052">
        <v>67</v>
      </c>
      <c r="O3052" t="s">
        <v>61</v>
      </c>
      <c r="Q3052" t="s">
        <v>488</v>
      </c>
      <c r="R3052" t="s">
        <v>324</v>
      </c>
      <c r="S3052" t="s">
        <v>325</v>
      </c>
      <c r="T3052" t="s">
        <v>320</v>
      </c>
    </row>
    <row r="3053" spans="1:20" x14ac:dyDescent="0.25">
      <c r="A3053" t="s">
        <v>59</v>
      </c>
      <c r="B3053" t="s">
        <v>31</v>
      </c>
      <c r="C3053" t="s">
        <v>32</v>
      </c>
      <c r="D3053" t="s">
        <v>448</v>
      </c>
      <c r="E3053" t="s">
        <v>3588</v>
      </c>
      <c r="F3053" t="s">
        <v>35</v>
      </c>
      <c r="G3053" t="s">
        <v>35</v>
      </c>
      <c r="H3053" t="s">
        <v>35</v>
      </c>
      <c r="J3053" t="s">
        <v>3608</v>
      </c>
      <c r="K3053" t="s">
        <v>1092</v>
      </c>
      <c r="M3053">
        <v>2.0249999999999999</v>
      </c>
      <c r="N3053">
        <v>58</v>
      </c>
      <c r="O3053" t="s">
        <v>52</v>
      </c>
      <c r="Q3053" t="s">
        <v>128</v>
      </c>
      <c r="R3053" t="s">
        <v>324</v>
      </c>
      <c r="S3053" t="s">
        <v>325</v>
      </c>
      <c r="T3053" t="s">
        <v>320</v>
      </c>
    </row>
    <row r="3054" spans="1:20" x14ac:dyDescent="0.25">
      <c r="A3054" t="s">
        <v>30</v>
      </c>
      <c r="B3054" t="s">
        <v>31</v>
      </c>
      <c r="C3054" t="s">
        <v>32</v>
      </c>
      <c r="D3054" t="s">
        <v>448</v>
      </c>
      <c r="F3054" t="s">
        <v>35</v>
      </c>
      <c r="G3054" t="s">
        <v>35</v>
      </c>
      <c r="H3054" t="s">
        <v>35</v>
      </c>
      <c r="J3054" t="s">
        <v>3900</v>
      </c>
      <c r="K3054" t="s">
        <v>1092</v>
      </c>
      <c r="M3054">
        <v>12.15</v>
      </c>
      <c r="N3054">
        <v>46</v>
      </c>
      <c r="O3054" t="s">
        <v>52</v>
      </c>
      <c r="Q3054" t="s">
        <v>332</v>
      </c>
      <c r="R3054" t="s">
        <v>324</v>
      </c>
      <c r="S3054" t="s">
        <v>325</v>
      </c>
      <c r="T3054" t="s">
        <v>320</v>
      </c>
    </row>
    <row r="3055" spans="1:20" x14ac:dyDescent="0.25">
      <c r="A3055" t="s">
        <v>30</v>
      </c>
      <c r="B3055" t="s">
        <v>31</v>
      </c>
      <c r="C3055" t="s">
        <v>32</v>
      </c>
      <c r="D3055" t="s">
        <v>448</v>
      </c>
      <c r="E3055" t="s">
        <v>449</v>
      </c>
      <c r="F3055" t="s">
        <v>35</v>
      </c>
      <c r="G3055" t="s">
        <v>35</v>
      </c>
      <c r="H3055" t="s">
        <v>35</v>
      </c>
      <c r="J3055" t="s">
        <v>3523</v>
      </c>
      <c r="K3055" t="s">
        <v>1092</v>
      </c>
      <c r="M3055">
        <v>4.68</v>
      </c>
      <c r="N3055">
        <v>46</v>
      </c>
      <c r="O3055" t="s">
        <v>52</v>
      </c>
      <c r="Q3055" t="s">
        <v>332</v>
      </c>
      <c r="R3055" t="s">
        <v>324</v>
      </c>
      <c r="S3055" t="s">
        <v>325</v>
      </c>
      <c r="T3055" t="s">
        <v>320</v>
      </c>
    </row>
    <row r="3056" spans="1:20" x14ac:dyDescent="0.25">
      <c r="A3056" t="s">
        <v>30</v>
      </c>
      <c r="B3056" t="s">
        <v>31</v>
      </c>
      <c r="C3056" t="s">
        <v>32</v>
      </c>
      <c r="D3056" t="s">
        <v>448</v>
      </c>
      <c r="F3056" t="s">
        <v>35</v>
      </c>
      <c r="G3056" t="s">
        <v>35</v>
      </c>
      <c r="H3056" t="s">
        <v>35</v>
      </c>
      <c r="J3056" t="s">
        <v>3881</v>
      </c>
      <c r="K3056" t="s">
        <v>1092</v>
      </c>
      <c r="M3056">
        <v>2.9249999999999998</v>
      </c>
      <c r="N3056">
        <v>42</v>
      </c>
      <c r="O3056" t="s">
        <v>52</v>
      </c>
      <c r="Q3056" t="s">
        <v>219</v>
      </c>
      <c r="R3056" t="s">
        <v>324</v>
      </c>
      <c r="S3056" t="s">
        <v>325</v>
      </c>
      <c r="T3056" t="s">
        <v>320</v>
      </c>
    </row>
    <row r="3057" spans="1:20" x14ac:dyDescent="0.25">
      <c r="A3057" t="s">
        <v>59</v>
      </c>
      <c r="B3057" t="s">
        <v>60</v>
      </c>
      <c r="C3057" t="s">
        <v>32</v>
      </c>
      <c r="D3057" t="s">
        <v>448</v>
      </c>
      <c r="E3057" t="s">
        <v>449</v>
      </c>
      <c r="F3057" t="s">
        <v>35</v>
      </c>
      <c r="G3057" t="s">
        <v>35</v>
      </c>
      <c r="H3057" t="s">
        <v>35</v>
      </c>
      <c r="J3057" t="s">
        <v>3533</v>
      </c>
      <c r="K3057" t="s">
        <v>1092</v>
      </c>
      <c r="M3057">
        <v>0.1</v>
      </c>
      <c r="N3057">
        <v>116</v>
      </c>
      <c r="O3057" t="s">
        <v>106</v>
      </c>
      <c r="Q3057" t="s">
        <v>3534</v>
      </c>
      <c r="R3057" t="s">
        <v>324</v>
      </c>
      <c r="S3057" t="s">
        <v>325</v>
      </c>
      <c r="T3057" t="s">
        <v>320</v>
      </c>
    </row>
    <row r="3058" spans="1:20" x14ac:dyDescent="0.25">
      <c r="A3058" t="s">
        <v>59</v>
      </c>
      <c r="B3058" t="s">
        <v>60</v>
      </c>
      <c r="C3058" t="s">
        <v>32</v>
      </c>
      <c r="D3058" t="s">
        <v>448</v>
      </c>
      <c r="E3058" t="s">
        <v>449</v>
      </c>
      <c r="F3058" t="s">
        <v>35</v>
      </c>
      <c r="G3058" t="s">
        <v>35</v>
      </c>
      <c r="H3058" t="s">
        <v>35</v>
      </c>
      <c r="J3058" t="s">
        <v>3533</v>
      </c>
      <c r="K3058" t="s">
        <v>1092</v>
      </c>
      <c r="M3058">
        <v>0.1</v>
      </c>
      <c r="N3058">
        <v>39</v>
      </c>
      <c r="O3058" t="s">
        <v>52</v>
      </c>
      <c r="Q3058" t="s">
        <v>493</v>
      </c>
      <c r="R3058" t="s">
        <v>324</v>
      </c>
      <c r="S3058" t="s">
        <v>325</v>
      </c>
      <c r="T3058" t="s">
        <v>320</v>
      </c>
    </row>
    <row r="3059" spans="1:20" x14ac:dyDescent="0.25">
      <c r="A3059" t="s">
        <v>59</v>
      </c>
      <c r="B3059" t="s">
        <v>60</v>
      </c>
      <c r="C3059" t="s">
        <v>32</v>
      </c>
      <c r="D3059" t="s">
        <v>448</v>
      </c>
      <c r="E3059" t="s">
        <v>449</v>
      </c>
      <c r="F3059" t="s">
        <v>35</v>
      </c>
      <c r="G3059" t="s">
        <v>35</v>
      </c>
      <c r="H3059" t="s">
        <v>35</v>
      </c>
      <c r="J3059" t="s">
        <v>3533</v>
      </c>
      <c r="K3059" t="s">
        <v>1092</v>
      </c>
      <c r="M3059">
        <v>0.1</v>
      </c>
      <c r="N3059">
        <v>111</v>
      </c>
      <c r="O3059" t="s">
        <v>106</v>
      </c>
      <c r="Q3059" t="s">
        <v>1469</v>
      </c>
      <c r="R3059" t="s">
        <v>324</v>
      </c>
      <c r="S3059" t="s">
        <v>325</v>
      </c>
      <c r="T3059" t="s">
        <v>320</v>
      </c>
    </row>
    <row r="3060" spans="1:20" x14ac:dyDescent="0.25">
      <c r="A3060" t="s">
        <v>59</v>
      </c>
      <c r="B3060" t="s">
        <v>60</v>
      </c>
      <c r="C3060" t="s">
        <v>32</v>
      </c>
      <c r="D3060" t="s">
        <v>448</v>
      </c>
      <c r="E3060" t="s">
        <v>449</v>
      </c>
      <c r="F3060" t="s">
        <v>35</v>
      </c>
      <c r="G3060" t="s">
        <v>35</v>
      </c>
      <c r="H3060" t="s">
        <v>35</v>
      </c>
      <c r="J3060" t="s">
        <v>3533</v>
      </c>
      <c r="K3060" t="s">
        <v>1092</v>
      </c>
      <c r="M3060">
        <v>0.2</v>
      </c>
      <c r="N3060">
        <v>123</v>
      </c>
      <c r="O3060" t="s">
        <v>38</v>
      </c>
      <c r="Q3060" t="s">
        <v>1656</v>
      </c>
      <c r="R3060" t="s">
        <v>324</v>
      </c>
      <c r="S3060" t="s">
        <v>325</v>
      </c>
      <c r="T3060" t="s">
        <v>320</v>
      </c>
    </row>
    <row r="3061" spans="1:20" x14ac:dyDescent="0.25">
      <c r="A3061" t="s">
        <v>30</v>
      </c>
      <c r="B3061" t="s">
        <v>31</v>
      </c>
      <c r="C3061" t="s">
        <v>32</v>
      </c>
      <c r="D3061" t="s">
        <v>448</v>
      </c>
      <c r="E3061" t="s">
        <v>3785</v>
      </c>
      <c r="F3061" t="s">
        <v>35</v>
      </c>
      <c r="G3061" t="s">
        <v>35</v>
      </c>
      <c r="H3061" t="s">
        <v>35</v>
      </c>
      <c r="J3061" t="s">
        <v>3789</v>
      </c>
      <c r="K3061" t="s">
        <v>1092</v>
      </c>
      <c r="M3061">
        <v>1.8</v>
      </c>
      <c r="N3061">
        <v>42</v>
      </c>
      <c r="O3061" t="s">
        <v>52</v>
      </c>
      <c r="Q3061" t="s">
        <v>219</v>
      </c>
      <c r="R3061" t="s">
        <v>324</v>
      </c>
      <c r="S3061" t="s">
        <v>325</v>
      </c>
      <c r="T3061" t="s">
        <v>320</v>
      </c>
    </row>
    <row r="3062" spans="1:20" x14ac:dyDescent="0.25">
      <c r="A3062" t="s">
        <v>30</v>
      </c>
      <c r="B3062" t="s">
        <v>31</v>
      </c>
      <c r="C3062" t="s">
        <v>32</v>
      </c>
      <c r="D3062" t="s">
        <v>448</v>
      </c>
      <c r="E3062" t="s">
        <v>3785</v>
      </c>
      <c r="F3062" t="s">
        <v>35</v>
      </c>
      <c r="G3062" t="s">
        <v>35</v>
      </c>
      <c r="H3062" t="s">
        <v>35</v>
      </c>
      <c r="J3062" t="s">
        <v>3802</v>
      </c>
      <c r="K3062" t="s">
        <v>1092</v>
      </c>
      <c r="M3062">
        <v>2.7</v>
      </c>
      <c r="N3062">
        <v>42</v>
      </c>
      <c r="O3062" t="s">
        <v>52</v>
      </c>
      <c r="Q3062" t="s">
        <v>219</v>
      </c>
      <c r="R3062" t="s">
        <v>324</v>
      </c>
      <c r="S3062" t="s">
        <v>325</v>
      </c>
      <c r="T3062" t="s">
        <v>320</v>
      </c>
    </row>
    <row r="3063" spans="1:20" x14ac:dyDescent="0.25">
      <c r="A3063" t="s">
        <v>30</v>
      </c>
      <c r="B3063" t="s">
        <v>31</v>
      </c>
      <c r="C3063" t="s">
        <v>32</v>
      </c>
      <c r="D3063" t="s">
        <v>448</v>
      </c>
      <c r="E3063" t="s">
        <v>3785</v>
      </c>
      <c r="F3063" t="s">
        <v>35</v>
      </c>
      <c r="G3063" t="s">
        <v>35</v>
      </c>
      <c r="H3063" t="s">
        <v>35</v>
      </c>
      <c r="J3063" t="s">
        <v>3802</v>
      </c>
      <c r="K3063" t="s">
        <v>1092</v>
      </c>
      <c r="M3063">
        <v>0.67500000000000004</v>
      </c>
      <c r="N3063">
        <v>33</v>
      </c>
      <c r="O3063" t="s">
        <v>52</v>
      </c>
      <c r="Q3063" t="s">
        <v>130</v>
      </c>
      <c r="R3063" t="s">
        <v>324</v>
      </c>
      <c r="S3063" t="s">
        <v>325</v>
      </c>
      <c r="T3063" t="s">
        <v>320</v>
      </c>
    </row>
    <row r="3064" spans="1:20" x14ac:dyDescent="0.25">
      <c r="A3064" t="s">
        <v>59</v>
      </c>
      <c r="B3064" t="s">
        <v>31</v>
      </c>
      <c r="C3064" t="s">
        <v>32</v>
      </c>
      <c r="D3064" t="s">
        <v>448</v>
      </c>
      <c r="E3064" t="s">
        <v>3634</v>
      </c>
      <c r="F3064" t="s">
        <v>35</v>
      </c>
      <c r="G3064" t="s">
        <v>35</v>
      </c>
      <c r="H3064" t="s">
        <v>35</v>
      </c>
      <c r="J3064" t="s">
        <v>3647</v>
      </c>
      <c r="K3064" t="s">
        <v>1092</v>
      </c>
      <c r="M3064">
        <v>0.02</v>
      </c>
      <c r="N3064">
        <v>1594</v>
      </c>
      <c r="O3064" t="s">
        <v>575</v>
      </c>
      <c r="Q3064" t="s">
        <v>3648</v>
      </c>
      <c r="R3064" t="s">
        <v>324</v>
      </c>
      <c r="S3064" t="s">
        <v>325</v>
      </c>
      <c r="T3064" t="s">
        <v>320</v>
      </c>
    </row>
    <row r="3065" spans="1:20" x14ac:dyDescent="0.25">
      <c r="A3065" t="s">
        <v>59</v>
      </c>
      <c r="B3065" t="s">
        <v>60</v>
      </c>
      <c r="C3065" t="s">
        <v>32</v>
      </c>
      <c r="D3065" t="s">
        <v>448</v>
      </c>
      <c r="E3065" t="s">
        <v>3634</v>
      </c>
      <c r="F3065" t="s">
        <v>35</v>
      </c>
      <c r="G3065" t="s">
        <v>35</v>
      </c>
      <c r="H3065" t="s">
        <v>35</v>
      </c>
      <c r="J3065" t="s">
        <v>3647</v>
      </c>
      <c r="K3065" t="s">
        <v>1092</v>
      </c>
      <c r="M3065">
        <v>0.1</v>
      </c>
      <c r="N3065">
        <v>908</v>
      </c>
      <c r="O3065" t="s">
        <v>575</v>
      </c>
      <c r="Q3065" t="s">
        <v>3649</v>
      </c>
      <c r="R3065" t="s">
        <v>324</v>
      </c>
      <c r="S3065" t="s">
        <v>325</v>
      </c>
      <c r="T3065" t="s">
        <v>320</v>
      </c>
    </row>
    <row r="3066" spans="1:20" x14ac:dyDescent="0.25">
      <c r="A3066" t="s">
        <v>59</v>
      </c>
      <c r="B3066" t="s">
        <v>31</v>
      </c>
      <c r="C3066" t="s">
        <v>32</v>
      </c>
      <c r="D3066" t="s">
        <v>448</v>
      </c>
      <c r="E3066" t="s">
        <v>3634</v>
      </c>
      <c r="F3066" t="s">
        <v>35</v>
      </c>
      <c r="G3066" t="s">
        <v>35</v>
      </c>
      <c r="H3066" t="s">
        <v>35</v>
      </c>
      <c r="J3066" t="s">
        <v>3675</v>
      </c>
      <c r="K3066" t="s">
        <v>1092</v>
      </c>
      <c r="M3066">
        <v>3.15</v>
      </c>
      <c r="N3066">
        <v>67</v>
      </c>
      <c r="O3066" t="s">
        <v>61</v>
      </c>
      <c r="Q3066" t="s">
        <v>488</v>
      </c>
      <c r="R3066" t="s">
        <v>324</v>
      </c>
      <c r="S3066" t="s">
        <v>325</v>
      </c>
      <c r="T3066" t="s">
        <v>320</v>
      </c>
    </row>
    <row r="3067" spans="1:20" x14ac:dyDescent="0.25">
      <c r="A3067" t="s">
        <v>59</v>
      </c>
      <c r="B3067" t="s">
        <v>60</v>
      </c>
      <c r="C3067" t="s">
        <v>32</v>
      </c>
      <c r="D3067" t="s">
        <v>448</v>
      </c>
      <c r="E3067" t="s">
        <v>473</v>
      </c>
      <c r="F3067" t="s">
        <v>35</v>
      </c>
      <c r="G3067" t="s">
        <v>35</v>
      </c>
      <c r="H3067" t="s">
        <v>35</v>
      </c>
      <c r="J3067" t="s">
        <v>3704</v>
      </c>
      <c r="K3067" t="s">
        <v>1092</v>
      </c>
      <c r="M3067">
        <v>5.5</v>
      </c>
      <c r="N3067">
        <v>74</v>
      </c>
      <c r="O3067" t="s">
        <v>61</v>
      </c>
      <c r="Q3067" t="s">
        <v>527</v>
      </c>
      <c r="R3067" t="s">
        <v>324</v>
      </c>
      <c r="S3067" t="s">
        <v>325</v>
      </c>
      <c r="T3067" t="s">
        <v>320</v>
      </c>
    </row>
    <row r="3068" spans="1:20" x14ac:dyDescent="0.25">
      <c r="A3068" t="s">
        <v>30</v>
      </c>
      <c r="B3068" t="s">
        <v>31</v>
      </c>
      <c r="C3068" t="s">
        <v>32</v>
      </c>
      <c r="D3068" t="s">
        <v>448</v>
      </c>
      <c r="E3068" t="s">
        <v>497</v>
      </c>
      <c r="F3068" t="s">
        <v>35</v>
      </c>
      <c r="G3068" t="s">
        <v>35</v>
      </c>
      <c r="H3068" t="s">
        <v>35</v>
      </c>
      <c r="J3068" t="s">
        <v>3763</v>
      </c>
      <c r="K3068" t="s">
        <v>404</v>
      </c>
      <c r="M3068">
        <v>5.31</v>
      </c>
      <c r="N3068">
        <v>45</v>
      </c>
      <c r="O3068" t="s">
        <v>52</v>
      </c>
      <c r="Q3068" t="s">
        <v>1230</v>
      </c>
      <c r="R3068" t="s">
        <v>324</v>
      </c>
      <c r="S3068" t="s">
        <v>325</v>
      </c>
      <c r="T3068" t="s">
        <v>320</v>
      </c>
    </row>
    <row r="3069" spans="1:20" x14ac:dyDescent="0.25">
      <c r="A3069" t="s">
        <v>59</v>
      </c>
      <c r="B3069" t="s">
        <v>31</v>
      </c>
      <c r="C3069" t="s">
        <v>32</v>
      </c>
      <c r="D3069" t="s">
        <v>448</v>
      </c>
      <c r="E3069" t="s">
        <v>3634</v>
      </c>
      <c r="F3069" t="s">
        <v>35</v>
      </c>
      <c r="G3069" t="s">
        <v>35</v>
      </c>
      <c r="H3069" t="s">
        <v>35</v>
      </c>
      <c r="J3069" t="s">
        <v>3637</v>
      </c>
      <c r="K3069" t="s">
        <v>1092</v>
      </c>
      <c r="M3069">
        <v>1.35</v>
      </c>
      <c r="N3069">
        <v>70</v>
      </c>
      <c r="O3069" t="s">
        <v>61</v>
      </c>
      <c r="Q3069" t="s">
        <v>305</v>
      </c>
      <c r="R3069" t="s">
        <v>324</v>
      </c>
      <c r="S3069" t="s">
        <v>325</v>
      </c>
      <c r="T3069" t="s">
        <v>320</v>
      </c>
    </row>
    <row r="3070" spans="1:20" x14ac:dyDescent="0.25">
      <c r="A3070" t="s">
        <v>59</v>
      </c>
      <c r="B3070" t="s">
        <v>60</v>
      </c>
      <c r="C3070" t="s">
        <v>32</v>
      </c>
      <c r="D3070" t="s">
        <v>448</v>
      </c>
      <c r="E3070" t="s">
        <v>3634</v>
      </c>
      <c r="F3070" t="s">
        <v>35</v>
      </c>
      <c r="G3070" t="s">
        <v>35</v>
      </c>
      <c r="H3070" t="s">
        <v>35</v>
      </c>
      <c r="J3070" t="s">
        <v>3637</v>
      </c>
      <c r="K3070" t="s">
        <v>1092</v>
      </c>
      <c r="M3070">
        <v>0.15</v>
      </c>
      <c r="N3070">
        <v>70</v>
      </c>
      <c r="O3070" t="s">
        <v>61</v>
      </c>
      <c r="Q3070" t="s">
        <v>305</v>
      </c>
      <c r="R3070" t="s">
        <v>324</v>
      </c>
      <c r="S3070" t="s">
        <v>325</v>
      </c>
      <c r="T3070" t="s">
        <v>320</v>
      </c>
    </row>
    <row r="3071" spans="1:20" x14ac:dyDescent="0.25">
      <c r="A3071" t="s">
        <v>30</v>
      </c>
      <c r="B3071" t="s">
        <v>31</v>
      </c>
      <c r="C3071" t="s">
        <v>32</v>
      </c>
      <c r="D3071" t="s">
        <v>448</v>
      </c>
      <c r="E3071" t="s">
        <v>509</v>
      </c>
      <c r="F3071" t="s">
        <v>35</v>
      </c>
      <c r="G3071" t="s">
        <v>35</v>
      </c>
      <c r="H3071" t="s">
        <v>35</v>
      </c>
      <c r="J3071" t="s">
        <v>3842</v>
      </c>
      <c r="K3071" t="s">
        <v>1092</v>
      </c>
      <c r="M3071">
        <v>0.67500000000000004</v>
      </c>
      <c r="N3071">
        <v>42</v>
      </c>
      <c r="O3071" t="s">
        <v>52</v>
      </c>
      <c r="Q3071" t="s">
        <v>219</v>
      </c>
      <c r="R3071" t="s">
        <v>324</v>
      </c>
      <c r="S3071" t="s">
        <v>325</v>
      </c>
      <c r="T3071" t="s">
        <v>320</v>
      </c>
    </row>
    <row r="3072" spans="1:20" x14ac:dyDescent="0.25">
      <c r="A3072" t="s">
        <v>30</v>
      </c>
      <c r="B3072" t="s">
        <v>31</v>
      </c>
      <c r="C3072" t="s">
        <v>32</v>
      </c>
      <c r="D3072" t="s">
        <v>448</v>
      </c>
      <c r="E3072" t="s">
        <v>509</v>
      </c>
      <c r="F3072" t="s">
        <v>35</v>
      </c>
      <c r="G3072" t="s">
        <v>35</v>
      </c>
      <c r="H3072" t="s">
        <v>35</v>
      </c>
      <c r="J3072" t="s">
        <v>3843</v>
      </c>
      <c r="K3072" t="s">
        <v>1092</v>
      </c>
      <c r="M3072">
        <v>11.475</v>
      </c>
      <c r="N3072">
        <v>42</v>
      </c>
      <c r="O3072" t="s">
        <v>52</v>
      </c>
      <c r="Q3072" t="s">
        <v>219</v>
      </c>
      <c r="R3072" t="s">
        <v>324</v>
      </c>
      <c r="S3072" t="s">
        <v>325</v>
      </c>
      <c r="T3072" t="s">
        <v>320</v>
      </c>
    </row>
    <row r="3073" spans="1:20" x14ac:dyDescent="0.25">
      <c r="A3073" t="s">
        <v>59</v>
      </c>
      <c r="B3073" t="s">
        <v>60</v>
      </c>
      <c r="C3073" t="s">
        <v>32</v>
      </c>
      <c r="D3073" t="s">
        <v>448</v>
      </c>
      <c r="E3073" t="s">
        <v>466</v>
      </c>
      <c r="F3073" t="s">
        <v>35</v>
      </c>
      <c r="G3073" t="s">
        <v>35</v>
      </c>
      <c r="H3073" t="s">
        <v>35</v>
      </c>
      <c r="J3073" t="s">
        <v>3693</v>
      </c>
      <c r="K3073" t="s">
        <v>1092</v>
      </c>
      <c r="M3073">
        <v>1.35</v>
      </c>
      <c r="N3073">
        <v>67</v>
      </c>
      <c r="O3073" t="s">
        <v>61</v>
      </c>
      <c r="Q3073" t="s">
        <v>488</v>
      </c>
      <c r="R3073" t="s">
        <v>324</v>
      </c>
      <c r="S3073" t="s">
        <v>325</v>
      </c>
      <c r="T3073" t="s">
        <v>320</v>
      </c>
    </row>
    <row r="3074" spans="1:20" x14ac:dyDescent="0.25">
      <c r="A3074" t="s">
        <v>59</v>
      </c>
      <c r="B3074" t="s">
        <v>31</v>
      </c>
      <c r="C3074" t="s">
        <v>32</v>
      </c>
      <c r="D3074" t="s">
        <v>448</v>
      </c>
      <c r="E3074" t="s">
        <v>466</v>
      </c>
      <c r="F3074" t="s">
        <v>35</v>
      </c>
      <c r="G3074" t="s">
        <v>35</v>
      </c>
      <c r="H3074" t="s">
        <v>35</v>
      </c>
      <c r="J3074" t="s">
        <v>3693</v>
      </c>
      <c r="K3074" t="s">
        <v>1092</v>
      </c>
      <c r="M3074">
        <v>2.0249999999999999</v>
      </c>
      <c r="N3074">
        <v>67</v>
      </c>
      <c r="O3074" t="s">
        <v>61</v>
      </c>
      <c r="Q3074" t="s">
        <v>488</v>
      </c>
      <c r="R3074" t="s">
        <v>324</v>
      </c>
      <c r="S3074" t="s">
        <v>325</v>
      </c>
      <c r="T3074" t="s">
        <v>320</v>
      </c>
    </row>
    <row r="3075" spans="1:20" x14ac:dyDescent="0.25">
      <c r="A3075" t="s">
        <v>59</v>
      </c>
      <c r="B3075" t="s">
        <v>31</v>
      </c>
      <c r="C3075" t="s">
        <v>32</v>
      </c>
      <c r="D3075" t="s">
        <v>448</v>
      </c>
      <c r="E3075" t="s">
        <v>466</v>
      </c>
      <c r="F3075" t="s">
        <v>35</v>
      </c>
      <c r="G3075" t="s">
        <v>35</v>
      </c>
      <c r="H3075" t="s">
        <v>35</v>
      </c>
      <c r="J3075" t="s">
        <v>3693</v>
      </c>
      <c r="K3075" t="s">
        <v>1092</v>
      </c>
      <c r="M3075">
        <v>2.25</v>
      </c>
      <c r="N3075">
        <v>70</v>
      </c>
      <c r="O3075" t="s">
        <v>61</v>
      </c>
      <c r="Q3075" t="s">
        <v>305</v>
      </c>
      <c r="R3075" t="s">
        <v>324</v>
      </c>
      <c r="S3075" t="s">
        <v>325</v>
      </c>
      <c r="T3075" t="s">
        <v>320</v>
      </c>
    </row>
    <row r="3076" spans="1:20" x14ac:dyDescent="0.25">
      <c r="A3076" t="s">
        <v>30</v>
      </c>
      <c r="B3076" t="s">
        <v>31</v>
      </c>
      <c r="C3076" t="s">
        <v>32</v>
      </c>
      <c r="D3076" t="s">
        <v>448</v>
      </c>
      <c r="F3076" t="s">
        <v>35</v>
      </c>
      <c r="G3076" t="s">
        <v>35</v>
      </c>
      <c r="H3076" t="s">
        <v>35</v>
      </c>
      <c r="J3076" t="s">
        <v>3875</v>
      </c>
      <c r="K3076" t="s">
        <v>1092</v>
      </c>
      <c r="M3076">
        <v>2.7450000000000001</v>
      </c>
      <c r="N3076">
        <v>1920</v>
      </c>
      <c r="O3076" t="s">
        <v>575</v>
      </c>
      <c r="Q3076" t="s">
        <v>3876</v>
      </c>
      <c r="R3076" t="s">
        <v>3877</v>
      </c>
      <c r="S3076" t="s">
        <v>3878</v>
      </c>
      <c r="T3076" t="s">
        <v>3879</v>
      </c>
    </row>
    <row r="3077" spans="1:20" x14ac:dyDescent="0.25">
      <c r="A3077" t="s">
        <v>59</v>
      </c>
      <c r="B3077" t="s">
        <v>60</v>
      </c>
      <c r="C3077" t="s">
        <v>32</v>
      </c>
      <c r="D3077" t="s">
        <v>448</v>
      </c>
      <c r="F3077" t="s">
        <v>35</v>
      </c>
      <c r="G3077" t="s">
        <v>35</v>
      </c>
      <c r="H3077" t="s">
        <v>35</v>
      </c>
      <c r="J3077" t="s">
        <v>3880</v>
      </c>
      <c r="K3077" t="s">
        <v>1092</v>
      </c>
      <c r="M3077">
        <v>0.05</v>
      </c>
      <c r="N3077">
        <v>1894</v>
      </c>
      <c r="O3077" t="s">
        <v>575</v>
      </c>
      <c r="Q3077" t="s">
        <v>3566</v>
      </c>
      <c r="R3077" t="s">
        <v>3877</v>
      </c>
      <c r="S3077" t="s">
        <v>3878</v>
      </c>
      <c r="T3077" t="s">
        <v>3879</v>
      </c>
    </row>
    <row r="3078" spans="1:20" x14ac:dyDescent="0.25">
      <c r="A3078" t="s">
        <v>44</v>
      </c>
      <c r="B3078" t="s">
        <v>3</v>
      </c>
      <c r="C3078" t="s">
        <v>32</v>
      </c>
      <c r="D3078" t="s">
        <v>448</v>
      </c>
      <c r="E3078" t="s">
        <v>3634</v>
      </c>
      <c r="F3078" t="s">
        <v>35</v>
      </c>
      <c r="G3078" t="s">
        <v>35</v>
      </c>
      <c r="H3078" t="s">
        <v>35</v>
      </c>
      <c r="J3078" t="s">
        <v>3663</v>
      </c>
      <c r="K3078" t="s">
        <v>1092</v>
      </c>
      <c r="M3078">
        <v>0.45</v>
      </c>
      <c r="N3078">
        <v>524</v>
      </c>
      <c r="O3078" t="s">
        <v>294</v>
      </c>
      <c r="Q3078" t="s">
        <v>1619</v>
      </c>
      <c r="R3078" t="s">
        <v>3664</v>
      </c>
      <c r="S3078" t="s">
        <v>3665</v>
      </c>
      <c r="T3078" t="s">
        <v>3666</v>
      </c>
    </row>
    <row r="3079" spans="1:20" x14ac:dyDescent="0.25">
      <c r="A3079" t="s">
        <v>30</v>
      </c>
      <c r="B3079" t="s">
        <v>31</v>
      </c>
      <c r="C3079" t="s">
        <v>32</v>
      </c>
      <c r="D3079" t="s">
        <v>448</v>
      </c>
      <c r="E3079" t="s">
        <v>449</v>
      </c>
      <c r="F3079" t="s">
        <v>35</v>
      </c>
      <c r="G3079" t="s">
        <v>35</v>
      </c>
      <c r="H3079" t="s">
        <v>35</v>
      </c>
      <c r="J3079" t="s">
        <v>450</v>
      </c>
      <c r="K3079" t="s">
        <v>37</v>
      </c>
      <c r="M3079">
        <v>3.0150000000000001</v>
      </c>
      <c r="N3079">
        <v>49</v>
      </c>
      <c r="O3079" t="s">
        <v>52</v>
      </c>
      <c r="P3079" t="s">
        <v>452</v>
      </c>
      <c r="Q3079" t="s">
        <v>453</v>
      </c>
      <c r="R3079" t="s">
        <v>91</v>
      </c>
      <c r="S3079" t="s">
        <v>92</v>
      </c>
    </row>
    <row r="3080" spans="1:20" x14ac:dyDescent="0.25">
      <c r="A3080" t="s">
        <v>59</v>
      </c>
      <c r="B3080" t="s">
        <v>60</v>
      </c>
      <c r="C3080" t="s">
        <v>32</v>
      </c>
      <c r="D3080" t="s">
        <v>448</v>
      </c>
      <c r="E3080" t="s">
        <v>449</v>
      </c>
      <c r="F3080" t="s">
        <v>35</v>
      </c>
      <c r="G3080" t="s">
        <v>35</v>
      </c>
      <c r="H3080" t="s">
        <v>35</v>
      </c>
      <c r="J3080" t="s">
        <v>450</v>
      </c>
      <c r="K3080" t="s">
        <v>37</v>
      </c>
      <c r="M3080">
        <v>9.15</v>
      </c>
      <c r="N3080">
        <v>76</v>
      </c>
      <c r="O3080" t="s">
        <v>61</v>
      </c>
      <c r="P3080" t="s">
        <v>454</v>
      </c>
      <c r="Q3080" t="s">
        <v>455</v>
      </c>
      <c r="R3080" t="s">
        <v>91</v>
      </c>
      <c r="S3080" t="s">
        <v>92</v>
      </c>
    </row>
    <row r="3081" spans="1:20" x14ac:dyDescent="0.25">
      <c r="A3081" t="s">
        <v>30</v>
      </c>
      <c r="B3081" t="s">
        <v>31</v>
      </c>
      <c r="C3081" t="s">
        <v>32</v>
      </c>
      <c r="D3081" t="s">
        <v>448</v>
      </c>
      <c r="E3081" t="s">
        <v>459</v>
      </c>
      <c r="F3081" t="s">
        <v>35</v>
      </c>
      <c r="G3081" t="s">
        <v>35</v>
      </c>
      <c r="H3081" t="s">
        <v>35</v>
      </c>
      <c r="J3081" t="s">
        <v>3572</v>
      </c>
      <c r="K3081" t="s">
        <v>1092</v>
      </c>
      <c r="M3081">
        <v>0.23499999999999999</v>
      </c>
      <c r="N3081">
        <v>1540</v>
      </c>
      <c r="O3081" t="s">
        <v>575</v>
      </c>
      <c r="Q3081" t="s">
        <v>3573</v>
      </c>
      <c r="R3081" t="s">
        <v>3574</v>
      </c>
      <c r="S3081" t="s">
        <v>3575</v>
      </c>
      <c r="T3081" t="s">
        <v>3576</v>
      </c>
    </row>
    <row r="3082" spans="1:20" x14ac:dyDescent="0.25">
      <c r="A3082" t="s">
        <v>30</v>
      </c>
      <c r="B3082" t="s">
        <v>31</v>
      </c>
      <c r="C3082" t="s">
        <v>32</v>
      </c>
      <c r="D3082" t="s">
        <v>448</v>
      </c>
      <c r="E3082" t="s">
        <v>459</v>
      </c>
      <c r="F3082" t="s">
        <v>35</v>
      </c>
      <c r="G3082" t="s">
        <v>35</v>
      </c>
      <c r="H3082" t="s">
        <v>35</v>
      </c>
      <c r="J3082" t="s">
        <v>3572</v>
      </c>
      <c r="K3082" t="s">
        <v>1092</v>
      </c>
      <c r="M3082">
        <v>1.125</v>
      </c>
      <c r="N3082">
        <v>1539</v>
      </c>
      <c r="O3082" t="s">
        <v>575</v>
      </c>
      <c r="Q3082" t="s">
        <v>3577</v>
      </c>
      <c r="R3082" t="s">
        <v>3574</v>
      </c>
      <c r="S3082" t="s">
        <v>3575</v>
      </c>
      <c r="T3082" t="s">
        <v>3576</v>
      </c>
    </row>
    <row r="3083" spans="1:20" x14ac:dyDescent="0.25">
      <c r="A3083" t="s">
        <v>59</v>
      </c>
      <c r="B3083" t="s">
        <v>31</v>
      </c>
      <c r="C3083" t="s">
        <v>32</v>
      </c>
      <c r="D3083" t="s">
        <v>448</v>
      </c>
      <c r="E3083" t="s">
        <v>484</v>
      </c>
      <c r="F3083" t="s">
        <v>35</v>
      </c>
      <c r="G3083" t="s">
        <v>35</v>
      </c>
      <c r="H3083" t="s">
        <v>35</v>
      </c>
      <c r="J3083" t="s">
        <v>3755</v>
      </c>
      <c r="K3083" t="s">
        <v>1092</v>
      </c>
      <c r="M3083">
        <v>4.5</v>
      </c>
      <c r="N3083">
        <v>1217</v>
      </c>
      <c r="O3083" t="s">
        <v>575</v>
      </c>
      <c r="Q3083" t="s">
        <v>3614</v>
      </c>
      <c r="R3083" t="s">
        <v>3574</v>
      </c>
      <c r="S3083" t="s">
        <v>3575</v>
      </c>
      <c r="T3083" t="s">
        <v>3576</v>
      </c>
    </row>
    <row r="3084" spans="1:20" x14ac:dyDescent="0.25">
      <c r="A3084" t="s">
        <v>30</v>
      </c>
      <c r="B3084" t="s">
        <v>31</v>
      </c>
      <c r="C3084" t="s">
        <v>32</v>
      </c>
      <c r="D3084" t="s">
        <v>448</v>
      </c>
      <c r="F3084" t="s">
        <v>35</v>
      </c>
      <c r="G3084" t="s">
        <v>35</v>
      </c>
      <c r="H3084" t="s">
        <v>35</v>
      </c>
      <c r="J3084" t="s">
        <v>3887</v>
      </c>
      <c r="K3084" t="s">
        <v>1092</v>
      </c>
      <c r="M3084">
        <v>0.67500000000000004</v>
      </c>
      <c r="N3084">
        <v>1543</v>
      </c>
      <c r="O3084" t="s">
        <v>575</v>
      </c>
      <c r="Q3084" t="s">
        <v>3888</v>
      </c>
      <c r="R3084" t="s">
        <v>3574</v>
      </c>
      <c r="S3084" t="s">
        <v>3575</v>
      </c>
      <c r="T3084" t="s">
        <v>3576</v>
      </c>
    </row>
    <row r="3085" spans="1:20" x14ac:dyDescent="0.25">
      <c r="A3085" t="s">
        <v>30</v>
      </c>
      <c r="B3085" t="s">
        <v>31</v>
      </c>
      <c r="C3085" t="s">
        <v>32</v>
      </c>
      <c r="D3085" t="s">
        <v>448</v>
      </c>
      <c r="F3085" t="s">
        <v>35</v>
      </c>
      <c r="G3085" t="s">
        <v>35</v>
      </c>
      <c r="H3085" t="s">
        <v>35</v>
      </c>
      <c r="J3085" t="s">
        <v>3887</v>
      </c>
      <c r="K3085" t="s">
        <v>1092</v>
      </c>
      <c r="M3085">
        <v>0.67500000000000004</v>
      </c>
      <c r="N3085">
        <v>1539</v>
      </c>
      <c r="O3085" t="s">
        <v>575</v>
      </c>
      <c r="Q3085" t="s">
        <v>3577</v>
      </c>
      <c r="R3085" t="s">
        <v>3574</v>
      </c>
      <c r="S3085" t="s">
        <v>3575</v>
      </c>
      <c r="T3085" t="s">
        <v>3576</v>
      </c>
    </row>
    <row r="3086" spans="1:20" x14ac:dyDescent="0.25">
      <c r="A3086" t="s">
        <v>59</v>
      </c>
      <c r="B3086" t="s">
        <v>31</v>
      </c>
      <c r="C3086" t="s">
        <v>32</v>
      </c>
      <c r="D3086" t="s">
        <v>448</v>
      </c>
      <c r="E3086" t="s">
        <v>3609</v>
      </c>
      <c r="F3086" t="s">
        <v>35</v>
      </c>
      <c r="G3086" t="s">
        <v>35</v>
      </c>
      <c r="H3086" t="s">
        <v>35</v>
      </c>
      <c r="J3086" t="s">
        <v>3630</v>
      </c>
      <c r="K3086" t="s">
        <v>1092</v>
      </c>
      <c r="M3086">
        <v>0.27</v>
      </c>
      <c r="N3086">
        <v>1194</v>
      </c>
      <c r="O3086" t="s">
        <v>575</v>
      </c>
      <c r="Q3086" t="s">
        <v>3631</v>
      </c>
      <c r="R3086" t="s">
        <v>3623</v>
      </c>
      <c r="S3086" t="s">
        <v>3624</v>
      </c>
      <c r="T3086" t="s">
        <v>3625</v>
      </c>
    </row>
    <row r="3087" spans="1:20" x14ac:dyDescent="0.25">
      <c r="A3087" t="s">
        <v>30</v>
      </c>
      <c r="B3087" t="s">
        <v>31</v>
      </c>
      <c r="C3087" t="s">
        <v>32</v>
      </c>
      <c r="D3087" t="s">
        <v>448</v>
      </c>
      <c r="E3087" t="s">
        <v>3609</v>
      </c>
      <c r="F3087" t="s">
        <v>35</v>
      </c>
      <c r="G3087" t="s">
        <v>35</v>
      </c>
      <c r="H3087" t="s">
        <v>35</v>
      </c>
      <c r="J3087" t="s">
        <v>3621</v>
      </c>
      <c r="K3087" t="s">
        <v>1092</v>
      </c>
      <c r="M3087">
        <v>5.0000000000000001E-3</v>
      </c>
      <c r="N3087">
        <v>1909</v>
      </c>
      <c r="O3087" t="s">
        <v>575</v>
      </c>
      <c r="Q3087" t="s">
        <v>3622</v>
      </c>
      <c r="R3087" t="s">
        <v>3623</v>
      </c>
      <c r="S3087" t="s">
        <v>3624</v>
      </c>
      <c r="T3087" t="s">
        <v>3625</v>
      </c>
    </row>
    <row r="3088" spans="1:20" x14ac:dyDescent="0.25">
      <c r="A3088" t="s">
        <v>30</v>
      </c>
      <c r="B3088" t="s">
        <v>31</v>
      </c>
      <c r="C3088" t="s">
        <v>32</v>
      </c>
      <c r="D3088" t="s">
        <v>448</v>
      </c>
      <c r="F3088" t="s">
        <v>35</v>
      </c>
      <c r="G3088" t="s">
        <v>35</v>
      </c>
      <c r="H3088" t="s">
        <v>35</v>
      </c>
      <c r="J3088" t="s">
        <v>3882</v>
      </c>
      <c r="K3088" t="s">
        <v>1092</v>
      </c>
      <c r="M3088">
        <v>0.18</v>
      </c>
      <c r="N3088">
        <v>2087</v>
      </c>
      <c r="O3088" t="s">
        <v>575</v>
      </c>
      <c r="Q3088" t="s">
        <v>3884</v>
      </c>
      <c r="R3088" t="s">
        <v>3885</v>
      </c>
      <c r="S3088" t="s">
        <v>3886</v>
      </c>
      <c r="T3088" t="s">
        <v>3883</v>
      </c>
    </row>
    <row r="3089" spans="1:20" x14ac:dyDescent="0.25">
      <c r="A3089" t="s">
        <v>59</v>
      </c>
      <c r="B3089" t="s">
        <v>31</v>
      </c>
      <c r="C3089" t="s">
        <v>32</v>
      </c>
      <c r="D3089" t="s">
        <v>448</v>
      </c>
      <c r="F3089" t="s">
        <v>35</v>
      </c>
      <c r="G3089" t="s">
        <v>35</v>
      </c>
      <c r="H3089" t="s">
        <v>35</v>
      </c>
      <c r="J3089" t="s">
        <v>3882</v>
      </c>
      <c r="K3089" t="s">
        <v>1092</v>
      </c>
      <c r="M3089">
        <v>0.96</v>
      </c>
      <c r="N3089">
        <v>2087</v>
      </c>
      <c r="O3089" t="s">
        <v>575</v>
      </c>
      <c r="Q3089" t="s">
        <v>3884</v>
      </c>
      <c r="R3089" t="s">
        <v>3885</v>
      </c>
      <c r="S3089" t="s">
        <v>3886</v>
      </c>
      <c r="T3089" t="s">
        <v>3883</v>
      </c>
    </row>
    <row r="3090" spans="1:20" x14ac:dyDescent="0.25">
      <c r="A3090" t="s">
        <v>59</v>
      </c>
      <c r="B3090" t="s">
        <v>60</v>
      </c>
      <c r="C3090" t="s">
        <v>32</v>
      </c>
      <c r="D3090" t="s">
        <v>448</v>
      </c>
      <c r="E3090" t="s">
        <v>497</v>
      </c>
      <c r="F3090" t="s">
        <v>35</v>
      </c>
      <c r="G3090" t="s">
        <v>35</v>
      </c>
      <c r="H3090" t="s">
        <v>35</v>
      </c>
      <c r="J3090" t="s">
        <v>3771</v>
      </c>
      <c r="K3090" t="s">
        <v>1092</v>
      </c>
      <c r="M3090">
        <v>0.5</v>
      </c>
      <c r="N3090">
        <v>160</v>
      </c>
      <c r="O3090" t="s">
        <v>38</v>
      </c>
      <c r="Q3090" t="s">
        <v>1120</v>
      </c>
      <c r="R3090" t="s">
        <v>3652</v>
      </c>
      <c r="S3090" t="s">
        <v>498</v>
      </c>
      <c r="T3090" t="s">
        <v>499</v>
      </c>
    </row>
    <row r="3091" spans="1:20" x14ac:dyDescent="0.25">
      <c r="A3091" t="s">
        <v>59</v>
      </c>
      <c r="B3091" t="s">
        <v>60</v>
      </c>
      <c r="C3091" t="s">
        <v>32</v>
      </c>
      <c r="D3091" t="s">
        <v>448</v>
      </c>
      <c r="E3091" t="s">
        <v>497</v>
      </c>
      <c r="F3091" t="s">
        <v>35</v>
      </c>
      <c r="G3091" t="s">
        <v>35</v>
      </c>
      <c r="H3091" t="s">
        <v>35</v>
      </c>
      <c r="J3091" t="s">
        <v>3764</v>
      </c>
      <c r="K3091" t="s">
        <v>1092</v>
      </c>
      <c r="M3091">
        <v>0.4</v>
      </c>
      <c r="N3091">
        <v>102</v>
      </c>
      <c r="O3091" t="s">
        <v>106</v>
      </c>
      <c r="Q3091" t="s">
        <v>2624</v>
      </c>
      <c r="R3091" t="s">
        <v>3652</v>
      </c>
      <c r="S3091" t="s">
        <v>498</v>
      </c>
      <c r="T3091" t="s">
        <v>499</v>
      </c>
    </row>
    <row r="3092" spans="1:20" x14ac:dyDescent="0.25">
      <c r="A3092" t="s">
        <v>59</v>
      </c>
      <c r="B3092" t="s">
        <v>60</v>
      </c>
      <c r="C3092" t="s">
        <v>32</v>
      </c>
      <c r="D3092" t="s">
        <v>448</v>
      </c>
      <c r="E3092" t="s">
        <v>3634</v>
      </c>
      <c r="F3092" t="s">
        <v>35</v>
      </c>
      <c r="G3092" t="s">
        <v>35</v>
      </c>
      <c r="H3092" t="s">
        <v>35</v>
      </c>
      <c r="J3092" t="s">
        <v>3654</v>
      </c>
      <c r="K3092" t="s">
        <v>1092</v>
      </c>
      <c r="M3092">
        <v>0.15</v>
      </c>
      <c r="N3092">
        <v>129</v>
      </c>
      <c r="O3092" t="s">
        <v>38</v>
      </c>
      <c r="Q3092" t="s">
        <v>157</v>
      </c>
      <c r="R3092" t="s">
        <v>3652</v>
      </c>
      <c r="S3092" t="s">
        <v>498</v>
      </c>
      <c r="T3092" t="s">
        <v>499</v>
      </c>
    </row>
    <row r="3093" spans="1:20" x14ac:dyDescent="0.25">
      <c r="A3093" t="s">
        <v>59</v>
      </c>
      <c r="B3093" t="s">
        <v>60</v>
      </c>
      <c r="C3093" t="s">
        <v>32</v>
      </c>
      <c r="D3093" t="s">
        <v>448</v>
      </c>
      <c r="E3093" t="s">
        <v>3634</v>
      </c>
      <c r="F3093" t="s">
        <v>35</v>
      </c>
      <c r="G3093" t="s">
        <v>35</v>
      </c>
      <c r="H3093" t="s">
        <v>35</v>
      </c>
      <c r="J3093" t="s">
        <v>3650</v>
      </c>
      <c r="K3093" t="s">
        <v>1092</v>
      </c>
      <c r="M3093">
        <v>0.1</v>
      </c>
      <c r="N3093">
        <v>464</v>
      </c>
      <c r="O3093" t="s">
        <v>294</v>
      </c>
      <c r="Q3093" t="s">
        <v>3651</v>
      </c>
      <c r="R3093" t="s">
        <v>3652</v>
      </c>
      <c r="S3093" t="s">
        <v>498</v>
      </c>
      <c r="T3093" t="s">
        <v>499</v>
      </c>
    </row>
    <row r="3094" spans="1:20" x14ac:dyDescent="0.25">
      <c r="A3094" t="s">
        <v>59</v>
      </c>
      <c r="B3094" t="s">
        <v>60</v>
      </c>
      <c r="C3094" t="s">
        <v>32</v>
      </c>
      <c r="D3094" t="s">
        <v>448</v>
      </c>
      <c r="E3094" t="s">
        <v>3634</v>
      </c>
      <c r="F3094" t="s">
        <v>35</v>
      </c>
      <c r="G3094" t="s">
        <v>35</v>
      </c>
      <c r="H3094" t="s">
        <v>35</v>
      </c>
      <c r="J3094" t="s">
        <v>3650</v>
      </c>
      <c r="K3094" t="s">
        <v>1092</v>
      </c>
      <c r="M3094">
        <v>1</v>
      </c>
      <c r="N3094">
        <v>160</v>
      </c>
      <c r="O3094" t="s">
        <v>38</v>
      </c>
      <c r="Q3094" t="s">
        <v>1120</v>
      </c>
      <c r="R3094" t="s">
        <v>3652</v>
      </c>
      <c r="S3094" t="s">
        <v>498</v>
      </c>
      <c r="T3094" t="s">
        <v>499</v>
      </c>
    </row>
    <row r="3095" spans="1:20" x14ac:dyDescent="0.25">
      <c r="A3095" t="s">
        <v>44</v>
      </c>
      <c r="B3095" t="s">
        <v>3</v>
      </c>
      <c r="C3095" t="s">
        <v>32</v>
      </c>
      <c r="D3095" t="s">
        <v>448</v>
      </c>
      <c r="E3095" t="s">
        <v>3634</v>
      </c>
      <c r="F3095" t="s">
        <v>35</v>
      </c>
      <c r="G3095" t="s">
        <v>35</v>
      </c>
      <c r="H3095" t="s">
        <v>35</v>
      </c>
      <c r="J3095" t="s">
        <v>3650</v>
      </c>
      <c r="K3095" t="s">
        <v>1092</v>
      </c>
      <c r="M3095">
        <v>0.2</v>
      </c>
      <c r="N3095">
        <v>490</v>
      </c>
      <c r="O3095" t="s">
        <v>294</v>
      </c>
      <c r="Q3095" t="s">
        <v>3653</v>
      </c>
      <c r="R3095" t="s">
        <v>3652</v>
      </c>
      <c r="S3095" t="s">
        <v>498</v>
      </c>
      <c r="T3095" t="s">
        <v>499</v>
      </c>
    </row>
    <row r="3096" spans="1:20" x14ac:dyDescent="0.25">
      <c r="A3096" t="s">
        <v>59</v>
      </c>
      <c r="B3096" t="s">
        <v>60</v>
      </c>
      <c r="C3096" t="s">
        <v>32</v>
      </c>
      <c r="D3096" t="s">
        <v>448</v>
      </c>
      <c r="E3096" t="s">
        <v>3634</v>
      </c>
      <c r="F3096" t="s">
        <v>35</v>
      </c>
      <c r="G3096" t="s">
        <v>35</v>
      </c>
      <c r="H3096" t="s">
        <v>35</v>
      </c>
      <c r="J3096" t="s">
        <v>3650</v>
      </c>
      <c r="K3096" t="s">
        <v>1092</v>
      </c>
      <c r="M3096">
        <v>0.5</v>
      </c>
      <c r="N3096">
        <v>441</v>
      </c>
      <c r="O3096" t="s">
        <v>294</v>
      </c>
      <c r="Q3096" t="s">
        <v>1899</v>
      </c>
      <c r="R3096" t="s">
        <v>3652</v>
      </c>
      <c r="S3096" t="s">
        <v>498</v>
      </c>
      <c r="T3096" t="s">
        <v>499</v>
      </c>
    </row>
    <row r="3097" spans="1:20" x14ac:dyDescent="0.25">
      <c r="A3097" t="s">
        <v>59</v>
      </c>
      <c r="B3097" t="s">
        <v>60</v>
      </c>
      <c r="C3097" t="s">
        <v>32</v>
      </c>
      <c r="D3097" t="s">
        <v>448</v>
      </c>
      <c r="E3097" t="s">
        <v>3634</v>
      </c>
      <c r="F3097" t="s">
        <v>35</v>
      </c>
      <c r="G3097" t="s">
        <v>35</v>
      </c>
      <c r="H3097" t="s">
        <v>35</v>
      </c>
      <c r="J3097" t="s">
        <v>3670</v>
      </c>
      <c r="K3097" t="s">
        <v>1092</v>
      </c>
      <c r="M3097">
        <v>0.05</v>
      </c>
      <c r="N3097">
        <v>160</v>
      </c>
      <c r="O3097" t="s">
        <v>38</v>
      </c>
      <c r="Q3097" t="s">
        <v>1120</v>
      </c>
      <c r="R3097" t="s">
        <v>3652</v>
      </c>
      <c r="S3097" t="s">
        <v>498</v>
      </c>
      <c r="T3097" t="s">
        <v>499</v>
      </c>
    </row>
    <row r="3098" spans="1:20" x14ac:dyDescent="0.25">
      <c r="A3098" t="s">
        <v>59</v>
      </c>
      <c r="B3098" t="s">
        <v>60</v>
      </c>
      <c r="C3098" t="s">
        <v>32</v>
      </c>
      <c r="D3098" t="s">
        <v>448</v>
      </c>
      <c r="E3098" t="s">
        <v>3634</v>
      </c>
      <c r="F3098" t="s">
        <v>35</v>
      </c>
      <c r="G3098" t="s">
        <v>35</v>
      </c>
      <c r="H3098" t="s">
        <v>35</v>
      </c>
      <c r="J3098" t="s">
        <v>3667</v>
      </c>
      <c r="K3098" t="s">
        <v>1092</v>
      </c>
      <c r="M3098">
        <v>0.2</v>
      </c>
      <c r="N3098">
        <v>115</v>
      </c>
      <c r="O3098" t="s">
        <v>106</v>
      </c>
      <c r="Q3098" t="s">
        <v>3430</v>
      </c>
      <c r="R3098" t="s">
        <v>3652</v>
      </c>
      <c r="S3098" t="s">
        <v>498</v>
      </c>
      <c r="T3098" t="s">
        <v>499</v>
      </c>
    </row>
    <row r="3099" spans="1:20" x14ac:dyDescent="0.25">
      <c r="A3099" t="s">
        <v>59</v>
      </c>
      <c r="B3099" t="s">
        <v>60</v>
      </c>
      <c r="C3099" t="s">
        <v>32</v>
      </c>
      <c r="D3099" t="s">
        <v>448</v>
      </c>
      <c r="E3099" t="s">
        <v>3634</v>
      </c>
      <c r="F3099" t="s">
        <v>35</v>
      </c>
      <c r="G3099" t="s">
        <v>35</v>
      </c>
      <c r="H3099" t="s">
        <v>35</v>
      </c>
      <c r="J3099" t="s">
        <v>3667</v>
      </c>
      <c r="K3099" t="s">
        <v>1092</v>
      </c>
      <c r="M3099">
        <v>0.5</v>
      </c>
      <c r="N3099">
        <v>135</v>
      </c>
      <c r="O3099" t="s">
        <v>38</v>
      </c>
      <c r="Q3099" t="s">
        <v>2067</v>
      </c>
      <c r="R3099" t="s">
        <v>3652</v>
      </c>
      <c r="S3099" t="s">
        <v>498</v>
      </c>
      <c r="T3099" t="s">
        <v>499</v>
      </c>
    </row>
    <row r="3100" spans="1:20" x14ac:dyDescent="0.25">
      <c r="A3100" t="s">
        <v>44</v>
      </c>
      <c r="B3100" t="s">
        <v>3</v>
      </c>
      <c r="C3100" t="s">
        <v>32</v>
      </c>
      <c r="D3100" t="s">
        <v>448</v>
      </c>
      <c r="E3100" t="s">
        <v>497</v>
      </c>
      <c r="F3100" t="s">
        <v>35</v>
      </c>
      <c r="G3100" t="s">
        <v>35</v>
      </c>
      <c r="H3100" t="s">
        <v>35</v>
      </c>
      <c r="J3100" t="s">
        <v>3766</v>
      </c>
      <c r="K3100" t="s">
        <v>1092</v>
      </c>
      <c r="M3100">
        <v>0.5</v>
      </c>
      <c r="N3100">
        <v>497</v>
      </c>
      <c r="O3100" t="s">
        <v>294</v>
      </c>
      <c r="Q3100" t="s">
        <v>1614</v>
      </c>
      <c r="R3100" t="s">
        <v>3652</v>
      </c>
      <c r="S3100" t="s">
        <v>498</v>
      </c>
      <c r="T3100" t="s">
        <v>499</v>
      </c>
    </row>
    <row r="3101" spans="1:20" x14ac:dyDescent="0.25">
      <c r="A3101" t="s">
        <v>59</v>
      </c>
      <c r="B3101" t="s">
        <v>60</v>
      </c>
      <c r="C3101" t="s">
        <v>32</v>
      </c>
      <c r="D3101" t="s">
        <v>448</v>
      </c>
      <c r="E3101" t="s">
        <v>497</v>
      </c>
      <c r="F3101" t="s">
        <v>35</v>
      </c>
      <c r="G3101" t="s">
        <v>35</v>
      </c>
      <c r="H3101" t="s">
        <v>35</v>
      </c>
      <c r="J3101" t="s">
        <v>3766</v>
      </c>
      <c r="K3101" t="s">
        <v>1092</v>
      </c>
      <c r="M3101">
        <v>0.5</v>
      </c>
      <c r="N3101">
        <v>459</v>
      </c>
      <c r="O3101" t="s">
        <v>294</v>
      </c>
      <c r="Q3101" t="s">
        <v>1114</v>
      </c>
      <c r="R3101" t="s">
        <v>3652</v>
      </c>
      <c r="S3101" t="s">
        <v>498</v>
      </c>
      <c r="T3101" t="s">
        <v>499</v>
      </c>
    </row>
    <row r="3102" spans="1:20" x14ac:dyDescent="0.25">
      <c r="A3102" t="s">
        <v>59</v>
      </c>
      <c r="B3102" t="s">
        <v>60</v>
      </c>
      <c r="C3102" t="s">
        <v>32</v>
      </c>
      <c r="D3102" t="s">
        <v>448</v>
      </c>
      <c r="E3102" t="s">
        <v>497</v>
      </c>
      <c r="F3102" t="s">
        <v>35</v>
      </c>
      <c r="G3102" t="s">
        <v>35</v>
      </c>
      <c r="H3102" t="s">
        <v>35</v>
      </c>
      <c r="J3102" t="s">
        <v>3766</v>
      </c>
      <c r="K3102" t="s">
        <v>1092</v>
      </c>
      <c r="M3102">
        <v>0.9</v>
      </c>
      <c r="N3102">
        <v>512</v>
      </c>
      <c r="O3102" t="s">
        <v>294</v>
      </c>
      <c r="Q3102" t="s">
        <v>3767</v>
      </c>
      <c r="R3102" t="s">
        <v>3652</v>
      </c>
      <c r="S3102" t="s">
        <v>498</v>
      </c>
      <c r="T3102" t="s">
        <v>499</v>
      </c>
    </row>
    <row r="3103" spans="1:20" x14ac:dyDescent="0.25">
      <c r="A3103" t="s">
        <v>59</v>
      </c>
      <c r="B3103" t="s">
        <v>60</v>
      </c>
      <c r="C3103" t="s">
        <v>32</v>
      </c>
      <c r="D3103" t="s">
        <v>448</v>
      </c>
      <c r="E3103" t="s">
        <v>497</v>
      </c>
      <c r="F3103" t="s">
        <v>35</v>
      </c>
      <c r="G3103" t="s">
        <v>35</v>
      </c>
      <c r="H3103" t="s">
        <v>35</v>
      </c>
      <c r="J3103" t="s">
        <v>3766</v>
      </c>
      <c r="K3103" t="s">
        <v>1092</v>
      </c>
      <c r="M3103">
        <v>0.5</v>
      </c>
      <c r="N3103">
        <v>491</v>
      </c>
      <c r="O3103" t="s">
        <v>294</v>
      </c>
      <c r="Q3103" t="s">
        <v>2487</v>
      </c>
      <c r="R3103" t="s">
        <v>3652</v>
      </c>
      <c r="S3103" t="s">
        <v>498</v>
      </c>
      <c r="T3103" t="s">
        <v>499</v>
      </c>
    </row>
    <row r="3104" spans="1:20" x14ac:dyDescent="0.25">
      <c r="A3104" t="s">
        <v>30</v>
      </c>
      <c r="B3104" t="s">
        <v>31</v>
      </c>
      <c r="C3104" t="s">
        <v>32</v>
      </c>
      <c r="D3104" t="s">
        <v>448</v>
      </c>
      <c r="E3104" t="s">
        <v>497</v>
      </c>
      <c r="F3104" t="s">
        <v>35</v>
      </c>
      <c r="G3104" t="s">
        <v>35</v>
      </c>
      <c r="H3104" t="s">
        <v>35</v>
      </c>
      <c r="J3104" t="s">
        <v>3773</v>
      </c>
      <c r="K3104" t="s">
        <v>1092</v>
      </c>
      <c r="M3104">
        <v>0.01</v>
      </c>
      <c r="N3104">
        <v>2078</v>
      </c>
      <c r="O3104" t="s">
        <v>575</v>
      </c>
      <c r="Q3104" t="s">
        <v>3774</v>
      </c>
      <c r="R3104" t="s">
        <v>3652</v>
      </c>
      <c r="S3104" t="s">
        <v>498</v>
      </c>
      <c r="T3104" t="s">
        <v>499</v>
      </c>
    </row>
    <row r="3105" spans="1:20" x14ac:dyDescent="0.25">
      <c r="A3105" t="s">
        <v>59</v>
      </c>
      <c r="B3105" t="s">
        <v>60</v>
      </c>
      <c r="C3105" t="s">
        <v>32</v>
      </c>
      <c r="D3105" t="s">
        <v>448</v>
      </c>
      <c r="E3105" t="s">
        <v>3634</v>
      </c>
      <c r="F3105" t="s">
        <v>35</v>
      </c>
      <c r="G3105" t="s">
        <v>35</v>
      </c>
      <c r="H3105" t="s">
        <v>35</v>
      </c>
      <c r="J3105" t="s">
        <v>3659</v>
      </c>
      <c r="K3105" t="s">
        <v>1092</v>
      </c>
      <c r="M3105">
        <v>0.05</v>
      </c>
      <c r="N3105">
        <v>84</v>
      </c>
      <c r="O3105" t="s">
        <v>61</v>
      </c>
      <c r="Q3105" t="s">
        <v>1147</v>
      </c>
      <c r="R3105" t="s">
        <v>3652</v>
      </c>
      <c r="S3105" t="s">
        <v>498</v>
      </c>
      <c r="T3105" t="s">
        <v>499</v>
      </c>
    </row>
    <row r="3106" spans="1:20" x14ac:dyDescent="0.25">
      <c r="A3106" t="s">
        <v>59</v>
      </c>
      <c r="B3106" t="s">
        <v>60</v>
      </c>
      <c r="C3106" t="s">
        <v>32</v>
      </c>
      <c r="D3106" t="s">
        <v>448</v>
      </c>
      <c r="E3106" t="s">
        <v>497</v>
      </c>
      <c r="F3106" t="s">
        <v>35</v>
      </c>
      <c r="G3106" t="s">
        <v>35</v>
      </c>
      <c r="H3106" t="s">
        <v>35</v>
      </c>
      <c r="J3106" t="s">
        <v>3772</v>
      </c>
      <c r="K3106" t="s">
        <v>1092</v>
      </c>
      <c r="M3106">
        <v>1</v>
      </c>
      <c r="N3106">
        <v>84</v>
      </c>
      <c r="O3106" t="s">
        <v>61</v>
      </c>
      <c r="Q3106" t="s">
        <v>1147</v>
      </c>
      <c r="R3106" t="s">
        <v>3652</v>
      </c>
      <c r="S3106" t="s">
        <v>498</v>
      </c>
      <c r="T3106" t="s">
        <v>499</v>
      </c>
    </row>
    <row r="3107" spans="1:20" x14ac:dyDescent="0.25">
      <c r="A3107" t="s">
        <v>59</v>
      </c>
      <c r="B3107" t="s">
        <v>60</v>
      </c>
      <c r="C3107" t="s">
        <v>32</v>
      </c>
      <c r="D3107" t="s">
        <v>448</v>
      </c>
      <c r="E3107" t="s">
        <v>497</v>
      </c>
      <c r="F3107" t="s">
        <v>35</v>
      </c>
      <c r="G3107" t="s">
        <v>35</v>
      </c>
      <c r="H3107" t="s">
        <v>35</v>
      </c>
      <c r="J3107" t="s">
        <v>3779</v>
      </c>
      <c r="K3107" t="s">
        <v>1092</v>
      </c>
      <c r="M3107">
        <v>2.5</v>
      </c>
      <c r="N3107">
        <v>111</v>
      </c>
      <c r="O3107" t="s">
        <v>106</v>
      </c>
      <c r="Q3107" t="s">
        <v>1469</v>
      </c>
      <c r="R3107" t="s">
        <v>3652</v>
      </c>
      <c r="S3107" t="s">
        <v>498</v>
      </c>
      <c r="T3107" t="s">
        <v>499</v>
      </c>
    </row>
    <row r="3108" spans="1:20" x14ac:dyDescent="0.25">
      <c r="A3108" t="s">
        <v>59</v>
      </c>
      <c r="B3108" t="s">
        <v>60</v>
      </c>
      <c r="C3108" t="s">
        <v>32</v>
      </c>
      <c r="D3108" t="s">
        <v>448</v>
      </c>
      <c r="E3108" t="s">
        <v>497</v>
      </c>
      <c r="F3108" t="s">
        <v>35</v>
      </c>
      <c r="G3108" t="s">
        <v>35</v>
      </c>
      <c r="H3108" t="s">
        <v>35</v>
      </c>
      <c r="J3108" t="s">
        <v>3779</v>
      </c>
      <c r="K3108" t="s">
        <v>1092</v>
      </c>
      <c r="M3108">
        <v>0.25</v>
      </c>
      <c r="N3108">
        <v>129</v>
      </c>
      <c r="O3108" t="s">
        <v>38</v>
      </c>
      <c r="Q3108" t="s">
        <v>157</v>
      </c>
      <c r="R3108" t="s">
        <v>3652</v>
      </c>
      <c r="S3108" t="s">
        <v>498</v>
      </c>
      <c r="T3108" t="s">
        <v>499</v>
      </c>
    </row>
    <row r="3109" spans="1:20" x14ac:dyDescent="0.25">
      <c r="A3109" t="s">
        <v>59</v>
      </c>
      <c r="B3109" t="s">
        <v>60</v>
      </c>
      <c r="C3109" t="s">
        <v>32</v>
      </c>
      <c r="D3109" t="s">
        <v>448</v>
      </c>
      <c r="E3109" t="s">
        <v>497</v>
      </c>
      <c r="F3109" t="s">
        <v>35</v>
      </c>
      <c r="G3109" t="s">
        <v>35</v>
      </c>
      <c r="H3109" t="s">
        <v>35</v>
      </c>
      <c r="J3109" t="s">
        <v>3779</v>
      </c>
      <c r="K3109" t="s">
        <v>1092</v>
      </c>
      <c r="M3109">
        <v>1</v>
      </c>
      <c r="N3109">
        <v>121</v>
      </c>
      <c r="O3109" t="s">
        <v>38</v>
      </c>
      <c r="Q3109" t="s">
        <v>1170</v>
      </c>
      <c r="R3109" t="s">
        <v>3652</v>
      </c>
      <c r="S3109" t="s">
        <v>498</v>
      </c>
      <c r="T3109" t="s">
        <v>499</v>
      </c>
    </row>
    <row r="3110" spans="1:20" x14ac:dyDescent="0.25">
      <c r="A3110" t="s">
        <v>59</v>
      </c>
      <c r="B3110" t="s">
        <v>60</v>
      </c>
      <c r="C3110" t="s">
        <v>32</v>
      </c>
      <c r="D3110" t="s">
        <v>448</v>
      </c>
      <c r="E3110" t="s">
        <v>497</v>
      </c>
      <c r="F3110" t="s">
        <v>35</v>
      </c>
      <c r="G3110" t="s">
        <v>35</v>
      </c>
      <c r="H3110" t="s">
        <v>35</v>
      </c>
      <c r="J3110" t="s">
        <v>3784</v>
      </c>
      <c r="K3110" t="s">
        <v>1092</v>
      </c>
      <c r="M3110">
        <v>1</v>
      </c>
      <c r="N3110">
        <v>138</v>
      </c>
      <c r="O3110" t="s">
        <v>38</v>
      </c>
      <c r="Q3110" t="s">
        <v>1149</v>
      </c>
      <c r="R3110" t="s">
        <v>3652</v>
      </c>
      <c r="S3110" t="s">
        <v>498</v>
      </c>
      <c r="T3110" t="s">
        <v>499</v>
      </c>
    </row>
    <row r="3111" spans="1:20" x14ac:dyDescent="0.25">
      <c r="A3111" t="s">
        <v>59</v>
      </c>
      <c r="B3111" t="s">
        <v>60</v>
      </c>
      <c r="C3111" t="s">
        <v>32</v>
      </c>
      <c r="D3111" t="s">
        <v>448</v>
      </c>
      <c r="E3111" t="s">
        <v>497</v>
      </c>
      <c r="F3111" t="s">
        <v>35</v>
      </c>
      <c r="G3111" t="s">
        <v>35</v>
      </c>
      <c r="H3111" t="s">
        <v>35</v>
      </c>
      <c r="J3111" t="s">
        <v>3768</v>
      </c>
      <c r="K3111" t="s">
        <v>1092</v>
      </c>
      <c r="M3111">
        <v>0.15</v>
      </c>
      <c r="N3111">
        <v>158</v>
      </c>
      <c r="O3111" t="s">
        <v>38</v>
      </c>
      <c r="Q3111" t="s">
        <v>1548</v>
      </c>
      <c r="R3111" t="s">
        <v>3652</v>
      </c>
      <c r="S3111" t="s">
        <v>498</v>
      </c>
      <c r="T3111" t="s">
        <v>499</v>
      </c>
    </row>
    <row r="3112" spans="1:20" x14ac:dyDescent="0.25">
      <c r="A3112" t="s">
        <v>59</v>
      </c>
      <c r="B3112" t="s">
        <v>60</v>
      </c>
      <c r="C3112" t="s">
        <v>32</v>
      </c>
      <c r="D3112" t="s">
        <v>448</v>
      </c>
      <c r="E3112" t="s">
        <v>497</v>
      </c>
      <c r="F3112" t="s">
        <v>35</v>
      </c>
      <c r="G3112" t="s">
        <v>35</v>
      </c>
      <c r="H3112" t="s">
        <v>35</v>
      </c>
      <c r="J3112" t="s">
        <v>3778</v>
      </c>
      <c r="K3112" t="s">
        <v>1092</v>
      </c>
      <c r="M3112">
        <v>0.75</v>
      </c>
      <c r="N3112">
        <v>111</v>
      </c>
      <c r="O3112" t="s">
        <v>106</v>
      </c>
      <c r="Q3112" t="s">
        <v>1469</v>
      </c>
      <c r="R3112" t="s">
        <v>3652</v>
      </c>
      <c r="S3112" t="s">
        <v>498</v>
      </c>
      <c r="T3112" t="s">
        <v>499</v>
      </c>
    </row>
    <row r="3113" spans="1:20" x14ac:dyDescent="0.25">
      <c r="A3113" t="s">
        <v>59</v>
      </c>
      <c r="B3113" t="s">
        <v>60</v>
      </c>
      <c r="C3113" t="s">
        <v>32</v>
      </c>
      <c r="D3113" t="s">
        <v>448</v>
      </c>
      <c r="E3113" t="s">
        <v>497</v>
      </c>
      <c r="F3113" t="s">
        <v>35</v>
      </c>
      <c r="G3113" t="s">
        <v>35</v>
      </c>
      <c r="H3113" t="s">
        <v>35</v>
      </c>
      <c r="J3113" t="s">
        <v>3765</v>
      </c>
      <c r="K3113" t="s">
        <v>1092</v>
      </c>
      <c r="M3113">
        <v>1.5</v>
      </c>
      <c r="N3113">
        <v>134</v>
      </c>
      <c r="O3113" t="s">
        <v>38</v>
      </c>
      <c r="Q3113" t="s">
        <v>1822</v>
      </c>
      <c r="R3113" t="s">
        <v>3652</v>
      </c>
      <c r="S3113" t="s">
        <v>498</v>
      </c>
      <c r="T3113" t="s">
        <v>499</v>
      </c>
    </row>
    <row r="3114" spans="1:20" x14ac:dyDescent="0.25">
      <c r="A3114" t="s">
        <v>59</v>
      </c>
      <c r="B3114" t="s">
        <v>60</v>
      </c>
      <c r="C3114" t="s">
        <v>32</v>
      </c>
      <c r="D3114" t="s">
        <v>448</v>
      </c>
      <c r="E3114" t="s">
        <v>497</v>
      </c>
      <c r="F3114" t="s">
        <v>35</v>
      </c>
      <c r="G3114" t="s">
        <v>35</v>
      </c>
      <c r="H3114" t="s">
        <v>35</v>
      </c>
      <c r="J3114" t="s">
        <v>3765</v>
      </c>
      <c r="K3114" t="s">
        <v>1092</v>
      </c>
      <c r="M3114">
        <v>0.1</v>
      </c>
      <c r="N3114">
        <v>138</v>
      </c>
      <c r="O3114" t="s">
        <v>38</v>
      </c>
      <c r="Q3114" t="s">
        <v>1149</v>
      </c>
      <c r="R3114" t="s">
        <v>3652</v>
      </c>
      <c r="S3114" t="s">
        <v>498</v>
      </c>
      <c r="T3114" t="s">
        <v>499</v>
      </c>
    </row>
    <row r="3115" spans="1:20" x14ac:dyDescent="0.25">
      <c r="A3115" t="s">
        <v>59</v>
      </c>
      <c r="B3115" t="s">
        <v>60</v>
      </c>
      <c r="C3115" t="s">
        <v>32</v>
      </c>
      <c r="D3115" t="s">
        <v>448</v>
      </c>
      <c r="E3115" t="s">
        <v>3634</v>
      </c>
      <c r="F3115" t="s">
        <v>35</v>
      </c>
      <c r="G3115" t="s">
        <v>35</v>
      </c>
      <c r="H3115" t="s">
        <v>35</v>
      </c>
      <c r="J3115" t="s">
        <v>3140</v>
      </c>
      <c r="K3115" t="s">
        <v>1092</v>
      </c>
      <c r="M3115">
        <v>0.25</v>
      </c>
      <c r="N3115">
        <v>76</v>
      </c>
      <c r="O3115" t="s">
        <v>61</v>
      </c>
      <c r="Q3115" t="s">
        <v>455</v>
      </c>
      <c r="R3115" t="s">
        <v>3652</v>
      </c>
      <c r="S3115" t="s">
        <v>498</v>
      </c>
      <c r="T3115" t="s">
        <v>499</v>
      </c>
    </row>
    <row r="3116" spans="1:20" x14ac:dyDescent="0.25">
      <c r="A3116" t="s">
        <v>59</v>
      </c>
      <c r="B3116" t="s">
        <v>60</v>
      </c>
      <c r="C3116" t="s">
        <v>32</v>
      </c>
      <c r="D3116" t="s">
        <v>448</v>
      </c>
      <c r="E3116" t="s">
        <v>466</v>
      </c>
      <c r="F3116" t="s">
        <v>35</v>
      </c>
      <c r="G3116" t="s">
        <v>35</v>
      </c>
      <c r="H3116" t="s">
        <v>35</v>
      </c>
      <c r="J3116" t="s">
        <v>3684</v>
      </c>
      <c r="K3116" t="s">
        <v>1092</v>
      </c>
      <c r="M3116">
        <v>0.1</v>
      </c>
      <c r="N3116">
        <v>91</v>
      </c>
      <c r="O3116" t="s">
        <v>106</v>
      </c>
      <c r="Q3116" t="s">
        <v>108</v>
      </c>
      <c r="R3116" t="s">
        <v>3652</v>
      </c>
      <c r="S3116" t="s">
        <v>498</v>
      </c>
      <c r="T3116" t="s">
        <v>499</v>
      </c>
    </row>
    <row r="3117" spans="1:20" x14ac:dyDescent="0.25">
      <c r="A3117" t="s">
        <v>59</v>
      </c>
      <c r="B3117" t="s">
        <v>60</v>
      </c>
      <c r="C3117" t="s">
        <v>32</v>
      </c>
      <c r="D3117" t="s">
        <v>448</v>
      </c>
      <c r="E3117" t="s">
        <v>497</v>
      </c>
      <c r="F3117" t="s">
        <v>35</v>
      </c>
      <c r="G3117" t="s">
        <v>35</v>
      </c>
      <c r="H3117" t="s">
        <v>35</v>
      </c>
      <c r="J3117" t="s">
        <v>3769</v>
      </c>
      <c r="K3117" t="s">
        <v>1092</v>
      </c>
      <c r="M3117">
        <v>0.2</v>
      </c>
      <c r="N3117">
        <v>180</v>
      </c>
      <c r="O3117" t="s">
        <v>38</v>
      </c>
      <c r="Q3117" t="s">
        <v>1798</v>
      </c>
      <c r="R3117" t="s">
        <v>3652</v>
      </c>
      <c r="S3117" t="s">
        <v>498</v>
      </c>
      <c r="T3117" t="s">
        <v>499</v>
      </c>
    </row>
    <row r="3118" spans="1:20" x14ac:dyDescent="0.25">
      <c r="A3118" t="s">
        <v>44</v>
      </c>
      <c r="B3118" t="s">
        <v>3</v>
      </c>
      <c r="C3118" t="s">
        <v>32</v>
      </c>
      <c r="D3118" t="s">
        <v>448</v>
      </c>
      <c r="E3118" t="s">
        <v>466</v>
      </c>
      <c r="F3118" t="s">
        <v>35</v>
      </c>
      <c r="G3118" t="s">
        <v>35</v>
      </c>
      <c r="H3118" t="s">
        <v>35</v>
      </c>
      <c r="J3118" t="s">
        <v>3695</v>
      </c>
      <c r="K3118" t="s">
        <v>1092</v>
      </c>
      <c r="M3118">
        <v>0.85</v>
      </c>
      <c r="N3118">
        <v>501</v>
      </c>
      <c r="O3118" t="s">
        <v>294</v>
      </c>
      <c r="Q3118" t="s">
        <v>3696</v>
      </c>
      <c r="R3118" t="s">
        <v>3652</v>
      </c>
      <c r="S3118" t="s">
        <v>498</v>
      </c>
      <c r="T3118" t="s">
        <v>499</v>
      </c>
    </row>
    <row r="3119" spans="1:20" x14ac:dyDescent="0.25">
      <c r="A3119" t="s">
        <v>30</v>
      </c>
      <c r="B3119" t="s">
        <v>31</v>
      </c>
      <c r="C3119" t="s">
        <v>32</v>
      </c>
      <c r="D3119" t="s">
        <v>448</v>
      </c>
      <c r="F3119" t="s">
        <v>35</v>
      </c>
      <c r="G3119" t="s">
        <v>35</v>
      </c>
      <c r="H3119" t="s">
        <v>35</v>
      </c>
      <c r="J3119" t="s">
        <v>3917</v>
      </c>
      <c r="K3119" t="s">
        <v>1092</v>
      </c>
      <c r="M3119">
        <v>0.27</v>
      </c>
      <c r="N3119">
        <v>2666</v>
      </c>
      <c r="O3119" t="s">
        <v>575</v>
      </c>
      <c r="Q3119" t="s">
        <v>1486</v>
      </c>
      <c r="R3119" t="s">
        <v>1487</v>
      </c>
      <c r="S3119" t="s">
        <v>1488</v>
      </c>
    </row>
    <row r="3120" spans="1:20" x14ac:dyDescent="0.25">
      <c r="A3120" t="s">
        <v>30</v>
      </c>
      <c r="B3120" t="s">
        <v>31</v>
      </c>
      <c r="C3120" t="s">
        <v>32</v>
      </c>
      <c r="D3120" t="s">
        <v>448</v>
      </c>
      <c r="E3120" t="s">
        <v>3634</v>
      </c>
      <c r="F3120" t="s">
        <v>35</v>
      </c>
      <c r="G3120" t="s">
        <v>35</v>
      </c>
      <c r="H3120" t="s">
        <v>35</v>
      </c>
      <c r="J3120" t="s">
        <v>3671</v>
      </c>
      <c r="K3120" t="s">
        <v>1092</v>
      </c>
      <c r="M3120">
        <v>0.01</v>
      </c>
      <c r="N3120">
        <v>2666</v>
      </c>
      <c r="O3120" t="s">
        <v>575</v>
      </c>
      <c r="Q3120" t="s">
        <v>1486</v>
      </c>
      <c r="R3120" t="s">
        <v>1487</v>
      </c>
      <c r="S3120" t="s">
        <v>1488</v>
      </c>
    </row>
    <row r="3121" spans="1:20" x14ac:dyDescent="0.25">
      <c r="A3121" t="s">
        <v>30</v>
      </c>
      <c r="B3121" t="s">
        <v>31</v>
      </c>
      <c r="C3121" t="s">
        <v>32</v>
      </c>
      <c r="D3121" t="s">
        <v>448</v>
      </c>
      <c r="F3121" t="s">
        <v>35</v>
      </c>
      <c r="G3121" t="s">
        <v>35</v>
      </c>
      <c r="H3121" t="s">
        <v>35</v>
      </c>
      <c r="J3121" t="s">
        <v>3916</v>
      </c>
      <c r="K3121" t="s">
        <v>1092</v>
      </c>
      <c r="M3121">
        <v>0.40500000000000003</v>
      </c>
      <c r="N3121">
        <v>2666</v>
      </c>
      <c r="O3121" t="s">
        <v>575</v>
      </c>
      <c r="Q3121" t="s">
        <v>1486</v>
      </c>
      <c r="R3121" t="s">
        <v>1487</v>
      </c>
      <c r="S3121" t="s">
        <v>1488</v>
      </c>
    </row>
    <row r="3122" spans="1:20" x14ac:dyDescent="0.25">
      <c r="A3122" t="s">
        <v>30</v>
      </c>
      <c r="B3122" t="s">
        <v>31</v>
      </c>
      <c r="C3122" t="s">
        <v>32</v>
      </c>
      <c r="D3122" t="s">
        <v>448</v>
      </c>
      <c r="F3122" t="s">
        <v>35</v>
      </c>
      <c r="G3122" t="s">
        <v>35</v>
      </c>
      <c r="H3122" t="s">
        <v>35</v>
      </c>
      <c r="J3122" t="s">
        <v>3901</v>
      </c>
      <c r="K3122" t="s">
        <v>1092</v>
      </c>
      <c r="M3122">
        <v>0.13500000000000001</v>
      </c>
      <c r="N3122">
        <v>2666</v>
      </c>
      <c r="O3122" t="s">
        <v>575</v>
      </c>
      <c r="Q3122" t="s">
        <v>1486</v>
      </c>
      <c r="R3122" t="s">
        <v>1487</v>
      </c>
      <c r="S3122" t="s">
        <v>1488</v>
      </c>
    </row>
    <row r="3123" spans="1:20" x14ac:dyDescent="0.25">
      <c r="A3123" t="s">
        <v>30</v>
      </c>
      <c r="B3123" t="s">
        <v>31</v>
      </c>
      <c r="C3123" t="s">
        <v>32</v>
      </c>
      <c r="D3123" t="s">
        <v>448</v>
      </c>
      <c r="F3123" t="s">
        <v>35</v>
      </c>
      <c r="G3123" t="s">
        <v>35</v>
      </c>
      <c r="H3123" t="s">
        <v>35</v>
      </c>
      <c r="J3123" t="s">
        <v>3870</v>
      </c>
      <c r="K3123" t="s">
        <v>1092</v>
      </c>
      <c r="M3123">
        <v>0.40500000000000003</v>
      </c>
      <c r="N3123">
        <v>2666</v>
      </c>
      <c r="O3123" t="s">
        <v>575</v>
      </c>
      <c r="Q3123" t="s">
        <v>1486</v>
      </c>
      <c r="R3123" t="s">
        <v>1487</v>
      </c>
      <c r="S3123" t="s">
        <v>1488</v>
      </c>
    </row>
    <row r="3124" spans="1:20" x14ac:dyDescent="0.25">
      <c r="A3124" t="s">
        <v>59</v>
      </c>
      <c r="B3124" t="s">
        <v>60</v>
      </c>
      <c r="C3124" t="s">
        <v>32</v>
      </c>
      <c r="D3124" t="s">
        <v>448</v>
      </c>
      <c r="E3124" t="s">
        <v>484</v>
      </c>
      <c r="F3124" t="s">
        <v>35</v>
      </c>
      <c r="G3124" t="s">
        <v>35</v>
      </c>
      <c r="H3124" t="s">
        <v>35</v>
      </c>
      <c r="J3124" t="s">
        <v>485</v>
      </c>
      <c r="K3124" t="s">
        <v>37</v>
      </c>
      <c r="M3124">
        <v>3.05</v>
      </c>
      <c r="N3124">
        <v>67</v>
      </c>
      <c r="O3124" t="s">
        <v>61</v>
      </c>
      <c r="P3124" t="s">
        <v>487</v>
      </c>
      <c r="Q3124" t="s">
        <v>488</v>
      </c>
      <c r="R3124" t="s">
        <v>489</v>
      </c>
      <c r="S3124" t="s">
        <v>490</v>
      </c>
      <c r="T3124" t="s">
        <v>491</v>
      </c>
    </row>
    <row r="3125" spans="1:20" x14ac:dyDescent="0.25">
      <c r="A3125" t="s">
        <v>30</v>
      </c>
      <c r="B3125" t="s">
        <v>31</v>
      </c>
      <c r="C3125" t="s">
        <v>32</v>
      </c>
      <c r="D3125" t="s">
        <v>448</v>
      </c>
      <c r="E3125" t="s">
        <v>484</v>
      </c>
      <c r="F3125" t="s">
        <v>35</v>
      </c>
      <c r="G3125" t="s">
        <v>35</v>
      </c>
      <c r="H3125" t="s">
        <v>35</v>
      </c>
      <c r="J3125" t="s">
        <v>485</v>
      </c>
      <c r="K3125" t="s">
        <v>37</v>
      </c>
      <c r="M3125">
        <v>2.9249999999999998</v>
      </c>
      <c r="N3125">
        <v>39</v>
      </c>
      <c r="O3125" t="s">
        <v>52</v>
      </c>
      <c r="P3125" t="s">
        <v>492</v>
      </c>
      <c r="Q3125" t="s">
        <v>493</v>
      </c>
      <c r="R3125" t="s">
        <v>489</v>
      </c>
      <c r="S3125" t="s">
        <v>490</v>
      </c>
      <c r="T3125" t="s">
        <v>491</v>
      </c>
    </row>
    <row r="3126" spans="1:20" x14ac:dyDescent="0.25">
      <c r="A3126" t="s">
        <v>30</v>
      </c>
      <c r="B3126" t="s">
        <v>31</v>
      </c>
      <c r="C3126" t="s">
        <v>32</v>
      </c>
      <c r="D3126" t="s">
        <v>3926</v>
      </c>
      <c r="F3126" t="s">
        <v>35</v>
      </c>
      <c r="G3126" t="s">
        <v>35</v>
      </c>
      <c r="H3126" t="s">
        <v>35</v>
      </c>
      <c r="J3126" t="s">
        <v>3927</v>
      </c>
      <c r="K3126" t="s">
        <v>1092</v>
      </c>
      <c r="M3126">
        <v>0.01</v>
      </c>
      <c r="N3126">
        <v>2666</v>
      </c>
      <c r="O3126" t="s">
        <v>575</v>
      </c>
      <c r="Q3126" t="s">
        <v>1486</v>
      </c>
      <c r="R3126" t="s">
        <v>1487</v>
      </c>
      <c r="S3126" t="s">
        <v>1488</v>
      </c>
    </row>
    <row r="3127" spans="1:20" x14ac:dyDescent="0.25">
      <c r="A3127" t="s">
        <v>59</v>
      </c>
      <c r="B3127" t="s">
        <v>60</v>
      </c>
      <c r="C3127" t="s">
        <v>32</v>
      </c>
      <c r="D3127" t="s">
        <v>522</v>
      </c>
      <c r="E3127" t="s">
        <v>523</v>
      </c>
      <c r="F3127" t="s">
        <v>35</v>
      </c>
      <c r="G3127" t="s">
        <v>35</v>
      </c>
      <c r="H3127" t="s">
        <v>35</v>
      </c>
      <c r="J3127" t="s">
        <v>3937</v>
      </c>
      <c r="K3127" t="s">
        <v>1092</v>
      </c>
      <c r="M3127">
        <v>0.05</v>
      </c>
      <c r="N3127">
        <v>194</v>
      </c>
      <c r="O3127" t="s">
        <v>5</v>
      </c>
      <c r="Q3127" t="s">
        <v>1428</v>
      </c>
      <c r="R3127" t="s">
        <v>3938</v>
      </c>
      <c r="S3127" t="s">
        <v>3939</v>
      </c>
      <c r="T3127" t="s">
        <v>3940</v>
      </c>
    </row>
    <row r="3128" spans="1:20" x14ac:dyDescent="0.25">
      <c r="A3128" t="s">
        <v>59</v>
      </c>
      <c r="B3128" t="s">
        <v>60</v>
      </c>
      <c r="C3128" t="s">
        <v>32</v>
      </c>
      <c r="D3128" t="s">
        <v>522</v>
      </c>
      <c r="E3128" t="s">
        <v>523</v>
      </c>
      <c r="F3128" t="s">
        <v>35</v>
      </c>
      <c r="G3128" t="s">
        <v>35</v>
      </c>
      <c r="H3128" t="s">
        <v>35</v>
      </c>
      <c r="J3128" t="s">
        <v>3976</v>
      </c>
      <c r="K3128" t="s">
        <v>1092</v>
      </c>
      <c r="M3128">
        <v>2.35</v>
      </c>
      <c r="N3128">
        <v>276</v>
      </c>
      <c r="O3128" t="s">
        <v>5</v>
      </c>
      <c r="Q3128" t="s">
        <v>1771</v>
      </c>
      <c r="R3128" t="s">
        <v>3938</v>
      </c>
      <c r="S3128" t="s">
        <v>3939</v>
      </c>
      <c r="T3128" t="s">
        <v>3940</v>
      </c>
    </row>
    <row r="3129" spans="1:20" x14ac:dyDescent="0.25">
      <c r="A3129" t="s">
        <v>30</v>
      </c>
      <c r="B3129" t="s">
        <v>31</v>
      </c>
      <c r="C3129" t="s">
        <v>32</v>
      </c>
      <c r="D3129" t="s">
        <v>522</v>
      </c>
      <c r="F3129" t="s">
        <v>35</v>
      </c>
      <c r="G3129" t="s">
        <v>35</v>
      </c>
      <c r="H3129" t="s">
        <v>35</v>
      </c>
      <c r="J3129" t="s">
        <v>4430</v>
      </c>
      <c r="K3129" t="s">
        <v>1092</v>
      </c>
      <c r="M3129">
        <v>0.97</v>
      </c>
      <c r="N3129">
        <v>1287</v>
      </c>
      <c r="O3129" t="s">
        <v>575</v>
      </c>
      <c r="Q3129" t="s">
        <v>4431</v>
      </c>
      <c r="R3129" t="s">
        <v>3938</v>
      </c>
      <c r="S3129" t="s">
        <v>3939</v>
      </c>
      <c r="T3129" t="s">
        <v>3940</v>
      </c>
    </row>
    <row r="3130" spans="1:20" x14ac:dyDescent="0.25">
      <c r="A3130" t="s">
        <v>59</v>
      </c>
      <c r="B3130" t="s">
        <v>31</v>
      </c>
      <c r="C3130" t="s">
        <v>32</v>
      </c>
      <c r="D3130" t="s">
        <v>522</v>
      </c>
      <c r="F3130" t="s">
        <v>35</v>
      </c>
      <c r="G3130" t="s">
        <v>35</v>
      </c>
      <c r="H3130" t="s">
        <v>35</v>
      </c>
      <c r="J3130" t="s">
        <v>4430</v>
      </c>
      <c r="K3130" t="s">
        <v>1092</v>
      </c>
      <c r="M3130">
        <v>0.191</v>
      </c>
      <c r="N3130">
        <v>1470</v>
      </c>
      <c r="O3130" t="s">
        <v>575</v>
      </c>
      <c r="Q3130" t="s">
        <v>4432</v>
      </c>
      <c r="R3130" t="s">
        <v>3938</v>
      </c>
      <c r="S3130" t="s">
        <v>3939</v>
      </c>
      <c r="T3130" t="s">
        <v>3940</v>
      </c>
    </row>
    <row r="3131" spans="1:20" x14ac:dyDescent="0.25">
      <c r="A3131" t="s">
        <v>59</v>
      </c>
      <c r="B3131" t="s">
        <v>60</v>
      </c>
      <c r="C3131" t="s">
        <v>32</v>
      </c>
      <c r="D3131" t="s">
        <v>522</v>
      </c>
      <c r="E3131" t="s">
        <v>4207</v>
      </c>
      <c r="F3131" t="s">
        <v>35</v>
      </c>
      <c r="G3131" t="s">
        <v>35</v>
      </c>
      <c r="H3131" t="s">
        <v>35</v>
      </c>
      <c r="J3131" t="s">
        <v>4237</v>
      </c>
      <c r="K3131" t="s">
        <v>1092</v>
      </c>
      <c r="M3131">
        <v>0.04</v>
      </c>
      <c r="N3131">
        <v>268</v>
      </c>
      <c r="O3131" t="s">
        <v>5</v>
      </c>
      <c r="Q3131" t="s">
        <v>4238</v>
      </c>
      <c r="R3131" t="s">
        <v>3938</v>
      </c>
      <c r="S3131" t="s">
        <v>3939</v>
      </c>
      <c r="T3131" t="s">
        <v>3940</v>
      </c>
    </row>
    <row r="3132" spans="1:20" x14ac:dyDescent="0.25">
      <c r="A3132" t="s">
        <v>30</v>
      </c>
      <c r="B3132" t="s">
        <v>31</v>
      </c>
      <c r="C3132" t="s">
        <v>32</v>
      </c>
      <c r="D3132" t="s">
        <v>522</v>
      </c>
      <c r="E3132" t="s">
        <v>4181</v>
      </c>
      <c r="F3132" t="s">
        <v>35</v>
      </c>
      <c r="G3132" t="s">
        <v>35</v>
      </c>
      <c r="H3132" t="s">
        <v>35</v>
      </c>
      <c r="J3132" t="s">
        <v>4196</v>
      </c>
      <c r="K3132" t="s">
        <v>1092</v>
      </c>
      <c r="M3132">
        <v>1</v>
      </c>
      <c r="N3132">
        <v>1139</v>
      </c>
      <c r="O3132" t="s">
        <v>575</v>
      </c>
      <c r="Q3132" t="s">
        <v>4197</v>
      </c>
      <c r="R3132" t="s">
        <v>4198</v>
      </c>
      <c r="S3132" t="s">
        <v>4199</v>
      </c>
      <c r="T3132" t="s">
        <v>4200</v>
      </c>
    </row>
    <row r="3133" spans="1:20" x14ac:dyDescent="0.25">
      <c r="A3133" t="s">
        <v>30</v>
      </c>
      <c r="B3133" t="s">
        <v>31</v>
      </c>
      <c r="C3133" t="s">
        <v>32</v>
      </c>
      <c r="D3133" t="s">
        <v>522</v>
      </c>
      <c r="E3133" t="s">
        <v>565</v>
      </c>
      <c r="F3133" t="s">
        <v>35</v>
      </c>
      <c r="G3133" t="s">
        <v>35</v>
      </c>
      <c r="H3133" t="s">
        <v>35</v>
      </c>
      <c r="J3133" t="s">
        <v>566</v>
      </c>
      <c r="K3133" t="s">
        <v>37</v>
      </c>
      <c r="M3133">
        <v>0.29499999999999998</v>
      </c>
      <c r="N3133">
        <v>146</v>
      </c>
      <c r="O3133" t="s">
        <v>38</v>
      </c>
      <c r="P3133" t="s">
        <v>568</v>
      </c>
      <c r="Q3133" t="s">
        <v>569</v>
      </c>
      <c r="R3133" t="s">
        <v>570</v>
      </c>
      <c r="S3133" t="s">
        <v>571</v>
      </c>
      <c r="T3133" t="s">
        <v>572</v>
      </c>
    </row>
    <row r="3134" spans="1:20" x14ac:dyDescent="0.25">
      <c r="A3134" t="s">
        <v>30</v>
      </c>
      <c r="B3134" t="s">
        <v>31</v>
      </c>
      <c r="C3134" t="s">
        <v>32</v>
      </c>
      <c r="D3134" t="s">
        <v>522</v>
      </c>
      <c r="E3134" t="s">
        <v>561</v>
      </c>
      <c r="F3134" t="s">
        <v>35</v>
      </c>
      <c r="G3134" t="s">
        <v>35</v>
      </c>
      <c r="H3134" t="s">
        <v>35</v>
      </c>
      <c r="J3134" t="s">
        <v>4246</v>
      </c>
      <c r="K3134" t="s">
        <v>1092</v>
      </c>
      <c r="M3134">
        <v>1.44</v>
      </c>
      <c r="N3134">
        <v>256</v>
      </c>
      <c r="O3134" t="s">
        <v>5</v>
      </c>
      <c r="Q3134" t="s">
        <v>2499</v>
      </c>
      <c r="R3134" t="s">
        <v>3931</v>
      </c>
      <c r="S3134" t="s">
        <v>3932</v>
      </c>
      <c r="T3134" t="s">
        <v>3933</v>
      </c>
    </row>
    <row r="3135" spans="1:20" x14ac:dyDescent="0.25">
      <c r="A3135" t="s">
        <v>59</v>
      </c>
      <c r="B3135" t="s">
        <v>31</v>
      </c>
      <c r="C3135" t="s">
        <v>32</v>
      </c>
      <c r="D3135" t="s">
        <v>522</v>
      </c>
      <c r="E3135" t="s">
        <v>565</v>
      </c>
      <c r="F3135" t="s">
        <v>35</v>
      </c>
      <c r="G3135" t="s">
        <v>35</v>
      </c>
      <c r="H3135" t="s">
        <v>35</v>
      </c>
      <c r="J3135" t="s">
        <v>4310</v>
      </c>
      <c r="K3135" t="s">
        <v>1092</v>
      </c>
      <c r="M3135">
        <v>11.025</v>
      </c>
      <c r="N3135">
        <v>133</v>
      </c>
      <c r="O3135" t="s">
        <v>38</v>
      </c>
      <c r="Q3135" t="s">
        <v>609</v>
      </c>
      <c r="R3135" t="s">
        <v>3931</v>
      </c>
      <c r="S3135" t="s">
        <v>3932</v>
      </c>
      <c r="T3135" t="s">
        <v>3933</v>
      </c>
    </row>
    <row r="3136" spans="1:20" x14ac:dyDescent="0.25">
      <c r="A3136" t="s">
        <v>30</v>
      </c>
      <c r="B3136" t="s">
        <v>31</v>
      </c>
      <c r="C3136" t="s">
        <v>32</v>
      </c>
      <c r="D3136" t="s">
        <v>522</v>
      </c>
      <c r="E3136" t="s">
        <v>561</v>
      </c>
      <c r="F3136" t="s">
        <v>35</v>
      </c>
      <c r="G3136" t="s">
        <v>35</v>
      </c>
      <c r="H3136" t="s">
        <v>35</v>
      </c>
      <c r="J3136" t="s">
        <v>4261</v>
      </c>
      <c r="K3136" t="s">
        <v>1092</v>
      </c>
      <c r="M3136">
        <v>3.0150000000000001</v>
      </c>
      <c r="N3136">
        <v>256</v>
      </c>
      <c r="O3136" t="s">
        <v>5</v>
      </c>
      <c r="Q3136" t="s">
        <v>2499</v>
      </c>
      <c r="R3136" t="s">
        <v>3931</v>
      </c>
      <c r="S3136" t="s">
        <v>3932</v>
      </c>
      <c r="T3136" t="s">
        <v>3933</v>
      </c>
    </row>
    <row r="3137" spans="1:20" x14ac:dyDescent="0.25">
      <c r="A3137" t="s">
        <v>30</v>
      </c>
      <c r="B3137" t="s">
        <v>31</v>
      </c>
      <c r="C3137" t="s">
        <v>32</v>
      </c>
      <c r="D3137" t="s">
        <v>522</v>
      </c>
      <c r="E3137" t="s">
        <v>543</v>
      </c>
      <c r="F3137" t="s">
        <v>35</v>
      </c>
      <c r="G3137" t="s">
        <v>35</v>
      </c>
      <c r="H3137" t="s">
        <v>35</v>
      </c>
      <c r="J3137" t="s">
        <v>4111</v>
      </c>
      <c r="K3137" t="s">
        <v>1092</v>
      </c>
      <c r="M3137">
        <v>0.23</v>
      </c>
      <c r="N3137">
        <v>11</v>
      </c>
      <c r="O3137" t="s">
        <v>46</v>
      </c>
      <c r="Q3137" t="s">
        <v>1476</v>
      </c>
      <c r="R3137" t="s">
        <v>3931</v>
      </c>
      <c r="S3137" t="s">
        <v>3932</v>
      </c>
      <c r="T3137" t="s">
        <v>3933</v>
      </c>
    </row>
    <row r="3138" spans="1:20" x14ac:dyDescent="0.25">
      <c r="A3138" t="s">
        <v>30</v>
      </c>
      <c r="B3138" t="s">
        <v>31</v>
      </c>
      <c r="C3138" t="s">
        <v>32</v>
      </c>
      <c r="D3138" t="s">
        <v>522</v>
      </c>
      <c r="F3138" t="s">
        <v>35</v>
      </c>
      <c r="G3138" t="s">
        <v>35</v>
      </c>
      <c r="H3138" t="s">
        <v>35</v>
      </c>
      <c r="J3138" t="s">
        <v>4398</v>
      </c>
      <c r="K3138" t="s">
        <v>1092</v>
      </c>
      <c r="M3138">
        <v>10.935</v>
      </c>
      <c r="N3138">
        <v>32</v>
      </c>
      <c r="O3138" t="s">
        <v>52</v>
      </c>
      <c r="Q3138" t="s">
        <v>816</v>
      </c>
      <c r="R3138" t="s">
        <v>3931</v>
      </c>
      <c r="S3138" t="s">
        <v>3932</v>
      </c>
      <c r="T3138" t="s">
        <v>3933</v>
      </c>
    </row>
    <row r="3139" spans="1:20" x14ac:dyDescent="0.25">
      <c r="A3139" t="s">
        <v>30</v>
      </c>
      <c r="B3139" t="s">
        <v>31</v>
      </c>
      <c r="C3139" t="s">
        <v>32</v>
      </c>
      <c r="D3139" t="s">
        <v>522</v>
      </c>
      <c r="E3139" t="s">
        <v>523</v>
      </c>
      <c r="F3139" t="s">
        <v>35</v>
      </c>
      <c r="G3139" t="s">
        <v>35</v>
      </c>
      <c r="H3139" t="s">
        <v>35</v>
      </c>
      <c r="J3139" t="s">
        <v>3929</v>
      </c>
      <c r="K3139" t="s">
        <v>1092</v>
      </c>
      <c r="M3139">
        <v>20.925000000000001</v>
      </c>
      <c r="N3139">
        <v>164</v>
      </c>
      <c r="O3139" t="s">
        <v>38</v>
      </c>
      <c r="Q3139" t="s">
        <v>3930</v>
      </c>
      <c r="R3139" t="s">
        <v>3931</v>
      </c>
      <c r="S3139" t="s">
        <v>3932</v>
      </c>
      <c r="T3139" t="s">
        <v>3933</v>
      </c>
    </row>
    <row r="3140" spans="1:20" x14ac:dyDescent="0.25">
      <c r="A3140" t="s">
        <v>30</v>
      </c>
      <c r="B3140" t="s">
        <v>31</v>
      </c>
      <c r="C3140" t="s">
        <v>32</v>
      </c>
      <c r="D3140" t="s">
        <v>522</v>
      </c>
      <c r="E3140" t="s">
        <v>565</v>
      </c>
      <c r="F3140" t="s">
        <v>35</v>
      </c>
      <c r="G3140" t="s">
        <v>35</v>
      </c>
      <c r="H3140" t="s">
        <v>35</v>
      </c>
      <c r="J3140" t="s">
        <v>4312</v>
      </c>
      <c r="K3140" t="s">
        <v>1092</v>
      </c>
      <c r="M3140">
        <v>15.03</v>
      </c>
      <c r="N3140">
        <v>38</v>
      </c>
      <c r="O3140" t="s">
        <v>52</v>
      </c>
      <c r="Q3140" t="s">
        <v>716</v>
      </c>
      <c r="R3140" t="s">
        <v>3931</v>
      </c>
      <c r="S3140" t="s">
        <v>3932</v>
      </c>
      <c r="T3140" t="s">
        <v>3933</v>
      </c>
    </row>
    <row r="3141" spans="1:20" x14ac:dyDescent="0.25">
      <c r="A3141" t="s">
        <v>44</v>
      </c>
      <c r="B3141" t="s">
        <v>51</v>
      </c>
      <c r="C3141" t="s">
        <v>32</v>
      </c>
      <c r="D3141" t="s">
        <v>522</v>
      </c>
      <c r="E3141" t="s">
        <v>533</v>
      </c>
      <c r="F3141" t="s">
        <v>35</v>
      </c>
      <c r="G3141" t="s">
        <v>35</v>
      </c>
      <c r="H3141" t="s">
        <v>35</v>
      </c>
      <c r="J3141" t="s">
        <v>4072</v>
      </c>
      <c r="K3141" t="s">
        <v>1092</v>
      </c>
      <c r="M3141">
        <v>5.5</v>
      </c>
      <c r="N3141">
        <v>68</v>
      </c>
      <c r="O3141" t="s">
        <v>61</v>
      </c>
      <c r="Q3141" t="s">
        <v>805</v>
      </c>
      <c r="R3141" t="s">
        <v>3931</v>
      </c>
      <c r="S3141" t="s">
        <v>3932</v>
      </c>
      <c r="T3141" t="s">
        <v>3933</v>
      </c>
    </row>
    <row r="3142" spans="1:20" x14ac:dyDescent="0.25">
      <c r="A3142" t="s">
        <v>30</v>
      </c>
      <c r="B3142" t="s">
        <v>31</v>
      </c>
      <c r="C3142" t="s">
        <v>32</v>
      </c>
      <c r="D3142" t="s">
        <v>522</v>
      </c>
      <c r="E3142" t="s">
        <v>533</v>
      </c>
      <c r="F3142" t="s">
        <v>35</v>
      </c>
      <c r="G3142" t="s">
        <v>35</v>
      </c>
      <c r="H3142" t="s">
        <v>35</v>
      </c>
      <c r="J3142" t="s">
        <v>4072</v>
      </c>
      <c r="K3142" t="s">
        <v>1092</v>
      </c>
      <c r="M3142">
        <v>10.845000000000001</v>
      </c>
      <c r="N3142">
        <v>55</v>
      </c>
      <c r="O3142" t="s">
        <v>52</v>
      </c>
      <c r="Q3142" t="s">
        <v>90</v>
      </c>
      <c r="R3142" t="s">
        <v>3931</v>
      </c>
      <c r="S3142" t="s">
        <v>3932</v>
      </c>
      <c r="T3142" t="s">
        <v>3933</v>
      </c>
    </row>
    <row r="3143" spans="1:20" x14ac:dyDescent="0.25">
      <c r="A3143" t="s">
        <v>44</v>
      </c>
      <c r="B3143" t="s">
        <v>51</v>
      </c>
      <c r="C3143" t="s">
        <v>32</v>
      </c>
      <c r="D3143" t="s">
        <v>522</v>
      </c>
      <c r="E3143" t="s">
        <v>553</v>
      </c>
      <c r="F3143" t="s">
        <v>35</v>
      </c>
      <c r="G3143" t="s">
        <v>35</v>
      </c>
      <c r="H3143" t="s">
        <v>35</v>
      </c>
      <c r="J3143" t="s">
        <v>554</v>
      </c>
      <c r="K3143" t="s">
        <v>1092</v>
      </c>
      <c r="M3143">
        <v>1</v>
      </c>
      <c r="N3143">
        <v>68</v>
      </c>
      <c r="O3143" t="s">
        <v>61</v>
      </c>
      <c r="Q3143" t="s">
        <v>805</v>
      </c>
      <c r="R3143" t="s">
        <v>3931</v>
      </c>
      <c r="S3143" t="s">
        <v>3932</v>
      </c>
      <c r="T3143" t="s">
        <v>3933</v>
      </c>
    </row>
    <row r="3144" spans="1:20" x14ac:dyDescent="0.25">
      <c r="A3144" t="s">
        <v>44</v>
      </c>
      <c r="B3144" t="s">
        <v>51</v>
      </c>
      <c r="C3144" t="s">
        <v>32</v>
      </c>
      <c r="D3144" t="s">
        <v>522</v>
      </c>
      <c r="E3144" t="s">
        <v>533</v>
      </c>
      <c r="F3144" t="s">
        <v>35</v>
      </c>
      <c r="G3144" t="s">
        <v>35</v>
      </c>
      <c r="H3144" t="s">
        <v>35</v>
      </c>
      <c r="J3144" t="s">
        <v>4049</v>
      </c>
      <c r="K3144" t="s">
        <v>1092</v>
      </c>
      <c r="M3144">
        <v>0.95</v>
      </c>
      <c r="N3144">
        <v>68</v>
      </c>
      <c r="O3144" t="s">
        <v>61</v>
      </c>
      <c r="Q3144" t="s">
        <v>805</v>
      </c>
      <c r="R3144" t="s">
        <v>3931</v>
      </c>
      <c r="S3144" t="s">
        <v>3932</v>
      </c>
      <c r="T3144" t="s">
        <v>3933</v>
      </c>
    </row>
    <row r="3145" spans="1:20" x14ac:dyDescent="0.25">
      <c r="A3145" t="s">
        <v>30</v>
      </c>
      <c r="B3145" t="s">
        <v>31</v>
      </c>
      <c r="C3145" t="s">
        <v>32</v>
      </c>
      <c r="D3145" t="s">
        <v>522</v>
      </c>
      <c r="E3145" t="s">
        <v>543</v>
      </c>
      <c r="F3145" t="s">
        <v>35</v>
      </c>
      <c r="G3145" t="s">
        <v>35</v>
      </c>
      <c r="H3145" t="s">
        <v>35</v>
      </c>
      <c r="J3145" t="s">
        <v>4128</v>
      </c>
      <c r="K3145" t="s">
        <v>1092</v>
      </c>
      <c r="M3145">
        <v>8.64</v>
      </c>
      <c r="N3145">
        <v>55</v>
      </c>
      <c r="O3145" t="s">
        <v>52</v>
      </c>
      <c r="Q3145" t="s">
        <v>90</v>
      </c>
      <c r="R3145" t="s">
        <v>3931</v>
      </c>
      <c r="S3145" t="s">
        <v>3932</v>
      </c>
      <c r="T3145" t="s">
        <v>3933</v>
      </c>
    </row>
    <row r="3146" spans="1:20" x14ac:dyDescent="0.25">
      <c r="A3146" t="s">
        <v>30</v>
      </c>
      <c r="B3146" t="s">
        <v>31</v>
      </c>
      <c r="C3146" t="s">
        <v>32</v>
      </c>
      <c r="D3146" t="s">
        <v>522</v>
      </c>
      <c r="E3146" t="s">
        <v>565</v>
      </c>
      <c r="F3146" t="s">
        <v>35</v>
      </c>
      <c r="G3146" t="s">
        <v>35</v>
      </c>
      <c r="H3146" t="s">
        <v>35</v>
      </c>
      <c r="J3146" t="s">
        <v>4354</v>
      </c>
      <c r="K3146" t="s">
        <v>1092</v>
      </c>
      <c r="M3146">
        <v>11.025</v>
      </c>
      <c r="N3146">
        <v>13</v>
      </c>
      <c r="O3146" t="s">
        <v>46</v>
      </c>
      <c r="Q3146" t="s">
        <v>1004</v>
      </c>
      <c r="R3146" t="s">
        <v>3931</v>
      </c>
      <c r="S3146" t="s">
        <v>3932</v>
      </c>
      <c r="T3146" t="s">
        <v>3933</v>
      </c>
    </row>
    <row r="3147" spans="1:20" x14ac:dyDescent="0.25">
      <c r="A3147" t="s">
        <v>30</v>
      </c>
      <c r="B3147" t="s">
        <v>31</v>
      </c>
      <c r="C3147" t="s">
        <v>32</v>
      </c>
      <c r="D3147" t="s">
        <v>522</v>
      </c>
      <c r="E3147" t="s">
        <v>4181</v>
      </c>
      <c r="F3147" t="s">
        <v>35</v>
      </c>
      <c r="G3147" t="s">
        <v>35</v>
      </c>
      <c r="H3147" t="s">
        <v>35</v>
      </c>
      <c r="J3147" t="s">
        <v>4204</v>
      </c>
      <c r="K3147" t="s">
        <v>1092</v>
      </c>
      <c r="M3147">
        <v>1.44</v>
      </c>
      <c r="N3147">
        <v>55</v>
      </c>
      <c r="O3147" t="s">
        <v>52</v>
      </c>
      <c r="Q3147" t="s">
        <v>90</v>
      </c>
      <c r="R3147" t="s">
        <v>3931</v>
      </c>
      <c r="S3147" t="s">
        <v>3932</v>
      </c>
      <c r="T3147" t="s">
        <v>3933</v>
      </c>
    </row>
    <row r="3148" spans="1:20" x14ac:dyDescent="0.25">
      <c r="A3148" t="s">
        <v>30</v>
      </c>
      <c r="B3148" t="s">
        <v>31</v>
      </c>
      <c r="C3148" t="s">
        <v>32</v>
      </c>
      <c r="D3148" t="s">
        <v>522</v>
      </c>
      <c r="E3148" t="s">
        <v>565</v>
      </c>
      <c r="F3148" t="s">
        <v>35</v>
      </c>
      <c r="G3148" t="s">
        <v>35</v>
      </c>
      <c r="H3148" t="s">
        <v>35</v>
      </c>
      <c r="J3148" t="s">
        <v>4381</v>
      </c>
      <c r="K3148" t="s">
        <v>1092</v>
      </c>
      <c r="M3148">
        <v>6.57</v>
      </c>
      <c r="N3148">
        <v>144</v>
      </c>
      <c r="O3148" t="s">
        <v>38</v>
      </c>
      <c r="Q3148" t="s">
        <v>1269</v>
      </c>
      <c r="R3148" t="s">
        <v>3931</v>
      </c>
      <c r="S3148" t="s">
        <v>3932</v>
      </c>
      <c r="T3148" t="s">
        <v>3933</v>
      </c>
    </row>
    <row r="3149" spans="1:20" x14ac:dyDescent="0.25">
      <c r="A3149" t="s">
        <v>59</v>
      </c>
      <c r="B3149" t="s">
        <v>31</v>
      </c>
      <c r="C3149" t="s">
        <v>32</v>
      </c>
      <c r="D3149" t="s">
        <v>522</v>
      </c>
      <c r="E3149" t="s">
        <v>565</v>
      </c>
      <c r="F3149" t="s">
        <v>35</v>
      </c>
      <c r="G3149" t="s">
        <v>35</v>
      </c>
      <c r="H3149" t="s">
        <v>35</v>
      </c>
      <c r="J3149" t="s">
        <v>4381</v>
      </c>
      <c r="K3149" t="s">
        <v>1092</v>
      </c>
      <c r="M3149">
        <v>2.97</v>
      </c>
      <c r="N3149">
        <v>191</v>
      </c>
      <c r="O3149" t="s">
        <v>5</v>
      </c>
      <c r="Q3149" t="s">
        <v>4086</v>
      </c>
      <c r="R3149" t="s">
        <v>3931</v>
      </c>
      <c r="S3149" t="s">
        <v>3932</v>
      </c>
      <c r="T3149" t="s">
        <v>3933</v>
      </c>
    </row>
    <row r="3150" spans="1:20" x14ac:dyDescent="0.25">
      <c r="A3150" t="s">
        <v>44</v>
      </c>
      <c r="B3150" t="s">
        <v>51</v>
      </c>
      <c r="C3150" t="s">
        <v>32</v>
      </c>
      <c r="D3150" t="s">
        <v>522</v>
      </c>
      <c r="E3150" t="s">
        <v>523</v>
      </c>
      <c r="F3150" t="s">
        <v>35</v>
      </c>
      <c r="G3150" t="s">
        <v>35</v>
      </c>
      <c r="H3150" t="s">
        <v>35</v>
      </c>
      <c r="J3150" t="s">
        <v>3991</v>
      </c>
      <c r="K3150" t="s">
        <v>1092</v>
      </c>
      <c r="M3150">
        <v>2.4500000000000002</v>
      </c>
      <c r="N3150">
        <v>68</v>
      </c>
      <c r="O3150" t="s">
        <v>61</v>
      </c>
      <c r="Q3150" t="s">
        <v>805</v>
      </c>
      <c r="R3150" t="s">
        <v>3931</v>
      </c>
      <c r="S3150" t="s">
        <v>3932</v>
      </c>
      <c r="T3150" t="s">
        <v>3933</v>
      </c>
    </row>
    <row r="3151" spans="1:20" x14ac:dyDescent="0.25">
      <c r="A3151" t="s">
        <v>30</v>
      </c>
      <c r="B3151" t="s">
        <v>31</v>
      </c>
      <c r="C3151" t="s">
        <v>32</v>
      </c>
      <c r="D3151" t="s">
        <v>522</v>
      </c>
      <c r="E3151" t="s">
        <v>565</v>
      </c>
      <c r="F3151" t="s">
        <v>35</v>
      </c>
      <c r="G3151" t="s">
        <v>35</v>
      </c>
      <c r="H3151" t="s">
        <v>35</v>
      </c>
      <c r="J3151" t="s">
        <v>4367</v>
      </c>
      <c r="K3151" t="s">
        <v>1092</v>
      </c>
      <c r="M3151">
        <v>11.925000000000001</v>
      </c>
      <c r="N3151">
        <v>83</v>
      </c>
      <c r="O3151" t="s">
        <v>61</v>
      </c>
      <c r="Q3151" t="s">
        <v>897</v>
      </c>
      <c r="R3151" t="s">
        <v>3931</v>
      </c>
      <c r="S3151" t="s">
        <v>3932</v>
      </c>
      <c r="T3151" t="s">
        <v>3933</v>
      </c>
    </row>
    <row r="3152" spans="1:20" x14ac:dyDescent="0.25">
      <c r="A3152" t="s">
        <v>44</v>
      </c>
      <c r="B3152" t="s">
        <v>51</v>
      </c>
      <c r="C3152" t="s">
        <v>32</v>
      </c>
      <c r="D3152" t="s">
        <v>522</v>
      </c>
      <c r="E3152" t="s">
        <v>553</v>
      </c>
      <c r="F3152" t="s">
        <v>35</v>
      </c>
      <c r="G3152" t="s">
        <v>35</v>
      </c>
      <c r="H3152" t="s">
        <v>35</v>
      </c>
      <c r="J3152" t="s">
        <v>4168</v>
      </c>
      <c r="K3152" t="s">
        <v>1092</v>
      </c>
      <c r="M3152">
        <v>5.5</v>
      </c>
      <c r="N3152">
        <v>68</v>
      </c>
      <c r="O3152" t="s">
        <v>61</v>
      </c>
      <c r="Q3152" t="s">
        <v>805</v>
      </c>
      <c r="R3152" t="s">
        <v>3931</v>
      </c>
      <c r="S3152" t="s">
        <v>3932</v>
      </c>
      <c r="T3152" t="s">
        <v>3933</v>
      </c>
    </row>
    <row r="3153" spans="1:20" x14ac:dyDescent="0.25">
      <c r="A3153" t="s">
        <v>30</v>
      </c>
      <c r="B3153" t="s">
        <v>31</v>
      </c>
      <c r="C3153" t="s">
        <v>32</v>
      </c>
      <c r="D3153" t="s">
        <v>522</v>
      </c>
      <c r="E3153" t="s">
        <v>533</v>
      </c>
      <c r="F3153" t="s">
        <v>35</v>
      </c>
      <c r="G3153" t="s">
        <v>35</v>
      </c>
      <c r="H3153" t="s">
        <v>35</v>
      </c>
      <c r="J3153" t="s">
        <v>4045</v>
      </c>
      <c r="K3153" t="s">
        <v>1092</v>
      </c>
      <c r="M3153">
        <v>5.8049999999999997</v>
      </c>
      <c r="N3153">
        <v>144</v>
      </c>
      <c r="O3153" t="s">
        <v>38</v>
      </c>
      <c r="Q3153" t="s">
        <v>1269</v>
      </c>
      <c r="R3153" t="s">
        <v>3931</v>
      </c>
      <c r="S3153" t="s">
        <v>3932</v>
      </c>
      <c r="T3153" t="s">
        <v>3933</v>
      </c>
    </row>
    <row r="3154" spans="1:20" x14ac:dyDescent="0.25">
      <c r="A3154" t="s">
        <v>30</v>
      </c>
      <c r="B3154" t="s">
        <v>31</v>
      </c>
      <c r="C3154" t="s">
        <v>32</v>
      </c>
      <c r="D3154" t="s">
        <v>522</v>
      </c>
      <c r="E3154" t="s">
        <v>543</v>
      </c>
      <c r="F3154" t="s">
        <v>35</v>
      </c>
      <c r="G3154" t="s">
        <v>35</v>
      </c>
      <c r="H3154" t="s">
        <v>35</v>
      </c>
      <c r="J3154" t="s">
        <v>4105</v>
      </c>
      <c r="K3154" t="s">
        <v>1092</v>
      </c>
      <c r="M3154">
        <v>9.81</v>
      </c>
      <c r="N3154">
        <v>83</v>
      </c>
      <c r="O3154" t="s">
        <v>61</v>
      </c>
      <c r="Q3154" t="s">
        <v>897</v>
      </c>
      <c r="R3154" t="s">
        <v>3931</v>
      </c>
      <c r="S3154" t="s">
        <v>3932</v>
      </c>
      <c r="T3154" t="s">
        <v>3933</v>
      </c>
    </row>
    <row r="3155" spans="1:20" x14ac:dyDescent="0.25">
      <c r="A3155" t="s">
        <v>59</v>
      </c>
      <c r="B3155" t="s">
        <v>60</v>
      </c>
      <c r="C3155" t="s">
        <v>32</v>
      </c>
      <c r="D3155" t="s">
        <v>522</v>
      </c>
      <c r="E3155" t="s">
        <v>565</v>
      </c>
      <c r="F3155" t="s">
        <v>35</v>
      </c>
      <c r="G3155" t="s">
        <v>35</v>
      </c>
      <c r="H3155" t="s">
        <v>35</v>
      </c>
      <c r="J3155" t="s">
        <v>4335</v>
      </c>
      <c r="K3155" t="s">
        <v>1092</v>
      </c>
      <c r="M3155">
        <v>1.75</v>
      </c>
      <c r="N3155">
        <v>126</v>
      </c>
      <c r="O3155" t="s">
        <v>38</v>
      </c>
      <c r="Q3155" t="s">
        <v>68</v>
      </c>
      <c r="R3155" t="s">
        <v>3931</v>
      </c>
      <c r="S3155" t="s">
        <v>3932</v>
      </c>
      <c r="T3155" t="s">
        <v>3933</v>
      </c>
    </row>
    <row r="3156" spans="1:20" x14ac:dyDescent="0.25">
      <c r="A3156" t="s">
        <v>59</v>
      </c>
      <c r="B3156" t="s">
        <v>31</v>
      </c>
      <c r="C3156" t="s">
        <v>32</v>
      </c>
      <c r="D3156" t="s">
        <v>522</v>
      </c>
      <c r="E3156" t="s">
        <v>543</v>
      </c>
      <c r="F3156" t="s">
        <v>35</v>
      </c>
      <c r="G3156" t="s">
        <v>35</v>
      </c>
      <c r="H3156" t="s">
        <v>35</v>
      </c>
      <c r="J3156" t="s">
        <v>4113</v>
      </c>
      <c r="K3156" t="s">
        <v>1092</v>
      </c>
      <c r="M3156">
        <v>11.025</v>
      </c>
      <c r="N3156">
        <v>119</v>
      </c>
      <c r="O3156" t="s">
        <v>106</v>
      </c>
      <c r="Q3156" t="s">
        <v>1813</v>
      </c>
      <c r="R3156" t="s">
        <v>3931</v>
      </c>
      <c r="S3156" t="s">
        <v>3932</v>
      </c>
      <c r="T3156" t="s">
        <v>3933</v>
      </c>
    </row>
    <row r="3157" spans="1:20" x14ac:dyDescent="0.25">
      <c r="A3157" t="s">
        <v>30</v>
      </c>
      <c r="B3157" t="s">
        <v>31</v>
      </c>
      <c r="C3157" t="s">
        <v>32</v>
      </c>
      <c r="D3157" t="s">
        <v>522</v>
      </c>
      <c r="E3157" t="s">
        <v>543</v>
      </c>
      <c r="F3157" t="s">
        <v>35</v>
      </c>
      <c r="G3157" t="s">
        <v>35</v>
      </c>
      <c r="H3157" t="s">
        <v>35</v>
      </c>
      <c r="J3157" t="s">
        <v>4145</v>
      </c>
      <c r="K3157" t="s">
        <v>1092</v>
      </c>
      <c r="M3157">
        <v>10.305</v>
      </c>
      <c r="N3157">
        <v>83</v>
      </c>
      <c r="O3157" t="s">
        <v>61</v>
      </c>
      <c r="Q3157" t="s">
        <v>897</v>
      </c>
      <c r="R3157" t="s">
        <v>3931</v>
      </c>
      <c r="S3157" t="s">
        <v>3932</v>
      </c>
      <c r="T3157" t="s">
        <v>3933</v>
      </c>
    </row>
    <row r="3158" spans="1:20" x14ac:dyDescent="0.25">
      <c r="A3158" t="s">
        <v>30</v>
      </c>
      <c r="B3158" t="s">
        <v>31</v>
      </c>
      <c r="C3158" t="s">
        <v>32</v>
      </c>
      <c r="D3158" t="s">
        <v>522</v>
      </c>
      <c r="E3158" t="s">
        <v>533</v>
      </c>
      <c r="F3158" t="s">
        <v>35</v>
      </c>
      <c r="G3158" t="s">
        <v>35</v>
      </c>
      <c r="H3158" t="s">
        <v>35</v>
      </c>
      <c r="J3158" t="s">
        <v>4083</v>
      </c>
      <c r="K3158" t="s">
        <v>1092</v>
      </c>
      <c r="M3158">
        <v>6.84</v>
      </c>
      <c r="N3158">
        <v>14</v>
      </c>
      <c r="O3158" t="s">
        <v>46</v>
      </c>
      <c r="Q3158" t="s">
        <v>1874</v>
      </c>
      <c r="R3158" t="s">
        <v>3931</v>
      </c>
      <c r="S3158" t="s">
        <v>3932</v>
      </c>
      <c r="T3158" t="s">
        <v>3933</v>
      </c>
    </row>
    <row r="3159" spans="1:20" x14ac:dyDescent="0.25">
      <c r="A3159" t="s">
        <v>59</v>
      </c>
      <c r="B3159" t="s">
        <v>60</v>
      </c>
      <c r="C3159" t="s">
        <v>32</v>
      </c>
      <c r="D3159" t="s">
        <v>522</v>
      </c>
      <c r="E3159" t="s">
        <v>543</v>
      </c>
      <c r="F3159" t="s">
        <v>35</v>
      </c>
      <c r="G3159" t="s">
        <v>35</v>
      </c>
      <c r="H3159" t="s">
        <v>35</v>
      </c>
      <c r="J3159" t="s">
        <v>4095</v>
      </c>
      <c r="K3159" t="s">
        <v>1092</v>
      </c>
      <c r="M3159">
        <v>0.55000000000000004</v>
      </c>
      <c r="N3159">
        <v>133</v>
      </c>
      <c r="O3159" t="s">
        <v>38</v>
      </c>
      <c r="Q3159" t="s">
        <v>609</v>
      </c>
      <c r="R3159" t="s">
        <v>3931</v>
      </c>
      <c r="S3159" t="s">
        <v>3932</v>
      </c>
      <c r="T3159" t="s">
        <v>3933</v>
      </c>
    </row>
    <row r="3160" spans="1:20" x14ac:dyDescent="0.25">
      <c r="A3160" t="s">
        <v>59</v>
      </c>
      <c r="B3160" t="s">
        <v>31</v>
      </c>
      <c r="C3160" t="s">
        <v>32</v>
      </c>
      <c r="D3160" t="s">
        <v>522</v>
      </c>
      <c r="E3160" t="s">
        <v>543</v>
      </c>
      <c r="F3160" t="s">
        <v>35</v>
      </c>
      <c r="G3160" t="s">
        <v>35</v>
      </c>
      <c r="H3160" t="s">
        <v>35</v>
      </c>
      <c r="J3160" t="s">
        <v>4095</v>
      </c>
      <c r="K3160" t="s">
        <v>1092</v>
      </c>
      <c r="M3160">
        <v>10.574999999999999</v>
      </c>
      <c r="N3160">
        <v>133</v>
      </c>
      <c r="O3160" t="s">
        <v>38</v>
      </c>
      <c r="Q3160" t="s">
        <v>609</v>
      </c>
      <c r="R3160" t="s">
        <v>3931</v>
      </c>
      <c r="S3160" t="s">
        <v>3932</v>
      </c>
      <c r="T3160" t="s">
        <v>3933</v>
      </c>
    </row>
    <row r="3161" spans="1:20" x14ac:dyDescent="0.25">
      <c r="A3161" t="s">
        <v>30</v>
      </c>
      <c r="B3161" t="s">
        <v>31</v>
      </c>
      <c r="C3161" t="s">
        <v>32</v>
      </c>
      <c r="D3161" t="s">
        <v>522</v>
      </c>
      <c r="E3161" t="s">
        <v>543</v>
      </c>
      <c r="F3161" t="s">
        <v>35</v>
      </c>
      <c r="G3161" t="s">
        <v>35</v>
      </c>
      <c r="H3161" t="s">
        <v>35</v>
      </c>
      <c r="J3161" t="s">
        <v>4095</v>
      </c>
      <c r="K3161" t="s">
        <v>1092</v>
      </c>
      <c r="M3161">
        <v>22.5</v>
      </c>
      <c r="N3161">
        <v>83</v>
      </c>
      <c r="O3161" t="s">
        <v>61</v>
      </c>
      <c r="Q3161" t="s">
        <v>897</v>
      </c>
      <c r="R3161" t="s">
        <v>3931</v>
      </c>
      <c r="S3161" t="s">
        <v>3932</v>
      </c>
      <c r="T3161" t="s">
        <v>3933</v>
      </c>
    </row>
    <row r="3162" spans="1:20" x14ac:dyDescent="0.25">
      <c r="A3162" t="s">
        <v>30</v>
      </c>
      <c r="B3162" t="s">
        <v>31</v>
      </c>
      <c r="C3162" t="s">
        <v>32</v>
      </c>
      <c r="D3162" t="s">
        <v>522</v>
      </c>
      <c r="E3162" t="s">
        <v>543</v>
      </c>
      <c r="F3162" t="s">
        <v>35</v>
      </c>
      <c r="G3162" t="s">
        <v>35</v>
      </c>
      <c r="H3162" t="s">
        <v>35</v>
      </c>
      <c r="J3162" t="s">
        <v>4095</v>
      </c>
      <c r="K3162" t="s">
        <v>1092</v>
      </c>
      <c r="M3162">
        <v>11.025</v>
      </c>
      <c r="N3162">
        <v>32</v>
      </c>
      <c r="O3162" t="s">
        <v>52</v>
      </c>
      <c r="Q3162" t="s">
        <v>816</v>
      </c>
      <c r="R3162" t="s">
        <v>3931</v>
      </c>
      <c r="S3162" t="s">
        <v>3932</v>
      </c>
      <c r="T3162" t="s">
        <v>3933</v>
      </c>
    </row>
    <row r="3163" spans="1:20" x14ac:dyDescent="0.25">
      <c r="A3163" t="s">
        <v>59</v>
      </c>
      <c r="B3163" t="s">
        <v>31</v>
      </c>
      <c r="C3163" t="s">
        <v>32</v>
      </c>
      <c r="D3163" t="s">
        <v>522</v>
      </c>
      <c r="E3163" t="s">
        <v>561</v>
      </c>
      <c r="F3163" t="s">
        <v>35</v>
      </c>
      <c r="G3163" t="s">
        <v>35</v>
      </c>
      <c r="H3163" t="s">
        <v>35</v>
      </c>
      <c r="J3163" t="s">
        <v>4309</v>
      </c>
      <c r="K3163" t="s">
        <v>1092</v>
      </c>
      <c r="M3163">
        <v>8.7750000000000004</v>
      </c>
      <c r="N3163">
        <v>119</v>
      </c>
      <c r="O3163" t="s">
        <v>106</v>
      </c>
      <c r="Q3163" t="s">
        <v>1813</v>
      </c>
      <c r="R3163" t="s">
        <v>3931</v>
      </c>
      <c r="S3163" t="s">
        <v>3932</v>
      </c>
      <c r="T3163" t="s">
        <v>3933</v>
      </c>
    </row>
    <row r="3164" spans="1:20" x14ac:dyDescent="0.25">
      <c r="A3164" t="s">
        <v>30</v>
      </c>
      <c r="B3164" t="s">
        <v>31</v>
      </c>
      <c r="C3164" t="s">
        <v>32</v>
      </c>
      <c r="D3164" t="s">
        <v>522</v>
      </c>
      <c r="E3164" t="s">
        <v>523</v>
      </c>
      <c r="F3164" t="s">
        <v>35</v>
      </c>
      <c r="G3164" t="s">
        <v>35</v>
      </c>
      <c r="H3164" t="s">
        <v>35</v>
      </c>
      <c r="J3164" t="s">
        <v>3988</v>
      </c>
      <c r="K3164" t="s">
        <v>1092</v>
      </c>
      <c r="M3164">
        <v>9.9</v>
      </c>
      <c r="N3164">
        <v>164</v>
      </c>
      <c r="O3164" t="s">
        <v>38</v>
      </c>
      <c r="Q3164" t="s">
        <v>3930</v>
      </c>
      <c r="R3164" t="s">
        <v>3931</v>
      </c>
      <c r="S3164" t="s">
        <v>3932</v>
      </c>
      <c r="T3164" t="s">
        <v>3933</v>
      </c>
    </row>
    <row r="3165" spans="1:20" x14ac:dyDescent="0.25">
      <c r="A3165" t="s">
        <v>30</v>
      </c>
      <c r="B3165" t="s">
        <v>31</v>
      </c>
      <c r="C3165" t="s">
        <v>32</v>
      </c>
      <c r="D3165" t="s">
        <v>522</v>
      </c>
      <c r="F3165" t="s">
        <v>35</v>
      </c>
      <c r="G3165" t="s">
        <v>35</v>
      </c>
      <c r="H3165" t="s">
        <v>35</v>
      </c>
      <c r="J3165" t="s">
        <v>4420</v>
      </c>
      <c r="K3165" t="s">
        <v>1092</v>
      </c>
      <c r="M3165">
        <v>13.005000000000001</v>
      </c>
      <c r="N3165">
        <v>1973</v>
      </c>
      <c r="O3165" t="s">
        <v>575</v>
      </c>
      <c r="Q3165" t="s">
        <v>4421</v>
      </c>
      <c r="R3165" t="s">
        <v>3931</v>
      </c>
      <c r="S3165" t="s">
        <v>3932</v>
      </c>
      <c r="T3165" t="s">
        <v>3933</v>
      </c>
    </row>
    <row r="3166" spans="1:20" x14ac:dyDescent="0.25">
      <c r="A3166" t="s">
        <v>30</v>
      </c>
      <c r="B3166" t="s">
        <v>31</v>
      </c>
      <c r="C3166" t="s">
        <v>32</v>
      </c>
      <c r="D3166" t="s">
        <v>522</v>
      </c>
      <c r="E3166" t="s">
        <v>565</v>
      </c>
      <c r="F3166" t="s">
        <v>35</v>
      </c>
      <c r="G3166" t="s">
        <v>35</v>
      </c>
      <c r="H3166" t="s">
        <v>35</v>
      </c>
      <c r="J3166" t="s">
        <v>4316</v>
      </c>
      <c r="K3166" t="s">
        <v>1092</v>
      </c>
      <c r="M3166">
        <v>10.170999999999999</v>
      </c>
      <c r="N3166">
        <v>38</v>
      </c>
      <c r="O3166" t="s">
        <v>52</v>
      </c>
      <c r="Q3166" t="s">
        <v>716</v>
      </c>
      <c r="R3166" t="s">
        <v>3931</v>
      </c>
      <c r="S3166" t="s">
        <v>3932</v>
      </c>
      <c r="T3166" t="s">
        <v>3933</v>
      </c>
    </row>
    <row r="3167" spans="1:20" x14ac:dyDescent="0.25">
      <c r="A3167" t="s">
        <v>59</v>
      </c>
      <c r="B3167" t="s">
        <v>60</v>
      </c>
      <c r="C3167" t="s">
        <v>32</v>
      </c>
      <c r="D3167" t="s">
        <v>522</v>
      </c>
      <c r="E3167" t="s">
        <v>565</v>
      </c>
      <c r="F3167" t="s">
        <v>35</v>
      </c>
      <c r="G3167" t="s">
        <v>35</v>
      </c>
      <c r="H3167" t="s">
        <v>35</v>
      </c>
      <c r="J3167" t="s">
        <v>4316</v>
      </c>
      <c r="K3167" t="s">
        <v>1092</v>
      </c>
      <c r="M3167">
        <v>1.45</v>
      </c>
      <c r="N3167">
        <v>191</v>
      </c>
      <c r="O3167" t="s">
        <v>5</v>
      </c>
      <c r="Q3167" t="s">
        <v>4086</v>
      </c>
      <c r="R3167" t="s">
        <v>3931</v>
      </c>
      <c r="S3167" t="s">
        <v>3932</v>
      </c>
      <c r="T3167" t="s">
        <v>3933</v>
      </c>
    </row>
    <row r="3168" spans="1:20" x14ac:dyDescent="0.25">
      <c r="A3168" t="s">
        <v>30</v>
      </c>
      <c r="B3168" t="s">
        <v>31</v>
      </c>
      <c r="C3168" t="s">
        <v>32</v>
      </c>
      <c r="D3168" t="s">
        <v>522</v>
      </c>
      <c r="E3168" t="s">
        <v>523</v>
      </c>
      <c r="F3168" t="s">
        <v>35</v>
      </c>
      <c r="G3168" t="s">
        <v>35</v>
      </c>
      <c r="H3168" t="s">
        <v>35</v>
      </c>
      <c r="J3168" t="s">
        <v>4015</v>
      </c>
      <c r="K3168" t="s">
        <v>1092</v>
      </c>
      <c r="M3168">
        <v>1</v>
      </c>
      <c r="N3168">
        <v>382</v>
      </c>
      <c r="O3168" t="s">
        <v>294</v>
      </c>
      <c r="Q3168" t="s">
        <v>4016</v>
      </c>
      <c r="R3168" t="s">
        <v>3931</v>
      </c>
      <c r="S3168" t="s">
        <v>3932</v>
      </c>
      <c r="T3168" t="s">
        <v>3933</v>
      </c>
    </row>
    <row r="3169" spans="1:20" x14ac:dyDescent="0.25">
      <c r="A3169" t="s">
        <v>59</v>
      </c>
      <c r="B3169" t="s">
        <v>31</v>
      </c>
      <c r="C3169" t="s">
        <v>32</v>
      </c>
      <c r="D3169" t="s">
        <v>522</v>
      </c>
      <c r="F3169" t="s">
        <v>35</v>
      </c>
      <c r="G3169" t="s">
        <v>35</v>
      </c>
      <c r="H3169" t="s">
        <v>35</v>
      </c>
      <c r="J3169" t="s">
        <v>4408</v>
      </c>
      <c r="K3169" t="s">
        <v>1092</v>
      </c>
      <c r="M3169">
        <v>1.4850000000000001</v>
      </c>
      <c r="N3169">
        <v>1872</v>
      </c>
      <c r="O3169" t="s">
        <v>575</v>
      </c>
      <c r="Q3169" t="s">
        <v>4409</v>
      </c>
      <c r="R3169" t="s">
        <v>3931</v>
      </c>
      <c r="S3169" t="s">
        <v>3932</v>
      </c>
      <c r="T3169" t="s">
        <v>3933</v>
      </c>
    </row>
    <row r="3170" spans="1:20" x14ac:dyDescent="0.25">
      <c r="A3170" t="s">
        <v>30</v>
      </c>
      <c r="B3170" t="s">
        <v>31</v>
      </c>
      <c r="C3170" t="s">
        <v>32</v>
      </c>
      <c r="D3170" t="s">
        <v>522</v>
      </c>
      <c r="E3170" t="s">
        <v>561</v>
      </c>
      <c r="F3170" t="s">
        <v>35</v>
      </c>
      <c r="G3170" t="s">
        <v>35</v>
      </c>
      <c r="H3170" t="s">
        <v>35</v>
      </c>
      <c r="J3170" t="s">
        <v>4256</v>
      </c>
      <c r="K3170" t="s">
        <v>1092</v>
      </c>
      <c r="M3170">
        <v>2.8650000000000002</v>
      </c>
      <c r="N3170">
        <v>256</v>
      </c>
      <c r="O3170" t="s">
        <v>5</v>
      </c>
      <c r="Q3170" t="s">
        <v>2499</v>
      </c>
      <c r="R3170" t="s">
        <v>3931</v>
      </c>
      <c r="S3170" t="s">
        <v>3932</v>
      </c>
      <c r="T3170" t="s">
        <v>3933</v>
      </c>
    </row>
    <row r="3171" spans="1:20" x14ac:dyDescent="0.25">
      <c r="A3171" t="s">
        <v>59</v>
      </c>
      <c r="B3171" t="s">
        <v>60</v>
      </c>
      <c r="C3171" t="s">
        <v>32</v>
      </c>
      <c r="D3171" t="s">
        <v>522</v>
      </c>
      <c r="E3171" t="s">
        <v>561</v>
      </c>
      <c r="F3171" t="s">
        <v>35</v>
      </c>
      <c r="G3171" t="s">
        <v>35</v>
      </c>
      <c r="H3171" t="s">
        <v>35</v>
      </c>
      <c r="J3171" t="s">
        <v>4263</v>
      </c>
      <c r="K3171" t="s">
        <v>1092</v>
      </c>
      <c r="M3171">
        <v>1</v>
      </c>
      <c r="N3171">
        <v>29</v>
      </c>
      <c r="O3171" t="s">
        <v>46</v>
      </c>
      <c r="Q3171" t="s">
        <v>2005</v>
      </c>
      <c r="R3171" t="s">
        <v>4139</v>
      </c>
      <c r="S3171" t="s">
        <v>544</v>
      </c>
      <c r="T3171" t="s">
        <v>545</v>
      </c>
    </row>
    <row r="3172" spans="1:20" x14ac:dyDescent="0.25">
      <c r="A3172" t="s">
        <v>59</v>
      </c>
      <c r="B3172" t="s">
        <v>60</v>
      </c>
      <c r="C3172" t="s">
        <v>32</v>
      </c>
      <c r="D3172" t="s">
        <v>522</v>
      </c>
      <c r="E3172" t="s">
        <v>561</v>
      </c>
      <c r="F3172" t="s">
        <v>35</v>
      </c>
      <c r="G3172" t="s">
        <v>35</v>
      </c>
      <c r="H3172" t="s">
        <v>35</v>
      </c>
      <c r="J3172" t="s">
        <v>4263</v>
      </c>
      <c r="K3172" t="s">
        <v>1092</v>
      </c>
      <c r="M3172">
        <v>1</v>
      </c>
      <c r="N3172">
        <v>58</v>
      </c>
      <c r="O3172" t="s">
        <v>52</v>
      </c>
      <c r="Q3172" t="s">
        <v>128</v>
      </c>
      <c r="R3172" t="s">
        <v>4139</v>
      </c>
      <c r="S3172" t="s">
        <v>544</v>
      </c>
      <c r="T3172" t="s">
        <v>545</v>
      </c>
    </row>
    <row r="3173" spans="1:20" x14ac:dyDescent="0.25">
      <c r="A3173" t="s">
        <v>59</v>
      </c>
      <c r="B3173" t="s">
        <v>60</v>
      </c>
      <c r="C3173" t="s">
        <v>32</v>
      </c>
      <c r="D3173" t="s">
        <v>522</v>
      </c>
      <c r="E3173" t="s">
        <v>561</v>
      </c>
      <c r="F3173" t="s">
        <v>35</v>
      </c>
      <c r="G3173" t="s">
        <v>35</v>
      </c>
      <c r="H3173" t="s">
        <v>35</v>
      </c>
      <c r="J3173" t="s">
        <v>4263</v>
      </c>
      <c r="K3173" t="s">
        <v>1092</v>
      </c>
      <c r="M3173">
        <v>2</v>
      </c>
      <c r="N3173">
        <v>4</v>
      </c>
      <c r="O3173" t="s">
        <v>46</v>
      </c>
      <c r="Q3173" t="s">
        <v>1053</v>
      </c>
      <c r="R3173" t="s">
        <v>4139</v>
      </c>
      <c r="S3173" t="s">
        <v>544</v>
      </c>
      <c r="T3173" t="s">
        <v>545</v>
      </c>
    </row>
    <row r="3174" spans="1:20" x14ac:dyDescent="0.25">
      <c r="A3174" t="s">
        <v>30</v>
      </c>
      <c r="B3174" t="s">
        <v>31</v>
      </c>
      <c r="C3174" t="s">
        <v>32</v>
      </c>
      <c r="D3174" t="s">
        <v>522</v>
      </c>
      <c r="E3174" t="s">
        <v>561</v>
      </c>
      <c r="F3174" t="s">
        <v>35</v>
      </c>
      <c r="G3174" t="s">
        <v>35</v>
      </c>
      <c r="H3174" t="s">
        <v>35</v>
      </c>
      <c r="J3174" t="s">
        <v>4292</v>
      </c>
      <c r="K3174" t="s">
        <v>1092</v>
      </c>
      <c r="M3174">
        <v>0.85499999999999998</v>
      </c>
      <c r="N3174">
        <v>1901</v>
      </c>
      <c r="O3174" t="s">
        <v>575</v>
      </c>
      <c r="Q3174" t="s">
        <v>4293</v>
      </c>
      <c r="R3174" t="s">
        <v>4139</v>
      </c>
      <c r="S3174" t="s">
        <v>544</v>
      </c>
      <c r="T3174" t="s">
        <v>545</v>
      </c>
    </row>
    <row r="3175" spans="1:20" x14ac:dyDescent="0.25">
      <c r="A3175" t="s">
        <v>59</v>
      </c>
      <c r="B3175" t="s">
        <v>60</v>
      </c>
      <c r="C3175" t="s">
        <v>32</v>
      </c>
      <c r="D3175" t="s">
        <v>522</v>
      </c>
      <c r="E3175" t="s">
        <v>561</v>
      </c>
      <c r="F3175" t="s">
        <v>35</v>
      </c>
      <c r="G3175" t="s">
        <v>35</v>
      </c>
      <c r="H3175" t="s">
        <v>35</v>
      </c>
      <c r="J3175" t="s">
        <v>4291</v>
      </c>
      <c r="K3175" t="s">
        <v>1092</v>
      </c>
      <c r="M3175">
        <v>0.25</v>
      </c>
      <c r="N3175">
        <v>20</v>
      </c>
      <c r="O3175" t="s">
        <v>46</v>
      </c>
      <c r="Q3175" t="s">
        <v>1011</v>
      </c>
      <c r="R3175" t="s">
        <v>4139</v>
      </c>
      <c r="S3175" t="s">
        <v>544</v>
      </c>
      <c r="T3175" t="s">
        <v>545</v>
      </c>
    </row>
    <row r="3176" spans="1:20" x14ac:dyDescent="0.25">
      <c r="A3176" t="s">
        <v>30</v>
      </c>
      <c r="B3176" t="s">
        <v>31</v>
      </c>
      <c r="C3176" t="s">
        <v>32</v>
      </c>
      <c r="D3176" t="s">
        <v>522</v>
      </c>
      <c r="E3176" t="s">
        <v>561</v>
      </c>
      <c r="F3176" t="s">
        <v>35</v>
      </c>
      <c r="G3176" t="s">
        <v>35</v>
      </c>
      <c r="H3176" t="s">
        <v>35</v>
      </c>
      <c r="J3176" t="s">
        <v>4284</v>
      </c>
      <c r="K3176" t="s">
        <v>1092</v>
      </c>
      <c r="M3176">
        <v>0.43</v>
      </c>
      <c r="N3176">
        <v>1657</v>
      </c>
      <c r="O3176" t="s">
        <v>575</v>
      </c>
      <c r="Q3176" t="s">
        <v>4285</v>
      </c>
      <c r="R3176" t="s">
        <v>4139</v>
      </c>
      <c r="S3176" t="s">
        <v>544</v>
      </c>
      <c r="T3176" t="s">
        <v>545</v>
      </c>
    </row>
    <row r="3177" spans="1:20" x14ac:dyDescent="0.25">
      <c r="A3177" t="s">
        <v>44</v>
      </c>
      <c r="B3177" t="s">
        <v>3</v>
      </c>
      <c r="C3177" t="s">
        <v>32</v>
      </c>
      <c r="D3177" t="s">
        <v>522</v>
      </c>
      <c r="E3177" t="s">
        <v>561</v>
      </c>
      <c r="F3177" t="s">
        <v>35</v>
      </c>
      <c r="G3177" t="s">
        <v>35</v>
      </c>
      <c r="H3177" t="s">
        <v>35</v>
      </c>
      <c r="J3177" t="s">
        <v>4283</v>
      </c>
      <c r="K3177" t="s">
        <v>1092</v>
      </c>
      <c r="M3177">
        <v>0.5</v>
      </c>
      <c r="N3177">
        <v>395</v>
      </c>
      <c r="O3177" t="s">
        <v>294</v>
      </c>
      <c r="Q3177" t="s">
        <v>1369</v>
      </c>
      <c r="R3177" t="s">
        <v>4139</v>
      </c>
      <c r="S3177" t="s">
        <v>544</v>
      </c>
      <c r="T3177" t="s">
        <v>545</v>
      </c>
    </row>
    <row r="3178" spans="1:20" x14ac:dyDescent="0.25">
      <c r="A3178" t="s">
        <v>59</v>
      </c>
      <c r="B3178" t="s">
        <v>60</v>
      </c>
      <c r="C3178" t="s">
        <v>32</v>
      </c>
      <c r="D3178" t="s">
        <v>522</v>
      </c>
      <c r="E3178" t="s">
        <v>561</v>
      </c>
      <c r="F3178" t="s">
        <v>35</v>
      </c>
      <c r="G3178" t="s">
        <v>35</v>
      </c>
      <c r="H3178" t="s">
        <v>35</v>
      </c>
      <c r="J3178" t="s">
        <v>4247</v>
      </c>
      <c r="K3178" t="s">
        <v>1092</v>
      </c>
      <c r="M3178">
        <v>0.5</v>
      </c>
      <c r="N3178">
        <v>29</v>
      </c>
      <c r="O3178" t="s">
        <v>46</v>
      </c>
      <c r="Q3178" t="s">
        <v>2005</v>
      </c>
      <c r="R3178" t="s">
        <v>4139</v>
      </c>
      <c r="S3178" t="s">
        <v>544</v>
      </c>
      <c r="T3178" t="s">
        <v>545</v>
      </c>
    </row>
    <row r="3179" spans="1:20" x14ac:dyDescent="0.25">
      <c r="A3179" t="s">
        <v>59</v>
      </c>
      <c r="B3179" t="s">
        <v>60</v>
      </c>
      <c r="C3179" t="s">
        <v>32</v>
      </c>
      <c r="D3179" t="s">
        <v>522</v>
      </c>
      <c r="E3179" t="s">
        <v>561</v>
      </c>
      <c r="F3179" t="s">
        <v>35</v>
      </c>
      <c r="G3179" t="s">
        <v>35</v>
      </c>
      <c r="H3179" t="s">
        <v>35</v>
      </c>
      <c r="J3179" t="s">
        <v>4247</v>
      </c>
      <c r="K3179" t="s">
        <v>1092</v>
      </c>
      <c r="M3179">
        <v>0.82</v>
      </c>
      <c r="N3179">
        <v>34</v>
      </c>
      <c r="O3179" t="s">
        <v>52</v>
      </c>
      <c r="Q3179" t="s">
        <v>249</v>
      </c>
      <c r="R3179" t="s">
        <v>4139</v>
      </c>
      <c r="S3179" t="s">
        <v>544</v>
      </c>
      <c r="T3179" t="s">
        <v>545</v>
      </c>
    </row>
    <row r="3180" spans="1:20" x14ac:dyDescent="0.25">
      <c r="A3180" t="s">
        <v>59</v>
      </c>
      <c r="B3180" t="s">
        <v>60</v>
      </c>
      <c r="C3180" t="s">
        <v>32</v>
      </c>
      <c r="D3180" t="s">
        <v>522</v>
      </c>
      <c r="E3180" t="s">
        <v>561</v>
      </c>
      <c r="F3180" t="s">
        <v>35</v>
      </c>
      <c r="G3180" t="s">
        <v>35</v>
      </c>
      <c r="H3180" t="s">
        <v>35</v>
      </c>
      <c r="J3180" t="s">
        <v>4247</v>
      </c>
      <c r="K3180" t="s">
        <v>1092</v>
      </c>
      <c r="M3180">
        <v>1</v>
      </c>
      <c r="N3180">
        <v>20</v>
      </c>
      <c r="O3180" t="s">
        <v>46</v>
      </c>
      <c r="Q3180" t="s">
        <v>1011</v>
      </c>
      <c r="R3180" t="s">
        <v>4139</v>
      </c>
      <c r="S3180" t="s">
        <v>544</v>
      </c>
      <c r="T3180" t="s">
        <v>545</v>
      </c>
    </row>
    <row r="3181" spans="1:20" x14ac:dyDescent="0.25">
      <c r="A3181" t="s">
        <v>44</v>
      </c>
      <c r="B3181" t="s">
        <v>3</v>
      </c>
      <c r="C3181" t="s">
        <v>32</v>
      </c>
      <c r="D3181" t="s">
        <v>522</v>
      </c>
      <c r="E3181" t="s">
        <v>561</v>
      </c>
      <c r="F3181" t="s">
        <v>35</v>
      </c>
      <c r="G3181" t="s">
        <v>35</v>
      </c>
      <c r="H3181" t="s">
        <v>35</v>
      </c>
      <c r="J3181" t="s">
        <v>4290</v>
      </c>
      <c r="K3181" t="s">
        <v>1092</v>
      </c>
      <c r="M3181">
        <v>0.2</v>
      </c>
      <c r="N3181">
        <v>398</v>
      </c>
      <c r="O3181" t="s">
        <v>294</v>
      </c>
      <c r="Q3181" t="s">
        <v>4257</v>
      </c>
      <c r="R3181" t="s">
        <v>4139</v>
      </c>
      <c r="S3181" t="s">
        <v>544</v>
      </c>
      <c r="T3181" t="s">
        <v>545</v>
      </c>
    </row>
    <row r="3182" spans="1:20" x14ac:dyDescent="0.25">
      <c r="A3182" t="s">
        <v>59</v>
      </c>
      <c r="B3182" t="s">
        <v>60</v>
      </c>
      <c r="C3182" t="s">
        <v>32</v>
      </c>
      <c r="D3182" t="s">
        <v>522</v>
      </c>
      <c r="E3182" t="s">
        <v>561</v>
      </c>
      <c r="F3182" t="s">
        <v>35</v>
      </c>
      <c r="G3182" t="s">
        <v>35</v>
      </c>
      <c r="H3182" t="s">
        <v>35</v>
      </c>
      <c r="J3182" t="s">
        <v>4298</v>
      </c>
      <c r="K3182" t="s">
        <v>1092</v>
      </c>
      <c r="M3182">
        <v>0.75</v>
      </c>
      <c r="N3182">
        <v>249</v>
      </c>
      <c r="O3182" t="s">
        <v>5</v>
      </c>
      <c r="Q3182" t="s">
        <v>4299</v>
      </c>
      <c r="R3182" t="s">
        <v>4139</v>
      </c>
      <c r="S3182" t="s">
        <v>544</v>
      </c>
      <c r="T3182" t="s">
        <v>545</v>
      </c>
    </row>
    <row r="3183" spans="1:20" x14ac:dyDescent="0.25">
      <c r="A3183" t="s">
        <v>44</v>
      </c>
      <c r="B3183" t="s">
        <v>51</v>
      </c>
      <c r="C3183" t="s">
        <v>32</v>
      </c>
      <c r="D3183" t="s">
        <v>522</v>
      </c>
      <c r="E3183" t="s">
        <v>561</v>
      </c>
      <c r="F3183" t="s">
        <v>35</v>
      </c>
      <c r="G3183" t="s">
        <v>35</v>
      </c>
      <c r="H3183" t="s">
        <v>35</v>
      </c>
      <c r="J3183" t="s">
        <v>4250</v>
      </c>
      <c r="K3183" t="s">
        <v>1092</v>
      </c>
      <c r="M3183">
        <v>0.4</v>
      </c>
      <c r="N3183">
        <v>876</v>
      </c>
      <c r="O3183" t="s">
        <v>575</v>
      </c>
      <c r="Q3183" t="s">
        <v>4048</v>
      </c>
      <c r="R3183" t="s">
        <v>4139</v>
      </c>
      <c r="S3183" t="s">
        <v>544</v>
      </c>
      <c r="T3183" t="s">
        <v>545</v>
      </c>
    </row>
    <row r="3184" spans="1:20" x14ac:dyDescent="0.25">
      <c r="A3184" t="s">
        <v>59</v>
      </c>
      <c r="B3184" t="s">
        <v>60</v>
      </c>
      <c r="C3184" t="s">
        <v>32</v>
      </c>
      <c r="D3184" t="s">
        <v>522</v>
      </c>
      <c r="E3184" t="s">
        <v>561</v>
      </c>
      <c r="F3184" t="s">
        <v>35</v>
      </c>
      <c r="G3184" t="s">
        <v>35</v>
      </c>
      <c r="H3184" t="s">
        <v>35</v>
      </c>
      <c r="J3184" t="s">
        <v>4269</v>
      </c>
      <c r="K3184" t="s">
        <v>1092</v>
      </c>
      <c r="M3184">
        <v>0.5</v>
      </c>
      <c r="N3184">
        <v>20</v>
      </c>
      <c r="O3184" t="s">
        <v>46</v>
      </c>
      <c r="Q3184" t="s">
        <v>1011</v>
      </c>
      <c r="R3184" t="s">
        <v>4139</v>
      </c>
      <c r="S3184" t="s">
        <v>544</v>
      </c>
      <c r="T3184" t="s">
        <v>545</v>
      </c>
    </row>
    <row r="3185" spans="1:20" x14ac:dyDescent="0.25">
      <c r="A3185" t="s">
        <v>44</v>
      </c>
      <c r="B3185" t="s">
        <v>51</v>
      </c>
      <c r="C3185" t="s">
        <v>32</v>
      </c>
      <c r="D3185" t="s">
        <v>522</v>
      </c>
      <c r="E3185" t="s">
        <v>561</v>
      </c>
      <c r="F3185" t="s">
        <v>35</v>
      </c>
      <c r="G3185" t="s">
        <v>35</v>
      </c>
      <c r="H3185" t="s">
        <v>35</v>
      </c>
      <c r="J3185" t="s">
        <v>4265</v>
      </c>
      <c r="K3185" t="s">
        <v>1092</v>
      </c>
      <c r="M3185">
        <v>0.05</v>
      </c>
      <c r="N3185">
        <v>851</v>
      </c>
      <c r="O3185" t="s">
        <v>575</v>
      </c>
      <c r="Q3185" t="s">
        <v>4266</v>
      </c>
      <c r="R3185" t="s">
        <v>4139</v>
      </c>
      <c r="S3185" t="s">
        <v>544</v>
      </c>
      <c r="T3185" t="s">
        <v>545</v>
      </c>
    </row>
    <row r="3186" spans="1:20" x14ac:dyDescent="0.25">
      <c r="A3186" t="s">
        <v>44</v>
      </c>
      <c r="B3186" t="s">
        <v>3</v>
      </c>
      <c r="C3186" t="s">
        <v>32</v>
      </c>
      <c r="D3186" t="s">
        <v>522</v>
      </c>
      <c r="E3186" t="s">
        <v>543</v>
      </c>
      <c r="F3186" t="s">
        <v>35</v>
      </c>
      <c r="G3186" t="s">
        <v>35</v>
      </c>
      <c r="H3186" t="s">
        <v>35</v>
      </c>
      <c r="J3186" t="s">
        <v>4138</v>
      </c>
      <c r="K3186" t="s">
        <v>1092</v>
      </c>
      <c r="M3186">
        <v>1</v>
      </c>
      <c r="N3186">
        <v>483</v>
      </c>
      <c r="O3186" t="s">
        <v>294</v>
      </c>
      <c r="Q3186" t="s">
        <v>1582</v>
      </c>
      <c r="R3186" t="s">
        <v>4139</v>
      </c>
      <c r="S3186" t="s">
        <v>544</v>
      </c>
      <c r="T3186" t="s">
        <v>545</v>
      </c>
    </row>
    <row r="3187" spans="1:20" x14ac:dyDescent="0.25">
      <c r="A3187" t="s">
        <v>44</v>
      </c>
      <c r="B3187" t="s">
        <v>51</v>
      </c>
      <c r="C3187" t="s">
        <v>32</v>
      </c>
      <c r="D3187" t="s">
        <v>522</v>
      </c>
      <c r="E3187" t="s">
        <v>543</v>
      </c>
      <c r="F3187" t="s">
        <v>35</v>
      </c>
      <c r="G3187" t="s">
        <v>35</v>
      </c>
      <c r="H3187" t="s">
        <v>35</v>
      </c>
      <c r="J3187" t="s">
        <v>4138</v>
      </c>
      <c r="K3187" t="s">
        <v>1092</v>
      </c>
      <c r="M3187">
        <v>0.2</v>
      </c>
      <c r="N3187">
        <v>491</v>
      </c>
      <c r="O3187" t="s">
        <v>294</v>
      </c>
      <c r="Q3187" t="s">
        <v>2487</v>
      </c>
      <c r="R3187" t="s">
        <v>4139</v>
      </c>
      <c r="S3187" t="s">
        <v>544</v>
      </c>
      <c r="T3187" t="s">
        <v>545</v>
      </c>
    </row>
    <row r="3188" spans="1:20" x14ac:dyDescent="0.25">
      <c r="A3188" t="s">
        <v>44</v>
      </c>
      <c r="B3188" t="s">
        <v>3</v>
      </c>
      <c r="C3188" t="s">
        <v>32</v>
      </c>
      <c r="D3188" t="s">
        <v>522</v>
      </c>
      <c r="E3188" t="s">
        <v>561</v>
      </c>
      <c r="F3188" t="s">
        <v>35</v>
      </c>
      <c r="G3188" t="s">
        <v>35</v>
      </c>
      <c r="H3188" t="s">
        <v>35</v>
      </c>
      <c r="J3188" t="s">
        <v>4296</v>
      </c>
      <c r="K3188" t="s">
        <v>1092</v>
      </c>
      <c r="M3188">
        <v>0.5</v>
      </c>
      <c r="N3188">
        <v>483</v>
      </c>
      <c r="O3188" t="s">
        <v>294</v>
      </c>
      <c r="Q3188" t="s">
        <v>1582</v>
      </c>
      <c r="R3188" t="s">
        <v>4139</v>
      </c>
      <c r="S3188" t="s">
        <v>544</v>
      </c>
      <c r="T3188" t="s">
        <v>545</v>
      </c>
    </row>
    <row r="3189" spans="1:20" x14ac:dyDescent="0.25">
      <c r="A3189" t="s">
        <v>44</v>
      </c>
      <c r="B3189" t="s">
        <v>51</v>
      </c>
      <c r="C3189" t="s">
        <v>32</v>
      </c>
      <c r="D3189" t="s">
        <v>522</v>
      </c>
      <c r="E3189" t="s">
        <v>561</v>
      </c>
      <c r="F3189" t="s">
        <v>35</v>
      </c>
      <c r="G3189" t="s">
        <v>35</v>
      </c>
      <c r="H3189" t="s">
        <v>35</v>
      </c>
      <c r="J3189" t="s">
        <v>4270</v>
      </c>
      <c r="K3189" t="s">
        <v>1092</v>
      </c>
      <c r="M3189">
        <v>0.35</v>
      </c>
      <c r="N3189">
        <v>491</v>
      </c>
      <c r="O3189" t="s">
        <v>294</v>
      </c>
      <c r="Q3189" t="s">
        <v>2487</v>
      </c>
      <c r="R3189" t="s">
        <v>4139</v>
      </c>
      <c r="S3189" t="s">
        <v>544</v>
      </c>
      <c r="T3189" t="s">
        <v>545</v>
      </c>
    </row>
    <row r="3190" spans="1:20" x14ac:dyDescent="0.25">
      <c r="A3190" t="s">
        <v>30</v>
      </c>
      <c r="B3190" t="s">
        <v>31</v>
      </c>
      <c r="C3190" t="s">
        <v>32</v>
      </c>
      <c r="D3190" t="s">
        <v>522</v>
      </c>
      <c r="E3190" t="s">
        <v>543</v>
      </c>
      <c r="F3190" t="s">
        <v>35</v>
      </c>
      <c r="G3190" t="s">
        <v>35</v>
      </c>
      <c r="H3190" t="s">
        <v>35</v>
      </c>
      <c r="J3190" t="s">
        <v>4151</v>
      </c>
      <c r="K3190" t="s">
        <v>1092</v>
      </c>
      <c r="M3190">
        <v>2.25</v>
      </c>
      <c r="N3190">
        <v>1206</v>
      </c>
      <c r="O3190" t="s">
        <v>575</v>
      </c>
      <c r="Q3190" t="s">
        <v>4152</v>
      </c>
      <c r="R3190" t="s">
        <v>4139</v>
      </c>
      <c r="S3190" t="s">
        <v>544</v>
      </c>
      <c r="T3190" t="s">
        <v>545</v>
      </c>
    </row>
    <row r="3191" spans="1:20" x14ac:dyDescent="0.25">
      <c r="A3191" t="s">
        <v>59</v>
      </c>
      <c r="B3191" t="s">
        <v>60</v>
      </c>
      <c r="C3191" t="s">
        <v>32</v>
      </c>
      <c r="D3191" t="s">
        <v>522</v>
      </c>
      <c r="E3191" t="s">
        <v>561</v>
      </c>
      <c r="F3191" t="s">
        <v>35</v>
      </c>
      <c r="G3191" t="s">
        <v>35</v>
      </c>
      <c r="H3191" t="s">
        <v>35</v>
      </c>
      <c r="J3191" t="s">
        <v>4286</v>
      </c>
      <c r="K3191" t="s">
        <v>1092</v>
      </c>
      <c r="M3191">
        <v>0.5</v>
      </c>
      <c r="N3191">
        <v>34</v>
      </c>
      <c r="O3191" t="s">
        <v>52</v>
      </c>
      <c r="Q3191" t="s">
        <v>249</v>
      </c>
      <c r="R3191" t="s">
        <v>4139</v>
      </c>
      <c r="S3191" t="s">
        <v>544</v>
      </c>
      <c r="T3191" t="s">
        <v>545</v>
      </c>
    </row>
    <row r="3192" spans="1:20" x14ac:dyDescent="0.25">
      <c r="A3192" t="s">
        <v>44</v>
      </c>
      <c r="B3192" t="s">
        <v>51</v>
      </c>
      <c r="C3192" t="s">
        <v>32</v>
      </c>
      <c r="D3192" t="s">
        <v>522</v>
      </c>
      <c r="E3192" t="s">
        <v>561</v>
      </c>
      <c r="F3192" t="s">
        <v>35</v>
      </c>
      <c r="G3192" t="s">
        <v>35</v>
      </c>
      <c r="H3192" t="s">
        <v>35</v>
      </c>
      <c r="J3192" t="s">
        <v>4271</v>
      </c>
      <c r="K3192" t="s">
        <v>1092</v>
      </c>
      <c r="M3192">
        <v>0.5</v>
      </c>
      <c r="N3192">
        <v>874</v>
      </c>
      <c r="O3192" t="s">
        <v>575</v>
      </c>
      <c r="Q3192" t="s">
        <v>4272</v>
      </c>
      <c r="R3192" t="s">
        <v>4139</v>
      </c>
      <c r="S3192" t="s">
        <v>544</v>
      </c>
      <c r="T3192" t="s">
        <v>545</v>
      </c>
    </row>
    <row r="3193" spans="1:20" x14ac:dyDescent="0.25">
      <c r="A3193" t="s">
        <v>59</v>
      </c>
      <c r="B3193" t="s">
        <v>31</v>
      </c>
      <c r="C3193" t="s">
        <v>32</v>
      </c>
      <c r="D3193" t="s">
        <v>522</v>
      </c>
      <c r="E3193" t="s">
        <v>561</v>
      </c>
      <c r="F3193" t="s">
        <v>35</v>
      </c>
      <c r="G3193" t="s">
        <v>35</v>
      </c>
      <c r="H3193" t="s">
        <v>35</v>
      </c>
      <c r="J3193" t="s">
        <v>4271</v>
      </c>
      <c r="K3193" t="s">
        <v>1092</v>
      </c>
      <c r="M3193">
        <v>0.04</v>
      </c>
      <c r="N3193">
        <v>1432</v>
      </c>
      <c r="O3193" t="s">
        <v>575</v>
      </c>
      <c r="Q3193" t="s">
        <v>4273</v>
      </c>
      <c r="R3193" t="s">
        <v>4139</v>
      </c>
      <c r="S3193" t="s">
        <v>544</v>
      </c>
      <c r="T3193" t="s">
        <v>545</v>
      </c>
    </row>
    <row r="3194" spans="1:20" x14ac:dyDescent="0.25">
      <c r="A3194" t="s">
        <v>44</v>
      </c>
      <c r="B3194" t="s">
        <v>3</v>
      </c>
      <c r="C3194" t="s">
        <v>32</v>
      </c>
      <c r="D3194" t="s">
        <v>522</v>
      </c>
      <c r="E3194" t="s">
        <v>561</v>
      </c>
      <c r="F3194" t="s">
        <v>35</v>
      </c>
      <c r="G3194" t="s">
        <v>35</v>
      </c>
      <c r="H3194" t="s">
        <v>35</v>
      </c>
      <c r="J3194" t="s">
        <v>4294</v>
      </c>
      <c r="K3194" t="s">
        <v>1092</v>
      </c>
      <c r="M3194">
        <v>0.1</v>
      </c>
      <c r="N3194">
        <v>395</v>
      </c>
      <c r="O3194" t="s">
        <v>294</v>
      </c>
      <c r="Q3194" t="s">
        <v>1369</v>
      </c>
      <c r="R3194" t="s">
        <v>4139</v>
      </c>
      <c r="S3194" t="s">
        <v>544</v>
      </c>
      <c r="T3194" t="s">
        <v>545</v>
      </c>
    </row>
    <row r="3195" spans="1:20" x14ac:dyDescent="0.25">
      <c r="A3195" t="s">
        <v>44</v>
      </c>
      <c r="B3195" t="s">
        <v>51</v>
      </c>
      <c r="C3195" t="s">
        <v>32</v>
      </c>
      <c r="D3195" t="s">
        <v>522</v>
      </c>
      <c r="E3195" t="s">
        <v>561</v>
      </c>
      <c r="F3195" t="s">
        <v>35</v>
      </c>
      <c r="G3195" t="s">
        <v>35</v>
      </c>
      <c r="H3195" t="s">
        <v>35</v>
      </c>
      <c r="J3195" t="s">
        <v>4282</v>
      </c>
      <c r="K3195" t="s">
        <v>1092</v>
      </c>
      <c r="M3195">
        <v>0.91</v>
      </c>
      <c r="N3195">
        <v>851</v>
      </c>
      <c r="O3195" t="s">
        <v>575</v>
      </c>
      <c r="Q3195" t="s">
        <v>4266</v>
      </c>
      <c r="R3195" t="s">
        <v>4139</v>
      </c>
      <c r="S3195" t="s">
        <v>544</v>
      </c>
      <c r="T3195" t="s">
        <v>545</v>
      </c>
    </row>
    <row r="3196" spans="1:20" x14ac:dyDescent="0.25">
      <c r="A3196" t="s">
        <v>59</v>
      </c>
      <c r="B3196" t="s">
        <v>60</v>
      </c>
      <c r="C3196" t="s">
        <v>32</v>
      </c>
      <c r="D3196" t="s">
        <v>522</v>
      </c>
      <c r="F3196" t="s">
        <v>35</v>
      </c>
      <c r="G3196" t="s">
        <v>35</v>
      </c>
      <c r="H3196" t="s">
        <v>35</v>
      </c>
      <c r="J3196" t="s">
        <v>4440</v>
      </c>
      <c r="K3196" t="s">
        <v>1092</v>
      </c>
      <c r="M3196">
        <v>0.5</v>
      </c>
      <c r="N3196">
        <v>20</v>
      </c>
      <c r="O3196" t="s">
        <v>46</v>
      </c>
      <c r="Q3196" t="s">
        <v>1011</v>
      </c>
      <c r="R3196" t="s">
        <v>4139</v>
      </c>
      <c r="S3196" t="s">
        <v>544</v>
      </c>
      <c r="T3196" t="s">
        <v>545</v>
      </c>
    </row>
    <row r="3197" spans="1:20" x14ac:dyDescent="0.25">
      <c r="A3197" t="s">
        <v>30</v>
      </c>
      <c r="B3197" t="s">
        <v>31</v>
      </c>
      <c r="C3197" t="s">
        <v>32</v>
      </c>
      <c r="D3197" t="s">
        <v>522</v>
      </c>
      <c r="E3197" t="s">
        <v>561</v>
      </c>
      <c r="F3197" t="s">
        <v>35</v>
      </c>
      <c r="G3197" t="s">
        <v>35</v>
      </c>
      <c r="H3197" t="s">
        <v>35</v>
      </c>
      <c r="J3197" t="s">
        <v>4287</v>
      </c>
      <c r="K3197" t="s">
        <v>1092</v>
      </c>
      <c r="M3197">
        <v>0.02</v>
      </c>
      <c r="N3197">
        <v>1525</v>
      </c>
      <c r="O3197" t="s">
        <v>575</v>
      </c>
      <c r="Q3197" t="s">
        <v>4288</v>
      </c>
      <c r="R3197" t="s">
        <v>4139</v>
      </c>
      <c r="S3197" t="s">
        <v>544</v>
      </c>
      <c r="T3197" t="s">
        <v>545</v>
      </c>
    </row>
    <row r="3198" spans="1:20" x14ac:dyDescent="0.25">
      <c r="A3198" t="s">
        <v>44</v>
      </c>
      <c r="B3198" t="s">
        <v>3</v>
      </c>
      <c r="C3198" t="s">
        <v>32</v>
      </c>
      <c r="D3198" t="s">
        <v>522</v>
      </c>
      <c r="E3198" t="s">
        <v>561</v>
      </c>
      <c r="F3198" t="s">
        <v>35</v>
      </c>
      <c r="G3198" t="s">
        <v>35</v>
      </c>
      <c r="H3198" t="s">
        <v>35</v>
      </c>
      <c r="J3198" t="s">
        <v>4256</v>
      </c>
      <c r="K3198" t="s">
        <v>1092</v>
      </c>
      <c r="M3198">
        <v>0.05</v>
      </c>
      <c r="N3198">
        <v>398</v>
      </c>
      <c r="O3198" t="s">
        <v>294</v>
      </c>
      <c r="Q3198" t="s">
        <v>4257</v>
      </c>
      <c r="R3198" t="s">
        <v>4139</v>
      </c>
      <c r="S3198" t="s">
        <v>544</v>
      </c>
      <c r="T3198" t="s">
        <v>545</v>
      </c>
    </row>
    <row r="3199" spans="1:20" x14ac:dyDescent="0.25">
      <c r="A3199" t="s">
        <v>59</v>
      </c>
      <c r="B3199" t="s">
        <v>60</v>
      </c>
      <c r="C3199" t="s">
        <v>32</v>
      </c>
      <c r="D3199" t="s">
        <v>522</v>
      </c>
      <c r="F3199" t="s">
        <v>35</v>
      </c>
      <c r="G3199" t="s">
        <v>35</v>
      </c>
      <c r="H3199" t="s">
        <v>35</v>
      </c>
      <c r="J3199" t="s">
        <v>4439</v>
      </c>
      <c r="K3199" t="s">
        <v>1092</v>
      </c>
      <c r="M3199">
        <v>0.4</v>
      </c>
      <c r="N3199">
        <v>20</v>
      </c>
      <c r="O3199" t="s">
        <v>46</v>
      </c>
      <c r="Q3199" t="s">
        <v>1011</v>
      </c>
      <c r="R3199" t="s">
        <v>4139</v>
      </c>
      <c r="S3199" t="s">
        <v>544</v>
      </c>
      <c r="T3199" t="s">
        <v>545</v>
      </c>
    </row>
    <row r="3200" spans="1:20" x14ac:dyDescent="0.25">
      <c r="A3200" t="s">
        <v>44</v>
      </c>
      <c r="B3200" t="s">
        <v>3</v>
      </c>
      <c r="C3200" t="s">
        <v>32</v>
      </c>
      <c r="D3200" t="s">
        <v>522</v>
      </c>
      <c r="E3200" t="s">
        <v>561</v>
      </c>
      <c r="F3200" t="s">
        <v>35</v>
      </c>
      <c r="G3200" t="s">
        <v>35</v>
      </c>
      <c r="H3200" t="s">
        <v>35</v>
      </c>
      <c r="J3200" t="s">
        <v>4261</v>
      </c>
      <c r="K3200" t="s">
        <v>1092</v>
      </c>
      <c r="M3200">
        <v>1.25</v>
      </c>
      <c r="N3200">
        <v>239</v>
      </c>
      <c r="O3200" t="s">
        <v>5</v>
      </c>
      <c r="Q3200" t="s">
        <v>1903</v>
      </c>
      <c r="R3200" t="s">
        <v>4125</v>
      </c>
      <c r="S3200" t="s">
        <v>562</v>
      </c>
      <c r="T3200" t="s">
        <v>563</v>
      </c>
    </row>
    <row r="3201" spans="1:20" x14ac:dyDescent="0.25">
      <c r="A3201" t="s">
        <v>44</v>
      </c>
      <c r="B3201" t="s">
        <v>3</v>
      </c>
      <c r="C3201" t="s">
        <v>32</v>
      </c>
      <c r="D3201" t="s">
        <v>522</v>
      </c>
      <c r="E3201" t="s">
        <v>543</v>
      </c>
      <c r="F3201" t="s">
        <v>35</v>
      </c>
      <c r="G3201" t="s">
        <v>35</v>
      </c>
      <c r="H3201" t="s">
        <v>35</v>
      </c>
      <c r="J3201" t="s">
        <v>4124</v>
      </c>
      <c r="K3201" t="s">
        <v>1092</v>
      </c>
      <c r="M3201">
        <v>0.85</v>
      </c>
      <c r="N3201">
        <v>221</v>
      </c>
      <c r="O3201" t="s">
        <v>5</v>
      </c>
      <c r="Q3201" t="s">
        <v>1979</v>
      </c>
      <c r="R3201" t="s">
        <v>4125</v>
      </c>
      <c r="S3201" t="s">
        <v>562</v>
      </c>
      <c r="T3201" t="s">
        <v>563</v>
      </c>
    </row>
    <row r="3202" spans="1:20" x14ac:dyDescent="0.25">
      <c r="A3202" t="s">
        <v>59</v>
      </c>
      <c r="B3202" t="s">
        <v>60</v>
      </c>
      <c r="C3202" t="s">
        <v>32</v>
      </c>
      <c r="D3202" t="s">
        <v>522</v>
      </c>
      <c r="E3202" t="s">
        <v>561</v>
      </c>
      <c r="F3202" t="s">
        <v>35</v>
      </c>
      <c r="G3202" t="s">
        <v>35</v>
      </c>
      <c r="H3202" t="s">
        <v>35</v>
      </c>
      <c r="J3202" t="s">
        <v>4259</v>
      </c>
      <c r="K3202" t="s">
        <v>1092</v>
      </c>
      <c r="M3202">
        <v>2</v>
      </c>
      <c r="N3202">
        <v>62</v>
      </c>
      <c r="O3202" t="s">
        <v>61</v>
      </c>
      <c r="Q3202" t="s">
        <v>139</v>
      </c>
      <c r="R3202" t="s">
        <v>4125</v>
      </c>
      <c r="S3202" t="s">
        <v>562</v>
      </c>
      <c r="T3202" t="s">
        <v>563</v>
      </c>
    </row>
    <row r="3203" spans="1:20" x14ac:dyDescent="0.25">
      <c r="A3203" t="s">
        <v>44</v>
      </c>
      <c r="B3203" t="s">
        <v>3</v>
      </c>
      <c r="C3203" t="s">
        <v>32</v>
      </c>
      <c r="D3203" t="s">
        <v>522</v>
      </c>
      <c r="E3203" t="s">
        <v>561</v>
      </c>
      <c r="F3203" t="s">
        <v>35</v>
      </c>
      <c r="G3203" t="s">
        <v>35</v>
      </c>
      <c r="H3203" t="s">
        <v>35</v>
      </c>
      <c r="J3203" t="s">
        <v>4305</v>
      </c>
      <c r="K3203" t="s">
        <v>1092</v>
      </c>
      <c r="M3203">
        <v>0.75</v>
      </c>
      <c r="N3203">
        <v>221</v>
      </c>
      <c r="O3203" t="s">
        <v>5</v>
      </c>
      <c r="Q3203" t="s">
        <v>1979</v>
      </c>
      <c r="R3203" t="s">
        <v>4125</v>
      </c>
      <c r="S3203" t="s">
        <v>562</v>
      </c>
      <c r="T3203" t="s">
        <v>563</v>
      </c>
    </row>
    <row r="3204" spans="1:20" x14ac:dyDescent="0.25">
      <c r="A3204" t="s">
        <v>59</v>
      </c>
      <c r="B3204" t="s">
        <v>60</v>
      </c>
      <c r="C3204" t="s">
        <v>32</v>
      </c>
      <c r="D3204" t="s">
        <v>522</v>
      </c>
      <c r="E3204" t="s">
        <v>561</v>
      </c>
      <c r="F3204" t="s">
        <v>35</v>
      </c>
      <c r="G3204" t="s">
        <v>35</v>
      </c>
      <c r="H3204" t="s">
        <v>35</v>
      </c>
      <c r="J3204" t="s">
        <v>4296</v>
      </c>
      <c r="K3204" t="s">
        <v>1092</v>
      </c>
      <c r="M3204">
        <v>1</v>
      </c>
      <c r="N3204">
        <v>1251</v>
      </c>
      <c r="O3204" t="s">
        <v>575</v>
      </c>
      <c r="Q3204" t="s">
        <v>2512</v>
      </c>
      <c r="R3204" t="s">
        <v>4125</v>
      </c>
      <c r="S3204" t="s">
        <v>562</v>
      </c>
      <c r="T3204" t="s">
        <v>563</v>
      </c>
    </row>
    <row r="3205" spans="1:20" x14ac:dyDescent="0.25">
      <c r="A3205" t="s">
        <v>44</v>
      </c>
      <c r="B3205" t="s">
        <v>51</v>
      </c>
      <c r="C3205" t="s">
        <v>32</v>
      </c>
      <c r="D3205" t="s">
        <v>522</v>
      </c>
      <c r="E3205" t="s">
        <v>561</v>
      </c>
      <c r="F3205" t="s">
        <v>35</v>
      </c>
      <c r="G3205" t="s">
        <v>35</v>
      </c>
      <c r="H3205" t="s">
        <v>35</v>
      </c>
      <c r="J3205" t="s">
        <v>4296</v>
      </c>
      <c r="K3205" t="s">
        <v>1092</v>
      </c>
      <c r="M3205">
        <v>1.2</v>
      </c>
      <c r="N3205">
        <v>502</v>
      </c>
      <c r="O3205" t="s">
        <v>294</v>
      </c>
      <c r="Q3205" t="s">
        <v>296</v>
      </c>
      <c r="R3205" t="s">
        <v>4125</v>
      </c>
      <c r="S3205" t="s">
        <v>562</v>
      </c>
      <c r="T3205" t="s">
        <v>563</v>
      </c>
    </row>
    <row r="3206" spans="1:20" x14ac:dyDescent="0.25">
      <c r="A3206" t="s">
        <v>59</v>
      </c>
      <c r="B3206" t="s">
        <v>60</v>
      </c>
      <c r="C3206" t="s">
        <v>32</v>
      </c>
      <c r="D3206" t="s">
        <v>522</v>
      </c>
      <c r="E3206" t="s">
        <v>561</v>
      </c>
      <c r="F3206" t="s">
        <v>35</v>
      </c>
      <c r="G3206" t="s">
        <v>35</v>
      </c>
      <c r="H3206" t="s">
        <v>35</v>
      </c>
      <c r="J3206" t="s">
        <v>4296</v>
      </c>
      <c r="K3206" t="s">
        <v>1092</v>
      </c>
      <c r="M3206">
        <v>0.25</v>
      </c>
      <c r="N3206">
        <v>1605</v>
      </c>
      <c r="O3206" t="s">
        <v>575</v>
      </c>
      <c r="Q3206" t="s">
        <v>4297</v>
      </c>
      <c r="R3206" t="s">
        <v>4125</v>
      </c>
      <c r="S3206" t="s">
        <v>562</v>
      </c>
      <c r="T3206" t="s">
        <v>563</v>
      </c>
    </row>
    <row r="3207" spans="1:20" x14ac:dyDescent="0.25">
      <c r="A3207" t="s">
        <v>59</v>
      </c>
      <c r="B3207" t="s">
        <v>31</v>
      </c>
      <c r="C3207" t="s">
        <v>32</v>
      </c>
      <c r="D3207" t="s">
        <v>522</v>
      </c>
      <c r="E3207" t="s">
        <v>543</v>
      </c>
      <c r="F3207" t="s">
        <v>35</v>
      </c>
      <c r="G3207" t="s">
        <v>35</v>
      </c>
      <c r="H3207" t="s">
        <v>35</v>
      </c>
      <c r="J3207" t="s">
        <v>4151</v>
      </c>
      <c r="K3207" t="s">
        <v>1092</v>
      </c>
      <c r="M3207">
        <v>4.41</v>
      </c>
      <c r="N3207">
        <v>2039</v>
      </c>
      <c r="O3207" t="s">
        <v>575</v>
      </c>
      <c r="Q3207" t="s">
        <v>4153</v>
      </c>
      <c r="R3207" t="s">
        <v>4125</v>
      </c>
      <c r="S3207" t="s">
        <v>562</v>
      </c>
      <c r="T3207" t="s">
        <v>563</v>
      </c>
    </row>
    <row r="3208" spans="1:20" x14ac:dyDescent="0.25">
      <c r="A3208" t="s">
        <v>44</v>
      </c>
      <c r="B3208" t="s">
        <v>51</v>
      </c>
      <c r="C3208" t="s">
        <v>32</v>
      </c>
      <c r="D3208" t="s">
        <v>522</v>
      </c>
      <c r="E3208" t="s">
        <v>561</v>
      </c>
      <c r="F3208" t="s">
        <v>35</v>
      </c>
      <c r="G3208" t="s">
        <v>35</v>
      </c>
      <c r="H3208" t="s">
        <v>35</v>
      </c>
      <c r="J3208" t="s">
        <v>4248</v>
      </c>
      <c r="K3208" t="s">
        <v>1092</v>
      </c>
      <c r="M3208">
        <v>0.25</v>
      </c>
      <c r="N3208">
        <v>499</v>
      </c>
      <c r="O3208" t="s">
        <v>294</v>
      </c>
      <c r="Q3208" t="s">
        <v>2101</v>
      </c>
      <c r="R3208" t="s">
        <v>4125</v>
      </c>
      <c r="S3208" t="s">
        <v>562</v>
      </c>
      <c r="T3208" t="s">
        <v>563</v>
      </c>
    </row>
    <row r="3209" spans="1:20" x14ac:dyDescent="0.25">
      <c r="A3209" t="s">
        <v>59</v>
      </c>
      <c r="B3209" t="s">
        <v>60</v>
      </c>
      <c r="C3209" t="s">
        <v>32</v>
      </c>
      <c r="D3209" t="s">
        <v>522</v>
      </c>
      <c r="E3209" t="s">
        <v>565</v>
      </c>
      <c r="F3209" t="s">
        <v>35</v>
      </c>
      <c r="G3209" t="s">
        <v>35</v>
      </c>
      <c r="H3209" t="s">
        <v>35</v>
      </c>
      <c r="J3209" t="s">
        <v>4311</v>
      </c>
      <c r="K3209" t="s">
        <v>1092</v>
      </c>
      <c r="M3209">
        <v>0.35</v>
      </c>
      <c r="N3209">
        <v>154</v>
      </c>
      <c r="O3209" t="s">
        <v>38</v>
      </c>
      <c r="Q3209" t="s">
        <v>2639</v>
      </c>
      <c r="R3209" t="s">
        <v>559</v>
      </c>
      <c r="S3209" t="s">
        <v>554</v>
      </c>
      <c r="T3209" t="s">
        <v>555</v>
      </c>
    </row>
    <row r="3210" spans="1:20" x14ac:dyDescent="0.25">
      <c r="A3210" t="s">
        <v>44</v>
      </c>
      <c r="B3210" t="s">
        <v>51</v>
      </c>
      <c r="C3210" t="s">
        <v>32</v>
      </c>
      <c r="D3210" t="s">
        <v>522</v>
      </c>
      <c r="E3210" t="s">
        <v>553</v>
      </c>
      <c r="F3210" t="s">
        <v>35</v>
      </c>
      <c r="G3210" t="s">
        <v>35</v>
      </c>
      <c r="H3210" t="s">
        <v>35</v>
      </c>
      <c r="J3210" t="s">
        <v>4179</v>
      </c>
      <c r="K3210" t="s">
        <v>1092</v>
      </c>
      <c r="M3210">
        <v>0.25</v>
      </c>
      <c r="N3210">
        <v>453</v>
      </c>
      <c r="O3210" t="s">
        <v>294</v>
      </c>
      <c r="Q3210" t="s">
        <v>4042</v>
      </c>
      <c r="R3210" t="s">
        <v>559</v>
      </c>
      <c r="S3210" t="s">
        <v>554</v>
      </c>
      <c r="T3210" t="s">
        <v>555</v>
      </c>
    </row>
    <row r="3211" spans="1:20" x14ac:dyDescent="0.25">
      <c r="A3211" t="s">
        <v>30</v>
      </c>
      <c r="B3211" t="s">
        <v>31</v>
      </c>
      <c r="C3211" t="s">
        <v>32</v>
      </c>
      <c r="D3211" t="s">
        <v>522</v>
      </c>
      <c r="E3211" t="s">
        <v>543</v>
      </c>
      <c r="F3211" t="s">
        <v>35</v>
      </c>
      <c r="G3211" t="s">
        <v>35</v>
      </c>
      <c r="H3211" t="s">
        <v>35</v>
      </c>
      <c r="J3211" t="s">
        <v>4126</v>
      </c>
      <c r="K3211" t="s">
        <v>1092</v>
      </c>
      <c r="M3211">
        <v>0.3</v>
      </c>
      <c r="N3211">
        <v>1276</v>
      </c>
      <c r="O3211" t="s">
        <v>575</v>
      </c>
      <c r="Q3211" t="s">
        <v>4127</v>
      </c>
      <c r="R3211" t="s">
        <v>559</v>
      </c>
      <c r="S3211" t="s">
        <v>554</v>
      </c>
      <c r="T3211" t="s">
        <v>555</v>
      </c>
    </row>
    <row r="3212" spans="1:20" x14ac:dyDescent="0.25">
      <c r="A3212" t="s">
        <v>59</v>
      </c>
      <c r="B3212" t="s">
        <v>60</v>
      </c>
      <c r="C3212" t="s">
        <v>32</v>
      </c>
      <c r="D3212" t="s">
        <v>522</v>
      </c>
      <c r="E3212" t="s">
        <v>4207</v>
      </c>
      <c r="F3212" t="s">
        <v>35</v>
      </c>
      <c r="G3212" t="s">
        <v>35</v>
      </c>
      <c r="H3212" t="s">
        <v>35</v>
      </c>
      <c r="J3212" t="s">
        <v>4230</v>
      </c>
      <c r="K3212" t="s">
        <v>1092</v>
      </c>
      <c r="M3212">
        <v>3.95</v>
      </c>
      <c r="N3212">
        <v>156</v>
      </c>
      <c r="O3212" t="s">
        <v>38</v>
      </c>
      <c r="Q3212" t="s">
        <v>1632</v>
      </c>
      <c r="R3212" t="s">
        <v>559</v>
      </c>
      <c r="S3212" t="s">
        <v>554</v>
      </c>
      <c r="T3212" t="s">
        <v>555</v>
      </c>
    </row>
    <row r="3213" spans="1:20" x14ac:dyDescent="0.25">
      <c r="A3213" t="s">
        <v>59</v>
      </c>
      <c r="B3213" t="s">
        <v>60</v>
      </c>
      <c r="C3213" t="s">
        <v>32</v>
      </c>
      <c r="D3213" t="s">
        <v>522</v>
      </c>
      <c r="E3213" t="s">
        <v>553</v>
      </c>
      <c r="F3213" t="s">
        <v>35</v>
      </c>
      <c r="G3213" t="s">
        <v>35</v>
      </c>
      <c r="H3213" t="s">
        <v>35</v>
      </c>
      <c r="J3213" t="s">
        <v>100</v>
      </c>
      <c r="K3213" t="s">
        <v>37</v>
      </c>
      <c r="M3213">
        <v>20</v>
      </c>
      <c r="N3213">
        <v>128</v>
      </c>
      <c r="O3213" t="s">
        <v>38</v>
      </c>
      <c r="P3213" t="s">
        <v>558</v>
      </c>
      <c r="Q3213" t="s">
        <v>98</v>
      </c>
      <c r="R3213" t="s">
        <v>559</v>
      </c>
      <c r="S3213" t="s">
        <v>554</v>
      </c>
      <c r="T3213" t="s">
        <v>555</v>
      </c>
    </row>
    <row r="3214" spans="1:20" x14ac:dyDescent="0.25">
      <c r="A3214" t="s">
        <v>59</v>
      </c>
      <c r="B3214" t="s">
        <v>60</v>
      </c>
      <c r="C3214" t="s">
        <v>32</v>
      </c>
      <c r="D3214" t="s">
        <v>522</v>
      </c>
      <c r="E3214" t="s">
        <v>553</v>
      </c>
      <c r="F3214" t="s">
        <v>35</v>
      </c>
      <c r="G3214" t="s">
        <v>35</v>
      </c>
      <c r="H3214" t="s">
        <v>35</v>
      </c>
      <c r="J3214" t="s">
        <v>100</v>
      </c>
      <c r="K3214" t="s">
        <v>37</v>
      </c>
      <c r="M3214">
        <v>15</v>
      </c>
      <c r="N3214">
        <v>128</v>
      </c>
      <c r="O3214" t="s">
        <v>38</v>
      </c>
      <c r="P3214" t="s">
        <v>560</v>
      </c>
      <c r="Q3214" t="s">
        <v>98</v>
      </c>
      <c r="R3214" t="s">
        <v>559</v>
      </c>
      <c r="S3214" t="s">
        <v>554</v>
      </c>
      <c r="T3214" t="s">
        <v>555</v>
      </c>
    </row>
    <row r="3215" spans="1:20" x14ac:dyDescent="0.25">
      <c r="A3215" t="s">
        <v>59</v>
      </c>
      <c r="B3215" t="s">
        <v>60</v>
      </c>
      <c r="C3215" t="s">
        <v>32</v>
      </c>
      <c r="D3215" t="s">
        <v>522</v>
      </c>
      <c r="E3215" t="s">
        <v>553</v>
      </c>
      <c r="F3215" t="s">
        <v>35</v>
      </c>
      <c r="G3215" t="s">
        <v>35</v>
      </c>
      <c r="H3215" t="s">
        <v>35</v>
      </c>
      <c r="J3215" t="s">
        <v>4170</v>
      </c>
      <c r="K3215" t="s">
        <v>1092</v>
      </c>
      <c r="M3215">
        <v>0.15</v>
      </c>
      <c r="N3215">
        <v>360</v>
      </c>
      <c r="O3215" t="s">
        <v>5</v>
      </c>
      <c r="Q3215" t="s">
        <v>3978</v>
      </c>
      <c r="R3215" t="s">
        <v>559</v>
      </c>
      <c r="S3215" t="s">
        <v>554</v>
      </c>
      <c r="T3215" t="s">
        <v>555</v>
      </c>
    </row>
    <row r="3216" spans="1:20" x14ac:dyDescent="0.25">
      <c r="A3216" t="s">
        <v>59</v>
      </c>
      <c r="B3216" t="s">
        <v>31</v>
      </c>
      <c r="C3216" t="s">
        <v>32</v>
      </c>
      <c r="D3216" t="s">
        <v>522</v>
      </c>
      <c r="E3216" t="s">
        <v>553</v>
      </c>
      <c r="F3216" t="s">
        <v>35</v>
      </c>
      <c r="G3216" t="s">
        <v>35</v>
      </c>
      <c r="H3216" t="s">
        <v>35</v>
      </c>
      <c r="J3216" t="s">
        <v>4170</v>
      </c>
      <c r="K3216" t="s">
        <v>1092</v>
      </c>
      <c r="M3216">
        <v>0.18</v>
      </c>
      <c r="N3216">
        <v>360</v>
      </c>
      <c r="O3216" t="s">
        <v>5</v>
      </c>
      <c r="Q3216" t="s">
        <v>3978</v>
      </c>
      <c r="R3216" t="s">
        <v>559</v>
      </c>
      <c r="S3216" t="s">
        <v>554</v>
      </c>
      <c r="T3216" t="s">
        <v>555</v>
      </c>
    </row>
    <row r="3217" spans="1:20" x14ac:dyDescent="0.25">
      <c r="A3217" t="s">
        <v>30</v>
      </c>
      <c r="B3217" t="s">
        <v>31</v>
      </c>
      <c r="C3217" t="s">
        <v>32</v>
      </c>
      <c r="D3217" t="s">
        <v>522</v>
      </c>
      <c r="F3217" t="s">
        <v>35</v>
      </c>
      <c r="G3217" t="s">
        <v>35</v>
      </c>
      <c r="H3217" t="s">
        <v>35</v>
      </c>
      <c r="J3217" t="s">
        <v>4436</v>
      </c>
      <c r="K3217" t="s">
        <v>1092</v>
      </c>
      <c r="M3217">
        <v>0.05</v>
      </c>
      <c r="N3217">
        <v>1500</v>
      </c>
      <c r="O3217" t="s">
        <v>575</v>
      </c>
      <c r="Q3217" t="s">
        <v>4437</v>
      </c>
      <c r="R3217" t="s">
        <v>559</v>
      </c>
      <c r="S3217" t="s">
        <v>554</v>
      </c>
      <c r="T3217" t="s">
        <v>555</v>
      </c>
    </row>
    <row r="3218" spans="1:20" x14ac:dyDescent="0.25">
      <c r="A3218" t="s">
        <v>59</v>
      </c>
      <c r="B3218" t="s">
        <v>60</v>
      </c>
      <c r="C3218" t="s">
        <v>32</v>
      </c>
      <c r="D3218" t="s">
        <v>522</v>
      </c>
      <c r="F3218" t="s">
        <v>35</v>
      </c>
      <c r="G3218" t="s">
        <v>35</v>
      </c>
      <c r="H3218" t="s">
        <v>35</v>
      </c>
      <c r="J3218" t="s">
        <v>4423</v>
      </c>
      <c r="K3218" t="s">
        <v>1092</v>
      </c>
      <c r="M3218">
        <v>0.5</v>
      </c>
      <c r="N3218">
        <v>340</v>
      </c>
      <c r="O3218" t="s">
        <v>5</v>
      </c>
      <c r="Q3218" t="s">
        <v>4424</v>
      </c>
      <c r="R3218" t="s">
        <v>559</v>
      </c>
      <c r="S3218" t="s">
        <v>554</v>
      </c>
      <c r="T3218" t="s">
        <v>555</v>
      </c>
    </row>
    <row r="3219" spans="1:20" x14ac:dyDescent="0.25">
      <c r="A3219" t="s">
        <v>30</v>
      </c>
      <c r="B3219" t="s">
        <v>31</v>
      </c>
      <c r="C3219" t="s">
        <v>32</v>
      </c>
      <c r="D3219" t="s">
        <v>522</v>
      </c>
      <c r="E3219" t="s">
        <v>565</v>
      </c>
      <c r="F3219" t="s">
        <v>35</v>
      </c>
      <c r="G3219" t="s">
        <v>35</v>
      </c>
      <c r="H3219" t="s">
        <v>35</v>
      </c>
      <c r="J3219" t="s">
        <v>4346</v>
      </c>
      <c r="K3219" t="s">
        <v>1092</v>
      </c>
      <c r="M3219">
        <v>0.03</v>
      </c>
      <c r="N3219">
        <v>1859</v>
      </c>
      <c r="O3219" t="s">
        <v>575</v>
      </c>
      <c r="Q3219" t="s">
        <v>4347</v>
      </c>
      <c r="R3219" t="s">
        <v>559</v>
      </c>
      <c r="S3219" t="s">
        <v>554</v>
      </c>
      <c r="T3219" t="s">
        <v>555</v>
      </c>
    </row>
    <row r="3220" spans="1:20" x14ac:dyDescent="0.25">
      <c r="A3220" t="s">
        <v>44</v>
      </c>
      <c r="B3220" t="s">
        <v>3</v>
      </c>
      <c r="C3220" t="s">
        <v>32</v>
      </c>
      <c r="D3220" t="s">
        <v>522</v>
      </c>
      <c r="E3220" t="s">
        <v>543</v>
      </c>
      <c r="F3220" t="s">
        <v>35</v>
      </c>
      <c r="G3220" t="s">
        <v>35</v>
      </c>
      <c r="H3220" t="s">
        <v>35</v>
      </c>
      <c r="J3220" t="s">
        <v>4113</v>
      </c>
      <c r="K3220" t="s">
        <v>1092</v>
      </c>
      <c r="M3220">
        <v>2.5499999999999998</v>
      </c>
      <c r="N3220">
        <v>448</v>
      </c>
      <c r="O3220" t="s">
        <v>294</v>
      </c>
      <c r="Q3220" t="s">
        <v>1760</v>
      </c>
      <c r="R3220" t="s">
        <v>559</v>
      </c>
      <c r="S3220" t="s">
        <v>554</v>
      </c>
      <c r="T3220" t="s">
        <v>555</v>
      </c>
    </row>
    <row r="3221" spans="1:20" x14ac:dyDescent="0.25">
      <c r="A3221" t="s">
        <v>30</v>
      </c>
      <c r="B3221" t="s">
        <v>31</v>
      </c>
      <c r="C3221" t="s">
        <v>32</v>
      </c>
      <c r="D3221" t="s">
        <v>522</v>
      </c>
      <c r="E3221" t="s">
        <v>543</v>
      </c>
      <c r="F3221" t="s">
        <v>35</v>
      </c>
      <c r="G3221" t="s">
        <v>35</v>
      </c>
      <c r="H3221" t="s">
        <v>35</v>
      </c>
      <c r="J3221" t="s">
        <v>4113</v>
      </c>
      <c r="K3221" t="s">
        <v>1092</v>
      </c>
      <c r="M3221">
        <v>6.6150000000000002</v>
      </c>
      <c r="N3221">
        <v>424</v>
      </c>
      <c r="O3221" t="s">
        <v>294</v>
      </c>
      <c r="Q3221" t="s">
        <v>3381</v>
      </c>
      <c r="R3221" t="s">
        <v>559</v>
      </c>
      <c r="S3221" t="s">
        <v>554</v>
      </c>
      <c r="T3221" t="s">
        <v>555</v>
      </c>
    </row>
    <row r="3222" spans="1:20" x14ac:dyDescent="0.25">
      <c r="A3222" t="s">
        <v>30</v>
      </c>
      <c r="B3222" t="s">
        <v>31</v>
      </c>
      <c r="C3222" t="s">
        <v>32</v>
      </c>
      <c r="D3222" t="s">
        <v>522</v>
      </c>
      <c r="E3222" t="s">
        <v>561</v>
      </c>
      <c r="F3222" t="s">
        <v>35</v>
      </c>
      <c r="G3222" t="s">
        <v>35</v>
      </c>
      <c r="H3222" t="s">
        <v>35</v>
      </c>
      <c r="J3222" t="s">
        <v>4280</v>
      </c>
      <c r="K3222" t="s">
        <v>1092</v>
      </c>
      <c r="M3222">
        <v>3.5000000000000003E-2</v>
      </c>
      <c r="N3222">
        <v>1953</v>
      </c>
      <c r="O3222" t="s">
        <v>575</v>
      </c>
      <c r="Q3222" t="s">
        <v>4281</v>
      </c>
      <c r="R3222" t="s">
        <v>559</v>
      </c>
      <c r="S3222" t="s">
        <v>554</v>
      </c>
      <c r="T3222" t="s">
        <v>555</v>
      </c>
    </row>
    <row r="3223" spans="1:20" x14ac:dyDescent="0.25">
      <c r="A3223" t="s">
        <v>44</v>
      </c>
      <c r="B3223" t="s">
        <v>51</v>
      </c>
      <c r="C3223" t="s">
        <v>32</v>
      </c>
      <c r="D3223" t="s">
        <v>522</v>
      </c>
      <c r="E3223" t="s">
        <v>553</v>
      </c>
      <c r="F3223" t="s">
        <v>35</v>
      </c>
      <c r="G3223" t="s">
        <v>35</v>
      </c>
      <c r="H3223" t="s">
        <v>35</v>
      </c>
      <c r="J3223" t="s">
        <v>4178</v>
      </c>
      <c r="K3223" t="s">
        <v>1092</v>
      </c>
      <c r="M3223">
        <v>0.14000000000000001</v>
      </c>
      <c r="N3223">
        <v>502</v>
      </c>
      <c r="O3223" t="s">
        <v>294</v>
      </c>
      <c r="Q3223" t="s">
        <v>296</v>
      </c>
      <c r="R3223" t="s">
        <v>559</v>
      </c>
      <c r="S3223" t="s">
        <v>554</v>
      </c>
      <c r="T3223" t="s">
        <v>555</v>
      </c>
    </row>
    <row r="3224" spans="1:20" x14ac:dyDescent="0.25">
      <c r="A3224" t="s">
        <v>44</v>
      </c>
      <c r="B3224" t="s">
        <v>51</v>
      </c>
      <c r="C3224" t="s">
        <v>32</v>
      </c>
      <c r="D3224" t="s">
        <v>522</v>
      </c>
      <c r="E3224" t="s">
        <v>533</v>
      </c>
      <c r="F3224" t="s">
        <v>35</v>
      </c>
      <c r="G3224" t="s">
        <v>35</v>
      </c>
      <c r="H3224" t="s">
        <v>35</v>
      </c>
      <c r="J3224" t="s">
        <v>4040</v>
      </c>
      <c r="K3224" t="s">
        <v>1092</v>
      </c>
      <c r="M3224">
        <v>2.15</v>
      </c>
      <c r="N3224">
        <v>62</v>
      </c>
      <c r="O3224" t="s">
        <v>61</v>
      </c>
      <c r="Q3224" t="s">
        <v>139</v>
      </c>
      <c r="R3224" t="s">
        <v>559</v>
      </c>
      <c r="S3224" t="s">
        <v>554</v>
      </c>
      <c r="T3224" t="s">
        <v>555</v>
      </c>
    </row>
    <row r="3225" spans="1:20" x14ac:dyDescent="0.25">
      <c r="A3225" t="s">
        <v>44</v>
      </c>
      <c r="B3225" t="s">
        <v>3</v>
      </c>
      <c r="C3225" t="s">
        <v>32</v>
      </c>
      <c r="D3225" t="s">
        <v>522</v>
      </c>
      <c r="E3225" t="s">
        <v>533</v>
      </c>
      <c r="F3225" t="s">
        <v>35</v>
      </c>
      <c r="G3225" t="s">
        <v>35</v>
      </c>
      <c r="H3225" t="s">
        <v>35</v>
      </c>
      <c r="J3225" t="s">
        <v>4041</v>
      </c>
      <c r="K3225" t="s">
        <v>1092</v>
      </c>
      <c r="M3225">
        <v>0.3</v>
      </c>
      <c r="N3225">
        <v>453</v>
      </c>
      <c r="O3225" t="s">
        <v>294</v>
      </c>
      <c r="Q3225" t="s">
        <v>4042</v>
      </c>
      <c r="R3225" t="s">
        <v>559</v>
      </c>
      <c r="S3225" t="s">
        <v>554</v>
      </c>
      <c r="T3225" t="s">
        <v>555</v>
      </c>
    </row>
    <row r="3226" spans="1:20" x14ac:dyDescent="0.25">
      <c r="A3226" t="s">
        <v>59</v>
      </c>
      <c r="B3226" t="s">
        <v>60</v>
      </c>
      <c r="C3226" t="s">
        <v>32</v>
      </c>
      <c r="D3226" t="s">
        <v>522</v>
      </c>
      <c r="E3226" t="s">
        <v>543</v>
      </c>
      <c r="F3226" t="s">
        <v>35</v>
      </c>
      <c r="G3226" t="s">
        <v>35</v>
      </c>
      <c r="H3226" t="s">
        <v>35</v>
      </c>
      <c r="J3226" t="s">
        <v>4114</v>
      </c>
      <c r="K3226" t="s">
        <v>1092</v>
      </c>
      <c r="M3226">
        <v>4.9000000000000004</v>
      </c>
      <c r="N3226">
        <v>203</v>
      </c>
      <c r="O3226" t="s">
        <v>5</v>
      </c>
      <c r="Q3226" t="s">
        <v>1104</v>
      </c>
      <c r="R3226" t="s">
        <v>559</v>
      </c>
      <c r="S3226" t="s">
        <v>554</v>
      </c>
      <c r="T3226" t="s">
        <v>555</v>
      </c>
    </row>
    <row r="3227" spans="1:20" x14ac:dyDescent="0.25">
      <c r="A3227" t="s">
        <v>44</v>
      </c>
      <c r="B3227" t="s">
        <v>51</v>
      </c>
      <c r="C3227" t="s">
        <v>32</v>
      </c>
      <c r="D3227" t="s">
        <v>522</v>
      </c>
      <c r="F3227" t="s">
        <v>35</v>
      </c>
      <c r="G3227" t="s">
        <v>35</v>
      </c>
      <c r="H3227" t="s">
        <v>35</v>
      </c>
      <c r="J3227" t="s">
        <v>4399</v>
      </c>
      <c r="K3227" t="s">
        <v>1092</v>
      </c>
      <c r="M3227">
        <v>7.6</v>
      </c>
      <c r="N3227">
        <v>502</v>
      </c>
      <c r="O3227" t="s">
        <v>294</v>
      </c>
      <c r="Q3227" t="s">
        <v>296</v>
      </c>
      <c r="R3227" t="s">
        <v>559</v>
      </c>
      <c r="S3227" t="s">
        <v>554</v>
      </c>
      <c r="T3227" t="s">
        <v>555</v>
      </c>
    </row>
    <row r="3228" spans="1:20" x14ac:dyDescent="0.25">
      <c r="A3228" t="s">
        <v>30</v>
      </c>
      <c r="B3228" t="s">
        <v>31</v>
      </c>
      <c r="C3228" t="s">
        <v>32</v>
      </c>
      <c r="D3228" t="s">
        <v>522</v>
      </c>
      <c r="F3228" t="s">
        <v>35</v>
      </c>
      <c r="G3228" t="s">
        <v>35</v>
      </c>
      <c r="H3228" t="s">
        <v>35</v>
      </c>
      <c r="J3228" t="s">
        <v>4399</v>
      </c>
      <c r="K3228" t="s">
        <v>1092</v>
      </c>
      <c r="M3228">
        <v>0.18</v>
      </c>
      <c r="N3228">
        <v>1211</v>
      </c>
      <c r="O3228" t="s">
        <v>575</v>
      </c>
      <c r="Q3228" t="s">
        <v>4400</v>
      </c>
      <c r="R3228" t="s">
        <v>559</v>
      </c>
      <c r="S3228" t="s">
        <v>554</v>
      </c>
      <c r="T3228" t="s">
        <v>555</v>
      </c>
    </row>
    <row r="3229" spans="1:20" x14ac:dyDescent="0.25">
      <c r="A3229" t="s">
        <v>30</v>
      </c>
      <c r="B3229" t="s">
        <v>31</v>
      </c>
      <c r="C3229" t="s">
        <v>32</v>
      </c>
      <c r="D3229" t="s">
        <v>522</v>
      </c>
      <c r="E3229" t="s">
        <v>553</v>
      </c>
      <c r="F3229" t="s">
        <v>35</v>
      </c>
      <c r="G3229" t="s">
        <v>35</v>
      </c>
      <c r="H3229" t="s">
        <v>35</v>
      </c>
      <c r="J3229" t="s">
        <v>4180</v>
      </c>
      <c r="K3229" t="s">
        <v>1092</v>
      </c>
      <c r="M3229">
        <v>3.7349999999999999</v>
      </c>
      <c r="N3229">
        <v>114</v>
      </c>
      <c r="O3229" t="s">
        <v>106</v>
      </c>
      <c r="Q3229" t="s">
        <v>2895</v>
      </c>
      <c r="R3229" t="s">
        <v>559</v>
      </c>
      <c r="S3229" t="s">
        <v>554</v>
      </c>
      <c r="T3229" t="s">
        <v>555</v>
      </c>
    </row>
    <row r="3230" spans="1:20" x14ac:dyDescent="0.25">
      <c r="A3230" t="s">
        <v>44</v>
      </c>
      <c r="B3230" t="s">
        <v>51</v>
      </c>
      <c r="C3230" t="s">
        <v>32</v>
      </c>
      <c r="D3230" t="s">
        <v>522</v>
      </c>
      <c r="E3230" t="s">
        <v>533</v>
      </c>
      <c r="F3230" t="s">
        <v>35</v>
      </c>
      <c r="G3230" t="s">
        <v>35</v>
      </c>
      <c r="H3230" t="s">
        <v>35</v>
      </c>
      <c r="J3230" t="s">
        <v>4066</v>
      </c>
      <c r="K3230" t="s">
        <v>1092</v>
      </c>
      <c r="M3230">
        <v>6</v>
      </c>
      <c r="N3230">
        <v>61</v>
      </c>
      <c r="O3230" t="s">
        <v>61</v>
      </c>
      <c r="Q3230" t="s">
        <v>146</v>
      </c>
      <c r="R3230" t="s">
        <v>559</v>
      </c>
      <c r="S3230" t="s">
        <v>554</v>
      </c>
      <c r="T3230" t="s">
        <v>555</v>
      </c>
    </row>
    <row r="3231" spans="1:20" x14ac:dyDescent="0.25">
      <c r="A3231" t="s">
        <v>59</v>
      </c>
      <c r="B3231" t="s">
        <v>31</v>
      </c>
      <c r="C3231" t="s">
        <v>32</v>
      </c>
      <c r="D3231" t="s">
        <v>522</v>
      </c>
      <c r="E3231" t="s">
        <v>553</v>
      </c>
      <c r="F3231" t="s">
        <v>35</v>
      </c>
      <c r="G3231" t="s">
        <v>35</v>
      </c>
      <c r="H3231" t="s">
        <v>35</v>
      </c>
      <c r="J3231" t="s">
        <v>4176</v>
      </c>
      <c r="K3231" t="s">
        <v>1092</v>
      </c>
      <c r="M3231">
        <v>0.45</v>
      </c>
      <c r="N3231">
        <v>564</v>
      </c>
      <c r="O3231" t="s">
        <v>575</v>
      </c>
      <c r="Q3231" t="s">
        <v>3812</v>
      </c>
      <c r="R3231" t="s">
        <v>559</v>
      </c>
      <c r="S3231" t="s">
        <v>554</v>
      </c>
      <c r="T3231" t="s">
        <v>555</v>
      </c>
    </row>
    <row r="3232" spans="1:20" x14ac:dyDescent="0.25">
      <c r="A3232" t="s">
        <v>44</v>
      </c>
      <c r="B3232" t="s">
        <v>51</v>
      </c>
      <c r="C3232" t="s">
        <v>32</v>
      </c>
      <c r="D3232" t="s">
        <v>522</v>
      </c>
      <c r="E3232" t="s">
        <v>533</v>
      </c>
      <c r="F3232" t="s">
        <v>35</v>
      </c>
      <c r="G3232" t="s">
        <v>35</v>
      </c>
      <c r="H3232" t="s">
        <v>35</v>
      </c>
      <c r="J3232" t="s">
        <v>4043</v>
      </c>
      <c r="K3232" t="s">
        <v>1092</v>
      </c>
      <c r="M3232">
        <v>1</v>
      </c>
      <c r="N3232">
        <v>61</v>
      </c>
      <c r="O3232" t="s">
        <v>61</v>
      </c>
      <c r="Q3232" t="s">
        <v>146</v>
      </c>
      <c r="R3232" t="s">
        <v>559</v>
      </c>
      <c r="S3232" t="s">
        <v>554</v>
      </c>
      <c r="T3232" t="s">
        <v>555</v>
      </c>
    </row>
    <row r="3233" spans="1:20" x14ac:dyDescent="0.25">
      <c r="A3233" t="s">
        <v>30</v>
      </c>
      <c r="B3233" t="s">
        <v>31</v>
      </c>
      <c r="C3233" t="s">
        <v>32</v>
      </c>
      <c r="D3233" t="s">
        <v>522</v>
      </c>
      <c r="E3233" t="s">
        <v>543</v>
      </c>
      <c r="F3233" t="s">
        <v>35</v>
      </c>
      <c r="G3233" t="s">
        <v>35</v>
      </c>
      <c r="H3233" t="s">
        <v>35</v>
      </c>
      <c r="J3233" t="s">
        <v>4140</v>
      </c>
      <c r="K3233" t="s">
        <v>1092</v>
      </c>
      <c r="M3233">
        <v>3.645</v>
      </c>
      <c r="N3233">
        <v>415</v>
      </c>
      <c r="O3233" t="s">
        <v>294</v>
      </c>
      <c r="Q3233" t="s">
        <v>4141</v>
      </c>
      <c r="R3233" t="s">
        <v>4142</v>
      </c>
      <c r="S3233" t="s">
        <v>4143</v>
      </c>
      <c r="T3233" t="s">
        <v>4144</v>
      </c>
    </row>
    <row r="3234" spans="1:20" x14ac:dyDescent="0.25">
      <c r="A3234" t="s">
        <v>59</v>
      </c>
      <c r="B3234" t="s">
        <v>60</v>
      </c>
      <c r="C3234" t="s">
        <v>32</v>
      </c>
      <c r="D3234" t="s">
        <v>522</v>
      </c>
      <c r="E3234" t="s">
        <v>565</v>
      </c>
      <c r="F3234" t="s">
        <v>35</v>
      </c>
      <c r="G3234" t="s">
        <v>35</v>
      </c>
      <c r="H3234" t="s">
        <v>35</v>
      </c>
      <c r="J3234" t="s">
        <v>4384</v>
      </c>
      <c r="K3234" t="s">
        <v>1092</v>
      </c>
      <c r="M3234">
        <v>1</v>
      </c>
      <c r="N3234">
        <v>65</v>
      </c>
      <c r="O3234" t="s">
        <v>61</v>
      </c>
      <c r="Q3234" t="s">
        <v>63</v>
      </c>
      <c r="R3234" t="s">
        <v>4322</v>
      </c>
      <c r="S3234" t="s">
        <v>566</v>
      </c>
      <c r="T3234" t="s">
        <v>567</v>
      </c>
    </row>
    <row r="3235" spans="1:20" x14ac:dyDescent="0.25">
      <c r="A3235" t="s">
        <v>59</v>
      </c>
      <c r="B3235" t="s">
        <v>60</v>
      </c>
      <c r="C3235" t="s">
        <v>32</v>
      </c>
      <c r="D3235" t="s">
        <v>522</v>
      </c>
      <c r="E3235" t="s">
        <v>565</v>
      </c>
      <c r="F3235" t="s">
        <v>35</v>
      </c>
      <c r="G3235" t="s">
        <v>35</v>
      </c>
      <c r="H3235" t="s">
        <v>35</v>
      </c>
      <c r="J3235" t="s">
        <v>4390</v>
      </c>
      <c r="K3235" t="s">
        <v>1092</v>
      </c>
      <c r="M3235">
        <v>1</v>
      </c>
      <c r="N3235">
        <v>64</v>
      </c>
      <c r="O3235" t="s">
        <v>61</v>
      </c>
      <c r="Q3235" t="s">
        <v>102</v>
      </c>
      <c r="R3235" t="s">
        <v>4322</v>
      </c>
      <c r="S3235" t="s">
        <v>566</v>
      </c>
      <c r="T3235" t="s">
        <v>567</v>
      </c>
    </row>
    <row r="3236" spans="1:20" x14ac:dyDescent="0.25">
      <c r="A3236" t="s">
        <v>30</v>
      </c>
      <c r="B3236" t="s">
        <v>31</v>
      </c>
      <c r="C3236" t="s">
        <v>32</v>
      </c>
      <c r="D3236" t="s">
        <v>522</v>
      </c>
      <c r="E3236" t="s">
        <v>565</v>
      </c>
      <c r="F3236" t="s">
        <v>35</v>
      </c>
      <c r="G3236" t="s">
        <v>35</v>
      </c>
      <c r="H3236" t="s">
        <v>35</v>
      </c>
      <c r="J3236" t="s">
        <v>4393</v>
      </c>
      <c r="K3236" t="s">
        <v>1092</v>
      </c>
      <c r="M3236">
        <v>0.91500000000000004</v>
      </c>
      <c r="N3236">
        <v>95</v>
      </c>
      <c r="O3236" t="s">
        <v>106</v>
      </c>
      <c r="Q3236" t="s">
        <v>2747</v>
      </c>
      <c r="R3236" t="s">
        <v>4322</v>
      </c>
      <c r="S3236" t="s">
        <v>566</v>
      </c>
      <c r="T3236" t="s">
        <v>567</v>
      </c>
    </row>
    <row r="3237" spans="1:20" x14ac:dyDescent="0.25">
      <c r="A3237" t="s">
        <v>30</v>
      </c>
      <c r="B3237" t="s">
        <v>31</v>
      </c>
      <c r="C3237" t="s">
        <v>32</v>
      </c>
      <c r="D3237" t="s">
        <v>522</v>
      </c>
      <c r="E3237" t="s">
        <v>565</v>
      </c>
      <c r="F3237" t="s">
        <v>35</v>
      </c>
      <c r="G3237" t="s">
        <v>35</v>
      </c>
      <c r="H3237" t="s">
        <v>35</v>
      </c>
      <c r="J3237" t="s">
        <v>4333</v>
      </c>
      <c r="K3237" t="s">
        <v>1092</v>
      </c>
      <c r="M3237">
        <v>1.8</v>
      </c>
      <c r="N3237">
        <v>1210</v>
      </c>
      <c r="O3237" t="s">
        <v>575</v>
      </c>
      <c r="Q3237" t="s">
        <v>4334</v>
      </c>
      <c r="R3237" t="s">
        <v>4322</v>
      </c>
      <c r="S3237" t="s">
        <v>566</v>
      </c>
      <c r="T3237" t="s">
        <v>567</v>
      </c>
    </row>
    <row r="3238" spans="1:20" x14ac:dyDescent="0.25">
      <c r="A3238" t="s">
        <v>59</v>
      </c>
      <c r="B3238" t="s">
        <v>60</v>
      </c>
      <c r="C3238" t="s">
        <v>32</v>
      </c>
      <c r="D3238" t="s">
        <v>522</v>
      </c>
      <c r="E3238" t="s">
        <v>565</v>
      </c>
      <c r="F3238" t="s">
        <v>35</v>
      </c>
      <c r="G3238" t="s">
        <v>35</v>
      </c>
      <c r="H3238" t="s">
        <v>35</v>
      </c>
      <c r="J3238" t="s">
        <v>4338</v>
      </c>
      <c r="K3238" t="s">
        <v>1092</v>
      </c>
      <c r="M3238">
        <v>4</v>
      </c>
      <c r="N3238">
        <v>173</v>
      </c>
      <c r="O3238" t="s">
        <v>38</v>
      </c>
      <c r="Q3238" t="s">
        <v>2138</v>
      </c>
      <c r="R3238" t="s">
        <v>4322</v>
      </c>
      <c r="S3238" t="s">
        <v>566</v>
      </c>
      <c r="T3238" t="s">
        <v>567</v>
      </c>
    </row>
    <row r="3239" spans="1:20" x14ac:dyDescent="0.25">
      <c r="A3239" t="s">
        <v>30</v>
      </c>
      <c r="B3239" t="s">
        <v>31</v>
      </c>
      <c r="C3239" t="s">
        <v>32</v>
      </c>
      <c r="D3239" t="s">
        <v>522</v>
      </c>
      <c r="E3239" t="s">
        <v>565</v>
      </c>
      <c r="F3239" t="s">
        <v>35</v>
      </c>
      <c r="G3239" t="s">
        <v>35</v>
      </c>
      <c r="H3239" t="s">
        <v>35</v>
      </c>
      <c r="J3239" t="s">
        <v>4355</v>
      </c>
      <c r="K3239" t="s">
        <v>1092</v>
      </c>
      <c r="M3239">
        <v>0.09</v>
      </c>
      <c r="N3239">
        <v>618</v>
      </c>
      <c r="O3239" t="s">
        <v>575</v>
      </c>
      <c r="Q3239" t="s">
        <v>4356</v>
      </c>
      <c r="R3239" t="s">
        <v>4322</v>
      </c>
      <c r="S3239" t="s">
        <v>566</v>
      </c>
      <c r="T3239" t="s">
        <v>567</v>
      </c>
    </row>
    <row r="3240" spans="1:20" x14ac:dyDescent="0.25">
      <c r="A3240" t="s">
        <v>30</v>
      </c>
      <c r="B3240" t="s">
        <v>31</v>
      </c>
      <c r="C3240" t="s">
        <v>32</v>
      </c>
      <c r="D3240" t="s">
        <v>522</v>
      </c>
      <c r="E3240" t="s">
        <v>565</v>
      </c>
      <c r="F3240" t="s">
        <v>35</v>
      </c>
      <c r="G3240" t="s">
        <v>35</v>
      </c>
      <c r="H3240" t="s">
        <v>35</v>
      </c>
      <c r="J3240" t="s">
        <v>4372</v>
      </c>
      <c r="K3240" t="s">
        <v>1092</v>
      </c>
      <c r="M3240">
        <v>0.64</v>
      </c>
      <c r="N3240">
        <v>119</v>
      </c>
      <c r="O3240" t="s">
        <v>106</v>
      </c>
      <c r="Q3240" t="s">
        <v>1813</v>
      </c>
      <c r="R3240" t="s">
        <v>4322</v>
      </c>
      <c r="S3240" t="s">
        <v>566</v>
      </c>
      <c r="T3240" t="s">
        <v>567</v>
      </c>
    </row>
    <row r="3241" spans="1:20" x14ac:dyDescent="0.25">
      <c r="A3241" t="s">
        <v>30</v>
      </c>
      <c r="B3241" t="s">
        <v>31</v>
      </c>
      <c r="C3241" t="s">
        <v>32</v>
      </c>
      <c r="D3241" t="s">
        <v>522</v>
      </c>
      <c r="E3241" t="s">
        <v>565</v>
      </c>
      <c r="F3241" t="s">
        <v>35</v>
      </c>
      <c r="G3241" t="s">
        <v>35</v>
      </c>
      <c r="H3241" t="s">
        <v>35</v>
      </c>
      <c r="J3241" t="s">
        <v>4366</v>
      </c>
      <c r="K3241" t="s">
        <v>1092</v>
      </c>
      <c r="M3241">
        <v>0.1</v>
      </c>
      <c r="N3241">
        <v>246</v>
      </c>
      <c r="O3241" t="s">
        <v>5</v>
      </c>
      <c r="Q3241" t="s">
        <v>1502</v>
      </c>
      <c r="R3241" t="s">
        <v>4322</v>
      </c>
      <c r="S3241" t="s">
        <v>566</v>
      </c>
      <c r="T3241" t="s">
        <v>567</v>
      </c>
    </row>
    <row r="3242" spans="1:20" x14ac:dyDescent="0.25">
      <c r="A3242" t="s">
        <v>30</v>
      </c>
      <c r="B3242" t="s">
        <v>31</v>
      </c>
      <c r="C3242" t="s">
        <v>32</v>
      </c>
      <c r="D3242" t="s">
        <v>522</v>
      </c>
      <c r="E3242" t="s">
        <v>565</v>
      </c>
      <c r="F3242" t="s">
        <v>35</v>
      </c>
      <c r="G3242" t="s">
        <v>35</v>
      </c>
      <c r="H3242" t="s">
        <v>35</v>
      </c>
      <c r="J3242" t="s">
        <v>4321</v>
      </c>
      <c r="K3242" t="s">
        <v>1092</v>
      </c>
      <c r="M3242">
        <v>0.01</v>
      </c>
      <c r="N3242">
        <v>94</v>
      </c>
      <c r="O3242" t="s">
        <v>106</v>
      </c>
      <c r="Q3242" t="s">
        <v>1164</v>
      </c>
      <c r="R3242" t="s">
        <v>4322</v>
      </c>
      <c r="S3242" t="s">
        <v>566</v>
      </c>
      <c r="T3242" t="s">
        <v>567</v>
      </c>
    </row>
    <row r="3243" spans="1:20" x14ac:dyDescent="0.25">
      <c r="A3243" t="s">
        <v>30</v>
      </c>
      <c r="B3243" t="s">
        <v>31</v>
      </c>
      <c r="C3243" t="s">
        <v>32</v>
      </c>
      <c r="D3243" t="s">
        <v>522</v>
      </c>
      <c r="E3243" t="s">
        <v>565</v>
      </c>
      <c r="F3243" t="s">
        <v>35</v>
      </c>
      <c r="G3243" t="s">
        <v>35</v>
      </c>
      <c r="H3243" t="s">
        <v>35</v>
      </c>
      <c r="J3243" t="s">
        <v>3127</v>
      </c>
      <c r="K3243" t="s">
        <v>1092</v>
      </c>
      <c r="M3243">
        <v>4.4400000000000004</v>
      </c>
      <c r="N3243">
        <v>120</v>
      </c>
      <c r="O3243" t="s">
        <v>106</v>
      </c>
      <c r="Q3243" t="s">
        <v>2145</v>
      </c>
      <c r="R3243" t="s">
        <v>4322</v>
      </c>
      <c r="S3243" t="s">
        <v>566</v>
      </c>
      <c r="T3243" t="s">
        <v>567</v>
      </c>
    </row>
    <row r="3244" spans="1:20" x14ac:dyDescent="0.25">
      <c r="A3244" t="s">
        <v>59</v>
      </c>
      <c r="B3244" t="s">
        <v>60</v>
      </c>
      <c r="C3244" t="s">
        <v>32</v>
      </c>
      <c r="D3244" t="s">
        <v>522</v>
      </c>
      <c r="E3244" t="s">
        <v>565</v>
      </c>
      <c r="F3244" t="s">
        <v>35</v>
      </c>
      <c r="G3244" t="s">
        <v>35</v>
      </c>
      <c r="H3244" t="s">
        <v>35</v>
      </c>
      <c r="J3244" t="s">
        <v>3127</v>
      </c>
      <c r="K3244" t="s">
        <v>1092</v>
      </c>
      <c r="M3244">
        <v>5.5</v>
      </c>
      <c r="N3244">
        <v>65</v>
      </c>
      <c r="O3244" t="s">
        <v>61</v>
      </c>
      <c r="Q3244" t="s">
        <v>63</v>
      </c>
      <c r="R3244" t="s">
        <v>4322</v>
      </c>
      <c r="S3244" t="s">
        <v>566</v>
      </c>
      <c r="T3244" t="s">
        <v>567</v>
      </c>
    </row>
    <row r="3245" spans="1:20" x14ac:dyDescent="0.25">
      <c r="A3245" t="s">
        <v>30</v>
      </c>
      <c r="B3245" t="s">
        <v>31</v>
      </c>
      <c r="C3245" t="s">
        <v>32</v>
      </c>
      <c r="D3245" t="s">
        <v>522</v>
      </c>
      <c r="F3245" t="s">
        <v>35</v>
      </c>
      <c r="G3245" t="s">
        <v>35</v>
      </c>
      <c r="H3245" t="s">
        <v>35</v>
      </c>
      <c r="J3245" t="s">
        <v>1697</v>
      </c>
      <c r="K3245" t="s">
        <v>1092</v>
      </c>
      <c r="M3245">
        <v>0.87</v>
      </c>
      <c r="N3245">
        <v>2410</v>
      </c>
      <c r="O3245" t="s">
        <v>575</v>
      </c>
      <c r="Q3245" t="s">
        <v>2908</v>
      </c>
      <c r="R3245" t="s">
        <v>4406</v>
      </c>
      <c r="S3245" t="s">
        <v>4407</v>
      </c>
      <c r="T3245" t="s">
        <v>4023</v>
      </c>
    </row>
    <row r="3246" spans="1:20" x14ac:dyDescent="0.25">
      <c r="A3246" t="s">
        <v>44</v>
      </c>
      <c r="B3246" t="s">
        <v>51</v>
      </c>
      <c r="C3246" t="s">
        <v>32</v>
      </c>
      <c r="D3246" t="s">
        <v>522</v>
      </c>
      <c r="E3246" t="s">
        <v>543</v>
      </c>
      <c r="F3246" t="s">
        <v>35</v>
      </c>
      <c r="G3246" t="s">
        <v>35</v>
      </c>
      <c r="H3246" t="s">
        <v>35</v>
      </c>
      <c r="J3246" t="s">
        <v>4149</v>
      </c>
      <c r="K3246" t="s">
        <v>1092</v>
      </c>
      <c r="M3246">
        <v>1</v>
      </c>
      <c r="N3246">
        <v>29</v>
      </c>
      <c r="O3246" t="s">
        <v>46</v>
      </c>
      <c r="Q3246" t="s">
        <v>2005</v>
      </c>
      <c r="R3246" t="s">
        <v>4122</v>
      </c>
      <c r="S3246" t="s">
        <v>549</v>
      </c>
      <c r="T3246" t="s">
        <v>550</v>
      </c>
    </row>
    <row r="3247" spans="1:20" x14ac:dyDescent="0.25">
      <c r="A3247" t="s">
        <v>44</v>
      </c>
      <c r="B3247" t="s">
        <v>51</v>
      </c>
      <c r="C3247" t="s">
        <v>32</v>
      </c>
      <c r="D3247" t="s">
        <v>522</v>
      </c>
      <c r="F3247" t="s">
        <v>35</v>
      </c>
      <c r="G3247" t="s">
        <v>35</v>
      </c>
      <c r="H3247" t="s">
        <v>35</v>
      </c>
      <c r="J3247" t="s">
        <v>4422</v>
      </c>
      <c r="K3247" t="s">
        <v>1092</v>
      </c>
      <c r="M3247">
        <v>2.35</v>
      </c>
      <c r="N3247">
        <v>29</v>
      </c>
      <c r="O3247" t="s">
        <v>46</v>
      </c>
      <c r="Q3247" t="s">
        <v>2005</v>
      </c>
      <c r="R3247" t="s">
        <v>4122</v>
      </c>
      <c r="S3247" t="s">
        <v>549</v>
      </c>
      <c r="T3247" t="s">
        <v>550</v>
      </c>
    </row>
    <row r="3248" spans="1:20" x14ac:dyDescent="0.25">
      <c r="A3248" t="s">
        <v>44</v>
      </c>
      <c r="B3248" t="s">
        <v>51</v>
      </c>
      <c r="C3248" t="s">
        <v>32</v>
      </c>
      <c r="D3248" t="s">
        <v>522</v>
      </c>
      <c r="E3248" t="s">
        <v>543</v>
      </c>
      <c r="F3248" t="s">
        <v>35</v>
      </c>
      <c r="G3248" t="s">
        <v>35</v>
      </c>
      <c r="H3248" t="s">
        <v>35</v>
      </c>
      <c r="J3248" t="s">
        <v>4121</v>
      </c>
      <c r="K3248" t="s">
        <v>1092</v>
      </c>
      <c r="M3248">
        <v>2.5</v>
      </c>
      <c r="N3248">
        <v>2</v>
      </c>
      <c r="O3248" t="s">
        <v>46</v>
      </c>
      <c r="Q3248" t="s">
        <v>2009</v>
      </c>
      <c r="R3248" t="s">
        <v>4122</v>
      </c>
      <c r="S3248" t="s">
        <v>549</v>
      </c>
      <c r="T3248" t="s">
        <v>550</v>
      </c>
    </row>
    <row r="3249" spans="1:20" x14ac:dyDescent="0.25">
      <c r="A3249" t="s">
        <v>44</v>
      </c>
      <c r="B3249" t="s">
        <v>51</v>
      </c>
      <c r="C3249" t="s">
        <v>32</v>
      </c>
      <c r="D3249" t="s">
        <v>522</v>
      </c>
      <c r="E3249" t="s">
        <v>4207</v>
      </c>
      <c r="F3249" t="s">
        <v>35</v>
      </c>
      <c r="G3249" t="s">
        <v>35</v>
      </c>
      <c r="H3249" t="s">
        <v>35</v>
      </c>
      <c r="J3249" t="s">
        <v>4222</v>
      </c>
      <c r="K3249" t="s">
        <v>1092</v>
      </c>
      <c r="M3249">
        <v>1</v>
      </c>
      <c r="N3249">
        <v>29</v>
      </c>
      <c r="O3249" t="s">
        <v>46</v>
      </c>
      <c r="Q3249" t="s">
        <v>2005</v>
      </c>
      <c r="R3249" t="s">
        <v>4122</v>
      </c>
      <c r="S3249" t="s">
        <v>549</v>
      </c>
      <c r="T3249" t="s">
        <v>550</v>
      </c>
    </row>
    <row r="3250" spans="1:20" x14ac:dyDescent="0.25">
      <c r="A3250" t="s">
        <v>44</v>
      </c>
      <c r="B3250" t="s">
        <v>51</v>
      </c>
      <c r="C3250" t="s">
        <v>32</v>
      </c>
      <c r="D3250" t="s">
        <v>522</v>
      </c>
      <c r="E3250" t="s">
        <v>4207</v>
      </c>
      <c r="F3250" t="s">
        <v>35</v>
      </c>
      <c r="G3250" t="s">
        <v>35</v>
      </c>
      <c r="H3250" t="s">
        <v>35</v>
      </c>
      <c r="J3250" t="s">
        <v>4228</v>
      </c>
      <c r="K3250" t="s">
        <v>1092</v>
      </c>
      <c r="M3250">
        <v>1</v>
      </c>
      <c r="N3250">
        <v>29</v>
      </c>
      <c r="O3250" t="s">
        <v>46</v>
      </c>
      <c r="Q3250" t="s">
        <v>2005</v>
      </c>
      <c r="R3250" t="s">
        <v>4122</v>
      </c>
      <c r="S3250" t="s">
        <v>549</v>
      </c>
      <c r="T3250" t="s">
        <v>550</v>
      </c>
    </row>
    <row r="3251" spans="1:20" x14ac:dyDescent="0.25">
      <c r="A3251" t="s">
        <v>59</v>
      </c>
      <c r="B3251" t="s">
        <v>31</v>
      </c>
      <c r="C3251" t="s">
        <v>32</v>
      </c>
      <c r="D3251" t="s">
        <v>522</v>
      </c>
      <c r="E3251" t="s">
        <v>533</v>
      </c>
      <c r="F3251" t="s">
        <v>35</v>
      </c>
      <c r="G3251" t="s">
        <v>35</v>
      </c>
      <c r="H3251" t="s">
        <v>35</v>
      </c>
      <c r="J3251" t="s">
        <v>4050</v>
      </c>
      <c r="K3251" t="s">
        <v>1092</v>
      </c>
      <c r="M3251">
        <v>0.315</v>
      </c>
      <c r="N3251">
        <v>1234</v>
      </c>
      <c r="O3251" t="s">
        <v>575</v>
      </c>
      <c r="Q3251" t="s">
        <v>4052</v>
      </c>
      <c r="R3251" t="s">
        <v>4053</v>
      </c>
      <c r="S3251" t="s">
        <v>4054</v>
      </c>
      <c r="T3251" t="s">
        <v>4055</v>
      </c>
    </row>
    <row r="3252" spans="1:20" x14ac:dyDescent="0.25">
      <c r="A3252" t="s">
        <v>59</v>
      </c>
      <c r="B3252" t="s">
        <v>31</v>
      </c>
      <c r="C3252" t="s">
        <v>32</v>
      </c>
      <c r="D3252" t="s">
        <v>522</v>
      </c>
      <c r="E3252" t="s">
        <v>561</v>
      </c>
      <c r="F3252" t="s">
        <v>35</v>
      </c>
      <c r="G3252" t="s">
        <v>35</v>
      </c>
      <c r="H3252" t="s">
        <v>35</v>
      </c>
      <c r="J3252" t="s">
        <v>4284</v>
      </c>
      <c r="K3252" t="s">
        <v>1092</v>
      </c>
      <c r="M3252">
        <v>1.98</v>
      </c>
      <c r="N3252">
        <v>1234</v>
      </c>
      <c r="O3252" t="s">
        <v>575</v>
      </c>
      <c r="Q3252" t="s">
        <v>4052</v>
      </c>
      <c r="R3252" t="s">
        <v>4053</v>
      </c>
      <c r="S3252" t="s">
        <v>4054</v>
      </c>
      <c r="T3252" t="s">
        <v>4055</v>
      </c>
    </row>
    <row r="3253" spans="1:20" x14ac:dyDescent="0.25">
      <c r="A3253" t="s">
        <v>30</v>
      </c>
      <c r="B3253" t="s">
        <v>31</v>
      </c>
      <c r="C3253" t="s">
        <v>32</v>
      </c>
      <c r="D3253" t="s">
        <v>522</v>
      </c>
      <c r="E3253" t="s">
        <v>565</v>
      </c>
      <c r="F3253" t="s">
        <v>35</v>
      </c>
      <c r="G3253" t="s">
        <v>35</v>
      </c>
      <c r="H3253" t="s">
        <v>35</v>
      </c>
      <c r="J3253" t="s">
        <v>3689</v>
      </c>
      <c r="K3253" t="s">
        <v>1092</v>
      </c>
      <c r="M3253">
        <v>6.75</v>
      </c>
      <c r="N3253">
        <v>2</v>
      </c>
      <c r="O3253" t="s">
        <v>46</v>
      </c>
      <c r="Q3253" t="s">
        <v>2009</v>
      </c>
      <c r="R3253" t="s">
        <v>4351</v>
      </c>
      <c r="S3253" t="s">
        <v>4352</v>
      </c>
      <c r="T3253" t="s">
        <v>4353</v>
      </c>
    </row>
    <row r="3254" spans="1:20" x14ac:dyDescent="0.25">
      <c r="A3254" t="s">
        <v>30</v>
      </c>
      <c r="B3254" t="s">
        <v>31</v>
      </c>
      <c r="C3254" t="s">
        <v>32</v>
      </c>
      <c r="D3254" t="s">
        <v>522</v>
      </c>
      <c r="E3254" t="s">
        <v>565</v>
      </c>
      <c r="F3254" t="s">
        <v>35</v>
      </c>
      <c r="G3254" t="s">
        <v>35</v>
      </c>
      <c r="H3254" t="s">
        <v>35</v>
      </c>
      <c r="J3254" t="s">
        <v>4390</v>
      </c>
      <c r="K3254" t="s">
        <v>1092</v>
      </c>
      <c r="M3254">
        <v>2.835</v>
      </c>
      <c r="N3254">
        <v>67</v>
      </c>
      <c r="O3254" t="s">
        <v>61</v>
      </c>
      <c r="Q3254" t="s">
        <v>488</v>
      </c>
      <c r="R3254" t="s">
        <v>4351</v>
      </c>
      <c r="S3254" t="s">
        <v>4352</v>
      </c>
      <c r="T3254" t="s">
        <v>4353</v>
      </c>
    </row>
    <row r="3255" spans="1:20" x14ac:dyDescent="0.25">
      <c r="A3255" t="s">
        <v>44</v>
      </c>
      <c r="B3255" t="s">
        <v>51</v>
      </c>
      <c r="C3255" t="s">
        <v>32</v>
      </c>
      <c r="D3255" t="s">
        <v>522</v>
      </c>
      <c r="E3255" t="s">
        <v>565</v>
      </c>
      <c r="F3255" t="s">
        <v>35</v>
      </c>
      <c r="G3255" t="s">
        <v>35</v>
      </c>
      <c r="H3255" t="s">
        <v>35</v>
      </c>
      <c r="J3255" t="s">
        <v>4350</v>
      </c>
      <c r="K3255" t="s">
        <v>1092</v>
      </c>
      <c r="M3255">
        <v>1</v>
      </c>
      <c r="N3255">
        <v>22</v>
      </c>
      <c r="O3255" t="s">
        <v>46</v>
      </c>
      <c r="Q3255" t="s">
        <v>1645</v>
      </c>
      <c r="R3255" t="s">
        <v>4351</v>
      </c>
      <c r="S3255" t="s">
        <v>4352</v>
      </c>
      <c r="T3255" t="s">
        <v>4353</v>
      </c>
    </row>
    <row r="3256" spans="1:20" x14ac:dyDescent="0.25">
      <c r="A3256" t="s">
        <v>59</v>
      </c>
      <c r="B3256" t="s">
        <v>60</v>
      </c>
      <c r="C3256" t="s">
        <v>32</v>
      </c>
      <c r="D3256" t="s">
        <v>522</v>
      </c>
      <c r="E3256" t="s">
        <v>565</v>
      </c>
      <c r="F3256" t="s">
        <v>35</v>
      </c>
      <c r="G3256" t="s">
        <v>35</v>
      </c>
      <c r="H3256" t="s">
        <v>35</v>
      </c>
      <c r="J3256" t="s">
        <v>4385</v>
      </c>
      <c r="K3256" t="s">
        <v>1092</v>
      </c>
      <c r="M3256">
        <v>0.05</v>
      </c>
      <c r="N3256">
        <v>219</v>
      </c>
      <c r="O3256" t="s">
        <v>5</v>
      </c>
      <c r="Q3256" t="s">
        <v>3300</v>
      </c>
      <c r="R3256" t="s">
        <v>4386</v>
      </c>
      <c r="S3256" t="s">
        <v>4387</v>
      </c>
      <c r="T3256" t="s">
        <v>4388</v>
      </c>
    </row>
    <row r="3257" spans="1:20" x14ac:dyDescent="0.25">
      <c r="A3257" t="s">
        <v>59</v>
      </c>
      <c r="B3257" t="s">
        <v>60</v>
      </c>
      <c r="C3257" t="s">
        <v>32</v>
      </c>
      <c r="D3257" t="s">
        <v>522</v>
      </c>
      <c r="E3257" t="s">
        <v>533</v>
      </c>
      <c r="F3257" t="s">
        <v>35</v>
      </c>
      <c r="G3257" t="s">
        <v>35</v>
      </c>
      <c r="H3257" t="s">
        <v>35</v>
      </c>
      <c r="J3257" t="s">
        <v>4062</v>
      </c>
      <c r="K3257" t="s">
        <v>1092</v>
      </c>
      <c r="M3257">
        <v>0.05</v>
      </c>
      <c r="N3257">
        <v>1522</v>
      </c>
      <c r="O3257" t="s">
        <v>575</v>
      </c>
      <c r="Q3257" t="s">
        <v>4063</v>
      </c>
      <c r="R3257" t="s">
        <v>4064</v>
      </c>
      <c r="S3257" t="s">
        <v>4065</v>
      </c>
      <c r="T3257" t="s">
        <v>4039</v>
      </c>
    </row>
    <row r="3258" spans="1:20" x14ac:dyDescent="0.25">
      <c r="A3258" t="s">
        <v>59</v>
      </c>
      <c r="B3258" t="s">
        <v>31</v>
      </c>
      <c r="C3258" t="s">
        <v>32</v>
      </c>
      <c r="D3258" t="s">
        <v>522</v>
      </c>
      <c r="E3258" t="s">
        <v>565</v>
      </c>
      <c r="F3258" t="s">
        <v>35</v>
      </c>
      <c r="G3258" t="s">
        <v>35</v>
      </c>
      <c r="H3258" t="s">
        <v>35</v>
      </c>
      <c r="J3258" t="s">
        <v>4311</v>
      </c>
      <c r="K3258" t="s">
        <v>1092</v>
      </c>
      <c r="M3258">
        <v>5.5350000000000001</v>
      </c>
      <c r="N3258">
        <v>142</v>
      </c>
      <c r="O3258" t="s">
        <v>38</v>
      </c>
      <c r="Q3258" t="s">
        <v>73</v>
      </c>
      <c r="R3258" t="s">
        <v>3985</v>
      </c>
      <c r="S3258" t="s">
        <v>3986</v>
      </c>
      <c r="T3258" t="s">
        <v>3987</v>
      </c>
    </row>
    <row r="3259" spans="1:20" x14ac:dyDescent="0.25">
      <c r="A3259" t="s">
        <v>30</v>
      </c>
      <c r="B3259" t="s">
        <v>31</v>
      </c>
      <c r="C3259" t="s">
        <v>32</v>
      </c>
      <c r="D3259" t="s">
        <v>522</v>
      </c>
      <c r="F3259" t="s">
        <v>35</v>
      </c>
      <c r="G3259" t="s">
        <v>35</v>
      </c>
      <c r="H3259" t="s">
        <v>35</v>
      </c>
      <c r="J3259" t="s">
        <v>4403</v>
      </c>
      <c r="K3259" t="s">
        <v>1092</v>
      </c>
      <c r="M3259">
        <v>3.6</v>
      </c>
      <c r="N3259">
        <v>1853</v>
      </c>
      <c r="O3259" t="s">
        <v>575</v>
      </c>
      <c r="Q3259" t="s">
        <v>4404</v>
      </c>
      <c r="R3259" t="s">
        <v>3985</v>
      </c>
      <c r="S3259" t="s">
        <v>3986</v>
      </c>
      <c r="T3259" t="s">
        <v>3987</v>
      </c>
    </row>
    <row r="3260" spans="1:20" x14ac:dyDescent="0.25">
      <c r="A3260" t="s">
        <v>59</v>
      </c>
      <c r="B3260" t="s">
        <v>31</v>
      </c>
      <c r="C3260" t="s">
        <v>32</v>
      </c>
      <c r="D3260" t="s">
        <v>522</v>
      </c>
      <c r="F3260" t="s">
        <v>35</v>
      </c>
      <c r="G3260" t="s">
        <v>35</v>
      </c>
      <c r="H3260" t="s">
        <v>35</v>
      </c>
      <c r="J3260" t="s">
        <v>4403</v>
      </c>
      <c r="K3260" t="s">
        <v>1092</v>
      </c>
      <c r="M3260">
        <v>3.42</v>
      </c>
      <c r="N3260">
        <v>2281</v>
      </c>
      <c r="O3260" t="s">
        <v>575</v>
      </c>
      <c r="Q3260" t="s">
        <v>4405</v>
      </c>
      <c r="R3260" t="s">
        <v>3985</v>
      </c>
      <c r="S3260" t="s">
        <v>3986</v>
      </c>
      <c r="T3260" t="s">
        <v>3987</v>
      </c>
    </row>
    <row r="3261" spans="1:20" x14ac:dyDescent="0.25">
      <c r="A3261" t="s">
        <v>59</v>
      </c>
      <c r="B3261" t="s">
        <v>60</v>
      </c>
      <c r="C3261" t="s">
        <v>32</v>
      </c>
      <c r="D3261" t="s">
        <v>522</v>
      </c>
      <c r="E3261" t="s">
        <v>523</v>
      </c>
      <c r="F3261" t="s">
        <v>35</v>
      </c>
      <c r="G3261" t="s">
        <v>35</v>
      </c>
      <c r="H3261" t="s">
        <v>35</v>
      </c>
      <c r="J3261" t="s">
        <v>3984</v>
      </c>
      <c r="K3261" t="s">
        <v>1092</v>
      </c>
      <c r="M3261">
        <v>7.5</v>
      </c>
      <c r="N3261">
        <v>121</v>
      </c>
      <c r="O3261" t="s">
        <v>38</v>
      </c>
      <c r="Q3261" t="s">
        <v>1170</v>
      </c>
      <c r="R3261" t="s">
        <v>3985</v>
      </c>
      <c r="S3261" t="s">
        <v>3986</v>
      </c>
      <c r="T3261" t="s">
        <v>3987</v>
      </c>
    </row>
    <row r="3262" spans="1:20" x14ac:dyDescent="0.25">
      <c r="A3262" t="s">
        <v>59</v>
      </c>
      <c r="B3262" t="s">
        <v>60</v>
      </c>
      <c r="C3262" t="s">
        <v>32</v>
      </c>
      <c r="D3262" t="s">
        <v>522</v>
      </c>
      <c r="E3262" t="s">
        <v>565</v>
      </c>
      <c r="F3262" t="s">
        <v>35</v>
      </c>
      <c r="G3262" t="s">
        <v>35</v>
      </c>
      <c r="H3262" t="s">
        <v>35</v>
      </c>
      <c r="J3262" t="s">
        <v>4380</v>
      </c>
      <c r="K3262" t="s">
        <v>1092</v>
      </c>
      <c r="M3262">
        <v>5</v>
      </c>
      <c r="N3262">
        <v>127</v>
      </c>
      <c r="O3262" t="s">
        <v>38</v>
      </c>
      <c r="Q3262" t="s">
        <v>3640</v>
      </c>
      <c r="R3262" t="s">
        <v>3985</v>
      </c>
      <c r="S3262" t="s">
        <v>3986</v>
      </c>
      <c r="T3262" t="s">
        <v>3987</v>
      </c>
    </row>
    <row r="3263" spans="1:20" x14ac:dyDescent="0.25">
      <c r="A3263" t="s">
        <v>59</v>
      </c>
      <c r="B3263" t="s">
        <v>31</v>
      </c>
      <c r="C3263" t="s">
        <v>32</v>
      </c>
      <c r="D3263" t="s">
        <v>522</v>
      </c>
      <c r="E3263" t="s">
        <v>543</v>
      </c>
      <c r="F3263" t="s">
        <v>35</v>
      </c>
      <c r="G3263" t="s">
        <v>35</v>
      </c>
      <c r="H3263" t="s">
        <v>35</v>
      </c>
      <c r="J3263" t="s">
        <v>4115</v>
      </c>
      <c r="K3263" t="s">
        <v>1092</v>
      </c>
      <c r="M3263">
        <v>2.4750000000000001</v>
      </c>
      <c r="N3263">
        <v>1231</v>
      </c>
      <c r="O3263" t="s">
        <v>575</v>
      </c>
      <c r="Q3263" t="s">
        <v>4116</v>
      </c>
      <c r="R3263" t="s">
        <v>4117</v>
      </c>
      <c r="S3263" t="s">
        <v>4118</v>
      </c>
      <c r="T3263" t="s">
        <v>4119</v>
      </c>
    </row>
    <row r="3264" spans="1:20" x14ac:dyDescent="0.25">
      <c r="A3264" t="s">
        <v>30</v>
      </c>
      <c r="B3264" t="s">
        <v>31</v>
      </c>
      <c r="C3264" t="s">
        <v>32</v>
      </c>
      <c r="D3264" t="s">
        <v>522</v>
      </c>
      <c r="E3264" t="s">
        <v>523</v>
      </c>
      <c r="F3264" t="s">
        <v>35</v>
      </c>
      <c r="G3264" t="s">
        <v>35</v>
      </c>
      <c r="H3264" t="s">
        <v>35</v>
      </c>
      <c r="J3264" t="s">
        <v>4018</v>
      </c>
      <c r="K3264" t="s">
        <v>1092</v>
      </c>
      <c r="M3264">
        <v>0.44</v>
      </c>
      <c r="N3264">
        <v>1121</v>
      </c>
      <c r="O3264" t="s">
        <v>575</v>
      </c>
      <c r="Q3264" t="s">
        <v>4019</v>
      </c>
      <c r="R3264" t="s">
        <v>3993</v>
      </c>
      <c r="S3264" t="s">
        <v>3994</v>
      </c>
      <c r="T3264" t="s">
        <v>3995</v>
      </c>
    </row>
    <row r="3265" spans="1:20" x14ac:dyDescent="0.25">
      <c r="A3265" t="s">
        <v>44</v>
      </c>
      <c r="B3265" t="s">
        <v>51</v>
      </c>
      <c r="C3265" t="s">
        <v>32</v>
      </c>
      <c r="D3265" t="s">
        <v>522</v>
      </c>
      <c r="E3265" t="s">
        <v>4181</v>
      </c>
      <c r="F3265" t="s">
        <v>35</v>
      </c>
      <c r="G3265" t="s">
        <v>35</v>
      </c>
      <c r="H3265" t="s">
        <v>35</v>
      </c>
      <c r="J3265" t="s">
        <v>4187</v>
      </c>
      <c r="K3265" t="s">
        <v>1092</v>
      </c>
      <c r="M3265">
        <v>2.8</v>
      </c>
      <c r="N3265">
        <v>266</v>
      </c>
      <c r="O3265" t="s">
        <v>5</v>
      </c>
      <c r="Q3265" t="s">
        <v>1989</v>
      </c>
      <c r="R3265" t="s">
        <v>3993</v>
      </c>
      <c r="S3265" t="s">
        <v>3994</v>
      </c>
      <c r="T3265" t="s">
        <v>3995</v>
      </c>
    </row>
    <row r="3266" spans="1:20" x14ac:dyDescent="0.25">
      <c r="A3266" t="s">
        <v>44</v>
      </c>
      <c r="B3266" t="s">
        <v>3</v>
      </c>
      <c r="C3266" t="s">
        <v>32</v>
      </c>
      <c r="D3266" t="s">
        <v>522</v>
      </c>
      <c r="E3266" t="s">
        <v>4181</v>
      </c>
      <c r="F3266" t="s">
        <v>35</v>
      </c>
      <c r="G3266" t="s">
        <v>35</v>
      </c>
      <c r="H3266" t="s">
        <v>35</v>
      </c>
      <c r="J3266" t="s">
        <v>4193</v>
      </c>
      <c r="K3266" t="s">
        <v>1092</v>
      </c>
      <c r="M3266">
        <v>0.75</v>
      </c>
      <c r="N3266">
        <v>492</v>
      </c>
      <c r="O3266" t="s">
        <v>294</v>
      </c>
      <c r="Q3266" t="s">
        <v>1503</v>
      </c>
      <c r="R3266" t="s">
        <v>3993</v>
      </c>
      <c r="S3266" t="s">
        <v>3994</v>
      </c>
      <c r="T3266" t="s">
        <v>3995</v>
      </c>
    </row>
    <row r="3267" spans="1:20" x14ac:dyDescent="0.25">
      <c r="A3267" t="s">
        <v>44</v>
      </c>
      <c r="B3267" t="s">
        <v>3</v>
      </c>
      <c r="C3267" t="s">
        <v>32</v>
      </c>
      <c r="D3267" t="s">
        <v>522</v>
      </c>
      <c r="E3267" t="s">
        <v>4181</v>
      </c>
      <c r="F3267" t="s">
        <v>35</v>
      </c>
      <c r="G3267" t="s">
        <v>35</v>
      </c>
      <c r="H3267" t="s">
        <v>35</v>
      </c>
      <c r="J3267" t="s">
        <v>4191</v>
      </c>
      <c r="K3267" t="s">
        <v>1092</v>
      </c>
      <c r="M3267">
        <v>0.9</v>
      </c>
      <c r="N3267">
        <v>312</v>
      </c>
      <c r="O3267" t="s">
        <v>5</v>
      </c>
      <c r="Q3267" t="s">
        <v>4192</v>
      </c>
      <c r="R3267" t="s">
        <v>3993</v>
      </c>
      <c r="S3267" t="s">
        <v>3994</v>
      </c>
      <c r="T3267" t="s">
        <v>3995</v>
      </c>
    </row>
    <row r="3268" spans="1:20" x14ac:dyDescent="0.25">
      <c r="A3268" t="s">
        <v>44</v>
      </c>
      <c r="B3268" t="s">
        <v>51</v>
      </c>
      <c r="C3268" t="s">
        <v>32</v>
      </c>
      <c r="D3268" t="s">
        <v>522</v>
      </c>
      <c r="E3268" t="s">
        <v>4181</v>
      </c>
      <c r="F3268" t="s">
        <v>35</v>
      </c>
      <c r="G3268" t="s">
        <v>35</v>
      </c>
      <c r="H3268" t="s">
        <v>35</v>
      </c>
      <c r="J3268" t="s">
        <v>4191</v>
      </c>
      <c r="K3268" t="s">
        <v>1092</v>
      </c>
      <c r="M3268">
        <v>2.8</v>
      </c>
      <c r="N3268">
        <v>266</v>
      </c>
      <c r="O3268" t="s">
        <v>5</v>
      </c>
      <c r="Q3268" t="s">
        <v>1989</v>
      </c>
      <c r="R3268" t="s">
        <v>3993</v>
      </c>
      <c r="S3268" t="s">
        <v>3994</v>
      </c>
      <c r="T3268" t="s">
        <v>3995</v>
      </c>
    </row>
    <row r="3269" spans="1:20" x14ac:dyDescent="0.25">
      <c r="A3269" t="s">
        <v>44</v>
      </c>
      <c r="B3269" t="s">
        <v>51</v>
      </c>
      <c r="C3269" t="s">
        <v>32</v>
      </c>
      <c r="D3269" t="s">
        <v>522</v>
      </c>
      <c r="E3269" t="s">
        <v>4181</v>
      </c>
      <c r="F3269" t="s">
        <v>35</v>
      </c>
      <c r="G3269" t="s">
        <v>35</v>
      </c>
      <c r="H3269" t="s">
        <v>35</v>
      </c>
      <c r="J3269" t="s">
        <v>4206</v>
      </c>
      <c r="K3269" t="s">
        <v>1092</v>
      </c>
      <c r="M3269">
        <v>2.1</v>
      </c>
      <c r="N3269">
        <v>266</v>
      </c>
      <c r="O3269" t="s">
        <v>5</v>
      </c>
      <c r="Q3269" t="s">
        <v>1989</v>
      </c>
      <c r="R3269" t="s">
        <v>3993</v>
      </c>
      <c r="S3269" t="s">
        <v>3994</v>
      </c>
      <c r="T3269" t="s">
        <v>3995</v>
      </c>
    </row>
    <row r="3270" spans="1:20" x14ac:dyDescent="0.25">
      <c r="A3270" t="s">
        <v>59</v>
      </c>
      <c r="B3270" t="s">
        <v>60</v>
      </c>
      <c r="C3270" t="s">
        <v>32</v>
      </c>
      <c r="D3270" t="s">
        <v>522</v>
      </c>
      <c r="E3270" t="s">
        <v>523</v>
      </c>
      <c r="F3270" t="s">
        <v>35</v>
      </c>
      <c r="G3270" t="s">
        <v>35</v>
      </c>
      <c r="H3270" t="s">
        <v>35</v>
      </c>
      <c r="J3270" t="s">
        <v>4028</v>
      </c>
      <c r="K3270" t="s">
        <v>1092</v>
      </c>
      <c r="M3270">
        <v>3</v>
      </c>
      <c r="N3270">
        <v>127</v>
      </c>
      <c r="O3270" t="s">
        <v>38</v>
      </c>
      <c r="Q3270" t="s">
        <v>3640</v>
      </c>
      <c r="R3270" t="s">
        <v>3993</v>
      </c>
      <c r="S3270" t="s">
        <v>3994</v>
      </c>
      <c r="T3270" t="s">
        <v>3995</v>
      </c>
    </row>
    <row r="3271" spans="1:20" x14ac:dyDescent="0.25">
      <c r="A3271" t="s">
        <v>44</v>
      </c>
      <c r="B3271" t="s">
        <v>51</v>
      </c>
      <c r="C3271" t="s">
        <v>32</v>
      </c>
      <c r="D3271" t="s">
        <v>522</v>
      </c>
      <c r="E3271" t="s">
        <v>523</v>
      </c>
      <c r="F3271" t="s">
        <v>35</v>
      </c>
      <c r="G3271" t="s">
        <v>35</v>
      </c>
      <c r="H3271" t="s">
        <v>35</v>
      </c>
      <c r="J3271" t="s">
        <v>4028</v>
      </c>
      <c r="K3271" t="s">
        <v>1092</v>
      </c>
      <c r="M3271">
        <v>0.3</v>
      </c>
      <c r="N3271">
        <v>267</v>
      </c>
      <c r="O3271" t="s">
        <v>5</v>
      </c>
      <c r="Q3271" t="s">
        <v>4029</v>
      </c>
      <c r="R3271" t="s">
        <v>3993</v>
      </c>
      <c r="S3271" t="s">
        <v>3994</v>
      </c>
      <c r="T3271" t="s">
        <v>3995</v>
      </c>
    </row>
    <row r="3272" spans="1:20" x14ac:dyDescent="0.25">
      <c r="A3272" t="s">
        <v>30</v>
      </c>
      <c r="B3272" t="s">
        <v>31</v>
      </c>
      <c r="C3272" t="s">
        <v>32</v>
      </c>
      <c r="D3272" t="s">
        <v>522</v>
      </c>
      <c r="E3272" t="s">
        <v>4181</v>
      </c>
      <c r="F3272" t="s">
        <v>35</v>
      </c>
      <c r="G3272" t="s">
        <v>35</v>
      </c>
      <c r="H3272" t="s">
        <v>35</v>
      </c>
      <c r="J3272" t="s">
        <v>4184</v>
      </c>
      <c r="K3272" t="s">
        <v>1092</v>
      </c>
      <c r="M3272">
        <v>5.0000000000000001E-3</v>
      </c>
      <c r="N3272">
        <v>1399</v>
      </c>
      <c r="O3272" t="s">
        <v>575</v>
      </c>
      <c r="Q3272" t="s">
        <v>2957</v>
      </c>
      <c r="R3272" t="s">
        <v>3993</v>
      </c>
      <c r="S3272" t="s">
        <v>3994</v>
      </c>
      <c r="T3272" t="s">
        <v>3995</v>
      </c>
    </row>
    <row r="3273" spans="1:20" x14ac:dyDescent="0.25">
      <c r="A3273" t="s">
        <v>44</v>
      </c>
      <c r="B3273" t="s">
        <v>51</v>
      </c>
      <c r="C3273" t="s">
        <v>32</v>
      </c>
      <c r="D3273" t="s">
        <v>522</v>
      </c>
      <c r="E3273" t="s">
        <v>523</v>
      </c>
      <c r="F3273" t="s">
        <v>35</v>
      </c>
      <c r="G3273" t="s">
        <v>35</v>
      </c>
      <c r="H3273" t="s">
        <v>35</v>
      </c>
      <c r="J3273" t="s">
        <v>3992</v>
      </c>
      <c r="K3273" t="s">
        <v>1092</v>
      </c>
      <c r="M3273">
        <v>1.4</v>
      </c>
      <c r="N3273">
        <v>266</v>
      </c>
      <c r="O3273" t="s">
        <v>5</v>
      </c>
      <c r="Q3273" t="s">
        <v>1989</v>
      </c>
      <c r="R3273" t="s">
        <v>3993</v>
      </c>
      <c r="S3273" t="s">
        <v>3994</v>
      </c>
      <c r="T3273" t="s">
        <v>3995</v>
      </c>
    </row>
    <row r="3274" spans="1:20" x14ac:dyDescent="0.25">
      <c r="A3274" t="s">
        <v>30</v>
      </c>
      <c r="B3274" t="s">
        <v>31</v>
      </c>
      <c r="C3274" t="s">
        <v>32</v>
      </c>
      <c r="D3274" t="s">
        <v>522</v>
      </c>
      <c r="E3274" t="s">
        <v>523</v>
      </c>
      <c r="F3274" t="s">
        <v>35</v>
      </c>
      <c r="G3274" t="s">
        <v>35</v>
      </c>
      <c r="H3274" t="s">
        <v>35</v>
      </c>
      <c r="J3274" t="s">
        <v>4020</v>
      </c>
      <c r="K3274" t="s">
        <v>1092</v>
      </c>
      <c r="M3274">
        <v>3.15</v>
      </c>
      <c r="N3274">
        <v>1383</v>
      </c>
      <c r="O3274" t="s">
        <v>575</v>
      </c>
      <c r="Q3274" t="s">
        <v>4021</v>
      </c>
      <c r="R3274" t="s">
        <v>3993</v>
      </c>
      <c r="S3274" t="s">
        <v>3994</v>
      </c>
      <c r="T3274" t="s">
        <v>3995</v>
      </c>
    </row>
    <row r="3275" spans="1:20" x14ac:dyDescent="0.25">
      <c r="A3275" t="s">
        <v>59</v>
      </c>
      <c r="B3275" t="s">
        <v>60</v>
      </c>
      <c r="C3275" t="s">
        <v>32</v>
      </c>
      <c r="D3275" t="s">
        <v>522</v>
      </c>
      <c r="E3275" t="s">
        <v>565</v>
      </c>
      <c r="F3275" t="s">
        <v>35</v>
      </c>
      <c r="G3275" t="s">
        <v>35</v>
      </c>
      <c r="H3275" t="s">
        <v>35</v>
      </c>
      <c r="J3275" t="s">
        <v>4337</v>
      </c>
      <c r="K3275" t="s">
        <v>1092</v>
      </c>
      <c r="M3275">
        <v>2.5000000000000001E-2</v>
      </c>
      <c r="N3275">
        <v>135</v>
      </c>
      <c r="O3275" t="s">
        <v>38</v>
      </c>
      <c r="Q3275" t="s">
        <v>2067</v>
      </c>
      <c r="R3275" t="s">
        <v>3948</v>
      </c>
      <c r="S3275" t="s">
        <v>3949</v>
      </c>
      <c r="T3275" t="s">
        <v>3950</v>
      </c>
    </row>
    <row r="3276" spans="1:20" x14ac:dyDescent="0.25">
      <c r="A3276" t="s">
        <v>59</v>
      </c>
      <c r="B3276" t="s">
        <v>60</v>
      </c>
      <c r="C3276" t="s">
        <v>32</v>
      </c>
      <c r="D3276" t="s">
        <v>522</v>
      </c>
      <c r="E3276" t="s">
        <v>565</v>
      </c>
      <c r="F3276" t="s">
        <v>35</v>
      </c>
      <c r="G3276" t="s">
        <v>35</v>
      </c>
      <c r="H3276" t="s">
        <v>35</v>
      </c>
      <c r="J3276" t="s">
        <v>4118</v>
      </c>
      <c r="K3276" t="s">
        <v>1092</v>
      </c>
      <c r="M3276">
        <v>2.5000000000000001E-2</v>
      </c>
      <c r="N3276">
        <v>76</v>
      </c>
      <c r="O3276" t="s">
        <v>61</v>
      </c>
      <c r="Q3276" t="s">
        <v>455</v>
      </c>
      <c r="R3276" t="s">
        <v>3948</v>
      </c>
      <c r="S3276" t="s">
        <v>3949</v>
      </c>
      <c r="T3276" t="s">
        <v>3950</v>
      </c>
    </row>
    <row r="3277" spans="1:20" x14ac:dyDescent="0.25">
      <c r="A3277" t="s">
        <v>44</v>
      </c>
      <c r="B3277" t="s">
        <v>51</v>
      </c>
      <c r="C3277" t="s">
        <v>32</v>
      </c>
      <c r="D3277" t="s">
        <v>522</v>
      </c>
      <c r="E3277" t="s">
        <v>533</v>
      </c>
      <c r="F3277" t="s">
        <v>35</v>
      </c>
      <c r="G3277" t="s">
        <v>35</v>
      </c>
      <c r="H3277" t="s">
        <v>35</v>
      </c>
      <c r="J3277" t="s">
        <v>4075</v>
      </c>
      <c r="K3277" t="s">
        <v>1092</v>
      </c>
      <c r="M3277">
        <v>18</v>
      </c>
      <c r="N3277">
        <v>62</v>
      </c>
      <c r="O3277" t="s">
        <v>61</v>
      </c>
      <c r="Q3277" t="s">
        <v>139</v>
      </c>
      <c r="R3277" t="s">
        <v>3948</v>
      </c>
      <c r="S3277" t="s">
        <v>3949</v>
      </c>
      <c r="T3277" t="s">
        <v>3950</v>
      </c>
    </row>
    <row r="3278" spans="1:20" x14ac:dyDescent="0.25">
      <c r="A3278" t="s">
        <v>59</v>
      </c>
      <c r="B3278" t="s">
        <v>60</v>
      </c>
      <c r="C3278" t="s">
        <v>32</v>
      </c>
      <c r="D3278" t="s">
        <v>522</v>
      </c>
      <c r="E3278" t="s">
        <v>565</v>
      </c>
      <c r="F3278" t="s">
        <v>35</v>
      </c>
      <c r="G3278" t="s">
        <v>35</v>
      </c>
      <c r="H3278" t="s">
        <v>35</v>
      </c>
      <c r="J3278" t="s">
        <v>4371</v>
      </c>
      <c r="K3278" t="s">
        <v>1092</v>
      </c>
      <c r="M3278">
        <v>0.15</v>
      </c>
      <c r="N3278">
        <v>489</v>
      </c>
      <c r="O3278" t="s">
        <v>294</v>
      </c>
      <c r="Q3278" t="s">
        <v>3602</v>
      </c>
      <c r="R3278" t="s">
        <v>3948</v>
      </c>
      <c r="S3278" t="s">
        <v>3949</v>
      </c>
      <c r="T3278" t="s">
        <v>3950</v>
      </c>
    </row>
    <row r="3279" spans="1:20" x14ac:dyDescent="0.25">
      <c r="A3279" t="s">
        <v>59</v>
      </c>
      <c r="B3279" t="s">
        <v>60</v>
      </c>
      <c r="C3279" t="s">
        <v>32</v>
      </c>
      <c r="D3279" t="s">
        <v>522</v>
      </c>
      <c r="E3279" t="s">
        <v>523</v>
      </c>
      <c r="F3279" t="s">
        <v>35</v>
      </c>
      <c r="G3279" t="s">
        <v>35</v>
      </c>
      <c r="H3279" t="s">
        <v>35</v>
      </c>
      <c r="J3279" t="s">
        <v>3947</v>
      </c>
      <c r="K3279" t="s">
        <v>1092</v>
      </c>
      <c r="M3279">
        <v>0.65</v>
      </c>
      <c r="N3279">
        <v>130</v>
      </c>
      <c r="O3279" t="s">
        <v>38</v>
      </c>
      <c r="Q3279" t="s">
        <v>1602</v>
      </c>
      <c r="R3279" t="s">
        <v>3948</v>
      </c>
      <c r="S3279" t="s">
        <v>3949</v>
      </c>
      <c r="T3279" t="s">
        <v>3950</v>
      </c>
    </row>
    <row r="3280" spans="1:20" x14ac:dyDescent="0.25">
      <c r="A3280" t="s">
        <v>30</v>
      </c>
      <c r="B3280" t="s">
        <v>31</v>
      </c>
      <c r="C3280" t="s">
        <v>32</v>
      </c>
      <c r="D3280" t="s">
        <v>522</v>
      </c>
      <c r="E3280" t="s">
        <v>543</v>
      </c>
      <c r="F3280" t="s">
        <v>35</v>
      </c>
      <c r="G3280" t="s">
        <v>35</v>
      </c>
      <c r="H3280" t="s">
        <v>35</v>
      </c>
      <c r="J3280" t="s">
        <v>4147</v>
      </c>
      <c r="K3280" t="s">
        <v>1092</v>
      </c>
      <c r="M3280">
        <v>8.2799999999999994</v>
      </c>
      <c r="N3280">
        <v>872</v>
      </c>
      <c r="O3280" t="s">
        <v>575</v>
      </c>
      <c r="Q3280" t="s">
        <v>4148</v>
      </c>
      <c r="R3280" t="s">
        <v>538</v>
      </c>
      <c r="S3280" t="s">
        <v>539</v>
      </c>
      <c r="T3280" t="s">
        <v>540</v>
      </c>
    </row>
    <row r="3281" spans="1:20" x14ac:dyDescent="0.25">
      <c r="A3281" t="s">
        <v>30</v>
      </c>
      <c r="B3281" t="s">
        <v>31</v>
      </c>
      <c r="C3281" t="s">
        <v>32</v>
      </c>
      <c r="D3281" t="s">
        <v>522</v>
      </c>
      <c r="E3281" t="s">
        <v>561</v>
      </c>
      <c r="F3281" t="s">
        <v>35</v>
      </c>
      <c r="G3281" t="s">
        <v>35</v>
      </c>
      <c r="H3281" t="s">
        <v>35</v>
      </c>
      <c r="J3281" t="s">
        <v>4246</v>
      </c>
      <c r="K3281" t="s">
        <v>1092</v>
      </c>
      <c r="M3281">
        <v>11.025</v>
      </c>
      <c r="N3281">
        <v>126</v>
      </c>
      <c r="O3281" t="s">
        <v>38</v>
      </c>
      <c r="Q3281" t="s">
        <v>68</v>
      </c>
      <c r="R3281" t="s">
        <v>538</v>
      </c>
      <c r="S3281" t="s">
        <v>539</v>
      </c>
      <c r="T3281" t="s">
        <v>540</v>
      </c>
    </row>
    <row r="3282" spans="1:20" x14ac:dyDescent="0.25">
      <c r="A3282" t="s">
        <v>59</v>
      </c>
      <c r="B3282" t="s">
        <v>31</v>
      </c>
      <c r="C3282" t="s">
        <v>32</v>
      </c>
      <c r="D3282" t="s">
        <v>522</v>
      </c>
      <c r="E3282" t="s">
        <v>561</v>
      </c>
      <c r="F3282" t="s">
        <v>35</v>
      </c>
      <c r="G3282" t="s">
        <v>35</v>
      </c>
      <c r="H3282" t="s">
        <v>35</v>
      </c>
      <c r="J3282" t="s">
        <v>4246</v>
      </c>
      <c r="K3282" t="s">
        <v>1092</v>
      </c>
      <c r="M3282">
        <v>8.91</v>
      </c>
      <c r="N3282">
        <v>133</v>
      </c>
      <c r="O3282" t="s">
        <v>38</v>
      </c>
      <c r="Q3282" t="s">
        <v>609</v>
      </c>
      <c r="R3282" t="s">
        <v>538</v>
      </c>
      <c r="S3282" t="s">
        <v>539</v>
      </c>
      <c r="T3282" t="s">
        <v>540</v>
      </c>
    </row>
    <row r="3283" spans="1:20" x14ac:dyDescent="0.25">
      <c r="A3283" t="s">
        <v>30</v>
      </c>
      <c r="B3283" t="s">
        <v>31</v>
      </c>
      <c r="C3283" t="s">
        <v>32</v>
      </c>
      <c r="D3283" t="s">
        <v>522</v>
      </c>
      <c r="E3283" t="s">
        <v>561</v>
      </c>
      <c r="F3283" t="s">
        <v>35</v>
      </c>
      <c r="G3283" t="s">
        <v>35</v>
      </c>
      <c r="H3283" t="s">
        <v>35</v>
      </c>
      <c r="J3283" t="s">
        <v>4246</v>
      </c>
      <c r="K3283" t="s">
        <v>1092</v>
      </c>
      <c r="M3283">
        <v>11.025</v>
      </c>
      <c r="N3283">
        <v>90</v>
      </c>
      <c r="O3283" t="s">
        <v>61</v>
      </c>
      <c r="Q3283" t="s">
        <v>557</v>
      </c>
      <c r="R3283" t="s">
        <v>538</v>
      </c>
      <c r="S3283" t="s">
        <v>539</v>
      </c>
      <c r="T3283" t="s">
        <v>540</v>
      </c>
    </row>
    <row r="3284" spans="1:20" x14ac:dyDescent="0.25">
      <c r="A3284" t="s">
        <v>59</v>
      </c>
      <c r="B3284" t="s">
        <v>31</v>
      </c>
      <c r="C3284" t="s">
        <v>32</v>
      </c>
      <c r="D3284" t="s">
        <v>522</v>
      </c>
      <c r="E3284" t="s">
        <v>565</v>
      </c>
      <c r="F3284" t="s">
        <v>35</v>
      </c>
      <c r="G3284" t="s">
        <v>35</v>
      </c>
      <c r="H3284" t="s">
        <v>35</v>
      </c>
      <c r="J3284" t="s">
        <v>4310</v>
      </c>
      <c r="K3284" t="s">
        <v>1092</v>
      </c>
      <c r="M3284">
        <v>3.915</v>
      </c>
      <c r="N3284">
        <v>191</v>
      </c>
      <c r="O3284" t="s">
        <v>5</v>
      </c>
      <c r="Q3284" t="s">
        <v>4086</v>
      </c>
      <c r="R3284" t="s">
        <v>538</v>
      </c>
      <c r="S3284" t="s">
        <v>539</v>
      </c>
      <c r="T3284" t="s">
        <v>540</v>
      </c>
    </row>
    <row r="3285" spans="1:20" x14ac:dyDescent="0.25">
      <c r="A3285" t="s">
        <v>30</v>
      </c>
      <c r="B3285" t="s">
        <v>31</v>
      </c>
      <c r="C3285" t="s">
        <v>32</v>
      </c>
      <c r="D3285" t="s">
        <v>522</v>
      </c>
      <c r="E3285" t="s">
        <v>4207</v>
      </c>
      <c r="F3285" t="s">
        <v>35</v>
      </c>
      <c r="G3285" t="s">
        <v>35</v>
      </c>
      <c r="H3285" t="s">
        <v>35</v>
      </c>
      <c r="J3285" t="s">
        <v>4224</v>
      </c>
      <c r="K3285" t="s">
        <v>1092</v>
      </c>
      <c r="M3285">
        <v>22.05</v>
      </c>
      <c r="N3285">
        <v>42</v>
      </c>
      <c r="O3285" t="s">
        <v>52</v>
      </c>
      <c r="Q3285" t="s">
        <v>219</v>
      </c>
      <c r="R3285" t="s">
        <v>538</v>
      </c>
      <c r="S3285" t="s">
        <v>539</v>
      </c>
      <c r="T3285" t="s">
        <v>540</v>
      </c>
    </row>
    <row r="3286" spans="1:20" x14ac:dyDescent="0.25">
      <c r="A3286" t="s">
        <v>30</v>
      </c>
      <c r="B3286" t="s">
        <v>31</v>
      </c>
      <c r="C3286" t="s">
        <v>32</v>
      </c>
      <c r="D3286" t="s">
        <v>522</v>
      </c>
      <c r="E3286" t="s">
        <v>533</v>
      </c>
      <c r="F3286" t="s">
        <v>35</v>
      </c>
      <c r="G3286" t="s">
        <v>35</v>
      </c>
      <c r="H3286" t="s">
        <v>35</v>
      </c>
      <c r="J3286" t="s">
        <v>4050</v>
      </c>
      <c r="K3286" t="s">
        <v>1092</v>
      </c>
      <c r="M3286">
        <v>2.52</v>
      </c>
      <c r="N3286">
        <v>1216</v>
      </c>
      <c r="O3286" t="s">
        <v>575</v>
      </c>
      <c r="Q3286" t="s">
        <v>4051</v>
      </c>
      <c r="R3286" t="s">
        <v>538</v>
      </c>
      <c r="S3286" t="s">
        <v>539</v>
      </c>
      <c r="T3286" t="s">
        <v>540</v>
      </c>
    </row>
    <row r="3287" spans="1:20" x14ac:dyDescent="0.25">
      <c r="A3287" t="s">
        <v>30</v>
      </c>
      <c r="B3287" t="s">
        <v>31</v>
      </c>
      <c r="C3287" t="s">
        <v>32</v>
      </c>
      <c r="D3287" t="s">
        <v>522</v>
      </c>
      <c r="E3287" t="s">
        <v>533</v>
      </c>
      <c r="F3287" t="s">
        <v>35</v>
      </c>
      <c r="G3287" t="s">
        <v>35</v>
      </c>
      <c r="H3287" t="s">
        <v>35</v>
      </c>
      <c r="J3287" t="s">
        <v>4061</v>
      </c>
      <c r="K3287" t="s">
        <v>1092</v>
      </c>
      <c r="M3287">
        <v>0.01</v>
      </c>
      <c r="N3287">
        <v>148</v>
      </c>
      <c r="O3287" t="s">
        <v>38</v>
      </c>
      <c r="Q3287" t="s">
        <v>3942</v>
      </c>
      <c r="R3287" t="s">
        <v>538</v>
      </c>
      <c r="S3287" t="s">
        <v>539</v>
      </c>
      <c r="T3287" t="s">
        <v>540</v>
      </c>
    </row>
    <row r="3288" spans="1:20" x14ac:dyDescent="0.25">
      <c r="A3288" t="s">
        <v>30</v>
      </c>
      <c r="B3288" t="s">
        <v>31</v>
      </c>
      <c r="C3288" t="s">
        <v>32</v>
      </c>
      <c r="D3288" t="s">
        <v>522</v>
      </c>
      <c r="E3288" t="s">
        <v>565</v>
      </c>
      <c r="F3288" t="s">
        <v>35</v>
      </c>
      <c r="G3288" t="s">
        <v>35</v>
      </c>
      <c r="H3288" t="s">
        <v>35</v>
      </c>
      <c r="J3288" t="s">
        <v>4124</v>
      </c>
      <c r="K3288" t="s">
        <v>1092</v>
      </c>
      <c r="M3288">
        <v>1.0349999999999999</v>
      </c>
      <c r="N3288">
        <v>90</v>
      </c>
      <c r="O3288" t="s">
        <v>61</v>
      </c>
      <c r="Q3288" t="s">
        <v>557</v>
      </c>
      <c r="R3288" t="s">
        <v>538</v>
      </c>
      <c r="S3288" t="s">
        <v>539</v>
      </c>
      <c r="T3288" t="s">
        <v>540</v>
      </c>
    </row>
    <row r="3289" spans="1:20" x14ac:dyDescent="0.25">
      <c r="A3289" t="s">
        <v>30</v>
      </c>
      <c r="B3289" t="s">
        <v>31</v>
      </c>
      <c r="C3289" t="s">
        <v>32</v>
      </c>
      <c r="D3289" t="s">
        <v>522</v>
      </c>
      <c r="E3289" t="s">
        <v>565</v>
      </c>
      <c r="F3289" t="s">
        <v>35</v>
      </c>
      <c r="G3289" t="s">
        <v>35</v>
      </c>
      <c r="H3289" t="s">
        <v>35</v>
      </c>
      <c r="J3289" t="s">
        <v>4323</v>
      </c>
      <c r="K3289" t="s">
        <v>1092</v>
      </c>
      <c r="M3289">
        <v>5.4</v>
      </c>
      <c r="N3289">
        <v>42</v>
      </c>
      <c r="O3289" t="s">
        <v>52</v>
      </c>
      <c r="Q3289" t="s">
        <v>219</v>
      </c>
      <c r="R3289" t="s">
        <v>538</v>
      </c>
      <c r="S3289" t="s">
        <v>539</v>
      </c>
      <c r="T3289" t="s">
        <v>540</v>
      </c>
    </row>
    <row r="3290" spans="1:20" x14ac:dyDescent="0.25">
      <c r="A3290" t="s">
        <v>59</v>
      </c>
      <c r="B3290" t="s">
        <v>31</v>
      </c>
      <c r="C3290" t="s">
        <v>32</v>
      </c>
      <c r="D3290" t="s">
        <v>522</v>
      </c>
      <c r="E3290" t="s">
        <v>565</v>
      </c>
      <c r="F3290" t="s">
        <v>35</v>
      </c>
      <c r="G3290" t="s">
        <v>35</v>
      </c>
      <c r="H3290" t="s">
        <v>35</v>
      </c>
      <c r="J3290" t="s">
        <v>4323</v>
      </c>
      <c r="K3290" t="s">
        <v>1092</v>
      </c>
      <c r="M3290">
        <v>3.375</v>
      </c>
      <c r="N3290">
        <v>125</v>
      </c>
      <c r="O3290" t="s">
        <v>38</v>
      </c>
      <c r="Q3290" t="s">
        <v>2901</v>
      </c>
      <c r="R3290" t="s">
        <v>538</v>
      </c>
      <c r="S3290" t="s">
        <v>539</v>
      </c>
      <c r="T3290" t="s">
        <v>540</v>
      </c>
    </row>
    <row r="3291" spans="1:20" x14ac:dyDescent="0.25">
      <c r="A3291" t="s">
        <v>30</v>
      </c>
      <c r="B3291" t="s">
        <v>31</v>
      </c>
      <c r="C3291" t="s">
        <v>32</v>
      </c>
      <c r="D3291" t="s">
        <v>522</v>
      </c>
      <c r="E3291" t="s">
        <v>4181</v>
      </c>
      <c r="F3291" t="s">
        <v>35</v>
      </c>
      <c r="G3291" t="s">
        <v>35</v>
      </c>
      <c r="H3291" t="s">
        <v>35</v>
      </c>
      <c r="J3291" t="s">
        <v>4187</v>
      </c>
      <c r="K3291" t="s">
        <v>1092</v>
      </c>
      <c r="M3291">
        <v>0.36499999999999999</v>
      </c>
      <c r="N3291">
        <v>221</v>
      </c>
      <c r="O3291" t="s">
        <v>5</v>
      </c>
      <c r="Q3291" t="s">
        <v>1979</v>
      </c>
      <c r="R3291" t="s">
        <v>538</v>
      </c>
      <c r="S3291" t="s">
        <v>539</v>
      </c>
      <c r="T3291" t="s">
        <v>540</v>
      </c>
    </row>
    <row r="3292" spans="1:20" x14ac:dyDescent="0.25">
      <c r="A3292" t="s">
        <v>30</v>
      </c>
      <c r="B3292" t="s">
        <v>31</v>
      </c>
      <c r="C3292" t="s">
        <v>32</v>
      </c>
      <c r="D3292" t="s">
        <v>522</v>
      </c>
      <c r="E3292" t="s">
        <v>553</v>
      </c>
      <c r="F3292" t="s">
        <v>35</v>
      </c>
      <c r="G3292" t="s">
        <v>35</v>
      </c>
      <c r="H3292" t="s">
        <v>35</v>
      </c>
      <c r="J3292" t="s">
        <v>4167</v>
      </c>
      <c r="K3292" t="s">
        <v>1092</v>
      </c>
      <c r="M3292">
        <v>2.79</v>
      </c>
      <c r="N3292">
        <v>42</v>
      </c>
      <c r="O3292" t="s">
        <v>52</v>
      </c>
      <c r="Q3292" t="s">
        <v>219</v>
      </c>
      <c r="R3292" t="s">
        <v>538</v>
      </c>
      <c r="S3292" t="s">
        <v>539</v>
      </c>
      <c r="T3292" t="s">
        <v>540</v>
      </c>
    </row>
    <row r="3293" spans="1:20" x14ac:dyDescent="0.25">
      <c r="A3293" t="s">
        <v>59</v>
      </c>
      <c r="B3293" t="s">
        <v>31</v>
      </c>
      <c r="C3293" t="s">
        <v>32</v>
      </c>
      <c r="D3293" t="s">
        <v>522</v>
      </c>
      <c r="E3293" t="s">
        <v>561</v>
      </c>
      <c r="F3293" t="s">
        <v>35</v>
      </c>
      <c r="G3293" t="s">
        <v>35</v>
      </c>
      <c r="H3293" t="s">
        <v>35</v>
      </c>
      <c r="J3293" t="s">
        <v>4276</v>
      </c>
      <c r="K3293" t="s">
        <v>1092</v>
      </c>
      <c r="M3293">
        <v>6.84</v>
      </c>
      <c r="N3293">
        <v>164</v>
      </c>
      <c r="O3293" t="s">
        <v>38</v>
      </c>
      <c r="Q3293" t="s">
        <v>3930</v>
      </c>
      <c r="R3293" t="s">
        <v>538</v>
      </c>
      <c r="S3293" t="s">
        <v>539</v>
      </c>
      <c r="T3293" t="s">
        <v>540</v>
      </c>
    </row>
    <row r="3294" spans="1:20" x14ac:dyDescent="0.25">
      <c r="A3294" t="s">
        <v>30</v>
      </c>
      <c r="B3294" t="s">
        <v>31</v>
      </c>
      <c r="C3294" t="s">
        <v>32</v>
      </c>
      <c r="D3294" t="s">
        <v>522</v>
      </c>
      <c r="E3294" t="s">
        <v>565</v>
      </c>
      <c r="F3294" t="s">
        <v>35</v>
      </c>
      <c r="G3294" t="s">
        <v>35</v>
      </c>
      <c r="H3294" t="s">
        <v>35</v>
      </c>
      <c r="J3294" t="s">
        <v>4324</v>
      </c>
      <c r="K3294" t="s">
        <v>1092</v>
      </c>
      <c r="M3294">
        <v>0.09</v>
      </c>
      <c r="N3294">
        <v>148</v>
      </c>
      <c r="O3294" t="s">
        <v>38</v>
      </c>
      <c r="Q3294" t="s">
        <v>3942</v>
      </c>
      <c r="R3294" t="s">
        <v>538</v>
      </c>
      <c r="S3294" t="s">
        <v>539</v>
      </c>
      <c r="T3294" t="s">
        <v>540</v>
      </c>
    </row>
    <row r="3295" spans="1:20" x14ac:dyDescent="0.25">
      <c r="A3295" t="s">
        <v>59</v>
      </c>
      <c r="B3295" t="s">
        <v>31</v>
      </c>
      <c r="C3295" t="s">
        <v>32</v>
      </c>
      <c r="D3295" t="s">
        <v>522</v>
      </c>
      <c r="E3295" t="s">
        <v>565</v>
      </c>
      <c r="F3295" t="s">
        <v>35</v>
      </c>
      <c r="G3295" t="s">
        <v>35</v>
      </c>
      <c r="H3295" t="s">
        <v>35</v>
      </c>
      <c r="J3295" t="s">
        <v>4324</v>
      </c>
      <c r="K3295" t="s">
        <v>1092</v>
      </c>
      <c r="M3295">
        <v>5.49</v>
      </c>
      <c r="N3295">
        <v>133</v>
      </c>
      <c r="O3295" t="s">
        <v>38</v>
      </c>
      <c r="Q3295" t="s">
        <v>609</v>
      </c>
      <c r="R3295" t="s">
        <v>538</v>
      </c>
      <c r="S3295" t="s">
        <v>539</v>
      </c>
      <c r="T3295" t="s">
        <v>540</v>
      </c>
    </row>
    <row r="3296" spans="1:20" x14ac:dyDescent="0.25">
      <c r="A3296" t="s">
        <v>30</v>
      </c>
      <c r="B3296" t="s">
        <v>31</v>
      </c>
      <c r="C3296" t="s">
        <v>32</v>
      </c>
      <c r="D3296" t="s">
        <v>522</v>
      </c>
      <c r="E3296" t="s">
        <v>565</v>
      </c>
      <c r="F3296" t="s">
        <v>35</v>
      </c>
      <c r="G3296" t="s">
        <v>35</v>
      </c>
      <c r="H3296" t="s">
        <v>35</v>
      </c>
      <c r="J3296" t="s">
        <v>4324</v>
      </c>
      <c r="K3296" t="s">
        <v>1092</v>
      </c>
      <c r="M3296">
        <v>6.5250000000000004</v>
      </c>
      <c r="N3296">
        <v>90</v>
      </c>
      <c r="O3296" t="s">
        <v>61</v>
      </c>
      <c r="Q3296" t="s">
        <v>557</v>
      </c>
      <c r="R3296" t="s">
        <v>538</v>
      </c>
      <c r="S3296" t="s">
        <v>539</v>
      </c>
      <c r="T3296" t="s">
        <v>540</v>
      </c>
    </row>
    <row r="3297" spans="1:20" x14ac:dyDescent="0.25">
      <c r="A3297" t="s">
        <v>30</v>
      </c>
      <c r="B3297" t="s">
        <v>31</v>
      </c>
      <c r="C3297" t="s">
        <v>32</v>
      </c>
      <c r="D3297" t="s">
        <v>522</v>
      </c>
      <c r="E3297" t="s">
        <v>565</v>
      </c>
      <c r="F3297" t="s">
        <v>35</v>
      </c>
      <c r="G3297" t="s">
        <v>35</v>
      </c>
      <c r="H3297" t="s">
        <v>35</v>
      </c>
      <c r="J3297" t="s">
        <v>4343</v>
      </c>
      <c r="K3297" t="s">
        <v>1092</v>
      </c>
      <c r="M3297">
        <v>5.4</v>
      </c>
      <c r="N3297">
        <v>90</v>
      </c>
      <c r="O3297" t="s">
        <v>61</v>
      </c>
      <c r="Q3297" t="s">
        <v>557</v>
      </c>
      <c r="R3297" t="s">
        <v>538</v>
      </c>
      <c r="S3297" t="s">
        <v>539</v>
      </c>
      <c r="T3297" t="s">
        <v>540</v>
      </c>
    </row>
    <row r="3298" spans="1:20" x14ac:dyDescent="0.25">
      <c r="A3298" t="s">
        <v>30</v>
      </c>
      <c r="B3298" t="s">
        <v>31</v>
      </c>
      <c r="C3298" t="s">
        <v>32</v>
      </c>
      <c r="D3298" t="s">
        <v>522</v>
      </c>
      <c r="E3298" t="s">
        <v>543</v>
      </c>
      <c r="F3298" t="s">
        <v>35</v>
      </c>
      <c r="G3298" t="s">
        <v>35</v>
      </c>
      <c r="H3298" t="s">
        <v>35</v>
      </c>
      <c r="J3298" t="s">
        <v>4112</v>
      </c>
      <c r="K3298" t="s">
        <v>1092</v>
      </c>
      <c r="M3298">
        <v>4.4550000000000001</v>
      </c>
      <c r="N3298">
        <v>121</v>
      </c>
      <c r="O3298" t="s">
        <v>38</v>
      </c>
      <c r="Q3298" t="s">
        <v>1170</v>
      </c>
      <c r="R3298" t="s">
        <v>538</v>
      </c>
      <c r="S3298" t="s">
        <v>539</v>
      </c>
      <c r="T3298" t="s">
        <v>540</v>
      </c>
    </row>
    <row r="3299" spans="1:20" x14ac:dyDescent="0.25">
      <c r="A3299" t="s">
        <v>30</v>
      </c>
      <c r="B3299" t="s">
        <v>31</v>
      </c>
      <c r="C3299" t="s">
        <v>32</v>
      </c>
      <c r="D3299" t="s">
        <v>522</v>
      </c>
      <c r="E3299" t="s">
        <v>523</v>
      </c>
      <c r="F3299" t="s">
        <v>35</v>
      </c>
      <c r="G3299" t="s">
        <v>35</v>
      </c>
      <c r="H3299" t="s">
        <v>35</v>
      </c>
      <c r="J3299" t="s">
        <v>3965</v>
      </c>
      <c r="K3299" t="s">
        <v>1092</v>
      </c>
      <c r="M3299">
        <v>3.06</v>
      </c>
      <c r="N3299">
        <v>87</v>
      </c>
      <c r="O3299" t="s">
        <v>61</v>
      </c>
      <c r="Q3299" t="s">
        <v>394</v>
      </c>
      <c r="R3299" t="s">
        <v>538</v>
      </c>
      <c r="S3299" t="s">
        <v>539</v>
      </c>
      <c r="T3299" t="s">
        <v>540</v>
      </c>
    </row>
    <row r="3300" spans="1:20" x14ac:dyDescent="0.25">
      <c r="A3300" t="s">
        <v>30</v>
      </c>
      <c r="B3300" t="s">
        <v>31</v>
      </c>
      <c r="C3300" t="s">
        <v>32</v>
      </c>
      <c r="D3300" t="s">
        <v>522</v>
      </c>
      <c r="E3300" t="s">
        <v>4181</v>
      </c>
      <c r="F3300" t="s">
        <v>35</v>
      </c>
      <c r="G3300" t="s">
        <v>35</v>
      </c>
      <c r="H3300" t="s">
        <v>35</v>
      </c>
      <c r="J3300" t="s">
        <v>4195</v>
      </c>
      <c r="K3300" t="s">
        <v>1092</v>
      </c>
      <c r="M3300">
        <v>0.45</v>
      </c>
      <c r="N3300">
        <v>117</v>
      </c>
      <c r="O3300" t="s">
        <v>106</v>
      </c>
      <c r="Q3300" t="s">
        <v>406</v>
      </c>
      <c r="R3300" t="s">
        <v>538</v>
      </c>
      <c r="S3300" t="s">
        <v>539</v>
      </c>
      <c r="T3300" t="s">
        <v>540</v>
      </c>
    </row>
    <row r="3301" spans="1:20" x14ac:dyDescent="0.25">
      <c r="A3301" t="s">
        <v>30</v>
      </c>
      <c r="B3301" t="s">
        <v>31</v>
      </c>
      <c r="C3301" t="s">
        <v>32</v>
      </c>
      <c r="D3301" t="s">
        <v>522</v>
      </c>
      <c r="E3301" t="s">
        <v>4207</v>
      </c>
      <c r="F3301" t="s">
        <v>35</v>
      </c>
      <c r="G3301" t="s">
        <v>35</v>
      </c>
      <c r="H3301" t="s">
        <v>35</v>
      </c>
      <c r="J3301" t="s">
        <v>4220</v>
      </c>
      <c r="K3301" t="s">
        <v>1092</v>
      </c>
      <c r="M3301">
        <v>3.51</v>
      </c>
      <c r="N3301">
        <v>42</v>
      </c>
      <c r="O3301" t="s">
        <v>52</v>
      </c>
      <c r="Q3301" t="s">
        <v>219</v>
      </c>
      <c r="R3301" t="s">
        <v>538</v>
      </c>
      <c r="S3301" t="s">
        <v>539</v>
      </c>
      <c r="T3301" t="s">
        <v>540</v>
      </c>
    </row>
    <row r="3302" spans="1:20" x14ac:dyDescent="0.25">
      <c r="A3302" t="s">
        <v>59</v>
      </c>
      <c r="B3302" t="s">
        <v>31</v>
      </c>
      <c r="C3302" t="s">
        <v>32</v>
      </c>
      <c r="D3302" t="s">
        <v>522</v>
      </c>
      <c r="F3302" t="s">
        <v>35</v>
      </c>
      <c r="G3302" t="s">
        <v>35</v>
      </c>
      <c r="H3302" t="s">
        <v>35</v>
      </c>
      <c r="J3302" t="s">
        <v>4428</v>
      </c>
      <c r="K3302" t="s">
        <v>1092</v>
      </c>
      <c r="M3302">
        <v>0.45</v>
      </c>
      <c r="N3302">
        <v>1862</v>
      </c>
      <c r="O3302" t="s">
        <v>575</v>
      </c>
      <c r="Q3302" t="s">
        <v>4429</v>
      </c>
      <c r="R3302" t="s">
        <v>538</v>
      </c>
      <c r="S3302" t="s">
        <v>539</v>
      </c>
      <c r="T3302" t="s">
        <v>540</v>
      </c>
    </row>
    <row r="3303" spans="1:20" x14ac:dyDescent="0.25">
      <c r="A3303" t="s">
        <v>30</v>
      </c>
      <c r="B3303" t="s">
        <v>31</v>
      </c>
      <c r="C3303" t="s">
        <v>32</v>
      </c>
      <c r="D3303" t="s">
        <v>522</v>
      </c>
      <c r="E3303" t="s">
        <v>4207</v>
      </c>
      <c r="F3303" t="s">
        <v>35</v>
      </c>
      <c r="G3303" t="s">
        <v>35</v>
      </c>
      <c r="H3303" t="s">
        <v>35</v>
      </c>
      <c r="J3303" t="s">
        <v>1945</v>
      </c>
      <c r="K3303" t="s">
        <v>1092</v>
      </c>
      <c r="M3303">
        <v>7.67</v>
      </c>
      <c r="N3303">
        <v>104</v>
      </c>
      <c r="O3303" t="s">
        <v>106</v>
      </c>
      <c r="Q3303" t="s">
        <v>4219</v>
      </c>
      <c r="R3303" t="s">
        <v>538</v>
      </c>
      <c r="S3303" t="s">
        <v>539</v>
      </c>
      <c r="T3303" t="s">
        <v>540</v>
      </c>
    </row>
    <row r="3304" spans="1:20" x14ac:dyDescent="0.25">
      <c r="A3304" t="s">
        <v>30</v>
      </c>
      <c r="B3304" t="s">
        <v>31</v>
      </c>
      <c r="C3304" t="s">
        <v>32</v>
      </c>
      <c r="D3304" t="s">
        <v>522</v>
      </c>
      <c r="E3304" t="s">
        <v>4207</v>
      </c>
      <c r="F3304" t="s">
        <v>35</v>
      </c>
      <c r="G3304" t="s">
        <v>35</v>
      </c>
      <c r="H3304" t="s">
        <v>35</v>
      </c>
      <c r="J3304" t="s">
        <v>4235</v>
      </c>
      <c r="K3304" t="s">
        <v>1092</v>
      </c>
      <c r="M3304">
        <v>4.7249999999999996</v>
      </c>
      <c r="N3304">
        <v>872</v>
      </c>
      <c r="O3304" t="s">
        <v>575</v>
      </c>
      <c r="Q3304" t="s">
        <v>4148</v>
      </c>
      <c r="R3304" t="s">
        <v>538</v>
      </c>
      <c r="S3304" t="s">
        <v>539</v>
      </c>
      <c r="T3304" t="s">
        <v>540</v>
      </c>
    </row>
    <row r="3305" spans="1:20" x14ac:dyDescent="0.25">
      <c r="A3305" t="s">
        <v>30</v>
      </c>
      <c r="B3305" t="s">
        <v>31</v>
      </c>
      <c r="C3305" t="s">
        <v>32</v>
      </c>
      <c r="D3305" t="s">
        <v>522</v>
      </c>
      <c r="F3305" t="s">
        <v>35</v>
      </c>
      <c r="G3305" t="s">
        <v>35</v>
      </c>
      <c r="H3305" t="s">
        <v>35</v>
      </c>
      <c r="J3305" t="s">
        <v>4402</v>
      </c>
      <c r="K3305" t="s">
        <v>1092</v>
      </c>
      <c r="M3305">
        <v>9.6300000000000008</v>
      </c>
      <c r="N3305">
        <v>42</v>
      </c>
      <c r="O3305" t="s">
        <v>52</v>
      </c>
      <c r="Q3305" t="s">
        <v>219</v>
      </c>
      <c r="R3305" t="s">
        <v>538</v>
      </c>
      <c r="S3305" t="s">
        <v>539</v>
      </c>
      <c r="T3305" t="s">
        <v>540</v>
      </c>
    </row>
    <row r="3306" spans="1:20" x14ac:dyDescent="0.25">
      <c r="A3306" t="s">
        <v>30</v>
      </c>
      <c r="B3306" t="s">
        <v>31</v>
      </c>
      <c r="C3306" t="s">
        <v>32</v>
      </c>
      <c r="D3306" t="s">
        <v>522</v>
      </c>
      <c r="F3306" t="s">
        <v>35</v>
      </c>
      <c r="G3306" t="s">
        <v>35</v>
      </c>
      <c r="H3306" t="s">
        <v>35</v>
      </c>
      <c r="J3306" t="s">
        <v>4402</v>
      </c>
      <c r="K3306" t="s">
        <v>1092</v>
      </c>
      <c r="M3306">
        <v>9.9</v>
      </c>
      <c r="N3306">
        <v>21</v>
      </c>
      <c r="O3306" t="s">
        <v>46</v>
      </c>
      <c r="Q3306" t="s">
        <v>176</v>
      </c>
      <c r="R3306" t="s">
        <v>538</v>
      </c>
      <c r="S3306" t="s">
        <v>539</v>
      </c>
      <c r="T3306" t="s">
        <v>540</v>
      </c>
    </row>
    <row r="3307" spans="1:20" x14ac:dyDescent="0.25">
      <c r="A3307" t="s">
        <v>30</v>
      </c>
      <c r="B3307" t="s">
        <v>31</v>
      </c>
      <c r="C3307" t="s">
        <v>32</v>
      </c>
      <c r="D3307" t="s">
        <v>522</v>
      </c>
      <c r="E3307" t="s">
        <v>533</v>
      </c>
      <c r="F3307" t="s">
        <v>35</v>
      </c>
      <c r="G3307" t="s">
        <v>35</v>
      </c>
      <c r="H3307" t="s">
        <v>35</v>
      </c>
      <c r="J3307" t="s">
        <v>4060</v>
      </c>
      <c r="K3307" t="s">
        <v>1092</v>
      </c>
      <c r="M3307">
        <v>6.5250000000000004</v>
      </c>
      <c r="N3307">
        <v>42</v>
      </c>
      <c r="O3307" t="s">
        <v>52</v>
      </c>
      <c r="Q3307" t="s">
        <v>219</v>
      </c>
      <c r="R3307" t="s">
        <v>538</v>
      </c>
      <c r="S3307" t="s">
        <v>539</v>
      </c>
      <c r="T3307" t="s">
        <v>540</v>
      </c>
    </row>
    <row r="3308" spans="1:20" x14ac:dyDescent="0.25">
      <c r="A3308" t="s">
        <v>30</v>
      </c>
      <c r="B3308" t="s">
        <v>31</v>
      </c>
      <c r="C3308" t="s">
        <v>32</v>
      </c>
      <c r="D3308" t="s">
        <v>522</v>
      </c>
      <c r="E3308" t="s">
        <v>523</v>
      </c>
      <c r="F3308" t="s">
        <v>35</v>
      </c>
      <c r="G3308" t="s">
        <v>35</v>
      </c>
      <c r="H3308" t="s">
        <v>35</v>
      </c>
      <c r="J3308" t="s">
        <v>3990</v>
      </c>
      <c r="K3308" t="s">
        <v>1092</v>
      </c>
      <c r="M3308">
        <v>1.35</v>
      </c>
      <c r="N3308">
        <v>42</v>
      </c>
      <c r="O3308" t="s">
        <v>52</v>
      </c>
      <c r="Q3308" t="s">
        <v>219</v>
      </c>
      <c r="R3308" t="s">
        <v>538</v>
      </c>
      <c r="S3308" t="s">
        <v>539</v>
      </c>
      <c r="T3308" t="s">
        <v>540</v>
      </c>
    </row>
    <row r="3309" spans="1:20" x14ac:dyDescent="0.25">
      <c r="A3309" t="s">
        <v>30</v>
      </c>
      <c r="B3309" t="s">
        <v>31</v>
      </c>
      <c r="C3309" t="s">
        <v>32</v>
      </c>
      <c r="D3309" t="s">
        <v>522</v>
      </c>
      <c r="E3309" t="s">
        <v>543</v>
      </c>
      <c r="F3309" t="s">
        <v>35</v>
      </c>
      <c r="G3309" t="s">
        <v>35</v>
      </c>
      <c r="H3309" t="s">
        <v>35</v>
      </c>
      <c r="J3309" t="s">
        <v>4093</v>
      </c>
      <c r="K3309" t="s">
        <v>1092</v>
      </c>
      <c r="M3309">
        <v>10.125</v>
      </c>
      <c r="N3309">
        <v>126</v>
      </c>
      <c r="O3309" t="s">
        <v>38</v>
      </c>
      <c r="Q3309" t="s">
        <v>68</v>
      </c>
      <c r="R3309" t="s">
        <v>538</v>
      </c>
      <c r="S3309" t="s">
        <v>539</v>
      </c>
      <c r="T3309" t="s">
        <v>540</v>
      </c>
    </row>
    <row r="3310" spans="1:20" x14ac:dyDescent="0.25">
      <c r="A3310" t="s">
        <v>30</v>
      </c>
      <c r="B3310" t="s">
        <v>31</v>
      </c>
      <c r="C3310" t="s">
        <v>32</v>
      </c>
      <c r="D3310" t="s">
        <v>522</v>
      </c>
      <c r="E3310" t="s">
        <v>543</v>
      </c>
      <c r="F3310" t="s">
        <v>35</v>
      </c>
      <c r="G3310" t="s">
        <v>35</v>
      </c>
      <c r="H3310" t="s">
        <v>35</v>
      </c>
      <c r="J3310" t="s">
        <v>4093</v>
      </c>
      <c r="K3310" t="s">
        <v>1092</v>
      </c>
      <c r="M3310">
        <v>11.025</v>
      </c>
      <c r="N3310">
        <v>61</v>
      </c>
      <c r="O3310" t="s">
        <v>61</v>
      </c>
      <c r="Q3310" t="s">
        <v>146</v>
      </c>
      <c r="R3310" t="s">
        <v>538</v>
      </c>
      <c r="S3310" t="s">
        <v>539</v>
      </c>
      <c r="T3310" t="s">
        <v>540</v>
      </c>
    </row>
    <row r="3311" spans="1:20" x14ac:dyDescent="0.25">
      <c r="A3311" t="s">
        <v>30</v>
      </c>
      <c r="B3311" t="s">
        <v>31</v>
      </c>
      <c r="C3311" t="s">
        <v>32</v>
      </c>
      <c r="D3311" t="s">
        <v>522</v>
      </c>
      <c r="E3311" t="s">
        <v>4207</v>
      </c>
      <c r="F3311" t="s">
        <v>35</v>
      </c>
      <c r="G3311" t="s">
        <v>35</v>
      </c>
      <c r="H3311" t="s">
        <v>35</v>
      </c>
      <c r="J3311" t="s">
        <v>4231</v>
      </c>
      <c r="K3311" t="s">
        <v>1092</v>
      </c>
      <c r="M3311">
        <v>8.01</v>
      </c>
      <c r="N3311">
        <v>42</v>
      </c>
      <c r="O3311" t="s">
        <v>52</v>
      </c>
      <c r="Q3311" t="s">
        <v>219</v>
      </c>
      <c r="R3311" t="s">
        <v>538</v>
      </c>
      <c r="S3311" t="s">
        <v>539</v>
      </c>
      <c r="T3311" t="s">
        <v>540</v>
      </c>
    </row>
    <row r="3312" spans="1:20" x14ac:dyDescent="0.25">
      <c r="A3312" t="s">
        <v>30</v>
      </c>
      <c r="B3312" t="s">
        <v>31</v>
      </c>
      <c r="C3312" t="s">
        <v>32</v>
      </c>
      <c r="D3312" t="s">
        <v>522</v>
      </c>
      <c r="E3312" t="s">
        <v>533</v>
      </c>
      <c r="F3312" t="s">
        <v>35</v>
      </c>
      <c r="G3312" t="s">
        <v>35</v>
      </c>
      <c r="H3312" t="s">
        <v>35</v>
      </c>
      <c r="J3312" t="s">
        <v>4046</v>
      </c>
      <c r="K3312" t="s">
        <v>1092</v>
      </c>
      <c r="M3312">
        <v>11.025</v>
      </c>
      <c r="N3312">
        <v>497</v>
      </c>
      <c r="O3312" t="s">
        <v>294</v>
      </c>
      <c r="Q3312" t="s">
        <v>1614</v>
      </c>
      <c r="R3312" t="s">
        <v>538</v>
      </c>
      <c r="S3312" t="s">
        <v>539</v>
      </c>
      <c r="T3312" t="s">
        <v>540</v>
      </c>
    </row>
    <row r="3313" spans="1:20" x14ac:dyDescent="0.25">
      <c r="A3313" t="s">
        <v>30</v>
      </c>
      <c r="B3313" t="s">
        <v>31</v>
      </c>
      <c r="C3313" t="s">
        <v>32</v>
      </c>
      <c r="D3313" t="s">
        <v>522</v>
      </c>
      <c r="E3313" t="s">
        <v>533</v>
      </c>
      <c r="F3313" t="s">
        <v>35</v>
      </c>
      <c r="G3313" t="s">
        <v>35</v>
      </c>
      <c r="H3313" t="s">
        <v>35</v>
      </c>
      <c r="J3313" t="s">
        <v>4046</v>
      </c>
      <c r="K3313" t="s">
        <v>1092</v>
      </c>
      <c r="M3313">
        <v>6.39</v>
      </c>
      <c r="N3313">
        <v>526</v>
      </c>
      <c r="O3313" t="s">
        <v>294</v>
      </c>
      <c r="Q3313" t="s">
        <v>4047</v>
      </c>
      <c r="R3313" t="s">
        <v>538</v>
      </c>
      <c r="S3313" t="s">
        <v>539</v>
      </c>
      <c r="T3313" t="s">
        <v>540</v>
      </c>
    </row>
    <row r="3314" spans="1:20" x14ac:dyDescent="0.25">
      <c r="A3314" t="s">
        <v>30</v>
      </c>
      <c r="B3314" t="s">
        <v>31</v>
      </c>
      <c r="C3314" t="s">
        <v>32</v>
      </c>
      <c r="D3314" t="s">
        <v>522</v>
      </c>
      <c r="E3314" t="s">
        <v>523</v>
      </c>
      <c r="F3314" t="s">
        <v>35</v>
      </c>
      <c r="G3314" t="s">
        <v>35</v>
      </c>
      <c r="H3314" t="s">
        <v>35</v>
      </c>
      <c r="J3314" t="s">
        <v>3972</v>
      </c>
      <c r="K3314" t="s">
        <v>1092</v>
      </c>
      <c r="M3314">
        <v>2.2050000000000001</v>
      </c>
      <c r="N3314">
        <v>64</v>
      </c>
      <c r="O3314" t="s">
        <v>61</v>
      </c>
      <c r="Q3314" t="s">
        <v>102</v>
      </c>
      <c r="R3314" t="s">
        <v>538</v>
      </c>
      <c r="S3314" t="s">
        <v>539</v>
      </c>
      <c r="T3314" t="s">
        <v>540</v>
      </c>
    </row>
    <row r="3315" spans="1:20" x14ac:dyDescent="0.25">
      <c r="A3315" t="s">
        <v>30</v>
      </c>
      <c r="B3315" t="s">
        <v>31</v>
      </c>
      <c r="C3315" t="s">
        <v>32</v>
      </c>
      <c r="D3315" t="s">
        <v>522</v>
      </c>
      <c r="E3315" t="s">
        <v>543</v>
      </c>
      <c r="F3315" t="s">
        <v>35</v>
      </c>
      <c r="G3315" t="s">
        <v>35</v>
      </c>
      <c r="H3315" t="s">
        <v>35</v>
      </c>
      <c r="J3315" t="s">
        <v>4108</v>
      </c>
      <c r="K3315" t="s">
        <v>1092</v>
      </c>
      <c r="M3315">
        <v>11.025</v>
      </c>
      <c r="N3315">
        <v>64</v>
      </c>
      <c r="O3315" t="s">
        <v>61</v>
      </c>
      <c r="Q3315" t="s">
        <v>102</v>
      </c>
      <c r="R3315" t="s">
        <v>538</v>
      </c>
      <c r="S3315" t="s">
        <v>539</v>
      </c>
      <c r="T3315" t="s">
        <v>540</v>
      </c>
    </row>
    <row r="3316" spans="1:20" x14ac:dyDescent="0.25">
      <c r="A3316" t="s">
        <v>30</v>
      </c>
      <c r="B3316" t="s">
        <v>31</v>
      </c>
      <c r="C3316" t="s">
        <v>32</v>
      </c>
      <c r="D3316" t="s">
        <v>522</v>
      </c>
      <c r="E3316" t="s">
        <v>543</v>
      </c>
      <c r="F3316" t="s">
        <v>35</v>
      </c>
      <c r="G3316" t="s">
        <v>35</v>
      </c>
      <c r="H3316" t="s">
        <v>35</v>
      </c>
      <c r="J3316" t="s">
        <v>4108</v>
      </c>
      <c r="K3316" t="s">
        <v>1092</v>
      </c>
      <c r="M3316">
        <v>0.18</v>
      </c>
      <c r="N3316">
        <v>90</v>
      </c>
      <c r="O3316" t="s">
        <v>61</v>
      </c>
      <c r="Q3316" t="s">
        <v>557</v>
      </c>
      <c r="R3316" t="s">
        <v>538</v>
      </c>
      <c r="S3316" t="s">
        <v>539</v>
      </c>
      <c r="T3316" t="s">
        <v>540</v>
      </c>
    </row>
    <row r="3317" spans="1:20" x14ac:dyDescent="0.25">
      <c r="A3317" t="s">
        <v>30</v>
      </c>
      <c r="B3317" t="s">
        <v>31</v>
      </c>
      <c r="C3317" t="s">
        <v>32</v>
      </c>
      <c r="D3317" t="s">
        <v>522</v>
      </c>
      <c r="E3317" t="s">
        <v>523</v>
      </c>
      <c r="F3317" t="s">
        <v>35</v>
      </c>
      <c r="G3317" t="s">
        <v>35</v>
      </c>
      <c r="H3317" t="s">
        <v>35</v>
      </c>
      <c r="J3317" t="s">
        <v>3989</v>
      </c>
      <c r="K3317" t="s">
        <v>1092</v>
      </c>
      <c r="M3317">
        <v>9.4049999999999994</v>
      </c>
      <c r="N3317">
        <v>42</v>
      </c>
      <c r="O3317" t="s">
        <v>52</v>
      </c>
      <c r="Q3317" t="s">
        <v>219</v>
      </c>
      <c r="R3317" t="s">
        <v>538</v>
      </c>
      <c r="S3317" t="s">
        <v>539</v>
      </c>
      <c r="T3317" t="s">
        <v>540</v>
      </c>
    </row>
    <row r="3318" spans="1:20" x14ac:dyDescent="0.25">
      <c r="A3318" t="s">
        <v>30</v>
      </c>
      <c r="B3318" t="s">
        <v>31</v>
      </c>
      <c r="C3318" t="s">
        <v>32</v>
      </c>
      <c r="D3318" t="s">
        <v>522</v>
      </c>
      <c r="E3318" t="s">
        <v>543</v>
      </c>
      <c r="F3318" t="s">
        <v>35</v>
      </c>
      <c r="G3318" t="s">
        <v>35</v>
      </c>
      <c r="H3318" t="s">
        <v>35</v>
      </c>
      <c r="J3318" t="s">
        <v>4123</v>
      </c>
      <c r="K3318" t="s">
        <v>1092</v>
      </c>
      <c r="M3318">
        <v>2.16</v>
      </c>
      <c r="N3318">
        <v>147</v>
      </c>
      <c r="O3318" t="s">
        <v>38</v>
      </c>
      <c r="Q3318" t="s">
        <v>3398</v>
      </c>
      <c r="R3318" t="s">
        <v>538</v>
      </c>
      <c r="S3318" t="s">
        <v>539</v>
      </c>
      <c r="T3318" t="s">
        <v>540</v>
      </c>
    </row>
    <row r="3319" spans="1:20" x14ac:dyDescent="0.25">
      <c r="A3319" t="s">
        <v>30</v>
      </c>
      <c r="B3319" t="s">
        <v>31</v>
      </c>
      <c r="C3319" t="s">
        <v>32</v>
      </c>
      <c r="D3319" t="s">
        <v>522</v>
      </c>
      <c r="E3319" t="s">
        <v>561</v>
      </c>
      <c r="F3319" t="s">
        <v>35</v>
      </c>
      <c r="G3319" t="s">
        <v>35</v>
      </c>
      <c r="H3319" t="s">
        <v>35</v>
      </c>
      <c r="J3319" t="s">
        <v>4247</v>
      </c>
      <c r="K3319" t="s">
        <v>1092</v>
      </c>
      <c r="M3319">
        <v>0.05</v>
      </c>
      <c r="N3319">
        <v>147</v>
      </c>
      <c r="O3319" t="s">
        <v>38</v>
      </c>
      <c r="Q3319" t="s">
        <v>3398</v>
      </c>
      <c r="R3319" t="s">
        <v>538</v>
      </c>
      <c r="S3319" t="s">
        <v>539</v>
      </c>
      <c r="T3319" t="s">
        <v>540</v>
      </c>
    </row>
    <row r="3320" spans="1:20" x14ac:dyDescent="0.25">
      <c r="A3320" t="s">
        <v>30</v>
      </c>
      <c r="B3320" t="s">
        <v>31</v>
      </c>
      <c r="C3320" t="s">
        <v>32</v>
      </c>
      <c r="D3320" t="s">
        <v>522</v>
      </c>
      <c r="E3320" t="s">
        <v>565</v>
      </c>
      <c r="F3320" t="s">
        <v>35</v>
      </c>
      <c r="G3320" t="s">
        <v>35</v>
      </c>
      <c r="H3320" t="s">
        <v>35</v>
      </c>
      <c r="J3320" t="s">
        <v>4332</v>
      </c>
      <c r="K3320" t="s">
        <v>1092</v>
      </c>
      <c r="M3320">
        <v>2.0249999999999999</v>
      </c>
      <c r="N3320">
        <v>42</v>
      </c>
      <c r="O3320" t="s">
        <v>52</v>
      </c>
      <c r="Q3320" t="s">
        <v>219</v>
      </c>
      <c r="R3320" t="s">
        <v>538</v>
      </c>
      <c r="S3320" t="s">
        <v>539</v>
      </c>
      <c r="T3320" t="s">
        <v>540</v>
      </c>
    </row>
    <row r="3321" spans="1:20" x14ac:dyDescent="0.25">
      <c r="A3321" t="s">
        <v>30</v>
      </c>
      <c r="B3321" t="s">
        <v>31</v>
      </c>
      <c r="C3321" t="s">
        <v>32</v>
      </c>
      <c r="D3321" t="s">
        <v>522</v>
      </c>
      <c r="E3321" t="s">
        <v>523</v>
      </c>
      <c r="F3321" t="s">
        <v>35</v>
      </c>
      <c r="G3321" t="s">
        <v>35</v>
      </c>
      <c r="H3321" t="s">
        <v>35</v>
      </c>
      <c r="J3321" t="s">
        <v>4001</v>
      </c>
      <c r="K3321" t="s">
        <v>1092</v>
      </c>
      <c r="M3321">
        <v>2.7</v>
      </c>
      <c r="N3321">
        <v>387</v>
      </c>
      <c r="O3321" t="s">
        <v>294</v>
      </c>
      <c r="Q3321" t="s">
        <v>1410</v>
      </c>
      <c r="R3321" t="s">
        <v>538</v>
      </c>
      <c r="S3321" t="s">
        <v>539</v>
      </c>
      <c r="T3321" t="s">
        <v>540</v>
      </c>
    </row>
    <row r="3322" spans="1:20" x14ac:dyDescent="0.25">
      <c r="A3322" t="s">
        <v>30</v>
      </c>
      <c r="B3322" t="s">
        <v>31</v>
      </c>
      <c r="C3322" t="s">
        <v>32</v>
      </c>
      <c r="D3322" t="s">
        <v>522</v>
      </c>
      <c r="E3322" t="s">
        <v>543</v>
      </c>
      <c r="F3322" t="s">
        <v>35</v>
      </c>
      <c r="G3322" t="s">
        <v>35</v>
      </c>
      <c r="H3322" t="s">
        <v>35</v>
      </c>
      <c r="J3322" t="s">
        <v>4129</v>
      </c>
      <c r="K3322" t="s">
        <v>1092</v>
      </c>
      <c r="M3322">
        <v>11.025</v>
      </c>
      <c r="N3322">
        <v>125</v>
      </c>
      <c r="O3322" t="s">
        <v>38</v>
      </c>
      <c r="Q3322" t="s">
        <v>2901</v>
      </c>
      <c r="R3322" t="s">
        <v>538</v>
      </c>
      <c r="S3322" t="s">
        <v>539</v>
      </c>
      <c r="T3322" t="s">
        <v>540</v>
      </c>
    </row>
    <row r="3323" spans="1:20" x14ac:dyDescent="0.25">
      <c r="A3323" t="s">
        <v>30</v>
      </c>
      <c r="B3323" t="s">
        <v>31</v>
      </c>
      <c r="C3323" t="s">
        <v>32</v>
      </c>
      <c r="D3323" t="s">
        <v>522</v>
      </c>
      <c r="E3323" t="s">
        <v>561</v>
      </c>
      <c r="F3323" t="s">
        <v>35</v>
      </c>
      <c r="G3323" t="s">
        <v>35</v>
      </c>
      <c r="H3323" t="s">
        <v>35</v>
      </c>
      <c r="J3323" t="s">
        <v>4264</v>
      </c>
      <c r="K3323" t="s">
        <v>1092</v>
      </c>
      <c r="M3323">
        <v>2.9249999999999998</v>
      </c>
      <c r="N3323">
        <v>89</v>
      </c>
      <c r="O3323" t="s">
        <v>61</v>
      </c>
      <c r="Q3323" t="s">
        <v>4243</v>
      </c>
      <c r="R3323" t="s">
        <v>538</v>
      </c>
      <c r="S3323" t="s">
        <v>539</v>
      </c>
      <c r="T3323" t="s">
        <v>540</v>
      </c>
    </row>
    <row r="3324" spans="1:20" x14ac:dyDescent="0.25">
      <c r="A3324" t="s">
        <v>59</v>
      </c>
      <c r="B3324" t="s">
        <v>31</v>
      </c>
      <c r="C3324" t="s">
        <v>32</v>
      </c>
      <c r="D3324" t="s">
        <v>522</v>
      </c>
      <c r="E3324" t="s">
        <v>561</v>
      </c>
      <c r="F3324" t="s">
        <v>35</v>
      </c>
      <c r="G3324" t="s">
        <v>35</v>
      </c>
      <c r="H3324" t="s">
        <v>35</v>
      </c>
      <c r="J3324" t="s">
        <v>4264</v>
      </c>
      <c r="K3324" t="s">
        <v>1092</v>
      </c>
      <c r="M3324">
        <v>7.38</v>
      </c>
      <c r="N3324">
        <v>164</v>
      </c>
      <c r="O3324" t="s">
        <v>38</v>
      </c>
      <c r="Q3324" t="s">
        <v>3930</v>
      </c>
      <c r="R3324" t="s">
        <v>538</v>
      </c>
      <c r="S3324" t="s">
        <v>539</v>
      </c>
      <c r="T3324" t="s">
        <v>540</v>
      </c>
    </row>
    <row r="3325" spans="1:20" x14ac:dyDescent="0.25">
      <c r="A3325" t="s">
        <v>30</v>
      </c>
      <c r="B3325" t="s">
        <v>31</v>
      </c>
      <c r="C3325" t="s">
        <v>32</v>
      </c>
      <c r="D3325" t="s">
        <v>522</v>
      </c>
      <c r="E3325" t="s">
        <v>565</v>
      </c>
      <c r="F3325" t="s">
        <v>35</v>
      </c>
      <c r="G3325" t="s">
        <v>35</v>
      </c>
      <c r="H3325" t="s">
        <v>35</v>
      </c>
      <c r="J3325" t="s">
        <v>4336</v>
      </c>
      <c r="K3325" t="s">
        <v>1092</v>
      </c>
      <c r="M3325">
        <v>11.025</v>
      </c>
      <c r="N3325">
        <v>42</v>
      </c>
      <c r="O3325" t="s">
        <v>52</v>
      </c>
      <c r="Q3325" t="s">
        <v>219</v>
      </c>
      <c r="R3325" t="s">
        <v>538</v>
      </c>
      <c r="S3325" t="s">
        <v>539</v>
      </c>
      <c r="T3325" t="s">
        <v>540</v>
      </c>
    </row>
    <row r="3326" spans="1:20" x14ac:dyDescent="0.25">
      <c r="A3326" t="s">
        <v>30</v>
      </c>
      <c r="B3326" t="s">
        <v>31</v>
      </c>
      <c r="C3326" t="s">
        <v>32</v>
      </c>
      <c r="D3326" t="s">
        <v>522</v>
      </c>
      <c r="E3326" t="s">
        <v>533</v>
      </c>
      <c r="F3326" t="s">
        <v>35</v>
      </c>
      <c r="G3326" t="s">
        <v>35</v>
      </c>
      <c r="H3326" t="s">
        <v>35</v>
      </c>
      <c r="J3326" t="s">
        <v>4085</v>
      </c>
      <c r="K3326" t="s">
        <v>1092</v>
      </c>
      <c r="M3326">
        <v>8.1449999999999996</v>
      </c>
      <c r="N3326">
        <v>191</v>
      </c>
      <c r="O3326" t="s">
        <v>5</v>
      </c>
      <c r="Q3326" t="s">
        <v>4086</v>
      </c>
      <c r="R3326" t="s">
        <v>538</v>
      </c>
      <c r="S3326" t="s">
        <v>539</v>
      </c>
      <c r="T3326" t="s">
        <v>540</v>
      </c>
    </row>
    <row r="3327" spans="1:20" x14ac:dyDescent="0.25">
      <c r="A3327" t="s">
        <v>30</v>
      </c>
      <c r="B3327" t="s">
        <v>31</v>
      </c>
      <c r="C3327" t="s">
        <v>32</v>
      </c>
      <c r="D3327" t="s">
        <v>522</v>
      </c>
      <c r="E3327" t="s">
        <v>4181</v>
      </c>
      <c r="F3327" t="s">
        <v>35</v>
      </c>
      <c r="G3327" t="s">
        <v>35</v>
      </c>
      <c r="H3327" t="s">
        <v>35</v>
      </c>
      <c r="J3327" t="s">
        <v>4191</v>
      </c>
      <c r="K3327" t="s">
        <v>1092</v>
      </c>
      <c r="M3327">
        <v>5.49</v>
      </c>
      <c r="N3327">
        <v>42</v>
      </c>
      <c r="O3327" t="s">
        <v>52</v>
      </c>
      <c r="Q3327" t="s">
        <v>219</v>
      </c>
      <c r="R3327" t="s">
        <v>538</v>
      </c>
      <c r="S3327" t="s">
        <v>539</v>
      </c>
      <c r="T3327" t="s">
        <v>540</v>
      </c>
    </row>
    <row r="3328" spans="1:20" x14ac:dyDescent="0.25">
      <c r="A3328" t="s">
        <v>30</v>
      </c>
      <c r="B3328" t="s">
        <v>31</v>
      </c>
      <c r="C3328" t="s">
        <v>32</v>
      </c>
      <c r="D3328" t="s">
        <v>522</v>
      </c>
      <c r="E3328" t="s">
        <v>4181</v>
      </c>
      <c r="F3328" t="s">
        <v>35</v>
      </c>
      <c r="G3328" t="s">
        <v>35</v>
      </c>
      <c r="H3328" t="s">
        <v>35</v>
      </c>
      <c r="J3328" t="s">
        <v>4191</v>
      </c>
      <c r="K3328" t="s">
        <v>1092</v>
      </c>
      <c r="M3328">
        <v>3.1949999999999998</v>
      </c>
      <c r="N3328">
        <v>497</v>
      </c>
      <c r="O3328" t="s">
        <v>294</v>
      </c>
      <c r="Q3328" t="s">
        <v>1614</v>
      </c>
      <c r="R3328" t="s">
        <v>538</v>
      </c>
      <c r="S3328" t="s">
        <v>539</v>
      </c>
      <c r="T3328" t="s">
        <v>540</v>
      </c>
    </row>
    <row r="3329" spans="1:20" x14ac:dyDescent="0.25">
      <c r="A3329" t="s">
        <v>30</v>
      </c>
      <c r="B3329" t="s">
        <v>31</v>
      </c>
      <c r="C3329" t="s">
        <v>32</v>
      </c>
      <c r="D3329" t="s">
        <v>522</v>
      </c>
      <c r="E3329" t="s">
        <v>565</v>
      </c>
      <c r="F3329" t="s">
        <v>35</v>
      </c>
      <c r="G3329" t="s">
        <v>35</v>
      </c>
      <c r="H3329" t="s">
        <v>35</v>
      </c>
      <c r="J3329" t="s">
        <v>4325</v>
      </c>
      <c r="K3329" t="s">
        <v>1092</v>
      </c>
      <c r="M3329">
        <v>3.105</v>
      </c>
      <c r="N3329">
        <v>42</v>
      </c>
      <c r="O3329" t="s">
        <v>52</v>
      </c>
      <c r="Q3329" t="s">
        <v>219</v>
      </c>
      <c r="R3329" t="s">
        <v>538</v>
      </c>
      <c r="S3329" t="s">
        <v>539</v>
      </c>
      <c r="T3329" t="s">
        <v>540</v>
      </c>
    </row>
    <row r="3330" spans="1:20" x14ac:dyDescent="0.25">
      <c r="A3330" t="s">
        <v>30</v>
      </c>
      <c r="B3330" t="s">
        <v>31</v>
      </c>
      <c r="C3330" t="s">
        <v>32</v>
      </c>
      <c r="D3330" t="s">
        <v>522</v>
      </c>
      <c r="E3330" t="s">
        <v>561</v>
      </c>
      <c r="F3330" t="s">
        <v>35</v>
      </c>
      <c r="G3330" t="s">
        <v>35</v>
      </c>
      <c r="H3330" t="s">
        <v>35</v>
      </c>
      <c r="J3330" t="s">
        <v>544</v>
      </c>
      <c r="K3330" t="s">
        <v>1092</v>
      </c>
      <c r="M3330">
        <v>4.4550000000000001</v>
      </c>
      <c r="N3330">
        <v>100</v>
      </c>
      <c r="O3330" t="s">
        <v>106</v>
      </c>
      <c r="Q3330" t="s">
        <v>1621</v>
      </c>
      <c r="R3330" t="s">
        <v>538</v>
      </c>
      <c r="S3330" t="s">
        <v>539</v>
      </c>
      <c r="T3330" t="s">
        <v>540</v>
      </c>
    </row>
    <row r="3331" spans="1:20" x14ac:dyDescent="0.25">
      <c r="A3331" t="s">
        <v>30</v>
      </c>
      <c r="B3331" t="s">
        <v>31</v>
      </c>
      <c r="C3331" t="s">
        <v>32</v>
      </c>
      <c r="D3331" t="s">
        <v>522</v>
      </c>
      <c r="E3331" t="s">
        <v>523</v>
      </c>
      <c r="F3331" t="s">
        <v>35</v>
      </c>
      <c r="G3331" t="s">
        <v>35</v>
      </c>
      <c r="H3331" t="s">
        <v>35</v>
      </c>
      <c r="J3331" t="s">
        <v>3953</v>
      </c>
      <c r="K3331" t="s">
        <v>1092</v>
      </c>
      <c r="M3331">
        <v>4.04</v>
      </c>
      <c r="N3331">
        <v>20</v>
      </c>
      <c r="O3331" t="s">
        <v>46</v>
      </c>
      <c r="Q3331" t="s">
        <v>1011</v>
      </c>
      <c r="R3331" t="s">
        <v>538</v>
      </c>
      <c r="S3331" t="s">
        <v>539</v>
      </c>
      <c r="T3331" t="s">
        <v>540</v>
      </c>
    </row>
    <row r="3332" spans="1:20" x14ac:dyDescent="0.25">
      <c r="A3332" t="s">
        <v>30</v>
      </c>
      <c r="B3332" t="s">
        <v>31</v>
      </c>
      <c r="C3332" t="s">
        <v>32</v>
      </c>
      <c r="D3332" t="s">
        <v>522</v>
      </c>
      <c r="E3332" t="s">
        <v>4181</v>
      </c>
      <c r="F3332" t="s">
        <v>35</v>
      </c>
      <c r="G3332" t="s">
        <v>35</v>
      </c>
      <c r="H3332" t="s">
        <v>35</v>
      </c>
      <c r="J3332" t="s">
        <v>4206</v>
      </c>
      <c r="K3332" t="s">
        <v>1092</v>
      </c>
      <c r="M3332">
        <v>4.2750000000000004</v>
      </c>
      <c r="N3332">
        <v>405</v>
      </c>
      <c r="O3332" t="s">
        <v>294</v>
      </c>
      <c r="Q3332" t="s">
        <v>3472</v>
      </c>
      <c r="R3332" t="s">
        <v>538</v>
      </c>
      <c r="S3332" t="s">
        <v>539</v>
      </c>
      <c r="T3332" t="s">
        <v>540</v>
      </c>
    </row>
    <row r="3333" spans="1:20" x14ac:dyDescent="0.25">
      <c r="A3333" t="s">
        <v>30</v>
      </c>
      <c r="B3333" t="s">
        <v>31</v>
      </c>
      <c r="C3333" t="s">
        <v>32</v>
      </c>
      <c r="D3333" t="s">
        <v>522</v>
      </c>
      <c r="E3333" t="s">
        <v>523</v>
      </c>
      <c r="F3333" t="s">
        <v>35</v>
      </c>
      <c r="G3333" t="s">
        <v>35</v>
      </c>
      <c r="H3333" t="s">
        <v>35</v>
      </c>
      <c r="J3333" t="s">
        <v>3980</v>
      </c>
      <c r="K3333" t="s">
        <v>1092</v>
      </c>
      <c r="M3333">
        <v>3.24</v>
      </c>
      <c r="N3333">
        <v>87</v>
      </c>
      <c r="O3333" t="s">
        <v>61</v>
      </c>
      <c r="Q3333" t="s">
        <v>394</v>
      </c>
      <c r="R3333" t="s">
        <v>538</v>
      </c>
      <c r="S3333" t="s">
        <v>539</v>
      </c>
      <c r="T3333" t="s">
        <v>540</v>
      </c>
    </row>
    <row r="3334" spans="1:20" x14ac:dyDescent="0.25">
      <c r="A3334" t="s">
        <v>30</v>
      </c>
      <c r="B3334" t="s">
        <v>31</v>
      </c>
      <c r="C3334" t="s">
        <v>32</v>
      </c>
      <c r="D3334" t="s">
        <v>522</v>
      </c>
      <c r="E3334" t="s">
        <v>523</v>
      </c>
      <c r="F3334" t="s">
        <v>35</v>
      </c>
      <c r="G3334" t="s">
        <v>35</v>
      </c>
      <c r="H3334" t="s">
        <v>35</v>
      </c>
      <c r="J3334" t="s">
        <v>3980</v>
      </c>
      <c r="K3334" t="s">
        <v>1092</v>
      </c>
      <c r="M3334">
        <v>5.49</v>
      </c>
      <c r="N3334">
        <v>42</v>
      </c>
      <c r="O3334" t="s">
        <v>52</v>
      </c>
      <c r="Q3334" t="s">
        <v>219</v>
      </c>
      <c r="R3334" t="s">
        <v>538</v>
      </c>
      <c r="S3334" t="s">
        <v>539</v>
      </c>
      <c r="T3334" t="s">
        <v>540</v>
      </c>
    </row>
    <row r="3335" spans="1:20" x14ac:dyDescent="0.25">
      <c r="A3335" t="s">
        <v>30</v>
      </c>
      <c r="B3335" t="s">
        <v>31</v>
      </c>
      <c r="C3335" t="s">
        <v>32</v>
      </c>
      <c r="D3335" t="s">
        <v>522</v>
      </c>
      <c r="E3335" t="s">
        <v>523</v>
      </c>
      <c r="F3335" t="s">
        <v>35</v>
      </c>
      <c r="G3335" t="s">
        <v>35</v>
      </c>
      <c r="H3335" t="s">
        <v>35</v>
      </c>
      <c r="J3335" t="s">
        <v>3980</v>
      </c>
      <c r="K3335" t="s">
        <v>1092</v>
      </c>
      <c r="M3335">
        <v>5.5350000000000001</v>
      </c>
      <c r="N3335">
        <v>64</v>
      </c>
      <c r="O3335" t="s">
        <v>61</v>
      </c>
      <c r="Q3335" t="s">
        <v>102</v>
      </c>
      <c r="R3335" t="s">
        <v>538</v>
      </c>
      <c r="S3335" t="s">
        <v>539</v>
      </c>
      <c r="T3335" t="s">
        <v>540</v>
      </c>
    </row>
    <row r="3336" spans="1:20" x14ac:dyDescent="0.25">
      <c r="A3336" t="s">
        <v>30</v>
      </c>
      <c r="B3336" t="s">
        <v>31</v>
      </c>
      <c r="C3336" t="s">
        <v>32</v>
      </c>
      <c r="D3336" t="s">
        <v>522</v>
      </c>
      <c r="E3336" t="s">
        <v>543</v>
      </c>
      <c r="F3336" t="s">
        <v>35</v>
      </c>
      <c r="G3336" t="s">
        <v>35</v>
      </c>
      <c r="H3336" t="s">
        <v>35</v>
      </c>
      <c r="J3336" t="s">
        <v>4109</v>
      </c>
      <c r="K3336" t="s">
        <v>1092</v>
      </c>
      <c r="M3336">
        <v>7.875</v>
      </c>
      <c r="N3336">
        <v>42</v>
      </c>
      <c r="O3336" t="s">
        <v>52</v>
      </c>
      <c r="Q3336" t="s">
        <v>219</v>
      </c>
      <c r="R3336" t="s">
        <v>538</v>
      </c>
      <c r="S3336" t="s">
        <v>539</v>
      </c>
      <c r="T3336" t="s">
        <v>540</v>
      </c>
    </row>
    <row r="3337" spans="1:20" x14ac:dyDescent="0.25">
      <c r="A3337" t="s">
        <v>30</v>
      </c>
      <c r="B3337" t="s">
        <v>31</v>
      </c>
      <c r="C3337" t="s">
        <v>32</v>
      </c>
      <c r="D3337" t="s">
        <v>522</v>
      </c>
      <c r="E3337" t="s">
        <v>561</v>
      </c>
      <c r="F3337" t="s">
        <v>35</v>
      </c>
      <c r="G3337" t="s">
        <v>35</v>
      </c>
      <c r="H3337" t="s">
        <v>35</v>
      </c>
      <c r="J3337" t="s">
        <v>4259</v>
      </c>
      <c r="K3337" t="s">
        <v>1092</v>
      </c>
      <c r="M3337">
        <v>15.164999999999999</v>
      </c>
      <c r="N3337">
        <v>61</v>
      </c>
      <c r="O3337" t="s">
        <v>61</v>
      </c>
      <c r="Q3337" t="s">
        <v>146</v>
      </c>
      <c r="R3337" t="s">
        <v>538</v>
      </c>
      <c r="S3337" t="s">
        <v>539</v>
      </c>
      <c r="T3337" t="s">
        <v>540</v>
      </c>
    </row>
    <row r="3338" spans="1:20" x14ac:dyDescent="0.25">
      <c r="A3338" t="s">
        <v>59</v>
      </c>
      <c r="B3338" t="s">
        <v>60</v>
      </c>
      <c r="C3338" t="s">
        <v>32</v>
      </c>
      <c r="D3338" t="s">
        <v>522</v>
      </c>
      <c r="E3338" t="s">
        <v>561</v>
      </c>
      <c r="F3338" t="s">
        <v>35</v>
      </c>
      <c r="G3338" t="s">
        <v>35</v>
      </c>
      <c r="H3338" t="s">
        <v>35</v>
      </c>
      <c r="J3338" t="s">
        <v>562</v>
      </c>
      <c r="K3338" t="s">
        <v>37</v>
      </c>
      <c r="M3338">
        <v>9</v>
      </c>
      <c r="N3338">
        <v>131</v>
      </c>
      <c r="O3338" t="s">
        <v>38</v>
      </c>
      <c r="P3338" t="s">
        <v>564</v>
      </c>
      <c r="Q3338" t="s">
        <v>542</v>
      </c>
      <c r="R3338" t="s">
        <v>538</v>
      </c>
      <c r="S3338" t="s">
        <v>539</v>
      </c>
      <c r="T3338" t="s">
        <v>540</v>
      </c>
    </row>
    <row r="3339" spans="1:20" x14ac:dyDescent="0.25">
      <c r="A3339" t="s">
        <v>30</v>
      </c>
      <c r="B3339" t="s">
        <v>31</v>
      </c>
      <c r="C3339" t="s">
        <v>32</v>
      </c>
      <c r="D3339" t="s">
        <v>522</v>
      </c>
      <c r="E3339" t="s">
        <v>533</v>
      </c>
      <c r="F3339" t="s">
        <v>35</v>
      </c>
      <c r="G3339" t="s">
        <v>35</v>
      </c>
      <c r="H3339" t="s">
        <v>35</v>
      </c>
      <c r="J3339" t="s">
        <v>4088</v>
      </c>
      <c r="K3339" t="s">
        <v>1092</v>
      </c>
      <c r="M3339">
        <v>1.17</v>
      </c>
      <c r="N3339">
        <v>148</v>
      </c>
      <c r="O3339" t="s">
        <v>38</v>
      </c>
      <c r="Q3339" t="s">
        <v>3942</v>
      </c>
      <c r="R3339" t="s">
        <v>538</v>
      </c>
      <c r="S3339" t="s">
        <v>539</v>
      </c>
      <c r="T3339" t="s">
        <v>540</v>
      </c>
    </row>
    <row r="3340" spans="1:20" x14ac:dyDescent="0.25">
      <c r="A3340" t="s">
        <v>59</v>
      </c>
      <c r="B3340" t="s">
        <v>60</v>
      </c>
      <c r="C3340" t="s">
        <v>32</v>
      </c>
      <c r="D3340" t="s">
        <v>522</v>
      </c>
      <c r="E3340" t="s">
        <v>553</v>
      </c>
      <c r="F3340" t="s">
        <v>35</v>
      </c>
      <c r="G3340" t="s">
        <v>35</v>
      </c>
      <c r="H3340" t="s">
        <v>35</v>
      </c>
      <c r="J3340" t="s">
        <v>554</v>
      </c>
      <c r="K3340" t="s">
        <v>37</v>
      </c>
      <c r="M3340">
        <v>4.5</v>
      </c>
      <c r="N3340">
        <v>90</v>
      </c>
      <c r="O3340" t="s">
        <v>61</v>
      </c>
      <c r="P3340" t="s">
        <v>556</v>
      </c>
      <c r="Q3340" t="s">
        <v>557</v>
      </c>
      <c r="R3340" t="s">
        <v>538</v>
      </c>
      <c r="S3340" t="s">
        <v>539</v>
      </c>
      <c r="T3340" t="s">
        <v>540</v>
      </c>
    </row>
    <row r="3341" spans="1:20" x14ac:dyDescent="0.25">
      <c r="A3341" t="s">
        <v>44</v>
      </c>
      <c r="B3341" t="s">
        <v>51</v>
      </c>
      <c r="C3341" t="s">
        <v>32</v>
      </c>
      <c r="D3341" t="s">
        <v>522</v>
      </c>
      <c r="E3341" t="s">
        <v>533</v>
      </c>
      <c r="F3341" t="s">
        <v>35</v>
      </c>
      <c r="G3341" t="s">
        <v>35</v>
      </c>
      <c r="H3341" t="s">
        <v>35</v>
      </c>
      <c r="J3341" t="s">
        <v>4072</v>
      </c>
      <c r="K3341" t="s">
        <v>1092</v>
      </c>
      <c r="M3341">
        <v>6</v>
      </c>
      <c r="N3341">
        <v>51</v>
      </c>
      <c r="O3341" t="s">
        <v>52</v>
      </c>
      <c r="Q3341" t="s">
        <v>58</v>
      </c>
      <c r="R3341" t="s">
        <v>538</v>
      </c>
      <c r="S3341" t="s">
        <v>539</v>
      </c>
      <c r="T3341" t="s">
        <v>540</v>
      </c>
    </row>
    <row r="3342" spans="1:20" x14ac:dyDescent="0.25">
      <c r="A3342" t="s">
        <v>30</v>
      </c>
      <c r="B3342" t="s">
        <v>31</v>
      </c>
      <c r="C3342" t="s">
        <v>32</v>
      </c>
      <c r="D3342" t="s">
        <v>522</v>
      </c>
      <c r="E3342" t="s">
        <v>553</v>
      </c>
      <c r="F3342" t="s">
        <v>35</v>
      </c>
      <c r="G3342" t="s">
        <v>35</v>
      </c>
      <c r="H3342" t="s">
        <v>35</v>
      </c>
      <c r="J3342" t="s">
        <v>554</v>
      </c>
      <c r="K3342" t="s">
        <v>1092</v>
      </c>
      <c r="M3342">
        <v>33.075000000000003</v>
      </c>
      <c r="N3342">
        <v>148</v>
      </c>
      <c r="O3342" t="s">
        <v>38</v>
      </c>
      <c r="Q3342" t="s">
        <v>3942</v>
      </c>
      <c r="R3342" t="s">
        <v>538</v>
      </c>
      <c r="S3342" t="s">
        <v>539</v>
      </c>
      <c r="T3342" t="s">
        <v>540</v>
      </c>
    </row>
    <row r="3343" spans="1:20" x14ac:dyDescent="0.25">
      <c r="A3343" t="s">
        <v>30</v>
      </c>
      <c r="B3343" t="s">
        <v>31</v>
      </c>
      <c r="C3343" t="s">
        <v>32</v>
      </c>
      <c r="D3343" t="s">
        <v>522</v>
      </c>
      <c r="E3343" t="s">
        <v>533</v>
      </c>
      <c r="F3343" t="s">
        <v>35</v>
      </c>
      <c r="G3343" t="s">
        <v>35</v>
      </c>
      <c r="H3343" t="s">
        <v>35</v>
      </c>
      <c r="J3343" t="s">
        <v>4044</v>
      </c>
      <c r="K3343" t="s">
        <v>1092</v>
      </c>
      <c r="M3343">
        <v>11.025</v>
      </c>
      <c r="N3343">
        <v>42</v>
      </c>
      <c r="O3343" t="s">
        <v>52</v>
      </c>
      <c r="Q3343" t="s">
        <v>219</v>
      </c>
      <c r="R3343" t="s">
        <v>538</v>
      </c>
      <c r="S3343" t="s">
        <v>539</v>
      </c>
      <c r="T3343" t="s">
        <v>540</v>
      </c>
    </row>
    <row r="3344" spans="1:20" x14ac:dyDescent="0.25">
      <c r="A3344" t="s">
        <v>30</v>
      </c>
      <c r="B3344" t="s">
        <v>31</v>
      </c>
      <c r="C3344" t="s">
        <v>32</v>
      </c>
      <c r="D3344" t="s">
        <v>522</v>
      </c>
      <c r="E3344" t="s">
        <v>533</v>
      </c>
      <c r="F3344" t="s">
        <v>35</v>
      </c>
      <c r="G3344" t="s">
        <v>35</v>
      </c>
      <c r="H3344" t="s">
        <v>35</v>
      </c>
      <c r="J3344" t="s">
        <v>4044</v>
      </c>
      <c r="K3344" t="s">
        <v>1092</v>
      </c>
      <c r="M3344">
        <v>6.12</v>
      </c>
      <c r="N3344">
        <v>90</v>
      </c>
      <c r="O3344" t="s">
        <v>61</v>
      </c>
      <c r="Q3344" t="s">
        <v>557</v>
      </c>
      <c r="R3344" t="s">
        <v>538</v>
      </c>
      <c r="S3344" t="s">
        <v>539</v>
      </c>
      <c r="T3344" t="s">
        <v>540</v>
      </c>
    </row>
    <row r="3345" spans="1:20" x14ac:dyDescent="0.25">
      <c r="A3345" t="s">
        <v>30</v>
      </c>
      <c r="B3345" t="s">
        <v>31</v>
      </c>
      <c r="C3345" t="s">
        <v>32</v>
      </c>
      <c r="D3345" t="s">
        <v>522</v>
      </c>
      <c r="E3345" t="s">
        <v>565</v>
      </c>
      <c r="F3345" t="s">
        <v>35</v>
      </c>
      <c r="G3345" t="s">
        <v>35</v>
      </c>
      <c r="H3345" t="s">
        <v>35</v>
      </c>
      <c r="J3345" t="s">
        <v>4329</v>
      </c>
      <c r="K3345" t="s">
        <v>1092</v>
      </c>
      <c r="M3345">
        <v>0.9</v>
      </c>
      <c r="N3345">
        <v>88</v>
      </c>
      <c r="O3345" t="s">
        <v>61</v>
      </c>
      <c r="Q3345" t="s">
        <v>724</v>
      </c>
      <c r="R3345" t="s">
        <v>538</v>
      </c>
      <c r="S3345" t="s">
        <v>539</v>
      </c>
      <c r="T3345" t="s">
        <v>540</v>
      </c>
    </row>
    <row r="3346" spans="1:20" x14ac:dyDescent="0.25">
      <c r="A3346" t="s">
        <v>59</v>
      </c>
      <c r="B3346" t="s">
        <v>31</v>
      </c>
      <c r="C3346" t="s">
        <v>32</v>
      </c>
      <c r="D3346" t="s">
        <v>522</v>
      </c>
      <c r="E3346" t="s">
        <v>565</v>
      </c>
      <c r="F3346" t="s">
        <v>35</v>
      </c>
      <c r="G3346" t="s">
        <v>35</v>
      </c>
      <c r="H3346" t="s">
        <v>35</v>
      </c>
      <c r="J3346" t="s">
        <v>4329</v>
      </c>
      <c r="K3346" t="s">
        <v>1092</v>
      </c>
      <c r="M3346">
        <v>11.025</v>
      </c>
      <c r="N3346">
        <v>86</v>
      </c>
      <c r="O3346" t="s">
        <v>61</v>
      </c>
      <c r="Q3346" t="s">
        <v>941</v>
      </c>
      <c r="R3346" t="s">
        <v>538</v>
      </c>
      <c r="S3346" t="s">
        <v>539</v>
      </c>
      <c r="T3346" t="s">
        <v>540</v>
      </c>
    </row>
    <row r="3347" spans="1:20" x14ac:dyDescent="0.25">
      <c r="A3347" t="s">
        <v>59</v>
      </c>
      <c r="B3347" t="s">
        <v>31</v>
      </c>
      <c r="C3347" t="s">
        <v>32</v>
      </c>
      <c r="D3347" t="s">
        <v>522</v>
      </c>
      <c r="E3347" t="s">
        <v>565</v>
      </c>
      <c r="F3347" t="s">
        <v>35</v>
      </c>
      <c r="G3347" t="s">
        <v>35</v>
      </c>
      <c r="H3347" t="s">
        <v>35</v>
      </c>
      <c r="J3347" t="s">
        <v>4329</v>
      </c>
      <c r="K3347" t="s">
        <v>1092</v>
      </c>
      <c r="M3347">
        <v>5.94</v>
      </c>
      <c r="N3347">
        <v>191</v>
      </c>
      <c r="O3347" t="s">
        <v>5</v>
      </c>
      <c r="Q3347" t="s">
        <v>4086</v>
      </c>
      <c r="R3347" t="s">
        <v>538</v>
      </c>
      <c r="S3347" t="s">
        <v>539</v>
      </c>
      <c r="T3347" t="s">
        <v>540</v>
      </c>
    </row>
    <row r="3348" spans="1:20" x14ac:dyDescent="0.25">
      <c r="A3348" t="s">
        <v>59</v>
      </c>
      <c r="B3348" t="s">
        <v>31</v>
      </c>
      <c r="C3348" t="s">
        <v>32</v>
      </c>
      <c r="D3348" t="s">
        <v>522</v>
      </c>
      <c r="E3348" t="s">
        <v>565</v>
      </c>
      <c r="F3348" t="s">
        <v>35</v>
      </c>
      <c r="G3348" t="s">
        <v>35</v>
      </c>
      <c r="H3348" t="s">
        <v>35</v>
      </c>
      <c r="J3348" t="s">
        <v>4329</v>
      </c>
      <c r="K3348" t="s">
        <v>1092</v>
      </c>
      <c r="M3348">
        <v>0.45</v>
      </c>
      <c r="N3348">
        <v>278</v>
      </c>
      <c r="O3348" t="s">
        <v>5</v>
      </c>
      <c r="Q3348" t="s">
        <v>1687</v>
      </c>
      <c r="R3348" t="s">
        <v>538</v>
      </c>
      <c r="S3348" t="s">
        <v>539</v>
      </c>
      <c r="T3348" t="s">
        <v>540</v>
      </c>
    </row>
    <row r="3349" spans="1:20" x14ac:dyDescent="0.25">
      <c r="A3349" t="s">
        <v>30</v>
      </c>
      <c r="B3349" t="s">
        <v>31</v>
      </c>
      <c r="C3349" t="s">
        <v>32</v>
      </c>
      <c r="D3349" t="s">
        <v>522</v>
      </c>
      <c r="E3349" t="s">
        <v>565</v>
      </c>
      <c r="F3349" t="s">
        <v>35</v>
      </c>
      <c r="G3349" t="s">
        <v>35</v>
      </c>
      <c r="H3349" t="s">
        <v>35</v>
      </c>
      <c r="J3349" t="s">
        <v>4369</v>
      </c>
      <c r="K3349" t="s">
        <v>1092</v>
      </c>
      <c r="M3349">
        <v>5.5350000000000001</v>
      </c>
      <c r="N3349">
        <v>42</v>
      </c>
      <c r="O3349" t="s">
        <v>52</v>
      </c>
      <c r="Q3349" t="s">
        <v>219</v>
      </c>
      <c r="R3349" t="s">
        <v>538</v>
      </c>
      <c r="S3349" t="s">
        <v>539</v>
      </c>
      <c r="T3349" t="s">
        <v>540</v>
      </c>
    </row>
    <row r="3350" spans="1:20" x14ac:dyDescent="0.25">
      <c r="A3350" t="s">
        <v>30</v>
      </c>
      <c r="B3350" t="s">
        <v>31</v>
      </c>
      <c r="C3350" t="s">
        <v>32</v>
      </c>
      <c r="D3350" t="s">
        <v>522</v>
      </c>
      <c r="E3350" t="s">
        <v>565</v>
      </c>
      <c r="F3350" t="s">
        <v>35</v>
      </c>
      <c r="G3350" t="s">
        <v>35</v>
      </c>
      <c r="H3350" t="s">
        <v>35</v>
      </c>
      <c r="J3350" t="s">
        <v>4319</v>
      </c>
      <c r="K3350" t="s">
        <v>1092</v>
      </c>
      <c r="M3350">
        <v>1.575</v>
      </c>
      <c r="N3350">
        <v>148</v>
      </c>
      <c r="O3350" t="s">
        <v>38</v>
      </c>
      <c r="Q3350" t="s">
        <v>3942</v>
      </c>
      <c r="R3350" t="s">
        <v>538</v>
      </c>
      <c r="S3350" t="s">
        <v>539</v>
      </c>
      <c r="T3350" t="s">
        <v>540</v>
      </c>
    </row>
    <row r="3351" spans="1:20" x14ac:dyDescent="0.25">
      <c r="A3351" t="s">
        <v>30</v>
      </c>
      <c r="B3351" t="s">
        <v>31</v>
      </c>
      <c r="C3351" t="s">
        <v>32</v>
      </c>
      <c r="D3351" t="s">
        <v>522</v>
      </c>
      <c r="E3351" t="s">
        <v>565</v>
      </c>
      <c r="F3351" t="s">
        <v>35</v>
      </c>
      <c r="G3351" t="s">
        <v>35</v>
      </c>
      <c r="H3351" t="s">
        <v>35</v>
      </c>
      <c r="J3351" t="s">
        <v>4319</v>
      </c>
      <c r="K3351" t="s">
        <v>1092</v>
      </c>
      <c r="M3351">
        <v>5.49</v>
      </c>
      <c r="N3351">
        <v>42</v>
      </c>
      <c r="O3351" t="s">
        <v>52</v>
      </c>
      <c r="Q3351" t="s">
        <v>219</v>
      </c>
      <c r="R3351" t="s">
        <v>538</v>
      </c>
      <c r="S3351" t="s">
        <v>539</v>
      </c>
      <c r="T3351" t="s">
        <v>540</v>
      </c>
    </row>
    <row r="3352" spans="1:20" x14ac:dyDescent="0.25">
      <c r="A3352" t="s">
        <v>30</v>
      </c>
      <c r="B3352" t="s">
        <v>31</v>
      </c>
      <c r="C3352" t="s">
        <v>32</v>
      </c>
      <c r="D3352" t="s">
        <v>522</v>
      </c>
      <c r="E3352" t="s">
        <v>565</v>
      </c>
      <c r="F3352" t="s">
        <v>35</v>
      </c>
      <c r="G3352" t="s">
        <v>35</v>
      </c>
      <c r="H3352" t="s">
        <v>35</v>
      </c>
      <c r="J3352" t="s">
        <v>4382</v>
      </c>
      <c r="K3352" t="s">
        <v>1092</v>
      </c>
      <c r="M3352">
        <v>5.13</v>
      </c>
      <c r="N3352">
        <v>148</v>
      </c>
      <c r="O3352" t="s">
        <v>38</v>
      </c>
      <c r="Q3352" t="s">
        <v>3942</v>
      </c>
      <c r="R3352" t="s">
        <v>538</v>
      </c>
      <c r="S3352" t="s">
        <v>539</v>
      </c>
      <c r="T3352" t="s">
        <v>540</v>
      </c>
    </row>
    <row r="3353" spans="1:20" x14ac:dyDescent="0.25">
      <c r="A3353" t="s">
        <v>30</v>
      </c>
      <c r="B3353" t="s">
        <v>31</v>
      </c>
      <c r="C3353" t="s">
        <v>32</v>
      </c>
      <c r="D3353" t="s">
        <v>522</v>
      </c>
      <c r="E3353" t="s">
        <v>543</v>
      </c>
      <c r="F3353" t="s">
        <v>35</v>
      </c>
      <c r="G3353" t="s">
        <v>35</v>
      </c>
      <c r="H3353" t="s">
        <v>35</v>
      </c>
      <c r="J3353" t="s">
        <v>4155</v>
      </c>
      <c r="K3353" t="s">
        <v>1092</v>
      </c>
      <c r="M3353">
        <v>11.16</v>
      </c>
      <c r="N3353">
        <v>64</v>
      </c>
      <c r="O3353" t="s">
        <v>61</v>
      </c>
      <c r="Q3353" t="s">
        <v>102</v>
      </c>
      <c r="R3353" t="s">
        <v>538</v>
      </c>
      <c r="S3353" t="s">
        <v>539</v>
      </c>
      <c r="T3353" t="s">
        <v>540</v>
      </c>
    </row>
    <row r="3354" spans="1:20" x14ac:dyDescent="0.25">
      <c r="A3354" t="s">
        <v>30</v>
      </c>
      <c r="B3354" t="s">
        <v>31</v>
      </c>
      <c r="C3354" t="s">
        <v>32</v>
      </c>
      <c r="D3354" t="s">
        <v>522</v>
      </c>
      <c r="E3354" t="s">
        <v>523</v>
      </c>
      <c r="F3354" t="s">
        <v>35</v>
      </c>
      <c r="G3354" t="s">
        <v>35</v>
      </c>
      <c r="H3354" t="s">
        <v>35</v>
      </c>
      <c r="J3354" t="s">
        <v>4031</v>
      </c>
      <c r="K3354" t="s">
        <v>1092</v>
      </c>
      <c r="M3354">
        <v>5.04</v>
      </c>
      <c r="N3354">
        <v>64</v>
      </c>
      <c r="O3354" t="s">
        <v>61</v>
      </c>
      <c r="Q3354" t="s">
        <v>102</v>
      </c>
      <c r="R3354" t="s">
        <v>538</v>
      </c>
      <c r="S3354" t="s">
        <v>539</v>
      </c>
      <c r="T3354" t="s">
        <v>540</v>
      </c>
    </row>
    <row r="3355" spans="1:20" x14ac:dyDescent="0.25">
      <c r="A3355" t="s">
        <v>59</v>
      </c>
      <c r="B3355" t="s">
        <v>60</v>
      </c>
      <c r="C3355" t="s">
        <v>32</v>
      </c>
      <c r="D3355" t="s">
        <v>522</v>
      </c>
      <c r="E3355" t="s">
        <v>565</v>
      </c>
      <c r="F3355" t="s">
        <v>35</v>
      </c>
      <c r="G3355" t="s">
        <v>35</v>
      </c>
      <c r="H3355" t="s">
        <v>35</v>
      </c>
      <c r="J3355" t="s">
        <v>566</v>
      </c>
      <c r="K3355" t="s">
        <v>37</v>
      </c>
      <c r="M3355">
        <v>7</v>
      </c>
      <c r="N3355">
        <v>240</v>
      </c>
      <c r="O3355" t="s">
        <v>5</v>
      </c>
      <c r="P3355" t="s">
        <v>573</v>
      </c>
      <c r="Q3355" t="s">
        <v>574</v>
      </c>
      <c r="R3355" t="s">
        <v>538</v>
      </c>
      <c r="S3355" t="s">
        <v>539</v>
      </c>
      <c r="T3355" t="s">
        <v>540</v>
      </c>
    </row>
    <row r="3356" spans="1:20" x14ac:dyDescent="0.25">
      <c r="A3356" t="s">
        <v>59</v>
      </c>
      <c r="B3356" t="s">
        <v>60</v>
      </c>
      <c r="C3356" t="s">
        <v>32</v>
      </c>
      <c r="D3356" t="s">
        <v>522</v>
      </c>
      <c r="E3356" t="s">
        <v>565</v>
      </c>
      <c r="F3356" t="s">
        <v>35</v>
      </c>
      <c r="G3356" t="s">
        <v>35</v>
      </c>
      <c r="H3356" t="s">
        <v>35</v>
      </c>
      <c r="J3356" t="s">
        <v>566</v>
      </c>
      <c r="K3356" t="s">
        <v>37</v>
      </c>
      <c r="M3356">
        <v>11.5</v>
      </c>
      <c r="N3356">
        <v>240</v>
      </c>
      <c r="O3356" t="s">
        <v>5</v>
      </c>
      <c r="P3356" t="s">
        <v>580</v>
      </c>
      <c r="Q3356" t="s">
        <v>574</v>
      </c>
      <c r="R3356" t="s">
        <v>538</v>
      </c>
      <c r="S3356" t="s">
        <v>539</v>
      </c>
      <c r="T3356" t="s">
        <v>540</v>
      </c>
    </row>
    <row r="3357" spans="1:20" x14ac:dyDescent="0.25">
      <c r="A3357" t="s">
        <v>30</v>
      </c>
      <c r="B3357" t="s">
        <v>31</v>
      </c>
      <c r="C3357" t="s">
        <v>32</v>
      </c>
      <c r="D3357" t="s">
        <v>522</v>
      </c>
      <c r="E3357" t="s">
        <v>565</v>
      </c>
      <c r="F3357" t="s">
        <v>35</v>
      </c>
      <c r="G3357" t="s">
        <v>35</v>
      </c>
      <c r="H3357" t="s">
        <v>35</v>
      </c>
      <c r="J3357" t="s">
        <v>4395</v>
      </c>
      <c r="K3357" t="s">
        <v>1092</v>
      </c>
      <c r="M3357">
        <v>8.5500000000000007</v>
      </c>
      <c r="N3357">
        <v>42</v>
      </c>
      <c r="O3357" t="s">
        <v>52</v>
      </c>
      <c r="Q3357" t="s">
        <v>219</v>
      </c>
      <c r="R3357" t="s">
        <v>538</v>
      </c>
      <c r="S3357" t="s">
        <v>539</v>
      </c>
      <c r="T3357" t="s">
        <v>540</v>
      </c>
    </row>
    <row r="3358" spans="1:20" x14ac:dyDescent="0.25">
      <c r="A3358" t="s">
        <v>30</v>
      </c>
      <c r="B3358" t="s">
        <v>31</v>
      </c>
      <c r="C3358" t="s">
        <v>32</v>
      </c>
      <c r="D3358" t="s">
        <v>522</v>
      </c>
      <c r="E3358" t="s">
        <v>561</v>
      </c>
      <c r="F3358" t="s">
        <v>35</v>
      </c>
      <c r="G3358" t="s">
        <v>35</v>
      </c>
      <c r="H3358" t="s">
        <v>35</v>
      </c>
      <c r="J3358" t="s">
        <v>4278</v>
      </c>
      <c r="K3358" t="s">
        <v>1092</v>
      </c>
      <c r="M3358">
        <v>4.95</v>
      </c>
      <c r="N3358">
        <v>90</v>
      </c>
      <c r="O3358" t="s">
        <v>61</v>
      </c>
      <c r="Q3358" t="s">
        <v>557</v>
      </c>
      <c r="R3358" t="s">
        <v>538</v>
      </c>
      <c r="S3358" t="s">
        <v>539</v>
      </c>
      <c r="T3358" t="s">
        <v>540</v>
      </c>
    </row>
    <row r="3359" spans="1:20" x14ac:dyDescent="0.25">
      <c r="A3359" t="s">
        <v>44</v>
      </c>
      <c r="B3359" t="s">
        <v>51</v>
      </c>
      <c r="C3359" t="s">
        <v>32</v>
      </c>
      <c r="D3359" t="s">
        <v>522</v>
      </c>
      <c r="E3359" t="s">
        <v>543</v>
      </c>
      <c r="F3359" t="s">
        <v>35</v>
      </c>
      <c r="G3359" t="s">
        <v>35</v>
      </c>
      <c r="H3359" t="s">
        <v>35</v>
      </c>
      <c r="J3359" t="s">
        <v>4130</v>
      </c>
      <c r="K3359" t="s">
        <v>1092</v>
      </c>
      <c r="M3359">
        <v>5.5</v>
      </c>
      <c r="N3359">
        <v>74</v>
      </c>
      <c r="O3359" t="s">
        <v>61</v>
      </c>
      <c r="Q3359" t="s">
        <v>527</v>
      </c>
      <c r="R3359" t="s">
        <v>538</v>
      </c>
      <c r="S3359" t="s">
        <v>539</v>
      </c>
      <c r="T3359" t="s">
        <v>540</v>
      </c>
    </row>
    <row r="3360" spans="1:20" x14ac:dyDescent="0.25">
      <c r="A3360" t="s">
        <v>30</v>
      </c>
      <c r="B3360" t="s">
        <v>31</v>
      </c>
      <c r="C3360" t="s">
        <v>32</v>
      </c>
      <c r="D3360" t="s">
        <v>522</v>
      </c>
      <c r="E3360" t="s">
        <v>533</v>
      </c>
      <c r="F3360" t="s">
        <v>35</v>
      </c>
      <c r="G3360" t="s">
        <v>35</v>
      </c>
      <c r="H3360" t="s">
        <v>35</v>
      </c>
      <c r="J3360" t="s">
        <v>4056</v>
      </c>
      <c r="K3360" t="s">
        <v>1092</v>
      </c>
      <c r="M3360">
        <v>0.315</v>
      </c>
      <c r="N3360">
        <v>148</v>
      </c>
      <c r="O3360" t="s">
        <v>38</v>
      </c>
      <c r="Q3360" t="s">
        <v>3942</v>
      </c>
      <c r="R3360" t="s">
        <v>538</v>
      </c>
      <c r="S3360" t="s">
        <v>539</v>
      </c>
      <c r="T3360" t="s">
        <v>540</v>
      </c>
    </row>
    <row r="3361" spans="1:20" x14ac:dyDescent="0.25">
      <c r="A3361" t="s">
        <v>30</v>
      </c>
      <c r="B3361" t="s">
        <v>31</v>
      </c>
      <c r="C3361" t="s">
        <v>32</v>
      </c>
      <c r="D3361" t="s">
        <v>522</v>
      </c>
      <c r="E3361" t="s">
        <v>565</v>
      </c>
      <c r="F3361" t="s">
        <v>35</v>
      </c>
      <c r="G3361" t="s">
        <v>35</v>
      </c>
      <c r="H3361" t="s">
        <v>35</v>
      </c>
      <c r="J3361" t="s">
        <v>4391</v>
      </c>
      <c r="K3361" t="s">
        <v>1092</v>
      </c>
      <c r="M3361">
        <v>5.5350000000000001</v>
      </c>
      <c r="N3361">
        <v>42</v>
      </c>
      <c r="O3361" t="s">
        <v>52</v>
      </c>
      <c r="Q3361" t="s">
        <v>219</v>
      </c>
      <c r="R3361" t="s">
        <v>538</v>
      </c>
      <c r="S3361" t="s">
        <v>539</v>
      </c>
      <c r="T3361" t="s">
        <v>540</v>
      </c>
    </row>
    <row r="3362" spans="1:20" x14ac:dyDescent="0.25">
      <c r="A3362" t="s">
        <v>30</v>
      </c>
      <c r="B3362" t="s">
        <v>31</v>
      </c>
      <c r="C3362" t="s">
        <v>32</v>
      </c>
      <c r="D3362" t="s">
        <v>522</v>
      </c>
      <c r="E3362" t="s">
        <v>565</v>
      </c>
      <c r="F3362" t="s">
        <v>35</v>
      </c>
      <c r="G3362" t="s">
        <v>35</v>
      </c>
      <c r="H3362" t="s">
        <v>35</v>
      </c>
      <c r="J3362" t="s">
        <v>4391</v>
      </c>
      <c r="K3362" t="s">
        <v>1092</v>
      </c>
      <c r="M3362">
        <v>3.8250000000000002</v>
      </c>
      <c r="N3362">
        <v>88</v>
      </c>
      <c r="O3362" t="s">
        <v>61</v>
      </c>
      <c r="Q3362" t="s">
        <v>724</v>
      </c>
      <c r="R3362" t="s">
        <v>538</v>
      </c>
      <c r="S3362" t="s">
        <v>539</v>
      </c>
      <c r="T3362" t="s">
        <v>540</v>
      </c>
    </row>
    <row r="3363" spans="1:20" x14ac:dyDescent="0.25">
      <c r="A3363" t="s">
        <v>30</v>
      </c>
      <c r="B3363" t="s">
        <v>31</v>
      </c>
      <c r="C3363" t="s">
        <v>32</v>
      </c>
      <c r="D3363" t="s">
        <v>522</v>
      </c>
      <c r="E3363" t="s">
        <v>565</v>
      </c>
      <c r="F3363" t="s">
        <v>35</v>
      </c>
      <c r="G3363" t="s">
        <v>35</v>
      </c>
      <c r="H3363" t="s">
        <v>35</v>
      </c>
      <c r="J3363" t="s">
        <v>4391</v>
      </c>
      <c r="K3363" t="s">
        <v>1092</v>
      </c>
      <c r="M3363">
        <v>5.625</v>
      </c>
      <c r="N3363">
        <v>142</v>
      </c>
      <c r="O3363" t="s">
        <v>38</v>
      </c>
      <c r="Q3363" t="s">
        <v>73</v>
      </c>
      <c r="R3363" t="s">
        <v>538</v>
      </c>
      <c r="S3363" t="s">
        <v>539</v>
      </c>
      <c r="T3363" t="s">
        <v>540</v>
      </c>
    </row>
    <row r="3364" spans="1:20" x14ac:dyDescent="0.25">
      <c r="A3364" t="s">
        <v>30</v>
      </c>
      <c r="B3364" t="s">
        <v>31</v>
      </c>
      <c r="C3364" t="s">
        <v>32</v>
      </c>
      <c r="D3364" t="s">
        <v>522</v>
      </c>
      <c r="E3364" t="s">
        <v>565</v>
      </c>
      <c r="F3364" t="s">
        <v>35</v>
      </c>
      <c r="G3364" t="s">
        <v>35</v>
      </c>
      <c r="H3364" t="s">
        <v>35</v>
      </c>
      <c r="J3364" t="s">
        <v>4391</v>
      </c>
      <c r="K3364" t="s">
        <v>1092</v>
      </c>
      <c r="M3364">
        <v>3.33</v>
      </c>
      <c r="N3364">
        <v>148</v>
      </c>
      <c r="O3364" t="s">
        <v>38</v>
      </c>
      <c r="Q3364" t="s">
        <v>3942</v>
      </c>
      <c r="R3364" t="s">
        <v>538</v>
      </c>
      <c r="S3364" t="s">
        <v>539</v>
      </c>
      <c r="T3364" t="s">
        <v>540</v>
      </c>
    </row>
    <row r="3365" spans="1:20" x14ac:dyDescent="0.25">
      <c r="A3365" t="s">
        <v>59</v>
      </c>
      <c r="B3365" t="s">
        <v>31</v>
      </c>
      <c r="C3365" t="s">
        <v>32</v>
      </c>
      <c r="D3365" t="s">
        <v>522</v>
      </c>
      <c r="E3365" t="s">
        <v>565</v>
      </c>
      <c r="F3365" t="s">
        <v>35</v>
      </c>
      <c r="G3365" t="s">
        <v>35</v>
      </c>
      <c r="H3365" t="s">
        <v>35</v>
      </c>
      <c r="J3365" t="s">
        <v>4391</v>
      </c>
      <c r="K3365" t="s">
        <v>1092</v>
      </c>
      <c r="M3365">
        <v>2.4750000000000001</v>
      </c>
      <c r="N3365">
        <v>164</v>
      </c>
      <c r="O3365" t="s">
        <v>38</v>
      </c>
      <c r="Q3365" t="s">
        <v>3930</v>
      </c>
      <c r="R3365" t="s">
        <v>538</v>
      </c>
      <c r="S3365" t="s">
        <v>539</v>
      </c>
      <c r="T3365" t="s">
        <v>540</v>
      </c>
    </row>
    <row r="3366" spans="1:20" x14ac:dyDescent="0.25">
      <c r="A3366" t="s">
        <v>30</v>
      </c>
      <c r="B3366" t="s">
        <v>31</v>
      </c>
      <c r="C3366" t="s">
        <v>32</v>
      </c>
      <c r="D3366" t="s">
        <v>522</v>
      </c>
      <c r="E3366" t="s">
        <v>565</v>
      </c>
      <c r="F3366" t="s">
        <v>35</v>
      </c>
      <c r="G3366" t="s">
        <v>35</v>
      </c>
      <c r="H3366" t="s">
        <v>35</v>
      </c>
      <c r="J3366" t="s">
        <v>4396</v>
      </c>
      <c r="K3366" t="s">
        <v>1092</v>
      </c>
      <c r="M3366">
        <v>5.4</v>
      </c>
      <c r="N3366">
        <v>42</v>
      </c>
      <c r="O3366" t="s">
        <v>52</v>
      </c>
      <c r="Q3366" t="s">
        <v>219</v>
      </c>
      <c r="R3366" t="s">
        <v>538</v>
      </c>
      <c r="S3366" t="s">
        <v>539</v>
      </c>
      <c r="T3366" t="s">
        <v>540</v>
      </c>
    </row>
    <row r="3367" spans="1:20" x14ac:dyDescent="0.25">
      <c r="A3367" t="s">
        <v>59</v>
      </c>
      <c r="B3367" t="s">
        <v>31</v>
      </c>
      <c r="C3367" t="s">
        <v>32</v>
      </c>
      <c r="D3367" t="s">
        <v>522</v>
      </c>
      <c r="E3367" t="s">
        <v>565</v>
      </c>
      <c r="F3367" t="s">
        <v>35</v>
      </c>
      <c r="G3367" t="s">
        <v>35</v>
      </c>
      <c r="H3367" t="s">
        <v>35</v>
      </c>
      <c r="J3367" t="s">
        <v>4383</v>
      </c>
      <c r="K3367" t="s">
        <v>1092</v>
      </c>
      <c r="M3367">
        <v>3.5550000000000002</v>
      </c>
      <c r="N3367">
        <v>133</v>
      </c>
      <c r="O3367" t="s">
        <v>38</v>
      </c>
      <c r="Q3367" t="s">
        <v>609</v>
      </c>
      <c r="R3367" t="s">
        <v>538</v>
      </c>
      <c r="S3367" t="s">
        <v>539</v>
      </c>
      <c r="T3367" t="s">
        <v>540</v>
      </c>
    </row>
    <row r="3368" spans="1:20" x14ac:dyDescent="0.25">
      <c r="A3368" t="s">
        <v>44</v>
      </c>
      <c r="B3368" t="s">
        <v>51</v>
      </c>
      <c r="C3368" t="s">
        <v>32</v>
      </c>
      <c r="D3368" t="s">
        <v>522</v>
      </c>
      <c r="E3368" t="s">
        <v>523</v>
      </c>
      <c r="F3368" t="s">
        <v>35</v>
      </c>
      <c r="G3368" t="s">
        <v>35</v>
      </c>
      <c r="H3368" t="s">
        <v>35</v>
      </c>
      <c r="J3368" t="s">
        <v>3974</v>
      </c>
      <c r="K3368" t="s">
        <v>1092</v>
      </c>
      <c r="M3368">
        <v>1.45</v>
      </c>
      <c r="N3368">
        <v>74</v>
      </c>
      <c r="O3368" t="s">
        <v>61</v>
      </c>
      <c r="Q3368" t="s">
        <v>527</v>
      </c>
      <c r="R3368" t="s">
        <v>538</v>
      </c>
      <c r="S3368" t="s">
        <v>539</v>
      </c>
      <c r="T3368" t="s">
        <v>540</v>
      </c>
    </row>
    <row r="3369" spans="1:20" x14ac:dyDescent="0.25">
      <c r="A3369" t="s">
        <v>59</v>
      </c>
      <c r="B3369" t="s">
        <v>60</v>
      </c>
      <c r="C3369" t="s">
        <v>32</v>
      </c>
      <c r="D3369" t="s">
        <v>522</v>
      </c>
      <c r="E3369" t="s">
        <v>523</v>
      </c>
      <c r="F3369" t="s">
        <v>35</v>
      </c>
      <c r="G3369" t="s">
        <v>35</v>
      </c>
      <c r="H3369" t="s">
        <v>35</v>
      </c>
      <c r="J3369" t="s">
        <v>3974</v>
      </c>
      <c r="K3369" t="s">
        <v>1092</v>
      </c>
      <c r="M3369">
        <v>0.3</v>
      </c>
      <c r="N3369">
        <v>207</v>
      </c>
      <c r="O3369" t="s">
        <v>5</v>
      </c>
      <c r="Q3369" t="s">
        <v>537</v>
      </c>
      <c r="R3369" t="s">
        <v>538</v>
      </c>
      <c r="S3369" t="s">
        <v>539</v>
      </c>
      <c r="T3369" t="s">
        <v>540</v>
      </c>
    </row>
    <row r="3370" spans="1:20" x14ac:dyDescent="0.25">
      <c r="A3370" t="s">
        <v>30</v>
      </c>
      <c r="B3370" t="s">
        <v>31</v>
      </c>
      <c r="C3370" t="s">
        <v>32</v>
      </c>
      <c r="D3370" t="s">
        <v>522</v>
      </c>
      <c r="E3370" t="s">
        <v>4207</v>
      </c>
      <c r="F3370" t="s">
        <v>35</v>
      </c>
      <c r="G3370" t="s">
        <v>35</v>
      </c>
      <c r="H3370" t="s">
        <v>35</v>
      </c>
      <c r="J3370" t="s">
        <v>4244</v>
      </c>
      <c r="K3370" t="s">
        <v>1092</v>
      </c>
      <c r="M3370">
        <v>6.7050000000000001</v>
      </c>
      <c r="N3370">
        <v>87</v>
      </c>
      <c r="O3370" t="s">
        <v>61</v>
      </c>
      <c r="Q3370" t="s">
        <v>394</v>
      </c>
      <c r="R3370" t="s">
        <v>538</v>
      </c>
      <c r="S3370" t="s">
        <v>539</v>
      </c>
      <c r="T3370" t="s">
        <v>540</v>
      </c>
    </row>
    <row r="3371" spans="1:20" x14ac:dyDescent="0.25">
      <c r="A3371" t="s">
        <v>44</v>
      </c>
      <c r="B3371" t="s">
        <v>51</v>
      </c>
      <c r="C3371" t="s">
        <v>32</v>
      </c>
      <c r="D3371" t="s">
        <v>522</v>
      </c>
      <c r="E3371" t="s">
        <v>543</v>
      </c>
      <c r="F3371" t="s">
        <v>35</v>
      </c>
      <c r="G3371" t="s">
        <v>35</v>
      </c>
      <c r="H3371" t="s">
        <v>35</v>
      </c>
      <c r="J3371" t="s">
        <v>549</v>
      </c>
      <c r="K3371" t="s">
        <v>37</v>
      </c>
      <c r="M3371">
        <v>3</v>
      </c>
      <c r="N3371">
        <v>66</v>
      </c>
      <c r="O3371" t="s">
        <v>61</v>
      </c>
      <c r="P3371" t="s">
        <v>551</v>
      </c>
      <c r="Q3371" t="s">
        <v>552</v>
      </c>
      <c r="R3371" t="s">
        <v>538</v>
      </c>
      <c r="S3371" t="s">
        <v>539</v>
      </c>
      <c r="T3371" t="s">
        <v>540</v>
      </c>
    </row>
    <row r="3372" spans="1:20" x14ac:dyDescent="0.25">
      <c r="A3372" t="s">
        <v>30</v>
      </c>
      <c r="B3372" t="s">
        <v>31</v>
      </c>
      <c r="C3372" t="s">
        <v>32</v>
      </c>
      <c r="D3372" t="s">
        <v>522</v>
      </c>
      <c r="E3372" t="s">
        <v>561</v>
      </c>
      <c r="F3372" t="s">
        <v>35</v>
      </c>
      <c r="G3372" t="s">
        <v>35</v>
      </c>
      <c r="H3372" t="s">
        <v>35</v>
      </c>
      <c r="J3372" t="s">
        <v>4296</v>
      </c>
      <c r="K3372" t="s">
        <v>1092</v>
      </c>
      <c r="M3372">
        <v>10.035</v>
      </c>
      <c r="N3372">
        <v>526</v>
      </c>
      <c r="O3372" t="s">
        <v>294</v>
      </c>
      <c r="Q3372" t="s">
        <v>4047</v>
      </c>
      <c r="R3372" t="s">
        <v>538</v>
      </c>
      <c r="S3372" t="s">
        <v>539</v>
      </c>
      <c r="T3372" t="s">
        <v>540</v>
      </c>
    </row>
    <row r="3373" spans="1:20" x14ac:dyDescent="0.25">
      <c r="A3373" t="s">
        <v>30</v>
      </c>
      <c r="B3373" t="s">
        <v>31</v>
      </c>
      <c r="C3373" t="s">
        <v>32</v>
      </c>
      <c r="D3373" t="s">
        <v>522</v>
      </c>
      <c r="E3373" t="s">
        <v>4207</v>
      </c>
      <c r="F3373" t="s">
        <v>35</v>
      </c>
      <c r="G3373" t="s">
        <v>35</v>
      </c>
      <c r="H3373" t="s">
        <v>35</v>
      </c>
      <c r="J3373" t="s">
        <v>4234</v>
      </c>
      <c r="K3373" t="s">
        <v>1092</v>
      </c>
      <c r="M3373">
        <v>1.71</v>
      </c>
      <c r="N3373">
        <v>872</v>
      </c>
      <c r="O3373" t="s">
        <v>575</v>
      </c>
      <c r="Q3373" t="s">
        <v>4148</v>
      </c>
      <c r="R3373" t="s">
        <v>538</v>
      </c>
      <c r="S3373" t="s">
        <v>539</v>
      </c>
      <c r="T3373" t="s">
        <v>540</v>
      </c>
    </row>
    <row r="3374" spans="1:20" x14ac:dyDescent="0.25">
      <c r="A3374" t="s">
        <v>30</v>
      </c>
      <c r="B3374" t="s">
        <v>31</v>
      </c>
      <c r="C3374" t="s">
        <v>32</v>
      </c>
      <c r="D3374" t="s">
        <v>522</v>
      </c>
      <c r="E3374" t="s">
        <v>543</v>
      </c>
      <c r="F3374" t="s">
        <v>35</v>
      </c>
      <c r="G3374" t="s">
        <v>35</v>
      </c>
      <c r="H3374" t="s">
        <v>35</v>
      </c>
      <c r="J3374" t="s">
        <v>4162</v>
      </c>
      <c r="K3374" t="s">
        <v>1092</v>
      </c>
      <c r="M3374">
        <v>2.4300000000000002</v>
      </c>
      <c r="N3374">
        <v>125</v>
      </c>
      <c r="O3374" t="s">
        <v>38</v>
      </c>
      <c r="Q3374" t="s">
        <v>2901</v>
      </c>
      <c r="R3374" t="s">
        <v>538</v>
      </c>
      <c r="S3374" t="s">
        <v>539</v>
      </c>
      <c r="T3374" t="s">
        <v>540</v>
      </c>
    </row>
    <row r="3375" spans="1:20" x14ac:dyDescent="0.25">
      <c r="A3375" t="s">
        <v>59</v>
      </c>
      <c r="B3375" t="s">
        <v>31</v>
      </c>
      <c r="C3375" t="s">
        <v>32</v>
      </c>
      <c r="D3375" t="s">
        <v>522</v>
      </c>
      <c r="E3375" t="s">
        <v>565</v>
      </c>
      <c r="F3375" t="s">
        <v>35</v>
      </c>
      <c r="G3375" t="s">
        <v>35</v>
      </c>
      <c r="H3375" t="s">
        <v>35</v>
      </c>
      <c r="J3375" t="s">
        <v>4377</v>
      </c>
      <c r="K3375" t="s">
        <v>1092</v>
      </c>
      <c r="M3375">
        <v>2.16</v>
      </c>
      <c r="N3375">
        <v>133</v>
      </c>
      <c r="O3375" t="s">
        <v>38</v>
      </c>
      <c r="Q3375" t="s">
        <v>609</v>
      </c>
      <c r="R3375" t="s">
        <v>538</v>
      </c>
      <c r="S3375" t="s">
        <v>539</v>
      </c>
      <c r="T3375" t="s">
        <v>540</v>
      </c>
    </row>
    <row r="3376" spans="1:20" x14ac:dyDescent="0.25">
      <c r="A3376" t="s">
        <v>30</v>
      </c>
      <c r="B3376" t="s">
        <v>31</v>
      </c>
      <c r="C3376" t="s">
        <v>32</v>
      </c>
      <c r="D3376" t="s">
        <v>522</v>
      </c>
      <c r="E3376" t="s">
        <v>565</v>
      </c>
      <c r="F3376" t="s">
        <v>35</v>
      </c>
      <c r="G3376" t="s">
        <v>35</v>
      </c>
      <c r="H3376" t="s">
        <v>35</v>
      </c>
      <c r="J3376" t="s">
        <v>4377</v>
      </c>
      <c r="K3376" t="s">
        <v>1092</v>
      </c>
      <c r="M3376">
        <v>7.83</v>
      </c>
      <c r="N3376">
        <v>123</v>
      </c>
      <c r="O3376" t="s">
        <v>38</v>
      </c>
      <c r="Q3376" t="s">
        <v>1656</v>
      </c>
      <c r="R3376" t="s">
        <v>538</v>
      </c>
      <c r="S3376" t="s">
        <v>539</v>
      </c>
      <c r="T3376" t="s">
        <v>540</v>
      </c>
    </row>
    <row r="3377" spans="1:20" x14ac:dyDescent="0.25">
      <c r="A3377" t="s">
        <v>30</v>
      </c>
      <c r="B3377" t="s">
        <v>31</v>
      </c>
      <c r="C3377" t="s">
        <v>32</v>
      </c>
      <c r="D3377" t="s">
        <v>522</v>
      </c>
      <c r="E3377" t="s">
        <v>565</v>
      </c>
      <c r="F3377" t="s">
        <v>35</v>
      </c>
      <c r="G3377" t="s">
        <v>35</v>
      </c>
      <c r="H3377" t="s">
        <v>35</v>
      </c>
      <c r="J3377" t="s">
        <v>4354</v>
      </c>
      <c r="K3377" t="s">
        <v>1092</v>
      </c>
      <c r="M3377">
        <v>2.97</v>
      </c>
      <c r="N3377">
        <v>405</v>
      </c>
      <c r="O3377" t="s">
        <v>294</v>
      </c>
      <c r="Q3377" t="s">
        <v>3472</v>
      </c>
      <c r="R3377" t="s">
        <v>538</v>
      </c>
      <c r="S3377" t="s">
        <v>539</v>
      </c>
      <c r="T3377" t="s">
        <v>540</v>
      </c>
    </row>
    <row r="3378" spans="1:20" x14ac:dyDescent="0.25">
      <c r="A3378" t="s">
        <v>30</v>
      </c>
      <c r="B3378" t="s">
        <v>31</v>
      </c>
      <c r="C3378" t="s">
        <v>32</v>
      </c>
      <c r="D3378" t="s">
        <v>522</v>
      </c>
      <c r="E3378" t="s">
        <v>565</v>
      </c>
      <c r="F3378" t="s">
        <v>35</v>
      </c>
      <c r="G3378" t="s">
        <v>35</v>
      </c>
      <c r="H3378" t="s">
        <v>35</v>
      </c>
      <c r="J3378" t="s">
        <v>4364</v>
      </c>
      <c r="K3378" t="s">
        <v>1092</v>
      </c>
      <c r="M3378">
        <v>4.41</v>
      </c>
      <c r="N3378">
        <v>148</v>
      </c>
      <c r="O3378" t="s">
        <v>38</v>
      </c>
      <c r="Q3378" t="s">
        <v>3942</v>
      </c>
      <c r="R3378" t="s">
        <v>538</v>
      </c>
      <c r="S3378" t="s">
        <v>539</v>
      </c>
      <c r="T3378" t="s">
        <v>540</v>
      </c>
    </row>
    <row r="3379" spans="1:20" x14ac:dyDescent="0.25">
      <c r="A3379" t="s">
        <v>30</v>
      </c>
      <c r="B3379" t="s">
        <v>31</v>
      </c>
      <c r="C3379" t="s">
        <v>32</v>
      </c>
      <c r="D3379" t="s">
        <v>522</v>
      </c>
      <c r="E3379" t="s">
        <v>4207</v>
      </c>
      <c r="F3379" t="s">
        <v>35</v>
      </c>
      <c r="G3379" t="s">
        <v>35</v>
      </c>
      <c r="H3379" t="s">
        <v>35</v>
      </c>
      <c r="J3379" t="s">
        <v>4227</v>
      </c>
      <c r="K3379" t="s">
        <v>1092</v>
      </c>
      <c r="M3379">
        <v>18.405000000000001</v>
      </c>
      <c r="N3379">
        <v>42</v>
      </c>
      <c r="O3379" t="s">
        <v>52</v>
      </c>
      <c r="Q3379" t="s">
        <v>219</v>
      </c>
      <c r="R3379" t="s">
        <v>538</v>
      </c>
      <c r="S3379" t="s">
        <v>539</v>
      </c>
      <c r="T3379" t="s">
        <v>540</v>
      </c>
    </row>
    <row r="3380" spans="1:20" x14ac:dyDescent="0.25">
      <c r="A3380" t="s">
        <v>30</v>
      </c>
      <c r="B3380" t="s">
        <v>31</v>
      </c>
      <c r="C3380" t="s">
        <v>32</v>
      </c>
      <c r="D3380" t="s">
        <v>522</v>
      </c>
      <c r="E3380" t="s">
        <v>553</v>
      </c>
      <c r="F3380" t="s">
        <v>35</v>
      </c>
      <c r="G3380" t="s">
        <v>35</v>
      </c>
      <c r="H3380" t="s">
        <v>35</v>
      </c>
      <c r="J3380" t="s">
        <v>4175</v>
      </c>
      <c r="K3380" t="s">
        <v>1092</v>
      </c>
      <c r="M3380">
        <v>11.025</v>
      </c>
      <c r="N3380">
        <v>42</v>
      </c>
      <c r="O3380" t="s">
        <v>52</v>
      </c>
      <c r="Q3380" t="s">
        <v>219</v>
      </c>
      <c r="R3380" t="s">
        <v>538</v>
      </c>
      <c r="S3380" t="s">
        <v>539</v>
      </c>
      <c r="T3380" t="s">
        <v>540</v>
      </c>
    </row>
    <row r="3381" spans="1:20" x14ac:dyDescent="0.25">
      <c r="A3381" t="s">
        <v>30</v>
      </c>
      <c r="B3381" t="s">
        <v>31</v>
      </c>
      <c r="C3381" t="s">
        <v>32</v>
      </c>
      <c r="D3381" t="s">
        <v>522</v>
      </c>
      <c r="E3381" t="s">
        <v>553</v>
      </c>
      <c r="F3381" t="s">
        <v>35</v>
      </c>
      <c r="G3381" t="s">
        <v>35</v>
      </c>
      <c r="H3381" t="s">
        <v>35</v>
      </c>
      <c r="J3381" t="s">
        <v>4175</v>
      </c>
      <c r="K3381" t="s">
        <v>1092</v>
      </c>
      <c r="M3381">
        <v>2.7450000000000001</v>
      </c>
      <c r="N3381">
        <v>126</v>
      </c>
      <c r="O3381" t="s">
        <v>38</v>
      </c>
      <c r="Q3381" t="s">
        <v>68</v>
      </c>
      <c r="R3381" t="s">
        <v>538</v>
      </c>
      <c r="S3381" t="s">
        <v>539</v>
      </c>
      <c r="T3381" t="s">
        <v>540</v>
      </c>
    </row>
    <row r="3382" spans="1:20" x14ac:dyDescent="0.25">
      <c r="A3382" t="s">
        <v>30</v>
      </c>
      <c r="B3382" t="s">
        <v>31</v>
      </c>
      <c r="C3382" t="s">
        <v>32</v>
      </c>
      <c r="D3382" t="s">
        <v>522</v>
      </c>
      <c r="E3382" t="s">
        <v>565</v>
      </c>
      <c r="F3382" t="s">
        <v>35</v>
      </c>
      <c r="G3382" t="s">
        <v>35</v>
      </c>
      <c r="H3382" t="s">
        <v>35</v>
      </c>
      <c r="J3382" t="s">
        <v>4393</v>
      </c>
      <c r="K3382" t="s">
        <v>1092</v>
      </c>
      <c r="M3382">
        <v>3.6</v>
      </c>
      <c r="N3382">
        <v>88</v>
      </c>
      <c r="O3382" t="s">
        <v>61</v>
      </c>
      <c r="Q3382" t="s">
        <v>724</v>
      </c>
      <c r="R3382" t="s">
        <v>538</v>
      </c>
      <c r="S3382" t="s">
        <v>539</v>
      </c>
      <c r="T3382" t="s">
        <v>540</v>
      </c>
    </row>
    <row r="3383" spans="1:20" x14ac:dyDescent="0.25">
      <c r="A3383" t="s">
        <v>30</v>
      </c>
      <c r="B3383" t="s">
        <v>31</v>
      </c>
      <c r="C3383" t="s">
        <v>32</v>
      </c>
      <c r="D3383" t="s">
        <v>522</v>
      </c>
      <c r="E3383" t="s">
        <v>4207</v>
      </c>
      <c r="F3383" t="s">
        <v>35</v>
      </c>
      <c r="G3383" t="s">
        <v>35</v>
      </c>
      <c r="H3383" t="s">
        <v>35</v>
      </c>
      <c r="J3383" t="s">
        <v>4242</v>
      </c>
      <c r="K3383" t="s">
        <v>1092</v>
      </c>
      <c r="M3383">
        <v>11.025</v>
      </c>
      <c r="N3383">
        <v>89</v>
      </c>
      <c r="O3383" t="s">
        <v>61</v>
      </c>
      <c r="Q3383" t="s">
        <v>4243</v>
      </c>
      <c r="R3383" t="s">
        <v>538</v>
      </c>
      <c r="S3383" t="s">
        <v>539</v>
      </c>
      <c r="T3383" t="s">
        <v>540</v>
      </c>
    </row>
    <row r="3384" spans="1:20" x14ac:dyDescent="0.25">
      <c r="A3384" t="s">
        <v>30</v>
      </c>
      <c r="B3384" t="s">
        <v>31</v>
      </c>
      <c r="C3384" t="s">
        <v>32</v>
      </c>
      <c r="D3384" t="s">
        <v>522</v>
      </c>
      <c r="E3384" t="s">
        <v>553</v>
      </c>
      <c r="F3384" t="s">
        <v>35</v>
      </c>
      <c r="G3384" t="s">
        <v>35</v>
      </c>
      <c r="H3384" t="s">
        <v>35</v>
      </c>
      <c r="J3384" t="s">
        <v>4165</v>
      </c>
      <c r="K3384" t="s">
        <v>1092</v>
      </c>
      <c r="M3384">
        <v>2.97</v>
      </c>
      <c r="N3384">
        <v>163</v>
      </c>
      <c r="O3384" t="s">
        <v>38</v>
      </c>
      <c r="Q3384" t="s">
        <v>2780</v>
      </c>
      <c r="R3384" t="s">
        <v>538</v>
      </c>
      <c r="S3384" t="s">
        <v>539</v>
      </c>
      <c r="T3384" t="s">
        <v>540</v>
      </c>
    </row>
    <row r="3385" spans="1:20" x14ac:dyDescent="0.25">
      <c r="A3385" t="s">
        <v>30</v>
      </c>
      <c r="B3385" t="s">
        <v>31</v>
      </c>
      <c r="C3385" t="s">
        <v>32</v>
      </c>
      <c r="D3385" t="s">
        <v>522</v>
      </c>
      <c r="E3385" t="s">
        <v>533</v>
      </c>
      <c r="F3385" t="s">
        <v>35</v>
      </c>
      <c r="G3385" t="s">
        <v>35</v>
      </c>
      <c r="H3385" t="s">
        <v>35</v>
      </c>
      <c r="J3385" t="s">
        <v>4037</v>
      </c>
      <c r="K3385" t="s">
        <v>1092</v>
      </c>
      <c r="M3385">
        <v>6.03</v>
      </c>
      <c r="N3385">
        <v>143</v>
      </c>
      <c r="O3385" t="s">
        <v>38</v>
      </c>
      <c r="Q3385" t="s">
        <v>1612</v>
      </c>
      <c r="R3385" t="s">
        <v>538</v>
      </c>
      <c r="S3385" t="s">
        <v>539</v>
      </c>
      <c r="T3385" t="s">
        <v>540</v>
      </c>
    </row>
    <row r="3386" spans="1:20" x14ac:dyDescent="0.25">
      <c r="A3386" t="s">
        <v>30</v>
      </c>
      <c r="B3386" t="s">
        <v>31</v>
      </c>
      <c r="C3386" t="s">
        <v>32</v>
      </c>
      <c r="D3386" t="s">
        <v>522</v>
      </c>
      <c r="E3386" t="s">
        <v>565</v>
      </c>
      <c r="F3386" t="s">
        <v>35</v>
      </c>
      <c r="G3386" t="s">
        <v>35</v>
      </c>
      <c r="H3386" t="s">
        <v>35</v>
      </c>
      <c r="J3386" t="s">
        <v>4381</v>
      </c>
      <c r="K3386" t="s">
        <v>1092</v>
      </c>
      <c r="M3386">
        <v>5.4</v>
      </c>
      <c r="N3386">
        <v>42</v>
      </c>
      <c r="O3386" t="s">
        <v>52</v>
      </c>
      <c r="Q3386" t="s">
        <v>219</v>
      </c>
      <c r="R3386" t="s">
        <v>538</v>
      </c>
      <c r="S3386" t="s">
        <v>539</v>
      </c>
      <c r="T3386" t="s">
        <v>540</v>
      </c>
    </row>
    <row r="3387" spans="1:20" x14ac:dyDescent="0.25">
      <c r="A3387" t="s">
        <v>30</v>
      </c>
      <c r="B3387" t="s">
        <v>31</v>
      </c>
      <c r="C3387" t="s">
        <v>32</v>
      </c>
      <c r="D3387" t="s">
        <v>522</v>
      </c>
      <c r="E3387" t="s">
        <v>565</v>
      </c>
      <c r="F3387" t="s">
        <v>35</v>
      </c>
      <c r="G3387" t="s">
        <v>35</v>
      </c>
      <c r="H3387" t="s">
        <v>35</v>
      </c>
      <c r="J3387" t="s">
        <v>4392</v>
      </c>
      <c r="K3387" t="s">
        <v>1092</v>
      </c>
      <c r="M3387">
        <v>9.5399999999999991</v>
      </c>
      <c r="N3387">
        <v>42</v>
      </c>
      <c r="O3387" t="s">
        <v>52</v>
      </c>
      <c r="Q3387" t="s">
        <v>219</v>
      </c>
      <c r="R3387" t="s">
        <v>538</v>
      </c>
      <c r="S3387" t="s">
        <v>539</v>
      </c>
      <c r="T3387" t="s">
        <v>540</v>
      </c>
    </row>
    <row r="3388" spans="1:20" x14ac:dyDescent="0.25">
      <c r="A3388" t="s">
        <v>59</v>
      </c>
      <c r="B3388" t="s">
        <v>31</v>
      </c>
      <c r="C3388" t="s">
        <v>32</v>
      </c>
      <c r="D3388" t="s">
        <v>522</v>
      </c>
      <c r="E3388" t="s">
        <v>561</v>
      </c>
      <c r="F3388" t="s">
        <v>35</v>
      </c>
      <c r="G3388" t="s">
        <v>35</v>
      </c>
      <c r="H3388" t="s">
        <v>35</v>
      </c>
      <c r="J3388" t="s">
        <v>4268</v>
      </c>
      <c r="K3388" t="s">
        <v>1092</v>
      </c>
      <c r="M3388">
        <v>1.665</v>
      </c>
      <c r="N3388">
        <v>164</v>
      </c>
      <c r="O3388" t="s">
        <v>38</v>
      </c>
      <c r="Q3388" t="s">
        <v>3930</v>
      </c>
      <c r="R3388" t="s">
        <v>538</v>
      </c>
      <c r="S3388" t="s">
        <v>539</v>
      </c>
      <c r="T3388" t="s">
        <v>540</v>
      </c>
    </row>
    <row r="3389" spans="1:20" x14ac:dyDescent="0.25">
      <c r="A3389" t="s">
        <v>30</v>
      </c>
      <c r="B3389" t="s">
        <v>31</v>
      </c>
      <c r="C3389" t="s">
        <v>32</v>
      </c>
      <c r="D3389" t="s">
        <v>522</v>
      </c>
      <c r="E3389" t="s">
        <v>565</v>
      </c>
      <c r="F3389" t="s">
        <v>35</v>
      </c>
      <c r="G3389" t="s">
        <v>35</v>
      </c>
      <c r="H3389" t="s">
        <v>35</v>
      </c>
      <c r="J3389" t="s">
        <v>4333</v>
      </c>
      <c r="K3389" t="s">
        <v>1092</v>
      </c>
      <c r="M3389">
        <v>5.5350000000000001</v>
      </c>
      <c r="N3389">
        <v>42</v>
      </c>
      <c r="O3389" t="s">
        <v>52</v>
      </c>
      <c r="Q3389" t="s">
        <v>219</v>
      </c>
      <c r="R3389" t="s">
        <v>538</v>
      </c>
      <c r="S3389" t="s">
        <v>539</v>
      </c>
      <c r="T3389" t="s">
        <v>540</v>
      </c>
    </row>
    <row r="3390" spans="1:20" x14ac:dyDescent="0.25">
      <c r="A3390" t="s">
        <v>30</v>
      </c>
      <c r="B3390" t="s">
        <v>31</v>
      </c>
      <c r="C3390" t="s">
        <v>32</v>
      </c>
      <c r="D3390" t="s">
        <v>522</v>
      </c>
      <c r="E3390" t="s">
        <v>553</v>
      </c>
      <c r="F3390" t="s">
        <v>35</v>
      </c>
      <c r="G3390" t="s">
        <v>35</v>
      </c>
      <c r="H3390" t="s">
        <v>35</v>
      </c>
      <c r="J3390" t="s">
        <v>4171</v>
      </c>
      <c r="K3390" t="s">
        <v>1092</v>
      </c>
      <c r="M3390">
        <v>0.315</v>
      </c>
      <c r="N3390">
        <v>1278</v>
      </c>
      <c r="O3390" t="s">
        <v>575</v>
      </c>
      <c r="Q3390" t="s">
        <v>4172</v>
      </c>
      <c r="R3390" t="s">
        <v>538</v>
      </c>
      <c r="S3390" t="s">
        <v>539</v>
      </c>
      <c r="T3390" t="s">
        <v>540</v>
      </c>
    </row>
    <row r="3391" spans="1:20" x14ac:dyDescent="0.25">
      <c r="A3391" t="s">
        <v>30</v>
      </c>
      <c r="B3391" t="s">
        <v>31</v>
      </c>
      <c r="C3391" t="s">
        <v>32</v>
      </c>
      <c r="D3391" t="s">
        <v>522</v>
      </c>
      <c r="E3391" t="s">
        <v>565</v>
      </c>
      <c r="F3391" t="s">
        <v>35</v>
      </c>
      <c r="G3391" t="s">
        <v>35</v>
      </c>
      <c r="H3391" t="s">
        <v>35</v>
      </c>
      <c r="J3391" t="s">
        <v>4339</v>
      </c>
      <c r="K3391" t="s">
        <v>1092</v>
      </c>
      <c r="M3391">
        <v>5.4</v>
      </c>
      <c r="N3391">
        <v>221</v>
      </c>
      <c r="O3391" t="s">
        <v>5</v>
      </c>
      <c r="Q3391" t="s">
        <v>1979</v>
      </c>
      <c r="R3391" t="s">
        <v>538</v>
      </c>
      <c r="S3391" t="s">
        <v>539</v>
      </c>
      <c r="T3391" t="s">
        <v>540</v>
      </c>
    </row>
    <row r="3392" spans="1:20" x14ac:dyDescent="0.25">
      <c r="A3392" t="s">
        <v>30</v>
      </c>
      <c r="B3392" t="s">
        <v>31</v>
      </c>
      <c r="C3392" t="s">
        <v>32</v>
      </c>
      <c r="D3392" t="s">
        <v>522</v>
      </c>
      <c r="E3392" t="s">
        <v>565</v>
      </c>
      <c r="F3392" t="s">
        <v>35</v>
      </c>
      <c r="G3392" t="s">
        <v>35</v>
      </c>
      <c r="H3392" t="s">
        <v>35</v>
      </c>
      <c r="J3392" t="s">
        <v>4314</v>
      </c>
      <c r="K3392" t="s">
        <v>1092</v>
      </c>
      <c r="M3392">
        <v>11.025</v>
      </c>
      <c r="N3392">
        <v>42</v>
      </c>
      <c r="O3392" t="s">
        <v>52</v>
      </c>
      <c r="Q3392" t="s">
        <v>219</v>
      </c>
      <c r="R3392" t="s">
        <v>538</v>
      </c>
      <c r="S3392" t="s">
        <v>539</v>
      </c>
      <c r="T3392" t="s">
        <v>540</v>
      </c>
    </row>
    <row r="3393" spans="1:20" x14ac:dyDescent="0.25">
      <c r="A3393" t="s">
        <v>30</v>
      </c>
      <c r="B3393" t="s">
        <v>31</v>
      </c>
      <c r="C3393" t="s">
        <v>32</v>
      </c>
      <c r="D3393" t="s">
        <v>522</v>
      </c>
      <c r="E3393" t="s">
        <v>565</v>
      </c>
      <c r="F3393" t="s">
        <v>35</v>
      </c>
      <c r="G3393" t="s">
        <v>35</v>
      </c>
      <c r="H3393" t="s">
        <v>35</v>
      </c>
      <c r="J3393" t="s">
        <v>4314</v>
      </c>
      <c r="K3393" t="s">
        <v>1092</v>
      </c>
      <c r="M3393">
        <v>9.4049999999999994</v>
      </c>
      <c r="N3393">
        <v>148</v>
      </c>
      <c r="O3393" t="s">
        <v>38</v>
      </c>
      <c r="Q3393" t="s">
        <v>3942</v>
      </c>
      <c r="R3393" t="s">
        <v>538</v>
      </c>
      <c r="S3393" t="s">
        <v>539</v>
      </c>
      <c r="T3393" t="s">
        <v>540</v>
      </c>
    </row>
    <row r="3394" spans="1:20" x14ac:dyDescent="0.25">
      <c r="A3394" t="s">
        <v>30</v>
      </c>
      <c r="B3394" t="s">
        <v>31</v>
      </c>
      <c r="C3394" t="s">
        <v>32</v>
      </c>
      <c r="D3394" t="s">
        <v>522</v>
      </c>
      <c r="E3394" t="s">
        <v>523</v>
      </c>
      <c r="F3394" t="s">
        <v>35</v>
      </c>
      <c r="G3394" t="s">
        <v>35</v>
      </c>
      <c r="H3394" t="s">
        <v>35</v>
      </c>
      <c r="J3394" t="s">
        <v>4002</v>
      </c>
      <c r="K3394" t="s">
        <v>1092</v>
      </c>
      <c r="M3394">
        <v>5.5350000000000001</v>
      </c>
      <c r="N3394">
        <v>87</v>
      </c>
      <c r="O3394" t="s">
        <v>61</v>
      </c>
      <c r="Q3394" t="s">
        <v>394</v>
      </c>
      <c r="R3394" t="s">
        <v>538</v>
      </c>
      <c r="S3394" t="s">
        <v>539</v>
      </c>
      <c r="T3394" t="s">
        <v>540</v>
      </c>
    </row>
    <row r="3395" spans="1:20" x14ac:dyDescent="0.25">
      <c r="A3395" t="s">
        <v>30</v>
      </c>
      <c r="B3395" t="s">
        <v>31</v>
      </c>
      <c r="C3395" t="s">
        <v>32</v>
      </c>
      <c r="D3395" t="s">
        <v>522</v>
      </c>
      <c r="E3395" t="s">
        <v>565</v>
      </c>
      <c r="F3395" t="s">
        <v>35</v>
      </c>
      <c r="G3395" t="s">
        <v>35</v>
      </c>
      <c r="H3395" t="s">
        <v>35</v>
      </c>
      <c r="J3395" t="s">
        <v>4330</v>
      </c>
      <c r="K3395" t="s">
        <v>1092</v>
      </c>
      <c r="M3395">
        <v>2.16</v>
      </c>
      <c r="N3395">
        <v>163</v>
      </c>
      <c r="O3395" t="s">
        <v>38</v>
      </c>
      <c r="Q3395" t="s">
        <v>2780</v>
      </c>
      <c r="R3395" t="s">
        <v>538</v>
      </c>
      <c r="S3395" t="s">
        <v>539</v>
      </c>
      <c r="T3395" t="s">
        <v>540</v>
      </c>
    </row>
    <row r="3396" spans="1:20" x14ac:dyDescent="0.25">
      <c r="A3396" t="s">
        <v>59</v>
      </c>
      <c r="B3396" t="s">
        <v>31</v>
      </c>
      <c r="C3396" t="s">
        <v>32</v>
      </c>
      <c r="D3396" t="s">
        <v>522</v>
      </c>
      <c r="E3396" t="s">
        <v>565</v>
      </c>
      <c r="F3396" t="s">
        <v>35</v>
      </c>
      <c r="G3396" t="s">
        <v>35</v>
      </c>
      <c r="H3396" t="s">
        <v>35</v>
      </c>
      <c r="J3396" t="s">
        <v>4330</v>
      </c>
      <c r="K3396" t="s">
        <v>1092</v>
      </c>
      <c r="M3396">
        <v>3.42</v>
      </c>
      <c r="N3396">
        <v>278</v>
      </c>
      <c r="O3396" t="s">
        <v>5</v>
      </c>
      <c r="Q3396" t="s">
        <v>1687</v>
      </c>
      <c r="R3396" t="s">
        <v>538</v>
      </c>
      <c r="S3396" t="s">
        <v>539</v>
      </c>
      <c r="T3396" t="s">
        <v>540</v>
      </c>
    </row>
    <row r="3397" spans="1:20" x14ac:dyDescent="0.25">
      <c r="A3397" t="s">
        <v>59</v>
      </c>
      <c r="B3397" t="s">
        <v>31</v>
      </c>
      <c r="C3397" t="s">
        <v>32</v>
      </c>
      <c r="D3397" t="s">
        <v>522</v>
      </c>
      <c r="E3397" t="s">
        <v>565</v>
      </c>
      <c r="F3397" t="s">
        <v>35</v>
      </c>
      <c r="G3397" t="s">
        <v>35</v>
      </c>
      <c r="H3397" t="s">
        <v>35</v>
      </c>
      <c r="J3397" t="s">
        <v>4330</v>
      </c>
      <c r="K3397" t="s">
        <v>1092</v>
      </c>
      <c r="M3397">
        <v>0.18</v>
      </c>
      <c r="N3397">
        <v>162</v>
      </c>
      <c r="O3397" t="s">
        <v>38</v>
      </c>
      <c r="Q3397" t="s">
        <v>1189</v>
      </c>
      <c r="R3397" t="s">
        <v>538</v>
      </c>
      <c r="S3397" t="s">
        <v>539</v>
      </c>
      <c r="T3397" t="s">
        <v>540</v>
      </c>
    </row>
    <row r="3398" spans="1:20" x14ac:dyDescent="0.25">
      <c r="A3398" t="s">
        <v>30</v>
      </c>
      <c r="B3398" t="s">
        <v>31</v>
      </c>
      <c r="C3398" t="s">
        <v>32</v>
      </c>
      <c r="D3398" t="s">
        <v>522</v>
      </c>
      <c r="E3398" t="s">
        <v>565</v>
      </c>
      <c r="F3398" t="s">
        <v>35</v>
      </c>
      <c r="G3398" t="s">
        <v>35</v>
      </c>
      <c r="H3398" t="s">
        <v>35</v>
      </c>
      <c r="J3398" t="s">
        <v>4330</v>
      </c>
      <c r="K3398" t="s">
        <v>1092</v>
      </c>
      <c r="M3398">
        <v>10.845000000000001</v>
      </c>
      <c r="N3398">
        <v>162</v>
      </c>
      <c r="O3398" t="s">
        <v>38</v>
      </c>
      <c r="Q3398" t="s">
        <v>1189</v>
      </c>
      <c r="R3398" t="s">
        <v>538</v>
      </c>
      <c r="S3398" t="s">
        <v>539</v>
      </c>
      <c r="T3398" t="s">
        <v>540</v>
      </c>
    </row>
    <row r="3399" spans="1:20" x14ac:dyDescent="0.25">
      <c r="A3399" t="s">
        <v>44</v>
      </c>
      <c r="B3399" t="s">
        <v>3</v>
      </c>
      <c r="C3399" t="s">
        <v>32</v>
      </c>
      <c r="D3399" t="s">
        <v>522</v>
      </c>
      <c r="E3399" t="s">
        <v>523</v>
      </c>
      <c r="F3399" t="s">
        <v>35</v>
      </c>
      <c r="G3399" t="s">
        <v>35</v>
      </c>
      <c r="H3399" t="s">
        <v>35</v>
      </c>
      <c r="J3399" t="s">
        <v>3979</v>
      </c>
      <c r="K3399" t="s">
        <v>1092</v>
      </c>
      <c r="M3399">
        <v>0.45</v>
      </c>
      <c r="N3399">
        <v>587</v>
      </c>
      <c r="O3399" t="s">
        <v>575</v>
      </c>
      <c r="Q3399" t="s">
        <v>1321</v>
      </c>
      <c r="R3399" t="s">
        <v>538</v>
      </c>
      <c r="S3399" t="s">
        <v>539</v>
      </c>
      <c r="T3399" t="s">
        <v>540</v>
      </c>
    </row>
    <row r="3400" spans="1:20" x14ac:dyDescent="0.25">
      <c r="A3400" t="s">
        <v>30</v>
      </c>
      <c r="B3400" t="s">
        <v>31</v>
      </c>
      <c r="C3400" t="s">
        <v>32</v>
      </c>
      <c r="D3400" t="s">
        <v>522</v>
      </c>
      <c r="E3400" t="s">
        <v>533</v>
      </c>
      <c r="F3400" t="s">
        <v>35</v>
      </c>
      <c r="G3400" t="s">
        <v>35</v>
      </c>
      <c r="H3400" t="s">
        <v>35</v>
      </c>
      <c r="J3400" t="s">
        <v>4059</v>
      </c>
      <c r="K3400" t="s">
        <v>1092</v>
      </c>
      <c r="M3400">
        <v>4.05</v>
      </c>
      <c r="N3400">
        <v>258</v>
      </c>
      <c r="O3400" t="s">
        <v>5</v>
      </c>
      <c r="Q3400" t="s">
        <v>1754</v>
      </c>
      <c r="R3400" t="s">
        <v>538</v>
      </c>
      <c r="S3400" t="s">
        <v>539</v>
      </c>
      <c r="T3400" t="s">
        <v>540</v>
      </c>
    </row>
    <row r="3401" spans="1:20" x14ac:dyDescent="0.25">
      <c r="A3401" t="s">
        <v>30</v>
      </c>
      <c r="B3401" t="s">
        <v>31</v>
      </c>
      <c r="C3401" t="s">
        <v>32</v>
      </c>
      <c r="D3401" t="s">
        <v>522</v>
      </c>
      <c r="E3401" t="s">
        <v>533</v>
      </c>
      <c r="F3401" t="s">
        <v>35</v>
      </c>
      <c r="G3401" t="s">
        <v>35</v>
      </c>
      <c r="H3401" t="s">
        <v>35</v>
      </c>
      <c r="J3401" t="s">
        <v>4059</v>
      </c>
      <c r="K3401" t="s">
        <v>1092</v>
      </c>
      <c r="M3401">
        <v>11.025</v>
      </c>
      <c r="N3401">
        <v>42</v>
      </c>
      <c r="O3401" t="s">
        <v>52</v>
      </c>
      <c r="Q3401" t="s">
        <v>219</v>
      </c>
      <c r="R3401" t="s">
        <v>538</v>
      </c>
      <c r="S3401" t="s">
        <v>539</v>
      </c>
      <c r="T3401" t="s">
        <v>540</v>
      </c>
    </row>
    <row r="3402" spans="1:20" x14ac:dyDescent="0.25">
      <c r="A3402" t="s">
        <v>30</v>
      </c>
      <c r="B3402" t="s">
        <v>31</v>
      </c>
      <c r="C3402" t="s">
        <v>32</v>
      </c>
      <c r="D3402" t="s">
        <v>522</v>
      </c>
      <c r="E3402" t="s">
        <v>543</v>
      </c>
      <c r="F3402" t="s">
        <v>35</v>
      </c>
      <c r="G3402" t="s">
        <v>35</v>
      </c>
      <c r="H3402" t="s">
        <v>35</v>
      </c>
      <c r="J3402" t="s">
        <v>4097</v>
      </c>
      <c r="K3402" t="s">
        <v>1092</v>
      </c>
      <c r="M3402">
        <v>0.48599999999999999</v>
      </c>
      <c r="N3402">
        <v>526</v>
      </c>
      <c r="O3402" t="s">
        <v>294</v>
      </c>
      <c r="Q3402" t="s">
        <v>4047</v>
      </c>
      <c r="R3402" t="s">
        <v>538</v>
      </c>
      <c r="S3402" t="s">
        <v>539</v>
      </c>
      <c r="T3402" t="s">
        <v>540</v>
      </c>
    </row>
    <row r="3403" spans="1:20" x14ac:dyDescent="0.25">
      <c r="A3403" t="s">
        <v>30</v>
      </c>
      <c r="B3403" t="s">
        <v>31</v>
      </c>
      <c r="C3403" t="s">
        <v>32</v>
      </c>
      <c r="D3403" t="s">
        <v>522</v>
      </c>
      <c r="E3403" t="s">
        <v>565</v>
      </c>
      <c r="F3403" t="s">
        <v>35</v>
      </c>
      <c r="G3403" t="s">
        <v>35</v>
      </c>
      <c r="H3403" t="s">
        <v>35</v>
      </c>
      <c r="J3403" t="s">
        <v>4367</v>
      </c>
      <c r="K3403" t="s">
        <v>1092</v>
      </c>
      <c r="M3403">
        <v>2.9249999999999998</v>
      </c>
      <c r="N3403">
        <v>386</v>
      </c>
      <c r="O3403" t="s">
        <v>294</v>
      </c>
      <c r="Q3403" t="s">
        <v>4368</v>
      </c>
      <c r="R3403" t="s">
        <v>538</v>
      </c>
      <c r="S3403" t="s">
        <v>539</v>
      </c>
      <c r="T3403" t="s">
        <v>540</v>
      </c>
    </row>
    <row r="3404" spans="1:20" x14ac:dyDescent="0.25">
      <c r="A3404" t="s">
        <v>30</v>
      </c>
      <c r="B3404" t="s">
        <v>31</v>
      </c>
      <c r="C3404" t="s">
        <v>32</v>
      </c>
      <c r="D3404" t="s">
        <v>522</v>
      </c>
      <c r="E3404" t="s">
        <v>4207</v>
      </c>
      <c r="F3404" t="s">
        <v>35</v>
      </c>
      <c r="G3404" t="s">
        <v>35</v>
      </c>
      <c r="H3404" t="s">
        <v>35</v>
      </c>
      <c r="J3404" t="s">
        <v>4239</v>
      </c>
      <c r="K3404" t="s">
        <v>1092</v>
      </c>
      <c r="M3404">
        <v>8.3249999999999993</v>
      </c>
      <c r="N3404">
        <v>42</v>
      </c>
      <c r="O3404" t="s">
        <v>52</v>
      </c>
      <c r="Q3404" t="s">
        <v>219</v>
      </c>
      <c r="R3404" t="s">
        <v>538</v>
      </c>
      <c r="S3404" t="s">
        <v>539</v>
      </c>
      <c r="T3404" t="s">
        <v>540</v>
      </c>
    </row>
    <row r="3405" spans="1:20" x14ac:dyDescent="0.25">
      <c r="A3405" t="s">
        <v>30</v>
      </c>
      <c r="B3405" t="s">
        <v>31</v>
      </c>
      <c r="C3405" t="s">
        <v>32</v>
      </c>
      <c r="D3405" t="s">
        <v>522</v>
      </c>
      <c r="E3405" t="s">
        <v>553</v>
      </c>
      <c r="F3405" t="s">
        <v>35</v>
      </c>
      <c r="G3405" t="s">
        <v>35</v>
      </c>
      <c r="H3405" t="s">
        <v>35</v>
      </c>
      <c r="J3405" t="s">
        <v>4166</v>
      </c>
      <c r="K3405" t="s">
        <v>1092</v>
      </c>
      <c r="M3405">
        <v>0.40500000000000003</v>
      </c>
      <c r="N3405">
        <v>163</v>
      </c>
      <c r="O3405" t="s">
        <v>38</v>
      </c>
      <c r="Q3405" t="s">
        <v>2780</v>
      </c>
      <c r="R3405" t="s">
        <v>538</v>
      </c>
      <c r="S3405" t="s">
        <v>539</v>
      </c>
      <c r="T3405" t="s">
        <v>540</v>
      </c>
    </row>
    <row r="3406" spans="1:20" x14ac:dyDescent="0.25">
      <c r="A3406" t="s">
        <v>30</v>
      </c>
      <c r="B3406" t="s">
        <v>31</v>
      </c>
      <c r="C3406" t="s">
        <v>32</v>
      </c>
      <c r="D3406" t="s">
        <v>522</v>
      </c>
      <c r="E3406" t="s">
        <v>553</v>
      </c>
      <c r="F3406" t="s">
        <v>35</v>
      </c>
      <c r="G3406" t="s">
        <v>35</v>
      </c>
      <c r="H3406" t="s">
        <v>35</v>
      </c>
      <c r="J3406" t="s">
        <v>4166</v>
      </c>
      <c r="K3406" t="s">
        <v>1092</v>
      </c>
      <c r="M3406">
        <v>5.4</v>
      </c>
      <c r="N3406">
        <v>88</v>
      </c>
      <c r="O3406" t="s">
        <v>61</v>
      </c>
      <c r="Q3406" t="s">
        <v>724</v>
      </c>
      <c r="R3406" t="s">
        <v>538</v>
      </c>
      <c r="S3406" t="s">
        <v>539</v>
      </c>
      <c r="T3406" t="s">
        <v>540</v>
      </c>
    </row>
    <row r="3407" spans="1:20" x14ac:dyDescent="0.25">
      <c r="A3407" t="s">
        <v>44</v>
      </c>
      <c r="B3407" t="s">
        <v>51</v>
      </c>
      <c r="C3407" t="s">
        <v>32</v>
      </c>
      <c r="D3407" t="s">
        <v>522</v>
      </c>
      <c r="E3407" t="s">
        <v>533</v>
      </c>
      <c r="F3407" t="s">
        <v>35</v>
      </c>
      <c r="G3407" t="s">
        <v>35</v>
      </c>
      <c r="H3407" t="s">
        <v>35</v>
      </c>
      <c r="J3407" t="s">
        <v>4069</v>
      </c>
      <c r="K3407" t="s">
        <v>1092</v>
      </c>
      <c r="M3407">
        <v>3.15</v>
      </c>
      <c r="N3407">
        <v>74</v>
      </c>
      <c r="O3407" t="s">
        <v>61</v>
      </c>
      <c r="Q3407" t="s">
        <v>527</v>
      </c>
      <c r="R3407" t="s">
        <v>538</v>
      </c>
      <c r="S3407" t="s">
        <v>539</v>
      </c>
      <c r="T3407" t="s">
        <v>540</v>
      </c>
    </row>
    <row r="3408" spans="1:20" x14ac:dyDescent="0.25">
      <c r="A3408" t="s">
        <v>30</v>
      </c>
      <c r="B3408" t="s">
        <v>31</v>
      </c>
      <c r="C3408" t="s">
        <v>32</v>
      </c>
      <c r="D3408" t="s">
        <v>522</v>
      </c>
      <c r="E3408" t="s">
        <v>4181</v>
      </c>
      <c r="F3408" t="s">
        <v>35</v>
      </c>
      <c r="G3408" t="s">
        <v>35</v>
      </c>
      <c r="H3408" t="s">
        <v>35</v>
      </c>
      <c r="J3408" t="s">
        <v>4188</v>
      </c>
      <c r="K3408" t="s">
        <v>1092</v>
      </c>
      <c r="M3408">
        <v>9.8550000000000004</v>
      </c>
      <c r="N3408">
        <v>64</v>
      </c>
      <c r="O3408" t="s">
        <v>61</v>
      </c>
      <c r="Q3408" t="s">
        <v>102</v>
      </c>
      <c r="R3408" t="s">
        <v>538</v>
      </c>
      <c r="S3408" t="s">
        <v>539</v>
      </c>
      <c r="T3408" t="s">
        <v>540</v>
      </c>
    </row>
    <row r="3409" spans="1:20" x14ac:dyDescent="0.25">
      <c r="A3409" t="s">
        <v>30</v>
      </c>
      <c r="B3409" t="s">
        <v>31</v>
      </c>
      <c r="C3409" t="s">
        <v>32</v>
      </c>
      <c r="D3409" t="s">
        <v>522</v>
      </c>
      <c r="E3409" t="s">
        <v>523</v>
      </c>
      <c r="F3409" t="s">
        <v>35</v>
      </c>
      <c r="G3409" t="s">
        <v>35</v>
      </c>
      <c r="H3409" t="s">
        <v>35</v>
      </c>
      <c r="J3409" t="s">
        <v>4028</v>
      </c>
      <c r="K3409" t="s">
        <v>1092</v>
      </c>
      <c r="M3409">
        <v>11.025</v>
      </c>
      <c r="N3409">
        <v>42</v>
      </c>
      <c r="O3409" t="s">
        <v>52</v>
      </c>
      <c r="Q3409" t="s">
        <v>219</v>
      </c>
      <c r="R3409" t="s">
        <v>538</v>
      </c>
      <c r="S3409" t="s">
        <v>539</v>
      </c>
      <c r="T3409" t="s">
        <v>540</v>
      </c>
    </row>
    <row r="3410" spans="1:20" x14ac:dyDescent="0.25">
      <c r="A3410" t="s">
        <v>30</v>
      </c>
      <c r="B3410" t="s">
        <v>31</v>
      </c>
      <c r="C3410" t="s">
        <v>32</v>
      </c>
      <c r="D3410" t="s">
        <v>522</v>
      </c>
      <c r="E3410" t="s">
        <v>523</v>
      </c>
      <c r="F3410" t="s">
        <v>35</v>
      </c>
      <c r="G3410" t="s">
        <v>35</v>
      </c>
      <c r="H3410" t="s">
        <v>35</v>
      </c>
      <c r="J3410" t="s">
        <v>4028</v>
      </c>
      <c r="K3410" t="s">
        <v>1092</v>
      </c>
      <c r="M3410">
        <v>8.5500000000000007</v>
      </c>
      <c r="N3410">
        <v>64</v>
      </c>
      <c r="O3410" t="s">
        <v>61</v>
      </c>
      <c r="Q3410" t="s">
        <v>102</v>
      </c>
      <c r="R3410" t="s">
        <v>538</v>
      </c>
      <c r="S3410" t="s">
        <v>539</v>
      </c>
      <c r="T3410" t="s">
        <v>540</v>
      </c>
    </row>
    <row r="3411" spans="1:20" x14ac:dyDescent="0.25">
      <c r="A3411" t="s">
        <v>30</v>
      </c>
      <c r="B3411" t="s">
        <v>31</v>
      </c>
      <c r="C3411" t="s">
        <v>32</v>
      </c>
      <c r="D3411" t="s">
        <v>522</v>
      </c>
      <c r="E3411" t="s">
        <v>523</v>
      </c>
      <c r="F3411" t="s">
        <v>35</v>
      </c>
      <c r="G3411" t="s">
        <v>35</v>
      </c>
      <c r="H3411" t="s">
        <v>35</v>
      </c>
      <c r="J3411" t="s">
        <v>3977</v>
      </c>
      <c r="K3411" t="s">
        <v>1092</v>
      </c>
      <c r="M3411">
        <v>2.34</v>
      </c>
      <c r="N3411">
        <v>360</v>
      </c>
      <c r="O3411" t="s">
        <v>5</v>
      </c>
      <c r="Q3411" t="s">
        <v>3978</v>
      </c>
      <c r="R3411" t="s">
        <v>538</v>
      </c>
      <c r="S3411" t="s">
        <v>539</v>
      </c>
      <c r="T3411" t="s">
        <v>540</v>
      </c>
    </row>
    <row r="3412" spans="1:20" x14ac:dyDescent="0.25">
      <c r="A3412" t="s">
        <v>30</v>
      </c>
      <c r="B3412" t="s">
        <v>31</v>
      </c>
      <c r="C3412" t="s">
        <v>32</v>
      </c>
      <c r="D3412" t="s">
        <v>522</v>
      </c>
      <c r="E3412" t="s">
        <v>4207</v>
      </c>
      <c r="F3412" t="s">
        <v>35</v>
      </c>
      <c r="G3412" t="s">
        <v>35</v>
      </c>
      <c r="H3412" t="s">
        <v>35</v>
      </c>
      <c r="J3412" t="s">
        <v>4215</v>
      </c>
      <c r="K3412" t="s">
        <v>1092</v>
      </c>
      <c r="M3412">
        <v>22.05</v>
      </c>
      <c r="N3412">
        <v>42</v>
      </c>
      <c r="O3412" t="s">
        <v>52</v>
      </c>
      <c r="Q3412" t="s">
        <v>219</v>
      </c>
      <c r="R3412" t="s">
        <v>538</v>
      </c>
      <c r="S3412" t="s">
        <v>539</v>
      </c>
      <c r="T3412" t="s">
        <v>540</v>
      </c>
    </row>
    <row r="3413" spans="1:20" x14ac:dyDescent="0.25">
      <c r="A3413" t="s">
        <v>30</v>
      </c>
      <c r="B3413" t="s">
        <v>31</v>
      </c>
      <c r="C3413" t="s">
        <v>32</v>
      </c>
      <c r="D3413" t="s">
        <v>522</v>
      </c>
      <c r="E3413" t="s">
        <v>4207</v>
      </c>
      <c r="F3413" t="s">
        <v>35</v>
      </c>
      <c r="G3413" t="s">
        <v>35</v>
      </c>
      <c r="H3413" t="s">
        <v>35</v>
      </c>
      <c r="J3413" t="s">
        <v>4215</v>
      </c>
      <c r="K3413" t="s">
        <v>1092</v>
      </c>
      <c r="M3413">
        <v>11.025</v>
      </c>
      <c r="N3413">
        <v>61</v>
      </c>
      <c r="O3413" t="s">
        <v>61</v>
      </c>
      <c r="Q3413" t="s">
        <v>146</v>
      </c>
      <c r="R3413" t="s">
        <v>538</v>
      </c>
      <c r="S3413" t="s">
        <v>539</v>
      </c>
      <c r="T3413" t="s">
        <v>540</v>
      </c>
    </row>
    <row r="3414" spans="1:20" x14ac:dyDescent="0.25">
      <c r="A3414" t="s">
        <v>30</v>
      </c>
      <c r="B3414" t="s">
        <v>31</v>
      </c>
      <c r="C3414" t="s">
        <v>32</v>
      </c>
      <c r="D3414" t="s">
        <v>522</v>
      </c>
      <c r="E3414" t="s">
        <v>565</v>
      </c>
      <c r="F3414" t="s">
        <v>35</v>
      </c>
      <c r="G3414" t="s">
        <v>35</v>
      </c>
      <c r="H3414" t="s">
        <v>35</v>
      </c>
      <c r="J3414" t="s">
        <v>4342</v>
      </c>
      <c r="K3414" t="s">
        <v>1092</v>
      </c>
      <c r="M3414">
        <v>0.315</v>
      </c>
      <c r="N3414">
        <v>933</v>
      </c>
      <c r="O3414" t="s">
        <v>575</v>
      </c>
      <c r="Q3414" t="s">
        <v>2044</v>
      </c>
      <c r="R3414" t="s">
        <v>538</v>
      </c>
      <c r="S3414" t="s">
        <v>539</v>
      </c>
      <c r="T3414" t="s">
        <v>540</v>
      </c>
    </row>
    <row r="3415" spans="1:20" x14ac:dyDescent="0.25">
      <c r="A3415" t="s">
        <v>30</v>
      </c>
      <c r="B3415" t="s">
        <v>31</v>
      </c>
      <c r="C3415" t="s">
        <v>32</v>
      </c>
      <c r="D3415" t="s">
        <v>522</v>
      </c>
      <c r="E3415" t="s">
        <v>533</v>
      </c>
      <c r="F3415" t="s">
        <v>35</v>
      </c>
      <c r="G3415" t="s">
        <v>35</v>
      </c>
      <c r="H3415" t="s">
        <v>35</v>
      </c>
      <c r="J3415" t="s">
        <v>4080</v>
      </c>
      <c r="K3415" t="s">
        <v>1092</v>
      </c>
      <c r="M3415">
        <v>8.7750000000000004</v>
      </c>
      <c r="N3415">
        <v>405</v>
      </c>
      <c r="O3415" t="s">
        <v>294</v>
      </c>
      <c r="Q3415" t="s">
        <v>3472</v>
      </c>
      <c r="R3415" t="s">
        <v>538</v>
      </c>
      <c r="S3415" t="s">
        <v>539</v>
      </c>
      <c r="T3415" t="s">
        <v>540</v>
      </c>
    </row>
    <row r="3416" spans="1:20" x14ac:dyDescent="0.25">
      <c r="A3416" t="s">
        <v>30</v>
      </c>
      <c r="B3416" t="s">
        <v>31</v>
      </c>
      <c r="C3416" t="s">
        <v>32</v>
      </c>
      <c r="D3416" t="s">
        <v>522</v>
      </c>
      <c r="E3416" t="s">
        <v>523</v>
      </c>
      <c r="F3416" t="s">
        <v>35</v>
      </c>
      <c r="G3416" t="s">
        <v>35</v>
      </c>
      <c r="H3416" t="s">
        <v>35</v>
      </c>
      <c r="J3416" t="s">
        <v>4022</v>
      </c>
      <c r="K3416" t="s">
        <v>1092</v>
      </c>
      <c r="M3416">
        <v>29.97</v>
      </c>
      <c r="N3416">
        <v>42</v>
      </c>
      <c r="O3416" t="s">
        <v>52</v>
      </c>
      <c r="Q3416" t="s">
        <v>219</v>
      </c>
      <c r="R3416" t="s">
        <v>538</v>
      </c>
      <c r="S3416" t="s">
        <v>539</v>
      </c>
      <c r="T3416" t="s">
        <v>540</v>
      </c>
    </row>
    <row r="3417" spans="1:20" x14ac:dyDescent="0.25">
      <c r="A3417" t="s">
        <v>44</v>
      </c>
      <c r="B3417" t="s">
        <v>51</v>
      </c>
      <c r="C3417" t="s">
        <v>32</v>
      </c>
      <c r="D3417" t="s">
        <v>522</v>
      </c>
      <c r="E3417" t="s">
        <v>553</v>
      </c>
      <c r="F3417" t="s">
        <v>35</v>
      </c>
      <c r="G3417" t="s">
        <v>35</v>
      </c>
      <c r="H3417" t="s">
        <v>35</v>
      </c>
      <c r="J3417" t="s">
        <v>4168</v>
      </c>
      <c r="K3417" t="s">
        <v>1092</v>
      </c>
      <c r="M3417">
        <v>2.75</v>
      </c>
      <c r="N3417">
        <v>74</v>
      </c>
      <c r="O3417" t="s">
        <v>61</v>
      </c>
      <c r="Q3417" t="s">
        <v>527</v>
      </c>
      <c r="R3417" t="s">
        <v>538</v>
      </c>
      <c r="S3417" t="s">
        <v>539</v>
      </c>
      <c r="T3417" t="s">
        <v>540</v>
      </c>
    </row>
    <row r="3418" spans="1:20" x14ac:dyDescent="0.25">
      <c r="A3418" t="s">
        <v>30</v>
      </c>
      <c r="B3418" t="s">
        <v>31</v>
      </c>
      <c r="C3418" t="s">
        <v>32</v>
      </c>
      <c r="D3418" t="s">
        <v>522</v>
      </c>
      <c r="E3418" t="s">
        <v>543</v>
      </c>
      <c r="F3418" t="s">
        <v>35</v>
      </c>
      <c r="G3418" t="s">
        <v>35</v>
      </c>
      <c r="H3418" t="s">
        <v>35</v>
      </c>
      <c r="J3418" t="s">
        <v>4094</v>
      </c>
      <c r="K3418" t="s">
        <v>1092</v>
      </c>
      <c r="M3418">
        <v>11.025</v>
      </c>
      <c r="N3418">
        <v>64</v>
      </c>
      <c r="O3418" t="s">
        <v>61</v>
      </c>
      <c r="Q3418" t="s">
        <v>102</v>
      </c>
      <c r="R3418" t="s">
        <v>538</v>
      </c>
      <c r="S3418" t="s">
        <v>539</v>
      </c>
      <c r="T3418" t="s">
        <v>540</v>
      </c>
    </row>
    <row r="3419" spans="1:20" x14ac:dyDescent="0.25">
      <c r="A3419" t="s">
        <v>59</v>
      </c>
      <c r="B3419" t="s">
        <v>31</v>
      </c>
      <c r="C3419" t="s">
        <v>32</v>
      </c>
      <c r="D3419" t="s">
        <v>522</v>
      </c>
      <c r="E3419" t="s">
        <v>543</v>
      </c>
      <c r="F3419" t="s">
        <v>35</v>
      </c>
      <c r="G3419" t="s">
        <v>35</v>
      </c>
      <c r="H3419" t="s">
        <v>35</v>
      </c>
      <c r="J3419" t="s">
        <v>4094</v>
      </c>
      <c r="K3419" t="s">
        <v>1092</v>
      </c>
      <c r="M3419">
        <v>10.755000000000001</v>
      </c>
      <c r="N3419">
        <v>164</v>
      </c>
      <c r="O3419" t="s">
        <v>38</v>
      </c>
      <c r="Q3419" t="s">
        <v>3930</v>
      </c>
      <c r="R3419" t="s">
        <v>538</v>
      </c>
      <c r="S3419" t="s">
        <v>539</v>
      </c>
      <c r="T3419" t="s">
        <v>540</v>
      </c>
    </row>
    <row r="3420" spans="1:20" x14ac:dyDescent="0.25">
      <c r="A3420" t="s">
        <v>30</v>
      </c>
      <c r="B3420" t="s">
        <v>31</v>
      </c>
      <c r="C3420" t="s">
        <v>32</v>
      </c>
      <c r="D3420" t="s">
        <v>522</v>
      </c>
      <c r="E3420" t="s">
        <v>543</v>
      </c>
      <c r="F3420" t="s">
        <v>35</v>
      </c>
      <c r="G3420" t="s">
        <v>35</v>
      </c>
      <c r="H3420" t="s">
        <v>35</v>
      </c>
      <c r="J3420" t="s">
        <v>4094</v>
      </c>
      <c r="K3420" t="s">
        <v>1092</v>
      </c>
      <c r="M3420">
        <v>7.7850000000000001</v>
      </c>
      <c r="N3420">
        <v>90</v>
      </c>
      <c r="O3420" t="s">
        <v>61</v>
      </c>
      <c r="Q3420" t="s">
        <v>557</v>
      </c>
      <c r="R3420" t="s">
        <v>538</v>
      </c>
      <c r="S3420" t="s">
        <v>539</v>
      </c>
      <c r="T3420" t="s">
        <v>540</v>
      </c>
    </row>
    <row r="3421" spans="1:20" x14ac:dyDescent="0.25">
      <c r="A3421" t="s">
        <v>59</v>
      </c>
      <c r="B3421" t="s">
        <v>31</v>
      </c>
      <c r="C3421" t="s">
        <v>32</v>
      </c>
      <c r="D3421" t="s">
        <v>522</v>
      </c>
      <c r="E3421" t="s">
        <v>561</v>
      </c>
      <c r="F3421" t="s">
        <v>35</v>
      </c>
      <c r="G3421" t="s">
        <v>35</v>
      </c>
      <c r="H3421" t="s">
        <v>35</v>
      </c>
      <c r="J3421" t="s">
        <v>4277</v>
      </c>
      <c r="K3421" t="s">
        <v>1092</v>
      </c>
      <c r="M3421">
        <v>2.34</v>
      </c>
      <c r="N3421">
        <v>133</v>
      </c>
      <c r="O3421" t="s">
        <v>38</v>
      </c>
      <c r="Q3421" t="s">
        <v>609</v>
      </c>
      <c r="R3421" t="s">
        <v>538</v>
      </c>
      <c r="S3421" t="s">
        <v>539</v>
      </c>
      <c r="T3421" t="s">
        <v>540</v>
      </c>
    </row>
    <row r="3422" spans="1:20" x14ac:dyDescent="0.25">
      <c r="A3422" t="s">
        <v>59</v>
      </c>
      <c r="B3422" t="s">
        <v>60</v>
      </c>
      <c r="C3422" t="s">
        <v>32</v>
      </c>
      <c r="D3422" t="s">
        <v>522</v>
      </c>
      <c r="E3422" t="s">
        <v>533</v>
      </c>
      <c r="F3422" t="s">
        <v>35</v>
      </c>
      <c r="G3422" t="s">
        <v>35</v>
      </c>
      <c r="H3422" t="s">
        <v>35</v>
      </c>
      <c r="J3422" t="s">
        <v>534</v>
      </c>
      <c r="K3422" t="s">
        <v>37</v>
      </c>
      <c r="M3422">
        <v>1.625</v>
      </c>
      <c r="N3422">
        <v>207</v>
      </c>
      <c r="O3422" t="s">
        <v>5</v>
      </c>
      <c r="P3422" t="s">
        <v>536</v>
      </c>
      <c r="Q3422" t="s">
        <v>537</v>
      </c>
      <c r="R3422" t="s">
        <v>538</v>
      </c>
      <c r="S3422" t="s">
        <v>539</v>
      </c>
      <c r="T3422" t="s">
        <v>540</v>
      </c>
    </row>
    <row r="3423" spans="1:20" x14ac:dyDescent="0.25">
      <c r="A3423" t="s">
        <v>59</v>
      </c>
      <c r="B3423" t="s">
        <v>60</v>
      </c>
      <c r="C3423" t="s">
        <v>32</v>
      </c>
      <c r="D3423" t="s">
        <v>522</v>
      </c>
      <c r="E3423" t="s">
        <v>533</v>
      </c>
      <c r="F3423" t="s">
        <v>35</v>
      </c>
      <c r="G3423" t="s">
        <v>35</v>
      </c>
      <c r="H3423" t="s">
        <v>35</v>
      </c>
      <c r="J3423" t="s">
        <v>534</v>
      </c>
      <c r="K3423" t="s">
        <v>37</v>
      </c>
      <c r="M3423">
        <v>11</v>
      </c>
      <c r="N3423">
        <v>131</v>
      </c>
      <c r="O3423" t="s">
        <v>38</v>
      </c>
      <c r="P3423" t="s">
        <v>541</v>
      </c>
      <c r="Q3423" t="s">
        <v>542</v>
      </c>
      <c r="R3423" t="s">
        <v>538</v>
      </c>
      <c r="S3423" t="s">
        <v>539</v>
      </c>
      <c r="T3423" t="s">
        <v>540</v>
      </c>
    </row>
    <row r="3424" spans="1:20" x14ac:dyDescent="0.25">
      <c r="A3424" t="s">
        <v>30</v>
      </c>
      <c r="B3424" t="s">
        <v>31</v>
      </c>
      <c r="C3424" t="s">
        <v>32</v>
      </c>
      <c r="D3424" t="s">
        <v>522</v>
      </c>
      <c r="E3424" t="s">
        <v>543</v>
      </c>
      <c r="F3424" t="s">
        <v>35</v>
      </c>
      <c r="G3424" t="s">
        <v>35</v>
      </c>
      <c r="H3424" t="s">
        <v>35</v>
      </c>
      <c r="J3424" t="s">
        <v>4150</v>
      </c>
      <c r="K3424" t="s">
        <v>1092</v>
      </c>
      <c r="M3424">
        <v>8.3249999999999993</v>
      </c>
      <c r="N3424">
        <v>64</v>
      </c>
      <c r="O3424" t="s">
        <v>61</v>
      </c>
      <c r="Q3424" t="s">
        <v>102</v>
      </c>
      <c r="R3424" t="s">
        <v>538</v>
      </c>
      <c r="S3424" t="s">
        <v>539</v>
      </c>
      <c r="T3424" t="s">
        <v>540</v>
      </c>
    </row>
    <row r="3425" spans="1:20" x14ac:dyDescent="0.25">
      <c r="A3425" t="s">
        <v>30</v>
      </c>
      <c r="B3425" t="s">
        <v>31</v>
      </c>
      <c r="C3425" t="s">
        <v>32</v>
      </c>
      <c r="D3425" t="s">
        <v>522</v>
      </c>
      <c r="E3425" t="s">
        <v>553</v>
      </c>
      <c r="F3425" t="s">
        <v>35</v>
      </c>
      <c r="G3425" t="s">
        <v>35</v>
      </c>
      <c r="H3425" t="s">
        <v>35</v>
      </c>
      <c r="J3425" t="s">
        <v>4177</v>
      </c>
      <c r="K3425" t="s">
        <v>1092</v>
      </c>
      <c r="M3425">
        <v>5.625</v>
      </c>
      <c r="N3425">
        <v>90</v>
      </c>
      <c r="O3425" t="s">
        <v>61</v>
      </c>
      <c r="Q3425" t="s">
        <v>557</v>
      </c>
      <c r="R3425" t="s">
        <v>538</v>
      </c>
      <c r="S3425" t="s">
        <v>539</v>
      </c>
      <c r="T3425" t="s">
        <v>540</v>
      </c>
    </row>
    <row r="3426" spans="1:20" x14ac:dyDescent="0.25">
      <c r="A3426" t="s">
        <v>30</v>
      </c>
      <c r="B3426" t="s">
        <v>31</v>
      </c>
      <c r="C3426" t="s">
        <v>32</v>
      </c>
      <c r="D3426" t="s">
        <v>522</v>
      </c>
      <c r="E3426" t="s">
        <v>553</v>
      </c>
      <c r="F3426" t="s">
        <v>35</v>
      </c>
      <c r="G3426" t="s">
        <v>35</v>
      </c>
      <c r="H3426" t="s">
        <v>35</v>
      </c>
      <c r="J3426" t="s">
        <v>4174</v>
      </c>
      <c r="K3426" t="s">
        <v>1092</v>
      </c>
      <c r="M3426">
        <v>0.54</v>
      </c>
      <c r="N3426">
        <v>475</v>
      </c>
      <c r="O3426" t="s">
        <v>294</v>
      </c>
      <c r="Q3426" t="s">
        <v>3207</v>
      </c>
      <c r="R3426" t="s">
        <v>538</v>
      </c>
      <c r="S3426" t="s">
        <v>539</v>
      </c>
      <c r="T3426" t="s">
        <v>540</v>
      </c>
    </row>
    <row r="3427" spans="1:20" x14ac:dyDescent="0.25">
      <c r="A3427" t="s">
        <v>30</v>
      </c>
      <c r="B3427" t="s">
        <v>31</v>
      </c>
      <c r="C3427" t="s">
        <v>32</v>
      </c>
      <c r="D3427" t="s">
        <v>522</v>
      </c>
      <c r="E3427" t="s">
        <v>565</v>
      </c>
      <c r="F3427" t="s">
        <v>35</v>
      </c>
      <c r="G3427" t="s">
        <v>35</v>
      </c>
      <c r="H3427" t="s">
        <v>35</v>
      </c>
      <c r="J3427" t="s">
        <v>4358</v>
      </c>
      <c r="K3427" t="s">
        <v>1092</v>
      </c>
      <c r="M3427">
        <v>1.125</v>
      </c>
      <c r="N3427">
        <v>2049</v>
      </c>
      <c r="O3427" t="s">
        <v>575</v>
      </c>
      <c r="Q3427" t="s">
        <v>4359</v>
      </c>
      <c r="R3427" t="s">
        <v>538</v>
      </c>
      <c r="S3427" t="s">
        <v>539</v>
      </c>
      <c r="T3427" t="s">
        <v>540</v>
      </c>
    </row>
    <row r="3428" spans="1:20" x14ac:dyDescent="0.25">
      <c r="A3428" t="s">
        <v>30</v>
      </c>
      <c r="B3428" t="s">
        <v>31</v>
      </c>
      <c r="C3428" t="s">
        <v>32</v>
      </c>
      <c r="D3428" t="s">
        <v>522</v>
      </c>
      <c r="E3428" t="s">
        <v>565</v>
      </c>
      <c r="F3428" t="s">
        <v>35</v>
      </c>
      <c r="G3428" t="s">
        <v>35</v>
      </c>
      <c r="H3428" t="s">
        <v>35</v>
      </c>
      <c r="J3428" t="s">
        <v>4373</v>
      </c>
      <c r="K3428" t="s">
        <v>1092</v>
      </c>
      <c r="M3428">
        <v>0.09</v>
      </c>
      <c r="N3428">
        <v>142</v>
      </c>
      <c r="O3428" t="s">
        <v>38</v>
      </c>
      <c r="Q3428" t="s">
        <v>73</v>
      </c>
      <c r="R3428" t="s">
        <v>538</v>
      </c>
      <c r="S3428" t="s">
        <v>539</v>
      </c>
      <c r="T3428" t="s">
        <v>540</v>
      </c>
    </row>
    <row r="3429" spans="1:20" x14ac:dyDescent="0.25">
      <c r="A3429" t="s">
        <v>59</v>
      </c>
      <c r="B3429" t="s">
        <v>60</v>
      </c>
      <c r="C3429" t="s">
        <v>32</v>
      </c>
      <c r="D3429" t="s">
        <v>522</v>
      </c>
      <c r="E3429" t="s">
        <v>565</v>
      </c>
      <c r="F3429" t="s">
        <v>35</v>
      </c>
      <c r="G3429" t="s">
        <v>35</v>
      </c>
      <c r="H3429" t="s">
        <v>35</v>
      </c>
      <c r="J3429" t="s">
        <v>4373</v>
      </c>
      <c r="K3429" t="s">
        <v>1092</v>
      </c>
      <c r="M3429">
        <v>2</v>
      </c>
      <c r="N3429">
        <v>159</v>
      </c>
      <c r="O3429" t="s">
        <v>38</v>
      </c>
      <c r="Q3429" t="s">
        <v>2316</v>
      </c>
      <c r="R3429" t="s">
        <v>538</v>
      </c>
      <c r="S3429" t="s">
        <v>539</v>
      </c>
      <c r="T3429" t="s">
        <v>540</v>
      </c>
    </row>
    <row r="3430" spans="1:20" x14ac:dyDescent="0.25">
      <c r="A3430" t="s">
        <v>30</v>
      </c>
      <c r="B3430" t="s">
        <v>31</v>
      </c>
      <c r="C3430" t="s">
        <v>32</v>
      </c>
      <c r="D3430" t="s">
        <v>522</v>
      </c>
      <c r="E3430" t="s">
        <v>543</v>
      </c>
      <c r="F3430" t="s">
        <v>35</v>
      </c>
      <c r="G3430" t="s">
        <v>35</v>
      </c>
      <c r="H3430" t="s">
        <v>35</v>
      </c>
      <c r="J3430" t="s">
        <v>4105</v>
      </c>
      <c r="K3430" t="s">
        <v>1092</v>
      </c>
      <c r="M3430">
        <v>11.025</v>
      </c>
      <c r="N3430">
        <v>42</v>
      </c>
      <c r="O3430" t="s">
        <v>52</v>
      </c>
      <c r="Q3430" t="s">
        <v>219</v>
      </c>
      <c r="R3430" t="s">
        <v>538</v>
      </c>
      <c r="S3430" t="s">
        <v>539</v>
      </c>
      <c r="T3430" t="s">
        <v>540</v>
      </c>
    </row>
    <row r="3431" spans="1:20" x14ac:dyDescent="0.25">
      <c r="A3431" t="s">
        <v>30</v>
      </c>
      <c r="B3431" t="s">
        <v>31</v>
      </c>
      <c r="C3431" t="s">
        <v>32</v>
      </c>
      <c r="D3431" t="s">
        <v>522</v>
      </c>
      <c r="E3431" t="s">
        <v>565</v>
      </c>
      <c r="F3431" t="s">
        <v>35</v>
      </c>
      <c r="G3431" t="s">
        <v>35</v>
      </c>
      <c r="H3431" t="s">
        <v>35</v>
      </c>
      <c r="J3431" t="s">
        <v>4378</v>
      </c>
      <c r="K3431" t="s">
        <v>1092</v>
      </c>
      <c r="M3431">
        <v>0.09</v>
      </c>
      <c r="N3431">
        <v>64</v>
      </c>
      <c r="O3431" t="s">
        <v>61</v>
      </c>
      <c r="Q3431" t="s">
        <v>102</v>
      </c>
      <c r="R3431" t="s">
        <v>538</v>
      </c>
      <c r="S3431" t="s">
        <v>539</v>
      </c>
      <c r="T3431" t="s">
        <v>540</v>
      </c>
    </row>
    <row r="3432" spans="1:20" x14ac:dyDescent="0.25">
      <c r="A3432" t="s">
        <v>30</v>
      </c>
      <c r="B3432" t="s">
        <v>31</v>
      </c>
      <c r="C3432" t="s">
        <v>32</v>
      </c>
      <c r="D3432" t="s">
        <v>522</v>
      </c>
      <c r="E3432" t="s">
        <v>565</v>
      </c>
      <c r="F3432" t="s">
        <v>35</v>
      </c>
      <c r="G3432" t="s">
        <v>35</v>
      </c>
      <c r="H3432" t="s">
        <v>35</v>
      </c>
      <c r="J3432" t="s">
        <v>4313</v>
      </c>
      <c r="K3432" t="s">
        <v>1092</v>
      </c>
      <c r="M3432">
        <v>4.4999999999999998E-2</v>
      </c>
      <c r="N3432">
        <v>144</v>
      </c>
      <c r="O3432" t="s">
        <v>38</v>
      </c>
      <c r="Q3432" t="s">
        <v>1269</v>
      </c>
      <c r="R3432" t="s">
        <v>538</v>
      </c>
      <c r="S3432" t="s">
        <v>539</v>
      </c>
      <c r="T3432" t="s">
        <v>540</v>
      </c>
    </row>
    <row r="3433" spans="1:20" x14ac:dyDescent="0.25">
      <c r="A3433" t="s">
        <v>30</v>
      </c>
      <c r="B3433" t="s">
        <v>31</v>
      </c>
      <c r="C3433" t="s">
        <v>32</v>
      </c>
      <c r="D3433" t="s">
        <v>522</v>
      </c>
      <c r="E3433" t="s">
        <v>533</v>
      </c>
      <c r="F3433" t="s">
        <v>35</v>
      </c>
      <c r="G3433" t="s">
        <v>35</v>
      </c>
      <c r="H3433" t="s">
        <v>35</v>
      </c>
      <c r="J3433" t="s">
        <v>4068</v>
      </c>
      <c r="K3433" t="s">
        <v>1092</v>
      </c>
      <c r="M3433">
        <v>9.4049999999999994</v>
      </c>
      <c r="N3433">
        <v>42</v>
      </c>
      <c r="O3433" t="s">
        <v>52</v>
      </c>
      <c r="Q3433" t="s">
        <v>219</v>
      </c>
      <c r="R3433" t="s">
        <v>538</v>
      </c>
      <c r="S3433" t="s">
        <v>539</v>
      </c>
      <c r="T3433" t="s">
        <v>540</v>
      </c>
    </row>
    <row r="3434" spans="1:20" x14ac:dyDescent="0.25">
      <c r="A3434" t="s">
        <v>30</v>
      </c>
      <c r="B3434" t="s">
        <v>31</v>
      </c>
      <c r="C3434" t="s">
        <v>32</v>
      </c>
      <c r="D3434" t="s">
        <v>522</v>
      </c>
      <c r="E3434" t="s">
        <v>523</v>
      </c>
      <c r="F3434" t="s">
        <v>35</v>
      </c>
      <c r="G3434" t="s">
        <v>35</v>
      </c>
      <c r="H3434" t="s">
        <v>35</v>
      </c>
      <c r="J3434" t="s">
        <v>1885</v>
      </c>
      <c r="K3434" t="s">
        <v>1092</v>
      </c>
      <c r="M3434">
        <v>4.5</v>
      </c>
      <c r="N3434">
        <v>489</v>
      </c>
      <c r="O3434" t="s">
        <v>294</v>
      </c>
      <c r="Q3434" t="s">
        <v>3602</v>
      </c>
      <c r="R3434" t="s">
        <v>538</v>
      </c>
      <c r="S3434" t="s">
        <v>539</v>
      </c>
      <c r="T3434" t="s">
        <v>540</v>
      </c>
    </row>
    <row r="3435" spans="1:20" x14ac:dyDescent="0.25">
      <c r="A3435" t="s">
        <v>59</v>
      </c>
      <c r="B3435" t="s">
        <v>31</v>
      </c>
      <c r="C3435" t="s">
        <v>32</v>
      </c>
      <c r="D3435" t="s">
        <v>522</v>
      </c>
      <c r="E3435" t="s">
        <v>565</v>
      </c>
      <c r="F3435" t="s">
        <v>35</v>
      </c>
      <c r="G3435" t="s">
        <v>35</v>
      </c>
      <c r="H3435" t="s">
        <v>35</v>
      </c>
      <c r="J3435" t="s">
        <v>4394</v>
      </c>
      <c r="K3435" t="s">
        <v>1092</v>
      </c>
      <c r="M3435">
        <v>2.4300000000000002</v>
      </c>
      <c r="N3435">
        <v>92</v>
      </c>
      <c r="O3435" t="s">
        <v>106</v>
      </c>
      <c r="Q3435" t="s">
        <v>1216</v>
      </c>
      <c r="R3435" t="s">
        <v>538</v>
      </c>
      <c r="S3435" t="s">
        <v>539</v>
      </c>
      <c r="T3435" t="s">
        <v>540</v>
      </c>
    </row>
    <row r="3436" spans="1:20" x14ac:dyDescent="0.25">
      <c r="A3436" t="s">
        <v>30</v>
      </c>
      <c r="B3436" t="s">
        <v>31</v>
      </c>
      <c r="C3436" t="s">
        <v>32</v>
      </c>
      <c r="D3436" t="s">
        <v>522</v>
      </c>
      <c r="E3436" t="s">
        <v>533</v>
      </c>
      <c r="F3436" t="s">
        <v>35</v>
      </c>
      <c r="G3436" t="s">
        <v>35</v>
      </c>
      <c r="H3436" t="s">
        <v>35</v>
      </c>
      <c r="J3436" t="s">
        <v>4041</v>
      </c>
      <c r="K3436" t="s">
        <v>1092</v>
      </c>
      <c r="M3436">
        <v>5.5350000000000001</v>
      </c>
      <c r="N3436">
        <v>64</v>
      </c>
      <c r="O3436" t="s">
        <v>61</v>
      </c>
      <c r="Q3436" t="s">
        <v>102</v>
      </c>
      <c r="R3436" t="s">
        <v>538</v>
      </c>
      <c r="S3436" t="s">
        <v>539</v>
      </c>
      <c r="T3436" t="s">
        <v>540</v>
      </c>
    </row>
    <row r="3437" spans="1:20" x14ac:dyDescent="0.25">
      <c r="A3437" t="s">
        <v>30</v>
      </c>
      <c r="B3437" t="s">
        <v>31</v>
      </c>
      <c r="C3437" t="s">
        <v>32</v>
      </c>
      <c r="D3437" t="s">
        <v>522</v>
      </c>
      <c r="E3437" t="s">
        <v>523</v>
      </c>
      <c r="F3437" t="s">
        <v>35</v>
      </c>
      <c r="G3437" t="s">
        <v>35</v>
      </c>
      <c r="H3437" t="s">
        <v>35</v>
      </c>
      <c r="J3437" t="s">
        <v>3941</v>
      </c>
      <c r="K3437" t="s">
        <v>1092</v>
      </c>
      <c r="M3437">
        <v>0.9</v>
      </c>
      <c r="N3437">
        <v>148</v>
      </c>
      <c r="O3437" t="s">
        <v>38</v>
      </c>
      <c r="Q3437" t="s">
        <v>3942</v>
      </c>
      <c r="R3437" t="s">
        <v>538</v>
      </c>
      <c r="S3437" t="s">
        <v>539</v>
      </c>
      <c r="T3437" t="s">
        <v>540</v>
      </c>
    </row>
    <row r="3438" spans="1:20" x14ac:dyDescent="0.25">
      <c r="A3438" t="s">
        <v>44</v>
      </c>
      <c r="B3438" t="s">
        <v>51</v>
      </c>
      <c r="C3438" t="s">
        <v>32</v>
      </c>
      <c r="D3438" t="s">
        <v>522</v>
      </c>
      <c r="E3438" t="s">
        <v>4181</v>
      </c>
      <c r="F3438" t="s">
        <v>35</v>
      </c>
      <c r="G3438" t="s">
        <v>35</v>
      </c>
      <c r="H3438" t="s">
        <v>35</v>
      </c>
      <c r="J3438" t="s">
        <v>4183</v>
      </c>
      <c r="K3438" t="s">
        <v>1092</v>
      </c>
      <c r="M3438">
        <v>4.3499999999999996</v>
      </c>
      <c r="N3438">
        <v>74</v>
      </c>
      <c r="O3438" t="s">
        <v>61</v>
      </c>
      <c r="Q3438" t="s">
        <v>527</v>
      </c>
      <c r="R3438" t="s">
        <v>538</v>
      </c>
      <c r="S3438" t="s">
        <v>539</v>
      </c>
      <c r="T3438" t="s">
        <v>540</v>
      </c>
    </row>
    <row r="3439" spans="1:20" x14ac:dyDescent="0.25">
      <c r="A3439" t="s">
        <v>59</v>
      </c>
      <c r="B3439" t="s">
        <v>31</v>
      </c>
      <c r="C3439" t="s">
        <v>32</v>
      </c>
      <c r="D3439" t="s">
        <v>522</v>
      </c>
      <c r="E3439" t="s">
        <v>565</v>
      </c>
      <c r="F3439" t="s">
        <v>35</v>
      </c>
      <c r="G3439" t="s">
        <v>35</v>
      </c>
      <c r="H3439" t="s">
        <v>35</v>
      </c>
      <c r="J3439" t="s">
        <v>4345</v>
      </c>
      <c r="K3439" t="s">
        <v>1092</v>
      </c>
      <c r="M3439">
        <v>0.09</v>
      </c>
      <c r="N3439">
        <v>164</v>
      </c>
      <c r="O3439" t="s">
        <v>38</v>
      </c>
      <c r="Q3439" t="s">
        <v>3930</v>
      </c>
      <c r="R3439" t="s">
        <v>538</v>
      </c>
      <c r="S3439" t="s">
        <v>539</v>
      </c>
      <c r="T3439" t="s">
        <v>540</v>
      </c>
    </row>
    <row r="3440" spans="1:20" x14ac:dyDescent="0.25">
      <c r="A3440" t="s">
        <v>59</v>
      </c>
      <c r="B3440" t="s">
        <v>60</v>
      </c>
      <c r="C3440" t="s">
        <v>32</v>
      </c>
      <c r="D3440" t="s">
        <v>522</v>
      </c>
      <c r="E3440" t="s">
        <v>533</v>
      </c>
      <c r="F3440" t="s">
        <v>35</v>
      </c>
      <c r="G3440" t="s">
        <v>35</v>
      </c>
      <c r="H3440" t="s">
        <v>35</v>
      </c>
      <c r="J3440" t="s">
        <v>4038</v>
      </c>
      <c r="K3440" t="s">
        <v>1092</v>
      </c>
      <c r="M3440">
        <v>0.3</v>
      </c>
      <c r="N3440">
        <v>195</v>
      </c>
      <c r="O3440" t="s">
        <v>5</v>
      </c>
      <c r="Q3440" t="s">
        <v>1299</v>
      </c>
      <c r="R3440" t="s">
        <v>538</v>
      </c>
      <c r="S3440" t="s">
        <v>539</v>
      </c>
      <c r="T3440" t="s">
        <v>540</v>
      </c>
    </row>
    <row r="3441" spans="1:20" x14ac:dyDescent="0.25">
      <c r="A3441" t="s">
        <v>44</v>
      </c>
      <c r="B3441" t="s">
        <v>51</v>
      </c>
      <c r="C3441" t="s">
        <v>32</v>
      </c>
      <c r="D3441" t="s">
        <v>522</v>
      </c>
      <c r="E3441" t="s">
        <v>533</v>
      </c>
      <c r="F3441" t="s">
        <v>35</v>
      </c>
      <c r="G3441" t="s">
        <v>35</v>
      </c>
      <c r="H3441" t="s">
        <v>35</v>
      </c>
      <c r="J3441" t="s">
        <v>4038</v>
      </c>
      <c r="K3441" t="s">
        <v>1092</v>
      </c>
      <c r="M3441">
        <v>6.55</v>
      </c>
      <c r="N3441">
        <v>66</v>
      </c>
      <c r="O3441" t="s">
        <v>61</v>
      </c>
      <c r="Q3441" t="s">
        <v>552</v>
      </c>
      <c r="R3441" t="s">
        <v>538</v>
      </c>
      <c r="S3441" t="s">
        <v>539</v>
      </c>
      <c r="T3441" t="s">
        <v>540</v>
      </c>
    </row>
    <row r="3442" spans="1:20" x14ac:dyDescent="0.25">
      <c r="A3442" t="s">
        <v>30</v>
      </c>
      <c r="B3442" t="s">
        <v>31</v>
      </c>
      <c r="C3442" t="s">
        <v>32</v>
      </c>
      <c r="D3442" t="s">
        <v>522</v>
      </c>
      <c r="E3442" t="s">
        <v>533</v>
      </c>
      <c r="F3442" t="s">
        <v>35</v>
      </c>
      <c r="G3442" t="s">
        <v>35</v>
      </c>
      <c r="H3442" t="s">
        <v>35</v>
      </c>
      <c r="J3442" t="s">
        <v>4038</v>
      </c>
      <c r="K3442" t="s">
        <v>1092</v>
      </c>
      <c r="M3442">
        <v>8.1</v>
      </c>
      <c r="N3442">
        <v>42</v>
      </c>
      <c r="O3442" t="s">
        <v>52</v>
      </c>
      <c r="Q3442" t="s">
        <v>219</v>
      </c>
      <c r="R3442" t="s">
        <v>538</v>
      </c>
      <c r="S3442" t="s">
        <v>539</v>
      </c>
      <c r="T3442" t="s">
        <v>540</v>
      </c>
    </row>
    <row r="3443" spans="1:20" x14ac:dyDescent="0.25">
      <c r="A3443" t="s">
        <v>30</v>
      </c>
      <c r="B3443" t="s">
        <v>31</v>
      </c>
      <c r="C3443" t="s">
        <v>32</v>
      </c>
      <c r="D3443" t="s">
        <v>522</v>
      </c>
      <c r="E3443" t="s">
        <v>561</v>
      </c>
      <c r="F3443" t="s">
        <v>35</v>
      </c>
      <c r="G3443" t="s">
        <v>35</v>
      </c>
      <c r="H3443" t="s">
        <v>35</v>
      </c>
      <c r="J3443" t="s">
        <v>4252</v>
      </c>
      <c r="K3443" t="s">
        <v>1092</v>
      </c>
      <c r="M3443">
        <v>4.9950000000000001</v>
      </c>
      <c r="N3443">
        <v>126</v>
      </c>
      <c r="O3443" t="s">
        <v>38</v>
      </c>
      <c r="Q3443" t="s">
        <v>68</v>
      </c>
      <c r="R3443" t="s">
        <v>538</v>
      </c>
      <c r="S3443" t="s">
        <v>539</v>
      </c>
      <c r="T3443" t="s">
        <v>540</v>
      </c>
    </row>
    <row r="3444" spans="1:20" x14ac:dyDescent="0.25">
      <c r="A3444" t="s">
        <v>30</v>
      </c>
      <c r="B3444" t="s">
        <v>31</v>
      </c>
      <c r="C3444" t="s">
        <v>32</v>
      </c>
      <c r="D3444" t="s">
        <v>522</v>
      </c>
      <c r="F3444" t="s">
        <v>35</v>
      </c>
      <c r="G3444" t="s">
        <v>35</v>
      </c>
      <c r="H3444" t="s">
        <v>35</v>
      </c>
      <c r="J3444" t="s">
        <v>4433</v>
      </c>
      <c r="K3444" t="s">
        <v>1092</v>
      </c>
      <c r="M3444">
        <v>2.9249999999999998</v>
      </c>
      <c r="N3444">
        <v>42</v>
      </c>
      <c r="O3444" t="s">
        <v>52</v>
      </c>
      <c r="Q3444" t="s">
        <v>219</v>
      </c>
      <c r="R3444" t="s">
        <v>538</v>
      </c>
      <c r="S3444" t="s">
        <v>539</v>
      </c>
      <c r="T3444" t="s">
        <v>540</v>
      </c>
    </row>
    <row r="3445" spans="1:20" x14ac:dyDescent="0.25">
      <c r="A3445" t="s">
        <v>59</v>
      </c>
      <c r="B3445" t="s">
        <v>60</v>
      </c>
      <c r="C3445" t="s">
        <v>32</v>
      </c>
      <c r="D3445" t="s">
        <v>522</v>
      </c>
      <c r="E3445" t="s">
        <v>565</v>
      </c>
      <c r="F3445" t="s">
        <v>35</v>
      </c>
      <c r="G3445" t="s">
        <v>35</v>
      </c>
      <c r="H3445" t="s">
        <v>35</v>
      </c>
      <c r="J3445" t="s">
        <v>4320</v>
      </c>
      <c r="K3445" t="s">
        <v>1144</v>
      </c>
      <c r="M3445">
        <v>4.5999999999999996</v>
      </c>
      <c r="N3445">
        <v>207</v>
      </c>
      <c r="O3445" t="s">
        <v>5</v>
      </c>
      <c r="Q3445" t="s">
        <v>537</v>
      </c>
      <c r="R3445" t="s">
        <v>538</v>
      </c>
      <c r="S3445" t="s">
        <v>539</v>
      </c>
      <c r="T3445" t="s">
        <v>540</v>
      </c>
    </row>
    <row r="3446" spans="1:20" x14ac:dyDescent="0.25">
      <c r="A3446" t="s">
        <v>30</v>
      </c>
      <c r="B3446" t="s">
        <v>31</v>
      </c>
      <c r="C3446" t="s">
        <v>32</v>
      </c>
      <c r="D3446" t="s">
        <v>522</v>
      </c>
      <c r="E3446" t="s">
        <v>523</v>
      </c>
      <c r="F3446" t="s">
        <v>35</v>
      </c>
      <c r="G3446" t="s">
        <v>35</v>
      </c>
      <c r="H3446" t="s">
        <v>35</v>
      </c>
      <c r="J3446" t="s">
        <v>3955</v>
      </c>
      <c r="K3446" t="s">
        <v>1092</v>
      </c>
      <c r="M3446">
        <v>5.98</v>
      </c>
      <c r="N3446">
        <v>221</v>
      </c>
      <c r="O3446" t="s">
        <v>5</v>
      </c>
      <c r="Q3446" t="s">
        <v>1979</v>
      </c>
      <c r="R3446" t="s">
        <v>538</v>
      </c>
      <c r="S3446" t="s">
        <v>539</v>
      </c>
      <c r="T3446" t="s">
        <v>540</v>
      </c>
    </row>
    <row r="3447" spans="1:20" x14ac:dyDescent="0.25">
      <c r="A3447" t="s">
        <v>30</v>
      </c>
      <c r="B3447" t="s">
        <v>31</v>
      </c>
      <c r="C3447" t="s">
        <v>32</v>
      </c>
      <c r="D3447" t="s">
        <v>522</v>
      </c>
      <c r="E3447" t="s">
        <v>523</v>
      </c>
      <c r="F3447" t="s">
        <v>35</v>
      </c>
      <c r="G3447" t="s">
        <v>35</v>
      </c>
      <c r="H3447" t="s">
        <v>35</v>
      </c>
      <c r="J3447" t="s">
        <v>3955</v>
      </c>
      <c r="K3447" t="s">
        <v>1092</v>
      </c>
      <c r="M3447">
        <v>4.5</v>
      </c>
      <c r="N3447">
        <v>117</v>
      </c>
      <c r="O3447" t="s">
        <v>106</v>
      </c>
      <c r="Q3447" t="s">
        <v>406</v>
      </c>
      <c r="R3447" t="s">
        <v>538</v>
      </c>
      <c r="S3447" t="s">
        <v>539</v>
      </c>
      <c r="T3447" t="s">
        <v>540</v>
      </c>
    </row>
    <row r="3448" spans="1:20" x14ac:dyDescent="0.25">
      <c r="A3448" t="s">
        <v>30</v>
      </c>
      <c r="B3448" t="s">
        <v>31</v>
      </c>
      <c r="C3448" t="s">
        <v>32</v>
      </c>
      <c r="D3448" t="s">
        <v>522</v>
      </c>
      <c r="E3448" t="s">
        <v>4207</v>
      </c>
      <c r="F3448" t="s">
        <v>35</v>
      </c>
      <c r="G3448" t="s">
        <v>35</v>
      </c>
      <c r="H3448" t="s">
        <v>35</v>
      </c>
      <c r="J3448" t="s">
        <v>4212</v>
      </c>
      <c r="K3448" t="s">
        <v>1092</v>
      </c>
      <c r="M3448">
        <v>11.025</v>
      </c>
      <c r="N3448">
        <v>20</v>
      </c>
      <c r="O3448" t="s">
        <v>46</v>
      </c>
      <c r="Q3448" t="s">
        <v>1011</v>
      </c>
      <c r="R3448" t="s">
        <v>538</v>
      </c>
      <c r="S3448" t="s">
        <v>539</v>
      </c>
      <c r="T3448" t="s">
        <v>540</v>
      </c>
    </row>
    <row r="3449" spans="1:20" x14ac:dyDescent="0.25">
      <c r="A3449" t="s">
        <v>30</v>
      </c>
      <c r="B3449" t="s">
        <v>31</v>
      </c>
      <c r="C3449" t="s">
        <v>32</v>
      </c>
      <c r="D3449" t="s">
        <v>522</v>
      </c>
      <c r="E3449" t="s">
        <v>543</v>
      </c>
      <c r="F3449" t="s">
        <v>35</v>
      </c>
      <c r="G3449" t="s">
        <v>35</v>
      </c>
      <c r="H3449" t="s">
        <v>35</v>
      </c>
      <c r="J3449" t="s">
        <v>4095</v>
      </c>
      <c r="K3449" t="s">
        <v>1092</v>
      </c>
      <c r="M3449">
        <v>11.025</v>
      </c>
      <c r="N3449">
        <v>42</v>
      </c>
      <c r="O3449" t="s">
        <v>52</v>
      </c>
      <c r="Q3449" t="s">
        <v>219</v>
      </c>
      <c r="R3449" t="s">
        <v>538</v>
      </c>
      <c r="S3449" t="s">
        <v>539</v>
      </c>
      <c r="T3449" t="s">
        <v>540</v>
      </c>
    </row>
    <row r="3450" spans="1:20" x14ac:dyDescent="0.25">
      <c r="A3450" t="s">
        <v>59</v>
      </c>
      <c r="B3450" t="s">
        <v>31</v>
      </c>
      <c r="C3450" t="s">
        <v>32</v>
      </c>
      <c r="D3450" t="s">
        <v>522</v>
      </c>
      <c r="E3450" t="s">
        <v>543</v>
      </c>
      <c r="F3450" t="s">
        <v>35</v>
      </c>
      <c r="G3450" t="s">
        <v>35</v>
      </c>
      <c r="H3450" t="s">
        <v>35</v>
      </c>
      <c r="J3450" t="s">
        <v>4095</v>
      </c>
      <c r="K3450" t="s">
        <v>1092</v>
      </c>
      <c r="M3450">
        <v>11.025</v>
      </c>
      <c r="N3450">
        <v>125</v>
      </c>
      <c r="O3450" t="s">
        <v>38</v>
      </c>
      <c r="Q3450" t="s">
        <v>2901</v>
      </c>
      <c r="R3450" t="s">
        <v>538</v>
      </c>
      <c r="S3450" t="s">
        <v>539</v>
      </c>
      <c r="T3450" t="s">
        <v>540</v>
      </c>
    </row>
    <row r="3451" spans="1:20" x14ac:dyDescent="0.25">
      <c r="A3451" t="s">
        <v>30</v>
      </c>
      <c r="B3451" t="s">
        <v>31</v>
      </c>
      <c r="C3451" t="s">
        <v>32</v>
      </c>
      <c r="D3451" t="s">
        <v>522</v>
      </c>
      <c r="E3451" t="s">
        <v>543</v>
      </c>
      <c r="F3451" t="s">
        <v>35</v>
      </c>
      <c r="G3451" t="s">
        <v>35</v>
      </c>
      <c r="H3451" t="s">
        <v>35</v>
      </c>
      <c r="J3451" t="s">
        <v>4095</v>
      </c>
      <c r="K3451" t="s">
        <v>1092</v>
      </c>
      <c r="M3451">
        <v>3.96</v>
      </c>
      <c r="N3451">
        <v>148</v>
      </c>
      <c r="O3451" t="s">
        <v>38</v>
      </c>
      <c r="Q3451" t="s">
        <v>3942</v>
      </c>
      <c r="R3451" t="s">
        <v>538</v>
      </c>
      <c r="S3451" t="s">
        <v>539</v>
      </c>
      <c r="T3451" t="s">
        <v>540</v>
      </c>
    </row>
    <row r="3452" spans="1:20" x14ac:dyDescent="0.25">
      <c r="A3452" t="s">
        <v>30</v>
      </c>
      <c r="B3452" t="s">
        <v>31</v>
      </c>
      <c r="C3452" t="s">
        <v>32</v>
      </c>
      <c r="D3452" t="s">
        <v>522</v>
      </c>
      <c r="E3452" t="s">
        <v>543</v>
      </c>
      <c r="F3452" t="s">
        <v>35</v>
      </c>
      <c r="G3452" t="s">
        <v>35</v>
      </c>
      <c r="H3452" t="s">
        <v>35</v>
      </c>
      <c r="J3452" t="s">
        <v>4095</v>
      </c>
      <c r="K3452" t="s">
        <v>1092</v>
      </c>
      <c r="M3452">
        <v>11.025</v>
      </c>
      <c r="N3452">
        <v>126</v>
      </c>
      <c r="O3452" t="s">
        <v>38</v>
      </c>
      <c r="Q3452" t="s">
        <v>68</v>
      </c>
      <c r="R3452" t="s">
        <v>538</v>
      </c>
      <c r="S3452" t="s">
        <v>539</v>
      </c>
      <c r="T3452" t="s">
        <v>540</v>
      </c>
    </row>
    <row r="3453" spans="1:20" x14ac:dyDescent="0.25">
      <c r="A3453" t="s">
        <v>30</v>
      </c>
      <c r="B3453" t="s">
        <v>31</v>
      </c>
      <c r="C3453" t="s">
        <v>32</v>
      </c>
      <c r="D3453" t="s">
        <v>522</v>
      </c>
      <c r="E3453" t="s">
        <v>543</v>
      </c>
      <c r="F3453" t="s">
        <v>35</v>
      </c>
      <c r="G3453" t="s">
        <v>35</v>
      </c>
      <c r="H3453" t="s">
        <v>35</v>
      </c>
      <c r="J3453" t="s">
        <v>4095</v>
      </c>
      <c r="K3453" t="s">
        <v>1092</v>
      </c>
      <c r="M3453">
        <v>11.025</v>
      </c>
      <c r="N3453">
        <v>64</v>
      </c>
      <c r="O3453" t="s">
        <v>61</v>
      </c>
      <c r="Q3453" t="s">
        <v>102</v>
      </c>
      <c r="R3453" t="s">
        <v>538</v>
      </c>
      <c r="S3453" t="s">
        <v>539</v>
      </c>
      <c r="T3453" t="s">
        <v>540</v>
      </c>
    </row>
    <row r="3454" spans="1:20" x14ac:dyDescent="0.25">
      <c r="A3454" t="s">
        <v>30</v>
      </c>
      <c r="B3454" t="s">
        <v>31</v>
      </c>
      <c r="C3454" t="s">
        <v>32</v>
      </c>
      <c r="D3454" t="s">
        <v>522</v>
      </c>
      <c r="E3454" t="s">
        <v>543</v>
      </c>
      <c r="F3454" t="s">
        <v>35</v>
      </c>
      <c r="G3454" t="s">
        <v>35</v>
      </c>
      <c r="H3454" t="s">
        <v>35</v>
      </c>
      <c r="J3454" t="s">
        <v>4158</v>
      </c>
      <c r="K3454" t="s">
        <v>1092</v>
      </c>
      <c r="M3454">
        <v>9.7200000000000006</v>
      </c>
      <c r="N3454">
        <v>87</v>
      </c>
      <c r="O3454" t="s">
        <v>61</v>
      </c>
      <c r="Q3454" t="s">
        <v>394</v>
      </c>
      <c r="R3454" t="s">
        <v>538</v>
      </c>
      <c r="S3454" t="s">
        <v>539</v>
      </c>
      <c r="T3454" t="s">
        <v>540</v>
      </c>
    </row>
    <row r="3455" spans="1:20" x14ac:dyDescent="0.25">
      <c r="A3455" t="s">
        <v>30</v>
      </c>
      <c r="B3455" t="s">
        <v>31</v>
      </c>
      <c r="C3455" t="s">
        <v>32</v>
      </c>
      <c r="D3455" t="s">
        <v>522</v>
      </c>
      <c r="E3455" t="s">
        <v>565</v>
      </c>
      <c r="F3455" t="s">
        <v>35</v>
      </c>
      <c r="G3455" t="s">
        <v>35</v>
      </c>
      <c r="H3455" t="s">
        <v>35</v>
      </c>
      <c r="J3455" t="s">
        <v>4397</v>
      </c>
      <c r="K3455" t="s">
        <v>1092</v>
      </c>
      <c r="M3455">
        <v>5.625</v>
      </c>
      <c r="N3455">
        <v>42</v>
      </c>
      <c r="O3455" t="s">
        <v>52</v>
      </c>
      <c r="Q3455" t="s">
        <v>219</v>
      </c>
      <c r="R3455" t="s">
        <v>538</v>
      </c>
      <c r="S3455" t="s">
        <v>539</v>
      </c>
      <c r="T3455" t="s">
        <v>540</v>
      </c>
    </row>
    <row r="3456" spans="1:20" x14ac:dyDescent="0.25">
      <c r="A3456" t="s">
        <v>30</v>
      </c>
      <c r="B3456" t="s">
        <v>31</v>
      </c>
      <c r="C3456" t="s">
        <v>32</v>
      </c>
      <c r="D3456" t="s">
        <v>522</v>
      </c>
      <c r="E3456" t="s">
        <v>561</v>
      </c>
      <c r="F3456" t="s">
        <v>35</v>
      </c>
      <c r="G3456" t="s">
        <v>35</v>
      </c>
      <c r="H3456" t="s">
        <v>35</v>
      </c>
      <c r="J3456" t="s">
        <v>4103</v>
      </c>
      <c r="K3456" t="s">
        <v>1092</v>
      </c>
      <c r="M3456">
        <v>2.4300000000000002</v>
      </c>
      <c r="N3456">
        <v>289</v>
      </c>
      <c r="O3456" t="s">
        <v>5</v>
      </c>
      <c r="Q3456" t="s">
        <v>4253</v>
      </c>
      <c r="R3456" t="s">
        <v>538</v>
      </c>
      <c r="S3456" t="s">
        <v>539</v>
      </c>
      <c r="T3456" t="s">
        <v>540</v>
      </c>
    </row>
    <row r="3457" spans="1:20" x14ac:dyDescent="0.25">
      <c r="A3457" t="s">
        <v>30</v>
      </c>
      <c r="B3457" t="s">
        <v>31</v>
      </c>
      <c r="C3457" t="s">
        <v>32</v>
      </c>
      <c r="D3457" t="s">
        <v>522</v>
      </c>
      <c r="E3457" t="s">
        <v>561</v>
      </c>
      <c r="F3457" t="s">
        <v>35</v>
      </c>
      <c r="G3457" t="s">
        <v>35</v>
      </c>
      <c r="H3457" t="s">
        <v>35</v>
      </c>
      <c r="J3457" t="s">
        <v>4103</v>
      </c>
      <c r="K3457" t="s">
        <v>1092</v>
      </c>
      <c r="M3457">
        <v>11.025</v>
      </c>
      <c r="N3457">
        <v>87</v>
      </c>
      <c r="O3457" t="s">
        <v>61</v>
      </c>
      <c r="Q3457" t="s">
        <v>394</v>
      </c>
      <c r="R3457" t="s">
        <v>538</v>
      </c>
      <c r="S3457" t="s">
        <v>539</v>
      </c>
      <c r="T3457" t="s">
        <v>540</v>
      </c>
    </row>
    <row r="3458" spans="1:20" x14ac:dyDescent="0.25">
      <c r="A3458" t="s">
        <v>30</v>
      </c>
      <c r="B3458" t="s">
        <v>31</v>
      </c>
      <c r="C3458" t="s">
        <v>32</v>
      </c>
      <c r="D3458" t="s">
        <v>522</v>
      </c>
      <c r="E3458" t="s">
        <v>543</v>
      </c>
      <c r="F3458" t="s">
        <v>35</v>
      </c>
      <c r="G3458" t="s">
        <v>35</v>
      </c>
      <c r="H3458" t="s">
        <v>35</v>
      </c>
      <c r="J3458" t="s">
        <v>4159</v>
      </c>
      <c r="K3458" t="s">
        <v>1092</v>
      </c>
      <c r="M3458">
        <v>0.67500000000000004</v>
      </c>
      <c r="N3458">
        <v>360</v>
      </c>
      <c r="O3458" t="s">
        <v>5</v>
      </c>
      <c r="Q3458" t="s">
        <v>3978</v>
      </c>
      <c r="R3458" t="s">
        <v>538</v>
      </c>
      <c r="S3458" t="s">
        <v>539</v>
      </c>
      <c r="T3458" t="s">
        <v>540</v>
      </c>
    </row>
    <row r="3459" spans="1:20" x14ac:dyDescent="0.25">
      <c r="A3459" t="s">
        <v>30</v>
      </c>
      <c r="B3459" t="s">
        <v>31</v>
      </c>
      <c r="C3459" t="s">
        <v>32</v>
      </c>
      <c r="D3459" t="s">
        <v>522</v>
      </c>
      <c r="E3459" t="s">
        <v>561</v>
      </c>
      <c r="F3459" t="s">
        <v>35</v>
      </c>
      <c r="G3459" t="s">
        <v>35</v>
      </c>
      <c r="H3459" t="s">
        <v>35</v>
      </c>
      <c r="J3459" t="s">
        <v>4309</v>
      </c>
      <c r="K3459" t="s">
        <v>1092</v>
      </c>
      <c r="M3459">
        <v>0.22500000000000001</v>
      </c>
      <c r="N3459">
        <v>328</v>
      </c>
      <c r="O3459" t="s">
        <v>5</v>
      </c>
      <c r="Q3459" t="s">
        <v>1306</v>
      </c>
      <c r="R3459" t="s">
        <v>538</v>
      </c>
      <c r="S3459" t="s">
        <v>539</v>
      </c>
      <c r="T3459" t="s">
        <v>540</v>
      </c>
    </row>
    <row r="3460" spans="1:20" x14ac:dyDescent="0.25">
      <c r="A3460" t="s">
        <v>30</v>
      </c>
      <c r="B3460" t="s">
        <v>31</v>
      </c>
      <c r="C3460" t="s">
        <v>32</v>
      </c>
      <c r="D3460" t="s">
        <v>522</v>
      </c>
      <c r="E3460" t="s">
        <v>4207</v>
      </c>
      <c r="F3460" t="s">
        <v>35</v>
      </c>
      <c r="G3460" t="s">
        <v>35</v>
      </c>
      <c r="H3460" t="s">
        <v>35</v>
      </c>
      <c r="J3460" t="s">
        <v>4233</v>
      </c>
      <c r="K3460" t="s">
        <v>1092</v>
      </c>
      <c r="M3460">
        <v>1.71</v>
      </c>
      <c r="N3460">
        <v>64</v>
      </c>
      <c r="O3460" t="s">
        <v>61</v>
      </c>
      <c r="Q3460" t="s">
        <v>102</v>
      </c>
      <c r="R3460" t="s">
        <v>538</v>
      </c>
      <c r="S3460" t="s">
        <v>539</v>
      </c>
      <c r="T3460" t="s">
        <v>540</v>
      </c>
    </row>
    <row r="3461" spans="1:20" x14ac:dyDescent="0.25">
      <c r="A3461" t="s">
        <v>30</v>
      </c>
      <c r="B3461" t="s">
        <v>31</v>
      </c>
      <c r="C3461" t="s">
        <v>32</v>
      </c>
      <c r="D3461" t="s">
        <v>522</v>
      </c>
      <c r="E3461" t="s">
        <v>565</v>
      </c>
      <c r="F3461" t="s">
        <v>35</v>
      </c>
      <c r="G3461" t="s">
        <v>35</v>
      </c>
      <c r="H3461" t="s">
        <v>35</v>
      </c>
      <c r="J3461" t="s">
        <v>4375</v>
      </c>
      <c r="K3461" t="s">
        <v>1092</v>
      </c>
      <c r="M3461">
        <v>5.0000000000000001E-3</v>
      </c>
      <c r="N3461">
        <v>2340</v>
      </c>
      <c r="O3461" t="s">
        <v>575</v>
      </c>
      <c r="Q3461" t="s">
        <v>4376</v>
      </c>
      <c r="R3461" t="s">
        <v>538</v>
      </c>
      <c r="S3461" t="s">
        <v>539</v>
      </c>
      <c r="T3461" t="s">
        <v>540</v>
      </c>
    </row>
    <row r="3462" spans="1:20" x14ac:dyDescent="0.25">
      <c r="A3462" t="s">
        <v>59</v>
      </c>
      <c r="B3462" t="s">
        <v>60</v>
      </c>
      <c r="C3462" t="s">
        <v>32</v>
      </c>
      <c r="D3462" t="s">
        <v>522</v>
      </c>
      <c r="E3462" t="s">
        <v>4207</v>
      </c>
      <c r="F3462" t="s">
        <v>35</v>
      </c>
      <c r="G3462" t="s">
        <v>35</v>
      </c>
      <c r="H3462" t="s">
        <v>35</v>
      </c>
      <c r="J3462" t="s">
        <v>3998</v>
      </c>
      <c r="K3462" t="s">
        <v>1092</v>
      </c>
      <c r="M3462">
        <v>5.75</v>
      </c>
      <c r="N3462">
        <v>207</v>
      </c>
      <c r="O3462" t="s">
        <v>5</v>
      </c>
      <c r="Q3462" t="s">
        <v>537</v>
      </c>
      <c r="R3462" t="s">
        <v>538</v>
      </c>
      <c r="S3462" t="s">
        <v>539</v>
      </c>
      <c r="T3462" t="s">
        <v>540</v>
      </c>
    </row>
    <row r="3463" spans="1:20" x14ac:dyDescent="0.25">
      <c r="A3463" t="s">
        <v>30</v>
      </c>
      <c r="B3463" t="s">
        <v>31</v>
      </c>
      <c r="C3463" t="s">
        <v>32</v>
      </c>
      <c r="D3463" t="s">
        <v>522</v>
      </c>
      <c r="E3463" t="s">
        <v>4207</v>
      </c>
      <c r="F3463" t="s">
        <v>35</v>
      </c>
      <c r="G3463" t="s">
        <v>35</v>
      </c>
      <c r="H3463" t="s">
        <v>35</v>
      </c>
      <c r="J3463" t="s">
        <v>3998</v>
      </c>
      <c r="K3463" t="s">
        <v>1092</v>
      </c>
      <c r="M3463">
        <v>0.45</v>
      </c>
      <c r="N3463">
        <v>42</v>
      </c>
      <c r="O3463" t="s">
        <v>52</v>
      </c>
      <c r="Q3463" t="s">
        <v>219</v>
      </c>
      <c r="R3463" t="s">
        <v>538</v>
      </c>
      <c r="S3463" t="s">
        <v>539</v>
      </c>
      <c r="T3463" t="s">
        <v>540</v>
      </c>
    </row>
    <row r="3464" spans="1:20" x14ac:dyDescent="0.25">
      <c r="A3464" t="s">
        <v>59</v>
      </c>
      <c r="B3464" t="s">
        <v>60</v>
      </c>
      <c r="C3464" t="s">
        <v>32</v>
      </c>
      <c r="D3464" t="s">
        <v>522</v>
      </c>
      <c r="E3464" t="s">
        <v>523</v>
      </c>
      <c r="F3464" t="s">
        <v>35</v>
      </c>
      <c r="G3464" t="s">
        <v>35</v>
      </c>
      <c r="H3464" t="s">
        <v>35</v>
      </c>
      <c r="J3464" t="s">
        <v>3964</v>
      </c>
      <c r="K3464" t="s">
        <v>1092</v>
      </c>
      <c r="M3464">
        <v>2.4500000000000002</v>
      </c>
      <c r="N3464">
        <v>131</v>
      </c>
      <c r="O3464" t="s">
        <v>38</v>
      </c>
      <c r="Q3464" t="s">
        <v>542</v>
      </c>
      <c r="R3464" t="s">
        <v>538</v>
      </c>
      <c r="S3464" t="s">
        <v>539</v>
      </c>
      <c r="T3464" t="s">
        <v>540</v>
      </c>
    </row>
    <row r="3465" spans="1:20" x14ac:dyDescent="0.25">
      <c r="A3465" t="s">
        <v>30</v>
      </c>
      <c r="B3465" t="s">
        <v>31</v>
      </c>
      <c r="C3465" t="s">
        <v>32</v>
      </c>
      <c r="D3465" t="s">
        <v>522</v>
      </c>
      <c r="E3465" t="s">
        <v>4181</v>
      </c>
      <c r="F3465" t="s">
        <v>35</v>
      </c>
      <c r="G3465" t="s">
        <v>35</v>
      </c>
      <c r="H3465" t="s">
        <v>35</v>
      </c>
      <c r="J3465" t="s">
        <v>4205</v>
      </c>
      <c r="K3465" t="s">
        <v>1092</v>
      </c>
      <c r="M3465">
        <v>6.39</v>
      </c>
      <c r="N3465">
        <v>42</v>
      </c>
      <c r="O3465" t="s">
        <v>52</v>
      </c>
      <c r="Q3465" t="s">
        <v>219</v>
      </c>
      <c r="R3465" t="s">
        <v>538</v>
      </c>
      <c r="S3465" t="s">
        <v>539</v>
      </c>
      <c r="T3465" t="s">
        <v>540</v>
      </c>
    </row>
    <row r="3466" spans="1:20" x14ac:dyDescent="0.25">
      <c r="A3466" t="s">
        <v>59</v>
      </c>
      <c r="B3466" t="s">
        <v>31</v>
      </c>
      <c r="C3466" t="s">
        <v>32</v>
      </c>
      <c r="D3466" t="s">
        <v>522</v>
      </c>
      <c r="E3466" t="s">
        <v>4181</v>
      </c>
      <c r="F3466" t="s">
        <v>35</v>
      </c>
      <c r="G3466" t="s">
        <v>35</v>
      </c>
      <c r="H3466" t="s">
        <v>35</v>
      </c>
      <c r="J3466" t="s">
        <v>4205</v>
      </c>
      <c r="K3466" t="s">
        <v>1092</v>
      </c>
      <c r="M3466">
        <v>1.3049999999999999</v>
      </c>
      <c r="N3466">
        <v>86</v>
      </c>
      <c r="O3466" t="s">
        <v>61</v>
      </c>
      <c r="Q3466" t="s">
        <v>941</v>
      </c>
      <c r="R3466" t="s">
        <v>538</v>
      </c>
      <c r="S3466" t="s">
        <v>539</v>
      </c>
      <c r="T3466" t="s">
        <v>540</v>
      </c>
    </row>
    <row r="3467" spans="1:20" x14ac:dyDescent="0.25">
      <c r="A3467" t="s">
        <v>30</v>
      </c>
      <c r="B3467" t="s">
        <v>31</v>
      </c>
      <c r="C3467" t="s">
        <v>32</v>
      </c>
      <c r="D3467" t="s">
        <v>522</v>
      </c>
      <c r="E3467" t="s">
        <v>4181</v>
      </c>
      <c r="F3467" t="s">
        <v>35</v>
      </c>
      <c r="G3467" t="s">
        <v>35</v>
      </c>
      <c r="H3467" t="s">
        <v>35</v>
      </c>
      <c r="J3467" t="s">
        <v>4205</v>
      </c>
      <c r="K3467" t="s">
        <v>1092</v>
      </c>
      <c r="M3467">
        <v>5.5350000000000001</v>
      </c>
      <c r="N3467">
        <v>20</v>
      </c>
      <c r="O3467" t="s">
        <v>46</v>
      </c>
      <c r="Q3467" t="s">
        <v>1011</v>
      </c>
      <c r="R3467" t="s">
        <v>538</v>
      </c>
      <c r="S3467" t="s">
        <v>539</v>
      </c>
      <c r="T3467" t="s">
        <v>540</v>
      </c>
    </row>
    <row r="3468" spans="1:20" x14ac:dyDescent="0.25">
      <c r="A3468" t="s">
        <v>59</v>
      </c>
      <c r="B3468" t="s">
        <v>31</v>
      </c>
      <c r="C3468" t="s">
        <v>32</v>
      </c>
      <c r="D3468" t="s">
        <v>522</v>
      </c>
      <c r="E3468" t="s">
        <v>565</v>
      </c>
      <c r="F3468" t="s">
        <v>35</v>
      </c>
      <c r="G3468" t="s">
        <v>35</v>
      </c>
      <c r="H3468" t="s">
        <v>35</v>
      </c>
      <c r="J3468" t="s">
        <v>4315</v>
      </c>
      <c r="K3468" t="s">
        <v>1092</v>
      </c>
      <c r="M3468">
        <v>1.62</v>
      </c>
      <c r="N3468">
        <v>164</v>
      </c>
      <c r="O3468" t="s">
        <v>38</v>
      </c>
      <c r="Q3468" t="s">
        <v>3930</v>
      </c>
      <c r="R3468" t="s">
        <v>538</v>
      </c>
      <c r="S3468" t="s">
        <v>539</v>
      </c>
      <c r="T3468" t="s">
        <v>540</v>
      </c>
    </row>
    <row r="3469" spans="1:20" x14ac:dyDescent="0.25">
      <c r="A3469" t="s">
        <v>30</v>
      </c>
      <c r="B3469" t="s">
        <v>31</v>
      </c>
      <c r="C3469" t="s">
        <v>32</v>
      </c>
      <c r="D3469" t="s">
        <v>522</v>
      </c>
      <c r="E3469" t="s">
        <v>565</v>
      </c>
      <c r="F3469" t="s">
        <v>35</v>
      </c>
      <c r="G3469" t="s">
        <v>35</v>
      </c>
      <c r="H3469" t="s">
        <v>35</v>
      </c>
      <c r="J3469" t="s">
        <v>4315</v>
      </c>
      <c r="K3469" t="s">
        <v>1092</v>
      </c>
      <c r="M3469">
        <v>2.2250000000000001</v>
      </c>
      <c r="N3469">
        <v>90</v>
      </c>
      <c r="O3469" t="s">
        <v>61</v>
      </c>
      <c r="Q3469" t="s">
        <v>557</v>
      </c>
      <c r="R3469" t="s">
        <v>538</v>
      </c>
      <c r="S3469" t="s">
        <v>539</v>
      </c>
      <c r="T3469" t="s">
        <v>540</v>
      </c>
    </row>
    <row r="3470" spans="1:20" x14ac:dyDescent="0.25">
      <c r="A3470" t="s">
        <v>30</v>
      </c>
      <c r="B3470" t="s">
        <v>31</v>
      </c>
      <c r="C3470" t="s">
        <v>32</v>
      </c>
      <c r="D3470" t="s">
        <v>522</v>
      </c>
      <c r="E3470" t="s">
        <v>4181</v>
      </c>
      <c r="F3470" t="s">
        <v>35</v>
      </c>
      <c r="G3470" t="s">
        <v>35</v>
      </c>
      <c r="H3470" t="s">
        <v>35</v>
      </c>
      <c r="J3470" t="s">
        <v>4201</v>
      </c>
      <c r="K3470" t="s">
        <v>1092</v>
      </c>
      <c r="M3470">
        <v>3.24</v>
      </c>
      <c r="N3470">
        <v>405</v>
      </c>
      <c r="O3470" t="s">
        <v>294</v>
      </c>
      <c r="Q3470" t="s">
        <v>3472</v>
      </c>
      <c r="R3470" t="s">
        <v>538</v>
      </c>
      <c r="S3470" t="s">
        <v>539</v>
      </c>
      <c r="T3470" t="s">
        <v>540</v>
      </c>
    </row>
    <row r="3471" spans="1:20" x14ac:dyDescent="0.25">
      <c r="A3471" t="s">
        <v>44</v>
      </c>
      <c r="B3471" t="s">
        <v>51</v>
      </c>
      <c r="C3471" t="s">
        <v>32</v>
      </c>
      <c r="D3471" t="s">
        <v>522</v>
      </c>
      <c r="E3471" t="s">
        <v>565</v>
      </c>
      <c r="F3471" t="s">
        <v>35</v>
      </c>
      <c r="G3471" t="s">
        <v>35</v>
      </c>
      <c r="H3471" t="s">
        <v>35</v>
      </c>
      <c r="J3471" t="s">
        <v>4344</v>
      </c>
      <c r="K3471" t="s">
        <v>1092</v>
      </c>
      <c r="M3471">
        <v>3</v>
      </c>
      <c r="N3471">
        <v>42</v>
      </c>
      <c r="O3471" t="s">
        <v>52</v>
      </c>
      <c r="Q3471" t="s">
        <v>219</v>
      </c>
      <c r="R3471" t="s">
        <v>538</v>
      </c>
      <c r="S3471" t="s">
        <v>539</v>
      </c>
      <c r="T3471" t="s">
        <v>540</v>
      </c>
    </row>
    <row r="3472" spans="1:20" x14ac:dyDescent="0.25">
      <c r="A3472" t="s">
        <v>30</v>
      </c>
      <c r="B3472" t="s">
        <v>31</v>
      </c>
      <c r="C3472" t="s">
        <v>32</v>
      </c>
      <c r="D3472" t="s">
        <v>522</v>
      </c>
      <c r="E3472" t="s">
        <v>565</v>
      </c>
      <c r="F3472" t="s">
        <v>35</v>
      </c>
      <c r="G3472" t="s">
        <v>35</v>
      </c>
      <c r="H3472" t="s">
        <v>35</v>
      </c>
      <c r="J3472" t="s">
        <v>4344</v>
      </c>
      <c r="K3472" t="s">
        <v>1092</v>
      </c>
      <c r="M3472">
        <v>4.5</v>
      </c>
      <c r="N3472">
        <v>42</v>
      </c>
      <c r="O3472" t="s">
        <v>52</v>
      </c>
      <c r="Q3472" t="s">
        <v>219</v>
      </c>
      <c r="R3472" t="s">
        <v>538</v>
      </c>
      <c r="S3472" t="s">
        <v>539</v>
      </c>
      <c r="T3472" t="s">
        <v>540</v>
      </c>
    </row>
    <row r="3473" spans="1:20" x14ac:dyDescent="0.25">
      <c r="A3473" t="s">
        <v>30</v>
      </c>
      <c r="B3473" t="s">
        <v>31</v>
      </c>
      <c r="C3473" t="s">
        <v>32</v>
      </c>
      <c r="D3473" t="s">
        <v>522</v>
      </c>
      <c r="E3473" t="s">
        <v>565</v>
      </c>
      <c r="F3473" t="s">
        <v>35</v>
      </c>
      <c r="G3473" t="s">
        <v>35</v>
      </c>
      <c r="H3473" t="s">
        <v>35</v>
      </c>
      <c r="J3473" t="s">
        <v>4344</v>
      </c>
      <c r="K3473" t="s">
        <v>1092</v>
      </c>
      <c r="M3473">
        <v>8.2750000000000004</v>
      </c>
      <c r="N3473">
        <v>148</v>
      </c>
      <c r="O3473" t="s">
        <v>38</v>
      </c>
      <c r="Q3473" t="s">
        <v>3942</v>
      </c>
      <c r="R3473" t="s">
        <v>538</v>
      </c>
      <c r="S3473" t="s">
        <v>539</v>
      </c>
      <c r="T3473" t="s">
        <v>540</v>
      </c>
    </row>
    <row r="3474" spans="1:20" x14ac:dyDescent="0.25">
      <c r="A3474" t="s">
        <v>30</v>
      </c>
      <c r="B3474" t="s">
        <v>31</v>
      </c>
      <c r="C3474" t="s">
        <v>32</v>
      </c>
      <c r="D3474" t="s">
        <v>522</v>
      </c>
      <c r="E3474" t="s">
        <v>565</v>
      </c>
      <c r="F3474" t="s">
        <v>35</v>
      </c>
      <c r="G3474" t="s">
        <v>35</v>
      </c>
      <c r="H3474" t="s">
        <v>35</v>
      </c>
      <c r="J3474" t="s">
        <v>4344</v>
      </c>
      <c r="K3474" t="s">
        <v>1092</v>
      </c>
      <c r="M3474">
        <v>7.2</v>
      </c>
      <c r="N3474">
        <v>138</v>
      </c>
      <c r="O3474" t="s">
        <v>38</v>
      </c>
      <c r="Q3474" t="s">
        <v>1149</v>
      </c>
      <c r="R3474" t="s">
        <v>538</v>
      </c>
      <c r="S3474" t="s">
        <v>539</v>
      </c>
      <c r="T3474" t="s">
        <v>540</v>
      </c>
    </row>
    <row r="3475" spans="1:20" x14ac:dyDescent="0.25">
      <c r="A3475" t="s">
        <v>59</v>
      </c>
      <c r="B3475" t="s">
        <v>31</v>
      </c>
      <c r="C3475" t="s">
        <v>32</v>
      </c>
      <c r="D3475" t="s">
        <v>522</v>
      </c>
      <c r="E3475" t="s">
        <v>561</v>
      </c>
      <c r="F3475" t="s">
        <v>35</v>
      </c>
      <c r="G3475" t="s">
        <v>35</v>
      </c>
      <c r="H3475" t="s">
        <v>35</v>
      </c>
      <c r="J3475" t="s">
        <v>4255</v>
      </c>
      <c r="K3475" t="s">
        <v>1092</v>
      </c>
      <c r="M3475">
        <v>1.7250000000000001</v>
      </c>
      <c r="N3475">
        <v>133</v>
      </c>
      <c r="O3475" t="s">
        <v>38</v>
      </c>
      <c r="Q3475" t="s">
        <v>609</v>
      </c>
      <c r="R3475" t="s">
        <v>538</v>
      </c>
      <c r="S3475" t="s">
        <v>539</v>
      </c>
      <c r="T3475" t="s">
        <v>540</v>
      </c>
    </row>
    <row r="3476" spans="1:20" x14ac:dyDescent="0.25">
      <c r="A3476" t="s">
        <v>30</v>
      </c>
      <c r="B3476" t="s">
        <v>31</v>
      </c>
      <c r="C3476" t="s">
        <v>32</v>
      </c>
      <c r="D3476" t="s">
        <v>522</v>
      </c>
      <c r="E3476" t="s">
        <v>523</v>
      </c>
      <c r="F3476" t="s">
        <v>35</v>
      </c>
      <c r="G3476" t="s">
        <v>35</v>
      </c>
      <c r="H3476" t="s">
        <v>35</v>
      </c>
      <c r="J3476" t="s">
        <v>3992</v>
      </c>
      <c r="K3476" t="s">
        <v>1092</v>
      </c>
      <c r="M3476">
        <v>1.4850000000000001</v>
      </c>
      <c r="N3476">
        <v>221</v>
      </c>
      <c r="O3476" t="s">
        <v>5</v>
      </c>
      <c r="Q3476" t="s">
        <v>1979</v>
      </c>
      <c r="R3476" t="s">
        <v>538</v>
      </c>
      <c r="S3476" t="s">
        <v>539</v>
      </c>
      <c r="T3476" t="s">
        <v>540</v>
      </c>
    </row>
    <row r="3477" spans="1:20" x14ac:dyDescent="0.25">
      <c r="A3477" t="s">
        <v>30</v>
      </c>
      <c r="B3477" t="s">
        <v>31</v>
      </c>
      <c r="C3477" t="s">
        <v>32</v>
      </c>
      <c r="D3477" t="s">
        <v>522</v>
      </c>
      <c r="E3477" t="s">
        <v>523</v>
      </c>
      <c r="F3477" t="s">
        <v>35</v>
      </c>
      <c r="G3477" t="s">
        <v>35</v>
      </c>
      <c r="H3477" t="s">
        <v>35</v>
      </c>
      <c r="J3477" t="s">
        <v>3992</v>
      </c>
      <c r="K3477" t="s">
        <v>1092</v>
      </c>
      <c r="M3477">
        <v>5.5350000000000001</v>
      </c>
      <c r="N3477">
        <v>87</v>
      </c>
      <c r="O3477" t="s">
        <v>61</v>
      </c>
      <c r="Q3477" t="s">
        <v>394</v>
      </c>
      <c r="R3477" t="s">
        <v>538</v>
      </c>
      <c r="S3477" t="s">
        <v>539</v>
      </c>
      <c r="T3477" t="s">
        <v>540</v>
      </c>
    </row>
    <row r="3478" spans="1:20" x14ac:dyDescent="0.25">
      <c r="A3478" t="s">
        <v>30</v>
      </c>
      <c r="B3478" t="s">
        <v>31</v>
      </c>
      <c r="C3478" t="s">
        <v>32</v>
      </c>
      <c r="D3478" t="s">
        <v>522</v>
      </c>
      <c r="E3478" t="s">
        <v>4181</v>
      </c>
      <c r="F3478" t="s">
        <v>35</v>
      </c>
      <c r="G3478" t="s">
        <v>35</v>
      </c>
      <c r="H3478" t="s">
        <v>35</v>
      </c>
      <c r="J3478" t="s">
        <v>4194</v>
      </c>
      <c r="K3478" t="s">
        <v>1092</v>
      </c>
      <c r="M3478">
        <v>5.5350000000000001</v>
      </c>
      <c r="N3478">
        <v>42</v>
      </c>
      <c r="O3478" t="s">
        <v>52</v>
      </c>
      <c r="Q3478" t="s">
        <v>219</v>
      </c>
      <c r="R3478" t="s">
        <v>538</v>
      </c>
      <c r="S3478" t="s">
        <v>539</v>
      </c>
      <c r="T3478" t="s">
        <v>540</v>
      </c>
    </row>
    <row r="3479" spans="1:20" x14ac:dyDescent="0.25">
      <c r="A3479" t="s">
        <v>30</v>
      </c>
      <c r="B3479" t="s">
        <v>31</v>
      </c>
      <c r="C3479" t="s">
        <v>32</v>
      </c>
      <c r="D3479" t="s">
        <v>522</v>
      </c>
      <c r="E3479" t="s">
        <v>4181</v>
      </c>
      <c r="F3479" t="s">
        <v>35</v>
      </c>
      <c r="G3479" t="s">
        <v>35</v>
      </c>
      <c r="H3479" t="s">
        <v>35</v>
      </c>
      <c r="J3479" t="s">
        <v>4194</v>
      </c>
      <c r="K3479" t="s">
        <v>1092</v>
      </c>
      <c r="M3479">
        <v>0.63</v>
      </c>
      <c r="N3479">
        <v>87</v>
      </c>
      <c r="O3479" t="s">
        <v>61</v>
      </c>
      <c r="Q3479" t="s">
        <v>394</v>
      </c>
      <c r="R3479" t="s">
        <v>538</v>
      </c>
      <c r="S3479" t="s">
        <v>539</v>
      </c>
      <c r="T3479" t="s">
        <v>540</v>
      </c>
    </row>
    <row r="3480" spans="1:20" x14ac:dyDescent="0.25">
      <c r="A3480" t="s">
        <v>30</v>
      </c>
      <c r="B3480" t="s">
        <v>31</v>
      </c>
      <c r="C3480" t="s">
        <v>32</v>
      </c>
      <c r="D3480" t="s">
        <v>522</v>
      </c>
      <c r="E3480" t="s">
        <v>523</v>
      </c>
      <c r="F3480" t="s">
        <v>35</v>
      </c>
      <c r="G3480" t="s">
        <v>35</v>
      </c>
      <c r="H3480" t="s">
        <v>35</v>
      </c>
      <c r="J3480" t="s">
        <v>3973</v>
      </c>
      <c r="K3480" t="s">
        <v>1092</v>
      </c>
      <c r="M3480">
        <v>2.4750000000000001</v>
      </c>
      <c r="N3480">
        <v>42</v>
      </c>
      <c r="O3480" t="s">
        <v>52</v>
      </c>
      <c r="Q3480" t="s">
        <v>219</v>
      </c>
      <c r="R3480" t="s">
        <v>538</v>
      </c>
      <c r="S3480" t="s">
        <v>539</v>
      </c>
      <c r="T3480" t="s">
        <v>540</v>
      </c>
    </row>
    <row r="3481" spans="1:20" x14ac:dyDescent="0.25">
      <c r="A3481" t="s">
        <v>44</v>
      </c>
      <c r="B3481" t="s">
        <v>51</v>
      </c>
      <c r="C3481" t="s">
        <v>32</v>
      </c>
      <c r="D3481" t="s">
        <v>522</v>
      </c>
      <c r="E3481" t="s">
        <v>523</v>
      </c>
      <c r="F3481" t="s">
        <v>35</v>
      </c>
      <c r="G3481" t="s">
        <v>35</v>
      </c>
      <c r="H3481" t="s">
        <v>35</v>
      </c>
      <c r="J3481" t="s">
        <v>3973</v>
      </c>
      <c r="K3481" t="s">
        <v>1092</v>
      </c>
      <c r="M3481">
        <v>6.5</v>
      </c>
      <c r="N3481">
        <v>42</v>
      </c>
      <c r="O3481" t="s">
        <v>52</v>
      </c>
      <c r="Q3481" t="s">
        <v>219</v>
      </c>
      <c r="R3481" t="s">
        <v>538</v>
      </c>
      <c r="S3481" t="s">
        <v>539</v>
      </c>
      <c r="T3481" t="s">
        <v>540</v>
      </c>
    </row>
    <row r="3482" spans="1:20" x14ac:dyDescent="0.25">
      <c r="A3482" t="s">
        <v>30</v>
      </c>
      <c r="B3482" t="s">
        <v>31</v>
      </c>
      <c r="C3482" t="s">
        <v>32</v>
      </c>
      <c r="D3482" t="s">
        <v>522</v>
      </c>
      <c r="E3482" t="s">
        <v>4181</v>
      </c>
      <c r="F3482" t="s">
        <v>35</v>
      </c>
      <c r="G3482" t="s">
        <v>35</v>
      </c>
      <c r="H3482" t="s">
        <v>35</v>
      </c>
      <c r="J3482" t="s">
        <v>4185</v>
      </c>
      <c r="K3482" t="s">
        <v>1092</v>
      </c>
      <c r="M3482">
        <v>11.025</v>
      </c>
      <c r="N3482">
        <v>64</v>
      </c>
      <c r="O3482" t="s">
        <v>61</v>
      </c>
      <c r="Q3482" t="s">
        <v>102</v>
      </c>
      <c r="R3482" t="s">
        <v>538</v>
      </c>
      <c r="S3482" t="s">
        <v>539</v>
      </c>
      <c r="T3482" t="s">
        <v>540</v>
      </c>
    </row>
    <row r="3483" spans="1:20" x14ac:dyDescent="0.25">
      <c r="A3483" t="s">
        <v>59</v>
      </c>
      <c r="B3483" t="s">
        <v>31</v>
      </c>
      <c r="C3483" t="s">
        <v>32</v>
      </c>
      <c r="D3483" t="s">
        <v>522</v>
      </c>
      <c r="E3483" t="s">
        <v>561</v>
      </c>
      <c r="F3483" t="s">
        <v>35</v>
      </c>
      <c r="G3483" t="s">
        <v>35</v>
      </c>
      <c r="H3483" t="s">
        <v>35</v>
      </c>
      <c r="J3483" t="s">
        <v>4262</v>
      </c>
      <c r="K3483" t="s">
        <v>1092</v>
      </c>
      <c r="M3483">
        <v>2.3849999999999998</v>
      </c>
      <c r="N3483">
        <v>133</v>
      </c>
      <c r="O3483" t="s">
        <v>38</v>
      </c>
      <c r="Q3483" t="s">
        <v>609</v>
      </c>
      <c r="R3483" t="s">
        <v>538</v>
      </c>
      <c r="S3483" t="s">
        <v>539</v>
      </c>
      <c r="T3483" t="s">
        <v>540</v>
      </c>
    </row>
    <row r="3484" spans="1:20" x14ac:dyDescent="0.25">
      <c r="A3484" t="s">
        <v>30</v>
      </c>
      <c r="B3484" t="s">
        <v>31</v>
      </c>
      <c r="C3484" t="s">
        <v>32</v>
      </c>
      <c r="D3484" t="s">
        <v>522</v>
      </c>
      <c r="E3484" t="s">
        <v>565</v>
      </c>
      <c r="F3484" t="s">
        <v>35</v>
      </c>
      <c r="G3484" t="s">
        <v>35</v>
      </c>
      <c r="H3484" t="s">
        <v>35</v>
      </c>
      <c r="J3484" t="s">
        <v>3127</v>
      </c>
      <c r="K3484" t="s">
        <v>1092</v>
      </c>
      <c r="M3484">
        <v>5.8949999999999996</v>
      </c>
      <c r="N3484">
        <v>148</v>
      </c>
      <c r="O3484" t="s">
        <v>38</v>
      </c>
      <c r="Q3484" t="s">
        <v>3942</v>
      </c>
      <c r="R3484" t="s">
        <v>538</v>
      </c>
      <c r="S3484" t="s">
        <v>539</v>
      </c>
      <c r="T3484" t="s">
        <v>540</v>
      </c>
    </row>
    <row r="3485" spans="1:20" x14ac:dyDescent="0.25">
      <c r="A3485" t="s">
        <v>30</v>
      </c>
      <c r="B3485" t="s">
        <v>31</v>
      </c>
      <c r="C3485" t="s">
        <v>32</v>
      </c>
      <c r="D3485" t="s">
        <v>522</v>
      </c>
      <c r="E3485" t="s">
        <v>565</v>
      </c>
      <c r="F3485" t="s">
        <v>35</v>
      </c>
      <c r="G3485" t="s">
        <v>35</v>
      </c>
      <c r="H3485" t="s">
        <v>35</v>
      </c>
      <c r="J3485" t="s">
        <v>3127</v>
      </c>
      <c r="K3485" t="s">
        <v>1092</v>
      </c>
      <c r="M3485">
        <v>11.025</v>
      </c>
      <c r="N3485">
        <v>90</v>
      </c>
      <c r="O3485" t="s">
        <v>61</v>
      </c>
      <c r="Q3485" t="s">
        <v>557</v>
      </c>
      <c r="R3485" t="s">
        <v>538</v>
      </c>
      <c r="S3485" t="s">
        <v>539</v>
      </c>
      <c r="T3485" t="s">
        <v>540</v>
      </c>
    </row>
    <row r="3486" spans="1:20" x14ac:dyDescent="0.25">
      <c r="A3486" t="s">
        <v>30</v>
      </c>
      <c r="B3486" t="s">
        <v>31</v>
      </c>
      <c r="C3486" t="s">
        <v>32</v>
      </c>
      <c r="D3486" t="s">
        <v>522</v>
      </c>
      <c r="E3486" t="s">
        <v>565</v>
      </c>
      <c r="F3486" t="s">
        <v>35</v>
      </c>
      <c r="G3486" t="s">
        <v>35</v>
      </c>
      <c r="H3486" t="s">
        <v>35</v>
      </c>
      <c r="J3486" t="s">
        <v>4341</v>
      </c>
      <c r="K3486" t="s">
        <v>1092</v>
      </c>
      <c r="M3486">
        <v>0.36</v>
      </c>
      <c r="N3486">
        <v>90</v>
      </c>
      <c r="O3486" t="s">
        <v>61</v>
      </c>
      <c r="Q3486" t="s">
        <v>557</v>
      </c>
      <c r="R3486" t="s">
        <v>538</v>
      </c>
      <c r="S3486" t="s">
        <v>539</v>
      </c>
      <c r="T3486" t="s">
        <v>540</v>
      </c>
    </row>
    <row r="3487" spans="1:20" x14ac:dyDescent="0.25">
      <c r="A3487" t="s">
        <v>59</v>
      </c>
      <c r="B3487" t="s">
        <v>31</v>
      </c>
      <c r="C3487" t="s">
        <v>32</v>
      </c>
      <c r="D3487" t="s">
        <v>522</v>
      </c>
      <c r="E3487" t="s">
        <v>565</v>
      </c>
      <c r="F3487" t="s">
        <v>35</v>
      </c>
      <c r="G3487" t="s">
        <v>35</v>
      </c>
      <c r="H3487" t="s">
        <v>35</v>
      </c>
      <c r="J3487" t="s">
        <v>4341</v>
      </c>
      <c r="K3487" t="s">
        <v>1092</v>
      </c>
      <c r="M3487">
        <v>1.62</v>
      </c>
      <c r="N3487">
        <v>133</v>
      </c>
      <c r="O3487" t="s">
        <v>38</v>
      </c>
      <c r="Q3487" t="s">
        <v>609</v>
      </c>
      <c r="R3487" t="s">
        <v>538</v>
      </c>
      <c r="S3487" t="s">
        <v>539</v>
      </c>
      <c r="T3487" t="s">
        <v>540</v>
      </c>
    </row>
    <row r="3488" spans="1:20" x14ac:dyDescent="0.25">
      <c r="A3488" t="s">
        <v>30</v>
      </c>
      <c r="B3488" t="s">
        <v>31</v>
      </c>
      <c r="C3488" t="s">
        <v>32</v>
      </c>
      <c r="D3488" t="s">
        <v>522</v>
      </c>
      <c r="E3488" t="s">
        <v>565</v>
      </c>
      <c r="F3488" t="s">
        <v>35</v>
      </c>
      <c r="G3488" t="s">
        <v>35</v>
      </c>
      <c r="H3488" t="s">
        <v>35</v>
      </c>
      <c r="J3488" t="s">
        <v>4331</v>
      </c>
      <c r="K3488" t="s">
        <v>1092</v>
      </c>
      <c r="M3488">
        <v>8.1449999999999996</v>
      </c>
      <c r="N3488">
        <v>90</v>
      </c>
      <c r="O3488" t="s">
        <v>61</v>
      </c>
      <c r="Q3488" t="s">
        <v>557</v>
      </c>
      <c r="R3488" t="s">
        <v>538</v>
      </c>
      <c r="S3488" t="s">
        <v>539</v>
      </c>
      <c r="T3488" t="s">
        <v>540</v>
      </c>
    </row>
    <row r="3489" spans="1:20" x14ac:dyDescent="0.25">
      <c r="A3489" t="s">
        <v>30</v>
      </c>
      <c r="B3489" t="s">
        <v>31</v>
      </c>
      <c r="C3489" t="s">
        <v>32</v>
      </c>
      <c r="D3489" t="s">
        <v>522</v>
      </c>
      <c r="E3489" t="s">
        <v>543</v>
      </c>
      <c r="F3489" t="s">
        <v>35</v>
      </c>
      <c r="G3489" t="s">
        <v>35</v>
      </c>
      <c r="H3489" t="s">
        <v>35</v>
      </c>
      <c r="J3489" t="s">
        <v>4137</v>
      </c>
      <c r="K3489" t="s">
        <v>1092</v>
      </c>
      <c r="M3489">
        <v>6.75</v>
      </c>
      <c r="N3489">
        <v>126</v>
      </c>
      <c r="O3489" t="s">
        <v>38</v>
      </c>
      <c r="Q3489" t="s">
        <v>68</v>
      </c>
      <c r="R3489" t="s">
        <v>538</v>
      </c>
      <c r="S3489" t="s">
        <v>539</v>
      </c>
      <c r="T3489" t="s">
        <v>540</v>
      </c>
    </row>
    <row r="3490" spans="1:20" x14ac:dyDescent="0.25">
      <c r="A3490" t="s">
        <v>30</v>
      </c>
      <c r="B3490" t="s">
        <v>31</v>
      </c>
      <c r="C3490" t="s">
        <v>32</v>
      </c>
      <c r="D3490" t="s">
        <v>522</v>
      </c>
      <c r="E3490" t="s">
        <v>523</v>
      </c>
      <c r="F3490" t="s">
        <v>35</v>
      </c>
      <c r="G3490" t="s">
        <v>35</v>
      </c>
      <c r="H3490" t="s">
        <v>35</v>
      </c>
      <c r="J3490" t="s">
        <v>3968</v>
      </c>
      <c r="K3490" t="s">
        <v>1092</v>
      </c>
      <c r="M3490">
        <v>0.40500000000000003</v>
      </c>
      <c r="N3490">
        <v>42</v>
      </c>
      <c r="O3490" t="s">
        <v>52</v>
      </c>
      <c r="Q3490" t="s">
        <v>219</v>
      </c>
      <c r="R3490" t="s">
        <v>538</v>
      </c>
      <c r="S3490" t="s">
        <v>539</v>
      </c>
      <c r="T3490" t="s">
        <v>540</v>
      </c>
    </row>
    <row r="3491" spans="1:20" x14ac:dyDescent="0.25">
      <c r="A3491" t="s">
        <v>30</v>
      </c>
      <c r="B3491" t="s">
        <v>31</v>
      </c>
      <c r="C3491" t="s">
        <v>32</v>
      </c>
      <c r="D3491" t="s">
        <v>522</v>
      </c>
      <c r="E3491" t="s">
        <v>533</v>
      </c>
      <c r="F3491" t="s">
        <v>35</v>
      </c>
      <c r="G3491" t="s">
        <v>35</v>
      </c>
      <c r="H3491" t="s">
        <v>35</v>
      </c>
      <c r="J3491" t="s">
        <v>4066</v>
      </c>
      <c r="K3491" t="s">
        <v>1092</v>
      </c>
      <c r="M3491">
        <v>5.04</v>
      </c>
      <c r="N3491">
        <v>64</v>
      </c>
      <c r="O3491" t="s">
        <v>61</v>
      </c>
      <c r="Q3491" t="s">
        <v>102</v>
      </c>
      <c r="R3491" t="s">
        <v>538</v>
      </c>
      <c r="S3491" t="s">
        <v>539</v>
      </c>
      <c r="T3491" t="s">
        <v>540</v>
      </c>
    </row>
    <row r="3492" spans="1:20" x14ac:dyDescent="0.25">
      <c r="A3492" t="s">
        <v>44</v>
      </c>
      <c r="B3492" t="s">
        <v>51</v>
      </c>
      <c r="C3492" t="s">
        <v>32</v>
      </c>
      <c r="D3492" t="s">
        <v>522</v>
      </c>
      <c r="F3492" t="s">
        <v>35</v>
      </c>
      <c r="G3492" t="s">
        <v>35</v>
      </c>
      <c r="H3492" t="s">
        <v>35</v>
      </c>
      <c r="J3492" t="s">
        <v>581</v>
      </c>
      <c r="K3492" t="s">
        <v>37</v>
      </c>
      <c r="M3492">
        <v>10</v>
      </c>
      <c r="N3492">
        <v>74</v>
      </c>
      <c r="O3492" t="s">
        <v>61</v>
      </c>
      <c r="P3492" t="s">
        <v>583</v>
      </c>
      <c r="Q3492" t="s">
        <v>527</v>
      </c>
      <c r="R3492" t="s">
        <v>538</v>
      </c>
      <c r="S3492" t="s">
        <v>539</v>
      </c>
      <c r="T3492" t="s">
        <v>540</v>
      </c>
    </row>
    <row r="3493" spans="1:20" x14ac:dyDescent="0.25">
      <c r="A3493" t="s">
        <v>30</v>
      </c>
      <c r="B3493" t="s">
        <v>31</v>
      </c>
      <c r="C3493" t="s">
        <v>32</v>
      </c>
      <c r="D3493" t="s">
        <v>522</v>
      </c>
      <c r="E3493" t="s">
        <v>523</v>
      </c>
      <c r="F3493" t="s">
        <v>35</v>
      </c>
      <c r="G3493" t="s">
        <v>35</v>
      </c>
      <c r="H3493" t="s">
        <v>35</v>
      </c>
      <c r="J3493" t="s">
        <v>3961</v>
      </c>
      <c r="K3493" t="s">
        <v>1092</v>
      </c>
      <c r="M3493">
        <v>8.6850000000000005</v>
      </c>
      <c r="N3493">
        <v>64</v>
      </c>
      <c r="O3493" t="s">
        <v>61</v>
      </c>
      <c r="Q3493" t="s">
        <v>102</v>
      </c>
      <c r="R3493" t="s">
        <v>538</v>
      </c>
      <c r="S3493" t="s">
        <v>539</v>
      </c>
      <c r="T3493" t="s">
        <v>540</v>
      </c>
    </row>
    <row r="3494" spans="1:20" x14ac:dyDescent="0.25">
      <c r="A3494" t="s">
        <v>59</v>
      </c>
      <c r="B3494" t="s">
        <v>31</v>
      </c>
      <c r="C3494" t="s">
        <v>32</v>
      </c>
      <c r="D3494" t="s">
        <v>522</v>
      </c>
      <c r="E3494" t="s">
        <v>4181</v>
      </c>
      <c r="F3494" t="s">
        <v>35</v>
      </c>
      <c r="G3494" t="s">
        <v>35</v>
      </c>
      <c r="H3494" t="s">
        <v>35</v>
      </c>
      <c r="J3494" t="s">
        <v>4186</v>
      </c>
      <c r="K3494" t="s">
        <v>1092</v>
      </c>
      <c r="M3494">
        <v>3.87</v>
      </c>
      <c r="N3494">
        <v>133</v>
      </c>
      <c r="O3494" t="s">
        <v>38</v>
      </c>
      <c r="Q3494" t="s">
        <v>609</v>
      </c>
      <c r="R3494" t="s">
        <v>538</v>
      </c>
      <c r="S3494" t="s">
        <v>539</v>
      </c>
      <c r="T3494" t="s">
        <v>540</v>
      </c>
    </row>
    <row r="3495" spans="1:20" x14ac:dyDescent="0.25">
      <c r="A3495" t="s">
        <v>30</v>
      </c>
      <c r="B3495" t="s">
        <v>31</v>
      </c>
      <c r="C3495" t="s">
        <v>32</v>
      </c>
      <c r="D3495" t="s">
        <v>522</v>
      </c>
      <c r="E3495" t="s">
        <v>4181</v>
      </c>
      <c r="F3495" t="s">
        <v>35</v>
      </c>
      <c r="G3495" t="s">
        <v>35</v>
      </c>
      <c r="H3495" t="s">
        <v>35</v>
      </c>
      <c r="J3495" t="s">
        <v>4186</v>
      </c>
      <c r="K3495" t="s">
        <v>1092</v>
      </c>
      <c r="M3495">
        <v>10.08</v>
      </c>
      <c r="N3495">
        <v>42</v>
      </c>
      <c r="O3495" t="s">
        <v>52</v>
      </c>
      <c r="Q3495" t="s">
        <v>219</v>
      </c>
      <c r="R3495" t="s">
        <v>538</v>
      </c>
      <c r="S3495" t="s">
        <v>539</v>
      </c>
      <c r="T3495" t="s">
        <v>540</v>
      </c>
    </row>
    <row r="3496" spans="1:20" x14ac:dyDescent="0.25">
      <c r="A3496" t="s">
        <v>30</v>
      </c>
      <c r="B3496" t="s">
        <v>31</v>
      </c>
      <c r="C3496" t="s">
        <v>32</v>
      </c>
      <c r="D3496" t="s">
        <v>522</v>
      </c>
      <c r="F3496" t="s">
        <v>35</v>
      </c>
      <c r="G3496" t="s">
        <v>35</v>
      </c>
      <c r="H3496" t="s">
        <v>35</v>
      </c>
      <c r="J3496" t="s">
        <v>4401</v>
      </c>
      <c r="K3496" t="s">
        <v>1092</v>
      </c>
      <c r="M3496">
        <v>4.32</v>
      </c>
      <c r="N3496">
        <v>21</v>
      </c>
      <c r="O3496" t="s">
        <v>46</v>
      </c>
      <c r="Q3496" t="s">
        <v>176</v>
      </c>
      <c r="R3496" t="s">
        <v>538</v>
      </c>
      <c r="S3496" t="s">
        <v>539</v>
      </c>
      <c r="T3496" t="s">
        <v>540</v>
      </c>
    </row>
    <row r="3497" spans="1:20" x14ac:dyDescent="0.25">
      <c r="A3497" t="s">
        <v>59</v>
      </c>
      <c r="B3497" t="s">
        <v>31</v>
      </c>
      <c r="C3497" t="s">
        <v>32</v>
      </c>
      <c r="D3497" t="s">
        <v>522</v>
      </c>
      <c r="E3497" t="s">
        <v>543</v>
      </c>
      <c r="F3497" t="s">
        <v>35</v>
      </c>
      <c r="G3497" t="s">
        <v>35</v>
      </c>
      <c r="H3497" t="s">
        <v>35</v>
      </c>
      <c r="J3497" t="s">
        <v>4106</v>
      </c>
      <c r="K3497" t="s">
        <v>1092</v>
      </c>
      <c r="M3497">
        <v>4.7249999999999996</v>
      </c>
      <c r="N3497">
        <v>191</v>
      </c>
      <c r="O3497" t="s">
        <v>5</v>
      </c>
      <c r="Q3497" t="s">
        <v>4086</v>
      </c>
      <c r="R3497" t="s">
        <v>538</v>
      </c>
      <c r="S3497" t="s">
        <v>539</v>
      </c>
      <c r="T3497" t="s">
        <v>540</v>
      </c>
    </row>
    <row r="3498" spans="1:20" x14ac:dyDescent="0.25">
      <c r="A3498" t="s">
        <v>44</v>
      </c>
      <c r="B3498" t="s">
        <v>51</v>
      </c>
      <c r="C3498" t="s">
        <v>32</v>
      </c>
      <c r="D3498" t="s">
        <v>522</v>
      </c>
      <c r="E3498" t="s">
        <v>543</v>
      </c>
      <c r="F3498" t="s">
        <v>35</v>
      </c>
      <c r="G3498" t="s">
        <v>35</v>
      </c>
      <c r="H3498" t="s">
        <v>35</v>
      </c>
      <c r="J3498" t="s">
        <v>4106</v>
      </c>
      <c r="K3498" t="s">
        <v>1092</v>
      </c>
      <c r="M3498">
        <v>10.25</v>
      </c>
      <c r="N3498">
        <v>74</v>
      </c>
      <c r="O3498" t="s">
        <v>61</v>
      </c>
      <c r="Q3498" t="s">
        <v>527</v>
      </c>
      <c r="R3498" t="s">
        <v>538</v>
      </c>
      <c r="S3498" t="s">
        <v>539</v>
      </c>
      <c r="T3498" t="s">
        <v>540</v>
      </c>
    </row>
    <row r="3499" spans="1:20" x14ac:dyDescent="0.25">
      <c r="A3499" t="s">
        <v>30</v>
      </c>
      <c r="B3499" t="s">
        <v>31</v>
      </c>
      <c r="C3499" t="s">
        <v>32</v>
      </c>
      <c r="D3499" t="s">
        <v>522</v>
      </c>
      <c r="E3499" t="s">
        <v>4207</v>
      </c>
      <c r="F3499" t="s">
        <v>35</v>
      </c>
      <c r="G3499" t="s">
        <v>35</v>
      </c>
      <c r="H3499" t="s">
        <v>35</v>
      </c>
      <c r="J3499" t="s">
        <v>4214</v>
      </c>
      <c r="K3499" t="s">
        <v>1092</v>
      </c>
      <c r="M3499">
        <v>11.025</v>
      </c>
      <c r="N3499">
        <v>87</v>
      </c>
      <c r="O3499" t="s">
        <v>61</v>
      </c>
      <c r="Q3499" t="s">
        <v>394</v>
      </c>
      <c r="R3499" t="s">
        <v>538</v>
      </c>
      <c r="S3499" t="s">
        <v>539</v>
      </c>
      <c r="T3499" t="s">
        <v>540</v>
      </c>
    </row>
    <row r="3500" spans="1:20" x14ac:dyDescent="0.25">
      <c r="A3500" t="s">
        <v>30</v>
      </c>
      <c r="B3500" t="s">
        <v>31</v>
      </c>
      <c r="C3500" t="s">
        <v>32</v>
      </c>
      <c r="D3500" t="s">
        <v>522</v>
      </c>
      <c r="E3500" t="s">
        <v>4207</v>
      </c>
      <c r="F3500" t="s">
        <v>35</v>
      </c>
      <c r="G3500" t="s">
        <v>35</v>
      </c>
      <c r="H3500" t="s">
        <v>35</v>
      </c>
      <c r="J3500" t="s">
        <v>4214</v>
      </c>
      <c r="K3500" t="s">
        <v>1092</v>
      </c>
      <c r="M3500">
        <v>4.2300000000000004</v>
      </c>
      <c r="N3500">
        <v>191</v>
      </c>
      <c r="O3500" t="s">
        <v>5</v>
      </c>
      <c r="Q3500" t="s">
        <v>4086</v>
      </c>
      <c r="R3500" t="s">
        <v>538</v>
      </c>
      <c r="S3500" t="s">
        <v>539</v>
      </c>
      <c r="T3500" t="s">
        <v>540</v>
      </c>
    </row>
    <row r="3501" spans="1:20" x14ac:dyDescent="0.25">
      <c r="A3501" t="s">
        <v>59</v>
      </c>
      <c r="B3501" t="s">
        <v>31</v>
      </c>
      <c r="C3501" t="s">
        <v>32</v>
      </c>
      <c r="D3501" t="s">
        <v>522</v>
      </c>
      <c r="E3501" t="s">
        <v>4207</v>
      </c>
      <c r="F3501" t="s">
        <v>35</v>
      </c>
      <c r="G3501" t="s">
        <v>35</v>
      </c>
      <c r="H3501" t="s">
        <v>35</v>
      </c>
      <c r="J3501" t="s">
        <v>4214</v>
      </c>
      <c r="K3501" t="s">
        <v>1092</v>
      </c>
      <c r="M3501">
        <v>1.71</v>
      </c>
      <c r="N3501">
        <v>125</v>
      </c>
      <c r="O3501" t="s">
        <v>38</v>
      </c>
      <c r="Q3501" t="s">
        <v>2901</v>
      </c>
      <c r="R3501" t="s">
        <v>538</v>
      </c>
      <c r="S3501" t="s">
        <v>539</v>
      </c>
      <c r="T3501" t="s">
        <v>540</v>
      </c>
    </row>
    <row r="3502" spans="1:20" x14ac:dyDescent="0.25">
      <c r="A3502" t="s">
        <v>30</v>
      </c>
      <c r="B3502" t="s">
        <v>31</v>
      </c>
      <c r="C3502" t="s">
        <v>32</v>
      </c>
      <c r="D3502" t="s">
        <v>522</v>
      </c>
      <c r="E3502" t="s">
        <v>4207</v>
      </c>
      <c r="F3502" t="s">
        <v>35</v>
      </c>
      <c r="G3502" t="s">
        <v>35</v>
      </c>
      <c r="H3502" t="s">
        <v>35</v>
      </c>
      <c r="J3502" t="s">
        <v>4214</v>
      </c>
      <c r="K3502" t="s">
        <v>1092</v>
      </c>
      <c r="M3502">
        <v>11.025</v>
      </c>
      <c r="N3502">
        <v>126</v>
      </c>
      <c r="O3502" t="s">
        <v>38</v>
      </c>
      <c r="Q3502" t="s">
        <v>68</v>
      </c>
      <c r="R3502" t="s">
        <v>538</v>
      </c>
      <c r="S3502" t="s">
        <v>539</v>
      </c>
      <c r="T3502" t="s">
        <v>540</v>
      </c>
    </row>
    <row r="3503" spans="1:20" x14ac:dyDescent="0.25">
      <c r="A3503" t="s">
        <v>30</v>
      </c>
      <c r="B3503" t="s">
        <v>31</v>
      </c>
      <c r="C3503" t="s">
        <v>32</v>
      </c>
      <c r="D3503" t="s">
        <v>522</v>
      </c>
      <c r="E3503" t="s">
        <v>4207</v>
      </c>
      <c r="F3503" t="s">
        <v>35</v>
      </c>
      <c r="G3503" t="s">
        <v>35</v>
      </c>
      <c r="H3503" t="s">
        <v>35</v>
      </c>
      <c r="J3503" t="s">
        <v>4214</v>
      </c>
      <c r="K3503" t="s">
        <v>1092</v>
      </c>
      <c r="M3503">
        <v>22.05</v>
      </c>
      <c r="N3503">
        <v>64</v>
      </c>
      <c r="O3503" t="s">
        <v>61</v>
      </c>
      <c r="Q3503" t="s">
        <v>102</v>
      </c>
      <c r="R3503" t="s">
        <v>538</v>
      </c>
      <c r="S3503" t="s">
        <v>539</v>
      </c>
      <c r="T3503" t="s">
        <v>540</v>
      </c>
    </row>
    <row r="3504" spans="1:20" x14ac:dyDescent="0.25">
      <c r="A3504" t="s">
        <v>30</v>
      </c>
      <c r="B3504" t="s">
        <v>31</v>
      </c>
      <c r="C3504" t="s">
        <v>32</v>
      </c>
      <c r="D3504" t="s">
        <v>522</v>
      </c>
      <c r="E3504" t="s">
        <v>565</v>
      </c>
      <c r="F3504" t="s">
        <v>35</v>
      </c>
      <c r="G3504" t="s">
        <v>35</v>
      </c>
      <c r="H3504" t="s">
        <v>35</v>
      </c>
      <c r="J3504" t="s">
        <v>4318</v>
      </c>
      <c r="K3504" t="s">
        <v>1092</v>
      </c>
      <c r="M3504">
        <v>8.5050000000000008</v>
      </c>
      <c r="N3504">
        <v>42</v>
      </c>
      <c r="O3504" t="s">
        <v>52</v>
      </c>
      <c r="Q3504" t="s">
        <v>219</v>
      </c>
      <c r="R3504" t="s">
        <v>538</v>
      </c>
      <c r="S3504" t="s">
        <v>539</v>
      </c>
      <c r="T3504" t="s">
        <v>540</v>
      </c>
    </row>
    <row r="3505" spans="1:20" x14ac:dyDescent="0.25">
      <c r="A3505" t="s">
        <v>30</v>
      </c>
      <c r="B3505" t="s">
        <v>31</v>
      </c>
      <c r="C3505" t="s">
        <v>32</v>
      </c>
      <c r="D3505" t="s">
        <v>522</v>
      </c>
      <c r="E3505" t="s">
        <v>4207</v>
      </c>
      <c r="F3505" t="s">
        <v>35</v>
      </c>
      <c r="G3505" t="s">
        <v>35</v>
      </c>
      <c r="H3505" t="s">
        <v>35</v>
      </c>
      <c r="J3505" t="s">
        <v>4226</v>
      </c>
      <c r="K3505" t="s">
        <v>1092</v>
      </c>
      <c r="M3505">
        <v>5.94</v>
      </c>
      <c r="N3505">
        <v>126</v>
      </c>
      <c r="O3505" t="s">
        <v>38</v>
      </c>
      <c r="Q3505" t="s">
        <v>68</v>
      </c>
      <c r="R3505" t="s">
        <v>538</v>
      </c>
      <c r="S3505" t="s">
        <v>539</v>
      </c>
      <c r="T3505" t="s">
        <v>540</v>
      </c>
    </row>
    <row r="3506" spans="1:20" x14ac:dyDescent="0.25">
      <c r="A3506" t="s">
        <v>59</v>
      </c>
      <c r="B3506" t="s">
        <v>60</v>
      </c>
      <c r="C3506" t="s">
        <v>32</v>
      </c>
      <c r="D3506" t="s">
        <v>522</v>
      </c>
      <c r="E3506" t="s">
        <v>533</v>
      </c>
      <c r="F3506" t="s">
        <v>35</v>
      </c>
      <c r="G3506" t="s">
        <v>35</v>
      </c>
      <c r="H3506" t="s">
        <v>35</v>
      </c>
      <c r="J3506" t="s">
        <v>4035</v>
      </c>
      <c r="K3506" t="s">
        <v>1092</v>
      </c>
      <c r="M3506">
        <v>0.5</v>
      </c>
      <c r="N3506">
        <v>91</v>
      </c>
      <c r="O3506" t="s">
        <v>106</v>
      </c>
      <c r="Q3506" t="s">
        <v>108</v>
      </c>
      <c r="R3506" t="s">
        <v>4036</v>
      </c>
      <c r="S3506" t="s">
        <v>534</v>
      </c>
      <c r="T3506" t="s">
        <v>535</v>
      </c>
    </row>
    <row r="3507" spans="1:20" x14ac:dyDescent="0.25">
      <c r="A3507" t="s">
        <v>59</v>
      </c>
      <c r="B3507" t="s">
        <v>60</v>
      </c>
      <c r="C3507" t="s">
        <v>32</v>
      </c>
      <c r="D3507" t="s">
        <v>522</v>
      </c>
      <c r="E3507" t="s">
        <v>533</v>
      </c>
      <c r="F3507" t="s">
        <v>35</v>
      </c>
      <c r="G3507" t="s">
        <v>35</v>
      </c>
      <c r="H3507" t="s">
        <v>35</v>
      </c>
      <c r="J3507" t="s">
        <v>4035</v>
      </c>
      <c r="K3507" t="s">
        <v>1092</v>
      </c>
      <c r="M3507">
        <v>0.15</v>
      </c>
      <c r="N3507">
        <v>280</v>
      </c>
      <c r="O3507" t="s">
        <v>5</v>
      </c>
      <c r="Q3507" t="s">
        <v>3688</v>
      </c>
      <c r="R3507" t="s">
        <v>4036</v>
      </c>
      <c r="S3507" t="s">
        <v>534</v>
      </c>
      <c r="T3507" t="s">
        <v>535</v>
      </c>
    </row>
    <row r="3508" spans="1:20" x14ac:dyDescent="0.25">
      <c r="A3508" t="s">
        <v>59</v>
      </c>
      <c r="B3508" t="s">
        <v>60</v>
      </c>
      <c r="C3508" t="s">
        <v>32</v>
      </c>
      <c r="D3508" t="s">
        <v>522</v>
      </c>
      <c r="E3508" t="s">
        <v>533</v>
      </c>
      <c r="F3508" t="s">
        <v>35</v>
      </c>
      <c r="G3508" t="s">
        <v>35</v>
      </c>
      <c r="H3508" t="s">
        <v>35</v>
      </c>
      <c r="J3508" t="s">
        <v>4035</v>
      </c>
      <c r="K3508" t="s">
        <v>1092</v>
      </c>
      <c r="M3508">
        <v>1.5</v>
      </c>
      <c r="N3508">
        <v>179</v>
      </c>
      <c r="O3508" t="s">
        <v>38</v>
      </c>
      <c r="Q3508" t="s">
        <v>1363</v>
      </c>
      <c r="R3508" t="s">
        <v>4036</v>
      </c>
      <c r="S3508" t="s">
        <v>534</v>
      </c>
      <c r="T3508" t="s">
        <v>535</v>
      </c>
    </row>
    <row r="3509" spans="1:20" x14ac:dyDescent="0.25">
      <c r="A3509" t="s">
        <v>59</v>
      </c>
      <c r="B3509" t="s">
        <v>60</v>
      </c>
      <c r="C3509" t="s">
        <v>32</v>
      </c>
      <c r="D3509" t="s">
        <v>522</v>
      </c>
      <c r="E3509" t="s">
        <v>543</v>
      </c>
      <c r="F3509" t="s">
        <v>35</v>
      </c>
      <c r="G3509" t="s">
        <v>35</v>
      </c>
      <c r="H3509" t="s">
        <v>35</v>
      </c>
      <c r="J3509" t="s">
        <v>4146</v>
      </c>
      <c r="K3509" t="s">
        <v>1092</v>
      </c>
      <c r="M3509">
        <v>0.25</v>
      </c>
      <c r="N3509">
        <v>60</v>
      </c>
      <c r="O3509" t="s">
        <v>52</v>
      </c>
      <c r="Q3509" t="s">
        <v>1311</v>
      </c>
      <c r="R3509" t="s">
        <v>4036</v>
      </c>
      <c r="S3509" t="s">
        <v>534</v>
      </c>
      <c r="T3509" t="s">
        <v>535</v>
      </c>
    </row>
    <row r="3510" spans="1:20" x14ac:dyDescent="0.25">
      <c r="A3510" t="s">
        <v>44</v>
      </c>
      <c r="B3510" t="s">
        <v>3</v>
      </c>
      <c r="C3510" t="s">
        <v>32</v>
      </c>
      <c r="D3510" t="s">
        <v>522</v>
      </c>
      <c r="E3510" t="s">
        <v>533</v>
      </c>
      <c r="F3510" t="s">
        <v>35</v>
      </c>
      <c r="G3510" t="s">
        <v>35</v>
      </c>
      <c r="H3510" t="s">
        <v>35</v>
      </c>
      <c r="J3510" t="s">
        <v>4073</v>
      </c>
      <c r="K3510" t="s">
        <v>1092</v>
      </c>
      <c r="M3510">
        <v>0.6</v>
      </c>
      <c r="N3510">
        <v>547</v>
      </c>
      <c r="O3510" t="s">
        <v>575</v>
      </c>
      <c r="Q3510" t="s">
        <v>4074</v>
      </c>
      <c r="R3510" t="s">
        <v>4036</v>
      </c>
      <c r="S3510" t="s">
        <v>534</v>
      </c>
      <c r="T3510" t="s">
        <v>535</v>
      </c>
    </row>
    <row r="3511" spans="1:20" x14ac:dyDescent="0.25">
      <c r="A3511" t="s">
        <v>30</v>
      </c>
      <c r="B3511" t="s">
        <v>31</v>
      </c>
      <c r="C3511" t="s">
        <v>32</v>
      </c>
      <c r="D3511" t="s">
        <v>522</v>
      </c>
      <c r="E3511" t="s">
        <v>533</v>
      </c>
      <c r="F3511" t="s">
        <v>35</v>
      </c>
      <c r="G3511" t="s">
        <v>35</v>
      </c>
      <c r="H3511" t="s">
        <v>35</v>
      </c>
      <c r="J3511" t="s">
        <v>4081</v>
      </c>
      <c r="K3511" t="s">
        <v>1092</v>
      </c>
      <c r="M3511">
        <v>0.45</v>
      </c>
      <c r="N3511">
        <v>1255</v>
      </c>
      <c r="O3511" t="s">
        <v>575</v>
      </c>
      <c r="Q3511" t="s">
        <v>2292</v>
      </c>
      <c r="R3511" t="s">
        <v>4036</v>
      </c>
      <c r="S3511" t="s">
        <v>534</v>
      </c>
      <c r="T3511" t="s">
        <v>535</v>
      </c>
    </row>
    <row r="3512" spans="1:20" x14ac:dyDescent="0.25">
      <c r="A3512" t="s">
        <v>59</v>
      </c>
      <c r="B3512" t="s">
        <v>60</v>
      </c>
      <c r="C3512" t="s">
        <v>32</v>
      </c>
      <c r="D3512" t="s">
        <v>522</v>
      </c>
      <c r="E3512" t="s">
        <v>533</v>
      </c>
      <c r="F3512" t="s">
        <v>35</v>
      </c>
      <c r="G3512" t="s">
        <v>35</v>
      </c>
      <c r="H3512" t="s">
        <v>35</v>
      </c>
      <c r="J3512" t="s">
        <v>4081</v>
      </c>
      <c r="K3512" t="s">
        <v>1092</v>
      </c>
      <c r="M3512">
        <v>0.7</v>
      </c>
      <c r="N3512">
        <v>977</v>
      </c>
      <c r="O3512" t="s">
        <v>575</v>
      </c>
      <c r="Q3512" t="s">
        <v>4082</v>
      </c>
      <c r="R3512" t="s">
        <v>4036</v>
      </c>
      <c r="S3512" t="s">
        <v>534</v>
      </c>
      <c r="T3512" t="s">
        <v>535</v>
      </c>
    </row>
    <row r="3513" spans="1:20" x14ac:dyDescent="0.25">
      <c r="A3513" t="s">
        <v>59</v>
      </c>
      <c r="B3513" t="s">
        <v>60</v>
      </c>
      <c r="C3513" t="s">
        <v>32</v>
      </c>
      <c r="D3513" t="s">
        <v>522</v>
      </c>
      <c r="E3513" t="s">
        <v>561</v>
      </c>
      <c r="F3513" t="s">
        <v>35</v>
      </c>
      <c r="G3513" t="s">
        <v>35</v>
      </c>
      <c r="H3513" t="s">
        <v>35</v>
      </c>
      <c r="J3513" t="s">
        <v>4267</v>
      </c>
      <c r="K3513" t="s">
        <v>1092</v>
      </c>
      <c r="M3513">
        <v>0.35</v>
      </c>
      <c r="N3513">
        <v>136</v>
      </c>
      <c r="O3513" t="s">
        <v>38</v>
      </c>
      <c r="Q3513" t="s">
        <v>2121</v>
      </c>
      <c r="R3513" t="s">
        <v>4036</v>
      </c>
      <c r="S3513" t="s">
        <v>534</v>
      </c>
      <c r="T3513" t="s">
        <v>535</v>
      </c>
    </row>
    <row r="3514" spans="1:20" x14ac:dyDescent="0.25">
      <c r="A3514" t="s">
        <v>59</v>
      </c>
      <c r="B3514" t="s">
        <v>60</v>
      </c>
      <c r="C3514" t="s">
        <v>32</v>
      </c>
      <c r="D3514" t="s">
        <v>522</v>
      </c>
      <c r="E3514" t="s">
        <v>561</v>
      </c>
      <c r="F3514" t="s">
        <v>35</v>
      </c>
      <c r="G3514" t="s">
        <v>35</v>
      </c>
      <c r="H3514" t="s">
        <v>35</v>
      </c>
      <c r="J3514" t="s">
        <v>4306</v>
      </c>
      <c r="K3514" t="s">
        <v>1092</v>
      </c>
      <c r="M3514">
        <v>0.5</v>
      </c>
      <c r="N3514">
        <v>246</v>
      </c>
      <c r="O3514" t="s">
        <v>5</v>
      </c>
      <c r="Q3514" t="s">
        <v>1502</v>
      </c>
      <c r="R3514" t="s">
        <v>4036</v>
      </c>
      <c r="S3514" t="s">
        <v>534</v>
      </c>
      <c r="T3514" t="s">
        <v>535</v>
      </c>
    </row>
    <row r="3515" spans="1:20" x14ac:dyDescent="0.25">
      <c r="A3515" t="s">
        <v>59</v>
      </c>
      <c r="B3515" t="s">
        <v>60</v>
      </c>
      <c r="C3515" t="s">
        <v>32</v>
      </c>
      <c r="D3515" t="s">
        <v>522</v>
      </c>
      <c r="E3515" t="s">
        <v>561</v>
      </c>
      <c r="F3515" t="s">
        <v>35</v>
      </c>
      <c r="G3515" t="s">
        <v>35</v>
      </c>
      <c r="H3515" t="s">
        <v>35</v>
      </c>
      <c r="J3515" t="s">
        <v>4306</v>
      </c>
      <c r="K3515" t="s">
        <v>1092</v>
      </c>
      <c r="M3515">
        <v>0.25</v>
      </c>
      <c r="N3515">
        <v>259</v>
      </c>
      <c r="O3515" t="s">
        <v>5</v>
      </c>
      <c r="Q3515" t="s">
        <v>117</v>
      </c>
      <c r="R3515" t="s">
        <v>4036</v>
      </c>
      <c r="S3515" t="s">
        <v>534</v>
      </c>
      <c r="T3515" t="s">
        <v>535</v>
      </c>
    </row>
    <row r="3516" spans="1:20" x14ac:dyDescent="0.25">
      <c r="A3516" t="s">
        <v>59</v>
      </c>
      <c r="B3516" t="s">
        <v>60</v>
      </c>
      <c r="C3516" t="s">
        <v>32</v>
      </c>
      <c r="D3516" t="s">
        <v>522</v>
      </c>
      <c r="E3516" t="s">
        <v>561</v>
      </c>
      <c r="F3516" t="s">
        <v>35</v>
      </c>
      <c r="G3516" t="s">
        <v>35</v>
      </c>
      <c r="H3516" t="s">
        <v>35</v>
      </c>
      <c r="J3516" t="s">
        <v>4270</v>
      </c>
      <c r="K3516" t="s">
        <v>1092</v>
      </c>
      <c r="M3516">
        <v>0.5</v>
      </c>
      <c r="N3516">
        <v>246</v>
      </c>
      <c r="O3516" t="s">
        <v>5</v>
      </c>
      <c r="Q3516" t="s">
        <v>1502</v>
      </c>
      <c r="R3516" t="s">
        <v>4036</v>
      </c>
      <c r="S3516" t="s">
        <v>534</v>
      </c>
      <c r="T3516" t="s">
        <v>535</v>
      </c>
    </row>
    <row r="3517" spans="1:20" x14ac:dyDescent="0.25">
      <c r="A3517" t="s">
        <v>59</v>
      </c>
      <c r="B3517" t="s">
        <v>60</v>
      </c>
      <c r="C3517" t="s">
        <v>32</v>
      </c>
      <c r="D3517" t="s">
        <v>522</v>
      </c>
      <c r="E3517" t="s">
        <v>561</v>
      </c>
      <c r="F3517" t="s">
        <v>35</v>
      </c>
      <c r="G3517" t="s">
        <v>35</v>
      </c>
      <c r="H3517" t="s">
        <v>35</v>
      </c>
      <c r="J3517" t="s">
        <v>4270</v>
      </c>
      <c r="K3517" t="s">
        <v>1092</v>
      </c>
      <c r="M3517">
        <v>0.75</v>
      </c>
      <c r="N3517">
        <v>266</v>
      </c>
      <c r="O3517" t="s">
        <v>5</v>
      </c>
      <c r="Q3517" t="s">
        <v>1989</v>
      </c>
      <c r="R3517" t="s">
        <v>4036</v>
      </c>
      <c r="S3517" t="s">
        <v>534</v>
      </c>
      <c r="T3517" t="s">
        <v>535</v>
      </c>
    </row>
    <row r="3518" spans="1:20" x14ac:dyDescent="0.25">
      <c r="A3518" t="s">
        <v>59</v>
      </c>
      <c r="B3518" t="s">
        <v>60</v>
      </c>
      <c r="C3518" t="s">
        <v>32</v>
      </c>
      <c r="D3518" t="s">
        <v>522</v>
      </c>
      <c r="E3518" t="s">
        <v>561</v>
      </c>
      <c r="F3518" t="s">
        <v>35</v>
      </c>
      <c r="G3518" t="s">
        <v>35</v>
      </c>
      <c r="H3518" t="s">
        <v>35</v>
      </c>
      <c r="J3518" t="s">
        <v>4304</v>
      </c>
      <c r="K3518" t="s">
        <v>1092</v>
      </c>
      <c r="M3518">
        <v>1</v>
      </c>
      <c r="N3518">
        <v>265</v>
      </c>
      <c r="O3518" t="s">
        <v>5</v>
      </c>
      <c r="Q3518" t="s">
        <v>1264</v>
      </c>
      <c r="R3518" t="s">
        <v>4036</v>
      </c>
      <c r="S3518" t="s">
        <v>534</v>
      </c>
      <c r="T3518" t="s">
        <v>535</v>
      </c>
    </row>
    <row r="3519" spans="1:20" x14ac:dyDescent="0.25">
      <c r="A3519" t="s">
        <v>30</v>
      </c>
      <c r="B3519" t="s">
        <v>31</v>
      </c>
      <c r="C3519" t="s">
        <v>32</v>
      </c>
      <c r="D3519" t="s">
        <v>522</v>
      </c>
      <c r="E3519" t="s">
        <v>533</v>
      </c>
      <c r="F3519" t="s">
        <v>35</v>
      </c>
      <c r="G3519" t="s">
        <v>35</v>
      </c>
      <c r="H3519" t="s">
        <v>35</v>
      </c>
      <c r="J3519" t="s">
        <v>4070</v>
      </c>
      <c r="K3519" t="s">
        <v>1092</v>
      </c>
      <c r="M3519">
        <v>0.01</v>
      </c>
      <c r="N3519">
        <v>1250</v>
      </c>
      <c r="O3519" t="s">
        <v>575</v>
      </c>
      <c r="Q3519" t="s">
        <v>4071</v>
      </c>
      <c r="R3519" t="s">
        <v>4036</v>
      </c>
      <c r="S3519" t="s">
        <v>534</v>
      </c>
      <c r="T3519" t="s">
        <v>535</v>
      </c>
    </row>
    <row r="3520" spans="1:20" x14ac:dyDescent="0.25">
      <c r="A3520" t="s">
        <v>44</v>
      </c>
      <c r="B3520" t="s">
        <v>3</v>
      </c>
      <c r="C3520" t="s">
        <v>32</v>
      </c>
      <c r="D3520" t="s">
        <v>522</v>
      </c>
      <c r="E3520" t="s">
        <v>561</v>
      </c>
      <c r="F3520" t="s">
        <v>35</v>
      </c>
      <c r="G3520" t="s">
        <v>35</v>
      </c>
      <c r="H3520" t="s">
        <v>35</v>
      </c>
      <c r="J3520" t="s">
        <v>4300</v>
      </c>
      <c r="K3520" t="s">
        <v>1092</v>
      </c>
      <c r="M3520">
        <v>0.75</v>
      </c>
      <c r="N3520">
        <v>250</v>
      </c>
      <c r="O3520" t="s">
        <v>5</v>
      </c>
      <c r="Q3520" t="s">
        <v>1286</v>
      </c>
      <c r="R3520" t="s">
        <v>4036</v>
      </c>
      <c r="S3520" t="s">
        <v>534</v>
      </c>
      <c r="T3520" t="s">
        <v>535</v>
      </c>
    </row>
    <row r="3521" spans="1:20" x14ac:dyDescent="0.25">
      <c r="A3521" t="s">
        <v>59</v>
      </c>
      <c r="B3521" t="s">
        <v>60</v>
      </c>
      <c r="C3521" t="s">
        <v>32</v>
      </c>
      <c r="D3521" t="s">
        <v>522</v>
      </c>
      <c r="E3521" t="s">
        <v>533</v>
      </c>
      <c r="F3521" t="s">
        <v>35</v>
      </c>
      <c r="G3521" t="s">
        <v>35</v>
      </c>
      <c r="H3521" t="s">
        <v>35</v>
      </c>
      <c r="J3521" t="s">
        <v>4057</v>
      </c>
      <c r="K3521" t="s">
        <v>1092</v>
      </c>
      <c r="M3521">
        <v>0.15</v>
      </c>
      <c r="N3521">
        <v>1259</v>
      </c>
      <c r="O3521" t="s">
        <v>575</v>
      </c>
      <c r="Q3521" t="s">
        <v>4058</v>
      </c>
      <c r="R3521" t="s">
        <v>4036</v>
      </c>
      <c r="S3521" t="s">
        <v>534</v>
      </c>
      <c r="T3521" t="s">
        <v>535</v>
      </c>
    </row>
    <row r="3522" spans="1:20" x14ac:dyDescent="0.25">
      <c r="A3522" t="s">
        <v>59</v>
      </c>
      <c r="B3522" t="s">
        <v>60</v>
      </c>
      <c r="C3522" t="s">
        <v>32</v>
      </c>
      <c r="D3522" t="s">
        <v>522</v>
      </c>
      <c r="E3522" t="s">
        <v>533</v>
      </c>
      <c r="F3522" t="s">
        <v>35</v>
      </c>
      <c r="G3522" t="s">
        <v>35</v>
      </c>
      <c r="H3522" t="s">
        <v>35</v>
      </c>
      <c r="J3522" t="s">
        <v>4076</v>
      </c>
      <c r="K3522" t="s">
        <v>1092</v>
      </c>
      <c r="M3522">
        <v>0.5</v>
      </c>
      <c r="N3522">
        <v>172</v>
      </c>
      <c r="O3522" t="s">
        <v>38</v>
      </c>
      <c r="Q3522" t="s">
        <v>346</v>
      </c>
      <c r="R3522" t="s">
        <v>4036</v>
      </c>
      <c r="S3522" t="s">
        <v>534</v>
      </c>
      <c r="T3522" t="s">
        <v>535</v>
      </c>
    </row>
    <row r="3523" spans="1:20" x14ac:dyDescent="0.25">
      <c r="A3523" t="s">
        <v>59</v>
      </c>
      <c r="B3523" t="s">
        <v>60</v>
      </c>
      <c r="C3523" t="s">
        <v>32</v>
      </c>
      <c r="D3523" t="s">
        <v>522</v>
      </c>
      <c r="E3523" t="s">
        <v>533</v>
      </c>
      <c r="F3523" t="s">
        <v>35</v>
      </c>
      <c r="G3523" t="s">
        <v>35</v>
      </c>
      <c r="H3523" t="s">
        <v>35</v>
      </c>
      <c r="J3523" t="s">
        <v>4084</v>
      </c>
      <c r="K3523" t="s">
        <v>1092</v>
      </c>
      <c r="M3523">
        <v>0.05</v>
      </c>
      <c r="N3523">
        <v>259</v>
      </c>
      <c r="O3523" t="s">
        <v>5</v>
      </c>
      <c r="Q3523" t="s">
        <v>117</v>
      </c>
      <c r="R3523" t="s">
        <v>4036</v>
      </c>
      <c r="S3523" t="s">
        <v>534</v>
      </c>
      <c r="T3523" t="s">
        <v>535</v>
      </c>
    </row>
    <row r="3524" spans="1:20" x14ac:dyDescent="0.25">
      <c r="A3524" t="s">
        <v>44</v>
      </c>
      <c r="B3524" t="s">
        <v>3</v>
      </c>
      <c r="C3524" t="s">
        <v>32</v>
      </c>
      <c r="D3524" t="s">
        <v>522</v>
      </c>
      <c r="E3524" t="s">
        <v>533</v>
      </c>
      <c r="F3524" t="s">
        <v>35</v>
      </c>
      <c r="G3524" t="s">
        <v>35</v>
      </c>
      <c r="H3524" t="s">
        <v>35</v>
      </c>
      <c r="J3524" t="s">
        <v>4084</v>
      </c>
      <c r="K3524" t="s">
        <v>1092</v>
      </c>
      <c r="M3524">
        <v>0.25</v>
      </c>
      <c r="N3524">
        <v>223</v>
      </c>
      <c r="O3524" t="s">
        <v>5</v>
      </c>
      <c r="Q3524" t="s">
        <v>1544</v>
      </c>
      <c r="R3524" t="s">
        <v>4036</v>
      </c>
      <c r="S3524" t="s">
        <v>534</v>
      </c>
      <c r="T3524" t="s">
        <v>535</v>
      </c>
    </row>
    <row r="3525" spans="1:20" x14ac:dyDescent="0.25">
      <c r="A3525" t="s">
        <v>59</v>
      </c>
      <c r="B3525" t="s">
        <v>60</v>
      </c>
      <c r="C3525" t="s">
        <v>32</v>
      </c>
      <c r="D3525" t="s">
        <v>522</v>
      </c>
      <c r="E3525" t="s">
        <v>533</v>
      </c>
      <c r="F3525" t="s">
        <v>35</v>
      </c>
      <c r="G3525" t="s">
        <v>35</v>
      </c>
      <c r="H3525" t="s">
        <v>35</v>
      </c>
      <c r="J3525" t="s">
        <v>4079</v>
      </c>
      <c r="K3525" t="s">
        <v>1092</v>
      </c>
      <c r="M3525">
        <v>0.375</v>
      </c>
      <c r="N3525">
        <v>75</v>
      </c>
      <c r="O3525" t="s">
        <v>61</v>
      </c>
      <c r="Q3525" t="s">
        <v>447</v>
      </c>
      <c r="R3525" t="s">
        <v>4036</v>
      </c>
      <c r="S3525" t="s">
        <v>534</v>
      </c>
      <c r="T3525" t="s">
        <v>535</v>
      </c>
    </row>
    <row r="3526" spans="1:20" x14ac:dyDescent="0.25">
      <c r="A3526" t="s">
        <v>44</v>
      </c>
      <c r="B3526" t="s">
        <v>51</v>
      </c>
      <c r="C3526" t="s">
        <v>32</v>
      </c>
      <c r="D3526" t="s">
        <v>522</v>
      </c>
      <c r="E3526" t="s">
        <v>565</v>
      </c>
      <c r="F3526" t="s">
        <v>35</v>
      </c>
      <c r="G3526" t="s">
        <v>35</v>
      </c>
      <c r="H3526" t="s">
        <v>35</v>
      </c>
      <c r="J3526" t="s">
        <v>4361</v>
      </c>
      <c r="K3526" t="s">
        <v>1092</v>
      </c>
      <c r="M3526">
        <v>0.65</v>
      </c>
      <c r="N3526">
        <v>881</v>
      </c>
      <c r="O3526" t="s">
        <v>575</v>
      </c>
      <c r="Q3526" t="s">
        <v>4362</v>
      </c>
      <c r="R3526" t="s">
        <v>4036</v>
      </c>
      <c r="S3526" t="s">
        <v>534</v>
      </c>
      <c r="T3526" t="s">
        <v>535</v>
      </c>
    </row>
    <row r="3527" spans="1:20" x14ac:dyDescent="0.25">
      <c r="A3527" t="s">
        <v>59</v>
      </c>
      <c r="B3527" t="s">
        <v>60</v>
      </c>
      <c r="C3527" t="s">
        <v>32</v>
      </c>
      <c r="D3527" t="s">
        <v>522</v>
      </c>
      <c r="E3527" t="s">
        <v>543</v>
      </c>
      <c r="F3527" t="s">
        <v>35</v>
      </c>
      <c r="G3527" t="s">
        <v>35</v>
      </c>
      <c r="H3527" t="s">
        <v>35</v>
      </c>
      <c r="J3527" t="s">
        <v>4115</v>
      </c>
      <c r="K3527" t="s">
        <v>1092</v>
      </c>
      <c r="M3527">
        <v>0.25</v>
      </c>
      <c r="N3527">
        <v>1222</v>
      </c>
      <c r="O3527" t="s">
        <v>575</v>
      </c>
      <c r="Q3527" t="s">
        <v>4120</v>
      </c>
      <c r="R3527" t="s">
        <v>4036</v>
      </c>
      <c r="S3527" t="s">
        <v>534</v>
      </c>
      <c r="T3527" t="s">
        <v>535</v>
      </c>
    </row>
    <row r="3528" spans="1:20" x14ac:dyDescent="0.25">
      <c r="A3528" t="s">
        <v>59</v>
      </c>
      <c r="B3528" t="s">
        <v>60</v>
      </c>
      <c r="C3528" t="s">
        <v>32</v>
      </c>
      <c r="D3528" t="s">
        <v>522</v>
      </c>
      <c r="E3528" t="s">
        <v>543</v>
      </c>
      <c r="F3528" t="s">
        <v>35</v>
      </c>
      <c r="G3528" t="s">
        <v>35</v>
      </c>
      <c r="H3528" t="s">
        <v>35</v>
      </c>
      <c r="J3528" t="s">
        <v>4110</v>
      </c>
      <c r="K3528" t="s">
        <v>1092</v>
      </c>
      <c r="M3528">
        <v>1</v>
      </c>
      <c r="N3528">
        <v>141</v>
      </c>
      <c r="O3528" t="s">
        <v>38</v>
      </c>
      <c r="Q3528" t="s">
        <v>1168</v>
      </c>
      <c r="R3528" t="s">
        <v>4036</v>
      </c>
      <c r="S3528" t="s">
        <v>534</v>
      </c>
      <c r="T3528" t="s">
        <v>535</v>
      </c>
    </row>
    <row r="3529" spans="1:20" x14ac:dyDescent="0.25">
      <c r="A3529" t="s">
        <v>59</v>
      </c>
      <c r="B3529" t="s">
        <v>60</v>
      </c>
      <c r="C3529" t="s">
        <v>32</v>
      </c>
      <c r="D3529" t="s">
        <v>522</v>
      </c>
      <c r="E3529" t="s">
        <v>543</v>
      </c>
      <c r="F3529" t="s">
        <v>35</v>
      </c>
      <c r="G3529" t="s">
        <v>35</v>
      </c>
      <c r="H3529" t="s">
        <v>35</v>
      </c>
      <c r="J3529" t="s">
        <v>4110</v>
      </c>
      <c r="K3529" t="s">
        <v>1092</v>
      </c>
      <c r="M3529">
        <v>0.75</v>
      </c>
      <c r="N3529">
        <v>138</v>
      </c>
      <c r="O3529" t="s">
        <v>38</v>
      </c>
      <c r="Q3529" t="s">
        <v>1149</v>
      </c>
      <c r="R3529" t="s">
        <v>4036</v>
      </c>
      <c r="S3529" t="s">
        <v>534</v>
      </c>
      <c r="T3529" t="s">
        <v>535</v>
      </c>
    </row>
    <row r="3530" spans="1:20" x14ac:dyDescent="0.25">
      <c r="A3530" t="s">
        <v>59</v>
      </c>
      <c r="B3530" t="s">
        <v>60</v>
      </c>
      <c r="C3530" t="s">
        <v>32</v>
      </c>
      <c r="D3530" t="s">
        <v>522</v>
      </c>
      <c r="E3530" t="s">
        <v>543</v>
      </c>
      <c r="F3530" t="s">
        <v>35</v>
      </c>
      <c r="G3530" t="s">
        <v>35</v>
      </c>
      <c r="H3530" t="s">
        <v>35</v>
      </c>
      <c r="J3530" t="s">
        <v>4110</v>
      </c>
      <c r="K3530" t="s">
        <v>1092</v>
      </c>
      <c r="M3530">
        <v>0.75</v>
      </c>
      <c r="N3530">
        <v>143</v>
      </c>
      <c r="O3530" t="s">
        <v>38</v>
      </c>
      <c r="Q3530" t="s">
        <v>1612</v>
      </c>
      <c r="R3530" t="s">
        <v>4036</v>
      </c>
      <c r="S3530" t="s">
        <v>534</v>
      </c>
      <c r="T3530" t="s">
        <v>535</v>
      </c>
    </row>
    <row r="3531" spans="1:20" x14ac:dyDescent="0.25">
      <c r="A3531" t="s">
        <v>59</v>
      </c>
      <c r="B3531" t="s">
        <v>60</v>
      </c>
      <c r="C3531" t="s">
        <v>32</v>
      </c>
      <c r="D3531" t="s">
        <v>522</v>
      </c>
      <c r="E3531" t="s">
        <v>543</v>
      </c>
      <c r="F3531" t="s">
        <v>35</v>
      </c>
      <c r="G3531" t="s">
        <v>35</v>
      </c>
      <c r="H3531" t="s">
        <v>35</v>
      </c>
      <c r="J3531" t="s">
        <v>4110</v>
      </c>
      <c r="K3531" t="s">
        <v>1092</v>
      </c>
      <c r="M3531">
        <v>0.75</v>
      </c>
      <c r="N3531">
        <v>139</v>
      </c>
      <c r="O3531" t="s">
        <v>38</v>
      </c>
      <c r="Q3531" t="s">
        <v>1335</v>
      </c>
      <c r="R3531" t="s">
        <v>4036</v>
      </c>
      <c r="S3531" t="s">
        <v>534</v>
      </c>
      <c r="T3531" t="s">
        <v>535</v>
      </c>
    </row>
    <row r="3532" spans="1:20" x14ac:dyDescent="0.25">
      <c r="A3532" t="s">
        <v>30</v>
      </c>
      <c r="B3532" t="s">
        <v>31</v>
      </c>
      <c r="C3532" t="s">
        <v>32</v>
      </c>
      <c r="D3532" t="s">
        <v>522</v>
      </c>
      <c r="F3532" t="s">
        <v>35</v>
      </c>
      <c r="G3532" t="s">
        <v>35</v>
      </c>
      <c r="H3532" t="s">
        <v>35</v>
      </c>
      <c r="J3532" t="s">
        <v>4411</v>
      </c>
      <c r="K3532" t="s">
        <v>1092</v>
      </c>
      <c r="M3532">
        <v>0.01</v>
      </c>
      <c r="N3532">
        <v>2601</v>
      </c>
      <c r="O3532" t="s">
        <v>575</v>
      </c>
      <c r="Q3532" t="s">
        <v>4412</v>
      </c>
      <c r="R3532" t="s">
        <v>4413</v>
      </c>
      <c r="S3532" t="s">
        <v>4414</v>
      </c>
      <c r="T3532" t="s">
        <v>4415</v>
      </c>
    </row>
    <row r="3533" spans="1:20" x14ac:dyDescent="0.25">
      <c r="A3533" t="s">
        <v>59</v>
      </c>
      <c r="B3533" t="s">
        <v>60</v>
      </c>
      <c r="C3533" t="s">
        <v>32</v>
      </c>
      <c r="D3533" t="s">
        <v>522</v>
      </c>
      <c r="E3533" t="s">
        <v>561</v>
      </c>
      <c r="F3533" t="s">
        <v>35</v>
      </c>
      <c r="G3533" t="s">
        <v>35</v>
      </c>
      <c r="H3533" t="s">
        <v>35</v>
      </c>
      <c r="J3533" t="s">
        <v>4258</v>
      </c>
      <c r="K3533" t="s">
        <v>1092</v>
      </c>
      <c r="M3533">
        <v>0.05</v>
      </c>
      <c r="N3533">
        <v>1195</v>
      </c>
      <c r="O3533" t="s">
        <v>575</v>
      </c>
      <c r="Q3533" t="s">
        <v>3758</v>
      </c>
      <c r="R3533" t="s">
        <v>3957</v>
      </c>
      <c r="S3533" t="s">
        <v>3958</v>
      </c>
      <c r="T3533" t="s">
        <v>3959</v>
      </c>
    </row>
    <row r="3534" spans="1:20" x14ac:dyDescent="0.25">
      <c r="A3534" t="s">
        <v>59</v>
      </c>
      <c r="B3534" t="s">
        <v>60</v>
      </c>
      <c r="C3534" t="s">
        <v>32</v>
      </c>
      <c r="D3534" t="s">
        <v>522</v>
      </c>
      <c r="E3534" t="s">
        <v>565</v>
      </c>
      <c r="F3534" t="s">
        <v>35</v>
      </c>
      <c r="G3534" t="s">
        <v>35</v>
      </c>
      <c r="H3534" t="s">
        <v>35</v>
      </c>
      <c r="J3534" t="s">
        <v>4374</v>
      </c>
      <c r="K3534" t="s">
        <v>1092</v>
      </c>
      <c r="M3534">
        <v>0.75</v>
      </c>
      <c r="N3534">
        <v>506</v>
      </c>
      <c r="O3534" t="s">
        <v>294</v>
      </c>
      <c r="Q3534" t="s">
        <v>1651</v>
      </c>
      <c r="R3534" t="s">
        <v>3957</v>
      </c>
      <c r="S3534" t="s">
        <v>3958</v>
      </c>
      <c r="T3534" t="s">
        <v>3959</v>
      </c>
    </row>
    <row r="3535" spans="1:20" x14ac:dyDescent="0.25">
      <c r="A3535" t="s">
        <v>44</v>
      </c>
      <c r="B3535" t="s">
        <v>51</v>
      </c>
      <c r="C3535" t="s">
        <v>32</v>
      </c>
      <c r="D3535" t="s">
        <v>522</v>
      </c>
      <c r="E3535" t="s">
        <v>523</v>
      </c>
      <c r="F3535" t="s">
        <v>35</v>
      </c>
      <c r="G3535" t="s">
        <v>35</v>
      </c>
      <c r="H3535" t="s">
        <v>35</v>
      </c>
      <c r="J3535" t="s">
        <v>3956</v>
      </c>
      <c r="K3535" t="s">
        <v>1092</v>
      </c>
      <c r="M3535">
        <v>0.6</v>
      </c>
      <c r="N3535">
        <v>506</v>
      </c>
      <c r="O3535" t="s">
        <v>294</v>
      </c>
      <c r="Q3535" t="s">
        <v>1651</v>
      </c>
      <c r="R3535" t="s">
        <v>3957</v>
      </c>
      <c r="S3535" t="s">
        <v>3958</v>
      </c>
      <c r="T3535" t="s">
        <v>3959</v>
      </c>
    </row>
    <row r="3536" spans="1:20" x14ac:dyDescent="0.25">
      <c r="A3536" t="s">
        <v>44</v>
      </c>
      <c r="B3536" t="s">
        <v>51</v>
      </c>
      <c r="C3536" t="s">
        <v>32</v>
      </c>
      <c r="D3536" t="s">
        <v>522</v>
      </c>
      <c r="E3536" t="s">
        <v>533</v>
      </c>
      <c r="F3536" t="s">
        <v>35</v>
      </c>
      <c r="G3536" t="s">
        <v>35</v>
      </c>
      <c r="H3536" t="s">
        <v>35</v>
      </c>
      <c r="J3536" t="s">
        <v>4046</v>
      </c>
      <c r="K3536" t="s">
        <v>1092</v>
      </c>
      <c r="M3536">
        <v>0.1</v>
      </c>
      <c r="N3536">
        <v>876</v>
      </c>
      <c r="O3536" t="s">
        <v>575</v>
      </c>
      <c r="Q3536" t="s">
        <v>4048</v>
      </c>
      <c r="R3536" t="s">
        <v>3957</v>
      </c>
      <c r="S3536" t="s">
        <v>3958</v>
      </c>
      <c r="T3536" t="s">
        <v>3959</v>
      </c>
    </row>
    <row r="3537" spans="1:20" x14ac:dyDescent="0.25">
      <c r="A3537" t="s">
        <v>59</v>
      </c>
      <c r="B3537" t="s">
        <v>31</v>
      </c>
      <c r="C3537" t="s">
        <v>32</v>
      </c>
      <c r="D3537" t="s">
        <v>522</v>
      </c>
      <c r="E3537" t="s">
        <v>543</v>
      </c>
      <c r="F3537" t="s">
        <v>35</v>
      </c>
      <c r="G3537" t="s">
        <v>35</v>
      </c>
      <c r="H3537" t="s">
        <v>35</v>
      </c>
      <c r="J3537" t="s">
        <v>4097</v>
      </c>
      <c r="K3537" t="s">
        <v>1092</v>
      </c>
      <c r="M3537">
        <v>0.45</v>
      </c>
      <c r="N3537">
        <v>869</v>
      </c>
      <c r="O3537" t="s">
        <v>575</v>
      </c>
      <c r="Q3537" t="s">
        <v>4098</v>
      </c>
      <c r="R3537" t="s">
        <v>3957</v>
      </c>
      <c r="S3537" t="s">
        <v>3958</v>
      </c>
      <c r="T3537" t="s">
        <v>3959</v>
      </c>
    </row>
    <row r="3538" spans="1:20" x14ac:dyDescent="0.25">
      <c r="A3538" t="s">
        <v>44</v>
      </c>
      <c r="B3538" t="s">
        <v>3</v>
      </c>
      <c r="C3538" t="s">
        <v>32</v>
      </c>
      <c r="D3538" t="s">
        <v>522</v>
      </c>
      <c r="E3538" t="s">
        <v>543</v>
      </c>
      <c r="F3538" t="s">
        <v>35</v>
      </c>
      <c r="G3538" t="s">
        <v>35</v>
      </c>
      <c r="H3538" t="s">
        <v>35</v>
      </c>
      <c r="J3538" t="s">
        <v>4097</v>
      </c>
      <c r="K3538" t="s">
        <v>1092</v>
      </c>
      <c r="M3538">
        <v>0.5</v>
      </c>
      <c r="N3538">
        <v>528</v>
      </c>
      <c r="O3538" t="s">
        <v>294</v>
      </c>
      <c r="Q3538" t="s">
        <v>2086</v>
      </c>
      <c r="R3538" t="s">
        <v>3957</v>
      </c>
      <c r="S3538" t="s">
        <v>3958</v>
      </c>
      <c r="T3538" t="s">
        <v>3959</v>
      </c>
    </row>
    <row r="3539" spans="1:20" x14ac:dyDescent="0.25">
      <c r="A3539" t="s">
        <v>59</v>
      </c>
      <c r="B3539" t="s">
        <v>60</v>
      </c>
      <c r="C3539" t="s">
        <v>32</v>
      </c>
      <c r="D3539" t="s">
        <v>522</v>
      </c>
      <c r="E3539" t="s">
        <v>543</v>
      </c>
      <c r="F3539" t="s">
        <v>35</v>
      </c>
      <c r="G3539" t="s">
        <v>35</v>
      </c>
      <c r="H3539" t="s">
        <v>35</v>
      </c>
      <c r="J3539" t="s">
        <v>4097</v>
      </c>
      <c r="K3539" t="s">
        <v>1092</v>
      </c>
      <c r="M3539">
        <v>0.25</v>
      </c>
      <c r="N3539">
        <v>771</v>
      </c>
      <c r="O3539" t="s">
        <v>575</v>
      </c>
      <c r="Q3539" t="s">
        <v>4099</v>
      </c>
      <c r="R3539" t="s">
        <v>3957</v>
      </c>
      <c r="S3539" t="s">
        <v>3958</v>
      </c>
      <c r="T3539" t="s">
        <v>3959</v>
      </c>
    </row>
    <row r="3540" spans="1:20" x14ac:dyDescent="0.25">
      <c r="A3540" t="s">
        <v>59</v>
      </c>
      <c r="B3540" t="s">
        <v>60</v>
      </c>
      <c r="C3540" t="s">
        <v>32</v>
      </c>
      <c r="D3540" t="s">
        <v>522</v>
      </c>
      <c r="E3540" t="s">
        <v>543</v>
      </c>
      <c r="F3540" t="s">
        <v>35</v>
      </c>
      <c r="G3540" t="s">
        <v>35</v>
      </c>
      <c r="H3540" t="s">
        <v>35</v>
      </c>
      <c r="J3540" t="s">
        <v>4097</v>
      </c>
      <c r="K3540" t="s">
        <v>1092</v>
      </c>
      <c r="M3540">
        <v>0.17499999999999999</v>
      </c>
      <c r="N3540">
        <v>1124</v>
      </c>
      <c r="O3540" t="s">
        <v>575</v>
      </c>
      <c r="Q3540" t="s">
        <v>4100</v>
      </c>
      <c r="R3540" t="s">
        <v>3957</v>
      </c>
      <c r="S3540" t="s">
        <v>3958</v>
      </c>
      <c r="T3540" t="s">
        <v>3959</v>
      </c>
    </row>
    <row r="3541" spans="1:20" x14ac:dyDescent="0.25">
      <c r="A3541" t="s">
        <v>44</v>
      </c>
      <c r="B3541" t="s">
        <v>51</v>
      </c>
      <c r="C3541" t="s">
        <v>32</v>
      </c>
      <c r="D3541" t="s">
        <v>522</v>
      </c>
      <c r="E3541" t="s">
        <v>533</v>
      </c>
      <c r="F3541" t="s">
        <v>35</v>
      </c>
      <c r="G3541" t="s">
        <v>35</v>
      </c>
      <c r="H3541" t="s">
        <v>35</v>
      </c>
      <c r="J3541" t="s">
        <v>4087</v>
      </c>
      <c r="K3541" t="s">
        <v>1092</v>
      </c>
      <c r="M3541">
        <v>0.15</v>
      </c>
      <c r="N3541">
        <v>506</v>
      </c>
      <c r="O3541" t="s">
        <v>294</v>
      </c>
      <c r="Q3541" t="s">
        <v>1651</v>
      </c>
      <c r="R3541" t="s">
        <v>3957</v>
      </c>
      <c r="S3541" t="s">
        <v>3958</v>
      </c>
      <c r="T3541" t="s">
        <v>3959</v>
      </c>
    </row>
    <row r="3542" spans="1:20" x14ac:dyDescent="0.25">
      <c r="A3542" t="s">
        <v>44</v>
      </c>
      <c r="B3542" t="s">
        <v>51</v>
      </c>
      <c r="C3542" t="s">
        <v>32</v>
      </c>
      <c r="D3542" t="s">
        <v>522</v>
      </c>
      <c r="E3542" t="s">
        <v>565</v>
      </c>
      <c r="F3542" t="s">
        <v>35</v>
      </c>
      <c r="G3542" t="s">
        <v>35</v>
      </c>
      <c r="H3542" t="s">
        <v>35</v>
      </c>
      <c r="J3542" t="s">
        <v>4317</v>
      </c>
      <c r="K3542" t="s">
        <v>1092</v>
      </c>
      <c r="M3542">
        <v>0.45</v>
      </c>
      <c r="N3542">
        <v>498</v>
      </c>
      <c r="O3542" t="s">
        <v>294</v>
      </c>
      <c r="Q3542" t="s">
        <v>3749</v>
      </c>
      <c r="R3542" t="s">
        <v>3957</v>
      </c>
      <c r="S3542" t="s">
        <v>3958</v>
      </c>
      <c r="T3542" t="s">
        <v>3959</v>
      </c>
    </row>
    <row r="3543" spans="1:20" x14ac:dyDescent="0.25">
      <c r="A3543" t="s">
        <v>59</v>
      </c>
      <c r="B3543" t="s">
        <v>60</v>
      </c>
      <c r="C3543" t="s">
        <v>32</v>
      </c>
      <c r="D3543" t="s">
        <v>522</v>
      </c>
      <c r="E3543" t="s">
        <v>565</v>
      </c>
      <c r="F3543" t="s">
        <v>35</v>
      </c>
      <c r="G3543" t="s">
        <v>35</v>
      </c>
      <c r="H3543" t="s">
        <v>35</v>
      </c>
      <c r="J3543" t="s">
        <v>4325</v>
      </c>
      <c r="K3543" t="s">
        <v>1092</v>
      </c>
      <c r="M3543">
        <v>0.9</v>
      </c>
      <c r="N3543">
        <v>74</v>
      </c>
      <c r="O3543" t="s">
        <v>61</v>
      </c>
      <c r="Q3543" t="s">
        <v>527</v>
      </c>
      <c r="R3543" t="s">
        <v>4326</v>
      </c>
      <c r="S3543" t="s">
        <v>4327</v>
      </c>
      <c r="T3543" t="s">
        <v>4328</v>
      </c>
    </row>
    <row r="3544" spans="1:20" x14ac:dyDescent="0.25">
      <c r="A3544" t="s">
        <v>59</v>
      </c>
      <c r="B3544" t="s">
        <v>60</v>
      </c>
      <c r="C3544" t="s">
        <v>32</v>
      </c>
      <c r="D3544" t="s">
        <v>522</v>
      </c>
      <c r="E3544" t="s">
        <v>565</v>
      </c>
      <c r="F3544" t="s">
        <v>35</v>
      </c>
      <c r="G3544" t="s">
        <v>35</v>
      </c>
      <c r="H3544" t="s">
        <v>35</v>
      </c>
      <c r="J3544" t="s">
        <v>4333</v>
      </c>
      <c r="K3544" t="s">
        <v>1092</v>
      </c>
      <c r="M3544">
        <v>0.5</v>
      </c>
      <c r="N3544">
        <v>73</v>
      </c>
      <c r="O3544" t="s">
        <v>61</v>
      </c>
      <c r="Q3544" t="s">
        <v>477</v>
      </c>
      <c r="R3544" t="s">
        <v>4326</v>
      </c>
      <c r="S3544" t="s">
        <v>4327</v>
      </c>
      <c r="T3544" t="s">
        <v>4328</v>
      </c>
    </row>
    <row r="3545" spans="1:20" x14ac:dyDescent="0.25">
      <c r="A3545" t="s">
        <v>59</v>
      </c>
      <c r="B3545" t="s">
        <v>60</v>
      </c>
      <c r="C3545" t="s">
        <v>32</v>
      </c>
      <c r="D3545" t="s">
        <v>522</v>
      </c>
      <c r="E3545" t="s">
        <v>565</v>
      </c>
      <c r="F3545" t="s">
        <v>35</v>
      </c>
      <c r="G3545" t="s">
        <v>35</v>
      </c>
      <c r="H3545" t="s">
        <v>35</v>
      </c>
      <c r="J3545" t="s">
        <v>4365</v>
      </c>
      <c r="K3545" t="s">
        <v>1092</v>
      </c>
      <c r="M3545">
        <v>4.5</v>
      </c>
      <c r="N3545">
        <v>28</v>
      </c>
      <c r="O3545" t="s">
        <v>46</v>
      </c>
      <c r="Q3545" t="s">
        <v>48</v>
      </c>
      <c r="R3545" t="s">
        <v>4326</v>
      </c>
      <c r="S3545" t="s">
        <v>4327</v>
      </c>
      <c r="T3545" t="s">
        <v>4328</v>
      </c>
    </row>
    <row r="3546" spans="1:20" x14ac:dyDescent="0.25">
      <c r="A3546" t="s">
        <v>44</v>
      </c>
      <c r="B3546" t="s">
        <v>3</v>
      </c>
      <c r="C3546" t="s">
        <v>32</v>
      </c>
      <c r="D3546" t="s">
        <v>522</v>
      </c>
      <c r="E3546" t="s">
        <v>561</v>
      </c>
      <c r="F3546" t="s">
        <v>35</v>
      </c>
      <c r="G3546" t="s">
        <v>35</v>
      </c>
      <c r="H3546" t="s">
        <v>35</v>
      </c>
      <c r="J3546" t="s">
        <v>4291</v>
      </c>
      <c r="K3546" t="s">
        <v>1092</v>
      </c>
      <c r="M3546">
        <v>3.3000000000000002E-2</v>
      </c>
      <c r="N3546">
        <v>390</v>
      </c>
      <c r="O3546" t="s">
        <v>294</v>
      </c>
      <c r="Q3546" t="s">
        <v>1808</v>
      </c>
      <c r="R3546" t="s">
        <v>4090</v>
      </c>
      <c r="S3546" t="s">
        <v>4091</v>
      </c>
      <c r="T3546" t="s">
        <v>4092</v>
      </c>
    </row>
    <row r="3547" spans="1:20" x14ac:dyDescent="0.25">
      <c r="A3547" t="s">
        <v>44</v>
      </c>
      <c r="B3547" t="s">
        <v>51</v>
      </c>
      <c r="C3547" t="s">
        <v>32</v>
      </c>
      <c r="D3547" t="s">
        <v>522</v>
      </c>
      <c r="E3547" t="s">
        <v>561</v>
      </c>
      <c r="F3547" t="s">
        <v>35</v>
      </c>
      <c r="G3547" t="s">
        <v>35</v>
      </c>
      <c r="H3547" t="s">
        <v>35</v>
      </c>
      <c r="J3547" t="s">
        <v>4291</v>
      </c>
      <c r="K3547" t="s">
        <v>1092</v>
      </c>
      <c r="M3547">
        <v>1</v>
      </c>
      <c r="N3547">
        <v>174</v>
      </c>
      <c r="O3547" t="s">
        <v>38</v>
      </c>
      <c r="Q3547" t="s">
        <v>1684</v>
      </c>
      <c r="R3547" t="s">
        <v>4090</v>
      </c>
      <c r="S3547" t="s">
        <v>4091</v>
      </c>
      <c r="T3547" t="s">
        <v>4092</v>
      </c>
    </row>
    <row r="3548" spans="1:20" x14ac:dyDescent="0.25">
      <c r="A3548" t="s">
        <v>59</v>
      </c>
      <c r="B3548" t="s">
        <v>60</v>
      </c>
      <c r="C3548" t="s">
        <v>32</v>
      </c>
      <c r="D3548" t="s">
        <v>522</v>
      </c>
      <c r="E3548" t="s">
        <v>543</v>
      </c>
      <c r="F3548" t="s">
        <v>35</v>
      </c>
      <c r="G3548" t="s">
        <v>35</v>
      </c>
      <c r="H3548" t="s">
        <v>35</v>
      </c>
      <c r="J3548" t="s">
        <v>4089</v>
      </c>
      <c r="K3548" t="s">
        <v>1092</v>
      </c>
      <c r="M3548">
        <v>1.5</v>
      </c>
      <c r="N3548">
        <v>238</v>
      </c>
      <c r="O3548" t="s">
        <v>5</v>
      </c>
      <c r="Q3548" t="s">
        <v>111</v>
      </c>
      <c r="R3548" t="s">
        <v>4090</v>
      </c>
      <c r="S3548" t="s">
        <v>4091</v>
      </c>
      <c r="T3548" t="s">
        <v>4092</v>
      </c>
    </row>
    <row r="3549" spans="1:20" x14ac:dyDescent="0.25">
      <c r="A3549" t="s">
        <v>30</v>
      </c>
      <c r="B3549" t="s">
        <v>31</v>
      </c>
      <c r="C3549" t="s">
        <v>32</v>
      </c>
      <c r="D3549" t="s">
        <v>522</v>
      </c>
      <c r="E3549" t="s">
        <v>561</v>
      </c>
      <c r="F3549" t="s">
        <v>35</v>
      </c>
      <c r="G3549" t="s">
        <v>35</v>
      </c>
      <c r="H3549" t="s">
        <v>35</v>
      </c>
      <c r="J3549" t="s">
        <v>4264</v>
      </c>
      <c r="K3549" t="s">
        <v>1092</v>
      </c>
      <c r="M3549">
        <v>1.79</v>
      </c>
      <c r="N3549">
        <v>1350</v>
      </c>
      <c r="O3549" t="s">
        <v>575</v>
      </c>
      <c r="Q3549" t="s">
        <v>4295</v>
      </c>
      <c r="R3549" t="s">
        <v>4090</v>
      </c>
      <c r="S3549" t="s">
        <v>4091</v>
      </c>
      <c r="T3549" t="s">
        <v>4092</v>
      </c>
    </row>
    <row r="3550" spans="1:20" x14ac:dyDescent="0.25">
      <c r="A3550" t="s">
        <v>59</v>
      </c>
      <c r="B3550" t="s">
        <v>60</v>
      </c>
      <c r="C3550" t="s">
        <v>32</v>
      </c>
      <c r="D3550" t="s">
        <v>522</v>
      </c>
      <c r="E3550" t="s">
        <v>543</v>
      </c>
      <c r="F3550" t="s">
        <v>35</v>
      </c>
      <c r="G3550" t="s">
        <v>35</v>
      </c>
      <c r="H3550" t="s">
        <v>35</v>
      </c>
      <c r="J3550" t="s">
        <v>4160</v>
      </c>
      <c r="K3550" t="s">
        <v>1092</v>
      </c>
      <c r="M3550">
        <v>1.35</v>
      </c>
      <c r="N3550">
        <v>264</v>
      </c>
      <c r="O3550" t="s">
        <v>5</v>
      </c>
      <c r="Q3550" t="s">
        <v>1881</v>
      </c>
      <c r="R3550" t="s">
        <v>4090</v>
      </c>
      <c r="S3550" t="s">
        <v>4091</v>
      </c>
      <c r="T3550" t="s">
        <v>4092</v>
      </c>
    </row>
    <row r="3551" spans="1:20" x14ac:dyDescent="0.25">
      <c r="A3551" t="s">
        <v>44</v>
      </c>
      <c r="B3551" t="s">
        <v>3</v>
      </c>
      <c r="C3551" t="s">
        <v>32</v>
      </c>
      <c r="D3551" t="s">
        <v>522</v>
      </c>
      <c r="E3551" t="s">
        <v>543</v>
      </c>
      <c r="F3551" t="s">
        <v>35</v>
      </c>
      <c r="G3551" t="s">
        <v>35</v>
      </c>
      <c r="H3551" t="s">
        <v>35</v>
      </c>
      <c r="J3551" t="s">
        <v>4154</v>
      </c>
      <c r="K3551" t="s">
        <v>1092</v>
      </c>
      <c r="M3551">
        <v>0.25</v>
      </c>
      <c r="N3551">
        <v>416</v>
      </c>
      <c r="O3551" t="s">
        <v>294</v>
      </c>
      <c r="Q3551" t="s">
        <v>1607</v>
      </c>
      <c r="R3551" t="s">
        <v>4090</v>
      </c>
      <c r="S3551" t="s">
        <v>4091</v>
      </c>
      <c r="T3551" t="s">
        <v>4092</v>
      </c>
    </row>
    <row r="3552" spans="1:20" x14ac:dyDescent="0.25">
      <c r="A3552" t="s">
        <v>44</v>
      </c>
      <c r="B3552" t="s">
        <v>51</v>
      </c>
      <c r="C3552" t="s">
        <v>32</v>
      </c>
      <c r="D3552" t="s">
        <v>522</v>
      </c>
      <c r="E3552" t="s">
        <v>543</v>
      </c>
      <c r="F3552" t="s">
        <v>35</v>
      </c>
      <c r="G3552" t="s">
        <v>35</v>
      </c>
      <c r="H3552" t="s">
        <v>35</v>
      </c>
      <c r="J3552" t="s">
        <v>4095</v>
      </c>
      <c r="K3552" t="s">
        <v>1092</v>
      </c>
      <c r="M3552">
        <v>9.1</v>
      </c>
      <c r="N3552">
        <v>105</v>
      </c>
      <c r="O3552" t="s">
        <v>106</v>
      </c>
      <c r="Q3552" t="s">
        <v>171</v>
      </c>
      <c r="R3552" t="s">
        <v>4090</v>
      </c>
      <c r="S3552" t="s">
        <v>4091</v>
      </c>
      <c r="T3552" t="s">
        <v>4092</v>
      </c>
    </row>
    <row r="3553" spans="1:20" x14ac:dyDescent="0.25">
      <c r="A3553" t="s">
        <v>44</v>
      </c>
      <c r="B3553" t="s">
        <v>3</v>
      </c>
      <c r="C3553" t="s">
        <v>32</v>
      </c>
      <c r="D3553" t="s">
        <v>522</v>
      </c>
      <c r="E3553" t="s">
        <v>543</v>
      </c>
      <c r="F3553" t="s">
        <v>35</v>
      </c>
      <c r="G3553" t="s">
        <v>35</v>
      </c>
      <c r="H3553" t="s">
        <v>35</v>
      </c>
      <c r="J3553" t="s">
        <v>4095</v>
      </c>
      <c r="K3553" t="s">
        <v>1092</v>
      </c>
      <c r="M3553">
        <v>0.25</v>
      </c>
      <c r="N3553">
        <v>250</v>
      </c>
      <c r="O3553" t="s">
        <v>5</v>
      </c>
      <c r="Q3553" t="s">
        <v>1286</v>
      </c>
      <c r="R3553" t="s">
        <v>4090</v>
      </c>
      <c r="S3553" t="s">
        <v>4091</v>
      </c>
      <c r="T3553" t="s">
        <v>4092</v>
      </c>
    </row>
    <row r="3554" spans="1:20" x14ac:dyDescent="0.25">
      <c r="A3554" t="s">
        <v>59</v>
      </c>
      <c r="B3554" t="s">
        <v>60</v>
      </c>
      <c r="C3554" t="s">
        <v>32</v>
      </c>
      <c r="D3554" t="s">
        <v>522</v>
      </c>
      <c r="E3554" t="s">
        <v>543</v>
      </c>
      <c r="F3554" t="s">
        <v>35</v>
      </c>
      <c r="G3554" t="s">
        <v>35</v>
      </c>
      <c r="H3554" t="s">
        <v>35</v>
      </c>
      <c r="J3554" t="s">
        <v>4095</v>
      </c>
      <c r="K3554" t="s">
        <v>1092</v>
      </c>
      <c r="M3554">
        <v>23</v>
      </c>
      <c r="N3554">
        <v>105</v>
      </c>
      <c r="O3554" t="s">
        <v>106</v>
      </c>
      <c r="Q3554" t="s">
        <v>171</v>
      </c>
      <c r="R3554" t="s">
        <v>4090</v>
      </c>
      <c r="S3554" t="s">
        <v>4091</v>
      </c>
      <c r="T3554" t="s">
        <v>4092</v>
      </c>
    </row>
    <row r="3555" spans="1:20" x14ac:dyDescent="0.25">
      <c r="A3555" t="s">
        <v>30</v>
      </c>
      <c r="B3555" t="s">
        <v>31</v>
      </c>
      <c r="C3555" t="s">
        <v>32</v>
      </c>
      <c r="D3555" t="s">
        <v>522</v>
      </c>
      <c r="E3555" t="s">
        <v>4207</v>
      </c>
      <c r="F3555" t="s">
        <v>35</v>
      </c>
      <c r="G3555" t="s">
        <v>35</v>
      </c>
      <c r="H3555" t="s">
        <v>35</v>
      </c>
      <c r="J3555" t="s">
        <v>1389</v>
      </c>
      <c r="K3555" t="s">
        <v>1092</v>
      </c>
      <c r="M3555">
        <v>5.0000000000000001E-3</v>
      </c>
      <c r="N3555">
        <v>2235</v>
      </c>
      <c r="O3555" t="s">
        <v>575</v>
      </c>
      <c r="Q3555" t="s">
        <v>4208</v>
      </c>
      <c r="R3555" t="s">
        <v>4209</v>
      </c>
      <c r="S3555" t="s">
        <v>4210</v>
      </c>
      <c r="T3555" t="s">
        <v>4211</v>
      </c>
    </row>
    <row r="3556" spans="1:20" x14ac:dyDescent="0.25">
      <c r="A3556" t="s">
        <v>44</v>
      </c>
      <c r="B3556" t="s">
        <v>51</v>
      </c>
      <c r="C3556" t="s">
        <v>32</v>
      </c>
      <c r="D3556" t="s">
        <v>522</v>
      </c>
      <c r="E3556" t="s">
        <v>561</v>
      </c>
      <c r="F3556" t="s">
        <v>35</v>
      </c>
      <c r="G3556" t="s">
        <v>35</v>
      </c>
      <c r="H3556" t="s">
        <v>35</v>
      </c>
      <c r="J3556" t="s">
        <v>4278</v>
      </c>
      <c r="K3556" t="s">
        <v>1092</v>
      </c>
      <c r="M3556">
        <v>0.5</v>
      </c>
      <c r="N3556">
        <v>503</v>
      </c>
      <c r="O3556" t="s">
        <v>294</v>
      </c>
      <c r="Q3556" t="s">
        <v>4279</v>
      </c>
      <c r="R3556" t="s">
        <v>4102</v>
      </c>
      <c r="S3556" t="s">
        <v>4103</v>
      </c>
      <c r="T3556" t="s">
        <v>4104</v>
      </c>
    </row>
    <row r="3557" spans="1:20" x14ac:dyDescent="0.25">
      <c r="A3557" t="s">
        <v>59</v>
      </c>
      <c r="B3557" t="s">
        <v>60</v>
      </c>
      <c r="C3557" t="s">
        <v>32</v>
      </c>
      <c r="D3557" t="s">
        <v>522</v>
      </c>
      <c r="E3557" t="s">
        <v>561</v>
      </c>
      <c r="F3557" t="s">
        <v>35</v>
      </c>
      <c r="G3557" t="s">
        <v>35</v>
      </c>
      <c r="H3557" t="s">
        <v>35</v>
      </c>
      <c r="J3557" t="s">
        <v>4278</v>
      </c>
      <c r="K3557" t="s">
        <v>1092</v>
      </c>
      <c r="M3557">
        <v>4.2000000000000003E-2</v>
      </c>
      <c r="N3557">
        <v>129</v>
      </c>
      <c r="O3557" t="s">
        <v>38</v>
      </c>
      <c r="Q3557" t="s">
        <v>157</v>
      </c>
      <c r="R3557" t="s">
        <v>4102</v>
      </c>
      <c r="S3557" t="s">
        <v>4103</v>
      </c>
      <c r="T3557" t="s">
        <v>4104</v>
      </c>
    </row>
    <row r="3558" spans="1:20" x14ac:dyDescent="0.25">
      <c r="A3558" t="s">
        <v>59</v>
      </c>
      <c r="B3558" t="s">
        <v>60</v>
      </c>
      <c r="C3558" t="s">
        <v>32</v>
      </c>
      <c r="D3558" t="s">
        <v>522</v>
      </c>
      <c r="E3558" t="s">
        <v>561</v>
      </c>
      <c r="F3558" t="s">
        <v>35</v>
      </c>
      <c r="G3558" t="s">
        <v>35</v>
      </c>
      <c r="H3558" t="s">
        <v>35</v>
      </c>
      <c r="J3558" t="s">
        <v>4300</v>
      </c>
      <c r="K3558" t="s">
        <v>1092</v>
      </c>
      <c r="M3558">
        <v>0.9</v>
      </c>
      <c r="N3558">
        <v>1226</v>
      </c>
      <c r="O3558" t="s">
        <v>575</v>
      </c>
      <c r="Q3558" t="s">
        <v>4302</v>
      </c>
      <c r="R3558" t="s">
        <v>4102</v>
      </c>
      <c r="S3558" t="s">
        <v>4103</v>
      </c>
      <c r="T3558" t="s">
        <v>4104</v>
      </c>
    </row>
    <row r="3559" spans="1:20" x14ac:dyDescent="0.25">
      <c r="A3559" t="s">
        <v>59</v>
      </c>
      <c r="B3559" t="s">
        <v>60</v>
      </c>
      <c r="C3559" t="s">
        <v>32</v>
      </c>
      <c r="D3559" t="s">
        <v>522</v>
      </c>
      <c r="E3559" t="s">
        <v>561</v>
      </c>
      <c r="F3559" t="s">
        <v>35</v>
      </c>
      <c r="G3559" t="s">
        <v>35</v>
      </c>
      <c r="H3559" t="s">
        <v>35</v>
      </c>
      <c r="J3559" t="s">
        <v>4307</v>
      </c>
      <c r="K3559" t="s">
        <v>1092</v>
      </c>
      <c r="M3559">
        <v>3</v>
      </c>
      <c r="N3559">
        <v>143</v>
      </c>
      <c r="O3559" t="s">
        <v>38</v>
      </c>
      <c r="Q3559" t="s">
        <v>1612</v>
      </c>
      <c r="R3559" t="s">
        <v>4102</v>
      </c>
      <c r="S3559" t="s">
        <v>4103</v>
      </c>
      <c r="T3559" t="s">
        <v>4104</v>
      </c>
    </row>
    <row r="3560" spans="1:20" x14ac:dyDescent="0.25">
      <c r="A3560" t="s">
        <v>59</v>
      </c>
      <c r="B3560" t="s">
        <v>60</v>
      </c>
      <c r="C3560" t="s">
        <v>32</v>
      </c>
      <c r="D3560" t="s">
        <v>522</v>
      </c>
      <c r="E3560" t="s">
        <v>561</v>
      </c>
      <c r="F3560" t="s">
        <v>35</v>
      </c>
      <c r="G3560" t="s">
        <v>35</v>
      </c>
      <c r="H3560" t="s">
        <v>35</v>
      </c>
      <c r="J3560" t="s">
        <v>4274</v>
      </c>
      <c r="K3560" t="s">
        <v>1092</v>
      </c>
      <c r="M3560">
        <v>0.3</v>
      </c>
      <c r="N3560">
        <v>588</v>
      </c>
      <c r="O3560" t="s">
        <v>575</v>
      </c>
      <c r="Q3560" t="s">
        <v>4275</v>
      </c>
      <c r="R3560" t="s">
        <v>4102</v>
      </c>
      <c r="S3560" t="s">
        <v>4103</v>
      </c>
      <c r="T3560" t="s">
        <v>4104</v>
      </c>
    </row>
    <row r="3561" spans="1:20" x14ac:dyDescent="0.25">
      <c r="A3561" t="s">
        <v>59</v>
      </c>
      <c r="B3561" t="s">
        <v>60</v>
      </c>
      <c r="C3561" t="s">
        <v>32</v>
      </c>
      <c r="D3561" t="s">
        <v>522</v>
      </c>
      <c r="E3561" t="s">
        <v>543</v>
      </c>
      <c r="F3561" t="s">
        <v>35</v>
      </c>
      <c r="G3561" t="s">
        <v>35</v>
      </c>
      <c r="H3561" t="s">
        <v>35</v>
      </c>
      <c r="J3561" t="s">
        <v>4101</v>
      </c>
      <c r="K3561" t="s">
        <v>1092</v>
      </c>
      <c r="M3561">
        <v>2.15</v>
      </c>
      <c r="N3561">
        <v>143</v>
      </c>
      <c r="O3561" t="s">
        <v>38</v>
      </c>
      <c r="Q3561" t="s">
        <v>1612</v>
      </c>
      <c r="R3561" t="s">
        <v>4102</v>
      </c>
      <c r="S3561" t="s">
        <v>4103</v>
      </c>
      <c r="T3561" t="s">
        <v>4104</v>
      </c>
    </row>
    <row r="3562" spans="1:20" x14ac:dyDescent="0.25">
      <c r="A3562" t="s">
        <v>44</v>
      </c>
      <c r="B3562" t="s">
        <v>3</v>
      </c>
      <c r="C3562" t="s">
        <v>32</v>
      </c>
      <c r="D3562" t="s">
        <v>522</v>
      </c>
      <c r="E3562" t="s">
        <v>4181</v>
      </c>
      <c r="F3562" t="s">
        <v>35</v>
      </c>
      <c r="G3562" t="s">
        <v>35</v>
      </c>
      <c r="H3562" t="s">
        <v>35</v>
      </c>
      <c r="J3562" t="s">
        <v>4203</v>
      </c>
      <c r="K3562" t="s">
        <v>1092</v>
      </c>
      <c r="M3562">
        <v>0.25</v>
      </c>
      <c r="N3562">
        <v>501</v>
      </c>
      <c r="O3562" t="s">
        <v>294</v>
      </c>
      <c r="Q3562" t="s">
        <v>3696</v>
      </c>
      <c r="R3562" t="s">
        <v>3997</v>
      </c>
      <c r="S3562" t="s">
        <v>3998</v>
      </c>
      <c r="T3562" t="s">
        <v>3999</v>
      </c>
    </row>
    <row r="3563" spans="1:20" x14ac:dyDescent="0.25">
      <c r="A3563" t="s">
        <v>44</v>
      </c>
      <c r="B3563" t="s">
        <v>3</v>
      </c>
      <c r="C3563" t="s">
        <v>32</v>
      </c>
      <c r="D3563" t="s">
        <v>522</v>
      </c>
      <c r="E3563" t="s">
        <v>523</v>
      </c>
      <c r="F3563" t="s">
        <v>35</v>
      </c>
      <c r="G3563" t="s">
        <v>35</v>
      </c>
      <c r="H3563" t="s">
        <v>35</v>
      </c>
      <c r="J3563" t="s">
        <v>4003</v>
      </c>
      <c r="K3563" t="s">
        <v>1092</v>
      </c>
      <c r="M3563">
        <v>0.5</v>
      </c>
      <c r="N3563">
        <v>585</v>
      </c>
      <c r="O3563" t="s">
        <v>575</v>
      </c>
      <c r="Q3563" t="s">
        <v>4004</v>
      </c>
      <c r="R3563" t="s">
        <v>3997</v>
      </c>
      <c r="S3563" t="s">
        <v>3998</v>
      </c>
      <c r="T3563" t="s">
        <v>3999</v>
      </c>
    </row>
    <row r="3564" spans="1:20" x14ac:dyDescent="0.25">
      <c r="A3564" t="s">
        <v>44</v>
      </c>
      <c r="B3564" t="s">
        <v>3</v>
      </c>
      <c r="C3564" t="s">
        <v>32</v>
      </c>
      <c r="D3564" t="s">
        <v>522</v>
      </c>
      <c r="E3564" t="s">
        <v>523</v>
      </c>
      <c r="F3564" t="s">
        <v>35</v>
      </c>
      <c r="G3564" t="s">
        <v>35</v>
      </c>
      <c r="H3564" t="s">
        <v>35</v>
      </c>
      <c r="J3564" t="s">
        <v>3996</v>
      </c>
      <c r="K3564" t="s">
        <v>1092</v>
      </c>
      <c r="M3564">
        <v>0.5</v>
      </c>
      <c r="N3564">
        <v>502</v>
      </c>
      <c r="O3564" t="s">
        <v>294</v>
      </c>
      <c r="Q3564" t="s">
        <v>296</v>
      </c>
      <c r="R3564" t="s">
        <v>3997</v>
      </c>
      <c r="S3564" t="s">
        <v>3998</v>
      </c>
      <c r="T3564" t="s">
        <v>3999</v>
      </c>
    </row>
    <row r="3565" spans="1:20" x14ac:dyDescent="0.25">
      <c r="A3565" t="s">
        <v>44</v>
      </c>
      <c r="B3565" t="s">
        <v>3</v>
      </c>
      <c r="C3565" t="s">
        <v>32</v>
      </c>
      <c r="D3565" t="s">
        <v>522</v>
      </c>
      <c r="E3565" t="s">
        <v>4207</v>
      </c>
      <c r="F3565" t="s">
        <v>35</v>
      </c>
      <c r="G3565" t="s">
        <v>35</v>
      </c>
      <c r="H3565" t="s">
        <v>35</v>
      </c>
      <c r="J3565" t="s">
        <v>4213</v>
      </c>
      <c r="K3565" t="s">
        <v>1092</v>
      </c>
      <c r="M3565">
        <v>0.75</v>
      </c>
      <c r="N3565">
        <v>459</v>
      </c>
      <c r="O3565" t="s">
        <v>294</v>
      </c>
      <c r="Q3565" t="s">
        <v>1114</v>
      </c>
      <c r="R3565" t="s">
        <v>3997</v>
      </c>
      <c r="S3565" t="s">
        <v>3998</v>
      </c>
      <c r="T3565" t="s">
        <v>3999</v>
      </c>
    </row>
    <row r="3566" spans="1:20" x14ac:dyDescent="0.25">
      <c r="A3566" t="s">
        <v>44</v>
      </c>
      <c r="B3566" t="s">
        <v>51</v>
      </c>
      <c r="C3566" t="s">
        <v>32</v>
      </c>
      <c r="D3566" t="s">
        <v>522</v>
      </c>
      <c r="E3566" t="s">
        <v>565</v>
      </c>
      <c r="F3566" t="s">
        <v>35</v>
      </c>
      <c r="G3566" t="s">
        <v>35</v>
      </c>
      <c r="H3566" t="s">
        <v>35</v>
      </c>
      <c r="J3566" t="s">
        <v>4310</v>
      </c>
      <c r="K3566" t="s">
        <v>1092</v>
      </c>
      <c r="M3566">
        <v>11</v>
      </c>
      <c r="N3566">
        <v>73</v>
      </c>
      <c r="O3566" t="s">
        <v>61</v>
      </c>
      <c r="Q3566" t="s">
        <v>477</v>
      </c>
      <c r="R3566" t="s">
        <v>577</v>
      </c>
      <c r="S3566" t="s">
        <v>578</v>
      </c>
      <c r="T3566" t="s">
        <v>579</v>
      </c>
    </row>
    <row r="3567" spans="1:20" x14ac:dyDescent="0.25">
      <c r="A3567" t="s">
        <v>44</v>
      </c>
      <c r="B3567" t="s">
        <v>51</v>
      </c>
      <c r="C3567" t="s">
        <v>32</v>
      </c>
      <c r="D3567" t="s">
        <v>522</v>
      </c>
      <c r="E3567" t="s">
        <v>565</v>
      </c>
      <c r="F3567" t="s">
        <v>35</v>
      </c>
      <c r="G3567" t="s">
        <v>35</v>
      </c>
      <c r="H3567" t="s">
        <v>35</v>
      </c>
      <c r="J3567" t="s">
        <v>4343</v>
      </c>
      <c r="K3567" t="s">
        <v>1092</v>
      </c>
      <c r="M3567">
        <v>4.05</v>
      </c>
      <c r="N3567">
        <v>73</v>
      </c>
      <c r="O3567" t="s">
        <v>61</v>
      </c>
      <c r="Q3567" t="s">
        <v>477</v>
      </c>
      <c r="R3567" t="s">
        <v>577</v>
      </c>
      <c r="S3567" t="s">
        <v>578</v>
      </c>
      <c r="T3567" t="s">
        <v>579</v>
      </c>
    </row>
    <row r="3568" spans="1:20" x14ac:dyDescent="0.25">
      <c r="A3568" t="s">
        <v>44</v>
      </c>
      <c r="B3568" t="s">
        <v>51</v>
      </c>
      <c r="C3568" t="s">
        <v>32</v>
      </c>
      <c r="D3568" t="s">
        <v>522</v>
      </c>
      <c r="E3568" t="s">
        <v>565</v>
      </c>
      <c r="F3568" t="s">
        <v>35</v>
      </c>
      <c r="G3568" t="s">
        <v>35</v>
      </c>
      <c r="H3568" t="s">
        <v>35</v>
      </c>
      <c r="J3568" t="s">
        <v>4369</v>
      </c>
      <c r="K3568" t="s">
        <v>1092</v>
      </c>
      <c r="M3568">
        <v>3</v>
      </c>
      <c r="N3568">
        <v>73</v>
      </c>
      <c r="O3568" t="s">
        <v>61</v>
      </c>
      <c r="Q3568" t="s">
        <v>477</v>
      </c>
      <c r="R3568" t="s">
        <v>577</v>
      </c>
      <c r="S3568" t="s">
        <v>578</v>
      </c>
      <c r="T3568" t="s">
        <v>579</v>
      </c>
    </row>
    <row r="3569" spans="1:20" x14ac:dyDescent="0.25">
      <c r="A3569" t="s">
        <v>59</v>
      </c>
      <c r="B3569" t="s">
        <v>60</v>
      </c>
      <c r="C3569" t="s">
        <v>32</v>
      </c>
      <c r="D3569" t="s">
        <v>522</v>
      </c>
      <c r="E3569" t="s">
        <v>523</v>
      </c>
      <c r="F3569" t="s">
        <v>35</v>
      </c>
      <c r="G3569" t="s">
        <v>35</v>
      </c>
      <c r="H3569" t="s">
        <v>35</v>
      </c>
      <c r="J3569" t="s">
        <v>4031</v>
      </c>
      <c r="K3569" t="s">
        <v>1092</v>
      </c>
      <c r="M3569">
        <v>0.3</v>
      </c>
      <c r="N3569">
        <v>123</v>
      </c>
      <c r="O3569" t="s">
        <v>38</v>
      </c>
      <c r="Q3569" t="s">
        <v>1656</v>
      </c>
      <c r="R3569" t="s">
        <v>577</v>
      </c>
      <c r="S3569" t="s">
        <v>578</v>
      </c>
      <c r="T3569" t="s">
        <v>579</v>
      </c>
    </row>
    <row r="3570" spans="1:20" x14ac:dyDescent="0.25">
      <c r="A3570" t="s">
        <v>59</v>
      </c>
      <c r="B3570" t="s">
        <v>31</v>
      </c>
      <c r="C3570" t="s">
        <v>32</v>
      </c>
      <c r="D3570" t="s">
        <v>522</v>
      </c>
      <c r="E3570" t="s">
        <v>565</v>
      </c>
      <c r="F3570" t="s">
        <v>35</v>
      </c>
      <c r="G3570" t="s">
        <v>35</v>
      </c>
      <c r="H3570" t="s">
        <v>35</v>
      </c>
      <c r="J3570" t="s">
        <v>566</v>
      </c>
      <c r="K3570" t="s">
        <v>37</v>
      </c>
      <c r="M3570">
        <v>0.2</v>
      </c>
      <c r="N3570">
        <v>880</v>
      </c>
      <c r="O3570" t="s">
        <v>575</v>
      </c>
      <c r="Q3570" t="s">
        <v>576</v>
      </c>
      <c r="R3570" t="s">
        <v>577</v>
      </c>
      <c r="S3570" t="s">
        <v>578</v>
      </c>
      <c r="T3570" t="s">
        <v>579</v>
      </c>
    </row>
    <row r="3571" spans="1:20" x14ac:dyDescent="0.25">
      <c r="A3571" t="s">
        <v>44</v>
      </c>
      <c r="B3571" t="s">
        <v>3</v>
      </c>
      <c r="C3571" t="s">
        <v>32</v>
      </c>
      <c r="D3571" t="s">
        <v>522</v>
      </c>
      <c r="E3571" t="s">
        <v>565</v>
      </c>
      <c r="F3571" t="s">
        <v>35</v>
      </c>
      <c r="G3571" t="s">
        <v>35</v>
      </c>
      <c r="H3571" t="s">
        <v>35</v>
      </c>
      <c r="J3571" t="s">
        <v>4360</v>
      </c>
      <c r="K3571" t="s">
        <v>1092</v>
      </c>
      <c r="M3571">
        <v>1.4</v>
      </c>
      <c r="N3571">
        <v>405</v>
      </c>
      <c r="O3571" t="s">
        <v>294</v>
      </c>
      <c r="Q3571" t="s">
        <v>3472</v>
      </c>
      <c r="R3571" t="s">
        <v>577</v>
      </c>
      <c r="S3571" t="s">
        <v>578</v>
      </c>
      <c r="T3571" t="s">
        <v>579</v>
      </c>
    </row>
    <row r="3572" spans="1:20" x14ac:dyDescent="0.25">
      <c r="A3572" t="s">
        <v>59</v>
      </c>
      <c r="B3572" t="s">
        <v>60</v>
      </c>
      <c r="C3572" t="s">
        <v>32</v>
      </c>
      <c r="D3572" t="s">
        <v>522</v>
      </c>
      <c r="E3572" t="s">
        <v>565</v>
      </c>
      <c r="F3572" t="s">
        <v>35</v>
      </c>
      <c r="G3572" t="s">
        <v>35</v>
      </c>
      <c r="H3572" t="s">
        <v>35</v>
      </c>
      <c r="J3572" t="s">
        <v>4360</v>
      </c>
      <c r="K3572" t="s">
        <v>1092</v>
      </c>
      <c r="M3572">
        <v>1.9</v>
      </c>
      <c r="N3572">
        <v>124</v>
      </c>
      <c r="O3572" t="s">
        <v>38</v>
      </c>
      <c r="Q3572" t="s">
        <v>646</v>
      </c>
      <c r="R3572" t="s">
        <v>577</v>
      </c>
      <c r="S3572" t="s">
        <v>578</v>
      </c>
      <c r="T3572" t="s">
        <v>579</v>
      </c>
    </row>
    <row r="3573" spans="1:20" x14ac:dyDescent="0.25">
      <c r="A3573" t="s">
        <v>59</v>
      </c>
      <c r="B3573" t="s">
        <v>60</v>
      </c>
      <c r="C3573" t="s">
        <v>32</v>
      </c>
      <c r="D3573" t="s">
        <v>522</v>
      </c>
      <c r="E3573" t="s">
        <v>565</v>
      </c>
      <c r="F3573" t="s">
        <v>35</v>
      </c>
      <c r="G3573" t="s">
        <v>35</v>
      </c>
      <c r="H3573" t="s">
        <v>35</v>
      </c>
      <c r="J3573" t="s">
        <v>4339</v>
      </c>
      <c r="K3573" t="s">
        <v>1092</v>
      </c>
      <c r="M3573">
        <v>0.4</v>
      </c>
      <c r="N3573">
        <v>519</v>
      </c>
      <c r="O3573" t="s">
        <v>294</v>
      </c>
      <c r="Q3573" t="s">
        <v>4340</v>
      </c>
      <c r="R3573" t="s">
        <v>577</v>
      </c>
      <c r="S3573" t="s">
        <v>578</v>
      </c>
      <c r="T3573" t="s">
        <v>579</v>
      </c>
    </row>
    <row r="3574" spans="1:20" x14ac:dyDescent="0.25">
      <c r="A3574" t="s">
        <v>59</v>
      </c>
      <c r="B3574" t="s">
        <v>60</v>
      </c>
      <c r="C3574" t="s">
        <v>32</v>
      </c>
      <c r="D3574" t="s">
        <v>522</v>
      </c>
      <c r="E3574" t="s">
        <v>565</v>
      </c>
      <c r="F3574" t="s">
        <v>35</v>
      </c>
      <c r="G3574" t="s">
        <v>35</v>
      </c>
      <c r="H3574" t="s">
        <v>35</v>
      </c>
      <c r="J3574" t="s">
        <v>4320</v>
      </c>
      <c r="K3574" t="s">
        <v>1144</v>
      </c>
      <c r="M3574">
        <v>11</v>
      </c>
      <c r="N3574">
        <v>124</v>
      </c>
      <c r="O3574" t="s">
        <v>38</v>
      </c>
      <c r="Q3574" t="s">
        <v>646</v>
      </c>
      <c r="R3574" t="s">
        <v>577</v>
      </c>
      <c r="S3574" t="s">
        <v>578</v>
      </c>
      <c r="T3574" t="s">
        <v>579</v>
      </c>
    </row>
    <row r="3575" spans="1:20" x14ac:dyDescent="0.25">
      <c r="A3575" t="s">
        <v>44</v>
      </c>
      <c r="B3575" t="s">
        <v>51</v>
      </c>
      <c r="C3575" t="s">
        <v>32</v>
      </c>
      <c r="D3575" t="s">
        <v>522</v>
      </c>
      <c r="E3575" t="s">
        <v>565</v>
      </c>
      <c r="F3575" t="s">
        <v>35</v>
      </c>
      <c r="G3575" t="s">
        <v>35</v>
      </c>
      <c r="H3575" t="s">
        <v>35</v>
      </c>
      <c r="J3575" t="s">
        <v>3127</v>
      </c>
      <c r="K3575" t="s">
        <v>1092</v>
      </c>
      <c r="M3575">
        <v>6.1</v>
      </c>
      <c r="N3575">
        <v>73</v>
      </c>
      <c r="O3575" t="s">
        <v>61</v>
      </c>
      <c r="Q3575" t="s">
        <v>477</v>
      </c>
      <c r="R3575" t="s">
        <v>577</v>
      </c>
      <c r="S3575" t="s">
        <v>578</v>
      </c>
      <c r="T3575" t="s">
        <v>579</v>
      </c>
    </row>
    <row r="3576" spans="1:20" x14ac:dyDescent="0.25">
      <c r="A3576" t="s">
        <v>59</v>
      </c>
      <c r="B3576" t="s">
        <v>31</v>
      </c>
      <c r="C3576" t="s">
        <v>32</v>
      </c>
      <c r="D3576" t="s">
        <v>522</v>
      </c>
      <c r="E3576" t="s">
        <v>523</v>
      </c>
      <c r="F3576" t="s">
        <v>35</v>
      </c>
      <c r="G3576" t="s">
        <v>35</v>
      </c>
      <c r="H3576" t="s">
        <v>35</v>
      </c>
      <c r="J3576" t="s">
        <v>524</v>
      </c>
      <c r="K3576" t="s">
        <v>37</v>
      </c>
      <c r="M3576">
        <v>0.67500000000000004</v>
      </c>
      <c r="N3576">
        <v>74</v>
      </c>
      <c r="O3576" t="s">
        <v>61</v>
      </c>
      <c r="P3576" t="s">
        <v>526</v>
      </c>
      <c r="Q3576" t="s">
        <v>527</v>
      </c>
      <c r="R3576" t="s">
        <v>91</v>
      </c>
      <c r="S3576" t="s">
        <v>92</v>
      </c>
    </row>
    <row r="3577" spans="1:20" x14ac:dyDescent="0.25">
      <c r="A3577" t="s">
        <v>44</v>
      </c>
      <c r="B3577" t="s">
        <v>51</v>
      </c>
      <c r="C3577" t="s">
        <v>32</v>
      </c>
      <c r="D3577" t="s">
        <v>522</v>
      </c>
      <c r="E3577" t="s">
        <v>523</v>
      </c>
      <c r="F3577" t="s">
        <v>35</v>
      </c>
      <c r="G3577" t="s">
        <v>35</v>
      </c>
      <c r="H3577" t="s">
        <v>35</v>
      </c>
      <c r="J3577" t="s">
        <v>524</v>
      </c>
      <c r="K3577" t="s">
        <v>37</v>
      </c>
      <c r="M3577">
        <v>3</v>
      </c>
      <c r="N3577">
        <v>76</v>
      </c>
      <c r="O3577" t="s">
        <v>61</v>
      </c>
      <c r="P3577" t="s">
        <v>528</v>
      </c>
      <c r="Q3577" t="s">
        <v>455</v>
      </c>
      <c r="R3577" t="s">
        <v>91</v>
      </c>
      <c r="S3577" t="s">
        <v>92</v>
      </c>
    </row>
    <row r="3578" spans="1:20" x14ac:dyDescent="0.25">
      <c r="A3578" t="s">
        <v>30</v>
      </c>
      <c r="B3578" t="s">
        <v>31</v>
      </c>
      <c r="C3578" t="s">
        <v>32</v>
      </c>
      <c r="D3578" t="s">
        <v>522</v>
      </c>
      <c r="E3578" t="s">
        <v>523</v>
      </c>
      <c r="F3578" t="s">
        <v>35</v>
      </c>
      <c r="G3578" t="s">
        <v>35</v>
      </c>
      <c r="H3578" t="s">
        <v>35</v>
      </c>
      <c r="J3578" t="s">
        <v>524</v>
      </c>
      <c r="K3578" t="s">
        <v>37</v>
      </c>
      <c r="M3578">
        <v>45</v>
      </c>
      <c r="N3578">
        <v>42</v>
      </c>
      <c r="O3578" t="s">
        <v>52</v>
      </c>
      <c r="P3578" t="s">
        <v>529</v>
      </c>
      <c r="Q3578" t="s">
        <v>219</v>
      </c>
      <c r="R3578" t="s">
        <v>91</v>
      </c>
      <c r="S3578" t="s">
        <v>92</v>
      </c>
    </row>
    <row r="3579" spans="1:20" x14ac:dyDescent="0.25">
      <c r="A3579" t="s">
        <v>59</v>
      </c>
      <c r="B3579" t="s">
        <v>60</v>
      </c>
      <c r="C3579" t="s">
        <v>32</v>
      </c>
      <c r="D3579" t="s">
        <v>522</v>
      </c>
      <c r="E3579" t="s">
        <v>523</v>
      </c>
      <c r="F3579" t="s">
        <v>35</v>
      </c>
      <c r="G3579" t="s">
        <v>35</v>
      </c>
      <c r="H3579" t="s">
        <v>35</v>
      </c>
      <c r="J3579" t="s">
        <v>524</v>
      </c>
      <c r="K3579" t="s">
        <v>37</v>
      </c>
      <c r="M3579">
        <v>35.125</v>
      </c>
      <c r="N3579">
        <v>74</v>
      </c>
      <c r="O3579" t="s">
        <v>61</v>
      </c>
      <c r="P3579" t="s">
        <v>530</v>
      </c>
      <c r="Q3579" t="s">
        <v>527</v>
      </c>
      <c r="R3579" t="s">
        <v>91</v>
      </c>
      <c r="S3579" t="s">
        <v>92</v>
      </c>
    </row>
    <row r="3580" spans="1:20" x14ac:dyDescent="0.25">
      <c r="A3580" t="s">
        <v>30</v>
      </c>
      <c r="B3580" t="s">
        <v>31</v>
      </c>
      <c r="C3580" t="s">
        <v>32</v>
      </c>
      <c r="D3580" t="s">
        <v>522</v>
      </c>
      <c r="E3580" t="s">
        <v>523</v>
      </c>
      <c r="F3580" t="s">
        <v>35</v>
      </c>
      <c r="G3580" t="s">
        <v>35</v>
      </c>
      <c r="H3580" t="s">
        <v>35</v>
      </c>
      <c r="J3580" t="s">
        <v>524</v>
      </c>
      <c r="K3580" t="s">
        <v>37</v>
      </c>
      <c r="M3580">
        <v>45</v>
      </c>
      <c r="N3580">
        <v>42</v>
      </c>
      <c r="O3580" t="s">
        <v>52</v>
      </c>
      <c r="P3580" t="s">
        <v>531</v>
      </c>
      <c r="Q3580" t="s">
        <v>219</v>
      </c>
      <c r="R3580" t="s">
        <v>91</v>
      </c>
      <c r="S3580" t="s">
        <v>92</v>
      </c>
    </row>
    <row r="3581" spans="1:20" x14ac:dyDescent="0.25">
      <c r="A3581" t="s">
        <v>30</v>
      </c>
      <c r="B3581" t="s">
        <v>31</v>
      </c>
      <c r="C3581" t="s">
        <v>32</v>
      </c>
      <c r="D3581" t="s">
        <v>522</v>
      </c>
      <c r="E3581" t="s">
        <v>523</v>
      </c>
      <c r="F3581" t="s">
        <v>35</v>
      </c>
      <c r="G3581" t="s">
        <v>35</v>
      </c>
      <c r="H3581" t="s">
        <v>35</v>
      </c>
      <c r="J3581" t="s">
        <v>524</v>
      </c>
      <c r="K3581" t="s">
        <v>37</v>
      </c>
      <c r="M3581">
        <v>42.84</v>
      </c>
      <c r="N3581">
        <v>42</v>
      </c>
      <c r="O3581" t="s">
        <v>52</v>
      </c>
      <c r="P3581" t="s">
        <v>532</v>
      </c>
      <c r="Q3581" t="s">
        <v>219</v>
      </c>
      <c r="R3581" t="s">
        <v>91</v>
      </c>
      <c r="S3581" t="s">
        <v>92</v>
      </c>
    </row>
    <row r="3582" spans="1:20" x14ac:dyDescent="0.25">
      <c r="A3582" t="s">
        <v>30</v>
      </c>
      <c r="B3582" t="s">
        <v>31</v>
      </c>
      <c r="C3582" t="s">
        <v>32</v>
      </c>
      <c r="D3582" t="s">
        <v>522</v>
      </c>
      <c r="F3582" t="s">
        <v>35</v>
      </c>
      <c r="G3582" t="s">
        <v>35</v>
      </c>
      <c r="H3582" t="s">
        <v>35</v>
      </c>
      <c r="J3582" t="s">
        <v>4416</v>
      </c>
      <c r="K3582" t="s">
        <v>1092</v>
      </c>
      <c r="M3582">
        <v>0.45</v>
      </c>
      <c r="N3582">
        <v>1858</v>
      </c>
      <c r="O3582" t="s">
        <v>575</v>
      </c>
      <c r="Q3582" t="s">
        <v>4417</v>
      </c>
      <c r="R3582" t="s">
        <v>4418</v>
      </c>
      <c r="S3582" t="s">
        <v>4419</v>
      </c>
      <c r="T3582" t="s">
        <v>4136</v>
      </c>
    </row>
    <row r="3583" spans="1:20" x14ac:dyDescent="0.25">
      <c r="A3583" t="s">
        <v>30</v>
      </c>
      <c r="B3583" t="s">
        <v>31</v>
      </c>
      <c r="C3583" t="s">
        <v>32</v>
      </c>
      <c r="D3583" t="s">
        <v>522</v>
      </c>
      <c r="F3583" t="s">
        <v>35</v>
      </c>
      <c r="G3583" t="s">
        <v>35</v>
      </c>
      <c r="H3583" t="s">
        <v>35</v>
      </c>
      <c r="J3583" t="s">
        <v>4434</v>
      </c>
      <c r="K3583" t="s">
        <v>1092</v>
      </c>
      <c r="M3583">
        <v>0.85499999999999998</v>
      </c>
      <c r="N3583">
        <v>2237</v>
      </c>
      <c r="O3583" t="s">
        <v>575</v>
      </c>
      <c r="Q3583" t="s">
        <v>4435</v>
      </c>
      <c r="R3583" t="s">
        <v>4190</v>
      </c>
      <c r="S3583" t="s">
        <v>581</v>
      </c>
      <c r="T3583" t="s">
        <v>582</v>
      </c>
    </row>
    <row r="3584" spans="1:20" x14ac:dyDescent="0.25">
      <c r="A3584" t="s">
        <v>44</v>
      </c>
      <c r="B3584" t="s">
        <v>51</v>
      </c>
      <c r="C3584" t="s">
        <v>32</v>
      </c>
      <c r="D3584" t="s">
        <v>522</v>
      </c>
      <c r="E3584" t="s">
        <v>4181</v>
      </c>
      <c r="F3584" t="s">
        <v>35</v>
      </c>
      <c r="G3584" t="s">
        <v>35</v>
      </c>
      <c r="H3584" t="s">
        <v>35</v>
      </c>
      <c r="J3584" t="s">
        <v>4189</v>
      </c>
      <c r="K3584" t="s">
        <v>1092</v>
      </c>
      <c r="M3584">
        <v>6.2119999999999997</v>
      </c>
      <c r="N3584">
        <v>50</v>
      </c>
      <c r="O3584" t="s">
        <v>52</v>
      </c>
      <c r="Q3584" t="s">
        <v>665</v>
      </c>
      <c r="R3584" t="s">
        <v>4190</v>
      </c>
      <c r="S3584" t="s">
        <v>581</v>
      </c>
      <c r="T3584" t="s">
        <v>582</v>
      </c>
    </row>
    <row r="3585" spans="1:20" x14ac:dyDescent="0.25">
      <c r="A3585" t="s">
        <v>30</v>
      </c>
      <c r="B3585" t="s">
        <v>31</v>
      </c>
      <c r="C3585" t="s">
        <v>32</v>
      </c>
      <c r="D3585" t="s">
        <v>522</v>
      </c>
      <c r="F3585" t="s">
        <v>35</v>
      </c>
      <c r="G3585" t="s">
        <v>35</v>
      </c>
      <c r="H3585" t="s">
        <v>35</v>
      </c>
      <c r="J3585" t="s">
        <v>4426</v>
      </c>
      <c r="K3585" t="s">
        <v>1092</v>
      </c>
      <c r="M3585">
        <v>7.0000000000000001E-3</v>
      </c>
      <c r="N3585">
        <v>2666</v>
      </c>
      <c r="O3585" t="s">
        <v>575</v>
      </c>
      <c r="Q3585" t="s">
        <v>1486</v>
      </c>
      <c r="R3585" t="s">
        <v>1487</v>
      </c>
      <c r="S3585" t="s">
        <v>1488</v>
      </c>
    </row>
    <row r="3586" spans="1:20" x14ac:dyDescent="0.25">
      <c r="A3586" t="s">
        <v>30</v>
      </c>
      <c r="B3586" t="s">
        <v>31</v>
      </c>
      <c r="C3586" t="s">
        <v>32</v>
      </c>
      <c r="D3586" t="s">
        <v>522</v>
      </c>
      <c r="E3586" t="s">
        <v>533</v>
      </c>
      <c r="F3586" t="s">
        <v>35</v>
      </c>
      <c r="G3586" t="s">
        <v>35</v>
      </c>
      <c r="H3586" t="s">
        <v>35</v>
      </c>
      <c r="J3586" t="s">
        <v>4067</v>
      </c>
      <c r="K3586" t="s">
        <v>1092</v>
      </c>
      <c r="M3586">
        <v>5.0000000000000001E-3</v>
      </c>
      <c r="N3586">
        <v>2666</v>
      </c>
      <c r="O3586" t="s">
        <v>575</v>
      </c>
      <c r="Q3586" t="s">
        <v>1486</v>
      </c>
      <c r="R3586" t="s">
        <v>1487</v>
      </c>
      <c r="S3586" t="s">
        <v>1488</v>
      </c>
    </row>
    <row r="3587" spans="1:20" x14ac:dyDescent="0.25">
      <c r="A3587" t="s">
        <v>30</v>
      </c>
      <c r="B3587" t="s">
        <v>31</v>
      </c>
      <c r="C3587" t="s">
        <v>32</v>
      </c>
      <c r="D3587" t="s">
        <v>522</v>
      </c>
      <c r="F3587" t="s">
        <v>35</v>
      </c>
      <c r="G3587" t="s">
        <v>35</v>
      </c>
      <c r="H3587" t="s">
        <v>35</v>
      </c>
      <c r="J3587" t="s">
        <v>4427</v>
      </c>
      <c r="K3587" t="s">
        <v>1092</v>
      </c>
      <c r="M3587">
        <v>6.5000000000000002E-2</v>
      </c>
      <c r="N3587">
        <v>2666</v>
      </c>
      <c r="O3587" t="s">
        <v>575</v>
      </c>
      <c r="Q3587" t="s">
        <v>1486</v>
      </c>
      <c r="R3587" t="s">
        <v>1487</v>
      </c>
      <c r="S3587" t="s">
        <v>1488</v>
      </c>
    </row>
    <row r="3588" spans="1:20" x14ac:dyDescent="0.25">
      <c r="A3588" t="s">
        <v>30</v>
      </c>
      <c r="B3588" t="s">
        <v>31</v>
      </c>
      <c r="C3588" t="s">
        <v>32</v>
      </c>
      <c r="D3588" t="s">
        <v>522</v>
      </c>
      <c r="E3588" t="s">
        <v>561</v>
      </c>
      <c r="F3588" t="s">
        <v>35</v>
      </c>
      <c r="G3588" t="s">
        <v>35</v>
      </c>
      <c r="H3588" t="s">
        <v>35</v>
      </c>
      <c r="J3588" t="s">
        <v>4251</v>
      </c>
      <c r="K3588" t="s">
        <v>1092</v>
      </c>
      <c r="M3588">
        <v>5.0000000000000001E-3</v>
      </c>
      <c r="N3588">
        <v>2666</v>
      </c>
      <c r="O3588" t="s">
        <v>575</v>
      </c>
      <c r="Q3588" t="s">
        <v>1486</v>
      </c>
      <c r="R3588" t="s">
        <v>1487</v>
      </c>
      <c r="S3588" t="s">
        <v>1488</v>
      </c>
    </row>
    <row r="3589" spans="1:20" x14ac:dyDescent="0.25">
      <c r="A3589" t="s">
        <v>30</v>
      </c>
      <c r="B3589" t="s">
        <v>31</v>
      </c>
      <c r="C3589" t="s">
        <v>32</v>
      </c>
      <c r="D3589" t="s">
        <v>522</v>
      </c>
      <c r="F3589" t="s">
        <v>35</v>
      </c>
      <c r="G3589" t="s">
        <v>35</v>
      </c>
      <c r="H3589" t="s">
        <v>35</v>
      </c>
      <c r="J3589" t="s">
        <v>4410</v>
      </c>
      <c r="K3589" t="s">
        <v>1092</v>
      </c>
      <c r="M3589">
        <v>1.982</v>
      </c>
      <c r="N3589">
        <v>2666</v>
      </c>
      <c r="O3589" t="s">
        <v>575</v>
      </c>
      <c r="Q3589" t="s">
        <v>1486</v>
      </c>
      <c r="R3589" t="s">
        <v>1487</v>
      </c>
      <c r="S3589" t="s">
        <v>1488</v>
      </c>
    </row>
    <row r="3590" spans="1:20" x14ac:dyDescent="0.25">
      <c r="A3590" t="s">
        <v>30</v>
      </c>
      <c r="B3590" t="s">
        <v>31</v>
      </c>
      <c r="C3590" t="s">
        <v>32</v>
      </c>
      <c r="D3590" t="s">
        <v>522</v>
      </c>
      <c r="E3590" t="s">
        <v>523</v>
      </c>
      <c r="F3590" t="s">
        <v>35</v>
      </c>
      <c r="G3590" t="s">
        <v>35</v>
      </c>
      <c r="H3590" t="s">
        <v>35</v>
      </c>
      <c r="J3590" t="s">
        <v>4008</v>
      </c>
      <c r="K3590" t="s">
        <v>1092</v>
      </c>
      <c r="M3590">
        <v>3.15</v>
      </c>
      <c r="N3590">
        <v>25</v>
      </c>
      <c r="O3590" t="s">
        <v>46</v>
      </c>
      <c r="Q3590" t="s">
        <v>547</v>
      </c>
      <c r="R3590" t="s">
        <v>548</v>
      </c>
      <c r="S3590" t="s">
        <v>524</v>
      </c>
      <c r="T3590" t="s">
        <v>525</v>
      </c>
    </row>
    <row r="3591" spans="1:20" x14ac:dyDescent="0.25">
      <c r="A3591" t="s">
        <v>59</v>
      </c>
      <c r="B3591" t="s">
        <v>60</v>
      </c>
      <c r="C3591" t="s">
        <v>32</v>
      </c>
      <c r="D3591" t="s">
        <v>522</v>
      </c>
      <c r="E3591" t="s">
        <v>523</v>
      </c>
      <c r="F3591" t="s">
        <v>35</v>
      </c>
      <c r="G3591" t="s">
        <v>35</v>
      </c>
      <c r="H3591" t="s">
        <v>35</v>
      </c>
      <c r="J3591" t="s">
        <v>4008</v>
      </c>
      <c r="K3591" t="s">
        <v>1092</v>
      </c>
      <c r="M3591">
        <v>0.5</v>
      </c>
      <c r="N3591">
        <v>7</v>
      </c>
      <c r="O3591" t="s">
        <v>46</v>
      </c>
      <c r="Q3591" t="s">
        <v>2440</v>
      </c>
      <c r="R3591" t="s">
        <v>548</v>
      </c>
      <c r="S3591" t="s">
        <v>524</v>
      </c>
      <c r="T3591" t="s">
        <v>525</v>
      </c>
    </row>
    <row r="3592" spans="1:20" x14ac:dyDescent="0.25">
      <c r="A3592" t="s">
        <v>59</v>
      </c>
      <c r="B3592" t="s">
        <v>31</v>
      </c>
      <c r="C3592" t="s">
        <v>32</v>
      </c>
      <c r="D3592" t="s">
        <v>522</v>
      </c>
      <c r="E3592" t="s">
        <v>4207</v>
      </c>
      <c r="F3592" t="s">
        <v>35</v>
      </c>
      <c r="G3592" t="s">
        <v>35</v>
      </c>
      <c r="H3592" t="s">
        <v>35</v>
      </c>
      <c r="J3592" t="s">
        <v>4224</v>
      </c>
      <c r="K3592" t="s">
        <v>1092</v>
      </c>
      <c r="M3592">
        <v>11.25</v>
      </c>
      <c r="N3592">
        <v>124</v>
      </c>
      <c r="O3592" t="s">
        <v>38</v>
      </c>
      <c r="Q3592" t="s">
        <v>646</v>
      </c>
      <c r="R3592" t="s">
        <v>548</v>
      </c>
      <c r="S3592" t="s">
        <v>524</v>
      </c>
      <c r="T3592" t="s">
        <v>525</v>
      </c>
    </row>
    <row r="3593" spans="1:20" x14ac:dyDescent="0.25">
      <c r="A3593" t="s">
        <v>30</v>
      </c>
      <c r="B3593" t="s">
        <v>31</v>
      </c>
      <c r="C3593" t="s">
        <v>32</v>
      </c>
      <c r="D3593" t="s">
        <v>522</v>
      </c>
      <c r="E3593" t="s">
        <v>4207</v>
      </c>
      <c r="F3593" t="s">
        <v>35</v>
      </c>
      <c r="G3593" t="s">
        <v>35</v>
      </c>
      <c r="H3593" t="s">
        <v>35</v>
      </c>
      <c r="J3593" t="s">
        <v>4224</v>
      </c>
      <c r="K3593" t="s">
        <v>1092</v>
      </c>
      <c r="M3593">
        <v>10.62</v>
      </c>
      <c r="N3593">
        <v>90</v>
      </c>
      <c r="O3593" t="s">
        <v>61</v>
      </c>
      <c r="Q3593" t="s">
        <v>557</v>
      </c>
      <c r="R3593" t="s">
        <v>548</v>
      </c>
      <c r="S3593" t="s">
        <v>524</v>
      </c>
      <c r="T3593" t="s">
        <v>525</v>
      </c>
    </row>
    <row r="3594" spans="1:20" x14ac:dyDescent="0.25">
      <c r="A3594" t="s">
        <v>59</v>
      </c>
      <c r="B3594" t="s">
        <v>31</v>
      </c>
      <c r="C3594" t="s">
        <v>32</v>
      </c>
      <c r="D3594" t="s">
        <v>522</v>
      </c>
      <c r="E3594" t="s">
        <v>4207</v>
      </c>
      <c r="F3594" t="s">
        <v>35</v>
      </c>
      <c r="G3594" t="s">
        <v>35</v>
      </c>
      <c r="H3594" t="s">
        <v>35</v>
      </c>
      <c r="J3594" t="s">
        <v>4224</v>
      </c>
      <c r="K3594" t="s">
        <v>1092</v>
      </c>
      <c r="M3594">
        <v>1.62</v>
      </c>
      <c r="N3594">
        <v>133</v>
      </c>
      <c r="O3594" t="s">
        <v>38</v>
      </c>
      <c r="Q3594" t="s">
        <v>609</v>
      </c>
      <c r="R3594" t="s">
        <v>548</v>
      </c>
      <c r="S3594" t="s">
        <v>524</v>
      </c>
      <c r="T3594" t="s">
        <v>525</v>
      </c>
    </row>
    <row r="3595" spans="1:20" x14ac:dyDescent="0.25">
      <c r="A3595" t="s">
        <v>30</v>
      </c>
      <c r="B3595" t="s">
        <v>31</v>
      </c>
      <c r="C3595" t="s">
        <v>32</v>
      </c>
      <c r="D3595" t="s">
        <v>522</v>
      </c>
      <c r="E3595" t="s">
        <v>561</v>
      </c>
      <c r="F3595" t="s">
        <v>35</v>
      </c>
      <c r="G3595" t="s">
        <v>35</v>
      </c>
      <c r="H3595" t="s">
        <v>35</v>
      </c>
      <c r="J3595" t="s">
        <v>4261</v>
      </c>
      <c r="K3595" t="s">
        <v>1092</v>
      </c>
      <c r="M3595">
        <v>3.15</v>
      </c>
      <c r="N3595">
        <v>7</v>
      </c>
      <c r="O3595" t="s">
        <v>46</v>
      </c>
      <c r="Q3595" t="s">
        <v>2440</v>
      </c>
      <c r="R3595" t="s">
        <v>548</v>
      </c>
      <c r="S3595" t="s">
        <v>524</v>
      </c>
      <c r="T3595" t="s">
        <v>525</v>
      </c>
    </row>
    <row r="3596" spans="1:20" x14ac:dyDescent="0.25">
      <c r="A3596" t="s">
        <v>59</v>
      </c>
      <c r="B3596" t="s">
        <v>60</v>
      </c>
      <c r="C3596" t="s">
        <v>32</v>
      </c>
      <c r="D3596" t="s">
        <v>522</v>
      </c>
      <c r="E3596" t="s">
        <v>561</v>
      </c>
      <c r="F3596" t="s">
        <v>35</v>
      </c>
      <c r="G3596" t="s">
        <v>35</v>
      </c>
      <c r="H3596" t="s">
        <v>35</v>
      </c>
      <c r="J3596" t="s">
        <v>4263</v>
      </c>
      <c r="K3596" t="s">
        <v>1092</v>
      </c>
      <c r="M3596">
        <v>0.05</v>
      </c>
      <c r="N3596">
        <v>234</v>
      </c>
      <c r="O3596" t="s">
        <v>5</v>
      </c>
      <c r="Q3596" t="s">
        <v>3415</v>
      </c>
      <c r="R3596" t="s">
        <v>548</v>
      </c>
      <c r="S3596" t="s">
        <v>524</v>
      </c>
      <c r="T3596" t="s">
        <v>525</v>
      </c>
    </row>
    <row r="3597" spans="1:20" x14ac:dyDescent="0.25">
      <c r="A3597" t="s">
        <v>30</v>
      </c>
      <c r="B3597" t="s">
        <v>31</v>
      </c>
      <c r="C3597" t="s">
        <v>32</v>
      </c>
      <c r="D3597" t="s">
        <v>522</v>
      </c>
      <c r="E3597" t="s">
        <v>4181</v>
      </c>
      <c r="F3597" t="s">
        <v>35</v>
      </c>
      <c r="G3597" t="s">
        <v>35</v>
      </c>
      <c r="H3597" t="s">
        <v>35</v>
      </c>
      <c r="J3597" t="s">
        <v>4182</v>
      </c>
      <c r="K3597" t="s">
        <v>1092</v>
      </c>
      <c r="M3597">
        <v>0.63</v>
      </c>
      <c r="N3597">
        <v>384</v>
      </c>
      <c r="O3597" t="s">
        <v>294</v>
      </c>
      <c r="Q3597" t="s">
        <v>1794</v>
      </c>
      <c r="R3597" t="s">
        <v>548</v>
      </c>
      <c r="S3597" t="s">
        <v>524</v>
      </c>
      <c r="T3597" t="s">
        <v>525</v>
      </c>
    </row>
    <row r="3598" spans="1:20" x14ac:dyDescent="0.25">
      <c r="A3598" t="s">
        <v>30</v>
      </c>
      <c r="B3598" t="s">
        <v>31</v>
      </c>
      <c r="C3598" t="s">
        <v>32</v>
      </c>
      <c r="D3598" t="s">
        <v>522</v>
      </c>
      <c r="E3598" t="s">
        <v>523</v>
      </c>
      <c r="F3598" t="s">
        <v>35</v>
      </c>
      <c r="G3598" t="s">
        <v>35</v>
      </c>
      <c r="H3598" t="s">
        <v>35</v>
      </c>
      <c r="J3598" t="s">
        <v>4012</v>
      </c>
      <c r="K3598" t="s">
        <v>1092</v>
      </c>
      <c r="M3598">
        <v>5.4</v>
      </c>
      <c r="N3598">
        <v>25</v>
      </c>
      <c r="O3598" t="s">
        <v>46</v>
      </c>
      <c r="Q3598" t="s">
        <v>547</v>
      </c>
      <c r="R3598" t="s">
        <v>548</v>
      </c>
      <c r="S3598" t="s">
        <v>524</v>
      </c>
      <c r="T3598" t="s">
        <v>525</v>
      </c>
    </row>
    <row r="3599" spans="1:20" x14ac:dyDescent="0.25">
      <c r="A3599" t="s">
        <v>30</v>
      </c>
      <c r="B3599" t="s">
        <v>31</v>
      </c>
      <c r="C3599" t="s">
        <v>32</v>
      </c>
      <c r="D3599" t="s">
        <v>522</v>
      </c>
      <c r="E3599" t="s">
        <v>523</v>
      </c>
      <c r="F3599" t="s">
        <v>35</v>
      </c>
      <c r="G3599" t="s">
        <v>35</v>
      </c>
      <c r="H3599" t="s">
        <v>35</v>
      </c>
      <c r="J3599" t="s">
        <v>4012</v>
      </c>
      <c r="K3599" t="s">
        <v>1092</v>
      </c>
      <c r="M3599">
        <v>1.0349999999999999</v>
      </c>
      <c r="N3599">
        <v>62</v>
      </c>
      <c r="O3599" t="s">
        <v>61</v>
      </c>
      <c r="Q3599" t="s">
        <v>139</v>
      </c>
      <c r="R3599" t="s">
        <v>548</v>
      </c>
      <c r="S3599" t="s">
        <v>524</v>
      </c>
      <c r="T3599" t="s">
        <v>525</v>
      </c>
    </row>
    <row r="3600" spans="1:20" x14ac:dyDescent="0.25">
      <c r="A3600" t="s">
        <v>30</v>
      </c>
      <c r="B3600" t="s">
        <v>31</v>
      </c>
      <c r="C3600" t="s">
        <v>32</v>
      </c>
      <c r="D3600" t="s">
        <v>522</v>
      </c>
      <c r="E3600" t="s">
        <v>523</v>
      </c>
      <c r="F3600" t="s">
        <v>35</v>
      </c>
      <c r="G3600" t="s">
        <v>35</v>
      </c>
      <c r="H3600" t="s">
        <v>35</v>
      </c>
      <c r="J3600" t="s">
        <v>4012</v>
      </c>
      <c r="K3600" t="s">
        <v>1092</v>
      </c>
      <c r="M3600">
        <v>5.4</v>
      </c>
      <c r="N3600">
        <v>31</v>
      </c>
      <c r="O3600" t="s">
        <v>52</v>
      </c>
      <c r="Q3600" t="s">
        <v>748</v>
      </c>
      <c r="R3600" t="s">
        <v>548</v>
      </c>
      <c r="S3600" t="s">
        <v>524</v>
      </c>
      <c r="T3600" t="s">
        <v>525</v>
      </c>
    </row>
    <row r="3601" spans="1:20" x14ac:dyDescent="0.25">
      <c r="A3601" t="s">
        <v>30</v>
      </c>
      <c r="B3601" t="s">
        <v>31</v>
      </c>
      <c r="C3601" t="s">
        <v>32</v>
      </c>
      <c r="D3601" t="s">
        <v>522</v>
      </c>
      <c r="E3601" t="s">
        <v>523</v>
      </c>
      <c r="F3601" t="s">
        <v>35</v>
      </c>
      <c r="G3601" t="s">
        <v>35</v>
      </c>
      <c r="H3601" t="s">
        <v>35</v>
      </c>
      <c r="J3601" t="s">
        <v>4010</v>
      </c>
      <c r="K3601" t="s">
        <v>1092</v>
      </c>
      <c r="M3601">
        <v>5.62</v>
      </c>
      <c r="N3601">
        <v>49</v>
      </c>
      <c r="O3601" t="s">
        <v>52</v>
      </c>
      <c r="Q3601" t="s">
        <v>453</v>
      </c>
      <c r="R3601" t="s">
        <v>548</v>
      </c>
      <c r="S3601" t="s">
        <v>524</v>
      </c>
      <c r="T3601" t="s">
        <v>525</v>
      </c>
    </row>
    <row r="3602" spans="1:20" x14ac:dyDescent="0.25">
      <c r="A3602" t="s">
        <v>59</v>
      </c>
      <c r="B3602" t="s">
        <v>60</v>
      </c>
      <c r="C3602" t="s">
        <v>32</v>
      </c>
      <c r="D3602" t="s">
        <v>522</v>
      </c>
      <c r="E3602" t="s">
        <v>523</v>
      </c>
      <c r="F3602" t="s">
        <v>35</v>
      </c>
      <c r="G3602" t="s">
        <v>35</v>
      </c>
      <c r="H3602" t="s">
        <v>35</v>
      </c>
      <c r="J3602" t="s">
        <v>3951</v>
      </c>
      <c r="K3602" t="s">
        <v>1092</v>
      </c>
      <c r="M3602">
        <v>1.35</v>
      </c>
      <c r="N3602">
        <v>208</v>
      </c>
      <c r="O3602" t="s">
        <v>5</v>
      </c>
      <c r="Q3602" t="s">
        <v>3122</v>
      </c>
      <c r="R3602" t="s">
        <v>548</v>
      </c>
      <c r="S3602" t="s">
        <v>524</v>
      </c>
      <c r="T3602" t="s">
        <v>525</v>
      </c>
    </row>
    <row r="3603" spans="1:20" x14ac:dyDescent="0.25">
      <c r="A3603" t="s">
        <v>30</v>
      </c>
      <c r="B3603" t="s">
        <v>31</v>
      </c>
      <c r="C3603" t="s">
        <v>32</v>
      </c>
      <c r="D3603" t="s">
        <v>522</v>
      </c>
      <c r="E3603" t="s">
        <v>565</v>
      </c>
      <c r="F3603" t="s">
        <v>35</v>
      </c>
      <c r="G3603" t="s">
        <v>35</v>
      </c>
      <c r="H3603" t="s">
        <v>35</v>
      </c>
      <c r="J3603" t="s">
        <v>4363</v>
      </c>
      <c r="K3603" t="s">
        <v>1092</v>
      </c>
      <c r="M3603">
        <v>0.45</v>
      </c>
      <c r="N3603">
        <v>6</v>
      </c>
      <c r="O3603" t="s">
        <v>46</v>
      </c>
      <c r="Q3603" t="s">
        <v>310</v>
      </c>
      <c r="R3603" t="s">
        <v>548</v>
      </c>
      <c r="S3603" t="s">
        <v>524</v>
      </c>
      <c r="T3603" t="s">
        <v>525</v>
      </c>
    </row>
    <row r="3604" spans="1:20" x14ac:dyDescent="0.25">
      <c r="A3604" t="s">
        <v>59</v>
      </c>
      <c r="B3604" t="s">
        <v>60</v>
      </c>
      <c r="C3604" t="s">
        <v>32</v>
      </c>
      <c r="D3604" t="s">
        <v>522</v>
      </c>
      <c r="E3604" t="s">
        <v>565</v>
      </c>
      <c r="F3604" t="s">
        <v>35</v>
      </c>
      <c r="G3604" t="s">
        <v>35</v>
      </c>
      <c r="H3604" t="s">
        <v>35</v>
      </c>
      <c r="J3604" t="s">
        <v>4363</v>
      </c>
      <c r="K3604" t="s">
        <v>1092</v>
      </c>
      <c r="M3604">
        <v>0.25</v>
      </c>
      <c r="N3604">
        <v>59</v>
      </c>
      <c r="O3604" t="s">
        <v>52</v>
      </c>
      <c r="Q3604" t="s">
        <v>203</v>
      </c>
      <c r="R3604" t="s">
        <v>548</v>
      </c>
      <c r="S3604" t="s">
        <v>524</v>
      </c>
      <c r="T3604" t="s">
        <v>525</v>
      </c>
    </row>
    <row r="3605" spans="1:20" x14ac:dyDescent="0.25">
      <c r="A3605" t="s">
        <v>59</v>
      </c>
      <c r="B3605" t="s">
        <v>31</v>
      </c>
      <c r="C3605" t="s">
        <v>32</v>
      </c>
      <c r="D3605" t="s">
        <v>522</v>
      </c>
      <c r="E3605" t="s">
        <v>565</v>
      </c>
      <c r="F3605" t="s">
        <v>35</v>
      </c>
      <c r="G3605" t="s">
        <v>35</v>
      </c>
      <c r="H3605" t="s">
        <v>35</v>
      </c>
      <c r="J3605" t="s">
        <v>4363</v>
      </c>
      <c r="K3605" t="s">
        <v>1092</v>
      </c>
      <c r="M3605">
        <v>0.45</v>
      </c>
      <c r="N3605">
        <v>59</v>
      </c>
      <c r="O3605" t="s">
        <v>52</v>
      </c>
      <c r="Q3605" t="s">
        <v>203</v>
      </c>
      <c r="R3605" t="s">
        <v>548</v>
      </c>
      <c r="S3605" t="s">
        <v>524</v>
      </c>
      <c r="T3605" t="s">
        <v>525</v>
      </c>
    </row>
    <row r="3606" spans="1:20" x14ac:dyDescent="0.25">
      <c r="A3606" t="s">
        <v>59</v>
      </c>
      <c r="B3606" t="s">
        <v>31</v>
      </c>
      <c r="C3606" t="s">
        <v>32</v>
      </c>
      <c r="D3606" t="s">
        <v>522</v>
      </c>
      <c r="E3606" t="s">
        <v>561</v>
      </c>
      <c r="F3606" t="s">
        <v>35</v>
      </c>
      <c r="G3606" t="s">
        <v>35</v>
      </c>
      <c r="H3606" t="s">
        <v>35</v>
      </c>
      <c r="J3606" t="s">
        <v>4249</v>
      </c>
      <c r="K3606" t="s">
        <v>1092</v>
      </c>
      <c r="M3606">
        <v>5.5350000000000001</v>
      </c>
      <c r="N3606">
        <v>124</v>
      </c>
      <c r="O3606" t="s">
        <v>38</v>
      </c>
      <c r="Q3606" t="s">
        <v>646</v>
      </c>
      <c r="R3606" t="s">
        <v>548</v>
      </c>
      <c r="S3606" t="s">
        <v>524</v>
      </c>
      <c r="T3606" t="s">
        <v>525</v>
      </c>
    </row>
    <row r="3607" spans="1:20" x14ac:dyDescent="0.25">
      <c r="A3607" t="s">
        <v>59</v>
      </c>
      <c r="B3607" t="s">
        <v>60</v>
      </c>
      <c r="C3607" t="s">
        <v>32</v>
      </c>
      <c r="D3607" t="s">
        <v>522</v>
      </c>
      <c r="E3607" t="s">
        <v>523</v>
      </c>
      <c r="F3607" t="s">
        <v>35</v>
      </c>
      <c r="G3607" t="s">
        <v>35</v>
      </c>
      <c r="H3607" t="s">
        <v>35</v>
      </c>
      <c r="J3607" t="s">
        <v>3982</v>
      </c>
      <c r="K3607" t="s">
        <v>1092</v>
      </c>
      <c r="M3607">
        <v>0.5</v>
      </c>
      <c r="N3607">
        <v>26</v>
      </c>
      <c r="O3607" t="s">
        <v>46</v>
      </c>
      <c r="Q3607" t="s">
        <v>137</v>
      </c>
      <c r="R3607" t="s">
        <v>548</v>
      </c>
      <c r="S3607" t="s">
        <v>524</v>
      </c>
      <c r="T3607" t="s">
        <v>525</v>
      </c>
    </row>
    <row r="3608" spans="1:20" x14ac:dyDescent="0.25">
      <c r="A3608" t="s">
        <v>30</v>
      </c>
      <c r="B3608" t="s">
        <v>31</v>
      </c>
      <c r="C3608" t="s">
        <v>32</v>
      </c>
      <c r="D3608" t="s">
        <v>522</v>
      </c>
      <c r="E3608" t="s">
        <v>561</v>
      </c>
      <c r="F3608" t="s">
        <v>35</v>
      </c>
      <c r="G3608" t="s">
        <v>35</v>
      </c>
      <c r="H3608" t="s">
        <v>35</v>
      </c>
      <c r="J3608" t="s">
        <v>4291</v>
      </c>
      <c r="K3608" t="s">
        <v>1092</v>
      </c>
      <c r="M3608">
        <v>1.3049999999999999</v>
      </c>
      <c r="N3608">
        <v>124</v>
      </c>
      <c r="O3608" t="s">
        <v>38</v>
      </c>
      <c r="Q3608" t="s">
        <v>646</v>
      </c>
      <c r="R3608" t="s">
        <v>548</v>
      </c>
      <c r="S3608" t="s">
        <v>524</v>
      </c>
      <c r="T3608" t="s">
        <v>525</v>
      </c>
    </row>
    <row r="3609" spans="1:20" x14ac:dyDescent="0.25">
      <c r="A3609" t="s">
        <v>59</v>
      </c>
      <c r="B3609" t="s">
        <v>60</v>
      </c>
      <c r="C3609" t="s">
        <v>32</v>
      </c>
      <c r="D3609" t="s">
        <v>522</v>
      </c>
      <c r="E3609" t="s">
        <v>4207</v>
      </c>
      <c r="F3609" t="s">
        <v>35</v>
      </c>
      <c r="G3609" t="s">
        <v>35</v>
      </c>
      <c r="H3609" t="s">
        <v>35</v>
      </c>
      <c r="J3609" t="s">
        <v>4223</v>
      </c>
      <c r="K3609" t="s">
        <v>1092</v>
      </c>
      <c r="M3609">
        <v>8.9499999999999993</v>
      </c>
      <c r="N3609">
        <v>133</v>
      </c>
      <c r="O3609" t="s">
        <v>38</v>
      </c>
      <c r="Q3609" t="s">
        <v>609</v>
      </c>
      <c r="R3609" t="s">
        <v>548</v>
      </c>
      <c r="S3609" t="s">
        <v>524</v>
      </c>
      <c r="T3609" t="s">
        <v>525</v>
      </c>
    </row>
    <row r="3610" spans="1:20" x14ac:dyDescent="0.25">
      <c r="A3610" t="s">
        <v>30</v>
      </c>
      <c r="B3610" t="s">
        <v>31</v>
      </c>
      <c r="C3610" t="s">
        <v>32</v>
      </c>
      <c r="D3610" t="s">
        <v>522</v>
      </c>
      <c r="E3610" t="s">
        <v>565</v>
      </c>
      <c r="F3610" t="s">
        <v>35</v>
      </c>
      <c r="G3610" t="s">
        <v>35</v>
      </c>
      <c r="H3610" t="s">
        <v>35</v>
      </c>
      <c r="J3610" t="s">
        <v>4343</v>
      </c>
      <c r="K3610" t="s">
        <v>1092</v>
      </c>
      <c r="M3610">
        <v>0.40500000000000003</v>
      </c>
      <c r="N3610">
        <v>145</v>
      </c>
      <c r="O3610" t="s">
        <v>38</v>
      </c>
      <c r="Q3610" t="s">
        <v>408</v>
      </c>
      <c r="R3610" t="s">
        <v>548</v>
      </c>
      <c r="S3610" t="s">
        <v>524</v>
      </c>
      <c r="T3610" t="s">
        <v>525</v>
      </c>
    </row>
    <row r="3611" spans="1:20" x14ac:dyDescent="0.25">
      <c r="A3611" t="s">
        <v>59</v>
      </c>
      <c r="B3611" t="s">
        <v>60</v>
      </c>
      <c r="C3611" t="s">
        <v>32</v>
      </c>
      <c r="D3611" t="s">
        <v>522</v>
      </c>
      <c r="E3611" t="s">
        <v>561</v>
      </c>
      <c r="F3611" t="s">
        <v>35</v>
      </c>
      <c r="G3611" t="s">
        <v>35</v>
      </c>
      <c r="H3611" t="s">
        <v>35</v>
      </c>
      <c r="J3611" t="s">
        <v>4284</v>
      </c>
      <c r="K3611" t="s">
        <v>1092</v>
      </c>
      <c r="M3611">
        <v>2</v>
      </c>
      <c r="N3611">
        <v>131</v>
      </c>
      <c r="O3611" t="s">
        <v>38</v>
      </c>
      <c r="Q3611" t="s">
        <v>542</v>
      </c>
      <c r="R3611" t="s">
        <v>548</v>
      </c>
      <c r="S3611" t="s">
        <v>524</v>
      </c>
      <c r="T3611" t="s">
        <v>525</v>
      </c>
    </row>
    <row r="3612" spans="1:20" x14ac:dyDescent="0.25">
      <c r="A3612" t="s">
        <v>59</v>
      </c>
      <c r="B3612" t="s">
        <v>60</v>
      </c>
      <c r="C3612" t="s">
        <v>32</v>
      </c>
      <c r="D3612" t="s">
        <v>522</v>
      </c>
      <c r="E3612" t="s">
        <v>561</v>
      </c>
      <c r="F3612" t="s">
        <v>35</v>
      </c>
      <c r="G3612" t="s">
        <v>35</v>
      </c>
      <c r="H3612" t="s">
        <v>35</v>
      </c>
      <c r="J3612" t="s">
        <v>4284</v>
      </c>
      <c r="K3612" t="s">
        <v>1092</v>
      </c>
      <c r="M3612">
        <v>2</v>
      </c>
      <c r="N3612">
        <v>234</v>
      </c>
      <c r="O3612" t="s">
        <v>5</v>
      </c>
      <c r="Q3612" t="s">
        <v>3415</v>
      </c>
      <c r="R3612" t="s">
        <v>548</v>
      </c>
      <c r="S3612" t="s">
        <v>524</v>
      </c>
      <c r="T3612" t="s">
        <v>525</v>
      </c>
    </row>
    <row r="3613" spans="1:20" x14ac:dyDescent="0.25">
      <c r="A3613" t="s">
        <v>30</v>
      </c>
      <c r="B3613" t="s">
        <v>31</v>
      </c>
      <c r="C3613" t="s">
        <v>32</v>
      </c>
      <c r="D3613" t="s">
        <v>522</v>
      </c>
      <c r="E3613" t="s">
        <v>565</v>
      </c>
      <c r="F3613" t="s">
        <v>35</v>
      </c>
      <c r="G3613" t="s">
        <v>35</v>
      </c>
      <c r="H3613" t="s">
        <v>35</v>
      </c>
      <c r="J3613" t="s">
        <v>4357</v>
      </c>
      <c r="K3613" t="s">
        <v>1092</v>
      </c>
      <c r="M3613">
        <v>5.76</v>
      </c>
      <c r="N3613">
        <v>31</v>
      </c>
      <c r="O3613" t="s">
        <v>52</v>
      </c>
      <c r="Q3613" t="s">
        <v>748</v>
      </c>
      <c r="R3613" t="s">
        <v>548</v>
      </c>
      <c r="S3613" t="s">
        <v>524</v>
      </c>
      <c r="T3613" t="s">
        <v>525</v>
      </c>
    </row>
    <row r="3614" spans="1:20" x14ac:dyDescent="0.25">
      <c r="A3614" t="s">
        <v>59</v>
      </c>
      <c r="B3614" t="s">
        <v>31</v>
      </c>
      <c r="C3614" t="s">
        <v>32</v>
      </c>
      <c r="D3614" t="s">
        <v>522</v>
      </c>
      <c r="E3614" t="s">
        <v>523</v>
      </c>
      <c r="F3614" t="s">
        <v>35</v>
      </c>
      <c r="G3614" t="s">
        <v>35</v>
      </c>
      <c r="H3614" t="s">
        <v>35</v>
      </c>
      <c r="J3614" t="s">
        <v>3928</v>
      </c>
      <c r="K3614" t="s">
        <v>1092</v>
      </c>
      <c r="M3614">
        <v>3.5999999999999997E-2</v>
      </c>
      <c r="N3614">
        <v>62</v>
      </c>
      <c r="O3614" t="s">
        <v>61</v>
      </c>
      <c r="Q3614" t="s">
        <v>139</v>
      </c>
      <c r="R3614" t="s">
        <v>548</v>
      </c>
      <c r="S3614" t="s">
        <v>524</v>
      </c>
      <c r="T3614" t="s">
        <v>525</v>
      </c>
    </row>
    <row r="3615" spans="1:20" x14ac:dyDescent="0.25">
      <c r="A3615" t="s">
        <v>30</v>
      </c>
      <c r="B3615" t="s">
        <v>31</v>
      </c>
      <c r="C3615" t="s">
        <v>32</v>
      </c>
      <c r="D3615" t="s">
        <v>522</v>
      </c>
      <c r="E3615" t="s">
        <v>523</v>
      </c>
      <c r="F3615" t="s">
        <v>35</v>
      </c>
      <c r="G3615" t="s">
        <v>35</v>
      </c>
      <c r="H3615" t="s">
        <v>35</v>
      </c>
      <c r="J3615" t="s">
        <v>3928</v>
      </c>
      <c r="K3615" t="s">
        <v>1092</v>
      </c>
      <c r="M3615">
        <v>3.6</v>
      </c>
      <c r="N3615">
        <v>25</v>
      </c>
      <c r="O3615" t="s">
        <v>46</v>
      </c>
      <c r="Q3615" t="s">
        <v>547</v>
      </c>
      <c r="R3615" t="s">
        <v>548</v>
      </c>
      <c r="S3615" t="s">
        <v>524</v>
      </c>
      <c r="T3615" t="s">
        <v>525</v>
      </c>
    </row>
    <row r="3616" spans="1:20" x14ac:dyDescent="0.25">
      <c r="A3616" t="s">
        <v>59</v>
      </c>
      <c r="B3616" t="s">
        <v>60</v>
      </c>
      <c r="C3616" t="s">
        <v>32</v>
      </c>
      <c r="D3616" t="s">
        <v>522</v>
      </c>
      <c r="E3616" t="s">
        <v>4207</v>
      </c>
      <c r="F3616" t="s">
        <v>35</v>
      </c>
      <c r="G3616" t="s">
        <v>35</v>
      </c>
      <c r="H3616" t="s">
        <v>35</v>
      </c>
      <c r="J3616" t="s">
        <v>4232</v>
      </c>
      <c r="K3616" t="s">
        <v>1092</v>
      </c>
      <c r="M3616">
        <v>5.35</v>
      </c>
      <c r="N3616">
        <v>157</v>
      </c>
      <c r="O3616" t="s">
        <v>38</v>
      </c>
      <c r="Q3616" t="s">
        <v>1587</v>
      </c>
      <c r="R3616" t="s">
        <v>548</v>
      </c>
      <c r="S3616" t="s">
        <v>524</v>
      </c>
      <c r="T3616" t="s">
        <v>525</v>
      </c>
    </row>
    <row r="3617" spans="1:20" x14ac:dyDescent="0.25">
      <c r="A3617" t="s">
        <v>44</v>
      </c>
      <c r="B3617" t="s">
        <v>51</v>
      </c>
      <c r="C3617" t="s">
        <v>32</v>
      </c>
      <c r="D3617" t="s">
        <v>522</v>
      </c>
      <c r="E3617" t="s">
        <v>523</v>
      </c>
      <c r="F3617" t="s">
        <v>35</v>
      </c>
      <c r="G3617" t="s">
        <v>35</v>
      </c>
      <c r="H3617" t="s">
        <v>35</v>
      </c>
      <c r="J3617" t="s">
        <v>3970</v>
      </c>
      <c r="K3617" t="s">
        <v>1092</v>
      </c>
      <c r="M3617">
        <v>0.25</v>
      </c>
      <c r="N3617">
        <v>48</v>
      </c>
      <c r="O3617" t="s">
        <v>52</v>
      </c>
      <c r="Q3617" t="s">
        <v>518</v>
      </c>
      <c r="R3617" t="s">
        <v>548</v>
      </c>
      <c r="S3617" t="s">
        <v>524</v>
      </c>
      <c r="T3617" t="s">
        <v>525</v>
      </c>
    </row>
    <row r="3618" spans="1:20" x14ac:dyDescent="0.25">
      <c r="A3618" t="s">
        <v>30</v>
      </c>
      <c r="B3618" t="s">
        <v>31</v>
      </c>
      <c r="C3618" t="s">
        <v>32</v>
      </c>
      <c r="D3618" t="s">
        <v>522</v>
      </c>
      <c r="E3618" t="s">
        <v>523</v>
      </c>
      <c r="F3618" t="s">
        <v>35</v>
      </c>
      <c r="G3618" t="s">
        <v>35</v>
      </c>
      <c r="H3618" t="s">
        <v>35</v>
      </c>
      <c r="J3618" t="s">
        <v>3970</v>
      </c>
      <c r="K3618" t="s">
        <v>1092</v>
      </c>
      <c r="M3618">
        <v>1.35</v>
      </c>
      <c r="N3618">
        <v>25</v>
      </c>
      <c r="O3618" t="s">
        <v>46</v>
      </c>
      <c r="Q3618" t="s">
        <v>547</v>
      </c>
      <c r="R3618" t="s">
        <v>548</v>
      </c>
      <c r="S3618" t="s">
        <v>524</v>
      </c>
      <c r="T3618" t="s">
        <v>525</v>
      </c>
    </row>
    <row r="3619" spans="1:20" x14ac:dyDescent="0.25">
      <c r="A3619" t="s">
        <v>44</v>
      </c>
      <c r="B3619" t="s">
        <v>51</v>
      </c>
      <c r="C3619" t="s">
        <v>32</v>
      </c>
      <c r="D3619" t="s">
        <v>522</v>
      </c>
      <c r="E3619" t="s">
        <v>523</v>
      </c>
      <c r="F3619" t="s">
        <v>35</v>
      </c>
      <c r="G3619" t="s">
        <v>35</v>
      </c>
      <c r="H3619" t="s">
        <v>35</v>
      </c>
      <c r="J3619" t="s">
        <v>3967</v>
      </c>
      <c r="K3619" t="s">
        <v>1092</v>
      </c>
      <c r="M3619">
        <v>1</v>
      </c>
      <c r="N3619">
        <v>48</v>
      </c>
      <c r="O3619" t="s">
        <v>52</v>
      </c>
      <c r="Q3619" t="s">
        <v>518</v>
      </c>
      <c r="R3619" t="s">
        <v>548</v>
      </c>
      <c r="S3619" t="s">
        <v>524</v>
      </c>
      <c r="T3619" t="s">
        <v>525</v>
      </c>
    </row>
    <row r="3620" spans="1:20" x14ac:dyDescent="0.25">
      <c r="A3620" t="s">
        <v>30</v>
      </c>
      <c r="B3620" t="s">
        <v>31</v>
      </c>
      <c r="C3620" t="s">
        <v>32</v>
      </c>
      <c r="D3620" t="s">
        <v>522</v>
      </c>
      <c r="E3620" t="s">
        <v>523</v>
      </c>
      <c r="F3620" t="s">
        <v>35</v>
      </c>
      <c r="G3620" t="s">
        <v>35</v>
      </c>
      <c r="H3620" t="s">
        <v>35</v>
      </c>
      <c r="J3620" t="s">
        <v>3967</v>
      </c>
      <c r="K3620" t="s">
        <v>1092</v>
      </c>
      <c r="M3620">
        <v>2.0249999999999999</v>
      </c>
      <c r="N3620">
        <v>26</v>
      </c>
      <c r="O3620" t="s">
        <v>46</v>
      </c>
      <c r="Q3620" t="s">
        <v>137</v>
      </c>
      <c r="R3620" t="s">
        <v>548</v>
      </c>
      <c r="S3620" t="s">
        <v>524</v>
      </c>
      <c r="T3620" t="s">
        <v>525</v>
      </c>
    </row>
    <row r="3621" spans="1:20" x14ac:dyDescent="0.25">
      <c r="A3621" t="s">
        <v>59</v>
      </c>
      <c r="B3621" t="s">
        <v>60</v>
      </c>
      <c r="C3621" t="s">
        <v>32</v>
      </c>
      <c r="D3621" t="s">
        <v>522</v>
      </c>
      <c r="E3621" t="s">
        <v>523</v>
      </c>
      <c r="F3621" t="s">
        <v>35</v>
      </c>
      <c r="G3621" t="s">
        <v>35</v>
      </c>
      <c r="H3621" t="s">
        <v>35</v>
      </c>
      <c r="J3621" t="s">
        <v>3967</v>
      </c>
      <c r="K3621" t="s">
        <v>1092</v>
      </c>
      <c r="M3621">
        <v>0.25</v>
      </c>
      <c r="N3621">
        <v>25</v>
      </c>
      <c r="O3621" t="s">
        <v>46</v>
      </c>
      <c r="Q3621" t="s">
        <v>547</v>
      </c>
      <c r="R3621" t="s">
        <v>548</v>
      </c>
      <c r="S3621" t="s">
        <v>524</v>
      </c>
      <c r="T3621" t="s">
        <v>525</v>
      </c>
    </row>
    <row r="3622" spans="1:20" x14ac:dyDescent="0.25">
      <c r="A3622" t="s">
        <v>59</v>
      </c>
      <c r="B3622" t="s">
        <v>60</v>
      </c>
      <c r="C3622" t="s">
        <v>32</v>
      </c>
      <c r="D3622" t="s">
        <v>522</v>
      </c>
      <c r="E3622" t="s">
        <v>523</v>
      </c>
      <c r="F3622" t="s">
        <v>35</v>
      </c>
      <c r="G3622" t="s">
        <v>35</v>
      </c>
      <c r="H3622" t="s">
        <v>35</v>
      </c>
      <c r="J3622" t="s">
        <v>3967</v>
      </c>
      <c r="K3622" t="s">
        <v>1092</v>
      </c>
      <c r="M3622">
        <v>0.5</v>
      </c>
      <c r="N3622">
        <v>26</v>
      </c>
      <c r="O3622" t="s">
        <v>46</v>
      </c>
      <c r="Q3622" t="s">
        <v>137</v>
      </c>
      <c r="R3622" t="s">
        <v>548</v>
      </c>
      <c r="S3622" t="s">
        <v>524</v>
      </c>
      <c r="T3622" t="s">
        <v>525</v>
      </c>
    </row>
    <row r="3623" spans="1:20" x14ac:dyDescent="0.25">
      <c r="A3623" t="s">
        <v>44</v>
      </c>
      <c r="B3623" t="s">
        <v>51</v>
      </c>
      <c r="C3623" t="s">
        <v>32</v>
      </c>
      <c r="D3623" t="s">
        <v>522</v>
      </c>
      <c r="E3623" t="s">
        <v>523</v>
      </c>
      <c r="F3623" t="s">
        <v>35</v>
      </c>
      <c r="G3623" t="s">
        <v>35</v>
      </c>
      <c r="H3623" t="s">
        <v>35</v>
      </c>
      <c r="J3623" t="s">
        <v>3967</v>
      </c>
      <c r="K3623" t="s">
        <v>1092</v>
      </c>
      <c r="M3623">
        <v>0.25</v>
      </c>
      <c r="N3623">
        <v>65</v>
      </c>
      <c r="O3623" t="s">
        <v>61</v>
      </c>
      <c r="Q3623" t="s">
        <v>63</v>
      </c>
      <c r="R3623" t="s">
        <v>548</v>
      </c>
      <c r="S3623" t="s">
        <v>524</v>
      </c>
      <c r="T3623" t="s">
        <v>525</v>
      </c>
    </row>
    <row r="3624" spans="1:20" x14ac:dyDescent="0.25">
      <c r="A3624" t="s">
        <v>44</v>
      </c>
      <c r="B3624" t="s">
        <v>51</v>
      </c>
      <c r="C3624" t="s">
        <v>32</v>
      </c>
      <c r="D3624" t="s">
        <v>522</v>
      </c>
      <c r="E3624" t="s">
        <v>523</v>
      </c>
      <c r="F3624" t="s">
        <v>35</v>
      </c>
      <c r="G3624" t="s">
        <v>35</v>
      </c>
      <c r="H3624" t="s">
        <v>35</v>
      </c>
      <c r="J3624" t="s">
        <v>3967</v>
      </c>
      <c r="K3624" t="s">
        <v>1092</v>
      </c>
      <c r="M3624">
        <v>0.5</v>
      </c>
      <c r="N3624">
        <v>73</v>
      </c>
      <c r="O3624" t="s">
        <v>61</v>
      </c>
      <c r="Q3624" t="s">
        <v>477</v>
      </c>
      <c r="R3624" t="s">
        <v>548</v>
      </c>
      <c r="S3624" t="s">
        <v>524</v>
      </c>
      <c r="T3624" t="s">
        <v>525</v>
      </c>
    </row>
    <row r="3625" spans="1:20" x14ac:dyDescent="0.25">
      <c r="A3625" t="s">
        <v>30</v>
      </c>
      <c r="B3625" t="s">
        <v>31</v>
      </c>
      <c r="C3625" t="s">
        <v>32</v>
      </c>
      <c r="D3625" t="s">
        <v>522</v>
      </c>
      <c r="E3625" t="s">
        <v>523</v>
      </c>
      <c r="F3625" t="s">
        <v>35</v>
      </c>
      <c r="G3625" t="s">
        <v>35</v>
      </c>
      <c r="H3625" t="s">
        <v>35</v>
      </c>
      <c r="J3625" t="s">
        <v>3967</v>
      </c>
      <c r="K3625" t="s">
        <v>1092</v>
      </c>
      <c r="M3625">
        <v>3.43</v>
      </c>
      <c r="N3625">
        <v>38</v>
      </c>
      <c r="O3625" t="s">
        <v>52</v>
      </c>
      <c r="Q3625" t="s">
        <v>716</v>
      </c>
      <c r="R3625" t="s">
        <v>548</v>
      </c>
      <c r="S3625" t="s">
        <v>524</v>
      </c>
      <c r="T3625" t="s">
        <v>525</v>
      </c>
    </row>
    <row r="3626" spans="1:20" x14ac:dyDescent="0.25">
      <c r="A3626" t="s">
        <v>59</v>
      </c>
      <c r="B3626" t="s">
        <v>31</v>
      </c>
      <c r="C3626" t="s">
        <v>32</v>
      </c>
      <c r="D3626" t="s">
        <v>522</v>
      </c>
      <c r="E3626" t="s">
        <v>4207</v>
      </c>
      <c r="F3626" t="s">
        <v>35</v>
      </c>
      <c r="G3626" t="s">
        <v>35</v>
      </c>
      <c r="H3626" t="s">
        <v>35</v>
      </c>
      <c r="J3626" t="s">
        <v>4225</v>
      </c>
      <c r="K3626" t="s">
        <v>1092</v>
      </c>
      <c r="M3626">
        <v>11.025</v>
      </c>
      <c r="N3626">
        <v>100</v>
      </c>
      <c r="O3626" t="s">
        <v>106</v>
      </c>
      <c r="Q3626" t="s">
        <v>1621</v>
      </c>
      <c r="R3626" t="s">
        <v>548</v>
      </c>
      <c r="S3626" t="s">
        <v>524</v>
      </c>
      <c r="T3626" t="s">
        <v>525</v>
      </c>
    </row>
    <row r="3627" spans="1:20" x14ac:dyDescent="0.25">
      <c r="A3627" t="s">
        <v>30</v>
      </c>
      <c r="B3627" t="s">
        <v>31</v>
      </c>
      <c r="C3627" t="s">
        <v>32</v>
      </c>
      <c r="D3627" t="s">
        <v>522</v>
      </c>
      <c r="E3627" t="s">
        <v>523</v>
      </c>
      <c r="F3627" t="s">
        <v>35</v>
      </c>
      <c r="G3627" t="s">
        <v>35</v>
      </c>
      <c r="H3627" t="s">
        <v>35</v>
      </c>
      <c r="J3627" t="s">
        <v>3952</v>
      </c>
      <c r="K3627" t="s">
        <v>1092</v>
      </c>
      <c r="M3627">
        <v>1.35</v>
      </c>
      <c r="N3627">
        <v>10</v>
      </c>
      <c r="O3627" t="s">
        <v>46</v>
      </c>
      <c r="Q3627" t="s">
        <v>1302</v>
      </c>
      <c r="R3627" t="s">
        <v>548</v>
      </c>
      <c r="S3627" t="s">
        <v>524</v>
      </c>
      <c r="T3627" t="s">
        <v>525</v>
      </c>
    </row>
    <row r="3628" spans="1:20" x14ac:dyDescent="0.25">
      <c r="A3628" t="s">
        <v>30</v>
      </c>
      <c r="B3628" t="s">
        <v>31</v>
      </c>
      <c r="C3628" t="s">
        <v>32</v>
      </c>
      <c r="D3628" t="s">
        <v>522</v>
      </c>
      <c r="E3628" t="s">
        <v>523</v>
      </c>
      <c r="F3628" t="s">
        <v>35</v>
      </c>
      <c r="G3628" t="s">
        <v>35</v>
      </c>
      <c r="H3628" t="s">
        <v>35</v>
      </c>
      <c r="J3628" t="s">
        <v>3952</v>
      </c>
      <c r="K3628" t="s">
        <v>1092</v>
      </c>
      <c r="M3628">
        <v>11.25</v>
      </c>
      <c r="N3628">
        <v>62</v>
      </c>
      <c r="O3628" t="s">
        <v>61</v>
      </c>
      <c r="Q3628" t="s">
        <v>139</v>
      </c>
      <c r="R3628" t="s">
        <v>548</v>
      </c>
      <c r="S3628" t="s">
        <v>524</v>
      </c>
      <c r="T3628" t="s">
        <v>525</v>
      </c>
    </row>
    <row r="3629" spans="1:20" x14ac:dyDescent="0.25">
      <c r="A3629" t="s">
        <v>30</v>
      </c>
      <c r="B3629" t="s">
        <v>31</v>
      </c>
      <c r="C3629" t="s">
        <v>32</v>
      </c>
      <c r="D3629" t="s">
        <v>522</v>
      </c>
      <c r="E3629" t="s">
        <v>523</v>
      </c>
      <c r="F3629" t="s">
        <v>35</v>
      </c>
      <c r="G3629" t="s">
        <v>35</v>
      </c>
      <c r="H3629" t="s">
        <v>35</v>
      </c>
      <c r="J3629" t="s">
        <v>3952</v>
      </c>
      <c r="K3629" t="s">
        <v>1092</v>
      </c>
      <c r="M3629">
        <v>4.05</v>
      </c>
      <c r="N3629">
        <v>25</v>
      </c>
      <c r="O3629" t="s">
        <v>46</v>
      </c>
      <c r="Q3629" t="s">
        <v>547</v>
      </c>
      <c r="R3629" t="s">
        <v>548</v>
      </c>
      <c r="S3629" t="s">
        <v>524</v>
      </c>
      <c r="T3629" t="s">
        <v>525</v>
      </c>
    </row>
    <row r="3630" spans="1:20" x14ac:dyDescent="0.25">
      <c r="A3630" t="s">
        <v>30</v>
      </c>
      <c r="B3630" t="s">
        <v>31</v>
      </c>
      <c r="C3630" t="s">
        <v>32</v>
      </c>
      <c r="D3630" t="s">
        <v>522</v>
      </c>
      <c r="E3630" t="s">
        <v>561</v>
      </c>
      <c r="F3630" t="s">
        <v>35</v>
      </c>
      <c r="G3630" t="s">
        <v>35</v>
      </c>
      <c r="H3630" t="s">
        <v>35</v>
      </c>
      <c r="J3630" t="s">
        <v>4260</v>
      </c>
      <c r="K3630" t="s">
        <v>1092</v>
      </c>
      <c r="M3630">
        <v>7.4249999999999998</v>
      </c>
      <c r="N3630">
        <v>38</v>
      </c>
      <c r="O3630" t="s">
        <v>52</v>
      </c>
      <c r="Q3630" t="s">
        <v>716</v>
      </c>
      <c r="R3630" t="s">
        <v>548</v>
      </c>
      <c r="S3630" t="s">
        <v>524</v>
      </c>
      <c r="T3630" t="s">
        <v>525</v>
      </c>
    </row>
    <row r="3631" spans="1:20" x14ac:dyDescent="0.25">
      <c r="A3631" t="s">
        <v>59</v>
      </c>
      <c r="B3631" t="s">
        <v>60</v>
      </c>
      <c r="C3631" t="s">
        <v>32</v>
      </c>
      <c r="D3631" t="s">
        <v>522</v>
      </c>
      <c r="E3631" t="s">
        <v>523</v>
      </c>
      <c r="F3631" t="s">
        <v>35</v>
      </c>
      <c r="G3631" t="s">
        <v>35</v>
      </c>
      <c r="H3631" t="s">
        <v>35</v>
      </c>
      <c r="J3631" t="s">
        <v>4000</v>
      </c>
      <c r="K3631" t="s">
        <v>1092</v>
      </c>
      <c r="M3631">
        <v>1.5</v>
      </c>
      <c r="N3631">
        <v>26</v>
      </c>
      <c r="O3631" t="s">
        <v>46</v>
      </c>
      <c r="Q3631" t="s">
        <v>137</v>
      </c>
      <c r="R3631" t="s">
        <v>548</v>
      </c>
      <c r="S3631" t="s">
        <v>524</v>
      </c>
      <c r="T3631" t="s">
        <v>525</v>
      </c>
    </row>
    <row r="3632" spans="1:20" x14ac:dyDescent="0.25">
      <c r="A3632" t="s">
        <v>30</v>
      </c>
      <c r="B3632" t="s">
        <v>31</v>
      </c>
      <c r="C3632" t="s">
        <v>32</v>
      </c>
      <c r="D3632" t="s">
        <v>522</v>
      </c>
      <c r="E3632" t="s">
        <v>543</v>
      </c>
      <c r="F3632" t="s">
        <v>35</v>
      </c>
      <c r="G3632" t="s">
        <v>35</v>
      </c>
      <c r="H3632" t="s">
        <v>35</v>
      </c>
      <c r="J3632" t="s">
        <v>4129</v>
      </c>
      <c r="K3632" t="s">
        <v>1092</v>
      </c>
      <c r="M3632">
        <v>2.88</v>
      </c>
      <c r="N3632">
        <v>233</v>
      </c>
      <c r="O3632" t="s">
        <v>5</v>
      </c>
      <c r="Q3632" t="s">
        <v>2516</v>
      </c>
      <c r="R3632" t="s">
        <v>548</v>
      </c>
      <c r="S3632" t="s">
        <v>524</v>
      </c>
      <c r="T3632" t="s">
        <v>525</v>
      </c>
    </row>
    <row r="3633" spans="1:20" x14ac:dyDescent="0.25">
      <c r="A3633" t="s">
        <v>59</v>
      </c>
      <c r="B3633" t="s">
        <v>31</v>
      </c>
      <c r="C3633" t="s">
        <v>32</v>
      </c>
      <c r="D3633" t="s">
        <v>522</v>
      </c>
      <c r="E3633" t="s">
        <v>561</v>
      </c>
      <c r="F3633" t="s">
        <v>35</v>
      </c>
      <c r="G3633" t="s">
        <v>35</v>
      </c>
      <c r="H3633" t="s">
        <v>35</v>
      </c>
      <c r="J3633" t="s">
        <v>4303</v>
      </c>
      <c r="K3633" t="s">
        <v>1092</v>
      </c>
      <c r="M3633">
        <v>4.05</v>
      </c>
      <c r="N3633">
        <v>132</v>
      </c>
      <c r="O3633" t="s">
        <v>38</v>
      </c>
      <c r="Q3633" t="s">
        <v>1696</v>
      </c>
      <c r="R3633" t="s">
        <v>548</v>
      </c>
      <c r="S3633" t="s">
        <v>524</v>
      </c>
      <c r="T3633" t="s">
        <v>525</v>
      </c>
    </row>
    <row r="3634" spans="1:20" x14ac:dyDescent="0.25">
      <c r="A3634" t="s">
        <v>30</v>
      </c>
      <c r="B3634" t="s">
        <v>31</v>
      </c>
      <c r="C3634" t="s">
        <v>32</v>
      </c>
      <c r="D3634" t="s">
        <v>522</v>
      </c>
      <c r="E3634" t="s">
        <v>561</v>
      </c>
      <c r="F3634" t="s">
        <v>35</v>
      </c>
      <c r="G3634" t="s">
        <v>35</v>
      </c>
      <c r="H3634" t="s">
        <v>35</v>
      </c>
      <c r="J3634" t="s">
        <v>4303</v>
      </c>
      <c r="K3634" t="s">
        <v>1092</v>
      </c>
      <c r="M3634">
        <v>5.85</v>
      </c>
      <c r="N3634">
        <v>88</v>
      </c>
      <c r="O3634" t="s">
        <v>61</v>
      </c>
      <c r="Q3634" t="s">
        <v>724</v>
      </c>
      <c r="R3634" t="s">
        <v>548</v>
      </c>
      <c r="S3634" t="s">
        <v>524</v>
      </c>
      <c r="T3634" t="s">
        <v>525</v>
      </c>
    </row>
    <row r="3635" spans="1:20" x14ac:dyDescent="0.25">
      <c r="A3635" t="s">
        <v>30</v>
      </c>
      <c r="B3635" t="s">
        <v>31</v>
      </c>
      <c r="C3635" t="s">
        <v>32</v>
      </c>
      <c r="D3635" t="s">
        <v>522</v>
      </c>
      <c r="E3635" t="s">
        <v>565</v>
      </c>
      <c r="F3635" t="s">
        <v>35</v>
      </c>
      <c r="G3635" t="s">
        <v>35</v>
      </c>
      <c r="H3635" t="s">
        <v>35</v>
      </c>
      <c r="J3635" t="s">
        <v>4336</v>
      </c>
      <c r="K3635" t="s">
        <v>1092</v>
      </c>
      <c r="M3635">
        <v>1.17</v>
      </c>
      <c r="N3635">
        <v>145</v>
      </c>
      <c r="O3635" t="s">
        <v>38</v>
      </c>
      <c r="Q3635" t="s">
        <v>408</v>
      </c>
      <c r="R3635" t="s">
        <v>548</v>
      </c>
      <c r="S3635" t="s">
        <v>524</v>
      </c>
      <c r="T3635" t="s">
        <v>525</v>
      </c>
    </row>
    <row r="3636" spans="1:20" x14ac:dyDescent="0.25">
      <c r="A3636" t="s">
        <v>30</v>
      </c>
      <c r="B3636" t="s">
        <v>31</v>
      </c>
      <c r="C3636" t="s">
        <v>32</v>
      </c>
      <c r="D3636" t="s">
        <v>522</v>
      </c>
      <c r="E3636" t="s">
        <v>523</v>
      </c>
      <c r="F3636" t="s">
        <v>35</v>
      </c>
      <c r="G3636" t="s">
        <v>35</v>
      </c>
      <c r="H3636" t="s">
        <v>35</v>
      </c>
      <c r="J3636" t="s">
        <v>3935</v>
      </c>
      <c r="K3636" t="s">
        <v>1092</v>
      </c>
      <c r="M3636">
        <v>9.8550000000000004</v>
      </c>
      <c r="N3636">
        <v>38</v>
      </c>
      <c r="O3636" t="s">
        <v>52</v>
      </c>
      <c r="Q3636" t="s">
        <v>716</v>
      </c>
      <c r="R3636" t="s">
        <v>548</v>
      </c>
      <c r="S3636" t="s">
        <v>524</v>
      </c>
      <c r="T3636" t="s">
        <v>525</v>
      </c>
    </row>
    <row r="3637" spans="1:20" x14ac:dyDescent="0.25">
      <c r="A3637" t="s">
        <v>59</v>
      </c>
      <c r="B3637" t="s">
        <v>60</v>
      </c>
      <c r="C3637" t="s">
        <v>32</v>
      </c>
      <c r="D3637" t="s">
        <v>522</v>
      </c>
      <c r="E3637" t="s">
        <v>543</v>
      </c>
      <c r="F3637" t="s">
        <v>35</v>
      </c>
      <c r="G3637" t="s">
        <v>35</v>
      </c>
      <c r="H3637" t="s">
        <v>35</v>
      </c>
      <c r="J3637" t="s">
        <v>544</v>
      </c>
      <c r="K3637" t="s">
        <v>37</v>
      </c>
      <c r="M3637">
        <v>10</v>
      </c>
      <c r="N3637">
        <v>25</v>
      </c>
      <c r="O3637" t="s">
        <v>46</v>
      </c>
      <c r="P3637" t="s">
        <v>546</v>
      </c>
      <c r="Q3637" t="s">
        <v>547</v>
      </c>
      <c r="R3637" t="s">
        <v>548</v>
      </c>
      <c r="S3637" t="s">
        <v>524</v>
      </c>
      <c r="T3637" t="s">
        <v>525</v>
      </c>
    </row>
    <row r="3638" spans="1:20" x14ac:dyDescent="0.25">
      <c r="A3638" t="s">
        <v>30</v>
      </c>
      <c r="B3638" t="s">
        <v>31</v>
      </c>
      <c r="C3638" t="s">
        <v>32</v>
      </c>
      <c r="D3638" t="s">
        <v>522</v>
      </c>
      <c r="E3638" t="s">
        <v>543</v>
      </c>
      <c r="F3638" t="s">
        <v>35</v>
      </c>
      <c r="G3638" t="s">
        <v>35</v>
      </c>
      <c r="H3638" t="s">
        <v>35</v>
      </c>
      <c r="J3638" t="s">
        <v>4146</v>
      </c>
      <c r="K3638" t="s">
        <v>1092</v>
      </c>
      <c r="M3638">
        <v>0.94499999999999995</v>
      </c>
      <c r="N3638">
        <v>257</v>
      </c>
      <c r="O3638" t="s">
        <v>5</v>
      </c>
      <c r="Q3638" t="s">
        <v>1721</v>
      </c>
      <c r="R3638" t="s">
        <v>548</v>
      </c>
      <c r="S3638" t="s">
        <v>524</v>
      </c>
      <c r="T3638" t="s">
        <v>525</v>
      </c>
    </row>
    <row r="3639" spans="1:20" x14ac:dyDescent="0.25">
      <c r="A3639" t="s">
        <v>30</v>
      </c>
      <c r="B3639" t="s">
        <v>31</v>
      </c>
      <c r="C3639" t="s">
        <v>32</v>
      </c>
      <c r="D3639" t="s">
        <v>522</v>
      </c>
      <c r="E3639" t="s">
        <v>523</v>
      </c>
      <c r="F3639" t="s">
        <v>35</v>
      </c>
      <c r="G3639" t="s">
        <v>35</v>
      </c>
      <c r="H3639" t="s">
        <v>35</v>
      </c>
      <c r="J3639" t="s">
        <v>3963</v>
      </c>
      <c r="K3639" t="s">
        <v>1092</v>
      </c>
      <c r="M3639">
        <v>2.7</v>
      </c>
      <c r="N3639">
        <v>38</v>
      </c>
      <c r="O3639" t="s">
        <v>52</v>
      </c>
      <c r="Q3639" t="s">
        <v>716</v>
      </c>
      <c r="R3639" t="s">
        <v>548</v>
      </c>
      <c r="S3639" t="s">
        <v>524</v>
      </c>
      <c r="T3639" t="s">
        <v>525</v>
      </c>
    </row>
    <row r="3640" spans="1:20" x14ac:dyDescent="0.25">
      <c r="A3640" t="s">
        <v>30</v>
      </c>
      <c r="B3640" t="s">
        <v>31</v>
      </c>
      <c r="C3640" t="s">
        <v>32</v>
      </c>
      <c r="D3640" t="s">
        <v>522</v>
      </c>
      <c r="E3640" t="s">
        <v>561</v>
      </c>
      <c r="F3640" t="s">
        <v>35</v>
      </c>
      <c r="G3640" t="s">
        <v>35</v>
      </c>
      <c r="H3640" t="s">
        <v>35</v>
      </c>
      <c r="J3640" t="s">
        <v>4298</v>
      </c>
      <c r="K3640" t="s">
        <v>1092</v>
      </c>
      <c r="M3640">
        <v>0.495</v>
      </c>
      <c r="N3640">
        <v>126</v>
      </c>
      <c r="O3640" t="s">
        <v>38</v>
      </c>
      <c r="Q3640" t="s">
        <v>68</v>
      </c>
      <c r="R3640" t="s">
        <v>548</v>
      </c>
      <c r="S3640" t="s">
        <v>524</v>
      </c>
      <c r="T3640" t="s">
        <v>525</v>
      </c>
    </row>
    <row r="3641" spans="1:20" x14ac:dyDescent="0.25">
      <c r="A3641" t="s">
        <v>30</v>
      </c>
      <c r="B3641" t="s">
        <v>31</v>
      </c>
      <c r="C3641" t="s">
        <v>32</v>
      </c>
      <c r="D3641" t="s">
        <v>522</v>
      </c>
      <c r="E3641" t="s">
        <v>561</v>
      </c>
      <c r="F3641" t="s">
        <v>35</v>
      </c>
      <c r="G3641" t="s">
        <v>35</v>
      </c>
      <c r="H3641" t="s">
        <v>35</v>
      </c>
      <c r="J3641" t="s">
        <v>4254</v>
      </c>
      <c r="K3641" t="s">
        <v>1092</v>
      </c>
      <c r="M3641">
        <v>0.54</v>
      </c>
      <c r="N3641">
        <v>145</v>
      </c>
      <c r="O3641" t="s">
        <v>38</v>
      </c>
      <c r="Q3641" t="s">
        <v>408</v>
      </c>
      <c r="R3641" t="s">
        <v>548</v>
      </c>
      <c r="S3641" t="s">
        <v>524</v>
      </c>
      <c r="T3641" t="s">
        <v>525</v>
      </c>
    </row>
    <row r="3642" spans="1:20" x14ac:dyDescent="0.25">
      <c r="A3642" t="s">
        <v>30</v>
      </c>
      <c r="B3642" t="s">
        <v>31</v>
      </c>
      <c r="C3642" t="s">
        <v>32</v>
      </c>
      <c r="D3642" t="s">
        <v>522</v>
      </c>
      <c r="E3642" t="s">
        <v>523</v>
      </c>
      <c r="F3642" t="s">
        <v>35</v>
      </c>
      <c r="G3642" t="s">
        <v>35</v>
      </c>
      <c r="H3642" t="s">
        <v>35</v>
      </c>
      <c r="J3642" t="s">
        <v>4025</v>
      </c>
      <c r="K3642" t="s">
        <v>1092</v>
      </c>
      <c r="M3642">
        <v>9.6750000000000007</v>
      </c>
      <c r="N3642">
        <v>62</v>
      </c>
      <c r="O3642" t="s">
        <v>61</v>
      </c>
      <c r="Q3642" t="s">
        <v>139</v>
      </c>
      <c r="R3642" t="s">
        <v>548</v>
      </c>
      <c r="S3642" t="s">
        <v>524</v>
      </c>
      <c r="T3642" t="s">
        <v>525</v>
      </c>
    </row>
    <row r="3643" spans="1:20" x14ac:dyDescent="0.25">
      <c r="A3643" t="s">
        <v>59</v>
      </c>
      <c r="B3643" t="s">
        <v>60</v>
      </c>
      <c r="C3643" t="s">
        <v>32</v>
      </c>
      <c r="D3643" t="s">
        <v>522</v>
      </c>
      <c r="E3643" t="s">
        <v>523</v>
      </c>
      <c r="F3643" t="s">
        <v>35</v>
      </c>
      <c r="G3643" t="s">
        <v>35</v>
      </c>
      <c r="H3643" t="s">
        <v>35</v>
      </c>
      <c r="J3643" t="s">
        <v>4025</v>
      </c>
      <c r="K3643" t="s">
        <v>1092</v>
      </c>
      <c r="M3643">
        <v>0.75</v>
      </c>
      <c r="N3643">
        <v>149</v>
      </c>
      <c r="O3643" t="s">
        <v>38</v>
      </c>
      <c r="Q3643" t="s">
        <v>75</v>
      </c>
      <c r="R3643" t="s">
        <v>548</v>
      </c>
      <c r="S3643" t="s">
        <v>524</v>
      </c>
      <c r="T3643" t="s">
        <v>525</v>
      </c>
    </row>
    <row r="3644" spans="1:20" x14ac:dyDescent="0.25">
      <c r="A3644" t="s">
        <v>30</v>
      </c>
      <c r="B3644" t="s">
        <v>31</v>
      </c>
      <c r="C3644" t="s">
        <v>32</v>
      </c>
      <c r="D3644" t="s">
        <v>522</v>
      </c>
      <c r="E3644" t="s">
        <v>533</v>
      </c>
      <c r="F3644" t="s">
        <v>35</v>
      </c>
      <c r="G3644" t="s">
        <v>35</v>
      </c>
      <c r="H3644" t="s">
        <v>35</v>
      </c>
      <c r="J3644" t="s">
        <v>4077</v>
      </c>
      <c r="K3644" t="s">
        <v>1092</v>
      </c>
      <c r="M3644">
        <v>0.13500000000000001</v>
      </c>
      <c r="N3644">
        <v>143</v>
      </c>
      <c r="O3644" t="s">
        <v>38</v>
      </c>
      <c r="Q3644" t="s">
        <v>1612</v>
      </c>
      <c r="R3644" t="s">
        <v>548</v>
      </c>
      <c r="S3644" t="s">
        <v>524</v>
      </c>
      <c r="T3644" t="s">
        <v>525</v>
      </c>
    </row>
    <row r="3645" spans="1:20" x14ac:dyDescent="0.25">
      <c r="A3645" t="s">
        <v>30</v>
      </c>
      <c r="B3645" t="s">
        <v>31</v>
      </c>
      <c r="C3645" t="s">
        <v>32</v>
      </c>
      <c r="D3645" t="s">
        <v>522</v>
      </c>
      <c r="E3645" t="s">
        <v>523</v>
      </c>
      <c r="F3645" t="s">
        <v>35</v>
      </c>
      <c r="G3645" t="s">
        <v>35</v>
      </c>
      <c r="H3645" t="s">
        <v>35</v>
      </c>
      <c r="J3645" t="s">
        <v>4030</v>
      </c>
      <c r="K3645" t="s">
        <v>1092</v>
      </c>
      <c r="M3645">
        <v>0.54</v>
      </c>
      <c r="N3645">
        <v>7</v>
      </c>
      <c r="O3645" t="s">
        <v>46</v>
      </c>
      <c r="Q3645" t="s">
        <v>2440</v>
      </c>
      <c r="R3645" t="s">
        <v>548</v>
      </c>
      <c r="S3645" t="s">
        <v>524</v>
      </c>
      <c r="T3645" t="s">
        <v>525</v>
      </c>
    </row>
    <row r="3646" spans="1:20" x14ac:dyDescent="0.25">
      <c r="A3646" t="s">
        <v>30</v>
      </c>
      <c r="B3646" t="s">
        <v>31</v>
      </c>
      <c r="C3646" t="s">
        <v>32</v>
      </c>
      <c r="D3646" t="s">
        <v>522</v>
      </c>
      <c r="E3646" t="s">
        <v>523</v>
      </c>
      <c r="F3646" t="s">
        <v>35</v>
      </c>
      <c r="G3646" t="s">
        <v>35</v>
      </c>
      <c r="H3646" t="s">
        <v>35</v>
      </c>
      <c r="J3646" t="s">
        <v>4030</v>
      </c>
      <c r="K3646" t="s">
        <v>1092</v>
      </c>
      <c r="M3646">
        <v>8.6850000000000005</v>
      </c>
      <c r="N3646">
        <v>62</v>
      </c>
      <c r="O3646" t="s">
        <v>61</v>
      </c>
      <c r="Q3646" t="s">
        <v>139</v>
      </c>
      <c r="R3646" t="s">
        <v>548</v>
      </c>
      <c r="S3646" t="s">
        <v>524</v>
      </c>
      <c r="T3646" t="s">
        <v>525</v>
      </c>
    </row>
    <row r="3647" spans="1:20" x14ac:dyDescent="0.25">
      <c r="A3647" t="s">
        <v>30</v>
      </c>
      <c r="B3647" t="s">
        <v>31</v>
      </c>
      <c r="C3647" t="s">
        <v>32</v>
      </c>
      <c r="D3647" t="s">
        <v>522</v>
      </c>
      <c r="E3647" t="s">
        <v>523</v>
      </c>
      <c r="F3647" t="s">
        <v>35</v>
      </c>
      <c r="G3647" t="s">
        <v>35</v>
      </c>
      <c r="H3647" t="s">
        <v>35</v>
      </c>
      <c r="J3647" t="s">
        <v>3983</v>
      </c>
      <c r="K3647" t="s">
        <v>1092</v>
      </c>
      <c r="M3647">
        <v>0.13500000000000001</v>
      </c>
      <c r="N3647">
        <v>25</v>
      </c>
      <c r="O3647" t="s">
        <v>46</v>
      </c>
      <c r="Q3647" t="s">
        <v>547</v>
      </c>
      <c r="R3647" t="s">
        <v>548</v>
      </c>
      <c r="S3647" t="s">
        <v>524</v>
      </c>
      <c r="T3647" t="s">
        <v>525</v>
      </c>
    </row>
    <row r="3648" spans="1:20" x14ac:dyDescent="0.25">
      <c r="A3648" t="s">
        <v>30</v>
      </c>
      <c r="B3648" t="s">
        <v>31</v>
      </c>
      <c r="C3648" t="s">
        <v>32</v>
      </c>
      <c r="D3648" t="s">
        <v>522</v>
      </c>
      <c r="F3648" t="s">
        <v>35</v>
      </c>
      <c r="G3648" t="s">
        <v>35</v>
      </c>
      <c r="H3648" t="s">
        <v>35</v>
      </c>
      <c r="J3648" t="s">
        <v>3689</v>
      </c>
      <c r="K3648" t="s">
        <v>1092</v>
      </c>
      <c r="M3648">
        <v>5.085</v>
      </c>
      <c r="N3648">
        <v>1215</v>
      </c>
      <c r="O3648" t="s">
        <v>575</v>
      </c>
      <c r="Q3648" t="s">
        <v>2434</v>
      </c>
      <c r="R3648" t="s">
        <v>548</v>
      </c>
      <c r="S3648" t="s">
        <v>524</v>
      </c>
      <c r="T3648" t="s">
        <v>525</v>
      </c>
    </row>
    <row r="3649" spans="1:20" x14ac:dyDescent="0.25">
      <c r="A3649" t="s">
        <v>30</v>
      </c>
      <c r="B3649" t="s">
        <v>31</v>
      </c>
      <c r="C3649" t="s">
        <v>32</v>
      </c>
      <c r="D3649" t="s">
        <v>522</v>
      </c>
      <c r="E3649" t="s">
        <v>533</v>
      </c>
      <c r="F3649" t="s">
        <v>35</v>
      </c>
      <c r="G3649" t="s">
        <v>35</v>
      </c>
      <c r="H3649" t="s">
        <v>35</v>
      </c>
      <c r="J3649" t="s">
        <v>4049</v>
      </c>
      <c r="K3649" t="s">
        <v>1092</v>
      </c>
      <c r="M3649">
        <v>5.9850000000000003</v>
      </c>
      <c r="N3649">
        <v>143</v>
      </c>
      <c r="O3649" t="s">
        <v>38</v>
      </c>
      <c r="Q3649" t="s">
        <v>1612</v>
      </c>
      <c r="R3649" t="s">
        <v>548</v>
      </c>
      <c r="S3649" t="s">
        <v>524</v>
      </c>
      <c r="T3649" t="s">
        <v>525</v>
      </c>
    </row>
    <row r="3650" spans="1:20" x14ac:dyDescent="0.25">
      <c r="A3650" t="s">
        <v>59</v>
      </c>
      <c r="B3650" t="s">
        <v>31</v>
      </c>
      <c r="C3650" t="s">
        <v>32</v>
      </c>
      <c r="D3650" t="s">
        <v>522</v>
      </c>
      <c r="E3650" t="s">
        <v>523</v>
      </c>
      <c r="F3650" t="s">
        <v>35</v>
      </c>
      <c r="G3650" t="s">
        <v>35</v>
      </c>
      <c r="H3650" t="s">
        <v>35</v>
      </c>
      <c r="J3650" t="s">
        <v>3969</v>
      </c>
      <c r="K3650" t="s">
        <v>1092</v>
      </c>
      <c r="M3650">
        <v>1.2150000000000001</v>
      </c>
      <c r="N3650">
        <v>62</v>
      </c>
      <c r="O3650" t="s">
        <v>61</v>
      </c>
      <c r="Q3650" t="s">
        <v>139</v>
      </c>
      <c r="R3650" t="s">
        <v>548</v>
      </c>
      <c r="S3650" t="s">
        <v>524</v>
      </c>
      <c r="T3650" t="s">
        <v>525</v>
      </c>
    </row>
    <row r="3651" spans="1:20" x14ac:dyDescent="0.25">
      <c r="A3651" t="s">
        <v>30</v>
      </c>
      <c r="B3651" t="s">
        <v>31</v>
      </c>
      <c r="C3651" t="s">
        <v>32</v>
      </c>
      <c r="D3651" t="s">
        <v>522</v>
      </c>
      <c r="E3651" t="s">
        <v>523</v>
      </c>
      <c r="F3651" t="s">
        <v>35</v>
      </c>
      <c r="G3651" t="s">
        <v>35</v>
      </c>
      <c r="H3651" t="s">
        <v>35</v>
      </c>
      <c r="J3651" t="s">
        <v>3969</v>
      </c>
      <c r="K3651" t="s">
        <v>1092</v>
      </c>
      <c r="M3651">
        <v>1.575</v>
      </c>
      <c r="N3651">
        <v>25</v>
      </c>
      <c r="O3651" t="s">
        <v>46</v>
      </c>
      <c r="Q3651" t="s">
        <v>547</v>
      </c>
      <c r="R3651" t="s">
        <v>548</v>
      </c>
      <c r="S3651" t="s">
        <v>524</v>
      </c>
      <c r="T3651" t="s">
        <v>525</v>
      </c>
    </row>
    <row r="3652" spans="1:20" x14ac:dyDescent="0.25">
      <c r="A3652" t="s">
        <v>44</v>
      </c>
      <c r="B3652" t="s">
        <v>51</v>
      </c>
      <c r="C3652" t="s">
        <v>32</v>
      </c>
      <c r="D3652" t="s">
        <v>522</v>
      </c>
      <c r="E3652" t="s">
        <v>523</v>
      </c>
      <c r="F3652" t="s">
        <v>35</v>
      </c>
      <c r="G3652" t="s">
        <v>35</v>
      </c>
      <c r="H3652" t="s">
        <v>35</v>
      </c>
      <c r="J3652" t="s">
        <v>3969</v>
      </c>
      <c r="K3652" t="s">
        <v>1092</v>
      </c>
      <c r="M3652">
        <v>0.75</v>
      </c>
      <c r="N3652">
        <v>62</v>
      </c>
      <c r="O3652" t="s">
        <v>61</v>
      </c>
      <c r="Q3652" t="s">
        <v>139</v>
      </c>
      <c r="R3652" t="s">
        <v>548</v>
      </c>
      <c r="S3652" t="s">
        <v>524</v>
      </c>
      <c r="T3652" t="s">
        <v>525</v>
      </c>
    </row>
    <row r="3653" spans="1:20" x14ac:dyDescent="0.25">
      <c r="A3653" t="s">
        <v>44</v>
      </c>
      <c r="B3653" t="s">
        <v>51</v>
      </c>
      <c r="C3653" t="s">
        <v>32</v>
      </c>
      <c r="D3653" t="s">
        <v>522</v>
      </c>
      <c r="E3653" t="s">
        <v>523</v>
      </c>
      <c r="F3653" t="s">
        <v>35</v>
      </c>
      <c r="G3653" t="s">
        <v>35</v>
      </c>
      <c r="H3653" t="s">
        <v>35</v>
      </c>
      <c r="J3653" t="s">
        <v>3969</v>
      </c>
      <c r="K3653" t="s">
        <v>1092</v>
      </c>
      <c r="M3653">
        <v>0.75</v>
      </c>
      <c r="N3653">
        <v>65</v>
      </c>
      <c r="O3653" t="s">
        <v>61</v>
      </c>
      <c r="Q3653" t="s">
        <v>63</v>
      </c>
      <c r="R3653" t="s">
        <v>548</v>
      </c>
      <c r="S3653" t="s">
        <v>524</v>
      </c>
      <c r="T3653" t="s">
        <v>525</v>
      </c>
    </row>
    <row r="3654" spans="1:20" x14ac:dyDescent="0.25">
      <c r="A3654" t="s">
        <v>44</v>
      </c>
      <c r="B3654" t="s">
        <v>51</v>
      </c>
      <c r="C3654" t="s">
        <v>32</v>
      </c>
      <c r="D3654" t="s">
        <v>522</v>
      </c>
      <c r="E3654" t="s">
        <v>523</v>
      </c>
      <c r="F3654" t="s">
        <v>35</v>
      </c>
      <c r="G3654" t="s">
        <v>35</v>
      </c>
      <c r="H3654" t="s">
        <v>35</v>
      </c>
      <c r="J3654" t="s">
        <v>3969</v>
      </c>
      <c r="K3654" t="s">
        <v>1092</v>
      </c>
      <c r="M3654">
        <v>0.5</v>
      </c>
      <c r="N3654">
        <v>48</v>
      </c>
      <c r="O3654" t="s">
        <v>52</v>
      </c>
      <c r="Q3654" t="s">
        <v>518</v>
      </c>
      <c r="R3654" t="s">
        <v>548</v>
      </c>
      <c r="S3654" t="s">
        <v>524</v>
      </c>
      <c r="T3654" t="s">
        <v>525</v>
      </c>
    </row>
    <row r="3655" spans="1:20" x14ac:dyDescent="0.25">
      <c r="A3655" t="s">
        <v>30</v>
      </c>
      <c r="B3655" t="s">
        <v>31</v>
      </c>
      <c r="C3655" t="s">
        <v>32</v>
      </c>
      <c r="D3655" t="s">
        <v>522</v>
      </c>
      <c r="E3655" t="s">
        <v>523</v>
      </c>
      <c r="F3655" t="s">
        <v>35</v>
      </c>
      <c r="G3655" t="s">
        <v>35</v>
      </c>
      <c r="H3655" t="s">
        <v>35</v>
      </c>
      <c r="J3655" t="s">
        <v>3969</v>
      </c>
      <c r="K3655" t="s">
        <v>1092</v>
      </c>
      <c r="M3655">
        <v>2.0249999999999999</v>
      </c>
      <c r="N3655">
        <v>7</v>
      </c>
      <c r="O3655" t="s">
        <v>46</v>
      </c>
      <c r="Q3655" t="s">
        <v>2440</v>
      </c>
      <c r="R3655" t="s">
        <v>548</v>
      </c>
      <c r="S3655" t="s">
        <v>524</v>
      </c>
      <c r="T3655" t="s">
        <v>525</v>
      </c>
    </row>
    <row r="3656" spans="1:20" x14ac:dyDescent="0.25">
      <c r="A3656" t="s">
        <v>59</v>
      </c>
      <c r="B3656" t="s">
        <v>31</v>
      </c>
      <c r="C3656" t="s">
        <v>32</v>
      </c>
      <c r="D3656" t="s">
        <v>522</v>
      </c>
      <c r="E3656" t="s">
        <v>561</v>
      </c>
      <c r="F3656" t="s">
        <v>35</v>
      </c>
      <c r="G3656" t="s">
        <v>35</v>
      </c>
      <c r="H3656" t="s">
        <v>35</v>
      </c>
      <c r="J3656" t="s">
        <v>4265</v>
      </c>
      <c r="K3656" t="s">
        <v>1092</v>
      </c>
      <c r="M3656">
        <v>4.5</v>
      </c>
      <c r="N3656">
        <v>131</v>
      </c>
      <c r="O3656" t="s">
        <v>38</v>
      </c>
      <c r="Q3656" t="s">
        <v>542</v>
      </c>
      <c r="R3656" t="s">
        <v>548</v>
      </c>
      <c r="S3656" t="s">
        <v>524</v>
      </c>
      <c r="T3656" t="s">
        <v>525</v>
      </c>
    </row>
    <row r="3657" spans="1:20" x14ac:dyDescent="0.25">
      <c r="A3657" t="s">
        <v>30</v>
      </c>
      <c r="B3657" t="s">
        <v>31</v>
      </c>
      <c r="C3657" t="s">
        <v>32</v>
      </c>
      <c r="D3657" t="s">
        <v>522</v>
      </c>
      <c r="E3657" t="s">
        <v>523</v>
      </c>
      <c r="F3657" t="s">
        <v>35</v>
      </c>
      <c r="G3657" t="s">
        <v>35</v>
      </c>
      <c r="H3657" t="s">
        <v>35</v>
      </c>
      <c r="J3657" t="s">
        <v>4026</v>
      </c>
      <c r="K3657" t="s">
        <v>1092</v>
      </c>
      <c r="M3657">
        <v>5.49</v>
      </c>
      <c r="N3657">
        <v>38</v>
      </c>
      <c r="O3657" t="s">
        <v>52</v>
      </c>
      <c r="Q3657" t="s">
        <v>716</v>
      </c>
      <c r="R3657" t="s">
        <v>548</v>
      </c>
      <c r="S3657" t="s">
        <v>524</v>
      </c>
      <c r="T3657" t="s">
        <v>525</v>
      </c>
    </row>
    <row r="3658" spans="1:20" x14ac:dyDescent="0.25">
      <c r="A3658" t="s">
        <v>30</v>
      </c>
      <c r="B3658" t="s">
        <v>31</v>
      </c>
      <c r="C3658" t="s">
        <v>32</v>
      </c>
      <c r="D3658" t="s">
        <v>522</v>
      </c>
      <c r="E3658" t="s">
        <v>523</v>
      </c>
      <c r="F3658" t="s">
        <v>35</v>
      </c>
      <c r="G3658" t="s">
        <v>35</v>
      </c>
      <c r="H3658" t="s">
        <v>35</v>
      </c>
      <c r="J3658" t="s">
        <v>4017</v>
      </c>
      <c r="K3658" t="s">
        <v>1092</v>
      </c>
      <c r="M3658">
        <v>7.65</v>
      </c>
      <c r="N3658">
        <v>38</v>
      </c>
      <c r="O3658" t="s">
        <v>52</v>
      </c>
      <c r="Q3658" t="s">
        <v>716</v>
      </c>
      <c r="R3658" t="s">
        <v>548</v>
      </c>
      <c r="S3658" t="s">
        <v>524</v>
      </c>
      <c r="T3658" t="s">
        <v>525</v>
      </c>
    </row>
    <row r="3659" spans="1:20" x14ac:dyDescent="0.25">
      <c r="A3659" t="s">
        <v>44</v>
      </c>
      <c r="B3659" t="s">
        <v>51</v>
      </c>
      <c r="C3659" t="s">
        <v>32</v>
      </c>
      <c r="D3659" t="s">
        <v>522</v>
      </c>
      <c r="E3659" t="s">
        <v>523</v>
      </c>
      <c r="F3659" t="s">
        <v>35</v>
      </c>
      <c r="G3659" t="s">
        <v>35</v>
      </c>
      <c r="H3659" t="s">
        <v>35</v>
      </c>
      <c r="J3659" t="s">
        <v>4017</v>
      </c>
      <c r="K3659" t="s">
        <v>1092</v>
      </c>
      <c r="M3659">
        <v>1</v>
      </c>
      <c r="N3659">
        <v>59</v>
      </c>
      <c r="O3659" t="s">
        <v>52</v>
      </c>
      <c r="Q3659" t="s">
        <v>203</v>
      </c>
      <c r="R3659" t="s">
        <v>548</v>
      </c>
      <c r="S3659" t="s">
        <v>524</v>
      </c>
      <c r="T3659" t="s">
        <v>525</v>
      </c>
    </row>
    <row r="3660" spans="1:20" x14ac:dyDescent="0.25">
      <c r="A3660" t="s">
        <v>30</v>
      </c>
      <c r="B3660" t="s">
        <v>31</v>
      </c>
      <c r="C3660" t="s">
        <v>32</v>
      </c>
      <c r="D3660" t="s">
        <v>522</v>
      </c>
      <c r="E3660" t="s">
        <v>523</v>
      </c>
      <c r="F3660" t="s">
        <v>35</v>
      </c>
      <c r="G3660" t="s">
        <v>35</v>
      </c>
      <c r="H3660" t="s">
        <v>35</v>
      </c>
      <c r="J3660" t="s">
        <v>4017</v>
      </c>
      <c r="K3660" t="s">
        <v>1092</v>
      </c>
      <c r="M3660">
        <v>0.9</v>
      </c>
      <c r="N3660">
        <v>6</v>
      </c>
      <c r="O3660" t="s">
        <v>46</v>
      </c>
      <c r="Q3660" t="s">
        <v>310</v>
      </c>
      <c r="R3660" t="s">
        <v>548</v>
      </c>
      <c r="S3660" t="s">
        <v>524</v>
      </c>
      <c r="T3660" t="s">
        <v>525</v>
      </c>
    </row>
    <row r="3661" spans="1:20" x14ac:dyDescent="0.25">
      <c r="A3661" t="s">
        <v>30</v>
      </c>
      <c r="B3661" t="s">
        <v>31</v>
      </c>
      <c r="C3661" t="s">
        <v>32</v>
      </c>
      <c r="D3661" t="s">
        <v>522</v>
      </c>
      <c r="E3661" t="s">
        <v>523</v>
      </c>
      <c r="F3661" t="s">
        <v>35</v>
      </c>
      <c r="G3661" t="s">
        <v>35</v>
      </c>
      <c r="H3661" t="s">
        <v>35</v>
      </c>
      <c r="J3661" t="s">
        <v>4017</v>
      </c>
      <c r="K3661" t="s">
        <v>1092</v>
      </c>
      <c r="M3661">
        <v>1.8</v>
      </c>
      <c r="N3661">
        <v>7</v>
      </c>
      <c r="O3661" t="s">
        <v>46</v>
      </c>
      <c r="Q3661" t="s">
        <v>2440</v>
      </c>
      <c r="R3661" t="s">
        <v>548</v>
      </c>
      <c r="S3661" t="s">
        <v>524</v>
      </c>
      <c r="T3661" t="s">
        <v>525</v>
      </c>
    </row>
    <row r="3662" spans="1:20" x14ac:dyDescent="0.25">
      <c r="A3662" t="s">
        <v>30</v>
      </c>
      <c r="B3662" t="s">
        <v>31</v>
      </c>
      <c r="C3662" t="s">
        <v>32</v>
      </c>
      <c r="D3662" t="s">
        <v>522</v>
      </c>
      <c r="E3662" t="s">
        <v>523</v>
      </c>
      <c r="F3662" t="s">
        <v>35</v>
      </c>
      <c r="G3662" t="s">
        <v>35</v>
      </c>
      <c r="H3662" t="s">
        <v>35</v>
      </c>
      <c r="J3662" t="s">
        <v>4017</v>
      </c>
      <c r="K3662" t="s">
        <v>1092</v>
      </c>
      <c r="M3662">
        <v>0.9</v>
      </c>
      <c r="N3662">
        <v>25</v>
      </c>
      <c r="O3662" t="s">
        <v>46</v>
      </c>
      <c r="Q3662" t="s">
        <v>547</v>
      </c>
      <c r="R3662" t="s">
        <v>548</v>
      </c>
      <c r="S3662" t="s">
        <v>524</v>
      </c>
      <c r="T3662" t="s">
        <v>525</v>
      </c>
    </row>
    <row r="3663" spans="1:20" x14ac:dyDescent="0.25">
      <c r="A3663" t="s">
        <v>30</v>
      </c>
      <c r="B3663" t="s">
        <v>31</v>
      </c>
      <c r="C3663" t="s">
        <v>32</v>
      </c>
      <c r="D3663" t="s">
        <v>522</v>
      </c>
      <c r="E3663" t="s">
        <v>523</v>
      </c>
      <c r="F3663" t="s">
        <v>35</v>
      </c>
      <c r="G3663" t="s">
        <v>35</v>
      </c>
      <c r="H3663" t="s">
        <v>35</v>
      </c>
      <c r="J3663" t="s">
        <v>4017</v>
      </c>
      <c r="K3663" t="s">
        <v>1092</v>
      </c>
      <c r="M3663">
        <v>0.67500000000000004</v>
      </c>
      <c r="N3663">
        <v>26</v>
      </c>
      <c r="O3663" t="s">
        <v>46</v>
      </c>
      <c r="Q3663" t="s">
        <v>137</v>
      </c>
      <c r="R3663" t="s">
        <v>548</v>
      </c>
      <c r="S3663" t="s">
        <v>524</v>
      </c>
      <c r="T3663" t="s">
        <v>525</v>
      </c>
    </row>
    <row r="3664" spans="1:20" x14ac:dyDescent="0.25">
      <c r="A3664" t="s">
        <v>44</v>
      </c>
      <c r="B3664" t="s">
        <v>51</v>
      </c>
      <c r="C3664" t="s">
        <v>32</v>
      </c>
      <c r="D3664" t="s">
        <v>522</v>
      </c>
      <c r="E3664" t="s">
        <v>523</v>
      </c>
      <c r="F3664" t="s">
        <v>35</v>
      </c>
      <c r="G3664" t="s">
        <v>35</v>
      </c>
      <c r="H3664" t="s">
        <v>35</v>
      </c>
      <c r="J3664" t="s">
        <v>4017</v>
      </c>
      <c r="K3664" t="s">
        <v>1092</v>
      </c>
      <c r="M3664">
        <v>1.25</v>
      </c>
      <c r="N3664">
        <v>62</v>
      </c>
      <c r="O3664" t="s">
        <v>61</v>
      </c>
      <c r="Q3664" t="s">
        <v>139</v>
      </c>
      <c r="R3664" t="s">
        <v>548</v>
      </c>
      <c r="S3664" t="s">
        <v>524</v>
      </c>
      <c r="T3664" t="s">
        <v>525</v>
      </c>
    </row>
    <row r="3665" spans="1:20" x14ac:dyDescent="0.25">
      <c r="A3665" t="s">
        <v>44</v>
      </c>
      <c r="B3665" t="s">
        <v>51</v>
      </c>
      <c r="C3665" t="s">
        <v>32</v>
      </c>
      <c r="D3665" t="s">
        <v>522</v>
      </c>
      <c r="E3665" t="s">
        <v>523</v>
      </c>
      <c r="F3665" t="s">
        <v>35</v>
      </c>
      <c r="G3665" t="s">
        <v>35</v>
      </c>
      <c r="H3665" t="s">
        <v>35</v>
      </c>
      <c r="J3665" t="s">
        <v>4017</v>
      </c>
      <c r="K3665" t="s">
        <v>1092</v>
      </c>
      <c r="M3665">
        <v>0.5</v>
      </c>
      <c r="N3665">
        <v>65</v>
      </c>
      <c r="O3665" t="s">
        <v>61</v>
      </c>
      <c r="Q3665" t="s">
        <v>63</v>
      </c>
      <c r="R3665" t="s">
        <v>548</v>
      </c>
      <c r="S3665" t="s">
        <v>524</v>
      </c>
      <c r="T3665" t="s">
        <v>525</v>
      </c>
    </row>
    <row r="3666" spans="1:20" x14ac:dyDescent="0.25">
      <c r="A3666" t="s">
        <v>44</v>
      </c>
      <c r="B3666" t="s">
        <v>51</v>
      </c>
      <c r="C3666" t="s">
        <v>32</v>
      </c>
      <c r="D3666" t="s">
        <v>522</v>
      </c>
      <c r="E3666" t="s">
        <v>523</v>
      </c>
      <c r="F3666" t="s">
        <v>35</v>
      </c>
      <c r="G3666" t="s">
        <v>35</v>
      </c>
      <c r="H3666" t="s">
        <v>35</v>
      </c>
      <c r="J3666" t="s">
        <v>4017</v>
      </c>
      <c r="K3666" t="s">
        <v>1092</v>
      </c>
      <c r="M3666">
        <v>2.5</v>
      </c>
      <c r="N3666">
        <v>73</v>
      </c>
      <c r="O3666" t="s">
        <v>61</v>
      </c>
      <c r="Q3666" t="s">
        <v>477</v>
      </c>
      <c r="R3666" t="s">
        <v>548</v>
      </c>
      <c r="S3666" t="s">
        <v>524</v>
      </c>
      <c r="T3666" t="s">
        <v>525</v>
      </c>
    </row>
    <row r="3667" spans="1:20" x14ac:dyDescent="0.25">
      <c r="A3667" t="s">
        <v>44</v>
      </c>
      <c r="B3667" t="s">
        <v>51</v>
      </c>
      <c r="C3667" t="s">
        <v>32</v>
      </c>
      <c r="D3667" t="s">
        <v>522</v>
      </c>
      <c r="E3667" t="s">
        <v>523</v>
      </c>
      <c r="F3667" t="s">
        <v>35</v>
      </c>
      <c r="G3667" t="s">
        <v>35</v>
      </c>
      <c r="H3667" t="s">
        <v>35</v>
      </c>
      <c r="J3667" t="s">
        <v>4017</v>
      </c>
      <c r="K3667" t="s">
        <v>1092</v>
      </c>
      <c r="M3667">
        <v>1.5</v>
      </c>
      <c r="N3667">
        <v>48</v>
      </c>
      <c r="O3667" t="s">
        <v>52</v>
      </c>
      <c r="Q3667" t="s">
        <v>518</v>
      </c>
      <c r="R3667" t="s">
        <v>548</v>
      </c>
      <c r="S3667" t="s">
        <v>524</v>
      </c>
      <c r="T3667" t="s">
        <v>525</v>
      </c>
    </row>
    <row r="3668" spans="1:20" x14ac:dyDescent="0.25">
      <c r="A3668" t="s">
        <v>59</v>
      </c>
      <c r="B3668" t="s">
        <v>60</v>
      </c>
      <c r="C3668" t="s">
        <v>32</v>
      </c>
      <c r="D3668" t="s">
        <v>522</v>
      </c>
      <c r="E3668" t="s">
        <v>4207</v>
      </c>
      <c r="F3668" t="s">
        <v>35</v>
      </c>
      <c r="G3668" t="s">
        <v>35</v>
      </c>
      <c r="H3668" t="s">
        <v>35</v>
      </c>
      <c r="J3668" t="s">
        <v>4216</v>
      </c>
      <c r="K3668" t="s">
        <v>1092</v>
      </c>
      <c r="M3668">
        <v>0.8</v>
      </c>
      <c r="N3668">
        <v>124</v>
      </c>
      <c r="O3668" t="s">
        <v>38</v>
      </c>
      <c r="Q3668" t="s">
        <v>646</v>
      </c>
      <c r="R3668" t="s">
        <v>548</v>
      </c>
      <c r="S3668" t="s">
        <v>524</v>
      </c>
      <c r="T3668" t="s">
        <v>525</v>
      </c>
    </row>
    <row r="3669" spans="1:20" x14ac:dyDescent="0.25">
      <c r="A3669" t="s">
        <v>59</v>
      </c>
      <c r="B3669" t="s">
        <v>31</v>
      </c>
      <c r="C3669" t="s">
        <v>32</v>
      </c>
      <c r="D3669" t="s">
        <v>522</v>
      </c>
      <c r="E3669" t="s">
        <v>543</v>
      </c>
      <c r="F3669" t="s">
        <v>35</v>
      </c>
      <c r="G3669" t="s">
        <v>35</v>
      </c>
      <c r="H3669" t="s">
        <v>35</v>
      </c>
      <c r="J3669" t="s">
        <v>4156</v>
      </c>
      <c r="K3669" t="s">
        <v>1092</v>
      </c>
      <c r="M3669">
        <v>5.1749999999999998</v>
      </c>
      <c r="N3669">
        <v>115</v>
      </c>
      <c r="O3669" t="s">
        <v>106</v>
      </c>
      <c r="Q3669" t="s">
        <v>3430</v>
      </c>
      <c r="R3669" t="s">
        <v>548</v>
      </c>
      <c r="S3669" t="s">
        <v>524</v>
      </c>
      <c r="T3669" t="s">
        <v>525</v>
      </c>
    </row>
    <row r="3670" spans="1:20" x14ac:dyDescent="0.25">
      <c r="A3670" t="s">
        <v>30</v>
      </c>
      <c r="B3670" t="s">
        <v>31</v>
      </c>
      <c r="C3670" t="s">
        <v>32</v>
      </c>
      <c r="D3670" t="s">
        <v>522</v>
      </c>
      <c r="E3670" t="s">
        <v>523</v>
      </c>
      <c r="F3670" t="s">
        <v>35</v>
      </c>
      <c r="G3670" t="s">
        <v>35</v>
      </c>
      <c r="H3670" t="s">
        <v>35</v>
      </c>
      <c r="J3670" t="s">
        <v>3974</v>
      </c>
      <c r="K3670" t="s">
        <v>1092</v>
      </c>
      <c r="M3670">
        <v>4.4999999999999998E-2</v>
      </c>
      <c r="N3670">
        <v>7</v>
      </c>
      <c r="O3670" t="s">
        <v>46</v>
      </c>
      <c r="Q3670" t="s">
        <v>2440</v>
      </c>
      <c r="R3670" t="s">
        <v>548</v>
      </c>
      <c r="S3670" t="s">
        <v>524</v>
      </c>
      <c r="T3670" t="s">
        <v>525</v>
      </c>
    </row>
    <row r="3671" spans="1:20" x14ac:dyDescent="0.25">
      <c r="A3671" t="s">
        <v>30</v>
      </c>
      <c r="B3671" t="s">
        <v>31</v>
      </c>
      <c r="C3671" t="s">
        <v>32</v>
      </c>
      <c r="D3671" t="s">
        <v>522</v>
      </c>
      <c r="E3671" t="s">
        <v>523</v>
      </c>
      <c r="F3671" t="s">
        <v>35</v>
      </c>
      <c r="G3671" t="s">
        <v>35</v>
      </c>
      <c r="H3671" t="s">
        <v>35</v>
      </c>
      <c r="J3671" t="s">
        <v>4024</v>
      </c>
      <c r="K3671" t="s">
        <v>1092</v>
      </c>
      <c r="M3671">
        <v>1.62</v>
      </c>
      <c r="N3671">
        <v>62</v>
      </c>
      <c r="O3671" t="s">
        <v>61</v>
      </c>
      <c r="Q3671" t="s">
        <v>139</v>
      </c>
      <c r="R3671" t="s">
        <v>548</v>
      </c>
      <c r="S3671" t="s">
        <v>524</v>
      </c>
      <c r="T3671" t="s">
        <v>525</v>
      </c>
    </row>
    <row r="3672" spans="1:20" x14ac:dyDescent="0.25">
      <c r="A3672" t="s">
        <v>30</v>
      </c>
      <c r="B3672" t="s">
        <v>31</v>
      </c>
      <c r="C3672" t="s">
        <v>32</v>
      </c>
      <c r="D3672" t="s">
        <v>522</v>
      </c>
      <c r="E3672" t="s">
        <v>4207</v>
      </c>
      <c r="F3672" t="s">
        <v>35</v>
      </c>
      <c r="G3672" t="s">
        <v>35</v>
      </c>
      <c r="H3672" t="s">
        <v>35</v>
      </c>
      <c r="J3672" t="s">
        <v>4234</v>
      </c>
      <c r="K3672" t="s">
        <v>1092</v>
      </c>
      <c r="M3672">
        <v>11.25</v>
      </c>
      <c r="N3672">
        <v>124</v>
      </c>
      <c r="O3672" t="s">
        <v>38</v>
      </c>
      <c r="Q3672" t="s">
        <v>646</v>
      </c>
      <c r="R3672" t="s">
        <v>548</v>
      </c>
      <c r="S3672" t="s">
        <v>524</v>
      </c>
      <c r="T3672" t="s">
        <v>525</v>
      </c>
    </row>
    <row r="3673" spans="1:20" x14ac:dyDescent="0.25">
      <c r="A3673" t="s">
        <v>30</v>
      </c>
      <c r="B3673" t="s">
        <v>31</v>
      </c>
      <c r="C3673" t="s">
        <v>32</v>
      </c>
      <c r="D3673" t="s">
        <v>522</v>
      </c>
      <c r="E3673" t="s">
        <v>543</v>
      </c>
      <c r="F3673" t="s">
        <v>35</v>
      </c>
      <c r="G3673" t="s">
        <v>35</v>
      </c>
      <c r="H3673" t="s">
        <v>35</v>
      </c>
      <c r="J3673" t="s">
        <v>4157</v>
      </c>
      <c r="K3673" t="s">
        <v>1092</v>
      </c>
      <c r="M3673">
        <v>14.625</v>
      </c>
      <c r="N3673">
        <v>161</v>
      </c>
      <c r="O3673" t="s">
        <v>38</v>
      </c>
      <c r="Q3673" t="s">
        <v>2431</v>
      </c>
      <c r="R3673" t="s">
        <v>548</v>
      </c>
      <c r="S3673" t="s">
        <v>524</v>
      </c>
      <c r="T3673" t="s">
        <v>525</v>
      </c>
    </row>
    <row r="3674" spans="1:20" x14ac:dyDescent="0.25">
      <c r="A3674" t="s">
        <v>30</v>
      </c>
      <c r="B3674" t="s">
        <v>31</v>
      </c>
      <c r="C3674" t="s">
        <v>32</v>
      </c>
      <c r="D3674" t="s">
        <v>522</v>
      </c>
      <c r="E3674" t="s">
        <v>561</v>
      </c>
      <c r="F3674" t="s">
        <v>35</v>
      </c>
      <c r="G3674" t="s">
        <v>35</v>
      </c>
      <c r="H3674" t="s">
        <v>35</v>
      </c>
      <c r="J3674" t="s">
        <v>4308</v>
      </c>
      <c r="K3674" t="s">
        <v>1092</v>
      </c>
      <c r="M3674">
        <v>1.575</v>
      </c>
      <c r="N3674">
        <v>100</v>
      </c>
      <c r="O3674" t="s">
        <v>106</v>
      </c>
      <c r="Q3674" t="s">
        <v>1621</v>
      </c>
      <c r="R3674" t="s">
        <v>548</v>
      </c>
      <c r="S3674" t="s">
        <v>524</v>
      </c>
      <c r="T3674" t="s">
        <v>525</v>
      </c>
    </row>
    <row r="3675" spans="1:20" x14ac:dyDescent="0.25">
      <c r="A3675" t="s">
        <v>30</v>
      </c>
      <c r="B3675" t="s">
        <v>31</v>
      </c>
      <c r="C3675" t="s">
        <v>32</v>
      </c>
      <c r="D3675" t="s">
        <v>522</v>
      </c>
      <c r="E3675" t="s">
        <v>543</v>
      </c>
      <c r="F3675" t="s">
        <v>35</v>
      </c>
      <c r="G3675" t="s">
        <v>35</v>
      </c>
      <c r="H3675" t="s">
        <v>35</v>
      </c>
      <c r="J3675" t="s">
        <v>4133</v>
      </c>
      <c r="K3675" t="s">
        <v>1092</v>
      </c>
      <c r="M3675">
        <v>2.4630000000000001</v>
      </c>
      <c r="N3675">
        <v>90</v>
      </c>
      <c r="O3675" t="s">
        <v>61</v>
      </c>
      <c r="Q3675" t="s">
        <v>557</v>
      </c>
      <c r="R3675" t="s">
        <v>548</v>
      </c>
      <c r="S3675" t="s">
        <v>524</v>
      </c>
      <c r="T3675" t="s">
        <v>525</v>
      </c>
    </row>
    <row r="3676" spans="1:20" x14ac:dyDescent="0.25">
      <c r="A3676" t="s">
        <v>30</v>
      </c>
      <c r="B3676" t="s">
        <v>31</v>
      </c>
      <c r="C3676" t="s">
        <v>32</v>
      </c>
      <c r="D3676" t="s">
        <v>522</v>
      </c>
      <c r="E3676" t="s">
        <v>543</v>
      </c>
      <c r="F3676" t="s">
        <v>35</v>
      </c>
      <c r="G3676" t="s">
        <v>35</v>
      </c>
      <c r="H3676" t="s">
        <v>35</v>
      </c>
      <c r="J3676" t="s">
        <v>4133</v>
      </c>
      <c r="K3676" t="s">
        <v>1092</v>
      </c>
      <c r="M3676">
        <v>11.25</v>
      </c>
      <c r="N3676">
        <v>38</v>
      </c>
      <c r="O3676" t="s">
        <v>52</v>
      </c>
      <c r="Q3676" t="s">
        <v>716</v>
      </c>
      <c r="R3676" t="s">
        <v>548</v>
      </c>
      <c r="S3676" t="s">
        <v>524</v>
      </c>
      <c r="T3676" t="s">
        <v>525</v>
      </c>
    </row>
    <row r="3677" spans="1:20" x14ac:dyDescent="0.25">
      <c r="A3677" t="s">
        <v>59</v>
      </c>
      <c r="B3677" t="s">
        <v>31</v>
      </c>
      <c r="C3677" t="s">
        <v>32</v>
      </c>
      <c r="D3677" t="s">
        <v>522</v>
      </c>
      <c r="E3677" t="s">
        <v>543</v>
      </c>
      <c r="F3677" t="s">
        <v>35</v>
      </c>
      <c r="G3677" t="s">
        <v>35</v>
      </c>
      <c r="H3677" t="s">
        <v>35</v>
      </c>
      <c r="J3677" t="s">
        <v>4133</v>
      </c>
      <c r="K3677" t="s">
        <v>1092</v>
      </c>
      <c r="M3677">
        <v>5.3170000000000002</v>
      </c>
      <c r="N3677">
        <v>149</v>
      </c>
      <c r="O3677" t="s">
        <v>38</v>
      </c>
      <c r="Q3677" t="s">
        <v>75</v>
      </c>
      <c r="R3677" t="s">
        <v>548</v>
      </c>
      <c r="S3677" t="s">
        <v>524</v>
      </c>
      <c r="T3677" t="s">
        <v>525</v>
      </c>
    </row>
    <row r="3678" spans="1:20" x14ac:dyDescent="0.25">
      <c r="A3678" t="s">
        <v>30</v>
      </c>
      <c r="B3678" t="s">
        <v>31</v>
      </c>
      <c r="C3678" t="s">
        <v>32</v>
      </c>
      <c r="D3678" t="s">
        <v>522</v>
      </c>
      <c r="E3678" t="s">
        <v>4207</v>
      </c>
      <c r="F3678" t="s">
        <v>35</v>
      </c>
      <c r="G3678" t="s">
        <v>35</v>
      </c>
      <c r="H3678" t="s">
        <v>35</v>
      </c>
      <c r="J3678" t="s">
        <v>4236</v>
      </c>
      <c r="K3678" t="s">
        <v>1092</v>
      </c>
      <c r="M3678">
        <v>6.8849999999999998</v>
      </c>
      <c r="N3678">
        <v>38</v>
      </c>
      <c r="O3678" t="s">
        <v>52</v>
      </c>
      <c r="Q3678" t="s">
        <v>716</v>
      </c>
      <c r="R3678" t="s">
        <v>548</v>
      </c>
      <c r="S3678" t="s">
        <v>524</v>
      </c>
      <c r="T3678" t="s">
        <v>525</v>
      </c>
    </row>
    <row r="3679" spans="1:20" x14ac:dyDescent="0.25">
      <c r="A3679" t="s">
        <v>59</v>
      </c>
      <c r="B3679" t="s">
        <v>60</v>
      </c>
      <c r="C3679" t="s">
        <v>32</v>
      </c>
      <c r="D3679" t="s">
        <v>522</v>
      </c>
      <c r="E3679" t="s">
        <v>543</v>
      </c>
      <c r="F3679" t="s">
        <v>35</v>
      </c>
      <c r="G3679" t="s">
        <v>35</v>
      </c>
      <c r="H3679" t="s">
        <v>35</v>
      </c>
      <c r="J3679" t="s">
        <v>4132</v>
      </c>
      <c r="K3679" t="s">
        <v>1092</v>
      </c>
      <c r="M3679">
        <v>0.55000000000000004</v>
      </c>
      <c r="N3679">
        <v>234</v>
      </c>
      <c r="O3679" t="s">
        <v>5</v>
      </c>
      <c r="Q3679" t="s">
        <v>3415</v>
      </c>
      <c r="R3679" t="s">
        <v>548</v>
      </c>
      <c r="S3679" t="s">
        <v>524</v>
      </c>
      <c r="T3679" t="s">
        <v>525</v>
      </c>
    </row>
    <row r="3680" spans="1:20" x14ac:dyDescent="0.25">
      <c r="A3680" t="s">
        <v>30</v>
      </c>
      <c r="B3680" t="s">
        <v>31</v>
      </c>
      <c r="C3680" t="s">
        <v>32</v>
      </c>
      <c r="D3680" t="s">
        <v>522</v>
      </c>
      <c r="F3680" t="s">
        <v>35</v>
      </c>
      <c r="G3680" t="s">
        <v>35</v>
      </c>
      <c r="H3680" t="s">
        <v>35</v>
      </c>
      <c r="J3680" t="s">
        <v>4438</v>
      </c>
      <c r="K3680" t="s">
        <v>1092</v>
      </c>
      <c r="M3680">
        <v>1.35</v>
      </c>
      <c r="N3680">
        <v>9</v>
      </c>
      <c r="O3680" t="s">
        <v>46</v>
      </c>
      <c r="Q3680" t="s">
        <v>323</v>
      </c>
      <c r="R3680" t="s">
        <v>548</v>
      </c>
      <c r="S3680" t="s">
        <v>524</v>
      </c>
      <c r="T3680" t="s">
        <v>525</v>
      </c>
    </row>
    <row r="3681" spans="1:20" x14ac:dyDescent="0.25">
      <c r="A3681" t="s">
        <v>30</v>
      </c>
      <c r="B3681" t="s">
        <v>31</v>
      </c>
      <c r="C3681" t="s">
        <v>32</v>
      </c>
      <c r="D3681" t="s">
        <v>522</v>
      </c>
      <c r="F3681" t="s">
        <v>35</v>
      </c>
      <c r="G3681" t="s">
        <v>35</v>
      </c>
      <c r="H3681" t="s">
        <v>35</v>
      </c>
      <c r="J3681" t="s">
        <v>4438</v>
      </c>
      <c r="K3681" t="s">
        <v>1092</v>
      </c>
      <c r="M3681">
        <v>0.67500000000000004</v>
      </c>
      <c r="N3681">
        <v>26</v>
      </c>
      <c r="O3681" t="s">
        <v>46</v>
      </c>
      <c r="Q3681" t="s">
        <v>137</v>
      </c>
      <c r="R3681" t="s">
        <v>548</v>
      </c>
      <c r="S3681" t="s">
        <v>524</v>
      </c>
      <c r="T3681" t="s">
        <v>525</v>
      </c>
    </row>
    <row r="3682" spans="1:20" x14ac:dyDescent="0.25">
      <c r="A3682" t="s">
        <v>30</v>
      </c>
      <c r="B3682" t="s">
        <v>31</v>
      </c>
      <c r="C3682" t="s">
        <v>32</v>
      </c>
      <c r="D3682" t="s">
        <v>522</v>
      </c>
      <c r="F3682" t="s">
        <v>35</v>
      </c>
      <c r="G3682" t="s">
        <v>35</v>
      </c>
      <c r="H3682" t="s">
        <v>35</v>
      </c>
      <c r="J3682" t="s">
        <v>4438</v>
      </c>
      <c r="K3682" t="s">
        <v>1092</v>
      </c>
      <c r="M3682">
        <v>2.7</v>
      </c>
      <c r="N3682">
        <v>25</v>
      </c>
      <c r="O3682" t="s">
        <v>46</v>
      </c>
      <c r="Q3682" t="s">
        <v>547</v>
      </c>
      <c r="R3682" t="s">
        <v>548</v>
      </c>
      <c r="S3682" t="s">
        <v>524</v>
      </c>
      <c r="T3682" t="s">
        <v>525</v>
      </c>
    </row>
    <row r="3683" spans="1:20" x14ac:dyDescent="0.25">
      <c r="A3683" t="s">
        <v>30</v>
      </c>
      <c r="B3683" t="s">
        <v>31</v>
      </c>
      <c r="C3683" t="s">
        <v>32</v>
      </c>
      <c r="D3683" t="s">
        <v>522</v>
      </c>
      <c r="E3683" t="s">
        <v>523</v>
      </c>
      <c r="F3683" t="s">
        <v>35</v>
      </c>
      <c r="G3683" t="s">
        <v>35</v>
      </c>
      <c r="H3683" t="s">
        <v>35</v>
      </c>
      <c r="J3683" t="s">
        <v>4007</v>
      </c>
      <c r="K3683" t="s">
        <v>1092</v>
      </c>
      <c r="M3683">
        <v>36.270000000000003</v>
      </c>
      <c r="N3683">
        <v>38</v>
      </c>
      <c r="O3683" t="s">
        <v>52</v>
      </c>
      <c r="Q3683" t="s">
        <v>716</v>
      </c>
      <c r="R3683" t="s">
        <v>548</v>
      </c>
      <c r="S3683" t="s">
        <v>524</v>
      </c>
      <c r="T3683" t="s">
        <v>525</v>
      </c>
    </row>
    <row r="3684" spans="1:20" x14ac:dyDescent="0.25">
      <c r="A3684" t="s">
        <v>44</v>
      </c>
      <c r="B3684" t="s">
        <v>3</v>
      </c>
      <c r="C3684" t="s">
        <v>32</v>
      </c>
      <c r="D3684" t="s">
        <v>522</v>
      </c>
      <c r="E3684" t="s">
        <v>523</v>
      </c>
      <c r="F3684" t="s">
        <v>35</v>
      </c>
      <c r="G3684" t="s">
        <v>35</v>
      </c>
      <c r="H3684" t="s">
        <v>35</v>
      </c>
      <c r="J3684" t="s">
        <v>4007</v>
      </c>
      <c r="K3684" t="s">
        <v>1092</v>
      </c>
      <c r="M3684">
        <v>0.75</v>
      </c>
      <c r="N3684">
        <v>230</v>
      </c>
      <c r="O3684" t="s">
        <v>5</v>
      </c>
      <c r="Q3684" t="s">
        <v>3446</v>
      </c>
      <c r="R3684" t="s">
        <v>548</v>
      </c>
      <c r="S3684" t="s">
        <v>524</v>
      </c>
      <c r="T3684" t="s">
        <v>525</v>
      </c>
    </row>
    <row r="3685" spans="1:20" x14ac:dyDescent="0.25">
      <c r="A3685" t="s">
        <v>30</v>
      </c>
      <c r="B3685" t="s">
        <v>31</v>
      </c>
      <c r="C3685" t="s">
        <v>32</v>
      </c>
      <c r="D3685" t="s">
        <v>522</v>
      </c>
      <c r="E3685" t="s">
        <v>523</v>
      </c>
      <c r="F3685" t="s">
        <v>35</v>
      </c>
      <c r="G3685" t="s">
        <v>35</v>
      </c>
      <c r="H3685" t="s">
        <v>35</v>
      </c>
      <c r="J3685" t="s">
        <v>4007</v>
      </c>
      <c r="K3685" t="s">
        <v>1092</v>
      </c>
      <c r="M3685">
        <v>0.36</v>
      </c>
      <c r="N3685">
        <v>62</v>
      </c>
      <c r="O3685" t="s">
        <v>61</v>
      </c>
      <c r="Q3685" t="s">
        <v>139</v>
      </c>
      <c r="R3685" t="s">
        <v>548</v>
      </c>
      <c r="S3685" t="s">
        <v>524</v>
      </c>
      <c r="T3685" t="s">
        <v>525</v>
      </c>
    </row>
    <row r="3686" spans="1:20" x14ac:dyDescent="0.25">
      <c r="A3686" t="s">
        <v>30</v>
      </c>
      <c r="B3686" t="s">
        <v>31</v>
      </c>
      <c r="C3686" t="s">
        <v>32</v>
      </c>
      <c r="D3686" t="s">
        <v>522</v>
      </c>
      <c r="E3686" t="s">
        <v>543</v>
      </c>
      <c r="F3686" t="s">
        <v>35</v>
      </c>
      <c r="G3686" t="s">
        <v>35</v>
      </c>
      <c r="H3686" t="s">
        <v>35</v>
      </c>
      <c r="J3686" t="s">
        <v>4161</v>
      </c>
      <c r="K3686" t="s">
        <v>1092</v>
      </c>
      <c r="M3686">
        <v>10.215</v>
      </c>
      <c r="N3686">
        <v>145</v>
      </c>
      <c r="O3686" t="s">
        <v>38</v>
      </c>
      <c r="Q3686" t="s">
        <v>408</v>
      </c>
      <c r="R3686" t="s">
        <v>548</v>
      </c>
      <c r="S3686" t="s">
        <v>524</v>
      </c>
      <c r="T3686" t="s">
        <v>525</v>
      </c>
    </row>
    <row r="3687" spans="1:20" x14ac:dyDescent="0.25">
      <c r="A3687" t="s">
        <v>30</v>
      </c>
      <c r="B3687" t="s">
        <v>31</v>
      </c>
      <c r="C3687" t="s">
        <v>32</v>
      </c>
      <c r="D3687" t="s">
        <v>522</v>
      </c>
      <c r="E3687" t="s">
        <v>533</v>
      </c>
      <c r="F3687" t="s">
        <v>35</v>
      </c>
      <c r="G3687" t="s">
        <v>35</v>
      </c>
      <c r="H3687" t="s">
        <v>35</v>
      </c>
      <c r="J3687" t="s">
        <v>4078</v>
      </c>
      <c r="K3687" t="s">
        <v>1092</v>
      </c>
      <c r="M3687">
        <v>6.165</v>
      </c>
      <c r="N3687">
        <v>143</v>
      </c>
      <c r="O3687" t="s">
        <v>38</v>
      </c>
      <c r="Q3687" t="s">
        <v>1612</v>
      </c>
      <c r="R3687" t="s">
        <v>548</v>
      </c>
      <c r="S3687" t="s">
        <v>524</v>
      </c>
      <c r="T3687" t="s">
        <v>525</v>
      </c>
    </row>
    <row r="3688" spans="1:20" x14ac:dyDescent="0.25">
      <c r="A3688" t="s">
        <v>30</v>
      </c>
      <c r="B3688" t="s">
        <v>31</v>
      </c>
      <c r="C3688" t="s">
        <v>32</v>
      </c>
      <c r="D3688" t="s">
        <v>522</v>
      </c>
      <c r="E3688" t="s">
        <v>561</v>
      </c>
      <c r="F3688" t="s">
        <v>35</v>
      </c>
      <c r="G3688" t="s">
        <v>35</v>
      </c>
      <c r="H3688" t="s">
        <v>35</v>
      </c>
      <c r="J3688" t="s">
        <v>4300</v>
      </c>
      <c r="K3688" t="s">
        <v>1092</v>
      </c>
      <c r="M3688">
        <v>0.45</v>
      </c>
      <c r="N3688">
        <v>403</v>
      </c>
      <c r="O3688" t="s">
        <v>294</v>
      </c>
      <c r="Q3688" t="s">
        <v>4301</v>
      </c>
      <c r="R3688" t="s">
        <v>548</v>
      </c>
      <c r="S3688" t="s">
        <v>524</v>
      </c>
      <c r="T3688" t="s">
        <v>525</v>
      </c>
    </row>
    <row r="3689" spans="1:20" x14ac:dyDescent="0.25">
      <c r="A3689" t="s">
        <v>30</v>
      </c>
      <c r="B3689" t="s">
        <v>31</v>
      </c>
      <c r="C3689" t="s">
        <v>32</v>
      </c>
      <c r="D3689" t="s">
        <v>522</v>
      </c>
      <c r="E3689" t="s">
        <v>523</v>
      </c>
      <c r="F3689" t="s">
        <v>35</v>
      </c>
      <c r="G3689" t="s">
        <v>35</v>
      </c>
      <c r="H3689" t="s">
        <v>35</v>
      </c>
      <c r="J3689" t="s">
        <v>4006</v>
      </c>
      <c r="K3689" t="s">
        <v>1092</v>
      </c>
      <c r="M3689">
        <v>0.67500000000000004</v>
      </c>
      <c r="N3689">
        <v>82</v>
      </c>
      <c r="O3689" t="s">
        <v>61</v>
      </c>
      <c r="Q3689" t="s">
        <v>299</v>
      </c>
      <c r="R3689" t="s">
        <v>548</v>
      </c>
      <c r="S3689" t="s">
        <v>524</v>
      </c>
      <c r="T3689" t="s">
        <v>525</v>
      </c>
    </row>
    <row r="3690" spans="1:20" x14ac:dyDescent="0.25">
      <c r="A3690" t="s">
        <v>59</v>
      </c>
      <c r="B3690" t="s">
        <v>31</v>
      </c>
      <c r="C3690" t="s">
        <v>32</v>
      </c>
      <c r="D3690" t="s">
        <v>522</v>
      </c>
      <c r="E3690" t="s">
        <v>523</v>
      </c>
      <c r="F3690" t="s">
        <v>35</v>
      </c>
      <c r="G3690" t="s">
        <v>35</v>
      </c>
      <c r="H3690" t="s">
        <v>35</v>
      </c>
      <c r="J3690" t="s">
        <v>4006</v>
      </c>
      <c r="K3690" t="s">
        <v>1092</v>
      </c>
      <c r="M3690">
        <v>0.67500000000000004</v>
      </c>
      <c r="N3690">
        <v>65</v>
      </c>
      <c r="O3690" t="s">
        <v>61</v>
      </c>
      <c r="Q3690" t="s">
        <v>63</v>
      </c>
      <c r="R3690" t="s">
        <v>548</v>
      </c>
      <c r="S3690" t="s">
        <v>524</v>
      </c>
      <c r="T3690" t="s">
        <v>525</v>
      </c>
    </row>
    <row r="3691" spans="1:20" x14ac:dyDescent="0.25">
      <c r="A3691" t="s">
        <v>59</v>
      </c>
      <c r="B3691" t="s">
        <v>31</v>
      </c>
      <c r="C3691" t="s">
        <v>32</v>
      </c>
      <c r="D3691" t="s">
        <v>522</v>
      </c>
      <c r="E3691" t="s">
        <v>523</v>
      </c>
      <c r="F3691" t="s">
        <v>35</v>
      </c>
      <c r="G3691" t="s">
        <v>35</v>
      </c>
      <c r="H3691" t="s">
        <v>35</v>
      </c>
      <c r="J3691" t="s">
        <v>4006</v>
      </c>
      <c r="K3691" t="s">
        <v>1092</v>
      </c>
      <c r="M3691">
        <v>1.8</v>
      </c>
      <c r="N3691">
        <v>62</v>
      </c>
      <c r="O3691" t="s">
        <v>61</v>
      </c>
      <c r="Q3691" t="s">
        <v>139</v>
      </c>
      <c r="R3691" t="s">
        <v>548</v>
      </c>
      <c r="S3691" t="s">
        <v>524</v>
      </c>
      <c r="T3691" t="s">
        <v>525</v>
      </c>
    </row>
    <row r="3692" spans="1:20" x14ac:dyDescent="0.25">
      <c r="A3692" t="s">
        <v>30</v>
      </c>
      <c r="B3692" t="s">
        <v>31</v>
      </c>
      <c r="C3692" t="s">
        <v>32</v>
      </c>
      <c r="D3692" t="s">
        <v>522</v>
      </c>
      <c r="E3692" t="s">
        <v>523</v>
      </c>
      <c r="F3692" t="s">
        <v>35</v>
      </c>
      <c r="G3692" t="s">
        <v>35</v>
      </c>
      <c r="H3692" t="s">
        <v>35</v>
      </c>
      <c r="J3692" t="s">
        <v>4006</v>
      </c>
      <c r="K3692" t="s">
        <v>1092</v>
      </c>
      <c r="M3692">
        <v>1.35</v>
      </c>
      <c r="N3692">
        <v>25</v>
      </c>
      <c r="O3692" t="s">
        <v>46</v>
      </c>
      <c r="Q3692" t="s">
        <v>547</v>
      </c>
      <c r="R3692" t="s">
        <v>548</v>
      </c>
      <c r="S3692" t="s">
        <v>524</v>
      </c>
      <c r="T3692" t="s">
        <v>525</v>
      </c>
    </row>
    <row r="3693" spans="1:20" x14ac:dyDescent="0.25">
      <c r="A3693" t="s">
        <v>30</v>
      </c>
      <c r="B3693" t="s">
        <v>31</v>
      </c>
      <c r="C3693" t="s">
        <v>32</v>
      </c>
      <c r="D3693" t="s">
        <v>522</v>
      </c>
      <c r="E3693" t="s">
        <v>565</v>
      </c>
      <c r="F3693" t="s">
        <v>35</v>
      </c>
      <c r="G3693" t="s">
        <v>35</v>
      </c>
      <c r="H3693" t="s">
        <v>35</v>
      </c>
      <c r="J3693" t="s">
        <v>4330</v>
      </c>
      <c r="K3693" t="s">
        <v>1092</v>
      </c>
      <c r="M3693">
        <v>24.975000000000001</v>
      </c>
      <c r="N3693">
        <v>46</v>
      </c>
      <c r="O3693" t="s">
        <v>52</v>
      </c>
      <c r="Q3693" t="s">
        <v>332</v>
      </c>
      <c r="R3693" t="s">
        <v>548</v>
      </c>
      <c r="S3693" t="s">
        <v>524</v>
      </c>
      <c r="T3693" t="s">
        <v>525</v>
      </c>
    </row>
    <row r="3694" spans="1:20" x14ac:dyDescent="0.25">
      <c r="A3694" t="s">
        <v>30</v>
      </c>
      <c r="B3694" t="s">
        <v>31</v>
      </c>
      <c r="C3694" t="s">
        <v>32</v>
      </c>
      <c r="D3694" t="s">
        <v>522</v>
      </c>
      <c r="E3694" t="s">
        <v>565</v>
      </c>
      <c r="F3694" t="s">
        <v>35</v>
      </c>
      <c r="G3694" t="s">
        <v>35</v>
      </c>
      <c r="H3694" t="s">
        <v>35</v>
      </c>
      <c r="J3694" t="s">
        <v>4367</v>
      </c>
      <c r="K3694" t="s">
        <v>1092</v>
      </c>
      <c r="M3694">
        <v>11.25</v>
      </c>
      <c r="N3694">
        <v>161</v>
      </c>
      <c r="O3694" t="s">
        <v>38</v>
      </c>
      <c r="Q3694" t="s">
        <v>2431</v>
      </c>
      <c r="R3694" t="s">
        <v>548</v>
      </c>
      <c r="S3694" t="s">
        <v>524</v>
      </c>
      <c r="T3694" t="s">
        <v>525</v>
      </c>
    </row>
    <row r="3695" spans="1:20" x14ac:dyDescent="0.25">
      <c r="A3695" t="s">
        <v>44</v>
      </c>
      <c r="B3695" t="s">
        <v>3</v>
      </c>
      <c r="C3695" t="s">
        <v>32</v>
      </c>
      <c r="D3695" t="s">
        <v>522</v>
      </c>
      <c r="E3695" t="s">
        <v>523</v>
      </c>
      <c r="F3695" t="s">
        <v>35</v>
      </c>
      <c r="G3695" t="s">
        <v>35</v>
      </c>
      <c r="H3695" t="s">
        <v>35</v>
      </c>
      <c r="J3695" t="s">
        <v>4032</v>
      </c>
      <c r="K3695" t="s">
        <v>1092</v>
      </c>
      <c r="M3695">
        <v>0.75</v>
      </c>
      <c r="N3695">
        <v>244</v>
      </c>
      <c r="O3695" t="s">
        <v>5</v>
      </c>
      <c r="Q3695" t="s">
        <v>1688</v>
      </c>
      <c r="R3695" t="s">
        <v>548</v>
      </c>
      <c r="S3695" t="s">
        <v>524</v>
      </c>
      <c r="T3695" t="s">
        <v>525</v>
      </c>
    </row>
    <row r="3696" spans="1:20" x14ac:dyDescent="0.25">
      <c r="A3696" t="s">
        <v>59</v>
      </c>
      <c r="B3696" t="s">
        <v>31</v>
      </c>
      <c r="C3696" t="s">
        <v>32</v>
      </c>
      <c r="D3696" t="s">
        <v>522</v>
      </c>
      <c r="E3696" t="s">
        <v>523</v>
      </c>
      <c r="F3696" t="s">
        <v>35</v>
      </c>
      <c r="G3696" t="s">
        <v>35</v>
      </c>
      <c r="H3696" t="s">
        <v>35</v>
      </c>
      <c r="J3696" t="s">
        <v>3977</v>
      </c>
      <c r="K3696" t="s">
        <v>1092</v>
      </c>
      <c r="M3696">
        <v>5.625</v>
      </c>
      <c r="N3696">
        <v>133</v>
      </c>
      <c r="O3696" t="s">
        <v>38</v>
      </c>
      <c r="Q3696" t="s">
        <v>609</v>
      </c>
      <c r="R3696" t="s">
        <v>548</v>
      </c>
      <c r="S3696" t="s">
        <v>524</v>
      </c>
      <c r="T3696" t="s">
        <v>525</v>
      </c>
    </row>
    <row r="3697" spans="1:20" x14ac:dyDescent="0.25">
      <c r="A3697" t="s">
        <v>30</v>
      </c>
      <c r="B3697" t="s">
        <v>31</v>
      </c>
      <c r="C3697" t="s">
        <v>32</v>
      </c>
      <c r="D3697" t="s">
        <v>522</v>
      </c>
      <c r="E3697" t="s">
        <v>4207</v>
      </c>
      <c r="F3697" t="s">
        <v>35</v>
      </c>
      <c r="G3697" t="s">
        <v>35</v>
      </c>
      <c r="H3697" t="s">
        <v>35</v>
      </c>
      <c r="J3697" t="s">
        <v>4215</v>
      </c>
      <c r="K3697" t="s">
        <v>1092</v>
      </c>
      <c r="M3697">
        <v>5.7149999999999999</v>
      </c>
      <c r="N3697">
        <v>164</v>
      </c>
      <c r="O3697" t="s">
        <v>38</v>
      </c>
      <c r="Q3697" t="s">
        <v>3930</v>
      </c>
      <c r="R3697" t="s">
        <v>548</v>
      </c>
      <c r="S3697" t="s">
        <v>524</v>
      </c>
      <c r="T3697" t="s">
        <v>525</v>
      </c>
    </row>
    <row r="3698" spans="1:20" x14ac:dyDescent="0.25">
      <c r="A3698" t="s">
        <v>59</v>
      </c>
      <c r="B3698" t="s">
        <v>60</v>
      </c>
      <c r="C3698" t="s">
        <v>32</v>
      </c>
      <c r="D3698" t="s">
        <v>522</v>
      </c>
      <c r="E3698" t="s">
        <v>4207</v>
      </c>
      <c r="F3698" t="s">
        <v>35</v>
      </c>
      <c r="G3698" t="s">
        <v>35</v>
      </c>
      <c r="H3698" t="s">
        <v>35</v>
      </c>
      <c r="J3698" t="s">
        <v>4218</v>
      </c>
      <c r="K3698" t="s">
        <v>1092</v>
      </c>
      <c r="M3698">
        <v>1.4</v>
      </c>
      <c r="N3698">
        <v>157</v>
      </c>
      <c r="O3698" t="s">
        <v>38</v>
      </c>
      <c r="Q3698" t="s">
        <v>1587</v>
      </c>
      <c r="R3698" t="s">
        <v>548</v>
      </c>
      <c r="S3698" t="s">
        <v>524</v>
      </c>
      <c r="T3698" t="s">
        <v>525</v>
      </c>
    </row>
    <row r="3699" spans="1:20" x14ac:dyDescent="0.25">
      <c r="A3699" t="s">
        <v>59</v>
      </c>
      <c r="B3699" t="s">
        <v>31</v>
      </c>
      <c r="C3699" t="s">
        <v>32</v>
      </c>
      <c r="D3699" t="s">
        <v>522</v>
      </c>
      <c r="E3699" t="s">
        <v>4207</v>
      </c>
      <c r="F3699" t="s">
        <v>35</v>
      </c>
      <c r="G3699" t="s">
        <v>35</v>
      </c>
      <c r="H3699" t="s">
        <v>35</v>
      </c>
      <c r="J3699" t="s">
        <v>4218</v>
      </c>
      <c r="K3699" t="s">
        <v>1092</v>
      </c>
      <c r="M3699">
        <v>6.75</v>
      </c>
      <c r="N3699">
        <v>124</v>
      </c>
      <c r="O3699" t="s">
        <v>38</v>
      </c>
      <c r="Q3699" t="s">
        <v>646</v>
      </c>
      <c r="R3699" t="s">
        <v>548</v>
      </c>
      <c r="S3699" t="s">
        <v>524</v>
      </c>
      <c r="T3699" t="s">
        <v>525</v>
      </c>
    </row>
    <row r="3700" spans="1:20" x14ac:dyDescent="0.25">
      <c r="A3700" t="s">
        <v>30</v>
      </c>
      <c r="B3700" t="s">
        <v>31</v>
      </c>
      <c r="C3700" t="s">
        <v>32</v>
      </c>
      <c r="D3700" t="s">
        <v>522</v>
      </c>
      <c r="E3700" t="s">
        <v>523</v>
      </c>
      <c r="F3700" t="s">
        <v>35</v>
      </c>
      <c r="G3700" t="s">
        <v>35</v>
      </c>
      <c r="H3700" t="s">
        <v>35</v>
      </c>
      <c r="J3700" t="s">
        <v>4033</v>
      </c>
      <c r="K3700" t="s">
        <v>1092</v>
      </c>
      <c r="M3700">
        <v>0.18</v>
      </c>
      <c r="N3700">
        <v>7</v>
      </c>
      <c r="O3700" t="s">
        <v>46</v>
      </c>
      <c r="Q3700" t="s">
        <v>2440</v>
      </c>
      <c r="R3700" t="s">
        <v>548</v>
      </c>
      <c r="S3700" t="s">
        <v>524</v>
      </c>
      <c r="T3700" t="s">
        <v>525</v>
      </c>
    </row>
    <row r="3701" spans="1:20" x14ac:dyDescent="0.25">
      <c r="A3701" t="s">
        <v>59</v>
      </c>
      <c r="B3701" t="s">
        <v>60</v>
      </c>
      <c r="C3701" t="s">
        <v>32</v>
      </c>
      <c r="D3701" t="s">
        <v>522</v>
      </c>
      <c r="E3701" t="s">
        <v>565</v>
      </c>
      <c r="F3701" t="s">
        <v>35</v>
      </c>
      <c r="G3701" t="s">
        <v>35</v>
      </c>
      <c r="H3701" t="s">
        <v>35</v>
      </c>
      <c r="J3701" t="s">
        <v>4348</v>
      </c>
      <c r="K3701" t="s">
        <v>1092</v>
      </c>
      <c r="M3701">
        <v>0.05</v>
      </c>
      <c r="N3701">
        <v>255</v>
      </c>
      <c r="O3701" t="s">
        <v>5</v>
      </c>
      <c r="Q3701" t="s">
        <v>264</v>
      </c>
      <c r="R3701" t="s">
        <v>548</v>
      </c>
      <c r="S3701" t="s">
        <v>524</v>
      </c>
      <c r="T3701" t="s">
        <v>525</v>
      </c>
    </row>
    <row r="3702" spans="1:20" x14ac:dyDescent="0.25">
      <c r="A3702" t="s">
        <v>30</v>
      </c>
      <c r="B3702" t="s">
        <v>31</v>
      </c>
      <c r="C3702" t="s">
        <v>32</v>
      </c>
      <c r="D3702" t="s">
        <v>522</v>
      </c>
      <c r="E3702" t="s">
        <v>565</v>
      </c>
      <c r="F3702" t="s">
        <v>35</v>
      </c>
      <c r="G3702" t="s">
        <v>35</v>
      </c>
      <c r="H3702" t="s">
        <v>35</v>
      </c>
      <c r="J3702" t="s">
        <v>4348</v>
      </c>
      <c r="K3702" t="s">
        <v>1092</v>
      </c>
      <c r="M3702">
        <v>4.6349999999999998</v>
      </c>
      <c r="N3702">
        <v>164</v>
      </c>
      <c r="O3702" t="s">
        <v>38</v>
      </c>
      <c r="Q3702" t="s">
        <v>3930</v>
      </c>
      <c r="R3702" t="s">
        <v>548</v>
      </c>
      <c r="S3702" t="s">
        <v>524</v>
      </c>
      <c r="T3702" t="s">
        <v>525</v>
      </c>
    </row>
    <row r="3703" spans="1:20" x14ac:dyDescent="0.25">
      <c r="A3703" t="s">
        <v>30</v>
      </c>
      <c r="B3703" t="s">
        <v>31</v>
      </c>
      <c r="C3703" t="s">
        <v>32</v>
      </c>
      <c r="D3703" t="s">
        <v>522</v>
      </c>
      <c r="E3703" t="s">
        <v>553</v>
      </c>
      <c r="F3703" t="s">
        <v>35</v>
      </c>
      <c r="G3703" t="s">
        <v>35</v>
      </c>
      <c r="H3703" t="s">
        <v>35</v>
      </c>
      <c r="J3703" t="s">
        <v>4168</v>
      </c>
      <c r="K3703" t="s">
        <v>1092</v>
      </c>
      <c r="M3703">
        <v>5.625</v>
      </c>
      <c r="N3703">
        <v>62</v>
      </c>
      <c r="O3703" t="s">
        <v>61</v>
      </c>
      <c r="Q3703" t="s">
        <v>139</v>
      </c>
      <c r="R3703" t="s">
        <v>548</v>
      </c>
      <c r="S3703" t="s">
        <v>524</v>
      </c>
      <c r="T3703" t="s">
        <v>525</v>
      </c>
    </row>
    <row r="3704" spans="1:20" x14ac:dyDescent="0.25">
      <c r="A3704" t="s">
        <v>30</v>
      </c>
      <c r="B3704" t="s">
        <v>31</v>
      </c>
      <c r="C3704" t="s">
        <v>32</v>
      </c>
      <c r="D3704" t="s">
        <v>522</v>
      </c>
      <c r="E3704" t="s">
        <v>553</v>
      </c>
      <c r="F3704" t="s">
        <v>35</v>
      </c>
      <c r="G3704" t="s">
        <v>35</v>
      </c>
      <c r="H3704" t="s">
        <v>35</v>
      </c>
      <c r="J3704" t="s">
        <v>4168</v>
      </c>
      <c r="K3704" t="s">
        <v>1092</v>
      </c>
      <c r="M3704">
        <v>5.22</v>
      </c>
      <c r="N3704">
        <v>168</v>
      </c>
      <c r="O3704" t="s">
        <v>38</v>
      </c>
      <c r="Q3704" t="s">
        <v>1692</v>
      </c>
      <c r="R3704" t="s">
        <v>548</v>
      </c>
      <c r="S3704" t="s">
        <v>524</v>
      </c>
      <c r="T3704" t="s">
        <v>525</v>
      </c>
    </row>
    <row r="3705" spans="1:20" x14ac:dyDescent="0.25">
      <c r="A3705" t="s">
        <v>30</v>
      </c>
      <c r="B3705" t="s">
        <v>31</v>
      </c>
      <c r="C3705" t="s">
        <v>32</v>
      </c>
      <c r="D3705" t="s">
        <v>522</v>
      </c>
      <c r="E3705" t="s">
        <v>553</v>
      </c>
      <c r="F3705" t="s">
        <v>35</v>
      </c>
      <c r="G3705" t="s">
        <v>35</v>
      </c>
      <c r="H3705" t="s">
        <v>35</v>
      </c>
      <c r="J3705" t="s">
        <v>4169</v>
      </c>
      <c r="K3705" t="s">
        <v>1092</v>
      </c>
      <c r="M3705">
        <v>4.5</v>
      </c>
      <c r="N3705">
        <v>143</v>
      </c>
      <c r="O3705" t="s">
        <v>38</v>
      </c>
      <c r="Q3705" t="s">
        <v>1612</v>
      </c>
      <c r="R3705" t="s">
        <v>548</v>
      </c>
      <c r="S3705" t="s">
        <v>524</v>
      </c>
      <c r="T3705" t="s">
        <v>525</v>
      </c>
    </row>
    <row r="3706" spans="1:20" x14ac:dyDescent="0.25">
      <c r="A3706" t="s">
        <v>30</v>
      </c>
      <c r="B3706" t="s">
        <v>31</v>
      </c>
      <c r="C3706" t="s">
        <v>32</v>
      </c>
      <c r="D3706" t="s">
        <v>522</v>
      </c>
      <c r="E3706" t="s">
        <v>561</v>
      </c>
      <c r="F3706" t="s">
        <v>35</v>
      </c>
      <c r="G3706" t="s">
        <v>35</v>
      </c>
      <c r="H3706" t="s">
        <v>35</v>
      </c>
      <c r="J3706" t="s">
        <v>4277</v>
      </c>
      <c r="K3706" t="s">
        <v>1092</v>
      </c>
      <c r="M3706">
        <v>11.25</v>
      </c>
      <c r="N3706">
        <v>38</v>
      </c>
      <c r="O3706" t="s">
        <v>52</v>
      </c>
      <c r="Q3706" t="s">
        <v>716</v>
      </c>
      <c r="R3706" t="s">
        <v>548</v>
      </c>
      <c r="S3706" t="s">
        <v>524</v>
      </c>
      <c r="T3706" t="s">
        <v>525</v>
      </c>
    </row>
    <row r="3707" spans="1:20" x14ac:dyDescent="0.25">
      <c r="A3707" t="s">
        <v>59</v>
      </c>
      <c r="B3707" t="s">
        <v>60</v>
      </c>
      <c r="C3707" t="s">
        <v>32</v>
      </c>
      <c r="D3707" t="s">
        <v>522</v>
      </c>
      <c r="E3707" t="s">
        <v>553</v>
      </c>
      <c r="F3707" t="s">
        <v>35</v>
      </c>
      <c r="G3707" t="s">
        <v>35</v>
      </c>
      <c r="H3707" t="s">
        <v>35</v>
      </c>
      <c r="J3707" t="s">
        <v>4173</v>
      </c>
      <c r="K3707" t="s">
        <v>1092</v>
      </c>
      <c r="M3707">
        <v>0.2</v>
      </c>
      <c r="N3707">
        <v>179</v>
      </c>
      <c r="O3707" t="s">
        <v>38</v>
      </c>
      <c r="Q3707" t="s">
        <v>1363</v>
      </c>
      <c r="R3707" t="s">
        <v>548</v>
      </c>
      <c r="S3707" t="s">
        <v>524</v>
      </c>
      <c r="T3707" t="s">
        <v>525</v>
      </c>
    </row>
    <row r="3708" spans="1:20" x14ac:dyDescent="0.25">
      <c r="A3708" t="s">
        <v>30</v>
      </c>
      <c r="B3708" t="s">
        <v>31</v>
      </c>
      <c r="C3708" t="s">
        <v>32</v>
      </c>
      <c r="D3708" t="s">
        <v>522</v>
      </c>
      <c r="E3708" t="s">
        <v>533</v>
      </c>
      <c r="F3708" t="s">
        <v>35</v>
      </c>
      <c r="G3708" t="s">
        <v>35</v>
      </c>
      <c r="H3708" t="s">
        <v>35</v>
      </c>
      <c r="J3708" t="s">
        <v>4087</v>
      </c>
      <c r="K3708" t="s">
        <v>1092</v>
      </c>
      <c r="M3708">
        <v>0.85499999999999998</v>
      </c>
      <c r="N3708">
        <v>499</v>
      </c>
      <c r="O3708" t="s">
        <v>294</v>
      </c>
      <c r="Q3708" t="s">
        <v>2101</v>
      </c>
      <c r="R3708" t="s">
        <v>548</v>
      </c>
      <c r="S3708" t="s">
        <v>524</v>
      </c>
      <c r="T3708" t="s">
        <v>525</v>
      </c>
    </row>
    <row r="3709" spans="1:20" x14ac:dyDescent="0.25">
      <c r="A3709" t="s">
        <v>30</v>
      </c>
      <c r="B3709" t="s">
        <v>31</v>
      </c>
      <c r="C3709" t="s">
        <v>32</v>
      </c>
      <c r="D3709" t="s">
        <v>522</v>
      </c>
      <c r="E3709" t="s">
        <v>565</v>
      </c>
      <c r="F3709" t="s">
        <v>35</v>
      </c>
      <c r="G3709" t="s">
        <v>35</v>
      </c>
      <c r="H3709" t="s">
        <v>35</v>
      </c>
      <c r="J3709" t="s">
        <v>4389</v>
      </c>
      <c r="K3709" t="s">
        <v>1092</v>
      </c>
      <c r="M3709">
        <v>0.63</v>
      </c>
      <c r="N3709">
        <v>17</v>
      </c>
      <c r="O3709" t="s">
        <v>46</v>
      </c>
      <c r="Q3709" t="s">
        <v>255</v>
      </c>
      <c r="R3709" t="s">
        <v>548</v>
      </c>
      <c r="S3709" t="s">
        <v>524</v>
      </c>
      <c r="T3709" t="s">
        <v>525</v>
      </c>
    </row>
    <row r="3710" spans="1:20" x14ac:dyDescent="0.25">
      <c r="A3710" t="s">
        <v>30</v>
      </c>
      <c r="B3710" t="s">
        <v>31</v>
      </c>
      <c r="C3710" t="s">
        <v>32</v>
      </c>
      <c r="D3710" t="s">
        <v>522</v>
      </c>
      <c r="E3710" t="s">
        <v>565</v>
      </c>
      <c r="F3710" t="s">
        <v>35</v>
      </c>
      <c r="G3710" t="s">
        <v>35</v>
      </c>
      <c r="H3710" t="s">
        <v>35</v>
      </c>
      <c r="J3710" t="s">
        <v>4370</v>
      </c>
      <c r="K3710" t="s">
        <v>1092</v>
      </c>
      <c r="M3710">
        <v>11.25</v>
      </c>
      <c r="N3710">
        <v>38</v>
      </c>
      <c r="O3710" t="s">
        <v>52</v>
      </c>
      <c r="Q3710" t="s">
        <v>716</v>
      </c>
      <c r="R3710" t="s">
        <v>548</v>
      </c>
      <c r="S3710" t="s">
        <v>524</v>
      </c>
      <c r="T3710" t="s">
        <v>525</v>
      </c>
    </row>
    <row r="3711" spans="1:20" x14ac:dyDescent="0.25">
      <c r="A3711" t="s">
        <v>59</v>
      </c>
      <c r="B3711" t="s">
        <v>60</v>
      </c>
      <c r="C3711" t="s">
        <v>32</v>
      </c>
      <c r="D3711" t="s">
        <v>522</v>
      </c>
      <c r="E3711" t="s">
        <v>543</v>
      </c>
      <c r="F3711" t="s">
        <v>35</v>
      </c>
      <c r="G3711" t="s">
        <v>35</v>
      </c>
      <c r="H3711" t="s">
        <v>35</v>
      </c>
      <c r="J3711" t="s">
        <v>4107</v>
      </c>
      <c r="K3711" t="s">
        <v>1144</v>
      </c>
      <c r="M3711">
        <v>8</v>
      </c>
      <c r="N3711">
        <v>167</v>
      </c>
      <c r="O3711" t="s">
        <v>38</v>
      </c>
      <c r="Q3711" t="s">
        <v>1565</v>
      </c>
      <c r="R3711" t="s">
        <v>548</v>
      </c>
      <c r="S3711" t="s">
        <v>524</v>
      </c>
      <c r="T3711" t="s">
        <v>525</v>
      </c>
    </row>
    <row r="3712" spans="1:20" x14ac:dyDescent="0.25">
      <c r="A3712" t="s">
        <v>30</v>
      </c>
      <c r="B3712" t="s">
        <v>31</v>
      </c>
      <c r="C3712" t="s">
        <v>32</v>
      </c>
      <c r="D3712" t="s">
        <v>522</v>
      </c>
      <c r="E3712" t="s">
        <v>523</v>
      </c>
      <c r="F3712" t="s">
        <v>35</v>
      </c>
      <c r="G3712" t="s">
        <v>35</v>
      </c>
      <c r="H3712" t="s">
        <v>35</v>
      </c>
      <c r="J3712" t="s">
        <v>3971</v>
      </c>
      <c r="K3712" t="s">
        <v>1092</v>
      </c>
      <c r="M3712">
        <v>0.27</v>
      </c>
      <c r="N3712">
        <v>6</v>
      </c>
      <c r="O3712" t="s">
        <v>46</v>
      </c>
      <c r="Q3712" t="s">
        <v>310</v>
      </c>
      <c r="R3712" t="s">
        <v>548</v>
      </c>
      <c r="S3712" t="s">
        <v>524</v>
      </c>
      <c r="T3712" t="s">
        <v>525</v>
      </c>
    </row>
    <row r="3713" spans="1:20" x14ac:dyDescent="0.25">
      <c r="A3713" t="s">
        <v>30</v>
      </c>
      <c r="B3713" t="s">
        <v>31</v>
      </c>
      <c r="C3713" t="s">
        <v>32</v>
      </c>
      <c r="D3713" t="s">
        <v>522</v>
      </c>
      <c r="F3713" t="s">
        <v>35</v>
      </c>
      <c r="G3713" t="s">
        <v>35</v>
      </c>
      <c r="H3713" t="s">
        <v>35</v>
      </c>
      <c r="J3713" t="s">
        <v>4425</v>
      </c>
      <c r="K3713" t="s">
        <v>1092</v>
      </c>
      <c r="M3713">
        <v>21.375</v>
      </c>
      <c r="N3713">
        <v>25</v>
      </c>
      <c r="O3713" t="s">
        <v>46</v>
      </c>
      <c r="Q3713" t="s">
        <v>547</v>
      </c>
      <c r="R3713" t="s">
        <v>548</v>
      </c>
      <c r="S3713" t="s">
        <v>524</v>
      </c>
      <c r="T3713" t="s">
        <v>525</v>
      </c>
    </row>
    <row r="3714" spans="1:20" x14ac:dyDescent="0.25">
      <c r="A3714" t="s">
        <v>59</v>
      </c>
      <c r="B3714" t="s">
        <v>60</v>
      </c>
      <c r="C3714" t="s">
        <v>32</v>
      </c>
      <c r="D3714" t="s">
        <v>522</v>
      </c>
      <c r="E3714" t="s">
        <v>523</v>
      </c>
      <c r="F3714" t="s">
        <v>35</v>
      </c>
      <c r="G3714" t="s">
        <v>35</v>
      </c>
      <c r="H3714" t="s">
        <v>35</v>
      </c>
      <c r="J3714" t="s">
        <v>4034</v>
      </c>
      <c r="K3714" t="s">
        <v>1092</v>
      </c>
      <c r="M3714">
        <v>0.5</v>
      </c>
      <c r="N3714">
        <v>25</v>
      </c>
      <c r="O3714" t="s">
        <v>46</v>
      </c>
      <c r="Q3714" t="s">
        <v>547</v>
      </c>
      <c r="R3714" t="s">
        <v>548</v>
      </c>
      <c r="S3714" t="s">
        <v>524</v>
      </c>
      <c r="T3714" t="s">
        <v>525</v>
      </c>
    </row>
    <row r="3715" spans="1:20" x14ac:dyDescent="0.25">
      <c r="A3715" t="s">
        <v>59</v>
      </c>
      <c r="B3715" t="s">
        <v>60</v>
      </c>
      <c r="C3715" t="s">
        <v>32</v>
      </c>
      <c r="D3715" t="s">
        <v>522</v>
      </c>
      <c r="E3715" t="s">
        <v>523</v>
      </c>
      <c r="F3715" t="s">
        <v>35</v>
      </c>
      <c r="G3715" t="s">
        <v>35</v>
      </c>
      <c r="H3715" t="s">
        <v>35</v>
      </c>
      <c r="J3715" t="s">
        <v>4034</v>
      </c>
      <c r="K3715" t="s">
        <v>1092</v>
      </c>
      <c r="M3715">
        <v>0.25</v>
      </c>
      <c r="N3715">
        <v>62</v>
      </c>
      <c r="O3715" t="s">
        <v>61</v>
      </c>
      <c r="Q3715" t="s">
        <v>139</v>
      </c>
      <c r="R3715" t="s">
        <v>548</v>
      </c>
      <c r="S3715" t="s">
        <v>524</v>
      </c>
      <c r="T3715" t="s">
        <v>525</v>
      </c>
    </row>
    <row r="3716" spans="1:20" x14ac:dyDescent="0.25">
      <c r="A3716" t="s">
        <v>30</v>
      </c>
      <c r="B3716" t="s">
        <v>31</v>
      </c>
      <c r="C3716" t="s">
        <v>32</v>
      </c>
      <c r="D3716" t="s">
        <v>522</v>
      </c>
      <c r="E3716" t="s">
        <v>523</v>
      </c>
      <c r="F3716" t="s">
        <v>35</v>
      </c>
      <c r="G3716" t="s">
        <v>35</v>
      </c>
      <c r="H3716" t="s">
        <v>35</v>
      </c>
      <c r="J3716" t="s">
        <v>4034</v>
      </c>
      <c r="K3716" t="s">
        <v>1092</v>
      </c>
      <c r="M3716">
        <v>1.35</v>
      </c>
      <c r="N3716">
        <v>25</v>
      </c>
      <c r="O3716" t="s">
        <v>46</v>
      </c>
      <c r="Q3716" t="s">
        <v>547</v>
      </c>
      <c r="R3716" t="s">
        <v>548</v>
      </c>
      <c r="S3716" t="s">
        <v>524</v>
      </c>
      <c r="T3716" t="s">
        <v>525</v>
      </c>
    </row>
    <row r="3717" spans="1:20" x14ac:dyDescent="0.25">
      <c r="A3717" t="s">
        <v>44</v>
      </c>
      <c r="B3717" t="s">
        <v>51</v>
      </c>
      <c r="C3717" t="s">
        <v>32</v>
      </c>
      <c r="D3717" t="s">
        <v>522</v>
      </c>
      <c r="E3717" t="s">
        <v>523</v>
      </c>
      <c r="F3717" t="s">
        <v>35</v>
      </c>
      <c r="G3717" t="s">
        <v>35</v>
      </c>
      <c r="H3717" t="s">
        <v>35</v>
      </c>
      <c r="J3717" t="s">
        <v>4034</v>
      </c>
      <c r="K3717" t="s">
        <v>1092</v>
      </c>
      <c r="M3717">
        <v>0.5</v>
      </c>
      <c r="N3717">
        <v>62</v>
      </c>
      <c r="O3717" t="s">
        <v>61</v>
      </c>
      <c r="Q3717" t="s">
        <v>139</v>
      </c>
      <c r="R3717" t="s">
        <v>548</v>
      </c>
      <c r="S3717" t="s">
        <v>524</v>
      </c>
      <c r="T3717" t="s">
        <v>525</v>
      </c>
    </row>
    <row r="3718" spans="1:20" x14ac:dyDescent="0.25">
      <c r="A3718" t="s">
        <v>30</v>
      </c>
      <c r="B3718" t="s">
        <v>31</v>
      </c>
      <c r="C3718" t="s">
        <v>32</v>
      </c>
      <c r="D3718" t="s">
        <v>522</v>
      </c>
      <c r="E3718" t="s">
        <v>4207</v>
      </c>
      <c r="F3718" t="s">
        <v>35</v>
      </c>
      <c r="G3718" t="s">
        <v>35</v>
      </c>
      <c r="H3718" t="s">
        <v>35</v>
      </c>
      <c r="J3718" t="s">
        <v>4240</v>
      </c>
      <c r="K3718" t="s">
        <v>1092</v>
      </c>
      <c r="M3718">
        <v>6.5250000000000004</v>
      </c>
      <c r="N3718">
        <v>129</v>
      </c>
      <c r="O3718" t="s">
        <v>38</v>
      </c>
      <c r="Q3718" t="s">
        <v>157</v>
      </c>
      <c r="R3718" t="s">
        <v>548</v>
      </c>
      <c r="S3718" t="s">
        <v>524</v>
      </c>
      <c r="T3718" t="s">
        <v>525</v>
      </c>
    </row>
    <row r="3719" spans="1:20" x14ac:dyDescent="0.25">
      <c r="A3719" t="s">
        <v>30</v>
      </c>
      <c r="B3719" t="s">
        <v>31</v>
      </c>
      <c r="C3719" t="s">
        <v>32</v>
      </c>
      <c r="D3719" t="s">
        <v>522</v>
      </c>
      <c r="E3719" t="s">
        <v>543</v>
      </c>
      <c r="F3719" t="s">
        <v>35</v>
      </c>
      <c r="G3719" t="s">
        <v>35</v>
      </c>
      <c r="H3719" t="s">
        <v>35</v>
      </c>
      <c r="J3719" t="s">
        <v>4134</v>
      </c>
      <c r="K3719" t="s">
        <v>1092</v>
      </c>
      <c r="M3719">
        <v>10.8</v>
      </c>
      <c r="N3719">
        <v>90</v>
      </c>
      <c r="O3719" t="s">
        <v>61</v>
      </c>
      <c r="Q3719" t="s">
        <v>557</v>
      </c>
      <c r="R3719" t="s">
        <v>548</v>
      </c>
      <c r="S3719" t="s">
        <v>524</v>
      </c>
      <c r="T3719" t="s">
        <v>525</v>
      </c>
    </row>
    <row r="3720" spans="1:20" x14ac:dyDescent="0.25">
      <c r="A3720" t="s">
        <v>59</v>
      </c>
      <c r="B3720" t="s">
        <v>31</v>
      </c>
      <c r="C3720" t="s">
        <v>32</v>
      </c>
      <c r="D3720" t="s">
        <v>522</v>
      </c>
      <c r="E3720" t="s">
        <v>523</v>
      </c>
      <c r="F3720" t="s">
        <v>35</v>
      </c>
      <c r="G3720" t="s">
        <v>35</v>
      </c>
      <c r="H3720" t="s">
        <v>35</v>
      </c>
      <c r="J3720" t="s">
        <v>3934</v>
      </c>
      <c r="K3720" t="s">
        <v>1092</v>
      </c>
      <c r="M3720">
        <v>2.25</v>
      </c>
      <c r="N3720">
        <v>62</v>
      </c>
      <c r="O3720" t="s">
        <v>61</v>
      </c>
      <c r="Q3720" t="s">
        <v>139</v>
      </c>
      <c r="R3720" t="s">
        <v>548</v>
      </c>
      <c r="S3720" t="s">
        <v>524</v>
      </c>
      <c r="T3720" t="s">
        <v>525</v>
      </c>
    </row>
    <row r="3721" spans="1:20" x14ac:dyDescent="0.25">
      <c r="A3721" t="s">
        <v>59</v>
      </c>
      <c r="B3721" t="s">
        <v>60</v>
      </c>
      <c r="C3721" t="s">
        <v>32</v>
      </c>
      <c r="D3721" t="s">
        <v>522</v>
      </c>
      <c r="E3721" t="s">
        <v>523</v>
      </c>
      <c r="F3721" t="s">
        <v>35</v>
      </c>
      <c r="G3721" t="s">
        <v>35</v>
      </c>
      <c r="H3721" t="s">
        <v>35</v>
      </c>
      <c r="J3721" t="s">
        <v>3934</v>
      </c>
      <c r="K3721" t="s">
        <v>1092</v>
      </c>
      <c r="M3721">
        <v>1.5</v>
      </c>
      <c r="N3721">
        <v>48</v>
      </c>
      <c r="O3721" t="s">
        <v>52</v>
      </c>
      <c r="Q3721" t="s">
        <v>518</v>
      </c>
      <c r="R3721" t="s">
        <v>548</v>
      </c>
      <c r="S3721" t="s">
        <v>524</v>
      </c>
      <c r="T3721" t="s">
        <v>525</v>
      </c>
    </row>
    <row r="3722" spans="1:20" x14ac:dyDescent="0.25">
      <c r="A3722" t="s">
        <v>30</v>
      </c>
      <c r="B3722" t="s">
        <v>31</v>
      </c>
      <c r="C3722" t="s">
        <v>32</v>
      </c>
      <c r="D3722" t="s">
        <v>522</v>
      </c>
      <c r="E3722" t="s">
        <v>523</v>
      </c>
      <c r="F3722" t="s">
        <v>35</v>
      </c>
      <c r="G3722" t="s">
        <v>35</v>
      </c>
      <c r="H3722" t="s">
        <v>35</v>
      </c>
      <c r="J3722" t="s">
        <v>3934</v>
      </c>
      <c r="K3722" t="s">
        <v>1092</v>
      </c>
      <c r="M3722">
        <v>0.76500000000000001</v>
      </c>
      <c r="N3722">
        <v>384</v>
      </c>
      <c r="O3722" t="s">
        <v>294</v>
      </c>
      <c r="Q3722" t="s">
        <v>1794</v>
      </c>
      <c r="R3722" t="s">
        <v>548</v>
      </c>
      <c r="S3722" t="s">
        <v>524</v>
      </c>
      <c r="T3722" t="s">
        <v>525</v>
      </c>
    </row>
    <row r="3723" spans="1:20" x14ac:dyDescent="0.25">
      <c r="A3723" t="s">
        <v>59</v>
      </c>
      <c r="B3723" t="s">
        <v>60</v>
      </c>
      <c r="C3723" t="s">
        <v>32</v>
      </c>
      <c r="D3723" t="s">
        <v>522</v>
      </c>
      <c r="E3723" t="s">
        <v>523</v>
      </c>
      <c r="F3723" t="s">
        <v>35</v>
      </c>
      <c r="G3723" t="s">
        <v>35</v>
      </c>
      <c r="H3723" t="s">
        <v>35</v>
      </c>
      <c r="J3723" t="s">
        <v>3934</v>
      </c>
      <c r="K3723" t="s">
        <v>1092</v>
      </c>
      <c r="M3723">
        <v>0.4</v>
      </c>
      <c r="N3723">
        <v>82</v>
      </c>
      <c r="O3723" t="s">
        <v>61</v>
      </c>
      <c r="Q3723" t="s">
        <v>299</v>
      </c>
      <c r="R3723" t="s">
        <v>548</v>
      </c>
      <c r="S3723" t="s">
        <v>524</v>
      </c>
      <c r="T3723" t="s">
        <v>525</v>
      </c>
    </row>
    <row r="3724" spans="1:20" x14ac:dyDescent="0.25">
      <c r="A3724" t="s">
        <v>59</v>
      </c>
      <c r="B3724" t="s">
        <v>60</v>
      </c>
      <c r="C3724" t="s">
        <v>32</v>
      </c>
      <c r="D3724" t="s">
        <v>522</v>
      </c>
      <c r="E3724" t="s">
        <v>523</v>
      </c>
      <c r="F3724" t="s">
        <v>35</v>
      </c>
      <c r="G3724" t="s">
        <v>35</v>
      </c>
      <c r="H3724" t="s">
        <v>35</v>
      </c>
      <c r="J3724" t="s">
        <v>3934</v>
      </c>
      <c r="K3724" t="s">
        <v>1092</v>
      </c>
      <c r="M3724">
        <v>0.5</v>
      </c>
      <c r="N3724">
        <v>73</v>
      </c>
      <c r="O3724" t="s">
        <v>61</v>
      </c>
      <c r="Q3724" t="s">
        <v>477</v>
      </c>
      <c r="R3724" t="s">
        <v>548</v>
      </c>
      <c r="S3724" t="s">
        <v>524</v>
      </c>
      <c r="T3724" t="s">
        <v>525</v>
      </c>
    </row>
    <row r="3725" spans="1:20" x14ac:dyDescent="0.25">
      <c r="A3725" t="s">
        <v>44</v>
      </c>
      <c r="B3725" t="s">
        <v>51</v>
      </c>
      <c r="C3725" t="s">
        <v>32</v>
      </c>
      <c r="D3725" t="s">
        <v>522</v>
      </c>
      <c r="E3725" t="s">
        <v>523</v>
      </c>
      <c r="F3725" t="s">
        <v>35</v>
      </c>
      <c r="G3725" t="s">
        <v>35</v>
      </c>
      <c r="H3725" t="s">
        <v>35</v>
      </c>
      <c r="J3725" t="s">
        <v>3954</v>
      </c>
      <c r="K3725" t="s">
        <v>1092</v>
      </c>
      <c r="M3725">
        <v>11</v>
      </c>
      <c r="N3725">
        <v>9</v>
      </c>
      <c r="O3725" t="s">
        <v>46</v>
      </c>
      <c r="Q3725" t="s">
        <v>323</v>
      </c>
      <c r="R3725" t="s">
        <v>548</v>
      </c>
      <c r="S3725" t="s">
        <v>524</v>
      </c>
      <c r="T3725" t="s">
        <v>525</v>
      </c>
    </row>
    <row r="3726" spans="1:20" x14ac:dyDescent="0.25">
      <c r="A3726" t="s">
        <v>59</v>
      </c>
      <c r="B3726" t="s">
        <v>31</v>
      </c>
      <c r="C3726" t="s">
        <v>32</v>
      </c>
      <c r="D3726" t="s">
        <v>522</v>
      </c>
      <c r="E3726" t="s">
        <v>543</v>
      </c>
      <c r="F3726" t="s">
        <v>35</v>
      </c>
      <c r="G3726" t="s">
        <v>35</v>
      </c>
      <c r="H3726" t="s">
        <v>35</v>
      </c>
      <c r="J3726" t="s">
        <v>4113</v>
      </c>
      <c r="K3726" t="s">
        <v>1092</v>
      </c>
      <c r="M3726">
        <v>11.025</v>
      </c>
      <c r="N3726">
        <v>124</v>
      </c>
      <c r="O3726" t="s">
        <v>38</v>
      </c>
      <c r="Q3726" t="s">
        <v>646</v>
      </c>
      <c r="R3726" t="s">
        <v>548</v>
      </c>
      <c r="S3726" t="s">
        <v>524</v>
      </c>
      <c r="T3726" t="s">
        <v>525</v>
      </c>
    </row>
    <row r="3727" spans="1:20" x14ac:dyDescent="0.25">
      <c r="A3727" t="s">
        <v>59</v>
      </c>
      <c r="B3727" t="s">
        <v>31</v>
      </c>
      <c r="C3727" t="s">
        <v>32</v>
      </c>
      <c r="D3727" t="s">
        <v>522</v>
      </c>
      <c r="E3727" t="s">
        <v>565</v>
      </c>
      <c r="F3727" t="s">
        <v>35</v>
      </c>
      <c r="G3727" t="s">
        <v>35</v>
      </c>
      <c r="H3727" t="s">
        <v>35</v>
      </c>
      <c r="J3727" t="s">
        <v>4379</v>
      </c>
      <c r="K3727" t="s">
        <v>1092</v>
      </c>
      <c r="M3727">
        <v>11.25</v>
      </c>
      <c r="N3727">
        <v>133</v>
      </c>
      <c r="O3727" t="s">
        <v>38</v>
      </c>
      <c r="Q3727" t="s">
        <v>609</v>
      </c>
      <c r="R3727" t="s">
        <v>548</v>
      </c>
      <c r="S3727" t="s">
        <v>524</v>
      </c>
      <c r="T3727" t="s">
        <v>525</v>
      </c>
    </row>
    <row r="3728" spans="1:20" x14ac:dyDescent="0.25">
      <c r="A3728" t="s">
        <v>30</v>
      </c>
      <c r="B3728" t="s">
        <v>31</v>
      </c>
      <c r="C3728" t="s">
        <v>32</v>
      </c>
      <c r="D3728" t="s">
        <v>522</v>
      </c>
      <c r="E3728" t="s">
        <v>565</v>
      </c>
      <c r="F3728" t="s">
        <v>35</v>
      </c>
      <c r="G3728" t="s">
        <v>35</v>
      </c>
      <c r="H3728" t="s">
        <v>35</v>
      </c>
      <c r="J3728" t="s">
        <v>4379</v>
      </c>
      <c r="K3728" t="s">
        <v>1092</v>
      </c>
      <c r="M3728">
        <v>0.13500000000000001</v>
      </c>
      <c r="N3728">
        <v>145</v>
      </c>
      <c r="O3728" t="s">
        <v>38</v>
      </c>
      <c r="Q3728" t="s">
        <v>408</v>
      </c>
      <c r="R3728" t="s">
        <v>548</v>
      </c>
      <c r="S3728" t="s">
        <v>524</v>
      </c>
      <c r="T3728" t="s">
        <v>525</v>
      </c>
    </row>
    <row r="3729" spans="1:20" x14ac:dyDescent="0.25">
      <c r="A3729" t="s">
        <v>59</v>
      </c>
      <c r="B3729" t="s">
        <v>60</v>
      </c>
      <c r="C3729" t="s">
        <v>32</v>
      </c>
      <c r="D3729" t="s">
        <v>522</v>
      </c>
      <c r="E3729" t="s">
        <v>523</v>
      </c>
      <c r="F3729" t="s">
        <v>35</v>
      </c>
      <c r="G3729" t="s">
        <v>35</v>
      </c>
      <c r="H3729" t="s">
        <v>35</v>
      </c>
      <c r="J3729" t="s">
        <v>3936</v>
      </c>
      <c r="K3729" t="s">
        <v>1092</v>
      </c>
      <c r="M3729">
        <v>0.2</v>
      </c>
      <c r="N3729">
        <v>26</v>
      </c>
      <c r="O3729" t="s">
        <v>46</v>
      </c>
      <c r="Q3729" t="s">
        <v>137</v>
      </c>
      <c r="R3729" t="s">
        <v>548</v>
      </c>
      <c r="S3729" t="s">
        <v>524</v>
      </c>
      <c r="T3729" t="s">
        <v>525</v>
      </c>
    </row>
    <row r="3730" spans="1:20" x14ac:dyDescent="0.25">
      <c r="A3730" t="s">
        <v>59</v>
      </c>
      <c r="B3730" t="s">
        <v>60</v>
      </c>
      <c r="C3730" t="s">
        <v>32</v>
      </c>
      <c r="D3730" t="s">
        <v>522</v>
      </c>
      <c r="E3730" t="s">
        <v>523</v>
      </c>
      <c r="F3730" t="s">
        <v>35</v>
      </c>
      <c r="G3730" t="s">
        <v>35</v>
      </c>
      <c r="H3730" t="s">
        <v>35</v>
      </c>
      <c r="J3730" t="s">
        <v>3936</v>
      </c>
      <c r="K3730" t="s">
        <v>1092</v>
      </c>
      <c r="M3730">
        <v>1.5</v>
      </c>
      <c r="N3730">
        <v>25</v>
      </c>
      <c r="O3730" t="s">
        <v>46</v>
      </c>
      <c r="Q3730" t="s">
        <v>547</v>
      </c>
      <c r="R3730" t="s">
        <v>548</v>
      </c>
      <c r="S3730" t="s">
        <v>524</v>
      </c>
      <c r="T3730" t="s">
        <v>525</v>
      </c>
    </row>
    <row r="3731" spans="1:20" x14ac:dyDescent="0.25">
      <c r="A3731" t="s">
        <v>59</v>
      </c>
      <c r="B3731" t="s">
        <v>31</v>
      </c>
      <c r="C3731" t="s">
        <v>32</v>
      </c>
      <c r="D3731" t="s">
        <v>522</v>
      </c>
      <c r="E3731" t="s">
        <v>523</v>
      </c>
      <c r="F3731" t="s">
        <v>35</v>
      </c>
      <c r="G3731" t="s">
        <v>35</v>
      </c>
      <c r="H3731" t="s">
        <v>35</v>
      </c>
      <c r="J3731" t="s">
        <v>3946</v>
      </c>
      <c r="K3731" t="s">
        <v>1092</v>
      </c>
      <c r="M3731">
        <v>0.27500000000000002</v>
      </c>
      <c r="N3731">
        <v>260</v>
      </c>
      <c r="O3731" t="s">
        <v>5</v>
      </c>
      <c r="Q3731" t="s">
        <v>2559</v>
      </c>
      <c r="R3731" t="s">
        <v>548</v>
      </c>
      <c r="S3731" t="s">
        <v>524</v>
      </c>
      <c r="T3731" t="s">
        <v>525</v>
      </c>
    </row>
    <row r="3732" spans="1:20" x14ac:dyDescent="0.25">
      <c r="A3732" t="s">
        <v>30</v>
      </c>
      <c r="B3732" t="s">
        <v>31</v>
      </c>
      <c r="C3732" t="s">
        <v>32</v>
      </c>
      <c r="D3732" t="s">
        <v>522</v>
      </c>
      <c r="E3732" t="s">
        <v>523</v>
      </c>
      <c r="F3732" t="s">
        <v>35</v>
      </c>
      <c r="G3732" t="s">
        <v>35</v>
      </c>
      <c r="H3732" t="s">
        <v>35</v>
      </c>
      <c r="J3732" t="s">
        <v>3946</v>
      </c>
      <c r="K3732" t="s">
        <v>1092</v>
      </c>
      <c r="M3732">
        <v>0.04</v>
      </c>
      <c r="N3732">
        <v>260</v>
      </c>
      <c r="O3732" t="s">
        <v>5</v>
      </c>
      <c r="Q3732" t="s">
        <v>2559</v>
      </c>
      <c r="R3732" t="s">
        <v>548</v>
      </c>
      <c r="S3732" t="s">
        <v>524</v>
      </c>
      <c r="T3732" t="s">
        <v>525</v>
      </c>
    </row>
    <row r="3733" spans="1:20" x14ac:dyDescent="0.25">
      <c r="A3733" t="s">
        <v>30</v>
      </c>
      <c r="B3733" t="s">
        <v>31</v>
      </c>
      <c r="C3733" t="s">
        <v>32</v>
      </c>
      <c r="D3733" t="s">
        <v>522</v>
      </c>
      <c r="E3733" t="s">
        <v>523</v>
      </c>
      <c r="F3733" t="s">
        <v>35</v>
      </c>
      <c r="G3733" t="s">
        <v>35</v>
      </c>
      <c r="H3733" t="s">
        <v>35</v>
      </c>
      <c r="J3733" t="s">
        <v>4011</v>
      </c>
      <c r="K3733" t="s">
        <v>1092</v>
      </c>
      <c r="M3733">
        <v>1.35</v>
      </c>
      <c r="N3733">
        <v>25</v>
      </c>
      <c r="O3733" t="s">
        <v>46</v>
      </c>
      <c r="Q3733" t="s">
        <v>547</v>
      </c>
      <c r="R3733" t="s">
        <v>548</v>
      </c>
      <c r="S3733" t="s">
        <v>524</v>
      </c>
      <c r="T3733" t="s">
        <v>525</v>
      </c>
    </row>
    <row r="3734" spans="1:20" x14ac:dyDescent="0.25">
      <c r="A3734" t="s">
        <v>30</v>
      </c>
      <c r="B3734" t="s">
        <v>31</v>
      </c>
      <c r="C3734" t="s">
        <v>32</v>
      </c>
      <c r="D3734" t="s">
        <v>522</v>
      </c>
      <c r="E3734" t="s">
        <v>523</v>
      </c>
      <c r="F3734" t="s">
        <v>35</v>
      </c>
      <c r="G3734" t="s">
        <v>35</v>
      </c>
      <c r="H3734" t="s">
        <v>35</v>
      </c>
      <c r="J3734" t="s">
        <v>4011</v>
      </c>
      <c r="K3734" t="s">
        <v>1092</v>
      </c>
      <c r="M3734">
        <v>0.13500000000000001</v>
      </c>
      <c r="N3734">
        <v>62</v>
      </c>
      <c r="O3734" t="s">
        <v>61</v>
      </c>
      <c r="Q3734" t="s">
        <v>139</v>
      </c>
      <c r="R3734" t="s">
        <v>548</v>
      </c>
      <c r="S3734" t="s">
        <v>524</v>
      </c>
      <c r="T3734" t="s">
        <v>525</v>
      </c>
    </row>
    <row r="3735" spans="1:20" x14ac:dyDescent="0.25">
      <c r="A3735" t="s">
        <v>30</v>
      </c>
      <c r="B3735" t="s">
        <v>31</v>
      </c>
      <c r="C3735" t="s">
        <v>32</v>
      </c>
      <c r="D3735" t="s">
        <v>522</v>
      </c>
      <c r="E3735" t="s">
        <v>553</v>
      </c>
      <c r="F3735" t="s">
        <v>35</v>
      </c>
      <c r="G3735" t="s">
        <v>35</v>
      </c>
      <c r="H3735" t="s">
        <v>35</v>
      </c>
      <c r="J3735" t="s">
        <v>4164</v>
      </c>
      <c r="K3735" t="s">
        <v>1144</v>
      </c>
      <c r="M3735">
        <v>7.6050000000000004</v>
      </c>
      <c r="N3735">
        <v>145</v>
      </c>
      <c r="O3735" t="s">
        <v>38</v>
      </c>
      <c r="Q3735" t="s">
        <v>408</v>
      </c>
      <c r="R3735" t="s">
        <v>548</v>
      </c>
      <c r="S3735" t="s">
        <v>524</v>
      </c>
      <c r="T3735" t="s">
        <v>525</v>
      </c>
    </row>
    <row r="3736" spans="1:20" x14ac:dyDescent="0.25">
      <c r="A3736" t="s">
        <v>30</v>
      </c>
      <c r="B3736" t="s">
        <v>31</v>
      </c>
      <c r="C3736" t="s">
        <v>32</v>
      </c>
      <c r="D3736" t="s">
        <v>522</v>
      </c>
      <c r="E3736" t="s">
        <v>553</v>
      </c>
      <c r="F3736" t="s">
        <v>35</v>
      </c>
      <c r="G3736" t="s">
        <v>35</v>
      </c>
      <c r="H3736" t="s">
        <v>35</v>
      </c>
      <c r="J3736" t="s">
        <v>4164</v>
      </c>
      <c r="K3736" t="s">
        <v>1144</v>
      </c>
      <c r="M3736">
        <v>11.25</v>
      </c>
      <c r="N3736">
        <v>62</v>
      </c>
      <c r="O3736" t="s">
        <v>61</v>
      </c>
      <c r="Q3736" t="s">
        <v>139</v>
      </c>
      <c r="R3736" t="s">
        <v>548</v>
      </c>
      <c r="S3736" t="s">
        <v>524</v>
      </c>
      <c r="T3736" t="s">
        <v>525</v>
      </c>
    </row>
    <row r="3737" spans="1:20" x14ac:dyDescent="0.25">
      <c r="A3737" t="s">
        <v>30</v>
      </c>
      <c r="B3737" t="s">
        <v>31</v>
      </c>
      <c r="C3737" t="s">
        <v>32</v>
      </c>
      <c r="D3737" t="s">
        <v>522</v>
      </c>
      <c r="E3737" t="s">
        <v>4207</v>
      </c>
      <c r="F3737" t="s">
        <v>35</v>
      </c>
      <c r="G3737" t="s">
        <v>35</v>
      </c>
      <c r="H3737" t="s">
        <v>35</v>
      </c>
      <c r="J3737" t="s">
        <v>4241</v>
      </c>
      <c r="K3737" t="s">
        <v>1092</v>
      </c>
      <c r="M3737">
        <v>4.5</v>
      </c>
      <c r="N3737">
        <v>124</v>
      </c>
      <c r="O3737" t="s">
        <v>38</v>
      </c>
      <c r="Q3737" t="s">
        <v>646</v>
      </c>
      <c r="R3737" t="s">
        <v>548</v>
      </c>
      <c r="S3737" t="s">
        <v>524</v>
      </c>
      <c r="T3737" t="s">
        <v>525</v>
      </c>
    </row>
    <row r="3738" spans="1:20" x14ac:dyDescent="0.25">
      <c r="A3738" t="s">
        <v>30</v>
      </c>
      <c r="B3738" t="s">
        <v>31</v>
      </c>
      <c r="C3738" t="s">
        <v>32</v>
      </c>
      <c r="D3738" t="s">
        <v>522</v>
      </c>
      <c r="E3738" t="s">
        <v>4207</v>
      </c>
      <c r="F3738" t="s">
        <v>35</v>
      </c>
      <c r="G3738" t="s">
        <v>35</v>
      </c>
      <c r="H3738" t="s">
        <v>35</v>
      </c>
      <c r="J3738" t="s">
        <v>4217</v>
      </c>
      <c r="K3738" t="s">
        <v>1092</v>
      </c>
      <c r="M3738">
        <v>0.495</v>
      </c>
      <c r="N3738">
        <v>209</v>
      </c>
      <c r="O3738" t="s">
        <v>5</v>
      </c>
      <c r="Q3738" t="s">
        <v>1492</v>
      </c>
      <c r="R3738" t="s">
        <v>548</v>
      </c>
      <c r="S3738" t="s">
        <v>524</v>
      </c>
      <c r="T3738" t="s">
        <v>525</v>
      </c>
    </row>
    <row r="3739" spans="1:20" x14ac:dyDescent="0.25">
      <c r="A3739" t="s">
        <v>30</v>
      </c>
      <c r="B3739" t="s">
        <v>31</v>
      </c>
      <c r="C3739" t="s">
        <v>32</v>
      </c>
      <c r="D3739" t="s">
        <v>522</v>
      </c>
      <c r="E3739" t="s">
        <v>4181</v>
      </c>
      <c r="F3739" t="s">
        <v>35</v>
      </c>
      <c r="G3739" t="s">
        <v>35</v>
      </c>
      <c r="H3739" t="s">
        <v>35</v>
      </c>
      <c r="J3739" t="s">
        <v>4183</v>
      </c>
      <c r="K3739" t="s">
        <v>1092</v>
      </c>
      <c r="M3739">
        <v>4.2300000000000004</v>
      </c>
      <c r="N3739">
        <v>38</v>
      </c>
      <c r="O3739" t="s">
        <v>52</v>
      </c>
      <c r="Q3739" t="s">
        <v>716</v>
      </c>
      <c r="R3739" t="s">
        <v>548</v>
      </c>
      <c r="S3739" t="s">
        <v>524</v>
      </c>
      <c r="T3739" t="s">
        <v>525</v>
      </c>
    </row>
    <row r="3740" spans="1:20" x14ac:dyDescent="0.25">
      <c r="A3740" t="s">
        <v>44</v>
      </c>
      <c r="B3740" t="s">
        <v>51</v>
      </c>
      <c r="C3740" t="s">
        <v>32</v>
      </c>
      <c r="D3740" t="s">
        <v>522</v>
      </c>
      <c r="E3740" t="s">
        <v>543</v>
      </c>
      <c r="F3740" t="s">
        <v>35</v>
      </c>
      <c r="G3740" t="s">
        <v>35</v>
      </c>
      <c r="H3740" t="s">
        <v>35</v>
      </c>
      <c r="J3740" t="s">
        <v>4114</v>
      </c>
      <c r="K3740" t="s">
        <v>1092</v>
      </c>
      <c r="M3740">
        <v>16.05</v>
      </c>
      <c r="N3740">
        <v>65</v>
      </c>
      <c r="O3740" t="s">
        <v>61</v>
      </c>
      <c r="Q3740" t="s">
        <v>63</v>
      </c>
      <c r="R3740" t="s">
        <v>548</v>
      </c>
      <c r="S3740" t="s">
        <v>524</v>
      </c>
      <c r="T3740" t="s">
        <v>525</v>
      </c>
    </row>
    <row r="3741" spans="1:20" x14ac:dyDescent="0.25">
      <c r="A3741" t="s">
        <v>30</v>
      </c>
      <c r="B3741" t="s">
        <v>31</v>
      </c>
      <c r="C3741" t="s">
        <v>32</v>
      </c>
      <c r="D3741" t="s">
        <v>522</v>
      </c>
      <c r="E3741" t="s">
        <v>523</v>
      </c>
      <c r="F3741" t="s">
        <v>35</v>
      </c>
      <c r="G3741" t="s">
        <v>35</v>
      </c>
      <c r="H3741" t="s">
        <v>35</v>
      </c>
      <c r="J3741" t="s">
        <v>3943</v>
      </c>
      <c r="K3741" t="s">
        <v>1092</v>
      </c>
      <c r="M3741">
        <v>0.22500000000000001</v>
      </c>
      <c r="N3741">
        <v>7</v>
      </c>
      <c r="O3741" t="s">
        <v>46</v>
      </c>
      <c r="Q3741" t="s">
        <v>2440</v>
      </c>
      <c r="R3741" t="s">
        <v>548</v>
      </c>
      <c r="S3741" t="s">
        <v>524</v>
      </c>
      <c r="T3741" t="s">
        <v>525</v>
      </c>
    </row>
    <row r="3742" spans="1:20" x14ac:dyDescent="0.25">
      <c r="A3742" t="s">
        <v>44</v>
      </c>
      <c r="B3742" t="s">
        <v>51</v>
      </c>
      <c r="C3742" t="s">
        <v>32</v>
      </c>
      <c r="D3742" t="s">
        <v>522</v>
      </c>
      <c r="E3742" t="s">
        <v>523</v>
      </c>
      <c r="F3742" t="s">
        <v>35</v>
      </c>
      <c r="G3742" t="s">
        <v>35</v>
      </c>
      <c r="H3742" t="s">
        <v>35</v>
      </c>
      <c r="J3742" t="s">
        <v>3943</v>
      </c>
      <c r="K3742" t="s">
        <v>1092</v>
      </c>
      <c r="M3742">
        <v>0.05</v>
      </c>
      <c r="N3742">
        <v>59</v>
      </c>
      <c r="O3742" t="s">
        <v>52</v>
      </c>
      <c r="Q3742" t="s">
        <v>203</v>
      </c>
      <c r="R3742" t="s">
        <v>548</v>
      </c>
      <c r="S3742" t="s">
        <v>524</v>
      </c>
      <c r="T3742" t="s">
        <v>525</v>
      </c>
    </row>
    <row r="3743" spans="1:20" x14ac:dyDescent="0.25">
      <c r="A3743" t="s">
        <v>59</v>
      </c>
      <c r="B3743" t="s">
        <v>60</v>
      </c>
      <c r="C3743" t="s">
        <v>32</v>
      </c>
      <c r="D3743" t="s">
        <v>522</v>
      </c>
      <c r="E3743" t="s">
        <v>523</v>
      </c>
      <c r="F3743" t="s">
        <v>35</v>
      </c>
      <c r="G3743" t="s">
        <v>35</v>
      </c>
      <c r="H3743" t="s">
        <v>35</v>
      </c>
      <c r="J3743" t="s">
        <v>3943</v>
      </c>
      <c r="K3743" t="s">
        <v>1092</v>
      </c>
      <c r="M3743">
        <v>0.5</v>
      </c>
      <c r="N3743">
        <v>7</v>
      </c>
      <c r="O3743" t="s">
        <v>46</v>
      </c>
      <c r="Q3743" t="s">
        <v>2440</v>
      </c>
      <c r="R3743" t="s">
        <v>548</v>
      </c>
      <c r="S3743" t="s">
        <v>524</v>
      </c>
      <c r="T3743" t="s">
        <v>525</v>
      </c>
    </row>
    <row r="3744" spans="1:20" x14ac:dyDescent="0.25">
      <c r="A3744" t="s">
        <v>30</v>
      </c>
      <c r="B3744" t="s">
        <v>31</v>
      </c>
      <c r="C3744" t="s">
        <v>32</v>
      </c>
      <c r="D3744" t="s">
        <v>522</v>
      </c>
      <c r="E3744" t="s">
        <v>523</v>
      </c>
      <c r="F3744" t="s">
        <v>35</v>
      </c>
      <c r="G3744" t="s">
        <v>35</v>
      </c>
      <c r="H3744" t="s">
        <v>35</v>
      </c>
      <c r="J3744" t="s">
        <v>3943</v>
      </c>
      <c r="K3744" t="s">
        <v>1092</v>
      </c>
      <c r="M3744">
        <v>0.18</v>
      </c>
      <c r="N3744">
        <v>25</v>
      </c>
      <c r="O3744" t="s">
        <v>46</v>
      </c>
      <c r="Q3744" t="s">
        <v>547</v>
      </c>
      <c r="R3744" t="s">
        <v>548</v>
      </c>
      <c r="S3744" t="s">
        <v>524</v>
      </c>
      <c r="T3744" t="s">
        <v>525</v>
      </c>
    </row>
    <row r="3745" spans="1:20" x14ac:dyDescent="0.25">
      <c r="A3745" t="s">
        <v>30</v>
      </c>
      <c r="B3745" t="s">
        <v>31</v>
      </c>
      <c r="C3745" t="s">
        <v>32</v>
      </c>
      <c r="D3745" t="s">
        <v>522</v>
      </c>
      <c r="E3745" t="s">
        <v>523</v>
      </c>
      <c r="F3745" t="s">
        <v>35</v>
      </c>
      <c r="G3745" t="s">
        <v>35</v>
      </c>
      <c r="H3745" t="s">
        <v>35</v>
      </c>
      <c r="J3745" t="s">
        <v>3981</v>
      </c>
      <c r="K3745" t="s">
        <v>1092</v>
      </c>
      <c r="M3745">
        <v>1.0349999999999999</v>
      </c>
      <c r="N3745">
        <v>31</v>
      </c>
      <c r="O3745" t="s">
        <v>52</v>
      </c>
      <c r="Q3745" t="s">
        <v>748</v>
      </c>
      <c r="R3745" t="s">
        <v>548</v>
      </c>
      <c r="S3745" t="s">
        <v>524</v>
      </c>
      <c r="T3745" t="s">
        <v>525</v>
      </c>
    </row>
    <row r="3746" spans="1:20" x14ac:dyDescent="0.25">
      <c r="A3746" t="s">
        <v>59</v>
      </c>
      <c r="B3746" t="s">
        <v>31</v>
      </c>
      <c r="C3746" t="s">
        <v>32</v>
      </c>
      <c r="D3746" t="s">
        <v>522</v>
      </c>
      <c r="E3746" t="s">
        <v>523</v>
      </c>
      <c r="F3746" t="s">
        <v>35</v>
      </c>
      <c r="G3746" t="s">
        <v>35</v>
      </c>
      <c r="H3746" t="s">
        <v>35</v>
      </c>
      <c r="J3746" t="s">
        <v>3533</v>
      </c>
      <c r="K3746" t="s">
        <v>1092</v>
      </c>
      <c r="M3746">
        <v>0.67500000000000004</v>
      </c>
      <c r="N3746">
        <v>62</v>
      </c>
      <c r="O3746" t="s">
        <v>61</v>
      </c>
      <c r="Q3746" t="s">
        <v>139</v>
      </c>
      <c r="R3746" t="s">
        <v>548</v>
      </c>
      <c r="S3746" t="s">
        <v>524</v>
      </c>
      <c r="T3746" t="s">
        <v>525</v>
      </c>
    </row>
    <row r="3747" spans="1:20" x14ac:dyDescent="0.25">
      <c r="A3747" t="s">
        <v>59</v>
      </c>
      <c r="B3747" t="s">
        <v>60</v>
      </c>
      <c r="C3747" t="s">
        <v>32</v>
      </c>
      <c r="D3747" t="s">
        <v>522</v>
      </c>
      <c r="E3747" t="s">
        <v>523</v>
      </c>
      <c r="F3747" t="s">
        <v>35</v>
      </c>
      <c r="G3747" t="s">
        <v>35</v>
      </c>
      <c r="H3747" t="s">
        <v>35</v>
      </c>
      <c r="J3747" t="s">
        <v>3533</v>
      </c>
      <c r="K3747" t="s">
        <v>1092</v>
      </c>
      <c r="M3747">
        <v>0.35</v>
      </c>
      <c r="N3747">
        <v>48</v>
      </c>
      <c r="O3747" t="s">
        <v>52</v>
      </c>
      <c r="Q3747" t="s">
        <v>518</v>
      </c>
      <c r="R3747" t="s">
        <v>548</v>
      </c>
      <c r="S3747" t="s">
        <v>524</v>
      </c>
      <c r="T3747" t="s">
        <v>525</v>
      </c>
    </row>
    <row r="3748" spans="1:20" x14ac:dyDescent="0.25">
      <c r="A3748" t="s">
        <v>59</v>
      </c>
      <c r="B3748" t="s">
        <v>60</v>
      </c>
      <c r="C3748" t="s">
        <v>32</v>
      </c>
      <c r="D3748" t="s">
        <v>522</v>
      </c>
      <c r="E3748" t="s">
        <v>523</v>
      </c>
      <c r="F3748" t="s">
        <v>35</v>
      </c>
      <c r="G3748" t="s">
        <v>35</v>
      </c>
      <c r="H3748" t="s">
        <v>35</v>
      </c>
      <c r="J3748" t="s">
        <v>3533</v>
      </c>
      <c r="K3748" t="s">
        <v>1092</v>
      </c>
      <c r="M3748">
        <v>1</v>
      </c>
      <c r="N3748">
        <v>25</v>
      </c>
      <c r="O3748" t="s">
        <v>46</v>
      </c>
      <c r="Q3748" t="s">
        <v>547</v>
      </c>
      <c r="R3748" t="s">
        <v>548</v>
      </c>
      <c r="S3748" t="s">
        <v>524</v>
      </c>
      <c r="T3748" t="s">
        <v>525</v>
      </c>
    </row>
    <row r="3749" spans="1:20" x14ac:dyDescent="0.25">
      <c r="A3749" t="s">
        <v>30</v>
      </c>
      <c r="B3749" t="s">
        <v>31</v>
      </c>
      <c r="C3749" t="s">
        <v>32</v>
      </c>
      <c r="D3749" t="s">
        <v>522</v>
      </c>
      <c r="E3749" t="s">
        <v>523</v>
      </c>
      <c r="F3749" t="s">
        <v>35</v>
      </c>
      <c r="G3749" t="s">
        <v>35</v>
      </c>
      <c r="H3749" t="s">
        <v>35</v>
      </c>
      <c r="J3749" t="s">
        <v>3533</v>
      </c>
      <c r="K3749" t="s">
        <v>1092</v>
      </c>
      <c r="M3749">
        <v>3.5999999999999997E-2</v>
      </c>
      <c r="N3749">
        <v>158</v>
      </c>
      <c r="O3749" t="s">
        <v>38</v>
      </c>
      <c r="Q3749" t="s">
        <v>1548</v>
      </c>
      <c r="R3749" t="s">
        <v>548</v>
      </c>
      <c r="S3749" t="s">
        <v>524</v>
      </c>
      <c r="T3749" t="s">
        <v>525</v>
      </c>
    </row>
    <row r="3750" spans="1:20" x14ac:dyDescent="0.25">
      <c r="A3750" t="s">
        <v>30</v>
      </c>
      <c r="B3750" t="s">
        <v>31</v>
      </c>
      <c r="C3750" t="s">
        <v>32</v>
      </c>
      <c r="D3750" t="s">
        <v>522</v>
      </c>
      <c r="E3750" t="s">
        <v>565</v>
      </c>
      <c r="F3750" t="s">
        <v>35</v>
      </c>
      <c r="G3750" t="s">
        <v>35</v>
      </c>
      <c r="H3750" t="s">
        <v>35</v>
      </c>
      <c r="J3750" t="s">
        <v>4349</v>
      </c>
      <c r="K3750" t="s">
        <v>1092</v>
      </c>
      <c r="M3750">
        <v>0.76500000000000001</v>
      </c>
      <c r="N3750">
        <v>164</v>
      </c>
      <c r="O3750" t="s">
        <v>38</v>
      </c>
      <c r="Q3750" t="s">
        <v>3930</v>
      </c>
      <c r="R3750" t="s">
        <v>548</v>
      </c>
      <c r="S3750" t="s">
        <v>524</v>
      </c>
      <c r="T3750" t="s">
        <v>525</v>
      </c>
    </row>
    <row r="3751" spans="1:20" x14ac:dyDescent="0.25">
      <c r="A3751" t="s">
        <v>59</v>
      </c>
      <c r="B3751" t="s">
        <v>60</v>
      </c>
      <c r="C3751" t="s">
        <v>32</v>
      </c>
      <c r="D3751" t="s">
        <v>522</v>
      </c>
      <c r="E3751" t="s">
        <v>523</v>
      </c>
      <c r="F3751" t="s">
        <v>35</v>
      </c>
      <c r="G3751" t="s">
        <v>35</v>
      </c>
      <c r="H3751" t="s">
        <v>35</v>
      </c>
      <c r="J3751" t="s">
        <v>4005</v>
      </c>
      <c r="K3751" t="s">
        <v>1092</v>
      </c>
      <c r="M3751">
        <v>0.125</v>
      </c>
      <c r="N3751">
        <v>109</v>
      </c>
      <c r="O3751" t="s">
        <v>106</v>
      </c>
      <c r="Q3751" t="s">
        <v>1256</v>
      </c>
      <c r="R3751" t="s">
        <v>548</v>
      </c>
      <c r="S3751" t="s">
        <v>524</v>
      </c>
      <c r="T3751" t="s">
        <v>525</v>
      </c>
    </row>
    <row r="3752" spans="1:20" x14ac:dyDescent="0.25">
      <c r="A3752" t="s">
        <v>30</v>
      </c>
      <c r="B3752" t="s">
        <v>31</v>
      </c>
      <c r="C3752" t="s">
        <v>32</v>
      </c>
      <c r="D3752" t="s">
        <v>522</v>
      </c>
      <c r="E3752" t="s">
        <v>523</v>
      </c>
      <c r="F3752" t="s">
        <v>35</v>
      </c>
      <c r="G3752" t="s">
        <v>35</v>
      </c>
      <c r="H3752" t="s">
        <v>35</v>
      </c>
      <c r="J3752" t="s">
        <v>4005</v>
      </c>
      <c r="K3752" t="s">
        <v>1092</v>
      </c>
      <c r="M3752">
        <v>0.67500000000000004</v>
      </c>
      <c r="N3752">
        <v>13</v>
      </c>
      <c r="O3752" t="s">
        <v>46</v>
      </c>
      <c r="Q3752" t="s">
        <v>1004</v>
      </c>
      <c r="R3752" t="s">
        <v>548</v>
      </c>
      <c r="S3752" t="s">
        <v>524</v>
      </c>
      <c r="T3752" t="s">
        <v>525</v>
      </c>
    </row>
    <row r="3753" spans="1:20" x14ac:dyDescent="0.25">
      <c r="A3753" t="s">
        <v>30</v>
      </c>
      <c r="B3753" t="s">
        <v>31</v>
      </c>
      <c r="C3753" t="s">
        <v>32</v>
      </c>
      <c r="D3753" t="s">
        <v>522</v>
      </c>
      <c r="E3753" t="s">
        <v>543</v>
      </c>
      <c r="F3753" t="s">
        <v>35</v>
      </c>
      <c r="G3753" t="s">
        <v>35</v>
      </c>
      <c r="H3753" t="s">
        <v>35</v>
      </c>
      <c r="J3753" t="s">
        <v>4131</v>
      </c>
      <c r="K3753" t="s">
        <v>1092</v>
      </c>
      <c r="M3753">
        <v>0.09</v>
      </c>
      <c r="N3753">
        <v>124</v>
      </c>
      <c r="O3753" t="s">
        <v>38</v>
      </c>
      <c r="Q3753" t="s">
        <v>646</v>
      </c>
      <c r="R3753" t="s">
        <v>548</v>
      </c>
      <c r="S3753" t="s">
        <v>524</v>
      </c>
      <c r="T3753" t="s">
        <v>525</v>
      </c>
    </row>
    <row r="3754" spans="1:20" x14ac:dyDescent="0.25">
      <c r="A3754" t="s">
        <v>30</v>
      </c>
      <c r="B3754" t="s">
        <v>31</v>
      </c>
      <c r="C3754" t="s">
        <v>32</v>
      </c>
      <c r="D3754" t="s">
        <v>522</v>
      </c>
      <c r="E3754" t="s">
        <v>4207</v>
      </c>
      <c r="F3754" t="s">
        <v>35</v>
      </c>
      <c r="G3754" t="s">
        <v>35</v>
      </c>
      <c r="H3754" t="s">
        <v>35</v>
      </c>
      <c r="J3754" t="s">
        <v>4221</v>
      </c>
      <c r="K3754" t="s">
        <v>1092</v>
      </c>
      <c r="M3754">
        <v>0.18</v>
      </c>
      <c r="N3754">
        <v>38</v>
      </c>
      <c r="O3754" t="s">
        <v>52</v>
      </c>
      <c r="Q3754" t="s">
        <v>716</v>
      </c>
      <c r="R3754" t="s">
        <v>548</v>
      </c>
      <c r="S3754" t="s">
        <v>524</v>
      </c>
      <c r="T3754" t="s">
        <v>525</v>
      </c>
    </row>
    <row r="3755" spans="1:20" x14ac:dyDescent="0.25">
      <c r="A3755" t="s">
        <v>30</v>
      </c>
      <c r="B3755" t="s">
        <v>31</v>
      </c>
      <c r="C3755" t="s">
        <v>32</v>
      </c>
      <c r="D3755" t="s">
        <v>522</v>
      </c>
      <c r="E3755" t="s">
        <v>553</v>
      </c>
      <c r="F3755" t="s">
        <v>35</v>
      </c>
      <c r="G3755" t="s">
        <v>35</v>
      </c>
      <c r="H3755" t="s">
        <v>35</v>
      </c>
      <c r="J3755" t="s">
        <v>4163</v>
      </c>
      <c r="K3755" t="s">
        <v>1092</v>
      </c>
      <c r="M3755">
        <v>5.625</v>
      </c>
      <c r="N3755">
        <v>62</v>
      </c>
      <c r="O3755" t="s">
        <v>61</v>
      </c>
      <c r="Q3755" t="s">
        <v>139</v>
      </c>
      <c r="R3755" t="s">
        <v>548</v>
      </c>
      <c r="S3755" t="s">
        <v>524</v>
      </c>
      <c r="T3755" t="s">
        <v>525</v>
      </c>
    </row>
    <row r="3756" spans="1:20" x14ac:dyDescent="0.25">
      <c r="A3756" t="s">
        <v>59</v>
      </c>
      <c r="B3756" t="s">
        <v>31</v>
      </c>
      <c r="C3756" t="s">
        <v>32</v>
      </c>
      <c r="D3756" t="s">
        <v>522</v>
      </c>
      <c r="E3756" t="s">
        <v>523</v>
      </c>
      <c r="F3756" t="s">
        <v>35</v>
      </c>
      <c r="G3756" t="s">
        <v>35</v>
      </c>
      <c r="H3756" t="s">
        <v>35</v>
      </c>
      <c r="J3756" t="s">
        <v>3960</v>
      </c>
      <c r="K3756" t="s">
        <v>1092</v>
      </c>
      <c r="M3756">
        <v>0.54</v>
      </c>
      <c r="N3756">
        <v>65</v>
      </c>
      <c r="O3756" t="s">
        <v>61</v>
      </c>
      <c r="Q3756" t="s">
        <v>63</v>
      </c>
      <c r="R3756" t="s">
        <v>548</v>
      </c>
      <c r="S3756" t="s">
        <v>524</v>
      </c>
      <c r="T3756" t="s">
        <v>525</v>
      </c>
    </row>
    <row r="3757" spans="1:20" x14ac:dyDescent="0.25">
      <c r="A3757" t="s">
        <v>59</v>
      </c>
      <c r="B3757" t="s">
        <v>60</v>
      </c>
      <c r="C3757" t="s">
        <v>32</v>
      </c>
      <c r="D3757" t="s">
        <v>522</v>
      </c>
      <c r="E3757" t="s">
        <v>523</v>
      </c>
      <c r="F3757" t="s">
        <v>35</v>
      </c>
      <c r="G3757" t="s">
        <v>35</v>
      </c>
      <c r="H3757" t="s">
        <v>35</v>
      </c>
      <c r="J3757" t="s">
        <v>3960</v>
      </c>
      <c r="K3757" t="s">
        <v>1092</v>
      </c>
      <c r="M3757">
        <v>0.75</v>
      </c>
      <c r="N3757">
        <v>82</v>
      </c>
      <c r="O3757" t="s">
        <v>61</v>
      </c>
      <c r="Q3757" t="s">
        <v>299</v>
      </c>
      <c r="R3757" t="s">
        <v>548</v>
      </c>
      <c r="S3757" t="s">
        <v>524</v>
      </c>
      <c r="T3757" t="s">
        <v>525</v>
      </c>
    </row>
    <row r="3758" spans="1:20" x14ac:dyDescent="0.25">
      <c r="A3758" t="s">
        <v>44</v>
      </c>
      <c r="B3758" t="s">
        <v>51</v>
      </c>
      <c r="C3758" t="s">
        <v>32</v>
      </c>
      <c r="D3758" t="s">
        <v>522</v>
      </c>
      <c r="E3758" t="s">
        <v>523</v>
      </c>
      <c r="F3758" t="s">
        <v>35</v>
      </c>
      <c r="G3758" t="s">
        <v>35</v>
      </c>
      <c r="H3758" t="s">
        <v>35</v>
      </c>
      <c r="J3758" t="s">
        <v>3960</v>
      </c>
      <c r="K3758" t="s">
        <v>1092</v>
      </c>
      <c r="M3758">
        <v>0.75</v>
      </c>
      <c r="N3758">
        <v>73</v>
      </c>
      <c r="O3758" t="s">
        <v>61</v>
      </c>
      <c r="Q3758" t="s">
        <v>477</v>
      </c>
      <c r="R3758" t="s">
        <v>548</v>
      </c>
      <c r="S3758" t="s">
        <v>524</v>
      </c>
      <c r="T3758" t="s">
        <v>525</v>
      </c>
    </row>
    <row r="3759" spans="1:20" x14ac:dyDescent="0.25">
      <c r="A3759" t="s">
        <v>44</v>
      </c>
      <c r="B3759" t="s">
        <v>51</v>
      </c>
      <c r="C3759" t="s">
        <v>32</v>
      </c>
      <c r="D3759" t="s">
        <v>522</v>
      </c>
      <c r="E3759" t="s">
        <v>523</v>
      </c>
      <c r="F3759" t="s">
        <v>35</v>
      </c>
      <c r="G3759" t="s">
        <v>35</v>
      </c>
      <c r="H3759" t="s">
        <v>35</v>
      </c>
      <c r="J3759" t="s">
        <v>3960</v>
      </c>
      <c r="K3759" t="s">
        <v>1092</v>
      </c>
      <c r="M3759">
        <v>0.75</v>
      </c>
      <c r="N3759">
        <v>65</v>
      </c>
      <c r="O3759" t="s">
        <v>61</v>
      </c>
      <c r="Q3759" t="s">
        <v>63</v>
      </c>
      <c r="R3759" t="s">
        <v>548</v>
      </c>
      <c r="S3759" t="s">
        <v>524</v>
      </c>
      <c r="T3759" t="s">
        <v>525</v>
      </c>
    </row>
    <row r="3760" spans="1:20" x14ac:dyDescent="0.25">
      <c r="A3760" t="s">
        <v>59</v>
      </c>
      <c r="B3760" t="s">
        <v>60</v>
      </c>
      <c r="C3760" t="s">
        <v>32</v>
      </c>
      <c r="D3760" t="s">
        <v>522</v>
      </c>
      <c r="E3760" t="s">
        <v>523</v>
      </c>
      <c r="F3760" t="s">
        <v>35</v>
      </c>
      <c r="G3760" t="s">
        <v>35</v>
      </c>
      <c r="H3760" t="s">
        <v>35</v>
      </c>
      <c r="J3760" t="s">
        <v>3960</v>
      </c>
      <c r="K3760" t="s">
        <v>1092</v>
      </c>
      <c r="M3760">
        <v>0.75</v>
      </c>
      <c r="N3760">
        <v>25</v>
      </c>
      <c r="O3760" t="s">
        <v>46</v>
      </c>
      <c r="Q3760" t="s">
        <v>547</v>
      </c>
      <c r="R3760" t="s">
        <v>548</v>
      </c>
      <c r="S3760" t="s">
        <v>524</v>
      </c>
      <c r="T3760" t="s">
        <v>525</v>
      </c>
    </row>
    <row r="3761" spans="1:20" x14ac:dyDescent="0.25">
      <c r="A3761" t="s">
        <v>44</v>
      </c>
      <c r="B3761" t="s">
        <v>51</v>
      </c>
      <c r="C3761" t="s">
        <v>32</v>
      </c>
      <c r="D3761" t="s">
        <v>522</v>
      </c>
      <c r="E3761" t="s">
        <v>523</v>
      </c>
      <c r="F3761" t="s">
        <v>35</v>
      </c>
      <c r="G3761" t="s">
        <v>35</v>
      </c>
      <c r="H3761" t="s">
        <v>35</v>
      </c>
      <c r="J3761" t="s">
        <v>3960</v>
      </c>
      <c r="K3761" t="s">
        <v>1092</v>
      </c>
      <c r="M3761">
        <v>1</v>
      </c>
      <c r="N3761">
        <v>48</v>
      </c>
      <c r="O3761" t="s">
        <v>52</v>
      </c>
      <c r="Q3761" t="s">
        <v>518</v>
      </c>
      <c r="R3761" t="s">
        <v>548</v>
      </c>
      <c r="S3761" t="s">
        <v>524</v>
      </c>
      <c r="T3761" t="s">
        <v>525</v>
      </c>
    </row>
    <row r="3762" spans="1:20" x14ac:dyDescent="0.25">
      <c r="A3762" t="s">
        <v>30</v>
      </c>
      <c r="B3762" t="s">
        <v>31</v>
      </c>
      <c r="C3762" t="s">
        <v>32</v>
      </c>
      <c r="D3762" t="s">
        <v>522</v>
      </c>
      <c r="E3762" t="s">
        <v>523</v>
      </c>
      <c r="F3762" t="s">
        <v>35</v>
      </c>
      <c r="G3762" t="s">
        <v>35</v>
      </c>
      <c r="H3762" t="s">
        <v>35</v>
      </c>
      <c r="J3762" t="s">
        <v>3960</v>
      </c>
      <c r="K3762" t="s">
        <v>1092</v>
      </c>
      <c r="M3762">
        <v>0.27</v>
      </c>
      <c r="N3762">
        <v>82</v>
      </c>
      <c r="O3762" t="s">
        <v>61</v>
      </c>
      <c r="Q3762" t="s">
        <v>299</v>
      </c>
      <c r="R3762" t="s">
        <v>548</v>
      </c>
      <c r="S3762" t="s">
        <v>524</v>
      </c>
      <c r="T3762" t="s">
        <v>525</v>
      </c>
    </row>
    <row r="3763" spans="1:20" x14ac:dyDescent="0.25">
      <c r="A3763" t="s">
        <v>30</v>
      </c>
      <c r="B3763" t="s">
        <v>31</v>
      </c>
      <c r="C3763" t="s">
        <v>32</v>
      </c>
      <c r="D3763" t="s">
        <v>522</v>
      </c>
      <c r="E3763" t="s">
        <v>523</v>
      </c>
      <c r="F3763" t="s">
        <v>35</v>
      </c>
      <c r="G3763" t="s">
        <v>35</v>
      </c>
      <c r="H3763" t="s">
        <v>35</v>
      </c>
      <c r="J3763" t="s">
        <v>3960</v>
      </c>
      <c r="K3763" t="s">
        <v>1092</v>
      </c>
      <c r="M3763">
        <v>11.025</v>
      </c>
      <c r="N3763">
        <v>62</v>
      </c>
      <c r="O3763" t="s">
        <v>61</v>
      </c>
      <c r="Q3763" t="s">
        <v>139</v>
      </c>
      <c r="R3763" t="s">
        <v>548</v>
      </c>
      <c r="S3763" t="s">
        <v>524</v>
      </c>
      <c r="T3763" t="s">
        <v>525</v>
      </c>
    </row>
    <row r="3764" spans="1:20" x14ac:dyDescent="0.25">
      <c r="A3764" t="s">
        <v>30</v>
      </c>
      <c r="B3764" t="s">
        <v>31</v>
      </c>
      <c r="C3764" t="s">
        <v>32</v>
      </c>
      <c r="D3764" t="s">
        <v>522</v>
      </c>
      <c r="E3764" t="s">
        <v>4207</v>
      </c>
      <c r="F3764" t="s">
        <v>35</v>
      </c>
      <c r="G3764" t="s">
        <v>35</v>
      </c>
      <c r="H3764" t="s">
        <v>35</v>
      </c>
      <c r="J3764" t="s">
        <v>4229</v>
      </c>
      <c r="K3764" t="s">
        <v>1092</v>
      </c>
      <c r="M3764">
        <v>0.58499999999999996</v>
      </c>
      <c r="N3764">
        <v>38</v>
      </c>
      <c r="O3764" t="s">
        <v>52</v>
      </c>
      <c r="Q3764" t="s">
        <v>716</v>
      </c>
      <c r="R3764" t="s">
        <v>548</v>
      </c>
      <c r="S3764" t="s">
        <v>524</v>
      </c>
      <c r="T3764" t="s">
        <v>525</v>
      </c>
    </row>
    <row r="3765" spans="1:20" x14ac:dyDescent="0.25">
      <c r="A3765" t="s">
        <v>30</v>
      </c>
      <c r="B3765" t="s">
        <v>31</v>
      </c>
      <c r="C3765" t="s">
        <v>32</v>
      </c>
      <c r="D3765" t="s">
        <v>522</v>
      </c>
      <c r="E3765" t="s">
        <v>523</v>
      </c>
      <c r="F3765" t="s">
        <v>35</v>
      </c>
      <c r="G3765" t="s">
        <v>35</v>
      </c>
      <c r="H3765" t="s">
        <v>35</v>
      </c>
      <c r="J3765" t="s">
        <v>3988</v>
      </c>
      <c r="K3765" t="s">
        <v>1092</v>
      </c>
      <c r="M3765">
        <v>11.25</v>
      </c>
      <c r="N3765">
        <v>90</v>
      </c>
      <c r="O3765" t="s">
        <v>61</v>
      </c>
      <c r="Q3765" t="s">
        <v>557</v>
      </c>
      <c r="R3765" t="s">
        <v>548</v>
      </c>
      <c r="S3765" t="s">
        <v>524</v>
      </c>
      <c r="T3765" t="s">
        <v>525</v>
      </c>
    </row>
    <row r="3766" spans="1:20" x14ac:dyDescent="0.25">
      <c r="A3766" t="s">
        <v>44</v>
      </c>
      <c r="B3766" t="s">
        <v>51</v>
      </c>
      <c r="C3766" t="s">
        <v>32</v>
      </c>
      <c r="D3766" t="s">
        <v>522</v>
      </c>
      <c r="E3766" t="s">
        <v>523</v>
      </c>
      <c r="F3766" t="s">
        <v>35</v>
      </c>
      <c r="G3766" t="s">
        <v>35</v>
      </c>
      <c r="H3766" t="s">
        <v>35</v>
      </c>
      <c r="J3766" t="s">
        <v>3964</v>
      </c>
      <c r="K3766" t="s">
        <v>1092</v>
      </c>
      <c r="M3766">
        <v>9.75</v>
      </c>
      <c r="N3766">
        <v>65</v>
      </c>
      <c r="O3766" t="s">
        <v>61</v>
      </c>
      <c r="Q3766" t="s">
        <v>63</v>
      </c>
      <c r="R3766" t="s">
        <v>548</v>
      </c>
      <c r="S3766" t="s">
        <v>524</v>
      </c>
      <c r="T3766" t="s">
        <v>525</v>
      </c>
    </row>
    <row r="3767" spans="1:20" x14ac:dyDescent="0.25">
      <c r="A3767" t="s">
        <v>59</v>
      </c>
      <c r="B3767" t="s">
        <v>31</v>
      </c>
      <c r="C3767" t="s">
        <v>32</v>
      </c>
      <c r="D3767" t="s">
        <v>522</v>
      </c>
      <c r="E3767" t="s">
        <v>543</v>
      </c>
      <c r="F3767" t="s">
        <v>35</v>
      </c>
      <c r="G3767" t="s">
        <v>35</v>
      </c>
      <c r="H3767" t="s">
        <v>35</v>
      </c>
      <c r="J3767" t="s">
        <v>4096</v>
      </c>
      <c r="K3767" t="s">
        <v>1092</v>
      </c>
      <c r="M3767">
        <v>2.1150000000000002</v>
      </c>
      <c r="N3767">
        <v>132</v>
      </c>
      <c r="O3767" t="s">
        <v>38</v>
      </c>
      <c r="Q3767" t="s">
        <v>1696</v>
      </c>
      <c r="R3767" t="s">
        <v>548</v>
      </c>
      <c r="S3767" t="s">
        <v>524</v>
      </c>
      <c r="T3767" t="s">
        <v>525</v>
      </c>
    </row>
    <row r="3768" spans="1:20" x14ac:dyDescent="0.25">
      <c r="A3768" t="s">
        <v>30</v>
      </c>
      <c r="B3768" t="s">
        <v>31</v>
      </c>
      <c r="C3768" t="s">
        <v>32</v>
      </c>
      <c r="D3768" t="s">
        <v>522</v>
      </c>
      <c r="E3768" t="s">
        <v>523</v>
      </c>
      <c r="F3768" t="s">
        <v>35</v>
      </c>
      <c r="G3768" t="s">
        <v>35</v>
      </c>
      <c r="H3768" t="s">
        <v>35</v>
      </c>
      <c r="J3768" t="s">
        <v>4014</v>
      </c>
      <c r="K3768" t="s">
        <v>1092</v>
      </c>
      <c r="M3768">
        <v>0.67500000000000004</v>
      </c>
      <c r="N3768">
        <v>25</v>
      </c>
      <c r="O3768" t="s">
        <v>46</v>
      </c>
      <c r="Q3768" t="s">
        <v>547</v>
      </c>
      <c r="R3768" t="s">
        <v>548</v>
      </c>
      <c r="S3768" t="s">
        <v>524</v>
      </c>
      <c r="T3768" t="s">
        <v>525</v>
      </c>
    </row>
    <row r="3769" spans="1:20" x14ac:dyDescent="0.25">
      <c r="A3769" t="s">
        <v>59</v>
      </c>
      <c r="B3769" t="s">
        <v>60</v>
      </c>
      <c r="C3769" t="s">
        <v>32</v>
      </c>
      <c r="D3769" t="s">
        <v>522</v>
      </c>
      <c r="E3769" t="s">
        <v>523</v>
      </c>
      <c r="F3769" t="s">
        <v>35</v>
      </c>
      <c r="G3769" t="s">
        <v>35</v>
      </c>
      <c r="H3769" t="s">
        <v>35</v>
      </c>
      <c r="J3769" t="s">
        <v>4014</v>
      </c>
      <c r="K3769" t="s">
        <v>1092</v>
      </c>
      <c r="M3769">
        <v>1</v>
      </c>
      <c r="N3769">
        <v>25</v>
      </c>
      <c r="O3769" t="s">
        <v>46</v>
      </c>
      <c r="Q3769" t="s">
        <v>547</v>
      </c>
      <c r="R3769" t="s">
        <v>548</v>
      </c>
      <c r="S3769" t="s">
        <v>524</v>
      </c>
      <c r="T3769" t="s">
        <v>525</v>
      </c>
    </row>
    <row r="3770" spans="1:20" x14ac:dyDescent="0.25">
      <c r="A3770" t="s">
        <v>30</v>
      </c>
      <c r="B3770" t="s">
        <v>31</v>
      </c>
      <c r="C3770" t="s">
        <v>32</v>
      </c>
      <c r="D3770" t="s">
        <v>522</v>
      </c>
      <c r="E3770" t="s">
        <v>543</v>
      </c>
      <c r="F3770" t="s">
        <v>35</v>
      </c>
      <c r="G3770" t="s">
        <v>35</v>
      </c>
      <c r="H3770" t="s">
        <v>35</v>
      </c>
      <c r="J3770" t="s">
        <v>4135</v>
      </c>
      <c r="K3770" t="s">
        <v>1092</v>
      </c>
      <c r="M3770">
        <v>1.35</v>
      </c>
      <c r="N3770">
        <v>38</v>
      </c>
      <c r="O3770" t="s">
        <v>52</v>
      </c>
      <c r="Q3770" t="s">
        <v>716</v>
      </c>
      <c r="R3770" t="s">
        <v>548</v>
      </c>
      <c r="S3770" t="s">
        <v>524</v>
      </c>
      <c r="T3770" t="s">
        <v>525</v>
      </c>
    </row>
    <row r="3771" spans="1:20" x14ac:dyDescent="0.25">
      <c r="A3771" t="s">
        <v>59</v>
      </c>
      <c r="B3771" t="s">
        <v>31</v>
      </c>
      <c r="C3771" t="s">
        <v>32</v>
      </c>
      <c r="D3771" t="s">
        <v>522</v>
      </c>
      <c r="E3771" t="s">
        <v>4207</v>
      </c>
      <c r="F3771" t="s">
        <v>35</v>
      </c>
      <c r="G3771" t="s">
        <v>35</v>
      </c>
      <c r="H3771" t="s">
        <v>35</v>
      </c>
      <c r="J3771" t="s">
        <v>4245</v>
      </c>
      <c r="K3771" t="s">
        <v>1092</v>
      </c>
      <c r="M3771">
        <v>0.09</v>
      </c>
      <c r="N3771">
        <v>124</v>
      </c>
      <c r="O3771" t="s">
        <v>38</v>
      </c>
      <c r="Q3771" t="s">
        <v>646</v>
      </c>
      <c r="R3771" t="s">
        <v>548</v>
      </c>
      <c r="S3771" t="s">
        <v>524</v>
      </c>
      <c r="T3771" t="s">
        <v>525</v>
      </c>
    </row>
    <row r="3772" spans="1:20" x14ac:dyDescent="0.25">
      <c r="A3772" t="s">
        <v>59</v>
      </c>
      <c r="B3772" t="s">
        <v>31</v>
      </c>
      <c r="C3772" t="s">
        <v>32</v>
      </c>
      <c r="D3772" t="s">
        <v>522</v>
      </c>
      <c r="E3772" t="s">
        <v>523</v>
      </c>
      <c r="F3772" t="s">
        <v>35</v>
      </c>
      <c r="G3772" t="s">
        <v>35</v>
      </c>
      <c r="H3772" t="s">
        <v>35</v>
      </c>
      <c r="J3772" t="s">
        <v>4027</v>
      </c>
      <c r="K3772" t="s">
        <v>1092</v>
      </c>
      <c r="M3772">
        <v>0.27</v>
      </c>
      <c r="N3772">
        <v>51</v>
      </c>
      <c r="O3772" t="s">
        <v>52</v>
      </c>
      <c r="Q3772" t="s">
        <v>58</v>
      </c>
      <c r="R3772" t="s">
        <v>548</v>
      </c>
      <c r="S3772" t="s">
        <v>524</v>
      </c>
      <c r="T3772" t="s">
        <v>525</v>
      </c>
    </row>
    <row r="3773" spans="1:20" x14ac:dyDescent="0.25">
      <c r="A3773" t="s">
        <v>30</v>
      </c>
      <c r="B3773" t="s">
        <v>31</v>
      </c>
      <c r="C3773" t="s">
        <v>32</v>
      </c>
      <c r="D3773" t="s">
        <v>522</v>
      </c>
      <c r="E3773" t="s">
        <v>523</v>
      </c>
      <c r="F3773" t="s">
        <v>35</v>
      </c>
      <c r="G3773" t="s">
        <v>35</v>
      </c>
      <c r="H3773" t="s">
        <v>35</v>
      </c>
      <c r="J3773" t="s">
        <v>4027</v>
      </c>
      <c r="K3773" t="s">
        <v>1092</v>
      </c>
      <c r="M3773">
        <v>0.36</v>
      </c>
      <c r="N3773">
        <v>51</v>
      </c>
      <c r="O3773" t="s">
        <v>52</v>
      </c>
      <c r="Q3773" t="s">
        <v>58</v>
      </c>
      <c r="R3773" t="s">
        <v>548</v>
      </c>
      <c r="S3773" t="s">
        <v>524</v>
      </c>
      <c r="T3773" t="s">
        <v>525</v>
      </c>
    </row>
    <row r="3774" spans="1:20" x14ac:dyDescent="0.25">
      <c r="A3774" t="s">
        <v>59</v>
      </c>
      <c r="B3774" t="s">
        <v>60</v>
      </c>
      <c r="C3774" t="s">
        <v>32</v>
      </c>
      <c r="D3774" t="s">
        <v>522</v>
      </c>
      <c r="E3774" t="s">
        <v>523</v>
      </c>
      <c r="F3774" t="s">
        <v>35</v>
      </c>
      <c r="G3774" t="s">
        <v>35</v>
      </c>
      <c r="H3774" t="s">
        <v>35</v>
      </c>
      <c r="J3774" t="s">
        <v>3966</v>
      </c>
      <c r="K3774" t="s">
        <v>1092</v>
      </c>
      <c r="M3774">
        <v>0.15</v>
      </c>
      <c r="N3774">
        <v>26</v>
      </c>
      <c r="O3774" t="s">
        <v>46</v>
      </c>
      <c r="Q3774" t="s">
        <v>137</v>
      </c>
      <c r="R3774" t="s">
        <v>548</v>
      </c>
      <c r="S3774" t="s">
        <v>524</v>
      </c>
      <c r="T3774" t="s">
        <v>525</v>
      </c>
    </row>
    <row r="3775" spans="1:20" x14ac:dyDescent="0.25">
      <c r="A3775" t="s">
        <v>59</v>
      </c>
      <c r="B3775" t="s">
        <v>60</v>
      </c>
      <c r="C3775" t="s">
        <v>32</v>
      </c>
      <c r="D3775" t="s">
        <v>522</v>
      </c>
      <c r="E3775" t="s">
        <v>523</v>
      </c>
      <c r="F3775" t="s">
        <v>35</v>
      </c>
      <c r="G3775" t="s">
        <v>35</v>
      </c>
      <c r="H3775" t="s">
        <v>35</v>
      </c>
      <c r="J3775" t="s">
        <v>3966</v>
      </c>
      <c r="K3775" t="s">
        <v>1092</v>
      </c>
      <c r="M3775">
        <v>0.25</v>
      </c>
      <c r="N3775">
        <v>48</v>
      </c>
      <c r="O3775" t="s">
        <v>52</v>
      </c>
      <c r="Q3775" t="s">
        <v>518</v>
      </c>
      <c r="R3775" t="s">
        <v>548</v>
      </c>
      <c r="S3775" t="s">
        <v>524</v>
      </c>
      <c r="T3775" t="s">
        <v>525</v>
      </c>
    </row>
    <row r="3776" spans="1:20" x14ac:dyDescent="0.25">
      <c r="A3776" t="s">
        <v>59</v>
      </c>
      <c r="B3776" t="s">
        <v>31</v>
      </c>
      <c r="C3776" t="s">
        <v>32</v>
      </c>
      <c r="D3776" t="s">
        <v>522</v>
      </c>
      <c r="E3776" t="s">
        <v>523</v>
      </c>
      <c r="F3776" t="s">
        <v>35</v>
      </c>
      <c r="G3776" t="s">
        <v>35</v>
      </c>
      <c r="H3776" t="s">
        <v>35</v>
      </c>
      <c r="J3776" t="s">
        <v>3966</v>
      </c>
      <c r="K3776" t="s">
        <v>1092</v>
      </c>
      <c r="M3776">
        <v>1.35</v>
      </c>
      <c r="N3776">
        <v>60</v>
      </c>
      <c r="O3776" t="s">
        <v>52</v>
      </c>
      <c r="Q3776" t="s">
        <v>1311</v>
      </c>
      <c r="R3776" t="s">
        <v>548</v>
      </c>
      <c r="S3776" t="s">
        <v>524</v>
      </c>
      <c r="T3776" t="s">
        <v>525</v>
      </c>
    </row>
    <row r="3777" spans="1:20" x14ac:dyDescent="0.25">
      <c r="A3777" t="s">
        <v>59</v>
      </c>
      <c r="B3777" t="s">
        <v>60</v>
      </c>
      <c r="C3777" t="s">
        <v>32</v>
      </c>
      <c r="D3777" t="s">
        <v>522</v>
      </c>
      <c r="E3777" t="s">
        <v>523</v>
      </c>
      <c r="F3777" t="s">
        <v>35</v>
      </c>
      <c r="G3777" t="s">
        <v>35</v>
      </c>
      <c r="H3777" t="s">
        <v>35</v>
      </c>
      <c r="J3777" t="s">
        <v>3944</v>
      </c>
      <c r="K3777" t="s">
        <v>1092</v>
      </c>
      <c r="M3777">
        <v>0.5</v>
      </c>
      <c r="N3777">
        <v>279</v>
      </c>
      <c r="O3777" t="s">
        <v>5</v>
      </c>
      <c r="Q3777" t="s">
        <v>3945</v>
      </c>
      <c r="R3777" t="s">
        <v>548</v>
      </c>
      <c r="S3777" t="s">
        <v>524</v>
      </c>
      <c r="T3777" t="s">
        <v>525</v>
      </c>
    </row>
    <row r="3778" spans="1:20" x14ac:dyDescent="0.25">
      <c r="A3778" t="s">
        <v>30</v>
      </c>
      <c r="B3778" t="s">
        <v>31</v>
      </c>
      <c r="C3778" t="s">
        <v>32</v>
      </c>
      <c r="D3778" t="s">
        <v>522</v>
      </c>
      <c r="E3778" t="s">
        <v>523</v>
      </c>
      <c r="F3778" t="s">
        <v>35</v>
      </c>
      <c r="G3778" t="s">
        <v>35</v>
      </c>
      <c r="H3778" t="s">
        <v>35</v>
      </c>
      <c r="J3778" t="s">
        <v>3944</v>
      </c>
      <c r="K3778" t="s">
        <v>1092</v>
      </c>
      <c r="M3778">
        <v>0.67500000000000004</v>
      </c>
      <c r="N3778">
        <v>25</v>
      </c>
      <c r="O3778" t="s">
        <v>46</v>
      </c>
      <c r="Q3778" t="s">
        <v>547</v>
      </c>
      <c r="R3778" t="s">
        <v>548</v>
      </c>
      <c r="S3778" t="s">
        <v>524</v>
      </c>
      <c r="T3778" t="s">
        <v>525</v>
      </c>
    </row>
    <row r="3779" spans="1:20" x14ac:dyDescent="0.25">
      <c r="A3779" t="s">
        <v>30</v>
      </c>
      <c r="B3779" t="s">
        <v>31</v>
      </c>
      <c r="C3779" t="s">
        <v>32</v>
      </c>
      <c r="D3779" t="s">
        <v>522</v>
      </c>
      <c r="E3779" t="s">
        <v>523</v>
      </c>
      <c r="F3779" t="s">
        <v>35</v>
      </c>
      <c r="G3779" t="s">
        <v>35</v>
      </c>
      <c r="H3779" t="s">
        <v>35</v>
      </c>
      <c r="J3779" t="s">
        <v>3944</v>
      </c>
      <c r="K3779" t="s">
        <v>1092</v>
      </c>
      <c r="M3779">
        <v>17.82</v>
      </c>
      <c r="N3779">
        <v>62</v>
      </c>
      <c r="O3779" t="s">
        <v>61</v>
      </c>
      <c r="Q3779" t="s">
        <v>139</v>
      </c>
      <c r="R3779" t="s">
        <v>548</v>
      </c>
      <c r="S3779" t="s">
        <v>524</v>
      </c>
      <c r="T3779" t="s">
        <v>525</v>
      </c>
    </row>
    <row r="3780" spans="1:20" x14ac:dyDescent="0.25">
      <c r="A3780" t="s">
        <v>59</v>
      </c>
      <c r="B3780" t="s">
        <v>60</v>
      </c>
      <c r="C3780" t="s">
        <v>32</v>
      </c>
      <c r="D3780" t="s">
        <v>522</v>
      </c>
      <c r="E3780" t="s">
        <v>523</v>
      </c>
      <c r="F3780" t="s">
        <v>35</v>
      </c>
      <c r="G3780" t="s">
        <v>35</v>
      </c>
      <c r="H3780" t="s">
        <v>35</v>
      </c>
      <c r="J3780" t="s">
        <v>3944</v>
      </c>
      <c r="K3780" t="s">
        <v>1092</v>
      </c>
      <c r="M3780">
        <v>2.25</v>
      </c>
      <c r="N3780">
        <v>25</v>
      </c>
      <c r="O3780" t="s">
        <v>46</v>
      </c>
      <c r="Q3780" t="s">
        <v>547</v>
      </c>
      <c r="R3780" t="s">
        <v>548</v>
      </c>
      <c r="S3780" t="s">
        <v>524</v>
      </c>
      <c r="T3780" t="s">
        <v>525</v>
      </c>
    </row>
    <row r="3781" spans="1:20" x14ac:dyDescent="0.25">
      <c r="A3781" t="s">
        <v>59</v>
      </c>
      <c r="B3781" t="s">
        <v>60</v>
      </c>
      <c r="C3781" t="s">
        <v>32</v>
      </c>
      <c r="D3781" t="s">
        <v>522</v>
      </c>
      <c r="E3781" t="s">
        <v>4181</v>
      </c>
      <c r="F3781" t="s">
        <v>35</v>
      </c>
      <c r="G3781" t="s">
        <v>35</v>
      </c>
      <c r="H3781" t="s">
        <v>35</v>
      </c>
      <c r="J3781" t="s">
        <v>4202</v>
      </c>
      <c r="K3781" t="s">
        <v>1092</v>
      </c>
      <c r="M3781">
        <v>0.8</v>
      </c>
      <c r="N3781">
        <v>220</v>
      </c>
      <c r="O3781" t="s">
        <v>5</v>
      </c>
      <c r="Q3781" t="s">
        <v>2236</v>
      </c>
      <c r="R3781" t="s">
        <v>548</v>
      </c>
      <c r="S3781" t="s">
        <v>524</v>
      </c>
      <c r="T3781" t="s">
        <v>525</v>
      </c>
    </row>
    <row r="3782" spans="1:20" x14ac:dyDescent="0.25">
      <c r="A3782" t="s">
        <v>30</v>
      </c>
      <c r="B3782" t="s">
        <v>31</v>
      </c>
      <c r="C3782" t="s">
        <v>32</v>
      </c>
      <c r="D3782" t="s">
        <v>522</v>
      </c>
      <c r="E3782" t="s">
        <v>4181</v>
      </c>
      <c r="F3782" t="s">
        <v>35</v>
      </c>
      <c r="G3782" t="s">
        <v>35</v>
      </c>
      <c r="H3782" t="s">
        <v>35</v>
      </c>
      <c r="J3782" t="s">
        <v>4202</v>
      </c>
      <c r="K3782" t="s">
        <v>1092</v>
      </c>
      <c r="M3782">
        <v>11.25</v>
      </c>
      <c r="N3782">
        <v>38</v>
      </c>
      <c r="O3782" t="s">
        <v>52</v>
      </c>
      <c r="Q3782" t="s">
        <v>716</v>
      </c>
      <c r="R3782" t="s">
        <v>548</v>
      </c>
      <c r="S3782" t="s">
        <v>524</v>
      </c>
      <c r="T3782" t="s">
        <v>525</v>
      </c>
    </row>
    <row r="3783" spans="1:20" x14ac:dyDescent="0.25">
      <c r="A3783" t="s">
        <v>30</v>
      </c>
      <c r="B3783" t="s">
        <v>31</v>
      </c>
      <c r="C3783" t="s">
        <v>32</v>
      </c>
      <c r="D3783" t="s">
        <v>522</v>
      </c>
      <c r="E3783" t="s">
        <v>561</v>
      </c>
      <c r="F3783" t="s">
        <v>35</v>
      </c>
      <c r="G3783" t="s">
        <v>35</v>
      </c>
      <c r="H3783" t="s">
        <v>35</v>
      </c>
      <c r="J3783" t="s">
        <v>4289</v>
      </c>
      <c r="K3783" t="s">
        <v>1092</v>
      </c>
      <c r="M3783">
        <v>11.025</v>
      </c>
      <c r="N3783">
        <v>38</v>
      </c>
      <c r="O3783" t="s">
        <v>52</v>
      </c>
      <c r="Q3783" t="s">
        <v>716</v>
      </c>
      <c r="R3783" t="s">
        <v>548</v>
      </c>
      <c r="S3783" t="s">
        <v>524</v>
      </c>
      <c r="T3783" t="s">
        <v>525</v>
      </c>
    </row>
    <row r="3784" spans="1:20" x14ac:dyDescent="0.25">
      <c r="A3784" t="s">
        <v>44</v>
      </c>
      <c r="B3784" t="s">
        <v>51</v>
      </c>
      <c r="C3784" t="s">
        <v>32</v>
      </c>
      <c r="D3784" t="s">
        <v>522</v>
      </c>
      <c r="E3784" t="s">
        <v>523</v>
      </c>
      <c r="F3784" t="s">
        <v>35</v>
      </c>
      <c r="G3784" t="s">
        <v>35</v>
      </c>
      <c r="H3784" t="s">
        <v>35</v>
      </c>
      <c r="J3784" t="s">
        <v>4009</v>
      </c>
      <c r="K3784" t="s">
        <v>1092</v>
      </c>
      <c r="M3784">
        <v>0.5</v>
      </c>
      <c r="N3784">
        <v>59</v>
      </c>
      <c r="O3784" t="s">
        <v>52</v>
      </c>
      <c r="Q3784" t="s">
        <v>203</v>
      </c>
      <c r="R3784" t="s">
        <v>548</v>
      </c>
      <c r="S3784" t="s">
        <v>524</v>
      </c>
      <c r="T3784" t="s">
        <v>525</v>
      </c>
    </row>
    <row r="3785" spans="1:20" x14ac:dyDescent="0.25">
      <c r="A3785" t="s">
        <v>44</v>
      </c>
      <c r="B3785" t="s">
        <v>51</v>
      </c>
      <c r="C3785" t="s">
        <v>32</v>
      </c>
      <c r="D3785" t="s">
        <v>522</v>
      </c>
      <c r="E3785" t="s">
        <v>523</v>
      </c>
      <c r="F3785" t="s">
        <v>35</v>
      </c>
      <c r="G3785" t="s">
        <v>35</v>
      </c>
      <c r="H3785" t="s">
        <v>35</v>
      </c>
      <c r="J3785" t="s">
        <v>4009</v>
      </c>
      <c r="K3785" t="s">
        <v>1092</v>
      </c>
      <c r="M3785">
        <v>0.1</v>
      </c>
      <c r="N3785">
        <v>65</v>
      </c>
      <c r="O3785" t="s">
        <v>61</v>
      </c>
      <c r="Q3785" t="s">
        <v>63</v>
      </c>
      <c r="R3785" t="s">
        <v>548</v>
      </c>
      <c r="S3785" t="s">
        <v>524</v>
      </c>
      <c r="T3785" t="s">
        <v>525</v>
      </c>
    </row>
    <row r="3786" spans="1:20" x14ac:dyDescent="0.25">
      <c r="A3786" t="s">
        <v>59</v>
      </c>
      <c r="B3786" t="s">
        <v>31</v>
      </c>
      <c r="C3786" t="s">
        <v>32</v>
      </c>
      <c r="D3786" t="s">
        <v>522</v>
      </c>
      <c r="E3786" t="s">
        <v>523</v>
      </c>
      <c r="F3786" t="s">
        <v>35</v>
      </c>
      <c r="G3786" t="s">
        <v>35</v>
      </c>
      <c r="H3786" t="s">
        <v>35</v>
      </c>
      <c r="J3786" t="s">
        <v>4009</v>
      </c>
      <c r="K3786" t="s">
        <v>1092</v>
      </c>
      <c r="M3786">
        <v>0.495</v>
      </c>
      <c r="N3786">
        <v>65</v>
      </c>
      <c r="O3786" t="s">
        <v>61</v>
      </c>
      <c r="Q3786" t="s">
        <v>63</v>
      </c>
      <c r="R3786" t="s">
        <v>548</v>
      </c>
      <c r="S3786" t="s">
        <v>524</v>
      </c>
      <c r="T3786" t="s">
        <v>525</v>
      </c>
    </row>
    <row r="3787" spans="1:20" x14ac:dyDescent="0.25">
      <c r="A3787" t="s">
        <v>30</v>
      </c>
      <c r="B3787" t="s">
        <v>31</v>
      </c>
      <c r="C3787" t="s">
        <v>32</v>
      </c>
      <c r="D3787" t="s">
        <v>522</v>
      </c>
      <c r="E3787" t="s">
        <v>523</v>
      </c>
      <c r="F3787" t="s">
        <v>35</v>
      </c>
      <c r="G3787" t="s">
        <v>35</v>
      </c>
      <c r="H3787" t="s">
        <v>35</v>
      </c>
      <c r="J3787" t="s">
        <v>4009</v>
      </c>
      <c r="K3787" t="s">
        <v>1092</v>
      </c>
      <c r="M3787">
        <v>1.35</v>
      </c>
      <c r="N3787">
        <v>25</v>
      </c>
      <c r="O3787" t="s">
        <v>46</v>
      </c>
      <c r="Q3787" t="s">
        <v>547</v>
      </c>
      <c r="R3787" t="s">
        <v>548</v>
      </c>
      <c r="S3787" t="s">
        <v>524</v>
      </c>
      <c r="T3787" t="s">
        <v>525</v>
      </c>
    </row>
    <row r="3788" spans="1:20" x14ac:dyDescent="0.25">
      <c r="A3788" t="s">
        <v>30</v>
      </c>
      <c r="B3788" t="s">
        <v>31</v>
      </c>
      <c r="C3788" t="s">
        <v>32</v>
      </c>
      <c r="D3788" t="s">
        <v>522</v>
      </c>
      <c r="E3788" t="s">
        <v>523</v>
      </c>
      <c r="F3788" t="s">
        <v>35</v>
      </c>
      <c r="G3788" t="s">
        <v>35</v>
      </c>
      <c r="H3788" t="s">
        <v>35</v>
      </c>
      <c r="J3788" t="s">
        <v>4009</v>
      </c>
      <c r="K3788" t="s">
        <v>1092</v>
      </c>
      <c r="M3788">
        <v>4.3</v>
      </c>
      <c r="N3788">
        <v>26</v>
      </c>
      <c r="O3788" t="s">
        <v>46</v>
      </c>
      <c r="Q3788" t="s">
        <v>137</v>
      </c>
      <c r="R3788" t="s">
        <v>548</v>
      </c>
      <c r="S3788" t="s">
        <v>524</v>
      </c>
      <c r="T3788" t="s">
        <v>525</v>
      </c>
    </row>
    <row r="3789" spans="1:20" x14ac:dyDescent="0.25">
      <c r="A3789" t="s">
        <v>59</v>
      </c>
      <c r="B3789" t="s">
        <v>31</v>
      </c>
      <c r="C3789" t="s">
        <v>32</v>
      </c>
      <c r="D3789" t="s">
        <v>522</v>
      </c>
      <c r="E3789" t="s">
        <v>523</v>
      </c>
      <c r="F3789" t="s">
        <v>35</v>
      </c>
      <c r="G3789" t="s">
        <v>35</v>
      </c>
      <c r="H3789" t="s">
        <v>35</v>
      </c>
      <c r="J3789" t="s">
        <v>4009</v>
      </c>
      <c r="K3789" t="s">
        <v>1092</v>
      </c>
      <c r="M3789">
        <v>2.25</v>
      </c>
      <c r="N3789">
        <v>62</v>
      </c>
      <c r="O3789" t="s">
        <v>61</v>
      </c>
      <c r="Q3789" t="s">
        <v>139</v>
      </c>
      <c r="R3789" t="s">
        <v>548</v>
      </c>
      <c r="S3789" t="s">
        <v>524</v>
      </c>
      <c r="T3789" t="s">
        <v>525</v>
      </c>
    </row>
    <row r="3790" spans="1:20" x14ac:dyDescent="0.25">
      <c r="A3790" t="s">
        <v>59</v>
      </c>
      <c r="B3790" t="s">
        <v>60</v>
      </c>
      <c r="C3790" t="s">
        <v>32</v>
      </c>
      <c r="D3790" t="s">
        <v>522</v>
      </c>
      <c r="E3790" t="s">
        <v>523</v>
      </c>
      <c r="F3790" t="s">
        <v>35</v>
      </c>
      <c r="G3790" t="s">
        <v>35</v>
      </c>
      <c r="H3790" t="s">
        <v>35</v>
      </c>
      <c r="J3790" t="s">
        <v>4009</v>
      </c>
      <c r="K3790" t="s">
        <v>1092</v>
      </c>
      <c r="M3790">
        <v>0.25</v>
      </c>
      <c r="N3790">
        <v>26</v>
      </c>
      <c r="O3790" t="s">
        <v>46</v>
      </c>
      <c r="Q3790" t="s">
        <v>137</v>
      </c>
      <c r="R3790" t="s">
        <v>548</v>
      </c>
      <c r="S3790" t="s">
        <v>524</v>
      </c>
      <c r="T3790" t="s">
        <v>525</v>
      </c>
    </row>
    <row r="3791" spans="1:20" x14ac:dyDescent="0.25">
      <c r="A3791" t="s">
        <v>44</v>
      </c>
      <c r="B3791" t="s">
        <v>51</v>
      </c>
      <c r="C3791" t="s">
        <v>32</v>
      </c>
      <c r="D3791" t="s">
        <v>522</v>
      </c>
      <c r="E3791" t="s">
        <v>523</v>
      </c>
      <c r="F3791" t="s">
        <v>35</v>
      </c>
      <c r="G3791" t="s">
        <v>35</v>
      </c>
      <c r="H3791" t="s">
        <v>35</v>
      </c>
      <c r="J3791" t="s">
        <v>4009</v>
      </c>
      <c r="K3791" t="s">
        <v>1092</v>
      </c>
      <c r="M3791">
        <v>0.75</v>
      </c>
      <c r="N3791">
        <v>48</v>
      </c>
      <c r="O3791" t="s">
        <v>52</v>
      </c>
      <c r="Q3791" t="s">
        <v>518</v>
      </c>
      <c r="R3791" t="s">
        <v>548</v>
      </c>
      <c r="S3791" t="s">
        <v>524</v>
      </c>
      <c r="T3791" t="s">
        <v>525</v>
      </c>
    </row>
    <row r="3792" spans="1:20" x14ac:dyDescent="0.25">
      <c r="A3792" t="s">
        <v>30</v>
      </c>
      <c r="B3792" t="s">
        <v>31</v>
      </c>
      <c r="C3792" t="s">
        <v>32</v>
      </c>
      <c r="D3792" t="s">
        <v>522</v>
      </c>
      <c r="E3792" t="s">
        <v>523</v>
      </c>
      <c r="F3792" t="s">
        <v>35</v>
      </c>
      <c r="G3792" t="s">
        <v>35</v>
      </c>
      <c r="H3792" t="s">
        <v>35</v>
      </c>
      <c r="J3792" t="s">
        <v>3962</v>
      </c>
      <c r="K3792" t="s">
        <v>1092</v>
      </c>
      <c r="M3792">
        <v>4.4999999999999998E-2</v>
      </c>
      <c r="N3792">
        <v>48</v>
      </c>
      <c r="O3792" t="s">
        <v>52</v>
      </c>
      <c r="Q3792" t="s">
        <v>518</v>
      </c>
      <c r="R3792" t="s">
        <v>548</v>
      </c>
      <c r="S3792" t="s">
        <v>524</v>
      </c>
      <c r="T3792" t="s">
        <v>525</v>
      </c>
    </row>
    <row r="3793" spans="1:20" x14ac:dyDescent="0.25">
      <c r="A3793" t="s">
        <v>30</v>
      </c>
      <c r="B3793" t="s">
        <v>31</v>
      </c>
      <c r="C3793" t="s">
        <v>32</v>
      </c>
      <c r="D3793" t="s">
        <v>522</v>
      </c>
      <c r="E3793" t="s">
        <v>523</v>
      </c>
      <c r="F3793" t="s">
        <v>35</v>
      </c>
      <c r="G3793" t="s">
        <v>35</v>
      </c>
      <c r="H3793" t="s">
        <v>35</v>
      </c>
      <c r="J3793" t="s">
        <v>3962</v>
      </c>
      <c r="K3793" t="s">
        <v>1092</v>
      </c>
      <c r="M3793">
        <v>1.3049999999999999</v>
      </c>
      <c r="N3793">
        <v>25</v>
      </c>
      <c r="O3793" t="s">
        <v>46</v>
      </c>
      <c r="Q3793" t="s">
        <v>547</v>
      </c>
      <c r="R3793" t="s">
        <v>548</v>
      </c>
      <c r="S3793" t="s">
        <v>524</v>
      </c>
      <c r="T3793" t="s">
        <v>525</v>
      </c>
    </row>
    <row r="3794" spans="1:20" x14ac:dyDescent="0.25">
      <c r="A3794" t="s">
        <v>59</v>
      </c>
      <c r="B3794" t="s">
        <v>31</v>
      </c>
      <c r="C3794" t="s">
        <v>32</v>
      </c>
      <c r="D3794" t="s">
        <v>522</v>
      </c>
      <c r="E3794" t="s">
        <v>523</v>
      </c>
      <c r="F3794" t="s">
        <v>35</v>
      </c>
      <c r="G3794" t="s">
        <v>35</v>
      </c>
      <c r="H3794" t="s">
        <v>35</v>
      </c>
      <c r="J3794" t="s">
        <v>3962</v>
      </c>
      <c r="K3794" t="s">
        <v>1092</v>
      </c>
      <c r="M3794">
        <v>0.45</v>
      </c>
      <c r="N3794">
        <v>65</v>
      </c>
      <c r="O3794" t="s">
        <v>61</v>
      </c>
      <c r="Q3794" t="s">
        <v>63</v>
      </c>
      <c r="R3794" t="s">
        <v>548</v>
      </c>
      <c r="S3794" t="s">
        <v>524</v>
      </c>
      <c r="T3794" t="s">
        <v>525</v>
      </c>
    </row>
    <row r="3795" spans="1:20" x14ac:dyDescent="0.25">
      <c r="A3795" t="s">
        <v>59</v>
      </c>
      <c r="B3795" t="s">
        <v>31</v>
      </c>
      <c r="C3795" t="s">
        <v>32</v>
      </c>
      <c r="D3795" t="s">
        <v>522</v>
      </c>
      <c r="E3795" t="s">
        <v>523</v>
      </c>
      <c r="F3795" t="s">
        <v>35</v>
      </c>
      <c r="G3795" t="s">
        <v>35</v>
      </c>
      <c r="H3795" t="s">
        <v>35</v>
      </c>
      <c r="J3795" t="s">
        <v>3962</v>
      </c>
      <c r="K3795" t="s">
        <v>1092</v>
      </c>
      <c r="M3795">
        <v>1.8</v>
      </c>
      <c r="N3795">
        <v>62</v>
      </c>
      <c r="O3795" t="s">
        <v>61</v>
      </c>
      <c r="Q3795" t="s">
        <v>139</v>
      </c>
      <c r="R3795" t="s">
        <v>548</v>
      </c>
      <c r="S3795" t="s">
        <v>524</v>
      </c>
      <c r="T3795" t="s">
        <v>525</v>
      </c>
    </row>
    <row r="3796" spans="1:20" x14ac:dyDescent="0.25">
      <c r="A3796" t="s">
        <v>59</v>
      </c>
      <c r="B3796" t="s">
        <v>60</v>
      </c>
      <c r="C3796" t="s">
        <v>32</v>
      </c>
      <c r="D3796" t="s">
        <v>522</v>
      </c>
      <c r="E3796" t="s">
        <v>523</v>
      </c>
      <c r="F3796" t="s">
        <v>35</v>
      </c>
      <c r="G3796" t="s">
        <v>35</v>
      </c>
      <c r="H3796" t="s">
        <v>35</v>
      </c>
      <c r="J3796" t="s">
        <v>3975</v>
      </c>
      <c r="K3796" t="s">
        <v>1092</v>
      </c>
      <c r="M3796">
        <v>1.25</v>
      </c>
      <c r="N3796">
        <v>243</v>
      </c>
      <c r="O3796" t="s">
        <v>5</v>
      </c>
      <c r="Q3796" t="s">
        <v>3296</v>
      </c>
      <c r="R3796" t="s">
        <v>548</v>
      </c>
      <c r="S3796" t="s">
        <v>524</v>
      </c>
      <c r="T3796" t="s">
        <v>525</v>
      </c>
    </row>
    <row r="3797" spans="1:20" x14ac:dyDescent="0.25">
      <c r="A3797" t="s">
        <v>30</v>
      </c>
      <c r="B3797" t="s">
        <v>31</v>
      </c>
      <c r="C3797" t="s">
        <v>32</v>
      </c>
      <c r="D3797" t="s">
        <v>522</v>
      </c>
      <c r="E3797" t="s">
        <v>523</v>
      </c>
      <c r="F3797" t="s">
        <v>35</v>
      </c>
      <c r="G3797" t="s">
        <v>35</v>
      </c>
      <c r="H3797" t="s">
        <v>35</v>
      </c>
      <c r="J3797" t="s">
        <v>4013</v>
      </c>
      <c r="K3797" t="s">
        <v>1092</v>
      </c>
      <c r="M3797">
        <v>1.575</v>
      </c>
      <c r="N3797">
        <v>25</v>
      </c>
      <c r="O3797" t="s">
        <v>46</v>
      </c>
      <c r="Q3797" t="s">
        <v>547</v>
      </c>
      <c r="R3797" t="s">
        <v>548</v>
      </c>
      <c r="S3797" t="s">
        <v>524</v>
      </c>
      <c r="T3797" t="s">
        <v>525</v>
      </c>
    </row>
    <row r="3798" spans="1:20" x14ac:dyDescent="0.25">
      <c r="A3798" t="s">
        <v>59</v>
      </c>
      <c r="B3798" t="s">
        <v>31</v>
      </c>
      <c r="C3798" t="s">
        <v>32</v>
      </c>
      <c r="D3798" t="s">
        <v>522</v>
      </c>
      <c r="E3798" t="s">
        <v>523</v>
      </c>
      <c r="F3798" t="s">
        <v>35</v>
      </c>
      <c r="G3798" t="s">
        <v>35</v>
      </c>
      <c r="H3798" t="s">
        <v>35</v>
      </c>
      <c r="J3798" t="s">
        <v>4013</v>
      </c>
      <c r="K3798" t="s">
        <v>1092</v>
      </c>
      <c r="M3798">
        <v>0.67500000000000004</v>
      </c>
      <c r="N3798">
        <v>208</v>
      </c>
      <c r="O3798" t="s">
        <v>5</v>
      </c>
      <c r="Q3798" t="s">
        <v>3122</v>
      </c>
      <c r="R3798" t="s">
        <v>548</v>
      </c>
      <c r="S3798" t="s">
        <v>524</v>
      </c>
      <c r="T3798" t="s">
        <v>525</v>
      </c>
    </row>
    <row r="3799" spans="1:20" x14ac:dyDescent="0.25">
      <c r="A3799" t="s">
        <v>59</v>
      </c>
      <c r="B3799" t="s">
        <v>31</v>
      </c>
      <c r="C3799" t="s">
        <v>32</v>
      </c>
      <c r="D3799" t="s">
        <v>522</v>
      </c>
      <c r="E3799" t="s">
        <v>523</v>
      </c>
      <c r="F3799" t="s">
        <v>35</v>
      </c>
      <c r="G3799" t="s">
        <v>35</v>
      </c>
      <c r="H3799" t="s">
        <v>35</v>
      </c>
      <c r="J3799" t="s">
        <v>4013</v>
      </c>
      <c r="K3799" t="s">
        <v>1092</v>
      </c>
      <c r="M3799">
        <v>0.67500000000000004</v>
      </c>
      <c r="N3799">
        <v>158</v>
      </c>
      <c r="O3799" t="s">
        <v>38</v>
      </c>
      <c r="Q3799" t="s">
        <v>1548</v>
      </c>
      <c r="R3799" t="s">
        <v>548</v>
      </c>
      <c r="S3799" t="s">
        <v>524</v>
      </c>
      <c r="T3799" t="s">
        <v>525</v>
      </c>
    </row>
    <row r="3800" spans="1:20" x14ac:dyDescent="0.25">
      <c r="A3800" t="s">
        <v>30</v>
      </c>
      <c r="B3800" t="s">
        <v>31</v>
      </c>
      <c r="C3800" t="s">
        <v>32</v>
      </c>
      <c r="D3800" t="s">
        <v>522</v>
      </c>
      <c r="E3800" t="s">
        <v>523</v>
      </c>
      <c r="F3800" t="s">
        <v>35</v>
      </c>
      <c r="G3800" t="s">
        <v>35</v>
      </c>
      <c r="H3800" t="s">
        <v>35</v>
      </c>
      <c r="J3800" t="s">
        <v>4013</v>
      </c>
      <c r="K3800" t="s">
        <v>1092</v>
      </c>
      <c r="M3800">
        <v>0.45</v>
      </c>
      <c r="N3800">
        <v>26</v>
      </c>
      <c r="O3800" t="s">
        <v>46</v>
      </c>
      <c r="Q3800" t="s">
        <v>137</v>
      </c>
      <c r="R3800" t="s">
        <v>548</v>
      </c>
      <c r="S3800" t="s">
        <v>524</v>
      </c>
      <c r="T3800" t="s">
        <v>525</v>
      </c>
    </row>
    <row r="3801" spans="1:20" x14ac:dyDescent="0.25">
      <c r="A3801" t="s">
        <v>59</v>
      </c>
      <c r="B3801" t="s">
        <v>60</v>
      </c>
      <c r="C3801" t="s">
        <v>32</v>
      </c>
      <c r="D3801" t="s">
        <v>584</v>
      </c>
      <c r="E3801" t="s">
        <v>4769</v>
      </c>
      <c r="F3801" t="s">
        <v>35</v>
      </c>
      <c r="G3801" t="s">
        <v>35</v>
      </c>
      <c r="H3801" t="s">
        <v>35</v>
      </c>
      <c r="J3801" t="s">
        <v>4781</v>
      </c>
      <c r="K3801" t="s">
        <v>1092</v>
      </c>
      <c r="M3801">
        <v>0.05</v>
      </c>
      <c r="N3801">
        <v>1122</v>
      </c>
      <c r="O3801" t="s">
        <v>575</v>
      </c>
      <c r="Q3801" t="s">
        <v>4782</v>
      </c>
      <c r="R3801" t="s">
        <v>4783</v>
      </c>
      <c r="S3801" t="s">
        <v>4784</v>
      </c>
      <c r="T3801" t="s">
        <v>4785</v>
      </c>
    </row>
    <row r="3802" spans="1:20" x14ac:dyDescent="0.25">
      <c r="A3802" t="s">
        <v>59</v>
      </c>
      <c r="B3802" t="s">
        <v>60</v>
      </c>
      <c r="C3802" t="s">
        <v>32</v>
      </c>
      <c r="D3802" t="s">
        <v>584</v>
      </c>
      <c r="E3802" t="s">
        <v>621</v>
      </c>
      <c r="F3802" t="s">
        <v>35</v>
      </c>
      <c r="G3802" t="s">
        <v>35</v>
      </c>
      <c r="H3802" t="s">
        <v>35</v>
      </c>
      <c r="J3802" t="s">
        <v>4837</v>
      </c>
      <c r="K3802" t="s">
        <v>1092</v>
      </c>
      <c r="M3802">
        <v>0.5</v>
      </c>
      <c r="N3802">
        <v>169</v>
      </c>
      <c r="O3802" t="s">
        <v>38</v>
      </c>
      <c r="Q3802" t="s">
        <v>4838</v>
      </c>
      <c r="R3802" t="s">
        <v>4839</v>
      </c>
      <c r="S3802" t="s">
        <v>4840</v>
      </c>
      <c r="T3802" t="s">
        <v>4841</v>
      </c>
    </row>
    <row r="3803" spans="1:20" x14ac:dyDescent="0.25">
      <c r="A3803" t="s">
        <v>59</v>
      </c>
      <c r="B3803" t="s">
        <v>60</v>
      </c>
      <c r="C3803" t="s">
        <v>32</v>
      </c>
      <c r="D3803" t="s">
        <v>584</v>
      </c>
      <c r="E3803" t="s">
        <v>599</v>
      </c>
      <c r="F3803" t="s">
        <v>35</v>
      </c>
      <c r="G3803" t="s">
        <v>35</v>
      </c>
      <c r="H3803" t="s">
        <v>35</v>
      </c>
      <c r="J3803" t="s">
        <v>4708</v>
      </c>
      <c r="K3803" t="s">
        <v>1092</v>
      </c>
      <c r="M3803">
        <v>3</v>
      </c>
      <c r="N3803">
        <v>191</v>
      </c>
      <c r="O3803" t="s">
        <v>5</v>
      </c>
      <c r="Q3803" t="s">
        <v>4086</v>
      </c>
      <c r="R3803" t="s">
        <v>4671</v>
      </c>
      <c r="S3803" t="s">
        <v>4672</v>
      </c>
      <c r="T3803" t="s">
        <v>4673</v>
      </c>
    </row>
    <row r="3804" spans="1:20" x14ac:dyDescent="0.25">
      <c r="A3804" t="s">
        <v>44</v>
      </c>
      <c r="B3804" t="s">
        <v>3</v>
      </c>
      <c r="C3804" t="s">
        <v>32</v>
      </c>
      <c r="D3804" t="s">
        <v>584</v>
      </c>
      <c r="E3804" t="s">
        <v>599</v>
      </c>
      <c r="F3804" t="s">
        <v>35</v>
      </c>
      <c r="G3804" t="s">
        <v>35</v>
      </c>
      <c r="H3804" t="s">
        <v>35</v>
      </c>
      <c r="J3804" t="s">
        <v>4670</v>
      </c>
      <c r="K3804" t="s">
        <v>1092</v>
      </c>
      <c r="M3804">
        <v>0.25</v>
      </c>
      <c r="N3804">
        <v>420</v>
      </c>
      <c r="O3804" t="s">
        <v>294</v>
      </c>
      <c r="Q3804" t="s">
        <v>1463</v>
      </c>
      <c r="R3804" t="s">
        <v>4671</v>
      </c>
      <c r="S3804" t="s">
        <v>4672</v>
      </c>
      <c r="T3804" t="s">
        <v>4673</v>
      </c>
    </row>
    <row r="3805" spans="1:20" x14ac:dyDescent="0.25">
      <c r="A3805" t="s">
        <v>59</v>
      </c>
      <c r="B3805" t="s">
        <v>60</v>
      </c>
      <c r="C3805" t="s">
        <v>32</v>
      </c>
      <c r="D3805" t="s">
        <v>584</v>
      </c>
      <c r="E3805" t="s">
        <v>599</v>
      </c>
      <c r="F3805" t="s">
        <v>35</v>
      </c>
      <c r="G3805" t="s">
        <v>35</v>
      </c>
      <c r="H3805" t="s">
        <v>35</v>
      </c>
      <c r="J3805" t="s">
        <v>4711</v>
      </c>
      <c r="K3805" t="s">
        <v>1092</v>
      </c>
      <c r="M3805">
        <v>2.5</v>
      </c>
      <c r="N3805">
        <v>191</v>
      </c>
      <c r="O3805" t="s">
        <v>5</v>
      </c>
      <c r="Q3805" t="s">
        <v>4086</v>
      </c>
      <c r="R3805" t="s">
        <v>4671</v>
      </c>
      <c r="S3805" t="s">
        <v>4672</v>
      </c>
      <c r="T3805" t="s">
        <v>4673</v>
      </c>
    </row>
    <row r="3806" spans="1:20" x14ac:dyDescent="0.25">
      <c r="A3806" t="s">
        <v>59</v>
      </c>
      <c r="B3806" t="s">
        <v>60</v>
      </c>
      <c r="C3806" t="s">
        <v>32</v>
      </c>
      <c r="D3806" t="s">
        <v>584</v>
      </c>
      <c r="E3806" t="s">
        <v>4486</v>
      </c>
      <c r="F3806" t="s">
        <v>35</v>
      </c>
      <c r="G3806" t="s">
        <v>35</v>
      </c>
      <c r="H3806" t="s">
        <v>35</v>
      </c>
      <c r="J3806" t="s">
        <v>4513</v>
      </c>
      <c r="K3806" t="s">
        <v>1092</v>
      </c>
      <c r="M3806">
        <v>4.4999999999999998E-2</v>
      </c>
      <c r="N3806">
        <v>871</v>
      </c>
      <c r="O3806" t="s">
        <v>575</v>
      </c>
      <c r="Q3806" t="s">
        <v>3531</v>
      </c>
      <c r="R3806" t="s">
        <v>4508</v>
      </c>
      <c r="S3806" t="s">
        <v>4509</v>
      </c>
      <c r="T3806" t="s">
        <v>4510</v>
      </c>
    </row>
    <row r="3807" spans="1:20" x14ac:dyDescent="0.25">
      <c r="A3807" t="s">
        <v>59</v>
      </c>
      <c r="B3807" t="s">
        <v>31</v>
      </c>
      <c r="C3807" t="s">
        <v>32</v>
      </c>
      <c r="D3807" t="s">
        <v>584</v>
      </c>
      <c r="E3807" t="s">
        <v>592</v>
      </c>
      <c r="F3807" t="s">
        <v>35</v>
      </c>
      <c r="G3807" t="s">
        <v>35</v>
      </c>
      <c r="H3807" t="s">
        <v>35</v>
      </c>
      <c r="J3807" t="s">
        <v>4613</v>
      </c>
      <c r="K3807" t="s">
        <v>1092</v>
      </c>
      <c r="M3807">
        <v>4.4999999999999998E-2</v>
      </c>
      <c r="N3807">
        <v>1596</v>
      </c>
      <c r="O3807" t="s">
        <v>575</v>
      </c>
      <c r="Q3807" t="s">
        <v>4614</v>
      </c>
      <c r="R3807" t="s">
        <v>4508</v>
      </c>
      <c r="S3807" t="s">
        <v>4509</v>
      </c>
      <c r="T3807" t="s">
        <v>4510</v>
      </c>
    </row>
    <row r="3808" spans="1:20" x14ac:dyDescent="0.25">
      <c r="A3808" t="s">
        <v>59</v>
      </c>
      <c r="B3808" t="s">
        <v>60</v>
      </c>
      <c r="C3808" t="s">
        <v>32</v>
      </c>
      <c r="D3808" t="s">
        <v>584</v>
      </c>
      <c r="E3808" t="s">
        <v>4486</v>
      </c>
      <c r="F3808" t="s">
        <v>35</v>
      </c>
      <c r="G3808" t="s">
        <v>35</v>
      </c>
      <c r="H3808" t="s">
        <v>35</v>
      </c>
      <c r="J3808" t="s">
        <v>4506</v>
      </c>
      <c r="K3808" t="s">
        <v>1092</v>
      </c>
      <c r="M3808">
        <v>0.15</v>
      </c>
      <c r="N3808">
        <v>870</v>
      </c>
      <c r="O3808" t="s">
        <v>575</v>
      </c>
      <c r="Q3808" t="s">
        <v>4507</v>
      </c>
      <c r="R3808" t="s">
        <v>4508</v>
      </c>
      <c r="S3808" t="s">
        <v>4509</v>
      </c>
      <c r="T3808" t="s">
        <v>4510</v>
      </c>
    </row>
    <row r="3809" spans="1:20" x14ac:dyDescent="0.25">
      <c r="A3809" t="s">
        <v>44</v>
      </c>
      <c r="B3809" t="s">
        <v>51</v>
      </c>
      <c r="C3809" t="s">
        <v>32</v>
      </c>
      <c r="D3809" t="s">
        <v>584</v>
      </c>
      <c r="E3809" t="s">
        <v>4486</v>
      </c>
      <c r="F3809" t="s">
        <v>35</v>
      </c>
      <c r="G3809" t="s">
        <v>35</v>
      </c>
      <c r="H3809" t="s">
        <v>35</v>
      </c>
      <c r="J3809" t="s">
        <v>4511</v>
      </c>
      <c r="K3809" t="s">
        <v>1092</v>
      </c>
      <c r="M3809">
        <v>0.05</v>
      </c>
      <c r="N3809">
        <v>860</v>
      </c>
      <c r="O3809" t="s">
        <v>575</v>
      </c>
      <c r="Q3809" t="s">
        <v>4512</v>
      </c>
      <c r="R3809" t="s">
        <v>4508</v>
      </c>
      <c r="S3809" t="s">
        <v>4509</v>
      </c>
      <c r="T3809" t="s">
        <v>4510</v>
      </c>
    </row>
    <row r="3810" spans="1:20" x14ac:dyDescent="0.25">
      <c r="A3810" t="s">
        <v>59</v>
      </c>
      <c r="B3810" t="s">
        <v>60</v>
      </c>
      <c r="C3810" t="s">
        <v>32</v>
      </c>
      <c r="D3810" t="s">
        <v>584</v>
      </c>
      <c r="E3810" t="s">
        <v>599</v>
      </c>
      <c r="F3810" t="s">
        <v>35</v>
      </c>
      <c r="G3810" t="s">
        <v>35</v>
      </c>
      <c r="H3810" t="s">
        <v>35</v>
      </c>
      <c r="J3810" t="s">
        <v>4662</v>
      </c>
      <c r="K3810" t="s">
        <v>1092</v>
      </c>
      <c r="M3810">
        <v>5.4</v>
      </c>
      <c r="N3810">
        <v>129</v>
      </c>
      <c r="O3810" t="s">
        <v>38</v>
      </c>
      <c r="Q3810" t="s">
        <v>157</v>
      </c>
      <c r="R3810" t="s">
        <v>4644</v>
      </c>
      <c r="S3810" t="s">
        <v>606</v>
      </c>
      <c r="T3810" t="s">
        <v>607</v>
      </c>
    </row>
    <row r="3811" spans="1:20" x14ac:dyDescent="0.25">
      <c r="A3811" t="s">
        <v>44</v>
      </c>
      <c r="B3811" t="s">
        <v>51</v>
      </c>
      <c r="C3811" t="s">
        <v>32</v>
      </c>
      <c r="D3811" t="s">
        <v>584</v>
      </c>
      <c r="E3811" t="s">
        <v>599</v>
      </c>
      <c r="F3811" t="s">
        <v>35</v>
      </c>
      <c r="G3811" t="s">
        <v>35</v>
      </c>
      <c r="H3811" t="s">
        <v>35</v>
      </c>
      <c r="J3811" t="s">
        <v>4643</v>
      </c>
      <c r="K3811" t="s">
        <v>1092</v>
      </c>
      <c r="M3811">
        <v>5</v>
      </c>
      <c r="N3811">
        <v>503</v>
      </c>
      <c r="O3811" t="s">
        <v>294</v>
      </c>
      <c r="Q3811" t="s">
        <v>4279</v>
      </c>
      <c r="R3811" t="s">
        <v>4644</v>
      </c>
      <c r="S3811" t="s">
        <v>606</v>
      </c>
      <c r="T3811" t="s">
        <v>607</v>
      </c>
    </row>
    <row r="3812" spans="1:20" x14ac:dyDescent="0.25">
      <c r="A3812" t="s">
        <v>44</v>
      </c>
      <c r="B3812" t="s">
        <v>3</v>
      </c>
      <c r="C3812" t="s">
        <v>32</v>
      </c>
      <c r="D3812" t="s">
        <v>584</v>
      </c>
      <c r="E3812" t="s">
        <v>599</v>
      </c>
      <c r="F3812" t="s">
        <v>35</v>
      </c>
      <c r="G3812" t="s">
        <v>35</v>
      </c>
      <c r="H3812" t="s">
        <v>35</v>
      </c>
      <c r="J3812" t="s">
        <v>4643</v>
      </c>
      <c r="K3812" t="s">
        <v>1092</v>
      </c>
      <c r="M3812">
        <v>5.5</v>
      </c>
      <c r="N3812">
        <v>498</v>
      </c>
      <c r="O3812" t="s">
        <v>294</v>
      </c>
      <c r="Q3812" t="s">
        <v>3749</v>
      </c>
      <c r="R3812" t="s">
        <v>4644</v>
      </c>
      <c r="S3812" t="s">
        <v>606</v>
      </c>
      <c r="T3812" t="s">
        <v>607</v>
      </c>
    </row>
    <row r="3813" spans="1:20" x14ac:dyDescent="0.25">
      <c r="A3813" t="s">
        <v>44</v>
      </c>
      <c r="B3813" t="s">
        <v>51</v>
      </c>
      <c r="C3813" t="s">
        <v>32</v>
      </c>
      <c r="D3813" t="s">
        <v>584</v>
      </c>
      <c r="E3813" t="s">
        <v>599</v>
      </c>
      <c r="F3813" t="s">
        <v>35</v>
      </c>
      <c r="G3813" t="s">
        <v>35</v>
      </c>
      <c r="H3813" t="s">
        <v>35</v>
      </c>
      <c r="J3813" t="s">
        <v>4665</v>
      </c>
      <c r="K3813" t="s">
        <v>1092</v>
      </c>
      <c r="M3813">
        <v>0.55000000000000004</v>
      </c>
      <c r="N3813">
        <v>63</v>
      </c>
      <c r="O3813" t="s">
        <v>61</v>
      </c>
      <c r="Q3813" t="s">
        <v>126</v>
      </c>
      <c r="R3813" t="s">
        <v>4644</v>
      </c>
      <c r="S3813" t="s">
        <v>606</v>
      </c>
      <c r="T3813" t="s">
        <v>607</v>
      </c>
    </row>
    <row r="3814" spans="1:20" x14ac:dyDescent="0.25">
      <c r="A3814" t="s">
        <v>44</v>
      </c>
      <c r="B3814" t="s">
        <v>51</v>
      </c>
      <c r="C3814" t="s">
        <v>32</v>
      </c>
      <c r="D3814" t="s">
        <v>584</v>
      </c>
      <c r="E3814" t="s">
        <v>599</v>
      </c>
      <c r="F3814" t="s">
        <v>35</v>
      </c>
      <c r="G3814" t="s">
        <v>35</v>
      </c>
      <c r="H3814" t="s">
        <v>35</v>
      </c>
      <c r="J3814" t="s">
        <v>4027</v>
      </c>
      <c r="K3814" t="s">
        <v>1092</v>
      </c>
      <c r="M3814">
        <v>7</v>
      </c>
      <c r="N3814">
        <v>63</v>
      </c>
      <c r="O3814" t="s">
        <v>61</v>
      </c>
      <c r="Q3814" t="s">
        <v>126</v>
      </c>
      <c r="R3814" t="s">
        <v>4644</v>
      </c>
      <c r="S3814" t="s">
        <v>606</v>
      </c>
      <c r="T3814" t="s">
        <v>607</v>
      </c>
    </row>
    <row r="3815" spans="1:20" x14ac:dyDescent="0.25">
      <c r="A3815" t="s">
        <v>59</v>
      </c>
      <c r="B3815" t="s">
        <v>60</v>
      </c>
      <c r="C3815" t="s">
        <v>32</v>
      </c>
      <c r="D3815" t="s">
        <v>584</v>
      </c>
      <c r="E3815" t="s">
        <v>599</v>
      </c>
      <c r="F3815" t="s">
        <v>35</v>
      </c>
      <c r="G3815" t="s">
        <v>35</v>
      </c>
      <c r="H3815" t="s">
        <v>35</v>
      </c>
      <c r="J3815" t="s">
        <v>4699</v>
      </c>
      <c r="K3815" t="s">
        <v>1092</v>
      </c>
      <c r="M3815">
        <v>0.15</v>
      </c>
      <c r="N3815">
        <v>268</v>
      </c>
      <c r="O3815" t="s">
        <v>5</v>
      </c>
      <c r="Q3815" t="s">
        <v>4238</v>
      </c>
      <c r="R3815" t="s">
        <v>4644</v>
      </c>
      <c r="S3815" t="s">
        <v>606</v>
      </c>
      <c r="T3815" t="s">
        <v>607</v>
      </c>
    </row>
    <row r="3816" spans="1:20" x14ac:dyDescent="0.25">
      <c r="A3816" t="s">
        <v>59</v>
      </c>
      <c r="B3816" t="s">
        <v>60</v>
      </c>
      <c r="C3816" t="s">
        <v>32</v>
      </c>
      <c r="D3816" t="s">
        <v>584</v>
      </c>
      <c r="E3816" t="s">
        <v>592</v>
      </c>
      <c r="F3816" t="s">
        <v>35</v>
      </c>
      <c r="G3816" t="s">
        <v>35</v>
      </c>
      <c r="H3816" t="s">
        <v>35</v>
      </c>
      <c r="J3816" t="s">
        <v>4601</v>
      </c>
      <c r="K3816" t="s">
        <v>1092</v>
      </c>
      <c r="M3816">
        <v>1.6</v>
      </c>
      <c r="N3816">
        <v>25</v>
      </c>
      <c r="O3816" t="s">
        <v>46</v>
      </c>
      <c r="Q3816" t="s">
        <v>547</v>
      </c>
      <c r="R3816" t="s">
        <v>4598</v>
      </c>
      <c r="S3816" t="s">
        <v>596</v>
      </c>
      <c r="T3816" t="s">
        <v>597</v>
      </c>
    </row>
    <row r="3817" spans="1:20" x14ac:dyDescent="0.25">
      <c r="A3817" t="s">
        <v>59</v>
      </c>
      <c r="B3817" t="s">
        <v>60</v>
      </c>
      <c r="C3817" t="s">
        <v>32</v>
      </c>
      <c r="D3817" t="s">
        <v>584</v>
      </c>
      <c r="E3817" t="s">
        <v>592</v>
      </c>
      <c r="F3817" t="s">
        <v>35</v>
      </c>
      <c r="G3817" t="s">
        <v>35</v>
      </c>
      <c r="H3817" t="s">
        <v>35</v>
      </c>
      <c r="J3817" t="s">
        <v>4596</v>
      </c>
      <c r="K3817" t="s">
        <v>1092</v>
      </c>
      <c r="M3817">
        <v>0.25</v>
      </c>
      <c r="N3817">
        <v>1979</v>
      </c>
      <c r="O3817" t="s">
        <v>575</v>
      </c>
      <c r="Q3817" t="s">
        <v>4597</v>
      </c>
      <c r="R3817" t="s">
        <v>4598</v>
      </c>
      <c r="S3817" t="s">
        <v>596</v>
      </c>
      <c r="T3817" t="s">
        <v>597</v>
      </c>
    </row>
    <row r="3818" spans="1:20" x14ac:dyDescent="0.25">
      <c r="A3818" t="s">
        <v>59</v>
      </c>
      <c r="B3818" t="s">
        <v>60</v>
      </c>
      <c r="C3818" t="s">
        <v>32</v>
      </c>
      <c r="D3818" t="s">
        <v>584</v>
      </c>
      <c r="E3818" t="s">
        <v>592</v>
      </c>
      <c r="F3818" t="s">
        <v>35</v>
      </c>
      <c r="G3818" t="s">
        <v>35</v>
      </c>
      <c r="H3818" t="s">
        <v>35</v>
      </c>
      <c r="J3818" t="s">
        <v>4618</v>
      </c>
      <c r="K3818" t="s">
        <v>1092</v>
      </c>
      <c r="M3818">
        <v>0.5</v>
      </c>
      <c r="N3818">
        <v>52</v>
      </c>
      <c r="O3818" t="s">
        <v>52</v>
      </c>
      <c r="Q3818" t="s">
        <v>84</v>
      </c>
      <c r="R3818" t="s">
        <v>4444</v>
      </c>
      <c r="S3818" t="s">
        <v>593</v>
      </c>
      <c r="T3818" t="s">
        <v>594</v>
      </c>
    </row>
    <row r="3819" spans="1:20" x14ac:dyDescent="0.25">
      <c r="A3819" t="s">
        <v>30</v>
      </c>
      <c r="B3819" t="s">
        <v>31</v>
      </c>
      <c r="C3819" t="s">
        <v>32</v>
      </c>
      <c r="D3819" t="s">
        <v>584</v>
      </c>
      <c r="E3819" t="s">
        <v>4441</v>
      </c>
      <c r="F3819" t="s">
        <v>35</v>
      </c>
      <c r="G3819" t="s">
        <v>35</v>
      </c>
      <c r="H3819" t="s">
        <v>35</v>
      </c>
      <c r="J3819" t="s">
        <v>4482</v>
      </c>
      <c r="K3819" t="s">
        <v>1092</v>
      </c>
      <c r="M3819">
        <v>1.665</v>
      </c>
      <c r="N3819">
        <v>41</v>
      </c>
      <c r="O3819" t="s">
        <v>52</v>
      </c>
      <c r="Q3819" t="s">
        <v>496</v>
      </c>
      <c r="R3819" t="s">
        <v>4444</v>
      </c>
      <c r="S3819" t="s">
        <v>593</v>
      </c>
      <c r="T3819" t="s">
        <v>594</v>
      </c>
    </row>
    <row r="3820" spans="1:20" x14ac:dyDescent="0.25">
      <c r="A3820" t="s">
        <v>59</v>
      </c>
      <c r="B3820" t="s">
        <v>60</v>
      </c>
      <c r="C3820" t="s">
        <v>32</v>
      </c>
      <c r="D3820" t="s">
        <v>584</v>
      </c>
      <c r="E3820" t="s">
        <v>4441</v>
      </c>
      <c r="F3820" t="s">
        <v>35</v>
      </c>
      <c r="G3820" t="s">
        <v>35</v>
      </c>
      <c r="H3820" t="s">
        <v>35</v>
      </c>
      <c r="J3820" t="s">
        <v>4482</v>
      </c>
      <c r="K3820" t="s">
        <v>1092</v>
      </c>
      <c r="M3820">
        <v>2</v>
      </c>
      <c r="N3820">
        <v>67</v>
      </c>
      <c r="O3820" t="s">
        <v>61</v>
      </c>
      <c r="Q3820" t="s">
        <v>488</v>
      </c>
      <c r="R3820" t="s">
        <v>4444</v>
      </c>
      <c r="S3820" t="s">
        <v>593</v>
      </c>
      <c r="T3820" t="s">
        <v>594</v>
      </c>
    </row>
    <row r="3821" spans="1:20" x14ac:dyDescent="0.25">
      <c r="A3821" t="s">
        <v>59</v>
      </c>
      <c r="B3821" t="s">
        <v>60</v>
      </c>
      <c r="C3821" t="s">
        <v>32</v>
      </c>
      <c r="D3821" t="s">
        <v>584</v>
      </c>
      <c r="E3821" t="s">
        <v>4441</v>
      </c>
      <c r="F3821" t="s">
        <v>35</v>
      </c>
      <c r="G3821" t="s">
        <v>35</v>
      </c>
      <c r="H3821" t="s">
        <v>35</v>
      </c>
      <c r="J3821" t="s">
        <v>4472</v>
      </c>
      <c r="K3821" t="s">
        <v>1092</v>
      </c>
      <c r="M3821">
        <v>0.5</v>
      </c>
      <c r="N3821">
        <v>27</v>
      </c>
      <c r="O3821" t="s">
        <v>46</v>
      </c>
      <c r="Q3821" t="s">
        <v>809</v>
      </c>
      <c r="R3821" t="s">
        <v>4444</v>
      </c>
      <c r="S3821" t="s">
        <v>593</v>
      </c>
      <c r="T3821" t="s">
        <v>594</v>
      </c>
    </row>
    <row r="3822" spans="1:20" x14ac:dyDescent="0.25">
      <c r="A3822" t="s">
        <v>30</v>
      </c>
      <c r="B3822" t="s">
        <v>31</v>
      </c>
      <c r="C3822" t="s">
        <v>32</v>
      </c>
      <c r="D3822" t="s">
        <v>584</v>
      </c>
      <c r="E3822" t="s">
        <v>4441</v>
      </c>
      <c r="F3822" t="s">
        <v>35</v>
      </c>
      <c r="G3822" t="s">
        <v>35</v>
      </c>
      <c r="H3822" t="s">
        <v>35</v>
      </c>
      <c r="J3822" t="s">
        <v>4452</v>
      </c>
      <c r="K3822" t="s">
        <v>1092</v>
      </c>
      <c r="M3822">
        <v>7.4249999999999998</v>
      </c>
      <c r="N3822">
        <v>41</v>
      </c>
      <c r="O3822" t="s">
        <v>52</v>
      </c>
      <c r="Q3822" t="s">
        <v>496</v>
      </c>
      <c r="R3822" t="s">
        <v>4444</v>
      </c>
      <c r="S3822" t="s">
        <v>593</v>
      </c>
      <c r="T3822" t="s">
        <v>594</v>
      </c>
    </row>
    <row r="3823" spans="1:20" x14ac:dyDescent="0.25">
      <c r="A3823" t="s">
        <v>59</v>
      </c>
      <c r="B3823" t="s">
        <v>60</v>
      </c>
      <c r="C3823" t="s">
        <v>32</v>
      </c>
      <c r="D3823" t="s">
        <v>584</v>
      </c>
      <c r="E3823" t="s">
        <v>4441</v>
      </c>
      <c r="F3823" t="s">
        <v>35</v>
      </c>
      <c r="G3823" t="s">
        <v>35</v>
      </c>
      <c r="H3823" t="s">
        <v>35</v>
      </c>
      <c r="J3823" t="s">
        <v>4443</v>
      </c>
      <c r="K3823" t="s">
        <v>1092</v>
      </c>
      <c r="M3823">
        <v>0.5</v>
      </c>
      <c r="N3823">
        <v>45</v>
      </c>
      <c r="O3823" t="s">
        <v>52</v>
      </c>
      <c r="Q3823" t="s">
        <v>1230</v>
      </c>
      <c r="R3823" t="s">
        <v>4444</v>
      </c>
      <c r="S3823" t="s">
        <v>593</v>
      </c>
      <c r="T3823" t="s">
        <v>594</v>
      </c>
    </row>
    <row r="3824" spans="1:20" x14ac:dyDescent="0.25">
      <c r="A3824" t="s">
        <v>59</v>
      </c>
      <c r="B3824" t="s">
        <v>60</v>
      </c>
      <c r="C3824" t="s">
        <v>32</v>
      </c>
      <c r="D3824" t="s">
        <v>584</v>
      </c>
      <c r="E3824" t="s">
        <v>4441</v>
      </c>
      <c r="F3824" t="s">
        <v>35</v>
      </c>
      <c r="G3824" t="s">
        <v>35</v>
      </c>
      <c r="H3824" t="s">
        <v>35</v>
      </c>
      <c r="J3824" t="s">
        <v>4457</v>
      </c>
      <c r="K3824" t="s">
        <v>1092</v>
      </c>
      <c r="M3824">
        <v>1</v>
      </c>
      <c r="N3824">
        <v>26</v>
      </c>
      <c r="O3824" t="s">
        <v>46</v>
      </c>
      <c r="Q3824" t="s">
        <v>137</v>
      </c>
      <c r="R3824" t="s">
        <v>4444</v>
      </c>
      <c r="S3824" t="s">
        <v>593</v>
      </c>
      <c r="T3824" t="s">
        <v>594</v>
      </c>
    </row>
    <row r="3825" spans="1:20" x14ac:dyDescent="0.25">
      <c r="A3825" t="s">
        <v>59</v>
      </c>
      <c r="B3825" t="s">
        <v>60</v>
      </c>
      <c r="C3825" t="s">
        <v>32</v>
      </c>
      <c r="D3825" t="s">
        <v>584</v>
      </c>
      <c r="E3825" t="s">
        <v>4441</v>
      </c>
      <c r="F3825" t="s">
        <v>35</v>
      </c>
      <c r="G3825" t="s">
        <v>35</v>
      </c>
      <c r="H3825" t="s">
        <v>35</v>
      </c>
      <c r="J3825" t="s">
        <v>4471</v>
      </c>
      <c r="K3825" t="s">
        <v>1092</v>
      </c>
      <c r="M3825">
        <v>1.5</v>
      </c>
      <c r="N3825">
        <v>11</v>
      </c>
      <c r="O3825" t="s">
        <v>46</v>
      </c>
      <c r="Q3825" t="s">
        <v>1476</v>
      </c>
      <c r="R3825" t="s">
        <v>4444</v>
      </c>
      <c r="S3825" t="s">
        <v>593</v>
      </c>
      <c r="T3825" t="s">
        <v>594</v>
      </c>
    </row>
    <row r="3826" spans="1:20" x14ac:dyDescent="0.25">
      <c r="A3826" t="s">
        <v>44</v>
      </c>
      <c r="B3826" t="s">
        <v>51</v>
      </c>
      <c r="C3826" t="s">
        <v>32</v>
      </c>
      <c r="D3826" t="s">
        <v>584</v>
      </c>
      <c r="E3826" t="s">
        <v>4769</v>
      </c>
      <c r="F3826" t="s">
        <v>35</v>
      </c>
      <c r="G3826" t="s">
        <v>35</v>
      </c>
      <c r="H3826" t="s">
        <v>35</v>
      </c>
      <c r="J3826" t="s">
        <v>4787</v>
      </c>
      <c r="K3826" t="s">
        <v>1092</v>
      </c>
      <c r="M3826">
        <v>0.1</v>
      </c>
      <c r="N3826">
        <v>630</v>
      </c>
      <c r="O3826" t="s">
        <v>575</v>
      </c>
      <c r="Q3826" t="s">
        <v>4788</v>
      </c>
      <c r="R3826" t="s">
        <v>463</v>
      </c>
      <c r="S3826" t="s">
        <v>464</v>
      </c>
      <c r="T3826" t="s">
        <v>465</v>
      </c>
    </row>
    <row r="3827" spans="1:20" x14ac:dyDescent="0.25">
      <c r="A3827" t="s">
        <v>59</v>
      </c>
      <c r="B3827" t="s">
        <v>60</v>
      </c>
      <c r="C3827" t="s">
        <v>32</v>
      </c>
      <c r="D3827" t="s">
        <v>584</v>
      </c>
      <c r="E3827" t="s">
        <v>4514</v>
      </c>
      <c r="F3827" t="s">
        <v>35</v>
      </c>
      <c r="G3827" t="s">
        <v>35</v>
      </c>
      <c r="H3827" t="s">
        <v>35</v>
      </c>
      <c r="J3827" t="s">
        <v>4524</v>
      </c>
      <c r="K3827" t="s">
        <v>1092</v>
      </c>
      <c r="M3827">
        <v>4.8</v>
      </c>
      <c r="N3827">
        <v>69</v>
      </c>
      <c r="O3827" t="s">
        <v>61</v>
      </c>
      <c r="Q3827" t="s">
        <v>234</v>
      </c>
      <c r="R3827" t="s">
        <v>463</v>
      </c>
      <c r="S3827" t="s">
        <v>464</v>
      </c>
      <c r="T3827" t="s">
        <v>465</v>
      </c>
    </row>
    <row r="3828" spans="1:20" x14ac:dyDescent="0.25">
      <c r="A3828" t="s">
        <v>30</v>
      </c>
      <c r="B3828" t="s">
        <v>31</v>
      </c>
      <c r="C3828" t="s">
        <v>32</v>
      </c>
      <c r="D3828" t="s">
        <v>584</v>
      </c>
      <c r="E3828" t="s">
        <v>4514</v>
      </c>
      <c r="F3828" t="s">
        <v>35</v>
      </c>
      <c r="G3828" t="s">
        <v>35</v>
      </c>
      <c r="H3828" t="s">
        <v>35</v>
      </c>
      <c r="J3828" t="s">
        <v>4526</v>
      </c>
      <c r="K3828" t="s">
        <v>1092</v>
      </c>
      <c r="M3828">
        <v>0.315</v>
      </c>
      <c r="N3828">
        <v>234</v>
      </c>
      <c r="O3828" t="s">
        <v>5</v>
      </c>
      <c r="Q3828" t="s">
        <v>3415</v>
      </c>
      <c r="R3828" t="s">
        <v>463</v>
      </c>
      <c r="S3828" t="s">
        <v>464</v>
      </c>
      <c r="T3828" t="s">
        <v>465</v>
      </c>
    </row>
    <row r="3829" spans="1:20" x14ac:dyDescent="0.25">
      <c r="A3829" t="s">
        <v>30</v>
      </c>
      <c r="B3829" t="s">
        <v>31</v>
      </c>
      <c r="C3829" t="s">
        <v>32</v>
      </c>
      <c r="D3829" t="s">
        <v>584</v>
      </c>
      <c r="E3829" t="s">
        <v>4514</v>
      </c>
      <c r="F3829" t="s">
        <v>35</v>
      </c>
      <c r="G3829" t="s">
        <v>35</v>
      </c>
      <c r="H3829" t="s">
        <v>35</v>
      </c>
      <c r="J3829" t="s">
        <v>4534</v>
      </c>
      <c r="K3829" t="s">
        <v>1092</v>
      </c>
      <c r="M3829">
        <v>0.13500000000000001</v>
      </c>
      <c r="N3829">
        <v>234</v>
      </c>
      <c r="O3829" t="s">
        <v>5</v>
      </c>
      <c r="Q3829" t="s">
        <v>3415</v>
      </c>
      <c r="R3829" t="s">
        <v>463</v>
      </c>
      <c r="S3829" t="s">
        <v>464</v>
      </c>
      <c r="T3829" t="s">
        <v>465</v>
      </c>
    </row>
    <row r="3830" spans="1:20" x14ac:dyDescent="0.25">
      <c r="A3830" t="s">
        <v>44</v>
      </c>
      <c r="B3830" t="s">
        <v>51</v>
      </c>
      <c r="C3830" t="s">
        <v>32</v>
      </c>
      <c r="D3830" t="s">
        <v>584</v>
      </c>
      <c r="E3830" t="s">
        <v>599</v>
      </c>
      <c r="F3830" t="s">
        <v>35</v>
      </c>
      <c r="G3830" t="s">
        <v>35</v>
      </c>
      <c r="H3830" t="s">
        <v>35</v>
      </c>
      <c r="J3830" t="s">
        <v>600</v>
      </c>
      <c r="K3830" t="s">
        <v>37</v>
      </c>
      <c r="M3830">
        <v>12</v>
      </c>
      <c r="N3830">
        <v>74</v>
      </c>
      <c r="O3830" t="s">
        <v>61</v>
      </c>
      <c r="P3830" t="s">
        <v>107</v>
      </c>
      <c r="Q3830" t="s">
        <v>527</v>
      </c>
      <c r="R3830" t="s">
        <v>570</v>
      </c>
      <c r="S3830" t="s">
        <v>571</v>
      </c>
      <c r="T3830" t="s">
        <v>572</v>
      </c>
    </row>
    <row r="3831" spans="1:20" x14ac:dyDescent="0.25">
      <c r="A3831" t="s">
        <v>59</v>
      </c>
      <c r="B3831" t="s">
        <v>31</v>
      </c>
      <c r="C3831" t="s">
        <v>32</v>
      </c>
      <c r="D3831" t="s">
        <v>584</v>
      </c>
      <c r="E3831" t="s">
        <v>621</v>
      </c>
      <c r="F3831" t="s">
        <v>35</v>
      </c>
      <c r="G3831" t="s">
        <v>35</v>
      </c>
      <c r="H3831" t="s">
        <v>35</v>
      </c>
      <c r="J3831" t="s">
        <v>4823</v>
      </c>
      <c r="K3831" t="s">
        <v>1092</v>
      </c>
      <c r="M3831">
        <v>0.67500000000000004</v>
      </c>
      <c r="N3831">
        <v>65</v>
      </c>
      <c r="O3831" t="s">
        <v>61</v>
      </c>
      <c r="Q3831" t="s">
        <v>63</v>
      </c>
      <c r="R3831" t="s">
        <v>4571</v>
      </c>
      <c r="S3831" t="s">
        <v>628</v>
      </c>
      <c r="T3831" t="s">
        <v>629</v>
      </c>
    </row>
    <row r="3832" spans="1:20" x14ac:dyDescent="0.25">
      <c r="A3832" t="s">
        <v>59</v>
      </c>
      <c r="B3832" t="s">
        <v>60</v>
      </c>
      <c r="C3832" t="s">
        <v>32</v>
      </c>
      <c r="D3832" t="s">
        <v>584</v>
      </c>
      <c r="E3832" t="s">
        <v>621</v>
      </c>
      <c r="F3832" t="s">
        <v>35</v>
      </c>
      <c r="G3832" t="s">
        <v>35</v>
      </c>
      <c r="H3832" t="s">
        <v>35</v>
      </c>
      <c r="J3832" t="s">
        <v>4905</v>
      </c>
      <c r="K3832" t="s">
        <v>1092</v>
      </c>
      <c r="M3832">
        <v>2.35</v>
      </c>
      <c r="N3832">
        <v>44</v>
      </c>
      <c r="O3832" t="s">
        <v>52</v>
      </c>
      <c r="Q3832" t="s">
        <v>54</v>
      </c>
      <c r="R3832" t="s">
        <v>4571</v>
      </c>
      <c r="S3832" t="s">
        <v>628</v>
      </c>
      <c r="T3832" t="s">
        <v>629</v>
      </c>
    </row>
    <row r="3833" spans="1:20" x14ac:dyDescent="0.25">
      <c r="A3833" t="s">
        <v>59</v>
      </c>
      <c r="B3833" t="s">
        <v>60</v>
      </c>
      <c r="C3833" t="s">
        <v>32</v>
      </c>
      <c r="D3833" t="s">
        <v>584</v>
      </c>
      <c r="E3833" t="s">
        <v>599</v>
      </c>
      <c r="F3833" t="s">
        <v>35</v>
      </c>
      <c r="G3833" t="s">
        <v>35</v>
      </c>
      <c r="H3833" t="s">
        <v>35</v>
      </c>
      <c r="J3833" t="s">
        <v>4713</v>
      </c>
      <c r="K3833" t="s">
        <v>1092</v>
      </c>
      <c r="M3833">
        <v>0.3</v>
      </c>
      <c r="N3833">
        <v>33</v>
      </c>
      <c r="O3833" t="s">
        <v>52</v>
      </c>
      <c r="Q3833" t="s">
        <v>130</v>
      </c>
      <c r="R3833" t="s">
        <v>4571</v>
      </c>
      <c r="S3833" t="s">
        <v>628</v>
      </c>
      <c r="T3833" t="s">
        <v>629</v>
      </c>
    </row>
    <row r="3834" spans="1:20" x14ac:dyDescent="0.25">
      <c r="A3834" t="s">
        <v>30</v>
      </c>
      <c r="B3834" t="s">
        <v>31</v>
      </c>
      <c r="C3834" t="s">
        <v>32</v>
      </c>
      <c r="D3834" t="s">
        <v>584</v>
      </c>
      <c r="E3834" t="s">
        <v>621</v>
      </c>
      <c r="F3834" t="s">
        <v>35</v>
      </c>
      <c r="G3834" t="s">
        <v>35</v>
      </c>
      <c r="H3834" t="s">
        <v>35</v>
      </c>
      <c r="J3834" t="s">
        <v>4930</v>
      </c>
      <c r="K3834" t="s">
        <v>1092</v>
      </c>
      <c r="M3834">
        <v>0.32</v>
      </c>
      <c r="N3834">
        <v>1174</v>
      </c>
      <c r="O3834" t="s">
        <v>575</v>
      </c>
      <c r="Q3834" t="s">
        <v>4931</v>
      </c>
      <c r="R3834" t="s">
        <v>4571</v>
      </c>
      <c r="S3834" t="s">
        <v>628</v>
      </c>
      <c r="T3834" t="s">
        <v>629</v>
      </c>
    </row>
    <row r="3835" spans="1:20" x14ac:dyDescent="0.25">
      <c r="A3835" t="s">
        <v>59</v>
      </c>
      <c r="B3835" t="s">
        <v>60</v>
      </c>
      <c r="C3835" t="s">
        <v>32</v>
      </c>
      <c r="D3835" t="s">
        <v>584</v>
      </c>
      <c r="E3835" t="s">
        <v>599</v>
      </c>
      <c r="F3835" t="s">
        <v>35</v>
      </c>
      <c r="G3835" t="s">
        <v>35</v>
      </c>
      <c r="H3835" t="s">
        <v>35</v>
      </c>
      <c r="J3835" t="s">
        <v>4637</v>
      </c>
      <c r="K3835" t="s">
        <v>404</v>
      </c>
      <c r="M3835">
        <v>0.3</v>
      </c>
      <c r="N3835">
        <v>1369</v>
      </c>
      <c r="O3835" t="s">
        <v>575</v>
      </c>
      <c r="Q3835" t="s">
        <v>4638</v>
      </c>
      <c r="R3835" t="s">
        <v>4571</v>
      </c>
      <c r="S3835" t="s">
        <v>628</v>
      </c>
      <c r="T3835" t="s">
        <v>629</v>
      </c>
    </row>
    <row r="3836" spans="1:20" x14ac:dyDescent="0.25">
      <c r="A3836" t="s">
        <v>59</v>
      </c>
      <c r="B3836" t="s">
        <v>60</v>
      </c>
      <c r="C3836" t="s">
        <v>32</v>
      </c>
      <c r="D3836" t="s">
        <v>584</v>
      </c>
      <c r="E3836" t="s">
        <v>599</v>
      </c>
      <c r="F3836" t="s">
        <v>35</v>
      </c>
      <c r="G3836" t="s">
        <v>35</v>
      </c>
      <c r="H3836" t="s">
        <v>35</v>
      </c>
      <c r="J3836" t="s">
        <v>4624</v>
      </c>
      <c r="K3836" t="s">
        <v>1092</v>
      </c>
      <c r="M3836">
        <v>1</v>
      </c>
      <c r="N3836">
        <v>177</v>
      </c>
      <c r="O3836" t="s">
        <v>38</v>
      </c>
      <c r="Q3836" t="s">
        <v>4625</v>
      </c>
      <c r="R3836" t="s">
        <v>4571</v>
      </c>
      <c r="S3836" t="s">
        <v>628</v>
      </c>
      <c r="T3836" t="s">
        <v>629</v>
      </c>
    </row>
    <row r="3837" spans="1:20" x14ac:dyDescent="0.25">
      <c r="A3837" t="s">
        <v>59</v>
      </c>
      <c r="B3837" t="s">
        <v>60</v>
      </c>
      <c r="C3837" t="s">
        <v>32</v>
      </c>
      <c r="D3837" t="s">
        <v>584</v>
      </c>
      <c r="E3837" t="s">
        <v>599</v>
      </c>
      <c r="F3837" t="s">
        <v>35</v>
      </c>
      <c r="G3837" t="s">
        <v>35</v>
      </c>
      <c r="H3837" t="s">
        <v>35</v>
      </c>
      <c r="J3837" t="s">
        <v>4624</v>
      </c>
      <c r="K3837" t="s">
        <v>1092</v>
      </c>
      <c r="M3837">
        <v>6.5000000000000002E-2</v>
      </c>
      <c r="N3837">
        <v>1205</v>
      </c>
      <c r="O3837" t="s">
        <v>575</v>
      </c>
      <c r="Q3837" t="s">
        <v>4626</v>
      </c>
      <c r="R3837" t="s">
        <v>4571</v>
      </c>
      <c r="S3837" t="s">
        <v>628</v>
      </c>
      <c r="T3837" t="s">
        <v>629</v>
      </c>
    </row>
    <row r="3838" spans="1:20" x14ac:dyDescent="0.25">
      <c r="A3838" t="s">
        <v>59</v>
      </c>
      <c r="B3838" t="s">
        <v>60</v>
      </c>
      <c r="C3838" t="s">
        <v>32</v>
      </c>
      <c r="D3838" t="s">
        <v>584</v>
      </c>
      <c r="E3838" t="s">
        <v>621</v>
      </c>
      <c r="F3838" t="s">
        <v>35</v>
      </c>
      <c r="G3838" t="s">
        <v>35</v>
      </c>
      <c r="H3838" t="s">
        <v>35</v>
      </c>
      <c r="J3838" t="s">
        <v>4791</v>
      </c>
      <c r="K3838" t="s">
        <v>1092</v>
      </c>
      <c r="M3838">
        <v>7</v>
      </c>
      <c r="N3838">
        <v>58</v>
      </c>
      <c r="O3838" t="s">
        <v>52</v>
      </c>
      <c r="Q3838" t="s">
        <v>128</v>
      </c>
      <c r="R3838" t="s">
        <v>4571</v>
      </c>
      <c r="S3838" t="s">
        <v>628</v>
      </c>
      <c r="T3838" t="s">
        <v>629</v>
      </c>
    </row>
    <row r="3839" spans="1:20" x14ac:dyDescent="0.25">
      <c r="A3839" t="s">
        <v>59</v>
      </c>
      <c r="B3839" t="s">
        <v>60</v>
      </c>
      <c r="C3839" t="s">
        <v>32</v>
      </c>
      <c r="D3839" t="s">
        <v>584</v>
      </c>
      <c r="E3839" t="s">
        <v>599</v>
      </c>
      <c r="F3839" t="s">
        <v>35</v>
      </c>
      <c r="G3839" t="s">
        <v>35</v>
      </c>
      <c r="H3839" t="s">
        <v>35</v>
      </c>
      <c r="J3839" t="s">
        <v>4661</v>
      </c>
      <c r="K3839" t="s">
        <v>1092</v>
      </c>
      <c r="M3839">
        <v>0.25</v>
      </c>
      <c r="N3839">
        <v>187</v>
      </c>
      <c r="O3839" t="s">
        <v>5</v>
      </c>
      <c r="Q3839" t="s">
        <v>2315</v>
      </c>
      <c r="R3839" t="s">
        <v>4571</v>
      </c>
      <c r="S3839" t="s">
        <v>628</v>
      </c>
      <c r="T3839" t="s">
        <v>629</v>
      </c>
    </row>
    <row r="3840" spans="1:20" x14ac:dyDescent="0.25">
      <c r="A3840" t="s">
        <v>59</v>
      </c>
      <c r="B3840" t="s">
        <v>60</v>
      </c>
      <c r="C3840" t="s">
        <v>32</v>
      </c>
      <c r="D3840" t="s">
        <v>584</v>
      </c>
      <c r="E3840" t="s">
        <v>599</v>
      </c>
      <c r="F3840" t="s">
        <v>35</v>
      </c>
      <c r="G3840" t="s">
        <v>35</v>
      </c>
      <c r="H3840" t="s">
        <v>35</v>
      </c>
      <c r="J3840" t="s">
        <v>4627</v>
      </c>
      <c r="K3840" t="s">
        <v>1092</v>
      </c>
      <c r="M3840">
        <v>5</v>
      </c>
      <c r="N3840">
        <v>68</v>
      </c>
      <c r="O3840" t="s">
        <v>61</v>
      </c>
      <c r="Q3840" t="s">
        <v>805</v>
      </c>
      <c r="R3840" t="s">
        <v>4571</v>
      </c>
      <c r="S3840" t="s">
        <v>628</v>
      </c>
      <c r="T3840" t="s">
        <v>629</v>
      </c>
    </row>
    <row r="3841" spans="1:20" x14ac:dyDescent="0.25">
      <c r="A3841" t="s">
        <v>59</v>
      </c>
      <c r="B3841" t="s">
        <v>60</v>
      </c>
      <c r="C3841" t="s">
        <v>32</v>
      </c>
      <c r="D3841" t="s">
        <v>584</v>
      </c>
      <c r="E3841" t="s">
        <v>599</v>
      </c>
      <c r="F3841" t="s">
        <v>35</v>
      </c>
      <c r="G3841" t="s">
        <v>35</v>
      </c>
      <c r="H3841" t="s">
        <v>35</v>
      </c>
      <c r="J3841" t="s">
        <v>4721</v>
      </c>
      <c r="K3841" t="s">
        <v>1092</v>
      </c>
      <c r="M3841">
        <v>1</v>
      </c>
      <c r="N3841">
        <v>9</v>
      </c>
      <c r="O3841" t="s">
        <v>46</v>
      </c>
      <c r="Q3841" t="s">
        <v>323</v>
      </c>
      <c r="R3841" t="s">
        <v>4571</v>
      </c>
      <c r="S3841" t="s">
        <v>628</v>
      </c>
      <c r="T3841" t="s">
        <v>629</v>
      </c>
    </row>
    <row r="3842" spans="1:20" x14ac:dyDescent="0.25">
      <c r="A3842" t="s">
        <v>59</v>
      </c>
      <c r="B3842" t="s">
        <v>60</v>
      </c>
      <c r="C3842" t="s">
        <v>32</v>
      </c>
      <c r="D3842" t="s">
        <v>584</v>
      </c>
      <c r="E3842" t="s">
        <v>599</v>
      </c>
      <c r="F3842" t="s">
        <v>35</v>
      </c>
      <c r="G3842" t="s">
        <v>35</v>
      </c>
      <c r="H3842" t="s">
        <v>35</v>
      </c>
      <c r="J3842" t="s">
        <v>4717</v>
      </c>
      <c r="K3842" t="s">
        <v>1092</v>
      </c>
      <c r="M3842">
        <v>2.1</v>
      </c>
      <c r="N3842">
        <v>565</v>
      </c>
      <c r="O3842" t="s">
        <v>575</v>
      </c>
      <c r="Q3842" t="s">
        <v>4603</v>
      </c>
      <c r="R3842" t="s">
        <v>4571</v>
      </c>
      <c r="S3842" t="s">
        <v>628</v>
      </c>
      <c r="T3842" t="s">
        <v>629</v>
      </c>
    </row>
    <row r="3843" spans="1:20" x14ac:dyDescent="0.25">
      <c r="A3843" t="s">
        <v>59</v>
      </c>
      <c r="B3843" t="s">
        <v>60</v>
      </c>
      <c r="C3843" t="s">
        <v>32</v>
      </c>
      <c r="D3843" t="s">
        <v>584</v>
      </c>
      <c r="E3843" t="s">
        <v>4733</v>
      </c>
      <c r="F3843" t="s">
        <v>35</v>
      </c>
      <c r="G3843" t="s">
        <v>35</v>
      </c>
      <c r="H3843" t="s">
        <v>35</v>
      </c>
      <c r="J3843" t="s">
        <v>4744</v>
      </c>
      <c r="K3843" t="s">
        <v>1092</v>
      </c>
      <c r="M3843">
        <v>1.3</v>
      </c>
      <c r="N3843">
        <v>68</v>
      </c>
      <c r="O3843" t="s">
        <v>61</v>
      </c>
      <c r="Q3843" t="s">
        <v>805</v>
      </c>
      <c r="R3843" t="s">
        <v>4571</v>
      </c>
      <c r="S3843" t="s">
        <v>628</v>
      </c>
      <c r="T3843" t="s">
        <v>629</v>
      </c>
    </row>
    <row r="3844" spans="1:20" x14ac:dyDescent="0.25">
      <c r="A3844" t="s">
        <v>59</v>
      </c>
      <c r="B3844" t="s">
        <v>60</v>
      </c>
      <c r="C3844" t="s">
        <v>32</v>
      </c>
      <c r="D3844" t="s">
        <v>584</v>
      </c>
      <c r="E3844" t="s">
        <v>599</v>
      </c>
      <c r="F3844" t="s">
        <v>35</v>
      </c>
      <c r="G3844" t="s">
        <v>35</v>
      </c>
      <c r="H3844" t="s">
        <v>35</v>
      </c>
      <c r="J3844" t="s">
        <v>4703</v>
      </c>
      <c r="K3844" t="s">
        <v>1092</v>
      </c>
      <c r="M3844">
        <v>0.25</v>
      </c>
      <c r="N3844">
        <v>93</v>
      </c>
      <c r="O3844" t="s">
        <v>106</v>
      </c>
      <c r="Q3844" t="s">
        <v>1112</v>
      </c>
      <c r="R3844" t="s">
        <v>4571</v>
      </c>
      <c r="S3844" t="s">
        <v>628</v>
      </c>
      <c r="T3844" t="s">
        <v>629</v>
      </c>
    </row>
    <row r="3845" spans="1:20" x14ac:dyDescent="0.25">
      <c r="A3845" t="s">
        <v>59</v>
      </c>
      <c r="B3845" t="s">
        <v>60</v>
      </c>
      <c r="C3845" t="s">
        <v>32</v>
      </c>
      <c r="D3845" t="s">
        <v>584</v>
      </c>
      <c r="E3845" t="s">
        <v>585</v>
      </c>
      <c r="F3845" t="s">
        <v>35</v>
      </c>
      <c r="G3845" t="s">
        <v>35</v>
      </c>
      <c r="H3845" t="s">
        <v>35</v>
      </c>
      <c r="J3845" t="s">
        <v>4570</v>
      </c>
      <c r="K3845" t="s">
        <v>1092</v>
      </c>
      <c r="M3845">
        <v>3.05</v>
      </c>
      <c r="N3845">
        <v>272</v>
      </c>
      <c r="O3845" t="s">
        <v>5</v>
      </c>
      <c r="Q3845" t="s">
        <v>1717</v>
      </c>
      <c r="R3845" t="s">
        <v>4571</v>
      </c>
      <c r="S3845" t="s">
        <v>628</v>
      </c>
      <c r="T3845" t="s">
        <v>629</v>
      </c>
    </row>
    <row r="3846" spans="1:20" x14ac:dyDescent="0.25">
      <c r="A3846" t="s">
        <v>59</v>
      </c>
      <c r="B3846" t="s">
        <v>60</v>
      </c>
      <c r="C3846" t="s">
        <v>32</v>
      </c>
      <c r="D3846" t="s">
        <v>584</v>
      </c>
      <c r="E3846" t="s">
        <v>599</v>
      </c>
      <c r="F3846" t="s">
        <v>35</v>
      </c>
      <c r="G3846" t="s">
        <v>35</v>
      </c>
      <c r="H3846" t="s">
        <v>35</v>
      </c>
      <c r="J3846" t="s">
        <v>4691</v>
      </c>
      <c r="K3846" t="s">
        <v>1092</v>
      </c>
      <c r="M3846">
        <v>11.4</v>
      </c>
      <c r="N3846">
        <v>58</v>
      </c>
      <c r="O3846" t="s">
        <v>52</v>
      </c>
      <c r="Q3846" t="s">
        <v>128</v>
      </c>
      <c r="R3846" t="s">
        <v>4571</v>
      </c>
      <c r="S3846" t="s">
        <v>628</v>
      </c>
      <c r="T3846" t="s">
        <v>629</v>
      </c>
    </row>
    <row r="3847" spans="1:20" x14ac:dyDescent="0.25">
      <c r="A3847" t="s">
        <v>30</v>
      </c>
      <c r="B3847" t="s">
        <v>31</v>
      </c>
      <c r="C3847" t="s">
        <v>32</v>
      </c>
      <c r="D3847" t="s">
        <v>584</v>
      </c>
      <c r="E3847" t="s">
        <v>621</v>
      </c>
      <c r="F3847" t="s">
        <v>35</v>
      </c>
      <c r="G3847" t="s">
        <v>35</v>
      </c>
      <c r="H3847" t="s">
        <v>35</v>
      </c>
      <c r="J3847" t="s">
        <v>4943</v>
      </c>
      <c r="K3847" t="s">
        <v>1092</v>
      </c>
      <c r="M3847">
        <v>3.5999999999999997E-2</v>
      </c>
      <c r="N3847">
        <v>1400</v>
      </c>
      <c r="O3847" t="s">
        <v>575</v>
      </c>
      <c r="Q3847" t="s">
        <v>4944</v>
      </c>
      <c r="R3847" t="s">
        <v>4571</v>
      </c>
      <c r="S3847" t="s">
        <v>628</v>
      </c>
      <c r="T3847" t="s">
        <v>629</v>
      </c>
    </row>
    <row r="3848" spans="1:20" x14ac:dyDescent="0.25">
      <c r="A3848" t="s">
        <v>59</v>
      </c>
      <c r="B3848" t="s">
        <v>60</v>
      </c>
      <c r="C3848" t="s">
        <v>32</v>
      </c>
      <c r="D3848" t="s">
        <v>584</v>
      </c>
      <c r="E3848" t="s">
        <v>621</v>
      </c>
      <c r="F3848" t="s">
        <v>35</v>
      </c>
      <c r="G3848" t="s">
        <v>35</v>
      </c>
      <c r="H3848" t="s">
        <v>35</v>
      </c>
      <c r="J3848" t="s">
        <v>4850</v>
      </c>
      <c r="K3848" t="s">
        <v>1092</v>
      </c>
      <c r="M3848">
        <v>0.5</v>
      </c>
      <c r="N3848">
        <v>71</v>
      </c>
      <c r="O3848" t="s">
        <v>61</v>
      </c>
      <c r="Q3848" t="s">
        <v>4851</v>
      </c>
      <c r="R3848" t="s">
        <v>4571</v>
      </c>
      <c r="S3848" t="s">
        <v>628</v>
      </c>
      <c r="T3848" t="s">
        <v>629</v>
      </c>
    </row>
    <row r="3849" spans="1:20" x14ac:dyDescent="0.25">
      <c r="A3849" t="s">
        <v>59</v>
      </c>
      <c r="B3849" t="s">
        <v>60</v>
      </c>
      <c r="C3849" t="s">
        <v>32</v>
      </c>
      <c r="D3849" t="s">
        <v>584</v>
      </c>
      <c r="E3849" t="s">
        <v>621</v>
      </c>
      <c r="F3849" t="s">
        <v>35</v>
      </c>
      <c r="G3849" t="s">
        <v>35</v>
      </c>
      <c r="H3849" t="s">
        <v>35</v>
      </c>
      <c r="J3849" t="s">
        <v>4848</v>
      </c>
      <c r="K3849" t="s">
        <v>1092</v>
      </c>
      <c r="M3849">
        <v>3.8</v>
      </c>
      <c r="N3849">
        <v>131</v>
      </c>
      <c r="O3849" t="s">
        <v>38</v>
      </c>
      <c r="Q3849" t="s">
        <v>542</v>
      </c>
      <c r="R3849" t="s">
        <v>4571</v>
      </c>
      <c r="S3849" t="s">
        <v>628</v>
      </c>
      <c r="T3849" t="s">
        <v>629</v>
      </c>
    </row>
    <row r="3850" spans="1:20" x14ac:dyDescent="0.25">
      <c r="A3850" t="s">
        <v>30</v>
      </c>
      <c r="B3850" t="s">
        <v>31</v>
      </c>
      <c r="C3850" t="s">
        <v>32</v>
      </c>
      <c r="D3850" t="s">
        <v>584</v>
      </c>
      <c r="F3850" t="s">
        <v>35</v>
      </c>
      <c r="G3850" t="s">
        <v>35</v>
      </c>
      <c r="H3850" t="s">
        <v>35</v>
      </c>
      <c r="J3850" t="s">
        <v>4977</v>
      </c>
      <c r="K3850" t="s">
        <v>1092</v>
      </c>
      <c r="M3850">
        <v>1.8</v>
      </c>
      <c r="N3850">
        <v>2227</v>
      </c>
      <c r="O3850" t="s">
        <v>575</v>
      </c>
      <c r="Q3850" t="s">
        <v>2341</v>
      </c>
      <c r="R3850" t="s">
        <v>4571</v>
      </c>
      <c r="S3850" t="s">
        <v>628</v>
      </c>
      <c r="T3850" t="s">
        <v>629</v>
      </c>
    </row>
    <row r="3851" spans="1:20" x14ac:dyDescent="0.25">
      <c r="A3851" t="s">
        <v>30</v>
      </c>
      <c r="B3851" t="s">
        <v>31</v>
      </c>
      <c r="C3851" t="s">
        <v>32</v>
      </c>
      <c r="D3851" t="s">
        <v>584</v>
      </c>
      <c r="F3851" t="s">
        <v>35</v>
      </c>
      <c r="G3851" t="s">
        <v>35</v>
      </c>
      <c r="H3851" t="s">
        <v>35</v>
      </c>
      <c r="J3851" t="s">
        <v>4977</v>
      </c>
      <c r="K3851" t="s">
        <v>1092</v>
      </c>
      <c r="M3851">
        <v>0.77500000000000002</v>
      </c>
      <c r="N3851">
        <v>2303</v>
      </c>
      <c r="O3851" t="s">
        <v>575</v>
      </c>
      <c r="Q3851" t="s">
        <v>4978</v>
      </c>
      <c r="R3851" t="s">
        <v>4571</v>
      </c>
      <c r="S3851" t="s">
        <v>628</v>
      </c>
      <c r="T3851" t="s">
        <v>629</v>
      </c>
    </row>
    <row r="3852" spans="1:20" x14ac:dyDescent="0.25">
      <c r="A3852" t="s">
        <v>59</v>
      </c>
      <c r="B3852" t="s">
        <v>60</v>
      </c>
      <c r="C3852" t="s">
        <v>32</v>
      </c>
      <c r="D3852" t="s">
        <v>584</v>
      </c>
      <c r="E3852" t="s">
        <v>621</v>
      </c>
      <c r="F3852" t="s">
        <v>35</v>
      </c>
      <c r="G3852" t="s">
        <v>35</v>
      </c>
      <c r="H3852" t="s">
        <v>35</v>
      </c>
      <c r="J3852" t="s">
        <v>4825</v>
      </c>
      <c r="K3852" t="s">
        <v>1092</v>
      </c>
      <c r="M3852">
        <v>5.5</v>
      </c>
      <c r="N3852">
        <v>272</v>
      </c>
      <c r="O3852" t="s">
        <v>5</v>
      </c>
      <c r="Q3852" t="s">
        <v>1717</v>
      </c>
      <c r="R3852" t="s">
        <v>4571</v>
      </c>
      <c r="S3852" t="s">
        <v>628</v>
      </c>
      <c r="T3852" t="s">
        <v>629</v>
      </c>
    </row>
    <row r="3853" spans="1:20" x14ac:dyDescent="0.25">
      <c r="A3853" t="s">
        <v>59</v>
      </c>
      <c r="B3853" t="s">
        <v>60</v>
      </c>
      <c r="C3853" t="s">
        <v>32</v>
      </c>
      <c r="D3853" t="s">
        <v>584</v>
      </c>
      <c r="E3853" t="s">
        <v>599</v>
      </c>
      <c r="F3853" t="s">
        <v>35</v>
      </c>
      <c r="G3853" t="s">
        <v>35</v>
      </c>
      <c r="H3853" t="s">
        <v>35</v>
      </c>
      <c r="J3853" t="s">
        <v>4677</v>
      </c>
      <c r="K3853" t="s">
        <v>1092</v>
      </c>
      <c r="M3853">
        <v>5.25</v>
      </c>
      <c r="N3853">
        <v>68</v>
      </c>
      <c r="O3853" t="s">
        <v>61</v>
      </c>
      <c r="Q3853" t="s">
        <v>805</v>
      </c>
      <c r="R3853" t="s">
        <v>4571</v>
      </c>
      <c r="S3853" t="s">
        <v>628</v>
      </c>
      <c r="T3853" t="s">
        <v>629</v>
      </c>
    </row>
    <row r="3854" spans="1:20" x14ac:dyDescent="0.25">
      <c r="A3854" t="s">
        <v>59</v>
      </c>
      <c r="B3854" t="s">
        <v>60</v>
      </c>
      <c r="C3854" t="s">
        <v>32</v>
      </c>
      <c r="D3854" t="s">
        <v>584</v>
      </c>
      <c r="E3854" t="s">
        <v>4769</v>
      </c>
      <c r="F3854" t="s">
        <v>35</v>
      </c>
      <c r="G3854" t="s">
        <v>35</v>
      </c>
      <c r="H3854" t="s">
        <v>35</v>
      </c>
      <c r="J3854" t="s">
        <v>4774</v>
      </c>
      <c r="K3854" t="s">
        <v>1092</v>
      </c>
      <c r="M3854">
        <v>3.4</v>
      </c>
      <c r="N3854">
        <v>1251</v>
      </c>
      <c r="O3854" t="s">
        <v>575</v>
      </c>
      <c r="Q3854" t="s">
        <v>2512</v>
      </c>
      <c r="R3854" t="s">
        <v>4571</v>
      </c>
      <c r="S3854" t="s">
        <v>628</v>
      </c>
      <c r="T3854" t="s">
        <v>629</v>
      </c>
    </row>
    <row r="3855" spans="1:20" x14ac:dyDescent="0.25">
      <c r="A3855" t="s">
        <v>59</v>
      </c>
      <c r="B3855" t="s">
        <v>60</v>
      </c>
      <c r="C3855" t="s">
        <v>32</v>
      </c>
      <c r="D3855" t="s">
        <v>584</v>
      </c>
      <c r="E3855" t="s">
        <v>621</v>
      </c>
      <c r="F3855" t="s">
        <v>35</v>
      </c>
      <c r="G3855" t="s">
        <v>35</v>
      </c>
      <c r="H3855" t="s">
        <v>35</v>
      </c>
      <c r="J3855" t="s">
        <v>4795</v>
      </c>
      <c r="K3855" t="s">
        <v>1092</v>
      </c>
      <c r="M3855">
        <v>1.9E-2</v>
      </c>
      <c r="N3855">
        <v>256</v>
      </c>
      <c r="O3855" t="s">
        <v>5</v>
      </c>
      <c r="Q3855" t="s">
        <v>2499</v>
      </c>
      <c r="R3855" t="s">
        <v>4571</v>
      </c>
      <c r="S3855" t="s">
        <v>628</v>
      </c>
      <c r="T3855" t="s">
        <v>629</v>
      </c>
    </row>
    <row r="3856" spans="1:20" x14ac:dyDescent="0.25">
      <c r="A3856" t="s">
        <v>59</v>
      </c>
      <c r="B3856" t="s">
        <v>60</v>
      </c>
      <c r="C3856" t="s">
        <v>32</v>
      </c>
      <c r="D3856" t="s">
        <v>584</v>
      </c>
      <c r="E3856" t="s">
        <v>621</v>
      </c>
      <c r="F3856" t="s">
        <v>35</v>
      </c>
      <c r="G3856" t="s">
        <v>35</v>
      </c>
      <c r="H3856" t="s">
        <v>35</v>
      </c>
      <c r="J3856" t="s">
        <v>4795</v>
      </c>
      <c r="K3856" t="s">
        <v>1092</v>
      </c>
      <c r="M3856">
        <v>1</v>
      </c>
      <c r="N3856">
        <v>122</v>
      </c>
      <c r="O3856" t="s">
        <v>38</v>
      </c>
      <c r="Q3856" t="s">
        <v>1449</v>
      </c>
      <c r="R3856" t="s">
        <v>4571</v>
      </c>
      <c r="S3856" t="s">
        <v>628</v>
      </c>
      <c r="T3856" t="s">
        <v>629</v>
      </c>
    </row>
    <row r="3857" spans="1:20" x14ac:dyDescent="0.25">
      <c r="A3857" t="s">
        <v>59</v>
      </c>
      <c r="B3857" t="s">
        <v>60</v>
      </c>
      <c r="C3857" t="s">
        <v>32</v>
      </c>
      <c r="D3857" t="s">
        <v>584</v>
      </c>
      <c r="E3857" t="s">
        <v>621</v>
      </c>
      <c r="F3857" t="s">
        <v>35</v>
      </c>
      <c r="G3857" t="s">
        <v>35</v>
      </c>
      <c r="H3857" t="s">
        <v>35</v>
      </c>
      <c r="J3857" t="s">
        <v>4919</v>
      </c>
      <c r="K3857" t="s">
        <v>1092</v>
      </c>
      <c r="M3857">
        <v>1</v>
      </c>
      <c r="N3857">
        <v>895</v>
      </c>
      <c r="O3857" t="s">
        <v>575</v>
      </c>
      <c r="Q3857" t="s">
        <v>4920</v>
      </c>
      <c r="R3857" t="s">
        <v>4571</v>
      </c>
      <c r="S3857" t="s">
        <v>628</v>
      </c>
      <c r="T3857" t="s">
        <v>629</v>
      </c>
    </row>
    <row r="3858" spans="1:20" x14ac:dyDescent="0.25">
      <c r="A3858" t="s">
        <v>59</v>
      </c>
      <c r="B3858" t="s">
        <v>60</v>
      </c>
      <c r="C3858" t="s">
        <v>32</v>
      </c>
      <c r="D3858" t="s">
        <v>584</v>
      </c>
      <c r="E3858" t="s">
        <v>599</v>
      </c>
      <c r="F3858" t="s">
        <v>35</v>
      </c>
      <c r="G3858" t="s">
        <v>35</v>
      </c>
      <c r="H3858" t="s">
        <v>35</v>
      </c>
      <c r="J3858" t="s">
        <v>4648</v>
      </c>
      <c r="K3858" t="s">
        <v>1092</v>
      </c>
      <c r="M3858">
        <v>1</v>
      </c>
      <c r="N3858">
        <v>9</v>
      </c>
      <c r="O3858" t="s">
        <v>46</v>
      </c>
      <c r="Q3858" t="s">
        <v>323</v>
      </c>
      <c r="R3858" t="s">
        <v>4571</v>
      </c>
      <c r="S3858" t="s">
        <v>628</v>
      </c>
      <c r="T3858" t="s">
        <v>629</v>
      </c>
    </row>
    <row r="3859" spans="1:20" x14ac:dyDescent="0.25">
      <c r="A3859" t="s">
        <v>59</v>
      </c>
      <c r="B3859" t="s">
        <v>60</v>
      </c>
      <c r="C3859" t="s">
        <v>32</v>
      </c>
      <c r="D3859" t="s">
        <v>584</v>
      </c>
      <c r="E3859" t="s">
        <v>621</v>
      </c>
      <c r="F3859" t="s">
        <v>35</v>
      </c>
      <c r="G3859" t="s">
        <v>35</v>
      </c>
      <c r="H3859" t="s">
        <v>35</v>
      </c>
      <c r="J3859" t="s">
        <v>4344</v>
      </c>
      <c r="K3859" t="s">
        <v>1092</v>
      </c>
      <c r="M3859">
        <v>0.8</v>
      </c>
      <c r="N3859">
        <v>152</v>
      </c>
      <c r="O3859" t="s">
        <v>38</v>
      </c>
      <c r="Q3859" t="s">
        <v>40</v>
      </c>
      <c r="R3859" t="s">
        <v>4571</v>
      </c>
      <c r="S3859" t="s">
        <v>628</v>
      </c>
      <c r="T3859" t="s">
        <v>629</v>
      </c>
    </row>
    <row r="3860" spans="1:20" x14ac:dyDescent="0.25">
      <c r="A3860" t="s">
        <v>59</v>
      </c>
      <c r="B3860" t="s">
        <v>60</v>
      </c>
      <c r="C3860" t="s">
        <v>32</v>
      </c>
      <c r="D3860" t="s">
        <v>584</v>
      </c>
      <c r="E3860" t="s">
        <v>621</v>
      </c>
      <c r="F3860" t="s">
        <v>35</v>
      </c>
      <c r="G3860" t="s">
        <v>35</v>
      </c>
      <c r="H3860" t="s">
        <v>35</v>
      </c>
      <c r="J3860" t="s">
        <v>4344</v>
      </c>
      <c r="K3860" t="s">
        <v>1092</v>
      </c>
      <c r="M3860">
        <v>3</v>
      </c>
      <c r="N3860">
        <v>134</v>
      </c>
      <c r="O3860" t="s">
        <v>38</v>
      </c>
      <c r="Q3860" t="s">
        <v>1822</v>
      </c>
      <c r="R3860" t="s">
        <v>4571</v>
      </c>
      <c r="S3860" t="s">
        <v>628</v>
      </c>
      <c r="T3860" t="s">
        <v>629</v>
      </c>
    </row>
    <row r="3861" spans="1:20" x14ac:dyDescent="0.25">
      <c r="A3861" t="s">
        <v>59</v>
      </c>
      <c r="B3861" t="s">
        <v>60</v>
      </c>
      <c r="C3861" t="s">
        <v>32</v>
      </c>
      <c r="D3861" t="s">
        <v>584</v>
      </c>
      <c r="E3861" t="s">
        <v>621</v>
      </c>
      <c r="F3861" t="s">
        <v>35</v>
      </c>
      <c r="G3861" t="s">
        <v>35</v>
      </c>
      <c r="H3861" t="s">
        <v>35</v>
      </c>
      <c r="J3861" t="s">
        <v>4344</v>
      </c>
      <c r="K3861" t="s">
        <v>1092</v>
      </c>
      <c r="M3861">
        <v>0.75</v>
      </c>
      <c r="N3861">
        <v>514</v>
      </c>
      <c r="O3861" t="s">
        <v>294</v>
      </c>
      <c r="Q3861" t="s">
        <v>1146</v>
      </c>
      <c r="R3861" t="s">
        <v>4571</v>
      </c>
      <c r="S3861" t="s">
        <v>628</v>
      </c>
      <c r="T3861" t="s">
        <v>629</v>
      </c>
    </row>
    <row r="3862" spans="1:20" x14ac:dyDescent="0.25">
      <c r="A3862" t="s">
        <v>59</v>
      </c>
      <c r="B3862" t="s">
        <v>60</v>
      </c>
      <c r="C3862" t="s">
        <v>32</v>
      </c>
      <c r="D3862" t="s">
        <v>584</v>
      </c>
      <c r="E3862" t="s">
        <v>621</v>
      </c>
      <c r="F3862" t="s">
        <v>35</v>
      </c>
      <c r="G3862" t="s">
        <v>35</v>
      </c>
      <c r="H3862" t="s">
        <v>35</v>
      </c>
      <c r="J3862" t="s">
        <v>4344</v>
      </c>
      <c r="K3862" t="s">
        <v>1092</v>
      </c>
      <c r="M3862">
        <v>0.5</v>
      </c>
      <c r="N3862">
        <v>284</v>
      </c>
      <c r="O3862" t="s">
        <v>5</v>
      </c>
      <c r="Q3862" t="s">
        <v>1249</v>
      </c>
      <c r="R3862" t="s">
        <v>4571</v>
      </c>
      <c r="S3862" t="s">
        <v>628</v>
      </c>
      <c r="T3862" t="s">
        <v>629</v>
      </c>
    </row>
    <row r="3863" spans="1:20" x14ac:dyDescent="0.25">
      <c r="A3863" t="s">
        <v>59</v>
      </c>
      <c r="B3863" t="s">
        <v>60</v>
      </c>
      <c r="C3863" t="s">
        <v>32</v>
      </c>
      <c r="D3863" t="s">
        <v>584</v>
      </c>
      <c r="E3863" t="s">
        <v>621</v>
      </c>
      <c r="F3863" t="s">
        <v>35</v>
      </c>
      <c r="G3863" t="s">
        <v>35</v>
      </c>
      <c r="H3863" t="s">
        <v>35</v>
      </c>
      <c r="J3863" t="s">
        <v>4872</v>
      </c>
      <c r="K3863" t="s">
        <v>1092</v>
      </c>
      <c r="M3863">
        <v>1</v>
      </c>
      <c r="N3863">
        <v>285</v>
      </c>
      <c r="O3863" t="s">
        <v>5</v>
      </c>
      <c r="Q3863" t="s">
        <v>1234</v>
      </c>
      <c r="R3863" t="s">
        <v>4571</v>
      </c>
      <c r="S3863" t="s">
        <v>628</v>
      </c>
      <c r="T3863" t="s">
        <v>629</v>
      </c>
    </row>
    <row r="3864" spans="1:20" x14ac:dyDescent="0.25">
      <c r="A3864" t="s">
        <v>59</v>
      </c>
      <c r="B3864" t="s">
        <v>60</v>
      </c>
      <c r="C3864" t="s">
        <v>32</v>
      </c>
      <c r="D3864" t="s">
        <v>584</v>
      </c>
      <c r="E3864" t="s">
        <v>621</v>
      </c>
      <c r="F3864" t="s">
        <v>35</v>
      </c>
      <c r="G3864" t="s">
        <v>35</v>
      </c>
      <c r="H3864" t="s">
        <v>35</v>
      </c>
      <c r="J3864" t="s">
        <v>4835</v>
      </c>
      <c r="K3864" t="s">
        <v>1092</v>
      </c>
      <c r="M3864">
        <v>0.7</v>
      </c>
      <c r="N3864">
        <v>272</v>
      </c>
      <c r="O3864" t="s">
        <v>5</v>
      </c>
      <c r="Q3864" t="s">
        <v>1717</v>
      </c>
      <c r="R3864" t="s">
        <v>4571</v>
      </c>
      <c r="S3864" t="s">
        <v>628</v>
      </c>
      <c r="T3864" t="s">
        <v>629</v>
      </c>
    </row>
    <row r="3865" spans="1:20" x14ac:dyDescent="0.25">
      <c r="A3865" t="s">
        <v>59</v>
      </c>
      <c r="B3865" t="s">
        <v>60</v>
      </c>
      <c r="C3865" t="s">
        <v>32</v>
      </c>
      <c r="D3865" t="s">
        <v>584</v>
      </c>
      <c r="E3865" t="s">
        <v>599</v>
      </c>
      <c r="F3865" t="s">
        <v>35</v>
      </c>
      <c r="G3865" t="s">
        <v>35</v>
      </c>
      <c r="H3865" t="s">
        <v>35</v>
      </c>
      <c r="J3865" t="s">
        <v>4668</v>
      </c>
      <c r="K3865" t="s">
        <v>1092</v>
      </c>
      <c r="M3865">
        <v>0.14499999999999999</v>
      </c>
      <c r="N3865">
        <v>135</v>
      </c>
      <c r="O3865" t="s">
        <v>38</v>
      </c>
      <c r="Q3865" t="s">
        <v>2067</v>
      </c>
      <c r="R3865" t="s">
        <v>4571</v>
      </c>
      <c r="S3865" t="s">
        <v>628</v>
      </c>
      <c r="T3865" t="s">
        <v>629</v>
      </c>
    </row>
    <row r="3866" spans="1:20" x14ac:dyDescent="0.25">
      <c r="A3866" t="s">
        <v>44</v>
      </c>
      <c r="B3866" t="s">
        <v>51</v>
      </c>
      <c r="C3866" t="s">
        <v>32</v>
      </c>
      <c r="D3866" t="s">
        <v>584</v>
      </c>
      <c r="E3866" t="s">
        <v>585</v>
      </c>
      <c r="F3866" t="s">
        <v>35</v>
      </c>
      <c r="G3866" t="s">
        <v>35</v>
      </c>
      <c r="H3866" t="s">
        <v>35</v>
      </c>
      <c r="J3866" t="s">
        <v>4593</v>
      </c>
      <c r="K3866" t="s">
        <v>1092</v>
      </c>
      <c r="M3866">
        <v>0.8</v>
      </c>
      <c r="N3866">
        <v>493</v>
      </c>
      <c r="O3866" t="s">
        <v>294</v>
      </c>
      <c r="Q3866" t="s">
        <v>2051</v>
      </c>
      <c r="R3866" t="s">
        <v>4571</v>
      </c>
      <c r="S3866" t="s">
        <v>628</v>
      </c>
      <c r="T3866" t="s">
        <v>629</v>
      </c>
    </row>
    <row r="3867" spans="1:20" x14ac:dyDescent="0.25">
      <c r="A3867" t="s">
        <v>59</v>
      </c>
      <c r="B3867" t="s">
        <v>60</v>
      </c>
      <c r="C3867" t="s">
        <v>32</v>
      </c>
      <c r="D3867" t="s">
        <v>584</v>
      </c>
      <c r="E3867" t="s">
        <v>599</v>
      </c>
      <c r="F3867" t="s">
        <v>35</v>
      </c>
      <c r="G3867" t="s">
        <v>35</v>
      </c>
      <c r="H3867" t="s">
        <v>35</v>
      </c>
      <c r="J3867" t="s">
        <v>4635</v>
      </c>
      <c r="K3867" t="s">
        <v>1092</v>
      </c>
      <c r="M3867">
        <v>5</v>
      </c>
      <c r="N3867">
        <v>68</v>
      </c>
      <c r="O3867" t="s">
        <v>61</v>
      </c>
      <c r="Q3867" t="s">
        <v>805</v>
      </c>
      <c r="R3867" t="s">
        <v>4571</v>
      </c>
      <c r="S3867" t="s">
        <v>628</v>
      </c>
      <c r="T3867" t="s">
        <v>629</v>
      </c>
    </row>
    <row r="3868" spans="1:20" x14ac:dyDescent="0.25">
      <c r="A3868" t="s">
        <v>44</v>
      </c>
      <c r="B3868" t="s">
        <v>51</v>
      </c>
      <c r="C3868" t="s">
        <v>32</v>
      </c>
      <c r="D3868" t="s">
        <v>584</v>
      </c>
      <c r="E3868" t="s">
        <v>4733</v>
      </c>
      <c r="F3868" t="s">
        <v>35</v>
      </c>
      <c r="G3868" t="s">
        <v>35</v>
      </c>
      <c r="H3868" t="s">
        <v>35</v>
      </c>
      <c r="J3868" t="s">
        <v>4761</v>
      </c>
      <c r="K3868" t="s">
        <v>1092</v>
      </c>
      <c r="M3868">
        <v>0.1</v>
      </c>
      <c r="N3868">
        <v>473</v>
      </c>
      <c r="O3868" t="s">
        <v>294</v>
      </c>
      <c r="Q3868" t="s">
        <v>1405</v>
      </c>
      <c r="R3868" t="s">
        <v>4752</v>
      </c>
      <c r="S3868" t="s">
        <v>4753</v>
      </c>
      <c r="T3868" t="s">
        <v>4754</v>
      </c>
    </row>
    <row r="3869" spans="1:20" x14ac:dyDescent="0.25">
      <c r="A3869" t="s">
        <v>30</v>
      </c>
      <c r="B3869" t="s">
        <v>31</v>
      </c>
      <c r="C3869" t="s">
        <v>32</v>
      </c>
      <c r="D3869" t="s">
        <v>584</v>
      </c>
      <c r="E3869" t="s">
        <v>621</v>
      </c>
      <c r="F3869" t="s">
        <v>35</v>
      </c>
      <c r="G3869" t="s">
        <v>35</v>
      </c>
      <c r="H3869" t="s">
        <v>35</v>
      </c>
      <c r="J3869" t="s">
        <v>4904</v>
      </c>
      <c r="K3869" t="s">
        <v>1092</v>
      </c>
      <c r="M3869">
        <v>0.02</v>
      </c>
      <c r="N3869">
        <v>210</v>
      </c>
      <c r="O3869" t="s">
        <v>5</v>
      </c>
      <c r="Q3869" t="s">
        <v>1159</v>
      </c>
      <c r="R3869" t="s">
        <v>4752</v>
      </c>
      <c r="S3869" t="s">
        <v>4753</v>
      </c>
      <c r="T3869" t="s">
        <v>4754</v>
      </c>
    </row>
    <row r="3870" spans="1:20" x14ac:dyDescent="0.25">
      <c r="A3870" t="s">
        <v>30</v>
      </c>
      <c r="B3870" t="s">
        <v>31</v>
      </c>
      <c r="C3870" t="s">
        <v>32</v>
      </c>
      <c r="D3870" t="s">
        <v>584</v>
      </c>
      <c r="E3870" t="s">
        <v>4733</v>
      </c>
      <c r="F3870" t="s">
        <v>35</v>
      </c>
      <c r="G3870" t="s">
        <v>35</v>
      </c>
      <c r="H3870" t="s">
        <v>35</v>
      </c>
      <c r="J3870" t="s">
        <v>4751</v>
      </c>
      <c r="K3870" t="s">
        <v>1092</v>
      </c>
      <c r="M3870">
        <v>5.94</v>
      </c>
      <c r="N3870">
        <v>210</v>
      </c>
      <c r="O3870" t="s">
        <v>5</v>
      </c>
      <c r="Q3870" t="s">
        <v>1159</v>
      </c>
      <c r="R3870" t="s">
        <v>4752</v>
      </c>
      <c r="S3870" t="s">
        <v>4753</v>
      </c>
      <c r="T3870" t="s">
        <v>4754</v>
      </c>
    </row>
    <row r="3871" spans="1:20" x14ac:dyDescent="0.25">
      <c r="A3871" t="s">
        <v>44</v>
      </c>
      <c r="B3871" t="s">
        <v>51</v>
      </c>
      <c r="C3871" t="s">
        <v>32</v>
      </c>
      <c r="D3871" t="s">
        <v>584</v>
      </c>
      <c r="E3871" t="s">
        <v>4733</v>
      </c>
      <c r="F3871" t="s">
        <v>35</v>
      </c>
      <c r="G3871" t="s">
        <v>35</v>
      </c>
      <c r="H3871" t="s">
        <v>35</v>
      </c>
      <c r="J3871" t="s">
        <v>4760</v>
      </c>
      <c r="K3871" t="s">
        <v>1092</v>
      </c>
      <c r="M3871">
        <v>0.35</v>
      </c>
      <c r="N3871">
        <v>485</v>
      </c>
      <c r="O3871" t="s">
        <v>294</v>
      </c>
      <c r="Q3871" t="s">
        <v>1186</v>
      </c>
      <c r="R3871" t="s">
        <v>4752</v>
      </c>
      <c r="S3871" t="s">
        <v>4753</v>
      </c>
      <c r="T3871" t="s">
        <v>4754</v>
      </c>
    </row>
    <row r="3872" spans="1:20" x14ac:dyDescent="0.25">
      <c r="A3872" t="s">
        <v>44</v>
      </c>
      <c r="B3872" t="s">
        <v>51</v>
      </c>
      <c r="C3872" t="s">
        <v>32</v>
      </c>
      <c r="D3872" t="s">
        <v>584</v>
      </c>
      <c r="E3872" t="s">
        <v>4733</v>
      </c>
      <c r="F3872" t="s">
        <v>35</v>
      </c>
      <c r="G3872" t="s">
        <v>35</v>
      </c>
      <c r="H3872" t="s">
        <v>35</v>
      </c>
      <c r="J3872" t="s">
        <v>4762</v>
      </c>
      <c r="K3872" t="s">
        <v>1092</v>
      </c>
      <c r="M3872">
        <v>0.2</v>
      </c>
      <c r="N3872">
        <v>485</v>
      </c>
      <c r="O3872" t="s">
        <v>294</v>
      </c>
      <c r="Q3872" t="s">
        <v>1186</v>
      </c>
      <c r="R3872" t="s">
        <v>4752</v>
      </c>
      <c r="S3872" t="s">
        <v>4753</v>
      </c>
      <c r="T3872" t="s">
        <v>4754</v>
      </c>
    </row>
    <row r="3873" spans="1:20" x14ac:dyDescent="0.25">
      <c r="A3873" t="s">
        <v>44</v>
      </c>
      <c r="B3873" t="s">
        <v>51</v>
      </c>
      <c r="C3873" t="s">
        <v>32</v>
      </c>
      <c r="D3873" t="s">
        <v>584</v>
      </c>
      <c r="E3873" t="s">
        <v>4733</v>
      </c>
      <c r="F3873" t="s">
        <v>35</v>
      </c>
      <c r="G3873" t="s">
        <v>35</v>
      </c>
      <c r="H3873" t="s">
        <v>35</v>
      </c>
      <c r="J3873" t="s">
        <v>4763</v>
      </c>
      <c r="K3873" t="s">
        <v>1092</v>
      </c>
      <c r="M3873">
        <v>0.1</v>
      </c>
      <c r="N3873">
        <v>485</v>
      </c>
      <c r="O3873" t="s">
        <v>294</v>
      </c>
      <c r="Q3873" t="s">
        <v>1186</v>
      </c>
      <c r="R3873" t="s">
        <v>4752</v>
      </c>
      <c r="S3873" t="s">
        <v>4753</v>
      </c>
      <c r="T3873" t="s">
        <v>4754</v>
      </c>
    </row>
    <row r="3874" spans="1:20" x14ac:dyDescent="0.25">
      <c r="A3874" t="s">
        <v>59</v>
      </c>
      <c r="B3874" t="s">
        <v>60</v>
      </c>
      <c r="C3874" t="s">
        <v>32</v>
      </c>
      <c r="D3874" t="s">
        <v>584</v>
      </c>
      <c r="F3874" t="s">
        <v>35</v>
      </c>
      <c r="G3874" t="s">
        <v>35</v>
      </c>
      <c r="H3874" t="s">
        <v>35</v>
      </c>
      <c r="J3874" t="s">
        <v>4969</v>
      </c>
      <c r="K3874" t="s">
        <v>1092</v>
      </c>
      <c r="M3874">
        <v>0.25</v>
      </c>
      <c r="N3874">
        <v>1350</v>
      </c>
      <c r="O3874" t="s">
        <v>575</v>
      </c>
      <c r="Q3874" t="s">
        <v>4295</v>
      </c>
      <c r="R3874" t="s">
        <v>4752</v>
      </c>
      <c r="S3874" t="s">
        <v>4753</v>
      </c>
      <c r="T3874" t="s">
        <v>4754</v>
      </c>
    </row>
    <row r="3875" spans="1:20" x14ac:dyDescent="0.25">
      <c r="A3875" t="s">
        <v>59</v>
      </c>
      <c r="B3875" t="s">
        <v>60</v>
      </c>
      <c r="C3875" t="s">
        <v>32</v>
      </c>
      <c r="D3875" t="s">
        <v>584</v>
      </c>
      <c r="E3875" t="s">
        <v>4441</v>
      </c>
      <c r="F3875" t="s">
        <v>35</v>
      </c>
      <c r="G3875" t="s">
        <v>35</v>
      </c>
      <c r="H3875" t="s">
        <v>35</v>
      </c>
      <c r="J3875" t="s">
        <v>4481</v>
      </c>
      <c r="K3875" t="s">
        <v>1092</v>
      </c>
      <c r="M3875">
        <v>0.25</v>
      </c>
      <c r="N3875">
        <v>186</v>
      </c>
      <c r="O3875" t="s">
        <v>5</v>
      </c>
      <c r="Q3875" t="s">
        <v>1894</v>
      </c>
      <c r="R3875" t="s">
        <v>4468</v>
      </c>
      <c r="S3875" t="s">
        <v>4469</v>
      </c>
      <c r="T3875" t="s">
        <v>4470</v>
      </c>
    </row>
    <row r="3876" spans="1:20" x14ac:dyDescent="0.25">
      <c r="A3876" t="s">
        <v>59</v>
      </c>
      <c r="B3876" t="s">
        <v>60</v>
      </c>
      <c r="C3876" t="s">
        <v>32</v>
      </c>
      <c r="D3876" t="s">
        <v>584</v>
      </c>
      <c r="E3876" t="s">
        <v>4441</v>
      </c>
      <c r="F3876" t="s">
        <v>35</v>
      </c>
      <c r="G3876" t="s">
        <v>35</v>
      </c>
      <c r="H3876" t="s">
        <v>35</v>
      </c>
      <c r="J3876" t="s">
        <v>4481</v>
      </c>
      <c r="K3876" t="s">
        <v>1092</v>
      </c>
      <c r="M3876">
        <v>0.5</v>
      </c>
      <c r="N3876">
        <v>124</v>
      </c>
      <c r="O3876" t="s">
        <v>38</v>
      </c>
      <c r="Q3876" t="s">
        <v>646</v>
      </c>
      <c r="R3876" t="s">
        <v>4468</v>
      </c>
      <c r="S3876" t="s">
        <v>4469</v>
      </c>
      <c r="T3876" t="s">
        <v>4470</v>
      </c>
    </row>
    <row r="3877" spans="1:20" x14ac:dyDescent="0.25">
      <c r="A3877" t="s">
        <v>59</v>
      </c>
      <c r="B3877" t="s">
        <v>60</v>
      </c>
      <c r="C3877" t="s">
        <v>32</v>
      </c>
      <c r="D3877" t="s">
        <v>584</v>
      </c>
      <c r="E3877" t="s">
        <v>4441</v>
      </c>
      <c r="F3877" t="s">
        <v>35</v>
      </c>
      <c r="G3877" t="s">
        <v>35</v>
      </c>
      <c r="H3877" t="s">
        <v>35</v>
      </c>
      <c r="J3877" t="s">
        <v>4481</v>
      </c>
      <c r="K3877" t="s">
        <v>1092</v>
      </c>
      <c r="M3877">
        <v>0.25</v>
      </c>
      <c r="N3877">
        <v>490</v>
      </c>
      <c r="O3877" t="s">
        <v>294</v>
      </c>
      <c r="Q3877" t="s">
        <v>3653</v>
      </c>
      <c r="R3877" t="s">
        <v>4468</v>
      </c>
      <c r="S3877" t="s">
        <v>4469</v>
      </c>
      <c r="T3877" t="s">
        <v>4470</v>
      </c>
    </row>
    <row r="3878" spans="1:20" x14ac:dyDescent="0.25">
      <c r="A3878" t="s">
        <v>59</v>
      </c>
      <c r="B3878" t="s">
        <v>60</v>
      </c>
      <c r="C3878" t="s">
        <v>32</v>
      </c>
      <c r="D3878" t="s">
        <v>584</v>
      </c>
      <c r="E3878" t="s">
        <v>4441</v>
      </c>
      <c r="F3878" t="s">
        <v>35</v>
      </c>
      <c r="G3878" t="s">
        <v>35</v>
      </c>
      <c r="H3878" t="s">
        <v>35</v>
      </c>
      <c r="J3878" t="s">
        <v>4481</v>
      </c>
      <c r="K3878" t="s">
        <v>1092</v>
      </c>
      <c r="M3878">
        <v>0.5</v>
      </c>
      <c r="N3878">
        <v>27</v>
      </c>
      <c r="O3878" t="s">
        <v>46</v>
      </c>
      <c r="Q3878" t="s">
        <v>809</v>
      </c>
      <c r="R3878" t="s">
        <v>4468</v>
      </c>
      <c r="S3878" t="s">
        <v>4469</v>
      </c>
      <c r="T3878" t="s">
        <v>4470</v>
      </c>
    </row>
    <row r="3879" spans="1:20" x14ac:dyDescent="0.25">
      <c r="A3879" t="s">
        <v>59</v>
      </c>
      <c r="B3879" t="s">
        <v>60</v>
      </c>
      <c r="C3879" t="s">
        <v>32</v>
      </c>
      <c r="D3879" t="s">
        <v>584</v>
      </c>
      <c r="E3879" t="s">
        <v>4441</v>
      </c>
      <c r="F3879" t="s">
        <v>35</v>
      </c>
      <c r="G3879" t="s">
        <v>35</v>
      </c>
      <c r="H3879" t="s">
        <v>35</v>
      </c>
      <c r="J3879" t="s">
        <v>4467</v>
      </c>
      <c r="K3879" t="s">
        <v>1092</v>
      </c>
      <c r="M3879">
        <v>2.5</v>
      </c>
      <c r="N3879">
        <v>156</v>
      </c>
      <c r="O3879" t="s">
        <v>38</v>
      </c>
      <c r="Q3879" t="s">
        <v>1632</v>
      </c>
      <c r="R3879" t="s">
        <v>4468</v>
      </c>
      <c r="S3879" t="s">
        <v>4469</v>
      </c>
      <c r="T3879" t="s">
        <v>4470</v>
      </c>
    </row>
    <row r="3880" spans="1:20" x14ac:dyDescent="0.25">
      <c r="A3880" t="s">
        <v>59</v>
      </c>
      <c r="B3880" t="s">
        <v>60</v>
      </c>
      <c r="C3880" t="s">
        <v>32</v>
      </c>
      <c r="D3880" t="s">
        <v>584</v>
      </c>
      <c r="E3880" t="s">
        <v>621</v>
      </c>
      <c r="F3880" t="s">
        <v>35</v>
      </c>
      <c r="G3880" t="s">
        <v>35</v>
      </c>
      <c r="H3880" t="s">
        <v>35</v>
      </c>
      <c r="J3880" t="s">
        <v>4907</v>
      </c>
      <c r="K3880" t="s">
        <v>1092</v>
      </c>
      <c r="M3880">
        <v>0.75</v>
      </c>
      <c r="N3880">
        <v>50</v>
      </c>
      <c r="O3880" t="s">
        <v>52</v>
      </c>
      <c r="Q3880" t="s">
        <v>665</v>
      </c>
      <c r="R3880" t="s">
        <v>4750</v>
      </c>
      <c r="S3880" t="s">
        <v>625</v>
      </c>
      <c r="T3880" t="s">
        <v>626</v>
      </c>
    </row>
    <row r="3881" spans="1:20" x14ac:dyDescent="0.25">
      <c r="A3881" t="s">
        <v>59</v>
      </c>
      <c r="B3881" t="s">
        <v>60</v>
      </c>
      <c r="C3881" t="s">
        <v>32</v>
      </c>
      <c r="D3881" t="s">
        <v>584</v>
      </c>
      <c r="E3881" t="s">
        <v>621</v>
      </c>
      <c r="F3881" t="s">
        <v>35</v>
      </c>
      <c r="G3881" t="s">
        <v>35</v>
      </c>
      <c r="H3881" t="s">
        <v>35</v>
      </c>
      <c r="J3881" t="s">
        <v>4907</v>
      </c>
      <c r="K3881" t="s">
        <v>1092</v>
      </c>
      <c r="M3881">
        <v>0.5</v>
      </c>
      <c r="N3881">
        <v>77</v>
      </c>
      <c r="O3881" t="s">
        <v>61</v>
      </c>
      <c r="Q3881" t="s">
        <v>778</v>
      </c>
      <c r="R3881" t="s">
        <v>4750</v>
      </c>
      <c r="S3881" t="s">
        <v>625</v>
      </c>
      <c r="T3881" t="s">
        <v>626</v>
      </c>
    </row>
    <row r="3882" spans="1:20" x14ac:dyDescent="0.25">
      <c r="A3882" t="s">
        <v>59</v>
      </c>
      <c r="B3882" t="s">
        <v>60</v>
      </c>
      <c r="C3882" t="s">
        <v>32</v>
      </c>
      <c r="D3882" t="s">
        <v>584</v>
      </c>
      <c r="E3882" t="s">
        <v>621</v>
      </c>
      <c r="F3882" t="s">
        <v>35</v>
      </c>
      <c r="G3882" t="s">
        <v>35</v>
      </c>
      <c r="H3882" t="s">
        <v>35</v>
      </c>
      <c r="J3882" t="s">
        <v>4907</v>
      </c>
      <c r="K3882" t="s">
        <v>1092</v>
      </c>
      <c r="M3882">
        <v>0.75</v>
      </c>
      <c r="N3882">
        <v>128</v>
      </c>
      <c r="O3882" t="s">
        <v>38</v>
      </c>
      <c r="Q3882" t="s">
        <v>98</v>
      </c>
      <c r="R3882" t="s">
        <v>4750</v>
      </c>
      <c r="S3882" t="s">
        <v>625</v>
      </c>
      <c r="T3882" t="s">
        <v>626</v>
      </c>
    </row>
    <row r="3883" spans="1:20" x14ac:dyDescent="0.25">
      <c r="A3883" t="s">
        <v>59</v>
      </c>
      <c r="B3883" t="s">
        <v>60</v>
      </c>
      <c r="C3883" t="s">
        <v>32</v>
      </c>
      <c r="D3883" t="s">
        <v>584</v>
      </c>
      <c r="E3883" t="s">
        <v>621</v>
      </c>
      <c r="F3883" t="s">
        <v>35</v>
      </c>
      <c r="G3883" t="s">
        <v>35</v>
      </c>
      <c r="H3883" t="s">
        <v>35</v>
      </c>
      <c r="J3883" t="s">
        <v>4907</v>
      </c>
      <c r="K3883" t="s">
        <v>1092</v>
      </c>
      <c r="M3883">
        <v>0.5</v>
      </c>
      <c r="N3883">
        <v>22</v>
      </c>
      <c r="O3883" t="s">
        <v>46</v>
      </c>
      <c r="Q3883" t="s">
        <v>1645</v>
      </c>
      <c r="R3883" t="s">
        <v>4750</v>
      </c>
      <c r="S3883" t="s">
        <v>625</v>
      </c>
      <c r="T3883" t="s">
        <v>626</v>
      </c>
    </row>
    <row r="3884" spans="1:20" x14ac:dyDescent="0.25">
      <c r="A3884" t="s">
        <v>59</v>
      </c>
      <c r="B3884" t="s">
        <v>60</v>
      </c>
      <c r="C3884" t="s">
        <v>32</v>
      </c>
      <c r="D3884" t="s">
        <v>584</v>
      </c>
      <c r="E3884" t="s">
        <v>621</v>
      </c>
      <c r="F3884" t="s">
        <v>35</v>
      </c>
      <c r="G3884" t="s">
        <v>35</v>
      </c>
      <c r="H3884" t="s">
        <v>35</v>
      </c>
      <c r="J3884" t="s">
        <v>4907</v>
      </c>
      <c r="K3884" t="s">
        <v>1092</v>
      </c>
      <c r="M3884">
        <v>0.3</v>
      </c>
      <c r="N3884">
        <v>353</v>
      </c>
      <c r="O3884" t="s">
        <v>5</v>
      </c>
      <c r="Q3884" t="s">
        <v>1435</v>
      </c>
      <c r="R3884" t="s">
        <v>4750</v>
      </c>
      <c r="S3884" t="s">
        <v>625</v>
      </c>
      <c r="T3884" t="s">
        <v>626</v>
      </c>
    </row>
    <row r="3885" spans="1:20" x14ac:dyDescent="0.25">
      <c r="A3885" t="s">
        <v>59</v>
      </c>
      <c r="B3885" t="s">
        <v>60</v>
      </c>
      <c r="C3885" t="s">
        <v>32</v>
      </c>
      <c r="D3885" t="s">
        <v>584</v>
      </c>
      <c r="E3885" t="s">
        <v>621</v>
      </c>
      <c r="F3885" t="s">
        <v>35</v>
      </c>
      <c r="G3885" t="s">
        <v>35</v>
      </c>
      <c r="H3885" t="s">
        <v>35</v>
      </c>
      <c r="J3885" t="s">
        <v>4806</v>
      </c>
      <c r="K3885" t="s">
        <v>1092</v>
      </c>
      <c r="M3885">
        <v>0.4</v>
      </c>
      <c r="N3885">
        <v>55</v>
      </c>
      <c r="O3885" t="s">
        <v>52</v>
      </c>
      <c r="Q3885" t="s">
        <v>90</v>
      </c>
      <c r="R3885" t="s">
        <v>4750</v>
      </c>
      <c r="S3885" t="s">
        <v>625</v>
      </c>
      <c r="T3885" t="s">
        <v>626</v>
      </c>
    </row>
    <row r="3886" spans="1:20" x14ac:dyDescent="0.25">
      <c r="A3886" t="s">
        <v>59</v>
      </c>
      <c r="B3886" t="s">
        <v>60</v>
      </c>
      <c r="C3886" t="s">
        <v>32</v>
      </c>
      <c r="D3886" t="s">
        <v>584</v>
      </c>
      <c r="E3886" t="s">
        <v>621</v>
      </c>
      <c r="F3886" t="s">
        <v>35</v>
      </c>
      <c r="G3886" t="s">
        <v>35</v>
      </c>
      <c r="H3886" t="s">
        <v>35</v>
      </c>
      <c r="J3886" t="s">
        <v>4900</v>
      </c>
      <c r="K3886" t="s">
        <v>1092</v>
      </c>
      <c r="M3886">
        <v>0.5</v>
      </c>
      <c r="N3886">
        <v>176</v>
      </c>
      <c r="O3886" t="s">
        <v>38</v>
      </c>
      <c r="Q3886" t="s">
        <v>3413</v>
      </c>
      <c r="R3886" t="s">
        <v>4750</v>
      </c>
      <c r="S3886" t="s">
        <v>625</v>
      </c>
      <c r="T3886" t="s">
        <v>626</v>
      </c>
    </row>
    <row r="3887" spans="1:20" x14ac:dyDescent="0.25">
      <c r="A3887" t="s">
        <v>59</v>
      </c>
      <c r="B3887" t="s">
        <v>60</v>
      </c>
      <c r="C3887" t="s">
        <v>32</v>
      </c>
      <c r="D3887" t="s">
        <v>584</v>
      </c>
      <c r="E3887" t="s">
        <v>621</v>
      </c>
      <c r="F3887" t="s">
        <v>35</v>
      </c>
      <c r="G3887" t="s">
        <v>35</v>
      </c>
      <c r="H3887" t="s">
        <v>35</v>
      </c>
      <c r="J3887" t="s">
        <v>4910</v>
      </c>
      <c r="K3887" t="s">
        <v>1092</v>
      </c>
      <c r="M3887">
        <v>0.5</v>
      </c>
      <c r="N3887">
        <v>396</v>
      </c>
      <c r="O3887" t="s">
        <v>294</v>
      </c>
      <c r="Q3887" t="s">
        <v>1589</v>
      </c>
      <c r="R3887" t="s">
        <v>4750</v>
      </c>
      <c r="S3887" t="s">
        <v>625</v>
      </c>
      <c r="T3887" t="s">
        <v>626</v>
      </c>
    </row>
    <row r="3888" spans="1:20" x14ac:dyDescent="0.25">
      <c r="A3888" t="s">
        <v>59</v>
      </c>
      <c r="B3888" t="s">
        <v>60</v>
      </c>
      <c r="C3888" t="s">
        <v>32</v>
      </c>
      <c r="D3888" t="s">
        <v>584</v>
      </c>
      <c r="E3888" t="s">
        <v>621</v>
      </c>
      <c r="F3888" t="s">
        <v>35</v>
      </c>
      <c r="G3888" t="s">
        <v>35</v>
      </c>
      <c r="H3888" t="s">
        <v>35</v>
      </c>
      <c r="J3888" t="s">
        <v>4910</v>
      </c>
      <c r="K3888" t="s">
        <v>1092</v>
      </c>
      <c r="M3888">
        <v>0.1</v>
      </c>
      <c r="N3888">
        <v>1084</v>
      </c>
      <c r="O3888" t="s">
        <v>575</v>
      </c>
      <c r="Q3888" t="s">
        <v>4911</v>
      </c>
      <c r="R3888" t="s">
        <v>4750</v>
      </c>
      <c r="S3888" t="s">
        <v>625</v>
      </c>
      <c r="T3888" t="s">
        <v>626</v>
      </c>
    </row>
    <row r="3889" spans="1:20" x14ac:dyDescent="0.25">
      <c r="A3889" t="s">
        <v>59</v>
      </c>
      <c r="B3889" t="s">
        <v>60</v>
      </c>
      <c r="C3889" t="s">
        <v>32</v>
      </c>
      <c r="D3889" t="s">
        <v>584</v>
      </c>
      <c r="E3889" t="s">
        <v>621</v>
      </c>
      <c r="F3889" t="s">
        <v>35</v>
      </c>
      <c r="G3889" t="s">
        <v>35</v>
      </c>
      <c r="H3889" t="s">
        <v>35</v>
      </c>
      <c r="J3889" t="s">
        <v>4910</v>
      </c>
      <c r="K3889" t="s">
        <v>1092</v>
      </c>
      <c r="M3889">
        <v>0.5</v>
      </c>
      <c r="N3889">
        <v>77</v>
      </c>
      <c r="O3889" t="s">
        <v>61</v>
      </c>
      <c r="Q3889" t="s">
        <v>778</v>
      </c>
      <c r="R3889" t="s">
        <v>4750</v>
      </c>
      <c r="S3889" t="s">
        <v>625</v>
      </c>
      <c r="T3889" t="s">
        <v>626</v>
      </c>
    </row>
    <row r="3890" spans="1:20" x14ac:dyDescent="0.25">
      <c r="A3890" t="s">
        <v>59</v>
      </c>
      <c r="B3890" t="s">
        <v>60</v>
      </c>
      <c r="C3890" t="s">
        <v>32</v>
      </c>
      <c r="D3890" t="s">
        <v>584</v>
      </c>
      <c r="E3890" t="s">
        <v>621</v>
      </c>
      <c r="F3890" t="s">
        <v>35</v>
      </c>
      <c r="G3890" t="s">
        <v>35</v>
      </c>
      <c r="H3890" t="s">
        <v>35</v>
      </c>
      <c r="J3890" t="s">
        <v>4924</v>
      </c>
      <c r="K3890" t="s">
        <v>1092</v>
      </c>
      <c r="M3890">
        <v>0.5</v>
      </c>
      <c r="N3890">
        <v>176</v>
      </c>
      <c r="O3890" t="s">
        <v>38</v>
      </c>
      <c r="Q3890" t="s">
        <v>3413</v>
      </c>
      <c r="R3890" t="s">
        <v>4750</v>
      </c>
      <c r="S3890" t="s">
        <v>625</v>
      </c>
      <c r="T3890" t="s">
        <v>626</v>
      </c>
    </row>
    <row r="3891" spans="1:20" x14ac:dyDescent="0.25">
      <c r="A3891" t="s">
        <v>59</v>
      </c>
      <c r="B3891" t="s">
        <v>60</v>
      </c>
      <c r="C3891" t="s">
        <v>32</v>
      </c>
      <c r="D3891" t="s">
        <v>584</v>
      </c>
      <c r="E3891" t="s">
        <v>621</v>
      </c>
      <c r="F3891" t="s">
        <v>35</v>
      </c>
      <c r="G3891" t="s">
        <v>35</v>
      </c>
      <c r="H3891" t="s">
        <v>35</v>
      </c>
      <c r="J3891" t="s">
        <v>4803</v>
      </c>
      <c r="K3891" t="s">
        <v>1092</v>
      </c>
      <c r="M3891">
        <v>0.7</v>
      </c>
      <c r="N3891">
        <v>625</v>
      </c>
      <c r="O3891" t="s">
        <v>575</v>
      </c>
      <c r="Q3891" t="s">
        <v>4805</v>
      </c>
      <c r="R3891" t="s">
        <v>4750</v>
      </c>
      <c r="S3891" t="s">
        <v>625</v>
      </c>
      <c r="T3891" t="s">
        <v>626</v>
      </c>
    </row>
    <row r="3892" spans="1:20" x14ac:dyDescent="0.25">
      <c r="A3892" t="s">
        <v>59</v>
      </c>
      <c r="B3892" t="s">
        <v>60</v>
      </c>
      <c r="C3892" t="s">
        <v>32</v>
      </c>
      <c r="D3892" t="s">
        <v>584</v>
      </c>
      <c r="E3892" t="s">
        <v>621</v>
      </c>
      <c r="F3892" t="s">
        <v>35</v>
      </c>
      <c r="G3892" t="s">
        <v>35</v>
      </c>
      <c r="H3892" t="s">
        <v>35</v>
      </c>
      <c r="J3892" t="s">
        <v>4964</v>
      </c>
      <c r="K3892" t="s">
        <v>1092</v>
      </c>
      <c r="M3892">
        <v>0.15</v>
      </c>
      <c r="N3892">
        <v>660</v>
      </c>
      <c r="O3892" t="s">
        <v>575</v>
      </c>
      <c r="Q3892" t="s">
        <v>1518</v>
      </c>
      <c r="R3892" t="s">
        <v>4750</v>
      </c>
      <c r="S3892" t="s">
        <v>625</v>
      </c>
      <c r="T3892" t="s">
        <v>626</v>
      </c>
    </row>
    <row r="3893" spans="1:20" x14ac:dyDescent="0.25">
      <c r="A3893" t="s">
        <v>59</v>
      </c>
      <c r="B3893" t="s">
        <v>60</v>
      </c>
      <c r="C3893" t="s">
        <v>32</v>
      </c>
      <c r="D3893" t="s">
        <v>584</v>
      </c>
      <c r="E3893" t="s">
        <v>621</v>
      </c>
      <c r="F3893" t="s">
        <v>35</v>
      </c>
      <c r="G3893" t="s">
        <v>35</v>
      </c>
      <c r="H3893" t="s">
        <v>35</v>
      </c>
      <c r="J3893" t="s">
        <v>4919</v>
      </c>
      <c r="K3893" t="s">
        <v>1092</v>
      </c>
      <c r="M3893">
        <v>0.95</v>
      </c>
      <c r="N3893">
        <v>1582</v>
      </c>
      <c r="O3893" t="s">
        <v>575</v>
      </c>
      <c r="Q3893" t="s">
        <v>4921</v>
      </c>
      <c r="R3893" t="s">
        <v>4750</v>
      </c>
      <c r="S3893" t="s">
        <v>625</v>
      </c>
      <c r="T3893" t="s">
        <v>626</v>
      </c>
    </row>
    <row r="3894" spans="1:20" x14ac:dyDescent="0.25">
      <c r="A3894" t="s">
        <v>59</v>
      </c>
      <c r="B3894" t="s">
        <v>31</v>
      </c>
      <c r="C3894" t="s">
        <v>32</v>
      </c>
      <c r="D3894" t="s">
        <v>584</v>
      </c>
      <c r="E3894" t="s">
        <v>621</v>
      </c>
      <c r="F3894" t="s">
        <v>35</v>
      </c>
      <c r="G3894" t="s">
        <v>35</v>
      </c>
      <c r="H3894" t="s">
        <v>35</v>
      </c>
      <c r="J3894" t="s">
        <v>4919</v>
      </c>
      <c r="K3894" t="s">
        <v>1092</v>
      </c>
      <c r="M3894">
        <v>0.18</v>
      </c>
      <c r="N3894">
        <v>1582</v>
      </c>
      <c r="O3894" t="s">
        <v>575</v>
      </c>
      <c r="Q3894" t="s">
        <v>4921</v>
      </c>
      <c r="R3894" t="s">
        <v>4750</v>
      </c>
      <c r="S3894" t="s">
        <v>625</v>
      </c>
      <c r="T3894" t="s">
        <v>626</v>
      </c>
    </row>
    <row r="3895" spans="1:20" x14ac:dyDescent="0.25">
      <c r="A3895" t="s">
        <v>59</v>
      </c>
      <c r="B3895" t="s">
        <v>60</v>
      </c>
      <c r="C3895" t="s">
        <v>32</v>
      </c>
      <c r="D3895" t="s">
        <v>584</v>
      </c>
      <c r="E3895" t="s">
        <v>4733</v>
      </c>
      <c r="F3895" t="s">
        <v>35</v>
      </c>
      <c r="G3895" t="s">
        <v>35</v>
      </c>
      <c r="H3895" t="s">
        <v>35</v>
      </c>
      <c r="J3895" t="s">
        <v>4344</v>
      </c>
      <c r="K3895" t="s">
        <v>1092</v>
      </c>
      <c r="M3895">
        <v>1.5</v>
      </c>
      <c r="N3895">
        <v>17</v>
      </c>
      <c r="O3895" t="s">
        <v>46</v>
      </c>
      <c r="Q3895" t="s">
        <v>255</v>
      </c>
      <c r="R3895" t="s">
        <v>4750</v>
      </c>
      <c r="S3895" t="s">
        <v>625</v>
      </c>
      <c r="T3895" t="s">
        <v>626</v>
      </c>
    </row>
    <row r="3896" spans="1:20" x14ac:dyDescent="0.25">
      <c r="A3896" t="s">
        <v>59</v>
      </c>
      <c r="B3896" t="s">
        <v>60</v>
      </c>
      <c r="C3896" t="s">
        <v>32</v>
      </c>
      <c r="D3896" t="s">
        <v>584</v>
      </c>
      <c r="E3896" t="s">
        <v>621</v>
      </c>
      <c r="F3896" t="s">
        <v>35</v>
      </c>
      <c r="G3896" t="s">
        <v>35</v>
      </c>
      <c r="H3896" t="s">
        <v>35</v>
      </c>
      <c r="J3896" t="s">
        <v>4933</v>
      </c>
      <c r="K3896" t="s">
        <v>1092</v>
      </c>
      <c r="M3896">
        <v>0.5</v>
      </c>
      <c r="N3896">
        <v>458</v>
      </c>
      <c r="O3896" t="s">
        <v>294</v>
      </c>
      <c r="Q3896" t="s">
        <v>4935</v>
      </c>
      <c r="R3896" t="s">
        <v>4750</v>
      </c>
      <c r="S3896" t="s">
        <v>625</v>
      </c>
      <c r="T3896" t="s">
        <v>626</v>
      </c>
    </row>
    <row r="3897" spans="1:20" x14ac:dyDescent="0.25">
      <c r="A3897" t="s">
        <v>59</v>
      </c>
      <c r="B3897" t="s">
        <v>60</v>
      </c>
      <c r="C3897" t="s">
        <v>32</v>
      </c>
      <c r="D3897" t="s">
        <v>584</v>
      </c>
      <c r="F3897" t="s">
        <v>35</v>
      </c>
      <c r="G3897" t="s">
        <v>35</v>
      </c>
      <c r="H3897" t="s">
        <v>35</v>
      </c>
      <c r="J3897" t="s">
        <v>4970</v>
      </c>
      <c r="K3897" t="s">
        <v>1092</v>
      </c>
      <c r="M3897">
        <v>0.8</v>
      </c>
      <c r="N3897">
        <v>107</v>
      </c>
      <c r="O3897" t="s">
        <v>106</v>
      </c>
      <c r="Q3897" t="s">
        <v>288</v>
      </c>
      <c r="R3897" t="s">
        <v>4867</v>
      </c>
      <c r="S3897" t="s">
        <v>4868</v>
      </c>
      <c r="T3897" t="s">
        <v>4869</v>
      </c>
    </row>
    <row r="3898" spans="1:20" x14ac:dyDescent="0.25">
      <c r="A3898" t="s">
        <v>59</v>
      </c>
      <c r="B3898" t="s">
        <v>60</v>
      </c>
      <c r="C3898" t="s">
        <v>32</v>
      </c>
      <c r="D3898" t="s">
        <v>584</v>
      </c>
      <c r="F3898" t="s">
        <v>35</v>
      </c>
      <c r="G3898" t="s">
        <v>35</v>
      </c>
      <c r="H3898" t="s">
        <v>35</v>
      </c>
      <c r="J3898" t="s">
        <v>4970</v>
      </c>
      <c r="K3898" t="s">
        <v>1092</v>
      </c>
      <c r="M3898">
        <v>2</v>
      </c>
      <c r="N3898">
        <v>98</v>
      </c>
      <c r="O3898" t="s">
        <v>106</v>
      </c>
      <c r="Q3898" t="s">
        <v>4971</v>
      </c>
      <c r="R3898" t="s">
        <v>4867</v>
      </c>
      <c r="S3898" t="s">
        <v>4868</v>
      </c>
      <c r="T3898" t="s">
        <v>4869</v>
      </c>
    </row>
    <row r="3899" spans="1:20" x14ac:dyDescent="0.25">
      <c r="A3899" t="s">
        <v>59</v>
      </c>
      <c r="B3899" t="s">
        <v>60</v>
      </c>
      <c r="C3899" t="s">
        <v>32</v>
      </c>
      <c r="D3899" t="s">
        <v>584</v>
      </c>
      <c r="F3899" t="s">
        <v>35</v>
      </c>
      <c r="G3899" t="s">
        <v>35</v>
      </c>
      <c r="H3899" t="s">
        <v>35</v>
      </c>
      <c r="J3899" t="s">
        <v>4970</v>
      </c>
      <c r="K3899" t="s">
        <v>1092</v>
      </c>
      <c r="M3899">
        <v>4</v>
      </c>
      <c r="N3899">
        <v>20</v>
      </c>
      <c r="O3899" t="s">
        <v>46</v>
      </c>
      <c r="Q3899" t="s">
        <v>1011</v>
      </c>
      <c r="R3899" t="s">
        <v>4867</v>
      </c>
      <c r="S3899" t="s">
        <v>4868</v>
      </c>
      <c r="T3899" t="s">
        <v>4869</v>
      </c>
    </row>
    <row r="3900" spans="1:20" x14ac:dyDescent="0.25">
      <c r="A3900" t="s">
        <v>59</v>
      </c>
      <c r="B3900" t="s">
        <v>60</v>
      </c>
      <c r="C3900" t="s">
        <v>32</v>
      </c>
      <c r="D3900" t="s">
        <v>584</v>
      </c>
      <c r="E3900" t="s">
        <v>621</v>
      </c>
      <c r="F3900" t="s">
        <v>35</v>
      </c>
      <c r="G3900" t="s">
        <v>35</v>
      </c>
      <c r="H3900" t="s">
        <v>35</v>
      </c>
      <c r="J3900" t="s">
        <v>4865</v>
      </c>
      <c r="K3900" t="s">
        <v>1092</v>
      </c>
      <c r="M3900">
        <v>2.0499999999999998</v>
      </c>
      <c r="N3900">
        <v>176</v>
      </c>
      <c r="O3900" t="s">
        <v>38</v>
      </c>
      <c r="Q3900" t="s">
        <v>3413</v>
      </c>
      <c r="R3900" t="s">
        <v>4867</v>
      </c>
      <c r="S3900" t="s">
        <v>4868</v>
      </c>
      <c r="T3900" t="s">
        <v>4869</v>
      </c>
    </row>
    <row r="3901" spans="1:20" x14ac:dyDescent="0.25">
      <c r="A3901" t="s">
        <v>44</v>
      </c>
      <c r="B3901" t="s">
        <v>3</v>
      </c>
      <c r="C3901" t="s">
        <v>32</v>
      </c>
      <c r="D3901" t="s">
        <v>584</v>
      </c>
      <c r="E3901" t="s">
        <v>4733</v>
      </c>
      <c r="F3901" t="s">
        <v>35</v>
      </c>
      <c r="G3901" t="s">
        <v>35</v>
      </c>
      <c r="H3901" t="s">
        <v>35</v>
      </c>
      <c r="J3901" t="s">
        <v>3921</v>
      </c>
      <c r="K3901" t="s">
        <v>1092</v>
      </c>
      <c r="M3901">
        <v>0.25</v>
      </c>
      <c r="N3901">
        <v>497</v>
      </c>
      <c r="O3901" t="s">
        <v>294</v>
      </c>
      <c r="Q3901" t="s">
        <v>1614</v>
      </c>
      <c r="R3901" t="s">
        <v>4741</v>
      </c>
      <c r="S3901" t="s">
        <v>4742</v>
      </c>
      <c r="T3901" t="s">
        <v>4743</v>
      </c>
    </row>
    <row r="3902" spans="1:20" x14ac:dyDescent="0.25">
      <c r="A3902" t="s">
        <v>44</v>
      </c>
      <c r="B3902" t="s">
        <v>3</v>
      </c>
      <c r="C3902" t="s">
        <v>32</v>
      </c>
      <c r="D3902" t="s">
        <v>584</v>
      </c>
      <c r="E3902" t="s">
        <v>4733</v>
      </c>
      <c r="F3902" t="s">
        <v>35</v>
      </c>
      <c r="G3902" t="s">
        <v>35</v>
      </c>
      <c r="H3902" t="s">
        <v>35</v>
      </c>
      <c r="J3902" t="s">
        <v>4764</v>
      </c>
      <c r="K3902" t="s">
        <v>1092</v>
      </c>
      <c r="M3902">
        <v>0.06</v>
      </c>
      <c r="N3902">
        <v>479</v>
      </c>
      <c r="O3902" t="s">
        <v>294</v>
      </c>
      <c r="Q3902" t="s">
        <v>4765</v>
      </c>
      <c r="R3902" t="s">
        <v>4741</v>
      </c>
      <c r="S3902" t="s">
        <v>4742</v>
      </c>
      <c r="T3902" t="s">
        <v>4743</v>
      </c>
    </row>
    <row r="3903" spans="1:20" x14ac:dyDescent="0.25">
      <c r="A3903" t="s">
        <v>44</v>
      </c>
      <c r="B3903" t="s">
        <v>3</v>
      </c>
      <c r="C3903" t="s">
        <v>32</v>
      </c>
      <c r="D3903" t="s">
        <v>584</v>
      </c>
      <c r="E3903" t="s">
        <v>4733</v>
      </c>
      <c r="F3903" t="s">
        <v>35</v>
      </c>
      <c r="G3903" t="s">
        <v>35</v>
      </c>
      <c r="H3903" t="s">
        <v>35</v>
      </c>
      <c r="J3903" t="s">
        <v>4759</v>
      </c>
      <c r="K3903" t="s">
        <v>1092</v>
      </c>
      <c r="M3903">
        <v>0.05</v>
      </c>
      <c r="N3903">
        <v>460</v>
      </c>
      <c r="O3903" t="s">
        <v>294</v>
      </c>
      <c r="Q3903" t="s">
        <v>3590</v>
      </c>
      <c r="R3903" t="s">
        <v>4741</v>
      </c>
      <c r="S3903" t="s">
        <v>4742</v>
      </c>
      <c r="T3903" t="s">
        <v>4743</v>
      </c>
    </row>
    <row r="3904" spans="1:20" x14ac:dyDescent="0.25">
      <c r="A3904" t="s">
        <v>44</v>
      </c>
      <c r="B3904" t="s">
        <v>3</v>
      </c>
      <c r="C3904" t="s">
        <v>32</v>
      </c>
      <c r="D3904" t="s">
        <v>584</v>
      </c>
      <c r="E3904" t="s">
        <v>4733</v>
      </c>
      <c r="F3904" t="s">
        <v>35</v>
      </c>
      <c r="G3904" t="s">
        <v>35</v>
      </c>
      <c r="H3904" t="s">
        <v>35</v>
      </c>
      <c r="J3904" t="s">
        <v>4740</v>
      </c>
      <c r="K3904" t="s">
        <v>1092</v>
      </c>
      <c r="M3904">
        <v>0.15</v>
      </c>
      <c r="N3904">
        <v>497</v>
      </c>
      <c r="O3904" t="s">
        <v>294</v>
      </c>
      <c r="Q3904" t="s">
        <v>1614</v>
      </c>
      <c r="R3904" t="s">
        <v>4741</v>
      </c>
      <c r="S3904" t="s">
        <v>4742</v>
      </c>
      <c r="T3904" t="s">
        <v>4743</v>
      </c>
    </row>
    <row r="3905" spans="1:20" x14ac:dyDescent="0.25">
      <c r="A3905" t="s">
        <v>59</v>
      </c>
      <c r="B3905" t="s">
        <v>31</v>
      </c>
      <c r="C3905" t="s">
        <v>32</v>
      </c>
      <c r="D3905" t="s">
        <v>584</v>
      </c>
      <c r="E3905" t="s">
        <v>585</v>
      </c>
      <c r="F3905" t="s">
        <v>35</v>
      </c>
      <c r="G3905" t="s">
        <v>35</v>
      </c>
      <c r="H3905" t="s">
        <v>35</v>
      </c>
      <c r="J3905" t="s">
        <v>4547</v>
      </c>
      <c r="K3905" t="s">
        <v>1092</v>
      </c>
      <c r="M3905">
        <v>0.09</v>
      </c>
      <c r="N3905">
        <v>466</v>
      </c>
      <c r="O3905" t="s">
        <v>294</v>
      </c>
      <c r="Q3905" t="s">
        <v>1187</v>
      </c>
      <c r="R3905" t="s">
        <v>4548</v>
      </c>
      <c r="S3905" t="s">
        <v>4549</v>
      </c>
      <c r="T3905" t="s">
        <v>4550</v>
      </c>
    </row>
    <row r="3906" spans="1:20" x14ac:dyDescent="0.25">
      <c r="A3906" t="s">
        <v>59</v>
      </c>
      <c r="B3906" t="s">
        <v>31</v>
      </c>
      <c r="C3906" t="s">
        <v>32</v>
      </c>
      <c r="D3906" t="s">
        <v>584</v>
      </c>
      <c r="E3906" t="s">
        <v>599</v>
      </c>
      <c r="F3906" t="s">
        <v>35</v>
      </c>
      <c r="G3906" t="s">
        <v>35</v>
      </c>
      <c r="H3906" t="s">
        <v>35</v>
      </c>
      <c r="J3906" t="s">
        <v>4649</v>
      </c>
      <c r="K3906" t="s">
        <v>1092</v>
      </c>
      <c r="M3906">
        <v>0.01</v>
      </c>
      <c r="N3906">
        <v>1227</v>
      </c>
      <c r="O3906" t="s">
        <v>575</v>
      </c>
      <c r="Q3906" t="s">
        <v>2186</v>
      </c>
      <c r="R3906" t="s">
        <v>4650</v>
      </c>
      <c r="S3906" t="s">
        <v>4651</v>
      </c>
      <c r="T3906" t="s">
        <v>4652</v>
      </c>
    </row>
    <row r="3907" spans="1:20" x14ac:dyDescent="0.25">
      <c r="A3907" t="s">
        <v>30</v>
      </c>
      <c r="B3907" t="s">
        <v>31</v>
      </c>
      <c r="C3907" t="s">
        <v>32</v>
      </c>
      <c r="D3907" t="s">
        <v>584</v>
      </c>
      <c r="E3907" t="s">
        <v>599</v>
      </c>
      <c r="F3907" t="s">
        <v>35</v>
      </c>
      <c r="G3907" t="s">
        <v>35</v>
      </c>
      <c r="H3907" t="s">
        <v>35</v>
      </c>
      <c r="J3907" t="s">
        <v>4682</v>
      </c>
      <c r="K3907" t="s">
        <v>1092</v>
      </c>
      <c r="M3907">
        <v>0.64</v>
      </c>
      <c r="N3907">
        <v>1275</v>
      </c>
      <c r="O3907" t="s">
        <v>575</v>
      </c>
      <c r="Q3907" t="s">
        <v>4683</v>
      </c>
      <c r="R3907" t="s">
        <v>4681</v>
      </c>
      <c r="S3907" t="s">
        <v>600</v>
      </c>
      <c r="T3907" t="s">
        <v>601</v>
      </c>
    </row>
    <row r="3908" spans="1:20" x14ac:dyDescent="0.25">
      <c r="A3908" t="s">
        <v>44</v>
      </c>
      <c r="B3908" t="s">
        <v>51</v>
      </c>
      <c r="C3908" t="s">
        <v>32</v>
      </c>
      <c r="D3908" t="s">
        <v>584</v>
      </c>
      <c r="E3908" t="s">
        <v>599</v>
      </c>
      <c r="F3908" t="s">
        <v>35</v>
      </c>
      <c r="G3908" t="s">
        <v>35</v>
      </c>
      <c r="H3908" t="s">
        <v>35</v>
      </c>
      <c r="J3908" t="s">
        <v>4680</v>
      </c>
      <c r="K3908" t="s">
        <v>1092</v>
      </c>
      <c r="M3908">
        <v>0.3</v>
      </c>
      <c r="N3908">
        <v>502</v>
      </c>
      <c r="O3908" t="s">
        <v>294</v>
      </c>
      <c r="Q3908" t="s">
        <v>296</v>
      </c>
      <c r="R3908" t="s">
        <v>4681</v>
      </c>
      <c r="S3908" t="s">
        <v>600</v>
      </c>
      <c r="T3908" t="s">
        <v>601</v>
      </c>
    </row>
    <row r="3909" spans="1:20" x14ac:dyDescent="0.25">
      <c r="A3909" t="s">
        <v>59</v>
      </c>
      <c r="B3909" t="s">
        <v>60</v>
      </c>
      <c r="C3909" t="s">
        <v>32</v>
      </c>
      <c r="D3909" t="s">
        <v>584</v>
      </c>
      <c r="E3909" t="s">
        <v>621</v>
      </c>
      <c r="F3909" t="s">
        <v>35</v>
      </c>
      <c r="G3909" t="s">
        <v>35</v>
      </c>
      <c r="H3909" t="s">
        <v>35</v>
      </c>
      <c r="J3909" t="s">
        <v>4812</v>
      </c>
      <c r="K3909" t="s">
        <v>1092</v>
      </c>
      <c r="M3909">
        <v>0.2</v>
      </c>
      <c r="N3909">
        <v>1133</v>
      </c>
      <c r="O3909" t="s">
        <v>575</v>
      </c>
      <c r="Q3909" t="s">
        <v>4813</v>
      </c>
      <c r="R3909" t="s">
        <v>4681</v>
      </c>
      <c r="S3909" t="s">
        <v>600</v>
      </c>
      <c r="T3909" t="s">
        <v>601</v>
      </c>
    </row>
    <row r="3910" spans="1:20" x14ac:dyDescent="0.25">
      <c r="A3910" t="s">
        <v>59</v>
      </c>
      <c r="B3910" t="s">
        <v>31</v>
      </c>
      <c r="C3910" t="s">
        <v>32</v>
      </c>
      <c r="D3910" t="s">
        <v>584</v>
      </c>
      <c r="E3910" t="s">
        <v>621</v>
      </c>
      <c r="F3910" t="s">
        <v>35</v>
      </c>
      <c r="G3910" t="s">
        <v>35</v>
      </c>
      <c r="H3910" t="s">
        <v>35</v>
      </c>
      <c r="J3910" t="s">
        <v>4914</v>
      </c>
      <c r="K3910" t="s">
        <v>1092</v>
      </c>
      <c r="M3910">
        <v>1.395</v>
      </c>
      <c r="N3910">
        <v>1197</v>
      </c>
      <c r="O3910" t="s">
        <v>575</v>
      </c>
      <c r="Q3910" t="s">
        <v>3583</v>
      </c>
      <c r="R3910" t="s">
        <v>4915</v>
      </c>
      <c r="S3910" t="s">
        <v>4916</v>
      </c>
      <c r="T3910" t="s">
        <v>4811</v>
      </c>
    </row>
    <row r="3911" spans="1:20" x14ac:dyDescent="0.25">
      <c r="A3911" t="s">
        <v>30</v>
      </c>
      <c r="B3911" t="s">
        <v>31</v>
      </c>
      <c r="C3911" t="s">
        <v>32</v>
      </c>
      <c r="D3911" t="s">
        <v>584</v>
      </c>
      <c r="E3911" t="s">
        <v>621</v>
      </c>
      <c r="F3911" t="s">
        <v>35</v>
      </c>
      <c r="G3911" t="s">
        <v>35</v>
      </c>
      <c r="H3911" t="s">
        <v>35</v>
      </c>
      <c r="J3911" t="s">
        <v>4914</v>
      </c>
      <c r="K3911" t="s">
        <v>1092</v>
      </c>
      <c r="M3911">
        <v>3.6</v>
      </c>
      <c r="N3911">
        <v>1197</v>
      </c>
      <c r="O3911" t="s">
        <v>575</v>
      </c>
      <c r="Q3911" t="s">
        <v>3583</v>
      </c>
      <c r="R3911" t="s">
        <v>4915</v>
      </c>
      <c r="S3911" t="s">
        <v>4916</v>
      </c>
      <c r="T3911" t="s">
        <v>4811</v>
      </c>
    </row>
    <row r="3912" spans="1:20" x14ac:dyDescent="0.25">
      <c r="A3912" t="s">
        <v>59</v>
      </c>
      <c r="B3912" t="s">
        <v>60</v>
      </c>
      <c r="C3912" t="s">
        <v>32</v>
      </c>
      <c r="D3912" t="s">
        <v>584</v>
      </c>
      <c r="E3912" t="s">
        <v>621</v>
      </c>
      <c r="F3912" t="s">
        <v>35</v>
      </c>
      <c r="G3912" t="s">
        <v>35</v>
      </c>
      <c r="H3912" t="s">
        <v>35</v>
      </c>
      <c r="J3912" t="s">
        <v>4930</v>
      </c>
      <c r="K3912" t="s">
        <v>1092</v>
      </c>
      <c r="M3912">
        <v>2.2599999999999998</v>
      </c>
      <c r="N3912">
        <v>491</v>
      </c>
      <c r="O3912" t="s">
        <v>294</v>
      </c>
      <c r="Q3912" t="s">
        <v>2487</v>
      </c>
      <c r="R3912" t="s">
        <v>4720</v>
      </c>
      <c r="S3912" t="s">
        <v>634</v>
      </c>
      <c r="T3912" t="s">
        <v>635</v>
      </c>
    </row>
    <row r="3913" spans="1:20" x14ac:dyDescent="0.25">
      <c r="A3913" t="s">
        <v>59</v>
      </c>
      <c r="B3913" t="s">
        <v>60</v>
      </c>
      <c r="C3913" t="s">
        <v>32</v>
      </c>
      <c r="D3913" t="s">
        <v>584</v>
      </c>
      <c r="E3913" t="s">
        <v>599</v>
      </c>
      <c r="F3913" t="s">
        <v>35</v>
      </c>
      <c r="G3913" t="s">
        <v>35</v>
      </c>
      <c r="H3913" t="s">
        <v>35</v>
      </c>
      <c r="J3913" t="s">
        <v>4719</v>
      </c>
      <c r="K3913" t="s">
        <v>1092</v>
      </c>
      <c r="M3913">
        <v>1.7</v>
      </c>
      <c r="N3913">
        <v>491</v>
      </c>
      <c r="O3913" t="s">
        <v>294</v>
      </c>
      <c r="Q3913" t="s">
        <v>2487</v>
      </c>
      <c r="R3913" t="s">
        <v>4720</v>
      </c>
      <c r="S3913" t="s">
        <v>634</v>
      </c>
      <c r="T3913" t="s">
        <v>635</v>
      </c>
    </row>
    <row r="3914" spans="1:20" x14ac:dyDescent="0.25">
      <c r="A3914" t="s">
        <v>59</v>
      </c>
      <c r="B3914" t="s">
        <v>60</v>
      </c>
      <c r="C3914" t="s">
        <v>32</v>
      </c>
      <c r="D3914" t="s">
        <v>584</v>
      </c>
      <c r="E3914" t="s">
        <v>621</v>
      </c>
      <c r="F3914" t="s">
        <v>35</v>
      </c>
      <c r="G3914" t="s">
        <v>35</v>
      </c>
      <c r="H3914" t="s">
        <v>35</v>
      </c>
      <c r="J3914" t="s">
        <v>4792</v>
      </c>
      <c r="K3914" t="s">
        <v>1092</v>
      </c>
      <c r="M3914">
        <v>1</v>
      </c>
      <c r="N3914">
        <v>1134</v>
      </c>
      <c r="O3914" t="s">
        <v>575</v>
      </c>
      <c r="Q3914" t="s">
        <v>3069</v>
      </c>
      <c r="R3914" t="s">
        <v>4720</v>
      </c>
      <c r="S3914" t="s">
        <v>634</v>
      </c>
      <c r="T3914" t="s">
        <v>635</v>
      </c>
    </row>
    <row r="3915" spans="1:20" x14ac:dyDescent="0.25">
      <c r="A3915" t="s">
        <v>59</v>
      </c>
      <c r="B3915" t="s">
        <v>60</v>
      </c>
      <c r="C3915" t="s">
        <v>32</v>
      </c>
      <c r="D3915" t="s">
        <v>584</v>
      </c>
      <c r="E3915" t="s">
        <v>4769</v>
      </c>
      <c r="F3915" t="s">
        <v>35</v>
      </c>
      <c r="G3915" t="s">
        <v>35</v>
      </c>
      <c r="H3915" t="s">
        <v>35</v>
      </c>
      <c r="J3915" t="s">
        <v>4774</v>
      </c>
      <c r="K3915" t="s">
        <v>1092</v>
      </c>
      <c r="M3915">
        <v>7.5</v>
      </c>
      <c r="N3915">
        <v>1244</v>
      </c>
      <c r="O3915" t="s">
        <v>575</v>
      </c>
      <c r="Q3915" t="s">
        <v>2549</v>
      </c>
      <c r="R3915" t="s">
        <v>4720</v>
      </c>
      <c r="S3915" t="s">
        <v>634</v>
      </c>
      <c r="T3915" t="s">
        <v>635</v>
      </c>
    </row>
    <row r="3916" spans="1:20" x14ac:dyDescent="0.25">
      <c r="A3916" t="s">
        <v>59</v>
      </c>
      <c r="B3916" t="s">
        <v>60</v>
      </c>
      <c r="C3916" t="s">
        <v>32</v>
      </c>
      <c r="D3916" t="s">
        <v>584</v>
      </c>
      <c r="E3916" t="s">
        <v>599</v>
      </c>
      <c r="F3916" t="s">
        <v>35</v>
      </c>
      <c r="G3916" t="s">
        <v>35</v>
      </c>
      <c r="H3916" t="s">
        <v>35</v>
      </c>
      <c r="J3916" t="s">
        <v>4727</v>
      </c>
      <c r="K3916" t="s">
        <v>1092</v>
      </c>
      <c r="M3916">
        <v>1</v>
      </c>
      <c r="N3916">
        <v>70</v>
      </c>
      <c r="O3916" t="s">
        <v>61</v>
      </c>
      <c r="Q3916" t="s">
        <v>305</v>
      </c>
      <c r="R3916" t="s">
        <v>4720</v>
      </c>
      <c r="S3916" t="s">
        <v>634</v>
      </c>
      <c r="T3916" t="s">
        <v>635</v>
      </c>
    </row>
    <row r="3917" spans="1:20" x14ac:dyDescent="0.25">
      <c r="A3917" t="s">
        <v>59</v>
      </c>
      <c r="B3917" t="s">
        <v>60</v>
      </c>
      <c r="C3917" t="s">
        <v>32</v>
      </c>
      <c r="D3917" t="s">
        <v>584</v>
      </c>
      <c r="E3917" t="s">
        <v>599</v>
      </c>
      <c r="F3917" t="s">
        <v>35</v>
      </c>
      <c r="G3917" t="s">
        <v>35</v>
      </c>
      <c r="H3917" t="s">
        <v>35</v>
      </c>
      <c r="J3917" t="s">
        <v>4727</v>
      </c>
      <c r="K3917" t="s">
        <v>1092</v>
      </c>
      <c r="M3917">
        <v>1.7</v>
      </c>
      <c r="N3917">
        <v>83</v>
      </c>
      <c r="O3917" t="s">
        <v>61</v>
      </c>
      <c r="Q3917" t="s">
        <v>897</v>
      </c>
      <c r="R3917" t="s">
        <v>4720</v>
      </c>
      <c r="S3917" t="s">
        <v>634</v>
      </c>
      <c r="T3917" t="s">
        <v>635</v>
      </c>
    </row>
    <row r="3918" spans="1:20" x14ac:dyDescent="0.25">
      <c r="A3918" t="s">
        <v>59</v>
      </c>
      <c r="B3918" t="s">
        <v>60</v>
      </c>
      <c r="C3918" t="s">
        <v>32</v>
      </c>
      <c r="D3918" t="s">
        <v>584</v>
      </c>
      <c r="E3918" t="s">
        <v>621</v>
      </c>
      <c r="F3918" t="s">
        <v>35</v>
      </c>
      <c r="G3918" t="s">
        <v>35</v>
      </c>
      <c r="H3918" t="s">
        <v>35</v>
      </c>
      <c r="J3918" t="s">
        <v>4872</v>
      </c>
      <c r="K3918" t="s">
        <v>1092</v>
      </c>
      <c r="M3918">
        <v>0.7</v>
      </c>
      <c r="N3918">
        <v>784</v>
      </c>
      <c r="O3918" t="s">
        <v>575</v>
      </c>
      <c r="Q3918" t="s">
        <v>2135</v>
      </c>
      <c r="R3918" t="s">
        <v>4720</v>
      </c>
      <c r="S3918" t="s">
        <v>634</v>
      </c>
      <c r="T3918" t="s">
        <v>635</v>
      </c>
    </row>
    <row r="3919" spans="1:20" x14ac:dyDescent="0.25">
      <c r="A3919" t="s">
        <v>59</v>
      </c>
      <c r="B3919" t="s">
        <v>60</v>
      </c>
      <c r="C3919" t="s">
        <v>32</v>
      </c>
      <c r="D3919" t="s">
        <v>584</v>
      </c>
      <c r="E3919" t="s">
        <v>621</v>
      </c>
      <c r="F3919" t="s">
        <v>35</v>
      </c>
      <c r="G3919" t="s">
        <v>35</v>
      </c>
      <c r="H3919" t="s">
        <v>35</v>
      </c>
      <c r="J3919" t="s">
        <v>4941</v>
      </c>
      <c r="K3919" t="s">
        <v>1092</v>
      </c>
      <c r="M3919">
        <v>2</v>
      </c>
      <c r="N3919">
        <v>228</v>
      </c>
      <c r="O3919" t="s">
        <v>5</v>
      </c>
      <c r="Q3919" t="s">
        <v>4942</v>
      </c>
      <c r="R3919" t="s">
        <v>4720</v>
      </c>
      <c r="S3919" t="s">
        <v>634</v>
      </c>
      <c r="T3919" t="s">
        <v>635</v>
      </c>
    </row>
    <row r="3920" spans="1:20" x14ac:dyDescent="0.25">
      <c r="A3920" t="s">
        <v>59</v>
      </c>
      <c r="B3920" t="s">
        <v>60</v>
      </c>
      <c r="C3920" t="s">
        <v>32</v>
      </c>
      <c r="D3920" t="s">
        <v>584</v>
      </c>
      <c r="E3920" t="s">
        <v>621</v>
      </c>
      <c r="F3920" t="s">
        <v>35</v>
      </c>
      <c r="G3920" t="s">
        <v>35</v>
      </c>
      <c r="H3920" t="s">
        <v>35</v>
      </c>
      <c r="J3920" t="s">
        <v>4922</v>
      </c>
      <c r="K3920" t="s">
        <v>1092</v>
      </c>
      <c r="M3920">
        <v>1.8</v>
      </c>
      <c r="N3920">
        <v>784</v>
      </c>
      <c r="O3920" t="s">
        <v>575</v>
      </c>
      <c r="Q3920" t="s">
        <v>2135</v>
      </c>
      <c r="R3920" t="s">
        <v>4720</v>
      </c>
      <c r="S3920" t="s">
        <v>634</v>
      </c>
      <c r="T3920" t="s">
        <v>635</v>
      </c>
    </row>
    <row r="3921" spans="1:20" x14ac:dyDescent="0.25">
      <c r="A3921" t="s">
        <v>44</v>
      </c>
      <c r="B3921" t="s">
        <v>3</v>
      </c>
      <c r="C3921" t="s">
        <v>32</v>
      </c>
      <c r="D3921" t="s">
        <v>584</v>
      </c>
      <c r="E3921" t="s">
        <v>621</v>
      </c>
      <c r="F3921" t="s">
        <v>35</v>
      </c>
      <c r="G3921" t="s">
        <v>35</v>
      </c>
      <c r="H3921" t="s">
        <v>35</v>
      </c>
      <c r="J3921" t="s">
        <v>4881</v>
      </c>
      <c r="K3921" t="s">
        <v>1092</v>
      </c>
      <c r="M3921">
        <v>0.5</v>
      </c>
      <c r="N3921">
        <v>456</v>
      </c>
      <c r="O3921" t="s">
        <v>294</v>
      </c>
      <c r="Q3921" t="s">
        <v>4882</v>
      </c>
      <c r="R3921" t="s">
        <v>4564</v>
      </c>
      <c r="S3921" t="s">
        <v>4565</v>
      </c>
      <c r="T3921" t="s">
        <v>4566</v>
      </c>
    </row>
    <row r="3922" spans="1:20" x14ac:dyDescent="0.25">
      <c r="A3922" t="s">
        <v>59</v>
      </c>
      <c r="B3922" t="s">
        <v>60</v>
      </c>
      <c r="C3922" t="s">
        <v>32</v>
      </c>
      <c r="D3922" t="s">
        <v>584</v>
      </c>
      <c r="E3922" t="s">
        <v>621</v>
      </c>
      <c r="F3922" t="s">
        <v>35</v>
      </c>
      <c r="G3922" t="s">
        <v>35</v>
      </c>
      <c r="H3922" t="s">
        <v>35</v>
      </c>
      <c r="J3922" t="s">
        <v>4881</v>
      </c>
      <c r="K3922" t="s">
        <v>1092</v>
      </c>
      <c r="M3922">
        <v>0.25</v>
      </c>
      <c r="N3922">
        <v>1147</v>
      </c>
      <c r="O3922" t="s">
        <v>575</v>
      </c>
      <c r="Q3922" t="s">
        <v>4883</v>
      </c>
      <c r="R3922" t="s">
        <v>4884</v>
      </c>
      <c r="S3922" t="s">
        <v>4565</v>
      </c>
      <c r="T3922" t="s">
        <v>4885</v>
      </c>
    </row>
    <row r="3923" spans="1:20" x14ac:dyDescent="0.25">
      <c r="A3923" t="s">
        <v>59</v>
      </c>
      <c r="B3923" t="s">
        <v>60</v>
      </c>
      <c r="C3923" t="s">
        <v>32</v>
      </c>
      <c r="D3923" t="s">
        <v>584</v>
      </c>
      <c r="E3923" t="s">
        <v>621</v>
      </c>
      <c r="F3923" t="s">
        <v>35</v>
      </c>
      <c r="G3923" t="s">
        <v>35</v>
      </c>
      <c r="H3923" t="s">
        <v>35</v>
      </c>
      <c r="J3923" t="s">
        <v>4881</v>
      </c>
      <c r="K3923" t="s">
        <v>1092</v>
      </c>
      <c r="M3923">
        <v>0.745</v>
      </c>
      <c r="N3923">
        <v>1267</v>
      </c>
      <c r="O3923" t="s">
        <v>575</v>
      </c>
      <c r="Q3923" t="s">
        <v>4886</v>
      </c>
      <c r="R3923" t="s">
        <v>4884</v>
      </c>
      <c r="S3923" t="s">
        <v>4565</v>
      </c>
      <c r="T3923" t="s">
        <v>4885</v>
      </c>
    </row>
    <row r="3924" spans="1:20" x14ac:dyDescent="0.25">
      <c r="A3924" t="s">
        <v>30</v>
      </c>
      <c r="B3924" t="s">
        <v>31</v>
      </c>
      <c r="C3924" t="s">
        <v>32</v>
      </c>
      <c r="D3924" t="s">
        <v>584</v>
      </c>
      <c r="E3924" t="s">
        <v>585</v>
      </c>
      <c r="F3924" t="s">
        <v>35</v>
      </c>
      <c r="G3924" t="s">
        <v>35</v>
      </c>
      <c r="H3924" t="s">
        <v>35</v>
      </c>
      <c r="J3924" t="s">
        <v>4568</v>
      </c>
      <c r="K3924" t="s">
        <v>1092</v>
      </c>
      <c r="M3924">
        <v>0.315</v>
      </c>
      <c r="N3924">
        <v>1368</v>
      </c>
      <c r="O3924" t="s">
        <v>575</v>
      </c>
      <c r="Q3924" t="s">
        <v>4569</v>
      </c>
      <c r="R3924" t="s">
        <v>4564</v>
      </c>
      <c r="S3924" t="s">
        <v>4565</v>
      </c>
      <c r="T3924" t="s">
        <v>4566</v>
      </c>
    </row>
    <row r="3925" spans="1:20" x14ac:dyDescent="0.25">
      <c r="A3925" t="s">
        <v>44</v>
      </c>
      <c r="B3925" t="s">
        <v>3</v>
      </c>
      <c r="C3925" t="s">
        <v>32</v>
      </c>
      <c r="D3925" t="s">
        <v>584</v>
      </c>
      <c r="E3925" t="s">
        <v>585</v>
      </c>
      <c r="F3925" t="s">
        <v>35</v>
      </c>
      <c r="G3925" t="s">
        <v>35</v>
      </c>
      <c r="H3925" t="s">
        <v>35</v>
      </c>
      <c r="J3925" t="s">
        <v>4562</v>
      </c>
      <c r="K3925" t="s">
        <v>1092</v>
      </c>
      <c r="M3925">
        <v>0.70499999999999996</v>
      </c>
      <c r="N3925">
        <v>520</v>
      </c>
      <c r="O3925" t="s">
        <v>294</v>
      </c>
      <c r="Q3925" t="s">
        <v>4563</v>
      </c>
      <c r="R3925" t="s">
        <v>4564</v>
      </c>
      <c r="S3925" t="s">
        <v>4565</v>
      </c>
      <c r="T3925" t="s">
        <v>4566</v>
      </c>
    </row>
    <row r="3926" spans="1:20" x14ac:dyDescent="0.25">
      <c r="A3926" t="s">
        <v>44</v>
      </c>
      <c r="B3926" t="s">
        <v>3</v>
      </c>
      <c r="C3926" t="s">
        <v>32</v>
      </c>
      <c r="D3926" t="s">
        <v>584</v>
      </c>
      <c r="E3926" t="s">
        <v>621</v>
      </c>
      <c r="F3926" t="s">
        <v>35</v>
      </c>
      <c r="G3926" t="s">
        <v>35</v>
      </c>
      <c r="H3926" t="s">
        <v>35</v>
      </c>
      <c r="J3926" t="s">
        <v>4836</v>
      </c>
      <c r="K3926" t="s">
        <v>1092</v>
      </c>
      <c r="M3926">
        <v>0.8</v>
      </c>
      <c r="N3926">
        <v>526</v>
      </c>
      <c r="O3926" t="s">
        <v>294</v>
      </c>
      <c r="Q3926" t="s">
        <v>4047</v>
      </c>
      <c r="R3926" t="s">
        <v>4564</v>
      </c>
      <c r="S3926" t="s">
        <v>4565</v>
      </c>
      <c r="T3926" t="s">
        <v>4566</v>
      </c>
    </row>
    <row r="3927" spans="1:20" x14ac:dyDescent="0.25">
      <c r="A3927" t="s">
        <v>44</v>
      </c>
      <c r="B3927" t="s">
        <v>3</v>
      </c>
      <c r="C3927" t="s">
        <v>32</v>
      </c>
      <c r="D3927" t="s">
        <v>584</v>
      </c>
      <c r="E3927" t="s">
        <v>585</v>
      </c>
      <c r="F3927" t="s">
        <v>35</v>
      </c>
      <c r="G3927" t="s">
        <v>35</v>
      </c>
      <c r="H3927" t="s">
        <v>35</v>
      </c>
      <c r="J3927" t="s">
        <v>4584</v>
      </c>
      <c r="K3927" t="s">
        <v>1092</v>
      </c>
      <c r="M3927">
        <v>0.25</v>
      </c>
      <c r="N3927">
        <v>513</v>
      </c>
      <c r="O3927" t="s">
        <v>294</v>
      </c>
      <c r="Q3927" t="s">
        <v>2816</v>
      </c>
      <c r="R3927" t="s">
        <v>4564</v>
      </c>
      <c r="S3927" t="s">
        <v>4565</v>
      </c>
      <c r="T3927" t="s">
        <v>4566</v>
      </c>
    </row>
    <row r="3928" spans="1:20" x14ac:dyDescent="0.25">
      <c r="A3928" t="s">
        <v>30</v>
      </c>
      <c r="B3928" t="s">
        <v>31</v>
      </c>
      <c r="C3928" t="s">
        <v>32</v>
      </c>
      <c r="D3928" t="s">
        <v>584</v>
      </c>
      <c r="E3928" t="s">
        <v>4733</v>
      </c>
      <c r="F3928" t="s">
        <v>35</v>
      </c>
      <c r="G3928" t="s">
        <v>35</v>
      </c>
      <c r="H3928" t="s">
        <v>35</v>
      </c>
      <c r="J3928" t="s">
        <v>4735</v>
      </c>
      <c r="K3928" t="s">
        <v>404</v>
      </c>
      <c r="M3928">
        <v>10.44</v>
      </c>
      <c r="N3928">
        <v>46</v>
      </c>
      <c r="O3928" t="s">
        <v>52</v>
      </c>
      <c r="Q3928" t="s">
        <v>332</v>
      </c>
      <c r="R3928" t="s">
        <v>4647</v>
      </c>
      <c r="S3928" t="s">
        <v>590</v>
      </c>
      <c r="T3928" t="s">
        <v>614</v>
      </c>
    </row>
    <row r="3929" spans="1:20" x14ac:dyDescent="0.25">
      <c r="A3929" t="s">
        <v>59</v>
      </c>
      <c r="B3929" t="s">
        <v>31</v>
      </c>
      <c r="C3929" t="s">
        <v>32</v>
      </c>
      <c r="D3929" t="s">
        <v>584</v>
      </c>
      <c r="F3929" t="s">
        <v>35</v>
      </c>
      <c r="G3929" t="s">
        <v>35</v>
      </c>
      <c r="H3929" t="s">
        <v>35</v>
      </c>
      <c r="J3929" t="s">
        <v>4970</v>
      </c>
      <c r="K3929" t="s">
        <v>1092</v>
      </c>
      <c r="M3929">
        <v>5.49</v>
      </c>
      <c r="N3929">
        <v>46</v>
      </c>
      <c r="O3929" t="s">
        <v>52</v>
      </c>
      <c r="Q3929" t="s">
        <v>332</v>
      </c>
      <c r="R3929" t="s">
        <v>4647</v>
      </c>
      <c r="S3929" t="s">
        <v>590</v>
      </c>
      <c r="T3929" t="s">
        <v>614</v>
      </c>
    </row>
    <row r="3930" spans="1:20" x14ac:dyDescent="0.25">
      <c r="A3930" t="s">
        <v>44</v>
      </c>
      <c r="B3930" t="s">
        <v>51</v>
      </c>
      <c r="C3930" t="s">
        <v>32</v>
      </c>
      <c r="D3930" t="s">
        <v>584</v>
      </c>
      <c r="E3930" t="s">
        <v>585</v>
      </c>
      <c r="F3930" t="s">
        <v>35</v>
      </c>
      <c r="G3930" t="s">
        <v>35</v>
      </c>
      <c r="H3930" t="s">
        <v>35</v>
      </c>
      <c r="J3930" t="s">
        <v>586</v>
      </c>
      <c r="K3930" t="s">
        <v>37</v>
      </c>
      <c r="M3930">
        <v>51.5</v>
      </c>
      <c r="N3930">
        <v>17</v>
      </c>
      <c r="O3930" t="s">
        <v>46</v>
      </c>
      <c r="P3930" t="s">
        <v>588</v>
      </c>
      <c r="Q3930" t="s">
        <v>255</v>
      </c>
      <c r="R3930" t="s">
        <v>589</v>
      </c>
      <c r="S3930" t="s">
        <v>590</v>
      </c>
      <c r="T3930" t="s">
        <v>591</v>
      </c>
    </row>
    <row r="3931" spans="1:20" x14ac:dyDescent="0.25">
      <c r="A3931" t="s">
        <v>59</v>
      </c>
      <c r="B3931" t="s">
        <v>60</v>
      </c>
      <c r="C3931" t="s">
        <v>32</v>
      </c>
      <c r="D3931" t="s">
        <v>584</v>
      </c>
      <c r="E3931" t="s">
        <v>599</v>
      </c>
      <c r="F3931" t="s">
        <v>35</v>
      </c>
      <c r="G3931" t="s">
        <v>35</v>
      </c>
      <c r="H3931" t="s">
        <v>35</v>
      </c>
      <c r="J3931" t="s">
        <v>4646</v>
      </c>
      <c r="K3931" t="s">
        <v>1092</v>
      </c>
      <c r="M3931">
        <v>0.04</v>
      </c>
      <c r="N3931">
        <v>152</v>
      </c>
      <c r="O3931" t="s">
        <v>38</v>
      </c>
      <c r="Q3931" t="s">
        <v>40</v>
      </c>
      <c r="R3931" t="s">
        <v>4647</v>
      </c>
      <c r="S3931" t="s">
        <v>590</v>
      </c>
      <c r="T3931" t="s">
        <v>614</v>
      </c>
    </row>
    <row r="3932" spans="1:20" x14ac:dyDescent="0.25">
      <c r="A3932" t="s">
        <v>59</v>
      </c>
      <c r="B3932" t="s">
        <v>60</v>
      </c>
      <c r="C3932" t="s">
        <v>32</v>
      </c>
      <c r="D3932" t="s">
        <v>584</v>
      </c>
      <c r="E3932" t="s">
        <v>621</v>
      </c>
      <c r="F3932" t="s">
        <v>35</v>
      </c>
      <c r="G3932" t="s">
        <v>35</v>
      </c>
      <c r="H3932" t="s">
        <v>35</v>
      </c>
      <c r="J3932" t="s">
        <v>4799</v>
      </c>
      <c r="K3932" t="s">
        <v>1092</v>
      </c>
      <c r="M3932">
        <v>8.5</v>
      </c>
      <c r="N3932">
        <v>119</v>
      </c>
      <c r="O3932" t="s">
        <v>106</v>
      </c>
      <c r="Q3932" t="s">
        <v>1813</v>
      </c>
      <c r="R3932" t="s">
        <v>4800</v>
      </c>
      <c r="S3932" t="s">
        <v>4799</v>
      </c>
      <c r="T3932" t="s">
        <v>4801</v>
      </c>
    </row>
    <row r="3933" spans="1:20" x14ac:dyDescent="0.25">
      <c r="A3933" t="s">
        <v>44</v>
      </c>
      <c r="B3933" t="s">
        <v>3</v>
      </c>
      <c r="C3933" t="s">
        <v>32</v>
      </c>
      <c r="D3933" t="s">
        <v>584</v>
      </c>
      <c r="E3933" t="s">
        <v>621</v>
      </c>
      <c r="F3933" t="s">
        <v>35</v>
      </c>
      <c r="G3933" t="s">
        <v>35</v>
      </c>
      <c r="H3933" t="s">
        <v>35</v>
      </c>
      <c r="J3933" t="s">
        <v>4909</v>
      </c>
      <c r="K3933" t="s">
        <v>1092</v>
      </c>
      <c r="M3933">
        <v>1.5</v>
      </c>
      <c r="N3933">
        <v>517</v>
      </c>
      <c r="O3933" t="s">
        <v>294</v>
      </c>
      <c r="Q3933" t="s">
        <v>4843</v>
      </c>
      <c r="R3933" t="s">
        <v>4800</v>
      </c>
      <c r="S3933" t="s">
        <v>4799</v>
      </c>
      <c r="T3933" t="s">
        <v>4801</v>
      </c>
    </row>
    <row r="3934" spans="1:20" x14ac:dyDescent="0.25">
      <c r="A3934" t="s">
        <v>59</v>
      </c>
      <c r="B3934" t="s">
        <v>31</v>
      </c>
      <c r="C3934" t="s">
        <v>32</v>
      </c>
      <c r="D3934" t="s">
        <v>584</v>
      </c>
      <c r="E3934" t="s">
        <v>621</v>
      </c>
      <c r="F3934" t="s">
        <v>35</v>
      </c>
      <c r="G3934" t="s">
        <v>35</v>
      </c>
      <c r="H3934" t="s">
        <v>35</v>
      </c>
      <c r="J3934" t="s">
        <v>4274</v>
      </c>
      <c r="K3934" t="s">
        <v>1092</v>
      </c>
      <c r="M3934">
        <v>0.63</v>
      </c>
      <c r="N3934">
        <v>517</v>
      </c>
      <c r="O3934" t="s">
        <v>294</v>
      </c>
      <c r="Q3934" t="s">
        <v>4843</v>
      </c>
      <c r="R3934" t="s">
        <v>4800</v>
      </c>
      <c r="S3934" t="s">
        <v>4799</v>
      </c>
      <c r="T3934" t="s">
        <v>4801</v>
      </c>
    </row>
    <row r="3935" spans="1:20" x14ac:dyDescent="0.25">
      <c r="A3935" t="s">
        <v>44</v>
      </c>
      <c r="B3935" t="s">
        <v>3</v>
      </c>
      <c r="C3935" t="s">
        <v>32</v>
      </c>
      <c r="D3935" t="s">
        <v>584</v>
      </c>
      <c r="E3935" t="s">
        <v>621</v>
      </c>
      <c r="F3935" t="s">
        <v>35</v>
      </c>
      <c r="G3935" t="s">
        <v>35</v>
      </c>
      <c r="H3935" t="s">
        <v>35</v>
      </c>
      <c r="J3935" t="s">
        <v>4274</v>
      </c>
      <c r="K3935" t="s">
        <v>1092</v>
      </c>
      <c r="M3935">
        <v>0.7</v>
      </c>
      <c r="N3935">
        <v>517</v>
      </c>
      <c r="O3935" t="s">
        <v>294</v>
      </c>
      <c r="Q3935" t="s">
        <v>4843</v>
      </c>
      <c r="R3935" t="s">
        <v>4800</v>
      </c>
      <c r="S3935" t="s">
        <v>4799</v>
      </c>
      <c r="T3935" t="s">
        <v>4801</v>
      </c>
    </row>
    <row r="3936" spans="1:20" x14ac:dyDescent="0.25">
      <c r="A3936" t="s">
        <v>44</v>
      </c>
      <c r="B3936" t="s">
        <v>51</v>
      </c>
      <c r="C3936" t="s">
        <v>32</v>
      </c>
      <c r="D3936" t="s">
        <v>584</v>
      </c>
      <c r="E3936" t="s">
        <v>585</v>
      </c>
      <c r="F3936" t="s">
        <v>35</v>
      </c>
      <c r="G3936" t="s">
        <v>35</v>
      </c>
      <c r="H3936" t="s">
        <v>35</v>
      </c>
      <c r="J3936" t="s">
        <v>4592</v>
      </c>
      <c r="K3936" t="s">
        <v>1092</v>
      </c>
      <c r="M3936">
        <v>2.5</v>
      </c>
      <c r="N3936">
        <v>24</v>
      </c>
      <c r="O3936" t="s">
        <v>46</v>
      </c>
      <c r="Q3936" t="s">
        <v>972</v>
      </c>
      <c r="R3936" t="s">
        <v>4552</v>
      </c>
      <c r="S3936" t="s">
        <v>4553</v>
      </c>
      <c r="T3936" t="s">
        <v>4554</v>
      </c>
    </row>
    <row r="3937" spans="1:20" x14ac:dyDescent="0.25">
      <c r="A3937" t="s">
        <v>44</v>
      </c>
      <c r="B3937" t="s">
        <v>51</v>
      </c>
      <c r="C3937" t="s">
        <v>32</v>
      </c>
      <c r="D3937" t="s">
        <v>584</v>
      </c>
      <c r="E3937" t="s">
        <v>585</v>
      </c>
      <c r="F3937" t="s">
        <v>35</v>
      </c>
      <c r="G3937" t="s">
        <v>35</v>
      </c>
      <c r="H3937" t="s">
        <v>35</v>
      </c>
      <c r="J3937" t="s">
        <v>4556</v>
      </c>
      <c r="K3937" t="s">
        <v>1092</v>
      </c>
      <c r="M3937">
        <v>2.7</v>
      </c>
      <c r="N3937">
        <v>66</v>
      </c>
      <c r="O3937" t="s">
        <v>61</v>
      </c>
      <c r="Q3937" t="s">
        <v>552</v>
      </c>
      <c r="R3937" t="s">
        <v>4552</v>
      </c>
      <c r="S3937" t="s">
        <v>4553</v>
      </c>
      <c r="T3937" t="s">
        <v>4554</v>
      </c>
    </row>
    <row r="3938" spans="1:20" x14ac:dyDescent="0.25">
      <c r="A3938" t="s">
        <v>44</v>
      </c>
      <c r="B3938" t="s">
        <v>51</v>
      </c>
      <c r="C3938" t="s">
        <v>32</v>
      </c>
      <c r="D3938" t="s">
        <v>584</v>
      </c>
      <c r="E3938" t="s">
        <v>585</v>
      </c>
      <c r="F3938" t="s">
        <v>35</v>
      </c>
      <c r="G3938" t="s">
        <v>35</v>
      </c>
      <c r="H3938" t="s">
        <v>35</v>
      </c>
      <c r="J3938" t="s">
        <v>4551</v>
      </c>
      <c r="K3938" t="s">
        <v>1092</v>
      </c>
      <c r="M3938">
        <v>0.15</v>
      </c>
      <c r="N3938">
        <v>24</v>
      </c>
      <c r="O3938" t="s">
        <v>46</v>
      </c>
      <c r="Q3938" t="s">
        <v>972</v>
      </c>
      <c r="R3938" t="s">
        <v>4552</v>
      </c>
      <c r="S3938" t="s">
        <v>4553</v>
      </c>
      <c r="T3938" t="s">
        <v>4554</v>
      </c>
    </row>
    <row r="3939" spans="1:20" x14ac:dyDescent="0.25">
      <c r="A3939" t="s">
        <v>59</v>
      </c>
      <c r="B3939" t="s">
        <v>31</v>
      </c>
      <c r="C3939" t="s">
        <v>32</v>
      </c>
      <c r="D3939" t="s">
        <v>584</v>
      </c>
      <c r="E3939" t="s">
        <v>621</v>
      </c>
      <c r="F3939" t="s">
        <v>35</v>
      </c>
      <c r="G3939" t="s">
        <v>35</v>
      </c>
      <c r="H3939" t="s">
        <v>35</v>
      </c>
      <c r="J3939" t="s">
        <v>4948</v>
      </c>
      <c r="K3939" t="s">
        <v>1092</v>
      </c>
      <c r="M3939">
        <v>0.01</v>
      </c>
      <c r="N3939">
        <v>1361</v>
      </c>
      <c r="O3939" t="s">
        <v>575</v>
      </c>
      <c r="Q3939" t="s">
        <v>4949</v>
      </c>
      <c r="R3939" t="s">
        <v>4897</v>
      </c>
      <c r="S3939" t="s">
        <v>4898</v>
      </c>
      <c r="T3939" t="s">
        <v>4899</v>
      </c>
    </row>
    <row r="3940" spans="1:20" x14ac:dyDescent="0.25">
      <c r="A3940" t="s">
        <v>59</v>
      </c>
      <c r="B3940" t="s">
        <v>60</v>
      </c>
      <c r="C3940" t="s">
        <v>32</v>
      </c>
      <c r="D3940" t="s">
        <v>584</v>
      </c>
      <c r="E3940" t="s">
        <v>621</v>
      </c>
      <c r="F3940" t="s">
        <v>35</v>
      </c>
      <c r="G3940" t="s">
        <v>35</v>
      </c>
      <c r="H3940" t="s">
        <v>35</v>
      </c>
      <c r="J3940" t="s">
        <v>4896</v>
      </c>
      <c r="K3940" t="s">
        <v>1092</v>
      </c>
      <c r="M3940">
        <v>0.75</v>
      </c>
      <c r="N3940">
        <v>1125</v>
      </c>
      <c r="O3940" t="s">
        <v>575</v>
      </c>
      <c r="Q3940" t="s">
        <v>2810</v>
      </c>
      <c r="R3940" t="s">
        <v>4897</v>
      </c>
      <c r="S3940" t="s">
        <v>4898</v>
      </c>
      <c r="T3940" t="s">
        <v>4899</v>
      </c>
    </row>
    <row r="3941" spans="1:20" x14ac:dyDescent="0.25">
      <c r="A3941" t="s">
        <v>59</v>
      </c>
      <c r="B3941" t="s">
        <v>60</v>
      </c>
      <c r="C3941" t="s">
        <v>32</v>
      </c>
      <c r="D3941" t="s">
        <v>584</v>
      </c>
      <c r="E3941" t="s">
        <v>621</v>
      </c>
      <c r="F3941" t="s">
        <v>35</v>
      </c>
      <c r="G3941" t="s">
        <v>35</v>
      </c>
      <c r="H3941" t="s">
        <v>35</v>
      </c>
      <c r="J3941" t="s">
        <v>4908</v>
      </c>
      <c r="K3941" t="s">
        <v>1092</v>
      </c>
      <c r="M3941">
        <v>0.75</v>
      </c>
      <c r="N3941">
        <v>218</v>
      </c>
      <c r="O3941" t="s">
        <v>5</v>
      </c>
      <c r="Q3941" t="s">
        <v>1260</v>
      </c>
      <c r="R3941" t="s">
        <v>4897</v>
      </c>
      <c r="S3941" t="s">
        <v>4898</v>
      </c>
      <c r="T3941" t="s">
        <v>4899</v>
      </c>
    </row>
    <row r="3942" spans="1:20" x14ac:dyDescent="0.25">
      <c r="A3942" t="s">
        <v>30</v>
      </c>
      <c r="B3942" t="s">
        <v>31</v>
      </c>
      <c r="C3942" t="s">
        <v>32</v>
      </c>
      <c r="D3942" t="s">
        <v>584</v>
      </c>
      <c r="E3942" t="s">
        <v>621</v>
      </c>
      <c r="F3942" t="s">
        <v>35</v>
      </c>
      <c r="G3942" t="s">
        <v>35</v>
      </c>
      <c r="H3942" t="s">
        <v>35</v>
      </c>
      <c r="J3942" t="s">
        <v>4933</v>
      </c>
      <c r="K3942" t="s">
        <v>1092</v>
      </c>
      <c r="M3942">
        <v>4.4999999999999998E-2</v>
      </c>
      <c r="N3942">
        <v>1181</v>
      </c>
      <c r="O3942" t="s">
        <v>575</v>
      </c>
      <c r="Q3942" t="s">
        <v>4934</v>
      </c>
      <c r="R3942" t="s">
        <v>4897</v>
      </c>
      <c r="S3942" t="s">
        <v>4898</v>
      </c>
      <c r="T3942" t="s">
        <v>4899</v>
      </c>
    </row>
    <row r="3943" spans="1:20" x14ac:dyDescent="0.25">
      <c r="A3943" t="s">
        <v>59</v>
      </c>
      <c r="B3943" t="s">
        <v>60</v>
      </c>
      <c r="C3943" t="s">
        <v>32</v>
      </c>
      <c r="D3943" t="s">
        <v>584</v>
      </c>
      <c r="E3943" t="s">
        <v>621</v>
      </c>
      <c r="F3943" t="s">
        <v>35</v>
      </c>
      <c r="G3943" t="s">
        <v>35</v>
      </c>
      <c r="H3943" t="s">
        <v>35</v>
      </c>
      <c r="J3943" t="s">
        <v>4933</v>
      </c>
      <c r="K3943" t="s">
        <v>1092</v>
      </c>
      <c r="M3943">
        <v>0.05</v>
      </c>
      <c r="N3943">
        <v>1123</v>
      </c>
      <c r="O3943" t="s">
        <v>575</v>
      </c>
      <c r="Q3943" t="s">
        <v>4936</v>
      </c>
      <c r="R3943" t="s">
        <v>4897</v>
      </c>
      <c r="S3943" t="s">
        <v>4898</v>
      </c>
      <c r="T3943" t="s">
        <v>4899</v>
      </c>
    </row>
    <row r="3944" spans="1:20" x14ac:dyDescent="0.25">
      <c r="A3944" t="s">
        <v>59</v>
      </c>
      <c r="B3944" t="s">
        <v>60</v>
      </c>
      <c r="C3944" t="s">
        <v>32</v>
      </c>
      <c r="D3944" t="s">
        <v>584</v>
      </c>
      <c r="E3944" t="s">
        <v>4486</v>
      </c>
      <c r="F3944" t="s">
        <v>35</v>
      </c>
      <c r="G3944" t="s">
        <v>35</v>
      </c>
      <c r="H3944" t="s">
        <v>35</v>
      </c>
      <c r="J3944" t="s">
        <v>4502</v>
      </c>
      <c r="K3944" t="s">
        <v>1092</v>
      </c>
      <c r="M3944">
        <v>1.45</v>
      </c>
      <c r="N3944">
        <v>526</v>
      </c>
      <c r="O3944" t="s">
        <v>294</v>
      </c>
      <c r="Q3944" t="s">
        <v>4047</v>
      </c>
      <c r="R3944" t="s">
        <v>4503</v>
      </c>
      <c r="S3944" t="s">
        <v>4504</v>
      </c>
      <c r="T3944" t="s">
        <v>4505</v>
      </c>
    </row>
    <row r="3945" spans="1:20" x14ac:dyDescent="0.25">
      <c r="A3945" t="s">
        <v>59</v>
      </c>
      <c r="B3945" t="s">
        <v>60</v>
      </c>
      <c r="C3945" t="s">
        <v>32</v>
      </c>
      <c r="D3945" t="s">
        <v>584</v>
      </c>
      <c r="E3945" t="s">
        <v>4441</v>
      </c>
      <c r="F3945" t="s">
        <v>35</v>
      </c>
      <c r="G3945" t="s">
        <v>35</v>
      </c>
      <c r="H3945" t="s">
        <v>35</v>
      </c>
      <c r="J3945" t="s">
        <v>4485</v>
      </c>
      <c r="K3945" t="s">
        <v>1092</v>
      </c>
      <c r="M3945">
        <v>6.95</v>
      </c>
      <c r="N3945">
        <v>15</v>
      </c>
      <c r="O3945" t="s">
        <v>46</v>
      </c>
      <c r="Q3945" t="s">
        <v>979</v>
      </c>
      <c r="R3945" t="s">
        <v>4446</v>
      </c>
      <c r="S3945" t="s">
        <v>4447</v>
      </c>
      <c r="T3945" t="s">
        <v>4448</v>
      </c>
    </row>
    <row r="3946" spans="1:20" x14ac:dyDescent="0.25">
      <c r="A3946" t="s">
        <v>59</v>
      </c>
      <c r="B3946" t="s">
        <v>60</v>
      </c>
      <c r="C3946" t="s">
        <v>32</v>
      </c>
      <c r="D3946" t="s">
        <v>584</v>
      </c>
      <c r="F3946" t="s">
        <v>35</v>
      </c>
      <c r="G3946" t="s">
        <v>35</v>
      </c>
      <c r="H3946" t="s">
        <v>35</v>
      </c>
      <c r="J3946" t="s">
        <v>4985</v>
      </c>
      <c r="K3946" t="s">
        <v>1092</v>
      </c>
      <c r="M3946">
        <v>1.85</v>
      </c>
      <c r="N3946">
        <v>15</v>
      </c>
      <c r="O3946" t="s">
        <v>46</v>
      </c>
      <c r="Q3946" t="s">
        <v>979</v>
      </c>
      <c r="R3946" t="s">
        <v>4446</v>
      </c>
      <c r="S3946" t="s">
        <v>4447</v>
      </c>
      <c r="T3946" t="s">
        <v>4448</v>
      </c>
    </row>
    <row r="3947" spans="1:20" x14ac:dyDescent="0.25">
      <c r="A3947" t="s">
        <v>59</v>
      </c>
      <c r="B3947" t="s">
        <v>31</v>
      </c>
      <c r="C3947" t="s">
        <v>32</v>
      </c>
      <c r="D3947" t="s">
        <v>584</v>
      </c>
      <c r="E3947" t="s">
        <v>4441</v>
      </c>
      <c r="F3947" t="s">
        <v>35</v>
      </c>
      <c r="G3947" t="s">
        <v>35</v>
      </c>
      <c r="H3947" t="s">
        <v>35</v>
      </c>
      <c r="J3947" t="s">
        <v>4483</v>
      </c>
      <c r="K3947" t="s">
        <v>1092</v>
      </c>
      <c r="M3947">
        <v>0.54</v>
      </c>
      <c r="N3947">
        <v>482</v>
      </c>
      <c r="O3947" t="s">
        <v>294</v>
      </c>
      <c r="Q3947" t="s">
        <v>2729</v>
      </c>
      <c r="R3947" t="s">
        <v>4446</v>
      </c>
      <c r="S3947" t="s">
        <v>4447</v>
      </c>
      <c r="T3947" t="s">
        <v>4448</v>
      </c>
    </row>
    <row r="3948" spans="1:20" x14ac:dyDescent="0.25">
      <c r="A3948" t="s">
        <v>59</v>
      </c>
      <c r="B3948" t="s">
        <v>31</v>
      </c>
      <c r="C3948" t="s">
        <v>32</v>
      </c>
      <c r="D3948" t="s">
        <v>584</v>
      </c>
      <c r="E3948" t="s">
        <v>4441</v>
      </c>
      <c r="F3948" t="s">
        <v>35</v>
      </c>
      <c r="G3948" t="s">
        <v>35</v>
      </c>
      <c r="H3948" t="s">
        <v>35</v>
      </c>
      <c r="J3948" t="s">
        <v>4474</v>
      </c>
      <c r="K3948" t="s">
        <v>1092</v>
      </c>
      <c r="M3948">
        <v>0.315</v>
      </c>
      <c r="N3948">
        <v>408</v>
      </c>
      <c r="O3948" t="s">
        <v>294</v>
      </c>
      <c r="Q3948" t="s">
        <v>4475</v>
      </c>
      <c r="R3948" t="s">
        <v>4446</v>
      </c>
      <c r="S3948" t="s">
        <v>4447</v>
      </c>
      <c r="T3948" t="s">
        <v>4448</v>
      </c>
    </row>
    <row r="3949" spans="1:20" x14ac:dyDescent="0.25">
      <c r="A3949" t="s">
        <v>59</v>
      </c>
      <c r="B3949" t="s">
        <v>31</v>
      </c>
      <c r="C3949" t="s">
        <v>32</v>
      </c>
      <c r="D3949" t="s">
        <v>584</v>
      </c>
      <c r="E3949" t="s">
        <v>4441</v>
      </c>
      <c r="F3949" t="s">
        <v>35</v>
      </c>
      <c r="G3949" t="s">
        <v>35</v>
      </c>
      <c r="H3949" t="s">
        <v>35</v>
      </c>
      <c r="J3949" t="s">
        <v>4445</v>
      </c>
      <c r="K3949" t="s">
        <v>1092</v>
      </c>
      <c r="M3949">
        <v>7.7750000000000004</v>
      </c>
      <c r="N3949">
        <v>193</v>
      </c>
      <c r="O3949" t="s">
        <v>5</v>
      </c>
      <c r="Q3949" t="s">
        <v>3691</v>
      </c>
      <c r="R3949" t="s">
        <v>4446</v>
      </c>
      <c r="S3949" t="s">
        <v>4447</v>
      </c>
      <c r="T3949" t="s">
        <v>4448</v>
      </c>
    </row>
    <row r="3950" spans="1:20" x14ac:dyDescent="0.25">
      <c r="A3950" t="s">
        <v>30</v>
      </c>
      <c r="B3950" t="s">
        <v>31</v>
      </c>
      <c r="C3950" t="s">
        <v>32</v>
      </c>
      <c r="D3950" t="s">
        <v>584</v>
      </c>
      <c r="E3950" t="s">
        <v>599</v>
      </c>
      <c r="F3950" t="s">
        <v>35</v>
      </c>
      <c r="G3950" t="s">
        <v>35</v>
      </c>
      <c r="H3950" t="s">
        <v>35</v>
      </c>
      <c r="J3950" t="s">
        <v>4637</v>
      </c>
      <c r="K3950" t="s">
        <v>404</v>
      </c>
      <c r="M3950">
        <v>0.315</v>
      </c>
      <c r="N3950">
        <v>1604</v>
      </c>
      <c r="O3950" t="s">
        <v>575</v>
      </c>
      <c r="Q3950" t="s">
        <v>4639</v>
      </c>
      <c r="R3950" t="s">
        <v>4640</v>
      </c>
      <c r="S3950" t="s">
        <v>4641</v>
      </c>
      <c r="T3950" t="s">
        <v>4642</v>
      </c>
    </row>
    <row r="3951" spans="1:20" x14ac:dyDescent="0.25">
      <c r="A3951" t="s">
        <v>59</v>
      </c>
      <c r="B3951" t="s">
        <v>60</v>
      </c>
      <c r="C3951" t="s">
        <v>32</v>
      </c>
      <c r="D3951" t="s">
        <v>584</v>
      </c>
      <c r="E3951" t="s">
        <v>621</v>
      </c>
      <c r="F3951" t="s">
        <v>35</v>
      </c>
      <c r="G3951" t="s">
        <v>35</v>
      </c>
      <c r="H3951" t="s">
        <v>35</v>
      </c>
      <c r="J3951" t="s">
        <v>4844</v>
      </c>
      <c r="K3951" t="s">
        <v>1092</v>
      </c>
      <c r="M3951">
        <v>0.45</v>
      </c>
      <c r="N3951">
        <v>1122</v>
      </c>
      <c r="O3951" t="s">
        <v>575</v>
      </c>
      <c r="Q3951" t="s">
        <v>4782</v>
      </c>
      <c r="R3951" t="s">
        <v>4640</v>
      </c>
      <c r="S3951" t="s">
        <v>4641</v>
      </c>
      <c r="T3951" t="s">
        <v>4642</v>
      </c>
    </row>
    <row r="3952" spans="1:20" x14ac:dyDescent="0.25">
      <c r="A3952" t="s">
        <v>59</v>
      </c>
      <c r="B3952" t="s">
        <v>31</v>
      </c>
      <c r="C3952" t="s">
        <v>32</v>
      </c>
      <c r="D3952" t="s">
        <v>584</v>
      </c>
      <c r="E3952" t="s">
        <v>621</v>
      </c>
      <c r="F3952" t="s">
        <v>35</v>
      </c>
      <c r="G3952" t="s">
        <v>35</v>
      </c>
      <c r="H3952" t="s">
        <v>35</v>
      </c>
      <c r="J3952" t="s">
        <v>4950</v>
      </c>
      <c r="K3952" t="s">
        <v>1092</v>
      </c>
      <c r="M3952">
        <v>0.13500000000000001</v>
      </c>
      <c r="N3952">
        <v>1583</v>
      </c>
      <c r="O3952" t="s">
        <v>575</v>
      </c>
      <c r="Q3952" t="s">
        <v>4951</v>
      </c>
      <c r="R3952" t="s">
        <v>4640</v>
      </c>
      <c r="S3952" t="s">
        <v>4641</v>
      </c>
      <c r="T3952" t="s">
        <v>4642</v>
      </c>
    </row>
    <row r="3953" spans="1:20" x14ac:dyDescent="0.25">
      <c r="A3953" t="s">
        <v>59</v>
      </c>
      <c r="B3953" t="s">
        <v>60</v>
      </c>
      <c r="C3953" t="s">
        <v>32</v>
      </c>
      <c r="D3953" t="s">
        <v>584</v>
      </c>
      <c r="E3953" t="s">
        <v>621</v>
      </c>
      <c r="F3953" t="s">
        <v>35</v>
      </c>
      <c r="G3953" t="s">
        <v>35</v>
      </c>
      <c r="H3953" t="s">
        <v>35</v>
      </c>
      <c r="J3953" t="s">
        <v>4919</v>
      </c>
      <c r="K3953" t="s">
        <v>1092</v>
      </c>
      <c r="M3953">
        <v>0.75</v>
      </c>
      <c r="N3953">
        <v>520</v>
      </c>
      <c r="O3953" t="s">
        <v>294</v>
      </c>
      <c r="Q3953" t="s">
        <v>4563</v>
      </c>
      <c r="R3953" t="s">
        <v>4640</v>
      </c>
      <c r="S3953" t="s">
        <v>4641</v>
      </c>
      <c r="T3953" t="s">
        <v>4642</v>
      </c>
    </row>
    <row r="3954" spans="1:20" x14ac:dyDescent="0.25">
      <c r="A3954" t="s">
        <v>59</v>
      </c>
      <c r="B3954" t="s">
        <v>60</v>
      </c>
      <c r="C3954" t="s">
        <v>32</v>
      </c>
      <c r="D3954" t="s">
        <v>584</v>
      </c>
      <c r="E3954" t="s">
        <v>621</v>
      </c>
      <c r="F3954" t="s">
        <v>35</v>
      </c>
      <c r="G3954" t="s">
        <v>35</v>
      </c>
      <c r="H3954" t="s">
        <v>35</v>
      </c>
      <c r="J3954" t="s">
        <v>4919</v>
      </c>
      <c r="K3954" t="s">
        <v>1092</v>
      </c>
      <c r="M3954">
        <v>1.5</v>
      </c>
      <c r="N3954">
        <v>542</v>
      </c>
      <c r="O3954" t="s">
        <v>294</v>
      </c>
      <c r="Q3954" t="s">
        <v>3873</v>
      </c>
      <c r="R3954" t="s">
        <v>4640</v>
      </c>
      <c r="S3954" t="s">
        <v>4641</v>
      </c>
      <c r="T3954" t="s">
        <v>4642</v>
      </c>
    </row>
    <row r="3955" spans="1:20" x14ac:dyDescent="0.25">
      <c r="A3955" t="s">
        <v>59</v>
      </c>
      <c r="B3955" t="s">
        <v>60</v>
      </c>
      <c r="C3955" t="s">
        <v>32</v>
      </c>
      <c r="D3955" t="s">
        <v>584</v>
      </c>
      <c r="E3955" t="s">
        <v>592</v>
      </c>
      <c r="F3955" t="s">
        <v>35</v>
      </c>
      <c r="G3955" t="s">
        <v>35</v>
      </c>
      <c r="H3955" t="s">
        <v>35</v>
      </c>
      <c r="J3955" t="s">
        <v>4621</v>
      </c>
      <c r="K3955" t="s">
        <v>1092</v>
      </c>
      <c r="M3955">
        <v>1.5</v>
      </c>
      <c r="N3955">
        <v>62</v>
      </c>
      <c r="O3955" t="s">
        <v>61</v>
      </c>
      <c r="Q3955" t="s">
        <v>139</v>
      </c>
      <c r="R3955" t="s">
        <v>4459</v>
      </c>
      <c r="S3955" t="s">
        <v>4460</v>
      </c>
      <c r="T3955" t="s">
        <v>4461</v>
      </c>
    </row>
    <row r="3956" spans="1:20" x14ac:dyDescent="0.25">
      <c r="A3956" t="s">
        <v>59</v>
      </c>
      <c r="B3956" t="s">
        <v>60</v>
      </c>
      <c r="C3956" t="s">
        <v>32</v>
      </c>
      <c r="D3956" t="s">
        <v>584</v>
      </c>
      <c r="E3956" t="s">
        <v>592</v>
      </c>
      <c r="F3956" t="s">
        <v>35</v>
      </c>
      <c r="G3956" t="s">
        <v>35</v>
      </c>
      <c r="H3956" t="s">
        <v>35</v>
      </c>
      <c r="J3956" t="s">
        <v>4599</v>
      </c>
      <c r="K3956" t="s">
        <v>1092</v>
      </c>
      <c r="M3956">
        <v>0.75</v>
      </c>
      <c r="N3956">
        <v>62</v>
      </c>
      <c r="O3956" t="s">
        <v>61</v>
      </c>
      <c r="Q3956" t="s">
        <v>139</v>
      </c>
      <c r="R3956" t="s">
        <v>4459</v>
      </c>
      <c r="S3956" t="s">
        <v>4460</v>
      </c>
      <c r="T3956" t="s">
        <v>4461</v>
      </c>
    </row>
    <row r="3957" spans="1:20" x14ac:dyDescent="0.25">
      <c r="A3957" t="s">
        <v>59</v>
      </c>
      <c r="B3957" t="s">
        <v>60</v>
      </c>
      <c r="C3957" t="s">
        <v>32</v>
      </c>
      <c r="D3957" t="s">
        <v>584</v>
      </c>
      <c r="E3957" t="s">
        <v>4441</v>
      </c>
      <c r="F3957" t="s">
        <v>35</v>
      </c>
      <c r="G3957" t="s">
        <v>35</v>
      </c>
      <c r="H3957" t="s">
        <v>35</v>
      </c>
      <c r="J3957" t="s">
        <v>4458</v>
      </c>
      <c r="K3957" t="s">
        <v>1092</v>
      </c>
      <c r="M3957">
        <v>8</v>
      </c>
      <c r="N3957">
        <v>37</v>
      </c>
      <c r="O3957" t="s">
        <v>52</v>
      </c>
      <c r="Q3957" t="s">
        <v>192</v>
      </c>
      <c r="R3957" t="s">
        <v>4459</v>
      </c>
      <c r="S3957" t="s">
        <v>4460</v>
      </c>
      <c r="T3957" t="s">
        <v>4461</v>
      </c>
    </row>
    <row r="3958" spans="1:20" x14ac:dyDescent="0.25">
      <c r="A3958" t="s">
        <v>59</v>
      </c>
      <c r="B3958" t="s">
        <v>60</v>
      </c>
      <c r="C3958" t="s">
        <v>32</v>
      </c>
      <c r="D3958" t="s">
        <v>584</v>
      </c>
      <c r="E3958" t="s">
        <v>4769</v>
      </c>
      <c r="F3958" t="s">
        <v>35</v>
      </c>
      <c r="G3958" t="s">
        <v>35</v>
      </c>
      <c r="H3958" t="s">
        <v>35</v>
      </c>
      <c r="J3958" t="s">
        <v>4786</v>
      </c>
      <c r="K3958" t="s">
        <v>1092</v>
      </c>
      <c r="M3958">
        <v>1</v>
      </c>
      <c r="N3958">
        <v>24</v>
      </c>
      <c r="O3958" t="s">
        <v>46</v>
      </c>
      <c r="Q3958" t="s">
        <v>972</v>
      </c>
      <c r="R3958" t="s">
        <v>4459</v>
      </c>
      <c r="S3958" t="s">
        <v>4460</v>
      </c>
      <c r="T3958" t="s">
        <v>4461</v>
      </c>
    </row>
    <row r="3959" spans="1:20" x14ac:dyDescent="0.25">
      <c r="A3959" t="s">
        <v>59</v>
      </c>
      <c r="B3959" t="s">
        <v>60</v>
      </c>
      <c r="C3959" t="s">
        <v>32</v>
      </c>
      <c r="D3959" t="s">
        <v>584</v>
      </c>
      <c r="E3959" t="s">
        <v>621</v>
      </c>
      <c r="F3959" t="s">
        <v>35</v>
      </c>
      <c r="G3959" t="s">
        <v>35</v>
      </c>
      <c r="H3959" t="s">
        <v>35</v>
      </c>
      <c r="J3959" t="s">
        <v>4847</v>
      </c>
      <c r="K3959" t="s">
        <v>1092</v>
      </c>
      <c r="M3959">
        <v>2.5</v>
      </c>
      <c r="N3959">
        <v>88</v>
      </c>
      <c r="O3959" t="s">
        <v>61</v>
      </c>
      <c r="Q3959" t="s">
        <v>724</v>
      </c>
      <c r="R3959" t="s">
        <v>4459</v>
      </c>
      <c r="S3959" t="s">
        <v>4460</v>
      </c>
      <c r="T3959" t="s">
        <v>4461</v>
      </c>
    </row>
    <row r="3960" spans="1:20" x14ac:dyDescent="0.25">
      <c r="A3960" t="s">
        <v>59</v>
      </c>
      <c r="B3960" t="s">
        <v>60</v>
      </c>
      <c r="C3960" t="s">
        <v>32</v>
      </c>
      <c r="D3960" t="s">
        <v>584</v>
      </c>
      <c r="E3960" t="s">
        <v>4514</v>
      </c>
      <c r="F3960" t="s">
        <v>35</v>
      </c>
      <c r="G3960" t="s">
        <v>35</v>
      </c>
      <c r="H3960" t="s">
        <v>35</v>
      </c>
      <c r="J3960" t="s">
        <v>4533</v>
      </c>
      <c r="K3960" t="s">
        <v>1092</v>
      </c>
      <c r="M3960">
        <v>2</v>
      </c>
      <c r="N3960">
        <v>34</v>
      </c>
      <c r="O3960" t="s">
        <v>52</v>
      </c>
      <c r="Q3960" t="s">
        <v>249</v>
      </c>
      <c r="R3960" t="s">
        <v>4459</v>
      </c>
      <c r="S3960" t="s">
        <v>4460</v>
      </c>
      <c r="T3960" t="s">
        <v>4461</v>
      </c>
    </row>
    <row r="3961" spans="1:20" x14ac:dyDescent="0.25">
      <c r="A3961" t="s">
        <v>59</v>
      </c>
      <c r="B3961" t="s">
        <v>60</v>
      </c>
      <c r="C3961" t="s">
        <v>32</v>
      </c>
      <c r="D3961" t="s">
        <v>584</v>
      </c>
      <c r="E3961" t="s">
        <v>4514</v>
      </c>
      <c r="F3961" t="s">
        <v>35</v>
      </c>
      <c r="G3961" t="s">
        <v>35</v>
      </c>
      <c r="H3961" t="s">
        <v>35</v>
      </c>
      <c r="J3961" t="s">
        <v>4533</v>
      </c>
      <c r="K3961" t="s">
        <v>1092</v>
      </c>
      <c r="M3961">
        <v>0.85</v>
      </c>
      <c r="N3961">
        <v>142</v>
      </c>
      <c r="O3961" t="s">
        <v>38</v>
      </c>
      <c r="Q3961" t="s">
        <v>73</v>
      </c>
      <c r="R3961" t="s">
        <v>4459</v>
      </c>
      <c r="S3961" t="s">
        <v>4460</v>
      </c>
      <c r="T3961" t="s">
        <v>4461</v>
      </c>
    </row>
    <row r="3962" spans="1:20" x14ac:dyDescent="0.25">
      <c r="A3962" t="s">
        <v>30</v>
      </c>
      <c r="B3962" t="s">
        <v>31</v>
      </c>
      <c r="C3962" t="s">
        <v>32</v>
      </c>
      <c r="D3962" t="s">
        <v>584</v>
      </c>
      <c r="E3962" t="s">
        <v>4769</v>
      </c>
      <c r="F3962" t="s">
        <v>35</v>
      </c>
      <c r="G3962" t="s">
        <v>35</v>
      </c>
      <c r="H3962" t="s">
        <v>35</v>
      </c>
      <c r="J3962" t="s">
        <v>4780</v>
      </c>
      <c r="K3962" t="s">
        <v>1092</v>
      </c>
      <c r="M3962">
        <v>0.13500000000000001</v>
      </c>
      <c r="N3962">
        <v>1369</v>
      </c>
      <c r="O3962" t="s">
        <v>575</v>
      </c>
      <c r="Q3962" t="s">
        <v>4638</v>
      </c>
      <c r="R3962" t="s">
        <v>4459</v>
      </c>
      <c r="S3962" t="s">
        <v>4460</v>
      </c>
      <c r="T3962" t="s">
        <v>4461</v>
      </c>
    </row>
    <row r="3963" spans="1:20" x14ac:dyDescent="0.25">
      <c r="A3963" t="s">
        <v>59</v>
      </c>
      <c r="B3963" t="s">
        <v>60</v>
      </c>
      <c r="C3963" t="s">
        <v>32</v>
      </c>
      <c r="D3963" t="s">
        <v>584</v>
      </c>
      <c r="E3963" t="s">
        <v>621</v>
      </c>
      <c r="F3963" t="s">
        <v>35</v>
      </c>
      <c r="G3963" t="s">
        <v>35</v>
      </c>
      <c r="H3963" t="s">
        <v>35</v>
      </c>
      <c r="J3963" t="s">
        <v>4873</v>
      </c>
      <c r="K3963" t="s">
        <v>1092</v>
      </c>
      <c r="M3963">
        <v>0.6</v>
      </c>
      <c r="N3963">
        <v>1686</v>
      </c>
      <c r="O3963" t="s">
        <v>575</v>
      </c>
      <c r="Q3963" t="s">
        <v>4874</v>
      </c>
      <c r="R3963" t="s">
        <v>4459</v>
      </c>
      <c r="S3963" t="s">
        <v>4460</v>
      </c>
      <c r="T3963" t="s">
        <v>4461</v>
      </c>
    </row>
    <row r="3964" spans="1:20" x14ac:dyDescent="0.25">
      <c r="A3964" t="s">
        <v>59</v>
      </c>
      <c r="B3964" t="s">
        <v>60</v>
      </c>
      <c r="C3964" t="s">
        <v>32</v>
      </c>
      <c r="D3964" t="s">
        <v>584</v>
      </c>
      <c r="E3964" t="s">
        <v>4486</v>
      </c>
      <c r="F3964" t="s">
        <v>35</v>
      </c>
      <c r="G3964" t="s">
        <v>35</v>
      </c>
      <c r="H3964" t="s">
        <v>35</v>
      </c>
      <c r="J3964" t="s">
        <v>4487</v>
      </c>
      <c r="K3964" t="s">
        <v>1092</v>
      </c>
      <c r="M3964">
        <v>0.25</v>
      </c>
      <c r="N3964">
        <v>121</v>
      </c>
      <c r="O3964" t="s">
        <v>38</v>
      </c>
      <c r="Q3964" t="s">
        <v>1170</v>
      </c>
      <c r="R3964" t="s">
        <v>4459</v>
      </c>
      <c r="S3964" t="s">
        <v>4460</v>
      </c>
      <c r="T3964" t="s">
        <v>4461</v>
      </c>
    </row>
    <row r="3965" spans="1:20" x14ac:dyDescent="0.25">
      <c r="A3965" t="s">
        <v>30</v>
      </c>
      <c r="B3965" t="s">
        <v>31</v>
      </c>
      <c r="C3965" t="s">
        <v>32</v>
      </c>
      <c r="D3965" t="s">
        <v>584</v>
      </c>
      <c r="E3965" t="s">
        <v>4769</v>
      </c>
      <c r="F3965" t="s">
        <v>35</v>
      </c>
      <c r="G3965" t="s">
        <v>35</v>
      </c>
      <c r="H3965" t="s">
        <v>35</v>
      </c>
      <c r="J3965" t="s">
        <v>4771</v>
      </c>
      <c r="K3965" t="s">
        <v>1092</v>
      </c>
      <c r="M3965">
        <v>1.125</v>
      </c>
      <c r="N3965">
        <v>1213</v>
      </c>
      <c r="O3965" t="s">
        <v>575</v>
      </c>
      <c r="Q3965" t="s">
        <v>1525</v>
      </c>
      <c r="R3965" t="s">
        <v>4459</v>
      </c>
      <c r="S3965" t="s">
        <v>4460</v>
      </c>
      <c r="T3965" t="s">
        <v>4461</v>
      </c>
    </row>
    <row r="3966" spans="1:20" x14ac:dyDescent="0.25">
      <c r="A3966" t="s">
        <v>44</v>
      </c>
      <c r="B3966" t="s">
        <v>3</v>
      </c>
      <c r="C3966" t="s">
        <v>32</v>
      </c>
      <c r="D3966" t="s">
        <v>584</v>
      </c>
      <c r="E3966" t="s">
        <v>4486</v>
      </c>
      <c r="F3966" t="s">
        <v>35</v>
      </c>
      <c r="G3966" t="s">
        <v>35</v>
      </c>
      <c r="H3966" t="s">
        <v>35</v>
      </c>
      <c r="J3966" t="s">
        <v>4495</v>
      </c>
      <c r="K3966" t="s">
        <v>1092</v>
      </c>
      <c r="M3966">
        <v>2.0499999999999998</v>
      </c>
      <c r="N3966">
        <v>584</v>
      </c>
      <c r="O3966" t="s">
        <v>575</v>
      </c>
      <c r="Q3966" t="s">
        <v>4496</v>
      </c>
      <c r="R3966" t="s">
        <v>4459</v>
      </c>
      <c r="S3966" t="s">
        <v>4460</v>
      </c>
      <c r="T3966" t="s">
        <v>4461</v>
      </c>
    </row>
    <row r="3967" spans="1:20" x14ac:dyDescent="0.25">
      <c r="A3967" t="s">
        <v>44</v>
      </c>
      <c r="B3967" t="s">
        <v>3</v>
      </c>
      <c r="C3967" t="s">
        <v>32</v>
      </c>
      <c r="D3967" t="s">
        <v>584</v>
      </c>
      <c r="E3967" t="s">
        <v>4486</v>
      </c>
      <c r="F3967" t="s">
        <v>35</v>
      </c>
      <c r="G3967" t="s">
        <v>35</v>
      </c>
      <c r="H3967" t="s">
        <v>35</v>
      </c>
      <c r="J3967" t="s">
        <v>4495</v>
      </c>
      <c r="K3967" t="s">
        <v>1092</v>
      </c>
      <c r="M3967">
        <v>1</v>
      </c>
      <c r="N3967">
        <v>526</v>
      </c>
      <c r="O3967" t="s">
        <v>294</v>
      </c>
      <c r="Q3967" t="s">
        <v>4047</v>
      </c>
      <c r="R3967" t="s">
        <v>4459</v>
      </c>
      <c r="S3967" t="s">
        <v>4460</v>
      </c>
      <c r="T3967" t="s">
        <v>4461</v>
      </c>
    </row>
    <row r="3968" spans="1:20" x14ac:dyDescent="0.25">
      <c r="A3968" t="s">
        <v>44</v>
      </c>
      <c r="B3968" t="s">
        <v>3</v>
      </c>
      <c r="C3968" t="s">
        <v>32</v>
      </c>
      <c r="D3968" t="s">
        <v>584</v>
      </c>
      <c r="E3968" t="s">
        <v>585</v>
      </c>
      <c r="F3968" t="s">
        <v>35</v>
      </c>
      <c r="G3968" t="s">
        <v>35</v>
      </c>
      <c r="H3968" t="s">
        <v>35</v>
      </c>
      <c r="J3968" t="s">
        <v>4586</v>
      </c>
      <c r="K3968" t="s">
        <v>1092</v>
      </c>
      <c r="M3968">
        <v>1.1499999999999999</v>
      </c>
      <c r="N3968">
        <v>532</v>
      </c>
      <c r="O3968" t="s">
        <v>294</v>
      </c>
      <c r="Q3968" t="s">
        <v>4581</v>
      </c>
      <c r="R3968" t="s">
        <v>4545</v>
      </c>
      <c r="S3968" t="s">
        <v>586</v>
      </c>
      <c r="T3968" t="s">
        <v>587</v>
      </c>
    </row>
    <row r="3969" spans="1:20" x14ac:dyDescent="0.25">
      <c r="A3969" t="s">
        <v>44</v>
      </c>
      <c r="B3969" t="s">
        <v>51</v>
      </c>
      <c r="C3969" t="s">
        <v>32</v>
      </c>
      <c r="D3969" t="s">
        <v>584</v>
      </c>
      <c r="E3969" t="s">
        <v>585</v>
      </c>
      <c r="F3969" t="s">
        <v>35</v>
      </c>
      <c r="G3969" t="s">
        <v>35</v>
      </c>
      <c r="H3969" t="s">
        <v>35</v>
      </c>
      <c r="J3969" t="s">
        <v>4574</v>
      </c>
      <c r="K3969" t="s">
        <v>1092</v>
      </c>
      <c r="M3969">
        <v>0.15</v>
      </c>
      <c r="N3969">
        <v>58</v>
      </c>
      <c r="O3969" t="s">
        <v>52</v>
      </c>
      <c r="Q3969" t="s">
        <v>128</v>
      </c>
      <c r="R3969" t="s">
        <v>4545</v>
      </c>
      <c r="S3969" t="s">
        <v>586</v>
      </c>
      <c r="T3969" t="s">
        <v>587</v>
      </c>
    </row>
    <row r="3970" spans="1:20" x14ac:dyDescent="0.25">
      <c r="A3970" t="s">
        <v>59</v>
      </c>
      <c r="B3970" t="s">
        <v>60</v>
      </c>
      <c r="C3970" t="s">
        <v>32</v>
      </c>
      <c r="D3970" t="s">
        <v>584</v>
      </c>
      <c r="E3970" t="s">
        <v>621</v>
      </c>
      <c r="F3970" t="s">
        <v>35</v>
      </c>
      <c r="G3970" t="s">
        <v>35</v>
      </c>
      <c r="H3970" t="s">
        <v>35</v>
      </c>
      <c r="J3970" t="s">
        <v>4902</v>
      </c>
      <c r="K3970" t="s">
        <v>1092</v>
      </c>
      <c r="M3970">
        <v>0.25</v>
      </c>
      <c r="N3970">
        <v>37</v>
      </c>
      <c r="O3970" t="s">
        <v>52</v>
      </c>
      <c r="Q3970" t="s">
        <v>192</v>
      </c>
      <c r="R3970" t="s">
        <v>4545</v>
      </c>
      <c r="S3970" t="s">
        <v>586</v>
      </c>
      <c r="T3970" t="s">
        <v>587</v>
      </c>
    </row>
    <row r="3971" spans="1:20" x14ac:dyDescent="0.25">
      <c r="A3971" t="s">
        <v>59</v>
      </c>
      <c r="B3971" t="s">
        <v>60</v>
      </c>
      <c r="C3971" t="s">
        <v>32</v>
      </c>
      <c r="D3971" t="s">
        <v>584</v>
      </c>
      <c r="E3971" t="s">
        <v>621</v>
      </c>
      <c r="F3971" t="s">
        <v>35</v>
      </c>
      <c r="G3971" t="s">
        <v>35</v>
      </c>
      <c r="H3971" t="s">
        <v>35</v>
      </c>
      <c r="J3971" t="s">
        <v>4902</v>
      </c>
      <c r="K3971" t="s">
        <v>1092</v>
      </c>
      <c r="M3971">
        <v>0.5</v>
      </c>
      <c r="N3971">
        <v>75</v>
      </c>
      <c r="O3971" t="s">
        <v>61</v>
      </c>
      <c r="Q3971" t="s">
        <v>447</v>
      </c>
      <c r="R3971" t="s">
        <v>4545</v>
      </c>
      <c r="S3971" t="s">
        <v>586</v>
      </c>
      <c r="T3971" t="s">
        <v>587</v>
      </c>
    </row>
    <row r="3972" spans="1:20" x14ac:dyDescent="0.25">
      <c r="A3972" t="s">
        <v>59</v>
      </c>
      <c r="B3972" t="s">
        <v>60</v>
      </c>
      <c r="C3972" t="s">
        <v>32</v>
      </c>
      <c r="D3972" t="s">
        <v>584</v>
      </c>
      <c r="E3972" t="s">
        <v>621</v>
      </c>
      <c r="F3972" t="s">
        <v>35</v>
      </c>
      <c r="G3972" t="s">
        <v>35</v>
      </c>
      <c r="H3972" t="s">
        <v>35</v>
      </c>
      <c r="J3972" t="s">
        <v>4860</v>
      </c>
      <c r="K3972" t="s">
        <v>1092</v>
      </c>
      <c r="M3972">
        <v>0.75</v>
      </c>
      <c r="N3972">
        <v>287</v>
      </c>
      <c r="O3972" t="s">
        <v>5</v>
      </c>
      <c r="Q3972" t="s">
        <v>1418</v>
      </c>
      <c r="R3972" t="s">
        <v>4545</v>
      </c>
      <c r="S3972" t="s">
        <v>586</v>
      </c>
      <c r="T3972" t="s">
        <v>587</v>
      </c>
    </row>
    <row r="3973" spans="1:20" x14ac:dyDescent="0.25">
      <c r="A3973" t="s">
        <v>59</v>
      </c>
      <c r="B3973" t="s">
        <v>60</v>
      </c>
      <c r="C3973" t="s">
        <v>32</v>
      </c>
      <c r="D3973" t="s">
        <v>584</v>
      </c>
      <c r="E3973" t="s">
        <v>621</v>
      </c>
      <c r="F3973" t="s">
        <v>35</v>
      </c>
      <c r="G3973" t="s">
        <v>35</v>
      </c>
      <c r="H3973" t="s">
        <v>35</v>
      </c>
      <c r="J3973" t="s">
        <v>4860</v>
      </c>
      <c r="K3973" t="s">
        <v>1092</v>
      </c>
      <c r="M3973">
        <v>0.25</v>
      </c>
      <c r="N3973">
        <v>50</v>
      </c>
      <c r="O3973" t="s">
        <v>52</v>
      </c>
      <c r="Q3973" t="s">
        <v>665</v>
      </c>
      <c r="R3973" t="s">
        <v>4545</v>
      </c>
      <c r="S3973" t="s">
        <v>586</v>
      </c>
      <c r="T3973" t="s">
        <v>587</v>
      </c>
    </row>
    <row r="3974" spans="1:20" x14ac:dyDescent="0.25">
      <c r="A3974" t="s">
        <v>44</v>
      </c>
      <c r="B3974" t="s">
        <v>51</v>
      </c>
      <c r="C3974" t="s">
        <v>32</v>
      </c>
      <c r="D3974" t="s">
        <v>584</v>
      </c>
      <c r="E3974" t="s">
        <v>621</v>
      </c>
      <c r="F3974" t="s">
        <v>35</v>
      </c>
      <c r="G3974" t="s">
        <v>35</v>
      </c>
      <c r="H3974" t="s">
        <v>35</v>
      </c>
      <c r="J3974" t="s">
        <v>4923</v>
      </c>
      <c r="K3974" t="s">
        <v>1092</v>
      </c>
      <c r="M3974">
        <v>0.25</v>
      </c>
      <c r="N3974">
        <v>54</v>
      </c>
      <c r="O3974" t="s">
        <v>52</v>
      </c>
      <c r="Q3974" t="s">
        <v>671</v>
      </c>
      <c r="R3974" t="s">
        <v>4545</v>
      </c>
      <c r="S3974" t="s">
        <v>586</v>
      </c>
      <c r="T3974" t="s">
        <v>587</v>
      </c>
    </row>
    <row r="3975" spans="1:20" x14ac:dyDescent="0.25">
      <c r="A3975" t="s">
        <v>59</v>
      </c>
      <c r="B3975" t="s">
        <v>60</v>
      </c>
      <c r="C3975" t="s">
        <v>32</v>
      </c>
      <c r="D3975" t="s">
        <v>584</v>
      </c>
      <c r="E3975" t="s">
        <v>621</v>
      </c>
      <c r="F3975" t="s">
        <v>35</v>
      </c>
      <c r="G3975" t="s">
        <v>35</v>
      </c>
      <c r="H3975" t="s">
        <v>35</v>
      </c>
      <c r="J3975" t="s">
        <v>4881</v>
      </c>
      <c r="K3975" t="s">
        <v>1092</v>
      </c>
      <c r="M3975">
        <v>0.25</v>
      </c>
      <c r="N3975">
        <v>1235</v>
      </c>
      <c r="O3975" t="s">
        <v>575</v>
      </c>
      <c r="Q3975" t="s">
        <v>4887</v>
      </c>
      <c r="R3975" t="s">
        <v>4545</v>
      </c>
      <c r="S3975" t="s">
        <v>586</v>
      </c>
      <c r="T3975" t="s">
        <v>587</v>
      </c>
    </row>
    <row r="3976" spans="1:20" x14ac:dyDescent="0.25">
      <c r="A3976" t="s">
        <v>59</v>
      </c>
      <c r="B3976" t="s">
        <v>60</v>
      </c>
      <c r="C3976" t="s">
        <v>32</v>
      </c>
      <c r="D3976" t="s">
        <v>584</v>
      </c>
      <c r="E3976" t="s">
        <v>621</v>
      </c>
      <c r="F3976" t="s">
        <v>35</v>
      </c>
      <c r="G3976" t="s">
        <v>35</v>
      </c>
      <c r="H3976" t="s">
        <v>35</v>
      </c>
      <c r="J3976" t="s">
        <v>4889</v>
      </c>
      <c r="K3976" t="s">
        <v>1092</v>
      </c>
      <c r="M3976">
        <v>0.5</v>
      </c>
      <c r="N3976">
        <v>44</v>
      </c>
      <c r="O3976" t="s">
        <v>52</v>
      </c>
      <c r="Q3976" t="s">
        <v>54</v>
      </c>
      <c r="R3976" t="s">
        <v>4545</v>
      </c>
      <c r="S3976" t="s">
        <v>586</v>
      </c>
      <c r="T3976" t="s">
        <v>587</v>
      </c>
    </row>
    <row r="3977" spans="1:20" x14ac:dyDescent="0.25">
      <c r="A3977" t="s">
        <v>44</v>
      </c>
      <c r="B3977" t="s">
        <v>3</v>
      </c>
      <c r="C3977" t="s">
        <v>32</v>
      </c>
      <c r="D3977" t="s">
        <v>584</v>
      </c>
      <c r="E3977" t="s">
        <v>585</v>
      </c>
      <c r="F3977" t="s">
        <v>35</v>
      </c>
      <c r="G3977" t="s">
        <v>35</v>
      </c>
      <c r="H3977" t="s">
        <v>35</v>
      </c>
      <c r="J3977" t="s">
        <v>4580</v>
      </c>
      <c r="K3977" t="s">
        <v>1092</v>
      </c>
      <c r="M3977">
        <v>0.25</v>
      </c>
      <c r="N3977">
        <v>532</v>
      </c>
      <c r="O3977" t="s">
        <v>294</v>
      </c>
      <c r="Q3977" t="s">
        <v>4581</v>
      </c>
      <c r="R3977" t="s">
        <v>4545</v>
      </c>
      <c r="S3977" t="s">
        <v>586</v>
      </c>
      <c r="T3977" t="s">
        <v>587</v>
      </c>
    </row>
    <row r="3978" spans="1:20" x14ac:dyDescent="0.25">
      <c r="A3978" t="s">
        <v>59</v>
      </c>
      <c r="B3978" t="s">
        <v>60</v>
      </c>
      <c r="C3978" t="s">
        <v>32</v>
      </c>
      <c r="D3978" t="s">
        <v>584</v>
      </c>
      <c r="E3978" t="s">
        <v>585</v>
      </c>
      <c r="F3978" t="s">
        <v>35</v>
      </c>
      <c r="G3978" t="s">
        <v>35</v>
      </c>
      <c r="H3978" t="s">
        <v>35</v>
      </c>
      <c r="J3978" t="s">
        <v>1898</v>
      </c>
      <c r="K3978" t="s">
        <v>1092</v>
      </c>
      <c r="M3978">
        <v>0.1</v>
      </c>
      <c r="N3978">
        <v>32</v>
      </c>
      <c r="O3978" t="s">
        <v>52</v>
      </c>
      <c r="Q3978" t="s">
        <v>816</v>
      </c>
      <c r="R3978" t="s">
        <v>4545</v>
      </c>
      <c r="S3978" t="s">
        <v>586</v>
      </c>
      <c r="T3978" t="s">
        <v>587</v>
      </c>
    </row>
    <row r="3979" spans="1:20" x14ac:dyDescent="0.25">
      <c r="A3979" t="s">
        <v>59</v>
      </c>
      <c r="B3979" t="s">
        <v>60</v>
      </c>
      <c r="C3979" t="s">
        <v>32</v>
      </c>
      <c r="D3979" t="s">
        <v>584</v>
      </c>
      <c r="E3979" t="s">
        <v>585</v>
      </c>
      <c r="F3979" t="s">
        <v>35</v>
      </c>
      <c r="G3979" t="s">
        <v>35</v>
      </c>
      <c r="H3979" t="s">
        <v>35</v>
      </c>
      <c r="J3979" t="s">
        <v>4583</v>
      </c>
      <c r="K3979" t="s">
        <v>1092</v>
      </c>
      <c r="M3979">
        <v>0.15</v>
      </c>
      <c r="N3979">
        <v>44</v>
      </c>
      <c r="O3979" t="s">
        <v>52</v>
      </c>
      <c r="Q3979" t="s">
        <v>54</v>
      </c>
      <c r="R3979" t="s">
        <v>4545</v>
      </c>
      <c r="S3979" t="s">
        <v>586</v>
      </c>
      <c r="T3979" t="s">
        <v>587</v>
      </c>
    </row>
    <row r="3980" spans="1:20" x14ac:dyDescent="0.25">
      <c r="A3980" t="s">
        <v>59</v>
      </c>
      <c r="B3980" t="s">
        <v>60</v>
      </c>
      <c r="C3980" t="s">
        <v>32</v>
      </c>
      <c r="D3980" t="s">
        <v>584</v>
      </c>
      <c r="E3980" t="s">
        <v>585</v>
      </c>
      <c r="F3980" t="s">
        <v>35</v>
      </c>
      <c r="G3980" t="s">
        <v>35</v>
      </c>
      <c r="H3980" t="s">
        <v>35</v>
      </c>
      <c r="J3980" t="s">
        <v>4567</v>
      </c>
      <c r="K3980" t="s">
        <v>1092</v>
      </c>
      <c r="M3980">
        <v>0.5</v>
      </c>
      <c r="N3980">
        <v>69</v>
      </c>
      <c r="O3980" t="s">
        <v>61</v>
      </c>
      <c r="Q3980" t="s">
        <v>234</v>
      </c>
      <c r="R3980" t="s">
        <v>4545</v>
      </c>
      <c r="S3980" t="s">
        <v>586</v>
      </c>
      <c r="T3980" t="s">
        <v>587</v>
      </c>
    </row>
    <row r="3981" spans="1:20" x14ac:dyDescent="0.25">
      <c r="A3981" t="s">
        <v>44</v>
      </c>
      <c r="B3981" t="s">
        <v>51</v>
      </c>
      <c r="C3981" t="s">
        <v>32</v>
      </c>
      <c r="D3981" t="s">
        <v>584</v>
      </c>
      <c r="E3981" t="s">
        <v>585</v>
      </c>
      <c r="F3981" t="s">
        <v>35</v>
      </c>
      <c r="G3981" t="s">
        <v>35</v>
      </c>
      <c r="H3981" t="s">
        <v>35</v>
      </c>
      <c r="J3981" t="s">
        <v>4562</v>
      </c>
      <c r="K3981" t="s">
        <v>1092</v>
      </c>
      <c r="M3981">
        <v>0.75</v>
      </c>
      <c r="N3981">
        <v>61</v>
      </c>
      <c r="O3981" t="s">
        <v>61</v>
      </c>
      <c r="Q3981" t="s">
        <v>146</v>
      </c>
      <c r="R3981" t="s">
        <v>4545</v>
      </c>
      <c r="S3981" t="s">
        <v>586</v>
      </c>
      <c r="T3981" t="s">
        <v>587</v>
      </c>
    </row>
    <row r="3982" spans="1:20" x14ac:dyDescent="0.25">
      <c r="A3982" t="s">
        <v>59</v>
      </c>
      <c r="B3982" t="s">
        <v>60</v>
      </c>
      <c r="C3982" t="s">
        <v>32</v>
      </c>
      <c r="D3982" t="s">
        <v>584</v>
      </c>
      <c r="E3982" t="s">
        <v>585</v>
      </c>
      <c r="F3982" t="s">
        <v>35</v>
      </c>
      <c r="G3982" t="s">
        <v>35</v>
      </c>
      <c r="H3982" t="s">
        <v>35</v>
      </c>
      <c r="J3982" t="s">
        <v>4562</v>
      </c>
      <c r="K3982" t="s">
        <v>1092</v>
      </c>
      <c r="M3982">
        <v>0.75</v>
      </c>
      <c r="N3982">
        <v>70</v>
      </c>
      <c r="O3982" t="s">
        <v>61</v>
      </c>
      <c r="Q3982" t="s">
        <v>305</v>
      </c>
      <c r="R3982" t="s">
        <v>4545</v>
      </c>
      <c r="S3982" t="s">
        <v>586</v>
      </c>
      <c r="T3982" t="s">
        <v>587</v>
      </c>
    </row>
    <row r="3983" spans="1:20" x14ac:dyDescent="0.25">
      <c r="A3983" t="s">
        <v>59</v>
      </c>
      <c r="B3983" t="s">
        <v>60</v>
      </c>
      <c r="C3983" t="s">
        <v>32</v>
      </c>
      <c r="D3983" t="s">
        <v>584</v>
      </c>
      <c r="E3983" t="s">
        <v>585</v>
      </c>
      <c r="F3983" t="s">
        <v>35</v>
      </c>
      <c r="G3983" t="s">
        <v>35</v>
      </c>
      <c r="H3983" t="s">
        <v>35</v>
      </c>
      <c r="J3983" t="s">
        <v>4572</v>
      </c>
      <c r="K3983" t="s">
        <v>1092</v>
      </c>
      <c r="M3983">
        <v>0.25</v>
      </c>
      <c r="N3983">
        <v>84</v>
      </c>
      <c r="O3983" t="s">
        <v>61</v>
      </c>
      <c r="Q3983" t="s">
        <v>1147</v>
      </c>
      <c r="R3983" t="s">
        <v>4545</v>
      </c>
      <c r="S3983" t="s">
        <v>586</v>
      </c>
      <c r="T3983" t="s">
        <v>587</v>
      </c>
    </row>
    <row r="3984" spans="1:20" x14ac:dyDescent="0.25">
      <c r="A3984" t="s">
        <v>44</v>
      </c>
      <c r="B3984" t="s">
        <v>51</v>
      </c>
      <c r="C3984" t="s">
        <v>32</v>
      </c>
      <c r="D3984" t="s">
        <v>584</v>
      </c>
      <c r="E3984" t="s">
        <v>585</v>
      </c>
      <c r="F3984" t="s">
        <v>35</v>
      </c>
      <c r="G3984" t="s">
        <v>35</v>
      </c>
      <c r="H3984" t="s">
        <v>35</v>
      </c>
      <c r="J3984" t="s">
        <v>4573</v>
      </c>
      <c r="K3984" t="s">
        <v>1092</v>
      </c>
      <c r="M3984">
        <v>0.5</v>
      </c>
      <c r="N3984">
        <v>39</v>
      </c>
      <c r="O3984" t="s">
        <v>52</v>
      </c>
      <c r="Q3984" t="s">
        <v>493</v>
      </c>
      <c r="R3984" t="s">
        <v>4545</v>
      </c>
      <c r="S3984" t="s">
        <v>586</v>
      </c>
      <c r="T3984" t="s">
        <v>587</v>
      </c>
    </row>
    <row r="3985" spans="1:20" x14ac:dyDescent="0.25">
      <c r="A3985" t="s">
        <v>44</v>
      </c>
      <c r="B3985" t="s">
        <v>51</v>
      </c>
      <c r="C3985" t="s">
        <v>32</v>
      </c>
      <c r="D3985" t="s">
        <v>584</v>
      </c>
      <c r="E3985" t="s">
        <v>585</v>
      </c>
      <c r="F3985" t="s">
        <v>35</v>
      </c>
      <c r="G3985" t="s">
        <v>35</v>
      </c>
      <c r="H3985" t="s">
        <v>35</v>
      </c>
      <c r="J3985" t="s">
        <v>4573</v>
      </c>
      <c r="K3985" t="s">
        <v>1092</v>
      </c>
      <c r="M3985">
        <v>0.2</v>
      </c>
      <c r="N3985">
        <v>44</v>
      </c>
      <c r="O3985" t="s">
        <v>52</v>
      </c>
      <c r="Q3985" t="s">
        <v>54</v>
      </c>
      <c r="R3985" t="s">
        <v>4545</v>
      </c>
      <c r="S3985" t="s">
        <v>586</v>
      </c>
      <c r="T3985" t="s">
        <v>587</v>
      </c>
    </row>
    <row r="3986" spans="1:20" x14ac:dyDescent="0.25">
      <c r="A3986" t="s">
        <v>30</v>
      </c>
      <c r="B3986" t="s">
        <v>31</v>
      </c>
      <c r="C3986" t="s">
        <v>32</v>
      </c>
      <c r="D3986" t="s">
        <v>584</v>
      </c>
      <c r="E3986" t="s">
        <v>621</v>
      </c>
      <c r="F3986" t="s">
        <v>35</v>
      </c>
      <c r="G3986" t="s">
        <v>35</v>
      </c>
      <c r="H3986" t="s">
        <v>35</v>
      </c>
      <c r="J3986" t="s">
        <v>4901</v>
      </c>
      <c r="K3986" t="s">
        <v>1092</v>
      </c>
      <c r="M3986">
        <v>0.04</v>
      </c>
      <c r="N3986">
        <v>1495</v>
      </c>
      <c r="O3986" t="s">
        <v>575</v>
      </c>
      <c r="Q3986" t="s">
        <v>2867</v>
      </c>
      <c r="R3986" t="s">
        <v>4545</v>
      </c>
      <c r="S3986" t="s">
        <v>586</v>
      </c>
      <c r="T3986" t="s">
        <v>587</v>
      </c>
    </row>
    <row r="3987" spans="1:20" x14ac:dyDescent="0.25">
      <c r="A3987" t="s">
        <v>44</v>
      </c>
      <c r="B3987" t="s">
        <v>3</v>
      </c>
      <c r="C3987" t="s">
        <v>32</v>
      </c>
      <c r="D3987" t="s">
        <v>584</v>
      </c>
      <c r="E3987" t="s">
        <v>621</v>
      </c>
      <c r="F3987" t="s">
        <v>35</v>
      </c>
      <c r="G3987" t="s">
        <v>35</v>
      </c>
      <c r="H3987" t="s">
        <v>35</v>
      </c>
      <c r="J3987" t="s">
        <v>4815</v>
      </c>
      <c r="K3987" t="s">
        <v>1092</v>
      </c>
      <c r="M3987">
        <v>1.75</v>
      </c>
      <c r="N3987">
        <v>574</v>
      </c>
      <c r="O3987" t="s">
        <v>575</v>
      </c>
      <c r="Q3987" t="s">
        <v>4819</v>
      </c>
      <c r="R3987" t="s">
        <v>4545</v>
      </c>
      <c r="S3987" t="s">
        <v>586</v>
      </c>
      <c r="T3987" t="s">
        <v>587</v>
      </c>
    </row>
    <row r="3988" spans="1:20" x14ac:dyDescent="0.25">
      <c r="A3988" t="s">
        <v>59</v>
      </c>
      <c r="B3988" t="s">
        <v>60</v>
      </c>
      <c r="C3988" t="s">
        <v>32</v>
      </c>
      <c r="D3988" t="s">
        <v>584</v>
      </c>
      <c r="E3988" t="s">
        <v>621</v>
      </c>
      <c r="F3988" t="s">
        <v>35</v>
      </c>
      <c r="G3988" t="s">
        <v>35</v>
      </c>
      <c r="H3988" t="s">
        <v>35</v>
      </c>
      <c r="J3988" t="s">
        <v>4802</v>
      </c>
      <c r="K3988" t="s">
        <v>1092</v>
      </c>
      <c r="M3988">
        <v>2.25</v>
      </c>
      <c r="N3988">
        <v>39</v>
      </c>
      <c r="O3988" t="s">
        <v>52</v>
      </c>
      <c r="Q3988" t="s">
        <v>493</v>
      </c>
      <c r="R3988" t="s">
        <v>4545</v>
      </c>
      <c r="S3988" t="s">
        <v>586</v>
      </c>
      <c r="T3988" t="s">
        <v>587</v>
      </c>
    </row>
    <row r="3989" spans="1:20" x14ac:dyDescent="0.25">
      <c r="A3989" t="s">
        <v>30</v>
      </c>
      <c r="B3989" t="s">
        <v>31</v>
      </c>
      <c r="C3989" t="s">
        <v>32</v>
      </c>
      <c r="D3989" t="s">
        <v>584</v>
      </c>
      <c r="F3989" t="s">
        <v>35</v>
      </c>
      <c r="G3989" t="s">
        <v>35</v>
      </c>
      <c r="H3989" t="s">
        <v>35</v>
      </c>
      <c r="J3989" t="s">
        <v>4979</v>
      </c>
      <c r="K3989" t="s">
        <v>1092</v>
      </c>
      <c r="M3989">
        <v>0.45</v>
      </c>
      <c r="N3989">
        <v>1750</v>
      </c>
      <c r="O3989" t="s">
        <v>575</v>
      </c>
      <c r="Q3989" t="s">
        <v>4980</v>
      </c>
      <c r="R3989" t="s">
        <v>4545</v>
      </c>
      <c r="S3989" t="s">
        <v>586</v>
      </c>
      <c r="T3989" t="s">
        <v>587</v>
      </c>
    </row>
    <row r="3990" spans="1:20" x14ac:dyDescent="0.25">
      <c r="A3990" t="s">
        <v>44</v>
      </c>
      <c r="B3990" t="s">
        <v>51</v>
      </c>
      <c r="C3990" t="s">
        <v>32</v>
      </c>
      <c r="D3990" t="s">
        <v>584</v>
      </c>
      <c r="E3990" t="s">
        <v>585</v>
      </c>
      <c r="F3990" t="s">
        <v>35</v>
      </c>
      <c r="G3990" t="s">
        <v>35</v>
      </c>
      <c r="H3990" t="s">
        <v>35</v>
      </c>
      <c r="J3990" t="s">
        <v>4544</v>
      </c>
      <c r="K3990" t="s">
        <v>1092</v>
      </c>
      <c r="M3990">
        <v>0.25</v>
      </c>
      <c r="N3990">
        <v>39</v>
      </c>
      <c r="O3990" t="s">
        <v>52</v>
      </c>
      <c r="Q3990" t="s">
        <v>493</v>
      </c>
      <c r="R3990" t="s">
        <v>4545</v>
      </c>
      <c r="S3990" t="s">
        <v>586</v>
      </c>
      <c r="T3990" t="s">
        <v>587</v>
      </c>
    </row>
    <row r="3991" spans="1:20" x14ac:dyDescent="0.25">
      <c r="A3991" t="s">
        <v>59</v>
      </c>
      <c r="B3991" t="s">
        <v>60</v>
      </c>
      <c r="C3991" t="s">
        <v>32</v>
      </c>
      <c r="D3991" t="s">
        <v>584</v>
      </c>
      <c r="E3991" t="s">
        <v>621</v>
      </c>
      <c r="F3991" t="s">
        <v>35</v>
      </c>
      <c r="G3991" t="s">
        <v>35</v>
      </c>
      <c r="H3991" t="s">
        <v>35</v>
      </c>
      <c r="J3991" t="s">
        <v>4924</v>
      </c>
      <c r="K3991" t="s">
        <v>1092</v>
      </c>
      <c r="M3991">
        <v>1</v>
      </c>
      <c r="N3991">
        <v>50</v>
      </c>
      <c r="O3991" t="s">
        <v>52</v>
      </c>
      <c r="Q3991" t="s">
        <v>665</v>
      </c>
      <c r="R3991" t="s">
        <v>4545</v>
      </c>
      <c r="S3991" t="s">
        <v>586</v>
      </c>
      <c r="T3991" t="s">
        <v>587</v>
      </c>
    </row>
    <row r="3992" spans="1:20" x14ac:dyDescent="0.25">
      <c r="A3992" t="s">
        <v>59</v>
      </c>
      <c r="B3992" t="s">
        <v>60</v>
      </c>
      <c r="C3992" t="s">
        <v>32</v>
      </c>
      <c r="D3992" t="s">
        <v>584</v>
      </c>
      <c r="E3992" t="s">
        <v>621</v>
      </c>
      <c r="F3992" t="s">
        <v>35</v>
      </c>
      <c r="G3992" t="s">
        <v>35</v>
      </c>
      <c r="H3992" t="s">
        <v>35</v>
      </c>
      <c r="J3992" t="s">
        <v>4932</v>
      </c>
      <c r="K3992" t="s">
        <v>1092</v>
      </c>
      <c r="M3992">
        <v>0.25</v>
      </c>
      <c r="N3992">
        <v>107</v>
      </c>
      <c r="O3992" t="s">
        <v>106</v>
      </c>
      <c r="Q3992" t="s">
        <v>288</v>
      </c>
      <c r="R3992" t="s">
        <v>4545</v>
      </c>
      <c r="S3992" t="s">
        <v>586</v>
      </c>
      <c r="T3992" t="s">
        <v>587</v>
      </c>
    </row>
    <row r="3993" spans="1:20" x14ac:dyDescent="0.25">
      <c r="A3993" t="s">
        <v>59</v>
      </c>
      <c r="B3993" t="s">
        <v>60</v>
      </c>
      <c r="C3993" t="s">
        <v>32</v>
      </c>
      <c r="D3993" t="s">
        <v>584</v>
      </c>
      <c r="E3993" t="s">
        <v>621</v>
      </c>
      <c r="F3993" t="s">
        <v>35</v>
      </c>
      <c r="G3993" t="s">
        <v>35</v>
      </c>
      <c r="H3993" t="s">
        <v>35</v>
      </c>
      <c r="J3993" t="s">
        <v>4932</v>
      </c>
      <c r="K3993" t="s">
        <v>1092</v>
      </c>
      <c r="M3993">
        <v>0.75</v>
      </c>
      <c r="N3993">
        <v>44</v>
      </c>
      <c r="O3993" t="s">
        <v>52</v>
      </c>
      <c r="Q3993" t="s">
        <v>54</v>
      </c>
      <c r="R3993" t="s">
        <v>4545</v>
      </c>
      <c r="S3993" t="s">
        <v>586</v>
      </c>
      <c r="T3993" t="s">
        <v>587</v>
      </c>
    </row>
    <row r="3994" spans="1:20" x14ac:dyDescent="0.25">
      <c r="A3994" t="s">
        <v>44</v>
      </c>
      <c r="B3994" t="s">
        <v>51</v>
      </c>
      <c r="C3994" t="s">
        <v>32</v>
      </c>
      <c r="D3994" t="s">
        <v>584</v>
      </c>
      <c r="E3994" t="s">
        <v>585</v>
      </c>
      <c r="F3994" t="s">
        <v>35</v>
      </c>
      <c r="G3994" t="s">
        <v>35</v>
      </c>
      <c r="H3994" t="s">
        <v>35</v>
      </c>
      <c r="J3994" t="s">
        <v>4546</v>
      </c>
      <c r="K3994" t="s">
        <v>1092</v>
      </c>
      <c r="M3994">
        <v>0.15</v>
      </c>
      <c r="N3994">
        <v>16</v>
      </c>
      <c r="O3994" t="s">
        <v>46</v>
      </c>
      <c r="Q3994" t="s">
        <v>1819</v>
      </c>
      <c r="R3994" t="s">
        <v>4545</v>
      </c>
      <c r="S3994" t="s">
        <v>586</v>
      </c>
      <c r="T3994" t="s">
        <v>587</v>
      </c>
    </row>
    <row r="3995" spans="1:20" x14ac:dyDescent="0.25">
      <c r="A3995" t="s">
        <v>59</v>
      </c>
      <c r="B3995" t="s">
        <v>60</v>
      </c>
      <c r="C3995" t="s">
        <v>32</v>
      </c>
      <c r="D3995" t="s">
        <v>584</v>
      </c>
      <c r="E3995" t="s">
        <v>585</v>
      </c>
      <c r="F3995" t="s">
        <v>35</v>
      </c>
      <c r="G3995" t="s">
        <v>35</v>
      </c>
      <c r="H3995" t="s">
        <v>35</v>
      </c>
      <c r="J3995" t="s">
        <v>4594</v>
      </c>
      <c r="K3995" t="s">
        <v>1092</v>
      </c>
      <c r="M3995">
        <v>0.25</v>
      </c>
      <c r="N3995">
        <v>273</v>
      </c>
      <c r="O3995" t="s">
        <v>5</v>
      </c>
      <c r="Q3995" t="s">
        <v>4595</v>
      </c>
      <c r="R3995" t="s">
        <v>4545</v>
      </c>
      <c r="S3995" t="s">
        <v>586</v>
      </c>
      <c r="T3995" t="s">
        <v>587</v>
      </c>
    </row>
    <row r="3996" spans="1:20" x14ac:dyDescent="0.25">
      <c r="A3996" t="s">
        <v>59</v>
      </c>
      <c r="B3996" t="s">
        <v>60</v>
      </c>
      <c r="C3996" t="s">
        <v>32</v>
      </c>
      <c r="D3996" t="s">
        <v>584</v>
      </c>
      <c r="E3996" t="s">
        <v>621</v>
      </c>
      <c r="F3996" t="s">
        <v>35</v>
      </c>
      <c r="G3996" t="s">
        <v>35</v>
      </c>
      <c r="H3996" t="s">
        <v>35</v>
      </c>
      <c r="J3996" t="s">
        <v>4954</v>
      </c>
      <c r="K3996" t="s">
        <v>1092</v>
      </c>
      <c r="M3996">
        <v>0.246</v>
      </c>
      <c r="N3996">
        <v>871</v>
      </c>
      <c r="O3996" t="s">
        <v>575</v>
      </c>
      <c r="Q3996" t="s">
        <v>3531</v>
      </c>
      <c r="R3996" t="s">
        <v>4545</v>
      </c>
      <c r="S3996" t="s">
        <v>586</v>
      </c>
      <c r="T3996" t="s">
        <v>587</v>
      </c>
    </row>
    <row r="3997" spans="1:20" x14ac:dyDescent="0.25">
      <c r="A3997" t="s">
        <v>59</v>
      </c>
      <c r="B3997" t="s">
        <v>60</v>
      </c>
      <c r="C3997" t="s">
        <v>32</v>
      </c>
      <c r="D3997" t="s">
        <v>584</v>
      </c>
      <c r="E3997" t="s">
        <v>621</v>
      </c>
      <c r="F3997" t="s">
        <v>35</v>
      </c>
      <c r="G3997" t="s">
        <v>35</v>
      </c>
      <c r="H3997" t="s">
        <v>35</v>
      </c>
      <c r="J3997" t="s">
        <v>4954</v>
      </c>
      <c r="K3997" t="s">
        <v>1092</v>
      </c>
      <c r="M3997">
        <v>0.25</v>
      </c>
      <c r="N3997">
        <v>804</v>
      </c>
      <c r="O3997" t="s">
        <v>575</v>
      </c>
      <c r="Q3997" t="s">
        <v>4955</v>
      </c>
      <c r="R3997" t="s">
        <v>4545</v>
      </c>
      <c r="S3997" t="s">
        <v>586</v>
      </c>
      <c r="T3997" t="s">
        <v>587</v>
      </c>
    </row>
    <row r="3998" spans="1:20" x14ac:dyDescent="0.25">
      <c r="A3998" t="s">
        <v>59</v>
      </c>
      <c r="B3998" t="s">
        <v>60</v>
      </c>
      <c r="C3998" t="s">
        <v>32</v>
      </c>
      <c r="D3998" t="s">
        <v>584</v>
      </c>
      <c r="E3998" t="s">
        <v>621</v>
      </c>
      <c r="F3998" t="s">
        <v>35</v>
      </c>
      <c r="G3998" t="s">
        <v>35</v>
      </c>
      <c r="H3998" t="s">
        <v>35</v>
      </c>
      <c r="J3998" t="s">
        <v>4954</v>
      </c>
      <c r="K3998" t="s">
        <v>1092</v>
      </c>
      <c r="M3998">
        <v>0.25</v>
      </c>
      <c r="N3998">
        <v>775</v>
      </c>
      <c r="O3998" t="s">
        <v>575</v>
      </c>
      <c r="Q3998" t="s">
        <v>4956</v>
      </c>
      <c r="R3998" t="s">
        <v>4545</v>
      </c>
      <c r="S3998" t="s">
        <v>586</v>
      </c>
      <c r="T3998" t="s">
        <v>587</v>
      </c>
    </row>
    <row r="3999" spans="1:20" x14ac:dyDescent="0.25">
      <c r="A3999" t="s">
        <v>59</v>
      </c>
      <c r="B3999" t="s">
        <v>60</v>
      </c>
      <c r="C3999" t="s">
        <v>32</v>
      </c>
      <c r="D3999" t="s">
        <v>584</v>
      </c>
      <c r="E3999" t="s">
        <v>621</v>
      </c>
      <c r="F3999" t="s">
        <v>35</v>
      </c>
      <c r="G3999" t="s">
        <v>35</v>
      </c>
      <c r="H3999" t="s">
        <v>35</v>
      </c>
      <c r="J3999" t="s">
        <v>4954</v>
      </c>
      <c r="K3999" t="s">
        <v>1092</v>
      </c>
      <c r="M3999">
        <v>0.25</v>
      </c>
      <c r="N3999">
        <v>848</v>
      </c>
      <c r="O3999" t="s">
        <v>575</v>
      </c>
      <c r="Q3999" t="s">
        <v>4957</v>
      </c>
      <c r="R3999" t="s">
        <v>4545</v>
      </c>
      <c r="S3999" t="s">
        <v>586</v>
      </c>
      <c r="T3999" t="s">
        <v>587</v>
      </c>
    </row>
    <row r="4000" spans="1:20" x14ac:dyDescent="0.25">
      <c r="A4000" t="s">
        <v>59</v>
      </c>
      <c r="B4000" t="s">
        <v>60</v>
      </c>
      <c r="C4000" t="s">
        <v>32</v>
      </c>
      <c r="D4000" t="s">
        <v>584</v>
      </c>
      <c r="E4000" t="s">
        <v>621</v>
      </c>
      <c r="F4000" t="s">
        <v>35</v>
      </c>
      <c r="G4000" t="s">
        <v>35</v>
      </c>
      <c r="H4000" t="s">
        <v>35</v>
      </c>
      <c r="J4000" t="s">
        <v>4963</v>
      </c>
      <c r="K4000" t="s">
        <v>1092</v>
      </c>
      <c r="M4000">
        <v>0.25</v>
      </c>
      <c r="N4000">
        <v>50</v>
      </c>
      <c r="O4000" t="s">
        <v>52</v>
      </c>
      <c r="Q4000" t="s">
        <v>665</v>
      </c>
      <c r="R4000" t="s">
        <v>4545</v>
      </c>
      <c r="S4000" t="s">
        <v>586</v>
      </c>
      <c r="T4000" t="s">
        <v>587</v>
      </c>
    </row>
    <row r="4001" spans="1:20" x14ac:dyDescent="0.25">
      <c r="A4001" t="s">
        <v>59</v>
      </c>
      <c r="B4001" t="s">
        <v>60</v>
      </c>
      <c r="C4001" t="s">
        <v>32</v>
      </c>
      <c r="D4001" t="s">
        <v>584</v>
      </c>
      <c r="E4001" t="s">
        <v>621</v>
      </c>
      <c r="F4001" t="s">
        <v>35</v>
      </c>
      <c r="G4001" t="s">
        <v>35</v>
      </c>
      <c r="H4001" t="s">
        <v>35</v>
      </c>
      <c r="J4001" t="s">
        <v>4833</v>
      </c>
      <c r="K4001" t="s">
        <v>1092</v>
      </c>
      <c r="M4001">
        <v>0.25</v>
      </c>
      <c r="N4001">
        <v>37</v>
      </c>
      <c r="O4001" t="s">
        <v>52</v>
      </c>
      <c r="Q4001" t="s">
        <v>192</v>
      </c>
      <c r="R4001" t="s">
        <v>4545</v>
      </c>
      <c r="S4001" t="s">
        <v>586</v>
      </c>
      <c r="T4001" t="s">
        <v>587</v>
      </c>
    </row>
    <row r="4002" spans="1:20" x14ac:dyDescent="0.25">
      <c r="A4002" t="s">
        <v>59</v>
      </c>
      <c r="B4002" t="s">
        <v>60</v>
      </c>
      <c r="C4002" t="s">
        <v>32</v>
      </c>
      <c r="D4002" t="s">
        <v>584</v>
      </c>
      <c r="E4002" t="s">
        <v>621</v>
      </c>
      <c r="F4002" t="s">
        <v>35</v>
      </c>
      <c r="G4002" t="s">
        <v>35</v>
      </c>
      <c r="H4002" t="s">
        <v>35</v>
      </c>
      <c r="J4002" t="s">
        <v>4833</v>
      </c>
      <c r="K4002" t="s">
        <v>1092</v>
      </c>
      <c r="M4002">
        <v>0.25</v>
      </c>
      <c r="N4002">
        <v>44</v>
      </c>
      <c r="O4002" t="s">
        <v>52</v>
      </c>
      <c r="Q4002" t="s">
        <v>54</v>
      </c>
      <c r="R4002" t="s">
        <v>4545</v>
      </c>
      <c r="S4002" t="s">
        <v>586</v>
      </c>
      <c r="T4002" t="s">
        <v>587</v>
      </c>
    </row>
    <row r="4003" spans="1:20" x14ac:dyDescent="0.25">
      <c r="A4003" t="s">
        <v>59</v>
      </c>
      <c r="B4003" t="s">
        <v>60</v>
      </c>
      <c r="C4003" t="s">
        <v>32</v>
      </c>
      <c r="D4003" t="s">
        <v>584</v>
      </c>
      <c r="E4003" t="s">
        <v>621</v>
      </c>
      <c r="F4003" t="s">
        <v>35</v>
      </c>
      <c r="G4003" t="s">
        <v>35</v>
      </c>
      <c r="H4003" t="s">
        <v>35</v>
      </c>
      <c r="J4003" t="s">
        <v>4809</v>
      </c>
      <c r="K4003" t="s">
        <v>1092</v>
      </c>
      <c r="M4003">
        <v>0.9</v>
      </c>
      <c r="N4003">
        <v>75</v>
      </c>
      <c r="O4003" t="s">
        <v>61</v>
      </c>
      <c r="Q4003" t="s">
        <v>447</v>
      </c>
      <c r="R4003" t="s">
        <v>4545</v>
      </c>
      <c r="S4003" t="s">
        <v>586</v>
      </c>
      <c r="T4003" t="s">
        <v>587</v>
      </c>
    </row>
    <row r="4004" spans="1:20" x14ac:dyDescent="0.25">
      <c r="A4004" t="s">
        <v>59</v>
      </c>
      <c r="B4004" t="s">
        <v>60</v>
      </c>
      <c r="C4004" t="s">
        <v>32</v>
      </c>
      <c r="D4004" t="s">
        <v>584</v>
      </c>
      <c r="E4004" t="s">
        <v>621</v>
      </c>
      <c r="F4004" t="s">
        <v>35</v>
      </c>
      <c r="G4004" t="s">
        <v>35</v>
      </c>
      <c r="H4004" t="s">
        <v>35</v>
      </c>
      <c r="J4004" t="s">
        <v>4809</v>
      </c>
      <c r="K4004" t="s">
        <v>1092</v>
      </c>
      <c r="M4004">
        <v>0.75</v>
      </c>
      <c r="N4004">
        <v>39</v>
      </c>
      <c r="O4004" t="s">
        <v>52</v>
      </c>
      <c r="Q4004" t="s">
        <v>493</v>
      </c>
      <c r="R4004" t="s">
        <v>4545</v>
      </c>
      <c r="S4004" t="s">
        <v>586</v>
      </c>
      <c r="T4004" t="s">
        <v>587</v>
      </c>
    </row>
    <row r="4005" spans="1:20" x14ac:dyDescent="0.25">
      <c r="A4005" t="s">
        <v>59</v>
      </c>
      <c r="B4005" t="s">
        <v>31</v>
      </c>
      <c r="C4005" t="s">
        <v>32</v>
      </c>
      <c r="D4005" t="s">
        <v>584</v>
      </c>
      <c r="E4005" t="s">
        <v>585</v>
      </c>
      <c r="F4005" t="s">
        <v>35</v>
      </c>
      <c r="G4005" t="s">
        <v>35</v>
      </c>
      <c r="H4005" t="s">
        <v>35</v>
      </c>
      <c r="J4005" t="s">
        <v>4547</v>
      </c>
      <c r="K4005" t="s">
        <v>1092</v>
      </c>
      <c r="M4005">
        <v>2.25</v>
      </c>
      <c r="N4005">
        <v>65</v>
      </c>
      <c r="O4005" t="s">
        <v>61</v>
      </c>
      <c r="Q4005" t="s">
        <v>63</v>
      </c>
      <c r="R4005" t="s">
        <v>4545</v>
      </c>
      <c r="S4005" t="s">
        <v>586</v>
      </c>
      <c r="T4005" t="s">
        <v>587</v>
      </c>
    </row>
    <row r="4006" spans="1:20" x14ac:dyDescent="0.25">
      <c r="A4006" t="s">
        <v>44</v>
      </c>
      <c r="B4006" t="s">
        <v>51</v>
      </c>
      <c r="C4006" t="s">
        <v>32</v>
      </c>
      <c r="D4006" t="s">
        <v>584</v>
      </c>
      <c r="E4006" t="s">
        <v>585</v>
      </c>
      <c r="F4006" t="s">
        <v>35</v>
      </c>
      <c r="G4006" t="s">
        <v>35</v>
      </c>
      <c r="H4006" t="s">
        <v>35</v>
      </c>
      <c r="J4006" t="s">
        <v>4547</v>
      </c>
      <c r="K4006" t="s">
        <v>1092</v>
      </c>
      <c r="M4006">
        <v>0.25</v>
      </c>
      <c r="N4006">
        <v>65</v>
      </c>
      <c r="O4006" t="s">
        <v>61</v>
      </c>
      <c r="Q4006" t="s">
        <v>63</v>
      </c>
      <c r="R4006" t="s">
        <v>4545</v>
      </c>
      <c r="S4006" t="s">
        <v>586</v>
      </c>
      <c r="T4006" t="s">
        <v>587</v>
      </c>
    </row>
    <row r="4007" spans="1:20" x14ac:dyDescent="0.25">
      <c r="A4007" t="s">
        <v>44</v>
      </c>
      <c r="B4007" t="s">
        <v>51</v>
      </c>
      <c r="C4007" t="s">
        <v>32</v>
      </c>
      <c r="D4007" t="s">
        <v>584</v>
      </c>
      <c r="E4007" t="s">
        <v>585</v>
      </c>
      <c r="F4007" t="s">
        <v>35</v>
      </c>
      <c r="G4007" t="s">
        <v>35</v>
      </c>
      <c r="H4007" t="s">
        <v>35</v>
      </c>
      <c r="J4007" t="s">
        <v>4547</v>
      </c>
      <c r="K4007" t="s">
        <v>1092</v>
      </c>
      <c r="M4007">
        <v>0.25</v>
      </c>
      <c r="N4007">
        <v>69</v>
      </c>
      <c r="O4007" t="s">
        <v>61</v>
      </c>
      <c r="Q4007" t="s">
        <v>234</v>
      </c>
      <c r="R4007" t="s">
        <v>4545</v>
      </c>
      <c r="S4007" t="s">
        <v>586</v>
      </c>
      <c r="T4007" t="s">
        <v>587</v>
      </c>
    </row>
    <row r="4008" spans="1:20" x14ac:dyDescent="0.25">
      <c r="A4008" t="s">
        <v>44</v>
      </c>
      <c r="B4008" t="s">
        <v>51</v>
      </c>
      <c r="C4008" t="s">
        <v>32</v>
      </c>
      <c r="D4008" t="s">
        <v>584</v>
      </c>
      <c r="E4008" t="s">
        <v>621</v>
      </c>
      <c r="F4008" t="s">
        <v>35</v>
      </c>
      <c r="G4008" t="s">
        <v>35</v>
      </c>
      <c r="H4008" t="s">
        <v>35</v>
      </c>
      <c r="J4008" t="s">
        <v>4958</v>
      </c>
      <c r="K4008" t="s">
        <v>1092</v>
      </c>
      <c r="M4008">
        <v>0.25</v>
      </c>
      <c r="N4008">
        <v>50</v>
      </c>
      <c r="O4008" t="s">
        <v>52</v>
      </c>
      <c r="Q4008" t="s">
        <v>665</v>
      </c>
      <c r="R4008" t="s">
        <v>4545</v>
      </c>
      <c r="S4008" t="s">
        <v>586</v>
      </c>
      <c r="T4008" t="s">
        <v>587</v>
      </c>
    </row>
    <row r="4009" spans="1:20" x14ac:dyDescent="0.25">
      <c r="A4009" t="s">
        <v>59</v>
      </c>
      <c r="B4009" t="s">
        <v>60</v>
      </c>
      <c r="C4009" t="s">
        <v>32</v>
      </c>
      <c r="D4009" t="s">
        <v>584</v>
      </c>
      <c r="E4009" t="s">
        <v>621</v>
      </c>
      <c r="F4009" t="s">
        <v>35</v>
      </c>
      <c r="G4009" t="s">
        <v>35</v>
      </c>
      <c r="H4009" t="s">
        <v>35</v>
      </c>
      <c r="J4009" t="s">
        <v>4946</v>
      </c>
      <c r="K4009" t="s">
        <v>1092</v>
      </c>
      <c r="M4009">
        <v>0.25</v>
      </c>
      <c r="N4009">
        <v>298</v>
      </c>
      <c r="O4009" t="s">
        <v>5</v>
      </c>
      <c r="Q4009" t="s">
        <v>4947</v>
      </c>
      <c r="R4009" t="s">
        <v>4545</v>
      </c>
      <c r="S4009" t="s">
        <v>586</v>
      </c>
      <c r="T4009" t="s">
        <v>587</v>
      </c>
    </row>
    <row r="4010" spans="1:20" x14ac:dyDescent="0.25">
      <c r="A4010" t="s">
        <v>59</v>
      </c>
      <c r="B4010" t="s">
        <v>60</v>
      </c>
      <c r="C4010" t="s">
        <v>32</v>
      </c>
      <c r="D4010" t="s">
        <v>584</v>
      </c>
      <c r="E4010" t="s">
        <v>585</v>
      </c>
      <c r="F4010" t="s">
        <v>35</v>
      </c>
      <c r="G4010" t="s">
        <v>35</v>
      </c>
      <c r="H4010" t="s">
        <v>35</v>
      </c>
      <c r="J4010" t="s">
        <v>4577</v>
      </c>
      <c r="K4010" t="s">
        <v>1092</v>
      </c>
      <c r="M4010">
        <v>0.1</v>
      </c>
      <c r="N4010">
        <v>78</v>
      </c>
      <c r="O4010" t="s">
        <v>61</v>
      </c>
      <c r="Q4010" t="s">
        <v>1202</v>
      </c>
      <c r="R4010" t="s">
        <v>4545</v>
      </c>
      <c r="S4010" t="s">
        <v>586</v>
      </c>
      <c r="T4010" t="s">
        <v>587</v>
      </c>
    </row>
    <row r="4011" spans="1:20" x14ac:dyDescent="0.25">
      <c r="A4011" t="s">
        <v>44</v>
      </c>
      <c r="B4011" t="s">
        <v>3</v>
      </c>
      <c r="C4011" t="s">
        <v>32</v>
      </c>
      <c r="D4011" t="s">
        <v>584</v>
      </c>
      <c r="E4011" t="s">
        <v>4441</v>
      </c>
      <c r="F4011" t="s">
        <v>35</v>
      </c>
      <c r="G4011" t="s">
        <v>35</v>
      </c>
      <c r="H4011" t="s">
        <v>35</v>
      </c>
      <c r="J4011" t="s">
        <v>4462</v>
      </c>
      <c r="K4011" t="s">
        <v>1092</v>
      </c>
      <c r="M4011">
        <v>1</v>
      </c>
      <c r="N4011">
        <v>283</v>
      </c>
      <c r="O4011" t="s">
        <v>5</v>
      </c>
      <c r="Q4011" t="s">
        <v>4463</v>
      </c>
      <c r="R4011" t="s">
        <v>4464</v>
      </c>
      <c r="S4011" t="s">
        <v>4465</v>
      </c>
      <c r="T4011" t="s">
        <v>4466</v>
      </c>
    </row>
    <row r="4012" spans="1:20" x14ac:dyDescent="0.25">
      <c r="A4012" t="s">
        <v>44</v>
      </c>
      <c r="B4012" t="s">
        <v>51</v>
      </c>
      <c r="C4012" t="s">
        <v>32</v>
      </c>
      <c r="D4012" t="s">
        <v>584</v>
      </c>
      <c r="E4012" t="s">
        <v>4514</v>
      </c>
      <c r="F4012" t="s">
        <v>35</v>
      </c>
      <c r="G4012" t="s">
        <v>35</v>
      </c>
      <c r="H4012" t="s">
        <v>35</v>
      </c>
      <c r="J4012" t="s">
        <v>4515</v>
      </c>
      <c r="K4012" t="s">
        <v>1092</v>
      </c>
      <c r="M4012">
        <v>5.75</v>
      </c>
      <c r="N4012">
        <v>46</v>
      </c>
      <c r="O4012" t="s">
        <v>52</v>
      </c>
      <c r="Q4012" t="s">
        <v>332</v>
      </c>
      <c r="R4012" t="s">
        <v>4517</v>
      </c>
      <c r="S4012" t="s">
        <v>4515</v>
      </c>
      <c r="T4012" t="s">
        <v>4516</v>
      </c>
    </row>
    <row r="4013" spans="1:20" x14ac:dyDescent="0.25">
      <c r="A4013" t="s">
        <v>44</v>
      </c>
      <c r="B4013" t="s">
        <v>51</v>
      </c>
      <c r="C4013" t="s">
        <v>32</v>
      </c>
      <c r="D4013" t="s">
        <v>584</v>
      </c>
      <c r="E4013" t="s">
        <v>4514</v>
      </c>
      <c r="F4013" t="s">
        <v>35</v>
      </c>
      <c r="G4013" t="s">
        <v>35</v>
      </c>
      <c r="H4013" t="s">
        <v>35</v>
      </c>
      <c r="J4013" t="s">
        <v>4519</v>
      </c>
      <c r="K4013" t="s">
        <v>1092</v>
      </c>
      <c r="M4013">
        <v>4.25</v>
      </c>
      <c r="N4013">
        <v>46</v>
      </c>
      <c r="O4013" t="s">
        <v>52</v>
      </c>
      <c r="Q4013" t="s">
        <v>332</v>
      </c>
      <c r="R4013" t="s">
        <v>4517</v>
      </c>
      <c r="S4013" t="s">
        <v>4515</v>
      </c>
      <c r="T4013" t="s">
        <v>4516</v>
      </c>
    </row>
    <row r="4014" spans="1:20" x14ac:dyDescent="0.25">
      <c r="A4014" t="s">
        <v>44</v>
      </c>
      <c r="B4014" t="s">
        <v>3</v>
      </c>
      <c r="C4014" t="s">
        <v>32</v>
      </c>
      <c r="D4014" t="s">
        <v>584</v>
      </c>
      <c r="E4014" t="s">
        <v>592</v>
      </c>
      <c r="F4014" t="s">
        <v>35</v>
      </c>
      <c r="G4014" t="s">
        <v>35</v>
      </c>
      <c r="H4014" t="s">
        <v>35</v>
      </c>
      <c r="J4014" t="s">
        <v>4615</v>
      </c>
      <c r="K4014" t="s">
        <v>1092</v>
      </c>
      <c r="M4014">
        <v>9.75</v>
      </c>
      <c r="N4014">
        <v>443</v>
      </c>
      <c r="O4014" t="s">
        <v>294</v>
      </c>
      <c r="Q4014" t="s">
        <v>4616</v>
      </c>
      <c r="R4014" t="s">
        <v>4604</v>
      </c>
      <c r="S4014" t="s">
        <v>4605</v>
      </c>
      <c r="T4014" t="s">
        <v>4606</v>
      </c>
    </row>
    <row r="4015" spans="1:20" x14ac:dyDescent="0.25">
      <c r="A4015" t="s">
        <v>44</v>
      </c>
      <c r="B4015" t="s">
        <v>3</v>
      </c>
      <c r="C4015" t="s">
        <v>32</v>
      </c>
      <c r="D4015" t="s">
        <v>584</v>
      </c>
      <c r="E4015" t="s">
        <v>592</v>
      </c>
      <c r="F4015" t="s">
        <v>35</v>
      </c>
      <c r="G4015" t="s">
        <v>35</v>
      </c>
      <c r="H4015" t="s">
        <v>35</v>
      </c>
      <c r="J4015" t="s">
        <v>4602</v>
      </c>
      <c r="K4015" t="s">
        <v>1092</v>
      </c>
      <c r="M4015">
        <v>4.25</v>
      </c>
      <c r="N4015">
        <v>565</v>
      </c>
      <c r="O4015" t="s">
        <v>575</v>
      </c>
      <c r="Q4015" t="s">
        <v>4603</v>
      </c>
      <c r="R4015" t="s">
        <v>4604</v>
      </c>
      <c r="S4015" t="s">
        <v>4605</v>
      </c>
      <c r="T4015" t="s">
        <v>4606</v>
      </c>
    </row>
    <row r="4016" spans="1:20" x14ac:dyDescent="0.25">
      <c r="A4016" t="s">
        <v>59</v>
      </c>
      <c r="B4016" t="s">
        <v>60</v>
      </c>
      <c r="C4016" t="s">
        <v>32</v>
      </c>
      <c r="D4016" t="s">
        <v>584</v>
      </c>
      <c r="E4016" t="s">
        <v>621</v>
      </c>
      <c r="F4016" t="s">
        <v>35</v>
      </c>
      <c r="G4016" t="s">
        <v>35</v>
      </c>
      <c r="H4016" t="s">
        <v>35</v>
      </c>
      <c r="J4016" t="s">
        <v>4878</v>
      </c>
      <c r="K4016" t="s">
        <v>1092</v>
      </c>
      <c r="M4016">
        <v>0.05</v>
      </c>
      <c r="N4016">
        <v>1964</v>
      </c>
      <c r="O4016" t="s">
        <v>575</v>
      </c>
      <c r="Q4016" t="s">
        <v>2656</v>
      </c>
      <c r="R4016" t="s">
        <v>4879</v>
      </c>
      <c r="S4016" t="s">
        <v>4880</v>
      </c>
      <c r="T4016" t="s">
        <v>525</v>
      </c>
    </row>
    <row r="4017" spans="1:20" x14ac:dyDescent="0.25">
      <c r="A4017" t="s">
        <v>44</v>
      </c>
      <c r="B4017" t="s">
        <v>3</v>
      </c>
      <c r="C4017" t="s">
        <v>32</v>
      </c>
      <c r="D4017" t="s">
        <v>584</v>
      </c>
      <c r="E4017" t="s">
        <v>621</v>
      </c>
      <c r="F4017" t="s">
        <v>35</v>
      </c>
      <c r="G4017" t="s">
        <v>35</v>
      </c>
      <c r="H4017" t="s">
        <v>35</v>
      </c>
      <c r="J4017" t="s">
        <v>4861</v>
      </c>
      <c r="K4017" t="s">
        <v>1092</v>
      </c>
      <c r="M4017">
        <v>5.5</v>
      </c>
      <c r="N4017">
        <v>490</v>
      </c>
      <c r="O4017" t="s">
        <v>294</v>
      </c>
      <c r="Q4017" t="s">
        <v>3653</v>
      </c>
      <c r="R4017" t="s">
        <v>4862</v>
      </c>
      <c r="S4017" t="s">
        <v>4863</v>
      </c>
      <c r="T4017" t="s">
        <v>4864</v>
      </c>
    </row>
    <row r="4018" spans="1:20" x14ac:dyDescent="0.25">
      <c r="A4018" t="s">
        <v>30</v>
      </c>
      <c r="B4018" t="s">
        <v>31</v>
      </c>
      <c r="C4018" t="s">
        <v>32</v>
      </c>
      <c r="D4018" t="s">
        <v>584</v>
      </c>
      <c r="E4018" t="s">
        <v>4486</v>
      </c>
      <c r="F4018" t="s">
        <v>35</v>
      </c>
      <c r="G4018" t="s">
        <v>35</v>
      </c>
      <c r="H4018" t="s">
        <v>35</v>
      </c>
      <c r="J4018" t="s">
        <v>4497</v>
      </c>
      <c r="K4018" t="s">
        <v>1092</v>
      </c>
      <c r="M4018">
        <v>10.26</v>
      </c>
      <c r="N4018">
        <v>126</v>
      </c>
      <c r="O4018" t="s">
        <v>38</v>
      </c>
      <c r="Q4018" t="s">
        <v>68</v>
      </c>
      <c r="R4018" t="s">
        <v>610</v>
      </c>
      <c r="S4018" t="s">
        <v>539</v>
      </c>
      <c r="T4018" t="s">
        <v>611</v>
      </c>
    </row>
    <row r="4019" spans="1:20" x14ac:dyDescent="0.25">
      <c r="A4019" t="s">
        <v>59</v>
      </c>
      <c r="B4019" t="s">
        <v>31</v>
      </c>
      <c r="C4019" t="s">
        <v>32</v>
      </c>
      <c r="D4019" t="s">
        <v>584</v>
      </c>
      <c r="E4019" t="s">
        <v>599</v>
      </c>
      <c r="F4019" t="s">
        <v>35</v>
      </c>
      <c r="G4019" t="s">
        <v>35</v>
      </c>
      <c r="H4019" t="s">
        <v>35</v>
      </c>
      <c r="J4019" t="s">
        <v>4706</v>
      </c>
      <c r="K4019" t="s">
        <v>1092</v>
      </c>
      <c r="M4019">
        <v>0.99</v>
      </c>
      <c r="N4019">
        <v>560</v>
      </c>
      <c r="O4019" t="s">
        <v>575</v>
      </c>
      <c r="Q4019" t="s">
        <v>4707</v>
      </c>
      <c r="R4019" t="s">
        <v>610</v>
      </c>
      <c r="S4019" t="s">
        <v>539</v>
      </c>
      <c r="T4019" t="s">
        <v>611</v>
      </c>
    </row>
    <row r="4020" spans="1:20" x14ac:dyDescent="0.25">
      <c r="A4020" t="s">
        <v>30</v>
      </c>
      <c r="B4020" t="s">
        <v>31</v>
      </c>
      <c r="C4020" t="s">
        <v>32</v>
      </c>
      <c r="D4020" t="s">
        <v>584</v>
      </c>
      <c r="E4020" t="s">
        <v>599</v>
      </c>
      <c r="F4020" t="s">
        <v>35</v>
      </c>
      <c r="G4020" t="s">
        <v>35</v>
      </c>
      <c r="H4020" t="s">
        <v>35</v>
      </c>
      <c r="J4020" t="s">
        <v>4706</v>
      </c>
      <c r="K4020" t="s">
        <v>1092</v>
      </c>
      <c r="M4020">
        <v>5.49</v>
      </c>
      <c r="N4020">
        <v>87</v>
      </c>
      <c r="O4020" t="s">
        <v>61</v>
      </c>
      <c r="Q4020" t="s">
        <v>394</v>
      </c>
      <c r="R4020" t="s">
        <v>610</v>
      </c>
      <c r="S4020" t="s">
        <v>539</v>
      </c>
      <c r="T4020" t="s">
        <v>611</v>
      </c>
    </row>
    <row r="4021" spans="1:20" x14ac:dyDescent="0.25">
      <c r="A4021" t="s">
        <v>30</v>
      </c>
      <c r="B4021" t="s">
        <v>31</v>
      </c>
      <c r="C4021" t="s">
        <v>32</v>
      </c>
      <c r="D4021" t="s">
        <v>584</v>
      </c>
      <c r="E4021" t="s">
        <v>599</v>
      </c>
      <c r="F4021" t="s">
        <v>35</v>
      </c>
      <c r="G4021" t="s">
        <v>35</v>
      </c>
      <c r="H4021" t="s">
        <v>35</v>
      </c>
      <c r="J4021" t="s">
        <v>4666</v>
      </c>
      <c r="K4021" t="s">
        <v>1092</v>
      </c>
      <c r="M4021">
        <v>0.18</v>
      </c>
      <c r="N4021">
        <v>144</v>
      </c>
      <c r="O4021" t="s">
        <v>38</v>
      </c>
      <c r="Q4021" t="s">
        <v>1269</v>
      </c>
      <c r="R4021" t="s">
        <v>610</v>
      </c>
      <c r="S4021" t="s">
        <v>539</v>
      </c>
      <c r="T4021" t="s">
        <v>611</v>
      </c>
    </row>
    <row r="4022" spans="1:20" x14ac:dyDescent="0.25">
      <c r="A4022" t="s">
        <v>30</v>
      </c>
      <c r="B4022" t="s">
        <v>31</v>
      </c>
      <c r="C4022" t="s">
        <v>32</v>
      </c>
      <c r="D4022" t="s">
        <v>584</v>
      </c>
      <c r="E4022" t="s">
        <v>4514</v>
      </c>
      <c r="F4022" t="s">
        <v>35</v>
      </c>
      <c r="G4022" t="s">
        <v>35</v>
      </c>
      <c r="H4022" t="s">
        <v>35</v>
      </c>
      <c r="J4022" t="s">
        <v>4518</v>
      </c>
      <c r="K4022" t="s">
        <v>1092</v>
      </c>
      <c r="M4022">
        <v>4.2750000000000004</v>
      </c>
      <c r="N4022">
        <v>64</v>
      </c>
      <c r="O4022" t="s">
        <v>61</v>
      </c>
      <c r="Q4022" t="s">
        <v>102</v>
      </c>
      <c r="R4022" t="s">
        <v>610</v>
      </c>
      <c r="S4022" t="s">
        <v>539</v>
      </c>
      <c r="T4022" t="s">
        <v>611</v>
      </c>
    </row>
    <row r="4023" spans="1:20" x14ac:dyDescent="0.25">
      <c r="A4023" t="s">
        <v>30</v>
      </c>
      <c r="B4023" t="s">
        <v>31</v>
      </c>
      <c r="C4023" t="s">
        <v>32</v>
      </c>
      <c r="D4023" t="s">
        <v>584</v>
      </c>
      <c r="E4023" t="s">
        <v>4514</v>
      </c>
      <c r="F4023" t="s">
        <v>35</v>
      </c>
      <c r="G4023" t="s">
        <v>35</v>
      </c>
      <c r="H4023" t="s">
        <v>35</v>
      </c>
      <c r="J4023" t="s">
        <v>4518</v>
      </c>
      <c r="K4023" t="s">
        <v>1092</v>
      </c>
      <c r="M4023">
        <v>22.05</v>
      </c>
      <c r="N4023">
        <v>61</v>
      </c>
      <c r="O4023" t="s">
        <v>61</v>
      </c>
      <c r="Q4023" t="s">
        <v>146</v>
      </c>
      <c r="R4023" t="s">
        <v>610</v>
      </c>
      <c r="S4023" t="s">
        <v>539</v>
      </c>
      <c r="T4023" t="s">
        <v>611</v>
      </c>
    </row>
    <row r="4024" spans="1:20" x14ac:dyDescent="0.25">
      <c r="A4024" t="s">
        <v>30</v>
      </c>
      <c r="B4024" t="s">
        <v>31</v>
      </c>
      <c r="C4024" t="s">
        <v>32</v>
      </c>
      <c r="D4024" t="s">
        <v>584</v>
      </c>
      <c r="E4024" t="s">
        <v>599</v>
      </c>
      <c r="F4024" t="s">
        <v>35</v>
      </c>
      <c r="G4024" t="s">
        <v>35</v>
      </c>
      <c r="H4024" t="s">
        <v>35</v>
      </c>
      <c r="J4024" t="s">
        <v>4726</v>
      </c>
      <c r="K4024" t="s">
        <v>1092</v>
      </c>
      <c r="M4024">
        <v>0.495</v>
      </c>
      <c r="N4024">
        <v>87</v>
      </c>
      <c r="O4024" t="s">
        <v>61</v>
      </c>
      <c r="Q4024" t="s">
        <v>394</v>
      </c>
      <c r="R4024" t="s">
        <v>610</v>
      </c>
      <c r="S4024" t="s">
        <v>539</v>
      </c>
      <c r="T4024" t="s">
        <v>611</v>
      </c>
    </row>
    <row r="4025" spans="1:20" x14ac:dyDescent="0.25">
      <c r="A4025" t="s">
        <v>59</v>
      </c>
      <c r="B4025" t="s">
        <v>31</v>
      </c>
      <c r="C4025" t="s">
        <v>32</v>
      </c>
      <c r="D4025" t="s">
        <v>584</v>
      </c>
      <c r="E4025" t="s">
        <v>599</v>
      </c>
      <c r="F4025" t="s">
        <v>35</v>
      </c>
      <c r="G4025" t="s">
        <v>35</v>
      </c>
      <c r="H4025" t="s">
        <v>35</v>
      </c>
      <c r="J4025" t="s">
        <v>4700</v>
      </c>
      <c r="K4025" t="s">
        <v>1092</v>
      </c>
      <c r="M4025">
        <v>5.7149999999999999</v>
      </c>
      <c r="N4025">
        <v>191</v>
      </c>
      <c r="O4025" t="s">
        <v>5</v>
      </c>
      <c r="Q4025" t="s">
        <v>4086</v>
      </c>
      <c r="R4025" t="s">
        <v>610</v>
      </c>
      <c r="S4025" t="s">
        <v>539</v>
      </c>
      <c r="T4025" t="s">
        <v>611</v>
      </c>
    </row>
    <row r="4026" spans="1:20" x14ac:dyDescent="0.25">
      <c r="A4026" t="s">
        <v>59</v>
      </c>
      <c r="B4026" t="s">
        <v>60</v>
      </c>
      <c r="C4026" t="s">
        <v>32</v>
      </c>
      <c r="D4026" t="s">
        <v>584</v>
      </c>
      <c r="E4026" t="s">
        <v>599</v>
      </c>
      <c r="F4026" t="s">
        <v>35</v>
      </c>
      <c r="G4026" t="s">
        <v>35</v>
      </c>
      <c r="H4026" t="s">
        <v>35</v>
      </c>
      <c r="J4026" t="s">
        <v>4700</v>
      </c>
      <c r="K4026" t="s">
        <v>1092</v>
      </c>
      <c r="M4026">
        <v>4.1500000000000004</v>
      </c>
      <c r="N4026">
        <v>191</v>
      </c>
      <c r="O4026" t="s">
        <v>5</v>
      </c>
      <c r="Q4026" t="s">
        <v>4086</v>
      </c>
      <c r="R4026" t="s">
        <v>610</v>
      </c>
      <c r="S4026" t="s">
        <v>539</v>
      </c>
      <c r="T4026" t="s">
        <v>611</v>
      </c>
    </row>
    <row r="4027" spans="1:20" x14ac:dyDescent="0.25">
      <c r="A4027" t="s">
        <v>59</v>
      </c>
      <c r="B4027" t="s">
        <v>31</v>
      </c>
      <c r="C4027" t="s">
        <v>32</v>
      </c>
      <c r="D4027" t="s">
        <v>584</v>
      </c>
      <c r="E4027" t="s">
        <v>599</v>
      </c>
      <c r="F4027" t="s">
        <v>35</v>
      </c>
      <c r="G4027" t="s">
        <v>35</v>
      </c>
      <c r="H4027" t="s">
        <v>35</v>
      </c>
      <c r="J4027" t="s">
        <v>4732</v>
      </c>
      <c r="K4027" t="s">
        <v>1092</v>
      </c>
      <c r="M4027">
        <v>4.4999999999999998E-2</v>
      </c>
      <c r="N4027">
        <v>124</v>
      </c>
      <c r="O4027" t="s">
        <v>38</v>
      </c>
      <c r="Q4027" t="s">
        <v>646</v>
      </c>
      <c r="R4027" t="s">
        <v>610</v>
      </c>
      <c r="S4027" t="s">
        <v>539</v>
      </c>
      <c r="T4027" t="s">
        <v>611</v>
      </c>
    </row>
    <row r="4028" spans="1:20" x14ac:dyDescent="0.25">
      <c r="A4028" t="s">
        <v>30</v>
      </c>
      <c r="B4028" t="s">
        <v>31</v>
      </c>
      <c r="C4028" t="s">
        <v>32</v>
      </c>
      <c r="D4028" t="s">
        <v>584</v>
      </c>
      <c r="E4028" t="s">
        <v>4733</v>
      </c>
      <c r="F4028" t="s">
        <v>35</v>
      </c>
      <c r="G4028" t="s">
        <v>35</v>
      </c>
      <c r="H4028" t="s">
        <v>35</v>
      </c>
      <c r="J4028" t="s">
        <v>4767</v>
      </c>
      <c r="K4028" t="s">
        <v>1092</v>
      </c>
      <c r="M4028">
        <v>9.6300000000000008</v>
      </c>
      <c r="N4028">
        <v>42</v>
      </c>
      <c r="O4028" t="s">
        <v>52</v>
      </c>
      <c r="Q4028" t="s">
        <v>219</v>
      </c>
      <c r="R4028" t="s">
        <v>610</v>
      </c>
      <c r="S4028" t="s">
        <v>539</v>
      </c>
      <c r="T4028" t="s">
        <v>611</v>
      </c>
    </row>
    <row r="4029" spans="1:20" x14ac:dyDescent="0.25">
      <c r="A4029" t="s">
        <v>30</v>
      </c>
      <c r="B4029" t="s">
        <v>31</v>
      </c>
      <c r="C4029" t="s">
        <v>32</v>
      </c>
      <c r="D4029" t="s">
        <v>584</v>
      </c>
      <c r="E4029" t="s">
        <v>599</v>
      </c>
      <c r="F4029" t="s">
        <v>35</v>
      </c>
      <c r="G4029" t="s">
        <v>35</v>
      </c>
      <c r="H4029" t="s">
        <v>35</v>
      </c>
      <c r="J4029" t="s">
        <v>4636</v>
      </c>
      <c r="K4029" t="s">
        <v>1092</v>
      </c>
      <c r="M4029">
        <v>4.32</v>
      </c>
      <c r="N4029">
        <v>42</v>
      </c>
      <c r="O4029" t="s">
        <v>52</v>
      </c>
      <c r="Q4029" t="s">
        <v>219</v>
      </c>
      <c r="R4029" t="s">
        <v>610</v>
      </c>
      <c r="S4029" t="s">
        <v>539</v>
      </c>
      <c r="T4029" t="s">
        <v>611</v>
      </c>
    </row>
    <row r="4030" spans="1:20" x14ac:dyDescent="0.25">
      <c r="A4030" t="s">
        <v>30</v>
      </c>
      <c r="B4030" t="s">
        <v>31</v>
      </c>
      <c r="C4030" t="s">
        <v>32</v>
      </c>
      <c r="D4030" t="s">
        <v>584</v>
      </c>
      <c r="E4030" t="s">
        <v>599</v>
      </c>
      <c r="F4030" t="s">
        <v>35</v>
      </c>
      <c r="G4030" t="s">
        <v>35</v>
      </c>
      <c r="H4030" t="s">
        <v>35</v>
      </c>
      <c r="J4030" t="s">
        <v>4653</v>
      </c>
      <c r="K4030" t="s">
        <v>1092</v>
      </c>
      <c r="M4030">
        <v>3.15</v>
      </c>
      <c r="N4030">
        <v>126</v>
      </c>
      <c r="O4030" t="s">
        <v>38</v>
      </c>
      <c r="Q4030" t="s">
        <v>68</v>
      </c>
      <c r="R4030" t="s">
        <v>610</v>
      </c>
      <c r="S4030" t="s">
        <v>539</v>
      </c>
      <c r="T4030" t="s">
        <v>611</v>
      </c>
    </row>
    <row r="4031" spans="1:20" x14ac:dyDescent="0.25">
      <c r="A4031" t="s">
        <v>59</v>
      </c>
      <c r="B4031" t="s">
        <v>31</v>
      </c>
      <c r="C4031" t="s">
        <v>32</v>
      </c>
      <c r="D4031" t="s">
        <v>584</v>
      </c>
      <c r="E4031" t="s">
        <v>599</v>
      </c>
      <c r="F4031" t="s">
        <v>35</v>
      </c>
      <c r="G4031" t="s">
        <v>35</v>
      </c>
      <c r="H4031" t="s">
        <v>35</v>
      </c>
      <c r="J4031" t="s">
        <v>3508</v>
      </c>
      <c r="K4031" t="s">
        <v>1092</v>
      </c>
      <c r="M4031">
        <v>1.3049999999999999</v>
      </c>
      <c r="N4031">
        <v>278</v>
      </c>
      <c r="O4031" t="s">
        <v>5</v>
      </c>
      <c r="Q4031" t="s">
        <v>1687</v>
      </c>
      <c r="R4031" t="s">
        <v>610</v>
      </c>
      <c r="S4031" t="s">
        <v>539</v>
      </c>
      <c r="T4031" t="s">
        <v>611</v>
      </c>
    </row>
    <row r="4032" spans="1:20" x14ac:dyDescent="0.25">
      <c r="A4032" t="s">
        <v>59</v>
      </c>
      <c r="B4032" t="s">
        <v>31</v>
      </c>
      <c r="C4032" t="s">
        <v>32</v>
      </c>
      <c r="D4032" t="s">
        <v>584</v>
      </c>
      <c r="E4032" t="s">
        <v>585</v>
      </c>
      <c r="F4032" t="s">
        <v>35</v>
      </c>
      <c r="G4032" t="s">
        <v>35</v>
      </c>
      <c r="H4032" t="s">
        <v>35</v>
      </c>
      <c r="J4032" t="s">
        <v>4589</v>
      </c>
      <c r="K4032" t="s">
        <v>1092</v>
      </c>
      <c r="M4032">
        <v>0.36</v>
      </c>
      <c r="N4032">
        <v>124</v>
      </c>
      <c r="O4032" t="s">
        <v>38</v>
      </c>
      <c r="Q4032" t="s">
        <v>646</v>
      </c>
      <c r="R4032" t="s">
        <v>610</v>
      </c>
      <c r="S4032" t="s">
        <v>539</v>
      </c>
      <c r="T4032" t="s">
        <v>611</v>
      </c>
    </row>
    <row r="4033" spans="1:20" x14ac:dyDescent="0.25">
      <c r="A4033" t="s">
        <v>30</v>
      </c>
      <c r="B4033" t="s">
        <v>31</v>
      </c>
      <c r="C4033" t="s">
        <v>32</v>
      </c>
      <c r="D4033" t="s">
        <v>584</v>
      </c>
      <c r="E4033" t="s">
        <v>585</v>
      </c>
      <c r="F4033" t="s">
        <v>35</v>
      </c>
      <c r="G4033" t="s">
        <v>35</v>
      </c>
      <c r="H4033" t="s">
        <v>35</v>
      </c>
      <c r="J4033" t="s">
        <v>4589</v>
      </c>
      <c r="K4033" t="s">
        <v>1092</v>
      </c>
      <c r="M4033">
        <v>1.9350000000000001</v>
      </c>
      <c r="N4033">
        <v>87</v>
      </c>
      <c r="O4033" t="s">
        <v>61</v>
      </c>
      <c r="Q4033" t="s">
        <v>394</v>
      </c>
      <c r="R4033" t="s">
        <v>610</v>
      </c>
      <c r="S4033" t="s">
        <v>539</v>
      </c>
      <c r="T4033" t="s">
        <v>611</v>
      </c>
    </row>
    <row r="4034" spans="1:20" x14ac:dyDescent="0.25">
      <c r="A4034" t="s">
        <v>59</v>
      </c>
      <c r="B4034" t="s">
        <v>60</v>
      </c>
      <c r="C4034" t="s">
        <v>32</v>
      </c>
      <c r="D4034" t="s">
        <v>584</v>
      </c>
      <c r="E4034" t="s">
        <v>585</v>
      </c>
      <c r="F4034" t="s">
        <v>35</v>
      </c>
      <c r="G4034" t="s">
        <v>35</v>
      </c>
      <c r="H4034" t="s">
        <v>35</v>
      </c>
      <c r="J4034" t="s">
        <v>4585</v>
      </c>
      <c r="K4034" t="s">
        <v>1092</v>
      </c>
      <c r="M4034">
        <v>1.1000000000000001</v>
      </c>
      <c r="N4034">
        <v>263</v>
      </c>
      <c r="O4034" t="s">
        <v>5</v>
      </c>
      <c r="Q4034" t="s">
        <v>2486</v>
      </c>
      <c r="R4034" t="s">
        <v>610</v>
      </c>
      <c r="S4034" t="s">
        <v>539</v>
      </c>
      <c r="T4034" t="s">
        <v>611</v>
      </c>
    </row>
    <row r="4035" spans="1:20" x14ac:dyDescent="0.25">
      <c r="A4035" t="s">
        <v>30</v>
      </c>
      <c r="B4035" t="s">
        <v>31</v>
      </c>
      <c r="C4035" t="s">
        <v>32</v>
      </c>
      <c r="D4035" t="s">
        <v>584</v>
      </c>
      <c r="E4035" t="s">
        <v>621</v>
      </c>
      <c r="F4035" t="s">
        <v>35</v>
      </c>
      <c r="G4035" t="s">
        <v>35</v>
      </c>
      <c r="H4035" t="s">
        <v>35</v>
      </c>
      <c r="J4035" t="s">
        <v>4810</v>
      </c>
      <c r="K4035" t="s">
        <v>1092</v>
      </c>
      <c r="M4035">
        <v>3.4649999999999999</v>
      </c>
      <c r="N4035">
        <v>64</v>
      </c>
      <c r="O4035" t="s">
        <v>61</v>
      </c>
      <c r="Q4035" t="s">
        <v>102</v>
      </c>
      <c r="R4035" t="s">
        <v>610</v>
      </c>
      <c r="S4035" t="s">
        <v>539</v>
      </c>
      <c r="T4035" t="s">
        <v>611</v>
      </c>
    </row>
    <row r="4036" spans="1:20" x14ac:dyDescent="0.25">
      <c r="A4036" t="s">
        <v>59</v>
      </c>
      <c r="B4036" t="s">
        <v>60</v>
      </c>
      <c r="C4036" t="s">
        <v>32</v>
      </c>
      <c r="D4036" t="s">
        <v>584</v>
      </c>
      <c r="E4036" t="s">
        <v>599</v>
      </c>
      <c r="F4036" t="s">
        <v>35</v>
      </c>
      <c r="G4036" t="s">
        <v>35</v>
      </c>
      <c r="H4036" t="s">
        <v>35</v>
      </c>
      <c r="J4036" t="s">
        <v>606</v>
      </c>
      <c r="K4036" t="s">
        <v>37</v>
      </c>
      <c r="M4036">
        <v>1</v>
      </c>
      <c r="N4036">
        <v>133</v>
      </c>
      <c r="O4036" t="s">
        <v>38</v>
      </c>
      <c r="P4036" t="s">
        <v>608</v>
      </c>
      <c r="Q4036" t="s">
        <v>609</v>
      </c>
      <c r="R4036" t="s">
        <v>610</v>
      </c>
      <c r="S4036" t="s">
        <v>539</v>
      </c>
      <c r="T4036" t="s">
        <v>611</v>
      </c>
    </row>
    <row r="4037" spans="1:20" x14ac:dyDescent="0.25">
      <c r="A4037" t="s">
        <v>44</v>
      </c>
      <c r="B4037" t="s">
        <v>51</v>
      </c>
      <c r="C4037" t="s">
        <v>32</v>
      </c>
      <c r="D4037" t="s">
        <v>584</v>
      </c>
      <c r="E4037" t="s">
        <v>599</v>
      </c>
      <c r="F4037" t="s">
        <v>35</v>
      </c>
      <c r="G4037" t="s">
        <v>35</v>
      </c>
      <c r="H4037" t="s">
        <v>35</v>
      </c>
      <c r="J4037" t="s">
        <v>606</v>
      </c>
      <c r="K4037" t="s">
        <v>37</v>
      </c>
      <c r="M4037">
        <v>2</v>
      </c>
      <c r="N4037">
        <v>74</v>
      </c>
      <c r="O4037" t="s">
        <v>61</v>
      </c>
      <c r="P4037" t="s">
        <v>612</v>
      </c>
      <c r="Q4037" t="s">
        <v>527</v>
      </c>
      <c r="R4037" t="s">
        <v>610</v>
      </c>
      <c r="S4037" t="s">
        <v>539</v>
      </c>
      <c r="T4037" t="s">
        <v>611</v>
      </c>
    </row>
    <row r="4038" spans="1:20" x14ac:dyDescent="0.25">
      <c r="A4038" t="s">
        <v>44</v>
      </c>
      <c r="B4038" t="s">
        <v>51</v>
      </c>
      <c r="C4038" t="s">
        <v>32</v>
      </c>
      <c r="D4038" t="s">
        <v>584</v>
      </c>
      <c r="E4038" t="s">
        <v>599</v>
      </c>
      <c r="F4038" t="s">
        <v>35</v>
      </c>
      <c r="G4038" t="s">
        <v>35</v>
      </c>
      <c r="H4038" t="s">
        <v>35</v>
      </c>
      <c r="J4038" t="s">
        <v>606</v>
      </c>
      <c r="K4038" t="s">
        <v>37</v>
      </c>
      <c r="M4038">
        <v>12</v>
      </c>
      <c r="N4038">
        <v>51</v>
      </c>
      <c r="O4038" t="s">
        <v>52</v>
      </c>
      <c r="P4038" t="s">
        <v>613</v>
      </c>
      <c r="Q4038" t="s">
        <v>58</v>
      </c>
      <c r="R4038" t="s">
        <v>610</v>
      </c>
      <c r="S4038" t="s">
        <v>539</v>
      </c>
      <c r="T4038" t="s">
        <v>611</v>
      </c>
    </row>
    <row r="4039" spans="1:20" x14ac:dyDescent="0.25">
      <c r="A4039" t="s">
        <v>59</v>
      </c>
      <c r="B4039" t="s">
        <v>31</v>
      </c>
      <c r="C4039" t="s">
        <v>32</v>
      </c>
      <c r="D4039" t="s">
        <v>584</v>
      </c>
      <c r="E4039" t="s">
        <v>599</v>
      </c>
      <c r="F4039" t="s">
        <v>35</v>
      </c>
      <c r="G4039" t="s">
        <v>35</v>
      </c>
      <c r="H4039" t="s">
        <v>35</v>
      </c>
      <c r="J4039" t="s">
        <v>606</v>
      </c>
      <c r="K4039" t="s">
        <v>1092</v>
      </c>
      <c r="M4039">
        <v>0.36</v>
      </c>
      <c r="N4039">
        <v>191</v>
      </c>
      <c r="O4039" t="s">
        <v>5</v>
      </c>
      <c r="Q4039" t="s">
        <v>4086</v>
      </c>
      <c r="R4039" t="s">
        <v>610</v>
      </c>
      <c r="S4039" t="s">
        <v>539</v>
      </c>
      <c r="T4039" t="s">
        <v>611</v>
      </c>
    </row>
    <row r="4040" spans="1:20" x14ac:dyDescent="0.25">
      <c r="A4040" t="s">
        <v>30</v>
      </c>
      <c r="B4040" t="s">
        <v>31</v>
      </c>
      <c r="C4040" t="s">
        <v>32</v>
      </c>
      <c r="D4040" t="s">
        <v>584</v>
      </c>
      <c r="E4040" t="s">
        <v>599</v>
      </c>
      <c r="F4040" t="s">
        <v>35</v>
      </c>
      <c r="G4040" t="s">
        <v>35</v>
      </c>
      <c r="H4040" t="s">
        <v>35</v>
      </c>
      <c r="J4040" t="s">
        <v>606</v>
      </c>
      <c r="K4040" t="s">
        <v>1092</v>
      </c>
      <c r="M4040">
        <v>4.9050000000000002</v>
      </c>
      <c r="N4040">
        <v>42</v>
      </c>
      <c r="O4040" t="s">
        <v>52</v>
      </c>
      <c r="Q4040" t="s">
        <v>219</v>
      </c>
      <c r="R4040" t="s">
        <v>610</v>
      </c>
      <c r="S4040" t="s">
        <v>539</v>
      </c>
      <c r="T4040" t="s">
        <v>611</v>
      </c>
    </row>
    <row r="4041" spans="1:20" x14ac:dyDescent="0.25">
      <c r="A4041" t="s">
        <v>30</v>
      </c>
      <c r="B4041" t="s">
        <v>31</v>
      </c>
      <c r="C4041" t="s">
        <v>32</v>
      </c>
      <c r="D4041" t="s">
        <v>584</v>
      </c>
      <c r="E4041" t="s">
        <v>599</v>
      </c>
      <c r="F4041" t="s">
        <v>35</v>
      </c>
      <c r="G4041" t="s">
        <v>35</v>
      </c>
      <c r="H4041" t="s">
        <v>35</v>
      </c>
      <c r="J4041" t="s">
        <v>4663</v>
      </c>
      <c r="K4041" t="s">
        <v>1092</v>
      </c>
      <c r="M4041">
        <v>0.13500000000000001</v>
      </c>
      <c r="N4041">
        <v>148</v>
      </c>
      <c r="O4041" t="s">
        <v>38</v>
      </c>
      <c r="Q4041" t="s">
        <v>3942</v>
      </c>
      <c r="R4041" t="s">
        <v>610</v>
      </c>
      <c r="S4041" t="s">
        <v>539</v>
      </c>
      <c r="T4041" t="s">
        <v>611</v>
      </c>
    </row>
    <row r="4042" spans="1:20" x14ac:dyDescent="0.25">
      <c r="A4042" t="s">
        <v>30</v>
      </c>
      <c r="B4042" t="s">
        <v>31</v>
      </c>
      <c r="C4042" t="s">
        <v>32</v>
      </c>
      <c r="D4042" t="s">
        <v>584</v>
      </c>
      <c r="E4042" t="s">
        <v>599</v>
      </c>
      <c r="F4042" t="s">
        <v>35</v>
      </c>
      <c r="G4042" t="s">
        <v>35</v>
      </c>
      <c r="H4042" t="s">
        <v>35</v>
      </c>
      <c r="J4042" t="s">
        <v>4663</v>
      </c>
      <c r="K4042" t="s">
        <v>1092</v>
      </c>
      <c r="M4042">
        <v>5.4</v>
      </c>
      <c r="N4042">
        <v>64</v>
      </c>
      <c r="O4042" t="s">
        <v>61</v>
      </c>
      <c r="Q4042" t="s">
        <v>102</v>
      </c>
      <c r="R4042" t="s">
        <v>610</v>
      </c>
      <c r="S4042" t="s">
        <v>539</v>
      </c>
      <c r="T4042" t="s">
        <v>611</v>
      </c>
    </row>
    <row r="4043" spans="1:20" x14ac:dyDescent="0.25">
      <c r="A4043" t="s">
        <v>30</v>
      </c>
      <c r="B4043" t="s">
        <v>31</v>
      </c>
      <c r="C4043" t="s">
        <v>32</v>
      </c>
      <c r="D4043" t="s">
        <v>584</v>
      </c>
      <c r="E4043" t="s">
        <v>599</v>
      </c>
      <c r="F4043" t="s">
        <v>35</v>
      </c>
      <c r="G4043" t="s">
        <v>35</v>
      </c>
      <c r="H4043" t="s">
        <v>35</v>
      </c>
      <c r="J4043" t="s">
        <v>4663</v>
      </c>
      <c r="K4043" t="s">
        <v>1092</v>
      </c>
      <c r="M4043">
        <v>5.4</v>
      </c>
      <c r="N4043">
        <v>42</v>
      </c>
      <c r="O4043" t="s">
        <v>52</v>
      </c>
      <c r="Q4043" t="s">
        <v>219</v>
      </c>
      <c r="R4043" t="s">
        <v>610</v>
      </c>
      <c r="S4043" t="s">
        <v>539</v>
      </c>
      <c r="T4043" t="s">
        <v>611</v>
      </c>
    </row>
    <row r="4044" spans="1:20" x14ac:dyDescent="0.25">
      <c r="A4044" t="s">
        <v>30</v>
      </c>
      <c r="B4044" t="s">
        <v>31</v>
      </c>
      <c r="C4044" t="s">
        <v>32</v>
      </c>
      <c r="D4044" t="s">
        <v>584</v>
      </c>
      <c r="E4044" t="s">
        <v>4514</v>
      </c>
      <c r="F4044" t="s">
        <v>35</v>
      </c>
      <c r="G4044" t="s">
        <v>35</v>
      </c>
      <c r="H4044" t="s">
        <v>35</v>
      </c>
      <c r="J4044" t="s">
        <v>4532</v>
      </c>
      <c r="K4044" t="s">
        <v>1092</v>
      </c>
      <c r="M4044">
        <v>4.4999999999999998E-2</v>
      </c>
      <c r="N4044">
        <v>88</v>
      </c>
      <c r="O4044" t="s">
        <v>61</v>
      </c>
      <c r="Q4044" t="s">
        <v>724</v>
      </c>
      <c r="R4044" t="s">
        <v>610</v>
      </c>
      <c r="S4044" t="s">
        <v>539</v>
      </c>
      <c r="T4044" t="s">
        <v>611</v>
      </c>
    </row>
    <row r="4045" spans="1:20" x14ac:dyDescent="0.25">
      <c r="A4045" t="s">
        <v>30</v>
      </c>
      <c r="B4045" t="s">
        <v>31</v>
      </c>
      <c r="C4045" t="s">
        <v>32</v>
      </c>
      <c r="D4045" t="s">
        <v>584</v>
      </c>
      <c r="E4045" t="s">
        <v>4486</v>
      </c>
      <c r="F4045" t="s">
        <v>35</v>
      </c>
      <c r="G4045" t="s">
        <v>35</v>
      </c>
      <c r="H4045" t="s">
        <v>35</v>
      </c>
      <c r="J4045" t="s">
        <v>4489</v>
      </c>
      <c r="K4045" t="s">
        <v>1092</v>
      </c>
      <c r="M4045">
        <v>9.7899999999999991</v>
      </c>
      <c r="N4045">
        <v>42</v>
      </c>
      <c r="O4045" t="s">
        <v>52</v>
      </c>
      <c r="Q4045" t="s">
        <v>219</v>
      </c>
      <c r="R4045" t="s">
        <v>610</v>
      </c>
      <c r="S4045" t="s">
        <v>539</v>
      </c>
      <c r="T4045" t="s">
        <v>611</v>
      </c>
    </row>
    <row r="4046" spans="1:20" x14ac:dyDescent="0.25">
      <c r="A4046" t="s">
        <v>30</v>
      </c>
      <c r="B4046" t="s">
        <v>31</v>
      </c>
      <c r="C4046" t="s">
        <v>32</v>
      </c>
      <c r="D4046" t="s">
        <v>584</v>
      </c>
      <c r="E4046" t="s">
        <v>621</v>
      </c>
      <c r="F4046" t="s">
        <v>35</v>
      </c>
      <c r="G4046" t="s">
        <v>35</v>
      </c>
      <c r="H4046" t="s">
        <v>35</v>
      </c>
      <c r="J4046" t="s">
        <v>4849</v>
      </c>
      <c r="K4046" t="s">
        <v>1092</v>
      </c>
      <c r="M4046">
        <v>7.2</v>
      </c>
      <c r="N4046">
        <v>88</v>
      </c>
      <c r="O4046" t="s">
        <v>61</v>
      </c>
      <c r="Q4046" t="s">
        <v>724</v>
      </c>
      <c r="R4046" t="s">
        <v>610</v>
      </c>
      <c r="S4046" t="s">
        <v>539</v>
      </c>
      <c r="T4046" t="s">
        <v>611</v>
      </c>
    </row>
    <row r="4047" spans="1:20" x14ac:dyDescent="0.25">
      <c r="A4047" t="s">
        <v>30</v>
      </c>
      <c r="B4047" t="s">
        <v>31</v>
      </c>
      <c r="C4047" t="s">
        <v>32</v>
      </c>
      <c r="D4047" t="s">
        <v>584</v>
      </c>
      <c r="E4047" t="s">
        <v>621</v>
      </c>
      <c r="F4047" t="s">
        <v>35</v>
      </c>
      <c r="G4047" t="s">
        <v>35</v>
      </c>
      <c r="H4047" t="s">
        <v>35</v>
      </c>
      <c r="J4047" t="s">
        <v>4849</v>
      </c>
      <c r="K4047" t="s">
        <v>1092</v>
      </c>
      <c r="M4047">
        <v>11.025</v>
      </c>
      <c r="N4047">
        <v>64</v>
      </c>
      <c r="O4047" t="s">
        <v>61</v>
      </c>
      <c r="Q4047" t="s">
        <v>102</v>
      </c>
      <c r="R4047" t="s">
        <v>610</v>
      </c>
      <c r="S4047" t="s">
        <v>539</v>
      </c>
      <c r="T4047" t="s">
        <v>611</v>
      </c>
    </row>
    <row r="4048" spans="1:20" x14ac:dyDescent="0.25">
      <c r="A4048" t="s">
        <v>30</v>
      </c>
      <c r="B4048" t="s">
        <v>31</v>
      </c>
      <c r="C4048" t="s">
        <v>32</v>
      </c>
      <c r="D4048" t="s">
        <v>584</v>
      </c>
      <c r="F4048" t="s">
        <v>35</v>
      </c>
      <c r="G4048" t="s">
        <v>35</v>
      </c>
      <c r="H4048" t="s">
        <v>35</v>
      </c>
      <c r="J4048" t="s">
        <v>4968</v>
      </c>
      <c r="K4048" t="s">
        <v>1092</v>
      </c>
      <c r="M4048">
        <v>9.1349999999999998</v>
      </c>
      <c r="N4048">
        <v>191</v>
      </c>
      <c r="O4048" t="s">
        <v>5</v>
      </c>
      <c r="Q4048" t="s">
        <v>4086</v>
      </c>
      <c r="R4048" t="s">
        <v>610</v>
      </c>
      <c r="S4048" t="s">
        <v>539</v>
      </c>
      <c r="T4048" t="s">
        <v>611</v>
      </c>
    </row>
    <row r="4049" spans="1:20" x14ac:dyDescent="0.25">
      <c r="A4049" t="s">
        <v>30</v>
      </c>
      <c r="B4049" t="s">
        <v>31</v>
      </c>
      <c r="C4049" t="s">
        <v>32</v>
      </c>
      <c r="D4049" t="s">
        <v>584</v>
      </c>
      <c r="E4049" t="s">
        <v>4733</v>
      </c>
      <c r="F4049" t="s">
        <v>35</v>
      </c>
      <c r="G4049" t="s">
        <v>35</v>
      </c>
      <c r="H4049" t="s">
        <v>35</v>
      </c>
      <c r="J4049" t="s">
        <v>4758</v>
      </c>
      <c r="K4049" t="s">
        <v>1092</v>
      </c>
      <c r="M4049">
        <v>0.82499999999999996</v>
      </c>
      <c r="N4049">
        <v>87</v>
      </c>
      <c r="O4049" t="s">
        <v>61</v>
      </c>
      <c r="Q4049" t="s">
        <v>394</v>
      </c>
      <c r="R4049" t="s">
        <v>610</v>
      </c>
      <c r="S4049" t="s">
        <v>539</v>
      </c>
      <c r="T4049" t="s">
        <v>611</v>
      </c>
    </row>
    <row r="4050" spans="1:20" x14ac:dyDescent="0.25">
      <c r="A4050" t="s">
        <v>30</v>
      </c>
      <c r="B4050" t="s">
        <v>31</v>
      </c>
      <c r="C4050" t="s">
        <v>32</v>
      </c>
      <c r="D4050" t="s">
        <v>584</v>
      </c>
      <c r="E4050" t="s">
        <v>4733</v>
      </c>
      <c r="F4050" t="s">
        <v>35</v>
      </c>
      <c r="G4050" t="s">
        <v>35</v>
      </c>
      <c r="H4050" t="s">
        <v>35</v>
      </c>
      <c r="J4050" t="s">
        <v>4745</v>
      </c>
      <c r="K4050" t="s">
        <v>1092</v>
      </c>
      <c r="M4050">
        <v>7.65</v>
      </c>
      <c r="N4050">
        <v>387</v>
      </c>
      <c r="O4050" t="s">
        <v>294</v>
      </c>
      <c r="Q4050" t="s">
        <v>1410</v>
      </c>
      <c r="R4050" t="s">
        <v>610</v>
      </c>
      <c r="S4050" t="s">
        <v>539</v>
      </c>
      <c r="T4050" t="s">
        <v>611</v>
      </c>
    </row>
    <row r="4051" spans="1:20" x14ac:dyDescent="0.25">
      <c r="A4051" t="s">
        <v>30</v>
      </c>
      <c r="B4051" t="s">
        <v>31</v>
      </c>
      <c r="C4051" t="s">
        <v>32</v>
      </c>
      <c r="D4051" t="s">
        <v>584</v>
      </c>
      <c r="E4051" t="s">
        <v>599</v>
      </c>
      <c r="F4051" t="s">
        <v>35</v>
      </c>
      <c r="G4051" t="s">
        <v>35</v>
      </c>
      <c r="H4051" t="s">
        <v>35</v>
      </c>
      <c r="J4051" t="s">
        <v>4697</v>
      </c>
      <c r="K4051" t="s">
        <v>1092</v>
      </c>
      <c r="M4051">
        <v>11.025</v>
      </c>
      <c r="N4051">
        <v>64</v>
      </c>
      <c r="O4051" t="s">
        <v>61</v>
      </c>
      <c r="Q4051" t="s">
        <v>102</v>
      </c>
      <c r="R4051" t="s">
        <v>610</v>
      </c>
      <c r="S4051" t="s">
        <v>539</v>
      </c>
      <c r="T4051" t="s">
        <v>611</v>
      </c>
    </row>
    <row r="4052" spans="1:20" x14ac:dyDescent="0.25">
      <c r="A4052" t="s">
        <v>30</v>
      </c>
      <c r="B4052" t="s">
        <v>31</v>
      </c>
      <c r="C4052" t="s">
        <v>32</v>
      </c>
      <c r="D4052" t="s">
        <v>584</v>
      </c>
      <c r="E4052" t="s">
        <v>621</v>
      </c>
      <c r="F4052" t="s">
        <v>35</v>
      </c>
      <c r="G4052" t="s">
        <v>35</v>
      </c>
      <c r="H4052" t="s">
        <v>35</v>
      </c>
      <c r="J4052" t="s">
        <v>4961</v>
      </c>
      <c r="K4052" t="s">
        <v>1092</v>
      </c>
      <c r="M4052">
        <v>2.34</v>
      </c>
      <c r="N4052">
        <v>126</v>
      </c>
      <c r="O4052" t="s">
        <v>38</v>
      </c>
      <c r="Q4052" t="s">
        <v>68</v>
      </c>
      <c r="R4052" t="s">
        <v>610</v>
      </c>
      <c r="S4052" t="s">
        <v>539</v>
      </c>
      <c r="T4052" t="s">
        <v>611</v>
      </c>
    </row>
    <row r="4053" spans="1:20" x14ac:dyDescent="0.25">
      <c r="A4053" t="s">
        <v>30</v>
      </c>
      <c r="B4053" t="s">
        <v>31</v>
      </c>
      <c r="C4053" t="s">
        <v>32</v>
      </c>
      <c r="D4053" t="s">
        <v>584</v>
      </c>
      <c r="E4053" t="s">
        <v>4733</v>
      </c>
      <c r="F4053" t="s">
        <v>35</v>
      </c>
      <c r="G4053" t="s">
        <v>35</v>
      </c>
      <c r="H4053" t="s">
        <v>35</v>
      </c>
      <c r="J4053" t="s">
        <v>4736</v>
      </c>
      <c r="K4053" t="s">
        <v>404</v>
      </c>
      <c r="M4053">
        <v>11.025</v>
      </c>
      <c r="N4053">
        <v>88</v>
      </c>
      <c r="O4053" t="s">
        <v>61</v>
      </c>
      <c r="Q4053" t="s">
        <v>724</v>
      </c>
      <c r="R4053" t="s">
        <v>610</v>
      </c>
      <c r="S4053" t="s">
        <v>539</v>
      </c>
      <c r="T4053" t="s">
        <v>611</v>
      </c>
    </row>
    <row r="4054" spans="1:20" x14ac:dyDescent="0.25">
      <c r="A4054" t="s">
        <v>59</v>
      </c>
      <c r="B4054" t="s">
        <v>60</v>
      </c>
      <c r="C4054" t="s">
        <v>32</v>
      </c>
      <c r="D4054" t="s">
        <v>584</v>
      </c>
      <c r="E4054" t="s">
        <v>621</v>
      </c>
      <c r="F4054" t="s">
        <v>35</v>
      </c>
      <c r="G4054" t="s">
        <v>35</v>
      </c>
      <c r="H4054" t="s">
        <v>35</v>
      </c>
      <c r="J4054" t="s">
        <v>625</v>
      </c>
      <c r="K4054" t="s">
        <v>37</v>
      </c>
      <c r="M4054">
        <v>8.4</v>
      </c>
      <c r="N4054">
        <v>207</v>
      </c>
      <c r="O4054" t="s">
        <v>5</v>
      </c>
      <c r="P4054" t="s">
        <v>627</v>
      </c>
      <c r="Q4054" t="s">
        <v>537</v>
      </c>
      <c r="R4054" t="s">
        <v>610</v>
      </c>
      <c r="S4054" t="s">
        <v>539</v>
      </c>
      <c r="T4054" t="s">
        <v>611</v>
      </c>
    </row>
    <row r="4055" spans="1:20" x14ac:dyDescent="0.25">
      <c r="A4055" t="s">
        <v>30</v>
      </c>
      <c r="B4055" t="s">
        <v>31</v>
      </c>
      <c r="C4055" t="s">
        <v>32</v>
      </c>
      <c r="D4055" t="s">
        <v>584</v>
      </c>
      <c r="E4055" t="s">
        <v>4441</v>
      </c>
      <c r="F4055" t="s">
        <v>35</v>
      </c>
      <c r="G4055" t="s">
        <v>35</v>
      </c>
      <c r="H4055" t="s">
        <v>35</v>
      </c>
      <c r="J4055" t="s">
        <v>4442</v>
      </c>
      <c r="K4055" t="s">
        <v>1092</v>
      </c>
      <c r="M4055">
        <v>2.4750000000000001</v>
      </c>
      <c r="N4055">
        <v>64</v>
      </c>
      <c r="O4055" t="s">
        <v>61</v>
      </c>
      <c r="Q4055" t="s">
        <v>102</v>
      </c>
      <c r="R4055" t="s">
        <v>610</v>
      </c>
      <c r="S4055" t="s">
        <v>539</v>
      </c>
      <c r="T4055" t="s">
        <v>611</v>
      </c>
    </row>
    <row r="4056" spans="1:20" x14ac:dyDescent="0.25">
      <c r="A4056" t="s">
        <v>30</v>
      </c>
      <c r="B4056" t="s">
        <v>31</v>
      </c>
      <c r="C4056" t="s">
        <v>32</v>
      </c>
      <c r="D4056" t="s">
        <v>584</v>
      </c>
      <c r="E4056" t="s">
        <v>621</v>
      </c>
      <c r="F4056" t="s">
        <v>35</v>
      </c>
      <c r="G4056" t="s">
        <v>35</v>
      </c>
      <c r="H4056" t="s">
        <v>35</v>
      </c>
      <c r="J4056" t="s">
        <v>4953</v>
      </c>
      <c r="K4056" t="s">
        <v>1092</v>
      </c>
      <c r="M4056">
        <v>5.8949999999999996</v>
      </c>
      <c r="N4056">
        <v>126</v>
      </c>
      <c r="O4056" t="s">
        <v>38</v>
      </c>
      <c r="Q4056" t="s">
        <v>68</v>
      </c>
      <c r="R4056" t="s">
        <v>610</v>
      </c>
      <c r="S4056" t="s">
        <v>539</v>
      </c>
      <c r="T4056" t="s">
        <v>611</v>
      </c>
    </row>
    <row r="4057" spans="1:20" x14ac:dyDescent="0.25">
      <c r="A4057" t="s">
        <v>30</v>
      </c>
      <c r="B4057" t="s">
        <v>31</v>
      </c>
      <c r="C4057" t="s">
        <v>32</v>
      </c>
      <c r="D4057" t="s">
        <v>584</v>
      </c>
      <c r="E4057" t="s">
        <v>621</v>
      </c>
      <c r="F4057" t="s">
        <v>35</v>
      </c>
      <c r="G4057" t="s">
        <v>35</v>
      </c>
      <c r="H4057" t="s">
        <v>35</v>
      </c>
      <c r="J4057" t="s">
        <v>4797</v>
      </c>
      <c r="K4057" t="s">
        <v>1092</v>
      </c>
      <c r="M4057">
        <v>0.09</v>
      </c>
      <c r="N4057">
        <v>87</v>
      </c>
      <c r="O4057" t="s">
        <v>61</v>
      </c>
      <c r="Q4057" t="s">
        <v>394</v>
      </c>
      <c r="R4057" t="s">
        <v>610</v>
      </c>
      <c r="S4057" t="s">
        <v>539</v>
      </c>
      <c r="T4057" t="s">
        <v>611</v>
      </c>
    </row>
    <row r="4058" spans="1:20" x14ac:dyDescent="0.25">
      <c r="A4058" t="s">
        <v>30</v>
      </c>
      <c r="B4058" t="s">
        <v>31</v>
      </c>
      <c r="C4058" t="s">
        <v>32</v>
      </c>
      <c r="D4058" t="s">
        <v>584</v>
      </c>
      <c r="E4058" t="s">
        <v>4486</v>
      </c>
      <c r="F4058" t="s">
        <v>35</v>
      </c>
      <c r="G4058" t="s">
        <v>35</v>
      </c>
      <c r="H4058" t="s">
        <v>35</v>
      </c>
      <c r="J4058" t="s">
        <v>4488</v>
      </c>
      <c r="K4058" t="s">
        <v>1092</v>
      </c>
      <c r="M4058">
        <v>34.424999999999997</v>
      </c>
      <c r="N4058">
        <v>88</v>
      </c>
      <c r="O4058" t="s">
        <v>61</v>
      </c>
      <c r="Q4058" t="s">
        <v>724</v>
      </c>
      <c r="R4058" t="s">
        <v>610</v>
      </c>
      <c r="S4058" t="s">
        <v>539</v>
      </c>
      <c r="T4058" t="s">
        <v>611</v>
      </c>
    </row>
    <row r="4059" spans="1:20" x14ac:dyDescent="0.25">
      <c r="A4059" t="s">
        <v>30</v>
      </c>
      <c r="B4059" t="s">
        <v>31</v>
      </c>
      <c r="C4059" t="s">
        <v>32</v>
      </c>
      <c r="D4059" t="s">
        <v>584</v>
      </c>
      <c r="E4059" t="s">
        <v>4486</v>
      </c>
      <c r="F4059" t="s">
        <v>35</v>
      </c>
      <c r="G4059" t="s">
        <v>35</v>
      </c>
      <c r="H4059" t="s">
        <v>35</v>
      </c>
      <c r="J4059" t="s">
        <v>4488</v>
      </c>
      <c r="K4059" t="s">
        <v>1092</v>
      </c>
      <c r="M4059">
        <v>11.025</v>
      </c>
      <c r="N4059">
        <v>61</v>
      </c>
      <c r="O4059" t="s">
        <v>61</v>
      </c>
      <c r="Q4059" t="s">
        <v>146</v>
      </c>
      <c r="R4059" t="s">
        <v>610</v>
      </c>
      <c r="S4059" t="s">
        <v>539</v>
      </c>
      <c r="T4059" t="s">
        <v>611</v>
      </c>
    </row>
    <row r="4060" spans="1:20" x14ac:dyDescent="0.25">
      <c r="A4060" t="s">
        <v>30</v>
      </c>
      <c r="B4060" t="s">
        <v>31</v>
      </c>
      <c r="C4060" t="s">
        <v>32</v>
      </c>
      <c r="D4060" t="s">
        <v>584</v>
      </c>
      <c r="E4060" t="s">
        <v>4486</v>
      </c>
      <c r="F4060" t="s">
        <v>35</v>
      </c>
      <c r="G4060" t="s">
        <v>35</v>
      </c>
      <c r="H4060" t="s">
        <v>35</v>
      </c>
      <c r="J4060" t="s">
        <v>4488</v>
      </c>
      <c r="K4060" t="s">
        <v>1092</v>
      </c>
      <c r="M4060">
        <v>16.11</v>
      </c>
      <c r="N4060">
        <v>64</v>
      </c>
      <c r="O4060" t="s">
        <v>61</v>
      </c>
      <c r="Q4060" t="s">
        <v>102</v>
      </c>
      <c r="R4060" t="s">
        <v>610</v>
      </c>
      <c r="S4060" t="s">
        <v>539</v>
      </c>
      <c r="T4060" t="s">
        <v>611</v>
      </c>
    </row>
    <row r="4061" spans="1:20" x14ac:dyDescent="0.25">
      <c r="A4061" t="s">
        <v>59</v>
      </c>
      <c r="B4061" t="s">
        <v>31</v>
      </c>
      <c r="C4061" t="s">
        <v>32</v>
      </c>
      <c r="D4061" t="s">
        <v>584</v>
      </c>
      <c r="E4061" t="s">
        <v>4486</v>
      </c>
      <c r="F4061" t="s">
        <v>35</v>
      </c>
      <c r="G4061" t="s">
        <v>35</v>
      </c>
      <c r="H4061" t="s">
        <v>35</v>
      </c>
      <c r="J4061" t="s">
        <v>4488</v>
      </c>
      <c r="K4061" t="s">
        <v>1092</v>
      </c>
      <c r="M4061">
        <v>3.105</v>
      </c>
      <c r="N4061">
        <v>90</v>
      </c>
      <c r="O4061" t="s">
        <v>61</v>
      </c>
      <c r="Q4061" t="s">
        <v>557</v>
      </c>
      <c r="R4061" t="s">
        <v>610</v>
      </c>
      <c r="S4061" t="s">
        <v>539</v>
      </c>
      <c r="T4061" t="s">
        <v>611</v>
      </c>
    </row>
    <row r="4062" spans="1:20" x14ac:dyDescent="0.25">
      <c r="A4062" t="s">
        <v>30</v>
      </c>
      <c r="B4062" t="s">
        <v>31</v>
      </c>
      <c r="C4062" t="s">
        <v>32</v>
      </c>
      <c r="D4062" t="s">
        <v>584</v>
      </c>
      <c r="E4062" t="s">
        <v>621</v>
      </c>
      <c r="F4062" t="s">
        <v>35</v>
      </c>
      <c r="G4062" t="s">
        <v>35</v>
      </c>
      <c r="H4062" t="s">
        <v>35</v>
      </c>
      <c r="J4062" t="s">
        <v>4798</v>
      </c>
      <c r="K4062" t="s">
        <v>1092</v>
      </c>
      <c r="M4062">
        <v>3.24</v>
      </c>
      <c r="N4062">
        <v>404</v>
      </c>
      <c r="O4062" t="s">
        <v>294</v>
      </c>
      <c r="Q4062" t="s">
        <v>3336</v>
      </c>
      <c r="R4062" t="s">
        <v>610</v>
      </c>
      <c r="S4062" t="s">
        <v>539</v>
      </c>
      <c r="T4062" t="s">
        <v>611</v>
      </c>
    </row>
    <row r="4063" spans="1:20" x14ac:dyDescent="0.25">
      <c r="A4063" t="s">
        <v>30</v>
      </c>
      <c r="B4063" t="s">
        <v>31</v>
      </c>
      <c r="C4063" t="s">
        <v>32</v>
      </c>
      <c r="D4063" t="s">
        <v>584</v>
      </c>
      <c r="E4063" t="s">
        <v>621</v>
      </c>
      <c r="F4063" t="s">
        <v>35</v>
      </c>
      <c r="G4063" t="s">
        <v>35</v>
      </c>
      <c r="H4063" t="s">
        <v>35</v>
      </c>
      <c r="J4063" t="s">
        <v>4959</v>
      </c>
      <c r="K4063" t="s">
        <v>1092</v>
      </c>
      <c r="M4063">
        <v>9.3149999999999995</v>
      </c>
      <c r="N4063">
        <v>64</v>
      </c>
      <c r="O4063" t="s">
        <v>61</v>
      </c>
      <c r="Q4063" t="s">
        <v>102</v>
      </c>
      <c r="R4063" t="s">
        <v>610</v>
      </c>
      <c r="S4063" t="s">
        <v>539</v>
      </c>
      <c r="T4063" t="s">
        <v>611</v>
      </c>
    </row>
    <row r="4064" spans="1:20" x14ac:dyDescent="0.25">
      <c r="A4064" t="s">
        <v>30</v>
      </c>
      <c r="B4064" t="s">
        <v>31</v>
      </c>
      <c r="C4064" t="s">
        <v>32</v>
      </c>
      <c r="D4064" t="s">
        <v>584</v>
      </c>
      <c r="E4064" t="s">
        <v>599</v>
      </c>
      <c r="F4064" t="s">
        <v>35</v>
      </c>
      <c r="G4064" t="s">
        <v>35</v>
      </c>
      <c r="H4064" t="s">
        <v>35</v>
      </c>
      <c r="J4064" t="s">
        <v>4693</v>
      </c>
      <c r="K4064" t="s">
        <v>1092</v>
      </c>
      <c r="M4064">
        <v>0.40500000000000003</v>
      </c>
      <c r="N4064">
        <v>64</v>
      </c>
      <c r="O4064" t="s">
        <v>61</v>
      </c>
      <c r="Q4064" t="s">
        <v>102</v>
      </c>
      <c r="R4064" t="s">
        <v>610</v>
      </c>
      <c r="S4064" t="s">
        <v>539</v>
      </c>
      <c r="T4064" t="s">
        <v>611</v>
      </c>
    </row>
    <row r="4065" spans="1:20" x14ac:dyDescent="0.25">
      <c r="A4065" t="s">
        <v>30</v>
      </c>
      <c r="B4065" t="s">
        <v>31</v>
      </c>
      <c r="C4065" t="s">
        <v>32</v>
      </c>
      <c r="D4065" t="s">
        <v>584</v>
      </c>
      <c r="E4065" t="s">
        <v>621</v>
      </c>
      <c r="F4065" t="s">
        <v>35</v>
      </c>
      <c r="G4065" t="s">
        <v>35</v>
      </c>
      <c r="H4065" t="s">
        <v>35</v>
      </c>
      <c r="J4065" t="s">
        <v>4870</v>
      </c>
      <c r="K4065" t="s">
        <v>1092</v>
      </c>
      <c r="M4065">
        <v>11.025</v>
      </c>
      <c r="N4065">
        <v>42</v>
      </c>
      <c r="O4065" t="s">
        <v>52</v>
      </c>
      <c r="Q4065" t="s">
        <v>219</v>
      </c>
      <c r="R4065" t="s">
        <v>610</v>
      </c>
      <c r="S4065" t="s">
        <v>539</v>
      </c>
      <c r="T4065" t="s">
        <v>611</v>
      </c>
    </row>
    <row r="4066" spans="1:20" x14ac:dyDescent="0.25">
      <c r="A4066" t="s">
        <v>30</v>
      </c>
      <c r="B4066" t="s">
        <v>31</v>
      </c>
      <c r="C4066" t="s">
        <v>32</v>
      </c>
      <c r="D4066" t="s">
        <v>584</v>
      </c>
      <c r="E4066" t="s">
        <v>621</v>
      </c>
      <c r="F4066" t="s">
        <v>35</v>
      </c>
      <c r="G4066" t="s">
        <v>35</v>
      </c>
      <c r="H4066" t="s">
        <v>35</v>
      </c>
      <c r="J4066" t="s">
        <v>4870</v>
      </c>
      <c r="K4066" t="s">
        <v>1092</v>
      </c>
      <c r="M4066">
        <v>0.58499999999999996</v>
      </c>
      <c r="N4066">
        <v>221</v>
      </c>
      <c r="O4066" t="s">
        <v>5</v>
      </c>
      <c r="Q4066" t="s">
        <v>1979</v>
      </c>
      <c r="R4066" t="s">
        <v>610</v>
      </c>
      <c r="S4066" t="s">
        <v>539</v>
      </c>
      <c r="T4066" t="s">
        <v>611</v>
      </c>
    </row>
    <row r="4067" spans="1:20" x14ac:dyDescent="0.25">
      <c r="A4067" t="s">
        <v>30</v>
      </c>
      <c r="B4067" t="s">
        <v>31</v>
      </c>
      <c r="C4067" t="s">
        <v>32</v>
      </c>
      <c r="D4067" t="s">
        <v>584</v>
      </c>
      <c r="E4067" t="s">
        <v>621</v>
      </c>
      <c r="F4067" t="s">
        <v>35</v>
      </c>
      <c r="G4067" t="s">
        <v>35</v>
      </c>
      <c r="H4067" t="s">
        <v>35</v>
      </c>
      <c r="J4067" t="s">
        <v>4870</v>
      </c>
      <c r="K4067" t="s">
        <v>1092</v>
      </c>
      <c r="M4067">
        <v>11.025</v>
      </c>
      <c r="N4067">
        <v>87</v>
      </c>
      <c r="O4067" t="s">
        <v>61</v>
      </c>
      <c r="Q4067" t="s">
        <v>394</v>
      </c>
      <c r="R4067" t="s">
        <v>610</v>
      </c>
      <c r="S4067" t="s">
        <v>539</v>
      </c>
      <c r="T4067" t="s">
        <v>611</v>
      </c>
    </row>
    <row r="4068" spans="1:20" x14ac:dyDescent="0.25">
      <c r="A4068" t="s">
        <v>30</v>
      </c>
      <c r="B4068" t="s">
        <v>31</v>
      </c>
      <c r="C4068" t="s">
        <v>32</v>
      </c>
      <c r="D4068" t="s">
        <v>584</v>
      </c>
      <c r="E4068" t="s">
        <v>621</v>
      </c>
      <c r="F4068" t="s">
        <v>35</v>
      </c>
      <c r="G4068" t="s">
        <v>35</v>
      </c>
      <c r="H4068" t="s">
        <v>35</v>
      </c>
      <c r="J4068" t="s">
        <v>4960</v>
      </c>
      <c r="K4068" t="s">
        <v>1092</v>
      </c>
      <c r="M4068">
        <v>0.54</v>
      </c>
      <c r="N4068">
        <v>126</v>
      </c>
      <c r="O4068" t="s">
        <v>38</v>
      </c>
      <c r="Q4068" t="s">
        <v>68</v>
      </c>
      <c r="R4068" t="s">
        <v>610</v>
      </c>
      <c r="S4068" t="s">
        <v>539</v>
      </c>
      <c r="T4068" t="s">
        <v>611</v>
      </c>
    </row>
    <row r="4069" spans="1:20" x14ac:dyDescent="0.25">
      <c r="A4069" t="s">
        <v>30</v>
      </c>
      <c r="B4069" t="s">
        <v>31</v>
      </c>
      <c r="C4069" t="s">
        <v>32</v>
      </c>
      <c r="D4069" t="s">
        <v>584</v>
      </c>
      <c r="E4069" t="s">
        <v>621</v>
      </c>
      <c r="F4069" t="s">
        <v>35</v>
      </c>
      <c r="G4069" t="s">
        <v>35</v>
      </c>
      <c r="H4069" t="s">
        <v>35</v>
      </c>
      <c r="J4069" t="s">
        <v>4960</v>
      </c>
      <c r="K4069" t="s">
        <v>1092</v>
      </c>
      <c r="M4069">
        <v>11.025</v>
      </c>
      <c r="N4069">
        <v>42</v>
      </c>
      <c r="O4069" t="s">
        <v>52</v>
      </c>
      <c r="Q4069" t="s">
        <v>219</v>
      </c>
      <c r="R4069" t="s">
        <v>610</v>
      </c>
      <c r="S4069" t="s">
        <v>539</v>
      </c>
      <c r="T4069" t="s">
        <v>611</v>
      </c>
    </row>
    <row r="4070" spans="1:20" x14ac:dyDescent="0.25">
      <c r="A4070" t="s">
        <v>30</v>
      </c>
      <c r="B4070" t="s">
        <v>31</v>
      </c>
      <c r="C4070" t="s">
        <v>32</v>
      </c>
      <c r="D4070" t="s">
        <v>584</v>
      </c>
      <c r="E4070" t="s">
        <v>599</v>
      </c>
      <c r="F4070" t="s">
        <v>35</v>
      </c>
      <c r="G4070" t="s">
        <v>35</v>
      </c>
      <c r="H4070" t="s">
        <v>35</v>
      </c>
      <c r="J4070" t="s">
        <v>4705</v>
      </c>
      <c r="K4070" t="s">
        <v>1092</v>
      </c>
      <c r="M4070">
        <v>33.075000000000003</v>
      </c>
      <c r="N4070">
        <v>42</v>
      </c>
      <c r="O4070" t="s">
        <v>52</v>
      </c>
      <c r="Q4070" t="s">
        <v>219</v>
      </c>
      <c r="R4070" t="s">
        <v>610</v>
      </c>
      <c r="S4070" t="s">
        <v>539</v>
      </c>
      <c r="T4070" t="s">
        <v>611</v>
      </c>
    </row>
    <row r="4071" spans="1:20" x14ac:dyDescent="0.25">
      <c r="A4071" t="s">
        <v>30</v>
      </c>
      <c r="B4071" t="s">
        <v>31</v>
      </c>
      <c r="C4071" t="s">
        <v>32</v>
      </c>
      <c r="D4071" t="s">
        <v>584</v>
      </c>
      <c r="E4071" t="s">
        <v>599</v>
      </c>
      <c r="F4071" t="s">
        <v>35</v>
      </c>
      <c r="G4071" t="s">
        <v>35</v>
      </c>
      <c r="H4071" t="s">
        <v>35</v>
      </c>
      <c r="J4071" t="s">
        <v>4705</v>
      </c>
      <c r="K4071" t="s">
        <v>1092</v>
      </c>
      <c r="M4071">
        <v>4.68</v>
      </c>
      <c r="N4071">
        <v>64</v>
      </c>
      <c r="O4071" t="s">
        <v>61</v>
      </c>
      <c r="Q4071" t="s">
        <v>102</v>
      </c>
      <c r="R4071" t="s">
        <v>610</v>
      </c>
      <c r="S4071" t="s">
        <v>539</v>
      </c>
      <c r="T4071" t="s">
        <v>611</v>
      </c>
    </row>
    <row r="4072" spans="1:20" x14ac:dyDescent="0.25">
      <c r="A4072" t="s">
        <v>30</v>
      </c>
      <c r="B4072" t="s">
        <v>31</v>
      </c>
      <c r="C4072" t="s">
        <v>32</v>
      </c>
      <c r="D4072" t="s">
        <v>584</v>
      </c>
      <c r="E4072" t="s">
        <v>599</v>
      </c>
      <c r="F4072" t="s">
        <v>35</v>
      </c>
      <c r="G4072" t="s">
        <v>35</v>
      </c>
      <c r="H4072" t="s">
        <v>35</v>
      </c>
      <c r="J4072" t="s">
        <v>4695</v>
      </c>
      <c r="K4072" t="s">
        <v>1092</v>
      </c>
      <c r="M4072">
        <v>0.79500000000000004</v>
      </c>
      <c r="N4072">
        <v>144</v>
      </c>
      <c r="O4072" t="s">
        <v>38</v>
      </c>
      <c r="Q4072" t="s">
        <v>1269</v>
      </c>
      <c r="R4072" t="s">
        <v>610</v>
      </c>
      <c r="S4072" t="s">
        <v>539</v>
      </c>
      <c r="T4072" t="s">
        <v>611</v>
      </c>
    </row>
    <row r="4073" spans="1:20" x14ac:dyDescent="0.25">
      <c r="A4073" t="s">
        <v>30</v>
      </c>
      <c r="B4073" t="s">
        <v>31</v>
      </c>
      <c r="C4073" t="s">
        <v>32</v>
      </c>
      <c r="D4073" t="s">
        <v>584</v>
      </c>
      <c r="E4073" t="s">
        <v>621</v>
      </c>
      <c r="F4073" t="s">
        <v>35</v>
      </c>
      <c r="G4073" t="s">
        <v>35</v>
      </c>
      <c r="H4073" t="s">
        <v>35</v>
      </c>
      <c r="J4073" t="s">
        <v>4549</v>
      </c>
      <c r="K4073" t="s">
        <v>1092</v>
      </c>
      <c r="M4073">
        <v>11.025</v>
      </c>
      <c r="N4073">
        <v>42</v>
      </c>
      <c r="O4073" t="s">
        <v>52</v>
      </c>
      <c r="Q4073" t="s">
        <v>219</v>
      </c>
      <c r="R4073" t="s">
        <v>610</v>
      </c>
      <c r="S4073" t="s">
        <v>539</v>
      </c>
      <c r="T4073" t="s">
        <v>611</v>
      </c>
    </row>
    <row r="4074" spans="1:20" x14ac:dyDescent="0.25">
      <c r="A4074" t="s">
        <v>30</v>
      </c>
      <c r="B4074" t="s">
        <v>31</v>
      </c>
      <c r="C4074" t="s">
        <v>32</v>
      </c>
      <c r="D4074" t="s">
        <v>584</v>
      </c>
      <c r="F4074" t="s">
        <v>35</v>
      </c>
      <c r="G4074" t="s">
        <v>35</v>
      </c>
      <c r="H4074" t="s">
        <v>35</v>
      </c>
      <c r="J4074" t="s">
        <v>4987</v>
      </c>
      <c r="K4074" t="s">
        <v>1092</v>
      </c>
      <c r="M4074">
        <v>8.19</v>
      </c>
      <c r="N4074">
        <v>41</v>
      </c>
      <c r="O4074" t="s">
        <v>52</v>
      </c>
      <c r="Q4074" t="s">
        <v>496</v>
      </c>
      <c r="R4074" t="s">
        <v>610</v>
      </c>
      <c r="S4074" t="s">
        <v>539</v>
      </c>
      <c r="T4074" t="s">
        <v>611</v>
      </c>
    </row>
    <row r="4075" spans="1:20" x14ac:dyDescent="0.25">
      <c r="A4075" t="s">
        <v>30</v>
      </c>
      <c r="B4075" t="s">
        <v>31</v>
      </c>
      <c r="C4075" t="s">
        <v>32</v>
      </c>
      <c r="D4075" t="s">
        <v>584</v>
      </c>
      <c r="E4075" t="s">
        <v>4769</v>
      </c>
      <c r="F4075" t="s">
        <v>35</v>
      </c>
      <c r="G4075" t="s">
        <v>35</v>
      </c>
      <c r="H4075" t="s">
        <v>35</v>
      </c>
      <c r="J4075" t="s">
        <v>4789</v>
      </c>
      <c r="K4075" t="s">
        <v>1092</v>
      </c>
      <c r="M4075">
        <v>11.025</v>
      </c>
      <c r="N4075">
        <v>124</v>
      </c>
      <c r="O4075" t="s">
        <v>38</v>
      </c>
      <c r="Q4075" t="s">
        <v>646</v>
      </c>
      <c r="R4075" t="s">
        <v>610</v>
      </c>
      <c r="S4075" t="s">
        <v>539</v>
      </c>
      <c r="T4075" t="s">
        <v>611</v>
      </c>
    </row>
    <row r="4076" spans="1:20" x14ac:dyDescent="0.25">
      <c r="A4076" t="s">
        <v>30</v>
      </c>
      <c r="B4076" t="s">
        <v>31</v>
      </c>
      <c r="C4076" t="s">
        <v>32</v>
      </c>
      <c r="D4076" t="s">
        <v>584</v>
      </c>
      <c r="E4076" t="s">
        <v>4769</v>
      </c>
      <c r="F4076" t="s">
        <v>35</v>
      </c>
      <c r="G4076" t="s">
        <v>35</v>
      </c>
      <c r="H4076" t="s">
        <v>35</v>
      </c>
      <c r="J4076" t="s">
        <v>4789</v>
      </c>
      <c r="K4076" t="s">
        <v>1092</v>
      </c>
      <c r="M4076">
        <v>8.64</v>
      </c>
      <c r="N4076">
        <v>257</v>
      </c>
      <c r="O4076" t="s">
        <v>5</v>
      </c>
      <c r="Q4076" t="s">
        <v>1721</v>
      </c>
      <c r="R4076" t="s">
        <v>610</v>
      </c>
      <c r="S4076" t="s">
        <v>539</v>
      </c>
      <c r="T4076" t="s">
        <v>611</v>
      </c>
    </row>
    <row r="4077" spans="1:20" x14ac:dyDescent="0.25">
      <c r="A4077" t="s">
        <v>59</v>
      </c>
      <c r="B4077" t="s">
        <v>31</v>
      </c>
      <c r="C4077" t="s">
        <v>32</v>
      </c>
      <c r="D4077" t="s">
        <v>584</v>
      </c>
      <c r="E4077" t="s">
        <v>4769</v>
      </c>
      <c r="F4077" t="s">
        <v>35</v>
      </c>
      <c r="G4077" t="s">
        <v>35</v>
      </c>
      <c r="H4077" t="s">
        <v>35</v>
      </c>
      <c r="J4077" t="s">
        <v>4773</v>
      </c>
      <c r="K4077" t="s">
        <v>1092</v>
      </c>
      <c r="M4077">
        <v>22.05</v>
      </c>
      <c r="N4077">
        <v>35</v>
      </c>
      <c r="O4077" t="s">
        <v>52</v>
      </c>
      <c r="Q4077" t="s">
        <v>991</v>
      </c>
      <c r="R4077" t="s">
        <v>610</v>
      </c>
      <c r="S4077" t="s">
        <v>539</v>
      </c>
      <c r="T4077" t="s">
        <v>611</v>
      </c>
    </row>
    <row r="4078" spans="1:20" x14ac:dyDescent="0.25">
      <c r="A4078" t="s">
        <v>30</v>
      </c>
      <c r="B4078" t="s">
        <v>31</v>
      </c>
      <c r="C4078" t="s">
        <v>32</v>
      </c>
      <c r="D4078" t="s">
        <v>584</v>
      </c>
      <c r="E4078" t="s">
        <v>621</v>
      </c>
      <c r="F4078" t="s">
        <v>35</v>
      </c>
      <c r="G4078" t="s">
        <v>35</v>
      </c>
      <c r="H4078" t="s">
        <v>35</v>
      </c>
      <c r="J4078" t="s">
        <v>4945</v>
      </c>
      <c r="K4078" t="s">
        <v>1092</v>
      </c>
      <c r="M4078">
        <v>3.69</v>
      </c>
      <c r="N4078">
        <v>289</v>
      </c>
      <c r="O4078" t="s">
        <v>5</v>
      </c>
      <c r="Q4078" t="s">
        <v>4253</v>
      </c>
      <c r="R4078" t="s">
        <v>610</v>
      </c>
      <c r="S4078" t="s">
        <v>539</v>
      </c>
      <c r="T4078" t="s">
        <v>611</v>
      </c>
    </row>
    <row r="4079" spans="1:20" x14ac:dyDescent="0.25">
      <c r="A4079" t="s">
        <v>30</v>
      </c>
      <c r="B4079" t="s">
        <v>31</v>
      </c>
      <c r="C4079" t="s">
        <v>32</v>
      </c>
      <c r="D4079" t="s">
        <v>584</v>
      </c>
      <c r="E4079" t="s">
        <v>621</v>
      </c>
      <c r="F4079" t="s">
        <v>35</v>
      </c>
      <c r="G4079" t="s">
        <v>35</v>
      </c>
      <c r="H4079" t="s">
        <v>35</v>
      </c>
      <c r="J4079" t="s">
        <v>4945</v>
      </c>
      <c r="K4079" t="s">
        <v>1092</v>
      </c>
      <c r="M4079">
        <v>22.05</v>
      </c>
      <c r="N4079">
        <v>42</v>
      </c>
      <c r="O4079" t="s">
        <v>52</v>
      </c>
      <c r="Q4079" t="s">
        <v>219</v>
      </c>
      <c r="R4079" t="s">
        <v>610</v>
      </c>
      <c r="S4079" t="s">
        <v>539</v>
      </c>
      <c r="T4079" t="s">
        <v>611</v>
      </c>
    </row>
    <row r="4080" spans="1:20" x14ac:dyDescent="0.25">
      <c r="A4080" t="s">
        <v>30</v>
      </c>
      <c r="B4080" t="s">
        <v>31</v>
      </c>
      <c r="C4080" t="s">
        <v>32</v>
      </c>
      <c r="D4080" t="s">
        <v>584</v>
      </c>
      <c r="E4080" t="s">
        <v>621</v>
      </c>
      <c r="F4080" t="s">
        <v>35</v>
      </c>
      <c r="G4080" t="s">
        <v>35</v>
      </c>
      <c r="H4080" t="s">
        <v>35</v>
      </c>
      <c r="J4080" t="s">
        <v>4945</v>
      </c>
      <c r="K4080" t="s">
        <v>1092</v>
      </c>
      <c r="M4080">
        <v>10.215</v>
      </c>
      <c r="N4080">
        <v>61</v>
      </c>
      <c r="O4080" t="s">
        <v>61</v>
      </c>
      <c r="Q4080" t="s">
        <v>146</v>
      </c>
      <c r="R4080" t="s">
        <v>610</v>
      </c>
      <c r="S4080" t="s">
        <v>539</v>
      </c>
      <c r="T4080" t="s">
        <v>611</v>
      </c>
    </row>
    <row r="4081" spans="1:20" x14ac:dyDescent="0.25">
      <c r="A4081" t="s">
        <v>30</v>
      </c>
      <c r="B4081" t="s">
        <v>31</v>
      </c>
      <c r="C4081" t="s">
        <v>32</v>
      </c>
      <c r="D4081" t="s">
        <v>584</v>
      </c>
      <c r="E4081" t="s">
        <v>621</v>
      </c>
      <c r="F4081" t="s">
        <v>35</v>
      </c>
      <c r="G4081" t="s">
        <v>35</v>
      </c>
      <c r="H4081" t="s">
        <v>35</v>
      </c>
      <c r="J4081" t="s">
        <v>4945</v>
      </c>
      <c r="K4081" t="s">
        <v>1092</v>
      </c>
      <c r="M4081">
        <v>11.025</v>
      </c>
      <c r="N4081">
        <v>64</v>
      </c>
      <c r="O4081" t="s">
        <v>61</v>
      </c>
      <c r="Q4081" t="s">
        <v>102</v>
      </c>
      <c r="R4081" t="s">
        <v>610</v>
      </c>
      <c r="S4081" t="s">
        <v>539</v>
      </c>
      <c r="T4081" t="s">
        <v>611</v>
      </c>
    </row>
    <row r="4082" spans="1:20" x14ac:dyDescent="0.25">
      <c r="A4082" t="s">
        <v>30</v>
      </c>
      <c r="B4082" t="s">
        <v>31</v>
      </c>
      <c r="C4082" t="s">
        <v>32</v>
      </c>
      <c r="D4082" t="s">
        <v>584</v>
      </c>
      <c r="E4082" t="s">
        <v>621</v>
      </c>
      <c r="F4082" t="s">
        <v>35</v>
      </c>
      <c r="G4082" t="s">
        <v>35</v>
      </c>
      <c r="H4082" t="s">
        <v>35</v>
      </c>
      <c r="J4082" t="s">
        <v>4945</v>
      </c>
      <c r="K4082" t="s">
        <v>1092</v>
      </c>
      <c r="M4082">
        <v>11.025</v>
      </c>
      <c r="N4082">
        <v>87</v>
      </c>
      <c r="O4082" t="s">
        <v>61</v>
      </c>
      <c r="Q4082" t="s">
        <v>394</v>
      </c>
      <c r="R4082" t="s">
        <v>610</v>
      </c>
      <c r="S4082" t="s">
        <v>539</v>
      </c>
      <c r="T4082" t="s">
        <v>611</v>
      </c>
    </row>
    <row r="4083" spans="1:20" x14ac:dyDescent="0.25">
      <c r="A4083" t="s">
        <v>30</v>
      </c>
      <c r="B4083" t="s">
        <v>31</v>
      </c>
      <c r="C4083" t="s">
        <v>32</v>
      </c>
      <c r="D4083" t="s">
        <v>584</v>
      </c>
      <c r="E4083" t="s">
        <v>621</v>
      </c>
      <c r="F4083" t="s">
        <v>35</v>
      </c>
      <c r="G4083" t="s">
        <v>35</v>
      </c>
      <c r="H4083" t="s">
        <v>35</v>
      </c>
      <c r="J4083" t="s">
        <v>4945</v>
      </c>
      <c r="K4083" t="s">
        <v>1092</v>
      </c>
      <c r="M4083">
        <v>11.025</v>
      </c>
      <c r="N4083">
        <v>103</v>
      </c>
      <c r="O4083" t="s">
        <v>106</v>
      </c>
      <c r="Q4083" t="s">
        <v>1494</v>
      </c>
      <c r="R4083" t="s">
        <v>610</v>
      </c>
      <c r="S4083" t="s">
        <v>539</v>
      </c>
      <c r="T4083" t="s">
        <v>611</v>
      </c>
    </row>
    <row r="4084" spans="1:20" x14ac:dyDescent="0.25">
      <c r="A4084" t="s">
        <v>30</v>
      </c>
      <c r="B4084" t="s">
        <v>31</v>
      </c>
      <c r="C4084" t="s">
        <v>32</v>
      </c>
      <c r="D4084" t="s">
        <v>584</v>
      </c>
      <c r="E4084" t="s">
        <v>621</v>
      </c>
      <c r="F4084" t="s">
        <v>35</v>
      </c>
      <c r="G4084" t="s">
        <v>35</v>
      </c>
      <c r="H4084" t="s">
        <v>35</v>
      </c>
      <c r="J4084" t="s">
        <v>4945</v>
      </c>
      <c r="K4084" t="s">
        <v>1092</v>
      </c>
      <c r="M4084">
        <v>22.05</v>
      </c>
      <c r="N4084">
        <v>163</v>
      </c>
      <c r="O4084" t="s">
        <v>38</v>
      </c>
      <c r="Q4084" t="s">
        <v>2780</v>
      </c>
      <c r="R4084" t="s">
        <v>610</v>
      </c>
      <c r="S4084" t="s">
        <v>539</v>
      </c>
      <c r="T4084" t="s">
        <v>611</v>
      </c>
    </row>
    <row r="4085" spans="1:20" x14ac:dyDescent="0.25">
      <c r="A4085" t="s">
        <v>59</v>
      </c>
      <c r="B4085" t="s">
        <v>60</v>
      </c>
      <c r="C4085" t="s">
        <v>32</v>
      </c>
      <c r="D4085" t="s">
        <v>584</v>
      </c>
      <c r="E4085" t="s">
        <v>621</v>
      </c>
      <c r="F4085" t="s">
        <v>35</v>
      </c>
      <c r="G4085" t="s">
        <v>35</v>
      </c>
      <c r="H4085" t="s">
        <v>35</v>
      </c>
      <c r="J4085" t="s">
        <v>4945</v>
      </c>
      <c r="K4085" t="s">
        <v>1092</v>
      </c>
      <c r="M4085">
        <v>11</v>
      </c>
      <c r="N4085">
        <v>133</v>
      </c>
      <c r="O4085" t="s">
        <v>38</v>
      </c>
      <c r="Q4085" t="s">
        <v>609</v>
      </c>
      <c r="R4085" t="s">
        <v>610</v>
      </c>
      <c r="S4085" t="s">
        <v>539</v>
      </c>
      <c r="T4085" t="s">
        <v>611</v>
      </c>
    </row>
    <row r="4086" spans="1:20" x14ac:dyDescent="0.25">
      <c r="A4086" t="s">
        <v>30</v>
      </c>
      <c r="B4086" t="s">
        <v>31</v>
      </c>
      <c r="C4086" t="s">
        <v>32</v>
      </c>
      <c r="D4086" t="s">
        <v>584</v>
      </c>
      <c r="E4086" t="s">
        <v>621</v>
      </c>
      <c r="F4086" t="s">
        <v>35</v>
      </c>
      <c r="G4086" t="s">
        <v>35</v>
      </c>
      <c r="H4086" t="s">
        <v>35</v>
      </c>
      <c r="J4086" t="s">
        <v>4945</v>
      </c>
      <c r="K4086" t="s">
        <v>1092</v>
      </c>
      <c r="M4086">
        <v>22.05</v>
      </c>
      <c r="N4086">
        <v>191</v>
      </c>
      <c r="O4086" t="s">
        <v>5</v>
      </c>
      <c r="Q4086" t="s">
        <v>4086</v>
      </c>
      <c r="R4086" t="s">
        <v>610</v>
      </c>
      <c r="S4086" t="s">
        <v>539</v>
      </c>
      <c r="T4086" t="s">
        <v>611</v>
      </c>
    </row>
    <row r="4087" spans="1:20" x14ac:dyDescent="0.25">
      <c r="A4087" t="s">
        <v>30</v>
      </c>
      <c r="B4087" t="s">
        <v>31</v>
      </c>
      <c r="C4087" t="s">
        <v>32</v>
      </c>
      <c r="D4087" t="s">
        <v>584</v>
      </c>
      <c r="E4087" t="s">
        <v>4486</v>
      </c>
      <c r="F4087" t="s">
        <v>35</v>
      </c>
      <c r="G4087" t="s">
        <v>35</v>
      </c>
      <c r="H4087" t="s">
        <v>35</v>
      </c>
      <c r="J4087" t="s">
        <v>4493</v>
      </c>
      <c r="K4087" t="s">
        <v>1092</v>
      </c>
      <c r="M4087">
        <v>1.2150000000000001</v>
      </c>
      <c r="N4087">
        <v>87</v>
      </c>
      <c r="O4087" t="s">
        <v>61</v>
      </c>
      <c r="Q4087" t="s">
        <v>394</v>
      </c>
      <c r="R4087" t="s">
        <v>610</v>
      </c>
      <c r="S4087" t="s">
        <v>539</v>
      </c>
      <c r="T4087" t="s">
        <v>611</v>
      </c>
    </row>
    <row r="4088" spans="1:20" x14ac:dyDescent="0.25">
      <c r="A4088" t="s">
        <v>30</v>
      </c>
      <c r="B4088" t="s">
        <v>31</v>
      </c>
      <c r="C4088" t="s">
        <v>32</v>
      </c>
      <c r="D4088" t="s">
        <v>584</v>
      </c>
      <c r="E4088" t="s">
        <v>599</v>
      </c>
      <c r="F4088" t="s">
        <v>35</v>
      </c>
      <c r="G4088" t="s">
        <v>35</v>
      </c>
      <c r="H4088" t="s">
        <v>35</v>
      </c>
      <c r="J4088" t="s">
        <v>4709</v>
      </c>
      <c r="K4088" t="s">
        <v>1092</v>
      </c>
      <c r="M4088">
        <v>2.4300000000000002</v>
      </c>
      <c r="N4088">
        <v>122</v>
      </c>
      <c r="O4088" t="s">
        <v>38</v>
      </c>
      <c r="Q4088" t="s">
        <v>1449</v>
      </c>
      <c r="R4088" t="s">
        <v>610</v>
      </c>
      <c r="S4088" t="s">
        <v>539</v>
      </c>
      <c r="T4088" t="s">
        <v>611</v>
      </c>
    </row>
    <row r="4089" spans="1:20" x14ac:dyDescent="0.25">
      <c r="A4089" t="s">
        <v>30</v>
      </c>
      <c r="B4089" t="s">
        <v>31</v>
      </c>
      <c r="C4089" t="s">
        <v>32</v>
      </c>
      <c r="D4089" t="s">
        <v>584</v>
      </c>
      <c r="E4089" t="s">
        <v>599</v>
      </c>
      <c r="F4089" t="s">
        <v>35</v>
      </c>
      <c r="G4089" t="s">
        <v>35</v>
      </c>
      <c r="H4089" t="s">
        <v>35</v>
      </c>
      <c r="J4089" t="s">
        <v>4709</v>
      </c>
      <c r="K4089" t="s">
        <v>1092</v>
      </c>
      <c r="M4089">
        <v>11.025</v>
      </c>
      <c r="N4089">
        <v>87</v>
      </c>
      <c r="O4089" t="s">
        <v>61</v>
      </c>
      <c r="Q4089" t="s">
        <v>394</v>
      </c>
      <c r="R4089" t="s">
        <v>610</v>
      </c>
      <c r="S4089" t="s">
        <v>539</v>
      </c>
      <c r="T4089" t="s">
        <v>611</v>
      </c>
    </row>
    <row r="4090" spans="1:20" x14ac:dyDescent="0.25">
      <c r="A4090" t="s">
        <v>59</v>
      </c>
      <c r="B4090" t="s">
        <v>31</v>
      </c>
      <c r="C4090" t="s">
        <v>32</v>
      </c>
      <c r="D4090" t="s">
        <v>584</v>
      </c>
      <c r="E4090" t="s">
        <v>621</v>
      </c>
      <c r="F4090" t="s">
        <v>35</v>
      </c>
      <c r="G4090" t="s">
        <v>35</v>
      </c>
      <c r="H4090" t="s">
        <v>35</v>
      </c>
      <c r="J4090" t="s">
        <v>4842</v>
      </c>
      <c r="K4090" t="s">
        <v>1092</v>
      </c>
      <c r="M4090">
        <v>8.5500000000000007</v>
      </c>
      <c r="N4090">
        <v>124</v>
      </c>
      <c r="O4090" t="s">
        <v>38</v>
      </c>
      <c r="Q4090" t="s">
        <v>646</v>
      </c>
      <c r="R4090" t="s">
        <v>610</v>
      </c>
      <c r="S4090" t="s">
        <v>539</v>
      </c>
      <c r="T4090" t="s">
        <v>611</v>
      </c>
    </row>
    <row r="4091" spans="1:20" x14ac:dyDescent="0.25">
      <c r="A4091" t="s">
        <v>59</v>
      </c>
      <c r="B4091" t="s">
        <v>31</v>
      </c>
      <c r="C4091" t="s">
        <v>32</v>
      </c>
      <c r="D4091" t="s">
        <v>584</v>
      </c>
      <c r="E4091" t="s">
        <v>585</v>
      </c>
      <c r="F4091" t="s">
        <v>35</v>
      </c>
      <c r="G4091" t="s">
        <v>35</v>
      </c>
      <c r="H4091" t="s">
        <v>35</v>
      </c>
      <c r="J4091" t="s">
        <v>4570</v>
      </c>
      <c r="K4091" t="s">
        <v>1092</v>
      </c>
      <c r="M4091">
        <v>3.7349999999999999</v>
      </c>
      <c r="N4091">
        <v>278</v>
      </c>
      <c r="O4091" t="s">
        <v>5</v>
      </c>
      <c r="Q4091" t="s">
        <v>1687</v>
      </c>
      <c r="R4091" t="s">
        <v>610</v>
      </c>
      <c r="S4091" t="s">
        <v>539</v>
      </c>
      <c r="T4091" t="s">
        <v>611</v>
      </c>
    </row>
    <row r="4092" spans="1:20" x14ac:dyDescent="0.25">
      <c r="A4092" t="s">
        <v>30</v>
      </c>
      <c r="B4092" t="s">
        <v>31</v>
      </c>
      <c r="C4092" t="s">
        <v>32</v>
      </c>
      <c r="D4092" t="s">
        <v>584</v>
      </c>
      <c r="E4092" t="s">
        <v>621</v>
      </c>
      <c r="F4092" t="s">
        <v>35</v>
      </c>
      <c r="G4092" t="s">
        <v>35</v>
      </c>
      <c r="H4092" t="s">
        <v>35</v>
      </c>
      <c r="J4092" t="s">
        <v>4844</v>
      </c>
      <c r="K4092" t="s">
        <v>1092</v>
      </c>
      <c r="M4092">
        <v>0.54</v>
      </c>
      <c r="N4092">
        <v>259</v>
      </c>
      <c r="O4092" t="s">
        <v>5</v>
      </c>
      <c r="Q4092" t="s">
        <v>117</v>
      </c>
      <c r="R4092" t="s">
        <v>610</v>
      </c>
      <c r="S4092" t="s">
        <v>539</v>
      </c>
      <c r="T4092" t="s">
        <v>611</v>
      </c>
    </row>
    <row r="4093" spans="1:20" x14ac:dyDescent="0.25">
      <c r="A4093" t="s">
        <v>59</v>
      </c>
      <c r="B4093" t="s">
        <v>31</v>
      </c>
      <c r="C4093" t="s">
        <v>32</v>
      </c>
      <c r="D4093" t="s">
        <v>584</v>
      </c>
      <c r="E4093" t="s">
        <v>4769</v>
      </c>
      <c r="F4093" t="s">
        <v>35</v>
      </c>
      <c r="G4093" t="s">
        <v>35</v>
      </c>
      <c r="H4093" t="s">
        <v>35</v>
      </c>
      <c r="J4093" t="s">
        <v>4790</v>
      </c>
      <c r="K4093" t="s">
        <v>1092</v>
      </c>
      <c r="M4093">
        <v>10.125</v>
      </c>
      <c r="N4093">
        <v>125</v>
      </c>
      <c r="O4093" t="s">
        <v>38</v>
      </c>
      <c r="Q4093" t="s">
        <v>2901</v>
      </c>
      <c r="R4093" t="s">
        <v>610</v>
      </c>
      <c r="S4093" t="s">
        <v>539</v>
      </c>
      <c r="T4093" t="s">
        <v>611</v>
      </c>
    </row>
    <row r="4094" spans="1:20" x14ac:dyDescent="0.25">
      <c r="A4094" t="s">
        <v>30</v>
      </c>
      <c r="B4094" t="s">
        <v>31</v>
      </c>
      <c r="C4094" t="s">
        <v>32</v>
      </c>
      <c r="D4094" t="s">
        <v>584</v>
      </c>
      <c r="F4094" t="s">
        <v>35</v>
      </c>
      <c r="G4094" t="s">
        <v>35</v>
      </c>
      <c r="H4094" t="s">
        <v>35</v>
      </c>
      <c r="J4094" t="s">
        <v>4976</v>
      </c>
      <c r="K4094" t="s">
        <v>1092</v>
      </c>
      <c r="M4094">
        <v>1.4999999999999999E-2</v>
      </c>
      <c r="N4094">
        <v>2341</v>
      </c>
      <c r="O4094" t="s">
        <v>575</v>
      </c>
      <c r="Q4094" t="s">
        <v>2231</v>
      </c>
      <c r="R4094" t="s">
        <v>610</v>
      </c>
      <c r="S4094" t="s">
        <v>539</v>
      </c>
      <c r="T4094" t="s">
        <v>611</v>
      </c>
    </row>
    <row r="4095" spans="1:20" x14ac:dyDescent="0.25">
      <c r="A4095" t="s">
        <v>59</v>
      </c>
      <c r="B4095" t="s">
        <v>60</v>
      </c>
      <c r="C4095" t="s">
        <v>32</v>
      </c>
      <c r="D4095" t="s">
        <v>584</v>
      </c>
      <c r="E4095" t="s">
        <v>621</v>
      </c>
      <c r="F4095" t="s">
        <v>35</v>
      </c>
      <c r="G4095" t="s">
        <v>35</v>
      </c>
      <c r="H4095" t="s">
        <v>35</v>
      </c>
      <c r="J4095" t="s">
        <v>634</v>
      </c>
      <c r="K4095" t="s">
        <v>37</v>
      </c>
      <c r="M4095">
        <v>5</v>
      </c>
      <c r="N4095">
        <v>133</v>
      </c>
      <c r="O4095" t="s">
        <v>38</v>
      </c>
      <c r="P4095" t="s">
        <v>638</v>
      </c>
      <c r="Q4095" t="s">
        <v>609</v>
      </c>
      <c r="R4095" t="s">
        <v>610</v>
      </c>
      <c r="S4095" t="s">
        <v>539</v>
      </c>
      <c r="T4095" t="s">
        <v>611</v>
      </c>
    </row>
    <row r="4096" spans="1:20" x14ac:dyDescent="0.25">
      <c r="A4096" t="s">
        <v>30</v>
      </c>
      <c r="B4096" t="s">
        <v>31</v>
      </c>
      <c r="C4096" t="s">
        <v>32</v>
      </c>
      <c r="D4096" t="s">
        <v>584</v>
      </c>
      <c r="E4096" t="s">
        <v>599</v>
      </c>
      <c r="F4096" t="s">
        <v>35</v>
      </c>
      <c r="G4096" t="s">
        <v>35</v>
      </c>
      <c r="H4096" t="s">
        <v>35</v>
      </c>
      <c r="J4096" t="s">
        <v>4714</v>
      </c>
      <c r="K4096" t="s">
        <v>1092</v>
      </c>
      <c r="M4096">
        <v>8.01</v>
      </c>
      <c r="N4096">
        <v>387</v>
      </c>
      <c r="O4096" t="s">
        <v>294</v>
      </c>
      <c r="Q4096" t="s">
        <v>1410</v>
      </c>
      <c r="R4096" t="s">
        <v>610</v>
      </c>
      <c r="S4096" t="s">
        <v>539</v>
      </c>
      <c r="T4096" t="s">
        <v>611</v>
      </c>
    </row>
    <row r="4097" spans="1:20" x14ac:dyDescent="0.25">
      <c r="A4097" t="s">
        <v>30</v>
      </c>
      <c r="B4097" t="s">
        <v>31</v>
      </c>
      <c r="C4097" t="s">
        <v>32</v>
      </c>
      <c r="D4097" t="s">
        <v>584</v>
      </c>
      <c r="E4097" t="s">
        <v>4441</v>
      </c>
      <c r="F4097" t="s">
        <v>35</v>
      </c>
      <c r="G4097" t="s">
        <v>35</v>
      </c>
      <c r="H4097" t="s">
        <v>35</v>
      </c>
      <c r="J4097" t="s">
        <v>4478</v>
      </c>
      <c r="K4097" t="s">
        <v>1092</v>
      </c>
      <c r="M4097">
        <v>33.075000000000003</v>
      </c>
      <c r="N4097">
        <v>64</v>
      </c>
      <c r="O4097" t="s">
        <v>61</v>
      </c>
      <c r="Q4097" t="s">
        <v>102</v>
      </c>
      <c r="R4097" t="s">
        <v>610</v>
      </c>
      <c r="S4097" t="s">
        <v>539</v>
      </c>
      <c r="T4097" t="s">
        <v>611</v>
      </c>
    </row>
    <row r="4098" spans="1:20" x14ac:dyDescent="0.25">
      <c r="A4098" t="s">
        <v>30</v>
      </c>
      <c r="B4098" t="s">
        <v>31</v>
      </c>
      <c r="C4098" t="s">
        <v>32</v>
      </c>
      <c r="D4098" t="s">
        <v>584</v>
      </c>
      <c r="E4098" t="s">
        <v>4514</v>
      </c>
      <c r="F4098" t="s">
        <v>35</v>
      </c>
      <c r="G4098" t="s">
        <v>35</v>
      </c>
      <c r="H4098" t="s">
        <v>35</v>
      </c>
      <c r="J4098" t="s">
        <v>4529</v>
      </c>
      <c r="K4098" t="s">
        <v>1092</v>
      </c>
      <c r="M4098">
        <v>5.5350000000000001</v>
      </c>
      <c r="N4098">
        <v>64</v>
      </c>
      <c r="O4098" t="s">
        <v>61</v>
      </c>
      <c r="Q4098" t="s">
        <v>102</v>
      </c>
      <c r="R4098" t="s">
        <v>610</v>
      </c>
      <c r="S4098" t="s">
        <v>539</v>
      </c>
      <c r="T4098" t="s">
        <v>611</v>
      </c>
    </row>
    <row r="4099" spans="1:20" x14ac:dyDescent="0.25">
      <c r="A4099" t="s">
        <v>30</v>
      </c>
      <c r="B4099" t="s">
        <v>31</v>
      </c>
      <c r="C4099" t="s">
        <v>32</v>
      </c>
      <c r="D4099" t="s">
        <v>584</v>
      </c>
      <c r="E4099" t="s">
        <v>599</v>
      </c>
      <c r="F4099" t="s">
        <v>35</v>
      </c>
      <c r="G4099" t="s">
        <v>35</v>
      </c>
      <c r="H4099" t="s">
        <v>35</v>
      </c>
      <c r="J4099" t="s">
        <v>4692</v>
      </c>
      <c r="K4099" t="s">
        <v>1092</v>
      </c>
      <c r="M4099">
        <v>3.5550000000000002</v>
      </c>
      <c r="N4099">
        <v>148</v>
      </c>
      <c r="O4099" t="s">
        <v>38</v>
      </c>
      <c r="Q4099" t="s">
        <v>3942</v>
      </c>
      <c r="R4099" t="s">
        <v>610</v>
      </c>
      <c r="S4099" t="s">
        <v>539</v>
      </c>
      <c r="T4099" t="s">
        <v>611</v>
      </c>
    </row>
    <row r="4100" spans="1:20" x14ac:dyDescent="0.25">
      <c r="A4100" t="s">
        <v>59</v>
      </c>
      <c r="B4100" t="s">
        <v>31</v>
      </c>
      <c r="C4100" t="s">
        <v>32</v>
      </c>
      <c r="D4100" t="s">
        <v>584</v>
      </c>
      <c r="E4100" t="s">
        <v>599</v>
      </c>
      <c r="F4100" t="s">
        <v>35</v>
      </c>
      <c r="G4100" t="s">
        <v>35</v>
      </c>
      <c r="H4100" t="s">
        <v>35</v>
      </c>
      <c r="J4100" t="s">
        <v>4692</v>
      </c>
      <c r="K4100" t="s">
        <v>1092</v>
      </c>
      <c r="M4100">
        <v>10.664999999999999</v>
      </c>
      <c r="N4100">
        <v>164</v>
      </c>
      <c r="O4100" t="s">
        <v>38</v>
      </c>
      <c r="Q4100" t="s">
        <v>3930</v>
      </c>
      <c r="R4100" t="s">
        <v>610</v>
      </c>
      <c r="S4100" t="s">
        <v>539</v>
      </c>
      <c r="T4100" t="s">
        <v>611</v>
      </c>
    </row>
    <row r="4101" spans="1:20" x14ac:dyDescent="0.25">
      <c r="A4101" t="s">
        <v>30</v>
      </c>
      <c r="B4101" t="s">
        <v>31</v>
      </c>
      <c r="C4101" t="s">
        <v>32</v>
      </c>
      <c r="D4101" t="s">
        <v>584</v>
      </c>
      <c r="E4101" t="s">
        <v>621</v>
      </c>
      <c r="F4101" t="s">
        <v>35</v>
      </c>
      <c r="G4101" t="s">
        <v>35</v>
      </c>
      <c r="H4101" t="s">
        <v>35</v>
      </c>
      <c r="J4101" t="s">
        <v>4871</v>
      </c>
      <c r="K4101" t="s">
        <v>1092</v>
      </c>
      <c r="M4101">
        <v>3.7349999999999999</v>
      </c>
      <c r="N4101">
        <v>289</v>
      </c>
      <c r="O4101" t="s">
        <v>5</v>
      </c>
      <c r="Q4101" t="s">
        <v>4253</v>
      </c>
      <c r="R4101" t="s">
        <v>610</v>
      </c>
      <c r="S4101" t="s">
        <v>539</v>
      </c>
      <c r="T4101" t="s">
        <v>611</v>
      </c>
    </row>
    <row r="4102" spans="1:20" x14ac:dyDescent="0.25">
      <c r="A4102" t="s">
        <v>30</v>
      </c>
      <c r="B4102" t="s">
        <v>31</v>
      </c>
      <c r="C4102" t="s">
        <v>32</v>
      </c>
      <c r="D4102" t="s">
        <v>584</v>
      </c>
      <c r="E4102" t="s">
        <v>621</v>
      </c>
      <c r="F4102" t="s">
        <v>35</v>
      </c>
      <c r="G4102" t="s">
        <v>35</v>
      </c>
      <c r="H4102" t="s">
        <v>35</v>
      </c>
      <c r="J4102" t="s">
        <v>4871</v>
      </c>
      <c r="K4102" t="s">
        <v>1092</v>
      </c>
      <c r="M4102">
        <v>11.025</v>
      </c>
      <c r="N4102">
        <v>64</v>
      </c>
      <c r="O4102" t="s">
        <v>61</v>
      </c>
      <c r="Q4102" t="s">
        <v>102</v>
      </c>
      <c r="R4102" t="s">
        <v>610</v>
      </c>
      <c r="S4102" t="s">
        <v>539</v>
      </c>
      <c r="T4102" t="s">
        <v>611</v>
      </c>
    </row>
    <row r="4103" spans="1:20" x14ac:dyDescent="0.25">
      <c r="A4103" t="s">
        <v>30</v>
      </c>
      <c r="B4103" t="s">
        <v>31</v>
      </c>
      <c r="C4103" t="s">
        <v>32</v>
      </c>
      <c r="D4103" t="s">
        <v>584</v>
      </c>
      <c r="E4103" t="s">
        <v>599</v>
      </c>
      <c r="F4103" t="s">
        <v>35</v>
      </c>
      <c r="G4103" t="s">
        <v>35</v>
      </c>
      <c r="H4103" t="s">
        <v>35</v>
      </c>
      <c r="J4103" t="s">
        <v>4678</v>
      </c>
      <c r="K4103" t="s">
        <v>1092</v>
      </c>
      <c r="M4103">
        <v>4.6349999999999998</v>
      </c>
      <c r="N4103">
        <v>148</v>
      </c>
      <c r="O4103" t="s">
        <v>38</v>
      </c>
      <c r="Q4103" t="s">
        <v>3942</v>
      </c>
      <c r="R4103" t="s">
        <v>610</v>
      </c>
      <c r="S4103" t="s">
        <v>539</v>
      </c>
      <c r="T4103" t="s">
        <v>611</v>
      </c>
    </row>
    <row r="4104" spans="1:20" x14ac:dyDescent="0.25">
      <c r="A4104" t="s">
        <v>30</v>
      </c>
      <c r="B4104" t="s">
        <v>31</v>
      </c>
      <c r="C4104" t="s">
        <v>32</v>
      </c>
      <c r="D4104" t="s">
        <v>584</v>
      </c>
      <c r="E4104" t="s">
        <v>4514</v>
      </c>
      <c r="F4104" t="s">
        <v>35</v>
      </c>
      <c r="G4104" t="s">
        <v>35</v>
      </c>
      <c r="H4104" t="s">
        <v>35</v>
      </c>
      <c r="J4104" t="s">
        <v>4522</v>
      </c>
      <c r="K4104" t="s">
        <v>1092</v>
      </c>
      <c r="M4104">
        <v>44.1</v>
      </c>
      <c r="N4104">
        <v>64</v>
      </c>
      <c r="O4104" t="s">
        <v>61</v>
      </c>
      <c r="Q4104" t="s">
        <v>102</v>
      </c>
      <c r="R4104" t="s">
        <v>610</v>
      </c>
      <c r="S4104" t="s">
        <v>539</v>
      </c>
      <c r="T4104" t="s">
        <v>611</v>
      </c>
    </row>
    <row r="4105" spans="1:20" x14ac:dyDescent="0.25">
      <c r="A4105" t="s">
        <v>59</v>
      </c>
      <c r="B4105" t="s">
        <v>31</v>
      </c>
      <c r="C4105" t="s">
        <v>32</v>
      </c>
      <c r="D4105" t="s">
        <v>584</v>
      </c>
      <c r="E4105" t="s">
        <v>4514</v>
      </c>
      <c r="F4105" t="s">
        <v>35</v>
      </c>
      <c r="G4105" t="s">
        <v>35</v>
      </c>
      <c r="H4105" t="s">
        <v>35</v>
      </c>
      <c r="J4105" t="s">
        <v>4522</v>
      </c>
      <c r="K4105" t="s">
        <v>1092</v>
      </c>
      <c r="M4105">
        <v>11.025</v>
      </c>
      <c r="N4105">
        <v>125</v>
      </c>
      <c r="O4105" t="s">
        <v>38</v>
      </c>
      <c r="Q4105" t="s">
        <v>2901</v>
      </c>
      <c r="R4105" t="s">
        <v>610</v>
      </c>
      <c r="S4105" t="s">
        <v>539</v>
      </c>
      <c r="T4105" t="s">
        <v>611</v>
      </c>
    </row>
    <row r="4106" spans="1:20" x14ac:dyDescent="0.25">
      <c r="A4106" t="s">
        <v>30</v>
      </c>
      <c r="B4106" t="s">
        <v>31</v>
      </c>
      <c r="C4106" t="s">
        <v>32</v>
      </c>
      <c r="D4106" t="s">
        <v>584</v>
      </c>
      <c r="E4106" t="s">
        <v>4514</v>
      </c>
      <c r="F4106" t="s">
        <v>35</v>
      </c>
      <c r="G4106" t="s">
        <v>35</v>
      </c>
      <c r="H4106" t="s">
        <v>35</v>
      </c>
      <c r="J4106" t="s">
        <v>4522</v>
      </c>
      <c r="K4106" t="s">
        <v>1092</v>
      </c>
      <c r="M4106">
        <v>6.6150000000000002</v>
      </c>
      <c r="N4106">
        <v>126</v>
      </c>
      <c r="O4106" t="s">
        <v>38</v>
      </c>
      <c r="Q4106" t="s">
        <v>68</v>
      </c>
      <c r="R4106" t="s">
        <v>610</v>
      </c>
      <c r="S4106" t="s">
        <v>539</v>
      </c>
      <c r="T4106" t="s">
        <v>611</v>
      </c>
    </row>
    <row r="4107" spans="1:20" x14ac:dyDescent="0.25">
      <c r="A4107" t="s">
        <v>30</v>
      </c>
      <c r="B4107" t="s">
        <v>31</v>
      </c>
      <c r="C4107" t="s">
        <v>32</v>
      </c>
      <c r="D4107" t="s">
        <v>584</v>
      </c>
      <c r="E4107" t="s">
        <v>585</v>
      </c>
      <c r="F4107" t="s">
        <v>35</v>
      </c>
      <c r="G4107" t="s">
        <v>35</v>
      </c>
      <c r="H4107" t="s">
        <v>35</v>
      </c>
      <c r="J4107" t="s">
        <v>4562</v>
      </c>
      <c r="K4107" t="s">
        <v>1092</v>
      </c>
      <c r="M4107">
        <v>11.025</v>
      </c>
      <c r="N4107">
        <v>126</v>
      </c>
      <c r="O4107" t="s">
        <v>38</v>
      </c>
      <c r="Q4107" t="s">
        <v>68</v>
      </c>
      <c r="R4107" t="s">
        <v>610</v>
      </c>
      <c r="S4107" t="s">
        <v>539</v>
      </c>
      <c r="T4107" t="s">
        <v>611</v>
      </c>
    </row>
    <row r="4108" spans="1:20" x14ac:dyDescent="0.25">
      <c r="A4108" t="s">
        <v>30</v>
      </c>
      <c r="B4108" t="s">
        <v>31</v>
      </c>
      <c r="C4108" t="s">
        <v>32</v>
      </c>
      <c r="D4108" t="s">
        <v>584</v>
      </c>
      <c r="E4108" t="s">
        <v>599</v>
      </c>
      <c r="F4108" t="s">
        <v>35</v>
      </c>
      <c r="G4108" t="s">
        <v>35</v>
      </c>
      <c r="H4108" t="s">
        <v>35</v>
      </c>
      <c r="J4108" t="s">
        <v>4623</v>
      </c>
      <c r="K4108" t="s">
        <v>1092</v>
      </c>
      <c r="M4108">
        <v>21.69</v>
      </c>
      <c r="N4108">
        <v>148</v>
      </c>
      <c r="O4108" t="s">
        <v>38</v>
      </c>
      <c r="Q4108" t="s">
        <v>3942</v>
      </c>
      <c r="R4108" t="s">
        <v>610</v>
      </c>
      <c r="S4108" t="s">
        <v>539</v>
      </c>
      <c r="T4108" t="s">
        <v>611</v>
      </c>
    </row>
    <row r="4109" spans="1:20" x14ac:dyDescent="0.25">
      <c r="A4109" t="s">
        <v>30</v>
      </c>
      <c r="B4109" t="s">
        <v>31</v>
      </c>
      <c r="C4109" t="s">
        <v>32</v>
      </c>
      <c r="D4109" t="s">
        <v>584</v>
      </c>
      <c r="E4109" t="s">
        <v>599</v>
      </c>
      <c r="F4109" t="s">
        <v>35</v>
      </c>
      <c r="G4109" t="s">
        <v>35</v>
      </c>
      <c r="H4109" t="s">
        <v>35</v>
      </c>
      <c r="J4109" t="s">
        <v>4623</v>
      </c>
      <c r="K4109" t="s">
        <v>1092</v>
      </c>
      <c r="M4109">
        <v>11.025</v>
      </c>
      <c r="N4109">
        <v>42</v>
      </c>
      <c r="O4109" t="s">
        <v>52</v>
      </c>
      <c r="Q4109" t="s">
        <v>219</v>
      </c>
      <c r="R4109" t="s">
        <v>610</v>
      </c>
      <c r="S4109" t="s">
        <v>539</v>
      </c>
      <c r="T4109" t="s">
        <v>611</v>
      </c>
    </row>
    <row r="4110" spans="1:20" x14ac:dyDescent="0.25">
      <c r="A4110" t="s">
        <v>30</v>
      </c>
      <c r="B4110" t="s">
        <v>31</v>
      </c>
      <c r="C4110" t="s">
        <v>32</v>
      </c>
      <c r="D4110" t="s">
        <v>584</v>
      </c>
      <c r="E4110" t="s">
        <v>4514</v>
      </c>
      <c r="F4110" t="s">
        <v>35</v>
      </c>
      <c r="G4110" t="s">
        <v>35</v>
      </c>
      <c r="H4110" t="s">
        <v>35</v>
      </c>
      <c r="J4110" t="s">
        <v>4525</v>
      </c>
      <c r="K4110" t="s">
        <v>1092</v>
      </c>
      <c r="M4110">
        <v>11.025</v>
      </c>
      <c r="N4110">
        <v>64</v>
      </c>
      <c r="O4110" t="s">
        <v>61</v>
      </c>
      <c r="Q4110" t="s">
        <v>102</v>
      </c>
      <c r="R4110" t="s">
        <v>610</v>
      </c>
      <c r="S4110" t="s">
        <v>539</v>
      </c>
      <c r="T4110" t="s">
        <v>611</v>
      </c>
    </row>
    <row r="4111" spans="1:20" x14ac:dyDescent="0.25">
      <c r="A4111" t="s">
        <v>30</v>
      </c>
      <c r="B4111" t="s">
        <v>31</v>
      </c>
      <c r="C4111" t="s">
        <v>32</v>
      </c>
      <c r="D4111" t="s">
        <v>584</v>
      </c>
      <c r="E4111" t="s">
        <v>621</v>
      </c>
      <c r="F4111" t="s">
        <v>35</v>
      </c>
      <c r="G4111" t="s">
        <v>35</v>
      </c>
      <c r="H4111" t="s">
        <v>35</v>
      </c>
      <c r="J4111" t="s">
        <v>4845</v>
      </c>
      <c r="K4111" t="s">
        <v>1092</v>
      </c>
      <c r="M4111">
        <v>5.5350000000000001</v>
      </c>
      <c r="N4111">
        <v>259</v>
      </c>
      <c r="O4111" t="s">
        <v>5</v>
      </c>
      <c r="Q4111" t="s">
        <v>117</v>
      </c>
      <c r="R4111" t="s">
        <v>610</v>
      </c>
      <c r="S4111" t="s">
        <v>539</v>
      </c>
      <c r="T4111" t="s">
        <v>611</v>
      </c>
    </row>
    <row r="4112" spans="1:20" x14ac:dyDescent="0.25">
      <c r="A4112" t="s">
        <v>30</v>
      </c>
      <c r="B4112" t="s">
        <v>31</v>
      </c>
      <c r="C4112" t="s">
        <v>32</v>
      </c>
      <c r="D4112" t="s">
        <v>584</v>
      </c>
      <c r="E4112" t="s">
        <v>621</v>
      </c>
      <c r="F4112" t="s">
        <v>35</v>
      </c>
      <c r="G4112" t="s">
        <v>35</v>
      </c>
      <c r="H4112" t="s">
        <v>35</v>
      </c>
      <c r="J4112" t="s">
        <v>4845</v>
      </c>
      <c r="K4112" t="s">
        <v>1092</v>
      </c>
      <c r="M4112">
        <v>2.52</v>
      </c>
      <c r="N4112">
        <v>360</v>
      </c>
      <c r="O4112" t="s">
        <v>5</v>
      </c>
      <c r="Q4112" t="s">
        <v>3978</v>
      </c>
      <c r="R4112" t="s">
        <v>610</v>
      </c>
      <c r="S4112" t="s">
        <v>539</v>
      </c>
      <c r="T4112" t="s">
        <v>611</v>
      </c>
    </row>
    <row r="4113" spans="1:20" x14ac:dyDescent="0.25">
      <c r="A4113" t="s">
        <v>44</v>
      </c>
      <c r="B4113" t="s">
        <v>51</v>
      </c>
      <c r="C4113" t="s">
        <v>32</v>
      </c>
      <c r="D4113" t="s">
        <v>584</v>
      </c>
      <c r="E4113" t="s">
        <v>599</v>
      </c>
      <c r="F4113" t="s">
        <v>35</v>
      </c>
      <c r="G4113" t="s">
        <v>35</v>
      </c>
      <c r="H4113" t="s">
        <v>35</v>
      </c>
      <c r="J4113" t="s">
        <v>590</v>
      </c>
      <c r="K4113" t="s">
        <v>37</v>
      </c>
      <c r="M4113">
        <v>2</v>
      </c>
      <c r="N4113">
        <v>74</v>
      </c>
      <c r="O4113" t="s">
        <v>61</v>
      </c>
      <c r="P4113" t="s">
        <v>615</v>
      </c>
      <c r="Q4113" t="s">
        <v>527</v>
      </c>
      <c r="R4113" t="s">
        <v>610</v>
      </c>
      <c r="S4113" t="s">
        <v>539</v>
      </c>
      <c r="T4113" t="s">
        <v>611</v>
      </c>
    </row>
    <row r="4114" spans="1:20" x14ac:dyDescent="0.25">
      <c r="A4114" t="s">
        <v>44</v>
      </c>
      <c r="B4114" t="s">
        <v>51</v>
      </c>
      <c r="C4114" t="s">
        <v>32</v>
      </c>
      <c r="D4114" t="s">
        <v>584</v>
      </c>
      <c r="E4114" t="s">
        <v>599</v>
      </c>
      <c r="F4114" t="s">
        <v>35</v>
      </c>
      <c r="G4114" t="s">
        <v>35</v>
      </c>
      <c r="H4114" t="s">
        <v>35</v>
      </c>
      <c r="J4114" t="s">
        <v>590</v>
      </c>
      <c r="K4114" t="s">
        <v>37</v>
      </c>
      <c r="M4114">
        <v>11</v>
      </c>
      <c r="N4114">
        <v>74</v>
      </c>
      <c r="O4114" t="s">
        <v>61</v>
      </c>
      <c r="P4114" t="s">
        <v>620</v>
      </c>
      <c r="Q4114" t="s">
        <v>527</v>
      </c>
      <c r="R4114" t="s">
        <v>610</v>
      </c>
      <c r="S4114" t="s">
        <v>539</v>
      </c>
      <c r="T4114" t="s">
        <v>611</v>
      </c>
    </row>
    <row r="4115" spans="1:20" x14ac:dyDescent="0.25">
      <c r="A4115" t="s">
        <v>59</v>
      </c>
      <c r="B4115" t="s">
        <v>31</v>
      </c>
      <c r="C4115" t="s">
        <v>32</v>
      </c>
      <c r="D4115" t="s">
        <v>584</v>
      </c>
      <c r="E4115" t="s">
        <v>621</v>
      </c>
      <c r="F4115" t="s">
        <v>35</v>
      </c>
      <c r="G4115" t="s">
        <v>35</v>
      </c>
      <c r="H4115" t="s">
        <v>35</v>
      </c>
      <c r="J4115" t="s">
        <v>4965</v>
      </c>
      <c r="K4115" t="s">
        <v>1092</v>
      </c>
      <c r="M4115">
        <v>0.13500000000000001</v>
      </c>
      <c r="N4115">
        <v>164</v>
      </c>
      <c r="O4115" t="s">
        <v>38</v>
      </c>
      <c r="Q4115" t="s">
        <v>3930</v>
      </c>
      <c r="R4115" t="s">
        <v>610</v>
      </c>
      <c r="S4115" t="s">
        <v>539</v>
      </c>
      <c r="T4115" t="s">
        <v>611</v>
      </c>
    </row>
    <row r="4116" spans="1:20" x14ac:dyDescent="0.25">
      <c r="A4116" t="s">
        <v>30</v>
      </c>
      <c r="B4116" t="s">
        <v>31</v>
      </c>
      <c r="C4116" t="s">
        <v>32</v>
      </c>
      <c r="D4116" t="s">
        <v>584</v>
      </c>
      <c r="E4116" t="s">
        <v>621</v>
      </c>
      <c r="F4116" t="s">
        <v>35</v>
      </c>
      <c r="G4116" t="s">
        <v>35</v>
      </c>
      <c r="H4116" t="s">
        <v>35</v>
      </c>
      <c r="J4116" t="s">
        <v>4846</v>
      </c>
      <c r="K4116" t="s">
        <v>1092</v>
      </c>
      <c r="M4116">
        <v>1.0349999999999999</v>
      </c>
      <c r="N4116">
        <v>289</v>
      </c>
      <c r="O4116" t="s">
        <v>5</v>
      </c>
      <c r="Q4116" t="s">
        <v>4253</v>
      </c>
      <c r="R4116" t="s">
        <v>610</v>
      </c>
      <c r="S4116" t="s">
        <v>539</v>
      </c>
      <c r="T4116" t="s">
        <v>611</v>
      </c>
    </row>
    <row r="4117" spans="1:20" x14ac:dyDescent="0.25">
      <c r="A4117" t="s">
        <v>30</v>
      </c>
      <c r="B4117" t="s">
        <v>31</v>
      </c>
      <c r="C4117" t="s">
        <v>32</v>
      </c>
      <c r="D4117" t="s">
        <v>584</v>
      </c>
      <c r="E4117" t="s">
        <v>599</v>
      </c>
      <c r="F4117" t="s">
        <v>35</v>
      </c>
      <c r="G4117" t="s">
        <v>35</v>
      </c>
      <c r="H4117" t="s">
        <v>35</v>
      </c>
      <c r="J4117" t="s">
        <v>4689</v>
      </c>
      <c r="K4117" t="s">
        <v>1092</v>
      </c>
      <c r="M4117">
        <v>11.025</v>
      </c>
      <c r="N4117">
        <v>42</v>
      </c>
      <c r="O4117" t="s">
        <v>52</v>
      </c>
      <c r="Q4117" t="s">
        <v>219</v>
      </c>
      <c r="R4117" t="s">
        <v>610</v>
      </c>
      <c r="S4117" t="s">
        <v>539</v>
      </c>
      <c r="T4117" t="s">
        <v>611</v>
      </c>
    </row>
    <row r="4118" spans="1:20" x14ac:dyDescent="0.25">
      <c r="A4118" t="s">
        <v>59</v>
      </c>
      <c r="B4118" t="s">
        <v>31</v>
      </c>
      <c r="C4118" t="s">
        <v>32</v>
      </c>
      <c r="D4118" t="s">
        <v>584</v>
      </c>
      <c r="E4118" t="s">
        <v>599</v>
      </c>
      <c r="F4118" t="s">
        <v>35</v>
      </c>
      <c r="G4118" t="s">
        <v>35</v>
      </c>
      <c r="H4118" t="s">
        <v>35</v>
      </c>
      <c r="J4118" t="s">
        <v>4689</v>
      </c>
      <c r="K4118" t="s">
        <v>1092</v>
      </c>
      <c r="M4118">
        <v>11.025</v>
      </c>
      <c r="N4118">
        <v>164</v>
      </c>
      <c r="O4118" t="s">
        <v>38</v>
      </c>
      <c r="Q4118" t="s">
        <v>3930</v>
      </c>
      <c r="R4118" t="s">
        <v>610</v>
      </c>
      <c r="S4118" t="s">
        <v>539</v>
      </c>
      <c r="T4118" t="s">
        <v>611</v>
      </c>
    </row>
    <row r="4119" spans="1:20" x14ac:dyDescent="0.25">
      <c r="A4119" t="s">
        <v>59</v>
      </c>
      <c r="B4119" t="s">
        <v>31</v>
      </c>
      <c r="C4119" t="s">
        <v>32</v>
      </c>
      <c r="D4119" t="s">
        <v>584</v>
      </c>
      <c r="E4119" t="s">
        <v>592</v>
      </c>
      <c r="F4119" t="s">
        <v>35</v>
      </c>
      <c r="G4119" t="s">
        <v>35</v>
      </c>
      <c r="H4119" t="s">
        <v>35</v>
      </c>
      <c r="J4119" t="s">
        <v>4622</v>
      </c>
      <c r="K4119" t="s">
        <v>1092</v>
      </c>
      <c r="M4119">
        <v>0.45</v>
      </c>
      <c r="N4119">
        <v>125</v>
      </c>
      <c r="O4119" t="s">
        <v>38</v>
      </c>
      <c r="Q4119" t="s">
        <v>2901</v>
      </c>
      <c r="R4119" t="s">
        <v>610</v>
      </c>
      <c r="S4119" t="s">
        <v>539</v>
      </c>
      <c r="T4119" t="s">
        <v>611</v>
      </c>
    </row>
    <row r="4120" spans="1:20" x14ac:dyDescent="0.25">
      <c r="A4120" t="s">
        <v>30</v>
      </c>
      <c r="B4120" t="s">
        <v>31</v>
      </c>
      <c r="C4120" t="s">
        <v>32</v>
      </c>
      <c r="D4120" t="s">
        <v>584</v>
      </c>
      <c r="E4120" t="s">
        <v>4769</v>
      </c>
      <c r="F4120" t="s">
        <v>35</v>
      </c>
      <c r="G4120" t="s">
        <v>35</v>
      </c>
      <c r="H4120" t="s">
        <v>35</v>
      </c>
      <c r="J4120" t="s">
        <v>4777</v>
      </c>
      <c r="K4120" t="s">
        <v>1092</v>
      </c>
      <c r="M4120">
        <v>3.645</v>
      </c>
      <c r="N4120">
        <v>88</v>
      </c>
      <c r="O4120" t="s">
        <v>61</v>
      </c>
      <c r="Q4120" t="s">
        <v>724</v>
      </c>
      <c r="R4120" t="s">
        <v>610</v>
      </c>
      <c r="S4120" t="s">
        <v>539</v>
      </c>
      <c r="T4120" t="s">
        <v>611</v>
      </c>
    </row>
    <row r="4121" spans="1:20" x14ac:dyDescent="0.25">
      <c r="A4121" t="s">
        <v>30</v>
      </c>
      <c r="B4121" t="s">
        <v>31</v>
      </c>
      <c r="C4121" t="s">
        <v>32</v>
      </c>
      <c r="D4121" t="s">
        <v>584</v>
      </c>
      <c r="E4121" t="s">
        <v>4733</v>
      </c>
      <c r="F4121" t="s">
        <v>35</v>
      </c>
      <c r="G4121" t="s">
        <v>35</v>
      </c>
      <c r="H4121" t="s">
        <v>35</v>
      </c>
      <c r="J4121" t="s">
        <v>4746</v>
      </c>
      <c r="K4121" t="s">
        <v>1092</v>
      </c>
      <c r="M4121">
        <v>11.025</v>
      </c>
      <c r="N4121">
        <v>148</v>
      </c>
      <c r="O4121" t="s">
        <v>38</v>
      </c>
      <c r="Q4121" t="s">
        <v>3942</v>
      </c>
      <c r="R4121" t="s">
        <v>610</v>
      </c>
      <c r="S4121" t="s">
        <v>539</v>
      </c>
      <c r="T4121" t="s">
        <v>611</v>
      </c>
    </row>
    <row r="4122" spans="1:20" x14ac:dyDescent="0.25">
      <c r="A4122" t="s">
        <v>30</v>
      </c>
      <c r="B4122" t="s">
        <v>31</v>
      </c>
      <c r="C4122" t="s">
        <v>32</v>
      </c>
      <c r="D4122" t="s">
        <v>584</v>
      </c>
      <c r="E4122" t="s">
        <v>4733</v>
      </c>
      <c r="F4122" t="s">
        <v>35</v>
      </c>
      <c r="G4122" t="s">
        <v>35</v>
      </c>
      <c r="H4122" t="s">
        <v>35</v>
      </c>
      <c r="J4122" t="s">
        <v>4746</v>
      </c>
      <c r="K4122" t="s">
        <v>1092</v>
      </c>
      <c r="M4122">
        <v>6.93</v>
      </c>
      <c r="N4122">
        <v>257</v>
      </c>
      <c r="O4122" t="s">
        <v>5</v>
      </c>
      <c r="Q4122" t="s">
        <v>1721</v>
      </c>
      <c r="R4122" t="s">
        <v>610</v>
      </c>
      <c r="S4122" t="s">
        <v>539</v>
      </c>
      <c r="T4122" t="s">
        <v>611</v>
      </c>
    </row>
    <row r="4123" spans="1:20" x14ac:dyDescent="0.25">
      <c r="A4123" t="s">
        <v>59</v>
      </c>
      <c r="B4123" t="s">
        <v>31</v>
      </c>
      <c r="C4123" t="s">
        <v>32</v>
      </c>
      <c r="D4123" t="s">
        <v>584</v>
      </c>
      <c r="E4123" t="s">
        <v>4733</v>
      </c>
      <c r="F4123" t="s">
        <v>35</v>
      </c>
      <c r="G4123" t="s">
        <v>35</v>
      </c>
      <c r="H4123" t="s">
        <v>35</v>
      </c>
      <c r="J4123" t="s">
        <v>4746</v>
      </c>
      <c r="K4123" t="s">
        <v>1092</v>
      </c>
      <c r="M4123">
        <v>9.9</v>
      </c>
      <c r="N4123">
        <v>133</v>
      </c>
      <c r="O4123" t="s">
        <v>38</v>
      </c>
      <c r="Q4123" t="s">
        <v>609</v>
      </c>
      <c r="R4123" t="s">
        <v>610</v>
      </c>
      <c r="S4123" t="s">
        <v>539</v>
      </c>
      <c r="T4123" t="s">
        <v>611</v>
      </c>
    </row>
    <row r="4124" spans="1:20" x14ac:dyDescent="0.25">
      <c r="A4124" t="s">
        <v>30</v>
      </c>
      <c r="B4124" t="s">
        <v>31</v>
      </c>
      <c r="C4124" t="s">
        <v>32</v>
      </c>
      <c r="D4124" t="s">
        <v>584</v>
      </c>
      <c r="E4124" t="s">
        <v>4514</v>
      </c>
      <c r="F4124" t="s">
        <v>35</v>
      </c>
      <c r="G4124" t="s">
        <v>35</v>
      </c>
      <c r="H4124" t="s">
        <v>35</v>
      </c>
      <c r="J4124" t="s">
        <v>4521</v>
      </c>
      <c r="K4124" t="s">
        <v>1092</v>
      </c>
      <c r="M4124">
        <v>13.05</v>
      </c>
      <c r="N4124">
        <v>87</v>
      </c>
      <c r="O4124" t="s">
        <v>61</v>
      </c>
      <c r="Q4124" t="s">
        <v>394</v>
      </c>
      <c r="R4124" t="s">
        <v>610</v>
      </c>
      <c r="S4124" t="s">
        <v>539</v>
      </c>
      <c r="T4124" t="s">
        <v>611</v>
      </c>
    </row>
    <row r="4125" spans="1:20" x14ac:dyDescent="0.25">
      <c r="A4125" t="s">
        <v>30</v>
      </c>
      <c r="B4125" t="s">
        <v>31</v>
      </c>
      <c r="C4125" t="s">
        <v>32</v>
      </c>
      <c r="D4125" t="s">
        <v>584</v>
      </c>
      <c r="E4125" t="s">
        <v>599</v>
      </c>
      <c r="F4125" t="s">
        <v>35</v>
      </c>
      <c r="G4125" t="s">
        <v>35</v>
      </c>
      <c r="H4125" t="s">
        <v>35</v>
      </c>
      <c r="J4125" t="s">
        <v>4696</v>
      </c>
      <c r="K4125" t="s">
        <v>1092</v>
      </c>
      <c r="M4125">
        <v>7.65</v>
      </c>
      <c r="N4125">
        <v>64</v>
      </c>
      <c r="O4125" t="s">
        <v>61</v>
      </c>
      <c r="Q4125" t="s">
        <v>102</v>
      </c>
      <c r="R4125" t="s">
        <v>610</v>
      </c>
      <c r="S4125" t="s">
        <v>539</v>
      </c>
      <c r="T4125" t="s">
        <v>611</v>
      </c>
    </row>
    <row r="4126" spans="1:20" x14ac:dyDescent="0.25">
      <c r="A4126" t="s">
        <v>30</v>
      </c>
      <c r="B4126" t="s">
        <v>31</v>
      </c>
      <c r="C4126" t="s">
        <v>32</v>
      </c>
      <c r="D4126" t="s">
        <v>584</v>
      </c>
      <c r="E4126" t="s">
        <v>4514</v>
      </c>
      <c r="F4126" t="s">
        <v>35</v>
      </c>
      <c r="G4126" t="s">
        <v>35</v>
      </c>
      <c r="H4126" t="s">
        <v>35</v>
      </c>
      <c r="J4126" t="s">
        <v>4520</v>
      </c>
      <c r="K4126" t="s">
        <v>1092</v>
      </c>
      <c r="M4126">
        <v>5.8949999999999996</v>
      </c>
      <c r="N4126">
        <v>126</v>
      </c>
      <c r="O4126" t="s">
        <v>38</v>
      </c>
      <c r="Q4126" t="s">
        <v>68</v>
      </c>
      <c r="R4126" t="s">
        <v>610</v>
      </c>
      <c r="S4126" t="s">
        <v>539</v>
      </c>
      <c r="T4126" t="s">
        <v>611</v>
      </c>
    </row>
    <row r="4127" spans="1:20" x14ac:dyDescent="0.25">
      <c r="A4127" t="s">
        <v>30</v>
      </c>
      <c r="B4127" t="s">
        <v>31</v>
      </c>
      <c r="C4127" t="s">
        <v>32</v>
      </c>
      <c r="D4127" t="s">
        <v>584</v>
      </c>
      <c r="E4127" t="s">
        <v>599</v>
      </c>
      <c r="F4127" t="s">
        <v>35</v>
      </c>
      <c r="G4127" t="s">
        <v>35</v>
      </c>
      <c r="H4127" t="s">
        <v>35</v>
      </c>
      <c r="J4127" t="s">
        <v>4654</v>
      </c>
      <c r="K4127" t="s">
        <v>1092</v>
      </c>
      <c r="M4127">
        <v>4.68</v>
      </c>
      <c r="N4127">
        <v>259</v>
      </c>
      <c r="O4127" t="s">
        <v>5</v>
      </c>
      <c r="Q4127" t="s">
        <v>117</v>
      </c>
      <c r="R4127" t="s">
        <v>610</v>
      </c>
      <c r="S4127" t="s">
        <v>539</v>
      </c>
      <c r="T4127" t="s">
        <v>611</v>
      </c>
    </row>
    <row r="4128" spans="1:20" x14ac:dyDescent="0.25">
      <c r="A4128" t="s">
        <v>30</v>
      </c>
      <c r="B4128" t="s">
        <v>31</v>
      </c>
      <c r="C4128" t="s">
        <v>32</v>
      </c>
      <c r="D4128" t="s">
        <v>584</v>
      </c>
      <c r="E4128" t="s">
        <v>599</v>
      </c>
      <c r="F4128" t="s">
        <v>35</v>
      </c>
      <c r="G4128" t="s">
        <v>35</v>
      </c>
      <c r="H4128" t="s">
        <v>35</v>
      </c>
      <c r="J4128" t="s">
        <v>4724</v>
      </c>
      <c r="K4128" t="s">
        <v>1092</v>
      </c>
      <c r="M4128">
        <v>8.2799999999999994</v>
      </c>
      <c r="N4128">
        <v>42</v>
      </c>
      <c r="O4128" t="s">
        <v>52</v>
      </c>
      <c r="Q4128" t="s">
        <v>219</v>
      </c>
      <c r="R4128" t="s">
        <v>610</v>
      </c>
      <c r="S4128" t="s">
        <v>539</v>
      </c>
      <c r="T4128" t="s">
        <v>611</v>
      </c>
    </row>
    <row r="4129" spans="1:20" x14ac:dyDescent="0.25">
      <c r="A4129" t="s">
        <v>30</v>
      </c>
      <c r="B4129" t="s">
        <v>31</v>
      </c>
      <c r="C4129" t="s">
        <v>32</v>
      </c>
      <c r="D4129" t="s">
        <v>584</v>
      </c>
      <c r="E4129" t="s">
        <v>4514</v>
      </c>
      <c r="F4129" t="s">
        <v>35</v>
      </c>
      <c r="G4129" t="s">
        <v>35</v>
      </c>
      <c r="H4129" t="s">
        <v>35</v>
      </c>
      <c r="J4129" t="s">
        <v>4523</v>
      </c>
      <c r="K4129" t="s">
        <v>1092</v>
      </c>
      <c r="M4129">
        <v>2.25</v>
      </c>
      <c r="N4129">
        <v>126</v>
      </c>
      <c r="O4129" t="s">
        <v>38</v>
      </c>
      <c r="Q4129" t="s">
        <v>68</v>
      </c>
      <c r="R4129" t="s">
        <v>610</v>
      </c>
      <c r="S4129" t="s">
        <v>539</v>
      </c>
      <c r="T4129" t="s">
        <v>611</v>
      </c>
    </row>
    <row r="4130" spans="1:20" x14ac:dyDescent="0.25">
      <c r="A4130" t="s">
        <v>30</v>
      </c>
      <c r="B4130" t="s">
        <v>31</v>
      </c>
      <c r="C4130" t="s">
        <v>32</v>
      </c>
      <c r="D4130" t="s">
        <v>584</v>
      </c>
      <c r="E4130" t="s">
        <v>621</v>
      </c>
      <c r="F4130" t="s">
        <v>35</v>
      </c>
      <c r="G4130" t="s">
        <v>35</v>
      </c>
      <c r="H4130" t="s">
        <v>35</v>
      </c>
      <c r="J4130" t="s">
        <v>4894</v>
      </c>
      <c r="K4130" t="s">
        <v>1092</v>
      </c>
      <c r="M4130">
        <v>11.385</v>
      </c>
      <c r="N4130">
        <v>64</v>
      </c>
      <c r="O4130" t="s">
        <v>61</v>
      </c>
      <c r="Q4130" t="s">
        <v>102</v>
      </c>
      <c r="R4130" t="s">
        <v>610</v>
      </c>
      <c r="S4130" t="s">
        <v>539</v>
      </c>
      <c r="T4130" t="s">
        <v>611</v>
      </c>
    </row>
    <row r="4131" spans="1:20" x14ac:dyDescent="0.25">
      <c r="A4131" t="s">
        <v>59</v>
      </c>
      <c r="B4131" t="s">
        <v>31</v>
      </c>
      <c r="C4131" t="s">
        <v>32</v>
      </c>
      <c r="D4131" t="s">
        <v>584</v>
      </c>
      <c r="E4131" t="s">
        <v>4486</v>
      </c>
      <c r="F4131" t="s">
        <v>35</v>
      </c>
      <c r="G4131" t="s">
        <v>35</v>
      </c>
      <c r="H4131" t="s">
        <v>35</v>
      </c>
      <c r="J4131" t="s">
        <v>4506</v>
      </c>
      <c r="K4131" t="s">
        <v>1092</v>
      </c>
      <c r="M4131">
        <v>3.51</v>
      </c>
      <c r="N4131">
        <v>124</v>
      </c>
      <c r="O4131" t="s">
        <v>38</v>
      </c>
      <c r="Q4131" t="s">
        <v>646</v>
      </c>
      <c r="R4131" t="s">
        <v>610</v>
      </c>
      <c r="S4131" t="s">
        <v>539</v>
      </c>
      <c r="T4131" t="s">
        <v>611</v>
      </c>
    </row>
    <row r="4132" spans="1:20" x14ac:dyDescent="0.25">
      <c r="A4132" t="s">
        <v>30</v>
      </c>
      <c r="B4132" t="s">
        <v>31</v>
      </c>
      <c r="C4132" t="s">
        <v>32</v>
      </c>
      <c r="D4132" t="s">
        <v>584</v>
      </c>
      <c r="E4132" t="s">
        <v>599</v>
      </c>
      <c r="F4132" t="s">
        <v>35</v>
      </c>
      <c r="G4132" t="s">
        <v>35</v>
      </c>
      <c r="H4132" t="s">
        <v>35</v>
      </c>
      <c r="J4132" t="s">
        <v>4630</v>
      </c>
      <c r="K4132" t="s">
        <v>1092</v>
      </c>
      <c r="M4132">
        <v>11.025</v>
      </c>
      <c r="N4132">
        <v>87</v>
      </c>
      <c r="O4132" t="s">
        <v>61</v>
      </c>
      <c r="Q4132" t="s">
        <v>394</v>
      </c>
      <c r="R4132" t="s">
        <v>610</v>
      </c>
      <c r="S4132" t="s">
        <v>539</v>
      </c>
      <c r="T4132" t="s">
        <v>611</v>
      </c>
    </row>
    <row r="4133" spans="1:20" x14ac:dyDescent="0.25">
      <c r="A4133" t="s">
        <v>30</v>
      </c>
      <c r="B4133" t="s">
        <v>31</v>
      </c>
      <c r="C4133" t="s">
        <v>32</v>
      </c>
      <c r="D4133" t="s">
        <v>584</v>
      </c>
      <c r="E4133" t="s">
        <v>4441</v>
      </c>
      <c r="F4133" t="s">
        <v>35</v>
      </c>
      <c r="G4133" t="s">
        <v>35</v>
      </c>
      <c r="H4133" t="s">
        <v>35</v>
      </c>
      <c r="J4133" t="s">
        <v>4480</v>
      </c>
      <c r="K4133" t="s">
        <v>1092</v>
      </c>
      <c r="M4133">
        <v>11.025</v>
      </c>
      <c r="N4133">
        <v>90</v>
      </c>
      <c r="O4133" t="s">
        <v>61</v>
      </c>
      <c r="Q4133" t="s">
        <v>557</v>
      </c>
      <c r="R4133" t="s">
        <v>610</v>
      </c>
      <c r="S4133" t="s">
        <v>539</v>
      </c>
      <c r="T4133" t="s">
        <v>611</v>
      </c>
    </row>
    <row r="4134" spans="1:20" x14ac:dyDescent="0.25">
      <c r="A4134" t="s">
        <v>30</v>
      </c>
      <c r="B4134" t="s">
        <v>31</v>
      </c>
      <c r="C4134" t="s">
        <v>32</v>
      </c>
      <c r="D4134" t="s">
        <v>584</v>
      </c>
      <c r="E4134" t="s">
        <v>4733</v>
      </c>
      <c r="F4134" t="s">
        <v>35</v>
      </c>
      <c r="G4134" t="s">
        <v>35</v>
      </c>
      <c r="H4134" t="s">
        <v>35</v>
      </c>
      <c r="J4134" t="s">
        <v>4757</v>
      </c>
      <c r="K4134" t="s">
        <v>1092</v>
      </c>
      <c r="M4134">
        <v>1.125</v>
      </c>
      <c r="N4134">
        <v>360</v>
      </c>
      <c r="O4134" t="s">
        <v>5</v>
      </c>
      <c r="Q4134" t="s">
        <v>3978</v>
      </c>
      <c r="R4134" t="s">
        <v>610</v>
      </c>
      <c r="S4134" t="s">
        <v>539</v>
      </c>
      <c r="T4134" t="s">
        <v>611</v>
      </c>
    </row>
    <row r="4135" spans="1:20" x14ac:dyDescent="0.25">
      <c r="A4135" t="s">
        <v>59</v>
      </c>
      <c r="B4135" t="s">
        <v>31</v>
      </c>
      <c r="C4135" t="s">
        <v>32</v>
      </c>
      <c r="D4135" t="s">
        <v>584</v>
      </c>
      <c r="E4135" t="s">
        <v>4733</v>
      </c>
      <c r="F4135" t="s">
        <v>35</v>
      </c>
      <c r="G4135" t="s">
        <v>35</v>
      </c>
      <c r="H4135" t="s">
        <v>35</v>
      </c>
      <c r="J4135" t="s">
        <v>4757</v>
      </c>
      <c r="K4135" t="s">
        <v>1092</v>
      </c>
      <c r="M4135">
        <v>10.664999999999999</v>
      </c>
      <c r="N4135">
        <v>164</v>
      </c>
      <c r="O4135" t="s">
        <v>38</v>
      </c>
      <c r="Q4135" t="s">
        <v>3930</v>
      </c>
      <c r="R4135" t="s">
        <v>610</v>
      </c>
      <c r="S4135" t="s">
        <v>539</v>
      </c>
      <c r="T4135" t="s">
        <v>611</v>
      </c>
    </row>
    <row r="4136" spans="1:20" x14ac:dyDescent="0.25">
      <c r="A4136" t="s">
        <v>59</v>
      </c>
      <c r="B4136" t="s">
        <v>31</v>
      </c>
      <c r="C4136" t="s">
        <v>32</v>
      </c>
      <c r="D4136" t="s">
        <v>584</v>
      </c>
      <c r="E4136" t="s">
        <v>4733</v>
      </c>
      <c r="F4136" t="s">
        <v>35</v>
      </c>
      <c r="G4136" t="s">
        <v>35</v>
      </c>
      <c r="H4136" t="s">
        <v>35</v>
      </c>
      <c r="J4136" t="s">
        <v>4757</v>
      </c>
      <c r="K4136" t="s">
        <v>1092</v>
      </c>
      <c r="M4136">
        <v>5.5350000000000001</v>
      </c>
      <c r="N4136">
        <v>124</v>
      </c>
      <c r="O4136" t="s">
        <v>38</v>
      </c>
      <c r="Q4136" t="s">
        <v>646</v>
      </c>
      <c r="R4136" t="s">
        <v>610</v>
      </c>
      <c r="S4136" t="s">
        <v>539</v>
      </c>
      <c r="T4136" t="s">
        <v>611</v>
      </c>
    </row>
    <row r="4137" spans="1:20" x14ac:dyDescent="0.25">
      <c r="A4137" t="s">
        <v>30</v>
      </c>
      <c r="B4137" t="s">
        <v>31</v>
      </c>
      <c r="C4137" t="s">
        <v>32</v>
      </c>
      <c r="D4137" t="s">
        <v>584</v>
      </c>
      <c r="E4137" t="s">
        <v>599</v>
      </c>
      <c r="F4137" t="s">
        <v>35</v>
      </c>
      <c r="G4137" t="s">
        <v>35</v>
      </c>
      <c r="H4137" t="s">
        <v>35</v>
      </c>
      <c r="J4137" t="s">
        <v>4660</v>
      </c>
      <c r="K4137" t="s">
        <v>1092</v>
      </c>
      <c r="M4137">
        <v>3.15</v>
      </c>
      <c r="N4137">
        <v>42</v>
      </c>
      <c r="O4137" t="s">
        <v>52</v>
      </c>
      <c r="Q4137" t="s">
        <v>219</v>
      </c>
      <c r="R4137" t="s">
        <v>610</v>
      </c>
      <c r="S4137" t="s">
        <v>539</v>
      </c>
      <c r="T4137" t="s">
        <v>611</v>
      </c>
    </row>
    <row r="4138" spans="1:20" x14ac:dyDescent="0.25">
      <c r="A4138" t="s">
        <v>59</v>
      </c>
      <c r="B4138" t="s">
        <v>31</v>
      </c>
      <c r="C4138" t="s">
        <v>32</v>
      </c>
      <c r="D4138" t="s">
        <v>584</v>
      </c>
      <c r="E4138" t="s">
        <v>621</v>
      </c>
      <c r="F4138" t="s">
        <v>35</v>
      </c>
      <c r="G4138" t="s">
        <v>35</v>
      </c>
      <c r="H4138" t="s">
        <v>35</v>
      </c>
      <c r="J4138" t="s">
        <v>4888</v>
      </c>
      <c r="K4138" t="s">
        <v>1092</v>
      </c>
      <c r="M4138">
        <v>3.0030000000000001</v>
      </c>
      <c r="N4138">
        <v>278</v>
      </c>
      <c r="O4138" t="s">
        <v>5</v>
      </c>
      <c r="Q4138" t="s">
        <v>1687</v>
      </c>
      <c r="R4138" t="s">
        <v>610</v>
      </c>
      <c r="S4138" t="s">
        <v>539</v>
      </c>
      <c r="T4138" t="s">
        <v>611</v>
      </c>
    </row>
    <row r="4139" spans="1:20" x14ac:dyDescent="0.25">
      <c r="A4139" t="s">
        <v>30</v>
      </c>
      <c r="B4139" t="s">
        <v>31</v>
      </c>
      <c r="C4139" t="s">
        <v>32</v>
      </c>
      <c r="D4139" t="s">
        <v>584</v>
      </c>
      <c r="E4139" t="s">
        <v>599</v>
      </c>
      <c r="F4139" t="s">
        <v>35</v>
      </c>
      <c r="G4139" t="s">
        <v>35</v>
      </c>
      <c r="H4139" t="s">
        <v>35</v>
      </c>
      <c r="J4139" t="s">
        <v>4662</v>
      </c>
      <c r="K4139" t="s">
        <v>1092</v>
      </c>
      <c r="M4139">
        <v>0.9</v>
      </c>
      <c r="N4139">
        <v>42</v>
      </c>
      <c r="O4139" t="s">
        <v>52</v>
      </c>
      <c r="Q4139" t="s">
        <v>219</v>
      </c>
      <c r="R4139" t="s">
        <v>610</v>
      </c>
      <c r="S4139" t="s">
        <v>539</v>
      </c>
      <c r="T4139" t="s">
        <v>611</v>
      </c>
    </row>
    <row r="4140" spans="1:20" x14ac:dyDescent="0.25">
      <c r="A4140" t="s">
        <v>59</v>
      </c>
      <c r="B4140" t="s">
        <v>60</v>
      </c>
      <c r="C4140" t="s">
        <v>32</v>
      </c>
      <c r="D4140" t="s">
        <v>584</v>
      </c>
      <c r="E4140" t="s">
        <v>621</v>
      </c>
      <c r="F4140" t="s">
        <v>35</v>
      </c>
      <c r="G4140" t="s">
        <v>35</v>
      </c>
      <c r="H4140" t="s">
        <v>35</v>
      </c>
      <c r="J4140" t="s">
        <v>4826</v>
      </c>
      <c r="K4140" t="s">
        <v>1092</v>
      </c>
      <c r="M4140">
        <v>1.35</v>
      </c>
      <c r="N4140">
        <v>278</v>
      </c>
      <c r="O4140" t="s">
        <v>5</v>
      </c>
      <c r="Q4140" t="s">
        <v>1687</v>
      </c>
      <c r="R4140" t="s">
        <v>610</v>
      </c>
      <c r="S4140" t="s">
        <v>539</v>
      </c>
      <c r="T4140" t="s">
        <v>611</v>
      </c>
    </row>
    <row r="4141" spans="1:20" x14ac:dyDescent="0.25">
      <c r="A4141" t="s">
        <v>30</v>
      </c>
      <c r="B4141" t="s">
        <v>31</v>
      </c>
      <c r="C4141" t="s">
        <v>32</v>
      </c>
      <c r="D4141" t="s">
        <v>584</v>
      </c>
      <c r="E4141" t="s">
        <v>621</v>
      </c>
      <c r="F4141" t="s">
        <v>35</v>
      </c>
      <c r="G4141" t="s">
        <v>35</v>
      </c>
      <c r="H4141" t="s">
        <v>35</v>
      </c>
      <c r="J4141" t="s">
        <v>4877</v>
      </c>
      <c r="K4141" t="s">
        <v>1092</v>
      </c>
      <c r="M4141">
        <v>8.5500000000000007</v>
      </c>
      <c r="N4141">
        <v>148</v>
      </c>
      <c r="O4141" t="s">
        <v>38</v>
      </c>
      <c r="Q4141" t="s">
        <v>3942</v>
      </c>
      <c r="R4141" t="s">
        <v>610</v>
      </c>
      <c r="S4141" t="s">
        <v>539</v>
      </c>
      <c r="T4141" t="s">
        <v>611</v>
      </c>
    </row>
    <row r="4142" spans="1:20" x14ac:dyDescent="0.25">
      <c r="A4142" t="s">
        <v>30</v>
      </c>
      <c r="B4142" t="s">
        <v>31</v>
      </c>
      <c r="C4142" t="s">
        <v>32</v>
      </c>
      <c r="D4142" t="s">
        <v>584</v>
      </c>
      <c r="E4142" t="s">
        <v>4769</v>
      </c>
      <c r="F4142" t="s">
        <v>35</v>
      </c>
      <c r="G4142" t="s">
        <v>35</v>
      </c>
      <c r="H4142" t="s">
        <v>35</v>
      </c>
      <c r="J4142" t="s">
        <v>4776</v>
      </c>
      <c r="K4142" t="s">
        <v>1092</v>
      </c>
      <c r="M4142">
        <v>4.7249999999999996</v>
      </c>
      <c r="N4142">
        <v>116</v>
      </c>
      <c r="O4142" t="s">
        <v>106</v>
      </c>
      <c r="Q4142" t="s">
        <v>3534</v>
      </c>
      <c r="R4142" t="s">
        <v>610</v>
      </c>
      <c r="S4142" t="s">
        <v>539</v>
      </c>
      <c r="T4142" t="s">
        <v>611</v>
      </c>
    </row>
    <row r="4143" spans="1:20" x14ac:dyDescent="0.25">
      <c r="A4143" t="s">
        <v>30</v>
      </c>
      <c r="B4143" t="s">
        <v>31</v>
      </c>
      <c r="C4143" t="s">
        <v>32</v>
      </c>
      <c r="D4143" t="s">
        <v>584</v>
      </c>
      <c r="E4143" t="s">
        <v>4514</v>
      </c>
      <c r="F4143" t="s">
        <v>35</v>
      </c>
      <c r="G4143" t="s">
        <v>35</v>
      </c>
      <c r="H4143" t="s">
        <v>35</v>
      </c>
      <c r="J4143" t="s">
        <v>4530</v>
      </c>
      <c r="K4143" t="s">
        <v>1092</v>
      </c>
      <c r="M4143">
        <v>3.6</v>
      </c>
      <c r="N4143">
        <v>126</v>
      </c>
      <c r="O4143" t="s">
        <v>38</v>
      </c>
      <c r="Q4143" t="s">
        <v>68</v>
      </c>
      <c r="R4143" t="s">
        <v>610</v>
      </c>
      <c r="S4143" t="s">
        <v>539</v>
      </c>
      <c r="T4143" t="s">
        <v>611</v>
      </c>
    </row>
    <row r="4144" spans="1:20" x14ac:dyDescent="0.25">
      <c r="A4144" t="s">
        <v>59</v>
      </c>
      <c r="B4144" t="s">
        <v>31</v>
      </c>
      <c r="C4144" t="s">
        <v>32</v>
      </c>
      <c r="D4144" t="s">
        <v>584</v>
      </c>
      <c r="E4144" t="s">
        <v>4769</v>
      </c>
      <c r="F4144" t="s">
        <v>35</v>
      </c>
      <c r="G4144" t="s">
        <v>35</v>
      </c>
      <c r="H4144" t="s">
        <v>35</v>
      </c>
      <c r="J4144" t="s">
        <v>4772</v>
      </c>
      <c r="K4144" t="s">
        <v>1092</v>
      </c>
      <c r="M4144">
        <v>0.54</v>
      </c>
      <c r="N4144">
        <v>124</v>
      </c>
      <c r="O4144" t="s">
        <v>38</v>
      </c>
      <c r="Q4144" t="s">
        <v>646</v>
      </c>
      <c r="R4144" t="s">
        <v>610</v>
      </c>
      <c r="S4144" t="s">
        <v>539</v>
      </c>
      <c r="T4144" t="s">
        <v>611</v>
      </c>
    </row>
    <row r="4145" spans="1:20" x14ac:dyDescent="0.25">
      <c r="A4145" t="s">
        <v>30</v>
      </c>
      <c r="B4145" t="s">
        <v>31</v>
      </c>
      <c r="C4145" t="s">
        <v>32</v>
      </c>
      <c r="D4145" t="s">
        <v>584</v>
      </c>
      <c r="E4145" t="s">
        <v>621</v>
      </c>
      <c r="F4145" t="s">
        <v>35</v>
      </c>
      <c r="G4145" t="s">
        <v>35</v>
      </c>
      <c r="H4145" t="s">
        <v>35</v>
      </c>
      <c r="J4145" t="s">
        <v>4929</v>
      </c>
      <c r="K4145" t="s">
        <v>1092</v>
      </c>
      <c r="M4145">
        <v>8.3699999999999992</v>
      </c>
      <c r="N4145">
        <v>64</v>
      </c>
      <c r="O4145" t="s">
        <v>61</v>
      </c>
      <c r="Q4145" t="s">
        <v>102</v>
      </c>
      <c r="R4145" t="s">
        <v>610</v>
      </c>
      <c r="S4145" t="s">
        <v>539</v>
      </c>
      <c r="T4145" t="s">
        <v>611</v>
      </c>
    </row>
    <row r="4146" spans="1:20" x14ac:dyDescent="0.25">
      <c r="A4146" t="s">
        <v>30</v>
      </c>
      <c r="B4146" t="s">
        <v>31</v>
      </c>
      <c r="C4146" t="s">
        <v>32</v>
      </c>
      <c r="D4146" t="s">
        <v>584</v>
      </c>
      <c r="E4146" t="s">
        <v>4514</v>
      </c>
      <c r="F4146" t="s">
        <v>35</v>
      </c>
      <c r="G4146" t="s">
        <v>35</v>
      </c>
      <c r="H4146" t="s">
        <v>35</v>
      </c>
      <c r="J4146" t="s">
        <v>4527</v>
      </c>
      <c r="K4146" t="s">
        <v>1092</v>
      </c>
      <c r="M4146">
        <v>3.105</v>
      </c>
      <c r="N4146">
        <v>125</v>
      </c>
      <c r="O4146" t="s">
        <v>38</v>
      </c>
      <c r="Q4146" t="s">
        <v>2901</v>
      </c>
      <c r="R4146" t="s">
        <v>610</v>
      </c>
      <c r="S4146" t="s">
        <v>539</v>
      </c>
      <c r="T4146" t="s">
        <v>611</v>
      </c>
    </row>
    <row r="4147" spans="1:20" x14ac:dyDescent="0.25">
      <c r="A4147" t="s">
        <v>30</v>
      </c>
      <c r="B4147" t="s">
        <v>31</v>
      </c>
      <c r="C4147" t="s">
        <v>32</v>
      </c>
      <c r="D4147" t="s">
        <v>584</v>
      </c>
      <c r="E4147" t="s">
        <v>4769</v>
      </c>
      <c r="F4147" t="s">
        <v>35</v>
      </c>
      <c r="G4147" t="s">
        <v>35</v>
      </c>
      <c r="H4147" t="s">
        <v>35</v>
      </c>
      <c r="J4147" t="s">
        <v>4778</v>
      </c>
      <c r="K4147" t="s">
        <v>1092</v>
      </c>
      <c r="M4147">
        <v>8.3699999999999992</v>
      </c>
      <c r="N4147">
        <v>88</v>
      </c>
      <c r="O4147" t="s">
        <v>61</v>
      </c>
      <c r="Q4147" t="s">
        <v>724</v>
      </c>
      <c r="R4147" t="s">
        <v>610</v>
      </c>
      <c r="S4147" t="s">
        <v>539</v>
      </c>
      <c r="T4147" t="s">
        <v>611</v>
      </c>
    </row>
    <row r="4148" spans="1:20" x14ac:dyDescent="0.25">
      <c r="A4148" t="s">
        <v>59</v>
      </c>
      <c r="B4148" t="s">
        <v>31</v>
      </c>
      <c r="C4148" t="s">
        <v>32</v>
      </c>
      <c r="D4148" t="s">
        <v>584</v>
      </c>
      <c r="E4148" t="s">
        <v>621</v>
      </c>
      <c r="F4148" t="s">
        <v>35</v>
      </c>
      <c r="G4148" t="s">
        <v>35</v>
      </c>
      <c r="H4148" t="s">
        <v>35</v>
      </c>
      <c r="J4148" t="s">
        <v>4962</v>
      </c>
      <c r="K4148" t="s">
        <v>1092</v>
      </c>
      <c r="M4148">
        <v>8.82</v>
      </c>
      <c r="N4148">
        <v>164</v>
      </c>
      <c r="O4148" t="s">
        <v>38</v>
      </c>
      <c r="Q4148" t="s">
        <v>3930</v>
      </c>
      <c r="R4148" t="s">
        <v>610</v>
      </c>
      <c r="S4148" t="s">
        <v>539</v>
      </c>
      <c r="T4148" t="s">
        <v>611</v>
      </c>
    </row>
    <row r="4149" spans="1:20" x14ac:dyDescent="0.25">
      <c r="A4149" t="s">
        <v>59</v>
      </c>
      <c r="B4149" t="s">
        <v>31</v>
      </c>
      <c r="C4149" t="s">
        <v>32</v>
      </c>
      <c r="D4149" t="s">
        <v>584</v>
      </c>
      <c r="E4149" t="s">
        <v>621</v>
      </c>
      <c r="F4149" t="s">
        <v>35</v>
      </c>
      <c r="G4149" t="s">
        <v>35</v>
      </c>
      <c r="H4149" t="s">
        <v>35</v>
      </c>
      <c r="J4149" t="s">
        <v>4828</v>
      </c>
      <c r="K4149" t="s">
        <v>1092</v>
      </c>
      <c r="M4149">
        <v>3.8250000000000002</v>
      </c>
      <c r="N4149">
        <v>116</v>
      </c>
      <c r="O4149" t="s">
        <v>106</v>
      </c>
      <c r="Q4149" t="s">
        <v>3534</v>
      </c>
      <c r="R4149" t="s">
        <v>610</v>
      </c>
      <c r="S4149" t="s">
        <v>539</v>
      </c>
      <c r="T4149" t="s">
        <v>611</v>
      </c>
    </row>
    <row r="4150" spans="1:20" x14ac:dyDescent="0.25">
      <c r="A4150" t="s">
        <v>59</v>
      </c>
      <c r="B4150" t="s">
        <v>31</v>
      </c>
      <c r="C4150" t="s">
        <v>32</v>
      </c>
      <c r="D4150" t="s">
        <v>584</v>
      </c>
      <c r="E4150" t="s">
        <v>4769</v>
      </c>
      <c r="F4150" t="s">
        <v>35</v>
      </c>
      <c r="G4150" t="s">
        <v>35</v>
      </c>
      <c r="H4150" t="s">
        <v>35</v>
      </c>
      <c r="J4150" t="s">
        <v>4770</v>
      </c>
      <c r="K4150" t="s">
        <v>1092</v>
      </c>
      <c r="M4150">
        <v>0.09</v>
      </c>
      <c r="N4150">
        <v>22</v>
      </c>
      <c r="O4150" t="s">
        <v>46</v>
      </c>
      <c r="Q4150" t="s">
        <v>1645</v>
      </c>
      <c r="R4150" t="s">
        <v>610</v>
      </c>
      <c r="S4150" t="s">
        <v>539</v>
      </c>
      <c r="T4150" t="s">
        <v>611</v>
      </c>
    </row>
    <row r="4151" spans="1:20" x14ac:dyDescent="0.25">
      <c r="A4151" t="s">
        <v>59</v>
      </c>
      <c r="B4151" t="s">
        <v>60</v>
      </c>
      <c r="C4151" t="s">
        <v>32</v>
      </c>
      <c r="D4151" t="s">
        <v>584</v>
      </c>
      <c r="E4151" t="s">
        <v>4441</v>
      </c>
      <c r="F4151" t="s">
        <v>35</v>
      </c>
      <c r="G4151" t="s">
        <v>35</v>
      </c>
      <c r="H4151" t="s">
        <v>35</v>
      </c>
      <c r="J4151" t="s">
        <v>4451</v>
      </c>
      <c r="K4151" t="s">
        <v>1092</v>
      </c>
      <c r="M4151">
        <v>0.8</v>
      </c>
      <c r="N4151">
        <v>191</v>
      </c>
      <c r="O4151" t="s">
        <v>5</v>
      </c>
      <c r="Q4151" t="s">
        <v>4086</v>
      </c>
      <c r="R4151" t="s">
        <v>610</v>
      </c>
      <c r="S4151" t="s">
        <v>539</v>
      </c>
      <c r="T4151" t="s">
        <v>611</v>
      </c>
    </row>
    <row r="4152" spans="1:20" x14ac:dyDescent="0.25">
      <c r="A4152" t="s">
        <v>30</v>
      </c>
      <c r="B4152" t="s">
        <v>31</v>
      </c>
      <c r="C4152" t="s">
        <v>32</v>
      </c>
      <c r="D4152" t="s">
        <v>584</v>
      </c>
      <c r="E4152" t="s">
        <v>4733</v>
      </c>
      <c r="F4152" t="s">
        <v>35</v>
      </c>
      <c r="G4152" t="s">
        <v>35</v>
      </c>
      <c r="H4152" t="s">
        <v>35</v>
      </c>
      <c r="J4152" t="s">
        <v>4756</v>
      </c>
      <c r="K4152" t="s">
        <v>1092</v>
      </c>
      <c r="M4152">
        <v>11.025</v>
      </c>
      <c r="N4152">
        <v>42</v>
      </c>
      <c r="O4152" t="s">
        <v>52</v>
      </c>
      <c r="Q4152" t="s">
        <v>219</v>
      </c>
      <c r="R4152" t="s">
        <v>610</v>
      </c>
      <c r="S4152" t="s">
        <v>539</v>
      </c>
      <c r="T4152" t="s">
        <v>611</v>
      </c>
    </row>
    <row r="4153" spans="1:20" x14ac:dyDescent="0.25">
      <c r="A4153" t="s">
        <v>30</v>
      </c>
      <c r="B4153" t="s">
        <v>31</v>
      </c>
      <c r="C4153" t="s">
        <v>32</v>
      </c>
      <c r="D4153" t="s">
        <v>584</v>
      </c>
      <c r="E4153" t="s">
        <v>621</v>
      </c>
      <c r="F4153" t="s">
        <v>35</v>
      </c>
      <c r="G4153" t="s">
        <v>35</v>
      </c>
      <c r="H4153" t="s">
        <v>35</v>
      </c>
      <c r="J4153" t="s">
        <v>4932</v>
      </c>
      <c r="K4153" t="s">
        <v>1092</v>
      </c>
      <c r="M4153">
        <v>9.125</v>
      </c>
      <c r="N4153">
        <v>64</v>
      </c>
      <c r="O4153" t="s">
        <v>61</v>
      </c>
      <c r="Q4153" t="s">
        <v>102</v>
      </c>
      <c r="R4153" t="s">
        <v>610</v>
      </c>
      <c r="S4153" t="s">
        <v>539</v>
      </c>
      <c r="T4153" t="s">
        <v>611</v>
      </c>
    </row>
    <row r="4154" spans="1:20" x14ac:dyDescent="0.25">
      <c r="A4154" t="s">
        <v>30</v>
      </c>
      <c r="B4154" t="s">
        <v>31</v>
      </c>
      <c r="C4154" t="s">
        <v>32</v>
      </c>
      <c r="D4154" t="s">
        <v>584</v>
      </c>
      <c r="E4154" t="s">
        <v>599</v>
      </c>
      <c r="F4154" t="s">
        <v>35</v>
      </c>
      <c r="G4154" t="s">
        <v>35</v>
      </c>
      <c r="H4154" t="s">
        <v>35</v>
      </c>
      <c r="J4154" t="s">
        <v>4629</v>
      </c>
      <c r="K4154" t="s">
        <v>1092</v>
      </c>
      <c r="M4154">
        <v>4.2750000000000004</v>
      </c>
      <c r="N4154">
        <v>88</v>
      </c>
      <c r="O4154" t="s">
        <v>61</v>
      </c>
      <c r="Q4154" t="s">
        <v>724</v>
      </c>
      <c r="R4154" t="s">
        <v>610</v>
      </c>
      <c r="S4154" t="s">
        <v>539</v>
      </c>
      <c r="T4154" t="s">
        <v>611</v>
      </c>
    </row>
    <row r="4155" spans="1:20" x14ac:dyDescent="0.25">
      <c r="A4155" t="s">
        <v>30</v>
      </c>
      <c r="B4155" t="s">
        <v>31</v>
      </c>
      <c r="C4155" t="s">
        <v>32</v>
      </c>
      <c r="D4155" t="s">
        <v>584</v>
      </c>
      <c r="E4155" t="s">
        <v>4486</v>
      </c>
      <c r="F4155" t="s">
        <v>35</v>
      </c>
      <c r="G4155" t="s">
        <v>35</v>
      </c>
      <c r="H4155" t="s">
        <v>35</v>
      </c>
      <c r="J4155" t="s">
        <v>4491</v>
      </c>
      <c r="K4155" t="s">
        <v>1092</v>
      </c>
      <c r="M4155">
        <v>6.84</v>
      </c>
      <c r="N4155">
        <v>64</v>
      </c>
      <c r="O4155" t="s">
        <v>61</v>
      </c>
      <c r="Q4155" t="s">
        <v>102</v>
      </c>
      <c r="R4155" t="s">
        <v>610</v>
      </c>
      <c r="S4155" t="s">
        <v>539</v>
      </c>
      <c r="T4155" t="s">
        <v>611</v>
      </c>
    </row>
    <row r="4156" spans="1:20" x14ac:dyDescent="0.25">
      <c r="A4156" t="s">
        <v>59</v>
      </c>
      <c r="B4156" t="s">
        <v>31</v>
      </c>
      <c r="C4156" t="s">
        <v>32</v>
      </c>
      <c r="D4156" t="s">
        <v>584</v>
      </c>
      <c r="E4156" t="s">
        <v>4769</v>
      </c>
      <c r="F4156" t="s">
        <v>35</v>
      </c>
      <c r="G4156" t="s">
        <v>35</v>
      </c>
      <c r="H4156" t="s">
        <v>35</v>
      </c>
      <c r="J4156" t="s">
        <v>4779</v>
      </c>
      <c r="K4156" t="s">
        <v>1092</v>
      </c>
      <c r="M4156">
        <v>4.2750000000000004</v>
      </c>
      <c r="N4156">
        <v>125</v>
      </c>
      <c r="O4156" t="s">
        <v>38</v>
      </c>
      <c r="Q4156" t="s">
        <v>2901</v>
      </c>
      <c r="R4156" t="s">
        <v>610</v>
      </c>
      <c r="S4156" t="s">
        <v>539</v>
      </c>
      <c r="T4156" t="s">
        <v>611</v>
      </c>
    </row>
    <row r="4157" spans="1:20" x14ac:dyDescent="0.25">
      <c r="A4157" t="s">
        <v>30</v>
      </c>
      <c r="B4157" t="s">
        <v>31</v>
      </c>
      <c r="C4157" t="s">
        <v>32</v>
      </c>
      <c r="D4157" t="s">
        <v>584</v>
      </c>
      <c r="E4157" t="s">
        <v>4486</v>
      </c>
      <c r="F4157" t="s">
        <v>35</v>
      </c>
      <c r="G4157" t="s">
        <v>35</v>
      </c>
      <c r="H4157" t="s">
        <v>35</v>
      </c>
      <c r="J4157" t="s">
        <v>4492</v>
      </c>
      <c r="K4157" t="s">
        <v>1092</v>
      </c>
      <c r="M4157">
        <v>8.5950000000000006</v>
      </c>
      <c r="N4157">
        <v>64</v>
      </c>
      <c r="O4157" t="s">
        <v>61</v>
      </c>
      <c r="Q4157" t="s">
        <v>102</v>
      </c>
      <c r="R4157" t="s">
        <v>610</v>
      </c>
      <c r="S4157" t="s">
        <v>539</v>
      </c>
      <c r="T4157" t="s">
        <v>611</v>
      </c>
    </row>
    <row r="4158" spans="1:20" x14ac:dyDescent="0.25">
      <c r="A4158" t="s">
        <v>30</v>
      </c>
      <c r="B4158" t="s">
        <v>31</v>
      </c>
      <c r="C4158" t="s">
        <v>32</v>
      </c>
      <c r="D4158" t="s">
        <v>584</v>
      </c>
      <c r="E4158" t="s">
        <v>4514</v>
      </c>
      <c r="F4158" t="s">
        <v>35</v>
      </c>
      <c r="G4158" t="s">
        <v>35</v>
      </c>
      <c r="H4158" t="s">
        <v>35</v>
      </c>
      <c r="J4158" t="s">
        <v>4528</v>
      </c>
      <c r="K4158" t="s">
        <v>1092</v>
      </c>
      <c r="M4158">
        <v>3.6</v>
      </c>
      <c r="N4158">
        <v>64</v>
      </c>
      <c r="O4158" t="s">
        <v>61</v>
      </c>
      <c r="Q4158" t="s">
        <v>102</v>
      </c>
      <c r="R4158" t="s">
        <v>610</v>
      </c>
      <c r="S4158" t="s">
        <v>539</v>
      </c>
      <c r="T4158" t="s">
        <v>611</v>
      </c>
    </row>
    <row r="4159" spans="1:20" x14ac:dyDescent="0.25">
      <c r="A4159" t="s">
        <v>30</v>
      </c>
      <c r="B4159" t="s">
        <v>31</v>
      </c>
      <c r="C4159" t="s">
        <v>32</v>
      </c>
      <c r="D4159" t="s">
        <v>584</v>
      </c>
      <c r="E4159" t="s">
        <v>4441</v>
      </c>
      <c r="F4159" t="s">
        <v>35</v>
      </c>
      <c r="G4159" t="s">
        <v>35</v>
      </c>
      <c r="H4159" t="s">
        <v>35</v>
      </c>
      <c r="J4159" t="s">
        <v>4474</v>
      </c>
      <c r="K4159" t="s">
        <v>1092</v>
      </c>
      <c r="M4159">
        <v>22.05</v>
      </c>
      <c r="N4159">
        <v>64</v>
      </c>
      <c r="O4159" t="s">
        <v>61</v>
      </c>
      <c r="Q4159" t="s">
        <v>102</v>
      </c>
      <c r="R4159" t="s">
        <v>610</v>
      </c>
      <c r="S4159" t="s">
        <v>539</v>
      </c>
      <c r="T4159" t="s">
        <v>611</v>
      </c>
    </row>
    <row r="4160" spans="1:20" x14ac:dyDescent="0.25">
      <c r="A4160" t="s">
        <v>30</v>
      </c>
      <c r="B4160" t="s">
        <v>31</v>
      </c>
      <c r="C4160" t="s">
        <v>32</v>
      </c>
      <c r="D4160" t="s">
        <v>584</v>
      </c>
      <c r="E4160" t="s">
        <v>4441</v>
      </c>
      <c r="F4160" t="s">
        <v>35</v>
      </c>
      <c r="G4160" t="s">
        <v>35</v>
      </c>
      <c r="H4160" t="s">
        <v>35</v>
      </c>
      <c r="J4160" t="s">
        <v>4474</v>
      </c>
      <c r="K4160" t="s">
        <v>1092</v>
      </c>
      <c r="M4160">
        <v>8.2349999999999994</v>
      </c>
      <c r="N4160">
        <v>125</v>
      </c>
      <c r="O4160" t="s">
        <v>38</v>
      </c>
      <c r="Q4160" t="s">
        <v>2901</v>
      </c>
      <c r="R4160" t="s">
        <v>610</v>
      </c>
      <c r="S4160" t="s">
        <v>539</v>
      </c>
      <c r="T4160" t="s">
        <v>611</v>
      </c>
    </row>
    <row r="4161" spans="1:20" x14ac:dyDescent="0.25">
      <c r="A4161" t="s">
        <v>30</v>
      </c>
      <c r="B4161" t="s">
        <v>31</v>
      </c>
      <c r="C4161" t="s">
        <v>32</v>
      </c>
      <c r="D4161" t="s">
        <v>584</v>
      </c>
      <c r="E4161" t="s">
        <v>621</v>
      </c>
      <c r="F4161" t="s">
        <v>35</v>
      </c>
      <c r="G4161" t="s">
        <v>35</v>
      </c>
      <c r="H4161" t="s">
        <v>35</v>
      </c>
      <c r="J4161" t="s">
        <v>4803</v>
      </c>
      <c r="K4161" t="s">
        <v>1092</v>
      </c>
      <c r="M4161">
        <v>4.0049999999999999</v>
      </c>
      <c r="N4161">
        <v>126</v>
      </c>
      <c r="O4161" t="s">
        <v>38</v>
      </c>
      <c r="Q4161" t="s">
        <v>68</v>
      </c>
      <c r="R4161" t="s">
        <v>610</v>
      </c>
      <c r="S4161" t="s">
        <v>539</v>
      </c>
      <c r="T4161" t="s">
        <v>611</v>
      </c>
    </row>
    <row r="4162" spans="1:20" x14ac:dyDescent="0.25">
      <c r="A4162" t="s">
        <v>59</v>
      </c>
      <c r="B4162" t="s">
        <v>31</v>
      </c>
      <c r="C4162" t="s">
        <v>32</v>
      </c>
      <c r="D4162" t="s">
        <v>584</v>
      </c>
      <c r="E4162" t="s">
        <v>585</v>
      </c>
      <c r="F4162" t="s">
        <v>35</v>
      </c>
      <c r="G4162" t="s">
        <v>35</v>
      </c>
      <c r="H4162" t="s">
        <v>35</v>
      </c>
      <c r="J4162" t="s">
        <v>4591</v>
      </c>
      <c r="K4162" t="s">
        <v>1092</v>
      </c>
      <c r="M4162">
        <v>0.27</v>
      </c>
      <c r="N4162">
        <v>164</v>
      </c>
      <c r="O4162" t="s">
        <v>38</v>
      </c>
      <c r="Q4162" t="s">
        <v>3930</v>
      </c>
      <c r="R4162" t="s">
        <v>610</v>
      </c>
      <c r="S4162" t="s">
        <v>539</v>
      </c>
      <c r="T4162" t="s">
        <v>611</v>
      </c>
    </row>
    <row r="4163" spans="1:20" x14ac:dyDescent="0.25">
      <c r="A4163" t="s">
        <v>30</v>
      </c>
      <c r="B4163" t="s">
        <v>31</v>
      </c>
      <c r="C4163" t="s">
        <v>32</v>
      </c>
      <c r="D4163" t="s">
        <v>584</v>
      </c>
      <c r="E4163" t="s">
        <v>599</v>
      </c>
      <c r="F4163" t="s">
        <v>35</v>
      </c>
      <c r="G4163" t="s">
        <v>35</v>
      </c>
      <c r="H4163" t="s">
        <v>35</v>
      </c>
      <c r="J4163" t="s">
        <v>4634</v>
      </c>
      <c r="K4163" t="s">
        <v>1092</v>
      </c>
      <c r="M4163">
        <v>0.72</v>
      </c>
      <c r="N4163">
        <v>42</v>
      </c>
      <c r="O4163" t="s">
        <v>52</v>
      </c>
      <c r="Q4163" t="s">
        <v>219</v>
      </c>
      <c r="R4163" t="s">
        <v>610</v>
      </c>
      <c r="S4163" t="s">
        <v>539</v>
      </c>
      <c r="T4163" t="s">
        <v>611</v>
      </c>
    </row>
    <row r="4164" spans="1:20" x14ac:dyDescent="0.25">
      <c r="A4164" t="s">
        <v>30</v>
      </c>
      <c r="B4164" t="s">
        <v>31</v>
      </c>
      <c r="C4164" t="s">
        <v>32</v>
      </c>
      <c r="D4164" t="s">
        <v>584</v>
      </c>
      <c r="E4164" t="s">
        <v>599</v>
      </c>
      <c r="F4164" t="s">
        <v>35</v>
      </c>
      <c r="G4164" t="s">
        <v>35</v>
      </c>
      <c r="H4164" t="s">
        <v>35</v>
      </c>
      <c r="J4164" t="s">
        <v>4690</v>
      </c>
      <c r="K4164" t="s">
        <v>1092</v>
      </c>
      <c r="M4164">
        <v>0.76500000000000001</v>
      </c>
      <c r="N4164">
        <v>144</v>
      </c>
      <c r="O4164" t="s">
        <v>38</v>
      </c>
      <c r="Q4164" t="s">
        <v>1269</v>
      </c>
      <c r="R4164" t="s">
        <v>610</v>
      </c>
      <c r="S4164" t="s">
        <v>539</v>
      </c>
      <c r="T4164" t="s">
        <v>611</v>
      </c>
    </row>
    <row r="4165" spans="1:20" x14ac:dyDescent="0.25">
      <c r="A4165" t="s">
        <v>30</v>
      </c>
      <c r="B4165" t="s">
        <v>31</v>
      </c>
      <c r="C4165" t="s">
        <v>32</v>
      </c>
      <c r="D4165" t="s">
        <v>584</v>
      </c>
      <c r="E4165" t="s">
        <v>599</v>
      </c>
      <c r="F4165" t="s">
        <v>35</v>
      </c>
      <c r="G4165" t="s">
        <v>35</v>
      </c>
      <c r="H4165" t="s">
        <v>35</v>
      </c>
      <c r="J4165" t="s">
        <v>4725</v>
      </c>
      <c r="K4165" t="s">
        <v>1092</v>
      </c>
      <c r="M4165">
        <v>0.40500000000000003</v>
      </c>
      <c r="N4165">
        <v>163</v>
      </c>
      <c r="O4165" t="s">
        <v>38</v>
      </c>
      <c r="Q4165" t="s">
        <v>2780</v>
      </c>
      <c r="R4165" t="s">
        <v>610</v>
      </c>
      <c r="S4165" t="s">
        <v>539</v>
      </c>
      <c r="T4165" t="s">
        <v>611</v>
      </c>
    </row>
    <row r="4166" spans="1:20" x14ac:dyDescent="0.25">
      <c r="A4166" t="s">
        <v>30</v>
      </c>
      <c r="B4166" t="s">
        <v>31</v>
      </c>
      <c r="C4166" t="s">
        <v>32</v>
      </c>
      <c r="D4166" t="s">
        <v>584</v>
      </c>
      <c r="E4166" t="s">
        <v>621</v>
      </c>
      <c r="F4166" t="s">
        <v>35</v>
      </c>
      <c r="G4166" t="s">
        <v>35</v>
      </c>
      <c r="H4166" t="s">
        <v>35</v>
      </c>
      <c r="J4166" t="s">
        <v>4824</v>
      </c>
      <c r="K4166" t="s">
        <v>1092</v>
      </c>
      <c r="M4166">
        <v>2.3849999999999998</v>
      </c>
      <c r="N4166">
        <v>138</v>
      </c>
      <c r="O4166" t="s">
        <v>38</v>
      </c>
      <c r="Q4166" t="s">
        <v>1149</v>
      </c>
      <c r="R4166" t="s">
        <v>610</v>
      </c>
      <c r="S4166" t="s">
        <v>539</v>
      </c>
      <c r="T4166" t="s">
        <v>611</v>
      </c>
    </row>
    <row r="4167" spans="1:20" x14ac:dyDescent="0.25">
      <c r="A4167" t="s">
        <v>30</v>
      </c>
      <c r="B4167" t="s">
        <v>31</v>
      </c>
      <c r="C4167" t="s">
        <v>32</v>
      </c>
      <c r="D4167" t="s">
        <v>584</v>
      </c>
      <c r="E4167" t="s">
        <v>621</v>
      </c>
      <c r="F4167" t="s">
        <v>35</v>
      </c>
      <c r="G4167" t="s">
        <v>35</v>
      </c>
      <c r="H4167" t="s">
        <v>35</v>
      </c>
      <c r="J4167" t="s">
        <v>4824</v>
      </c>
      <c r="K4167" t="s">
        <v>1092</v>
      </c>
      <c r="M4167">
        <v>11.025</v>
      </c>
      <c r="N4167">
        <v>64</v>
      </c>
      <c r="O4167" t="s">
        <v>61</v>
      </c>
      <c r="Q4167" t="s">
        <v>102</v>
      </c>
      <c r="R4167" t="s">
        <v>610</v>
      </c>
      <c r="S4167" t="s">
        <v>539</v>
      </c>
      <c r="T4167" t="s">
        <v>611</v>
      </c>
    </row>
    <row r="4168" spans="1:20" x14ac:dyDescent="0.25">
      <c r="A4168" t="s">
        <v>30</v>
      </c>
      <c r="B4168" t="s">
        <v>31</v>
      </c>
      <c r="C4168" t="s">
        <v>32</v>
      </c>
      <c r="D4168" t="s">
        <v>584</v>
      </c>
      <c r="E4168" t="s">
        <v>621</v>
      </c>
      <c r="F4168" t="s">
        <v>35</v>
      </c>
      <c r="G4168" t="s">
        <v>35</v>
      </c>
      <c r="H4168" t="s">
        <v>35</v>
      </c>
      <c r="J4168" t="s">
        <v>4827</v>
      </c>
      <c r="K4168" t="s">
        <v>1092</v>
      </c>
      <c r="M4168">
        <v>7.6050000000000004</v>
      </c>
      <c r="N4168">
        <v>87</v>
      </c>
      <c r="O4168" t="s">
        <v>61</v>
      </c>
      <c r="Q4168" t="s">
        <v>394</v>
      </c>
      <c r="R4168" t="s">
        <v>610</v>
      </c>
      <c r="S4168" t="s">
        <v>539</v>
      </c>
      <c r="T4168" t="s">
        <v>611</v>
      </c>
    </row>
    <row r="4169" spans="1:20" x14ac:dyDescent="0.25">
      <c r="A4169" t="s">
        <v>30</v>
      </c>
      <c r="B4169" t="s">
        <v>31</v>
      </c>
      <c r="C4169" t="s">
        <v>32</v>
      </c>
      <c r="D4169" t="s">
        <v>584</v>
      </c>
      <c r="E4169" t="s">
        <v>621</v>
      </c>
      <c r="F4169" t="s">
        <v>35</v>
      </c>
      <c r="G4169" t="s">
        <v>35</v>
      </c>
      <c r="H4169" t="s">
        <v>35</v>
      </c>
      <c r="J4169" t="s">
        <v>4834</v>
      </c>
      <c r="K4169" t="s">
        <v>1092</v>
      </c>
      <c r="M4169">
        <v>2.6549999999999998</v>
      </c>
      <c r="N4169">
        <v>221</v>
      </c>
      <c r="O4169" t="s">
        <v>5</v>
      </c>
      <c r="Q4169" t="s">
        <v>1979</v>
      </c>
      <c r="R4169" t="s">
        <v>610</v>
      </c>
      <c r="S4169" t="s">
        <v>539</v>
      </c>
      <c r="T4169" t="s">
        <v>611</v>
      </c>
    </row>
    <row r="4170" spans="1:20" x14ac:dyDescent="0.25">
      <c r="A4170" t="s">
        <v>30</v>
      </c>
      <c r="B4170" t="s">
        <v>31</v>
      </c>
      <c r="C4170" t="s">
        <v>32</v>
      </c>
      <c r="D4170" t="s">
        <v>584</v>
      </c>
      <c r="E4170" t="s">
        <v>621</v>
      </c>
      <c r="F4170" t="s">
        <v>35</v>
      </c>
      <c r="G4170" t="s">
        <v>35</v>
      </c>
      <c r="H4170" t="s">
        <v>35</v>
      </c>
      <c r="J4170" t="s">
        <v>4834</v>
      </c>
      <c r="K4170" t="s">
        <v>1092</v>
      </c>
      <c r="M4170">
        <v>22.05</v>
      </c>
      <c r="N4170">
        <v>90</v>
      </c>
      <c r="O4170" t="s">
        <v>61</v>
      </c>
      <c r="Q4170" t="s">
        <v>557</v>
      </c>
      <c r="R4170" t="s">
        <v>610</v>
      </c>
      <c r="S4170" t="s">
        <v>539</v>
      </c>
      <c r="T4170" t="s">
        <v>611</v>
      </c>
    </row>
    <row r="4171" spans="1:20" x14ac:dyDescent="0.25">
      <c r="A4171" t="s">
        <v>30</v>
      </c>
      <c r="B4171" t="s">
        <v>31</v>
      </c>
      <c r="C4171" t="s">
        <v>32</v>
      </c>
      <c r="D4171" t="s">
        <v>584</v>
      </c>
      <c r="E4171" t="s">
        <v>599</v>
      </c>
      <c r="F4171" t="s">
        <v>35</v>
      </c>
      <c r="G4171" t="s">
        <v>35</v>
      </c>
      <c r="H4171" t="s">
        <v>35</v>
      </c>
      <c r="J4171" t="s">
        <v>4722</v>
      </c>
      <c r="K4171" t="s">
        <v>1092</v>
      </c>
      <c r="M4171">
        <v>6.5250000000000004</v>
      </c>
      <c r="N4171">
        <v>64</v>
      </c>
      <c r="O4171" t="s">
        <v>61</v>
      </c>
      <c r="Q4171" t="s">
        <v>102</v>
      </c>
      <c r="R4171" t="s">
        <v>610</v>
      </c>
      <c r="S4171" t="s">
        <v>539</v>
      </c>
      <c r="T4171" t="s">
        <v>611</v>
      </c>
    </row>
    <row r="4172" spans="1:20" x14ac:dyDescent="0.25">
      <c r="A4172" t="s">
        <v>30</v>
      </c>
      <c r="B4172" t="s">
        <v>31</v>
      </c>
      <c r="C4172" t="s">
        <v>32</v>
      </c>
      <c r="D4172" t="s">
        <v>584</v>
      </c>
      <c r="E4172" t="s">
        <v>599</v>
      </c>
      <c r="F4172" t="s">
        <v>35</v>
      </c>
      <c r="G4172" t="s">
        <v>35</v>
      </c>
      <c r="H4172" t="s">
        <v>35</v>
      </c>
      <c r="J4172" t="s">
        <v>4664</v>
      </c>
      <c r="K4172" t="s">
        <v>1092</v>
      </c>
      <c r="M4172">
        <v>5.13</v>
      </c>
      <c r="N4172">
        <v>64</v>
      </c>
      <c r="O4172" t="s">
        <v>61</v>
      </c>
      <c r="Q4172" t="s">
        <v>102</v>
      </c>
      <c r="R4172" t="s">
        <v>610</v>
      </c>
      <c r="S4172" t="s">
        <v>539</v>
      </c>
      <c r="T4172" t="s">
        <v>611</v>
      </c>
    </row>
    <row r="4173" spans="1:20" x14ac:dyDescent="0.25">
      <c r="A4173" t="s">
        <v>30</v>
      </c>
      <c r="B4173" t="s">
        <v>31</v>
      </c>
      <c r="C4173" t="s">
        <v>32</v>
      </c>
      <c r="D4173" t="s">
        <v>584</v>
      </c>
      <c r="E4173" t="s">
        <v>621</v>
      </c>
      <c r="F4173" t="s">
        <v>35</v>
      </c>
      <c r="G4173" t="s">
        <v>35</v>
      </c>
      <c r="H4173" t="s">
        <v>35</v>
      </c>
      <c r="J4173" t="s">
        <v>4908</v>
      </c>
      <c r="K4173" t="s">
        <v>1092</v>
      </c>
      <c r="M4173">
        <v>0.22500000000000001</v>
      </c>
      <c r="N4173">
        <v>387</v>
      </c>
      <c r="O4173" t="s">
        <v>294</v>
      </c>
      <c r="Q4173" t="s">
        <v>1410</v>
      </c>
      <c r="R4173" t="s">
        <v>610</v>
      </c>
      <c r="S4173" t="s">
        <v>539</v>
      </c>
      <c r="T4173" t="s">
        <v>611</v>
      </c>
    </row>
    <row r="4174" spans="1:20" x14ac:dyDescent="0.25">
      <c r="A4174" t="s">
        <v>30</v>
      </c>
      <c r="B4174" t="s">
        <v>31</v>
      </c>
      <c r="C4174" t="s">
        <v>32</v>
      </c>
      <c r="D4174" t="s">
        <v>584</v>
      </c>
      <c r="F4174" t="s">
        <v>35</v>
      </c>
      <c r="G4174" t="s">
        <v>35</v>
      </c>
      <c r="H4174" t="s">
        <v>35</v>
      </c>
      <c r="J4174" t="s">
        <v>4972</v>
      </c>
      <c r="K4174" t="s">
        <v>1092</v>
      </c>
      <c r="M4174">
        <v>8.7750000000000004</v>
      </c>
      <c r="N4174">
        <v>126</v>
      </c>
      <c r="O4174" t="s">
        <v>38</v>
      </c>
      <c r="Q4174" t="s">
        <v>68</v>
      </c>
      <c r="R4174" t="s">
        <v>610</v>
      </c>
      <c r="S4174" t="s">
        <v>539</v>
      </c>
      <c r="T4174" t="s">
        <v>611</v>
      </c>
    </row>
    <row r="4175" spans="1:20" x14ac:dyDescent="0.25">
      <c r="A4175" t="s">
        <v>30</v>
      </c>
      <c r="B4175" t="s">
        <v>31</v>
      </c>
      <c r="C4175" t="s">
        <v>32</v>
      </c>
      <c r="D4175" t="s">
        <v>584</v>
      </c>
      <c r="E4175" t="s">
        <v>599</v>
      </c>
      <c r="F4175" t="s">
        <v>35</v>
      </c>
      <c r="G4175" t="s">
        <v>35</v>
      </c>
      <c r="H4175" t="s">
        <v>35</v>
      </c>
      <c r="J4175" t="s">
        <v>4643</v>
      </c>
      <c r="K4175" t="s">
        <v>1092</v>
      </c>
      <c r="M4175">
        <v>5.625</v>
      </c>
      <c r="N4175">
        <v>331</v>
      </c>
      <c r="O4175" t="s">
        <v>5</v>
      </c>
      <c r="Q4175" t="s">
        <v>4608</v>
      </c>
      <c r="R4175" t="s">
        <v>610</v>
      </c>
      <c r="S4175" t="s">
        <v>539</v>
      </c>
      <c r="T4175" t="s">
        <v>611</v>
      </c>
    </row>
    <row r="4176" spans="1:20" x14ac:dyDescent="0.25">
      <c r="A4176" t="s">
        <v>30</v>
      </c>
      <c r="B4176" t="s">
        <v>31</v>
      </c>
      <c r="C4176" t="s">
        <v>32</v>
      </c>
      <c r="D4176" t="s">
        <v>584</v>
      </c>
      <c r="E4176" t="s">
        <v>599</v>
      </c>
      <c r="F4176" t="s">
        <v>35</v>
      </c>
      <c r="G4176" t="s">
        <v>35</v>
      </c>
      <c r="H4176" t="s">
        <v>35</v>
      </c>
      <c r="J4176" t="s">
        <v>4643</v>
      </c>
      <c r="K4176" t="s">
        <v>1092</v>
      </c>
      <c r="M4176">
        <v>11.025</v>
      </c>
      <c r="N4176">
        <v>42</v>
      </c>
      <c r="O4176" t="s">
        <v>52</v>
      </c>
      <c r="Q4176" t="s">
        <v>219</v>
      </c>
      <c r="R4176" t="s">
        <v>610</v>
      </c>
      <c r="S4176" t="s">
        <v>539</v>
      </c>
      <c r="T4176" t="s">
        <v>611</v>
      </c>
    </row>
    <row r="4177" spans="1:20" x14ac:dyDescent="0.25">
      <c r="A4177" t="s">
        <v>30</v>
      </c>
      <c r="B4177" t="s">
        <v>31</v>
      </c>
      <c r="C4177" t="s">
        <v>32</v>
      </c>
      <c r="D4177" t="s">
        <v>584</v>
      </c>
      <c r="E4177" t="s">
        <v>599</v>
      </c>
      <c r="F4177" t="s">
        <v>35</v>
      </c>
      <c r="G4177" t="s">
        <v>35</v>
      </c>
      <c r="H4177" t="s">
        <v>35</v>
      </c>
      <c r="J4177" t="s">
        <v>4643</v>
      </c>
      <c r="K4177" t="s">
        <v>1092</v>
      </c>
      <c r="M4177">
        <v>7.4249999999999998</v>
      </c>
      <c r="N4177">
        <v>259</v>
      </c>
      <c r="O4177" t="s">
        <v>5</v>
      </c>
      <c r="Q4177" t="s">
        <v>117</v>
      </c>
      <c r="R4177" t="s">
        <v>610</v>
      </c>
      <c r="S4177" t="s">
        <v>539</v>
      </c>
      <c r="T4177" t="s">
        <v>611</v>
      </c>
    </row>
    <row r="4178" spans="1:20" x14ac:dyDescent="0.25">
      <c r="A4178" t="s">
        <v>44</v>
      </c>
      <c r="B4178" t="s">
        <v>51</v>
      </c>
      <c r="C4178" t="s">
        <v>32</v>
      </c>
      <c r="D4178" t="s">
        <v>584</v>
      </c>
      <c r="E4178" t="s">
        <v>599</v>
      </c>
      <c r="F4178" t="s">
        <v>35</v>
      </c>
      <c r="G4178" t="s">
        <v>35</v>
      </c>
      <c r="H4178" t="s">
        <v>35</v>
      </c>
      <c r="J4178" t="s">
        <v>4643</v>
      </c>
      <c r="K4178" t="s">
        <v>1092</v>
      </c>
      <c r="M4178">
        <v>3.95</v>
      </c>
      <c r="N4178">
        <v>505</v>
      </c>
      <c r="O4178" t="s">
        <v>294</v>
      </c>
      <c r="Q4178" t="s">
        <v>4645</v>
      </c>
      <c r="R4178" t="s">
        <v>610</v>
      </c>
      <c r="S4178" t="s">
        <v>539</v>
      </c>
      <c r="T4178" t="s">
        <v>611</v>
      </c>
    </row>
    <row r="4179" spans="1:20" x14ac:dyDescent="0.25">
      <c r="A4179" t="s">
        <v>30</v>
      </c>
      <c r="B4179" t="s">
        <v>31</v>
      </c>
      <c r="C4179" t="s">
        <v>32</v>
      </c>
      <c r="D4179" t="s">
        <v>584</v>
      </c>
      <c r="E4179" t="s">
        <v>599</v>
      </c>
      <c r="F4179" t="s">
        <v>35</v>
      </c>
      <c r="G4179" t="s">
        <v>35</v>
      </c>
      <c r="H4179" t="s">
        <v>35</v>
      </c>
      <c r="J4179" t="s">
        <v>4643</v>
      </c>
      <c r="K4179" t="s">
        <v>1092</v>
      </c>
      <c r="M4179">
        <v>1.9350000000000001</v>
      </c>
      <c r="N4179">
        <v>387</v>
      </c>
      <c r="O4179" t="s">
        <v>294</v>
      </c>
      <c r="Q4179" t="s">
        <v>1410</v>
      </c>
      <c r="R4179" t="s">
        <v>610</v>
      </c>
      <c r="S4179" t="s">
        <v>539</v>
      </c>
      <c r="T4179" t="s">
        <v>611</v>
      </c>
    </row>
    <row r="4180" spans="1:20" x14ac:dyDescent="0.25">
      <c r="A4180" t="s">
        <v>30</v>
      </c>
      <c r="B4180" t="s">
        <v>31</v>
      </c>
      <c r="C4180" t="s">
        <v>32</v>
      </c>
      <c r="D4180" t="s">
        <v>584</v>
      </c>
      <c r="E4180" t="s">
        <v>599</v>
      </c>
      <c r="F4180" t="s">
        <v>35</v>
      </c>
      <c r="G4180" t="s">
        <v>35</v>
      </c>
      <c r="H4180" t="s">
        <v>35</v>
      </c>
      <c r="J4180" t="s">
        <v>4643</v>
      </c>
      <c r="K4180" t="s">
        <v>1092</v>
      </c>
      <c r="M4180">
        <v>5.4</v>
      </c>
      <c r="N4180">
        <v>148</v>
      </c>
      <c r="O4180" t="s">
        <v>38</v>
      </c>
      <c r="Q4180" t="s">
        <v>3942</v>
      </c>
      <c r="R4180" t="s">
        <v>610</v>
      </c>
      <c r="S4180" t="s">
        <v>539</v>
      </c>
      <c r="T4180" t="s">
        <v>611</v>
      </c>
    </row>
    <row r="4181" spans="1:20" x14ac:dyDescent="0.25">
      <c r="A4181" t="s">
        <v>59</v>
      </c>
      <c r="B4181" t="s">
        <v>31</v>
      </c>
      <c r="C4181" t="s">
        <v>32</v>
      </c>
      <c r="D4181" t="s">
        <v>584</v>
      </c>
      <c r="E4181" t="s">
        <v>621</v>
      </c>
      <c r="F4181" t="s">
        <v>35</v>
      </c>
      <c r="G4181" t="s">
        <v>35</v>
      </c>
      <c r="H4181" t="s">
        <v>35</v>
      </c>
      <c r="J4181" t="s">
        <v>4793</v>
      </c>
      <c r="K4181" t="s">
        <v>1092</v>
      </c>
      <c r="M4181">
        <v>9.36</v>
      </c>
      <c r="N4181">
        <v>164</v>
      </c>
      <c r="O4181" t="s">
        <v>38</v>
      </c>
      <c r="Q4181" t="s">
        <v>3930</v>
      </c>
      <c r="R4181" t="s">
        <v>610</v>
      </c>
      <c r="S4181" t="s">
        <v>539</v>
      </c>
      <c r="T4181" t="s">
        <v>611</v>
      </c>
    </row>
    <row r="4182" spans="1:20" x14ac:dyDescent="0.25">
      <c r="A4182" t="s">
        <v>30</v>
      </c>
      <c r="B4182" t="s">
        <v>31</v>
      </c>
      <c r="C4182" t="s">
        <v>32</v>
      </c>
      <c r="D4182" t="s">
        <v>584</v>
      </c>
      <c r="E4182" t="s">
        <v>621</v>
      </c>
      <c r="F4182" t="s">
        <v>35</v>
      </c>
      <c r="G4182" t="s">
        <v>35</v>
      </c>
      <c r="H4182" t="s">
        <v>35</v>
      </c>
      <c r="J4182" t="s">
        <v>4793</v>
      </c>
      <c r="K4182" t="s">
        <v>1092</v>
      </c>
      <c r="M4182">
        <v>9</v>
      </c>
      <c r="N4182">
        <v>64</v>
      </c>
      <c r="O4182" t="s">
        <v>61</v>
      </c>
      <c r="Q4182" t="s">
        <v>102</v>
      </c>
      <c r="R4182" t="s">
        <v>610</v>
      </c>
      <c r="S4182" t="s">
        <v>539</v>
      </c>
      <c r="T4182" t="s">
        <v>611</v>
      </c>
    </row>
    <row r="4183" spans="1:20" x14ac:dyDescent="0.25">
      <c r="A4183" t="s">
        <v>59</v>
      </c>
      <c r="B4183" t="s">
        <v>60</v>
      </c>
      <c r="C4183" t="s">
        <v>32</v>
      </c>
      <c r="D4183" t="s">
        <v>584</v>
      </c>
      <c r="E4183" t="s">
        <v>621</v>
      </c>
      <c r="F4183" t="s">
        <v>35</v>
      </c>
      <c r="G4183" t="s">
        <v>35</v>
      </c>
      <c r="H4183" t="s">
        <v>35</v>
      </c>
      <c r="J4183" t="s">
        <v>622</v>
      </c>
      <c r="K4183" t="s">
        <v>37</v>
      </c>
      <c r="M4183">
        <v>1</v>
      </c>
      <c r="N4183">
        <v>583</v>
      </c>
      <c r="O4183" t="s">
        <v>575</v>
      </c>
      <c r="Q4183" t="s">
        <v>624</v>
      </c>
      <c r="R4183" t="s">
        <v>610</v>
      </c>
      <c r="S4183" t="s">
        <v>539</v>
      </c>
      <c r="T4183" t="s">
        <v>611</v>
      </c>
    </row>
    <row r="4184" spans="1:20" x14ac:dyDescent="0.25">
      <c r="A4184" t="s">
        <v>30</v>
      </c>
      <c r="B4184" t="s">
        <v>31</v>
      </c>
      <c r="C4184" t="s">
        <v>32</v>
      </c>
      <c r="D4184" t="s">
        <v>584</v>
      </c>
      <c r="E4184" t="s">
        <v>621</v>
      </c>
      <c r="F4184" t="s">
        <v>35</v>
      </c>
      <c r="G4184" t="s">
        <v>35</v>
      </c>
      <c r="H4184" t="s">
        <v>35</v>
      </c>
      <c r="J4184" t="s">
        <v>4852</v>
      </c>
      <c r="K4184" t="s">
        <v>1092</v>
      </c>
      <c r="M4184">
        <v>7.2</v>
      </c>
      <c r="N4184">
        <v>88</v>
      </c>
      <c r="O4184" t="s">
        <v>61</v>
      </c>
      <c r="Q4184" t="s">
        <v>724</v>
      </c>
      <c r="R4184" t="s">
        <v>610</v>
      </c>
      <c r="S4184" t="s">
        <v>539</v>
      </c>
      <c r="T4184" t="s">
        <v>611</v>
      </c>
    </row>
    <row r="4185" spans="1:20" x14ac:dyDescent="0.25">
      <c r="A4185" t="s">
        <v>59</v>
      </c>
      <c r="B4185" t="s">
        <v>31</v>
      </c>
      <c r="C4185" t="s">
        <v>32</v>
      </c>
      <c r="D4185" t="s">
        <v>584</v>
      </c>
      <c r="E4185" t="s">
        <v>621</v>
      </c>
      <c r="F4185" t="s">
        <v>35</v>
      </c>
      <c r="G4185" t="s">
        <v>35</v>
      </c>
      <c r="H4185" t="s">
        <v>35</v>
      </c>
      <c r="J4185" t="s">
        <v>4852</v>
      </c>
      <c r="K4185" t="s">
        <v>1092</v>
      </c>
      <c r="M4185">
        <v>10.35</v>
      </c>
      <c r="N4185">
        <v>133</v>
      </c>
      <c r="O4185" t="s">
        <v>38</v>
      </c>
      <c r="Q4185" t="s">
        <v>609</v>
      </c>
      <c r="R4185" t="s">
        <v>610</v>
      </c>
      <c r="S4185" t="s">
        <v>539</v>
      </c>
      <c r="T4185" t="s">
        <v>611</v>
      </c>
    </row>
    <row r="4186" spans="1:20" x14ac:dyDescent="0.25">
      <c r="A4186" t="s">
        <v>30</v>
      </c>
      <c r="B4186" t="s">
        <v>31</v>
      </c>
      <c r="C4186" t="s">
        <v>32</v>
      </c>
      <c r="D4186" t="s">
        <v>584</v>
      </c>
      <c r="E4186" t="s">
        <v>621</v>
      </c>
      <c r="F4186" t="s">
        <v>35</v>
      </c>
      <c r="G4186" t="s">
        <v>35</v>
      </c>
      <c r="H4186" t="s">
        <v>35</v>
      </c>
      <c r="J4186" t="s">
        <v>4967</v>
      </c>
      <c r="K4186" t="s">
        <v>1092</v>
      </c>
      <c r="M4186">
        <v>10.574999999999999</v>
      </c>
      <c r="N4186">
        <v>87</v>
      </c>
      <c r="O4186" t="s">
        <v>61</v>
      </c>
      <c r="Q4186" t="s">
        <v>394</v>
      </c>
      <c r="R4186" t="s">
        <v>610</v>
      </c>
      <c r="S4186" t="s">
        <v>539</v>
      </c>
      <c r="T4186" t="s">
        <v>611</v>
      </c>
    </row>
    <row r="4187" spans="1:20" x14ac:dyDescent="0.25">
      <c r="A4187" t="s">
        <v>30</v>
      </c>
      <c r="B4187" t="s">
        <v>31</v>
      </c>
      <c r="C4187" t="s">
        <v>32</v>
      </c>
      <c r="D4187" t="s">
        <v>584</v>
      </c>
      <c r="E4187" t="s">
        <v>4733</v>
      </c>
      <c r="F4187" t="s">
        <v>35</v>
      </c>
      <c r="G4187" t="s">
        <v>35</v>
      </c>
      <c r="H4187" t="s">
        <v>35</v>
      </c>
      <c r="J4187" t="s">
        <v>4766</v>
      </c>
      <c r="K4187" t="s">
        <v>1092</v>
      </c>
      <c r="M4187">
        <v>2.6549999999999998</v>
      </c>
      <c r="N4187">
        <v>163</v>
      </c>
      <c r="O4187" t="s">
        <v>38</v>
      </c>
      <c r="Q4187" t="s">
        <v>2780</v>
      </c>
      <c r="R4187" t="s">
        <v>610</v>
      </c>
      <c r="S4187" t="s">
        <v>539</v>
      </c>
      <c r="T4187" t="s">
        <v>611</v>
      </c>
    </row>
    <row r="4188" spans="1:20" x14ac:dyDescent="0.25">
      <c r="A4188" t="s">
        <v>59</v>
      </c>
      <c r="B4188" t="s">
        <v>31</v>
      </c>
      <c r="C4188" t="s">
        <v>32</v>
      </c>
      <c r="D4188" t="s">
        <v>584</v>
      </c>
      <c r="E4188" t="s">
        <v>621</v>
      </c>
      <c r="F4188" t="s">
        <v>35</v>
      </c>
      <c r="G4188" t="s">
        <v>35</v>
      </c>
      <c r="H4188" t="s">
        <v>35</v>
      </c>
      <c r="J4188" t="s">
        <v>4807</v>
      </c>
      <c r="K4188" t="s">
        <v>1092</v>
      </c>
      <c r="M4188">
        <v>2.1150000000000002</v>
      </c>
      <c r="N4188">
        <v>125</v>
      </c>
      <c r="O4188" t="s">
        <v>38</v>
      </c>
      <c r="Q4188" t="s">
        <v>2901</v>
      </c>
      <c r="R4188" t="s">
        <v>610</v>
      </c>
      <c r="S4188" t="s">
        <v>539</v>
      </c>
      <c r="T4188" t="s">
        <v>611</v>
      </c>
    </row>
    <row r="4189" spans="1:20" x14ac:dyDescent="0.25">
      <c r="A4189" t="s">
        <v>30</v>
      </c>
      <c r="B4189" t="s">
        <v>31</v>
      </c>
      <c r="C4189" t="s">
        <v>32</v>
      </c>
      <c r="D4189" t="s">
        <v>584</v>
      </c>
      <c r="E4189" t="s">
        <v>599</v>
      </c>
      <c r="F4189" t="s">
        <v>35</v>
      </c>
      <c r="G4189" t="s">
        <v>35</v>
      </c>
      <c r="H4189" t="s">
        <v>35</v>
      </c>
      <c r="J4189" t="s">
        <v>4665</v>
      </c>
      <c r="K4189" t="s">
        <v>1092</v>
      </c>
      <c r="M4189">
        <v>2.0699999999999998</v>
      </c>
      <c r="N4189">
        <v>42</v>
      </c>
      <c r="O4189" t="s">
        <v>52</v>
      </c>
      <c r="Q4189" t="s">
        <v>219</v>
      </c>
      <c r="R4189" t="s">
        <v>610</v>
      </c>
      <c r="S4189" t="s">
        <v>539</v>
      </c>
      <c r="T4189" t="s">
        <v>611</v>
      </c>
    </row>
    <row r="4190" spans="1:20" x14ac:dyDescent="0.25">
      <c r="A4190" t="s">
        <v>30</v>
      </c>
      <c r="B4190" t="s">
        <v>31</v>
      </c>
      <c r="C4190" t="s">
        <v>32</v>
      </c>
      <c r="D4190" t="s">
        <v>584</v>
      </c>
      <c r="E4190" t="s">
        <v>621</v>
      </c>
      <c r="F4190" t="s">
        <v>35</v>
      </c>
      <c r="G4190" t="s">
        <v>35</v>
      </c>
      <c r="H4190" t="s">
        <v>35</v>
      </c>
      <c r="J4190" t="s">
        <v>3808</v>
      </c>
      <c r="K4190" t="s">
        <v>1092</v>
      </c>
      <c r="M4190">
        <v>9.9450000000000003</v>
      </c>
      <c r="N4190">
        <v>257</v>
      </c>
      <c r="O4190" t="s">
        <v>5</v>
      </c>
      <c r="Q4190" t="s">
        <v>1721</v>
      </c>
      <c r="R4190" t="s">
        <v>610</v>
      </c>
      <c r="S4190" t="s">
        <v>539</v>
      </c>
      <c r="T4190" t="s">
        <v>611</v>
      </c>
    </row>
    <row r="4191" spans="1:20" x14ac:dyDescent="0.25">
      <c r="A4191" t="s">
        <v>30</v>
      </c>
      <c r="B4191" t="s">
        <v>31</v>
      </c>
      <c r="C4191" t="s">
        <v>32</v>
      </c>
      <c r="D4191" t="s">
        <v>584</v>
      </c>
      <c r="E4191" t="s">
        <v>4486</v>
      </c>
      <c r="F4191" t="s">
        <v>35</v>
      </c>
      <c r="G4191" t="s">
        <v>35</v>
      </c>
      <c r="H4191" t="s">
        <v>35</v>
      </c>
      <c r="J4191" t="s">
        <v>4494</v>
      </c>
      <c r="K4191" t="s">
        <v>404</v>
      </c>
      <c r="M4191">
        <v>0.315</v>
      </c>
      <c r="N4191">
        <v>87</v>
      </c>
      <c r="O4191" t="s">
        <v>61</v>
      </c>
      <c r="Q4191" t="s">
        <v>394</v>
      </c>
      <c r="R4191" t="s">
        <v>610</v>
      </c>
      <c r="S4191" t="s">
        <v>539</v>
      </c>
      <c r="T4191" t="s">
        <v>611</v>
      </c>
    </row>
    <row r="4192" spans="1:20" x14ac:dyDescent="0.25">
      <c r="A4192" t="s">
        <v>30</v>
      </c>
      <c r="B4192" t="s">
        <v>31</v>
      </c>
      <c r="C4192" t="s">
        <v>32</v>
      </c>
      <c r="D4192" t="s">
        <v>584</v>
      </c>
      <c r="E4192" t="s">
        <v>4441</v>
      </c>
      <c r="F4192" t="s">
        <v>35</v>
      </c>
      <c r="G4192" t="s">
        <v>35</v>
      </c>
      <c r="H4192" t="s">
        <v>35</v>
      </c>
      <c r="J4192" t="s">
        <v>4479</v>
      </c>
      <c r="K4192" t="s">
        <v>1092</v>
      </c>
      <c r="M4192">
        <v>1.98</v>
      </c>
      <c r="N4192">
        <v>88</v>
      </c>
      <c r="O4192" t="s">
        <v>61</v>
      </c>
      <c r="Q4192" t="s">
        <v>724</v>
      </c>
      <c r="R4192" t="s">
        <v>610</v>
      </c>
      <c r="S4192" t="s">
        <v>539</v>
      </c>
      <c r="T4192" t="s">
        <v>611</v>
      </c>
    </row>
    <row r="4193" spans="1:20" x14ac:dyDescent="0.25">
      <c r="A4193" t="s">
        <v>30</v>
      </c>
      <c r="B4193" t="s">
        <v>31</v>
      </c>
      <c r="C4193" t="s">
        <v>32</v>
      </c>
      <c r="D4193" t="s">
        <v>584</v>
      </c>
      <c r="E4193" t="s">
        <v>621</v>
      </c>
      <c r="F4193" t="s">
        <v>35</v>
      </c>
      <c r="G4193" t="s">
        <v>35</v>
      </c>
      <c r="H4193" t="s">
        <v>35</v>
      </c>
      <c r="J4193" t="s">
        <v>4872</v>
      </c>
      <c r="K4193" t="s">
        <v>1092</v>
      </c>
      <c r="M4193">
        <v>0.13500000000000001</v>
      </c>
      <c r="N4193">
        <v>404</v>
      </c>
      <c r="O4193" t="s">
        <v>294</v>
      </c>
      <c r="Q4193" t="s">
        <v>3336</v>
      </c>
      <c r="R4193" t="s">
        <v>610</v>
      </c>
      <c r="S4193" t="s">
        <v>539</v>
      </c>
      <c r="T4193" t="s">
        <v>611</v>
      </c>
    </row>
    <row r="4194" spans="1:20" x14ac:dyDescent="0.25">
      <c r="A4194" t="s">
        <v>30</v>
      </c>
      <c r="B4194" t="s">
        <v>31</v>
      </c>
      <c r="C4194" t="s">
        <v>32</v>
      </c>
      <c r="D4194" t="s">
        <v>584</v>
      </c>
      <c r="E4194" t="s">
        <v>585</v>
      </c>
      <c r="F4194" t="s">
        <v>35</v>
      </c>
      <c r="G4194" t="s">
        <v>35</v>
      </c>
      <c r="H4194" t="s">
        <v>35</v>
      </c>
      <c r="J4194" t="s">
        <v>4556</v>
      </c>
      <c r="K4194" t="s">
        <v>1092</v>
      </c>
      <c r="M4194">
        <v>2.3849999999999998</v>
      </c>
      <c r="N4194">
        <v>42</v>
      </c>
      <c r="O4194" t="s">
        <v>52</v>
      </c>
      <c r="Q4194" t="s">
        <v>219</v>
      </c>
      <c r="R4194" t="s">
        <v>610</v>
      </c>
      <c r="S4194" t="s">
        <v>539</v>
      </c>
      <c r="T4194" t="s">
        <v>611</v>
      </c>
    </row>
    <row r="4195" spans="1:20" x14ac:dyDescent="0.25">
      <c r="A4195" t="s">
        <v>30</v>
      </c>
      <c r="B4195" t="s">
        <v>31</v>
      </c>
      <c r="C4195" t="s">
        <v>32</v>
      </c>
      <c r="D4195" t="s">
        <v>584</v>
      </c>
      <c r="E4195" t="s">
        <v>599</v>
      </c>
      <c r="F4195" t="s">
        <v>35</v>
      </c>
      <c r="G4195" t="s">
        <v>35</v>
      </c>
      <c r="H4195" t="s">
        <v>35</v>
      </c>
      <c r="J4195" t="s">
        <v>4723</v>
      </c>
      <c r="K4195" t="s">
        <v>1092</v>
      </c>
      <c r="M4195">
        <v>5.4</v>
      </c>
      <c r="N4195">
        <v>42</v>
      </c>
      <c r="O4195" t="s">
        <v>52</v>
      </c>
      <c r="Q4195" t="s">
        <v>219</v>
      </c>
      <c r="R4195" t="s">
        <v>610</v>
      </c>
      <c r="S4195" t="s">
        <v>539</v>
      </c>
      <c r="T4195" t="s">
        <v>611</v>
      </c>
    </row>
    <row r="4196" spans="1:20" x14ac:dyDescent="0.25">
      <c r="A4196" t="s">
        <v>30</v>
      </c>
      <c r="B4196" t="s">
        <v>31</v>
      </c>
      <c r="C4196" t="s">
        <v>32</v>
      </c>
      <c r="D4196" t="s">
        <v>584</v>
      </c>
      <c r="E4196" t="s">
        <v>599</v>
      </c>
      <c r="F4196" t="s">
        <v>35</v>
      </c>
      <c r="G4196" t="s">
        <v>35</v>
      </c>
      <c r="H4196" t="s">
        <v>35</v>
      </c>
      <c r="J4196" t="s">
        <v>4027</v>
      </c>
      <c r="K4196" t="s">
        <v>1092</v>
      </c>
      <c r="M4196">
        <v>0.09</v>
      </c>
      <c r="N4196">
        <v>148</v>
      </c>
      <c r="O4196" t="s">
        <v>38</v>
      </c>
      <c r="Q4196" t="s">
        <v>3942</v>
      </c>
      <c r="R4196" t="s">
        <v>610</v>
      </c>
      <c r="S4196" t="s">
        <v>539</v>
      </c>
      <c r="T4196" t="s">
        <v>611</v>
      </c>
    </row>
    <row r="4197" spans="1:20" x14ac:dyDescent="0.25">
      <c r="A4197" t="s">
        <v>59</v>
      </c>
      <c r="B4197" t="s">
        <v>31</v>
      </c>
      <c r="C4197" t="s">
        <v>32</v>
      </c>
      <c r="D4197" t="s">
        <v>584</v>
      </c>
      <c r="E4197" t="s">
        <v>621</v>
      </c>
      <c r="F4197" t="s">
        <v>35</v>
      </c>
      <c r="G4197" t="s">
        <v>35</v>
      </c>
      <c r="H4197" t="s">
        <v>35</v>
      </c>
      <c r="J4197" t="s">
        <v>4895</v>
      </c>
      <c r="K4197" t="s">
        <v>1092</v>
      </c>
      <c r="M4197">
        <v>1.8</v>
      </c>
      <c r="N4197">
        <v>134</v>
      </c>
      <c r="O4197" t="s">
        <v>38</v>
      </c>
      <c r="Q4197" t="s">
        <v>1822</v>
      </c>
      <c r="R4197" t="s">
        <v>610</v>
      </c>
      <c r="S4197" t="s">
        <v>539</v>
      </c>
      <c r="T4197" t="s">
        <v>611</v>
      </c>
    </row>
    <row r="4198" spans="1:20" x14ac:dyDescent="0.25">
      <c r="A4198" t="s">
        <v>30</v>
      </c>
      <c r="B4198" t="s">
        <v>31</v>
      </c>
      <c r="C4198" t="s">
        <v>32</v>
      </c>
      <c r="D4198" t="s">
        <v>584</v>
      </c>
      <c r="E4198" t="s">
        <v>621</v>
      </c>
      <c r="F4198" t="s">
        <v>35</v>
      </c>
      <c r="G4198" t="s">
        <v>35</v>
      </c>
      <c r="H4198" t="s">
        <v>35</v>
      </c>
      <c r="J4198" t="s">
        <v>4814</v>
      </c>
      <c r="K4198" t="s">
        <v>1092</v>
      </c>
      <c r="M4198">
        <v>6.48</v>
      </c>
      <c r="N4198">
        <v>444</v>
      </c>
      <c r="O4198" t="s">
        <v>294</v>
      </c>
      <c r="Q4198" t="s">
        <v>2102</v>
      </c>
      <c r="R4198" t="s">
        <v>610</v>
      </c>
      <c r="S4198" t="s">
        <v>539</v>
      </c>
      <c r="T4198" t="s">
        <v>611</v>
      </c>
    </row>
    <row r="4199" spans="1:20" x14ac:dyDescent="0.25">
      <c r="A4199" t="s">
        <v>30</v>
      </c>
      <c r="B4199" t="s">
        <v>31</v>
      </c>
      <c r="C4199" t="s">
        <v>32</v>
      </c>
      <c r="D4199" t="s">
        <v>584</v>
      </c>
      <c r="E4199" t="s">
        <v>599</v>
      </c>
      <c r="F4199" t="s">
        <v>35</v>
      </c>
      <c r="G4199" t="s">
        <v>35</v>
      </c>
      <c r="H4199" t="s">
        <v>35</v>
      </c>
      <c r="J4199" t="s">
        <v>4646</v>
      </c>
      <c r="K4199" t="s">
        <v>1092</v>
      </c>
      <c r="M4199">
        <v>0.315</v>
      </c>
      <c r="N4199">
        <v>42</v>
      </c>
      <c r="O4199" t="s">
        <v>52</v>
      </c>
      <c r="Q4199" t="s">
        <v>219</v>
      </c>
      <c r="R4199" t="s">
        <v>610</v>
      </c>
      <c r="S4199" t="s">
        <v>539</v>
      </c>
      <c r="T4199" t="s">
        <v>611</v>
      </c>
    </row>
    <row r="4200" spans="1:20" x14ac:dyDescent="0.25">
      <c r="A4200" t="s">
        <v>59</v>
      </c>
      <c r="B4200" t="s">
        <v>31</v>
      </c>
      <c r="C4200" t="s">
        <v>32</v>
      </c>
      <c r="D4200" t="s">
        <v>584</v>
      </c>
      <c r="E4200" t="s">
        <v>599</v>
      </c>
      <c r="F4200" t="s">
        <v>35</v>
      </c>
      <c r="G4200" t="s">
        <v>35</v>
      </c>
      <c r="H4200" t="s">
        <v>35</v>
      </c>
      <c r="J4200" t="s">
        <v>4699</v>
      </c>
      <c r="K4200" t="s">
        <v>1092</v>
      </c>
      <c r="M4200">
        <v>0.27</v>
      </c>
      <c r="N4200">
        <v>278</v>
      </c>
      <c r="O4200" t="s">
        <v>5</v>
      </c>
      <c r="Q4200" t="s">
        <v>1687</v>
      </c>
      <c r="R4200" t="s">
        <v>610</v>
      </c>
      <c r="S4200" t="s">
        <v>539</v>
      </c>
      <c r="T4200" t="s">
        <v>611</v>
      </c>
    </row>
    <row r="4201" spans="1:20" x14ac:dyDescent="0.25">
      <c r="A4201" t="s">
        <v>30</v>
      </c>
      <c r="B4201" t="s">
        <v>31</v>
      </c>
      <c r="C4201" t="s">
        <v>32</v>
      </c>
      <c r="D4201" t="s">
        <v>584</v>
      </c>
      <c r="E4201" t="s">
        <v>599</v>
      </c>
      <c r="F4201" t="s">
        <v>35</v>
      </c>
      <c r="G4201" t="s">
        <v>35</v>
      </c>
      <c r="H4201" t="s">
        <v>35</v>
      </c>
      <c r="J4201" t="s">
        <v>4699</v>
      </c>
      <c r="K4201" t="s">
        <v>1092</v>
      </c>
      <c r="M4201">
        <v>11.025</v>
      </c>
      <c r="N4201">
        <v>88</v>
      </c>
      <c r="O4201" t="s">
        <v>61</v>
      </c>
      <c r="Q4201" t="s">
        <v>724</v>
      </c>
      <c r="R4201" t="s">
        <v>610</v>
      </c>
      <c r="S4201" t="s">
        <v>539</v>
      </c>
      <c r="T4201" t="s">
        <v>611</v>
      </c>
    </row>
    <row r="4202" spans="1:20" x14ac:dyDescent="0.25">
      <c r="A4202" t="s">
        <v>30</v>
      </c>
      <c r="B4202" t="s">
        <v>31</v>
      </c>
      <c r="C4202" t="s">
        <v>32</v>
      </c>
      <c r="D4202" t="s">
        <v>584</v>
      </c>
      <c r="E4202" t="s">
        <v>599</v>
      </c>
      <c r="F4202" t="s">
        <v>35</v>
      </c>
      <c r="G4202" t="s">
        <v>35</v>
      </c>
      <c r="H4202" t="s">
        <v>35</v>
      </c>
      <c r="J4202" t="s">
        <v>4699</v>
      </c>
      <c r="K4202" t="s">
        <v>1092</v>
      </c>
      <c r="M4202">
        <v>5.13</v>
      </c>
      <c r="N4202">
        <v>148</v>
      </c>
      <c r="O4202" t="s">
        <v>38</v>
      </c>
      <c r="Q4202" t="s">
        <v>3942</v>
      </c>
      <c r="R4202" t="s">
        <v>610</v>
      </c>
      <c r="S4202" t="s">
        <v>539</v>
      </c>
      <c r="T4202" t="s">
        <v>611</v>
      </c>
    </row>
    <row r="4203" spans="1:20" x14ac:dyDescent="0.25">
      <c r="A4203" t="s">
        <v>30</v>
      </c>
      <c r="B4203" t="s">
        <v>31</v>
      </c>
      <c r="C4203" t="s">
        <v>32</v>
      </c>
      <c r="D4203" t="s">
        <v>584</v>
      </c>
      <c r="E4203" t="s">
        <v>621</v>
      </c>
      <c r="F4203" t="s">
        <v>35</v>
      </c>
      <c r="G4203" t="s">
        <v>35</v>
      </c>
      <c r="H4203" t="s">
        <v>35</v>
      </c>
      <c r="J4203" t="s">
        <v>4906</v>
      </c>
      <c r="K4203" t="s">
        <v>1092</v>
      </c>
      <c r="M4203">
        <v>0.81</v>
      </c>
      <c r="N4203">
        <v>259</v>
      </c>
      <c r="O4203" t="s">
        <v>5</v>
      </c>
      <c r="Q4203" t="s">
        <v>117</v>
      </c>
      <c r="R4203" t="s">
        <v>610</v>
      </c>
      <c r="S4203" t="s">
        <v>539</v>
      </c>
      <c r="T4203" t="s">
        <v>611</v>
      </c>
    </row>
    <row r="4204" spans="1:20" x14ac:dyDescent="0.25">
      <c r="A4204" t="s">
        <v>30</v>
      </c>
      <c r="B4204" t="s">
        <v>31</v>
      </c>
      <c r="C4204" t="s">
        <v>32</v>
      </c>
      <c r="D4204" t="s">
        <v>584</v>
      </c>
      <c r="E4204" t="s">
        <v>4733</v>
      </c>
      <c r="F4204" t="s">
        <v>35</v>
      </c>
      <c r="G4204" t="s">
        <v>35</v>
      </c>
      <c r="H4204" t="s">
        <v>35</v>
      </c>
      <c r="J4204" t="s">
        <v>4737</v>
      </c>
      <c r="K4204" t="s">
        <v>1092</v>
      </c>
      <c r="M4204">
        <v>5.31</v>
      </c>
      <c r="N4204">
        <v>126</v>
      </c>
      <c r="O4204" t="s">
        <v>38</v>
      </c>
      <c r="Q4204" t="s">
        <v>68</v>
      </c>
      <c r="R4204" t="s">
        <v>610</v>
      </c>
      <c r="S4204" t="s">
        <v>539</v>
      </c>
      <c r="T4204" t="s">
        <v>611</v>
      </c>
    </row>
    <row r="4205" spans="1:20" x14ac:dyDescent="0.25">
      <c r="A4205" t="s">
        <v>30</v>
      </c>
      <c r="B4205" t="s">
        <v>31</v>
      </c>
      <c r="C4205" t="s">
        <v>32</v>
      </c>
      <c r="D4205" t="s">
        <v>584</v>
      </c>
      <c r="E4205" t="s">
        <v>621</v>
      </c>
      <c r="F4205" t="s">
        <v>35</v>
      </c>
      <c r="G4205" t="s">
        <v>35</v>
      </c>
      <c r="H4205" t="s">
        <v>35</v>
      </c>
      <c r="J4205" t="s">
        <v>4903</v>
      </c>
      <c r="K4205" t="s">
        <v>1092</v>
      </c>
      <c r="M4205">
        <v>1.8</v>
      </c>
      <c r="N4205">
        <v>64</v>
      </c>
      <c r="O4205" t="s">
        <v>61</v>
      </c>
      <c r="Q4205" t="s">
        <v>102</v>
      </c>
      <c r="R4205" t="s">
        <v>610</v>
      </c>
      <c r="S4205" t="s">
        <v>539</v>
      </c>
      <c r="T4205" t="s">
        <v>611</v>
      </c>
    </row>
    <row r="4206" spans="1:20" x14ac:dyDescent="0.25">
      <c r="A4206" t="s">
        <v>30</v>
      </c>
      <c r="B4206" t="s">
        <v>31</v>
      </c>
      <c r="C4206" t="s">
        <v>32</v>
      </c>
      <c r="D4206" t="s">
        <v>584</v>
      </c>
      <c r="E4206" t="s">
        <v>621</v>
      </c>
      <c r="F4206" t="s">
        <v>35</v>
      </c>
      <c r="G4206" t="s">
        <v>35</v>
      </c>
      <c r="H4206" t="s">
        <v>35</v>
      </c>
      <c r="J4206" t="s">
        <v>4903</v>
      </c>
      <c r="K4206" t="s">
        <v>1092</v>
      </c>
      <c r="M4206">
        <v>5.625</v>
      </c>
      <c r="N4206">
        <v>42</v>
      </c>
      <c r="O4206" t="s">
        <v>52</v>
      </c>
      <c r="Q4206" t="s">
        <v>219</v>
      </c>
      <c r="R4206" t="s">
        <v>610</v>
      </c>
      <c r="S4206" t="s">
        <v>539</v>
      </c>
      <c r="T4206" t="s">
        <v>611</v>
      </c>
    </row>
    <row r="4207" spans="1:20" x14ac:dyDescent="0.25">
      <c r="A4207" t="s">
        <v>30</v>
      </c>
      <c r="B4207" t="s">
        <v>31</v>
      </c>
      <c r="C4207" t="s">
        <v>32</v>
      </c>
      <c r="D4207" t="s">
        <v>584</v>
      </c>
      <c r="E4207" t="s">
        <v>599</v>
      </c>
      <c r="F4207" t="s">
        <v>35</v>
      </c>
      <c r="G4207" t="s">
        <v>35</v>
      </c>
      <c r="H4207" t="s">
        <v>35</v>
      </c>
      <c r="J4207" t="s">
        <v>4655</v>
      </c>
      <c r="K4207" t="s">
        <v>1092</v>
      </c>
      <c r="M4207">
        <v>3.5550000000000002</v>
      </c>
      <c r="N4207">
        <v>42</v>
      </c>
      <c r="O4207" t="s">
        <v>52</v>
      </c>
      <c r="Q4207" t="s">
        <v>219</v>
      </c>
      <c r="R4207" t="s">
        <v>610</v>
      </c>
      <c r="S4207" t="s">
        <v>539</v>
      </c>
      <c r="T4207" t="s">
        <v>611</v>
      </c>
    </row>
    <row r="4208" spans="1:20" x14ac:dyDescent="0.25">
      <c r="A4208" t="s">
        <v>59</v>
      </c>
      <c r="B4208" t="s">
        <v>31</v>
      </c>
      <c r="C4208" t="s">
        <v>32</v>
      </c>
      <c r="D4208" t="s">
        <v>584</v>
      </c>
      <c r="E4208" t="s">
        <v>599</v>
      </c>
      <c r="F4208" t="s">
        <v>35</v>
      </c>
      <c r="G4208" t="s">
        <v>35</v>
      </c>
      <c r="H4208" t="s">
        <v>35</v>
      </c>
      <c r="J4208" t="s">
        <v>4655</v>
      </c>
      <c r="K4208" t="s">
        <v>1092</v>
      </c>
      <c r="M4208">
        <v>0.40500000000000003</v>
      </c>
      <c r="N4208">
        <v>362</v>
      </c>
      <c r="O4208" t="s">
        <v>5</v>
      </c>
      <c r="Q4208" t="s">
        <v>2769</v>
      </c>
      <c r="R4208" t="s">
        <v>610</v>
      </c>
      <c r="S4208" t="s">
        <v>539</v>
      </c>
      <c r="T4208" t="s">
        <v>611</v>
      </c>
    </row>
    <row r="4209" spans="1:20" x14ac:dyDescent="0.25">
      <c r="A4209" t="s">
        <v>30</v>
      </c>
      <c r="B4209" t="s">
        <v>31</v>
      </c>
      <c r="C4209" t="s">
        <v>32</v>
      </c>
      <c r="D4209" t="s">
        <v>584</v>
      </c>
      <c r="E4209" t="s">
        <v>621</v>
      </c>
      <c r="F4209" t="s">
        <v>35</v>
      </c>
      <c r="G4209" t="s">
        <v>35</v>
      </c>
      <c r="H4209" t="s">
        <v>35</v>
      </c>
      <c r="J4209" t="s">
        <v>4796</v>
      </c>
      <c r="K4209" t="s">
        <v>404</v>
      </c>
      <c r="M4209">
        <v>4.5449999999999999</v>
      </c>
      <c r="N4209">
        <v>444</v>
      </c>
      <c r="O4209" t="s">
        <v>294</v>
      </c>
      <c r="Q4209" t="s">
        <v>2102</v>
      </c>
      <c r="R4209" t="s">
        <v>610</v>
      </c>
      <c r="S4209" t="s">
        <v>539</v>
      </c>
      <c r="T4209" t="s">
        <v>611</v>
      </c>
    </row>
    <row r="4210" spans="1:20" x14ac:dyDescent="0.25">
      <c r="A4210" t="s">
        <v>30</v>
      </c>
      <c r="B4210" t="s">
        <v>31</v>
      </c>
      <c r="C4210" t="s">
        <v>32</v>
      </c>
      <c r="D4210" t="s">
        <v>584</v>
      </c>
      <c r="E4210" t="s">
        <v>4733</v>
      </c>
      <c r="F4210" t="s">
        <v>35</v>
      </c>
      <c r="G4210" t="s">
        <v>35</v>
      </c>
      <c r="H4210" t="s">
        <v>35</v>
      </c>
      <c r="J4210" t="s">
        <v>4738</v>
      </c>
      <c r="K4210" t="s">
        <v>1092</v>
      </c>
      <c r="M4210">
        <v>5.7149999999999999</v>
      </c>
      <c r="N4210">
        <v>42</v>
      </c>
      <c r="O4210" t="s">
        <v>52</v>
      </c>
      <c r="Q4210" t="s">
        <v>219</v>
      </c>
      <c r="R4210" t="s">
        <v>610</v>
      </c>
      <c r="S4210" t="s">
        <v>539</v>
      </c>
      <c r="T4210" t="s">
        <v>611</v>
      </c>
    </row>
    <row r="4211" spans="1:20" x14ac:dyDescent="0.25">
      <c r="A4211" t="s">
        <v>59</v>
      </c>
      <c r="B4211" t="s">
        <v>31</v>
      </c>
      <c r="C4211" t="s">
        <v>32</v>
      </c>
      <c r="D4211" t="s">
        <v>584</v>
      </c>
      <c r="E4211" t="s">
        <v>585</v>
      </c>
      <c r="F4211" t="s">
        <v>35</v>
      </c>
      <c r="G4211" t="s">
        <v>35</v>
      </c>
      <c r="H4211" t="s">
        <v>35</v>
      </c>
      <c r="J4211" t="s">
        <v>4555</v>
      </c>
      <c r="K4211" t="s">
        <v>1092</v>
      </c>
      <c r="M4211">
        <v>1.53</v>
      </c>
      <c r="N4211">
        <v>164</v>
      </c>
      <c r="O4211" t="s">
        <v>38</v>
      </c>
      <c r="Q4211" t="s">
        <v>3930</v>
      </c>
      <c r="R4211" t="s">
        <v>610</v>
      </c>
      <c r="S4211" t="s">
        <v>539</v>
      </c>
      <c r="T4211" t="s">
        <v>611</v>
      </c>
    </row>
    <row r="4212" spans="1:20" x14ac:dyDescent="0.25">
      <c r="A4212" t="s">
        <v>59</v>
      </c>
      <c r="B4212" t="s">
        <v>60</v>
      </c>
      <c r="C4212" t="s">
        <v>32</v>
      </c>
      <c r="D4212" t="s">
        <v>584</v>
      </c>
      <c r="E4212" t="s">
        <v>621</v>
      </c>
      <c r="F4212" t="s">
        <v>35</v>
      </c>
      <c r="G4212" t="s">
        <v>35</v>
      </c>
      <c r="H4212" t="s">
        <v>35</v>
      </c>
      <c r="J4212" t="s">
        <v>4832</v>
      </c>
      <c r="K4212" t="s">
        <v>1092</v>
      </c>
      <c r="M4212">
        <v>0.85</v>
      </c>
      <c r="N4212">
        <v>278</v>
      </c>
      <c r="O4212" t="s">
        <v>5</v>
      </c>
      <c r="Q4212" t="s">
        <v>1687</v>
      </c>
      <c r="R4212" t="s">
        <v>610</v>
      </c>
      <c r="S4212" t="s">
        <v>539</v>
      </c>
      <c r="T4212" t="s">
        <v>611</v>
      </c>
    </row>
    <row r="4213" spans="1:20" x14ac:dyDescent="0.25">
      <c r="A4213" t="s">
        <v>44</v>
      </c>
      <c r="B4213" t="s">
        <v>51</v>
      </c>
      <c r="C4213" t="s">
        <v>32</v>
      </c>
      <c r="D4213" t="s">
        <v>584</v>
      </c>
      <c r="E4213" t="s">
        <v>621</v>
      </c>
      <c r="F4213" t="s">
        <v>35</v>
      </c>
      <c r="G4213" t="s">
        <v>35</v>
      </c>
      <c r="H4213" t="s">
        <v>35</v>
      </c>
      <c r="J4213" t="s">
        <v>4832</v>
      </c>
      <c r="K4213" t="s">
        <v>1092</v>
      </c>
      <c r="M4213">
        <v>0.25</v>
      </c>
      <c r="N4213">
        <v>51</v>
      </c>
      <c r="O4213" t="s">
        <v>52</v>
      </c>
      <c r="Q4213" t="s">
        <v>58</v>
      </c>
      <c r="R4213" t="s">
        <v>610</v>
      </c>
      <c r="S4213" t="s">
        <v>539</v>
      </c>
      <c r="T4213" t="s">
        <v>611</v>
      </c>
    </row>
    <row r="4214" spans="1:20" x14ac:dyDescent="0.25">
      <c r="A4214" t="s">
        <v>59</v>
      </c>
      <c r="B4214" t="s">
        <v>31</v>
      </c>
      <c r="C4214" t="s">
        <v>32</v>
      </c>
      <c r="D4214" t="s">
        <v>584</v>
      </c>
      <c r="E4214" t="s">
        <v>585</v>
      </c>
      <c r="F4214" t="s">
        <v>35</v>
      </c>
      <c r="G4214" t="s">
        <v>35</v>
      </c>
      <c r="H4214" t="s">
        <v>35</v>
      </c>
      <c r="J4214" t="s">
        <v>4593</v>
      </c>
      <c r="K4214" t="s">
        <v>1092</v>
      </c>
      <c r="M4214">
        <v>6.84</v>
      </c>
      <c r="N4214">
        <v>278</v>
      </c>
      <c r="O4214" t="s">
        <v>5</v>
      </c>
      <c r="Q4214" t="s">
        <v>1687</v>
      </c>
      <c r="R4214" t="s">
        <v>610</v>
      </c>
      <c r="S4214" t="s">
        <v>539</v>
      </c>
      <c r="T4214" t="s">
        <v>611</v>
      </c>
    </row>
    <row r="4215" spans="1:20" x14ac:dyDescent="0.25">
      <c r="A4215" t="s">
        <v>30</v>
      </c>
      <c r="B4215" t="s">
        <v>31</v>
      </c>
      <c r="C4215" t="s">
        <v>32</v>
      </c>
      <c r="D4215" t="s">
        <v>584</v>
      </c>
      <c r="E4215" t="s">
        <v>585</v>
      </c>
      <c r="F4215" t="s">
        <v>35</v>
      </c>
      <c r="G4215" t="s">
        <v>35</v>
      </c>
      <c r="H4215" t="s">
        <v>35</v>
      </c>
      <c r="J4215" t="s">
        <v>4593</v>
      </c>
      <c r="K4215" t="s">
        <v>1092</v>
      </c>
      <c r="M4215">
        <v>4.9050000000000002</v>
      </c>
      <c r="N4215">
        <v>444</v>
      </c>
      <c r="O4215" t="s">
        <v>294</v>
      </c>
      <c r="Q4215" t="s">
        <v>2102</v>
      </c>
      <c r="R4215" t="s">
        <v>610</v>
      </c>
      <c r="S4215" t="s">
        <v>539</v>
      </c>
      <c r="T4215" t="s">
        <v>611</v>
      </c>
    </row>
    <row r="4216" spans="1:20" x14ac:dyDescent="0.25">
      <c r="A4216" t="s">
        <v>30</v>
      </c>
      <c r="B4216" t="s">
        <v>31</v>
      </c>
      <c r="C4216" t="s">
        <v>32</v>
      </c>
      <c r="D4216" t="s">
        <v>584</v>
      </c>
      <c r="E4216" t="s">
        <v>585</v>
      </c>
      <c r="F4216" t="s">
        <v>35</v>
      </c>
      <c r="G4216" t="s">
        <v>35</v>
      </c>
      <c r="H4216" t="s">
        <v>35</v>
      </c>
      <c r="J4216" t="s">
        <v>4593</v>
      </c>
      <c r="K4216" t="s">
        <v>1092</v>
      </c>
      <c r="M4216">
        <v>5.5350000000000001</v>
      </c>
      <c r="N4216">
        <v>257</v>
      </c>
      <c r="O4216" t="s">
        <v>5</v>
      </c>
      <c r="Q4216" t="s">
        <v>1721</v>
      </c>
      <c r="R4216" t="s">
        <v>610</v>
      </c>
      <c r="S4216" t="s">
        <v>539</v>
      </c>
      <c r="T4216" t="s">
        <v>611</v>
      </c>
    </row>
    <row r="4217" spans="1:20" x14ac:dyDescent="0.25">
      <c r="A4217" t="s">
        <v>30</v>
      </c>
      <c r="B4217" t="s">
        <v>31</v>
      </c>
      <c r="C4217" t="s">
        <v>32</v>
      </c>
      <c r="D4217" t="s">
        <v>584</v>
      </c>
      <c r="E4217" t="s">
        <v>4514</v>
      </c>
      <c r="F4217" t="s">
        <v>35</v>
      </c>
      <c r="G4217" t="s">
        <v>35</v>
      </c>
      <c r="H4217" t="s">
        <v>35</v>
      </c>
      <c r="J4217" t="s">
        <v>4531</v>
      </c>
      <c r="K4217" t="s">
        <v>1092</v>
      </c>
      <c r="M4217">
        <v>8.3249999999999993</v>
      </c>
      <c r="N4217">
        <v>64</v>
      </c>
      <c r="O4217" t="s">
        <v>61</v>
      </c>
      <c r="Q4217" t="s">
        <v>102</v>
      </c>
      <c r="R4217" t="s">
        <v>610</v>
      </c>
      <c r="S4217" t="s">
        <v>539</v>
      </c>
      <c r="T4217" t="s">
        <v>611</v>
      </c>
    </row>
    <row r="4218" spans="1:20" x14ac:dyDescent="0.25">
      <c r="A4218" t="s">
        <v>59</v>
      </c>
      <c r="B4218" t="s">
        <v>31</v>
      </c>
      <c r="C4218" t="s">
        <v>32</v>
      </c>
      <c r="D4218" t="s">
        <v>584</v>
      </c>
      <c r="E4218" t="s">
        <v>592</v>
      </c>
      <c r="F4218" t="s">
        <v>35</v>
      </c>
      <c r="G4218" t="s">
        <v>35</v>
      </c>
      <c r="H4218" t="s">
        <v>35</v>
      </c>
      <c r="J4218" t="s">
        <v>4602</v>
      </c>
      <c r="K4218" t="s">
        <v>1092</v>
      </c>
      <c r="M4218">
        <v>11.025</v>
      </c>
      <c r="N4218">
        <v>124</v>
      </c>
      <c r="O4218" t="s">
        <v>38</v>
      </c>
      <c r="Q4218" t="s">
        <v>646</v>
      </c>
      <c r="R4218" t="s">
        <v>610</v>
      </c>
      <c r="S4218" t="s">
        <v>539</v>
      </c>
      <c r="T4218" t="s">
        <v>611</v>
      </c>
    </row>
    <row r="4219" spans="1:20" x14ac:dyDescent="0.25">
      <c r="A4219" t="s">
        <v>59</v>
      </c>
      <c r="B4219" t="s">
        <v>31</v>
      </c>
      <c r="C4219" t="s">
        <v>32</v>
      </c>
      <c r="D4219" t="s">
        <v>584</v>
      </c>
      <c r="E4219" t="s">
        <v>599</v>
      </c>
      <c r="F4219" t="s">
        <v>35</v>
      </c>
      <c r="G4219" t="s">
        <v>35</v>
      </c>
      <c r="H4219" t="s">
        <v>35</v>
      </c>
      <c r="J4219" t="s">
        <v>4712</v>
      </c>
      <c r="K4219" t="s">
        <v>1092</v>
      </c>
      <c r="M4219">
        <v>1.665</v>
      </c>
      <c r="N4219">
        <v>496</v>
      </c>
      <c r="O4219" t="s">
        <v>294</v>
      </c>
      <c r="Q4219" t="s">
        <v>3139</v>
      </c>
      <c r="R4219" t="s">
        <v>610</v>
      </c>
      <c r="S4219" t="s">
        <v>539</v>
      </c>
      <c r="T4219" t="s">
        <v>611</v>
      </c>
    </row>
    <row r="4220" spans="1:20" x14ac:dyDescent="0.25">
      <c r="A4220" t="s">
        <v>30</v>
      </c>
      <c r="B4220" t="s">
        <v>31</v>
      </c>
      <c r="C4220" t="s">
        <v>32</v>
      </c>
      <c r="D4220" t="s">
        <v>584</v>
      </c>
      <c r="E4220" t="s">
        <v>599</v>
      </c>
      <c r="F4220" t="s">
        <v>35</v>
      </c>
      <c r="G4220" t="s">
        <v>35</v>
      </c>
      <c r="H4220" t="s">
        <v>35</v>
      </c>
      <c r="J4220" t="s">
        <v>4635</v>
      </c>
      <c r="K4220" t="s">
        <v>1092</v>
      </c>
      <c r="M4220">
        <v>6.7050000000000001</v>
      </c>
      <c r="N4220">
        <v>221</v>
      </c>
      <c r="O4220" t="s">
        <v>5</v>
      </c>
      <c r="Q4220" t="s">
        <v>1979</v>
      </c>
      <c r="R4220" t="s">
        <v>610</v>
      </c>
      <c r="S4220" t="s">
        <v>539</v>
      </c>
      <c r="T4220" t="s">
        <v>611</v>
      </c>
    </row>
    <row r="4221" spans="1:20" x14ac:dyDescent="0.25">
      <c r="A4221" t="s">
        <v>30</v>
      </c>
      <c r="B4221" t="s">
        <v>31</v>
      </c>
      <c r="C4221" t="s">
        <v>32</v>
      </c>
      <c r="D4221" t="s">
        <v>584</v>
      </c>
      <c r="E4221" t="s">
        <v>599</v>
      </c>
      <c r="F4221" t="s">
        <v>35</v>
      </c>
      <c r="G4221" t="s">
        <v>35</v>
      </c>
      <c r="H4221" t="s">
        <v>35</v>
      </c>
      <c r="J4221" t="s">
        <v>4635</v>
      </c>
      <c r="K4221" t="s">
        <v>1092</v>
      </c>
      <c r="M4221">
        <v>5.5350000000000001</v>
      </c>
      <c r="N4221">
        <v>42</v>
      </c>
      <c r="O4221" t="s">
        <v>52</v>
      </c>
      <c r="Q4221" t="s">
        <v>219</v>
      </c>
      <c r="R4221" t="s">
        <v>610</v>
      </c>
      <c r="S4221" t="s">
        <v>539</v>
      </c>
      <c r="T4221" t="s">
        <v>611</v>
      </c>
    </row>
    <row r="4222" spans="1:20" x14ac:dyDescent="0.25">
      <c r="A4222" t="s">
        <v>30</v>
      </c>
      <c r="B4222" t="s">
        <v>31</v>
      </c>
      <c r="C4222" t="s">
        <v>32</v>
      </c>
      <c r="D4222" t="s">
        <v>584</v>
      </c>
      <c r="E4222" t="s">
        <v>585</v>
      </c>
      <c r="F4222" t="s">
        <v>35</v>
      </c>
      <c r="G4222" t="s">
        <v>35</v>
      </c>
      <c r="H4222" t="s">
        <v>35</v>
      </c>
      <c r="J4222" t="s">
        <v>4590</v>
      </c>
      <c r="K4222" t="s">
        <v>1092</v>
      </c>
      <c r="M4222">
        <v>2.5649999999999999</v>
      </c>
      <c r="N4222">
        <v>259</v>
      </c>
      <c r="O4222" t="s">
        <v>5</v>
      </c>
      <c r="Q4222" t="s">
        <v>117</v>
      </c>
      <c r="R4222" t="s">
        <v>610</v>
      </c>
      <c r="S4222" t="s">
        <v>539</v>
      </c>
      <c r="T4222" t="s">
        <v>611</v>
      </c>
    </row>
    <row r="4223" spans="1:20" x14ac:dyDescent="0.25">
      <c r="A4223" t="s">
        <v>30</v>
      </c>
      <c r="B4223" t="s">
        <v>31</v>
      </c>
      <c r="C4223" t="s">
        <v>32</v>
      </c>
      <c r="D4223" t="s">
        <v>584</v>
      </c>
      <c r="E4223" t="s">
        <v>621</v>
      </c>
      <c r="F4223" t="s">
        <v>35</v>
      </c>
      <c r="G4223" t="s">
        <v>35</v>
      </c>
      <c r="H4223" t="s">
        <v>35</v>
      </c>
      <c r="J4223" t="s">
        <v>4861</v>
      </c>
      <c r="K4223" t="s">
        <v>1092</v>
      </c>
      <c r="M4223">
        <v>6.165</v>
      </c>
      <c r="N4223">
        <v>259</v>
      </c>
      <c r="O4223" t="s">
        <v>5</v>
      </c>
      <c r="Q4223" t="s">
        <v>117</v>
      </c>
      <c r="R4223" t="s">
        <v>610</v>
      </c>
      <c r="S4223" t="s">
        <v>539</v>
      </c>
      <c r="T4223" t="s">
        <v>611</v>
      </c>
    </row>
    <row r="4224" spans="1:20" x14ac:dyDescent="0.25">
      <c r="A4224" t="s">
        <v>30</v>
      </c>
      <c r="B4224" t="s">
        <v>31</v>
      </c>
      <c r="C4224" t="s">
        <v>32</v>
      </c>
      <c r="D4224" t="s">
        <v>584</v>
      </c>
      <c r="E4224" t="s">
        <v>599</v>
      </c>
      <c r="F4224" t="s">
        <v>35</v>
      </c>
      <c r="G4224" t="s">
        <v>35</v>
      </c>
      <c r="H4224" t="s">
        <v>35</v>
      </c>
      <c r="J4224" t="s">
        <v>4698</v>
      </c>
      <c r="K4224" t="s">
        <v>1092</v>
      </c>
      <c r="M4224">
        <v>2.0699999999999998</v>
      </c>
      <c r="N4224">
        <v>42</v>
      </c>
      <c r="O4224" t="s">
        <v>52</v>
      </c>
      <c r="Q4224" t="s">
        <v>219</v>
      </c>
      <c r="R4224" t="s">
        <v>610</v>
      </c>
      <c r="S4224" t="s">
        <v>539</v>
      </c>
      <c r="T4224" t="s">
        <v>611</v>
      </c>
    </row>
    <row r="4225" spans="1:20" x14ac:dyDescent="0.25">
      <c r="A4225" t="s">
        <v>30</v>
      </c>
      <c r="B4225" t="s">
        <v>31</v>
      </c>
      <c r="C4225" t="s">
        <v>32</v>
      </c>
      <c r="D4225" t="s">
        <v>584</v>
      </c>
      <c r="E4225" t="s">
        <v>4486</v>
      </c>
      <c r="F4225" t="s">
        <v>35</v>
      </c>
      <c r="G4225" t="s">
        <v>35</v>
      </c>
      <c r="H4225" t="s">
        <v>35</v>
      </c>
      <c r="J4225" t="s">
        <v>4490</v>
      </c>
      <c r="K4225" t="s">
        <v>404</v>
      </c>
      <c r="M4225">
        <v>19.664999999999999</v>
      </c>
      <c r="N4225">
        <v>126</v>
      </c>
      <c r="O4225" t="s">
        <v>38</v>
      </c>
      <c r="Q4225" t="s">
        <v>68</v>
      </c>
      <c r="R4225" t="s">
        <v>610</v>
      </c>
      <c r="S4225" t="s">
        <v>539</v>
      </c>
      <c r="T4225" t="s">
        <v>611</v>
      </c>
    </row>
    <row r="4226" spans="1:20" x14ac:dyDescent="0.25">
      <c r="A4226" t="s">
        <v>30</v>
      </c>
      <c r="B4226" t="s">
        <v>31</v>
      </c>
      <c r="C4226" t="s">
        <v>32</v>
      </c>
      <c r="D4226" t="s">
        <v>584</v>
      </c>
      <c r="E4226" t="s">
        <v>592</v>
      </c>
      <c r="F4226" t="s">
        <v>35</v>
      </c>
      <c r="G4226" t="s">
        <v>35</v>
      </c>
      <c r="H4226" t="s">
        <v>35</v>
      </c>
      <c r="J4226" t="s">
        <v>4610</v>
      </c>
      <c r="K4226" t="s">
        <v>404</v>
      </c>
      <c r="M4226">
        <v>8.01</v>
      </c>
      <c r="N4226">
        <v>257</v>
      </c>
      <c r="O4226" t="s">
        <v>5</v>
      </c>
      <c r="Q4226" t="s">
        <v>1721</v>
      </c>
      <c r="R4226" t="s">
        <v>610</v>
      </c>
      <c r="S4226" t="s">
        <v>539</v>
      </c>
      <c r="T4226" t="s">
        <v>611</v>
      </c>
    </row>
    <row r="4227" spans="1:20" x14ac:dyDescent="0.25">
      <c r="A4227" t="s">
        <v>30</v>
      </c>
      <c r="B4227" t="s">
        <v>31</v>
      </c>
      <c r="C4227" t="s">
        <v>32</v>
      </c>
      <c r="D4227" t="s">
        <v>584</v>
      </c>
      <c r="E4227" t="s">
        <v>4733</v>
      </c>
      <c r="F4227" t="s">
        <v>35</v>
      </c>
      <c r="G4227" t="s">
        <v>35</v>
      </c>
      <c r="H4227" t="s">
        <v>35</v>
      </c>
      <c r="J4227" t="s">
        <v>4768</v>
      </c>
      <c r="K4227" t="s">
        <v>1092</v>
      </c>
      <c r="M4227">
        <v>3.96</v>
      </c>
      <c r="N4227">
        <v>87</v>
      </c>
      <c r="O4227" t="s">
        <v>61</v>
      </c>
      <c r="Q4227" t="s">
        <v>394</v>
      </c>
      <c r="R4227" t="s">
        <v>610</v>
      </c>
      <c r="S4227" t="s">
        <v>539</v>
      </c>
      <c r="T4227" t="s">
        <v>611</v>
      </c>
    </row>
    <row r="4228" spans="1:20" x14ac:dyDescent="0.25">
      <c r="A4228" t="s">
        <v>59</v>
      </c>
      <c r="B4228" t="s">
        <v>60</v>
      </c>
      <c r="C4228" t="s">
        <v>32</v>
      </c>
      <c r="D4228" t="s">
        <v>584</v>
      </c>
      <c r="E4228" t="s">
        <v>4441</v>
      </c>
      <c r="F4228" t="s">
        <v>35</v>
      </c>
      <c r="G4228" t="s">
        <v>35</v>
      </c>
      <c r="H4228" t="s">
        <v>35</v>
      </c>
      <c r="J4228" t="s">
        <v>4479</v>
      </c>
      <c r="K4228" t="s">
        <v>1092</v>
      </c>
      <c r="M4228">
        <v>8</v>
      </c>
      <c r="N4228">
        <v>36</v>
      </c>
      <c r="O4228" t="s">
        <v>52</v>
      </c>
      <c r="Q4228" t="s">
        <v>892</v>
      </c>
      <c r="R4228" t="s">
        <v>4454</v>
      </c>
      <c r="S4228" t="s">
        <v>4455</v>
      </c>
      <c r="T4228" t="s">
        <v>4456</v>
      </c>
    </row>
    <row r="4229" spans="1:20" x14ac:dyDescent="0.25">
      <c r="A4229" t="s">
        <v>44</v>
      </c>
      <c r="B4229" t="s">
        <v>3</v>
      </c>
      <c r="C4229" t="s">
        <v>32</v>
      </c>
      <c r="D4229" t="s">
        <v>584</v>
      </c>
      <c r="E4229" t="s">
        <v>4441</v>
      </c>
      <c r="F4229" t="s">
        <v>35</v>
      </c>
      <c r="G4229" t="s">
        <v>35</v>
      </c>
      <c r="H4229" t="s">
        <v>35</v>
      </c>
      <c r="J4229" t="s">
        <v>4453</v>
      </c>
      <c r="K4229" t="s">
        <v>1092</v>
      </c>
      <c r="M4229">
        <v>0.9</v>
      </c>
      <c r="N4229">
        <v>515</v>
      </c>
      <c r="O4229" t="s">
        <v>294</v>
      </c>
      <c r="Q4229" t="s">
        <v>2158</v>
      </c>
      <c r="R4229" t="s">
        <v>4454</v>
      </c>
      <c r="S4229" t="s">
        <v>4455</v>
      </c>
      <c r="T4229" t="s">
        <v>4456</v>
      </c>
    </row>
    <row r="4230" spans="1:20" x14ac:dyDescent="0.25">
      <c r="A4230" t="s">
        <v>44</v>
      </c>
      <c r="B4230" t="s">
        <v>3</v>
      </c>
      <c r="C4230" t="s">
        <v>32</v>
      </c>
      <c r="D4230" t="s">
        <v>584</v>
      </c>
      <c r="E4230" t="s">
        <v>621</v>
      </c>
      <c r="F4230" t="s">
        <v>35</v>
      </c>
      <c r="G4230" t="s">
        <v>35</v>
      </c>
      <c r="H4230" t="s">
        <v>35</v>
      </c>
      <c r="J4230" t="s">
        <v>4937</v>
      </c>
      <c r="K4230" t="s">
        <v>1092</v>
      </c>
      <c r="M4230">
        <v>0.05</v>
      </c>
      <c r="N4230">
        <v>527</v>
      </c>
      <c r="O4230" t="s">
        <v>294</v>
      </c>
      <c r="Q4230" t="s">
        <v>1496</v>
      </c>
      <c r="R4230" t="s">
        <v>4557</v>
      </c>
      <c r="S4230" t="s">
        <v>4558</v>
      </c>
      <c r="T4230" t="s">
        <v>4559</v>
      </c>
    </row>
    <row r="4231" spans="1:20" x14ac:dyDescent="0.25">
      <c r="A4231" t="s">
        <v>44</v>
      </c>
      <c r="B4231" t="s">
        <v>3</v>
      </c>
      <c r="C4231" t="s">
        <v>32</v>
      </c>
      <c r="D4231" t="s">
        <v>584</v>
      </c>
      <c r="E4231" t="s">
        <v>621</v>
      </c>
      <c r="F4231" t="s">
        <v>35</v>
      </c>
      <c r="G4231" t="s">
        <v>35</v>
      </c>
      <c r="H4231" t="s">
        <v>35</v>
      </c>
      <c r="J4231" t="s">
        <v>4857</v>
      </c>
      <c r="K4231" t="s">
        <v>1092</v>
      </c>
      <c r="M4231">
        <v>0.1</v>
      </c>
      <c r="N4231">
        <v>410</v>
      </c>
      <c r="O4231" t="s">
        <v>294</v>
      </c>
      <c r="Q4231" t="s">
        <v>4858</v>
      </c>
      <c r="R4231" t="s">
        <v>4557</v>
      </c>
      <c r="S4231" t="s">
        <v>4558</v>
      </c>
      <c r="T4231" t="s">
        <v>4559</v>
      </c>
    </row>
    <row r="4232" spans="1:20" x14ac:dyDescent="0.25">
      <c r="A4232" t="s">
        <v>59</v>
      </c>
      <c r="B4232" t="s">
        <v>60</v>
      </c>
      <c r="C4232" t="s">
        <v>32</v>
      </c>
      <c r="D4232" t="s">
        <v>584</v>
      </c>
      <c r="E4232" t="s">
        <v>621</v>
      </c>
      <c r="F4232" t="s">
        <v>35</v>
      </c>
      <c r="G4232" t="s">
        <v>35</v>
      </c>
      <c r="H4232" t="s">
        <v>35</v>
      </c>
      <c r="J4232" t="s">
        <v>4857</v>
      </c>
      <c r="K4232" t="s">
        <v>1092</v>
      </c>
      <c r="M4232">
        <v>0.1</v>
      </c>
      <c r="N4232">
        <v>315</v>
      </c>
      <c r="O4232" t="s">
        <v>5</v>
      </c>
      <c r="Q4232" t="s">
        <v>4859</v>
      </c>
      <c r="R4232" t="s">
        <v>4557</v>
      </c>
      <c r="S4232" t="s">
        <v>4558</v>
      </c>
      <c r="T4232" t="s">
        <v>4559</v>
      </c>
    </row>
    <row r="4233" spans="1:20" x14ac:dyDescent="0.25">
      <c r="A4233" t="s">
        <v>59</v>
      </c>
      <c r="B4233" t="s">
        <v>60</v>
      </c>
      <c r="C4233" t="s">
        <v>32</v>
      </c>
      <c r="D4233" t="s">
        <v>584</v>
      </c>
      <c r="E4233" t="s">
        <v>621</v>
      </c>
      <c r="F4233" t="s">
        <v>35</v>
      </c>
      <c r="G4233" t="s">
        <v>35</v>
      </c>
      <c r="H4233" t="s">
        <v>35</v>
      </c>
      <c r="J4233" t="s">
        <v>4952</v>
      </c>
      <c r="K4233" t="s">
        <v>1092</v>
      </c>
      <c r="M4233">
        <v>0.4</v>
      </c>
      <c r="N4233">
        <v>315</v>
      </c>
      <c r="O4233" t="s">
        <v>5</v>
      </c>
      <c r="Q4233" t="s">
        <v>4859</v>
      </c>
      <c r="R4233" t="s">
        <v>4557</v>
      </c>
      <c r="S4233" t="s">
        <v>4558</v>
      </c>
      <c r="T4233" t="s">
        <v>4559</v>
      </c>
    </row>
    <row r="4234" spans="1:20" x14ac:dyDescent="0.25">
      <c r="A4234" t="s">
        <v>30</v>
      </c>
      <c r="B4234" t="s">
        <v>31</v>
      </c>
      <c r="C4234" t="s">
        <v>32</v>
      </c>
      <c r="D4234" t="s">
        <v>584</v>
      </c>
      <c r="E4234" t="s">
        <v>621</v>
      </c>
      <c r="F4234" t="s">
        <v>35</v>
      </c>
      <c r="G4234" t="s">
        <v>35</v>
      </c>
      <c r="H4234" t="s">
        <v>35</v>
      </c>
      <c r="J4234" t="s">
        <v>4952</v>
      </c>
      <c r="K4234" t="s">
        <v>1092</v>
      </c>
      <c r="M4234">
        <v>0.09</v>
      </c>
      <c r="N4234">
        <v>1147</v>
      </c>
      <c r="O4234" t="s">
        <v>575</v>
      </c>
      <c r="Q4234" t="s">
        <v>4883</v>
      </c>
      <c r="R4234" t="s">
        <v>4557</v>
      </c>
      <c r="S4234" t="s">
        <v>4558</v>
      </c>
      <c r="T4234" t="s">
        <v>4559</v>
      </c>
    </row>
    <row r="4235" spans="1:20" x14ac:dyDescent="0.25">
      <c r="A4235" t="s">
        <v>59</v>
      </c>
      <c r="B4235" t="s">
        <v>60</v>
      </c>
      <c r="C4235" t="s">
        <v>32</v>
      </c>
      <c r="D4235" t="s">
        <v>584</v>
      </c>
      <c r="E4235" t="s">
        <v>621</v>
      </c>
      <c r="F4235" t="s">
        <v>35</v>
      </c>
      <c r="G4235" t="s">
        <v>35</v>
      </c>
      <c r="H4235" t="s">
        <v>35</v>
      </c>
      <c r="J4235" t="s">
        <v>4815</v>
      </c>
      <c r="K4235" t="s">
        <v>1092</v>
      </c>
      <c r="M4235">
        <v>0.25</v>
      </c>
      <c r="N4235">
        <v>725</v>
      </c>
      <c r="O4235" t="s">
        <v>575</v>
      </c>
      <c r="Q4235" t="s">
        <v>4816</v>
      </c>
      <c r="R4235" t="s">
        <v>4557</v>
      </c>
      <c r="S4235" t="s">
        <v>4558</v>
      </c>
      <c r="T4235" t="s">
        <v>4559</v>
      </c>
    </row>
    <row r="4236" spans="1:20" x14ac:dyDescent="0.25">
      <c r="A4236" t="s">
        <v>30</v>
      </c>
      <c r="B4236" t="s">
        <v>31</v>
      </c>
      <c r="C4236" t="s">
        <v>32</v>
      </c>
      <c r="D4236" t="s">
        <v>584</v>
      </c>
      <c r="E4236" t="s">
        <v>621</v>
      </c>
      <c r="F4236" t="s">
        <v>35</v>
      </c>
      <c r="G4236" t="s">
        <v>35</v>
      </c>
      <c r="H4236" t="s">
        <v>35</v>
      </c>
      <c r="J4236" t="s">
        <v>4815</v>
      </c>
      <c r="K4236" t="s">
        <v>1092</v>
      </c>
      <c r="M4236">
        <v>0.40500000000000003</v>
      </c>
      <c r="N4236">
        <v>1130</v>
      </c>
      <c r="O4236" t="s">
        <v>575</v>
      </c>
      <c r="Q4236" t="s">
        <v>4817</v>
      </c>
      <c r="R4236" t="s">
        <v>4557</v>
      </c>
      <c r="S4236" t="s">
        <v>4558</v>
      </c>
      <c r="T4236" t="s">
        <v>4559</v>
      </c>
    </row>
    <row r="4237" spans="1:20" x14ac:dyDescent="0.25">
      <c r="A4237" t="s">
        <v>44</v>
      </c>
      <c r="B4237" t="s">
        <v>3</v>
      </c>
      <c r="C4237" t="s">
        <v>32</v>
      </c>
      <c r="D4237" t="s">
        <v>584</v>
      </c>
      <c r="E4237" t="s">
        <v>621</v>
      </c>
      <c r="F4237" t="s">
        <v>35</v>
      </c>
      <c r="G4237" t="s">
        <v>35</v>
      </c>
      <c r="H4237" t="s">
        <v>35</v>
      </c>
      <c r="J4237" t="s">
        <v>4815</v>
      </c>
      <c r="K4237" t="s">
        <v>1092</v>
      </c>
      <c r="M4237">
        <v>0.5</v>
      </c>
      <c r="N4237">
        <v>460</v>
      </c>
      <c r="O4237" t="s">
        <v>294</v>
      </c>
      <c r="Q4237" t="s">
        <v>3590</v>
      </c>
      <c r="R4237" t="s">
        <v>4557</v>
      </c>
      <c r="S4237" t="s">
        <v>4558</v>
      </c>
      <c r="T4237" t="s">
        <v>4559</v>
      </c>
    </row>
    <row r="4238" spans="1:20" x14ac:dyDescent="0.25">
      <c r="A4238" t="s">
        <v>59</v>
      </c>
      <c r="B4238" t="s">
        <v>60</v>
      </c>
      <c r="C4238" t="s">
        <v>32</v>
      </c>
      <c r="D4238" t="s">
        <v>584</v>
      </c>
      <c r="E4238" t="s">
        <v>621</v>
      </c>
      <c r="F4238" t="s">
        <v>35</v>
      </c>
      <c r="G4238" t="s">
        <v>35</v>
      </c>
      <c r="H4238" t="s">
        <v>35</v>
      </c>
      <c r="J4238" t="s">
        <v>4815</v>
      </c>
      <c r="K4238" t="s">
        <v>1092</v>
      </c>
      <c r="M4238">
        <v>0.25</v>
      </c>
      <c r="N4238">
        <v>285</v>
      </c>
      <c r="O4238" t="s">
        <v>5</v>
      </c>
      <c r="Q4238" t="s">
        <v>1234</v>
      </c>
      <c r="R4238" t="s">
        <v>4557</v>
      </c>
      <c r="S4238" t="s">
        <v>4558</v>
      </c>
      <c r="T4238" t="s">
        <v>4559</v>
      </c>
    </row>
    <row r="4239" spans="1:20" x14ac:dyDescent="0.25">
      <c r="A4239" t="s">
        <v>59</v>
      </c>
      <c r="B4239" t="s">
        <v>60</v>
      </c>
      <c r="C4239" t="s">
        <v>32</v>
      </c>
      <c r="D4239" t="s">
        <v>584</v>
      </c>
      <c r="E4239" t="s">
        <v>621</v>
      </c>
      <c r="F4239" t="s">
        <v>35</v>
      </c>
      <c r="G4239" t="s">
        <v>35</v>
      </c>
      <c r="H4239" t="s">
        <v>35</v>
      </c>
      <c r="J4239" t="s">
        <v>4815</v>
      </c>
      <c r="K4239" t="s">
        <v>1092</v>
      </c>
      <c r="M4239">
        <v>0.25</v>
      </c>
      <c r="N4239">
        <v>305</v>
      </c>
      <c r="O4239" t="s">
        <v>5</v>
      </c>
      <c r="Q4239" t="s">
        <v>4818</v>
      </c>
      <c r="R4239" t="s">
        <v>4557</v>
      </c>
      <c r="S4239" t="s">
        <v>4558</v>
      </c>
      <c r="T4239" t="s">
        <v>4559</v>
      </c>
    </row>
    <row r="4240" spans="1:20" x14ac:dyDescent="0.25">
      <c r="A4240" t="s">
        <v>44</v>
      </c>
      <c r="B4240" t="s">
        <v>3</v>
      </c>
      <c r="C4240" t="s">
        <v>32</v>
      </c>
      <c r="D4240" t="s">
        <v>584</v>
      </c>
      <c r="E4240" t="s">
        <v>621</v>
      </c>
      <c r="F4240" t="s">
        <v>35</v>
      </c>
      <c r="G4240" t="s">
        <v>35</v>
      </c>
      <c r="H4240" t="s">
        <v>35</v>
      </c>
      <c r="J4240" t="s">
        <v>4815</v>
      </c>
      <c r="K4240" t="s">
        <v>1092</v>
      </c>
      <c r="M4240">
        <v>0.25</v>
      </c>
      <c r="N4240">
        <v>513</v>
      </c>
      <c r="O4240" t="s">
        <v>294</v>
      </c>
      <c r="Q4240" t="s">
        <v>2816</v>
      </c>
      <c r="R4240" t="s">
        <v>4557</v>
      </c>
      <c r="S4240" t="s">
        <v>4558</v>
      </c>
      <c r="T4240" t="s">
        <v>4559</v>
      </c>
    </row>
    <row r="4241" spans="1:20" x14ac:dyDescent="0.25">
      <c r="A4241" t="s">
        <v>59</v>
      </c>
      <c r="B4241" t="s">
        <v>60</v>
      </c>
      <c r="C4241" t="s">
        <v>32</v>
      </c>
      <c r="D4241" t="s">
        <v>584</v>
      </c>
      <c r="E4241" t="s">
        <v>621</v>
      </c>
      <c r="F4241" t="s">
        <v>35</v>
      </c>
      <c r="G4241" t="s">
        <v>35</v>
      </c>
      <c r="H4241" t="s">
        <v>35</v>
      </c>
      <c r="J4241" t="s">
        <v>4815</v>
      </c>
      <c r="K4241" t="s">
        <v>1092</v>
      </c>
      <c r="M4241">
        <v>0.5</v>
      </c>
      <c r="N4241">
        <v>763</v>
      </c>
      <c r="O4241" t="s">
        <v>575</v>
      </c>
      <c r="Q4241" t="s">
        <v>3669</v>
      </c>
      <c r="R4241" t="s">
        <v>4557</v>
      </c>
      <c r="S4241" t="s">
        <v>4558</v>
      </c>
      <c r="T4241" t="s">
        <v>4559</v>
      </c>
    </row>
    <row r="4242" spans="1:20" x14ac:dyDescent="0.25">
      <c r="A4242" t="s">
        <v>59</v>
      </c>
      <c r="B4242" t="s">
        <v>60</v>
      </c>
      <c r="C4242" t="s">
        <v>32</v>
      </c>
      <c r="D4242" t="s">
        <v>584</v>
      </c>
      <c r="E4242" t="s">
        <v>621</v>
      </c>
      <c r="F4242" t="s">
        <v>35</v>
      </c>
      <c r="G4242" t="s">
        <v>35</v>
      </c>
      <c r="H4242" t="s">
        <v>35</v>
      </c>
      <c r="J4242" t="s">
        <v>4803</v>
      </c>
      <c r="K4242" t="s">
        <v>1092</v>
      </c>
      <c r="M4242">
        <v>0.5</v>
      </c>
      <c r="N4242">
        <v>351</v>
      </c>
      <c r="O4242" t="s">
        <v>5</v>
      </c>
      <c r="Q4242" t="s">
        <v>4804</v>
      </c>
      <c r="R4242" t="s">
        <v>4557</v>
      </c>
      <c r="S4242" t="s">
        <v>4558</v>
      </c>
      <c r="T4242" t="s">
        <v>4559</v>
      </c>
    </row>
    <row r="4243" spans="1:20" x14ac:dyDescent="0.25">
      <c r="A4243" t="s">
        <v>59</v>
      </c>
      <c r="B4243" t="s">
        <v>60</v>
      </c>
      <c r="C4243" t="s">
        <v>32</v>
      </c>
      <c r="D4243" t="s">
        <v>584</v>
      </c>
      <c r="E4243" t="s">
        <v>621</v>
      </c>
      <c r="F4243" t="s">
        <v>35</v>
      </c>
      <c r="G4243" t="s">
        <v>35</v>
      </c>
      <c r="H4243" t="s">
        <v>35</v>
      </c>
      <c r="J4243" t="s">
        <v>4875</v>
      </c>
      <c r="K4243" t="s">
        <v>1092</v>
      </c>
      <c r="M4243">
        <v>0.35</v>
      </c>
      <c r="N4243">
        <v>651</v>
      </c>
      <c r="O4243" t="s">
        <v>575</v>
      </c>
      <c r="Q4243" t="s">
        <v>4876</v>
      </c>
      <c r="R4243" t="s">
        <v>4557</v>
      </c>
      <c r="S4243" t="s">
        <v>4558</v>
      </c>
      <c r="T4243" t="s">
        <v>4559</v>
      </c>
    </row>
    <row r="4244" spans="1:20" x14ac:dyDescent="0.25">
      <c r="A4244" t="s">
        <v>59</v>
      </c>
      <c r="B4244" t="s">
        <v>60</v>
      </c>
      <c r="C4244" t="s">
        <v>32</v>
      </c>
      <c r="D4244" t="s">
        <v>584</v>
      </c>
      <c r="E4244" t="s">
        <v>585</v>
      </c>
      <c r="F4244" t="s">
        <v>35</v>
      </c>
      <c r="G4244" t="s">
        <v>35</v>
      </c>
      <c r="H4244" t="s">
        <v>35</v>
      </c>
      <c r="J4244" t="s">
        <v>4560</v>
      </c>
      <c r="K4244" t="s">
        <v>1092</v>
      </c>
      <c r="M4244">
        <v>0.05</v>
      </c>
      <c r="N4244">
        <v>1017</v>
      </c>
      <c r="O4244" t="s">
        <v>575</v>
      </c>
      <c r="Q4244" t="s">
        <v>4561</v>
      </c>
      <c r="R4244" t="s">
        <v>4557</v>
      </c>
      <c r="S4244" t="s">
        <v>4558</v>
      </c>
      <c r="T4244" t="s">
        <v>4559</v>
      </c>
    </row>
    <row r="4245" spans="1:20" x14ac:dyDescent="0.25">
      <c r="A4245" t="s">
        <v>44</v>
      </c>
      <c r="B4245" t="s">
        <v>3</v>
      </c>
      <c r="C4245" t="s">
        <v>32</v>
      </c>
      <c r="D4245" t="s">
        <v>584</v>
      </c>
      <c r="F4245" t="s">
        <v>35</v>
      </c>
      <c r="G4245" t="s">
        <v>35</v>
      </c>
      <c r="H4245" t="s">
        <v>35</v>
      </c>
      <c r="J4245" t="s">
        <v>4973</v>
      </c>
      <c r="K4245" t="s">
        <v>1092</v>
      </c>
      <c r="M4245">
        <v>0.15</v>
      </c>
      <c r="N4245">
        <v>548</v>
      </c>
      <c r="O4245" t="s">
        <v>575</v>
      </c>
      <c r="Q4245" t="s">
        <v>4974</v>
      </c>
      <c r="R4245" t="s">
        <v>4557</v>
      </c>
      <c r="S4245" t="s">
        <v>4558</v>
      </c>
      <c r="T4245" t="s">
        <v>4559</v>
      </c>
    </row>
    <row r="4246" spans="1:20" x14ac:dyDescent="0.25">
      <c r="A4246" t="s">
        <v>59</v>
      </c>
      <c r="B4246" t="s">
        <v>60</v>
      </c>
      <c r="C4246" t="s">
        <v>32</v>
      </c>
      <c r="D4246" t="s">
        <v>584</v>
      </c>
      <c r="E4246" t="s">
        <v>585</v>
      </c>
      <c r="F4246" t="s">
        <v>35</v>
      </c>
      <c r="G4246" t="s">
        <v>35</v>
      </c>
      <c r="H4246" t="s">
        <v>35</v>
      </c>
      <c r="J4246" t="s">
        <v>4556</v>
      </c>
      <c r="K4246" t="s">
        <v>1092</v>
      </c>
      <c r="M4246">
        <v>2.1</v>
      </c>
      <c r="N4246">
        <v>130</v>
      </c>
      <c r="O4246" t="s">
        <v>38</v>
      </c>
      <c r="Q4246" t="s">
        <v>1602</v>
      </c>
      <c r="R4246" t="s">
        <v>4557</v>
      </c>
      <c r="S4246" t="s">
        <v>4558</v>
      </c>
      <c r="T4246" t="s">
        <v>4559</v>
      </c>
    </row>
    <row r="4247" spans="1:20" x14ac:dyDescent="0.25">
      <c r="A4247" t="s">
        <v>30</v>
      </c>
      <c r="B4247" t="s">
        <v>31</v>
      </c>
      <c r="C4247" t="s">
        <v>32</v>
      </c>
      <c r="D4247" t="s">
        <v>584</v>
      </c>
      <c r="F4247" t="s">
        <v>35</v>
      </c>
      <c r="G4247" t="s">
        <v>35</v>
      </c>
      <c r="H4247" t="s">
        <v>35</v>
      </c>
      <c r="J4247" t="s">
        <v>4982</v>
      </c>
      <c r="K4247" t="s">
        <v>1092</v>
      </c>
      <c r="M4247">
        <v>3.15</v>
      </c>
      <c r="N4247">
        <v>44</v>
      </c>
      <c r="O4247" t="s">
        <v>52</v>
      </c>
      <c r="Q4247" t="s">
        <v>54</v>
      </c>
      <c r="R4247" t="s">
        <v>631</v>
      </c>
      <c r="S4247" t="s">
        <v>632</v>
      </c>
      <c r="T4247" t="s">
        <v>633</v>
      </c>
    </row>
    <row r="4248" spans="1:20" x14ac:dyDescent="0.25">
      <c r="A4248" t="s">
        <v>30</v>
      </c>
      <c r="B4248" t="s">
        <v>31</v>
      </c>
      <c r="C4248" t="s">
        <v>32</v>
      </c>
      <c r="D4248" t="s">
        <v>584</v>
      </c>
      <c r="E4248" t="s">
        <v>4441</v>
      </c>
      <c r="F4248" t="s">
        <v>35</v>
      </c>
      <c r="G4248" t="s">
        <v>35</v>
      </c>
      <c r="H4248" t="s">
        <v>35</v>
      </c>
      <c r="J4248" t="s">
        <v>4477</v>
      </c>
      <c r="K4248" t="s">
        <v>1092</v>
      </c>
      <c r="M4248">
        <v>0.18</v>
      </c>
      <c r="N4248">
        <v>46</v>
      </c>
      <c r="O4248" t="s">
        <v>52</v>
      </c>
      <c r="Q4248" t="s">
        <v>332</v>
      </c>
      <c r="R4248" t="s">
        <v>631</v>
      </c>
      <c r="S4248" t="s">
        <v>632</v>
      </c>
      <c r="T4248" t="s">
        <v>633</v>
      </c>
    </row>
    <row r="4249" spans="1:20" x14ac:dyDescent="0.25">
      <c r="A4249" t="s">
        <v>59</v>
      </c>
      <c r="B4249" t="s">
        <v>60</v>
      </c>
      <c r="C4249" t="s">
        <v>32</v>
      </c>
      <c r="D4249" t="s">
        <v>584</v>
      </c>
      <c r="E4249" t="s">
        <v>621</v>
      </c>
      <c r="F4249" t="s">
        <v>35</v>
      </c>
      <c r="G4249" t="s">
        <v>35</v>
      </c>
      <c r="H4249" t="s">
        <v>35</v>
      </c>
      <c r="J4249" t="s">
        <v>628</v>
      </c>
      <c r="K4249" t="s">
        <v>37</v>
      </c>
      <c r="M4249">
        <v>6</v>
      </c>
      <c r="N4249">
        <v>58</v>
      </c>
      <c r="O4249" t="s">
        <v>52</v>
      </c>
      <c r="P4249" t="s">
        <v>630</v>
      </c>
      <c r="Q4249" t="s">
        <v>128</v>
      </c>
      <c r="R4249" t="s">
        <v>631</v>
      </c>
      <c r="S4249" t="s">
        <v>632</v>
      </c>
      <c r="T4249" t="s">
        <v>633</v>
      </c>
    </row>
    <row r="4250" spans="1:20" x14ac:dyDescent="0.25">
      <c r="A4250" t="s">
        <v>59</v>
      </c>
      <c r="B4250" t="s">
        <v>60</v>
      </c>
      <c r="C4250" t="s">
        <v>32</v>
      </c>
      <c r="D4250" t="s">
        <v>584</v>
      </c>
      <c r="E4250" t="s">
        <v>4441</v>
      </c>
      <c r="F4250" t="s">
        <v>35</v>
      </c>
      <c r="G4250" t="s">
        <v>35</v>
      </c>
      <c r="H4250" t="s">
        <v>35</v>
      </c>
      <c r="J4250" t="s">
        <v>4449</v>
      </c>
      <c r="K4250" t="s">
        <v>1092</v>
      </c>
      <c r="M4250">
        <v>3</v>
      </c>
      <c r="N4250">
        <v>38</v>
      </c>
      <c r="O4250" t="s">
        <v>52</v>
      </c>
      <c r="Q4250" t="s">
        <v>716</v>
      </c>
      <c r="R4250" t="s">
        <v>631</v>
      </c>
      <c r="S4250" t="s">
        <v>632</v>
      </c>
      <c r="T4250" t="s">
        <v>633</v>
      </c>
    </row>
    <row r="4251" spans="1:20" x14ac:dyDescent="0.25">
      <c r="A4251" t="s">
        <v>30</v>
      </c>
      <c r="B4251" t="s">
        <v>31</v>
      </c>
      <c r="C4251" t="s">
        <v>32</v>
      </c>
      <c r="D4251" t="s">
        <v>584</v>
      </c>
      <c r="E4251" t="s">
        <v>4441</v>
      </c>
      <c r="F4251" t="s">
        <v>35</v>
      </c>
      <c r="G4251" t="s">
        <v>35</v>
      </c>
      <c r="H4251" t="s">
        <v>35</v>
      </c>
      <c r="J4251" t="s">
        <v>4476</v>
      </c>
      <c r="K4251" t="s">
        <v>1092</v>
      </c>
      <c r="M4251">
        <v>8.91</v>
      </c>
      <c r="N4251">
        <v>44</v>
      </c>
      <c r="O4251" t="s">
        <v>52</v>
      </c>
      <c r="Q4251" t="s">
        <v>54</v>
      </c>
      <c r="R4251" t="s">
        <v>631</v>
      </c>
      <c r="S4251" t="s">
        <v>632</v>
      </c>
      <c r="T4251" t="s">
        <v>633</v>
      </c>
    </row>
    <row r="4252" spans="1:20" x14ac:dyDescent="0.25">
      <c r="A4252" t="s">
        <v>59</v>
      </c>
      <c r="B4252" t="s">
        <v>31</v>
      </c>
      <c r="C4252" t="s">
        <v>32</v>
      </c>
      <c r="D4252" t="s">
        <v>584</v>
      </c>
      <c r="E4252" t="s">
        <v>592</v>
      </c>
      <c r="F4252" t="s">
        <v>35</v>
      </c>
      <c r="G4252" t="s">
        <v>35</v>
      </c>
      <c r="H4252" t="s">
        <v>35</v>
      </c>
      <c r="J4252" t="s">
        <v>4617</v>
      </c>
      <c r="K4252" t="s">
        <v>1092</v>
      </c>
      <c r="M4252">
        <v>0.67500000000000004</v>
      </c>
      <c r="N4252">
        <v>65</v>
      </c>
      <c r="O4252" t="s">
        <v>61</v>
      </c>
      <c r="Q4252" t="s">
        <v>63</v>
      </c>
      <c r="R4252" t="s">
        <v>631</v>
      </c>
      <c r="S4252" t="s">
        <v>632</v>
      </c>
      <c r="T4252" t="s">
        <v>633</v>
      </c>
    </row>
    <row r="4253" spans="1:20" x14ac:dyDescent="0.25">
      <c r="A4253" t="s">
        <v>30</v>
      </c>
      <c r="B4253" t="s">
        <v>31</v>
      </c>
      <c r="C4253" t="s">
        <v>32</v>
      </c>
      <c r="D4253" t="s">
        <v>584</v>
      </c>
      <c r="E4253" t="s">
        <v>4441</v>
      </c>
      <c r="F4253" t="s">
        <v>35</v>
      </c>
      <c r="G4253" t="s">
        <v>35</v>
      </c>
      <c r="H4253" t="s">
        <v>35</v>
      </c>
      <c r="J4253" t="s">
        <v>4478</v>
      </c>
      <c r="K4253" t="s">
        <v>1092</v>
      </c>
      <c r="M4253">
        <v>9.1349999999999998</v>
      </c>
      <c r="N4253">
        <v>168</v>
      </c>
      <c r="O4253" t="s">
        <v>38</v>
      </c>
      <c r="Q4253" t="s">
        <v>1692</v>
      </c>
      <c r="R4253" t="s">
        <v>631</v>
      </c>
      <c r="S4253" t="s">
        <v>632</v>
      </c>
      <c r="T4253" t="s">
        <v>633</v>
      </c>
    </row>
    <row r="4254" spans="1:20" x14ac:dyDescent="0.25">
      <c r="A4254" t="s">
        <v>30</v>
      </c>
      <c r="B4254" t="s">
        <v>31</v>
      </c>
      <c r="C4254" t="s">
        <v>32</v>
      </c>
      <c r="D4254" t="s">
        <v>584</v>
      </c>
      <c r="E4254" t="s">
        <v>4441</v>
      </c>
      <c r="F4254" t="s">
        <v>35</v>
      </c>
      <c r="G4254" t="s">
        <v>35</v>
      </c>
      <c r="H4254" t="s">
        <v>35</v>
      </c>
      <c r="J4254" t="s">
        <v>4478</v>
      </c>
      <c r="K4254" t="s">
        <v>1092</v>
      </c>
      <c r="M4254">
        <v>32.94</v>
      </c>
      <c r="N4254">
        <v>46</v>
      </c>
      <c r="O4254" t="s">
        <v>52</v>
      </c>
      <c r="Q4254" t="s">
        <v>332</v>
      </c>
      <c r="R4254" t="s">
        <v>631</v>
      </c>
      <c r="S4254" t="s">
        <v>632</v>
      </c>
      <c r="T4254" t="s">
        <v>633</v>
      </c>
    </row>
    <row r="4255" spans="1:20" x14ac:dyDescent="0.25">
      <c r="A4255" t="s">
        <v>59</v>
      </c>
      <c r="B4255" t="s">
        <v>31</v>
      </c>
      <c r="C4255" t="s">
        <v>32</v>
      </c>
      <c r="D4255" t="s">
        <v>584</v>
      </c>
      <c r="E4255" t="s">
        <v>4441</v>
      </c>
      <c r="F4255" t="s">
        <v>35</v>
      </c>
      <c r="G4255" t="s">
        <v>35</v>
      </c>
      <c r="H4255" t="s">
        <v>35</v>
      </c>
      <c r="J4255" t="s">
        <v>4478</v>
      </c>
      <c r="K4255" t="s">
        <v>1092</v>
      </c>
      <c r="M4255">
        <v>1.3049999999999999</v>
      </c>
      <c r="N4255">
        <v>74</v>
      </c>
      <c r="O4255" t="s">
        <v>61</v>
      </c>
      <c r="Q4255" t="s">
        <v>527</v>
      </c>
      <c r="R4255" t="s">
        <v>631</v>
      </c>
      <c r="S4255" t="s">
        <v>632</v>
      </c>
      <c r="T4255" t="s">
        <v>633</v>
      </c>
    </row>
    <row r="4256" spans="1:20" x14ac:dyDescent="0.25">
      <c r="A4256" t="s">
        <v>59</v>
      </c>
      <c r="B4256" t="s">
        <v>31</v>
      </c>
      <c r="C4256" t="s">
        <v>32</v>
      </c>
      <c r="D4256" t="s">
        <v>584</v>
      </c>
      <c r="E4256" t="s">
        <v>592</v>
      </c>
      <c r="F4256" t="s">
        <v>35</v>
      </c>
      <c r="G4256" t="s">
        <v>35</v>
      </c>
      <c r="H4256" t="s">
        <v>35</v>
      </c>
      <c r="J4256" t="s">
        <v>4609</v>
      </c>
      <c r="K4256" t="s">
        <v>1092</v>
      </c>
      <c r="M4256">
        <v>1.125</v>
      </c>
      <c r="N4256">
        <v>65</v>
      </c>
      <c r="O4256" t="s">
        <v>61</v>
      </c>
      <c r="Q4256" t="s">
        <v>63</v>
      </c>
      <c r="R4256" t="s">
        <v>631</v>
      </c>
      <c r="S4256" t="s">
        <v>632</v>
      </c>
      <c r="T4256" t="s">
        <v>633</v>
      </c>
    </row>
    <row r="4257" spans="1:20" x14ac:dyDescent="0.25">
      <c r="A4257" t="s">
        <v>30</v>
      </c>
      <c r="B4257" t="s">
        <v>31</v>
      </c>
      <c r="C4257" t="s">
        <v>32</v>
      </c>
      <c r="D4257" t="s">
        <v>584</v>
      </c>
      <c r="E4257" t="s">
        <v>4441</v>
      </c>
      <c r="F4257" t="s">
        <v>35</v>
      </c>
      <c r="G4257" t="s">
        <v>35</v>
      </c>
      <c r="H4257" t="s">
        <v>35</v>
      </c>
      <c r="J4257" t="s">
        <v>4450</v>
      </c>
      <c r="K4257" t="s">
        <v>1092</v>
      </c>
      <c r="M4257">
        <v>10.845000000000001</v>
      </c>
      <c r="N4257">
        <v>46</v>
      </c>
      <c r="O4257" t="s">
        <v>52</v>
      </c>
      <c r="Q4257" t="s">
        <v>332</v>
      </c>
      <c r="R4257" t="s">
        <v>631</v>
      </c>
      <c r="S4257" t="s">
        <v>632</v>
      </c>
      <c r="T4257" t="s">
        <v>633</v>
      </c>
    </row>
    <row r="4258" spans="1:20" x14ac:dyDescent="0.25">
      <c r="A4258" t="s">
        <v>30</v>
      </c>
      <c r="B4258" t="s">
        <v>31</v>
      </c>
      <c r="C4258" t="s">
        <v>32</v>
      </c>
      <c r="D4258" t="s">
        <v>584</v>
      </c>
      <c r="E4258" t="s">
        <v>4441</v>
      </c>
      <c r="F4258" t="s">
        <v>35</v>
      </c>
      <c r="G4258" t="s">
        <v>35</v>
      </c>
      <c r="H4258" t="s">
        <v>35</v>
      </c>
      <c r="J4258" t="s">
        <v>4472</v>
      </c>
      <c r="K4258" t="s">
        <v>1092</v>
      </c>
      <c r="M4258">
        <v>5.0000000000000001E-3</v>
      </c>
      <c r="N4258">
        <v>1328</v>
      </c>
      <c r="O4258" t="s">
        <v>575</v>
      </c>
      <c r="Q4258" t="s">
        <v>4473</v>
      </c>
      <c r="R4258" t="s">
        <v>631</v>
      </c>
      <c r="S4258" t="s">
        <v>632</v>
      </c>
      <c r="T4258" t="s">
        <v>633</v>
      </c>
    </row>
    <row r="4259" spans="1:20" x14ac:dyDescent="0.25">
      <c r="A4259" t="s">
        <v>59</v>
      </c>
      <c r="B4259" t="s">
        <v>60</v>
      </c>
      <c r="C4259" t="s">
        <v>32</v>
      </c>
      <c r="D4259" t="s">
        <v>584</v>
      </c>
      <c r="E4259" t="s">
        <v>592</v>
      </c>
      <c r="F4259" t="s">
        <v>35</v>
      </c>
      <c r="G4259" t="s">
        <v>35</v>
      </c>
      <c r="H4259" t="s">
        <v>35</v>
      </c>
      <c r="J4259" t="s">
        <v>4611</v>
      </c>
      <c r="K4259" t="s">
        <v>1092</v>
      </c>
      <c r="M4259">
        <v>2</v>
      </c>
      <c r="N4259">
        <v>34</v>
      </c>
      <c r="O4259" t="s">
        <v>52</v>
      </c>
      <c r="Q4259" t="s">
        <v>249</v>
      </c>
      <c r="R4259" t="s">
        <v>631</v>
      </c>
      <c r="S4259" t="s">
        <v>632</v>
      </c>
      <c r="T4259" t="s">
        <v>633</v>
      </c>
    </row>
    <row r="4260" spans="1:20" x14ac:dyDescent="0.25">
      <c r="A4260" t="s">
        <v>59</v>
      </c>
      <c r="B4260" t="s">
        <v>60</v>
      </c>
      <c r="C4260" t="s">
        <v>32</v>
      </c>
      <c r="D4260" t="s">
        <v>584</v>
      </c>
      <c r="E4260" t="s">
        <v>592</v>
      </c>
      <c r="F4260" t="s">
        <v>35</v>
      </c>
      <c r="G4260" t="s">
        <v>35</v>
      </c>
      <c r="H4260" t="s">
        <v>35</v>
      </c>
      <c r="J4260" t="s">
        <v>4612</v>
      </c>
      <c r="K4260" t="s">
        <v>1092</v>
      </c>
      <c r="M4260">
        <v>7.3</v>
      </c>
      <c r="N4260">
        <v>74</v>
      </c>
      <c r="O4260" t="s">
        <v>61</v>
      </c>
      <c r="Q4260" t="s">
        <v>527</v>
      </c>
      <c r="R4260" t="s">
        <v>631</v>
      </c>
      <c r="S4260" t="s">
        <v>632</v>
      </c>
      <c r="T4260" t="s">
        <v>633</v>
      </c>
    </row>
    <row r="4261" spans="1:20" x14ac:dyDescent="0.25">
      <c r="A4261" t="s">
        <v>59</v>
      </c>
      <c r="B4261" t="s">
        <v>60</v>
      </c>
      <c r="C4261" t="s">
        <v>32</v>
      </c>
      <c r="D4261" t="s">
        <v>584</v>
      </c>
      <c r="E4261" t="s">
        <v>4769</v>
      </c>
      <c r="F4261" t="s">
        <v>35</v>
      </c>
      <c r="G4261" t="s">
        <v>35</v>
      </c>
      <c r="H4261" t="s">
        <v>35</v>
      </c>
      <c r="J4261" t="s">
        <v>4775</v>
      </c>
      <c r="K4261" t="s">
        <v>1092</v>
      </c>
      <c r="M4261">
        <v>9.75</v>
      </c>
      <c r="N4261">
        <v>55</v>
      </c>
      <c r="O4261" t="s">
        <v>52</v>
      </c>
      <c r="Q4261" t="s">
        <v>90</v>
      </c>
      <c r="R4261" t="s">
        <v>631</v>
      </c>
      <c r="S4261" t="s">
        <v>632</v>
      </c>
      <c r="T4261" t="s">
        <v>633</v>
      </c>
    </row>
    <row r="4262" spans="1:20" x14ac:dyDescent="0.25">
      <c r="A4262" t="s">
        <v>30</v>
      </c>
      <c r="B4262" t="s">
        <v>31</v>
      </c>
      <c r="C4262" t="s">
        <v>32</v>
      </c>
      <c r="D4262" t="s">
        <v>584</v>
      </c>
      <c r="E4262" t="s">
        <v>592</v>
      </c>
      <c r="F4262" t="s">
        <v>35</v>
      </c>
      <c r="G4262" t="s">
        <v>35</v>
      </c>
      <c r="H4262" t="s">
        <v>35</v>
      </c>
      <c r="J4262" t="s">
        <v>4607</v>
      </c>
      <c r="K4262" t="s">
        <v>1092</v>
      </c>
      <c r="M4262">
        <v>4.4999999999999998E-2</v>
      </c>
      <c r="N4262">
        <v>331</v>
      </c>
      <c r="O4262" t="s">
        <v>5</v>
      </c>
      <c r="Q4262" t="s">
        <v>4608</v>
      </c>
      <c r="R4262" t="s">
        <v>631</v>
      </c>
      <c r="S4262" t="s">
        <v>632</v>
      </c>
      <c r="T4262" t="s">
        <v>633</v>
      </c>
    </row>
    <row r="4263" spans="1:20" x14ac:dyDescent="0.25">
      <c r="A4263" t="s">
        <v>59</v>
      </c>
      <c r="B4263" t="s">
        <v>60</v>
      </c>
      <c r="C4263" t="s">
        <v>32</v>
      </c>
      <c r="D4263" t="s">
        <v>584</v>
      </c>
      <c r="E4263" t="s">
        <v>4441</v>
      </c>
      <c r="F4263" t="s">
        <v>35</v>
      </c>
      <c r="G4263" t="s">
        <v>35</v>
      </c>
      <c r="H4263" t="s">
        <v>35</v>
      </c>
      <c r="J4263" t="s">
        <v>4443</v>
      </c>
      <c r="K4263" t="s">
        <v>1092</v>
      </c>
      <c r="M4263">
        <v>0.95</v>
      </c>
      <c r="N4263">
        <v>46</v>
      </c>
      <c r="O4263" t="s">
        <v>52</v>
      </c>
      <c r="Q4263" t="s">
        <v>332</v>
      </c>
      <c r="R4263" t="s">
        <v>631</v>
      </c>
      <c r="S4263" t="s">
        <v>632</v>
      </c>
      <c r="T4263" t="s">
        <v>633</v>
      </c>
    </row>
    <row r="4264" spans="1:20" x14ac:dyDescent="0.25">
      <c r="A4264" t="s">
        <v>59</v>
      </c>
      <c r="B4264" t="s">
        <v>60</v>
      </c>
      <c r="C4264" t="s">
        <v>32</v>
      </c>
      <c r="D4264" t="s">
        <v>584</v>
      </c>
      <c r="E4264" t="s">
        <v>592</v>
      </c>
      <c r="F4264" t="s">
        <v>35</v>
      </c>
      <c r="G4264" t="s">
        <v>35</v>
      </c>
      <c r="H4264" t="s">
        <v>35</v>
      </c>
      <c r="J4264" t="s">
        <v>4600</v>
      </c>
      <c r="K4264" t="s">
        <v>1092</v>
      </c>
      <c r="M4264">
        <v>5.7</v>
      </c>
      <c r="N4264">
        <v>74</v>
      </c>
      <c r="O4264" t="s">
        <v>61</v>
      </c>
      <c r="Q4264" t="s">
        <v>527</v>
      </c>
      <c r="R4264" t="s">
        <v>631</v>
      </c>
      <c r="S4264" t="s">
        <v>632</v>
      </c>
      <c r="T4264" t="s">
        <v>633</v>
      </c>
    </row>
    <row r="4265" spans="1:20" x14ac:dyDescent="0.25">
      <c r="A4265" t="s">
        <v>59</v>
      </c>
      <c r="B4265" t="s">
        <v>31</v>
      </c>
      <c r="C4265" t="s">
        <v>32</v>
      </c>
      <c r="D4265" t="s">
        <v>584</v>
      </c>
      <c r="E4265" t="s">
        <v>4441</v>
      </c>
      <c r="F4265" t="s">
        <v>35</v>
      </c>
      <c r="G4265" t="s">
        <v>35</v>
      </c>
      <c r="H4265" t="s">
        <v>35</v>
      </c>
      <c r="J4265" t="s">
        <v>4484</v>
      </c>
      <c r="K4265" t="s">
        <v>1092</v>
      </c>
      <c r="M4265">
        <v>1.665</v>
      </c>
      <c r="N4265">
        <v>489</v>
      </c>
      <c r="O4265" t="s">
        <v>294</v>
      </c>
      <c r="Q4265" t="s">
        <v>3602</v>
      </c>
      <c r="R4265" t="s">
        <v>631</v>
      </c>
      <c r="S4265" t="s">
        <v>632</v>
      </c>
      <c r="T4265" t="s">
        <v>633</v>
      </c>
    </row>
    <row r="4266" spans="1:20" x14ac:dyDescent="0.25">
      <c r="A4266" t="s">
        <v>59</v>
      </c>
      <c r="B4266" t="s">
        <v>60</v>
      </c>
      <c r="C4266" t="s">
        <v>32</v>
      </c>
      <c r="D4266" t="s">
        <v>584</v>
      </c>
      <c r="E4266" t="s">
        <v>4441</v>
      </c>
      <c r="F4266" t="s">
        <v>35</v>
      </c>
      <c r="G4266" t="s">
        <v>35</v>
      </c>
      <c r="H4266" t="s">
        <v>35</v>
      </c>
      <c r="J4266" t="s">
        <v>4484</v>
      </c>
      <c r="K4266" t="s">
        <v>1092</v>
      </c>
      <c r="M4266">
        <v>6</v>
      </c>
      <c r="N4266">
        <v>489</v>
      </c>
      <c r="O4266" t="s">
        <v>294</v>
      </c>
      <c r="Q4266" t="s">
        <v>3602</v>
      </c>
      <c r="R4266" t="s">
        <v>631</v>
      </c>
      <c r="S4266" t="s">
        <v>632</v>
      </c>
      <c r="T4266" t="s">
        <v>633</v>
      </c>
    </row>
    <row r="4267" spans="1:20" x14ac:dyDescent="0.25">
      <c r="A4267" t="s">
        <v>59</v>
      </c>
      <c r="B4267" t="s">
        <v>60</v>
      </c>
      <c r="C4267" t="s">
        <v>32</v>
      </c>
      <c r="D4267" t="s">
        <v>584</v>
      </c>
      <c r="E4267" t="s">
        <v>621</v>
      </c>
      <c r="F4267" t="s">
        <v>35</v>
      </c>
      <c r="G4267" t="s">
        <v>35</v>
      </c>
      <c r="H4267" t="s">
        <v>35</v>
      </c>
      <c r="J4267" t="s">
        <v>4913</v>
      </c>
      <c r="K4267" t="s">
        <v>1092</v>
      </c>
      <c r="M4267">
        <v>2</v>
      </c>
      <c r="N4267">
        <v>48</v>
      </c>
      <c r="O4267" t="s">
        <v>52</v>
      </c>
      <c r="Q4267" t="s">
        <v>518</v>
      </c>
      <c r="R4267" t="s">
        <v>4855</v>
      </c>
      <c r="S4267" t="s">
        <v>4856</v>
      </c>
      <c r="T4267" t="s">
        <v>4808</v>
      </c>
    </row>
    <row r="4268" spans="1:20" x14ac:dyDescent="0.25">
      <c r="A4268" t="s">
        <v>59</v>
      </c>
      <c r="B4268" t="s">
        <v>60</v>
      </c>
      <c r="C4268" t="s">
        <v>32</v>
      </c>
      <c r="D4268" t="s">
        <v>584</v>
      </c>
      <c r="E4268" t="s">
        <v>621</v>
      </c>
      <c r="F4268" t="s">
        <v>35</v>
      </c>
      <c r="G4268" t="s">
        <v>35</v>
      </c>
      <c r="H4268" t="s">
        <v>35</v>
      </c>
      <c r="J4268" t="s">
        <v>4913</v>
      </c>
      <c r="K4268" t="s">
        <v>1092</v>
      </c>
      <c r="M4268">
        <v>0.75</v>
      </c>
      <c r="N4268">
        <v>65</v>
      </c>
      <c r="O4268" t="s">
        <v>61</v>
      </c>
      <c r="Q4268" t="s">
        <v>63</v>
      </c>
      <c r="R4268" t="s">
        <v>4855</v>
      </c>
      <c r="S4268" t="s">
        <v>4856</v>
      </c>
      <c r="T4268" t="s">
        <v>4808</v>
      </c>
    </row>
    <row r="4269" spans="1:20" x14ac:dyDescent="0.25">
      <c r="A4269" t="s">
        <v>59</v>
      </c>
      <c r="B4269" t="s">
        <v>60</v>
      </c>
      <c r="C4269" t="s">
        <v>32</v>
      </c>
      <c r="D4269" t="s">
        <v>584</v>
      </c>
      <c r="E4269" t="s">
        <v>621</v>
      </c>
      <c r="F4269" t="s">
        <v>35</v>
      </c>
      <c r="G4269" t="s">
        <v>35</v>
      </c>
      <c r="H4269" t="s">
        <v>35</v>
      </c>
      <c r="J4269" t="s">
        <v>4853</v>
      </c>
      <c r="K4269" t="s">
        <v>1092</v>
      </c>
      <c r="M4269">
        <v>3</v>
      </c>
      <c r="N4269">
        <v>2457</v>
      </c>
      <c r="O4269" t="s">
        <v>575</v>
      </c>
      <c r="Q4269" t="s">
        <v>4854</v>
      </c>
      <c r="R4269" t="s">
        <v>4855</v>
      </c>
      <c r="S4269" t="s">
        <v>4856</v>
      </c>
      <c r="T4269" t="s">
        <v>4808</v>
      </c>
    </row>
    <row r="4270" spans="1:20" x14ac:dyDescent="0.25">
      <c r="A4270" t="s">
        <v>30</v>
      </c>
      <c r="B4270" t="s">
        <v>31</v>
      </c>
      <c r="C4270" t="s">
        <v>32</v>
      </c>
      <c r="D4270" t="s">
        <v>584</v>
      </c>
      <c r="E4270" t="s">
        <v>621</v>
      </c>
      <c r="F4270" t="s">
        <v>35</v>
      </c>
      <c r="G4270" t="s">
        <v>35</v>
      </c>
      <c r="H4270" t="s">
        <v>35</v>
      </c>
      <c r="J4270" t="s">
        <v>4853</v>
      </c>
      <c r="K4270" t="s">
        <v>1092</v>
      </c>
      <c r="M4270">
        <v>3.3250000000000002</v>
      </c>
      <c r="N4270">
        <v>2457</v>
      </c>
      <c r="O4270" t="s">
        <v>575</v>
      </c>
      <c r="Q4270" t="s">
        <v>4854</v>
      </c>
      <c r="R4270" t="s">
        <v>4855</v>
      </c>
      <c r="S4270" t="s">
        <v>4856</v>
      </c>
      <c r="T4270" t="s">
        <v>4808</v>
      </c>
    </row>
    <row r="4271" spans="1:20" x14ac:dyDescent="0.25">
      <c r="A4271" t="s">
        <v>30</v>
      </c>
      <c r="B4271" t="s">
        <v>31</v>
      </c>
      <c r="C4271" t="s">
        <v>32</v>
      </c>
      <c r="D4271" t="s">
        <v>584</v>
      </c>
      <c r="E4271" t="s">
        <v>621</v>
      </c>
      <c r="F4271" t="s">
        <v>35</v>
      </c>
      <c r="G4271" t="s">
        <v>35</v>
      </c>
      <c r="H4271" t="s">
        <v>35</v>
      </c>
      <c r="J4271" t="s">
        <v>4914</v>
      </c>
      <c r="K4271" t="s">
        <v>1092</v>
      </c>
      <c r="M4271">
        <v>1.7749999999999999</v>
      </c>
      <c r="N4271">
        <v>1500</v>
      </c>
      <c r="O4271" t="s">
        <v>575</v>
      </c>
      <c r="Q4271" t="s">
        <v>4437</v>
      </c>
      <c r="R4271" t="s">
        <v>4917</v>
      </c>
      <c r="S4271" t="s">
        <v>4918</v>
      </c>
      <c r="T4271" t="s">
        <v>4866</v>
      </c>
    </row>
    <row r="4272" spans="1:20" x14ac:dyDescent="0.25">
      <c r="A4272" t="s">
        <v>59</v>
      </c>
      <c r="B4272" t="s">
        <v>60</v>
      </c>
      <c r="C4272" t="s">
        <v>32</v>
      </c>
      <c r="D4272" t="s">
        <v>584</v>
      </c>
      <c r="E4272" t="s">
        <v>592</v>
      </c>
      <c r="F4272" t="s">
        <v>35</v>
      </c>
      <c r="G4272" t="s">
        <v>35</v>
      </c>
      <c r="H4272" t="s">
        <v>35</v>
      </c>
      <c r="J4272" t="s">
        <v>4619</v>
      </c>
      <c r="K4272" t="s">
        <v>1092</v>
      </c>
      <c r="M4272">
        <v>1</v>
      </c>
      <c r="N4272">
        <v>494</v>
      </c>
      <c r="O4272" t="s">
        <v>294</v>
      </c>
      <c r="Q4272" t="s">
        <v>4620</v>
      </c>
      <c r="R4272" t="s">
        <v>4499</v>
      </c>
      <c r="S4272" t="s">
        <v>4500</v>
      </c>
      <c r="T4272" t="s">
        <v>4501</v>
      </c>
    </row>
    <row r="4273" spans="1:20" x14ac:dyDescent="0.25">
      <c r="A4273" t="s">
        <v>59</v>
      </c>
      <c r="B4273" t="s">
        <v>60</v>
      </c>
      <c r="C4273" t="s">
        <v>32</v>
      </c>
      <c r="D4273" t="s">
        <v>584</v>
      </c>
      <c r="E4273" t="s">
        <v>4486</v>
      </c>
      <c r="F4273" t="s">
        <v>35</v>
      </c>
      <c r="G4273" t="s">
        <v>35</v>
      </c>
      <c r="H4273" t="s">
        <v>35</v>
      </c>
      <c r="J4273" t="s">
        <v>4498</v>
      </c>
      <c r="K4273" t="s">
        <v>1092</v>
      </c>
      <c r="M4273">
        <v>1</v>
      </c>
      <c r="N4273">
        <v>493</v>
      </c>
      <c r="O4273" t="s">
        <v>294</v>
      </c>
      <c r="Q4273" t="s">
        <v>2051</v>
      </c>
      <c r="R4273" t="s">
        <v>4499</v>
      </c>
      <c r="S4273" t="s">
        <v>4500</v>
      </c>
      <c r="T4273" t="s">
        <v>4501</v>
      </c>
    </row>
    <row r="4274" spans="1:20" x14ac:dyDescent="0.25">
      <c r="A4274" t="s">
        <v>44</v>
      </c>
      <c r="B4274" t="s">
        <v>3</v>
      </c>
      <c r="C4274" t="s">
        <v>32</v>
      </c>
      <c r="D4274" t="s">
        <v>584</v>
      </c>
      <c r="E4274" t="s">
        <v>599</v>
      </c>
      <c r="F4274" t="s">
        <v>35</v>
      </c>
      <c r="G4274" t="s">
        <v>35</v>
      </c>
      <c r="H4274" t="s">
        <v>35</v>
      </c>
      <c r="J4274" t="s">
        <v>4630</v>
      </c>
      <c r="K4274" t="s">
        <v>1092</v>
      </c>
      <c r="M4274">
        <v>2</v>
      </c>
      <c r="N4274">
        <v>179</v>
      </c>
      <c r="O4274" t="s">
        <v>38</v>
      </c>
      <c r="Q4274" t="s">
        <v>1363</v>
      </c>
      <c r="R4274" t="s">
        <v>4632</v>
      </c>
      <c r="S4274" t="s">
        <v>4633</v>
      </c>
      <c r="T4274" t="s">
        <v>4631</v>
      </c>
    </row>
    <row r="4275" spans="1:20" x14ac:dyDescent="0.25">
      <c r="A4275" t="s">
        <v>44</v>
      </c>
      <c r="B4275" t="s">
        <v>3</v>
      </c>
      <c r="C4275" t="s">
        <v>32</v>
      </c>
      <c r="D4275" t="s">
        <v>584</v>
      </c>
      <c r="E4275" t="s">
        <v>599</v>
      </c>
      <c r="F4275" t="s">
        <v>35</v>
      </c>
      <c r="G4275" t="s">
        <v>35</v>
      </c>
      <c r="H4275" t="s">
        <v>35</v>
      </c>
      <c r="J4275" t="s">
        <v>4630</v>
      </c>
      <c r="K4275" t="s">
        <v>1092</v>
      </c>
      <c r="M4275">
        <v>2</v>
      </c>
      <c r="N4275">
        <v>208</v>
      </c>
      <c r="O4275" t="s">
        <v>5</v>
      </c>
      <c r="Q4275" t="s">
        <v>3122</v>
      </c>
      <c r="R4275" t="s">
        <v>4632</v>
      </c>
      <c r="S4275" t="s">
        <v>4633</v>
      </c>
      <c r="T4275" t="s">
        <v>4631</v>
      </c>
    </row>
    <row r="4276" spans="1:20" x14ac:dyDescent="0.25">
      <c r="A4276" t="s">
        <v>44</v>
      </c>
      <c r="B4276" t="s">
        <v>3</v>
      </c>
      <c r="C4276" t="s">
        <v>32</v>
      </c>
      <c r="D4276" t="s">
        <v>584</v>
      </c>
      <c r="E4276" t="s">
        <v>621</v>
      </c>
      <c r="F4276" t="s">
        <v>35</v>
      </c>
      <c r="G4276" t="s">
        <v>35</v>
      </c>
      <c r="H4276" t="s">
        <v>35</v>
      </c>
      <c r="J4276" t="s">
        <v>4939</v>
      </c>
      <c r="K4276" t="s">
        <v>1092</v>
      </c>
      <c r="M4276">
        <v>0.05</v>
      </c>
      <c r="N4276">
        <v>304</v>
      </c>
      <c r="O4276" t="s">
        <v>5</v>
      </c>
      <c r="Q4276" t="s">
        <v>4940</v>
      </c>
      <c r="R4276" t="s">
        <v>4632</v>
      </c>
      <c r="S4276" t="s">
        <v>4633</v>
      </c>
      <c r="T4276" t="s">
        <v>4631</v>
      </c>
    </row>
    <row r="4277" spans="1:20" x14ac:dyDescent="0.25">
      <c r="A4277" t="s">
        <v>59</v>
      </c>
      <c r="B4277" t="s">
        <v>60</v>
      </c>
      <c r="C4277" t="s">
        <v>32</v>
      </c>
      <c r="D4277" t="s">
        <v>584</v>
      </c>
      <c r="E4277" t="s">
        <v>621</v>
      </c>
      <c r="F4277" t="s">
        <v>35</v>
      </c>
      <c r="G4277" t="s">
        <v>35</v>
      </c>
      <c r="H4277" t="s">
        <v>35</v>
      </c>
      <c r="J4277" t="s">
        <v>4966</v>
      </c>
      <c r="K4277" t="s">
        <v>1092</v>
      </c>
      <c r="M4277">
        <v>1.75</v>
      </c>
      <c r="N4277">
        <v>208</v>
      </c>
      <c r="O4277" t="s">
        <v>5</v>
      </c>
      <c r="Q4277" t="s">
        <v>3122</v>
      </c>
      <c r="R4277" t="s">
        <v>4632</v>
      </c>
      <c r="S4277" t="s">
        <v>4633</v>
      </c>
      <c r="T4277" t="s">
        <v>4631</v>
      </c>
    </row>
    <row r="4278" spans="1:20" x14ac:dyDescent="0.25">
      <c r="A4278" t="s">
        <v>59</v>
      </c>
      <c r="B4278" t="s">
        <v>60</v>
      </c>
      <c r="C4278" t="s">
        <v>32</v>
      </c>
      <c r="D4278" t="s">
        <v>584</v>
      </c>
      <c r="E4278" t="s">
        <v>599</v>
      </c>
      <c r="F4278" t="s">
        <v>35</v>
      </c>
      <c r="G4278" t="s">
        <v>35</v>
      </c>
      <c r="H4278" t="s">
        <v>35</v>
      </c>
      <c r="J4278" t="s">
        <v>590</v>
      </c>
      <c r="K4278" t="s">
        <v>37</v>
      </c>
      <c r="M4278">
        <v>13</v>
      </c>
      <c r="N4278">
        <v>67</v>
      </c>
      <c r="O4278" t="s">
        <v>61</v>
      </c>
      <c r="P4278" t="s">
        <v>616</v>
      </c>
      <c r="Q4278" t="s">
        <v>488</v>
      </c>
      <c r="R4278" t="s">
        <v>617</v>
      </c>
      <c r="S4278" t="s">
        <v>618</v>
      </c>
      <c r="T4278" t="s">
        <v>619</v>
      </c>
    </row>
    <row r="4279" spans="1:20" x14ac:dyDescent="0.25">
      <c r="A4279" t="s">
        <v>59</v>
      </c>
      <c r="B4279" t="s">
        <v>60</v>
      </c>
      <c r="C4279" t="s">
        <v>32</v>
      </c>
      <c r="D4279" t="s">
        <v>584</v>
      </c>
      <c r="E4279" t="s">
        <v>621</v>
      </c>
      <c r="F4279" t="s">
        <v>35</v>
      </c>
      <c r="G4279" t="s">
        <v>35</v>
      </c>
      <c r="H4279" t="s">
        <v>35</v>
      </c>
      <c r="J4279" t="s">
        <v>4888</v>
      </c>
      <c r="K4279" t="s">
        <v>1092</v>
      </c>
      <c r="M4279">
        <v>4.5</v>
      </c>
      <c r="N4279">
        <v>136</v>
      </c>
      <c r="O4279" t="s">
        <v>38</v>
      </c>
      <c r="Q4279" t="s">
        <v>2121</v>
      </c>
      <c r="R4279" t="s">
        <v>617</v>
      </c>
      <c r="S4279" t="s">
        <v>618</v>
      </c>
      <c r="T4279" t="s">
        <v>619</v>
      </c>
    </row>
    <row r="4280" spans="1:20" x14ac:dyDescent="0.25">
      <c r="A4280" t="s">
        <v>59</v>
      </c>
      <c r="B4280" t="s">
        <v>60</v>
      </c>
      <c r="C4280" t="s">
        <v>32</v>
      </c>
      <c r="D4280" t="s">
        <v>584</v>
      </c>
      <c r="E4280" t="s">
        <v>621</v>
      </c>
      <c r="F4280" t="s">
        <v>35</v>
      </c>
      <c r="G4280" t="s">
        <v>35</v>
      </c>
      <c r="H4280" t="s">
        <v>35</v>
      </c>
      <c r="J4280" t="s">
        <v>4890</v>
      </c>
      <c r="K4280" t="s">
        <v>1092</v>
      </c>
      <c r="M4280">
        <v>3.8</v>
      </c>
      <c r="N4280">
        <v>312</v>
      </c>
      <c r="O4280" t="s">
        <v>5</v>
      </c>
      <c r="Q4280" t="s">
        <v>4192</v>
      </c>
      <c r="R4280" t="s">
        <v>4891</v>
      </c>
      <c r="S4280" t="s">
        <v>4892</v>
      </c>
      <c r="T4280" t="s">
        <v>4893</v>
      </c>
    </row>
    <row r="4281" spans="1:20" x14ac:dyDescent="0.25">
      <c r="A4281" t="s">
        <v>44</v>
      </c>
      <c r="B4281" t="s">
        <v>51</v>
      </c>
      <c r="C4281" t="s">
        <v>32</v>
      </c>
      <c r="D4281" t="s">
        <v>584</v>
      </c>
      <c r="F4281" t="s">
        <v>35</v>
      </c>
      <c r="G4281" t="s">
        <v>35</v>
      </c>
      <c r="H4281" t="s">
        <v>35</v>
      </c>
      <c r="J4281" t="s">
        <v>4981</v>
      </c>
      <c r="K4281" t="s">
        <v>1092</v>
      </c>
      <c r="M4281">
        <v>2</v>
      </c>
      <c r="N4281">
        <v>29</v>
      </c>
      <c r="O4281" t="s">
        <v>46</v>
      </c>
      <c r="Q4281" t="s">
        <v>2005</v>
      </c>
      <c r="R4281" t="s">
        <v>4891</v>
      </c>
      <c r="S4281" t="s">
        <v>4892</v>
      </c>
      <c r="T4281" t="s">
        <v>4893</v>
      </c>
    </row>
    <row r="4282" spans="1:20" x14ac:dyDescent="0.25">
      <c r="A4282" t="s">
        <v>30</v>
      </c>
      <c r="B4282" t="s">
        <v>31</v>
      </c>
      <c r="C4282" t="s">
        <v>32</v>
      </c>
      <c r="D4282" t="s">
        <v>584</v>
      </c>
      <c r="E4282" t="s">
        <v>599</v>
      </c>
      <c r="F4282" t="s">
        <v>35</v>
      </c>
      <c r="G4282" t="s">
        <v>35</v>
      </c>
      <c r="H4282" t="s">
        <v>35</v>
      </c>
      <c r="J4282" t="s">
        <v>4684</v>
      </c>
      <c r="K4282" t="s">
        <v>1092</v>
      </c>
      <c r="M4282">
        <v>0.9</v>
      </c>
      <c r="N4282">
        <v>391</v>
      </c>
      <c r="O4282" t="s">
        <v>294</v>
      </c>
      <c r="Q4282" t="s">
        <v>3592</v>
      </c>
      <c r="R4282" t="s">
        <v>4686</v>
      </c>
      <c r="S4282" t="s">
        <v>4687</v>
      </c>
      <c r="T4282" t="s">
        <v>4688</v>
      </c>
    </row>
    <row r="4283" spans="1:20" x14ac:dyDescent="0.25">
      <c r="A4283" t="s">
        <v>59</v>
      </c>
      <c r="B4283" t="s">
        <v>60</v>
      </c>
      <c r="C4283" t="s">
        <v>32</v>
      </c>
      <c r="D4283" t="s">
        <v>584</v>
      </c>
      <c r="E4283" t="s">
        <v>599</v>
      </c>
      <c r="F4283" t="s">
        <v>35</v>
      </c>
      <c r="G4283" t="s">
        <v>35</v>
      </c>
      <c r="H4283" t="s">
        <v>35</v>
      </c>
      <c r="J4283" t="s">
        <v>4708</v>
      </c>
      <c r="K4283" t="s">
        <v>1092</v>
      </c>
      <c r="M4283">
        <v>2</v>
      </c>
      <c r="N4283">
        <v>160</v>
      </c>
      <c r="O4283" t="s">
        <v>38</v>
      </c>
      <c r="Q4283" t="s">
        <v>1120</v>
      </c>
      <c r="R4283" t="s">
        <v>4686</v>
      </c>
      <c r="S4283" t="s">
        <v>4687</v>
      </c>
      <c r="T4283" t="s">
        <v>4688</v>
      </c>
    </row>
    <row r="4284" spans="1:20" x14ac:dyDescent="0.25">
      <c r="A4284" t="s">
        <v>59</v>
      </c>
      <c r="B4284" t="s">
        <v>60</v>
      </c>
      <c r="C4284" t="s">
        <v>32</v>
      </c>
      <c r="D4284" t="s">
        <v>584</v>
      </c>
      <c r="E4284" t="s">
        <v>599</v>
      </c>
      <c r="F4284" t="s">
        <v>35</v>
      </c>
      <c r="G4284" t="s">
        <v>35</v>
      </c>
      <c r="H4284" t="s">
        <v>35</v>
      </c>
      <c r="J4284" t="s">
        <v>4708</v>
      </c>
      <c r="K4284" t="s">
        <v>1092</v>
      </c>
      <c r="M4284">
        <v>0.35</v>
      </c>
      <c r="N4284">
        <v>155</v>
      </c>
      <c r="O4284" t="s">
        <v>38</v>
      </c>
      <c r="Q4284" t="s">
        <v>2277</v>
      </c>
      <c r="R4284" t="s">
        <v>4686</v>
      </c>
      <c r="S4284" t="s">
        <v>4687</v>
      </c>
      <c r="T4284" t="s">
        <v>4688</v>
      </c>
    </row>
    <row r="4285" spans="1:20" x14ac:dyDescent="0.25">
      <c r="A4285" t="s">
        <v>44</v>
      </c>
      <c r="B4285" t="s">
        <v>51</v>
      </c>
      <c r="C4285" t="s">
        <v>32</v>
      </c>
      <c r="D4285" t="s">
        <v>584</v>
      </c>
      <c r="E4285" t="s">
        <v>599</v>
      </c>
      <c r="F4285" t="s">
        <v>35</v>
      </c>
      <c r="G4285" t="s">
        <v>35</v>
      </c>
      <c r="H4285" t="s">
        <v>35</v>
      </c>
      <c r="J4285" t="s">
        <v>4718</v>
      </c>
      <c r="K4285" t="s">
        <v>1092</v>
      </c>
      <c r="M4285">
        <v>0.4</v>
      </c>
      <c r="N4285">
        <v>490</v>
      </c>
      <c r="O4285" t="s">
        <v>294</v>
      </c>
      <c r="Q4285" t="s">
        <v>3653</v>
      </c>
      <c r="R4285" t="s">
        <v>4686</v>
      </c>
      <c r="S4285" t="s">
        <v>4687</v>
      </c>
      <c r="T4285" t="s">
        <v>4688</v>
      </c>
    </row>
    <row r="4286" spans="1:20" x14ac:dyDescent="0.25">
      <c r="A4286" t="s">
        <v>59</v>
      </c>
      <c r="B4286" t="s">
        <v>60</v>
      </c>
      <c r="C4286" t="s">
        <v>32</v>
      </c>
      <c r="D4286" t="s">
        <v>584</v>
      </c>
      <c r="E4286" t="s">
        <v>599</v>
      </c>
      <c r="F4286" t="s">
        <v>35</v>
      </c>
      <c r="G4286" t="s">
        <v>35</v>
      </c>
      <c r="H4286" t="s">
        <v>35</v>
      </c>
      <c r="J4286" t="s">
        <v>4701</v>
      </c>
      <c r="K4286" t="s">
        <v>1092</v>
      </c>
      <c r="M4286">
        <v>0.25</v>
      </c>
      <c r="N4286">
        <v>1126</v>
      </c>
      <c r="O4286" t="s">
        <v>575</v>
      </c>
      <c r="Q4286" t="s">
        <v>4702</v>
      </c>
      <c r="R4286" t="s">
        <v>4686</v>
      </c>
      <c r="S4286" t="s">
        <v>4687</v>
      </c>
      <c r="T4286" t="s">
        <v>4688</v>
      </c>
    </row>
    <row r="4287" spans="1:20" x14ac:dyDescent="0.25">
      <c r="A4287" t="s">
        <v>30</v>
      </c>
      <c r="B4287" t="s">
        <v>31</v>
      </c>
      <c r="C4287" t="s">
        <v>32</v>
      </c>
      <c r="D4287" t="s">
        <v>584</v>
      </c>
      <c r="E4287" t="s">
        <v>599</v>
      </c>
      <c r="F4287" t="s">
        <v>35</v>
      </c>
      <c r="G4287" t="s">
        <v>35</v>
      </c>
      <c r="H4287" t="s">
        <v>35</v>
      </c>
      <c r="J4287" t="s">
        <v>4715</v>
      </c>
      <c r="K4287" t="s">
        <v>1092</v>
      </c>
      <c r="M4287">
        <v>0.40500000000000003</v>
      </c>
      <c r="N4287">
        <v>1325</v>
      </c>
      <c r="O4287" t="s">
        <v>575</v>
      </c>
      <c r="Q4287" t="s">
        <v>2982</v>
      </c>
      <c r="R4287" t="s">
        <v>4686</v>
      </c>
      <c r="S4287" t="s">
        <v>4687</v>
      </c>
      <c r="T4287" t="s">
        <v>4688</v>
      </c>
    </row>
    <row r="4288" spans="1:20" x14ac:dyDescent="0.25">
      <c r="A4288" t="s">
        <v>59</v>
      </c>
      <c r="B4288" t="s">
        <v>31</v>
      </c>
      <c r="C4288" t="s">
        <v>32</v>
      </c>
      <c r="D4288" t="s">
        <v>584</v>
      </c>
      <c r="E4288" t="s">
        <v>599</v>
      </c>
      <c r="F4288" t="s">
        <v>35</v>
      </c>
      <c r="G4288" t="s">
        <v>35</v>
      </c>
      <c r="H4288" t="s">
        <v>35</v>
      </c>
      <c r="J4288" t="s">
        <v>4715</v>
      </c>
      <c r="K4288" t="s">
        <v>1092</v>
      </c>
      <c r="M4288">
        <v>2.0249999999999999</v>
      </c>
      <c r="N4288">
        <v>1227</v>
      </c>
      <c r="O4288" t="s">
        <v>575</v>
      </c>
      <c r="Q4288" t="s">
        <v>2186</v>
      </c>
      <c r="R4288" t="s">
        <v>4686</v>
      </c>
      <c r="S4288" t="s">
        <v>4687</v>
      </c>
      <c r="T4288" t="s">
        <v>4688</v>
      </c>
    </row>
    <row r="4289" spans="1:20" x14ac:dyDescent="0.25">
      <c r="A4289" t="s">
        <v>59</v>
      </c>
      <c r="B4289" t="s">
        <v>60</v>
      </c>
      <c r="C4289" t="s">
        <v>32</v>
      </c>
      <c r="D4289" t="s">
        <v>584</v>
      </c>
      <c r="E4289" t="s">
        <v>599</v>
      </c>
      <c r="F4289" t="s">
        <v>35</v>
      </c>
      <c r="G4289" t="s">
        <v>35</v>
      </c>
      <c r="H4289" t="s">
        <v>35</v>
      </c>
      <c r="J4289" t="s">
        <v>4715</v>
      </c>
      <c r="K4289" t="s">
        <v>1092</v>
      </c>
      <c r="M4289">
        <v>1.5</v>
      </c>
      <c r="N4289">
        <v>1127</v>
      </c>
      <c r="O4289" t="s">
        <v>575</v>
      </c>
      <c r="Q4289" t="s">
        <v>4716</v>
      </c>
      <c r="R4289" t="s">
        <v>4686</v>
      </c>
      <c r="S4289" t="s">
        <v>4687</v>
      </c>
      <c r="T4289" t="s">
        <v>4688</v>
      </c>
    </row>
    <row r="4290" spans="1:20" x14ac:dyDescent="0.25">
      <c r="A4290" t="s">
        <v>44</v>
      </c>
      <c r="B4290" t="s">
        <v>3</v>
      </c>
      <c r="C4290" t="s">
        <v>32</v>
      </c>
      <c r="D4290" t="s">
        <v>584</v>
      </c>
      <c r="E4290" t="s">
        <v>621</v>
      </c>
      <c r="F4290" t="s">
        <v>35</v>
      </c>
      <c r="G4290" t="s">
        <v>35</v>
      </c>
      <c r="H4290" t="s">
        <v>35</v>
      </c>
      <c r="J4290" t="s">
        <v>4961</v>
      </c>
      <c r="K4290" t="s">
        <v>1092</v>
      </c>
      <c r="M4290">
        <v>0.05</v>
      </c>
      <c r="N4290">
        <v>453</v>
      </c>
      <c r="O4290" t="s">
        <v>294</v>
      </c>
      <c r="Q4290" t="s">
        <v>4042</v>
      </c>
      <c r="R4290" t="s">
        <v>4821</v>
      </c>
      <c r="S4290" t="s">
        <v>4822</v>
      </c>
      <c r="T4290" t="s">
        <v>4794</v>
      </c>
    </row>
    <row r="4291" spans="1:20" x14ac:dyDescent="0.25">
      <c r="A4291" t="s">
        <v>30</v>
      </c>
      <c r="B4291" t="s">
        <v>31</v>
      </c>
      <c r="C4291" t="s">
        <v>32</v>
      </c>
      <c r="D4291" t="s">
        <v>584</v>
      </c>
      <c r="E4291" t="s">
        <v>621</v>
      </c>
      <c r="F4291" t="s">
        <v>35</v>
      </c>
      <c r="G4291" t="s">
        <v>35</v>
      </c>
      <c r="H4291" t="s">
        <v>35</v>
      </c>
      <c r="J4291" t="s">
        <v>4938</v>
      </c>
      <c r="K4291" t="s">
        <v>1092</v>
      </c>
      <c r="M4291">
        <v>0.63</v>
      </c>
      <c r="N4291">
        <v>485</v>
      </c>
      <c r="O4291" t="s">
        <v>294</v>
      </c>
      <c r="Q4291" t="s">
        <v>1186</v>
      </c>
      <c r="R4291" t="s">
        <v>4821</v>
      </c>
      <c r="S4291" t="s">
        <v>4822</v>
      </c>
      <c r="T4291" t="s">
        <v>4794</v>
      </c>
    </row>
    <row r="4292" spans="1:20" x14ac:dyDescent="0.25">
      <c r="A4292" t="s">
        <v>30</v>
      </c>
      <c r="B4292" t="s">
        <v>31</v>
      </c>
      <c r="C4292" t="s">
        <v>32</v>
      </c>
      <c r="D4292" t="s">
        <v>584</v>
      </c>
      <c r="E4292" t="s">
        <v>621</v>
      </c>
      <c r="F4292" t="s">
        <v>35</v>
      </c>
      <c r="G4292" t="s">
        <v>35</v>
      </c>
      <c r="H4292" t="s">
        <v>35</v>
      </c>
      <c r="J4292" t="s">
        <v>4820</v>
      </c>
      <c r="K4292" t="s">
        <v>1092</v>
      </c>
      <c r="M4292">
        <v>1.2150000000000001</v>
      </c>
      <c r="N4292">
        <v>453</v>
      </c>
      <c r="O4292" t="s">
        <v>294</v>
      </c>
      <c r="Q4292" t="s">
        <v>4042</v>
      </c>
      <c r="R4292" t="s">
        <v>4821</v>
      </c>
      <c r="S4292" t="s">
        <v>4822</v>
      </c>
      <c r="T4292" t="s">
        <v>4794</v>
      </c>
    </row>
    <row r="4293" spans="1:20" x14ac:dyDescent="0.25">
      <c r="A4293" t="s">
        <v>44</v>
      </c>
      <c r="B4293" t="s">
        <v>3</v>
      </c>
      <c r="C4293" t="s">
        <v>32</v>
      </c>
      <c r="D4293" t="s">
        <v>584</v>
      </c>
      <c r="E4293" t="s">
        <v>621</v>
      </c>
      <c r="F4293" t="s">
        <v>35</v>
      </c>
      <c r="G4293" t="s">
        <v>35</v>
      </c>
      <c r="H4293" t="s">
        <v>35</v>
      </c>
      <c r="J4293" t="s">
        <v>4820</v>
      </c>
      <c r="K4293" t="s">
        <v>1092</v>
      </c>
      <c r="M4293">
        <v>0.95</v>
      </c>
      <c r="N4293">
        <v>439</v>
      </c>
      <c r="O4293" t="s">
        <v>294</v>
      </c>
      <c r="Q4293" t="s">
        <v>3152</v>
      </c>
      <c r="R4293" t="s">
        <v>4821</v>
      </c>
      <c r="S4293" t="s">
        <v>4822</v>
      </c>
      <c r="T4293" t="s">
        <v>4794</v>
      </c>
    </row>
    <row r="4294" spans="1:20" x14ac:dyDescent="0.25">
      <c r="A4294" t="s">
        <v>44</v>
      </c>
      <c r="B4294" t="s">
        <v>51</v>
      </c>
      <c r="C4294" t="s">
        <v>32</v>
      </c>
      <c r="D4294" t="s">
        <v>584</v>
      </c>
      <c r="E4294" t="s">
        <v>621</v>
      </c>
      <c r="F4294" t="s">
        <v>35</v>
      </c>
      <c r="G4294" t="s">
        <v>35</v>
      </c>
      <c r="H4294" t="s">
        <v>35</v>
      </c>
      <c r="J4294" t="s">
        <v>2848</v>
      </c>
      <c r="K4294" t="s">
        <v>1092</v>
      </c>
      <c r="M4294">
        <v>0.4</v>
      </c>
      <c r="N4294">
        <v>145</v>
      </c>
      <c r="O4294" t="s">
        <v>38</v>
      </c>
      <c r="Q4294" t="s">
        <v>408</v>
      </c>
      <c r="R4294" t="s">
        <v>4912</v>
      </c>
      <c r="S4294" t="s">
        <v>622</v>
      </c>
      <c r="T4294" t="s">
        <v>623</v>
      </c>
    </row>
    <row r="4295" spans="1:20" x14ac:dyDescent="0.25">
      <c r="A4295" t="s">
        <v>44</v>
      </c>
      <c r="B4295" t="s">
        <v>51</v>
      </c>
      <c r="C4295" t="s">
        <v>32</v>
      </c>
      <c r="D4295" t="s">
        <v>584</v>
      </c>
      <c r="E4295" t="s">
        <v>621</v>
      </c>
      <c r="F4295" t="s">
        <v>35</v>
      </c>
      <c r="G4295" t="s">
        <v>35</v>
      </c>
      <c r="H4295" t="s">
        <v>35</v>
      </c>
      <c r="J4295" t="s">
        <v>4910</v>
      </c>
      <c r="K4295" t="s">
        <v>1092</v>
      </c>
      <c r="M4295">
        <v>0.25</v>
      </c>
      <c r="N4295">
        <v>128</v>
      </c>
      <c r="O4295" t="s">
        <v>38</v>
      </c>
      <c r="Q4295" t="s">
        <v>98</v>
      </c>
      <c r="R4295" t="s">
        <v>4912</v>
      </c>
      <c r="S4295" t="s">
        <v>622</v>
      </c>
      <c r="T4295" t="s">
        <v>623</v>
      </c>
    </row>
    <row r="4296" spans="1:20" x14ac:dyDescent="0.25">
      <c r="A4296" t="s">
        <v>30</v>
      </c>
      <c r="B4296" t="s">
        <v>31</v>
      </c>
      <c r="C4296" t="s">
        <v>32</v>
      </c>
      <c r="D4296" t="s">
        <v>584</v>
      </c>
      <c r="E4296" t="s">
        <v>621</v>
      </c>
      <c r="F4296" t="s">
        <v>35</v>
      </c>
      <c r="G4296" t="s">
        <v>35</v>
      </c>
      <c r="H4296" t="s">
        <v>35</v>
      </c>
      <c r="J4296" t="s">
        <v>4829</v>
      </c>
      <c r="K4296" t="s">
        <v>1092</v>
      </c>
      <c r="M4296">
        <v>4.0049999999999999</v>
      </c>
      <c r="N4296">
        <v>146</v>
      </c>
      <c r="O4296" t="s">
        <v>38</v>
      </c>
      <c r="Q4296" t="s">
        <v>569</v>
      </c>
      <c r="R4296" t="s">
        <v>4830</v>
      </c>
      <c r="S4296" t="s">
        <v>4831</v>
      </c>
      <c r="T4296" t="s">
        <v>303</v>
      </c>
    </row>
    <row r="4297" spans="1:20" x14ac:dyDescent="0.25">
      <c r="A4297" t="s">
        <v>59</v>
      </c>
      <c r="B4297" t="s">
        <v>60</v>
      </c>
      <c r="C4297" t="s">
        <v>32</v>
      </c>
      <c r="D4297" t="s">
        <v>584</v>
      </c>
      <c r="E4297" t="s">
        <v>592</v>
      </c>
      <c r="F4297" t="s">
        <v>35</v>
      </c>
      <c r="G4297" t="s">
        <v>35</v>
      </c>
      <c r="H4297" t="s">
        <v>35</v>
      </c>
      <c r="J4297" t="s">
        <v>593</v>
      </c>
      <c r="K4297" t="s">
        <v>37</v>
      </c>
      <c r="M4297">
        <v>5.75</v>
      </c>
      <c r="N4297">
        <v>75</v>
      </c>
      <c r="O4297" t="s">
        <v>61</v>
      </c>
      <c r="P4297" t="s">
        <v>595</v>
      </c>
      <c r="Q4297" t="s">
        <v>447</v>
      </c>
      <c r="R4297" t="s">
        <v>91</v>
      </c>
      <c r="S4297" t="s">
        <v>92</v>
      </c>
    </row>
    <row r="4298" spans="1:20" x14ac:dyDescent="0.25">
      <c r="A4298" t="s">
        <v>44</v>
      </c>
      <c r="B4298" t="s">
        <v>3</v>
      </c>
      <c r="C4298" t="s">
        <v>32</v>
      </c>
      <c r="D4298" t="s">
        <v>584</v>
      </c>
      <c r="E4298" t="s">
        <v>621</v>
      </c>
      <c r="F4298" t="s">
        <v>35</v>
      </c>
      <c r="G4298" t="s">
        <v>35</v>
      </c>
      <c r="H4298" t="s">
        <v>35</v>
      </c>
      <c r="J4298" t="s">
        <v>4925</v>
      </c>
      <c r="K4298" t="s">
        <v>1092</v>
      </c>
      <c r="M4298">
        <v>1</v>
      </c>
      <c r="N4298">
        <v>493</v>
      </c>
      <c r="O4298" t="s">
        <v>294</v>
      </c>
      <c r="Q4298" t="s">
        <v>2051</v>
      </c>
      <c r="R4298" t="s">
        <v>4926</v>
      </c>
      <c r="S4298" t="s">
        <v>4927</v>
      </c>
      <c r="T4298" t="s">
        <v>4928</v>
      </c>
    </row>
    <row r="4299" spans="1:20" x14ac:dyDescent="0.25">
      <c r="A4299" t="s">
        <v>59</v>
      </c>
      <c r="B4299" t="s">
        <v>31</v>
      </c>
      <c r="C4299" t="s">
        <v>32</v>
      </c>
      <c r="D4299" t="s">
        <v>584</v>
      </c>
      <c r="E4299" t="s">
        <v>621</v>
      </c>
      <c r="F4299" t="s">
        <v>35</v>
      </c>
      <c r="G4299" t="s">
        <v>35</v>
      </c>
      <c r="H4299" t="s">
        <v>35</v>
      </c>
      <c r="J4299" t="s">
        <v>4945</v>
      </c>
      <c r="K4299" t="s">
        <v>1092</v>
      </c>
      <c r="M4299">
        <v>1.35</v>
      </c>
      <c r="N4299">
        <v>419</v>
      </c>
      <c r="O4299" t="s">
        <v>294</v>
      </c>
      <c r="Q4299" t="s">
        <v>1550</v>
      </c>
      <c r="R4299" t="s">
        <v>4926</v>
      </c>
      <c r="S4299" t="s">
        <v>4927</v>
      </c>
      <c r="T4299" t="s">
        <v>4928</v>
      </c>
    </row>
    <row r="4300" spans="1:20" x14ac:dyDescent="0.25">
      <c r="A4300" t="s">
        <v>59</v>
      </c>
      <c r="B4300" t="s">
        <v>60</v>
      </c>
      <c r="C4300" t="s">
        <v>32</v>
      </c>
      <c r="D4300" t="s">
        <v>584</v>
      </c>
      <c r="E4300" t="s">
        <v>585</v>
      </c>
      <c r="F4300" t="s">
        <v>35</v>
      </c>
      <c r="G4300" t="s">
        <v>35</v>
      </c>
      <c r="H4300" t="s">
        <v>35</v>
      </c>
      <c r="J4300" t="s">
        <v>4535</v>
      </c>
      <c r="K4300" t="s">
        <v>1092</v>
      </c>
      <c r="M4300">
        <v>0.9</v>
      </c>
      <c r="N4300">
        <v>16</v>
      </c>
      <c r="O4300" t="s">
        <v>46</v>
      </c>
      <c r="Q4300" t="s">
        <v>1819</v>
      </c>
      <c r="R4300" t="s">
        <v>4536</v>
      </c>
      <c r="S4300" t="s">
        <v>4537</v>
      </c>
      <c r="T4300" t="s">
        <v>4538</v>
      </c>
    </row>
    <row r="4301" spans="1:20" x14ac:dyDescent="0.25">
      <c r="A4301" t="s">
        <v>59</v>
      </c>
      <c r="B4301" t="s">
        <v>60</v>
      </c>
      <c r="C4301" t="s">
        <v>32</v>
      </c>
      <c r="D4301" t="s">
        <v>584</v>
      </c>
      <c r="E4301" t="s">
        <v>585</v>
      </c>
      <c r="F4301" t="s">
        <v>35</v>
      </c>
      <c r="G4301" t="s">
        <v>35</v>
      </c>
      <c r="H4301" t="s">
        <v>35</v>
      </c>
      <c r="J4301" t="s">
        <v>4587</v>
      </c>
      <c r="K4301" t="s">
        <v>1092</v>
      </c>
      <c r="M4301">
        <v>0.05</v>
      </c>
      <c r="N4301">
        <v>271</v>
      </c>
      <c r="O4301" t="s">
        <v>5</v>
      </c>
      <c r="Q4301" t="s">
        <v>1724</v>
      </c>
      <c r="R4301" t="s">
        <v>4536</v>
      </c>
      <c r="S4301" t="s">
        <v>4537</v>
      </c>
      <c r="T4301" t="s">
        <v>4538</v>
      </c>
    </row>
    <row r="4302" spans="1:20" x14ac:dyDescent="0.25">
      <c r="A4302" t="s">
        <v>59</v>
      </c>
      <c r="B4302" t="s">
        <v>60</v>
      </c>
      <c r="C4302" t="s">
        <v>32</v>
      </c>
      <c r="D4302" t="s">
        <v>584</v>
      </c>
      <c r="E4302" t="s">
        <v>585</v>
      </c>
      <c r="F4302" t="s">
        <v>35</v>
      </c>
      <c r="G4302" t="s">
        <v>35</v>
      </c>
      <c r="H4302" t="s">
        <v>35</v>
      </c>
      <c r="J4302" t="s">
        <v>4578</v>
      </c>
      <c r="K4302" t="s">
        <v>1092</v>
      </c>
      <c r="M4302">
        <v>0.05</v>
      </c>
      <c r="N4302">
        <v>1376</v>
      </c>
      <c r="O4302" t="s">
        <v>575</v>
      </c>
      <c r="Q4302" t="s">
        <v>4579</v>
      </c>
      <c r="R4302" t="s">
        <v>4536</v>
      </c>
      <c r="S4302" t="s">
        <v>4537</v>
      </c>
      <c r="T4302" t="s">
        <v>4538</v>
      </c>
    </row>
    <row r="4303" spans="1:20" x14ac:dyDescent="0.25">
      <c r="A4303" t="s">
        <v>59</v>
      </c>
      <c r="B4303" t="s">
        <v>60</v>
      </c>
      <c r="C4303" t="s">
        <v>32</v>
      </c>
      <c r="D4303" t="s">
        <v>584</v>
      </c>
      <c r="E4303" t="s">
        <v>585</v>
      </c>
      <c r="F4303" t="s">
        <v>35</v>
      </c>
      <c r="G4303" t="s">
        <v>35</v>
      </c>
      <c r="H4303" t="s">
        <v>35</v>
      </c>
      <c r="J4303" t="s">
        <v>4588</v>
      </c>
      <c r="K4303" t="s">
        <v>1092</v>
      </c>
      <c r="M4303">
        <v>0.5</v>
      </c>
      <c r="N4303">
        <v>37</v>
      </c>
      <c r="O4303" t="s">
        <v>52</v>
      </c>
      <c r="Q4303" t="s">
        <v>192</v>
      </c>
      <c r="R4303" t="s">
        <v>4536</v>
      </c>
      <c r="S4303" t="s">
        <v>4537</v>
      </c>
      <c r="T4303" t="s">
        <v>4538</v>
      </c>
    </row>
    <row r="4304" spans="1:20" x14ac:dyDescent="0.25">
      <c r="A4304" t="s">
        <v>59</v>
      </c>
      <c r="B4304" t="s">
        <v>60</v>
      </c>
      <c r="C4304" t="s">
        <v>32</v>
      </c>
      <c r="D4304" t="s">
        <v>584</v>
      </c>
      <c r="E4304" t="s">
        <v>621</v>
      </c>
      <c r="F4304" t="s">
        <v>35</v>
      </c>
      <c r="G4304" t="s">
        <v>35</v>
      </c>
      <c r="H4304" t="s">
        <v>35</v>
      </c>
      <c r="J4304" t="s">
        <v>4908</v>
      </c>
      <c r="K4304" t="s">
        <v>1092</v>
      </c>
      <c r="M4304">
        <v>1.1000000000000001</v>
      </c>
      <c r="N4304">
        <v>271</v>
      </c>
      <c r="O4304" t="s">
        <v>5</v>
      </c>
      <c r="Q4304" t="s">
        <v>1724</v>
      </c>
      <c r="R4304" t="s">
        <v>4536</v>
      </c>
      <c r="S4304" t="s">
        <v>4537</v>
      </c>
      <c r="T4304" t="s">
        <v>4538</v>
      </c>
    </row>
    <row r="4305" spans="1:20" x14ac:dyDescent="0.25">
      <c r="A4305" t="s">
        <v>59</v>
      </c>
      <c r="B4305" t="s">
        <v>60</v>
      </c>
      <c r="C4305" t="s">
        <v>32</v>
      </c>
      <c r="D4305" t="s">
        <v>584</v>
      </c>
      <c r="E4305" t="s">
        <v>585</v>
      </c>
      <c r="F4305" t="s">
        <v>35</v>
      </c>
      <c r="G4305" t="s">
        <v>35</v>
      </c>
      <c r="H4305" t="s">
        <v>35</v>
      </c>
      <c r="J4305" t="s">
        <v>4582</v>
      </c>
      <c r="K4305" t="s">
        <v>1092</v>
      </c>
      <c r="M4305">
        <v>0.154</v>
      </c>
      <c r="N4305">
        <v>289</v>
      </c>
      <c r="O4305" t="s">
        <v>5</v>
      </c>
      <c r="Q4305" t="s">
        <v>4253</v>
      </c>
      <c r="R4305" t="s">
        <v>4536</v>
      </c>
      <c r="S4305" t="s">
        <v>4537</v>
      </c>
      <c r="T4305" t="s">
        <v>4538</v>
      </c>
    </row>
    <row r="4306" spans="1:20" x14ac:dyDescent="0.25">
      <c r="A4306" t="s">
        <v>59</v>
      </c>
      <c r="B4306" t="s">
        <v>60</v>
      </c>
      <c r="C4306" t="s">
        <v>32</v>
      </c>
      <c r="D4306" t="s">
        <v>584</v>
      </c>
      <c r="E4306" t="s">
        <v>585</v>
      </c>
      <c r="F4306" t="s">
        <v>35</v>
      </c>
      <c r="G4306" t="s">
        <v>35</v>
      </c>
      <c r="H4306" t="s">
        <v>35</v>
      </c>
      <c r="J4306" t="s">
        <v>4582</v>
      </c>
      <c r="K4306" t="s">
        <v>1092</v>
      </c>
      <c r="M4306">
        <v>0.5</v>
      </c>
      <c r="N4306">
        <v>271</v>
      </c>
      <c r="O4306" t="s">
        <v>5</v>
      </c>
      <c r="Q4306" t="s">
        <v>1724</v>
      </c>
      <c r="R4306" t="s">
        <v>4536</v>
      </c>
      <c r="S4306" t="s">
        <v>4537</v>
      </c>
      <c r="T4306" t="s">
        <v>4538</v>
      </c>
    </row>
    <row r="4307" spans="1:20" x14ac:dyDescent="0.25">
      <c r="A4307" t="s">
        <v>59</v>
      </c>
      <c r="B4307" t="s">
        <v>60</v>
      </c>
      <c r="C4307" t="s">
        <v>32</v>
      </c>
      <c r="D4307" t="s">
        <v>584</v>
      </c>
      <c r="E4307" t="s">
        <v>585</v>
      </c>
      <c r="F4307" t="s">
        <v>35</v>
      </c>
      <c r="G4307" t="s">
        <v>35</v>
      </c>
      <c r="H4307" t="s">
        <v>35</v>
      </c>
      <c r="J4307" t="s">
        <v>4589</v>
      </c>
      <c r="K4307" t="s">
        <v>1092</v>
      </c>
      <c r="M4307">
        <v>5.5</v>
      </c>
      <c r="N4307">
        <v>119</v>
      </c>
      <c r="O4307" t="s">
        <v>106</v>
      </c>
      <c r="Q4307" t="s">
        <v>1813</v>
      </c>
      <c r="R4307" t="s">
        <v>4541</v>
      </c>
      <c r="S4307" t="s">
        <v>4542</v>
      </c>
      <c r="T4307" t="s">
        <v>4543</v>
      </c>
    </row>
    <row r="4308" spans="1:20" x14ac:dyDescent="0.25">
      <c r="A4308" t="s">
        <v>59</v>
      </c>
      <c r="B4308" t="s">
        <v>60</v>
      </c>
      <c r="C4308" t="s">
        <v>32</v>
      </c>
      <c r="D4308" t="s">
        <v>584</v>
      </c>
      <c r="E4308" t="s">
        <v>4733</v>
      </c>
      <c r="F4308" t="s">
        <v>35</v>
      </c>
      <c r="G4308" t="s">
        <v>35</v>
      </c>
      <c r="H4308" t="s">
        <v>35</v>
      </c>
      <c r="J4308" t="s">
        <v>4734</v>
      </c>
      <c r="K4308" t="s">
        <v>1092</v>
      </c>
      <c r="M4308">
        <v>7.65</v>
      </c>
      <c r="N4308">
        <v>119</v>
      </c>
      <c r="O4308" t="s">
        <v>106</v>
      </c>
      <c r="Q4308" t="s">
        <v>1813</v>
      </c>
      <c r="R4308" t="s">
        <v>4541</v>
      </c>
      <c r="S4308" t="s">
        <v>4542</v>
      </c>
      <c r="T4308" t="s">
        <v>4543</v>
      </c>
    </row>
    <row r="4309" spans="1:20" x14ac:dyDescent="0.25">
      <c r="A4309" t="s">
        <v>59</v>
      </c>
      <c r="B4309" t="s">
        <v>60</v>
      </c>
      <c r="C4309" t="s">
        <v>32</v>
      </c>
      <c r="D4309" t="s">
        <v>584</v>
      </c>
      <c r="E4309" t="s">
        <v>4733</v>
      </c>
      <c r="F4309" t="s">
        <v>35</v>
      </c>
      <c r="G4309" t="s">
        <v>35</v>
      </c>
      <c r="H4309" t="s">
        <v>35</v>
      </c>
      <c r="J4309" t="s">
        <v>4749</v>
      </c>
      <c r="K4309" t="s">
        <v>1092</v>
      </c>
      <c r="M4309">
        <v>2</v>
      </c>
      <c r="N4309">
        <v>119</v>
      </c>
      <c r="O4309" t="s">
        <v>106</v>
      </c>
      <c r="Q4309" t="s">
        <v>1813</v>
      </c>
      <c r="R4309" t="s">
        <v>4541</v>
      </c>
      <c r="S4309" t="s">
        <v>4542</v>
      </c>
      <c r="T4309" t="s">
        <v>4543</v>
      </c>
    </row>
    <row r="4310" spans="1:20" x14ac:dyDescent="0.25">
      <c r="A4310" t="s">
        <v>59</v>
      </c>
      <c r="B4310" t="s">
        <v>60</v>
      </c>
      <c r="C4310" t="s">
        <v>32</v>
      </c>
      <c r="D4310" t="s">
        <v>584</v>
      </c>
      <c r="E4310" t="s">
        <v>585</v>
      </c>
      <c r="F4310" t="s">
        <v>35</v>
      </c>
      <c r="G4310" t="s">
        <v>35</v>
      </c>
      <c r="H4310" t="s">
        <v>35</v>
      </c>
      <c r="J4310" t="s">
        <v>4539</v>
      </c>
      <c r="K4310" t="s">
        <v>1092</v>
      </c>
      <c r="M4310">
        <v>1.85</v>
      </c>
      <c r="N4310">
        <v>1214</v>
      </c>
      <c r="O4310" t="s">
        <v>575</v>
      </c>
      <c r="Q4310" t="s">
        <v>4540</v>
      </c>
      <c r="R4310" t="s">
        <v>4541</v>
      </c>
      <c r="S4310" t="s">
        <v>4542</v>
      </c>
      <c r="T4310" t="s">
        <v>4543</v>
      </c>
    </row>
    <row r="4311" spans="1:20" x14ac:dyDescent="0.25">
      <c r="A4311" t="s">
        <v>59</v>
      </c>
      <c r="B4311" t="s">
        <v>60</v>
      </c>
      <c r="C4311" t="s">
        <v>32</v>
      </c>
      <c r="D4311" t="s">
        <v>584</v>
      </c>
      <c r="E4311" t="s">
        <v>4733</v>
      </c>
      <c r="F4311" t="s">
        <v>35</v>
      </c>
      <c r="G4311" t="s">
        <v>35</v>
      </c>
      <c r="H4311" t="s">
        <v>35</v>
      </c>
      <c r="J4311" t="s">
        <v>4747</v>
      </c>
      <c r="K4311" t="s">
        <v>1092</v>
      </c>
      <c r="M4311">
        <v>0.4</v>
      </c>
      <c r="N4311">
        <v>1298</v>
      </c>
      <c r="O4311" t="s">
        <v>575</v>
      </c>
      <c r="Q4311" t="s">
        <v>4748</v>
      </c>
      <c r="R4311" t="s">
        <v>4541</v>
      </c>
      <c r="S4311" t="s">
        <v>4542</v>
      </c>
      <c r="T4311" t="s">
        <v>4543</v>
      </c>
    </row>
    <row r="4312" spans="1:20" x14ac:dyDescent="0.25">
      <c r="A4312" t="s">
        <v>30</v>
      </c>
      <c r="B4312" t="s">
        <v>31</v>
      </c>
      <c r="C4312" t="s">
        <v>32</v>
      </c>
      <c r="D4312" t="s">
        <v>584</v>
      </c>
      <c r="E4312" t="s">
        <v>585</v>
      </c>
      <c r="F4312" t="s">
        <v>35</v>
      </c>
      <c r="G4312" t="s">
        <v>35</v>
      </c>
      <c r="H4312" t="s">
        <v>35</v>
      </c>
      <c r="J4312" t="s">
        <v>4562</v>
      </c>
      <c r="K4312" t="s">
        <v>1092</v>
      </c>
      <c r="M4312">
        <v>4.5250000000000004</v>
      </c>
      <c r="N4312">
        <v>492</v>
      </c>
      <c r="O4312" t="s">
        <v>294</v>
      </c>
      <c r="Q4312" t="s">
        <v>1503</v>
      </c>
      <c r="R4312" t="s">
        <v>4541</v>
      </c>
      <c r="S4312" t="s">
        <v>4542</v>
      </c>
      <c r="T4312" t="s">
        <v>4543</v>
      </c>
    </row>
    <row r="4313" spans="1:20" x14ac:dyDescent="0.25">
      <c r="A4313" t="s">
        <v>59</v>
      </c>
      <c r="B4313" t="s">
        <v>60</v>
      </c>
      <c r="C4313" t="s">
        <v>32</v>
      </c>
      <c r="D4313" t="s">
        <v>584</v>
      </c>
      <c r="E4313" t="s">
        <v>621</v>
      </c>
      <c r="F4313" t="s">
        <v>35</v>
      </c>
      <c r="G4313" t="s">
        <v>35</v>
      </c>
      <c r="H4313" t="s">
        <v>35</v>
      </c>
      <c r="J4313" t="s">
        <v>4965</v>
      </c>
      <c r="K4313" t="s">
        <v>1092</v>
      </c>
      <c r="M4313">
        <v>0.15</v>
      </c>
      <c r="N4313">
        <v>158</v>
      </c>
      <c r="O4313" t="s">
        <v>38</v>
      </c>
      <c r="Q4313" t="s">
        <v>1548</v>
      </c>
      <c r="R4313" t="s">
        <v>4541</v>
      </c>
      <c r="S4313" t="s">
        <v>4542</v>
      </c>
      <c r="T4313" t="s">
        <v>4543</v>
      </c>
    </row>
    <row r="4314" spans="1:20" x14ac:dyDescent="0.25">
      <c r="A4314" t="s">
        <v>59</v>
      </c>
      <c r="B4314" t="s">
        <v>60</v>
      </c>
      <c r="C4314" t="s">
        <v>32</v>
      </c>
      <c r="D4314" t="s">
        <v>584</v>
      </c>
      <c r="E4314" t="s">
        <v>4733</v>
      </c>
      <c r="F4314" t="s">
        <v>35</v>
      </c>
      <c r="G4314" t="s">
        <v>35</v>
      </c>
      <c r="H4314" t="s">
        <v>35</v>
      </c>
      <c r="J4314" t="s">
        <v>4755</v>
      </c>
      <c r="K4314" t="s">
        <v>1092</v>
      </c>
      <c r="M4314">
        <v>3.85</v>
      </c>
      <c r="N4314">
        <v>126</v>
      </c>
      <c r="O4314" t="s">
        <v>38</v>
      </c>
      <c r="Q4314" t="s">
        <v>68</v>
      </c>
      <c r="R4314" t="s">
        <v>4541</v>
      </c>
      <c r="S4314" t="s">
        <v>4542</v>
      </c>
      <c r="T4314" t="s">
        <v>4543</v>
      </c>
    </row>
    <row r="4315" spans="1:20" x14ac:dyDescent="0.25">
      <c r="A4315" t="s">
        <v>59</v>
      </c>
      <c r="B4315" t="s">
        <v>60</v>
      </c>
      <c r="C4315" t="s">
        <v>32</v>
      </c>
      <c r="D4315" t="s">
        <v>584</v>
      </c>
      <c r="E4315" t="s">
        <v>4733</v>
      </c>
      <c r="F4315" t="s">
        <v>35</v>
      </c>
      <c r="G4315" t="s">
        <v>35</v>
      </c>
      <c r="H4315" t="s">
        <v>35</v>
      </c>
      <c r="J4315" t="s">
        <v>4757</v>
      </c>
      <c r="K4315" t="s">
        <v>1092</v>
      </c>
      <c r="M4315">
        <v>5.5</v>
      </c>
      <c r="N4315">
        <v>119</v>
      </c>
      <c r="O4315" t="s">
        <v>106</v>
      </c>
      <c r="Q4315" t="s">
        <v>1813</v>
      </c>
      <c r="R4315" t="s">
        <v>4541</v>
      </c>
      <c r="S4315" t="s">
        <v>4542</v>
      </c>
      <c r="T4315" t="s">
        <v>4543</v>
      </c>
    </row>
    <row r="4316" spans="1:20" x14ac:dyDescent="0.25">
      <c r="A4316" t="s">
        <v>59</v>
      </c>
      <c r="B4316" t="s">
        <v>60</v>
      </c>
      <c r="C4316" t="s">
        <v>32</v>
      </c>
      <c r="D4316" t="s">
        <v>584</v>
      </c>
      <c r="F4316" t="s">
        <v>35</v>
      </c>
      <c r="G4316" t="s">
        <v>35</v>
      </c>
      <c r="H4316" t="s">
        <v>35</v>
      </c>
      <c r="J4316" t="s">
        <v>4972</v>
      </c>
      <c r="K4316" t="s">
        <v>1092</v>
      </c>
      <c r="M4316">
        <v>2</v>
      </c>
      <c r="N4316">
        <v>126</v>
      </c>
      <c r="O4316" t="s">
        <v>38</v>
      </c>
      <c r="Q4316" t="s">
        <v>68</v>
      </c>
      <c r="R4316" t="s">
        <v>4541</v>
      </c>
      <c r="S4316" t="s">
        <v>4542</v>
      </c>
      <c r="T4316" t="s">
        <v>4543</v>
      </c>
    </row>
    <row r="4317" spans="1:20" x14ac:dyDescent="0.25">
      <c r="A4317" t="s">
        <v>59</v>
      </c>
      <c r="B4317" t="s">
        <v>60</v>
      </c>
      <c r="C4317" t="s">
        <v>32</v>
      </c>
      <c r="D4317" t="s">
        <v>584</v>
      </c>
      <c r="E4317" t="s">
        <v>4733</v>
      </c>
      <c r="F4317" t="s">
        <v>35</v>
      </c>
      <c r="G4317" t="s">
        <v>35</v>
      </c>
      <c r="H4317" t="s">
        <v>35</v>
      </c>
      <c r="J4317" t="s">
        <v>4739</v>
      </c>
      <c r="K4317" t="s">
        <v>1092</v>
      </c>
      <c r="M4317">
        <v>3.25</v>
      </c>
      <c r="N4317">
        <v>119</v>
      </c>
      <c r="O4317" t="s">
        <v>106</v>
      </c>
      <c r="Q4317" t="s">
        <v>1813</v>
      </c>
      <c r="R4317" t="s">
        <v>4541</v>
      </c>
      <c r="S4317" t="s">
        <v>4542</v>
      </c>
      <c r="T4317" t="s">
        <v>4543</v>
      </c>
    </row>
    <row r="4318" spans="1:20" x14ac:dyDescent="0.25">
      <c r="A4318" t="s">
        <v>59</v>
      </c>
      <c r="B4318" t="s">
        <v>60</v>
      </c>
      <c r="C4318" t="s">
        <v>32</v>
      </c>
      <c r="D4318" t="s">
        <v>584</v>
      </c>
      <c r="E4318" t="s">
        <v>585</v>
      </c>
      <c r="F4318" t="s">
        <v>35</v>
      </c>
      <c r="G4318" t="s">
        <v>35</v>
      </c>
      <c r="H4318" t="s">
        <v>35</v>
      </c>
      <c r="J4318" t="s">
        <v>4576</v>
      </c>
      <c r="K4318" t="s">
        <v>1092</v>
      </c>
      <c r="M4318">
        <v>2.95</v>
      </c>
      <c r="N4318">
        <v>158</v>
      </c>
      <c r="O4318" t="s">
        <v>38</v>
      </c>
      <c r="Q4318" t="s">
        <v>1548</v>
      </c>
      <c r="R4318" t="s">
        <v>4541</v>
      </c>
      <c r="S4318" t="s">
        <v>4542</v>
      </c>
      <c r="T4318" t="s">
        <v>4543</v>
      </c>
    </row>
    <row r="4319" spans="1:20" x14ac:dyDescent="0.25">
      <c r="A4319" t="s">
        <v>59</v>
      </c>
      <c r="B4319" t="s">
        <v>60</v>
      </c>
      <c r="C4319" t="s">
        <v>32</v>
      </c>
      <c r="D4319" t="s">
        <v>584</v>
      </c>
      <c r="E4319" t="s">
        <v>585</v>
      </c>
      <c r="F4319" t="s">
        <v>35</v>
      </c>
      <c r="G4319" t="s">
        <v>35</v>
      </c>
      <c r="H4319" t="s">
        <v>35</v>
      </c>
      <c r="J4319" t="s">
        <v>4593</v>
      </c>
      <c r="K4319" t="s">
        <v>1092</v>
      </c>
      <c r="M4319">
        <v>1.55</v>
      </c>
      <c r="N4319">
        <v>275</v>
      </c>
      <c r="O4319" t="s">
        <v>5</v>
      </c>
      <c r="Q4319" t="s">
        <v>1225</v>
      </c>
      <c r="R4319" t="s">
        <v>4541</v>
      </c>
      <c r="S4319" t="s">
        <v>4542</v>
      </c>
      <c r="T4319" t="s">
        <v>4543</v>
      </c>
    </row>
    <row r="4320" spans="1:20" x14ac:dyDescent="0.25">
      <c r="A4320" t="s">
        <v>59</v>
      </c>
      <c r="B4320" t="s">
        <v>60</v>
      </c>
      <c r="C4320" t="s">
        <v>32</v>
      </c>
      <c r="D4320" t="s">
        <v>584</v>
      </c>
      <c r="E4320" t="s">
        <v>585</v>
      </c>
      <c r="F4320" t="s">
        <v>35</v>
      </c>
      <c r="G4320" t="s">
        <v>35</v>
      </c>
      <c r="H4320" t="s">
        <v>35</v>
      </c>
      <c r="J4320" t="s">
        <v>4575</v>
      </c>
      <c r="K4320" t="s">
        <v>1092</v>
      </c>
      <c r="M4320">
        <v>1.55</v>
      </c>
      <c r="N4320">
        <v>126</v>
      </c>
      <c r="O4320" t="s">
        <v>38</v>
      </c>
      <c r="Q4320" t="s">
        <v>68</v>
      </c>
      <c r="R4320" t="s">
        <v>4541</v>
      </c>
      <c r="S4320" t="s">
        <v>4542</v>
      </c>
      <c r="T4320" t="s">
        <v>4543</v>
      </c>
    </row>
    <row r="4321" spans="1:20" x14ac:dyDescent="0.25">
      <c r="A4321" t="s">
        <v>44</v>
      </c>
      <c r="B4321" t="s">
        <v>3</v>
      </c>
      <c r="C4321" t="s">
        <v>32</v>
      </c>
      <c r="D4321" t="s">
        <v>584</v>
      </c>
      <c r="E4321" t="s">
        <v>599</v>
      </c>
      <c r="F4321" t="s">
        <v>35</v>
      </c>
      <c r="G4321" t="s">
        <v>35</v>
      </c>
      <c r="H4321" t="s">
        <v>35</v>
      </c>
      <c r="J4321" t="s">
        <v>4727</v>
      </c>
      <c r="K4321" t="s">
        <v>1092</v>
      </c>
      <c r="M4321">
        <v>0.15</v>
      </c>
      <c r="N4321">
        <v>349</v>
      </c>
      <c r="O4321" t="s">
        <v>5</v>
      </c>
      <c r="Q4321" t="s">
        <v>4728</v>
      </c>
      <c r="R4321" t="s">
        <v>4729</v>
      </c>
      <c r="S4321" t="s">
        <v>4730</v>
      </c>
      <c r="T4321" t="s">
        <v>4731</v>
      </c>
    </row>
    <row r="4322" spans="1:20" x14ac:dyDescent="0.25">
      <c r="A4322" t="s">
        <v>59</v>
      </c>
      <c r="B4322" t="s">
        <v>31</v>
      </c>
      <c r="C4322" t="s">
        <v>32</v>
      </c>
      <c r="D4322" t="s">
        <v>584</v>
      </c>
      <c r="E4322" t="s">
        <v>599</v>
      </c>
      <c r="F4322" t="s">
        <v>35</v>
      </c>
      <c r="G4322" t="s">
        <v>35</v>
      </c>
      <c r="H4322" t="s">
        <v>35</v>
      </c>
      <c r="J4322" t="s">
        <v>4684</v>
      </c>
      <c r="K4322" t="s">
        <v>1092</v>
      </c>
      <c r="M4322">
        <v>0.09</v>
      </c>
      <c r="N4322">
        <v>1269</v>
      </c>
      <c r="O4322" t="s">
        <v>575</v>
      </c>
      <c r="Q4322" t="s">
        <v>4685</v>
      </c>
      <c r="R4322" t="s">
        <v>637</v>
      </c>
      <c r="S4322" t="s">
        <v>602</v>
      </c>
      <c r="T4322" t="s">
        <v>603</v>
      </c>
    </row>
    <row r="4323" spans="1:20" x14ac:dyDescent="0.25">
      <c r="A4323" t="s">
        <v>59</v>
      </c>
      <c r="B4323" t="s">
        <v>60</v>
      </c>
      <c r="C4323" t="s">
        <v>32</v>
      </c>
      <c r="D4323" t="s">
        <v>584</v>
      </c>
      <c r="E4323" t="s">
        <v>599</v>
      </c>
      <c r="F4323" t="s">
        <v>35</v>
      </c>
      <c r="G4323" t="s">
        <v>35</v>
      </c>
      <c r="H4323" t="s">
        <v>35</v>
      </c>
      <c r="J4323" t="s">
        <v>4684</v>
      </c>
      <c r="K4323" t="s">
        <v>1092</v>
      </c>
      <c r="M4323">
        <v>0.54800000000000004</v>
      </c>
      <c r="N4323">
        <v>1124</v>
      </c>
      <c r="O4323" t="s">
        <v>575</v>
      </c>
      <c r="Q4323" t="s">
        <v>4100</v>
      </c>
      <c r="R4323" t="s">
        <v>637</v>
      </c>
      <c r="S4323" t="s">
        <v>602</v>
      </c>
      <c r="T4323" t="s">
        <v>603</v>
      </c>
    </row>
    <row r="4324" spans="1:20" x14ac:dyDescent="0.25">
      <c r="A4324" t="s">
        <v>59</v>
      </c>
      <c r="B4324" t="s">
        <v>60</v>
      </c>
      <c r="C4324" t="s">
        <v>32</v>
      </c>
      <c r="D4324" t="s">
        <v>584</v>
      </c>
      <c r="E4324" t="s">
        <v>599</v>
      </c>
      <c r="F4324" t="s">
        <v>35</v>
      </c>
      <c r="G4324" t="s">
        <v>35</v>
      </c>
      <c r="H4324" t="s">
        <v>35</v>
      </c>
      <c r="J4324" t="s">
        <v>4679</v>
      </c>
      <c r="K4324" t="s">
        <v>1092</v>
      </c>
      <c r="M4324">
        <v>0.25</v>
      </c>
      <c r="N4324">
        <v>128</v>
      </c>
      <c r="O4324" t="s">
        <v>38</v>
      </c>
      <c r="Q4324" t="s">
        <v>98</v>
      </c>
      <c r="R4324" t="s">
        <v>637</v>
      </c>
      <c r="S4324" t="s">
        <v>602</v>
      </c>
      <c r="T4324" t="s">
        <v>603</v>
      </c>
    </row>
    <row r="4325" spans="1:20" x14ac:dyDescent="0.25">
      <c r="A4325" t="s">
        <v>59</v>
      </c>
      <c r="B4325" t="s">
        <v>60</v>
      </c>
      <c r="C4325" t="s">
        <v>32</v>
      </c>
      <c r="D4325" t="s">
        <v>584</v>
      </c>
      <c r="E4325" t="s">
        <v>599</v>
      </c>
      <c r="F4325" t="s">
        <v>35</v>
      </c>
      <c r="G4325" t="s">
        <v>35</v>
      </c>
      <c r="H4325" t="s">
        <v>35</v>
      </c>
      <c r="J4325" t="s">
        <v>4710</v>
      </c>
      <c r="K4325" t="s">
        <v>1092</v>
      </c>
      <c r="M4325">
        <v>0.5</v>
      </c>
      <c r="N4325">
        <v>171</v>
      </c>
      <c r="O4325" t="s">
        <v>38</v>
      </c>
      <c r="Q4325" t="s">
        <v>2827</v>
      </c>
      <c r="R4325" t="s">
        <v>637</v>
      </c>
      <c r="S4325" t="s">
        <v>602</v>
      </c>
      <c r="T4325" t="s">
        <v>603</v>
      </c>
    </row>
    <row r="4326" spans="1:20" x14ac:dyDescent="0.25">
      <c r="A4326" t="s">
        <v>59</v>
      </c>
      <c r="B4326" t="s">
        <v>60</v>
      </c>
      <c r="C4326" t="s">
        <v>32</v>
      </c>
      <c r="D4326" t="s">
        <v>584</v>
      </c>
      <c r="E4326" t="s">
        <v>599</v>
      </c>
      <c r="F4326" t="s">
        <v>35</v>
      </c>
      <c r="G4326" t="s">
        <v>35</v>
      </c>
      <c r="H4326" t="s">
        <v>35</v>
      </c>
      <c r="J4326" t="s">
        <v>4656</v>
      </c>
      <c r="K4326" t="s">
        <v>1092</v>
      </c>
      <c r="M4326">
        <v>2</v>
      </c>
      <c r="N4326">
        <v>170</v>
      </c>
      <c r="O4326" t="s">
        <v>38</v>
      </c>
      <c r="Q4326" t="s">
        <v>4657</v>
      </c>
      <c r="R4326" t="s">
        <v>637</v>
      </c>
      <c r="S4326" t="s">
        <v>602</v>
      </c>
      <c r="T4326" t="s">
        <v>603</v>
      </c>
    </row>
    <row r="4327" spans="1:20" x14ac:dyDescent="0.25">
      <c r="A4327" t="s">
        <v>59</v>
      </c>
      <c r="B4327" t="s">
        <v>60</v>
      </c>
      <c r="C4327" t="s">
        <v>32</v>
      </c>
      <c r="D4327" t="s">
        <v>584</v>
      </c>
      <c r="E4327" t="s">
        <v>599</v>
      </c>
      <c r="F4327" t="s">
        <v>35</v>
      </c>
      <c r="G4327" t="s">
        <v>35</v>
      </c>
      <c r="H4327" t="s">
        <v>35</v>
      </c>
      <c r="J4327" t="s">
        <v>3508</v>
      </c>
      <c r="K4327" t="s">
        <v>1092</v>
      </c>
      <c r="M4327">
        <v>1</v>
      </c>
      <c r="N4327">
        <v>6</v>
      </c>
      <c r="O4327" t="s">
        <v>46</v>
      </c>
      <c r="Q4327" t="s">
        <v>310</v>
      </c>
      <c r="R4327" t="s">
        <v>637</v>
      </c>
      <c r="S4327" t="s">
        <v>602</v>
      </c>
      <c r="T4327" t="s">
        <v>603</v>
      </c>
    </row>
    <row r="4328" spans="1:20" x14ac:dyDescent="0.25">
      <c r="A4328" t="s">
        <v>59</v>
      </c>
      <c r="B4328" t="s">
        <v>60</v>
      </c>
      <c r="C4328" t="s">
        <v>32</v>
      </c>
      <c r="D4328" t="s">
        <v>584</v>
      </c>
      <c r="E4328" t="s">
        <v>599</v>
      </c>
      <c r="F4328" t="s">
        <v>35</v>
      </c>
      <c r="G4328" t="s">
        <v>35</v>
      </c>
      <c r="H4328" t="s">
        <v>35</v>
      </c>
      <c r="J4328" t="s">
        <v>3508</v>
      </c>
      <c r="K4328" t="s">
        <v>1092</v>
      </c>
      <c r="M4328">
        <v>2</v>
      </c>
      <c r="N4328">
        <v>158</v>
      </c>
      <c r="O4328" t="s">
        <v>38</v>
      </c>
      <c r="Q4328" t="s">
        <v>1548</v>
      </c>
      <c r="R4328" t="s">
        <v>637</v>
      </c>
      <c r="S4328" t="s">
        <v>602</v>
      </c>
      <c r="T4328" t="s">
        <v>603</v>
      </c>
    </row>
    <row r="4329" spans="1:20" x14ac:dyDescent="0.25">
      <c r="A4329" t="s">
        <v>59</v>
      </c>
      <c r="B4329" t="s">
        <v>60</v>
      </c>
      <c r="C4329" t="s">
        <v>32</v>
      </c>
      <c r="D4329" t="s">
        <v>584</v>
      </c>
      <c r="E4329" t="s">
        <v>599</v>
      </c>
      <c r="F4329" t="s">
        <v>35</v>
      </c>
      <c r="G4329" t="s">
        <v>35</v>
      </c>
      <c r="H4329" t="s">
        <v>35</v>
      </c>
      <c r="J4329" t="s">
        <v>3508</v>
      </c>
      <c r="K4329" t="s">
        <v>1092</v>
      </c>
      <c r="M4329">
        <v>0.45</v>
      </c>
      <c r="N4329">
        <v>263</v>
      </c>
      <c r="O4329" t="s">
        <v>5</v>
      </c>
      <c r="Q4329" t="s">
        <v>2486</v>
      </c>
      <c r="R4329" t="s">
        <v>637</v>
      </c>
      <c r="S4329" t="s">
        <v>602</v>
      </c>
      <c r="T4329" t="s">
        <v>603</v>
      </c>
    </row>
    <row r="4330" spans="1:20" x14ac:dyDescent="0.25">
      <c r="A4330" t="s">
        <v>59</v>
      </c>
      <c r="B4330" t="s">
        <v>60</v>
      </c>
      <c r="C4330" t="s">
        <v>32</v>
      </c>
      <c r="D4330" t="s">
        <v>584</v>
      </c>
      <c r="E4330" t="s">
        <v>599</v>
      </c>
      <c r="F4330" t="s">
        <v>35</v>
      </c>
      <c r="G4330" t="s">
        <v>35</v>
      </c>
      <c r="H4330" t="s">
        <v>35</v>
      </c>
      <c r="J4330" t="s">
        <v>3508</v>
      </c>
      <c r="K4330" t="s">
        <v>1092</v>
      </c>
      <c r="M4330">
        <v>2</v>
      </c>
      <c r="N4330">
        <v>168</v>
      </c>
      <c r="O4330" t="s">
        <v>38</v>
      </c>
      <c r="Q4330" t="s">
        <v>1692</v>
      </c>
      <c r="R4330" t="s">
        <v>637</v>
      </c>
      <c r="S4330" t="s">
        <v>602</v>
      </c>
      <c r="T4330" t="s">
        <v>603</v>
      </c>
    </row>
    <row r="4331" spans="1:20" x14ac:dyDescent="0.25">
      <c r="A4331" t="s">
        <v>59</v>
      </c>
      <c r="B4331" t="s">
        <v>60</v>
      </c>
      <c r="C4331" t="s">
        <v>32</v>
      </c>
      <c r="D4331" t="s">
        <v>584</v>
      </c>
      <c r="E4331" t="s">
        <v>599</v>
      </c>
      <c r="F4331" t="s">
        <v>35</v>
      </c>
      <c r="G4331" t="s">
        <v>35</v>
      </c>
      <c r="H4331" t="s">
        <v>35</v>
      </c>
      <c r="J4331" t="s">
        <v>4669</v>
      </c>
      <c r="K4331" t="s">
        <v>1092</v>
      </c>
      <c r="M4331">
        <v>2</v>
      </c>
      <c r="N4331">
        <v>79</v>
      </c>
      <c r="O4331" t="s">
        <v>61</v>
      </c>
      <c r="Q4331" t="s">
        <v>1076</v>
      </c>
      <c r="R4331" t="s">
        <v>637</v>
      </c>
      <c r="S4331" t="s">
        <v>602</v>
      </c>
      <c r="T4331" t="s">
        <v>603</v>
      </c>
    </row>
    <row r="4332" spans="1:20" x14ac:dyDescent="0.25">
      <c r="A4332" t="s">
        <v>59</v>
      </c>
      <c r="B4332" t="s">
        <v>60</v>
      </c>
      <c r="C4332" t="s">
        <v>32</v>
      </c>
      <c r="D4332" t="s">
        <v>584</v>
      </c>
      <c r="E4332" t="s">
        <v>599</v>
      </c>
      <c r="F4332" t="s">
        <v>35</v>
      </c>
      <c r="G4332" t="s">
        <v>35</v>
      </c>
      <c r="H4332" t="s">
        <v>35</v>
      </c>
      <c r="J4332" t="s">
        <v>4704</v>
      </c>
      <c r="K4332" t="s">
        <v>1092</v>
      </c>
      <c r="M4332">
        <v>0.2</v>
      </c>
      <c r="N4332">
        <v>498</v>
      </c>
      <c r="O4332" t="s">
        <v>294</v>
      </c>
      <c r="Q4332" t="s">
        <v>3749</v>
      </c>
      <c r="R4332" t="s">
        <v>637</v>
      </c>
      <c r="S4332" t="s">
        <v>602</v>
      </c>
      <c r="T4332" t="s">
        <v>603</v>
      </c>
    </row>
    <row r="4333" spans="1:20" x14ac:dyDescent="0.25">
      <c r="A4333" t="s">
        <v>59</v>
      </c>
      <c r="B4333" t="s">
        <v>60</v>
      </c>
      <c r="C4333" t="s">
        <v>32</v>
      </c>
      <c r="D4333" t="s">
        <v>584</v>
      </c>
      <c r="E4333" t="s">
        <v>599</v>
      </c>
      <c r="F4333" t="s">
        <v>35</v>
      </c>
      <c r="G4333" t="s">
        <v>35</v>
      </c>
      <c r="H4333" t="s">
        <v>35</v>
      </c>
      <c r="J4333" t="s">
        <v>4628</v>
      </c>
      <c r="K4333" t="s">
        <v>1092</v>
      </c>
      <c r="M4333">
        <v>3.25</v>
      </c>
      <c r="N4333">
        <v>5</v>
      </c>
      <c r="O4333" t="s">
        <v>46</v>
      </c>
      <c r="Q4333" t="s">
        <v>1865</v>
      </c>
      <c r="R4333" t="s">
        <v>637</v>
      </c>
      <c r="S4333" t="s">
        <v>602</v>
      </c>
      <c r="T4333" t="s">
        <v>603</v>
      </c>
    </row>
    <row r="4334" spans="1:20" x14ac:dyDescent="0.25">
      <c r="A4334" t="s">
        <v>59</v>
      </c>
      <c r="B4334" t="s">
        <v>60</v>
      </c>
      <c r="C4334" t="s">
        <v>32</v>
      </c>
      <c r="D4334" t="s">
        <v>584</v>
      </c>
      <c r="E4334" t="s">
        <v>621</v>
      </c>
      <c r="F4334" t="s">
        <v>35</v>
      </c>
      <c r="G4334" t="s">
        <v>35</v>
      </c>
      <c r="H4334" t="s">
        <v>35</v>
      </c>
      <c r="J4334" t="s">
        <v>634</v>
      </c>
      <c r="K4334" t="s">
        <v>37</v>
      </c>
      <c r="M4334">
        <v>15</v>
      </c>
      <c r="N4334">
        <v>25</v>
      </c>
      <c r="O4334" t="s">
        <v>46</v>
      </c>
      <c r="P4334" t="s">
        <v>636</v>
      </c>
      <c r="Q4334" t="s">
        <v>547</v>
      </c>
      <c r="R4334" t="s">
        <v>637</v>
      </c>
      <c r="S4334" t="s">
        <v>602</v>
      </c>
      <c r="T4334" t="s">
        <v>603</v>
      </c>
    </row>
    <row r="4335" spans="1:20" x14ac:dyDescent="0.25">
      <c r="A4335" t="s">
        <v>59</v>
      </c>
      <c r="B4335" t="s">
        <v>60</v>
      </c>
      <c r="C4335" t="s">
        <v>32</v>
      </c>
      <c r="D4335" t="s">
        <v>584</v>
      </c>
      <c r="E4335" t="s">
        <v>599</v>
      </c>
      <c r="F4335" t="s">
        <v>35</v>
      </c>
      <c r="G4335" t="s">
        <v>35</v>
      </c>
      <c r="H4335" t="s">
        <v>35</v>
      </c>
      <c r="J4335" t="s">
        <v>4659</v>
      </c>
      <c r="K4335" t="s">
        <v>1092</v>
      </c>
      <c r="M4335">
        <v>1.5</v>
      </c>
      <c r="N4335">
        <v>60</v>
      </c>
      <c r="O4335" t="s">
        <v>52</v>
      </c>
      <c r="Q4335" t="s">
        <v>1311</v>
      </c>
      <c r="R4335" t="s">
        <v>637</v>
      </c>
      <c r="S4335" t="s">
        <v>602</v>
      </c>
      <c r="T4335" t="s">
        <v>603</v>
      </c>
    </row>
    <row r="4336" spans="1:20" x14ac:dyDescent="0.25">
      <c r="A4336" t="s">
        <v>59</v>
      </c>
      <c r="B4336" t="s">
        <v>60</v>
      </c>
      <c r="C4336" t="s">
        <v>32</v>
      </c>
      <c r="D4336" t="s">
        <v>584</v>
      </c>
      <c r="E4336" t="s">
        <v>599</v>
      </c>
      <c r="F4336" t="s">
        <v>35</v>
      </c>
      <c r="G4336" t="s">
        <v>35</v>
      </c>
      <c r="H4336" t="s">
        <v>35</v>
      </c>
      <c r="J4336" t="s">
        <v>4694</v>
      </c>
      <c r="K4336" t="s">
        <v>1092</v>
      </c>
      <c r="M4336">
        <v>15</v>
      </c>
      <c r="N4336">
        <v>54</v>
      </c>
      <c r="O4336" t="s">
        <v>52</v>
      </c>
      <c r="Q4336" t="s">
        <v>671</v>
      </c>
      <c r="R4336" t="s">
        <v>637</v>
      </c>
      <c r="S4336" t="s">
        <v>602</v>
      </c>
      <c r="T4336" t="s">
        <v>603</v>
      </c>
    </row>
    <row r="4337" spans="1:20" x14ac:dyDescent="0.25">
      <c r="A4337" t="s">
        <v>59</v>
      </c>
      <c r="B4337" t="s">
        <v>60</v>
      </c>
      <c r="C4337" t="s">
        <v>32</v>
      </c>
      <c r="D4337" t="s">
        <v>584</v>
      </c>
      <c r="E4337" t="s">
        <v>599</v>
      </c>
      <c r="F4337" t="s">
        <v>35</v>
      </c>
      <c r="G4337" t="s">
        <v>35</v>
      </c>
      <c r="H4337" t="s">
        <v>35</v>
      </c>
      <c r="J4337" t="s">
        <v>4660</v>
      </c>
      <c r="K4337" t="s">
        <v>1092</v>
      </c>
      <c r="M4337">
        <v>0.5</v>
      </c>
      <c r="N4337">
        <v>37</v>
      </c>
      <c r="O4337" t="s">
        <v>52</v>
      </c>
      <c r="Q4337" t="s">
        <v>192</v>
      </c>
      <c r="R4337" t="s">
        <v>637</v>
      </c>
      <c r="S4337" t="s">
        <v>602</v>
      </c>
      <c r="T4337" t="s">
        <v>603</v>
      </c>
    </row>
    <row r="4338" spans="1:20" x14ac:dyDescent="0.25">
      <c r="A4338" t="s">
        <v>59</v>
      </c>
      <c r="B4338" t="s">
        <v>60</v>
      </c>
      <c r="C4338" t="s">
        <v>32</v>
      </c>
      <c r="D4338" t="s">
        <v>584</v>
      </c>
      <c r="E4338" t="s">
        <v>621</v>
      </c>
      <c r="F4338" t="s">
        <v>35</v>
      </c>
      <c r="G4338" t="s">
        <v>35</v>
      </c>
      <c r="H4338" t="s">
        <v>35</v>
      </c>
      <c r="J4338" t="s">
        <v>4877</v>
      </c>
      <c r="K4338" t="s">
        <v>1092</v>
      </c>
      <c r="M4338">
        <v>0.7</v>
      </c>
      <c r="N4338">
        <v>37</v>
      </c>
      <c r="O4338" t="s">
        <v>52</v>
      </c>
      <c r="Q4338" t="s">
        <v>192</v>
      </c>
      <c r="R4338" t="s">
        <v>637</v>
      </c>
      <c r="S4338" t="s">
        <v>602</v>
      </c>
      <c r="T4338" t="s">
        <v>603</v>
      </c>
    </row>
    <row r="4339" spans="1:20" x14ac:dyDescent="0.25">
      <c r="A4339" t="s">
        <v>59</v>
      </c>
      <c r="B4339" t="s">
        <v>60</v>
      </c>
      <c r="C4339" t="s">
        <v>32</v>
      </c>
      <c r="D4339" t="s">
        <v>584</v>
      </c>
      <c r="E4339" t="s">
        <v>599</v>
      </c>
      <c r="F4339" t="s">
        <v>35</v>
      </c>
      <c r="G4339" t="s">
        <v>35</v>
      </c>
      <c r="H4339" t="s">
        <v>35</v>
      </c>
      <c r="J4339" t="s">
        <v>4676</v>
      </c>
      <c r="K4339" t="s">
        <v>1092</v>
      </c>
      <c r="M4339">
        <v>1</v>
      </c>
      <c r="N4339">
        <v>170</v>
      </c>
      <c r="O4339" t="s">
        <v>38</v>
      </c>
      <c r="Q4339" t="s">
        <v>4657</v>
      </c>
      <c r="R4339" t="s">
        <v>637</v>
      </c>
      <c r="S4339" t="s">
        <v>602</v>
      </c>
      <c r="T4339" t="s">
        <v>603</v>
      </c>
    </row>
    <row r="4340" spans="1:20" x14ac:dyDescent="0.25">
      <c r="A4340" t="s">
        <v>59</v>
      </c>
      <c r="B4340" t="s">
        <v>60</v>
      </c>
      <c r="C4340" t="s">
        <v>32</v>
      </c>
      <c r="D4340" t="s">
        <v>584</v>
      </c>
      <c r="E4340" t="s">
        <v>599</v>
      </c>
      <c r="F4340" t="s">
        <v>35</v>
      </c>
      <c r="G4340" t="s">
        <v>35</v>
      </c>
      <c r="H4340" t="s">
        <v>35</v>
      </c>
      <c r="J4340" t="s">
        <v>4658</v>
      </c>
      <c r="K4340" t="s">
        <v>1092</v>
      </c>
      <c r="M4340">
        <v>1</v>
      </c>
      <c r="N4340">
        <v>5</v>
      </c>
      <c r="O4340" t="s">
        <v>46</v>
      </c>
      <c r="Q4340" t="s">
        <v>1865</v>
      </c>
      <c r="R4340" t="s">
        <v>637</v>
      </c>
      <c r="S4340" t="s">
        <v>602</v>
      </c>
      <c r="T4340" t="s">
        <v>603</v>
      </c>
    </row>
    <row r="4341" spans="1:20" x14ac:dyDescent="0.25">
      <c r="A4341" t="s">
        <v>59</v>
      </c>
      <c r="B4341" t="s">
        <v>60</v>
      </c>
      <c r="C4341" t="s">
        <v>32</v>
      </c>
      <c r="D4341" t="s">
        <v>584</v>
      </c>
      <c r="E4341" t="s">
        <v>599</v>
      </c>
      <c r="F4341" t="s">
        <v>35</v>
      </c>
      <c r="G4341" t="s">
        <v>35</v>
      </c>
      <c r="H4341" t="s">
        <v>35</v>
      </c>
      <c r="J4341" t="s">
        <v>4667</v>
      </c>
      <c r="K4341" t="s">
        <v>1092</v>
      </c>
      <c r="M4341">
        <v>2.5</v>
      </c>
      <c r="N4341">
        <v>5</v>
      </c>
      <c r="O4341" t="s">
        <v>46</v>
      </c>
      <c r="Q4341" t="s">
        <v>1865</v>
      </c>
      <c r="R4341" t="s">
        <v>637</v>
      </c>
      <c r="S4341" t="s">
        <v>602</v>
      </c>
      <c r="T4341" t="s">
        <v>603</v>
      </c>
    </row>
    <row r="4342" spans="1:20" x14ac:dyDescent="0.25">
      <c r="A4342" t="s">
        <v>59</v>
      </c>
      <c r="B4342" t="s">
        <v>60</v>
      </c>
      <c r="C4342" t="s">
        <v>32</v>
      </c>
      <c r="D4342" t="s">
        <v>584</v>
      </c>
      <c r="E4342" t="s">
        <v>599</v>
      </c>
      <c r="F4342" t="s">
        <v>35</v>
      </c>
      <c r="G4342" t="s">
        <v>35</v>
      </c>
      <c r="H4342" t="s">
        <v>35</v>
      </c>
      <c r="J4342" t="s">
        <v>4674</v>
      </c>
      <c r="K4342" t="s">
        <v>1092</v>
      </c>
      <c r="M4342">
        <v>1</v>
      </c>
      <c r="N4342">
        <v>170</v>
      </c>
      <c r="O4342" t="s">
        <v>38</v>
      </c>
      <c r="Q4342" t="s">
        <v>4657</v>
      </c>
      <c r="R4342" t="s">
        <v>637</v>
      </c>
      <c r="S4342" t="s">
        <v>602</v>
      </c>
      <c r="T4342" t="s">
        <v>603</v>
      </c>
    </row>
    <row r="4343" spans="1:20" x14ac:dyDescent="0.25">
      <c r="A4343" t="s">
        <v>30</v>
      </c>
      <c r="B4343" t="s">
        <v>31</v>
      </c>
      <c r="C4343" t="s">
        <v>32</v>
      </c>
      <c r="D4343" t="s">
        <v>584</v>
      </c>
      <c r="E4343" t="s">
        <v>599</v>
      </c>
      <c r="F4343" t="s">
        <v>35</v>
      </c>
      <c r="G4343" t="s">
        <v>35</v>
      </c>
      <c r="H4343" t="s">
        <v>35</v>
      </c>
      <c r="J4343" t="s">
        <v>4674</v>
      </c>
      <c r="K4343" t="s">
        <v>1092</v>
      </c>
      <c r="M4343">
        <v>3.5000000000000003E-2</v>
      </c>
      <c r="N4343">
        <v>1335</v>
      </c>
      <c r="O4343" t="s">
        <v>575</v>
      </c>
      <c r="Q4343" t="s">
        <v>4675</v>
      </c>
      <c r="R4343" t="s">
        <v>637</v>
      </c>
      <c r="S4343" t="s">
        <v>602</v>
      </c>
      <c r="T4343" t="s">
        <v>603</v>
      </c>
    </row>
    <row r="4344" spans="1:20" x14ac:dyDescent="0.25">
      <c r="A4344" t="s">
        <v>59</v>
      </c>
      <c r="B4344" t="s">
        <v>60</v>
      </c>
      <c r="C4344" t="s">
        <v>32</v>
      </c>
      <c r="D4344" t="s">
        <v>584</v>
      </c>
      <c r="F4344" t="s">
        <v>35</v>
      </c>
      <c r="G4344" t="s">
        <v>35</v>
      </c>
      <c r="H4344" t="s">
        <v>35</v>
      </c>
      <c r="J4344" t="s">
        <v>4983</v>
      </c>
      <c r="K4344" t="s">
        <v>1092</v>
      </c>
      <c r="M4344">
        <v>0.09</v>
      </c>
      <c r="N4344">
        <v>2666</v>
      </c>
      <c r="O4344" t="s">
        <v>575</v>
      </c>
      <c r="Q4344" t="s">
        <v>1486</v>
      </c>
      <c r="R4344" t="s">
        <v>1487</v>
      </c>
      <c r="S4344" t="s">
        <v>1488</v>
      </c>
    </row>
    <row r="4345" spans="1:20" x14ac:dyDescent="0.25">
      <c r="A4345" t="s">
        <v>30</v>
      </c>
      <c r="B4345" t="s">
        <v>31</v>
      </c>
      <c r="C4345" t="s">
        <v>32</v>
      </c>
      <c r="D4345" t="s">
        <v>584</v>
      </c>
      <c r="F4345" t="s">
        <v>35</v>
      </c>
      <c r="G4345" t="s">
        <v>35</v>
      </c>
      <c r="H4345" t="s">
        <v>35</v>
      </c>
      <c r="J4345" t="s">
        <v>4986</v>
      </c>
      <c r="K4345" t="s">
        <v>1092</v>
      </c>
      <c r="M4345">
        <v>4.5</v>
      </c>
      <c r="N4345">
        <v>2666</v>
      </c>
      <c r="O4345" t="s">
        <v>575</v>
      </c>
      <c r="Q4345" t="s">
        <v>1486</v>
      </c>
      <c r="R4345" t="s">
        <v>1487</v>
      </c>
      <c r="S4345" t="s">
        <v>1488</v>
      </c>
    </row>
    <row r="4346" spans="1:20" x14ac:dyDescent="0.25">
      <c r="A4346" t="s">
        <v>59</v>
      </c>
      <c r="B4346" t="s">
        <v>60</v>
      </c>
      <c r="C4346" t="s">
        <v>32</v>
      </c>
      <c r="D4346" t="s">
        <v>584</v>
      </c>
      <c r="E4346" t="s">
        <v>599</v>
      </c>
      <c r="F4346" t="s">
        <v>35</v>
      </c>
      <c r="G4346" t="s">
        <v>35</v>
      </c>
      <c r="H4346" t="s">
        <v>35</v>
      </c>
      <c r="J4346" t="s">
        <v>4682</v>
      </c>
      <c r="K4346" t="s">
        <v>1092</v>
      </c>
      <c r="M4346">
        <v>0.15</v>
      </c>
      <c r="N4346">
        <v>2666</v>
      </c>
      <c r="O4346" t="s">
        <v>575</v>
      </c>
      <c r="Q4346" t="s">
        <v>1486</v>
      </c>
      <c r="R4346" t="s">
        <v>1487</v>
      </c>
      <c r="S4346" t="s">
        <v>1488</v>
      </c>
    </row>
    <row r="4347" spans="1:20" x14ac:dyDescent="0.25">
      <c r="A4347" t="s">
        <v>30</v>
      </c>
      <c r="B4347" t="s">
        <v>31</v>
      </c>
      <c r="C4347" t="s">
        <v>32</v>
      </c>
      <c r="D4347" t="s">
        <v>584</v>
      </c>
      <c r="F4347" t="s">
        <v>35</v>
      </c>
      <c r="G4347" t="s">
        <v>35</v>
      </c>
      <c r="H4347" t="s">
        <v>35</v>
      </c>
      <c r="J4347" t="s">
        <v>4984</v>
      </c>
      <c r="K4347" t="s">
        <v>1092</v>
      </c>
      <c r="M4347">
        <v>4.4999999999999998E-2</v>
      </c>
      <c r="N4347">
        <v>2666</v>
      </c>
      <c r="O4347" t="s">
        <v>575</v>
      </c>
      <c r="Q4347" t="s">
        <v>1486</v>
      </c>
      <c r="R4347" t="s">
        <v>1487</v>
      </c>
      <c r="S4347" t="s">
        <v>1488</v>
      </c>
    </row>
    <row r="4348" spans="1:20" x14ac:dyDescent="0.25">
      <c r="A4348" t="s">
        <v>59</v>
      </c>
      <c r="B4348" t="s">
        <v>60</v>
      </c>
      <c r="C4348" t="s">
        <v>32</v>
      </c>
      <c r="D4348" t="s">
        <v>584</v>
      </c>
      <c r="F4348" t="s">
        <v>35</v>
      </c>
      <c r="G4348" t="s">
        <v>35</v>
      </c>
      <c r="H4348" t="s">
        <v>35</v>
      </c>
      <c r="J4348" t="s">
        <v>4975</v>
      </c>
      <c r="K4348" t="s">
        <v>1092</v>
      </c>
      <c r="M4348">
        <v>1.86</v>
      </c>
      <c r="N4348">
        <v>2666</v>
      </c>
      <c r="O4348" t="s">
        <v>575</v>
      </c>
      <c r="Q4348" t="s">
        <v>1486</v>
      </c>
      <c r="R4348" t="s">
        <v>1487</v>
      </c>
      <c r="S4348" t="s">
        <v>1488</v>
      </c>
    </row>
    <row r="4349" spans="1:20" x14ac:dyDescent="0.25">
      <c r="A4349" t="s">
        <v>59</v>
      </c>
      <c r="B4349" t="s">
        <v>60</v>
      </c>
      <c r="C4349" t="s">
        <v>32</v>
      </c>
      <c r="D4349" t="s">
        <v>584</v>
      </c>
      <c r="E4349" t="s">
        <v>592</v>
      </c>
      <c r="F4349" t="s">
        <v>35</v>
      </c>
      <c r="G4349" t="s">
        <v>35</v>
      </c>
      <c r="H4349" t="s">
        <v>35</v>
      </c>
      <c r="J4349" t="s">
        <v>596</v>
      </c>
      <c r="K4349" t="s">
        <v>37</v>
      </c>
      <c r="M4349">
        <v>1</v>
      </c>
      <c r="N4349">
        <v>37</v>
      </c>
      <c r="O4349" t="s">
        <v>52</v>
      </c>
      <c r="P4349" t="s">
        <v>598</v>
      </c>
      <c r="Q4349" t="s">
        <v>192</v>
      </c>
      <c r="R4349" t="s">
        <v>548</v>
      </c>
      <c r="S4349" t="s">
        <v>524</v>
      </c>
      <c r="T4349" t="s">
        <v>525</v>
      </c>
    </row>
    <row r="4350" spans="1:20" x14ac:dyDescent="0.25">
      <c r="A4350" t="s">
        <v>59</v>
      </c>
      <c r="B4350" t="s">
        <v>60</v>
      </c>
      <c r="C4350" t="s">
        <v>32</v>
      </c>
      <c r="D4350" t="s">
        <v>584</v>
      </c>
      <c r="E4350" t="s">
        <v>599</v>
      </c>
      <c r="F4350" t="s">
        <v>35</v>
      </c>
      <c r="G4350" t="s">
        <v>35</v>
      </c>
      <c r="H4350" t="s">
        <v>35</v>
      </c>
      <c r="J4350" t="s">
        <v>602</v>
      </c>
      <c r="K4350" t="s">
        <v>37</v>
      </c>
      <c r="M4350">
        <v>0.5</v>
      </c>
      <c r="N4350">
        <v>44</v>
      </c>
      <c r="O4350" t="s">
        <v>52</v>
      </c>
      <c r="P4350" t="s">
        <v>604</v>
      </c>
      <c r="Q4350" t="s">
        <v>54</v>
      </c>
      <c r="R4350" t="s">
        <v>315</v>
      </c>
      <c r="S4350" t="s">
        <v>316</v>
      </c>
      <c r="T4350" t="s">
        <v>317</v>
      </c>
    </row>
    <row r="4351" spans="1:20" x14ac:dyDescent="0.25">
      <c r="A4351" t="s">
        <v>59</v>
      </c>
      <c r="B4351" t="s">
        <v>60</v>
      </c>
      <c r="C4351" t="s">
        <v>32</v>
      </c>
      <c r="D4351" t="s">
        <v>584</v>
      </c>
      <c r="E4351" t="s">
        <v>599</v>
      </c>
      <c r="F4351" t="s">
        <v>35</v>
      </c>
      <c r="G4351" t="s">
        <v>35</v>
      </c>
      <c r="H4351" t="s">
        <v>35</v>
      </c>
      <c r="J4351" t="s">
        <v>602</v>
      </c>
      <c r="K4351" t="s">
        <v>37</v>
      </c>
      <c r="M4351">
        <v>25</v>
      </c>
      <c r="N4351">
        <v>44</v>
      </c>
      <c r="O4351" t="s">
        <v>52</v>
      </c>
      <c r="P4351" t="s">
        <v>605</v>
      </c>
      <c r="Q4351" t="s">
        <v>54</v>
      </c>
      <c r="R4351" t="s">
        <v>315</v>
      </c>
      <c r="S4351" t="s">
        <v>316</v>
      </c>
      <c r="T4351" t="s">
        <v>317</v>
      </c>
    </row>
    <row r="4352" spans="1:20" x14ac:dyDescent="0.25">
      <c r="A4352" t="s">
        <v>30</v>
      </c>
      <c r="B4352" t="s">
        <v>31</v>
      </c>
      <c r="C4352" t="s">
        <v>32</v>
      </c>
      <c r="D4352" t="s">
        <v>639</v>
      </c>
      <c r="E4352" t="s">
        <v>652</v>
      </c>
      <c r="F4352" t="s">
        <v>35</v>
      </c>
      <c r="G4352" t="s">
        <v>35</v>
      </c>
      <c r="H4352" t="s">
        <v>35</v>
      </c>
      <c r="J4352" t="s">
        <v>5111</v>
      </c>
      <c r="K4352" t="s">
        <v>1092</v>
      </c>
      <c r="M4352">
        <v>11.385</v>
      </c>
      <c r="N4352">
        <v>223</v>
      </c>
      <c r="O4352" t="s">
        <v>5</v>
      </c>
      <c r="Q4352" t="s">
        <v>1544</v>
      </c>
      <c r="R4352" t="s">
        <v>5113</v>
      </c>
      <c r="S4352" t="s">
        <v>5111</v>
      </c>
      <c r="T4352" t="s">
        <v>5112</v>
      </c>
    </row>
    <row r="4353" spans="1:20" x14ac:dyDescent="0.25">
      <c r="A4353" t="s">
        <v>44</v>
      </c>
      <c r="B4353" t="s">
        <v>51</v>
      </c>
      <c r="C4353" t="s">
        <v>32</v>
      </c>
      <c r="D4353" t="s">
        <v>639</v>
      </c>
      <c r="E4353" t="s">
        <v>4988</v>
      </c>
      <c r="F4353" t="s">
        <v>35</v>
      </c>
      <c r="G4353" t="s">
        <v>35</v>
      </c>
      <c r="H4353" t="s">
        <v>35</v>
      </c>
      <c r="J4353" t="s">
        <v>4990</v>
      </c>
      <c r="K4353" t="s">
        <v>1092</v>
      </c>
      <c r="M4353">
        <v>7.2</v>
      </c>
      <c r="N4353">
        <v>108</v>
      </c>
      <c r="O4353" t="s">
        <v>106</v>
      </c>
      <c r="Q4353" t="s">
        <v>1195</v>
      </c>
      <c r="R4353" t="s">
        <v>4991</v>
      </c>
      <c r="S4353" t="s">
        <v>4992</v>
      </c>
      <c r="T4353" t="s">
        <v>4993</v>
      </c>
    </row>
    <row r="4354" spans="1:20" x14ac:dyDescent="0.25">
      <c r="A4354" t="s">
        <v>59</v>
      </c>
      <c r="B4354" t="s">
        <v>31</v>
      </c>
      <c r="C4354" t="s">
        <v>32</v>
      </c>
      <c r="D4354" t="s">
        <v>639</v>
      </c>
      <c r="E4354" t="s">
        <v>4988</v>
      </c>
      <c r="F4354" t="s">
        <v>35</v>
      </c>
      <c r="G4354" t="s">
        <v>35</v>
      </c>
      <c r="H4354" t="s">
        <v>35</v>
      </c>
      <c r="J4354" t="s">
        <v>4990</v>
      </c>
      <c r="K4354" t="s">
        <v>1092</v>
      </c>
      <c r="M4354">
        <v>8.91</v>
      </c>
      <c r="N4354">
        <v>347</v>
      </c>
      <c r="O4354" t="s">
        <v>5</v>
      </c>
      <c r="Q4354" t="s">
        <v>4994</v>
      </c>
      <c r="R4354" t="s">
        <v>4991</v>
      </c>
      <c r="S4354" t="s">
        <v>4992</v>
      </c>
      <c r="T4354" t="s">
        <v>4993</v>
      </c>
    </row>
    <row r="4355" spans="1:20" x14ac:dyDescent="0.25">
      <c r="A4355" t="s">
        <v>59</v>
      </c>
      <c r="B4355" t="s">
        <v>60</v>
      </c>
      <c r="C4355" t="s">
        <v>32</v>
      </c>
      <c r="D4355" t="s">
        <v>639</v>
      </c>
      <c r="E4355" t="s">
        <v>4988</v>
      </c>
      <c r="F4355" t="s">
        <v>35</v>
      </c>
      <c r="G4355" t="s">
        <v>35</v>
      </c>
      <c r="H4355" t="s">
        <v>35</v>
      </c>
      <c r="J4355" t="s">
        <v>4990</v>
      </c>
      <c r="K4355" t="s">
        <v>1092</v>
      </c>
      <c r="M4355">
        <v>79.3</v>
      </c>
      <c r="N4355">
        <v>81</v>
      </c>
      <c r="O4355" t="s">
        <v>61</v>
      </c>
      <c r="Q4355" t="s">
        <v>858</v>
      </c>
      <c r="R4355" t="s">
        <v>4991</v>
      </c>
      <c r="S4355" t="s">
        <v>4992</v>
      </c>
      <c r="T4355" t="s">
        <v>4993</v>
      </c>
    </row>
    <row r="4356" spans="1:20" x14ac:dyDescent="0.25">
      <c r="A4356" t="s">
        <v>44</v>
      </c>
      <c r="B4356" t="s">
        <v>3</v>
      </c>
      <c r="C4356" t="s">
        <v>32</v>
      </c>
      <c r="D4356" t="s">
        <v>639</v>
      </c>
      <c r="E4356" t="s">
        <v>4988</v>
      </c>
      <c r="F4356" t="s">
        <v>35</v>
      </c>
      <c r="G4356" t="s">
        <v>35</v>
      </c>
      <c r="H4356" t="s">
        <v>35</v>
      </c>
      <c r="J4356" t="s">
        <v>4990</v>
      </c>
      <c r="K4356" t="s">
        <v>1092</v>
      </c>
      <c r="M4356">
        <v>1.25</v>
      </c>
      <c r="N4356">
        <v>336</v>
      </c>
      <c r="O4356" t="s">
        <v>5</v>
      </c>
      <c r="Q4356" t="s">
        <v>2689</v>
      </c>
      <c r="R4356" t="s">
        <v>4991</v>
      </c>
      <c r="S4356" t="s">
        <v>4992</v>
      </c>
      <c r="T4356" t="s">
        <v>4993</v>
      </c>
    </row>
    <row r="4357" spans="1:20" x14ac:dyDescent="0.25">
      <c r="A4357" t="s">
        <v>59</v>
      </c>
      <c r="B4357" t="s">
        <v>60</v>
      </c>
      <c r="C4357" t="s">
        <v>32</v>
      </c>
      <c r="D4357" t="s">
        <v>639</v>
      </c>
      <c r="F4357" t="s">
        <v>35</v>
      </c>
      <c r="G4357" t="s">
        <v>35</v>
      </c>
      <c r="H4357" t="s">
        <v>35</v>
      </c>
      <c r="J4357" t="s">
        <v>5179</v>
      </c>
      <c r="K4357" t="s">
        <v>1092</v>
      </c>
      <c r="M4357">
        <v>5.8</v>
      </c>
      <c r="N4357">
        <v>1902</v>
      </c>
      <c r="O4357" t="s">
        <v>575</v>
      </c>
      <c r="Q4357" t="s">
        <v>5180</v>
      </c>
      <c r="R4357" t="s">
        <v>5170</v>
      </c>
      <c r="S4357" t="s">
        <v>5171</v>
      </c>
      <c r="T4357" t="s">
        <v>5172</v>
      </c>
    </row>
    <row r="4358" spans="1:20" x14ac:dyDescent="0.25">
      <c r="A4358" t="s">
        <v>59</v>
      </c>
      <c r="B4358" t="s">
        <v>31</v>
      </c>
      <c r="C4358" t="s">
        <v>32</v>
      </c>
      <c r="D4358" t="s">
        <v>639</v>
      </c>
      <c r="F4358" t="s">
        <v>35</v>
      </c>
      <c r="G4358" t="s">
        <v>35</v>
      </c>
      <c r="H4358" t="s">
        <v>35</v>
      </c>
      <c r="J4358" t="s">
        <v>5179</v>
      </c>
      <c r="K4358" t="s">
        <v>1092</v>
      </c>
      <c r="M4358">
        <v>17.774999999999999</v>
      </c>
      <c r="N4358">
        <v>1911</v>
      </c>
      <c r="O4358" t="s">
        <v>575</v>
      </c>
      <c r="Q4358" t="s">
        <v>5181</v>
      </c>
      <c r="R4358" t="s">
        <v>5170</v>
      </c>
      <c r="S4358" t="s">
        <v>5171</v>
      </c>
      <c r="T4358" t="s">
        <v>5172</v>
      </c>
    </row>
    <row r="4359" spans="1:20" x14ac:dyDescent="0.25">
      <c r="A4359" t="s">
        <v>30</v>
      </c>
      <c r="B4359" t="s">
        <v>31</v>
      </c>
      <c r="C4359" t="s">
        <v>32</v>
      </c>
      <c r="D4359" t="s">
        <v>639</v>
      </c>
      <c r="F4359" t="s">
        <v>35</v>
      </c>
      <c r="G4359" t="s">
        <v>35</v>
      </c>
      <c r="H4359" t="s">
        <v>35</v>
      </c>
      <c r="J4359" t="s">
        <v>5188</v>
      </c>
      <c r="K4359" t="s">
        <v>1092</v>
      </c>
      <c r="M4359">
        <v>3.24</v>
      </c>
      <c r="N4359">
        <v>2336</v>
      </c>
      <c r="O4359" t="s">
        <v>575</v>
      </c>
      <c r="Q4359" t="s">
        <v>3103</v>
      </c>
      <c r="R4359" t="s">
        <v>5170</v>
      </c>
      <c r="S4359" t="s">
        <v>5171</v>
      </c>
      <c r="T4359" t="s">
        <v>5172</v>
      </c>
    </row>
    <row r="4360" spans="1:20" x14ac:dyDescent="0.25">
      <c r="A4360" t="s">
        <v>59</v>
      </c>
      <c r="B4360" t="s">
        <v>31</v>
      </c>
      <c r="C4360" t="s">
        <v>32</v>
      </c>
      <c r="D4360" t="s">
        <v>639</v>
      </c>
      <c r="F4360" t="s">
        <v>35</v>
      </c>
      <c r="G4360" t="s">
        <v>35</v>
      </c>
      <c r="H4360" t="s">
        <v>35</v>
      </c>
      <c r="J4360" t="s">
        <v>5188</v>
      </c>
      <c r="K4360" t="s">
        <v>1092</v>
      </c>
      <c r="M4360">
        <v>0.495</v>
      </c>
      <c r="N4360">
        <v>2649</v>
      </c>
      <c r="O4360" t="s">
        <v>575</v>
      </c>
      <c r="Q4360" t="s">
        <v>2605</v>
      </c>
      <c r="R4360" t="s">
        <v>5170</v>
      </c>
      <c r="S4360" t="s">
        <v>5171</v>
      </c>
      <c r="T4360" t="s">
        <v>5172</v>
      </c>
    </row>
    <row r="4361" spans="1:20" x14ac:dyDescent="0.25">
      <c r="A4361" t="s">
        <v>30</v>
      </c>
      <c r="B4361" t="s">
        <v>31</v>
      </c>
      <c r="C4361" t="s">
        <v>32</v>
      </c>
      <c r="D4361" t="s">
        <v>639</v>
      </c>
      <c r="F4361" t="s">
        <v>35</v>
      </c>
      <c r="G4361" t="s">
        <v>35</v>
      </c>
      <c r="H4361" t="s">
        <v>35</v>
      </c>
      <c r="J4361" t="s">
        <v>5168</v>
      </c>
      <c r="K4361" t="s">
        <v>1092</v>
      </c>
      <c r="M4361">
        <v>0.06</v>
      </c>
      <c r="N4361">
        <v>2132</v>
      </c>
      <c r="O4361" t="s">
        <v>575</v>
      </c>
      <c r="Q4361" t="s">
        <v>5169</v>
      </c>
      <c r="R4361" t="s">
        <v>5170</v>
      </c>
      <c r="S4361" t="s">
        <v>5171</v>
      </c>
      <c r="T4361" t="s">
        <v>5172</v>
      </c>
    </row>
    <row r="4362" spans="1:20" x14ac:dyDescent="0.25">
      <c r="A4362" t="s">
        <v>59</v>
      </c>
      <c r="B4362" t="s">
        <v>31</v>
      </c>
      <c r="C4362" t="s">
        <v>32</v>
      </c>
      <c r="D4362" t="s">
        <v>639</v>
      </c>
      <c r="F4362" t="s">
        <v>35</v>
      </c>
      <c r="G4362" t="s">
        <v>35</v>
      </c>
      <c r="H4362" t="s">
        <v>35</v>
      </c>
      <c r="J4362" t="s">
        <v>5168</v>
      </c>
      <c r="K4362" t="s">
        <v>1092</v>
      </c>
      <c r="M4362">
        <v>0.19</v>
      </c>
      <c r="N4362">
        <v>2132</v>
      </c>
      <c r="O4362" t="s">
        <v>575</v>
      </c>
      <c r="Q4362" t="s">
        <v>5169</v>
      </c>
      <c r="R4362" t="s">
        <v>5170</v>
      </c>
      <c r="S4362" t="s">
        <v>5171</v>
      </c>
      <c r="T4362" t="s">
        <v>5172</v>
      </c>
    </row>
    <row r="4363" spans="1:20" x14ac:dyDescent="0.25">
      <c r="A4363" t="s">
        <v>44</v>
      </c>
      <c r="B4363" t="s">
        <v>51</v>
      </c>
      <c r="C4363" t="s">
        <v>32</v>
      </c>
      <c r="D4363" t="s">
        <v>639</v>
      </c>
      <c r="E4363" t="s">
        <v>5078</v>
      </c>
      <c r="F4363" t="s">
        <v>35</v>
      </c>
      <c r="G4363" t="s">
        <v>35</v>
      </c>
      <c r="H4363" t="s">
        <v>35</v>
      </c>
      <c r="J4363" t="s">
        <v>5092</v>
      </c>
      <c r="K4363" t="s">
        <v>1092</v>
      </c>
      <c r="M4363">
        <v>0.56999999999999995</v>
      </c>
      <c r="N4363">
        <v>126</v>
      </c>
      <c r="O4363" t="s">
        <v>38</v>
      </c>
      <c r="Q4363" t="s">
        <v>68</v>
      </c>
      <c r="R4363" t="s">
        <v>5089</v>
      </c>
      <c r="S4363" t="s">
        <v>2633</v>
      </c>
      <c r="T4363" t="s">
        <v>5090</v>
      </c>
    </row>
    <row r="4364" spans="1:20" x14ac:dyDescent="0.25">
      <c r="A4364" t="s">
        <v>30</v>
      </c>
      <c r="B4364" t="s">
        <v>31</v>
      </c>
      <c r="C4364" t="s">
        <v>32</v>
      </c>
      <c r="D4364" t="s">
        <v>639</v>
      </c>
      <c r="E4364" t="s">
        <v>5078</v>
      </c>
      <c r="F4364" t="s">
        <v>35</v>
      </c>
      <c r="G4364" t="s">
        <v>35</v>
      </c>
      <c r="H4364" t="s">
        <v>35</v>
      </c>
      <c r="J4364" t="s">
        <v>5088</v>
      </c>
      <c r="K4364" t="s">
        <v>1092</v>
      </c>
      <c r="M4364">
        <v>2.61</v>
      </c>
      <c r="N4364">
        <v>137</v>
      </c>
      <c r="O4364" t="s">
        <v>38</v>
      </c>
      <c r="Q4364" t="s">
        <v>2929</v>
      </c>
      <c r="R4364" t="s">
        <v>5089</v>
      </c>
      <c r="S4364" t="s">
        <v>2633</v>
      </c>
      <c r="T4364" t="s">
        <v>5090</v>
      </c>
    </row>
    <row r="4365" spans="1:20" x14ac:dyDescent="0.25">
      <c r="A4365" t="s">
        <v>44</v>
      </c>
      <c r="B4365" t="s">
        <v>51</v>
      </c>
      <c r="C4365" t="s">
        <v>32</v>
      </c>
      <c r="D4365" t="s">
        <v>639</v>
      </c>
      <c r="E4365" t="s">
        <v>5064</v>
      </c>
      <c r="F4365" t="s">
        <v>35</v>
      </c>
      <c r="G4365" t="s">
        <v>35</v>
      </c>
      <c r="H4365" t="s">
        <v>35</v>
      </c>
      <c r="J4365" t="s">
        <v>5065</v>
      </c>
      <c r="K4365" t="s">
        <v>404</v>
      </c>
      <c r="M4365">
        <v>4.7</v>
      </c>
      <c r="N4365">
        <v>500</v>
      </c>
      <c r="O4365" t="s">
        <v>294</v>
      </c>
      <c r="Q4365" t="s">
        <v>3822</v>
      </c>
      <c r="R4365" t="s">
        <v>5066</v>
      </c>
      <c r="S4365" t="s">
        <v>5067</v>
      </c>
      <c r="T4365" t="s">
        <v>5068</v>
      </c>
    </row>
    <row r="4366" spans="1:20" x14ac:dyDescent="0.25">
      <c r="A4366" t="s">
        <v>44</v>
      </c>
      <c r="B4366" t="s">
        <v>51</v>
      </c>
      <c r="C4366" t="s">
        <v>32</v>
      </c>
      <c r="D4366" t="s">
        <v>639</v>
      </c>
      <c r="E4366" t="s">
        <v>5016</v>
      </c>
      <c r="F4366" t="s">
        <v>35</v>
      </c>
      <c r="G4366" t="s">
        <v>35</v>
      </c>
      <c r="H4366" t="s">
        <v>35</v>
      </c>
      <c r="J4366" t="s">
        <v>5017</v>
      </c>
      <c r="K4366" t="s">
        <v>404</v>
      </c>
      <c r="M4366">
        <v>12.75</v>
      </c>
      <c r="N4366">
        <v>161</v>
      </c>
      <c r="O4366" t="s">
        <v>38</v>
      </c>
      <c r="Q4366" t="s">
        <v>2431</v>
      </c>
      <c r="R4366" t="s">
        <v>5019</v>
      </c>
      <c r="S4366" t="s">
        <v>5020</v>
      </c>
      <c r="T4366" t="s">
        <v>5018</v>
      </c>
    </row>
    <row r="4367" spans="1:20" x14ac:dyDescent="0.25">
      <c r="A4367" t="s">
        <v>30</v>
      </c>
      <c r="B4367" t="s">
        <v>31</v>
      </c>
      <c r="C4367" t="s">
        <v>32</v>
      </c>
      <c r="D4367" t="s">
        <v>639</v>
      </c>
      <c r="E4367" t="s">
        <v>5132</v>
      </c>
      <c r="F4367" t="s">
        <v>35</v>
      </c>
      <c r="G4367" t="s">
        <v>35</v>
      </c>
      <c r="H4367" t="s">
        <v>35</v>
      </c>
      <c r="J4367" t="s">
        <v>5134</v>
      </c>
      <c r="K4367" t="s">
        <v>1092</v>
      </c>
      <c r="M4367">
        <v>2.5649999999999999</v>
      </c>
      <c r="N4367">
        <v>56</v>
      </c>
      <c r="O4367" t="s">
        <v>52</v>
      </c>
      <c r="Q4367" t="s">
        <v>423</v>
      </c>
      <c r="R4367" t="s">
        <v>5094</v>
      </c>
      <c r="S4367" t="s">
        <v>5095</v>
      </c>
      <c r="T4367" t="s">
        <v>5096</v>
      </c>
    </row>
    <row r="4368" spans="1:20" x14ac:dyDescent="0.25">
      <c r="A4368" t="s">
        <v>30</v>
      </c>
      <c r="B4368" t="s">
        <v>31</v>
      </c>
      <c r="C4368" t="s">
        <v>32</v>
      </c>
      <c r="D4368" t="s">
        <v>639</v>
      </c>
      <c r="E4368" t="s">
        <v>5132</v>
      </c>
      <c r="F4368" t="s">
        <v>35</v>
      </c>
      <c r="G4368" t="s">
        <v>35</v>
      </c>
      <c r="H4368" t="s">
        <v>35</v>
      </c>
      <c r="J4368" t="s">
        <v>5135</v>
      </c>
      <c r="K4368" t="s">
        <v>1092</v>
      </c>
      <c r="M4368">
        <v>0.18</v>
      </c>
      <c r="N4368">
        <v>104</v>
      </c>
      <c r="O4368" t="s">
        <v>106</v>
      </c>
      <c r="Q4368" t="s">
        <v>4219</v>
      </c>
      <c r="R4368" t="s">
        <v>5094</v>
      </c>
      <c r="S4368" t="s">
        <v>5095</v>
      </c>
      <c r="T4368" t="s">
        <v>5096</v>
      </c>
    </row>
    <row r="4369" spans="1:20" x14ac:dyDescent="0.25">
      <c r="A4369" t="s">
        <v>30</v>
      </c>
      <c r="B4369" t="s">
        <v>31</v>
      </c>
      <c r="C4369" t="s">
        <v>32</v>
      </c>
      <c r="D4369" t="s">
        <v>639</v>
      </c>
      <c r="E4369" t="s">
        <v>5132</v>
      </c>
      <c r="F4369" t="s">
        <v>35</v>
      </c>
      <c r="G4369" t="s">
        <v>35</v>
      </c>
      <c r="H4369" t="s">
        <v>35</v>
      </c>
      <c r="J4369" t="s">
        <v>5135</v>
      </c>
      <c r="K4369" t="s">
        <v>1092</v>
      </c>
      <c r="M4369">
        <v>1.8</v>
      </c>
      <c r="N4369">
        <v>56</v>
      </c>
      <c r="O4369" t="s">
        <v>52</v>
      </c>
      <c r="Q4369" t="s">
        <v>423</v>
      </c>
      <c r="R4369" t="s">
        <v>5094</v>
      </c>
      <c r="S4369" t="s">
        <v>5095</v>
      </c>
      <c r="T4369" t="s">
        <v>5096</v>
      </c>
    </row>
    <row r="4370" spans="1:20" x14ac:dyDescent="0.25">
      <c r="A4370" t="s">
        <v>30</v>
      </c>
      <c r="B4370" t="s">
        <v>31</v>
      </c>
      <c r="C4370" t="s">
        <v>32</v>
      </c>
      <c r="D4370" t="s">
        <v>639</v>
      </c>
      <c r="E4370" t="s">
        <v>652</v>
      </c>
      <c r="F4370" t="s">
        <v>35</v>
      </c>
      <c r="G4370" t="s">
        <v>35</v>
      </c>
      <c r="H4370" t="s">
        <v>35</v>
      </c>
      <c r="J4370" t="s">
        <v>5123</v>
      </c>
      <c r="K4370" t="s">
        <v>1092</v>
      </c>
      <c r="M4370">
        <v>7.29</v>
      </c>
      <c r="N4370">
        <v>56</v>
      </c>
      <c r="O4370" t="s">
        <v>52</v>
      </c>
      <c r="Q4370" t="s">
        <v>423</v>
      </c>
      <c r="R4370" t="s">
        <v>5094</v>
      </c>
      <c r="S4370" t="s">
        <v>5095</v>
      </c>
      <c r="T4370" t="s">
        <v>5096</v>
      </c>
    </row>
    <row r="4371" spans="1:20" x14ac:dyDescent="0.25">
      <c r="A4371" t="s">
        <v>30</v>
      </c>
      <c r="B4371" t="s">
        <v>31</v>
      </c>
      <c r="C4371" t="s">
        <v>32</v>
      </c>
      <c r="D4371" t="s">
        <v>639</v>
      </c>
      <c r="E4371" t="s">
        <v>5078</v>
      </c>
      <c r="F4371" t="s">
        <v>35</v>
      </c>
      <c r="G4371" t="s">
        <v>35</v>
      </c>
      <c r="H4371" t="s">
        <v>35</v>
      </c>
      <c r="J4371" t="s">
        <v>5093</v>
      </c>
      <c r="K4371" t="s">
        <v>1092</v>
      </c>
      <c r="M4371">
        <v>6.75</v>
      </c>
      <c r="N4371">
        <v>145</v>
      </c>
      <c r="O4371" t="s">
        <v>38</v>
      </c>
      <c r="Q4371" t="s">
        <v>408</v>
      </c>
      <c r="R4371" t="s">
        <v>5094</v>
      </c>
      <c r="S4371" t="s">
        <v>5095</v>
      </c>
      <c r="T4371" t="s">
        <v>5096</v>
      </c>
    </row>
    <row r="4372" spans="1:20" x14ac:dyDescent="0.25">
      <c r="A4372" t="s">
        <v>30</v>
      </c>
      <c r="B4372" t="s">
        <v>31</v>
      </c>
      <c r="C4372" t="s">
        <v>32</v>
      </c>
      <c r="D4372" t="s">
        <v>639</v>
      </c>
      <c r="E4372" t="s">
        <v>5078</v>
      </c>
      <c r="F4372" t="s">
        <v>35</v>
      </c>
      <c r="G4372" t="s">
        <v>35</v>
      </c>
      <c r="H4372" t="s">
        <v>35</v>
      </c>
      <c r="J4372" t="s">
        <v>5093</v>
      </c>
      <c r="K4372" t="s">
        <v>1092</v>
      </c>
      <c r="M4372">
        <v>0.45</v>
      </c>
      <c r="N4372">
        <v>166</v>
      </c>
      <c r="O4372" t="s">
        <v>38</v>
      </c>
      <c r="Q4372" t="s">
        <v>1345</v>
      </c>
      <c r="R4372" t="s">
        <v>5094</v>
      </c>
      <c r="S4372" t="s">
        <v>5095</v>
      </c>
      <c r="T4372" t="s">
        <v>5096</v>
      </c>
    </row>
    <row r="4373" spans="1:20" x14ac:dyDescent="0.25">
      <c r="A4373" t="s">
        <v>30</v>
      </c>
      <c r="B4373" t="s">
        <v>31</v>
      </c>
      <c r="C4373" t="s">
        <v>32</v>
      </c>
      <c r="D4373" t="s">
        <v>639</v>
      </c>
      <c r="E4373" t="s">
        <v>5078</v>
      </c>
      <c r="F4373" t="s">
        <v>35</v>
      </c>
      <c r="G4373" t="s">
        <v>35</v>
      </c>
      <c r="H4373" t="s">
        <v>35</v>
      </c>
      <c r="J4373" t="s">
        <v>5093</v>
      </c>
      <c r="K4373" t="s">
        <v>1092</v>
      </c>
      <c r="M4373">
        <v>2.25</v>
      </c>
      <c r="N4373">
        <v>56</v>
      </c>
      <c r="O4373" t="s">
        <v>52</v>
      </c>
      <c r="Q4373" t="s">
        <v>423</v>
      </c>
      <c r="R4373" t="s">
        <v>5094</v>
      </c>
      <c r="S4373" t="s">
        <v>5095</v>
      </c>
      <c r="T4373" t="s">
        <v>5096</v>
      </c>
    </row>
    <row r="4374" spans="1:20" x14ac:dyDescent="0.25">
      <c r="A4374" t="s">
        <v>30</v>
      </c>
      <c r="B4374" t="s">
        <v>31</v>
      </c>
      <c r="C4374" t="s">
        <v>32</v>
      </c>
      <c r="D4374" t="s">
        <v>639</v>
      </c>
      <c r="E4374" t="s">
        <v>652</v>
      </c>
      <c r="F4374" t="s">
        <v>35</v>
      </c>
      <c r="G4374" t="s">
        <v>35</v>
      </c>
      <c r="H4374" t="s">
        <v>35</v>
      </c>
      <c r="J4374" t="s">
        <v>5100</v>
      </c>
      <c r="K4374" t="s">
        <v>1092</v>
      </c>
      <c r="M4374">
        <v>1.125</v>
      </c>
      <c r="N4374">
        <v>56</v>
      </c>
      <c r="O4374" t="s">
        <v>52</v>
      </c>
      <c r="Q4374" t="s">
        <v>423</v>
      </c>
      <c r="R4374" t="s">
        <v>5094</v>
      </c>
      <c r="S4374" t="s">
        <v>5095</v>
      </c>
      <c r="T4374" t="s">
        <v>5096</v>
      </c>
    </row>
    <row r="4375" spans="1:20" x14ac:dyDescent="0.25">
      <c r="A4375" t="s">
        <v>44</v>
      </c>
      <c r="B4375" t="s">
        <v>51</v>
      </c>
      <c r="C4375" t="s">
        <v>32</v>
      </c>
      <c r="D4375" t="s">
        <v>639</v>
      </c>
      <c r="E4375" t="s">
        <v>5016</v>
      </c>
      <c r="F4375" t="s">
        <v>35</v>
      </c>
      <c r="G4375" t="s">
        <v>35</v>
      </c>
      <c r="H4375" t="s">
        <v>35</v>
      </c>
      <c r="J4375" t="s">
        <v>5022</v>
      </c>
      <c r="K4375" t="s">
        <v>1092</v>
      </c>
      <c r="M4375">
        <v>3.5</v>
      </c>
      <c r="N4375">
        <v>237</v>
      </c>
      <c r="O4375" t="s">
        <v>5</v>
      </c>
      <c r="Q4375" t="s">
        <v>1242</v>
      </c>
      <c r="R4375" t="s">
        <v>5023</v>
      </c>
      <c r="S4375" t="s">
        <v>5024</v>
      </c>
      <c r="T4375" t="s">
        <v>5025</v>
      </c>
    </row>
    <row r="4376" spans="1:20" x14ac:dyDescent="0.25">
      <c r="A4376" t="s">
        <v>44</v>
      </c>
      <c r="B4376" t="s">
        <v>51</v>
      </c>
      <c r="C4376" t="s">
        <v>32</v>
      </c>
      <c r="D4376" t="s">
        <v>639</v>
      </c>
      <c r="E4376" t="s">
        <v>652</v>
      </c>
      <c r="F4376" t="s">
        <v>35</v>
      </c>
      <c r="G4376" t="s">
        <v>35</v>
      </c>
      <c r="H4376" t="s">
        <v>35</v>
      </c>
      <c r="J4376" t="s">
        <v>5124</v>
      </c>
      <c r="K4376" t="s">
        <v>1092</v>
      </c>
      <c r="M4376">
        <v>4.45</v>
      </c>
      <c r="N4376">
        <v>96</v>
      </c>
      <c r="O4376" t="s">
        <v>106</v>
      </c>
      <c r="Q4376" t="s">
        <v>2601</v>
      </c>
      <c r="R4376" t="s">
        <v>5125</v>
      </c>
      <c r="S4376" t="s">
        <v>5126</v>
      </c>
      <c r="T4376" t="s">
        <v>5127</v>
      </c>
    </row>
    <row r="4377" spans="1:20" x14ac:dyDescent="0.25">
      <c r="A4377" t="s">
        <v>59</v>
      </c>
      <c r="B4377" t="s">
        <v>31</v>
      </c>
      <c r="C4377" t="s">
        <v>32</v>
      </c>
      <c r="D4377" t="s">
        <v>639</v>
      </c>
      <c r="E4377" t="s">
        <v>652</v>
      </c>
      <c r="F4377" t="s">
        <v>35</v>
      </c>
      <c r="G4377" t="s">
        <v>35</v>
      </c>
      <c r="H4377" t="s">
        <v>35</v>
      </c>
      <c r="J4377" t="s">
        <v>5101</v>
      </c>
      <c r="K4377" t="s">
        <v>1092</v>
      </c>
      <c r="M4377">
        <v>0.13500000000000001</v>
      </c>
      <c r="N4377">
        <v>631</v>
      </c>
      <c r="O4377" t="s">
        <v>575</v>
      </c>
      <c r="Q4377" t="s">
        <v>5102</v>
      </c>
      <c r="R4377" t="s">
        <v>5103</v>
      </c>
      <c r="S4377" t="s">
        <v>5104</v>
      </c>
      <c r="T4377" t="s">
        <v>5105</v>
      </c>
    </row>
    <row r="4378" spans="1:20" x14ac:dyDescent="0.25">
      <c r="A4378" t="s">
        <v>44</v>
      </c>
      <c r="B4378" t="s">
        <v>51</v>
      </c>
      <c r="C4378" t="s">
        <v>32</v>
      </c>
      <c r="D4378" t="s">
        <v>639</v>
      </c>
      <c r="E4378" t="s">
        <v>5155</v>
      </c>
      <c r="F4378" t="s">
        <v>35</v>
      </c>
      <c r="G4378" t="s">
        <v>35</v>
      </c>
      <c r="H4378" t="s">
        <v>35</v>
      </c>
      <c r="J4378" t="s">
        <v>5159</v>
      </c>
      <c r="K4378" t="s">
        <v>1092</v>
      </c>
      <c r="M4378">
        <v>0.75</v>
      </c>
      <c r="N4378">
        <v>241</v>
      </c>
      <c r="O4378" t="s">
        <v>5</v>
      </c>
      <c r="Q4378" t="s">
        <v>1154</v>
      </c>
      <c r="R4378" t="s">
        <v>5160</v>
      </c>
      <c r="S4378" t="s">
        <v>5161</v>
      </c>
      <c r="T4378" t="s">
        <v>5162</v>
      </c>
    </row>
    <row r="4379" spans="1:20" x14ac:dyDescent="0.25">
      <c r="A4379" t="s">
        <v>30</v>
      </c>
      <c r="B4379" t="s">
        <v>31</v>
      </c>
      <c r="C4379" t="s">
        <v>32</v>
      </c>
      <c r="D4379" t="s">
        <v>639</v>
      </c>
      <c r="E4379" t="s">
        <v>5071</v>
      </c>
      <c r="F4379" t="s">
        <v>35</v>
      </c>
      <c r="G4379" t="s">
        <v>35</v>
      </c>
      <c r="H4379" t="s">
        <v>35</v>
      </c>
      <c r="J4379" t="s">
        <v>5072</v>
      </c>
      <c r="K4379" t="s">
        <v>1092</v>
      </c>
      <c r="M4379">
        <v>9.5000000000000001E-2</v>
      </c>
      <c r="N4379">
        <v>1240</v>
      </c>
      <c r="O4379" t="s">
        <v>575</v>
      </c>
      <c r="Q4379" t="s">
        <v>5073</v>
      </c>
      <c r="R4379" t="s">
        <v>5074</v>
      </c>
      <c r="S4379" t="s">
        <v>5075</v>
      </c>
      <c r="T4379" t="s">
        <v>5076</v>
      </c>
    </row>
    <row r="4380" spans="1:20" x14ac:dyDescent="0.25">
      <c r="A4380" t="s">
        <v>44</v>
      </c>
      <c r="B4380" t="s">
        <v>51</v>
      </c>
      <c r="C4380" t="s">
        <v>32</v>
      </c>
      <c r="D4380" t="s">
        <v>639</v>
      </c>
      <c r="E4380" t="s">
        <v>652</v>
      </c>
      <c r="F4380" t="s">
        <v>35</v>
      </c>
      <c r="G4380" t="s">
        <v>35</v>
      </c>
      <c r="H4380" t="s">
        <v>35</v>
      </c>
      <c r="J4380" t="s">
        <v>653</v>
      </c>
      <c r="K4380" t="s">
        <v>37</v>
      </c>
      <c r="M4380">
        <v>6</v>
      </c>
      <c r="N4380">
        <v>52</v>
      </c>
      <c r="O4380" t="s">
        <v>52</v>
      </c>
      <c r="P4380" t="s">
        <v>659</v>
      </c>
      <c r="Q4380" t="s">
        <v>84</v>
      </c>
      <c r="R4380" t="s">
        <v>199</v>
      </c>
      <c r="S4380" t="s">
        <v>200</v>
      </c>
      <c r="T4380" t="s">
        <v>201</v>
      </c>
    </row>
    <row r="4381" spans="1:20" x14ac:dyDescent="0.25">
      <c r="A4381" t="s">
        <v>44</v>
      </c>
      <c r="B4381" t="s">
        <v>51</v>
      </c>
      <c r="C4381" t="s">
        <v>32</v>
      </c>
      <c r="D4381" t="s">
        <v>639</v>
      </c>
      <c r="E4381" t="s">
        <v>5016</v>
      </c>
      <c r="F4381" t="s">
        <v>35</v>
      </c>
      <c r="G4381" t="s">
        <v>35</v>
      </c>
      <c r="H4381" t="s">
        <v>35</v>
      </c>
      <c r="J4381" t="s">
        <v>5028</v>
      </c>
      <c r="K4381" t="s">
        <v>1092</v>
      </c>
      <c r="M4381">
        <v>3.15</v>
      </c>
      <c r="N4381">
        <v>52</v>
      </c>
      <c r="O4381" t="s">
        <v>52</v>
      </c>
      <c r="Q4381" t="s">
        <v>84</v>
      </c>
      <c r="R4381" t="s">
        <v>5029</v>
      </c>
      <c r="S4381" t="s">
        <v>648</v>
      </c>
      <c r="T4381" t="s">
        <v>649</v>
      </c>
    </row>
    <row r="4382" spans="1:20" x14ac:dyDescent="0.25">
      <c r="A4382" t="s">
        <v>30</v>
      </c>
      <c r="B4382" t="s">
        <v>31</v>
      </c>
      <c r="C4382" t="s">
        <v>32</v>
      </c>
      <c r="D4382" t="s">
        <v>639</v>
      </c>
      <c r="E4382" t="s">
        <v>5016</v>
      </c>
      <c r="F4382" t="s">
        <v>35</v>
      </c>
      <c r="G4382" t="s">
        <v>35</v>
      </c>
      <c r="H4382" t="s">
        <v>35</v>
      </c>
      <c r="J4382" t="s">
        <v>5028</v>
      </c>
      <c r="K4382" t="s">
        <v>1092</v>
      </c>
      <c r="M4382">
        <v>1.62</v>
      </c>
      <c r="N4382">
        <v>66</v>
      </c>
      <c r="O4382" t="s">
        <v>61</v>
      </c>
      <c r="Q4382" t="s">
        <v>552</v>
      </c>
      <c r="R4382" t="s">
        <v>5029</v>
      </c>
      <c r="S4382" t="s">
        <v>648</v>
      </c>
      <c r="T4382" t="s">
        <v>649</v>
      </c>
    </row>
    <row r="4383" spans="1:20" x14ac:dyDescent="0.25">
      <c r="A4383" t="s">
        <v>59</v>
      </c>
      <c r="B4383" t="s">
        <v>60</v>
      </c>
      <c r="C4383" t="s">
        <v>32</v>
      </c>
      <c r="D4383" t="s">
        <v>639</v>
      </c>
      <c r="E4383" t="s">
        <v>5137</v>
      </c>
      <c r="F4383" t="s">
        <v>35</v>
      </c>
      <c r="G4383" t="s">
        <v>35</v>
      </c>
      <c r="H4383" t="s">
        <v>35</v>
      </c>
      <c r="J4383" t="s">
        <v>5141</v>
      </c>
      <c r="K4383" t="s">
        <v>1092</v>
      </c>
      <c r="M4383">
        <v>2.5</v>
      </c>
      <c r="N4383">
        <v>123</v>
      </c>
      <c r="O4383" t="s">
        <v>38</v>
      </c>
      <c r="Q4383" t="s">
        <v>1656</v>
      </c>
      <c r="R4383" t="s">
        <v>5029</v>
      </c>
      <c r="S4383" t="s">
        <v>648</v>
      </c>
      <c r="T4383" t="s">
        <v>649</v>
      </c>
    </row>
    <row r="4384" spans="1:20" x14ac:dyDescent="0.25">
      <c r="A4384" t="s">
        <v>44</v>
      </c>
      <c r="B4384" t="s">
        <v>51</v>
      </c>
      <c r="C4384" t="s">
        <v>32</v>
      </c>
      <c r="D4384" t="s">
        <v>639</v>
      </c>
      <c r="F4384" t="s">
        <v>35</v>
      </c>
      <c r="G4384" t="s">
        <v>35</v>
      </c>
      <c r="H4384" t="s">
        <v>35</v>
      </c>
      <c r="J4384" t="s">
        <v>5164</v>
      </c>
      <c r="K4384" t="s">
        <v>1092</v>
      </c>
      <c r="M4384">
        <v>12</v>
      </c>
      <c r="N4384">
        <v>52</v>
      </c>
      <c r="O4384" t="s">
        <v>52</v>
      </c>
      <c r="Q4384" t="s">
        <v>84</v>
      </c>
      <c r="R4384" t="s">
        <v>5029</v>
      </c>
      <c r="S4384" t="s">
        <v>648</v>
      </c>
      <c r="T4384" t="s">
        <v>649</v>
      </c>
    </row>
    <row r="4385" spans="1:20" x14ac:dyDescent="0.25">
      <c r="A4385" t="s">
        <v>59</v>
      </c>
      <c r="B4385" t="s">
        <v>60</v>
      </c>
      <c r="C4385" t="s">
        <v>32</v>
      </c>
      <c r="D4385" t="s">
        <v>639</v>
      </c>
      <c r="E4385" t="s">
        <v>5137</v>
      </c>
      <c r="F4385" t="s">
        <v>35</v>
      </c>
      <c r="G4385" t="s">
        <v>35</v>
      </c>
      <c r="H4385" t="s">
        <v>35</v>
      </c>
      <c r="J4385" t="s">
        <v>5138</v>
      </c>
      <c r="K4385" t="s">
        <v>404</v>
      </c>
      <c r="M4385">
        <v>4.3499999999999996</v>
      </c>
      <c r="N4385">
        <v>216</v>
      </c>
      <c r="O4385" t="s">
        <v>5</v>
      </c>
      <c r="Q4385" t="s">
        <v>3310</v>
      </c>
      <c r="R4385" t="s">
        <v>5029</v>
      </c>
      <c r="S4385" t="s">
        <v>648</v>
      </c>
      <c r="T4385" t="s">
        <v>649</v>
      </c>
    </row>
    <row r="4386" spans="1:20" x14ac:dyDescent="0.25">
      <c r="A4386" t="s">
        <v>59</v>
      </c>
      <c r="B4386" t="s">
        <v>60</v>
      </c>
      <c r="C4386" t="s">
        <v>32</v>
      </c>
      <c r="D4386" t="s">
        <v>639</v>
      </c>
      <c r="E4386" t="s">
        <v>647</v>
      </c>
      <c r="F4386" t="s">
        <v>35</v>
      </c>
      <c r="G4386" t="s">
        <v>35</v>
      </c>
      <c r="H4386" t="s">
        <v>35</v>
      </c>
      <c r="J4386" t="s">
        <v>5038</v>
      </c>
      <c r="K4386" t="s">
        <v>1092</v>
      </c>
      <c r="M4386">
        <v>2.95</v>
      </c>
      <c r="N4386">
        <v>216</v>
      </c>
      <c r="O4386" t="s">
        <v>5</v>
      </c>
      <c r="Q4386" t="s">
        <v>3310</v>
      </c>
      <c r="R4386" t="s">
        <v>5029</v>
      </c>
      <c r="S4386" t="s">
        <v>648</v>
      </c>
      <c r="T4386" t="s">
        <v>649</v>
      </c>
    </row>
    <row r="4387" spans="1:20" x14ac:dyDescent="0.25">
      <c r="A4387" t="s">
        <v>30</v>
      </c>
      <c r="B4387" t="s">
        <v>31</v>
      </c>
      <c r="C4387" t="s">
        <v>32</v>
      </c>
      <c r="D4387" t="s">
        <v>639</v>
      </c>
      <c r="E4387" t="s">
        <v>647</v>
      </c>
      <c r="F4387" t="s">
        <v>35</v>
      </c>
      <c r="G4387" t="s">
        <v>35</v>
      </c>
      <c r="H4387" t="s">
        <v>35</v>
      </c>
      <c r="J4387" t="s">
        <v>5038</v>
      </c>
      <c r="K4387" t="s">
        <v>1092</v>
      </c>
      <c r="M4387">
        <v>2.4750000000000001</v>
      </c>
      <c r="N4387">
        <v>158</v>
      </c>
      <c r="O4387" t="s">
        <v>38</v>
      </c>
      <c r="Q4387" t="s">
        <v>1548</v>
      </c>
      <c r="R4387" t="s">
        <v>5029</v>
      </c>
      <c r="S4387" t="s">
        <v>648</v>
      </c>
      <c r="T4387" t="s">
        <v>649</v>
      </c>
    </row>
    <row r="4388" spans="1:20" x14ac:dyDescent="0.25">
      <c r="A4388" t="s">
        <v>44</v>
      </c>
      <c r="B4388" t="s">
        <v>51</v>
      </c>
      <c r="C4388" t="s">
        <v>32</v>
      </c>
      <c r="D4388" t="s">
        <v>639</v>
      </c>
      <c r="E4388" t="s">
        <v>652</v>
      </c>
      <c r="F4388" t="s">
        <v>35</v>
      </c>
      <c r="G4388" t="s">
        <v>35</v>
      </c>
      <c r="H4388" t="s">
        <v>35</v>
      </c>
      <c r="J4388" t="s">
        <v>5111</v>
      </c>
      <c r="K4388" t="s">
        <v>1092</v>
      </c>
      <c r="M4388">
        <v>6</v>
      </c>
      <c r="N4388">
        <v>52</v>
      </c>
      <c r="O4388" t="s">
        <v>52</v>
      </c>
      <c r="Q4388" t="s">
        <v>84</v>
      </c>
      <c r="R4388" t="s">
        <v>5029</v>
      </c>
      <c r="S4388" t="s">
        <v>648</v>
      </c>
      <c r="T4388" t="s">
        <v>649</v>
      </c>
    </row>
    <row r="4389" spans="1:20" x14ac:dyDescent="0.25">
      <c r="A4389" t="s">
        <v>30</v>
      </c>
      <c r="B4389" t="s">
        <v>31</v>
      </c>
      <c r="C4389" t="s">
        <v>32</v>
      </c>
      <c r="D4389" t="s">
        <v>639</v>
      </c>
      <c r="E4389" t="s">
        <v>652</v>
      </c>
      <c r="F4389" t="s">
        <v>35</v>
      </c>
      <c r="G4389" t="s">
        <v>35</v>
      </c>
      <c r="H4389" t="s">
        <v>35</v>
      </c>
      <c r="J4389" t="s">
        <v>5111</v>
      </c>
      <c r="K4389" t="s">
        <v>1092</v>
      </c>
      <c r="M4389">
        <v>5.9850000000000003</v>
      </c>
      <c r="N4389">
        <v>66</v>
      </c>
      <c r="O4389" t="s">
        <v>61</v>
      </c>
      <c r="Q4389" t="s">
        <v>552</v>
      </c>
      <c r="R4389" t="s">
        <v>5029</v>
      </c>
      <c r="S4389" t="s">
        <v>648</v>
      </c>
      <c r="T4389" t="s">
        <v>649</v>
      </c>
    </row>
    <row r="4390" spans="1:20" x14ac:dyDescent="0.25">
      <c r="A4390" t="s">
        <v>59</v>
      </c>
      <c r="B4390" t="s">
        <v>60</v>
      </c>
      <c r="C4390" t="s">
        <v>32</v>
      </c>
      <c r="D4390" t="s">
        <v>639</v>
      </c>
      <c r="E4390" t="s">
        <v>647</v>
      </c>
      <c r="F4390" t="s">
        <v>35</v>
      </c>
      <c r="G4390" t="s">
        <v>35</v>
      </c>
      <c r="H4390" t="s">
        <v>35</v>
      </c>
      <c r="J4390" t="s">
        <v>5034</v>
      </c>
      <c r="K4390" t="s">
        <v>1092</v>
      </c>
      <c r="M4390">
        <v>0.05</v>
      </c>
      <c r="N4390">
        <v>463</v>
      </c>
      <c r="O4390" t="s">
        <v>294</v>
      </c>
      <c r="Q4390" t="s">
        <v>1327</v>
      </c>
      <c r="R4390" t="s">
        <v>5029</v>
      </c>
      <c r="S4390" t="s">
        <v>648</v>
      </c>
      <c r="T4390" t="s">
        <v>649</v>
      </c>
    </row>
    <row r="4391" spans="1:20" x14ac:dyDescent="0.25">
      <c r="A4391" t="s">
        <v>59</v>
      </c>
      <c r="B4391" t="s">
        <v>60</v>
      </c>
      <c r="C4391" t="s">
        <v>32</v>
      </c>
      <c r="D4391" t="s">
        <v>639</v>
      </c>
      <c r="E4391" t="s">
        <v>5137</v>
      </c>
      <c r="F4391" t="s">
        <v>35</v>
      </c>
      <c r="G4391" t="s">
        <v>35</v>
      </c>
      <c r="H4391" t="s">
        <v>35</v>
      </c>
      <c r="J4391" t="s">
        <v>5154</v>
      </c>
      <c r="K4391" t="s">
        <v>1092</v>
      </c>
      <c r="M4391">
        <v>2.6</v>
      </c>
      <c r="N4391">
        <v>216</v>
      </c>
      <c r="O4391" t="s">
        <v>5</v>
      </c>
      <c r="Q4391" t="s">
        <v>3310</v>
      </c>
      <c r="R4391" t="s">
        <v>5029</v>
      </c>
      <c r="S4391" t="s">
        <v>648</v>
      </c>
      <c r="T4391" t="s">
        <v>649</v>
      </c>
    </row>
    <row r="4392" spans="1:20" x14ac:dyDescent="0.25">
      <c r="A4392" t="s">
        <v>30</v>
      </c>
      <c r="B4392" t="s">
        <v>31</v>
      </c>
      <c r="C4392" t="s">
        <v>32</v>
      </c>
      <c r="D4392" t="s">
        <v>639</v>
      </c>
      <c r="E4392" t="s">
        <v>5055</v>
      </c>
      <c r="F4392" t="s">
        <v>35</v>
      </c>
      <c r="G4392" t="s">
        <v>35</v>
      </c>
      <c r="H4392" t="s">
        <v>35</v>
      </c>
      <c r="J4392" t="s">
        <v>5061</v>
      </c>
      <c r="K4392" t="s">
        <v>1092</v>
      </c>
      <c r="M4392">
        <v>0.72</v>
      </c>
      <c r="N4392">
        <v>66</v>
      </c>
      <c r="O4392" t="s">
        <v>61</v>
      </c>
      <c r="Q4392" t="s">
        <v>552</v>
      </c>
      <c r="R4392" t="s">
        <v>5029</v>
      </c>
      <c r="S4392" t="s">
        <v>648</v>
      </c>
      <c r="T4392" t="s">
        <v>649</v>
      </c>
    </row>
    <row r="4393" spans="1:20" x14ac:dyDescent="0.25">
      <c r="A4393" t="s">
        <v>44</v>
      </c>
      <c r="B4393" t="s">
        <v>51</v>
      </c>
      <c r="C4393" t="s">
        <v>32</v>
      </c>
      <c r="D4393" t="s">
        <v>639</v>
      </c>
      <c r="E4393" t="s">
        <v>5155</v>
      </c>
      <c r="F4393" t="s">
        <v>35</v>
      </c>
      <c r="G4393" t="s">
        <v>35</v>
      </c>
      <c r="H4393" t="s">
        <v>35</v>
      </c>
      <c r="J4393" t="s">
        <v>5158</v>
      </c>
      <c r="K4393" t="s">
        <v>1092</v>
      </c>
      <c r="M4393">
        <v>0.05</v>
      </c>
      <c r="N4393">
        <v>503</v>
      </c>
      <c r="O4393" t="s">
        <v>294</v>
      </c>
      <c r="Q4393" t="s">
        <v>4279</v>
      </c>
      <c r="R4393" t="s">
        <v>5029</v>
      </c>
      <c r="S4393" t="s">
        <v>648</v>
      </c>
      <c r="T4393" t="s">
        <v>649</v>
      </c>
    </row>
    <row r="4394" spans="1:20" x14ac:dyDescent="0.25">
      <c r="A4394" t="s">
        <v>59</v>
      </c>
      <c r="B4394" t="s">
        <v>60</v>
      </c>
      <c r="C4394" t="s">
        <v>32</v>
      </c>
      <c r="D4394" t="s">
        <v>639</v>
      </c>
      <c r="E4394" t="s">
        <v>647</v>
      </c>
      <c r="F4394" t="s">
        <v>35</v>
      </c>
      <c r="G4394" t="s">
        <v>35</v>
      </c>
      <c r="H4394" t="s">
        <v>35</v>
      </c>
      <c r="J4394" t="s">
        <v>5045</v>
      </c>
      <c r="K4394" t="s">
        <v>1092</v>
      </c>
      <c r="M4394">
        <v>1</v>
      </c>
      <c r="N4394">
        <v>123</v>
      </c>
      <c r="O4394" t="s">
        <v>38</v>
      </c>
      <c r="Q4394" t="s">
        <v>1656</v>
      </c>
      <c r="R4394" t="s">
        <v>5029</v>
      </c>
      <c r="S4394" t="s">
        <v>648</v>
      </c>
      <c r="T4394" t="s">
        <v>649</v>
      </c>
    </row>
    <row r="4395" spans="1:20" x14ac:dyDescent="0.25">
      <c r="A4395" t="s">
        <v>30</v>
      </c>
      <c r="B4395" t="s">
        <v>31</v>
      </c>
      <c r="C4395" t="s">
        <v>32</v>
      </c>
      <c r="D4395" t="s">
        <v>639</v>
      </c>
      <c r="E4395" t="s">
        <v>5137</v>
      </c>
      <c r="F4395" t="s">
        <v>35</v>
      </c>
      <c r="G4395" t="s">
        <v>35</v>
      </c>
      <c r="H4395" t="s">
        <v>35</v>
      </c>
      <c r="J4395" t="s">
        <v>4995</v>
      </c>
      <c r="K4395" t="s">
        <v>1092</v>
      </c>
      <c r="M4395">
        <v>0.63</v>
      </c>
      <c r="N4395">
        <v>66</v>
      </c>
      <c r="O4395" t="s">
        <v>61</v>
      </c>
      <c r="Q4395" t="s">
        <v>552</v>
      </c>
      <c r="R4395" t="s">
        <v>5029</v>
      </c>
      <c r="S4395" t="s">
        <v>648</v>
      </c>
      <c r="T4395" t="s">
        <v>649</v>
      </c>
    </row>
    <row r="4396" spans="1:20" x14ac:dyDescent="0.25">
      <c r="A4396" t="s">
        <v>44</v>
      </c>
      <c r="B4396" t="s">
        <v>51</v>
      </c>
      <c r="C4396" t="s">
        <v>32</v>
      </c>
      <c r="D4396" t="s">
        <v>639</v>
      </c>
      <c r="E4396" t="s">
        <v>5137</v>
      </c>
      <c r="F4396" t="s">
        <v>35</v>
      </c>
      <c r="G4396" t="s">
        <v>35</v>
      </c>
      <c r="H4396" t="s">
        <v>35</v>
      </c>
      <c r="J4396" t="s">
        <v>5144</v>
      </c>
      <c r="K4396" t="s">
        <v>1092</v>
      </c>
      <c r="M4396">
        <v>1</v>
      </c>
      <c r="N4396">
        <v>52</v>
      </c>
      <c r="O4396" t="s">
        <v>52</v>
      </c>
      <c r="Q4396" t="s">
        <v>84</v>
      </c>
      <c r="R4396" t="s">
        <v>5029</v>
      </c>
      <c r="S4396" t="s">
        <v>648</v>
      </c>
      <c r="T4396" t="s">
        <v>649</v>
      </c>
    </row>
    <row r="4397" spans="1:20" x14ac:dyDescent="0.25">
      <c r="A4397" t="s">
        <v>30</v>
      </c>
      <c r="B4397" t="s">
        <v>31</v>
      </c>
      <c r="C4397" t="s">
        <v>32</v>
      </c>
      <c r="D4397" t="s">
        <v>639</v>
      </c>
      <c r="E4397" t="s">
        <v>5137</v>
      </c>
      <c r="F4397" t="s">
        <v>35</v>
      </c>
      <c r="G4397" t="s">
        <v>35</v>
      </c>
      <c r="H4397" t="s">
        <v>35</v>
      </c>
      <c r="J4397" t="s">
        <v>5150</v>
      </c>
      <c r="K4397" t="s">
        <v>1092</v>
      </c>
      <c r="M4397">
        <v>1.35</v>
      </c>
      <c r="N4397">
        <v>465</v>
      </c>
      <c r="O4397" t="s">
        <v>294</v>
      </c>
      <c r="Q4397" t="s">
        <v>5151</v>
      </c>
      <c r="R4397" t="s">
        <v>5029</v>
      </c>
      <c r="S4397" t="s">
        <v>648</v>
      </c>
      <c r="T4397" t="s">
        <v>649</v>
      </c>
    </row>
    <row r="4398" spans="1:20" x14ac:dyDescent="0.25">
      <c r="A4398" t="s">
        <v>30</v>
      </c>
      <c r="B4398" t="s">
        <v>31</v>
      </c>
      <c r="C4398" t="s">
        <v>32</v>
      </c>
      <c r="D4398" t="s">
        <v>639</v>
      </c>
      <c r="E4398" t="s">
        <v>647</v>
      </c>
      <c r="F4398" t="s">
        <v>35</v>
      </c>
      <c r="G4398" t="s">
        <v>35</v>
      </c>
      <c r="H4398" t="s">
        <v>35</v>
      </c>
      <c r="J4398" t="s">
        <v>5044</v>
      </c>
      <c r="K4398" t="s">
        <v>1092</v>
      </c>
      <c r="M4398">
        <v>0.94499999999999995</v>
      </c>
      <c r="N4398">
        <v>144</v>
      </c>
      <c r="O4398" t="s">
        <v>38</v>
      </c>
      <c r="Q4398" t="s">
        <v>1269</v>
      </c>
      <c r="R4398" t="s">
        <v>5029</v>
      </c>
      <c r="S4398" t="s">
        <v>648</v>
      </c>
      <c r="T4398" t="s">
        <v>649</v>
      </c>
    </row>
    <row r="4399" spans="1:20" x14ac:dyDescent="0.25">
      <c r="A4399" t="s">
        <v>59</v>
      </c>
      <c r="B4399" t="s">
        <v>60</v>
      </c>
      <c r="C4399" t="s">
        <v>32</v>
      </c>
      <c r="D4399" t="s">
        <v>639</v>
      </c>
      <c r="F4399" t="s">
        <v>35</v>
      </c>
      <c r="G4399" t="s">
        <v>35</v>
      </c>
      <c r="H4399" t="s">
        <v>35</v>
      </c>
      <c r="J4399" t="s">
        <v>5166</v>
      </c>
      <c r="K4399" t="s">
        <v>1092</v>
      </c>
      <c r="M4399">
        <v>5.4</v>
      </c>
      <c r="N4399">
        <v>216</v>
      </c>
      <c r="O4399" t="s">
        <v>5</v>
      </c>
      <c r="Q4399" t="s">
        <v>3310</v>
      </c>
      <c r="R4399" t="s">
        <v>5029</v>
      </c>
      <c r="S4399" t="s">
        <v>648</v>
      </c>
      <c r="T4399" t="s">
        <v>649</v>
      </c>
    </row>
    <row r="4400" spans="1:20" x14ac:dyDescent="0.25">
      <c r="A4400" t="s">
        <v>59</v>
      </c>
      <c r="B4400" t="s">
        <v>60</v>
      </c>
      <c r="C4400" t="s">
        <v>32</v>
      </c>
      <c r="D4400" t="s">
        <v>639</v>
      </c>
      <c r="E4400" t="s">
        <v>5137</v>
      </c>
      <c r="F4400" t="s">
        <v>35</v>
      </c>
      <c r="G4400" t="s">
        <v>35</v>
      </c>
      <c r="H4400" t="s">
        <v>35</v>
      </c>
      <c r="J4400" t="s">
        <v>5145</v>
      </c>
      <c r="K4400" t="s">
        <v>1092</v>
      </c>
      <c r="M4400">
        <v>2.7</v>
      </c>
      <c r="N4400">
        <v>123</v>
      </c>
      <c r="O4400" t="s">
        <v>38</v>
      </c>
      <c r="Q4400" t="s">
        <v>1656</v>
      </c>
      <c r="R4400" t="s">
        <v>5029</v>
      </c>
      <c r="S4400" t="s">
        <v>648</v>
      </c>
      <c r="T4400" t="s">
        <v>649</v>
      </c>
    </row>
    <row r="4401" spans="1:20" x14ac:dyDescent="0.25">
      <c r="A4401" t="s">
        <v>59</v>
      </c>
      <c r="B4401" t="s">
        <v>31</v>
      </c>
      <c r="C4401" t="s">
        <v>32</v>
      </c>
      <c r="D4401" t="s">
        <v>639</v>
      </c>
      <c r="E4401" t="s">
        <v>5128</v>
      </c>
      <c r="F4401" t="s">
        <v>35</v>
      </c>
      <c r="G4401" t="s">
        <v>35</v>
      </c>
      <c r="H4401" t="s">
        <v>35</v>
      </c>
      <c r="J4401" t="s">
        <v>5130</v>
      </c>
      <c r="K4401" t="s">
        <v>1092</v>
      </c>
      <c r="M4401">
        <v>0.09</v>
      </c>
      <c r="N4401">
        <v>982</v>
      </c>
      <c r="O4401" t="s">
        <v>575</v>
      </c>
      <c r="Q4401" t="s">
        <v>5131</v>
      </c>
      <c r="R4401" t="s">
        <v>5029</v>
      </c>
      <c r="S4401" t="s">
        <v>648</v>
      </c>
      <c r="T4401" t="s">
        <v>649</v>
      </c>
    </row>
    <row r="4402" spans="1:20" x14ac:dyDescent="0.25">
      <c r="A4402" t="s">
        <v>44</v>
      </c>
      <c r="B4402" t="s">
        <v>51</v>
      </c>
      <c r="C4402" t="s">
        <v>32</v>
      </c>
      <c r="D4402" t="s">
        <v>639</v>
      </c>
      <c r="E4402" t="s">
        <v>5137</v>
      </c>
      <c r="F4402" t="s">
        <v>35</v>
      </c>
      <c r="G4402" t="s">
        <v>35</v>
      </c>
      <c r="H4402" t="s">
        <v>35</v>
      </c>
      <c r="J4402" t="s">
        <v>5140</v>
      </c>
      <c r="K4402" t="s">
        <v>404</v>
      </c>
      <c r="M4402">
        <v>36</v>
      </c>
      <c r="N4402">
        <v>52</v>
      </c>
      <c r="O4402" t="s">
        <v>52</v>
      </c>
      <c r="Q4402" t="s">
        <v>84</v>
      </c>
      <c r="R4402" t="s">
        <v>5029</v>
      </c>
      <c r="S4402" t="s">
        <v>648</v>
      </c>
      <c r="T4402" t="s">
        <v>649</v>
      </c>
    </row>
    <row r="4403" spans="1:20" x14ac:dyDescent="0.25">
      <c r="A4403" t="s">
        <v>44</v>
      </c>
      <c r="B4403" t="s">
        <v>51</v>
      </c>
      <c r="C4403" t="s">
        <v>32</v>
      </c>
      <c r="D4403" t="s">
        <v>639</v>
      </c>
      <c r="F4403" t="s">
        <v>35</v>
      </c>
      <c r="G4403" t="s">
        <v>35</v>
      </c>
      <c r="H4403" t="s">
        <v>35</v>
      </c>
      <c r="J4403" t="s">
        <v>5189</v>
      </c>
      <c r="K4403" t="s">
        <v>1092</v>
      </c>
      <c r="M4403">
        <v>3.55</v>
      </c>
      <c r="N4403">
        <v>52</v>
      </c>
      <c r="O4403" t="s">
        <v>52</v>
      </c>
      <c r="Q4403" t="s">
        <v>84</v>
      </c>
      <c r="R4403" t="s">
        <v>5029</v>
      </c>
      <c r="S4403" t="s">
        <v>648</v>
      </c>
      <c r="T4403" t="s">
        <v>649</v>
      </c>
    </row>
    <row r="4404" spans="1:20" x14ac:dyDescent="0.25">
      <c r="A4404" t="s">
        <v>30</v>
      </c>
      <c r="B4404" t="s">
        <v>31</v>
      </c>
      <c r="C4404" t="s">
        <v>32</v>
      </c>
      <c r="D4404" t="s">
        <v>639</v>
      </c>
      <c r="E4404" t="s">
        <v>5055</v>
      </c>
      <c r="F4404" t="s">
        <v>35</v>
      </c>
      <c r="G4404" t="s">
        <v>35</v>
      </c>
      <c r="H4404" t="s">
        <v>35</v>
      </c>
      <c r="J4404" t="s">
        <v>5058</v>
      </c>
      <c r="K4404" t="s">
        <v>1092</v>
      </c>
      <c r="M4404">
        <v>2.97</v>
      </c>
      <c r="N4404">
        <v>66</v>
      </c>
      <c r="O4404" t="s">
        <v>61</v>
      </c>
      <c r="Q4404" t="s">
        <v>552</v>
      </c>
      <c r="R4404" t="s">
        <v>5029</v>
      </c>
      <c r="S4404" t="s">
        <v>648</v>
      </c>
      <c r="T4404" t="s">
        <v>649</v>
      </c>
    </row>
    <row r="4405" spans="1:20" x14ac:dyDescent="0.25">
      <c r="A4405" t="s">
        <v>30</v>
      </c>
      <c r="B4405" t="s">
        <v>31</v>
      </c>
      <c r="C4405" t="s">
        <v>32</v>
      </c>
      <c r="D4405" t="s">
        <v>639</v>
      </c>
      <c r="E4405" t="s">
        <v>647</v>
      </c>
      <c r="F4405" t="s">
        <v>35</v>
      </c>
      <c r="G4405" t="s">
        <v>35</v>
      </c>
      <c r="H4405" t="s">
        <v>35</v>
      </c>
      <c r="J4405" t="s">
        <v>5052</v>
      </c>
      <c r="K4405" t="s">
        <v>1092</v>
      </c>
      <c r="M4405">
        <v>0.13500000000000001</v>
      </c>
      <c r="N4405">
        <v>311</v>
      </c>
      <c r="O4405" t="s">
        <v>5</v>
      </c>
      <c r="Q4405" t="s">
        <v>5053</v>
      </c>
      <c r="R4405" t="s">
        <v>5029</v>
      </c>
      <c r="S4405" t="s">
        <v>648</v>
      </c>
      <c r="T4405" t="s">
        <v>649</v>
      </c>
    </row>
    <row r="4406" spans="1:20" x14ac:dyDescent="0.25">
      <c r="A4406" t="s">
        <v>44</v>
      </c>
      <c r="B4406" t="s">
        <v>51</v>
      </c>
      <c r="C4406" t="s">
        <v>32</v>
      </c>
      <c r="D4406" t="s">
        <v>639</v>
      </c>
      <c r="E4406" t="s">
        <v>5055</v>
      </c>
      <c r="F4406" t="s">
        <v>35</v>
      </c>
      <c r="G4406" t="s">
        <v>35</v>
      </c>
      <c r="H4406" t="s">
        <v>35</v>
      </c>
      <c r="J4406" t="s">
        <v>5059</v>
      </c>
      <c r="K4406" t="s">
        <v>1092</v>
      </c>
      <c r="M4406">
        <v>12</v>
      </c>
      <c r="N4406">
        <v>52</v>
      </c>
      <c r="O4406" t="s">
        <v>52</v>
      </c>
      <c r="Q4406" t="s">
        <v>84</v>
      </c>
      <c r="R4406" t="s">
        <v>5029</v>
      </c>
      <c r="S4406" t="s">
        <v>648</v>
      </c>
      <c r="T4406" t="s">
        <v>649</v>
      </c>
    </row>
    <row r="4407" spans="1:20" x14ac:dyDescent="0.25">
      <c r="A4407" t="s">
        <v>59</v>
      </c>
      <c r="B4407" t="s">
        <v>31</v>
      </c>
      <c r="C4407" t="s">
        <v>32</v>
      </c>
      <c r="D4407" t="s">
        <v>639</v>
      </c>
      <c r="E4407" t="s">
        <v>5137</v>
      </c>
      <c r="F4407" t="s">
        <v>35</v>
      </c>
      <c r="G4407" t="s">
        <v>35</v>
      </c>
      <c r="H4407" t="s">
        <v>35</v>
      </c>
      <c r="J4407" t="s">
        <v>5153</v>
      </c>
      <c r="K4407" t="s">
        <v>1092</v>
      </c>
      <c r="M4407">
        <v>0.9</v>
      </c>
      <c r="N4407">
        <v>109</v>
      </c>
      <c r="O4407" t="s">
        <v>106</v>
      </c>
      <c r="Q4407" t="s">
        <v>1256</v>
      </c>
      <c r="R4407" t="s">
        <v>5029</v>
      </c>
      <c r="S4407" t="s">
        <v>648</v>
      </c>
      <c r="T4407" t="s">
        <v>649</v>
      </c>
    </row>
    <row r="4408" spans="1:20" x14ac:dyDescent="0.25">
      <c r="A4408" t="s">
        <v>30</v>
      </c>
      <c r="B4408" t="s">
        <v>31</v>
      </c>
      <c r="C4408" t="s">
        <v>32</v>
      </c>
      <c r="D4408" t="s">
        <v>639</v>
      </c>
      <c r="E4408" t="s">
        <v>647</v>
      </c>
      <c r="F4408" t="s">
        <v>35</v>
      </c>
      <c r="G4408" t="s">
        <v>35</v>
      </c>
      <c r="H4408" t="s">
        <v>35</v>
      </c>
      <c r="J4408" t="s">
        <v>5049</v>
      </c>
      <c r="K4408" t="s">
        <v>1092</v>
      </c>
      <c r="M4408">
        <v>2.9249999999999998</v>
      </c>
      <c r="N4408">
        <v>216</v>
      </c>
      <c r="O4408" t="s">
        <v>5</v>
      </c>
      <c r="Q4408" t="s">
        <v>3310</v>
      </c>
      <c r="R4408" t="s">
        <v>5029</v>
      </c>
      <c r="S4408" t="s">
        <v>648</v>
      </c>
      <c r="T4408" t="s">
        <v>649</v>
      </c>
    </row>
    <row r="4409" spans="1:20" x14ac:dyDescent="0.25">
      <c r="A4409" t="s">
        <v>59</v>
      </c>
      <c r="B4409" t="s">
        <v>60</v>
      </c>
      <c r="C4409" t="s">
        <v>32</v>
      </c>
      <c r="D4409" t="s">
        <v>639</v>
      </c>
      <c r="E4409" t="s">
        <v>5155</v>
      </c>
      <c r="F4409" t="s">
        <v>35</v>
      </c>
      <c r="G4409" t="s">
        <v>35</v>
      </c>
      <c r="H4409" t="s">
        <v>35</v>
      </c>
      <c r="J4409" t="s">
        <v>5157</v>
      </c>
      <c r="K4409" t="s">
        <v>1092</v>
      </c>
      <c r="M4409">
        <v>6</v>
      </c>
      <c r="N4409">
        <v>490</v>
      </c>
      <c r="O4409" t="s">
        <v>294</v>
      </c>
      <c r="Q4409" t="s">
        <v>3653</v>
      </c>
      <c r="R4409" t="s">
        <v>5029</v>
      </c>
      <c r="S4409" t="s">
        <v>648</v>
      </c>
      <c r="T4409" t="s">
        <v>649</v>
      </c>
    </row>
    <row r="4410" spans="1:20" x14ac:dyDescent="0.25">
      <c r="A4410" t="s">
        <v>30</v>
      </c>
      <c r="B4410" t="s">
        <v>31</v>
      </c>
      <c r="C4410" t="s">
        <v>32</v>
      </c>
      <c r="D4410" t="s">
        <v>639</v>
      </c>
      <c r="E4410" t="s">
        <v>5078</v>
      </c>
      <c r="F4410" t="s">
        <v>35</v>
      </c>
      <c r="G4410" t="s">
        <v>35</v>
      </c>
      <c r="H4410" t="s">
        <v>35</v>
      </c>
      <c r="J4410" t="s">
        <v>5091</v>
      </c>
      <c r="K4410" t="s">
        <v>1092</v>
      </c>
      <c r="M4410">
        <v>0.99</v>
      </c>
      <c r="N4410">
        <v>60</v>
      </c>
      <c r="O4410" t="s">
        <v>52</v>
      </c>
      <c r="Q4410" t="s">
        <v>1311</v>
      </c>
      <c r="R4410" t="s">
        <v>5080</v>
      </c>
      <c r="S4410" t="s">
        <v>5081</v>
      </c>
      <c r="T4410" t="s">
        <v>5082</v>
      </c>
    </row>
    <row r="4411" spans="1:20" x14ac:dyDescent="0.25">
      <c r="A4411" t="s">
        <v>30</v>
      </c>
      <c r="B4411" t="s">
        <v>31</v>
      </c>
      <c r="C4411" t="s">
        <v>32</v>
      </c>
      <c r="D4411" t="s">
        <v>639</v>
      </c>
      <c r="E4411" t="s">
        <v>5078</v>
      </c>
      <c r="F4411" t="s">
        <v>35</v>
      </c>
      <c r="G4411" t="s">
        <v>35</v>
      </c>
      <c r="H4411" t="s">
        <v>35</v>
      </c>
      <c r="J4411" t="s">
        <v>5079</v>
      </c>
      <c r="K4411" t="s">
        <v>1092</v>
      </c>
      <c r="M4411">
        <v>1.8</v>
      </c>
      <c r="N4411">
        <v>138</v>
      </c>
      <c r="O4411" t="s">
        <v>38</v>
      </c>
      <c r="Q4411" t="s">
        <v>1149</v>
      </c>
      <c r="R4411" t="s">
        <v>5080</v>
      </c>
      <c r="S4411" t="s">
        <v>5081</v>
      </c>
      <c r="T4411" t="s">
        <v>5082</v>
      </c>
    </row>
    <row r="4412" spans="1:20" x14ac:dyDescent="0.25">
      <c r="A4412" t="s">
        <v>30</v>
      </c>
      <c r="B4412" t="s">
        <v>31</v>
      </c>
      <c r="C4412" t="s">
        <v>32</v>
      </c>
      <c r="D4412" t="s">
        <v>639</v>
      </c>
      <c r="E4412" t="s">
        <v>5078</v>
      </c>
      <c r="F4412" t="s">
        <v>35</v>
      </c>
      <c r="G4412" t="s">
        <v>35</v>
      </c>
      <c r="H4412" t="s">
        <v>35</v>
      </c>
      <c r="J4412" t="s">
        <v>5079</v>
      </c>
      <c r="K4412" t="s">
        <v>1092</v>
      </c>
      <c r="M4412">
        <v>0.99</v>
      </c>
      <c r="N4412">
        <v>119</v>
      </c>
      <c r="O4412" t="s">
        <v>106</v>
      </c>
      <c r="Q4412" t="s">
        <v>1813</v>
      </c>
      <c r="R4412" t="s">
        <v>5080</v>
      </c>
      <c r="S4412" t="s">
        <v>5081</v>
      </c>
      <c r="T4412" t="s">
        <v>5082</v>
      </c>
    </row>
    <row r="4413" spans="1:20" x14ac:dyDescent="0.25">
      <c r="A4413" t="s">
        <v>30</v>
      </c>
      <c r="B4413" t="s">
        <v>31</v>
      </c>
      <c r="C4413" t="s">
        <v>32</v>
      </c>
      <c r="D4413" t="s">
        <v>639</v>
      </c>
      <c r="E4413" t="s">
        <v>5078</v>
      </c>
      <c r="F4413" t="s">
        <v>35</v>
      </c>
      <c r="G4413" t="s">
        <v>35</v>
      </c>
      <c r="H4413" t="s">
        <v>35</v>
      </c>
      <c r="J4413" t="s">
        <v>5079</v>
      </c>
      <c r="K4413" t="s">
        <v>1092</v>
      </c>
      <c r="M4413">
        <v>2.25</v>
      </c>
      <c r="N4413">
        <v>56</v>
      </c>
      <c r="O4413" t="s">
        <v>52</v>
      </c>
      <c r="Q4413" t="s">
        <v>423</v>
      </c>
      <c r="R4413" t="s">
        <v>5080</v>
      </c>
      <c r="S4413" t="s">
        <v>5081</v>
      </c>
      <c r="T4413" t="s">
        <v>5082</v>
      </c>
    </row>
    <row r="4414" spans="1:20" x14ac:dyDescent="0.25">
      <c r="A4414" t="s">
        <v>30</v>
      </c>
      <c r="B4414" t="s">
        <v>31</v>
      </c>
      <c r="C4414" t="s">
        <v>32</v>
      </c>
      <c r="D4414" t="s">
        <v>639</v>
      </c>
      <c r="E4414" t="s">
        <v>5078</v>
      </c>
      <c r="F4414" t="s">
        <v>35</v>
      </c>
      <c r="G4414" t="s">
        <v>35</v>
      </c>
      <c r="H4414" t="s">
        <v>35</v>
      </c>
      <c r="J4414" t="s">
        <v>5079</v>
      </c>
      <c r="K4414" t="s">
        <v>1092</v>
      </c>
      <c r="M4414">
        <v>1.08</v>
      </c>
      <c r="N4414">
        <v>100</v>
      </c>
      <c r="O4414" t="s">
        <v>106</v>
      </c>
      <c r="Q4414" t="s">
        <v>1621</v>
      </c>
      <c r="R4414" t="s">
        <v>5080</v>
      </c>
      <c r="S4414" t="s">
        <v>5081</v>
      </c>
      <c r="T4414" t="s">
        <v>5082</v>
      </c>
    </row>
    <row r="4415" spans="1:20" x14ac:dyDescent="0.25">
      <c r="A4415" t="s">
        <v>30</v>
      </c>
      <c r="B4415" t="s">
        <v>31</v>
      </c>
      <c r="C4415" t="s">
        <v>32</v>
      </c>
      <c r="D4415" t="s">
        <v>639</v>
      </c>
      <c r="E4415" t="s">
        <v>5078</v>
      </c>
      <c r="F4415" t="s">
        <v>35</v>
      </c>
      <c r="G4415" t="s">
        <v>35</v>
      </c>
      <c r="H4415" t="s">
        <v>35</v>
      </c>
      <c r="J4415" t="s">
        <v>5079</v>
      </c>
      <c r="K4415" t="s">
        <v>1092</v>
      </c>
      <c r="M4415">
        <v>1.125</v>
      </c>
      <c r="N4415">
        <v>114</v>
      </c>
      <c r="O4415" t="s">
        <v>106</v>
      </c>
      <c r="Q4415" t="s">
        <v>2895</v>
      </c>
      <c r="R4415" t="s">
        <v>5080</v>
      </c>
      <c r="S4415" t="s">
        <v>5081</v>
      </c>
      <c r="T4415" t="s">
        <v>5082</v>
      </c>
    </row>
    <row r="4416" spans="1:20" x14ac:dyDescent="0.25">
      <c r="A4416" t="s">
        <v>30</v>
      </c>
      <c r="B4416" t="s">
        <v>31</v>
      </c>
      <c r="C4416" t="s">
        <v>32</v>
      </c>
      <c r="D4416" t="s">
        <v>639</v>
      </c>
      <c r="F4416" t="s">
        <v>35</v>
      </c>
      <c r="G4416" t="s">
        <v>35</v>
      </c>
      <c r="H4416" t="s">
        <v>35</v>
      </c>
      <c r="J4416" t="s">
        <v>5183</v>
      </c>
      <c r="K4416" t="s">
        <v>1092</v>
      </c>
      <c r="M4416">
        <v>0.54</v>
      </c>
      <c r="N4416">
        <v>2307</v>
      </c>
      <c r="O4416" t="s">
        <v>575</v>
      </c>
      <c r="Q4416" t="s">
        <v>5184</v>
      </c>
      <c r="R4416" t="s">
        <v>5185</v>
      </c>
      <c r="S4416" t="s">
        <v>5186</v>
      </c>
      <c r="T4416" t="s">
        <v>5187</v>
      </c>
    </row>
    <row r="4417" spans="1:20" x14ac:dyDescent="0.25">
      <c r="A4417" t="s">
        <v>44</v>
      </c>
      <c r="B4417" t="s">
        <v>51</v>
      </c>
      <c r="C4417" t="s">
        <v>32</v>
      </c>
      <c r="D4417" t="s">
        <v>639</v>
      </c>
      <c r="E4417" t="s">
        <v>647</v>
      </c>
      <c r="F4417" t="s">
        <v>35</v>
      </c>
      <c r="G4417" t="s">
        <v>35</v>
      </c>
      <c r="H4417" t="s">
        <v>35</v>
      </c>
      <c r="J4417" t="s">
        <v>5035</v>
      </c>
      <c r="K4417" t="s">
        <v>1092</v>
      </c>
      <c r="M4417">
        <v>8</v>
      </c>
      <c r="N4417">
        <v>103</v>
      </c>
      <c r="O4417" t="s">
        <v>106</v>
      </c>
      <c r="Q4417" t="s">
        <v>1494</v>
      </c>
      <c r="R4417" t="s">
        <v>5037</v>
      </c>
      <c r="S4417" t="s">
        <v>5035</v>
      </c>
      <c r="T4417" t="s">
        <v>5036</v>
      </c>
    </row>
    <row r="4418" spans="1:20" x14ac:dyDescent="0.25">
      <c r="A4418" t="s">
        <v>59</v>
      </c>
      <c r="B4418" t="s">
        <v>60</v>
      </c>
      <c r="C4418" t="s">
        <v>32</v>
      </c>
      <c r="D4418" t="s">
        <v>639</v>
      </c>
      <c r="E4418" t="s">
        <v>647</v>
      </c>
      <c r="F4418" t="s">
        <v>35</v>
      </c>
      <c r="G4418" t="s">
        <v>35</v>
      </c>
      <c r="H4418" t="s">
        <v>35</v>
      </c>
      <c r="J4418" t="s">
        <v>5050</v>
      </c>
      <c r="K4418" t="s">
        <v>1092</v>
      </c>
      <c r="M4418">
        <v>0.75</v>
      </c>
      <c r="N4418">
        <v>251</v>
      </c>
      <c r="O4418" t="s">
        <v>5</v>
      </c>
      <c r="Q4418" t="s">
        <v>5051</v>
      </c>
      <c r="R4418" t="s">
        <v>5037</v>
      </c>
      <c r="S4418" t="s">
        <v>5035</v>
      </c>
      <c r="T4418" t="s">
        <v>5036</v>
      </c>
    </row>
    <row r="4419" spans="1:20" x14ac:dyDescent="0.25">
      <c r="A4419" t="s">
        <v>59</v>
      </c>
      <c r="B4419" t="s">
        <v>31</v>
      </c>
      <c r="C4419" t="s">
        <v>32</v>
      </c>
      <c r="D4419" t="s">
        <v>639</v>
      </c>
      <c r="E4419" t="s">
        <v>4988</v>
      </c>
      <c r="F4419" t="s">
        <v>35</v>
      </c>
      <c r="G4419" t="s">
        <v>35</v>
      </c>
      <c r="H4419" t="s">
        <v>35</v>
      </c>
      <c r="J4419" t="s">
        <v>5004</v>
      </c>
      <c r="K4419" t="s">
        <v>1092</v>
      </c>
      <c r="M4419">
        <v>4.1000000000000002E-2</v>
      </c>
      <c r="N4419">
        <v>1776</v>
      </c>
      <c r="O4419" t="s">
        <v>575</v>
      </c>
      <c r="Q4419" t="s">
        <v>5005</v>
      </c>
      <c r="R4419" t="s">
        <v>4997</v>
      </c>
      <c r="S4419" t="s">
        <v>4998</v>
      </c>
      <c r="T4419" t="s">
        <v>4999</v>
      </c>
    </row>
    <row r="4420" spans="1:20" x14ac:dyDescent="0.25">
      <c r="A4420" t="s">
        <v>30</v>
      </c>
      <c r="B4420" t="s">
        <v>31</v>
      </c>
      <c r="C4420" t="s">
        <v>32</v>
      </c>
      <c r="D4420" t="s">
        <v>639</v>
      </c>
      <c r="E4420" t="s">
        <v>4988</v>
      </c>
      <c r="F4420" t="s">
        <v>35</v>
      </c>
      <c r="G4420" t="s">
        <v>35</v>
      </c>
      <c r="H4420" t="s">
        <v>35</v>
      </c>
      <c r="J4420" t="s">
        <v>5006</v>
      </c>
      <c r="K4420" t="s">
        <v>1092</v>
      </c>
      <c r="M4420">
        <v>0.58499999999999996</v>
      </c>
      <c r="N4420">
        <v>327</v>
      </c>
      <c r="O4420" t="s">
        <v>5</v>
      </c>
      <c r="Q4420" t="s">
        <v>2926</v>
      </c>
      <c r="R4420" t="s">
        <v>4997</v>
      </c>
      <c r="S4420" t="s">
        <v>4998</v>
      </c>
      <c r="T4420" t="s">
        <v>4999</v>
      </c>
    </row>
    <row r="4421" spans="1:20" x14ac:dyDescent="0.25">
      <c r="A4421" t="s">
        <v>30</v>
      </c>
      <c r="B4421" t="s">
        <v>31</v>
      </c>
      <c r="C4421" t="s">
        <v>32</v>
      </c>
      <c r="D4421" t="s">
        <v>639</v>
      </c>
      <c r="F4421" t="s">
        <v>35</v>
      </c>
      <c r="G4421" t="s">
        <v>35</v>
      </c>
      <c r="H4421" t="s">
        <v>35</v>
      </c>
      <c r="J4421" t="s">
        <v>5173</v>
      </c>
      <c r="K4421" t="s">
        <v>1092</v>
      </c>
      <c r="M4421">
        <v>0.27</v>
      </c>
      <c r="N4421">
        <v>156</v>
      </c>
      <c r="O4421" t="s">
        <v>38</v>
      </c>
      <c r="Q4421" t="s">
        <v>1632</v>
      </c>
      <c r="R4421" t="s">
        <v>4997</v>
      </c>
      <c r="S4421" t="s">
        <v>4998</v>
      </c>
      <c r="T4421" t="s">
        <v>4999</v>
      </c>
    </row>
    <row r="4422" spans="1:20" x14ac:dyDescent="0.25">
      <c r="A4422" t="s">
        <v>30</v>
      </c>
      <c r="B4422" t="s">
        <v>31</v>
      </c>
      <c r="C4422" t="s">
        <v>32</v>
      </c>
      <c r="D4422" t="s">
        <v>639</v>
      </c>
      <c r="E4422" t="s">
        <v>5132</v>
      </c>
      <c r="F4422" t="s">
        <v>35</v>
      </c>
      <c r="G4422" t="s">
        <v>35</v>
      </c>
      <c r="H4422" t="s">
        <v>35</v>
      </c>
      <c r="J4422" t="s">
        <v>5133</v>
      </c>
      <c r="K4422" t="s">
        <v>1092</v>
      </c>
      <c r="M4422">
        <v>5.49</v>
      </c>
      <c r="N4422">
        <v>66</v>
      </c>
      <c r="O4422" t="s">
        <v>61</v>
      </c>
      <c r="Q4422" t="s">
        <v>552</v>
      </c>
      <c r="R4422" t="s">
        <v>4997</v>
      </c>
      <c r="S4422" t="s">
        <v>4998</v>
      </c>
      <c r="T4422" t="s">
        <v>4999</v>
      </c>
    </row>
    <row r="4423" spans="1:20" x14ac:dyDescent="0.25">
      <c r="A4423" t="s">
        <v>30</v>
      </c>
      <c r="B4423" t="s">
        <v>31</v>
      </c>
      <c r="C4423" t="s">
        <v>32</v>
      </c>
      <c r="D4423" t="s">
        <v>639</v>
      </c>
      <c r="E4423" t="s">
        <v>4988</v>
      </c>
      <c r="F4423" t="s">
        <v>35</v>
      </c>
      <c r="G4423" t="s">
        <v>35</v>
      </c>
      <c r="H4423" t="s">
        <v>35</v>
      </c>
      <c r="J4423" t="s">
        <v>5000</v>
      </c>
      <c r="K4423" t="s">
        <v>1092</v>
      </c>
      <c r="M4423">
        <v>0.27</v>
      </c>
      <c r="N4423">
        <v>66</v>
      </c>
      <c r="O4423" t="s">
        <v>61</v>
      </c>
      <c r="Q4423" t="s">
        <v>552</v>
      </c>
      <c r="R4423" t="s">
        <v>4997</v>
      </c>
      <c r="S4423" t="s">
        <v>4998</v>
      </c>
      <c r="T4423" t="s">
        <v>4999</v>
      </c>
    </row>
    <row r="4424" spans="1:20" x14ac:dyDescent="0.25">
      <c r="A4424" t="s">
        <v>59</v>
      </c>
      <c r="B4424" t="s">
        <v>31</v>
      </c>
      <c r="C4424" t="s">
        <v>32</v>
      </c>
      <c r="D4424" t="s">
        <v>639</v>
      </c>
      <c r="E4424" t="s">
        <v>4988</v>
      </c>
      <c r="F4424" t="s">
        <v>35</v>
      </c>
      <c r="G4424" t="s">
        <v>35</v>
      </c>
      <c r="H4424" t="s">
        <v>35</v>
      </c>
      <c r="J4424" t="s">
        <v>4995</v>
      </c>
      <c r="K4424" t="s">
        <v>1092</v>
      </c>
      <c r="M4424">
        <v>2.4300000000000002</v>
      </c>
      <c r="N4424">
        <v>1793</v>
      </c>
      <c r="O4424" t="s">
        <v>575</v>
      </c>
      <c r="Q4424" t="s">
        <v>4996</v>
      </c>
      <c r="R4424" t="s">
        <v>4997</v>
      </c>
      <c r="S4424" t="s">
        <v>4998</v>
      </c>
      <c r="T4424" t="s">
        <v>4999</v>
      </c>
    </row>
    <row r="4425" spans="1:20" x14ac:dyDescent="0.25">
      <c r="A4425" t="s">
        <v>30</v>
      </c>
      <c r="B4425" t="s">
        <v>31</v>
      </c>
      <c r="C4425" t="s">
        <v>32</v>
      </c>
      <c r="D4425" t="s">
        <v>639</v>
      </c>
      <c r="E4425" t="s">
        <v>4988</v>
      </c>
      <c r="F4425" t="s">
        <v>35</v>
      </c>
      <c r="G4425" t="s">
        <v>35</v>
      </c>
      <c r="H4425" t="s">
        <v>35</v>
      </c>
      <c r="J4425" t="s">
        <v>4995</v>
      </c>
      <c r="K4425" t="s">
        <v>1092</v>
      </c>
      <c r="M4425">
        <v>2.25</v>
      </c>
      <c r="N4425">
        <v>1867</v>
      </c>
      <c r="O4425" t="s">
        <v>575</v>
      </c>
      <c r="Q4425" t="s">
        <v>2999</v>
      </c>
      <c r="R4425" t="s">
        <v>4997</v>
      </c>
      <c r="S4425" t="s">
        <v>4998</v>
      </c>
      <c r="T4425" t="s">
        <v>4999</v>
      </c>
    </row>
    <row r="4426" spans="1:20" x14ac:dyDescent="0.25">
      <c r="A4426" t="s">
        <v>59</v>
      </c>
      <c r="B4426" t="s">
        <v>31</v>
      </c>
      <c r="C4426" t="s">
        <v>32</v>
      </c>
      <c r="D4426" t="s">
        <v>639</v>
      </c>
      <c r="E4426" t="s">
        <v>4988</v>
      </c>
      <c r="F4426" t="s">
        <v>35</v>
      </c>
      <c r="G4426" t="s">
        <v>35</v>
      </c>
      <c r="H4426" t="s">
        <v>35</v>
      </c>
      <c r="J4426" t="s">
        <v>5002</v>
      </c>
      <c r="K4426" t="s">
        <v>1092</v>
      </c>
      <c r="M4426">
        <v>1.98</v>
      </c>
      <c r="N4426">
        <v>118</v>
      </c>
      <c r="O4426" t="s">
        <v>106</v>
      </c>
      <c r="Q4426" t="s">
        <v>1954</v>
      </c>
      <c r="R4426" t="s">
        <v>4997</v>
      </c>
      <c r="S4426" t="s">
        <v>4998</v>
      </c>
      <c r="T4426" t="s">
        <v>4999</v>
      </c>
    </row>
    <row r="4427" spans="1:20" x14ac:dyDescent="0.25">
      <c r="A4427" t="s">
        <v>30</v>
      </c>
      <c r="B4427" t="s">
        <v>31</v>
      </c>
      <c r="C4427" t="s">
        <v>32</v>
      </c>
      <c r="D4427" t="s">
        <v>639</v>
      </c>
      <c r="E4427" t="s">
        <v>4988</v>
      </c>
      <c r="F4427" t="s">
        <v>35</v>
      </c>
      <c r="G4427" t="s">
        <v>35</v>
      </c>
      <c r="H4427" t="s">
        <v>35</v>
      </c>
      <c r="J4427" t="s">
        <v>5001</v>
      </c>
      <c r="K4427" t="s">
        <v>1092</v>
      </c>
      <c r="M4427">
        <v>0.22500000000000001</v>
      </c>
      <c r="N4427">
        <v>287</v>
      </c>
      <c r="O4427" t="s">
        <v>5</v>
      </c>
      <c r="Q4427" t="s">
        <v>1418</v>
      </c>
      <c r="R4427" t="s">
        <v>4997</v>
      </c>
      <c r="S4427" t="s">
        <v>4998</v>
      </c>
      <c r="T4427" t="s">
        <v>4999</v>
      </c>
    </row>
    <row r="4428" spans="1:20" x14ac:dyDescent="0.25">
      <c r="A4428" t="s">
        <v>44</v>
      </c>
      <c r="B4428" t="s">
        <v>51</v>
      </c>
      <c r="C4428" t="s">
        <v>32</v>
      </c>
      <c r="D4428" t="s">
        <v>639</v>
      </c>
      <c r="E4428" t="s">
        <v>5071</v>
      </c>
      <c r="F4428" t="s">
        <v>35</v>
      </c>
      <c r="G4428" t="s">
        <v>35</v>
      </c>
      <c r="H4428" t="s">
        <v>35</v>
      </c>
      <c r="J4428" t="s">
        <v>5077</v>
      </c>
      <c r="K4428" t="s">
        <v>1092</v>
      </c>
      <c r="M4428">
        <v>5.35</v>
      </c>
      <c r="N4428">
        <v>54</v>
      </c>
      <c r="O4428" t="s">
        <v>52</v>
      </c>
      <c r="Q4428" t="s">
        <v>671</v>
      </c>
      <c r="R4428" t="s">
        <v>666</v>
      </c>
      <c r="S4428" t="s">
        <v>667</v>
      </c>
      <c r="T4428" t="s">
        <v>668</v>
      </c>
    </row>
    <row r="4429" spans="1:20" x14ac:dyDescent="0.25">
      <c r="A4429" t="s">
        <v>30</v>
      </c>
      <c r="B4429" t="s">
        <v>31</v>
      </c>
      <c r="C4429" t="s">
        <v>32</v>
      </c>
      <c r="D4429" t="s">
        <v>639</v>
      </c>
      <c r="E4429" t="s">
        <v>5071</v>
      </c>
      <c r="F4429" t="s">
        <v>35</v>
      </c>
      <c r="G4429" t="s">
        <v>35</v>
      </c>
      <c r="H4429" t="s">
        <v>35</v>
      </c>
      <c r="J4429" t="s">
        <v>5077</v>
      </c>
      <c r="K4429" t="s">
        <v>1092</v>
      </c>
      <c r="M4429">
        <v>3.645</v>
      </c>
      <c r="N4429">
        <v>68</v>
      </c>
      <c r="O4429" t="s">
        <v>61</v>
      </c>
      <c r="Q4429" t="s">
        <v>805</v>
      </c>
      <c r="R4429" t="s">
        <v>666</v>
      </c>
      <c r="S4429" t="s">
        <v>667</v>
      </c>
      <c r="T4429" t="s">
        <v>668</v>
      </c>
    </row>
    <row r="4430" spans="1:20" x14ac:dyDescent="0.25">
      <c r="A4430" t="s">
        <v>44</v>
      </c>
      <c r="B4430" t="s">
        <v>51</v>
      </c>
      <c r="C4430" t="s">
        <v>32</v>
      </c>
      <c r="D4430" t="s">
        <v>639</v>
      </c>
      <c r="F4430" t="s">
        <v>35</v>
      </c>
      <c r="G4430" t="s">
        <v>35</v>
      </c>
      <c r="H4430" t="s">
        <v>35</v>
      </c>
      <c r="J4430" t="s">
        <v>5163</v>
      </c>
      <c r="K4430" t="s">
        <v>404</v>
      </c>
      <c r="M4430">
        <v>4.75</v>
      </c>
      <c r="N4430">
        <v>54</v>
      </c>
      <c r="O4430" t="s">
        <v>52</v>
      </c>
      <c r="Q4430" t="s">
        <v>671</v>
      </c>
      <c r="R4430" t="s">
        <v>666</v>
      </c>
      <c r="S4430" t="s">
        <v>667</v>
      </c>
      <c r="T4430" t="s">
        <v>668</v>
      </c>
    </row>
    <row r="4431" spans="1:20" x14ac:dyDescent="0.25">
      <c r="A4431" t="s">
        <v>44</v>
      </c>
      <c r="B4431" t="s">
        <v>51</v>
      </c>
      <c r="C4431" t="s">
        <v>32</v>
      </c>
      <c r="D4431" t="s">
        <v>639</v>
      </c>
      <c r="F4431" t="s">
        <v>35</v>
      </c>
      <c r="G4431" t="s">
        <v>35</v>
      </c>
      <c r="H4431" t="s">
        <v>35</v>
      </c>
      <c r="J4431" t="s">
        <v>5190</v>
      </c>
      <c r="K4431" t="s">
        <v>1092</v>
      </c>
      <c r="M4431">
        <v>2</v>
      </c>
      <c r="N4431">
        <v>53</v>
      </c>
      <c r="O4431" t="s">
        <v>52</v>
      </c>
      <c r="Q4431" t="s">
        <v>1734</v>
      </c>
      <c r="R4431" t="s">
        <v>666</v>
      </c>
      <c r="S4431" t="s">
        <v>667</v>
      </c>
      <c r="T4431" t="s">
        <v>668</v>
      </c>
    </row>
    <row r="4432" spans="1:20" x14ac:dyDescent="0.25">
      <c r="A4432" t="s">
        <v>30</v>
      </c>
      <c r="B4432" t="s">
        <v>31</v>
      </c>
      <c r="C4432" t="s">
        <v>32</v>
      </c>
      <c r="D4432" t="s">
        <v>639</v>
      </c>
      <c r="E4432" t="s">
        <v>652</v>
      </c>
      <c r="F4432" t="s">
        <v>35</v>
      </c>
      <c r="G4432" t="s">
        <v>35</v>
      </c>
      <c r="H4432" t="s">
        <v>35</v>
      </c>
      <c r="J4432" t="s">
        <v>5116</v>
      </c>
      <c r="K4432" t="s">
        <v>1092</v>
      </c>
      <c r="M4432">
        <v>4.1849999999999996</v>
      </c>
      <c r="N4432">
        <v>1174</v>
      </c>
      <c r="O4432" t="s">
        <v>575</v>
      </c>
      <c r="Q4432" t="s">
        <v>4931</v>
      </c>
      <c r="R4432" t="s">
        <v>5117</v>
      </c>
      <c r="S4432" t="s">
        <v>5118</v>
      </c>
      <c r="T4432" t="s">
        <v>5119</v>
      </c>
    </row>
    <row r="4433" spans="1:20" x14ac:dyDescent="0.25">
      <c r="A4433" t="s">
        <v>59</v>
      </c>
      <c r="B4433" t="s">
        <v>31</v>
      </c>
      <c r="C4433" t="s">
        <v>32</v>
      </c>
      <c r="D4433" t="s">
        <v>639</v>
      </c>
      <c r="F4433" t="s">
        <v>35</v>
      </c>
      <c r="G4433" t="s">
        <v>35</v>
      </c>
      <c r="H4433" t="s">
        <v>35</v>
      </c>
      <c r="J4433" t="s">
        <v>5174</v>
      </c>
      <c r="K4433" t="s">
        <v>1092</v>
      </c>
      <c r="M4433">
        <v>14.67</v>
      </c>
      <c r="N4433">
        <v>1479</v>
      </c>
      <c r="O4433" t="s">
        <v>575</v>
      </c>
      <c r="Q4433" t="s">
        <v>5176</v>
      </c>
      <c r="R4433" t="s">
        <v>5177</v>
      </c>
      <c r="S4433" t="s">
        <v>5178</v>
      </c>
      <c r="T4433" t="s">
        <v>5175</v>
      </c>
    </row>
    <row r="4434" spans="1:20" x14ac:dyDescent="0.25">
      <c r="A4434" t="s">
        <v>59</v>
      </c>
      <c r="B4434" t="s">
        <v>31</v>
      </c>
      <c r="C4434" t="s">
        <v>32</v>
      </c>
      <c r="D4434" t="s">
        <v>639</v>
      </c>
      <c r="E4434" t="s">
        <v>5055</v>
      </c>
      <c r="F4434" t="s">
        <v>35</v>
      </c>
      <c r="G4434" t="s">
        <v>35</v>
      </c>
      <c r="H4434" t="s">
        <v>35</v>
      </c>
      <c r="J4434" t="s">
        <v>5060</v>
      </c>
      <c r="K4434" t="s">
        <v>1092</v>
      </c>
      <c r="M4434">
        <v>0.68</v>
      </c>
      <c r="N4434">
        <v>240</v>
      </c>
      <c r="O4434" t="s">
        <v>5</v>
      </c>
      <c r="Q4434" t="s">
        <v>574</v>
      </c>
      <c r="R4434" t="s">
        <v>5009</v>
      </c>
      <c r="S4434" t="s">
        <v>5010</v>
      </c>
      <c r="T4434" t="s">
        <v>5011</v>
      </c>
    </row>
    <row r="4435" spans="1:20" x14ac:dyDescent="0.25">
      <c r="A4435" t="s">
        <v>59</v>
      </c>
      <c r="B4435" t="s">
        <v>31</v>
      </c>
      <c r="C4435" t="s">
        <v>32</v>
      </c>
      <c r="D4435" t="s">
        <v>639</v>
      </c>
      <c r="E4435" t="s">
        <v>5007</v>
      </c>
      <c r="F4435" t="s">
        <v>35</v>
      </c>
      <c r="G4435" t="s">
        <v>35</v>
      </c>
      <c r="H4435" t="s">
        <v>35</v>
      </c>
      <c r="J4435" t="s">
        <v>5008</v>
      </c>
      <c r="K4435" t="s">
        <v>1092</v>
      </c>
      <c r="M4435">
        <v>7.4999999999999997E-2</v>
      </c>
      <c r="N4435">
        <v>282</v>
      </c>
      <c r="O4435" t="s">
        <v>5</v>
      </c>
      <c r="Q4435" t="s">
        <v>1172</v>
      </c>
      <c r="R4435" t="s">
        <v>5009</v>
      </c>
      <c r="S4435" t="s">
        <v>5010</v>
      </c>
      <c r="T4435" t="s">
        <v>5011</v>
      </c>
    </row>
    <row r="4436" spans="1:20" x14ac:dyDescent="0.25">
      <c r="A4436" t="s">
        <v>59</v>
      </c>
      <c r="B4436" t="s">
        <v>31</v>
      </c>
      <c r="C4436" t="s">
        <v>32</v>
      </c>
      <c r="D4436" t="s">
        <v>639</v>
      </c>
      <c r="E4436" t="s">
        <v>5007</v>
      </c>
      <c r="F4436" t="s">
        <v>35</v>
      </c>
      <c r="G4436" t="s">
        <v>35</v>
      </c>
      <c r="H4436" t="s">
        <v>35</v>
      </c>
      <c r="J4436" t="s">
        <v>5012</v>
      </c>
      <c r="K4436" t="s">
        <v>1092</v>
      </c>
      <c r="M4436">
        <v>3.97</v>
      </c>
      <c r="N4436">
        <v>282</v>
      </c>
      <c r="O4436" t="s">
        <v>5</v>
      </c>
      <c r="Q4436" t="s">
        <v>1172</v>
      </c>
      <c r="R4436" t="s">
        <v>5009</v>
      </c>
      <c r="S4436" t="s">
        <v>5010</v>
      </c>
      <c r="T4436" t="s">
        <v>5011</v>
      </c>
    </row>
    <row r="4437" spans="1:20" x14ac:dyDescent="0.25">
      <c r="A4437" t="s">
        <v>30</v>
      </c>
      <c r="B4437" t="s">
        <v>31</v>
      </c>
      <c r="C4437" t="s">
        <v>32</v>
      </c>
      <c r="D4437" t="s">
        <v>639</v>
      </c>
      <c r="E4437" t="s">
        <v>652</v>
      </c>
      <c r="F4437" t="s">
        <v>35</v>
      </c>
      <c r="G4437" t="s">
        <v>35</v>
      </c>
      <c r="H4437" t="s">
        <v>35</v>
      </c>
      <c r="J4437" t="s">
        <v>5109</v>
      </c>
      <c r="K4437" t="s">
        <v>1092</v>
      </c>
      <c r="M4437">
        <v>0.13500000000000001</v>
      </c>
      <c r="N4437">
        <v>53</v>
      </c>
      <c r="O4437" t="s">
        <v>52</v>
      </c>
      <c r="Q4437" t="s">
        <v>1734</v>
      </c>
      <c r="R4437" t="s">
        <v>5031</v>
      </c>
      <c r="S4437" t="s">
        <v>653</v>
      </c>
      <c r="T4437" t="s">
        <v>654</v>
      </c>
    </row>
    <row r="4438" spans="1:20" x14ac:dyDescent="0.25">
      <c r="A4438" t="s">
        <v>44</v>
      </c>
      <c r="B4438" t="s">
        <v>51</v>
      </c>
      <c r="C4438" t="s">
        <v>32</v>
      </c>
      <c r="D4438" t="s">
        <v>639</v>
      </c>
      <c r="E4438" t="s">
        <v>652</v>
      </c>
      <c r="F4438" t="s">
        <v>35</v>
      </c>
      <c r="G4438" t="s">
        <v>35</v>
      </c>
      <c r="H4438" t="s">
        <v>35</v>
      </c>
      <c r="J4438" t="s">
        <v>5115</v>
      </c>
      <c r="K4438" t="s">
        <v>1092</v>
      </c>
      <c r="M4438">
        <v>5</v>
      </c>
      <c r="N4438">
        <v>51</v>
      </c>
      <c r="O4438" t="s">
        <v>52</v>
      </c>
      <c r="Q4438" t="s">
        <v>58</v>
      </c>
      <c r="R4438" t="s">
        <v>5031</v>
      </c>
      <c r="S4438" t="s">
        <v>653</v>
      </c>
      <c r="T4438" t="s">
        <v>654</v>
      </c>
    </row>
    <row r="4439" spans="1:20" x14ac:dyDescent="0.25">
      <c r="A4439" t="s">
        <v>30</v>
      </c>
      <c r="B4439" t="s">
        <v>31</v>
      </c>
      <c r="C4439" t="s">
        <v>32</v>
      </c>
      <c r="D4439" t="s">
        <v>639</v>
      </c>
      <c r="E4439" t="s">
        <v>652</v>
      </c>
      <c r="F4439" t="s">
        <v>35</v>
      </c>
      <c r="G4439" t="s">
        <v>35</v>
      </c>
      <c r="H4439" t="s">
        <v>35</v>
      </c>
      <c r="J4439" t="s">
        <v>5110</v>
      </c>
      <c r="K4439" t="s">
        <v>1092</v>
      </c>
      <c r="M4439">
        <v>0.36</v>
      </c>
      <c r="N4439">
        <v>255</v>
      </c>
      <c r="O4439" t="s">
        <v>5</v>
      </c>
      <c r="Q4439" t="s">
        <v>264</v>
      </c>
      <c r="R4439" t="s">
        <v>5031</v>
      </c>
      <c r="S4439" t="s">
        <v>653</v>
      </c>
      <c r="T4439" t="s">
        <v>654</v>
      </c>
    </row>
    <row r="4440" spans="1:20" x14ac:dyDescent="0.25">
      <c r="A4440" t="s">
        <v>59</v>
      </c>
      <c r="B4440" t="s">
        <v>60</v>
      </c>
      <c r="C4440" t="s">
        <v>32</v>
      </c>
      <c r="D4440" t="s">
        <v>639</v>
      </c>
      <c r="E4440" t="s">
        <v>652</v>
      </c>
      <c r="F4440" t="s">
        <v>35</v>
      </c>
      <c r="G4440" t="s">
        <v>35</v>
      </c>
      <c r="H4440" t="s">
        <v>35</v>
      </c>
      <c r="J4440" t="s">
        <v>5110</v>
      </c>
      <c r="K4440" t="s">
        <v>1092</v>
      </c>
      <c r="M4440">
        <v>0.3</v>
      </c>
      <c r="N4440">
        <v>460</v>
      </c>
      <c r="O4440" t="s">
        <v>294</v>
      </c>
      <c r="Q4440" t="s">
        <v>3590</v>
      </c>
      <c r="R4440" t="s">
        <v>5031</v>
      </c>
      <c r="S4440" t="s">
        <v>653</v>
      </c>
      <c r="T4440" t="s">
        <v>654</v>
      </c>
    </row>
    <row r="4441" spans="1:20" x14ac:dyDescent="0.25">
      <c r="A4441" t="s">
        <v>44</v>
      </c>
      <c r="B4441" t="s">
        <v>3</v>
      </c>
      <c r="C4441" t="s">
        <v>32</v>
      </c>
      <c r="D4441" t="s">
        <v>639</v>
      </c>
      <c r="E4441" t="s">
        <v>652</v>
      </c>
      <c r="F4441" t="s">
        <v>35</v>
      </c>
      <c r="G4441" t="s">
        <v>35</v>
      </c>
      <c r="H4441" t="s">
        <v>35</v>
      </c>
      <c r="J4441" t="s">
        <v>5122</v>
      </c>
      <c r="K4441" t="s">
        <v>1092</v>
      </c>
      <c r="M4441">
        <v>0.45</v>
      </c>
      <c r="N4441">
        <v>423</v>
      </c>
      <c r="O4441" t="s">
        <v>294</v>
      </c>
      <c r="Q4441" t="s">
        <v>1712</v>
      </c>
      <c r="R4441" t="s">
        <v>5031</v>
      </c>
      <c r="S4441" t="s">
        <v>653</v>
      </c>
      <c r="T4441" t="s">
        <v>654</v>
      </c>
    </row>
    <row r="4442" spans="1:20" x14ac:dyDescent="0.25">
      <c r="A4442" t="s">
        <v>30</v>
      </c>
      <c r="B4442" t="s">
        <v>31</v>
      </c>
      <c r="C4442" t="s">
        <v>32</v>
      </c>
      <c r="D4442" t="s">
        <v>639</v>
      </c>
      <c r="E4442" t="s">
        <v>652</v>
      </c>
      <c r="F4442" t="s">
        <v>35</v>
      </c>
      <c r="G4442" t="s">
        <v>35</v>
      </c>
      <c r="H4442" t="s">
        <v>35</v>
      </c>
      <c r="J4442" t="s">
        <v>5122</v>
      </c>
      <c r="K4442" t="s">
        <v>1092</v>
      </c>
      <c r="M4442">
        <v>2.0699999999999998</v>
      </c>
      <c r="N4442">
        <v>156</v>
      </c>
      <c r="O4442" t="s">
        <v>38</v>
      </c>
      <c r="Q4442" t="s">
        <v>1632</v>
      </c>
      <c r="R4442" t="s">
        <v>5031</v>
      </c>
      <c r="S4442" t="s">
        <v>653</v>
      </c>
      <c r="T4442" t="s">
        <v>654</v>
      </c>
    </row>
    <row r="4443" spans="1:20" x14ac:dyDescent="0.25">
      <c r="A4443" t="s">
        <v>59</v>
      </c>
      <c r="B4443" t="s">
        <v>60</v>
      </c>
      <c r="C4443" t="s">
        <v>32</v>
      </c>
      <c r="D4443" t="s">
        <v>639</v>
      </c>
      <c r="E4443" t="s">
        <v>5137</v>
      </c>
      <c r="F4443" t="s">
        <v>35</v>
      </c>
      <c r="G4443" t="s">
        <v>35</v>
      </c>
      <c r="H4443" t="s">
        <v>35</v>
      </c>
      <c r="J4443" t="s">
        <v>5146</v>
      </c>
      <c r="K4443" t="s">
        <v>1092</v>
      </c>
      <c r="M4443">
        <v>3.55</v>
      </c>
      <c r="N4443">
        <v>118</v>
      </c>
      <c r="O4443" t="s">
        <v>106</v>
      </c>
      <c r="Q4443" t="s">
        <v>1954</v>
      </c>
      <c r="R4443" t="s">
        <v>5031</v>
      </c>
      <c r="S4443" t="s">
        <v>653</v>
      </c>
      <c r="T4443" t="s">
        <v>654</v>
      </c>
    </row>
    <row r="4444" spans="1:20" x14ac:dyDescent="0.25">
      <c r="A4444" t="s">
        <v>44</v>
      </c>
      <c r="B4444" t="s">
        <v>3</v>
      </c>
      <c r="C4444" t="s">
        <v>32</v>
      </c>
      <c r="D4444" t="s">
        <v>639</v>
      </c>
      <c r="F4444" t="s">
        <v>35</v>
      </c>
      <c r="G4444" t="s">
        <v>35</v>
      </c>
      <c r="H4444" t="s">
        <v>35</v>
      </c>
      <c r="J4444" t="s">
        <v>5166</v>
      </c>
      <c r="K4444" t="s">
        <v>1092</v>
      </c>
      <c r="M4444">
        <v>0.45</v>
      </c>
      <c r="N4444">
        <v>423</v>
      </c>
      <c r="O4444" t="s">
        <v>294</v>
      </c>
      <c r="Q4444" t="s">
        <v>1712</v>
      </c>
      <c r="R4444" t="s">
        <v>5031</v>
      </c>
      <c r="S4444" t="s">
        <v>653</v>
      </c>
      <c r="T4444" t="s">
        <v>654</v>
      </c>
    </row>
    <row r="4445" spans="1:20" x14ac:dyDescent="0.25">
      <c r="A4445" t="s">
        <v>30</v>
      </c>
      <c r="B4445" t="s">
        <v>31</v>
      </c>
      <c r="C4445" t="s">
        <v>32</v>
      </c>
      <c r="D4445" t="s">
        <v>639</v>
      </c>
      <c r="F4445" t="s">
        <v>35</v>
      </c>
      <c r="G4445" t="s">
        <v>35</v>
      </c>
      <c r="H4445" t="s">
        <v>35</v>
      </c>
      <c r="J4445" t="s">
        <v>5166</v>
      </c>
      <c r="K4445" t="s">
        <v>1092</v>
      </c>
      <c r="M4445">
        <v>0.76500000000000001</v>
      </c>
      <c r="N4445">
        <v>64</v>
      </c>
      <c r="O4445" t="s">
        <v>61</v>
      </c>
      <c r="Q4445" t="s">
        <v>102</v>
      </c>
      <c r="R4445" t="s">
        <v>5031</v>
      </c>
      <c r="S4445" t="s">
        <v>653</v>
      </c>
      <c r="T4445" t="s">
        <v>654</v>
      </c>
    </row>
    <row r="4446" spans="1:20" x14ac:dyDescent="0.25">
      <c r="A4446" t="s">
        <v>30</v>
      </c>
      <c r="B4446" t="s">
        <v>31</v>
      </c>
      <c r="C4446" t="s">
        <v>32</v>
      </c>
      <c r="D4446" t="s">
        <v>639</v>
      </c>
      <c r="E4446" t="s">
        <v>652</v>
      </c>
      <c r="F4446" t="s">
        <v>35</v>
      </c>
      <c r="G4446" t="s">
        <v>35</v>
      </c>
      <c r="H4446" t="s">
        <v>35</v>
      </c>
      <c r="J4446" t="s">
        <v>5101</v>
      </c>
      <c r="K4446" t="s">
        <v>1092</v>
      </c>
      <c r="M4446">
        <v>4.8150000000000004</v>
      </c>
      <c r="N4446">
        <v>234</v>
      </c>
      <c r="O4446" t="s">
        <v>5</v>
      </c>
      <c r="Q4446" t="s">
        <v>3415</v>
      </c>
      <c r="R4446" t="s">
        <v>5031</v>
      </c>
      <c r="S4446" t="s">
        <v>653</v>
      </c>
      <c r="T4446" t="s">
        <v>654</v>
      </c>
    </row>
    <row r="4447" spans="1:20" x14ac:dyDescent="0.25">
      <c r="A4447" t="s">
        <v>44</v>
      </c>
      <c r="B4447" t="s">
        <v>51</v>
      </c>
      <c r="C4447" t="s">
        <v>32</v>
      </c>
      <c r="D4447" t="s">
        <v>639</v>
      </c>
      <c r="E4447" t="s">
        <v>652</v>
      </c>
      <c r="F4447" t="s">
        <v>35</v>
      </c>
      <c r="G4447" t="s">
        <v>35</v>
      </c>
      <c r="H4447" t="s">
        <v>35</v>
      </c>
      <c r="J4447" t="s">
        <v>5101</v>
      </c>
      <c r="K4447" t="s">
        <v>1092</v>
      </c>
      <c r="M4447">
        <v>3.5</v>
      </c>
      <c r="N4447">
        <v>234</v>
      </c>
      <c r="O4447" t="s">
        <v>5</v>
      </c>
      <c r="Q4447" t="s">
        <v>3415</v>
      </c>
      <c r="R4447" t="s">
        <v>5031</v>
      </c>
      <c r="S4447" t="s">
        <v>653</v>
      </c>
      <c r="T4447" t="s">
        <v>654</v>
      </c>
    </row>
    <row r="4448" spans="1:20" x14ac:dyDescent="0.25">
      <c r="A4448" t="s">
        <v>59</v>
      </c>
      <c r="B4448" t="s">
        <v>31</v>
      </c>
      <c r="C4448" t="s">
        <v>32</v>
      </c>
      <c r="D4448" t="s">
        <v>639</v>
      </c>
      <c r="E4448" t="s">
        <v>652</v>
      </c>
      <c r="F4448" t="s">
        <v>35</v>
      </c>
      <c r="G4448" t="s">
        <v>35</v>
      </c>
      <c r="H4448" t="s">
        <v>35</v>
      </c>
      <c r="J4448" t="s">
        <v>5101</v>
      </c>
      <c r="K4448" t="s">
        <v>1092</v>
      </c>
      <c r="M4448">
        <v>12</v>
      </c>
      <c r="N4448">
        <v>253</v>
      </c>
      <c r="O4448" t="s">
        <v>5</v>
      </c>
      <c r="Q4448" t="s">
        <v>5106</v>
      </c>
      <c r="R4448" t="s">
        <v>5031</v>
      </c>
      <c r="S4448" t="s">
        <v>653</v>
      </c>
      <c r="T4448" t="s">
        <v>654</v>
      </c>
    </row>
    <row r="4449" spans="1:20" x14ac:dyDescent="0.25">
      <c r="A4449" t="s">
        <v>59</v>
      </c>
      <c r="B4449" t="s">
        <v>60</v>
      </c>
      <c r="C4449" t="s">
        <v>32</v>
      </c>
      <c r="D4449" t="s">
        <v>639</v>
      </c>
      <c r="E4449" t="s">
        <v>5137</v>
      </c>
      <c r="F4449" t="s">
        <v>35</v>
      </c>
      <c r="G4449" t="s">
        <v>35</v>
      </c>
      <c r="H4449" t="s">
        <v>35</v>
      </c>
      <c r="J4449" t="s">
        <v>5140</v>
      </c>
      <c r="K4449" t="s">
        <v>404</v>
      </c>
      <c r="M4449">
        <v>14.95</v>
      </c>
      <c r="N4449">
        <v>120</v>
      </c>
      <c r="O4449" t="s">
        <v>106</v>
      </c>
      <c r="Q4449" t="s">
        <v>2145</v>
      </c>
      <c r="R4449" t="s">
        <v>5031</v>
      </c>
      <c r="S4449" t="s">
        <v>653</v>
      </c>
      <c r="T4449" t="s">
        <v>654</v>
      </c>
    </row>
    <row r="4450" spans="1:20" x14ac:dyDescent="0.25">
      <c r="A4450" t="s">
        <v>44</v>
      </c>
      <c r="B4450" t="s">
        <v>51</v>
      </c>
      <c r="C4450" t="s">
        <v>32</v>
      </c>
      <c r="D4450" t="s">
        <v>639</v>
      </c>
      <c r="E4450" t="s">
        <v>5137</v>
      </c>
      <c r="F4450" t="s">
        <v>35</v>
      </c>
      <c r="G4450" t="s">
        <v>35</v>
      </c>
      <c r="H4450" t="s">
        <v>35</v>
      </c>
      <c r="J4450" t="s">
        <v>5140</v>
      </c>
      <c r="K4450" t="s">
        <v>404</v>
      </c>
      <c r="M4450">
        <v>36</v>
      </c>
      <c r="N4450">
        <v>51</v>
      </c>
      <c r="O4450" t="s">
        <v>52</v>
      </c>
      <c r="Q4450" t="s">
        <v>58</v>
      </c>
      <c r="R4450" t="s">
        <v>5031</v>
      </c>
      <c r="S4450" t="s">
        <v>653</v>
      </c>
      <c r="T4450" t="s">
        <v>654</v>
      </c>
    </row>
    <row r="4451" spans="1:20" x14ac:dyDescent="0.25">
      <c r="A4451" t="s">
        <v>44</v>
      </c>
      <c r="B4451" t="s">
        <v>51</v>
      </c>
      <c r="C4451" t="s">
        <v>32</v>
      </c>
      <c r="D4451" t="s">
        <v>639</v>
      </c>
      <c r="E4451" t="s">
        <v>652</v>
      </c>
      <c r="F4451" t="s">
        <v>35</v>
      </c>
      <c r="G4451" t="s">
        <v>35</v>
      </c>
      <c r="H4451" t="s">
        <v>35</v>
      </c>
      <c r="J4451" t="s">
        <v>5098</v>
      </c>
      <c r="K4451" t="s">
        <v>1092</v>
      </c>
      <c r="M4451">
        <v>12</v>
      </c>
      <c r="N4451">
        <v>54</v>
      </c>
      <c r="O4451" t="s">
        <v>52</v>
      </c>
      <c r="Q4451" t="s">
        <v>671</v>
      </c>
      <c r="R4451" t="s">
        <v>5031</v>
      </c>
      <c r="S4451" t="s">
        <v>653</v>
      </c>
      <c r="T4451" t="s">
        <v>654</v>
      </c>
    </row>
    <row r="4452" spans="1:20" x14ac:dyDescent="0.25">
      <c r="A4452" t="s">
        <v>30</v>
      </c>
      <c r="B4452" t="s">
        <v>31</v>
      </c>
      <c r="C4452" t="s">
        <v>32</v>
      </c>
      <c r="D4452" t="s">
        <v>639</v>
      </c>
      <c r="E4452" t="s">
        <v>5078</v>
      </c>
      <c r="F4452" t="s">
        <v>35</v>
      </c>
      <c r="G4452" t="s">
        <v>35</v>
      </c>
      <c r="H4452" t="s">
        <v>35</v>
      </c>
      <c r="J4452" t="s">
        <v>5084</v>
      </c>
      <c r="K4452" t="s">
        <v>1092</v>
      </c>
      <c r="M4452">
        <v>2.2050000000000001</v>
      </c>
      <c r="N4452">
        <v>156</v>
      </c>
      <c r="O4452" t="s">
        <v>38</v>
      </c>
      <c r="Q4452" t="s">
        <v>1632</v>
      </c>
      <c r="R4452" t="s">
        <v>5031</v>
      </c>
      <c r="S4452" t="s">
        <v>653</v>
      </c>
      <c r="T4452" t="s">
        <v>654</v>
      </c>
    </row>
    <row r="4453" spans="1:20" x14ac:dyDescent="0.25">
      <c r="A4453" t="s">
        <v>30</v>
      </c>
      <c r="B4453" t="s">
        <v>31</v>
      </c>
      <c r="C4453" t="s">
        <v>32</v>
      </c>
      <c r="D4453" t="s">
        <v>639</v>
      </c>
      <c r="E4453" t="s">
        <v>5078</v>
      </c>
      <c r="F4453" t="s">
        <v>35</v>
      </c>
      <c r="G4453" t="s">
        <v>35</v>
      </c>
      <c r="H4453" t="s">
        <v>35</v>
      </c>
      <c r="J4453" t="s">
        <v>5083</v>
      </c>
      <c r="K4453" t="s">
        <v>1092</v>
      </c>
      <c r="M4453">
        <v>1.395</v>
      </c>
      <c r="N4453">
        <v>255</v>
      </c>
      <c r="O4453" t="s">
        <v>5</v>
      </c>
      <c r="Q4453" t="s">
        <v>264</v>
      </c>
      <c r="R4453" t="s">
        <v>5031</v>
      </c>
      <c r="S4453" t="s">
        <v>653</v>
      </c>
      <c r="T4453" t="s">
        <v>654</v>
      </c>
    </row>
    <row r="4454" spans="1:20" x14ac:dyDescent="0.25">
      <c r="A4454" t="s">
        <v>30</v>
      </c>
      <c r="B4454" t="s">
        <v>31</v>
      </c>
      <c r="C4454" t="s">
        <v>32</v>
      </c>
      <c r="D4454" t="s">
        <v>639</v>
      </c>
      <c r="E4454" t="s">
        <v>652</v>
      </c>
      <c r="F4454" t="s">
        <v>35</v>
      </c>
      <c r="G4454" t="s">
        <v>35</v>
      </c>
      <c r="H4454" t="s">
        <v>35</v>
      </c>
      <c r="J4454" t="s">
        <v>5120</v>
      </c>
      <c r="K4454" t="s">
        <v>1092</v>
      </c>
      <c r="M4454">
        <v>0.67500000000000004</v>
      </c>
      <c r="N4454">
        <v>87</v>
      </c>
      <c r="O4454" t="s">
        <v>61</v>
      </c>
      <c r="Q4454" t="s">
        <v>394</v>
      </c>
      <c r="R4454" t="s">
        <v>5031</v>
      </c>
      <c r="S4454" t="s">
        <v>653</v>
      </c>
      <c r="T4454" t="s">
        <v>654</v>
      </c>
    </row>
    <row r="4455" spans="1:20" x14ac:dyDescent="0.25">
      <c r="A4455" t="s">
        <v>30</v>
      </c>
      <c r="B4455" t="s">
        <v>31</v>
      </c>
      <c r="C4455" t="s">
        <v>32</v>
      </c>
      <c r="D4455" t="s">
        <v>639</v>
      </c>
      <c r="E4455" t="s">
        <v>652</v>
      </c>
      <c r="F4455" t="s">
        <v>35</v>
      </c>
      <c r="G4455" t="s">
        <v>35</v>
      </c>
      <c r="H4455" t="s">
        <v>35</v>
      </c>
      <c r="J4455" t="s">
        <v>5124</v>
      </c>
      <c r="K4455" t="s">
        <v>1092</v>
      </c>
      <c r="M4455">
        <v>0.46500000000000002</v>
      </c>
      <c r="N4455">
        <v>253</v>
      </c>
      <c r="O4455" t="s">
        <v>5</v>
      </c>
      <c r="Q4455" t="s">
        <v>5106</v>
      </c>
      <c r="R4455" t="s">
        <v>5031</v>
      </c>
      <c r="S4455" t="s">
        <v>653</v>
      </c>
      <c r="T4455" t="s">
        <v>654</v>
      </c>
    </row>
    <row r="4456" spans="1:20" x14ac:dyDescent="0.25">
      <c r="A4456" t="s">
        <v>30</v>
      </c>
      <c r="B4456" t="s">
        <v>31</v>
      </c>
      <c r="C4456" t="s">
        <v>32</v>
      </c>
      <c r="D4456" t="s">
        <v>639</v>
      </c>
      <c r="E4456" t="s">
        <v>652</v>
      </c>
      <c r="F4456" t="s">
        <v>35</v>
      </c>
      <c r="G4456" t="s">
        <v>35</v>
      </c>
      <c r="H4456" t="s">
        <v>35</v>
      </c>
      <c r="J4456" t="s">
        <v>5124</v>
      </c>
      <c r="K4456" t="s">
        <v>1092</v>
      </c>
      <c r="M4456">
        <v>9</v>
      </c>
      <c r="N4456">
        <v>147</v>
      </c>
      <c r="O4456" t="s">
        <v>38</v>
      </c>
      <c r="Q4456" t="s">
        <v>3398</v>
      </c>
      <c r="R4456" t="s">
        <v>5031</v>
      </c>
      <c r="S4456" t="s">
        <v>653</v>
      </c>
      <c r="T4456" t="s">
        <v>654</v>
      </c>
    </row>
    <row r="4457" spans="1:20" x14ac:dyDescent="0.25">
      <c r="A4457" t="s">
        <v>59</v>
      </c>
      <c r="B4457" t="s">
        <v>31</v>
      </c>
      <c r="C4457" t="s">
        <v>32</v>
      </c>
      <c r="D4457" t="s">
        <v>639</v>
      </c>
      <c r="E4457" t="s">
        <v>652</v>
      </c>
      <c r="F4457" t="s">
        <v>35</v>
      </c>
      <c r="G4457" t="s">
        <v>35</v>
      </c>
      <c r="H4457" t="s">
        <v>35</v>
      </c>
      <c r="J4457" t="s">
        <v>5124</v>
      </c>
      <c r="K4457" t="s">
        <v>1092</v>
      </c>
      <c r="M4457">
        <v>7.56</v>
      </c>
      <c r="N4457">
        <v>92</v>
      </c>
      <c r="O4457" t="s">
        <v>106</v>
      </c>
      <c r="Q4457" t="s">
        <v>1216</v>
      </c>
      <c r="R4457" t="s">
        <v>5031</v>
      </c>
      <c r="S4457" t="s">
        <v>653</v>
      </c>
      <c r="T4457" t="s">
        <v>654</v>
      </c>
    </row>
    <row r="4458" spans="1:20" x14ac:dyDescent="0.25">
      <c r="A4458" t="s">
        <v>30</v>
      </c>
      <c r="B4458" t="s">
        <v>31</v>
      </c>
      <c r="C4458" t="s">
        <v>32</v>
      </c>
      <c r="D4458" t="s">
        <v>639</v>
      </c>
      <c r="E4458" t="s">
        <v>5016</v>
      </c>
      <c r="F4458" t="s">
        <v>35</v>
      </c>
      <c r="G4458" t="s">
        <v>35</v>
      </c>
      <c r="H4458" t="s">
        <v>35</v>
      </c>
      <c r="J4458" t="s">
        <v>5030</v>
      </c>
      <c r="K4458" t="s">
        <v>1092</v>
      </c>
      <c r="M4458">
        <v>0.72</v>
      </c>
      <c r="N4458">
        <v>141</v>
      </c>
      <c r="O4458" t="s">
        <v>38</v>
      </c>
      <c r="Q4458" t="s">
        <v>1168</v>
      </c>
      <c r="R4458" t="s">
        <v>5031</v>
      </c>
      <c r="S4458" t="s">
        <v>653</v>
      </c>
      <c r="T4458" t="s">
        <v>654</v>
      </c>
    </row>
    <row r="4459" spans="1:20" x14ac:dyDescent="0.25">
      <c r="A4459" t="s">
        <v>59</v>
      </c>
      <c r="B4459" t="s">
        <v>31</v>
      </c>
      <c r="C4459" t="s">
        <v>32</v>
      </c>
      <c r="D4459" t="s">
        <v>639</v>
      </c>
      <c r="E4459" t="s">
        <v>5016</v>
      </c>
      <c r="F4459" t="s">
        <v>35</v>
      </c>
      <c r="G4459" t="s">
        <v>35</v>
      </c>
      <c r="H4459" t="s">
        <v>35</v>
      </c>
      <c r="J4459" t="s">
        <v>5032</v>
      </c>
      <c r="K4459" t="s">
        <v>1092</v>
      </c>
      <c r="M4459">
        <v>7.2450000000000001</v>
      </c>
      <c r="N4459">
        <v>120</v>
      </c>
      <c r="O4459" t="s">
        <v>106</v>
      </c>
      <c r="Q4459" t="s">
        <v>2145</v>
      </c>
      <c r="R4459" t="s">
        <v>5031</v>
      </c>
      <c r="S4459" t="s">
        <v>653</v>
      </c>
      <c r="T4459" t="s">
        <v>654</v>
      </c>
    </row>
    <row r="4460" spans="1:20" x14ac:dyDescent="0.25">
      <c r="A4460" t="s">
        <v>30</v>
      </c>
      <c r="B4460" t="s">
        <v>31</v>
      </c>
      <c r="C4460" t="s">
        <v>32</v>
      </c>
      <c r="D4460" t="s">
        <v>639</v>
      </c>
      <c r="E4460" t="s">
        <v>4988</v>
      </c>
      <c r="F4460" t="s">
        <v>35</v>
      </c>
      <c r="G4460" t="s">
        <v>35</v>
      </c>
      <c r="H4460" t="s">
        <v>35</v>
      </c>
      <c r="J4460" t="s">
        <v>5003</v>
      </c>
      <c r="K4460" t="s">
        <v>1092</v>
      </c>
      <c r="M4460">
        <v>0.63</v>
      </c>
      <c r="N4460">
        <v>61</v>
      </c>
      <c r="O4460" t="s">
        <v>61</v>
      </c>
      <c r="Q4460" t="s">
        <v>146</v>
      </c>
      <c r="R4460" t="s">
        <v>41</v>
      </c>
      <c r="S4460" t="s">
        <v>42</v>
      </c>
      <c r="T4460" t="s">
        <v>43</v>
      </c>
    </row>
    <row r="4461" spans="1:20" x14ac:dyDescent="0.25">
      <c r="A4461" t="s">
        <v>59</v>
      </c>
      <c r="B4461" t="s">
        <v>31</v>
      </c>
      <c r="C4461" t="s">
        <v>32</v>
      </c>
      <c r="D4461" t="s">
        <v>639</v>
      </c>
      <c r="E4461" t="s">
        <v>5132</v>
      </c>
      <c r="F4461" t="s">
        <v>35</v>
      </c>
      <c r="G4461" t="s">
        <v>35</v>
      </c>
      <c r="H4461" t="s">
        <v>35</v>
      </c>
      <c r="J4461" t="s">
        <v>5136</v>
      </c>
      <c r="K4461" t="s">
        <v>1092</v>
      </c>
      <c r="M4461">
        <v>3.15</v>
      </c>
      <c r="N4461">
        <v>120</v>
      </c>
      <c r="O4461" t="s">
        <v>106</v>
      </c>
      <c r="Q4461" t="s">
        <v>2145</v>
      </c>
      <c r="R4461" t="s">
        <v>41</v>
      </c>
      <c r="S4461" t="s">
        <v>42</v>
      </c>
      <c r="T4461" t="s">
        <v>43</v>
      </c>
    </row>
    <row r="4462" spans="1:20" x14ac:dyDescent="0.25">
      <c r="A4462" t="s">
        <v>30</v>
      </c>
      <c r="B4462" t="s">
        <v>31</v>
      </c>
      <c r="C4462" t="s">
        <v>32</v>
      </c>
      <c r="D4462" t="s">
        <v>639</v>
      </c>
      <c r="E4462" t="s">
        <v>5132</v>
      </c>
      <c r="F4462" t="s">
        <v>35</v>
      </c>
      <c r="G4462" t="s">
        <v>35</v>
      </c>
      <c r="H4462" t="s">
        <v>35</v>
      </c>
      <c r="J4462" t="s">
        <v>5135</v>
      </c>
      <c r="K4462" t="s">
        <v>1092</v>
      </c>
      <c r="M4462">
        <v>1.8</v>
      </c>
      <c r="N4462">
        <v>29</v>
      </c>
      <c r="O4462" t="s">
        <v>46</v>
      </c>
      <c r="Q4462" t="s">
        <v>2005</v>
      </c>
      <c r="R4462" t="s">
        <v>41</v>
      </c>
      <c r="S4462" t="s">
        <v>42</v>
      </c>
      <c r="T4462" t="s">
        <v>43</v>
      </c>
    </row>
    <row r="4463" spans="1:20" x14ac:dyDescent="0.25">
      <c r="A4463" t="s">
        <v>30</v>
      </c>
      <c r="B4463" t="s">
        <v>31</v>
      </c>
      <c r="C4463" t="s">
        <v>32</v>
      </c>
      <c r="D4463" t="s">
        <v>639</v>
      </c>
      <c r="E4463" t="s">
        <v>5078</v>
      </c>
      <c r="F4463" t="s">
        <v>35</v>
      </c>
      <c r="G4463" t="s">
        <v>35</v>
      </c>
      <c r="H4463" t="s">
        <v>35</v>
      </c>
      <c r="J4463" t="s">
        <v>5079</v>
      </c>
      <c r="K4463" t="s">
        <v>1092</v>
      </c>
      <c r="M4463">
        <v>1.8</v>
      </c>
      <c r="N4463">
        <v>403</v>
      </c>
      <c r="O4463" t="s">
        <v>294</v>
      </c>
      <c r="Q4463" t="s">
        <v>4301</v>
      </c>
      <c r="R4463" t="s">
        <v>41</v>
      </c>
      <c r="S4463" t="s">
        <v>42</v>
      </c>
      <c r="T4463" t="s">
        <v>43</v>
      </c>
    </row>
    <row r="4464" spans="1:20" x14ac:dyDescent="0.25">
      <c r="A4464" t="s">
        <v>30</v>
      </c>
      <c r="B4464" t="s">
        <v>31</v>
      </c>
      <c r="C4464" t="s">
        <v>32</v>
      </c>
      <c r="D4464" t="s">
        <v>639</v>
      </c>
      <c r="E4464" t="s">
        <v>5078</v>
      </c>
      <c r="F4464" t="s">
        <v>35</v>
      </c>
      <c r="G4464" t="s">
        <v>35</v>
      </c>
      <c r="H4464" t="s">
        <v>35</v>
      </c>
      <c r="J4464" t="s">
        <v>5079</v>
      </c>
      <c r="K4464" t="s">
        <v>1092</v>
      </c>
      <c r="M4464">
        <v>2.79</v>
      </c>
      <c r="N4464">
        <v>233</v>
      </c>
      <c r="O4464" t="s">
        <v>5</v>
      </c>
      <c r="Q4464" t="s">
        <v>2516</v>
      </c>
      <c r="R4464" t="s">
        <v>41</v>
      </c>
      <c r="S4464" t="s">
        <v>42</v>
      </c>
      <c r="T4464" t="s">
        <v>43</v>
      </c>
    </row>
    <row r="4465" spans="1:20" x14ac:dyDescent="0.25">
      <c r="A4465" t="s">
        <v>30</v>
      </c>
      <c r="B4465" t="s">
        <v>31</v>
      </c>
      <c r="C4465" t="s">
        <v>32</v>
      </c>
      <c r="D4465" t="s">
        <v>639</v>
      </c>
      <c r="E4465" t="s">
        <v>5055</v>
      </c>
      <c r="F4465" t="s">
        <v>35</v>
      </c>
      <c r="G4465" t="s">
        <v>35</v>
      </c>
      <c r="H4465" t="s">
        <v>35</v>
      </c>
      <c r="J4465" t="s">
        <v>5063</v>
      </c>
      <c r="K4465" t="s">
        <v>1092</v>
      </c>
      <c r="M4465">
        <v>0.63</v>
      </c>
      <c r="N4465">
        <v>69</v>
      </c>
      <c r="O4465" t="s">
        <v>61</v>
      </c>
      <c r="Q4465" t="s">
        <v>234</v>
      </c>
      <c r="R4465" t="s">
        <v>642</v>
      </c>
      <c r="S4465" t="s">
        <v>643</v>
      </c>
      <c r="T4465" t="s">
        <v>644</v>
      </c>
    </row>
    <row r="4466" spans="1:20" x14ac:dyDescent="0.25">
      <c r="A4466" t="s">
        <v>59</v>
      </c>
      <c r="B4466" t="s">
        <v>60</v>
      </c>
      <c r="C4466" t="s">
        <v>32</v>
      </c>
      <c r="D4466" t="s">
        <v>639</v>
      </c>
      <c r="E4466" t="s">
        <v>647</v>
      </c>
      <c r="F4466" t="s">
        <v>35</v>
      </c>
      <c r="G4466" t="s">
        <v>35</v>
      </c>
      <c r="H4466" t="s">
        <v>35</v>
      </c>
      <c r="J4466" t="s">
        <v>5039</v>
      </c>
      <c r="K4466" t="s">
        <v>1092</v>
      </c>
      <c r="M4466">
        <v>2.75</v>
      </c>
      <c r="N4466">
        <v>124</v>
      </c>
      <c r="O4466" t="s">
        <v>38</v>
      </c>
      <c r="Q4466" t="s">
        <v>646</v>
      </c>
      <c r="R4466" t="s">
        <v>642</v>
      </c>
      <c r="S4466" t="s">
        <v>643</v>
      </c>
      <c r="T4466" t="s">
        <v>644</v>
      </c>
    </row>
    <row r="4467" spans="1:20" x14ac:dyDescent="0.25">
      <c r="A4467" t="s">
        <v>44</v>
      </c>
      <c r="B4467" t="s">
        <v>51</v>
      </c>
      <c r="C4467" t="s">
        <v>32</v>
      </c>
      <c r="D4467" t="s">
        <v>639</v>
      </c>
      <c r="E4467" t="s">
        <v>5016</v>
      </c>
      <c r="F4467" t="s">
        <v>35</v>
      </c>
      <c r="G4467" t="s">
        <v>35</v>
      </c>
      <c r="H4467" t="s">
        <v>35</v>
      </c>
      <c r="J4467" t="s">
        <v>5021</v>
      </c>
      <c r="K4467" t="s">
        <v>1092</v>
      </c>
      <c r="M4467">
        <v>3</v>
      </c>
      <c r="N4467">
        <v>55</v>
      </c>
      <c r="O4467" t="s">
        <v>52</v>
      </c>
      <c r="Q4467" t="s">
        <v>90</v>
      </c>
      <c r="R4467" t="s">
        <v>642</v>
      </c>
      <c r="S4467" t="s">
        <v>643</v>
      </c>
      <c r="T4467" t="s">
        <v>644</v>
      </c>
    </row>
    <row r="4468" spans="1:20" x14ac:dyDescent="0.25">
      <c r="A4468" t="s">
        <v>30</v>
      </c>
      <c r="B4468" t="s">
        <v>31</v>
      </c>
      <c r="C4468" t="s">
        <v>32</v>
      </c>
      <c r="D4468" t="s">
        <v>639</v>
      </c>
      <c r="E4468" t="s">
        <v>652</v>
      </c>
      <c r="F4468" t="s">
        <v>35</v>
      </c>
      <c r="G4468" t="s">
        <v>35</v>
      </c>
      <c r="H4468" t="s">
        <v>35</v>
      </c>
      <c r="J4468" t="s">
        <v>5108</v>
      </c>
      <c r="K4468" t="s">
        <v>1092</v>
      </c>
      <c r="M4468">
        <v>0.63</v>
      </c>
      <c r="N4468">
        <v>69</v>
      </c>
      <c r="O4468" t="s">
        <v>61</v>
      </c>
      <c r="Q4468" t="s">
        <v>234</v>
      </c>
      <c r="R4468" t="s">
        <v>642</v>
      </c>
      <c r="S4468" t="s">
        <v>643</v>
      </c>
      <c r="T4468" t="s">
        <v>644</v>
      </c>
    </row>
    <row r="4469" spans="1:20" x14ac:dyDescent="0.25">
      <c r="A4469" t="s">
        <v>30</v>
      </c>
      <c r="B4469" t="s">
        <v>31</v>
      </c>
      <c r="C4469" t="s">
        <v>32</v>
      </c>
      <c r="D4469" t="s">
        <v>639</v>
      </c>
      <c r="E4469" t="s">
        <v>5155</v>
      </c>
      <c r="F4469" t="s">
        <v>35</v>
      </c>
      <c r="G4469" t="s">
        <v>35</v>
      </c>
      <c r="H4469" t="s">
        <v>35</v>
      </c>
      <c r="J4469" t="s">
        <v>5156</v>
      </c>
      <c r="K4469" t="s">
        <v>1092</v>
      </c>
      <c r="M4469">
        <v>3.8250000000000002</v>
      </c>
      <c r="N4469">
        <v>146</v>
      </c>
      <c r="O4469" t="s">
        <v>38</v>
      </c>
      <c r="Q4469" t="s">
        <v>569</v>
      </c>
      <c r="R4469" t="s">
        <v>642</v>
      </c>
      <c r="S4469" t="s">
        <v>643</v>
      </c>
      <c r="T4469" t="s">
        <v>644</v>
      </c>
    </row>
    <row r="4470" spans="1:20" x14ac:dyDescent="0.25">
      <c r="A4470" t="s">
        <v>30</v>
      </c>
      <c r="B4470" t="s">
        <v>31</v>
      </c>
      <c r="C4470" t="s">
        <v>32</v>
      </c>
      <c r="D4470" t="s">
        <v>639</v>
      </c>
      <c r="E4470" t="s">
        <v>5137</v>
      </c>
      <c r="F4470" t="s">
        <v>35</v>
      </c>
      <c r="G4470" t="s">
        <v>35</v>
      </c>
      <c r="H4470" t="s">
        <v>35</v>
      </c>
      <c r="J4470" t="s">
        <v>5152</v>
      </c>
      <c r="K4470" t="s">
        <v>1092</v>
      </c>
      <c r="M4470">
        <v>0.22500000000000001</v>
      </c>
      <c r="N4470">
        <v>69</v>
      </c>
      <c r="O4470" t="s">
        <v>61</v>
      </c>
      <c r="Q4470" t="s">
        <v>234</v>
      </c>
      <c r="R4470" t="s">
        <v>642</v>
      </c>
      <c r="S4470" t="s">
        <v>643</v>
      </c>
      <c r="T4470" t="s">
        <v>644</v>
      </c>
    </row>
    <row r="4471" spans="1:20" x14ac:dyDescent="0.25">
      <c r="A4471" t="s">
        <v>44</v>
      </c>
      <c r="B4471" t="s">
        <v>51</v>
      </c>
      <c r="C4471" t="s">
        <v>32</v>
      </c>
      <c r="D4471" t="s">
        <v>639</v>
      </c>
      <c r="E4471" t="s">
        <v>5137</v>
      </c>
      <c r="F4471" t="s">
        <v>35</v>
      </c>
      <c r="G4471" t="s">
        <v>35</v>
      </c>
      <c r="H4471" t="s">
        <v>35</v>
      </c>
      <c r="J4471" t="s">
        <v>5152</v>
      </c>
      <c r="K4471" t="s">
        <v>1092</v>
      </c>
      <c r="M4471">
        <v>1.3</v>
      </c>
      <c r="N4471">
        <v>55</v>
      </c>
      <c r="O4471" t="s">
        <v>52</v>
      </c>
      <c r="Q4471" t="s">
        <v>90</v>
      </c>
      <c r="R4471" t="s">
        <v>642</v>
      </c>
      <c r="S4471" t="s">
        <v>643</v>
      </c>
      <c r="T4471" t="s">
        <v>644</v>
      </c>
    </row>
    <row r="4472" spans="1:20" x14ac:dyDescent="0.25">
      <c r="A4472" t="s">
        <v>59</v>
      </c>
      <c r="B4472" t="s">
        <v>60</v>
      </c>
      <c r="C4472" t="s">
        <v>32</v>
      </c>
      <c r="D4472" t="s">
        <v>639</v>
      </c>
      <c r="E4472" t="s">
        <v>5137</v>
      </c>
      <c r="F4472" t="s">
        <v>35</v>
      </c>
      <c r="G4472" t="s">
        <v>35</v>
      </c>
      <c r="H4472" t="s">
        <v>35</v>
      </c>
      <c r="J4472" t="s">
        <v>5152</v>
      </c>
      <c r="K4472" t="s">
        <v>1092</v>
      </c>
      <c r="M4472">
        <v>0.2</v>
      </c>
      <c r="N4472">
        <v>124</v>
      </c>
      <c r="O4472" t="s">
        <v>38</v>
      </c>
      <c r="Q4472" t="s">
        <v>646</v>
      </c>
      <c r="R4472" t="s">
        <v>642</v>
      </c>
      <c r="S4472" t="s">
        <v>643</v>
      </c>
      <c r="T4472" t="s">
        <v>644</v>
      </c>
    </row>
    <row r="4473" spans="1:20" x14ac:dyDescent="0.25">
      <c r="A4473" t="s">
        <v>30</v>
      </c>
      <c r="B4473" t="s">
        <v>31</v>
      </c>
      <c r="C4473" t="s">
        <v>32</v>
      </c>
      <c r="D4473" t="s">
        <v>639</v>
      </c>
      <c r="E4473" t="s">
        <v>652</v>
      </c>
      <c r="F4473" t="s">
        <v>35</v>
      </c>
      <c r="G4473" t="s">
        <v>35</v>
      </c>
      <c r="H4473" t="s">
        <v>35</v>
      </c>
      <c r="J4473" t="s">
        <v>5097</v>
      </c>
      <c r="K4473" t="s">
        <v>1092</v>
      </c>
      <c r="M4473">
        <v>1.575</v>
      </c>
      <c r="N4473">
        <v>69</v>
      </c>
      <c r="O4473" t="s">
        <v>61</v>
      </c>
      <c r="Q4473" t="s">
        <v>234</v>
      </c>
      <c r="R4473" t="s">
        <v>642</v>
      </c>
      <c r="S4473" t="s">
        <v>643</v>
      </c>
      <c r="T4473" t="s">
        <v>644</v>
      </c>
    </row>
    <row r="4474" spans="1:20" x14ac:dyDescent="0.25">
      <c r="A4474" t="s">
        <v>30</v>
      </c>
      <c r="B4474" t="s">
        <v>31</v>
      </c>
      <c r="C4474" t="s">
        <v>32</v>
      </c>
      <c r="D4474" t="s">
        <v>639</v>
      </c>
      <c r="E4474" t="s">
        <v>652</v>
      </c>
      <c r="F4474" t="s">
        <v>35</v>
      </c>
      <c r="G4474" t="s">
        <v>35</v>
      </c>
      <c r="H4474" t="s">
        <v>35</v>
      </c>
      <c r="J4474" t="s">
        <v>5114</v>
      </c>
      <c r="K4474" t="s">
        <v>1092</v>
      </c>
      <c r="M4474">
        <v>5.9850000000000003</v>
      </c>
      <c r="N4474">
        <v>107</v>
      </c>
      <c r="O4474" t="s">
        <v>106</v>
      </c>
      <c r="Q4474" t="s">
        <v>288</v>
      </c>
      <c r="R4474" t="s">
        <v>642</v>
      </c>
      <c r="S4474" t="s">
        <v>643</v>
      </c>
      <c r="T4474" t="s">
        <v>644</v>
      </c>
    </row>
    <row r="4475" spans="1:20" x14ac:dyDescent="0.25">
      <c r="A4475" t="s">
        <v>59</v>
      </c>
      <c r="B4475" t="s">
        <v>60</v>
      </c>
      <c r="C4475" t="s">
        <v>32</v>
      </c>
      <c r="D4475" t="s">
        <v>639</v>
      </c>
      <c r="E4475" t="s">
        <v>647</v>
      </c>
      <c r="F4475" t="s">
        <v>35</v>
      </c>
      <c r="G4475" t="s">
        <v>35</v>
      </c>
      <c r="H4475" t="s">
        <v>35</v>
      </c>
      <c r="J4475" t="s">
        <v>5040</v>
      </c>
      <c r="K4475" t="s">
        <v>1092</v>
      </c>
      <c r="M4475">
        <v>1.35</v>
      </c>
      <c r="N4475">
        <v>492</v>
      </c>
      <c r="O4475" t="s">
        <v>294</v>
      </c>
      <c r="Q4475" t="s">
        <v>1503</v>
      </c>
      <c r="R4475" t="s">
        <v>642</v>
      </c>
      <c r="S4475" t="s">
        <v>643</v>
      </c>
      <c r="T4475" t="s">
        <v>644</v>
      </c>
    </row>
    <row r="4476" spans="1:20" x14ac:dyDescent="0.25">
      <c r="A4476" t="s">
        <v>59</v>
      </c>
      <c r="B4476" t="s">
        <v>60</v>
      </c>
      <c r="C4476" t="s">
        <v>32</v>
      </c>
      <c r="D4476" t="s">
        <v>639</v>
      </c>
      <c r="E4476" t="s">
        <v>652</v>
      </c>
      <c r="F4476" t="s">
        <v>35</v>
      </c>
      <c r="G4476" t="s">
        <v>35</v>
      </c>
      <c r="H4476" t="s">
        <v>35</v>
      </c>
      <c r="J4476" t="s">
        <v>5121</v>
      </c>
      <c r="K4476" t="s">
        <v>1092</v>
      </c>
      <c r="M4476">
        <v>1.85</v>
      </c>
      <c r="N4476">
        <v>124</v>
      </c>
      <c r="O4476" t="s">
        <v>38</v>
      </c>
      <c r="Q4476" t="s">
        <v>646</v>
      </c>
      <c r="R4476" t="s">
        <v>642</v>
      </c>
      <c r="S4476" t="s">
        <v>643</v>
      </c>
      <c r="T4476" t="s">
        <v>644</v>
      </c>
    </row>
    <row r="4477" spans="1:20" x14ac:dyDescent="0.25">
      <c r="A4477" t="s">
        <v>44</v>
      </c>
      <c r="B4477" t="s">
        <v>51</v>
      </c>
      <c r="C4477" t="s">
        <v>32</v>
      </c>
      <c r="D4477" t="s">
        <v>639</v>
      </c>
      <c r="E4477" t="s">
        <v>652</v>
      </c>
      <c r="F4477" t="s">
        <v>35</v>
      </c>
      <c r="G4477" t="s">
        <v>35</v>
      </c>
      <c r="H4477" t="s">
        <v>35</v>
      </c>
      <c r="J4477" t="s">
        <v>5121</v>
      </c>
      <c r="K4477" t="s">
        <v>1092</v>
      </c>
      <c r="M4477">
        <v>2.65</v>
      </c>
      <c r="N4477">
        <v>55</v>
      </c>
      <c r="O4477" t="s">
        <v>52</v>
      </c>
      <c r="Q4477" t="s">
        <v>90</v>
      </c>
      <c r="R4477" t="s">
        <v>642</v>
      </c>
      <c r="S4477" t="s">
        <v>643</v>
      </c>
      <c r="T4477" t="s">
        <v>644</v>
      </c>
    </row>
    <row r="4478" spans="1:20" x14ac:dyDescent="0.25">
      <c r="A4478" t="s">
        <v>30</v>
      </c>
      <c r="B4478" t="s">
        <v>31</v>
      </c>
      <c r="C4478" t="s">
        <v>32</v>
      </c>
      <c r="D4478" t="s">
        <v>639</v>
      </c>
      <c r="E4478" t="s">
        <v>652</v>
      </c>
      <c r="F4478" t="s">
        <v>35</v>
      </c>
      <c r="G4478" t="s">
        <v>35</v>
      </c>
      <c r="H4478" t="s">
        <v>35</v>
      </c>
      <c r="J4478" t="s">
        <v>5107</v>
      </c>
      <c r="K4478" t="s">
        <v>1092</v>
      </c>
      <c r="M4478">
        <v>10.035</v>
      </c>
      <c r="N4478">
        <v>163</v>
      </c>
      <c r="O4478" t="s">
        <v>38</v>
      </c>
      <c r="Q4478" t="s">
        <v>2780</v>
      </c>
      <c r="R4478" t="s">
        <v>642</v>
      </c>
      <c r="S4478" t="s">
        <v>643</v>
      </c>
      <c r="T4478" t="s">
        <v>644</v>
      </c>
    </row>
    <row r="4479" spans="1:20" x14ac:dyDescent="0.25">
      <c r="A4479" t="s">
        <v>44</v>
      </c>
      <c r="B4479" t="s">
        <v>3</v>
      </c>
      <c r="C4479" t="s">
        <v>32</v>
      </c>
      <c r="D4479" t="s">
        <v>639</v>
      </c>
      <c r="F4479" t="s">
        <v>35</v>
      </c>
      <c r="G4479" t="s">
        <v>35</v>
      </c>
      <c r="H4479" t="s">
        <v>35</v>
      </c>
      <c r="J4479" t="s">
        <v>5165</v>
      </c>
      <c r="K4479" t="s">
        <v>1092</v>
      </c>
      <c r="M4479">
        <v>0.55000000000000004</v>
      </c>
      <c r="N4479">
        <v>428</v>
      </c>
      <c r="O4479" t="s">
        <v>294</v>
      </c>
      <c r="Q4479" t="s">
        <v>1350</v>
      </c>
      <c r="R4479" t="s">
        <v>642</v>
      </c>
      <c r="S4479" t="s">
        <v>643</v>
      </c>
      <c r="T4479" t="s">
        <v>644</v>
      </c>
    </row>
    <row r="4480" spans="1:20" x14ac:dyDescent="0.25">
      <c r="A4480" t="s">
        <v>59</v>
      </c>
      <c r="B4480" t="s">
        <v>60</v>
      </c>
      <c r="C4480" t="s">
        <v>32</v>
      </c>
      <c r="D4480" t="s">
        <v>639</v>
      </c>
      <c r="E4480" t="s">
        <v>647</v>
      </c>
      <c r="F4480" t="s">
        <v>35</v>
      </c>
      <c r="G4480" t="s">
        <v>35</v>
      </c>
      <c r="H4480" t="s">
        <v>35</v>
      </c>
      <c r="J4480" t="s">
        <v>648</v>
      </c>
      <c r="K4480" t="s">
        <v>37</v>
      </c>
      <c r="M4480">
        <v>11.5</v>
      </c>
      <c r="N4480">
        <v>124</v>
      </c>
      <c r="O4480" t="s">
        <v>38</v>
      </c>
      <c r="P4480" t="s">
        <v>560</v>
      </c>
      <c r="Q4480" t="s">
        <v>646</v>
      </c>
      <c r="R4480" t="s">
        <v>642</v>
      </c>
      <c r="S4480" t="s">
        <v>643</v>
      </c>
      <c r="T4480" t="s">
        <v>644</v>
      </c>
    </row>
    <row r="4481" spans="1:20" x14ac:dyDescent="0.25">
      <c r="A4481" t="s">
        <v>30</v>
      </c>
      <c r="B4481" t="s">
        <v>31</v>
      </c>
      <c r="C4481" t="s">
        <v>32</v>
      </c>
      <c r="D4481" t="s">
        <v>639</v>
      </c>
      <c r="E4481" t="s">
        <v>647</v>
      </c>
      <c r="F4481" t="s">
        <v>35</v>
      </c>
      <c r="G4481" t="s">
        <v>35</v>
      </c>
      <c r="H4481" t="s">
        <v>35</v>
      </c>
      <c r="J4481" t="s">
        <v>648</v>
      </c>
      <c r="K4481" t="s">
        <v>37</v>
      </c>
      <c r="M4481">
        <v>7.1550000000000002</v>
      </c>
      <c r="N4481">
        <v>69</v>
      </c>
      <c r="O4481" t="s">
        <v>61</v>
      </c>
      <c r="P4481" t="s">
        <v>650</v>
      </c>
      <c r="Q4481" t="s">
        <v>234</v>
      </c>
      <c r="R4481" t="s">
        <v>642</v>
      </c>
      <c r="S4481" t="s">
        <v>643</v>
      </c>
      <c r="T4481" t="s">
        <v>644</v>
      </c>
    </row>
    <row r="4482" spans="1:20" x14ac:dyDescent="0.25">
      <c r="A4482" t="s">
        <v>59</v>
      </c>
      <c r="B4482" t="s">
        <v>31</v>
      </c>
      <c r="C4482" t="s">
        <v>32</v>
      </c>
      <c r="D4482" t="s">
        <v>639</v>
      </c>
      <c r="E4482" t="s">
        <v>647</v>
      </c>
      <c r="F4482" t="s">
        <v>35</v>
      </c>
      <c r="G4482" t="s">
        <v>35</v>
      </c>
      <c r="H4482" t="s">
        <v>35</v>
      </c>
      <c r="J4482" t="s">
        <v>648</v>
      </c>
      <c r="K4482" t="s">
        <v>37</v>
      </c>
      <c r="M4482">
        <v>1.0349999999999999</v>
      </c>
      <c r="N4482">
        <v>124</v>
      </c>
      <c r="O4482" t="s">
        <v>38</v>
      </c>
      <c r="P4482" t="s">
        <v>651</v>
      </c>
      <c r="Q4482" t="s">
        <v>646</v>
      </c>
      <c r="R4482" t="s">
        <v>642</v>
      </c>
      <c r="S4482" t="s">
        <v>643</v>
      </c>
      <c r="T4482" t="s">
        <v>644</v>
      </c>
    </row>
    <row r="4483" spans="1:20" x14ac:dyDescent="0.25">
      <c r="A4483" t="s">
        <v>30</v>
      </c>
      <c r="B4483" t="s">
        <v>31</v>
      </c>
      <c r="C4483" t="s">
        <v>32</v>
      </c>
      <c r="D4483" t="s">
        <v>639</v>
      </c>
      <c r="E4483" t="s">
        <v>647</v>
      </c>
      <c r="F4483" t="s">
        <v>35</v>
      </c>
      <c r="G4483" t="s">
        <v>35</v>
      </c>
      <c r="H4483" t="s">
        <v>35</v>
      </c>
      <c r="J4483" t="s">
        <v>5047</v>
      </c>
      <c r="K4483" t="s">
        <v>1092</v>
      </c>
      <c r="M4483">
        <v>0.99</v>
      </c>
      <c r="N4483">
        <v>145</v>
      </c>
      <c r="O4483" t="s">
        <v>38</v>
      </c>
      <c r="Q4483" t="s">
        <v>408</v>
      </c>
      <c r="R4483" t="s">
        <v>642</v>
      </c>
      <c r="S4483" t="s">
        <v>643</v>
      </c>
      <c r="T4483" t="s">
        <v>644</v>
      </c>
    </row>
    <row r="4484" spans="1:20" x14ac:dyDescent="0.25">
      <c r="A4484" t="s">
        <v>44</v>
      </c>
      <c r="B4484" t="s">
        <v>51</v>
      </c>
      <c r="C4484" t="s">
        <v>32</v>
      </c>
      <c r="D4484" t="s">
        <v>639</v>
      </c>
      <c r="E4484" t="s">
        <v>647</v>
      </c>
      <c r="F4484" t="s">
        <v>35</v>
      </c>
      <c r="G4484" t="s">
        <v>35</v>
      </c>
      <c r="H4484" t="s">
        <v>35</v>
      </c>
      <c r="J4484" t="s">
        <v>5047</v>
      </c>
      <c r="K4484" t="s">
        <v>1092</v>
      </c>
      <c r="M4484">
        <v>0.25</v>
      </c>
      <c r="N4484">
        <v>504</v>
      </c>
      <c r="O4484" t="s">
        <v>294</v>
      </c>
      <c r="Q4484" t="s">
        <v>5048</v>
      </c>
      <c r="R4484" t="s">
        <v>642</v>
      </c>
      <c r="S4484" t="s">
        <v>643</v>
      </c>
      <c r="T4484" t="s">
        <v>644</v>
      </c>
    </row>
    <row r="4485" spans="1:20" x14ac:dyDescent="0.25">
      <c r="A4485" t="s">
        <v>30</v>
      </c>
      <c r="B4485" t="s">
        <v>31</v>
      </c>
      <c r="C4485" t="s">
        <v>32</v>
      </c>
      <c r="D4485" t="s">
        <v>639</v>
      </c>
      <c r="E4485" t="s">
        <v>5137</v>
      </c>
      <c r="F4485" t="s">
        <v>35</v>
      </c>
      <c r="G4485" t="s">
        <v>35</v>
      </c>
      <c r="H4485" t="s">
        <v>35</v>
      </c>
      <c r="J4485" t="s">
        <v>5143</v>
      </c>
      <c r="K4485" t="s">
        <v>1092</v>
      </c>
      <c r="M4485">
        <v>0.18</v>
      </c>
      <c r="N4485">
        <v>69</v>
      </c>
      <c r="O4485" t="s">
        <v>61</v>
      </c>
      <c r="Q4485" t="s">
        <v>234</v>
      </c>
      <c r="R4485" t="s">
        <v>642</v>
      </c>
      <c r="S4485" t="s">
        <v>643</v>
      </c>
      <c r="T4485" t="s">
        <v>644</v>
      </c>
    </row>
    <row r="4486" spans="1:20" x14ac:dyDescent="0.25">
      <c r="A4486" t="s">
        <v>30</v>
      </c>
      <c r="B4486" t="s">
        <v>31</v>
      </c>
      <c r="C4486" t="s">
        <v>32</v>
      </c>
      <c r="D4486" t="s">
        <v>639</v>
      </c>
      <c r="E4486" t="s">
        <v>5137</v>
      </c>
      <c r="F4486" t="s">
        <v>35</v>
      </c>
      <c r="G4486" t="s">
        <v>35</v>
      </c>
      <c r="H4486" t="s">
        <v>35</v>
      </c>
      <c r="J4486" t="s">
        <v>5146</v>
      </c>
      <c r="K4486" t="s">
        <v>1092</v>
      </c>
      <c r="M4486">
        <v>1.6</v>
      </c>
      <c r="N4486">
        <v>69</v>
      </c>
      <c r="O4486" t="s">
        <v>61</v>
      </c>
      <c r="Q4486" t="s">
        <v>234</v>
      </c>
      <c r="R4486" t="s">
        <v>642</v>
      </c>
      <c r="S4486" t="s">
        <v>643</v>
      </c>
      <c r="T4486" t="s">
        <v>644</v>
      </c>
    </row>
    <row r="4487" spans="1:20" x14ac:dyDescent="0.25">
      <c r="A4487" t="s">
        <v>30</v>
      </c>
      <c r="B4487" t="s">
        <v>31</v>
      </c>
      <c r="C4487" t="s">
        <v>32</v>
      </c>
      <c r="D4487" t="s">
        <v>639</v>
      </c>
      <c r="E4487" t="s">
        <v>647</v>
      </c>
      <c r="F4487" t="s">
        <v>35</v>
      </c>
      <c r="G4487" t="s">
        <v>35</v>
      </c>
      <c r="H4487" t="s">
        <v>35</v>
      </c>
      <c r="J4487" t="s">
        <v>5046</v>
      </c>
      <c r="K4487" t="s">
        <v>1092</v>
      </c>
      <c r="M4487">
        <v>0.99</v>
      </c>
      <c r="N4487">
        <v>69</v>
      </c>
      <c r="O4487" t="s">
        <v>61</v>
      </c>
      <c r="Q4487" t="s">
        <v>234</v>
      </c>
      <c r="R4487" t="s">
        <v>642</v>
      </c>
      <c r="S4487" t="s">
        <v>643</v>
      </c>
      <c r="T4487" t="s">
        <v>644</v>
      </c>
    </row>
    <row r="4488" spans="1:20" x14ac:dyDescent="0.25">
      <c r="A4488" t="s">
        <v>44</v>
      </c>
      <c r="B4488" t="s">
        <v>51</v>
      </c>
      <c r="C4488" t="s">
        <v>32</v>
      </c>
      <c r="D4488" t="s">
        <v>639</v>
      </c>
      <c r="E4488" t="s">
        <v>5016</v>
      </c>
      <c r="F4488" t="s">
        <v>35</v>
      </c>
      <c r="G4488" t="s">
        <v>35</v>
      </c>
      <c r="H4488" t="s">
        <v>35</v>
      </c>
      <c r="J4488" t="s">
        <v>5033</v>
      </c>
      <c r="K4488" t="s">
        <v>1092</v>
      </c>
      <c r="M4488">
        <v>4.4000000000000004</v>
      </c>
      <c r="N4488">
        <v>55</v>
      </c>
      <c r="O4488" t="s">
        <v>52</v>
      </c>
      <c r="Q4488" t="s">
        <v>90</v>
      </c>
      <c r="R4488" t="s">
        <v>642</v>
      </c>
      <c r="S4488" t="s">
        <v>643</v>
      </c>
      <c r="T4488" t="s">
        <v>644</v>
      </c>
    </row>
    <row r="4489" spans="1:20" x14ac:dyDescent="0.25">
      <c r="A4489" t="s">
        <v>59</v>
      </c>
      <c r="B4489" t="s">
        <v>60</v>
      </c>
      <c r="C4489" t="s">
        <v>32</v>
      </c>
      <c r="D4489" t="s">
        <v>639</v>
      </c>
      <c r="E4489" t="s">
        <v>5137</v>
      </c>
      <c r="F4489" t="s">
        <v>35</v>
      </c>
      <c r="G4489" t="s">
        <v>35</v>
      </c>
      <c r="H4489" t="s">
        <v>35</v>
      </c>
      <c r="J4489" t="s">
        <v>5147</v>
      </c>
      <c r="K4489" t="s">
        <v>1092</v>
      </c>
      <c r="M4489">
        <v>3.7</v>
      </c>
      <c r="N4489">
        <v>124</v>
      </c>
      <c r="O4489" t="s">
        <v>38</v>
      </c>
      <c r="Q4489" t="s">
        <v>646</v>
      </c>
      <c r="R4489" t="s">
        <v>642</v>
      </c>
      <c r="S4489" t="s">
        <v>643</v>
      </c>
      <c r="T4489" t="s">
        <v>644</v>
      </c>
    </row>
    <row r="4490" spans="1:20" x14ac:dyDescent="0.25">
      <c r="A4490" t="s">
        <v>30</v>
      </c>
      <c r="B4490" t="s">
        <v>31</v>
      </c>
      <c r="C4490" t="s">
        <v>32</v>
      </c>
      <c r="D4490" t="s">
        <v>639</v>
      </c>
      <c r="E4490" t="s">
        <v>5055</v>
      </c>
      <c r="F4490" t="s">
        <v>35</v>
      </c>
      <c r="G4490" t="s">
        <v>35</v>
      </c>
      <c r="H4490" t="s">
        <v>35</v>
      </c>
      <c r="J4490" t="s">
        <v>5062</v>
      </c>
      <c r="K4490" t="s">
        <v>1092</v>
      </c>
      <c r="M4490">
        <v>3.7349999999999999</v>
      </c>
      <c r="N4490">
        <v>578</v>
      </c>
      <c r="O4490" t="s">
        <v>575</v>
      </c>
      <c r="Q4490" t="s">
        <v>1416</v>
      </c>
      <c r="R4490" t="s">
        <v>642</v>
      </c>
      <c r="S4490" t="s">
        <v>643</v>
      </c>
      <c r="T4490" t="s">
        <v>644</v>
      </c>
    </row>
    <row r="4491" spans="1:20" x14ac:dyDescent="0.25">
      <c r="A4491" t="s">
        <v>59</v>
      </c>
      <c r="B4491" t="s">
        <v>60</v>
      </c>
      <c r="C4491" t="s">
        <v>32</v>
      </c>
      <c r="D4491" t="s">
        <v>639</v>
      </c>
      <c r="E4491" t="s">
        <v>5016</v>
      </c>
      <c r="F4491" t="s">
        <v>35</v>
      </c>
      <c r="G4491" t="s">
        <v>35</v>
      </c>
      <c r="H4491" t="s">
        <v>35</v>
      </c>
      <c r="J4491" t="s">
        <v>5027</v>
      </c>
      <c r="K4491" t="s">
        <v>1092</v>
      </c>
      <c r="M4491">
        <v>3</v>
      </c>
      <c r="N4491">
        <v>255</v>
      </c>
      <c r="O4491" t="s">
        <v>5</v>
      </c>
      <c r="Q4491" t="s">
        <v>264</v>
      </c>
      <c r="R4491" t="s">
        <v>642</v>
      </c>
      <c r="S4491" t="s">
        <v>643</v>
      </c>
      <c r="T4491" t="s">
        <v>644</v>
      </c>
    </row>
    <row r="4492" spans="1:20" x14ac:dyDescent="0.25">
      <c r="A4492" t="s">
        <v>44</v>
      </c>
      <c r="B4492" t="s">
        <v>3</v>
      </c>
      <c r="C4492" t="s">
        <v>32</v>
      </c>
      <c r="D4492" t="s">
        <v>639</v>
      </c>
      <c r="E4492" t="s">
        <v>5016</v>
      </c>
      <c r="F4492" t="s">
        <v>35</v>
      </c>
      <c r="G4492" t="s">
        <v>35</v>
      </c>
      <c r="H4492" t="s">
        <v>35</v>
      </c>
      <c r="J4492" t="s">
        <v>5027</v>
      </c>
      <c r="K4492" t="s">
        <v>1092</v>
      </c>
      <c r="M4492">
        <v>3.3</v>
      </c>
      <c r="N4492">
        <v>577</v>
      </c>
      <c r="O4492" t="s">
        <v>575</v>
      </c>
      <c r="Q4492" t="s">
        <v>3636</v>
      </c>
      <c r="R4492" t="s">
        <v>642</v>
      </c>
      <c r="S4492" t="s">
        <v>643</v>
      </c>
      <c r="T4492" t="s">
        <v>644</v>
      </c>
    </row>
    <row r="4493" spans="1:20" x14ac:dyDescent="0.25">
      <c r="A4493" t="s">
        <v>44</v>
      </c>
      <c r="B4493" t="s">
        <v>3</v>
      </c>
      <c r="C4493" t="s">
        <v>32</v>
      </c>
      <c r="D4493" t="s">
        <v>639</v>
      </c>
      <c r="E4493" t="s">
        <v>5013</v>
      </c>
      <c r="F4493" t="s">
        <v>35</v>
      </c>
      <c r="G4493" t="s">
        <v>35</v>
      </c>
      <c r="H4493" t="s">
        <v>35</v>
      </c>
      <c r="J4493" t="s">
        <v>5014</v>
      </c>
      <c r="K4493" t="s">
        <v>1092</v>
      </c>
      <c r="M4493">
        <v>0.7</v>
      </c>
      <c r="N4493">
        <v>577</v>
      </c>
      <c r="O4493" t="s">
        <v>575</v>
      </c>
      <c r="Q4493" t="s">
        <v>3636</v>
      </c>
      <c r="R4493" t="s">
        <v>642</v>
      </c>
      <c r="S4493" t="s">
        <v>643</v>
      </c>
      <c r="T4493" t="s">
        <v>644</v>
      </c>
    </row>
    <row r="4494" spans="1:20" x14ac:dyDescent="0.25">
      <c r="A4494" t="s">
        <v>59</v>
      </c>
      <c r="B4494" t="s">
        <v>60</v>
      </c>
      <c r="C4494" t="s">
        <v>32</v>
      </c>
      <c r="D4494" t="s">
        <v>639</v>
      </c>
      <c r="E4494" t="s">
        <v>5137</v>
      </c>
      <c r="F4494" t="s">
        <v>35</v>
      </c>
      <c r="G4494" t="s">
        <v>35</v>
      </c>
      <c r="H4494" t="s">
        <v>35</v>
      </c>
      <c r="J4494" t="s">
        <v>5139</v>
      </c>
      <c r="K4494" t="s">
        <v>404</v>
      </c>
      <c r="M4494">
        <v>0.105</v>
      </c>
      <c r="N4494">
        <v>124</v>
      </c>
      <c r="O4494" t="s">
        <v>38</v>
      </c>
      <c r="Q4494" t="s">
        <v>646</v>
      </c>
      <c r="R4494" t="s">
        <v>642</v>
      </c>
      <c r="S4494" t="s">
        <v>643</v>
      </c>
      <c r="T4494" t="s">
        <v>644</v>
      </c>
    </row>
    <row r="4495" spans="1:20" x14ac:dyDescent="0.25">
      <c r="A4495" t="s">
        <v>30</v>
      </c>
      <c r="B4495" t="s">
        <v>31</v>
      </c>
      <c r="C4495" t="s">
        <v>32</v>
      </c>
      <c r="D4495" t="s">
        <v>639</v>
      </c>
      <c r="E4495" t="s">
        <v>5137</v>
      </c>
      <c r="F4495" t="s">
        <v>35</v>
      </c>
      <c r="G4495" t="s">
        <v>35</v>
      </c>
      <c r="H4495" t="s">
        <v>35</v>
      </c>
      <c r="J4495" t="s">
        <v>5139</v>
      </c>
      <c r="K4495" t="s">
        <v>404</v>
      </c>
      <c r="M4495">
        <v>4.5049999999999999</v>
      </c>
      <c r="N4495">
        <v>69</v>
      </c>
      <c r="O4495" t="s">
        <v>61</v>
      </c>
      <c r="Q4495" t="s">
        <v>234</v>
      </c>
      <c r="R4495" t="s">
        <v>642</v>
      </c>
      <c r="S4495" t="s">
        <v>643</v>
      </c>
      <c r="T4495" t="s">
        <v>644</v>
      </c>
    </row>
    <row r="4496" spans="1:20" x14ac:dyDescent="0.25">
      <c r="A4496" t="s">
        <v>59</v>
      </c>
      <c r="B4496" t="s">
        <v>31</v>
      </c>
      <c r="C4496" t="s">
        <v>32</v>
      </c>
      <c r="D4496" t="s">
        <v>639</v>
      </c>
      <c r="E4496" t="s">
        <v>5078</v>
      </c>
      <c r="F4496" t="s">
        <v>35</v>
      </c>
      <c r="G4496" t="s">
        <v>35</v>
      </c>
      <c r="H4496" t="s">
        <v>35</v>
      </c>
      <c r="J4496" t="s">
        <v>5085</v>
      </c>
      <c r="K4496" t="s">
        <v>1092</v>
      </c>
      <c r="M4496">
        <v>1.98</v>
      </c>
      <c r="N4496">
        <v>1277</v>
      </c>
      <c r="O4496" t="s">
        <v>575</v>
      </c>
      <c r="Q4496" t="s">
        <v>5086</v>
      </c>
      <c r="R4496" t="s">
        <v>642</v>
      </c>
      <c r="S4496" t="s">
        <v>643</v>
      </c>
      <c r="T4496" t="s">
        <v>644</v>
      </c>
    </row>
    <row r="4497" spans="1:20" x14ac:dyDescent="0.25">
      <c r="A4497" t="s">
        <v>59</v>
      </c>
      <c r="B4497" t="s">
        <v>31</v>
      </c>
      <c r="C4497" t="s">
        <v>32</v>
      </c>
      <c r="D4497" t="s">
        <v>639</v>
      </c>
      <c r="E4497" t="s">
        <v>5078</v>
      </c>
      <c r="F4497" t="s">
        <v>35</v>
      </c>
      <c r="G4497" t="s">
        <v>35</v>
      </c>
      <c r="H4497" t="s">
        <v>35</v>
      </c>
      <c r="J4497" t="s">
        <v>5085</v>
      </c>
      <c r="K4497" t="s">
        <v>1092</v>
      </c>
      <c r="M4497">
        <v>5.49</v>
      </c>
      <c r="N4497">
        <v>1060</v>
      </c>
      <c r="O4497" t="s">
        <v>575</v>
      </c>
      <c r="Q4497" t="s">
        <v>1407</v>
      </c>
      <c r="R4497" t="s">
        <v>642</v>
      </c>
      <c r="S4497" t="s">
        <v>643</v>
      </c>
      <c r="T4497" t="s">
        <v>644</v>
      </c>
    </row>
    <row r="4498" spans="1:20" x14ac:dyDescent="0.25">
      <c r="A4498" t="s">
        <v>30</v>
      </c>
      <c r="B4498" t="s">
        <v>31</v>
      </c>
      <c r="C4498" t="s">
        <v>32</v>
      </c>
      <c r="D4498" t="s">
        <v>639</v>
      </c>
      <c r="E4498" t="s">
        <v>5078</v>
      </c>
      <c r="F4498" t="s">
        <v>35</v>
      </c>
      <c r="G4498" t="s">
        <v>35</v>
      </c>
      <c r="H4498" t="s">
        <v>35</v>
      </c>
      <c r="J4498" t="s">
        <v>5085</v>
      </c>
      <c r="K4498" t="s">
        <v>1092</v>
      </c>
      <c r="M4498">
        <v>3.69</v>
      </c>
      <c r="N4498">
        <v>1176</v>
      </c>
      <c r="O4498" t="s">
        <v>575</v>
      </c>
      <c r="Q4498" t="s">
        <v>5087</v>
      </c>
      <c r="R4498" t="s">
        <v>642</v>
      </c>
      <c r="S4498" t="s">
        <v>643</v>
      </c>
      <c r="T4498" t="s">
        <v>644</v>
      </c>
    </row>
    <row r="4499" spans="1:20" x14ac:dyDescent="0.25">
      <c r="A4499" t="s">
        <v>30</v>
      </c>
      <c r="B4499" t="s">
        <v>31</v>
      </c>
      <c r="C4499" t="s">
        <v>32</v>
      </c>
      <c r="D4499" t="s">
        <v>639</v>
      </c>
      <c r="E4499" t="s">
        <v>5055</v>
      </c>
      <c r="F4499" t="s">
        <v>35</v>
      </c>
      <c r="G4499" t="s">
        <v>35</v>
      </c>
      <c r="H4499" t="s">
        <v>35</v>
      </c>
      <c r="J4499" t="s">
        <v>5056</v>
      </c>
      <c r="K4499" t="s">
        <v>1092</v>
      </c>
      <c r="M4499">
        <v>2.4300000000000002</v>
      </c>
      <c r="N4499">
        <v>889</v>
      </c>
      <c r="O4499" t="s">
        <v>575</v>
      </c>
      <c r="Q4499" t="s">
        <v>5057</v>
      </c>
      <c r="R4499" t="s">
        <v>642</v>
      </c>
      <c r="S4499" t="s">
        <v>643</v>
      </c>
      <c r="T4499" t="s">
        <v>644</v>
      </c>
    </row>
    <row r="4500" spans="1:20" x14ac:dyDescent="0.25">
      <c r="A4500" t="s">
        <v>30</v>
      </c>
      <c r="B4500" t="s">
        <v>31</v>
      </c>
      <c r="C4500" t="s">
        <v>32</v>
      </c>
      <c r="D4500" t="s">
        <v>639</v>
      </c>
      <c r="E4500" t="s">
        <v>647</v>
      </c>
      <c r="F4500" t="s">
        <v>35</v>
      </c>
      <c r="G4500" t="s">
        <v>35</v>
      </c>
      <c r="H4500" t="s">
        <v>35</v>
      </c>
      <c r="J4500" t="s">
        <v>5041</v>
      </c>
      <c r="K4500" t="s">
        <v>1092</v>
      </c>
      <c r="M4500">
        <v>2.7</v>
      </c>
      <c r="N4500">
        <v>578</v>
      </c>
      <c r="O4500" t="s">
        <v>575</v>
      </c>
      <c r="Q4500" t="s">
        <v>1416</v>
      </c>
      <c r="R4500" t="s">
        <v>642</v>
      </c>
      <c r="S4500" t="s">
        <v>643</v>
      </c>
      <c r="T4500" t="s">
        <v>644</v>
      </c>
    </row>
    <row r="4501" spans="1:20" x14ac:dyDescent="0.25">
      <c r="A4501" t="s">
        <v>59</v>
      </c>
      <c r="B4501" t="s">
        <v>60</v>
      </c>
      <c r="C4501" t="s">
        <v>32</v>
      </c>
      <c r="D4501" t="s">
        <v>639</v>
      </c>
      <c r="E4501" t="s">
        <v>647</v>
      </c>
      <c r="F4501" t="s">
        <v>35</v>
      </c>
      <c r="G4501" t="s">
        <v>35</v>
      </c>
      <c r="H4501" t="s">
        <v>35</v>
      </c>
      <c r="J4501" t="s">
        <v>5041</v>
      </c>
      <c r="K4501" t="s">
        <v>1092</v>
      </c>
      <c r="M4501">
        <v>0.05</v>
      </c>
      <c r="N4501">
        <v>861</v>
      </c>
      <c r="O4501" t="s">
        <v>575</v>
      </c>
      <c r="Q4501" t="s">
        <v>5042</v>
      </c>
      <c r="R4501" t="s">
        <v>642</v>
      </c>
      <c r="S4501" t="s">
        <v>643</v>
      </c>
      <c r="T4501" t="s">
        <v>644</v>
      </c>
    </row>
    <row r="4502" spans="1:20" x14ac:dyDescent="0.25">
      <c r="A4502" t="s">
        <v>30</v>
      </c>
      <c r="B4502" t="s">
        <v>31</v>
      </c>
      <c r="C4502" t="s">
        <v>32</v>
      </c>
      <c r="D4502" t="s">
        <v>639</v>
      </c>
      <c r="E4502" t="s">
        <v>647</v>
      </c>
      <c r="F4502" t="s">
        <v>35</v>
      </c>
      <c r="G4502" t="s">
        <v>35</v>
      </c>
      <c r="H4502" t="s">
        <v>35</v>
      </c>
      <c r="J4502" t="s">
        <v>5054</v>
      </c>
      <c r="K4502" t="s">
        <v>1092</v>
      </c>
      <c r="M4502">
        <v>0.45</v>
      </c>
      <c r="N4502">
        <v>145</v>
      </c>
      <c r="O4502" t="s">
        <v>38</v>
      </c>
      <c r="Q4502" t="s">
        <v>408</v>
      </c>
      <c r="R4502" t="s">
        <v>642</v>
      </c>
      <c r="S4502" t="s">
        <v>643</v>
      </c>
      <c r="T4502" t="s">
        <v>644</v>
      </c>
    </row>
    <row r="4503" spans="1:20" x14ac:dyDescent="0.25">
      <c r="A4503" t="s">
        <v>59</v>
      </c>
      <c r="B4503" t="s">
        <v>60</v>
      </c>
      <c r="C4503" t="s">
        <v>32</v>
      </c>
      <c r="D4503" t="s">
        <v>639</v>
      </c>
      <c r="E4503" t="s">
        <v>5137</v>
      </c>
      <c r="F4503" t="s">
        <v>35</v>
      </c>
      <c r="G4503" t="s">
        <v>35</v>
      </c>
      <c r="H4503" t="s">
        <v>35</v>
      </c>
      <c r="J4503" t="s">
        <v>5142</v>
      </c>
      <c r="K4503" t="s">
        <v>1092</v>
      </c>
      <c r="M4503">
        <v>0.25</v>
      </c>
      <c r="N4503">
        <v>124</v>
      </c>
      <c r="O4503" t="s">
        <v>38</v>
      </c>
      <c r="Q4503" t="s">
        <v>646</v>
      </c>
      <c r="R4503" t="s">
        <v>642</v>
      </c>
      <c r="S4503" t="s">
        <v>643</v>
      </c>
      <c r="T4503" t="s">
        <v>644</v>
      </c>
    </row>
    <row r="4504" spans="1:20" x14ac:dyDescent="0.25">
      <c r="A4504" t="s">
        <v>30</v>
      </c>
      <c r="B4504" t="s">
        <v>31</v>
      </c>
      <c r="C4504" t="s">
        <v>32</v>
      </c>
      <c r="D4504" t="s">
        <v>639</v>
      </c>
      <c r="E4504" t="s">
        <v>4988</v>
      </c>
      <c r="F4504" t="s">
        <v>35</v>
      </c>
      <c r="G4504" t="s">
        <v>35</v>
      </c>
      <c r="H4504" t="s">
        <v>35</v>
      </c>
      <c r="J4504" t="s">
        <v>4989</v>
      </c>
      <c r="K4504" t="s">
        <v>1092</v>
      </c>
      <c r="M4504">
        <v>11.97</v>
      </c>
      <c r="N4504">
        <v>69</v>
      </c>
      <c r="O4504" t="s">
        <v>61</v>
      </c>
      <c r="Q4504" t="s">
        <v>234</v>
      </c>
      <c r="R4504" t="s">
        <v>642</v>
      </c>
      <c r="S4504" t="s">
        <v>643</v>
      </c>
      <c r="T4504" t="s">
        <v>644</v>
      </c>
    </row>
    <row r="4505" spans="1:20" x14ac:dyDescent="0.25">
      <c r="A4505" t="s">
        <v>59</v>
      </c>
      <c r="B4505" t="s">
        <v>60</v>
      </c>
      <c r="C4505" t="s">
        <v>32</v>
      </c>
      <c r="D4505" t="s">
        <v>639</v>
      </c>
      <c r="E4505" t="s">
        <v>5013</v>
      </c>
      <c r="F4505" t="s">
        <v>35</v>
      </c>
      <c r="G4505" t="s">
        <v>35</v>
      </c>
      <c r="H4505" t="s">
        <v>35</v>
      </c>
      <c r="J4505" t="s">
        <v>5015</v>
      </c>
      <c r="K4505" t="s">
        <v>1092</v>
      </c>
      <c r="M4505">
        <v>4</v>
      </c>
      <c r="N4505">
        <v>124</v>
      </c>
      <c r="O4505" t="s">
        <v>38</v>
      </c>
      <c r="Q4505" t="s">
        <v>646</v>
      </c>
      <c r="R4505" t="s">
        <v>642</v>
      </c>
      <c r="S4505" t="s">
        <v>643</v>
      </c>
      <c r="T4505" t="s">
        <v>644</v>
      </c>
    </row>
    <row r="4506" spans="1:20" x14ac:dyDescent="0.25">
      <c r="A4506" t="s">
        <v>59</v>
      </c>
      <c r="B4506" t="s">
        <v>60</v>
      </c>
      <c r="C4506" t="s">
        <v>32</v>
      </c>
      <c r="D4506" t="s">
        <v>639</v>
      </c>
      <c r="E4506" t="s">
        <v>5013</v>
      </c>
      <c r="F4506" t="s">
        <v>35</v>
      </c>
      <c r="G4506" t="s">
        <v>35</v>
      </c>
      <c r="H4506" t="s">
        <v>35</v>
      </c>
      <c r="J4506" t="s">
        <v>5015</v>
      </c>
      <c r="K4506" t="s">
        <v>1092</v>
      </c>
      <c r="M4506">
        <v>1</v>
      </c>
      <c r="N4506">
        <v>211</v>
      </c>
      <c r="O4506" t="s">
        <v>5</v>
      </c>
      <c r="Q4506" t="s">
        <v>1504</v>
      </c>
      <c r="R4506" t="s">
        <v>642</v>
      </c>
      <c r="S4506" t="s">
        <v>643</v>
      </c>
      <c r="T4506" t="s">
        <v>644</v>
      </c>
    </row>
    <row r="4507" spans="1:20" x14ac:dyDescent="0.25">
      <c r="A4507" t="s">
        <v>59</v>
      </c>
      <c r="B4507" t="s">
        <v>60</v>
      </c>
      <c r="C4507" t="s">
        <v>32</v>
      </c>
      <c r="D4507" t="s">
        <v>639</v>
      </c>
      <c r="E4507" t="s">
        <v>647</v>
      </c>
      <c r="F4507" t="s">
        <v>35</v>
      </c>
      <c r="G4507" t="s">
        <v>35</v>
      </c>
      <c r="H4507" t="s">
        <v>35</v>
      </c>
      <c r="J4507" t="s">
        <v>5043</v>
      </c>
      <c r="K4507" t="s">
        <v>1092</v>
      </c>
      <c r="M4507">
        <v>0.2</v>
      </c>
      <c r="N4507">
        <v>124</v>
      </c>
      <c r="O4507" t="s">
        <v>38</v>
      </c>
      <c r="Q4507" t="s">
        <v>646</v>
      </c>
      <c r="R4507" t="s">
        <v>642</v>
      </c>
      <c r="S4507" t="s">
        <v>643</v>
      </c>
      <c r="T4507" t="s">
        <v>644</v>
      </c>
    </row>
    <row r="4508" spans="1:20" x14ac:dyDescent="0.25">
      <c r="A4508" t="s">
        <v>59</v>
      </c>
      <c r="B4508" t="s">
        <v>60</v>
      </c>
      <c r="C4508" t="s">
        <v>32</v>
      </c>
      <c r="D4508" t="s">
        <v>639</v>
      </c>
      <c r="E4508" t="s">
        <v>652</v>
      </c>
      <c r="F4508" t="s">
        <v>35</v>
      </c>
      <c r="G4508" t="s">
        <v>35</v>
      </c>
      <c r="H4508" t="s">
        <v>35</v>
      </c>
      <c r="J4508" t="s">
        <v>5099</v>
      </c>
      <c r="K4508" t="s">
        <v>1092</v>
      </c>
      <c r="M4508">
        <v>6</v>
      </c>
      <c r="N4508">
        <v>124</v>
      </c>
      <c r="O4508" t="s">
        <v>38</v>
      </c>
      <c r="Q4508" t="s">
        <v>646</v>
      </c>
      <c r="R4508" t="s">
        <v>642</v>
      </c>
      <c r="S4508" t="s">
        <v>643</v>
      </c>
      <c r="T4508" t="s">
        <v>644</v>
      </c>
    </row>
    <row r="4509" spans="1:20" x14ac:dyDescent="0.25">
      <c r="A4509" t="s">
        <v>59</v>
      </c>
      <c r="B4509" t="s">
        <v>60</v>
      </c>
      <c r="C4509" t="s">
        <v>32</v>
      </c>
      <c r="D4509" t="s">
        <v>639</v>
      </c>
      <c r="E4509" t="s">
        <v>652</v>
      </c>
      <c r="F4509" t="s">
        <v>35</v>
      </c>
      <c r="G4509" t="s">
        <v>35</v>
      </c>
      <c r="H4509" t="s">
        <v>35</v>
      </c>
      <c r="J4509" t="s">
        <v>5099</v>
      </c>
      <c r="K4509" t="s">
        <v>1092</v>
      </c>
      <c r="M4509">
        <v>0.95</v>
      </c>
      <c r="N4509">
        <v>211</v>
      </c>
      <c r="O4509" t="s">
        <v>5</v>
      </c>
      <c r="Q4509" t="s">
        <v>1504</v>
      </c>
      <c r="R4509" t="s">
        <v>642</v>
      </c>
      <c r="S4509" t="s">
        <v>643</v>
      </c>
      <c r="T4509" t="s">
        <v>644</v>
      </c>
    </row>
    <row r="4510" spans="1:20" x14ac:dyDescent="0.25">
      <c r="A4510" t="s">
        <v>44</v>
      </c>
      <c r="B4510" t="s">
        <v>51</v>
      </c>
      <c r="C4510" t="s">
        <v>32</v>
      </c>
      <c r="D4510" t="s">
        <v>639</v>
      </c>
      <c r="E4510" t="s">
        <v>5064</v>
      </c>
      <c r="F4510" t="s">
        <v>35</v>
      </c>
      <c r="G4510" t="s">
        <v>35</v>
      </c>
      <c r="H4510" t="s">
        <v>35</v>
      </c>
      <c r="J4510" t="s">
        <v>5069</v>
      </c>
      <c r="K4510" t="s">
        <v>1092</v>
      </c>
      <c r="M4510">
        <v>21.4</v>
      </c>
      <c r="N4510">
        <v>55</v>
      </c>
      <c r="O4510" t="s">
        <v>52</v>
      </c>
      <c r="Q4510" t="s">
        <v>90</v>
      </c>
      <c r="R4510" t="s">
        <v>642</v>
      </c>
      <c r="S4510" t="s">
        <v>643</v>
      </c>
      <c r="T4510" t="s">
        <v>644</v>
      </c>
    </row>
    <row r="4511" spans="1:20" x14ac:dyDescent="0.25">
      <c r="A4511" t="s">
        <v>30</v>
      </c>
      <c r="B4511" t="s">
        <v>31</v>
      </c>
      <c r="C4511" t="s">
        <v>32</v>
      </c>
      <c r="D4511" t="s">
        <v>639</v>
      </c>
      <c r="E4511" t="s">
        <v>5064</v>
      </c>
      <c r="F4511" t="s">
        <v>35</v>
      </c>
      <c r="G4511" t="s">
        <v>35</v>
      </c>
      <c r="H4511" t="s">
        <v>35</v>
      </c>
      <c r="J4511" t="s">
        <v>5069</v>
      </c>
      <c r="K4511" t="s">
        <v>1092</v>
      </c>
      <c r="M4511">
        <v>17.91</v>
      </c>
      <c r="N4511">
        <v>69</v>
      </c>
      <c r="O4511" t="s">
        <v>61</v>
      </c>
      <c r="Q4511" t="s">
        <v>234</v>
      </c>
      <c r="R4511" t="s">
        <v>642</v>
      </c>
      <c r="S4511" t="s">
        <v>643</v>
      </c>
      <c r="T4511" t="s">
        <v>644</v>
      </c>
    </row>
    <row r="4512" spans="1:20" x14ac:dyDescent="0.25">
      <c r="A4512" t="s">
        <v>59</v>
      </c>
      <c r="B4512" t="s">
        <v>60</v>
      </c>
      <c r="C4512" t="s">
        <v>32</v>
      </c>
      <c r="D4512" t="s">
        <v>639</v>
      </c>
      <c r="E4512" t="s">
        <v>5137</v>
      </c>
      <c r="F4512" t="s">
        <v>35</v>
      </c>
      <c r="G4512" t="s">
        <v>35</v>
      </c>
      <c r="H4512" t="s">
        <v>35</v>
      </c>
      <c r="J4512" t="s">
        <v>5148</v>
      </c>
      <c r="K4512" t="s">
        <v>1092</v>
      </c>
      <c r="M4512">
        <v>2.2000000000000002</v>
      </c>
      <c r="N4512">
        <v>211</v>
      </c>
      <c r="O4512" t="s">
        <v>5</v>
      </c>
      <c r="Q4512" t="s">
        <v>1504</v>
      </c>
      <c r="R4512" t="s">
        <v>642</v>
      </c>
      <c r="S4512" t="s">
        <v>643</v>
      </c>
      <c r="T4512" t="s">
        <v>644</v>
      </c>
    </row>
    <row r="4513" spans="1:20" x14ac:dyDescent="0.25">
      <c r="A4513" t="s">
        <v>59</v>
      </c>
      <c r="B4513" t="s">
        <v>60</v>
      </c>
      <c r="C4513" t="s">
        <v>32</v>
      </c>
      <c r="D4513" t="s">
        <v>639</v>
      </c>
      <c r="E4513" t="s">
        <v>652</v>
      </c>
      <c r="F4513" t="s">
        <v>35</v>
      </c>
      <c r="G4513" t="s">
        <v>35</v>
      </c>
      <c r="H4513" t="s">
        <v>35</v>
      </c>
      <c r="J4513" t="s">
        <v>653</v>
      </c>
      <c r="K4513" t="s">
        <v>37</v>
      </c>
      <c r="M4513">
        <v>6</v>
      </c>
      <c r="N4513">
        <v>124</v>
      </c>
      <c r="O4513" t="s">
        <v>38</v>
      </c>
      <c r="P4513" t="s">
        <v>655</v>
      </c>
      <c r="Q4513" t="s">
        <v>646</v>
      </c>
      <c r="R4513" t="s">
        <v>642</v>
      </c>
      <c r="S4513" t="s">
        <v>643</v>
      </c>
      <c r="T4513" t="s">
        <v>644</v>
      </c>
    </row>
    <row r="4514" spans="1:20" x14ac:dyDescent="0.25">
      <c r="A4514" t="s">
        <v>59</v>
      </c>
      <c r="B4514" t="s">
        <v>31</v>
      </c>
      <c r="C4514" t="s">
        <v>32</v>
      </c>
      <c r="D4514" t="s">
        <v>639</v>
      </c>
      <c r="E4514" t="s">
        <v>652</v>
      </c>
      <c r="F4514" t="s">
        <v>35</v>
      </c>
      <c r="G4514" t="s">
        <v>35</v>
      </c>
      <c r="H4514" t="s">
        <v>35</v>
      </c>
      <c r="J4514" t="s">
        <v>653</v>
      </c>
      <c r="K4514" t="s">
        <v>37</v>
      </c>
      <c r="M4514">
        <v>17.93</v>
      </c>
      <c r="N4514">
        <v>124</v>
      </c>
      <c r="O4514" t="s">
        <v>38</v>
      </c>
      <c r="P4514" t="s">
        <v>656</v>
      </c>
      <c r="Q4514" t="s">
        <v>646</v>
      </c>
      <c r="R4514" t="s">
        <v>642</v>
      </c>
      <c r="S4514" t="s">
        <v>643</v>
      </c>
      <c r="T4514" t="s">
        <v>644</v>
      </c>
    </row>
    <row r="4515" spans="1:20" x14ac:dyDescent="0.25">
      <c r="A4515" t="s">
        <v>30</v>
      </c>
      <c r="B4515" t="s">
        <v>31</v>
      </c>
      <c r="C4515" t="s">
        <v>32</v>
      </c>
      <c r="D4515" t="s">
        <v>639</v>
      </c>
      <c r="E4515" t="s">
        <v>652</v>
      </c>
      <c r="F4515" t="s">
        <v>35</v>
      </c>
      <c r="G4515" t="s">
        <v>35</v>
      </c>
      <c r="H4515" t="s">
        <v>35</v>
      </c>
      <c r="J4515" t="s">
        <v>653</v>
      </c>
      <c r="K4515" t="s">
        <v>37</v>
      </c>
      <c r="M4515">
        <v>29.925000000000001</v>
      </c>
      <c r="N4515">
        <v>69</v>
      </c>
      <c r="O4515" t="s">
        <v>61</v>
      </c>
      <c r="P4515" t="s">
        <v>657</v>
      </c>
      <c r="Q4515" t="s">
        <v>234</v>
      </c>
      <c r="R4515" t="s">
        <v>642</v>
      </c>
      <c r="S4515" t="s">
        <v>643</v>
      </c>
      <c r="T4515" t="s">
        <v>644</v>
      </c>
    </row>
    <row r="4516" spans="1:20" x14ac:dyDescent="0.25">
      <c r="A4516" t="s">
        <v>30</v>
      </c>
      <c r="B4516" t="s">
        <v>31</v>
      </c>
      <c r="C4516" t="s">
        <v>32</v>
      </c>
      <c r="D4516" t="s">
        <v>639</v>
      </c>
      <c r="E4516" t="s">
        <v>652</v>
      </c>
      <c r="F4516" t="s">
        <v>35</v>
      </c>
      <c r="G4516" t="s">
        <v>35</v>
      </c>
      <c r="H4516" t="s">
        <v>35</v>
      </c>
      <c r="J4516" t="s">
        <v>653</v>
      </c>
      <c r="K4516" t="s">
        <v>37</v>
      </c>
      <c r="M4516">
        <v>2.2200000000000002</v>
      </c>
      <c r="N4516">
        <v>69</v>
      </c>
      <c r="O4516" t="s">
        <v>61</v>
      </c>
      <c r="P4516" t="s">
        <v>658</v>
      </c>
      <c r="Q4516" t="s">
        <v>234</v>
      </c>
      <c r="R4516" t="s">
        <v>642</v>
      </c>
      <c r="S4516" t="s">
        <v>643</v>
      </c>
      <c r="T4516" t="s">
        <v>644</v>
      </c>
    </row>
    <row r="4517" spans="1:20" x14ac:dyDescent="0.25">
      <c r="A4517" t="s">
        <v>59</v>
      </c>
      <c r="B4517" t="s">
        <v>60</v>
      </c>
      <c r="C4517" t="s">
        <v>32</v>
      </c>
      <c r="D4517" t="s">
        <v>639</v>
      </c>
      <c r="E4517" t="s">
        <v>5137</v>
      </c>
      <c r="F4517" t="s">
        <v>35</v>
      </c>
      <c r="G4517" t="s">
        <v>35</v>
      </c>
      <c r="H4517" t="s">
        <v>35</v>
      </c>
      <c r="J4517" t="s">
        <v>5149</v>
      </c>
      <c r="K4517" t="s">
        <v>1092</v>
      </c>
      <c r="M4517">
        <v>2.25</v>
      </c>
      <c r="N4517">
        <v>124</v>
      </c>
      <c r="O4517" t="s">
        <v>38</v>
      </c>
      <c r="Q4517" t="s">
        <v>646</v>
      </c>
      <c r="R4517" t="s">
        <v>642</v>
      </c>
      <c r="S4517" t="s">
        <v>643</v>
      </c>
      <c r="T4517" t="s">
        <v>644</v>
      </c>
    </row>
    <row r="4518" spans="1:20" x14ac:dyDescent="0.25">
      <c r="A4518" t="s">
        <v>30</v>
      </c>
      <c r="B4518" t="s">
        <v>31</v>
      </c>
      <c r="C4518" t="s">
        <v>32</v>
      </c>
      <c r="D4518" t="s">
        <v>639</v>
      </c>
      <c r="E4518" t="s">
        <v>5137</v>
      </c>
      <c r="F4518" t="s">
        <v>35</v>
      </c>
      <c r="G4518" t="s">
        <v>35</v>
      </c>
      <c r="H4518" t="s">
        <v>35</v>
      </c>
      <c r="J4518" t="s">
        <v>5149</v>
      </c>
      <c r="K4518" t="s">
        <v>1092</v>
      </c>
      <c r="M4518">
        <v>3.96</v>
      </c>
      <c r="N4518">
        <v>146</v>
      </c>
      <c r="O4518" t="s">
        <v>38</v>
      </c>
      <c r="Q4518" t="s">
        <v>569</v>
      </c>
      <c r="R4518" t="s">
        <v>642</v>
      </c>
      <c r="S4518" t="s">
        <v>643</v>
      </c>
      <c r="T4518" t="s">
        <v>644</v>
      </c>
    </row>
    <row r="4519" spans="1:20" x14ac:dyDescent="0.25">
      <c r="A4519" t="s">
        <v>59</v>
      </c>
      <c r="B4519" t="s">
        <v>31</v>
      </c>
      <c r="C4519" t="s">
        <v>32</v>
      </c>
      <c r="D4519" t="s">
        <v>639</v>
      </c>
      <c r="E4519" t="s">
        <v>5064</v>
      </c>
      <c r="F4519" t="s">
        <v>35</v>
      </c>
      <c r="G4519" t="s">
        <v>35</v>
      </c>
      <c r="H4519" t="s">
        <v>35</v>
      </c>
      <c r="J4519" t="s">
        <v>5070</v>
      </c>
      <c r="K4519" t="s">
        <v>1092</v>
      </c>
      <c r="M4519">
        <v>2.835</v>
      </c>
      <c r="N4519">
        <v>107</v>
      </c>
      <c r="O4519" t="s">
        <v>106</v>
      </c>
      <c r="Q4519" t="s">
        <v>288</v>
      </c>
      <c r="R4519" t="s">
        <v>642</v>
      </c>
      <c r="S4519" t="s">
        <v>643</v>
      </c>
      <c r="T4519" t="s">
        <v>644</v>
      </c>
    </row>
    <row r="4520" spans="1:20" x14ac:dyDescent="0.25">
      <c r="A4520" t="s">
        <v>1439</v>
      </c>
      <c r="B4520" t="s">
        <v>1440</v>
      </c>
      <c r="C4520" t="s">
        <v>32</v>
      </c>
      <c r="D4520" t="s">
        <v>639</v>
      </c>
      <c r="E4520" t="s">
        <v>5128</v>
      </c>
      <c r="F4520" t="s">
        <v>35</v>
      </c>
      <c r="G4520" t="s">
        <v>35</v>
      </c>
      <c r="H4520" t="s">
        <v>35</v>
      </c>
      <c r="J4520" t="s">
        <v>5129</v>
      </c>
      <c r="K4520" t="s">
        <v>1092</v>
      </c>
      <c r="M4520">
        <v>0.8</v>
      </c>
      <c r="N4520">
        <v>467</v>
      </c>
      <c r="O4520" t="s">
        <v>294</v>
      </c>
      <c r="Q4520" t="s">
        <v>1498</v>
      </c>
      <c r="R4520" t="s">
        <v>642</v>
      </c>
      <c r="S4520" t="s">
        <v>643</v>
      </c>
      <c r="T4520" t="s">
        <v>644</v>
      </c>
    </row>
    <row r="4521" spans="1:20" x14ac:dyDescent="0.25">
      <c r="A4521" t="s">
        <v>30</v>
      </c>
      <c r="B4521" t="s">
        <v>31</v>
      </c>
      <c r="C4521" t="s">
        <v>32</v>
      </c>
      <c r="D4521" t="s">
        <v>639</v>
      </c>
      <c r="E4521" t="s">
        <v>640</v>
      </c>
      <c r="F4521" t="s">
        <v>35</v>
      </c>
      <c r="G4521" t="s">
        <v>35</v>
      </c>
      <c r="H4521" t="s">
        <v>35</v>
      </c>
      <c r="J4521" t="s">
        <v>42</v>
      </c>
      <c r="K4521" t="s">
        <v>37</v>
      </c>
      <c r="M4521">
        <v>7.86</v>
      </c>
      <c r="N4521">
        <v>69</v>
      </c>
      <c r="O4521" t="s">
        <v>61</v>
      </c>
      <c r="P4521" t="s">
        <v>641</v>
      </c>
      <c r="Q4521" t="s">
        <v>234</v>
      </c>
      <c r="R4521" t="s">
        <v>642</v>
      </c>
      <c r="S4521" t="s">
        <v>643</v>
      </c>
      <c r="T4521" t="s">
        <v>644</v>
      </c>
    </row>
    <row r="4522" spans="1:20" x14ac:dyDescent="0.25">
      <c r="A4522" t="s">
        <v>59</v>
      </c>
      <c r="B4522" t="s">
        <v>60</v>
      </c>
      <c r="C4522" t="s">
        <v>32</v>
      </c>
      <c r="D4522" t="s">
        <v>639</v>
      </c>
      <c r="E4522" t="s">
        <v>640</v>
      </c>
      <c r="F4522" t="s">
        <v>35</v>
      </c>
      <c r="G4522" t="s">
        <v>35</v>
      </c>
      <c r="H4522" t="s">
        <v>35</v>
      </c>
      <c r="J4522" t="s">
        <v>42</v>
      </c>
      <c r="K4522" t="s">
        <v>37</v>
      </c>
      <c r="M4522">
        <v>8</v>
      </c>
      <c r="N4522">
        <v>124</v>
      </c>
      <c r="O4522" t="s">
        <v>38</v>
      </c>
      <c r="P4522" t="s">
        <v>645</v>
      </c>
      <c r="Q4522" t="s">
        <v>646</v>
      </c>
      <c r="R4522" t="s">
        <v>642</v>
      </c>
      <c r="S4522" t="s">
        <v>643</v>
      </c>
      <c r="T4522" t="s">
        <v>644</v>
      </c>
    </row>
    <row r="4523" spans="1:20" x14ac:dyDescent="0.25">
      <c r="A4523" t="s">
        <v>30</v>
      </c>
      <c r="B4523" t="s">
        <v>31</v>
      </c>
      <c r="C4523" t="s">
        <v>32</v>
      </c>
      <c r="D4523" t="s">
        <v>639</v>
      </c>
      <c r="F4523" t="s">
        <v>35</v>
      </c>
      <c r="G4523" t="s">
        <v>35</v>
      </c>
      <c r="H4523" t="s">
        <v>35</v>
      </c>
      <c r="J4523" t="s">
        <v>5182</v>
      </c>
      <c r="K4523" t="s">
        <v>1092</v>
      </c>
      <c r="M4523">
        <v>3.06</v>
      </c>
      <c r="N4523">
        <v>2049</v>
      </c>
      <c r="O4523" t="s">
        <v>575</v>
      </c>
      <c r="Q4523" t="s">
        <v>4359</v>
      </c>
      <c r="R4523" t="s">
        <v>642</v>
      </c>
      <c r="S4523" t="s">
        <v>643</v>
      </c>
      <c r="T4523" t="s">
        <v>644</v>
      </c>
    </row>
    <row r="4524" spans="1:20" x14ac:dyDescent="0.25">
      <c r="A4524" t="s">
        <v>44</v>
      </c>
      <c r="B4524" t="s">
        <v>51</v>
      </c>
      <c r="C4524" t="s">
        <v>32</v>
      </c>
      <c r="D4524" t="s">
        <v>639</v>
      </c>
      <c r="E4524" t="s">
        <v>5016</v>
      </c>
      <c r="F4524" t="s">
        <v>35</v>
      </c>
      <c r="G4524" t="s">
        <v>35</v>
      </c>
      <c r="H4524" t="s">
        <v>35</v>
      </c>
      <c r="J4524" t="s">
        <v>5026</v>
      </c>
      <c r="K4524" t="s">
        <v>1092</v>
      </c>
      <c r="M4524">
        <v>2.4</v>
      </c>
      <c r="N4524">
        <v>55</v>
      </c>
      <c r="O4524" t="s">
        <v>52</v>
      </c>
      <c r="Q4524" t="s">
        <v>90</v>
      </c>
      <c r="R4524" t="s">
        <v>642</v>
      </c>
      <c r="S4524" t="s">
        <v>643</v>
      </c>
      <c r="T4524" t="s">
        <v>644</v>
      </c>
    </row>
    <row r="4525" spans="1:20" x14ac:dyDescent="0.25">
      <c r="A4525" t="s">
        <v>59</v>
      </c>
      <c r="B4525" t="s">
        <v>60</v>
      </c>
      <c r="C4525" t="s">
        <v>32</v>
      </c>
      <c r="D4525" t="s">
        <v>639</v>
      </c>
      <c r="F4525" t="s">
        <v>35</v>
      </c>
      <c r="G4525" t="s">
        <v>35</v>
      </c>
      <c r="H4525" t="s">
        <v>35</v>
      </c>
      <c r="J4525" t="s">
        <v>5167</v>
      </c>
      <c r="K4525" t="s">
        <v>1092</v>
      </c>
      <c r="M4525">
        <v>5</v>
      </c>
      <c r="N4525">
        <v>2666</v>
      </c>
      <c r="O4525" t="s">
        <v>575</v>
      </c>
      <c r="Q4525" t="s">
        <v>1486</v>
      </c>
      <c r="R4525" t="s">
        <v>1487</v>
      </c>
      <c r="S4525" t="s">
        <v>1488</v>
      </c>
    </row>
    <row r="4526" spans="1:20" x14ac:dyDescent="0.25">
      <c r="A4526" t="s">
        <v>44</v>
      </c>
      <c r="B4526" t="s">
        <v>51</v>
      </c>
      <c r="C4526" t="s">
        <v>32</v>
      </c>
      <c r="D4526" t="s">
        <v>660</v>
      </c>
      <c r="E4526" t="s">
        <v>5203</v>
      </c>
      <c r="F4526" t="s">
        <v>35</v>
      </c>
      <c r="G4526" t="s">
        <v>35</v>
      </c>
      <c r="H4526" t="s">
        <v>35</v>
      </c>
      <c r="J4526" t="s">
        <v>5204</v>
      </c>
      <c r="K4526" t="s">
        <v>1144</v>
      </c>
      <c r="M4526">
        <v>4.55</v>
      </c>
      <c r="N4526">
        <v>52</v>
      </c>
      <c r="O4526" t="s">
        <v>52</v>
      </c>
      <c r="Q4526" t="s">
        <v>84</v>
      </c>
      <c r="R4526" t="s">
        <v>5205</v>
      </c>
      <c r="S4526" t="s">
        <v>5075</v>
      </c>
      <c r="T4526" t="s">
        <v>5076</v>
      </c>
    </row>
    <row r="4527" spans="1:20" x14ac:dyDescent="0.25">
      <c r="A4527" t="s">
        <v>44</v>
      </c>
      <c r="B4527" t="s">
        <v>51</v>
      </c>
      <c r="C4527" t="s">
        <v>32</v>
      </c>
      <c r="D4527" t="s">
        <v>660</v>
      </c>
      <c r="E4527" t="s">
        <v>5206</v>
      </c>
      <c r="F4527" t="s">
        <v>35</v>
      </c>
      <c r="G4527" t="s">
        <v>35</v>
      </c>
      <c r="H4527" t="s">
        <v>35</v>
      </c>
      <c r="J4527" t="s">
        <v>5207</v>
      </c>
      <c r="K4527" t="s">
        <v>1092</v>
      </c>
      <c r="M4527">
        <v>6</v>
      </c>
      <c r="N4527">
        <v>52</v>
      </c>
      <c r="O4527" t="s">
        <v>52</v>
      </c>
      <c r="Q4527" t="s">
        <v>84</v>
      </c>
      <c r="R4527" t="s">
        <v>5205</v>
      </c>
      <c r="S4527" t="s">
        <v>5075</v>
      </c>
      <c r="T4527" t="s">
        <v>5076</v>
      </c>
    </row>
    <row r="4528" spans="1:20" x14ac:dyDescent="0.25">
      <c r="A4528" t="s">
        <v>30</v>
      </c>
      <c r="B4528" t="s">
        <v>31</v>
      </c>
      <c r="C4528" t="s">
        <v>32</v>
      </c>
      <c r="D4528" t="s">
        <v>660</v>
      </c>
      <c r="E4528" t="s">
        <v>5206</v>
      </c>
      <c r="F4528" t="s">
        <v>35</v>
      </c>
      <c r="G4528" t="s">
        <v>35</v>
      </c>
      <c r="H4528" t="s">
        <v>35</v>
      </c>
      <c r="J4528" t="s">
        <v>5207</v>
      </c>
      <c r="K4528" t="s">
        <v>1092</v>
      </c>
      <c r="M4528">
        <v>0.76500000000000001</v>
      </c>
      <c r="N4528">
        <v>65</v>
      </c>
      <c r="O4528" t="s">
        <v>61</v>
      </c>
      <c r="Q4528" t="s">
        <v>63</v>
      </c>
      <c r="R4528" t="s">
        <v>5205</v>
      </c>
      <c r="S4528" t="s">
        <v>5075</v>
      </c>
      <c r="T4528" t="s">
        <v>5076</v>
      </c>
    </row>
    <row r="4529" spans="1:20" x14ac:dyDescent="0.25">
      <c r="A4529" t="s">
        <v>59</v>
      </c>
      <c r="B4529" t="s">
        <v>31</v>
      </c>
      <c r="C4529" t="s">
        <v>32</v>
      </c>
      <c r="D4529" t="s">
        <v>660</v>
      </c>
      <c r="E4529" t="s">
        <v>661</v>
      </c>
      <c r="F4529" t="s">
        <v>35</v>
      </c>
      <c r="G4529" t="s">
        <v>35</v>
      </c>
      <c r="H4529" t="s">
        <v>35</v>
      </c>
      <c r="J4529" t="s">
        <v>5201</v>
      </c>
      <c r="K4529" t="s">
        <v>1092</v>
      </c>
      <c r="M4529">
        <v>1.44</v>
      </c>
      <c r="N4529">
        <v>227</v>
      </c>
      <c r="O4529" t="s">
        <v>5</v>
      </c>
      <c r="Q4529" t="s">
        <v>1780</v>
      </c>
      <c r="R4529" t="s">
        <v>672</v>
      </c>
      <c r="S4529" t="s">
        <v>662</v>
      </c>
      <c r="T4529" t="s">
        <v>663</v>
      </c>
    </row>
    <row r="4530" spans="1:20" x14ac:dyDescent="0.25">
      <c r="A4530" t="s">
        <v>30</v>
      </c>
      <c r="B4530" t="s">
        <v>31</v>
      </c>
      <c r="C4530" t="s">
        <v>32</v>
      </c>
      <c r="D4530" t="s">
        <v>660</v>
      </c>
      <c r="E4530" t="s">
        <v>661</v>
      </c>
      <c r="F4530" t="s">
        <v>35</v>
      </c>
      <c r="G4530" t="s">
        <v>35</v>
      </c>
      <c r="H4530" t="s">
        <v>35</v>
      </c>
      <c r="J4530" t="s">
        <v>5202</v>
      </c>
      <c r="K4530" t="s">
        <v>1092</v>
      </c>
      <c r="M4530">
        <v>0.27</v>
      </c>
      <c r="N4530">
        <v>68</v>
      </c>
      <c r="O4530" t="s">
        <v>61</v>
      </c>
      <c r="Q4530" t="s">
        <v>805</v>
      </c>
      <c r="R4530" t="s">
        <v>672</v>
      </c>
      <c r="S4530" t="s">
        <v>662</v>
      </c>
      <c r="T4530" t="s">
        <v>663</v>
      </c>
    </row>
    <row r="4531" spans="1:20" x14ac:dyDescent="0.25">
      <c r="A4531" t="s">
        <v>30</v>
      </c>
      <c r="B4531" t="s">
        <v>31</v>
      </c>
      <c r="C4531" t="s">
        <v>32</v>
      </c>
      <c r="D4531" t="s">
        <v>660</v>
      </c>
      <c r="E4531" t="s">
        <v>5197</v>
      </c>
      <c r="F4531" t="s">
        <v>35</v>
      </c>
      <c r="G4531" t="s">
        <v>35</v>
      </c>
      <c r="H4531" t="s">
        <v>35</v>
      </c>
      <c r="J4531" t="s">
        <v>5198</v>
      </c>
      <c r="K4531" t="s">
        <v>1092</v>
      </c>
      <c r="M4531">
        <v>4.4999999999999998E-2</v>
      </c>
      <c r="N4531">
        <v>166</v>
      </c>
      <c r="O4531" t="s">
        <v>38</v>
      </c>
      <c r="Q4531" t="s">
        <v>1345</v>
      </c>
      <c r="R4531" t="s">
        <v>672</v>
      </c>
      <c r="S4531" t="s">
        <v>662</v>
      </c>
      <c r="T4531" t="s">
        <v>663</v>
      </c>
    </row>
    <row r="4532" spans="1:20" x14ac:dyDescent="0.25">
      <c r="A4532" t="s">
        <v>44</v>
      </c>
      <c r="B4532" t="s">
        <v>51</v>
      </c>
      <c r="C4532" t="s">
        <v>32</v>
      </c>
      <c r="D4532" t="s">
        <v>660</v>
      </c>
      <c r="E4532" t="s">
        <v>5191</v>
      </c>
      <c r="F4532" t="s">
        <v>35</v>
      </c>
      <c r="G4532" t="s">
        <v>35</v>
      </c>
      <c r="H4532" t="s">
        <v>35</v>
      </c>
      <c r="J4532" t="s">
        <v>5192</v>
      </c>
      <c r="K4532" t="s">
        <v>1092</v>
      </c>
      <c r="M4532">
        <v>5</v>
      </c>
      <c r="N4532">
        <v>54</v>
      </c>
      <c r="O4532" t="s">
        <v>52</v>
      </c>
      <c r="Q4532" t="s">
        <v>671</v>
      </c>
      <c r="R4532" t="s">
        <v>672</v>
      </c>
      <c r="S4532" t="s">
        <v>662</v>
      </c>
      <c r="T4532" t="s">
        <v>663</v>
      </c>
    </row>
    <row r="4533" spans="1:20" x14ac:dyDescent="0.25">
      <c r="A4533" t="s">
        <v>59</v>
      </c>
      <c r="B4533" t="s">
        <v>31</v>
      </c>
      <c r="C4533" t="s">
        <v>32</v>
      </c>
      <c r="D4533" t="s">
        <v>660</v>
      </c>
      <c r="E4533" t="s">
        <v>5199</v>
      </c>
      <c r="F4533" t="s">
        <v>35</v>
      </c>
      <c r="G4533" t="s">
        <v>35</v>
      </c>
      <c r="H4533" t="s">
        <v>35</v>
      </c>
      <c r="J4533" t="s">
        <v>5200</v>
      </c>
      <c r="K4533" t="s">
        <v>1092</v>
      </c>
      <c r="M4533">
        <v>0.18</v>
      </c>
      <c r="N4533">
        <v>227</v>
      </c>
      <c r="O4533" t="s">
        <v>5</v>
      </c>
      <c r="Q4533" t="s">
        <v>1780</v>
      </c>
      <c r="R4533" t="s">
        <v>672</v>
      </c>
      <c r="S4533" t="s">
        <v>662</v>
      </c>
      <c r="T4533" t="s">
        <v>663</v>
      </c>
    </row>
    <row r="4534" spans="1:20" x14ac:dyDescent="0.25">
      <c r="A4534" t="s">
        <v>44</v>
      </c>
      <c r="B4534" t="s">
        <v>51</v>
      </c>
      <c r="C4534" t="s">
        <v>32</v>
      </c>
      <c r="D4534" t="s">
        <v>660</v>
      </c>
      <c r="E4534" t="s">
        <v>5194</v>
      </c>
      <c r="F4534" t="s">
        <v>35</v>
      </c>
      <c r="G4534" t="s">
        <v>35</v>
      </c>
      <c r="H4534" t="s">
        <v>35</v>
      </c>
      <c r="J4534" t="s">
        <v>5195</v>
      </c>
      <c r="K4534" t="s">
        <v>1092</v>
      </c>
      <c r="M4534">
        <v>6</v>
      </c>
      <c r="N4534">
        <v>54</v>
      </c>
      <c r="O4534" t="s">
        <v>52</v>
      </c>
      <c r="Q4534" t="s">
        <v>671</v>
      </c>
      <c r="R4534" t="s">
        <v>672</v>
      </c>
      <c r="S4534" t="s">
        <v>662</v>
      </c>
      <c r="T4534" t="s">
        <v>663</v>
      </c>
    </row>
    <row r="4535" spans="1:20" x14ac:dyDescent="0.25">
      <c r="A4535" t="s">
        <v>44</v>
      </c>
      <c r="B4535" t="s">
        <v>51</v>
      </c>
      <c r="C4535" t="s">
        <v>32</v>
      </c>
      <c r="D4535" t="s">
        <v>660</v>
      </c>
      <c r="E4535" t="s">
        <v>5194</v>
      </c>
      <c r="F4535" t="s">
        <v>35</v>
      </c>
      <c r="G4535" t="s">
        <v>35</v>
      </c>
      <c r="H4535" t="s">
        <v>35</v>
      </c>
      <c r="J4535" t="s">
        <v>5196</v>
      </c>
      <c r="K4535" t="s">
        <v>1092</v>
      </c>
      <c r="M4535">
        <v>3</v>
      </c>
      <c r="N4535">
        <v>50</v>
      </c>
      <c r="O4535" t="s">
        <v>52</v>
      </c>
      <c r="Q4535" t="s">
        <v>665</v>
      </c>
      <c r="R4535" t="s">
        <v>672</v>
      </c>
      <c r="S4535" t="s">
        <v>662</v>
      </c>
      <c r="T4535" t="s">
        <v>663</v>
      </c>
    </row>
    <row r="4536" spans="1:20" x14ac:dyDescent="0.25">
      <c r="A4536" t="s">
        <v>30</v>
      </c>
      <c r="B4536" t="s">
        <v>31</v>
      </c>
      <c r="C4536" t="s">
        <v>32</v>
      </c>
      <c r="D4536" t="s">
        <v>660</v>
      </c>
      <c r="E4536" t="s">
        <v>5206</v>
      </c>
      <c r="F4536" t="s">
        <v>35</v>
      </c>
      <c r="G4536" t="s">
        <v>35</v>
      </c>
      <c r="H4536" t="s">
        <v>35</v>
      </c>
      <c r="J4536" t="s">
        <v>3153</v>
      </c>
      <c r="K4536" t="s">
        <v>1092</v>
      </c>
      <c r="M4536">
        <v>0.22500000000000001</v>
      </c>
      <c r="N4536">
        <v>247</v>
      </c>
      <c r="O4536" t="s">
        <v>5</v>
      </c>
      <c r="Q4536" t="s">
        <v>367</v>
      </c>
      <c r="R4536" t="s">
        <v>672</v>
      </c>
      <c r="S4536" t="s">
        <v>662</v>
      </c>
      <c r="T4536" t="s">
        <v>663</v>
      </c>
    </row>
    <row r="4537" spans="1:20" x14ac:dyDescent="0.25">
      <c r="A4537" t="s">
        <v>44</v>
      </c>
      <c r="B4537" t="s">
        <v>51</v>
      </c>
      <c r="C4537" t="s">
        <v>32</v>
      </c>
      <c r="D4537" t="s">
        <v>660</v>
      </c>
      <c r="F4537" t="s">
        <v>35</v>
      </c>
      <c r="G4537" t="s">
        <v>35</v>
      </c>
      <c r="H4537" t="s">
        <v>35</v>
      </c>
      <c r="J4537" t="s">
        <v>669</v>
      </c>
      <c r="K4537" t="s">
        <v>404</v>
      </c>
      <c r="M4537">
        <v>5.5</v>
      </c>
      <c r="N4537">
        <v>54</v>
      </c>
      <c r="O4537" t="s">
        <v>52</v>
      </c>
      <c r="P4537" t="s">
        <v>670</v>
      </c>
      <c r="Q4537" t="s">
        <v>671</v>
      </c>
      <c r="R4537" t="s">
        <v>672</v>
      </c>
      <c r="S4537" t="s">
        <v>662</v>
      </c>
      <c r="T4537" t="s">
        <v>663</v>
      </c>
    </row>
    <row r="4538" spans="1:20" x14ac:dyDescent="0.25">
      <c r="A4538" t="s">
        <v>30</v>
      </c>
      <c r="B4538" t="s">
        <v>31</v>
      </c>
      <c r="C4538" t="s">
        <v>32</v>
      </c>
      <c r="D4538" t="s">
        <v>660</v>
      </c>
      <c r="E4538" t="s">
        <v>5191</v>
      </c>
      <c r="F4538" t="s">
        <v>35</v>
      </c>
      <c r="G4538" t="s">
        <v>35</v>
      </c>
      <c r="H4538" t="s">
        <v>35</v>
      </c>
      <c r="J4538" t="s">
        <v>5193</v>
      </c>
      <c r="K4538" t="s">
        <v>1092</v>
      </c>
      <c r="M4538">
        <v>2.61</v>
      </c>
      <c r="N4538">
        <v>165</v>
      </c>
      <c r="O4538" t="s">
        <v>38</v>
      </c>
      <c r="Q4538" t="s">
        <v>1124</v>
      </c>
      <c r="R4538" t="s">
        <v>672</v>
      </c>
      <c r="S4538" t="s">
        <v>662</v>
      </c>
      <c r="T4538" t="s">
        <v>663</v>
      </c>
    </row>
    <row r="4539" spans="1:20" x14ac:dyDescent="0.25">
      <c r="A4539" t="s">
        <v>44</v>
      </c>
      <c r="B4539" t="s">
        <v>51</v>
      </c>
      <c r="C4539" t="s">
        <v>32</v>
      </c>
      <c r="D4539" t="s">
        <v>660</v>
      </c>
      <c r="E4539" t="s">
        <v>661</v>
      </c>
      <c r="F4539" t="s">
        <v>35</v>
      </c>
      <c r="G4539" t="s">
        <v>35</v>
      </c>
      <c r="H4539" t="s">
        <v>35</v>
      </c>
      <c r="J4539" t="s">
        <v>662</v>
      </c>
      <c r="K4539" t="s">
        <v>37</v>
      </c>
      <c r="M4539">
        <v>1.5</v>
      </c>
      <c r="N4539">
        <v>50</v>
      </c>
      <c r="O4539" t="s">
        <v>52</v>
      </c>
      <c r="P4539" t="s">
        <v>664</v>
      </c>
      <c r="Q4539" t="s">
        <v>665</v>
      </c>
      <c r="R4539" t="s">
        <v>666</v>
      </c>
      <c r="S4539" t="s">
        <v>667</v>
      </c>
      <c r="T4539" t="s">
        <v>668</v>
      </c>
    </row>
    <row r="4540" spans="1:20" x14ac:dyDescent="0.25">
      <c r="A4540" t="s">
        <v>59</v>
      </c>
      <c r="B4540" t="s">
        <v>60</v>
      </c>
      <c r="C4540" t="s">
        <v>32</v>
      </c>
      <c r="D4540" t="s">
        <v>673</v>
      </c>
      <c r="F4540" t="s">
        <v>35</v>
      </c>
      <c r="G4540" t="s">
        <v>35</v>
      </c>
      <c r="H4540" t="s">
        <v>35</v>
      </c>
      <c r="J4540" t="s">
        <v>5402</v>
      </c>
      <c r="K4540" t="s">
        <v>1092</v>
      </c>
      <c r="M4540">
        <v>1.5</v>
      </c>
      <c r="N4540">
        <v>1966</v>
      </c>
      <c r="O4540" t="s">
        <v>575</v>
      </c>
      <c r="Q4540" t="s">
        <v>5403</v>
      </c>
      <c r="R4540" t="s">
        <v>478</v>
      </c>
      <c r="S4540" t="s">
        <v>479</v>
      </c>
      <c r="T4540" t="s">
        <v>480</v>
      </c>
    </row>
    <row r="4541" spans="1:20" x14ac:dyDescent="0.25">
      <c r="A4541" t="s">
        <v>30</v>
      </c>
      <c r="B4541" t="s">
        <v>31</v>
      </c>
      <c r="C4541" t="s">
        <v>32</v>
      </c>
      <c r="D4541" t="s">
        <v>673</v>
      </c>
      <c r="E4541" t="s">
        <v>704</v>
      </c>
      <c r="F4541" t="s">
        <v>35</v>
      </c>
      <c r="G4541" t="s">
        <v>35</v>
      </c>
      <c r="H4541" t="s">
        <v>35</v>
      </c>
      <c r="J4541" t="s">
        <v>5343</v>
      </c>
      <c r="K4541" t="s">
        <v>1092</v>
      </c>
      <c r="M4541">
        <v>5.85</v>
      </c>
      <c r="N4541">
        <v>49</v>
      </c>
      <c r="O4541" t="s">
        <v>52</v>
      </c>
      <c r="Q4541" t="s">
        <v>453</v>
      </c>
      <c r="R4541" t="s">
        <v>478</v>
      </c>
      <c r="S4541" t="s">
        <v>479</v>
      </c>
      <c r="T4541" t="s">
        <v>480</v>
      </c>
    </row>
    <row r="4542" spans="1:20" x14ac:dyDescent="0.25">
      <c r="A4542" t="s">
        <v>59</v>
      </c>
      <c r="B4542" t="s">
        <v>60</v>
      </c>
      <c r="C4542" t="s">
        <v>32</v>
      </c>
      <c r="D4542" t="s">
        <v>673</v>
      </c>
      <c r="E4542" t="s">
        <v>704</v>
      </c>
      <c r="F4542" t="s">
        <v>35</v>
      </c>
      <c r="G4542" t="s">
        <v>35</v>
      </c>
      <c r="H4542" t="s">
        <v>35</v>
      </c>
      <c r="J4542" t="s">
        <v>5333</v>
      </c>
      <c r="K4542" t="s">
        <v>1092</v>
      </c>
      <c r="M4542">
        <v>0.3</v>
      </c>
      <c r="N4542">
        <v>132</v>
      </c>
      <c r="O4542" t="s">
        <v>38</v>
      </c>
      <c r="Q4542" t="s">
        <v>1696</v>
      </c>
      <c r="R4542" t="s">
        <v>478</v>
      </c>
      <c r="S4542" t="s">
        <v>479</v>
      </c>
      <c r="T4542" t="s">
        <v>480</v>
      </c>
    </row>
    <row r="4543" spans="1:20" x14ac:dyDescent="0.25">
      <c r="A4543" t="s">
        <v>59</v>
      </c>
      <c r="B4543" t="s">
        <v>60</v>
      </c>
      <c r="C4543" t="s">
        <v>32</v>
      </c>
      <c r="D4543" t="s">
        <v>673</v>
      </c>
      <c r="E4543" t="s">
        <v>5208</v>
      </c>
      <c r="F4543" t="s">
        <v>35</v>
      </c>
      <c r="G4543" t="s">
        <v>35</v>
      </c>
      <c r="H4543" t="s">
        <v>35</v>
      </c>
      <c r="J4543" t="s">
        <v>5210</v>
      </c>
      <c r="K4543" t="s">
        <v>1092</v>
      </c>
      <c r="M4543">
        <v>0.5</v>
      </c>
      <c r="N4543">
        <v>103</v>
      </c>
      <c r="O4543" t="s">
        <v>106</v>
      </c>
      <c r="Q4543" t="s">
        <v>1494</v>
      </c>
      <c r="R4543" t="s">
        <v>478</v>
      </c>
      <c r="S4543" t="s">
        <v>479</v>
      </c>
      <c r="T4543" t="s">
        <v>480</v>
      </c>
    </row>
    <row r="4544" spans="1:20" x14ac:dyDescent="0.25">
      <c r="A4544" t="s">
        <v>59</v>
      </c>
      <c r="B4544" t="s">
        <v>60</v>
      </c>
      <c r="C4544" t="s">
        <v>32</v>
      </c>
      <c r="D4544" t="s">
        <v>673</v>
      </c>
      <c r="E4544" t="s">
        <v>717</v>
      </c>
      <c r="F4544" t="s">
        <v>35</v>
      </c>
      <c r="G4544" t="s">
        <v>35</v>
      </c>
      <c r="H4544" t="s">
        <v>35</v>
      </c>
      <c r="J4544" t="s">
        <v>1491</v>
      </c>
      <c r="K4544" t="s">
        <v>1092</v>
      </c>
      <c r="M4544">
        <v>0.05</v>
      </c>
      <c r="N4544">
        <v>342</v>
      </c>
      <c r="O4544" t="s">
        <v>5</v>
      </c>
      <c r="Q4544" t="s">
        <v>3644</v>
      </c>
      <c r="R4544" t="s">
        <v>478</v>
      </c>
      <c r="S4544" t="s">
        <v>479</v>
      </c>
      <c r="T4544" t="s">
        <v>480</v>
      </c>
    </row>
    <row r="4545" spans="1:20" x14ac:dyDescent="0.25">
      <c r="A4545" t="s">
        <v>44</v>
      </c>
      <c r="B4545" t="s">
        <v>3</v>
      </c>
      <c r="C4545" t="s">
        <v>32</v>
      </c>
      <c r="D4545" t="s">
        <v>673</v>
      </c>
      <c r="E4545" t="s">
        <v>704</v>
      </c>
      <c r="F4545" t="s">
        <v>35</v>
      </c>
      <c r="G4545" t="s">
        <v>35</v>
      </c>
      <c r="H4545" t="s">
        <v>35</v>
      </c>
      <c r="J4545" t="s">
        <v>5334</v>
      </c>
      <c r="K4545" t="s">
        <v>1092</v>
      </c>
      <c r="M4545">
        <v>0.15</v>
      </c>
      <c r="N4545">
        <v>212</v>
      </c>
      <c r="O4545" t="s">
        <v>5</v>
      </c>
      <c r="Q4545" t="s">
        <v>1578</v>
      </c>
      <c r="R4545" t="s">
        <v>478</v>
      </c>
      <c r="S4545" t="s">
        <v>479</v>
      </c>
      <c r="T4545" t="s">
        <v>480</v>
      </c>
    </row>
    <row r="4546" spans="1:20" x14ac:dyDescent="0.25">
      <c r="A4546" t="s">
        <v>59</v>
      </c>
      <c r="B4546" t="s">
        <v>60</v>
      </c>
      <c r="C4546" t="s">
        <v>32</v>
      </c>
      <c r="D4546" t="s">
        <v>673</v>
      </c>
      <c r="E4546" t="s">
        <v>704</v>
      </c>
      <c r="F4546" t="s">
        <v>35</v>
      </c>
      <c r="G4546" t="s">
        <v>35</v>
      </c>
      <c r="H4546" t="s">
        <v>35</v>
      </c>
      <c r="J4546" t="s">
        <v>5335</v>
      </c>
      <c r="K4546" t="s">
        <v>1092</v>
      </c>
      <c r="M4546">
        <v>0.5</v>
      </c>
      <c r="N4546">
        <v>63</v>
      </c>
      <c r="O4546" t="s">
        <v>61</v>
      </c>
      <c r="Q4546" t="s">
        <v>126</v>
      </c>
      <c r="R4546" t="s">
        <v>478</v>
      </c>
      <c r="S4546" t="s">
        <v>479</v>
      </c>
      <c r="T4546" t="s">
        <v>480</v>
      </c>
    </row>
    <row r="4547" spans="1:20" x14ac:dyDescent="0.25">
      <c r="A4547" t="s">
        <v>59</v>
      </c>
      <c r="B4547" t="s">
        <v>60</v>
      </c>
      <c r="C4547" t="s">
        <v>32</v>
      </c>
      <c r="D4547" t="s">
        <v>673</v>
      </c>
      <c r="E4547" t="s">
        <v>691</v>
      </c>
      <c r="F4547" t="s">
        <v>35</v>
      </c>
      <c r="G4547" t="s">
        <v>35</v>
      </c>
      <c r="H4547" t="s">
        <v>35</v>
      </c>
      <c r="J4547" t="s">
        <v>5329</v>
      </c>
      <c r="K4547" t="s">
        <v>1092</v>
      </c>
      <c r="M4547">
        <v>0.25</v>
      </c>
      <c r="N4547">
        <v>243</v>
      </c>
      <c r="O4547" t="s">
        <v>5</v>
      </c>
      <c r="Q4547" t="s">
        <v>3296</v>
      </c>
      <c r="R4547" t="s">
        <v>478</v>
      </c>
      <c r="S4547" t="s">
        <v>479</v>
      </c>
      <c r="T4547" t="s">
        <v>480</v>
      </c>
    </row>
    <row r="4548" spans="1:20" x14ac:dyDescent="0.25">
      <c r="A4548" t="s">
        <v>59</v>
      </c>
      <c r="B4548" t="s">
        <v>60</v>
      </c>
      <c r="C4548" t="s">
        <v>32</v>
      </c>
      <c r="D4548" t="s">
        <v>673</v>
      </c>
      <c r="E4548" t="s">
        <v>704</v>
      </c>
      <c r="F4548" t="s">
        <v>35</v>
      </c>
      <c r="G4548" t="s">
        <v>35</v>
      </c>
      <c r="H4548" t="s">
        <v>35</v>
      </c>
      <c r="J4548" t="s">
        <v>5346</v>
      </c>
      <c r="K4548" t="s">
        <v>1092</v>
      </c>
      <c r="M4548">
        <v>0.15</v>
      </c>
      <c r="N4548">
        <v>60</v>
      </c>
      <c r="O4548" t="s">
        <v>52</v>
      </c>
      <c r="Q4548" t="s">
        <v>1311</v>
      </c>
      <c r="R4548" t="s">
        <v>478</v>
      </c>
      <c r="S4548" t="s">
        <v>479</v>
      </c>
      <c r="T4548" t="s">
        <v>480</v>
      </c>
    </row>
    <row r="4549" spans="1:20" x14ac:dyDescent="0.25">
      <c r="A4549" t="s">
        <v>59</v>
      </c>
      <c r="B4549" t="s">
        <v>60</v>
      </c>
      <c r="C4549" t="s">
        <v>32</v>
      </c>
      <c r="D4549" t="s">
        <v>673</v>
      </c>
      <c r="E4549" t="s">
        <v>704</v>
      </c>
      <c r="F4549" t="s">
        <v>35</v>
      </c>
      <c r="G4549" t="s">
        <v>35</v>
      </c>
      <c r="H4549" t="s">
        <v>35</v>
      </c>
      <c r="J4549" t="s">
        <v>5340</v>
      </c>
      <c r="K4549" t="s">
        <v>1092</v>
      </c>
      <c r="M4549">
        <v>0.25</v>
      </c>
      <c r="N4549">
        <v>93</v>
      </c>
      <c r="O4549" t="s">
        <v>106</v>
      </c>
      <c r="Q4549" t="s">
        <v>1112</v>
      </c>
      <c r="R4549" t="s">
        <v>478</v>
      </c>
      <c r="S4549" t="s">
        <v>479</v>
      </c>
      <c r="T4549" t="s">
        <v>480</v>
      </c>
    </row>
    <row r="4550" spans="1:20" x14ac:dyDescent="0.25">
      <c r="A4550" t="s">
        <v>44</v>
      </c>
      <c r="B4550" t="s">
        <v>3</v>
      </c>
      <c r="C4550" t="s">
        <v>32</v>
      </c>
      <c r="D4550" t="s">
        <v>673</v>
      </c>
      <c r="E4550" t="s">
        <v>5208</v>
      </c>
      <c r="F4550" t="s">
        <v>35</v>
      </c>
      <c r="G4550" t="s">
        <v>35</v>
      </c>
      <c r="H4550" t="s">
        <v>35</v>
      </c>
      <c r="J4550" t="s">
        <v>5209</v>
      </c>
      <c r="K4550" t="s">
        <v>1092</v>
      </c>
      <c r="M4550">
        <v>0.3</v>
      </c>
      <c r="N4550">
        <v>147</v>
      </c>
      <c r="O4550" t="s">
        <v>38</v>
      </c>
      <c r="Q4550" t="s">
        <v>3398</v>
      </c>
      <c r="R4550" t="s">
        <v>478</v>
      </c>
      <c r="S4550" t="s">
        <v>479</v>
      </c>
      <c r="T4550" t="s">
        <v>480</v>
      </c>
    </row>
    <row r="4551" spans="1:20" x14ac:dyDescent="0.25">
      <c r="A4551" t="s">
        <v>44</v>
      </c>
      <c r="B4551" t="s">
        <v>3</v>
      </c>
      <c r="C4551" t="s">
        <v>32</v>
      </c>
      <c r="D4551" t="s">
        <v>673</v>
      </c>
      <c r="E4551" t="s">
        <v>704</v>
      </c>
      <c r="F4551" t="s">
        <v>35</v>
      </c>
      <c r="G4551" t="s">
        <v>35</v>
      </c>
      <c r="H4551" t="s">
        <v>35</v>
      </c>
      <c r="J4551" t="s">
        <v>5341</v>
      </c>
      <c r="K4551" t="s">
        <v>1092</v>
      </c>
      <c r="M4551">
        <v>0.05</v>
      </c>
      <c r="N4551">
        <v>216</v>
      </c>
      <c r="O4551" t="s">
        <v>5</v>
      </c>
      <c r="Q4551" t="s">
        <v>3310</v>
      </c>
      <c r="R4551" t="s">
        <v>478</v>
      </c>
      <c r="S4551" t="s">
        <v>479</v>
      </c>
      <c r="T4551" t="s">
        <v>480</v>
      </c>
    </row>
    <row r="4552" spans="1:20" x14ac:dyDescent="0.25">
      <c r="A4552" t="s">
        <v>59</v>
      </c>
      <c r="B4552" t="s">
        <v>60</v>
      </c>
      <c r="C4552" t="s">
        <v>32</v>
      </c>
      <c r="D4552" t="s">
        <v>673</v>
      </c>
      <c r="E4552" t="s">
        <v>707</v>
      </c>
      <c r="F4552" t="s">
        <v>35</v>
      </c>
      <c r="G4552" t="s">
        <v>35</v>
      </c>
      <c r="H4552" t="s">
        <v>35</v>
      </c>
      <c r="J4552" t="s">
        <v>5380</v>
      </c>
      <c r="K4552" t="s">
        <v>1092</v>
      </c>
      <c r="M4552">
        <v>6.5</v>
      </c>
      <c r="N4552">
        <v>73</v>
      </c>
      <c r="O4552" t="s">
        <v>61</v>
      </c>
      <c r="Q4552" t="s">
        <v>477</v>
      </c>
      <c r="R4552" t="s">
        <v>478</v>
      </c>
      <c r="S4552" t="s">
        <v>479</v>
      </c>
      <c r="T4552" t="s">
        <v>480</v>
      </c>
    </row>
    <row r="4553" spans="1:20" x14ac:dyDescent="0.25">
      <c r="A4553" t="s">
        <v>44</v>
      </c>
      <c r="B4553" t="s">
        <v>3</v>
      </c>
      <c r="C4553" t="s">
        <v>32</v>
      </c>
      <c r="D4553" t="s">
        <v>673</v>
      </c>
      <c r="E4553" t="s">
        <v>673</v>
      </c>
      <c r="F4553" t="s">
        <v>35</v>
      </c>
      <c r="G4553" t="s">
        <v>35</v>
      </c>
      <c r="H4553" t="s">
        <v>35</v>
      </c>
      <c r="J4553" t="s">
        <v>5308</v>
      </c>
      <c r="K4553" t="s">
        <v>1092</v>
      </c>
      <c r="M4553">
        <v>4.4999999999999998E-2</v>
      </c>
      <c r="N4553">
        <v>187</v>
      </c>
      <c r="O4553" t="s">
        <v>5</v>
      </c>
      <c r="Q4553" t="s">
        <v>2315</v>
      </c>
      <c r="R4553" t="s">
        <v>478</v>
      </c>
      <c r="S4553" t="s">
        <v>479</v>
      </c>
      <c r="T4553" t="s">
        <v>480</v>
      </c>
    </row>
    <row r="4554" spans="1:20" x14ac:dyDescent="0.25">
      <c r="A4554" t="s">
        <v>59</v>
      </c>
      <c r="B4554" t="s">
        <v>60</v>
      </c>
      <c r="C4554" t="s">
        <v>32</v>
      </c>
      <c r="D4554" t="s">
        <v>673</v>
      </c>
      <c r="E4554" t="s">
        <v>717</v>
      </c>
      <c r="F4554" t="s">
        <v>35</v>
      </c>
      <c r="G4554" t="s">
        <v>35</v>
      </c>
      <c r="H4554" t="s">
        <v>35</v>
      </c>
      <c r="J4554" t="s">
        <v>5390</v>
      </c>
      <c r="K4554" t="s">
        <v>1092</v>
      </c>
      <c r="M4554">
        <v>0.1</v>
      </c>
      <c r="N4554">
        <v>160</v>
      </c>
      <c r="O4554" t="s">
        <v>38</v>
      </c>
      <c r="Q4554" t="s">
        <v>1120</v>
      </c>
      <c r="R4554" t="s">
        <v>478</v>
      </c>
      <c r="S4554" t="s">
        <v>479</v>
      </c>
      <c r="T4554" t="s">
        <v>480</v>
      </c>
    </row>
    <row r="4555" spans="1:20" x14ac:dyDescent="0.25">
      <c r="A4555" t="s">
        <v>59</v>
      </c>
      <c r="B4555" t="s">
        <v>60</v>
      </c>
      <c r="C4555" t="s">
        <v>32</v>
      </c>
      <c r="D4555" t="s">
        <v>673</v>
      </c>
      <c r="E4555" t="s">
        <v>674</v>
      </c>
      <c r="F4555" t="s">
        <v>35</v>
      </c>
      <c r="G4555" t="s">
        <v>35</v>
      </c>
      <c r="H4555" t="s">
        <v>35</v>
      </c>
      <c r="J4555" t="s">
        <v>5322</v>
      </c>
      <c r="K4555" t="s">
        <v>1092</v>
      </c>
      <c r="M4555">
        <v>11</v>
      </c>
      <c r="N4555">
        <v>73</v>
      </c>
      <c r="O4555" t="s">
        <v>61</v>
      </c>
      <c r="Q4555" t="s">
        <v>477</v>
      </c>
      <c r="R4555" t="s">
        <v>478</v>
      </c>
      <c r="S4555" t="s">
        <v>479</v>
      </c>
      <c r="T4555" t="s">
        <v>480</v>
      </c>
    </row>
    <row r="4556" spans="1:20" x14ac:dyDescent="0.25">
      <c r="A4556" t="s">
        <v>30</v>
      </c>
      <c r="B4556" t="s">
        <v>31</v>
      </c>
      <c r="C4556" t="s">
        <v>32</v>
      </c>
      <c r="D4556" t="s">
        <v>673</v>
      </c>
      <c r="E4556" t="s">
        <v>707</v>
      </c>
      <c r="F4556" t="s">
        <v>35</v>
      </c>
      <c r="G4556" t="s">
        <v>35</v>
      </c>
      <c r="H4556" t="s">
        <v>35</v>
      </c>
      <c r="J4556" t="s">
        <v>5386</v>
      </c>
      <c r="K4556" t="s">
        <v>1092</v>
      </c>
      <c r="M4556">
        <v>5.085</v>
      </c>
      <c r="N4556">
        <v>168</v>
      </c>
      <c r="O4556" t="s">
        <v>38</v>
      </c>
      <c r="Q4556" t="s">
        <v>1692</v>
      </c>
      <c r="R4556" t="s">
        <v>478</v>
      </c>
      <c r="S4556" t="s">
        <v>479</v>
      </c>
      <c r="T4556" t="s">
        <v>480</v>
      </c>
    </row>
    <row r="4557" spans="1:20" x14ac:dyDescent="0.25">
      <c r="A4557" t="s">
        <v>59</v>
      </c>
      <c r="B4557" t="s">
        <v>60</v>
      </c>
      <c r="C4557" t="s">
        <v>32</v>
      </c>
      <c r="D4557" t="s">
        <v>673</v>
      </c>
      <c r="E4557" t="s">
        <v>707</v>
      </c>
      <c r="F4557" t="s">
        <v>35</v>
      </c>
      <c r="G4557" t="s">
        <v>35</v>
      </c>
      <c r="H4557" t="s">
        <v>35</v>
      </c>
      <c r="J4557" t="s">
        <v>5386</v>
      </c>
      <c r="K4557" t="s">
        <v>1092</v>
      </c>
      <c r="M4557">
        <v>0.75</v>
      </c>
      <c r="N4557">
        <v>205</v>
      </c>
      <c r="O4557" t="s">
        <v>5</v>
      </c>
      <c r="Q4557" t="s">
        <v>1711</v>
      </c>
      <c r="R4557" t="s">
        <v>478</v>
      </c>
      <c r="S4557" t="s">
        <v>479</v>
      </c>
      <c r="T4557" t="s">
        <v>480</v>
      </c>
    </row>
    <row r="4558" spans="1:20" x14ac:dyDescent="0.25">
      <c r="A4558" t="s">
        <v>44</v>
      </c>
      <c r="B4558" t="s">
        <v>3</v>
      </c>
      <c r="C4558" t="s">
        <v>32</v>
      </c>
      <c r="D4558" t="s">
        <v>673</v>
      </c>
      <c r="E4558" t="s">
        <v>673</v>
      </c>
      <c r="F4558" t="s">
        <v>35</v>
      </c>
      <c r="G4558" t="s">
        <v>35</v>
      </c>
      <c r="H4558" t="s">
        <v>35</v>
      </c>
      <c r="J4558" t="s">
        <v>5307</v>
      </c>
      <c r="K4558" t="s">
        <v>1092</v>
      </c>
      <c r="M4558">
        <v>0.15</v>
      </c>
      <c r="N4558">
        <v>238</v>
      </c>
      <c r="O4558" t="s">
        <v>5</v>
      </c>
      <c r="Q4558" t="s">
        <v>111</v>
      </c>
      <c r="R4558" t="s">
        <v>478</v>
      </c>
      <c r="S4558" t="s">
        <v>479</v>
      </c>
      <c r="T4558" t="s">
        <v>480</v>
      </c>
    </row>
    <row r="4559" spans="1:20" x14ac:dyDescent="0.25">
      <c r="A4559" t="s">
        <v>59</v>
      </c>
      <c r="B4559" t="s">
        <v>31</v>
      </c>
      <c r="C4559" t="s">
        <v>32</v>
      </c>
      <c r="D4559" t="s">
        <v>673</v>
      </c>
      <c r="E4559" t="s">
        <v>673</v>
      </c>
      <c r="F4559" t="s">
        <v>35</v>
      </c>
      <c r="G4559" t="s">
        <v>35</v>
      </c>
      <c r="H4559" t="s">
        <v>35</v>
      </c>
      <c r="J4559" t="s">
        <v>5307</v>
      </c>
      <c r="K4559" t="s">
        <v>1092</v>
      </c>
      <c r="M4559">
        <v>0.22500000000000001</v>
      </c>
      <c r="N4559">
        <v>272</v>
      </c>
      <c r="O4559" t="s">
        <v>5</v>
      </c>
      <c r="Q4559" t="s">
        <v>1717</v>
      </c>
      <c r="R4559" t="s">
        <v>478</v>
      </c>
      <c r="S4559" t="s">
        <v>479</v>
      </c>
      <c r="T4559" t="s">
        <v>480</v>
      </c>
    </row>
    <row r="4560" spans="1:20" x14ac:dyDescent="0.25">
      <c r="A4560" t="s">
        <v>59</v>
      </c>
      <c r="B4560" t="s">
        <v>60</v>
      </c>
      <c r="C4560" t="s">
        <v>32</v>
      </c>
      <c r="D4560" t="s">
        <v>673</v>
      </c>
      <c r="E4560" t="s">
        <v>704</v>
      </c>
      <c r="F4560" t="s">
        <v>35</v>
      </c>
      <c r="G4560" t="s">
        <v>35</v>
      </c>
      <c r="H4560" t="s">
        <v>35</v>
      </c>
      <c r="J4560" t="s">
        <v>5348</v>
      </c>
      <c r="K4560" t="s">
        <v>1092</v>
      </c>
      <c r="M4560">
        <v>1.05</v>
      </c>
      <c r="N4560">
        <v>107</v>
      </c>
      <c r="O4560" t="s">
        <v>106</v>
      </c>
      <c r="Q4560" t="s">
        <v>288</v>
      </c>
      <c r="R4560" t="s">
        <v>478</v>
      </c>
      <c r="S4560" t="s">
        <v>479</v>
      </c>
      <c r="T4560" t="s">
        <v>480</v>
      </c>
    </row>
    <row r="4561" spans="1:20" x14ac:dyDescent="0.25">
      <c r="A4561" t="s">
        <v>59</v>
      </c>
      <c r="B4561" t="s">
        <v>60</v>
      </c>
      <c r="C4561" t="s">
        <v>32</v>
      </c>
      <c r="D4561" t="s">
        <v>673</v>
      </c>
      <c r="E4561" t="s">
        <v>5208</v>
      </c>
      <c r="F4561" t="s">
        <v>35</v>
      </c>
      <c r="G4561" t="s">
        <v>35</v>
      </c>
      <c r="H4561" t="s">
        <v>35</v>
      </c>
      <c r="J4561" t="s">
        <v>5223</v>
      </c>
      <c r="K4561" t="s">
        <v>1092</v>
      </c>
      <c r="M4561">
        <v>1.55</v>
      </c>
      <c r="N4561">
        <v>73</v>
      </c>
      <c r="O4561" t="s">
        <v>61</v>
      </c>
      <c r="Q4561" t="s">
        <v>477</v>
      </c>
      <c r="R4561" t="s">
        <v>478</v>
      </c>
      <c r="S4561" t="s">
        <v>479</v>
      </c>
      <c r="T4561" t="s">
        <v>480</v>
      </c>
    </row>
    <row r="4562" spans="1:20" x14ac:dyDescent="0.25">
      <c r="A4562" t="s">
        <v>59</v>
      </c>
      <c r="B4562" t="s">
        <v>60</v>
      </c>
      <c r="C4562" t="s">
        <v>32</v>
      </c>
      <c r="D4562" t="s">
        <v>673</v>
      </c>
      <c r="E4562" t="s">
        <v>691</v>
      </c>
      <c r="F4562" t="s">
        <v>35</v>
      </c>
      <c r="G4562" t="s">
        <v>35</v>
      </c>
      <c r="H4562" t="s">
        <v>35</v>
      </c>
      <c r="J4562" t="s">
        <v>5327</v>
      </c>
      <c r="K4562" t="s">
        <v>1092</v>
      </c>
      <c r="M4562">
        <v>0.5</v>
      </c>
      <c r="N4562">
        <v>115</v>
      </c>
      <c r="O4562" t="s">
        <v>106</v>
      </c>
      <c r="Q4562" t="s">
        <v>3430</v>
      </c>
      <c r="R4562" t="s">
        <v>478</v>
      </c>
      <c r="S4562" t="s">
        <v>479</v>
      </c>
      <c r="T4562" t="s">
        <v>480</v>
      </c>
    </row>
    <row r="4563" spans="1:20" x14ac:dyDescent="0.25">
      <c r="A4563" t="s">
        <v>30</v>
      </c>
      <c r="B4563" t="s">
        <v>31</v>
      </c>
      <c r="C4563" t="s">
        <v>32</v>
      </c>
      <c r="D4563" t="s">
        <v>673</v>
      </c>
      <c r="E4563" t="s">
        <v>691</v>
      </c>
      <c r="F4563" t="s">
        <v>35</v>
      </c>
      <c r="G4563" t="s">
        <v>35</v>
      </c>
      <c r="H4563" t="s">
        <v>35</v>
      </c>
      <c r="J4563" t="s">
        <v>5327</v>
      </c>
      <c r="K4563" t="s">
        <v>1092</v>
      </c>
      <c r="M4563">
        <v>1.4999999999999999E-2</v>
      </c>
      <c r="N4563">
        <v>1665</v>
      </c>
      <c r="O4563" t="s">
        <v>575</v>
      </c>
      <c r="Q4563" t="s">
        <v>5328</v>
      </c>
      <c r="R4563" t="s">
        <v>478</v>
      </c>
      <c r="S4563" t="s">
        <v>479</v>
      </c>
      <c r="T4563" t="s">
        <v>480</v>
      </c>
    </row>
    <row r="4564" spans="1:20" x14ac:dyDescent="0.25">
      <c r="A4564" t="s">
        <v>59</v>
      </c>
      <c r="B4564" t="s">
        <v>60</v>
      </c>
      <c r="C4564" t="s">
        <v>32</v>
      </c>
      <c r="D4564" t="s">
        <v>673</v>
      </c>
      <c r="E4564" t="s">
        <v>674</v>
      </c>
      <c r="F4564" t="s">
        <v>35</v>
      </c>
      <c r="G4564" t="s">
        <v>35</v>
      </c>
      <c r="H4564" t="s">
        <v>35</v>
      </c>
      <c r="J4564" t="s">
        <v>5312</v>
      </c>
      <c r="K4564" t="s">
        <v>1092</v>
      </c>
      <c r="M4564">
        <v>10.5</v>
      </c>
      <c r="N4564">
        <v>73</v>
      </c>
      <c r="O4564" t="s">
        <v>61</v>
      </c>
      <c r="Q4564" t="s">
        <v>477</v>
      </c>
      <c r="R4564" t="s">
        <v>478</v>
      </c>
      <c r="S4564" t="s">
        <v>479</v>
      </c>
      <c r="T4564" t="s">
        <v>480</v>
      </c>
    </row>
    <row r="4565" spans="1:20" x14ac:dyDescent="0.25">
      <c r="A4565" t="s">
        <v>59</v>
      </c>
      <c r="B4565" t="s">
        <v>31</v>
      </c>
      <c r="C4565" t="s">
        <v>32</v>
      </c>
      <c r="D4565" t="s">
        <v>673</v>
      </c>
      <c r="E4565" t="s">
        <v>673</v>
      </c>
      <c r="F4565" t="s">
        <v>35</v>
      </c>
      <c r="G4565" t="s">
        <v>35</v>
      </c>
      <c r="H4565" t="s">
        <v>35</v>
      </c>
      <c r="J4565" t="s">
        <v>5284</v>
      </c>
      <c r="K4565" t="s">
        <v>1092</v>
      </c>
      <c r="M4565">
        <v>9.0449999999999999</v>
      </c>
      <c r="N4565">
        <v>73</v>
      </c>
      <c r="O4565" t="s">
        <v>61</v>
      </c>
      <c r="Q4565" t="s">
        <v>477</v>
      </c>
      <c r="R4565" t="s">
        <v>478</v>
      </c>
      <c r="S4565" t="s">
        <v>479</v>
      </c>
      <c r="T4565" t="s">
        <v>480</v>
      </c>
    </row>
    <row r="4566" spans="1:20" x14ac:dyDescent="0.25">
      <c r="A4566" t="s">
        <v>44</v>
      </c>
      <c r="B4566" t="s">
        <v>3</v>
      </c>
      <c r="C4566" t="s">
        <v>32</v>
      </c>
      <c r="D4566" t="s">
        <v>673</v>
      </c>
      <c r="E4566" t="s">
        <v>704</v>
      </c>
      <c r="F4566" t="s">
        <v>35</v>
      </c>
      <c r="G4566" t="s">
        <v>35</v>
      </c>
      <c r="H4566" t="s">
        <v>35</v>
      </c>
      <c r="J4566" t="s">
        <v>5344</v>
      </c>
      <c r="K4566" t="s">
        <v>1092</v>
      </c>
      <c r="M4566">
        <v>0.1</v>
      </c>
      <c r="N4566">
        <v>546</v>
      </c>
      <c r="O4566" t="s">
        <v>294</v>
      </c>
      <c r="Q4566" t="s">
        <v>5345</v>
      </c>
      <c r="R4566" t="s">
        <v>478</v>
      </c>
      <c r="S4566" t="s">
        <v>479</v>
      </c>
      <c r="T4566" t="s">
        <v>480</v>
      </c>
    </row>
    <row r="4567" spans="1:20" x14ac:dyDescent="0.25">
      <c r="A4567" t="s">
        <v>44</v>
      </c>
      <c r="B4567" t="s">
        <v>3</v>
      </c>
      <c r="C4567" t="s">
        <v>32</v>
      </c>
      <c r="D4567" t="s">
        <v>673</v>
      </c>
      <c r="E4567" t="s">
        <v>704</v>
      </c>
      <c r="F4567" t="s">
        <v>35</v>
      </c>
      <c r="G4567" t="s">
        <v>35</v>
      </c>
      <c r="H4567" t="s">
        <v>35</v>
      </c>
      <c r="J4567" t="s">
        <v>5344</v>
      </c>
      <c r="K4567" t="s">
        <v>1092</v>
      </c>
      <c r="M4567">
        <v>0.25</v>
      </c>
      <c r="N4567">
        <v>543</v>
      </c>
      <c r="O4567" t="s">
        <v>294</v>
      </c>
      <c r="Q4567" t="s">
        <v>3383</v>
      </c>
      <c r="R4567" t="s">
        <v>478</v>
      </c>
      <c r="S4567" t="s">
        <v>479</v>
      </c>
      <c r="T4567" t="s">
        <v>480</v>
      </c>
    </row>
    <row r="4568" spans="1:20" x14ac:dyDescent="0.25">
      <c r="A4568" t="s">
        <v>59</v>
      </c>
      <c r="B4568" t="s">
        <v>31</v>
      </c>
      <c r="C4568" t="s">
        <v>32</v>
      </c>
      <c r="D4568" t="s">
        <v>673</v>
      </c>
      <c r="E4568" t="s">
        <v>674</v>
      </c>
      <c r="F4568" t="s">
        <v>35</v>
      </c>
      <c r="G4568" t="s">
        <v>35</v>
      </c>
      <c r="H4568" t="s">
        <v>35</v>
      </c>
      <c r="J4568" t="s">
        <v>680</v>
      </c>
      <c r="K4568" t="s">
        <v>1092</v>
      </c>
      <c r="M4568">
        <v>19.98</v>
      </c>
      <c r="N4568">
        <v>56</v>
      </c>
      <c r="O4568" t="s">
        <v>52</v>
      </c>
      <c r="Q4568" t="s">
        <v>423</v>
      </c>
      <c r="R4568" t="s">
        <v>5317</v>
      </c>
      <c r="S4568" t="s">
        <v>680</v>
      </c>
      <c r="T4568" t="s">
        <v>681</v>
      </c>
    </row>
    <row r="4569" spans="1:20" x14ac:dyDescent="0.25">
      <c r="A4569" t="s">
        <v>59</v>
      </c>
      <c r="B4569" t="s">
        <v>60</v>
      </c>
      <c r="C4569" t="s">
        <v>32</v>
      </c>
      <c r="D4569" t="s">
        <v>673</v>
      </c>
      <c r="E4569" t="s">
        <v>674</v>
      </c>
      <c r="F4569" t="s">
        <v>35</v>
      </c>
      <c r="G4569" t="s">
        <v>35</v>
      </c>
      <c r="H4569" t="s">
        <v>35</v>
      </c>
      <c r="J4569" t="s">
        <v>680</v>
      </c>
      <c r="K4569" t="s">
        <v>1092</v>
      </c>
      <c r="M4569">
        <v>31.25</v>
      </c>
      <c r="N4569">
        <v>56</v>
      </c>
      <c r="O4569" t="s">
        <v>52</v>
      </c>
      <c r="Q4569" t="s">
        <v>423</v>
      </c>
      <c r="R4569" t="s">
        <v>5317</v>
      </c>
      <c r="S4569" t="s">
        <v>680</v>
      </c>
      <c r="T4569" t="s">
        <v>681</v>
      </c>
    </row>
    <row r="4570" spans="1:20" x14ac:dyDescent="0.25">
      <c r="A4570" t="s">
        <v>30</v>
      </c>
      <c r="B4570" t="s">
        <v>31</v>
      </c>
      <c r="C4570" t="s">
        <v>32</v>
      </c>
      <c r="D4570" t="s">
        <v>673</v>
      </c>
      <c r="E4570" t="s">
        <v>674</v>
      </c>
      <c r="F4570" t="s">
        <v>35</v>
      </c>
      <c r="G4570" t="s">
        <v>35</v>
      </c>
      <c r="H4570" t="s">
        <v>35</v>
      </c>
      <c r="J4570" t="s">
        <v>5321</v>
      </c>
      <c r="K4570" t="s">
        <v>1092</v>
      </c>
      <c r="M4570">
        <v>0.67500000000000004</v>
      </c>
      <c r="N4570">
        <v>30</v>
      </c>
      <c r="O4570" t="s">
        <v>46</v>
      </c>
      <c r="Q4570" t="s">
        <v>3499</v>
      </c>
      <c r="R4570" t="s">
        <v>5317</v>
      </c>
      <c r="S4570" t="s">
        <v>680</v>
      </c>
      <c r="T4570" t="s">
        <v>681</v>
      </c>
    </row>
    <row r="4571" spans="1:20" x14ac:dyDescent="0.25">
      <c r="A4571" t="s">
        <v>30</v>
      </c>
      <c r="B4571" t="s">
        <v>31</v>
      </c>
      <c r="C4571" t="s">
        <v>32</v>
      </c>
      <c r="D4571" t="s">
        <v>673</v>
      </c>
      <c r="E4571" t="s">
        <v>707</v>
      </c>
      <c r="F4571" t="s">
        <v>35</v>
      </c>
      <c r="G4571" t="s">
        <v>35</v>
      </c>
      <c r="H4571" t="s">
        <v>35</v>
      </c>
      <c r="J4571" t="s">
        <v>5382</v>
      </c>
      <c r="K4571" t="s">
        <v>1092</v>
      </c>
      <c r="M4571">
        <v>22.05</v>
      </c>
      <c r="N4571">
        <v>42</v>
      </c>
      <c r="O4571" t="s">
        <v>52</v>
      </c>
      <c r="Q4571" t="s">
        <v>219</v>
      </c>
      <c r="R4571" t="s">
        <v>5271</v>
      </c>
      <c r="S4571" t="s">
        <v>711</v>
      </c>
      <c r="T4571" t="s">
        <v>712</v>
      </c>
    </row>
    <row r="4572" spans="1:20" x14ac:dyDescent="0.25">
      <c r="A4572" t="s">
        <v>59</v>
      </c>
      <c r="B4572" t="s">
        <v>31</v>
      </c>
      <c r="C4572" t="s">
        <v>32</v>
      </c>
      <c r="D4572" t="s">
        <v>673</v>
      </c>
      <c r="F4572" t="s">
        <v>35</v>
      </c>
      <c r="G4572" t="s">
        <v>35</v>
      </c>
      <c r="H4572" t="s">
        <v>35</v>
      </c>
      <c r="J4572" t="s">
        <v>5416</v>
      </c>
      <c r="K4572" t="s">
        <v>1092</v>
      </c>
      <c r="M4572">
        <v>3.33</v>
      </c>
      <c r="N4572">
        <v>916</v>
      </c>
      <c r="O4572" t="s">
        <v>575</v>
      </c>
      <c r="Q4572" t="s">
        <v>5417</v>
      </c>
      <c r="R4572" t="s">
        <v>5271</v>
      </c>
      <c r="S4572" t="s">
        <v>711</v>
      </c>
      <c r="T4572" t="s">
        <v>712</v>
      </c>
    </row>
    <row r="4573" spans="1:20" x14ac:dyDescent="0.25">
      <c r="A4573" t="s">
        <v>30</v>
      </c>
      <c r="B4573" t="s">
        <v>31</v>
      </c>
      <c r="C4573" t="s">
        <v>32</v>
      </c>
      <c r="D4573" t="s">
        <v>673</v>
      </c>
      <c r="E4573" t="s">
        <v>707</v>
      </c>
      <c r="F4573" t="s">
        <v>35</v>
      </c>
      <c r="G4573" t="s">
        <v>35</v>
      </c>
      <c r="H4573" t="s">
        <v>35</v>
      </c>
      <c r="J4573" t="s">
        <v>5375</v>
      </c>
      <c r="K4573" t="s">
        <v>1092</v>
      </c>
      <c r="M4573">
        <v>11.025</v>
      </c>
      <c r="N4573">
        <v>42</v>
      </c>
      <c r="O4573" t="s">
        <v>52</v>
      </c>
      <c r="Q4573" t="s">
        <v>219</v>
      </c>
      <c r="R4573" t="s">
        <v>5271</v>
      </c>
      <c r="S4573" t="s">
        <v>711</v>
      </c>
      <c r="T4573" t="s">
        <v>712</v>
      </c>
    </row>
    <row r="4574" spans="1:20" x14ac:dyDescent="0.25">
      <c r="A4574" t="s">
        <v>59</v>
      </c>
      <c r="B4574" t="s">
        <v>31</v>
      </c>
      <c r="C4574" t="s">
        <v>32</v>
      </c>
      <c r="D4574" t="s">
        <v>673</v>
      </c>
      <c r="E4574" t="s">
        <v>673</v>
      </c>
      <c r="F4574" t="s">
        <v>35</v>
      </c>
      <c r="G4574" t="s">
        <v>35</v>
      </c>
      <c r="H4574" t="s">
        <v>35</v>
      </c>
      <c r="J4574" t="s">
        <v>1491</v>
      </c>
      <c r="K4574" t="s">
        <v>1092</v>
      </c>
      <c r="M4574">
        <v>1.08</v>
      </c>
      <c r="N4574">
        <v>45</v>
      </c>
      <c r="O4574" t="s">
        <v>52</v>
      </c>
      <c r="Q4574" t="s">
        <v>1230</v>
      </c>
      <c r="R4574" t="s">
        <v>5271</v>
      </c>
      <c r="S4574" t="s">
        <v>711</v>
      </c>
      <c r="T4574" t="s">
        <v>712</v>
      </c>
    </row>
    <row r="4575" spans="1:20" x14ac:dyDescent="0.25">
      <c r="A4575" t="s">
        <v>30</v>
      </c>
      <c r="B4575" t="s">
        <v>31</v>
      </c>
      <c r="C4575" t="s">
        <v>32</v>
      </c>
      <c r="D4575" t="s">
        <v>673</v>
      </c>
      <c r="E4575" t="s">
        <v>691</v>
      </c>
      <c r="F4575" t="s">
        <v>35</v>
      </c>
      <c r="G4575" t="s">
        <v>35</v>
      </c>
      <c r="H4575" t="s">
        <v>35</v>
      </c>
      <c r="J4575" t="s">
        <v>5330</v>
      </c>
      <c r="K4575" t="s">
        <v>1092</v>
      </c>
      <c r="M4575">
        <v>10.26</v>
      </c>
      <c r="N4575">
        <v>42</v>
      </c>
      <c r="O4575" t="s">
        <v>52</v>
      </c>
      <c r="Q4575" t="s">
        <v>219</v>
      </c>
      <c r="R4575" t="s">
        <v>5271</v>
      </c>
      <c r="S4575" t="s">
        <v>711</v>
      </c>
      <c r="T4575" t="s">
        <v>712</v>
      </c>
    </row>
    <row r="4576" spans="1:20" x14ac:dyDescent="0.25">
      <c r="A4576" t="s">
        <v>30</v>
      </c>
      <c r="B4576" t="s">
        <v>31</v>
      </c>
      <c r="C4576" t="s">
        <v>32</v>
      </c>
      <c r="D4576" t="s">
        <v>673</v>
      </c>
      <c r="E4576" t="s">
        <v>691</v>
      </c>
      <c r="F4576" t="s">
        <v>35</v>
      </c>
      <c r="G4576" t="s">
        <v>35</v>
      </c>
      <c r="H4576" t="s">
        <v>35</v>
      </c>
      <c r="J4576" t="s">
        <v>5330</v>
      </c>
      <c r="K4576" t="s">
        <v>1092</v>
      </c>
      <c r="M4576">
        <v>1.35</v>
      </c>
      <c r="N4576">
        <v>37</v>
      </c>
      <c r="O4576" t="s">
        <v>52</v>
      </c>
      <c r="Q4576" t="s">
        <v>192</v>
      </c>
      <c r="R4576" t="s">
        <v>5271</v>
      </c>
      <c r="S4576" t="s">
        <v>711</v>
      </c>
      <c r="T4576" t="s">
        <v>712</v>
      </c>
    </row>
    <row r="4577" spans="1:20" x14ac:dyDescent="0.25">
      <c r="A4577" t="s">
        <v>59</v>
      </c>
      <c r="B4577" t="s">
        <v>60</v>
      </c>
      <c r="C4577" t="s">
        <v>32</v>
      </c>
      <c r="D4577" t="s">
        <v>673</v>
      </c>
      <c r="E4577" t="s">
        <v>707</v>
      </c>
      <c r="F4577" t="s">
        <v>35</v>
      </c>
      <c r="G4577" t="s">
        <v>35</v>
      </c>
      <c r="H4577" t="s">
        <v>35</v>
      </c>
      <c r="J4577" t="s">
        <v>5387</v>
      </c>
      <c r="K4577" t="s">
        <v>1092</v>
      </c>
      <c r="M4577">
        <v>0.75</v>
      </c>
      <c r="N4577">
        <v>37</v>
      </c>
      <c r="O4577" t="s">
        <v>52</v>
      </c>
      <c r="Q4577" t="s">
        <v>192</v>
      </c>
      <c r="R4577" t="s">
        <v>5271</v>
      </c>
      <c r="S4577" t="s">
        <v>711</v>
      </c>
      <c r="T4577" t="s">
        <v>712</v>
      </c>
    </row>
    <row r="4578" spans="1:20" x14ac:dyDescent="0.25">
      <c r="A4578" t="s">
        <v>30</v>
      </c>
      <c r="B4578" t="s">
        <v>31</v>
      </c>
      <c r="C4578" t="s">
        <v>32</v>
      </c>
      <c r="D4578" t="s">
        <v>673</v>
      </c>
      <c r="E4578" t="s">
        <v>707</v>
      </c>
      <c r="F4578" t="s">
        <v>35</v>
      </c>
      <c r="G4578" t="s">
        <v>35</v>
      </c>
      <c r="H4578" t="s">
        <v>35</v>
      </c>
      <c r="J4578" t="s">
        <v>5387</v>
      </c>
      <c r="K4578" t="s">
        <v>1092</v>
      </c>
      <c r="M4578">
        <v>3.6</v>
      </c>
      <c r="N4578">
        <v>25</v>
      </c>
      <c r="O4578" t="s">
        <v>46</v>
      </c>
      <c r="Q4578" t="s">
        <v>547</v>
      </c>
      <c r="R4578" t="s">
        <v>5271</v>
      </c>
      <c r="S4578" t="s">
        <v>711</v>
      </c>
      <c r="T4578" t="s">
        <v>712</v>
      </c>
    </row>
    <row r="4579" spans="1:20" x14ac:dyDescent="0.25">
      <c r="A4579" t="s">
        <v>30</v>
      </c>
      <c r="B4579" t="s">
        <v>31</v>
      </c>
      <c r="C4579" t="s">
        <v>32</v>
      </c>
      <c r="D4579" t="s">
        <v>673</v>
      </c>
      <c r="E4579" t="s">
        <v>717</v>
      </c>
      <c r="F4579" t="s">
        <v>35</v>
      </c>
      <c r="G4579" t="s">
        <v>35</v>
      </c>
      <c r="H4579" t="s">
        <v>35</v>
      </c>
      <c r="J4579" t="s">
        <v>5395</v>
      </c>
      <c r="K4579" t="s">
        <v>1092</v>
      </c>
      <c r="M4579">
        <v>2.4750000000000001</v>
      </c>
      <c r="N4579">
        <v>42</v>
      </c>
      <c r="O4579" t="s">
        <v>52</v>
      </c>
      <c r="Q4579" t="s">
        <v>219</v>
      </c>
      <c r="R4579" t="s">
        <v>5271</v>
      </c>
      <c r="S4579" t="s">
        <v>711</v>
      </c>
      <c r="T4579" t="s">
        <v>712</v>
      </c>
    </row>
    <row r="4580" spans="1:20" x14ac:dyDescent="0.25">
      <c r="A4580" t="s">
        <v>59</v>
      </c>
      <c r="B4580" t="s">
        <v>60</v>
      </c>
      <c r="C4580" t="s">
        <v>32</v>
      </c>
      <c r="D4580" t="s">
        <v>673</v>
      </c>
      <c r="E4580" t="s">
        <v>5370</v>
      </c>
      <c r="F4580" t="s">
        <v>35</v>
      </c>
      <c r="G4580" t="s">
        <v>35</v>
      </c>
      <c r="H4580" t="s">
        <v>35</v>
      </c>
      <c r="J4580" t="s">
        <v>5373</v>
      </c>
      <c r="K4580" t="s">
        <v>1092</v>
      </c>
      <c r="M4580">
        <v>1</v>
      </c>
      <c r="N4580">
        <v>37</v>
      </c>
      <c r="O4580" t="s">
        <v>52</v>
      </c>
      <c r="Q4580" t="s">
        <v>192</v>
      </c>
      <c r="R4580" t="s">
        <v>5271</v>
      </c>
      <c r="S4580" t="s">
        <v>711</v>
      </c>
      <c r="T4580" t="s">
        <v>712</v>
      </c>
    </row>
    <row r="4581" spans="1:20" x14ac:dyDescent="0.25">
      <c r="A4581" t="s">
        <v>30</v>
      </c>
      <c r="B4581" t="s">
        <v>31</v>
      </c>
      <c r="C4581" t="s">
        <v>32</v>
      </c>
      <c r="D4581" t="s">
        <v>673</v>
      </c>
      <c r="E4581" t="s">
        <v>5370</v>
      </c>
      <c r="F4581" t="s">
        <v>35</v>
      </c>
      <c r="G4581" t="s">
        <v>35</v>
      </c>
      <c r="H4581" t="s">
        <v>35</v>
      </c>
      <c r="J4581" t="s">
        <v>5373</v>
      </c>
      <c r="K4581" t="s">
        <v>1092</v>
      </c>
      <c r="M4581">
        <v>0.36</v>
      </c>
      <c r="N4581">
        <v>37</v>
      </c>
      <c r="O4581" t="s">
        <v>52</v>
      </c>
      <c r="Q4581" t="s">
        <v>192</v>
      </c>
      <c r="R4581" t="s">
        <v>5271</v>
      </c>
      <c r="S4581" t="s">
        <v>711</v>
      </c>
      <c r="T4581" t="s">
        <v>712</v>
      </c>
    </row>
    <row r="4582" spans="1:20" x14ac:dyDescent="0.25">
      <c r="A4582" t="s">
        <v>30</v>
      </c>
      <c r="B4582" t="s">
        <v>31</v>
      </c>
      <c r="C4582" t="s">
        <v>32</v>
      </c>
      <c r="D4582" t="s">
        <v>673</v>
      </c>
      <c r="E4582" t="s">
        <v>5370</v>
      </c>
      <c r="F4582" t="s">
        <v>35</v>
      </c>
      <c r="G4582" t="s">
        <v>35</v>
      </c>
      <c r="H4582" t="s">
        <v>35</v>
      </c>
      <c r="J4582" t="s">
        <v>5373</v>
      </c>
      <c r="K4582" t="s">
        <v>1092</v>
      </c>
      <c r="M4582">
        <v>4.68</v>
      </c>
      <c r="N4582">
        <v>42</v>
      </c>
      <c r="O4582" t="s">
        <v>52</v>
      </c>
      <c r="Q4582" t="s">
        <v>219</v>
      </c>
      <c r="R4582" t="s">
        <v>5271</v>
      </c>
      <c r="S4582" t="s">
        <v>711</v>
      </c>
      <c r="T4582" t="s">
        <v>712</v>
      </c>
    </row>
    <row r="4583" spans="1:20" x14ac:dyDescent="0.25">
      <c r="A4583" t="s">
        <v>59</v>
      </c>
      <c r="B4583" t="s">
        <v>60</v>
      </c>
      <c r="C4583" t="s">
        <v>32</v>
      </c>
      <c r="D4583" t="s">
        <v>673</v>
      </c>
      <c r="E4583" t="s">
        <v>673</v>
      </c>
      <c r="F4583" t="s">
        <v>35</v>
      </c>
      <c r="G4583" t="s">
        <v>35</v>
      </c>
      <c r="H4583" t="s">
        <v>35</v>
      </c>
      <c r="J4583" t="s">
        <v>5305</v>
      </c>
      <c r="K4583" t="s">
        <v>1092</v>
      </c>
      <c r="M4583">
        <v>1.75</v>
      </c>
      <c r="N4583">
        <v>63</v>
      </c>
      <c r="O4583" t="s">
        <v>61</v>
      </c>
      <c r="Q4583" t="s">
        <v>126</v>
      </c>
      <c r="R4583" t="s">
        <v>5271</v>
      </c>
      <c r="S4583" t="s">
        <v>711</v>
      </c>
      <c r="T4583" t="s">
        <v>712</v>
      </c>
    </row>
    <row r="4584" spans="1:20" x14ac:dyDescent="0.25">
      <c r="A4584" t="s">
        <v>30</v>
      </c>
      <c r="B4584" t="s">
        <v>31</v>
      </c>
      <c r="C4584" t="s">
        <v>32</v>
      </c>
      <c r="D4584" t="s">
        <v>673</v>
      </c>
      <c r="E4584" t="s">
        <v>704</v>
      </c>
      <c r="F4584" t="s">
        <v>35</v>
      </c>
      <c r="G4584" t="s">
        <v>35</v>
      </c>
      <c r="H4584" t="s">
        <v>35</v>
      </c>
      <c r="J4584" t="s">
        <v>5348</v>
      </c>
      <c r="K4584" t="s">
        <v>1092</v>
      </c>
      <c r="M4584">
        <v>11.025</v>
      </c>
      <c r="N4584">
        <v>44</v>
      </c>
      <c r="O4584" t="s">
        <v>52</v>
      </c>
      <c r="Q4584" t="s">
        <v>54</v>
      </c>
      <c r="R4584" t="s">
        <v>5349</v>
      </c>
      <c r="S4584" t="s">
        <v>5350</v>
      </c>
      <c r="T4584" t="s">
        <v>5351</v>
      </c>
    </row>
    <row r="4585" spans="1:20" x14ac:dyDescent="0.25">
      <c r="A4585" t="s">
        <v>59</v>
      </c>
      <c r="B4585" t="s">
        <v>60</v>
      </c>
      <c r="C4585" t="s">
        <v>32</v>
      </c>
      <c r="D4585" t="s">
        <v>673</v>
      </c>
      <c r="E4585" t="s">
        <v>704</v>
      </c>
      <c r="F4585" t="s">
        <v>35</v>
      </c>
      <c r="G4585" t="s">
        <v>35</v>
      </c>
      <c r="H4585" t="s">
        <v>35</v>
      </c>
      <c r="J4585" t="s">
        <v>5339</v>
      </c>
      <c r="K4585" t="s">
        <v>1092</v>
      </c>
      <c r="M4585">
        <v>0.5</v>
      </c>
      <c r="N4585">
        <v>111</v>
      </c>
      <c r="O4585" t="s">
        <v>106</v>
      </c>
      <c r="Q4585" t="s">
        <v>1469</v>
      </c>
      <c r="R4585" t="s">
        <v>470</v>
      </c>
      <c r="S4585" t="s">
        <v>471</v>
      </c>
      <c r="T4585" t="s">
        <v>472</v>
      </c>
    </row>
    <row r="4586" spans="1:20" x14ac:dyDescent="0.25">
      <c r="A4586" t="s">
        <v>59</v>
      </c>
      <c r="B4586" t="s">
        <v>60</v>
      </c>
      <c r="C4586" t="s">
        <v>32</v>
      </c>
      <c r="D4586" t="s">
        <v>673</v>
      </c>
      <c r="E4586" t="s">
        <v>704</v>
      </c>
      <c r="F4586" t="s">
        <v>35</v>
      </c>
      <c r="G4586" t="s">
        <v>35</v>
      </c>
      <c r="H4586" t="s">
        <v>35</v>
      </c>
      <c r="J4586" t="s">
        <v>5347</v>
      </c>
      <c r="K4586" t="s">
        <v>1092</v>
      </c>
      <c r="M4586">
        <v>0.2</v>
      </c>
      <c r="N4586">
        <v>2</v>
      </c>
      <c r="O4586" t="s">
        <v>46</v>
      </c>
      <c r="Q4586" t="s">
        <v>2009</v>
      </c>
      <c r="R4586" t="s">
        <v>470</v>
      </c>
      <c r="S4586" t="s">
        <v>471</v>
      </c>
      <c r="T4586" t="s">
        <v>472</v>
      </c>
    </row>
    <row r="4587" spans="1:20" x14ac:dyDescent="0.25">
      <c r="A4587" t="s">
        <v>59</v>
      </c>
      <c r="B4587" t="s">
        <v>60</v>
      </c>
      <c r="C4587" t="s">
        <v>32</v>
      </c>
      <c r="D4587" t="s">
        <v>673</v>
      </c>
      <c r="E4587" t="s">
        <v>704</v>
      </c>
      <c r="F4587" t="s">
        <v>35</v>
      </c>
      <c r="G4587" t="s">
        <v>35</v>
      </c>
      <c r="H4587" t="s">
        <v>35</v>
      </c>
      <c r="J4587" t="s">
        <v>5340</v>
      </c>
      <c r="K4587" t="s">
        <v>1092</v>
      </c>
      <c r="M4587">
        <v>1.7</v>
      </c>
      <c r="N4587">
        <v>49</v>
      </c>
      <c r="O4587" t="s">
        <v>52</v>
      </c>
      <c r="Q4587" t="s">
        <v>453</v>
      </c>
      <c r="R4587" t="s">
        <v>470</v>
      </c>
      <c r="S4587" t="s">
        <v>471</v>
      </c>
      <c r="T4587" t="s">
        <v>472</v>
      </c>
    </row>
    <row r="4588" spans="1:20" x14ac:dyDescent="0.25">
      <c r="A4588" t="s">
        <v>59</v>
      </c>
      <c r="B4588" t="s">
        <v>31</v>
      </c>
      <c r="C4588" t="s">
        <v>32</v>
      </c>
      <c r="D4588" t="s">
        <v>673</v>
      </c>
      <c r="E4588" t="s">
        <v>704</v>
      </c>
      <c r="F4588" t="s">
        <v>35</v>
      </c>
      <c r="G4588" t="s">
        <v>35</v>
      </c>
      <c r="H4588" t="s">
        <v>35</v>
      </c>
      <c r="J4588" t="s">
        <v>5367</v>
      </c>
      <c r="K4588" t="s">
        <v>1092</v>
      </c>
      <c r="M4588">
        <v>0.85499999999999998</v>
      </c>
      <c r="N4588">
        <v>1215</v>
      </c>
      <c r="O4588" t="s">
        <v>575</v>
      </c>
      <c r="Q4588" t="s">
        <v>2434</v>
      </c>
      <c r="R4588" t="s">
        <v>470</v>
      </c>
      <c r="S4588" t="s">
        <v>471</v>
      </c>
      <c r="T4588" t="s">
        <v>472</v>
      </c>
    </row>
    <row r="4589" spans="1:20" x14ac:dyDescent="0.25">
      <c r="A4589" t="s">
        <v>30</v>
      </c>
      <c r="B4589" t="s">
        <v>31</v>
      </c>
      <c r="C4589" t="s">
        <v>32</v>
      </c>
      <c r="D4589" t="s">
        <v>673</v>
      </c>
      <c r="E4589" t="s">
        <v>694</v>
      </c>
      <c r="F4589" t="s">
        <v>35</v>
      </c>
      <c r="G4589" t="s">
        <v>35</v>
      </c>
      <c r="H4589" t="s">
        <v>35</v>
      </c>
      <c r="J4589" t="s">
        <v>5331</v>
      </c>
      <c r="K4589" t="s">
        <v>1092</v>
      </c>
      <c r="M4589">
        <v>5.1749999999999998</v>
      </c>
      <c r="N4589">
        <v>6</v>
      </c>
      <c r="O4589" t="s">
        <v>46</v>
      </c>
      <c r="Q4589" t="s">
        <v>310</v>
      </c>
      <c r="R4589" t="s">
        <v>5332</v>
      </c>
      <c r="S4589" t="s">
        <v>709</v>
      </c>
      <c r="T4589" t="s">
        <v>486</v>
      </c>
    </row>
    <row r="4590" spans="1:20" x14ac:dyDescent="0.25">
      <c r="A4590" t="s">
        <v>30</v>
      </c>
      <c r="B4590" t="s">
        <v>31</v>
      </c>
      <c r="C4590" t="s">
        <v>32</v>
      </c>
      <c r="D4590" t="s">
        <v>673</v>
      </c>
      <c r="E4590" t="s">
        <v>5208</v>
      </c>
      <c r="F4590" t="s">
        <v>35</v>
      </c>
      <c r="G4590" t="s">
        <v>35</v>
      </c>
      <c r="H4590" t="s">
        <v>35</v>
      </c>
      <c r="J4590" t="s">
        <v>5235</v>
      </c>
      <c r="K4590" t="s">
        <v>1092</v>
      </c>
      <c r="M4590">
        <v>0.63</v>
      </c>
      <c r="N4590">
        <v>136</v>
      </c>
      <c r="O4590" t="s">
        <v>38</v>
      </c>
      <c r="Q4590" t="s">
        <v>2121</v>
      </c>
      <c r="R4590" t="s">
        <v>5229</v>
      </c>
      <c r="S4590" t="s">
        <v>5230</v>
      </c>
      <c r="T4590" t="s">
        <v>5231</v>
      </c>
    </row>
    <row r="4591" spans="1:20" x14ac:dyDescent="0.25">
      <c r="A4591" t="s">
        <v>44</v>
      </c>
      <c r="B4591" t="s">
        <v>3</v>
      </c>
      <c r="C4591" t="s">
        <v>32</v>
      </c>
      <c r="D4591" t="s">
        <v>673</v>
      </c>
      <c r="E4591" t="s">
        <v>5208</v>
      </c>
      <c r="F4591" t="s">
        <v>35</v>
      </c>
      <c r="G4591" t="s">
        <v>35</v>
      </c>
      <c r="H4591" t="s">
        <v>35</v>
      </c>
      <c r="J4591" t="s">
        <v>5234</v>
      </c>
      <c r="K4591" t="s">
        <v>1092</v>
      </c>
      <c r="M4591">
        <v>0.25</v>
      </c>
      <c r="N4591">
        <v>489</v>
      </c>
      <c r="O4591" t="s">
        <v>294</v>
      </c>
      <c r="Q4591" t="s">
        <v>3602</v>
      </c>
      <c r="R4591" t="s">
        <v>5229</v>
      </c>
      <c r="S4591" t="s">
        <v>5230</v>
      </c>
      <c r="T4591" t="s">
        <v>5231</v>
      </c>
    </row>
    <row r="4592" spans="1:20" x14ac:dyDescent="0.25">
      <c r="A4592" t="s">
        <v>44</v>
      </c>
      <c r="B4592" t="s">
        <v>3</v>
      </c>
      <c r="C4592" t="s">
        <v>32</v>
      </c>
      <c r="D4592" t="s">
        <v>673</v>
      </c>
      <c r="E4592" t="s">
        <v>673</v>
      </c>
      <c r="F4592" t="s">
        <v>35</v>
      </c>
      <c r="G4592" t="s">
        <v>35</v>
      </c>
      <c r="H4592" t="s">
        <v>35</v>
      </c>
      <c r="J4592" t="s">
        <v>5259</v>
      </c>
      <c r="K4592" t="s">
        <v>1092</v>
      </c>
      <c r="M4592">
        <v>1</v>
      </c>
      <c r="N4592">
        <v>489</v>
      </c>
      <c r="O4592" t="s">
        <v>294</v>
      </c>
      <c r="Q4592" t="s">
        <v>3602</v>
      </c>
      <c r="R4592" t="s">
        <v>5229</v>
      </c>
      <c r="S4592" t="s">
        <v>5230</v>
      </c>
      <c r="T4592" t="s">
        <v>5231</v>
      </c>
    </row>
    <row r="4593" spans="1:20" x14ac:dyDescent="0.25">
      <c r="A4593" t="s">
        <v>30</v>
      </c>
      <c r="B4593" t="s">
        <v>31</v>
      </c>
      <c r="C4593" t="s">
        <v>32</v>
      </c>
      <c r="D4593" t="s">
        <v>673</v>
      </c>
      <c r="E4593" t="s">
        <v>5208</v>
      </c>
      <c r="F4593" t="s">
        <v>35</v>
      </c>
      <c r="G4593" t="s">
        <v>35</v>
      </c>
      <c r="H4593" t="s">
        <v>35</v>
      </c>
      <c r="J4593" t="s">
        <v>5228</v>
      </c>
      <c r="K4593" t="s">
        <v>1092</v>
      </c>
      <c r="M4593">
        <v>1.08</v>
      </c>
      <c r="N4593">
        <v>135</v>
      </c>
      <c r="O4593" t="s">
        <v>38</v>
      </c>
      <c r="Q4593" t="s">
        <v>2067</v>
      </c>
      <c r="R4593" t="s">
        <v>5229</v>
      </c>
      <c r="S4593" t="s">
        <v>5230</v>
      </c>
      <c r="T4593" t="s">
        <v>5231</v>
      </c>
    </row>
    <row r="4594" spans="1:20" x14ac:dyDescent="0.25">
      <c r="A4594" t="s">
        <v>59</v>
      </c>
      <c r="B4594" t="s">
        <v>31</v>
      </c>
      <c r="C4594" t="s">
        <v>32</v>
      </c>
      <c r="D4594" t="s">
        <v>673</v>
      </c>
      <c r="E4594" t="s">
        <v>673</v>
      </c>
      <c r="F4594" t="s">
        <v>35</v>
      </c>
      <c r="G4594" t="s">
        <v>35</v>
      </c>
      <c r="H4594" t="s">
        <v>35</v>
      </c>
      <c r="J4594" t="s">
        <v>5288</v>
      </c>
      <c r="K4594" t="s">
        <v>1092</v>
      </c>
      <c r="M4594">
        <v>0.13</v>
      </c>
      <c r="N4594">
        <v>459</v>
      </c>
      <c r="O4594" t="s">
        <v>294</v>
      </c>
      <c r="Q4594" t="s">
        <v>1114</v>
      </c>
      <c r="R4594" t="s">
        <v>5289</v>
      </c>
      <c r="S4594" t="s">
        <v>5290</v>
      </c>
      <c r="T4594" t="s">
        <v>5291</v>
      </c>
    </row>
    <row r="4595" spans="1:20" x14ac:dyDescent="0.25">
      <c r="A4595" t="s">
        <v>59</v>
      </c>
      <c r="B4595" t="s">
        <v>31</v>
      </c>
      <c r="C4595" t="s">
        <v>32</v>
      </c>
      <c r="D4595" t="s">
        <v>673</v>
      </c>
      <c r="E4595" t="s">
        <v>673</v>
      </c>
      <c r="F4595" t="s">
        <v>35</v>
      </c>
      <c r="G4595" t="s">
        <v>35</v>
      </c>
      <c r="H4595" t="s">
        <v>35</v>
      </c>
      <c r="J4595" t="s">
        <v>5261</v>
      </c>
      <c r="K4595" t="s">
        <v>1092</v>
      </c>
      <c r="M4595">
        <v>0.99</v>
      </c>
      <c r="N4595">
        <v>1452</v>
      </c>
      <c r="O4595" t="s">
        <v>575</v>
      </c>
      <c r="Q4595" t="s">
        <v>5262</v>
      </c>
      <c r="R4595" t="s">
        <v>5263</v>
      </c>
      <c r="S4595" t="s">
        <v>5264</v>
      </c>
      <c r="T4595" t="s">
        <v>5265</v>
      </c>
    </row>
    <row r="4596" spans="1:20" x14ac:dyDescent="0.25">
      <c r="A4596" t="s">
        <v>30</v>
      </c>
      <c r="B4596" t="s">
        <v>31</v>
      </c>
      <c r="C4596" t="s">
        <v>32</v>
      </c>
      <c r="D4596" t="s">
        <v>673</v>
      </c>
      <c r="E4596" t="s">
        <v>704</v>
      </c>
      <c r="F4596" t="s">
        <v>35</v>
      </c>
      <c r="G4596" t="s">
        <v>35</v>
      </c>
      <c r="H4596" t="s">
        <v>35</v>
      </c>
      <c r="J4596" t="s">
        <v>5342</v>
      </c>
      <c r="K4596" t="s">
        <v>1092</v>
      </c>
      <c r="M4596">
        <v>1E-3</v>
      </c>
      <c r="N4596">
        <v>1214</v>
      </c>
      <c r="O4596" t="s">
        <v>575</v>
      </c>
      <c r="Q4596" t="s">
        <v>4540</v>
      </c>
      <c r="R4596" t="s">
        <v>5273</v>
      </c>
      <c r="S4596" t="s">
        <v>5274</v>
      </c>
      <c r="T4596" t="s">
        <v>5275</v>
      </c>
    </row>
    <row r="4597" spans="1:20" x14ac:dyDescent="0.25">
      <c r="A4597" t="s">
        <v>30</v>
      </c>
      <c r="B4597" t="s">
        <v>31</v>
      </c>
      <c r="C4597" t="s">
        <v>32</v>
      </c>
      <c r="D4597" t="s">
        <v>673</v>
      </c>
      <c r="F4597" t="s">
        <v>35</v>
      </c>
      <c r="G4597" t="s">
        <v>35</v>
      </c>
      <c r="H4597" t="s">
        <v>35</v>
      </c>
      <c r="J4597" t="s">
        <v>5411</v>
      </c>
      <c r="K4597" t="s">
        <v>1092</v>
      </c>
      <c r="M4597">
        <v>0.01</v>
      </c>
      <c r="N4597">
        <v>2567</v>
      </c>
      <c r="O4597" t="s">
        <v>575</v>
      </c>
      <c r="Q4597" t="s">
        <v>5412</v>
      </c>
      <c r="R4597" t="s">
        <v>5273</v>
      </c>
      <c r="S4597" t="s">
        <v>5274</v>
      </c>
      <c r="T4597" t="s">
        <v>5275</v>
      </c>
    </row>
    <row r="4598" spans="1:20" x14ac:dyDescent="0.25">
      <c r="A4598" t="s">
        <v>30</v>
      </c>
      <c r="B4598" t="s">
        <v>31</v>
      </c>
      <c r="C4598" t="s">
        <v>32</v>
      </c>
      <c r="D4598" t="s">
        <v>673</v>
      </c>
      <c r="F4598" t="s">
        <v>35</v>
      </c>
      <c r="G4598" t="s">
        <v>35</v>
      </c>
      <c r="H4598" t="s">
        <v>35</v>
      </c>
      <c r="J4598" t="s">
        <v>5399</v>
      </c>
      <c r="K4598" t="s">
        <v>1092</v>
      </c>
      <c r="M4598">
        <v>1.125</v>
      </c>
      <c r="N4598">
        <v>1190</v>
      </c>
      <c r="O4598" t="s">
        <v>575</v>
      </c>
      <c r="Q4598" t="s">
        <v>2473</v>
      </c>
      <c r="R4598" t="s">
        <v>5273</v>
      </c>
      <c r="S4598" t="s">
        <v>5274</v>
      </c>
      <c r="T4598" t="s">
        <v>5275</v>
      </c>
    </row>
    <row r="4599" spans="1:20" x14ac:dyDescent="0.25">
      <c r="A4599" t="s">
        <v>30</v>
      </c>
      <c r="B4599" t="s">
        <v>31</v>
      </c>
      <c r="C4599" t="s">
        <v>32</v>
      </c>
      <c r="D4599" t="s">
        <v>673</v>
      </c>
      <c r="E4599" t="s">
        <v>673</v>
      </c>
      <c r="F4599" t="s">
        <v>35</v>
      </c>
      <c r="G4599" t="s">
        <v>35</v>
      </c>
      <c r="H4599" t="s">
        <v>35</v>
      </c>
      <c r="J4599" t="s">
        <v>5276</v>
      </c>
      <c r="K4599" t="s">
        <v>1092</v>
      </c>
      <c r="M4599">
        <v>0.13500000000000001</v>
      </c>
      <c r="N4599">
        <v>1606</v>
      </c>
      <c r="O4599" t="s">
        <v>575</v>
      </c>
      <c r="Q4599" t="s">
        <v>5277</v>
      </c>
      <c r="R4599" t="s">
        <v>5273</v>
      </c>
      <c r="S4599" t="s">
        <v>5274</v>
      </c>
      <c r="T4599" t="s">
        <v>5275</v>
      </c>
    </row>
    <row r="4600" spans="1:20" x14ac:dyDescent="0.25">
      <c r="A4600" t="s">
        <v>30</v>
      </c>
      <c r="B4600" t="s">
        <v>31</v>
      </c>
      <c r="C4600" t="s">
        <v>32</v>
      </c>
      <c r="D4600" t="s">
        <v>673</v>
      </c>
      <c r="E4600" t="s">
        <v>673</v>
      </c>
      <c r="F4600" t="s">
        <v>35</v>
      </c>
      <c r="G4600" t="s">
        <v>35</v>
      </c>
      <c r="H4600" t="s">
        <v>35</v>
      </c>
      <c r="J4600" t="s">
        <v>5272</v>
      </c>
      <c r="K4600" t="s">
        <v>1092</v>
      </c>
      <c r="M4600">
        <v>0.03</v>
      </c>
      <c r="N4600">
        <v>1181</v>
      </c>
      <c r="O4600" t="s">
        <v>575</v>
      </c>
      <c r="Q4600" t="s">
        <v>4934</v>
      </c>
      <c r="R4600" t="s">
        <v>5273</v>
      </c>
      <c r="S4600" t="s">
        <v>5274</v>
      </c>
      <c r="T4600" t="s">
        <v>5275</v>
      </c>
    </row>
    <row r="4601" spans="1:20" x14ac:dyDescent="0.25">
      <c r="A4601" t="s">
        <v>59</v>
      </c>
      <c r="B4601" t="s">
        <v>60</v>
      </c>
      <c r="C4601" t="s">
        <v>32</v>
      </c>
      <c r="D4601" t="s">
        <v>673</v>
      </c>
      <c r="F4601" t="s">
        <v>35</v>
      </c>
      <c r="G4601" t="s">
        <v>35</v>
      </c>
      <c r="H4601" t="s">
        <v>35</v>
      </c>
      <c r="J4601" t="s">
        <v>3870</v>
      </c>
      <c r="K4601" t="s">
        <v>1092</v>
      </c>
      <c r="M4601">
        <v>0.75</v>
      </c>
      <c r="N4601">
        <v>1596</v>
      </c>
      <c r="O4601" t="s">
        <v>575</v>
      </c>
      <c r="Q4601" t="s">
        <v>4614</v>
      </c>
      <c r="R4601" t="s">
        <v>5273</v>
      </c>
      <c r="S4601" t="s">
        <v>5274</v>
      </c>
      <c r="T4601" t="s">
        <v>5275</v>
      </c>
    </row>
    <row r="4602" spans="1:20" x14ac:dyDescent="0.25">
      <c r="A4602" t="s">
        <v>59</v>
      </c>
      <c r="B4602" t="s">
        <v>60</v>
      </c>
      <c r="C4602" t="s">
        <v>32</v>
      </c>
      <c r="D4602" t="s">
        <v>673</v>
      </c>
      <c r="F4602" t="s">
        <v>35</v>
      </c>
      <c r="G4602" t="s">
        <v>35</v>
      </c>
      <c r="H4602" t="s">
        <v>35</v>
      </c>
      <c r="J4602" t="s">
        <v>3870</v>
      </c>
      <c r="K4602" t="s">
        <v>1092</v>
      </c>
      <c r="M4602">
        <v>0.85</v>
      </c>
      <c r="N4602">
        <v>1587</v>
      </c>
      <c r="O4602" t="s">
        <v>575</v>
      </c>
      <c r="Q4602" t="s">
        <v>5397</v>
      </c>
      <c r="R4602" t="s">
        <v>5273</v>
      </c>
      <c r="S4602" t="s">
        <v>5274</v>
      </c>
      <c r="T4602" t="s">
        <v>5275</v>
      </c>
    </row>
    <row r="4603" spans="1:20" x14ac:dyDescent="0.25">
      <c r="A4603" t="s">
        <v>59</v>
      </c>
      <c r="B4603" t="s">
        <v>60</v>
      </c>
      <c r="C4603" t="s">
        <v>32</v>
      </c>
      <c r="D4603" t="s">
        <v>673</v>
      </c>
      <c r="E4603" t="s">
        <v>704</v>
      </c>
      <c r="F4603" t="s">
        <v>35</v>
      </c>
      <c r="G4603" t="s">
        <v>35</v>
      </c>
      <c r="H4603" t="s">
        <v>35</v>
      </c>
      <c r="J4603" t="s">
        <v>471</v>
      </c>
      <c r="K4603" t="s">
        <v>37</v>
      </c>
      <c r="M4603">
        <v>6.15</v>
      </c>
      <c r="N4603">
        <v>131</v>
      </c>
      <c r="O4603" t="s">
        <v>38</v>
      </c>
      <c r="P4603" t="s">
        <v>706</v>
      </c>
      <c r="Q4603" t="s">
        <v>542</v>
      </c>
      <c r="R4603" t="s">
        <v>501</v>
      </c>
      <c r="S4603" t="s">
        <v>502</v>
      </c>
      <c r="T4603" t="s">
        <v>503</v>
      </c>
    </row>
    <row r="4604" spans="1:20" x14ac:dyDescent="0.25">
      <c r="A4604" t="s">
        <v>30</v>
      </c>
      <c r="B4604" t="s">
        <v>31</v>
      </c>
      <c r="C4604" t="s">
        <v>32</v>
      </c>
      <c r="D4604" t="s">
        <v>673</v>
      </c>
      <c r="E4604" t="s">
        <v>673</v>
      </c>
      <c r="F4604" t="s">
        <v>35</v>
      </c>
      <c r="G4604" t="s">
        <v>35</v>
      </c>
      <c r="H4604" t="s">
        <v>35</v>
      </c>
      <c r="J4604" t="s">
        <v>5238</v>
      </c>
      <c r="K4604" t="s">
        <v>1092</v>
      </c>
      <c r="M4604">
        <v>4.6349999999999998</v>
      </c>
      <c r="N4604">
        <v>43</v>
      </c>
      <c r="O4604" t="s">
        <v>52</v>
      </c>
      <c r="Q4604" t="s">
        <v>425</v>
      </c>
      <c r="R4604" t="s">
        <v>5239</v>
      </c>
      <c r="S4604" t="s">
        <v>5240</v>
      </c>
      <c r="T4604" t="s">
        <v>5241</v>
      </c>
    </row>
    <row r="4605" spans="1:20" x14ac:dyDescent="0.25">
      <c r="A4605" t="s">
        <v>30</v>
      </c>
      <c r="B4605" t="s">
        <v>31</v>
      </c>
      <c r="C4605" t="s">
        <v>32</v>
      </c>
      <c r="D4605" t="s">
        <v>673</v>
      </c>
      <c r="E4605" t="s">
        <v>717</v>
      </c>
      <c r="F4605" t="s">
        <v>35</v>
      </c>
      <c r="G4605" t="s">
        <v>35</v>
      </c>
      <c r="H4605" t="s">
        <v>35</v>
      </c>
      <c r="J4605" t="s">
        <v>5391</v>
      </c>
      <c r="K4605" t="s">
        <v>1092</v>
      </c>
      <c r="M4605">
        <v>4.1849999999999996</v>
      </c>
      <c r="N4605">
        <v>43</v>
      </c>
      <c r="O4605" t="s">
        <v>52</v>
      </c>
      <c r="Q4605" t="s">
        <v>425</v>
      </c>
      <c r="R4605" t="s">
        <v>5239</v>
      </c>
      <c r="S4605" t="s">
        <v>5240</v>
      </c>
      <c r="T4605" t="s">
        <v>5241</v>
      </c>
    </row>
    <row r="4606" spans="1:20" x14ac:dyDescent="0.25">
      <c r="A4606" t="s">
        <v>30</v>
      </c>
      <c r="B4606" t="s">
        <v>31</v>
      </c>
      <c r="C4606" t="s">
        <v>32</v>
      </c>
      <c r="D4606" t="s">
        <v>673</v>
      </c>
      <c r="E4606" t="s">
        <v>673</v>
      </c>
      <c r="F4606" t="s">
        <v>35</v>
      </c>
      <c r="G4606" t="s">
        <v>35</v>
      </c>
      <c r="H4606" t="s">
        <v>35</v>
      </c>
      <c r="J4606" t="s">
        <v>5260</v>
      </c>
      <c r="K4606" t="s">
        <v>1092</v>
      </c>
      <c r="M4606">
        <v>10.484999999999999</v>
      </c>
      <c r="N4606">
        <v>43</v>
      </c>
      <c r="O4606" t="s">
        <v>52</v>
      </c>
      <c r="Q4606" t="s">
        <v>425</v>
      </c>
      <c r="R4606" t="s">
        <v>5239</v>
      </c>
      <c r="S4606" t="s">
        <v>5240</v>
      </c>
      <c r="T4606" t="s">
        <v>5241</v>
      </c>
    </row>
    <row r="4607" spans="1:20" x14ac:dyDescent="0.25">
      <c r="A4607" t="s">
        <v>59</v>
      </c>
      <c r="B4607" t="s">
        <v>31</v>
      </c>
      <c r="C4607" t="s">
        <v>32</v>
      </c>
      <c r="D4607" t="s">
        <v>673</v>
      </c>
      <c r="E4607" t="s">
        <v>673</v>
      </c>
      <c r="F4607" t="s">
        <v>35</v>
      </c>
      <c r="G4607" t="s">
        <v>35</v>
      </c>
      <c r="H4607" t="s">
        <v>35</v>
      </c>
      <c r="J4607" t="s">
        <v>5279</v>
      </c>
      <c r="K4607" t="s">
        <v>1092</v>
      </c>
      <c r="M4607">
        <v>0.125</v>
      </c>
      <c r="N4607">
        <v>1147</v>
      </c>
      <c r="O4607" t="s">
        <v>575</v>
      </c>
      <c r="Q4607" t="s">
        <v>4883</v>
      </c>
      <c r="R4607" t="s">
        <v>5268</v>
      </c>
      <c r="S4607" t="s">
        <v>5269</v>
      </c>
      <c r="T4607" t="s">
        <v>5270</v>
      </c>
    </row>
    <row r="4608" spans="1:20" x14ac:dyDescent="0.25">
      <c r="A4608" t="s">
        <v>30</v>
      </c>
      <c r="B4608" t="s">
        <v>31</v>
      </c>
      <c r="C4608" t="s">
        <v>32</v>
      </c>
      <c r="D4608" t="s">
        <v>673</v>
      </c>
      <c r="E4608" t="s">
        <v>673</v>
      </c>
      <c r="F4608" t="s">
        <v>35</v>
      </c>
      <c r="G4608" t="s">
        <v>35</v>
      </c>
      <c r="H4608" t="s">
        <v>35</v>
      </c>
      <c r="J4608" t="s">
        <v>5267</v>
      </c>
      <c r="K4608" t="s">
        <v>1092</v>
      </c>
      <c r="M4608">
        <v>7.1999999999999995E-2</v>
      </c>
      <c r="N4608">
        <v>2083</v>
      </c>
      <c r="O4608" t="s">
        <v>575</v>
      </c>
      <c r="Q4608" t="s">
        <v>3262</v>
      </c>
      <c r="R4608" t="s">
        <v>5268</v>
      </c>
      <c r="S4608" t="s">
        <v>5269</v>
      </c>
      <c r="T4608" t="s">
        <v>5270</v>
      </c>
    </row>
    <row r="4609" spans="1:20" x14ac:dyDescent="0.25">
      <c r="A4609" t="s">
        <v>59</v>
      </c>
      <c r="B4609" t="s">
        <v>60</v>
      </c>
      <c r="C4609" t="s">
        <v>32</v>
      </c>
      <c r="D4609" t="s">
        <v>673</v>
      </c>
      <c r="E4609" t="s">
        <v>673</v>
      </c>
      <c r="F4609" t="s">
        <v>35</v>
      </c>
      <c r="G4609" t="s">
        <v>35</v>
      </c>
      <c r="H4609" t="s">
        <v>35</v>
      </c>
      <c r="J4609" t="s">
        <v>5246</v>
      </c>
      <c r="K4609" t="s">
        <v>1092</v>
      </c>
      <c r="M4609">
        <v>4.1500000000000004</v>
      </c>
      <c r="N4609">
        <v>195</v>
      </c>
      <c r="O4609" t="s">
        <v>5</v>
      </c>
      <c r="Q4609" t="s">
        <v>1299</v>
      </c>
      <c r="R4609" t="s">
        <v>5248</v>
      </c>
      <c r="S4609" t="s">
        <v>5246</v>
      </c>
      <c r="T4609" t="s">
        <v>5247</v>
      </c>
    </row>
    <row r="4610" spans="1:20" x14ac:dyDescent="0.25">
      <c r="A4610" t="s">
        <v>30</v>
      </c>
      <c r="B4610" t="s">
        <v>31</v>
      </c>
      <c r="C4610" t="s">
        <v>32</v>
      </c>
      <c r="D4610" t="s">
        <v>673</v>
      </c>
      <c r="E4610" t="s">
        <v>673</v>
      </c>
      <c r="F4610" t="s">
        <v>35</v>
      </c>
      <c r="G4610" t="s">
        <v>35</v>
      </c>
      <c r="H4610" t="s">
        <v>35</v>
      </c>
      <c r="J4610" t="s">
        <v>5249</v>
      </c>
      <c r="K4610" t="s">
        <v>1092</v>
      </c>
      <c r="M4610">
        <v>0.45</v>
      </c>
      <c r="N4610">
        <v>2003</v>
      </c>
      <c r="O4610" t="s">
        <v>575</v>
      </c>
      <c r="Q4610" t="s">
        <v>5250</v>
      </c>
      <c r="R4610" t="s">
        <v>5251</v>
      </c>
      <c r="S4610" t="s">
        <v>5252</v>
      </c>
      <c r="T4610" t="s">
        <v>5253</v>
      </c>
    </row>
    <row r="4611" spans="1:20" x14ac:dyDescent="0.25">
      <c r="A4611" t="s">
        <v>59</v>
      </c>
      <c r="B4611" t="s">
        <v>31</v>
      </c>
      <c r="C4611" t="s">
        <v>32</v>
      </c>
      <c r="D4611" t="s">
        <v>673</v>
      </c>
      <c r="E4611" t="s">
        <v>673</v>
      </c>
      <c r="F4611" t="s">
        <v>35</v>
      </c>
      <c r="G4611" t="s">
        <v>35</v>
      </c>
      <c r="H4611" t="s">
        <v>35</v>
      </c>
      <c r="J4611" t="s">
        <v>5249</v>
      </c>
      <c r="K4611" t="s">
        <v>1092</v>
      </c>
      <c r="M4611">
        <v>0.22500000000000001</v>
      </c>
      <c r="N4611">
        <v>1988</v>
      </c>
      <c r="O4611" t="s">
        <v>575</v>
      </c>
      <c r="Q4611" t="s">
        <v>5254</v>
      </c>
      <c r="R4611" t="s">
        <v>5251</v>
      </c>
      <c r="S4611" t="s">
        <v>5252</v>
      </c>
      <c r="T4611" t="s">
        <v>5253</v>
      </c>
    </row>
    <row r="4612" spans="1:20" x14ac:dyDescent="0.25">
      <c r="A4612" t="s">
        <v>59</v>
      </c>
      <c r="B4612" t="s">
        <v>60</v>
      </c>
      <c r="C4612" t="s">
        <v>32</v>
      </c>
      <c r="D4612" t="s">
        <v>673</v>
      </c>
      <c r="E4612" t="s">
        <v>673</v>
      </c>
      <c r="F4612" t="s">
        <v>35</v>
      </c>
      <c r="G4612" t="s">
        <v>35</v>
      </c>
      <c r="H4612" t="s">
        <v>35</v>
      </c>
      <c r="J4612" t="s">
        <v>5286</v>
      </c>
      <c r="K4612" t="s">
        <v>1092</v>
      </c>
      <c r="M4612">
        <v>4.4999999999999998E-2</v>
      </c>
      <c r="N4612">
        <v>1572</v>
      </c>
      <c r="O4612" t="s">
        <v>575</v>
      </c>
      <c r="Q4612" t="s">
        <v>5287</v>
      </c>
      <c r="R4612" t="s">
        <v>5251</v>
      </c>
      <c r="S4612" t="s">
        <v>5252</v>
      </c>
      <c r="T4612" t="s">
        <v>5253</v>
      </c>
    </row>
    <row r="4613" spans="1:20" x14ac:dyDescent="0.25">
      <c r="A4613" t="s">
        <v>30</v>
      </c>
      <c r="B4613" t="s">
        <v>31</v>
      </c>
      <c r="C4613" t="s">
        <v>32</v>
      </c>
      <c r="D4613" t="s">
        <v>673</v>
      </c>
      <c r="E4613" t="s">
        <v>673</v>
      </c>
      <c r="F4613" t="s">
        <v>35</v>
      </c>
      <c r="G4613" t="s">
        <v>35</v>
      </c>
      <c r="H4613" t="s">
        <v>35</v>
      </c>
      <c r="J4613" t="s">
        <v>3127</v>
      </c>
      <c r="K4613" t="s">
        <v>1092</v>
      </c>
      <c r="M4613">
        <v>0.18</v>
      </c>
      <c r="N4613">
        <v>1215</v>
      </c>
      <c r="O4613" t="s">
        <v>575</v>
      </c>
      <c r="Q4613" t="s">
        <v>2434</v>
      </c>
      <c r="R4613" t="s">
        <v>5251</v>
      </c>
      <c r="S4613" t="s">
        <v>5252</v>
      </c>
      <c r="T4613" t="s">
        <v>5253</v>
      </c>
    </row>
    <row r="4614" spans="1:20" x14ac:dyDescent="0.25">
      <c r="A4614" t="s">
        <v>59</v>
      </c>
      <c r="B4614" t="s">
        <v>31</v>
      </c>
      <c r="C4614" t="s">
        <v>32</v>
      </c>
      <c r="D4614" t="s">
        <v>673</v>
      </c>
      <c r="E4614" t="s">
        <v>673</v>
      </c>
      <c r="F4614" t="s">
        <v>35</v>
      </c>
      <c r="G4614" t="s">
        <v>35</v>
      </c>
      <c r="H4614" t="s">
        <v>35</v>
      </c>
      <c r="J4614" t="s">
        <v>3127</v>
      </c>
      <c r="K4614" t="s">
        <v>1092</v>
      </c>
      <c r="M4614">
        <v>4.4999999999999998E-2</v>
      </c>
      <c r="N4614">
        <v>1553</v>
      </c>
      <c r="O4614" t="s">
        <v>575</v>
      </c>
      <c r="Q4614" t="s">
        <v>5266</v>
      </c>
      <c r="R4614" t="s">
        <v>5251</v>
      </c>
      <c r="S4614" t="s">
        <v>5252</v>
      </c>
      <c r="T4614" t="s">
        <v>5253</v>
      </c>
    </row>
    <row r="4615" spans="1:20" x14ac:dyDescent="0.25">
      <c r="A4615" t="s">
        <v>44</v>
      </c>
      <c r="B4615" t="s">
        <v>51</v>
      </c>
      <c r="C4615" t="s">
        <v>32</v>
      </c>
      <c r="D4615" t="s">
        <v>673</v>
      </c>
      <c r="E4615" t="s">
        <v>674</v>
      </c>
      <c r="F4615" t="s">
        <v>35</v>
      </c>
      <c r="G4615" t="s">
        <v>35</v>
      </c>
      <c r="H4615" t="s">
        <v>35</v>
      </c>
      <c r="J4615" t="s">
        <v>5318</v>
      </c>
      <c r="K4615" t="s">
        <v>1092</v>
      </c>
      <c r="M4615">
        <v>0.5</v>
      </c>
      <c r="N4615">
        <v>863</v>
      </c>
      <c r="O4615" t="s">
        <v>575</v>
      </c>
      <c r="Q4615" t="s">
        <v>5319</v>
      </c>
      <c r="R4615" t="s">
        <v>5320</v>
      </c>
      <c r="S4615" t="s">
        <v>675</v>
      </c>
      <c r="T4615" t="s">
        <v>676</v>
      </c>
    </row>
    <row r="4616" spans="1:20" x14ac:dyDescent="0.25">
      <c r="A4616" t="s">
        <v>59</v>
      </c>
      <c r="B4616" t="s">
        <v>60</v>
      </c>
      <c r="C4616" t="s">
        <v>32</v>
      </c>
      <c r="D4616" t="s">
        <v>673</v>
      </c>
      <c r="E4616" t="s">
        <v>717</v>
      </c>
      <c r="F4616" t="s">
        <v>35</v>
      </c>
      <c r="G4616" t="s">
        <v>35</v>
      </c>
      <c r="H4616" t="s">
        <v>35</v>
      </c>
      <c r="J4616" t="s">
        <v>5393</v>
      </c>
      <c r="K4616" t="s">
        <v>1092</v>
      </c>
      <c r="M4616">
        <v>5.0000000000000001E-3</v>
      </c>
      <c r="N4616">
        <v>2446</v>
      </c>
      <c r="O4616" t="s">
        <v>575</v>
      </c>
      <c r="Q4616" t="s">
        <v>5394</v>
      </c>
      <c r="R4616" t="s">
        <v>5320</v>
      </c>
      <c r="S4616" t="s">
        <v>675</v>
      </c>
      <c r="T4616" t="s">
        <v>676</v>
      </c>
    </row>
    <row r="4617" spans="1:20" x14ac:dyDescent="0.25">
      <c r="A4617" t="s">
        <v>59</v>
      </c>
      <c r="B4617" t="s">
        <v>60</v>
      </c>
      <c r="C4617" t="s">
        <v>32</v>
      </c>
      <c r="D4617" t="s">
        <v>673</v>
      </c>
      <c r="E4617" t="s">
        <v>707</v>
      </c>
      <c r="F4617" t="s">
        <v>35</v>
      </c>
      <c r="G4617" t="s">
        <v>35</v>
      </c>
      <c r="H4617" t="s">
        <v>35</v>
      </c>
      <c r="J4617" t="s">
        <v>709</v>
      </c>
      <c r="K4617" t="s">
        <v>37</v>
      </c>
      <c r="M4617">
        <v>15</v>
      </c>
      <c r="N4617">
        <v>67</v>
      </c>
      <c r="O4617" t="s">
        <v>61</v>
      </c>
      <c r="P4617" t="s">
        <v>710</v>
      </c>
      <c r="Q4617" t="s">
        <v>488</v>
      </c>
      <c r="R4617" t="s">
        <v>519</v>
      </c>
      <c r="S4617" t="s">
        <v>485</v>
      </c>
      <c r="T4617" t="s">
        <v>486</v>
      </c>
    </row>
    <row r="4618" spans="1:20" x14ac:dyDescent="0.25">
      <c r="A4618" t="s">
        <v>59</v>
      </c>
      <c r="B4618" t="s">
        <v>31</v>
      </c>
      <c r="C4618" t="s">
        <v>32</v>
      </c>
      <c r="D4618" t="s">
        <v>673</v>
      </c>
      <c r="E4618" t="s">
        <v>704</v>
      </c>
      <c r="F4618" t="s">
        <v>35</v>
      </c>
      <c r="G4618" t="s">
        <v>35</v>
      </c>
      <c r="H4618" t="s">
        <v>35</v>
      </c>
      <c r="J4618" t="s">
        <v>5336</v>
      </c>
      <c r="K4618" t="s">
        <v>1092</v>
      </c>
      <c r="M4618">
        <v>0.47499999999999998</v>
      </c>
      <c r="N4618">
        <v>61</v>
      </c>
      <c r="O4618" t="s">
        <v>61</v>
      </c>
      <c r="Q4618" t="s">
        <v>146</v>
      </c>
      <c r="R4618" t="s">
        <v>5256</v>
      </c>
      <c r="S4618" t="s">
        <v>5257</v>
      </c>
      <c r="T4618" t="s">
        <v>5258</v>
      </c>
    </row>
    <row r="4619" spans="1:20" x14ac:dyDescent="0.25">
      <c r="A4619" t="s">
        <v>59</v>
      </c>
      <c r="B4619" t="s">
        <v>60</v>
      </c>
      <c r="C4619" t="s">
        <v>32</v>
      </c>
      <c r="D4619" t="s">
        <v>673</v>
      </c>
      <c r="E4619" t="s">
        <v>704</v>
      </c>
      <c r="F4619" t="s">
        <v>35</v>
      </c>
      <c r="G4619" t="s">
        <v>35</v>
      </c>
      <c r="H4619" t="s">
        <v>35</v>
      </c>
      <c r="J4619" t="s">
        <v>5357</v>
      </c>
      <c r="K4619" t="s">
        <v>1092</v>
      </c>
      <c r="M4619">
        <v>0.25</v>
      </c>
      <c r="N4619">
        <v>11</v>
      </c>
      <c r="O4619" t="s">
        <v>46</v>
      </c>
      <c r="Q4619" t="s">
        <v>1476</v>
      </c>
      <c r="R4619" t="s">
        <v>5256</v>
      </c>
      <c r="S4619" t="s">
        <v>5257</v>
      </c>
      <c r="T4619" t="s">
        <v>5258</v>
      </c>
    </row>
    <row r="4620" spans="1:20" x14ac:dyDescent="0.25">
      <c r="A4620" t="s">
        <v>30</v>
      </c>
      <c r="B4620" t="s">
        <v>31</v>
      </c>
      <c r="C4620" t="s">
        <v>32</v>
      </c>
      <c r="D4620" t="s">
        <v>673</v>
      </c>
      <c r="E4620" t="s">
        <v>704</v>
      </c>
      <c r="F4620" t="s">
        <v>35</v>
      </c>
      <c r="G4620" t="s">
        <v>35</v>
      </c>
      <c r="H4620" t="s">
        <v>35</v>
      </c>
      <c r="J4620" t="s">
        <v>5357</v>
      </c>
      <c r="K4620" t="s">
        <v>1092</v>
      </c>
      <c r="M4620">
        <v>0.67500000000000004</v>
      </c>
      <c r="N4620">
        <v>41</v>
      </c>
      <c r="O4620" t="s">
        <v>52</v>
      </c>
      <c r="Q4620" t="s">
        <v>496</v>
      </c>
      <c r="R4620" t="s">
        <v>5256</v>
      </c>
      <c r="S4620" t="s">
        <v>5257</v>
      </c>
      <c r="T4620" t="s">
        <v>5258</v>
      </c>
    </row>
    <row r="4621" spans="1:20" x14ac:dyDescent="0.25">
      <c r="A4621" t="s">
        <v>30</v>
      </c>
      <c r="B4621" t="s">
        <v>31</v>
      </c>
      <c r="C4621" t="s">
        <v>32</v>
      </c>
      <c r="D4621" t="s">
        <v>673</v>
      </c>
      <c r="E4621" t="s">
        <v>704</v>
      </c>
      <c r="F4621" t="s">
        <v>35</v>
      </c>
      <c r="G4621" t="s">
        <v>35</v>
      </c>
      <c r="H4621" t="s">
        <v>35</v>
      </c>
      <c r="J4621" t="s">
        <v>5357</v>
      </c>
      <c r="K4621" t="s">
        <v>1092</v>
      </c>
      <c r="M4621">
        <v>0.45</v>
      </c>
      <c r="N4621">
        <v>11</v>
      </c>
      <c r="O4621" t="s">
        <v>46</v>
      </c>
      <c r="Q4621" t="s">
        <v>1476</v>
      </c>
      <c r="R4621" t="s">
        <v>5256</v>
      </c>
      <c r="S4621" t="s">
        <v>5257</v>
      </c>
      <c r="T4621" t="s">
        <v>5258</v>
      </c>
    </row>
    <row r="4622" spans="1:20" x14ac:dyDescent="0.25">
      <c r="A4622" t="s">
        <v>59</v>
      </c>
      <c r="B4622" t="s">
        <v>31</v>
      </c>
      <c r="C4622" t="s">
        <v>32</v>
      </c>
      <c r="D4622" t="s">
        <v>673</v>
      </c>
      <c r="E4622" t="s">
        <v>704</v>
      </c>
      <c r="F4622" t="s">
        <v>35</v>
      </c>
      <c r="G4622" t="s">
        <v>35</v>
      </c>
      <c r="H4622" t="s">
        <v>35</v>
      </c>
      <c r="J4622" t="s">
        <v>5363</v>
      </c>
      <c r="K4622" t="s">
        <v>1092</v>
      </c>
      <c r="M4622">
        <v>0.67500000000000004</v>
      </c>
      <c r="N4622">
        <v>61</v>
      </c>
      <c r="O4622" t="s">
        <v>61</v>
      </c>
      <c r="Q4622" t="s">
        <v>146</v>
      </c>
      <c r="R4622" t="s">
        <v>5256</v>
      </c>
      <c r="S4622" t="s">
        <v>5257</v>
      </c>
      <c r="T4622" t="s">
        <v>5258</v>
      </c>
    </row>
    <row r="4623" spans="1:20" x14ac:dyDescent="0.25">
      <c r="A4623" t="s">
        <v>59</v>
      </c>
      <c r="B4623" t="s">
        <v>60</v>
      </c>
      <c r="C4623" t="s">
        <v>32</v>
      </c>
      <c r="D4623" t="s">
        <v>673</v>
      </c>
      <c r="E4623" t="s">
        <v>704</v>
      </c>
      <c r="F4623" t="s">
        <v>35</v>
      </c>
      <c r="G4623" t="s">
        <v>35</v>
      </c>
      <c r="H4623" t="s">
        <v>35</v>
      </c>
      <c r="J4623" t="s">
        <v>5364</v>
      </c>
      <c r="K4623" t="s">
        <v>1092</v>
      </c>
      <c r="M4623">
        <v>0.5</v>
      </c>
      <c r="N4623">
        <v>41</v>
      </c>
      <c r="O4623" t="s">
        <v>52</v>
      </c>
      <c r="Q4623" t="s">
        <v>496</v>
      </c>
      <c r="R4623" t="s">
        <v>5256</v>
      </c>
      <c r="S4623" t="s">
        <v>5257</v>
      </c>
      <c r="T4623" t="s">
        <v>5258</v>
      </c>
    </row>
    <row r="4624" spans="1:20" x14ac:dyDescent="0.25">
      <c r="A4624" t="s">
        <v>30</v>
      </c>
      <c r="B4624" t="s">
        <v>31</v>
      </c>
      <c r="C4624" t="s">
        <v>32</v>
      </c>
      <c r="D4624" t="s">
        <v>673</v>
      </c>
      <c r="E4624" t="s">
        <v>704</v>
      </c>
      <c r="F4624" t="s">
        <v>35</v>
      </c>
      <c r="G4624" t="s">
        <v>35</v>
      </c>
      <c r="H4624" t="s">
        <v>35</v>
      </c>
      <c r="J4624" t="s">
        <v>5364</v>
      </c>
      <c r="K4624" t="s">
        <v>1092</v>
      </c>
      <c r="M4624">
        <v>1.125</v>
      </c>
      <c r="N4624">
        <v>27</v>
      </c>
      <c r="O4624" t="s">
        <v>46</v>
      </c>
      <c r="Q4624" t="s">
        <v>809</v>
      </c>
      <c r="R4624" t="s">
        <v>5256</v>
      </c>
      <c r="S4624" t="s">
        <v>5257</v>
      </c>
      <c r="T4624" t="s">
        <v>5258</v>
      </c>
    </row>
    <row r="4625" spans="1:20" x14ac:dyDescent="0.25">
      <c r="A4625" t="s">
        <v>59</v>
      </c>
      <c r="B4625" t="s">
        <v>31</v>
      </c>
      <c r="C4625" t="s">
        <v>32</v>
      </c>
      <c r="D4625" t="s">
        <v>673</v>
      </c>
      <c r="E4625" t="s">
        <v>704</v>
      </c>
      <c r="F4625" t="s">
        <v>35</v>
      </c>
      <c r="G4625" t="s">
        <v>35</v>
      </c>
      <c r="H4625" t="s">
        <v>35</v>
      </c>
      <c r="J4625" t="s">
        <v>5352</v>
      </c>
      <c r="K4625" t="s">
        <v>1092</v>
      </c>
      <c r="M4625">
        <v>0.9</v>
      </c>
      <c r="N4625">
        <v>59</v>
      </c>
      <c r="O4625" t="s">
        <v>52</v>
      </c>
      <c r="Q4625" t="s">
        <v>203</v>
      </c>
      <c r="R4625" t="s">
        <v>5256</v>
      </c>
      <c r="S4625" t="s">
        <v>5257</v>
      </c>
      <c r="T4625" t="s">
        <v>5258</v>
      </c>
    </row>
    <row r="4626" spans="1:20" x14ac:dyDescent="0.25">
      <c r="A4626" t="s">
        <v>59</v>
      </c>
      <c r="B4626" t="s">
        <v>60</v>
      </c>
      <c r="C4626" t="s">
        <v>32</v>
      </c>
      <c r="D4626" t="s">
        <v>673</v>
      </c>
      <c r="E4626" t="s">
        <v>704</v>
      </c>
      <c r="F4626" t="s">
        <v>35</v>
      </c>
      <c r="G4626" t="s">
        <v>35</v>
      </c>
      <c r="H4626" t="s">
        <v>35</v>
      </c>
      <c r="J4626" t="s">
        <v>5352</v>
      </c>
      <c r="K4626" t="s">
        <v>1092</v>
      </c>
      <c r="M4626">
        <v>0.25</v>
      </c>
      <c r="N4626">
        <v>51</v>
      </c>
      <c r="O4626" t="s">
        <v>52</v>
      </c>
      <c r="Q4626" t="s">
        <v>58</v>
      </c>
      <c r="R4626" t="s">
        <v>5256</v>
      </c>
      <c r="S4626" t="s">
        <v>5257</v>
      </c>
      <c r="T4626" t="s">
        <v>5258</v>
      </c>
    </row>
    <row r="4627" spans="1:20" x14ac:dyDescent="0.25">
      <c r="A4627" t="s">
        <v>59</v>
      </c>
      <c r="B4627" t="s">
        <v>31</v>
      </c>
      <c r="C4627" t="s">
        <v>32</v>
      </c>
      <c r="D4627" t="s">
        <v>673</v>
      </c>
      <c r="E4627" t="s">
        <v>704</v>
      </c>
      <c r="F4627" t="s">
        <v>35</v>
      </c>
      <c r="G4627" t="s">
        <v>35</v>
      </c>
      <c r="H4627" t="s">
        <v>35</v>
      </c>
      <c r="J4627" t="s">
        <v>5339</v>
      </c>
      <c r="K4627" t="s">
        <v>1092</v>
      </c>
      <c r="M4627">
        <v>2.25</v>
      </c>
      <c r="N4627">
        <v>59</v>
      </c>
      <c r="O4627" t="s">
        <v>52</v>
      </c>
      <c r="Q4627" t="s">
        <v>203</v>
      </c>
      <c r="R4627" t="s">
        <v>5256</v>
      </c>
      <c r="S4627" t="s">
        <v>5257</v>
      </c>
      <c r="T4627" t="s">
        <v>5258</v>
      </c>
    </row>
    <row r="4628" spans="1:20" x14ac:dyDescent="0.25">
      <c r="A4628" t="s">
        <v>59</v>
      </c>
      <c r="B4628" t="s">
        <v>31</v>
      </c>
      <c r="C4628" t="s">
        <v>32</v>
      </c>
      <c r="D4628" t="s">
        <v>673</v>
      </c>
      <c r="E4628" t="s">
        <v>704</v>
      </c>
      <c r="F4628" t="s">
        <v>35</v>
      </c>
      <c r="G4628" t="s">
        <v>35</v>
      </c>
      <c r="H4628" t="s">
        <v>35</v>
      </c>
      <c r="J4628" t="s">
        <v>5339</v>
      </c>
      <c r="K4628" t="s">
        <v>1092</v>
      </c>
      <c r="M4628">
        <v>1.845</v>
      </c>
      <c r="N4628">
        <v>63</v>
      </c>
      <c r="O4628" t="s">
        <v>61</v>
      </c>
      <c r="Q4628" t="s">
        <v>126</v>
      </c>
      <c r="R4628" t="s">
        <v>5256</v>
      </c>
      <c r="S4628" t="s">
        <v>5257</v>
      </c>
      <c r="T4628" t="s">
        <v>5258</v>
      </c>
    </row>
    <row r="4629" spans="1:20" x14ac:dyDescent="0.25">
      <c r="A4629" t="s">
        <v>30</v>
      </c>
      <c r="B4629" t="s">
        <v>31</v>
      </c>
      <c r="C4629" t="s">
        <v>32</v>
      </c>
      <c r="D4629" t="s">
        <v>673</v>
      </c>
      <c r="E4629" t="s">
        <v>704</v>
      </c>
      <c r="F4629" t="s">
        <v>35</v>
      </c>
      <c r="G4629" t="s">
        <v>35</v>
      </c>
      <c r="H4629" t="s">
        <v>35</v>
      </c>
      <c r="J4629" t="s">
        <v>5339</v>
      </c>
      <c r="K4629" t="s">
        <v>1092</v>
      </c>
      <c r="M4629">
        <v>0.45</v>
      </c>
      <c r="N4629">
        <v>44</v>
      </c>
      <c r="O4629" t="s">
        <v>52</v>
      </c>
      <c r="Q4629" t="s">
        <v>54</v>
      </c>
      <c r="R4629" t="s">
        <v>5256</v>
      </c>
      <c r="S4629" t="s">
        <v>5257</v>
      </c>
      <c r="T4629" t="s">
        <v>5258</v>
      </c>
    </row>
    <row r="4630" spans="1:20" x14ac:dyDescent="0.25">
      <c r="A4630" t="s">
        <v>30</v>
      </c>
      <c r="B4630" t="s">
        <v>31</v>
      </c>
      <c r="C4630" t="s">
        <v>32</v>
      </c>
      <c r="D4630" t="s">
        <v>673</v>
      </c>
      <c r="E4630" t="s">
        <v>704</v>
      </c>
      <c r="F4630" t="s">
        <v>35</v>
      </c>
      <c r="G4630" t="s">
        <v>35</v>
      </c>
      <c r="H4630" t="s">
        <v>35</v>
      </c>
      <c r="J4630" t="s">
        <v>5339</v>
      </c>
      <c r="K4630" t="s">
        <v>1092</v>
      </c>
      <c r="M4630">
        <v>1.575</v>
      </c>
      <c r="N4630">
        <v>33</v>
      </c>
      <c r="O4630" t="s">
        <v>52</v>
      </c>
      <c r="Q4630" t="s">
        <v>130</v>
      </c>
      <c r="R4630" t="s">
        <v>5256</v>
      </c>
      <c r="S4630" t="s">
        <v>5257</v>
      </c>
      <c r="T4630" t="s">
        <v>5258</v>
      </c>
    </row>
    <row r="4631" spans="1:20" x14ac:dyDescent="0.25">
      <c r="A4631" t="s">
        <v>59</v>
      </c>
      <c r="B4631" t="s">
        <v>31</v>
      </c>
      <c r="C4631" t="s">
        <v>32</v>
      </c>
      <c r="D4631" t="s">
        <v>673</v>
      </c>
      <c r="E4631" t="s">
        <v>704</v>
      </c>
      <c r="F4631" t="s">
        <v>35</v>
      </c>
      <c r="G4631" t="s">
        <v>35</v>
      </c>
      <c r="H4631" t="s">
        <v>35</v>
      </c>
      <c r="J4631" t="s">
        <v>5354</v>
      </c>
      <c r="K4631" t="s">
        <v>1092</v>
      </c>
      <c r="M4631">
        <v>0.9</v>
      </c>
      <c r="N4631">
        <v>61</v>
      </c>
      <c r="O4631" t="s">
        <v>61</v>
      </c>
      <c r="Q4631" t="s">
        <v>146</v>
      </c>
      <c r="R4631" t="s">
        <v>5256</v>
      </c>
      <c r="S4631" t="s">
        <v>5257</v>
      </c>
      <c r="T4631" t="s">
        <v>5258</v>
      </c>
    </row>
    <row r="4632" spans="1:20" x14ac:dyDescent="0.25">
      <c r="A4632" t="s">
        <v>30</v>
      </c>
      <c r="B4632" t="s">
        <v>31</v>
      </c>
      <c r="C4632" t="s">
        <v>32</v>
      </c>
      <c r="D4632" t="s">
        <v>673</v>
      </c>
      <c r="F4632" t="s">
        <v>35</v>
      </c>
      <c r="G4632" t="s">
        <v>35</v>
      </c>
      <c r="H4632" t="s">
        <v>35</v>
      </c>
      <c r="J4632" t="s">
        <v>5396</v>
      </c>
      <c r="K4632" t="s">
        <v>1092</v>
      </c>
      <c r="M4632">
        <v>2.0249999999999999</v>
      </c>
      <c r="N4632">
        <v>28</v>
      </c>
      <c r="O4632" t="s">
        <v>46</v>
      </c>
      <c r="Q4632" t="s">
        <v>48</v>
      </c>
      <c r="R4632" t="s">
        <v>5256</v>
      </c>
      <c r="S4632" t="s">
        <v>5257</v>
      </c>
      <c r="T4632" t="s">
        <v>5258</v>
      </c>
    </row>
    <row r="4633" spans="1:20" x14ac:dyDescent="0.25">
      <c r="A4633" t="s">
        <v>59</v>
      </c>
      <c r="B4633" t="s">
        <v>31</v>
      </c>
      <c r="C4633" t="s">
        <v>32</v>
      </c>
      <c r="D4633" t="s">
        <v>673</v>
      </c>
      <c r="E4633" t="s">
        <v>673</v>
      </c>
      <c r="F4633" t="s">
        <v>35</v>
      </c>
      <c r="G4633" t="s">
        <v>35</v>
      </c>
      <c r="H4633" t="s">
        <v>35</v>
      </c>
      <c r="J4633" t="s">
        <v>5255</v>
      </c>
      <c r="K4633" t="s">
        <v>1092</v>
      </c>
      <c r="M4633">
        <v>0.495</v>
      </c>
      <c r="N4633">
        <v>59</v>
      </c>
      <c r="O4633" t="s">
        <v>52</v>
      </c>
      <c r="Q4633" t="s">
        <v>203</v>
      </c>
      <c r="R4633" t="s">
        <v>5256</v>
      </c>
      <c r="S4633" t="s">
        <v>5257</v>
      </c>
      <c r="T4633" t="s">
        <v>5258</v>
      </c>
    </row>
    <row r="4634" spans="1:20" x14ac:dyDescent="0.25">
      <c r="A4634" t="s">
        <v>30</v>
      </c>
      <c r="B4634" t="s">
        <v>31</v>
      </c>
      <c r="C4634" t="s">
        <v>32</v>
      </c>
      <c r="D4634" t="s">
        <v>673</v>
      </c>
      <c r="E4634" t="s">
        <v>704</v>
      </c>
      <c r="F4634" t="s">
        <v>35</v>
      </c>
      <c r="G4634" t="s">
        <v>35</v>
      </c>
      <c r="H4634" t="s">
        <v>35</v>
      </c>
      <c r="J4634" t="s">
        <v>5353</v>
      </c>
      <c r="K4634" t="s">
        <v>1092</v>
      </c>
      <c r="M4634">
        <v>5.0000000000000001E-3</v>
      </c>
      <c r="N4634">
        <v>1217</v>
      </c>
      <c r="O4634" t="s">
        <v>575</v>
      </c>
      <c r="Q4634" t="s">
        <v>3614</v>
      </c>
      <c r="R4634" t="s">
        <v>5256</v>
      </c>
      <c r="S4634" t="s">
        <v>5257</v>
      </c>
      <c r="T4634" t="s">
        <v>5258</v>
      </c>
    </row>
    <row r="4635" spans="1:20" x14ac:dyDescent="0.25">
      <c r="A4635" t="s">
        <v>59</v>
      </c>
      <c r="B4635" t="s">
        <v>31</v>
      </c>
      <c r="C4635" t="s">
        <v>32</v>
      </c>
      <c r="D4635" t="s">
        <v>673</v>
      </c>
      <c r="E4635" t="s">
        <v>704</v>
      </c>
      <c r="F4635" t="s">
        <v>35</v>
      </c>
      <c r="G4635" t="s">
        <v>35</v>
      </c>
      <c r="H4635" t="s">
        <v>35</v>
      </c>
      <c r="J4635" t="s">
        <v>5353</v>
      </c>
      <c r="K4635" t="s">
        <v>1092</v>
      </c>
      <c r="M4635">
        <v>5.0000000000000001E-3</v>
      </c>
      <c r="N4635">
        <v>871</v>
      </c>
      <c r="O4635" t="s">
        <v>575</v>
      </c>
      <c r="Q4635" t="s">
        <v>3531</v>
      </c>
      <c r="R4635" t="s">
        <v>5256</v>
      </c>
      <c r="S4635" t="s">
        <v>5257</v>
      </c>
      <c r="T4635" t="s">
        <v>5258</v>
      </c>
    </row>
    <row r="4636" spans="1:20" x14ac:dyDescent="0.25">
      <c r="A4636" t="s">
        <v>30</v>
      </c>
      <c r="B4636" t="s">
        <v>31</v>
      </c>
      <c r="C4636" t="s">
        <v>32</v>
      </c>
      <c r="D4636" t="s">
        <v>673</v>
      </c>
      <c r="E4636" t="s">
        <v>704</v>
      </c>
      <c r="F4636" t="s">
        <v>35</v>
      </c>
      <c r="G4636" t="s">
        <v>35</v>
      </c>
      <c r="H4636" t="s">
        <v>35</v>
      </c>
      <c r="J4636" t="s">
        <v>5338</v>
      </c>
      <c r="K4636" t="s">
        <v>1092</v>
      </c>
      <c r="M4636">
        <v>0.09</v>
      </c>
      <c r="N4636">
        <v>33</v>
      </c>
      <c r="O4636" t="s">
        <v>52</v>
      </c>
      <c r="Q4636" t="s">
        <v>130</v>
      </c>
      <c r="R4636" t="s">
        <v>5256</v>
      </c>
      <c r="S4636" t="s">
        <v>5257</v>
      </c>
      <c r="T4636" t="s">
        <v>5258</v>
      </c>
    </row>
    <row r="4637" spans="1:20" x14ac:dyDescent="0.25">
      <c r="A4637" t="s">
        <v>59</v>
      </c>
      <c r="B4637" t="s">
        <v>60</v>
      </c>
      <c r="C4637" t="s">
        <v>32</v>
      </c>
      <c r="D4637" t="s">
        <v>673</v>
      </c>
      <c r="E4637" t="s">
        <v>704</v>
      </c>
      <c r="F4637" t="s">
        <v>35</v>
      </c>
      <c r="G4637" t="s">
        <v>35</v>
      </c>
      <c r="H4637" t="s">
        <v>35</v>
      </c>
      <c r="J4637" t="s">
        <v>5338</v>
      </c>
      <c r="K4637" t="s">
        <v>1092</v>
      </c>
      <c r="M4637">
        <v>0.75</v>
      </c>
      <c r="N4637">
        <v>56</v>
      </c>
      <c r="O4637" t="s">
        <v>52</v>
      </c>
      <c r="Q4637" t="s">
        <v>423</v>
      </c>
      <c r="R4637" t="s">
        <v>5256</v>
      </c>
      <c r="S4637" t="s">
        <v>5257</v>
      </c>
      <c r="T4637" t="s">
        <v>5258</v>
      </c>
    </row>
    <row r="4638" spans="1:20" x14ac:dyDescent="0.25">
      <c r="A4638" t="s">
        <v>59</v>
      </c>
      <c r="B4638" t="s">
        <v>60</v>
      </c>
      <c r="C4638" t="s">
        <v>32</v>
      </c>
      <c r="D4638" t="s">
        <v>673</v>
      </c>
      <c r="E4638" t="s">
        <v>704</v>
      </c>
      <c r="F4638" t="s">
        <v>35</v>
      </c>
      <c r="G4638" t="s">
        <v>35</v>
      </c>
      <c r="H4638" t="s">
        <v>35</v>
      </c>
      <c r="J4638" t="s">
        <v>5338</v>
      </c>
      <c r="K4638" t="s">
        <v>1092</v>
      </c>
      <c r="M4638">
        <v>1</v>
      </c>
      <c r="N4638">
        <v>14</v>
      </c>
      <c r="O4638" t="s">
        <v>46</v>
      </c>
      <c r="Q4638" t="s">
        <v>1874</v>
      </c>
      <c r="R4638" t="s">
        <v>5256</v>
      </c>
      <c r="S4638" t="s">
        <v>5257</v>
      </c>
      <c r="T4638" t="s">
        <v>5258</v>
      </c>
    </row>
    <row r="4639" spans="1:20" x14ac:dyDescent="0.25">
      <c r="A4639" t="s">
        <v>59</v>
      </c>
      <c r="B4639" t="s">
        <v>31</v>
      </c>
      <c r="C4639" t="s">
        <v>32</v>
      </c>
      <c r="D4639" t="s">
        <v>673</v>
      </c>
      <c r="E4639" t="s">
        <v>704</v>
      </c>
      <c r="F4639" t="s">
        <v>35</v>
      </c>
      <c r="G4639" t="s">
        <v>35</v>
      </c>
      <c r="H4639" t="s">
        <v>35</v>
      </c>
      <c r="J4639" t="s">
        <v>5368</v>
      </c>
      <c r="K4639" t="s">
        <v>1092</v>
      </c>
      <c r="M4639">
        <v>1.125</v>
      </c>
      <c r="N4639">
        <v>65</v>
      </c>
      <c r="O4639" t="s">
        <v>61</v>
      </c>
      <c r="Q4639" t="s">
        <v>63</v>
      </c>
      <c r="R4639" t="s">
        <v>5256</v>
      </c>
      <c r="S4639" t="s">
        <v>5257</v>
      </c>
      <c r="T4639" t="s">
        <v>5258</v>
      </c>
    </row>
    <row r="4640" spans="1:20" x14ac:dyDescent="0.25">
      <c r="A4640" t="s">
        <v>59</v>
      </c>
      <c r="B4640" t="s">
        <v>31</v>
      </c>
      <c r="C4640" t="s">
        <v>32</v>
      </c>
      <c r="D4640" t="s">
        <v>673</v>
      </c>
      <c r="E4640" t="s">
        <v>704</v>
      </c>
      <c r="F4640" t="s">
        <v>35</v>
      </c>
      <c r="G4640" t="s">
        <v>35</v>
      </c>
      <c r="H4640" t="s">
        <v>35</v>
      </c>
      <c r="J4640" t="s">
        <v>5356</v>
      </c>
      <c r="K4640" t="s">
        <v>1092</v>
      </c>
      <c r="M4640">
        <v>0.54</v>
      </c>
      <c r="N4640">
        <v>65</v>
      </c>
      <c r="O4640" t="s">
        <v>61</v>
      </c>
      <c r="Q4640" t="s">
        <v>63</v>
      </c>
      <c r="R4640" t="s">
        <v>5256</v>
      </c>
      <c r="S4640" t="s">
        <v>5257</v>
      </c>
      <c r="T4640" t="s">
        <v>5258</v>
      </c>
    </row>
    <row r="4641" spans="1:20" x14ac:dyDescent="0.25">
      <c r="A4641" t="s">
        <v>30</v>
      </c>
      <c r="B4641" t="s">
        <v>31</v>
      </c>
      <c r="C4641" t="s">
        <v>32</v>
      </c>
      <c r="D4641" t="s">
        <v>673</v>
      </c>
      <c r="E4641" t="s">
        <v>704</v>
      </c>
      <c r="F4641" t="s">
        <v>35</v>
      </c>
      <c r="G4641" t="s">
        <v>35</v>
      </c>
      <c r="H4641" t="s">
        <v>35</v>
      </c>
      <c r="J4641" t="s">
        <v>5356</v>
      </c>
      <c r="K4641" t="s">
        <v>1092</v>
      </c>
      <c r="M4641">
        <v>0.67500000000000004</v>
      </c>
      <c r="N4641">
        <v>27</v>
      </c>
      <c r="O4641" t="s">
        <v>46</v>
      </c>
      <c r="Q4641" t="s">
        <v>809</v>
      </c>
      <c r="R4641" t="s">
        <v>5256</v>
      </c>
      <c r="S4641" t="s">
        <v>5257</v>
      </c>
      <c r="T4641" t="s">
        <v>5258</v>
      </c>
    </row>
    <row r="4642" spans="1:20" x14ac:dyDescent="0.25">
      <c r="A4642" t="s">
        <v>44</v>
      </c>
      <c r="B4642" t="s">
        <v>3</v>
      </c>
      <c r="C4642" t="s">
        <v>32</v>
      </c>
      <c r="D4642" t="s">
        <v>673</v>
      </c>
      <c r="E4642" t="s">
        <v>704</v>
      </c>
      <c r="F4642" t="s">
        <v>35</v>
      </c>
      <c r="G4642" t="s">
        <v>35</v>
      </c>
      <c r="H4642" t="s">
        <v>35</v>
      </c>
      <c r="J4642" t="s">
        <v>5369</v>
      </c>
      <c r="K4642" t="s">
        <v>1092</v>
      </c>
      <c r="M4642">
        <v>0.1</v>
      </c>
      <c r="N4642">
        <v>569</v>
      </c>
      <c r="O4642" t="s">
        <v>575</v>
      </c>
      <c r="Q4642" t="s">
        <v>2557</v>
      </c>
      <c r="R4642" t="s">
        <v>5256</v>
      </c>
      <c r="S4642" t="s">
        <v>5257</v>
      </c>
      <c r="T4642" t="s">
        <v>5258</v>
      </c>
    </row>
    <row r="4643" spans="1:20" x14ac:dyDescent="0.25">
      <c r="A4643" t="s">
        <v>59</v>
      </c>
      <c r="B4643" t="s">
        <v>60</v>
      </c>
      <c r="C4643" t="s">
        <v>32</v>
      </c>
      <c r="D4643" t="s">
        <v>673</v>
      </c>
      <c r="F4643" t="s">
        <v>35</v>
      </c>
      <c r="G4643" t="s">
        <v>35</v>
      </c>
      <c r="H4643" t="s">
        <v>35</v>
      </c>
      <c r="J4643" t="s">
        <v>5399</v>
      </c>
      <c r="K4643" t="s">
        <v>1092</v>
      </c>
      <c r="M4643">
        <v>0.25</v>
      </c>
      <c r="N4643">
        <v>305</v>
      </c>
      <c r="O4643" t="s">
        <v>5</v>
      </c>
      <c r="Q4643" t="s">
        <v>4818</v>
      </c>
      <c r="R4643" t="s">
        <v>5256</v>
      </c>
      <c r="S4643" t="s">
        <v>5257</v>
      </c>
      <c r="T4643" t="s">
        <v>5258</v>
      </c>
    </row>
    <row r="4644" spans="1:20" x14ac:dyDescent="0.25">
      <c r="A4644" t="s">
        <v>30</v>
      </c>
      <c r="B4644" t="s">
        <v>31</v>
      </c>
      <c r="C4644" t="s">
        <v>32</v>
      </c>
      <c r="D4644" t="s">
        <v>673</v>
      </c>
      <c r="F4644" t="s">
        <v>35</v>
      </c>
      <c r="G4644" t="s">
        <v>35</v>
      </c>
      <c r="H4644" t="s">
        <v>35</v>
      </c>
      <c r="J4644" t="s">
        <v>5399</v>
      </c>
      <c r="K4644" t="s">
        <v>1092</v>
      </c>
      <c r="M4644">
        <v>0.45</v>
      </c>
      <c r="N4644">
        <v>1482</v>
      </c>
      <c r="O4644" t="s">
        <v>575</v>
      </c>
      <c r="Q4644" t="s">
        <v>5400</v>
      </c>
      <c r="R4644" t="s">
        <v>5256</v>
      </c>
      <c r="S4644" t="s">
        <v>5257</v>
      </c>
      <c r="T4644" t="s">
        <v>5258</v>
      </c>
    </row>
    <row r="4645" spans="1:20" x14ac:dyDescent="0.25">
      <c r="A4645" t="s">
        <v>30</v>
      </c>
      <c r="B4645" t="s">
        <v>31</v>
      </c>
      <c r="C4645" t="s">
        <v>32</v>
      </c>
      <c r="D4645" t="s">
        <v>673</v>
      </c>
      <c r="F4645" t="s">
        <v>35</v>
      </c>
      <c r="G4645" t="s">
        <v>35</v>
      </c>
      <c r="H4645" t="s">
        <v>35</v>
      </c>
      <c r="J4645" t="s">
        <v>5399</v>
      </c>
      <c r="K4645" t="s">
        <v>1092</v>
      </c>
      <c r="M4645">
        <v>1.125</v>
      </c>
      <c r="N4645">
        <v>1305</v>
      </c>
      <c r="O4645" t="s">
        <v>575</v>
      </c>
      <c r="Q4645" t="s">
        <v>5401</v>
      </c>
      <c r="R4645" t="s">
        <v>5256</v>
      </c>
      <c r="S4645" t="s">
        <v>5257</v>
      </c>
      <c r="T4645" t="s">
        <v>5258</v>
      </c>
    </row>
    <row r="4646" spans="1:20" x14ac:dyDescent="0.25">
      <c r="A4646" t="s">
        <v>30</v>
      </c>
      <c r="B4646" t="s">
        <v>31</v>
      </c>
      <c r="C4646" t="s">
        <v>32</v>
      </c>
      <c r="D4646" t="s">
        <v>673</v>
      </c>
      <c r="E4646" t="s">
        <v>704</v>
      </c>
      <c r="F4646" t="s">
        <v>35</v>
      </c>
      <c r="G4646" t="s">
        <v>35</v>
      </c>
      <c r="H4646" t="s">
        <v>35</v>
      </c>
      <c r="J4646" t="s">
        <v>5337</v>
      </c>
      <c r="K4646" t="s">
        <v>1092</v>
      </c>
      <c r="M4646">
        <v>1.8</v>
      </c>
      <c r="N4646">
        <v>28</v>
      </c>
      <c r="O4646" t="s">
        <v>46</v>
      </c>
      <c r="Q4646" t="s">
        <v>48</v>
      </c>
      <c r="R4646" t="s">
        <v>5256</v>
      </c>
      <c r="S4646" t="s">
        <v>5257</v>
      </c>
      <c r="T4646" t="s">
        <v>5258</v>
      </c>
    </row>
    <row r="4647" spans="1:20" x14ac:dyDescent="0.25">
      <c r="A4647" t="s">
        <v>59</v>
      </c>
      <c r="B4647" t="s">
        <v>60</v>
      </c>
      <c r="C4647" t="s">
        <v>32</v>
      </c>
      <c r="D4647" t="s">
        <v>673</v>
      </c>
      <c r="E4647" t="s">
        <v>704</v>
      </c>
      <c r="F4647" t="s">
        <v>35</v>
      </c>
      <c r="G4647" t="s">
        <v>35</v>
      </c>
      <c r="H4647" t="s">
        <v>35</v>
      </c>
      <c r="J4647" t="s">
        <v>5337</v>
      </c>
      <c r="K4647" t="s">
        <v>1092</v>
      </c>
      <c r="M4647">
        <v>0.25</v>
      </c>
      <c r="N4647">
        <v>28</v>
      </c>
      <c r="O4647" t="s">
        <v>46</v>
      </c>
      <c r="Q4647" t="s">
        <v>48</v>
      </c>
      <c r="R4647" t="s">
        <v>5256</v>
      </c>
      <c r="S4647" t="s">
        <v>5257</v>
      </c>
      <c r="T4647" t="s">
        <v>5258</v>
      </c>
    </row>
    <row r="4648" spans="1:20" x14ac:dyDescent="0.25">
      <c r="A4648" t="s">
        <v>30</v>
      </c>
      <c r="B4648" t="s">
        <v>31</v>
      </c>
      <c r="C4648" t="s">
        <v>32</v>
      </c>
      <c r="D4648" t="s">
        <v>673</v>
      </c>
      <c r="E4648" t="s">
        <v>704</v>
      </c>
      <c r="F4648" t="s">
        <v>35</v>
      </c>
      <c r="G4648" t="s">
        <v>35</v>
      </c>
      <c r="H4648" t="s">
        <v>35</v>
      </c>
      <c r="J4648" t="s">
        <v>5365</v>
      </c>
      <c r="K4648" t="s">
        <v>1092</v>
      </c>
      <c r="M4648">
        <v>0.04</v>
      </c>
      <c r="N4648">
        <v>1308</v>
      </c>
      <c r="O4648" t="s">
        <v>575</v>
      </c>
      <c r="Q4648" t="s">
        <v>5366</v>
      </c>
      <c r="R4648" t="s">
        <v>5256</v>
      </c>
      <c r="S4648" t="s">
        <v>5257</v>
      </c>
      <c r="T4648" t="s">
        <v>5258</v>
      </c>
    </row>
    <row r="4649" spans="1:20" x14ac:dyDescent="0.25">
      <c r="A4649" t="s">
        <v>59</v>
      </c>
      <c r="B4649" t="s">
        <v>31</v>
      </c>
      <c r="C4649" t="s">
        <v>32</v>
      </c>
      <c r="D4649" t="s">
        <v>673</v>
      </c>
      <c r="E4649" t="s">
        <v>704</v>
      </c>
      <c r="F4649" t="s">
        <v>35</v>
      </c>
      <c r="G4649" t="s">
        <v>35</v>
      </c>
      <c r="H4649" t="s">
        <v>35</v>
      </c>
      <c r="J4649" t="s">
        <v>5355</v>
      </c>
      <c r="K4649" t="s">
        <v>1092</v>
      </c>
      <c r="M4649">
        <v>0.45</v>
      </c>
      <c r="N4649">
        <v>61</v>
      </c>
      <c r="O4649" t="s">
        <v>61</v>
      </c>
      <c r="Q4649" t="s">
        <v>146</v>
      </c>
      <c r="R4649" t="s">
        <v>5256</v>
      </c>
      <c r="S4649" t="s">
        <v>5257</v>
      </c>
      <c r="T4649" t="s">
        <v>5258</v>
      </c>
    </row>
    <row r="4650" spans="1:20" x14ac:dyDescent="0.25">
      <c r="A4650" t="s">
        <v>59</v>
      </c>
      <c r="B4650" t="s">
        <v>31</v>
      </c>
      <c r="C4650" t="s">
        <v>32</v>
      </c>
      <c r="D4650" t="s">
        <v>673</v>
      </c>
      <c r="E4650" t="s">
        <v>704</v>
      </c>
      <c r="F4650" t="s">
        <v>35</v>
      </c>
      <c r="G4650" t="s">
        <v>35</v>
      </c>
      <c r="H4650" t="s">
        <v>35</v>
      </c>
      <c r="J4650" t="s">
        <v>5358</v>
      </c>
      <c r="K4650" t="s">
        <v>1092</v>
      </c>
      <c r="M4650">
        <v>0.18</v>
      </c>
      <c r="N4650">
        <v>11</v>
      </c>
      <c r="O4650" t="s">
        <v>46</v>
      </c>
      <c r="Q4650" t="s">
        <v>1476</v>
      </c>
      <c r="R4650" t="s">
        <v>5256</v>
      </c>
      <c r="S4650" t="s">
        <v>5257</v>
      </c>
      <c r="T4650" t="s">
        <v>5258</v>
      </c>
    </row>
    <row r="4651" spans="1:20" x14ac:dyDescent="0.25">
      <c r="A4651" t="s">
        <v>59</v>
      </c>
      <c r="B4651" t="s">
        <v>60</v>
      </c>
      <c r="C4651" t="s">
        <v>32</v>
      </c>
      <c r="D4651" t="s">
        <v>673</v>
      </c>
      <c r="E4651" t="s">
        <v>674</v>
      </c>
      <c r="F4651" t="s">
        <v>35</v>
      </c>
      <c r="G4651" t="s">
        <v>35</v>
      </c>
      <c r="H4651" t="s">
        <v>35</v>
      </c>
      <c r="J4651" t="s">
        <v>680</v>
      </c>
      <c r="K4651" t="s">
        <v>37</v>
      </c>
      <c r="M4651">
        <v>10.75</v>
      </c>
      <c r="N4651">
        <v>75</v>
      </c>
      <c r="O4651" t="s">
        <v>61</v>
      </c>
      <c r="P4651" t="s">
        <v>685</v>
      </c>
      <c r="Q4651" t="s">
        <v>447</v>
      </c>
      <c r="R4651" t="s">
        <v>678</v>
      </c>
      <c r="S4651" t="s">
        <v>679</v>
      </c>
      <c r="T4651" t="s">
        <v>335</v>
      </c>
    </row>
    <row r="4652" spans="1:20" x14ac:dyDescent="0.25">
      <c r="A4652" t="s">
        <v>44</v>
      </c>
      <c r="B4652" t="s">
        <v>51</v>
      </c>
      <c r="C4652" t="s">
        <v>32</v>
      </c>
      <c r="D4652" t="s">
        <v>673</v>
      </c>
      <c r="E4652" t="s">
        <v>673</v>
      </c>
      <c r="F4652" t="s">
        <v>35</v>
      </c>
      <c r="G4652" t="s">
        <v>35</v>
      </c>
      <c r="H4652" t="s">
        <v>35</v>
      </c>
      <c r="J4652" t="s">
        <v>5309</v>
      </c>
      <c r="K4652" t="s">
        <v>1092</v>
      </c>
      <c r="M4652">
        <v>0.75</v>
      </c>
      <c r="N4652">
        <v>905</v>
      </c>
      <c r="O4652" t="s">
        <v>575</v>
      </c>
      <c r="Q4652" t="s">
        <v>5310</v>
      </c>
      <c r="R4652">
        <v>280728</v>
      </c>
      <c r="S4652" t="s">
        <v>679</v>
      </c>
      <c r="T4652" t="s">
        <v>335</v>
      </c>
    </row>
    <row r="4653" spans="1:20" x14ac:dyDescent="0.25">
      <c r="A4653" t="s">
        <v>30</v>
      </c>
      <c r="B4653" t="s">
        <v>31</v>
      </c>
      <c r="C4653" t="s">
        <v>32</v>
      </c>
      <c r="D4653" t="s">
        <v>673</v>
      </c>
      <c r="E4653" t="s">
        <v>707</v>
      </c>
      <c r="F4653" t="s">
        <v>35</v>
      </c>
      <c r="G4653" t="s">
        <v>35</v>
      </c>
      <c r="H4653" t="s">
        <v>35</v>
      </c>
      <c r="J4653" t="s">
        <v>5204</v>
      </c>
      <c r="K4653" t="s">
        <v>1092</v>
      </c>
      <c r="M4653">
        <v>5.8949999999999996</v>
      </c>
      <c r="N4653">
        <v>46</v>
      </c>
      <c r="O4653" t="s">
        <v>52</v>
      </c>
      <c r="Q4653" t="s">
        <v>332</v>
      </c>
      <c r="R4653" t="s">
        <v>678</v>
      </c>
      <c r="S4653" t="s">
        <v>679</v>
      </c>
      <c r="T4653" t="s">
        <v>335</v>
      </c>
    </row>
    <row r="4654" spans="1:20" x14ac:dyDescent="0.25">
      <c r="A4654" t="s">
        <v>30</v>
      </c>
      <c r="B4654" t="s">
        <v>31</v>
      </c>
      <c r="C4654" t="s">
        <v>32</v>
      </c>
      <c r="D4654" t="s">
        <v>673</v>
      </c>
      <c r="E4654" t="s">
        <v>674</v>
      </c>
      <c r="F4654" t="s">
        <v>35</v>
      </c>
      <c r="G4654" t="s">
        <v>35</v>
      </c>
      <c r="H4654" t="s">
        <v>35</v>
      </c>
      <c r="J4654" t="s">
        <v>675</v>
      </c>
      <c r="K4654" t="s">
        <v>37</v>
      </c>
      <c r="M4654">
        <v>11.025</v>
      </c>
      <c r="N4654">
        <v>46</v>
      </c>
      <c r="O4654" t="s">
        <v>52</v>
      </c>
      <c r="P4654" t="s">
        <v>677</v>
      </c>
      <c r="Q4654" t="s">
        <v>332</v>
      </c>
      <c r="R4654" t="s">
        <v>678</v>
      </c>
      <c r="S4654" t="s">
        <v>679</v>
      </c>
      <c r="T4654" t="s">
        <v>335</v>
      </c>
    </row>
    <row r="4655" spans="1:20" x14ac:dyDescent="0.25">
      <c r="A4655" t="s">
        <v>59</v>
      </c>
      <c r="B4655" t="s">
        <v>60</v>
      </c>
      <c r="C4655" t="s">
        <v>32</v>
      </c>
      <c r="D4655" t="s">
        <v>673</v>
      </c>
      <c r="E4655" t="s">
        <v>5370</v>
      </c>
      <c r="F4655" t="s">
        <v>35</v>
      </c>
      <c r="G4655" t="s">
        <v>35</v>
      </c>
      <c r="H4655" t="s">
        <v>35</v>
      </c>
      <c r="J4655" t="s">
        <v>5371</v>
      </c>
      <c r="K4655" t="s">
        <v>1092</v>
      </c>
      <c r="M4655">
        <v>0.25</v>
      </c>
      <c r="N4655">
        <v>1203</v>
      </c>
      <c r="O4655" t="s">
        <v>575</v>
      </c>
      <c r="Q4655" t="s">
        <v>2291</v>
      </c>
      <c r="R4655" t="s">
        <v>678</v>
      </c>
      <c r="S4655" t="s">
        <v>679</v>
      </c>
      <c r="T4655" t="s">
        <v>335</v>
      </c>
    </row>
    <row r="4656" spans="1:20" x14ac:dyDescent="0.25">
      <c r="A4656" t="s">
        <v>59</v>
      </c>
      <c r="B4656" t="s">
        <v>60</v>
      </c>
      <c r="C4656" t="s">
        <v>32</v>
      </c>
      <c r="D4656" t="s">
        <v>673</v>
      </c>
      <c r="E4656" t="s">
        <v>674</v>
      </c>
      <c r="F4656" t="s">
        <v>35</v>
      </c>
      <c r="G4656" t="s">
        <v>35</v>
      </c>
      <c r="H4656" t="s">
        <v>35</v>
      </c>
      <c r="J4656" t="s">
        <v>5313</v>
      </c>
      <c r="K4656" t="s">
        <v>1092</v>
      </c>
      <c r="M4656">
        <v>11</v>
      </c>
      <c r="N4656">
        <v>75</v>
      </c>
      <c r="O4656" t="s">
        <v>61</v>
      </c>
      <c r="Q4656" t="s">
        <v>447</v>
      </c>
      <c r="R4656" t="s">
        <v>678</v>
      </c>
      <c r="S4656" t="s">
        <v>679</v>
      </c>
      <c r="T4656" t="s">
        <v>335</v>
      </c>
    </row>
    <row r="4657" spans="1:20" x14ac:dyDescent="0.25">
      <c r="A4657" t="s">
        <v>59</v>
      </c>
      <c r="B4657" t="s">
        <v>60</v>
      </c>
      <c r="C4657" t="s">
        <v>32</v>
      </c>
      <c r="D4657" t="s">
        <v>673</v>
      </c>
      <c r="E4657" t="s">
        <v>707</v>
      </c>
      <c r="F4657" t="s">
        <v>35</v>
      </c>
      <c r="G4657" t="s">
        <v>35</v>
      </c>
      <c r="H4657" t="s">
        <v>35</v>
      </c>
      <c r="J4657" t="s">
        <v>5376</v>
      </c>
      <c r="K4657" t="s">
        <v>1092</v>
      </c>
      <c r="M4657">
        <v>3.4</v>
      </c>
      <c r="N4657">
        <v>343</v>
      </c>
      <c r="O4657" t="s">
        <v>5</v>
      </c>
      <c r="Q4657" t="s">
        <v>1988</v>
      </c>
      <c r="R4657" t="s">
        <v>678</v>
      </c>
      <c r="S4657" t="s">
        <v>679</v>
      </c>
      <c r="T4657" t="s">
        <v>335</v>
      </c>
    </row>
    <row r="4658" spans="1:20" x14ac:dyDescent="0.25">
      <c r="A4658" t="s">
        <v>44</v>
      </c>
      <c r="B4658" t="s">
        <v>51</v>
      </c>
      <c r="C4658" t="s">
        <v>32</v>
      </c>
      <c r="D4658" t="s">
        <v>673</v>
      </c>
      <c r="E4658" t="s">
        <v>5208</v>
      </c>
      <c r="F4658" t="s">
        <v>35</v>
      </c>
      <c r="G4658" t="s">
        <v>35</v>
      </c>
      <c r="H4658" t="s">
        <v>35</v>
      </c>
      <c r="J4658" t="s">
        <v>5212</v>
      </c>
      <c r="K4658" t="s">
        <v>1092</v>
      </c>
      <c r="M4658">
        <v>0.5</v>
      </c>
      <c r="N4658">
        <v>884</v>
      </c>
      <c r="O4658" t="s">
        <v>575</v>
      </c>
      <c r="Q4658" t="s">
        <v>5213</v>
      </c>
      <c r="R4658" t="s">
        <v>5214</v>
      </c>
      <c r="S4658" t="s">
        <v>5215</v>
      </c>
      <c r="T4658" t="s">
        <v>5216</v>
      </c>
    </row>
    <row r="4659" spans="1:20" x14ac:dyDescent="0.25">
      <c r="A4659" t="s">
        <v>44</v>
      </c>
      <c r="B4659" t="s">
        <v>51</v>
      </c>
      <c r="C4659" t="s">
        <v>32</v>
      </c>
      <c r="D4659" t="s">
        <v>673</v>
      </c>
      <c r="E4659" t="s">
        <v>5208</v>
      </c>
      <c r="F4659" t="s">
        <v>35</v>
      </c>
      <c r="G4659" t="s">
        <v>35</v>
      </c>
      <c r="H4659" t="s">
        <v>35</v>
      </c>
      <c r="J4659" t="s">
        <v>5224</v>
      </c>
      <c r="K4659" t="s">
        <v>1092</v>
      </c>
      <c r="M4659">
        <v>0.4</v>
      </c>
      <c r="N4659">
        <v>866</v>
      </c>
      <c r="O4659" t="s">
        <v>575</v>
      </c>
      <c r="Q4659" t="s">
        <v>5225</v>
      </c>
      <c r="R4659" t="s">
        <v>5219</v>
      </c>
      <c r="S4659" t="s">
        <v>5220</v>
      </c>
      <c r="T4659" t="s">
        <v>5221</v>
      </c>
    </row>
    <row r="4660" spans="1:20" x14ac:dyDescent="0.25">
      <c r="A4660" t="s">
        <v>44</v>
      </c>
      <c r="B4660" t="s">
        <v>51</v>
      </c>
      <c r="C4660" t="s">
        <v>32</v>
      </c>
      <c r="D4660" t="s">
        <v>673</v>
      </c>
      <c r="E4660" t="s">
        <v>5208</v>
      </c>
      <c r="F4660" t="s">
        <v>35</v>
      </c>
      <c r="G4660" t="s">
        <v>35</v>
      </c>
      <c r="H4660" t="s">
        <v>35</v>
      </c>
      <c r="J4660" t="s">
        <v>5224</v>
      </c>
      <c r="K4660" t="s">
        <v>1092</v>
      </c>
      <c r="M4660">
        <v>0.2</v>
      </c>
      <c r="N4660">
        <v>846</v>
      </c>
      <c r="O4660" t="s">
        <v>575</v>
      </c>
      <c r="Q4660" t="s">
        <v>5226</v>
      </c>
      <c r="R4660" t="s">
        <v>5219</v>
      </c>
      <c r="S4660" t="s">
        <v>5220</v>
      </c>
      <c r="T4660" t="s">
        <v>5221</v>
      </c>
    </row>
    <row r="4661" spans="1:20" x14ac:dyDescent="0.25">
      <c r="A4661" t="s">
        <v>44</v>
      </c>
      <c r="B4661" t="s">
        <v>51</v>
      </c>
      <c r="C4661" t="s">
        <v>32</v>
      </c>
      <c r="D4661" t="s">
        <v>673</v>
      </c>
      <c r="E4661" t="s">
        <v>5208</v>
      </c>
      <c r="F4661" t="s">
        <v>35</v>
      </c>
      <c r="G4661" t="s">
        <v>35</v>
      </c>
      <c r="H4661" t="s">
        <v>35</v>
      </c>
      <c r="J4661" t="s">
        <v>5224</v>
      </c>
      <c r="K4661" t="s">
        <v>1092</v>
      </c>
      <c r="M4661">
        <v>0.1</v>
      </c>
      <c r="N4661">
        <v>843</v>
      </c>
      <c r="O4661" t="s">
        <v>575</v>
      </c>
      <c r="Q4661" t="s">
        <v>5227</v>
      </c>
      <c r="R4661" t="s">
        <v>5219</v>
      </c>
      <c r="S4661" t="s">
        <v>5220</v>
      </c>
      <c r="T4661" t="s">
        <v>5221</v>
      </c>
    </row>
    <row r="4662" spans="1:20" x14ac:dyDescent="0.25">
      <c r="A4662" t="s">
        <v>59</v>
      </c>
      <c r="B4662" t="s">
        <v>60</v>
      </c>
      <c r="C4662" t="s">
        <v>32</v>
      </c>
      <c r="D4662" t="s">
        <v>673</v>
      </c>
      <c r="E4662" t="s">
        <v>5208</v>
      </c>
      <c r="F4662" t="s">
        <v>35</v>
      </c>
      <c r="G4662" t="s">
        <v>35</v>
      </c>
      <c r="H4662" t="s">
        <v>35</v>
      </c>
      <c r="J4662" t="s">
        <v>5236</v>
      </c>
      <c r="K4662" t="s">
        <v>1092</v>
      </c>
      <c r="M4662">
        <v>1</v>
      </c>
      <c r="N4662">
        <v>891</v>
      </c>
      <c r="O4662" t="s">
        <v>575</v>
      </c>
      <c r="Q4662" t="s">
        <v>5237</v>
      </c>
      <c r="R4662" t="s">
        <v>5219</v>
      </c>
      <c r="S4662" t="s">
        <v>5220</v>
      </c>
      <c r="T4662" t="s">
        <v>5221</v>
      </c>
    </row>
    <row r="4663" spans="1:20" x14ac:dyDescent="0.25">
      <c r="A4663" t="s">
        <v>44</v>
      </c>
      <c r="B4663" t="s">
        <v>3</v>
      </c>
      <c r="C4663" t="s">
        <v>32</v>
      </c>
      <c r="D4663" t="s">
        <v>673</v>
      </c>
      <c r="E4663" t="s">
        <v>5208</v>
      </c>
      <c r="F4663" t="s">
        <v>35</v>
      </c>
      <c r="G4663" t="s">
        <v>35</v>
      </c>
      <c r="H4663" t="s">
        <v>35</v>
      </c>
      <c r="J4663" t="s">
        <v>5222</v>
      </c>
      <c r="K4663" t="s">
        <v>1092</v>
      </c>
      <c r="M4663">
        <v>2</v>
      </c>
      <c r="N4663">
        <v>508</v>
      </c>
      <c r="O4663" t="s">
        <v>294</v>
      </c>
      <c r="Q4663" t="s">
        <v>2573</v>
      </c>
      <c r="R4663" t="s">
        <v>5219</v>
      </c>
      <c r="S4663" t="s">
        <v>5220</v>
      </c>
      <c r="T4663" t="s">
        <v>5221</v>
      </c>
    </row>
    <row r="4664" spans="1:20" x14ac:dyDescent="0.25">
      <c r="A4664" t="s">
        <v>59</v>
      </c>
      <c r="B4664" t="s">
        <v>60</v>
      </c>
      <c r="C4664" t="s">
        <v>32</v>
      </c>
      <c r="D4664" t="s">
        <v>673</v>
      </c>
      <c r="E4664" t="s">
        <v>5208</v>
      </c>
      <c r="F4664" t="s">
        <v>35</v>
      </c>
      <c r="G4664" t="s">
        <v>35</v>
      </c>
      <c r="H4664" t="s">
        <v>35</v>
      </c>
      <c r="J4664" t="s">
        <v>5217</v>
      </c>
      <c r="K4664" t="s">
        <v>1092</v>
      </c>
      <c r="M4664">
        <v>0.15</v>
      </c>
      <c r="N4664">
        <v>829</v>
      </c>
      <c r="O4664" t="s">
        <v>575</v>
      </c>
      <c r="Q4664" t="s">
        <v>5218</v>
      </c>
      <c r="R4664" t="s">
        <v>5219</v>
      </c>
      <c r="S4664" t="s">
        <v>5220</v>
      </c>
      <c r="T4664" t="s">
        <v>5221</v>
      </c>
    </row>
    <row r="4665" spans="1:20" x14ac:dyDescent="0.25">
      <c r="A4665" t="s">
        <v>59</v>
      </c>
      <c r="B4665" t="s">
        <v>60</v>
      </c>
      <c r="C4665" t="s">
        <v>32</v>
      </c>
      <c r="D4665" t="s">
        <v>673</v>
      </c>
      <c r="F4665" t="s">
        <v>35</v>
      </c>
      <c r="G4665" t="s">
        <v>35</v>
      </c>
      <c r="H4665" t="s">
        <v>35</v>
      </c>
      <c r="J4665" t="s">
        <v>5314</v>
      </c>
      <c r="K4665" t="s">
        <v>1092</v>
      </c>
      <c r="M4665">
        <v>0.1</v>
      </c>
      <c r="N4665">
        <v>240</v>
      </c>
      <c r="O4665" t="s">
        <v>5</v>
      </c>
      <c r="Q4665" t="s">
        <v>574</v>
      </c>
      <c r="R4665" t="s">
        <v>5360</v>
      </c>
      <c r="S4665" t="s">
        <v>5361</v>
      </c>
      <c r="T4665" t="s">
        <v>5362</v>
      </c>
    </row>
    <row r="4666" spans="1:20" x14ac:dyDescent="0.25">
      <c r="A4666" t="s">
        <v>59</v>
      </c>
      <c r="B4666" t="s">
        <v>60</v>
      </c>
      <c r="C4666" t="s">
        <v>32</v>
      </c>
      <c r="D4666" t="s">
        <v>673</v>
      </c>
      <c r="E4666" t="s">
        <v>704</v>
      </c>
      <c r="F4666" t="s">
        <v>35</v>
      </c>
      <c r="G4666" t="s">
        <v>35</v>
      </c>
      <c r="H4666" t="s">
        <v>35</v>
      </c>
      <c r="J4666" t="s">
        <v>5359</v>
      </c>
      <c r="K4666" t="s">
        <v>1092</v>
      </c>
      <c r="M4666">
        <v>0.1</v>
      </c>
      <c r="N4666">
        <v>65</v>
      </c>
      <c r="O4666" t="s">
        <v>61</v>
      </c>
      <c r="Q4666" t="s">
        <v>63</v>
      </c>
      <c r="R4666" t="s">
        <v>5360</v>
      </c>
      <c r="S4666" t="s">
        <v>5361</v>
      </c>
      <c r="T4666" t="s">
        <v>5362</v>
      </c>
    </row>
    <row r="4667" spans="1:20" x14ac:dyDescent="0.25">
      <c r="A4667" t="s">
        <v>59</v>
      </c>
      <c r="B4667" t="s">
        <v>60</v>
      </c>
      <c r="C4667" t="s">
        <v>32</v>
      </c>
      <c r="D4667" t="s">
        <v>673</v>
      </c>
      <c r="F4667" t="s">
        <v>35</v>
      </c>
      <c r="G4667" t="s">
        <v>35</v>
      </c>
      <c r="H4667" t="s">
        <v>35</v>
      </c>
      <c r="J4667" t="s">
        <v>5418</v>
      </c>
      <c r="K4667" t="s">
        <v>1092</v>
      </c>
      <c r="M4667">
        <v>0.4</v>
      </c>
      <c r="N4667">
        <v>26</v>
      </c>
      <c r="O4667" t="s">
        <v>46</v>
      </c>
      <c r="Q4667" t="s">
        <v>137</v>
      </c>
      <c r="R4667" t="s">
        <v>5360</v>
      </c>
      <c r="S4667" t="s">
        <v>5361</v>
      </c>
      <c r="T4667" t="s">
        <v>5362</v>
      </c>
    </row>
    <row r="4668" spans="1:20" x14ac:dyDescent="0.25">
      <c r="A4668" t="s">
        <v>30</v>
      </c>
      <c r="B4668" t="s">
        <v>31</v>
      </c>
      <c r="C4668" t="s">
        <v>32</v>
      </c>
      <c r="D4668" t="s">
        <v>673</v>
      </c>
      <c r="E4668" t="s">
        <v>673</v>
      </c>
      <c r="F4668" t="s">
        <v>35</v>
      </c>
      <c r="G4668" t="s">
        <v>35</v>
      </c>
      <c r="H4668" t="s">
        <v>35</v>
      </c>
      <c r="J4668" t="s">
        <v>5292</v>
      </c>
      <c r="K4668" t="s">
        <v>1092</v>
      </c>
      <c r="M4668">
        <v>0.13500000000000001</v>
      </c>
      <c r="N4668">
        <v>2316</v>
      </c>
      <c r="O4668" t="s">
        <v>575</v>
      </c>
      <c r="Q4668" t="s">
        <v>5293</v>
      </c>
      <c r="R4668" t="s">
        <v>5294</v>
      </c>
      <c r="S4668" t="s">
        <v>330</v>
      </c>
      <c r="T4668" t="s">
        <v>5295</v>
      </c>
    </row>
    <row r="4669" spans="1:20" x14ac:dyDescent="0.25">
      <c r="A4669" t="s">
        <v>30</v>
      </c>
      <c r="B4669" t="s">
        <v>31</v>
      </c>
      <c r="C4669" t="s">
        <v>32</v>
      </c>
      <c r="D4669" t="s">
        <v>673</v>
      </c>
      <c r="F4669" t="s">
        <v>35</v>
      </c>
      <c r="G4669" t="s">
        <v>35</v>
      </c>
      <c r="H4669" t="s">
        <v>35</v>
      </c>
      <c r="J4669" t="s">
        <v>5404</v>
      </c>
      <c r="K4669" t="s">
        <v>1092</v>
      </c>
      <c r="M4669">
        <v>0.40500000000000003</v>
      </c>
      <c r="N4669">
        <v>2525</v>
      </c>
      <c r="O4669" t="s">
        <v>575</v>
      </c>
      <c r="Q4669" t="s">
        <v>5405</v>
      </c>
      <c r="R4669" t="s">
        <v>5406</v>
      </c>
      <c r="S4669" t="s">
        <v>5407</v>
      </c>
      <c r="T4669" t="s">
        <v>5408</v>
      </c>
    </row>
    <row r="4670" spans="1:20" x14ac:dyDescent="0.25">
      <c r="A4670" t="s">
        <v>59</v>
      </c>
      <c r="B4670" t="s">
        <v>60</v>
      </c>
      <c r="C4670" t="s">
        <v>32</v>
      </c>
      <c r="D4670" t="s">
        <v>673</v>
      </c>
      <c r="F4670" t="s">
        <v>35</v>
      </c>
      <c r="G4670" t="s">
        <v>35</v>
      </c>
      <c r="H4670" t="s">
        <v>35</v>
      </c>
      <c r="J4670" t="s">
        <v>5409</v>
      </c>
      <c r="K4670" t="s">
        <v>1092</v>
      </c>
      <c r="M4670">
        <v>0.65</v>
      </c>
      <c r="N4670">
        <v>1588</v>
      </c>
      <c r="O4670" t="s">
        <v>575</v>
      </c>
      <c r="Q4670" t="s">
        <v>5410</v>
      </c>
      <c r="R4670" t="s">
        <v>5406</v>
      </c>
      <c r="S4670" t="s">
        <v>5407</v>
      </c>
      <c r="T4670" t="s">
        <v>5408</v>
      </c>
    </row>
    <row r="4671" spans="1:20" x14ac:dyDescent="0.25">
      <c r="A4671" t="s">
        <v>30</v>
      </c>
      <c r="B4671" t="s">
        <v>31</v>
      </c>
      <c r="C4671" t="s">
        <v>32</v>
      </c>
      <c r="D4671" t="s">
        <v>673</v>
      </c>
      <c r="E4671" t="s">
        <v>673</v>
      </c>
      <c r="F4671" t="s">
        <v>35</v>
      </c>
      <c r="G4671" t="s">
        <v>35</v>
      </c>
      <c r="H4671" t="s">
        <v>35</v>
      </c>
      <c r="J4671" t="s">
        <v>5299</v>
      </c>
      <c r="K4671" t="s">
        <v>1092</v>
      </c>
      <c r="M4671">
        <v>8.9999999999999993E-3</v>
      </c>
      <c r="N4671">
        <v>1314</v>
      </c>
      <c r="O4671" t="s">
        <v>575</v>
      </c>
      <c r="Q4671" t="s">
        <v>5300</v>
      </c>
      <c r="R4671" t="s">
        <v>5301</v>
      </c>
      <c r="S4671" t="s">
        <v>5302</v>
      </c>
      <c r="T4671" t="s">
        <v>5303</v>
      </c>
    </row>
    <row r="4672" spans="1:20" x14ac:dyDescent="0.25">
      <c r="A4672" t="s">
        <v>30</v>
      </c>
      <c r="B4672" t="s">
        <v>31</v>
      </c>
      <c r="C4672" t="s">
        <v>32</v>
      </c>
      <c r="D4672" t="s">
        <v>673</v>
      </c>
      <c r="E4672" t="s">
        <v>707</v>
      </c>
      <c r="F4672" t="s">
        <v>35</v>
      </c>
      <c r="G4672" t="s">
        <v>35</v>
      </c>
      <c r="H4672" t="s">
        <v>35</v>
      </c>
      <c r="J4672" t="s">
        <v>5385</v>
      </c>
      <c r="K4672" t="s">
        <v>1092</v>
      </c>
      <c r="M4672">
        <v>1.125</v>
      </c>
      <c r="N4672">
        <v>42</v>
      </c>
      <c r="O4672" t="s">
        <v>52</v>
      </c>
      <c r="Q4672" t="s">
        <v>219</v>
      </c>
      <c r="R4672" t="s">
        <v>306</v>
      </c>
      <c r="S4672" t="s">
        <v>307</v>
      </c>
      <c r="T4672" t="s">
        <v>308</v>
      </c>
    </row>
    <row r="4673" spans="1:20" x14ac:dyDescent="0.25">
      <c r="A4673" t="s">
        <v>59</v>
      </c>
      <c r="B4673" t="s">
        <v>60</v>
      </c>
      <c r="C4673" t="s">
        <v>32</v>
      </c>
      <c r="D4673" t="s">
        <v>673</v>
      </c>
      <c r="E4673" t="s">
        <v>707</v>
      </c>
      <c r="F4673" t="s">
        <v>35</v>
      </c>
      <c r="G4673" t="s">
        <v>35</v>
      </c>
      <c r="H4673" t="s">
        <v>35</v>
      </c>
      <c r="J4673" t="s">
        <v>5374</v>
      </c>
      <c r="K4673" t="s">
        <v>1092</v>
      </c>
      <c r="M4673">
        <v>0.8</v>
      </c>
      <c r="N4673">
        <v>115</v>
      </c>
      <c r="O4673" t="s">
        <v>106</v>
      </c>
      <c r="Q4673" t="s">
        <v>3430</v>
      </c>
      <c r="R4673" t="s">
        <v>306</v>
      </c>
      <c r="S4673" t="s">
        <v>307</v>
      </c>
      <c r="T4673" t="s">
        <v>308</v>
      </c>
    </row>
    <row r="4674" spans="1:20" x14ac:dyDescent="0.25">
      <c r="A4674" t="s">
        <v>59</v>
      </c>
      <c r="B4674" t="s">
        <v>60</v>
      </c>
      <c r="C4674" t="s">
        <v>32</v>
      </c>
      <c r="D4674" t="s">
        <v>673</v>
      </c>
      <c r="E4674" t="s">
        <v>707</v>
      </c>
      <c r="F4674" t="s">
        <v>35</v>
      </c>
      <c r="G4674" t="s">
        <v>35</v>
      </c>
      <c r="H4674" t="s">
        <v>35</v>
      </c>
      <c r="J4674" t="s">
        <v>5374</v>
      </c>
      <c r="K4674" t="s">
        <v>1092</v>
      </c>
      <c r="M4674">
        <v>11</v>
      </c>
      <c r="N4674">
        <v>75</v>
      </c>
      <c r="O4674" t="s">
        <v>61</v>
      </c>
      <c r="Q4674" t="s">
        <v>447</v>
      </c>
      <c r="R4674" t="s">
        <v>306</v>
      </c>
      <c r="S4674" t="s">
        <v>307</v>
      </c>
      <c r="T4674" t="s">
        <v>308</v>
      </c>
    </row>
    <row r="4675" spans="1:20" x14ac:dyDescent="0.25">
      <c r="A4675" t="s">
        <v>59</v>
      </c>
      <c r="B4675" t="s">
        <v>60</v>
      </c>
      <c r="C4675" t="s">
        <v>32</v>
      </c>
      <c r="D4675" t="s">
        <v>673</v>
      </c>
      <c r="E4675" t="s">
        <v>691</v>
      </c>
      <c r="F4675" t="s">
        <v>35</v>
      </c>
      <c r="G4675" t="s">
        <v>35</v>
      </c>
      <c r="H4675" t="s">
        <v>35</v>
      </c>
      <c r="J4675" t="s">
        <v>5325</v>
      </c>
      <c r="K4675" t="s">
        <v>1092</v>
      </c>
      <c r="M4675">
        <v>11</v>
      </c>
      <c r="N4675">
        <v>75</v>
      </c>
      <c r="O4675" t="s">
        <v>61</v>
      </c>
      <c r="Q4675" t="s">
        <v>447</v>
      </c>
      <c r="R4675" t="s">
        <v>306</v>
      </c>
      <c r="S4675" t="s">
        <v>307</v>
      </c>
      <c r="T4675" t="s">
        <v>308</v>
      </c>
    </row>
    <row r="4676" spans="1:20" x14ac:dyDescent="0.25">
      <c r="A4676" t="s">
        <v>30</v>
      </c>
      <c r="B4676" t="s">
        <v>31</v>
      </c>
      <c r="C4676" t="s">
        <v>32</v>
      </c>
      <c r="D4676" t="s">
        <v>673</v>
      </c>
      <c r="E4676" t="s">
        <v>673</v>
      </c>
      <c r="F4676" t="s">
        <v>35</v>
      </c>
      <c r="G4676" t="s">
        <v>35</v>
      </c>
      <c r="H4676" t="s">
        <v>35</v>
      </c>
      <c r="J4676" t="s">
        <v>5306</v>
      </c>
      <c r="K4676" t="s">
        <v>1092</v>
      </c>
      <c r="M4676">
        <v>0.495</v>
      </c>
      <c r="N4676">
        <v>17</v>
      </c>
      <c r="O4676" t="s">
        <v>46</v>
      </c>
      <c r="Q4676" t="s">
        <v>255</v>
      </c>
      <c r="R4676" t="s">
        <v>306</v>
      </c>
      <c r="S4676" t="s">
        <v>307</v>
      </c>
      <c r="T4676" t="s">
        <v>308</v>
      </c>
    </row>
    <row r="4677" spans="1:20" x14ac:dyDescent="0.25">
      <c r="A4677" t="s">
        <v>30</v>
      </c>
      <c r="B4677" t="s">
        <v>31</v>
      </c>
      <c r="C4677" t="s">
        <v>32</v>
      </c>
      <c r="D4677" t="s">
        <v>673</v>
      </c>
      <c r="E4677" t="s">
        <v>674</v>
      </c>
      <c r="F4677" t="s">
        <v>35</v>
      </c>
      <c r="G4677" t="s">
        <v>35</v>
      </c>
      <c r="H4677" t="s">
        <v>35</v>
      </c>
      <c r="J4677" t="s">
        <v>5324</v>
      </c>
      <c r="K4677" t="s">
        <v>1092</v>
      </c>
      <c r="M4677">
        <v>3.375</v>
      </c>
      <c r="N4677">
        <v>26</v>
      </c>
      <c r="O4677" t="s">
        <v>46</v>
      </c>
      <c r="Q4677" t="s">
        <v>137</v>
      </c>
      <c r="R4677" t="s">
        <v>306</v>
      </c>
      <c r="S4677" t="s">
        <v>307</v>
      </c>
      <c r="T4677" t="s">
        <v>308</v>
      </c>
    </row>
    <row r="4678" spans="1:20" x14ac:dyDescent="0.25">
      <c r="A4678" t="s">
        <v>59</v>
      </c>
      <c r="B4678" t="s">
        <v>60</v>
      </c>
      <c r="C4678" t="s">
        <v>32</v>
      </c>
      <c r="D4678" t="s">
        <v>673</v>
      </c>
      <c r="E4678" t="s">
        <v>691</v>
      </c>
      <c r="F4678" t="s">
        <v>35</v>
      </c>
      <c r="G4678" t="s">
        <v>35</v>
      </c>
      <c r="H4678" t="s">
        <v>35</v>
      </c>
      <c r="J4678" t="s">
        <v>692</v>
      </c>
      <c r="K4678" t="s">
        <v>37</v>
      </c>
      <c r="M4678">
        <v>11</v>
      </c>
      <c r="N4678">
        <v>75</v>
      </c>
      <c r="O4678" t="s">
        <v>61</v>
      </c>
      <c r="P4678" t="s">
        <v>693</v>
      </c>
      <c r="Q4678" t="s">
        <v>447</v>
      </c>
      <c r="R4678" t="s">
        <v>306</v>
      </c>
      <c r="S4678" t="s">
        <v>307</v>
      </c>
      <c r="T4678" t="s">
        <v>308</v>
      </c>
    </row>
    <row r="4679" spans="1:20" x14ac:dyDescent="0.25">
      <c r="A4679" t="s">
        <v>59</v>
      </c>
      <c r="B4679" t="s">
        <v>60</v>
      </c>
      <c r="C4679" t="s">
        <v>32</v>
      </c>
      <c r="D4679" t="s">
        <v>673</v>
      </c>
      <c r="E4679" t="s">
        <v>5208</v>
      </c>
      <c r="F4679" t="s">
        <v>35</v>
      </c>
      <c r="G4679" t="s">
        <v>35</v>
      </c>
      <c r="H4679" t="s">
        <v>35</v>
      </c>
      <c r="J4679" t="s">
        <v>5211</v>
      </c>
      <c r="K4679" t="s">
        <v>1092</v>
      </c>
      <c r="M4679">
        <v>0.1</v>
      </c>
      <c r="N4679">
        <v>52</v>
      </c>
      <c r="O4679" t="s">
        <v>52</v>
      </c>
      <c r="Q4679" t="s">
        <v>84</v>
      </c>
      <c r="R4679" t="s">
        <v>306</v>
      </c>
      <c r="S4679" t="s">
        <v>307</v>
      </c>
      <c r="T4679" t="s">
        <v>308</v>
      </c>
    </row>
    <row r="4680" spans="1:20" x14ac:dyDescent="0.25">
      <c r="A4680" t="s">
        <v>59</v>
      </c>
      <c r="B4680" t="s">
        <v>60</v>
      </c>
      <c r="C4680" t="s">
        <v>32</v>
      </c>
      <c r="D4680" t="s">
        <v>673</v>
      </c>
      <c r="E4680" t="s">
        <v>673</v>
      </c>
      <c r="F4680" t="s">
        <v>35</v>
      </c>
      <c r="G4680" t="s">
        <v>35</v>
      </c>
      <c r="H4680" t="s">
        <v>35</v>
      </c>
      <c r="J4680" t="s">
        <v>5304</v>
      </c>
      <c r="K4680" t="s">
        <v>1092</v>
      </c>
      <c r="M4680">
        <v>8.9499999999999993</v>
      </c>
      <c r="N4680">
        <v>75</v>
      </c>
      <c r="O4680" t="s">
        <v>61</v>
      </c>
      <c r="Q4680" t="s">
        <v>447</v>
      </c>
      <c r="R4680" t="s">
        <v>306</v>
      </c>
      <c r="S4680" t="s">
        <v>307</v>
      </c>
      <c r="T4680" t="s">
        <v>308</v>
      </c>
    </row>
    <row r="4681" spans="1:20" x14ac:dyDescent="0.25">
      <c r="A4681" t="s">
        <v>30</v>
      </c>
      <c r="B4681" t="s">
        <v>31</v>
      </c>
      <c r="C4681" t="s">
        <v>32</v>
      </c>
      <c r="D4681" t="s">
        <v>673</v>
      </c>
      <c r="E4681" t="s">
        <v>674</v>
      </c>
      <c r="F4681" t="s">
        <v>35</v>
      </c>
      <c r="G4681" t="s">
        <v>35</v>
      </c>
      <c r="H4681" t="s">
        <v>35</v>
      </c>
      <c r="J4681" t="s">
        <v>5323</v>
      </c>
      <c r="K4681" t="s">
        <v>404</v>
      </c>
      <c r="M4681">
        <v>3.15</v>
      </c>
      <c r="N4681">
        <v>24</v>
      </c>
      <c r="O4681" t="s">
        <v>46</v>
      </c>
      <c r="Q4681" t="s">
        <v>972</v>
      </c>
      <c r="R4681" t="s">
        <v>306</v>
      </c>
      <c r="S4681" t="s">
        <v>307</v>
      </c>
      <c r="T4681" t="s">
        <v>308</v>
      </c>
    </row>
    <row r="4682" spans="1:20" x14ac:dyDescent="0.25">
      <c r="A4682" t="s">
        <v>30</v>
      </c>
      <c r="B4682" t="s">
        <v>31</v>
      </c>
      <c r="C4682" t="s">
        <v>32</v>
      </c>
      <c r="D4682" t="s">
        <v>673</v>
      </c>
      <c r="E4682" t="s">
        <v>5208</v>
      </c>
      <c r="F4682" t="s">
        <v>35</v>
      </c>
      <c r="G4682" t="s">
        <v>35</v>
      </c>
      <c r="H4682" t="s">
        <v>35</v>
      </c>
      <c r="J4682" t="s">
        <v>5232</v>
      </c>
      <c r="K4682" t="s">
        <v>1092</v>
      </c>
      <c r="M4682">
        <v>0.54</v>
      </c>
      <c r="N4682">
        <v>1069</v>
      </c>
      <c r="O4682" t="s">
        <v>575</v>
      </c>
      <c r="Q4682" t="s">
        <v>5233</v>
      </c>
      <c r="R4682" t="s">
        <v>306</v>
      </c>
      <c r="S4682" t="s">
        <v>307</v>
      </c>
      <c r="T4682" t="s">
        <v>308</v>
      </c>
    </row>
    <row r="4683" spans="1:20" x14ac:dyDescent="0.25">
      <c r="A4683" t="s">
        <v>59</v>
      </c>
      <c r="B4683" t="s">
        <v>60</v>
      </c>
      <c r="C4683" t="s">
        <v>32</v>
      </c>
      <c r="D4683" t="s">
        <v>673</v>
      </c>
      <c r="E4683" t="s">
        <v>704</v>
      </c>
      <c r="F4683" t="s">
        <v>35</v>
      </c>
      <c r="G4683" t="s">
        <v>35</v>
      </c>
      <c r="H4683" t="s">
        <v>35</v>
      </c>
      <c r="J4683" t="s">
        <v>479</v>
      </c>
      <c r="K4683" t="s">
        <v>37</v>
      </c>
      <c r="M4683">
        <v>33.4</v>
      </c>
      <c r="N4683">
        <v>74</v>
      </c>
      <c r="O4683" t="s">
        <v>61</v>
      </c>
      <c r="P4683" t="s">
        <v>705</v>
      </c>
      <c r="Q4683" t="s">
        <v>527</v>
      </c>
      <c r="R4683" t="s">
        <v>91</v>
      </c>
      <c r="S4683" t="s">
        <v>92</v>
      </c>
    </row>
    <row r="4684" spans="1:20" x14ac:dyDescent="0.25">
      <c r="A4684" t="s">
        <v>59</v>
      </c>
      <c r="B4684" t="s">
        <v>60</v>
      </c>
      <c r="C4684" t="s">
        <v>32</v>
      </c>
      <c r="D4684" t="s">
        <v>673</v>
      </c>
      <c r="E4684" t="s">
        <v>717</v>
      </c>
      <c r="F4684" t="s">
        <v>35</v>
      </c>
      <c r="G4684" t="s">
        <v>35</v>
      </c>
      <c r="H4684" t="s">
        <v>35</v>
      </c>
      <c r="J4684" t="s">
        <v>679</v>
      </c>
      <c r="K4684" t="s">
        <v>37</v>
      </c>
      <c r="M4684">
        <v>39.25</v>
      </c>
      <c r="N4684">
        <v>75</v>
      </c>
      <c r="O4684" t="s">
        <v>61</v>
      </c>
      <c r="P4684" t="s">
        <v>718</v>
      </c>
      <c r="Q4684" t="s">
        <v>447</v>
      </c>
      <c r="R4684" t="s">
        <v>91</v>
      </c>
      <c r="S4684" t="s">
        <v>92</v>
      </c>
    </row>
    <row r="4685" spans="1:20" x14ac:dyDescent="0.25">
      <c r="A4685" t="s">
        <v>59</v>
      </c>
      <c r="B4685" t="s">
        <v>60</v>
      </c>
      <c r="C4685" t="s">
        <v>32</v>
      </c>
      <c r="D4685" t="s">
        <v>673</v>
      </c>
      <c r="E4685" t="s">
        <v>694</v>
      </c>
      <c r="F4685" t="s">
        <v>35</v>
      </c>
      <c r="G4685" t="s">
        <v>35</v>
      </c>
      <c r="H4685" t="s">
        <v>35</v>
      </c>
      <c r="J4685" t="s">
        <v>307</v>
      </c>
      <c r="K4685" t="s">
        <v>37</v>
      </c>
      <c r="M4685">
        <v>46</v>
      </c>
      <c r="N4685">
        <v>75</v>
      </c>
      <c r="O4685" t="s">
        <v>61</v>
      </c>
      <c r="P4685" t="s">
        <v>695</v>
      </c>
      <c r="Q4685" t="s">
        <v>447</v>
      </c>
      <c r="R4685" t="s">
        <v>91</v>
      </c>
      <c r="S4685" t="s">
        <v>92</v>
      </c>
    </row>
    <row r="4686" spans="1:20" x14ac:dyDescent="0.25">
      <c r="A4686" t="s">
        <v>59</v>
      </c>
      <c r="B4686" t="s">
        <v>60</v>
      </c>
      <c r="C4686" t="s">
        <v>32</v>
      </c>
      <c r="D4686" t="s">
        <v>673</v>
      </c>
      <c r="E4686" t="s">
        <v>694</v>
      </c>
      <c r="F4686" t="s">
        <v>35</v>
      </c>
      <c r="G4686" t="s">
        <v>35</v>
      </c>
      <c r="H4686" t="s">
        <v>35</v>
      </c>
      <c r="J4686" t="s">
        <v>307</v>
      </c>
      <c r="K4686" t="s">
        <v>37</v>
      </c>
      <c r="M4686">
        <v>47.25</v>
      </c>
      <c r="N4686">
        <v>75</v>
      </c>
      <c r="O4686" t="s">
        <v>61</v>
      </c>
      <c r="P4686" t="s">
        <v>696</v>
      </c>
      <c r="Q4686" t="s">
        <v>447</v>
      </c>
      <c r="R4686" t="s">
        <v>91</v>
      </c>
      <c r="S4686" t="s">
        <v>92</v>
      </c>
    </row>
    <row r="4687" spans="1:20" x14ac:dyDescent="0.25">
      <c r="A4687" t="s">
        <v>30</v>
      </c>
      <c r="B4687" t="s">
        <v>31</v>
      </c>
      <c r="C4687" t="s">
        <v>32</v>
      </c>
      <c r="D4687" t="s">
        <v>673</v>
      </c>
      <c r="E4687" t="s">
        <v>694</v>
      </c>
      <c r="F4687" t="s">
        <v>35</v>
      </c>
      <c r="G4687" t="s">
        <v>35</v>
      </c>
      <c r="H4687" t="s">
        <v>35</v>
      </c>
      <c r="J4687" t="s">
        <v>307</v>
      </c>
      <c r="K4687" t="s">
        <v>37</v>
      </c>
      <c r="M4687">
        <v>54</v>
      </c>
      <c r="N4687">
        <v>49</v>
      </c>
      <c r="O4687" t="s">
        <v>52</v>
      </c>
      <c r="P4687" t="s">
        <v>697</v>
      </c>
      <c r="Q4687" t="s">
        <v>453</v>
      </c>
      <c r="R4687" t="s">
        <v>91</v>
      </c>
      <c r="S4687" t="s">
        <v>92</v>
      </c>
    </row>
    <row r="4688" spans="1:20" x14ac:dyDescent="0.25">
      <c r="A4688" t="s">
        <v>30</v>
      </c>
      <c r="B4688" t="s">
        <v>31</v>
      </c>
      <c r="C4688" t="s">
        <v>32</v>
      </c>
      <c r="D4688" t="s">
        <v>673</v>
      </c>
      <c r="E4688" t="s">
        <v>694</v>
      </c>
      <c r="F4688" t="s">
        <v>35</v>
      </c>
      <c r="G4688" t="s">
        <v>35</v>
      </c>
      <c r="H4688" t="s">
        <v>35</v>
      </c>
      <c r="J4688" t="s">
        <v>307</v>
      </c>
      <c r="K4688" t="s">
        <v>37</v>
      </c>
      <c r="M4688">
        <v>25.04</v>
      </c>
      <c r="N4688">
        <v>49</v>
      </c>
      <c r="O4688" t="s">
        <v>52</v>
      </c>
      <c r="P4688" t="s">
        <v>698</v>
      </c>
      <c r="Q4688" t="s">
        <v>453</v>
      </c>
      <c r="R4688" t="s">
        <v>91</v>
      </c>
      <c r="S4688" t="s">
        <v>92</v>
      </c>
    </row>
    <row r="4689" spans="1:20" x14ac:dyDescent="0.25">
      <c r="A4689" t="s">
        <v>30</v>
      </c>
      <c r="B4689" t="s">
        <v>31</v>
      </c>
      <c r="C4689" t="s">
        <v>32</v>
      </c>
      <c r="D4689" t="s">
        <v>673</v>
      </c>
      <c r="E4689" t="s">
        <v>694</v>
      </c>
      <c r="F4689" t="s">
        <v>35</v>
      </c>
      <c r="G4689" t="s">
        <v>35</v>
      </c>
      <c r="H4689" t="s">
        <v>35</v>
      </c>
      <c r="J4689" t="s">
        <v>307</v>
      </c>
      <c r="K4689" t="s">
        <v>37</v>
      </c>
      <c r="M4689">
        <v>45</v>
      </c>
      <c r="N4689">
        <v>49</v>
      </c>
      <c r="O4689" t="s">
        <v>52</v>
      </c>
      <c r="P4689" t="s">
        <v>699</v>
      </c>
      <c r="Q4689" t="s">
        <v>453</v>
      </c>
      <c r="R4689" t="s">
        <v>91</v>
      </c>
      <c r="S4689" t="s">
        <v>92</v>
      </c>
    </row>
    <row r="4690" spans="1:20" x14ac:dyDescent="0.25">
      <c r="A4690" t="s">
        <v>30</v>
      </c>
      <c r="B4690" t="s">
        <v>31</v>
      </c>
      <c r="C4690" t="s">
        <v>32</v>
      </c>
      <c r="D4690" t="s">
        <v>673</v>
      </c>
      <c r="E4690" t="s">
        <v>694</v>
      </c>
      <c r="F4690" t="s">
        <v>35</v>
      </c>
      <c r="G4690" t="s">
        <v>35</v>
      </c>
      <c r="H4690" t="s">
        <v>35</v>
      </c>
      <c r="J4690" t="s">
        <v>307</v>
      </c>
      <c r="K4690" t="s">
        <v>37</v>
      </c>
      <c r="M4690">
        <v>54</v>
      </c>
      <c r="N4690">
        <v>49</v>
      </c>
      <c r="O4690" t="s">
        <v>52</v>
      </c>
      <c r="P4690" t="s">
        <v>700</v>
      </c>
      <c r="Q4690" t="s">
        <v>453</v>
      </c>
      <c r="R4690" t="s">
        <v>91</v>
      </c>
      <c r="S4690" t="s">
        <v>92</v>
      </c>
    </row>
    <row r="4691" spans="1:20" x14ac:dyDescent="0.25">
      <c r="A4691" t="s">
        <v>30</v>
      </c>
      <c r="B4691" t="s">
        <v>31</v>
      </c>
      <c r="C4691" t="s">
        <v>32</v>
      </c>
      <c r="D4691" t="s">
        <v>673</v>
      </c>
      <c r="E4691" t="s">
        <v>694</v>
      </c>
      <c r="F4691" t="s">
        <v>35</v>
      </c>
      <c r="G4691" t="s">
        <v>35</v>
      </c>
      <c r="H4691" t="s">
        <v>35</v>
      </c>
      <c r="J4691" t="s">
        <v>307</v>
      </c>
      <c r="K4691" t="s">
        <v>37</v>
      </c>
      <c r="M4691">
        <v>54</v>
      </c>
      <c r="N4691">
        <v>49</v>
      </c>
      <c r="O4691" t="s">
        <v>52</v>
      </c>
      <c r="P4691" t="s">
        <v>701</v>
      </c>
      <c r="Q4691" t="s">
        <v>453</v>
      </c>
      <c r="R4691" t="s">
        <v>91</v>
      </c>
      <c r="S4691" t="s">
        <v>92</v>
      </c>
    </row>
    <row r="4692" spans="1:20" x14ac:dyDescent="0.25">
      <c r="A4692" t="s">
        <v>59</v>
      </c>
      <c r="B4692" t="s">
        <v>60</v>
      </c>
      <c r="C4692" t="s">
        <v>32</v>
      </c>
      <c r="D4692" t="s">
        <v>673</v>
      </c>
      <c r="E4692" t="s">
        <v>694</v>
      </c>
      <c r="F4692" t="s">
        <v>35</v>
      </c>
      <c r="G4692" t="s">
        <v>35</v>
      </c>
      <c r="H4692" t="s">
        <v>35</v>
      </c>
      <c r="J4692" t="s">
        <v>307</v>
      </c>
      <c r="K4692" t="s">
        <v>37</v>
      </c>
      <c r="M4692">
        <v>54</v>
      </c>
      <c r="N4692">
        <v>75</v>
      </c>
      <c r="O4692" t="s">
        <v>61</v>
      </c>
      <c r="P4692" t="s">
        <v>702</v>
      </c>
      <c r="Q4692" t="s">
        <v>447</v>
      </c>
      <c r="R4692" t="s">
        <v>91</v>
      </c>
      <c r="S4692" t="s">
        <v>92</v>
      </c>
    </row>
    <row r="4693" spans="1:20" x14ac:dyDescent="0.25">
      <c r="A4693" t="s">
        <v>59</v>
      </c>
      <c r="B4693" t="s">
        <v>60</v>
      </c>
      <c r="C4693" t="s">
        <v>32</v>
      </c>
      <c r="D4693" t="s">
        <v>673</v>
      </c>
      <c r="E4693" t="s">
        <v>694</v>
      </c>
      <c r="F4693" t="s">
        <v>35</v>
      </c>
      <c r="G4693" t="s">
        <v>35</v>
      </c>
      <c r="H4693" t="s">
        <v>35</v>
      </c>
      <c r="J4693" t="s">
        <v>307</v>
      </c>
      <c r="K4693" t="s">
        <v>37</v>
      </c>
      <c r="M4693">
        <v>54</v>
      </c>
      <c r="N4693">
        <v>75</v>
      </c>
      <c r="O4693" t="s">
        <v>61</v>
      </c>
      <c r="P4693" t="s">
        <v>703</v>
      </c>
      <c r="Q4693" t="s">
        <v>447</v>
      </c>
      <c r="R4693" t="s">
        <v>91</v>
      </c>
      <c r="S4693" t="s">
        <v>92</v>
      </c>
    </row>
    <row r="4694" spans="1:20" x14ac:dyDescent="0.25">
      <c r="A4694" t="s">
        <v>59</v>
      </c>
      <c r="B4694" t="s">
        <v>60</v>
      </c>
      <c r="C4694" t="s">
        <v>32</v>
      </c>
      <c r="D4694" t="s">
        <v>673</v>
      </c>
      <c r="E4694" t="s">
        <v>707</v>
      </c>
      <c r="F4694" t="s">
        <v>35</v>
      </c>
      <c r="G4694" t="s">
        <v>35</v>
      </c>
      <c r="H4694" t="s">
        <v>35</v>
      </c>
      <c r="J4694" t="s">
        <v>316</v>
      </c>
      <c r="K4694" t="s">
        <v>37</v>
      </c>
      <c r="M4694">
        <v>0.75</v>
      </c>
      <c r="N4694">
        <v>74</v>
      </c>
      <c r="O4694" t="s">
        <v>61</v>
      </c>
      <c r="P4694" t="s">
        <v>708</v>
      </c>
      <c r="Q4694" t="s">
        <v>527</v>
      </c>
      <c r="R4694" t="s">
        <v>91</v>
      </c>
      <c r="S4694" t="s">
        <v>92</v>
      </c>
    </row>
    <row r="4695" spans="1:20" x14ac:dyDescent="0.25">
      <c r="A4695" t="s">
        <v>30</v>
      </c>
      <c r="B4695" t="s">
        <v>31</v>
      </c>
      <c r="C4695" t="s">
        <v>32</v>
      </c>
      <c r="D4695" t="s">
        <v>673</v>
      </c>
      <c r="E4695" t="s">
        <v>673</v>
      </c>
      <c r="F4695" t="s">
        <v>35</v>
      </c>
      <c r="G4695" t="s">
        <v>35</v>
      </c>
      <c r="H4695" t="s">
        <v>35</v>
      </c>
      <c r="J4695" t="s">
        <v>5242</v>
      </c>
      <c r="K4695" t="s">
        <v>1092</v>
      </c>
      <c r="M4695">
        <v>0.27</v>
      </c>
      <c r="N4695">
        <v>28</v>
      </c>
      <c r="O4695" t="s">
        <v>46</v>
      </c>
      <c r="Q4695" t="s">
        <v>48</v>
      </c>
      <c r="R4695" t="s">
        <v>5243</v>
      </c>
      <c r="S4695" t="s">
        <v>5244</v>
      </c>
      <c r="T4695" t="s">
        <v>5245</v>
      </c>
    </row>
    <row r="4696" spans="1:20" x14ac:dyDescent="0.25">
      <c r="A4696" t="s">
        <v>30</v>
      </c>
      <c r="B4696" t="s">
        <v>31</v>
      </c>
      <c r="C4696" t="s">
        <v>32</v>
      </c>
      <c r="D4696" t="s">
        <v>673</v>
      </c>
      <c r="E4696" t="s">
        <v>674</v>
      </c>
      <c r="F4696" t="s">
        <v>35</v>
      </c>
      <c r="G4696" t="s">
        <v>35</v>
      </c>
      <c r="H4696" t="s">
        <v>35</v>
      </c>
      <c r="J4696" t="s">
        <v>5314</v>
      </c>
      <c r="K4696" t="s">
        <v>1092</v>
      </c>
      <c r="M4696">
        <v>1.35</v>
      </c>
      <c r="N4696">
        <v>45</v>
      </c>
      <c r="O4696" t="s">
        <v>52</v>
      </c>
      <c r="Q4696" t="s">
        <v>1230</v>
      </c>
      <c r="R4696" t="s">
        <v>5281</v>
      </c>
      <c r="S4696" t="s">
        <v>5282</v>
      </c>
      <c r="T4696" t="s">
        <v>5283</v>
      </c>
    </row>
    <row r="4697" spans="1:20" x14ac:dyDescent="0.25">
      <c r="A4697" t="s">
        <v>59</v>
      </c>
      <c r="B4697" t="s">
        <v>60</v>
      </c>
      <c r="C4697" t="s">
        <v>32</v>
      </c>
      <c r="D4697" t="s">
        <v>673</v>
      </c>
      <c r="E4697" t="s">
        <v>673</v>
      </c>
      <c r="F4697" t="s">
        <v>35</v>
      </c>
      <c r="G4697" t="s">
        <v>35</v>
      </c>
      <c r="H4697" t="s">
        <v>35</v>
      </c>
      <c r="J4697" t="s">
        <v>5280</v>
      </c>
      <c r="K4697" t="s">
        <v>1092</v>
      </c>
      <c r="M4697">
        <v>7</v>
      </c>
      <c r="N4697">
        <v>67</v>
      </c>
      <c r="O4697" t="s">
        <v>61</v>
      </c>
      <c r="Q4697" t="s">
        <v>488</v>
      </c>
      <c r="R4697" t="s">
        <v>5281</v>
      </c>
      <c r="S4697" t="s">
        <v>5282</v>
      </c>
      <c r="T4697" t="s">
        <v>5283</v>
      </c>
    </row>
    <row r="4698" spans="1:20" x14ac:dyDescent="0.25">
      <c r="A4698" t="s">
        <v>59</v>
      </c>
      <c r="B4698" t="s">
        <v>60</v>
      </c>
      <c r="C4698" t="s">
        <v>32</v>
      </c>
      <c r="D4698" t="s">
        <v>673</v>
      </c>
      <c r="E4698" t="s">
        <v>674</v>
      </c>
      <c r="F4698" t="s">
        <v>35</v>
      </c>
      <c r="G4698" t="s">
        <v>35</v>
      </c>
      <c r="H4698" t="s">
        <v>35</v>
      </c>
      <c r="J4698" t="s">
        <v>5313</v>
      </c>
      <c r="K4698" t="s">
        <v>1092</v>
      </c>
      <c r="M4698">
        <v>2.5</v>
      </c>
      <c r="N4698">
        <v>67</v>
      </c>
      <c r="O4698" t="s">
        <v>61</v>
      </c>
      <c r="Q4698" t="s">
        <v>488</v>
      </c>
      <c r="R4698" t="s">
        <v>5281</v>
      </c>
      <c r="S4698" t="s">
        <v>5282</v>
      </c>
      <c r="T4698" t="s">
        <v>5283</v>
      </c>
    </row>
    <row r="4699" spans="1:20" x14ac:dyDescent="0.25">
      <c r="A4699" t="s">
        <v>30</v>
      </c>
      <c r="B4699" t="s">
        <v>31</v>
      </c>
      <c r="C4699" t="s">
        <v>32</v>
      </c>
      <c r="D4699" t="s">
        <v>673</v>
      </c>
      <c r="E4699" t="s">
        <v>674</v>
      </c>
      <c r="F4699" t="s">
        <v>35</v>
      </c>
      <c r="G4699" t="s">
        <v>35</v>
      </c>
      <c r="H4699" t="s">
        <v>35</v>
      </c>
      <c r="J4699" t="s">
        <v>5316</v>
      </c>
      <c r="K4699" t="s">
        <v>1092</v>
      </c>
      <c r="M4699">
        <v>11.115</v>
      </c>
      <c r="N4699">
        <v>45</v>
      </c>
      <c r="O4699" t="s">
        <v>52</v>
      </c>
      <c r="Q4699" t="s">
        <v>1230</v>
      </c>
      <c r="R4699" t="s">
        <v>5281</v>
      </c>
      <c r="S4699" t="s">
        <v>5282</v>
      </c>
      <c r="T4699" t="s">
        <v>5283</v>
      </c>
    </row>
    <row r="4700" spans="1:20" x14ac:dyDescent="0.25">
      <c r="A4700" t="s">
        <v>30</v>
      </c>
      <c r="B4700" t="s">
        <v>31</v>
      </c>
      <c r="C4700" t="s">
        <v>32</v>
      </c>
      <c r="D4700" t="s">
        <v>673</v>
      </c>
      <c r="F4700" t="s">
        <v>35</v>
      </c>
      <c r="G4700" t="s">
        <v>35</v>
      </c>
      <c r="H4700" t="s">
        <v>35</v>
      </c>
      <c r="J4700" t="s">
        <v>5204</v>
      </c>
      <c r="K4700" t="s">
        <v>1092</v>
      </c>
      <c r="M4700">
        <v>0.22500000000000001</v>
      </c>
      <c r="N4700">
        <v>2666</v>
      </c>
      <c r="O4700" t="s">
        <v>575</v>
      </c>
      <c r="Q4700" t="s">
        <v>1486</v>
      </c>
      <c r="R4700" t="s">
        <v>1487</v>
      </c>
      <c r="S4700" t="s">
        <v>1488</v>
      </c>
    </row>
    <row r="4701" spans="1:20" x14ac:dyDescent="0.25">
      <c r="A4701" t="s">
        <v>30</v>
      </c>
      <c r="B4701" t="s">
        <v>31</v>
      </c>
      <c r="C4701" t="s">
        <v>32</v>
      </c>
      <c r="D4701" t="s">
        <v>673</v>
      </c>
      <c r="E4701" t="s">
        <v>674</v>
      </c>
      <c r="F4701" t="s">
        <v>35</v>
      </c>
      <c r="G4701" t="s">
        <v>35</v>
      </c>
      <c r="H4701" t="s">
        <v>35</v>
      </c>
      <c r="J4701" t="s">
        <v>680</v>
      </c>
      <c r="K4701" t="s">
        <v>37</v>
      </c>
      <c r="M4701">
        <v>11.025</v>
      </c>
      <c r="N4701">
        <v>44</v>
      </c>
      <c r="O4701" t="s">
        <v>52</v>
      </c>
      <c r="P4701" t="s">
        <v>682</v>
      </c>
      <c r="Q4701" t="s">
        <v>54</v>
      </c>
      <c r="R4701" t="s">
        <v>489</v>
      </c>
      <c r="S4701" t="s">
        <v>490</v>
      </c>
      <c r="T4701" t="s">
        <v>491</v>
      </c>
    </row>
    <row r="4702" spans="1:20" x14ac:dyDescent="0.25">
      <c r="A4702" t="s">
        <v>30</v>
      </c>
      <c r="B4702" t="s">
        <v>31</v>
      </c>
      <c r="C4702" t="s">
        <v>32</v>
      </c>
      <c r="D4702" t="s">
        <v>673</v>
      </c>
      <c r="E4702" t="s">
        <v>674</v>
      </c>
      <c r="F4702" t="s">
        <v>35</v>
      </c>
      <c r="G4702" t="s">
        <v>35</v>
      </c>
      <c r="H4702" t="s">
        <v>35</v>
      </c>
      <c r="J4702" t="s">
        <v>680</v>
      </c>
      <c r="K4702" t="s">
        <v>37</v>
      </c>
      <c r="M4702">
        <v>11.025</v>
      </c>
      <c r="N4702">
        <v>44</v>
      </c>
      <c r="O4702" t="s">
        <v>52</v>
      </c>
      <c r="P4702" t="s">
        <v>683</v>
      </c>
      <c r="Q4702" t="s">
        <v>54</v>
      </c>
      <c r="R4702" t="s">
        <v>489</v>
      </c>
      <c r="S4702" t="s">
        <v>490</v>
      </c>
      <c r="T4702" t="s">
        <v>491</v>
      </c>
    </row>
    <row r="4703" spans="1:20" x14ac:dyDescent="0.25">
      <c r="A4703" t="s">
        <v>30</v>
      </c>
      <c r="B4703" t="s">
        <v>31</v>
      </c>
      <c r="C4703" t="s">
        <v>32</v>
      </c>
      <c r="D4703" t="s">
        <v>673</v>
      </c>
      <c r="E4703" t="s">
        <v>674</v>
      </c>
      <c r="F4703" t="s">
        <v>35</v>
      </c>
      <c r="G4703" t="s">
        <v>35</v>
      </c>
      <c r="H4703" t="s">
        <v>35</v>
      </c>
      <c r="J4703" t="s">
        <v>680</v>
      </c>
      <c r="K4703" t="s">
        <v>37</v>
      </c>
      <c r="M4703">
        <v>11.025</v>
      </c>
      <c r="N4703">
        <v>44</v>
      </c>
      <c r="O4703" t="s">
        <v>52</v>
      </c>
      <c r="P4703" t="s">
        <v>684</v>
      </c>
      <c r="Q4703" t="s">
        <v>54</v>
      </c>
      <c r="R4703" t="s">
        <v>489</v>
      </c>
      <c r="S4703" t="s">
        <v>490</v>
      </c>
      <c r="T4703" t="s">
        <v>491</v>
      </c>
    </row>
    <row r="4704" spans="1:20" x14ac:dyDescent="0.25">
      <c r="A4704" t="s">
        <v>30</v>
      </c>
      <c r="B4704" t="s">
        <v>31</v>
      </c>
      <c r="C4704" t="s">
        <v>32</v>
      </c>
      <c r="D4704" t="s">
        <v>673</v>
      </c>
      <c r="E4704" t="s">
        <v>674</v>
      </c>
      <c r="F4704" t="s">
        <v>35</v>
      </c>
      <c r="G4704" t="s">
        <v>35</v>
      </c>
      <c r="H4704" t="s">
        <v>35</v>
      </c>
      <c r="J4704" t="s">
        <v>680</v>
      </c>
      <c r="K4704" t="s">
        <v>37</v>
      </c>
      <c r="M4704">
        <v>11.025</v>
      </c>
      <c r="N4704">
        <v>44</v>
      </c>
      <c r="O4704" t="s">
        <v>52</v>
      </c>
      <c r="P4704" t="s">
        <v>686</v>
      </c>
      <c r="Q4704" t="s">
        <v>54</v>
      </c>
      <c r="R4704" t="s">
        <v>489</v>
      </c>
      <c r="S4704" t="s">
        <v>490</v>
      </c>
      <c r="T4704" t="s">
        <v>491</v>
      </c>
    </row>
    <row r="4705" spans="1:20" x14ac:dyDescent="0.25">
      <c r="A4705" t="s">
        <v>30</v>
      </c>
      <c r="B4705" t="s">
        <v>31</v>
      </c>
      <c r="C4705" t="s">
        <v>32</v>
      </c>
      <c r="D4705" t="s">
        <v>673</v>
      </c>
      <c r="E4705" t="s">
        <v>674</v>
      </c>
      <c r="F4705" t="s">
        <v>35</v>
      </c>
      <c r="G4705" t="s">
        <v>35</v>
      </c>
      <c r="H4705" t="s">
        <v>35</v>
      </c>
      <c r="J4705" t="s">
        <v>680</v>
      </c>
      <c r="K4705" t="s">
        <v>37</v>
      </c>
      <c r="M4705">
        <v>8.7750000000000004</v>
      </c>
      <c r="N4705">
        <v>44</v>
      </c>
      <c r="O4705" t="s">
        <v>52</v>
      </c>
      <c r="P4705" t="s">
        <v>687</v>
      </c>
      <c r="Q4705" t="s">
        <v>54</v>
      </c>
      <c r="R4705" t="s">
        <v>489</v>
      </c>
      <c r="S4705" t="s">
        <v>490</v>
      </c>
      <c r="T4705" t="s">
        <v>491</v>
      </c>
    </row>
    <row r="4706" spans="1:20" x14ac:dyDescent="0.25">
      <c r="A4706" t="s">
        <v>30</v>
      </c>
      <c r="B4706" t="s">
        <v>31</v>
      </c>
      <c r="C4706" t="s">
        <v>32</v>
      </c>
      <c r="D4706" t="s">
        <v>673</v>
      </c>
      <c r="E4706" t="s">
        <v>674</v>
      </c>
      <c r="F4706" t="s">
        <v>35</v>
      </c>
      <c r="G4706" t="s">
        <v>35</v>
      </c>
      <c r="H4706" t="s">
        <v>35</v>
      </c>
      <c r="J4706" t="s">
        <v>680</v>
      </c>
      <c r="K4706" t="s">
        <v>37</v>
      </c>
      <c r="M4706">
        <v>11.025</v>
      </c>
      <c r="N4706">
        <v>44</v>
      </c>
      <c r="O4706" t="s">
        <v>52</v>
      </c>
      <c r="P4706" t="s">
        <v>688</v>
      </c>
      <c r="Q4706" t="s">
        <v>54</v>
      </c>
      <c r="R4706" t="s">
        <v>489</v>
      </c>
      <c r="S4706" t="s">
        <v>490</v>
      </c>
      <c r="T4706" t="s">
        <v>491</v>
      </c>
    </row>
    <row r="4707" spans="1:20" x14ac:dyDescent="0.25">
      <c r="A4707" t="s">
        <v>30</v>
      </c>
      <c r="B4707" t="s">
        <v>31</v>
      </c>
      <c r="C4707" t="s">
        <v>32</v>
      </c>
      <c r="D4707" t="s">
        <v>673</v>
      </c>
      <c r="E4707" t="s">
        <v>674</v>
      </c>
      <c r="F4707" t="s">
        <v>35</v>
      </c>
      <c r="G4707" t="s">
        <v>35</v>
      </c>
      <c r="H4707" t="s">
        <v>35</v>
      </c>
      <c r="J4707" t="s">
        <v>680</v>
      </c>
      <c r="K4707" t="s">
        <v>37</v>
      </c>
      <c r="M4707">
        <v>11.025</v>
      </c>
      <c r="N4707">
        <v>44</v>
      </c>
      <c r="O4707" t="s">
        <v>52</v>
      </c>
      <c r="P4707" t="s">
        <v>689</v>
      </c>
      <c r="Q4707" t="s">
        <v>54</v>
      </c>
      <c r="R4707" t="s">
        <v>489</v>
      </c>
      <c r="S4707" t="s">
        <v>490</v>
      </c>
      <c r="T4707" t="s">
        <v>491</v>
      </c>
    </row>
    <row r="4708" spans="1:20" x14ac:dyDescent="0.25">
      <c r="A4708" t="s">
        <v>30</v>
      </c>
      <c r="B4708" t="s">
        <v>31</v>
      </c>
      <c r="C4708" t="s">
        <v>32</v>
      </c>
      <c r="D4708" t="s">
        <v>673</v>
      </c>
      <c r="E4708" t="s">
        <v>674</v>
      </c>
      <c r="F4708" t="s">
        <v>35</v>
      </c>
      <c r="G4708" t="s">
        <v>35</v>
      </c>
      <c r="H4708" t="s">
        <v>35</v>
      </c>
      <c r="J4708" t="s">
        <v>680</v>
      </c>
      <c r="K4708" t="s">
        <v>37</v>
      </c>
      <c r="M4708">
        <v>11.025</v>
      </c>
      <c r="N4708">
        <v>44</v>
      </c>
      <c r="O4708" t="s">
        <v>52</v>
      </c>
      <c r="P4708" t="s">
        <v>690</v>
      </c>
      <c r="Q4708" t="s">
        <v>54</v>
      </c>
      <c r="R4708" t="s">
        <v>489</v>
      </c>
      <c r="S4708" t="s">
        <v>490</v>
      </c>
      <c r="T4708" t="s">
        <v>491</v>
      </c>
    </row>
    <row r="4709" spans="1:20" x14ac:dyDescent="0.25">
      <c r="A4709" t="s">
        <v>59</v>
      </c>
      <c r="B4709" t="s">
        <v>60</v>
      </c>
      <c r="C4709" t="s">
        <v>32</v>
      </c>
      <c r="D4709" t="s">
        <v>673</v>
      </c>
      <c r="E4709" t="s">
        <v>707</v>
      </c>
      <c r="F4709" t="s">
        <v>35</v>
      </c>
      <c r="G4709" t="s">
        <v>35</v>
      </c>
      <c r="H4709" t="s">
        <v>35</v>
      </c>
      <c r="J4709" t="s">
        <v>711</v>
      </c>
      <c r="K4709" t="s">
        <v>37</v>
      </c>
      <c r="M4709">
        <v>4.25</v>
      </c>
      <c r="N4709">
        <v>67</v>
      </c>
      <c r="O4709" t="s">
        <v>61</v>
      </c>
      <c r="P4709" t="s">
        <v>713</v>
      </c>
      <c r="Q4709" t="s">
        <v>488</v>
      </c>
      <c r="R4709" t="s">
        <v>489</v>
      </c>
      <c r="S4709" t="s">
        <v>490</v>
      </c>
      <c r="T4709" t="s">
        <v>491</v>
      </c>
    </row>
    <row r="4710" spans="1:20" x14ac:dyDescent="0.25">
      <c r="A4710" t="s">
        <v>30</v>
      </c>
      <c r="B4710" t="s">
        <v>31</v>
      </c>
      <c r="C4710" t="s">
        <v>32</v>
      </c>
      <c r="D4710" t="s">
        <v>673</v>
      </c>
      <c r="E4710" t="s">
        <v>707</v>
      </c>
      <c r="F4710" t="s">
        <v>35</v>
      </c>
      <c r="G4710" t="s">
        <v>35</v>
      </c>
      <c r="H4710" t="s">
        <v>35</v>
      </c>
      <c r="J4710" t="s">
        <v>711</v>
      </c>
      <c r="K4710" t="s">
        <v>37</v>
      </c>
      <c r="M4710">
        <v>2.3849999999999998</v>
      </c>
      <c r="N4710">
        <v>44</v>
      </c>
      <c r="O4710" t="s">
        <v>52</v>
      </c>
      <c r="P4710" t="s">
        <v>714</v>
      </c>
      <c r="Q4710" t="s">
        <v>54</v>
      </c>
      <c r="R4710" t="s">
        <v>489</v>
      </c>
      <c r="S4710" t="s">
        <v>490</v>
      </c>
      <c r="T4710" t="s">
        <v>491</v>
      </c>
    </row>
    <row r="4711" spans="1:20" x14ac:dyDescent="0.25">
      <c r="A4711" t="s">
        <v>30</v>
      </c>
      <c r="B4711" t="s">
        <v>31</v>
      </c>
      <c r="C4711" t="s">
        <v>32</v>
      </c>
      <c r="D4711" t="s">
        <v>673</v>
      </c>
      <c r="E4711" t="s">
        <v>707</v>
      </c>
      <c r="F4711" t="s">
        <v>35</v>
      </c>
      <c r="G4711" t="s">
        <v>35</v>
      </c>
      <c r="H4711" t="s">
        <v>35</v>
      </c>
      <c r="J4711" t="s">
        <v>711</v>
      </c>
      <c r="K4711" t="s">
        <v>37</v>
      </c>
      <c r="M4711">
        <v>6.4349999999999996</v>
      </c>
      <c r="N4711">
        <v>38</v>
      </c>
      <c r="O4711" t="s">
        <v>52</v>
      </c>
      <c r="P4711" t="s">
        <v>715</v>
      </c>
      <c r="Q4711" t="s">
        <v>716</v>
      </c>
      <c r="R4711" t="s">
        <v>489</v>
      </c>
      <c r="S4711" t="s">
        <v>490</v>
      </c>
      <c r="T4711" t="s">
        <v>491</v>
      </c>
    </row>
    <row r="4712" spans="1:20" x14ac:dyDescent="0.25">
      <c r="A4712" t="s">
        <v>30</v>
      </c>
      <c r="B4712" t="s">
        <v>31</v>
      </c>
      <c r="C4712" t="s">
        <v>32</v>
      </c>
      <c r="D4712" t="s">
        <v>673</v>
      </c>
      <c r="E4712" t="s">
        <v>707</v>
      </c>
      <c r="F4712" t="s">
        <v>35</v>
      </c>
      <c r="G4712" t="s">
        <v>35</v>
      </c>
      <c r="H4712" t="s">
        <v>35</v>
      </c>
      <c r="J4712" t="s">
        <v>5388</v>
      </c>
      <c r="K4712" t="s">
        <v>1092</v>
      </c>
      <c r="M4712">
        <v>0.45</v>
      </c>
      <c r="N4712">
        <v>117</v>
      </c>
      <c r="O4712" t="s">
        <v>106</v>
      </c>
      <c r="Q4712" t="s">
        <v>406</v>
      </c>
      <c r="R4712" t="s">
        <v>315</v>
      </c>
      <c r="S4712" t="s">
        <v>316</v>
      </c>
      <c r="T4712" t="s">
        <v>317</v>
      </c>
    </row>
    <row r="4713" spans="1:20" x14ac:dyDescent="0.25">
      <c r="A4713" t="s">
        <v>30</v>
      </c>
      <c r="B4713" t="s">
        <v>31</v>
      </c>
      <c r="C4713" t="s">
        <v>32</v>
      </c>
      <c r="D4713" t="s">
        <v>673</v>
      </c>
      <c r="E4713" t="s">
        <v>707</v>
      </c>
      <c r="F4713" t="s">
        <v>35</v>
      </c>
      <c r="G4713" t="s">
        <v>35</v>
      </c>
      <c r="H4713" t="s">
        <v>35</v>
      </c>
      <c r="J4713" t="s">
        <v>5383</v>
      </c>
      <c r="K4713" t="s">
        <v>1092</v>
      </c>
      <c r="M4713">
        <v>5.625</v>
      </c>
      <c r="N4713">
        <v>46</v>
      </c>
      <c r="O4713" t="s">
        <v>52</v>
      </c>
      <c r="Q4713" t="s">
        <v>332</v>
      </c>
      <c r="R4713" t="s">
        <v>315</v>
      </c>
      <c r="S4713" t="s">
        <v>316</v>
      </c>
      <c r="T4713" t="s">
        <v>317</v>
      </c>
    </row>
    <row r="4714" spans="1:20" x14ac:dyDescent="0.25">
      <c r="A4714" t="s">
        <v>30</v>
      </c>
      <c r="B4714" t="s">
        <v>31</v>
      </c>
      <c r="C4714" t="s">
        <v>32</v>
      </c>
      <c r="D4714" t="s">
        <v>673</v>
      </c>
      <c r="E4714" t="s">
        <v>674</v>
      </c>
      <c r="F4714" t="s">
        <v>35</v>
      </c>
      <c r="G4714" t="s">
        <v>35</v>
      </c>
      <c r="H4714" t="s">
        <v>35</v>
      </c>
      <c r="J4714" t="s">
        <v>4291</v>
      </c>
      <c r="K4714" t="s">
        <v>1092</v>
      </c>
      <c r="M4714">
        <v>22.05</v>
      </c>
      <c r="N4714">
        <v>46</v>
      </c>
      <c r="O4714" t="s">
        <v>52</v>
      </c>
      <c r="Q4714" t="s">
        <v>332</v>
      </c>
      <c r="R4714" t="s">
        <v>315</v>
      </c>
      <c r="S4714" t="s">
        <v>316</v>
      </c>
      <c r="T4714" t="s">
        <v>317</v>
      </c>
    </row>
    <row r="4715" spans="1:20" x14ac:dyDescent="0.25">
      <c r="A4715" t="s">
        <v>30</v>
      </c>
      <c r="B4715" t="s">
        <v>31</v>
      </c>
      <c r="C4715" t="s">
        <v>32</v>
      </c>
      <c r="D4715" t="s">
        <v>673</v>
      </c>
      <c r="E4715" t="s">
        <v>674</v>
      </c>
      <c r="F4715" t="s">
        <v>35</v>
      </c>
      <c r="G4715" t="s">
        <v>35</v>
      </c>
      <c r="H4715" t="s">
        <v>35</v>
      </c>
      <c r="J4715" t="s">
        <v>4291</v>
      </c>
      <c r="K4715" t="s">
        <v>1092</v>
      </c>
      <c r="M4715">
        <v>1.53</v>
      </c>
      <c r="N4715">
        <v>88</v>
      </c>
      <c r="O4715" t="s">
        <v>61</v>
      </c>
      <c r="Q4715" t="s">
        <v>724</v>
      </c>
      <c r="R4715" t="s">
        <v>315</v>
      </c>
      <c r="S4715" t="s">
        <v>316</v>
      </c>
      <c r="T4715" t="s">
        <v>317</v>
      </c>
    </row>
    <row r="4716" spans="1:20" x14ac:dyDescent="0.25">
      <c r="A4716" t="s">
        <v>59</v>
      </c>
      <c r="B4716" t="s">
        <v>60</v>
      </c>
      <c r="C4716" t="s">
        <v>32</v>
      </c>
      <c r="D4716" t="s">
        <v>673</v>
      </c>
      <c r="E4716" t="s">
        <v>673</v>
      </c>
      <c r="F4716" t="s">
        <v>35</v>
      </c>
      <c r="G4716" t="s">
        <v>35</v>
      </c>
      <c r="H4716" t="s">
        <v>35</v>
      </c>
      <c r="J4716" t="s">
        <v>5278</v>
      </c>
      <c r="K4716" t="s">
        <v>1092</v>
      </c>
      <c r="M4716">
        <v>1.2</v>
      </c>
      <c r="N4716">
        <v>74</v>
      </c>
      <c r="O4716" t="s">
        <v>61</v>
      </c>
      <c r="Q4716" t="s">
        <v>527</v>
      </c>
      <c r="R4716" t="s">
        <v>315</v>
      </c>
      <c r="S4716" t="s">
        <v>316</v>
      </c>
      <c r="T4716" t="s">
        <v>317</v>
      </c>
    </row>
    <row r="4717" spans="1:20" x14ac:dyDescent="0.25">
      <c r="A4717" t="s">
        <v>59</v>
      </c>
      <c r="B4717" t="s">
        <v>60</v>
      </c>
      <c r="C4717" t="s">
        <v>32</v>
      </c>
      <c r="D4717" t="s">
        <v>673</v>
      </c>
      <c r="E4717" t="s">
        <v>673</v>
      </c>
      <c r="F4717" t="s">
        <v>35</v>
      </c>
      <c r="G4717" t="s">
        <v>35</v>
      </c>
      <c r="H4717" t="s">
        <v>35</v>
      </c>
      <c r="J4717" t="s">
        <v>5278</v>
      </c>
      <c r="K4717" t="s">
        <v>1092</v>
      </c>
      <c r="M4717">
        <v>1.5</v>
      </c>
      <c r="N4717">
        <v>14</v>
      </c>
      <c r="O4717" t="s">
        <v>46</v>
      </c>
      <c r="Q4717" t="s">
        <v>1874</v>
      </c>
      <c r="R4717" t="s">
        <v>315</v>
      </c>
      <c r="S4717" t="s">
        <v>316</v>
      </c>
      <c r="T4717" t="s">
        <v>317</v>
      </c>
    </row>
    <row r="4718" spans="1:20" x14ac:dyDescent="0.25">
      <c r="A4718" t="s">
        <v>30</v>
      </c>
      <c r="B4718" t="s">
        <v>31</v>
      </c>
      <c r="C4718" t="s">
        <v>32</v>
      </c>
      <c r="D4718" t="s">
        <v>673</v>
      </c>
      <c r="F4718" t="s">
        <v>35</v>
      </c>
      <c r="G4718" t="s">
        <v>35</v>
      </c>
      <c r="H4718" t="s">
        <v>35</v>
      </c>
      <c r="J4718" t="s">
        <v>5398</v>
      </c>
      <c r="K4718" t="s">
        <v>1092</v>
      </c>
      <c r="M4718">
        <v>2.52</v>
      </c>
      <c r="N4718">
        <v>46</v>
      </c>
      <c r="O4718" t="s">
        <v>52</v>
      </c>
      <c r="Q4718" t="s">
        <v>332</v>
      </c>
      <c r="R4718" t="s">
        <v>315</v>
      </c>
      <c r="S4718" t="s">
        <v>316</v>
      </c>
      <c r="T4718" t="s">
        <v>317</v>
      </c>
    </row>
    <row r="4719" spans="1:20" x14ac:dyDescent="0.25">
      <c r="A4719" t="s">
        <v>59</v>
      </c>
      <c r="B4719" t="s">
        <v>60</v>
      </c>
      <c r="C4719" t="s">
        <v>32</v>
      </c>
      <c r="D4719" t="s">
        <v>673</v>
      </c>
      <c r="F4719" t="s">
        <v>35</v>
      </c>
      <c r="G4719" t="s">
        <v>35</v>
      </c>
      <c r="H4719" t="s">
        <v>35</v>
      </c>
      <c r="J4719" t="s">
        <v>5398</v>
      </c>
      <c r="K4719" t="s">
        <v>1092</v>
      </c>
      <c r="M4719">
        <v>4.4000000000000004</v>
      </c>
      <c r="N4719">
        <v>74</v>
      </c>
      <c r="O4719" t="s">
        <v>61</v>
      </c>
      <c r="Q4719" t="s">
        <v>527</v>
      </c>
      <c r="R4719" t="s">
        <v>315</v>
      </c>
      <c r="S4719" t="s">
        <v>316</v>
      </c>
      <c r="T4719" t="s">
        <v>317</v>
      </c>
    </row>
    <row r="4720" spans="1:20" x14ac:dyDescent="0.25">
      <c r="A4720" t="s">
        <v>30</v>
      </c>
      <c r="B4720" t="s">
        <v>31</v>
      </c>
      <c r="C4720" t="s">
        <v>32</v>
      </c>
      <c r="D4720" t="s">
        <v>673</v>
      </c>
      <c r="E4720" t="s">
        <v>691</v>
      </c>
      <c r="F4720" t="s">
        <v>35</v>
      </c>
      <c r="G4720" t="s">
        <v>35</v>
      </c>
      <c r="H4720" t="s">
        <v>35</v>
      </c>
      <c r="J4720" t="s">
        <v>5325</v>
      </c>
      <c r="K4720" t="s">
        <v>1092</v>
      </c>
      <c r="M4720">
        <v>2.0699999999999998</v>
      </c>
      <c r="N4720">
        <v>46</v>
      </c>
      <c r="O4720" t="s">
        <v>52</v>
      </c>
      <c r="Q4720" t="s">
        <v>332</v>
      </c>
      <c r="R4720" t="s">
        <v>315</v>
      </c>
      <c r="S4720" t="s">
        <v>316</v>
      </c>
      <c r="T4720" t="s">
        <v>317</v>
      </c>
    </row>
    <row r="4721" spans="1:20" x14ac:dyDescent="0.25">
      <c r="A4721" t="s">
        <v>59</v>
      </c>
      <c r="B4721" t="s">
        <v>60</v>
      </c>
      <c r="C4721" t="s">
        <v>32</v>
      </c>
      <c r="D4721" t="s">
        <v>673</v>
      </c>
      <c r="E4721" t="s">
        <v>674</v>
      </c>
      <c r="F4721" t="s">
        <v>35</v>
      </c>
      <c r="G4721" t="s">
        <v>35</v>
      </c>
      <c r="H4721" t="s">
        <v>35</v>
      </c>
      <c r="J4721" t="s">
        <v>5315</v>
      </c>
      <c r="K4721" t="s">
        <v>1092</v>
      </c>
      <c r="M4721">
        <v>2</v>
      </c>
      <c r="N4721">
        <v>74</v>
      </c>
      <c r="O4721" t="s">
        <v>61</v>
      </c>
      <c r="Q4721" t="s">
        <v>527</v>
      </c>
      <c r="R4721" t="s">
        <v>315</v>
      </c>
      <c r="S4721" t="s">
        <v>316</v>
      </c>
      <c r="T4721" t="s">
        <v>317</v>
      </c>
    </row>
    <row r="4722" spans="1:20" x14ac:dyDescent="0.25">
      <c r="A4722" t="s">
        <v>59</v>
      </c>
      <c r="B4722" t="s">
        <v>60</v>
      </c>
      <c r="C4722" t="s">
        <v>32</v>
      </c>
      <c r="D4722" t="s">
        <v>673</v>
      </c>
      <c r="E4722" t="s">
        <v>673</v>
      </c>
      <c r="F4722" t="s">
        <v>35</v>
      </c>
      <c r="G4722" t="s">
        <v>35</v>
      </c>
      <c r="H4722" t="s">
        <v>35</v>
      </c>
      <c r="J4722" t="s">
        <v>5306</v>
      </c>
      <c r="K4722" t="s">
        <v>1092</v>
      </c>
      <c r="M4722">
        <v>0.25</v>
      </c>
      <c r="N4722">
        <v>34</v>
      </c>
      <c r="O4722" t="s">
        <v>52</v>
      </c>
      <c r="Q4722" t="s">
        <v>249</v>
      </c>
      <c r="R4722" t="s">
        <v>315</v>
      </c>
      <c r="S4722" t="s">
        <v>316</v>
      </c>
      <c r="T4722" t="s">
        <v>317</v>
      </c>
    </row>
    <row r="4723" spans="1:20" x14ac:dyDescent="0.25">
      <c r="A4723" t="s">
        <v>59</v>
      </c>
      <c r="B4723" t="s">
        <v>31</v>
      </c>
      <c r="C4723" t="s">
        <v>32</v>
      </c>
      <c r="D4723" t="s">
        <v>673</v>
      </c>
      <c r="E4723" t="s">
        <v>673</v>
      </c>
      <c r="F4723" t="s">
        <v>35</v>
      </c>
      <c r="G4723" t="s">
        <v>35</v>
      </c>
      <c r="H4723" t="s">
        <v>35</v>
      </c>
      <c r="J4723" t="s">
        <v>5306</v>
      </c>
      <c r="K4723" t="s">
        <v>1092</v>
      </c>
      <c r="M4723">
        <v>0.315</v>
      </c>
      <c r="N4723">
        <v>73</v>
      </c>
      <c r="O4723" t="s">
        <v>61</v>
      </c>
      <c r="Q4723" t="s">
        <v>477</v>
      </c>
      <c r="R4723" t="s">
        <v>315</v>
      </c>
      <c r="S4723" t="s">
        <v>316</v>
      </c>
      <c r="T4723" t="s">
        <v>317</v>
      </c>
    </row>
    <row r="4724" spans="1:20" x14ac:dyDescent="0.25">
      <c r="A4724" t="s">
        <v>30</v>
      </c>
      <c r="B4724" t="s">
        <v>31</v>
      </c>
      <c r="C4724" t="s">
        <v>32</v>
      </c>
      <c r="D4724" t="s">
        <v>673</v>
      </c>
      <c r="F4724" t="s">
        <v>35</v>
      </c>
      <c r="G4724" t="s">
        <v>35</v>
      </c>
      <c r="H4724" t="s">
        <v>35</v>
      </c>
      <c r="J4724" t="s">
        <v>5413</v>
      </c>
      <c r="K4724" t="s">
        <v>1092</v>
      </c>
      <c r="M4724">
        <v>2.3849999999999998</v>
      </c>
      <c r="N4724">
        <v>2532</v>
      </c>
      <c r="O4724" t="s">
        <v>575</v>
      </c>
      <c r="Q4724" t="s">
        <v>5414</v>
      </c>
      <c r="R4724" t="s">
        <v>315</v>
      </c>
      <c r="S4724" t="s">
        <v>316</v>
      </c>
      <c r="T4724" t="s">
        <v>317</v>
      </c>
    </row>
    <row r="4725" spans="1:20" x14ac:dyDescent="0.25">
      <c r="A4725" t="s">
        <v>30</v>
      </c>
      <c r="B4725" t="s">
        <v>31</v>
      </c>
      <c r="C4725" t="s">
        <v>32</v>
      </c>
      <c r="D4725" t="s">
        <v>673</v>
      </c>
      <c r="E4725" t="s">
        <v>691</v>
      </c>
      <c r="F4725" t="s">
        <v>35</v>
      </c>
      <c r="G4725" t="s">
        <v>35</v>
      </c>
      <c r="H4725" t="s">
        <v>35</v>
      </c>
      <c r="J4725" t="s">
        <v>5326</v>
      </c>
      <c r="K4725" t="s">
        <v>1092</v>
      </c>
      <c r="M4725">
        <v>3.4649999999999999</v>
      </c>
      <c r="N4725">
        <v>46</v>
      </c>
      <c r="O4725" t="s">
        <v>52</v>
      </c>
      <c r="Q4725" t="s">
        <v>332</v>
      </c>
      <c r="R4725" t="s">
        <v>315</v>
      </c>
      <c r="S4725" t="s">
        <v>316</v>
      </c>
      <c r="T4725" t="s">
        <v>317</v>
      </c>
    </row>
    <row r="4726" spans="1:20" x14ac:dyDescent="0.25">
      <c r="A4726" t="s">
        <v>30</v>
      </c>
      <c r="B4726" t="s">
        <v>31</v>
      </c>
      <c r="C4726" t="s">
        <v>32</v>
      </c>
      <c r="D4726" t="s">
        <v>673</v>
      </c>
      <c r="E4726" t="s">
        <v>707</v>
      </c>
      <c r="F4726" t="s">
        <v>35</v>
      </c>
      <c r="G4726" t="s">
        <v>35</v>
      </c>
      <c r="H4726" t="s">
        <v>35</v>
      </c>
      <c r="J4726" t="s">
        <v>5384</v>
      </c>
      <c r="K4726" t="s">
        <v>1092</v>
      </c>
      <c r="M4726">
        <v>0.36</v>
      </c>
      <c r="N4726">
        <v>46</v>
      </c>
      <c r="O4726" t="s">
        <v>52</v>
      </c>
      <c r="Q4726" t="s">
        <v>332</v>
      </c>
      <c r="R4726" t="s">
        <v>315</v>
      </c>
      <c r="S4726" t="s">
        <v>316</v>
      </c>
      <c r="T4726" t="s">
        <v>317</v>
      </c>
    </row>
    <row r="4727" spans="1:20" x14ac:dyDescent="0.25">
      <c r="A4727" t="s">
        <v>59</v>
      </c>
      <c r="B4727" t="s">
        <v>31</v>
      </c>
      <c r="C4727" t="s">
        <v>32</v>
      </c>
      <c r="D4727" t="s">
        <v>673</v>
      </c>
      <c r="E4727" t="s">
        <v>673</v>
      </c>
      <c r="F4727" t="s">
        <v>35</v>
      </c>
      <c r="G4727" t="s">
        <v>35</v>
      </c>
      <c r="H4727" t="s">
        <v>35</v>
      </c>
      <c r="J4727" t="s">
        <v>5297</v>
      </c>
      <c r="K4727" t="s">
        <v>1092</v>
      </c>
      <c r="M4727">
        <v>0.54</v>
      </c>
      <c r="N4727">
        <v>332</v>
      </c>
      <c r="O4727" t="s">
        <v>5</v>
      </c>
      <c r="Q4727" t="s">
        <v>5298</v>
      </c>
      <c r="R4727" t="s">
        <v>315</v>
      </c>
      <c r="S4727" t="s">
        <v>316</v>
      </c>
      <c r="T4727" t="s">
        <v>317</v>
      </c>
    </row>
    <row r="4728" spans="1:20" x14ac:dyDescent="0.25">
      <c r="A4728" t="s">
        <v>30</v>
      </c>
      <c r="B4728" t="s">
        <v>31</v>
      </c>
      <c r="C4728" t="s">
        <v>32</v>
      </c>
      <c r="D4728" t="s">
        <v>673</v>
      </c>
      <c r="E4728" t="s">
        <v>717</v>
      </c>
      <c r="F4728" t="s">
        <v>35</v>
      </c>
      <c r="G4728" t="s">
        <v>35</v>
      </c>
      <c r="H4728" t="s">
        <v>35</v>
      </c>
      <c r="J4728" t="s">
        <v>5395</v>
      </c>
      <c r="K4728" t="s">
        <v>1092</v>
      </c>
      <c r="M4728">
        <v>1.125</v>
      </c>
      <c r="N4728">
        <v>34</v>
      </c>
      <c r="O4728" t="s">
        <v>52</v>
      </c>
      <c r="Q4728" t="s">
        <v>249</v>
      </c>
      <c r="R4728" t="s">
        <v>315</v>
      </c>
      <c r="S4728" t="s">
        <v>316</v>
      </c>
      <c r="T4728" t="s">
        <v>317</v>
      </c>
    </row>
    <row r="4729" spans="1:20" x14ac:dyDescent="0.25">
      <c r="A4729" t="s">
        <v>30</v>
      </c>
      <c r="B4729" t="s">
        <v>31</v>
      </c>
      <c r="C4729" t="s">
        <v>32</v>
      </c>
      <c r="D4729" t="s">
        <v>673</v>
      </c>
      <c r="F4729" t="s">
        <v>35</v>
      </c>
      <c r="G4729" t="s">
        <v>35</v>
      </c>
      <c r="H4729" t="s">
        <v>35</v>
      </c>
      <c r="J4729" t="s">
        <v>5415</v>
      </c>
      <c r="K4729" t="s">
        <v>1092</v>
      </c>
      <c r="M4729">
        <v>3.33</v>
      </c>
      <c r="N4729">
        <v>46</v>
      </c>
      <c r="O4729" t="s">
        <v>52</v>
      </c>
      <c r="Q4729" t="s">
        <v>332</v>
      </c>
      <c r="R4729" t="s">
        <v>315</v>
      </c>
      <c r="S4729" t="s">
        <v>316</v>
      </c>
      <c r="T4729" t="s">
        <v>317</v>
      </c>
    </row>
    <row r="4730" spans="1:20" x14ac:dyDescent="0.25">
      <c r="A4730" t="s">
        <v>59</v>
      </c>
      <c r="B4730" t="s">
        <v>31</v>
      </c>
      <c r="C4730" t="s">
        <v>32</v>
      </c>
      <c r="D4730" t="s">
        <v>673</v>
      </c>
      <c r="E4730" t="s">
        <v>673</v>
      </c>
      <c r="F4730" t="s">
        <v>35</v>
      </c>
      <c r="G4730" t="s">
        <v>35</v>
      </c>
      <c r="H4730" t="s">
        <v>35</v>
      </c>
      <c r="J4730" t="s">
        <v>5296</v>
      </c>
      <c r="K4730" t="s">
        <v>1092</v>
      </c>
      <c r="M4730">
        <v>0.40500000000000003</v>
      </c>
      <c r="N4730">
        <v>68</v>
      </c>
      <c r="O4730" t="s">
        <v>61</v>
      </c>
      <c r="Q4730" t="s">
        <v>805</v>
      </c>
      <c r="R4730" t="s">
        <v>315</v>
      </c>
      <c r="S4730" t="s">
        <v>316</v>
      </c>
      <c r="T4730" t="s">
        <v>317</v>
      </c>
    </row>
    <row r="4731" spans="1:20" x14ac:dyDescent="0.25">
      <c r="A4731" t="s">
        <v>30</v>
      </c>
      <c r="B4731" t="s">
        <v>31</v>
      </c>
      <c r="C4731" t="s">
        <v>32</v>
      </c>
      <c r="D4731" t="s">
        <v>673</v>
      </c>
      <c r="E4731" t="s">
        <v>673</v>
      </c>
      <c r="F4731" t="s">
        <v>35</v>
      </c>
      <c r="G4731" t="s">
        <v>35</v>
      </c>
      <c r="H4731" t="s">
        <v>35</v>
      </c>
      <c r="J4731" t="s">
        <v>5296</v>
      </c>
      <c r="K4731" t="s">
        <v>1092</v>
      </c>
      <c r="M4731">
        <v>0.27</v>
      </c>
      <c r="N4731">
        <v>132</v>
      </c>
      <c r="O4731" t="s">
        <v>38</v>
      </c>
      <c r="Q4731" t="s">
        <v>1696</v>
      </c>
      <c r="R4731" t="s">
        <v>315</v>
      </c>
      <c r="S4731" t="s">
        <v>316</v>
      </c>
      <c r="T4731" t="s">
        <v>317</v>
      </c>
    </row>
    <row r="4732" spans="1:20" x14ac:dyDescent="0.25">
      <c r="A4732" t="s">
        <v>59</v>
      </c>
      <c r="B4732" t="s">
        <v>60</v>
      </c>
      <c r="C4732" t="s">
        <v>32</v>
      </c>
      <c r="D4732" t="s">
        <v>673</v>
      </c>
      <c r="E4732" t="s">
        <v>673</v>
      </c>
      <c r="F4732" t="s">
        <v>35</v>
      </c>
      <c r="G4732" t="s">
        <v>35</v>
      </c>
      <c r="H4732" t="s">
        <v>35</v>
      </c>
      <c r="J4732" t="s">
        <v>5285</v>
      </c>
      <c r="K4732" t="s">
        <v>1092</v>
      </c>
      <c r="M4732">
        <v>2.1999999999999999E-2</v>
      </c>
      <c r="N4732">
        <v>289</v>
      </c>
      <c r="O4732" t="s">
        <v>5</v>
      </c>
      <c r="Q4732" t="s">
        <v>4253</v>
      </c>
      <c r="R4732" t="s">
        <v>315</v>
      </c>
      <c r="S4732" t="s">
        <v>316</v>
      </c>
      <c r="T4732" t="s">
        <v>317</v>
      </c>
    </row>
    <row r="4733" spans="1:20" x14ac:dyDescent="0.25">
      <c r="A4733" t="s">
        <v>30</v>
      </c>
      <c r="B4733" t="s">
        <v>31</v>
      </c>
      <c r="C4733" t="s">
        <v>32</v>
      </c>
      <c r="D4733" t="s">
        <v>673</v>
      </c>
      <c r="E4733" t="s">
        <v>707</v>
      </c>
      <c r="F4733" t="s">
        <v>35</v>
      </c>
      <c r="G4733" t="s">
        <v>35</v>
      </c>
      <c r="H4733" t="s">
        <v>35</v>
      </c>
      <c r="J4733" t="s">
        <v>5378</v>
      </c>
      <c r="K4733" t="s">
        <v>1092</v>
      </c>
      <c r="M4733">
        <v>5.85</v>
      </c>
      <c r="N4733">
        <v>46</v>
      </c>
      <c r="O4733" t="s">
        <v>52</v>
      </c>
      <c r="Q4733" t="s">
        <v>332</v>
      </c>
      <c r="R4733" t="s">
        <v>315</v>
      </c>
      <c r="S4733" t="s">
        <v>316</v>
      </c>
      <c r="T4733" t="s">
        <v>317</v>
      </c>
    </row>
    <row r="4734" spans="1:20" x14ac:dyDescent="0.25">
      <c r="A4734" t="s">
        <v>59</v>
      </c>
      <c r="B4734" t="s">
        <v>60</v>
      </c>
      <c r="C4734" t="s">
        <v>32</v>
      </c>
      <c r="D4734" t="s">
        <v>673</v>
      </c>
      <c r="E4734" t="s">
        <v>5370</v>
      </c>
      <c r="F4734" t="s">
        <v>35</v>
      </c>
      <c r="G4734" t="s">
        <v>35</v>
      </c>
      <c r="H4734" t="s">
        <v>35</v>
      </c>
      <c r="J4734" t="s">
        <v>5372</v>
      </c>
      <c r="K4734" t="s">
        <v>1092</v>
      </c>
      <c r="M4734">
        <v>0.45</v>
      </c>
      <c r="N4734">
        <v>17</v>
      </c>
      <c r="O4734" t="s">
        <v>46</v>
      </c>
      <c r="Q4734" t="s">
        <v>255</v>
      </c>
      <c r="R4734" t="s">
        <v>315</v>
      </c>
      <c r="S4734" t="s">
        <v>316</v>
      </c>
      <c r="T4734" t="s">
        <v>317</v>
      </c>
    </row>
    <row r="4735" spans="1:20" x14ac:dyDescent="0.25">
      <c r="A4735" t="s">
        <v>59</v>
      </c>
      <c r="B4735" t="s">
        <v>31</v>
      </c>
      <c r="C4735" t="s">
        <v>32</v>
      </c>
      <c r="D4735" t="s">
        <v>673</v>
      </c>
      <c r="E4735" t="s">
        <v>707</v>
      </c>
      <c r="F4735" t="s">
        <v>35</v>
      </c>
      <c r="G4735" t="s">
        <v>35</v>
      </c>
      <c r="H4735" t="s">
        <v>35</v>
      </c>
      <c r="J4735" t="s">
        <v>3808</v>
      </c>
      <c r="K4735" t="s">
        <v>1092</v>
      </c>
      <c r="M4735">
        <v>0.495</v>
      </c>
      <c r="N4735">
        <v>68</v>
      </c>
      <c r="O4735" t="s">
        <v>61</v>
      </c>
      <c r="Q4735" t="s">
        <v>805</v>
      </c>
      <c r="R4735" t="s">
        <v>315</v>
      </c>
      <c r="S4735" t="s">
        <v>316</v>
      </c>
      <c r="T4735" t="s">
        <v>317</v>
      </c>
    </row>
    <row r="4736" spans="1:20" x14ac:dyDescent="0.25">
      <c r="A4736" t="s">
        <v>59</v>
      </c>
      <c r="B4736" t="s">
        <v>31</v>
      </c>
      <c r="C4736" t="s">
        <v>32</v>
      </c>
      <c r="D4736" t="s">
        <v>673</v>
      </c>
      <c r="E4736" t="s">
        <v>707</v>
      </c>
      <c r="F4736" t="s">
        <v>35</v>
      </c>
      <c r="G4736" t="s">
        <v>35</v>
      </c>
      <c r="H4736" t="s">
        <v>35</v>
      </c>
      <c r="J4736" t="s">
        <v>3808</v>
      </c>
      <c r="K4736" t="s">
        <v>1092</v>
      </c>
      <c r="M4736">
        <v>0.315</v>
      </c>
      <c r="N4736">
        <v>63</v>
      </c>
      <c r="O4736" t="s">
        <v>61</v>
      </c>
      <c r="Q4736" t="s">
        <v>126</v>
      </c>
      <c r="R4736" t="s">
        <v>315</v>
      </c>
      <c r="S4736" t="s">
        <v>316</v>
      </c>
      <c r="T4736" t="s">
        <v>317</v>
      </c>
    </row>
    <row r="4737" spans="1:20" x14ac:dyDescent="0.25">
      <c r="A4737" t="s">
        <v>30</v>
      </c>
      <c r="B4737" t="s">
        <v>31</v>
      </c>
      <c r="C4737" t="s">
        <v>32</v>
      </c>
      <c r="D4737" t="s">
        <v>673</v>
      </c>
      <c r="E4737" t="s">
        <v>707</v>
      </c>
      <c r="F4737" t="s">
        <v>35</v>
      </c>
      <c r="G4737" t="s">
        <v>35</v>
      </c>
      <c r="H4737" t="s">
        <v>35</v>
      </c>
      <c r="J4737" t="s">
        <v>3808</v>
      </c>
      <c r="K4737" t="s">
        <v>1092</v>
      </c>
      <c r="M4737">
        <v>0.67500000000000004</v>
      </c>
      <c r="N4737">
        <v>45</v>
      </c>
      <c r="O4737" t="s">
        <v>52</v>
      </c>
      <c r="Q4737" t="s">
        <v>1230</v>
      </c>
      <c r="R4737" t="s">
        <v>315</v>
      </c>
      <c r="S4737" t="s">
        <v>316</v>
      </c>
      <c r="T4737" t="s">
        <v>317</v>
      </c>
    </row>
    <row r="4738" spans="1:20" x14ac:dyDescent="0.25">
      <c r="A4738" t="s">
        <v>30</v>
      </c>
      <c r="B4738" t="s">
        <v>31</v>
      </c>
      <c r="C4738" t="s">
        <v>32</v>
      </c>
      <c r="D4738" t="s">
        <v>673</v>
      </c>
      <c r="E4738" t="s">
        <v>707</v>
      </c>
      <c r="F4738" t="s">
        <v>35</v>
      </c>
      <c r="G4738" t="s">
        <v>35</v>
      </c>
      <c r="H4738" t="s">
        <v>35</v>
      </c>
      <c r="J4738" t="s">
        <v>5377</v>
      </c>
      <c r="K4738" t="s">
        <v>1092</v>
      </c>
      <c r="M4738">
        <v>3.78</v>
      </c>
      <c r="N4738">
        <v>46</v>
      </c>
      <c r="O4738" t="s">
        <v>52</v>
      </c>
      <c r="Q4738" t="s">
        <v>332</v>
      </c>
      <c r="R4738" t="s">
        <v>315</v>
      </c>
      <c r="S4738" t="s">
        <v>316</v>
      </c>
      <c r="T4738" t="s">
        <v>317</v>
      </c>
    </row>
    <row r="4739" spans="1:20" x14ac:dyDescent="0.25">
      <c r="A4739" t="s">
        <v>30</v>
      </c>
      <c r="B4739" t="s">
        <v>31</v>
      </c>
      <c r="C4739" t="s">
        <v>32</v>
      </c>
      <c r="D4739" t="s">
        <v>673</v>
      </c>
      <c r="E4739" t="s">
        <v>707</v>
      </c>
      <c r="F4739" t="s">
        <v>35</v>
      </c>
      <c r="G4739" t="s">
        <v>35</v>
      </c>
      <c r="H4739" t="s">
        <v>35</v>
      </c>
      <c r="J4739" t="s">
        <v>1128</v>
      </c>
      <c r="K4739" t="s">
        <v>1092</v>
      </c>
      <c r="M4739">
        <v>0.85499999999999998</v>
      </c>
      <c r="N4739">
        <v>39</v>
      </c>
      <c r="O4739" t="s">
        <v>52</v>
      </c>
      <c r="Q4739" t="s">
        <v>493</v>
      </c>
      <c r="R4739" t="s">
        <v>315</v>
      </c>
      <c r="S4739" t="s">
        <v>316</v>
      </c>
      <c r="T4739" t="s">
        <v>317</v>
      </c>
    </row>
    <row r="4740" spans="1:20" x14ac:dyDescent="0.25">
      <c r="A4740" t="s">
        <v>59</v>
      </c>
      <c r="B4740" t="s">
        <v>60</v>
      </c>
      <c r="C4740" t="s">
        <v>32</v>
      </c>
      <c r="D4740" t="s">
        <v>673</v>
      </c>
      <c r="E4740" t="s">
        <v>707</v>
      </c>
      <c r="F4740" t="s">
        <v>35</v>
      </c>
      <c r="G4740" t="s">
        <v>35</v>
      </c>
      <c r="H4740" t="s">
        <v>35</v>
      </c>
      <c r="J4740" t="s">
        <v>1128</v>
      </c>
      <c r="K4740" t="s">
        <v>1092</v>
      </c>
      <c r="M4740">
        <v>0.5</v>
      </c>
      <c r="N4740">
        <v>25</v>
      </c>
      <c r="O4740" t="s">
        <v>46</v>
      </c>
      <c r="Q4740" t="s">
        <v>547</v>
      </c>
      <c r="R4740" t="s">
        <v>315</v>
      </c>
      <c r="S4740" t="s">
        <v>316</v>
      </c>
      <c r="T4740" t="s">
        <v>317</v>
      </c>
    </row>
    <row r="4741" spans="1:20" x14ac:dyDescent="0.25">
      <c r="A4741" t="s">
        <v>30</v>
      </c>
      <c r="B4741" t="s">
        <v>31</v>
      </c>
      <c r="C4741" t="s">
        <v>32</v>
      </c>
      <c r="D4741" t="s">
        <v>673</v>
      </c>
      <c r="E4741" t="s">
        <v>717</v>
      </c>
      <c r="F4741" t="s">
        <v>35</v>
      </c>
      <c r="G4741" t="s">
        <v>35</v>
      </c>
      <c r="H4741" t="s">
        <v>35</v>
      </c>
      <c r="J4741" t="s">
        <v>5389</v>
      </c>
      <c r="K4741" t="s">
        <v>1092</v>
      </c>
      <c r="M4741">
        <v>4.4999999999999998E-2</v>
      </c>
      <c r="N4741">
        <v>167</v>
      </c>
      <c r="O4741" t="s">
        <v>38</v>
      </c>
      <c r="Q4741" t="s">
        <v>1565</v>
      </c>
      <c r="R4741" t="s">
        <v>315</v>
      </c>
      <c r="S4741" t="s">
        <v>316</v>
      </c>
      <c r="T4741" t="s">
        <v>317</v>
      </c>
    </row>
    <row r="4742" spans="1:20" x14ac:dyDescent="0.25">
      <c r="A4742" t="s">
        <v>30</v>
      </c>
      <c r="B4742" t="s">
        <v>31</v>
      </c>
      <c r="C4742" t="s">
        <v>32</v>
      </c>
      <c r="D4742" t="s">
        <v>673</v>
      </c>
      <c r="E4742" t="s">
        <v>674</v>
      </c>
      <c r="F4742" t="s">
        <v>35</v>
      </c>
      <c r="G4742" t="s">
        <v>35</v>
      </c>
      <c r="H4742" t="s">
        <v>35</v>
      </c>
      <c r="J4742" t="s">
        <v>4958</v>
      </c>
      <c r="K4742" t="s">
        <v>1092</v>
      </c>
      <c r="M4742">
        <v>0.67500000000000004</v>
      </c>
      <c r="N4742">
        <v>45</v>
      </c>
      <c r="O4742" t="s">
        <v>52</v>
      </c>
      <c r="Q4742" t="s">
        <v>1230</v>
      </c>
      <c r="R4742" t="s">
        <v>315</v>
      </c>
      <c r="S4742" t="s">
        <v>316</v>
      </c>
      <c r="T4742" t="s">
        <v>317</v>
      </c>
    </row>
    <row r="4743" spans="1:20" x14ac:dyDescent="0.25">
      <c r="A4743" t="s">
        <v>30</v>
      </c>
      <c r="B4743" t="s">
        <v>31</v>
      </c>
      <c r="C4743" t="s">
        <v>32</v>
      </c>
      <c r="D4743" t="s">
        <v>673</v>
      </c>
      <c r="E4743" t="s">
        <v>674</v>
      </c>
      <c r="F4743" t="s">
        <v>35</v>
      </c>
      <c r="G4743" t="s">
        <v>35</v>
      </c>
      <c r="H4743" t="s">
        <v>35</v>
      </c>
      <c r="J4743" t="s">
        <v>5311</v>
      </c>
      <c r="K4743" t="s">
        <v>1092</v>
      </c>
      <c r="M4743">
        <v>0.315</v>
      </c>
      <c r="N4743">
        <v>46</v>
      </c>
      <c r="O4743" t="s">
        <v>52</v>
      </c>
      <c r="Q4743" t="s">
        <v>332</v>
      </c>
      <c r="R4743" t="s">
        <v>315</v>
      </c>
      <c r="S4743" t="s">
        <v>316</v>
      </c>
      <c r="T4743" t="s">
        <v>317</v>
      </c>
    </row>
    <row r="4744" spans="1:20" x14ac:dyDescent="0.25">
      <c r="A4744" t="s">
        <v>59</v>
      </c>
      <c r="B4744" t="s">
        <v>31</v>
      </c>
      <c r="C4744" t="s">
        <v>32</v>
      </c>
      <c r="D4744" t="s">
        <v>673</v>
      </c>
      <c r="E4744" t="s">
        <v>717</v>
      </c>
      <c r="F4744" t="s">
        <v>35</v>
      </c>
      <c r="G4744" t="s">
        <v>35</v>
      </c>
      <c r="H4744" t="s">
        <v>35</v>
      </c>
      <c r="J4744" t="s">
        <v>5392</v>
      </c>
      <c r="K4744" t="s">
        <v>1092</v>
      </c>
      <c r="M4744">
        <v>2.3849999999999998</v>
      </c>
      <c r="N4744">
        <v>68</v>
      </c>
      <c r="O4744" t="s">
        <v>61</v>
      </c>
      <c r="Q4744" t="s">
        <v>805</v>
      </c>
      <c r="R4744" t="s">
        <v>315</v>
      </c>
      <c r="S4744" t="s">
        <v>316</v>
      </c>
      <c r="T4744" t="s">
        <v>317</v>
      </c>
    </row>
    <row r="4745" spans="1:20" x14ac:dyDescent="0.25">
      <c r="A4745" t="s">
        <v>30</v>
      </c>
      <c r="B4745" t="s">
        <v>31</v>
      </c>
      <c r="C4745" t="s">
        <v>32</v>
      </c>
      <c r="D4745" t="s">
        <v>673</v>
      </c>
      <c r="E4745" t="s">
        <v>707</v>
      </c>
      <c r="F4745" t="s">
        <v>35</v>
      </c>
      <c r="G4745" t="s">
        <v>35</v>
      </c>
      <c r="H4745" t="s">
        <v>35</v>
      </c>
      <c r="J4745" t="s">
        <v>5379</v>
      </c>
      <c r="K4745" t="s">
        <v>1092</v>
      </c>
      <c r="M4745">
        <v>1.125</v>
      </c>
      <c r="N4745">
        <v>41</v>
      </c>
      <c r="O4745" t="s">
        <v>52</v>
      </c>
      <c r="Q4745" t="s">
        <v>496</v>
      </c>
      <c r="R4745" t="s">
        <v>315</v>
      </c>
      <c r="S4745" t="s">
        <v>316</v>
      </c>
      <c r="T4745" t="s">
        <v>317</v>
      </c>
    </row>
    <row r="4746" spans="1:20" x14ac:dyDescent="0.25">
      <c r="A4746" t="s">
        <v>30</v>
      </c>
      <c r="B4746" t="s">
        <v>31</v>
      </c>
      <c r="C4746" t="s">
        <v>32</v>
      </c>
      <c r="D4746" t="s">
        <v>673</v>
      </c>
      <c r="E4746" t="s">
        <v>707</v>
      </c>
      <c r="F4746" t="s">
        <v>35</v>
      </c>
      <c r="G4746" t="s">
        <v>35</v>
      </c>
      <c r="H4746" t="s">
        <v>35</v>
      </c>
      <c r="J4746" t="s">
        <v>5381</v>
      </c>
      <c r="K4746" t="s">
        <v>1092</v>
      </c>
      <c r="M4746">
        <v>3.375</v>
      </c>
      <c r="N4746">
        <v>37</v>
      </c>
      <c r="O4746" t="s">
        <v>52</v>
      </c>
      <c r="Q4746" t="s">
        <v>192</v>
      </c>
      <c r="R4746" t="s">
        <v>315</v>
      </c>
      <c r="S4746" t="s">
        <v>316</v>
      </c>
      <c r="T4746" t="s">
        <v>317</v>
      </c>
    </row>
    <row r="4747" spans="1:20" x14ac:dyDescent="0.25">
      <c r="A4747" t="s">
        <v>30</v>
      </c>
      <c r="B4747" t="s">
        <v>31</v>
      </c>
      <c r="C4747" t="s">
        <v>32</v>
      </c>
      <c r="D4747" t="s">
        <v>673</v>
      </c>
      <c r="E4747" t="s">
        <v>707</v>
      </c>
      <c r="F4747" t="s">
        <v>35</v>
      </c>
      <c r="G4747" t="s">
        <v>35</v>
      </c>
      <c r="H4747" t="s">
        <v>35</v>
      </c>
      <c r="J4747" t="s">
        <v>316</v>
      </c>
      <c r="K4747" t="s">
        <v>1092</v>
      </c>
      <c r="M4747">
        <v>0.22500000000000001</v>
      </c>
      <c r="N4747">
        <v>20</v>
      </c>
      <c r="O4747" t="s">
        <v>46</v>
      </c>
      <c r="Q4747" t="s">
        <v>1011</v>
      </c>
      <c r="R4747" t="s">
        <v>315</v>
      </c>
      <c r="S4747" t="s">
        <v>316</v>
      </c>
      <c r="T4747" t="s">
        <v>317</v>
      </c>
    </row>
    <row r="4748" spans="1:20" x14ac:dyDescent="0.25">
      <c r="A4748" t="s">
        <v>30</v>
      </c>
      <c r="B4748" t="s">
        <v>31</v>
      </c>
      <c r="C4748" t="s">
        <v>32</v>
      </c>
      <c r="D4748" t="s">
        <v>719</v>
      </c>
      <c r="E4748" t="s">
        <v>5459</v>
      </c>
      <c r="F4748" t="s">
        <v>35</v>
      </c>
      <c r="G4748" t="s">
        <v>35</v>
      </c>
      <c r="H4748" t="s">
        <v>35</v>
      </c>
      <c r="J4748" t="s">
        <v>5464</v>
      </c>
      <c r="K4748" t="s">
        <v>1092</v>
      </c>
      <c r="M4748">
        <v>1.4850000000000001</v>
      </c>
      <c r="N4748">
        <v>61</v>
      </c>
      <c r="O4748" t="s">
        <v>61</v>
      </c>
      <c r="Q4748" t="s">
        <v>146</v>
      </c>
      <c r="R4748" t="s">
        <v>5461</v>
      </c>
      <c r="S4748" t="s">
        <v>479</v>
      </c>
      <c r="T4748" t="s">
        <v>5460</v>
      </c>
    </row>
    <row r="4749" spans="1:20" x14ac:dyDescent="0.25">
      <c r="A4749" t="s">
        <v>30</v>
      </c>
      <c r="B4749" t="s">
        <v>31</v>
      </c>
      <c r="C4749" t="s">
        <v>32</v>
      </c>
      <c r="D4749" t="s">
        <v>719</v>
      </c>
      <c r="E4749" t="s">
        <v>5459</v>
      </c>
      <c r="F4749" t="s">
        <v>35</v>
      </c>
      <c r="G4749" t="s">
        <v>35</v>
      </c>
      <c r="H4749" t="s">
        <v>35</v>
      </c>
      <c r="J4749" t="s">
        <v>479</v>
      </c>
      <c r="K4749" t="s">
        <v>1092</v>
      </c>
      <c r="M4749">
        <v>0.315</v>
      </c>
      <c r="N4749">
        <v>23</v>
      </c>
      <c r="O4749" t="s">
        <v>46</v>
      </c>
      <c r="Q4749" t="s">
        <v>793</v>
      </c>
      <c r="R4749" t="s">
        <v>5461</v>
      </c>
      <c r="S4749" t="s">
        <v>479</v>
      </c>
      <c r="T4749" t="s">
        <v>5460</v>
      </c>
    </row>
    <row r="4750" spans="1:20" x14ac:dyDescent="0.25">
      <c r="A4750" t="s">
        <v>59</v>
      </c>
      <c r="B4750" t="s">
        <v>60</v>
      </c>
      <c r="C4750" t="s">
        <v>32</v>
      </c>
      <c r="D4750" t="s">
        <v>719</v>
      </c>
      <c r="F4750" t="s">
        <v>35</v>
      </c>
      <c r="G4750" t="s">
        <v>35</v>
      </c>
      <c r="H4750" t="s">
        <v>35</v>
      </c>
      <c r="J4750" t="s">
        <v>5879</v>
      </c>
      <c r="K4750" t="s">
        <v>1092</v>
      </c>
      <c r="M4750">
        <v>0.75</v>
      </c>
      <c r="N4750">
        <v>2588</v>
      </c>
      <c r="O4750" t="s">
        <v>575</v>
      </c>
      <c r="Q4750" t="s">
        <v>5880</v>
      </c>
      <c r="R4750" t="s">
        <v>5461</v>
      </c>
      <c r="S4750" t="s">
        <v>479</v>
      </c>
      <c r="T4750" t="s">
        <v>5460</v>
      </c>
    </row>
    <row r="4751" spans="1:20" x14ac:dyDescent="0.25">
      <c r="A4751" t="s">
        <v>59</v>
      </c>
      <c r="B4751" t="s">
        <v>60</v>
      </c>
      <c r="C4751" t="s">
        <v>32</v>
      </c>
      <c r="D4751" t="s">
        <v>719</v>
      </c>
      <c r="F4751" t="s">
        <v>35</v>
      </c>
      <c r="G4751" t="s">
        <v>35</v>
      </c>
      <c r="H4751" t="s">
        <v>35</v>
      </c>
      <c r="J4751" t="s">
        <v>5860</v>
      </c>
      <c r="K4751" t="s">
        <v>1092</v>
      </c>
      <c r="M4751">
        <v>1.2749999999999999</v>
      </c>
      <c r="N4751">
        <v>2229</v>
      </c>
      <c r="O4751" t="s">
        <v>575</v>
      </c>
      <c r="Q4751" t="s">
        <v>5861</v>
      </c>
      <c r="R4751" t="s">
        <v>5461</v>
      </c>
      <c r="S4751" t="s">
        <v>479</v>
      </c>
      <c r="T4751" t="s">
        <v>5460</v>
      </c>
    </row>
    <row r="4752" spans="1:20" x14ac:dyDescent="0.25">
      <c r="A4752" t="s">
        <v>59</v>
      </c>
      <c r="B4752" t="s">
        <v>31</v>
      </c>
      <c r="C4752" t="s">
        <v>32</v>
      </c>
      <c r="D4752" t="s">
        <v>719</v>
      </c>
      <c r="E4752" t="s">
        <v>5459</v>
      </c>
      <c r="F4752" t="s">
        <v>35</v>
      </c>
      <c r="G4752" t="s">
        <v>35</v>
      </c>
      <c r="H4752" t="s">
        <v>35</v>
      </c>
      <c r="J4752" t="s">
        <v>5465</v>
      </c>
      <c r="K4752" t="s">
        <v>1092</v>
      </c>
      <c r="M4752">
        <v>0.03</v>
      </c>
      <c r="N4752">
        <v>1530</v>
      </c>
      <c r="O4752" t="s">
        <v>575</v>
      </c>
      <c r="Q4752" t="s">
        <v>5466</v>
      </c>
      <c r="R4752" t="s">
        <v>5461</v>
      </c>
      <c r="S4752" t="s">
        <v>479</v>
      </c>
      <c r="T4752" t="s">
        <v>5460</v>
      </c>
    </row>
    <row r="4753" spans="1:20" x14ac:dyDescent="0.25">
      <c r="A4753" t="s">
        <v>30</v>
      </c>
      <c r="B4753" t="s">
        <v>31</v>
      </c>
      <c r="C4753" t="s">
        <v>32</v>
      </c>
      <c r="D4753" t="s">
        <v>719</v>
      </c>
      <c r="E4753" t="s">
        <v>5459</v>
      </c>
      <c r="F4753" t="s">
        <v>35</v>
      </c>
      <c r="G4753" t="s">
        <v>35</v>
      </c>
      <c r="H4753" t="s">
        <v>35</v>
      </c>
      <c r="J4753" t="s">
        <v>5474</v>
      </c>
      <c r="K4753" t="s">
        <v>1092</v>
      </c>
      <c r="M4753">
        <v>0.81</v>
      </c>
      <c r="N4753">
        <v>1337</v>
      </c>
      <c r="O4753" t="s">
        <v>575</v>
      </c>
      <c r="Q4753" t="s">
        <v>5475</v>
      </c>
      <c r="R4753" t="s">
        <v>5461</v>
      </c>
      <c r="S4753" t="s">
        <v>479</v>
      </c>
      <c r="T4753" t="s">
        <v>5460</v>
      </c>
    </row>
    <row r="4754" spans="1:20" x14ac:dyDescent="0.25">
      <c r="A4754" t="s">
        <v>59</v>
      </c>
      <c r="B4754" t="s">
        <v>60</v>
      </c>
      <c r="C4754" t="s">
        <v>32</v>
      </c>
      <c r="D4754" t="s">
        <v>719</v>
      </c>
      <c r="E4754" t="s">
        <v>5459</v>
      </c>
      <c r="F4754" t="s">
        <v>35</v>
      </c>
      <c r="G4754" t="s">
        <v>35</v>
      </c>
      <c r="H4754" t="s">
        <v>35</v>
      </c>
      <c r="J4754" t="s">
        <v>5474</v>
      </c>
      <c r="K4754" t="s">
        <v>1092</v>
      </c>
      <c r="M4754">
        <v>0.1</v>
      </c>
      <c r="N4754">
        <v>1848</v>
      </c>
      <c r="O4754" t="s">
        <v>575</v>
      </c>
      <c r="Q4754" t="s">
        <v>5476</v>
      </c>
      <c r="R4754" t="s">
        <v>5461</v>
      </c>
      <c r="S4754" t="s">
        <v>479</v>
      </c>
      <c r="T4754" t="s">
        <v>5460</v>
      </c>
    </row>
    <row r="4755" spans="1:20" x14ac:dyDescent="0.25">
      <c r="A4755" t="s">
        <v>44</v>
      </c>
      <c r="B4755" t="s">
        <v>51</v>
      </c>
      <c r="C4755" t="s">
        <v>32</v>
      </c>
      <c r="D4755" t="s">
        <v>719</v>
      </c>
      <c r="E4755" t="s">
        <v>738</v>
      </c>
      <c r="F4755" t="s">
        <v>35</v>
      </c>
      <c r="G4755" t="s">
        <v>35</v>
      </c>
      <c r="H4755" t="s">
        <v>35</v>
      </c>
      <c r="J4755" t="s">
        <v>5580</v>
      </c>
      <c r="K4755" t="s">
        <v>1092</v>
      </c>
      <c r="M4755">
        <v>3.35</v>
      </c>
      <c r="N4755">
        <v>73</v>
      </c>
      <c r="O4755" t="s">
        <v>61</v>
      </c>
      <c r="Q4755" t="s">
        <v>477</v>
      </c>
      <c r="R4755" t="s">
        <v>5461</v>
      </c>
      <c r="S4755" t="s">
        <v>479</v>
      </c>
      <c r="T4755" t="s">
        <v>5460</v>
      </c>
    </row>
    <row r="4756" spans="1:20" x14ac:dyDescent="0.25">
      <c r="A4756" t="s">
        <v>30</v>
      </c>
      <c r="B4756" t="s">
        <v>31</v>
      </c>
      <c r="C4756" t="s">
        <v>32</v>
      </c>
      <c r="D4756" t="s">
        <v>719</v>
      </c>
      <c r="E4756" t="s">
        <v>738</v>
      </c>
      <c r="F4756" t="s">
        <v>35</v>
      </c>
      <c r="G4756" t="s">
        <v>35</v>
      </c>
      <c r="H4756" t="s">
        <v>35</v>
      </c>
      <c r="J4756" t="s">
        <v>5546</v>
      </c>
      <c r="K4756" t="s">
        <v>1092</v>
      </c>
      <c r="M4756">
        <v>1.62</v>
      </c>
      <c r="N4756">
        <v>61</v>
      </c>
      <c r="O4756" t="s">
        <v>61</v>
      </c>
      <c r="Q4756" t="s">
        <v>146</v>
      </c>
      <c r="R4756" t="s">
        <v>5461</v>
      </c>
      <c r="S4756" t="s">
        <v>479</v>
      </c>
      <c r="T4756" t="s">
        <v>5460</v>
      </c>
    </row>
    <row r="4757" spans="1:20" x14ac:dyDescent="0.25">
      <c r="A4757" t="s">
        <v>44</v>
      </c>
      <c r="B4757" t="s">
        <v>51</v>
      </c>
      <c r="C4757" t="s">
        <v>32</v>
      </c>
      <c r="D4757" t="s">
        <v>719</v>
      </c>
      <c r="E4757" t="s">
        <v>738</v>
      </c>
      <c r="F4757" t="s">
        <v>35</v>
      </c>
      <c r="G4757" t="s">
        <v>35</v>
      </c>
      <c r="H4757" t="s">
        <v>35</v>
      </c>
      <c r="J4757" t="s">
        <v>5546</v>
      </c>
      <c r="K4757" t="s">
        <v>1092</v>
      </c>
      <c r="M4757">
        <v>2.5499999999999998</v>
      </c>
      <c r="N4757">
        <v>73</v>
      </c>
      <c r="O4757" t="s">
        <v>61</v>
      </c>
      <c r="Q4757" t="s">
        <v>477</v>
      </c>
      <c r="R4757" t="s">
        <v>5461</v>
      </c>
      <c r="S4757" t="s">
        <v>479</v>
      </c>
      <c r="T4757" t="s">
        <v>5460</v>
      </c>
    </row>
    <row r="4758" spans="1:20" x14ac:dyDescent="0.25">
      <c r="A4758" t="s">
        <v>59</v>
      </c>
      <c r="B4758" t="s">
        <v>31</v>
      </c>
      <c r="C4758" t="s">
        <v>32</v>
      </c>
      <c r="D4758" t="s">
        <v>719</v>
      </c>
      <c r="E4758" t="s">
        <v>5459</v>
      </c>
      <c r="F4758" t="s">
        <v>35</v>
      </c>
      <c r="G4758" t="s">
        <v>35</v>
      </c>
      <c r="H4758" t="s">
        <v>35</v>
      </c>
      <c r="J4758" t="s">
        <v>5484</v>
      </c>
      <c r="K4758" t="s">
        <v>1092</v>
      </c>
      <c r="M4758">
        <v>7.875</v>
      </c>
      <c r="N4758">
        <v>166</v>
      </c>
      <c r="O4758" t="s">
        <v>38</v>
      </c>
      <c r="Q4758" t="s">
        <v>1345</v>
      </c>
      <c r="R4758" t="s">
        <v>5461</v>
      </c>
      <c r="S4758" t="s">
        <v>479</v>
      </c>
      <c r="T4758" t="s">
        <v>5460</v>
      </c>
    </row>
    <row r="4759" spans="1:20" x14ac:dyDescent="0.25">
      <c r="A4759" t="s">
        <v>44</v>
      </c>
      <c r="B4759" t="s">
        <v>51</v>
      </c>
      <c r="C4759" t="s">
        <v>32</v>
      </c>
      <c r="D4759" t="s">
        <v>719</v>
      </c>
      <c r="E4759" t="s">
        <v>738</v>
      </c>
      <c r="F4759" t="s">
        <v>35</v>
      </c>
      <c r="G4759" t="s">
        <v>35</v>
      </c>
      <c r="H4759" t="s">
        <v>35</v>
      </c>
      <c r="J4759" t="s">
        <v>5596</v>
      </c>
      <c r="K4759" t="s">
        <v>1092</v>
      </c>
      <c r="M4759">
        <v>0.45</v>
      </c>
      <c r="N4759">
        <v>73</v>
      </c>
      <c r="O4759" t="s">
        <v>61</v>
      </c>
      <c r="Q4759" t="s">
        <v>477</v>
      </c>
      <c r="R4759" t="s">
        <v>5461</v>
      </c>
      <c r="S4759" t="s">
        <v>479</v>
      </c>
      <c r="T4759" t="s">
        <v>5460</v>
      </c>
    </row>
    <row r="4760" spans="1:20" x14ac:dyDescent="0.25">
      <c r="A4760" t="s">
        <v>30</v>
      </c>
      <c r="B4760" t="s">
        <v>31</v>
      </c>
      <c r="C4760" t="s">
        <v>32</v>
      </c>
      <c r="D4760" t="s">
        <v>719</v>
      </c>
      <c r="E4760" t="s">
        <v>738</v>
      </c>
      <c r="F4760" t="s">
        <v>35</v>
      </c>
      <c r="G4760" t="s">
        <v>35</v>
      </c>
      <c r="H4760" t="s">
        <v>35</v>
      </c>
      <c r="J4760" t="s">
        <v>5548</v>
      </c>
      <c r="K4760" t="s">
        <v>1092</v>
      </c>
      <c r="M4760">
        <v>3.24</v>
      </c>
      <c r="N4760">
        <v>86</v>
      </c>
      <c r="O4760" t="s">
        <v>61</v>
      </c>
      <c r="Q4760" t="s">
        <v>941</v>
      </c>
      <c r="R4760" t="s">
        <v>5461</v>
      </c>
      <c r="S4760" t="s">
        <v>479</v>
      </c>
      <c r="T4760" t="s">
        <v>5460</v>
      </c>
    </row>
    <row r="4761" spans="1:20" x14ac:dyDescent="0.25">
      <c r="A4761" t="s">
        <v>30</v>
      </c>
      <c r="B4761" t="s">
        <v>31</v>
      </c>
      <c r="C4761" t="s">
        <v>32</v>
      </c>
      <c r="D4761" t="s">
        <v>719</v>
      </c>
      <c r="E4761" t="s">
        <v>5701</v>
      </c>
      <c r="F4761" t="s">
        <v>35</v>
      </c>
      <c r="G4761" t="s">
        <v>35</v>
      </c>
      <c r="H4761" t="s">
        <v>35</v>
      </c>
      <c r="J4761" t="s">
        <v>5204</v>
      </c>
      <c r="K4761" t="s">
        <v>1092</v>
      </c>
      <c r="M4761">
        <v>0.45</v>
      </c>
      <c r="N4761">
        <v>143</v>
      </c>
      <c r="O4761" t="s">
        <v>38</v>
      </c>
      <c r="Q4761" t="s">
        <v>1612</v>
      </c>
      <c r="R4761" t="s">
        <v>5461</v>
      </c>
      <c r="S4761" t="s">
        <v>479</v>
      </c>
      <c r="T4761" t="s">
        <v>5460</v>
      </c>
    </row>
    <row r="4762" spans="1:20" x14ac:dyDescent="0.25">
      <c r="A4762" t="s">
        <v>30</v>
      </c>
      <c r="B4762" t="s">
        <v>31</v>
      </c>
      <c r="C4762" t="s">
        <v>32</v>
      </c>
      <c r="D4762" t="s">
        <v>719</v>
      </c>
      <c r="E4762" t="s">
        <v>5701</v>
      </c>
      <c r="F4762" t="s">
        <v>35</v>
      </c>
      <c r="G4762" t="s">
        <v>35</v>
      </c>
      <c r="H4762" t="s">
        <v>35</v>
      </c>
      <c r="J4762" t="s">
        <v>5706</v>
      </c>
      <c r="K4762" t="s">
        <v>1092</v>
      </c>
      <c r="M4762">
        <v>4.2750000000000004</v>
      </c>
      <c r="N4762">
        <v>30</v>
      </c>
      <c r="O4762" t="s">
        <v>46</v>
      </c>
      <c r="Q4762" t="s">
        <v>3499</v>
      </c>
      <c r="R4762" t="s">
        <v>5461</v>
      </c>
      <c r="S4762" t="s">
        <v>479</v>
      </c>
      <c r="T4762" t="s">
        <v>5460</v>
      </c>
    </row>
    <row r="4763" spans="1:20" x14ac:dyDescent="0.25">
      <c r="A4763" t="s">
        <v>30</v>
      </c>
      <c r="B4763" t="s">
        <v>31</v>
      </c>
      <c r="C4763" t="s">
        <v>32</v>
      </c>
      <c r="D4763" t="s">
        <v>719</v>
      </c>
      <c r="E4763" t="s">
        <v>738</v>
      </c>
      <c r="F4763" t="s">
        <v>35</v>
      </c>
      <c r="G4763" t="s">
        <v>35</v>
      </c>
      <c r="H4763" t="s">
        <v>35</v>
      </c>
      <c r="J4763" t="s">
        <v>5552</v>
      </c>
      <c r="K4763" t="s">
        <v>1092</v>
      </c>
      <c r="M4763">
        <v>8.2349999999999994</v>
      </c>
      <c r="N4763">
        <v>138</v>
      </c>
      <c r="O4763" t="s">
        <v>38</v>
      </c>
      <c r="Q4763" t="s">
        <v>1149</v>
      </c>
      <c r="R4763" t="s">
        <v>5461</v>
      </c>
      <c r="S4763" t="s">
        <v>479</v>
      </c>
      <c r="T4763" t="s">
        <v>5460</v>
      </c>
    </row>
    <row r="4764" spans="1:20" x14ac:dyDescent="0.25">
      <c r="A4764" t="s">
        <v>59</v>
      </c>
      <c r="B4764" t="s">
        <v>31</v>
      </c>
      <c r="C4764" t="s">
        <v>32</v>
      </c>
      <c r="D4764" t="s">
        <v>719</v>
      </c>
      <c r="F4764" t="s">
        <v>35</v>
      </c>
      <c r="G4764" t="s">
        <v>35</v>
      </c>
      <c r="H4764" t="s">
        <v>35</v>
      </c>
      <c r="J4764" t="s">
        <v>5857</v>
      </c>
      <c r="K4764" t="s">
        <v>1092</v>
      </c>
      <c r="M4764">
        <v>0.85499999999999998</v>
      </c>
      <c r="N4764">
        <v>1960</v>
      </c>
      <c r="O4764" t="s">
        <v>575</v>
      </c>
      <c r="Q4764" t="s">
        <v>5858</v>
      </c>
      <c r="R4764" t="s">
        <v>5461</v>
      </c>
      <c r="S4764" t="s">
        <v>479</v>
      </c>
      <c r="T4764" t="s">
        <v>5460</v>
      </c>
    </row>
    <row r="4765" spans="1:20" x14ac:dyDescent="0.25">
      <c r="A4765" t="s">
        <v>59</v>
      </c>
      <c r="B4765" t="s">
        <v>60</v>
      </c>
      <c r="C4765" t="s">
        <v>32</v>
      </c>
      <c r="D4765" t="s">
        <v>719</v>
      </c>
      <c r="E4765" t="s">
        <v>5459</v>
      </c>
      <c r="F4765" t="s">
        <v>35</v>
      </c>
      <c r="G4765" t="s">
        <v>35</v>
      </c>
      <c r="H4765" t="s">
        <v>35</v>
      </c>
      <c r="J4765" t="s">
        <v>5493</v>
      </c>
      <c r="K4765" t="s">
        <v>1092</v>
      </c>
      <c r="M4765">
        <v>0.5</v>
      </c>
      <c r="N4765">
        <v>752</v>
      </c>
      <c r="O4765" t="s">
        <v>575</v>
      </c>
      <c r="Q4765" t="s">
        <v>2176</v>
      </c>
      <c r="R4765" t="s">
        <v>5461</v>
      </c>
      <c r="S4765" t="s">
        <v>479</v>
      </c>
      <c r="T4765" t="s">
        <v>5460</v>
      </c>
    </row>
    <row r="4766" spans="1:20" x14ac:dyDescent="0.25">
      <c r="A4766" t="s">
        <v>59</v>
      </c>
      <c r="B4766" t="s">
        <v>60</v>
      </c>
      <c r="C4766" t="s">
        <v>32</v>
      </c>
      <c r="D4766" t="s">
        <v>719</v>
      </c>
      <c r="E4766" t="s">
        <v>5459</v>
      </c>
      <c r="F4766" t="s">
        <v>35</v>
      </c>
      <c r="G4766" t="s">
        <v>35</v>
      </c>
      <c r="H4766" t="s">
        <v>35</v>
      </c>
      <c r="J4766" t="s">
        <v>5493</v>
      </c>
      <c r="K4766" t="s">
        <v>1092</v>
      </c>
      <c r="M4766">
        <v>0.41</v>
      </c>
      <c r="N4766">
        <v>1518</v>
      </c>
      <c r="O4766" t="s">
        <v>575</v>
      </c>
      <c r="Q4766" t="s">
        <v>5494</v>
      </c>
      <c r="R4766" t="s">
        <v>5461</v>
      </c>
      <c r="S4766" t="s">
        <v>479</v>
      </c>
      <c r="T4766" t="s">
        <v>5460</v>
      </c>
    </row>
    <row r="4767" spans="1:20" x14ac:dyDescent="0.25">
      <c r="A4767" t="s">
        <v>30</v>
      </c>
      <c r="B4767" t="s">
        <v>31</v>
      </c>
      <c r="C4767" t="s">
        <v>32</v>
      </c>
      <c r="D4767" t="s">
        <v>719</v>
      </c>
      <c r="E4767" t="s">
        <v>738</v>
      </c>
      <c r="F4767" t="s">
        <v>35</v>
      </c>
      <c r="G4767" t="s">
        <v>35</v>
      </c>
      <c r="H4767" t="s">
        <v>35</v>
      </c>
      <c r="J4767" t="s">
        <v>5632</v>
      </c>
      <c r="K4767" t="s">
        <v>1092</v>
      </c>
      <c r="M4767">
        <v>13.23</v>
      </c>
      <c r="N4767">
        <v>138</v>
      </c>
      <c r="O4767" t="s">
        <v>38</v>
      </c>
      <c r="Q4767" t="s">
        <v>1149</v>
      </c>
      <c r="R4767" t="s">
        <v>5461</v>
      </c>
      <c r="S4767" t="s">
        <v>479</v>
      </c>
      <c r="T4767" t="s">
        <v>5460</v>
      </c>
    </row>
    <row r="4768" spans="1:20" x14ac:dyDescent="0.25">
      <c r="A4768" t="s">
        <v>59</v>
      </c>
      <c r="B4768" t="s">
        <v>31</v>
      </c>
      <c r="C4768" t="s">
        <v>32</v>
      </c>
      <c r="D4768" t="s">
        <v>719</v>
      </c>
      <c r="E4768" t="s">
        <v>5497</v>
      </c>
      <c r="F4768" t="s">
        <v>35</v>
      </c>
      <c r="G4768" t="s">
        <v>35</v>
      </c>
      <c r="H4768" t="s">
        <v>35</v>
      </c>
      <c r="J4768" t="s">
        <v>5518</v>
      </c>
      <c r="K4768" t="s">
        <v>1092</v>
      </c>
      <c r="M4768">
        <v>4.6349999999999998</v>
      </c>
      <c r="N4768">
        <v>166</v>
      </c>
      <c r="O4768" t="s">
        <v>38</v>
      </c>
      <c r="Q4768" t="s">
        <v>1345</v>
      </c>
      <c r="R4768" t="s">
        <v>5461</v>
      </c>
      <c r="S4768" t="s">
        <v>479</v>
      </c>
      <c r="T4768" t="s">
        <v>5460</v>
      </c>
    </row>
    <row r="4769" spans="1:20" x14ac:dyDescent="0.25">
      <c r="A4769" t="s">
        <v>30</v>
      </c>
      <c r="B4769" t="s">
        <v>31</v>
      </c>
      <c r="C4769" t="s">
        <v>32</v>
      </c>
      <c r="D4769" t="s">
        <v>719</v>
      </c>
      <c r="E4769" t="s">
        <v>5683</v>
      </c>
      <c r="F4769" t="s">
        <v>35</v>
      </c>
      <c r="G4769" t="s">
        <v>35</v>
      </c>
      <c r="H4769" t="s">
        <v>35</v>
      </c>
      <c r="J4769" t="s">
        <v>5700</v>
      </c>
      <c r="K4769" t="s">
        <v>1092</v>
      </c>
      <c r="M4769">
        <v>1.44</v>
      </c>
      <c r="N4769">
        <v>30</v>
      </c>
      <c r="O4769" t="s">
        <v>46</v>
      </c>
      <c r="Q4769" t="s">
        <v>3499</v>
      </c>
      <c r="R4769" t="s">
        <v>5461</v>
      </c>
      <c r="S4769" t="s">
        <v>479</v>
      </c>
      <c r="T4769" t="s">
        <v>5460</v>
      </c>
    </row>
    <row r="4770" spans="1:20" x14ac:dyDescent="0.25">
      <c r="A4770" t="s">
        <v>30</v>
      </c>
      <c r="B4770" t="s">
        <v>31</v>
      </c>
      <c r="C4770" t="s">
        <v>32</v>
      </c>
      <c r="D4770" t="s">
        <v>719</v>
      </c>
      <c r="E4770" t="s">
        <v>5497</v>
      </c>
      <c r="F4770" t="s">
        <v>35</v>
      </c>
      <c r="G4770" t="s">
        <v>35</v>
      </c>
      <c r="H4770" t="s">
        <v>35</v>
      </c>
      <c r="J4770" t="s">
        <v>5498</v>
      </c>
      <c r="K4770" t="s">
        <v>1092</v>
      </c>
      <c r="M4770">
        <v>4.05</v>
      </c>
      <c r="N4770">
        <v>440</v>
      </c>
      <c r="O4770" t="s">
        <v>294</v>
      </c>
      <c r="Q4770" t="s">
        <v>5499</v>
      </c>
      <c r="R4770" t="s">
        <v>5461</v>
      </c>
      <c r="S4770" t="s">
        <v>479</v>
      </c>
      <c r="T4770" t="s">
        <v>5460</v>
      </c>
    </row>
    <row r="4771" spans="1:20" x14ac:dyDescent="0.25">
      <c r="A4771" t="s">
        <v>30</v>
      </c>
      <c r="B4771" t="s">
        <v>31</v>
      </c>
      <c r="C4771" t="s">
        <v>32</v>
      </c>
      <c r="D4771" t="s">
        <v>719</v>
      </c>
      <c r="E4771" t="s">
        <v>738</v>
      </c>
      <c r="F4771" t="s">
        <v>35</v>
      </c>
      <c r="G4771" t="s">
        <v>35</v>
      </c>
      <c r="H4771" t="s">
        <v>35</v>
      </c>
      <c r="J4771" t="s">
        <v>586</v>
      </c>
      <c r="K4771" t="s">
        <v>1092</v>
      </c>
      <c r="M4771">
        <v>11.025</v>
      </c>
      <c r="N4771">
        <v>61</v>
      </c>
      <c r="O4771" t="s">
        <v>61</v>
      </c>
      <c r="Q4771" t="s">
        <v>146</v>
      </c>
      <c r="R4771" t="s">
        <v>5461</v>
      </c>
      <c r="S4771" t="s">
        <v>479</v>
      </c>
      <c r="T4771" t="s">
        <v>5460</v>
      </c>
    </row>
    <row r="4772" spans="1:20" x14ac:dyDescent="0.25">
      <c r="A4772" t="s">
        <v>30</v>
      </c>
      <c r="B4772" t="s">
        <v>31</v>
      </c>
      <c r="C4772" t="s">
        <v>32</v>
      </c>
      <c r="D4772" t="s">
        <v>719</v>
      </c>
      <c r="E4772" t="s">
        <v>738</v>
      </c>
      <c r="F4772" t="s">
        <v>35</v>
      </c>
      <c r="G4772" t="s">
        <v>35</v>
      </c>
      <c r="H4772" t="s">
        <v>35</v>
      </c>
      <c r="J4772" t="s">
        <v>5590</v>
      </c>
      <c r="K4772" t="s">
        <v>1092</v>
      </c>
      <c r="M4772">
        <v>4.68</v>
      </c>
      <c r="N4772">
        <v>164</v>
      </c>
      <c r="O4772" t="s">
        <v>38</v>
      </c>
      <c r="Q4772" t="s">
        <v>3930</v>
      </c>
      <c r="R4772" t="s">
        <v>5461</v>
      </c>
      <c r="S4772" t="s">
        <v>479</v>
      </c>
      <c r="T4772" t="s">
        <v>5460</v>
      </c>
    </row>
    <row r="4773" spans="1:20" x14ac:dyDescent="0.25">
      <c r="A4773" t="s">
        <v>30</v>
      </c>
      <c r="B4773" t="s">
        <v>31</v>
      </c>
      <c r="C4773" t="s">
        <v>32</v>
      </c>
      <c r="D4773" t="s">
        <v>719</v>
      </c>
      <c r="E4773" t="s">
        <v>738</v>
      </c>
      <c r="F4773" t="s">
        <v>35</v>
      </c>
      <c r="G4773" t="s">
        <v>35</v>
      </c>
      <c r="H4773" t="s">
        <v>35</v>
      </c>
      <c r="J4773" t="s">
        <v>5575</v>
      </c>
      <c r="K4773" t="s">
        <v>1092</v>
      </c>
      <c r="M4773">
        <v>9.8550000000000004</v>
      </c>
      <c r="N4773">
        <v>30</v>
      </c>
      <c r="O4773" t="s">
        <v>46</v>
      </c>
      <c r="Q4773" t="s">
        <v>3499</v>
      </c>
      <c r="R4773" t="s">
        <v>5461</v>
      </c>
      <c r="S4773" t="s">
        <v>479</v>
      </c>
      <c r="T4773" t="s">
        <v>5460</v>
      </c>
    </row>
    <row r="4774" spans="1:20" x14ac:dyDescent="0.25">
      <c r="A4774" t="s">
        <v>30</v>
      </c>
      <c r="B4774" t="s">
        <v>31</v>
      </c>
      <c r="C4774" t="s">
        <v>32</v>
      </c>
      <c r="D4774" t="s">
        <v>719</v>
      </c>
      <c r="E4774" t="s">
        <v>5795</v>
      </c>
      <c r="F4774" t="s">
        <v>35</v>
      </c>
      <c r="G4774" t="s">
        <v>35</v>
      </c>
      <c r="H4774" t="s">
        <v>35</v>
      </c>
      <c r="J4774" t="s">
        <v>5797</v>
      </c>
      <c r="K4774" t="s">
        <v>1092</v>
      </c>
      <c r="M4774">
        <v>4.1399999999999997</v>
      </c>
      <c r="N4774">
        <v>30</v>
      </c>
      <c r="O4774" t="s">
        <v>46</v>
      </c>
      <c r="Q4774" t="s">
        <v>3499</v>
      </c>
      <c r="R4774" t="s">
        <v>5461</v>
      </c>
      <c r="S4774" t="s">
        <v>479</v>
      </c>
      <c r="T4774" t="s">
        <v>5460</v>
      </c>
    </row>
    <row r="4775" spans="1:20" x14ac:dyDescent="0.25">
      <c r="A4775" t="s">
        <v>59</v>
      </c>
      <c r="B4775" t="s">
        <v>60</v>
      </c>
      <c r="C4775" t="s">
        <v>32</v>
      </c>
      <c r="D4775" t="s">
        <v>719</v>
      </c>
      <c r="E4775" t="s">
        <v>5459</v>
      </c>
      <c r="F4775" t="s">
        <v>35</v>
      </c>
      <c r="G4775" t="s">
        <v>35</v>
      </c>
      <c r="H4775" t="s">
        <v>35</v>
      </c>
      <c r="J4775" t="s">
        <v>5486</v>
      </c>
      <c r="K4775" t="s">
        <v>1092</v>
      </c>
      <c r="M4775">
        <v>1</v>
      </c>
      <c r="N4775">
        <v>1473</v>
      </c>
      <c r="O4775" t="s">
        <v>575</v>
      </c>
      <c r="Q4775" t="s">
        <v>5487</v>
      </c>
      <c r="R4775" t="s">
        <v>5461</v>
      </c>
      <c r="S4775" t="s">
        <v>479</v>
      </c>
      <c r="T4775" t="s">
        <v>5460</v>
      </c>
    </row>
    <row r="4776" spans="1:20" x14ac:dyDescent="0.25">
      <c r="A4776" t="s">
        <v>59</v>
      </c>
      <c r="B4776" t="s">
        <v>31</v>
      </c>
      <c r="C4776" t="s">
        <v>32</v>
      </c>
      <c r="D4776" t="s">
        <v>719</v>
      </c>
      <c r="E4776" t="s">
        <v>5459</v>
      </c>
      <c r="F4776" t="s">
        <v>35</v>
      </c>
      <c r="G4776" t="s">
        <v>35</v>
      </c>
      <c r="H4776" t="s">
        <v>35</v>
      </c>
      <c r="J4776" t="s">
        <v>5486</v>
      </c>
      <c r="K4776" t="s">
        <v>1092</v>
      </c>
      <c r="M4776">
        <v>0.72</v>
      </c>
      <c r="N4776">
        <v>1515</v>
      </c>
      <c r="O4776" t="s">
        <v>575</v>
      </c>
      <c r="Q4776" t="s">
        <v>5488</v>
      </c>
      <c r="R4776" t="s">
        <v>5461</v>
      </c>
      <c r="S4776" t="s">
        <v>479</v>
      </c>
      <c r="T4776" t="s">
        <v>5460</v>
      </c>
    </row>
    <row r="4777" spans="1:20" x14ac:dyDescent="0.25">
      <c r="A4777" t="s">
        <v>44</v>
      </c>
      <c r="B4777" t="s">
        <v>3005</v>
      </c>
      <c r="C4777" t="s">
        <v>32</v>
      </c>
      <c r="D4777" t="s">
        <v>719</v>
      </c>
      <c r="E4777" t="s">
        <v>5459</v>
      </c>
      <c r="F4777" t="s">
        <v>35</v>
      </c>
      <c r="G4777" t="s">
        <v>35</v>
      </c>
      <c r="H4777" t="s">
        <v>35</v>
      </c>
      <c r="J4777" t="s">
        <v>5486</v>
      </c>
      <c r="K4777" t="s">
        <v>1092</v>
      </c>
      <c r="M4777">
        <v>0.85</v>
      </c>
      <c r="N4777">
        <v>1473</v>
      </c>
      <c r="O4777" t="s">
        <v>575</v>
      </c>
      <c r="Q4777" t="s">
        <v>5487</v>
      </c>
      <c r="R4777" t="s">
        <v>5461</v>
      </c>
      <c r="S4777" t="s">
        <v>479</v>
      </c>
      <c r="T4777" t="s">
        <v>5460</v>
      </c>
    </row>
    <row r="4778" spans="1:20" x14ac:dyDescent="0.25">
      <c r="A4778" t="s">
        <v>30</v>
      </c>
      <c r="B4778" t="s">
        <v>31</v>
      </c>
      <c r="C4778" t="s">
        <v>32</v>
      </c>
      <c r="D4778" t="s">
        <v>719</v>
      </c>
      <c r="E4778" t="s">
        <v>5459</v>
      </c>
      <c r="F4778" t="s">
        <v>35</v>
      </c>
      <c r="G4778" t="s">
        <v>35</v>
      </c>
      <c r="H4778" t="s">
        <v>35</v>
      </c>
      <c r="J4778" t="s">
        <v>5486</v>
      </c>
      <c r="K4778" t="s">
        <v>1092</v>
      </c>
      <c r="M4778">
        <v>5.8949999999999996</v>
      </c>
      <c r="N4778">
        <v>1503</v>
      </c>
      <c r="O4778" t="s">
        <v>575</v>
      </c>
      <c r="Q4778" t="s">
        <v>5489</v>
      </c>
      <c r="R4778" t="s">
        <v>5461</v>
      </c>
      <c r="S4778" t="s">
        <v>479</v>
      </c>
      <c r="T4778" t="s">
        <v>5460</v>
      </c>
    </row>
    <row r="4779" spans="1:20" x14ac:dyDescent="0.25">
      <c r="A4779" t="s">
        <v>59</v>
      </c>
      <c r="B4779" t="s">
        <v>60</v>
      </c>
      <c r="C4779" t="s">
        <v>32</v>
      </c>
      <c r="D4779" t="s">
        <v>719</v>
      </c>
      <c r="E4779" t="s">
        <v>5459</v>
      </c>
      <c r="F4779" t="s">
        <v>35</v>
      </c>
      <c r="G4779" t="s">
        <v>35</v>
      </c>
      <c r="H4779" t="s">
        <v>35</v>
      </c>
      <c r="J4779" t="s">
        <v>5486</v>
      </c>
      <c r="K4779" t="s">
        <v>1092</v>
      </c>
      <c r="M4779">
        <v>0.55000000000000004</v>
      </c>
      <c r="N4779">
        <v>1494</v>
      </c>
      <c r="O4779" t="s">
        <v>575</v>
      </c>
      <c r="Q4779" t="s">
        <v>5490</v>
      </c>
      <c r="R4779" t="s">
        <v>5461</v>
      </c>
      <c r="S4779" t="s">
        <v>479</v>
      </c>
      <c r="T4779" t="s">
        <v>5460</v>
      </c>
    </row>
    <row r="4780" spans="1:20" x14ac:dyDescent="0.25">
      <c r="A4780" t="s">
        <v>30</v>
      </c>
      <c r="B4780" t="s">
        <v>31</v>
      </c>
      <c r="C4780" t="s">
        <v>32</v>
      </c>
      <c r="D4780" t="s">
        <v>719</v>
      </c>
      <c r="F4780" t="s">
        <v>35</v>
      </c>
      <c r="G4780" t="s">
        <v>35</v>
      </c>
      <c r="H4780" t="s">
        <v>35</v>
      </c>
      <c r="J4780" t="s">
        <v>5852</v>
      </c>
      <c r="K4780" t="s">
        <v>1092</v>
      </c>
      <c r="M4780">
        <v>0.72</v>
      </c>
      <c r="N4780">
        <v>1972</v>
      </c>
      <c r="O4780" t="s">
        <v>575</v>
      </c>
      <c r="Q4780" t="s">
        <v>5853</v>
      </c>
      <c r="R4780" t="s">
        <v>5461</v>
      </c>
      <c r="S4780" t="s">
        <v>479</v>
      </c>
      <c r="T4780" t="s">
        <v>5460</v>
      </c>
    </row>
    <row r="4781" spans="1:20" x14ac:dyDescent="0.25">
      <c r="A4781" t="s">
        <v>30</v>
      </c>
      <c r="B4781" t="s">
        <v>31</v>
      </c>
      <c r="C4781" t="s">
        <v>32</v>
      </c>
      <c r="D4781" t="s">
        <v>719</v>
      </c>
      <c r="E4781" t="s">
        <v>5795</v>
      </c>
      <c r="F4781" t="s">
        <v>35</v>
      </c>
      <c r="G4781" t="s">
        <v>35</v>
      </c>
      <c r="H4781" t="s">
        <v>35</v>
      </c>
      <c r="J4781" t="s">
        <v>5817</v>
      </c>
      <c r="K4781" t="s">
        <v>1092</v>
      </c>
      <c r="M4781">
        <v>5.49</v>
      </c>
      <c r="N4781">
        <v>30</v>
      </c>
      <c r="O4781" t="s">
        <v>46</v>
      </c>
      <c r="Q4781" t="s">
        <v>3499</v>
      </c>
      <c r="R4781" t="s">
        <v>5461</v>
      </c>
      <c r="S4781" t="s">
        <v>479</v>
      </c>
      <c r="T4781" t="s">
        <v>5460</v>
      </c>
    </row>
    <row r="4782" spans="1:20" x14ac:dyDescent="0.25">
      <c r="A4782" t="s">
        <v>59</v>
      </c>
      <c r="B4782" t="s">
        <v>60</v>
      </c>
      <c r="C4782" t="s">
        <v>32</v>
      </c>
      <c r="D4782" t="s">
        <v>719</v>
      </c>
      <c r="E4782" t="s">
        <v>5459</v>
      </c>
      <c r="F4782" t="s">
        <v>35</v>
      </c>
      <c r="G4782" t="s">
        <v>35</v>
      </c>
      <c r="H4782" t="s">
        <v>35</v>
      </c>
      <c r="J4782" t="s">
        <v>5462</v>
      </c>
      <c r="K4782" t="s">
        <v>1092</v>
      </c>
      <c r="M4782">
        <v>5.4</v>
      </c>
      <c r="N4782">
        <v>137</v>
      </c>
      <c r="O4782" t="s">
        <v>38</v>
      </c>
      <c r="Q4782" t="s">
        <v>2929</v>
      </c>
      <c r="R4782" t="s">
        <v>5461</v>
      </c>
      <c r="S4782" t="s">
        <v>479</v>
      </c>
      <c r="T4782" t="s">
        <v>5460</v>
      </c>
    </row>
    <row r="4783" spans="1:20" x14ac:dyDescent="0.25">
      <c r="A4783" t="s">
        <v>30</v>
      </c>
      <c r="B4783" t="s">
        <v>31</v>
      </c>
      <c r="C4783" t="s">
        <v>32</v>
      </c>
      <c r="D4783" t="s">
        <v>719</v>
      </c>
      <c r="E4783" t="s">
        <v>5795</v>
      </c>
      <c r="F4783" t="s">
        <v>35</v>
      </c>
      <c r="G4783" t="s">
        <v>35</v>
      </c>
      <c r="H4783" t="s">
        <v>35</v>
      </c>
      <c r="J4783" t="s">
        <v>5802</v>
      </c>
      <c r="K4783" t="s">
        <v>1092</v>
      </c>
      <c r="M4783">
        <v>9.4049999999999994</v>
      </c>
      <c r="N4783">
        <v>215</v>
      </c>
      <c r="O4783" t="s">
        <v>5</v>
      </c>
      <c r="Q4783" t="s">
        <v>1746</v>
      </c>
      <c r="R4783" t="s">
        <v>5461</v>
      </c>
      <c r="S4783" t="s">
        <v>479</v>
      </c>
      <c r="T4783" t="s">
        <v>5460</v>
      </c>
    </row>
    <row r="4784" spans="1:20" x14ac:dyDescent="0.25">
      <c r="A4784" t="s">
        <v>30</v>
      </c>
      <c r="B4784" t="s">
        <v>31</v>
      </c>
      <c r="C4784" t="s">
        <v>32</v>
      </c>
      <c r="D4784" t="s">
        <v>719</v>
      </c>
      <c r="E4784" t="s">
        <v>5497</v>
      </c>
      <c r="F4784" t="s">
        <v>35</v>
      </c>
      <c r="G4784" t="s">
        <v>35</v>
      </c>
      <c r="H4784" t="s">
        <v>35</v>
      </c>
      <c r="J4784" t="s">
        <v>5504</v>
      </c>
      <c r="K4784" t="s">
        <v>1092</v>
      </c>
      <c r="M4784">
        <v>1.9350000000000001</v>
      </c>
      <c r="N4784">
        <v>61</v>
      </c>
      <c r="O4784" t="s">
        <v>61</v>
      </c>
      <c r="Q4784" t="s">
        <v>146</v>
      </c>
      <c r="R4784" t="s">
        <v>5461</v>
      </c>
      <c r="S4784" t="s">
        <v>479</v>
      </c>
      <c r="T4784" t="s">
        <v>5460</v>
      </c>
    </row>
    <row r="4785" spans="1:20" x14ac:dyDescent="0.25">
      <c r="A4785" t="s">
        <v>30</v>
      </c>
      <c r="B4785" t="s">
        <v>31</v>
      </c>
      <c r="C4785" t="s">
        <v>32</v>
      </c>
      <c r="D4785" t="s">
        <v>719</v>
      </c>
      <c r="E4785" t="s">
        <v>5701</v>
      </c>
      <c r="F4785" t="s">
        <v>35</v>
      </c>
      <c r="G4785" t="s">
        <v>35</v>
      </c>
      <c r="H4785" t="s">
        <v>35</v>
      </c>
      <c r="J4785" t="s">
        <v>5712</v>
      </c>
      <c r="K4785" t="s">
        <v>1092</v>
      </c>
      <c r="M4785">
        <v>11.025</v>
      </c>
      <c r="N4785">
        <v>30</v>
      </c>
      <c r="O4785" t="s">
        <v>46</v>
      </c>
      <c r="Q4785" t="s">
        <v>3499</v>
      </c>
      <c r="R4785" t="s">
        <v>5461</v>
      </c>
      <c r="S4785" t="s">
        <v>479</v>
      </c>
      <c r="T4785" t="s">
        <v>5460</v>
      </c>
    </row>
    <row r="4786" spans="1:20" x14ac:dyDescent="0.25">
      <c r="A4786" t="s">
        <v>44</v>
      </c>
      <c r="B4786" t="s">
        <v>51</v>
      </c>
      <c r="C4786" t="s">
        <v>32</v>
      </c>
      <c r="D4786" t="s">
        <v>719</v>
      </c>
      <c r="E4786" t="s">
        <v>738</v>
      </c>
      <c r="F4786" t="s">
        <v>35</v>
      </c>
      <c r="G4786" t="s">
        <v>35</v>
      </c>
      <c r="H4786" t="s">
        <v>35</v>
      </c>
      <c r="J4786" t="s">
        <v>5561</v>
      </c>
      <c r="K4786" t="s">
        <v>1092</v>
      </c>
      <c r="M4786">
        <v>7.7</v>
      </c>
      <c r="N4786">
        <v>73</v>
      </c>
      <c r="O4786" t="s">
        <v>61</v>
      </c>
      <c r="Q4786" t="s">
        <v>477</v>
      </c>
      <c r="R4786" t="s">
        <v>5461</v>
      </c>
      <c r="S4786" t="s">
        <v>479</v>
      </c>
      <c r="T4786" t="s">
        <v>5460</v>
      </c>
    </row>
    <row r="4787" spans="1:20" x14ac:dyDescent="0.25">
      <c r="A4787" t="s">
        <v>30</v>
      </c>
      <c r="B4787" t="s">
        <v>31</v>
      </c>
      <c r="C4787" t="s">
        <v>32</v>
      </c>
      <c r="D4787" t="s">
        <v>719</v>
      </c>
      <c r="E4787" t="s">
        <v>738</v>
      </c>
      <c r="F4787" t="s">
        <v>35</v>
      </c>
      <c r="G4787" t="s">
        <v>35</v>
      </c>
      <c r="H4787" t="s">
        <v>35</v>
      </c>
      <c r="J4787" t="s">
        <v>5562</v>
      </c>
      <c r="K4787" t="s">
        <v>1092</v>
      </c>
      <c r="M4787">
        <v>0.63</v>
      </c>
      <c r="N4787">
        <v>164</v>
      </c>
      <c r="O4787" t="s">
        <v>38</v>
      </c>
      <c r="Q4787" t="s">
        <v>3930</v>
      </c>
      <c r="R4787" t="s">
        <v>5461</v>
      </c>
      <c r="S4787" t="s">
        <v>479</v>
      </c>
      <c r="T4787" t="s">
        <v>5460</v>
      </c>
    </row>
    <row r="4788" spans="1:20" x14ac:dyDescent="0.25">
      <c r="A4788" t="s">
        <v>30</v>
      </c>
      <c r="B4788" t="s">
        <v>31</v>
      </c>
      <c r="C4788" t="s">
        <v>32</v>
      </c>
      <c r="D4788" t="s">
        <v>719</v>
      </c>
      <c r="E4788" t="s">
        <v>738</v>
      </c>
      <c r="F4788" t="s">
        <v>35</v>
      </c>
      <c r="G4788" t="s">
        <v>35</v>
      </c>
      <c r="H4788" t="s">
        <v>35</v>
      </c>
      <c r="J4788" t="s">
        <v>4096</v>
      </c>
      <c r="K4788" t="s">
        <v>1092</v>
      </c>
      <c r="M4788">
        <v>2.6549999999999998</v>
      </c>
      <c r="N4788">
        <v>129</v>
      </c>
      <c r="O4788" t="s">
        <v>38</v>
      </c>
      <c r="Q4788" t="s">
        <v>157</v>
      </c>
      <c r="R4788" t="s">
        <v>5461</v>
      </c>
      <c r="S4788" t="s">
        <v>479</v>
      </c>
      <c r="T4788" t="s">
        <v>5460</v>
      </c>
    </row>
    <row r="4789" spans="1:20" x14ac:dyDescent="0.25">
      <c r="A4789" t="s">
        <v>59</v>
      </c>
      <c r="B4789" t="s">
        <v>60</v>
      </c>
      <c r="C4789" t="s">
        <v>32</v>
      </c>
      <c r="D4789" t="s">
        <v>719</v>
      </c>
      <c r="E4789" t="s">
        <v>5459</v>
      </c>
      <c r="F4789" t="s">
        <v>35</v>
      </c>
      <c r="G4789" t="s">
        <v>35</v>
      </c>
      <c r="H4789" t="s">
        <v>35</v>
      </c>
      <c r="J4789" t="s">
        <v>5477</v>
      </c>
      <c r="K4789" t="s">
        <v>1092</v>
      </c>
      <c r="M4789">
        <v>1.23</v>
      </c>
      <c r="N4789">
        <v>1116</v>
      </c>
      <c r="O4789" t="s">
        <v>575</v>
      </c>
      <c r="Q4789" t="s">
        <v>5478</v>
      </c>
      <c r="R4789" t="s">
        <v>5461</v>
      </c>
      <c r="S4789" t="s">
        <v>479</v>
      </c>
      <c r="T4789" t="s">
        <v>5460</v>
      </c>
    </row>
    <row r="4790" spans="1:20" x14ac:dyDescent="0.25">
      <c r="A4790" t="s">
        <v>30</v>
      </c>
      <c r="B4790" t="s">
        <v>31</v>
      </c>
      <c r="C4790" t="s">
        <v>32</v>
      </c>
      <c r="D4790" t="s">
        <v>719</v>
      </c>
      <c r="E4790" t="s">
        <v>5459</v>
      </c>
      <c r="F4790" t="s">
        <v>35</v>
      </c>
      <c r="G4790" t="s">
        <v>35</v>
      </c>
      <c r="H4790" t="s">
        <v>35</v>
      </c>
      <c r="J4790" t="s">
        <v>5471</v>
      </c>
      <c r="K4790" t="s">
        <v>1092</v>
      </c>
      <c r="M4790">
        <v>4.95</v>
      </c>
      <c r="N4790">
        <v>86</v>
      </c>
      <c r="O4790" t="s">
        <v>61</v>
      </c>
      <c r="Q4790" t="s">
        <v>941</v>
      </c>
      <c r="R4790" t="s">
        <v>5461</v>
      </c>
      <c r="S4790" t="s">
        <v>479</v>
      </c>
      <c r="T4790" t="s">
        <v>5460</v>
      </c>
    </row>
    <row r="4791" spans="1:20" x14ac:dyDescent="0.25">
      <c r="A4791" t="s">
        <v>30</v>
      </c>
      <c r="B4791" t="s">
        <v>31</v>
      </c>
      <c r="C4791" t="s">
        <v>32</v>
      </c>
      <c r="D4791" t="s">
        <v>719</v>
      </c>
      <c r="F4791" t="s">
        <v>35</v>
      </c>
      <c r="G4791" t="s">
        <v>35</v>
      </c>
      <c r="H4791" t="s">
        <v>35</v>
      </c>
      <c r="J4791" t="s">
        <v>5842</v>
      </c>
      <c r="K4791" t="s">
        <v>1092</v>
      </c>
      <c r="M4791">
        <v>5.49</v>
      </c>
      <c r="N4791">
        <v>1277</v>
      </c>
      <c r="O4791" t="s">
        <v>575</v>
      </c>
      <c r="Q4791" t="s">
        <v>5086</v>
      </c>
      <c r="R4791" t="s">
        <v>5461</v>
      </c>
      <c r="S4791" t="s">
        <v>479</v>
      </c>
      <c r="T4791" t="s">
        <v>5460</v>
      </c>
    </row>
    <row r="4792" spans="1:20" x14ac:dyDescent="0.25">
      <c r="A4792" t="s">
        <v>30</v>
      </c>
      <c r="B4792" t="s">
        <v>31</v>
      </c>
      <c r="C4792" t="s">
        <v>32</v>
      </c>
      <c r="D4792" t="s">
        <v>719</v>
      </c>
      <c r="E4792" t="s">
        <v>5756</v>
      </c>
      <c r="F4792" t="s">
        <v>35</v>
      </c>
      <c r="G4792" t="s">
        <v>35</v>
      </c>
      <c r="H4792" t="s">
        <v>35</v>
      </c>
      <c r="J4792" t="s">
        <v>5773</v>
      </c>
      <c r="K4792" t="s">
        <v>1092</v>
      </c>
      <c r="M4792">
        <v>11.025</v>
      </c>
      <c r="N4792">
        <v>61</v>
      </c>
      <c r="O4792" t="s">
        <v>61</v>
      </c>
      <c r="Q4792" t="s">
        <v>146</v>
      </c>
      <c r="R4792" t="s">
        <v>5461</v>
      </c>
      <c r="S4792" t="s">
        <v>479</v>
      </c>
      <c r="T4792" t="s">
        <v>5460</v>
      </c>
    </row>
    <row r="4793" spans="1:20" x14ac:dyDescent="0.25">
      <c r="A4793" t="s">
        <v>59</v>
      </c>
      <c r="B4793" t="s">
        <v>60</v>
      </c>
      <c r="C4793" t="s">
        <v>32</v>
      </c>
      <c r="D4793" t="s">
        <v>719</v>
      </c>
      <c r="E4793" t="s">
        <v>5459</v>
      </c>
      <c r="F4793" t="s">
        <v>35</v>
      </c>
      <c r="G4793" t="s">
        <v>35</v>
      </c>
      <c r="H4793" t="s">
        <v>35</v>
      </c>
      <c r="J4793" t="s">
        <v>5467</v>
      </c>
      <c r="K4793" t="s">
        <v>1092</v>
      </c>
      <c r="M4793">
        <v>0.85</v>
      </c>
      <c r="N4793">
        <v>546</v>
      </c>
      <c r="O4793" t="s">
        <v>294</v>
      </c>
      <c r="Q4793" t="s">
        <v>5345</v>
      </c>
      <c r="R4793" t="s">
        <v>5468</v>
      </c>
      <c r="S4793" t="s">
        <v>5469</v>
      </c>
      <c r="T4793" t="s">
        <v>5470</v>
      </c>
    </row>
    <row r="4794" spans="1:20" x14ac:dyDescent="0.25">
      <c r="A4794" t="s">
        <v>30</v>
      </c>
      <c r="B4794" t="s">
        <v>31</v>
      </c>
      <c r="C4794" t="s">
        <v>32</v>
      </c>
      <c r="D4794" t="s">
        <v>719</v>
      </c>
      <c r="E4794" t="s">
        <v>5756</v>
      </c>
      <c r="F4794" t="s">
        <v>35</v>
      </c>
      <c r="G4794" t="s">
        <v>35</v>
      </c>
      <c r="H4794" t="s">
        <v>35</v>
      </c>
      <c r="J4794" t="s">
        <v>5780</v>
      </c>
      <c r="K4794" t="s">
        <v>1092</v>
      </c>
      <c r="M4794">
        <v>0.18</v>
      </c>
      <c r="N4794">
        <v>36</v>
      </c>
      <c r="O4794" t="s">
        <v>52</v>
      </c>
      <c r="Q4794" t="s">
        <v>892</v>
      </c>
      <c r="R4794" t="s">
        <v>5585</v>
      </c>
      <c r="S4794" t="s">
        <v>739</v>
      </c>
      <c r="T4794" t="s">
        <v>740</v>
      </c>
    </row>
    <row r="4795" spans="1:20" x14ac:dyDescent="0.25">
      <c r="A4795" t="s">
        <v>30</v>
      </c>
      <c r="B4795" t="s">
        <v>31</v>
      </c>
      <c r="C4795" t="s">
        <v>32</v>
      </c>
      <c r="D4795" t="s">
        <v>719</v>
      </c>
      <c r="E4795" t="s">
        <v>738</v>
      </c>
      <c r="F4795" t="s">
        <v>35</v>
      </c>
      <c r="G4795" t="s">
        <v>35</v>
      </c>
      <c r="H4795" t="s">
        <v>35</v>
      </c>
      <c r="J4795" t="s">
        <v>5584</v>
      </c>
      <c r="K4795" t="s">
        <v>1092</v>
      </c>
      <c r="M4795">
        <v>2.7</v>
      </c>
      <c r="N4795">
        <v>84</v>
      </c>
      <c r="O4795" t="s">
        <v>61</v>
      </c>
      <c r="Q4795" t="s">
        <v>1147</v>
      </c>
      <c r="R4795" t="s">
        <v>5585</v>
      </c>
      <c r="S4795" t="s">
        <v>739</v>
      </c>
      <c r="T4795" t="s">
        <v>740</v>
      </c>
    </row>
    <row r="4796" spans="1:20" x14ac:dyDescent="0.25">
      <c r="A4796" t="s">
        <v>30</v>
      </c>
      <c r="B4796" t="s">
        <v>31</v>
      </c>
      <c r="C4796" t="s">
        <v>32</v>
      </c>
      <c r="D4796" t="s">
        <v>719</v>
      </c>
      <c r="E4796" t="s">
        <v>5756</v>
      </c>
      <c r="F4796" t="s">
        <v>35</v>
      </c>
      <c r="G4796" t="s">
        <v>35</v>
      </c>
      <c r="H4796" t="s">
        <v>35</v>
      </c>
      <c r="J4796" t="s">
        <v>5781</v>
      </c>
      <c r="K4796" t="s">
        <v>1092</v>
      </c>
      <c r="M4796">
        <v>0.54</v>
      </c>
      <c r="N4796">
        <v>36</v>
      </c>
      <c r="O4796" t="s">
        <v>52</v>
      </c>
      <c r="Q4796" t="s">
        <v>892</v>
      </c>
      <c r="R4796" t="s">
        <v>5585</v>
      </c>
      <c r="S4796" t="s">
        <v>739</v>
      </c>
      <c r="T4796" t="s">
        <v>740</v>
      </c>
    </row>
    <row r="4797" spans="1:20" x14ac:dyDescent="0.25">
      <c r="A4797" t="s">
        <v>30</v>
      </c>
      <c r="B4797" t="s">
        <v>31</v>
      </c>
      <c r="C4797" t="s">
        <v>32</v>
      </c>
      <c r="D4797" t="s">
        <v>719</v>
      </c>
      <c r="E4797" t="s">
        <v>738</v>
      </c>
      <c r="F4797" t="s">
        <v>35</v>
      </c>
      <c r="G4797" t="s">
        <v>35</v>
      </c>
      <c r="H4797" t="s">
        <v>35</v>
      </c>
      <c r="J4797" t="s">
        <v>5591</v>
      </c>
      <c r="K4797" t="s">
        <v>1092</v>
      </c>
      <c r="M4797">
        <v>0.99</v>
      </c>
      <c r="N4797">
        <v>500</v>
      </c>
      <c r="O4797" t="s">
        <v>294</v>
      </c>
      <c r="Q4797" t="s">
        <v>3822</v>
      </c>
      <c r="R4797" t="s">
        <v>5585</v>
      </c>
      <c r="S4797" t="s">
        <v>739</v>
      </c>
      <c r="T4797" t="s">
        <v>740</v>
      </c>
    </row>
    <row r="4798" spans="1:20" x14ac:dyDescent="0.25">
      <c r="A4798" t="s">
        <v>59</v>
      </c>
      <c r="B4798" t="s">
        <v>60</v>
      </c>
      <c r="C4798" t="s">
        <v>32</v>
      </c>
      <c r="D4798" t="s">
        <v>719</v>
      </c>
      <c r="E4798" t="s">
        <v>5818</v>
      </c>
      <c r="F4798" t="s">
        <v>35</v>
      </c>
      <c r="G4798" t="s">
        <v>35</v>
      </c>
      <c r="H4798" t="s">
        <v>35</v>
      </c>
      <c r="J4798" t="s">
        <v>5837</v>
      </c>
      <c r="K4798" t="s">
        <v>1092</v>
      </c>
      <c r="M4798">
        <v>0.35</v>
      </c>
      <c r="N4798">
        <v>149</v>
      </c>
      <c r="O4798" t="s">
        <v>38</v>
      </c>
      <c r="Q4798" t="s">
        <v>75</v>
      </c>
      <c r="R4798" t="s">
        <v>5838</v>
      </c>
      <c r="S4798" t="s">
        <v>5839</v>
      </c>
      <c r="T4798" t="s">
        <v>5840</v>
      </c>
    </row>
    <row r="4799" spans="1:20" x14ac:dyDescent="0.25">
      <c r="A4799" t="s">
        <v>59</v>
      </c>
      <c r="B4799" t="s">
        <v>60</v>
      </c>
      <c r="C4799" t="s">
        <v>32</v>
      </c>
      <c r="D4799" t="s">
        <v>719</v>
      </c>
      <c r="E4799" t="s">
        <v>720</v>
      </c>
      <c r="F4799" t="s">
        <v>35</v>
      </c>
      <c r="G4799" t="s">
        <v>35</v>
      </c>
      <c r="H4799" t="s">
        <v>35</v>
      </c>
      <c r="J4799" t="s">
        <v>5451</v>
      </c>
      <c r="K4799" t="s">
        <v>1092</v>
      </c>
      <c r="M4799">
        <v>0.2</v>
      </c>
      <c r="N4799">
        <v>452</v>
      </c>
      <c r="O4799" t="s">
        <v>294</v>
      </c>
      <c r="Q4799" t="s">
        <v>1199</v>
      </c>
      <c r="R4799" t="s">
        <v>5420</v>
      </c>
      <c r="S4799" t="s">
        <v>721</v>
      </c>
      <c r="T4799" t="s">
        <v>722</v>
      </c>
    </row>
    <row r="4800" spans="1:20" x14ac:dyDescent="0.25">
      <c r="A4800" t="s">
        <v>30</v>
      </c>
      <c r="B4800" t="s">
        <v>31</v>
      </c>
      <c r="C4800" t="s">
        <v>32</v>
      </c>
      <c r="D4800" t="s">
        <v>719</v>
      </c>
      <c r="E4800" t="s">
        <v>720</v>
      </c>
      <c r="F4800" t="s">
        <v>35</v>
      </c>
      <c r="G4800" t="s">
        <v>35</v>
      </c>
      <c r="H4800" t="s">
        <v>35</v>
      </c>
      <c r="J4800" t="s">
        <v>5419</v>
      </c>
      <c r="K4800" t="s">
        <v>1092</v>
      </c>
      <c r="M4800">
        <v>2.2949999999999999</v>
      </c>
      <c r="N4800">
        <v>69</v>
      </c>
      <c r="O4800" t="s">
        <v>61</v>
      </c>
      <c r="Q4800" t="s">
        <v>234</v>
      </c>
      <c r="R4800" t="s">
        <v>5420</v>
      </c>
      <c r="S4800" t="s">
        <v>721</v>
      </c>
      <c r="T4800" t="s">
        <v>722</v>
      </c>
    </row>
    <row r="4801" spans="1:20" x14ac:dyDescent="0.25">
      <c r="A4801" t="s">
        <v>59</v>
      </c>
      <c r="B4801" t="s">
        <v>60</v>
      </c>
      <c r="C4801" t="s">
        <v>32</v>
      </c>
      <c r="D4801" t="s">
        <v>719</v>
      </c>
      <c r="E4801" t="s">
        <v>720</v>
      </c>
      <c r="F4801" t="s">
        <v>35</v>
      </c>
      <c r="G4801" t="s">
        <v>35</v>
      </c>
      <c r="H4801" t="s">
        <v>35</v>
      </c>
      <c r="J4801" t="s">
        <v>5433</v>
      </c>
      <c r="K4801" t="s">
        <v>1092</v>
      </c>
      <c r="M4801">
        <v>0.75</v>
      </c>
      <c r="N4801">
        <v>159</v>
      </c>
      <c r="O4801" t="s">
        <v>38</v>
      </c>
      <c r="Q4801" t="s">
        <v>2316</v>
      </c>
      <c r="R4801" t="s">
        <v>5420</v>
      </c>
      <c r="S4801" t="s">
        <v>721</v>
      </c>
      <c r="T4801" t="s">
        <v>722</v>
      </c>
    </row>
    <row r="4802" spans="1:20" x14ac:dyDescent="0.25">
      <c r="A4802" t="s">
        <v>44</v>
      </c>
      <c r="B4802" t="s">
        <v>51</v>
      </c>
      <c r="C4802" t="s">
        <v>32</v>
      </c>
      <c r="D4802" t="s">
        <v>719</v>
      </c>
      <c r="E4802" t="s">
        <v>733</v>
      </c>
      <c r="F4802" t="s">
        <v>35</v>
      </c>
      <c r="G4802" t="s">
        <v>35</v>
      </c>
      <c r="H4802" t="s">
        <v>35</v>
      </c>
      <c r="J4802" t="s">
        <v>5537</v>
      </c>
      <c r="K4802" t="s">
        <v>1092</v>
      </c>
      <c r="M4802">
        <v>0.3</v>
      </c>
      <c r="N4802">
        <v>471</v>
      </c>
      <c r="O4802" t="s">
        <v>294</v>
      </c>
      <c r="Q4802" t="s">
        <v>5538</v>
      </c>
      <c r="R4802" t="s">
        <v>5539</v>
      </c>
      <c r="S4802" t="s">
        <v>5540</v>
      </c>
      <c r="T4802" t="s">
        <v>5541</v>
      </c>
    </row>
    <row r="4803" spans="1:20" x14ac:dyDescent="0.25">
      <c r="A4803" t="s">
        <v>30</v>
      </c>
      <c r="B4803" t="s">
        <v>31</v>
      </c>
      <c r="C4803" t="s">
        <v>32</v>
      </c>
      <c r="D4803" t="s">
        <v>719</v>
      </c>
      <c r="E4803" t="s">
        <v>5818</v>
      </c>
      <c r="F4803" t="s">
        <v>35</v>
      </c>
      <c r="G4803" t="s">
        <v>35</v>
      </c>
      <c r="H4803" t="s">
        <v>35</v>
      </c>
      <c r="J4803" t="s">
        <v>5825</v>
      </c>
      <c r="K4803" t="s">
        <v>1092</v>
      </c>
      <c r="M4803">
        <v>0.64500000000000002</v>
      </c>
      <c r="N4803">
        <v>1788</v>
      </c>
      <c r="O4803" t="s">
        <v>575</v>
      </c>
      <c r="Q4803" t="s">
        <v>5826</v>
      </c>
      <c r="R4803" t="s">
        <v>5539</v>
      </c>
      <c r="S4803" t="s">
        <v>5540</v>
      </c>
      <c r="T4803" t="s">
        <v>5541</v>
      </c>
    </row>
    <row r="4804" spans="1:20" x14ac:dyDescent="0.25">
      <c r="A4804" t="s">
        <v>30</v>
      </c>
      <c r="B4804" t="s">
        <v>31</v>
      </c>
      <c r="C4804" t="s">
        <v>32</v>
      </c>
      <c r="D4804" t="s">
        <v>719</v>
      </c>
      <c r="F4804" t="s">
        <v>35</v>
      </c>
      <c r="G4804" t="s">
        <v>35</v>
      </c>
      <c r="H4804" t="s">
        <v>35</v>
      </c>
      <c r="J4804" t="s">
        <v>5867</v>
      </c>
      <c r="K4804" t="s">
        <v>1092</v>
      </c>
      <c r="M4804">
        <v>1.125</v>
      </c>
      <c r="N4804">
        <v>2025</v>
      </c>
      <c r="O4804" t="s">
        <v>575</v>
      </c>
      <c r="Q4804" t="s">
        <v>5868</v>
      </c>
      <c r="R4804" t="s">
        <v>5539</v>
      </c>
      <c r="S4804" t="s">
        <v>5540</v>
      </c>
      <c r="T4804" t="s">
        <v>5541</v>
      </c>
    </row>
    <row r="4805" spans="1:20" x14ac:dyDescent="0.25">
      <c r="A4805" t="s">
        <v>30</v>
      </c>
      <c r="B4805" t="s">
        <v>31</v>
      </c>
      <c r="C4805" t="s">
        <v>32</v>
      </c>
      <c r="D4805" t="s">
        <v>719</v>
      </c>
      <c r="F4805" t="s">
        <v>35</v>
      </c>
      <c r="G4805" t="s">
        <v>35</v>
      </c>
      <c r="H4805" t="s">
        <v>35</v>
      </c>
      <c r="J4805" t="s">
        <v>5867</v>
      </c>
      <c r="K4805" t="s">
        <v>1092</v>
      </c>
      <c r="M4805">
        <v>0.54</v>
      </c>
      <c r="N4805">
        <v>2208</v>
      </c>
      <c r="O4805" t="s">
        <v>575</v>
      </c>
      <c r="Q4805" t="s">
        <v>5869</v>
      </c>
      <c r="R4805" t="s">
        <v>5539</v>
      </c>
      <c r="S4805" t="s">
        <v>5540</v>
      </c>
      <c r="T4805" t="s">
        <v>5541</v>
      </c>
    </row>
    <row r="4806" spans="1:20" x14ac:dyDescent="0.25">
      <c r="A4806" t="s">
        <v>59</v>
      </c>
      <c r="B4806" t="s">
        <v>31</v>
      </c>
      <c r="C4806" t="s">
        <v>32</v>
      </c>
      <c r="D4806" t="s">
        <v>719</v>
      </c>
      <c r="E4806" t="s">
        <v>5818</v>
      </c>
      <c r="F4806" t="s">
        <v>35</v>
      </c>
      <c r="G4806" t="s">
        <v>35</v>
      </c>
      <c r="H4806" t="s">
        <v>35</v>
      </c>
      <c r="J4806" t="s">
        <v>5823</v>
      </c>
      <c r="K4806" t="s">
        <v>1092</v>
      </c>
      <c r="M4806">
        <v>0.81</v>
      </c>
      <c r="N4806">
        <v>1284</v>
      </c>
      <c r="O4806" t="s">
        <v>575</v>
      </c>
      <c r="Q4806" t="s">
        <v>5824</v>
      </c>
      <c r="R4806" t="s">
        <v>5539</v>
      </c>
      <c r="S4806" t="s">
        <v>5540</v>
      </c>
      <c r="T4806" t="s">
        <v>5541</v>
      </c>
    </row>
    <row r="4807" spans="1:20" x14ac:dyDescent="0.25">
      <c r="A4807" t="s">
        <v>59</v>
      </c>
      <c r="B4807" t="s">
        <v>60</v>
      </c>
      <c r="C4807" t="s">
        <v>32</v>
      </c>
      <c r="D4807" t="s">
        <v>719</v>
      </c>
      <c r="E4807" t="s">
        <v>5683</v>
      </c>
      <c r="F4807" t="s">
        <v>35</v>
      </c>
      <c r="G4807" t="s">
        <v>35</v>
      </c>
      <c r="H4807" t="s">
        <v>35</v>
      </c>
      <c r="J4807" t="s">
        <v>5694</v>
      </c>
      <c r="K4807" t="s">
        <v>1092</v>
      </c>
      <c r="M4807">
        <v>2.5000000000000001E-2</v>
      </c>
      <c r="N4807">
        <v>1646</v>
      </c>
      <c r="O4807" t="s">
        <v>575</v>
      </c>
      <c r="Q4807" t="s">
        <v>5695</v>
      </c>
      <c r="R4807" t="s">
        <v>5693</v>
      </c>
      <c r="S4807" t="s">
        <v>5686</v>
      </c>
      <c r="T4807" t="s">
        <v>5687</v>
      </c>
    </row>
    <row r="4808" spans="1:20" x14ac:dyDescent="0.25">
      <c r="A4808" t="s">
        <v>59</v>
      </c>
      <c r="B4808" t="s">
        <v>31</v>
      </c>
      <c r="C4808" t="s">
        <v>32</v>
      </c>
      <c r="D4808" t="s">
        <v>719</v>
      </c>
      <c r="E4808" t="s">
        <v>5683</v>
      </c>
      <c r="F4808" t="s">
        <v>35</v>
      </c>
      <c r="G4808" t="s">
        <v>35</v>
      </c>
      <c r="H4808" t="s">
        <v>35</v>
      </c>
      <c r="J4808" t="s">
        <v>5691</v>
      </c>
      <c r="K4808" t="s">
        <v>1092</v>
      </c>
      <c r="M4808">
        <v>2.5000000000000001E-2</v>
      </c>
      <c r="N4808">
        <v>1230</v>
      </c>
      <c r="O4808" t="s">
        <v>575</v>
      </c>
      <c r="Q4808" t="s">
        <v>5692</v>
      </c>
      <c r="R4808" t="s">
        <v>5693</v>
      </c>
      <c r="S4808" t="s">
        <v>5686</v>
      </c>
      <c r="T4808" t="s">
        <v>5687</v>
      </c>
    </row>
    <row r="4809" spans="1:20" x14ac:dyDescent="0.25">
      <c r="A4809" t="s">
        <v>30</v>
      </c>
      <c r="B4809" t="s">
        <v>31</v>
      </c>
      <c r="C4809" t="s">
        <v>32</v>
      </c>
      <c r="D4809" t="s">
        <v>719</v>
      </c>
      <c r="E4809" t="s">
        <v>5701</v>
      </c>
      <c r="F4809" t="s">
        <v>35</v>
      </c>
      <c r="G4809" t="s">
        <v>35</v>
      </c>
      <c r="H4809" t="s">
        <v>35</v>
      </c>
      <c r="J4809" t="s">
        <v>5704</v>
      </c>
      <c r="K4809" t="s">
        <v>1092</v>
      </c>
      <c r="M4809">
        <v>10.050000000000001</v>
      </c>
      <c r="N4809">
        <v>34</v>
      </c>
      <c r="O4809" t="s">
        <v>52</v>
      </c>
      <c r="Q4809" t="s">
        <v>249</v>
      </c>
      <c r="R4809" t="s">
        <v>501</v>
      </c>
      <c r="S4809" t="s">
        <v>502</v>
      </c>
      <c r="T4809" t="s">
        <v>503</v>
      </c>
    </row>
    <row r="4810" spans="1:20" x14ac:dyDescent="0.25">
      <c r="A4810" t="s">
        <v>59</v>
      </c>
      <c r="B4810" t="s">
        <v>31</v>
      </c>
      <c r="C4810" t="s">
        <v>32</v>
      </c>
      <c r="D4810" t="s">
        <v>719</v>
      </c>
      <c r="E4810" t="s">
        <v>5795</v>
      </c>
      <c r="F4810" t="s">
        <v>35</v>
      </c>
      <c r="G4810" t="s">
        <v>35</v>
      </c>
      <c r="H4810" t="s">
        <v>35</v>
      </c>
      <c r="J4810" t="s">
        <v>5811</v>
      </c>
      <c r="K4810" t="s">
        <v>1092</v>
      </c>
      <c r="M4810">
        <v>0.28499999999999998</v>
      </c>
      <c r="N4810">
        <v>270</v>
      </c>
      <c r="O4810" t="s">
        <v>5</v>
      </c>
      <c r="Q4810" t="s">
        <v>5812</v>
      </c>
      <c r="R4810" t="s">
        <v>501</v>
      </c>
      <c r="S4810" t="s">
        <v>502</v>
      </c>
      <c r="T4810" t="s">
        <v>503</v>
      </c>
    </row>
    <row r="4811" spans="1:20" x14ac:dyDescent="0.25">
      <c r="A4811" t="s">
        <v>59</v>
      </c>
      <c r="B4811" t="s">
        <v>60</v>
      </c>
      <c r="C4811" t="s">
        <v>32</v>
      </c>
      <c r="D4811" t="s">
        <v>719</v>
      </c>
      <c r="E4811" t="s">
        <v>5795</v>
      </c>
      <c r="F4811" t="s">
        <v>35</v>
      </c>
      <c r="G4811" t="s">
        <v>35</v>
      </c>
      <c r="H4811" t="s">
        <v>35</v>
      </c>
      <c r="J4811" t="s">
        <v>5809</v>
      </c>
      <c r="K4811" t="s">
        <v>1092</v>
      </c>
      <c r="M4811">
        <v>11</v>
      </c>
      <c r="N4811">
        <v>144</v>
      </c>
      <c r="O4811" t="s">
        <v>38</v>
      </c>
      <c r="Q4811" t="s">
        <v>1269</v>
      </c>
      <c r="R4811" t="s">
        <v>501</v>
      </c>
      <c r="S4811" t="s">
        <v>502</v>
      </c>
      <c r="T4811" t="s">
        <v>503</v>
      </c>
    </row>
    <row r="4812" spans="1:20" x14ac:dyDescent="0.25">
      <c r="A4812" t="s">
        <v>59</v>
      </c>
      <c r="B4812" t="s">
        <v>60</v>
      </c>
      <c r="C4812" t="s">
        <v>32</v>
      </c>
      <c r="D4812" t="s">
        <v>719</v>
      </c>
      <c r="E4812" t="s">
        <v>5795</v>
      </c>
      <c r="F4812" t="s">
        <v>35</v>
      </c>
      <c r="G4812" t="s">
        <v>35</v>
      </c>
      <c r="H4812" t="s">
        <v>35</v>
      </c>
      <c r="J4812" t="s">
        <v>5798</v>
      </c>
      <c r="K4812" t="s">
        <v>1092</v>
      </c>
      <c r="M4812">
        <v>6.5</v>
      </c>
      <c r="N4812">
        <v>144</v>
      </c>
      <c r="O4812" t="s">
        <v>38</v>
      </c>
      <c r="Q4812" t="s">
        <v>1269</v>
      </c>
      <c r="R4812" t="s">
        <v>501</v>
      </c>
      <c r="S4812" t="s">
        <v>502</v>
      </c>
      <c r="T4812" t="s">
        <v>503</v>
      </c>
    </row>
    <row r="4813" spans="1:20" x14ac:dyDescent="0.25">
      <c r="A4813" t="s">
        <v>44</v>
      </c>
      <c r="B4813" t="s">
        <v>51</v>
      </c>
      <c r="C4813" t="s">
        <v>32</v>
      </c>
      <c r="D4813" t="s">
        <v>719</v>
      </c>
      <c r="E4813" t="s">
        <v>720</v>
      </c>
      <c r="F4813" t="s">
        <v>35</v>
      </c>
      <c r="G4813" t="s">
        <v>35</v>
      </c>
      <c r="H4813" t="s">
        <v>35</v>
      </c>
      <c r="J4813" t="s">
        <v>5438</v>
      </c>
      <c r="K4813" t="s">
        <v>1092</v>
      </c>
      <c r="M4813">
        <v>0.35</v>
      </c>
      <c r="N4813">
        <v>499</v>
      </c>
      <c r="O4813" t="s">
        <v>294</v>
      </c>
      <c r="Q4813" t="s">
        <v>2101</v>
      </c>
      <c r="R4813" t="s">
        <v>5439</v>
      </c>
      <c r="S4813" t="s">
        <v>5440</v>
      </c>
      <c r="T4813" t="s">
        <v>5441</v>
      </c>
    </row>
    <row r="4814" spans="1:20" x14ac:dyDescent="0.25">
      <c r="A4814" t="s">
        <v>30</v>
      </c>
      <c r="B4814" t="s">
        <v>31</v>
      </c>
      <c r="C4814" t="s">
        <v>32</v>
      </c>
      <c r="D4814" t="s">
        <v>719</v>
      </c>
      <c r="E4814" t="s">
        <v>5497</v>
      </c>
      <c r="F4814" t="s">
        <v>35</v>
      </c>
      <c r="G4814" t="s">
        <v>35</v>
      </c>
      <c r="H4814" t="s">
        <v>35</v>
      </c>
      <c r="J4814" t="s">
        <v>5498</v>
      </c>
      <c r="K4814" t="s">
        <v>1092</v>
      </c>
      <c r="M4814">
        <v>1.2649999999999999</v>
      </c>
      <c r="N4814">
        <v>492</v>
      </c>
      <c r="O4814" t="s">
        <v>294</v>
      </c>
      <c r="Q4814" t="s">
        <v>1503</v>
      </c>
      <c r="R4814" t="s">
        <v>5439</v>
      </c>
      <c r="S4814" t="s">
        <v>5440</v>
      </c>
      <c r="T4814" t="s">
        <v>5441</v>
      </c>
    </row>
    <row r="4815" spans="1:20" x14ac:dyDescent="0.25">
      <c r="A4815" t="s">
        <v>30</v>
      </c>
      <c r="B4815" t="s">
        <v>31</v>
      </c>
      <c r="C4815" t="s">
        <v>32</v>
      </c>
      <c r="D4815" t="s">
        <v>719</v>
      </c>
      <c r="E4815" t="s">
        <v>5701</v>
      </c>
      <c r="F4815" t="s">
        <v>35</v>
      </c>
      <c r="G4815" t="s">
        <v>35</v>
      </c>
      <c r="H4815" t="s">
        <v>35</v>
      </c>
      <c r="J4815" t="s">
        <v>5705</v>
      </c>
      <c r="K4815" t="s">
        <v>1092</v>
      </c>
      <c r="M4815">
        <v>2.79</v>
      </c>
      <c r="N4815">
        <v>40</v>
      </c>
      <c r="O4815" t="s">
        <v>52</v>
      </c>
      <c r="Q4815" t="s">
        <v>132</v>
      </c>
      <c r="R4815" t="s">
        <v>5439</v>
      </c>
      <c r="S4815" t="s">
        <v>5440</v>
      </c>
      <c r="T4815" t="s">
        <v>5441</v>
      </c>
    </row>
    <row r="4816" spans="1:20" x14ac:dyDescent="0.25">
      <c r="A4816" t="s">
        <v>30</v>
      </c>
      <c r="B4816" t="s">
        <v>31</v>
      </c>
      <c r="C4816" t="s">
        <v>32</v>
      </c>
      <c r="D4816" t="s">
        <v>719</v>
      </c>
      <c r="E4816" t="s">
        <v>5497</v>
      </c>
      <c r="F4816" t="s">
        <v>35</v>
      </c>
      <c r="G4816" t="s">
        <v>35</v>
      </c>
      <c r="H4816" t="s">
        <v>35</v>
      </c>
      <c r="J4816" t="s">
        <v>5503</v>
      </c>
      <c r="K4816" t="s">
        <v>1092</v>
      </c>
      <c r="M4816">
        <v>6.48</v>
      </c>
      <c r="N4816">
        <v>285</v>
      </c>
      <c r="O4816" t="s">
        <v>5</v>
      </c>
      <c r="Q4816" t="s">
        <v>1234</v>
      </c>
      <c r="R4816" t="s">
        <v>5454</v>
      </c>
      <c r="S4816" t="s">
        <v>756</v>
      </c>
      <c r="T4816" t="s">
        <v>757</v>
      </c>
    </row>
    <row r="4817" spans="1:20" x14ac:dyDescent="0.25">
      <c r="A4817" t="s">
        <v>30</v>
      </c>
      <c r="B4817" t="s">
        <v>31</v>
      </c>
      <c r="C4817" t="s">
        <v>32</v>
      </c>
      <c r="D4817" t="s">
        <v>719</v>
      </c>
      <c r="E4817" t="s">
        <v>5497</v>
      </c>
      <c r="F4817" t="s">
        <v>35</v>
      </c>
      <c r="G4817" t="s">
        <v>35</v>
      </c>
      <c r="H4817" t="s">
        <v>35</v>
      </c>
      <c r="J4817" t="s">
        <v>5500</v>
      </c>
      <c r="K4817" t="s">
        <v>1092</v>
      </c>
      <c r="M4817">
        <v>2.52</v>
      </c>
      <c r="N4817">
        <v>42</v>
      </c>
      <c r="O4817" t="s">
        <v>52</v>
      </c>
      <c r="Q4817" t="s">
        <v>219</v>
      </c>
      <c r="R4817" t="s">
        <v>5454</v>
      </c>
      <c r="S4817" t="s">
        <v>756</v>
      </c>
      <c r="T4817" t="s">
        <v>757</v>
      </c>
    </row>
    <row r="4818" spans="1:20" x14ac:dyDescent="0.25">
      <c r="A4818" t="s">
        <v>59</v>
      </c>
      <c r="B4818" t="s">
        <v>31</v>
      </c>
      <c r="C4818" t="s">
        <v>32</v>
      </c>
      <c r="D4818" t="s">
        <v>719</v>
      </c>
      <c r="E4818" t="s">
        <v>5743</v>
      </c>
      <c r="F4818" t="s">
        <v>35</v>
      </c>
      <c r="G4818" t="s">
        <v>35</v>
      </c>
      <c r="H4818" t="s">
        <v>35</v>
      </c>
      <c r="J4818" t="s">
        <v>5744</v>
      </c>
      <c r="K4818" t="s">
        <v>285</v>
      </c>
      <c r="M4818">
        <v>0.18</v>
      </c>
      <c r="N4818">
        <v>122</v>
      </c>
      <c r="O4818" t="s">
        <v>38</v>
      </c>
      <c r="Q4818" t="s">
        <v>1449</v>
      </c>
      <c r="R4818" t="s">
        <v>5454</v>
      </c>
      <c r="S4818" t="s">
        <v>756</v>
      </c>
      <c r="T4818" t="s">
        <v>757</v>
      </c>
    </row>
    <row r="4819" spans="1:20" x14ac:dyDescent="0.25">
      <c r="A4819" t="s">
        <v>30</v>
      </c>
      <c r="B4819" t="s">
        <v>31</v>
      </c>
      <c r="C4819" t="s">
        <v>32</v>
      </c>
      <c r="D4819" t="s">
        <v>719</v>
      </c>
      <c r="E4819" t="s">
        <v>733</v>
      </c>
      <c r="F4819" t="s">
        <v>35</v>
      </c>
      <c r="G4819" t="s">
        <v>35</v>
      </c>
      <c r="H4819" t="s">
        <v>35</v>
      </c>
      <c r="J4819" t="s">
        <v>5543</v>
      </c>
      <c r="K4819" t="s">
        <v>1092</v>
      </c>
      <c r="M4819">
        <v>4.95</v>
      </c>
      <c r="N4819">
        <v>65</v>
      </c>
      <c r="O4819" t="s">
        <v>61</v>
      </c>
      <c r="Q4819" t="s">
        <v>63</v>
      </c>
      <c r="R4819" t="s">
        <v>5454</v>
      </c>
      <c r="S4819" t="s">
        <v>756</v>
      </c>
      <c r="T4819" t="s">
        <v>757</v>
      </c>
    </row>
    <row r="4820" spans="1:20" x14ac:dyDescent="0.25">
      <c r="A4820" t="s">
        <v>30</v>
      </c>
      <c r="B4820" t="s">
        <v>31</v>
      </c>
      <c r="C4820" t="s">
        <v>32</v>
      </c>
      <c r="D4820" t="s">
        <v>719</v>
      </c>
      <c r="E4820" t="s">
        <v>763</v>
      </c>
      <c r="F4820" t="s">
        <v>35</v>
      </c>
      <c r="G4820" t="s">
        <v>35</v>
      </c>
      <c r="H4820" t="s">
        <v>35</v>
      </c>
      <c r="J4820" t="s">
        <v>5726</v>
      </c>
      <c r="K4820" t="s">
        <v>1092</v>
      </c>
      <c r="M4820">
        <v>10.89</v>
      </c>
      <c r="N4820">
        <v>42</v>
      </c>
      <c r="O4820" t="s">
        <v>52</v>
      </c>
      <c r="Q4820" t="s">
        <v>219</v>
      </c>
      <c r="R4820" t="s">
        <v>5454</v>
      </c>
      <c r="S4820" t="s">
        <v>756</v>
      </c>
      <c r="T4820" t="s">
        <v>757</v>
      </c>
    </row>
    <row r="4821" spans="1:20" x14ac:dyDescent="0.25">
      <c r="A4821" t="s">
        <v>30</v>
      </c>
      <c r="B4821" t="s">
        <v>31</v>
      </c>
      <c r="C4821" t="s">
        <v>32</v>
      </c>
      <c r="D4821" t="s">
        <v>719</v>
      </c>
      <c r="E4821" t="s">
        <v>763</v>
      </c>
      <c r="F4821" t="s">
        <v>35</v>
      </c>
      <c r="G4821" t="s">
        <v>35</v>
      </c>
      <c r="H4821" t="s">
        <v>35</v>
      </c>
      <c r="J4821" t="s">
        <v>5726</v>
      </c>
      <c r="K4821" t="s">
        <v>1092</v>
      </c>
      <c r="M4821">
        <v>1.2150000000000001</v>
      </c>
      <c r="N4821">
        <v>91</v>
      </c>
      <c r="O4821" t="s">
        <v>106</v>
      </c>
      <c r="Q4821" t="s">
        <v>108</v>
      </c>
      <c r="R4821" t="s">
        <v>5454</v>
      </c>
      <c r="S4821" t="s">
        <v>756</v>
      </c>
      <c r="T4821" t="s">
        <v>757</v>
      </c>
    </row>
    <row r="4822" spans="1:20" x14ac:dyDescent="0.25">
      <c r="A4822" t="s">
        <v>30</v>
      </c>
      <c r="B4822" t="s">
        <v>31</v>
      </c>
      <c r="C4822" t="s">
        <v>32</v>
      </c>
      <c r="D4822" t="s">
        <v>719</v>
      </c>
      <c r="E4822" t="s">
        <v>738</v>
      </c>
      <c r="F4822" t="s">
        <v>35</v>
      </c>
      <c r="G4822" t="s">
        <v>35</v>
      </c>
      <c r="H4822" t="s">
        <v>35</v>
      </c>
      <c r="J4822" t="s">
        <v>5614</v>
      </c>
      <c r="K4822" t="s">
        <v>1092</v>
      </c>
      <c r="M4822">
        <v>5.3550000000000004</v>
      </c>
      <c r="N4822">
        <v>65</v>
      </c>
      <c r="O4822" t="s">
        <v>61</v>
      </c>
      <c r="Q4822" t="s">
        <v>63</v>
      </c>
      <c r="R4822" t="s">
        <v>5454</v>
      </c>
      <c r="S4822" t="s">
        <v>756</v>
      </c>
      <c r="T4822" t="s">
        <v>757</v>
      </c>
    </row>
    <row r="4823" spans="1:20" x14ac:dyDescent="0.25">
      <c r="A4823" t="s">
        <v>30</v>
      </c>
      <c r="B4823" t="s">
        <v>31</v>
      </c>
      <c r="C4823" t="s">
        <v>32</v>
      </c>
      <c r="D4823" t="s">
        <v>719</v>
      </c>
      <c r="E4823" t="s">
        <v>742</v>
      </c>
      <c r="F4823" t="s">
        <v>35</v>
      </c>
      <c r="G4823" t="s">
        <v>35</v>
      </c>
      <c r="H4823" t="s">
        <v>35</v>
      </c>
      <c r="J4823" t="s">
        <v>5650</v>
      </c>
      <c r="K4823" t="s">
        <v>1092</v>
      </c>
      <c r="M4823">
        <v>5.085</v>
      </c>
      <c r="N4823">
        <v>146</v>
      </c>
      <c r="O4823" t="s">
        <v>38</v>
      </c>
      <c r="Q4823" t="s">
        <v>569</v>
      </c>
      <c r="R4823" t="s">
        <v>5454</v>
      </c>
      <c r="S4823" t="s">
        <v>756</v>
      </c>
      <c r="T4823" t="s">
        <v>757</v>
      </c>
    </row>
    <row r="4824" spans="1:20" x14ac:dyDescent="0.25">
      <c r="A4824" t="s">
        <v>59</v>
      </c>
      <c r="B4824" t="s">
        <v>31</v>
      </c>
      <c r="C4824" t="s">
        <v>32</v>
      </c>
      <c r="D4824" t="s">
        <v>719</v>
      </c>
      <c r="E4824" t="s">
        <v>742</v>
      </c>
      <c r="F4824" t="s">
        <v>35</v>
      </c>
      <c r="G4824" t="s">
        <v>35</v>
      </c>
      <c r="H4824" t="s">
        <v>35</v>
      </c>
      <c r="J4824" t="s">
        <v>5650</v>
      </c>
      <c r="K4824" t="s">
        <v>1092</v>
      </c>
      <c r="M4824">
        <v>6.7949999999999999</v>
      </c>
      <c r="N4824">
        <v>124</v>
      </c>
      <c r="O4824" t="s">
        <v>38</v>
      </c>
      <c r="Q4824" t="s">
        <v>646</v>
      </c>
      <c r="R4824" t="s">
        <v>5454</v>
      </c>
      <c r="S4824" t="s">
        <v>756</v>
      </c>
      <c r="T4824" t="s">
        <v>757</v>
      </c>
    </row>
    <row r="4825" spans="1:20" x14ac:dyDescent="0.25">
      <c r="A4825" t="s">
        <v>59</v>
      </c>
      <c r="B4825" t="s">
        <v>60</v>
      </c>
      <c r="C4825" t="s">
        <v>32</v>
      </c>
      <c r="D4825" t="s">
        <v>719</v>
      </c>
      <c r="E4825" t="s">
        <v>742</v>
      </c>
      <c r="F4825" t="s">
        <v>35</v>
      </c>
      <c r="G4825" t="s">
        <v>35</v>
      </c>
      <c r="H4825" t="s">
        <v>35</v>
      </c>
      <c r="J4825" t="s">
        <v>5650</v>
      </c>
      <c r="K4825" t="s">
        <v>1092</v>
      </c>
      <c r="M4825">
        <v>13</v>
      </c>
      <c r="N4825">
        <v>122</v>
      </c>
      <c r="O4825" t="s">
        <v>38</v>
      </c>
      <c r="Q4825" t="s">
        <v>1449</v>
      </c>
      <c r="R4825" t="s">
        <v>5454</v>
      </c>
      <c r="S4825" t="s">
        <v>756</v>
      </c>
      <c r="T4825" t="s">
        <v>757</v>
      </c>
    </row>
    <row r="4826" spans="1:20" x14ac:dyDescent="0.25">
      <c r="A4826" t="s">
        <v>30</v>
      </c>
      <c r="B4826" t="s">
        <v>31</v>
      </c>
      <c r="C4826" t="s">
        <v>32</v>
      </c>
      <c r="D4826" t="s">
        <v>719</v>
      </c>
      <c r="E4826" t="s">
        <v>763</v>
      </c>
      <c r="F4826" t="s">
        <v>35</v>
      </c>
      <c r="G4826" t="s">
        <v>35</v>
      </c>
      <c r="H4826" t="s">
        <v>35</v>
      </c>
      <c r="J4826" t="s">
        <v>5727</v>
      </c>
      <c r="K4826" t="s">
        <v>1092</v>
      </c>
      <c r="M4826">
        <v>4.9050000000000002</v>
      </c>
      <c r="N4826">
        <v>91</v>
      </c>
      <c r="O4826" t="s">
        <v>106</v>
      </c>
      <c r="Q4826" t="s">
        <v>108</v>
      </c>
      <c r="R4826" t="s">
        <v>5454</v>
      </c>
      <c r="S4826" t="s">
        <v>756</v>
      </c>
      <c r="T4826" t="s">
        <v>757</v>
      </c>
    </row>
    <row r="4827" spans="1:20" x14ac:dyDescent="0.25">
      <c r="A4827" t="s">
        <v>30</v>
      </c>
      <c r="B4827" t="s">
        <v>31</v>
      </c>
      <c r="C4827" t="s">
        <v>32</v>
      </c>
      <c r="D4827" t="s">
        <v>719</v>
      </c>
      <c r="E4827" t="s">
        <v>763</v>
      </c>
      <c r="F4827" t="s">
        <v>35</v>
      </c>
      <c r="G4827" t="s">
        <v>35</v>
      </c>
      <c r="H4827" t="s">
        <v>35</v>
      </c>
      <c r="J4827" t="s">
        <v>5728</v>
      </c>
      <c r="K4827" t="s">
        <v>1092</v>
      </c>
      <c r="M4827">
        <v>11.25</v>
      </c>
      <c r="N4827">
        <v>65</v>
      </c>
      <c r="O4827" t="s">
        <v>61</v>
      </c>
      <c r="Q4827" t="s">
        <v>63</v>
      </c>
      <c r="R4827" t="s">
        <v>5454</v>
      </c>
      <c r="S4827" t="s">
        <v>756</v>
      </c>
      <c r="T4827" t="s">
        <v>757</v>
      </c>
    </row>
    <row r="4828" spans="1:20" x14ac:dyDescent="0.25">
      <c r="A4828" t="s">
        <v>59</v>
      </c>
      <c r="B4828" t="s">
        <v>31</v>
      </c>
      <c r="C4828" t="s">
        <v>32</v>
      </c>
      <c r="D4828" t="s">
        <v>719</v>
      </c>
      <c r="E4828" t="s">
        <v>763</v>
      </c>
      <c r="F4828" t="s">
        <v>35</v>
      </c>
      <c r="G4828" t="s">
        <v>35</v>
      </c>
      <c r="H4828" t="s">
        <v>35</v>
      </c>
      <c r="J4828" t="s">
        <v>5728</v>
      </c>
      <c r="K4828" t="s">
        <v>1092</v>
      </c>
      <c r="M4828">
        <v>10.17</v>
      </c>
      <c r="N4828">
        <v>136</v>
      </c>
      <c r="O4828" t="s">
        <v>38</v>
      </c>
      <c r="Q4828" t="s">
        <v>2121</v>
      </c>
      <c r="R4828" t="s">
        <v>5454</v>
      </c>
      <c r="S4828" t="s">
        <v>756</v>
      </c>
      <c r="T4828" t="s">
        <v>757</v>
      </c>
    </row>
    <row r="4829" spans="1:20" x14ac:dyDescent="0.25">
      <c r="A4829" t="s">
        <v>30</v>
      </c>
      <c r="B4829" t="s">
        <v>31</v>
      </c>
      <c r="C4829" t="s">
        <v>32</v>
      </c>
      <c r="D4829" t="s">
        <v>719</v>
      </c>
      <c r="E4829" t="s">
        <v>755</v>
      </c>
      <c r="F4829" t="s">
        <v>35</v>
      </c>
      <c r="G4829" t="s">
        <v>35</v>
      </c>
      <c r="H4829" t="s">
        <v>35</v>
      </c>
      <c r="J4829" t="s">
        <v>5723</v>
      </c>
      <c r="K4829" t="s">
        <v>1092</v>
      </c>
      <c r="M4829">
        <v>0.01</v>
      </c>
      <c r="N4829">
        <v>503</v>
      </c>
      <c r="O4829" t="s">
        <v>294</v>
      </c>
      <c r="Q4829" t="s">
        <v>4279</v>
      </c>
      <c r="R4829" t="s">
        <v>5454</v>
      </c>
      <c r="S4829" t="s">
        <v>756</v>
      </c>
      <c r="T4829" t="s">
        <v>757</v>
      </c>
    </row>
    <row r="4830" spans="1:20" x14ac:dyDescent="0.25">
      <c r="A4830" t="s">
        <v>30</v>
      </c>
      <c r="B4830" t="s">
        <v>31</v>
      </c>
      <c r="C4830" t="s">
        <v>32</v>
      </c>
      <c r="D4830" t="s">
        <v>719</v>
      </c>
      <c r="F4830" t="s">
        <v>35</v>
      </c>
      <c r="G4830" t="s">
        <v>35</v>
      </c>
      <c r="H4830" t="s">
        <v>35</v>
      </c>
      <c r="J4830" t="s">
        <v>5870</v>
      </c>
      <c r="K4830" t="s">
        <v>1092</v>
      </c>
      <c r="M4830">
        <v>4.4999999999999998E-2</v>
      </c>
      <c r="N4830">
        <v>1728</v>
      </c>
      <c r="O4830" t="s">
        <v>575</v>
      </c>
      <c r="Q4830" t="s">
        <v>5871</v>
      </c>
      <c r="R4830" t="s">
        <v>5454</v>
      </c>
      <c r="S4830" t="s">
        <v>756</v>
      </c>
      <c r="T4830" t="s">
        <v>757</v>
      </c>
    </row>
    <row r="4831" spans="1:20" x14ac:dyDescent="0.25">
      <c r="A4831" t="s">
        <v>30</v>
      </c>
      <c r="B4831" t="s">
        <v>31</v>
      </c>
      <c r="C4831" t="s">
        <v>32</v>
      </c>
      <c r="D4831" t="s">
        <v>719</v>
      </c>
      <c r="E4831" t="s">
        <v>5743</v>
      </c>
      <c r="F4831" t="s">
        <v>35</v>
      </c>
      <c r="G4831" t="s">
        <v>35</v>
      </c>
      <c r="H4831" t="s">
        <v>35</v>
      </c>
      <c r="J4831" t="s">
        <v>5745</v>
      </c>
      <c r="K4831" t="s">
        <v>1092</v>
      </c>
      <c r="M4831">
        <v>6.3</v>
      </c>
      <c r="N4831">
        <v>65</v>
      </c>
      <c r="O4831" t="s">
        <v>61</v>
      </c>
      <c r="Q4831" t="s">
        <v>63</v>
      </c>
      <c r="R4831" t="s">
        <v>5454</v>
      </c>
      <c r="S4831" t="s">
        <v>756</v>
      </c>
      <c r="T4831" t="s">
        <v>757</v>
      </c>
    </row>
    <row r="4832" spans="1:20" x14ac:dyDescent="0.25">
      <c r="A4832" t="s">
        <v>44</v>
      </c>
      <c r="B4832" t="s">
        <v>51</v>
      </c>
      <c r="C4832" t="s">
        <v>32</v>
      </c>
      <c r="D4832" t="s">
        <v>719</v>
      </c>
      <c r="E4832" t="s">
        <v>742</v>
      </c>
      <c r="F4832" t="s">
        <v>35</v>
      </c>
      <c r="G4832" t="s">
        <v>35</v>
      </c>
      <c r="H4832" t="s">
        <v>35</v>
      </c>
      <c r="J4832" t="s">
        <v>5652</v>
      </c>
      <c r="K4832" t="s">
        <v>1092</v>
      </c>
      <c r="M4832">
        <v>10.9</v>
      </c>
      <c r="N4832">
        <v>64</v>
      </c>
      <c r="O4832" t="s">
        <v>61</v>
      </c>
      <c r="Q4832" t="s">
        <v>102</v>
      </c>
      <c r="R4832" t="s">
        <v>5454</v>
      </c>
      <c r="S4832" t="s">
        <v>756</v>
      </c>
      <c r="T4832" t="s">
        <v>757</v>
      </c>
    </row>
    <row r="4833" spans="1:20" x14ac:dyDescent="0.25">
      <c r="A4833" t="s">
        <v>30</v>
      </c>
      <c r="B4833" t="s">
        <v>31</v>
      </c>
      <c r="C4833" t="s">
        <v>32</v>
      </c>
      <c r="D4833" t="s">
        <v>719</v>
      </c>
      <c r="E4833" t="s">
        <v>738</v>
      </c>
      <c r="F4833" t="s">
        <v>35</v>
      </c>
      <c r="G4833" t="s">
        <v>35</v>
      </c>
      <c r="H4833" t="s">
        <v>35</v>
      </c>
      <c r="J4833" t="s">
        <v>5557</v>
      </c>
      <c r="K4833" t="s">
        <v>1092</v>
      </c>
      <c r="M4833">
        <v>10.89</v>
      </c>
      <c r="N4833">
        <v>42</v>
      </c>
      <c r="O4833" t="s">
        <v>52</v>
      </c>
      <c r="Q4833" t="s">
        <v>219</v>
      </c>
      <c r="R4833" t="s">
        <v>5454</v>
      </c>
      <c r="S4833" t="s">
        <v>756</v>
      </c>
      <c r="T4833" t="s">
        <v>757</v>
      </c>
    </row>
    <row r="4834" spans="1:20" x14ac:dyDescent="0.25">
      <c r="A4834" t="s">
        <v>30</v>
      </c>
      <c r="B4834" t="s">
        <v>31</v>
      </c>
      <c r="C4834" t="s">
        <v>32</v>
      </c>
      <c r="D4834" t="s">
        <v>719</v>
      </c>
      <c r="E4834" t="s">
        <v>738</v>
      </c>
      <c r="F4834" t="s">
        <v>35</v>
      </c>
      <c r="G4834" t="s">
        <v>35</v>
      </c>
      <c r="H4834" t="s">
        <v>35</v>
      </c>
      <c r="J4834" t="s">
        <v>5583</v>
      </c>
      <c r="K4834" t="s">
        <v>1092</v>
      </c>
      <c r="M4834">
        <v>0.36</v>
      </c>
      <c r="N4834">
        <v>146</v>
      </c>
      <c r="O4834" t="s">
        <v>38</v>
      </c>
      <c r="Q4834" t="s">
        <v>569</v>
      </c>
      <c r="R4834" t="s">
        <v>5454</v>
      </c>
      <c r="S4834" t="s">
        <v>756</v>
      </c>
      <c r="T4834" t="s">
        <v>757</v>
      </c>
    </row>
    <row r="4835" spans="1:20" x14ac:dyDescent="0.25">
      <c r="A4835" t="s">
        <v>30</v>
      </c>
      <c r="B4835" t="s">
        <v>31</v>
      </c>
      <c r="C4835" t="s">
        <v>32</v>
      </c>
      <c r="D4835" t="s">
        <v>719</v>
      </c>
      <c r="E4835" t="s">
        <v>5782</v>
      </c>
      <c r="F4835" t="s">
        <v>35</v>
      </c>
      <c r="G4835" t="s">
        <v>35</v>
      </c>
      <c r="H4835" t="s">
        <v>35</v>
      </c>
      <c r="J4835" t="s">
        <v>5794</v>
      </c>
      <c r="K4835" t="s">
        <v>1092</v>
      </c>
      <c r="M4835">
        <v>5.1749999999999998</v>
      </c>
      <c r="N4835">
        <v>126</v>
      </c>
      <c r="O4835" t="s">
        <v>38</v>
      </c>
      <c r="Q4835" t="s">
        <v>68</v>
      </c>
      <c r="R4835" t="s">
        <v>5454</v>
      </c>
      <c r="S4835" t="s">
        <v>756</v>
      </c>
      <c r="T4835" t="s">
        <v>757</v>
      </c>
    </row>
    <row r="4836" spans="1:20" x14ac:dyDescent="0.25">
      <c r="A4836" t="s">
        <v>59</v>
      </c>
      <c r="B4836" t="s">
        <v>31</v>
      </c>
      <c r="C4836" t="s">
        <v>32</v>
      </c>
      <c r="D4836" t="s">
        <v>719</v>
      </c>
      <c r="E4836" t="s">
        <v>5782</v>
      </c>
      <c r="F4836" t="s">
        <v>35</v>
      </c>
      <c r="G4836" t="s">
        <v>35</v>
      </c>
      <c r="H4836" t="s">
        <v>35</v>
      </c>
      <c r="J4836" t="s">
        <v>5794</v>
      </c>
      <c r="K4836" t="s">
        <v>1092</v>
      </c>
      <c r="M4836">
        <v>4.8150000000000004</v>
      </c>
      <c r="N4836">
        <v>124</v>
      </c>
      <c r="O4836" t="s">
        <v>38</v>
      </c>
      <c r="Q4836" t="s">
        <v>646</v>
      </c>
      <c r="R4836" t="s">
        <v>5454</v>
      </c>
      <c r="S4836" t="s">
        <v>756</v>
      </c>
      <c r="T4836" t="s">
        <v>757</v>
      </c>
    </row>
    <row r="4837" spans="1:20" x14ac:dyDescent="0.25">
      <c r="A4837" t="s">
        <v>30</v>
      </c>
      <c r="B4837" t="s">
        <v>31</v>
      </c>
      <c r="C4837" t="s">
        <v>32</v>
      </c>
      <c r="D4837" t="s">
        <v>719</v>
      </c>
      <c r="E4837" t="s">
        <v>738</v>
      </c>
      <c r="F4837" t="s">
        <v>35</v>
      </c>
      <c r="G4837" t="s">
        <v>35</v>
      </c>
      <c r="H4837" t="s">
        <v>35</v>
      </c>
      <c r="J4837" t="s">
        <v>5558</v>
      </c>
      <c r="K4837" t="s">
        <v>1092</v>
      </c>
      <c r="M4837">
        <v>6.5250000000000004</v>
      </c>
      <c r="N4837">
        <v>91</v>
      </c>
      <c r="O4837" t="s">
        <v>106</v>
      </c>
      <c r="Q4837" t="s">
        <v>108</v>
      </c>
      <c r="R4837" t="s">
        <v>5454</v>
      </c>
      <c r="S4837" t="s">
        <v>756</v>
      </c>
      <c r="T4837" t="s">
        <v>757</v>
      </c>
    </row>
    <row r="4838" spans="1:20" x14ac:dyDescent="0.25">
      <c r="A4838" t="s">
        <v>30</v>
      </c>
      <c r="B4838" t="s">
        <v>31</v>
      </c>
      <c r="C4838" t="s">
        <v>32</v>
      </c>
      <c r="D4838" t="s">
        <v>719</v>
      </c>
      <c r="E4838" t="s">
        <v>742</v>
      </c>
      <c r="F4838" t="s">
        <v>35</v>
      </c>
      <c r="G4838" t="s">
        <v>35</v>
      </c>
      <c r="H4838" t="s">
        <v>35</v>
      </c>
      <c r="J4838" t="s">
        <v>5674</v>
      </c>
      <c r="K4838" t="s">
        <v>1092</v>
      </c>
      <c r="M4838">
        <v>7.5149999999999997</v>
      </c>
      <c r="N4838">
        <v>42</v>
      </c>
      <c r="O4838" t="s">
        <v>52</v>
      </c>
      <c r="Q4838" t="s">
        <v>219</v>
      </c>
      <c r="R4838" t="s">
        <v>5454</v>
      </c>
      <c r="S4838" t="s">
        <v>756</v>
      </c>
      <c r="T4838" t="s">
        <v>757</v>
      </c>
    </row>
    <row r="4839" spans="1:20" x14ac:dyDescent="0.25">
      <c r="A4839" t="s">
        <v>30</v>
      </c>
      <c r="B4839" t="s">
        <v>31</v>
      </c>
      <c r="C4839" t="s">
        <v>32</v>
      </c>
      <c r="D4839" t="s">
        <v>719</v>
      </c>
      <c r="E4839" t="s">
        <v>5782</v>
      </c>
      <c r="F4839" t="s">
        <v>35</v>
      </c>
      <c r="G4839" t="s">
        <v>35</v>
      </c>
      <c r="H4839" t="s">
        <v>35</v>
      </c>
      <c r="J4839" t="s">
        <v>5793</v>
      </c>
      <c r="K4839" t="s">
        <v>1092</v>
      </c>
      <c r="M4839">
        <v>10.215</v>
      </c>
      <c r="N4839">
        <v>91</v>
      </c>
      <c r="O4839" t="s">
        <v>106</v>
      </c>
      <c r="Q4839" t="s">
        <v>108</v>
      </c>
      <c r="R4839" t="s">
        <v>5454</v>
      </c>
      <c r="S4839" t="s">
        <v>756</v>
      </c>
      <c r="T4839" t="s">
        <v>757</v>
      </c>
    </row>
    <row r="4840" spans="1:20" x14ac:dyDescent="0.25">
      <c r="A4840" t="s">
        <v>59</v>
      </c>
      <c r="B4840" t="s">
        <v>31</v>
      </c>
      <c r="C4840" t="s">
        <v>32</v>
      </c>
      <c r="D4840" t="s">
        <v>719</v>
      </c>
      <c r="E4840" t="s">
        <v>5701</v>
      </c>
      <c r="F4840" t="s">
        <v>35</v>
      </c>
      <c r="G4840" t="s">
        <v>35</v>
      </c>
      <c r="H4840" t="s">
        <v>35</v>
      </c>
      <c r="J4840" t="s">
        <v>5715</v>
      </c>
      <c r="K4840" t="s">
        <v>1092</v>
      </c>
      <c r="M4840">
        <v>0.18</v>
      </c>
      <c r="N4840">
        <v>276</v>
      </c>
      <c r="O4840" t="s">
        <v>5</v>
      </c>
      <c r="Q4840" t="s">
        <v>1771</v>
      </c>
      <c r="R4840" t="s">
        <v>5454</v>
      </c>
      <c r="S4840" t="s">
        <v>756</v>
      </c>
      <c r="T4840" t="s">
        <v>757</v>
      </c>
    </row>
    <row r="4841" spans="1:20" x14ac:dyDescent="0.25">
      <c r="A4841" t="s">
        <v>30</v>
      </c>
      <c r="B4841" t="s">
        <v>31</v>
      </c>
      <c r="C4841" t="s">
        <v>32</v>
      </c>
      <c r="D4841" t="s">
        <v>719</v>
      </c>
      <c r="F4841" t="s">
        <v>35</v>
      </c>
      <c r="G4841" t="s">
        <v>35</v>
      </c>
      <c r="H4841" t="s">
        <v>35</v>
      </c>
      <c r="J4841" t="s">
        <v>5844</v>
      </c>
      <c r="K4841" t="s">
        <v>1092</v>
      </c>
      <c r="M4841">
        <v>1.575</v>
      </c>
      <c r="N4841">
        <v>1922</v>
      </c>
      <c r="O4841" t="s">
        <v>575</v>
      </c>
      <c r="Q4841" t="s">
        <v>5845</v>
      </c>
      <c r="R4841" t="s">
        <v>5454</v>
      </c>
      <c r="S4841" t="s">
        <v>756</v>
      </c>
      <c r="T4841" t="s">
        <v>757</v>
      </c>
    </row>
    <row r="4842" spans="1:20" x14ac:dyDescent="0.25">
      <c r="A4842" t="s">
        <v>59</v>
      </c>
      <c r="B4842" t="s">
        <v>31</v>
      </c>
      <c r="C4842" t="s">
        <v>32</v>
      </c>
      <c r="D4842" t="s">
        <v>719</v>
      </c>
      <c r="E4842" t="s">
        <v>763</v>
      </c>
      <c r="F4842" t="s">
        <v>35</v>
      </c>
      <c r="G4842" t="s">
        <v>35</v>
      </c>
      <c r="H4842" t="s">
        <v>35</v>
      </c>
      <c r="J4842" t="s">
        <v>5735</v>
      </c>
      <c r="K4842" t="s">
        <v>1092</v>
      </c>
      <c r="M4842">
        <v>2.0249999999999999</v>
      </c>
      <c r="N4842">
        <v>756</v>
      </c>
      <c r="O4842" t="s">
        <v>575</v>
      </c>
      <c r="Q4842" t="s">
        <v>5736</v>
      </c>
      <c r="R4842" t="s">
        <v>5454</v>
      </c>
      <c r="S4842" t="s">
        <v>756</v>
      </c>
      <c r="T4842" t="s">
        <v>757</v>
      </c>
    </row>
    <row r="4843" spans="1:20" x14ac:dyDescent="0.25">
      <c r="A4843" t="s">
        <v>30</v>
      </c>
      <c r="B4843" t="s">
        <v>31</v>
      </c>
      <c r="C4843" t="s">
        <v>32</v>
      </c>
      <c r="D4843" t="s">
        <v>719</v>
      </c>
      <c r="E4843" t="s">
        <v>5756</v>
      </c>
      <c r="F4843" t="s">
        <v>35</v>
      </c>
      <c r="G4843" t="s">
        <v>35</v>
      </c>
      <c r="H4843" t="s">
        <v>35</v>
      </c>
      <c r="J4843" t="s">
        <v>5599</v>
      </c>
      <c r="K4843" t="s">
        <v>1092</v>
      </c>
      <c r="M4843">
        <v>10.664999999999999</v>
      </c>
      <c r="N4843">
        <v>91</v>
      </c>
      <c r="O4843" t="s">
        <v>106</v>
      </c>
      <c r="Q4843" t="s">
        <v>108</v>
      </c>
      <c r="R4843" t="s">
        <v>5454</v>
      </c>
      <c r="S4843" t="s">
        <v>756</v>
      </c>
      <c r="T4843" t="s">
        <v>757</v>
      </c>
    </row>
    <row r="4844" spans="1:20" x14ac:dyDescent="0.25">
      <c r="A4844" t="s">
        <v>30</v>
      </c>
      <c r="B4844" t="s">
        <v>31</v>
      </c>
      <c r="C4844" t="s">
        <v>32</v>
      </c>
      <c r="D4844" t="s">
        <v>719</v>
      </c>
      <c r="E4844" t="s">
        <v>5701</v>
      </c>
      <c r="F4844" t="s">
        <v>35</v>
      </c>
      <c r="G4844" t="s">
        <v>35</v>
      </c>
      <c r="H4844" t="s">
        <v>35</v>
      </c>
      <c r="J4844" t="s">
        <v>5702</v>
      </c>
      <c r="K4844" t="s">
        <v>1092</v>
      </c>
      <c r="M4844">
        <v>10.215</v>
      </c>
      <c r="N4844">
        <v>42</v>
      </c>
      <c r="O4844" t="s">
        <v>52</v>
      </c>
      <c r="Q4844" t="s">
        <v>219</v>
      </c>
      <c r="R4844" t="s">
        <v>5454</v>
      </c>
      <c r="S4844" t="s">
        <v>756</v>
      </c>
      <c r="T4844" t="s">
        <v>757</v>
      </c>
    </row>
    <row r="4845" spans="1:20" x14ac:dyDescent="0.25">
      <c r="A4845" t="s">
        <v>30</v>
      </c>
      <c r="B4845" t="s">
        <v>31</v>
      </c>
      <c r="C4845" t="s">
        <v>32</v>
      </c>
      <c r="D4845" t="s">
        <v>719</v>
      </c>
      <c r="E4845" t="s">
        <v>5795</v>
      </c>
      <c r="F4845" t="s">
        <v>35</v>
      </c>
      <c r="G4845" t="s">
        <v>35</v>
      </c>
      <c r="H4845" t="s">
        <v>35</v>
      </c>
      <c r="J4845" t="s">
        <v>5814</v>
      </c>
      <c r="K4845" t="s">
        <v>1092</v>
      </c>
      <c r="M4845">
        <v>2.7E-2</v>
      </c>
      <c r="N4845">
        <v>1861</v>
      </c>
      <c r="O4845" t="s">
        <v>575</v>
      </c>
      <c r="Q4845" t="s">
        <v>5571</v>
      </c>
      <c r="R4845" t="s">
        <v>5454</v>
      </c>
      <c r="S4845" t="s">
        <v>756</v>
      </c>
      <c r="T4845" t="s">
        <v>757</v>
      </c>
    </row>
    <row r="4846" spans="1:20" x14ac:dyDescent="0.25">
      <c r="A4846" t="s">
        <v>30</v>
      </c>
      <c r="B4846" t="s">
        <v>31</v>
      </c>
      <c r="C4846" t="s">
        <v>32</v>
      </c>
      <c r="D4846" t="s">
        <v>719</v>
      </c>
      <c r="E4846" t="s">
        <v>5497</v>
      </c>
      <c r="F4846" t="s">
        <v>35</v>
      </c>
      <c r="G4846" t="s">
        <v>35</v>
      </c>
      <c r="H4846" t="s">
        <v>35</v>
      </c>
      <c r="J4846" t="s">
        <v>5512</v>
      </c>
      <c r="K4846" t="s">
        <v>1092</v>
      </c>
      <c r="M4846">
        <v>2.5000000000000001E-2</v>
      </c>
      <c r="N4846">
        <v>285</v>
      </c>
      <c r="O4846" t="s">
        <v>5</v>
      </c>
      <c r="Q4846" t="s">
        <v>1234</v>
      </c>
      <c r="R4846" t="s">
        <v>5454</v>
      </c>
      <c r="S4846" t="s">
        <v>756</v>
      </c>
      <c r="T4846" t="s">
        <v>757</v>
      </c>
    </row>
    <row r="4847" spans="1:20" x14ac:dyDescent="0.25">
      <c r="A4847" t="s">
        <v>30</v>
      </c>
      <c r="B4847" t="s">
        <v>31</v>
      </c>
      <c r="C4847" t="s">
        <v>32</v>
      </c>
      <c r="D4847" t="s">
        <v>719</v>
      </c>
      <c r="E4847" t="s">
        <v>5782</v>
      </c>
      <c r="F4847" t="s">
        <v>35</v>
      </c>
      <c r="G4847" t="s">
        <v>35</v>
      </c>
      <c r="H4847" t="s">
        <v>35</v>
      </c>
      <c r="J4847" t="s">
        <v>2063</v>
      </c>
      <c r="K4847" t="s">
        <v>1092</v>
      </c>
      <c r="M4847">
        <v>4.7249999999999996</v>
      </c>
      <c r="N4847">
        <v>123</v>
      </c>
      <c r="O4847" t="s">
        <v>38</v>
      </c>
      <c r="Q4847" t="s">
        <v>1656</v>
      </c>
      <c r="R4847" t="s">
        <v>5454</v>
      </c>
      <c r="S4847" t="s">
        <v>756</v>
      </c>
      <c r="T4847" t="s">
        <v>757</v>
      </c>
    </row>
    <row r="4848" spans="1:20" x14ac:dyDescent="0.25">
      <c r="A4848" t="s">
        <v>30</v>
      </c>
      <c r="B4848" t="s">
        <v>31</v>
      </c>
      <c r="C4848" t="s">
        <v>32</v>
      </c>
      <c r="D4848" t="s">
        <v>719</v>
      </c>
      <c r="E4848" t="s">
        <v>738</v>
      </c>
      <c r="F4848" t="s">
        <v>35</v>
      </c>
      <c r="G4848" t="s">
        <v>35</v>
      </c>
      <c r="H4848" t="s">
        <v>35</v>
      </c>
      <c r="J4848" t="s">
        <v>4394</v>
      </c>
      <c r="K4848" t="s">
        <v>1092</v>
      </c>
      <c r="M4848">
        <v>4.3650000000000002</v>
      </c>
      <c r="N4848">
        <v>129</v>
      </c>
      <c r="O4848" t="s">
        <v>38</v>
      </c>
      <c r="Q4848" t="s">
        <v>157</v>
      </c>
      <c r="R4848" t="s">
        <v>5454</v>
      </c>
      <c r="S4848" t="s">
        <v>756</v>
      </c>
      <c r="T4848" t="s">
        <v>757</v>
      </c>
    </row>
    <row r="4849" spans="1:20" x14ac:dyDescent="0.25">
      <c r="A4849" t="s">
        <v>30</v>
      </c>
      <c r="B4849" t="s">
        <v>31</v>
      </c>
      <c r="C4849" t="s">
        <v>32</v>
      </c>
      <c r="D4849" t="s">
        <v>719</v>
      </c>
      <c r="E4849" t="s">
        <v>738</v>
      </c>
      <c r="F4849" t="s">
        <v>35</v>
      </c>
      <c r="G4849" t="s">
        <v>35</v>
      </c>
      <c r="H4849" t="s">
        <v>35</v>
      </c>
      <c r="J4849" t="s">
        <v>5633</v>
      </c>
      <c r="K4849" t="s">
        <v>1092</v>
      </c>
      <c r="M4849">
        <v>10.89</v>
      </c>
      <c r="N4849">
        <v>42</v>
      </c>
      <c r="O4849" t="s">
        <v>52</v>
      </c>
      <c r="Q4849" t="s">
        <v>219</v>
      </c>
      <c r="R4849" t="s">
        <v>5454</v>
      </c>
      <c r="S4849" t="s">
        <v>756</v>
      </c>
      <c r="T4849" t="s">
        <v>757</v>
      </c>
    </row>
    <row r="4850" spans="1:20" x14ac:dyDescent="0.25">
      <c r="A4850" t="s">
        <v>30</v>
      </c>
      <c r="B4850" t="s">
        <v>31</v>
      </c>
      <c r="C4850" t="s">
        <v>32</v>
      </c>
      <c r="D4850" t="s">
        <v>719</v>
      </c>
      <c r="E4850" t="s">
        <v>738</v>
      </c>
      <c r="F4850" t="s">
        <v>35</v>
      </c>
      <c r="G4850" t="s">
        <v>35</v>
      </c>
      <c r="H4850" t="s">
        <v>35</v>
      </c>
      <c r="J4850" t="s">
        <v>5633</v>
      </c>
      <c r="K4850" t="s">
        <v>1092</v>
      </c>
      <c r="M4850">
        <v>5.94</v>
      </c>
      <c r="N4850">
        <v>65</v>
      </c>
      <c r="O4850" t="s">
        <v>61</v>
      </c>
      <c r="Q4850" t="s">
        <v>63</v>
      </c>
      <c r="R4850" t="s">
        <v>5454</v>
      </c>
      <c r="S4850" t="s">
        <v>756</v>
      </c>
      <c r="T4850" t="s">
        <v>757</v>
      </c>
    </row>
    <row r="4851" spans="1:20" x14ac:dyDescent="0.25">
      <c r="A4851" t="s">
        <v>30</v>
      </c>
      <c r="B4851" t="s">
        <v>31</v>
      </c>
      <c r="C4851" t="s">
        <v>32</v>
      </c>
      <c r="D4851" t="s">
        <v>719</v>
      </c>
      <c r="E4851" t="s">
        <v>720</v>
      </c>
      <c r="F4851" t="s">
        <v>35</v>
      </c>
      <c r="G4851" t="s">
        <v>35</v>
      </c>
      <c r="H4851" t="s">
        <v>35</v>
      </c>
      <c r="J4851" t="s">
        <v>5453</v>
      </c>
      <c r="K4851" t="s">
        <v>1092</v>
      </c>
      <c r="M4851">
        <v>1.7549999999999999</v>
      </c>
      <c r="N4851">
        <v>501</v>
      </c>
      <c r="O4851" t="s">
        <v>294</v>
      </c>
      <c r="Q4851" t="s">
        <v>3696</v>
      </c>
      <c r="R4851" t="s">
        <v>5454</v>
      </c>
      <c r="S4851" t="s">
        <v>756</v>
      </c>
      <c r="T4851" t="s">
        <v>757</v>
      </c>
    </row>
    <row r="4852" spans="1:20" x14ac:dyDescent="0.25">
      <c r="A4852" t="s">
        <v>30</v>
      </c>
      <c r="B4852" t="s">
        <v>31</v>
      </c>
      <c r="C4852" t="s">
        <v>32</v>
      </c>
      <c r="D4852" t="s">
        <v>719</v>
      </c>
      <c r="E4852" t="s">
        <v>5701</v>
      </c>
      <c r="F4852" t="s">
        <v>35</v>
      </c>
      <c r="G4852" t="s">
        <v>35</v>
      </c>
      <c r="H4852" t="s">
        <v>35</v>
      </c>
      <c r="J4852" t="s">
        <v>5703</v>
      </c>
      <c r="K4852" t="s">
        <v>1092</v>
      </c>
      <c r="M4852">
        <v>18.495000000000001</v>
      </c>
      <c r="N4852">
        <v>123</v>
      </c>
      <c r="O4852" t="s">
        <v>38</v>
      </c>
      <c r="Q4852" t="s">
        <v>1656</v>
      </c>
      <c r="R4852" t="s">
        <v>5454</v>
      </c>
      <c r="S4852" t="s">
        <v>756</v>
      </c>
      <c r="T4852" t="s">
        <v>757</v>
      </c>
    </row>
    <row r="4853" spans="1:20" x14ac:dyDescent="0.25">
      <c r="A4853" t="s">
        <v>59</v>
      </c>
      <c r="B4853" t="s">
        <v>31</v>
      </c>
      <c r="C4853" t="s">
        <v>32</v>
      </c>
      <c r="D4853" t="s">
        <v>719</v>
      </c>
      <c r="E4853" t="s">
        <v>5818</v>
      </c>
      <c r="F4853" t="s">
        <v>35</v>
      </c>
      <c r="G4853" t="s">
        <v>35</v>
      </c>
      <c r="H4853" t="s">
        <v>35</v>
      </c>
      <c r="J4853" t="s">
        <v>5829</v>
      </c>
      <c r="K4853" t="s">
        <v>1092</v>
      </c>
      <c r="M4853">
        <v>0.18</v>
      </c>
      <c r="N4853">
        <v>210</v>
      </c>
      <c r="O4853" t="s">
        <v>5</v>
      </c>
      <c r="Q4853" t="s">
        <v>1159</v>
      </c>
      <c r="R4853" t="s">
        <v>5454</v>
      </c>
      <c r="S4853" t="s">
        <v>756</v>
      </c>
      <c r="T4853" t="s">
        <v>757</v>
      </c>
    </row>
    <row r="4854" spans="1:20" x14ac:dyDescent="0.25">
      <c r="A4854" t="s">
        <v>30</v>
      </c>
      <c r="B4854" t="s">
        <v>31</v>
      </c>
      <c r="C4854" t="s">
        <v>32</v>
      </c>
      <c r="D4854" t="s">
        <v>719</v>
      </c>
      <c r="E4854" t="s">
        <v>5795</v>
      </c>
      <c r="F4854" t="s">
        <v>35</v>
      </c>
      <c r="G4854" t="s">
        <v>35</v>
      </c>
      <c r="H4854" t="s">
        <v>35</v>
      </c>
      <c r="J4854" t="s">
        <v>5796</v>
      </c>
      <c r="K4854" t="s">
        <v>1092</v>
      </c>
      <c r="M4854">
        <v>6.5000000000000002E-2</v>
      </c>
      <c r="N4854">
        <v>91</v>
      </c>
      <c r="O4854" t="s">
        <v>106</v>
      </c>
      <c r="Q4854" t="s">
        <v>108</v>
      </c>
      <c r="R4854" t="s">
        <v>5454</v>
      </c>
      <c r="S4854" t="s">
        <v>756</v>
      </c>
      <c r="T4854" t="s">
        <v>757</v>
      </c>
    </row>
    <row r="4855" spans="1:20" x14ac:dyDescent="0.25">
      <c r="A4855" t="s">
        <v>30</v>
      </c>
      <c r="B4855" t="s">
        <v>31</v>
      </c>
      <c r="C4855" t="s">
        <v>32</v>
      </c>
      <c r="D4855" t="s">
        <v>719</v>
      </c>
      <c r="E4855" t="s">
        <v>5459</v>
      </c>
      <c r="F4855" t="s">
        <v>35</v>
      </c>
      <c r="G4855" t="s">
        <v>35</v>
      </c>
      <c r="H4855" t="s">
        <v>35</v>
      </c>
      <c r="J4855" t="s">
        <v>5473</v>
      </c>
      <c r="K4855" t="s">
        <v>1092</v>
      </c>
      <c r="M4855">
        <v>9.6750000000000007</v>
      </c>
      <c r="N4855">
        <v>122</v>
      </c>
      <c r="O4855" t="s">
        <v>38</v>
      </c>
      <c r="Q4855" t="s">
        <v>1449</v>
      </c>
      <c r="R4855" t="s">
        <v>5454</v>
      </c>
      <c r="S4855" t="s">
        <v>756</v>
      </c>
      <c r="T4855" t="s">
        <v>757</v>
      </c>
    </row>
    <row r="4856" spans="1:20" x14ac:dyDescent="0.25">
      <c r="A4856" t="s">
        <v>59</v>
      </c>
      <c r="B4856" t="s">
        <v>31</v>
      </c>
      <c r="C4856" t="s">
        <v>32</v>
      </c>
      <c r="D4856" t="s">
        <v>719</v>
      </c>
      <c r="E4856" t="s">
        <v>738</v>
      </c>
      <c r="F4856" t="s">
        <v>35</v>
      </c>
      <c r="G4856" t="s">
        <v>35</v>
      </c>
      <c r="H4856" t="s">
        <v>35</v>
      </c>
      <c r="J4856" t="s">
        <v>5594</v>
      </c>
      <c r="K4856" t="s">
        <v>1092</v>
      </c>
      <c r="M4856">
        <v>5.7149999999999999</v>
      </c>
      <c r="N4856">
        <v>136</v>
      </c>
      <c r="O4856" t="s">
        <v>38</v>
      </c>
      <c r="Q4856" t="s">
        <v>2121</v>
      </c>
      <c r="R4856" t="s">
        <v>5432</v>
      </c>
      <c r="S4856" t="s">
        <v>759</v>
      </c>
      <c r="T4856" t="s">
        <v>760</v>
      </c>
    </row>
    <row r="4857" spans="1:20" x14ac:dyDescent="0.25">
      <c r="A4857" t="s">
        <v>30</v>
      </c>
      <c r="B4857" t="s">
        <v>31</v>
      </c>
      <c r="C4857" t="s">
        <v>32</v>
      </c>
      <c r="D4857" t="s">
        <v>719</v>
      </c>
      <c r="E4857" t="s">
        <v>5795</v>
      </c>
      <c r="F4857" t="s">
        <v>35</v>
      </c>
      <c r="G4857" t="s">
        <v>35</v>
      </c>
      <c r="H4857" t="s">
        <v>35</v>
      </c>
      <c r="J4857" t="s">
        <v>5801</v>
      </c>
      <c r="K4857" t="s">
        <v>1092</v>
      </c>
      <c r="M4857">
        <v>0.9</v>
      </c>
      <c r="N4857">
        <v>525</v>
      </c>
      <c r="O4857" t="s">
        <v>294</v>
      </c>
      <c r="Q4857" t="s">
        <v>2400</v>
      </c>
      <c r="R4857" t="s">
        <v>5432</v>
      </c>
      <c r="S4857" t="s">
        <v>759</v>
      </c>
      <c r="T4857" t="s">
        <v>760</v>
      </c>
    </row>
    <row r="4858" spans="1:20" x14ac:dyDescent="0.25">
      <c r="A4858" t="s">
        <v>59</v>
      </c>
      <c r="B4858" t="s">
        <v>31</v>
      </c>
      <c r="C4858" t="s">
        <v>32</v>
      </c>
      <c r="D4858" t="s">
        <v>719</v>
      </c>
      <c r="E4858" t="s">
        <v>738</v>
      </c>
      <c r="F4858" t="s">
        <v>35</v>
      </c>
      <c r="G4858" t="s">
        <v>35</v>
      </c>
      <c r="H4858" t="s">
        <v>35</v>
      </c>
      <c r="J4858" t="s">
        <v>5612</v>
      </c>
      <c r="K4858" t="s">
        <v>1092</v>
      </c>
      <c r="M4858">
        <v>10.845000000000001</v>
      </c>
      <c r="N4858">
        <v>136</v>
      </c>
      <c r="O4858" t="s">
        <v>38</v>
      </c>
      <c r="Q4858" t="s">
        <v>2121</v>
      </c>
      <c r="R4858" t="s">
        <v>5432</v>
      </c>
      <c r="S4858" t="s">
        <v>759</v>
      </c>
      <c r="T4858" t="s">
        <v>760</v>
      </c>
    </row>
    <row r="4859" spans="1:20" x14ac:dyDescent="0.25">
      <c r="A4859" t="s">
        <v>59</v>
      </c>
      <c r="B4859" t="s">
        <v>31</v>
      </c>
      <c r="C4859" t="s">
        <v>32</v>
      </c>
      <c r="D4859" t="s">
        <v>719</v>
      </c>
      <c r="E4859" t="s">
        <v>5459</v>
      </c>
      <c r="F4859" t="s">
        <v>35</v>
      </c>
      <c r="G4859" t="s">
        <v>35</v>
      </c>
      <c r="H4859" t="s">
        <v>35</v>
      </c>
      <c r="J4859" t="s">
        <v>5491</v>
      </c>
      <c r="K4859" t="s">
        <v>1092</v>
      </c>
      <c r="M4859">
        <v>9.9450000000000003</v>
      </c>
      <c r="N4859">
        <v>136</v>
      </c>
      <c r="O4859" t="s">
        <v>38</v>
      </c>
      <c r="Q4859" t="s">
        <v>2121</v>
      </c>
      <c r="R4859" t="s">
        <v>5432</v>
      </c>
      <c r="S4859" t="s">
        <v>759</v>
      </c>
      <c r="T4859" t="s">
        <v>760</v>
      </c>
    </row>
    <row r="4860" spans="1:20" x14ac:dyDescent="0.25">
      <c r="A4860" t="s">
        <v>59</v>
      </c>
      <c r="B4860" t="s">
        <v>31</v>
      </c>
      <c r="C4860" t="s">
        <v>32</v>
      </c>
      <c r="D4860" t="s">
        <v>719</v>
      </c>
      <c r="E4860" t="s">
        <v>5782</v>
      </c>
      <c r="F4860" t="s">
        <v>35</v>
      </c>
      <c r="G4860" t="s">
        <v>35</v>
      </c>
      <c r="H4860" t="s">
        <v>35</v>
      </c>
      <c r="J4860" t="s">
        <v>5792</v>
      </c>
      <c r="K4860" t="s">
        <v>1092</v>
      </c>
      <c r="M4860">
        <v>16.29</v>
      </c>
      <c r="N4860">
        <v>125</v>
      </c>
      <c r="O4860" t="s">
        <v>38</v>
      </c>
      <c r="Q4860" t="s">
        <v>2901</v>
      </c>
      <c r="R4860" t="s">
        <v>5432</v>
      </c>
      <c r="S4860" t="s">
        <v>759</v>
      </c>
      <c r="T4860" t="s">
        <v>760</v>
      </c>
    </row>
    <row r="4861" spans="1:20" x14ac:dyDescent="0.25">
      <c r="A4861" t="s">
        <v>59</v>
      </c>
      <c r="B4861" t="s">
        <v>31</v>
      </c>
      <c r="C4861" t="s">
        <v>32</v>
      </c>
      <c r="D4861" t="s">
        <v>719</v>
      </c>
      <c r="E4861" t="s">
        <v>5818</v>
      </c>
      <c r="F4861" t="s">
        <v>35</v>
      </c>
      <c r="G4861" t="s">
        <v>35</v>
      </c>
      <c r="H4861" t="s">
        <v>35</v>
      </c>
      <c r="J4861" t="s">
        <v>5830</v>
      </c>
      <c r="K4861" t="s">
        <v>1092</v>
      </c>
      <c r="M4861">
        <v>5.31</v>
      </c>
      <c r="N4861">
        <v>137</v>
      </c>
      <c r="O4861" t="s">
        <v>38</v>
      </c>
      <c r="Q4861" t="s">
        <v>2929</v>
      </c>
      <c r="R4861" t="s">
        <v>5432</v>
      </c>
      <c r="S4861" t="s">
        <v>759</v>
      </c>
      <c r="T4861" t="s">
        <v>760</v>
      </c>
    </row>
    <row r="4862" spans="1:20" x14ac:dyDescent="0.25">
      <c r="A4862" t="s">
        <v>30</v>
      </c>
      <c r="B4862" t="s">
        <v>31</v>
      </c>
      <c r="C4862" t="s">
        <v>32</v>
      </c>
      <c r="D4862" t="s">
        <v>719</v>
      </c>
      <c r="E4862" t="s">
        <v>738</v>
      </c>
      <c r="F4862" t="s">
        <v>35</v>
      </c>
      <c r="G4862" t="s">
        <v>35</v>
      </c>
      <c r="H4862" t="s">
        <v>35</v>
      </c>
      <c r="J4862" t="s">
        <v>5563</v>
      </c>
      <c r="K4862" t="s">
        <v>1092</v>
      </c>
      <c r="M4862">
        <v>2.16</v>
      </c>
      <c r="N4862">
        <v>221</v>
      </c>
      <c r="O4862" t="s">
        <v>5</v>
      </c>
      <c r="Q4862" t="s">
        <v>1979</v>
      </c>
      <c r="R4862" t="s">
        <v>5432</v>
      </c>
      <c r="S4862" t="s">
        <v>759</v>
      </c>
      <c r="T4862" t="s">
        <v>760</v>
      </c>
    </row>
    <row r="4863" spans="1:20" x14ac:dyDescent="0.25">
      <c r="A4863" t="s">
        <v>30</v>
      </c>
      <c r="B4863" t="s">
        <v>31</v>
      </c>
      <c r="C4863" t="s">
        <v>32</v>
      </c>
      <c r="D4863" t="s">
        <v>719</v>
      </c>
      <c r="E4863" t="s">
        <v>738</v>
      </c>
      <c r="F4863" t="s">
        <v>35</v>
      </c>
      <c r="G4863" t="s">
        <v>35</v>
      </c>
      <c r="H4863" t="s">
        <v>35</v>
      </c>
      <c r="J4863" t="s">
        <v>5547</v>
      </c>
      <c r="K4863" t="s">
        <v>1092</v>
      </c>
      <c r="M4863">
        <v>3.2850000000000001</v>
      </c>
      <c r="N4863">
        <v>129</v>
      </c>
      <c r="O4863" t="s">
        <v>38</v>
      </c>
      <c r="Q4863" t="s">
        <v>157</v>
      </c>
      <c r="R4863" t="s">
        <v>5432</v>
      </c>
      <c r="S4863" t="s">
        <v>759</v>
      </c>
      <c r="T4863" t="s">
        <v>760</v>
      </c>
    </row>
    <row r="4864" spans="1:20" x14ac:dyDescent="0.25">
      <c r="A4864" t="s">
        <v>30</v>
      </c>
      <c r="B4864" t="s">
        <v>31</v>
      </c>
      <c r="C4864" t="s">
        <v>32</v>
      </c>
      <c r="D4864" t="s">
        <v>719</v>
      </c>
      <c r="E4864" t="s">
        <v>5701</v>
      </c>
      <c r="F4864" t="s">
        <v>35</v>
      </c>
      <c r="G4864" t="s">
        <v>35</v>
      </c>
      <c r="H4864" t="s">
        <v>35</v>
      </c>
      <c r="J4864" t="s">
        <v>5713</v>
      </c>
      <c r="K4864" t="s">
        <v>1092</v>
      </c>
      <c r="M4864">
        <v>11.025</v>
      </c>
      <c r="N4864">
        <v>61</v>
      </c>
      <c r="O4864" t="s">
        <v>61</v>
      </c>
      <c r="Q4864" t="s">
        <v>146</v>
      </c>
      <c r="R4864" t="s">
        <v>5432</v>
      </c>
      <c r="S4864" t="s">
        <v>759</v>
      </c>
      <c r="T4864" t="s">
        <v>760</v>
      </c>
    </row>
    <row r="4865" spans="1:20" x14ac:dyDescent="0.25">
      <c r="A4865" t="s">
        <v>30</v>
      </c>
      <c r="B4865" t="s">
        <v>31</v>
      </c>
      <c r="C4865" t="s">
        <v>32</v>
      </c>
      <c r="D4865" t="s">
        <v>719</v>
      </c>
      <c r="E4865" t="s">
        <v>742</v>
      </c>
      <c r="F4865" t="s">
        <v>35</v>
      </c>
      <c r="G4865" t="s">
        <v>35</v>
      </c>
      <c r="H4865" t="s">
        <v>35</v>
      </c>
      <c r="J4865" t="s">
        <v>5667</v>
      </c>
      <c r="K4865" t="s">
        <v>1092</v>
      </c>
      <c r="M4865">
        <v>0.81</v>
      </c>
      <c r="N4865">
        <v>40</v>
      </c>
      <c r="O4865" t="s">
        <v>52</v>
      </c>
      <c r="Q4865" t="s">
        <v>132</v>
      </c>
      <c r="R4865" t="s">
        <v>5432</v>
      </c>
      <c r="S4865" t="s">
        <v>759</v>
      </c>
      <c r="T4865" t="s">
        <v>760</v>
      </c>
    </row>
    <row r="4866" spans="1:20" x14ac:dyDescent="0.25">
      <c r="A4866" t="s">
        <v>44</v>
      </c>
      <c r="B4866" t="s">
        <v>51</v>
      </c>
      <c r="C4866" t="s">
        <v>32</v>
      </c>
      <c r="D4866" t="s">
        <v>719</v>
      </c>
      <c r="E4866" t="s">
        <v>738</v>
      </c>
      <c r="F4866" t="s">
        <v>35</v>
      </c>
      <c r="G4866" t="s">
        <v>35</v>
      </c>
      <c r="H4866" t="s">
        <v>35</v>
      </c>
      <c r="J4866" t="s">
        <v>5625</v>
      </c>
      <c r="K4866" t="s">
        <v>1092</v>
      </c>
      <c r="M4866">
        <v>0.1</v>
      </c>
      <c r="N4866">
        <v>49</v>
      </c>
      <c r="O4866" t="s">
        <v>52</v>
      </c>
      <c r="Q4866" t="s">
        <v>453</v>
      </c>
      <c r="R4866" t="s">
        <v>5432</v>
      </c>
      <c r="S4866" t="s">
        <v>759</v>
      </c>
      <c r="T4866" t="s">
        <v>760</v>
      </c>
    </row>
    <row r="4867" spans="1:20" x14ac:dyDescent="0.25">
      <c r="A4867" t="s">
        <v>59</v>
      </c>
      <c r="B4867" t="s">
        <v>31</v>
      </c>
      <c r="C4867" t="s">
        <v>32</v>
      </c>
      <c r="D4867" t="s">
        <v>719</v>
      </c>
      <c r="E4867" t="s">
        <v>755</v>
      </c>
      <c r="F4867" t="s">
        <v>35</v>
      </c>
      <c r="G4867" t="s">
        <v>35</v>
      </c>
      <c r="H4867" t="s">
        <v>35</v>
      </c>
      <c r="J4867" t="s">
        <v>5721</v>
      </c>
      <c r="K4867" t="s">
        <v>1092</v>
      </c>
      <c r="M4867">
        <v>3.2850000000000001</v>
      </c>
      <c r="N4867">
        <v>124</v>
      </c>
      <c r="O4867" t="s">
        <v>38</v>
      </c>
      <c r="Q4867" t="s">
        <v>646</v>
      </c>
      <c r="R4867" t="s">
        <v>5432</v>
      </c>
      <c r="S4867" t="s">
        <v>759</v>
      </c>
      <c r="T4867" t="s">
        <v>760</v>
      </c>
    </row>
    <row r="4868" spans="1:20" x14ac:dyDescent="0.25">
      <c r="A4868" t="s">
        <v>30</v>
      </c>
      <c r="B4868" t="s">
        <v>31</v>
      </c>
      <c r="C4868" t="s">
        <v>32</v>
      </c>
      <c r="D4868" t="s">
        <v>719</v>
      </c>
      <c r="E4868" t="s">
        <v>738</v>
      </c>
      <c r="F4868" t="s">
        <v>35</v>
      </c>
      <c r="G4868" t="s">
        <v>35</v>
      </c>
      <c r="H4868" t="s">
        <v>35</v>
      </c>
      <c r="J4868" t="s">
        <v>5598</v>
      </c>
      <c r="K4868" t="s">
        <v>1092</v>
      </c>
      <c r="M4868">
        <v>7.0000000000000007E-2</v>
      </c>
      <c r="N4868">
        <v>147</v>
      </c>
      <c r="O4868" t="s">
        <v>38</v>
      </c>
      <c r="Q4868" t="s">
        <v>3398</v>
      </c>
      <c r="R4868" t="s">
        <v>5432</v>
      </c>
      <c r="S4868" t="s">
        <v>759</v>
      </c>
      <c r="T4868" t="s">
        <v>760</v>
      </c>
    </row>
    <row r="4869" spans="1:20" x14ac:dyDescent="0.25">
      <c r="A4869" t="s">
        <v>30</v>
      </c>
      <c r="B4869" t="s">
        <v>31</v>
      </c>
      <c r="C4869" t="s">
        <v>32</v>
      </c>
      <c r="D4869" t="s">
        <v>719</v>
      </c>
      <c r="E4869" t="s">
        <v>720</v>
      </c>
      <c r="F4869" t="s">
        <v>35</v>
      </c>
      <c r="G4869" t="s">
        <v>35</v>
      </c>
      <c r="H4869" t="s">
        <v>35</v>
      </c>
      <c r="J4869" t="s">
        <v>5436</v>
      </c>
      <c r="K4869" t="s">
        <v>1092</v>
      </c>
      <c r="M4869">
        <v>2.2949999999999999</v>
      </c>
      <c r="N4869">
        <v>88</v>
      </c>
      <c r="O4869" t="s">
        <v>61</v>
      </c>
      <c r="Q4869" t="s">
        <v>724</v>
      </c>
      <c r="R4869" t="s">
        <v>5432</v>
      </c>
      <c r="S4869" t="s">
        <v>759</v>
      </c>
      <c r="T4869" t="s">
        <v>760</v>
      </c>
    </row>
    <row r="4870" spans="1:20" x14ac:dyDescent="0.25">
      <c r="A4870" t="s">
        <v>30</v>
      </c>
      <c r="B4870" t="s">
        <v>31</v>
      </c>
      <c r="C4870" t="s">
        <v>32</v>
      </c>
      <c r="D4870" t="s">
        <v>719</v>
      </c>
      <c r="E4870" t="s">
        <v>738</v>
      </c>
      <c r="F4870" t="s">
        <v>35</v>
      </c>
      <c r="G4870" t="s">
        <v>35</v>
      </c>
      <c r="H4870" t="s">
        <v>35</v>
      </c>
      <c r="J4870" t="s">
        <v>5566</v>
      </c>
      <c r="K4870" t="s">
        <v>1092</v>
      </c>
      <c r="M4870">
        <v>1.89</v>
      </c>
      <c r="N4870">
        <v>165</v>
      </c>
      <c r="O4870" t="s">
        <v>38</v>
      </c>
      <c r="Q4870" t="s">
        <v>1124</v>
      </c>
      <c r="R4870" t="s">
        <v>5432</v>
      </c>
      <c r="S4870" t="s">
        <v>759</v>
      </c>
      <c r="T4870" t="s">
        <v>760</v>
      </c>
    </row>
    <row r="4871" spans="1:20" x14ac:dyDescent="0.25">
      <c r="A4871" t="s">
        <v>30</v>
      </c>
      <c r="B4871" t="s">
        <v>31</v>
      </c>
      <c r="C4871" t="s">
        <v>32</v>
      </c>
      <c r="D4871" t="s">
        <v>719</v>
      </c>
      <c r="E4871" t="s">
        <v>738</v>
      </c>
      <c r="F4871" t="s">
        <v>35</v>
      </c>
      <c r="G4871" t="s">
        <v>35</v>
      </c>
      <c r="H4871" t="s">
        <v>35</v>
      </c>
      <c r="J4871" t="s">
        <v>5635</v>
      </c>
      <c r="K4871" t="s">
        <v>1092</v>
      </c>
      <c r="M4871">
        <v>2.2949999999999999</v>
      </c>
      <c r="N4871">
        <v>129</v>
      </c>
      <c r="O4871" t="s">
        <v>38</v>
      </c>
      <c r="Q4871" t="s">
        <v>157</v>
      </c>
      <c r="R4871" t="s">
        <v>5432</v>
      </c>
      <c r="S4871" t="s">
        <v>759</v>
      </c>
      <c r="T4871" t="s">
        <v>760</v>
      </c>
    </row>
    <row r="4872" spans="1:20" x14ac:dyDescent="0.25">
      <c r="A4872" t="s">
        <v>59</v>
      </c>
      <c r="B4872" t="s">
        <v>60</v>
      </c>
      <c r="C4872" t="s">
        <v>32</v>
      </c>
      <c r="D4872" t="s">
        <v>719</v>
      </c>
      <c r="E4872" t="s">
        <v>720</v>
      </c>
      <c r="F4872" t="s">
        <v>35</v>
      </c>
      <c r="G4872" t="s">
        <v>35</v>
      </c>
      <c r="H4872" t="s">
        <v>35</v>
      </c>
      <c r="J4872" t="s">
        <v>5431</v>
      </c>
      <c r="K4872" t="s">
        <v>1092</v>
      </c>
      <c r="M4872">
        <v>0.9</v>
      </c>
      <c r="N4872">
        <v>209</v>
      </c>
      <c r="O4872" t="s">
        <v>5</v>
      </c>
      <c r="Q4872" t="s">
        <v>1492</v>
      </c>
      <c r="R4872" t="s">
        <v>5432</v>
      </c>
      <c r="S4872" t="s">
        <v>759</v>
      </c>
      <c r="T4872" t="s">
        <v>760</v>
      </c>
    </row>
    <row r="4873" spans="1:20" x14ac:dyDescent="0.25">
      <c r="A4873" t="s">
        <v>30</v>
      </c>
      <c r="B4873" t="s">
        <v>31</v>
      </c>
      <c r="C4873" t="s">
        <v>32</v>
      </c>
      <c r="D4873" t="s">
        <v>719</v>
      </c>
      <c r="E4873" t="s">
        <v>720</v>
      </c>
      <c r="F4873" t="s">
        <v>35</v>
      </c>
      <c r="G4873" t="s">
        <v>35</v>
      </c>
      <c r="H4873" t="s">
        <v>35</v>
      </c>
      <c r="J4873" t="s">
        <v>5431</v>
      </c>
      <c r="K4873" t="s">
        <v>1092</v>
      </c>
      <c r="M4873">
        <v>1.125</v>
      </c>
      <c r="N4873">
        <v>88</v>
      </c>
      <c r="O4873" t="s">
        <v>61</v>
      </c>
      <c r="Q4873" t="s">
        <v>724</v>
      </c>
      <c r="R4873" t="s">
        <v>5432</v>
      </c>
      <c r="S4873" t="s">
        <v>759</v>
      </c>
      <c r="T4873" t="s">
        <v>760</v>
      </c>
    </row>
    <row r="4874" spans="1:20" x14ac:dyDescent="0.25">
      <c r="A4874" t="s">
        <v>30</v>
      </c>
      <c r="B4874" t="s">
        <v>31</v>
      </c>
      <c r="C4874" t="s">
        <v>32</v>
      </c>
      <c r="D4874" t="s">
        <v>719</v>
      </c>
      <c r="E4874" t="s">
        <v>755</v>
      </c>
      <c r="F4874" t="s">
        <v>35</v>
      </c>
      <c r="G4874" t="s">
        <v>35</v>
      </c>
      <c r="H4874" t="s">
        <v>35</v>
      </c>
      <c r="J4874" t="s">
        <v>5719</v>
      </c>
      <c r="K4874" t="s">
        <v>1092</v>
      </c>
      <c r="M4874">
        <v>4.0000000000000001E-3</v>
      </c>
      <c r="N4874">
        <v>1804</v>
      </c>
      <c r="O4874" t="s">
        <v>575</v>
      </c>
      <c r="Q4874" t="s">
        <v>5720</v>
      </c>
      <c r="R4874" t="s">
        <v>5432</v>
      </c>
      <c r="S4874" t="s">
        <v>759</v>
      </c>
      <c r="T4874" t="s">
        <v>760</v>
      </c>
    </row>
    <row r="4875" spans="1:20" x14ac:dyDescent="0.25">
      <c r="A4875" t="s">
        <v>30</v>
      </c>
      <c r="B4875" t="s">
        <v>31</v>
      </c>
      <c r="C4875" t="s">
        <v>32</v>
      </c>
      <c r="D4875" t="s">
        <v>719</v>
      </c>
      <c r="E4875" t="s">
        <v>5497</v>
      </c>
      <c r="F4875" t="s">
        <v>35</v>
      </c>
      <c r="G4875" t="s">
        <v>35</v>
      </c>
      <c r="H4875" t="s">
        <v>35</v>
      </c>
      <c r="J4875" t="s">
        <v>5519</v>
      </c>
      <c r="K4875" t="s">
        <v>1092</v>
      </c>
      <c r="M4875">
        <v>2.9</v>
      </c>
      <c r="N4875">
        <v>147</v>
      </c>
      <c r="O4875" t="s">
        <v>38</v>
      </c>
      <c r="Q4875" t="s">
        <v>3398</v>
      </c>
      <c r="R4875" t="s">
        <v>5432</v>
      </c>
      <c r="S4875" t="s">
        <v>759</v>
      </c>
      <c r="T4875" t="s">
        <v>760</v>
      </c>
    </row>
    <row r="4876" spans="1:20" x14ac:dyDescent="0.25">
      <c r="A4876" t="s">
        <v>30</v>
      </c>
      <c r="B4876" t="s">
        <v>31</v>
      </c>
      <c r="C4876" t="s">
        <v>32</v>
      </c>
      <c r="D4876" t="s">
        <v>719</v>
      </c>
      <c r="E4876" t="s">
        <v>5497</v>
      </c>
      <c r="F4876" t="s">
        <v>35</v>
      </c>
      <c r="G4876" t="s">
        <v>35</v>
      </c>
      <c r="H4876" t="s">
        <v>35</v>
      </c>
      <c r="J4876" t="s">
        <v>5519</v>
      </c>
      <c r="K4876" t="s">
        <v>1092</v>
      </c>
      <c r="M4876">
        <v>5.625</v>
      </c>
      <c r="N4876">
        <v>61</v>
      </c>
      <c r="O4876" t="s">
        <v>61</v>
      </c>
      <c r="Q4876" t="s">
        <v>146</v>
      </c>
      <c r="R4876" t="s">
        <v>5432</v>
      </c>
      <c r="S4876" t="s">
        <v>759</v>
      </c>
      <c r="T4876" t="s">
        <v>760</v>
      </c>
    </row>
    <row r="4877" spans="1:20" x14ac:dyDescent="0.25">
      <c r="A4877" t="s">
        <v>30</v>
      </c>
      <c r="B4877" t="s">
        <v>31</v>
      </c>
      <c r="C4877" t="s">
        <v>32</v>
      </c>
      <c r="D4877" t="s">
        <v>719</v>
      </c>
      <c r="E4877" t="s">
        <v>5683</v>
      </c>
      <c r="F4877" t="s">
        <v>35</v>
      </c>
      <c r="G4877" t="s">
        <v>35</v>
      </c>
      <c r="H4877" t="s">
        <v>35</v>
      </c>
      <c r="J4877" t="s">
        <v>5699</v>
      </c>
      <c r="K4877" t="s">
        <v>1092</v>
      </c>
      <c r="M4877">
        <v>10.574999999999999</v>
      </c>
      <c r="N4877">
        <v>58</v>
      </c>
      <c r="O4877" t="s">
        <v>52</v>
      </c>
      <c r="Q4877" t="s">
        <v>128</v>
      </c>
      <c r="R4877" t="s">
        <v>5432</v>
      </c>
      <c r="S4877" t="s">
        <v>759</v>
      </c>
      <c r="T4877" t="s">
        <v>760</v>
      </c>
    </row>
    <row r="4878" spans="1:20" x14ac:dyDescent="0.25">
      <c r="A4878" t="s">
        <v>59</v>
      </c>
      <c r="B4878" t="s">
        <v>31</v>
      </c>
      <c r="C4878" t="s">
        <v>32</v>
      </c>
      <c r="D4878" t="s">
        <v>719</v>
      </c>
      <c r="E4878" t="s">
        <v>738</v>
      </c>
      <c r="F4878" t="s">
        <v>35</v>
      </c>
      <c r="G4878" t="s">
        <v>35</v>
      </c>
      <c r="H4878" t="s">
        <v>35</v>
      </c>
      <c r="J4878" t="s">
        <v>5615</v>
      </c>
      <c r="K4878" t="s">
        <v>1092</v>
      </c>
      <c r="M4878">
        <v>4.5</v>
      </c>
      <c r="N4878">
        <v>189</v>
      </c>
      <c r="O4878" t="s">
        <v>5</v>
      </c>
      <c r="Q4878" t="s">
        <v>5616</v>
      </c>
      <c r="R4878" t="s">
        <v>5432</v>
      </c>
      <c r="S4878" t="s">
        <v>759</v>
      </c>
      <c r="T4878" t="s">
        <v>760</v>
      </c>
    </row>
    <row r="4879" spans="1:20" x14ac:dyDescent="0.25">
      <c r="A4879" t="s">
        <v>30</v>
      </c>
      <c r="B4879" t="s">
        <v>31</v>
      </c>
      <c r="C4879" t="s">
        <v>32</v>
      </c>
      <c r="D4879" t="s">
        <v>719</v>
      </c>
      <c r="E4879" t="s">
        <v>738</v>
      </c>
      <c r="F4879" t="s">
        <v>35</v>
      </c>
      <c r="G4879" t="s">
        <v>35</v>
      </c>
      <c r="H4879" t="s">
        <v>35</v>
      </c>
      <c r="J4879" t="s">
        <v>5611</v>
      </c>
      <c r="K4879" t="s">
        <v>1092</v>
      </c>
      <c r="M4879">
        <v>9.6750000000000007</v>
      </c>
      <c r="N4879">
        <v>88</v>
      </c>
      <c r="O4879" t="s">
        <v>61</v>
      </c>
      <c r="Q4879" t="s">
        <v>724</v>
      </c>
      <c r="R4879" t="s">
        <v>5432</v>
      </c>
      <c r="S4879" t="s">
        <v>759</v>
      </c>
      <c r="T4879" t="s">
        <v>760</v>
      </c>
    </row>
    <row r="4880" spans="1:20" x14ac:dyDescent="0.25">
      <c r="A4880" t="s">
        <v>30</v>
      </c>
      <c r="B4880" t="s">
        <v>31</v>
      </c>
      <c r="C4880" t="s">
        <v>32</v>
      </c>
      <c r="D4880" t="s">
        <v>719</v>
      </c>
      <c r="E4880" t="s">
        <v>5782</v>
      </c>
      <c r="F4880" t="s">
        <v>35</v>
      </c>
      <c r="G4880" t="s">
        <v>35</v>
      </c>
      <c r="H4880" t="s">
        <v>35</v>
      </c>
      <c r="J4880" t="s">
        <v>5790</v>
      </c>
      <c r="K4880" t="s">
        <v>1092</v>
      </c>
      <c r="M4880">
        <v>9.5850000000000009</v>
      </c>
      <c r="N4880">
        <v>61</v>
      </c>
      <c r="O4880" t="s">
        <v>61</v>
      </c>
      <c r="Q4880" t="s">
        <v>146</v>
      </c>
      <c r="R4880" t="s">
        <v>5432</v>
      </c>
      <c r="S4880" t="s">
        <v>759</v>
      </c>
      <c r="T4880" t="s">
        <v>760</v>
      </c>
    </row>
    <row r="4881" spans="1:20" x14ac:dyDescent="0.25">
      <c r="A4881" t="s">
        <v>30</v>
      </c>
      <c r="B4881" t="s">
        <v>31</v>
      </c>
      <c r="C4881" t="s">
        <v>32</v>
      </c>
      <c r="D4881" t="s">
        <v>719</v>
      </c>
      <c r="E4881" t="s">
        <v>733</v>
      </c>
      <c r="F4881" t="s">
        <v>35</v>
      </c>
      <c r="G4881" t="s">
        <v>35</v>
      </c>
      <c r="H4881" t="s">
        <v>35</v>
      </c>
      <c r="J4881" t="s">
        <v>5544</v>
      </c>
      <c r="K4881" t="s">
        <v>1092</v>
      </c>
      <c r="M4881">
        <v>12.15</v>
      </c>
      <c r="N4881">
        <v>61</v>
      </c>
      <c r="O4881" t="s">
        <v>61</v>
      </c>
      <c r="Q4881" t="s">
        <v>146</v>
      </c>
      <c r="R4881" t="s">
        <v>5432</v>
      </c>
      <c r="S4881" t="s">
        <v>759</v>
      </c>
      <c r="T4881" t="s">
        <v>760</v>
      </c>
    </row>
    <row r="4882" spans="1:20" x14ac:dyDescent="0.25">
      <c r="A4882" t="s">
        <v>30</v>
      </c>
      <c r="B4882" t="s">
        <v>31</v>
      </c>
      <c r="C4882" t="s">
        <v>32</v>
      </c>
      <c r="D4882" t="s">
        <v>719</v>
      </c>
      <c r="E4882" t="s">
        <v>742</v>
      </c>
      <c r="F4882" t="s">
        <v>35</v>
      </c>
      <c r="G4882" t="s">
        <v>35</v>
      </c>
      <c r="H4882" t="s">
        <v>35</v>
      </c>
      <c r="J4882" t="s">
        <v>5676</v>
      </c>
      <c r="K4882" t="s">
        <v>1092</v>
      </c>
      <c r="M4882">
        <v>6.9749999999999996</v>
      </c>
      <c r="N4882">
        <v>61</v>
      </c>
      <c r="O4882" t="s">
        <v>61</v>
      </c>
      <c r="Q4882" t="s">
        <v>146</v>
      </c>
      <c r="R4882" t="s">
        <v>5432</v>
      </c>
      <c r="S4882" t="s">
        <v>759</v>
      </c>
      <c r="T4882" t="s">
        <v>760</v>
      </c>
    </row>
    <row r="4883" spans="1:20" x14ac:dyDescent="0.25">
      <c r="A4883" t="s">
        <v>30</v>
      </c>
      <c r="B4883" t="s">
        <v>31</v>
      </c>
      <c r="C4883" t="s">
        <v>32</v>
      </c>
      <c r="D4883" t="s">
        <v>719</v>
      </c>
      <c r="E4883" t="s">
        <v>742</v>
      </c>
      <c r="F4883" t="s">
        <v>35</v>
      </c>
      <c r="G4883" t="s">
        <v>35</v>
      </c>
      <c r="H4883" t="s">
        <v>35</v>
      </c>
      <c r="J4883" t="s">
        <v>5676</v>
      </c>
      <c r="K4883" t="s">
        <v>1092</v>
      </c>
      <c r="M4883">
        <v>11.025</v>
      </c>
      <c r="N4883">
        <v>40</v>
      </c>
      <c r="O4883" t="s">
        <v>52</v>
      </c>
      <c r="Q4883" t="s">
        <v>132</v>
      </c>
      <c r="R4883" t="s">
        <v>5432</v>
      </c>
      <c r="S4883" t="s">
        <v>759</v>
      </c>
      <c r="T4883" t="s">
        <v>760</v>
      </c>
    </row>
    <row r="4884" spans="1:20" x14ac:dyDescent="0.25">
      <c r="A4884" t="s">
        <v>30</v>
      </c>
      <c r="B4884" t="s">
        <v>31</v>
      </c>
      <c r="C4884" t="s">
        <v>32</v>
      </c>
      <c r="D4884" t="s">
        <v>719</v>
      </c>
      <c r="E4884" t="s">
        <v>738</v>
      </c>
      <c r="F4884" t="s">
        <v>35</v>
      </c>
      <c r="G4884" t="s">
        <v>35</v>
      </c>
      <c r="H4884" t="s">
        <v>35</v>
      </c>
      <c r="J4884" t="s">
        <v>5604</v>
      </c>
      <c r="K4884" t="s">
        <v>1092</v>
      </c>
      <c r="M4884">
        <v>22.05</v>
      </c>
      <c r="N4884">
        <v>39</v>
      </c>
      <c r="O4884" t="s">
        <v>52</v>
      </c>
      <c r="Q4884" t="s">
        <v>493</v>
      </c>
      <c r="R4884" t="s">
        <v>5432</v>
      </c>
      <c r="S4884" t="s">
        <v>759</v>
      </c>
      <c r="T4884" t="s">
        <v>760</v>
      </c>
    </row>
    <row r="4885" spans="1:20" x14ac:dyDescent="0.25">
      <c r="A4885" t="s">
        <v>30</v>
      </c>
      <c r="B4885" t="s">
        <v>31</v>
      </c>
      <c r="C4885" t="s">
        <v>32</v>
      </c>
      <c r="D4885" t="s">
        <v>719</v>
      </c>
      <c r="E4885" t="s">
        <v>755</v>
      </c>
      <c r="F4885" t="s">
        <v>35</v>
      </c>
      <c r="G4885" t="s">
        <v>35</v>
      </c>
      <c r="H4885" t="s">
        <v>35</v>
      </c>
      <c r="J4885" t="s">
        <v>590</v>
      </c>
      <c r="K4885" t="s">
        <v>1092</v>
      </c>
      <c r="M4885">
        <v>9.2249999999999996</v>
      </c>
      <c r="N4885">
        <v>61</v>
      </c>
      <c r="O4885" t="s">
        <v>61</v>
      </c>
      <c r="Q4885" t="s">
        <v>146</v>
      </c>
      <c r="R4885" t="s">
        <v>5432</v>
      </c>
      <c r="S4885" t="s">
        <v>759</v>
      </c>
      <c r="T4885" t="s">
        <v>760</v>
      </c>
    </row>
    <row r="4886" spans="1:20" x14ac:dyDescent="0.25">
      <c r="A4886" t="s">
        <v>30</v>
      </c>
      <c r="B4886" t="s">
        <v>31</v>
      </c>
      <c r="C4886" t="s">
        <v>32</v>
      </c>
      <c r="D4886" t="s">
        <v>719</v>
      </c>
      <c r="E4886" t="s">
        <v>5782</v>
      </c>
      <c r="F4886" t="s">
        <v>35</v>
      </c>
      <c r="G4886" t="s">
        <v>35</v>
      </c>
      <c r="H4886" t="s">
        <v>35</v>
      </c>
      <c r="J4886" t="s">
        <v>5789</v>
      </c>
      <c r="K4886" t="s">
        <v>1092</v>
      </c>
      <c r="M4886">
        <v>8.01</v>
      </c>
      <c r="N4886">
        <v>222</v>
      </c>
      <c r="O4886" t="s">
        <v>5</v>
      </c>
      <c r="Q4886" t="s">
        <v>1562</v>
      </c>
      <c r="R4886" t="s">
        <v>5432</v>
      </c>
      <c r="S4886" t="s">
        <v>759</v>
      </c>
      <c r="T4886" t="s">
        <v>760</v>
      </c>
    </row>
    <row r="4887" spans="1:20" x14ac:dyDescent="0.25">
      <c r="A4887" t="s">
        <v>30</v>
      </c>
      <c r="B4887" t="s">
        <v>31</v>
      </c>
      <c r="C4887" t="s">
        <v>32</v>
      </c>
      <c r="D4887" t="s">
        <v>719</v>
      </c>
      <c r="E4887" t="s">
        <v>738</v>
      </c>
      <c r="F4887" t="s">
        <v>35</v>
      </c>
      <c r="G4887" t="s">
        <v>35</v>
      </c>
      <c r="H4887" t="s">
        <v>35</v>
      </c>
      <c r="J4887" t="s">
        <v>5578</v>
      </c>
      <c r="K4887" t="s">
        <v>1092</v>
      </c>
      <c r="M4887">
        <v>2.7450000000000001</v>
      </c>
      <c r="N4887">
        <v>129</v>
      </c>
      <c r="O4887" t="s">
        <v>38</v>
      </c>
      <c r="Q4887" t="s">
        <v>157</v>
      </c>
      <c r="R4887" t="s">
        <v>5432</v>
      </c>
      <c r="S4887" t="s">
        <v>759</v>
      </c>
      <c r="T4887" t="s">
        <v>760</v>
      </c>
    </row>
    <row r="4888" spans="1:20" x14ac:dyDescent="0.25">
      <c r="A4888" t="s">
        <v>59</v>
      </c>
      <c r="B4888" t="s">
        <v>31</v>
      </c>
      <c r="C4888" t="s">
        <v>32</v>
      </c>
      <c r="D4888" t="s">
        <v>719</v>
      </c>
      <c r="E4888" t="s">
        <v>738</v>
      </c>
      <c r="F4888" t="s">
        <v>35</v>
      </c>
      <c r="G4888" t="s">
        <v>35</v>
      </c>
      <c r="H4888" t="s">
        <v>35</v>
      </c>
      <c r="J4888" t="s">
        <v>5581</v>
      </c>
      <c r="K4888" t="s">
        <v>1092</v>
      </c>
      <c r="M4888">
        <v>1.7549999999999999</v>
      </c>
      <c r="N4888">
        <v>136</v>
      </c>
      <c r="O4888" t="s">
        <v>38</v>
      </c>
      <c r="Q4888" t="s">
        <v>2121</v>
      </c>
      <c r="R4888" t="s">
        <v>5432</v>
      </c>
      <c r="S4888" t="s">
        <v>759</v>
      </c>
      <c r="T4888" t="s">
        <v>760</v>
      </c>
    </row>
    <row r="4889" spans="1:20" x14ac:dyDescent="0.25">
      <c r="A4889" t="s">
        <v>30</v>
      </c>
      <c r="B4889" t="s">
        <v>31</v>
      </c>
      <c r="C4889" t="s">
        <v>32</v>
      </c>
      <c r="D4889" t="s">
        <v>719</v>
      </c>
      <c r="E4889" t="s">
        <v>5743</v>
      </c>
      <c r="F4889" t="s">
        <v>35</v>
      </c>
      <c r="G4889" t="s">
        <v>35</v>
      </c>
      <c r="H4889" t="s">
        <v>35</v>
      </c>
      <c r="J4889" t="s">
        <v>5752</v>
      </c>
      <c r="K4889" t="s">
        <v>1092</v>
      </c>
      <c r="M4889">
        <v>0.09</v>
      </c>
      <c r="N4889">
        <v>139</v>
      </c>
      <c r="O4889" t="s">
        <v>38</v>
      </c>
      <c r="Q4889" t="s">
        <v>1335</v>
      </c>
      <c r="R4889" t="s">
        <v>5432</v>
      </c>
      <c r="S4889" t="s">
        <v>759</v>
      </c>
      <c r="T4889" t="s">
        <v>760</v>
      </c>
    </row>
    <row r="4890" spans="1:20" x14ac:dyDescent="0.25">
      <c r="A4890" t="s">
        <v>30</v>
      </c>
      <c r="B4890" t="s">
        <v>31</v>
      </c>
      <c r="C4890" t="s">
        <v>32</v>
      </c>
      <c r="D4890" t="s">
        <v>719</v>
      </c>
      <c r="E4890" t="s">
        <v>5795</v>
      </c>
      <c r="F4890" t="s">
        <v>35</v>
      </c>
      <c r="G4890" t="s">
        <v>35</v>
      </c>
      <c r="H4890" t="s">
        <v>35</v>
      </c>
      <c r="J4890" t="s">
        <v>5816</v>
      </c>
      <c r="K4890" t="s">
        <v>1092</v>
      </c>
      <c r="M4890">
        <v>4.9950000000000001</v>
      </c>
      <c r="N4890">
        <v>189</v>
      </c>
      <c r="O4890" t="s">
        <v>5</v>
      </c>
      <c r="Q4890" t="s">
        <v>5616</v>
      </c>
      <c r="R4890" t="s">
        <v>5432</v>
      </c>
      <c r="S4890" t="s">
        <v>759</v>
      </c>
      <c r="T4890" t="s">
        <v>760</v>
      </c>
    </row>
    <row r="4891" spans="1:20" x14ac:dyDescent="0.25">
      <c r="A4891" t="s">
        <v>44</v>
      </c>
      <c r="B4891" t="s">
        <v>51</v>
      </c>
      <c r="C4891" t="s">
        <v>32</v>
      </c>
      <c r="D4891" t="s">
        <v>719</v>
      </c>
      <c r="E4891" t="s">
        <v>738</v>
      </c>
      <c r="F4891" t="s">
        <v>35</v>
      </c>
      <c r="G4891" t="s">
        <v>35</v>
      </c>
      <c r="H4891" t="s">
        <v>35</v>
      </c>
      <c r="J4891" t="s">
        <v>5632</v>
      </c>
      <c r="K4891" t="s">
        <v>1092</v>
      </c>
      <c r="M4891">
        <v>0.4</v>
      </c>
      <c r="N4891">
        <v>502</v>
      </c>
      <c r="O4891" t="s">
        <v>294</v>
      </c>
      <c r="Q4891" t="s">
        <v>296</v>
      </c>
      <c r="R4891" t="s">
        <v>5432</v>
      </c>
      <c r="S4891" t="s">
        <v>759</v>
      </c>
      <c r="T4891" t="s">
        <v>760</v>
      </c>
    </row>
    <row r="4892" spans="1:20" x14ac:dyDescent="0.25">
      <c r="A4892" t="s">
        <v>30</v>
      </c>
      <c r="B4892" t="s">
        <v>31</v>
      </c>
      <c r="C4892" t="s">
        <v>32</v>
      </c>
      <c r="D4892" t="s">
        <v>719</v>
      </c>
      <c r="E4892" t="s">
        <v>720</v>
      </c>
      <c r="F4892" t="s">
        <v>35</v>
      </c>
      <c r="G4892" t="s">
        <v>35</v>
      </c>
      <c r="H4892" t="s">
        <v>35</v>
      </c>
      <c r="J4892" t="s">
        <v>5456</v>
      </c>
      <c r="K4892" t="s">
        <v>1092</v>
      </c>
      <c r="M4892">
        <v>1.125</v>
      </c>
      <c r="N4892">
        <v>88</v>
      </c>
      <c r="O4892" t="s">
        <v>61</v>
      </c>
      <c r="Q4892" t="s">
        <v>724</v>
      </c>
      <c r="R4892" t="s">
        <v>5432</v>
      </c>
      <c r="S4892" t="s">
        <v>759</v>
      </c>
      <c r="T4892" t="s">
        <v>760</v>
      </c>
    </row>
    <row r="4893" spans="1:20" x14ac:dyDescent="0.25">
      <c r="A4893" t="s">
        <v>44</v>
      </c>
      <c r="B4893" t="s">
        <v>51</v>
      </c>
      <c r="C4893" t="s">
        <v>32</v>
      </c>
      <c r="D4893" t="s">
        <v>719</v>
      </c>
      <c r="E4893" t="s">
        <v>738</v>
      </c>
      <c r="F4893" t="s">
        <v>35</v>
      </c>
      <c r="G4893" t="s">
        <v>35</v>
      </c>
      <c r="H4893" t="s">
        <v>35</v>
      </c>
      <c r="J4893" t="s">
        <v>5553</v>
      </c>
      <c r="K4893" t="s">
        <v>1092</v>
      </c>
      <c r="M4893">
        <v>3.75</v>
      </c>
      <c r="N4893">
        <v>70</v>
      </c>
      <c r="O4893" t="s">
        <v>61</v>
      </c>
      <c r="Q4893" t="s">
        <v>305</v>
      </c>
      <c r="R4893" t="s">
        <v>5432</v>
      </c>
      <c r="S4893" t="s">
        <v>759</v>
      </c>
      <c r="T4893" t="s">
        <v>760</v>
      </c>
    </row>
    <row r="4894" spans="1:20" x14ac:dyDescent="0.25">
      <c r="A4894" t="s">
        <v>59</v>
      </c>
      <c r="B4894" t="s">
        <v>31</v>
      </c>
      <c r="C4894" t="s">
        <v>32</v>
      </c>
      <c r="D4894" t="s">
        <v>719</v>
      </c>
      <c r="E4894" t="s">
        <v>738</v>
      </c>
      <c r="F4894" t="s">
        <v>35</v>
      </c>
      <c r="G4894" t="s">
        <v>35</v>
      </c>
      <c r="H4894" t="s">
        <v>35</v>
      </c>
      <c r="J4894" t="s">
        <v>5637</v>
      </c>
      <c r="K4894" t="s">
        <v>1092</v>
      </c>
      <c r="M4894">
        <v>4.9050000000000002</v>
      </c>
      <c r="N4894">
        <v>165</v>
      </c>
      <c r="O4894" t="s">
        <v>38</v>
      </c>
      <c r="Q4894" t="s">
        <v>1124</v>
      </c>
      <c r="R4894" t="s">
        <v>5432</v>
      </c>
      <c r="S4894" t="s">
        <v>759</v>
      </c>
      <c r="T4894" t="s">
        <v>760</v>
      </c>
    </row>
    <row r="4895" spans="1:20" x14ac:dyDescent="0.25">
      <c r="A4895" t="s">
        <v>30</v>
      </c>
      <c r="B4895" t="s">
        <v>31</v>
      </c>
      <c r="C4895" t="s">
        <v>32</v>
      </c>
      <c r="D4895" t="s">
        <v>719</v>
      </c>
      <c r="E4895" t="s">
        <v>5743</v>
      </c>
      <c r="F4895" t="s">
        <v>35</v>
      </c>
      <c r="G4895" t="s">
        <v>35</v>
      </c>
      <c r="H4895" t="s">
        <v>35</v>
      </c>
      <c r="J4895" t="s">
        <v>5755</v>
      </c>
      <c r="K4895" t="s">
        <v>1092</v>
      </c>
      <c r="M4895">
        <v>11.025</v>
      </c>
      <c r="N4895">
        <v>61</v>
      </c>
      <c r="O4895" t="s">
        <v>61</v>
      </c>
      <c r="Q4895" t="s">
        <v>146</v>
      </c>
      <c r="R4895" t="s">
        <v>5432</v>
      </c>
      <c r="S4895" t="s">
        <v>759</v>
      </c>
      <c r="T4895" t="s">
        <v>760</v>
      </c>
    </row>
    <row r="4896" spans="1:20" x14ac:dyDescent="0.25">
      <c r="A4896" t="s">
        <v>30</v>
      </c>
      <c r="B4896" t="s">
        <v>31</v>
      </c>
      <c r="C4896" t="s">
        <v>32</v>
      </c>
      <c r="D4896" t="s">
        <v>719</v>
      </c>
      <c r="E4896" t="s">
        <v>738</v>
      </c>
      <c r="F4896" t="s">
        <v>35</v>
      </c>
      <c r="G4896" t="s">
        <v>35</v>
      </c>
      <c r="H4896" t="s">
        <v>35</v>
      </c>
      <c r="J4896" t="s">
        <v>5559</v>
      </c>
      <c r="K4896" t="s">
        <v>1092</v>
      </c>
      <c r="M4896">
        <v>5.5350000000000001</v>
      </c>
      <c r="N4896">
        <v>40</v>
      </c>
      <c r="O4896" t="s">
        <v>52</v>
      </c>
      <c r="Q4896" t="s">
        <v>132</v>
      </c>
      <c r="R4896" t="s">
        <v>5432</v>
      </c>
      <c r="S4896" t="s">
        <v>759</v>
      </c>
      <c r="T4896" t="s">
        <v>760</v>
      </c>
    </row>
    <row r="4897" spans="1:20" x14ac:dyDescent="0.25">
      <c r="A4897" t="s">
        <v>30</v>
      </c>
      <c r="B4897" t="s">
        <v>31</v>
      </c>
      <c r="C4897" t="s">
        <v>32</v>
      </c>
      <c r="D4897" t="s">
        <v>719</v>
      </c>
      <c r="E4897" t="s">
        <v>5743</v>
      </c>
      <c r="F4897" t="s">
        <v>35</v>
      </c>
      <c r="G4897" t="s">
        <v>35</v>
      </c>
      <c r="H4897" t="s">
        <v>35</v>
      </c>
      <c r="J4897" t="s">
        <v>5750</v>
      </c>
      <c r="K4897" t="s">
        <v>1092</v>
      </c>
      <c r="M4897">
        <v>12.6</v>
      </c>
      <c r="N4897">
        <v>129</v>
      </c>
      <c r="O4897" t="s">
        <v>38</v>
      </c>
      <c r="Q4897" t="s">
        <v>157</v>
      </c>
      <c r="R4897" t="s">
        <v>5432</v>
      </c>
      <c r="S4897" t="s">
        <v>759</v>
      </c>
      <c r="T4897" t="s">
        <v>760</v>
      </c>
    </row>
    <row r="4898" spans="1:20" x14ac:dyDescent="0.25">
      <c r="A4898" t="s">
        <v>30</v>
      </c>
      <c r="B4898" t="s">
        <v>31</v>
      </c>
      <c r="C4898" t="s">
        <v>32</v>
      </c>
      <c r="D4898" t="s">
        <v>719</v>
      </c>
      <c r="E4898" t="s">
        <v>5743</v>
      </c>
      <c r="F4898" t="s">
        <v>35</v>
      </c>
      <c r="G4898" t="s">
        <v>35</v>
      </c>
      <c r="H4898" t="s">
        <v>35</v>
      </c>
      <c r="J4898" t="s">
        <v>5754</v>
      </c>
      <c r="K4898" t="s">
        <v>1092</v>
      </c>
      <c r="M4898">
        <v>21.24</v>
      </c>
      <c r="N4898">
        <v>254</v>
      </c>
      <c r="O4898" t="s">
        <v>5</v>
      </c>
      <c r="Q4898" t="s">
        <v>2522</v>
      </c>
      <c r="R4898" t="s">
        <v>5432</v>
      </c>
      <c r="S4898" t="s">
        <v>759</v>
      </c>
      <c r="T4898" t="s">
        <v>760</v>
      </c>
    </row>
    <row r="4899" spans="1:20" x14ac:dyDescent="0.25">
      <c r="A4899" t="s">
        <v>30</v>
      </c>
      <c r="B4899" t="s">
        <v>31</v>
      </c>
      <c r="C4899" t="s">
        <v>32</v>
      </c>
      <c r="D4899" t="s">
        <v>719</v>
      </c>
      <c r="E4899" t="s">
        <v>5818</v>
      </c>
      <c r="F4899" t="s">
        <v>35</v>
      </c>
      <c r="G4899" t="s">
        <v>35</v>
      </c>
      <c r="H4899" t="s">
        <v>35</v>
      </c>
      <c r="J4899" t="s">
        <v>5837</v>
      </c>
      <c r="K4899" t="s">
        <v>1092</v>
      </c>
      <c r="M4899">
        <v>13.5</v>
      </c>
      <c r="N4899">
        <v>61</v>
      </c>
      <c r="O4899" t="s">
        <v>61</v>
      </c>
      <c r="Q4899" t="s">
        <v>146</v>
      </c>
      <c r="R4899" t="s">
        <v>5432</v>
      </c>
      <c r="S4899" t="s">
        <v>759</v>
      </c>
      <c r="T4899" t="s">
        <v>760</v>
      </c>
    </row>
    <row r="4900" spans="1:20" x14ac:dyDescent="0.25">
      <c r="A4900" t="s">
        <v>30</v>
      </c>
      <c r="B4900" t="s">
        <v>31</v>
      </c>
      <c r="C4900" t="s">
        <v>32</v>
      </c>
      <c r="D4900" t="s">
        <v>719</v>
      </c>
      <c r="E4900" t="s">
        <v>5818</v>
      </c>
      <c r="F4900" t="s">
        <v>35</v>
      </c>
      <c r="G4900" t="s">
        <v>35</v>
      </c>
      <c r="H4900" t="s">
        <v>35</v>
      </c>
      <c r="J4900" t="s">
        <v>5835</v>
      </c>
      <c r="K4900" t="s">
        <v>1092</v>
      </c>
      <c r="M4900">
        <v>13.95</v>
      </c>
      <c r="N4900">
        <v>40</v>
      </c>
      <c r="O4900" t="s">
        <v>52</v>
      </c>
      <c r="Q4900" t="s">
        <v>132</v>
      </c>
      <c r="R4900" t="s">
        <v>5432</v>
      </c>
      <c r="S4900" t="s">
        <v>759</v>
      </c>
      <c r="T4900" t="s">
        <v>760</v>
      </c>
    </row>
    <row r="4901" spans="1:20" x14ac:dyDescent="0.25">
      <c r="A4901" t="s">
        <v>30</v>
      </c>
      <c r="B4901" t="s">
        <v>31</v>
      </c>
      <c r="C4901" t="s">
        <v>32</v>
      </c>
      <c r="D4901" t="s">
        <v>719</v>
      </c>
      <c r="E4901" t="s">
        <v>5818</v>
      </c>
      <c r="F4901" t="s">
        <v>35</v>
      </c>
      <c r="G4901" t="s">
        <v>35</v>
      </c>
      <c r="H4901" t="s">
        <v>35</v>
      </c>
      <c r="J4901" t="s">
        <v>5835</v>
      </c>
      <c r="K4901" t="s">
        <v>1092</v>
      </c>
      <c r="M4901">
        <v>5.4</v>
      </c>
      <c r="N4901">
        <v>61</v>
      </c>
      <c r="O4901" t="s">
        <v>61</v>
      </c>
      <c r="Q4901" t="s">
        <v>146</v>
      </c>
      <c r="R4901" t="s">
        <v>5432</v>
      </c>
      <c r="S4901" t="s">
        <v>759</v>
      </c>
      <c r="T4901" t="s">
        <v>760</v>
      </c>
    </row>
    <row r="4902" spans="1:20" x14ac:dyDescent="0.25">
      <c r="A4902" t="s">
        <v>30</v>
      </c>
      <c r="B4902" t="s">
        <v>31</v>
      </c>
      <c r="C4902" t="s">
        <v>32</v>
      </c>
      <c r="D4902" t="s">
        <v>719</v>
      </c>
      <c r="E4902" t="s">
        <v>738</v>
      </c>
      <c r="F4902" t="s">
        <v>35</v>
      </c>
      <c r="G4902" t="s">
        <v>35</v>
      </c>
      <c r="H4902" t="s">
        <v>35</v>
      </c>
      <c r="J4902" t="s">
        <v>5638</v>
      </c>
      <c r="K4902" t="s">
        <v>1092</v>
      </c>
      <c r="M4902">
        <v>3.8250000000000002</v>
      </c>
      <c r="N4902">
        <v>129</v>
      </c>
      <c r="O4902" t="s">
        <v>38</v>
      </c>
      <c r="Q4902" t="s">
        <v>157</v>
      </c>
      <c r="R4902" t="s">
        <v>5432</v>
      </c>
      <c r="S4902" t="s">
        <v>759</v>
      </c>
      <c r="T4902" t="s">
        <v>760</v>
      </c>
    </row>
    <row r="4903" spans="1:20" x14ac:dyDescent="0.25">
      <c r="A4903" t="s">
        <v>30</v>
      </c>
      <c r="B4903" t="s">
        <v>31</v>
      </c>
      <c r="C4903" t="s">
        <v>32</v>
      </c>
      <c r="D4903" t="s">
        <v>719</v>
      </c>
      <c r="E4903" t="s">
        <v>738</v>
      </c>
      <c r="F4903" t="s">
        <v>35</v>
      </c>
      <c r="G4903" t="s">
        <v>35</v>
      </c>
      <c r="H4903" t="s">
        <v>35</v>
      </c>
      <c r="J4903" t="s">
        <v>5617</v>
      </c>
      <c r="K4903" t="s">
        <v>1092</v>
      </c>
      <c r="M4903">
        <v>11.025</v>
      </c>
      <c r="N4903">
        <v>126</v>
      </c>
      <c r="O4903" t="s">
        <v>38</v>
      </c>
      <c r="Q4903" t="s">
        <v>68</v>
      </c>
      <c r="R4903" t="s">
        <v>5432</v>
      </c>
      <c r="S4903" t="s">
        <v>759</v>
      </c>
      <c r="T4903" t="s">
        <v>760</v>
      </c>
    </row>
    <row r="4904" spans="1:20" x14ac:dyDescent="0.25">
      <c r="A4904" t="s">
        <v>30</v>
      </c>
      <c r="B4904" t="s">
        <v>31</v>
      </c>
      <c r="C4904" t="s">
        <v>32</v>
      </c>
      <c r="D4904" t="s">
        <v>719</v>
      </c>
      <c r="E4904" t="s">
        <v>5743</v>
      </c>
      <c r="F4904" t="s">
        <v>35</v>
      </c>
      <c r="G4904" t="s">
        <v>35</v>
      </c>
      <c r="H4904" t="s">
        <v>35</v>
      </c>
      <c r="J4904" t="s">
        <v>5751</v>
      </c>
      <c r="K4904" t="s">
        <v>1092</v>
      </c>
      <c r="M4904">
        <v>9.5850000000000009</v>
      </c>
      <c r="N4904">
        <v>61</v>
      </c>
      <c r="O4904" t="s">
        <v>61</v>
      </c>
      <c r="Q4904" t="s">
        <v>146</v>
      </c>
      <c r="R4904" t="s">
        <v>5432</v>
      </c>
      <c r="S4904" t="s">
        <v>759</v>
      </c>
      <c r="T4904" t="s">
        <v>760</v>
      </c>
    </row>
    <row r="4905" spans="1:20" x14ac:dyDescent="0.25">
      <c r="A4905" t="s">
        <v>30</v>
      </c>
      <c r="B4905" t="s">
        <v>31</v>
      </c>
      <c r="C4905" t="s">
        <v>32</v>
      </c>
      <c r="D4905" t="s">
        <v>719</v>
      </c>
      <c r="E4905" t="s">
        <v>738</v>
      </c>
      <c r="F4905" t="s">
        <v>35</v>
      </c>
      <c r="G4905" t="s">
        <v>35</v>
      </c>
      <c r="H4905" t="s">
        <v>35</v>
      </c>
      <c r="J4905" t="s">
        <v>5576</v>
      </c>
      <c r="K4905" t="s">
        <v>1092</v>
      </c>
      <c r="M4905">
        <v>0.40500000000000003</v>
      </c>
      <c r="N4905">
        <v>256</v>
      </c>
      <c r="O4905" t="s">
        <v>5</v>
      </c>
      <c r="Q4905" t="s">
        <v>2499</v>
      </c>
      <c r="R4905" t="s">
        <v>5432</v>
      </c>
      <c r="S4905" t="s">
        <v>759</v>
      </c>
      <c r="T4905" t="s">
        <v>760</v>
      </c>
    </row>
    <row r="4906" spans="1:20" x14ac:dyDescent="0.25">
      <c r="A4906" t="s">
        <v>30</v>
      </c>
      <c r="B4906" t="s">
        <v>31</v>
      </c>
      <c r="C4906" t="s">
        <v>32</v>
      </c>
      <c r="D4906" t="s">
        <v>719</v>
      </c>
      <c r="E4906" t="s">
        <v>5782</v>
      </c>
      <c r="F4906" t="s">
        <v>35</v>
      </c>
      <c r="G4906" t="s">
        <v>35</v>
      </c>
      <c r="H4906" t="s">
        <v>35</v>
      </c>
      <c r="J4906" t="s">
        <v>5787</v>
      </c>
      <c r="K4906" t="s">
        <v>1092</v>
      </c>
      <c r="M4906">
        <v>13.5</v>
      </c>
      <c r="N4906">
        <v>70</v>
      </c>
      <c r="O4906" t="s">
        <v>61</v>
      </c>
      <c r="Q4906" t="s">
        <v>305</v>
      </c>
      <c r="R4906" t="s">
        <v>5432</v>
      </c>
      <c r="S4906" t="s">
        <v>759</v>
      </c>
      <c r="T4906" t="s">
        <v>760</v>
      </c>
    </row>
    <row r="4907" spans="1:20" x14ac:dyDescent="0.25">
      <c r="A4907" t="s">
        <v>59</v>
      </c>
      <c r="B4907" t="s">
        <v>31</v>
      </c>
      <c r="C4907" t="s">
        <v>32</v>
      </c>
      <c r="D4907" t="s">
        <v>719</v>
      </c>
      <c r="E4907" t="s">
        <v>720</v>
      </c>
      <c r="F4907" t="s">
        <v>35</v>
      </c>
      <c r="G4907" t="s">
        <v>35</v>
      </c>
      <c r="H4907" t="s">
        <v>35</v>
      </c>
      <c r="J4907" t="s">
        <v>5434</v>
      </c>
      <c r="K4907" t="s">
        <v>1092</v>
      </c>
      <c r="M4907">
        <v>5.22</v>
      </c>
      <c r="N4907">
        <v>165</v>
      </c>
      <c r="O4907" t="s">
        <v>38</v>
      </c>
      <c r="Q4907" t="s">
        <v>1124</v>
      </c>
      <c r="R4907" t="s">
        <v>5432</v>
      </c>
      <c r="S4907" t="s">
        <v>759</v>
      </c>
      <c r="T4907" t="s">
        <v>760</v>
      </c>
    </row>
    <row r="4908" spans="1:20" x14ac:dyDescent="0.25">
      <c r="A4908" t="s">
        <v>30</v>
      </c>
      <c r="B4908" t="s">
        <v>31</v>
      </c>
      <c r="C4908" t="s">
        <v>32</v>
      </c>
      <c r="D4908" t="s">
        <v>719</v>
      </c>
      <c r="E4908" t="s">
        <v>738</v>
      </c>
      <c r="F4908" t="s">
        <v>35</v>
      </c>
      <c r="G4908" t="s">
        <v>35</v>
      </c>
      <c r="H4908" t="s">
        <v>35</v>
      </c>
      <c r="J4908" t="s">
        <v>2677</v>
      </c>
      <c r="K4908" t="s">
        <v>1092</v>
      </c>
      <c r="M4908">
        <v>10.53</v>
      </c>
      <c r="N4908">
        <v>39</v>
      </c>
      <c r="O4908" t="s">
        <v>52</v>
      </c>
      <c r="Q4908" t="s">
        <v>493</v>
      </c>
      <c r="R4908" t="s">
        <v>5432</v>
      </c>
      <c r="S4908" t="s">
        <v>759</v>
      </c>
      <c r="T4908" t="s">
        <v>760</v>
      </c>
    </row>
    <row r="4909" spans="1:20" x14ac:dyDescent="0.25">
      <c r="A4909" t="s">
        <v>30</v>
      </c>
      <c r="B4909" t="s">
        <v>31</v>
      </c>
      <c r="C4909" t="s">
        <v>32</v>
      </c>
      <c r="D4909" t="s">
        <v>719</v>
      </c>
      <c r="F4909" t="s">
        <v>35</v>
      </c>
      <c r="G4909" t="s">
        <v>35</v>
      </c>
      <c r="H4909" t="s">
        <v>35</v>
      </c>
      <c r="J4909" t="s">
        <v>5851</v>
      </c>
      <c r="K4909" t="s">
        <v>1092</v>
      </c>
      <c r="M4909">
        <v>11.025</v>
      </c>
      <c r="N4909">
        <v>24</v>
      </c>
      <c r="O4909" t="s">
        <v>46</v>
      </c>
      <c r="Q4909" t="s">
        <v>972</v>
      </c>
      <c r="R4909" t="s">
        <v>5432</v>
      </c>
      <c r="S4909" t="s">
        <v>759</v>
      </c>
      <c r="T4909" t="s">
        <v>760</v>
      </c>
    </row>
    <row r="4910" spans="1:20" x14ac:dyDescent="0.25">
      <c r="A4910" t="s">
        <v>59</v>
      </c>
      <c r="B4910" t="s">
        <v>60</v>
      </c>
      <c r="C4910" t="s">
        <v>32</v>
      </c>
      <c r="D4910" t="s">
        <v>719</v>
      </c>
      <c r="E4910" t="s">
        <v>742</v>
      </c>
      <c r="F4910" t="s">
        <v>35</v>
      </c>
      <c r="G4910" t="s">
        <v>35</v>
      </c>
      <c r="H4910" t="s">
        <v>35</v>
      </c>
      <c r="J4910" t="s">
        <v>5653</v>
      </c>
      <c r="K4910" t="s">
        <v>1092</v>
      </c>
      <c r="M4910">
        <v>10.5</v>
      </c>
      <c r="N4910">
        <v>126</v>
      </c>
      <c r="O4910" t="s">
        <v>38</v>
      </c>
      <c r="Q4910" t="s">
        <v>68</v>
      </c>
      <c r="R4910" t="s">
        <v>5432</v>
      </c>
      <c r="S4910" t="s">
        <v>759</v>
      </c>
      <c r="T4910" t="s">
        <v>760</v>
      </c>
    </row>
    <row r="4911" spans="1:20" x14ac:dyDescent="0.25">
      <c r="A4911" t="s">
        <v>30</v>
      </c>
      <c r="B4911" t="s">
        <v>31</v>
      </c>
      <c r="C4911" t="s">
        <v>32</v>
      </c>
      <c r="D4911" t="s">
        <v>719</v>
      </c>
      <c r="E4911" t="s">
        <v>742</v>
      </c>
      <c r="F4911" t="s">
        <v>35</v>
      </c>
      <c r="G4911" t="s">
        <v>35</v>
      </c>
      <c r="H4911" t="s">
        <v>35</v>
      </c>
      <c r="J4911" t="s">
        <v>5653</v>
      </c>
      <c r="K4911" t="s">
        <v>1092</v>
      </c>
      <c r="M4911">
        <v>4.32</v>
      </c>
      <c r="N4911">
        <v>40</v>
      </c>
      <c r="O4911" t="s">
        <v>52</v>
      </c>
      <c r="Q4911" t="s">
        <v>132</v>
      </c>
      <c r="R4911" t="s">
        <v>5432</v>
      </c>
      <c r="S4911" t="s">
        <v>759</v>
      </c>
      <c r="T4911" t="s">
        <v>760</v>
      </c>
    </row>
    <row r="4912" spans="1:20" x14ac:dyDescent="0.25">
      <c r="A4912" t="s">
        <v>30</v>
      </c>
      <c r="B4912" t="s">
        <v>31</v>
      </c>
      <c r="C4912" t="s">
        <v>32</v>
      </c>
      <c r="D4912" t="s">
        <v>719</v>
      </c>
      <c r="E4912" t="s">
        <v>5497</v>
      </c>
      <c r="F4912" t="s">
        <v>35</v>
      </c>
      <c r="G4912" t="s">
        <v>35</v>
      </c>
      <c r="H4912" t="s">
        <v>35</v>
      </c>
      <c r="J4912" t="s">
        <v>5521</v>
      </c>
      <c r="K4912" t="s">
        <v>1092</v>
      </c>
      <c r="M4912">
        <v>0.09</v>
      </c>
      <c r="N4912">
        <v>380</v>
      </c>
      <c r="O4912" t="s">
        <v>294</v>
      </c>
      <c r="Q4912" t="s">
        <v>3142</v>
      </c>
      <c r="R4912" t="s">
        <v>5432</v>
      </c>
      <c r="S4912" t="s">
        <v>759</v>
      </c>
      <c r="T4912" t="s">
        <v>760</v>
      </c>
    </row>
    <row r="4913" spans="1:20" x14ac:dyDescent="0.25">
      <c r="A4913" t="s">
        <v>30</v>
      </c>
      <c r="B4913" t="s">
        <v>31</v>
      </c>
      <c r="C4913" t="s">
        <v>32</v>
      </c>
      <c r="D4913" t="s">
        <v>719</v>
      </c>
      <c r="E4913" t="s">
        <v>5795</v>
      </c>
      <c r="F4913" t="s">
        <v>35</v>
      </c>
      <c r="G4913" t="s">
        <v>35</v>
      </c>
      <c r="H4913" t="s">
        <v>35</v>
      </c>
      <c r="J4913" t="s">
        <v>5817</v>
      </c>
      <c r="K4913" t="s">
        <v>1092</v>
      </c>
      <c r="M4913">
        <v>16.155000000000001</v>
      </c>
      <c r="N4913">
        <v>222</v>
      </c>
      <c r="O4913" t="s">
        <v>5</v>
      </c>
      <c r="Q4913" t="s">
        <v>1562</v>
      </c>
      <c r="R4913" t="s">
        <v>5432</v>
      </c>
      <c r="S4913" t="s">
        <v>759</v>
      </c>
      <c r="T4913" t="s">
        <v>760</v>
      </c>
    </row>
    <row r="4914" spans="1:20" x14ac:dyDescent="0.25">
      <c r="A4914" t="s">
        <v>59</v>
      </c>
      <c r="B4914" t="s">
        <v>31</v>
      </c>
      <c r="C4914" t="s">
        <v>32</v>
      </c>
      <c r="D4914" t="s">
        <v>719</v>
      </c>
      <c r="E4914" t="s">
        <v>5818</v>
      </c>
      <c r="F4914" t="s">
        <v>35</v>
      </c>
      <c r="G4914" t="s">
        <v>35</v>
      </c>
      <c r="H4914" t="s">
        <v>35</v>
      </c>
      <c r="J4914" t="s">
        <v>5819</v>
      </c>
      <c r="K4914" t="s">
        <v>1092</v>
      </c>
      <c r="M4914">
        <v>1.2150000000000001</v>
      </c>
      <c r="N4914">
        <v>559</v>
      </c>
      <c r="O4914" t="s">
        <v>575</v>
      </c>
      <c r="Q4914" t="s">
        <v>5450</v>
      </c>
      <c r="R4914" t="s">
        <v>5432</v>
      </c>
      <c r="S4914" t="s">
        <v>759</v>
      </c>
      <c r="T4914" t="s">
        <v>760</v>
      </c>
    </row>
    <row r="4915" spans="1:20" x14ac:dyDescent="0.25">
      <c r="A4915" t="s">
        <v>59</v>
      </c>
      <c r="B4915" t="s">
        <v>31</v>
      </c>
      <c r="C4915" t="s">
        <v>32</v>
      </c>
      <c r="D4915" t="s">
        <v>719</v>
      </c>
      <c r="E4915" t="s">
        <v>5818</v>
      </c>
      <c r="F4915" t="s">
        <v>35</v>
      </c>
      <c r="G4915" t="s">
        <v>35</v>
      </c>
      <c r="H4915" t="s">
        <v>35</v>
      </c>
      <c r="J4915" t="s">
        <v>5833</v>
      </c>
      <c r="K4915" t="s">
        <v>1092</v>
      </c>
      <c r="M4915">
        <v>11.025</v>
      </c>
      <c r="N4915">
        <v>226</v>
      </c>
      <c r="O4915" t="s">
        <v>5</v>
      </c>
      <c r="Q4915" t="s">
        <v>2002</v>
      </c>
      <c r="R4915" t="s">
        <v>5432</v>
      </c>
      <c r="S4915" t="s">
        <v>759</v>
      </c>
      <c r="T4915" t="s">
        <v>760</v>
      </c>
    </row>
    <row r="4916" spans="1:20" x14ac:dyDescent="0.25">
      <c r="A4916" t="s">
        <v>30</v>
      </c>
      <c r="B4916" t="s">
        <v>31</v>
      </c>
      <c r="C4916" t="s">
        <v>32</v>
      </c>
      <c r="D4916" t="s">
        <v>719</v>
      </c>
      <c r="E4916" t="s">
        <v>5497</v>
      </c>
      <c r="F4916" t="s">
        <v>35</v>
      </c>
      <c r="G4916" t="s">
        <v>35</v>
      </c>
      <c r="H4916" t="s">
        <v>35</v>
      </c>
      <c r="J4916" t="s">
        <v>5501</v>
      </c>
      <c r="K4916" t="s">
        <v>1092</v>
      </c>
      <c r="M4916">
        <v>11.025</v>
      </c>
      <c r="N4916">
        <v>61</v>
      </c>
      <c r="O4916" t="s">
        <v>61</v>
      </c>
      <c r="Q4916" t="s">
        <v>146</v>
      </c>
      <c r="R4916" t="s">
        <v>5432</v>
      </c>
      <c r="S4916" t="s">
        <v>759</v>
      </c>
      <c r="T4916" t="s">
        <v>760</v>
      </c>
    </row>
    <row r="4917" spans="1:20" x14ac:dyDescent="0.25">
      <c r="A4917" t="s">
        <v>30</v>
      </c>
      <c r="B4917" t="s">
        <v>31</v>
      </c>
      <c r="C4917" t="s">
        <v>32</v>
      </c>
      <c r="D4917" t="s">
        <v>719</v>
      </c>
      <c r="E4917" t="s">
        <v>5497</v>
      </c>
      <c r="F4917" t="s">
        <v>35</v>
      </c>
      <c r="G4917" t="s">
        <v>35</v>
      </c>
      <c r="H4917" t="s">
        <v>35</v>
      </c>
      <c r="J4917" t="s">
        <v>5501</v>
      </c>
      <c r="K4917" t="s">
        <v>1092</v>
      </c>
      <c r="M4917">
        <v>6.39</v>
      </c>
      <c r="N4917">
        <v>147</v>
      </c>
      <c r="O4917" t="s">
        <v>38</v>
      </c>
      <c r="Q4917" t="s">
        <v>3398</v>
      </c>
      <c r="R4917" t="s">
        <v>5432</v>
      </c>
      <c r="S4917" t="s">
        <v>759</v>
      </c>
      <c r="T4917" t="s">
        <v>760</v>
      </c>
    </row>
    <row r="4918" spans="1:20" x14ac:dyDescent="0.25">
      <c r="A4918" t="s">
        <v>59</v>
      </c>
      <c r="B4918" t="s">
        <v>31</v>
      </c>
      <c r="C4918" t="s">
        <v>32</v>
      </c>
      <c r="D4918" t="s">
        <v>719</v>
      </c>
      <c r="E4918" t="s">
        <v>5497</v>
      </c>
      <c r="F4918" t="s">
        <v>35</v>
      </c>
      <c r="G4918" t="s">
        <v>35</v>
      </c>
      <c r="H4918" t="s">
        <v>35</v>
      </c>
      <c r="J4918" t="s">
        <v>5501</v>
      </c>
      <c r="K4918" t="s">
        <v>1092</v>
      </c>
      <c r="M4918">
        <v>9.2249999999999996</v>
      </c>
      <c r="N4918">
        <v>136</v>
      </c>
      <c r="O4918" t="s">
        <v>38</v>
      </c>
      <c r="Q4918" t="s">
        <v>2121</v>
      </c>
      <c r="R4918" t="s">
        <v>5432</v>
      </c>
      <c r="S4918" t="s">
        <v>759</v>
      </c>
      <c r="T4918" t="s">
        <v>760</v>
      </c>
    </row>
    <row r="4919" spans="1:20" x14ac:dyDescent="0.25">
      <c r="A4919" t="s">
        <v>30</v>
      </c>
      <c r="B4919" t="s">
        <v>31</v>
      </c>
      <c r="C4919" t="s">
        <v>32</v>
      </c>
      <c r="D4919" t="s">
        <v>719</v>
      </c>
      <c r="E4919" t="s">
        <v>5795</v>
      </c>
      <c r="F4919" t="s">
        <v>35</v>
      </c>
      <c r="G4919" t="s">
        <v>35</v>
      </c>
      <c r="H4919" t="s">
        <v>35</v>
      </c>
      <c r="J4919" t="s">
        <v>5808</v>
      </c>
      <c r="K4919" t="s">
        <v>1092</v>
      </c>
      <c r="M4919">
        <v>3.6</v>
      </c>
      <c r="N4919">
        <v>61</v>
      </c>
      <c r="O4919" t="s">
        <v>61</v>
      </c>
      <c r="Q4919" t="s">
        <v>146</v>
      </c>
      <c r="R4919" t="s">
        <v>5432</v>
      </c>
      <c r="S4919" t="s">
        <v>759</v>
      </c>
      <c r="T4919" t="s">
        <v>760</v>
      </c>
    </row>
    <row r="4920" spans="1:20" x14ac:dyDescent="0.25">
      <c r="A4920" t="s">
        <v>30</v>
      </c>
      <c r="B4920" t="s">
        <v>31</v>
      </c>
      <c r="C4920" t="s">
        <v>32</v>
      </c>
      <c r="D4920" t="s">
        <v>719</v>
      </c>
      <c r="E4920" t="s">
        <v>720</v>
      </c>
      <c r="F4920" t="s">
        <v>35</v>
      </c>
      <c r="G4920" t="s">
        <v>35</v>
      </c>
      <c r="H4920" t="s">
        <v>35</v>
      </c>
      <c r="J4920" t="s">
        <v>5444</v>
      </c>
      <c r="K4920" t="s">
        <v>1092</v>
      </c>
      <c r="M4920">
        <v>0.63</v>
      </c>
      <c r="N4920">
        <v>88</v>
      </c>
      <c r="O4920" t="s">
        <v>61</v>
      </c>
      <c r="Q4920" t="s">
        <v>724</v>
      </c>
      <c r="R4920" t="s">
        <v>5432</v>
      </c>
      <c r="S4920" t="s">
        <v>759</v>
      </c>
      <c r="T4920" t="s">
        <v>760</v>
      </c>
    </row>
    <row r="4921" spans="1:20" x14ac:dyDescent="0.25">
      <c r="A4921" t="s">
        <v>30</v>
      </c>
      <c r="B4921" t="s">
        <v>31</v>
      </c>
      <c r="C4921" t="s">
        <v>32</v>
      </c>
      <c r="D4921" t="s">
        <v>719</v>
      </c>
      <c r="E4921" t="s">
        <v>738</v>
      </c>
      <c r="F4921" t="s">
        <v>35</v>
      </c>
      <c r="G4921" t="s">
        <v>35</v>
      </c>
      <c r="H4921" t="s">
        <v>35</v>
      </c>
      <c r="J4921" t="s">
        <v>5620</v>
      </c>
      <c r="K4921" t="s">
        <v>1092</v>
      </c>
      <c r="M4921">
        <v>11.025</v>
      </c>
      <c r="N4921">
        <v>40</v>
      </c>
      <c r="O4921" t="s">
        <v>52</v>
      </c>
      <c r="Q4921" t="s">
        <v>132</v>
      </c>
      <c r="R4921" t="s">
        <v>5432</v>
      </c>
      <c r="S4921" t="s">
        <v>759</v>
      </c>
      <c r="T4921" t="s">
        <v>760</v>
      </c>
    </row>
    <row r="4922" spans="1:20" x14ac:dyDescent="0.25">
      <c r="A4922" t="s">
        <v>30</v>
      </c>
      <c r="B4922" t="s">
        <v>31</v>
      </c>
      <c r="C4922" t="s">
        <v>32</v>
      </c>
      <c r="D4922" t="s">
        <v>719</v>
      </c>
      <c r="E4922" t="s">
        <v>738</v>
      </c>
      <c r="F4922" t="s">
        <v>35</v>
      </c>
      <c r="G4922" t="s">
        <v>35</v>
      </c>
      <c r="H4922" t="s">
        <v>35</v>
      </c>
      <c r="J4922" t="s">
        <v>5623</v>
      </c>
      <c r="K4922" t="s">
        <v>1092</v>
      </c>
      <c r="M4922">
        <v>5.49</v>
      </c>
      <c r="N4922">
        <v>40</v>
      </c>
      <c r="O4922" t="s">
        <v>52</v>
      </c>
      <c r="Q4922" t="s">
        <v>132</v>
      </c>
      <c r="R4922" t="s">
        <v>5432</v>
      </c>
      <c r="S4922" t="s">
        <v>759</v>
      </c>
      <c r="T4922" t="s">
        <v>760</v>
      </c>
    </row>
    <row r="4923" spans="1:20" x14ac:dyDescent="0.25">
      <c r="A4923" t="s">
        <v>30</v>
      </c>
      <c r="B4923" t="s">
        <v>31</v>
      </c>
      <c r="C4923" t="s">
        <v>32</v>
      </c>
      <c r="D4923" t="s">
        <v>719</v>
      </c>
      <c r="E4923" t="s">
        <v>738</v>
      </c>
      <c r="F4923" t="s">
        <v>35</v>
      </c>
      <c r="G4923" t="s">
        <v>35</v>
      </c>
      <c r="H4923" t="s">
        <v>35</v>
      </c>
      <c r="J4923" t="s">
        <v>5621</v>
      </c>
      <c r="K4923" t="s">
        <v>1092</v>
      </c>
      <c r="M4923">
        <v>4.9050000000000002</v>
      </c>
      <c r="N4923">
        <v>82</v>
      </c>
      <c r="O4923" t="s">
        <v>61</v>
      </c>
      <c r="Q4923" t="s">
        <v>299</v>
      </c>
      <c r="R4923" t="s">
        <v>5432</v>
      </c>
      <c r="S4923" t="s">
        <v>759</v>
      </c>
      <c r="T4923" t="s">
        <v>760</v>
      </c>
    </row>
    <row r="4924" spans="1:20" x14ac:dyDescent="0.25">
      <c r="A4924" t="s">
        <v>30</v>
      </c>
      <c r="B4924" t="s">
        <v>31</v>
      </c>
      <c r="C4924" t="s">
        <v>32</v>
      </c>
      <c r="D4924" t="s">
        <v>719</v>
      </c>
      <c r="F4924" t="s">
        <v>35</v>
      </c>
      <c r="G4924" t="s">
        <v>35</v>
      </c>
      <c r="H4924" t="s">
        <v>35</v>
      </c>
      <c r="J4924" t="s">
        <v>5886</v>
      </c>
      <c r="K4924" t="s">
        <v>1092</v>
      </c>
      <c r="M4924">
        <v>7.7850000000000001</v>
      </c>
      <c r="N4924">
        <v>39</v>
      </c>
      <c r="O4924" t="s">
        <v>52</v>
      </c>
      <c r="Q4924" t="s">
        <v>493</v>
      </c>
      <c r="R4924" t="s">
        <v>5432</v>
      </c>
      <c r="S4924" t="s">
        <v>759</v>
      </c>
      <c r="T4924" t="s">
        <v>760</v>
      </c>
    </row>
    <row r="4925" spans="1:20" x14ac:dyDescent="0.25">
      <c r="A4925" t="s">
        <v>30</v>
      </c>
      <c r="B4925" t="s">
        <v>31</v>
      </c>
      <c r="C4925" t="s">
        <v>32</v>
      </c>
      <c r="D4925" t="s">
        <v>719</v>
      </c>
      <c r="E4925" t="s">
        <v>738</v>
      </c>
      <c r="F4925" t="s">
        <v>35</v>
      </c>
      <c r="G4925" t="s">
        <v>35</v>
      </c>
      <c r="H4925" t="s">
        <v>35</v>
      </c>
      <c r="J4925" t="s">
        <v>5607</v>
      </c>
      <c r="K4925" t="s">
        <v>1092</v>
      </c>
      <c r="M4925">
        <v>2.9249999999999998</v>
      </c>
      <c r="N4925">
        <v>82</v>
      </c>
      <c r="O4925" t="s">
        <v>61</v>
      </c>
      <c r="Q4925" t="s">
        <v>299</v>
      </c>
      <c r="R4925" t="s">
        <v>5432</v>
      </c>
      <c r="S4925" t="s">
        <v>759</v>
      </c>
      <c r="T4925" t="s">
        <v>760</v>
      </c>
    </row>
    <row r="4926" spans="1:20" x14ac:dyDescent="0.25">
      <c r="A4926" t="s">
        <v>30</v>
      </c>
      <c r="B4926" t="s">
        <v>31</v>
      </c>
      <c r="C4926" t="s">
        <v>32</v>
      </c>
      <c r="D4926" t="s">
        <v>719</v>
      </c>
      <c r="E4926" t="s">
        <v>5743</v>
      </c>
      <c r="F4926" t="s">
        <v>35</v>
      </c>
      <c r="G4926" t="s">
        <v>35</v>
      </c>
      <c r="H4926" t="s">
        <v>35</v>
      </c>
      <c r="J4926" t="s">
        <v>5746</v>
      </c>
      <c r="K4926" t="s">
        <v>1092</v>
      </c>
      <c r="M4926">
        <v>0.13500000000000001</v>
      </c>
      <c r="N4926">
        <v>2293</v>
      </c>
      <c r="O4926" t="s">
        <v>575</v>
      </c>
      <c r="Q4926" t="s">
        <v>3061</v>
      </c>
      <c r="R4926" t="s">
        <v>5432</v>
      </c>
      <c r="S4926" t="s">
        <v>759</v>
      </c>
      <c r="T4926" t="s">
        <v>760</v>
      </c>
    </row>
    <row r="4927" spans="1:20" x14ac:dyDescent="0.25">
      <c r="A4927" t="s">
        <v>30</v>
      </c>
      <c r="B4927" t="s">
        <v>31</v>
      </c>
      <c r="C4927" t="s">
        <v>32</v>
      </c>
      <c r="D4927" t="s">
        <v>719</v>
      </c>
      <c r="E4927" t="s">
        <v>738</v>
      </c>
      <c r="F4927" t="s">
        <v>35</v>
      </c>
      <c r="G4927" t="s">
        <v>35</v>
      </c>
      <c r="H4927" t="s">
        <v>35</v>
      </c>
      <c r="J4927" t="s">
        <v>5591</v>
      </c>
      <c r="K4927" t="s">
        <v>1092</v>
      </c>
      <c r="M4927">
        <v>3.42</v>
      </c>
      <c r="N4927">
        <v>129</v>
      </c>
      <c r="O4927" t="s">
        <v>38</v>
      </c>
      <c r="Q4927" t="s">
        <v>157</v>
      </c>
      <c r="R4927" t="s">
        <v>5432</v>
      </c>
      <c r="S4927" t="s">
        <v>759</v>
      </c>
      <c r="T4927" t="s">
        <v>760</v>
      </c>
    </row>
    <row r="4928" spans="1:20" x14ac:dyDescent="0.25">
      <c r="A4928" t="s">
        <v>30</v>
      </c>
      <c r="B4928" t="s">
        <v>31</v>
      </c>
      <c r="C4928" t="s">
        <v>32</v>
      </c>
      <c r="D4928" t="s">
        <v>719</v>
      </c>
      <c r="E4928" t="s">
        <v>5701</v>
      </c>
      <c r="F4928" t="s">
        <v>35</v>
      </c>
      <c r="G4928" t="s">
        <v>35</v>
      </c>
      <c r="H4928" t="s">
        <v>35</v>
      </c>
      <c r="J4928" t="s">
        <v>5718</v>
      </c>
      <c r="K4928" t="s">
        <v>1092</v>
      </c>
      <c r="M4928">
        <v>0.99</v>
      </c>
      <c r="N4928">
        <v>61</v>
      </c>
      <c r="O4928" t="s">
        <v>61</v>
      </c>
      <c r="Q4928" t="s">
        <v>146</v>
      </c>
      <c r="R4928" t="s">
        <v>5432</v>
      </c>
      <c r="S4928" t="s">
        <v>759</v>
      </c>
      <c r="T4928" t="s">
        <v>760</v>
      </c>
    </row>
    <row r="4929" spans="1:20" x14ac:dyDescent="0.25">
      <c r="A4929" t="s">
        <v>30</v>
      </c>
      <c r="B4929" t="s">
        <v>31</v>
      </c>
      <c r="C4929" t="s">
        <v>32</v>
      </c>
      <c r="D4929" t="s">
        <v>719</v>
      </c>
      <c r="E4929" t="s">
        <v>5683</v>
      </c>
      <c r="F4929" t="s">
        <v>35</v>
      </c>
      <c r="G4929" t="s">
        <v>35</v>
      </c>
      <c r="H4929" t="s">
        <v>35</v>
      </c>
      <c r="J4929" t="s">
        <v>5698</v>
      </c>
      <c r="K4929" t="s">
        <v>1092</v>
      </c>
      <c r="M4929">
        <v>11.025</v>
      </c>
      <c r="N4929">
        <v>40</v>
      </c>
      <c r="O4929" t="s">
        <v>52</v>
      </c>
      <c r="Q4929" t="s">
        <v>132</v>
      </c>
      <c r="R4929" t="s">
        <v>5432</v>
      </c>
      <c r="S4929" t="s">
        <v>759</v>
      </c>
      <c r="T4929" t="s">
        <v>760</v>
      </c>
    </row>
    <row r="4930" spans="1:20" x14ac:dyDescent="0.25">
      <c r="A4930" t="s">
        <v>30</v>
      </c>
      <c r="B4930" t="s">
        <v>31</v>
      </c>
      <c r="C4930" t="s">
        <v>32</v>
      </c>
      <c r="D4930" t="s">
        <v>719</v>
      </c>
      <c r="E4930" t="s">
        <v>763</v>
      </c>
      <c r="F4930" t="s">
        <v>35</v>
      </c>
      <c r="G4930" t="s">
        <v>35</v>
      </c>
      <c r="H4930" t="s">
        <v>35</v>
      </c>
      <c r="J4930" t="s">
        <v>5742</v>
      </c>
      <c r="K4930" t="s">
        <v>1092</v>
      </c>
      <c r="M4930">
        <v>5.4</v>
      </c>
      <c r="N4930">
        <v>58</v>
      </c>
      <c r="O4930" t="s">
        <v>52</v>
      </c>
      <c r="Q4930" t="s">
        <v>128</v>
      </c>
      <c r="R4930" t="s">
        <v>5432</v>
      </c>
      <c r="S4930" t="s">
        <v>759</v>
      </c>
      <c r="T4930" t="s">
        <v>760</v>
      </c>
    </row>
    <row r="4931" spans="1:20" x14ac:dyDescent="0.25">
      <c r="A4931" t="s">
        <v>30</v>
      </c>
      <c r="B4931" t="s">
        <v>31</v>
      </c>
      <c r="C4931" t="s">
        <v>32</v>
      </c>
      <c r="D4931" t="s">
        <v>719</v>
      </c>
      <c r="E4931" t="s">
        <v>5683</v>
      </c>
      <c r="F4931" t="s">
        <v>35</v>
      </c>
      <c r="G4931" t="s">
        <v>35</v>
      </c>
      <c r="H4931" t="s">
        <v>35</v>
      </c>
      <c r="J4931" t="s">
        <v>5696</v>
      </c>
      <c r="K4931" t="s">
        <v>1092</v>
      </c>
      <c r="M4931">
        <v>18.63</v>
      </c>
      <c r="N4931">
        <v>146</v>
      </c>
      <c r="O4931" t="s">
        <v>38</v>
      </c>
      <c r="Q4931" t="s">
        <v>569</v>
      </c>
      <c r="R4931" t="s">
        <v>5432</v>
      </c>
      <c r="S4931" t="s">
        <v>759</v>
      </c>
      <c r="T4931" t="s">
        <v>760</v>
      </c>
    </row>
    <row r="4932" spans="1:20" x14ac:dyDescent="0.25">
      <c r="A4932" t="s">
        <v>30</v>
      </c>
      <c r="B4932" t="s">
        <v>31</v>
      </c>
      <c r="C4932" t="s">
        <v>32</v>
      </c>
      <c r="D4932" t="s">
        <v>719</v>
      </c>
      <c r="E4932" t="s">
        <v>5497</v>
      </c>
      <c r="F4932" t="s">
        <v>35</v>
      </c>
      <c r="G4932" t="s">
        <v>35</v>
      </c>
      <c r="H4932" t="s">
        <v>35</v>
      </c>
      <c r="J4932" t="s">
        <v>5511</v>
      </c>
      <c r="K4932" t="s">
        <v>1092</v>
      </c>
      <c r="M4932">
        <v>0.40500000000000003</v>
      </c>
      <c r="N4932">
        <v>403</v>
      </c>
      <c r="O4932" t="s">
        <v>294</v>
      </c>
      <c r="Q4932" t="s">
        <v>4301</v>
      </c>
      <c r="R4932" t="s">
        <v>5432</v>
      </c>
      <c r="S4932" t="s">
        <v>759</v>
      </c>
      <c r="T4932" t="s">
        <v>760</v>
      </c>
    </row>
    <row r="4933" spans="1:20" x14ac:dyDescent="0.25">
      <c r="A4933" t="s">
        <v>59</v>
      </c>
      <c r="B4933" t="s">
        <v>60</v>
      </c>
      <c r="C4933" t="s">
        <v>32</v>
      </c>
      <c r="D4933" t="s">
        <v>719</v>
      </c>
      <c r="F4933" t="s">
        <v>35</v>
      </c>
      <c r="G4933" t="s">
        <v>35</v>
      </c>
      <c r="H4933" t="s">
        <v>35</v>
      </c>
      <c r="J4933" t="s">
        <v>5850</v>
      </c>
      <c r="K4933" t="s">
        <v>1092</v>
      </c>
      <c r="M4933">
        <v>2</v>
      </c>
      <c r="N4933">
        <v>1298</v>
      </c>
      <c r="O4933" t="s">
        <v>575</v>
      </c>
      <c r="Q4933" t="s">
        <v>4748</v>
      </c>
      <c r="R4933" t="s">
        <v>5432</v>
      </c>
      <c r="S4933" t="s">
        <v>759</v>
      </c>
      <c r="T4933" t="s">
        <v>760</v>
      </c>
    </row>
    <row r="4934" spans="1:20" x14ac:dyDescent="0.25">
      <c r="A4934" t="s">
        <v>44</v>
      </c>
      <c r="B4934" t="s">
        <v>3</v>
      </c>
      <c r="C4934" t="s">
        <v>32</v>
      </c>
      <c r="D4934" t="s">
        <v>719</v>
      </c>
      <c r="E4934" t="s">
        <v>738</v>
      </c>
      <c r="F4934" t="s">
        <v>35</v>
      </c>
      <c r="G4934" t="s">
        <v>35</v>
      </c>
      <c r="H4934" t="s">
        <v>35</v>
      </c>
      <c r="J4934" t="s">
        <v>5639</v>
      </c>
      <c r="K4934" t="s">
        <v>1092</v>
      </c>
      <c r="M4934">
        <v>0.3</v>
      </c>
      <c r="N4934">
        <v>496</v>
      </c>
      <c r="O4934" t="s">
        <v>294</v>
      </c>
      <c r="Q4934" t="s">
        <v>3139</v>
      </c>
      <c r="R4934" t="s">
        <v>589</v>
      </c>
      <c r="S4934" t="s">
        <v>590</v>
      </c>
      <c r="T4934" t="s">
        <v>591</v>
      </c>
    </row>
    <row r="4935" spans="1:20" x14ac:dyDescent="0.25">
      <c r="A4935" t="s">
        <v>59</v>
      </c>
      <c r="B4935" t="s">
        <v>31</v>
      </c>
      <c r="C4935" t="s">
        <v>32</v>
      </c>
      <c r="D4935" t="s">
        <v>719</v>
      </c>
      <c r="F4935" t="s">
        <v>35</v>
      </c>
      <c r="G4935" t="s">
        <v>35</v>
      </c>
      <c r="H4935" t="s">
        <v>35</v>
      </c>
      <c r="J4935" t="s">
        <v>5859</v>
      </c>
      <c r="K4935" t="s">
        <v>1092</v>
      </c>
      <c r="M4935">
        <v>9.4949999999999992</v>
      </c>
      <c r="N4935">
        <v>1451</v>
      </c>
      <c r="O4935" t="s">
        <v>575</v>
      </c>
      <c r="Q4935" t="s">
        <v>2993</v>
      </c>
      <c r="R4935" t="s">
        <v>589</v>
      </c>
      <c r="S4935" t="s">
        <v>590</v>
      </c>
      <c r="T4935" t="s">
        <v>591</v>
      </c>
    </row>
    <row r="4936" spans="1:20" x14ac:dyDescent="0.25">
      <c r="A4936" t="s">
        <v>59</v>
      </c>
      <c r="B4936" t="s">
        <v>31</v>
      </c>
      <c r="C4936" t="s">
        <v>32</v>
      </c>
      <c r="D4936" t="s">
        <v>719</v>
      </c>
      <c r="E4936" t="s">
        <v>5701</v>
      </c>
      <c r="F4936" t="s">
        <v>35</v>
      </c>
      <c r="G4936" t="s">
        <v>35</v>
      </c>
      <c r="H4936" t="s">
        <v>35</v>
      </c>
      <c r="J4936" t="s">
        <v>5709</v>
      </c>
      <c r="K4936" t="s">
        <v>1092</v>
      </c>
      <c r="M4936">
        <v>2.52</v>
      </c>
      <c r="N4936">
        <v>888</v>
      </c>
      <c r="O4936" t="s">
        <v>575</v>
      </c>
      <c r="Q4936" t="s">
        <v>5710</v>
      </c>
      <c r="R4936" t="s">
        <v>589</v>
      </c>
      <c r="S4936" t="s">
        <v>590</v>
      </c>
      <c r="T4936" t="s">
        <v>591</v>
      </c>
    </row>
    <row r="4937" spans="1:20" x14ac:dyDescent="0.25">
      <c r="A4937" t="s">
        <v>59</v>
      </c>
      <c r="B4937" t="s">
        <v>31</v>
      </c>
      <c r="C4937" t="s">
        <v>32</v>
      </c>
      <c r="D4937" t="s">
        <v>719</v>
      </c>
      <c r="E4937" t="s">
        <v>738</v>
      </c>
      <c r="F4937" t="s">
        <v>35</v>
      </c>
      <c r="G4937" t="s">
        <v>35</v>
      </c>
      <c r="H4937" t="s">
        <v>35</v>
      </c>
      <c r="J4937" t="s">
        <v>5632</v>
      </c>
      <c r="K4937" t="s">
        <v>1092</v>
      </c>
      <c r="M4937">
        <v>6.66</v>
      </c>
      <c r="N4937">
        <v>195</v>
      </c>
      <c r="O4937" t="s">
        <v>5</v>
      </c>
      <c r="Q4937" t="s">
        <v>1299</v>
      </c>
      <c r="R4937" t="s">
        <v>589</v>
      </c>
      <c r="S4937" t="s">
        <v>590</v>
      </c>
      <c r="T4937" t="s">
        <v>591</v>
      </c>
    </row>
    <row r="4938" spans="1:20" x14ac:dyDescent="0.25">
      <c r="A4938" t="s">
        <v>44</v>
      </c>
      <c r="B4938" t="s">
        <v>51</v>
      </c>
      <c r="C4938" t="s">
        <v>32</v>
      </c>
      <c r="D4938" t="s">
        <v>719</v>
      </c>
      <c r="E4938" t="s">
        <v>738</v>
      </c>
      <c r="F4938" t="s">
        <v>35</v>
      </c>
      <c r="G4938" t="s">
        <v>35</v>
      </c>
      <c r="H4938" t="s">
        <v>35</v>
      </c>
      <c r="J4938" t="s">
        <v>5559</v>
      </c>
      <c r="K4938" t="s">
        <v>1092</v>
      </c>
      <c r="M4938">
        <v>11</v>
      </c>
      <c r="N4938">
        <v>45</v>
      </c>
      <c r="O4938" t="s">
        <v>52</v>
      </c>
      <c r="Q4938" t="s">
        <v>1230</v>
      </c>
      <c r="R4938" t="s">
        <v>589</v>
      </c>
      <c r="S4938" t="s">
        <v>590</v>
      </c>
      <c r="T4938" t="s">
        <v>591</v>
      </c>
    </row>
    <row r="4939" spans="1:20" x14ac:dyDescent="0.25">
      <c r="A4939" t="s">
        <v>30</v>
      </c>
      <c r="B4939" t="s">
        <v>31</v>
      </c>
      <c r="C4939" t="s">
        <v>32</v>
      </c>
      <c r="D4939" t="s">
        <v>719</v>
      </c>
      <c r="E4939" t="s">
        <v>738</v>
      </c>
      <c r="F4939" t="s">
        <v>35</v>
      </c>
      <c r="G4939" t="s">
        <v>35</v>
      </c>
      <c r="H4939" t="s">
        <v>35</v>
      </c>
      <c r="J4939" t="s">
        <v>5590</v>
      </c>
      <c r="K4939" t="s">
        <v>1092</v>
      </c>
      <c r="M4939">
        <v>4.95</v>
      </c>
      <c r="N4939">
        <v>154</v>
      </c>
      <c r="O4939" t="s">
        <v>38</v>
      </c>
      <c r="Q4939" t="s">
        <v>2639</v>
      </c>
      <c r="R4939" t="s">
        <v>589</v>
      </c>
      <c r="S4939" t="s">
        <v>590</v>
      </c>
      <c r="T4939" t="s">
        <v>591</v>
      </c>
    </row>
    <row r="4940" spans="1:20" x14ac:dyDescent="0.25">
      <c r="A4940" t="s">
        <v>59</v>
      </c>
      <c r="B4940" t="s">
        <v>31</v>
      </c>
      <c r="C4940" t="s">
        <v>32</v>
      </c>
      <c r="D4940" t="s">
        <v>719</v>
      </c>
      <c r="E4940" t="s">
        <v>738</v>
      </c>
      <c r="F4940" t="s">
        <v>35</v>
      </c>
      <c r="G4940" t="s">
        <v>35</v>
      </c>
      <c r="H4940" t="s">
        <v>35</v>
      </c>
      <c r="J4940" t="s">
        <v>5590</v>
      </c>
      <c r="K4940" t="s">
        <v>1092</v>
      </c>
      <c r="M4940">
        <v>4.7249999999999996</v>
      </c>
      <c r="N4940">
        <v>154</v>
      </c>
      <c r="O4940" t="s">
        <v>38</v>
      </c>
      <c r="Q4940" t="s">
        <v>2639</v>
      </c>
      <c r="R4940" t="s">
        <v>589</v>
      </c>
      <c r="S4940" t="s">
        <v>590</v>
      </c>
      <c r="T4940" t="s">
        <v>591</v>
      </c>
    </row>
    <row r="4941" spans="1:20" x14ac:dyDescent="0.25">
      <c r="A4941" t="s">
        <v>59</v>
      </c>
      <c r="B4941" t="s">
        <v>60</v>
      </c>
      <c r="C4941" t="s">
        <v>32</v>
      </c>
      <c r="D4941" t="s">
        <v>719</v>
      </c>
      <c r="E4941" t="s">
        <v>738</v>
      </c>
      <c r="F4941" t="s">
        <v>35</v>
      </c>
      <c r="G4941" t="s">
        <v>35</v>
      </c>
      <c r="H4941" t="s">
        <v>35</v>
      </c>
      <c r="J4941" t="s">
        <v>5549</v>
      </c>
      <c r="K4941" t="s">
        <v>1092</v>
      </c>
      <c r="M4941">
        <v>0.85</v>
      </c>
      <c r="N4941">
        <v>139</v>
      </c>
      <c r="O4941" t="s">
        <v>38</v>
      </c>
      <c r="Q4941" t="s">
        <v>1335</v>
      </c>
      <c r="R4941" t="s">
        <v>5550</v>
      </c>
      <c r="S4941" t="s">
        <v>5551</v>
      </c>
      <c r="T4941" t="s">
        <v>503</v>
      </c>
    </row>
    <row r="4942" spans="1:20" x14ac:dyDescent="0.25">
      <c r="A4942" t="s">
        <v>59</v>
      </c>
      <c r="B4942" t="s">
        <v>60</v>
      </c>
      <c r="C4942" t="s">
        <v>32</v>
      </c>
      <c r="D4942" t="s">
        <v>719</v>
      </c>
      <c r="E4942" t="s">
        <v>5743</v>
      </c>
      <c r="F4942" t="s">
        <v>35</v>
      </c>
      <c r="G4942" t="s">
        <v>35</v>
      </c>
      <c r="H4942" t="s">
        <v>35</v>
      </c>
      <c r="J4942" t="s">
        <v>5751</v>
      </c>
      <c r="K4942" t="s">
        <v>1092</v>
      </c>
      <c r="M4942">
        <v>10.25</v>
      </c>
      <c r="N4942">
        <v>80</v>
      </c>
      <c r="O4942" t="s">
        <v>61</v>
      </c>
      <c r="Q4942" t="s">
        <v>1639</v>
      </c>
      <c r="R4942" t="s">
        <v>5732</v>
      </c>
      <c r="S4942" t="s">
        <v>5733</v>
      </c>
      <c r="T4942" t="s">
        <v>5734</v>
      </c>
    </row>
    <row r="4943" spans="1:20" x14ac:dyDescent="0.25">
      <c r="A4943" t="s">
        <v>30</v>
      </c>
      <c r="B4943" t="s">
        <v>31</v>
      </c>
      <c r="C4943" t="s">
        <v>32</v>
      </c>
      <c r="D4943" t="s">
        <v>719</v>
      </c>
      <c r="E4943" t="s">
        <v>763</v>
      </c>
      <c r="F4943" t="s">
        <v>35</v>
      </c>
      <c r="G4943" t="s">
        <v>35</v>
      </c>
      <c r="H4943" t="s">
        <v>35</v>
      </c>
      <c r="J4943" t="s">
        <v>5730</v>
      </c>
      <c r="K4943" t="s">
        <v>1092</v>
      </c>
      <c r="M4943">
        <v>0.315</v>
      </c>
      <c r="N4943">
        <v>1161</v>
      </c>
      <c r="O4943" t="s">
        <v>575</v>
      </c>
      <c r="Q4943" t="s">
        <v>5731</v>
      </c>
      <c r="R4943" t="s">
        <v>5732</v>
      </c>
      <c r="S4943" t="s">
        <v>5733</v>
      </c>
      <c r="T4943" t="s">
        <v>5734</v>
      </c>
    </row>
    <row r="4944" spans="1:20" x14ac:dyDescent="0.25">
      <c r="A4944" t="s">
        <v>30</v>
      </c>
      <c r="B4944" t="s">
        <v>31</v>
      </c>
      <c r="C4944" t="s">
        <v>32</v>
      </c>
      <c r="D4944" t="s">
        <v>719</v>
      </c>
      <c r="F4944" t="s">
        <v>35</v>
      </c>
      <c r="G4944" t="s">
        <v>35</v>
      </c>
      <c r="H4944" t="s">
        <v>35</v>
      </c>
      <c r="J4944" t="s">
        <v>5878</v>
      </c>
      <c r="K4944" t="s">
        <v>1092</v>
      </c>
      <c r="M4944">
        <v>0.58499999999999996</v>
      </c>
      <c r="N4944">
        <v>1594</v>
      </c>
      <c r="O4944" t="s">
        <v>575</v>
      </c>
      <c r="Q4944" t="s">
        <v>3648</v>
      </c>
      <c r="R4944" t="s">
        <v>5739</v>
      </c>
      <c r="S4944" t="s">
        <v>5740</v>
      </c>
      <c r="T4944" t="s">
        <v>5741</v>
      </c>
    </row>
    <row r="4945" spans="1:20" x14ac:dyDescent="0.25">
      <c r="A4945" t="s">
        <v>30</v>
      </c>
      <c r="B4945" t="s">
        <v>31</v>
      </c>
      <c r="C4945" t="s">
        <v>32</v>
      </c>
      <c r="D4945" t="s">
        <v>719</v>
      </c>
      <c r="E4945" t="s">
        <v>763</v>
      </c>
      <c r="F4945" t="s">
        <v>35</v>
      </c>
      <c r="G4945" t="s">
        <v>35</v>
      </c>
      <c r="H4945" t="s">
        <v>35</v>
      </c>
      <c r="J4945" t="s">
        <v>5737</v>
      </c>
      <c r="K4945" t="s">
        <v>1092</v>
      </c>
      <c r="M4945">
        <v>1.65</v>
      </c>
      <c r="N4945">
        <v>1843</v>
      </c>
      <c r="O4945" t="s">
        <v>575</v>
      </c>
      <c r="Q4945" t="s">
        <v>5738</v>
      </c>
      <c r="R4945" t="s">
        <v>5739</v>
      </c>
      <c r="S4945" t="s">
        <v>5740</v>
      </c>
      <c r="T4945" t="s">
        <v>5741</v>
      </c>
    </row>
    <row r="4946" spans="1:20" x14ac:dyDescent="0.25">
      <c r="A4946" t="s">
        <v>59</v>
      </c>
      <c r="B4946" t="s">
        <v>60</v>
      </c>
      <c r="C4946" t="s">
        <v>32</v>
      </c>
      <c r="D4946" t="s">
        <v>719</v>
      </c>
      <c r="E4946" t="s">
        <v>720</v>
      </c>
      <c r="F4946" t="s">
        <v>35</v>
      </c>
      <c r="G4946" t="s">
        <v>35</v>
      </c>
      <c r="H4946" t="s">
        <v>35</v>
      </c>
      <c r="J4946" t="s">
        <v>5452</v>
      </c>
      <c r="K4946" t="s">
        <v>1092</v>
      </c>
      <c r="M4946">
        <v>1</v>
      </c>
      <c r="N4946">
        <v>187</v>
      </c>
      <c r="O4946" t="s">
        <v>5</v>
      </c>
      <c r="Q4946" t="s">
        <v>2315</v>
      </c>
      <c r="R4946" t="s">
        <v>5425</v>
      </c>
      <c r="S4946" t="s">
        <v>5426</v>
      </c>
      <c r="T4946" t="s">
        <v>5423</v>
      </c>
    </row>
    <row r="4947" spans="1:20" x14ac:dyDescent="0.25">
      <c r="A4947" t="s">
        <v>59</v>
      </c>
      <c r="B4947" t="s">
        <v>60</v>
      </c>
      <c r="C4947" t="s">
        <v>32</v>
      </c>
      <c r="D4947" t="s">
        <v>719</v>
      </c>
      <c r="E4947" t="s">
        <v>720</v>
      </c>
      <c r="F4947" t="s">
        <v>35</v>
      </c>
      <c r="G4947" t="s">
        <v>35</v>
      </c>
      <c r="H4947" t="s">
        <v>35</v>
      </c>
      <c r="J4947" t="s">
        <v>5424</v>
      </c>
      <c r="K4947" t="s">
        <v>1092</v>
      </c>
      <c r="M4947">
        <v>5</v>
      </c>
      <c r="N4947">
        <v>130</v>
      </c>
      <c r="O4947" t="s">
        <v>38</v>
      </c>
      <c r="Q4947" t="s">
        <v>1602</v>
      </c>
      <c r="R4947" t="s">
        <v>5425</v>
      </c>
      <c r="S4947" t="s">
        <v>5426</v>
      </c>
      <c r="T4947" t="s">
        <v>5423</v>
      </c>
    </row>
    <row r="4948" spans="1:20" x14ac:dyDescent="0.25">
      <c r="A4948" t="s">
        <v>59</v>
      </c>
      <c r="B4948" t="s">
        <v>60</v>
      </c>
      <c r="C4948" t="s">
        <v>32</v>
      </c>
      <c r="D4948" t="s">
        <v>719</v>
      </c>
      <c r="E4948" t="s">
        <v>5459</v>
      </c>
      <c r="F4948" t="s">
        <v>35</v>
      </c>
      <c r="G4948" t="s">
        <v>35</v>
      </c>
      <c r="H4948" t="s">
        <v>35</v>
      </c>
      <c r="J4948" t="s">
        <v>5480</v>
      </c>
      <c r="K4948" t="s">
        <v>1092</v>
      </c>
      <c r="M4948">
        <v>4.6500000000000004</v>
      </c>
      <c r="N4948">
        <v>1213</v>
      </c>
      <c r="O4948" t="s">
        <v>575</v>
      </c>
      <c r="Q4948" t="s">
        <v>1525</v>
      </c>
      <c r="R4948" t="s">
        <v>5481</v>
      </c>
      <c r="S4948" t="s">
        <v>4452</v>
      </c>
      <c r="T4948" t="s">
        <v>5482</v>
      </c>
    </row>
    <row r="4949" spans="1:20" x14ac:dyDescent="0.25">
      <c r="A4949" t="s">
        <v>30</v>
      </c>
      <c r="B4949" t="s">
        <v>31</v>
      </c>
      <c r="C4949" t="s">
        <v>32</v>
      </c>
      <c r="D4949" t="s">
        <v>719</v>
      </c>
      <c r="F4949" t="s">
        <v>35</v>
      </c>
      <c r="G4949" t="s">
        <v>35</v>
      </c>
      <c r="H4949" t="s">
        <v>35</v>
      </c>
      <c r="J4949" t="s">
        <v>5846</v>
      </c>
      <c r="K4949" t="s">
        <v>1092</v>
      </c>
      <c r="M4949">
        <v>19.260000000000002</v>
      </c>
      <c r="N4949">
        <v>2433</v>
      </c>
      <c r="O4949" t="s">
        <v>575</v>
      </c>
      <c r="Q4949" t="s">
        <v>5847</v>
      </c>
      <c r="R4949" t="s">
        <v>5481</v>
      </c>
      <c r="S4949" t="s">
        <v>4452</v>
      </c>
      <c r="T4949" t="s">
        <v>5482</v>
      </c>
    </row>
    <row r="4950" spans="1:20" x14ac:dyDescent="0.25">
      <c r="A4950" t="s">
        <v>44</v>
      </c>
      <c r="B4950" t="s">
        <v>51</v>
      </c>
      <c r="C4950" t="s">
        <v>32</v>
      </c>
      <c r="D4950" t="s">
        <v>719</v>
      </c>
      <c r="E4950" t="s">
        <v>738</v>
      </c>
      <c r="F4950" t="s">
        <v>35</v>
      </c>
      <c r="G4950" t="s">
        <v>35</v>
      </c>
      <c r="H4950" t="s">
        <v>35</v>
      </c>
      <c r="J4950" t="s">
        <v>5545</v>
      </c>
      <c r="K4950" t="s">
        <v>404</v>
      </c>
      <c r="M4950">
        <v>3.45</v>
      </c>
      <c r="N4950">
        <v>506</v>
      </c>
      <c r="O4950" t="s">
        <v>294</v>
      </c>
      <c r="Q4950" t="s">
        <v>1651</v>
      </c>
      <c r="R4950" t="s">
        <v>5481</v>
      </c>
      <c r="S4950" t="s">
        <v>4452</v>
      </c>
      <c r="T4950" t="s">
        <v>5482</v>
      </c>
    </row>
    <row r="4951" spans="1:20" x14ac:dyDescent="0.25">
      <c r="A4951" t="s">
        <v>30</v>
      </c>
      <c r="B4951" t="s">
        <v>31</v>
      </c>
      <c r="C4951" t="s">
        <v>32</v>
      </c>
      <c r="D4951" t="s">
        <v>719</v>
      </c>
      <c r="E4951" t="s">
        <v>738</v>
      </c>
      <c r="F4951" t="s">
        <v>35</v>
      </c>
      <c r="G4951" t="s">
        <v>35</v>
      </c>
      <c r="H4951" t="s">
        <v>35</v>
      </c>
      <c r="J4951" t="s">
        <v>5604</v>
      </c>
      <c r="K4951" t="s">
        <v>1092</v>
      </c>
      <c r="M4951">
        <v>4.8600000000000003</v>
      </c>
      <c r="N4951">
        <v>1213</v>
      </c>
      <c r="O4951" t="s">
        <v>575</v>
      </c>
      <c r="Q4951" t="s">
        <v>1525</v>
      </c>
      <c r="R4951" t="s">
        <v>5481</v>
      </c>
      <c r="S4951" t="s">
        <v>4452</v>
      </c>
      <c r="T4951" t="s">
        <v>5482</v>
      </c>
    </row>
    <row r="4952" spans="1:20" x14ac:dyDescent="0.25">
      <c r="A4952" t="s">
        <v>30</v>
      </c>
      <c r="B4952" t="s">
        <v>31</v>
      </c>
      <c r="C4952" t="s">
        <v>32</v>
      </c>
      <c r="D4952" t="s">
        <v>719</v>
      </c>
      <c r="E4952" t="s">
        <v>5818</v>
      </c>
      <c r="F4952" t="s">
        <v>35</v>
      </c>
      <c r="G4952" t="s">
        <v>35</v>
      </c>
      <c r="H4952" t="s">
        <v>35</v>
      </c>
      <c r="J4952" t="s">
        <v>5821</v>
      </c>
      <c r="K4952" t="s">
        <v>1092</v>
      </c>
      <c r="M4952">
        <v>9.5399999999999991</v>
      </c>
      <c r="N4952">
        <v>41</v>
      </c>
      <c r="O4952" t="s">
        <v>52</v>
      </c>
      <c r="Q4952" t="s">
        <v>496</v>
      </c>
      <c r="R4952" t="s">
        <v>5481</v>
      </c>
      <c r="S4952" t="s">
        <v>4452</v>
      </c>
      <c r="T4952" t="s">
        <v>5482</v>
      </c>
    </row>
    <row r="4953" spans="1:20" x14ac:dyDescent="0.25">
      <c r="A4953" t="s">
        <v>44</v>
      </c>
      <c r="B4953" t="s">
        <v>51</v>
      </c>
      <c r="C4953" t="s">
        <v>32</v>
      </c>
      <c r="D4953" t="s">
        <v>719</v>
      </c>
      <c r="E4953" t="s">
        <v>738</v>
      </c>
      <c r="F4953" t="s">
        <v>35</v>
      </c>
      <c r="G4953" t="s">
        <v>35</v>
      </c>
      <c r="H4953" t="s">
        <v>35</v>
      </c>
      <c r="J4953" t="s">
        <v>5560</v>
      </c>
      <c r="K4953" t="s">
        <v>404</v>
      </c>
      <c r="M4953">
        <v>0.45</v>
      </c>
      <c r="N4953">
        <v>504</v>
      </c>
      <c r="O4953" t="s">
        <v>294</v>
      </c>
      <c r="Q4953" t="s">
        <v>5048</v>
      </c>
      <c r="R4953" t="s">
        <v>5481</v>
      </c>
      <c r="S4953" t="s">
        <v>4452</v>
      </c>
      <c r="T4953" t="s">
        <v>5482</v>
      </c>
    </row>
    <row r="4954" spans="1:20" x14ac:dyDescent="0.25">
      <c r="A4954" t="s">
        <v>30</v>
      </c>
      <c r="B4954" t="s">
        <v>31</v>
      </c>
      <c r="C4954" t="s">
        <v>32</v>
      </c>
      <c r="D4954" t="s">
        <v>719</v>
      </c>
      <c r="E4954" t="s">
        <v>5497</v>
      </c>
      <c r="F4954" t="s">
        <v>35</v>
      </c>
      <c r="G4954" t="s">
        <v>35</v>
      </c>
      <c r="H4954" t="s">
        <v>35</v>
      </c>
      <c r="J4954" t="s">
        <v>5515</v>
      </c>
      <c r="K4954" t="s">
        <v>1092</v>
      </c>
      <c r="M4954">
        <v>0.02</v>
      </c>
      <c r="N4954">
        <v>1142</v>
      </c>
      <c r="O4954" t="s">
        <v>575</v>
      </c>
      <c r="Q4954" t="s">
        <v>5516</v>
      </c>
      <c r="R4954" t="s">
        <v>5508</v>
      </c>
      <c r="S4954" t="s">
        <v>5509</v>
      </c>
      <c r="T4954" t="s">
        <v>5510</v>
      </c>
    </row>
    <row r="4955" spans="1:20" x14ac:dyDescent="0.25">
      <c r="A4955" t="s">
        <v>30</v>
      </c>
      <c r="B4955" t="s">
        <v>31</v>
      </c>
      <c r="C4955" t="s">
        <v>32</v>
      </c>
      <c r="D4955" t="s">
        <v>719</v>
      </c>
      <c r="E4955" t="s">
        <v>5497</v>
      </c>
      <c r="F4955" t="s">
        <v>35</v>
      </c>
      <c r="G4955" t="s">
        <v>35</v>
      </c>
      <c r="H4955" t="s">
        <v>35</v>
      </c>
      <c r="J4955" t="s">
        <v>5513</v>
      </c>
      <c r="K4955" t="s">
        <v>1092</v>
      </c>
      <c r="M4955">
        <v>2.4750000000000001</v>
      </c>
      <c r="N4955">
        <v>1539</v>
      </c>
      <c r="O4955" t="s">
        <v>575</v>
      </c>
      <c r="Q4955" t="s">
        <v>3577</v>
      </c>
      <c r="R4955" t="s">
        <v>5508</v>
      </c>
      <c r="S4955" t="s">
        <v>5509</v>
      </c>
      <c r="T4955" t="s">
        <v>5510</v>
      </c>
    </row>
    <row r="4956" spans="1:20" x14ac:dyDescent="0.25">
      <c r="A4956" t="s">
        <v>30</v>
      </c>
      <c r="B4956" t="s">
        <v>31</v>
      </c>
      <c r="C4956" t="s">
        <v>32</v>
      </c>
      <c r="D4956" t="s">
        <v>719</v>
      </c>
      <c r="E4956" t="s">
        <v>5497</v>
      </c>
      <c r="F4956" t="s">
        <v>35</v>
      </c>
      <c r="G4956" t="s">
        <v>35</v>
      </c>
      <c r="H4956" t="s">
        <v>35</v>
      </c>
      <c r="J4956" t="s">
        <v>5507</v>
      </c>
      <c r="K4956" t="s">
        <v>1092</v>
      </c>
      <c r="M4956">
        <v>0.09</v>
      </c>
      <c r="N4956">
        <v>1539</v>
      </c>
      <c r="O4956" t="s">
        <v>575</v>
      </c>
      <c r="Q4956" t="s">
        <v>3577</v>
      </c>
      <c r="R4956" t="s">
        <v>5508</v>
      </c>
      <c r="S4956" t="s">
        <v>5509</v>
      </c>
      <c r="T4956" t="s">
        <v>5510</v>
      </c>
    </row>
    <row r="4957" spans="1:20" x14ac:dyDescent="0.25">
      <c r="A4957" t="s">
        <v>44</v>
      </c>
      <c r="B4957" t="s">
        <v>51</v>
      </c>
      <c r="C4957" t="s">
        <v>32</v>
      </c>
      <c r="D4957" t="s">
        <v>719</v>
      </c>
      <c r="E4957" t="s">
        <v>720</v>
      </c>
      <c r="F4957" t="s">
        <v>35</v>
      </c>
      <c r="G4957" t="s">
        <v>35</v>
      </c>
      <c r="H4957" t="s">
        <v>35</v>
      </c>
      <c r="J4957" t="s">
        <v>5446</v>
      </c>
      <c r="K4957" t="s">
        <v>1092</v>
      </c>
      <c r="M4957">
        <v>0.5</v>
      </c>
      <c r="N4957">
        <v>500</v>
      </c>
      <c r="O4957" t="s">
        <v>294</v>
      </c>
      <c r="Q4957" t="s">
        <v>3822</v>
      </c>
      <c r="R4957" t="s">
        <v>5447</v>
      </c>
      <c r="S4957" t="s">
        <v>5448</v>
      </c>
      <c r="T4957" t="s">
        <v>5428</v>
      </c>
    </row>
    <row r="4958" spans="1:20" x14ac:dyDescent="0.25">
      <c r="A4958" t="s">
        <v>44</v>
      </c>
      <c r="B4958" t="s">
        <v>51</v>
      </c>
      <c r="C4958" t="s">
        <v>32</v>
      </c>
      <c r="D4958" t="s">
        <v>719</v>
      </c>
      <c r="E4958" t="s">
        <v>720</v>
      </c>
      <c r="F4958" t="s">
        <v>35</v>
      </c>
      <c r="G4958" t="s">
        <v>35</v>
      </c>
      <c r="H4958" t="s">
        <v>35</v>
      </c>
      <c r="J4958" t="s">
        <v>5449</v>
      </c>
      <c r="K4958" t="s">
        <v>1092</v>
      </c>
      <c r="M4958">
        <v>2.5</v>
      </c>
      <c r="N4958">
        <v>500</v>
      </c>
      <c r="O4958" t="s">
        <v>294</v>
      </c>
      <c r="Q4958" t="s">
        <v>3822</v>
      </c>
      <c r="R4958" t="s">
        <v>5447</v>
      </c>
      <c r="S4958" t="s">
        <v>5448</v>
      </c>
      <c r="T4958" t="s">
        <v>5428</v>
      </c>
    </row>
    <row r="4959" spans="1:20" x14ac:dyDescent="0.25">
      <c r="A4959" t="s">
        <v>30</v>
      </c>
      <c r="B4959" t="s">
        <v>31</v>
      </c>
      <c r="C4959" t="s">
        <v>32</v>
      </c>
      <c r="D4959" t="s">
        <v>719</v>
      </c>
      <c r="E4959" t="s">
        <v>5683</v>
      </c>
      <c r="F4959" t="s">
        <v>35</v>
      </c>
      <c r="G4959" t="s">
        <v>35</v>
      </c>
      <c r="H4959" t="s">
        <v>35</v>
      </c>
      <c r="J4959" t="s">
        <v>5684</v>
      </c>
      <c r="K4959" t="s">
        <v>1092</v>
      </c>
      <c r="M4959">
        <v>6.93</v>
      </c>
      <c r="N4959">
        <v>32</v>
      </c>
      <c r="O4959" t="s">
        <v>52</v>
      </c>
      <c r="Q4959" t="s">
        <v>816</v>
      </c>
      <c r="R4959" t="s">
        <v>735</v>
      </c>
      <c r="S4959" t="s">
        <v>736</v>
      </c>
      <c r="T4959" t="s">
        <v>737</v>
      </c>
    </row>
    <row r="4960" spans="1:20" x14ac:dyDescent="0.25">
      <c r="A4960" t="s">
        <v>30</v>
      </c>
      <c r="B4960" t="s">
        <v>31</v>
      </c>
      <c r="C4960" t="s">
        <v>32</v>
      </c>
      <c r="D4960" t="s">
        <v>719</v>
      </c>
      <c r="E4960" t="s">
        <v>763</v>
      </c>
      <c r="F4960" t="s">
        <v>35</v>
      </c>
      <c r="G4960" t="s">
        <v>35</v>
      </c>
      <c r="H4960" t="s">
        <v>35</v>
      </c>
      <c r="J4960" t="s">
        <v>5724</v>
      </c>
      <c r="K4960" t="s">
        <v>1092</v>
      </c>
      <c r="M4960">
        <v>3.105</v>
      </c>
      <c r="N4960">
        <v>89</v>
      </c>
      <c r="O4960" t="s">
        <v>61</v>
      </c>
      <c r="Q4960" t="s">
        <v>4243</v>
      </c>
      <c r="R4960" t="s">
        <v>735</v>
      </c>
      <c r="S4960" t="s">
        <v>736</v>
      </c>
      <c r="T4960" t="s">
        <v>737</v>
      </c>
    </row>
    <row r="4961" spans="1:20" x14ac:dyDescent="0.25">
      <c r="A4961" t="s">
        <v>30</v>
      </c>
      <c r="B4961" t="s">
        <v>31</v>
      </c>
      <c r="C4961" t="s">
        <v>32</v>
      </c>
      <c r="D4961" t="s">
        <v>719</v>
      </c>
      <c r="E4961" t="s">
        <v>763</v>
      </c>
      <c r="F4961" t="s">
        <v>35</v>
      </c>
      <c r="G4961" t="s">
        <v>35</v>
      </c>
      <c r="H4961" t="s">
        <v>35</v>
      </c>
      <c r="J4961" t="s">
        <v>5729</v>
      </c>
      <c r="K4961" t="s">
        <v>1092</v>
      </c>
      <c r="M4961">
        <v>8.82</v>
      </c>
      <c r="N4961">
        <v>54</v>
      </c>
      <c r="O4961" t="s">
        <v>52</v>
      </c>
      <c r="Q4961" t="s">
        <v>671</v>
      </c>
      <c r="R4961" t="s">
        <v>735</v>
      </c>
      <c r="S4961" t="s">
        <v>736</v>
      </c>
      <c r="T4961" t="s">
        <v>737</v>
      </c>
    </row>
    <row r="4962" spans="1:20" x14ac:dyDescent="0.25">
      <c r="A4962" t="s">
        <v>30</v>
      </c>
      <c r="B4962" t="s">
        <v>31</v>
      </c>
      <c r="C4962" t="s">
        <v>32</v>
      </c>
      <c r="D4962" t="s">
        <v>719</v>
      </c>
      <c r="E4962" t="s">
        <v>5743</v>
      </c>
      <c r="F4962" t="s">
        <v>35</v>
      </c>
      <c r="G4962" t="s">
        <v>35</v>
      </c>
      <c r="H4962" t="s">
        <v>35</v>
      </c>
      <c r="J4962" t="s">
        <v>5748</v>
      </c>
      <c r="K4962" t="s">
        <v>1092</v>
      </c>
      <c r="M4962">
        <v>9</v>
      </c>
      <c r="N4962">
        <v>32</v>
      </c>
      <c r="O4962" t="s">
        <v>52</v>
      </c>
      <c r="Q4962" t="s">
        <v>816</v>
      </c>
      <c r="R4962" t="s">
        <v>735</v>
      </c>
      <c r="S4962" t="s">
        <v>736</v>
      </c>
      <c r="T4962" t="s">
        <v>737</v>
      </c>
    </row>
    <row r="4963" spans="1:20" x14ac:dyDescent="0.25">
      <c r="A4963" t="s">
        <v>30</v>
      </c>
      <c r="B4963" t="s">
        <v>31</v>
      </c>
      <c r="C4963" t="s">
        <v>32</v>
      </c>
      <c r="D4963" t="s">
        <v>719</v>
      </c>
      <c r="E4963" t="s">
        <v>763</v>
      </c>
      <c r="F4963" t="s">
        <v>35</v>
      </c>
      <c r="G4963" t="s">
        <v>35</v>
      </c>
      <c r="H4963" t="s">
        <v>35</v>
      </c>
      <c r="J4963" t="s">
        <v>5727</v>
      </c>
      <c r="K4963" t="s">
        <v>1092</v>
      </c>
      <c r="M4963">
        <v>10.125</v>
      </c>
      <c r="N4963">
        <v>73</v>
      </c>
      <c r="O4963" t="s">
        <v>61</v>
      </c>
      <c r="Q4963" t="s">
        <v>477</v>
      </c>
      <c r="R4963" t="s">
        <v>735</v>
      </c>
      <c r="S4963" t="s">
        <v>736</v>
      </c>
      <c r="T4963" t="s">
        <v>737</v>
      </c>
    </row>
    <row r="4964" spans="1:20" x14ac:dyDescent="0.25">
      <c r="A4964" t="s">
        <v>44</v>
      </c>
      <c r="B4964" t="s">
        <v>51</v>
      </c>
      <c r="C4964" t="s">
        <v>32</v>
      </c>
      <c r="D4964" t="s">
        <v>719</v>
      </c>
      <c r="E4964" t="s">
        <v>738</v>
      </c>
      <c r="F4964" t="s">
        <v>35</v>
      </c>
      <c r="G4964" t="s">
        <v>35</v>
      </c>
      <c r="H4964" t="s">
        <v>35</v>
      </c>
      <c r="J4964" t="s">
        <v>5636</v>
      </c>
      <c r="K4964" t="s">
        <v>1092</v>
      </c>
      <c r="M4964">
        <v>0.45</v>
      </c>
      <c r="N4964">
        <v>488</v>
      </c>
      <c r="O4964" t="s">
        <v>294</v>
      </c>
      <c r="Q4964" t="s">
        <v>2610</v>
      </c>
      <c r="R4964" t="s">
        <v>735</v>
      </c>
      <c r="S4964" t="s">
        <v>736</v>
      </c>
      <c r="T4964" t="s">
        <v>737</v>
      </c>
    </row>
    <row r="4965" spans="1:20" x14ac:dyDescent="0.25">
      <c r="A4965" t="s">
        <v>30</v>
      </c>
      <c r="B4965" t="s">
        <v>31</v>
      </c>
      <c r="C4965" t="s">
        <v>32</v>
      </c>
      <c r="D4965" t="s">
        <v>719</v>
      </c>
      <c r="E4965" t="s">
        <v>738</v>
      </c>
      <c r="F4965" t="s">
        <v>35</v>
      </c>
      <c r="G4965" t="s">
        <v>35</v>
      </c>
      <c r="H4965" t="s">
        <v>35</v>
      </c>
      <c r="J4965" t="s">
        <v>5610</v>
      </c>
      <c r="K4965" t="s">
        <v>1092</v>
      </c>
      <c r="M4965">
        <v>5.4450000000000003</v>
      </c>
      <c r="N4965">
        <v>54</v>
      </c>
      <c r="O4965" t="s">
        <v>52</v>
      </c>
      <c r="Q4965" t="s">
        <v>671</v>
      </c>
      <c r="R4965" t="s">
        <v>735</v>
      </c>
      <c r="S4965" t="s">
        <v>736</v>
      </c>
      <c r="T4965" t="s">
        <v>737</v>
      </c>
    </row>
    <row r="4966" spans="1:20" x14ac:dyDescent="0.25">
      <c r="A4966" t="s">
        <v>30</v>
      </c>
      <c r="B4966" t="s">
        <v>31</v>
      </c>
      <c r="C4966" t="s">
        <v>32</v>
      </c>
      <c r="D4966" t="s">
        <v>719</v>
      </c>
      <c r="E4966" t="s">
        <v>738</v>
      </c>
      <c r="F4966" t="s">
        <v>35</v>
      </c>
      <c r="G4966" t="s">
        <v>35</v>
      </c>
      <c r="H4966" t="s">
        <v>35</v>
      </c>
      <c r="J4966" t="s">
        <v>5632</v>
      </c>
      <c r="K4966" t="s">
        <v>1092</v>
      </c>
      <c r="M4966">
        <v>11.025</v>
      </c>
      <c r="N4966">
        <v>130</v>
      </c>
      <c r="O4966" t="s">
        <v>38</v>
      </c>
      <c r="Q4966" t="s">
        <v>1602</v>
      </c>
      <c r="R4966" t="s">
        <v>735</v>
      </c>
      <c r="S4966" t="s">
        <v>736</v>
      </c>
      <c r="T4966" t="s">
        <v>737</v>
      </c>
    </row>
    <row r="4967" spans="1:20" x14ac:dyDescent="0.25">
      <c r="A4967" t="s">
        <v>30</v>
      </c>
      <c r="B4967" t="s">
        <v>31</v>
      </c>
      <c r="C4967" t="s">
        <v>32</v>
      </c>
      <c r="D4967" t="s">
        <v>719</v>
      </c>
      <c r="E4967" t="s">
        <v>5743</v>
      </c>
      <c r="F4967" t="s">
        <v>35</v>
      </c>
      <c r="G4967" t="s">
        <v>35</v>
      </c>
      <c r="H4967" t="s">
        <v>35</v>
      </c>
      <c r="J4967" t="s">
        <v>5747</v>
      </c>
      <c r="K4967" t="s">
        <v>1092</v>
      </c>
      <c r="M4967">
        <v>10.8</v>
      </c>
      <c r="N4967">
        <v>86</v>
      </c>
      <c r="O4967" t="s">
        <v>61</v>
      </c>
      <c r="Q4967" t="s">
        <v>941</v>
      </c>
      <c r="R4967" t="s">
        <v>735</v>
      </c>
      <c r="S4967" t="s">
        <v>736</v>
      </c>
      <c r="T4967" t="s">
        <v>737</v>
      </c>
    </row>
    <row r="4968" spans="1:20" x14ac:dyDescent="0.25">
      <c r="A4968" t="s">
        <v>30</v>
      </c>
      <c r="B4968" t="s">
        <v>31</v>
      </c>
      <c r="C4968" t="s">
        <v>32</v>
      </c>
      <c r="D4968" t="s">
        <v>719</v>
      </c>
      <c r="E4968" t="s">
        <v>5818</v>
      </c>
      <c r="F4968" t="s">
        <v>35</v>
      </c>
      <c r="G4968" t="s">
        <v>35</v>
      </c>
      <c r="H4968" t="s">
        <v>35</v>
      </c>
      <c r="J4968" t="s">
        <v>5834</v>
      </c>
      <c r="K4968" t="s">
        <v>1092</v>
      </c>
      <c r="M4968">
        <v>0.27</v>
      </c>
      <c r="N4968">
        <v>53</v>
      </c>
      <c r="O4968" t="s">
        <v>52</v>
      </c>
      <c r="Q4968" t="s">
        <v>1734</v>
      </c>
      <c r="R4968" t="s">
        <v>735</v>
      </c>
      <c r="S4968" t="s">
        <v>736</v>
      </c>
      <c r="T4968" t="s">
        <v>737</v>
      </c>
    </row>
    <row r="4969" spans="1:20" x14ac:dyDescent="0.25">
      <c r="A4969" t="s">
        <v>30</v>
      </c>
      <c r="B4969" t="s">
        <v>31</v>
      </c>
      <c r="C4969" t="s">
        <v>32</v>
      </c>
      <c r="D4969" t="s">
        <v>719</v>
      </c>
      <c r="E4969" t="s">
        <v>738</v>
      </c>
      <c r="F4969" t="s">
        <v>35</v>
      </c>
      <c r="G4969" t="s">
        <v>35</v>
      </c>
      <c r="H4969" t="s">
        <v>35</v>
      </c>
      <c r="J4969" t="s">
        <v>5574</v>
      </c>
      <c r="K4969" t="s">
        <v>1092</v>
      </c>
      <c r="M4969">
        <v>7.0650000000000004</v>
      </c>
      <c r="N4969">
        <v>493</v>
      </c>
      <c r="O4969" t="s">
        <v>294</v>
      </c>
      <c r="Q4969" t="s">
        <v>2051</v>
      </c>
      <c r="R4969" t="s">
        <v>735</v>
      </c>
      <c r="S4969" t="s">
        <v>736</v>
      </c>
      <c r="T4969" t="s">
        <v>737</v>
      </c>
    </row>
    <row r="4970" spans="1:20" x14ac:dyDescent="0.25">
      <c r="A4970" t="s">
        <v>59</v>
      </c>
      <c r="B4970" t="s">
        <v>60</v>
      </c>
      <c r="C4970" t="s">
        <v>32</v>
      </c>
      <c r="D4970" t="s">
        <v>719</v>
      </c>
      <c r="E4970" t="s">
        <v>5701</v>
      </c>
      <c r="F4970" t="s">
        <v>35</v>
      </c>
      <c r="G4970" t="s">
        <v>35</v>
      </c>
      <c r="H4970" t="s">
        <v>35</v>
      </c>
      <c r="J4970" t="s">
        <v>5707</v>
      </c>
      <c r="K4970" t="s">
        <v>1092</v>
      </c>
      <c r="M4970">
        <v>0.75</v>
      </c>
      <c r="N4970">
        <v>135</v>
      </c>
      <c r="O4970" t="s">
        <v>38</v>
      </c>
      <c r="Q4970" t="s">
        <v>2067</v>
      </c>
      <c r="R4970" t="s">
        <v>735</v>
      </c>
      <c r="S4970" t="s">
        <v>736</v>
      </c>
      <c r="T4970" t="s">
        <v>737</v>
      </c>
    </row>
    <row r="4971" spans="1:20" x14ac:dyDescent="0.25">
      <c r="A4971" t="s">
        <v>59</v>
      </c>
      <c r="B4971" t="s">
        <v>31</v>
      </c>
      <c r="C4971" t="s">
        <v>32</v>
      </c>
      <c r="D4971" t="s">
        <v>719</v>
      </c>
      <c r="E4971" t="s">
        <v>5701</v>
      </c>
      <c r="F4971" t="s">
        <v>35</v>
      </c>
      <c r="G4971" t="s">
        <v>35</v>
      </c>
      <c r="H4971" t="s">
        <v>35</v>
      </c>
      <c r="J4971" t="s">
        <v>5707</v>
      </c>
      <c r="K4971" t="s">
        <v>1092</v>
      </c>
      <c r="M4971">
        <v>4.4999999999999998E-2</v>
      </c>
      <c r="N4971">
        <v>135</v>
      </c>
      <c r="O4971" t="s">
        <v>38</v>
      </c>
      <c r="Q4971" t="s">
        <v>2067</v>
      </c>
      <c r="R4971" t="s">
        <v>735</v>
      </c>
      <c r="S4971" t="s">
        <v>736</v>
      </c>
      <c r="T4971" t="s">
        <v>737</v>
      </c>
    </row>
    <row r="4972" spans="1:20" x14ac:dyDescent="0.25">
      <c r="A4972" t="s">
        <v>30</v>
      </c>
      <c r="B4972" t="s">
        <v>31</v>
      </c>
      <c r="C4972" t="s">
        <v>32</v>
      </c>
      <c r="D4972" t="s">
        <v>719</v>
      </c>
      <c r="E4972" t="s">
        <v>733</v>
      </c>
      <c r="F4972" t="s">
        <v>35</v>
      </c>
      <c r="G4972" t="s">
        <v>35</v>
      </c>
      <c r="H4972" t="s">
        <v>35</v>
      </c>
      <c r="J4972" t="s">
        <v>726</v>
      </c>
      <c r="K4972" t="s">
        <v>37</v>
      </c>
      <c r="M4972">
        <v>7.47</v>
      </c>
      <c r="N4972">
        <v>40</v>
      </c>
      <c r="O4972" t="s">
        <v>52</v>
      </c>
      <c r="P4972" t="s">
        <v>734</v>
      </c>
      <c r="Q4972" t="s">
        <v>132</v>
      </c>
      <c r="R4972" t="s">
        <v>735</v>
      </c>
      <c r="S4972" t="s">
        <v>736</v>
      </c>
      <c r="T4972" t="s">
        <v>737</v>
      </c>
    </row>
    <row r="4973" spans="1:20" x14ac:dyDescent="0.25">
      <c r="A4973" t="s">
        <v>30</v>
      </c>
      <c r="B4973" t="s">
        <v>31</v>
      </c>
      <c r="C4973" t="s">
        <v>32</v>
      </c>
      <c r="D4973" t="s">
        <v>719</v>
      </c>
      <c r="E4973" t="s">
        <v>5756</v>
      </c>
      <c r="F4973" t="s">
        <v>35</v>
      </c>
      <c r="G4973" t="s">
        <v>35</v>
      </c>
      <c r="H4973" t="s">
        <v>35</v>
      </c>
      <c r="J4973" t="s">
        <v>5766</v>
      </c>
      <c r="K4973" t="s">
        <v>1092</v>
      </c>
      <c r="M4973">
        <v>4.6349999999999998</v>
      </c>
      <c r="N4973">
        <v>500</v>
      </c>
      <c r="O4973" t="s">
        <v>294</v>
      </c>
      <c r="Q4973" t="s">
        <v>3822</v>
      </c>
      <c r="R4973" t="s">
        <v>735</v>
      </c>
      <c r="S4973" t="s">
        <v>736</v>
      </c>
      <c r="T4973" t="s">
        <v>737</v>
      </c>
    </row>
    <row r="4974" spans="1:20" x14ac:dyDescent="0.25">
      <c r="A4974" t="s">
        <v>30</v>
      </c>
      <c r="B4974" t="s">
        <v>31</v>
      </c>
      <c r="C4974" t="s">
        <v>32</v>
      </c>
      <c r="D4974" t="s">
        <v>719</v>
      </c>
      <c r="E4974" t="s">
        <v>5818</v>
      </c>
      <c r="F4974" t="s">
        <v>35</v>
      </c>
      <c r="G4974" t="s">
        <v>35</v>
      </c>
      <c r="H4974" t="s">
        <v>35</v>
      </c>
      <c r="J4974" t="s">
        <v>5820</v>
      </c>
      <c r="K4974" t="s">
        <v>1092</v>
      </c>
      <c r="M4974">
        <v>3.5550000000000002</v>
      </c>
      <c r="N4974">
        <v>128</v>
      </c>
      <c r="O4974" t="s">
        <v>38</v>
      </c>
      <c r="Q4974" t="s">
        <v>98</v>
      </c>
      <c r="R4974" t="s">
        <v>735</v>
      </c>
      <c r="S4974" t="s">
        <v>736</v>
      </c>
      <c r="T4974" t="s">
        <v>737</v>
      </c>
    </row>
    <row r="4975" spans="1:20" x14ac:dyDescent="0.25">
      <c r="A4975" t="s">
        <v>30</v>
      </c>
      <c r="B4975" t="s">
        <v>31</v>
      </c>
      <c r="C4975" t="s">
        <v>32</v>
      </c>
      <c r="D4975" t="s">
        <v>719</v>
      </c>
      <c r="E4975" t="s">
        <v>5795</v>
      </c>
      <c r="F4975" t="s">
        <v>35</v>
      </c>
      <c r="G4975" t="s">
        <v>35</v>
      </c>
      <c r="H4975" t="s">
        <v>35</v>
      </c>
      <c r="J4975" t="s">
        <v>5808</v>
      </c>
      <c r="K4975" t="s">
        <v>1092</v>
      </c>
      <c r="M4975">
        <v>10.8</v>
      </c>
      <c r="N4975">
        <v>53</v>
      </c>
      <c r="O4975" t="s">
        <v>52</v>
      </c>
      <c r="Q4975" t="s">
        <v>1734</v>
      </c>
      <c r="R4975" t="s">
        <v>735</v>
      </c>
      <c r="S4975" t="s">
        <v>736</v>
      </c>
      <c r="T4975" t="s">
        <v>737</v>
      </c>
    </row>
    <row r="4976" spans="1:20" x14ac:dyDescent="0.25">
      <c r="A4976" t="s">
        <v>30</v>
      </c>
      <c r="B4976" t="s">
        <v>31</v>
      </c>
      <c r="C4976" t="s">
        <v>32</v>
      </c>
      <c r="D4976" t="s">
        <v>719</v>
      </c>
      <c r="E4976" t="s">
        <v>5683</v>
      </c>
      <c r="F4976" t="s">
        <v>35</v>
      </c>
      <c r="G4976" t="s">
        <v>35</v>
      </c>
      <c r="H4976" t="s">
        <v>35</v>
      </c>
      <c r="J4976" t="s">
        <v>5697</v>
      </c>
      <c r="K4976" t="s">
        <v>1092</v>
      </c>
      <c r="M4976">
        <v>11.025</v>
      </c>
      <c r="N4976">
        <v>129</v>
      </c>
      <c r="O4976" t="s">
        <v>38</v>
      </c>
      <c r="Q4976" t="s">
        <v>157</v>
      </c>
      <c r="R4976" t="s">
        <v>735</v>
      </c>
      <c r="S4976" t="s">
        <v>736</v>
      </c>
      <c r="T4976" t="s">
        <v>737</v>
      </c>
    </row>
    <row r="4977" spans="1:20" x14ac:dyDescent="0.25">
      <c r="A4977" t="s">
        <v>30</v>
      </c>
      <c r="B4977" t="s">
        <v>31</v>
      </c>
      <c r="C4977" t="s">
        <v>32</v>
      </c>
      <c r="D4977" t="s">
        <v>719</v>
      </c>
      <c r="E4977" t="s">
        <v>738</v>
      </c>
      <c r="F4977" t="s">
        <v>35</v>
      </c>
      <c r="G4977" t="s">
        <v>35</v>
      </c>
      <c r="H4977" t="s">
        <v>35</v>
      </c>
      <c r="J4977" t="s">
        <v>5597</v>
      </c>
      <c r="K4977" t="s">
        <v>1092</v>
      </c>
      <c r="M4977">
        <v>11.025</v>
      </c>
      <c r="N4977">
        <v>32</v>
      </c>
      <c r="O4977" t="s">
        <v>52</v>
      </c>
      <c r="Q4977" t="s">
        <v>816</v>
      </c>
      <c r="R4977" t="s">
        <v>735</v>
      </c>
      <c r="S4977" t="s">
        <v>736</v>
      </c>
      <c r="T4977" t="s">
        <v>737</v>
      </c>
    </row>
    <row r="4978" spans="1:20" x14ac:dyDescent="0.25">
      <c r="A4978" t="s">
        <v>59</v>
      </c>
      <c r="B4978" t="s">
        <v>31</v>
      </c>
      <c r="C4978" t="s">
        <v>32</v>
      </c>
      <c r="D4978" t="s">
        <v>719</v>
      </c>
      <c r="E4978" t="s">
        <v>763</v>
      </c>
      <c r="F4978" t="s">
        <v>35</v>
      </c>
      <c r="G4978" t="s">
        <v>35</v>
      </c>
      <c r="H4978" t="s">
        <v>35</v>
      </c>
      <c r="J4978" t="s">
        <v>5730</v>
      </c>
      <c r="K4978" t="s">
        <v>1092</v>
      </c>
      <c r="M4978">
        <v>0.22500000000000001</v>
      </c>
      <c r="N4978">
        <v>1076</v>
      </c>
      <c r="O4978" t="s">
        <v>575</v>
      </c>
      <c r="Q4978" t="s">
        <v>1214</v>
      </c>
      <c r="R4978" t="s">
        <v>735</v>
      </c>
      <c r="S4978" t="s">
        <v>736</v>
      </c>
      <c r="T4978" t="s">
        <v>737</v>
      </c>
    </row>
    <row r="4979" spans="1:20" x14ac:dyDescent="0.25">
      <c r="A4979" t="s">
        <v>30</v>
      </c>
      <c r="B4979" t="s">
        <v>31</v>
      </c>
      <c r="C4979" t="s">
        <v>32</v>
      </c>
      <c r="D4979" t="s">
        <v>719</v>
      </c>
      <c r="E4979" t="s">
        <v>738</v>
      </c>
      <c r="F4979" t="s">
        <v>35</v>
      </c>
      <c r="G4979" t="s">
        <v>35</v>
      </c>
      <c r="H4979" t="s">
        <v>35</v>
      </c>
      <c r="J4979" t="s">
        <v>5562</v>
      </c>
      <c r="K4979" t="s">
        <v>1092</v>
      </c>
      <c r="M4979">
        <v>5.4450000000000003</v>
      </c>
      <c r="N4979">
        <v>54</v>
      </c>
      <c r="O4979" t="s">
        <v>52</v>
      </c>
      <c r="Q4979" t="s">
        <v>671</v>
      </c>
      <c r="R4979" t="s">
        <v>735</v>
      </c>
      <c r="S4979" t="s">
        <v>736</v>
      </c>
      <c r="T4979" t="s">
        <v>737</v>
      </c>
    </row>
    <row r="4980" spans="1:20" x14ac:dyDescent="0.25">
      <c r="A4980" t="s">
        <v>30</v>
      </c>
      <c r="B4980" t="s">
        <v>31</v>
      </c>
      <c r="C4980" t="s">
        <v>32</v>
      </c>
      <c r="D4980" t="s">
        <v>719</v>
      </c>
      <c r="E4980" t="s">
        <v>742</v>
      </c>
      <c r="F4980" t="s">
        <v>35</v>
      </c>
      <c r="G4980" t="s">
        <v>35</v>
      </c>
      <c r="H4980" t="s">
        <v>35</v>
      </c>
      <c r="J4980" t="s">
        <v>5649</v>
      </c>
      <c r="K4980" t="s">
        <v>1092</v>
      </c>
      <c r="M4980">
        <v>8.5950000000000006</v>
      </c>
      <c r="N4980">
        <v>65</v>
      </c>
      <c r="O4980" t="s">
        <v>61</v>
      </c>
      <c r="Q4980" t="s">
        <v>63</v>
      </c>
      <c r="R4980" t="s">
        <v>725</v>
      </c>
      <c r="S4980" t="s">
        <v>726</v>
      </c>
      <c r="T4980" t="s">
        <v>727</v>
      </c>
    </row>
    <row r="4981" spans="1:20" x14ac:dyDescent="0.25">
      <c r="A4981" t="s">
        <v>30</v>
      </c>
      <c r="B4981" t="s">
        <v>31</v>
      </c>
      <c r="C4981" t="s">
        <v>32</v>
      </c>
      <c r="D4981" t="s">
        <v>719</v>
      </c>
      <c r="E4981" t="s">
        <v>733</v>
      </c>
      <c r="F4981" t="s">
        <v>35</v>
      </c>
      <c r="G4981" t="s">
        <v>35</v>
      </c>
      <c r="H4981" t="s">
        <v>35</v>
      </c>
      <c r="J4981" t="s">
        <v>5534</v>
      </c>
      <c r="K4981" t="s">
        <v>1092</v>
      </c>
      <c r="M4981">
        <v>3.5550000000000002</v>
      </c>
      <c r="N4981">
        <v>40</v>
      </c>
      <c r="O4981" t="s">
        <v>52</v>
      </c>
      <c r="Q4981" t="s">
        <v>132</v>
      </c>
      <c r="R4981" t="s">
        <v>725</v>
      </c>
      <c r="S4981" t="s">
        <v>726</v>
      </c>
      <c r="T4981" t="s">
        <v>727</v>
      </c>
    </row>
    <row r="4982" spans="1:20" x14ac:dyDescent="0.25">
      <c r="A4982" t="s">
        <v>30</v>
      </c>
      <c r="B4982" t="s">
        <v>31</v>
      </c>
      <c r="C4982" t="s">
        <v>32</v>
      </c>
      <c r="D4982" t="s">
        <v>719</v>
      </c>
      <c r="E4982" t="s">
        <v>763</v>
      </c>
      <c r="F4982" t="s">
        <v>35</v>
      </c>
      <c r="G4982" t="s">
        <v>35</v>
      </c>
      <c r="H4982" t="s">
        <v>35</v>
      </c>
      <c r="J4982" t="s">
        <v>5725</v>
      </c>
      <c r="K4982" t="s">
        <v>1092</v>
      </c>
      <c r="M4982">
        <v>2.2949999999999999</v>
      </c>
      <c r="N4982">
        <v>476</v>
      </c>
      <c r="O4982" t="s">
        <v>294</v>
      </c>
      <c r="Q4982" t="s">
        <v>3195</v>
      </c>
      <c r="R4982" t="s">
        <v>725</v>
      </c>
      <c r="S4982" t="s">
        <v>726</v>
      </c>
      <c r="T4982" t="s">
        <v>727</v>
      </c>
    </row>
    <row r="4983" spans="1:20" x14ac:dyDescent="0.25">
      <c r="A4983" t="s">
        <v>30</v>
      </c>
      <c r="B4983" t="s">
        <v>31</v>
      </c>
      <c r="C4983" t="s">
        <v>32</v>
      </c>
      <c r="D4983" t="s">
        <v>719</v>
      </c>
      <c r="E4983" t="s">
        <v>738</v>
      </c>
      <c r="F4983" t="s">
        <v>35</v>
      </c>
      <c r="G4983" t="s">
        <v>35</v>
      </c>
      <c r="H4983" t="s">
        <v>35</v>
      </c>
      <c r="J4983" t="s">
        <v>739</v>
      </c>
      <c r="K4983" t="s">
        <v>37</v>
      </c>
      <c r="M4983">
        <v>8.0549999999999997</v>
      </c>
      <c r="N4983">
        <v>40</v>
      </c>
      <c r="O4983" t="s">
        <v>52</v>
      </c>
      <c r="P4983" t="s">
        <v>741</v>
      </c>
      <c r="Q4983" t="s">
        <v>132</v>
      </c>
      <c r="R4983" t="s">
        <v>725</v>
      </c>
      <c r="S4983" t="s">
        <v>726</v>
      </c>
      <c r="T4983" t="s">
        <v>727</v>
      </c>
    </row>
    <row r="4984" spans="1:20" x14ac:dyDescent="0.25">
      <c r="A4984" t="s">
        <v>30</v>
      </c>
      <c r="B4984" t="s">
        <v>31</v>
      </c>
      <c r="C4984" t="s">
        <v>32</v>
      </c>
      <c r="D4984" t="s">
        <v>719</v>
      </c>
      <c r="E4984" t="s">
        <v>5756</v>
      </c>
      <c r="F4984" t="s">
        <v>35</v>
      </c>
      <c r="G4984" t="s">
        <v>35</v>
      </c>
      <c r="H4984" t="s">
        <v>35</v>
      </c>
      <c r="J4984" t="s">
        <v>5762</v>
      </c>
      <c r="K4984" t="s">
        <v>1092</v>
      </c>
      <c r="M4984">
        <v>4.32</v>
      </c>
      <c r="N4984">
        <v>131</v>
      </c>
      <c r="O4984" t="s">
        <v>38</v>
      </c>
      <c r="Q4984" t="s">
        <v>542</v>
      </c>
      <c r="R4984" t="s">
        <v>725</v>
      </c>
      <c r="S4984" t="s">
        <v>726</v>
      </c>
      <c r="T4984" t="s">
        <v>727</v>
      </c>
    </row>
    <row r="4985" spans="1:20" x14ac:dyDescent="0.25">
      <c r="A4985" t="s">
        <v>30</v>
      </c>
      <c r="B4985" t="s">
        <v>31</v>
      </c>
      <c r="C4985" t="s">
        <v>32</v>
      </c>
      <c r="D4985" t="s">
        <v>719</v>
      </c>
      <c r="E4985" t="s">
        <v>720</v>
      </c>
      <c r="F4985" t="s">
        <v>35</v>
      </c>
      <c r="G4985" t="s">
        <v>35</v>
      </c>
      <c r="H4985" t="s">
        <v>35</v>
      </c>
      <c r="J4985" t="s">
        <v>5436</v>
      </c>
      <c r="K4985" t="s">
        <v>1092</v>
      </c>
      <c r="M4985">
        <v>5.4</v>
      </c>
      <c r="N4985">
        <v>65</v>
      </c>
      <c r="O4985" t="s">
        <v>61</v>
      </c>
      <c r="Q4985" t="s">
        <v>63</v>
      </c>
      <c r="R4985" t="s">
        <v>725</v>
      </c>
      <c r="S4985" t="s">
        <v>726</v>
      </c>
      <c r="T4985" t="s">
        <v>727</v>
      </c>
    </row>
    <row r="4986" spans="1:20" x14ac:dyDescent="0.25">
      <c r="A4986" t="s">
        <v>59</v>
      </c>
      <c r="B4986" t="s">
        <v>31</v>
      </c>
      <c r="C4986" t="s">
        <v>32</v>
      </c>
      <c r="D4986" t="s">
        <v>719</v>
      </c>
      <c r="E4986" t="s">
        <v>5756</v>
      </c>
      <c r="F4986" t="s">
        <v>35</v>
      </c>
      <c r="G4986" t="s">
        <v>35</v>
      </c>
      <c r="H4986" t="s">
        <v>35</v>
      </c>
      <c r="J4986" t="s">
        <v>5767</v>
      </c>
      <c r="K4986" t="s">
        <v>1092</v>
      </c>
      <c r="M4986">
        <v>0.13500000000000001</v>
      </c>
      <c r="N4986">
        <v>128</v>
      </c>
      <c r="O4986" t="s">
        <v>38</v>
      </c>
      <c r="Q4986" t="s">
        <v>98</v>
      </c>
      <c r="R4986" t="s">
        <v>725</v>
      </c>
      <c r="S4986" t="s">
        <v>726</v>
      </c>
      <c r="T4986" t="s">
        <v>727</v>
      </c>
    </row>
    <row r="4987" spans="1:20" x14ac:dyDescent="0.25">
      <c r="A4987" t="s">
        <v>44</v>
      </c>
      <c r="B4987" t="s">
        <v>3</v>
      </c>
      <c r="C4987" t="s">
        <v>32</v>
      </c>
      <c r="D4987" t="s">
        <v>719</v>
      </c>
      <c r="E4987" t="s">
        <v>5756</v>
      </c>
      <c r="F4987" t="s">
        <v>35</v>
      </c>
      <c r="G4987" t="s">
        <v>35</v>
      </c>
      <c r="H4987" t="s">
        <v>35</v>
      </c>
      <c r="J4987" t="s">
        <v>5767</v>
      </c>
      <c r="K4987" t="s">
        <v>1092</v>
      </c>
      <c r="M4987">
        <v>0.05</v>
      </c>
      <c r="N4987">
        <v>517</v>
      </c>
      <c r="O4987" t="s">
        <v>294</v>
      </c>
      <c r="Q4987" t="s">
        <v>4843</v>
      </c>
      <c r="R4987" t="s">
        <v>725</v>
      </c>
      <c r="S4987" t="s">
        <v>726</v>
      </c>
      <c r="T4987" t="s">
        <v>727</v>
      </c>
    </row>
    <row r="4988" spans="1:20" x14ac:dyDescent="0.25">
      <c r="A4988" t="s">
        <v>30</v>
      </c>
      <c r="B4988" t="s">
        <v>31</v>
      </c>
      <c r="C4988" t="s">
        <v>32</v>
      </c>
      <c r="D4988" t="s">
        <v>719</v>
      </c>
      <c r="E4988" t="s">
        <v>738</v>
      </c>
      <c r="F4988" t="s">
        <v>35</v>
      </c>
      <c r="G4988" t="s">
        <v>35</v>
      </c>
      <c r="H4988" t="s">
        <v>35</v>
      </c>
      <c r="J4988" t="s">
        <v>5570</v>
      </c>
      <c r="K4988" t="s">
        <v>1092</v>
      </c>
      <c r="M4988">
        <v>1.3049999999999999</v>
      </c>
      <c r="N4988">
        <v>1861</v>
      </c>
      <c r="O4988" t="s">
        <v>575</v>
      </c>
      <c r="Q4988" t="s">
        <v>5571</v>
      </c>
      <c r="R4988" t="s">
        <v>725</v>
      </c>
      <c r="S4988" t="s">
        <v>726</v>
      </c>
      <c r="T4988" t="s">
        <v>727</v>
      </c>
    </row>
    <row r="4989" spans="1:20" x14ac:dyDescent="0.25">
      <c r="A4989" t="s">
        <v>30</v>
      </c>
      <c r="B4989" t="s">
        <v>31</v>
      </c>
      <c r="C4989" t="s">
        <v>32</v>
      </c>
      <c r="D4989" t="s">
        <v>719</v>
      </c>
      <c r="E4989" t="s">
        <v>720</v>
      </c>
      <c r="F4989" t="s">
        <v>35</v>
      </c>
      <c r="G4989" t="s">
        <v>35</v>
      </c>
      <c r="H4989" t="s">
        <v>35</v>
      </c>
      <c r="J4989" t="s">
        <v>5431</v>
      </c>
      <c r="K4989" t="s">
        <v>1092</v>
      </c>
      <c r="M4989">
        <v>5.4</v>
      </c>
      <c r="N4989">
        <v>65</v>
      </c>
      <c r="O4989" t="s">
        <v>61</v>
      </c>
      <c r="Q4989" t="s">
        <v>63</v>
      </c>
      <c r="R4989" t="s">
        <v>725</v>
      </c>
      <c r="S4989" t="s">
        <v>726</v>
      </c>
      <c r="T4989" t="s">
        <v>727</v>
      </c>
    </row>
    <row r="4990" spans="1:20" x14ac:dyDescent="0.25">
      <c r="A4990" t="s">
        <v>30</v>
      </c>
      <c r="B4990" t="s">
        <v>31</v>
      </c>
      <c r="C4990" t="s">
        <v>32</v>
      </c>
      <c r="D4990" t="s">
        <v>719</v>
      </c>
      <c r="E4990" t="s">
        <v>720</v>
      </c>
      <c r="F4990" t="s">
        <v>35</v>
      </c>
      <c r="G4990" t="s">
        <v>35</v>
      </c>
      <c r="H4990" t="s">
        <v>35</v>
      </c>
      <c r="J4990" t="s">
        <v>721</v>
      </c>
      <c r="K4990" t="s">
        <v>37</v>
      </c>
      <c r="M4990">
        <v>5.625</v>
      </c>
      <c r="N4990">
        <v>88</v>
      </c>
      <c r="O4990" t="s">
        <v>61</v>
      </c>
      <c r="P4990" t="s">
        <v>723</v>
      </c>
      <c r="Q4990" t="s">
        <v>724</v>
      </c>
      <c r="R4990" t="s">
        <v>725</v>
      </c>
      <c r="S4990" t="s">
        <v>726</v>
      </c>
      <c r="T4990" t="s">
        <v>727</v>
      </c>
    </row>
    <row r="4991" spans="1:20" x14ac:dyDescent="0.25">
      <c r="A4991" t="s">
        <v>30</v>
      </c>
      <c r="B4991" t="s">
        <v>31</v>
      </c>
      <c r="C4991" t="s">
        <v>32</v>
      </c>
      <c r="D4991" t="s">
        <v>719</v>
      </c>
      <c r="E4991" t="s">
        <v>738</v>
      </c>
      <c r="F4991" t="s">
        <v>35</v>
      </c>
      <c r="G4991" t="s">
        <v>35</v>
      </c>
      <c r="H4991" t="s">
        <v>35</v>
      </c>
      <c r="J4991" t="s">
        <v>5595</v>
      </c>
      <c r="K4991" t="s">
        <v>1092</v>
      </c>
      <c r="M4991">
        <v>11.025</v>
      </c>
      <c r="N4991">
        <v>91</v>
      </c>
      <c r="O4991" t="s">
        <v>106</v>
      </c>
      <c r="Q4991" t="s">
        <v>108</v>
      </c>
      <c r="R4991" t="s">
        <v>725</v>
      </c>
      <c r="S4991" t="s">
        <v>726</v>
      </c>
      <c r="T4991" t="s">
        <v>727</v>
      </c>
    </row>
    <row r="4992" spans="1:20" x14ac:dyDescent="0.25">
      <c r="A4992" t="s">
        <v>30</v>
      </c>
      <c r="B4992" t="s">
        <v>31</v>
      </c>
      <c r="C4992" t="s">
        <v>32</v>
      </c>
      <c r="D4992" t="s">
        <v>719</v>
      </c>
      <c r="E4992" t="s">
        <v>742</v>
      </c>
      <c r="F4992" t="s">
        <v>35</v>
      </c>
      <c r="G4992" t="s">
        <v>35</v>
      </c>
      <c r="H4992" t="s">
        <v>35</v>
      </c>
      <c r="J4992" t="s">
        <v>5679</v>
      </c>
      <c r="K4992" t="s">
        <v>1092</v>
      </c>
      <c r="M4992">
        <v>5.1749999999999998</v>
      </c>
      <c r="N4992">
        <v>42</v>
      </c>
      <c r="O4992" t="s">
        <v>52</v>
      </c>
      <c r="Q4992" t="s">
        <v>219</v>
      </c>
      <c r="R4992" t="s">
        <v>725</v>
      </c>
      <c r="S4992" t="s">
        <v>726</v>
      </c>
      <c r="T4992" t="s">
        <v>727</v>
      </c>
    </row>
    <row r="4993" spans="1:20" x14ac:dyDescent="0.25">
      <c r="A4993" t="s">
        <v>59</v>
      </c>
      <c r="B4993" t="s">
        <v>60</v>
      </c>
      <c r="C4993" t="s">
        <v>32</v>
      </c>
      <c r="D4993" t="s">
        <v>719</v>
      </c>
      <c r="E4993" t="s">
        <v>742</v>
      </c>
      <c r="F4993" t="s">
        <v>35</v>
      </c>
      <c r="G4993" t="s">
        <v>35</v>
      </c>
      <c r="H4993" t="s">
        <v>35</v>
      </c>
      <c r="J4993" t="s">
        <v>5673</v>
      </c>
      <c r="K4993" t="s">
        <v>1092</v>
      </c>
      <c r="M4993">
        <v>0.65</v>
      </c>
      <c r="N4993">
        <v>101</v>
      </c>
      <c r="O4993" t="s">
        <v>106</v>
      </c>
      <c r="Q4993" t="s">
        <v>1450</v>
      </c>
      <c r="R4993" t="s">
        <v>725</v>
      </c>
      <c r="S4993" t="s">
        <v>726</v>
      </c>
      <c r="T4993" t="s">
        <v>727</v>
      </c>
    </row>
    <row r="4994" spans="1:20" x14ac:dyDescent="0.25">
      <c r="A4994" t="s">
        <v>30</v>
      </c>
      <c r="B4994" t="s">
        <v>31</v>
      </c>
      <c r="C4994" t="s">
        <v>32</v>
      </c>
      <c r="D4994" t="s">
        <v>719</v>
      </c>
      <c r="F4994" t="s">
        <v>35</v>
      </c>
      <c r="G4994" t="s">
        <v>35</v>
      </c>
      <c r="H4994" t="s">
        <v>35</v>
      </c>
      <c r="J4994" t="s">
        <v>5883</v>
      </c>
      <c r="K4994" t="s">
        <v>1092</v>
      </c>
      <c r="M4994">
        <v>1.125</v>
      </c>
      <c r="N4994">
        <v>859</v>
      </c>
      <c r="O4994" t="s">
        <v>575</v>
      </c>
      <c r="Q4994" t="s">
        <v>5884</v>
      </c>
      <c r="R4994" t="s">
        <v>725</v>
      </c>
      <c r="S4994" t="s">
        <v>726</v>
      </c>
      <c r="T4994" t="s">
        <v>727</v>
      </c>
    </row>
    <row r="4995" spans="1:20" x14ac:dyDescent="0.25">
      <c r="A4995" t="s">
        <v>30</v>
      </c>
      <c r="B4995" t="s">
        <v>31</v>
      </c>
      <c r="C4995" t="s">
        <v>32</v>
      </c>
      <c r="D4995" t="s">
        <v>719</v>
      </c>
      <c r="F4995" t="s">
        <v>35</v>
      </c>
      <c r="G4995" t="s">
        <v>35</v>
      </c>
      <c r="H4995" t="s">
        <v>35</v>
      </c>
      <c r="J4995" t="s">
        <v>5883</v>
      </c>
      <c r="K4995" t="s">
        <v>1092</v>
      </c>
      <c r="M4995">
        <v>0.27</v>
      </c>
      <c r="N4995">
        <v>886</v>
      </c>
      <c r="O4995" t="s">
        <v>575</v>
      </c>
      <c r="Q4995" t="s">
        <v>2390</v>
      </c>
      <c r="R4995" t="s">
        <v>725</v>
      </c>
      <c r="S4995" t="s">
        <v>726</v>
      </c>
      <c r="T4995" t="s">
        <v>727</v>
      </c>
    </row>
    <row r="4996" spans="1:20" x14ac:dyDescent="0.25">
      <c r="A4996" t="s">
        <v>30</v>
      </c>
      <c r="B4996" t="s">
        <v>31</v>
      </c>
      <c r="C4996" t="s">
        <v>32</v>
      </c>
      <c r="D4996" t="s">
        <v>719</v>
      </c>
      <c r="E4996" t="s">
        <v>720</v>
      </c>
      <c r="F4996" t="s">
        <v>35</v>
      </c>
      <c r="G4996" t="s">
        <v>35</v>
      </c>
      <c r="H4996" t="s">
        <v>35</v>
      </c>
      <c r="J4996" t="s">
        <v>5421</v>
      </c>
      <c r="K4996" t="s">
        <v>1092</v>
      </c>
      <c r="M4996">
        <v>8.4149999999999991</v>
      </c>
      <c r="N4996">
        <v>149</v>
      </c>
      <c r="O4996" t="s">
        <v>38</v>
      </c>
      <c r="Q4996" t="s">
        <v>75</v>
      </c>
      <c r="R4996" t="s">
        <v>725</v>
      </c>
      <c r="S4996" t="s">
        <v>726</v>
      </c>
      <c r="T4996" t="s">
        <v>727</v>
      </c>
    </row>
    <row r="4997" spans="1:20" x14ac:dyDescent="0.25">
      <c r="A4997" t="s">
        <v>59</v>
      </c>
      <c r="B4997" t="s">
        <v>60</v>
      </c>
      <c r="C4997" t="s">
        <v>32</v>
      </c>
      <c r="D4997" t="s">
        <v>719</v>
      </c>
      <c r="E4997" t="s">
        <v>720</v>
      </c>
      <c r="F4997" t="s">
        <v>35</v>
      </c>
      <c r="G4997" t="s">
        <v>35</v>
      </c>
      <c r="H4997" t="s">
        <v>35</v>
      </c>
      <c r="J4997" t="s">
        <v>5456</v>
      </c>
      <c r="K4997" t="s">
        <v>1092</v>
      </c>
      <c r="M4997">
        <v>2.4</v>
      </c>
      <c r="N4997">
        <v>210</v>
      </c>
      <c r="O4997" t="s">
        <v>5</v>
      </c>
      <c r="Q4997" t="s">
        <v>1159</v>
      </c>
      <c r="R4997" t="s">
        <v>725</v>
      </c>
      <c r="S4997" t="s">
        <v>726</v>
      </c>
      <c r="T4997" t="s">
        <v>727</v>
      </c>
    </row>
    <row r="4998" spans="1:20" x14ac:dyDescent="0.25">
      <c r="A4998" t="s">
        <v>44</v>
      </c>
      <c r="B4998" t="s">
        <v>3</v>
      </c>
      <c r="C4998" t="s">
        <v>32</v>
      </c>
      <c r="D4998" t="s">
        <v>719</v>
      </c>
      <c r="E4998" t="s">
        <v>738</v>
      </c>
      <c r="F4998" t="s">
        <v>35</v>
      </c>
      <c r="G4998" t="s">
        <v>35</v>
      </c>
      <c r="H4998" t="s">
        <v>35</v>
      </c>
      <c r="J4998" t="s">
        <v>5568</v>
      </c>
      <c r="K4998" t="s">
        <v>1092</v>
      </c>
      <c r="M4998">
        <v>0.75</v>
      </c>
      <c r="N4998">
        <v>515</v>
      </c>
      <c r="O4998" t="s">
        <v>294</v>
      </c>
      <c r="Q4998" t="s">
        <v>2158</v>
      </c>
      <c r="R4998" t="s">
        <v>725</v>
      </c>
      <c r="S4998" t="s">
        <v>726</v>
      </c>
      <c r="T4998" t="s">
        <v>727</v>
      </c>
    </row>
    <row r="4999" spans="1:20" x14ac:dyDescent="0.25">
      <c r="A4999" t="s">
        <v>30</v>
      </c>
      <c r="B4999" t="s">
        <v>31</v>
      </c>
      <c r="C4999" t="s">
        <v>32</v>
      </c>
      <c r="D4999" t="s">
        <v>719</v>
      </c>
      <c r="E4999" t="s">
        <v>738</v>
      </c>
      <c r="F4999" t="s">
        <v>35</v>
      </c>
      <c r="G4999" t="s">
        <v>35</v>
      </c>
      <c r="H4999" t="s">
        <v>35</v>
      </c>
      <c r="J4999" t="s">
        <v>5568</v>
      </c>
      <c r="K4999" t="s">
        <v>1092</v>
      </c>
      <c r="M4999">
        <v>3.15</v>
      </c>
      <c r="N4999">
        <v>222</v>
      </c>
      <c r="O4999" t="s">
        <v>5</v>
      </c>
      <c r="Q4999" t="s">
        <v>1562</v>
      </c>
      <c r="R4999" t="s">
        <v>725</v>
      </c>
      <c r="S4999" t="s">
        <v>726</v>
      </c>
      <c r="T4999" t="s">
        <v>727</v>
      </c>
    </row>
    <row r="5000" spans="1:20" x14ac:dyDescent="0.25">
      <c r="A5000" t="s">
        <v>30</v>
      </c>
      <c r="B5000" t="s">
        <v>31</v>
      </c>
      <c r="C5000" t="s">
        <v>32</v>
      </c>
      <c r="D5000" t="s">
        <v>719</v>
      </c>
      <c r="E5000" t="s">
        <v>5756</v>
      </c>
      <c r="F5000" t="s">
        <v>35</v>
      </c>
      <c r="G5000" t="s">
        <v>35</v>
      </c>
      <c r="H5000" t="s">
        <v>35</v>
      </c>
      <c r="J5000" t="s">
        <v>5766</v>
      </c>
      <c r="K5000" t="s">
        <v>1092</v>
      </c>
      <c r="M5000">
        <v>11.25</v>
      </c>
      <c r="N5000">
        <v>91</v>
      </c>
      <c r="O5000" t="s">
        <v>106</v>
      </c>
      <c r="Q5000" t="s">
        <v>108</v>
      </c>
      <c r="R5000" t="s">
        <v>725</v>
      </c>
      <c r="S5000" t="s">
        <v>726</v>
      </c>
      <c r="T5000" t="s">
        <v>727</v>
      </c>
    </row>
    <row r="5001" spans="1:20" x14ac:dyDescent="0.25">
      <c r="A5001" t="s">
        <v>30</v>
      </c>
      <c r="B5001" t="s">
        <v>31</v>
      </c>
      <c r="C5001" t="s">
        <v>32</v>
      </c>
      <c r="D5001" t="s">
        <v>719</v>
      </c>
      <c r="E5001" t="s">
        <v>720</v>
      </c>
      <c r="F5001" t="s">
        <v>35</v>
      </c>
      <c r="G5001" t="s">
        <v>35</v>
      </c>
      <c r="H5001" t="s">
        <v>35</v>
      </c>
      <c r="J5001" t="s">
        <v>5434</v>
      </c>
      <c r="K5001" t="s">
        <v>1092</v>
      </c>
      <c r="M5001">
        <v>11.07</v>
      </c>
      <c r="N5001">
        <v>42</v>
      </c>
      <c r="O5001" t="s">
        <v>52</v>
      </c>
      <c r="Q5001" t="s">
        <v>219</v>
      </c>
      <c r="R5001" t="s">
        <v>725</v>
      </c>
      <c r="S5001" t="s">
        <v>726</v>
      </c>
      <c r="T5001" t="s">
        <v>727</v>
      </c>
    </row>
    <row r="5002" spans="1:20" x14ac:dyDescent="0.25">
      <c r="A5002" t="s">
        <v>59</v>
      </c>
      <c r="B5002" t="s">
        <v>31</v>
      </c>
      <c r="C5002" t="s">
        <v>32</v>
      </c>
      <c r="D5002" t="s">
        <v>719</v>
      </c>
      <c r="E5002" t="s">
        <v>738</v>
      </c>
      <c r="F5002" t="s">
        <v>35</v>
      </c>
      <c r="G5002" t="s">
        <v>35</v>
      </c>
      <c r="H5002" t="s">
        <v>35</v>
      </c>
      <c r="J5002" t="s">
        <v>5599</v>
      </c>
      <c r="K5002" t="s">
        <v>1092</v>
      </c>
      <c r="M5002">
        <v>0.17</v>
      </c>
      <c r="N5002">
        <v>145</v>
      </c>
      <c r="O5002" t="s">
        <v>38</v>
      </c>
      <c r="Q5002" t="s">
        <v>408</v>
      </c>
      <c r="R5002" t="s">
        <v>725</v>
      </c>
      <c r="S5002" t="s">
        <v>726</v>
      </c>
      <c r="T5002" t="s">
        <v>727</v>
      </c>
    </row>
    <row r="5003" spans="1:20" x14ac:dyDescent="0.25">
      <c r="A5003" t="s">
        <v>30</v>
      </c>
      <c r="B5003" t="s">
        <v>31</v>
      </c>
      <c r="C5003" t="s">
        <v>32</v>
      </c>
      <c r="D5003" t="s">
        <v>719</v>
      </c>
      <c r="E5003" t="s">
        <v>5795</v>
      </c>
      <c r="F5003" t="s">
        <v>35</v>
      </c>
      <c r="G5003" t="s">
        <v>35</v>
      </c>
      <c r="H5003" t="s">
        <v>35</v>
      </c>
      <c r="J5003" t="s">
        <v>5809</v>
      </c>
      <c r="K5003" t="s">
        <v>1092</v>
      </c>
      <c r="M5003">
        <v>0.18</v>
      </c>
      <c r="N5003">
        <v>65</v>
      </c>
      <c r="O5003" t="s">
        <v>61</v>
      </c>
      <c r="Q5003" t="s">
        <v>63</v>
      </c>
      <c r="R5003" t="s">
        <v>725</v>
      </c>
      <c r="S5003" t="s">
        <v>726</v>
      </c>
      <c r="T5003" t="s">
        <v>727</v>
      </c>
    </row>
    <row r="5004" spans="1:20" x14ac:dyDescent="0.25">
      <c r="A5004" t="s">
        <v>30</v>
      </c>
      <c r="B5004" t="s">
        <v>31</v>
      </c>
      <c r="C5004" t="s">
        <v>32</v>
      </c>
      <c r="D5004" t="s">
        <v>719</v>
      </c>
      <c r="E5004" t="s">
        <v>5756</v>
      </c>
      <c r="F5004" t="s">
        <v>35</v>
      </c>
      <c r="G5004" t="s">
        <v>35</v>
      </c>
      <c r="H5004" t="s">
        <v>35</v>
      </c>
      <c r="J5004" t="s">
        <v>5763</v>
      </c>
      <c r="K5004" t="s">
        <v>1092</v>
      </c>
      <c r="M5004">
        <v>0.36</v>
      </c>
      <c r="N5004">
        <v>163</v>
      </c>
      <c r="O5004" t="s">
        <v>38</v>
      </c>
      <c r="Q5004" t="s">
        <v>2780</v>
      </c>
      <c r="R5004" t="s">
        <v>725</v>
      </c>
      <c r="S5004" t="s">
        <v>726</v>
      </c>
      <c r="T5004" t="s">
        <v>727</v>
      </c>
    </row>
    <row r="5005" spans="1:20" x14ac:dyDescent="0.25">
      <c r="A5005" t="s">
        <v>30</v>
      </c>
      <c r="B5005" t="s">
        <v>31</v>
      </c>
      <c r="C5005" t="s">
        <v>32</v>
      </c>
      <c r="D5005" t="s">
        <v>719</v>
      </c>
      <c r="F5005" t="s">
        <v>35</v>
      </c>
      <c r="G5005" t="s">
        <v>35</v>
      </c>
      <c r="H5005" t="s">
        <v>35</v>
      </c>
      <c r="J5005" t="s">
        <v>5504</v>
      </c>
      <c r="K5005" t="s">
        <v>1092</v>
      </c>
      <c r="M5005">
        <v>3.51</v>
      </c>
      <c r="N5005">
        <v>12</v>
      </c>
      <c r="O5005" t="s">
        <v>46</v>
      </c>
      <c r="Q5005" t="s">
        <v>1192</v>
      </c>
      <c r="R5005" t="s">
        <v>725</v>
      </c>
      <c r="S5005" t="s">
        <v>726</v>
      </c>
      <c r="T5005" t="s">
        <v>727</v>
      </c>
    </row>
    <row r="5006" spans="1:20" x14ac:dyDescent="0.25">
      <c r="A5006" t="s">
        <v>30</v>
      </c>
      <c r="B5006" t="s">
        <v>31</v>
      </c>
      <c r="C5006" t="s">
        <v>32</v>
      </c>
      <c r="D5006" t="s">
        <v>719</v>
      </c>
      <c r="E5006" t="s">
        <v>720</v>
      </c>
      <c r="F5006" t="s">
        <v>35</v>
      </c>
      <c r="G5006" t="s">
        <v>35</v>
      </c>
      <c r="H5006" t="s">
        <v>35</v>
      </c>
      <c r="J5006" t="s">
        <v>5424</v>
      </c>
      <c r="K5006" t="s">
        <v>1092</v>
      </c>
      <c r="M5006">
        <v>11.07</v>
      </c>
      <c r="N5006">
        <v>42</v>
      </c>
      <c r="O5006" t="s">
        <v>52</v>
      </c>
      <c r="Q5006" t="s">
        <v>219</v>
      </c>
      <c r="R5006" t="s">
        <v>725</v>
      </c>
      <c r="S5006" t="s">
        <v>726</v>
      </c>
      <c r="T5006" t="s">
        <v>727</v>
      </c>
    </row>
    <row r="5007" spans="1:20" x14ac:dyDescent="0.25">
      <c r="A5007" t="s">
        <v>59</v>
      </c>
      <c r="B5007" t="s">
        <v>60</v>
      </c>
      <c r="C5007" t="s">
        <v>32</v>
      </c>
      <c r="D5007" t="s">
        <v>719</v>
      </c>
      <c r="E5007" t="s">
        <v>5782</v>
      </c>
      <c r="F5007" t="s">
        <v>35</v>
      </c>
      <c r="G5007" t="s">
        <v>35</v>
      </c>
      <c r="H5007" t="s">
        <v>35</v>
      </c>
      <c r="J5007" t="s">
        <v>5783</v>
      </c>
      <c r="K5007" t="s">
        <v>1092</v>
      </c>
      <c r="M5007">
        <v>1.4</v>
      </c>
      <c r="N5007">
        <v>210</v>
      </c>
      <c r="O5007" t="s">
        <v>5</v>
      </c>
      <c r="Q5007" t="s">
        <v>1159</v>
      </c>
      <c r="R5007" t="s">
        <v>725</v>
      </c>
      <c r="S5007" t="s">
        <v>726</v>
      </c>
      <c r="T5007" t="s">
        <v>727</v>
      </c>
    </row>
    <row r="5008" spans="1:20" x14ac:dyDescent="0.25">
      <c r="A5008" t="s">
        <v>30</v>
      </c>
      <c r="B5008" t="s">
        <v>31</v>
      </c>
      <c r="C5008" t="s">
        <v>32</v>
      </c>
      <c r="D5008" t="s">
        <v>719</v>
      </c>
      <c r="E5008" t="s">
        <v>5756</v>
      </c>
      <c r="F5008" t="s">
        <v>35</v>
      </c>
      <c r="G5008" t="s">
        <v>35</v>
      </c>
      <c r="H5008" t="s">
        <v>35</v>
      </c>
      <c r="J5008" t="s">
        <v>5775</v>
      </c>
      <c r="K5008" t="s">
        <v>1092</v>
      </c>
      <c r="M5008">
        <v>11.025</v>
      </c>
      <c r="N5008">
        <v>91</v>
      </c>
      <c r="O5008" t="s">
        <v>106</v>
      </c>
      <c r="Q5008" t="s">
        <v>108</v>
      </c>
      <c r="R5008" t="s">
        <v>725</v>
      </c>
      <c r="S5008" t="s">
        <v>726</v>
      </c>
      <c r="T5008" t="s">
        <v>727</v>
      </c>
    </row>
    <row r="5009" spans="1:20" x14ac:dyDescent="0.25">
      <c r="A5009" t="s">
        <v>30</v>
      </c>
      <c r="B5009" t="s">
        <v>31</v>
      </c>
      <c r="C5009" t="s">
        <v>32</v>
      </c>
      <c r="D5009" t="s">
        <v>719</v>
      </c>
      <c r="E5009" t="s">
        <v>733</v>
      </c>
      <c r="F5009" t="s">
        <v>35</v>
      </c>
      <c r="G5009" t="s">
        <v>35</v>
      </c>
      <c r="H5009" t="s">
        <v>35</v>
      </c>
      <c r="J5009" t="s">
        <v>5542</v>
      </c>
      <c r="K5009" t="s">
        <v>1092</v>
      </c>
      <c r="M5009">
        <v>0.46500000000000002</v>
      </c>
      <c r="N5009">
        <v>149</v>
      </c>
      <c r="O5009" t="s">
        <v>38</v>
      </c>
      <c r="Q5009" t="s">
        <v>75</v>
      </c>
      <c r="R5009" t="s">
        <v>725</v>
      </c>
      <c r="S5009" t="s">
        <v>726</v>
      </c>
      <c r="T5009" t="s">
        <v>727</v>
      </c>
    </row>
    <row r="5010" spans="1:20" x14ac:dyDescent="0.25">
      <c r="A5010" t="s">
        <v>30</v>
      </c>
      <c r="B5010" t="s">
        <v>31</v>
      </c>
      <c r="C5010" t="s">
        <v>32</v>
      </c>
      <c r="D5010" t="s">
        <v>719</v>
      </c>
      <c r="E5010" t="s">
        <v>738</v>
      </c>
      <c r="F5010" t="s">
        <v>35</v>
      </c>
      <c r="G5010" t="s">
        <v>35</v>
      </c>
      <c r="H5010" t="s">
        <v>35</v>
      </c>
      <c r="J5010" t="s">
        <v>5593</v>
      </c>
      <c r="K5010" t="s">
        <v>1092</v>
      </c>
      <c r="M5010">
        <v>10.71</v>
      </c>
      <c r="N5010">
        <v>40</v>
      </c>
      <c r="O5010" t="s">
        <v>52</v>
      </c>
      <c r="Q5010" t="s">
        <v>132</v>
      </c>
      <c r="R5010" t="s">
        <v>725</v>
      </c>
      <c r="S5010" t="s">
        <v>726</v>
      </c>
      <c r="T5010" t="s">
        <v>727</v>
      </c>
    </row>
    <row r="5011" spans="1:20" x14ac:dyDescent="0.25">
      <c r="A5011" t="s">
        <v>30</v>
      </c>
      <c r="B5011" t="s">
        <v>31</v>
      </c>
      <c r="C5011" t="s">
        <v>32</v>
      </c>
      <c r="D5011" t="s">
        <v>719</v>
      </c>
      <c r="E5011" t="s">
        <v>5756</v>
      </c>
      <c r="F5011" t="s">
        <v>35</v>
      </c>
      <c r="G5011" t="s">
        <v>35</v>
      </c>
      <c r="H5011" t="s">
        <v>35</v>
      </c>
      <c r="J5011" t="s">
        <v>5773</v>
      </c>
      <c r="K5011" t="s">
        <v>1092</v>
      </c>
      <c r="M5011">
        <v>6.7050000000000001</v>
      </c>
      <c r="N5011">
        <v>131</v>
      </c>
      <c r="O5011" t="s">
        <v>38</v>
      </c>
      <c r="Q5011" t="s">
        <v>542</v>
      </c>
      <c r="R5011" t="s">
        <v>725</v>
      </c>
      <c r="S5011" t="s">
        <v>726</v>
      </c>
      <c r="T5011" t="s">
        <v>727</v>
      </c>
    </row>
    <row r="5012" spans="1:20" x14ac:dyDescent="0.25">
      <c r="A5012" t="s">
        <v>30</v>
      </c>
      <c r="B5012" t="s">
        <v>31</v>
      </c>
      <c r="C5012" t="s">
        <v>32</v>
      </c>
      <c r="D5012" t="s">
        <v>719</v>
      </c>
      <c r="E5012" t="s">
        <v>5756</v>
      </c>
      <c r="F5012" t="s">
        <v>35</v>
      </c>
      <c r="G5012" t="s">
        <v>35</v>
      </c>
      <c r="H5012" t="s">
        <v>35</v>
      </c>
      <c r="J5012" t="s">
        <v>5765</v>
      </c>
      <c r="K5012" t="s">
        <v>1092</v>
      </c>
      <c r="M5012">
        <v>10.35</v>
      </c>
      <c r="N5012">
        <v>65</v>
      </c>
      <c r="O5012" t="s">
        <v>61</v>
      </c>
      <c r="Q5012" t="s">
        <v>63</v>
      </c>
      <c r="R5012" t="s">
        <v>725</v>
      </c>
      <c r="S5012" t="s">
        <v>726</v>
      </c>
      <c r="T5012" t="s">
        <v>727</v>
      </c>
    </row>
    <row r="5013" spans="1:20" x14ac:dyDescent="0.25">
      <c r="A5013" t="s">
        <v>30</v>
      </c>
      <c r="B5013" t="s">
        <v>31</v>
      </c>
      <c r="C5013" t="s">
        <v>32</v>
      </c>
      <c r="D5013" t="s">
        <v>719</v>
      </c>
      <c r="E5013" t="s">
        <v>720</v>
      </c>
      <c r="F5013" t="s">
        <v>35</v>
      </c>
      <c r="G5013" t="s">
        <v>35</v>
      </c>
      <c r="H5013" t="s">
        <v>35</v>
      </c>
      <c r="J5013" t="s">
        <v>5443</v>
      </c>
      <c r="K5013" t="s">
        <v>1092</v>
      </c>
      <c r="M5013">
        <v>9.6750000000000007</v>
      </c>
      <c r="N5013">
        <v>42</v>
      </c>
      <c r="O5013" t="s">
        <v>52</v>
      </c>
      <c r="Q5013" t="s">
        <v>219</v>
      </c>
      <c r="R5013" t="s">
        <v>730</v>
      </c>
      <c r="S5013" t="s">
        <v>731</v>
      </c>
      <c r="T5013" t="s">
        <v>732</v>
      </c>
    </row>
    <row r="5014" spans="1:20" x14ac:dyDescent="0.25">
      <c r="A5014" t="s">
        <v>30</v>
      </c>
      <c r="B5014" t="s">
        <v>31</v>
      </c>
      <c r="C5014" t="s">
        <v>32</v>
      </c>
      <c r="D5014" t="s">
        <v>719</v>
      </c>
      <c r="E5014" t="s">
        <v>738</v>
      </c>
      <c r="F5014" t="s">
        <v>35</v>
      </c>
      <c r="G5014" t="s">
        <v>35</v>
      </c>
      <c r="H5014" t="s">
        <v>35</v>
      </c>
      <c r="J5014" t="s">
        <v>5594</v>
      </c>
      <c r="K5014" t="s">
        <v>1092</v>
      </c>
      <c r="M5014">
        <v>8.4149999999999991</v>
      </c>
      <c r="N5014">
        <v>62</v>
      </c>
      <c r="O5014" t="s">
        <v>61</v>
      </c>
      <c r="Q5014" t="s">
        <v>139</v>
      </c>
      <c r="R5014" t="s">
        <v>730</v>
      </c>
      <c r="S5014" t="s">
        <v>731</v>
      </c>
      <c r="T5014" t="s">
        <v>732</v>
      </c>
    </row>
    <row r="5015" spans="1:20" x14ac:dyDescent="0.25">
      <c r="A5015" t="s">
        <v>30</v>
      </c>
      <c r="B5015" t="s">
        <v>31</v>
      </c>
      <c r="C5015" t="s">
        <v>32</v>
      </c>
      <c r="D5015" t="s">
        <v>719</v>
      </c>
      <c r="E5015" t="s">
        <v>738</v>
      </c>
      <c r="F5015" t="s">
        <v>35</v>
      </c>
      <c r="G5015" t="s">
        <v>35</v>
      </c>
      <c r="H5015" t="s">
        <v>35</v>
      </c>
      <c r="J5015" t="s">
        <v>5594</v>
      </c>
      <c r="K5015" t="s">
        <v>1092</v>
      </c>
      <c r="M5015">
        <v>11.025</v>
      </c>
      <c r="N5015">
        <v>42</v>
      </c>
      <c r="O5015" t="s">
        <v>52</v>
      </c>
      <c r="Q5015" t="s">
        <v>219</v>
      </c>
      <c r="R5015" t="s">
        <v>730</v>
      </c>
      <c r="S5015" t="s">
        <v>731</v>
      </c>
      <c r="T5015" t="s">
        <v>732</v>
      </c>
    </row>
    <row r="5016" spans="1:20" x14ac:dyDescent="0.25">
      <c r="A5016" t="s">
        <v>59</v>
      </c>
      <c r="B5016" t="s">
        <v>60</v>
      </c>
      <c r="C5016" t="s">
        <v>32</v>
      </c>
      <c r="D5016" t="s">
        <v>719</v>
      </c>
      <c r="E5016" t="s">
        <v>738</v>
      </c>
      <c r="F5016" t="s">
        <v>35</v>
      </c>
      <c r="G5016" t="s">
        <v>35</v>
      </c>
      <c r="H5016" t="s">
        <v>35</v>
      </c>
      <c r="J5016" t="s">
        <v>5594</v>
      </c>
      <c r="K5016" t="s">
        <v>1092</v>
      </c>
      <c r="M5016">
        <v>5.5</v>
      </c>
      <c r="N5016">
        <v>191</v>
      </c>
      <c r="O5016" t="s">
        <v>5</v>
      </c>
      <c r="Q5016" t="s">
        <v>4086</v>
      </c>
      <c r="R5016" t="s">
        <v>730</v>
      </c>
      <c r="S5016" t="s">
        <v>731</v>
      </c>
      <c r="T5016" t="s">
        <v>732</v>
      </c>
    </row>
    <row r="5017" spans="1:20" x14ac:dyDescent="0.25">
      <c r="A5017" t="s">
        <v>59</v>
      </c>
      <c r="B5017" t="s">
        <v>31</v>
      </c>
      <c r="C5017" t="s">
        <v>32</v>
      </c>
      <c r="D5017" t="s">
        <v>719</v>
      </c>
      <c r="E5017" t="s">
        <v>5497</v>
      </c>
      <c r="F5017" t="s">
        <v>35</v>
      </c>
      <c r="G5017" t="s">
        <v>35</v>
      </c>
      <c r="H5017" t="s">
        <v>35</v>
      </c>
      <c r="J5017" t="s">
        <v>5503</v>
      </c>
      <c r="K5017" t="s">
        <v>1092</v>
      </c>
      <c r="M5017">
        <v>5.1749999999999998</v>
      </c>
      <c r="N5017">
        <v>165</v>
      </c>
      <c r="O5017" t="s">
        <v>38</v>
      </c>
      <c r="Q5017" t="s">
        <v>1124</v>
      </c>
      <c r="R5017" t="s">
        <v>730</v>
      </c>
      <c r="S5017" t="s">
        <v>731</v>
      </c>
      <c r="T5017" t="s">
        <v>732</v>
      </c>
    </row>
    <row r="5018" spans="1:20" x14ac:dyDescent="0.25">
      <c r="A5018" t="s">
        <v>30</v>
      </c>
      <c r="B5018" t="s">
        <v>31</v>
      </c>
      <c r="C5018" t="s">
        <v>32</v>
      </c>
      <c r="D5018" t="s">
        <v>719</v>
      </c>
      <c r="E5018" t="s">
        <v>5497</v>
      </c>
      <c r="F5018" t="s">
        <v>35</v>
      </c>
      <c r="G5018" t="s">
        <v>35</v>
      </c>
      <c r="H5018" t="s">
        <v>35</v>
      </c>
      <c r="J5018" t="s">
        <v>5503</v>
      </c>
      <c r="K5018" t="s">
        <v>1092</v>
      </c>
      <c r="M5018">
        <v>0.18</v>
      </c>
      <c r="N5018">
        <v>360</v>
      </c>
      <c r="O5018" t="s">
        <v>5</v>
      </c>
      <c r="Q5018" t="s">
        <v>3978</v>
      </c>
      <c r="R5018" t="s">
        <v>730</v>
      </c>
      <c r="S5018" t="s">
        <v>731</v>
      </c>
      <c r="T5018" t="s">
        <v>732</v>
      </c>
    </row>
    <row r="5019" spans="1:20" x14ac:dyDescent="0.25">
      <c r="A5019" t="s">
        <v>30</v>
      </c>
      <c r="B5019" t="s">
        <v>31</v>
      </c>
      <c r="C5019" t="s">
        <v>32</v>
      </c>
      <c r="D5019" t="s">
        <v>719</v>
      </c>
      <c r="E5019" t="s">
        <v>5701</v>
      </c>
      <c r="F5019" t="s">
        <v>35</v>
      </c>
      <c r="G5019" t="s">
        <v>35</v>
      </c>
      <c r="H5019" t="s">
        <v>35</v>
      </c>
      <c r="J5019" t="s">
        <v>5714</v>
      </c>
      <c r="K5019" t="s">
        <v>1092</v>
      </c>
      <c r="M5019">
        <v>4.7699999999999996</v>
      </c>
      <c r="N5019">
        <v>142</v>
      </c>
      <c r="O5019" t="s">
        <v>38</v>
      </c>
      <c r="Q5019" t="s">
        <v>73</v>
      </c>
      <c r="R5019" t="s">
        <v>730</v>
      </c>
      <c r="S5019" t="s">
        <v>731</v>
      </c>
      <c r="T5019" t="s">
        <v>732</v>
      </c>
    </row>
    <row r="5020" spans="1:20" x14ac:dyDescent="0.25">
      <c r="A5020" t="s">
        <v>30</v>
      </c>
      <c r="B5020" t="s">
        <v>31</v>
      </c>
      <c r="C5020" t="s">
        <v>32</v>
      </c>
      <c r="D5020" t="s">
        <v>719</v>
      </c>
      <c r="E5020" t="s">
        <v>733</v>
      </c>
      <c r="F5020" t="s">
        <v>35</v>
      </c>
      <c r="G5020" t="s">
        <v>35</v>
      </c>
      <c r="H5020" t="s">
        <v>35</v>
      </c>
      <c r="J5020" t="s">
        <v>5535</v>
      </c>
      <c r="K5020" t="s">
        <v>1092</v>
      </c>
      <c r="M5020">
        <v>3.2850000000000001</v>
      </c>
      <c r="N5020">
        <v>42</v>
      </c>
      <c r="O5020" t="s">
        <v>52</v>
      </c>
      <c r="Q5020" t="s">
        <v>219</v>
      </c>
      <c r="R5020" t="s">
        <v>730</v>
      </c>
      <c r="S5020" t="s">
        <v>731</v>
      </c>
      <c r="T5020" t="s">
        <v>732</v>
      </c>
    </row>
    <row r="5021" spans="1:20" x14ac:dyDescent="0.25">
      <c r="A5021" t="s">
        <v>30</v>
      </c>
      <c r="B5021" t="s">
        <v>31</v>
      </c>
      <c r="C5021" t="s">
        <v>32</v>
      </c>
      <c r="D5021" t="s">
        <v>719</v>
      </c>
      <c r="E5021" t="s">
        <v>5683</v>
      </c>
      <c r="F5021" t="s">
        <v>35</v>
      </c>
      <c r="G5021" t="s">
        <v>35</v>
      </c>
      <c r="H5021" t="s">
        <v>35</v>
      </c>
      <c r="J5021" t="s">
        <v>5688</v>
      </c>
      <c r="K5021" t="s">
        <v>1092</v>
      </c>
      <c r="M5021">
        <v>10.71</v>
      </c>
      <c r="N5021">
        <v>42</v>
      </c>
      <c r="O5021" t="s">
        <v>52</v>
      </c>
      <c r="Q5021" t="s">
        <v>219</v>
      </c>
      <c r="R5021" t="s">
        <v>730</v>
      </c>
      <c r="S5021" t="s">
        <v>731</v>
      </c>
      <c r="T5021" t="s">
        <v>732</v>
      </c>
    </row>
    <row r="5022" spans="1:20" x14ac:dyDescent="0.25">
      <c r="A5022" t="s">
        <v>30</v>
      </c>
      <c r="B5022" t="s">
        <v>31</v>
      </c>
      <c r="C5022" t="s">
        <v>32</v>
      </c>
      <c r="D5022" t="s">
        <v>719</v>
      </c>
      <c r="E5022" t="s">
        <v>742</v>
      </c>
      <c r="F5022" t="s">
        <v>35</v>
      </c>
      <c r="G5022" t="s">
        <v>35</v>
      </c>
      <c r="H5022" t="s">
        <v>35</v>
      </c>
      <c r="J5022" t="s">
        <v>5641</v>
      </c>
      <c r="K5022" t="s">
        <v>404</v>
      </c>
      <c r="M5022">
        <v>9.4949999999999992</v>
      </c>
      <c r="N5022">
        <v>62</v>
      </c>
      <c r="O5022" t="s">
        <v>61</v>
      </c>
      <c r="Q5022" t="s">
        <v>139</v>
      </c>
      <c r="R5022" t="s">
        <v>730</v>
      </c>
      <c r="S5022" t="s">
        <v>731</v>
      </c>
      <c r="T5022" t="s">
        <v>732</v>
      </c>
    </row>
    <row r="5023" spans="1:20" x14ac:dyDescent="0.25">
      <c r="A5023" t="s">
        <v>30</v>
      </c>
      <c r="B5023" t="s">
        <v>31</v>
      </c>
      <c r="C5023" t="s">
        <v>32</v>
      </c>
      <c r="D5023" t="s">
        <v>719</v>
      </c>
      <c r="E5023" t="s">
        <v>738</v>
      </c>
      <c r="F5023" t="s">
        <v>35</v>
      </c>
      <c r="G5023" t="s">
        <v>35</v>
      </c>
      <c r="H5023" t="s">
        <v>35</v>
      </c>
      <c r="J5023" t="s">
        <v>5612</v>
      </c>
      <c r="K5023" t="s">
        <v>1092</v>
      </c>
      <c r="M5023">
        <v>8.1449999999999996</v>
      </c>
      <c r="N5023">
        <v>62</v>
      </c>
      <c r="O5023" t="s">
        <v>61</v>
      </c>
      <c r="Q5023" t="s">
        <v>139</v>
      </c>
      <c r="R5023" t="s">
        <v>730</v>
      </c>
      <c r="S5023" t="s">
        <v>731</v>
      </c>
      <c r="T5023" t="s">
        <v>732</v>
      </c>
    </row>
    <row r="5024" spans="1:20" x14ac:dyDescent="0.25">
      <c r="A5024" t="s">
        <v>59</v>
      </c>
      <c r="B5024" t="s">
        <v>31</v>
      </c>
      <c r="C5024" t="s">
        <v>32</v>
      </c>
      <c r="D5024" t="s">
        <v>719</v>
      </c>
      <c r="E5024" t="s">
        <v>5782</v>
      </c>
      <c r="F5024" t="s">
        <v>35</v>
      </c>
      <c r="G5024" t="s">
        <v>35</v>
      </c>
      <c r="H5024" t="s">
        <v>35</v>
      </c>
      <c r="J5024" t="s">
        <v>5784</v>
      </c>
      <c r="K5024" t="s">
        <v>1092</v>
      </c>
      <c r="M5024">
        <v>8.73</v>
      </c>
      <c r="N5024">
        <v>124</v>
      </c>
      <c r="O5024" t="s">
        <v>38</v>
      </c>
      <c r="Q5024" t="s">
        <v>646</v>
      </c>
      <c r="R5024" t="s">
        <v>730</v>
      </c>
      <c r="S5024" t="s">
        <v>731</v>
      </c>
      <c r="T5024" t="s">
        <v>732</v>
      </c>
    </row>
    <row r="5025" spans="1:20" x14ac:dyDescent="0.25">
      <c r="A5025" t="s">
        <v>30</v>
      </c>
      <c r="B5025" t="s">
        <v>31</v>
      </c>
      <c r="C5025" t="s">
        <v>32</v>
      </c>
      <c r="D5025" t="s">
        <v>719</v>
      </c>
      <c r="E5025" t="s">
        <v>5795</v>
      </c>
      <c r="F5025" t="s">
        <v>35</v>
      </c>
      <c r="G5025" t="s">
        <v>35</v>
      </c>
      <c r="H5025" t="s">
        <v>35</v>
      </c>
      <c r="J5025" t="s">
        <v>5810</v>
      </c>
      <c r="K5025" t="s">
        <v>1092</v>
      </c>
      <c r="M5025">
        <v>6.39</v>
      </c>
      <c r="N5025">
        <v>360</v>
      </c>
      <c r="O5025" t="s">
        <v>5</v>
      </c>
      <c r="Q5025" t="s">
        <v>3978</v>
      </c>
      <c r="R5025" t="s">
        <v>730</v>
      </c>
      <c r="S5025" t="s">
        <v>731</v>
      </c>
      <c r="T5025" t="s">
        <v>732</v>
      </c>
    </row>
    <row r="5026" spans="1:20" x14ac:dyDescent="0.25">
      <c r="A5026" t="s">
        <v>30</v>
      </c>
      <c r="B5026" t="s">
        <v>31</v>
      </c>
      <c r="C5026" t="s">
        <v>32</v>
      </c>
      <c r="D5026" t="s">
        <v>719</v>
      </c>
      <c r="E5026" t="s">
        <v>5701</v>
      </c>
      <c r="F5026" t="s">
        <v>35</v>
      </c>
      <c r="G5026" t="s">
        <v>35</v>
      </c>
      <c r="H5026" t="s">
        <v>35</v>
      </c>
      <c r="J5026" t="s">
        <v>5717</v>
      </c>
      <c r="K5026" t="s">
        <v>1092</v>
      </c>
      <c r="M5026">
        <v>4.05</v>
      </c>
      <c r="N5026">
        <v>42</v>
      </c>
      <c r="O5026" t="s">
        <v>52</v>
      </c>
      <c r="Q5026" t="s">
        <v>219</v>
      </c>
      <c r="R5026" t="s">
        <v>730</v>
      </c>
      <c r="S5026" t="s">
        <v>731</v>
      </c>
      <c r="T5026" t="s">
        <v>732</v>
      </c>
    </row>
    <row r="5027" spans="1:20" x14ac:dyDescent="0.25">
      <c r="A5027" t="s">
        <v>30</v>
      </c>
      <c r="B5027" t="s">
        <v>31</v>
      </c>
      <c r="C5027" t="s">
        <v>32</v>
      </c>
      <c r="D5027" t="s">
        <v>719</v>
      </c>
      <c r="E5027" t="s">
        <v>5497</v>
      </c>
      <c r="F5027" t="s">
        <v>35</v>
      </c>
      <c r="G5027" t="s">
        <v>35</v>
      </c>
      <c r="H5027" t="s">
        <v>35</v>
      </c>
      <c r="J5027" t="s">
        <v>5502</v>
      </c>
      <c r="K5027" t="s">
        <v>1092</v>
      </c>
      <c r="M5027">
        <v>11.025</v>
      </c>
      <c r="N5027">
        <v>148</v>
      </c>
      <c r="O5027" t="s">
        <v>38</v>
      </c>
      <c r="Q5027" t="s">
        <v>3942</v>
      </c>
      <c r="R5027" t="s">
        <v>730</v>
      </c>
      <c r="S5027" t="s">
        <v>731</v>
      </c>
      <c r="T5027" t="s">
        <v>732</v>
      </c>
    </row>
    <row r="5028" spans="1:20" x14ac:dyDescent="0.25">
      <c r="A5028" t="s">
        <v>59</v>
      </c>
      <c r="B5028" t="s">
        <v>31</v>
      </c>
      <c r="C5028" t="s">
        <v>32</v>
      </c>
      <c r="D5028" t="s">
        <v>719</v>
      </c>
      <c r="E5028" t="s">
        <v>742</v>
      </c>
      <c r="F5028" t="s">
        <v>35</v>
      </c>
      <c r="G5028" t="s">
        <v>35</v>
      </c>
      <c r="H5028" t="s">
        <v>35</v>
      </c>
      <c r="J5028" t="s">
        <v>5654</v>
      </c>
      <c r="K5028" t="s">
        <v>1092</v>
      </c>
      <c r="M5028">
        <v>1.395</v>
      </c>
      <c r="N5028">
        <v>278</v>
      </c>
      <c r="O5028" t="s">
        <v>5</v>
      </c>
      <c r="Q5028" t="s">
        <v>1687</v>
      </c>
      <c r="R5028" t="s">
        <v>730</v>
      </c>
      <c r="S5028" t="s">
        <v>731</v>
      </c>
      <c r="T5028" t="s">
        <v>732</v>
      </c>
    </row>
    <row r="5029" spans="1:20" x14ac:dyDescent="0.25">
      <c r="A5029" t="s">
        <v>59</v>
      </c>
      <c r="B5029" t="s">
        <v>60</v>
      </c>
      <c r="C5029" t="s">
        <v>32</v>
      </c>
      <c r="D5029" t="s">
        <v>719</v>
      </c>
      <c r="E5029" t="s">
        <v>742</v>
      </c>
      <c r="F5029" t="s">
        <v>35</v>
      </c>
      <c r="G5029" t="s">
        <v>35</v>
      </c>
      <c r="H5029" t="s">
        <v>35</v>
      </c>
      <c r="J5029" t="s">
        <v>5654</v>
      </c>
      <c r="K5029" t="s">
        <v>1092</v>
      </c>
      <c r="M5029">
        <v>0.05</v>
      </c>
      <c r="N5029">
        <v>277</v>
      </c>
      <c r="O5029" t="s">
        <v>5</v>
      </c>
      <c r="Q5029" t="s">
        <v>1220</v>
      </c>
      <c r="R5029" t="s">
        <v>730</v>
      </c>
      <c r="S5029" t="s">
        <v>731</v>
      </c>
      <c r="T5029" t="s">
        <v>732</v>
      </c>
    </row>
    <row r="5030" spans="1:20" x14ac:dyDescent="0.25">
      <c r="A5030" t="s">
        <v>30</v>
      </c>
      <c r="B5030" t="s">
        <v>31</v>
      </c>
      <c r="C5030" t="s">
        <v>32</v>
      </c>
      <c r="D5030" t="s">
        <v>719</v>
      </c>
      <c r="E5030" t="s">
        <v>742</v>
      </c>
      <c r="F5030" t="s">
        <v>35</v>
      </c>
      <c r="G5030" t="s">
        <v>35</v>
      </c>
      <c r="H5030" t="s">
        <v>35</v>
      </c>
      <c r="J5030" t="s">
        <v>5662</v>
      </c>
      <c r="K5030" t="s">
        <v>1092</v>
      </c>
      <c r="M5030">
        <v>5.22</v>
      </c>
      <c r="N5030">
        <v>42</v>
      </c>
      <c r="O5030" t="s">
        <v>52</v>
      </c>
      <c r="Q5030" t="s">
        <v>219</v>
      </c>
      <c r="R5030" t="s">
        <v>730</v>
      </c>
      <c r="S5030" t="s">
        <v>731</v>
      </c>
      <c r="T5030" t="s">
        <v>732</v>
      </c>
    </row>
    <row r="5031" spans="1:20" x14ac:dyDescent="0.25">
      <c r="A5031" t="s">
        <v>59</v>
      </c>
      <c r="B5031" t="s">
        <v>60</v>
      </c>
      <c r="C5031" t="s">
        <v>32</v>
      </c>
      <c r="D5031" t="s">
        <v>719</v>
      </c>
      <c r="E5031" t="s">
        <v>742</v>
      </c>
      <c r="F5031" t="s">
        <v>35</v>
      </c>
      <c r="G5031" t="s">
        <v>35</v>
      </c>
      <c r="H5031" t="s">
        <v>35</v>
      </c>
      <c r="J5031" t="s">
        <v>5662</v>
      </c>
      <c r="K5031" t="s">
        <v>1092</v>
      </c>
      <c r="M5031">
        <v>1.5</v>
      </c>
      <c r="N5031">
        <v>134</v>
      </c>
      <c r="O5031" t="s">
        <v>38</v>
      </c>
      <c r="Q5031" t="s">
        <v>1822</v>
      </c>
      <c r="R5031" t="s">
        <v>730</v>
      </c>
      <c r="S5031" t="s">
        <v>731</v>
      </c>
      <c r="T5031" t="s">
        <v>732</v>
      </c>
    </row>
    <row r="5032" spans="1:20" x14ac:dyDescent="0.25">
      <c r="A5032" t="s">
        <v>30</v>
      </c>
      <c r="B5032" t="s">
        <v>31</v>
      </c>
      <c r="C5032" t="s">
        <v>32</v>
      </c>
      <c r="D5032" t="s">
        <v>719</v>
      </c>
      <c r="E5032" t="s">
        <v>742</v>
      </c>
      <c r="F5032" t="s">
        <v>35</v>
      </c>
      <c r="G5032" t="s">
        <v>35</v>
      </c>
      <c r="H5032" t="s">
        <v>35</v>
      </c>
      <c r="J5032" t="s">
        <v>5666</v>
      </c>
      <c r="K5032" t="s">
        <v>1092</v>
      </c>
      <c r="M5032">
        <v>11.025</v>
      </c>
      <c r="N5032">
        <v>62</v>
      </c>
      <c r="O5032" t="s">
        <v>61</v>
      </c>
      <c r="Q5032" t="s">
        <v>139</v>
      </c>
      <c r="R5032" t="s">
        <v>730</v>
      </c>
      <c r="S5032" t="s">
        <v>731</v>
      </c>
      <c r="T5032" t="s">
        <v>732</v>
      </c>
    </row>
    <row r="5033" spans="1:20" x14ac:dyDescent="0.25">
      <c r="A5033" t="s">
        <v>30</v>
      </c>
      <c r="B5033" t="s">
        <v>31</v>
      </c>
      <c r="C5033" t="s">
        <v>32</v>
      </c>
      <c r="D5033" t="s">
        <v>719</v>
      </c>
      <c r="E5033" t="s">
        <v>742</v>
      </c>
      <c r="F5033" t="s">
        <v>35</v>
      </c>
      <c r="G5033" t="s">
        <v>35</v>
      </c>
      <c r="H5033" t="s">
        <v>35</v>
      </c>
      <c r="J5033" t="s">
        <v>5666</v>
      </c>
      <c r="K5033" t="s">
        <v>1092</v>
      </c>
      <c r="M5033">
        <v>9.5850000000000009</v>
      </c>
      <c r="N5033">
        <v>90</v>
      </c>
      <c r="O5033" t="s">
        <v>61</v>
      </c>
      <c r="Q5033" t="s">
        <v>557</v>
      </c>
      <c r="R5033" t="s">
        <v>730</v>
      </c>
      <c r="S5033" t="s">
        <v>731</v>
      </c>
      <c r="T5033" t="s">
        <v>732</v>
      </c>
    </row>
    <row r="5034" spans="1:20" x14ac:dyDescent="0.25">
      <c r="A5034" t="s">
        <v>30</v>
      </c>
      <c r="B5034" t="s">
        <v>31</v>
      </c>
      <c r="C5034" t="s">
        <v>32</v>
      </c>
      <c r="D5034" t="s">
        <v>719</v>
      </c>
      <c r="E5034" t="s">
        <v>720</v>
      </c>
      <c r="F5034" t="s">
        <v>35</v>
      </c>
      <c r="G5034" t="s">
        <v>35</v>
      </c>
      <c r="H5034" t="s">
        <v>35</v>
      </c>
      <c r="J5034" t="s">
        <v>5445</v>
      </c>
      <c r="K5034" t="s">
        <v>1092</v>
      </c>
      <c r="M5034">
        <v>2.88</v>
      </c>
      <c r="N5034">
        <v>220</v>
      </c>
      <c r="O5034" t="s">
        <v>5</v>
      </c>
      <c r="Q5034" t="s">
        <v>2236</v>
      </c>
      <c r="R5034" t="s">
        <v>730</v>
      </c>
      <c r="S5034" t="s">
        <v>731</v>
      </c>
      <c r="T5034" t="s">
        <v>732</v>
      </c>
    </row>
    <row r="5035" spans="1:20" x14ac:dyDescent="0.25">
      <c r="A5035" t="s">
        <v>30</v>
      </c>
      <c r="B5035" t="s">
        <v>31</v>
      </c>
      <c r="C5035" t="s">
        <v>32</v>
      </c>
      <c r="D5035" t="s">
        <v>719</v>
      </c>
      <c r="F5035" t="s">
        <v>35</v>
      </c>
      <c r="G5035" t="s">
        <v>35</v>
      </c>
      <c r="H5035" t="s">
        <v>35</v>
      </c>
      <c r="J5035" t="s">
        <v>5854</v>
      </c>
      <c r="K5035" t="s">
        <v>1092</v>
      </c>
      <c r="M5035">
        <v>11.654999999999999</v>
      </c>
      <c r="N5035">
        <v>2423</v>
      </c>
      <c r="O5035" t="s">
        <v>575</v>
      </c>
      <c r="Q5035" t="s">
        <v>5855</v>
      </c>
      <c r="R5035" t="s">
        <v>730</v>
      </c>
      <c r="S5035" t="s">
        <v>731</v>
      </c>
      <c r="T5035" t="s">
        <v>732</v>
      </c>
    </row>
    <row r="5036" spans="1:20" x14ac:dyDescent="0.25">
      <c r="A5036" t="s">
        <v>30</v>
      </c>
      <c r="B5036" t="s">
        <v>31</v>
      </c>
      <c r="C5036" t="s">
        <v>32</v>
      </c>
      <c r="D5036" t="s">
        <v>719</v>
      </c>
      <c r="E5036" t="s">
        <v>742</v>
      </c>
      <c r="F5036" t="s">
        <v>35</v>
      </c>
      <c r="G5036" t="s">
        <v>35</v>
      </c>
      <c r="H5036" t="s">
        <v>35</v>
      </c>
      <c r="J5036" t="s">
        <v>5657</v>
      </c>
      <c r="K5036" t="s">
        <v>1092</v>
      </c>
      <c r="M5036">
        <v>11.025</v>
      </c>
      <c r="N5036">
        <v>42</v>
      </c>
      <c r="O5036" t="s">
        <v>52</v>
      </c>
      <c r="Q5036" t="s">
        <v>219</v>
      </c>
      <c r="R5036" t="s">
        <v>730</v>
      </c>
      <c r="S5036" t="s">
        <v>731</v>
      </c>
      <c r="T5036" t="s">
        <v>732</v>
      </c>
    </row>
    <row r="5037" spans="1:20" x14ac:dyDescent="0.25">
      <c r="A5037" t="s">
        <v>59</v>
      </c>
      <c r="B5037" t="s">
        <v>60</v>
      </c>
      <c r="C5037" t="s">
        <v>32</v>
      </c>
      <c r="D5037" t="s">
        <v>719</v>
      </c>
      <c r="E5037" t="s">
        <v>742</v>
      </c>
      <c r="F5037" t="s">
        <v>35</v>
      </c>
      <c r="G5037" t="s">
        <v>35</v>
      </c>
      <c r="H5037" t="s">
        <v>35</v>
      </c>
      <c r="J5037" t="s">
        <v>5657</v>
      </c>
      <c r="K5037" t="s">
        <v>1092</v>
      </c>
      <c r="M5037">
        <v>0.35</v>
      </c>
      <c r="N5037">
        <v>191</v>
      </c>
      <c r="O5037" t="s">
        <v>5</v>
      </c>
      <c r="Q5037" t="s">
        <v>4086</v>
      </c>
      <c r="R5037" t="s">
        <v>730</v>
      </c>
      <c r="S5037" t="s">
        <v>731</v>
      </c>
      <c r="T5037" t="s">
        <v>732</v>
      </c>
    </row>
    <row r="5038" spans="1:20" x14ac:dyDescent="0.25">
      <c r="A5038" t="s">
        <v>30</v>
      </c>
      <c r="B5038" t="s">
        <v>31</v>
      </c>
      <c r="C5038" t="s">
        <v>32</v>
      </c>
      <c r="D5038" t="s">
        <v>719</v>
      </c>
      <c r="E5038" t="s">
        <v>742</v>
      </c>
      <c r="F5038" t="s">
        <v>35</v>
      </c>
      <c r="G5038" t="s">
        <v>35</v>
      </c>
      <c r="H5038" t="s">
        <v>35</v>
      </c>
      <c r="J5038" t="s">
        <v>5657</v>
      </c>
      <c r="K5038" t="s">
        <v>1092</v>
      </c>
      <c r="M5038">
        <v>3.375</v>
      </c>
      <c r="N5038">
        <v>90</v>
      </c>
      <c r="O5038" t="s">
        <v>61</v>
      </c>
      <c r="Q5038" t="s">
        <v>557</v>
      </c>
      <c r="R5038" t="s">
        <v>730</v>
      </c>
      <c r="S5038" t="s">
        <v>731</v>
      </c>
      <c r="T5038" t="s">
        <v>732</v>
      </c>
    </row>
    <row r="5039" spans="1:20" x14ac:dyDescent="0.25">
      <c r="A5039" t="s">
        <v>59</v>
      </c>
      <c r="B5039" t="s">
        <v>31</v>
      </c>
      <c r="C5039" t="s">
        <v>32</v>
      </c>
      <c r="D5039" t="s">
        <v>719</v>
      </c>
      <c r="E5039" t="s">
        <v>742</v>
      </c>
      <c r="F5039" t="s">
        <v>35</v>
      </c>
      <c r="G5039" t="s">
        <v>35</v>
      </c>
      <c r="H5039" t="s">
        <v>35</v>
      </c>
      <c r="J5039" t="s">
        <v>5657</v>
      </c>
      <c r="K5039" t="s">
        <v>1092</v>
      </c>
      <c r="M5039">
        <v>1.395</v>
      </c>
      <c r="N5039">
        <v>165</v>
      </c>
      <c r="O5039" t="s">
        <v>38</v>
      </c>
      <c r="Q5039" t="s">
        <v>1124</v>
      </c>
      <c r="R5039" t="s">
        <v>730</v>
      </c>
      <c r="S5039" t="s">
        <v>731</v>
      </c>
      <c r="T5039" t="s">
        <v>732</v>
      </c>
    </row>
    <row r="5040" spans="1:20" x14ac:dyDescent="0.25">
      <c r="A5040" t="s">
        <v>30</v>
      </c>
      <c r="B5040" t="s">
        <v>31</v>
      </c>
      <c r="C5040" t="s">
        <v>32</v>
      </c>
      <c r="D5040" t="s">
        <v>719</v>
      </c>
      <c r="E5040" t="s">
        <v>5782</v>
      </c>
      <c r="F5040" t="s">
        <v>35</v>
      </c>
      <c r="G5040" t="s">
        <v>35</v>
      </c>
      <c r="H5040" t="s">
        <v>35</v>
      </c>
      <c r="J5040" t="s">
        <v>5791</v>
      </c>
      <c r="K5040" t="s">
        <v>1092</v>
      </c>
      <c r="M5040">
        <v>4.7249999999999996</v>
      </c>
      <c r="N5040">
        <v>90</v>
      </c>
      <c r="O5040" t="s">
        <v>61</v>
      </c>
      <c r="Q5040" t="s">
        <v>557</v>
      </c>
      <c r="R5040" t="s">
        <v>730</v>
      </c>
      <c r="S5040" t="s">
        <v>731</v>
      </c>
      <c r="T5040" t="s">
        <v>732</v>
      </c>
    </row>
    <row r="5041" spans="1:20" x14ac:dyDescent="0.25">
      <c r="A5041" t="s">
        <v>30</v>
      </c>
      <c r="B5041" t="s">
        <v>31</v>
      </c>
      <c r="C5041" t="s">
        <v>32</v>
      </c>
      <c r="D5041" t="s">
        <v>719</v>
      </c>
      <c r="E5041" t="s">
        <v>738</v>
      </c>
      <c r="F5041" t="s">
        <v>35</v>
      </c>
      <c r="G5041" t="s">
        <v>35</v>
      </c>
      <c r="H5041" t="s">
        <v>35</v>
      </c>
      <c r="J5041" t="s">
        <v>5624</v>
      </c>
      <c r="K5041" t="s">
        <v>1092</v>
      </c>
      <c r="M5041">
        <v>6.75</v>
      </c>
      <c r="N5041">
        <v>90</v>
      </c>
      <c r="O5041" t="s">
        <v>61</v>
      </c>
      <c r="Q5041" t="s">
        <v>557</v>
      </c>
      <c r="R5041" t="s">
        <v>730</v>
      </c>
      <c r="S5041" t="s">
        <v>731</v>
      </c>
      <c r="T5041" t="s">
        <v>732</v>
      </c>
    </row>
    <row r="5042" spans="1:20" x14ac:dyDescent="0.25">
      <c r="A5042" t="s">
        <v>59</v>
      </c>
      <c r="B5042" t="s">
        <v>60</v>
      </c>
      <c r="C5042" t="s">
        <v>32</v>
      </c>
      <c r="D5042" t="s">
        <v>719</v>
      </c>
      <c r="E5042" t="s">
        <v>742</v>
      </c>
      <c r="F5042" t="s">
        <v>35</v>
      </c>
      <c r="G5042" t="s">
        <v>35</v>
      </c>
      <c r="H5042" t="s">
        <v>35</v>
      </c>
      <c r="J5042" t="s">
        <v>5649</v>
      </c>
      <c r="K5042" t="s">
        <v>1092</v>
      </c>
      <c r="M5042">
        <v>3.75</v>
      </c>
      <c r="N5042">
        <v>134</v>
      </c>
      <c r="O5042" t="s">
        <v>38</v>
      </c>
      <c r="Q5042" t="s">
        <v>1822</v>
      </c>
      <c r="R5042" t="s">
        <v>730</v>
      </c>
      <c r="S5042" t="s">
        <v>731</v>
      </c>
      <c r="T5042" t="s">
        <v>732</v>
      </c>
    </row>
    <row r="5043" spans="1:20" x14ac:dyDescent="0.25">
      <c r="A5043" t="s">
        <v>30</v>
      </c>
      <c r="B5043" t="s">
        <v>31</v>
      </c>
      <c r="C5043" t="s">
        <v>32</v>
      </c>
      <c r="D5043" t="s">
        <v>719</v>
      </c>
      <c r="E5043" t="s">
        <v>742</v>
      </c>
      <c r="F5043" t="s">
        <v>35</v>
      </c>
      <c r="G5043" t="s">
        <v>35</v>
      </c>
      <c r="H5043" t="s">
        <v>35</v>
      </c>
      <c r="J5043" t="s">
        <v>5642</v>
      </c>
      <c r="K5043" t="s">
        <v>404</v>
      </c>
      <c r="M5043">
        <v>5.3550000000000004</v>
      </c>
      <c r="N5043">
        <v>42</v>
      </c>
      <c r="O5043" t="s">
        <v>52</v>
      </c>
      <c r="Q5043" t="s">
        <v>219</v>
      </c>
      <c r="R5043" t="s">
        <v>730</v>
      </c>
      <c r="S5043" t="s">
        <v>731</v>
      </c>
      <c r="T5043" t="s">
        <v>732</v>
      </c>
    </row>
    <row r="5044" spans="1:20" x14ac:dyDescent="0.25">
      <c r="A5044" t="s">
        <v>59</v>
      </c>
      <c r="B5044" t="s">
        <v>60</v>
      </c>
      <c r="C5044" t="s">
        <v>32</v>
      </c>
      <c r="D5044" t="s">
        <v>719</v>
      </c>
      <c r="E5044" t="s">
        <v>742</v>
      </c>
      <c r="F5044" t="s">
        <v>35</v>
      </c>
      <c r="G5044" t="s">
        <v>35</v>
      </c>
      <c r="H5044" t="s">
        <v>35</v>
      </c>
      <c r="J5044" t="s">
        <v>5642</v>
      </c>
      <c r="K5044" t="s">
        <v>404</v>
      </c>
      <c r="M5044">
        <v>0.05</v>
      </c>
      <c r="N5044">
        <v>165</v>
      </c>
      <c r="O5044" t="s">
        <v>38</v>
      </c>
      <c r="Q5044" t="s">
        <v>1124</v>
      </c>
      <c r="R5044" t="s">
        <v>730</v>
      </c>
      <c r="S5044" t="s">
        <v>731</v>
      </c>
      <c r="T5044" t="s">
        <v>732</v>
      </c>
    </row>
    <row r="5045" spans="1:20" x14ac:dyDescent="0.25">
      <c r="A5045" t="s">
        <v>30</v>
      </c>
      <c r="B5045" t="s">
        <v>31</v>
      </c>
      <c r="C5045" t="s">
        <v>32</v>
      </c>
      <c r="D5045" t="s">
        <v>719</v>
      </c>
      <c r="E5045" t="s">
        <v>738</v>
      </c>
      <c r="F5045" t="s">
        <v>35</v>
      </c>
      <c r="G5045" t="s">
        <v>35</v>
      </c>
      <c r="H5045" t="s">
        <v>35</v>
      </c>
      <c r="J5045" t="s">
        <v>5628</v>
      </c>
      <c r="K5045" t="s">
        <v>1092</v>
      </c>
      <c r="M5045">
        <v>3.51</v>
      </c>
      <c r="N5045">
        <v>42</v>
      </c>
      <c r="O5045" t="s">
        <v>52</v>
      </c>
      <c r="Q5045" t="s">
        <v>219</v>
      </c>
      <c r="R5045" t="s">
        <v>730</v>
      </c>
      <c r="S5045" t="s">
        <v>731</v>
      </c>
      <c r="T5045" t="s">
        <v>732</v>
      </c>
    </row>
    <row r="5046" spans="1:20" x14ac:dyDescent="0.25">
      <c r="A5046" t="s">
        <v>30</v>
      </c>
      <c r="B5046" t="s">
        <v>31</v>
      </c>
      <c r="C5046" t="s">
        <v>32</v>
      </c>
      <c r="D5046" t="s">
        <v>719</v>
      </c>
      <c r="E5046" t="s">
        <v>738</v>
      </c>
      <c r="F5046" t="s">
        <v>35</v>
      </c>
      <c r="G5046" t="s">
        <v>35</v>
      </c>
      <c r="H5046" t="s">
        <v>35</v>
      </c>
      <c r="J5046" t="s">
        <v>5579</v>
      </c>
      <c r="K5046" t="s">
        <v>1092</v>
      </c>
      <c r="M5046">
        <v>4.59</v>
      </c>
      <c r="N5046">
        <v>90</v>
      </c>
      <c r="O5046" t="s">
        <v>61</v>
      </c>
      <c r="Q5046" t="s">
        <v>557</v>
      </c>
      <c r="R5046" t="s">
        <v>730</v>
      </c>
      <c r="S5046" t="s">
        <v>731</v>
      </c>
      <c r="T5046" t="s">
        <v>732</v>
      </c>
    </row>
    <row r="5047" spans="1:20" x14ac:dyDescent="0.25">
      <c r="A5047" t="s">
        <v>59</v>
      </c>
      <c r="B5047" t="s">
        <v>31</v>
      </c>
      <c r="C5047" t="s">
        <v>32</v>
      </c>
      <c r="D5047" t="s">
        <v>719</v>
      </c>
      <c r="E5047" t="s">
        <v>738</v>
      </c>
      <c r="F5047" t="s">
        <v>35</v>
      </c>
      <c r="G5047" t="s">
        <v>35</v>
      </c>
      <c r="H5047" t="s">
        <v>35</v>
      </c>
      <c r="J5047" t="s">
        <v>5579</v>
      </c>
      <c r="K5047" t="s">
        <v>1092</v>
      </c>
      <c r="M5047">
        <v>5.67</v>
      </c>
      <c r="N5047">
        <v>191</v>
      </c>
      <c r="O5047" t="s">
        <v>5</v>
      </c>
      <c r="Q5047" t="s">
        <v>4086</v>
      </c>
      <c r="R5047" t="s">
        <v>730</v>
      </c>
      <c r="S5047" t="s">
        <v>731</v>
      </c>
      <c r="T5047" t="s">
        <v>732</v>
      </c>
    </row>
    <row r="5048" spans="1:20" x14ac:dyDescent="0.25">
      <c r="A5048" t="s">
        <v>30</v>
      </c>
      <c r="B5048" t="s">
        <v>31</v>
      </c>
      <c r="C5048" t="s">
        <v>32</v>
      </c>
      <c r="D5048" t="s">
        <v>719</v>
      </c>
      <c r="E5048" t="s">
        <v>5756</v>
      </c>
      <c r="F5048" t="s">
        <v>35</v>
      </c>
      <c r="G5048" t="s">
        <v>35</v>
      </c>
      <c r="H5048" t="s">
        <v>35</v>
      </c>
      <c r="J5048" t="s">
        <v>5758</v>
      </c>
      <c r="K5048" t="s">
        <v>1092</v>
      </c>
      <c r="M5048">
        <v>7.0650000000000004</v>
      </c>
      <c r="N5048">
        <v>62</v>
      </c>
      <c r="O5048" t="s">
        <v>61</v>
      </c>
      <c r="Q5048" t="s">
        <v>139</v>
      </c>
      <c r="R5048" t="s">
        <v>730</v>
      </c>
      <c r="S5048" t="s">
        <v>731</v>
      </c>
      <c r="T5048" t="s">
        <v>732</v>
      </c>
    </row>
    <row r="5049" spans="1:20" x14ac:dyDescent="0.25">
      <c r="A5049" t="s">
        <v>30</v>
      </c>
      <c r="B5049" t="s">
        <v>31</v>
      </c>
      <c r="C5049" t="s">
        <v>32</v>
      </c>
      <c r="D5049" t="s">
        <v>719</v>
      </c>
      <c r="E5049" t="s">
        <v>5683</v>
      </c>
      <c r="F5049" t="s">
        <v>35</v>
      </c>
      <c r="G5049" t="s">
        <v>35</v>
      </c>
      <c r="H5049" t="s">
        <v>35</v>
      </c>
      <c r="J5049" t="s">
        <v>5685</v>
      </c>
      <c r="K5049" t="s">
        <v>1092</v>
      </c>
      <c r="M5049">
        <v>4.59</v>
      </c>
      <c r="N5049">
        <v>42</v>
      </c>
      <c r="O5049" t="s">
        <v>52</v>
      </c>
      <c r="Q5049" t="s">
        <v>219</v>
      </c>
      <c r="R5049" t="s">
        <v>730</v>
      </c>
      <c r="S5049" t="s">
        <v>731</v>
      </c>
      <c r="T5049" t="s">
        <v>732</v>
      </c>
    </row>
    <row r="5050" spans="1:20" x14ac:dyDescent="0.25">
      <c r="A5050" t="s">
        <v>30</v>
      </c>
      <c r="B5050" t="s">
        <v>31</v>
      </c>
      <c r="C5050" t="s">
        <v>32</v>
      </c>
      <c r="D5050" t="s">
        <v>719</v>
      </c>
      <c r="E5050" t="s">
        <v>742</v>
      </c>
      <c r="F5050" t="s">
        <v>35</v>
      </c>
      <c r="G5050" t="s">
        <v>35</v>
      </c>
      <c r="H5050" t="s">
        <v>35</v>
      </c>
      <c r="J5050" t="s">
        <v>5655</v>
      </c>
      <c r="K5050" t="s">
        <v>1092</v>
      </c>
      <c r="M5050">
        <v>5.94</v>
      </c>
      <c r="N5050">
        <v>42</v>
      </c>
      <c r="O5050" t="s">
        <v>52</v>
      </c>
      <c r="Q5050" t="s">
        <v>219</v>
      </c>
      <c r="R5050" t="s">
        <v>730</v>
      </c>
      <c r="S5050" t="s">
        <v>731</v>
      </c>
      <c r="T5050" t="s">
        <v>732</v>
      </c>
    </row>
    <row r="5051" spans="1:20" x14ac:dyDescent="0.25">
      <c r="A5051" t="s">
        <v>59</v>
      </c>
      <c r="B5051" t="s">
        <v>31</v>
      </c>
      <c r="C5051" t="s">
        <v>32</v>
      </c>
      <c r="D5051" t="s">
        <v>719</v>
      </c>
      <c r="E5051" t="s">
        <v>742</v>
      </c>
      <c r="F5051" t="s">
        <v>35</v>
      </c>
      <c r="G5051" t="s">
        <v>35</v>
      </c>
      <c r="H5051" t="s">
        <v>35</v>
      </c>
      <c r="J5051" t="s">
        <v>5655</v>
      </c>
      <c r="K5051" t="s">
        <v>1092</v>
      </c>
      <c r="M5051">
        <v>10.305</v>
      </c>
      <c r="N5051">
        <v>165</v>
      </c>
      <c r="O5051" t="s">
        <v>38</v>
      </c>
      <c r="Q5051" t="s">
        <v>1124</v>
      </c>
      <c r="R5051" t="s">
        <v>730</v>
      </c>
      <c r="S5051" t="s">
        <v>731</v>
      </c>
      <c r="T5051" t="s">
        <v>732</v>
      </c>
    </row>
    <row r="5052" spans="1:20" x14ac:dyDescent="0.25">
      <c r="A5052" t="s">
        <v>59</v>
      </c>
      <c r="B5052" t="s">
        <v>60</v>
      </c>
      <c r="C5052" t="s">
        <v>32</v>
      </c>
      <c r="D5052" t="s">
        <v>719</v>
      </c>
      <c r="E5052" t="s">
        <v>742</v>
      </c>
      <c r="F5052" t="s">
        <v>35</v>
      </c>
      <c r="G5052" t="s">
        <v>35</v>
      </c>
      <c r="H5052" t="s">
        <v>35</v>
      </c>
      <c r="J5052" t="s">
        <v>5661</v>
      </c>
      <c r="K5052" t="s">
        <v>1092</v>
      </c>
      <c r="M5052">
        <v>8.4499999999999993</v>
      </c>
      <c r="N5052">
        <v>133</v>
      </c>
      <c r="O5052" t="s">
        <v>38</v>
      </c>
      <c r="Q5052" t="s">
        <v>609</v>
      </c>
      <c r="R5052" t="s">
        <v>730</v>
      </c>
      <c r="S5052" t="s">
        <v>731</v>
      </c>
      <c r="T5052" t="s">
        <v>732</v>
      </c>
    </row>
    <row r="5053" spans="1:20" x14ac:dyDescent="0.25">
      <c r="A5053" t="s">
        <v>30</v>
      </c>
      <c r="B5053" t="s">
        <v>31</v>
      </c>
      <c r="C5053" t="s">
        <v>32</v>
      </c>
      <c r="D5053" t="s">
        <v>719</v>
      </c>
      <c r="E5053" t="s">
        <v>738</v>
      </c>
      <c r="F5053" t="s">
        <v>35</v>
      </c>
      <c r="G5053" t="s">
        <v>35</v>
      </c>
      <c r="H5053" t="s">
        <v>35</v>
      </c>
      <c r="J5053" t="s">
        <v>5569</v>
      </c>
      <c r="K5053" t="s">
        <v>1092</v>
      </c>
      <c r="M5053">
        <v>8.2349999999999994</v>
      </c>
      <c r="N5053">
        <v>126</v>
      </c>
      <c r="O5053" t="s">
        <v>38</v>
      </c>
      <c r="Q5053" t="s">
        <v>68</v>
      </c>
      <c r="R5053" t="s">
        <v>730</v>
      </c>
      <c r="S5053" t="s">
        <v>731</v>
      </c>
      <c r="T5053" t="s">
        <v>732</v>
      </c>
    </row>
    <row r="5054" spans="1:20" x14ac:dyDescent="0.25">
      <c r="A5054" t="s">
        <v>30</v>
      </c>
      <c r="B5054" t="s">
        <v>31</v>
      </c>
      <c r="C5054" t="s">
        <v>32</v>
      </c>
      <c r="D5054" t="s">
        <v>719</v>
      </c>
      <c r="E5054" t="s">
        <v>5497</v>
      </c>
      <c r="F5054" t="s">
        <v>35</v>
      </c>
      <c r="G5054" t="s">
        <v>35</v>
      </c>
      <c r="H5054" t="s">
        <v>35</v>
      </c>
      <c r="J5054" t="s">
        <v>5505</v>
      </c>
      <c r="K5054" t="s">
        <v>1092</v>
      </c>
      <c r="M5054">
        <v>4.1399999999999997</v>
      </c>
      <c r="N5054">
        <v>42</v>
      </c>
      <c r="O5054" t="s">
        <v>52</v>
      </c>
      <c r="Q5054" t="s">
        <v>219</v>
      </c>
      <c r="R5054" t="s">
        <v>730</v>
      </c>
      <c r="S5054" t="s">
        <v>731</v>
      </c>
      <c r="T5054" t="s">
        <v>732</v>
      </c>
    </row>
    <row r="5055" spans="1:20" x14ac:dyDescent="0.25">
      <c r="A5055" t="s">
        <v>30</v>
      </c>
      <c r="B5055" t="s">
        <v>31</v>
      </c>
      <c r="C5055" t="s">
        <v>32</v>
      </c>
      <c r="D5055" t="s">
        <v>719</v>
      </c>
      <c r="E5055" t="s">
        <v>5756</v>
      </c>
      <c r="F5055" t="s">
        <v>35</v>
      </c>
      <c r="G5055" t="s">
        <v>35</v>
      </c>
      <c r="H5055" t="s">
        <v>35</v>
      </c>
      <c r="J5055" t="s">
        <v>5768</v>
      </c>
      <c r="K5055" t="s">
        <v>1092</v>
      </c>
      <c r="M5055">
        <v>7.335</v>
      </c>
      <c r="N5055">
        <v>41</v>
      </c>
      <c r="O5055" t="s">
        <v>52</v>
      </c>
      <c r="Q5055" t="s">
        <v>496</v>
      </c>
      <c r="R5055" t="s">
        <v>730</v>
      </c>
      <c r="S5055" t="s">
        <v>731</v>
      </c>
      <c r="T5055" t="s">
        <v>732</v>
      </c>
    </row>
    <row r="5056" spans="1:20" x14ac:dyDescent="0.25">
      <c r="A5056" t="s">
        <v>30</v>
      </c>
      <c r="B5056" t="s">
        <v>31</v>
      </c>
      <c r="C5056" t="s">
        <v>32</v>
      </c>
      <c r="D5056" t="s">
        <v>719</v>
      </c>
      <c r="E5056" t="s">
        <v>5497</v>
      </c>
      <c r="F5056" t="s">
        <v>35</v>
      </c>
      <c r="G5056" t="s">
        <v>35</v>
      </c>
      <c r="H5056" t="s">
        <v>35</v>
      </c>
      <c r="J5056" t="s">
        <v>3512</v>
      </c>
      <c r="K5056" t="s">
        <v>1092</v>
      </c>
      <c r="M5056">
        <v>5.13</v>
      </c>
      <c r="N5056">
        <v>42</v>
      </c>
      <c r="O5056" t="s">
        <v>52</v>
      </c>
      <c r="Q5056" t="s">
        <v>219</v>
      </c>
      <c r="R5056" t="s">
        <v>730</v>
      </c>
      <c r="S5056" t="s">
        <v>731</v>
      </c>
      <c r="T5056" t="s">
        <v>732</v>
      </c>
    </row>
    <row r="5057" spans="1:20" x14ac:dyDescent="0.25">
      <c r="A5057" t="s">
        <v>30</v>
      </c>
      <c r="B5057" t="s">
        <v>31</v>
      </c>
      <c r="C5057" t="s">
        <v>32</v>
      </c>
      <c r="D5057" t="s">
        <v>719</v>
      </c>
      <c r="E5057" t="s">
        <v>742</v>
      </c>
      <c r="F5057" t="s">
        <v>35</v>
      </c>
      <c r="G5057" t="s">
        <v>35</v>
      </c>
      <c r="H5057" t="s">
        <v>35</v>
      </c>
      <c r="J5057" t="s">
        <v>5663</v>
      </c>
      <c r="K5057" t="s">
        <v>1092</v>
      </c>
      <c r="M5057">
        <v>2.52</v>
      </c>
      <c r="N5057">
        <v>62</v>
      </c>
      <c r="O5057" t="s">
        <v>61</v>
      </c>
      <c r="Q5057" t="s">
        <v>139</v>
      </c>
      <c r="R5057" t="s">
        <v>730</v>
      </c>
      <c r="S5057" t="s">
        <v>731</v>
      </c>
      <c r="T5057" t="s">
        <v>732</v>
      </c>
    </row>
    <row r="5058" spans="1:20" x14ac:dyDescent="0.25">
      <c r="A5058" t="s">
        <v>59</v>
      </c>
      <c r="B5058" t="s">
        <v>31</v>
      </c>
      <c r="C5058" t="s">
        <v>32</v>
      </c>
      <c r="D5058" t="s">
        <v>719</v>
      </c>
      <c r="E5058" t="s">
        <v>742</v>
      </c>
      <c r="F5058" t="s">
        <v>35</v>
      </c>
      <c r="G5058" t="s">
        <v>35</v>
      </c>
      <c r="H5058" t="s">
        <v>35</v>
      </c>
      <c r="J5058" t="s">
        <v>5663</v>
      </c>
      <c r="K5058" t="s">
        <v>1092</v>
      </c>
      <c r="M5058">
        <v>6.0570000000000004</v>
      </c>
      <c r="N5058">
        <v>165</v>
      </c>
      <c r="O5058" t="s">
        <v>38</v>
      </c>
      <c r="Q5058" t="s">
        <v>1124</v>
      </c>
      <c r="R5058" t="s">
        <v>730</v>
      </c>
      <c r="S5058" t="s">
        <v>731</v>
      </c>
      <c r="T5058" t="s">
        <v>732</v>
      </c>
    </row>
    <row r="5059" spans="1:20" x14ac:dyDescent="0.25">
      <c r="A5059" t="s">
        <v>30</v>
      </c>
      <c r="B5059" t="s">
        <v>31</v>
      </c>
      <c r="C5059" t="s">
        <v>32</v>
      </c>
      <c r="D5059" t="s">
        <v>719</v>
      </c>
      <c r="E5059" t="s">
        <v>742</v>
      </c>
      <c r="F5059" t="s">
        <v>35</v>
      </c>
      <c r="G5059" t="s">
        <v>35</v>
      </c>
      <c r="H5059" t="s">
        <v>35</v>
      </c>
      <c r="J5059" t="s">
        <v>5663</v>
      </c>
      <c r="K5059" t="s">
        <v>1092</v>
      </c>
      <c r="M5059">
        <v>11.025</v>
      </c>
      <c r="N5059">
        <v>42</v>
      </c>
      <c r="O5059" t="s">
        <v>52</v>
      </c>
      <c r="Q5059" t="s">
        <v>219</v>
      </c>
      <c r="R5059" t="s">
        <v>730</v>
      </c>
      <c r="S5059" t="s">
        <v>731</v>
      </c>
      <c r="T5059" t="s">
        <v>732</v>
      </c>
    </row>
    <row r="5060" spans="1:20" x14ac:dyDescent="0.25">
      <c r="A5060" t="s">
        <v>30</v>
      </c>
      <c r="B5060" t="s">
        <v>31</v>
      </c>
      <c r="C5060" t="s">
        <v>32</v>
      </c>
      <c r="D5060" t="s">
        <v>719</v>
      </c>
      <c r="E5060" t="s">
        <v>5818</v>
      </c>
      <c r="F5060" t="s">
        <v>35</v>
      </c>
      <c r="G5060" t="s">
        <v>35</v>
      </c>
      <c r="H5060" t="s">
        <v>35</v>
      </c>
      <c r="J5060" t="s">
        <v>5822</v>
      </c>
      <c r="K5060" t="s">
        <v>1092</v>
      </c>
      <c r="M5060">
        <v>4.3650000000000002</v>
      </c>
      <c r="N5060">
        <v>42</v>
      </c>
      <c r="O5060" t="s">
        <v>52</v>
      </c>
      <c r="Q5060" t="s">
        <v>219</v>
      </c>
      <c r="R5060" t="s">
        <v>730</v>
      </c>
      <c r="S5060" t="s">
        <v>731</v>
      </c>
      <c r="T5060" t="s">
        <v>732</v>
      </c>
    </row>
    <row r="5061" spans="1:20" x14ac:dyDescent="0.25">
      <c r="A5061" t="s">
        <v>30</v>
      </c>
      <c r="B5061" t="s">
        <v>31</v>
      </c>
      <c r="C5061" t="s">
        <v>32</v>
      </c>
      <c r="D5061" t="s">
        <v>719</v>
      </c>
      <c r="E5061" t="s">
        <v>5756</v>
      </c>
      <c r="F5061" t="s">
        <v>35</v>
      </c>
      <c r="G5061" t="s">
        <v>35</v>
      </c>
      <c r="H5061" t="s">
        <v>35</v>
      </c>
      <c r="J5061" t="s">
        <v>5772</v>
      </c>
      <c r="K5061" t="s">
        <v>1092</v>
      </c>
      <c r="M5061">
        <v>11.025</v>
      </c>
      <c r="N5061">
        <v>57</v>
      </c>
      <c r="O5061" t="s">
        <v>52</v>
      </c>
      <c r="Q5061" t="s">
        <v>381</v>
      </c>
      <c r="R5061" t="s">
        <v>730</v>
      </c>
      <c r="S5061" t="s">
        <v>731</v>
      </c>
      <c r="T5061" t="s">
        <v>732</v>
      </c>
    </row>
    <row r="5062" spans="1:20" x14ac:dyDescent="0.25">
      <c r="A5062" t="s">
        <v>30</v>
      </c>
      <c r="B5062" t="s">
        <v>31</v>
      </c>
      <c r="C5062" t="s">
        <v>32</v>
      </c>
      <c r="D5062" t="s">
        <v>719</v>
      </c>
      <c r="E5062" t="s">
        <v>5756</v>
      </c>
      <c r="F5062" t="s">
        <v>35</v>
      </c>
      <c r="G5062" t="s">
        <v>35</v>
      </c>
      <c r="H5062" t="s">
        <v>35</v>
      </c>
      <c r="J5062" t="s">
        <v>5772</v>
      </c>
      <c r="K5062" t="s">
        <v>1092</v>
      </c>
      <c r="M5062">
        <v>1.44</v>
      </c>
      <c r="N5062">
        <v>475</v>
      </c>
      <c r="O5062" t="s">
        <v>294</v>
      </c>
      <c r="Q5062" t="s">
        <v>3207</v>
      </c>
      <c r="R5062" t="s">
        <v>730</v>
      </c>
      <c r="S5062" t="s">
        <v>731</v>
      </c>
      <c r="T5062" t="s">
        <v>732</v>
      </c>
    </row>
    <row r="5063" spans="1:20" x14ac:dyDescent="0.25">
      <c r="A5063" t="s">
        <v>30</v>
      </c>
      <c r="B5063" t="s">
        <v>31</v>
      </c>
      <c r="C5063" t="s">
        <v>32</v>
      </c>
      <c r="D5063" t="s">
        <v>719</v>
      </c>
      <c r="E5063" t="s">
        <v>5683</v>
      </c>
      <c r="F5063" t="s">
        <v>35</v>
      </c>
      <c r="G5063" t="s">
        <v>35</v>
      </c>
      <c r="H5063" t="s">
        <v>35</v>
      </c>
      <c r="J5063" t="s">
        <v>5690</v>
      </c>
      <c r="K5063" t="s">
        <v>1092</v>
      </c>
      <c r="M5063">
        <v>5.8049999999999997</v>
      </c>
      <c r="N5063">
        <v>126</v>
      </c>
      <c r="O5063" t="s">
        <v>38</v>
      </c>
      <c r="Q5063" t="s">
        <v>68</v>
      </c>
      <c r="R5063" t="s">
        <v>730</v>
      </c>
      <c r="S5063" t="s">
        <v>731</v>
      </c>
      <c r="T5063" t="s">
        <v>732</v>
      </c>
    </row>
    <row r="5064" spans="1:20" x14ac:dyDescent="0.25">
      <c r="A5064" t="s">
        <v>30</v>
      </c>
      <c r="B5064" t="s">
        <v>31</v>
      </c>
      <c r="C5064" t="s">
        <v>32</v>
      </c>
      <c r="D5064" t="s">
        <v>719</v>
      </c>
      <c r="E5064" t="s">
        <v>738</v>
      </c>
      <c r="F5064" t="s">
        <v>35</v>
      </c>
      <c r="G5064" t="s">
        <v>35</v>
      </c>
      <c r="H5064" t="s">
        <v>35</v>
      </c>
      <c r="J5064" t="s">
        <v>5567</v>
      </c>
      <c r="K5064" t="s">
        <v>1092</v>
      </c>
      <c r="M5064">
        <v>1.44</v>
      </c>
      <c r="N5064">
        <v>42</v>
      </c>
      <c r="O5064" t="s">
        <v>52</v>
      </c>
      <c r="Q5064" t="s">
        <v>219</v>
      </c>
      <c r="R5064" t="s">
        <v>730</v>
      </c>
      <c r="S5064" t="s">
        <v>731</v>
      </c>
      <c r="T5064" t="s">
        <v>732</v>
      </c>
    </row>
    <row r="5065" spans="1:20" x14ac:dyDescent="0.25">
      <c r="A5065" t="s">
        <v>59</v>
      </c>
      <c r="B5065" t="s">
        <v>31</v>
      </c>
      <c r="C5065" t="s">
        <v>32</v>
      </c>
      <c r="D5065" t="s">
        <v>719</v>
      </c>
      <c r="E5065" t="s">
        <v>5782</v>
      </c>
      <c r="F5065" t="s">
        <v>35</v>
      </c>
      <c r="G5065" t="s">
        <v>35</v>
      </c>
      <c r="H5065" t="s">
        <v>35</v>
      </c>
      <c r="J5065" t="s">
        <v>5785</v>
      </c>
      <c r="K5065" t="s">
        <v>1092</v>
      </c>
      <c r="M5065">
        <v>9.9</v>
      </c>
      <c r="N5065">
        <v>124</v>
      </c>
      <c r="O5065" t="s">
        <v>38</v>
      </c>
      <c r="Q5065" t="s">
        <v>646</v>
      </c>
      <c r="R5065" t="s">
        <v>730</v>
      </c>
      <c r="S5065" t="s">
        <v>731</v>
      </c>
      <c r="T5065" t="s">
        <v>732</v>
      </c>
    </row>
    <row r="5066" spans="1:20" x14ac:dyDescent="0.25">
      <c r="A5066" t="s">
        <v>30</v>
      </c>
      <c r="B5066" t="s">
        <v>31</v>
      </c>
      <c r="C5066" t="s">
        <v>32</v>
      </c>
      <c r="D5066" t="s">
        <v>719</v>
      </c>
      <c r="E5066" t="s">
        <v>5683</v>
      </c>
      <c r="F5066" t="s">
        <v>35</v>
      </c>
      <c r="G5066" t="s">
        <v>35</v>
      </c>
      <c r="H5066" t="s">
        <v>35</v>
      </c>
      <c r="J5066" t="s">
        <v>5686</v>
      </c>
      <c r="K5066" t="s">
        <v>1092</v>
      </c>
      <c r="M5066">
        <v>10.35</v>
      </c>
      <c r="N5066">
        <v>42</v>
      </c>
      <c r="O5066" t="s">
        <v>52</v>
      </c>
      <c r="Q5066" t="s">
        <v>219</v>
      </c>
      <c r="R5066" t="s">
        <v>730</v>
      </c>
      <c r="S5066" t="s">
        <v>731</v>
      </c>
      <c r="T5066" t="s">
        <v>732</v>
      </c>
    </row>
    <row r="5067" spans="1:20" x14ac:dyDescent="0.25">
      <c r="A5067" t="s">
        <v>30</v>
      </c>
      <c r="B5067" t="s">
        <v>31</v>
      </c>
      <c r="C5067" t="s">
        <v>32</v>
      </c>
      <c r="D5067" t="s">
        <v>719</v>
      </c>
      <c r="E5067" t="s">
        <v>5756</v>
      </c>
      <c r="F5067" t="s">
        <v>35</v>
      </c>
      <c r="G5067" t="s">
        <v>35</v>
      </c>
      <c r="H5067" t="s">
        <v>35</v>
      </c>
      <c r="J5067" t="s">
        <v>5761</v>
      </c>
      <c r="K5067" t="s">
        <v>1092</v>
      </c>
      <c r="M5067">
        <v>9.81</v>
      </c>
      <c r="N5067">
        <v>42</v>
      </c>
      <c r="O5067" t="s">
        <v>52</v>
      </c>
      <c r="Q5067" t="s">
        <v>219</v>
      </c>
      <c r="R5067" t="s">
        <v>730</v>
      </c>
      <c r="S5067" t="s">
        <v>731</v>
      </c>
      <c r="T5067" t="s">
        <v>732</v>
      </c>
    </row>
    <row r="5068" spans="1:20" x14ac:dyDescent="0.25">
      <c r="A5068" t="s">
        <v>30</v>
      </c>
      <c r="B5068" t="s">
        <v>31</v>
      </c>
      <c r="C5068" t="s">
        <v>32</v>
      </c>
      <c r="D5068" t="s">
        <v>719</v>
      </c>
      <c r="E5068" t="s">
        <v>5756</v>
      </c>
      <c r="F5068" t="s">
        <v>35</v>
      </c>
      <c r="G5068" t="s">
        <v>35</v>
      </c>
      <c r="H5068" t="s">
        <v>35</v>
      </c>
      <c r="J5068" t="s">
        <v>5759</v>
      </c>
      <c r="K5068" t="s">
        <v>1092</v>
      </c>
      <c r="M5068">
        <v>4.8150000000000004</v>
      </c>
      <c r="N5068">
        <v>62</v>
      </c>
      <c r="O5068" t="s">
        <v>61</v>
      </c>
      <c r="Q5068" t="s">
        <v>139</v>
      </c>
      <c r="R5068" t="s">
        <v>730</v>
      </c>
      <c r="S5068" t="s">
        <v>731</v>
      </c>
      <c r="T5068" t="s">
        <v>732</v>
      </c>
    </row>
    <row r="5069" spans="1:20" x14ac:dyDescent="0.25">
      <c r="A5069" t="s">
        <v>30</v>
      </c>
      <c r="B5069" t="s">
        <v>31</v>
      </c>
      <c r="C5069" t="s">
        <v>32</v>
      </c>
      <c r="D5069" t="s">
        <v>719</v>
      </c>
      <c r="E5069" t="s">
        <v>5497</v>
      </c>
      <c r="F5069" t="s">
        <v>35</v>
      </c>
      <c r="G5069" t="s">
        <v>35</v>
      </c>
      <c r="H5069" t="s">
        <v>35</v>
      </c>
      <c r="J5069" t="s">
        <v>5523</v>
      </c>
      <c r="K5069" t="s">
        <v>1092</v>
      </c>
      <c r="M5069">
        <v>4.05</v>
      </c>
      <c r="N5069">
        <v>42</v>
      </c>
      <c r="O5069" t="s">
        <v>52</v>
      </c>
      <c r="Q5069" t="s">
        <v>219</v>
      </c>
      <c r="R5069" t="s">
        <v>730</v>
      </c>
      <c r="S5069" t="s">
        <v>731</v>
      </c>
      <c r="T5069" t="s">
        <v>732</v>
      </c>
    </row>
    <row r="5070" spans="1:20" x14ac:dyDescent="0.25">
      <c r="A5070" t="s">
        <v>30</v>
      </c>
      <c r="B5070" t="s">
        <v>31</v>
      </c>
      <c r="C5070" t="s">
        <v>32</v>
      </c>
      <c r="D5070" t="s">
        <v>719</v>
      </c>
      <c r="E5070" t="s">
        <v>5497</v>
      </c>
      <c r="F5070" t="s">
        <v>35</v>
      </c>
      <c r="G5070" t="s">
        <v>35</v>
      </c>
      <c r="H5070" t="s">
        <v>35</v>
      </c>
      <c r="J5070" t="s">
        <v>5519</v>
      </c>
      <c r="K5070" t="s">
        <v>1092</v>
      </c>
      <c r="M5070">
        <v>5.625</v>
      </c>
      <c r="N5070">
        <v>42</v>
      </c>
      <c r="O5070" t="s">
        <v>52</v>
      </c>
      <c r="Q5070" t="s">
        <v>219</v>
      </c>
      <c r="R5070" t="s">
        <v>730</v>
      </c>
      <c r="S5070" t="s">
        <v>731</v>
      </c>
      <c r="T5070" t="s">
        <v>732</v>
      </c>
    </row>
    <row r="5071" spans="1:20" x14ac:dyDescent="0.25">
      <c r="A5071" t="s">
        <v>30</v>
      </c>
      <c r="B5071" t="s">
        <v>31</v>
      </c>
      <c r="C5071" t="s">
        <v>32</v>
      </c>
      <c r="D5071" t="s">
        <v>719</v>
      </c>
      <c r="E5071" t="s">
        <v>755</v>
      </c>
      <c r="F5071" t="s">
        <v>35</v>
      </c>
      <c r="G5071" t="s">
        <v>35</v>
      </c>
      <c r="H5071" t="s">
        <v>35</v>
      </c>
      <c r="J5071" t="s">
        <v>5722</v>
      </c>
      <c r="K5071" t="s">
        <v>1092</v>
      </c>
      <c r="M5071">
        <v>11.025</v>
      </c>
      <c r="N5071">
        <v>17</v>
      </c>
      <c r="O5071" t="s">
        <v>46</v>
      </c>
      <c r="Q5071" t="s">
        <v>255</v>
      </c>
      <c r="R5071" t="s">
        <v>730</v>
      </c>
      <c r="S5071" t="s">
        <v>731</v>
      </c>
      <c r="T5071" t="s">
        <v>732</v>
      </c>
    </row>
    <row r="5072" spans="1:20" x14ac:dyDescent="0.25">
      <c r="A5072" t="s">
        <v>30</v>
      </c>
      <c r="B5072" t="s">
        <v>31</v>
      </c>
      <c r="C5072" t="s">
        <v>32</v>
      </c>
      <c r="D5072" t="s">
        <v>719</v>
      </c>
      <c r="E5072" t="s">
        <v>755</v>
      </c>
      <c r="F5072" t="s">
        <v>35</v>
      </c>
      <c r="G5072" t="s">
        <v>35</v>
      </c>
      <c r="H5072" t="s">
        <v>35</v>
      </c>
      <c r="J5072" t="s">
        <v>5722</v>
      </c>
      <c r="K5072" t="s">
        <v>1092</v>
      </c>
      <c r="M5072">
        <v>32.715000000000003</v>
      </c>
      <c r="N5072">
        <v>62</v>
      </c>
      <c r="O5072" t="s">
        <v>61</v>
      </c>
      <c r="Q5072" t="s">
        <v>139</v>
      </c>
      <c r="R5072" t="s">
        <v>730</v>
      </c>
      <c r="S5072" t="s">
        <v>731</v>
      </c>
      <c r="T5072" t="s">
        <v>732</v>
      </c>
    </row>
    <row r="5073" spans="1:20" x14ac:dyDescent="0.25">
      <c r="A5073" t="s">
        <v>30</v>
      </c>
      <c r="B5073" t="s">
        <v>31</v>
      </c>
      <c r="C5073" t="s">
        <v>32</v>
      </c>
      <c r="D5073" t="s">
        <v>719</v>
      </c>
      <c r="F5073" t="s">
        <v>35</v>
      </c>
      <c r="G5073" t="s">
        <v>35</v>
      </c>
      <c r="H5073" t="s">
        <v>35</v>
      </c>
      <c r="J5073" t="s">
        <v>5885</v>
      </c>
      <c r="K5073" t="s">
        <v>1092</v>
      </c>
      <c r="M5073">
        <v>4.7249999999999996</v>
      </c>
      <c r="N5073">
        <v>42</v>
      </c>
      <c r="O5073" t="s">
        <v>52</v>
      </c>
      <c r="Q5073" t="s">
        <v>219</v>
      </c>
      <c r="R5073" t="s">
        <v>730</v>
      </c>
      <c r="S5073" t="s">
        <v>731</v>
      </c>
      <c r="T5073" t="s">
        <v>732</v>
      </c>
    </row>
    <row r="5074" spans="1:20" x14ac:dyDescent="0.25">
      <c r="A5074" t="s">
        <v>30</v>
      </c>
      <c r="B5074" t="s">
        <v>31</v>
      </c>
      <c r="C5074" t="s">
        <v>32</v>
      </c>
      <c r="D5074" t="s">
        <v>719</v>
      </c>
      <c r="E5074" t="s">
        <v>738</v>
      </c>
      <c r="F5074" t="s">
        <v>35</v>
      </c>
      <c r="G5074" t="s">
        <v>35</v>
      </c>
      <c r="H5074" t="s">
        <v>35</v>
      </c>
      <c r="J5074" t="s">
        <v>5552</v>
      </c>
      <c r="K5074" t="s">
        <v>1092</v>
      </c>
      <c r="M5074">
        <v>11.025</v>
      </c>
      <c r="N5074">
        <v>90</v>
      </c>
      <c r="O5074" t="s">
        <v>61</v>
      </c>
      <c r="Q5074" t="s">
        <v>557</v>
      </c>
      <c r="R5074" t="s">
        <v>730</v>
      </c>
      <c r="S5074" t="s">
        <v>731</v>
      </c>
      <c r="T5074" t="s">
        <v>732</v>
      </c>
    </row>
    <row r="5075" spans="1:20" x14ac:dyDescent="0.25">
      <c r="A5075" t="s">
        <v>30</v>
      </c>
      <c r="B5075" t="s">
        <v>31</v>
      </c>
      <c r="C5075" t="s">
        <v>32</v>
      </c>
      <c r="D5075" t="s">
        <v>719</v>
      </c>
      <c r="E5075" t="s">
        <v>5818</v>
      </c>
      <c r="F5075" t="s">
        <v>35</v>
      </c>
      <c r="G5075" t="s">
        <v>35</v>
      </c>
      <c r="H5075" t="s">
        <v>35</v>
      </c>
      <c r="J5075" t="s">
        <v>5831</v>
      </c>
      <c r="K5075" t="s">
        <v>1092</v>
      </c>
      <c r="M5075">
        <v>9.9450000000000003</v>
      </c>
      <c r="N5075">
        <v>148</v>
      </c>
      <c r="O5075" t="s">
        <v>38</v>
      </c>
      <c r="Q5075" t="s">
        <v>3942</v>
      </c>
      <c r="R5075" t="s">
        <v>730</v>
      </c>
      <c r="S5075" t="s">
        <v>731</v>
      </c>
      <c r="T5075" t="s">
        <v>732</v>
      </c>
    </row>
    <row r="5076" spans="1:20" x14ac:dyDescent="0.25">
      <c r="A5076" t="s">
        <v>30</v>
      </c>
      <c r="B5076" t="s">
        <v>31</v>
      </c>
      <c r="C5076" t="s">
        <v>32</v>
      </c>
      <c r="D5076" t="s">
        <v>719</v>
      </c>
      <c r="E5076" t="s">
        <v>742</v>
      </c>
      <c r="F5076" t="s">
        <v>35</v>
      </c>
      <c r="G5076" t="s">
        <v>35</v>
      </c>
      <c r="H5076" t="s">
        <v>35</v>
      </c>
      <c r="J5076" t="s">
        <v>5668</v>
      </c>
      <c r="K5076" t="s">
        <v>1092</v>
      </c>
      <c r="M5076">
        <v>9.9450000000000003</v>
      </c>
      <c r="N5076">
        <v>62</v>
      </c>
      <c r="O5076" t="s">
        <v>61</v>
      </c>
      <c r="Q5076" t="s">
        <v>139</v>
      </c>
      <c r="R5076" t="s">
        <v>730</v>
      </c>
      <c r="S5076" t="s">
        <v>731</v>
      </c>
      <c r="T5076" t="s">
        <v>732</v>
      </c>
    </row>
    <row r="5077" spans="1:20" x14ac:dyDescent="0.25">
      <c r="A5077" t="s">
        <v>59</v>
      </c>
      <c r="B5077" t="s">
        <v>31</v>
      </c>
      <c r="C5077" t="s">
        <v>32</v>
      </c>
      <c r="D5077" t="s">
        <v>719</v>
      </c>
      <c r="E5077" t="s">
        <v>738</v>
      </c>
      <c r="F5077" t="s">
        <v>35</v>
      </c>
      <c r="G5077" t="s">
        <v>35</v>
      </c>
      <c r="H5077" t="s">
        <v>35</v>
      </c>
      <c r="J5077" t="s">
        <v>5622</v>
      </c>
      <c r="K5077" t="s">
        <v>1092</v>
      </c>
      <c r="M5077">
        <v>0.9</v>
      </c>
      <c r="N5077">
        <v>134</v>
      </c>
      <c r="O5077" t="s">
        <v>38</v>
      </c>
      <c r="Q5077" t="s">
        <v>1822</v>
      </c>
      <c r="R5077" t="s">
        <v>730</v>
      </c>
      <c r="S5077" t="s">
        <v>731</v>
      </c>
      <c r="T5077" t="s">
        <v>732</v>
      </c>
    </row>
    <row r="5078" spans="1:20" x14ac:dyDescent="0.25">
      <c r="A5078" t="s">
        <v>30</v>
      </c>
      <c r="B5078" t="s">
        <v>31</v>
      </c>
      <c r="C5078" t="s">
        <v>32</v>
      </c>
      <c r="D5078" t="s">
        <v>719</v>
      </c>
      <c r="E5078" t="s">
        <v>720</v>
      </c>
      <c r="F5078" t="s">
        <v>35</v>
      </c>
      <c r="G5078" t="s">
        <v>35</v>
      </c>
      <c r="H5078" t="s">
        <v>35</v>
      </c>
      <c r="J5078" t="s">
        <v>5451</v>
      </c>
      <c r="K5078" t="s">
        <v>1092</v>
      </c>
      <c r="M5078">
        <v>0.48599999999999999</v>
      </c>
      <c r="N5078">
        <v>140</v>
      </c>
      <c r="O5078" t="s">
        <v>38</v>
      </c>
      <c r="Q5078" t="s">
        <v>1229</v>
      </c>
      <c r="R5078" t="s">
        <v>730</v>
      </c>
      <c r="S5078" t="s">
        <v>731</v>
      </c>
      <c r="T5078" t="s">
        <v>732</v>
      </c>
    </row>
    <row r="5079" spans="1:20" x14ac:dyDescent="0.25">
      <c r="A5079" t="s">
        <v>30</v>
      </c>
      <c r="B5079" t="s">
        <v>31</v>
      </c>
      <c r="C5079" t="s">
        <v>32</v>
      </c>
      <c r="D5079" t="s">
        <v>719</v>
      </c>
      <c r="E5079" t="s">
        <v>5818</v>
      </c>
      <c r="F5079" t="s">
        <v>35</v>
      </c>
      <c r="G5079" t="s">
        <v>35</v>
      </c>
      <c r="H5079" t="s">
        <v>35</v>
      </c>
      <c r="J5079" t="s">
        <v>5828</v>
      </c>
      <c r="K5079" t="s">
        <v>1092</v>
      </c>
      <c r="M5079">
        <v>11.025</v>
      </c>
      <c r="N5079">
        <v>42</v>
      </c>
      <c r="O5079" t="s">
        <v>52</v>
      </c>
      <c r="Q5079" t="s">
        <v>219</v>
      </c>
      <c r="R5079" t="s">
        <v>730</v>
      </c>
      <c r="S5079" t="s">
        <v>731</v>
      </c>
      <c r="T5079" t="s">
        <v>732</v>
      </c>
    </row>
    <row r="5080" spans="1:20" x14ac:dyDescent="0.25">
      <c r="A5080" t="s">
        <v>30</v>
      </c>
      <c r="B5080" t="s">
        <v>31</v>
      </c>
      <c r="C5080" t="s">
        <v>32</v>
      </c>
      <c r="D5080" t="s">
        <v>719</v>
      </c>
      <c r="E5080" t="s">
        <v>742</v>
      </c>
      <c r="F5080" t="s">
        <v>35</v>
      </c>
      <c r="G5080" t="s">
        <v>35</v>
      </c>
      <c r="H5080" t="s">
        <v>35</v>
      </c>
      <c r="J5080" t="s">
        <v>5646</v>
      </c>
      <c r="K5080" t="s">
        <v>1092</v>
      </c>
      <c r="M5080">
        <v>5.3949999999999996</v>
      </c>
      <c r="N5080">
        <v>148</v>
      </c>
      <c r="O5080" t="s">
        <v>38</v>
      </c>
      <c r="Q5080" t="s">
        <v>3942</v>
      </c>
      <c r="R5080" t="s">
        <v>730</v>
      </c>
      <c r="S5080" t="s">
        <v>731</v>
      </c>
      <c r="T5080" t="s">
        <v>732</v>
      </c>
    </row>
    <row r="5081" spans="1:20" x14ac:dyDescent="0.25">
      <c r="A5081" t="s">
        <v>30</v>
      </c>
      <c r="B5081" t="s">
        <v>31</v>
      </c>
      <c r="C5081" t="s">
        <v>32</v>
      </c>
      <c r="D5081" t="s">
        <v>719</v>
      </c>
      <c r="E5081" t="s">
        <v>742</v>
      </c>
      <c r="F5081" t="s">
        <v>35</v>
      </c>
      <c r="G5081" t="s">
        <v>35</v>
      </c>
      <c r="H5081" t="s">
        <v>35</v>
      </c>
      <c r="J5081" t="s">
        <v>5650</v>
      </c>
      <c r="K5081" t="s">
        <v>1092</v>
      </c>
      <c r="M5081">
        <v>11.025</v>
      </c>
      <c r="N5081">
        <v>62</v>
      </c>
      <c r="O5081" t="s">
        <v>61</v>
      </c>
      <c r="Q5081" t="s">
        <v>139</v>
      </c>
      <c r="R5081" t="s">
        <v>730</v>
      </c>
      <c r="S5081" t="s">
        <v>731</v>
      </c>
      <c r="T5081" t="s">
        <v>732</v>
      </c>
    </row>
    <row r="5082" spans="1:20" x14ac:dyDescent="0.25">
      <c r="A5082" t="s">
        <v>30</v>
      </c>
      <c r="B5082" t="s">
        <v>31</v>
      </c>
      <c r="C5082" t="s">
        <v>32</v>
      </c>
      <c r="D5082" t="s">
        <v>719</v>
      </c>
      <c r="E5082" t="s">
        <v>742</v>
      </c>
      <c r="F5082" t="s">
        <v>35</v>
      </c>
      <c r="G5082" t="s">
        <v>35</v>
      </c>
      <c r="H5082" t="s">
        <v>35</v>
      </c>
      <c r="J5082" t="s">
        <v>5650</v>
      </c>
      <c r="K5082" t="s">
        <v>1092</v>
      </c>
      <c r="M5082">
        <v>6.7050000000000001</v>
      </c>
      <c r="N5082">
        <v>90</v>
      </c>
      <c r="O5082" t="s">
        <v>61</v>
      </c>
      <c r="Q5082" t="s">
        <v>557</v>
      </c>
      <c r="R5082" t="s">
        <v>730</v>
      </c>
      <c r="S5082" t="s">
        <v>731</v>
      </c>
      <c r="T5082" t="s">
        <v>732</v>
      </c>
    </row>
    <row r="5083" spans="1:20" x14ac:dyDescent="0.25">
      <c r="A5083" t="s">
        <v>59</v>
      </c>
      <c r="B5083" t="s">
        <v>31</v>
      </c>
      <c r="C5083" t="s">
        <v>32</v>
      </c>
      <c r="D5083" t="s">
        <v>719</v>
      </c>
      <c r="E5083" t="s">
        <v>5756</v>
      </c>
      <c r="F5083" t="s">
        <v>35</v>
      </c>
      <c r="G5083" t="s">
        <v>35</v>
      </c>
      <c r="H5083" t="s">
        <v>35</v>
      </c>
      <c r="J5083" t="s">
        <v>5769</v>
      </c>
      <c r="K5083" t="s">
        <v>1092</v>
      </c>
      <c r="M5083">
        <v>2.16</v>
      </c>
      <c r="N5083">
        <v>124</v>
      </c>
      <c r="O5083" t="s">
        <v>38</v>
      </c>
      <c r="Q5083" t="s">
        <v>646</v>
      </c>
      <c r="R5083" t="s">
        <v>730</v>
      </c>
      <c r="S5083" t="s">
        <v>731</v>
      </c>
      <c r="T5083" t="s">
        <v>732</v>
      </c>
    </row>
    <row r="5084" spans="1:20" x14ac:dyDescent="0.25">
      <c r="A5084" t="s">
        <v>30</v>
      </c>
      <c r="B5084" t="s">
        <v>31</v>
      </c>
      <c r="C5084" t="s">
        <v>32</v>
      </c>
      <c r="D5084" t="s">
        <v>719</v>
      </c>
      <c r="E5084" t="s">
        <v>738</v>
      </c>
      <c r="F5084" t="s">
        <v>35</v>
      </c>
      <c r="G5084" t="s">
        <v>35</v>
      </c>
      <c r="H5084" t="s">
        <v>35</v>
      </c>
      <c r="J5084" t="s">
        <v>5615</v>
      </c>
      <c r="K5084" t="s">
        <v>1092</v>
      </c>
      <c r="M5084">
        <v>5.085</v>
      </c>
      <c r="N5084">
        <v>496</v>
      </c>
      <c r="O5084" t="s">
        <v>294</v>
      </c>
      <c r="Q5084" t="s">
        <v>3139</v>
      </c>
      <c r="R5084" t="s">
        <v>730</v>
      </c>
      <c r="S5084" t="s">
        <v>731</v>
      </c>
      <c r="T5084" t="s">
        <v>732</v>
      </c>
    </row>
    <row r="5085" spans="1:20" x14ac:dyDescent="0.25">
      <c r="A5085" t="s">
        <v>44</v>
      </c>
      <c r="B5085" t="s">
        <v>51</v>
      </c>
      <c r="C5085" t="s">
        <v>32</v>
      </c>
      <c r="D5085" t="s">
        <v>719</v>
      </c>
      <c r="E5085" t="s">
        <v>742</v>
      </c>
      <c r="F5085" t="s">
        <v>35</v>
      </c>
      <c r="G5085" t="s">
        <v>35</v>
      </c>
      <c r="H5085" t="s">
        <v>35</v>
      </c>
      <c r="J5085" t="s">
        <v>5659</v>
      </c>
      <c r="K5085" t="s">
        <v>1092</v>
      </c>
      <c r="M5085">
        <v>11</v>
      </c>
      <c r="N5085">
        <v>74</v>
      </c>
      <c r="O5085" t="s">
        <v>61</v>
      </c>
      <c r="Q5085" t="s">
        <v>527</v>
      </c>
      <c r="R5085" t="s">
        <v>730</v>
      </c>
      <c r="S5085" t="s">
        <v>731</v>
      </c>
      <c r="T5085" t="s">
        <v>732</v>
      </c>
    </row>
    <row r="5086" spans="1:20" x14ac:dyDescent="0.25">
      <c r="A5086" t="s">
        <v>30</v>
      </c>
      <c r="B5086" t="s">
        <v>31</v>
      </c>
      <c r="C5086" t="s">
        <v>32</v>
      </c>
      <c r="D5086" t="s">
        <v>719</v>
      </c>
      <c r="E5086" t="s">
        <v>742</v>
      </c>
      <c r="F5086" t="s">
        <v>35</v>
      </c>
      <c r="G5086" t="s">
        <v>35</v>
      </c>
      <c r="H5086" t="s">
        <v>35</v>
      </c>
      <c r="J5086" t="s">
        <v>5659</v>
      </c>
      <c r="K5086" t="s">
        <v>1092</v>
      </c>
      <c r="M5086">
        <v>11.025</v>
      </c>
      <c r="N5086">
        <v>42</v>
      </c>
      <c r="O5086" t="s">
        <v>52</v>
      </c>
      <c r="Q5086" t="s">
        <v>219</v>
      </c>
      <c r="R5086" t="s">
        <v>730</v>
      </c>
      <c r="S5086" t="s">
        <v>731</v>
      </c>
      <c r="T5086" t="s">
        <v>732</v>
      </c>
    </row>
    <row r="5087" spans="1:20" x14ac:dyDescent="0.25">
      <c r="A5087" t="s">
        <v>59</v>
      </c>
      <c r="B5087" t="s">
        <v>60</v>
      </c>
      <c r="C5087" t="s">
        <v>32</v>
      </c>
      <c r="D5087" t="s">
        <v>719</v>
      </c>
      <c r="E5087" t="s">
        <v>742</v>
      </c>
      <c r="F5087" t="s">
        <v>35</v>
      </c>
      <c r="G5087" t="s">
        <v>35</v>
      </c>
      <c r="H5087" t="s">
        <v>35</v>
      </c>
      <c r="J5087" t="s">
        <v>5659</v>
      </c>
      <c r="K5087" t="s">
        <v>1092</v>
      </c>
      <c r="M5087">
        <v>13.75</v>
      </c>
      <c r="N5087">
        <v>191</v>
      </c>
      <c r="O5087" t="s">
        <v>5</v>
      </c>
      <c r="Q5087" t="s">
        <v>4086</v>
      </c>
      <c r="R5087" t="s">
        <v>730</v>
      </c>
      <c r="S5087" t="s">
        <v>731</v>
      </c>
      <c r="T5087" t="s">
        <v>732</v>
      </c>
    </row>
    <row r="5088" spans="1:20" x14ac:dyDescent="0.25">
      <c r="A5088" t="s">
        <v>59</v>
      </c>
      <c r="B5088" t="s">
        <v>60</v>
      </c>
      <c r="C5088" t="s">
        <v>32</v>
      </c>
      <c r="D5088" t="s">
        <v>719</v>
      </c>
      <c r="E5088" t="s">
        <v>742</v>
      </c>
      <c r="F5088" t="s">
        <v>35</v>
      </c>
      <c r="G5088" t="s">
        <v>35</v>
      </c>
      <c r="H5088" t="s">
        <v>35</v>
      </c>
      <c r="J5088" t="s">
        <v>5659</v>
      </c>
      <c r="K5088" t="s">
        <v>1092</v>
      </c>
      <c r="M5088">
        <v>12</v>
      </c>
      <c r="N5088">
        <v>134</v>
      </c>
      <c r="O5088" t="s">
        <v>38</v>
      </c>
      <c r="Q5088" t="s">
        <v>1822</v>
      </c>
      <c r="R5088" t="s">
        <v>730</v>
      </c>
      <c r="S5088" t="s">
        <v>731</v>
      </c>
      <c r="T5088" t="s">
        <v>732</v>
      </c>
    </row>
    <row r="5089" spans="1:20" x14ac:dyDescent="0.25">
      <c r="A5089" t="s">
        <v>30</v>
      </c>
      <c r="B5089" t="s">
        <v>31</v>
      </c>
      <c r="C5089" t="s">
        <v>32</v>
      </c>
      <c r="D5089" t="s">
        <v>719</v>
      </c>
      <c r="E5089" t="s">
        <v>742</v>
      </c>
      <c r="F5089" t="s">
        <v>35</v>
      </c>
      <c r="G5089" t="s">
        <v>35</v>
      </c>
      <c r="H5089" t="s">
        <v>35</v>
      </c>
      <c r="J5089" t="s">
        <v>5659</v>
      </c>
      <c r="K5089" t="s">
        <v>1092</v>
      </c>
      <c r="M5089">
        <v>5.3550000000000004</v>
      </c>
      <c r="N5089">
        <v>90</v>
      </c>
      <c r="O5089" t="s">
        <v>61</v>
      </c>
      <c r="Q5089" t="s">
        <v>557</v>
      </c>
      <c r="R5089" t="s">
        <v>730</v>
      </c>
      <c r="S5089" t="s">
        <v>731</v>
      </c>
      <c r="T5089" t="s">
        <v>732</v>
      </c>
    </row>
    <row r="5090" spans="1:20" x14ac:dyDescent="0.25">
      <c r="A5090" t="s">
        <v>30</v>
      </c>
      <c r="B5090" t="s">
        <v>31</v>
      </c>
      <c r="C5090" t="s">
        <v>32</v>
      </c>
      <c r="D5090" t="s">
        <v>719</v>
      </c>
      <c r="E5090" t="s">
        <v>738</v>
      </c>
      <c r="F5090" t="s">
        <v>35</v>
      </c>
      <c r="G5090" t="s">
        <v>35</v>
      </c>
      <c r="H5090" t="s">
        <v>35</v>
      </c>
      <c r="J5090" t="s">
        <v>5630</v>
      </c>
      <c r="K5090" t="s">
        <v>1092</v>
      </c>
      <c r="M5090">
        <v>4.5</v>
      </c>
      <c r="N5090">
        <v>90</v>
      </c>
      <c r="O5090" t="s">
        <v>61</v>
      </c>
      <c r="Q5090" t="s">
        <v>557</v>
      </c>
      <c r="R5090" t="s">
        <v>730</v>
      </c>
      <c r="S5090" t="s">
        <v>731</v>
      </c>
      <c r="T5090" t="s">
        <v>732</v>
      </c>
    </row>
    <row r="5091" spans="1:20" x14ac:dyDescent="0.25">
      <c r="A5091" t="s">
        <v>59</v>
      </c>
      <c r="B5091" t="s">
        <v>60</v>
      </c>
      <c r="C5091" t="s">
        <v>32</v>
      </c>
      <c r="D5091" t="s">
        <v>719</v>
      </c>
      <c r="E5091" t="s">
        <v>742</v>
      </c>
      <c r="F5091" t="s">
        <v>35</v>
      </c>
      <c r="G5091" t="s">
        <v>35</v>
      </c>
      <c r="H5091" t="s">
        <v>35</v>
      </c>
      <c r="J5091" t="s">
        <v>5669</v>
      </c>
      <c r="K5091" t="s">
        <v>1092</v>
      </c>
      <c r="M5091">
        <v>3.4</v>
      </c>
      <c r="N5091">
        <v>124</v>
      </c>
      <c r="O5091" t="s">
        <v>38</v>
      </c>
      <c r="Q5091" t="s">
        <v>646</v>
      </c>
      <c r="R5091" t="s">
        <v>730</v>
      </c>
      <c r="S5091" t="s">
        <v>731</v>
      </c>
      <c r="T5091" t="s">
        <v>732</v>
      </c>
    </row>
    <row r="5092" spans="1:20" x14ac:dyDescent="0.25">
      <c r="A5092" t="s">
        <v>30</v>
      </c>
      <c r="B5092" t="s">
        <v>31</v>
      </c>
      <c r="C5092" t="s">
        <v>32</v>
      </c>
      <c r="D5092" t="s">
        <v>719</v>
      </c>
      <c r="E5092" t="s">
        <v>742</v>
      </c>
      <c r="F5092" t="s">
        <v>35</v>
      </c>
      <c r="G5092" t="s">
        <v>35</v>
      </c>
      <c r="H5092" t="s">
        <v>35</v>
      </c>
      <c r="J5092" t="s">
        <v>5647</v>
      </c>
      <c r="K5092" t="s">
        <v>1092</v>
      </c>
      <c r="M5092">
        <v>6.3449999999999998</v>
      </c>
      <c r="N5092">
        <v>42</v>
      </c>
      <c r="O5092" t="s">
        <v>52</v>
      </c>
      <c r="Q5092" t="s">
        <v>219</v>
      </c>
      <c r="R5092" t="s">
        <v>730</v>
      </c>
      <c r="S5092" t="s">
        <v>731</v>
      </c>
      <c r="T5092" t="s">
        <v>732</v>
      </c>
    </row>
    <row r="5093" spans="1:20" x14ac:dyDescent="0.25">
      <c r="A5093" t="s">
        <v>44</v>
      </c>
      <c r="B5093" t="s">
        <v>51</v>
      </c>
      <c r="C5093" t="s">
        <v>32</v>
      </c>
      <c r="D5093" t="s">
        <v>719</v>
      </c>
      <c r="E5093" t="s">
        <v>742</v>
      </c>
      <c r="F5093" t="s">
        <v>35</v>
      </c>
      <c r="G5093" t="s">
        <v>35</v>
      </c>
      <c r="H5093" t="s">
        <v>35</v>
      </c>
      <c r="J5093" t="s">
        <v>5647</v>
      </c>
      <c r="K5093" t="s">
        <v>1092</v>
      </c>
      <c r="M5093">
        <v>5.3</v>
      </c>
      <c r="N5093">
        <v>51</v>
      </c>
      <c r="O5093" t="s">
        <v>52</v>
      </c>
      <c r="Q5093" t="s">
        <v>58</v>
      </c>
      <c r="R5093" t="s">
        <v>730</v>
      </c>
      <c r="S5093" t="s">
        <v>731</v>
      </c>
      <c r="T5093" t="s">
        <v>732</v>
      </c>
    </row>
    <row r="5094" spans="1:20" x14ac:dyDescent="0.25">
      <c r="A5094" t="s">
        <v>30</v>
      </c>
      <c r="B5094" t="s">
        <v>31</v>
      </c>
      <c r="C5094" t="s">
        <v>32</v>
      </c>
      <c r="D5094" t="s">
        <v>719</v>
      </c>
      <c r="E5094" t="s">
        <v>742</v>
      </c>
      <c r="F5094" t="s">
        <v>35</v>
      </c>
      <c r="G5094" t="s">
        <v>35</v>
      </c>
      <c r="H5094" t="s">
        <v>35</v>
      </c>
      <c r="J5094" t="s">
        <v>5672</v>
      </c>
      <c r="K5094" t="s">
        <v>1092</v>
      </c>
      <c r="M5094">
        <v>11.025</v>
      </c>
      <c r="N5094">
        <v>62</v>
      </c>
      <c r="O5094" t="s">
        <v>61</v>
      </c>
      <c r="Q5094" t="s">
        <v>139</v>
      </c>
      <c r="R5094" t="s">
        <v>730</v>
      </c>
      <c r="S5094" t="s">
        <v>731</v>
      </c>
      <c r="T5094" t="s">
        <v>732</v>
      </c>
    </row>
    <row r="5095" spans="1:20" x14ac:dyDescent="0.25">
      <c r="A5095" t="s">
        <v>30</v>
      </c>
      <c r="B5095" t="s">
        <v>31</v>
      </c>
      <c r="C5095" t="s">
        <v>32</v>
      </c>
      <c r="D5095" t="s">
        <v>719</v>
      </c>
      <c r="E5095" t="s">
        <v>742</v>
      </c>
      <c r="F5095" t="s">
        <v>35</v>
      </c>
      <c r="G5095" t="s">
        <v>35</v>
      </c>
      <c r="H5095" t="s">
        <v>35</v>
      </c>
      <c r="J5095" t="s">
        <v>5672</v>
      </c>
      <c r="K5095" t="s">
        <v>1092</v>
      </c>
      <c r="M5095">
        <v>2.7</v>
      </c>
      <c r="N5095">
        <v>258</v>
      </c>
      <c r="O5095" t="s">
        <v>5</v>
      </c>
      <c r="Q5095" t="s">
        <v>1754</v>
      </c>
      <c r="R5095" t="s">
        <v>730</v>
      </c>
      <c r="S5095" t="s">
        <v>731</v>
      </c>
      <c r="T5095" t="s">
        <v>732</v>
      </c>
    </row>
    <row r="5096" spans="1:20" x14ac:dyDescent="0.25">
      <c r="A5096" t="s">
        <v>30</v>
      </c>
      <c r="B5096" t="s">
        <v>31</v>
      </c>
      <c r="C5096" t="s">
        <v>32</v>
      </c>
      <c r="D5096" t="s">
        <v>719</v>
      </c>
      <c r="E5096" t="s">
        <v>742</v>
      </c>
      <c r="F5096" t="s">
        <v>35</v>
      </c>
      <c r="G5096" t="s">
        <v>35</v>
      </c>
      <c r="H5096" t="s">
        <v>35</v>
      </c>
      <c r="J5096" t="s">
        <v>5672</v>
      </c>
      <c r="K5096" t="s">
        <v>1092</v>
      </c>
      <c r="M5096">
        <v>11.025</v>
      </c>
      <c r="N5096">
        <v>191</v>
      </c>
      <c r="O5096" t="s">
        <v>5</v>
      </c>
      <c r="Q5096" t="s">
        <v>4086</v>
      </c>
      <c r="R5096" t="s">
        <v>730</v>
      </c>
      <c r="S5096" t="s">
        <v>731</v>
      </c>
      <c r="T5096" t="s">
        <v>732</v>
      </c>
    </row>
    <row r="5097" spans="1:20" x14ac:dyDescent="0.25">
      <c r="A5097" t="s">
        <v>30</v>
      </c>
      <c r="B5097" t="s">
        <v>31</v>
      </c>
      <c r="C5097" t="s">
        <v>32</v>
      </c>
      <c r="D5097" t="s">
        <v>719</v>
      </c>
      <c r="E5097" t="s">
        <v>742</v>
      </c>
      <c r="F5097" t="s">
        <v>35</v>
      </c>
      <c r="G5097" t="s">
        <v>35</v>
      </c>
      <c r="H5097" t="s">
        <v>35</v>
      </c>
      <c r="J5097" t="s">
        <v>5681</v>
      </c>
      <c r="K5097" t="s">
        <v>1092</v>
      </c>
      <c r="M5097">
        <v>0.67500000000000004</v>
      </c>
      <c r="N5097">
        <v>90</v>
      </c>
      <c r="O5097" t="s">
        <v>61</v>
      </c>
      <c r="Q5097" t="s">
        <v>557</v>
      </c>
      <c r="R5097" t="s">
        <v>730</v>
      </c>
      <c r="S5097" t="s">
        <v>731</v>
      </c>
      <c r="T5097" t="s">
        <v>732</v>
      </c>
    </row>
    <row r="5098" spans="1:20" x14ac:dyDescent="0.25">
      <c r="A5098" t="s">
        <v>44</v>
      </c>
      <c r="B5098" t="s">
        <v>51</v>
      </c>
      <c r="C5098" t="s">
        <v>32</v>
      </c>
      <c r="D5098" t="s">
        <v>719</v>
      </c>
      <c r="E5098" t="s">
        <v>742</v>
      </c>
      <c r="F5098" t="s">
        <v>35</v>
      </c>
      <c r="G5098" t="s">
        <v>35</v>
      </c>
      <c r="H5098" t="s">
        <v>35</v>
      </c>
      <c r="J5098" t="s">
        <v>5681</v>
      </c>
      <c r="K5098" t="s">
        <v>1092</v>
      </c>
      <c r="M5098">
        <v>2.7</v>
      </c>
      <c r="N5098">
        <v>51</v>
      </c>
      <c r="O5098" t="s">
        <v>52</v>
      </c>
      <c r="Q5098" t="s">
        <v>58</v>
      </c>
      <c r="R5098" t="s">
        <v>730</v>
      </c>
      <c r="S5098" t="s">
        <v>731</v>
      </c>
      <c r="T5098" t="s">
        <v>732</v>
      </c>
    </row>
    <row r="5099" spans="1:20" x14ac:dyDescent="0.25">
      <c r="A5099" t="s">
        <v>30</v>
      </c>
      <c r="B5099" t="s">
        <v>31</v>
      </c>
      <c r="C5099" t="s">
        <v>32</v>
      </c>
      <c r="D5099" t="s">
        <v>719</v>
      </c>
      <c r="E5099" t="s">
        <v>5756</v>
      </c>
      <c r="F5099" t="s">
        <v>35</v>
      </c>
      <c r="G5099" t="s">
        <v>35</v>
      </c>
      <c r="H5099" t="s">
        <v>35</v>
      </c>
      <c r="J5099" t="s">
        <v>5779</v>
      </c>
      <c r="K5099" t="s">
        <v>1092</v>
      </c>
      <c r="M5099">
        <v>6.3449999999999998</v>
      </c>
      <c r="N5099">
        <v>148</v>
      </c>
      <c r="O5099" t="s">
        <v>38</v>
      </c>
      <c r="Q5099" t="s">
        <v>3942</v>
      </c>
      <c r="R5099" t="s">
        <v>730</v>
      </c>
      <c r="S5099" t="s">
        <v>731</v>
      </c>
      <c r="T5099" t="s">
        <v>732</v>
      </c>
    </row>
    <row r="5100" spans="1:20" x14ac:dyDescent="0.25">
      <c r="A5100" t="s">
        <v>59</v>
      </c>
      <c r="B5100" t="s">
        <v>31</v>
      </c>
      <c r="C5100" t="s">
        <v>32</v>
      </c>
      <c r="D5100" t="s">
        <v>719</v>
      </c>
      <c r="E5100" t="s">
        <v>5497</v>
      </c>
      <c r="F5100" t="s">
        <v>35</v>
      </c>
      <c r="G5100" t="s">
        <v>35</v>
      </c>
      <c r="H5100" t="s">
        <v>35</v>
      </c>
      <c r="J5100" t="s">
        <v>5520</v>
      </c>
      <c r="K5100" t="s">
        <v>1092</v>
      </c>
      <c r="M5100">
        <v>4.0949999999999998</v>
      </c>
      <c r="N5100">
        <v>1885</v>
      </c>
      <c r="O5100" t="s">
        <v>575</v>
      </c>
      <c r="Q5100" t="s">
        <v>1094</v>
      </c>
      <c r="R5100" t="s">
        <v>730</v>
      </c>
      <c r="S5100" t="s">
        <v>731</v>
      </c>
      <c r="T5100" t="s">
        <v>732</v>
      </c>
    </row>
    <row r="5101" spans="1:20" x14ac:dyDescent="0.25">
      <c r="A5101" t="s">
        <v>30</v>
      </c>
      <c r="B5101" t="s">
        <v>31</v>
      </c>
      <c r="C5101" t="s">
        <v>32</v>
      </c>
      <c r="D5101" t="s">
        <v>719</v>
      </c>
      <c r="E5101" t="s">
        <v>5497</v>
      </c>
      <c r="F5101" t="s">
        <v>35</v>
      </c>
      <c r="G5101" t="s">
        <v>35</v>
      </c>
      <c r="H5101" t="s">
        <v>35</v>
      </c>
      <c r="J5101" t="s">
        <v>5520</v>
      </c>
      <c r="K5101" t="s">
        <v>1092</v>
      </c>
      <c r="M5101">
        <v>5.49</v>
      </c>
      <c r="N5101">
        <v>15</v>
      </c>
      <c r="O5101" t="s">
        <v>46</v>
      </c>
      <c r="Q5101" t="s">
        <v>979</v>
      </c>
      <c r="R5101" t="s">
        <v>730</v>
      </c>
      <c r="S5101" t="s">
        <v>731</v>
      </c>
      <c r="T5101" t="s">
        <v>732</v>
      </c>
    </row>
    <row r="5102" spans="1:20" x14ac:dyDescent="0.25">
      <c r="A5102" t="s">
        <v>30</v>
      </c>
      <c r="B5102" t="s">
        <v>31</v>
      </c>
      <c r="C5102" t="s">
        <v>32</v>
      </c>
      <c r="D5102" t="s">
        <v>719</v>
      </c>
      <c r="E5102" t="s">
        <v>5782</v>
      </c>
      <c r="F5102" t="s">
        <v>35</v>
      </c>
      <c r="G5102" t="s">
        <v>35</v>
      </c>
      <c r="H5102" t="s">
        <v>35</v>
      </c>
      <c r="J5102" t="s">
        <v>5788</v>
      </c>
      <c r="K5102" t="s">
        <v>1092</v>
      </c>
      <c r="M5102">
        <v>11.025</v>
      </c>
      <c r="N5102">
        <v>87</v>
      </c>
      <c r="O5102" t="s">
        <v>61</v>
      </c>
      <c r="Q5102" t="s">
        <v>394</v>
      </c>
      <c r="R5102" t="s">
        <v>730</v>
      </c>
      <c r="S5102" t="s">
        <v>731</v>
      </c>
      <c r="T5102" t="s">
        <v>732</v>
      </c>
    </row>
    <row r="5103" spans="1:20" x14ac:dyDescent="0.25">
      <c r="A5103" t="s">
        <v>30</v>
      </c>
      <c r="B5103" t="s">
        <v>31</v>
      </c>
      <c r="C5103" t="s">
        <v>32</v>
      </c>
      <c r="D5103" t="s">
        <v>719</v>
      </c>
      <c r="E5103" t="s">
        <v>5782</v>
      </c>
      <c r="F5103" t="s">
        <v>35</v>
      </c>
      <c r="G5103" t="s">
        <v>35</v>
      </c>
      <c r="H5103" t="s">
        <v>35</v>
      </c>
      <c r="J5103" t="s">
        <v>5788</v>
      </c>
      <c r="K5103" t="s">
        <v>1092</v>
      </c>
      <c r="M5103">
        <v>6.21</v>
      </c>
      <c r="N5103">
        <v>90</v>
      </c>
      <c r="O5103" t="s">
        <v>61</v>
      </c>
      <c r="Q5103" t="s">
        <v>557</v>
      </c>
      <c r="R5103" t="s">
        <v>730</v>
      </c>
      <c r="S5103" t="s">
        <v>731</v>
      </c>
      <c r="T5103" t="s">
        <v>732</v>
      </c>
    </row>
    <row r="5104" spans="1:20" x14ac:dyDescent="0.25">
      <c r="A5104" t="s">
        <v>30</v>
      </c>
      <c r="B5104" t="s">
        <v>31</v>
      </c>
      <c r="C5104" t="s">
        <v>32</v>
      </c>
      <c r="D5104" t="s">
        <v>719</v>
      </c>
      <c r="E5104" t="s">
        <v>738</v>
      </c>
      <c r="F5104" t="s">
        <v>35</v>
      </c>
      <c r="G5104" t="s">
        <v>35</v>
      </c>
      <c r="H5104" t="s">
        <v>35</v>
      </c>
      <c r="J5104" t="s">
        <v>5629</v>
      </c>
      <c r="K5104" t="s">
        <v>1092</v>
      </c>
      <c r="M5104">
        <v>4.5449999999999999</v>
      </c>
      <c r="N5104">
        <v>42</v>
      </c>
      <c r="O5104" t="s">
        <v>52</v>
      </c>
      <c r="Q5104" t="s">
        <v>219</v>
      </c>
      <c r="R5104" t="s">
        <v>730</v>
      </c>
      <c r="S5104" t="s">
        <v>731</v>
      </c>
      <c r="T5104" t="s">
        <v>732</v>
      </c>
    </row>
    <row r="5105" spans="1:20" x14ac:dyDescent="0.25">
      <c r="A5105" t="s">
        <v>59</v>
      </c>
      <c r="B5105" t="s">
        <v>31</v>
      </c>
      <c r="C5105" t="s">
        <v>32</v>
      </c>
      <c r="D5105" t="s">
        <v>719</v>
      </c>
      <c r="E5105" t="s">
        <v>5756</v>
      </c>
      <c r="F5105" t="s">
        <v>35</v>
      </c>
      <c r="G5105" t="s">
        <v>35</v>
      </c>
      <c r="H5105" t="s">
        <v>35</v>
      </c>
      <c r="J5105" t="s">
        <v>5778</v>
      </c>
      <c r="K5105" t="s">
        <v>1092</v>
      </c>
      <c r="M5105">
        <v>0.22500000000000001</v>
      </c>
      <c r="N5105">
        <v>165</v>
      </c>
      <c r="O5105" t="s">
        <v>38</v>
      </c>
      <c r="Q5105" t="s">
        <v>1124</v>
      </c>
      <c r="R5105" t="s">
        <v>730</v>
      </c>
      <c r="S5105" t="s">
        <v>731</v>
      </c>
      <c r="T5105" t="s">
        <v>732</v>
      </c>
    </row>
    <row r="5106" spans="1:20" x14ac:dyDescent="0.25">
      <c r="A5106" t="s">
        <v>59</v>
      </c>
      <c r="B5106" t="s">
        <v>60</v>
      </c>
      <c r="C5106" t="s">
        <v>32</v>
      </c>
      <c r="D5106" t="s">
        <v>719</v>
      </c>
      <c r="E5106" t="s">
        <v>720</v>
      </c>
      <c r="F5106" t="s">
        <v>35</v>
      </c>
      <c r="G5106" t="s">
        <v>35</v>
      </c>
      <c r="H5106" t="s">
        <v>35</v>
      </c>
      <c r="J5106" t="s">
        <v>5449</v>
      </c>
      <c r="K5106" t="s">
        <v>1092</v>
      </c>
      <c r="M5106">
        <v>0.9</v>
      </c>
      <c r="N5106">
        <v>559</v>
      </c>
      <c r="O5106" t="s">
        <v>575</v>
      </c>
      <c r="Q5106" t="s">
        <v>5450</v>
      </c>
      <c r="R5106" t="s">
        <v>730</v>
      </c>
      <c r="S5106" t="s">
        <v>731</v>
      </c>
      <c r="T5106" t="s">
        <v>732</v>
      </c>
    </row>
    <row r="5107" spans="1:20" x14ac:dyDescent="0.25">
      <c r="A5107" t="s">
        <v>59</v>
      </c>
      <c r="B5107" t="s">
        <v>31</v>
      </c>
      <c r="C5107" t="s">
        <v>32</v>
      </c>
      <c r="D5107" t="s">
        <v>719</v>
      </c>
      <c r="F5107" t="s">
        <v>35</v>
      </c>
      <c r="G5107" t="s">
        <v>35</v>
      </c>
      <c r="H5107" t="s">
        <v>35</v>
      </c>
      <c r="J5107" t="s">
        <v>5849</v>
      </c>
      <c r="K5107" t="s">
        <v>1092</v>
      </c>
      <c r="M5107">
        <v>4.4999999999999998E-2</v>
      </c>
      <c r="N5107">
        <v>207</v>
      </c>
      <c r="O5107" t="s">
        <v>5</v>
      </c>
      <c r="Q5107" t="s">
        <v>537</v>
      </c>
      <c r="R5107" t="s">
        <v>730</v>
      </c>
      <c r="S5107" t="s">
        <v>731</v>
      </c>
      <c r="T5107" t="s">
        <v>732</v>
      </c>
    </row>
    <row r="5108" spans="1:20" x14ac:dyDescent="0.25">
      <c r="A5108" t="s">
        <v>30</v>
      </c>
      <c r="B5108" t="s">
        <v>31</v>
      </c>
      <c r="C5108" t="s">
        <v>32</v>
      </c>
      <c r="D5108" t="s">
        <v>719</v>
      </c>
      <c r="E5108" t="s">
        <v>720</v>
      </c>
      <c r="F5108" t="s">
        <v>35</v>
      </c>
      <c r="G5108" t="s">
        <v>35</v>
      </c>
      <c r="H5108" t="s">
        <v>35</v>
      </c>
      <c r="J5108" t="s">
        <v>5419</v>
      </c>
      <c r="K5108" t="s">
        <v>1092</v>
      </c>
      <c r="M5108">
        <v>38.475000000000001</v>
      </c>
      <c r="N5108">
        <v>42</v>
      </c>
      <c r="O5108" t="s">
        <v>52</v>
      </c>
      <c r="Q5108" t="s">
        <v>219</v>
      </c>
      <c r="R5108" t="s">
        <v>730</v>
      </c>
      <c r="S5108" t="s">
        <v>731</v>
      </c>
      <c r="T5108" t="s">
        <v>732</v>
      </c>
    </row>
    <row r="5109" spans="1:20" x14ac:dyDescent="0.25">
      <c r="A5109" t="s">
        <v>30</v>
      </c>
      <c r="B5109" t="s">
        <v>31</v>
      </c>
      <c r="C5109" t="s">
        <v>32</v>
      </c>
      <c r="D5109" t="s">
        <v>719</v>
      </c>
      <c r="E5109" t="s">
        <v>742</v>
      </c>
      <c r="F5109" t="s">
        <v>35</v>
      </c>
      <c r="G5109" t="s">
        <v>35</v>
      </c>
      <c r="H5109" t="s">
        <v>35</v>
      </c>
      <c r="J5109" t="s">
        <v>5675</v>
      </c>
      <c r="K5109" t="s">
        <v>1092</v>
      </c>
      <c r="M5109">
        <v>10.26</v>
      </c>
      <c r="N5109">
        <v>42</v>
      </c>
      <c r="O5109" t="s">
        <v>52</v>
      </c>
      <c r="Q5109" t="s">
        <v>219</v>
      </c>
      <c r="R5109" t="s">
        <v>730</v>
      </c>
      <c r="S5109" t="s">
        <v>731</v>
      </c>
      <c r="T5109" t="s">
        <v>732</v>
      </c>
    </row>
    <row r="5110" spans="1:20" x14ac:dyDescent="0.25">
      <c r="A5110" t="s">
        <v>44</v>
      </c>
      <c r="B5110" t="s">
        <v>3</v>
      </c>
      <c r="C5110" t="s">
        <v>32</v>
      </c>
      <c r="D5110" t="s">
        <v>719</v>
      </c>
      <c r="E5110" t="s">
        <v>738</v>
      </c>
      <c r="F5110" t="s">
        <v>35</v>
      </c>
      <c r="G5110" t="s">
        <v>35</v>
      </c>
      <c r="H5110" t="s">
        <v>35</v>
      </c>
      <c r="J5110" t="s">
        <v>5608</v>
      </c>
      <c r="K5110" t="s">
        <v>1092</v>
      </c>
      <c r="M5110">
        <v>0.55000000000000004</v>
      </c>
      <c r="N5110">
        <v>587</v>
      </c>
      <c r="O5110" t="s">
        <v>575</v>
      </c>
      <c r="Q5110" t="s">
        <v>1321</v>
      </c>
      <c r="R5110" t="s">
        <v>730</v>
      </c>
      <c r="S5110" t="s">
        <v>731</v>
      </c>
      <c r="T5110" t="s">
        <v>732</v>
      </c>
    </row>
    <row r="5111" spans="1:20" x14ac:dyDescent="0.25">
      <c r="A5111" t="s">
        <v>59</v>
      </c>
      <c r="B5111" t="s">
        <v>60</v>
      </c>
      <c r="C5111" t="s">
        <v>32</v>
      </c>
      <c r="D5111" t="s">
        <v>719</v>
      </c>
      <c r="E5111" t="s">
        <v>742</v>
      </c>
      <c r="F5111" t="s">
        <v>35</v>
      </c>
      <c r="G5111" t="s">
        <v>35</v>
      </c>
      <c r="H5111" t="s">
        <v>35</v>
      </c>
      <c r="J5111" t="s">
        <v>5682</v>
      </c>
      <c r="K5111" t="s">
        <v>1092</v>
      </c>
      <c r="M5111">
        <v>1.5</v>
      </c>
      <c r="N5111">
        <v>134</v>
      </c>
      <c r="O5111" t="s">
        <v>38</v>
      </c>
      <c r="Q5111" t="s">
        <v>1822</v>
      </c>
      <c r="R5111" t="s">
        <v>730</v>
      </c>
      <c r="S5111" t="s">
        <v>731</v>
      </c>
      <c r="T5111" t="s">
        <v>732</v>
      </c>
    </row>
    <row r="5112" spans="1:20" x14ac:dyDescent="0.25">
      <c r="A5112" t="s">
        <v>30</v>
      </c>
      <c r="B5112" t="s">
        <v>31</v>
      </c>
      <c r="C5112" t="s">
        <v>32</v>
      </c>
      <c r="D5112" t="s">
        <v>719</v>
      </c>
      <c r="E5112" t="s">
        <v>742</v>
      </c>
      <c r="F5112" t="s">
        <v>35</v>
      </c>
      <c r="G5112" t="s">
        <v>35</v>
      </c>
      <c r="H5112" t="s">
        <v>35</v>
      </c>
      <c r="J5112" t="s">
        <v>4007</v>
      </c>
      <c r="K5112" t="s">
        <v>1092</v>
      </c>
      <c r="M5112">
        <v>13.904999999999999</v>
      </c>
      <c r="N5112">
        <v>42</v>
      </c>
      <c r="O5112" t="s">
        <v>52</v>
      </c>
      <c r="Q5112" t="s">
        <v>219</v>
      </c>
      <c r="R5112" t="s">
        <v>730</v>
      </c>
      <c r="S5112" t="s">
        <v>731</v>
      </c>
      <c r="T5112" t="s">
        <v>732</v>
      </c>
    </row>
    <row r="5113" spans="1:20" x14ac:dyDescent="0.25">
      <c r="A5113" t="s">
        <v>30</v>
      </c>
      <c r="B5113" t="s">
        <v>31</v>
      </c>
      <c r="C5113" t="s">
        <v>32</v>
      </c>
      <c r="D5113" t="s">
        <v>719</v>
      </c>
      <c r="E5113" t="s">
        <v>738</v>
      </c>
      <c r="F5113" t="s">
        <v>35</v>
      </c>
      <c r="G5113" t="s">
        <v>35</v>
      </c>
      <c r="H5113" t="s">
        <v>35</v>
      </c>
      <c r="J5113" t="s">
        <v>5619</v>
      </c>
      <c r="K5113" t="s">
        <v>1092</v>
      </c>
      <c r="M5113">
        <v>3.375</v>
      </c>
      <c r="N5113">
        <v>126</v>
      </c>
      <c r="O5113" t="s">
        <v>38</v>
      </c>
      <c r="Q5113" t="s">
        <v>68</v>
      </c>
      <c r="R5113" t="s">
        <v>730</v>
      </c>
      <c r="S5113" t="s">
        <v>731</v>
      </c>
      <c r="T5113" t="s">
        <v>732</v>
      </c>
    </row>
    <row r="5114" spans="1:20" x14ac:dyDescent="0.25">
      <c r="A5114" t="s">
        <v>59</v>
      </c>
      <c r="B5114" t="s">
        <v>31</v>
      </c>
      <c r="C5114" t="s">
        <v>32</v>
      </c>
      <c r="D5114" t="s">
        <v>719</v>
      </c>
      <c r="E5114" t="s">
        <v>742</v>
      </c>
      <c r="F5114" t="s">
        <v>35</v>
      </c>
      <c r="G5114" t="s">
        <v>35</v>
      </c>
      <c r="H5114" t="s">
        <v>35</v>
      </c>
      <c r="J5114" t="s">
        <v>5651</v>
      </c>
      <c r="K5114" t="s">
        <v>1092</v>
      </c>
      <c r="M5114">
        <v>0.36</v>
      </c>
      <c r="N5114">
        <v>278</v>
      </c>
      <c r="O5114" t="s">
        <v>5</v>
      </c>
      <c r="Q5114" t="s">
        <v>1687</v>
      </c>
      <c r="R5114" t="s">
        <v>730</v>
      </c>
      <c r="S5114" t="s">
        <v>731</v>
      </c>
      <c r="T5114" t="s">
        <v>732</v>
      </c>
    </row>
    <row r="5115" spans="1:20" x14ac:dyDescent="0.25">
      <c r="A5115" t="s">
        <v>30</v>
      </c>
      <c r="B5115" t="s">
        <v>31</v>
      </c>
      <c r="C5115" t="s">
        <v>32</v>
      </c>
      <c r="D5115" t="s">
        <v>719</v>
      </c>
      <c r="E5115" t="s">
        <v>742</v>
      </c>
      <c r="F5115" t="s">
        <v>35</v>
      </c>
      <c r="G5115" t="s">
        <v>35</v>
      </c>
      <c r="H5115" t="s">
        <v>35</v>
      </c>
      <c r="J5115" t="s">
        <v>5670</v>
      </c>
      <c r="K5115" t="s">
        <v>1092</v>
      </c>
      <c r="M5115">
        <v>0.36</v>
      </c>
      <c r="N5115">
        <v>87</v>
      </c>
      <c r="O5115" t="s">
        <v>61</v>
      </c>
      <c r="Q5115" t="s">
        <v>394</v>
      </c>
      <c r="R5115" t="s">
        <v>730</v>
      </c>
      <c r="S5115" t="s">
        <v>731</v>
      </c>
      <c r="T5115" t="s">
        <v>732</v>
      </c>
    </row>
    <row r="5116" spans="1:20" x14ac:dyDescent="0.25">
      <c r="A5116" t="s">
        <v>30</v>
      </c>
      <c r="B5116" t="s">
        <v>31</v>
      </c>
      <c r="C5116" t="s">
        <v>32</v>
      </c>
      <c r="D5116" t="s">
        <v>719</v>
      </c>
      <c r="E5116" t="s">
        <v>742</v>
      </c>
      <c r="F5116" t="s">
        <v>35</v>
      </c>
      <c r="G5116" t="s">
        <v>35</v>
      </c>
      <c r="H5116" t="s">
        <v>35</v>
      </c>
      <c r="J5116" t="s">
        <v>5678</v>
      </c>
      <c r="K5116" t="s">
        <v>1092</v>
      </c>
      <c r="M5116">
        <v>5.7149999999999999</v>
      </c>
      <c r="N5116">
        <v>42</v>
      </c>
      <c r="O5116" t="s">
        <v>52</v>
      </c>
      <c r="Q5116" t="s">
        <v>219</v>
      </c>
      <c r="R5116" t="s">
        <v>730</v>
      </c>
      <c r="S5116" t="s">
        <v>731</v>
      </c>
      <c r="T5116" t="s">
        <v>732</v>
      </c>
    </row>
    <row r="5117" spans="1:20" x14ac:dyDescent="0.25">
      <c r="A5117" t="s">
        <v>59</v>
      </c>
      <c r="B5117" t="s">
        <v>31</v>
      </c>
      <c r="C5117" t="s">
        <v>32</v>
      </c>
      <c r="D5117" t="s">
        <v>719</v>
      </c>
      <c r="E5117" t="s">
        <v>720</v>
      </c>
      <c r="F5117" t="s">
        <v>35</v>
      </c>
      <c r="G5117" t="s">
        <v>35</v>
      </c>
      <c r="H5117" t="s">
        <v>35</v>
      </c>
      <c r="J5117" t="s">
        <v>5421</v>
      </c>
      <c r="K5117" t="s">
        <v>1092</v>
      </c>
      <c r="M5117">
        <v>4.4550000000000001</v>
      </c>
      <c r="N5117">
        <v>191</v>
      </c>
      <c r="O5117" t="s">
        <v>5</v>
      </c>
      <c r="Q5117" t="s">
        <v>4086</v>
      </c>
      <c r="R5117" t="s">
        <v>730</v>
      </c>
      <c r="S5117" t="s">
        <v>731</v>
      </c>
      <c r="T5117" t="s">
        <v>732</v>
      </c>
    </row>
    <row r="5118" spans="1:20" x14ac:dyDescent="0.25">
      <c r="A5118" t="s">
        <v>30</v>
      </c>
      <c r="B5118" t="s">
        <v>31</v>
      </c>
      <c r="C5118" t="s">
        <v>32</v>
      </c>
      <c r="D5118" t="s">
        <v>719</v>
      </c>
      <c r="E5118" t="s">
        <v>738</v>
      </c>
      <c r="F5118" t="s">
        <v>35</v>
      </c>
      <c r="G5118" t="s">
        <v>35</v>
      </c>
      <c r="H5118" t="s">
        <v>35</v>
      </c>
      <c r="J5118" t="s">
        <v>5588</v>
      </c>
      <c r="K5118" t="s">
        <v>1092</v>
      </c>
      <c r="M5118">
        <v>6.48</v>
      </c>
      <c r="N5118">
        <v>163</v>
      </c>
      <c r="O5118" t="s">
        <v>38</v>
      </c>
      <c r="Q5118" t="s">
        <v>2780</v>
      </c>
      <c r="R5118" t="s">
        <v>730</v>
      </c>
      <c r="S5118" t="s">
        <v>731</v>
      </c>
      <c r="T5118" t="s">
        <v>732</v>
      </c>
    </row>
    <row r="5119" spans="1:20" x14ac:dyDescent="0.25">
      <c r="A5119" t="s">
        <v>59</v>
      </c>
      <c r="B5119" t="s">
        <v>31</v>
      </c>
      <c r="C5119" t="s">
        <v>32</v>
      </c>
      <c r="D5119" t="s">
        <v>719</v>
      </c>
      <c r="E5119" t="s">
        <v>738</v>
      </c>
      <c r="F5119" t="s">
        <v>35</v>
      </c>
      <c r="G5119" t="s">
        <v>35</v>
      </c>
      <c r="H5119" t="s">
        <v>35</v>
      </c>
      <c r="J5119" t="s">
        <v>5577</v>
      </c>
      <c r="K5119" t="s">
        <v>1092</v>
      </c>
      <c r="M5119">
        <v>10.305</v>
      </c>
      <c r="N5119">
        <v>124</v>
      </c>
      <c r="O5119" t="s">
        <v>38</v>
      </c>
      <c r="Q5119" t="s">
        <v>646</v>
      </c>
      <c r="R5119" t="s">
        <v>730</v>
      </c>
      <c r="S5119" t="s">
        <v>731</v>
      </c>
      <c r="T5119" t="s">
        <v>732</v>
      </c>
    </row>
    <row r="5120" spans="1:20" x14ac:dyDescent="0.25">
      <c r="A5120" t="s">
        <v>30</v>
      </c>
      <c r="B5120" t="s">
        <v>31</v>
      </c>
      <c r="C5120" t="s">
        <v>32</v>
      </c>
      <c r="D5120" t="s">
        <v>719</v>
      </c>
      <c r="E5120" t="s">
        <v>5743</v>
      </c>
      <c r="F5120" t="s">
        <v>35</v>
      </c>
      <c r="G5120" t="s">
        <v>35</v>
      </c>
      <c r="H5120" t="s">
        <v>35</v>
      </c>
      <c r="J5120" t="s">
        <v>5753</v>
      </c>
      <c r="K5120" t="s">
        <v>1092</v>
      </c>
      <c r="M5120">
        <v>7.7850000000000001</v>
      </c>
      <c r="N5120">
        <v>526</v>
      </c>
      <c r="O5120" t="s">
        <v>294</v>
      </c>
      <c r="Q5120" t="s">
        <v>4047</v>
      </c>
      <c r="R5120" t="s">
        <v>730</v>
      </c>
      <c r="S5120" t="s">
        <v>731</v>
      </c>
      <c r="T5120" t="s">
        <v>732</v>
      </c>
    </row>
    <row r="5121" spans="1:20" x14ac:dyDescent="0.25">
      <c r="A5121" t="s">
        <v>59</v>
      </c>
      <c r="B5121" t="s">
        <v>31</v>
      </c>
      <c r="C5121" t="s">
        <v>32</v>
      </c>
      <c r="D5121" t="s">
        <v>719</v>
      </c>
      <c r="E5121" t="s">
        <v>720</v>
      </c>
      <c r="F5121" t="s">
        <v>35</v>
      </c>
      <c r="G5121" t="s">
        <v>35</v>
      </c>
      <c r="H5121" t="s">
        <v>35</v>
      </c>
      <c r="J5121" t="s">
        <v>5457</v>
      </c>
      <c r="K5121" t="s">
        <v>1092</v>
      </c>
      <c r="M5121">
        <v>0.94499999999999995</v>
      </c>
      <c r="N5121">
        <v>207</v>
      </c>
      <c r="O5121" t="s">
        <v>5</v>
      </c>
      <c r="Q5121" t="s">
        <v>537</v>
      </c>
      <c r="R5121" t="s">
        <v>730</v>
      </c>
      <c r="S5121" t="s">
        <v>731</v>
      </c>
      <c r="T5121" t="s">
        <v>732</v>
      </c>
    </row>
    <row r="5122" spans="1:20" x14ac:dyDescent="0.25">
      <c r="A5122" t="s">
        <v>30</v>
      </c>
      <c r="B5122" t="s">
        <v>31</v>
      </c>
      <c r="C5122" t="s">
        <v>32</v>
      </c>
      <c r="D5122" t="s">
        <v>719</v>
      </c>
      <c r="E5122" t="s">
        <v>5743</v>
      </c>
      <c r="F5122" t="s">
        <v>35</v>
      </c>
      <c r="G5122" t="s">
        <v>35</v>
      </c>
      <c r="H5122" t="s">
        <v>35</v>
      </c>
      <c r="J5122" t="s">
        <v>5749</v>
      </c>
      <c r="K5122" t="s">
        <v>1092</v>
      </c>
      <c r="M5122">
        <v>4.4550000000000001</v>
      </c>
      <c r="N5122">
        <v>90</v>
      </c>
      <c r="O5122" t="s">
        <v>61</v>
      </c>
      <c r="Q5122" t="s">
        <v>557</v>
      </c>
      <c r="R5122" t="s">
        <v>730</v>
      </c>
      <c r="S5122" t="s">
        <v>731</v>
      </c>
      <c r="T5122" t="s">
        <v>732</v>
      </c>
    </row>
    <row r="5123" spans="1:20" x14ac:dyDescent="0.25">
      <c r="A5123" t="s">
        <v>59</v>
      </c>
      <c r="B5123" t="s">
        <v>31</v>
      </c>
      <c r="C5123" t="s">
        <v>32</v>
      </c>
      <c r="D5123" t="s">
        <v>719</v>
      </c>
      <c r="F5123" t="s">
        <v>35</v>
      </c>
      <c r="G5123" t="s">
        <v>35</v>
      </c>
      <c r="H5123" t="s">
        <v>35</v>
      </c>
      <c r="J5123" t="s">
        <v>5872</v>
      </c>
      <c r="K5123" t="s">
        <v>1092</v>
      </c>
      <c r="M5123">
        <v>0.04</v>
      </c>
      <c r="N5123">
        <v>2294</v>
      </c>
      <c r="O5123" t="s">
        <v>575</v>
      </c>
      <c r="Q5123" t="s">
        <v>2727</v>
      </c>
      <c r="R5123" t="s">
        <v>730</v>
      </c>
      <c r="S5123" t="s">
        <v>731</v>
      </c>
      <c r="T5123" t="s">
        <v>732</v>
      </c>
    </row>
    <row r="5124" spans="1:20" x14ac:dyDescent="0.25">
      <c r="A5124" t="s">
        <v>30</v>
      </c>
      <c r="B5124" t="s">
        <v>31</v>
      </c>
      <c r="C5124" t="s">
        <v>32</v>
      </c>
      <c r="D5124" t="s">
        <v>719</v>
      </c>
      <c r="F5124" t="s">
        <v>35</v>
      </c>
      <c r="G5124" t="s">
        <v>35</v>
      </c>
      <c r="H5124" t="s">
        <v>35</v>
      </c>
      <c r="J5124" t="s">
        <v>5872</v>
      </c>
      <c r="K5124" t="s">
        <v>1092</v>
      </c>
      <c r="M5124">
        <v>9</v>
      </c>
      <c r="N5124">
        <v>1939</v>
      </c>
      <c r="O5124" t="s">
        <v>575</v>
      </c>
      <c r="Q5124" t="s">
        <v>5873</v>
      </c>
      <c r="R5124" t="s">
        <v>730</v>
      </c>
      <c r="S5124" t="s">
        <v>731</v>
      </c>
      <c r="T5124" t="s">
        <v>732</v>
      </c>
    </row>
    <row r="5125" spans="1:20" x14ac:dyDescent="0.25">
      <c r="A5125" t="s">
        <v>30</v>
      </c>
      <c r="B5125" t="s">
        <v>31</v>
      </c>
      <c r="C5125" t="s">
        <v>32</v>
      </c>
      <c r="D5125" t="s">
        <v>719</v>
      </c>
      <c r="F5125" t="s">
        <v>35</v>
      </c>
      <c r="G5125" t="s">
        <v>35</v>
      </c>
      <c r="H5125" t="s">
        <v>35</v>
      </c>
      <c r="J5125" t="s">
        <v>5872</v>
      </c>
      <c r="K5125" t="s">
        <v>1092</v>
      </c>
      <c r="M5125">
        <v>4.5</v>
      </c>
      <c r="N5125">
        <v>1960</v>
      </c>
      <c r="O5125" t="s">
        <v>575</v>
      </c>
      <c r="Q5125" t="s">
        <v>5858</v>
      </c>
      <c r="R5125" t="s">
        <v>730</v>
      </c>
      <c r="S5125" t="s">
        <v>731</v>
      </c>
      <c r="T5125" t="s">
        <v>732</v>
      </c>
    </row>
    <row r="5126" spans="1:20" x14ac:dyDescent="0.25">
      <c r="A5126" t="s">
        <v>30</v>
      </c>
      <c r="B5126" t="s">
        <v>31</v>
      </c>
      <c r="C5126" t="s">
        <v>32</v>
      </c>
      <c r="D5126" t="s">
        <v>719</v>
      </c>
      <c r="F5126" t="s">
        <v>35</v>
      </c>
      <c r="G5126" t="s">
        <v>35</v>
      </c>
      <c r="H5126" t="s">
        <v>35</v>
      </c>
      <c r="J5126" t="s">
        <v>5872</v>
      </c>
      <c r="K5126" t="s">
        <v>1092</v>
      </c>
      <c r="M5126">
        <v>5.85</v>
      </c>
      <c r="N5126">
        <v>2101</v>
      </c>
      <c r="O5126" t="s">
        <v>575</v>
      </c>
      <c r="Q5126" t="s">
        <v>5874</v>
      </c>
      <c r="R5126" t="s">
        <v>730</v>
      </c>
      <c r="S5126" t="s">
        <v>731</v>
      </c>
      <c r="T5126" t="s">
        <v>732</v>
      </c>
    </row>
    <row r="5127" spans="1:20" x14ac:dyDescent="0.25">
      <c r="A5127" t="s">
        <v>30</v>
      </c>
      <c r="B5127" t="s">
        <v>31</v>
      </c>
      <c r="C5127" t="s">
        <v>32</v>
      </c>
      <c r="D5127" t="s">
        <v>719</v>
      </c>
      <c r="E5127" t="s">
        <v>5459</v>
      </c>
      <c r="F5127" t="s">
        <v>35</v>
      </c>
      <c r="G5127" t="s">
        <v>35</v>
      </c>
      <c r="H5127" t="s">
        <v>35</v>
      </c>
      <c r="J5127" t="s">
        <v>5483</v>
      </c>
      <c r="K5127" t="s">
        <v>1092</v>
      </c>
      <c r="M5127">
        <v>10.26</v>
      </c>
      <c r="N5127">
        <v>191</v>
      </c>
      <c r="O5127" t="s">
        <v>5</v>
      </c>
      <c r="Q5127" t="s">
        <v>4086</v>
      </c>
      <c r="R5127" t="s">
        <v>730</v>
      </c>
      <c r="S5127" t="s">
        <v>731</v>
      </c>
      <c r="T5127" t="s">
        <v>732</v>
      </c>
    </row>
    <row r="5128" spans="1:20" x14ac:dyDescent="0.25">
      <c r="A5128" t="s">
        <v>30</v>
      </c>
      <c r="B5128" t="s">
        <v>31</v>
      </c>
      <c r="C5128" t="s">
        <v>32</v>
      </c>
      <c r="D5128" t="s">
        <v>719</v>
      </c>
      <c r="E5128" t="s">
        <v>5459</v>
      </c>
      <c r="F5128" t="s">
        <v>35</v>
      </c>
      <c r="G5128" t="s">
        <v>35</v>
      </c>
      <c r="H5128" t="s">
        <v>35</v>
      </c>
      <c r="J5128" t="s">
        <v>5483</v>
      </c>
      <c r="K5128" t="s">
        <v>1092</v>
      </c>
      <c r="M5128">
        <v>5.5350000000000001</v>
      </c>
      <c r="N5128">
        <v>90</v>
      </c>
      <c r="O5128" t="s">
        <v>61</v>
      </c>
      <c r="Q5128" t="s">
        <v>557</v>
      </c>
      <c r="R5128" t="s">
        <v>730</v>
      </c>
      <c r="S5128" t="s">
        <v>731</v>
      </c>
      <c r="T5128" t="s">
        <v>732</v>
      </c>
    </row>
    <row r="5129" spans="1:20" x14ac:dyDescent="0.25">
      <c r="A5129" t="s">
        <v>44</v>
      </c>
      <c r="B5129" t="s">
        <v>51</v>
      </c>
      <c r="C5129" t="s">
        <v>32</v>
      </c>
      <c r="D5129" t="s">
        <v>719</v>
      </c>
      <c r="E5129" t="s">
        <v>738</v>
      </c>
      <c r="F5129" t="s">
        <v>35</v>
      </c>
      <c r="G5129" t="s">
        <v>35</v>
      </c>
      <c r="H5129" t="s">
        <v>35</v>
      </c>
      <c r="J5129" t="s">
        <v>5632</v>
      </c>
      <c r="K5129" t="s">
        <v>1092</v>
      </c>
      <c r="M5129">
        <v>5.5</v>
      </c>
      <c r="N5129">
        <v>74</v>
      </c>
      <c r="O5129" t="s">
        <v>61</v>
      </c>
      <c r="Q5129" t="s">
        <v>527</v>
      </c>
      <c r="R5129" t="s">
        <v>730</v>
      </c>
      <c r="S5129" t="s">
        <v>731</v>
      </c>
      <c r="T5129" t="s">
        <v>732</v>
      </c>
    </row>
    <row r="5130" spans="1:20" x14ac:dyDescent="0.25">
      <c r="A5130" t="s">
        <v>30</v>
      </c>
      <c r="B5130" t="s">
        <v>31</v>
      </c>
      <c r="C5130" t="s">
        <v>32</v>
      </c>
      <c r="D5130" t="s">
        <v>719</v>
      </c>
      <c r="E5130" t="s">
        <v>738</v>
      </c>
      <c r="F5130" t="s">
        <v>35</v>
      </c>
      <c r="G5130" t="s">
        <v>35</v>
      </c>
      <c r="H5130" t="s">
        <v>35</v>
      </c>
      <c r="J5130" t="s">
        <v>5586</v>
      </c>
      <c r="K5130" t="s">
        <v>1092</v>
      </c>
      <c r="M5130">
        <v>4.1399999999999997</v>
      </c>
      <c r="N5130">
        <v>42</v>
      </c>
      <c r="O5130" t="s">
        <v>52</v>
      </c>
      <c r="Q5130" t="s">
        <v>219</v>
      </c>
      <c r="R5130" t="s">
        <v>730</v>
      </c>
      <c r="S5130" t="s">
        <v>731</v>
      </c>
      <c r="T5130" t="s">
        <v>732</v>
      </c>
    </row>
    <row r="5131" spans="1:20" x14ac:dyDescent="0.25">
      <c r="A5131" t="s">
        <v>30</v>
      </c>
      <c r="B5131" t="s">
        <v>31</v>
      </c>
      <c r="C5131" t="s">
        <v>32</v>
      </c>
      <c r="D5131" t="s">
        <v>719</v>
      </c>
      <c r="E5131" t="s">
        <v>5497</v>
      </c>
      <c r="F5131" t="s">
        <v>35</v>
      </c>
      <c r="G5131" t="s">
        <v>35</v>
      </c>
      <c r="H5131" t="s">
        <v>35</v>
      </c>
      <c r="J5131" t="s">
        <v>5517</v>
      </c>
      <c r="K5131" t="s">
        <v>1092</v>
      </c>
      <c r="M5131">
        <v>4.95</v>
      </c>
      <c r="N5131">
        <v>42</v>
      </c>
      <c r="O5131" t="s">
        <v>52</v>
      </c>
      <c r="Q5131" t="s">
        <v>219</v>
      </c>
      <c r="R5131" t="s">
        <v>730</v>
      </c>
      <c r="S5131" t="s">
        <v>731</v>
      </c>
      <c r="T5131" t="s">
        <v>732</v>
      </c>
    </row>
    <row r="5132" spans="1:20" x14ac:dyDescent="0.25">
      <c r="A5132" t="s">
        <v>30</v>
      </c>
      <c r="B5132" t="s">
        <v>31</v>
      </c>
      <c r="C5132" t="s">
        <v>32</v>
      </c>
      <c r="D5132" t="s">
        <v>719</v>
      </c>
      <c r="E5132" t="s">
        <v>738</v>
      </c>
      <c r="F5132" t="s">
        <v>35</v>
      </c>
      <c r="G5132" t="s">
        <v>35</v>
      </c>
      <c r="H5132" t="s">
        <v>35</v>
      </c>
      <c r="J5132" t="s">
        <v>5564</v>
      </c>
      <c r="K5132" t="s">
        <v>1092</v>
      </c>
      <c r="M5132">
        <v>0.63</v>
      </c>
      <c r="N5132">
        <v>126</v>
      </c>
      <c r="O5132" t="s">
        <v>38</v>
      </c>
      <c r="Q5132" t="s">
        <v>68</v>
      </c>
      <c r="R5132" t="s">
        <v>730</v>
      </c>
      <c r="S5132" t="s">
        <v>731</v>
      </c>
      <c r="T5132" t="s">
        <v>732</v>
      </c>
    </row>
    <row r="5133" spans="1:20" x14ac:dyDescent="0.25">
      <c r="A5133" t="s">
        <v>30</v>
      </c>
      <c r="B5133" t="s">
        <v>31</v>
      </c>
      <c r="C5133" t="s">
        <v>32</v>
      </c>
      <c r="D5133" t="s">
        <v>719</v>
      </c>
      <c r="E5133" t="s">
        <v>720</v>
      </c>
      <c r="F5133" t="s">
        <v>35</v>
      </c>
      <c r="G5133" t="s">
        <v>35</v>
      </c>
      <c r="H5133" t="s">
        <v>35</v>
      </c>
      <c r="J5133" t="s">
        <v>5422</v>
      </c>
      <c r="K5133" t="s">
        <v>1092</v>
      </c>
      <c r="M5133">
        <v>4.95</v>
      </c>
      <c r="N5133">
        <v>164</v>
      </c>
      <c r="O5133" t="s">
        <v>38</v>
      </c>
      <c r="Q5133" t="s">
        <v>3930</v>
      </c>
      <c r="R5133" t="s">
        <v>730</v>
      </c>
      <c r="S5133" t="s">
        <v>731</v>
      </c>
      <c r="T5133" t="s">
        <v>732</v>
      </c>
    </row>
    <row r="5134" spans="1:20" x14ac:dyDescent="0.25">
      <c r="A5134" t="s">
        <v>30</v>
      </c>
      <c r="B5134" t="s">
        <v>31</v>
      </c>
      <c r="C5134" t="s">
        <v>32</v>
      </c>
      <c r="D5134" t="s">
        <v>719</v>
      </c>
      <c r="E5134" t="s">
        <v>720</v>
      </c>
      <c r="F5134" t="s">
        <v>35</v>
      </c>
      <c r="G5134" t="s">
        <v>35</v>
      </c>
      <c r="H5134" t="s">
        <v>35</v>
      </c>
      <c r="J5134" t="s">
        <v>5422</v>
      </c>
      <c r="K5134" t="s">
        <v>1092</v>
      </c>
      <c r="M5134">
        <v>11.025</v>
      </c>
      <c r="N5134">
        <v>62</v>
      </c>
      <c r="O5134" t="s">
        <v>61</v>
      </c>
      <c r="Q5134" t="s">
        <v>139</v>
      </c>
      <c r="R5134" t="s">
        <v>730</v>
      </c>
      <c r="S5134" t="s">
        <v>731</v>
      </c>
      <c r="T5134" t="s">
        <v>732</v>
      </c>
    </row>
    <row r="5135" spans="1:20" x14ac:dyDescent="0.25">
      <c r="A5135" t="s">
        <v>59</v>
      </c>
      <c r="B5135" t="s">
        <v>31</v>
      </c>
      <c r="C5135" t="s">
        <v>32</v>
      </c>
      <c r="D5135" t="s">
        <v>719</v>
      </c>
      <c r="E5135" t="s">
        <v>720</v>
      </c>
      <c r="F5135" t="s">
        <v>35</v>
      </c>
      <c r="G5135" t="s">
        <v>35</v>
      </c>
      <c r="H5135" t="s">
        <v>35</v>
      </c>
      <c r="J5135" t="s">
        <v>5455</v>
      </c>
      <c r="K5135" t="s">
        <v>1092</v>
      </c>
      <c r="M5135">
        <v>3.1949999999999998</v>
      </c>
      <c r="N5135">
        <v>134</v>
      </c>
      <c r="O5135" t="s">
        <v>38</v>
      </c>
      <c r="Q5135" t="s">
        <v>1822</v>
      </c>
      <c r="R5135" t="s">
        <v>730</v>
      </c>
      <c r="S5135" t="s">
        <v>731</v>
      </c>
      <c r="T5135" t="s">
        <v>732</v>
      </c>
    </row>
    <row r="5136" spans="1:20" x14ac:dyDescent="0.25">
      <c r="A5136" t="s">
        <v>30</v>
      </c>
      <c r="B5136" t="s">
        <v>31</v>
      </c>
      <c r="C5136" t="s">
        <v>32</v>
      </c>
      <c r="D5136" t="s">
        <v>719</v>
      </c>
      <c r="E5136" t="s">
        <v>720</v>
      </c>
      <c r="F5136" t="s">
        <v>35</v>
      </c>
      <c r="G5136" t="s">
        <v>35</v>
      </c>
      <c r="H5136" t="s">
        <v>35</v>
      </c>
      <c r="J5136" t="s">
        <v>5455</v>
      </c>
      <c r="K5136" t="s">
        <v>1092</v>
      </c>
      <c r="M5136">
        <v>17.864999999999998</v>
      </c>
      <c r="N5136">
        <v>42</v>
      </c>
      <c r="O5136" t="s">
        <v>52</v>
      </c>
      <c r="Q5136" t="s">
        <v>219</v>
      </c>
      <c r="R5136" t="s">
        <v>730</v>
      </c>
      <c r="S5136" t="s">
        <v>731</v>
      </c>
      <c r="T5136" t="s">
        <v>732</v>
      </c>
    </row>
    <row r="5137" spans="1:20" x14ac:dyDescent="0.25">
      <c r="A5137" t="s">
        <v>30</v>
      </c>
      <c r="B5137" t="s">
        <v>31</v>
      </c>
      <c r="C5137" t="s">
        <v>32</v>
      </c>
      <c r="D5137" t="s">
        <v>719</v>
      </c>
      <c r="E5137" t="s">
        <v>742</v>
      </c>
      <c r="F5137" t="s">
        <v>35</v>
      </c>
      <c r="G5137" t="s">
        <v>35</v>
      </c>
      <c r="H5137" t="s">
        <v>35</v>
      </c>
      <c r="J5137" t="s">
        <v>5677</v>
      </c>
      <c r="K5137" t="s">
        <v>1092</v>
      </c>
      <c r="M5137">
        <v>0.36</v>
      </c>
      <c r="N5137">
        <v>62</v>
      </c>
      <c r="O5137" t="s">
        <v>61</v>
      </c>
      <c r="Q5137" t="s">
        <v>139</v>
      </c>
      <c r="R5137" t="s">
        <v>730</v>
      </c>
      <c r="S5137" t="s">
        <v>731</v>
      </c>
      <c r="T5137" t="s">
        <v>732</v>
      </c>
    </row>
    <row r="5138" spans="1:20" x14ac:dyDescent="0.25">
      <c r="A5138" t="s">
        <v>59</v>
      </c>
      <c r="B5138" t="s">
        <v>60</v>
      </c>
      <c r="C5138" t="s">
        <v>32</v>
      </c>
      <c r="D5138" t="s">
        <v>719</v>
      </c>
      <c r="E5138" t="s">
        <v>742</v>
      </c>
      <c r="F5138" t="s">
        <v>35</v>
      </c>
      <c r="G5138" t="s">
        <v>35</v>
      </c>
      <c r="H5138" t="s">
        <v>35</v>
      </c>
      <c r="J5138" t="s">
        <v>5677</v>
      </c>
      <c r="K5138" t="s">
        <v>1092</v>
      </c>
      <c r="M5138">
        <v>0.25</v>
      </c>
      <c r="N5138">
        <v>207</v>
      </c>
      <c r="O5138" t="s">
        <v>5</v>
      </c>
      <c r="Q5138" t="s">
        <v>537</v>
      </c>
      <c r="R5138" t="s">
        <v>730</v>
      </c>
      <c r="S5138" t="s">
        <v>731</v>
      </c>
      <c r="T5138" t="s">
        <v>732</v>
      </c>
    </row>
    <row r="5139" spans="1:20" x14ac:dyDescent="0.25">
      <c r="A5139" t="s">
        <v>59</v>
      </c>
      <c r="B5139" t="s">
        <v>31</v>
      </c>
      <c r="C5139" t="s">
        <v>32</v>
      </c>
      <c r="D5139" t="s">
        <v>719</v>
      </c>
      <c r="E5139" t="s">
        <v>742</v>
      </c>
      <c r="F5139" t="s">
        <v>35</v>
      </c>
      <c r="G5139" t="s">
        <v>35</v>
      </c>
      <c r="H5139" t="s">
        <v>35</v>
      </c>
      <c r="J5139" t="s">
        <v>5658</v>
      </c>
      <c r="K5139" t="s">
        <v>1092</v>
      </c>
      <c r="M5139">
        <v>2.52</v>
      </c>
      <c r="N5139">
        <v>128</v>
      </c>
      <c r="O5139" t="s">
        <v>38</v>
      </c>
      <c r="Q5139" t="s">
        <v>98</v>
      </c>
      <c r="R5139" t="s">
        <v>730</v>
      </c>
      <c r="S5139" t="s">
        <v>731</v>
      </c>
      <c r="T5139" t="s">
        <v>732</v>
      </c>
    </row>
    <row r="5140" spans="1:20" x14ac:dyDescent="0.25">
      <c r="A5140" t="s">
        <v>30</v>
      </c>
      <c r="B5140" t="s">
        <v>31</v>
      </c>
      <c r="C5140" t="s">
        <v>32</v>
      </c>
      <c r="D5140" t="s">
        <v>719</v>
      </c>
      <c r="E5140" t="s">
        <v>742</v>
      </c>
      <c r="F5140" t="s">
        <v>35</v>
      </c>
      <c r="G5140" t="s">
        <v>35</v>
      </c>
      <c r="H5140" t="s">
        <v>35</v>
      </c>
      <c r="J5140" t="s">
        <v>5658</v>
      </c>
      <c r="K5140" t="s">
        <v>1092</v>
      </c>
      <c r="M5140">
        <v>7.92</v>
      </c>
      <c r="N5140">
        <v>42</v>
      </c>
      <c r="O5140" t="s">
        <v>52</v>
      </c>
      <c r="Q5140" t="s">
        <v>219</v>
      </c>
      <c r="R5140" t="s">
        <v>730</v>
      </c>
      <c r="S5140" t="s">
        <v>731</v>
      </c>
      <c r="T5140" t="s">
        <v>732</v>
      </c>
    </row>
    <row r="5141" spans="1:20" x14ac:dyDescent="0.25">
      <c r="A5141" t="s">
        <v>30</v>
      </c>
      <c r="B5141" t="s">
        <v>31</v>
      </c>
      <c r="C5141" t="s">
        <v>32</v>
      </c>
      <c r="D5141" t="s">
        <v>719</v>
      </c>
      <c r="E5141" t="s">
        <v>738</v>
      </c>
      <c r="F5141" t="s">
        <v>35</v>
      </c>
      <c r="G5141" t="s">
        <v>35</v>
      </c>
      <c r="H5141" t="s">
        <v>35</v>
      </c>
      <c r="J5141" t="s">
        <v>5584</v>
      </c>
      <c r="K5141" t="s">
        <v>1092</v>
      </c>
      <c r="M5141">
        <v>2.88</v>
      </c>
      <c r="N5141">
        <v>126</v>
      </c>
      <c r="O5141" t="s">
        <v>38</v>
      </c>
      <c r="Q5141" t="s">
        <v>68</v>
      </c>
      <c r="R5141" t="s">
        <v>730</v>
      </c>
      <c r="S5141" t="s">
        <v>731</v>
      </c>
      <c r="T5141" t="s">
        <v>732</v>
      </c>
    </row>
    <row r="5142" spans="1:20" x14ac:dyDescent="0.25">
      <c r="A5142" t="s">
        <v>30</v>
      </c>
      <c r="B5142" t="s">
        <v>31</v>
      </c>
      <c r="C5142" t="s">
        <v>32</v>
      </c>
      <c r="D5142" t="s">
        <v>719</v>
      </c>
      <c r="E5142" t="s">
        <v>738</v>
      </c>
      <c r="F5142" t="s">
        <v>35</v>
      </c>
      <c r="G5142" t="s">
        <v>35</v>
      </c>
      <c r="H5142" t="s">
        <v>35</v>
      </c>
      <c r="J5142" t="s">
        <v>5584</v>
      </c>
      <c r="K5142" t="s">
        <v>1092</v>
      </c>
      <c r="M5142">
        <v>5.5350000000000001</v>
      </c>
      <c r="N5142">
        <v>90</v>
      </c>
      <c r="O5142" t="s">
        <v>61</v>
      </c>
      <c r="Q5142" t="s">
        <v>557</v>
      </c>
      <c r="R5142" t="s">
        <v>730</v>
      </c>
      <c r="S5142" t="s">
        <v>731</v>
      </c>
      <c r="T5142" t="s">
        <v>732</v>
      </c>
    </row>
    <row r="5143" spans="1:20" x14ac:dyDescent="0.25">
      <c r="A5143" t="s">
        <v>59</v>
      </c>
      <c r="B5143" t="s">
        <v>60</v>
      </c>
      <c r="C5143" t="s">
        <v>32</v>
      </c>
      <c r="D5143" t="s">
        <v>719</v>
      </c>
      <c r="E5143" t="s">
        <v>5756</v>
      </c>
      <c r="F5143" t="s">
        <v>35</v>
      </c>
      <c r="G5143" t="s">
        <v>35</v>
      </c>
      <c r="H5143" t="s">
        <v>35</v>
      </c>
      <c r="J5143" t="s">
        <v>5776</v>
      </c>
      <c r="K5143" t="s">
        <v>1092</v>
      </c>
      <c r="M5143">
        <v>9.65</v>
      </c>
      <c r="N5143">
        <v>207</v>
      </c>
      <c r="O5143" t="s">
        <v>5</v>
      </c>
      <c r="Q5143" t="s">
        <v>537</v>
      </c>
      <c r="R5143" t="s">
        <v>730</v>
      </c>
      <c r="S5143" t="s">
        <v>731</v>
      </c>
      <c r="T5143" t="s">
        <v>732</v>
      </c>
    </row>
    <row r="5144" spans="1:20" x14ac:dyDescent="0.25">
      <c r="A5144" t="s">
        <v>59</v>
      </c>
      <c r="B5144" t="s">
        <v>60</v>
      </c>
      <c r="C5144" t="s">
        <v>32</v>
      </c>
      <c r="D5144" t="s">
        <v>719</v>
      </c>
      <c r="E5144" t="s">
        <v>742</v>
      </c>
      <c r="F5144" t="s">
        <v>35</v>
      </c>
      <c r="G5144" t="s">
        <v>35</v>
      </c>
      <c r="H5144" t="s">
        <v>35</v>
      </c>
      <c r="J5144" t="s">
        <v>5660</v>
      </c>
      <c r="K5144" t="s">
        <v>1092</v>
      </c>
      <c r="M5144">
        <v>0.7</v>
      </c>
      <c r="N5144">
        <v>207</v>
      </c>
      <c r="O5144" t="s">
        <v>5</v>
      </c>
      <c r="Q5144" t="s">
        <v>537</v>
      </c>
      <c r="R5144" t="s">
        <v>730</v>
      </c>
      <c r="S5144" t="s">
        <v>731</v>
      </c>
      <c r="T5144" t="s">
        <v>732</v>
      </c>
    </row>
    <row r="5145" spans="1:20" x14ac:dyDescent="0.25">
      <c r="A5145" t="s">
        <v>30</v>
      </c>
      <c r="B5145" t="s">
        <v>31</v>
      </c>
      <c r="C5145" t="s">
        <v>32</v>
      </c>
      <c r="D5145" t="s">
        <v>719</v>
      </c>
      <c r="E5145" t="s">
        <v>5782</v>
      </c>
      <c r="F5145" t="s">
        <v>35</v>
      </c>
      <c r="G5145" t="s">
        <v>35</v>
      </c>
      <c r="H5145" t="s">
        <v>35</v>
      </c>
      <c r="J5145" t="s">
        <v>5786</v>
      </c>
      <c r="K5145" t="s">
        <v>1092</v>
      </c>
      <c r="M5145">
        <v>11.025</v>
      </c>
      <c r="N5145">
        <v>90</v>
      </c>
      <c r="O5145" t="s">
        <v>61</v>
      </c>
      <c r="Q5145" t="s">
        <v>557</v>
      </c>
      <c r="R5145" t="s">
        <v>730</v>
      </c>
      <c r="S5145" t="s">
        <v>731</v>
      </c>
      <c r="T5145" t="s">
        <v>732</v>
      </c>
    </row>
    <row r="5146" spans="1:20" x14ac:dyDescent="0.25">
      <c r="A5146" t="s">
        <v>30</v>
      </c>
      <c r="B5146" t="s">
        <v>31</v>
      </c>
      <c r="C5146" t="s">
        <v>32</v>
      </c>
      <c r="D5146" t="s">
        <v>719</v>
      </c>
      <c r="E5146" t="s">
        <v>738</v>
      </c>
      <c r="F5146" t="s">
        <v>35</v>
      </c>
      <c r="G5146" t="s">
        <v>35</v>
      </c>
      <c r="H5146" t="s">
        <v>35</v>
      </c>
      <c r="J5146" t="s">
        <v>5589</v>
      </c>
      <c r="K5146" t="s">
        <v>1092</v>
      </c>
      <c r="M5146">
        <v>0.85499999999999998</v>
      </c>
      <c r="N5146">
        <v>126</v>
      </c>
      <c r="O5146" t="s">
        <v>38</v>
      </c>
      <c r="Q5146" t="s">
        <v>68</v>
      </c>
      <c r="R5146" t="s">
        <v>730</v>
      </c>
      <c r="S5146" t="s">
        <v>731</v>
      </c>
      <c r="T5146" t="s">
        <v>732</v>
      </c>
    </row>
    <row r="5147" spans="1:20" x14ac:dyDescent="0.25">
      <c r="A5147" t="s">
        <v>30</v>
      </c>
      <c r="B5147" t="s">
        <v>31</v>
      </c>
      <c r="C5147" t="s">
        <v>32</v>
      </c>
      <c r="D5147" t="s">
        <v>719</v>
      </c>
      <c r="E5147" t="s">
        <v>5756</v>
      </c>
      <c r="F5147" t="s">
        <v>35</v>
      </c>
      <c r="G5147" t="s">
        <v>35</v>
      </c>
      <c r="H5147" t="s">
        <v>35</v>
      </c>
      <c r="J5147" t="s">
        <v>5770</v>
      </c>
      <c r="K5147" t="s">
        <v>1092</v>
      </c>
      <c r="M5147">
        <v>3.51</v>
      </c>
      <c r="N5147">
        <v>126</v>
      </c>
      <c r="O5147" t="s">
        <v>38</v>
      </c>
      <c r="Q5147" t="s">
        <v>68</v>
      </c>
      <c r="R5147" t="s">
        <v>730</v>
      </c>
      <c r="S5147" t="s">
        <v>731</v>
      </c>
      <c r="T5147" t="s">
        <v>732</v>
      </c>
    </row>
    <row r="5148" spans="1:20" x14ac:dyDescent="0.25">
      <c r="A5148" t="s">
        <v>30</v>
      </c>
      <c r="B5148" t="s">
        <v>31</v>
      </c>
      <c r="C5148" t="s">
        <v>32</v>
      </c>
      <c r="D5148" t="s">
        <v>719</v>
      </c>
      <c r="E5148" t="s">
        <v>5497</v>
      </c>
      <c r="F5148" t="s">
        <v>35</v>
      </c>
      <c r="G5148" t="s">
        <v>35</v>
      </c>
      <c r="H5148" t="s">
        <v>35</v>
      </c>
      <c r="J5148" t="s">
        <v>5514</v>
      </c>
      <c r="K5148" t="s">
        <v>1092</v>
      </c>
      <c r="M5148">
        <v>0.54</v>
      </c>
      <c r="N5148">
        <v>42</v>
      </c>
      <c r="O5148" t="s">
        <v>52</v>
      </c>
      <c r="Q5148" t="s">
        <v>219</v>
      </c>
      <c r="R5148" t="s">
        <v>730</v>
      </c>
      <c r="S5148" t="s">
        <v>731</v>
      </c>
      <c r="T5148" t="s">
        <v>732</v>
      </c>
    </row>
    <row r="5149" spans="1:20" x14ac:dyDescent="0.25">
      <c r="A5149" t="s">
        <v>30</v>
      </c>
      <c r="B5149" t="s">
        <v>31</v>
      </c>
      <c r="C5149" t="s">
        <v>32</v>
      </c>
      <c r="D5149" t="s">
        <v>719</v>
      </c>
      <c r="E5149" t="s">
        <v>5497</v>
      </c>
      <c r="F5149" t="s">
        <v>35</v>
      </c>
      <c r="G5149" t="s">
        <v>35</v>
      </c>
      <c r="H5149" t="s">
        <v>35</v>
      </c>
      <c r="J5149" t="s">
        <v>5522</v>
      </c>
      <c r="K5149" t="s">
        <v>1092</v>
      </c>
      <c r="M5149">
        <v>5.4</v>
      </c>
      <c r="N5149">
        <v>62</v>
      </c>
      <c r="O5149" t="s">
        <v>61</v>
      </c>
      <c r="Q5149" t="s">
        <v>139</v>
      </c>
      <c r="R5149" t="s">
        <v>730</v>
      </c>
      <c r="S5149" t="s">
        <v>731</v>
      </c>
      <c r="T5149" t="s">
        <v>732</v>
      </c>
    </row>
    <row r="5150" spans="1:20" x14ac:dyDescent="0.25">
      <c r="A5150" t="s">
        <v>30</v>
      </c>
      <c r="B5150" t="s">
        <v>31</v>
      </c>
      <c r="C5150" t="s">
        <v>32</v>
      </c>
      <c r="D5150" t="s">
        <v>719</v>
      </c>
      <c r="E5150" t="s">
        <v>738</v>
      </c>
      <c r="F5150" t="s">
        <v>35</v>
      </c>
      <c r="G5150" t="s">
        <v>35</v>
      </c>
      <c r="H5150" t="s">
        <v>35</v>
      </c>
      <c r="J5150" t="s">
        <v>5618</v>
      </c>
      <c r="K5150" t="s">
        <v>1092</v>
      </c>
      <c r="M5150">
        <v>0.27</v>
      </c>
      <c r="N5150">
        <v>360</v>
      </c>
      <c r="O5150" t="s">
        <v>5</v>
      </c>
      <c r="Q5150" t="s">
        <v>3978</v>
      </c>
      <c r="R5150" t="s">
        <v>730</v>
      </c>
      <c r="S5150" t="s">
        <v>731</v>
      </c>
      <c r="T5150" t="s">
        <v>732</v>
      </c>
    </row>
    <row r="5151" spans="1:20" x14ac:dyDescent="0.25">
      <c r="A5151" t="s">
        <v>59</v>
      </c>
      <c r="B5151" t="s">
        <v>31</v>
      </c>
      <c r="C5151" t="s">
        <v>32</v>
      </c>
      <c r="D5151" t="s">
        <v>719</v>
      </c>
      <c r="E5151" t="s">
        <v>738</v>
      </c>
      <c r="F5151" t="s">
        <v>35</v>
      </c>
      <c r="G5151" t="s">
        <v>35</v>
      </c>
      <c r="H5151" t="s">
        <v>35</v>
      </c>
      <c r="J5151" t="s">
        <v>5609</v>
      </c>
      <c r="K5151" t="s">
        <v>1092</v>
      </c>
      <c r="M5151">
        <v>9.3149999999999995</v>
      </c>
      <c r="N5151">
        <v>191</v>
      </c>
      <c r="O5151" t="s">
        <v>5</v>
      </c>
      <c r="Q5151" t="s">
        <v>4086</v>
      </c>
      <c r="R5151" t="s">
        <v>730</v>
      </c>
      <c r="S5151" t="s">
        <v>731</v>
      </c>
      <c r="T5151" t="s">
        <v>732</v>
      </c>
    </row>
    <row r="5152" spans="1:20" x14ac:dyDescent="0.25">
      <c r="A5152" t="s">
        <v>59</v>
      </c>
      <c r="B5152" t="s">
        <v>31</v>
      </c>
      <c r="C5152" t="s">
        <v>32</v>
      </c>
      <c r="D5152" t="s">
        <v>719</v>
      </c>
      <c r="E5152" t="s">
        <v>742</v>
      </c>
      <c r="F5152" t="s">
        <v>35</v>
      </c>
      <c r="G5152" t="s">
        <v>35</v>
      </c>
      <c r="H5152" t="s">
        <v>35</v>
      </c>
      <c r="J5152" t="s">
        <v>5680</v>
      </c>
      <c r="K5152" t="s">
        <v>1092</v>
      </c>
      <c r="M5152">
        <v>4.4999999999999998E-2</v>
      </c>
      <c r="N5152">
        <v>90</v>
      </c>
      <c r="O5152" t="s">
        <v>61</v>
      </c>
      <c r="Q5152" t="s">
        <v>557</v>
      </c>
      <c r="R5152" t="s">
        <v>730</v>
      </c>
      <c r="S5152" t="s">
        <v>731</v>
      </c>
      <c r="T5152" t="s">
        <v>732</v>
      </c>
    </row>
    <row r="5153" spans="1:20" x14ac:dyDescent="0.25">
      <c r="A5153" t="s">
        <v>30</v>
      </c>
      <c r="B5153" t="s">
        <v>31</v>
      </c>
      <c r="C5153" t="s">
        <v>32</v>
      </c>
      <c r="D5153" t="s">
        <v>719</v>
      </c>
      <c r="E5153" t="s">
        <v>5459</v>
      </c>
      <c r="F5153" t="s">
        <v>35</v>
      </c>
      <c r="G5153" t="s">
        <v>35</v>
      </c>
      <c r="H5153" t="s">
        <v>35</v>
      </c>
      <c r="J5153" t="s">
        <v>5495</v>
      </c>
      <c r="K5153" t="s">
        <v>1092</v>
      </c>
      <c r="M5153">
        <v>3.8250000000000002</v>
      </c>
      <c r="N5153">
        <v>62</v>
      </c>
      <c r="O5153" t="s">
        <v>61</v>
      </c>
      <c r="Q5153" t="s">
        <v>139</v>
      </c>
      <c r="R5153" t="s">
        <v>730</v>
      </c>
      <c r="S5153" t="s">
        <v>731</v>
      </c>
      <c r="T5153" t="s">
        <v>732</v>
      </c>
    </row>
    <row r="5154" spans="1:20" x14ac:dyDescent="0.25">
      <c r="A5154" t="s">
        <v>30</v>
      </c>
      <c r="B5154" t="s">
        <v>31</v>
      </c>
      <c r="C5154" t="s">
        <v>32</v>
      </c>
      <c r="D5154" t="s">
        <v>719</v>
      </c>
      <c r="E5154" t="s">
        <v>5743</v>
      </c>
      <c r="F5154" t="s">
        <v>35</v>
      </c>
      <c r="G5154" t="s">
        <v>35</v>
      </c>
      <c r="H5154" t="s">
        <v>35</v>
      </c>
      <c r="J5154" t="s">
        <v>5750</v>
      </c>
      <c r="K5154" t="s">
        <v>1092</v>
      </c>
      <c r="M5154">
        <v>22.05</v>
      </c>
      <c r="N5154">
        <v>62</v>
      </c>
      <c r="O5154" t="s">
        <v>61</v>
      </c>
      <c r="Q5154" t="s">
        <v>139</v>
      </c>
      <c r="R5154" t="s">
        <v>730</v>
      </c>
      <c r="S5154" t="s">
        <v>731</v>
      </c>
      <c r="T5154" t="s">
        <v>732</v>
      </c>
    </row>
    <row r="5155" spans="1:20" x14ac:dyDescent="0.25">
      <c r="A5155" t="s">
        <v>30</v>
      </c>
      <c r="B5155" t="s">
        <v>31</v>
      </c>
      <c r="C5155" t="s">
        <v>32</v>
      </c>
      <c r="D5155" t="s">
        <v>719</v>
      </c>
      <c r="E5155" t="s">
        <v>5818</v>
      </c>
      <c r="F5155" t="s">
        <v>35</v>
      </c>
      <c r="G5155" t="s">
        <v>35</v>
      </c>
      <c r="H5155" t="s">
        <v>35</v>
      </c>
      <c r="J5155" t="s">
        <v>5835</v>
      </c>
      <c r="K5155" t="s">
        <v>1092</v>
      </c>
      <c r="M5155">
        <v>26.145</v>
      </c>
      <c r="N5155">
        <v>62</v>
      </c>
      <c r="O5155" t="s">
        <v>61</v>
      </c>
      <c r="Q5155" t="s">
        <v>139</v>
      </c>
      <c r="R5155" t="s">
        <v>730</v>
      </c>
      <c r="S5155" t="s">
        <v>731</v>
      </c>
      <c r="T5155" t="s">
        <v>732</v>
      </c>
    </row>
    <row r="5156" spans="1:20" x14ac:dyDescent="0.25">
      <c r="A5156" t="s">
        <v>30</v>
      </c>
      <c r="B5156" t="s">
        <v>31</v>
      </c>
      <c r="C5156" t="s">
        <v>32</v>
      </c>
      <c r="D5156" t="s">
        <v>719</v>
      </c>
      <c r="E5156" t="s">
        <v>5818</v>
      </c>
      <c r="F5156" t="s">
        <v>35</v>
      </c>
      <c r="G5156" t="s">
        <v>35</v>
      </c>
      <c r="H5156" t="s">
        <v>35</v>
      </c>
      <c r="J5156" t="s">
        <v>5835</v>
      </c>
      <c r="K5156" t="s">
        <v>1092</v>
      </c>
      <c r="M5156">
        <v>22.05</v>
      </c>
      <c r="N5156">
        <v>42</v>
      </c>
      <c r="O5156" t="s">
        <v>52</v>
      </c>
      <c r="Q5156" t="s">
        <v>219</v>
      </c>
      <c r="R5156" t="s">
        <v>730</v>
      </c>
      <c r="S5156" t="s">
        <v>731</v>
      </c>
      <c r="T5156" t="s">
        <v>732</v>
      </c>
    </row>
    <row r="5157" spans="1:20" x14ac:dyDescent="0.25">
      <c r="A5157" t="s">
        <v>30</v>
      </c>
      <c r="B5157" t="s">
        <v>31</v>
      </c>
      <c r="C5157" t="s">
        <v>32</v>
      </c>
      <c r="D5157" t="s">
        <v>719</v>
      </c>
      <c r="E5157" t="s">
        <v>738</v>
      </c>
      <c r="F5157" t="s">
        <v>35</v>
      </c>
      <c r="G5157" t="s">
        <v>35</v>
      </c>
      <c r="H5157" t="s">
        <v>35</v>
      </c>
      <c r="J5157" t="s">
        <v>5565</v>
      </c>
      <c r="K5157" t="s">
        <v>1092</v>
      </c>
      <c r="M5157">
        <v>10.305</v>
      </c>
      <c r="N5157">
        <v>86</v>
      </c>
      <c r="O5157" t="s">
        <v>61</v>
      </c>
      <c r="Q5157" t="s">
        <v>941</v>
      </c>
      <c r="R5157" t="s">
        <v>730</v>
      </c>
      <c r="S5157" t="s">
        <v>731</v>
      </c>
      <c r="T5157" t="s">
        <v>732</v>
      </c>
    </row>
    <row r="5158" spans="1:20" x14ac:dyDescent="0.25">
      <c r="A5158" t="s">
        <v>30</v>
      </c>
      <c r="B5158" t="s">
        <v>31</v>
      </c>
      <c r="C5158" t="s">
        <v>32</v>
      </c>
      <c r="D5158" t="s">
        <v>719</v>
      </c>
      <c r="E5158" t="s">
        <v>738</v>
      </c>
      <c r="F5158" t="s">
        <v>35</v>
      </c>
      <c r="G5158" t="s">
        <v>35</v>
      </c>
      <c r="H5158" t="s">
        <v>35</v>
      </c>
      <c r="J5158" t="s">
        <v>5565</v>
      </c>
      <c r="K5158" t="s">
        <v>1092</v>
      </c>
      <c r="M5158">
        <v>11.025</v>
      </c>
      <c r="N5158">
        <v>42</v>
      </c>
      <c r="O5158" t="s">
        <v>52</v>
      </c>
      <c r="Q5158" t="s">
        <v>219</v>
      </c>
      <c r="R5158" t="s">
        <v>730</v>
      </c>
      <c r="S5158" t="s">
        <v>731</v>
      </c>
      <c r="T5158" t="s">
        <v>732</v>
      </c>
    </row>
    <row r="5159" spans="1:20" x14ac:dyDescent="0.25">
      <c r="A5159" t="s">
        <v>44</v>
      </c>
      <c r="B5159" t="s">
        <v>51</v>
      </c>
      <c r="C5159" t="s">
        <v>32</v>
      </c>
      <c r="D5159" t="s">
        <v>719</v>
      </c>
      <c r="E5159" t="s">
        <v>742</v>
      </c>
      <c r="F5159" t="s">
        <v>35</v>
      </c>
      <c r="G5159" t="s">
        <v>35</v>
      </c>
      <c r="H5159" t="s">
        <v>35</v>
      </c>
      <c r="J5159" t="s">
        <v>5648</v>
      </c>
      <c r="K5159" t="s">
        <v>1092</v>
      </c>
      <c r="M5159">
        <v>23.35</v>
      </c>
      <c r="N5159">
        <v>42</v>
      </c>
      <c r="O5159" t="s">
        <v>52</v>
      </c>
      <c r="Q5159" t="s">
        <v>219</v>
      </c>
      <c r="R5159" t="s">
        <v>730</v>
      </c>
      <c r="S5159" t="s">
        <v>731</v>
      </c>
      <c r="T5159" t="s">
        <v>732</v>
      </c>
    </row>
    <row r="5160" spans="1:20" x14ac:dyDescent="0.25">
      <c r="A5160" t="s">
        <v>44</v>
      </c>
      <c r="B5160" t="s">
        <v>51</v>
      </c>
      <c r="C5160" t="s">
        <v>32</v>
      </c>
      <c r="D5160" t="s">
        <v>719</v>
      </c>
      <c r="E5160" t="s">
        <v>738</v>
      </c>
      <c r="F5160" t="s">
        <v>35</v>
      </c>
      <c r="G5160" t="s">
        <v>35</v>
      </c>
      <c r="H5160" t="s">
        <v>35</v>
      </c>
      <c r="J5160" t="s">
        <v>5575</v>
      </c>
      <c r="K5160" t="s">
        <v>1092</v>
      </c>
      <c r="M5160">
        <v>11</v>
      </c>
      <c r="N5160">
        <v>74</v>
      </c>
      <c r="O5160" t="s">
        <v>61</v>
      </c>
      <c r="Q5160" t="s">
        <v>527</v>
      </c>
      <c r="R5160" t="s">
        <v>730</v>
      </c>
      <c r="S5160" t="s">
        <v>731</v>
      </c>
      <c r="T5160" t="s">
        <v>732</v>
      </c>
    </row>
    <row r="5161" spans="1:20" x14ac:dyDescent="0.25">
      <c r="A5161" t="s">
        <v>30</v>
      </c>
      <c r="B5161" t="s">
        <v>31</v>
      </c>
      <c r="C5161" t="s">
        <v>32</v>
      </c>
      <c r="D5161" t="s">
        <v>719</v>
      </c>
      <c r="E5161" t="s">
        <v>5459</v>
      </c>
      <c r="F5161" t="s">
        <v>35</v>
      </c>
      <c r="G5161" t="s">
        <v>35</v>
      </c>
      <c r="H5161" t="s">
        <v>35</v>
      </c>
      <c r="J5161" t="s">
        <v>5463</v>
      </c>
      <c r="K5161" t="s">
        <v>1092</v>
      </c>
      <c r="M5161">
        <v>6.165</v>
      </c>
      <c r="N5161">
        <v>42</v>
      </c>
      <c r="O5161" t="s">
        <v>52</v>
      </c>
      <c r="Q5161" t="s">
        <v>219</v>
      </c>
      <c r="R5161" t="s">
        <v>730</v>
      </c>
      <c r="S5161" t="s">
        <v>731</v>
      </c>
      <c r="T5161" t="s">
        <v>732</v>
      </c>
    </row>
    <row r="5162" spans="1:20" x14ac:dyDescent="0.25">
      <c r="A5162" t="s">
        <v>30</v>
      </c>
      <c r="B5162" t="s">
        <v>31</v>
      </c>
      <c r="C5162" t="s">
        <v>32</v>
      </c>
      <c r="D5162" t="s">
        <v>719</v>
      </c>
      <c r="E5162" t="s">
        <v>742</v>
      </c>
      <c r="F5162" t="s">
        <v>35</v>
      </c>
      <c r="G5162" t="s">
        <v>35</v>
      </c>
      <c r="H5162" t="s">
        <v>35</v>
      </c>
      <c r="J5162" t="s">
        <v>5671</v>
      </c>
      <c r="K5162" t="s">
        <v>1092</v>
      </c>
      <c r="M5162">
        <v>8.5950000000000006</v>
      </c>
      <c r="N5162">
        <v>148</v>
      </c>
      <c r="O5162" t="s">
        <v>38</v>
      </c>
      <c r="Q5162" t="s">
        <v>3942</v>
      </c>
      <c r="R5162" t="s">
        <v>730</v>
      </c>
      <c r="S5162" t="s">
        <v>731</v>
      </c>
      <c r="T5162" t="s">
        <v>732</v>
      </c>
    </row>
    <row r="5163" spans="1:20" x14ac:dyDescent="0.25">
      <c r="A5163" t="s">
        <v>30</v>
      </c>
      <c r="B5163" t="s">
        <v>31</v>
      </c>
      <c r="C5163" t="s">
        <v>32</v>
      </c>
      <c r="D5163" t="s">
        <v>719</v>
      </c>
      <c r="E5163" t="s">
        <v>733</v>
      </c>
      <c r="F5163" t="s">
        <v>35</v>
      </c>
      <c r="G5163" t="s">
        <v>35</v>
      </c>
      <c r="H5163" t="s">
        <v>35</v>
      </c>
      <c r="J5163" t="s">
        <v>5536</v>
      </c>
      <c r="K5163" t="s">
        <v>1092</v>
      </c>
      <c r="M5163">
        <v>2.7</v>
      </c>
      <c r="N5163">
        <v>163</v>
      </c>
      <c r="O5163" t="s">
        <v>38</v>
      </c>
      <c r="Q5163" t="s">
        <v>2780</v>
      </c>
      <c r="R5163" t="s">
        <v>730</v>
      </c>
      <c r="S5163" t="s">
        <v>731</v>
      </c>
      <c r="T5163" t="s">
        <v>732</v>
      </c>
    </row>
    <row r="5164" spans="1:20" x14ac:dyDescent="0.25">
      <c r="A5164" t="s">
        <v>30</v>
      </c>
      <c r="B5164" t="s">
        <v>31</v>
      </c>
      <c r="C5164" t="s">
        <v>32</v>
      </c>
      <c r="D5164" t="s">
        <v>719</v>
      </c>
      <c r="E5164" t="s">
        <v>733</v>
      </c>
      <c r="F5164" t="s">
        <v>35</v>
      </c>
      <c r="G5164" t="s">
        <v>35</v>
      </c>
      <c r="H5164" t="s">
        <v>35</v>
      </c>
      <c r="J5164" t="s">
        <v>5536</v>
      </c>
      <c r="K5164" t="s">
        <v>1092</v>
      </c>
      <c r="M5164">
        <v>11.025</v>
      </c>
      <c r="N5164">
        <v>42</v>
      </c>
      <c r="O5164" t="s">
        <v>52</v>
      </c>
      <c r="Q5164" t="s">
        <v>219</v>
      </c>
      <c r="R5164" t="s">
        <v>730</v>
      </c>
      <c r="S5164" t="s">
        <v>731</v>
      </c>
      <c r="T5164" t="s">
        <v>732</v>
      </c>
    </row>
    <row r="5165" spans="1:20" x14ac:dyDescent="0.25">
      <c r="A5165" t="s">
        <v>30</v>
      </c>
      <c r="B5165" t="s">
        <v>31</v>
      </c>
      <c r="C5165" t="s">
        <v>32</v>
      </c>
      <c r="D5165" t="s">
        <v>719</v>
      </c>
      <c r="E5165" t="s">
        <v>738</v>
      </c>
      <c r="F5165" t="s">
        <v>35</v>
      </c>
      <c r="G5165" t="s">
        <v>35</v>
      </c>
      <c r="H5165" t="s">
        <v>35</v>
      </c>
      <c r="J5165" t="s">
        <v>5634</v>
      </c>
      <c r="K5165" t="s">
        <v>1092</v>
      </c>
      <c r="M5165">
        <v>8.19</v>
      </c>
      <c r="N5165">
        <v>289</v>
      </c>
      <c r="O5165" t="s">
        <v>5</v>
      </c>
      <c r="Q5165" t="s">
        <v>4253</v>
      </c>
      <c r="R5165" t="s">
        <v>730</v>
      </c>
      <c r="S5165" t="s">
        <v>731</v>
      </c>
      <c r="T5165" t="s">
        <v>732</v>
      </c>
    </row>
    <row r="5166" spans="1:20" x14ac:dyDescent="0.25">
      <c r="A5166" t="s">
        <v>59</v>
      </c>
      <c r="B5166" t="s">
        <v>60</v>
      </c>
      <c r="C5166" t="s">
        <v>32</v>
      </c>
      <c r="D5166" t="s">
        <v>719</v>
      </c>
      <c r="E5166" t="s">
        <v>720</v>
      </c>
      <c r="F5166" t="s">
        <v>35</v>
      </c>
      <c r="G5166" t="s">
        <v>35</v>
      </c>
      <c r="H5166" t="s">
        <v>35</v>
      </c>
      <c r="J5166" t="s">
        <v>728</v>
      </c>
      <c r="K5166" t="s">
        <v>37</v>
      </c>
      <c r="M5166">
        <v>7</v>
      </c>
      <c r="N5166">
        <v>207</v>
      </c>
      <c r="O5166" t="s">
        <v>5</v>
      </c>
      <c r="P5166" t="s">
        <v>729</v>
      </c>
      <c r="Q5166" t="s">
        <v>537</v>
      </c>
      <c r="R5166" t="s">
        <v>730</v>
      </c>
      <c r="S5166" t="s">
        <v>731</v>
      </c>
      <c r="T5166" t="s">
        <v>732</v>
      </c>
    </row>
    <row r="5167" spans="1:20" x14ac:dyDescent="0.25">
      <c r="A5167" t="s">
        <v>30</v>
      </c>
      <c r="B5167" t="s">
        <v>31</v>
      </c>
      <c r="C5167" t="s">
        <v>32</v>
      </c>
      <c r="D5167" t="s">
        <v>719</v>
      </c>
      <c r="E5167" t="s">
        <v>5497</v>
      </c>
      <c r="F5167" t="s">
        <v>35</v>
      </c>
      <c r="G5167" t="s">
        <v>35</v>
      </c>
      <c r="H5167" t="s">
        <v>35</v>
      </c>
      <c r="J5167" t="s">
        <v>5515</v>
      </c>
      <c r="K5167" t="s">
        <v>1092</v>
      </c>
      <c r="M5167">
        <v>5.625</v>
      </c>
      <c r="N5167">
        <v>62</v>
      </c>
      <c r="O5167" t="s">
        <v>61</v>
      </c>
      <c r="Q5167" t="s">
        <v>139</v>
      </c>
      <c r="R5167" t="s">
        <v>730</v>
      </c>
      <c r="S5167" t="s">
        <v>731</v>
      </c>
      <c r="T5167" t="s">
        <v>732</v>
      </c>
    </row>
    <row r="5168" spans="1:20" x14ac:dyDescent="0.25">
      <c r="A5168" t="s">
        <v>30</v>
      </c>
      <c r="B5168" t="s">
        <v>31</v>
      </c>
      <c r="C5168" t="s">
        <v>32</v>
      </c>
      <c r="D5168" t="s">
        <v>719</v>
      </c>
      <c r="E5168" t="s">
        <v>5756</v>
      </c>
      <c r="F5168" t="s">
        <v>35</v>
      </c>
      <c r="G5168" t="s">
        <v>35</v>
      </c>
      <c r="H5168" t="s">
        <v>35</v>
      </c>
      <c r="J5168" t="s">
        <v>5771</v>
      </c>
      <c r="K5168" t="s">
        <v>1092</v>
      </c>
      <c r="M5168">
        <v>4.5</v>
      </c>
      <c r="N5168">
        <v>496</v>
      </c>
      <c r="O5168" t="s">
        <v>294</v>
      </c>
      <c r="Q5168" t="s">
        <v>3139</v>
      </c>
      <c r="R5168" t="s">
        <v>730</v>
      </c>
      <c r="S5168" t="s">
        <v>731</v>
      </c>
      <c r="T5168" t="s">
        <v>732</v>
      </c>
    </row>
    <row r="5169" spans="1:20" x14ac:dyDescent="0.25">
      <c r="A5169" t="s">
        <v>30</v>
      </c>
      <c r="B5169" t="s">
        <v>31</v>
      </c>
      <c r="C5169" t="s">
        <v>32</v>
      </c>
      <c r="D5169" t="s">
        <v>719</v>
      </c>
      <c r="E5169" t="s">
        <v>720</v>
      </c>
      <c r="F5169" t="s">
        <v>35</v>
      </c>
      <c r="G5169" t="s">
        <v>35</v>
      </c>
      <c r="H5169" t="s">
        <v>35</v>
      </c>
      <c r="J5169" t="s">
        <v>5434</v>
      </c>
      <c r="K5169" t="s">
        <v>1092</v>
      </c>
      <c r="M5169">
        <v>3.915</v>
      </c>
      <c r="N5169">
        <v>88</v>
      </c>
      <c r="O5169" t="s">
        <v>61</v>
      </c>
      <c r="Q5169" t="s">
        <v>724</v>
      </c>
      <c r="R5169" t="s">
        <v>730</v>
      </c>
      <c r="S5169" t="s">
        <v>731</v>
      </c>
      <c r="T5169" t="s">
        <v>732</v>
      </c>
    </row>
    <row r="5170" spans="1:20" x14ac:dyDescent="0.25">
      <c r="A5170" t="s">
        <v>30</v>
      </c>
      <c r="B5170" t="s">
        <v>31</v>
      </c>
      <c r="C5170" t="s">
        <v>32</v>
      </c>
      <c r="D5170" t="s">
        <v>719</v>
      </c>
      <c r="E5170" t="s">
        <v>720</v>
      </c>
      <c r="F5170" t="s">
        <v>35</v>
      </c>
      <c r="G5170" t="s">
        <v>35</v>
      </c>
      <c r="H5170" t="s">
        <v>35</v>
      </c>
      <c r="J5170" t="s">
        <v>5442</v>
      </c>
      <c r="K5170" t="s">
        <v>1092</v>
      </c>
      <c r="M5170">
        <v>6.0750000000000002</v>
      </c>
      <c r="N5170">
        <v>90</v>
      </c>
      <c r="O5170" t="s">
        <v>61</v>
      </c>
      <c r="Q5170" t="s">
        <v>557</v>
      </c>
      <c r="R5170" t="s">
        <v>730</v>
      </c>
      <c r="S5170" t="s">
        <v>731</v>
      </c>
      <c r="T5170" t="s">
        <v>732</v>
      </c>
    </row>
    <row r="5171" spans="1:20" x14ac:dyDescent="0.25">
      <c r="A5171" t="s">
        <v>30</v>
      </c>
      <c r="B5171" t="s">
        <v>31</v>
      </c>
      <c r="C5171" t="s">
        <v>32</v>
      </c>
      <c r="D5171" t="s">
        <v>719</v>
      </c>
      <c r="E5171" t="s">
        <v>5459</v>
      </c>
      <c r="F5171" t="s">
        <v>35</v>
      </c>
      <c r="G5171" t="s">
        <v>35</v>
      </c>
      <c r="H5171" t="s">
        <v>35</v>
      </c>
      <c r="J5171" t="s">
        <v>5496</v>
      </c>
      <c r="K5171" t="s">
        <v>1092</v>
      </c>
      <c r="M5171">
        <v>7.56</v>
      </c>
      <c r="N5171">
        <v>17</v>
      </c>
      <c r="O5171" t="s">
        <v>46</v>
      </c>
      <c r="Q5171" t="s">
        <v>255</v>
      </c>
      <c r="R5171" t="s">
        <v>730</v>
      </c>
      <c r="S5171" t="s">
        <v>731</v>
      </c>
      <c r="T5171" t="s">
        <v>732</v>
      </c>
    </row>
    <row r="5172" spans="1:20" x14ac:dyDescent="0.25">
      <c r="A5172" t="s">
        <v>30</v>
      </c>
      <c r="B5172" t="s">
        <v>31</v>
      </c>
      <c r="C5172" t="s">
        <v>32</v>
      </c>
      <c r="D5172" t="s">
        <v>719</v>
      </c>
      <c r="E5172" t="s">
        <v>720</v>
      </c>
      <c r="F5172" t="s">
        <v>35</v>
      </c>
      <c r="G5172" t="s">
        <v>35</v>
      </c>
      <c r="H5172" t="s">
        <v>35</v>
      </c>
      <c r="J5172" t="s">
        <v>5435</v>
      </c>
      <c r="K5172" t="s">
        <v>1092</v>
      </c>
      <c r="M5172">
        <v>9.1349999999999998</v>
      </c>
      <c r="N5172">
        <v>126</v>
      </c>
      <c r="O5172" t="s">
        <v>38</v>
      </c>
      <c r="Q5172" t="s">
        <v>68</v>
      </c>
      <c r="R5172" t="s">
        <v>730</v>
      </c>
      <c r="S5172" t="s">
        <v>731</v>
      </c>
      <c r="T5172" t="s">
        <v>732</v>
      </c>
    </row>
    <row r="5173" spans="1:20" x14ac:dyDescent="0.25">
      <c r="A5173" t="s">
        <v>30</v>
      </c>
      <c r="B5173" t="s">
        <v>31</v>
      </c>
      <c r="C5173" t="s">
        <v>32</v>
      </c>
      <c r="D5173" t="s">
        <v>719</v>
      </c>
      <c r="E5173" t="s">
        <v>5701</v>
      </c>
      <c r="F5173" t="s">
        <v>35</v>
      </c>
      <c r="G5173" t="s">
        <v>35</v>
      </c>
      <c r="H5173" t="s">
        <v>35</v>
      </c>
      <c r="J5173" t="s">
        <v>5708</v>
      </c>
      <c r="K5173" t="s">
        <v>1092</v>
      </c>
      <c r="M5173">
        <v>10.395</v>
      </c>
      <c r="N5173">
        <v>42</v>
      </c>
      <c r="O5173" t="s">
        <v>52</v>
      </c>
      <c r="Q5173" t="s">
        <v>219</v>
      </c>
      <c r="R5173" t="s">
        <v>730</v>
      </c>
      <c r="S5173" t="s">
        <v>731</v>
      </c>
      <c r="T5173" t="s">
        <v>732</v>
      </c>
    </row>
    <row r="5174" spans="1:20" x14ac:dyDescent="0.25">
      <c r="A5174" t="s">
        <v>30</v>
      </c>
      <c r="B5174" t="s">
        <v>31</v>
      </c>
      <c r="C5174" t="s">
        <v>32</v>
      </c>
      <c r="D5174" t="s">
        <v>719</v>
      </c>
      <c r="E5174" t="s">
        <v>5701</v>
      </c>
      <c r="F5174" t="s">
        <v>35</v>
      </c>
      <c r="G5174" t="s">
        <v>35</v>
      </c>
      <c r="H5174" t="s">
        <v>35</v>
      </c>
      <c r="J5174" t="s">
        <v>5716</v>
      </c>
      <c r="K5174" t="s">
        <v>1092</v>
      </c>
      <c r="M5174">
        <v>0.27</v>
      </c>
      <c r="N5174">
        <v>42</v>
      </c>
      <c r="O5174" t="s">
        <v>52</v>
      </c>
      <c r="Q5174" t="s">
        <v>219</v>
      </c>
      <c r="R5174" t="s">
        <v>730</v>
      </c>
      <c r="S5174" t="s">
        <v>731</v>
      </c>
      <c r="T5174" t="s">
        <v>732</v>
      </c>
    </row>
    <row r="5175" spans="1:20" x14ac:dyDescent="0.25">
      <c r="A5175" t="s">
        <v>30</v>
      </c>
      <c r="B5175" t="s">
        <v>31</v>
      </c>
      <c r="C5175" t="s">
        <v>32</v>
      </c>
      <c r="D5175" t="s">
        <v>719</v>
      </c>
      <c r="E5175" t="s">
        <v>738</v>
      </c>
      <c r="F5175" t="s">
        <v>35</v>
      </c>
      <c r="G5175" t="s">
        <v>35</v>
      </c>
      <c r="H5175" t="s">
        <v>35</v>
      </c>
      <c r="J5175" t="s">
        <v>5549</v>
      </c>
      <c r="K5175" t="s">
        <v>1092</v>
      </c>
      <c r="M5175">
        <v>10.845000000000001</v>
      </c>
      <c r="N5175">
        <v>42</v>
      </c>
      <c r="O5175" t="s">
        <v>52</v>
      </c>
      <c r="Q5175" t="s">
        <v>219</v>
      </c>
      <c r="R5175" t="s">
        <v>730</v>
      </c>
      <c r="S5175" t="s">
        <v>731</v>
      </c>
      <c r="T5175" t="s">
        <v>732</v>
      </c>
    </row>
    <row r="5176" spans="1:20" x14ac:dyDescent="0.25">
      <c r="A5176" t="s">
        <v>44</v>
      </c>
      <c r="B5176" t="s">
        <v>51</v>
      </c>
      <c r="C5176" t="s">
        <v>32</v>
      </c>
      <c r="D5176" t="s">
        <v>719</v>
      </c>
      <c r="E5176" t="s">
        <v>738</v>
      </c>
      <c r="F5176" t="s">
        <v>35</v>
      </c>
      <c r="G5176" t="s">
        <v>35</v>
      </c>
      <c r="H5176" t="s">
        <v>35</v>
      </c>
      <c r="J5176" t="s">
        <v>5549</v>
      </c>
      <c r="K5176" t="s">
        <v>1092</v>
      </c>
      <c r="M5176">
        <v>0.45</v>
      </c>
      <c r="N5176">
        <v>51</v>
      </c>
      <c r="O5176" t="s">
        <v>52</v>
      </c>
      <c r="Q5176" t="s">
        <v>58</v>
      </c>
      <c r="R5176" t="s">
        <v>730</v>
      </c>
      <c r="S5176" t="s">
        <v>731</v>
      </c>
      <c r="T5176" t="s">
        <v>732</v>
      </c>
    </row>
    <row r="5177" spans="1:20" x14ac:dyDescent="0.25">
      <c r="A5177" t="s">
        <v>30</v>
      </c>
      <c r="B5177" t="s">
        <v>31</v>
      </c>
      <c r="C5177" t="s">
        <v>32</v>
      </c>
      <c r="D5177" t="s">
        <v>719</v>
      </c>
      <c r="E5177" t="s">
        <v>742</v>
      </c>
      <c r="F5177" t="s">
        <v>35</v>
      </c>
      <c r="G5177" t="s">
        <v>35</v>
      </c>
      <c r="H5177" t="s">
        <v>35</v>
      </c>
      <c r="J5177" t="s">
        <v>5643</v>
      </c>
      <c r="K5177" t="s">
        <v>1092</v>
      </c>
      <c r="M5177">
        <v>20.52</v>
      </c>
      <c r="N5177">
        <v>42</v>
      </c>
      <c r="O5177" t="s">
        <v>52</v>
      </c>
      <c r="Q5177" t="s">
        <v>219</v>
      </c>
      <c r="R5177" t="s">
        <v>730</v>
      </c>
      <c r="S5177" t="s">
        <v>731</v>
      </c>
      <c r="T5177" t="s">
        <v>732</v>
      </c>
    </row>
    <row r="5178" spans="1:20" x14ac:dyDescent="0.25">
      <c r="A5178" t="s">
        <v>59</v>
      </c>
      <c r="B5178" t="s">
        <v>60</v>
      </c>
      <c r="C5178" t="s">
        <v>32</v>
      </c>
      <c r="D5178" t="s">
        <v>719</v>
      </c>
      <c r="E5178" t="s">
        <v>742</v>
      </c>
      <c r="F5178" t="s">
        <v>35</v>
      </c>
      <c r="G5178" t="s">
        <v>35</v>
      </c>
      <c r="H5178" t="s">
        <v>35</v>
      </c>
      <c r="J5178" t="s">
        <v>5643</v>
      </c>
      <c r="K5178" t="s">
        <v>1092</v>
      </c>
      <c r="M5178">
        <v>4</v>
      </c>
      <c r="N5178">
        <v>134</v>
      </c>
      <c r="O5178" t="s">
        <v>38</v>
      </c>
      <c r="Q5178" t="s">
        <v>1822</v>
      </c>
      <c r="R5178" t="s">
        <v>730</v>
      </c>
      <c r="S5178" t="s">
        <v>731</v>
      </c>
      <c r="T5178" t="s">
        <v>732</v>
      </c>
    </row>
    <row r="5179" spans="1:20" x14ac:dyDescent="0.25">
      <c r="A5179" t="s">
        <v>59</v>
      </c>
      <c r="B5179" t="s">
        <v>31</v>
      </c>
      <c r="C5179" t="s">
        <v>32</v>
      </c>
      <c r="D5179" t="s">
        <v>719</v>
      </c>
      <c r="E5179" t="s">
        <v>742</v>
      </c>
      <c r="F5179" t="s">
        <v>35</v>
      </c>
      <c r="G5179" t="s">
        <v>35</v>
      </c>
      <c r="H5179" t="s">
        <v>35</v>
      </c>
      <c r="J5179" t="s">
        <v>5643</v>
      </c>
      <c r="K5179" t="s">
        <v>1092</v>
      </c>
      <c r="M5179">
        <v>5.31</v>
      </c>
      <c r="N5179">
        <v>134</v>
      </c>
      <c r="O5179" t="s">
        <v>38</v>
      </c>
      <c r="Q5179" t="s">
        <v>1822</v>
      </c>
      <c r="R5179" t="s">
        <v>730</v>
      </c>
      <c r="S5179" t="s">
        <v>731</v>
      </c>
      <c r="T5179" t="s">
        <v>732</v>
      </c>
    </row>
    <row r="5180" spans="1:20" x14ac:dyDescent="0.25">
      <c r="A5180" t="s">
        <v>44</v>
      </c>
      <c r="B5180" t="s">
        <v>51</v>
      </c>
      <c r="C5180" t="s">
        <v>32</v>
      </c>
      <c r="D5180" t="s">
        <v>719</v>
      </c>
      <c r="E5180" t="s">
        <v>5683</v>
      </c>
      <c r="F5180" t="s">
        <v>35</v>
      </c>
      <c r="G5180" t="s">
        <v>35</v>
      </c>
      <c r="H5180" t="s">
        <v>35</v>
      </c>
      <c r="J5180" t="s">
        <v>5689</v>
      </c>
      <c r="K5180" t="s">
        <v>1092</v>
      </c>
      <c r="M5180">
        <v>3</v>
      </c>
      <c r="N5180">
        <v>5</v>
      </c>
      <c r="O5180" t="s">
        <v>46</v>
      </c>
      <c r="Q5180" t="s">
        <v>1865</v>
      </c>
      <c r="R5180" t="s">
        <v>730</v>
      </c>
      <c r="S5180" t="s">
        <v>731</v>
      </c>
      <c r="T5180" t="s">
        <v>732</v>
      </c>
    </row>
    <row r="5181" spans="1:20" x14ac:dyDescent="0.25">
      <c r="A5181" t="s">
        <v>44</v>
      </c>
      <c r="B5181" t="s">
        <v>51</v>
      </c>
      <c r="C5181" t="s">
        <v>32</v>
      </c>
      <c r="D5181" t="s">
        <v>719</v>
      </c>
      <c r="E5181" t="s">
        <v>742</v>
      </c>
      <c r="F5181" t="s">
        <v>35</v>
      </c>
      <c r="G5181" t="s">
        <v>35</v>
      </c>
      <c r="H5181" t="s">
        <v>35</v>
      </c>
      <c r="J5181" t="s">
        <v>5653</v>
      </c>
      <c r="K5181" t="s">
        <v>1092</v>
      </c>
      <c r="M5181">
        <v>0.4</v>
      </c>
      <c r="N5181">
        <v>51</v>
      </c>
      <c r="O5181" t="s">
        <v>52</v>
      </c>
      <c r="Q5181" t="s">
        <v>58</v>
      </c>
      <c r="R5181" t="s">
        <v>730</v>
      </c>
      <c r="S5181" t="s">
        <v>731</v>
      </c>
      <c r="T5181" t="s">
        <v>732</v>
      </c>
    </row>
    <row r="5182" spans="1:20" x14ac:dyDescent="0.25">
      <c r="A5182" t="s">
        <v>30</v>
      </c>
      <c r="B5182" t="s">
        <v>31</v>
      </c>
      <c r="C5182" t="s">
        <v>32</v>
      </c>
      <c r="D5182" t="s">
        <v>719</v>
      </c>
      <c r="E5182" t="s">
        <v>5756</v>
      </c>
      <c r="F5182" t="s">
        <v>35</v>
      </c>
      <c r="G5182" t="s">
        <v>35</v>
      </c>
      <c r="H5182" t="s">
        <v>35</v>
      </c>
      <c r="J5182" t="s">
        <v>5764</v>
      </c>
      <c r="K5182" t="s">
        <v>1092</v>
      </c>
      <c r="M5182">
        <v>2.97</v>
      </c>
      <c r="N5182">
        <v>62</v>
      </c>
      <c r="O5182" t="s">
        <v>61</v>
      </c>
      <c r="Q5182" t="s">
        <v>139</v>
      </c>
      <c r="R5182" t="s">
        <v>730</v>
      </c>
      <c r="S5182" t="s">
        <v>731</v>
      </c>
      <c r="T5182" t="s">
        <v>732</v>
      </c>
    </row>
    <row r="5183" spans="1:20" x14ac:dyDescent="0.25">
      <c r="A5183" t="s">
        <v>30</v>
      </c>
      <c r="B5183" t="s">
        <v>31</v>
      </c>
      <c r="C5183" t="s">
        <v>32</v>
      </c>
      <c r="D5183" t="s">
        <v>719</v>
      </c>
      <c r="E5183" t="s">
        <v>5497</v>
      </c>
      <c r="F5183" t="s">
        <v>35</v>
      </c>
      <c r="G5183" t="s">
        <v>35</v>
      </c>
      <c r="H5183" t="s">
        <v>35</v>
      </c>
      <c r="J5183" t="s">
        <v>5521</v>
      </c>
      <c r="K5183" t="s">
        <v>1092</v>
      </c>
      <c r="M5183">
        <v>5.625</v>
      </c>
      <c r="N5183">
        <v>62</v>
      </c>
      <c r="O5183" t="s">
        <v>61</v>
      </c>
      <c r="Q5183" t="s">
        <v>139</v>
      </c>
      <c r="R5183" t="s">
        <v>730</v>
      </c>
      <c r="S5183" t="s">
        <v>731</v>
      </c>
      <c r="T5183" t="s">
        <v>732</v>
      </c>
    </row>
    <row r="5184" spans="1:20" x14ac:dyDescent="0.25">
      <c r="A5184" t="s">
        <v>30</v>
      </c>
      <c r="B5184" t="s">
        <v>31</v>
      </c>
      <c r="C5184" t="s">
        <v>32</v>
      </c>
      <c r="D5184" t="s">
        <v>719</v>
      </c>
      <c r="E5184" t="s">
        <v>5497</v>
      </c>
      <c r="F5184" t="s">
        <v>35</v>
      </c>
      <c r="G5184" t="s">
        <v>35</v>
      </c>
      <c r="H5184" t="s">
        <v>35</v>
      </c>
      <c r="J5184" t="s">
        <v>5533</v>
      </c>
      <c r="K5184" t="s">
        <v>1092</v>
      </c>
      <c r="M5184">
        <v>4.9050000000000002</v>
      </c>
      <c r="N5184">
        <v>42</v>
      </c>
      <c r="O5184" t="s">
        <v>52</v>
      </c>
      <c r="Q5184" t="s">
        <v>219</v>
      </c>
      <c r="R5184" t="s">
        <v>730</v>
      </c>
      <c r="S5184" t="s">
        <v>731</v>
      </c>
      <c r="T5184" t="s">
        <v>732</v>
      </c>
    </row>
    <row r="5185" spans="1:20" x14ac:dyDescent="0.25">
      <c r="A5185" t="s">
        <v>30</v>
      </c>
      <c r="B5185" t="s">
        <v>31</v>
      </c>
      <c r="C5185" t="s">
        <v>32</v>
      </c>
      <c r="D5185" t="s">
        <v>719</v>
      </c>
      <c r="E5185" t="s">
        <v>5795</v>
      </c>
      <c r="F5185" t="s">
        <v>35</v>
      </c>
      <c r="G5185" t="s">
        <v>35</v>
      </c>
      <c r="H5185" t="s">
        <v>35</v>
      </c>
      <c r="J5185" t="s">
        <v>5803</v>
      </c>
      <c r="K5185" t="s">
        <v>1092</v>
      </c>
      <c r="M5185">
        <v>5.49</v>
      </c>
      <c r="N5185">
        <v>42</v>
      </c>
      <c r="O5185" t="s">
        <v>52</v>
      </c>
      <c r="Q5185" t="s">
        <v>219</v>
      </c>
      <c r="R5185" t="s">
        <v>730</v>
      </c>
      <c r="S5185" t="s">
        <v>731</v>
      </c>
      <c r="T5185" t="s">
        <v>732</v>
      </c>
    </row>
    <row r="5186" spans="1:20" x14ac:dyDescent="0.25">
      <c r="A5186" t="s">
        <v>30</v>
      </c>
      <c r="B5186" t="s">
        <v>31</v>
      </c>
      <c r="C5186" t="s">
        <v>32</v>
      </c>
      <c r="D5186" t="s">
        <v>719</v>
      </c>
      <c r="E5186" t="s">
        <v>5795</v>
      </c>
      <c r="F5186" t="s">
        <v>35</v>
      </c>
      <c r="G5186" t="s">
        <v>35</v>
      </c>
      <c r="H5186" t="s">
        <v>35</v>
      </c>
      <c r="J5186" t="s">
        <v>5805</v>
      </c>
      <c r="K5186" t="s">
        <v>1092</v>
      </c>
      <c r="M5186">
        <v>8.64</v>
      </c>
      <c r="N5186">
        <v>42</v>
      </c>
      <c r="O5186" t="s">
        <v>52</v>
      </c>
      <c r="Q5186" t="s">
        <v>219</v>
      </c>
      <c r="R5186" t="s">
        <v>730</v>
      </c>
      <c r="S5186" t="s">
        <v>731</v>
      </c>
      <c r="T5186" t="s">
        <v>732</v>
      </c>
    </row>
    <row r="5187" spans="1:20" x14ac:dyDescent="0.25">
      <c r="A5187" t="s">
        <v>30</v>
      </c>
      <c r="B5187" t="s">
        <v>31</v>
      </c>
      <c r="C5187" t="s">
        <v>32</v>
      </c>
      <c r="D5187" t="s">
        <v>719</v>
      </c>
      <c r="E5187" t="s">
        <v>5795</v>
      </c>
      <c r="F5187" t="s">
        <v>35</v>
      </c>
      <c r="G5187" t="s">
        <v>35</v>
      </c>
      <c r="H5187" t="s">
        <v>35</v>
      </c>
      <c r="J5187" t="s">
        <v>5804</v>
      </c>
      <c r="K5187" t="s">
        <v>1092</v>
      </c>
      <c r="M5187">
        <v>5.625</v>
      </c>
      <c r="N5187">
        <v>62</v>
      </c>
      <c r="O5187" t="s">
        <v>61</v>
      </c>
      <c r="Q5187" t="s">
        <v>139</v>
      </c>
      <c r="R5187" t="s">
        <v>730</v>
      </c>
      <c r="S5187" t="s">
        <v>731</v>
      </c>
      <c r="T5187" t="s">
        <v>732</v>
      </c>
    </row>
    <row r="5188" spans="1:20" x14ac:dyDescent="0.25">
      <c r="A5188" t="s">
        <v>30</v>
      </c>
      <c r="B5188" t="s">
        <v>31</v>
      </c>
      <c r="C5188" t="s">
        <v>32</v>
      </c>
      <c r="D5188" t="s">
        <v>719</v>
      </c>
      <c r="F5188" t="s">
        <v>35</v>
      </c>
      <c r="G5188" t="s">
        <v>35</v>
      </c>
      <c r="H5188" t="s">
        <v>35</v>
      </c>
      <c r="J5188" t="s">
        <v>5882</v>
      </c>
      <c r="K5188" t="s">
        <v>1092</v>
      </c>
      <c r="M5188">
        <v>11.025</v>
      </c>
      <c r="N5188">
        <v>881</v>
      </c>
      <c r="O5188" t="s">
        <v>575</v>
      </c>
      <c r="Q5188" t="s">
        <v>4362</v>
      </c>
      <c r="R5188" t="s">
        <v>730</v>
      </c>
      <c r="S5188" t="s">
        <v>731</v>
      </c>
      <c r="T5188" t="s">
        <v>732</v>
      </c>
    </row>
    <row r="5189" spans="1:20" x14ac:dyDescent="0.25">
      <c r="A5189" t="s">
        <v>30</v>
      </c>
      <c r="B5189" t="s">
        <v>31</v>
      </c>
      <c r="C5189" t="s">
        <v>32</v>
      </c>
      <c r="D5189" t="s">
        <v>719</v>
      </c>
      <c r="F5189" t="s">
        <v>35</v>
      </c>
      <c r="G5189" t="s">
        <v>35</v>
      </c>
      <c r="H5189" t="s">
        <v>35</v>
      </c>
      <c r="J5189" t="s">
        <v>5848</v>
      </c>
      <c r="K5189" t="s">
        <v>1092</v>
      </c>
      <c r="M5189">
        <v>11.025</v>
      </c>
      <c r="N5189">
        <v>62</v>
      </c>
      <c r="O5189" t="s">
        <v>61</v>
      </c>
      <c r="Q5189" t="s">
        <v>139</v>
      </c>
      <c r="R5189" t="s">
        <v>730</v>
      </c>
      <c r="S5189" t="s">
        <v>731</v>
      </c>
      <c r="T5189" t="s">
        <v>732</v>
      </c>
    </row>
    <row r="5190" spans="1:20" x14ac:dyDescent="0.25">
      <c r="A5190" t="s">
        <v>30</v>
      </c>
      <c r="B5190" t="s">
        <v>31</v>
      </c>
      <c r="C5190" t="s">
        <v>32</v>
      </c>
      <c r="D5190" t="s">
        <v>719</v>
      </c>
      <c r="E5190" t="s">
        <v>5795</v>
      </c>
      <c r="F5190" t="s">
        <v>35</v>
      </c>
      <c r="G5190" t="s">
        <v>35</v>
      </c>
      <c r="H5190" t="s">
        <v>35</v>
      </c>
      <c r="J5190" t="s">
        <v>5802</v>
      </c>
      <c r="K5190" t="s">
        <v>1092</v>
      </c>
      <c r="M5190">
        <v>11.025</v>
      </c>
      <c r="N5190">
        <v>42</v>
      </c>
      <c r="O5190" t="s">
        <v>52</v>
      </c>
      <c r="Q5190" t="s">
        <v>219</v>
      </c>
      <c r="R5190" t="s">
        <v>730</v>
      </c>
      <c r="S5190" t="s">
        <v>731</v>
      </c>
      <c r="T5190" t="s">
        <v>732</v>
      </c>
    </row>
    <row r="5191" spans="1:20" x14ac:dyDescent="0.25">
      <c r="A5191" t="s">
        <v>30</v>
      </c>
      <c r="B5191" t="s">
        <v>31</v>
      </c>
      <c r="C5191" t="s">
        <v>32</v>
      </c>
      <c r="D5191" t="s">
        <v>719</v>
      </c>
      <c r="E5191" t="s">
        <v>5795</v>
      </c>
      <c r="F5191" t="s">
        <v>35</v>
      </c>
      <c r="G5191" t="s">
        <v>35</v>
      </c>
      <c r="H5191" t="s">
        <v>35</v>
      </c>
      <c r="J5191" t="s">
        <v>5802</v>
      </c>
      <c r="K5191" t="s">
        <v>1092</v>
      </c>
      <c r="M5191">
        <v>11.025</v>
      </c>
      <c r="N5191">
        <v>87</v>
      </c>
      <c r="O5191" t="s">
        <v>61</v>
      </c>
      <c r="Q5191" t="s">
        <v>394</v>
      </c>
      <c r="R5191" t="s">
        <v>730</v>
      </c>
      <c r="S5191" t="s">
        <v>731</v>
      </c>
      <c r="T5191" t="s">
        <v>732</v>
      </c>
    </row>
    <row r="5192" spans="1:20" x14ac:dyDescent="0.25">
      <c r="A5192" t="s">
        <v>30</v>
      </c>
      <c r="B5192" t="s">
        <v>31</v>
      </c>
      <c r="C5192" t="s">
        <v>32</v>
      </c>
      <c r="D5192" t="s">
        <v>719</v>
      </c>
      <c r="E5192" t="s">
        <v>5756</v>
      </c>
      <c r="F5192" t="s">
        <v>35</v>
      </c>
      <c r="G5192" t="s">
        <v>35</v>
      </c>
      <c r="H5192" t="s">
        <v>35</v>
      </c>
      <c r="J5192" t="s">
        <v>5760</v>
      </c>
      <c r="K5192" t="s">
        <v>1092</v>
      </c>
      <c r="M5192">
        <v>3.8250000000000002</v>
      </c>
      <c r="N5192">
        <v>87</v>
      </c>
      <c r="O5192" t="s">
        <v>61</v>
      </c>
      <c r="Q5192" t="s">
        <v>394</v>
      </c>
      <c r="R5192" t="s">
        <v>730</v>
      </c>
      <c r="S5192" t="s">
        <v>731</v>
      </c>
      <c r="T5192" t="s">
        <v>732</v>
      </c>
    </row>
    <row r="5193" spans="1:20" x14ac:dyDescent="0.25">
      <c r="A5193" t="s">
        <v>30</v>
      </c>
      <c r="B5193" t="s">
        <v>31</v>
      </c>
      <c r="C5193" t="s">
        <v>32</v>
      </c>
      <c r="D5193" t="s">
        <v>719</v>
      </c>
      <c r="E5193" t="s">
        <v>738</v>
      </c>
      <c r="F5193" t="s">
        <v>35</v>
      </c>
      <c r="G5193" t="s">
        <v>35</v>
      </c>
      <c r="H5193" t="s">
        <v>35</v>
      </c>
      <c r="J5193" t="s">
        <v>5587</v>
      </c>
      <c r="K5193" t="s">
        <v>1092</v>
      </c>
      <c r="M5193">
        <v>0.25</v>
      </c>
      <c r="N5193">
        <v>258</v>
      </c>
      <c r="O5193" t="s">
        <v>5</v>
      </c>
      <c r="Q5193" t="s">
        <v>1754</v>
      </c>
      <c r="R5193" t="s">
        <v>730</v>
      </c>
      <c r="S5193" t="s">
        <v>731</v>
      </c>
      <c r="T5193" t="s">
        <v>732</v>
      </c>
    </row>
    <row r="5194" spans="1:20" x14ac:dyDescent="0.25">
      <c r="A5194" t="s">
        <v>30</v>
      </c>
      <c r="B5194" t="s">
        <v>31</v>
      </c>
      <c r="C5194" t="s">
        <v>32</v>
      </c>
      <c r="D5194" t="s">
        <v>719</v>
      </c>
      <c r="E5194" t="s">
        <v>5818</v>
      </c>
      <c r="F5194" t="s">
        <v>35</v>
      </c>
      <c r="G5194" t="s">
        <v>35</v>
      </c>
      <c r="H5194" t="s">
        <v>35</v>
      </c>
      <c r="J5194" t="s">
        <v>5832</v>
      </c>
      <c r="K5194" t="s">
        <v>1092</v>
      </c>
      <c r="M5194">
        <v>19.125</v>
      </c>
      <c r="N5194">
        <v>289</v>
      </c>
      <c r="O5194" t="s">
        <v>5</v>
      </c>
      <c r="Q5194" t="s">
        <v>4253</v>
      </c>
      <c r="R5194" t="s">
        <v>730</v>
      </c>
      <c r="S5194" t="s">
        <v>731</v>
      </c>
      <c r="T5194" t="s">
        <v>732</v>
      </c>
    </row>
    <row r="5195" spans="1:20" x14ac:dyDescent="0.25">
      <c r="A5195" t="s">
        <v>59</v>
      </c>
      <c r="B5195" t="s">
        <v>31</v>
      </c>
      <c r="C5195" t="s">
        <v>32</v>
      </c>
      <c r="D5195" t="s">
        <v>719</v>
      </c>
      <c r="E5195" t="s">
        <v>5818</v>
      </c>
      <c r="F5195" t="s">
        <v>35</v>
      </c>
      <c r="G5195" t="s">
        <v>35</v>
      </c>
      <c r="H5195" t="s">
        <v>35</v>
      </c>
      <c r="J5195" t="s">
        <v>5832</v>
      </c>
      <c r="K5195" t="s">
        <v>1092</v>
      </c>
      <c r="M5195">
        <v>9.3149999999999995</v>
      </c>
      <c r="N5195">
        <v>560</v>
      </c>
      <c r="O5195" t="s">
        <v>575</v>
      </c>
      <c r="Q5195" t="s">
        <v>4707</v>
      </c>
      <c r="R5195" t="s">
        <v>730</v>
      </c>
      <c r="S5195" t="s">
        <v>731</v>
      </c>
      <c r="T5195" t="s">
        <v>732</v>
      </c>
    </row>
    <row r="5196" spans="1:20" x14ac:dyDescent="0.25">
      <c r="A5196" t="s">
        <v>30</v>
      </c>
      <c r="B5196" t="s">
        <v>31</v>
      </c>
      <c r="C5196" t="s">
        <v>32</v>
      </c>
      <c r="D5196" t="s">
        <v>719</v>
      </c>
      <c r="E5196" t="s">
        <v>5818</v>
      </c>
      <c r="F5196" t="s">
        <v>35</v>
      </c>
      <c r="G5196" t="s">
        <v>35</v>
      </c>
      <c r="H5196" t="s">
        <v>35</v>
      </c>
      <c r="J5196" t="s">
        <v>5827</v>
      </c>
      <c r="K5196" t="s">
        <v>1092</v>
      </c>
      <c r="M5196">
        <v>22.05</v>
      </c>
      <c r="N5196">
        <v>20</v>
      </c>
      <c r="O5196" t="s">
        <v>46</v>
      </c>
      <c r="Q5196" t="s">
        <v>1011</v>
      </c>
      <c r="R5196" t="s">
        <v>730</v>
      </c>
      <c r="S5196" t="s">
        <v>731</v>
      </c>
      <c r="T5196" t="s">
        <v>732</v>
      </c>
    </row>
    <row r="5197" spans="1:20" x14ac:dyDescent="0.25">
      <c r="A5197" t="s">
        <v>59</v>
      </c>
      <c r="B5197" t="s">
        <v>31</v>
      </c>
      <c r="C5197" t="s">
        <v>32</v>
      </c>
      <c r="D5197" t="s">
        <v>719</v>
      </c>
      <c r="E5197" t="s">
        <v>5818</v>
      </c>
      <c r="F5197" t="s">
        <v>35</v>
      </c>
      <c r="G5197" t="s">
        <v>35</v>
      </c>
      <c r="H5197" t="s">
        <v>35</v>
      </c>
      <c r="J5197" t="s">
        <v>5827</v>
      </c>
      <c r="K5197" t="s">
        <v>1092</v>
      </c>
      <c r="M5197">
        <v>6.84</v>
      </c>
      <c r="N5197">
        <v>134</v>
      </c>
      <c r="O5197" t="s">
        <v>38</v>
      </c>
      <c r="Q5197" t="s">
        <v>1822</v>
      </c>
      <c r="R5197" t="s">
        <v>730</v>
      </c>
      <c r="S5197" t="s">
        <v>731</v>
      </c>
      <c r="T5197" t="s">
        <v>732</v>
      </c>
    </row>
    <row r="5198" spans="1:20" x14ac:dyDescent="0.25">
      <c r="A5198" t="s">
        <v>30</v>
      </c>
      <c r="B5198" t="s">
        <v>31</v>
      </c>
      <c r="C5198" t="s">
        <v>32</v>
      </c>
      <c r="D5198" t="s">
        <v>719</v>
      </c>
      <c r="E5198" t="s">
        <v>5818</v>
      </c>
      <c r="F5198" t="s">
        <v>35</v>
      </c>
      <c r="G5198" t="s">
        <v>35</v>
      </c>
      <c r="H5198" t="s">
        <v>35</v>
      </c>
      <c r="J5198" t="s">
        <v>5827</v>
      </c>
      <c r="K5198" t="s">
        <v>1092</v>
      </c>
      <c r="M5198">
        <v>11.025</v>
      </c>
      <c r="N5198">
        <v>42</v>
      </c>
      <c r="O5198" t="s">
        <v>52</v>
      </c>
      <c r="Q5198" t="s">
        <v>219</v>
      </c>
      <c r="R5198" t="s">
        <v>730</v>
      </c>
      <c r="S5198" t="s">
        <v>731</v>
      </c>
      <c r="T5198" t="s">
        <v>732</v>
      </c>
    </row>
    <row r="5199" spans="1:20" x14ac:dyDescent="0.25">
      <c r="A5199" t="s">
        <v>30</v>
      </c>
      <c r="B5199" t="s">
        <v>31</v>
      </c>
      <c r="C5199" t="s">
        <v>32</v>
      </c>
      <c r="D5199" t="s">
        <v>719</v>
      </c>
      <c r="E5199" t="s">
        <v>5818</v>
      </c>
      <c r="F5199" t="s">
        <v>35</v>
      </c>
      <c r="G5199" t="s">
        <v>35</v>
      </c>
      <c r="H5199" t="s">
        <v>35</v>
      </c>
      <c r="J5199" t="s">
        <v>5827</v>
      </c>
      <c r="K5199" t="s">
        <v>1092</v>
      </c>
      <c r="M5199">
        <v>11.025</v>
      </c>
      <c r="N5199">
        <v>87</v>
      </c>
      <c r="O5199" t="s">
        <v>61</v>
      </c>
      <c r="Q5199" t="s">
        <v>394</v>
      </c>
      <c r="R5199" t="s">
        <v>730</v>
      </c>
      <c r="S5199" t="s">
        <v>731</v>
      </c>
      <c r="T5199" t="s">
        <v>732</v>
      </c>
    </row>
    <row r="5200" spans="1:20" x14ac:dyDescent="0.25">
      <c r="A5200" t="s">
        <v>30</v>
      </c>
      <c r="B5200" t="s">
        <v>31</v>
      </c>
      <c r="C5200" t="s">
        <v>32</v>
      </c>
      <c r="D5200" t="s">
        <v>719</v>
      </c>
      <c r="E5200" t="s">
        <v>720</v>
      </c>
      <c r="F5200" t="s">
        <v>35</v>
      </c>
      <c r="G5200" t="s">
        <v>35</v>
      </c>
      <c r="H5200" t="s">
        <v>35</v>
      </c>
      <c r="J5200" t="s">
        <v>5444</v>
      </c>
      <c r="K5200" t="s">
        <v>1092</v>
      </c>
      <c r="M5200">
        <v>5.625</v>
      </c>
      <c r="N5200">
        <v>42</v>
      </c>
      <c r="O5200" t="s">
        <v>52</v>
      </c>
      <c r="Q5200" t="s">
        <v>219</v>
      </c>
      <c r="R5200" t="s">
        <v>730</v>
      </c>
      <c r="S5200" t="s">
        <v>731</v>
      </c>
      <c r="T5200" t="s">
        <v>732</v>
      </c>
    </row>
    <row r="5201" spans="1:20" x14ac:dyDescent="0.25">
      <c r="A5201" t="s">
        <v>44</v>
      </c>
      <c r="B5201" t="s">
        <v>51</v>
      </c>
      <c r="C5201" t="s">
        <v>32</v>
      </c>
      <c r="D5201" t="s">
        <v>719</v>
      </c>
      <c r="E5201" t="s">
        <v>742</v>
      </c>
      <c r="F5201" t="s">
        <v>35</v>
      </c>
      <c r="G5201" t="s">
        <v>35</v>
      </c>
      <c r="H5201" t="s">
        <v>35</v>
      </c>
      <c r="J5201" t="s">
        <v>5656</v>
      </c>
      <c r="K5201" t="s">
        <v>1092</v>
      </c>
      <c r="M5201">
        <v>0.65</v>
      </c>
      <c r="N5201">
        <v>51</v>
      </c>
      <c r="O5201" t="s">
        <v>52</v>
      </c>
      <c r="Q5201" t="s">
        <v>58</v>
      </c>
      <c r="R5201" t="s">
        <v>730</v>
      </c>
      <c r="S5201" t="s">
        <v>731</v>
      </c>
      <c r="T5201" t="s">
        <v>732</v>
      </c>
    </row>
    <row r="5202" spans="1:20" x14ac:dyDescent="0.25">
      <c r="A5202" t="s">
        <v>30</v>
      </c>
      <c r="B5202" t="s">
        <v>31</v>
      </c>
      <c r="C5202" t="s">
        <v>32</v>
      </c>
      <c r="D5202" t="s">
        <v>719</v>
      </c>
      <c r="E5202" t="s">
        <v>742</v>
      </c>
      <c r="F5202" t="s">
        <v>35</v>
      </c>
      <c r="G5202" t="s">
        <v>35</v>
      </c>
      <c r="H5202" t="s">
        <v>35</v>
      </c>
      <c r="J5202" t="s">
        <v>5656</v>
      </c>
      <c r="K5202" t="s">
        <v>1092</v>
      </c>
      <c r="M5202">
        <v>2.4300000000000002</v>
      </c>
      <c r="N5202">
        <v>62</v>
      </c>
      <c r="O5202" t="s">
        <v>61</v>
      </c>
      <c r="Q5202" t="s">
        <v>139</v>
      </c>
      <c r="R5202" t="s">
        <v>730</v>
      </c>
      <c r="S5202" t="s">
        <v>731</v>
      </c>
      <c r="T5202" t="s">
        <v>732</v>
      </c>
    </row>
    <row r="5203" spans="1:20" x14ac:dyDescent="0.25">
      <c r="A5203" t="s">
        <v>59</v>
      </c>
      <c r="B5203" t="s">
        <v>31</v>
      </c>
      <c r="C5203" t="s">
        <v>32</v>
      </c>
      <c r="D5203" t="s">
        <v>719</v>
      </c>
      <c r="E5203" t="s">
        <v>720</v>
      </c>
      <c r="F5203" t="s">
        <v>35</v>
      </c>
      <c r="G5203" t="s">
        <v>35</v>
      </c>
      <c r="H5203" t="s">
        <v>35</v>
      </c>
      <c r="J5203" t="s">
        <v>5433</v>
      </c>
      <c r="K5203" t="s">
        <v>1092</v>
      </c>
      <c r="M5203">
        <v>5.13</v>
      </c>
      <c r="N5203">
        <v>134</v>
      </c>
      <c r="O5203" t="s">
        <v>38</v>
      </c>
      <c r="Q5203" t="s">
        <v>1822</v>
      </c>
      <c r="R5203" t="s">
        <v>730</v>
      </c>
      <c r="S5203" t="s">
        <v>731</v>
      </c>
      <c r="T5203" t="s">
        <v>732</v>
      </c>
    </row>
    <row r="5204" spans="1:20" x14ac:dyDescent="0.25">
      <c r="A5204" t="s">
        <v>59</v>
      </c>
      <c r="B5204" t="s">
        <v>60</v>
      </c>
      <c r="C5204" t="s">
        <v>32</v>
      </c>
      <c r="D5204" t="s">
        <v>719</v>
      </c>
      <c r="E5204" t="s">
        <v>720</v>
      </c>
      <c r="F5204" t="s">
        <v>35</v>
      </c>
      <c r="G5204" t="s">
        <v>35</v>
      </c>
      <c r="H5204" t="s">
        <v>35</v>
      </c>
      <c r="J5204" t="s">
        <v>5430</v>
      </c>
      <c r="K5204" t="s">
        <v>1092</v>
      </c>
      <c r="M5204">
        <v>10.25</v>
      </c>
      <c r="N5204">
        <v>277</v>
      </c>
      <c r="O5204" t="s">
        <v>5</v>
      </c>
      <c r="Q5204" t="s">
        <v>1220</v>
      </c>
      <c r="R5204" t="s">
        <v>730</v>
      </c>
      <c r="S5204" t="s">
        <v>731</v>
      </c>
      <c r="T5204" t="s">
        <v>732</v>
      </c>
    </row>
    <row r="5205" spans="1:20" x14ac:dyDescent="0.25">
      <c r="A5205" t="s">
        <v>30</v>
      </c>
      <c r="B5205" t="s">
        <v>31</v>
      </c>
      <c r="C5205" t="s">
        <v>32</v>
      </c>
      <c r="D5205" t="s">
        <v>719</v>
      </c>
      <c r="E5205" t="s">
        <v>738</v>
      </c>
      <c r="F5205" t="s">
        <v>35</v>
      </c>
      <c r="G5205" t="s">
        <v>35</v>
      </c>
      <c r="H5205" t="s">
        <v>35</v>
      </c>
      <c r="J5205" t="s">
        <v>5620</v>
      </c>
      <c r="K5205" t="s">
        <v>1092</v>
      </c>
      <c r="M5205">
        <v>7.335</v>
      </c>
      <c r="N5205">
        <v>62</v>
      </c>
      <c r="O5205" t="s">
        <v>61</v>
      </c>
      <c r="Q5205" t="s">
        <v>139</v>
      </c>
      <c r="R5205" t="s">
        <v>730</v>
      </c>
      <c r="S5205" t="s">
        <v>731</v>
      </c>
      <c r="T5205" t="s">
        <v>732</v>
      </c>
    </row>
    <row r="5206" spans="1:20" x14ac:dyDescent="0.25">
      <c r="A5206" t="s">
        <v>59</v>
      </c>
      <c r="B5206" t="s">
        <v>31</v>
      </c>
      <c r="C5206" t="s">
        <v>32</v>
      </c>
      <c r="D5206" t="s">
        <v>719</v>
      </c>
      <c r="E5206" t="s">
        <v>738</v>
      </c>
      <c r="F5206" t="s">
        <v>35</v>
      </c>
      <c r="G5206" t="s">
        <v>35</v>
      </c>
      <c r="H5206" t="s">
        <v>35</v>
      </c>
      <c r="J5206" t="s">
        <v>5620</v>
      </c>
      <c r="K5206" t="s">
        <v>1092</v>
      </c>
      <c r="M5206">
        <v>11.025</v>
      </c>
      <c r="N5206">
        <v>124</v>
      </c>
      <c r="O5206" t="s">
        <v>38</v>
      </c>
      <c r="Q5206" t="s">
        <v>646</v>
      </c>
      <c r="R5206" t="s">
        <v>730</v>
      </c>
      <c r="S5206" t="s">
        <v>731</v>
      </c>
      <c r="T5206" t="s">
        <v>732</v>
      </c>
    </row>
    <row r="5207" spans="1:20" x14ac:dyDescent="0.25">
      <c r="A5207" t="s">
        <v>30</v>
      </c>
      <c r="B5207" t="s">
        <v>31</v>
      </c>
      <c r="C5207" t="s">
        <v>32</v>
      </c>
      <c r="D5207" t="s">
        <v>719</v>
      </c>
      <c r="E5207" t="s">
        <v>738</v>
      </c>
      <c r="F5207" t="s">
        <v>35</v>
      </c>
      <c r="G5207" t="s">
        <v>35</v>
      </c>
      <c r="H5207" t="s">
        <v>35</v>
      </c>
      <c r="J5207" t="s">
        <v>5626</v>
      </c>
      <c r="K5207" t="s">
        <v>1092</v>
      </c>
      <c r="M5207">
        <v>0.27</v>
      </c>
      <c r="N5207">
        <v>406</v>
      </c>
      <c r="O5207" t="s">
        <v>294</v>
      </c>
      <c r="Q5207" t="s">
        <v>5627</v>
      </c>
      <c r="R5207" t="s">
        <v>730</v>
      </c>
      <c r="S5207" t="s">
        <v>731</v>
      </c>
      <c r="T5207" t="s">
        <v>732</v>
      </c>
    </row>
    <row r="5208" spans="1:20" x14ac:dyDescent="0.25">
      <c r="A5208" t="s">
        <v>44</v>
      </c>
      <c r="B5208" t="s">
        <v>51</v>
      </c>
      <c r="C5208" t="s">
        <v>32</v>
      </c>
      <c r="D5208" t="s">
        <v>719</v>
      </c>
      <c r="E5208" t="s">
        <v>738</v>
      </c>
      <c r="F5208" t="s">
        <v>35</v>
      </c>
      <c r="G5208" t="s">
        <v>35</v>
      </c>
      <c r="H5208" t="s">
        <v>35</v>
      </c>
      <c r="J5208" t="s">
        <v>5626</v>
      </c>
      <c r="K5208" t="s">
        <v>1092</v>
      </c>
      <c r="M5208">
        <v>0.4</v>
      </c>
      <c r="N5208">
        <v>504</v>
      </c>
      <c r="O5208" t="s">
        <v>294</v>
      </c>
      <c r="Q5208" t="s">
        <v>5048</v>
      </c>
      <c r="R5208" t="s">
        <v>730</v>
      </c>
      <c r="S5208" t="s">
        <v>731</v>
      </c>
      <c r="T5208" t="s">
        <v>732</v>
      </c>
    </row>
    <row r="5209" spans="1:20" x14ac:dyDescent="0.25">
      <c r="A5209" t="s">
        <v>30</v>
      </c>
      <c r="B5209" t="s">
        <v>31</v>
      </c>
      <c r="C5209" t="s">
        <v>32</v>
      </c>
      <c r="D5209" t="s">
        <v>719</v>
      </c>
      <c r="E5209" t="s">
        <v>720</v>
      </c>
      <c r="F5209" t="s">
        <v>35</v>
      </c>
      <c r="G5209" t="s">
        <v>35</v>
      </c>
      <c r="H5209" t="s">
        <v>35</v>
      </c>
      <c r="J5209" t="s">
        <v>5458</v>
      </c>
      <c r="K5209" t="s">
        <v>1092</v>
      </c>
      <c r="M5209">
        <v>11.025</v>
      </c>
      <c r="N5209">
        <v>17</v>
      </c>
      <c r="O5209" t="s">
        <v>46</v>
      </c>
      <c r="Q5209" t="s">
        <v>255</v>
      </c>
      <c r="R5209" t="s">
        <v>730</v>
      </c>
      <c r="S5209" t="s">
        <v>731</v>
      </c>
      <c r="T5209" t="s">
        <v>732</v>
      </c>
    </row>
    <row r="5210" spans="1:20" x14ac:dyDescent="0.25">
      <c r="A5210" t="s">
        <v>30</v>
      </c>
      <c r="B5210" t="s">
        <v>31</v>
      </c>
      <c r="C5210" t="s">
        <v>32</v>
      </c>
      <c r="D5210" t="s">
        <v>719</v>
      </c>
      <c r="E5210" t="s">
        <v>5795</v>
      </c>
      <c r="F5210" t="s">
        <v>35</v>
      </c>
      <c r="G5210" t="s">
        <v>35</v>
      </c>
      <c r="H5210" t="s">
        <v>35</v>
      </c>
      <c r="J5210" t="s">
        <v>5813</v>
      </c>
      <c r="K5210" t="s">
        <v>1092</v>
      </c>
      <c r="M5210">
        <v>8.1449999999999996</v>
      </c>
      <c r="N5210">
        <v>42</v>
      </c>
      <c r="O5210" t="s">
        <v>52</v>
      </c>
      <c r="Q5210" t="s">
        <v>219</v>
      </c>
      <c r="R5210" t="s">
        <v>730</v>
      </c>
      <c r="S5210" t="s">
        <v>731</v>
      </c>
      <c r="T5210" t="s">
        <v>732</v>
      </c>
    </row>
    <row r="5211" spans="1:20" x14ac:dyDescent="0.25">
      <c r="A5211" t="s">
        <v>30</v>
      </c>
      <c r="B5211" t="s">
        <v>31</v>
      </c>
      <c r="C5211" t="s">
        <v>32</v>
      </c>
      <c r="D5211" t="s">
        <v>719</v>
      </c>
      <c r="E5211" t="s">
        <v>720</v>
      </c>
      <c r="F5211" t="s">
        <v>35</v>
      </c>
      <c r="G5211" t="s">
        <v>35</v>
      </c>
      <c r="H5211" t="s">
        <v>35</v>
      </c>
      <c r="J5211" t="s">
        <v>5424</v>
      </c>
      <c r="K5211" t="s">
        <v>1092</v>
      </c>
      <c r="M5211">
        <v>5.85</v>
      </c>
      <c r="N5211">
        <v>140</v>
      </c>
      <c r="O5211" t="s">
        <v>38</v>
      </c>
      <c r="Q5211" t="s">
        <v>1229</v>
      </c>
      <c r="R5211" t="s">
        <v>730</v>
      </c>
      <c r="S5211" t="s">
        <v>731</v>
      </c>
      <c r="T5211" t="s">
        <v>732</v>
      </c>
    </row>
    <row r="5212" spans="1:20" x14ac:dyDescent="0.25">
      <c r="A5212" t="s">
        <v>30</v>
      </c>
      <c r="B5212" t="s">
        <v>31</v>
      </c>
      <c r="C5212" t="s">
        <v>32</v>
      </c>
      <c r="D5212" t="s">
        <v>719</v>
      </c>
      <c r="E5212" t="s">
        <v>742</v>
      </c>
      <c r="F5212" t="s">
        <v>35</v>
      </c>
      <c r="G5212" t="s">
        <v>35</v>
      </c>
      <c r="H5212" t="s">
        <v>35</v>
      </c>
      <c r="J5212" t="s">
        <v>5644</v>
      </c>
      <c r="K5212" t="s">
        <v>404</v>
      </c>
      <c r="M5212">
        <v>10.71</v>
      </c>
      <c r="N5212">
        <v>42</v>
      </c>
      <c r="O5212" t="s">
        <v>52</v>
      </c>
      <c r="Q5212" t="s">
        <v>219</v>
      </c>
      <c r="R5212" t="s">
        <v>730</v>
      </c>
      <c r="S5212" t="s">
        <v>731</v>
      </c>
      <c r="T5212" t="s">
        <v>732</v>
      </c>
    </row>
    <row r="5213" spans="1:20" x14ac:dyDescent="0.25">
      <c r="A5213" t="s">
        <v>59</v>
      </c>
      <c r="B5213" t="s">
        <v>60</v>
      </c>
      <c r="C5213" t="s">
        <v>32</v>
      </c>
      <c r="D5213" t="s">
        <v>719</v>
      </c>
      <c r="E5213" t="s">
        <v>742</v>
      </c>
      <c r="F5213" t="s">
        <v>35</v>
      </c>
      <c r="G5213" t="s">
        <v>35</v>
      </c>
      <c r="H5213" t="s">
        <v>35</v>
      </c>
      <c r="J5213" t="s">
        <v>5644</v>
      </c>
      <c r="K5213" t="s">
        <v>404</v>
      </c>
      <c r="M5213">
        <v>2.4500000000000002</v>
      </c>
      <c r="N5213">
        <v>277</v>
      </c>
      <c r="O5213" t="s">
        <v>5</v>
      </c>
      <c r="Q5213" t="s">
        <v>1220</v>
      </c>
      <c r="R5213" t="s">
        <v>730</v>
      </c>
      <c r="S5213" t="s">
        <v>731</v>
      </c>
      <c r="T5213" t="s">
        <v>732</v>
      </c>
    </row>
    <row r="5214" spans="1:20" x14ac:dyDescent="0.25">
      <c r="A5214" t="s">
        <v>59</v>
      </c>
      <c r="B5214" t="s">
        <v>31</v>
      </c>
      <c r="C5214" t="s">
        <v>32</v>
      </c>
      <c r="D5214" t="s">
        <v>719</v>
      </c>
      <c r="E5214" t="s">
        <v>742</v>
      </c>
      <c r="F5214" t="s">
        <v>35</v>
      </c>
      <c r="G5214" t="s">
        <v>35</v>
      </c>
      <c r="H5214" t="s">
        <v>35</v>
      </c>
      <c r="J5214" t="s">
        <v>5644</v>
      </c>
      <c r="K5214" t="s">
        <v>404</v>
      </c>
      <c r="M5214">
        <v>9.99</v>
      </c>
      <c r="N5214">
        <v>134</v>
      </c>
      <c r="O5214" t="s">
        <v>38</v>
      </c>
      <c r="Q5214" t="s">
        <v>1822</v>
      </c>
      <c r="R5214" t="s">
        <v>730</v>
      </c>
      <c r="S5214" t="s">
        <v>731</v>
      </c>
      <c r="T5214" t="s">
        <v>732</v>
      </c>
    </row>
    <row r="5215" spans="1:20" x14ac:dyDescent="0.25">
      <c r="A5215" t="s">
        <v>59</v>
      </c>
      <c r="B5215" t="s">
        <v>31</v>
      </c>
      <c r="C5215" t="s">
        <v>32</v>
      </c>
      <c r="D5215" t="s">
        <v>719</v>
      </c>
      <c r="E5215" t="s">
        <v>5795</v>
      </c>
      <c r="F5215" t="s">
        <v>35</v>
      </c>
      <c r="G5215" t="s">
        <v>35</v>
      </c>
      <c r="H5215" t="s">
        <v>35</v>
      </c>
      <c r="J5215" t="s">
        <v>5799</v>
      </c>
      <c r="K5215" t="s">
        <v>1092</v>
      </c>
      <c r="M5215">
        <v>0.72</v>
      </c>
      <c r="N5215">
        <v>891</v>
      </c>
      <c r="O5215" t="s">
        <v>575</v>
      </c>
      <c r="Q5215" t="s">
        <v>5237</v>
      </c>
      <c r="R5215" t="s">
        <v>730</v>
      </c>
      <c r="S5215" t="s">
        <v>731</v>
      </c>
      <c r="T5215" t="s">
        <v>732</v>
      </c>
    </row>
    <row r="5216" spans="1:20" x14ac:dyDescent="0.25">
      <c r="A5216" t="s">
        <v>30</v>
      </c>
      <c r="B5216" t="s">
        <v>31</v>
      </c>
      <c r="C5216" t="s">
        <v>32</v>
      </c>
      <c r="D5216" t="s">
        <v>719</v>
      </c>
      <c r="E5216" t="s">
        <v>5795</v>
      </c>
      <c r="F5216" t="s">
        <v>35</v>
      </c>
      <c r="G5216" t="s">
        <v>35</v>
      </c>
      <c r="H5216" t="s">
        <v>35</v>
      </c>
      <c r="J5216" t="s">
        <v>5799</v>
      </c>
      <c r="K5216" t="s">
        <v>1092</v>
      </c>
      <c r="M5216">
        <v>1.44</v>
      </c>
      <c r="N5216">
        <v>258</v>
      </c>
      <c r="O5216" t="s">
        <v>5</v>
      </c>
      <c r="Q5216" t="s">
        <v>1754</v>
      </c>
      <c r="R5216" t="s">
        <v>730</v>
      </c>
      <c r="S5216" t="s">
        <v>731</v>
      </c>
      <c r="T5216" t="s">
        <v>732</v>
      </c>
    </row>
    <row r="5217" spans="1:20" x14ac:dyDescent="0.25">
      <c r="A5217" t="s">
        <v>30</v>
      </c>
      <c r="B5217" t="s">
        <v>31</v>
      </c>
      <c r="C5217" t="s">
        <v>32</v>
      </c>
      <c r="D5217" t="s">
        <v>719</v>
      </c>
      <c r="E5217" t="s">
        <v>5795</v>
      </c>
      <c r="F5217" t="s">
        <v>35</v>
      </c>
      <c r="G5217" t="s">
        <v>35</v>
      </c>
      <c r="H5217" t="s">
        <v>35</v>
      </c>
      <c r="J5217" t="s">
        <v>5799</v>
      </c>
      <c r="K5217" t="s">
        <v>1092</v>
      </c>
      <c r="M5217">
        <v>11.025</v>
      </c>
      <c r="N5217">
        <v>220</v>
      </c>
      <c r="O5217" t="s">
        <v>5</v>
      </c>
      <c r="Q5217" t="s">
        <v>2236</v>
      </c>
      <c r="R5217" t="s">
        <v>730</v>
      </c>
      <c r="S5217" t="s">
        <v>731</v>
      </c>
      <c r="T5217" t="s">
        <v>732</v>
      </c>
    </row>
    <row r="5218" spans="1:20" x14ac:dyDescent="0.25">
      <c r="A5218" t="s">
        <v>30</v>
      </c>
      <c r="B5218" t="s">
        <v>31</v>
      </c>
      <c r="C5218" t="s">
        <v>32</v>
      </c>
      <c r="D5218" t="s">
        <v>719</v>
      </c>
      <c r="E5218" t="s">
        <v>5795</v>
      </c>
      <c r="F5218" t="s">
        <v>35</v>
      </c>
      <c r="G5218" t="s">
        <v>35</v>
      </c>
      <c r="H5218" t="s">
        <v>35</v>
      </c>
      <c r="J5218" t="s">
        <v>5799</v>
      </c>
      <c r="K5218" t="s">
        <v>1092</v>
      </c>
      <c r="M5218">
        <v>11.025</v>
      </c>
      <c r="N5218">
        <v>87</v>
      </c>
      <c r="O5218" t="s">
        <v>61</v>
      </c>
      <c r="Q5218" t="s">
        <v>394</v>
      </c>
      <c r="R5218" t="s">
        <v>730</v>
      </c>
      <c r="S5218" t="s">
        <v>731</v>
      </c>
      <c r="T5218" t="s">
        <v>732</v>
      </c>
    </row>
    <row r="5219" spans="1:20" x14ac:dyDescent="0.25">
      <c r="A5219" t="s">
        <v>59</v>
      </c>
      <c r="B5219" t="s">
        <v>60</v>
      </c>
      <c r="C5219" t="s">
        <v>32</v>
      </c>
      <c r="D5219" t="s">
        <v>719</v>
      </c>
      <c r="E5219" t="s">
        <v>5795</v>
      </c>
      <c r="F5219" t="s">
        <v>35</v>
      </c>
      <c r="G5219" t="s">
        <v>35</v>
      </c>
      <c r="H5219" t="s">
        <v>35</v>
      </c>
      <c r="J5219" t="s">
        <v>5799</v>
      </c>
      <c r="K5219" t="s">
        <v>1092</v>
      </c>
      <c r="M5219">
        <v>0.95</v>
      </c>
      <c r="N5219">
        <v>892</v>
      </c>
      <c r="O5219" t="s">
        <v>575</v>
      </c>
      <c r="Q5219" t="s">
        <v>5800</v>
      </c>
      <c r="R5219" t="s">
        <v>730</v>
      </c>
      <c r="S5219" t="s">
        <v>731</v>
      </c>
      <c r="T5219" t="s">
        <v>732</v>
      </c>
    </row>
    <row r="5220" spans="1:20" x14ac:dyDescent="0.25">
      <c r="A5220" t="s">
        <v>30</v>
      </c>
      <c r="B5220" t="s">
        <v>31</v>
      </c>
      <c r="C5220" t="s">
        <v>32</v>
      </c>
      <c r="D5220" t="s">
        <v>719</v>
      </c>
      <c r="E5220" t="s">
        <v>742</v>
      </c>
      <c r="F5220" t="s">
        <v>35</v>
      </c>
      <c r="G5220" t="s">
        <v>35</v>
      </c>
      <c r="H5220" t="s">
        <v>35</v>
      </c>
      <c r="J5220" t="s">
        <v>5665</v>
      </c>
      <c r="K5220" t="s">
        <v>1092</v>
      </c>
      <c r="M5220">
        <v>2.88</v>
      </c>
      <c r="N5220">
        <v>42</v>
      </c>
      <c r="O5220" t="s">
        <v>52</v>
      </c>
      <c r="Q5220" t="s">
        <v>219</v>
      </c>
      <c r="R5220" t="s">
        <v>730</v>
      </c>
      <c r="S5220" t="s">
        <v>731</v>
      </c>
      <c r="T5220" t="s">
        <v>732</v>
      </c>
    </row>
    <row r="5221" spans="1:20" x14ac:dyDescent="0.25">
      <c r="A5221" t="s">
        <v>30</v>
      </c>
      <c r="B5221" t="s">
        <v>31</v>
      </c>
      <c r="C5221" t="s">
        <v>32</v>
      </c>
      <c r="D5221" t="s">
        <v>719</v>
      </c>
      <c r="E5221" t="s">
        <v>5701</v>
      </c>
      <c r="F5221" t="s">
        <v>35</v>
      </c>
      <c r="G5221" t="s">
        <v>35</v>
      </c>
      <c r="H5221" t="s">
        <v>35</v>
      </c>
      <c r="J5221" t="s">
        <v>5711</v>
      </c>
      <c r="K5221" t="s">
        <v>1092</v>
      </c>
      <c r="M5221">
        <v>1.365</v>
      </c>
      <c r="N5221">
        <v>42</v>
      </c>
      <c r="O5221" t="s">
        <v>52</v>
      </c>
      <c r="Q5221" t="s">
        <v>219</v>
      </c>
      <c r="R5221" t="s">
        <v>730</v>
      </c>
      <c r="S5221" t="s">
        <v>731</v>
      </c>
      <c r="T5221" t="s">
        <v>732</v>
      </c>
    </row>
    <row r="5222" spans="1:20" x14ac:dyDescent="0.25">
      <c r="A5222" t="s">
        <v>59</v>
      </c>
      <c r="B5222" t="s">
        <v>31</v>
      </c>
      <c r="C5222" t="s">
        <v>32</v>
      </c>
      <c r="D5222" t="s">
        <v>719</v>
      </c>
      <c r="E5222" t="s">
        <v>738</v>
      </c>
      <c r="F5222" t="s">
        <v>35</v>
      </c>
      <c r="G5222" t="s">
        <v>35</v>
      </c>
      <c r="H5222" t="s">
        <v>35</v>
      </c>
      <c r="J5222" t="s">
        <v>5631</v>
      </c>
      <c r="K5222" t="s">
        <v>404</v>
      </c>
      <c r="M5222">
        <v>5.94</v>
      </c>
      <c r="N5222">
        <v>278</v>
      </c>
      <c r="O5222" t="s">
        <v>5</v>
      </c>
      <c r="Q5222" t="s">
        <v>1687</v>
      </c>
      <c r="R5222" t="s">
        <v>730</v>
      </c>
      <c r="S5222" t="s">
        <v>731</v>
      </c>
      <c r="T5222" t="s">
        <v>732</v>
      </c>
    </row>
    <row r="5223" spans="1:20" x14ac:dyDescent="0.25">
      <c r="A5223" t="s">
        <v>44</v>
      </c>
      <c r="B5223" t="s">
        <v>51</v>
      </c>
      <c r="C5223" t="s">
        <v>32</v>
      </c>
      <c r="D5223" t="s">
        <v>719</v>
      </c>
      <c r="E5223" t="s">
        <v>742</v>
      </c>
      <c r="F5223" t="s">
        <v>35</v>
      </c>
      <c r="G5223" t="s">
        <v>35</v>
      </c>
      <c r="H5223" t="s">
        <v>35</v>
      </c>
      <c r="J5223" t="s">
        <v>5664</v>
      </c>
      <c r="K5223" t="s">
        <v>1092</v>
      </c>
      <c r="M5223">
        <v>15.35</v>
      </c>
      <c r="N5223">
        <v>74</v>
      </c>
      <c r="O5223" t="s">
        <v>61</v>
      </c>
      <c r="Q5223" t="s">
        <v>527</v>
      </c>
      <c r="R5223" t="s">
        <v>730</v>
      </c>
      <c r="S5223" t="s">
        <v>731</v>
      </c>
      <c r="T5223" t="s">
        <v>732</v>
      </c>
    </row>
    <row r="5224" spans="1:20" x14ac:dyDescent="0.25">
      <c r="A5224" t="s">
        <v>30</v>
      </c>
      <c r="B5224" t="s">
        <v>31</v>
      </c>
      <c r="C5224" t="s">
        <v>32</v>
      </c>
      <c r="D5224" t="s">
        <v>719</v>
      </c>
      <c r="E5224" t="s">
        <v>738</v>
      </c>
      <c r="F5224" t="s">
        <v>35</v>
      </c>
      <c r="G5224" t="s">
        <v>35</v>
      </c>
      <c r="H5224" t="s">
        <v>35</v>
      </c>
      <c r="J5224" t="s">
        <v>5597</v>
      </c>
      <c r="K5224" t="s">
        <v>1092</v>
      </c>
      <c r="M5224">
        <v>2.5649999999999999</v>
      </c>
      <c r="N5224">
        <v>62</v>
      </c>
      <c r="O5224" t="s">
        <v>61</v>
      </c>
      <c r="Q5224" t="s">
        <v>139</v>
      </c>
      <c r="R5224" t="s">
        <v>730</v>
      </c>
      <c r="S5224" t="s">
        <v>731</v>
      </c>
      <c r="T5224" t="s">
        <v>732</v>
      </c>
    </row>
    <row r="5225" spans="1:20" x14ac:dyDescent="0.25">
      <c r="A5225" t="s">
        <v>30</v>
      </c>
      <c r="B5225" t="s">
        <v>31</v>
      </c>
      <c r="C5225" t="s">
        <v>32</v>
      </c>
      <c r="D5225" t="s">
        <v>719</v>
      </c>
      <c r="E5225" t="s">
        <v>738</v>
      </c>
      <c r="F5225" t="s">
        <v>35</v>
      </c>
      <c r="G5225" t="s">
        <v>35</v>
      </c>
      <c r="H5225" t="s">
        <v>35</v>
      </c>
      <c r="J5225" t="s">
        <v>5613</v>
      </c>
      <c r="K5225" t="s">
        <v>1092</v>
      </c>
      <c r="M5225">
        <v>5.31</v>
      </c>
      <c r="N5225">
        <v>163</v>
      </c>
      <c r="O5225" t="s">
        <v>38</v>
      </c>
      <c r="Q5225" t="s">
        <v>2780</v>
      </c>
      <c r="R5225" t="s">
        <v>730</v>
      </c>
      <c r="S5225" t="s">
        <v>731</v>
      </c>
      <c r="T5225" t="s">
        <v>732</v>
      </c>
    </row>
    <row r="5226" spans="1:20" x14ac:dyDescent="0.25">
      <c r="A5226" t="s">
        <v>30</v>
      </c>
      <c r="B5226" t="s">
        <v>31</v>
      </c>
      <c r="C5226" t="s">
        <v>32</v>
      </c>
      <c r="D5226" t="s">
        <v>719</v>
      </c>
      <c r="E5226" t="s">
        <v>5795</v>
      </c>
      <c r="F5226" t="s">
        <v>35</v>
      </c>
      <c r="G5226" t="s">
        <v>35</v>
      </c>
      <c r="H5226" t="s">
        <v>35</v>
      </c>
      <c r="J5226" t="s">
        <v>5815</v>
      </c>
      <c r="K5226" t="s">
        <v>1092</v>
      </c>
      <c r="M5226">
        <v>0.85499999999999998</v>
      </c>
      <c r="N5226">
        <v>475</v>
      </c>
      <c r="O5226" t="s">
        <v>294</v>
      </c>
      <c r="Q5226" t="s">
        <v>3207</v>
      </c>
      <c r="R5226" t="s">
        <v>730</v>
      </c>
      <c r="S5226" t="s">
        <v>731</v>
      </c>
      <c r="T5226" t="s">
        <v>732</v>
      </c>
    </row>
    <row r="5227" spans="1:20" x14ac:dyDescent="0.25">
      <c r="A5227" t="s">
        <v>59</v>
      </c>
      <c r="B5227" t="s">
        <v>31</v>
      </c>
      <c r="C5227" t="s">
        <v>32</v>
      </c>
      <c r="D5227" t="s">
        <v>719</v>
      </c>
      <c r="E5227" t="s">
        <v>5459</v>
      </c>
      <c r="F5227" t="s">
        <v>35</v>
      </c>
      <c r="G5227" t="s">
        <v>35</v>
      </c>
      <c r="H5227" t="s">
        <v>35</v>
      </c>
      <c r="J5227" t="s">
        <v>5479</v>
      </c>
      <c r="K5227" t="s">
        <v>1092</v>
      </c>
      <c r="M5227">
        <v>9</v>
      </c>
      <c r="N5227">
        <v>124</v>
      </c>
      <c r="O5227" t="s">
        <v>38</v>
      </c>
      <c r="Q5227" t="s">
        <v>646</v>
      </c>
      <c r="R5227" t="s">
        <v>730</v>
      </c>
      <c r="S5227" t="s">
        <v>731</v>
      </c>
      <c r="T5227" t="s">
        <v>732</v>
      </c>
    </row>
    <row r="5228" spans="1:20" x14ac:dyDescent="0.25">
      <c r="A5228" t="s">
        <v>30</v>
      </c>
      <c r="B5228" t="s">
        <v>31</v>
      </c>
      <c r="C5228" t="s">
        <v>32</v>
      </c>
      <c r="D5228" t="s">
        <v>719</v>
      </c>
      <c r="E5228" t="s">
        <v>5818</v>
      </c>
      <c r="F5228" t="s">
        <v>35</v>
      </c>
      <c r="G5228" t="s">
        <v>35</v>
      </c>
      <c r="H5228" t="s">
        <v>35</v>
      </c>
      <c r="J5228" t="s">
        <v>5829</v>
      </c>
      <c r="K5228" t="s">
        <v>1092</v>
      </c>
      <c r="M5228">
        <v>11.025</v>
      </c>
      <c r="N5228">
        <v>42</v>
      </c>
      <c r="O5228" t="s">
        <v>52</v>
      </c>
      <c r="Q5228" t="s">
        <v>219</v>
      </c>
      <c r="R5228" t="s">
        <v>730</v>
      </c>
      <c r="S5228" t="s">
        <v>731</v>
      </c>
      <c r="T5228" t="s">
        <v>732</v>
      </c>
    </row>
    <row r="5229" spans="1:20" x14ac:dyDescent="0.25">
      <c r="A5229" t="s">
        <v>30</v>
      </c>
      <c r="B5229" t="s">
        <v>31</v>
      </c>
      <c r="C5229" t="s">
        <v>32</v>
      </c>
      <c r="D5229" t="s">
        <v>719</v>
      </c>
      <c r="E5229" t="s">
        <v>5818</v>
      </c>
      <c r="F5229" t="s">
        <v>35</v>
      </c>
      <c r="G5229" t="s">
        <v>35</v>
      </c>
      <c r="H5229" t="s">
        <v>35</v>
      </c>
      <c r="J5229" t="s">
        <v>5829</v>
      </c>
      <c r="K5229" t="s">
        <v>1092</v>
      </c>
      <c r="M5229">
        <v>0.81</v>
      </c>
      <c r="N5229">
        <v>140</v>
      </c>
      <c r="O5229" t="s">
        <v>38</v>
      </c>
      <c r="Q5229" t="s">
        <v>1229</v>
      </c>
      <c r="R5229" t="s">
        <v>730</v>
      </c>
      <c r="S5229" t="s">
        <v>731</v>
      </c>
      <c r="T5229" t="s">
        <v>732</v>
      </c>
    </row>
    <row r="5230" spans="1:20" x14ac:dyDescent="0.25">
      <c r="A5230" t="s">
        <v>30</v>
      </c>
      <c r="B5230" t="s">
        <v>31</v>
      </c>
      <c r="C5230" t="s">
        <v>32</v>
      </c>
      <c r="D5230" t="s">
        <v>719</v>
      </c>
      <c r="E5230" t="s">
        <v>5459</v>
      </c>
      <c r="F5230" t="s">
        <v>35</v>
      </c>
      <c r="G5230" t="s">
        <v>35</v>
      </c>
      <c r="H5230" t="s">
        <v>35</v>
      </c>
      <c r="J5230" t="s">
        <v>5492</v>
      </c>
      <c r="K5230" t="s">
        <v>1092</v>
      </c>
      <c r="M5230">
        <v>2.5649999999999999</v>
      </c>
      <c r="N5230">
        <v>62</v>
      </c>
      <c r="O5230" t="s">
        <v>61</v>
      </c>
      <c r="Q5230" t="s">
        <v>139</v>
      </c>
      <c r="R5230" t="s">
        <v>730</v>
      </c>
      <c r="S5230" t="s">
        <v>731</v>
      </c>
      <c r="T5230" t="s">
        <v>732</v>
      </c>
    </row>
    <row r="5231" spans="1:20" x14ac:dyDescent="0.25">
      <c r="A5231" t="s">
        <v>30</v>
      </c>
      <c r="B5231" t="s">
        <v>31</v>
      </c>
      <c r="C5231" t="s">
        <v>32</v>
      </c>
      <c r="D5231" t="s">
        <v>719</v>
      </c>
      <c r="E5231" t="s">
        <v>738</v>
      </c>
      <c r="F5231" t="s">
        <v>35</v>
      </c>
      <c r="G5231" t="s">
        <v>35</v>
      </c>
      <c r="H5231" t="s">
        <v>35</v>
      </c>
      <c r="J5231" t="s">
        <v>5640</v>
      </c>
      <c r="K5231" t="s">
        <v>1092</v>
      </c>
      <c r="M5231">
        <v>5.31</v>
      </c>
      <c r="N5231">
        <v>147</v>
      </c>
      <c r="O5231" t="s">
        <v>38</v>
      </c>
      <c r="Q5231" t="s">
        <v>3398</v>
      </c>
      <c r="R5231" t="s">
        <v>730</v>
      </c>
      <c r="S5231" t="s">
        <v>731</v>
      </c>
      <c r="T5231" t="s">
        <v>732</v>
      </c>
    </row>
    <row r="5232" spans="1:20" x14ac:dyDescent="0.25">
      <c r="A5232" t="s">
        <v>30</v>
      </c>
      <c r="B5232" t="s">
        <v>31</v>
      </c>
      <c r="C5232" t="s">
        <v>32</v>
      </c>
      <c r="D5232" t="s">
        <v>719</v>
      </c>
      <c r="E5232" t="s">
        <v>738</v>
      </c>
      <c r="F5232" t="s">
        <v>35</v>
      </c>
      <c r="G5232" t="s">
        <v>35</v>
      </c>
      <c r="H5232" t="s">
        <v>35</v>
      </c>
      <c r="J5232" t="s">
        <v>5591</v>
      </c>
      <c r="K5232" t="s">
        <v>1092</v>
      </c>
      <c r="M5232">
        <v>5.4</v>
      </c>
      <c r="N5232">
        <v>496</v>
      </c>
      <c r="O5232" t="s">
        <v>294</v>
      </c>
      <c r="Q5232" t="s">
        <v>3139</v>
      </c>
      <c r="R5232" t="s">
        <v>730</v>
      </c>
      <c r="S5232" t="s">
        <v>731</v>
      </c>
      <c r="T5232" t="s">
        <v>732</v>
      </c>
    </row>
    <row r="5233" spans="1:20" x14ac:dyDescent="0.25">
      <c r="A5233" t="s">
        <v>59</v>
      </c>
      <c r="B5233" t="s">
        <v>31</v>
      </c>
      <c r="C5233" t="s">
        <v>32</v>
      </c>
      <c r="D5233" t="s">
        <v>719</v>
      </c>
      <c r="E5233" t="s">
        <v>738</v>
      </c>
      <c r="F5233" t="s">
        <v>35</v>
      </c>
      <c r="G5233" t="s">
        <v>35</v>
      </c>
      <c r="H5233" t="s">
        <v>35</v>
      </c>
      <c r="J5233" t="s">
        <v>5591</v>
      </c>
      <c r="K5233" t="s">
        <v>1092</v>
      </c>
      <c r="M5233">
        <v>3.7349999999999999</v>
      </c>
      <c r="N5233">
        <v>134</v>
      </c>
      <c r="O5233" t="s">
        <v>38</v>
      </c>
      <c r="Q5233" t="s">
        <v>1822</v>
      </c>
      <c r="R5233" t="s">
        <v>730</v>
      </c>
      <c r="S5233" t="s">
        <v>731</v>
      </c>
      <c r="T5233" t="s">
        <v>732</v>
      </c>
    </row>
    <row r="5234" spans="1:20" x14ac:dyDescent="0.25">
      <c r="A5234" t="s">
        <v>30</v>
      </c>
      <c r="B5234" t="s">
        <v>31</v>
      </c>
      <c r="C5234" t="s">
        <v>32</v>
      </c>
      <c r="D5234" t="s">
        <v>719</v>
      </c>
      <c r="F5234" t="s">
        <v>35</v>
      </c>
      <c r="G5234" t="s">
        <v>35</v>
      </c>
      <c r="H5234" t="s">
        <v>35</v>
      </c>
      <c r="J5234" t="s">
        <v>5875</v>
      </c>
      <c r="K5234" t="s">
        <v>1092</v>
      </c>
      <c r="M5234">
        <v>1.665</v>
      </c>
      <c r="N5234">
        <v>2006</v>
      </c>
      <c r="O5234" t="s">
        <v>575</v>
      </c>
      <c r="Q5234" t="s">
        <v>5876</v>
      </c>
      <c r="R5234" t="s">
        <v>730</v>
      </c>
      <c r="S5234" t="s">
        <v>731</v>
      </c>
      <c r="T5234" t="s">
        <v>732</v>
      </c>
    </row>
    <row r="5235" spans="1:20" x14ac:dyDescent="0.25">
      <c r="A5235" t="s">
        <v>30</v>
      </c>
      <c r="B5235" t="s">
        <v>31</v>
      </c>
      <c r="C5235" t="s">
        <v>32</v>
      </c>
      <c r="D5235" t="s">
        <v>719</v>
      </c>
      <c r="F5235" t="s">
        <v>35</v>
      </c>
      <c r="G5235" t="s">
        <v>35</v>
      </c>
      <c r="H5235" t="s">
        <v>35</v>
      </c>
      <c r="J5235" t="s">
        <v>5875</v>
      </c>
      <c r="K5235" t="s">
        <v>1092</v>
      </c>
      <c r="M5235">
        <v>4.5</v>
      </c>
      <c r="N5235">
        <v>1861</v>
      </c>
      <c r="O5235" t="s">
        <v>575</v>
      </c>
      <c r="Q5235" t="s">
        <v>5571</v>
      </c>
      <c r="R5235" t="s">
        <v>730</v>
      </c>
      <c r="S5235" t="s">
        <v>731</v>
      </c>
      <c r="T5235" t="s">
        <v>732</v>
      </c>
    </row>
    <row r="5236" spans="1:20" x14ac:dyDescent="0.25">
      <c r="A5236" t="s">
        <v>30</v>
      </c>
      <c r="B5236" t="s">
        <v>31</v>
      </c>
      <c r="C5236" t="s">
        <v>32</v>
      </c>
      <c r="D5236" t="s">
        <v>719</v>
      </c>
      <c r="E5236" t="s">
        <v>720</v>
      </c>
      <c r="F5236" t="s">
        <v>35</v>
      </c>
      <c r="G5236" t="s">
        <v>35</v>
      </c>
      <c r="H5236" t="s">
        <v>35</v>
      </c>
      <c r="J5236" t="s">
        <v>5427</v>
      </c>
      <c r="K5236" t="s">
        <v>1092</v>
      </c>
      <c r="M5236">
        <v>0.13500000000000001</v>
      </c>
      <c r="N5236">
        <v>140</v>
      </c>
      <c r="O5236" t="s">
        <v>38</v>
      </c>
      <c r="Q5236" t="s">
        <v>1229</v>
      </c>
      <c r="R5236" t="s">
        <v>730</v>
      </c>
      <c r="S5236" t="s">
        <v>731</v>
      </c>
      <c r="T5236" t="s">
        <v>732</v>
      </c>
    </row>
    <row r="5237" spans="1:20" x14ac:dyDescent="0.25">
      <c r="A5237" t="s">
        <v>30</v>
      </c>
      <c r="B5237" t="s">
        <v>31</v>
      </c>
      <c r="C5237" t="s">
        <v>32</v>
      </c>
      <c r="D5237" t="s">
        <v>719</v>
      </c>
      <c r="E5237" t="s">
        <v>5818</v>
      </c>
      <c r="F5237" t="s">
        <v>35</v>
      </c>
      <c r="G5237" t="s">
        <v>35</v>
      </c>
      <c r="H5237" t="s">
        <v>35</v>
      </c>
      <c r="J5237" t="s">
        <v>5836</v>
      </c>
      <c r="K5237" t="s">
        <v>1092</v>
      </c>
      <c r="M5237">
        <v>2.79</v>
      </c>
      <c r="N5237">
        <v>90</v>
      </c>
      <c r="O5237" t="s">
        <v>61</v>
      </c>
      <c r="Q5237" t="s">
        <v>557</v>
      </c>
      <c r="R5237" t="s">
        <v>730</v>
      </c>
      <c r="S5237" t="s">
        <v>731</v>
      </c>
      <c r="T5237" t="s">
        <v>732</v>
      </c>
    </row>
    <row r="5238" spans="1:20" x14ac:dyDescent="0.25">
      <c r="A5238" t="s">
        <v>59</v>
      </c>
      <c r="B5238" t="s">
        <v>31</v>
      </c>
      <c r="C5238" t="s">
        <v>32</v>
      </c>
      <c r="D5238" t="s">
        <v>719</v>
      </c>
      <c r="E5238" t="s">
        <v>5701</v>
      </c>
      <c r="F5238" t="s">
        <v>35</v>
      </c>
      <c r="G5238" t="s">
        <v>35</v>
      </c>
      <c r="H5238" t="s">
        <v>35</v>
      </c>
      <c r="J5238" t="s">
        <v>5718</v>
      </c>
      <c r="K5238" t="s">
        <v>1092</v>
      </c>
      <c r="M5238">
        <v>9.9</v>
      </c>
      <c r="N5238">
        <v>117</v>
      </c>
      <c r="O5238" t="s">
        <v>106</v>
      </c>
      <c r="Q5238" t="s">
        <v>406</v>
      </c>
      <c r="R5238" t="s">
        <v>730</v>
      </c>
      <c r="S5238" t="s">
        <v>731</v>
      </c>
      <c r="T5238" t="s">
        <v>732</v>
      </c>
    </row>
    <row r="5239" spans="1:20" x14ac:dyDescent="0.25">
      <c r="A5239" t="s">
        <v>30</v>
      </c>
      <c r="B5239" t="s">
        <v>31</v>
      </c>
      <c r="C5239" t="s">
        <v>32</v>
      </c>
      <c r="D5239" t="s">
        <v>719</v>
      </c>
      <c r="E5239" t="s">
        <v>5683</v>
      </c>
      <c r="F5239" t="s">
        <v>35</v>
      </c>
      <c r="G5239" t="s">
        <v>35</v>
      </c>
      <c r="H5239" t="s">
        <v>35</v>
      </c>
      <c r="J5239" t="s">
        <v>5698</v>
      </c>
      <c r="K5239" t="s">
        <v>1092</v>
      </c>
      <c r="M5239">
        <v>2.7450000000000001</v>
      </c>
      <c r="N5239">
        <v>42</v>
      </c>
      <c r="O5239" t="s">
        <v>52</v>
      </c>
      <c r="Q5239" t="s">
        <v>219</v>
      </c>
      <c r="R5239" t="s">
        <v>730</v>
      </c>
      <c r="S5239" t="s">
        <v>731</v>
      </c>
      <c r="T5239" t="s">
        <v>732</v>
      </c>
    </row>
    <row r="5240" spans="1:20" x14ac:dyDescent="0.25">
      <c r="A5240" t="s">
        <v>30</v>
      </c>
      <c r="B5240" t="s">
        <v>31</v>
      </c>
      <c r="C5240" t="s">
        <v>32</v>
      </c>
      <c r="D5240" t="s">
        <v>719</v>
      </c>
      <c r="E5240" t="s">
        <v>763</v>
      </c>
      <c r="F5240" t="s">
        <v>35</v>
      </c>
      <c r="G5240" t="s">
        <v>35</v>
      </c>
      <c r="H5240" t="s">
        <v>35</v>
      </c>
      <c r="J5240" t="s">
        <v>5742</v>
      </c>
      <c r="K5240" t="s">
        <v>1092</v>
      </c>
      <c r="M5240">
        <v>4.5</v>
      </c>
      <c r="N5240">
        <v>42</v>
      </c>
      <c r="O5240" t="s">
        <v>52</v>
      </c>
      <c r="Q5240" t="s">
        <v>219</v>
      </c>
      <c r="R5240" t="s">
        <v>730</v>
      </c>
      <c r="S5240" t="s">
        <v>731</v>
      </c>
      <c r="T5240" t="s">
        <v>732</v>
      </c>
    </row>
    <row r="5241" spans="1:20" x14ac:dyDescent="0.25">
      <c r="A5241" t="s">
        <v>59</v>
      </c>
      <c r="B5241" t="s">
        <v>31</v>
      </c>
      <c r="C5241" t="s">
        <v>32</v>
      </c>
      <c r="D5241" t="s">
        <v>719</v>
      </c>
      <c r="E5241" t="s">
        <v>742</v>
      </c>
      <c r="F5241" t="s">
        <v>35</v>
      </c>
      <c r="G5241" t="s">
        <v>35</v>
      </c>
      <c r="H5241" t="s">
        <v>35</v>
      </c>
      <c r="J5241" t="s">
        <v>5645</v>
      </c>
      <c r="K5241" t="s">
        <v>404</v>
      </c>
      <c r="M5241">
        <v>1.4850000000000001</v>
      </c>
      <c r="N5241">
        <v>128</v>
      </c>
      <c r="O5241" t="s">
        <v>38</v>
      </c>
      <c r="Q5241" t="s">
        <v>98</v>
      </c>
      <c r="R5241" t="s">
        <v>730</v>
      </c>
      <c r="S5241" t="s">
        <v>731</v>
      </c>
      <c r="T5241" t="s">
        <v>732</v>
      </c>
    </row>
    <row r="5242" spans="1:20" x14ac:dyDescent="0.25">
      <c r="A5242" t="s">
        <v>59</v>
      </c>
      <c r="B5242" t="s">
        <v>31</v>
      </c>
      <c r="C5242" t="s">
        <v>32</v>
      </c>
      <c r="D5242" t="s">
        <v>719</v>
      </c>
      <c r="E5242" t="s">
        <v>720</v>
      </c>
      <c r="F5242" t="s">
        <v>35</v>
      </c>
      <c r="G5242" t="s">
        <v>35</v>
      </c>
      <c r="H5242" t="s">
        <v>35</v>
      </c>
      <c r="J5242" t="s">
        <v>5437</v>
      </c>
      <c r="K5242" t="s">
        <v>1092</v>
      </c>
      <c r="M5242">
        <v>9.3149999999999995</v>
      </c>
      <c r="N5242">
        <v>134</v>
      </c>
      <c r="O5242" t="s">
        <v>38</v>
      </c>
      <c r="Q5242" t="s">
        <v>1822</v>
      </c>
      <c r="R5242" t="s">
        <v>730</v>
      </c>
      <c r="S5242" t="s">
        <v>731</v>
      </c>
      <c r="T5242" t="s">
        <v>732</v>
      </c>
    </row>
    <row r="5243" spans="1:20" x14ac:dyDescent="0.25">
      <c r="A5243" t="s">
        <v>59</v>
      </c>
      <c r="B5243" t="s">
        <v>60</v>
      </c>
      <c r="C5243" t="s">
        <v>32</v>
      </c>
      <c r="D5243" t="s">
        <v>719</v>
      </c>
      <c r="E5243" t="s">
        <v>5459</v>
      </c>
      <c r="F5243" t="s">
        <v>35</v>
      </c>
      <c r="G5243" t="s">
        <v>35</v>
      </c>
      <c r="H5243" t="s">
        <v>35</v>
      </c>
      <c r="J5243" t="s">
        <v>5472</v>
      </c>
      <c r="K5243" t="s">
        <v>1092</v>
      </c>
      <c r="M5243">
        <v>0.45</v>
      </c>
      <c r="N5243">
        <v>207</v>
      </c>
      <c r="O5243" t="s">
        <v>5</v>
      </c>
      <c r="Q5243" t="s">
        <v>537</v>
      </c>
      <c r="R5243" t="s">
        <v>730</v>
      </c>
      <c r="S5243" t="s">
        <v>731</v>
      </c>
      <c r="T5243" t="s">
        <v>732</v>
      </c>
    </row>
    <row r="5244" spans="1:20" x14ac:dyDescent="0.25">
      <c r="A5244" t="s">
        <v>30</v>
      </c>
      <c r="B5244" t="s">
        <v>31</v>
      </c>
      <c r="C5244" t="s">
        <v>32</v>
      </c>
      <c r="D5244" t="s">
        <v>719</v>
      </c>
      <c r="E5244" t="s">
        <v>5459</v>
      </c>
      <c r="F5244" t="s">
        <v>35</v>
      </c>
      <c r="G5244" t="s">
        <v>35</v>
      </c>
      <c r="H5244" t="s">
        <v>35</v>
      </c>
      <c r="J5244" t="s">
        <v>5472</v>
      </c>
      <c r="K5244" t="s">
        <v>1092</v>
      </c>
      <c r="M5244">
        <v>3.0150000000000001</v>
      </c>
      <c r="N5244">
        <v>42</v>
      </c>
      <c r="O5244" t="s">
        <v>52</v>
      </c>
      <c r="Q5244" t="s">
        <v>219</v>
      </c>
      <c r="R5244" t="s">
        <v>730</v>
      </c>
      <c r="S5244" t="s">
        <v>731</v>
      </c>
      <c r="T5244" t="s">
        <v>732</v>
      </c>
    </row>
    <row r="5245" spans="1:20" x14ac:dyDescent="0.25">
      <c r="A5245" t="s">
        <v>30</v>
      </c>
      <c r="B5245" t="s">
        <v>31</v>
      </c>
      <c r="C5245" t="s">
        <v>32</v>
      </c>
      <c r="D5245" t="s">
        <v>719</v>
      </c>
      <c r="E5245" t="s">
        <v>738</v>
      </c>
      <c r="F5245" t="s">
        <v>35</v>
      </c>
      <c r="G5245" t="s">
        <v>35</v>
      </c>
      <c r="H5245" t="s">
        <v>35</v>
      </c>
      <c r="J5245" t="s">
        <v>5592</v>
      </c>
      <c r="K5245" t="s">
        <v>1092</v>
      </c>
      <c r="M5245">
        <v>8.82</v>
      </c>
      <c r="N5245">
        <v>126</v>
      </c>
      <c r="O5245" t="s">
        <v>38</v>
      </c>
      <c r="Q5245" t="s">
        <v>68</v>
      </c>
      <c r="R5245" t="s">
        <v>730</v>
      </c>
      <c r="S5245" t="s">
        <v>731</v>
      </c>
      <c r="T5245" t="s">
        <v>732</v>
      </c>
    </row>
    <row r="5246" spans="1:20" x14ac:dyDescent="0.25">
      <c r="A5246" t="s">
        <v>30</v>
      </c>
      <c r="B5246" t="s">
        <v>31</v>
      </c>
      <c r="C5246" t="s">
        <v>32</v>
      </c>
      <c r="D5246" t="s">
        <v>719</v>
      </c>
      <c r="F5246" t="s">
        <v>35</v>
      </c>
      <c r="G5246" t="s">
        <v>35</v>
      </c>
      <c r="H5246" t="s">
        <v>35</v>
      </c>
      <c r="J5246" t="s">
        <v>5843</v>
      </c>
      <c r="K5246" t="s">
        <v>1092</v>
      </c>
      <c r="M5246">
        <v>0.09</v>
      </c>
      <c r="N5246">
        <v>1861</v>
      </c>
      <c r="O5246" t="s">
        <v>575</v>
      </c>
      <c r="Q5246" t="s">
        <v>5571</v>
      </c>
      <c r="R5246" t="s">
        <v>730</v>
      </c>
      <c r="S5246" t="s">
        <v>731</v>
      </c>
      <c r="T5246" t="s">
        <v>732</v>
      </c>
    </row>
    <row r="5247" spans="1:20" x14ac:dyDescent="0.25">
      <c r="A5247" t="s">
        <v>59</v>
      </c>
      <c r="B5247" t="s">
        <v>60</v>
      </c>
      <c r="C5247" t="s">
        <v>32</v>
      </c>
      <c r="D5247" t="s">
        <v>719</v>
      </c>
      <c r="F5247" t="s">
        <v>35</v>
      </c>
      <c r="G5247" t="s">
        <v>35</v>
      </c>
      <c r="H5247" t="s">
        <v>35</v>
      </c>
      <c r="J5247" t="s">
        <v>5843</v>
      </c>
      <c r="K5247" t="s">
        <v>1092</v>
      </c>
      <c r="M5247">
        <v>0.45</v>
      </c>
      <c r="N5247">
        <v>1628</v>
      </c>
      <c r="O5247" t="s">
        <v>575</v>
      </c>
      <c r="Q5247" t="s">
        <v>2313</v>
      </c>
      <c r="R5247" t="s">
        <v>730</v>
      </c>
      <c r="S5247" t="s">
        <v>731</v>
      </c>
      <c r="T5247" t="s">
        <v>732</v>
      </c>
    </row>
    <row r="5248" spans="1:20" x14ac:dyDescent="0.25">
      <c r="A5248" t="s">
        <v>59</v>
      </c>
      <c r="B5248" t="s">
        <v>31</v>
      </c>
      <c r="C5248" t="s">
        <v>32</v>
      </c>
      <c r="D5248" t="s">
        <v>719</v>
      </c>
      <c r="F5248" t="s">
        <v>35</v>
      </c>
      <c r="G5248" t="s">
        <v>35</v>
      </c>
      <c r="H5248" t="s">
        <v>35</v>
      </c>
      <c r="J5248" t="s">
        <v>5843</v>
      </c>
      <c r="K5248" t="s">
        <v>1092</v>
      </c>
      <c r="M5248">
        <v>0.58499999999999996</v>
      </c>
      <c r="N5248">
        <v>1968</v>
      </c>
      <c r="O5248" t="s">
        <v>575</v>
      </c>
      <c r="Q5248" t="s">
        <v>3532</v>
      </c>
      <c r="R5248" t="s">
        <v>730</v>
      </c>
      <c r="S5248" t="s">
        <v>731</v>
      </c>
      <c r="T5248" t="s">
        <v>732</v>
      </c>
    </row>
    <row r="5249" spans="1:20" x14ac:dyDescent="0.25">
      <c r="A5249" t="s">
        <v>30</v>
      </c>
      <c r="B5249" t="s">
        <v>31</v>
      </c>
      <c r="C5249" t="s">
        <v>32</v>
      </c>
      <c r="D5249" t="s">
        <v>719</v>
      </c>
      <c r="F5249" t="s">
        <v>35</v>
      </c>
      <c r="G5249" t="s">
        <v>35</v>
      </c>
      <c r="H5249" t="s">
        <v>35</v>
      </c>
      <c r="J5249" t="s">
        <v>5841</v>
      </c>
      <c r="K5249" t="s">
        <v>1092</v>
      </c>
      <c r="M5249">
        <v>9.5850000000000009</v>
      </c>
      <c r="N5249">
        <v>42</v>
      </c>
      <c r="O5249" t="s">
        <v>52</v>
      </c>
      <c r="Q5249" t="s">
        <v>219</v>
      </c>
      <c r="R5249" t="s">
        <v>730</v>
      </c>
      <c r="S5249" t="s">
        <v>731</v>
      </c>
      <c r="T5249" t="s">
        <v>732</v>
      </c>
    </row>
    <row r="5250" spans="1:20" x14ac:dyDescent="0.25">
      <c r="A5250" t="s">
        <v>59</v>
      </c>
      <c r="B5250" t="s">
        <v>60</v>
      </c>
      <c r="C5250" t="s">
        <v>32</v>
      </c>
      <c r="D5250" t="s">
        <v>719</v>
      </c>
      <c r="F5250" t="s">
        <v>35</v>
      </c>
      <c r="G5250" t="s">
        <v>35</v>
      </c>
      <c r="H5250" t="s">
        <v>35</v>
      </c>
      <c r="J5250" t="s">
        <v>5841</v>
      </c>
      <c r="K5250" t="s">
        <v>1092</v>
      </c>
      <c r="M5250">
        <v>0.25</v>
      </c>
      <c r="N5250">
        <v>207</v>
      </c>
      <c r="O5250" t="s">
        <v>5</v>
      </c>
      <c r="Q5250" t="s">
        <v>537</v>
      </c>
      <c r="R5250" t="s">
        <v>730</v>
      </c>
      <c r="S5250" t="s">
        <v>731</v>
      </c>
      <c r="T5250" t="s">
        <v>732</v>
      </c>
    </row>
    <row r="5251" spans="1:20" x14ac:dyDescent="0.25">
      <c r="A5251" t="s">
        <v>59</v>
      </c>
      <c r="B5251" t="s">
        <v>31</v>
      </c>
      <c r="C5251" t="s">
        <v>32</v>
      </c>
      <c r="D5251" t="s">
        <v>719</v>
      </c>
      <c r="E5251" t="s">
        <v>5756</v>
      </c>
      <c r="F5251" t="s">
        <v>35</v>
      </c>
      <c r="G5251" t="s">
        <v>35</v>
      </c>
      <c r="H5251" t="s">
        <v>35</v>
      </c>
      <c r="J5251" t="s">
        <v>5773</v>
      </c>
      <c r="K5251" t="s">
        <v>1092</v>
      </c>
      <c r="M5251">
        <v>4.4999999999999998E-2</v>
      </c>
      <c r="N5251">
        <v>191</v>
      </c>
      <c r="O5251" t="s">
        <v>5</v>
      </c>
      <c r="Q5251" t="s">
        <v>4086</v>
      </c>
      <c r="R5251" t="s">
        <v>730</v>
      </c>
      <c r="S5251" t="s">
        <v>731</v>
      </c>
      <c r="T5251" t="s">
        <v>732</v>
      </c>
    </row>
    <row r="5252" spans="1:20" x14ac:dyDescent="0.25">
      <c r="A5252" t="s">
        <v>30</v>
      </c>
      <c r="B5252" t="s">
        <v>31</v>
      </c>
      <c r="C5252" t="s">
        <v>32</v>
      </c>
      <c r="D5252" t="s">
        <v>719</v>
      </c>
      <c r="E5252" t="s">
        <v>5756</v>
      </c>
      <c r="F5252" t="s">
        <v>35</v>
      </c>
      <c r="G5252" t="s">
        <v>35</v>
      </c>
      <c r="H5252" t="s">
        <v>35</v>
      </c>
      <c r="J5252" t="s">
        <v>5765</v>
      </c>
      <c r="K5252" t="s">
        <v>1092</v>
      </c>
      <c r="M5252">
        <v>11.025</v>
      </c>
      <c r="N5252">
        <v>62</v>
      </c>
      <c r="O5252" t="s">
        <v>61</v>
      </c>
      <c r="Q5252" t="s">
        <v>139</v>
      </c>
      <c r="R5252" t="s">
        <v>730</v>
      </c>
      <c r="S5252" t="s">
        <v>731</v>
      </c>
      <c r="T5252" t="s">
        <v>732</v>
      </c>
    </row>
    <row r="5253" spans="1:20" x14ac:dyDescent="0.25">
      <c r="A5253" t="s">
        <v>30</v>
      </c>
      <c r="B5253" t="s">
        <v>31</v>
      </c>
      <c r="C5253" t="s">
        <v>32</v>
      </c>
      <c r="D5253" t="s">
        <v>719</v>
      </c>
      <c r="E5253" t="s">
        <v>5497</v>
      </c>
      <c r="F5253" t="s">
        <v>35</v>
      </c>
      <c r="G5253" t="s">
        <v>35</v>
      </c>
      <c r="H5253" t="s">
        <v>35</v>
      </c>
      <c r="J5253" t="s">
        <v>5506</v>
      </c>
      <c r="K5253" t="s">
        <v>1092</v>
      </c>
      <c r="M5253">
        <v>3.87</v>
      </c>
      <c r="N5253">
        <v>42</v>
      </c>
      <c r="O5253" t="s">
        <v>52</v>
      </c>
      <c r="Q5253" t="s">
        <v>219</v>
      </c>
      <c r="R5253" t="s">
        <v>730</v>
      </c>
      <c r="S5253" t="s">
        <v>731</v>
      </c>
      <c r="T5253" t="s">
        <v>732</v>
      </c>
    </row>
    <row r="5254" spans="1:20" x14ac:dyDescent="0.25">
      <c r="A5254" t="s">
        <v>59</v>
      </c>
      <c r="B5254" t="s">
        <v>31</v>
      </c>
      <c r="C5254" t="s">
        <v>32</v>
      </c>
      <c r="D5254" t="s">
        <v>719</v>
      </c>
      <c r="E5254" t="s">
        <v>5756</v>
      </c>
      <c r="F5254" t="s">
        <v>35</v>
      </c>
      <c r="G5254" t="s">
        <v>35</v>
      </c>
      <c r="H5254" t="s">
        <v>35</v>
      </c>
      <c r="J5254" t="s">
        <v>5774</v>
      </c>
      <c r="K5254" t="s">
        <v>1092</v>
      </c>
      <c r="M5254">
        <v>5.49</v>
      </c>
      <c r="N5254">
        <v>165</v>
      </c>
      <c r="O5254" t="s">
        <v>38</v>
      </c>
      <c r="Q5254" t="s">
        <v>1124</v>
      </c>
      <c r="R5254" t="s">
        <v>730</v>
      </c>
      <c r="S5254" t="s">
        <v>731</v>
      </c>
      <c r="T5254" t="s">
        <v>732</v>
      </c>
    </row>
    <row r="5255" spans="1:20" x14ac:dyDescent="0.25">
      <c r="A5255" t="s">
        <v>59</v>
      </c>
      <c r="B5255" t="s">
        <v>31</v>
      </c>
      <c r="C5255" t="s">
        <v>32</v>
      </c>
      <c r="D5255" t="s">
        <v>719</v>
      </c>
      <c r="F5255" t="s">
        <v>35</v>
      </c>
      <c r="G5255" t="s">
        <v>35</v>
      </c>
      <c r="H5255" t="s">
        <v>35</v>
      </c>
      <c r="J5255" t="s">
        <v>5856</v>
      </c>
      <c r="K5255" t="s">
        <v>1092</v>
      </c>
      <c r="M5255">
        <v>4.41</v>
      </c>
      <c r="N5255">
        <v>1237</v>
      </c>
      <c r="O5255" t="s">
        <v>575</v>
      </c>
      <c r="Q5255" t="s">
        <v>3487</v>
      </c>
      <c r="R5255" t="s">
        <v>730</v>
      </c>
      <c r="S5255" t="s">
        <v>731</v>
      </c>
      <c r="T5255" t="s">
        <v>732</v>
      </c>
    </row>
    <row r="5256" spans="1:20" x14ac:dyDescent="0.25">
      <c r="A5256" t="s">
        <v>30</v>
      </c>
      <c r="B5256" t="s">
        <v>31</v>
      </c>
      <c r="C5256" t="s">
        <v>32</v>
      </c>
      <c r="D5256" t="s">
        <v>719</v>
      </c>
      <c r="F5256" t="s">
        <v>35</v>
      </c>
      <c r="G5256" t="s">
        <v>35</v>
      </c>
      <c r="H5256" t="s">
        <v>35</v>
      </c>
      <c r="J5256" t="s">
        <v>5856</v>
      </c>
      <c r="K5256" t="s">
        <v>1092</v>
      </c>
      <c r="M5256">
        <v>8.5050000000000008</v>
      </c>
      <c r="N5256">
        <v>1217</v>
      </c>
      <c r="O5256" t="s">
        <v>575</v>
      </c>
      <c r="Q5256" t="s">
        <v>3614</v>
      </c>
      <c r="R5256" t="s">
        <v>730</v>
      </c>
      <c r="S5256" t="s">
        <v>731</v>
      </c>
      <c r="T5256" t="s">
        <v>732</v>
      </c>
    </row>
    <row r="5257" spans="1:20" x14ac:dyDescent="0.25">
      <c r="A5257" t="s">
        <v>59</v>
      </c>
      <c r="B5257" t="s">
        <v>60</v>
      </c>
      <c r="C5257" t="s">
        <v>32</v>
      </c>
      <c r="D5257" t="s">
        <v>719</v>
      </c>
      <c r="F5257" t="s">
        <v>35</v>
      </c>
      <c r="G5257" t="s">
        <v>35</v>
      </c>
      <c r="H5257" t="s">
        <v>35</v>
      </c>
      <c r="J5257" t="s">
        <v>5856</v>
      </c>
      <c r="K5257" t="s">
        <v>1092</v>
      </c>
      <c r="M5257">
        <v>2</v>
      </c>
      <c r="N5257">
        <v>1250</v>
      </c>
      <c r="O5257" t="s">
        <v>575</v>
      </c>
      <c r="Q5257" t="s">
        <v>4071</v>
      </c>
      <c r="R5257" t="s">
        <v>730</v>
      </c>
      <c r="S5257" t="s">
        <v>731</v>
      </c>
      <c r="T5257" t="s">
        <v>732</v>
      </c>
    </row>
    <row r="5258" spans="1:20" x14ac:dyDescent="0.25">
      <c r="A5258" t="s">
        <v>30</v>
      </c>
      <c r="B5258" t="s">
        <v>31</v>
      </c>
      <c r="C5258" t="s">
        <v>32</v>
      </c>
      <c r="D5258" t="s">
        <v>719</v>
      </c>
      <c r="E5258" t="s">
        <v>720</v>
      </c>
      <c r="F5258" t="s">
        <v>35</v>
      </c>
      <c r="G5258" t="s">
        <v>35</v>
      </c>
      <c r="H5258" t="s">
        <v>35</v>
      </c>
      <c r="J5258" t="s">
        <v>5429</v>
      </c>
      <c r="K5258" t="s">
        <v>1092</v>
      </c>
      <c r="M5258">
        <v>8.9550000000000001</v>
      </c>
      <c r="N5258">
        <v>496</v>
      </c>
      <c r="O5258" t="s">
        <v>294</v>
      </c>
      <c r="Q5258" t="s">
        <v>3139</v>
      </c>
      <c r="R5258" t="s">
        <v>730</v>
      </c>
      <c r="S5258" t="s">
        <v>731</v>
      </c>
      <c r="T5258" t="s">
        <v>732</v>
      </c>
    </row>
    <row r="5259" spans="1:20" x14ac:dyDescent="0.25">
      <c r="A5259" t="s">
        <v>30</v>
      </c>
      <c r="B5259" t="s">
        <v>31</v>
      </c>
      <c r="C5259" t="s">
        <v>32</v>
      </c>
      <c r="D5259" t="s">
        <v>719</v>
      </c>
      <c r="E5259" t="s">
        <v>5756</v>
      </c>
      <c r="F5259" t="s">
        <v>35</v>
      </c>
      <c r="G5259" t="s">
        <v>35</v>
      </c>
      <c r="H5259" t="s">
        <v>35</v>
      </c>
      <c r="J5259" t="s">
        <v>5757</v>
      </c>
      <c r="K5259" t="s">
        <v>1092</v>
      </c>
      <c r="M5259">
        <v>6.66</v>
      </c>
      <c r="N5259">
        <v>62</v>
      </c>
      <c r="O5259" t="s">
        <v>61</v>
      </c>
      <c r="Q5259" t="s">
        <v>139</v>
      </c>
      <c r="R5259" t="s">
        <v>730</v>
      </c>
      <c r="S5259" t="s">
        <v>731</v>
      </c>
      <c r="T5259" t="s">
        <v>732</v>
      </c>
    </row>
    <row r="5260" spans="1:20" x14ac:dyDescent="0.25">
      <c r="A5260" t="s">
        <v>30</v>
      </c>
      <c r="B5260" t="s">
        <v>31</v>
      </c>
      <c r="C5260" t="s">
        <v>32</v>
      </c>
      <c r="D5260" t="s">
        <v>719</v>
      </c>
      <c r="E5260" t="s">
        <v>738</v>
      </c>
      <c r="F5260" t="s">
        <v>35</v>
      </c>
      <c r="G5260" t="s">
        <v>35</v>
      </c>
      <c r="H5260" t="s">
        <v>35</v>
      </c>
      <c r="J5260" t="s">
        <v>5600</v>
      </c>
      <c r="K5260" t="s">
        <v>1092</v>
      </c>
      <c r="M5260">
        <v>0.45</v>
      </c>
      <c r="N5260">
        <v>1188</v>
      </c>
      <c r="O5260" t="s">
        <v>575</v>
      </c>
      <c r="Q5260" t="s">
        <v>2433</v>
      </c>
      <c r="R5260" t="s">
        <v>5601</v>
      </c>
      <c r="S5260" t="s">
        <v>5602</v>
      </c>
      <c r="T5260" t="s">
        <v>5603</v>
      </c>
    </row>
    <row r="5261" spans="1:20" x14ac:dyDescent="0.25">
      <c r="A5261" t="s">
        <v>59</v>
      </c>
      <c r="B5261" t="s">
        <v>31</v>
      </c>
      <c r="C5261" t="s">
        <v>32</v>
      </c>
      <c r="D5261" t="s">
        <v>719</v>
      </c>
      <c r="E5261" t="s">
        <v>5756</v>
      </c>
      <c r="F5261" t="s">
        <v>35</v>
      </c>
      <c r="G5261" t="s">
        <v>35</v>
      </c>
      <c r="H5261" t="s">
        <v>35</v>
      </c>
      <c r="J5261" t="s">
        <v>5777</v>
      </c>
      <c r="K5261" t="s">
        <v>1092</v>
      </c>
      <c r="M5261">
        <v>0.34</v>
      </c>
      <c r="N5261">
        <v>1214</v>
      </c>
      <c r="O5261" t="s">
        <v>575</v>
      </c>
      <c r="Q5261" t="s">
        <v>4540</v>
      </c>
      <c r="R5261" t="s">
        <v>5601</v>
      </c>
      <c r="S5261" t="s">
        <v>5602</v>
      </c>
      <c r="T5261" t="s">
        <v>5603</v>
      </c>
    </row>
    <row r="5262" spans="1:20" x14ac:dyDescent="0.25">
      <c r="A5262" t="s">
        <v>59</v>
      </c>
      <c r="B5262" t="s">
        <v>31</v>
      </c>
      <c r="C5262" t="s">
        <v>32</v>
      </c>
      <c r="D5262" t="s">
        <v>719</v>
      </c>
      <c r="F5262" t="s">
        <v>35</v>
      </c>
      <c r="G5262" t="s">
        <v>35</v>
      </c>
      <c r="H5262" t="s">
        <v>35</v>
      </c>
      <c r="J5262" t="s">
        <v>5848</v>
      </c>
      <c r="K5262" t="s">
        <v>1092</v>
      </c>
      <c r="M5262">
        <v>0.18</v>
      </c>
      <c r="N5262">
        <v>1528</v>
      </c>
      <c r="O5262" t="s">
        <v>575</v>
      </c>
      <c r="Q5262" t="s">
        <v>3072</v>
      </c>
      <c r="R5262" t="s">
        <v>5601</v>
      </c>
      <c r="S5262" t="s">
        <v>5602</v>
      </c>
      <c r="T5262" t="s">
        <v>5603</v>
      </c>
    </row>
    <row r="5263" spans="1:20" x14ac:dyDescent="0.25">
      <c r="A5263" t="s">
        <v>30</v>
      </c>
      <c r="B5263" t="s">
        <v>31</v>
      </c>
      <c r="C5263" t="s">
        <v>32</v>
      </c>
      <c r="D5263" t="s">
        <v>719</v>
      </c>
      <c r="F5263" t="s">
        <v>35</v>
      </c>
      <c r="G5263" t="s">
        <v>35</v>
      </c>
      <c r="H5263" t="s">
        <v>35</v>
      </c>
      <c r="J5263" t="s">
        <v>5848</v>
      </c>
      <c r="K5263" t="s">
        <v>1092</v>
      </c>
      <c r="M5263">
        <v>5.0000000000000001E-3</v>
      </c>
      <c r="N5263">
        <v>1188</v>
      </c>
      <c r="O5263" t="s">
        <v>575</v>
      </c>
      <c r="Q5263" t="s">
        <v>2433</v>
      </c>
      <c r="R5263" t="s">
        <v>5601</v>
      </c>
      <c r="S5263" t="s">
        <v>5602</v>
      </c>
      <c r="T5263" t="s">
        <v>5603</v>
      </c>
    </row>
    <row r="5264" spans="1:20" x14ac:dyDescent="0.25">
      <c r="A5264" t="s">
        <v>30</v>
      </c>
      <c r="B5264" t="s">
        <v>31</v>
      </c>
      <c r="C5264" t="s">
        <v>32</v>
      </c>
      <c r="D5264" t="s">
        <v>719</v>
      </c>
      <c r="E5264" t="s">
        <v>738</v>
      </c>
      <c r="F5264" t="s">
        <v>35</v>
      </c>
      <c r="G5264" t="s">
        <v>35</v>
      </c>
      <c r="H5264" t="s">
        <v>35</v>
      </c>
      <c r="J5264" t="s">
        <v>5605</v>
      </c>
      <c r="K5264" t="s">
        <v>1092</v>
      </c>
      <c r="M5264">
        <v>0.55000000000000004</v>
      </c>
      <c r="N5264">
        <v>1593</v>
      </c>
      <c r="O5264" t="s">
        <v>575</v>
      </c>
      <c r="Q5264" t="s">
        <v>5606</v>
      </c>
      <c r="R5264" t="s">
        <v>5601</v>
      </c>
      <c r="S5264" t="s">
        <v>5602</v>
      </c>
      <c r="T5264" t="s">
        <v>5603</v>
      </c>
    </row>
    <row r="5265" spans="1:20" x14ac:dyDescent="0.25">
      <c r="A5265" t="s">
        <v>30</v>
      </c>
      <c r="B5265" t="s">
        <v>31</v>
      </c>
      <c r="C5265" t="s">
        <v>32</v>
      </c>
      <c r="D5265" t="s">
        <v>719</v>
      </c>
      <c r="F5265" t="s">
        <v>35</v>
      </c>
      <c r="G5265" t="s">
        <v>35</v>
      </c>
      <c r="H5265" t="s">
        <v>35</v>
      </c>
      <c r="J5265" t="s">
        <v>5862</v>
      </c>
      <c r="K5265" t="s">
        <v>1092</v>
      </c>
      <c r="M5265">
        <v>2.3090000000000002</v>
      </c>
      <c r="N5265">
        <v>1925</v>
      </c>
      <c r="O5265" t="s">
        <v>575</v>
      </c>
      <c r="Q5265" t="s">
        <v>5863</v>
      </c>
      <c r="R5265" t="s">
        <v>5864</v>
      </c>
      <c r="S5265" t="s">
        <v>5865</v>
      </c>
      <c r="T5265" t="s">
        <v>5866</v>
      </c>
    </row>
    <row r="5266" spans="1:20" x14ac:dyDescent="0.25">
      <c r="A5266" t="s">
        <v>59</v>
      </c>
      <c r="B5266" t="s">
        <v>60</v>
      </c>
      <c r="C5266" t="s">
        <v>32</v>
      </c>
      <c r="D5266" t="s">
        <v>719</v>
      </c>
      <c r="E5266" t="s">
        <v>5497</v>
      </c>
      <c r="F5266" t="s">
        <v>35</v>
      </c>
      <c r="G5266" t="s">
        <v>35</v>
      </c>
      <c r="H5266" t="s">
        <v>35</v>
      </c>
      <c r="J5266" t="s">
        <v>5524</v>
      </c>
      <c r="K5266" t="s">
        <v>1092</v>
      </c>
      <c r="M5266">
        <v>0.55000000000000004</v>
      </c>
      <c r="N5266">
        <v>1150</v>
      </c>
      <c r="O5266" t="s">
        <v>575</v>
      </c>
      <c r="Q5266" t="s">
        <v>5525</v>
      </c>
      <c r="R5266" t="s">
        <v>5526</v>
      </c>
      <c r="S5266" t="s">
        <v>5527</v>
      </c>
      <c r="T5266" t="s">
        <v>5528</v>
      </c>
    </row>
    <row r="5267" spans="1:20" x14ac:dyDescent="0.25">
      <c r="A5267" t="s">
        <v>59</v>
      </c>
      <c r="B5267" t="s">
        <v>60</v>
      </c>
      <c r="C5267" t="s">
        <v>32</v>
      </c>
      <c r="D5267" t="s">
        <v>719</v>
      </c>
      <c r="E5267" t="s">
        <v>5795</v>
      </c>
      <c r="F5267" t="s">
        <v>35</v>
      </c>
      <c r="G5267" t="s">
        <v>35</v>
      </c>
      <c r="H5267" t="s">
        <v>35</v>
      </c>
      <c r="J5267" t="s">
        <v>5806</v>
      </c>
      <c r="K5267" t="s">
        <v>1092</v>
      </c>
      <c r="M5267">
        <v>0.3</v>
      </c>
      <c r="N5267">
        <v>1164</v>
      </c>
      <c r="O5267" t="s">
        <v>575</v>
      </c>
      <c r="Q5267" t="s">
        <v>5807</v>
      </c>
      <c r="R5267" t="s">
        <v>5526</v>
      </c>
      <c r="S5267" t="s">
        <v>5527</v>
      </c>
      <c r="T5267" t="s">
        <v>5528</v>
      </c>
    </row>
    <row r="5268" spans="1:20" x14ac:dyDescent="0.25">
      <c r="A5268" t="s">
        <v>30</v>
      </c>
      <c r="B5268" t="s">
        <v>31</v>
      </c>
      <c r="C5268" t="s">
        <v>32</v>
      </c>
      <c r="D5268" t="s">
        <v>719</v>
      </c>
      <c r="E5268" t="s">
        <v>738</v>
      </c>
      <c r="F5268" t="s">
        <v>35</v>
      </c>
      <c r="G5268" t="s">
        <v>35</v>
      </c>
      <c r="H5268" t="s">
        <v>35</v>
      </c>
      <c r="J5268" t="s">
        <v>5582</v>
      </c>
      <c r="K5268" t="s">
        <v>1092</v>
      </c>
      <c r="M5268">
        <v>0.04</v>
      </c>
      <c r="N5268">
        <v>1210</v>
      </c>
      <c r="O5268" t="s">
        <v>575</v>
      </c>
      <c r="Q5268" t="s">
        <v>4334</v>
      </c>
      <c r="R5268" t="s">
        <v>5554</v>
      </c>
      <c r="S5268" t="s">
        <v>5555</v>
      </c>
      <c r="T5268" t="s">
        <v>5556</v>
      </c>
    </row>
    <row r="5269" spans="1:20" x14ac:dyDescent="0.25">
      <c r="A5269" t="s">
        <v>59</v>
      </c>
      <c r="B5269" t="s">
        <v>31</v>
      </c>
      <c r="C5269" t="s">
        <v>32</v>
      </c>
      <c r="D5269" t="s">
        <v>719</v>
      </c>
      <c r="E5269" t="s">
        <v>738</v>
      </c>
      <c r="F5269" t="s">
        <v>35</v>
      </c>
      <c r="G5269" t="s">
        <v>35</v>
      </c>
      <c r="H5269" t="s">
        <v>35</v>
      </c>
      <c r="J5269" t="s">
        <v>5572</v>
      </c>
      <c r="K5269" t="s">
        <v>1092</v>
      </c>
      <c r="M5269">
        <v>7.4999999999999997E-2</v>
      </c>
      <c r="N5269">
        <v>1246</v>
      </c>
      <c r="O5269" t="s">
        <v>575</v>
      </c>
      <c r="Q5269" t="s">
        <v>5573</v>
      </c>
      <c r="R5269" t="s">
        <v>5554</v>
      </c>
      <c r="S5269" t="s">
        <v>5555</v>
      </c>
      <c r="T5269" t="s">
        <v>5556</v>
      </c>
    </row>
    <row r="5270" spans="1:20" x14ac:dyDescent="0.25">
      <c r="A5270" t="s">
        <v>30</v>
      </c>
      <c r="B5270" t="s">
        <v>31</v>
      </c>
      <c r="C5270" t="s">
        <v>32</v>
      </c>
      <c r="D5270" t="s">
        <v>719</v>
      </c>
      <c r="E5270" t="s">
        <v>738</v>
      </c>
      <c r="F5270" t="s">
        <v>35</v>
      </c>
      <c r="G5270" t="s">
        <v>35</v>
      </c>
      <c r="H5270" t="s">
        <v>35</v>
      </c>
      <c r="J5270" t="s">
        <v>5572</v>
      </c>
      <c r="K5270" t="s">
        <v>1092</v>
      </c>
      <c r="M5270">
        <v>5.0000000000000001E-3</v>
      </c>
      <c r="N5270">
        <v>1210</v>
      </c>
      <c r="O5270" t="s">
        <v>575</v>
      </c>
      <c r="Q5270" t="s">
        <v>4334</v>
      </c>
      <c r="R5270" t="s">
        <v>5554</v>
      </c>
      <c r="S5270" t="s">
        <v>5555</v>
      </c>
      <c r="T5270" t="s">
        <v>5556</v>
      </c>
    </row>
    <row r="5271" spans="1:20" x14ac:dyDescent="0.25">
      <c r="A5271" t="s">
        <v>59</v>
      </c>
      <c r="B5271" t="s">
        <v>60</v>
      </c>
      <c r="C5271" t="s">
        <v>32</v>
      </c>
      <c r="D5271" t="s">
        <v>719</v>
      </c>
      <c r="E5271" t="s">
        <v>738</v>
      </c>
      <c r="F5271" t="s">
        <v>35</v>
      </c>
      <c r="G5271" t="s">
        <v>35</v>
      </c>
      <c r="H5271" t="s">
        <v>35</v>
      </c>
      <c r="J5271" t="s">
        <v>5553</v>
      </c>
      <c r="K5271" t="s">
        <v>1092</v>
      </c>
      <c r="M5271">
        <v>3.75</v>
      </c>
      <c r="N5271">
        <v>131</v>
      </c>
      <c r="O5271" t="s">
        <v>38</v>
      </c>
      <c r="Q5271" t="s">
        <v>542</v>
      </c>
      <c r="R5271" t="s">
        <v>5554</v>
      </c>
      <c r="S5271" t="s">
        <v>5555</v>
      </c>
      <c r="T5271" t="s">
        <v>5556</v>
      </c>
    </row>
    <row r="5272" spans="1:20" x14ac:dyDescent="0.25">
      <c r="A5272" t="s">
        <v>30</v>
      </c>
      <c r="B5272" t="s">
        <v>31</v>
      </c>
      <c r="C5272" t="s">
        <v>32</v>
      </c>
      <c r="D5272" t="s">
        <v>719</v>
      </c>
      <c r="E5272" t="s">
        <v>755</v>
      </c>
      <c r="F5272" t="s">
        <v>35</v>
      </c>
      <c r="G5272" t="s">
        <v>35</v>
      </c>
      <c r="H5272" t="s">
        <v>35</v>
      </c>
      <c r="J5272" t="s">
        <v>756</v>
      </c>
      <c r="K5272" t="s">
        <v>37</v>
      </c>
      <c r="M5272">
        <v>34.11</v>
      </c>
      <c r="N5272">
        <v>42</v>
      </c>
      <c r="O5272" t="s">
        <v>52</v>
      </c>
      <c r="P5272" t="s">
        <v>758</v>
      </c>
      <c r="Q5272" t="s">
        <v>219</v>
      </c>
      <c r="R5272" t="s">
        <v>91</v>
      </c>
      <c r="S5272" t="s">
        <v>92</v>
      </c>
    </row>
    <row r="5273" spans="1:20" x14ac:dyDescent="0.25">
      <c r="A5273" t="s">
        <v>30</v>
      </c>
      <c r="B5273" t="s">
        <v>31</v>
      </c>
      <c r="C5273" t="s">
        <v>32</v>
      </c>
      <c r="D5273" t="s">
        <v>719</v>
      </c>
      <c r="E5273" t="s">
        <v>755</v>
      </c>
      <c r="F5273" t="s">
        <v>35</v>
      </c>
      <c r="G5273" t="s">
        <v>35</v>
      </c>
      <c r="H5273" t="s">
        <v>35</v>
      </c>
      <c r="J5273" t="s">
        <v>759</v>
      </c>
      <c r="K5273" t="s">
        <v>37</v>
      </c>
      <c r="M5273">
        <v>1.08</v>
      </c>
      <c r="N5273">
        <v>42</v>
      </c>
      <c r="O5273" t="s">
        <v>52</v>
      </c>
      <c r="P5273" t="s">
        <v>761</v>
      </c>
      <c r="Q5273" t="s">
        <v>219</v>
      </c>
      <c r="R5273" t="s">
        <v>91</v>
      </c>
      <c r="S5273" t="s">
        <v>92</v>
      </c>
    </row>
    <row r="5274" spans="1:20" x14ac:dyDescent="0.25">
      <c r="A5274" t="s">
        <v>44</v>
      </c>
      <c r="B5274" t="s">
        <v>51</v>
      </c>
      <c r="C5274" t="s">
        <v>32</v>
      </c>
      <c r="D5274" t="s">
        <v>719</v>
      </c>
      <c r="E5274" t="s">
        <v>755</v>
      </c>
      <c r="F5274" t="s">
        <v>35</v>
      </c>
      <c r="G5274" t="s">
        <v>35</v>
      </c>
      <c r="H5274" t="s">
        <v>35</v>
      </c>
      <c r="J5274" t="s">
        <v>759</v>
      </c>
      <c r="K5274" t="s">
        <v>37</v>
      </c>
      <c r="M5274">
        <v>11</v>
      </c>
      <c r="N5274">
        <v>76</v>
      </c>
      <c r="O5274" t="s">
        <v>61</v>
      </c>
      <c r="P5274" t="s">
        <v>762</v>
      </c>
      <c r="Q5274" t="s">
        <v>455</v>
      </c>
      <c r="R5274" t="s">
        <v>91</v>
      </c>
      <c r="S5274" t="s">
        <v>92</v>
      </c>
    </row>
    <row r="5275" spans="1:20" x14ac:dyDescent="0.25">
      <c r="A5275" t="s">
        <v>44</v>
      </c>
      <c r="B5275" t="s">
        <v>51</v>
      </c>
      <c r="C5275" t="s">
        <v>32</v>
      </c>
      <c r="D5275" t="s">
        <v>719</v>
      </c>
      <c r="E5275" t="s">
        <v>763</v>
      </c>
      <c r="F5275" t="s">
        <v>35</v>
      </c>
      <c r="G5275" t="s">
        <v>35</v>
      </c>
      <c r="H5275" t="s">
        <v>35</v>
      </c>
      <c r="J5275" t="s">
        <v>736</v>
      </c>
      <c r="K5275" t="s">
        <v>37</v>
      </c>
      <c r="M5275">
        <v>33</v>
      </c>
      <c r="N5275">
        <v>76</v>
      </c>
      <c r="O5275" t="s">
        <v>61</v>
      </c>
      <c r="P5275" t="s">
        <v>764</v>
      </c>
      <c r="Q5275" t="s">
        <v>455</v>
      </c>
      <c r="R5275" t="s">
        <v>91</v>
      </c>
      <c r="S5275" t="s">
        <v>92</v>
      </c>
    </row>
    <row r="5276" spans="1:20" x14ac:dyDescent="0.25">
      <c r="A5276" t="s">
        <v>44</v>
      </c>
      <c r="B5276" t="s">
        <v>51</v>
      </c>
      <c r="C5276" t="s">
        <v>32</v>
      </c>
      <c r="D5276" t="s">
        <v>719</v>
      </c>
      <c r="E5276" t="s">
        <v>742</v>
      </c>
      <c r="F5276" t="s">
        <v>35</v>
      </c>
      <c r="G5276" t="s">
        <v>35</v>
      </c>
      <c r="H5276" t="s">
        <v>35</v>
      </c>
      <c r="J5276" t="s">
        <v>731</v>
      </c>
      <c r="K5276" t="s">
        <v>37</v>
      </c>
      <c r="M5276">
        <v>54</v>
      </c>
      <c r="N5276">
        <v>37</v>
      </c>
      <c r="O5276" t="s">
        <v>52</v>
      </c>
      <c r="P5276" t="s">
        <v>743</v>
      </c>
      <c r="Q5276" t="s">
        <v>192</v>
      </c>
      <c r="R5276" t="s">
        <v>91</v>
      </c>
      <c r="S5276" t="s">
        <v>92</v>
      </c>
    </row>
    <row r="5277" spans="1:20" x14ac:dyDescent="0.25">
      <c r="A5277" t="s">
        <v>44</v>
      </c>
      <c r="B5277" t="s">
        <v>51</v>
      </c>
      <c r="C5277" t="s">
        <v>32</v>
      </c>
      <c r="D5277" t="s">
        <v>719</v>
      </c>
      <c r="E5277" t="s">
        <v>742</v>
      </c>
      <c r="F5277" t="s">
        <v>35</v>
      </c>
      <c r="G5277" t="s">
        <v>35</v>
      </c>
      <c r="H5277" t="s">
        <v>35</v>
      </c>
      <c r="J5277" t="s">
        <v>731</v>
      </c>
      <c r="K5277" t="s">
        <v>37</v>
      </c>
      <c r="M5277">
        <v>54</v>
      </c>
      <c r="N5277">
        <v>37</v>
      </c>
      <c r="O5277" t="s">
        <v>52</v>
      </c>
      <c r="P5277" t="s">
        <v>744</v>
      </c>
      <c r="Q5277" t="s">
        <v>192</v>
      </c>
      <c r="R5277" t="s">
        <v>91</v>
      </c>
      <c r="S5277" t="s">
        <v>92</v>
      </c>
    </row>
    <row r="5278" spans="1:20" x14ac:dyDescent="0.25">
      <c r="A5278" t="s">
        <v>44</v>
      </c>
      <c r="B5278" t="s">
        <v>51</v>
      </c>
      <c r="C5278" t="s">
        <v>32</v>
      </c>
      <c r="D5278" t="s">
        <v>719</v>
      </c>
      <c r="E5278" t="s">
        <v>742</v>
      </c>
      <c r="F5278" t="s">
        <v>35</v>
      </c>
      <c r="G5278" t="s">
        <v>35</v>
      </c>
      <c r="H5278" t="s">
        <v>35</v>
      </c>
      <c r="J5278" t="s">
        <v>731</v>
      </c>
      <c r="K5278" t="s">
        <v>37</v>
      </c>
      <c r="M5278">
        <v>50</v>
      </c>
      <c r="N5278">
        <v>34</v>
      </c>
      <c r="O5278" t="s">
        <v>52</v>
      </c>
      <c r="P5278" t="s">
        <v>745</v>
      </c>
      <c r="Q5278" t="s">
        <v>249</v>
      </c>
      <c r="R5278" t="s">
        <v>91</v>
      </c>
      <c r="S5278" t="s">
        <v>92</v>
      </c>
    </row>
    <row r="5279" spans="1:20" x14ac:dyDescent="0.25">
      <c r="A5279" t="s">
        <v>44</v>
      </c>
      <c r="B5279" t="s">
        <v>51</v>
      </c>
      <c r="C5279" t="s">
        <v>32</v>
      </c>
      <c r="D5279" t="s">
        <v>719</v>
      </c>
      <c r="E5279" t="s">
        <v>742</v>
      </c>
      <c r="F5279" t="s">
        <v>35</v>
      </c>
      <c r="G5279" t="s">
        <v>35</v>
      </c>
      <c r="H5279" t="s">
        <v>35</v>
      </c>
      <c r="J5279" t="s">
        <v>731</v>
      </c>
      <c r="K5279" t="s">
        <v>37</v>
      </c>
      <c r="M5279">
        <v>39</v>
      </c>
      <c r="N5279">
        <v>37</v>
      </c>
      <c r="O5279" t="s">
        <v>52</v>
      </c>
      <c r="P5279" t="s">
        <v>746</v>
      </c>
      <c r="Q5279" t="s">
        <v>192</v>
      </c>
      <c r="R5279" t="s">
        <v>91</v>
      </c>
      <c r="S5279" t="s">
        <v>92</v>
      </c>
    </row>
    <row r="5280" spans="1:20" x14ac:dyDescent="0.25">
      <c r="A5280" t="s">
        <v>44</v>
      </c>
      <c r="B5280" t="s">
        <v>51</v>
      </c>
      <c r="C5280" t="s">
        <v>32</v>
      </c>
      <c r="D5280" t="s">
        <v>719</v>
      </c>
      <c r="E5280" t="s">
        <v>742</v>
      </c>
      <c r="F5280" t="s">
        <v>35</v>
      </c>
      <c r="G5280" t="s">
        <v>35</v>
      </c>
      <c r="H5280" t="s">
        <v>35</v>
      </c>
      <c r="J5280" t="s">
        <v>731</v>
      </c>
      <c r="K5280" t="s">
        <v>37</v>
      </c>
      <c r="M5280">
        <v>5</v>
      </c>
      <c r="N5280">
        <v>31</v>
      </c>
      <c r="O5280" t="s">
        <v>52</v>
      </c>
      <c r="P5280" t="s">
        <v>747</v>
      </c>
      <c r="Q5280" t="s">
        <v>748</v>
      </c>
      <c r="R5280" t="s">
        <v>91</v>
      </c>
      <c r="S5280" t="s">
        <v>92</v>
      </c>
    </row>
    <row r="5281" spans="1:20" x14ac:dyDescent="0.25">
      <c r="A5281" t="s">
        <v>44</v>
      </c>
      <c r="B5281" t="s">
        <v>51</v>
      </c>
      <c r="C5281" t="s">
        <v>32</v>
      </c>
      <c r="D5281" t="s">
        <v>719</v>
      </c>
      <c r="E5281" t="s">
        <v>742</v>
      </c>
      <c r="F5281" t="s">
        <v>35</v>
      </c>
      <c r="G5281" t="s">
        <v>35</v>
      </c>
      <c r="H5281" t="s">
        <v>35</v>
      </c>
      <c r="J5281" t="s">
        <v>731</v>
      </c>
      <c r="K5281" t="s">
        <v>37</v>
      </c>
      <c r="M5281">
        <v>45</v>
      </c>
      <c r="N5281">
        <v>34</v>
      </c>
      <c r="O5281" t="s">
        <v>52</v>
      </c>
      <c r="P5281" t="s">
        <v>749</v>
      </c>
      <c r="Q5281" t="s">
        <v>249</v>
      </c>
      <c r="R5281" t="s">
        <v>91</v>
      </c>
      <c r="S5281" t="s">
        <v>92</v>
      </c>
    </row>
    <row r="5282" spans="1:20" x14ac:dyDescent="0.25">
      <c r="A5282" t="s">
        <v>44</v>
      </c>
      <c r="B5282" t="s">
        <v>51</v>
      </c>
      <c r="C5282" t="s">
        <v>32</v>
      </c>
      <c r="D5282" t="s">
        <v>719</v>
      </c>
      <c r="E5282" t="s">
        <v>742</v>
      </c>
      <c r="F5282" t="s">
        <v>35</v>
      </c>
      <c r="G5282" t="s">
        <v>35</v>
      </c>
      <c r="H5282" t="s">
        <v>35</v>
      </c>
      <c r="J5282" t="s">
        <v>731</v>
      </c>
      <c r="K5282" t="s">
        <v>37</v>
      </c>
      <c r="M5282">
        <v>45</v>
      </c>
      <c r="N5282">
        <v>37</v>
      </c>
      <c r="O5282" t="s">
        <v>52</v>
      </c>
      <c r="P5282" t="s">
        <v>750</v>
      </c>
      <c r="Q5282" t="s">
        <v>192</v>
      </c>
      <c r="R5282" t="s">
        <v>91</v>
      </c>
      <c r="S5282" t="s">
        <v>92</v>
      </c>
    </row>
    <row r="5283" spans="1:20" x14ac:dyDescent="0.25">
      <c r="A5283" t="s">
        <v>44</v>
      </c>
      <c r="B5283" t="s">
        <v>51</v>
      </c>
      <c r="C5283" t="s">
        <v>32</v>
      </c>
      <c r="D5283" t="s">
        <v>719</v>
      </c>
      <c r="E5283" t="s">
        <v>742</v>
      </c>
      <c r="F5283" t="s">
        <v>35</v>
      </c>
      <c r="G5283" t="s">
        <v>35</v>
      </c>
      <c r="H5283" t="s">
        <v>35</v>
      </c>
      <c r="J5283" t="s">
        <v>731</v>
      </c>
      <c r="K5283" t="s">
        <v>37</v>
      </c>
      <c r="M5283">
        <v>50</v>
      </c>
      <c r="N5283">
        <v>34</v>
      </c>
      <c r="O5283" t="s">
        <v>52</v>
      </c>
      <c r="P5283" t="s">
        <v>751</v>
      </c>
      <c r="Q5283" t="s">
        <v>249</v>
      </c>
      <c r="R5283" t="s">
        <v>91</v>
      </c>
      <c r="S5283" t="s">
        <v>92</v>
      </c>
    </row>
    <row r="5284" spans="1:20" x14ac:dyDescent="0.25">
      <c r="A5284" t="s">
        <v>44</v>
      </c>
      <c r="B5284" t="s">
        <v>51</v>
      </c>
      <c r="C5284" t="s">
        <v>32</v>
      </c>
      <c r="D5284" t="s">
        <v>719</v>
      </c>
      <c r="E5284" t="s">
        <v>742</v>
      </c>
      <c r="F5284" t="s">
        <v>35</v>
      </c>
      <c r="G5284" t="s">
        <v>35</v>
      </c>
      <c r="H5284" t="s">
        <v>35</v>
      </c>
      <c r="J5284" t="s">
        <v>731</v>
      </c>
      <c r="K5284" t="s">
        <v>37</v>
      </c>
      <c r="M5284">
        <v>50</v>
      </c>
      <c r="N5284">
        <v>34</v>
      </c>
      <c r="O5284" t="s">
        <v>52</v>
      </c>
      <c r="P5284" t="s">
        <v>752</v>
      </c>
      <c r="Q5284" t="s">
        <v>249</v>
      </c>
      <c r="R5284" t="s">
        <v>91</v>
      </c>
      <c r="S5284" t="s">
        <v>92</v>
      </c>
    </row>
    <row r="5285" spans="1:20" x14ac:dyDescent="0.25">
      <c r="A5285" t="s">
        <v>44</v>
      </c>
      <c r="B5285" t="s">
        <v>51</v>
      </c>
      <c r="C5285" t="s">
        <v>32</v>
      </c>
      <c r="D5285" t="s">
        <v>719</v>
      </c>
      <c r="E5285" t="s">
        <v>742</v>
      </c>
      <c r="F5285" t="s">
        <v>35</v>
      </c>
      <c r="G5285" t="s">
        <v>35</v>
      </c>
      <c r="H5285" t="s">
        <v>35</v>
      </c>
      <c r="J5285" t="s">
        <v>731</v>
      </c>
      <c r="K5285" t="s">
        <v>37</v>
      </c>
      <c r="M5285">
        <v>50</v>
      </c>
      <c r="N5285">
        <v>33</v>
      </c>
      <c r="O5285" t="s">
        <v>52</v>
      </c>
      <c r="P5285" t="s">
        <v>753</v>
      </c>
      <c r="Q5285" t="s">
        <v>130</v>
      </c>
      <c r="R5285" t="s">
        <v>91</v>
      </c>
      <c r="S5285" t="s">
        <v>92</v>
      </c>
    </row>
    <row r="5286" spans="1:20" x14ac:dyDescent="0.25">
      <c r="A5286" t="s">
        <v>44</v>
      </c>
      <c r="B5286" t="s">
        <v>51</v>
      </c>
      <c r="C5286" t="s">
        <v>32</v>
      </c>
      <c r="D5286" t="s">
        <v>719</v>
      </c>
      <c r="E5286" t="s">
        <v>742</v>
      </c>
      <c r="F5286" t="s">
        <v>35</v>
      </c>
      <c r="G5286" t="s">
        <v>35</v>
      </c>
      <c r="H5286" t="s">
        <v>35</v>
      </c>
      <c r="J5286" t="s">
        <v>731</v>
      </c>
      <c r="K5286" t="s">
        <v>37</v>
      </c>
      <c r="M5286">
        <v>54</v>
      </c>
      <c r="N5286">
        <v>37</v>
      </c>
      <c r="O5286" t="s">
        <v>52</v>
      </c>
      <c r="P5286" t="s">
        <v>754</v>
      </c>
      <c r="Q5286" t="s">
        <v>192</v>
      </c>
      <c r="R5286" t="s">
        <v>91</v>
      </c>
      <c r="S5286" t="s">
        <v>92</v>
      </c>
    </row>
    <row r="5287" spans="1:20" x14ac:dyDescent="0.25">
      <c r="A5287" t="s">
        <v>59</v>
      </c>
      <c r="B5287" t="s">
        <v>60</v>
      </c>
      <c r="C5287" t="s">
        <v>32</v>
      </c>
      <c r="D5287" t="s">
        <v>719</v>
      </c>
      <c r="E5287" t="s">
        <v>5459</v>
      </c>
      <c r="F5287" t="s">
        <v>35</v>
      </c>
      <c r="G5287" t="s">
        <v>35</v>
      </c>
      <c r="H5287" t="s">
        <v>35</v>
      </c>
      <c r="J5287" t="s">
        <v>5485</v>
      </c>
      <c r="K5287" t="s">
        <v>1092</v>
      </c>
      <c r="M5287">
        <v>0.04</v>
      </c>
      <c r="N5287">
        <v>2666</v>
      </c>
      <c r="O5287" t="s">
        <v>575</v>
      </c>
      <c r="Q5287" t="s">
        <v>1486</v>
      </c>
      <c r="R5287" t="s">
        <v>1487</v>
      </c>
      <c r="S5287" t="s">
        <v>1488</v>
      </c>
    </row>
    <row r="5288" spans="1:20" x14ac:dyDescent="0.25">
      <c r="A5288" t="s">
        <v>30</v>
      </c>
      <c r="B5288" t="s">
        <v>31</v>
      </c>
      <c r="C5288" t="s">
        <v>32</v>
      </c>
      <c r="D5288" t="s">
        <v>719</v>
      </c>
      <c r="F5288" t="s">
        <v>35</v>
      </c>
      <c r="G5288" t="s">
        <v>35</v>
      </c>
      <c r="H5288" t="s">
        <v>35</v>
      </c>
      <c r="J5288" t="s">
        <v>5877</v>
      </c>
      <c r="K5288" t="s">
        <v>1092</v>
      </c>
      <c r="M5288">
        <v>3.375</v>
      </c>
      <c r="N5288">
        <v>2666</v>
      </c>
      <c r="O5288" t="s">
        <v>575</v>
      </c>
      <c r="Q5288" t="s">
        <v>1486</v>
      </c>
      <c r="R5288" t="s">
        <v>1487</v>
      </c>
      <c r="S5288" t="s">
        <v>1488</v>
      </c>
    </row>
    <row r="5289" spans="1:20" x14ac:dyDescent="0.25">
      <c r="A5289" t="s">
        <v>59</v>
      </c>
      <c r="B5289" t="s">
        <v>31</v>
      </c>
      <c r="C5289" t="s">
        <v>32</v>
      </c>
      <c r="D5289" t="s">
        <v>719</v>
      </c>
      <c r="F5289" t="s">
        <v>35</v>
      </c>
      <c r="G5289" t="s">
        <v>35</v>
      </c>
      <c r="H5289" t="s">
        <v>35</v>
      </c>
      <c r="J5289" t="s">
        <v>5881</v>
      </c>
      <c r="K5289" t="s">
        <v>1092</v>
      </c>
      <c r="M5289">
        <v>8.3249999999999993</v>
      </c>
      <c r="N5289">
        <v>2666</v>
      </c>
      <c r="O5289" t="s">
        <v>575</v>
      </c>
      <c r="Q5289" t="s">
        <v>1486</v>
      </c>
      <c r="R5289" t="s">
        <v>1487</v>
      </c>
      <c r="S5289" t="s">
        <v>1488</v>
      </c>
    </row>
    <row r="5290" spans="1:20" x14ac:dyDescent="0.25">
      <c r="A5290" t="s">
        <v>59</v>
      </c>
      <c r="B5290" t="s">
        <v>60</v>
      </c>
      <c r="C5290" t="s">
        <v>32</v>
      </c>
      <c r="D5290" t="s">
        <v>719</v>
      </c>
      <c r="E5290" t="s">
        <v>5497</v>
      </c>
      <c r="F5290" t="s">
        <v>35</v>
      </c>
      <c r="G5290" t="s">
        <v>35</v>
      </c>
      <c r="H5290" t="s">
        <v>35</v>
      </c>
      <c r="J5290" t="s">
        <v>5529</v>
      </c>
      <c r="K5290" t="s">
        <v>1092</v>
      </c>
      <c r="M5290">
        <v>5.4</v>
      </c>
      <c r="N5290">
        <v>143</v>
      </c>
      <c r="O5290" t="s">
        <v>38</v>
      </c>
      <c r="Q5290" t="s">
        <v>1612</v>
      </c>
      <c r="R5290" t="s">
        <v>5530</v>
      </c>
      <c r="S5290" t="s">
        <v>5531</v>
      </c>
      <c r="T5290" t="s">
        <v>5532</v>
      </c>
    </row>
    <row r="5291" spans="1:20" x14ac:dyDescent="0.25">
      <c r="A5291" t="s">
        <v>30</v>
      </c>
      <c r="B5291" t="s">
        <v>31</v>
      </c>
      <c r="C5291" t="s">
        <v>32</v>
      </c>
      <c r="D5291" t="s">
        <v>765</v>
      </c>
      <c r="E5291" t="s">
        <v>5945</v>
      </c>
      <c r="F5291" t="s">
        <v>35</v>
      </c>
      <c r="G5291" t="s">
        <v>35</v>
      </c>
      <c r="H5291" t="s">
        <v>35</v>
      </c>
      <c r="J5291" t="s">
        <v>5946</v>
      </c>
      <c r="K5291" t="s">
        <v>1092</v>
      </c>
      <c r="M5291">
        <v>4.41</v>
      </c>
      <c r="N5291">
        <v>247</v>
      </c>
      <c r="O5291" t="s">
        <v>5</v>
      </c>
      <c r="Q5291" t="s">
        <v>367</v>
      </c>
      <c r="R5291" t="s">
        <v>5892</v>
      </c>
      <c r="S5291" t="s">
        <v>5893</v>
      </c>
      <c r="T5291" t="s">
        <v>5894</v>
      </c>
    </row>
    <row r="5292" spans="1:20" x14ac:dyDescent="0.25">
      <c r="A5292" t="s">
        <v>44</v>
      </c>
      <c r="B5292" t="s">
        <v>51</v>
      </c>
      <c r="C5292" t="s">
        <v>32</v>
      </c>
      <c r="D5292" t="s">
        <v>765</v>
      </c>
      <c r="E5292" t="s">
        <v>766</v>
      </c>
      <c r="F5292" t="s">
        <v>35</v>
      </c>
      <c r="G5292" t="s">
        <v>35</v>
      </c>
      <c r="H5292" t="s">
        <v>35</v>
      </c>
      <c r="J5292" t="s">
        <v>5912</v>
      </c>
      <c r="K5292" t="s">
        <v>1092</v>
      </c>
      <c r="M5292">
        <v>0.25</v>
      </c>
      <c r="N5292">
        <v>55</v>
      </c>
      <c r="O5292" t="s">
        <v>52</v>
      </c>
      <c r="Q5292" t="s">
        <v>90</v>
      </c>
      <c r="R5292" t="s">
        <v>5892</v>
      </c>
      <c r="S5292" t="s">
        <v>5893</v>
      </c>
      <c r="T5292" t="s">
        <v>5894</v>
      </c>
    </row>
    <row r="5293" spans="1:20" x14ac:dyDescent="0.25">
      <c r="A5293" t="s">
        <v>59</v>
      </c>
      <c r="B5293" t="s">
        <v>60</v>
      </c>
      <c r="C5293" t="s">
        <v>32</v>
      </c>
      <c r="D5293" t="s">
        <v>765</v>
      </c>
      <c r="E5293" t="s">
        <v>5890</v>
      </c>
      <c r="F5293" t="s">
        <v>35</v>
      </c>
      <c r="G5293" t="s">
        <v>35</v>
      </c>
      <c r="H5293" t="s">
        <v>35</v>
      </c>
      <c r="J5293" t="s">
        <v>5891</v>
      </c>
      <c r="K5293" t="s">
        <v>1092</v>
      </c>
      <c r="M5293">
        <v>1.5</v>
      </c>
      <c r="N5293">
        <v>258</v>
      </c>
      <c r="O5293" t="s">
        <v>5</v>
      </c>
      <c r="Q5293" t="s">
        <v>1754</v>
      </c>
      <c r="R5293" t="s">
        <v>5892</v>
      </c>
      <c r="S5293" t="s">
        <v>5893</v>
      </c>
      <c r="T5293" t="s">
        <v>5894</v>
      </c>
    </row>
    <row r="5294" spans="1:20" x14ac:dyDescent="0.25">
      <c r="A5294" t="s">
        <v>59</v>
      </c>
      <c r="B5294" t="s">
        <v>60</v>
      </c>
      <c r="C5294" t="s">
        <v>32</v>
      </c>
      <c r="D5294" t="s">
        <v>765</v>
      </c>
      <c r="E5294" t="s">
        <v>5890</v>
      </c>
      <c r="F5294" t="s">
        <v>35</v>
      </c>
      <c r="G5294" t="s">
        <v>35</v>
      </c>
      <c r="H5294" t="s">
        <v>35</v>
      </c>
      <c r="J5294" t="s">
        <v>5891</v>
      </c>
      <c r="K5294" t="s">
        <v>1092</v>
      </c>
      <c r="M5294">
        <v>5.5</v>
      </c>
      <c r="N5294">
        <v>122</v>
      </c>
      <c r="O5294" t="s">
        <v>38</v>
      </c>
      <c r="Q5294" t="s">
        <v>1449</v>
      </c>
      <c r="R5294" t="s">
        <v>5892</v>
      </c>
      <c r="S5294" t="s">
        <v>5893</v>
      </c>
      <c r="T5294" t="s">
        <v>5894</v>
      </c>
    </row>
    <row r="5295" spans="1:20" x14ac:dyDescent="0.25">
      <c r="A5295" t="s">
        <v>44</v>
      </c>
      <c r="B5295" t="s">
        <v>51</v>
      </c>
      <c r="C5295" t="s">
        <v>32</v>
      </c>
      <c r="D5295" t="s">
        <v>765</v>
      </c>
      <c r="E5295" t="s">
        <v>5890</v>
      </c>
      <c r="F5295" t="s">
        <v>35</v>
      </c>
      <c r="G5295" t="s">
        <v>35</v>
      </c>
      <c r="H5295" t="s">
        <v>35</v>
      </c>
      <c r="J5295" t="s">
        <v>5901</v>
      </c>
      <c r="K5295" t="s">
        <v>1092</v>
      </c>
      <c r="M5295">
        <v>2.2000000000000002</v>
      </c>
      <c r="N5295">
        <v>55</v>
      </c>
      <c r="O5295" t="s">
        <v>52</v>
      </c>
      <c r="Q5295" t="s">
        <v>90</v>
      </c>
      <c r="R5295" t="s">
        <v>5892</v>
      </c>
      <c r="S5295" t="s">
        <v>5893</v>
      </c>
      <c r="T5295" t="s">
        <v>5894</v>
      </c>
    </row>
    <row r="5296" spans="1:20" x14ac:dyDescent="0.25">
      <c r="A5296" t="s">
        <v>30</v>
      </c>
      <c r="B5296" t="s">
        <v>31</v>
      </c>
      <c r="C5296" t="s">
        <v>32</v>
      </c>
      <c r="D5296" t="s">
        <v>765</v>
      </c>
      <c r="E5296" t="s">
        <v>5890</v>
      </c>
      <c r="F5296" t="s">
        <v>35</v>
      </c>
      <c r="G5296" t="s">
        <v>35</v>
      </c>
      <c r="H5296" t="s">
        <v>35</v>
      </c>
      <c r="J5296" t="s">
        <v>5901</v>
      </c>
      <c r="K5296" t="s">
        <v>1092</v>
      </c>
      <c r="M5296">
        <v>0.9</v>
      </c>
      <c r="N5296">
        <v>68</v>
      </c>
      <c r="O5296" t="s">
        <v>61</v>
      </c>
      <c r="Q5296" t="s">
        <v>805</v>
      </c>
      <c r="R5296" t="s">
        <v>5892</v>
      </c>
      <c r="S5296" t="s">
        <v>5893</v>
      </c>
      <c r="T5296" t="s">
        <v>5894</v>
      </c>
    </row>
    <row r="5297" spans="1:20" x14ac:dyDescent="0.25">
      <c r="A5297" t="s">
        <v>30</v>
      </c>
      <c r="B5297" t="s">
        <v>31</v>
      </c>
      <c r="C5297" t="s">
        <v>32</v>
      </c>
      <c r="D5297" t="s">
        <v>765</v>
      </c>
      <c r="E5297" t="s">
        <v>5945</v>
      </c>
      <c r="F5297" t="s">
        <v>35</v>
      </c>
      <c r="G5297" t="s">
        <v>35</v>
      </c>
      <c r="H5297" t="s">
        <v>35</v>
      </c>
      <c r="J5297" t="s">
        <v>5947</v>
      </c>
      <c r="K5297" t="s">
        <v>1092</v>
      </c>
      <c r="M5297">
        <v>7.38</v>
      </c>
      <c r="N5297">
        <v>237</v>
      </c>
      <c r="O5297" t="s">
        <v>5</v>
      </c>
      <c r="Q5297" t="s">
        <v>1242</v>
      </c>
      <c r="R5297" t="s">
        <v>5892</v>
      </c>
      <c r="S5297" t="s">
        <v>5893</v>
      </c>
      <c r="T5297" t="s">
        <v>5894</v>
      </c>
    </row>
    <row r="5298" spans="1:20" x14ac:dyDescent="0.25">
      <c r="A5298" t="s">
        <v>30</v>
      </c>
      <c r="B5298" t="s">
        <v>31</v>
      </c>
      <c r="C5298" t="s">
        <v>32</v>
      </c>
      <c r="D5298" t="s">
        <v>765</v>
      </c>
      <c r="E5298" t="s">
        <v>766</v>
      </c>
      <c r="F5298" t="s">
        <v>35</v>
      </c>
      <c r="G5298" t="s">
        <v>35</v>
      </c>
      <c r="H5298" t="s">
        <v>35</v>
      </c>
      <c r="J5298" t="s">
        <v>5925</v>
      </c>
      <c r="K5298" t="s">
        <v>1092</v>
      </c>
      <c r="M5298">
        <v>2.97</v>
      </c>
      <c r="N5298">
        <v>68</v>
      </c>
      <c r="O5298" t="s">
        <v>61</v>
      </c>
      <c r="Q5298" t="s">
        <v>805</v>
      </c>
      <c r="R5298" t="s">
        <v>5892</v>
      </c>
      <c r="S5298" t="s">
        <v>5893</v>
      </c>
      <c r="T5298" t="s">
        <v>5894</v>
      </c>
    </row>
    <row r="5299" spans="1:20" x14ac:dyDescent="0.25">
      <c r="A5299" t="s">
        <v>30</v>
      </c>
      <c r="B5299" t="s">
        <v>31</v>
      </c>
      <c r="C5299" t="s">
        <v>32</v>
      </c>
      <c r="D5299" t="s">
        <v>765</v>
      </c>
      <c r="E5299" t="s">
        <v>5890</v>
      </c>
      <c r="F5299" t="s">
        <v>35</v>
      </c>
      <c r="G5299" t="s">
        <v>35</v>
      </c>
      <c r="H5299" t="s">
        <v>35</v>
      </c>
      <c r="J5299" t="s">
        <v>5902</v>
      </c>
      <c r="K5299" t="s">
        <v>1092</v>
      </c>
      <c r="M5299">
        <v>6.57</v>
      </c>
      <c r="N5299">
        <v>68</v>
      </c>
      <c r="O5299" t="s">
        <v>61</v>
      </c>
      <c r="Q5299" t="s">
        <v>805</v>
      </c>
      <c r="R5299" t="s">
        <v>5892</v>
      </c>
      <c r="S5299" t="s">
        <v>5893</v>
      </c>
      <c r="T5299" t="s">
        <v>5894</v>
      </c>
    </row>
    <row r="5300" spans="1:20" x14ac:dyDescent="0.25">
      <c r="A5300" t="s">
        <v>59</v>
      </c>
      <c r="B5300" t="s">
        <v>60</v>
      </c>
      <c r="C5300" t="s">
        <v>32</v>
      </c>
      <c r="D5300" t="s">
        <v>765</v>
      </c>
      <c r="E5300" t="s">
        <v>5906</v>
      </c>
      <c r="F5300" t="s">
        <v>35</v>
      </c>
      <c r="G5300" t="s">
        <v>35</v>
      </c>
      <c r="H5300" t="s">
        <v>35</v>
      </c>
      <c r="J5300" t="s">
        <v>5907</v>
      </c>
      <c r="K5300" t="s">
        <v>1092</v>
      </c>
      <c r="M5300">
        <v>3.5</v>
      </c>
      <c r="N5300">
        <v>122</v>
      </c>
      <c r="O5300" t="s">
        <v>38</v>
      </c>
      <c r="Q5300" t="s">
        <v>1449</v>
      </c>
      <c r="R5300" t="s">
        <v>5892</v>
      </c>
      <c r="S5300" t="s">
        <v>5893</v>
      </c>
      <c r="T5300" t="s">
        <v>5894</v>
      </c>
    </row>
    <row r="5301" spans="1:20" x14ac:dyDescent="0.25">
      <c r="A5301" t="s">
        <v>44</v>
      </c>
      <c r="B5301" t="s">
        <v>51</v>
      </c>
      <c r="C5301" t="s">
        <v>32</v>
      </c>
      <c r="D5301" t="s">
        <v>765</v>
      </c>
      <c r="E5301" t="s">
        <v>5890</v>
      </c>
      <c r="F5301" t="s">
        <v>35</v>
      </c>
      <c r="G5301" t="s">
        <v>35</v>
      </c>
      <c r="H5301" t="s">
        <v>35</v>
      </c>
      <c r="J5301" t="s">
        <v>5895</v>
      </c>
      <c r="K5301" t="s">
        <v>1092</v>
      </c>
      <c r="M5301">
        <v>6</v>
      </c>
      <c r="N5301">
        <v>55</v>
      </c>
      <c r="O5301" t="s">
        <v>52</v>
      </c>
      <c r="Q5301" t="s">
        <v>90</v>
      </c>
      <c r="R5301" t="s">
        <v>5892</v>
      </c>
      <c r="S5301" t="s">
        <v>5893</v>
      </c>
      <c r="T5301" t="s">
        <v>5894</v>
      </c>
    </row>
    <row r="5302" spans="1:20" x14ac:dyDescent="0.25">
      <c r="A5302" t="s">
        <v>59</v>
      </c>
      <c r="B5302" t="s">
        <v>31</v>
      </c>
      <c r="C5302" t="s">
        <v>32</v>
      </c>
      <c r="D5302" t="s">
        <v>765</v>
      </c>
      <c r="E5302" t="s">
        <v>5890</v>
      </c>
      <c r="F5302" t="s">
        <v>35</v>
      </c>
      <c r="G5302" t="s">
        <v>35</v>
      </c>
      <c r="H5302" t="s">
        <v>35</v>
      </c>
      <c r="J5302" t="s">
        <v>5895</v>
      </c>
      <c r="K5302" t="s">
        <v>1092</v>
      </c>
      <c r="M5302">
        <v>5.49</v>
      </c>
      <c r="N5302">
        <v>122</v>
      </c>
      <c r="O5302" t="s">
        <v>38</v>
      </c>
      <c r="Q5302" t="s">
        <v>1449</v>
      </c>
      <c r="R5302" t="s">
        <v>5892</v>
      </c>
      <c r="S5302" t="s">
        <v>5893</v>
      </c>
      <c r="T5302" t="s">
        <v>5894</v>
      </c>
    </row>
    <row r="5303" spans="1:20" x14ac:dyDescent="0.25">
      <c r="A5303" t="s">
        <v>59</v>
      </c>
      <c r="B5303" t="s">
        <v>60</v>
      </c>
      <c r="C5303" t="s">
        <v>32</v>
      </c>
      <c r="D5303" t="s">
        <v>765</v>
      </c>
      <c r="E5303" t="s">
        <v>5890</v>
      </c>
      <c r="F5303" t="s">
        <v>35</v>
      </c>
      <c r="G5303" t="s">
        <v>35</v>
      </c>
      <c r="H5303" t="s">
        <v>35</v>
      </c>
      <c r="J5303" t="s">
        <v>5895</v>
      </c>
      <c r="K5303" t="s">
        <v>1092</v>
      </c>
      <c r="M5303">
        <v>4.5</v>
      </c>
      <c r="N5303">
        <v>122</v>
      </c>
      <c r="O5303" t="s">
        <v>38</v>
      </c>
      <c r="Q5303" t="s">
        <v>1449</v>
      </c>
      <c r="R5303" t="s">
        <v>5892</v>
      </c>
      <c r="S5303" t="s">
        <v>5893</v>
      </c>
      <c r="T5303" t="s">
        <v>5894</v>
      </c>
    </row>
    <row r="5304" spans="1:20" x14ac:dyDescent="0.25">
      <c r="A5304" t="s">
        <v>30</v>
      </c>
      <c r="B5304" t="s">
        <v>31</v>
      </c>
      <c r="C5304" t="s">
        <v>32</v>
      </c>
      <c r="D5304" t="s">
        <v>765</v>
      </c>
      <c r="E5304" t="s">
        <v>5890</v>
      </c>
      <c r="F5304" t="s">
        <v>35</v>
      </c>
      <c r="G5304" t="s">
        <v>35</v>
      </c>
      <c r="H5304" t="s">
        <v>35</v>
      </c>
      <c r="J5304" t="s">
        <v>5895</v>
      </c>
      <c r="K5304" t="s">
        <v>1092</v>
      </c>
      <c r="M5304">
        <v>3.78</v>
      </c>
      <c r="N5304">
        <v>68</v>
      </c>
      <c r="O5304" t="s">
        <v>61</v>
      </c>
      <c r="Q5304" t="s">
        <v>805</v>
      </c>
      <c r="R5304" t="s">
        <v>5892</v>
      </c>
      <c r="S5304" t="s">
        <v>5893</v>
      </c>
      <c r="T5304" t="s">
        <v>5894</v>
      </c>
    </row>
    <row r="5305" spans="1:20" x14ac:dyDescent="0.25">
      <c r="A5305" t="s">
        <v>59</v>
      </c>
      <c r="B5305" t="s">
        <v>31</v>
      </c>
      <c r="C5305" t="s">
        <v>32</v>
      </c>
      <c r="D5305" t="s">
        <v>765</v>
      </c>
      <c r="F5305" t="s">
        <v>35</v>
      </c>
      <c r="G5305" t="s">
        <v>35</v>
      </c>
      <c r="H5305" t="s">
        <v>35</v>
      </c>
      <c r="J5305" t="s">
        <v>5965</v>
      </c>
      <c r="K5305" t="s">
        <v>1092</v>
      </c>
      <c r="M5305">
        <v>4.4999999999999998E-2</v>
      </c>
      <c r="N5305">
        <v>29</v>
      </c>
      <c r="O5305" t="s">
        <v>46</v>
      </c>
      <c r="Q5305" t="s">
        <v>2005</v>
      </c>
      <c r="R5305" t="s">
        <v>5892</v>
      </c>
      <c r="S5305" t="s">
        <v>5893</v>
      </c>
      <c r="T5305" t="s">
        <v>5894</v>
      </c>
    </row>
    <row r="5306" spans="1:20" x14ac:dyDescent="0.25">
      <c r="A5306" t="s">
        <v>30</v>
      </c>
      <c r="B5306" t="s">
        <v>31</v>
      </c>
      <c r="C5306" t="s">
        <v>32</v>
      </c>
      <c r="D5306" t="s">
        <v>765</v>
      </c>
      <c r="E5306" t="s">
        <v>5890</v>
      </c>
      <c r="F5306" t="s">
        <v>35</v>
      </c>
      <c r="G5306" t="s">
        <v>35</v>
      </c>
      <c r="H5306" t="s">
        <v>35</v>
      </c>
      <c r="J5306" t="s">
        <v>5899</v>
      </c>
      <c r="K5306" t="s">
        <v>1092</v>
      </c>
      <c r="M5306">
        <v>6.57</v>
      </c>
      <c r="N5306">
        <v>167</v>
      </c>
      <c r="O5306" t="s">
        <v>38</v>
      </c>
      <c r="Q5306" t="s">
        <v>1565</v>
      </c>
      <c r="R5306" t="s">
        <v>5892</v>
      </c>
      <c r="S5306" t="s">
        <v>5893</v>
      </c>
      <c r="T5306" t="s">
        <v>5894</v>
      </c>
    </row>
    <row r="5307" spans="1:20" x14ac:dyDescent="0.25">
      <c r="A5307" t="s">
        <v>59</v>
      </c>
      <c r="B5307" t="s">
        <v>60</v>
      </c>
      <c r="C5307" t="s">
        <v>32</v>
      </c>
      <c r="D5307" t="s">
        <v>765</v>
      </c>
      <c r="E5307" t="s">
        <v>5948</v>
      </c>
      <c r="F5307" t="s">
        <v>35</v>
      </c>
      <c r="G5307" t="s">
        <v>35</v>
      </c>
      <c r="H5307" t="s">
        <v>35</v>
      </c>
      <c r="J5307" t="s">
        <v>5949</v>
      </c>
      <c r="K5307" t="s">
        <v>1092</v>
      </c>
      <c r="M5307">
        <v>5.5</v>
      </c>
      <c r="N5307">
        <v>93</v>
      </c>
      <c r="O5307" t="s">
        <v>106</v>
      </c>
      <c r="Q5307" t="s">
        <v>1112</v>
      </c>
      <c r="R5307" t="s">
        <v>5892</v>
      </c>
      <c r="S5307" t="s">
        <v>5893</v>
      </c>
      <c r="T5307" t="s">
        <v>5894</v>
      </c>
    </row>
    <row r="5308" spans="1:20" x14ac:dyDescent="0.25">
      <c r="A5308" t="s">
        <v>59</v>
      </c>
      <c r="B5308" t="s">
        <v>60</v>
      </c>
      <c r="C5308" t="s">
        <v>32</v>
      </c>
      <c r="D5308" t="s">
        <v>765</v>
      </c>
      <c r="E5308" t="s">
        <v>5948</v>
      </c>
      <c r="F5308" t="s">
        <v>35</v>
      </c>
      <c r="G5308" t="s">
        <v>35</v>
      </c>
      <c r="H5308" t="s">
        <v>35</v>
      </c>
      <c r="J5308" t="s">
        <v>5949</v>
      </c>
      <c r="K5308" t="s">
        <v>1092</v>
      </c>
      <c r="M5308">
        <v>0.85</v>
      </c>
      <c r="N5308">
        <v>122</v>
      </c>
      <c r="O5308" t="s">
        <v>38</v>
      </c>
      <c r="Q5308" t="s">
        <v>1449</v>
      </c>
      <c r="R5308" t="s">
        <v>5892</v>
      </c>
      <c r="S5308" t="s">
        <v>5893</v>
      </c>
      <c r="T5308" t="s">
        <v>5894</v>
      </c>
    </row>
    <row r="5309" spans="1:20" x14ac:dyDescent="0.25">
      <c r="A5309" t="s">
        <v>59</v>
      </c>
      <c r="B5309" t="s">
        <v>31</v>
      </c>
      <c r="C5309" t="s">
        <v>32</v>
      </c>
      <c r="D5309" t="s">
        <v>765</v>
      </c>
      <c r="E5309" t="s">
        <v>5948</v>
      </c>
      <c r="F5309" t="s">
        <v>35</v>
      </c>
      <c r="G5309" t="s">
        <v>35</v>
      </c>
      <c r="H5309" t="s">
        <v>35</v>
      </c>
      <c r="J5309" t="s">
        <v>5949</v>
      </c>
      <c r="K5309" t="s">
        <v>1092</v>
      </c>
      <c r="M5309">
        <v>0.76500000000000001</v>
      </c>
      <c r="N5309">
        <v>93</v>
      </c>
      <c r="O5309" t="s">
        <v>106</v>
      </c>
      <c r="Q5309" t="s">
        <v>1112</v>
      </c>
      <c r="R5309" t="s">
        <v>5892</v>
      </c>
      <c r="S5309" t="s">
        <v>5893</v>
      </c>
      <c r="T5309" t="s">
        <v>5894</v>
      </c>
    </row>
    <row r="5310" spans="1:20" x14ac:dyDescent="0.25">
      <c r="A5310" t="s">
        <v>59</v>
      </c>
      <c r="B5310" t="s">
        <v>60</v>
      </c>
      <c r="C5310" t="s">
        <v>32</v>
      </c>
      <c r="D5310" t="s">
        <v>765</v>
      </c>
      <c r="E5310" t="s">
        <v>5903</v>
      </c>
      <c r="F5310" t="s">
        <v>35</v>
      </c>
      <c r="G5310" t="s">
        <v>35</v>
      </c>
      <c r="H5310" t="s">
        <v>35</v>
      </c>
      <c r="J5310" t="s">
        <v>5904</v>
      </c>
      <c r="K5310" t="s">
        <v>1092</v>
      </c>
      <c r="M5310">
        <v>2.5</v>
      </c>
      <c r="N5310">
        <v>122</v>
      </c>
      <c r="O5310" t="s">
        <v>38</v>
      </c>
      <c r="Q5310" t="s">
        <v>1449</v>
      </c>
      <c r="R5310" t="s">
        <v>5892</v>
      </c>
      <c r="S5310" t="s">
        <v>5893</v>
      </c>
      <c r="T5310" t="s">
        <v>5894</v>
      </c>
    </row>
    <row r="5311" spans="1:20" x14ac:dyDescent="0.25">
      <c r="A5311" t="s">
        <v>59</v>
      </c>
      <c r="B5311" t="s">
        <v>31</v>
      </c>
      <c r="C5311" t="s">
        <v>32</v>
      </c>
      <c r="D5311" t="s">
        <v>765</v>
      </c>
      <c r="E5311" t="s">
        <v>766</v>
      </c>
      <c r="F5311" t="s">
        <v>35</v>
      </c>
      <c r="G5311" t="s">
        <v>35</v>
      </c>
      <c r="H5311" t="s">
        <v>35</v>
      </c>
      <c r="J5311" t="s">
        <v>5913</v>
      </c>
      <c r="K5311" t="s">
        <v>1092</v>
      </c>
      <c r="M5311">
        <v>0.94499999999999995</v>
      </c>
      <c r="N5311">
        <v>122</v>
      </c>
      <c r="O5311" t="s">
        <v>38</v>
      </c>
      <c r="Q5311" t="s">
        <v>1449</v>
      </c>
      <c r="R5311" t="s">
        <v>5892</v>
      </c>
      <c r="S5311" t="s">
        <v>5893</v>
      </c>
      <c r="T5311" t="s">
        <v>5894</v>
      </c>
    </row>
    <row r="5312" spans="1:20" x14ac:dyDescent="0.25">
      <c r="A5312" t="s">
        <v>30</v>
      </c>
      <c r="B5312" t="s">
        <v>31</v>
      </c>
      <c r="C5312" t="s">
        <v>32</v>
      </c>
      <c r="D5312" t="s">
        <v>765</v>
      </c>
      <c r="E5312" t="s">
        <v>5890</v>
      </c>
      <c r="F5312" t="s">
        <v>35</v>
      </c>
      <c r="G5312" t="s">
        <v>35</v>
      </c>
      <c r="H5312" t="s">
        <v>35</v>
      </c>
      <c r="J5312" t="s">
        <v>5896</v>
      </c>
      <c r="K5312" t="s">
        <v>1092</v>
      </c>
      <c r="M5312">
        <v>0.27</v>
      </c>
      <c r="N5312">
        <v>151</v>
      </c>
      <c r="O5312" t="s">
        <v>38</v>
      </c>
      <c r="Q5312" t="s">
        <v>1593</v>
      </c>
      <c r="R5312" t="s">
        <v>5892</v>
      </c>
      <c r="S5312" t="s">
        <v>5893</v>
      </c>
      <c r="T5312" t="s">
        <v>5894</v>
      </c>
    </row>
    <row r="5313" spans="1:20" x14ac:dyDescent="0.25">
      <c r="A5313" t="s">
        <v>30</v>
      </c>
      <c r="B5313" t="s">
        <v>31</v>
      </c>
      <c r="C5313" t="s">
        <v>32</v>
      </c>
      <c r="D5313" t="s">
        <v>765</v>
      </c>
      <c r="E5313" t="s">
        <v>5926</v>
      </c>
      <c r="F5313" t="s">
        <v>35</v>
      </c>
      <c r="G5313" t="s">
        <v>35</v>
      </c>
      <c r="H5313" t="s">
        <v>35</v>
      </c>
      <c r="J5313" t="s">
        <v>5927</v>
      </c>
      <c r="K5313" t="s">
        <v>1092</v>
      </c>
      <c r="M5313">
        <v>0.495</v>
      </c>
      <c r="N5313">
        <v>944</v>
      </c>
      <c r="O5313" t="s">
        <v>575</v>
      </c>
      <c r="Q5313" t="s">
        <v>5911</v>
      </c>
      <c r="R5313" t="s">
        <v>5892</v>
      </c>
      <c r="S5313" t="s">
        <v>5893</v>
      </c>
      <c r="T5313" t="s">
        <v>5894</v>
      </c>
    </row>
    <row r="5314" spans="1:20" x14ac:dyDescent="0.25">
      <c r="A5314" t="s">
        <v>30</v>
      </c>
      <c r="B5314" t="s">
        <v>31</v>
      </c>
      <c r="C5314" t="s">
        <v>32</v>
      </c>
      <c r="D5314" t="s">
        <v>765</v>
      </c>
      <c r="E5314" t="s">
        <v>766</v>
      </c>
      <c r="F5314" t="s">
        <v>35</v>
      </c>
      <c r="G5314" t="s">
        <v>35</v>
      </c>
      <c r="H5314" t="s">
        <v>35</v>
      </c>
      <c r="J5314" t="s">
        <v>5917</v>
      </c>
      <c r="K5314" t="s">
        <v>1092</v>
      </c>
      <c r="M5314">
        <v>1.7549999999999999</v>
      </c>
      <c r="N5314">
        <v>68</v>
      </c>
      <c r="O5314" t="s">
        <v>61</v>
      </c>
      <c r="Q5314" t="s">
        <v>805</v>
      </c>
      <c r="R5314" t="s">
        <v>5892</v>
      </c>
      <c r="S5314" t="s">
        <v>5893</v>
      </c>
      <c r="T5314" t="s">
        <v>5894</v>
      </c>
    </row>
    <row r="5315" spans="1:20" x14ac:dyDescent="0.25">
      <c r="A5315" t="s">
        <v>44</v>
      </c>
      <c r="B5315" t="s">
        <v>51</v>
      </c>
      <c r="C5315" t="s">
        <v>32</v>
      </c>
      <c r="D5315" t="s">
        <v>765</v>
      </c>
      <c r="E5315" t="s">
        <v>766</v>
      </c>
      <c r="F5315" t="s">
        <v>35</v>
      </c>
      <c r="G5315" t="s">
        <v>35</v>
      </c>
      <c r="H5315" t="s">
        <v>35</v>
      </c>
      <c r="J5315" t="s">
        <v>5917</v>
      </c>
      <c r="K5315" t="s">
        <v>1092</v>
      </c>
      <c r="M5315">
        <v>3.8</v>
      </c>
      <c r="N5315">
        <v>55</v>
      </c>
      <c r="O5315" t="s">
        <v>52</v>
      </c>
      <c r="Q5315" t="s">
        <v>90</v>
      </c>
      <c r="R5315" t="s">
        <v>5892</v>
      </c>
      <c r="S5315" t="s">
        <v>5893</v>
      </c>
      <c r="T5315" t="s">
        <v>5894</v>
      </c>
    </row>
    <row r="5316" spans="1:20" x14ac:dyDescent="0.25">
      <c r="A5316" t="s">
        <v>30</v>
      </c>
      <c r="B5316" t="s">
        <v>31</v>
      </c>
      <c r="C5316" t="s">
        <v>32</v>
      </c>
      <c r="D5316" t="s">
        <v>765</v>
      </c>
      <c r="E5316" t="s">
        <v>5926</v>
      </c>
      <c r="F5316" t="s">
        <v>35</v>
      </c>
      <c r="G5316" t="s">
        <v>35</v>
      </c>
      <c r="H5316" t="s">
        <v>35</v>
      </c>
      <c r="J5316" t="s">
        <v>5928</v>
      </c>
      <c r="K5316" t="s">
        <v>1092</v>
      </c>
      <c r="M5316">
        <v>3.105</v>
      </c>
      <c r="N5316">
        <v>68</v>
      </c>
      <c r="O5316" t="s">
        <v>61</v>
      </c>
      <c r="Q5316" t="s">
        <v>805</v>
      </c>
      <c r="R5316" t="s">
        <v>5892</v>
      </c>
      <c r="S5316" t="s">
        <v>5893</v>
      </c>
      <c r="T5316" t="s">
        <v>5894</v>
      </c>
    </row>
    <row r="5317" spans="1:20" x14ac:dyDescent="0.25">
      <c r="A5317" t="s">
        <v>30</v>
      </c>
      <c r="B5317" t="s">
        <v>31</v>
      </c>
      <c r="C5317" t="s">
        <v>32</v>
      </c>
      <c r="D5317" t="s">
        <v>765</v>
      </c>
      <c r="E5317" t="s">
        <v>5943</v>
      </c>
      <c r="F5317" t="s">
        <v>35</v>
      </c>
      <c r="G5317" t="s">
        <v>35</v>
      </c>
      <c r="H5317" t="s">
        <v>35</v>
      </c>
      <c r="J5317" t="s">
        <v>5944</v>
      </c>
      <c r="K5317" t="s">
        <v>1092</v>
      </c>
      <c r="M5317">
        <v>0.9</v>
      </c>
      <c r="N5317">
        <v>167</v>
      </c>
      <c r="O5317" t="s">
        <v>38</v>
      </c>
      <c r="Q5317" t="s">
        <v>1565</v>
      </c>
      <c r="R5317" t="s">
        <v>5892</v>
      </c>
      <c r="S5317" t="s">
        <v>5893</v>
      </c>
      <c r="T5317" t="s">
        <v>5894</v>
      </c>
    </row>
    <row r="5318" spans="1:20" x14ac:dyDescent="0.25">
      <c r="A5318" t="s">
        <v>30</v>
      </c>
      <c r="B5318" t="s">
        <v>31</v>
      </c>
      <c r="C5318" t="s">
        <v>32</v>
      </c>
      <c r="D5318" t="s">
        <v>765</v>
      </c>
      <c r="E5318" t="s">
        <v>5931</v>
      </c>
      <c r="F5318" t="s">
        <v>35</v>
      </c>
      <c r="G5318" t="s">
        <v>35</v>
      </c>
      <c r="H5318" t="s">
        <v>35</v>
      </c>
      <c r="J5318" t="s">
        <v>5932</v>
      </c>
      <c r="K5318" t="s">
        <v>1092</v>
      </c>
      <c r="M5318">
        <v>1.0249999999999999</v>
      </c>
      <c r="N5318">
        <v>160</v>
      </c>
      <c r="O5318" t="s">
        <v>38</v>
      </c>
      <c r="Q5318" t="s">
        <v>1120</v>
      </c>
      <c r="R5318" t="s">
        <v>5892</v>
      </c>
      <c r="S5318" t="s">
        <v>5893</v>
      </c>
      <c r="T5318" t="s">
        <v>5894</v>
      </c>
    </row>
    <row r="5319" spans="1:20" x14ac:dyDescent="0.25">
      <c r="A5319" t="s">
        <v>30</v>
      </c>
      <c r="B5319" t="s">
        <v>31</v>
      </c>
      <c r="C5319" t="s">
        <v>32</v>
      </c>
      <c r="D5319" t="s">
        <v>765</v>
      </c>
      <c r="E5319" t="s">
        <v>5931</v>
      </c>
      <c r="F5319" t="s">
        <v>35</v>
      </c>
      <c r="G5319" t="s">
        <v>35</v>
      </c>
      <c r="H5319" t="s">
        <v>35</v>
      </c>
      <c r="J5319" t="s">
        <v>5933</v>
      </c>
      <c r="K5319" t="s">
        <v>1092</v>
      </c>
      <c r="M5319">
        <v>0.09</v>
      </c>
      <c r="N5319">
        <v>1857</v>
      </c>
      <c r="O5319" t="s">
        <v>575</v>
      </c>
      <c r="Q5319" t="s">
        <v>5934</v>
      </c>
      <c r="R5319" t="s">
        <v>5935</v>
      </c>
      <c r="S5319" t="s">
        <v>5936</v>
      </c>
      <c r="T5319" t="s">
        <v>5937</v>
      </c>
    </row>
    <row r="5320" spans="1:20" x14ac:dyDescent="0.25">
      <c r="A5320" t="s">
        <v>44</v>
      </c>
      <c r="B5320" t="s">
        <v>51</v>
      </c>
      <c r="C5320" t="s">
        <v>32</v>
      </c>
      <c r="D5320" t="s">
        <v>765</v>
      </c>
      <c r="E5320" t="s">
        <v>766</v>
      </c>
      <c r="F5320" t="s">
        <v>35</v>
      </c>
      <c r="G5320" t="s">
        <v>35</v>
      </c>
      <c r="H5320" t="s">
        <v>35</v>
      </c>
      <c r="J5320" t="s">
        <v>767</v>
      </c>
      <c r="K5320" t="s">
        <v>37</v>
      </c>
      <c r="M5320">
        <v>36</v>
      </c>
      <c r="N5320">
        <v>58</v>
      </c>
      <c r="O5320" t="s">
        <v>52</v>
      </c>
      <c r="P5320" t="s">
        <v>769</v>
      </c>
      <c r="Q5320" t="s">
        <v>128</v>
      </c>
      <c r="R5320" t="s">
        <v>91</v>
      </c>
      <c r="S5320" t="s">
        <v>92</v>
      </c>
    </row>
    <row r="5321" spans="1:20" x14ac:dyDescent="0.25">
      <c r="A5321" t="s">
        <v>30</v>
      </c>
      <c r="B5321" t="s">
        <v>31</v>
      </c>
      <c r="C5321" t="s">
        <v>32</v>
      </c>
      <c r="D5321" t="s">
        <v>765</v>
      </c>
      <c r="E5321" t="s">
        <v>766</v>
      </c>
      <c r="F5321" t="s">
        <v>35</v>
      </c>
      <c r="G5321" t="s">
        <v>35</v>
      </c>
      <c r="H5321" t="s">
        <v>35</v>
      </c>
      <c r="J5321" t="s">
        <v>767</v>
      </c>
      <c r="K5321" t="s">
        <v>37</v>
      </c>
      <c r="M5321">
        <v>0.17</v>
      </c>
      <c r="N5321">
        <v>70</v>
      </c>
      <c r="O5321" t="s">
        <v>61</v>
      </c>
      <c r="P5321" t="s">
        <v>770</v>
      </c>
      <c r="Q5321" t="s">
        <v>305</v>
      </c>
      <c r="R5321" t="s">
        <v>91</v>
      </c>
      <c r="S5321" t="s">
        <v>92</v>
      </c>
    </row>
    <row r="5322" spans="1:20" x14ac:dyDescent="0.25">
      <c r="A5322" t="s">
        <v>30</v>
      </c>
      <c r="B5322" t="s">
        <v>31</v>
      </c>
      <c r="C5322" t="s">
        <v>32</v>
      </c>
      <c r="D5322" t="s">
        <v>765</v>
      </c>
      <c r="E5322" t="s">
        <v>5948</v>
      </c>
      <c r="F5322" t="s">
        <v>35</v>
      </c>
      <c r="G5322" t="s">
        <v>35</v>
      </c>
      <c r="H5322" t="s">
        <v>35</v>
      </c>
      <c r="J5322" t="s">
        <v>5951</v>
      </c>
      <c r="K5322" t="s">
        <v>1092</v>
      </c>
      <c r="M5322">
        <v>2.0699999999999998</v>
      </c>
      <c r="N5322">
        <v>146</v>
      </c>
      <c r="O5322" t="s">
        <v>38</v>
      </c>
      <c r="Q5322" t="s">
        <v>569</v>
      </c>
      <c r="R5322" t="s">
        <v>5889</v>
      </c>
      <c r="S5322" t="s">
        <v>767</v>
      </c>
      <c r="T5322" t="s">
        <v>768</v>
      </c>
    </row>
    <row r="5323" spans="1:20" x14ac:dyDescent="0.25">
      <c r="A5323" t="s">
        <v>30</v>
      </c>
      <c r="B5323" t="s">
        <v>31</v>
      </c>
      <c r="C5323" t="s">
        <v>32</v>
      </c>
      <c r="D5323" t="s">
        <v>765</v>
      </c>
      <c r="E5323" t="s">
        <v>766</v>
      </c>
      <c r="F5323" t="s">
        <v>35</v>
      </c>
      <c r="G5323" t="s">
        <v>35</v>
      </c>
      <c r="H5323" t="s">
        <v>35</v>
      </c>
      <c r="J5323" t="s">
        <v>5914</v>
      </c>
      <c r="K5323" t="s">
        <v>1092</v>
      </c>
      <c r="M5323">
        <v>4.4999999999999998E-2</v>
      </c>
      <c r="N5323">
        <v>593</v>
      </c>
      <c r="O5323" t="s">
        <v>575</v>
      </c>
      <c r="Q5323" t="s">
        <v>5915</v>
      </c>
      <c r="R5323" t="s">
        <v>5889</v>
      </c>
      <c r="S5323" t="s">
        <v>767</v>
      </c>
      <c r="T5323" t="s">
        <v>768</v>
      </c>
    </row>
    <row r="5324" spans="1:20" x14ac:dyDescent="0.25">
      <c r="A5324" t="s">
        <v>30</v>
      </c>
      <c r="B5324" t="s">
        <v>31</v>
      </c>
      <c r="C5324" t="s">
        <v>32</v>
      </c>
      <c r="D5324" t="s">
        <v>765</v>
      </c>
      <c r="E5324" t="s">
        <v>766</v>
      </c>
      <c r="F5324" t="s">
        <v>35</v>
      </c>
      <c r="G5324" t="s">
        <v>35</v>
      </c>
      <c r="H5324" t="s">
        <v>35</v>
      </c>
      <c r="J5324" t="s">
        <v>5922</v>
      </c>
      <c r="K5324" t="s">
        <v>1092</v>
      </c>
      <c r="M5324">
        <v>0.9</v>
      </c>
      <c r="N5324">
        <v>67</v>
      </c>
      <c r="O5324" t="s">
        <v>61</v>
      </c>
      <c r="Q5324" t="s">
        <v>488</v>
      </c>
      <c r="R5324" t="s">
        <v>5889</v>
      </c>
      <c r="S5324" t="s">
        <v>767</v>
      </c>
      <c r="T5324" t="s">
        <v>768</v>
      </c>
    </row>
    <row r="5325" spans="1:20" x14ac:dyDescent="0.25">
      <c r="A5325" t="s">
        <v>30</v>
      </c>
      <c r="B5325" t="s">
        <v>31</v>
      </c>
      <c r="C5325" t="s">
        <v>32</v>
      </c>
      <c r="D5325" t="s">
        <v>765</v>
      </c>
      <c r="E5325" t="s">
        <v>5890</v>
      </c>
      <c r="F5325" t="s">
        <v>35</v>
      </c>
      <c r="G5325" t="s">
        <v>35</v>
      </c>
      <c r="H5325" t="s">
        <v>35</v>
      </c>
      <c r="J5325" t="s">
        <v>5900</v>
      </c>
      <c r="K5325" t="s">
        <v>1092</v>
      </c>
      <c r="M5325">
        <v>1.62</v>
      </c>
      <c r="N5325">
        <v>171</v>
      </c>
      <c r="O5325" t="s">
        <v>38</v>
      </c>
      <c r="Q5325" t="s">
        <v>2827</v>
      </c>
      <c r="R5325" t="s">
        <v>5889</v>
      </c>
      <c r="S5325" t="s">
        <v>767</v>
      </c>
      <c r="T5325" t="s">
        <v>768</v>
      </c>
    </row>
    <row r="5326" spans="1:20" x14ac:dyDescent="0.25">
      <c r="A5326" t="s">
        <v>59</v>
      </c>
      <c r="B5326" t="s">
        <v>31</v>
      </c>
      <c r="C5326" t="s">
        <v>32</v>
      </c>
      <c r="D5326" t="s">
        <v>765</v>
      </c>
      <c r="F5326" t="s">
        <v>35</v>
      </c>
      <c r="G5326" t="s">
        <v>35</v>
      </c>
      <c r="H5326" t="s">
        <v>35</v>
      </c>
      <c r="J5326" t="s">
        <v>5955</v>
      </c>
      <c r="K5326" t="s">
        <v>1092</v>
      </c>
      <c r="M5326">
        <v>1.8</v>
      </c>
      <c r="N5326">
        <v>1905</v>
      </c>
      <c r="O5326" t="s">
        <v>575</v>
      </c>
      <c r="Q5326" t="s">
        <v>5956</v>
      </c>
      <c r="R5326" t="s">
        <v>5889</v>
      </c>
      <c r="S5326" t="s">
        <v>767</v>
      </c>
      <c r="T5326" t="s">
        <v>768</v>
      </c>
    </row>
    <row r="5327" spans="1:20" x14ac:dyDescent="0.25">
      <c r="A5327" t="s">
        <v>44</v>
      </c>
      <c r="B5327" t="s">
        <v>3</v>
      </c>
      <c r="C5327" t="s">
        <v>32</v>
      </c>
      <c r="D5327" t="s">
        <v>765</v>
      </c>
      <c r="E5327" t="s">
        <v>766</v>
      </c>
      <c r="F5327" t="s">
        <v>35</v>
      </c>
      <c r="G5327" t="s">
        <v>35</v>
      </c>
      <c r="H5327" t="s">
        <v>35</v>
      </c>
      <c r="J5327" t="s">
        <v>5916</v>
      </c>
      <c r="K5327" t="s">
        <v>1092</v>
      </c>
      <c r="M5327">
        <v>0.1</v>
      </c>
      <c r="N5327">
        <v>380</v>
      </c>
      <c r="O5327" t="s">
        <v>294</v>
      </c>
      <c r="Q5327" t="s">
        <v>3142</v>
      </c>
      <c r="R5327" t="s">
        <v>5889</v>
      </c>
      <c r="S5327" t="s">
        <v>767</v>
      </c>
      <c r="T5327" t="s">
        <v>768</v>
      </c>
    </row>
    <row r="5328" spans="1:20" x14ac:dyDescent="0.25">
      <c r="A5328" t="s">
        <v>30</v>
      </c>
      <c r="B5328" t="s">
        <v>31</v>
      </c>
      <c r="C5328" t="s">
        <v>32</v>
      </c>
      <c r="D5328" t="s">
        <v>765</v>
      </c>
      <c r="E5328" t="s">
        <v>5926</v>
      </c>
      <c r="F5328" t="s">
        <v>35</v>
      </c>
      <c r="G5328" t="s">
        <v>35</v>
      </c>
      <c r="H5328" t="s">
        <v>35</v>
      </c>
      <c r="J5328" t="s">
        <v>5930</v>
      </c>
      <c r="K5328" t="s">
        <v>1092</v>
      </c>
      <c r="M5328">
        <v>0.27</v>
      </c>
      <c r="N5328">
        <v>66</v>
      </c>
      <c r="O5328" t="s">
        <v>61</v>
      </c>
      <c r="Q5328" t="s">
        <v>552</v>
      </c>
      <c r="R5328" t="s">
        <v>5889</v>
      </c>
      <c r="S5328" t="s">
        <v>767</v>
      </c>
      <c r="T5328" t="s">
        <v>768</v>
      </c>
    </row>
    <row r="5329" spans="1:20" x14ac:dyDescent="0.25">
      <c r="A5329" t="s">
        <v>30</v>
      </c>
      <c r="B5329" t="s">
        <v>31</v>
      </c>
      <c r="C5329" t="s">
        <v>32</v>
      </c>
      <c r="D5329" t="s">
        <v>765</v>
      </c>
      <c r="F5329" t="s">
        <v>35</v>
      </c>
      <c r="G5329" t="s">
        <v>35</v>
      </c>
      <c r="H5329" t="s">
        <v>35</v>
      </c>
      <c r="J5329" t="s">
        <v>5963</v>
      </c>
      <c r="K5329" t="s">
        <v>1092</v>
      </c>
      <c r="M5329">
        <v>3.69</v>
      </c>
      <c r="N5329">
        <v>2464</v>
      </c>
      <c r="O5329" t="s">
        <v>575</v>
      </c>
      <c r="Q5329" t="s">
        <v>5964</v>
      </c>
      <c r="R5329" t="s">
        <v>5889</v>
      </c>
      <c r="S5329" t="s">
        <v>767</v>
      </c>
      <c r="T5329" t="s">
        <v>768</v>
      </c>
    </row>
    <row r="5330" spans="1:20" x14ac:dyDescent="0.25">
      <c r="A5330" t="s">
        <v>59</v>
      </c>
      <c r="B5330" t="s">
        <v>60</v>
      </c>
      <c r="C5330" t="s">
        <v>32</v>
      </c>
      <c r="D5330" t="s">
        <v>765</v>
      </c>
      <c r="F5330" t="s">
        <v>35</v>
      </c>
      <c r="G5330" t="s">
        <v>35</v>
      </c>
      <c r="H5330" t="s">
        <v>35</v>
      </c>
      <c r="J5330" t="s">
        <v>5961</v>
      </c>
      <c r="K5330" t="s">
        <v>1092</v>
      </c>
      <c r="M5330">
        <v>0.05</v>
      </c>
      <c r="N5330">
        <v>1737</v>
      </c>
      <c r="O5330" t="s">
        <v>575</v>
      </c>
      <c r="Q5330" t="s">
        <v>5962</v>
      </c>
      <c r="R5330" t="s">
        <v>5889</v>
      </c>
      <c r="S5330" t="s">
        <v>767</v>
      </c>
      <c r="T5330" t="s">
        <v>768</v>
      </c>
    </row>
    <row r="5331" spans="1:20" x14ac:dyDescent="0.25">
      <c r="A5331" t="s">
        <v>30</v>
      </c>
      <c r="B5331" t="s">
        <v>31</v>
      </c>
      <c r="C5331" t="s">
        <v>32</v>
      </c>
      <c r="D5331" t="s">
        <v>765</v>
      </c>
      <c r="E5331" t="s">
        <v>766</v>
      </c>
      <c r="F5331" t="s">
        <v>35</v>
      </c>
      <c r="G5331" t="s">
        <v>35</v>
      </c>
      <c r="H5331" t="s">
        <v>35</v>
      </c>
      <c r="J5331" t="s">
        <v>5909</v>
      </c>
      <c r="K5331" t="s">
        <v>1092</v>
      </c>
      <c r="M5331">
        <v>0.99</v>
      </c>
      <c r="N5331">
        <v>80</v>
      </c>
      <c r="O5331" t="s">
        <v>61</v>
      </c>
      <c r="Q5331" t="s">
        <v>1639</v>
      </c>
      <c r="R5331" t="s">
        <v>5889</v>
      </c>
      <c r="S5331" t="s">
        <v>767</v>
      </c>
      <c r="T5331" t="s">
        <v>768</v>
      </c>
    </row>
    <row r="5332" spans="1:20" x14ac:dyDescent="0.25">
      <c r="A5332" t="s">
        <v>59</v>
      </c>
      <c r="B5332" t="s">
        <v>31</v>
      </c>
      <c r="C5332" t="s">
        <v>32</v>
      </c>
      <c r="D5332" t="s">
        <v>765</v>
      </c>
      <c r="E5332" t="s">
        <v>766</v>
      </c>
      <c r="F5332" t="s">
        <v>35</v>
      </c>
      <c r="G5332" t="s">
        <v>35</v>
      </c>
      <c r="H5332" t="s">
        <v>35</v>
      </c>
      <c r="J5332" t="s">
        <v>5909</v>
      </c>
      <c r="K5332" t="s">
        <v>1092</v>
      </c>
      <c r="M5332">
        <v>1.35</v>
      </c>
      <c r="N5332">
        <v>85</v>
      </c>
      <c r="O5332" t="s">
        <v>61</v>
      </c>
      <c r="Q5332" t="s">
        <v>1100</v>
      </c>
      <c r="R5332" t="s">
        <v>5889</v>
      </c>
      <c r="S5332" t="s">
        <v>767</v>
      </c>
      <c r="T5332" t="s">
        <v>768</v>
      </c>
    </row>
    <row r="5333" spans="1:20" x14ac:dyDescent="0.25">
      <c r="A5333" t="s">
        <v>59</v>
      </c>
      <c r="B5333" t="s">
        <v>31</v>
      </c>
      <c r="C5333" t="s">
        <v>32</v>
      </c>
      <c r="D5333" t="s">
        <v>765</v>
      </c>
      <c r="E5333" t="s">
        <v>5948</v>
      </c>
      <c r="F5333" t="s">
        <v>35</v>
      </c>
      <c r="G5333" t="s">
        <v>35</v>
      </c>
      <c r="H5333" t="s">
        <v>35</v>
      </c>
      <c r="J5333" t="s">
        <v>5952</v>
      </c>
      <c r="K5333" t="s">
        <v>1092</v>
      </c>
      <c r="M5333">
        <v>3.84</v>
      </c>
      <c r="N5333">
        <v>83</v>
      </c>
      <c r="O5333" t="s">
        <v>61</v>
      </c>
      <c r="Q5333" t="s">
        <v>897</v>
      </c>
      <c r="R5333" t="s">
        <v>5889</v>
      </c>
      <c r="S5333" t="s">
        <v>767</v>
      </c>
      <c r="T5333" t="s">
        <v>768</v>
      </c>
    </row>
    <row r="5334" spans="1:20" x14ac:dyDescent="0.25">
      <c r="A5334" t="s">
        <v>30</v>
      </c>
      <c r="B5334" t="s">
        <v>31</v>
      </c>
      <c r="C5334" t="s">
        <v>32</v>
      </c>
      <c r="D5334" t="s">
        <v>765</v>
      </c>
      <c r="E5334" t="s">
        <v>5948</v>
      </c>
      <c r="F5334" t="s">
        <v>35</v>
      </c>
      <c r="G5334" t="s">
        <v>35</v>
      </c>
      <c r="H5334" t="s">
        <v>35</v>
      </c>
      <c r="J5334" t="s">
        <v>5950</v>
      </c>
      <c r="K5334" t="s">
        <v>1092</v>
      </c>
      <c r="M5334">
        <v>0.94499999999999995</v>
      </c>
      <c r="N5334">
        <v>66</v>
      </c>
      <c r="O5334" t="s">
        <v>61</v>
      </c>
      <c r="Q5334" t="s">
        <v>552</v>
      </c>
      <c r="R5334" t="s">
        <v>5889</v>
      </c>
      <c r="S5334" t="s">
        <v>767</v>
      </c>
      <c r="T5334" t="s">
        <v>768</v>
      </c>
    </row>
    <row r="5335" spans="1:20" x14ac:dyDescent="0.25">
      <c r="A5335" t="s">
        <v>59</v>
      </c>
      <c r="B5335" t="s">
        <v>31</v>
      </c>
      <c r="C5335" t="s">
        <v>32</v>
      </c>
      <c r="D5335" t="s">
        <v>765</v>
      </c>
      <c r="E5335" t="s">
        <v>5890</v>
      </c>
      <c r="F5335" t="s">
        <v>35</v>
      </c>
      <c r="G5335" t="s">
        <v>35</v>
      </c>
      <c r="H5335" t="s">
        <v>35</v>
      </c>
      <c r="J5335" t="s">
        <v>5897</v>
      </c>
      <c r="K5335" t="s">
        <v>1092</v>
      </c>
      <c r="M5335">
        <v>0.13100000000000001</v>
      </c>
      <c r="N5335">
        <v>178</v>
      </c>
      <c r="O5335" t="s">
        <v>38</v>
      </c>
      <c r="Q5335" t="s">
        <v>5898</v>
      </c>
      <c r="R5335" t="s">
        <v>5889</v>
      </c>
      <c r="S5335" t="s">
        <v>767</v>
      </c>
      <c r="T5335" t="s">
        <v>768</v>
      </c>
    </row>
    <row r="5336" spans="1:20" x14ac:dyDescent="0.25">
      <c r="A5336" t="s">
        <v>30</v>
      </c>
      <c r="B5336" t="s">
        <v>31</v>
      </c>
      <c r="C5336" t="s">
        <v>32</v>
      </c>
      <c r="D5336" t="s">
        <v>765</v>
      </c>
      <c r="E5336" t="s">
        <v>5890</v>
      </c>
      <c r="F5336" t="s">
        <v>35</v>
      </c>
      <c r="G5336" t="s">
        <v>35</v>
      </c>
      <c r="H5336" t="s">
        <v>35</v>
      </c>
      <c r="J5336" t="s">
        <v>5897</v>
      </c>
      <c r="K5336" t="s">
        <v>1092</v>
      </c>
      <c r="M5336">
        <v>3.8250000000000002</v>
      </c>
      <c r="N5336">
        <v>66</v>
      </c>
      <c r="O5336" t="s">
        <v>61</v>
      </c>
      <c r="Q5336" t="s">
        <v>552</v>
      </c>
      <c r="R5336" t="s">
        <v>5889</v>
      </c>
      <c r="S5336" t="s">
        <v>767</v>
      </c>
      <c r="T5336" t="s">
        <v>768</v>
      </c>
    </row>
    <row r="5337" spans="1:20" x14ac:dyDescent="0.25">
      <c r="A5337" t="s">
        <v>30</v>
      </c>
      <c r="B5337" t="s">
        <v>31</v>
      </c>
      <c r="C5337" t="s">
        <v>32</v>
      </c>
      <c r="D5337" t="s">
        <v>765</v>
      </c>
      <c r="E5337" t="s">
        <v>766</v>
      </c>
      <c r="F5337" t="s">
        <v>35</v>
      </c>
      <c r="G5337" t="s">
        <v>35</v>
      </c>
      <c r="H5337" t="s">
        <v>35</v>
      </c>
      <c r="J5337" t="s">
        <v>5918</v>
      </c>
      <c r="K5337" t="s">
        <v>1092</v>
      </c>
      <c r="M5337">
        <v>1.0349999999999999</v>
      </c>
      <c r="N5337">
        <v>153</v>
      </c>
      <c r="O5337" t="s">
        <v>38</v>
      </c>
      <c r="Q5337" t="s">
        <v>260</v>
      </c>
      <c r="R5337" t="s">
        <v>5889</v>
      </c>
      <c r="S5337" t="s">
        <v>767</v>
      </c>
      <c r="T5337" t="s">
        <v>768</v>
      </c>
    </row>
    <row r="5338" spans="1:20" x14ac:dyDescent="0.25">
      <c r="A5338" t="s">
        <v>30</v>
      </c>
      <c r="B5338" t="s">
        <v>31</v>
      </c>
      <c r="C5338" t="s">
        <v>32</v>
      </c>
      <c r="D5338" t="s">
        <v>765</v>
      </c>
      <c r="E5338" t="s">
        <v>766</v>
      </c>
      <c r="F5338" t="s">
        <v>35</v>
      </c>
      <c r="G5338" t="s">
        <v>35</v>
      </c>
      <c r="H5338" t="s">
        <v>35</v>
      </c>
      <c r="J5338" t="s">
        <v>5924</v>
      </c>
      <c r="K5338" t="s">
        <v>1092</v>
      </c>
      <c r="M5338">
        <v>4.9050000000000002</v>
      </c>
      <c r="N5338">
        <v>150</v>
      </c>
      <c r="O5338" t="s">
        <v>38</v>
      </c>
      <c r="Q5338" t="s">
        <v>1145</v>
      </c>
      <c r="R5338" t="s">
        <v>5889</v>
      </c>
      <c r="S5338" t="s">
        <v>767</v>
      </c>
      <c r="T5338" t="s">
        <v>768</v>
      </c>
    </row>
    <row r="5339" spans="1:20" x14ac:dyDescent="0.25">
      <c r="A5339" t="s">
        <v>59</v>
      </c>
      <c r="B5339" t="s">
        <v>31</v>
      </c>
      <c r="C5339" t="s">
        <v>32</v>
      </c>
      <c r="D5339" t="s">
        <v>765</v>
      </c>
      <c r="E5339" t="s">
        <v>5890</v>
      </c>
      <c r="F5339" t="s">
        <v>35</v>
      </c>
      <c r="G5339" t="s">
        <v>35</v>
      </c>
      <c r="H5339" t="s">
        <v>35</v>
      </c>
      <c r="J5339" t="s">
        <v>5899</v>
      </c>
      <c r="K5339" t="s">
        <v>1092</v>
      </c>
      <c r="M5339">
        <v>6.3</v>
      </c>
      <c r="N5339">
        <v>124</v>
      </c>
      <c r="O5339" t="s">
        <v>38</v>
      </c>
      <c r="Q5339" t="s">
        <v>646</v>
      </c>
      <c r="R5339" t="s">
        <v>5889</v>
      </c>
      <c r="S5339" t="s">
        <v>767</v>
      </c>
      <c r="T5339" t="s">
        <v>768</v>
      </c>
    </row>
    <row r="5340" spans="1:20" x14ac:dyDescent="0.25">
      <c r="A5340" t="s">
        <v>59</v>
      </c>
      <c r="B5340" t="s">
        <v>60</v>
      </c>
      <c r="C5340" t="s">
        <v>32</v>
      </c>
      <c r="D5340" t="s">
        <v>765</v>
      </c>
      <c r="E5340" t="s">
        <v>5890</v>
      </c>
      <c r="F5340" t="s">
        <v>35</v>
      </c>
      <c r="G5340" t="s">
        <v>35</v>
      </c>
      <c r="H5340" t="s">
        <v>35</v>
      </c>
      <c r="J5340" t="s">
        <v>5899</v>
      </c>
      <c r="K5340" t="s">
        <v>1092</v>
      </c>
      <c r="M5340">
        <v>5.25</v>
      </c>
      <c r="N5340">
        <v>124</v>
      </c>
      <c r="O5340" t="s">
        <v>38</v>
      </c>
      <c r="Q5340" t="s">
        <v>646</v>
      </c>
      <c r="R5340" t="s">
        <v>5889</v>
      </c>
      <c r="S5340" t="s">
        <v>767</v>
      </c>
      <c r="T5340" t="s">
        <v>768</v>
      </c>
    </row>
    <row r="5341" spans="1:20" x14ac:dyDescent="0.25">
      <c r="A5341" t="s">
        <v>59</v>
      </c>
      <c r="B5341" t="s">
        <v>31</v>
      </c>
      <c r="C5341" t="s">
        <v>32</v>
      </c>
      <c r="D5341" t="s">
        <v>765</v>
      </c>
      <c r="F5341" t="s">
        <v>35</v>
      </c>
      <c r="G5341" t="s">
        <v>35</v>
      </c>
      <c r="H5341" t="s">
        <v>35</v>
      </c>
      <c r="J5341" t="s">
        <v>5958</v>
      </c>
      <c r="K5341" t="s">
        <v>1092</v>
      </c>
      <c r="M5341">
        <v>1.8</v>
      </c>
      <c r="N5341">
        <v>1721</v>
      </c>
      <c r="O5341" t="s">
        <v>575</v>
      </c>
      <c r="Q5341" t="s">
        <v>5959</v>
      </c>
      <c r="R5341" t="s">
        <v>5889</v>
      </c>
      <c r="S5341" t="s">
        <v>767</v>
      </c>
      <c r="T5341" t="s">
        <v>768</v>
      </c>
    </row>
    <row r="5342" spans="1:20" x14ac:dyDescent="0.25">
      <c r="A5342" t="s">
        <v>59</v>
      </c>
      <c r="B5342" t="s">
        <v>31</v>
      </c>
      <c r="C5342" t="s">
        <v>32</v>
      </c>
      <c r="D5342" t="s">
        <v>765</v>
      </c>
      <c r="E5342" t="s">
        <v>5903</v>
      </c>
      <c r="F5342" t="s">
        <v>35</v>
      </c>
      <c r="G5342" t="s">
        <v>35</v>
      </c>
      <c r="H5342" t="s">
        <v>35</v>
      </c>
      <c r="J5342" t="s">
        <v>5904</v>
      </c>
      <c r="K5342" t="s">
        <v>1092</v>
      </c>
      <c r="M5342">
        <v>4.41</v>
      </c>
      <c r="N5342">
        <v>124</v>
      </c>
      <c r="O5342" t="s">
        <v>38</v>
      </c>
      <c r="Q5342" t="s">
        <v>646</v>
      </c>
      <c r="R5342" t="s">
        <v>5889</v>
      </c>
      <c r="S5342" t="s">
        <v>767</v>
      </c>
      <c r="T5342" t="s">
        <v>768</v>
      </c>
    </row>
    <row r="5343" spans="1:20" x14ac:dyDescent="0.25">
      <c r="A5343" t="s">
        <v>59</v>
      </c>
      <c r="B5343" t="s">
        <v>60</v>
      </c>
      <c r="C5343" t="s">
        <v>32</v>
      </c>
      <c r="D5343" t="s">
        <v>765</v>
      </c>
      <c r="E5343" t="s">
        <v>766</v>
      </c>
      <c r="F5343" t="s">
        <v>35</v>
      </c>
      <c r="G5343" t="s">
        <v>35</v>
      </c>
      <c r="H5343" t="s">
        <v>35</v>
      </c>
      <c r="J5343" t="s">
        <v>5919</v>
      </c>
      <c r="K5343" t="s">
        <v>1092</v>
      </c>
      <c r="M5343">
        <v>2.5</v>
      </c>
      <c r="N5343">
        <v>251</v>
      </c>
      <c r="O5343" t="s">
        <v>5</v>
      </c>
      <c r="Q5343" t="s">
        <v>5051</v>
      </c>
      <c r="R5343" t="s">
        <v>5889</v>
      </c>
      <c r="S5343" t="s">
        <v>767</v>
      </c>
      <c r="T5343" t="s">
        <v>768</v>
      </c>
    </row>
    <row r="5344" spans="1:20" x14ac:dyDescent="0.25">
      <c r="A5344" t="s">
        <v>30</v>
      </c>
      <c r="B5344" t="s">
        <v>31</v>
      </c>
      <c r="C5344" t="s">
        <v>32</v>
      </c>
      <c r="D5344" t="s">
        <v>765</v>
      </c>
      <c r="E5344" t="s">
        <v>5953</v>
      </c>
      <c r="F5344" t="s">
        <v>35</v>
      </c>
      <c r="G5344" t="s">
        <v>35</v>
      </c>
      <c r="H5344" t="s">
        <v>35</v>
      </c>
      <c r="J5344" t="s">
        <v>5954</v>
      </c>
      <c r="K5344" t="s">
        <v>1092</v>
      </c>
      <c r="M5344">
        <v>0.19500000000000001</v>
      </c>
      <c r="N5344">
        <v>159</v>
      </c>
      <c r="O5344" t="s">
        <v>38</v>
      </c>
      <c r="Q5344" t="s">
        <v>2316</v>
      </c>
      <c r="R5344" t="s">
        <v>5889</v>
      </c>
      <c r="S5344" t="s">
        <v>767</v>
      </c>
      <c r="T5344" t="s">
        <v>768</v>
      </c>
    </row>
    <row r="5345" spans="1:20" x14ac:dyDescent="0.25">
      <c r="A5345" t="s">
        <v>30</v>
      </c>
      <c r="B5345" t="s">
        <v>31</v>
      </c>
      <c r="C5345" t="s">
        <v>32</v>
      </c>
      <c r="D5345" t="s">
        <v>765</v>
      </c>
      <c r="E5345" t="s">
        <v>766</v>
      </c>
      <c r="F5345" t="s">
        <v>35</v>
      </c>
      <c r="G5345" t="s">
        <v>35</v>
      </c>
      <c r="H5345" t="s">
        <v>35</v>
      </c>
      <c r="J5345" t="s">
        <v>5923</v>
      </c>
      <c r="K5345" t="s">
        <v>1092</v>
      </c>
      <c r="M5345">
        <v>2.97</v>
      </c>
      <c r="N5345">
        <v>143</v>
      </c>
      <c r="O5345" t="s">
        <v>38</v>
      </c>
      <c r="Q5345" t="s">
        <v>1612</v>
      </c>
      <c r="R5345" t="s">
        <v>5889</v>
      </c>
      <c r="S5345" t="s">
        <v>767</v>
      </c>
      <c r="T5345" t="s">
        <v>768</v>
      </c>
    </row>
    <row r="5346" spans="1:20" x14ac:dyDescent="0.25">
      <c r="A5346" t="s">
        <v>30</v>
      </c>
      <c r="B5346" t="s">
        <v>31</v>
      </c>
      <c r="C5346" t="s">
        <v>32</v>
      </c>
      <c r="D5346" t="s">
        <v>765</v>
      </c>
      <c r="E5346" t="s">
        <v>766</v>
      </c>
      <c r="F5346" t="s">
        <v>35</v>
      </c>
      <c r="G5346" t="s">
        <v>35</v>
      </c>
      <c r="H5346" t="s">
        <v>35</v>
      </c>
      <c r="J5346" t="s">
        <v>5908</v>
      </c>
      <c r="K5346" t="s">
        <v>1092</v>
      </c>
      <c r="M5346">
        <v>0.40500000000000003</v>
      </c>
      <c r="N5346">
        <v>150</v>
      </c>
      <c r="O5346" t="s">
        <v>38</v>
      </c>
      <c r="Q5346" t="s">
        <v>1145</v>
      </c>
      <c r="R5346" t="s">
        <v>5889</v>
      </c>
      <c r="S5346" t="s">
        <v>767</v>
      </c>
      <c r="T5346" t="s">
        <v>768</v>
      </c>
    </row>
    <row r="5347" spans="1:20" x14ac:dyDescent="0.25">
      <c r="A5347" t="s">
        <v>30</v>
      </c>
      <c r="B5347" t="s">
        <v>31</v>
      </c>
      <c r="C5347" t="s">
        <v>32</v>
      </c>
      <c r="D5347" t="s">
        <v>765</v>
      </c>
      <c r="E5347" t="s">
        <v>766</v>
      </c>
      <c r="F5347" t="s">
        <v>35</v>
      </c>
      <c r="G5347" t="s">
        <v>35</v>
      </c>
      <c r="H5347" t="s">
        <v>35</v>
      </c>
      <c r="J5347" t="s">
        <v>5920</v>
      </c>
      <c r="K5347" t="s">
        <v>1092</v>
      </c>
      <c r="M5347">
        <v>0.18</v>
      </c>
      <c r="N5347">
        <v>603</v>
      </c>
      <c r="O5347" t="s">
        <v>575</v>
      </c>
      <c r="Q5347" t="s">
        <v>5921</v>
      </c>
      <c r="R5347" t="s">
        <v>5889</v>
      </c>
      <c r="S5347" t="s">
        <v>767</v>
      </c>
      <c r="T5347" t="s">
        <v>768</v>
      </c>
    </row>
    <row r="5348" spans="1:20" x14ac:dyDescent="0.25">
      <c r="A5348" t="s">
        <v>30</v>
      </c>
      <c r="B5348" t="s">
        <v>31</v>
      </c>
      <c r="C5348" t="s">
        <v>32</v>
      </c>
      <c r="D5348" t="s">
        <v>765</v>
      </c>
      <c r="E5348" t="s">
        <v>766</v>
      </c>
      <c r="F5348" t="s">
        <v>35</v>
      </c>
      <c r="G5348" t="s">
        <v>35</v>
      </c>
      <c r="H5348" t="s">
        <v>35</v>
      </c>
      <c r="J5348" t="s">
        <v>5910</v>
      </c>
      <c r="K5348" t="s">
        <v>1092</v>
      </c>
      <c r="M5348">
        <v>12.6</v>
      </c>
      <c r="N5348">
        <v>944</v>
      </c>
      <c r="O5348" t="s">
        <v>575</v>
      </c>
      <c r="Q5348" t="s">
        <v>5911</v>
      </c>
      <c r="R5348" t="s">
        <v>5889</v>
      </c>
      <c r="S5348" t="s">
        <v>767</v>
      </c>
      <c r="T5348" t="s">
        <v>768</v>
      </c>
    </row>
    <row r="5349" spans="1:20" x14ac:dyDescent="0.25">
      <c r="A5349" t="s">
        <v>30</v>
      </c>
      <c r="B5349" t="s">
        <v>31</v>
      </c>
      <c r="C5349" t="s">
        <v>32</v>
      </c>
      <c r="D5349" t="s">
        <v>765</v>
      </c>
      <c r="E5349" t="s">
        <v>5926</v>
      </c>
      <c r="F5349" t="s">
        <v>35</v>
      </c>
      <c r="G5349" t="s">
        <v>35</v>
      </c>
      <c r="H5349" t="s">
        <v>35</v>
      </c>
      <c r="J5349" t="s">
        <v>5929</v>
      </c>
      <c r="K5349" t="s">
        <v>1092</v>
      </c>
      <c r="M5349">
        <v>0.18</v>
      </c>
      <c r="N5349">
        <v>66</v>
      </c>
      <c r="O5349" t="s">
        <v>61</v>
      </c>
      <c r="Q5349" t="s">
        <v>552</v>
      </c>
      <c r="R5349" t="s">
        <v>5889</v>
      </c>
      <c r="S5349" t="s">
        <v>767</v>
      </c>
      <c r="T5349" t="s">
        <v>768</v>
      </c>
    </row>
    <row r="5350" spans="1:20" x14ac:dyDescent="0.25">
      <c r="A5350" t="s">
        <v>59</v>
      </c>
      <c r="B5350" t="s">
        <v>31</v>
      </c>
      <c r="C5350" t="s">
        <v>32</v>
      </c>
      <c r="D5350" t="s">
        <v>765</v>
      </c>
      <c r="E5350" t="s">
        <v>5887</v>
      </c>
      <c r="F5350" t="s">
        <v>35</v>
      </c>
      <c r="G5350" t="s">
        <v>35</v>
      </c>
      <c r="H5350" t="s">
        <v>35</v>
      </c>
      <c r="J5350" t="s">
        <v>5888</v>
      </c>
      <c r="K5350" t="s">
        <v>1092</v>
      </c>
      <c r="M5350">
        <v>3.4649999999999999</v>
      </c>
      <c r="N5350">
        <v>124</v>
      </c>
      <c r="O5350" t="s">
        <v>38</v>
      </c>
      <c r="Q5350" t="s">
        <v>646</v>
      </c>
      <c r="R5350" t="s">
        <v>5889</v>
      </c>
      <c r="S5350" t="s">
        <v>767</v>
      </c>
      <c r="T5350" t="s">
        <v>768</v>
      </c>
    </row>
    <row r="5351" spans="1:20" x14ac:dyDescent="0.25">
      <c r="A5351" t="s">
        <v>30</v>
      </c>
      <c r="B5351" t="s">
        <v>31</v>
      </c>
      <c r="C5351" t="s">
        <v>32</v>
      </c>
      <c r="D5351" t="s">
        <v>765</v>
      </c>
      <c r="E5351" t="s">
        <v>5887</v>
      </c>
      <c r="F5351" t="s">
        <v>35</v>
      </c>
      <c r="G5351" t="s">
        <v>35</v>
      </c>
      <c r="H5351" t="s">
        <v>35</v>
      </c>
      <c r="J5351" t="s">
        <v>5888</v>
      </c>
      <c r="K5351" t="s">
        <v>1092</v>
      </c>
      <c r="M5351">
        <v>5.58</v>
      </c>
      <c r="N5351">
        <v>66</v>
      </c>
      <c r="O5351" t="s">
        <v>61</v>
      </c>
      <c r="Q5351" t="s">
        <v>552</v>
      </c>
      <c r="R5351" t="s">
        <v>5889</v>
      </c>
      <c r="S5351" t="s">
        <v>767</v>
      </c>
      <c r="T5351" t="s">
        <v>768</v>
      </c>
    </row>
    <row r="5352" spans="1:20" x14ac:dyDescent="0.25">
      <c r="A5352" t="s">
        <v>59</v>
      </c>
      <c r="B5352" t="s">
        <v>60</v>
      </c>
      <c r="C5352" t="s">
        <v>32</v>
      </c>
      <c r="D5352" t="s">
        <v>765</v>
      </c>
      <c r="E5352" t="s">
        <v>5931</v>
      </c>
      <c r="F5352" t="s">
        <v>35</v>
      </c>
      <c r="G5352" t="s">
        <v>35</v>
      </c>
      <c r="H5352" t="s">
        <v>35</v>
      </c>
      <c r="J5352" t="s">
        <v>5938</v>
      </c>
      <c r="K5352" t="s">
        <v>1092</v>
      </c>
      <c r="M5352">
        <v>0.4</v>
      </c>
      <c r="N5352">
        <v>2478</v>
      </c>
      <c r="O5352" t="s">
        <v>575</v>
      </c>
      <c r="Q5352" t="s">
        <v>5939</v>
      </c>
      <c r="R5352" t="s">
        <v>5940</v>
      </c>
      <c r="S5352" t="s">
        <v>5941</v>
      </c>
      <c r="T5352" t="s">
        <v>5942</v>
      </c>
    </row>
    <row r="5353" spans="1:20" x14ac:dyDescent="0.25">
      <c r="A5353" t="s">
        <v>59</v>
      </c>
      <c r="B5353" t="s">
        <v>60</v>
      </c>
      <c r="C5353" t="s">
        <v>32</v>
      </c>
      <c r="D5353" t="s">
        <v>765</v>
      </c>
      <c r="F5353" t="s">
        <v>35</v>
      </c>
      <c r="G5353" t="s">
        <v>35</v>
      </c>
      <c r="H5353" t="s">
        <v>35</v>
      </c>
      <c r="J5353" t="s">
        <v>5960</v>
      </c>
      <c r="K5353" t="s">
        <v>404</v>
      </c>
      <c r="M5353">
        <v>0.2</v>
      </c>
      <c r="N5353">
        <v>2666</v>
      </c>
      <c r="O5353" t="s">
        <v>575</v>
      </c>
      <c r="Q5353" t="s">
        <v>1486</v>
      </c>
      <c r="R5353" t="s">
        <v>1487</v>
      </c>
      <c r="S5353" t="s">
        <v>1488</v>
      </c>
    </row>
    <row r="5354" spans="1:20" x14ac:dyDescent="0.25">
      <c r="A5354" t="s">
        <v>59</v>
      </c>
      <c r="B5354" t="s">
        <v>60</v>
      </c>
      <c r="C5354" t="s">
        <v>32</v>
      </c>
      <c r="D5354" t="s">
        <v>765</v>
      </c>
      <c r="E5354" t="s">
        <v>5903</v>
      </c>
      <c r="F5354" t="s">
        <v>35</v>
      </c>
      <c r="G5354" t="s">
        <v>35</v>
      </c>
      <c r="H5354" t="s">
        <v>35</v>
      </c>
      <c r="J5354" t="s">
        <v>5905</v>
      </c>
      <c r="K5354" t="s">
        <v>1092</v>
      </c>
      <c r="M5354">
        <v>0.03</v>
      </c>
      <c r="N5354">
        <v>2666</v>
      </c>
      <c r="O5354" t="s">
        <v>575</v>
      </c>
      <c r="Q5354" t="s">
        <v>1486</v>
      </c>
      <c r="R5354" t="s">
        <v>1487</v>
      </c>
      <c r="S5354" t="s">
        <v>1488</v>
      </c>
    </row>
    <row r="5355" spans="1:20" x14ac:dyDescent="0.25">
      <c r="A5355" t="s">
        <v>59</v>
      </c>
      <c r="B5355" t="s">
        <v>60</v>
      </c>
      <c r="C5355" t="s">
        <v>32</v>
      </c>
      <c r="D5355" t="s">
        <v>765</v>
      </c>
      <c r="F5355" t="s">
        <v>35</v>
      </c>
      <c r="G5355" t="s">
        <v>35</v>
      </c>
      <c r="H5355" t="s">
        <v>35</v>
      </c>
      <c r="J5355" t="s">
        <v>5957</v>
      </c>
      <c r="K5355" t="s">
        <v>404</v>
      </c>
      <c r="M5355">
        <v>2.1999999999999999E-2</v>
      </c>
      <c r="N5355">
        <v>2666</v>
      </c>
      <c r="O5355" t="s">
        <v>575</v>
      </c>
      <c r="Q5355" t="s">
        <v>1486</v>
      </c>
      <c r="R5355" t="s">
        <v>1487</v>
      </c>
      <c r="S5355" t="s">
        <v>1488</v>
      </c>
    </row>
    <row r="5356" spans="1:20" x14ac:dyDescent="0.25">
      <c r="A5356" t="s">
        <v>30</v>
      </c>
      <c r="B5356" t="s">
        <v>31</v>
      </c>
      <c r="C5356" t="s">
        <v>32</v>
      </c>
      <c r="D5356" t="s">
        <v>5966</v>
      </c>
      <c r="E5356" t="s">
        <v>5967</v>
      </c>
      <c r="F5356" t="s">
        <v>35</v>
      </c>
      <c r="G5356" t="s">
        <v>35</v>
      </c>
      <c r="H5356" t="s">
        <v>35</v>
      </c>
      <c r="J5356" t="s">
        <v>5968</v>
      </c>
      <c r="K5356" t="s">
        <v>1092</v>
      </c>
      <c r="M5356">
        <v>0.01</v>
      </c>
      <c r="N5356">
        <v>538</v>
      </c>
      <c r="O5356" t="s">
        <v>294</v>
      </c>
      <c r="Q5356" t="s">
        <v>1472</v>
      </c>
      <c r="R5356" t="s">
        <v>5969</v>
      </c>
      <c r="S5356" t="s">
        <v>5970</v>
      </c>
      <c r="T5356" t="s">
        <v>5971</v>
      </c>
    </row>
    <row r="5357" spans="1:20" x14ac:dyDescent="0.25">
      <c r="A5357" t="s">
        <v>30</v>
      </c>
      <c r="B5357" t="s">
        <v>31</v>
      </c>
      <c r="C5357" t="s">
        <v>32</v>
      </c>
      <c r="D5357" t="s">
        <v>5966</v>
      </c>
      <c r="E5357" t="s">
        <v>5972</v>
      </c>
      <c r="F5357" t="s">
        <v>35</v>
      </c>
      <c r="G5357" t="s">
        <v>35</v>
      </c>
      <c r="H5357" t="s">
        <v>35</v>
      </c>
      <c r="J5357" t="s">
        <v>5983</v>
      </c>
      <c r="K5357" t="s">
        <v>1092</v>
      </c>
      <c r="M5357">
        <v>0.85499999999999998</v>
      </c>
      <c r="N5357">
        <v>156</v>
      </c>
      <c r="O5357" t="s">
        <v>38</v>
      </c>
      <c r="Q5357" t="s">
        <v>1632</v>
      </c>
      <c r="R5357" t="s">
        <v>5984</v>
      </c>
      <c r="S5357" t="s">
        <v>5985</v>
      </c>
      <c r="T5357" t="s">
        <v>5986</v>
      </c>
    </row>
    <row r="5358" spans="1:20" x14ac:dyDescent="0.25">
      <c r="A5358" t="s">
        <v>30</v>
      </c>
      <c r="B5358" t="s">
        <v>31</v>
      </c>
      <c r="C5358" t="s">
        <v>32</v>
      </c>
      <c r="D5358" t="s">
        <v>5966</v>
      </c>
      <c r="E5358" t="s">
        <v>5972</v>
      </c>
      <c r="F5358" t="s">
        <v>35</v>
      </c>
      <c r="G5358" t="s">
        <v>35</v>
      </c>
      <c r="H5358" t="s">
        <v>35</v>
      </c>
      <c r="J5358" t="s">
        <v>5987</v>
      </c>
      <c r="K5358" t="s">
        <v>1092</v>
      </c>
      <c r="M5358">
        <v>1.9350000000000001</v>
      </c>
      <c r="N5358">
        <v>170</v>
      </c>
      <c r="O5358" t="s">
        <v>38</v>
      </c>
      <c r="Q5358" t="s">
        <v>4657</v>
      </c>
      <c r="R5358" t="s">
        <v>5984</v>
      </c>
      <c r="S5358" t="s">
        <v>5985</v>
      </c>
      <c r="T5358" t="s">
        <v>5986</v>
      </c>
    </row>
    <row r="5359" spans="1:20" x14ac:dyDescent="0.25">
      <c r="A5359" t="s">
        <v>30</v>
      </c>
      <c r="B5359" t="s">
        <v>31</v>
      </c>
      <c r="C5359" t="s">
        <v>32</v>
      </c>
      <c r="D5359" t="s">
        <v>5966</v>
      </c>
      <c r="F5359" t="s">
        <v>35</v>
      </c>
      <c r="G5359" t="s">
        <v>35</v>
      </c>
      <c r="H5359" t="s">
        <v>35</v>
      </c>
      <c r="J5359" t="s">
        <v>5990</v>
      </c>
      <c r="K5359" t="s">
        <v>1092</v>
      </c>
      <c r="M5359">
        <v>7.47</v>
      </c>
      <c r="N5359">
        <v>69</v>
      </c>
      <c r="O5359" t="s">
        <v>61</v>
      </c>
      <c r="Q5359" t="s">
        <v>234</v>
      </c>
      <c r="R5359" t="s">
        <v>5984</v>
      </c>
      <c r="S5359" t="s">
        <v>5985</v>
      </c>
      <c r="T5359" t="s">
        <v>5986</v>
      </c>
    </row>
    <row r="5360" spans="1:20" x14ac:dyDescent="0.25">
      <c r="A5360" t="s">
        <v>30</v>
      </c>
      <c r="B5360" t="s">
        <v>31</v>
      </c>
      <c r="C5360" t="s">
        <v>32</v>
      </c>
      <c r="D5360" t="s">
        <v>5966</v>
      </c>
      <c r="F5360" t="s">
        <v>35</v>
      </c>
      <c r="G5360" t="s">
        <v>35</v>
      </c>
      <c r="H5360" t="s">
        <v>35</v>
      </c>
      <c r="J5360" t="s">
        <v>5990</v>
      </c>
      <c r="K5360" t="s">
        <v>1092</v>
      </c>
      <c r="M5360">
        <v>0.72</v>
      </c>
      <c r="N5360">
        <v>247</v>
      </c>
      <c r="O5360" t="s">
        <v>5</v>
      </c>
      <c r="Q5360" t="s">
        <v>367</v>
      </c>
      <c r="R5360" t="s">
        <v>5984</v>
      </c>
      <c r="S5360" t="s">
        <v>5985</v>
      </c>
      <c r="T5360" t="s">
        <v>5986</v>
      </c>
    </row>
    <row r="5361" spans="1:20" x14ac:dyDescent="0.25">
      <c r="A5361" t="s">
        <v>30</v>
      </c>
      <c r="B5361" t="s">
        <v>31</v>
      </c>
      <c r="C5361" t="s">
        <v>32</v>
      </c>
      <c r="D5361" t="s">
        <v>5966</v>
      </c>
      <c r="E5361" t="s">
        <v>5989</v>
      </c>
      <c r="F5361" t="s">
        <v>35</v>
      </c>
      <c r="G5361" t="s">
        <v>35</v>
      </c>
      <c r="H5361" t="s">
        <v>35</v>
      </c>
      <c r="J5361" t="s">
        <v>1646</v>
      </c>
      <c r="K5361" t="s">
        <v>1092</v>
      </c>
      <c r="M5361">
        <v>2.4300000000000002</v>
      </c>
      <c r="N5361">
        <v>69</v>
      </c>
      <c r="O5361" t="s">
        <v>61</v>
      </c>
      <c r="Q5361" t="s">
        <v>234</v>
      </c>
      <c r="R5361" t="s">
        <v>5984</v>
      </c>
      <c r="S5361" t="s">
        <v>5985</v>
      </c>
      <c r="T5361" t="s">
        <v>5986</v>
      </c>
    </row>
    <row r="5362" spans="1:20" x14ac:dyDescent="0.25">
      <c r="A5362" t="s">
        <v>59</v>
      </c>
      <c r="B5362" t="s">
        <v>60</v>
      </c>
      <c r="C5362" t="s">
        <v>32</v>
      </c>
      <c r="D5362" t="s">
        <v>5966</v>
      </c>
      <c r="F5362" t="s">
        <v>35</v>
      </c>
      <c r="G5362" t="s">
        <v>35</v>
      </c>
      <c r="H5362" t="s">
        <v>35</v>
      </c>
      <c r="J5362" t="s">
        <v>1838</v>
      </c>
      <c r="K5362" t="s">
        <v>1092</v>
      </c>
      <c r="M5362">
        <v>0.55000000000000004</v>
      </c>
      <c r="N5362">
        <v>2578</v>
      </c>
      <c r="O5362" t="s">
        <v>575</v>
      </c>
      <c r="Q5362" t="s">
        <v>2294</v>
      </c>
      <c r="R5362" t="s">
        <v>5975</v>
      </c>
      <c r="S5362" t="s">
        <v>5976</v>
      </c>
      <c r="T5362" t="s">
        <v>5977</v>
      </c>
    </row>
    <row r="5363" spans="1:20" x14ac:dyDescent="0.25">
      <c r="A5363" t="s">
        <v>30</v>
      </c>
      <c r="B5363" t="s">
        <v>31</v>
      </c>
      <c r="C5363" t="s">
        <v>32</v>
      </c>
      <c r="D5363" t="s">
        <v>5966</v>
      </c>
      <c r="E5363" t="s">
        <v>5972</v>
      </c>
      <c r="F5363" t="s">
        <v>35</v>
      </c>
      <c r="G5363" t="s">
        <v>35</v>
      </c>
      <c r="H5363" t="s">
        <v>35</v>
      </c>
      <c r="J5363" t="s">
        <v>5978</v>
      </c>
      <c r="K5363" t="s">
        <v>1092</v>
      </c>
      <c r="M5363">
        <v>1.575</v>
      </c>
      <c r="N5363">
        <v>1139</v>
      </c>
      <c r="O5363" t="s">
        <v>575</v>
      </c>
      <c r="Q5363" t="s">
        <v>4197</v>
      </c>
      <c r="R5363" t="s">
        <v>5975</v>
      </c>
      <c r="S5363" t="s">
        <v>5976</v>
      </c>
      <c r="T5363" t="s">
        <v>5977</v>
      </c>
    </row>
    <row r="5364" spans="1:20" x14ac:dyDescent="0.25">
      <c r="A5364" t="s">
        <v>59</v>
      </c>
      <c r="B5364" t="s">
        <v>31</v>
      </c>
      <c r="C5364" t="s">
        <v>32</v>
      </c>
      <c r="D5364" t="s">
        <v>5966</v>
      </c>
      <c r="E5364" t="s">
        <v>5972</v>
      </c>
      <c r="F5364" t="s">
        <v>35</v>
      </c>
      <c r="G5364" t="s">
        <v>35</v>
      </c>
      <c r="H5364" t="s">
        <v>35</v>
      </c>
      <c r="J5364" t="s">
        <v>5973</v>
      </c>
      <c r="K5364" t="s">
        <v>1092</v>
      </c>
      <c r="M5364">
        <v>4.9950000000000001</v>
      </c>
      <c r="N5364">
        <v>849</v>
      </c>
      <c r="O5364" t="s">
        <v>575</v>
      </c>
      <c r="Q5364" t="s">
        <v>5974</v>
      </c>
      <c r="R5364" t="s">
        <v>5975</v>
      </c>
      <c r="S5364" t="s">
        <v>5976</v>
      </c>
      <c r="T5364" t="s">
        <v>5977</v>
      </c>
    </row>
    <row r="5365" spans="1:20" x14ac:dyDescent="0.25">
      <c r="A5365" t="s">
        <v>59</v>
      </c>
      <c r="B5365" t="s">
        <v>60</v>
      </c>
      <c r="C5365" t="s">
        <v>32</v>
      </c>
      <c r="D5365" t="s">
        <v>5966</v>
      </c>
      <c r="E5365" t="s">
        <v>5972</v>
      </c>
      <c r="F5365" t="s">
        <v>35</v>
      </c>
      <c r="G5365" t="s">
        <v>35</v>
      </c>
      <c r="H5365" t="s">
        <v>35</v>
      </c>
      <c r="J5365" t="s">
        <v>5973</v>
      </c>
      <c r="K5365" t="s">
        <v>1092</v>
      </c>
      <c r="M5365">
        <v>0.6</v>
      </c>
      <c r="N5365">
        <v>848</v>
      </c>
      <c r="O5365" t="s">
        <v>575</v>
      </c>
      <c r="Q5365" t="s">
        <v>4957</v>
      </c>
      <c r="R5365" t="s">
        <v>5975</v>
      </c>
      <c r="S5365" t="s">
        <v>5976</v>
      </c>
      <c r="T5365" t="s">
        <v>5977</v>
      </c>
    </row>
    <row r="5366" spans="1:20" x14ac:dyDescent="0.25">
      <c r="A5366" t="s">
        <v>30</v>
      </c>
      <c r="B5366" t="s">
        <v>31</v>
      </c>
      <c r="C5366" t="s">
        <v>32</v>
      </c>
      <c r="D5366" t="s">
        <v>5966</v>
      </c>
      <c r="E5366" t="s">
        <v>5972</v>
      </c>
      <c r="F5366" t="s">
        <v>35</v>
      </c>
      <c r="G5366" t="s">
        <v>35</v>
      </c>
      <c r="H5366" t="s">
        <v>35</v>
      </c>
      <c r="J5366" t="s">
        <v>5988</v>
      </c>
      <c r="K5366" t="s">
        <v>1092</v>
      </c>
      <c r="M5366">
        <v>8.2349999999999994</v>
      </c>
      <c r="N5366">
        <v>168</v>
      </c>
      <c r="O5366" t="s">
        <v>38</v>
      </c>
      <c r="Q5366" t="s">
        <v>1692</v>
      </c>
      <c r="R5366" t="s">
        <v>5980</v>
      </c>
      <c r="S5366" t="s">
        <v>5981</v>
      </c>
      <c r="T5366" t="s">
        <v>5982</v>
      </c>
    </row>
    <row r="5367" spans="1:20" x14ac:dyDescent="0.25">
      <c r="A5367" t="s">
        <v>59</v>
      </c>
      <c r="B5367" t="s">
        <v>31</v>
      </c>
      <c r="C5367" t="s">
        <v>32</v>
      </c>
      <c r="D5367" t="s">
        <v>5966</v>
      </c>
      <c r="E5367" t="s">
        <v>5972</v>
      </c>
      <c r="F5367" t="s">
        <v>35</v>
      </c>
      <c r="G5367" t="s">
        <v>35</v>
      </c>
      <c r="H5367" t="s">
        <v>35</v>
      </c>
      <c r="J5367" t="s">
        <v>5979</v>
      </c>
      <c r="K5367" t="s">
        <v>1092</v>
      </c>
      <c r="M5367">
        <v>0.85499999999999998</v>
      </c>
      <c r="N5367">
        <v>189</v>
      </c>
      <c r="O5367" t="s">
        <v>5</v>
      </c>
      <c r="Q5367" t="s">
        <v>5616</v>
      </c>
      <c r="R5367" t="s">
        <v>5980</v>
      </c>
      <c r="S5367" t="s">
        <v>5981</v>
      </c>
      <c r="T5367" t="s">
        <v>5982</v>
      </c>
    </row>
    <row r="5368" spans="1:20" x14ac:dyDescent="0.25">
      <c r="A5368" t="s">
        <v>30</v>
      </c>
      <c r="B5368" t="s">
        <v>31</v>
      </c>
      <c r="C5368" t="s">
        <v>32</v>
      </c>
      <c r="D5368" t="s">
        <v>5966</v>
      </c>
      <c r="E5368" t="s">
        <v>5972</v>
      </c>
      <c r="F5368" t="s">
        <v>35</v>
      </c>
      <c r="G5368" t="s">
        <v>35</v>
      </c>
      <c r="H5368" t="s">
        <v>35</v>
      </c>
      <c r="J5368" t="s">
        <v>5979</v>
      </c>
      <c r="K5368" t="s">
        <v>1092</v>
      </c>
      <c r="M5368">
        <v>6.8849999999999998</v>
      </c>
      <c r="N5368">
        <v>189</v>
      </c>
      <c r="O5368" t="s">
        <v>5</v>
      </c>
      <c r="Q5368" t="s">
        <v>5616</v>
      </c>
      <c r="R5368" t="s">
        <v>5980</v>
      </c>
      <c r="S5368" t="s">
        <v>5981</v>
      </c>
      <c r="T5368" t="s">
        <v>5982</v>
      </c>
    </row>
    <row r="5369" spans="1:20" x14ac:dyDescent="0.25">
      <c r="A5369" t="s">
        <v>59</v>
      </c>
      <c r="B5369" t="s">
        <v>60</v>
      </c>
      <c r="C5369" t="s">
        <v>32</v>
      </c>
      <c r="D5369" t="s">
        <v>771</v>
      </c>
      <c r="E5369" t="s">
        <v>888</v>
      </c>
      <c r="F5369" t="s">
        <v>35</v>
      </c>
      <c r="G5369" t="s">
        <v>35</v>
      </c>
      <c r="H5369" t="s">
        <v>35</v>
      </c>
      <c r="J5369" t="s">
        <v>6501</v>
      </c>
      <c r="K5369" t="s">
        <v>1092</v>
      </c>
      <c r="M5369">
        <v>3</v>
      </c>
      <c r="N5369">
        <v>158</v>
      </c>
      <c r="O5369" t="s">
        <v>38</v>
      </c>
      <c r="Q5369" t="s">
        <v>1548</v>
      </c>
      <c r="R5369" t="s">
        <v>6489</v>
      </c>
      <c r="S5369" t="s">
        <v>889</v>
      </c>
      <c r="T5369" t="s">
        <v>890</v>
      </c>
    </row>
    <row r="5370" spans="1:20" x14ac:dyDescent="0.25">
      <c r="A5370" t="s">
        <v>59</v>
      </c>
      <c r="B5370" t="s">
        <v>60</v>
      </c>
      <c r="C5370" t="s">
        <v>32</v>
      </c>
      <c r="D5370" t="s">
        <v>771</v>
      </c>
      <c r="E5370" t="s">
        <v>888</v>
      </c>
      <c r="F5370" t="s">
        <v>35</v>
      </c>
      <c r="G5370" t="s">
        <v>35</v>
      </c>
      <c r="H5370" t="s">
        <v>35</v>
      </c>
      <c r="J5370" t="s">
        <v>6500</v>
      </c>
      <c r="K5370" t="s">
        <v>1092</v>
      </c>
      <c r="M5370">
        <v>2.5</v>
      </c>
      <c r="N5370">
        <v>158</v>
      </c>
      <c r="O5370" t="s">
        <v>38</v>
      </c>
      <c r="Q5370" t="s">
        <v>1548</v>
      </c>
      <c r="R5370" t="s">
        <v>6489</v>
      </c>
      <c r="S5370" t="s">
        <v>889</v>
      </c>
      <c r="T5370" t="s">
        <v>890</v>
      </c>
    </row>
    <row r="5371" spans="1:20" x14ac:dyDescent="0.25">
      <c r="A5371" t="s">
        <v>59</v>
      </c>
      <c r="B5371" t="s">
        <v>60</v>
      </c>
      <c r="C5371" t="s">
        <v>32</v>
      </c>
      <c r="D5371" t="s">
        <v>771</v>
      </c>
      <c r="E5371" t="s">
        <v>888</v>
      </c>
      <c r="F5371" t="s">
        <v>35</v>
      </c>
      <c r="G5371" t="s">
        <v>35</v>
      </c>
      <c r="H5371" t="s">
        <v>35</v>
      </c>
      <c r="J5371" t="s">
        <v>6488</v>
      </c>
      <c r="K5371" t="s">
        <v>1092</v>
      </c>
      <c r="M5371">
        <v>2</v>
      </c>
      <c r="N5371">
        <v>176</v>
      </c>
      <c r="O5371" t="s">
        <v>38</v>
      </c>
      <c r="Q5371" t="s">
        <v>3413</v>
      </c>
      <c r="R5371" t="s">
        <v>6489</v>
      </c>
      <c r="S5371" t="s">
        <v>889</v>
      </c>
      <c r="T5371" t="s">
        <v>890</v>
      </c>
    </row>
    <row r="5372" spans="1:20" x14ac:dyDescent="0.25">
      <c r="A5372" t="s">
        <v>44</v>
      </c>
      <c r="B5372" t="s">
        <v>51</v>
      </c>
      <c r="C5372" t="s">
        <v>32</v>
      </c>
      <c r="D5372" t="s">
        <v>771</v>
      </c>
      <c r="E5372" t="s">
        <v>888</v>
      </c>
      <c r="F5372" t="s">
        <v>35</v>
      </c>
      <c r="G5372" t="s">
        <v>35</v>
      </c>
      <c r="H5372" t="s">
        <v>35</v>
      </c>
      <c r="J5372" t="s">
        <v>6491</v>
      </c>
      <c r="K5372" t="s">
        <v>1092</v>
      </c>
      <c r="M5372">
        <v>2.2000000000000002</v>
      </c>
      <c r="N5372">
        <v>480</v>
      </c>
      <c r="O5372" t="s">
        <v>294</v>
      </c>
      <c r="Q5372" t="s">
        <v>6492</v>
      </c>
      <c r="R5372" t="s">
        <v>6489</v>
      </c>
      <c r="S5372" t="s">
        <v>889</v>
      </c>
      <c r="T5372" t="s">
        <v>890</v>
      </c>
    </row>
    <row r="5373" spans="1:20" x14ac:dyDescent="0.25">
      <c r="A5373" t="s">
        <v>59</v>
      </c>
      <c r="B5373" t="s">
        <v>60</v>
      </c>
      <c r="C5373" t="s">
        <v>32</v>
      </c>
      <c r="D5373" t="s">
        <v>771</v>
      </c>
      <c r="E5373" t="s">
        <v>888</v>
      </c>
      <c r="F5373" t="s">
        <v>35</v>
      </c>
      <c r="G5373" t="s">
        <v>35</v>
      </c>
      <c r="H5373" t="s">
        <v>35</v>
      </c>
      <c r="J5373" t="s">
        <v>6491</v>
      </c>
      <c r="K5373" t="s">
        <v>1092</v>
      </c>
      <c r="M5373">
        <v>2.8</v>
      </c>
      <c r="N5373">
        <v>480</v>
      </c>
      <c r="O5373" t="s">
        <v>294</v>
      </c>
      <c r="Q5373" t="s">
        <v>6492</v>
      </c>
      <c r="R5373" t="s">
        <v>6489</v>
      </c>
      <c r="S5373" t="s">
        <v>889</v>
      </c>
      <c r="T5373" t="s">
        <v>890</v>
      </c>
    </row>
    <row r="5374" spans="1:20" x14ac:dyDescent="0.25">
      <c r="A5374" t="s">
        <v>59</v>
      </c>
      <c r="B5374" t="s">
        <v>60</v>
      </c>
      <c r="C5374" t="s">
        <v>32</v>
      </c>
      <c r="D5374" t="s">
        <v>771</v>
      </c>
      <c r="E5374" t="s">
        <v>871</v>
      </c>
      <c r="F5374" t="s">
        <v>35</v>
      </c>
      <c r="G5374" t="s">
        <v>35</v>
      </c>
      <c r="H5374" t="s">
        <v>35</v>
      </c>
      <c r="J5374" t="s">
        <v>6415</v>
      </c>
      <c r="K5374" t="s">
        <v>1092</v>
      </c>
      <c r="M5374">
        <v>1.3049999999999999</v>
      </c>
      <c r="N5374">
        <v>349</v>
      </c>
      <c r="O5374" t="s">
        <v>5</v>
      </c>
      <c r="Q5374" t="s">
        <v>4728</v>
      </c>
      <c r="R5374" t="s">
        <v>6119</v>
      </c>
      <c r="S5374" t="s">
        <v>6120</v>
      </c>
      <c r="T5374" t="s">
        <v>6121</v>
      </c>
    </row>
    <row r="5375" spans="1:20" x14ac:dyDescent="0.25">
      <c r="A5375" t="s">
        <v>59</v>
      </c>
      <c r="B5375" t="s">
        <v>60</v>
      </c>
      <c r="C5375" t="s">
        <v>32</v>
      </c>
      <c r="D5375" t="s">
        <v>771</v>
      </c>
      <c r="E5375" t="s">
        <v>6093</v>
      </c>
      <c r="F5375" t="s">
        <v>35</v>
      </c>
      <c r="G5375" t="s">
        <v>35</v>
      </c>
      <c r="H5375" t="s">
        <v>35</v>
      </c>
      <c r="J5375" t="s">
        <v>6117</v>
      </c>
      <c r="K5375" t="s">
        <v>1092</v>
      </c>
      <c r="M5375">
        <v>3.25</v>
      </c>
      <c r="N5375">
        <v>319</v>
      </c>
      <c r="O5375" t="s">
        <v>5</v>
      </c>
      <c r="Q5375" t="s">
        <v>6118</v>
      </c>
      <c r="R5375" t="s">
        <v>6119</v>
      </c>
      <c r="S5375" t="s">
        <v>6120</v>
      </c>
      <c r="T5375" t="s">
        <v>6121</v>
      </c>
    </row>
    <row r="5376" spans="1:20" x14ac:dyDescent="0.25">
      <c r="A5376" t="s">
        <v>30</v>
      </c>
      <c r="B5376" t="s">
        <v>31</v>
      </c>
      <c r="C5376" t="s">
        <v>32</v>
      </c>
      <c r="D5376" t="s">
        <v>771</v>
      </c>
      <c r="E5376" t="s">
        <v>6093</v>
      </c>
      <c r="F5376" t="s">
        <v>35</v>
      </c>
      <c r="G5376" t="s">
        <v>35</v>
      </c>
      <c r="H5376" t="s">
        <v>35</v>
      </c>
      <c r="J5376" t="s">
        <v>6117</v>
      </c>
      <c r="K5376" t="s">
        <v>1092</v>
      </c>
      <c r="M5376">
        <v>6.5250000000000004</v>
      </c>
      <c r="N5376">
        <v>319</v>
      </c>
      <c r="O5376" t="s">
        <v>5</v>
      </c>
      <c r="Q5376" t="s">
        <v>6118</v>
      </c>
      <c r="R5376" t="s">
        <v>6119</v>
      </c>
      <c r="S5376" t="s">
        <v>6120</v>
      </c>
      <c r="T5376" t="s">
        <v>6121</v>
      </c>
    </row>
    <row r="5377" spans="1:20" x14ac:dyDescent="0.25">
      <c r="A5377" t="s">
        <v>59</v>
      </c>
      <c r="B5377" t="s">
        <v>31</v>
      </c>
      <c r="C5377" t="s">
        <v>32</v>
      </c>
      <c r="D5377" t="s">
        <v>771</v>
      </c>
      <c r="F5377" t="s">
        <v>35</v>
      </c>
      <c r="G5377" t="s">
        <v>35</v>
      </c>
      <c r="H5377" t="s">
        <v>35</v>
      </c>
      <c r="J5377" t="s">
        <v>3052</v>
      </c>
      <c r="K5377" t="s">
        <v>1092</v>
      </c>
      <c r="M5377">
        <v>0.04</v>
      </c>
      <c r="N5377">
        <v>2279</v>
      </c>
      <c r="O5377" t="s">
        <v>575</v>
      </c>
      <c r="Q5377" t="s">
        <v>6667</v>
      </c>
      <c r="R5377" t="s">
        <v>6119</v>
      </c>
      <c r="S5377" t="s">
        <v>6120</v>
      </c>
      <c r="T5377" t="s">
        <v>6121</v>
      </c>
    </row>
    <row r="5378" spans="1:20" x14ac:dyDescent="0.25">
      <c r="A5378" t="s">
        <v>59</v>
      </c>
      <c r="B5378" t="s">
        <v>60</v>
      </c>
      <c r="C5378" t="s">
        <v>32</v>
      </c>
      <c r="D5378" t="s">
        <v>771</v>
      </c>
      <c r="F5378" t="s">
        <v>35</v>
      </c>
      <c r="G5378" t="s">
        <v>35</v>
      </c>
      <c r="H5378" t="s">
        <v>35</v>
      </c>
      <c r="J5378" t="s">
        <v>3052</v>
      </c>
      <c r="K5378" t="s">
        <v>1092</v>
      </c>
      <c r="M5378">
        <v>0.1</v>
      </c>
      <c r="N5378">
        <v>2279</v>
      </c>
      <c r="O5378" t="s">
        <v>575</v>
      </c>
      <c r="Q5378" t="s">
        <v>6667</v>
      </c>
      <c r="R5378" t="s">
        <v>6119</v>
      </c>
      <c r="S5378" t="s">
        <v>6120</v>
      </c>
      <c r="T5378" t="s">
        <v>6121</v>
      </c>
    </row>
    <row r="5379" spans="1:20" x14ac:dyDescent="0.25">
      <c r="A5379" t="s">
        <v>59</v>
      </c>
      <c r="B5379" t="s">
        <v>31</v>
      </c>
      <c r="C5379" t="s">
        <v>32</v>
      </c>
      <c r="D5379" t="s">
        <v>771</v>
      </c>
      <c r="E5379" t="s">
        <v>865</v>
      </c>
      <c r="F5379" t="s">
        <v>35</v>
      </c>
      <c r="G5379" t="s">
        <v>35</v>
      </c>
      <c r="H5379" t="s">
        <v>35</v>
      </c>
      <c r="J5379" t="s">
        <v>6342</v>
      </c>
      <c r="K5379" t="s">
        <v>1092</v>
      </c>
      <c r="M5379">
        <v>0.04</v>
      </c>
      <c r="N5379">
        <v>270</v>
      </c>
      <c r="O5379" t="s">
        <v>5</v>
      </c>
      <c r="Q5379" t="s">
        <v>5812</v>
      </c>
      <c r="R5379" t="s">
        <v>6344</v>
      </c>
      <c r="S5379" t="s">
        <v>6345</v>
      </c>
      <c r="T5379" t="s">
        <v>6343</v>
      </c>
    </row>
    <row r="5380" spans="1:20" x14ac:dyDescent="0.25">
      <c r="A5380" t="s">
        <v>30</v>
      </c>
      <c r="B5380" t="s">
        <v>31</v>
      </c>
      <c r="C5380" t="s">
        <v>32</v>
      </c>
      <c r="D5380" t="s">
        <v>771</v>
      </c>
      <c r="E5380" t="s">
        <v>865</v>
      </c>
      <c r="F5380" t="s">
        <v>35</v>
      </c>
      <c r="G5380" t="s">
        <v>35</v>
      </c>
      <c r="H5380" t="s">
        <v>35</v>
      </c>
      <c r="J5380" t="s">
        <v>6342</v>
      </c>
      <c r="K5380" t="s">
        <v>1092</v>
      </c>
      <c r="M5380">
        <v>8.52</v>
      </c>
      <c r="N5380">
        <v>125</v>
      </c>
      <c r="O5380" t="s">
        <v>38</v>
      </c>
      <c r="Q5380" t="s">
        <v>2901</v>
      </c>
      <c r="R5380" t="s">
        <v>6344</v>
      </c>
      <c r="S5380" t="s">
        <v>6345</v>
      </c>
      <c r="T5380" t="s">
        <v>6343</v>
      </c>
    </row>
    <row r="5381" spans="1:20" x14ac:dyDescent="0.25">
      <c r="A5381" t="s">
        <v>30</v>
      </c>
      <c r="B5381" t="s">
        <v>31</v>
      </c>
      <c r="C5381" t="s">
        <v>32</v>
      </c>
      <c r="D5381" t="s">
        <v>771</v>
      </c>
      <c r="E5381" t="s">
        <v>865</v>
      </c>
      <c r="F5381" t="s">
        <v>35</v>
      </c>
      <c r="G5381" t="s">
        <v>35</v>
      </c>
      <c r="H5381" t="s">
        <v>35</v>
      </c>
      <c r="J5381" t="s">
        <v>6388</v>
      </c>
      <c r="K5381" t="s">
        <v>1092</v>
      </c>
      <c r="M5381">
        <v>2.7E-2</v>
      </c>
      <c r="N5381">
        <v>228</v>
      </c>
      <c r="O5381" t="s">
        <v>5</v>
      </c>
      <c r="Q5381" t="s">
        <v>4942</v>
      </c>
      <c r="R5381" t="s">
        <v>6344</v>
      </c>
      <c r="S5381" t="s">
        <v>6345</v>
      </c>
      <c r="T5381" t="s">
        <v>6343</v>
      </c>
    </row>
    <row r="5382" spans="1:20" x14ac:dyDescent="0.25">
      <c r="A5382" t="s">
        <v>30</v>
      </c>
      <c r="B5382" t="s">
        <v>31</v>
      </c>
      <c r="C5382" t="s">
        <v>32</v>
      </c>
      <c r="D5382" t="s">
        <v>771</v>
      </c>
      <c r="F5382" t="s">
        <v>35</v>
      </c>
      <c r="G5382" t="s">
        <v>35</v>
      </c>
      <c r="H5382" t="s">
        <v>35</v>
      </c>
      <c r="J5382" t="s">
        <v>6639</v>
      </c>
      <c r="K5382" t="s">
        <v>1092</v>
      </c>
      <c r="M5382">
        <v>0.214</v>
      </c>
      <c r="N5382">
        <v>2483</v>
      </c>
      <c r="O5382" t="s">
        <v>575</v>
      </c>
      <c r="Q5382" t="s">
        <v>2955</v>
      </c>
      <c r="R5382" t="s">
        <v>6029</v>
      </c>
      <c r="S5382" t="s">
        <v>6030</v>
      </c>
      <c r="T5382" t="s">
        <v>6031</v>
      </c>
    </row>
    <row r="5383" spans="1:20" x14ac:dyDescent="0.25">
      <c r="A5383" t="s">
        <v>6664</v>
      </c>
      <c r="B5383" t="s">
        <v>6665</v>
      </c>
      <c r="C5383" t="s">
        <v>32</v>
      </c>
      <c r="D5383" t="s">
        <v>771</v>
      </c>
      <c r="F5383" t="s">
        <v>35</v>
      </c>
      <c r="G5383" t="s">
        <v>35</v>
      </c>
      <c r="H5383" t="s">
        <v>35</v>
      </c>
      <c r="J5383" t="s">
        <v>6666</v>
      </c>
      <c r="K5383" t="s">
        <v>1092</v>
      </c>
      <c r="M5383">
        <v>0.5</v>
      </c>
      <c r="N5383">
        <v>2279</v>
      </c>
      <c r="O5383" t="s">
        <v>575</v>
      </c>
      <c r="Q5383" t="s">
        <v>6667</v>
      </c>
      <c r="R5383" t="s">
        <v>6029</v>
      </c>
      <c r="S5383" t="s">
        <v>6030</v>
      </c>
      <c r="T5383" t="s">
        <v>6031</v>
      </c>
    </row>
    <row r="5384" spans="1:20" x14ac:dyDescent="0.25">
      <c r="A5384" t="s">
        <v>44</v>
      </c>
      <c r="B5384" t="s">
        <v>51</v>
      </c>
      <c r="C5384" t="s">
        <v>32</v>
      </c>
      <c r="D5384" t="s">
        <v>771</v>
      </c>
      <c r="E5384" t="s">
        <v>861</v>
      </c>
      <c r="F5384" t="s">
        <v>35</v>
      </c>
      <c r="G5384" t="s">
        <v>35</v>
      </c>
      <c r="H5384" t="s">
        <v>35</v>
      </c>
      <c r="J5384" t="s">
        <v>6297</v>
      </c>
      <c r="K5384" t="s">
        <v>1092</v>
      </c>
      <c r="M5384">
        <v>11</v>
      </c>
      <c r="N5384">
        <v>76</v>
      </c>
      <c r="O5384" t="s">
        <v>61</v>
      </c>
      <c r="Q5384" t="s">
        <v>455</v>
      </c>
      <c r="R5384" t="s">
        <v>6029</v>
      </c>
      <c r="S5384" t="s">
        <v>6030</v>
      </c>
      <c r="T5384" t="s">
        <v>6031</v>
      </c>
    </row>
    <row r="5385" spans="1:20" x14ac:dyDescent="0.25">
      <c r="A5385" t="s">
        <v>59</v>
      </c>
      <c r="B5385" t="s">
        <v>31</v>
      </c>
      <c r="C5385" t="s">
        <v>32</v>
      </c>
      <c r="D5385" t="s">
        <v>771</v>
      </c>
      <c r="E5385" t="s">
        <v>861</v>
      </c>
      <c r="F5385" t="s">
        <v>35</v>
      </c>
      <c r="G5385" t="s">
        <v>35</v>
      </c>
      <c r="H5385" t="s">
        <v>35</v>
      </c>
      <c r="J5385" t="s">
        <v>6297</v>
      </c>
      <c r="K5385" t="s">
        <v>1092</v>
      </c>
      <c r="M5385">
        <v>9.0449999999999999</v>
      </c>
      <c r="N5385">
        <v>37</v>
      </c>
      <c r="O5385" t="s">
        <v>52</v>
      </c>
      <c r="Q5385" t="s">
        <v>192</v>
      </c>
      <c r="R5385" t="s">
        <v>6029</v>
      </c>
      <c r="S5385" t="s">
        <v>6030</v>
      </c>
      <c r="T5385" t="s">
        <v>6031</v>
      </c>
    </row>
    <row r="5386" spans="1:20" x14ac:dyDescent="0.25">
      <c r="A5386" t="s">
        <v>59</v>
      </c>
      <c r="B5386" t="s">
        <v>60</v>
      </c>
      <c r="C5386" t="s">
        <v>32</v>
      </c>
      <c r="D5386" t="s">
        <v>771</v>
      </c>
      <c r="E5386" t="s">
        <v>861</v>
      </c>
      <c r="F5386" t="s">
        <v>35</v>
      </c>
      <c r="G5386" t="s">
        <v>35</v>
      </c>
      <c r="H5386" t="s">
        <v>35</v>
      </c>
      <c r="J5386" t="s">
        <v>6297</v>
      </c>
      <c r="K5386" t="s">
        <v>1092</v>
      </c>
      <c r="M5386">
        <v>10.25</v>
      </c>
      <c r="N5386">
        <v>31</v>
      </c>
      <c r="O5386" t="s">
        <v>52</v>
      </c>
      <c r="Q5386" t="s">
        <v>748</v>
      </c>
      <c r="R5386" t="s">
        <v>6029</v>
      </c>
      <c r="S5386" t="s">
        <v>6030</v>
      </c>
      <c r="T5386" t="s">
        <v>6031</v>
      </c>
    </row>
    <row r="5387" spans="1:20" x14ac:dyDescent="0.25">
      <c r="A5387" t="s">
        <v>30</v>
      </c>
      <c r="B5387" t="s">
        <v>31</v>
      </c>
      <c r="C5387" t="s">
        <v>32</v>
      </c>
      <c r="D5387" t="s">
        <v>771</v>
      </c>
      <c r="E5387" t="s">
        <v>861</v>
      </c>
      <c r="F5387" t="s">
        <v>35</v>
      </c>
      <c r="G5387" t="s">
        <v>35</v>
      </c>
      <c r="H5387" t="s">
        <v>35</v>
      </c>
      <c r="J5387" t="s">
        <v>6297</v>
      </c>
      <c r="K5387" t="s">
        <v>1092</v>
      </c>
      <c r="M5387">
        <v>20.25</v>
      </c>
      <c r="N5387">
        <v>37</v>
      </c>
      <c r="O5387" t="s">
        <v>52</v>
      </c>
      <c r="Q5387" t="s">
        <v>192</v>
      </c>
      <c r="R5387" t="s">
        <v>6029</v>
      </c>
      <c r="S5387" t="s">
        <v>6030</v>
      </c>
      <c r="T5387" t="s">
        <v>6031</v>
      </c>
    </row>
    <row r="5388" spans="1:20" x14ac:dyDescent="0.25">
      <c r="A5388" t="s">
        <v>59</v>
      </c>
      <c r="B5388" t="s">
        <v>60</v>
      </c>
      <c r="C5388" t="s">
        <v>32</v>
      </c>
      <c r="D5388" t="s">
        <v>771</v>
      </c>
      <c r="E5388" t="s">
        <v>861</v>
      </c>
      <c r="F5388" t="s">
        <v>35</v>
      </c>
      <c r="G5388" t="s">
        <v>35</v>
      </c>
      <c r="H5388" t="s">
        <v>35</v>
      </c>
      <c r="J5388" t="s">
        <v>6297</v>
      </c>
      <c r="K5388" t="s">
        <v>1092</v>
      </c>
      <c r="M5388">
        <v>8.3000000000000007</v>
      </c>
      <c r="N5388">
        <v>149</v>
      </c>
      <c r="O5388" t="s">
        <v>38</v>
      </c>
      <c r="Q5388" t="s">
        <v>75</v>
      </c>
      <c r="R5388" t="s">
        <v>6029</v>
      </c>
      <c r="S5388" t="s">
        <v>6030</v>
      </c>
      <c r="T5388" t="s">
        <v>6031</v>
      </c>
    </row>
    <row r="5389" spans="1:20" x14ac:dyDescent="0.25">
      <c r="A5389" t="s">
        <v>59</v>
      </c>
      <c r="B5389" t="s">
        <v>60</v>
      </c>
      <c r="C5389" t="s">
        <v>32</v>
      </c>
      <c r="D5389" t="s">
        <v>771</v>
      </c>
      <c r="E5389" t="s">
        <v>6261</v>
      </c>
      <c r="F5389" t="s">
        <v>35</v>
      </c>
      <c r="G5389" t="s">
        <v>35</v>
      </c>
      <c r="H5389" t="s">
        <v>35</v>
      </c>
      <c r="J5389" t="s">
        <v>1885</v>
      </c>
      <c r="K5389" t="s">
        <v>1092</v>
      </c>
      <c r="M5389">
        <v>2.9</v>
      </c>
      <c r="N5389">
        <v>37</v>
      </c>
      <c r="O5389" t="s">
        <v>52</v>
      </c>
      <c r="Q5389" t="s">
        <v>192</v>
      </c>
      <c r="R5389" t="s">
        <v>6029</v>
      </c>
      <c r="S5389" t="s">
        <v>6030</v>
      </c>
      <c r="T5389" t="s">
        <v>6031</v>
      </c>
    </row>
    <row r="5390" spans="1:20" x14ac:dyDescent="0.25">
      <c r="A5390" t="s">
        <v>59</v>
      </c>
      <c r="B5390" t="s">
        <v>31</v>
      </c>
      <c r="C5390" t="s">
        <v>32</v>
      </c>
      <c r="D5390" t="s">
        <v>771</v>
      </c>
      <c r="E5390" t="s">
        <v>783</v>
      </c>
      <c r="F5390" t="s">
        <v>35</v>
      </c>
      <c r="G5390" t="s">
        <v>35</v>
      </c>
      <c r="H5390" t="s">
        <v>35</v>
      </c>
      <c r="J5390" t="s">
        <v>6067</v>
      </c>
      <c r="K5390" t="s">
        <v>1092</v>
      </c>
      <c r="M5390">
        <v>6.3E-2</v>
      </c>
      <c r="N5390">
        <v>2089</v>
      </c>
      <c r="O5390" t="s">
        <v>575</v>
      </c>
      <c r="Q5390" t="s">
        <v>6068</v>
      </c>
      <c r="R5390" t="s">
        <v>6029</v>
      </c>
      <c r="S5390" t="s">
        <v>6030</v>
      </c>
      <c r="T5390" t="s">
        <v>6031</v>
      </c>
    </row>
    <row r="5391" spans="1:20" x14ac:dyDescent="0.25">
      <c r="A5391" t="s">
        <v>59</v>
      </c>
      <c r="B5391" t="s">
        <v>60</v>
      </c>
      <c r="C5391" t="s">
        <v>32</v>
      </c>
      <c r="D5391" t="s">
        <v>771</v>
      </c>
      <c r="E5391" t="s">
        <v>783</v>
      </c>
      <c r="F5391" t="s">
        <v>35</v>
      </c>
      <c r="G5391" t="s">
        <v>35</v>
      </c>
      <c r="H5391" t="s">
        <v>35</v>
      </c>
      <c r="J5391" t="s">
        <v>6067</v>
      </c>
      <c r="K5391" t="s">
        <v>1092</v>
      </c>
      <c r="M5391">
        <v>0.24299999999999999</v>
      </c>
      <c r="N5391">
        <v>2008</v>
      </c>
      <c r="O5391" t="s">
        <v>575</v>
      </c>
      <c r="Q5391" t="s">
        <v>6069</v>
      </c>
      <c r="R5391" t="s">
        <v>6029</v>
      </c>
      <c r="S5391" t="s">
        <v>6030</v>
      </c>
      <c r="T5391" t="s">
        <v>6031</v>
      </c>
    </row>
    <row r="5392" spans="1:20" x14ac:dyDescent="0.25">
      <c r="A5392" t="s">
        <v>30</v>
      </c>
      <c r="B5392" t="s">
        <v>31</v>
      </c>
      <c r="C5392" t="s">
        <v>32</v>
      </c>
      <c r="D5392" t="s">
        <v>771</v>
      </c>
      <c r="E5392" t="s">
        <v>783</v>
      </c>
      <c r="F5392" t="s">
        <v>35</v>
      </c>
      <c r="G5392" t="s">
        <v>35</v>
      </c>
      <c r="H5392" t="s">
        <v>35</v>
      </c>
      <c r="J5392" t="s">
        <v>6067</v>
      </c>
      <c r="K5392" t="s">
        <v>1092</v>
      </c>
      <c r="M5392">
        <v>3.6999999999999998E-2</v>
      </c>
      <c r="N5392">
        <v>2664</v>
      </c>
      <c r="O5392" t="s">
        <v>575</v>
      </c>
      <c r="Q5392" t="s">
        <v>6070</v>
      </c>
      <c r="R5392" t="s">
        <v>6029</v>
      </c>
      <c r="S5392" t="s">
        <v>6030</v>
      </c>
      <c r="T5392" t="s">
        <v>6031</v>
      </c>
    </row>
    <row r="5393" spans="1:20" x14ac:dyDescent="0.25">
      <c r="A5393" t="s">
        <v>59</v>
      </c>
      <c r="B5393" t="s">
        <v>60</v>
      </c>
      <c r="C5393" t="s">
        <v>32</v>
      </c>
      <c r="D5393" t="s">
        <v>771</v>
      </c>
      <c r="E5393" t="s">
        <v>783</v>
      </c>
      <c r="F5393" t="s">
        <v>35</v>
      </c>
      <c r="G5393" t="s">
        <v>35</v>
      </c>
      <c r="H5393" t="s">
        <v>35</v>
      </c>
      <c r="J5393" t="s">
        <v>6027</v>
      </c>
      <c r="K5393" t="s">
        <v>1092</v>
      </c>
      <c r="M5393">
        <v>0.35</v>
      </c>
      <c r="N5393">
        <v>290</v>
      </c>
      <c r="O5393" t="s">
        <v>5</v>
      </c>
      <c r="Q5393" t="s">
        <v>6028</v>
      </c>
      <c r="R5393" t="s">
        <v>6029</v>
      </c>
      <c r="S5393" t="s">
        <v>6030</v>
      </c>
      <c r="T5393" t="s">
        <v>6031</v>
      </c>
    </row>
    <row r="5394" spans="1:20" x14ac:dyDescent="0.25">
      <c r="A5394" t="s">
        <v>59</v>
      </c>
      <c r="B5394" t="s">
        <v>60</v>
      </c>
      <c r="C5394" t="s">
        <v>32</v>
      </c>
      <c r="D5394" t="s">
        <v>771</v>
      </c>
      <c r="E5394" t="s">
        <v>783</v>
      </c>
      <c r="F5394" t="s">
        <v>35</v>
      </c>
      <c r="G5394" t="s">
        <v>35</v>
      </c>
      <c r="H5394" t="s">
        <v>35</v>
      </c>
      <c r="J5394" t="s">
        <v>6027</v>
      </c>
      <c r="K5394" t="s">
        <v>1092</v>
      </c>
      <c r="M5394">
        <v>0.75</v>
      </c>
      <c r="N5394">
        <v>7</v>
      </c>
      <c r="O5394" t="s">
        <v>46</v>
      </c>
      <c r="Q5394" t="s">
        <v>2440</v>
      </c>
      <c r="R5394" t="s">
        <v>6029</v>
      </c>
      <c r="S5394" t="s">
        <v>6030</v>
      </c>
      <c r="T5394" t="s">
        <v>6031</v>
      </c>
    </row>
    <row r="5395" spans="1:20" x14ac:dyDescent="0.25">
      <c r="A5395" t="s">
        <v>59</v>
      </c>
      <c r="B5395" t="s">
        <v>60</v>
      </c>
      <c r="C5395" t="s">
        <v>32</v>
      </c>
      <c r="D5395" t="s">
        <v>771</v>
      </c>
      <c r="E5395" t="s">
        <v>783</v>
      </c>
      <c r="F5395" t="s">
        <v>35</v>
      </c>
      <c r="G5395" t="s">
        <v>35</v>
      </c>
      <c r="H5395" t="s">
        <v>35</v>
      </c>
      <c r="J5395" t="s">
        <v>6027</v>
      </c>
      <c r="K5395" t="s">
        <v>1092</v>
      </c>
      <c r="M5395">
        <v>3</v>
      </c>
      <c r="N5395">
        <v>11</v>
      </c>
      <c r="O5395" t="s">
        <v>46</v>
      </c>
      <c r="Q5395" t="s">
        <v>1476</v>
      </c>
      <c r="R5395" t="s">
        <v>6029</v>
      </c>
      <c r="S5395" t="s">
        <v>6030</v>
      </c>
      <c r="T5395" t="s">
        <v>6031</v>
      </c>
    </row>
    <row r="5396" spans="1:20" x14ac:dyDescent="0.25">
      <c r="A5396" t="s">
        <v>59</v>
      </c>
      <c r="B5396" t="s">
        <v>60</v>
      </c>
      <c r="C5396" t="s">
        <v>32</v>
      </c>
      <c r="D5396" t="s">
        <v>771</v>
      </c>
      <c r="F5396" t="s">
        <v>35</v>
      </c>
      <c r="G5396" t="s">
        <v>35</v>
      </c>
      <c r="H5396" t="s">
        <v>35</v>
      </c>
      <c r="J5396" t="s">
        <v>6641</v>
      </c>
      <c r="K5396" t="s">
        <v>1092</v>
      </c>
      <c r="M5396">
        <v>0.5</v>
      </c>
      <c r="N5396">
        <v>2574</v>
      </c>
      <c r="O5396" t="s">
        <v>575</v>
      </c>
      <c r="Q5396" t="s">
        <v>6642</v>
      </c>
      <c r="R5396" t="s">
        <v>6029</v>
      </c>
      <c r="S5396" t="s">
        <v>6030</v>
      </c>
      <c r="T5396" t="s">
        <v>6031</v>
      </c>
    </row>
    <row r="5397" spans="1:20" x14ac:dyDescent="0.25">
      <c r="A5397" t="s">
        <v>59</v>
      </c>
      <c r="B5397" t="s">
        <v>60</v>
      </c>
      <c r="C5397" t="s">
        <v>32</v>
      </c>
      <c r="D5397" t="s">
        <v>771</v>
      </c>
      <c r="F5397" t="s">
        <v>35</v>
      </c>
      <c r="G5397" t="s">
        <v>35</v>
      </c>
      <c r="H5397" t="s">
        <v>35</v>
      </c>
      <c r="J5397" t="s">
        <v>6641</v>
      </c>
      <c r="K5397" t="s">
        <v>1092</v>
      </c>
      <c r="M5397">
        <v>0.25</v>
      </c>
      <c r="N5397">
        <v>2666</v>
      </c>
      <c r="O5397" t="s">
        <v>575</v>
      </c>
      <c r="Q5397" t="s">
        <v>1486</v>
      </c>
      <c r="R5397" t="s">
        <v>6029</v>
      </c>
      <c r="S5397" t="s">
        <v>6030</v>
      </c>
      <c r="T5397" t="s">
        <v>6031</v>
      </c>
    </row>
    <row r="5398" spans="1:20" x14ac:dyDescent="0.25">
      <c r="A5398" t="s">
        <v>30</v>
      </c>
      <c r="B5398" t="s">
        <v>31</v>
      </c>
      <c r="C5398" t="s">
        <v>32</v>
      </c>
      <c r="D5398" t="s">
        <v>771</v>
      </c>
      <c r="F5398" t="s">
        <v>35</v>
      </c>
      <c r="G5398" t="s">
        <v>35</v>
      </c>
      <c r="H5398" t="s">
        <v>35</v>
      </c>
      <c r="J5398" t="s">
        <v>4661</v>
      </c>
      <c r="K5398" t="s">
        <v>1092</v>
      </c>
      <c r="M5398">
        <v>6.11</v>
      </c>
      <c r="N5398">
        <v>1337</v>
      </c>
      <c r="O5398" t="s">
        <v>575</v>
      </c>
      <c r="Q5398" t="s">
        <v>5475</v>
      </c>
      <c r="R5398" t="s">
        <v>6684</v>
      </c>
      <c r="S5398" t="s">
        <v>6685</v>
      </c>
      <c r="T5398" t="s">
        <v>6686</v>
      </c>
    </row>
    <row r="5399" spans="1:20" x14ac:dyDescent="0.25">
      <c r="A5399" t="s">
        <v>59</v>
      </c>
      <c r="B5399" t="s">
        <v>31</v>
      </c>
      <c r="C5399" t="s">
        <v>32</v>
      </c>
      <c r="D5399" t="s">
        <v>771</v>
      </c>
      <c r="E5399" t="s">
        <v>840</v>
      </c>
      <c r="F5399" t="s">
        <v>35</v>
      </c>
      <c r="G5399" t="s">
        <v>35</v>
      </c>
      <c r="H5399" t="s">
        <v>35</v>
      </c>
      <c r="J5399" t="s">
        <v>6194</v>
      </c>
      <c r="K5399" t="s">
        <v>1092</v>
      </c>
      <c r="M5399">
        <v>0.02</v>
      </c>
      <c r="N5399">
        <v>2586</v>
      </c>
      <c r="O5399" t="s">
        <v>575</v>
      </c>
      <c r="Q5399" t="s">
        <v>6195</v>
      </c>
      <c r="R5399" t="s">
        <v>6196</v>
      </c>
      <c r="S5399" t="s">
        <v>6197</v>
      </c>
      <c r="T5399" t="s">
        <v>6198</v>
      </c>
    </row>
    <row r="5400" spans="1:20" x14ac:dyDescent="0.25">
      <c r="A5400" t="s">
        <v>44</v>
      </c>
      <c r="B5400" t="s">
        <v>51</v>
      </c>
      <c r="C5400" t="s">
        <v>32</v>
      </c>
      <c r="D5400" t="s">
        <v>771</v>
      </c>
      <c r="E5400" t="s">
        <v>861</v>
      </c>
      <c r="F5400" t="s">
        <v>35</v>
      </c>
      <c r="G5400" t="s">
        <v>35</v>
      </c>
      <c r="H5400" t="s">
        <v>35</v>
      </c>
      <c r="J5400" t="s">
        <v>6301</v>
      </c>
      <c r="K5400" t="s">
        <v>1092</v>
      </c>
      <c r="M5400">
        <v>3.25</v>
      </c>
      <c r="N5400">
        <v>50</v>
      </c>
      <c r="O5400" t="s">
        <v>52</v>
      </c>
      <c r="Q5400" t="s">
        <v>665</v>
      </c>
      <c r="R5400" t="s">
        <v>6196</v>
      </c>
      <c r="S5400" t="s">
        <v>6197</v>
      </c>
      <c r="T5400" t="s">
        <v>6198</v>
      </c>
    </row>
    <row r="5401" spans="1:20" x14ac:dyDescent="0.25">
      <c r="A5401" t="s">
        <v>30</v>
      </c>
      <c r="B5401" t="s">
        <v>31</v>
      </c>
      <c r="C5401" t="s">
        <v>32</v>
      </c>
      <c r="D5401" t="s">
        <v>771</v>
      </c>
      <c r="E5401" t="s">
        <v>840</v>
      </c>
      <c r="F5401" t="s">
        <v>35</v>
      </c>
      <c r="G5401" t="s">
        <v>35</v>
      </c>
      <c r="H5401" t="s">
        <v>35</v>
      </c>
      <c r="J5401" t="s">
        <v>6213</v>
      </c>
      <c r="K5401" t="s">
        <v>1092</v>
      </c>
      <c r="M5401">
        <v>3.2850000000000001</v>
      </c>
      <c r="N5401">
        <v>282</v>
      </c>
      <c r="O5401" t="s">
        <v>5</v>
      </c>
      <c r="Q5401" t="s">
        <v>1172</v>
      </c>
      <c r="R5401" t="s">
        <v>6196</v>
      </c>
      <c r="S5401" t="s">
        <v>6197</v>
      </c>
      <c r="T5401" t="s">
        <v>6198</v>
      </c>
    </row>
    <row r="5402" spans="1:20" x14ac:dyDescent="0.25">
      <c r="A5402" t="s">
        <v>59</v>
      </c>
      <c r="B5402" t="s">
        <v>60</v>
      </c>
      <c r="C5402" t="s">
        <v>32</v>
      </c>
      <c r="D5402" t="s">
        <v>771</v>
      </c>
      <c r="E5402" t="s">
        <v>6093</v>
      </c>
      <c r="F5402" t="s">
        <v>35</v>
      </c>
      <c r="G5402" t="s">
        <v>35</v>
      </c>
      <c r="H5402" t="s">
        <v>35</v>
      </c>
      <c r="J5402" t="s">
        <v>6095</v>
      </c>
      <c r="K5402" t="s">
        <v>1092</v>
      </c>
      <c r="M5402">
        <v>10</v>
      </c>
      <c r="N5402">
        <v>81</v>
      </c>
      <c r="O5402" t="s">
        <v>61</v>
      </c>
      <c r="Q5402" t="s">
        <v>858</v>
      </c>
      <c r="R5402" t="s">
        <v>6096</v>
      </c>
      <c r="S5402" t="s">
        <v>6097</v>
      </c>
      <c r="T5402" t="s">
        <v>6098</v>
      </c>
    </row>
    <row r="5403" spans="1:20" x14ac:dyDescent="0.25">
      <c r="A5403" t="s">
        <v>59</v>
      </c>
      <c r="B5403" t="s">
        <v>31</v>
      </c>
      <c r="C5403" t="s">
        <v>32</v>
      </c>
      <c r="D5403" t="s">
        <v>771</v>
      </c>
      <c r="E5403" t="s">
        <v>6093</v>
      </c>
      <c r="F5403" t="s">
        <v>35</v>
      </c>
      <c r="G5403" t="s">
        <v>35</v>
      </c>
      <c r="H5403" t="s">
        <v>35</v>
      </c>
      <c r="J5403" t="s">
        <v>6095</v>
      </c>
      <c r="K5403" t="s">
        <v>1092</v>
      </c>
      <c r="M5403">
        <v>2.1150000000000002</v>
      </c>
      <c r="N5403">
        <v>81</v>
      </c>
      <c r="O5403" t="s">
        <v>61</v>
      </c>
      <c r="Q5403" t="s">
        <v>858</v>
      </c>
      <c r="R5403" t="s">
        <v>6096</v>
      </c>
      <c r="S5403" t="s">
        <v>6097</v>
      </c>
      <c r="T5403" t="s">
        <v>6098</v>
      </c>
    </row>
    <row r="5404" spans="1:20" x14ac:dyDescent="0.25">
      <c r="A5404" t="s">
        <v>30</v>
      </c>
      <c r="B5404" t="s">
        <v>31</v>
      </c>
      <c r="C5404" t="s">
        <v>32</v>
      </c>
      <c r="D5404" t="s">
        <v>771</v>
      </c>
      <c r="E5404" t="s">
        <v>6093</v>
      </c>
      <c r="F5404" t="s">
        <v>35</v>
      </c>
      <c r="G5404" t="s">
        <v>35</v>
      </c>
      <c r="H5404" t="s">
        <v>35</v>
      </c>
      <c r="J5404" t="s">
        <v>6095</v>
      </c>
      <c r="K5404" t="s">
        <v>1092</v>
      </c>
      <c r="M5404">
        <v>11.07</v>
      </c>
      <c r="N5404">
        <v>39</v>
      </c>
      <c r="O5404" t="s">
        <v>52</v>
      </c>
      <c r="Q5404" t="s">
        <v>493</v>
      </c>
      <c r="R5404" t="s">
        <v>6096</v>
      </c>
      <c r="S5404" t="s">
        <v>6097</v>
      </c>
      <c r="T5404" t="s">
        <v>6098</v>
      </c>
    </row>
    <row r="5405" spans="1:20" x14ac:dyDescent="0.25">
      <c r="A5405" t="s">
        <v>59</v>
      </c>
      <c r="B5405" t="s">
        <v>31</v>
      </c>
      <c r="C5405" t="s">
        <v>32</v>
      </c>
      <c r="D5405" t="s">
        <v>771</v>
      </c>
      <c r="E5405" t="s">
        <v>871</v>
      </c>
      <c r="F5405" t="s">
        <v>35</v>
      </c>
      <c r="G5405" t="s">
        <v>35</v>
      </c>
      <c r="H5405" t="s">
        <v>35</v>
      </c>
      <c r="J5405" t="s">
        <v>6439</v>
      </c>
      <c r="K5405" t="s">
        <v>1092</v>
      </c>
      <c r="M5405">
        <v>3.96</v>
      </c>
      <c r="N5405">
        <v>281</v>
      </c>
      <c r="O5405" t="s">
        <v>5</v>
      </c>
      <c r="Q5405" t="s">
        <v>1421</v>
      </c>
      <c r="R5405" t="s">
        <v>6096</v>
      </c>
      <c r="S5405" t="s">
        <v>6097</v>
      </c>
      <c r="T5405" t="s">
        <v>6098</v>
      </c>
    </row>
    <row r="5406" spans="1:20" x14ac:dyDescent="0.25">
      <c r="A5406" t="s">
        <v>59</v>
      </c>
      <c r="B5406" t="s">
        <v>60</v>
      </c>
      <c r="C5406" t="s">
        <v>32</v>
      </c>
      <c r="D5406" t="s">
        <v>771</v>
      </c>
      <c r="E5406" t="s">
        <v>865</v>
      </c>
      <c r="F5406" t="s">
        <v>35</v>
      </c>
      <c r="G5406" t="s">
        <v>35</v>
      </c>
      <c r="H5406" t="s">
        <v>35</v>
      </c>
      <c r="J5406" t="s">
        <v>6365</v>
      </c>
      <c r="K5406" t="s">
        <v>1092</v>
      </c>
      <c r="M5406">
        <v>7</v>
      </c>
      <c r="N5406">
        <v>81</v>
      </c>
      <c r="O5406" t="s">
        <v>61</v>
      </c>
      <c r="Q5406" t="s">
        <v>858</v>
      </c>
      <c r="R5406" t="s">
        <v>6096</v>
      </c>
      <c r="S5406" t="s">
        <v>6097</v>
      </c>
      <c r="T5406" t="s">
        <v>6098</v>
      </c>
    </row>
    <row r="5407" spans="1:20" x14ac:dyDescent="0.25">
      <c r="A5407" t="s">
        <v>30</v>
      </c>
      <c r="B5407" t="s">
        <v>31</v>
      </c>
      <c r="C5407" t="s">
        <v>32</v>
      </c>
      <c r="D5407" t="s">
        <v>771</v>
      </c>
      <c r="E5407" t="s">
        <v>836</v>
      </c>
      <c r="F5407" t="s">
        <v>35</v>
      </c>
      <c r="G5407" t="s">
        <v>35</v>
      </c>
      <c r="H5407" t="s">
        <v>35</v>
      </c>
      <c r="J5407" t="s">
        <v>6164</v>
      </c>
      <c r="K5407" t="s">
        <v>1092</v>
      </c>
      <c r="M5407">
        <v>0.85499999999999998</v>
      </c>
      <c r="N5407">
        <v>289</v>
      </c>
      <c r="O5407" t="s">
        <v>5</v>
      </c>
      <c r="Q5407" t="s">
        <v>4253</v>
      </c>
      <c r="R5407" t="s">
        <v>6096</v>
      </c>
      <c r="S5407" t="s">
        <v>6097</v>
      </c>
      <c r="T5407" t="s">
        <v>6098</v>
      </c>
    </row>
    <row r="5408" spans="1:20" x14ac:dyDescent="0.25">
      <c r="A5408" t="s">
        <v>59</v>
      </c>
      <c r="B5408" t="s">
        <v>60</v>
      </c>
      <c r="C5408" t="s">
        <v>32</v>
      </c>
      <c r="D5408" t="s">
        <v>771</v>
      </c>
      <c r="E5408" t="s">
        <v>6093</v>
      </c>
      <c r="F5408" t="s">
        <v>35</v>
      </c>
      <c r="G5408" t="s">
        <v>35</v>
      </c>
      <c r="H5408" t="s">
        <v>35</v>
      </c>
      <c r="J5408" t="s">
        <v>6132</v>
      </c>
      <c r="K5408" t="s">
        <v>1092</v>
      </c>
      <c r="M5408">
        <v>2.8</v>
      </c>
      <c r="N5408">
        <v>81</v>
      </c>
      <c r="O5408" t="s">
        <v>61</v>
      </c>
      <c r="Q5408" t="s">
        <v>858</v>
      </c>
      <c r="R5408" t="s">
        <v>6096</v>
      </c>
      <c r="S5408" t="s">
        <v>6097</v>
      </c>
      <c r="T5408" t="s">
        <v>6098</v>
      </c>
    </row>
    <row r="5409" spans="1:20" x14ac:dyDescent="0.25">
      <c r="A5409" t="s">
        <v>59</v>
      </c>
      <c r="B5409" t="s">
        <v>31</v>
      </c>
      <c r="C5409" t="s">
        <v>32</v>
      </c>
      <c r="D5409" t="s">
        <v>771</v>
      </c>
      <c r="F5409" t="s">
        <v>35</v>
      </c>
      <c r="G5409" t="s">
        <v>35</v>
      </c>
      <c r="H5409" t="s">
        <v>35</v>
      </c>
      <c r="J5409" t="s">
        <v>6662</v>
      </c>
      <c r="K5409" t="s">
        <v>1092</v>
      </c>
      <c r="M5409">
        <v>6.165</v>
      </c>
      <c r="N5409">
        <v>1267</v>
      </c>
      <c r="O5409" t="s">
        <v>575</v>
      </c>
      <c r="Q5409" t="s">
        <v>4886</v>
      </c>
      <c r="R5409" t="s">
        <v>6096</v>
      </c>
      <c r="S5409" t="s">
        <v>6097</v>
      </c>
      <c r="T5409" t="s">
        <v>6098</v>
      </c>
    </row>
    <row r="5410" spans="1:20" x14ac:dyDescent="0.25">
      <c r="A5410" t="s">
        <v>59</v>
      </c>
      <c r="B5410" t="s">
        <v>60</v>
      </c>
      <c r="C5410" t="s">
        <v>32</v>
      </c>
      <c r="D5410" t="s">
        <v>771</v>
      </c>
      <c r="E5410" t="s">
        <v>6093</v>
      </c>
      <c r="F5410" t="s">
        <v>35</v>
      </c>
      <c r="G5410" t="s">
        <v>35</v>
      </c>
      <c r="H5410" t="s">
        <v>35</v>
      </c>
      <c r="J5410" t="s">
        <v>6104</v>
      </c>
      <c r="K5410" t="s">
        <v>1092</v>
      </c>
      <c r="M5410">
        <v>2.15</v>
      </c>
      <c r="N5410">
        <v>81</v>
      </c>
      <c r="O5410" t="s">
        <v>61</v>
      </c>
      <c r="Q5410" t="s">
        <v>858</v>
      </c>
      <c r="R5410" t="s">
        <v>6096</v>
      </c>
      <c r="S5410" t="s">
        <v>6097</v>
      </c>
      <c r="T5410" t="s">
        <v>6098</v>
      </c>
    </row>
    <row r="5411" spans="1:20" x14ac:dyDescent="0.25">
      <c r="A5411" t="s">
        <v>30</v>
      </c>
      <c r="B5411" t="s">
        <v>31</v>
      </c>
      <c r="C5411" t="s">
        <v>32</v>
      </c>
      <c r="D5411" t="s">
        <v>771</v>
      </c>
      <c r="E5411" t="s">
        <v>6214</v>
      </c>
      <c r="F5411" t="s">
        <v>35</v>
      </c>
      <c r="G5411" t="s">
        <v>35</v>
      </c>
      <c r="H5411" t="s">
        <v>35</v>
      </c>
      <c r="J5411" t="s">
        <v>6253</v>
      </c>
      <c r="K5411" t="s">
        <v>1092</v>
      </c>
      <c r="M5411">
        <v>2.1150000000000002</v>
      </c>
      <c r="N5411">
        <v>110</v>
      </c>
      <c r="O5411" t="s">
        <v>106</v>
      </c>
      <c r="Q5411" t="s">
        <v>3342</v>
      </c>
      <c r="R5411" t="s">
        <v>6096</v>
      </c>
      <c r="S5411" t="s">
        <v>6097</v>
      </c>
      <c r="T5411" t="s">
        <v>6098</v>
      </c>
    </row>
    <row r="5412" spans="1:20" x14ac:dyDescent="0.25">
      <c r="A5412" t="s">
        <v>30</v>
      </c>
      <c r="B5412" t="s">
        <v>31</v>
      </c>
      <c r="C5412" t="s">
        <v>32</v>
      </c>
      <c r="D5412" t="s">
        <v>771</v>
      </c>
      <c r="E5412" t="s">
        <v>840</v>
      </c>
      <c r="F5412" t="s">
        <v>35</v>
      </c>
      <c r="G5412" t="s">
        <v>35</v>
      </c>
      <c r="H5412" t="s">
        <v>35</v>
      </c>
      <c r="J5412" t="s">
        <v>6206</v>
      </c>
      <c r="K5412" t="s">
        <v>1092</v>
      </c>
      <c r="M5412">
        <v>1.44</v>
      </c>
      <c r="N5412">
        <v>188</v>
      </c>
      <c r="O5412" t="s">
        <v>5</v>
      </c>
      <c r="Q5412" t="s">
        <v>2075</v>
      </c>
      <c r="R5412" t="s">
        <v>6096</v>
      </c>
      <c r="S5412" t="s">
        <v>6097</v>
      </c>
      <c r="T5412" t="s">
        <v>6098</v>
      </c>
    </row>
    <row r="5413" spans="1:20" x14ac:dyDescent="0.25">
      <c r="A5413" t="s">
        <v>44</v>
      </c>
      <c r="B5413" t="s">
        <v>51</v>
      </c>
      <c r="C5413" t="s">
        <v>32</v>
      </c>
      <c r="D5413" t="s">
        <v>771</v>
      </c>
      <c r="E5413" t="s">
        <v>861</v>
      </c>
      <c r="F5413" t="s">
        <v>35</v>
      </c>
      <c r="G5413" t="s">
        <v>35</v>
      </c>
      <c r="H5413" t="s">
        <v>35</v>
      </c>
      <c r="J5413" t="s">
        <v>6314</v>
      </c>
      <c r="K5413" t="s">
        <v>1092</v>
      </c>
      <c r="M5413">
        <v>2.5499999999999998</v>
      </c>
      <c r="N5413">
        <v>49</v>
      </c>
      <c r="O5413" t="s">
        <v>52</v>
      </c>
      <c r="Q5413" t="s">
        <v>453</v>
      </c>
      <c r="R5413" t="s">
        <v>6096</v>
      </c>
      <c r="S5413" t="s">
        <v>6097</v>
      </c>
      <c r="T5413" t="s">
        <v>6098</v>
      </c>
    </row>
    <row r="5414" spans="1:20" x14ac:dyDescent="0.25">
      <c r="A5414" t="s">
        <v>59</v>
      </c>
      <c r="B5414" t="s">
        <v>31</v>
      </c>
      <c r="C5414" t="s">
        <v>32</v>
      </c>
      <c r="D5414" t="s">
        <v>771</v>
      </c>
      <c r="E5414" t="s">
        <v>783</v>
      </c>
      <c r="F5414" t="s">
        <v>35</v>
      </c>
      <c r="G5414" t="s">
        <v>35</v>
      </c>
      <c r="H5414" t="s">
        <v>35</v>
      </c>
      <c r="J5414" t="s">
        <v>6060</v>
      </c>
      <c r="K5414" t="s">
        <v>1092</v>
      </c>
      <c r="M5414">
        <v>36.225000000000001</v>
      </c>
      <c r="N5414">
        <v>134</v>
      </c>
      <c r="O5414" t="s">
        <v>38</v>
      </c>
      <c r="Q5414" t="s">
        <v>1822</v>
      </c>
      <c r="R5414" t="s">
        <v>919</v>
      </c>
      <c r="S5414" t="s">
        <v>784</v>
      </c>
      <c r="T5414" t="s">
        <v>785</v>
      </c>
    </row>
    <row r="5415" spans="1:20" x14ac:dyDescent="0.25">
      <c r="A5415" t="s">
        <v>30</v>
      </c>
      <c r="B5415" t="s">
        <v>31</v>
      </c>
      <c r="C5415" t="s">
        <v>32</v>
      </c>
      <c r="D5415" t="s">
        <v>771</v>
      </c>
      <c r="E5415" t="s">
        <v>783</v>
      </c>
      <c r="F5415" t="s">
        <v>35</v>
      </c>
      <c r="G5415" t="s">
        <v>35</v>
      </c>
      <c r="H5415" t="s">
        <v>35</v>
      </c>
      <c r="J5415" t="s">
        <v>6060</v>
      </c>
      <c r="K5415" t="s">
        <v>1092</v>
      </c>
      <c r="M5415">
        <v>6.12</v>
      </c>
      <c r="N5415">
        <v>32</v>
      </c>
      <c r="O5415" t="s">
        <v>52</v>
      </c>
      <c r="Q5415" t="s">
        <v>816</v>
      </c>
      <c r="R5415" t="s">
        <v>919</v>
      </c>
      <c r="S5415" t="s">
        <v>784</v>
      </c>
      <c r="T5415" t="s">
        <v>785</v>
      </c>
    </row>
    <row r="5416" spans="1:20" x14ac:dyDescent="0.25">
      <c r="A5416" t="s">
        <v>44</v>
      </c>
      <c r="B5416" t="s">
        <v>51</v>
      </c>
      <c r="C5416" t="s">
        <v>32</v>
      </c>
      <c r="D5416" t="s">
        <v>771</v>
      </c>
      <c r="E5416" t="s">
        <v>898</v>
      </c>
      <c r="F5416" t="s">
        <v>35</v>
      </c>
      <c r="G5416" t="s">
        <v>35</v>
      </c>
      <c r="H5416" t="s">
        <v>35</v>
      </c>
      <c r="J5416" t="s">
        <v>6537</v>
      </c>
      <c r="K5416" t="s">
        <v>1092</v>
      </c>
      <c r="M5416">
        <v>4</v>
      </c>
      <c r="N5416">
        <v>39</v>
      </c>
      <c r="O5416" t="s">
        <v>52</v>
      </c>
      <c r="Q5416" t="s">
        <v>493</v>
      </c>
      <c r="R5416" t="s">
        <v>919</v>
      </c>
      <c r="S5416" t="s">
        <v>784</v>
      </c>
      <c r="T5416" t="s">
        <v>785</v>
      </c>
    </row>
    <row r="5417" spans="1:20" x14ac:dyDescent="0.25">
      <c r="A5417" t="s">
        <v>59</v>
      </c>
      <c r="B5417" t="s">
        <v>31</v>
      </c>
      <c r="C5417" t="s">
        <v>32</v>
      </c>
      <c r="D5417" t="s">
        <v>771</v>
      </c>
      <c r="E5417" t="s">
        <v>910</v>
      </c>
      <c r="F5417" t="s">
        <v>35</v>
      </c>
      <c r="G5417" t="s">
        <v>35</v>
      </c>
      <c r="H5417" t="s">
        <v>35</v>
      </c>
      <c r="J5417" t="s">
        <v>6588</v>
      </c>
      <c r="K5417" t="s">
        <v>1092</v>
      </c>
      <c r="M5417">
        <v>0.09</v>
      </c>
      <c r="N5417">
        <v>38</v>
      </c>
      <c r="O5417" t="s">
        <v>52</v>
      </c>
      <c r="Q5417" t="s">
        <v>716</v>
      </c>
      <c r="R5417" t="s">
        <v>919</v>
      </c>
      <c r="S5417" t="s">
        <v>784</v>
      </c>
      <c r="T5417" t="s">
        <v>785</v>
      </c>
    </row>
    <row r="5418" spans="1:20" x14ac:dyDescent="0.25">
      <c r="A5418" t="s">
        <v>59</v>
      </c>
      <c r="B5418" t="s">
        <v>60</v>
      </c>
      <c r="C5418" t="s">
        <v>32</v>
      </c>
      <c r="D5418" t="s">
        <v>771</v>
      </c>
      <c r="E5418" t="s">
        <v>6214</v>
      </c>
      <c r="F5418" t="s">
        <v>35</v>
      </c>
      <c r="G5418" t="s">
        <v>35</v>
      </c>
      <c r="H5418" t="s">
        <v>35</v>
      </c>
      <c r="J5418" t="s">
        <v>6236</v>
      </c>
      <c r="K5418" t="s">
        <v>1092</v>
      </c>
      <c r="M5418">
        <v>4.4000000000000004</v>
      </c>
      <c r="N5418">
        <v>39</v>
      </c>
      <c r="O5418" t="s">
        <v>52</v>
      </c>
      <c r="Q5418" t="s">
        <v>493</v>
      </c>
      <c r="R5418" t="s">
        <v>919</v>
      </c>
      <c r="S5418" t="s">
        <v>784</v>
      </c>
      <c r="T5418" t="s">
        <v>785</v>
      </c>
    </row>
    <row r="5419" spans="1:20" x14ac:dyDescent="0.25">
      <c r="A5419" t="s">
        <v>59</v>
      </c>
      <c r="B5419" t="s">
        <v>31</v>
      </c>
      <c r="C5419" t="s">
        <v>32</v>
      </c>
      <c r="D5419" t="s">
        <v>771</v>
      </c>
      <c r="E5419" t="s">
        <v>6093</v>
      </c>
      <c r="F5419" t="s">
        <v>35</v>
      </c>
      <c r="G5419" t="s">
        <v>35</v>
      </c>
      <c r="H5419" t="s">
        <v>35</v>
      </c>
      <c r="J5419" t="s">
        <v>6136</v>
      </c>
      <c r="K5419" t="s">
        <v>1092</v>
      </c>
      <c r="M5419">
        <v>7.47</v>
      </c>
      <c r="N5419">
        <v>242</v>
      </c>
      <c r="O5419" t="s">
        <v>5</v>
      </c>
      <c r="Q5419" t="s">
        <v>6137</v>
      </c>
      <c r="R5419" t="s">
        <v>919</v>
      </c>
      <c r="S5419" t="s">
        <v>784</v>
      </c>
      <c r="T5419" t="s">
        <v>785</v>
      </c>
    </row>
    <row r="5420" spans="1:20" x14ac:dyDescent="0.25">
      <c r="A5420" t="s">
        <v>30</v>
      </c>
      <c r="B5420" t="s">
        <v>31</v>
      </c>
      <c r="C5420" t="s">
        <v>32</v>
      </c>
      <c r="D5420" t="s">
        <v>771</v>
      </c>
      <c r="E5420" t="s">
        <v>6093</v>
      </c>
      <c r="F5420" t="s">
        <v>35</v>
      </c>
      <c r="G5420" t="s">
        <v>35</v>
      </c>
      <c r="H5420" t="s">
        <v>35</v>
      </c>
      <c r="J5420" t="s">
        <v>6136</v>
      </c>
      <c r="K5420" t="s">
        <v>1092</v>
      </c>
      <c r="M5420">
        <v>12.015000000000001</v>
      </c>
      <c r="N5420">
        <v>111</v>
      </c>
      <c r="O5420" t="s">
        <v>106</v>
      </c>
      <c r="Q5420" t="s">
        <v>1469</v>
      </c>
      <c r="R5420" t="s">
        <v>919</v>
      </c>
      <c r="S5420" t="s">
        <v>784</v>
      </c>
      <c r="T5420" t="s">
        <v>785</v>
      </c>
    </row>
    <row r="5421" spans="1:20" x14ac:dyDescent="0.25">
      <c r="A5421" t="s">
        <v>59</v>
      </c>
      <c r="B5421" t="s">
        <v>31</v>
      </c>
      <c r="C5421" t="s">
        <v>32</v>
      </c>
      <c r="D5421" t="s">
        <v>771</v>
      </c>
      <c r="E5421" t="s">
        <v>6631</v>
      </c>
      <c r="F5421" t="s">
        <v>35</v>
      </c>
      <c r="G5421" t="s">
        <v>35</v>
      </c>
      <c r="H5421" t="s">
        <v>35</v>
      </c>
      <c r="J5421" t="s">
        <v>6633</v>
      </c>
      <c r="K5421" t="s">
        <v>1092</v>
      </c>
      <c r="M5421">
        <v>0.54</v>
      </c>
      <c r="N5421">
        <v>83</v>
      </c>
      <c r="O5421" t="s">
        <v>61</v>
      </c>
      <c r="Q5421" t="s">
        <v>897</v>
      </c>
      <c r="R5421" t="s">
        <v>919</v>
      </c>
      <c r="S5421" t="s">
        <v>784</v>
      </c>
      <c r="T5421" t="s">
        <v>785</v>
      </c>
    </row>
    <row r="5422" spans="1:20" x14ac:dyDescent="0.25">
      <c r="A5422" t="s">
        <v>59</v>
      </c>
      <c r="B5422" t="s">
        <v>31</v>
      </c>
      <c r="C5422" t="s">
        <v>32</v>
      </c>
      <c r="D5422" t="s">
        <v>771</v>
      </c>
      <c r="E5422" t="s">
        <v>865</v>
      </c>
      <c r="F5422" t="s">
        <v>35</v>
      </c>
      <c r="G5422" t="s">
        <v>35</v>
      </c>
      <c r="H5422" t="s">
        <v>35</v>
      </c>
      <c r="J5422" t="s">
        <v>6387</v>
      </c>
      <c r="K5422" t="s">
        <v>1092</v>
      </c>
      <c r="M5422">
        <v>0.09</v>
      </c>
      <c r="N5422">
        <v>83</v>
      </c>
      <c r="O5422" t="s">
        <v>61</v>
      </c>
      <c r="Q5422" t="s">
        <v>897</v>
      </c>
      <c r="R5422" t="s">
        <v>919</v>
      </c>
      <c r="S5422" t="s">
        <v>784</v>
      </c>
      <c r="T5422" t="s">
        <v>785</v>
      </c>
    </row>
    <row r="5423" spans="1:20" x14ac:dyDescent="0.25">
      <c r="A5423" t="s">
        <v>59</v>
      </c>
      <c r="B5423" t="s">
        <v>31</v>
      </c>
      <c r="C5423" t="s">
        <v>32</v>
      </c>
      <c r="D5423" t="s">
        <v>771</v>
      </c>
      <c r="E5423" t="s">
        <v>910</v>
      </c>
      <c r="F5423" t="s">
        <v>35</v>
      </c>
      <c r="G5423" t="s">
        <v>35</v>
      </c>
      <c r="H5423" t="s">
        <v>35</v>
      </c>
      <c r="J5423" t="s">
        <v>6606</v>
      </c>
      <c r="K5423" t="s">
        <v>1092</v>
      </c>
      <c r="M5423">
        <v>0.22500000000000001</v>
      </c>
      <c r="N5423">
        <v>38</v>
      </c>
      <c r="O5423" t="s">
        <v>52</v>
      </c>
      <c r="Q5423" t="s">
        <v>716</v>
      </c>
      <c r="R5423" t="s">
        <v>919</v>
      </c>
      <c r="S5423" t="s">
        <v>784</v>
      </c>
      <c r="T5423" t="s">
        <v>785</v>
      </c>
    </row>
    <row r="5424" spans="1:20" x14ac:dyDescent="0.25">
      <c r="A5424" t="s">
        <v>30</v>
      </c>
      <c r="B5424" t="s">
        <v>31</v>
      </c>
      <c r="C5424" t="s">
        <v>32</v>
      </c>
      <c r="D5424" t="s">
        <v>771</v>
      </c>
      <c r="E5424" t="s">
        <v>845</v>
      </c>
      <c r="F5424" t="s">
        <v>35</v>
      </c>
      <c r="G5424" t="s">
        <v>35</v>
      </c>
      <c r="H5424" t="s">
        <v>35</v>
      </c>
      <c r="J5424" t="s">
        <v>6288</v>
      </c>
      <c r="K5424" t="s">
        <v>1092</v>
      </c>
      <c r="M5424">
        <v>14.04</v>
      </c>
      <c r="N5424">
        <v>41</v>
      </c>
      <c r="O5424" t="s">
        <v>52</v>
      </c>
      <c r="Q5424" t="s">
        <v>496</v>
      </c>
      <c r="R5424" t="s">
        <v>919</v>
      </c>
      <c r="S5424" t="s">
        <v>784</v>
      </c>
      <c r="T5424" t="s">
        <v>785</v>
      </c>
    </row>
    <row r="5425" spans="1:20" x14ac:dyDescent="0.25">
      <c r="A5425" t="s">
        <v>30</v>
      </c>
      <c r="B5425" t="s">
        <v>31</v>
      </c>
      <c r="C5425" t="s">
        <v>32</v>
      </c>
      <c r="D5425" t="s">
        <v>771</v>
      </c>
      <c r="E5425" t="s">
        <v>6631</v>
      </c>
      <c r="F5425" t="s">
        <v>35</v>
      </c>
      <c r="G5425" t="s">
        <v>35</v>
      </c>
      <c r="H5425" t="s">
        <v>35</v>
      </c>
      <c r="J5425" t="s">
        <v>6635</v>
      </c>
      <c r="K5425" t="s">
        <v>1092</v>
      </c>
      <c r="M5425">
        <v>0.58499999999999996</v>
      </c>
      <c r="N5425">
        <v>112</v>
      </c>
      <c r="O5425" t="s">
        <v>106</v>
      </c>
      <c r="Q5425" t="s">
        <v>3465</v>
      </c>
      <c r="R5425" t="s">
        <v>919</v>
      </c>
      <c r="S5425" t="s">
        <v>784</v>
      </c>
      <c r="T5425" t="s">
        <v>785</v>
      </c>
    </row>
    <row r="5426" spans="1:20" x14ac:dyDescent="0.25">
      <c r="A5426" t="s">
        <v>59</v>
      </c>
      <c r="B5426" t="s">
        <v>31</v>
      </c>
      <c r="C5426" t="s">
        <v>32</v>
      </c>
      <c r="D5426" t="s">
        <v>771</v>
      </c>
      <c r="E5426" t="s">
        <v>865</v>
      </c>
      <c r="F5426" t="s">
        <v>35</v>
      </c>
      <c r="G5426" t="s">
        <v>35</v>
      </c>
      <c r="H5426" t="s">
        <v>35</v>
      </c>
      <c r="J5426" t="s">
        <v>6353</v>
      </c>
      <c r="K5426" t="s">
        <v>1092</v>
      </c>
      <c r="M5426">
        <v>0.3</v>
      </c>
      <c r="N5426">
        <v>83</v>
      </c>
      <c r="O5426" t="s">
        <v>61</v>
      </c>
      <c r="Q5426" t="s">
        <v>897</v>
      </c>
      <c r="R5426" t="s">
        <v>919</v>
      </c>
      <c r="S5426" t="s">
        <v>784</v>
      </c>
      <c r="T5426" t="s">
        <v>785</v>
      </c>
    </row>
    <row r="5427" spans="1:20" x14ac:dyDescent="0.25">
      <c r="A5427" t="s">
        <v>59</v>
      </c>
      <c r="B5427" t="s">
        <v>31</v>
      </c>
      <c r="C5427" t="s">
        <v>32</v>
      </c>
      <c r="D5427" t="s">
        <v>771</v>
      </c>
      <c r="E5427" t="s">
        <v>840</v>
      </c>
      <c r="F5427" t="s">
        <v>35</v>
      </c>
      <c r="G5427" t="s">
        <v>35</v>
      </c>
      <c r="H5427" t="s">
        <v>35</v>
      </c>
      <c r="J5427" t="s">
        <v>6183</v>
      </c>
      <c r="K5427" t="s">
        <v>1092</v>
      </c>
      <c r="M5427">
        <v>2.25</v>
      </c>
      <c r="N5427">
        <v>125</v>
      </c>
      <c r="O5427" t="s">
        <v>38</v>
      </c>
      <c r="Q5427" t="s">
        <v>2901</v>
      </c>
      <c r="R5427" t="s">
        <v>919</v>
      </c>
      <c r="S5427" t="s">
        <v>784</v>
      </c>
      <c r="T5427" t="s">
        <v>785</v>
      </c>
    </row>
    <row r="5428" spans="1:20" x14ac:dyDescent="0.25">
      <c r="A5428" t="s">
        <v>30</v>
      </c>
      <c r="B5428" t="s">
        <v>31</v>
      </c>
      <c r="C5428" t="s">
        <v>32</v>
      </c>
      <c r="D5428" t="s">
        <v>771</v>
      </c>
      <c r="E5428" t="s">
        <v>871</v>
      </c>
      <c r="F5428" t="s">
        <v>35</v>
      </c>
      <c r="G5428" t="s">
        <v>35</v>
      </c>
      <c r="H5428" t="s">
        <v>35</v>
      </c>
      <c r="J5428" t="s">
        <v>6425</v>
      </c>
      <c r="K5428" t="s">
        <v>1092</v>
      </c>
      <c r="M5428">
        <v>12.645</v>
      </c>
      <c r="N5428">
        <v>111</v>
      </c>
      <c r="O5428" t="s">
        <v>106</v>
      </c>
      <c r="Q5428" t="s">
        <v>1469</v>
      </c>
      <c r="R5428" t="s">
        <v>919</v>
      </c>
      <c r="S5428" t="s">
        <v>784</v>
      </c>
      <c r="T5428" t="s">
        <v>785</v>
      </c>
    </row>
    <row r="5429" spans="1:20" x14ac:dyDescent="0.25">
      <c r="A5429" t="s">
        <v>30</v>
      </c>
      <c r="B5429" t="s">
        <v>31</v>
      </c>
      <c r="C5429" t="s">
        <v>32</v>
      </c>
      <c r="D5429" t="s">
        <v>771</v>
      </c>
      <c r="E5429" t="s">
        <v>6621</v>
      </c>
      <c r="F5429" t="s">
        <v>35</v>
      </c>
      <c r="G5429" t="s">
        <v>35</v>
      </c>
      <c r="H5429" t="s">
        <v>35</v>
      </c>
      <c r="J5429" t="s">
        <v>6624</v>
      </c>
      <c r="K5429" t="s">
        <v>1092</v>
      </c>
      <c r="M5429">
        <v>3.2850000000000001</v>
      </c>
      <c r="N5429">
        <v>111</v>
      </c>
      <c r="O5429" t="s">
        <v>106</v>
      </c>
      <c r="Q5429" t="s">
        <v>1469</v>
      </c>
      <c r="R5429" t="s">
        <v>919</v>
      </c>
      <c r="S5429" t="s">
        <v>784</v>
      </c>
      <c r="T5429" t="s">
        <v>785</v>
      </c>
    </row>
    <row r="5430" spans="1:20" x14ac:dyDescent="0.25">
      <c r="A5430" t="s">
        <v>59</v>
      </c>
      <c r="B5430" t="s">
        <v>60</v>
      </c>
      <c r="C5430" t="s">
        <v>32</v>
      </c>
      <c r="D5430" t="s">
        <v>771</v>
      </c>
      <c r="E5430" t="s">
        <v>6214</v>
      </c>
      <c r="F5430" t="s">
        <v>35</v>
      </c>
      <c r="G5430" t="s">
        <v>35</v>
      </c>
      <c r="H5430" t="s">
        <v>35</v>
      </c>
      <c r="J5430" t="s">
        <v>6252</v>
      </c>
      <c r="K5430" t="s">
        <v>1092</v>
      </c>
      <c r="M5430">
        <v>7</v>
      </c>
      <c r="N5430">
        <v>84</v>
      </c>
      <c r="O5430" t="s">
        <v>61</v>
      </c>
      <c r="Q5430" t="s">
        <v>1147</v>
      </c>
      <c r="R5430" t="s">
        <v>919</v>
      </c>
      <c r="S5430" t="s">
        <v>784</v>
      </c>
      <c r="T5430" t="s">
        <v>785</v>
      </c>
    </row>
    <row r="5431" spans="1:20" x14ac:dyDescent="0.25">
      <c r="A5431" t="s">
        <v>44</v>
      </c>
      <c r="B5431" t="s">
        <v>51</v>
      </c>
      <c r="C5431" t="s">
        <v>32</v>
      </c>
      <c r="D5431" t="s">
        <v>771</v>
      </c>
      <c r="E5431" t="s">
        <v>910</v>
      </c>
      <c r="F5431" t="s">
        <v>35</v>
      </c>
      <c r="G5431" t="s">
        <v>35</v>
      </c>
      <c r="H5431" t="s">
        <v>35</v>
      </c>
      <c r="J5431" t="s">
        <v>6565</v>
      </c>
      <c r="K5431" t="s">
        <v>1092</v>
      </c>
      <c r="M5431">
        <v>12.5</v>
      </c>
      <c r="N5431">
        <v>32</v>
      </c>
      <c r="O5431" t="s">
        <v>52</v>
      </c>
      <c r="Q5431" t="s">
        <v>816</v>
      </c>
      <c r="R5431" t="s">
        <v>919</v>
      </c>
      <c r="S5431" t="s">
        <v>784</v>
      </c>
      <c r="T5431" t="s">
        <v>785</v>
      </c>
    </row>
    <row r="5432" spans="1:20" x14ac:dyDescent="0.25">
      <c r="A5432" t="s">
        <v>59</v>
      </c>
      <c r="B5432" t="s">
        <v>31</v>
      </c>
      <c r="C5432" t="s">
        <v>32</v>
      </c>
      <c r="D5432" t="s">
        <v>771</v>
      </c>
      <c r="E5432" t="s">
        <v>6165</v>
      </c>
      <c r="F5432" t="s">
        <v>35</v>
      </c>
      <c r="G5432" t="s">
        <v>35</v>
      </c>
      <c r="H5432" t="s">
        <v>35</v>
      </c>
      <c r="J5432" t="s">
        <v>6174</v>
      </c>
      <c r="K5432" t="s">
        <v>1092</v>
      </c>
      <c r="M5432">
        <v>1.7549999999999999</v>
      </c>
      <c r="N5432">
        <v>38</v>
      </c>
      <c r="O5432" t="s">
        <v>52</v>
      </c>
      <c r="Q5432" t="s">
        <v>716</v>
      </c>
      <c r="R5432" t="s">
        <v>919</v>
      </c>
      <c r="S5432" t="s">
        <v>784</v>
      </c>
      <c r="T5432" t="s">
        <v>785</v>
      </c>
    </row>
    <row r="5433" spans="1:20" x14ac:dyDescent="0.25">
      <c r="A5433" t="s">
        <v>44</v>
      </c>
      <c r="B5433" t="s">
        <v>51</v>
      </c>
      <c r="C5433" t="s">
        <v>32</v>
      </c>
      <c r="D5433" t="s">
        <v>771</v>
      </c>
      <c r="E5433" t="s">
        <v>910</v>
      </c>
      <c r="F5433" t="s">
        <v>35</v>
      </c>
      <c r="G5433" t="s">
        <v>35</v>
      </c>
      <c r="H5433" t="s">
        <v>35</v>
      </c>
      <c r="J5433" t="s">
        <v>6566</v>
      </c>
      <c r="K5433" t="s">
        <v>404</v>
      </c>
      <c r="M5433">
        <v>11.85</v>
      </c>
      <c r="N5433">
        <v>32</v>
      </c>
      <c r="O5433" t="s">
        <v>52</v>
      </c>
      <c r="Q5433" t="s">
        <v>816</v>
      </c>
      <c r="R5433" t="s">
        <v>919</v>
      </c>
      <c r="S5433" t="s">
        <v>784</v>
      </c>
      <c r="T5433" t="s">
        <v>785</v>
      </c>
    </row>
    <row r="5434" spans="1:20" x14ac:dyDescent="0.25">
      <c r="A5434" t="s">
        <v>59</v>
      </c>
      <c r="B5434" t="s">
        <v>60</v>
      </c>
      <c r="C5434" t="s">
        <v>32</v>
      </c>
      <c r="D5434" t="s">
        <v>771</v>
      </c>
      <c r="E5434" t="s">
        <v>6214</v>
      </c>
      <c r="F5434" t="s">
        <v>35</v>
      </c>
      <c r="G5434" t="s">
        <v>35</v>
      </c>
      <c r="H5434" t="s">
        <v>35</v>
      </c>
      <c r="J5434" t="s">
        <v>6234</v>
      </c>
      <c r="K5434" t="s">
        <v>1092</v>
      </c>
      <c r="M5434">
        <v>5.15</v>
      </c>
      <c r="N5434">
        <v>84</v>
      </c>
      <c r="O5434" t="s">
        <v>61</v>
      </c>
      <c r="Q5434" t="s">
        <v>1147</v>
      </c>
      <c r="R5434" t="s">
        <v>919</v>
      </c>
      <c r="S5434" t="s">
        <v>784</v>
      </c>
      <c r="T5434" t="s">
        <v>785</v>
      </c>
    </row>
    <row r="5435" spans="1:20" x14ac:dyDescent="0.25">
      <c r="A5435" t="s">
        <v>30</v>
      </c>
      <c r="B5435" t="s">
        <v>31</v>
      </c>
      <c r="C5435" t="s">
        <v>32</v>
      </c>
      <c r="D5435" t="s">
        <v>771</v>
      </c>
      <c r="E5435" t="s">
        <v>861</v>
      </c>
      <c r="F5435" t="s">
        <v>35</v>
      </c>
      <c r="G5435" t="s">
        <v>35</v>
      </c>
      <c r="H5435" t="s">
        <v>35</v>
      </c>
      <c r="J5435" t="s">
        <v>6316</v>
      </c>
      <c r="K5435" t="s">
        <v>1092</v>
      </c>
      <c r="M5435">
        <v>0.67500000000000004</v>
      </c>
      <c r="N5435">
        <v>231</v>
      </c>
      <c r="O5435" t="s">
        <v>5</v>
      </c>
      <c r="Q5435" t="s">
        <v>933</v>
      </c>
      <c r="R5435" t="s">
        <v>919</v>
      </c>
      <c r="S5435" t="s">
        <v>784</v>
      </c>
      <c r="T5435" t="s">
        <v>785</v>
      </c>
    </row>
    <row r="5436" spans="1:20" x14ac:dyDescent="0.25">
      <c r="A5436" t="s">
        <v>30</v>
      </c>
      <c r="B5436" t="s">
        <v>31</v>
      </c>
      <c r="C5436" t="s">
        <v>32</v>
      </c>
      <c r="D5436" t="s">
        <v>771</v>
      </c>
      <c r="E5436" t="s">
        <v>6621</v>
      </c>
      <c r="F5436" t="s">
        <v>35</v>
      </c>
      <c r="G5436" t="s">
        <v>35</v>
      </c>
      <c r="H5436" t="s">
        <v>35</v>
      </c>
      <c r="J5436" t="s">
        <v>6626</v>
      </c>
      <c r="K5436" t="s">
        <v>1092</v>
      </c>
      <c r="M5436">
        <v>5.8049999999999997</v>
      </c>
      <c r="N5436">
        <v>9</v>
      </c>
      <c r="O5436" t="s">
        <v>46</v>
      </c>
      <c r="Q5436" t="s">
        <v>323</v>
      </c>
      <c r="R5436" t="s">
        <v>919</v>
      </c>
      <c r="S5436" t="s">
        <v>784</v>
      </c>
      <c r="T5436" t="s">
        <v>785</v>
      </c>
    </row>
    <row r="5437" spans="1:20" x14ac:dyDescent="0.25">
      <c r="A5437" t="s">
        <v>30</v>
      </c>
      <c r="B5437" t="s">
        <v>31</v>
      </c>
      <c r="C5437" t="s">
        <v>32</v>
      </c>
      <c r="D5437" t="s">
        <v>771</v>
      </c>
      <c r="F5437" t="s">
        <v>35</v>
      </c>
      <c r="G5437" t="s">
        <v>35</v>
      </c>
      <c r="H5437" t="s">
        <v>35</v>
      </c>
      <c r="J5437" t="s">
        <v>6662</v>
      </c>
      <c r="K5437" t="s">
        <v>1092</v>
      </c>
      <c r="M5437">
        <v>0.51</v>
      </c>
      <c r="N5437">
        <v>1944</v>
      </c>
      <c r="O5437" t="s">
        <v>575</v>
      </c>
      <c r="Q5437" t="s">
        <v>3016</v>
      </c>
      <c r="R5437" t="s">
        <v>919</v>
      </c>
      <c r="S5437" t="s">
        <v>784</v>
      </c>
      <c r="T5437" t="s">
        <v>785</v>
      </c>
    </row>
    <row r="5438" spans="1:20" x14ac:dyDescent="0.25">
      <c r="A5438" t="s">
        <v>30</v>
      </c>
      <c r="B5438" t="s">
        <v>31</v>
      </c>
      <c r="C5438" t="s">
        <v>32</v>
      </c>
      <c r="D5438" t="s">
        <v>771</v>
      </c>
      <c r="E5438" t="s">
        <v>6165</v>
      </c>
      <c r="F5438" t="s">
        <v>35</v>
      </c>
      <c r="G5438" t="s">
        <v>35</v>
      </c>
      <c r="H5438" t="s">
        <v>35</v>
      </c>
      <c r="J5438" t="s">
        <v>6170</v>
      </c>
      <c r="K5438" t="s">
        <v>1092</v>
      </c>
      <c r="M5438">
        <v>4.7699999999999996</v>
      </c>
      <c r="N5438">
        <v>41</v>
      </c>
      <c r="O5438" t="s">
        <v>52</v>
      </c>
      <c r="Q5438" t="s">
        <v>496</v>
      </c>
      <c r="R5438" t="s">
        <v>919</v>
      </c>
      <c r="S5438" t="s">
        <v>784</v>
      </c>
      <c r="T5438" t="s">
        <v>785</v>
      </c>
    </row>
    <row r="5439" spans="1:20" x14ac:dyDescent="0.25">
      <c r="A5439" t="s">
        <v>30</v>
      </c>
      <c r="B5439" t="s">
        <v>31</v>
      </c>
      <c r="C5439" t="s">
        <v>32</v>
      </c>
      <c r="D5439" t="s">
        <v>771</v>
      </c>
      <c r="E5439" t="s">
        <v>6261</v>
      </c>
      <c r="F5439" t="s">
        <v>35</v>
      </c>
      <c r="G5439" t="s">
        <v>35</v>
      </c>
      <c r="H5439" t="s">
        <v>35</v>
      </c>
      <c r="J5439" t="s">
        <v>6275</v>
      </c>
      <c r="K5439" t="s">
        <v>1092</v>
      </c>
      <c r="M5439">
        <v>19.035</v>
      </c>
      <c r="N5439">
        <v>111</v>
      </c>
      <c r="O5439" t="s">
        <v>106</v>
      </c>
      <c r="Q5439" t="s">
        <v>1469</v>
      </c>
      <c r="R5439" t="s">
        <v>919</v>
      </c>
      <c r="S5439" t="s">
        <v>784</v>
      </c>
      <c r="T5439" t="s">
        <v>785</v>
      </c>
    </row>
    <row r="5440" spans="1:20" x14ac:dyDescent="0.25">
      <c r="A5440" t="s">
        <v>30</v>
      </c>
      <c r="B5440" t="s">
        <v>31</v>
      </c>
      <c r="C5440" t="s">
        <v>32</v>
      </c>
      <c r="D5440" t="s">
        <v>771</v>
      </c>
      <c r="E5440" t="s">
        <v>6093</v>
      </c>
      <c r="F5440" t="s">
        <v>35</v>
      </c>
      <c r="G5440" t="s">
        <v>35</v>
      </c>
      <c r="H5440" t="s">
        <v>35</v>
      </c>
      <c r="J5440" t="s">
        <v>6139</v>
      </c>
      <c r="K5440" t="s">
        <v>1092</v>
      </c>
      <c r="M5440">
        <v>7.02</v>
      </c>
      <c r="N5440">
        <v>93</v>
      </c>
      <c r="O5440" t="s">
        <v>106</v>
      </c>
      <c r="Q5440" t="s">
        <v>1112</v>
      </c>
      <c r="R5440" t="s">
        <v>919</v>
      </c>
      <c r="S5440" t="s">
        <v>784</v>
      </c>
      <c r="T5440" t="s">
        <v>785</v>
      </c>
    </row>
    <row r="5441" spans="1:20" x14ac:dyDescent="0.25">
      <c r="A5441" t="s">
        <v>44</v>
      </c>
      <c r="B5441" t="s">
        <v>51</v>
      </c>
      <c r="C5441" t="s">
        <v>32</v>
      </c>
      <c r="D5441" t="s">
        <v>771</v>
      </c>
      <c r="E5441" t="s">
        <v>910</v>
      </c>
      <c r="F5441" t="s">
        <v>35</v>
      </c>
      <c r="G5441" t="s">
        <v>35</v>
      </c>
      <c r="H5441" t="s">
        <v>35</v>
      </c>
      <c r="J5441" t="s">
        <v>911</v>
      </c>
      <c r="K5441" t="s">
        <v>37</v>
      </c>
      <c r="M5441">
        <v>9.5</v>
      </c>
      <c r="N5441">
        <v>37</v>
      </c>
      <c r="O5441" t="s">
        <v>52</v>
      </c>
      <c r="P5441" t="s">
        <v>918</v>
      </c>
      <c r="Q5441" t="s">
        <v>192</v>
      </c>
      <c r="R5441" t="s">
        <v>919</v>
      </c>
      <c r="S5441" t="s">
        <v>784</v>
      </c>
      <c r="T5441" t="s">
        <v>785</v>
      </c>
    </row>
    <row r="5442" spans="1:20" x14ac:dyDescent="0.25">
      <c r="A5442" t="s">
        <v>30</v>
      </c>
      <c r="B5442" t="s">
        <v>31</v>
      </c>
      <c r="C5442" t="s">
        <v>32</v>
      </c>
      <c r="D5442" t="s">
        <v>771</v>
      </c>
      <c r="E5442" t="s">
        <v>6093</v>
      </c>
      <c r="F5442" t="s">
        <v>35</v>
      </c>
      <c r="G5442" t="s">
        <v>35</v>
      </c>
      <c r="H5442" t="s">
        <v>35</v>
      </c>
      <c r="J5442" t="s">
        <v>6101</v>
      </c>
      <c r="K5442" t="s">
        <v>1092</v>
      </c>
      <c r="M5442">
        <v>7.02</v>
      </c>
      <c r="N5442">
        <v>41</v>
      </c>
      <c r="O5442" t="s">
        <v>52</v>
      </c>
      <c r="Q5442" t="s">
        <v>496</v>
      </c>
      <c r="R5442" t="s">
        <v>919</v>
      </c>
      <c r="S5442" t="s">
        <v>784</v>
      </c>
      <c r="T5442" t="s">
        <v>785</v>
      </c>
    </row>
    <row r="5443" spans="1:20" x14ac:dyDescent="0.25">
      <c r="A5443" t="s">
        <v>59</v>
      </c>
      <c r="B5443" t="s">
        <v>60</v>
      </c>
      <c r="C5443" t="s">
        <v>32</v>
      </c>
      <c r="D5443" t="s">
        <v>771</v>
      </c>
      <c r="E5443" t="s">
        <v>6214</v>
      </c>
      <c r="F5443" t="s">
        <v>35</v>
      </c>
      <c r="G5443" t="s">
        <v>35</v>
      </c>
      <c r="H5443" t="s">
        <v>35</v>
      </c>
      <c r="J5443" t="s">
        <v>6229</v>
      </c>
      <c r="K5443" t="s">
        <v>1092</v>
      </c>
      <c r="M5443">
        <v>5</v>
      </c>
      <c r="N5443">
        <v>39</v>
      </c>
      <c r="O5443" t="s">
        <v>52</v>
      </c>
      <c r="Q5443" t="s">
        <v>493</v>
      </c>
      <c r="R5443" t="s">
        <v>919</v>
      </c>
      <c r="S5443" t="s">
        <v>784</v>
      </c>
      <c r="T5443" t="s">
        <v>785</v>
      </c>
    </row>
    <row r="5444" spans="1:20" x14ac:dyDescent="0.25">
      <c r="A5444" t="s">
        <v>30</v>
      </c>
      <c r="B5444" t="s">
        <v>31</v>
      </c>
      <c r="C5444" t="s">
        <v>32</v>
      </c>
      <c r="D5444" t="s">
        <v>771</v>
      </c>
      <c r="E5444" t="s">
        <v>871</v>
      </c>
      <c r="F5444" t="s">
        <v>35</v>
      </c>
      <c r="G5444" t="s">
        <v>35</v>
      </c>
      <c r="H5444" t="s">
        <v>35</v>
      </c>
      <c r="J5444" t="s">
        <v>6432</v>
      </c>
      <c r="K5444" t="s">
        <v>1092</v>
      </c>
      <c r="M5444">
        <v>11.43</v>
      </c>
      <c r="N5444">
        <v>112</v>
      </c>
      <c r="O5444" t="s">
        <v>106</v>
      </c>
      <c r="Q5444" t="s">
        <v>3465</v>
      </c>
      <c r="R5444" t="s">
        <v>919</v>
      </c>
      <c r="S5444" t="s">
        <v>784</v>
      </c>
      <c r="T5444" t="s">
        <v>785</v>
      </c>
    </row>
    <row r="5445" spans="1:20" x14ac:dyDescent="0.25">
      <c r="A5445" t="s">
        <v>30</v>
      </c>
      <c r="B5445" t="s">
        <v>31</v>
      </c>
      <c r="C5445" t="s">
        <v>32</v>
      </c>
      <c r="D5445" t="s">
        <v>771</v>
      </c>
      <c r="E5445" t="s">
        <v>871</v>
      </c>
      <c r="F5445" t="s">
        <v>35</v>
      </c>
      <c r="G5445" t="s">
        <v>35</v>
      </c>
      <c r="H5445" t="s">
        <v>35</v>
      </c>
      <c r="J5445" t="s">
        <v>6432</v>
      </c>
      <c r="K5445" t="s">
        <v>1092</v>
      </c>
      <c r="M5445">
        <v>9.99</v>
      </c>
      <c r="N5445">
        <v>111</v>
      </c>
      <c r="O5445" t="s">
        <v>106</v>
      </c>
      <c r="Q5445" t="s">
        <v>1469</v>
      </c>
      <c r="R5445" t="s">
        <v>919</v>
      </c>
      <c r="S5445" t="s">
        <v>784</v>
      </c>
      <c r="T5445" t="s">
        <v>785</v>
      </c>
    </row>
    <row r="5446" spans="1:20" x14ac:dyDescent="0.25">
      <c r="A5446" t="s">
        <v>30</v>
      </c>
      <c r="B5446" t="s">
        <v>31</v>
      </c>
      <c r="C5446" t="s">
        <v>32</v>
      </c>
      <c r="D5446" t="s">
        <v>771</v>
      </c>
      <c r="E5446" t="s">
        <v>875</v>
      </c>
      <c r="F5446" t="s">
        <v>35</v>
      </c>
      <c r="G5446" t="s">
        <v>35</v>
      </c>
      <c r="H5446" t="s">
        <v>35</v>
      </c>
      <c r="J5446" t="s">
        <v>6444</v>
      </c>
      <c r="K5446" t="s">
        <v>1092</v>
      </c>
      <c r="M5446">
        <v>7.7850000000000001</v>
      </c>
      <c r="N5446">
        <v>41</v>
      </c>
      <c r="O5446" t="s">
        <v>52</v>
      </c>
      <c r="Q5446" t="s">
        <v>496</v>
      </c>
      <c r="R5446" t="s">
        <v>919</v>
      </c>
      <c r="S5446" t="s">
        <v>784</v>
      </c>
      <c r="T5446" t="s">
        <v>785</v>
      </c>
    </row>
    <row r="5447" spans="1:20" x14ac:dyDescent="0.25">
      <c r="A5447" t="s">
        <v>59</v>
      </c>
      <c r="B5447" t="s">
        <v>31</v>
      </c>
      <c r="C5447" t="s">
        <v>32</v>
      </c>
      <c r="D5447" t="s">
        <v>771</v>
      </c>
      <c r="E5447" t="s">
        <v>910</v>
      </c>
      <c r="F5447" t="s">
        <v>35</v>
      </c>
      <c r="G5447" t="s">
        <v>35</v>
      </c>
      <c r="H5447" t="s">
        <v>35</v>
      </c>
      <c r="J5447" t="s">
        <v>6602</v>
      </c>
      <c r="K5447" t="s">
        <v>1092</v>
      </c>
      <c r="M5447">
        <v>4.5</v>
      </c>
      <c r="N5447">
        <v>38</v>
      </c>
      <c r="O5447" t="s">
        <v>52</v>
      </c>
      <c r="Q5447" t="s">
        <v>716</v>
      </c>
      <c r="R5447" t="s">
        <v>919</v>
      </c>
      <c r="S5447" t="s">
        <v>784</v>
      </c>
      <c r="T5447" t="s">
        <v>785</v>
      </c>
    </row>
    <row r="5448" spans="1:20" x14ac:dyDescent="0.25">
      <c r="A5448" t="s">
        <v>59</v>
      </c>
      <c r="B5448" t="s">
        <v>60</v>
      </c>
      <c r="C5448" t="s">
        <v>32</v>
      </c>
      <c r="D5448" t="s">
        <v>771</v>
      </c>
      <c r="E5448" t="s">
        <v>898</v>
      </c>
      <c r="F5448" t="s">
        <v>35</v>
      </c>
      <c r="G5448" t="s">
        <v>35</v>
      </c>
      <c r="H5448" t="s">
        <v>35</v>
      </c>
      <c r="J5448" t="s">
        <v>6543</v>
      </c>
      <c r="K5448" t="s">
        <v>1092</v>
      </c>
      <c r="M5448">
        <v>3.8</v>
      </c>
      <c r="N5448">
        <v>39</v>
      </c>
      <c r="O5448" t="s">
        <v>52</v>
      </c>
      <c r="Q5448" t="s">
        <v>493</v>
      </c>
      <c r="R5448" t="s">
        <v>919</v>
      </c>
      <c r="S5448" t="s">
        <v>784</v>
      </c>
      <c r="T5448" t="s">
        <v>785</v>
      </c>
    </row>
    <row r="5449" spans="1:20" x14ac:dyDescent="0.25">
      <c r="A5449" t="s">
        <v>59</v>
      </c>
      <c r="B5449" t="s">
        <v>31</v>
      </c>
      <c r="C5449" t="s">
        <v>32</v>
      </c>
      <c r="D5449" t="s">
        <v>771</v>
      </c>
      <c r="E5449" t="s">
        <v>6525</v>
      </c>
      <c r="F5449" t="s">
        <v>35</v>
      </c>
      <c r="G5449" t="s">
        <v>35</v>
      </c>
      <c r="H5449" t="s">
        <v>35</v>
      </c>
      <c r="J5449" t="s">
        <v>6527</v>
      </c>
      <c r="K5449" t="s">
        <v>1092</v>
      </c>
      <c r="M5449">
        <v>9.99</v>
      </c>
      <c r="N5449">
        <v>83</v>
      </c>
      <c r="O5449" t="s">
        <v>61</v>
      </c>
      <c r="Q5449" t="s">
        <v>897</v>
      </c>
      <c r="R5449" t="s">
        <v>919</v>
      </c>
      <c r="S5449" t="s">
        <v>784</v>
      </c>
      <c r="T5449" t="s">
        <v>785</v>
      </c>
    </row>
    <row r="5450" spans="1:20" x14ac:dyDescent="0.25">
      <c r="A5450" t="s">
        <v>59</v>
      </c>
      <c r="B5450" t="s">
        <v>31</v>
      </c>
      <c r="C5450" t="s">
        <v>32</v>
      </c>
      <c r="D5450" t="s">
        <v>771</v>
      </c>
      <c r="E5450" t="s">
        <v>875</v>
      </c>
      <c r="F5450" t="s">
        <v>35</v>
      </c>
      <c r="G5450" t="s">
        <v>35</v>
      </c>
      <c r="H5450" t="s">
        <v>35</v>
      </c>
      <c r="J5450" t="s">
        <v>6467</v>
      </c>
      <c r="K5450" t="s">
        <v>1092</v>
      </c>
      <c r="M5450">
        <v>3.51</v>
      </c>
      <c r="N5450">
        <v>38</v>
      </c>
      <c r="O5450" t="s">
        <v>52</v>
      </c>
      <c r="Q5450" t="s">
        <v>716</v>
      </c>
      <c r="R5450" t="s">
        <v>919</v>
      </c>
      <c r="S5450" t="s">
        <v>784</v>
      </c>
      <c r="T5450" t="s">
        <v>785</v>
      </c>
    </row>
    <row r="5451" spans="1:20" x14ac:dyDescent="0.25">
      <c r="A5451" t="s">
        <v>59</v>
      </c>
      <c r="B5451" t="s">
        <v>60</v>
      </c>
      <c r="C5451" t="s">
        <v>32</v>
      </c>
      <c r="D5451" t="s">
        <v>771</v>
      </c>
      <c r="E5451" t="s">
        <v>6214</v>
      </c>
      <c r="F5451" t="s">
        <v>35</v>
      </c>
      <c r="G5451" t="s">
        <v>35</v>
      </c>
      <c r="H5451" t="s">
        <v>35</v>
      </c>
      <c r="J5451" t="s">
        <v>6251</v>
      </c>
      <c r="K5451" t="s">
        <v>1092</v>
      </c>
      <c r="M5451">
        <v>4.5</v>
      </c>
      <c r="N5451">
        <v>39</v>
      </c>
      <c r="O5451" t="s">
        <v>52</v>
      </c>
      <c r="Q5451" t="s">
        <v>493</v>
      </c>
      <c r="R5451" t="s">
        <v>919</v>
      </c>
      <c r="S5451" t="s">
        <v>784</v>
      </c>
      <c r="T5451" t="s">
        <v>785</v>
      </c>
    </row>
    <row r="5452" spans="1:20" x14ac:dyDescent="0.25">
      <c r="A5452" t="s">
        <v>30</v>
      </c>
      <c r="B5452" t="s">
        <v>31</v>
      </c>
      <c r="C5452" t="s">
        <v>32</v>
      </c>
      <c r="D5452" t="s">
        <v>771</v>
      </c>
      <c r="F5452" t="s">
        <v>35</v>
      </c>
      <c r="G5452" t="s">
        <v>35</v>
      </c>
      <c r="H5452" t="s">
        <v>35</v>
      </c>
      <c r="J5452" t="s">
        <v>6648</v>
      </c>
      <c r="K5452" t="s">
        <v>1144</v>
      </c>
      <c r="M5452">
        <v>7.02</v>
      </c>
      <c r="N5452">
        <v>41</v>
      </c>
      <c r="O5452" t="s">
        <v>52</v>
      </c>
      <c r="Q5452" t="s">
        <v>496</v>
      </c>
      <c r="R5452" t="s">
        <v>919</v>
      </c>
      <c r="S5452" t="s">
        <v>784</v>
      </c>
      <c r="T5452" t="s">
        <v>785</v>
      </c>
    </row>
    <row r="5453" spans="1:20" x14ac:dyDescent="0.25">
      <c r="A5453" t="s">
        <v>59</v>
      </c>
      <c r="B5453" t="s">
        <v>60</v>
      </c>
      <c r="C5453" t="s">
        <v>32</v>
      </c>
      <c r="D5453" t="s">
        <v>771</v>
      </c>
      <c r="E5453" t="s">
        <v>6214</v>
      </c>
      <c r="F5453" t="s">
        <v>35</v>
      </c>
      <c r="G5453" t="s">
        <v>35</v>
      </c>
      <c r="H5453" t="s">
        <v>35</v>
      </c>
      <c r="J5453" t="s">
        <v>6232</v>
      </c>
      <c r="K5453" t="s">
        <v>1092</v>
      </c>
      <c r="M5453">
        <v>7</v>
      </c>
      <c r="N5453">
        <v>39</v>
      </c>
      <c r="O5453" t="s">
        <v>52</v>
      </c>
      <c r="Q5453" t="s">
        <v>493</v>
      </c>
      <c r="R5453" t="s">
        <v>919</v>
      </c>
      <c r="S5453" t="s">
        <v>784</v>
      </c>
      <c r="T5453" t="s">
        <v>785</v>
      </c>
    </row>
    <row r="5454" spans="1:20" x14ac:dyDescent="0.25">
      <c r="A5454" t="s">
        <v>59</v>
      </c>
      <c r="B5454" t="s">
        <v>31</v>
      </c>
      <c r="C5454" t="s">
        <v>32</v>
      </c>
      <c r="D5454" t="s">
        <v>771</v>
      </c>
      <c r="E5454" t="s">
        <v>910</v>
      </c>
      <c r="F5454" t="s">
        <v>35</v>
      </c>
      <c r="G5454" t="s">
        <v>35</v>
      </c>
      <c r="H5454" t="s">
        <v>35</v>
      </c>
      <c r="J5454" t="s">
        <v>6612</v>
      </c>
      <c r="K5454" t="s">
        <v>1092</v>
      </c>
      <c r="M5454">
        <v>3.42</v>
      </c>
      <c r="N5454">
        <v>38</v>
      </c>
      <c r="O5454" t="s">
        <v>52</v>
      </c>
      <c r="Q5454" t="s">
        <v>716</v>
      </c>
      <c r="R5454" t="s">
        <v>919</v>
      </c>
      <c r="S5454" t="s">
        <v>784</v>
      </c>
      <c r="T5454" t="s">
        <v>785</v>
      </c>
    </row>
    <row r="5455" spans="1:20" x14ac:dyDescent="0.25">
      <c r="A5455" t="s">
        <v>30</v>
      </c>
      <c r="B5455" t="s">
        <v>31</v>
      </c>
      <c r="C5455" t="s">
        <v>32</v>
      </c>
      <c r="D5455" t="s">
        <v>771</v>
      </c>
      <c r="E5455" t="s">
        <v>903</v>
      </c>
      <c r="F5455" t="s">
        <v>35</v>
      </c>
      <c r="G5455" t="s">
        <v>35</v>
      </c>
      <c r="H5455" t="s">
        <v>35</v>
      </c>
      <c r="J5455" t="s">
        <v>6560</v>
      </c>
      <c r="K5455" t="s">
        <v>1092</v>
      </c>
      <c r="M5455">
        <v>8.19</v>
      </c>
      <c r="N5455">
        <v>41</v>
      </c>
      <c r="O5455" t="s">
        <v>52</v>
      </c>
      <c r="Q5455" t="s">
        <v>496</v>
      </c>
      <c r="R5455" t="s">
        <v>919</v>
      </c>
      <c r="S5455" t="s">
        <v>784</v>
      </c>
      <c r="T5455" t="s">
        <v>785</v>
      </c>
    </row>
    <row r="5456" spans="1:20" x14ac:dyDescent="0.25">
      <c r="A5456" t="s">
        <v>30</v>
      </c>
      <c r="B5456" t="s">
        <v>31</v>
      </c>
      <c r="C5456" t="s">
        <v>32</v>
      </c>
      <c r="D5456" t="s">
        <v>771</v>
      </c>
      <c r="E5456" t="s">
        <v>888</v>
      </c>
      <c r="F5456" t="s">
        <v>35</v>
      </c>
      <c r="G5456" t="s">
        <v>35</v>
      </c>
      <c r="H5456" t="s">
        <v>35</v>
      </c>
      <c r="J5456" t="s">
        <v>6498</v>
      </c>
      <c r="K5456" t="s">
        <v>1092</v>
      </c>
      <c r="M5456">
        <v>1.4999999999999999E-2</v>
      </c>
      <c r="N5456">
        <v>405</v>
      </c>
      <c r="O5456" t="s">
        <v>294</v>
      </c>
      <c r="Q5456" t="s">
        <v>3472</v>
      </c>
      <c r="R5456" t="s">
        <v>919</v>
      </c>
      <c r="S5456" t="s">
        <v>784</v>
      </c>
      <c r="T5456" t="s">
        <v>785</v>
      </c>
    </row>
    <row r="5457" spans="1:20" x14ac:dyDescent="0.25">
      <c r="A5457" t="s">
        <v>59</v>
      </c>
      <c r="B5457" t="s">
        <v>31</v>
      </c>
      <c r="C5457" t="s">
        <v>32</v>
      </c>
      <c r="D5457" t="s">
        <v>771</v>
      </c>
      <c r="E5457" t="s">
        <v>875</v>
      </c>
      <c r="F5457" t="s">
        <v>35</v>
      </c>
      <c r="G5457" t="s">
        <v>35</v>
      </c>
      <c r="H5457" t="s">
        <v>35</v>
      </c>
      <c r="J5457" t="s">
        <v>6478</v>
      </c>
      <c r="K5457" t="s">
        <v>1092</v>
      </c>
      <c r="M5457">
        <v>3.51</v>
      </c>
      <c r="N5457">
        <v>38</v>
      </c>
      <c r="O5457" t="s">
        <v>52</v>
      </c>
      <c r="Q5457" t="s">
        <v>716</v>
      </c>
      <c r="R5457" t="s">
        <v>919</v>
      </c>
      <c r="S5457" t="s">
        <v>784</v>
      </c>
      <c r="T5457" t="s">
        <v>785</v>
      </c>
    </row>
    <row r="5458" spans="1:20" x14ac:dyDescent="0.25">
      <c r="A5458" t="s">
        <v>30</v>
      </c>
      <c r="B5458" t="s">
        <v>31</v>
      </c>
      <c r="C5458" t="s">
        <v>32</v>
      </c>
      <c r="D5458" t="s">
        <v>771</v>
      </c>
      <c r="E5458" t="s">
        <v>875</v>
      </c>
      <c r="F5458" t="s">
        <v>35</v>
      </c>
      <c r="G5458" t="s">
        <v>35</v>
      </c>
      <c r="H5458" t="s">
        <v>35</v>
      </c>
      <c r="J5458" t="s">
        <v>6473</v>
      </c>
      <c r="K5458" t="s">
        <v>1092</v>
      </c>
      <c r="M5458">
        <v>8.5950000000000006</v>
      </c>
      <c r="N5458">
        <v>93</v>
      </c>
      <c r="O5458" t="s">
        <v>106</v>
      </c>
      <c r="Q5458" t="s">
        <v>1112</v>
      </c>
      <c r="R5458" t="s">
        <v>919</v>
      </c>
      <c r="S5458" t="s">
        <v>784</v>
      </c>
      <c r="T5458" t="s">
        <v>785</v>
      </c>
    </row>
    <row r="5459" spans="1:20" x14ac:dyDescent="0.25">
      <c r="A5459" t="s">
        <v>30</v>
      </c>
      <c r="B5459" t="s">
        <v>31</v>
      </c>
      <c r="C5459" t="s">
        <v>32</v>
      </c>
      <c r="D5459" t="s">
        <v>771</v>
      </c>
      <c r="E5459" t="s">
        <v>888</v>
      </c>
      <c r="F5459" t="s">
        <v>35</v>
      </c>
      <c r="G5459" t="s">
        <v>35</v>
      </c>
      <c r="H5459" t="s">
        <v>35</v>
      </c>
      <c r="J5459" t="s">
        <v>6490</v>
      </c>
      <c r="K5459" t="s">
        <v>1092</v>
      </c>
      <c r="M5459">
        <v>3.15</v>
      </c>
      <c r="N5459">
        <v>244</v>
      </c>
      <c r="O5459" t="s">
        <v>5</v>
      </c>
      <c r="Q5459" t="s">
        <v>1688</v>
      </c>
      <c r="R5459" t="s">
        <v>919</v>
      </c>
      <c r="S5459" t="s">
        <v>784</v>
      </c>
      <c r="T5459" t="s">
        <v>785</v>
      </c>
    </row>
    <row r="5460" spans="1:20" x14ac:dyDescent="0.25">
      <c r="A5460" t="s">
        <v>59</v>
      </c>
      <c r="B5460" t="s">
        <v>31</v>
      </c>
      <c r="C5460" t="s">
        <v>32</v>
      </c>
      <c r="D5460" t="s">
        <v>771</v>
      </c>
      <c r="E5460" t="s">
        <v>865</v>
      </c>
      <c r="F5460" t="s">
        <v>35</v>
      </c>
      <c r="G5460" t="s">
        <v>35</v>
      </c>
      <c r="H5460" t="s">
        <v>35</v>
      </c>
      <c r="J5460" t="s">
        <v>6373</v>
      </c>
      <c r="K5460" t="s">
        <v>1092</v>
      </c>
      <c r="M5460">
        <v>4.5449999999999999</v>
      </c>
      <c r="N5460">
        <v>38</v>
      </c>
      <c r="O5460" t="s">
        <v>52</v>
      </c>
      <c r="Q5460" t="s">
        <v>716</v>
      </c>
      <c r="R5460" t="s">
        <v>919</v>
      </c>
      <c r="S5460" t="s">
        <v>784</v>
      </c>
      <c r="T5460" t="s">
        <v>785</v>
      </c>
    </row>
    <row r="5461" spans="1:20" x14ac:dyDescent="0.25">
      <c r="A5461" t="s">
        <v>30</v>
      </c>
      <c r="B5461" t="s">
        <v>31</v>
      </c>
      <c r="C5461" t="s">
        <v>32</v>
      </c>
      <c r="D5461" t="s">
        <v>771</v>
      </c>
      <c r="E5461" t="s">
        <v>783</v>
      </c>
      <c r="F5461" t="s">
        <v>35</v>
      </c>
      <c r="G5461" t="s">
        <v>35</v>
      </c>
      <c r="H5461" t="s">
        <v>35</v>
      </c>
      <c r="J5461" t="s">
        <v>6023</v>
      </c>
      <c r="K5461" t="s">
        <v>1092</v>
      </c>
      <c r="M5461">
        <v>9.99</v>
      </c>
      <c r="N5461">
        <v>41</v>
      </c>
      <c r="O5461" t="s">
        <v>52</v>
      </c>
      <c r="Q5461" t="s">
        <v>496</v>
      </c>
      <c r="R5461" t="s">
        <v>919</v>
      </c>
      <c r="S5461" t="s">
        <v>784</v>
      </c>
      <c r="T5461" t="s">
        <v>785</v>
      </c>
    </row>
    <row r="5462" spans="1:20" x14ac:dyDescent="0.25">
      <c r="A5462" t="s">
        <v>59</v>
      </c>
      <c r="B5462" t="s">
        <v>60</v>
      </c>
      <c r="C5462" t="s">
        <v>32</v>
      </c>
      <c r="D5462" t="s">
        <v>771</v>
      </c>
      <c r="E5462" t="s">
        <v>6261</v>
      </c>
      <c r="F5462" t="s">
        <v>35</v>
      </c>
      <c r="G5462" t="s">
        <v>35</v>
      </c>
      <c r="H5462" t="s">
        <v>35</v>
      </c>
      <c r="J5462" t="s">
        <v>6262</v>
      </c>
      <c r="K5462" t="s">
        <v>1092</v>
      </c>
      <c r="M5462">
        <v>10</v>
      </c>
      <c r="N5462">
        <v>38</v>
      </c>
      <c r="O5462" t="s">
        <v>52</v>
      </c>
      <c r="Q5462" t="s">
        <v>716</v>
      </c>
      <c r="R5462" t="s">
        <v>919</v>
      </c>
      <c r="S5462" t="s">
        <v>784</v>
      </c>
      <c r="T5462" t="s">
        <v>785</v>
      </c>
    </row>
    <row r="5463" spans="1:20" x14ac:dyDescent="0.25">
      <c r="A5463" t="s">
        <v>30</v>
      </c>
      <c r="B5463" t="s">
        <v>31</v>
      </c>
      <c r="C5463" t="s">
        <v>32</v>
      </c>
      <c r="D5463" t="s">
        <v>771</v>
      </c>
      <c r="E5463" t="s">
        <v>6175</v>
      </c>
      <c r="F5463" t="s">
        <v>35</v>
      </c>
      <c r="G5463" t="s">
        <v>35</v>
      </c>
      <c r="H5463" t="s">
        <v>35</v>
      </c>
      <c r="J5463" t="s">
        <v>6176</v>
      </c>
      <c r="K5463" t="s">
        <v>1092</v>
      </c>
      <c r="M5463">
        <v>9.27</v>
      </c>
      <c r="N5463">
        <v>41</v>
      </c>
      <c r="O5463" t="s">
        <v>52</v>
      </c>
      <c r="Q5463" t="s">
        <v>496</v>
      </c>
      <c r="R5463" t="s">
        <v>919</v>
      </c>
      <c r="S5463" t="s">
        <v>784</v>
      </c>
      <c r="T5463" t="s">
        <v>785</v>
      </c>
    </row>
    <row r="5464" spans="1:20" x14ac:dyDescent="0.25">
      <c r="A5464" t="s">
        <v>44</v>
      </c>
      <c r="B5464" t="s">
        <v>51</v>
      </c>
      <c r="C5464" t="s">
        <v>32</v>
      </c>
      <c r="D5464" t="s">
        <v>771</v>
      </c>
      <c r="E5464" t="s">
        <v>6093</v>
      </c>
      <c r="F5464" t="s">
        <v>35</v>
      </c>
      <c r="G5464" t="s">
        <v>35</v>
      </c>
      <c r="H5464" t="s">
        <v>35</v>
      </c>
      <c r="J5464" t="s">
        <v>6105</v>
      </c>
      <c r="K5464" t="s">
        <v>1144</v>
      </c>
      <c r="M5464">
        <v>4.2</v>
      </c>
      <c r="N5464">
        <v>39</v>
      </c>
      <c r="O5464" t="s">
        <v>52</v>
      </c>
      <c r="Q5464" t="s">
        <v>493</v>
      </c>
      <c r="R5464" t="s">
        <v>919</v>
      </c>
      <c r="S5464" t="s">
        <v>784</v>
      </c>
      <c r="T5464" t="s">
        <v>785</v>
      </c>
    </row>
    <row r="5465" spans="1:20" x14ac:dyDescent="0.25">
      <c r="A5465" t="s">
        <v>59</v>
      </c>
      <c r="B5465" t="s">
        <v>31</v>
      </c>
      <c r="C5465" t="s">
        <v>32</v>
      </c>
      <c r="D5465" t="s">
        <v>771</v>
      </c>
      <c r="E5465" t="s">
        <v>783</v>
      </c>
      <c r="F5465" t="s">
        <v>35</v>
      </c>
      <c r="G5465" t="s">
        <v>35</v>
      </c>
      <c r="H5465" t="s">
        <v>35</v>
      </c>
      <c r="J5465" t="s">
        <v>6045</v>
      </c>
      <c r="K5465" t="s">
        <v>1092</v>
      </c>
      <c r="M5465">
        <v>7.4249999999999998</v>
      </c>
      <c r="N5465">
        <v>38</v>
      </c>
      <c r="O5465" t="s">
        <v>52</v>
      </c>
      <c r="Q5465" t="s">
        <v>716</v>
      </c>
      <c r="R5465" t="s">
        <v>919</v>
      </c>
      <c r="S5465" t="s">
        <v>784</v>
      </c>
      <c r="T5465" t="s">
        <v>785</v>
      </c>
    </row>
    <row r="5466" spans="1:20" x14ac:dyDescent="0.25">
      <c r="A5466" t="s">
        <v>59</v>
      </c>
      <c r="B5466" t="s">
        <v>60</v>
      </c>
      <c r="C5466" t="s">
        <v>32</v>
      </c>
      <c r="D5466" t="s">
        <v>771</v>
      </c>
      <c r="E5466" t="s">
        <v>6214</v>
      </c>
      <c r="F5466" t="s">
        <v>35</v>
      </c>
      <c r="G5466" t="s">
        <v>35</v>
      </c>
      <c r="H5466" t="s">
        <v>35</v>
      </c>
      <c r="J5466" t="s">
        <v>6238</v>
      </c>
      <c r="K5466" t="s">
        <v>1092</v>
      </c>
      <c r="M5466">
        <v>1</v>
      </c>
      <c r="N5466">
        <v>84</v>
      </c>
      <c r="O5466" t="s">
        <v>61</v>
      </c>
      <c r="Q5466" t="s">
        <v>1147</v>
      </c>
      <c r="R5466" t="s">
        <v>919</v>
      </c>
      <c r="S5466" t="s">
        <v>784</v>
      </c>
      <c r="T5466" t="s">
        <v>785</v>
      </c>
    </row>
    <row r="5467" spans="1:20" x14ac:dyDescent="0.25">
      <c r="A5467" t="s">
        <v>59</v>
      </c>
      <c r="B5467" t="s">
        <v>60</v>
      </c>
      <c r="C5467" t="s">
        <v>32</v>
      </c>
      <c r="D5467" t="s">
        <v>771</v>
      </c>
      <c r="E5467" t="s">
        <v>898</v>
      </c>
      <c r="F5467" t="s">
        <v>35</v>
      </c>
      <c r="G5467" t="s">
        <v>35</v>
      </c>
      <c r="H5467" t="s">
        <v>35</v>
      </c>
      <c r="J5467" t="s">
        <v>6541</v>
      </c>
      <c r="K5467" t="s">
        <v>1092</v>
      </c>
      <c r="M5467">
        <v>3</v>
      </c>
      <c r="N5467">
        <v>39</v>
      </c>
      <c r="O5467" t="s">
        <v>52</v>
      </c>
      <c r="Q5467" t="s">
        <v>493</v>
      </c>
      <c r="R5467" t="s">
        <v>919</v>
      </c>
      <c r="S5467" t="s">
        <v>784</v>
      </c>
      <c r="T5467" t="s">
        <v>785</v>
      </c>
    </row>
    <row r="5468" spans="1:20" x14ac:dyDescent="0.25">
      <c r="A5468" t="s">
        <v>59</v>
      </c>
      <c r="B5468" t="s">
        <v>31</v>
      </c>
      <c r="C5468" t="s">
        <v>32</v>
      </c>
      <c r="D5468" t="s">
        <v>771</v>
      </c>
      <c r="E5468" t="s">
        <v>910</v>
      </c>
      <c r="F5468" t="s">
        <v>35</v>
      </c>
      <c r="G5468" t="s">
        <v>35</v>
      </c>
      <c r="H5468" t="s">
        <v>35</v>
      </c>
      <c r="J5468" t="s">
        <v>6577</v>
      </c>
      <c r="K5468" t="s">
        <v>1092</v>
      </c>
      <c r="M5468">
        <v>1.0349999999999999</v>
      </c>
      <c r="N5468">
        <v>38</v>
      </c>
      <c r="O5468" t="s">
        <v>52</v>
      </c>
      <c r="Q5468" t="s">
        <v>716</v>
      </c>
      <c r="R5468" t="s">
        <v>919</v>
      </c>
      <c r="S5468" t="s">
        <v>784</v>
      </c>
      <c r="T5468" t="s">
        <v>785</v>
      </c>
    </row>
    <row r="5469" spans="1:20" x14ac:dyDescent="0.25">
      <c r="A5469" t="s">
        <v>59</v>
      </c>
      <c r="B5469" t="s">
        <v>31</v>
      </c>
      <c r="C5469" t="s">
        <v>32</v>
      </c>
      <c r="D5469" t="s">
        <v>771</v>
      </c>
      <c r="E5469" t="s">
        <v>910</v>
      </c>
      <c r="F5469" t="s">
        <v>35</v>
      </c>
      <c r="G5469" t="s">
        <v>35</v>
      </c>
      <c r="H5469" t="s">
        <v>35</v>
      </c>
      <c r="J5469" t="s">
        <v>6603</v>
      </c>
      <c r="K5469" t="s">
        <v>1092</v>
      </c>
      <c r="M5469">
        <v>2.2050000000000001</v>
      </c>
      <c r="N5469">
        <v>38</v>
      </c>
      <c r="O5469" t="s">
        <v>52</v>
      </c>
      <c r="Q5469" t="s">
        <v>716</v>
      </c>
      <c r="R5469" t="s">
        <v>919</v>
      </c>
      <c r="S5469" t="s">
        <v>784</v>
      </c>
      <c r="T5469" t="s">
        <v>785</v>
      </c>
    </row>
    <row r="5470" spans="1:20" x14ac:dyDescent="0.25">
      <c r="A5470" t="s">
        <v>30</v>
      </c>
      <c r="B5470" t="s">
        <v>31</v>
      </c>
      <c r="C5470" t="s">
        <v>32</v>
      </c>
      <c r="D5470" t="s">
        <v>771</v>
      </c>
      <c r="E5470" t="s">
        <v>871</v>
      </c>
      <c r="F5470" t="s">
        <v>35</v>
      </c>
      <c r="G5470" t="s">
        <v>35</v>
      </c>
      <c r="H5470" t="s">
        <v>35</v>
      </c>
      <c r="J5470" t="s">
        <v>6403</v>
      </c>
      <c r="K5470" t="s">
        <v>1092</v>
      </c>
      <c r="M5470">
        <v>5.4450000000000003</v>
      </c>
      <c r="N5470">
        <v>41</v>
      </c>
      <c r="O5470" t="s">
        <v>52</v>
      </c>
      <c r="Q5470" t="s">
        <v>496</v>
      </c>
      <c r="R5470" t="s">
        <v>919</v>
      </c>
      <c r="S5470" t="s">
        <v>784</v>
      </c>
      <c r="T5470" t="s">
        <v>785</v>
      </c>
    </row>
    <row r="5471" spans="1:20" x14ac:dyDescent="0.25">
      <c r="A5471" t="s">
        <v>59</v>
      </c>
      <c r="B5471" t="s">
        <v>60</v>
      </c>
      <c r="C5471" t="s">
        <v>32</v>
      </c>
      <c r="D5471" t="s">
        <v>771</v>
      </c>
      <c r="E5471" t="s">
        <v>871</v>
      </c>
      <c r="F5471" t="s">
        <v>35</v>
      </c>
      <c r="G5471" t="s">
        <v>35</v>
      </c>
      <c r="H5471" t="s">
        <v>35</v>
      </c>
      <c r="J5471" t="s">
        <v>6413</v>
      </c>
      <c r="K5471" t="s">
        <v>1092</v>
      </c>
      <c r="M5471">
        <v>3.9</v>
      </c>
      <c r="N5471">
        <v>84</v>
      </c>
      <c r="O5471" t="s">
        <v>61</v>
      </c>
      <c r="Q5471" t="s">
        <v>1147</v>
      </c>
      <c r="R5471" t="s">
        <v>919</v>
      </c>
      <c r="S5471" t="s">
        <v>784</v>
      </c>
      <c r="T5471" t="s">
        <v>785</v>
      </c>
    </row>
    <row r="5472" spans="1:20" x14ac:dyDescent="0.25">
      <c r="A5472" t="s">
        <v>59</v>
      </c>
      <c r="B5472" t="s">
        <v>31</v>
      </c>
      <c r="C5472" t="s">
        <v>32</v>
      </c>
      <c r="D5472" t="s">
        <v>771</v>
      </c>
      <c r="E5472" t="s">
        <v>865</v>
      </c>
      <c r="F5472" t="s">
        <v>35</v>
      </c>
      <c r="G5472" t="s">
        <v>35</v>
      </c>
      <c r="H5472" t="s">
        <v>35</v>
      </c>
      <c r="J5472" t="s">
        <v>6386</v>
      </c>
      <c r="K5472" t="s">
        <v>1092</v>
      </c>
      <c r="M5472">
        <v>0.45</v>
      </c>
      <c r="N5472">
        <v>83</v>
      </c>
      <c r="O5472" t="s">
        <v>61</v>
      </c>
      <c r="Q5472" t="s">
        <v>897</v>
      </c>
      <c r="R5472" t="s">
        <v>919</v>
      </c>
      <c r="S5472" t="s">
        <v>784</v>
      </c>
      <c r="T5472" t="s">
        <v>785</v>
      </c>
    </row>
    <row r="5473" spans="1:20" x14ac:dyDescent="0.25">
      <c r="A5473" t="s">
        <v>59</v>
      </c>
      <c r="B5473" t="s">
        <v>60</v>
      </c>
      <c r="C5473" t="s">
        <v>32</v>
      </c>
      <c r="D5473" t="s">
        <v>771</v>
      </c>
      <c r="E5473" t="s">
        <v>783</v>
      </c>
      <c r="F5473" t="s">
        <v>35</v>
      </c>
      <c r="G5473" t="s">
        <v>35</v>
      </c>
      <c r="H5473" t="s">
        <v>35</v>
      </c>
      <c r="J5473" t="s">
        <v>6057</v>
      </c>
      <c r="K5473" t="s">
        <v>1092</v>
      </c>
      <c r="M5473">
        <v>10</v>
      </c>
      <c r="N5473">
        <v>38</v>
      </c>
      <c r="O5473" t="s">
        <v>52</v>
      </c>
      <c r="Q5473" t="s">
        <v>716</v>
      </c>
      <c r="R5473" t="s">
        <v>919</v>
      </c>
      <c r="S5473" t="s">
        <v>784</v>
      </c>
      <c r="T5473" t="s">
        <v>785</v>
      </c>
    </row>
    <row r="5474" spans="1:20" x14ac:dyDescent="0.25">
      <c r="A5474" t="s">
        <v>59</v>
      </c>
      <c r="B5474" t="s">
        <v>31</v>
      </c>
      <c r="C5474" t="s">
        <v>32</v>
      </c>
      <c r="D5474" t="s">
        <v>771</v>
      </c>
      <c r="E5474" t="s">
        <v>910</v>
      </c>
      <c r="F5474" t="s">
        <v>35</v>
      </c>
      <c r="G5474" t="s">
        <v>35</v>
      </c>
      <c r="H5474" t="s">
        <v>35</v>
      </c>
      <c r="J5474" t="s">
        <v>6578</v>
      </c>
      <c r="K5474" t="s">
        <v>1092</v>
      </c>
      <c r="M5474">
        <v>2.88</v>
      </c>
      <c r="N5474">
        <v>38</v>
      </c>
      <c r="O5474" t="s">
        <v>52</v>
      </c>
      <c r="Q5474" t="s">
        <v>716</v>
      </c>
      <c r="R5474" t="s">
        <v>919</v>
      </c>
      <c r="S5474" t="s">
        <v>784</v>
      </c>
      <c r="T5474" t="s">
        <v>785</v>
      </c>
    </row>
    <row r="5475" spans="1:20" x14ac:dyDescent="0.25">
      <c r="A5475" t="s">
        <v>59</v>
      </c>
      <c r="B5475" t="s">
        <v>31</v>
      </c>
      <c r="C5475" t="s">
        <v>32</v>
      </c>
      <c r="D5475" t="s">
        <v>771</v>
      </c>
      <c r="E5475" t="s">
        <v>6631</v>
      </c>
      <c r="F5475" t="s">
        <v>35</v>
      </c>
      <c r="G5475" t="s">
        <v>35</v>
      </c>
      <c r="H5475" t="s">
        <v>35</v>
      </c>
      <c r="J5475" t="s">
        <v>6636</v>
      </c>
      <c r="K5475" t="s">
        <v>1092</v>
      </c>
      <c r="M5475">
        <v>9.99</v>
      </c>
      <c r="N5475">
        <v>83</v>
      </c>
      <c r="O5475" t="s">
        <v>61</v>
      </c>
      <c r="Q5475" t="s">
        <v>897</v>
      </c>
      <c r="R5475" t="s">
        <v>919</v>
      </c>
      <c r="S5475" t="s">
        <v>784</v>
      </c>
      <c r="T5475" t="s">
        <v>785</v>
      </c>
    </row>
    <row r="5476" spans="1:20" x14ac:dyDescent="0.25">
      <c r="A5476" t="s">
        <v>30</v>
      </c>
      <c r="B5476" t="s">
        <v>31</v>
      </c>
      <c r="C5476" t="s">
        <v>32</v>
      </c>
      <c r="D5476" t="s">
        <v>771</v>
      </c>
      <c r="E5476" t="s">
        <v>840</v>
      </c>
      <c r="F5476" t="s">
        <v>35</v>
      </c>
      <c r="G5476" t="s">
        <v>35</v>
      </c>
      <c r="H5476" t="s">
        <v>35</v>
      </c>
      <c r="J5476" t="s">
        <v>6181</v>
      </c>
      <c r="K5476" t="s">
        <v>1092</v>
      </c>
      <c r="M5476">
        <v>3.4649999999999999</v>
      </c>
      <c r="N5476">
        <v>91</v>
      </c>
      <c r="O5476" t="s">
        <v>106</v>
      </c>
      <c r="Q5476" t="s">
        <v>108</v>
      </c>
      <c r="R5476" t="s">
        <v>6182</v>
      </c>
      <c r="S5476" t="s">
        <v>841</v>
      </c>
      <c r="T5476" t="s">
        <v>842</v>
      </c>
    </row>
    <row r="5477" spans="1:20" x14ac:dyDescent="0.25">
      <c r="A5477" t="s">
        <v>30</v>
      </c>
      <c r="B5477" t="s">
        <v>31</v>
      </c>
      <c r="C5477" t="s">
        <v>32</v>
      </c>
      <c r="D5477" t="s">
        <v>771</v>
      </c>
      <c r="E5477" t="s">
        <v>840</v>
      </c>
      <c r="F5477" t="s">
        <v>35</v>
      </c>
      <c r="G5477" t="s">
        <v>35</v>
      </c>
      <c r="H5477" t="s">
        <v>35</v>
      </c>
      <c r="J5477" t="s">
        <v>6201</v>
      </c>
      <c r="K5477" t="s">
        <v>1092</v>
      </c>
      <c r="M5477">
        <v>0.94499999999999995</v>
      </c>
      <c r="N5477">
        <v>229</v>
      </c>
      <c r="O5477" t="s">
        <v>5</v>
      </c>
      <c r="Q5477" t="s">
        <v>1140</v>
      </c>
      <c r="R5477" t="s">
        <v>6182</v>
      </c>
      <c r="S5477" t="s">
        <v>841</v>
      </c>
      <c r="T5477" t="s">
        <v>842</v>
      </c>
    </row>
    <row r="5478" spans="1:20" x14ac:dyDescent="0.25">
      <c r="A5478" t="s">
        <v>30</v>
      </c>
      <c r="B5478" t="s">
        <v>31</v>
      </c>
      <c r="C5478" t="s">
        <v>32</v>
      </c>
      <c r="D5478" t="s">
        <v>771</v>
      </c>
      <c r="E5478" t="s">
        <v>840</v>
      </c>
      <c r="F5478" t="s">
        <v>35</v>
      </c>
      <c r="G5478" t="s">
        <v>35</v>
      </c>
      <c r="H5478" t="s">
        <v>35</v>
      </c>
      <c r="J5478" t="s">
        <v>6205</v>
      </c>
      <c r="K5478" t="s">
        <v>1092</v>
      </c>
      <c r="M5478">
        <v>1.125</v>
      </c>
      <c r="N5478">
        <v>91</v>
      </c>
      <c r="O5478" t="s">
        <v>106</v>
      </c>
      <c r="Q5478" t="s">
        <v>108</v>
      </c>
      <c r="R5478" t="s">
        <v>6182</v>
      </c>
      <c r="S5478" t="s">
        <v>841</v>
      </c>
      <c r="T5478" t="s">
        <v>842</v>
      </c>
    </row>
    <row r="5479" spans="1:20" x14ac:dyDescent="0.25">
      <c r="A5479" t="s">
        <v>30</v>
      </c>
      <c r="B5479" t="s">
        <v>31</v>
      </c>
      <c r="C5479" t="s">
        <v>32</v>
      </c>
      <c r="D5479" t="s">
        <v>771</v>
      </c>
      <c r="E5479" t="s">
        <v>840</v>
      </c>
      <c r="F5479" t="s">
        <v>35</v>
      </c>
      <c r="G5479" t="s">
        <v>35</v>
      </c>
      <c r="H5479" t="s">
        <v>35</v>
      </c>
      <c r="J5479" t="s">
        <v>6205</v>
      </c>
      <c r="K5479" t="s">
        <v>1092</v>
      </c>
      <c r="M5479">
        <v>2.25</v>
      </c>
      <c r="N5479">
        <v>282</v>
      </c>
      <c r="O5479" t="s">
        <v>5</v>
      </c>
      <c r="Q5479" t="s">
        <v>1172</v>
      </c>
      <c r="R5479" t="s">
        <v>6182</v>
      </c>
      <c r="S5479" t="s">
        <v>841</v>
      </c>
      <c r="T5479" t="s">
        <v>842</v>
      </c>
    </row>
    <row r="5480" spans="1:20" x14ac:dyDescent="0.25">
      <c r="A5480" t="s">
        <v>30</v>
      </c>
      <c r="B5480" t="s">
        <v>31</v>
      </c>
      <c r="C5480" t="s">
        <v>32</v>
      </c>
      <c r="D5480" t="s">
        <v>771</v>
      </c>
      <c r="E5480" t="s">
        <v>840</v>
      </c>
      <c r="F5480" t="s">
        <v>35</v>
      </c>
      <c r="G5480" t="s">
        <v>35</v>
      </c>
      <c r="H5480" t="s">
        <v>35</v>
      </c>
      <c r="J5480" t="s">
        <v>6212</v>
      </c>
      <c r="K5480" t="s">
        <v>1092</v>
      </c>
      <c r="M5480">
        <v>5.0000000000000001E-3</v>
      </c>
      <c r="N5480">
        <v>373</v>
      </c>
      <c r="O5480" t="s">
        <v>294</v>
      </c>
      <c r="Q5480" t="s">
        <v>2664</v>
      </c>
      <c r="R5480" t="s">
        <v>6182</v>
      </c>
      <c r="S5480" t="s">
        <v>841</v>
      </c>
      <c r="T5480" t="s">
        <v>842</v>
      </c>
    </row>
    <row r="5481" spans="1:20" x14ac:dyDescent="0.25">
      <c r="A5481" t="s">
        <v>30</v>
      </c>
      <c r="B5481" t="s">
        <v>31</v>
      </c>
      <c r="C5481" t="s">
        <v>32</v>
      </c>
      <c r="D5481" t="s">
        <v>771</v>
      </c>
      <c r="E5481" t="s">
        <v>861</v>
      </c>
      <c r="F5481" t="s">
        <v>35</v>
      </c>
      <c r="G5481" t="s">
        <v>35</v>
      </c>
      <c r="H5481" t="s">
        <v>35</v>
      </c>
      <c r="J5481" t="s">
        <v>6290</v>
      </c>
      <c r="K5481" t="s">
        <v>1092</v>
      </c>
      <c r="M5481">
        <v>3.15</v>
      </c>
      <c r="N5481">
        <v>282</v>
      </c>
      <c r="O5481" t="s">
        <v>5</v>
      </c>
      <c r="Q5481" t="s">
        <v>1172</v>
      </c>
      <c r="R5481" t="s">
        <v>6182</v>
      </c>
      <c r="S5481" t="s">
        <v>841</v>
      </c>
      <c r="T5481" t="s">
        <v>842</v>
      </c>
    </row>
    <row r="5482" spans="1:20" x14ac:dyDescent="0.25">
      <c r="A5482" t="s">
        <v>44</v>
      </c>
      <c r="B5482" t="s">
        <v>51</v>
      </c>
      <c r="C5482" t="s">
        <v>32</v>
      </c>
      <c r="D5482" t="s">
        <v>771</v>
      </c>
      <c r="E5482" t="s">
        <v>861</v>
      </c>
      <c r="F5482" t="s">
        <v>35</v>
      </c>
      <c r="G5482" t="s">
        <v>35</v>
      </c>
      <c r="H5482" t="s">
        <v>35</v>
      </c>
      <c r="J5482" t="s">
        <v>6290</v>
      </c>
      <c r="K5482" t="s">
        <v>1092</v>
      </c>
      <c r="M5482">
        <v>2.5</v>
      </c>
      <c r="N5482">
        <v>275</v>
      </c>
      <c r="O5482" t="s">
        <v>5</v>
      </c>
      <c r="Q5482" t="s">
        <v>1225</v>
      </c>
      <c r="R5482" t="s">
        <v>6182</v>
      </c>
      <c r="S5482" t="s">
        <v>841</v>
      </c>
      <c r="T5482" t="s">
        <v>842</v>
      </c>
    </row>
    <row r="5483" spans="1:20" x14ac:dyDescent="0.25">
      <c r="A5483" t="s">
        <v>59</v>
      </c>
      <c r="B5483" t="s">
        <v>31</v>
      </c>
      <c r="C5483" t="s">
        <v>32</v>
      </c>
      <c r="D5483" t="s">
        <v>771</v>
      </c>
      <c r="E5483" t="s">
        <v>840</v>
      </c>
      <c r="F5483" t="s">
        <v>35</v>
      </c>
      <c r="G5483" t="s">
        <v>35</v>
      </c>
      <c r="H5483" t="s">
        <v>35</v>
      </c>
      <c r="J5483" t="s">
        <v>6203</v>
      </c>
      <c r="K5483" t="s">
        <v>1092</v>
      </c>
      <c r="M5483">
        <v>4.4999999999999998E-2</v>
      </c>
      <c r="N5483">
        <v>411</v>
      </c>
      <c r="O5483" t="s">
        <v>294</v>
      </c>
      <c r="Q5483" t="s">
        <v>6204</v>
      </c>
      <c r="R5483" t="s">
        <v>6182</v>
      </c>
      <c r="S5483" t="s">
        <v>841</v>
      </c>
      <c r="T5483" t="s">
        <v>842</v>
      </c>
    </row>
    <row r="5484" spans="1:20" x14ac:dyDescent="0.25">
      <c r="A5484" t="s">
        <v>30</v>
      </c>
      <c r="B5484" t="s">
        <v>31</v>
      </c>
      <c r="C5484" t="s">
        <v>32</v>
      </c>
      <c r="D5484" t="s">
        <v>771</v>
      </c>
      <c r="E5484" t="s">
        <v>840</v>
      </c>
      <c r="F5484" t="s">
        <v>35</v>
      </c>
      <c r="G5484" t="s">
        <v>35</v>
      </c>
      <c r="H5484" t="s">
        <v>35</v>
      </c>
      <c r="J5484" t="s">
        <v>6203</v>
      </c>
      <c r="K5484" t="s">
        <v>1092</v>
      </c>
      <c r="M5484">
        <v>0.67500000000000004</v>
      </c>
      <c r="N5484">
        <v>91</v>
      </c>
      <c r="O5484" t="s">
        <v>106</v>
      </c>
      <c r="Q5484" t="s">
        <v>108</v>
      </c>
      <c r="R5484" t="s">
        <v>6182</v>
      </c>
      <c r="S5484" t="s">
        <v>841</v>
      </c>
      <c r="T5484" t="s">
        <v>842</v>
      </c>
    </row>
    <row r="5485" spans="1:20" x14ac:dyDescent="0.25">
      <c r="A5485" t="s">
        <v>44</v>
      </c>
      <c r="B5485" t="s">
        <v>3</v>
      </c>
      <c r="C5485" t="s">
        <v>32</v>
      </c>
      <c r="D5485" t="s">
        <v>771</v>
      </c>
      <c r="E5485" t="s">
        <v>840</v>
      </c>
      <c r="F5485" t="s">
        <v>35</v>
      </c>
      <c r="G5485" t="s">
        <v>35</v>
      </c>
      <c r="H5485" t="s">
        <v>35</v>
      </c>
      <c r="J5485" t="s">
        <v>6189</v>
      </c>
      <c r="K5485" t="s">
        <v>1092</v>
      </c>
      <c r="M5485">
        <v>0.2</v>
      </c>
      <c r="N5485">
        <v>246</v>
      </c>
      <c r="O5485" t="s">
        <v>5</v>
      </c>
      <c r="Q5485" t="s">
        <v>1502</v>
      </c>
      <c r="R5485" t="s">
        <v>6182</v>
      </c>
      <c r="S5485" t="s">
        <v>841</v>
      </c>
      <c r="T5485" t="s">
        <v>842</v>
      </c>
    </row>
    <row r="5486" spans="1:20" x14ac:dyDescent="0.25">
      <c r="A5486" t="s">
        <v>59</v>
      </c>
      <c r="B5486" t="s">
        <v>60</v>
      </c>
      <c r="C5486" t="s">
        <v>32</v>
      </c>
      <c r="D5486" t="s">
        <v>771</v>
      </c>
      <c r="E5486" t="s">
        <v>840</v>
      </c>
      <c r="F5486" t="s">
        <v>35</v>
      </c>
      <c r="G5486" t="s">
        <v>35</v>
      </c>
      <c r="H5486" t="s">
        <v>35</v>
      </c>
      <c r="J5486" t="s">
        <v>6189</v>
      </c>
      <c r="K5486" t="s">
        <v>1092</v>
      </c>
      <c r="M5486">
        <v>0.5</v>
      </c>
      <c r="N5486">
        <v>461</v>
      </c>
      <c r="O5486" t="s">
        <v>294</v>
      </c>
      <c r="Q5486" t="s">
        <v>1516</v>
      </c>
      <c r="R5486" t="s">
        <v>6182</v>
      </c>
      <c r="S5486" t="s">
        <v>841</v>
      </c>
      <c r="T5486" t="s">
        <v>842</v>
      </c>
    </row>
    <row r="5487" spans="1:20" x14ac:dyDescent="0.25">
      <c r="A5487" t="s">
        <v>59</v>
      </c>
      <c r="B5487" t="s">
        <v>31</v>
      </c>
      <c r="C5487" t="s">
        <v>32</v>
      </c>
      <c r="D5487" t="s">
        <v>771</v>
      </c>
      <c r="E5487" t="s">
        <v>840</v>
      </c>
      <c r="F5487" t="s">
        <v>35</v>
      </c>
      <c r="G5487" t="s">
        <v>35</v>
      </c>
      <c r="H5487" t="s">
        <v>35</v>
      </c>
      <c r="J5487" t="s">
        <v>6189</v>
      </c>
      <c r="K5487" t="s">
        <v>1092</v>
      </c>
      <c r="M5487">
        <v>4.4999999999999998E-2</v>
      </c>
      <c r="N5487">
        <v>1024</v>
      </c>
      <c r="O5487" t="s">
        <v>575</v>
      </c>
      <c r="Q5487" t="s">
        <v>6190</v>
      </c>
      <c r="R5487" t="s">
        <v>6182</v>
      </c>
      <c r="S5487" t="s">
        <v>841</v>
      </c>
      <c r="T5487" t="s">
        <v>842</v>
      </c>
    </row>
    <row r="5488" spans="1:20" x14ac:dyDescent="0.25">
      <c r="A5488" t="s">
        <v>30</v>
      </c>
      <c r="B5488" t="s">
        <v>31</v>
      </c>
      <c r="C5488" t="s">
        <v>32</v>
      </c>
      <c r="D5488" t="s">
        <v>771</v>
      </c>
      <c r="E5488" t="s">
        <v>840</v>
      </c>
      <c r="F5488" t="s">
        <v>35</v>
      </c>
      <c r="G5488" t="s">
        <v>35</v>
      </c>
      <c r="H5488" t="s">
        <v>35</v>
      </c>
      <c r="J5488" t="s">
        <v>6189</v>
      </c>
      <c r="K5488" t="s">
        <v>1092</v>
      </c>
      <c r="M5488">
        <v>0.16500000000000001</v>
      </c>
      <c r="N5488">
        <v>435</v>
      </c>
      <c r="O5488" t="s">
        <v>294</v>
      </c>
      <c r="Q5488" t="s">
        <v>6191</v>
      </c>
      <c r="R5488" t="s">
        <v>6182</v>
      </c>
      <c r="S5488" t="s">
        <v>841</v>
      </c>
      <c r="T5488" t="s">
        <v>842</v>
      </c>
    </row>
    <row r="5489" spans="1:20" x14ac:dyDescent="0.25">
      <c r="A5489" t="s">
        <v>44</v>
      </c>
      <c r="B5489" t="s">
        <v>51</v>
      </c>
      <c r="C5489" t="s">
        <v>32</v>
      </c>
      <c r="D5489" t="s">
        <v>771</v>
      </c>
      <c r="E5489" t="s">
        <v>840</v>
      </c>
      <c r="F5489" t="s">
        <v>35</v>
      </c>
      <c r="G5489" t="s">
        <v>35</v>
      </c>
      <c r="H5489" t="s">
        <v>35</v>
      </c>
      <c r="J5489" t="s">
        <v>6199</v>
      </c>
      <c r="K5489" t="s">
        <v>1092</v>
      </c>
      <c r="M5489">
        <v>0.25</v>
      </c>
      <c r="N5489">
        <v>275</v>
      </c>
      <c r="O5489" t="s">
        <v>5</v>
      </c>
      <c r="Q5489" t="s">
        <v>1225</v>
      </c>
      <c r="R5489" t="s">
        <v>6182</v>
      </c>
      <c r="S5489" t="s">
        <v>841</v>
      </c>
      <c r="T5489" t="s">
        <v>842</v>
      </c>
    </row>
    <row r="5490" spans="1:20" x14ac:dyDescent="0.25">
      <c r="A5490" t="s">
        <v>44</v>
      </c>
      <c r="B5490" t="s">
        <v>51</v>
      </c>
      <c r="C5490" t="s">
        <v>32</v>
      </c>
      <c r="D5490" t="s">
        <v>771</v>
      </c>
      <c r="E5490" t="s">
        <v>840</v>
      </c>
      <c r="F5490" t="s">
        <v>35</v>
      </c>
      <c r="G5490" t="s">
        <v>35</v>
      </c>
      <c r="H5490" t="s">
        <v>35</v>
      </c>
      <c r="J5490" t="s">
        <v>6199</v>
      </c>
      <c r="K5490" t="s">
        <v>1092</v>
      </c>
      <c r="M5490">
        <v>0.25</v>
      </c>
      <c r="N5490">
        <v>282</v>
      </c>
      <c r="O5490" t="s">
        <v>5</v>
      </c>
      <c r="Q5490" t="s">
        <v>1172</v>
      </c>
      <c r="R5490" t="s">
        <v>6182</v>
      </c>
      <c r="S5490" t="s">
        <v>841</v>
      </c>
      <c r="T5490" t="s">
        <v>842</v>
      </c>
    </row>
    <row r="5491" spans="1:20" x14ac:dyDescent="0.25">
      <c r="A5491" t="s">
        <v>30</v>
      </c>
      <c r="B5491" t="s">
        <v>31</v>
      </c>
      <c r="C5491" t="s">
        <v>32</v>
      </c>
      <c r="D5491" t="s">
        <v>771</v>
      </c>
      <c r="E5491" t="s">
        <v>840</v>
      </c>
      <c r="F5491" t="s">
        <v>35</v>
      </c>
      <c r="G5491" t="s">
        <v>35</v>
      </c>
      <c r="H5491" t="s">
        <v>35</v>
      </c>
      <c r="J5491" t="s">
        <v>6202</v>
      </c>
      <c r="K5491" t="s">
        <v>1092</v>
      </c>
      <c r="M5491">
        <v>1.665</v>
      </c>
      <c r="N5491">
        <v>282</v>
      </c>
      <c r="O5491" t="s">
        <v>5</v>
      </c>
      <c r="Q5491" t="s">
        <v>1172</v>
      </c>
      <c r="R5491" t="s">
        <v>6182</v>
      </c>
      <c r="S5491" t="s">
        <v>841</v>
      </c>
      <c r="T5491" t="s">
        <v>842</v>
      </c>
    </row>
    <row r="5492" spans="1:20" x14ac:dyDescent="0.25">
      <c r="A5492" t="s">
        <v>30</v>
      </c>
      <c r="B5492" t="s">
        <v>31</v>
      </c>
      <c r="C5492" t="s">
        <v>32</v>
      </c>
      <c r="D5492" t="s">
        <v>771</v>
      </c>
      <c r="E5492" t="s">
        <v>840</v>
      </c>
      <c r="F5492" t="s">
        <v>35</v>
      </c>
      <c r="G5492" t="s">
        <v>35</v>
      </c>
      <c r="H5492" t="s">
        <v>35</v>
      </c>
      <c r="J5492" t="s">
        <v>6202</v>
      </c>
      <c r="K5492" t="s">
        <v>1092</v>
      </c>
      <c r="M5492">
        <v>2.1150000000000002</v>
      </c>
      <c r="N5492">
        <v>91</v>
      </c>
      <c r="O5492" t="s">
        <v>106</v>
      </c>
      <c r="Q5492" t="s">
        <v>108</v>
      </c>
      <c r="R5492" t="s">
        <v>6182</v>
      </c>
      <c r="S5492" t="s">
        <v>841</v>
      </c>
      <c r="T5492" t="s">
        <v>842</v>
      </c>
    </row>
    <row r="5493" spans="1:20" x14ac:dyDescent="0.25">
      <c r="A5493" t="s">
        <v>30</v>
      </c>
      <c r="B5493" t="s">
        <v>31</v>
      </c>
      <c r="C5493" t="s">
        <v>32</v>
      </c>
      <c r="D5493" t="s">
        <v>771</v>
      </c>
      <c r="E5493" t="s">
        <v>840</v>
      </c>
      <c r="F5493" t="s">
        <v>35</v>
      </c>
      <c r="G5493" t="s">
        <v>35</v>
      </c>
      <c r="H5493" t="s">
        <v>35</v>
      </c>
      <c r="J5493" t="s">
        <v>6202</v>
      </c>
      <c r="K5493" t="s">
        <v>1092</v>
      </c>
      <c r="M5493">
        <v>8.01</v>
      </c>
      <c r="N5493">
        <v>266</v>
      </c>
      <c r="O5493" t="s">
        <v>5</v>
      </c>
      <c r="Q5493" t="s">
        <v>1989</v>
      </c>
      <c r="R5493" t="s">
        <v>6182</v>
      </c>
      <c r="S5493" t="s">
        <v>841</v>
      </c>
      <c r="T5493" t="s">
        <v>842</v>
      </c>
    </row>
    <row r="5494" spans="1:20" x14ac:dyDescent="0.25">
      <c r="A5494" t="s">
        <v>44</v>
      </c>
      <c r="B5494" t="s">
        <v>3</v>
      </c>
      <c r="C5494" t="s">
        <v>32</v>
      </c>
      <c r="D5494" t="s">
        <v>771</v>
      </c>
      <c r="E5494" t="s">
        <v>840</v>
      </c>
      <c r="F5494" t="s">
        <v>35</v>
      </c>
      <c r="G5494" t="s">
        <v>35</v>
      </c>
      <c r="H5494" t="s">
        <v>35</v>
      </c>
      <c r="J5494" t="s">
        <v>6202</v>
      </c>
      <c r="K5494" t="s">
        <v>1092</v>
      </c>
      <c r="M5494">
        <v>1</v>
      </c>
      <c r="N5494">
        <v>398</v>
      </c>
      <c r="O5494" t="s">
        <v>294</v>
      </c>
      <c r="Q5494" t="s">
        <v>4257</v>
      </c>
      <c r="R5494" t="s">
        <v>6182</v>
      </c>
      <c r="S5494" t="s">
        <v>841</v>
      </c>
      <c r="T5494" t="s">
        <v>842</v>
      </c>
    </row>
    <row r="5495" spans="1:20" x14ac:dyDescent="0.25">
      <c r="A5495" t="s">
        <v>30</v>
      </c>
      <c r="B5495" t="s">
        <v>31</v>
      </c>
      <c r="C5495" t="s">
        <v>32</v>
      </c>
      <c r="D5495" t="s">
        <v>771</v>
      </c>
      <c r="E5495" t="s">
        <v>840</v>
      </c>
      <c r="F5495" t="s">
        <v>35</v>
      </c>
      <c r="G5495" t="s">
        <v>35</v>
      </c>
      <c r="H5495" t="s">
        <v>35</v>
      </c>
      <c r="J5495" t="s">
        <v>6192</v>
      </c>
      <c r="K5495" t="s">
        <v>1092</v>
      </c>
      <c r="M5495">
        <v>0.45</v>
      </c>
      <c r="N5495">
        <v>91</v>
      </c>
      <c r="O5495" t="s">
        <v>106</v>
      </c>
      <c r="Q5495" t="s">
        <v>108</v>
      </c>
      <c r="R5495" t="s">
        <v>6182</v>
      </c>
      <c r="S5495" t="s">
        <v>841</v>
      </c>
      <c r="T5495" t="s">
        <v>842</v>
      </c>
    </row>
    <row r="5496" spans="1:20" x14ac:dyDescent="0.25">
      <c r="A5496" t="s">
        <v>44</v>
      </c>
      <c r="B5496" t="s">
        <v>3</v>
      </c>
      <c r="C5496" t="s">
        <v>32</v>
      </c>
      <c r="D5496" t="s">
        <v>771</v>
      </c>
      <c r="E5496" t="s">
        <v>861</v>
      </c>
      <c r="F5496" t="s">
        <v>35</v>
      </c>
      <c r="G5496" t="s">
        <v>35</v>
      </c>
      <c r="H5496" t="s">
        <v>35</v>
      </c>
      <c r="J5496" t="s">
        <v>6308</v>
      </c>
      <c r="K5496" t="s">
        <v>1092</v>
      </c>
      <c r="M5496">
        <v>0.2</v>
      </c>
      <c r="N5496">
        <v>229</v>
      </c>
      <c r="O5496" t="s">
        <v>5</v>
      </c>
      <c r="Q5496" t="s">
        <v>1140</v>
      </c>
      <c r="R5496" t="s">
        <v>6182</v>
      </c>
      <c r="S5496" t="s">
        <v>841</v>
      </c>
      <c r="T5496" t="s">
        <v>842</v>
      </c>
    </row>
    <row r="5497" spans="1:20" x14ac:dyDescent="0.25">
      <c r="A5497" t="s">
        <v>44</v>
      </c>
      <c r="B5497" t="s">
        <v>3</v>
      </c>
      <c r="C5497" t="s">
        <v>32</v>
      </c>
      <c r="D5497" t="s">
        <v>771</v>
      </c>
      <c r="E5497" t="s">
        <v>861</v>
      </c>
      <c r="F5497" t="s">
        <v>35</v>
      </c>
      <c r="G5497" t="s">
        <v>35</v>
      </c>
      <c r="H5497" t="s">
        <v>35</v>
      </c>
      <c r="J5497" t="s">
        <v>6308</v>
      </c>
      <c r="K5497" t="s">
        <v>1092</v>
      </c>
      <c r="M5497">
        <v>1</v>
      </c>
      <c r="N5497">
        <v>221</v>
      </c>
      <c r="O5497" t="s">
        <v>5</v>
      </c>
      <c r="Q5497" t="s">
        <v>1979</v>
      </c>
      <c r="R5497" t="s">
        <v>6182</v>
      </c>
      <c r="S5497" t="s">
        <v>841</v>
      </c>
      <c r="T5497" t="s">
        <v>842</v>
      </c>
    </row>
    <row r="5498" spans="1:20" x14ac:dyDescent="0.25">
      <c r="A5498" t="s">
        <v>30</v>
      </c>
      <c r="B5498" t="s">
        <v>31</v>
      </c>
      <c r="C5498" t="s">
        <v>32</v>
      </c>
      <c r="D5498" t="s">
        <v>771</v>
      </c>
      <c r="E5498" t="s">
        <v>861</v>
      </c>
      <c r="F5498" t="s">
        <v>35</v>
      </c>
      <c r="G5498" t="s">
        <v>35</v>
      </c>
      <c r="H5498" t="s">
        <v>35</v>
      </c>
      <c r="J5498" t="s">
        <v>6304</v>
      </c>
      <c r="K5498" t="s">
        <v>1092</v>
      </c>
      <c r="M5498">
        <v>14.04</v>
      </c>
      <c r="N5498">
        <v>38</v>
      </c>
      <c r="O5498" t="s">
        <v>52</v>
      </c>
      <c r="Q5498" t="s">
        <v>716</v>
      </c>
      <c r="R5498" t="s">
        <v>6048</v>
      </c>
      <c r="S5498" t="s">
        <v>833</v>
      </c>
      <c r="T5498" t="s">
        <v>834</v>
      </c>
    </row>
    <row r="5499" spans="1:20" x14ac:dyDescent="0.25">
      <c r="A5499" t="s">
        <v>30</v>
      </c>
      <c r="B5499" t="s">
        <v>31</v>
      </c>
      <c r="C5499" t="s">
        <v>32</v>
      </c>
      <c r="D5499" t="s">
        <v>771</v>
      </c>
      <c r="E5499" t="s">
        <v>861</v>
      </c>
      <c r="F5499" t="s">
        <v>35</v>
      </c>
      <c r="G5499" t="s">
        <v>35</v>
      </c>
      <c r="H5499" t="s">
        <v>35</v>
      </c>
      <c r="J5499" t="s">
        <v>6304</v>
      </c>
      <c r="K5499" t="s">
        <v>1092</v>
      </c>
      <c r="M5499">
        <v>3.7349999999999999</v>
      </c>
      <c r="N5499">
        <v>106</v>
      </c>
      <c r="O5499" t="s">
        <v>106</v>
      </c>
      <c r="Q5499" t="s">
        <v>6066</v>
      </c>
      <c r="R5499" t="s">
        <v>6048</v>
      </c>
      <c r="S5499" t="s">
        <v>833</v>
      </c>
      <c r="T5499" t="s">
        <v>834</v>
      </c>
    </row>
    <row r="5500" spans="1:20" x14ac:dyDescent="0.25">
      <c r="A5500" t="s">
        <v>30</v>
      </c>
      <c r="B5500" t="s">
        <v>31</v>
      </c>
      <c r="C5500" t="s">
        <v>32</v>
      </c>
      <c r="D5500" t="s">
        <v>771</v>
      </c>
      <c r="E5500" t="s">
        <v>6319</v>
      </c>
      <c r="F5500" t="s">
        <v>35</v>
      </c>
      <c r="G5500" t="s">
        <v>35</v>
      </c>
      <c r="H5500" t="s">
        <v>35</v>
      </c>
      <c r="J5500" t="s">
        <v>6338</v>
      </c>
      <c r="K5500" t="s">
        <v>1092</v>
      </c>
      <c r="M5500">
        <v>0.99</v>
      </c>
      <c r="N5500">
        <v>106</v>
      </c>
      <c r="O5500" t="s">
        <v>106</v>
      </c>
      <c r="Q5500" t="s">
        <v>6066</v>
      </c>
      <c r="R5500" t="s">
        <v>6048</v>
      </c>
      <c r="S5500" t="s">
        <v>833</v>
      </c>
      <c r="T5500" t="s">
        <v>834</v>
      </c>
    </row>
    <row r="5501" spans="1:20" x14ac:dyDescent="0.25">
      <c r="A5501" t="s">
        <v>59</v>
      </c>
      <c r="B5501" t="s">
        <v>31</v>
      </c>
      <c r="C5501" t="s">
        <v>32</v>
      </c>
      <c r="D5501" t="s">
        <v>771</v>
      </c>
      <c r="E5501" t="s">
        <v>861</v>
      </c>
      <c r="F5501" t="s">
        <v>35</v>
      </c>
      <c r="G5501" t="s">
        <v>35</v>
      </c>
      <c r="H5501" t="s">
        <v>35</v>
      </c>
      <c r="J5501" t="s">
        <v>6309</v>
      </c>
      <c r="K5501" t="s">
        <v>1092</v>
      </c>
      <c r="M5501">
        <v>6.3</v>
      </c>
      <c r="N5501">
        <v>36</v>
      </c>
      <c r="O5501" t="s">
        <v>52</v>
      </c>
      <c r="Q5501" t="s">
        <v>892</v>
      </c>
      <c r="R5501" t="s">
        <v>6048</v>
      </c>
      <c r="S5501" t="s">
        <v>833</v>
      </c>
      <c r="T5501" t="s">
        <v>834</v>
      </c>
    </row>
    <row r="5502" spans="1:20" x14ac:dyDescent="0.25">
      <c r="A5502" t="s">
        <v>44</v>
      </c>
      <c r="B5502" t="s">
        <v>51</v>
      </c>
      <c r="C5502" t="s">
        <v>32</v>
      </c>
      <c r="D5502" t="s">
        <v>771</v>
      </c>
      <c r="E5502" t="s">
        <v>783</v>
      </c>
      <c r="F5502" t="s">
        <v>35</v>
      </c>
      <c r="G5502" t="s">
        <v>35</v>
      </c>
      <c r="H5502" t="s">
        <v>35</v>
      </c>
      <c r="J5502" t="s">
        <v>6047</v>
      </c>
      <c r="K5502" t="s">
        <v>1092</v>
      </c>
      <c r="M5502">
        <v>3.5</v>
      </c>
      <c r="N5502">
        <v>66</v>
      </c>
      <c r="O5502" t="s">
        <v>61</v>
      </c>
      <c r="Q5502" t="s">
        <v>552</v>
      </c>
      <c r="R5502" t="s">
        <v>6048</v>
      </c>
      <c r="S5502" t="s">
        <v>833</v>
      </c>
      <c r="T5502" t="s">
        <v>834</v>
      </c>
    </row>
    <row r="5503" spans="1:20" x14ac:dyDescent="0.25">
      <c r="A5503" t="s">
        <v>30</v>
      </c>
      <c r="B5503" t="s">
        <v>31</v>
      </c>
      <c r="C5503" t="s">
        <v>32</v>
      </c>
      <c r="D5503" t="s">
        <v>771</v>
      </c>
      <c r="E5503" t="s">
        <v>861</v>
      </c>
      <c r="F5503" t="s">
        <v>35</v>
      </c>
      <c r="G5503" t="s">
        <v>35</v>
      </c>
      <c r="H5503" t="s">
        <v>35</v>
      </c>
      <c r="J5503" t="s">
        <v>6306</v>
      </c>
      <c r="K5503" t="s">
        <v>1092</v>
      </c>
      <c r="M5503">
        <v>3.7349999999999999</v>
      </c>
      <c r="N5503">
        <v>106</v>
      </c>
      <c r="O5503" t="s">
        <v>106</v>
      </c>
      <c r="Q5503" t="s">
        <v>6066</v>
      </c>
      <c r="R5503" t="s">
        <v>6048</v>
      </c>
      <c r="S5503" t="s">
        <v>833</v>
      </c>
      <c r="T5503" t="s">
        <v>834</v>
      </c>
    </row>
    <row r="5504" spans="1:20" x14ac:dyDescent="0.25">
      <c r="A5504" t="s">
        <v>59</v>
      </c>
      <c r="B5504" t="s">
        <v>31</v>
      </c>
      <c r="C5504" t="s">
        <v>32</v>
      </c>
      <c r="D5504" t="s">
        <v>771</v>
      </c>
      <c r="E5504" t="s">
        <v>783</v>
      </c>
      <c r="F5504" t="s">
        <v>35</v>
      </c>
      <c r="G5504" t="s">
        <v>35</v>
      </c>
      <c r="H5504" t="s">
        <v>35</v>
      </c>
      <c r="J5504" t="s">
        <v>6086</v>
      </c>
      <c r="K5504" t="s">
        <v>1092</v>
      </c>
      <c r="M5504">
        <v>1.44</v>
      </c>
      <c r="N5504">
        <v>146</v>
      </c>
      <c r="O5504" t="s">
        <v>38</v>
      </c>
      <c r="Q5504" t="s">
        <v>569</v>
      </c>
      <c r="R5504" t="s">
        <v>6048</v>
      </c>
      <c r="S5504" t="s">
        <v>833</v>
      </c>
      <c r="T5504" t="s">
        <v>834</v>
      </c>
    </row>
    <row r="5505" spans="1:20" x14ac:dyDescent="0.25">
      <c r="A5505" t="s">
        <v>30</v>
      </c>
      <c r="B5505" t="s">
        <v>31</v>
      </c>
      <c r="C5505" t="s">
        <v>32</v>
      </c>
      <c r="D5505" t="s">
        <v>771</v>
      </c>
      <c r="E5505" t="s">
        <v>783</v>
      </c>
      <c r="F5505" t="s">
        <v>35</v>
      </c>
      <c r="G5505" t="s">
        <v>35</v>
      </c>
      <c r="H5505" t="s">
        <v>35</v>
      </c>
      <c r="J5505" t="s">
        <v>6086</v>
      </c>
      <c r="K5505" t="s">
        <v>1092</v>
      </c>
      <c r="M5505">
        <v>1.0349999999999999</v>
      </c>
      <c r="N5505">
        <v>106</v>
      </c>
      <c r="O5505" t="s">
        <v>106</v>
      </c>
      <c r="Q5505" t="s">
        <v>6066</v>
      </c>
      <c r="R5505" t="s">
        <v>6048</v>
      </c>
      <c r="S5505" t="s">
        <v>833</v>
      </c>
      <c r="T5505" t="s">
        <v>834</v>
      </c>
    </row>
    <row r="5506" spans="1:20" x14ac:dyDescent="0.25">
      <c r="A5506" t="s">
        <v>59</v>
      </c>
      <c r="B5506" t="s">
        <v>31</v>
      </c>
      <c r="C5506" t="s">
        <v>32</v>
      </c>
      <c r="D5506" t="s">
        <v>771</v>
      </c>
      <c r="E5506" t="s">
        <v>861</v>
      </c>
      <c r="F5506" t="s">
        <v>35</v>
      </c>
      <c r="G5506" t="s">
        <v>35</v>
      </c>
      <c r="H5506" t="s">
        <v>35</v>
      </c>
      <c r="J5506" t="s">
        <v>6311</v>
      </c>
      <c r="K5506" t="s">
        <v>1092</v>
      </c>
      <c r="M5506">
        <v>7.02</v>
      </c>
      <c r="N5506">
        <v>74</v>
      </c>
      <c r="O5506" t="s">
        <v>61</v>
      </c>
      <c r="Q5506" t="s">
        <v>527</v>
      </c>
      <c r="R5506" t="s">
        <v>6048</v>
      </c>
      <c r="S5506" t="s">
        <v>833</v>
      </c>
      <c r="T5506" t="s">
        <v>834</v>
      </c>
    </row>
    <row r="5507" spans="1:20" x14ac:dyDescent="0.25">
      <c r="A5507" t="s">
        <v>30</v>
      </c>
      <c r="B5507" t="s">
        <v>31</v>
      </c>
      <c r="C5507" t="s">
        <v>32</v>
      </c>
      <c r="D5507" t="s">
        <v>771</v>
      </c>
      <c r="E5507" t="s">
        <v>783</v>
      </c>
      <c r="F5507" t="s">
        <v>35</v>
      </c>
      <c r="G5507" t="s">
        <v>35</v>
      </c>
      <c r="H5507" t="s">
        <v>35</v>
      </c>
      <c r="J5507" t="s">
        <v>6065</v>
      </c>
      <c r="K5507" t="s">
        <v>1092</v>
      </c>
      <c r="M5507">
        <v>0.27</v>
      </c>
      <c r="N5507">
        <v>106</v>
      </c>
      <c r="O5507" t="s">
        <v>106</v>
      </c>
      <c r="Q5507" t="s">
        <v>6066</v>
      </c>
      <c r="R5507" t="s">
        <v>6048</v>
      </c>
      <c r="S5507" t="s">
        <v>833</v>
      </c>
      <c r="T5507" t="s">
        <v>834</v>
      </c>
    </row>
    <row r="5508" spans="1:20" x14ac:dyDescent="0.25">
      <c r="A5508" t="s">
        <v>30</v>
      </c>
      <c r="B5508" t="s">
        <v>31</v>
      </c>
      <c r="C5508" t="s">
        <v>32</v>
      </c>
      <c r="D5508" t="s">
        <v>771</v>
      </c>
      <c r="E5508" t="s">
        <v>861</v>
      </c>
      <c r="F5508" t="s">
        <v>35</v>
      </c>
      <c r="G5508" t="s">
        <v>35</v>
      </c>
      <c r="H5508" t="s">
        <v>35</v>
      </c>
      <c r="J5508" t="s">
        <v>6315</v>
      </c>
      <c r="K5508" t="s">
        <v>1092</v>
      </c>
      <c r="M5508">
        <v>4.59</v>
      </c>
      <c r="N5508">
        <v>38</v>
      </c>
      <c r="O5508" t="s">
        <v>52</v>
      </c>
      <c r="Q5508" t="s">
        <v>716</v>
      </c>
      <c r="R5508" t="s">
        <v>6048</v>
      </c>
      <c r="S5508" t="s">
        <v>833</v>
      </c>
      <c r="T5508" t="s">
        <v>834</v>
      </c>
    </row>
    <row r="5509" spans="1:20" x14ac:dyDescent="0.25">
      <c r="A5509" t="s">
        <v>30</v>
      </c>
      <c r="B5509" t="s">
        <v>31</v>
      </c>
      <c r="C5509" t="s">
        <v>32</v>
      </c>
      <c r="D5509" t="s">
        <v>771</v>
      </c>
      <c r="E5509" t="s">
        <v>861</v>
      </c>
      <c r="F5509" t="s">
        <v>35</v>
      </c>
      <c r="G5509" t="s">
        <v>35</v>
      </c>
      <c r="H5509" t="s">
        <v>35</v>
      </c>
      <c r="J5509" t="s">
        <v>6307</v>
      </c>
      <c r="K5509" t="s">
        <v>1092</v>
      </c>
      <c r="M5509">
        <v>3.1949999999999998</v>
      </c>
      <c r="N5509">
        <v>38</v>
      </c>
      <c r="O5509" t="s">
        <v>52</v>
      </c>
      <c r="Q5509" t="s">
        <v>716</v>
      </c>
      <c r="R5509" t="s">
        <v>6048</v>
      </c>
      <c r="S5509" t="s">
        <v>833</v>
      </c>
      <c r="T5509" t="s">
        <v>834</v>
      </c>
    </row>
    <row r="5510" spans="1:20" x14ac:dyDescent="0.25">
      <c r="A5510" t="s">
        <v>59</v>
      </c>
      <c r="B5510" t="s">
        <v>60</v>
      </c>
      <c r="C5510" t="s">
        <v>32</v>
      </c>
      <c r="D5510" t="s">
        <v>771</v>
      </c>
      <c r="E5510" t="s">
        <v>6214</v>
      </c>
      <c r="F5510" t="s">
        <v>35</v>
      </c>
      <c r="G5510" t="s">
        <v>35</v>
      </c>
      <c r="H5510" t="s">
        <v>35</v>
      </c>
      <c r="J5510" t="s">
        <v>6226</v>
      </c>
      <c r="K5510" t="s">
        <v>1092</v>
      </c>
      <c r="M5510">
        <v>6.05</v>
      </c>
      <c r="N5510">
        <v>69</v>
      </c>
      <c r="O5510" t="s">
        <v>61</v>
      </c>
      <c r="Q5510" t="s">
        <v>234</v>
      </c>
      <c r="R5510" t="s">
        <v>6227</v>
      </c>
      <c r="S5510" t="s">
        <v>853</v>
      </c>
      <c r="T5510" t="s">
        <v>854</v>
      </c>
    </row>
    <row r="5511" spans="1:20" x14ac:dyDescent="0.25">
      <c r="A5511" t="s">
        <v>59</v>
      </c>
      <c r="B5511" t="s">
        <v>60</v>
      </c>
      <c r="C5511" t="s">
        <v>32</v>
      </c>
      <c r="D5511" t="s">
        <v>771</v>
      </c>
      <c r="E5511" t="s">
        <v>6214</v>
      </c>
      <c r="F5511" t="s">
        <v>35</v>
      </c>
      <c r="G5511" t="s">
        <v>35</v>
      </c>
      <c r="H5511" t="s">
        <v>35</v>
      </c>
      <c r="J5511" t="s">
        <v>6252</v>
      </c>
      <c r="K5511" t="s">
        <v>1092</v>
      </c>
      <c r="M5511">
        <v>0.75</v>
      </c>
      <c r="N5511">
        <v>246</v>
      </c>
      <c r="O5511" t="s">
        <v>5</v>
      </c>
      <c r="Q5511" t="s">
        <v>1502</v>
      </c>
      <c r="R5511" t="s">
        <v>6227</v>
      </c>
      <c r="S5511" t="s">
        <v>853</v>
      </c>
      <c r="T5511" t="s">
        <v>854</v>
      </c>
    </row>
    <row r="5512" spans="1:20" x14ac:dyDescent="0.25">
      <c r="A5512" t="s">
        <v>59</v>
      </c>
      <c r="B5512" t="s">
        <v>31</v>
      </c>
      <c r="C5512" t="s">
        <v>32</v>
      </c>
      <c r="D5512" t="s">
        <v>771</v>
      </c>
      <c r="E5512" t="s">
        <v>6214</v>
      </c>
      <c r="F5512" t="s">
        <v>35</v>
      </c>
      <c r="G5512" t="s">
        <v>35</v>
      </c>
      <c r="H5512" t="s">
        <v>35</v>
      </c>
      <c r="J5512" t="s">
        <v>4661</v>
      </c>
      <c r="K5512" t="s">
        <v>1092</v>
      </c>
      <c r="M5512">
        <v>4.5</v>
      </c>
      <c r="N5512">
        <v>29</v>
      </c>
      <c r="O5512" t="s">
        <v>46</v>
      </c>
      <c r="Q5512" t="s">
        <v>2005</v>
      </c>
      <c r="R5512" t="s">
        <v>6227</v>
      </c>
      <c r="S5512" t="s">
        <v>853</v>
      </c>
      <c r="T5512" t="s">
        <v>854</v>
      </c>
    </row>
    <row r="5513" spans="1:20" x14ac:dyDescent="0.25">
      <c r="A5513" t="s">
        <v>59</v>
      </c>
      <c r="B5513" t="s">
        <v>60</v>
      </c>
      <c r="C5513" t="s">
        <v>32</v>
      </c>
      <c r="D5513" t="s">
        <v>771</v>
      </c>
      <c r="E5513" t="s">
        <v>845</v>
      </c>
      <c r="F5513" t="s">
        <v>35</v>
      </c>
      <c r="G5513" t="s">
        <v>35</v>
      </c>
      <c r="H5513" t="s">
        <v>35</v>
      </c>
      <c r="J5513" t="s">
        <v>6285</v>
      </c>
      <c r="K5513" t="s">
        <v>1092</v>
      </c>
      <c r="M5513">
        <v>1.5</v>
      </c>
      <c r="N5513">
        <v>283</v>
      </c>
      <c r="O5513" t="s">
        <v>5</v>
      </c>
      <c r="Q5513" t="s">
        <v>4463</v>
      </c>
      <c r="R5513" t="s">
        <v>6227</v>
      </c>
      <c r="S5513" t="s">
        <v>853</v>
      </c>
      <c r="T5513" t="s">
        <v>854</v>
      </c>
    </row>
    <row r="5514" spans="1:20" x14ac:dyDescent="0.25">
      <c r="A5514" t="s">
        <v>59</v>
      </c>
      <c r="B5514" t="s">
        <v>31</v>
      </c>
      <c r="C5514" t="s">
        <v>32</v>
      </c>
      <c r="D5514" t="s">
        <v>771</v>
      </c>
      <c r="E5514" t="s">
        <v>6214</v>
      </c>
      <c r="F5514" t="s">
        <v>35</v>
      </c>
      <c r="G5514" t="s">
        <v>35</v>
      </c>
      <c r="H5514" t="s">
        <v>35</v>
      </c>
      <c r="J5514" t="s">
        <v>6237</v>
      </c>
      <c r="K5514" t="s">
        <v>1092</v>
      </c>
      <c r="M5514">
        <v>7.65</v>
      </c>
      <c r="N5514">
        <v>29</v>
      </c>
      <c r="O5514" t="s">
        <v>46</v>
      </c>
      <c r="Q5514" t="s">
        <v>2005</v>
      </c>
      <c r="R5514" t="s">
        <v>6227</v>
      </c>
      <c r="S5514" t="s">
        <v>853</v>
      </c>
      <c r="T5514" t="s">
        <v>854</v>
      </c>
    </row>
    <row r="5515" spans="1:20" x14ac:dyDescent="0.25">
      <c r="A5515" t="s">
        <v>30</v>
      </c>
      <c r="B5515" t="s">
        <v>31</v>
      </c>
      <c r="C5515" t="s">
        <v>32</v>
      </c>
      <c r="D5515" t="s">
        <v>771</v>
      </c>
      <c r="E5515" t="s">
        <v>779</v>
      </c>
      <c r="F5515" t="s">
        <v>35</v>
      </c>
      <c r="G5515" t="s">
        <v>35</v>
      </c>
      <c r="H5515" t="s">
        <v>35</v>
      </c>
      <c r="J5515" t="s">
        <v>6017</v>
      </c>
      <c r="K5515" t="s">
        <v>1092</v>
      </c>
      <c r="M5515">
        <v>2.0699999999999998</v>
      </c>
      <c r="N5515">
        <v>38</v>
      </c>
      <c r="O5515" t="s">
        <v>52</v>
      </c>
      <c r="Q5515" t="s">
        <v>716</v>
      </c>
      <c r="R5515" t="s">
        <v>6011</v>
      </c>
      <c r="S5515" t="s">
        <v>780</v>
      </c>
      <c r="T5515" t="s">
        <v>781</v>
      </c>
    </row>
    <row r="5516" spans="1:20" x14ac:dyDescent="0.25">
      <c r="A5516" t="s">
        <v>30</v>
      </c>
      <c r="B5516" t="s">
        <v>31</v>
      </c>
      <c r="C5516" t="s">
        <v>32</v>
      </c>
      <c r="D5516" t="s">
        <v>771</v>
      </c>
      <c r="E5516" t="s">
        <v>845</v>
      </c>
      <c r="F5516" t="s">
        <v>35</v>
      </c>
      <c r="G5516" t="s">
        <v>35</v>
      </c>
      <c r="H5516" t="s">
        <v>35</v>
      </c>
      <c r="J5516" t="s">
        <v>6279</v>
      </c>
      <c r="K5516" t="s">
        <v>1092</v>
      </c>
      <c r="M5516">
        <v>7.02</v>
      </c>
      <c r="N5516">
        <v>101</v>
      </c>
      <c r="O5516" t="s">
        <v>106</v>
      </c>
      <c r="Q5516" t="s">
        <v>1450</v>
      </c>
      <c r="R5516" t="s">
        <v>6011</v>
      </c>
      <c r="S5516" t="s">
        <v>780</v>
      </c>
      <c r="T5516" t="s">
        <v>781</v>
      </c>
    </row>
    <row r="5517" spans="1:20" x14ac:dyDescent="0.25">
      <c r="A5517" t="s">
        <v>30</v>
      </c>
      <c r="B5517" t="s">
        <v>31</v>
      </c>
      <c r="C5517" t="s">
        <v>32</v>
      </c>
      <c r="D5517" t="s">
        <v>771</v>
      </c>
      <c r="E5517" t="s">
        <v>783</v>
      </c>
      <c r="F5517" t="s">
        <v>35</v>
      </c>
      <c r="G5517" t="s">
        <v>35</v>
      </c>
      <c r="H5517" t="s">
        <v>35</v>
      </c>
      <c r="J5517" t="s">
        <v>6088</v>
      </c>
      <c r="K5517" t="s">
        <v>1092</v>
      </c>
      <c r="M5517">
        <v>3.0150000000000001</v>
      </c>
      <c r="N5517">
        <v>38</v>
      </c>
      <c r="O5517" t="s">
        <v>52</v>
      </c>
      <c r="Q5517" t="s">
        <v>716</v>
      </c>
      <c r="R5517" t="s">
        <v>6011</v>
      </c>
      <c r="S5517" t="s">
        <v>780</v>
      </c>
      <c r="T5517" t="s">
        <v>781</v>
      </c>
    </row>
    <row r="5518" spans="1:20" x14ac:dyDescent="0.25">
      <c r="A5518" t="s">
        <v>30</v>
      </c>
      <c r="B5518" t="s">
        <v>31</v>
      </c>
      <c r="C5518" t="s">
        <v>32</v>
      </c>
      <c r="D5518" t="s">
        <v>771</v>
      </c>
      <c r="E5518" t="s">
        <v>779</v>
      </c>
      <c r="F5518" t="s">
        <v>35</v>
      </c>
      <c r="G5518" t="s">
        <v>35</v>
      </c>
      <c r="H5518" t="s">
        <v>35</v>
      </c>
      <c r="J5518" t="s">
        <v>6010</v>
      </c>
      <c r="K5518" t="s">
        <v>1092</v>
      </c>
      <c r="M5518">
        <v>1.8</v>
      </c>
      <c r="N5518">
        <v>10</v>
      </c>
      <c r="O5518" t="s">
        <v>46</v>
      </c>
      <c r="Q5518" t="s">
        <v>1302</v>
      </c>
      <c r="R5518" t="s">
        <v>6011</v>
      </c>
      <c r="S5518" t="s">
        <v>780</v>
      </c>
      <c r="T5518" t="s">
        <v>781</v>
      </c>
    </row>
    <row r="5519" spans="1:20" x14ac:dyDescent="0.25">
      <c r="A5519" t="s">
        <v>30</v>
      </c>
      <c r="B5519" t="s">
        <v>31</v>
      </c>
      <c r="C5519" t="s">
        <v>32</v>
      </c>
      <c r="D5519" t="s">
        <v>771</v>
      </c>
      <c r="E5519" t="s">
        <v>779</v>
      </c>
      <c r="F5519" t="s">
        <v>35</v>
      </c>
      <c r="G5519" t="s">
        <v>35</v>
      </c>
      <c r="H5519" t="s">
        <v>35</v>
      </c>
      <c r="J5519" t="s">
        <v>6012</v>
      </c>
      <c r="K5519" t="s">
        <v>1092</v>
      </c>
      <c r="M5519">
        <v>4.1849999999999996</v>
      </c>
      <c r="N5519">
        <v>38</v>
      </c>
      <c r="O5519" t="s">
        <v>52</v>
      </c>
      <c r="Q5519" t="s">
        <v>716</v>
      </c>
      <c r="R5519" t="s">
        <v>6011</v>
      </c>
      <c r="S5519" t="s">
        <v>780</v>
      </c>
      <c r="T5519" t="s">
        <v>781</v>
      </c>
    </row>
    <row r="5520" spans="1:20" x14ac:dyDescent="0.25">
      <c r="A5520" t="s">
        <v>30</v>
      </c>
      <c r="B5520" t="s">
        <v>31</v>
      </c>
      <c r="C5520" t="s">
        <v>32</v>
      </c>
      <c r="D5520" t="s">
        <v>771</v>
      </c>
      <c r="E5520" t="s">
        <v>875</v>
      </c>
      <c r="F5520" t="s">
        <v>35</v>
      </c>
      <c r="G5520" t="s">
        <v>35</v>
      </c>
      <c r="H5520" t="s">
        <v>35</v>
      </c>
      <c r="J5520" t="s">
        <v>6451</v>
      </c>
      <c r="K5520" t="s">
        <v>1092</v>
      </c>
      <c r="M5520">
        <v>0.9</v>
      </c>
      <c r="N5520">
        <v>227</v>
      </c>
      <c r="O5520" t="s">
        <v>5</v>
      </c>
      <c r="Q5520" t="s">
        <v>1780</v>
      </c>
      <c r="R5520" t="s">
        <v>6011</v>
      </c>
      <c r="S5520" t="s">
        <v>780</v>
      </c>
      <c r="T5520" t="s">
        <v>781</v>
      </c>
    </row>
    <row r="5521" spans="1:20" x14ac:dyDescent="0.25">
      <c r="A5521" t="s">
        <v>30</v>
      </c>
      <c r="B5521" t="s">
        <v>31</v>
      </c>
      <c r="C5521" t="s">
        <v>32</v>
      </c>
      <c r="D5521" t="s">
        <v>771</v>
      </c>
      <c r="E5521" t="s">
        <v>783</v>
      </c>
      <c r="F5521" t="s">
        <v>35</v>
      </c>
      <c r="G5521" t="s">
        <v>35</v>
      </c>
      <c r="H5521" t="s">
        <v>35</v>
      </c>
      <c r="J5521" t="s">
        <v>6042</v>
      </c>
      <c r="K5521" t="s">
        <v>1092</v>
      </c>
      <c r="M5521">
        <v>0.22500000000000001</v>
      </c>
      <c r="N5521">
        <v>38</v>
      </c>
      <c r="O5521" t="s">
        <v>52</v>
      </c>
      <c r="Q5521" t="s">
        <v>716</v>
      </c>
      <c r="R5521" t="s">
        <v>6011</v>
      </c>
      <c r="S5521" t="s">
        <v>780</v>
      </c>
      <c r="T5521" t="s">
        <v>781</v>
      </c>
    </row>
    <row r="5522" spans="1:20" x14ac:dyDescent="0.25">
      <c r="A5522" t="s">
        <v>30</v>
      </c>
      <c r="B5522" t="s">
        <v>31</v>
      </c>
      <c r="C5522" t="s">
        <v>32</v>
      </c>
      <c r="D5522" t="s">
        <v>771</v>
      </c>
      <c r="E5522" t="s">
        <v>875</v>
      </c>
      <c r="F5522" t="s">
        <v>35</v>
      </c>
      <c r="G5522" t="s">
        <v>35</v>
      </c>
      <c r="H5522" t="s">
        <v>35</v>
      </c>
      <c r="J5522" t="s">
        <v>6463</v>
      </c>
      <c r="K5522" t="s">
        <v>1092</v>
      </c>
      <c r="M5522">
        <v>8.2799999999999994</v>
      </c>
      <c r="N5522">
        <v>101</v>
      </c>
      <c r="O5522" t="s">
        <v>106</v>
      </c>
      <c r="Q5522" t="s">
        <v>1450</v>
      </c>
      <c r="R5522" t="s">
        <v>6011</v>
      </c>
      <c r="S5522" t="s">
        <v>780</v>
      </c>
      <c r="T5522" t="s">
        <v>781</v>
      </c>
    </row>
    <row r="5523" spans="1:20" x14ac:dyDescent="0.25">
      <c r="A5523" t="s">
        <v>30</v>
      </c>
      <c r="B5523" t="s">
        <v>31</v>
      </c>
      <c r="C5523" t="s">
        <v>32</v>
      </c>
      <c r="D5523" t="s">
        <v>771</v>
      </c>
      <c r="E5523" t="s">
        <v>779</v>
      </c>
      <c r="F5523" t="s">
        <v>35</v>
      </c>
      <c r="G5523" t="s">
        <v>35</v>
      </c>
      <c r="H5523" t="s">
        <v>35</v>
      </c>
      <c r="J5523" t="s">
        <v>6015</v>
      </c>
      <c r="K5523" t="s">
        <v>1092</v>
      </c>
      <c r="M5523">
        <v>0.315</v>
      </c>
      <c r="N5523">
        <v>603</v>
      </c>
      <c r="O5523" t="s">
        <v>575</v>
      </c>
      <c r="Q5523" t="s">
        <v>5921</v>
      </c>
      <c r="R5523" t="s">
        <v>6011</v>
      </c>
      <c r="S5523" t="s">
        <v>780</v>
      </c>
      <c r="T5523" t="s">
        <v>781</v>
      </c>
    </row>
    <row r="5524" spans="1:20" x14ac:dyDescent="0.25">
      <c r="A5524" t="s">
        <v>30</v>
      </c>
      <c r="B5524" t="s">
        <v>31</v>
      </c>
      <c r="C5524" t="s">
        <v>32</v>
      </c>
      <c r="D5524" t="s">
        <v>771</v>
      </c>
      <c r="E5524" t="s">
        <v>871</v>
      </c>
      <c r="F5524" t="s">
        <v>35</v>
      </c>
      <c r="G5524" t="s">
        <v>35</v>
      </c>
      <c r="H5524" t="s">
        <v>35</v>
      </c>
      <c r="J5524" t="s">
        <v>6423</v>
      </c>
      <c r="K5524" t="s">
        <v>1092</v>
      </c>
      <c r="M5524">
        <v>0.13500000000000001</v>
      </c>
      <c r="N5524">
        <v>227</v>
      </c>
      <c r="O5524" t="s">
        <v>5</v>
      </c>
      <c r="Q5524" t="s">
        <v>1780</v>
      </c>
      <c r="R5524" t="s">
        <v>6011</v>
      </c>
      <c r="S5524" t="s">
        <v>780</v>
      </c>
      <c r="T5524" t="s">
        <v>781</v>
      </c>
    </row>
    <row r="5525" spans="1:20" x14ac:dyDescent="0.25">
      <c r="A5525" t="s">
        <v>59</v>
      </c>
      <c r="B5525" t="s">
        <v>31</v>
      </c>
      <c r="C5525" t="s">
        <v>32</v>
      </c>
      <c r="D5525" t="s">
        <v>771</v>
      </c>
      <c r="E5525" t="s">
        <v>783</v>
      </c>
      <c r="F5525" t="s">
        <v>35</v>
      </c>
      <c r="G5525" t="s">
        <v>35</v>
      </c>
      <c r="H5525" t="s">
        <v>35</v>
      </c>
      <c r="J5525" t="s">
        <v>6065</v>
      </c>
      <c r="K5525" t="s">
        <v>1092</v>
      </c>
      <c r="M5525">
        <v>2.5649999999999999</v>
      </c>
      <c r="N5525">
        <v>75</v>
      </c>
      <c r="O5525" t="s">
        <v>61</v>
      </c>
      <c r="Q5525" t="s">
        <v>447</v>
      </c>
      <c r="R5525" t="s">
        <v>6011</v>
      </c>
      <c r="S5525" t="s">
        <v>780</v>
      </c>
      <c r="T5525" t="s">
        <v>781</v>
      </c>
    </row>
    <row r="5526" spans="1:20" x14ac:dyDescent="0.25">
      <c r="A5526" t="s">
        <v>30</v>
      </c>
      <c r="B5526" t="s">
        <v>31</v>
      </c>
      <c r="C5526" t="s">
        <v>32</v>
      </c>
      <c r="D5526" t="s">
        <v>771</v>
      </c>
      <c r="E5526" t="s">
        <v>910</v>
      </c>
      <c r="F5526" t="s">
        <v>35</v>
      </c>
      <c r="G5526" t="s">
        <v>35</v>
      </c>
      <c r="H5526" t="s">
        <v>35</v>
      </c>
      <c r="J5526" t="s">
        <v>6607</v>
      </c>
      <c r="K5526" t="s">
        <v>1092</v>
      </c>
      <c r="M5526">
        <v>0.9</v>
      </c>
      <c r="N5526">
        <v>26</v>
      </c>
      <c r="O5526" t="s">
        <v>46</v>
      </c>
      <c r="Q5526" t="s">
        <v>137</v>
      </c>
      <c r="R5526" t="s">
        <v>6020</v>
      </c>
      <c r="S5526" t="s">
        <v>921</v>
      </c>
      <c r="T5526" t="s">
        <v>922</v>
      </c>
    </row>
    <row r="5527" spans="1:20" x14ac:dyDescent="0.25">
      <c r="A5527" t="s">
        <v>30</v>
      </c>
      <c r="B5527" t="s">
        <v>31</v>
      </c>
      <c r="C5527" t="s">
        <v>32</v>
      </c>
      <c r="D5527" t="s">
        <v>771</v>
      </c>
      <c r="E5527" t="s">
        <v>779</v>
      </c>
      <c r="F5527" t="s">
        <v>35</v>
      </c>
      <c r="G5527" t="s">
        <v>35</v>
      </c>
      <c r="H5527" t="s">
        <v>35</v>
      </c>
      <c r="J5527" t="s">
        <v>6019</v>
      </c>
      <c r="K5527" t="s">
        <v>1092</v>
      </c>
      <c r="M5527">
        <v>7.29</v>
      </c>
      <c r="N5527">
        <v>39</v>
      </c>
      <c r="O5527" t="s">
        <v>52</v>
      </c>
      <c r="Q5527" t="s">
        <v>493</v>
      </c>
      <c r="R5527" t="s">
        <v>6020</v>
      </c>
      <c r="S5527" t="s">
        <v>921</v>
      </c>
      <c r="T5527" t="s">
        <v>922</v>
      </c>
    </row>
    <row r="5528" spans="1:20" x14ac:dyDescent="0.25">
      <c r="A5528" t="s">
        <v>30</v>
      </c>
      <c r="B5528" t="s">
        <v>31</v>
      </c>
      <c r="C5528" t="s">
        <v>32</v>
      </c>
      <c r="D5528" t="s">
        <v>771</v>
      </c>
      <c r="E5528" t="s">
        <v>910</v>
      </c>
      <c r="F5528" t="s">
        <v>35</v>
      </c>
      <c r="G5528" t="s">
        <v>35</v>
      </c>
      <c r="H5528" t="s">
        <v>35</v>
      </c>
      <c r="J5528" t="s">
        <v>6588</v>
      </c>
      <c r="K5528" t="s">
        <v>1092</v>
      </c>
      <c r="M5528">
        <v>4.4999999999999998E-2</v>
      </c>
      <c r="N5528">
        <v>39</v>
      </c>
      <c r="O5528" t="s">
        <v>52</v>
      </c>
      <c r="Q5528" t="s">
        <v>493</v>
      </c>
      <c r="R5528" t="s">
        <v>6020</v>
      </c>
      <c r="S5528" t="s">
        <v>921</v>
      </c>
      <c r="T5528" t="s">
        <v>922</v>
      </c>
    </row>
    <row r="5529" spans="1:20" x14ac:dyDescent="0.25">
      <c r="A5529" t="s">
        <v>44</v>
      </c>
      <c r="B5529" t="s">
        <v>51</v>
      </c>
      <c r="C5529" t="s">
        <v>32</v>
      </c>
      <c r="D5529" t="s">
        <v>771</v>
      </c>
      <c r="E5529" t="s">
        <v>910</v>
      </c>
      <c r="F5529" t="s">
        <v>35</v>
      </c>
      <c r="G5529" t="s">
        <v>35</v>
      </c>
      <c r="H5529" t="s">
        <v>35</v>
      </c>
      <c r="J5529" t="s">
        <v>6588</v>
      </c>
      <c r="K5529" t="s">
        <v>1092</v>
      </c>
      <c r="M5529">
        <v>0.5</v>
      </c>
      <c r="N5529">
        <v>255</v>
      </c>
      <c r="O5529" t="s">
        <v>5</v>
      </c>
      <c r="Q5529" t="s">
        <v>264</v>
      </c>
      <c r="R5529" t="s">
        <v>6020</v>
      </c>
      <c r="S5529" t="s">
        <v>921</v>
      </c>
      <c r="T5529" t="s">
        <v>922</v>
      </c>
    </row>
    <row r="5530" spans="1:20" x14ac:dyDescent="0.25">
      <c r="A5530" t="s">
        <v>59</v>
      </c>
      <c r="B5530" t="s">
        <v>31</v>
      </c>
      <c r="C5530" t="s">
        <v>32</v>
      </c>
      <c r="D5530" t="s">
        <v>771</v>
      </c>
      <c r="E5530" t="s">
        <v>910</v>
      </c>
      <c r="F5530" t="s">
        <v>35</v>
      </c>
      <c r="G5530" t="s">
        <v>35</v>
      </c>
      <c r="H5530" t="s">
        <v>35</v>
      </c>
      <c r="J5530" t="s">
        <v>6595</v>
      </c>
      <c r="K5530" t="s">
        <v>1092</v>
      </c>
      <c r="M5530">
        <v>1.71</v>
      </c>
      <c r="N5530">
        <v>37</v>
      </c>
      <c r="O5530" t="s">
        <v>52</v>
      </c>
      <c r="Q5530" t="s">
        <v>192</v>
      </c>
      <c r="R5530" t="s">
        <v>6020</v>
      </c>
      <c r="S5530" t="s">
        <v>921</v>
      </c>
      <c r="T5530" t="s">
        <v>922</v>
      </c>
    </row>
    <row r="5531" spans="1:20" x14ac:dyDescent="0.25">
      <c r="A5531" t="s">
        <v>30</v>
      </c>
      <c r="B5531" t="s">
        <v>31</v>
      </c>
      <c r="C5531" t="s">
        <v>32</v>
      </c>
      <c r="D5531" t="s">
        <v>771</v>
      </c>
      <c r="E5531" t="s">
        <v>910</v>
      </c>
      <c r="F5531" t="s">
        <v>35</v>
      </c>
      <c r="G5531" t="s">
        <v>35</v>
      </c>
      <c r="H5531" t="s">
        <v>35</v>
      </c>
      <c r="J5531" t="s">
        <v>6595</v>
      </c>
      <c r="K5531" t="s">
        <v>1092</v>
      </c>
      <c r="M5531">
        <v>0.72</v>
      </c>
      <c r="N5531">
        <v>39</v>
      </c>
      <c r="O5531" t="s">
        <v>52</v>
      </c>
      <c r="Q5531" t="s">
        <v>493</v>
      </c>
      <c r="R5531" t="s">
        <v>6020</v>
      </c>
      <c r="S5531" t="s">
        <v>921</v>
      </c>
      <c r="T5531" t="s">
        <v>922</v>
      </c>
    </row>
    <row r="5532" spans="1:20" x14ac:dyDescent="0.25">
      <c r="A5532" t="s">
        <v>30</v>
      </c>
      <c r="B5532" t="s">
        <v>31</v>
      </c>
      <c r="C5532" t="s">
        <v>32</v>
      </c>
      <c r="D5532" t="s">
        <v>771</v>
      </c>
      <c r="E5532" t="s">
        <v>910</v>
      </c>
      <c r="F5532" t="s">
        <v>35</v>
      </c>
      <c r="G5532" t="s">
        <v>35</v>
      </c>
      <c r="H5532" t="s">
        <v>35</v>
      </c>
      <c r="J5532" t="s">
        <v>6345</v>
      </c>
      <c r="K5532" t="s">
        <v>1092</v>
      </c>
      <c r="M5532">
        <v>1.79</v>
      </c>
      <c r="N5532">
        <v>39</v>
      </c>
      <c r="O5532" t="s">
        <v>52</v>
      </c>
      <c r="Q5532" t="s">
        <v>493</v>
      </c>
      <c r="R5532" t="s">
        <v>6020</v>
      </c>
      <c r="S5532" t="s">
        <v>921</v>
      </c>
      <c r="T5532" t="s">
        <v>922</v>
      </c>
    </row>
    <row r="5533" spans="1:20" x14ac:dyDescent="0.25">
      <c r="A5533" t="s">
        <v>30</v>
      </c>
      <c r="B5533" t="s">
        <v>31</v>
      </c>
      <c r="C5533" t="s">
        <v>32</v>
      </c>
      <c r="D5533" t="s">
        <v>771</v>
      </c>
      <c r="E5533" t="s">
        <v>910</v>
      </c>
      <c r="F5533" t="s">
        <v>35</v>
      </c>
      <c r="G5533" t="s">
        <v>35</v>
      </c>
      <c r="H5533" t="s">
        <v>35</v>
      </c>
      <c r="J5533" t="s">
        <v>6564</v>
      </c>
      <c r="K5533" t="s">
        <v>1092</v>
      </c>
      <c r="M5533">
        <v>3.51</v>
      </c>
      <c r="N5533">
        <v>39</v>
      </c>
      <c r="O5533" t="s">
        <v>52</v>
      </c>
      <c r="Q5533" t="s">
        <v>493</v>
      </c>
      <c r="R5533" t="s">
        <v>6020</v>
      </c>
      <c r="S5533" t="s">
        <v>921</v>
      </c>
      <c r="T5533" t="s">
        <v>922</v>
      </c>
    </row>
    <row r="5534" spans="1:20" x14ac:dyDescent="0.25">
      <c r="A5534" t="s">
        <v>30</v>
      </c>
      <c r="B5534" t="s">
        <v>31</v>
      </c>
      <c r="C5534" t="s">
        <v>32</v>
      </c>
      <c r="D5534" t="s">
        <v>771</v>
      </c>
      <c r="E5534" t="s">
        <v>910</v>
      </c>
      <c r="F5534" t="s">
        <v>35</v>
      </c>
      <c r="G5534" t="s">
        <v>35</v>
      </c>
      <c r="H5534" t="s">
        <v>35</v>
      </c>
      <c r="J5534" t="s">
        <v>6586</v>
      </c>
      <c r="K5534" t="s">
        <v>1092</v>
      </c>
      <c r="M5534">
        <v>0.09</v>
      </c>
      <c r="N5534">
        <v>39</v>
      </c>
      <c r="O5534" t="s">
        <v>52</v>
      </c>
      <c r="Q5534" t="s">
        <v>493</v>
      </c>
      <c r="R5534" t="s">
        <v>6020</v>
      </c>
      <c r="S5534" t="s">
        <v>921</v>
      </c>
      <c r="T5534" t="s">
        <v>922</v>
      </c>
    </row>
    <row r="5535" spans="1:20" x14ac:dyDescent="0.25">
      <c r="A5535" t="s">
        <v>30</v>
      </c>
      <c r="B5535" t="s">
        <v>31</v>
      </c>
      <c r="C5535" t="s">
        <v>32</v>
      </c>
      <c r="D5535" t="s">
        <v>771</v>
      </c>
      <c r="E5535" t="s">
        <v>875</v>
      </c>
      <c r="F5535" t="s">
        <v>35</v>
      </c>
      <c r="G5535" t="s">
        <v>35</v>
      </c>
      <c r="H5535" t="s">
        <v>35</v>
      </c>
      <c r="J5535" t="s">
        <v>6468</v>
      </c>
      <c r="K5535" t="s">
        <v>1092</v>
      </c>
      <c r="M5535">
        <v>6.6150000000000002</v>
      </c>
      <c r="N5535">
        <v>39</v>
      </c>
      <c r="O5535" t="s">
        <v>52</v>
      </c>
      <c r="Q5535" t="s">
        <v>493</v>
      </c>
      <c r="R5535" t="s">
        <v>6020</v>
      </c>
      <c r="S5535" t="s">
        <v>921</v>
      </c>
      <c r="T5535" t="s">
        <v>922</v>
      </c>
    </row>
    <row r="5536" spans="1:20" x14ac:dyDescent="0.25">
      <c r="A5536" t="s">
        <v>59</v>
      </c>
      <c r="B5536" t="s">
        <v>31</v>
      </c>
      <c r="C5536" t="s">
        <v>32</v>
      </c>
      <c r="D5536" t="s">
        <v>771</v>
      </c>
      <c r="E5536" t="s">
        <v>910</v>
      </c>
      <c r="F5536" t="s">
        <v>35</v>
      </c>
      <c r="G5536" t="s">
        <v>35</v>
      </c>
      <c r="H5536" t="s">
        <v>35</v>
      </c>
      <c r="J5536" t="s">
        <v>6611</v>
      </c>
      <c r="K5536" t="s">
        <v>1092</v>
      </c>
      <c r="M5536">
        <v>0.45</v>
      </c>
      <c r="N5536">
        <v>35</v>
      </c>
      <c r="O5536" t="s">
        <v>52</v>
      </c>
      <c r="Q5536" t="s">
        <v>991</v>
      </c>
      <c r="R5536" t="s">
        <v>6020</v>
      </c>
      <c r="S5536" t="s">
        <v>921</v>
      </c>
      <c r="T5536" t="s">
        <v>922</v>
      </c>
    </row>
    <row r="5537" spans="1:20" x14ac:dyDescent="0.25">
      <c r="A5537" t="s">
        <v>30</v>
      </c>
      <c r="B5537" t="s">
        <v>31</v>
      </c>
      <c r="C5537" t="s">
        <v>32</v>
      </c>
      <c r="D5537" t="s">
        <v>771</v>
      </c>
      <c r="E5537" t="s">
        <v>6319</v>
      </c>
      <c r="F5537" t="s">
        <v>35</v>
      </c>
      <c r="G5537" t="s">
        <v>35</v>
      </c>
      <c r="H5537" t="s">
        <v>35</v>
      </c>
      <c r="J5537" t="s">
        <v>6337</v>
      </c>
      <c r="K5537" t="s">
        <v>1092</v>
      </c>
      <c r="M5537">
        <v>7.02</v>
      </c>
      <c r="N5537">
        <v>35</v>
      </c>
      <c r="O5537" t="s">
        <v>52</v>
      </c>
      <c r="Q5537" t="s">
        <v>991</v>
      </c>
      <c r="R5537" t="s">
        <v>6020</v>
      </c>
      <c r="S5537" t="s">
        <v>921</v>
      </c>
      <c r="T5537" t="s">
        <v>922</v>
      </c>
    </row>
    <row r="5538" spans="1:20" x14ac:dyDescent="0.25">
      <c r="A5538" t="s">
        <v>30</v>
      </c>
      <c r="B5538" t="s">
        <v>31</v>
      </c>
      <c r="C5538" t="s">
        <v>32</v>
      </c>
      <c r="D5538" t="s">
        <v>771</v>
      </c>
      <c r="E5538" t="s">
        <v>910</v>
      </c>
      <c r="F5538" t="s">
        <v>35</v>
      </c>
      <c r="G5538" t="s">
        <v>35</v>
      </c>
      <c r="H5538" t="s">
        <v>35</v>
      </c>
      <c r="J5538" t="s">
        <v>6565</v>
      </c>
      <c r="K5538" t="s">
        <v>1092</v>
      </c>
      <c r="M5538">
        <v>3.15</v>
      </c>
      <c r="N5538">
        <v>7</v>
      </c>
      <c r="O5538" t="s">
        <v>46</v>
      </c>
      <c r="Q5538" t="s">
        <v>2440</v>
      </c>
      <c r="R5538" t="s">
        <v>6020</v>
      </c>
      <c r="S5538" t="s">
        <v>921</v>
      </c>
      <c r="T5538" t="s">
        <v>922</v>
      </c>
    </row>
    <row r="5539" spans="1:20" x14ac:dyDescent="0.25">
      <c r="A5539" t="s">
        <v>44</v>
      </c>
      <c r="B5539" t="s">
        <v>51</v>
      </c>
      <c r="C5539" t="s">
        <v>32</v>
      </c>
      <c r="D5539" t="s">
        <v>771</v>
      </c>
      <c r="E5539" t="s">
        <v>910</v>
      </c>
      <c r="F5539" t="s">
        <v>35</v>
      </c>
      <c r="G5539" t="s">
        <v>35</v>
      </c>
      <c r="H5539" t="s">
        <v>35</v>
      </c>
      <c r="J5539" t="s">
        <v>6565</v>
      </c>
      <c r="K5539" t="s">
        <v>1092</v>
      </c>
      <c r="M5539">
        <v>0.05</v>
      </c>
      <c r="N5539">
        <v>7</v>
      </c>
      <c r="O5539" t="s">
        <v>46</v>
      </c>
      <c r="Q5539" t="s">
        <v>2440</v>
      </c>
      <c r="R5539" t="s">
        <v>6020</v>
      </c>
      <c r="S5539" t="s">
        <v>921</v>
      </c>
      <c r="T5539" t="s">
        <v>922</v>
      </c>
    </row>
    <row r="5540" spans="1:20" x14ac:dyDescent="0.25">
      <c r="A5540" t="s">
        <v>59</v>
      </c>
      <c r="B5540" t="s">
        <v>31</v>
      </c>
      <c r="C5540" t="s">
        <v>32</v>
      </c>
      <c r="D5540" t="s">
        <v>771</v>
      </c>
      <c r="E5540" t="s">
        <v>6511</v>
      </c>
      <c r="F5540" t="s">
        <v>35</v>
      </c>
      <c r="G5540" t="s">
        <v>35</v>
      </c>
      <c r="H5540" t="s">
        <v>35</v>
      </c>
      <c r="J5540" t="s">
        <v>6512</v>
      </c>
      <c r="K5540" t="s">
        <v>1092</v>
      </c>
      <c r="M5540">
        <v>3.6</v>
      </c>
      <c r="N5540">
        <v>35</v>
      </c>
      <c r="O5540" t="s">
        <v>52</v>
      </c>
      <c r="Q5540" t="s">
        <v>991</v>
      </c>
      <c r="R5540" t="s">
        <v>6020</v>
      </c>
      <c r="S5540" t="s">
        <v>921</v>
      </c>
      <c r="T5540" t="s">
        <v>922</v>
      </c>
    </row>
    <row r="5541" spans="1:20" x14ac:dyDescent="0.25">
      <c r="A5541" t="s">
        <v>59</v>
      </c>
      <c r="B5541" t="s">
        <v>31</v>
      </c>
      <c r="C5541" t="s">
        <v>32</v>
      </c>
      <c r="D5541" t="s">
        <v>771</v>
      </c>
      <c r="E5541" t="s">
        <v>929</v>
      </c>
      <c r="F5541" t="s">
        <v>35</v>
      </c>
      <c r="G5541" t="s">
        <v>35</v>
      </c>
      <c r="H5541" t="s">
        <v>35</v>
      </c>
      <c r="J5541" t="s">
        <v>6619</v>
      </c>
      <c r="K5541" t="s">
        <v>1092</v>
      </c>
      <c r="M5541">
        <v>0.495</v>
      </c>
      <c r="N5541">
        <v>350</v>
      </c>
      <c r="O5541" t="s">
        <v>5</v>
      </c>
      <c r="Q5541" t="s">
        <v>6620</v>
      </c>
      <c r="R5541" t="s">
        <v>6020</v>
      </c>
      <c r="S5541" t="s">
        <v>921</v>
      </c>
      <c r="T5541" t="s">
        <v>922</v>
      </c>
    </row>
    <row r="5542" spans="1:20" x14ac:dyDescent="0.25">
      <c r="A5542" t="s">
        <v>59</v>
      </c>
      <c r="B5542" t="s">
        <v>31</v>
      </c>
      <c r="C5542" t="s">
        <v>32</v>
      </c>
      <c r="D5542" t="s">
        <v>771</v>
      </c>
      <c r="E5542" t="s">
        <v>910</v>
      </c>
      <c r="F5542" t="s">
        <v>35</v>
      </c>
      <c r="G5542" t="s">
        <v>35</v>
      </c>
      <c r="H5542" t="s">
        <v>35</v>
      </c>
      <c r="J5542" t="s">
        <v>6599</v>
      </c>
      <c r="K5542" t="s">
        <v>1092</v>
      </c>
      <c r="M5542">
        <v>1.125</v>
      </c>
      <c r="N5542">
        <v>35</v>
      </c>
      <c r="O5542" t="s">
        <v>52</v>
      </c>
      <c r="Q5542" t="s">
        <v>991</v>
      </c>
      <c r="R5542" t="s">
        <v>6020</v>
      </c>
      <c r="S5542" t="s">
        <v>921</v>
      </c>
      <c r="T5542" t="s">
        <v>922</v>
      </c>
    </row>
    <row r="5543" spans="1:20" x14ac:dyDescent="0.25">
      <c r="A5543" t="s">
        <v>30</v>
      </c>
      <c r="B5543" t="s">
        <v>31</v>
      </c>
      <c r="C5543" t="s">
        <v>32</v>
      </c>
      <c r="D5543" t="s">
        <v>771</v>
      </c>
      <c r="E5543" t="s">
        <v>910</v>
      </c>
      <c r="F5543" t="s">
        <v>35</v>
      </c>
      <c r="G5543" t="s">
        <v>35</v>
      </c>
      <c r="H5543" t="s">
        <v>35</v>
      </c>
      <c r="J5543" t="s">
        <v>6599</v>
      </c>
      <c r="K5543" t="s">
        <v>1092</v>
      </c>
      <c r="M5543">
        <v>0.45</v>
      </c>
      <c r="N5543">
        <v>26</v>
      </c>
      <c r="O5543" t="s">
        <v>46</v>
      </c>
      <c r="Q5543" t="s">
        <v>137</v>
      </c>
      <c r="R5543" t="s">
        <v>6020</v>
      </c>
      <c r="S5543" t="s">
        <v>921</v>
      </c>
      <c r="T5543" t="s">
        <v>922</v>
      </c>
    </row>
    <row r="5544" spans="1:20" x14ac:dyDescent="0.25">
      <c r="A5544" t="s">
        <v>30</v>
      </c>
      <c r="B5544" t="s">
        <v>31</v>
      </c>
      <c r="C5544" t="s">
        <v>32</v>
      </c>
      <c r="D5544" t="s">
        <v>771</v>
      </c>
      <c r="E5544" t="s">
        <v>910</v>
      </c>
      <c r="F5544" t="s">
        <v>35</v>
      </c>
      <c r="G5544" t="s">
        <v>35</v>
      </c>
      <c r="H5544" t="s">
        <v>35</v>
      </c>
      <c r="J5544" t="s">
        <v>6608</v>
      </c>
      <c r="K5544" t="s">
        <v>1092</v>
      </c>
      <c r="M5544">
        <v>1.17</v>
      </c>
      <c r="N5544">
        <v>102</v>
      </c>
      <c r="O5544" t="s">
        <v>106</v>
      </c>
      <c r="Q5544" t="s">
        <v>2624</v>
      </c>
      <c r="R5544" t="s">
        <v>6020</v>
      </c>
      <c r="S5544" t="s">
        <v>921</v>
      </c>
      <c r="T5544" t="s">
        <v>922</v>
      </c>
    </row>
    <row r="5545" spans="1:20" x14ac:dyDescent="0.25">
      <c r="A5545" t="s">
        <v>59</v>
      </c>
      <c r="B5545" t="s">
        <v>31</v>
      </c>
      <c r="C5545" t="s">
        <v>32</v>
      </c>
      <c r="D5545" t="s">
        <v>771</v>
      </c>
      <c r="E5545" t="s">
        <v>910</v>
      </c>
      <c r="F5545" t="s">
        <v>35</v>
      </c>
      <c r="G5545" t="s">
        <v>35</v>
      </c>
      <c r="H5545" t="s">
        <v>35</v>
      </c>
      <c r="J5545" t="s">
        <v>6608</v>
      </c>
      <c r="K5545" t="s">
        <v>1092</v>
      </c>
      <c r="M5545">
        <v>7.02</v>
      </c>
      <c r="N5545">
        <v>37</v>
      </c>
      <c r="O5545" t="s">
        <v>52</v>
      </c>
      <c r="Q5545" t="s">
        <v>192</v>
      </c>
      <c r="R5545" t="s">
        <v>6020</v>
      </c>
      <c r="S5545" t="s">
        <v>921</v>
      </c>
      <c r="T5545" t="s">
        <v>922</v>
      </c>
    </row>
    <row r="5546" spans="1:20" x14ac:dyDescent="0.25">
      <c r="A5546" t="s">
        <v>30</v>
      </c>
      <c r="B5546" t="s">
        <v>31</v>
      </c>
      <c r="C5546" t="s">
        <v>32</v>
      </c>
      <c r="D5546" t="s">
        <v>771</v>
      </c>
      <c r="F5546" t="s">
        <v>35</v>
      </c>
      <c r="G5546" t="s">
        <v>35</v>
      </c>
      <c r="H5546" t="s">
        <v>35</v>
      </c>
      <c r="J5546" t="s">
        <v>6699</v>
      </c>
      <c r="K5546" t="s">
        <v>1092</v>
      </c>
      <c r="M5546">
        <v>1.89</v>
      </c>
      <c r="N5546">
        <v>39</v>
      </c>
      <c r="O5546" t="s">
        <v>52</v>
      </c>
      <c r="Q5546" t="s">
        <v>493</v>
      </c>
      <c r="R5546" t="s">
        <v>6020</v>
      </c>
      <c r="S5546" t="s">
        <v>921</v>
      </c>
      <c r="T5546" t="s">
        <v>922</v>
      </c>
    </row>
    <row r="5547" spans="1:20" x14ac:dyDescent="0.25">
      <c r="A5547" t="s">
        <v>59</v>
      </c>
      <c r="B5547" t="s">
        <v>31</v>
      </c>
      <c r="C5547" t="s">
        <v>32</v>
      </c>
      <c r="D5547" t="s">
        <v>771</v>
      </c>
      <c r="E5547" t="s">
        <v>910</v>
      </c>
      <c r="F5547" t="s">
        <v>35</v>
      </c>
      <c r="G5547" t="s">
        <v>35</v>
      </c>
      <c r="H5547" t="s">
        <v>35</v>
      </c>
      <c r="J5547" t="s">
        <v>6592</v>
      </c>
      <c r="K5547" t="s">
        <v>1092</v>
      </c>
      <c r="M5547">
        <v>0.72</v>
      </c>
      <c r="N5547">
        <v>37</v>
      </c>
      <c r="O5547" t="s">
        <v>52</v>
      </c>
      <c r="Q5547" t="s">
        <v>192</v>
      </c>
      <c r="R5547" t="s">
        <v>6020</v>
      </c>
      <c r="S5547" t="s">
        <v>921</v>
      </c>
      <c r="T5547" t="s">
        <v>922</v>
      </c>
    </row>
    <row r="5548" spans="1:20" x14ac:dyDescent="0.25">
      <c r="A5548" t="s">
        <v>30</v>
      </c>
      <c r="B5548" t="s">
        <v>31</v>
      </c>
      <c r="C5548" t="s">
        <v>32</v>
      </c>
      <c r="D5548" t="s">
        <v>771</v>
      </c>
      <c r="E5548" t="s">
        <v>910</v>
      </c>
      <c r="F5548" t="s">
        <v>35</v>
      </c>
      <c r="G5548" t="s">
        <v>35</v>
      </c>
      <c r="H5548" t="s">
        <v>35</v>
      </c>
      <c r="J5548" t="s">
        <v>6609</v>
      </c>
      <c r="K5548" t="s">
        <v>1092</v>
      </c>
      <c r="M5548">
        <v>4.6349999999999998</v>
      </c>
      <c r="N5548">
        <v>35</v>
      </c>
      <c r="O5548" t="s">
        <v>52</v>
      </c>
      <c r="Q5548" t="s">
        <v>991</v>
      </c>
      <c r="R5548" t="s">
        <v>6020</v>
      </c>
      <c r="S5548" t="s">
        <v>921</v>
      </c>
      <c r="T5548" t="s">
        <v>922</v>
      </c>
    </row>
    <row r="5549" spans="1:20" x14ac:dyDescent="0.25">
      <c r="A5549" t="s">
        <v>59</v>
      </c>
      <c r="B5549" t="s">
        <v>60</v>
      </c>
      <c r="C5549" t="s">
        <v>32</v>
      </c>
      <c r="D5549" t="s">
        <v>771</v>
      </c>
      <c r="E5549" t="s">
        <v>865</v>
      </c>
      <c r="F5549" t="s">
        <v>35</v>
      </c>
      <c r="G5549" t="s">
        <v>35</v>
      </c>
      <c r="H5549" t="s">
        <v>35</v>
      </c>
      <c r="J5549" t="s">
        <v>6377</v>
      </c>
      <c r="K5549" t="s">
        <v>1092</v>
      </c>
      <c r="M5549">
        <v>9.25</v>
      </c>
      <c r="N5549">
        <v>75</v>
      </c>
      <c r="O5549" t="s">
        <v>61</v>
      </c>
      <c r="Q5549" t="s">
        <v>447</v>
      </c>
      <c r="R5549" t="s">
        <v>6020</v>
      </c>
      <c r="S5549" t="s">
        <v>921</v>
      </c>
      <c r="T5549" t="s">
        <v>922</v>
      </c>
    </row>
    <row r="5550" spans="1:20" x14ac:dyDescent="0.25">
      <c r="A5550" t="s">
        <v>30</v>
      </c>
      <c r="B5550" t="s">
        <v>31</v>
      </c>
      <c r="C5550" t="s">
        <v>32</v>
      </c>
      <c r="D5550" t="s">
        <v>771</v>
      </c>
      <c r="E5550" t="s">
        <v>910</v>
      </c>
      <c r="F5550" t="s">
        <v>35</v>
      </c>
      <c r="G5550" t="s">
        <v>35</v>
      </c>
      <c r="H5550" t="s">
        <v>35</v>
      </c>
      <c r="J5550" t="s">
        <v>6573</v>
      </c>
      <c r="K5550" t="s">
        <v>1092</v>
      </c>
      <c r="M5550">
        <v>4.4999999999999998E-2</v>
      </c>
      <c r="N5550">
        <v>439</v>
      </c>
      <c r="O5550" t="s">
        <v>294</v>
      </c>
      <c r="Q5550" t="s">
        <v>3152</v>
      </c>
      <c r="R5550" t="s">
        <v>6020</v>
      </c>
      <c r="S5550" t="s">
        <v>921</v>
      </c>
      <c r="T5550" t="s">
        <v>922</v>
      </c>
    </row>
    <row r="5551" spans="1:20" x14ac:dyDescent="0.25">
      <c r="A5551" t="s">
        <v>30</v>
      </c>
      <c r="B5551" t="s">
        <v>31</v>
      </c>
      <c r="C5551" t="s">
        <v>32</v>
      </c>
      <c r="D5551" t="s">
        <v>771</v>
      </c>
      <c r="E5551" t="s">
        <v>910</v>
      </c>
      <c r="F5551" t="s">
        <v>35</v>
      </c>
      <c r="G5551" t="s">
        <v>35</v>
      </c>
      <c r="H5551" t="s">
        <v>35</v>
      </c>
      <c r="J5551" t="s">
        <v>6594</v>
      </c>
      <c r="K5551" t="s">
        <v>1092</v>
      </c>
      <c r="M5551">
        <v>2.25</v>
      </c>
      <c r="N5551">
        <v>35</v>
      </c>
      <c r="O5551" t="s">
        <v>52</v>
      </c>
      <c r="Q5551" t="s">
        <v>991</v>
      </c>
      <c r="R5551" t="s">
        <v>6020</v>
      </c>
      <c r="S5551" t="s">
        <v>921</v>
      </c>
      <c r="T5551" t="s">
        <v>922</v>
      </c>
    </row>
    <row r="5552" spans="1:20" x14ac:dyDescent="0.25">
      <c r="A5552" t="s">
        <v>30</v>
      </c>
      <c r="B5552" t="s">
        <v>31</v>
      </c>
      <c r="C5552" t="s">
        <v>32</v>
      </c>
      <c r="D5552" t="s">
        <v>771</v>
      </c>
      <c r="E5552" t="s">
        <v>910</v>
      </c>
      <c r="F5552" t="s">
        <v>35</v>
      </c>
      <c r="G5552" t="s">
        <v>35</v>
      </c>
      <c r="H5552" t="s">
        <v>35</v>
      </c>
      <c r="J5552" t="s">
        <v>6594</v>
      </c>
      <c r="K5552" t="s">
        <v>1092</v>
      </c>
      <c r="M5552">
        <v>0.9</v>
      </c>
      <c r="N5552">
        <v>32</v>
      </c>
      <c r="O5552" t="s">
        <v>52</v>
      </c>
      <c r="Q5552" t="s">
        <v>816</v>
      </c>
      <c r="R5552" t="s">
        <v>6020</v>
      </c>
      <c r="S5552" t="s">
        <v>921</v>
      </c>
      <c r="T5552" t="s">
        <v>922</v>
      </c>
    </row>
    <row r="5553" spans="1:20" x14ac:dyDescent="0.25">
      <c r="A5553" t="s">
        <v>30</v>
      </c>
      <c r="B5553" t="s">
        <v>31</v>
      </c>
      <c r="C5553" t="s">
        <v>32</v>
      </c>
      <c r="D5553" t="s">
        <v>771</v>
      </c>
      <c r="E5553" t="s">
        <v>910</v>
      </c>
      <c r="F5553" t="s">
        <v>35</v>
      </c>
      <c r="G5553" t="s">
        <v>35</v>
      </c>
      <c r="H5553" t="s">
        <v>35</v>
      </c>
      <c r="J5553" t="s">
        <v>6602</v>
      </c>
      <c r="K5553" t="s">
        <v>1092</v>
      </c>
      <c r="M5553">
        <v>4.5</v>
      </c>
      <c r="N5553">
        <v>39</v>
      </c>
      <c r="O5553" t="s">
        <v>52</v>
      </c>
      <c r="Q5553" t="s">
        <v>493</v>
      </c>
      <c r="R5553" t="s">
        <v>6020</v>
      </c>
      <c r="S5553" t="s">
        <v>921</v>
      </c>
      <c r="T5553" t="s">
        <v>922</v>
      </c>
    </row>
    <row r="5554" spans="1:20" x14ac:dyDescent="0.25">
      <c r="A5554" t="s">
        <v>44</v>
      </c>
      <c r="B5554" t="s">
        <v>51</v>
      </c>
      <c r="C5554" t="s">
        <v>32</v>
      </c>
      <c r="D5554" t="s">
        <v>771</v>
      </c>
      <c r="E5554" t="s">
        <v>910</v>
      </c>
      <c r="F5554" t="s">
        <v>35</v>
      </c>
      <c r="G5554" t="s">
        <v>35</v>
      </c>
      <c r="H5554" t="s">
        <v>35</v>
      </c>
      <c r="J5554" t="s">
        <v>6612</v>
      </c>
      <c r="K5554" t="s">
        <v>1092</v>
      </c>
      <c r="M5554">
        <v>1</v>
      </c>
      <c r="N5554">
        <v>37</v>
      </c>
      <c r="O5554" t="s">
        <v>52</v>
      </c>
      <c r="Q5554" t="s">
        <v>192</v>
      </c>
      <c r="R5554" t="s">
        <v>6020</v>
      </c>
      <c r="S5554" t="s">
        <v>921</v>
      </c>
      <c r="T5554" t="s">
        <v>922</v>
      </c>
    </row>
    <row r="5555" spans="1:20" x14ac:dyDescent="0.25">
      <c r="A5555" t="s">
        <v>59</v>
      </c>
      <c r="B5555" t="s">
        <v>31</v>
      </c>
      <c r="C5555" t="s">
        <v>32</v>
      </c>
      <c r="D5555" t="s">
        <v>771</v>
      </c>
      <c r="E5555" t="s">
        <v>910</v>
      </c>
      <c r="F5555" t="s">
        <v>35</v>
      </c>
      <c r="G5555" t="s">
        <v>35</v>
      </c>
      <c r="H5555" t="s">
        <v>35</v>
      </c>
      <c r="J5555" t="s">
        <v>6612</v>
      </c>
      <c r="K5555" t="s">
        <v>1092</v>
      </c>
      <c r="M5555">
        <v>4.9950000000000001</v>
      </c>
      <c r="N5555">
        <v>37</v>
      </c>
      <c r="O5555" t="s">
        <v>52</v>
      </c>
      <c r="Q5555" t="s">
        <v>192</v>
      </c>
      <c r="R5555" t="s">
        <v>6020</v>
      </c>
      <c r="S5555" t="s">
        <v>921</v>
      </c>
      <c r="T5555" t="s">
        <v>922</v>
      </c>
    </row>
    <row r="5556" spans="1:20" x14ac:dyDescent="0.25">
      <c r="A5556" t="s">
        <v>44</v>
      </c>
      <c r="B5556" t="s">
        <v>51</v>
      </c>
      <c r="C5556" t="s">
        <v>32</v>
      </c>
      <c r="D5556" t="s">
        <v>771</v>
      </c>
      <c r="E5556" t="s">
        <v>910</v>
      </c>
      <c r="F5556" t="s">
        <v>35</v>
      </c>
      <c r="G5556" t="s">
        <v>35</v>
      </c>
      <c r="H5556" t="s">
        <v>35</v>
      </c>
      <c r="J5556" t="s">
        <v>6612</v>
      </c>
      <c r="K5556" t="s">
        <v>1092</v>
      </c>
      <c r="M5556">
        <v>0.5</v>
      </c>
      <c r="N5556">
        <v>52</v>
      </c>
      <c r="O5556" t="s">
        <v>52</v>
      </c>
      <c r="Q5556" t="s">
        <v>84</v>
      </c>
      <c r="R5556" t="s">
        <v>6020</v>
      </c>
      <c r="S5556" t="s">
        <v>921</v>
      </c>
      <c r="T5556" t="s">
        <v>922</v>
      </c>
    </row>
    <row r="5557" spans="1:20" x14ac:dyDescent="0.25">
      <c r="A5557" t="s">
        <v>30</v>
      </c>
      <c r="B5557" t="s">
        <v>31</v>
      </c>
      <c r="C5557" t="s">
        <v>32</v>
      </c>
      <c r="D5557" t="s">
        <v>771</v>
      </c>
      <c r="F5557" t="s">
        <v>35</v>
      </c>
      <c r="G5557" t="s">
        <v>35</v>
      </c>
      <c r="H5557" t="s">
        <v>35</v>
      </c>
      <c r="J5557" t="s">
        <v>6700</v>
      </c>
      <c r="K5557" t="s">
        <v>1092</v>
      </c>
      <c r="M5557">
        <v>0.45</v>
      </c>
      <c r="N5557">
        <v>39</v>
      </c>
      <c r="O5557" t="s">
        <v>52</v>
      </c>
      <c r="Q5557" t="s">
        <v>493</v>
      </c>
      <c r="R5557" t="s">
        <v>6020</v>
      </c>
      <c r="S5557" t="s">
        <v>921</v>
      </c>
      <c r="T5557" t="s">
        <v>922</v>
      </c>
    </row>
    <row r="5558" spans="1:20" x14ac:dyDescent="0.25">
      <c r="A5558" t="s">
        <v>59</v>
      </c>
      <c r="B5558" t="s">
        <v>31</v>
      </c>
      <c r="C5558" t="s">
        <v>32</v>
      </c>
      <c r="D5558" t="s">
        <v>771</v>
      </c>
      <c r="E5558" t="s">
        <v>910</v>
      </c>
      <c r="F5558" t="s">
        <v>35</v>
      </c>
      <c r="G5558" t="s">
        <v>35</v>
      </c>
      <c r="H5558" t="s">
        <v>35</v>
      </c>
      <c r="J5558" t="s">
        <v>6601</v>
      </c>
      <c r="K5558" t="s">
        <v>1092</v>
      </c>
      <c r="M5558">
        <v>4.59</v>
      </c>
      <c r="N5558">
        <v>35</v>
      </c>
      <c r="O5558" t="s">
        <v>52</v>
      </c>
      <c r="Q5558" t="s">
        <v>991</v>
      </c>
      <c r="R5558" t="s">
        <v>6020</v>
      </c>
      <c r="S5558" t="s">
        <v>921</v>
      </c>
      <c r="T5558" t="s">
        <v>922</v>
      </c>
    </row>
    <row r="5559" spans="1:20" x14ac:dyDescent="0.25">
      <c r="A5559" t="s">
        <v>59</v>
      </c>
      <c r="B5559" t="s">
        <v>31</v>
      </c>
      <c r="C5559" t="s">
        <v>32</v>
      </c>
      <c r="D5559" t="s">
        <v>771</v>
      </c>
      <c r="E5559" t="s">
        <v>6511</v>
      </c>
      <c r="F5559" t="s">
        <v>35</v>
      </c>
      <c r="G5559" t="s">
        <v>35</v>
      </c>
      <c r="H5559" t="s">
        <v>35</v>
      </c>
      <c r="J5559" t="s">
        <v>6515</v>
      </c>
      <c r="K5559" t="s">
        <v>1092</v>
      </c>
      <c r="M5559">
        <v>4.9950000000000001</v>
      </c>
      <c r="N5559">
        <v>35</v>
      </c>
      <c r="O5559" t="s">
        <v>52</v>
      </c>
      <c r="Q5559" t="s">
        <v>991</v>
      </c>
      <c r="R5559" t="s">
        <v>6020</v>
      </c>
      <c r="S5559" t="s">
        <v>921</v>
      </c>
      <c r="T5559" t="s">
        <v>922</v>
      </c>
    </row>
    <row r="5560" spans="1:20" x14ac:dyDescent="0.25">
      <c r="A5560" t="s">
        <v>30</v>
      </c>
      <c r="B5560" t="s">
        <v>31</v>
      </c>
      <c r="C5560" t="s">
        <v>32</v>
      </c>
      <c r="D5560" t="s">
        <v>771</v>
      </c>
      <c r="E5560" t="s">
        <v>6621</v>
      </c>
      <c r="F5560" t="s">
        <v>35</v>
      </c>
      <c r="G5560" t="s">
        <v>35</v>
      </c>
      <c r="H5560" t="s">
        <v>35</v>
      </c>
      <c r="J5560" t="s">
        <v>6629</v>
      </c>
      <c r="K5560" t="s">
        <v>1092</v>
      </c>
      <c r="M5560">
        <v>7.02</v>
      </c>
      <c r="N5560">
        <v>31</v>
      </c>
      <c r="O5560" t="s">
        <v>52</v>
      </c>
      <c r="Q5560" t="s">
        <v>748</v>
      </c>
      <c r="R5560" t="s">
        <v>6020</v>
      </c>
      <c r="S5560" t="s">
        <v>921</v>
      </c>
      <c r="T5560" t="s">
        <v>922</v>
      </c>
    </row>
    <row r="5561" spans="1:20" x14ac:dyDescent="0.25">
      <c r="A5561" t="s">
        <v>44</v>
      </c>
      <c r="B5561" t="s">
        <v>51</v>
      </c>
      <c r="C5561" t="s">
        <v>32</v>
      </c>
      <c r="D5561" t="s">
        <v>771</v>
      </c>
      <c r="E5561" t="s">
        <v>875</v>
      </c>
      <c r="F5561" t="s">
        <v>35</v>
      </c>
      <c r="G5561" t="s">
        <v>35</v>
      </c>
      <c r="H5561" t="s">
        <v>35</v>
      </c>
      <c r="J5561" t="s">
        <v>6478</v>
      </c>
      <c r="K5561" t="s">
        <v>1092</v>
      </c>
      <c r="M5561">
        <v>0.5</v>
      </c>
      <c r="N5561">
        <v>46</v>
      </c>
      <c r="O5561" t="s">
        <v>52</v>
      </c>
      <c r="Q5561" t="s">
        <v>332</v>
      </c>
      <c r="R5561" t="s">
        <v>6020</v>
      </c>
      <c r="S5561" t="s">
        <v>921</v>
      </c>
      <c r="T5561" t="s">
        <v>922</v>
      </c>
    </row>
    <row r="5562" spans="1:20" x14ac:dyDescent="0.25">
      <c r="A5562" t="s">
        <v>30</v>
      </c>
      <c r="B5562" t="s">
        <v>31</v>
      </c>
      <c r="C5562" t="s">
        <v>32</v>
      </c>
      <c r="D5562" t="s">
        <v>771</v>
      </c>
      <c r="E5562" t="s">
        <v>875</v>
      </c>
      <c r="F5562" t="s">
        <v>35</v>
      </c>
      <c r="G5562" t="s">
        <v>35</v>
      </c>
      <c r="H5562" t="s">
        <v>35</v>
      </c>
      <c r="J5562" t="s">
        <v>6478</v>
      </c>
      <c r="K5562" t="s">
        <v>1092</v>
      </c>
      <c r="M5562">
        <v>0.94499999999999995</v>
      </c>
      <c r="N5562">
        <v>39</v>
      </c>
      <c r="O5562" t="s">
        <v>52</v>
      </c>
      <c r="Q5562" t="s">
        <v>493</v>
      </c>
      <c r="R5562" t="s">
        <v>6020</v>
      </c>
      <c r="S5562" t="s">
        <v>921</v>
      </c>
      <c r="T5562" t="s">
        <v>922</v>
      </c>
    </row>
    <row r="5563" spans="1:20" x14ac:dyDescent="0.25">
      <c r="A5563" t="s">
        <v>44</v>
      </c>
      <c r="B5563" t="s">
        <v>3</v>
      </c>
      <c r="C5563" t="s">
        <v>32</v>
      </c>
      <c r="D5563" t="s">
        <v>771</v>
      </c>
      <c r="E5563" t="s">
        <v>910</v>
      </c>
      <c r="F5563" t="s">
        <v>35</v>
      </c>
      <c r="G5563" t="s">
        <v>35</v>
      </c>
      <c r="H5563" t="s">
        <v>35</v>
      </c>
      <c r="J5563" t="s">
        <v>6575</v>
      </c>
      <c r="K5563" t="s">
        <v>1092</v>
      </c>
      <c r="M5563">
        <v>0.5</v>
      </c>
      <c r="N5563">
        <v>251</v>
      </c>
      <c r="O5563" t="s">
        <v>5</v>
      </c>
      <c r="Q5563" t="s">
        <v>5051</v>
      </c>
      <c r="R5563" t="s">
        <v>6020</v>
      </c>
      <c r="S5563" t="s">
        <v>921</v>
      </c>
      <c r="T5563" t="s">
        <v>922</v>
      </c>
    </row>
    <row r="5564" spans="1:20" x14ac:dyDescent="0.25">
      <c r="A5564" t="s">
        <v>59</v>
      </c>
      <c r="B5564" t="s">
        <v>60</v>
      </c>
      <c r="C5564" t="s">
        <v>32</v>
      </c>
      <c r="D5564" t="s">
        <v>771</v>
      </c>
      <c r="E5564" t="s">
        <v>871</v>
      </c>
      <c r="F5564" t="s">
        <v>35</v>
      </c>
      <c r="G5564" t="s">
        <v>35</v>
      </c>
      <c r="H5564" t="s">
        <v>35</v>
      </c>
      <c r="J5564" t="s">
        <v>6420</v>
      </c>
      <c r="K5564" t="s">
        <v>1092</v>
      </c>
      <c r="M5564">
        <v>3</v>
      </c>
      <c r="N5564">
        <v>23</v>
      </c>
      <c r="O5564" t="s">
        <v>46</v>
      </c>
      <c r="Q5564" t="s">
        <v>793</v>
      </c>
      <c r="R5564" t="s">
        <v>6020</v>
      </c>
      <c r="S5564" t="s">
        <v>921</v>
      </c>
      <c r="T5564" t="s">
        <v>922</v>
      </c>
    </row>
    <row r="5565" spans="1:20" x14ac:dyDescent="0.25">
      <c r="A5565" t="s">
        <v>59</v>
      </c>
      <c r="B5565" t="s">
        <v>60</v>
      </c>
      <c r="C5565" t="s">
        <v>32</v>
      </c>
      <c r="D5565" t="s">
        <v>771</v>
      </c>
      <c r="E5565" t="s">
        <v>865</v>
      </c>
      <c r="F5565" t="s">
        <v>35</v>
      </c>
      <c r="G5565" t="s">
        <v>35</v>
      </c>
      <c r="H5565" t="s">
        <v>35</v>
      </c>
      <c r="J5565" t="s">
        <v>6373</v>
      </c>
      <c r="K5565" t="s">
        <v>1092</v>
      </c>
      <c r="M5565">
        <v>0.7</v>
      </c>
      <c r="N5565">
        <v>23</v>
      </c>
      <c r="O5565" t="s">
        <v>46</v>
      </c>
      <c r="Q5565" t="s">
        <v>793</v>
      </c>
      <c r="R5565" t="s">
        <v>6020</v>
      </c>
      <c r="S5565" t="s">
        <v>921</v>
      </c>
      <c r="T5565" t="s">
        <v>922</v>
      </c>
    </row>
    <row r="5566" spans="1:20" x14ac:dyDescent="0.25">
      <c r="A5566" t="s">
        <v>30</v>
      </c>
      <c r="B5566" t="s">
        <v>31</v>
      </c>
      <c r="C5566" t="s">
        <v>32</v>
      </c>
      <c r="D5566" t="s">
        <v>771</v>
      </c>
      <c r="E5566" t="s">
        <v>875</v>
      </c>
      <c r="F5566" t="s">
        <v>35</v>
      </c>
      <c r="G5566" t="s">
        <v>35</v>
      </c>
      <c r="H5566" t="s">
        <v>35</v>
      </c>
      <c r="J5566" t="s">
        <v>6456</v>
      </c>
      <c r="K5566" t="s">
        <v>1092</v>
      </c>
      <c r="M5566">
        <v>0.13500000000000001</v>
      </c>
      <c r="N5566">
        <v>35</v>
      </c>
      <c r="O5566" t="s">
        <v>52</v>
      </c>
      <c r="Q5566" t="s">
        <v>991</v>
      </c>
      <c r="R5566" t="s">
        <v>6020</v>
      </c>
      <c r="S5566" t="s">
        <v>921</v>
      </c>
      <c r="T5566" t="s">
        <v>922</v>
      </c>
    </row>
    <row r="5567" spans="1:20" x14ac:dyDescent="0.25">
      <c r="A5567" t="s">
        <v>59</v>
      </c>
      <c r="B5567" t="s">
        <v>60</v>
      </c>
      <c r="C5567" t="s">
        <v>32</v>
      </c>
      <c r="D5567" t="s">
        <v>771</v>
      </c>
      <c r="E5567" t="s">
        <v>865</v>
      </c>
      <c r="F5567" t="s">
        <v>35</v>
      </c>
      <c r="G5567" t="s">
        <v>35</v>
      </c>
      <c r="H5567" t="s">
        <v>35</v>
      </c>
      <c r="J5567" t="s">
        <v>6372</v>
      </c>
      <c r="K5567" t="s">
        <v>1092</v>
      </c>
      <c r="M5567">
        <v>7</v>
      </c>
      <c r="N5567">
        <v>23</v>
      </c>
      <c r="O5567" t="s">
        <v>46</v>
      </c>
      <c r="Q5567" t="s">
        <v>793</v>
      </c>
      <c r="R5567" t="s">
        <v>6020</v>
      </c>
      <c r="S5567" t="s">
        <v>921</v>
      </c>
      <c r="T5567" t="s">
        <v>922</v>
      </c>
    </row>
    <row r="5568" spans="1:20" x14ac:dyDescent="0.25">
      <c r="A5568" t="s">
        <v>44</v>
      </c>
      <c r="B5568" t="s">
        <v>51</v>
      </c>
      <c r="C5568" t="s">
        <v>32</v>
      </c>
      <c r="D5568" t="s">
        <v>771</v>
      </c>
      <c r="E5568" t="s">
        <v>910</v>
      </c>
      <c r="F5568" t="s">
        <v>35</v>
      </c>
      <c r="G5568" t="s">
        <v>35</v>
      </c>
      <c r="H5568" t="s">
        <v>35</v>
      </c>
      <c r="J5568" t="s">
        <v>6600</v>
      </c>
      <c r="K5568" t="s">
        <v>1092</v>
      </c>
      <c r="M5568">
        <v>0.5</v>
      </c>
      <c r="N5568">
        <v>247</v>
      </c>
      <c r="O5568" t="s">
        <v>5</v>
      </c>
      <c r="Q5568" t="s">
        <v>367</v>
      </c>
      <c r="R5568" t="s">
        <v>6020</v>
      </c>
      <c r="S5568" t="s">
        <v>921</v>
      </c>
      <c r="T5568" t="s">
        <v>922</v>
      </c>
    </row>
    <row r="5569" spans="1:20" x14ac:dyDescent="0.25">
      <c r="A5569" t="s">
        <v>44</v>
      </c>
      <c r="B5569" t="s">
        <v>51</v>
      </c>
      <c r="C5569" t="s">
        <v>32</v>
      </c>
      <c r="D5569" t="s">
        <v>771</v>
      </c>
      <c r="E5569" t="s">
        <v>910</v>
      </c>
      <c r="F5569" t="s">
        <v>35</v>
      </c>
      <c r="G5569" t="s">
        <v>35</v>
      </c>
      <c r="H5569" t="s">
        <v>35</v>
      </c>
      <c r="J5569" t="s">
        <v>6600</v>
      </c>
      <c r="K5569" t="s">
        <v>1092</v>
      </c>
      <c r="M5569">
        <v>0.5</v>
      </c>
      <c r="N5569">
        <v>249</v>
      </c>
      <c r="O5569" t="s">
        <v>5</v>
      </c>
      <c r="Q5569" t="s">
        <v>4299</v>
      </c>
      <c r="R5569" t="s">
        <v>6020</v>
      </c>
      <c r="S5569" t="s">
        <v>921</v>
      </c>
      <c r="T5569" t="s">
        <v>922</v>
      </c>
    </row>
    <row r="5570" spans="1:20" x14ac:dyDescent="0.25">
      <c r="A5570" t="s">
        <v>44</v>
      </c>
      <c r="B5570" t="s">
        <v>51</v>
      </c>
      <c r="C5570" t="s">
        <v>32</v>
      </c>
      <c r="D5570" t="s">
        <v>771</v>
      </c>
      <c r="E5570" t="s">
        <v>910</v>
      </c>
      <c r="F5570" t="s">
        <v>35</v>
      </c>
      <c r="G5570" t="s">
        <v>35</v>
      </c>
      <c r="H5570" t="s">
        <v>35</v>
      </c>
      <c r="J5570" t="s">
        <v>6600</v>
      </c>
      <c r="K5570" t="s">
        <v>1092</v>
      </c>
      <c r="M5570">
        <v>0.75</v>
      </c>
      <c r="N5570">
        <v>52</v>
      </c>
      <c r="O5570" t="s">
        <v>52</v>
      </c>
      <c r="Q5570" t="s">
        <v>84</v>
      </c>
      <c r="R5570" t="s">
        <v>6020</v>
      </c>
      <c r="S5570" t="s">
        <v>921</v>
      </c>
      <c r="T5570" t="s">
        <v>922</v>
      </c>
    </row>
    <row r="5571" spans="1:20" x14ac:dyDescent="0.25">
      <c r="A5571" t="s">
        <v>44</v>
      </c>
      <c r="B5571" t="s">
        <v>51</v>
      </c>
      <c r="C5571" t="s">
        <v>32</v>
      </c>
      <c r="D5571" t="s">
        <v>771</v>
      </c>
      <c r="E5571" t="s">
        <v>910</v>
      </c>
      <c r="F5571" t="s">
        <v>35</v>
      </c>
      <c r="G5571" t="s">
        <v>35</v>
      </c>
      <c r="H5571" t="s">
        <v>35</v>
      </c>
      <c r="J5571" t="s">
        <v>6600</v>
      </c>
      <c r="K5571" t="s">
        <v>1092</v>
      </c>
      <c r="M5571">
        <v>1</v>
      </c>
      <c r="N5571">
        <v>46</v>
      </c>
      <c r="O5571" t="s">
        <v>52</v>
      </c>
      <c r="Q5571" t="s">
        <v>332</v>
      </c>
      <c r="R5571" t="s">
        <v>6020</v>
      </c>
      <c r="S5571" t="s">
        <v>921</v>
      </c>
      <c r="T5571" t="s">
        <v>922</v>
      </c>
    </row>
    <row r="5572" spans="1:20" x14ac:dyDescent="0.25">
      <c r="A5572" t="s">
        <v>30</v>
      </c>
      <c r="B5572" t="s">
        <v>31</v>
      </c>
      <c r="C5572" t="s">
        <v>32</v>
      </c>
      <c r="D5572" t="s">
        <v>771</v>
      </c>
      <c r="E5572" t="s">
        <v>910</v>
      </c>
      <c r="F5572" t="s">
        <v>35</v>
      </c>
      <c r="G5572" t="s">
        <v>35</v>
      </c>
      <c r="H5572" t="s">
        <v>35</v>
      </c>
      <c r="J5572" t="s">
        <v>6600</v>
      </c>
      <c r="K5572" t="s">
        <v>1092</v>
      </c>
      <c r="M5572">
        <v>5.04</v>
      </c>
      <c r="N5572">
        <v>39</v>
      </c>
      <c r="O5572" t="s">
        <v>52</v>
      </c>
      <c r="Q5572" t="s">
        <v>493</v>
      </c>
      <c r="R5572" t="s">
        <v>6020</v>
      </c>
      <c r="S5572" t="s">
        <v>921</v>
      </c>
      <c r="T5572" t="s">
        <v>922</v>
      </c>
    </row>
    <row r="5573" spans="1:20" x14ac:dyDescent="0.25">
      <c r="A5573" t="s">
        <v>44</v>
      </c>
      <c r="B5573" t="s">
        <v>51</v>
      </c>
      <c r="C5573" t="s">
        <v>32</v>
      </c>
      <c r="D5573" t="s">
        <v>771</v>
      </c>
      <c r="E5573" t="s">
        <v>910</v>
      </c>
      <c r="F5573" t="s">
        <v>35</v>
      </c>
      <c r="G5573" t="s">
        <v>35</v>
      </c>
      <c r="H5573" t="s">
        <v>35</v>
      </c>
      <c r="J5573" t="s">
        <v>6600</v>
      </c>
      <c r="K5573" t="s">
        <v>1092</v>
      </c>
      <c r="M5573">
        <v>0.5</v>
      </c>
      <c r="N5573">
        <v>251</v>
      </c>
      <c r="O5573" t="s">
        <v>5</v>
      </c>
      <c r="Q5573" t="s">
        <v>5051</v>
      </c>
      <c r="R5573" t="s">
        <v>6020</v>
      </c>
      <c r="S5573" t="s">
        <v>921</v>
      </c>
      <c r="T5573" t="s">
        <v>922</v>
      </c>
    </row>
    <row r="5574" spans="1:20" x14ac:dyDescent="0.25">
      <c r="A5574" t="s">
        <v>30</v>
      </c>
      <c r="B5574" t="s">
        <v>31</v>
      </c>
      <c r="C5574" t="s">
        <v>32</v>
      </c>
      <c r="D5574" t="s">
        <v>771</v>
      </c>
      <c r="E5574" t="s">
        <v>6511</v>
      </c>
      <c r="F5574" t="s">
        <v>35</v>
      </c>
      <c r="G5574" t="s">
        <v>35</v>
      </c>
      <c r="H5574" t="s">
        <v>35</v>
      </c>
      <c r="J5574" t="s">
        <v>6521</v>
      </c>
      <c r="K5574" t="s">
        <v>1092</v>
      </c>
      <c r="M5574">
        <v>0.36</v>
      </c>
      <c r="N5574">
        <v>26</v>
      </c>
      <c r="O5574" t="s">
        <v>46</v>
      </c>
      <c r="Q5574" t="s">
        <v>137</v>
      </c>
      <c r="R5574" t="s">
        <v>6020</v>
      </c>
      <c r="S5574" t="s">
        <v>921</v>
      </c>
      <c r="T5574" t="s">
        <v>922</v>
      </c>
    </row>
    <row r="5575" spans="1:20" x14ac:dyDescent="0.25">
      <c r="A5575" t="s">
        <v>30</v>
      </c>
      <c r="B5575" t="s">
        <v>31</v>
      </c>
      <c r="C5575" t="s">
        <v>32</v>
      </c>
      <c r="D5575" t="s">
        <v>771</v>
      </c>
      <c r="E5575" t="s">
        <v>910</v>
      </c>
      <c r="F5575" t="s">
        <v>35</v>
      </c>
      <c r="G5575" t="s">
        <v>35</v>
      </c>
      <c r="H5575" t="s">
        <v>35</v>
      </c>
      <c r="J5575" t="s">
        <v>6613</v>
      </c>
      <c r="K5575" t="s">
        <v>1092</v>
      </c>
      <c r="M5575">
        <v>2.97</v>
      </c>
      <c r="N5575">
        <v>39</v>
      </c>
      <c r="O5575" t="s">
        <v>52</v>
      </c>
      <c r="Q5575" t="s">
        <v>493</v>
      </c>
      <c r="R5575" t="s">
        <v>6020</v>
      </c>
      <c r="S5575" t="s">
        <v>921</v>
      </c>
      <c r="T5575" t="s">
        <v>922</v>
      </c>
    </row>
    <row r="5576" spans="1:20" x14ac:dyDescent="0.25">
      <c r="A5576" t="s">
        <v>30</v>
      </c>
      <c r="B5576" t="s">
        <v>31</v>
      </c>
      <c r="C5576" t="s">
        <v>32</v>
      </c>
      <c r="D5576" t="s">
        <v>771</v>
      </c>
      <c r="E5576" t="s">
        <v>910</v>
      </c>
      <c r="F5576" t="s">
        <v>35</v>
      </c>
      <c r="G5576" t="s">
        <v>35</v>
      </c>
      <c r="H5576" t="s">
        <v>35</v>
      </c>
      <c r="J5576" t="s">
        <v>6583</v>
      </c>
      <c r="K5576" t="s">
        <v>1092</v>
      </c>
      <c r="M5576">
        <v>0.67500000000000004</v>
      </c>
      <c r="N5576">
        <v>273</v>
      </c>
      <c r="O5576" t="s">
        <v>5</v>
      </c>
      <c r="Q5576" t="s">
        <v>4595</v>
      </c>
      <c r="R5576" t="s">
        <v>6020</v>
      </c>
      <c r="S5576" t="s">
        <v>921</v>
      </c>
      <c r="T5576" t="s">
        <v>922</v>
      </c>
    </row>
    <row r="5577" spans="1:20" x14ac:dyDescent="0.25">
      <c r="A5577" t="s">
        <v>30</v>
      </c>
      <c r="B5577" t="s">
        <v>31</v>
      </c>
      <c r="C5577" t="s">
        <v>32</v>
      </c>
      <c r="D5577" t="s">
        <v>771</v>
      </c>
      <c r="E5577" t="s">
        <v>875</v>
      </c>
      <c r="F5577" t="s">
        <v>35</v>
      </c>
      <c r="G5577" t="s">
        <v>35</v>
      </c>
      <c r="H5577" t="s">
        <v>35</v>
      </c>
      <c r="J5577" t="s">
        <v>6457</v>
      </c>
      <c r="K5577" t="s">
        <v>1092</v>
      </c>
      <c r="M5577">
        <v>0.45</v>
      </c>
      <c r="N5577">
        <v>33</v>
      </c>
      <c r="O5577" t="s">
        <v>52</v>
      </c>
      <c r="Q5577" t="s">
        <v>130</v>
      </c>
      <c r="R5577" t="s">
        <v>6020</v>
      </c>
      <c r="S5577" t="s">
        <v>921</v>
      </c>
      <c r="T5577" t="s">
        <v>922</v>
      </c>
    </row>
    <row r="5578" spans="1:20" x14ac:dyDescent="0.25">
      <c r="A5578" t="s">
        <v>59</v>
      </c>
      <c r="B5578" t="s">
        <v>60</v>
      </c>
      <c r="C5578" t="s">
        <v>32</v>
      </c>
      <c r="D5578" t="s">
        <v>771</v>
      </c>
      <c r="E5578" t="s">
        <v>910</v>
      </c>
      <c r="F5578" t="s">
        <v>35</v>
      </c>
      <c r="G5578" t="s">
        <v>35</v>
      </c>
      <c r="H5578" t="s">
        <v>35</v>
      </c>
      <c r="J5578" t="s">
        <v>6598</v>
      </c>
      <c r="K5578" t="s">
        <v>1092</v>
      </c>
      <c r="M5578">
        <v>0.75</v>
      </c>
      <c r="N5578">
        <v>61</v>
      </c>
      <c r="O5578" t="s">
        <v>61</v>
      </c>
      <c r="Q5578" t="s">
        <v>146</v>
      </c>
      <c r="R5578" t="s">
        <v>6020</v>
      </c>
      <c r="S5578" t="s">
        <v>921</v>
      </c>
      <c r="T5578" t="s">
        <v>922</v>
      </c>
    </row>
    <row r="5579" spans="1:20" x14ac:dyDescent="0.25">
      <c r="A5579" t="s">
        <v>59</v>
      </c>
      <c r="B5579" t="s">
        <v>31</v>
      </c>
      <c r="C5579" t="s">
        <v>32</v>
      </c>
      <c r="D5579" t="s">
        <v>771</v>
      </c>
      <c r="E5579" t="s">
        <v>910</v>
      </c>
      <c r="F5579" t="s">
        <v>35</v>
      </c>
      <c r="G5579" t="s">
        <v>35</v>
      </c>
      <c r="H5579" t="s">
        <v>35</v>
      </c>
      <c r="J5579" t="s">
        <v>6598</v>
      </c>
      <c r="K5579" t="s">
        <v>1092</v>
      </c>
      <c r="M5579">
        <v>2.25</v>
      </c>
      <c r="N5579">
        <v>35</v>
      </c>
      <c r="O5579" t="s">
        <v>52</v>
      </c>
      <c r="Q5579" t="s">
        <v>991</v>
      </c>
      <c r="R5579" t="s">
        <v>6020</v>
      </c>
      <c r="S5579" t="s">
        <v>921</v>
      </c>
      <c r="T5579" t="s">
        <v>922</v>
      </c>
    </row>
    <row r="5580" spans="1:20" x14ac:dyDescent="0.25">
      <c r="A5580" t="s">
        <v>30</v>
      </c>
      <c r="B5580" t="s">
        <v>31</v>
      </c>
      <c r="C5580" t="s">
        <v>32</v>
      </c>
      <c r="D5580" t="s">
        <v>771</v>
      </c>
      <c r="E5580" t="s">
        <v>910</v>
      </c>
      <c r="F5580" t="s">
        <v>35</v>
      </c>
      <c r="G5580" t="s">
        <v>35</v>
      </c>
      <c r="H5580" t="s">
        <v>35</v>
      </c>
      <c r="J5580" t="s">
        <v>6585</v>
      </c>
      <c r="K5580" t="s">
        <v>1092</v>
      </c>
      <c r="M5580">
        <v>1.98</v>
      </c>
      <c r="N5580">
        <v>32</v>
      </c>
      <c r="O5580" t="s">
        <v>52</v>
      </c>
      <c r="Q5580" t="s">
        <v>816</v>
      </c>
      <c r="R5580" t="s">
        <v>6020</v>
      </c>
      <c r="S5580" t="s">
        <v>921</v>
      </c>
      <c r="T5580" t="s">
        <v>922</v>
      </c>
    </row>
    <row r="5581" spans="1:20" x14ac:dyDescent="0.25">
      <c r="A5581" t="s">
        <v>30</v>
      </c>
      <c r="B5581" t="s">
        <v>31</v>
      </c>
      <c r="C5581" t="s">
        <v>32</v>
      </c>
      <c r="D5581" t="s">
        <v>771</v>
      </c>
      <c r="E5581" t="s">
        <v>875</v>
      </c>
      <c r="F5581" t="s">
        <v>35</v>
      </c>
      <c r="G5581" t="s">
        <v>35</v>
      </c>
      <c r="H5581" t="s">
        <v>35</v>
      </c>
      <c r="J5581" t="s">
        <v>6466</v>
      </c>
      <c r="K5581" t="s">
        <v>1092</v>
      </c>
      <c r="M5581">
        <v>1.53</v>
      </c>
      <c r="N5581">
        <v>35</v>
      </c>
      <c r="O5581" t="s">
        <v>52</v>
      </c>
      <c r="Q5581" t="s">
        <v>991</v>
      </c>
      <c r="R5581" t="s">
        <v>6020</v>
      </c>
      <c r="S5581" t="s">
        <v>921</v>
      </c>
      <c r="T5581" t="s">
        <v>922</v>
      </c>
    </row>
    <row r="5582" spans="1:20" x14ac:dyDescent="0.25">
      <c r="A5582" t="s">
        <v>30</v>
      </c>
      <c r="B5582" t="s">
        <v>31</v>
      </c>
      <c r="C5582" t="s">
        <v>32</v>
      </c>
      <c r="D5582" t="s">
        <v>771</v>
      </c>
      <c r="E5582" t="s">
        <v>910</v>
      </c>
      <c r="F5582" t="s">
        <v>35</v>
      </c>
      <c r="G5582" t="s">
        <v>35</v>
      </c>
      <c r="H5582" t="s">
        <v>35</v>
      </c>
      <c r="J5582" t="s">
        <v>6604</v>
      </c>
      <c r="K5582" t="s">
        <v>1092</v>
      </c>
      <c r="M5582">
        <v>2.0699999999999998</v>
      </c>
      <c r="N5582">
        <v>39</v>
      </c>
      <c r="O5582" t="s">
        <v>52</v>
      </c>
      <c r="Q5582" t="s">
        <v>493</v>
      </c>
      <c r="R5582" t="s">
        <v>6020</v>
      </c>
      <c r="S5582" t="s">
        <v>921</v>
      </c>
      <c r="T5582" t="s">
        <v>922</v>
      </c>
    </row>
    <row r="5583" spans="1:20" x14ac:dyDescent="0.25">
      <c r="A5583" t="s">
        <v>30</v>
      </c>
      <c r="B5583" t="s">
        <v>31</v>
      </c>
      <c r="C5583" t="s">
        <v>32</v>
      </c>
      <c r="D5583" t="s">
        <v>771</v>
      </c>
      <c r="E5583" t="s">
        <v>6255</v>
      </c>
      <c r="F5583" t="s">
        <v>35</v>
      </c>
      <c r="G5583" t="s">
        <v>35</v>
      </c>
      <c r="H5583" t="s">
        <v>35</v>
      </c>
      <c r="J5583" t="s">
        <v>6258</v>
      </c>
      <c r="K5583" t="s">
        <v>1092</v>
      </c>
      <c r="M5583">
        <v>0.22500000000000001</v>
      </c>
      <c r="N5583">
        <v>1217</v>
      </c>
      <c r="O5583" t="s">
        <v>575</v>
      </c>
      <c r="Q5583" t="s">
        <v>3614</v>
      </c>
      <c r="R5583" t="s">
        <v>6020</v>
      </c>
      <c r="S5583" t="s">
        <v>921</v>
      </c>
      <c r="T5583" t="s">
        <v>922</v>
      </c>
    </row>
    <row r="5584" spans="1:20" x14ac:dyDescent="0.25">
      <c r="A5584" t="s">
        <v>59</v>
      </c>
      <c r="B5584" t="s">
        <v>60</v>
      </c>
      <c r="C5584" t="s">
        <v>32</v>
      </c>
      <c r="D5584" t="s">
        <v>771</v>
      </c>
      <c r="E5584" t="s">
        <v>910</v>
      </c>
      <c r="F5584" t="s">
        <v>35</v>
      </c>
      <c r="G5584" t="s">
        <v>35</v>
      </c>
      <c r="H5584" t="s">
        <v>35</v>
      </c>
      <c r="J5584" t="s">
        <v>6578</v>
      </c>
      <c r="K5584" t="s">
        <v>1092</v>
      </c>
      <c r="M5584">
        <v>0.1</v>
      </c>
      <c r="N5584">
        <v>340</v>
      </c>
      <c r="O5584" t="s">
        <v>5</v>
      </c>
      <c r="Q5584" t="s">
        <v>4424</v>
      </c>
      <c r="R5584" t="s">
        <v>6020</v>
      </c>
      <c r="S5584" t="s">
        <v>921</v>
      </c>
      <c r="T5584" t="s">
        <v>922</v>
      </c>
    </row>
    <row r="5585" spans="1:20" x14ac:dyDescent="0.25">
      <c r="A5585" t="s">
        <v>59</v>
      </c>
      <c r="B5585" t="s">
        <v>31</v>
      </c>
      <c r="C5585" t="s">
        <v>32</v>
      </c>
      <c r="D5585" t="s">
        <v>771</v>
      </c>
      <c r="E5585" t="s">
        <v>783</v>
      </c>
      <c r="F5585" t="s">
        <v>35</v>
      </c>
      <c r="G5585" t="s">
        <v>35</v>
      </c>
      <c r="H5585" t="s">
        <v>35</v>
      </c>
      <c r="J5585" t="s">
        <v>6060</v>
      </c>
      <c r="K5585" t="s">
        <v>1092</v>
      </c>
      <c r="M5585">
        <v>9.6050000000000004</v>
      </c>
      <c r="N5585">
        <v>124</v>
      </c>
      <c r="O5585" t="s">
        <v>38</v>
      </c>
      <c r="Q5585" t="s">
        <v>646</v>
      </c>
      <c r="R5585" t="s">
        <v>6022</v>
      </c>
      <c r="S5585" t="s">
        <v>937</v>
      </c>
      <c r="T5585" t="s">
        <v>938</v>
      </c>
    </row>
    <row r="5586" spans="1:20" x14ac:dyDescent="0.25">
      <c r="A5586" t="s">
        <v>30</v>
      </c>
      <c r="B5586" t="s">
        <v>31</v>
      </c>
      <c r="C5586" t="s">
        <v>32</v>
      </c>
      <c r="D5586" t="s">
        <v>771</v>
      </c>
      <c r="E5586" t="s">
        <v>783</v>
      </c>
      <c r="F5586" t="s">
        <v>35</v>
      </c>
      <c r="G5586" t="s">
        <v>35</v>
      </c>
      <c r="H5586" t="s">
        <v>35</v>
      </c>
      <c r="J5586" t="s">
        <v>6060</v>
      </c>
      <c r="K5586" t="s">
        <v>1092</v>
      </c>
      <c r="M5586">
        <v>39.96</v>
      </c>
      <c r="N5586">
        <v>98</v>
      </c>
      <c r="O5586" t="s">
        <v>106</v>
      </c>
      <c r="Q5586" t="s">
        <v>4971</v>
      </c>
      <c r="R5586" t="s">
        <v>6022</v>
      </c>
      <c r="S5586" t="s">
        <v>937</v>
      </c>
      <c r="T5586" t="s">
        <v>938</v>
      </c>
    </row>
    <row r="5587" spans="1:20" x14ac:dyDescent="0.25">
      <c r="A5587" t="s">
        <v>59</v>
      </c>
      <c r="B5587" t="s">
        <v>31</v>
      </c>
      <c r="C5587" t="s">
        <v>32</v>
      </c>
      <c r="D5587" t="s">
        <v>771</v>
      </c>
      <c r="E5587" t="s">
        <v>6093</v>
      </c>
      <c r="F5587" t="s">
        <v>35</v>
      </c>
      <c r="G5587" t="s">
        <v>35</v>
      </c>
      <c r="H5587" t="s">
        <v>35</v>
      </c>
      <c r="J5587" t="s">
        <v>6112</v>
      </c>
      <c r="K5587" t="s">
        <v>1092</v>
      </c>
      <c r="M5587">
        <v>0.81</v>
      </c>
      <c r="N5587">
        <v>1445</v>
      </c>
      <c r="O5587" t="s">
        <v>575</v>
      </c>
      <c r="Q5587" t="s">
        <v>6115</v>
      </c>
      <c r="R5587" t="s">
        <v>6022</v>
      </c>
      <c r="S5587" t="s">
        <v>937</v>
      </c>
      <c r="T5587" t="s">
        <v>938</v>
      </c>
    </row>
    <row r="5588" spans="1:20" x14ac:dyDescent="0.25">
      <c r="A5588" t="s">
        <v>30</v>
      </c>
      <c r="B5588" t="s">
        <v>31</v>
      </c>
      <c r="C5588" t="s">
        <v>32</v>
      </c>
      <c r="D5588" t="s">
        <v>771</v>
      </c>
      <c r="E5588" t="s">
        <v>875</v>
      </c>
      <c r="F5588" t="s">
        <v>35</v>
      </c>
      <c r="G5588" t="s">
        <v>35</v>
      </c>
      <c r="H5588" t="s">
        <v>35</v>
      </c>
      <c r="J5588" t="s">
        <v>6470</v>
      </c>
      <c r="K5588" t="s">
        <v>1092</v>
      </c>
      <c r="M5588">
        <v>1.08</v>
      </c>
      <c r="N5588">
        <v>1233</v>
      </c>
      <c r="O5588" t="s">
        <v>575</v>
      </c>
      <c r="Q5588" t="s">
        <v>6471</v>
      </c>
      <c r="R5588" t="s">
        <v>6022</v>
      </c>
      <c r="S5588" t="s">
        <v>937</v>
      </c>
      <c r="T5588" t="s">
        <v>938</v>
      </c>
    </row>
    <row r="5589" spans="1:20" x14ac:dyDescent="0.25">
      <c r="A5589" t="s">
        <v>59</v>
      </c>
      <c r="B5589" t="s">
        <v>60</v>
      </c>
      <c r="C5589" t="s">
        <v>32</v>
      </c>
      <c r="D5589" t="s">
        <v>771</v>
      </c>
      <c r="E5589" t="s">
        <v>875</v>
      </c>
      <c r="F5589" t="s">
        <v>35</v>
      </c>
      <c r="G5589" t="s">
        <v>35</v>
      </c>
      <c r="H5589" t="s">
        <v>35</v>
      </c>
      <c r="J5589" t="s">
        <v>6470</v>
      </c>
      <c r="K5589" t="s">
        <v>1092</v>
      </c>
      <c r="M5589">
        <v>0.3</v>
      </c>
      <c r="N5589">
        <v>1233</v>
      </c>
      <c r="O5589" t="s">
        <v>575</v>
      </c>
      <c r="Q5589" t="s">
        <v>6471</v>
      </c>
      <c r="R5589" t="s">
        <v>6022</v>
      </c>
      <c r="S5589" t="s">
        <v>937</v>
      </c>
      <c r="T5589" t="s">
        <v>938</v>
      </c>
    </row>
    <row r="5590" spans="1:20" x14ac:dyDescent="0.25">
      <c r="A5590" t="s">
        <v>30</v>
      </c>
      <c r="B5590" t="s">
        <v>31</v>
      </c>
      <c r="C5590" t="s">
        <v>32</v>
      </c>
      <c r="D5590" t="s">
        <v>771</v>
      </c>
      <c r="E5590" t="s">
        <v>836</v>
      </c>
      <c r="F5590" t="s">
        <v>35</v>
      </c>
      <c r="G5590" t="s">
        <v>35</v>
      </c>
      <c r="H5590" t="s">
        <v>35</v>
      </c>
      <c r="J5590" t="s">
        <v>6153</v>
      </c>
      <c r="K5590" t="s">
        <v>1092</v>
      </c>
      <c r="M5590">
        <v>0.08</v>
      </c>
      <c r="N5590">
        <v>854</v>
      </c>
      <c r="O5590" t="s">
        <v>575</v>
      </c>
      <c r="Q5590" t="s">
        <v>6154</v>
      </c>
      <c r="R5590" t="s">
        <v>6022</v>
      </c>
      <c r="S5590" t="s">
        <v>937</v>
      </c>
      <c r="T5590" t="s">
        <v>938</v>
      </c>
    </row>
    <row r="5591" spans="1:20" x14ac:dyDescent="0.25">
      <c r="A5591" t="s">
        <v>30</v>
      </c>
      <c r="B5591" t="s">
        <v>31</v>
      </c>
      <c r="C5591" t="s">
        <v>32</v>
      </c>
      <c r="D5591" t="s">
        <v>771</v>
      </c>
      <c r="E5591" t="s">
        <v>888</v>
      </c>
      <c r="F5591" t="s">
        <v>35</v>
      </c>
      <c r="G5591" t="s">
        <v>35</v>
      </c>
      <c r="H5591" t="s">
        <v>35</v>
      </c>
      <c r="J5591" t="s">
        <v>6486</v>
      </c>
      <c r="K5591" t="s">
        <v>1092</v>
      </c>
      <c r="M5591">
        <v>1.98</v>
      </c>
      <c r="N5591">
        <v>157</v>
      </c>
      <c r="O5591" t="s">
        <v>38</v>
      </c>
      <c r="Q5591" t="s">
        <v>1587</v>
      </c>
      <c r="R5591" t="s">
        <v>6022</v>
      </c>
      <c r="S5591" t="s">
        <v>937</v>
      </c>
      <c r="T5591" t="s">
        <v>938</v>
      </c>
    </row>
    <row r="5592" spans="1:20" x14ac:dyDescent="0.25">
      <c r="A5592" t="s">
        <v>59</v>
      </c>
      <c r="B5592" t="s">
        <v>31</v>
      </c>
      <c r="C5592" t="s">
        <v>32</v>
      </c>
      <c r="D5592" t="s">
        <v>771</v>
      </c>
      <c r="E5592" t="s">
        <v>6093</v>
      </c>
      <c r="F5592" t="s">
        <v>35</v>
      </c>
      <c r="G5592" t="s">
        <v>35</v>
      </c>
      <c r="H5592" t="s">
        <v>35</v>
      </c>
      <c r="J5592" t="s">
        <v>6135</v>
      </c>
      <c r="K5592" t="s">
        <v>1092</v>
      </c>
      <c r="M5592">
        <v>0.27</v>
      </c>
      <c r="N5592">
        <v>117</v>
      </c>
      <c r="O5592" t="s">
        <v>106</v>
      </c>
      <c r="Q5592" t="s">
        <v>406</v>
      </c>
      <c r="R5592" t="s">
        <v>6022</v>
      </c>
      <c r="S5592" t="s">
        <v>937</v>
      </c>
      <c r="T5592" t="s">
        <v>938</v>
      </c>
    </row>
    <row r="5593" spans="1:20" x14ac:dyDescent="0.25">
      <c r="A5593" t="s">
        <v>44</v>
      </c>
      <c r="B5593" t="s">
        <v>51</v>
      </c>
      <c r="C5593" t="s">
        <v>32</v>
      </c>
      <c r="D5593" t="s">
        <v>771</v>
      </c>
      <c r="E5593" t="s">
        <v>783</v>
      </c>
      <c r="F5593" t="s">
        <v>35</v>
      </c>
      <c r="G5593" t="s">
        <v>35</v>
      </c>
      <c r="H5593" t="s">
        <v>35</v>
      </c>
      <c r="J5593" t="s">
        <v>937</v>
      </c>
      <c r="K5593" t="s">
        <v>1092</v>
      </c>
      <c r="M5593">
        <v>20</v>
      </c>
      <c r="N5593">
        <v>2</v>
      </c>
      <c r="O5593" t="s">
        <v>46</v>
      </c>
      <c r="Q5593" t="s">
        <v>2009</v>
      </c>
      <c r="R5593" t="s">
        <v>6022</v>
      </c>
      <c r="S5593" t="s">
        <v>937</v>
      </c>
      <c r="T5593" t="s">
        <v>938</v>
      </c>
    </row>
    <row r="5594" spans="1:20" x14ac:dyDescent="0.25">
      <c r="A5594" t="s">
        <v>59</v>
      </c>
      <c r="B5594" t="s">
        <v>60</v>
      </c>
      <c r="C5594" t="s">
        <v>32</v>
      </c>
      <c r="D5594" t="s">
        <v>771</v>
      </c>
      <c r="E5594" t="s">
        <v>783</v>
      </c>
      <c r="F5594" t="s">
        <v>35</v>
      </c>
      <c r="G5594" t="s">
        <v>35</v>
      </c>
      <c r="H5594" t="s">
        <v>35</v>
      </c>
      <c r="J5594" t="s">
        <v>937</v>
      </c>
      <c r="K5594" t="s">
        <v>1092</v>
      </c>
      <c r="M5594">
        <v>55</v>
      </c>
      <c r="N5594">
        <v>2</v>
      </c>
      <c r="O5594" t="s">
        <v>46</v>
      </c>
      <c r="Q5594" t="s">
        <v>2009</v>
      </c>
      <c r="R5594" t="s">
        <v>6022</v>
      </c>
      <c r="S5594" t="s">
        <v>937</v>
      </c>
      <c r="T5594" t="s">
        <v>938</v>
      </c>
    </row>
    <row r="5595" spans="1:20" x14ac:dyDescent="0.25">
      <c r="A5595" t="s">
        <v>30</v>
      </c>
      <c r="B5595" t="s">
        <v>31</v>
      </c>
      <c r="C5595" t="s">
        <v>32</v>
      </c>
      <c r="D5595" t="s">
        <v>771</v>
      </c>
      <c r="E5595" t="s">
        <v>783</v>
      </c>
      <c r="F5595" t="s">
        <v>35</v>
      </c>
      <c r="G5595" t="s">
        <v>35</v>
      </c>
      <c r="H5595" t="s">
        <v>35</v>
      </c>
      <c r="J5595" t="s">
        <v>6043</v>
      </c>
      <c r="K5595" t="s">
        <v>1092</v>
      </c>
      <c r="M5595">
        <v>1.98</v>
      </c>
      <c r="N5595">
        <v>105</v>
      </c>
      <c r="O5595" t="s">
        <v>106</v>
      </c>
      <c r="Q5595" t="s">
        <v>171</v>
      </c>
      <c r="R5595" t="s">
        <v>6022</v>
      </c>
      <c r="S5595" t="s">
        <v>937</v>
      </c>
      <c r="T5595" t="s">
        <v>938</v>
      </c>
    </row>
    <row r="5596" spans="1:20" x14ac:dyDescent="0.25">
      <c r="A5596" t="s">
        <v>30</v>
      </c>
      <c r="B5596" t="s">
        <v>31</v>
      </c>
      <c r="C5596" t="s">
        <v>32</v>
      </c>
      <c r="D5596" t="s">
        <v>771</v>
      </c>
      <c r="E5596" t="s">
        <v>865</v>
      </c>
      <c r="F5596" t="s">
        <v>35</v>
      </c>
      <c r="G5596" t="s">
        <v>35</v>
      </c>
      <c r="H5596" t="s">
        <v>35</v>
      </c>
      <c r="J5596" t="s">
        <v>6349</v>
      </c>
      <c r="K5596" t="s">
        <v>1092</v>
      </c>
      <c r="M5596">
        <v>9.99</v>
      </c>
      <c r="N5596">
        <v>32</v>
      </c>
      <c r="O5596" t="s">
        <v>52</v>
      </c>
      <c r="Q5596" t="s">
        <v>816</v>
      </c>
      <c r="R5596" t="s">
        <v>6022</v>
      </c>
      <c r="S5596" t="s">
        <v>937</v>
      </c>
      <c r="T5596" t="s">
        <v>938</v>
      </c>
    </row>
    <row r="5597" spans="1:20" x14ac:dyDescent="0.25">
      <c r="A5597" t="s">
        <v>30</v>
      </c>
      <c r="B5597" t="s">
        <v>31</v>
      </c>
      <c r="C5597" t="s">
        <v>32</v>
      </c>
      <c r="D5597" t="s">
        <v>771</v>
      </c>
      <c r="E5597" t="s">
        <v>783</v>
      </c>
      <c r="F5597" t="s">
        <v>35</v>
      </c>
      <c r="G5597" t="s">
        <v>35</v>
      </c>
      <c r="H5597" t="s">
        <v>35</v>
      </c>
      <c r="J5597" t="s">
        <v>6061</v>
      </c>
      <c r="K5597" t="s">
        <v>1092</v>
      </c>
      <c r="M5597">
        <v>27</v>
      </c>
      <c r="N5597">
        <v>98</v>
      </c>
      <c r="O5597" t="s">
        <v>106</v>
      </c>
      <c r="Q5597" t="s">
        <v>4971</v>
      </c>
      <c r="R5597" t="s">
        <v>6022</v>
      </c>
      <c r="S5597" t="s">
        <v>937</v>
      </c>
      <c r="T5597" t="s">
        <v>938</v>
      </c>
    </row>
    <row r="5598" spans="1:20" x14ac:dyDescent="0.25">
      <c r="A5598" t="s">
        <v>59</v>
      </c>
      <c r="B5598" t="s">
        <v>31</v>
      </c>
      <c r="C5598" t="s">
        <v>32</v>
      </c>
      <c r="D5598" t="s">
        <v>771</v>
      </c>
      <c r="E5598" t="s">
        <v>783</v>
      </c>
      <c r="F5598" t="s">
        <v>35</v>
      </c>
      <c r="G5598" t="s">
        <v>35</v>
      </c>
      <c r="H5598" t="s">
        <v>35</v>
      </c>
      <c r="J5598" t="s">
        <v>6061</v>
      </c>
      <c r="K5598" t="s">
        <v>1092</v>
      </c>
      <c r="M5598">
        <v>13.86</v>
      </c>
      <c r="N5598">
        <v>283</v>
      </c>
      <c r="O5598" t="s">
        <v>5</v>
      </c>
      <c r="Q5598" t="s">
        <v>4463</v>
      </c>
      <c r="R5598" t="s">
        <v>6022</v>
      </c>
      <c r="S5598" t="s">
        <v>937</v>
      </c>
      <c r="T5598" t="s">
        <v>938</v>
      </c>
    </row>
    <row r="5599" spans="1:20" x14ac:dyDescent="0.25">
      <c r="A5599" t="s">
        <v>30</v>
      </c>
      <c r="B5599" t="s">
        <v>31</v>
      </c>
      <c r="C5599" t="s">
        <v>32</v>
      </c>
      <c r="D5599" t="s">
        <v>771</v>
      </c>
      <c r="E5599" t="s">
        <v>783</v>
      </c>
      <c r="F5599" t="s">
        <v>35</v>
      </c>
      <c r="G5599" t="s">
        <v>35</v>
      </c>
      <c r="H5599" t="s">
        <v>35</v>
      </c>
      <c r="J5599" t="s">
        <v>6071</v>
      </c>
      <c r="K5599" t="s">
        <v>1092</v>
      </c>
      <c r="M5599">
        <v>3.08</v>
      </c>
      <c r="N5599">
        <v>255</v>
      </c>
      <c r="O5599" t="s">
        <v>5</v>
      </c>
      <c r="Q5599" t="s">
        <v>264</v>
      </c>
      <c r="R5599" t="s">
        <v>6022</v>
      </c>
      <c r="S5599" t="s">
        <v>937</v>
      </c>
      <c r="T5599" t="s">
        <v>938</v>
      </c>
    </row>
    <row r="5600" spans="1:20" x14ac:dyDescent="0.25">
      <c r="A5600" t="s">
        <v>59</v>
      </c>
      <c r="B5600" t="s">
        <v>31</v>
      </c>
      <c r="C5600" t="s">
        <v>32</v>
      </c>
      <c r="D5600" t="s">
        <v>771</v>
      </c>
      <c r="E5600" t="s">
        <v>6093</v>
      </c>
      <c r="F5600" t="s">
        <v>35</v>
      </c>
      <c r="G5600" t="s">
        <v>35</v>
      </c>
      <c r="H5600" t="s">
        <v>35</v>
      </c>
      <c r="J5600" t="s">
        <v>6127</v>
      </c>
      <c r="K5600" t="s">
        <v>1092</v>
      </c>
      <c r="M5600">
        <v>6.21</v>
      </c>
      <c r="N5600">
        <v>124</v>
      </c>
      <c r="O5600" t="s">
        <v>38</v>
      </c>
      <c r="Q5600" t="s">
        <v>646</v>
      </c>
      <c r="R5600" t="s">
        <v>6022</v>
      </c>
      <c r="S5600" t="s">
        <v>937</v>
      </c>
      <c r="T5600" t="s">
        <v>938</v>
      </c>
    </row>
    <row r="5601" spans="1:20" x14ac:dyDescent="0.25">
      <c r="A5601" t="s">
        <v>59</v>
      </c>
      <c r="B5601" t="s">
        <v>31</v>
      </c>
      <c r="C5601" t="s">
        <v>32</v>
      </c>
      <c r="D5601" t="s">
        <v>771</v>
      </c>
      <c r="E5601" t="s">
        <v>6093</v>
      </c>
      <c r="F5601" t="s">
        <v>35</v>
      </c>
      <c r="G5601" t="s">
        <v>35</v>
      </c>
      <c r="H5601" t="s">
        <v>35</v>
      </c>
      <c r="J5601" t="s">
        <v>6122</v>
      </c>
      <c r="K5601" t="s">
        <v>1092</v>
      </c>
      <c r="M5601">
        <v>3.96</v>
      </c>
      <c r="N5601">
        <v>1101</v>
      </c>
      <c r="O5601" t="s">
        <v>575</v>
      </c>
      <c r="Q5601" t="s">
        <v>6123</v>
      </c>
      <c r="R5601" t="s">
        <v>6022</v>
      </c>
      <c r="S5601" t="s">
        <v>937</v>
      </c>
      <c r="T5601" t="s">
        <v>938</v>
      </c>
    </row>
    <row r="5602" spans="1:20" x14ac:dyDescent="0.25">
      <c r="A5602" t="s">
        <v>59</v>
      </c>
      <c r="B5602" t="s">
        <v>60</v>
      </c>
      <c r="C5602" t="s">
        <v>32</v>
      </c>
      <c r="D5602" t="s">
        <v>771</v>
      </c>
      <c r="E5602" t="s">
        <v>871</v>
      </c>
      <c r="F5602" t="s">
        <v>35</v>
      </c>
      <c r="G5602" t="s">
        <v>35</v>
      </c>
      <c r="H5602" t="s">
        <v>35</v>
      </c>
      <c r="J5602" t="s">
        <v>6429</v>
      </c>
      <c r="K5602" t="s">
        <v>1092</v>
      </c>
      <c r="M5602">
        <v>0.6</v>
      </c>
      <c r="N5602">
        <v>294</v>
      </c>
      <c r="O5602" t="s">
        <v>5</v>
      </c>
      <c r="Q5602" t="s">
        <v>6430</v>
      </c>
      <c r="R5602" t="s">
        <v>6022</v>
      </c>
      <c r="S5602" t="s">
        <v>937</v>
      </c>
      <c r="T5602" t="s">
        <v>938</v>
      </c>
    </row>
    <row r="5603" spans="1:20" x14ac:dyDescent="0.25">
      <c r="A5603" t="s">
        <v>59</v>
      </c>
      <c r="B5603" t="s">
        <v>31</v>
      </c>
      <c r="C5603" t="s">
        <v>32</v>
      </c>
      <c r="D5603" t="s">
        <v>771</v>
      </c>
      <c r="E5603" t="s">
        <v>871</v>
      </c>
      <c r="F5603" t="s">
        <v>35</v>
      </c>
      <c r="G5603" t="s">
        <v>35</v>
      </c>
      <c r="H5603" t="s">
        <v>35</v>
      </c>
      <c r="J5603" t="s">
        <v>6429</v>
      </c>
      <c r="K5603" t="s">
        <v>1092</v>
      </c>
      <c r="M5603">
        <v>4.32</v>
      </c>
      <c r="N5603">
        <v>294</v>
      </c>
      <c r="O5603" t="s">
        <v>5</v>
      </c>
      <c r="Q5603" t="s">
        <v>6430</v>
      </c>
      <c r="R5603" t="s">
        <v>6022</v>
      </c>
      <c r="S5603" t="s">
        <v>937</v>
      </c>
      <c r="T5603" t="s">
        <v>938</v>
      </c>
    </row>
    <row r="5604" spans="1:20" x14ac:dyDescent="0.25">
      <c r="A5604" t="s">
        <v>59</v>
      </c>
      <c r="B5604" t="s">
        <v>60</v>
      </c>
      <c r="C5604" t="s">
        <v>32</v>
      </c>
      <c r="D5604" t="s">
        <v>771</v>
      </c>
      <c r="F5604" t="s">
        <v>35</v>
      </c>
      <c r="G5604" t="s">
        <v>35</v>
      </c>
      <c r="H5604" t="s">
        <v>35</v>
      </c>
      <c r="J5604" t="s">
        <v>6655</v>
      </c>
      <c r="K5604" t="s">
        <v>1092</v>
      </c>
      <c r="M5604">
        <v>0.15</v>
      </c>
      <c r="N5604">
        <v>2548</v>
      </c>
      <c r="O5604" t="s">
        <v>575</v>
      </c>
      <c r="Q5604" t="s">
        <v>6656</v>
      </c>
      <c r="R5604" t="s">
        <v>6022</v>
      </c>
      <c r="S5604" t="s">
        <v>937</v>
      </c>
      <c r="T5604" t="s">
        <v>938</v>
      </c>
    </row>
    <row r="5605" spans="1:20" x14ac:dyDescent="0.25">
      <c r="A5605" t="s">
        <v>30</v>
      </c>
      <c r="B5605" t="s">
        <v>31</v>
      </c>
      <c r="C5605" t="s">
        <v>32</v>
      </c>
      <c r="D5605" t="s">
        <v>771</v>
      </c>
      <c r="F5605" t="s">
        <v>35</v>
      </c>
      <c r="G5605" t="s">
        <v>35</v>
      </c>
      <c r="H5605" t="s">
        <v>35</v>
      </c>
      <c r="J5605" t="s">
        <v>6655</v>
      </c>
      <c r="K5605" t="s">
        <v>1092</v>
      </c>
      <c r="M5605">
        <v>4.4999999999999998E-2</v>
      </c>
      <c r="N5605">
        <v>2548</v>
      </c>
      <c r="O5605" t="s">
        <v>575</v>
      </c>
      <c r="Q5605" t="s">
        <v>6656</v>
      </c>
      <c r="R5605" t="s">
        <v>6022</v>
      </c>
      <c r="S5605" t="s">
        <v>937</v>
      </c>
      <c r="T5605" t="s">
        <v>938</v>
      </c>
    </row>
    <row r="5606" spans="1:20" x14ac:dyDescent="0.25">
      <c r="A5606" t="s">
        <v>59</v>
      </c>
      <c r="B5606" t="s">
        <v>31</v>
      </c>
      <c r="C5606" t="s">
        <v>32</v>
      </c>
      <c r="D5606" t="s">
        <v>771</v>
      </c>
      <c r="F5606" t="s">
        <v>35</v>
      </c>
      <c r="G5606" t="s">
        <v>35</v>
      </c>
      <c r="H5606" t="s">
        <v>35</v>
      </c>
      <c r="J5606" t="s">
        <v>2419</v>
      </c>
      <c r="K5606" t="s">
        <v>1092</v>
      </c>
      <c r="M5606">
        <v>0.45</v>
      </c>
      <c r="N5606">
        <v>2410</v>
      </c>
      <c r="O5606" t="s">
        <v>575</v>
      </c>
      <c r="Q5606" t="s">
        <v>2908</v>
      </c>
      <c r="R5606" t="s">
        <v>6022</v>
      </c>
      <c r="S5606" t="s">
        <v>937</v>
      </c>
      <c r="T5606" t="s">
        <v>938</v>
      </c>
    </row>
    <row r="5607" spans="1:20" x14ac:dyDescent="0.25">
      <c r="A5607" t="s">
        <v>44</v>
      </c>
      <c r="B5607" t="s">
        <v>51</v>
      </c>
      <c r="C5607" t="s">
        <v>32</v>
      </c>
      <c r="D5607" t="s">
        <v>771</v>
      </c>
      <c r="E5607" t="s">
        <v>6093</v>
      </c>
      <c r="F5607" t="s">
        <v>35</v>
      </c>
      <c r="G5607" t="s">
        <v>35</v>
      </c>
      <c r="H5607" t="s">
        <v>35</v>
      </c>
      <c r="J5607" t="s">
        <v>6138</v>
      </c>
      <c r="K5607" t="s">
        <v>1092</v>
      </c>
      <c r="M5607">
        <v>3.5</v>
      </c>
      <c r="N5607">
        <v>236</v>
      </c>
      <c r="O5607" t="s">
        <v>5</v>
      </c>
      <c r="Q5607" t="s">
        <v>1151</v>
      </c>
      <c r="R5607" t="s">
        <v>6022</v>
      </c>
      <c r="S5607" t="s">
        <v>937</v>
      </c>
      <c r="T5607" t="s">
        <v>938</v>
      </c>
    </row>
    <row r="5608" spans="1:20" x14ac:dyDescent="0.25">
      <c r="A5608" t="s">
        <v>44</v>
      </c>
      <c r="B5608" t="s">
        <v>51</v>
      </c>
      <c r="C5608" t="s">
        <v>32</v>
      </c>
      <c r="D5608" t="s">
        <v>771</v>
      </c>
      <c r="E5608" t="s">
        <v>910</v>
      </c>
      <c r="F5608" t="s">
        <v>35</v>
      </c>
      <c r="G5608" t="s">
        <v>35</v>
      </c>
      <c r="H5608" t="s">
        <v>35</v>
      </c>
      <c r="J5608" t="s">
        <v>6584</v>
      </c>
      <c r="K5608" t="s">
        <v>1092</v>
      </c>
      <c r="M5608">
        <v>0.4</v>
      </c>
      <c r="N5608">
        <v>255</v>
      </c>
      <c r="O5608" t="s">
        <v>5</v>
      </c>
      <c r="Q5608" t="s">
        <v>264</v>
      </c>
      <c r="R5608" t="s">
        <v>6022</v>
      </c>
      <c r="S5608" t="s">
        <v>937</v>
      </c>
      <c r="T5608" t="s">
        <v>938</v>
      </c>
    </row>
    <row r="5609" spans="1:20" x14ac:dyDescent="0.25">
      <c r="A5609" t="s">
        <v>30</v>
      </c>
      <c r="B5609" t="s">
        <v>31</v>
      </c>
      <c r="C5609" t="s">
        <v>32</v>
      </c>
      <c r="D5609" t="s">
        <v>771</v>
      </c>
      <c r="E5609" t="s">
        <v>6165</v>
      </c>
      <c r="F5609" t="s">
        <v>35</v>
      </c>
      <c r="G5609" t="s">
        <v>35</v>
      </c>
      <c r="H5609" t="s">
        <v>35</v>
      </c>
      <c r="J5609" t="s">
        <v>6166</v>
      </c>
      <c r="K5609" t="s">
        <v>1092</v>
      </c>
      <c r="M5609">
        <v>10.935</v>
      </c>
      <c r="N5609">
        <v>32</v>
      </c>
      <c r="O5609" t="s">
        <v>52</v>
      </c>
      <c r="Q5609" t="s">
        <v>816</v>
      </c>
      <c r="R5609" t="s">
        <v>6022</v>
      </c>
      <c r="S5609" t="s">
        <v>937</v>
      </c>
      <c r="T5609" t="s">
        <v>938</v>
      </c>
    </row>
    <row r="5610" spans="1:20" x14ac:dyDescent="0.25">
      <c r="A5610" t="s">
        <v>30</v>
      </c>
      <c r="B5610" t="s">
        <v>31</v>
      </c>
      <c r="C5610" t="s">
        <v>32</v>
      </c>
      <c r="D5610" t="s">
        <v>771</v>
      </c>
      <c r="E5610" t="s">
        <v>836</v>
      </c>
      <c r="F5610" t="s">
        <v>35</v>
      </c>
      <c r="G5610" t="s">
        <v>35</v>
      </c>
      <c r="H5610" t="s">
        <v>35</v>
      </c>
      <c r="J5610" t="s">
        <v>6140</v>
      </c>
      <c r="K5610" t="s">
        <v>1092</v>
      </c>
      <c r="M5610">
        <v>7.02</v>
      </c>
      <c r="N5610">
        <v>32</v>
      </c>
      <c r="O5610" t="s">
        <v>52</v>
      </c>
      <c r="Q5610" t="s">
        <v>816</v>
      </c>
      <c r="R5610" t="s">
        <v>6022</v>
      </c>
      <c r="S5610" t="s">
        <v>937</v>
      </c>
      <c r="T5610" t="s">
        <v>938</v>
      </c>
    </row>
    <row r="5611" spans="1:20" x14ac:dyDescent="0.25">
      <c r="A5611" t="s">
        <v>30</v>
      </c>
      <c r="B5611" t="s">
        <v>31</v>
      </c>
      <c r="C5611" t="s">
        <v>32</v>
      </c>
      <c r="D5611" t="s">
        <v>771</v>
      </c>
      <c r="E5611" t="s">
        <v>6261</v>
      </c>
      <c r="F5611" t="s">
        <v>35</v>
      </c>
      <c r="G5611" t="s">
        <v>35</v>
      </c>
      <c r="H5611" t="s">
        <v>35</v>
      </c>
      <c r="J5611" t="s">
        <v>6270</v>
      </c>
      <c r="K5611" t="s">
        <v>1092</v>
      </c>
      <c r="M5611">
        <v>7.165</v>
      </c>
      <c r="N5611">
        <v>157</v>
      </c>
      <c r="O5611" t="s">
        <v>38</v>
      </c>
      <c r="Q5611" t="s">
        <v>1587</v>
      </c>
      <c r="R5611" t="s">
        <v>6022</v>
      </c>
      <c r="S5611" t="s">
        <v>937</v>
      </c>
      <c r="T5611" t="s">
        <v>938</v>
      </c>
    </row>
    <row r="5612" spans="1:20" x14ac:dyDescent="0.25">
      <c r="A5612" t="s">
        <v>59</v>
      </c>
      <c r="B5612" t="s">
        <v>31</v>
      </c>
      <c r="C5612" t="s">
        <v>32</v>
      </c>
      <c r="D5612" t="s">
        <v>771</v>
      </c>
      <c r="E5612" t="s">
        <v>6261</v>
      </c>
      <c r="F5612" t="s">
        <v>35</v>
      </c>
      <c r="G5612" t="s">
        <v>35</v>
      </c>
      <c r="H5612" t="s">
        <v>35</v>
      </c>
      <c r="J5612" t="s">
        <v>6270</v>
      </c>
      <c r="K5612" t="s">
        <v>1092</v>
      </c>
      <c r="M5612">
        <v>11.71</v>
      </c>
      <c r="N5612">
        <v>157</v>
      </c>
      <c r="O5612" t="s">
        <v>38</v>
      </c>
      <c r="Q5612" t="s">
        <v>1587</v>
      </c>
      <c r="R5612" t="s">
        <v>6022</v>
      </c>
      <c r="S5612" t="s">
        <v>937</v>
      </c>
      <c r="T5612" t="s">
        <v>938</v>
      </c>
    </row>
    <row r="5613" spans="1:20" x14ac:dyDescent="0.25">
      <c r="A5613" t="s">
        <v>59</v>
      </c>
      <c r="B5613" t="s">
        <v>31</v>
      </c>
      <c r="C5613" t="s">
        <v>32</v>
      </c>
      <c r="D5613" t="s">
        <v>771</v>
      </c>
      <c r="E5613" t="s">
        <v>6255</v>
      </c>
      <c r="F5613" t="s">
        <v>35</v>
      </c>
      <c r="G5613" t="s">
        <v>35</v>
      </c>
      <c r="H5613" t="s">
        <v>35</v>
      </c>
      <c r="J5613" t="s">
        <v>6256</v>
      </c>
      <c r="K5613" t="s">
        <v>1092</v>
      </c>
      <c r="M5613">
        <v>5.49</v>
      </c>
      <c r="N5613">
        <v>1471</v>
      </c>
      <c r="O5613" t="s">
        <v>575</v>
      </c>
      <c r="Q5613" t="s">
        <v>6257</v>
      </c>
      <c r="R5613" t="s">
        <v>6022</v>
      </c>
      <c r="S5613" t="s">
        <v>937</v>
      </c>
      <c r="T5613" t="s">
        <v>938</v>
      </c>
    </row>
    <row r="5614" spans="1:20" x14ac:dyDescent="0.25">
      <c r="A5614" t="s">
        <v>30</v>
      </c>
      <c r="B5614" t="s">
        <v>31</v>
      </c>
      <c r="C5614" t="s">
        <v>32</v>
      </c>
      <c r="D5614" t="s">
        <v>771</v>
      </c>
      <c r="E5614" t="s">
        <v>6255</v>
      </c>
      <c r="F5614" t="s">
        <v>35</v>
      </c>
      <c r="G5614" t="s">
        <v>35</v>
      </c>
      <c r="H5614" t="s">
        <v>35</v>
      </c>
      <c r="J5614" t="s">
        <v>6256</v>
      </c>
      <c r="K5614" t="s">
        <v>1092</v>
      </c>
      <c r="M5614">
        <v>9.99</v>
      </c>
      <c r="N5614">
        <v>240</v>
      </c>
      <c r="O5614" t="s">
        <v>5</v>
      </c>
      <c r="Q5614" t="s">
        <v>574</v>
      </c>
      <c r="R5614" t="s">
        <v>6022</v>
      </c>
      <c r="S5614" t="s">
        <v>937</v>
      </c>
      <c r="T5614" t="s">
        <v>938</v>
      </c>
    </row>
    <row r="5615" spans="1:20" x14ac:dyDescent="0.25">
      <c r="A5615" t="s">
        <v>44</v>
      </c>
      <c r="B5615" t="s">
        <v>3</v>
      </c>
      <c r="C5615" t="s">
        <v>32</v>
      </c>
      <c r="D5615" t="s">
        <v>771</v>
      </c>
      <c r="E5615" t="s">
        <v>861</v>
      </c>
      <c r="F5615" t="s">
        <v>35</v>
      </c>
      <c r="G5615" t="s">
        <v>35</v>
      </c>
      <c r="H5615" t="s">
        <v>35</v>
      </c>
      <c r="J5615" t="s">
        <v>6307</v>
      </c>
      <c r="K5615" t="s">
        <v>1092</v>
      </c>
      <c r="M5615">
        <v>0.1</v>
      </c>
      <c r="N5615">
        <v>443</v>
      </c>
      <c r="O5615" t="s">
        <v>294</v>
      </c>
      <c r="Q5615" t="s">
        <v>4616</v>
      </c>
      <c r="R5615" t="s">
        <v>6022</v>
      </c>
      <c r="S5615" t="s">
        <v>937</v>
      </c>
      <c r="T5615" t="s">
        <v>938</v>
      </c>
    </row>
    <row r="5616" spans="1:20" x14ac:dyDescent="0.25">
      <c r="A5616" t="s">
        <v>30</v>
      </c>
      <c r="B5616" t="s">
        <v>31</v>
      </c>
      <c r="C5616" t="s">
        <v>32</v>
      </c>
      <c r="D5616" t="s">
        <v>771</v>
      </c>
      <c r="E5616" t="s">
        <v>871</v>
      </c>
      <c r="F5616" t="s">
        <v>35</v>
      </c>
      <c r="G5616" t="s">
        <v>35</v>
      </c>
      <c r="H5616" t="s">
        <v>35</v>
      </c>
      <c r="J5616" t="s">
        <v>6412</v>
      </c>
      <c r="K5616" t="s">
        <v>1092</v>
      </c>
      <c r="M5616">
        <v>4.8250000000000002</v>
      </c>
      <c r="N5616">
        <v>42</v>
      </c>
      <c r="O5616" t="s">
        <v>52</v>
      </c>
      <c r="Q5616" t="s">
        <v>219</v>
      </c>
      <c r="R5616" t="s">
        <v>6100</v>
      </c>
      <c r="S5616" t="s">
        <v>947</v>
      </c>
      <c r="T5616" t="s">
        <v>948</v>
      </c>
    </row>
    <row r="5617" spans="1:20" x14ac:dyDescent="0.25">
      <c r="A5617" t="s">
        <v>44</v>
      </c>
      <c r="B5617" t="s">
        <v>3</v>
      </c>
      <c r="C5617" t="s">
        <v>32</v>
      </c>
      <c r="D5617" t="s">
        <v>771</v>
      </c>
      <c r="E5617" t="s">
        <v>6525</v>
      </c>
      <c r="F5617" t="s">
        <v>35</v>
      </c>
      <c r="G5617" t="s">
        <v>35</v>
      </c>
      <c r="H5617" t="s">
        <v>35</v>
      </c>
      <c r="J5617" t="s">
        <v>6534</v>
      </c>
      <c r="K5617" t="s">
        <v>1092</v>
      </c>
      <c r="M5617">
        <v>0.55000000000000004</v>
      </c>
      <c r="N5617">
        <v>474</v>
      </c>
      <c r="O5617" t="s">
        <v>294</v>
      </c>
      <c r="Q5617" t="s">
        <v>1682</v>
      </c>
      <c r="R5617" t="s">
        <v>6100</v>
      </c>
      <c r="S5617" t="s">
        <v>947</v>
      </c>
      <c r="T5617" t="s">
        <v>948</v>
      </c>
    </row>
    <row r="5618" spans="1:20" x14ac:dyDescent="0.25">
      <c r="A5618" t="s">
        <v>59</v>
      </c>
      <c r="B5618" t="s">
        <v>60</v>
      </c>
      <c r="C5618" t="s">
        <v>32</v>
      </c>
      <c r="D5618" t="s">
        <v>771</v>
      </c>
      <c r="E5618" t="s">
        <v>871</v>
      </c>
      <c r="F5618" t="s">
        <v>35</v>
      </c>
      <c r="G5618" t="s">
        <v>35</v>
      </c>
      <c r="H5618" t="s">
        <v>35</v>
      </c>
      <c r="J5618" t="s">
        <v>947</v>
      </c>
      <c r="K5618" t="s">
        <v>1092</v>
      </c>
      <c r="M5618">
        <v>4.25</v>
      </c>
      <c r="N5618">
        <v>4</v>
      </c>
      <c r="O5618" t="s">
        <v>46</v>
      </c>
      <c r="Q5618" t="s">
        <v>1053</v>
      </c>
      <c r="R5618" t="s">
        <v>6100</v>
      </c>
      <c r="S5618" t="s">
        <v>947</v>
      </c>
      <c r="T5618" t="s">
        <v>948</v>
      </c>
    </row>
    <row r="5619" spans="1:20" x14ac:dyDescent="0.25">
      <c r="A5619" t="s">
        <v>59</v>
      </c>
      <c r="B5619" t="s">
        <v>31</v>
      </c>
      <c r="C5619" t="s">
        <v>32</v>
      </c>
      <c r="D5619" t="s">
        <v>771</v>
      </c>
      <c r="E5619" t="s">
        <v>871</v>
      </c>
      <c r="F5619" t="s">
        <v>35</v>
      </c>
      <c r="G5619" t="s">
        <v>35</v>
      </c>
      <c r="H5619" t="s">
        <v>35</v>
      </c>
      <c r="J5619" t="s">
        <v>947</v>
      </c>
      <c r="K5619" t="s">
        <v>1092</v>
      </c>
      <c r="M5619">
        <v>7.73</v>
      </c>
      <c r="N5619">
        <v>16</v>
      </c>
      <c r="O5619" t="s">
        <v>46</v>
      </c>
      <c r="Q5619" t="s">
        <v>1819</v>
      </c>
      <c r="R5619" t="s">
        <v>6100</v>
      </c>
      <c r="S5619" t="s">
        <v>947</v>
      </c>
      <c r="T5619" t="s">
        <v>948</v>
      </c>
    </row>
    <row r="5620" spans="1:20" x14ac:dyDescent="0.25">
      <c r="A5620" t="s">
        <v>30</v>
      </c>
      <c r="B5620" t="s">
        <v>31</v>
      </c>
      <c r="C5620" t="s">
        <v>32</v>
      </c>
      <c r="D5620" t="s">
        <v>771</v>
      </c>
      <c r="E5620" t="s">
        <v>836</v>
      </c>
      <c r="F5620" t="s">
        <v>35</v>
      </c>
      <c r="G5620" t="s">
        <v>35</v>
      </c>
      <c r="H5620" t="s">
        <v>35</v>
      </c>
      <c r="J5620" t="s">
        <v>6148</v>
      </c>
      <c r="K5620" t="s">
        <v>1092</v>
      </c>
      <c r="M5620">
        <v>7.02</v>
      </c>
      <c r="N5620">
        <v>42</v>
      </c>
      <c r="O5620" t="s">
        <v>52</v>
      </c>
      <c r="Q5620" t="s">
        <v>219</v>
      </c>
      <c r="R5620" t="s">
        <v>6100</v>
      </c>
      <c r="S5620" t="s">
        <v>947</v>
      </c>
      <c r="T5620" t="s">
        <v>948</v>
      </c>
    </row>
    <row r="5621" spans="1:20" x14ac:dyDescent="0.25">
      <c r="A5621" t="s">
        <v>30</v>
      </c>
      <c r="B5621" t="s">
        <v>31</v>
      </c>
      <c r="C5621" t="s">
        <v>32</v>
      </c>
      <c r="D5621" t="s">
        <v>771</v>
      </c>
      <c r="E5621" t="s">
        <v>6093</v>
      </c>
      <c r="F5621" t="s">
        <v>35</v>
      </c>
      <c r="G5621" t="s">
        <v>35</v>
      </c>
      <c r="H5621" t="s">
        <v>35</v>
      </c>
      <c r="J5621" t="s">
        <v>6116</v>
      </c>
      <c r="K5621" t="s">
        <v>1092</v>
      </c>
      <c r="M5621">
        <v>7.02</v>
      </c>
      <c r="N5621">
        <v>42</v>
      </c>
      <c r="O5621" t="s">
        <v>52</v>
      </c>
      <c r="Q5621" t="s">
        <v>219</v>
      </c>
      <c r="R5621" t="s">
        <v>6100</v>
      </c>
      <c r="S5621" t="s">
        <v>947</v>
      </c>
      <c r="T5621" t="s">
        <v>948</v>
      </c>
    </row>
    <row r="5622" spans="1:20" x14ac:dyDescent="0.25">
      <c r="A5622" t="s">
        <v>30</v>
      </c>
      <c r="B5622" t="s">
        <v>31</v>
      </c>
      <c r="C5622" t="s">
        <v>32</v>
      </c>
      <c r="D5622" t="s">
        <v>771</v>
      </c>
      <c r="E5622" t="s">
        <v>898</v>
      </c>
      <c r="F5622" t="s">
        <v>35</v>
      </c>
      <c r="G5622" t="s">
        <v>35</v>
      </c>
      <c r="H5622" t="s">
        <v>35</v>
      </c>
      <c r="J5622" t="s">
        <v>6540</v>
      </c>
      <c r="K5622" t="s">
        <v>1092</v>
      </c>
      <c r="M5622">
        <v>3.33</v>
      </c>
      <c r="N5622">
        <v>42</v>
      </c>
      <c r="O5622" t="s">
        <v>52</v>
      </c>
      <c r="Q5622" t="s">
        <v>219</v>
      </c>
      <c r="R5622" t="s">
        <v>6100</v>
      </c>
      <c r="S5622" t="s">
        <v>947</v>
      </c>
      <c r="T5622" t="s">
        <v>948</v>
      </c>
    </row>
    <row r="5623" spans="1:20" x14ac:dyDescent="0.25">
      <c r="A5623" t="s">
        <v>30</v>
      </c>
      <c r="B5623" t="s">
        <v>31</v>
      </c>
      <c r="C5623" t="s">
        <v>32</v>
      </c>
      <c r="D5623" t="s">
        <v>771</v>
      </c>
      <c r="E5623" t="s">
        <v>871</v>
      </c>
      <c r="F5623" t="s">
        <v>35</v>
      </c>
      <c r="G5623" t="s">
        <v>35</v>
      </c>
      <c r="H5623" t="s">
        <v>35</v>
      </c>
      <c r="J5623" t="s">
        <v>6434</v>
      </c>
      <c r="K5623" t="s">
        <v>1092</v>
      </c>
      <c r="M5623">
        <v>0.02</v>
      </c>
      <c r="N5623">
        <v>111</v>
      </c>
      <c r="O5623" t="s">
        <v>106</v>
      </c>
      <c r="Q5623" t="s">
        <v>1469</v>
      </c>
      <c r="R5623" t="s">
        <v>6100</v>
      </c>
      <c r="S5623" t="s">
        <v>947</v>
      </c>
      <c r="T5623" t="s">
        <v>948</v>
      </c>
    </row>
    <row r="5624" spans="1:20" x14ac:dyDescent="0.25">
      <c r="A5624" t="s">
        <v>59</v>
      </c>
      <c r="B5624" t="s">
        <v>31</v>
      </c>
      <c r="C5624" t="s">
        <v>32</v>
      </c>
      <c r="D5624" t="s">
        <v>771</v>
      </c>
      <c r="E5624" t="s">
        <v>871</v>
      </c>
      <c r="F5624" t="s">
        <v>35</v>
      </c>
      <c r="G5624" t="s">
        <v>35</v>
      </c>
      <c r="H5624" t="s">
        <v>35</v>
      </c>
      <c r="J5624" t="s">
        <v>6434</v>
      </c>
      <c r="K5624" t="s">
        <v>1092</v>
      </c>
      <c r="M5624">
        <v>0.03</v>
      </c>
      <c r="N5624">
        <v>83</v>
      </c>
      <c r="O5624" t="s">
        <v>61</v>
      </c>
      <c r="Q5624" t="s">
        <v>897</v>
      </c>
      <c r="R5624" t="s">
        <v>6100</v>
      </c>
      <c r="S5624" t="s">
        <v>947</v>
      </c>
      <c r="T5624" t="s">
        <v>948</v>
      </c>
    </row>
    <row r="5625" spans="1:20" x14ac:dyDescent="0.25">
      <c r="A5625" t="s">
        <v>59</v>
      </c>
      <c r="B5625" t="s">
        <v>60</v>
      </c>
      <c r="C5625" t="s">
        <v>32</v>
      </c>
      <c r="D5625" t="s">
        <v>771</v>
      </c>
      <c r="E5625" t="s">
        <v>871</v>
      </c>
      <c r="F5625" t="s">
        <v>35</v>
      </c>
      <c r="G5625" t="s">
        <v>35</v>
      </c>
      <c r="H5625" t="s">
        <v>35</v>
      </c>
      <c r="J5625" t="s">
        <v>6434</v>
      </c>
      <c r="K5625" t="s">
        <v>1092</v>
      </c>
      <c r="M5625">
        <v>1</v>
      </c>
      <c r="N5625">
        <v>83</v>
      </c>
      <c r="O5625" t="s">
        <v>61</v>
      </c>
      <c r="Q5625" t="s">
        <v>897</v>
      </c>
      <c r="R5625" t="s">
        <v>6100</v>
      </c>
      <c r="S5625" t="s">
        <v>947</v>
      </c>
      <c r="T5625" t="s">
        <v>948</v>
      </c>
    </row>
    <row r="5626" spans="1:20" x14ac:dyDescent="0.25">
      <c r="A5626" t="s">
        <v>30</v>
      </c>
      <c r="B5626" t="s">
        <v>31</v>
      </c>
      <c r="C5626" t="s">
        <v>32</v>
      </c>
      <c r="D5626" t="s">
        <v>771</v>
      </c>
      <c r="E5626" t="s">
        <v>871</v>
      </c>
      <c r="F5626" t="s">
        <v>35</v>
      </c>
      <c r="G5626" t="s">
        <v>35</v>
      </c>
      <c r="H5626" t="s">
        <v>35</v>
      </c>
      <c r="J5626" t="s">
        <v>6438</v>
      </c>
      <c r="K5626" t="s">
        <v>1092</v>
      </c>
      <c r="M5626">
        <v>2.97</v>
      </c>
      <c r="N5626">
        <v>42</v>
      </c>
      <c r="O5626" t="s">
        <v>52</v>
      </c>
      <c r="Q5626" t="s">
        <v>219</v>
      </c>
      <c r="R5626" t="s">
        <v>6100</v>
      </c>
      <c r="S5626" t="s">
        <v>947</v>
      </c>
      <c r="T5626" t="s">
        <v>948</v>
      </c>
    </row>
    <row r="5627" spans="1:20" x14ac:dyDescent="0.25">
      <c r="A5627" t="s">
        <v>59</v>
      </c>
      <c r="B5627" t="s">
        <v>60</v>
      </c>
      <c r="C5627" t="s">
        <v>32</v>
      </c>
      <c r="D5627" t="s">
        <v>771</v>
      </c>
      <c r="E5627" t="s">
        <v>836</v>
      </c>
      <c r="F5627" t="s">
        <v>35</v>
      </c>
      <c r="G5627" t="s">
        <v>35</v>
      </c>
      <c r="H5627" t="s">
        <v>35</v>
      </c>
      <c r="J5627" t="s">
        <v>6152</v>
      </c>
      <c r="K5627" t="s">
        <v>1092</v>
      </c>
      <c r="M5627">
        <v>7</v>
      </c>
      <c r="N5627">
        <v>39</v>
      </c>
      <c r="O5627" t="s">
        <v>52</v>
      </c>
      <c r="Q5627" t="s">
        <v>493</v>
      </c>
      <c r="R5627" t="s">
        <v>6100</v>
      </c>
      <c r="S5627" t="s">
        <v>947</v>
      </c>
      <c r="T5627" t="s">
        <v>948</v>
      </c>
    </row>
    <row r="5628" spans="1:20" x14ac:dyDescent="0.25">
      <c r="A5628" t="s">
        <v>59</v>
      </c>
      <c r="B5628" t="s">
        <v>31</v>
      </c>
      <c r="C5628" t="s">
        <v>32</v>
      </c>
      <c r="D5628" t="s">
        <v>771</v>
      </c>
      <c r="E5628" t="s">
        <v>836</v>
      </c>
      <c r="F5628" t="s">
        <v>35</v>
      </c>
      <c r="G5628" t="s">
        <v>35</v>
      </c>
      <c r="H5628" t="s">
        <v>35</v>
      </c>
      <c r="J5628" t="s">
        <v>6152</v>
      </c>
      <c r="K5628" t="s">
        <v>1092</v>
      </c>
      <c r="M5628">
        <v>7.25</v>
      </c>
      <c r="N5628">
        <v>83</v>
      </c>
      <c r="O5628" t="s">
        <v>61</v>
      </c>
      <c r="Q5628" t="s">
        <v>897</v>
      </c>
      <c r="R5628" t="s">
        <v>6100</v>
      </c>
      <c r="S5628" t="s">
        <v>947</v>
      </c>
      <c r="T5628" t="s">
        <v>948</v>
      </c>
    </row>
    <row r="5629" spans="1:20" x14ac:dyDescent="0.25">
      <c r="A5629" t="s">
        <v>59</v>
      </c>
      <c r="B5629" t="s">
        <v>31</v>
      </c>
      <c r="C5629" t="s">
        <v>32</v>
      </c>
      <c r="D5629" t="s">
        <v>771</v>
      </c>
      <c r="E5629" t="s">
        <v>836</v>
      </c>
      <c r="F5629" t="s">
        <v>35</v>
      </c>
      <c r="G5629" t="s">
        <v>35</v>
      </c>
      <c r="H5629" t="s">
        <v>35</v>
      </c>
      <c r="J5629" t="s">
        <v>6152</v>
      </c>
      <c r="K5629" t="s">
        <v>1092</v>
      </c>
      <c r="M5629">
        <v>3</v>
      </c>
      <c r="N5629">
        <v>39</v>
      </c>
      <c r="O5629" t="s">
        <v>52</v>
      </c>
      <c r="Q5629" t="s">
        <v>493</v>
      </c>
      <c r="R5629" t="s">
        <v>6100</v>
      </c>
      <c r="S5629" t="s">
        <v>947</v>
      </c>
      <c r="T5629" t="s">
        <v>948</v>
      </c>
    </row>
    <row r="5630" spans="1:20" x14ac:dyDescent="0.25">
      <c r="A5630" t="s">
        <v>30</v>
      </c>
      <c r="B5630" t="s">
        <v>31</v>
      </c>
      <c r="C5630" t="s">
        <v>32</v>
      </c>
      <c r="D5630" t="s">
        <v>771</v>
      </c>
      <c r="E5630" t="s">
        <v>836</v>
      </c>
      <c r="F5630" t="s">
        <v>35</v>
      </c>
      <c r="G5630" t="s">
        <v>35</v>
      </c>
      <c r="H5630" t="s">
        <v>35</v>
      </c>
      <c r="J5630" t="s">
        <v>6152</v>
      </c>
      <c r="K5630" t="s">
        <v>1092</v>
      </c>
      <c r="M5630">
        <v>7.02</v>
      </c>
      <c r="N5630">
        <v>42</v>
      </c>
      <c r="O5630" t="s">
        <v>52</v>
      </c>
      <c r="Q5630" t="s">
        <v>219</v>
      </c>
      <c r="R5630" t="s">
        <v>6100</v>
      </c>
      <c r="S5630" t="s">
        <v>947</v>
      </c>
      <c r="T5630" t="s">
        <v>948</v>
      </c>
    </row>
    <row r="5631" spans="1:20" x14ac:dyDescent="0.25">
      <c r="A5631" t="s">
        <v>59</v>
      </c>
      <c r="B5631" t="s">
        <v>60</v>
      </c>
      <c r="C5631" t="s">
        <v>32</v>
      </c>
      <c r="D5631" t="s">
        <v>771</v>
      </c>
      <c r="E5631" t="s">
        <v>836</v>
      </c>
      <c r="F5631" t="s">
        <v>35</v>
      </c>
      <c r="G5631" t="s">
        <v>35</v>
      </c>
      <c r="H5631" t="s">
        <v>35</v>
      </c>
      <c r="J5631" t="s">
        <v>6152</v>
      </c>
      <c r="K5631" t="s">
        <v>1092</v>
      </c>
      <c r="M5631">
        <v>3.75</v>
      </c>
      <c r="N5631">
        <v>83</v>
      </c>
      <c r="O5631" t="s">
        <v>61</v>
      </c>
      <c r="Q5631" t="s">
        <v>897</v>
      </c>
      <c r="R5631" t="s">
        <v>6100</v>
      </c>
      <c r="S5631" t="s">
        <v>947</v>
      </c>
      <c r="T5631" t="s">
        <v>948</v>
      </c>
    </row>
    <row r="5632" spans="1:20" x14ac:dyDescent="0.25">
      <c r="A5632" t="s">
        <v>59</v>
      </c>
      <c r="B5632" t="s">
        <v>60</v>
      </c>
      <c r="C5632" t="s">
        <v>32</v>
      </c>
      <c r="D5632" t="s">
        <v>771</v>
      </c>
      <c r="E5632" t="s">
        <v>865</v>
      </c>
      <c r="F5632" t="s">
        <v>35</v>
      </c>
      <c r="G5632" t="s">
        <v>35</v>
      </c>
      <c r="H5632" t="s">
        <v>35</v>
      </c>
      <c r="J5632" t="s">
        <v>6389</v>
      </c>
      <c r="K5632" t="s">
        <v>1092</v>
      </c>
      <c r="M5632">
        <v>0.8</v>
      </c>
      <c r="N5632">
        <v>83</v>
      </c>
      <c r="O5632" t="s">
        <v>61</v>
      </c>
      <c r="Q5632" t="s">
        <v>897</v>
      </c>
      <c r="R5632" t="s">
        <v>6100</v>
      </c>
      <c r="S5632" t="s">
        <v>947</v>
      </c>
      <c r="T5632" t="s">
        <v>948</v>
      </c>
    </row>
    <row r="5633" spans="1:20" x14ac:dyDescent="0.25">
      <c r="A5633" t="s">
        <v>59</v>
      </c>
      <c r="B5633" t="s">
        <v>31</v>
      </c>
      <c r="C5633" t="s">
        <v>32</v>
      </c>
      <c r="D5633" t="s">
        <v>771</v>
      </c>
      <c r="E5633" t="s">
        <v>898</v>
      </c>
      <c r="F5633" t="s">
        <v>35</v>
      </c>
      <c r="G5633" t="s">
        <v>35</v>
      </c>
      <c r="H5633" t="s">
        <v>35</v>
      </c>
      <c r="J5633" t="s">
        <v>6539</v>
      </c>
      <c r="K5633" t="s">
        <v>1092</v>
      </c>
      <c r="M5633">
        <v>0.28999999999999998</v>
      </c>
      <c r="N5633">
        <v>83</v>
      </c>
      <c r="O5633" t="s">
        <v>61</v>
      </c>
      <c r="Q5633" t="s">
        <v>897</v>
      </c>
      <c r="R5633" t="s">
        <v>6100</v>
      </c>
      <c r="S5633" t="s">
        <v>947</v>
      </c>
      <c r="T5633" t="s">
        <v>948</v>
      </c>
    </row>
    <row r="5634" spans="1:20" x14ac:dyDescent="0.25">
      <c r="A5634" t="s">
        <v>59</v>
      </c>
      <c r="B5634" t="s">
        <v>60</v>
      </c>
      <c r="C5634" t="s">
        <v>32</v>
      </c>
      <c r="D5634" t="s">
        <v>771</v>
      </c>
      <c r="E5634" t="s">
        <v>898</v>
      </c>
      <c r="F5634" t="s">
        <v>35</v>
      </c>
      <c r="G5634" t="s">
        <v>35</v>
      </c>
      <c r="H5634" t="s">
        <v>35</v>
      </c>
      <c r="J5634" t="s">
        <v>6539</v>
      </c>
      <c r="K5634" t="s">
        <v>1092</v>
      </c>
      <c r="M5634">
        <v>2.5</v>
      </c>
      <c r="N5634">
        <v>83</v>
      </c>
      <c r="O5634" t="s">
        <v>61</v>
      </c>
      <c r="Q5634" t="s">
        <v>897</v>
      </c>
      <c r="R5634" t="s">
        <v>6100</v>
      </c>
      <c r="S5634" t="s">
        <v>947</v>
      </c>
      <c r="T5634" t="s">
        <v>948</v>
      </c>
    </row>
    <row r="5635" spans="1:20" x14ac:dyDescent="0.25">
      <c r="A5635" t="s">
        <v>44</v>
      </c>
      <c r="B5635" t="s">
        <v>51</v>
      </c>
      <c r="C5635" t="s">
        <v>32</v>
      </c>
      <c r="D5635" t="s">
        <v>771</v>
      </c>
      <c r="E5635" t="s">
        <v>871</v>
      </c>
      <c r="F5635" t="s">
        <v>35</v>
      </c>
      <c r="G5635" t="s">
        <v>35</v>
      </c>
      <c r="H5635" t="s">
        <v>35</v>
      </c>
      <c r="J5635" t="s">
        <v>6404</v>
      </c>
      <c r="K5635" t="s">
        <v>1092</v>
      </c>
      <c r="M5635">
        <v>1</v>
      </c>
      <c r="N5635">
        <v>16</v>
      </c>
      <c r="O5635" t="s">
        <v>46</v>
      </c>
      <c r="Q5635" t="s">
        <v>1819</v>
      </c>
      <c r="R5635" t="s">
        <v>6100</v>
      </c>
      <c r="S5635" t="s">
        <v>947</v>
      </c>
      <c r="T5635" t="s">
        <v>948</v>
      </c>
    </row>
    <row r="5636" spans="1:20" x14ac:dyDescent="0.25">
      <c r="A5636" t="s">
        <v>59</v>
      </c>
      <c r="B5636" t="s">
        <v>31</v>
      </c>
      <c r="C5636" t="s">
        <v>32</v>
      </c>
      <c r="D5636" t="s">
        <v>771</v>
      </c>
      <c r="E5636" t="s">
        <v>875</v>
      </c>
      <c r="F5636" t="s">
        <v>35</v>
      </c>
      <c r="G5636" t="s">
        <v>35</v>
      </c>
      <c r="H5636" t="s">
        <v>35</v>
      </c>
      <c r="J5636" t="s">
        <v>6449</v>
      </c>
      <c r="K5636" t="s">
        <v>1092</v>
      </c>
      <c r="M5636">
        <v>0.03</v>
      </c>
      <c r="N5636">
        <v>149</v>
      </c>
      <c r="O5636" t="s">
        <v>38</v>
      </c>
      <c r="Q5636" t="s">
        <v>75</v>
      </c>
      <c r="R5636" t="s">
        <v>6100</v>
      </c>
      <c r="S5636" t="s">
        <v>947</v>
      </c>
      <c r="T5636" t="s">
        <v>948</v>
      </c>
    </row>
    <row r="5637" spans="1:20" x14ac:dyDescent="0.25">
      <c r="A5637" t="s">
        <v>30</v>
      </c>
      <c r="B5637" t="s">
        <v>31</v>
      </c>
      <c r="C5637" t="s">
        <v>32</v>
      </c>
      <c r="D5637" t="s">
        <v>771</v>
      </c>
      <c r="E5637" t="s">
        <v>836</v>
      </c>
      <c r="F5637" t="s">
        <v>35</v>
      </c>
      <c r="G5637" t="s">
        <v>35</v>
      </c>
      <c r="H5637" t="s">
        <v>35</v>
      </c>
      <c r="J5637" t="s">
        <v>6147</v>
      </c>
      <c r="K5637" t="s">
        <v>1092</v>
      </c>
      <c r="M5637">
        <v>0.73</v>
      </c>
      <c r="N5637">
        <v>111</v>
      </c>
      <c r="O5637" t="s">
        <v>106</v>
      </c>
      <c r="Q5637" t="s">
        <v>1469</v>
      </c>
      <c r="R5637" t="s">
        <v>6100</v>
      </c>
      <c r="S5637" t="s">
        <v>947</v>
      </c>
      <c r="T5637" t="s">
        <v>948</v>
      </c>
    </row>
    <row r="5638" spans="1:20" x14ac:dyDescent="0.25">
      <c r="A5638" t="s">
        <v>59</v>
      </c>
      <c r="B5638" t="s">
        <v>60</v>
      </c>
      <c r="C5638" t="s">
        <v>32</v>
      </c>
      <c r="D5638" t="s">
        <v>771</v>
      </c>
      <c r="E5638" t="s">
        <v>6093</v>
      </c>
      <c r="F5638" t="s">
        <v>35</v>
      </c>
      <c r="G5638" t="s">
        <v>35</v>
      </c>
      <c r="H5638" t="s">
        <v>35</v>
      </c>
      <c r="J5638" t="s">
        <v>6099</v>
      </c>
      <c r="K5638" t="s">
        <v>1092</v>
      </c>
      <c r="M5638">
        <v>2.9</v>
      </c>
      <c r="N5638">
        <v>83</v>
      </c>
      <c r="O5638" t="s">
        <v>61</v>
      </c>
      <c r="Q5638" t="s">
        <v>897</v>
      </c>
      <c r="R5638" t="s">
        <v>6100</v>
      </c>
      <c r="S5638" t="s">
        <v>947</v>
      </c>
      <c r="T5638" t="s">
        <v>948</v>
      </c>
    </row>
    <row r="5639" spans="1:20" x14ac:dyDescent="0.25">
      <c r="A5639" t="s">
        <v>59</v>
      </c>
      <c r="B5639" t="s">
        <v>60</v>
      </c>
      <c r="C5639" t="s">
        <v>32</v>
      </c>
      <c r="D5639" t="s">
        <v>771</v>
      </c>
      <c r="E5639" t="s">
        <v>6093</v>
      </c>
      <c r="F5639" t="s">
        <v>35</v>
      </c>
      <c r="G5639" t="s">
        <v>35</v>
      </c>
      <c r="H5639" t="s">
        <v>35</v>
      </c>
      <c r="J5639" t="s">
        <v>6099</v>
      </c>
      <c r="K5639" t="s">
        <v>1092</v>
      </c>
      <c r="M5639">
        <v>7</v>
      </c>
      <c r="N5639">
        <v>39</v>
      </c>
      <c r="O5639" t="s">
        <v>52</v>
      </c>
      <c r="Q5639" t="s">
        <v>493</v>
      </c>
      <c r="R5639" t="s">
        <v>6100</v>
      </c>
      <c r="S5639" t="s">
        <v>947</v>
      </c>
      <c r="T5639" t="s">
        <v>948</v>
      </c>
    </row>
    <row r="5640" spans="1:20" x14ac:dyDescent="0.25">
      <c r="A5640" t="s">
        <v>59</v>
      </c>
      <c r="B5640" t="s">
        <v>60</v>
      </c>
      <c r="C5640" t="s">
        <v>32</v>
      </c>
      <c r="D5640" t="s">
        <v>771</v>
      </c>
      <c r="E5640" t="s">
        <v>836</v>
      </c>
      <c r="F5640" t="s">
        <v>35</v>
      </c>
      <c r="G5640" t="s">
        <v>35</v>
      </c>
      <c r="H5640" t="s">
        <v>35</v>
      </c>
      <c r="J5640" t="s">
        <v>2424</v>
      </c>
      <c r="K5640" t="s">
        <v>1092</v>
      </c>
      <c r="M5640">
        <v>0.5</v>
      </c>
      <c r="N5640">
        <v>271</v>
      </c>
      <c r="O5640" t="s">
        <v>5</v>
      </c>
      <c r="Q5640" t="s">
        <v>1724</v>
      </c>
      <c r="R5640" t="s">
        <v>6100</v>
      </c>
      <c r="S5640" t="s">
        <v>947</v>
      </c>
      <c r="T5640" t="s">
        <v>948</v>
      </c>
    </row>
    <row r="5641" spans="1:20" x14ac:dyDescent="0.25">
      <c r="A5641" t="s">
        <v>30</v>
      </c>
      <c r="B5641" t="s">
        <v>31</v>
      </c>
      <c r="C5641" t="s">
        <v>32</v>
      </c>
      <c r="D5641" t="s">
        <v>771</v>
      </c>
      <c r="E5641" t="s">
        <v>836</v>
      </c>
      <c r="F5641" t="s">
        <v>35</v>
      </c>
      <c r="G5641" t="s">
        <v>35</v>
      </c>
      <c r="H5641" t="s">
        <v>35</v>
      </c>
      <c r="J5641" t="s">
        <v>6155</v>
      </c>
      <c r="K5641" t="s">
        <v>1092</v>
      </c>
      <c r="M5641">
        <v>3.15</v>
      </c>
      <c r="N5641">
        <v>111</v>
      </c>
      <c r="O5641" t="s">
        <v>106</v>
      </c>
      <c r="Q5641" t="s">
        <v>1469</v>
      </c>
      <c r="R5641" t="s">
        <v>6100</v>
      </c>
      <c r="S5641" t="s">
        <v>947</v>
      </c>
      <c r="T5641" t="s">
        <v>948</v>
      </c>
    </row>
    <row r="5642" spans="1:20" x14ac:dyDescent="0.25">
      <c r="A5642" t="s">
        <v>30</v>
      </c>
      <c r="B5642" t="s">
        <v>31</v>
      </c>
      <c r="C5642" t="s">
        <v>32</v>
      </c>
      <c r="D5642" t="s">
        <v>771</v>
      </c>
      <c r="E5642" t="s">
        <v>6093</v>
      </c>
      <c r="F5642" t="s">
        <v>35</v>
      </c>
      <c r="G5642" t="s">
        <v>35</v>
      </c>
      <c r="H5642" t="s">
        <v>35</v>
      </c>
      <c r="J5642" t="s">
        <v>6130</v>
      </c>
      <c r="K5642" t="s">
        <v>1092</v>
      </c>
      <c r="M5642">
        <v>1.53</v>
      </c>
      <c r="N5642">
        <v>286</v>
      </c>
      <c r="O5642" t="s">
        <v>5</v>
      </c>
      <c r="Q5642" t="s">
        <v>6131</v>
      </c>
      <c r="R5642" t="s">
        <v>6100</v>
      </c>
      <c r="S5642" t="s">
        <v>947</v>
      </c>
      <c r="T5642" t="s">
        <v>948</v>
      </c>
    </row>
    <row r="5643" spans="1:20" x14ac:dyDescent="0.25">
      <c r="A5643" t="s">
        <v>59</v>
      </c>
      <c r="B5643" t="s">
        <v>31</v>
      </c>
      <c r="C5643" t="s">
        <v>32</v>
      </c>
      <c r="D5643" t="s">
        <v>771</v>
      </c>
      <c r="E5643" t="s">
        <v>910</v>
      </c>
      <c r="F5643" t="s">
        <v>35</v>
      </c>
      <c r="G5643" t="s">
        <v>35</v>
      </c>
      <c r="H5643" t="s">
        <v>35</v>
      </c>
      <c r="J5643" t="s">
        <v>6566</v>
      </c>
      <c r="K5643" t="s">
        <v>404</v>
      </c>
      <c r="M5643">
        <v>8.4149999999999991</v>
      </c>
      <c r="N5643">
        <v>29</v>
      </c>
      <c r="O5643" t="s">
        <v>46</v>
      </c>
      <c r="Q5643" t="s">
        <v>2005</v>
      </c>
      <c r="R5643" t="s">
        <v>6568</v>
      </c>
      <c r="S5643" t="s">
        <v>6569</v>
      </c>
      <c r="T5643" t="s">
        <v>6567</v>
      </c>
    </row>
    <row r="5644" spans="1:20" x14ac:dyDescent="0.25">
      <c r="A5644" t="s">
        <v>30</v>
      </c>
      <c r="B5644" t="s">
        <v>31</v>
      </c>
      <c r="C5644" t="s">
        <v>32</v>
      </c>
      <c r="D5644" t="s">
        <v>771</v>
      </c>
      <c r="F5644" t="s">
        <v>35</v>
      </c>
      <c r="G5644" t="s">
        <v>35</v>
      </c>
      <c r="H5644" t="s">
        <v>35</v>
      </c>
      <c r="J5644" t="s">
        <v>6670</v>
      </c>
      <c r="K5644" t="s">
        <v>1092</v>
      </c>
      <c r="M5644">
        <v>7.02</v>
      </c>
      <c r="N5644">
        <v>40</v>
      </c>
      <c r="O5644" t="s">
        <v>52</v>
      </c>
      <c r="Q5644" t="s">
        <v>132</v>
      </c>
      <c r="R5644" t="s">
        <v>6671</v>
      </c>
      <c r="S5644" t="s">
        <v>6672</v>
      </c>
      <c r="T5644" t="s">
        <v>6673</v>
      </c>
    </row>
    <row r="5645" spans="1:20" x14ac:dyDescent="0.25">
      <c r="A5645" t="s">
        <v>59</v>
      </c>
      <c r="B5645" t="s">
        <v>31</v>
      </c>
      <c r="C5645" t="s">
        <v>32</v>
      </c>
      <c r="D5645" t="s">
        <v>771</v>
      </c>
      <c r="E5645" t="s">
        <v>840</v>
      </c>
      <c r="F5645" t="s">
        <v>35</v>
      </c>
      <c r="G5645" t="s">
        <v>35</v>
      </c>
      <c r="H5645" t="s">
        <v>35</v>
      </c>
      <c r="J5645" t="s">
        <v>6207</v>
      </c>
      <c r="K5645" t="s">
        <v>1092</v>
      </c>
      <c r="M5645">
        <v>0.04</v>
      </c>
      <c r="N5645">
        <v>1269</v>
      </c>
      <c r="O5645" t="s">
        <v>575</v>
      </c>
      <c r="Q5645" t="s">
        <v>4685</v>
      </c>
      <c r="R5645" t="s">
        <v>6208</v>
      </c>
      <c r="S5645" t="s">
        <v>6209</v>
      </c>
      <c r="T5645" t="s">
        <v>6210</v>
      </c>
    </row>
    <row r="5646" spans="1:20" x14ac:dyDescent="0.25">
      <c r="A5646" t="s">
        <v>59</v>
      </c>
      <c r="B5646" t="s">
        <v>60</v>
      </c>
      <c r="C5646" t="s">
        <v>32</v>
      </c>
      <c r="D5646" t="s">
        <v>771</v>
      </c>
      <c r="E5646" t="s">
        <v>871</v>
      </c>
      <c r="F5646" t="s">
        <v>35</v>
      </c>
      <c r="G5646" t="s">
        <v>35</v>
      </c>
      <c r="H5646" t="s">
        <v>35</v>
      </c>
      <c r="J5646" t="s">
        <v>6391</v>
      </c>
      <c r="K5646" t="s">
        <v>1092</v>
      </c>
      <c r="M5646">
        <v>0.5</v>
      </c>
      <c r="N5646">
        <v>84</v>
      </c>
      <c r="O5646" t="s">
        <v>61</v>
      </c>
      <c r="Q5646" t="s">
        <v>1147</v>
      </c>
      <c r="R5646" t="s">
        <v>6050</v>
      </c>
      <c r="S5646" t="s">
        <v>872</v>
      </c>
      <c r="T5646" t="s">
        <v>873</v>
      </c>
    </row>
    <row r="5647" spans="1:20" x14ac:dyDescent="0.25">
      <c r="A5647" t="s">
        <v>59</v>
      </c>
      <c r="B5647" t="s">
        <v>60</v>
      </c>
      <c r="C5647" t="s">
        <v>32</v>
      </c>
      <c r="D5647" t="s">
        <v>771</v>
      </c>
      <c r="E5647" t="s">
        <v>910</v>
      </c>
      <c r="F5647" t="s">
        <v>35</v>
      </c>
      <c r="G5647" t="s">
        <v>35</v>
      </c>
      <c r="H5647" t="s">
        <v>35</v>
      </c>
      <c r="J5647" t="s">
        <v>6564</v>
      </c>
      <c r="K5647" t="s">
        <v>1092</v>
      </c>
      <c r="M5647">
        <v>0.05</v>
      </c>
      <c r="N5647">
        <v>354</v>
      </c>
      <c r="O5647" t="s">
        <v>5</v>
      </c>
      <c r="Q5647" t="s">
        <v>1685</v>
      </c>
      <c r="R5647" t="s">
        <v>6050</v>
      </c>
      <c r="S5647" t="s">
        <v>872</v>
      </c>
      <c r="T5647" t="s">
        <v>873</v>
      </c>
    </row>
    <row r="5648" spans="1:20" x14ac:dyDescent="0.25">
      <c r="A5648" t="s">
        <v>59</v>
      </c>
      <c r="B5648" t="s">
        <v>60</v>
      </c>
      <c r="C5648" t="s">
        <v>32</v>
      </c>
      <c r="D5648" t="s">
        <v>771</v>
      </c>
      <c r="E5648" t="s">
        <v>865</v>
      </c>
      <c r="F5648" t="s">
        <v>35</v>
      </c>
      <c r="G5648" t="s">
        <v>35</v>
      </c>
      <c r="H5648" t="s">
        <v>35</v>
      </c>
      <c r="J5648" t="s">
        <v>6357</v>
      </c>
      <c r="K5648" t="s">
        <v>1092</v>
      </c>
      <c r="M5648">
        <v>3.5</v>
      </c>
      <c r="N5648">
        <v>40</v>
      </c>
      <c r="O5648" t="s">
        <v>52</v>
      </c>
      <c r="Q5648" t="s">
        <v>132</v>
      </c>
      <c r="R5648" t="s">
        <v>6050</v>
      </c>
      <c r="S5648" t="s">
        <v>872</v>
      </c>
      <c r="T5648" t="s">
        <v>873</v>
      </c>
    </row>
    <row r="5649" spans="1:20" x14ac:dyDescent="0.25">
      <c r="A5649" t="s">
        <v>59</v>
      </c>
      <c r="B5649" t="s">
        <v>60</v>
      </c>
      <c r="C5649" t="s">
        <v>32</v>
      </c>
      <c r="D5649" t="s">
        <v>771</v>
      </c>
      <c r="E5649" t="s">
        <v>865</v>
      </c>
      <c r="F5649" t="s">
        <v>35</v>
      </c>
      <c r="G5649" t="s">
        <v>35</v>
      </c>
      <c r="H5649" t="s">
        <v>35</v>
      </c>
      <c r="J5649" t="s">
        <v>6357</v>
      </c>
      <c r="K5649" t="s">
        <v>1092</v>
      </c>
      <c r="M5649">
        <v>4</v>
      </c>
      <c r="N5649">
        <v>84</v>
      </c>
      <c r="O5649" t="s">
        <v>61</v>
      </c>
      <c r="Q5649" t="s">
        <v>1147</v>
      </c>
      <c r="R5649" t="s">
        <v>6050</v>
      </c>
      <c r="S5649" t="s">
        <v>872</v>
      </c>
      <c r="T5649" t="s">
        <v>873</v>
      </c>
    </row>
    <row r="5650" spans="1:20" x14ac:dyDescent="0.25">
      <c r="A5650" t="s">
        <v>44</v>
      </c>
      <c r="B5650" t="s">
        <v>51</v>
      </c>
      <c r="C5650" t="s">
        <v>32</v>
      </c>
      <c r="D5650" t="s">
        <v>771</v>
      </c>
      <c r="E5650" t="s">
        <v>783</v>
      </c>
      <c r="F5650" t="s">
        <v>35</v>
      </c>
      <c r="G5650" t="s">
        <v>35</v>
      </c>
      <c r="H5650" t="s">
        <v>35</v>
      </c>
      <c r="J5650" t="s">
        <v>6058</v>
      </c>
      <c r="K5650" t="s">
        <v>1092</v>
      </c>
      <c r="M5650">
        <v>0.5</v>
      </c>
      <c r="N5650">
        <v>7</v>
      </c>
      <c r="O5650" t="s">
        <v>46</v>
      </c>
      <c r="Q5650" t="s">
        <v>2440</v>
      </c>
      <c r="R5650" t="s">
        <v>6050</v>
      </c>
      <c r="S5650" t="s">
        <v>872</v>
      </c>
      <c r="T5650" t="s">
        <v>873</v>
      </c>
    </row>
    <row r="5651" spans="1:20" x14ac:dyDescent="0.25">
      <c r="A5651" t="s">
        <v>59</v>
      </c>
      <c r="B5651" t="s">
        <v>60</v>
      </c>
      <c r="C5651" t="s">
        <v>32</v>
      </c>
      <c r="D5651" t="s">
        <v>771</v>
      </c>
      <c r="F5651" t="s">
        <v>35</v>
      </c>
      <c r="G5651" t="s">
        <v>35</v>
      </c>
      <c r="H5651" t="s">
        <v>35</v>
      </c>
      <c r="J5651" t="s">
        <v>6643</v>
      </c>
      <c r="K5651" t="s">
        <v>1092</v>
      </c>
      <c r="M5651">
        <v>0.3</v>
      </c>
      <c r="N5651">
        <v>361</v>
      </c>
      <c r="O5651" t="s">
        <v>5</v>
      </c>
      <c r="Q5651" t="s">
        <v>6644</v>
      </c>
      <c r="R5651" t="s">
        <v>6050</v>
      </c>
      <c r="S5651" t="s">
        <v>872</v>
      </c>
      <c r="T5651" t="s">
        <v>873</v>
      </c>
    </row>
    <row r="5652" spans="1:20" x14ac:dyDescent="0.25">
      <c r="A5652" t="s">
        <v>59</v>
      </c>
      <c r="B5652" t="s">
        <v>60</v>
      </c>
      <c r="C5652" t="s">
        <v>32</v>
      </c>
      <c r="D5652" t="s">
        <v>771</v>
      </c>
      <c r="E5652" t="s">
        <v>6093</v>
      </c>
      <c r="F5652" t="s">
        <v>35</v>
      </c>
      <c r="G5652" t="s">
        <v>35</v>
      </c>
      <c r="H5652" t="s">
        <v>35</v>
      </c>
      <c r="J5652" t="s">
        <v>6110</v>
      </c>
      <c r="K5652" t="s">
        <v>1092</v>
      </c>
      <c r="M5652">
        <v>1.75</v>
      </c>
      <c r="N5652">
        <v>40</v>
      </c>
      <c r="O5652" t="s">
        <v>52</v>
      </c>
      <c r="Q5652" t="s">
        <v>132</v>
      </c>
      <c r="R5652" t="s">
        <v>6050</v>
      </c>
      <c r="S5652" t="s">
        <v>872</v>
      </c>
      <c r="T5652" t="s">
        <v>873</v>
      </c>
    </row>
    <row r="5653" spans="1:20" x14ac:dyDescent="0.25">
      <c r="A5653" t="s">
        <v>59</v>
      </c>
      <c r="B5653" t="s">
        <v>60</v>
      </c>
      <c r="C5653" t="s">
        <v>32</v>
      </c>
      <c r="D5653" t="s">
        <v>771</v>
      </c>
      <c r="E5653" t="s">
        <v>865</v>
      </c>
      <c r="F5653" t="s">
        <v>35</v>
      </c>
      <c r="G5653" t="s">
        <v>35</v>
      </c>
      <c r="H5653" t="s">
        <v>35</v>
      </c>
      <c r="J5653" t="s">
        <v>6354</v>
      </c>
      <c r="K5653" t="s">
        <v>1092</v>
      </c>
      <c r="M5653">
        <v>5</v>
      </c>
      <c r="N5653">
        <v>40</v>
      </c>
      <c r="O5653" t="s">
        <v>52</v>
      </c>
      <c r="Q5653" t="s">
        <v>132</v>
      </c>
      <c r="R5653" t="s">
        <v>6050</v>
      </c>
      <c r="S5653" t="s">
        <v>872</v>
      </c>
      <c r="T5653" t="s">
        <v>873</v>
      </c>
    </row>
    <row r="5654" spans="1:20" x14ac:dyDescent="0.25">
      <c r="A5654" t="s">
        <v>59</v>
      </c>
      <c r="B5654" t="s">
        <v>60</v>
      </c>
      <c r="C5654" t="s">
        <v>32</v>
      </c>
      <c r="D5654" t="s">
        <v>771</v>
      </c>
      <c r="E5654" t="s">
        <v>865</v>
      </c>
      <c r="F5654" t="s">
        <v>35</v>
      </c>
      <c r="G5654" t="s">
        <v>35</v>
      </c>
      <c r="H5654" t="s">
        <v>35</v>
      </c>
      <c r="J5654" t="s">
        <v>6354</v>
      </c>
      <c r="K5654" t="s">
        <v>1092</v>
      </c>
      <c r="M5654">
        <v>0.05</v>
      </c>
      <c r="N5654">
        <v>84</v>
      </c>
      <c r="O5654" t="s">
        <v>61</v>
      </c>
      <c r="Q5654" t="s">
        <v>1147</v>
      </c>
      <c r="R5654" t="s">
        <v>6050</v>
      </c>
      <c r="S5654" t="s">
        <v>872</v>
      </c>
      <c r="T5654" t="s">
        <v>873</v>
      </c>
    </row>
    <row r="5655" spans="1:20" x14ac:dyDescent="0.25">
      <c r="A5655" t="s">
        <v>30</v>
      </c>
      <c r="B5655" t="s">
        <v>31</v>
      </c>
      <c r="C5655" t="s">
        <v>32</v>
      </c>
      <c r="D5655" t="s">
        <v>771</v>
      </c>
      <c r="E5655" t="s">
        <v>783</v>
      </c>
      <c r="F5655" t="s">
        <v>35</v>
      </c>
      <c r="G5655" t="s">
        <v>35</v>
      </c>
      <c r="H5655" t="s">
        <v>35</v>
      </c>
      <c r="J5655" t="s">
        <v>6049</v>
      </c>
      <c r="K5655" t="s">
        <v>1092</v>
      </c>
      <c r="M5655">
        <v>3.0150000000000001</v>
      </c>
      <c r="N5655">
        <v>42</v>
      </c>
      <c r="O5655" t="s">
        <v>52</v>
      </c>
      <c r="Q5655" t="s">
        <v>219</v>
      </c>
      <c r="R5655" t="s">
        <v>6050</v>
      </c>
      <c r="S5655" t="s">
        <v>872</v>
      </c>
      <c r="T5655" t="s">
        <v>873</v>
      </c>
    </row>
    <row r="5656" spans="1:20" x14ac:dyDescent="0.25">
      <c r="A5656" t="s">
        <v>59</v>
      </c>
      <c r="B5656" t="s">
        <v>31</v>
      </c>
      <c r="C5656" t="s">
        <v>32</v>
      </c>
      <c r="D5656" t="s">
        <v>771</v>
      </c>
      <c r="E5656" t="s">
        <v>871</v>
      </c>
      <c r="F5656" t="s">
        <v>35</v>
      </c>
      <c r="G5656" t="s">
        <v>35</v>
      </c>
      <c r="H5656" t="s">
        <v>35</v>
      </c>
      <c r="J5656" t="s">
        <v>6408</v>
      </c>
      <c r="K5656" t="s">
        <v>1092</v>
      </c>
      <c r="M5656">
        <v>0.45</v>
      </c>
      <c r="N5656">
        <v>40</v>
      </c>
      <c r="O5656" t="s">
        <v>52</v>
      </c>
      <c r="Q5656" t="s">
        <v>132</v>
      </c>
      <c r="R5656" t="s">
        <v>6050</v>
      </c>
      <c r="S5656" t="s">
        <v>872</v>
      </c>
      <c r="T5656" t="s">
        <v>873</v>
      </c>
    </row>
    <row r="5657" spans="1:20" x14ac:dyDescent="0.25">
      <c r="A5657" t="s">
        <v>59</v>
      </c>
      <c r="B5657" t="s">
        <v>60</v>
      </c>
      <c r="C5657" t="s">
        <v>32</v>
      </c>
      <c r="D5657" t="s">
        <v>771</v>
      </c>
      <c r="E5657" t="s">
        <v>871</v>
      </c>
      <c r="F5657" t="s">
        <v>35</v>
      </c>
      <c r="G5657" t="s">
        <v>35</v>
      </c>
      <c r="H5657" t="s">
        <v>35</v>
      </c>
      <c r="J5657" t="s">
        <v>6408</v>
      </c>
      <c r="K5657" t="s">
        <v>1092</v>
      </c>
      <c r="M5657">
        <v>1.5</v>
      </c>
      <c r="N5657">
        <v>40</v>
      </c>
      <c r="O5657" t="s">
        <v>52</v>
      </c>
      <c r="Q5657" t="s">
        <v>132</v>
      </c>
      <c r="R5657" t="s">
        <v>6050</v>
      </c>
      <c r="S5657" t="s">
        <v>872</v>
      </c>
      <c r="T5657" t="s">
        <v>873</v>
      </c>
    </row>
    <row r="5658" spans="1:20" x14ac:dyDescent="0.25">
      <c r="A5658" t="s">
        <v>59</v>
      </c>
      <c r="B5658" t="s">
        <v>60</v>
      </c>
      <c r="C5658" t="s">
        <v>32</v>
      </c>
      <c r="D5658" t="s">
        <v>771</v>
      </c>
      <c r="E5658" t="s">
        <v>871</v>
      </c>
      <c r="F5658" t="s">
        <v>35</v>
      </c>
      <c r="G5658" t="s">
        <v>35</v>
      </c>
      <c r="H5658" t="s">
        <v>35</v>
      </c>
      <c r="J5658" t="s">
        <v>6408</v>
      </c>
      <c r="K5658" t="s">
        <v>1092</v>
      </c>
      <c r="M5658">
        <v>1.45</v>
      </c>
      <c r="N5658">
        <v>150</v>
      </c>
      <c r="O5658" t="s">
        <v>38</v>
      </c>
      <c r="Q5658" t="s">
        <v>1145</v>
      </c>
      <c r="R5658" t="s">
        <v>6050</v>
      </c>
      <c r="S5658" t="s">
        <v>872</v>
      </c>
      <c r="T5658" t="s">
        <v>873</v>
      </c>
    </row>
    <row r="5659" spans="1:20" x14ac:dyDescent="0.25">
      <c r="A5659" t="s">
        <v>59</v>
      </c>
      <c r="B5659" t="s">
        <v>60</v>
      </c>
      <c r="C5659" t="s">
        <v>32</v>
      </c>
      <c r="D5659" t="s">
        <v>771</v>
      </c>
      <c r="E5659" t="s">
        <v>871</v>
      </c>
      <c r="F5659" t="s">
        <v>35</v>
      </c>
      <c r="G5659" t="s">
        <v>35</v>
      </c>
      <c r="H5659" t="s">
        <v>35</v>
      </c>
      <c r="J5659" t="s">
        <v>6394</v>
      </c>
      <c r="K5659" t="s">
        <v>1092</v>
      </c>
      <c r="M5659">
        <v>2</v>
      </c>
      <c r="N5659">
        <v>40</v>
      </c>
      <c r="O5659" t="s">
        <v>52</v>
      </c>
      <c r="Q5659" t="s">
        <v>132</v>
      </c>
      <c r="R5659" t="s">
        <v>6050</v>
      </c>
      <c r="S5659" t="s">
        <v>872</v>
      </c>
      <c r="T5659" t="s">
        <v>873</v>
      </c>
    </row>
    <row r="5660" spans="1:20" x14ac:dyDescent="0.25">
      <c r="A5660" t="s">
        <v>59</v>
      </c>
      <c r="B5660" t="s">
        <v>31</v>
      </c>
      <c r="C5660" t="s">
        <v>32</v>
      </c>
      <c r="D5660" t="s">
        <v>771</v>
      </c>
      <c r="E5660" t="s">
        <v>871</v>
      </c>
      <c r="F5660" t="s">
        <v>35</v>
      </c>
      <c r="G5660" t="s">
        <v>35</v>
      </c>
      <c r="H5660" t="s">
        <v>35</v>
      </c>
      <c r="J5660" t="s">
        <v>6394</v>
      </c>
      <c r="K5660" t="s">
        <v>1092</v>
      </c>
      <c r="M5660">
        <v>1.125</v>
      </c>
      <c r="N5660">
        <v>40</v>
      </c>
      <c r="O5660" t="s">
        <v>52</v>
      </c>
      <c r="Q5660" t="s">
        <v>132</v>
      </c>
      <c r="R5660" t="s">
        <v>6050</v>
      </c>
      <c r="S5660" t="s">
        <v>872</v>
      </c>
      <c r="T5660" t="s">
        <v>873</v>
      </c>
    </row>
    <row r="5661" spans="1:20" x14ac:dyDescent="0.25">
      <c r="A5661" t="s">
        <v>59</v>
      </c>
      <c r="B5661" t="s">
        <v>60</v>
      </c>
      <c r="C5661" t="s">
        <v>32</v>
      </c>
      <c r="D5661" t="s">
        <v>771</v>
      </c>
      <c r="E5661" t="s">
        <v>871</v>
      </c>
      <c r="F5661" t="s">
        <v>35</v>
      </c>
      <c r="G5661" t="s">
        <v>35</v>
      </c>
      <c r="H5661" t="s">
        <v>35</v>
      </c>
      <c r="J5661" t="s">
        <v>3886</v>
      </c>
      <c r="K5661" t="s">
        <v>1092</v>
      </c>
      <c r="M5661">
        <v>1.8</v>
      </c>
      <c r="N5661">
        <v>150</v>
      </c>
      <c r="O5661" t="s">
        <v>38</v>
      </c>
      <c r="Q5661" t="s">
        <v>1145</v>
      </c>
      <c r="R5661" t="s">
        <v>6050</v>
      </c>
      <c r="S5661" t="s">
        <v>872</v>
      </c>
      <c r="T5661" t="s">
        <v>873</v>
      </c>
    </row>
    <row r="5662" spans="1:20" x14ac:dyDescent="0.25">
      <c r="A5662" t="s">
        <v>30</v>
      </c>
      <c r="B5662" t="s">
        <v>31</v>
      </c>
      <c r="C5662" t="s">
        <v>32</v>
      </c>
      <c r="D5662" t="s">
        <v>771</v>
      </c>
      <c r="E5662" t="s">
        <v>871</v>
      </c>
      <c r="F5662" t="s">
        <v>35</v>
      </c>
      <c r="G5662" t="s">
        <v>35</v>
      </c>
      <c r="H5662" t="s">
        <v>35</v>
      </c>
      <c r="J5662" t="s">
        <v>3886</v>
      </c>
      <c r="K5662" t="s">
        <v>1092</v>
      </c>
      <c r="M5662">
        <v>10.035</v>
      </c>
      <c r="N5662">
        <v>42</v>
      </c>
      <c r="O5662" t="s">
        <v>52</v>
      </c>
      <c r="Q5662" t="s">
        <v>219</v>
      </c>
      <c r="R5662" t="s">
        <v>6050</v>
      </c>
      <c r="S5662" t="s">
        <v>872</v>
      </c>
      <c r="T5662" t="s">
        <v>873</v>
      </c>
    </row>
    <row r="5663" spans="1:20" x14ac:dyDescent="0.25">
      <c r="A5663" t="s">
        <v>44</v>
      </c>
      <c r="B5663" t="s">
        <v>51</v>
      </c>
      <c r="C5663" t="s">
        <v>32</v>
      </c>
      <c r="D5663" t="s">
        <v>771</v>
      </c>
      <c r="E5663" t="s">
        <v>871</v>
      </c>
      <c r="F5663" t="s">
        <v>35</v>
      </c>
      <c r="G5663" t="s">
        <v>35</v>
      </c>
      <c r="H5663" t="s">
        <v>35</v>
      </c>
      <c r="J5663" t="s">
        <v>3886</v>
      </c>
      <c r="K5663" t="s">
        <v>1092</v>
      </c>
      <c r="M5663">
        <v>3.25</v>
      </c>
      <c r="N5663">
        <v>77</v>
      </c>
      <c r="O5663" t="s">
        <v>61</v>
      </c>
      <c r="Q5663" t="s">
        <v>778</v>
      </c>
      <c r="R5663" t="s">
        <v>6050</v>
      </c>
      <c r="S5663" t="s">
        <v>872</v>
      </c>
      <c r="T5663" t="s">
        <v>873</v>
      </c>
    </row>
    <row r="5664" spans="1:20" x14ac:dyDescent="0.25">
      <c r="A5664" t="s">
        <v>59</v>
      </c>
      <c r="B5664" t="s">
        <v>31</v>
      </c>
      <c r="C5664" t="s">
        <v>32</v>
      </c>
      <c r="D5664" t="s">
        <v>771</v>
      </c>
      <c r="F5664" t="s">
        <v>35</v>
      </c>
      <c r="G5664" t="s">
        <v>35</v>
      </c>
      <c r="H5664" t="s">
        <v>35</v>
      </c>
      <c r="J5664" t="s">
        <v>628</v>
      </c>
      <c r="K5664" t="s">
        <v>1092</v>
      </c>
      <c r="M5664">
        <v>6.12</v>
      </c>
      <c r="N5664">
        <v>1396</v>
      </c>
      <c r="O5664" t="s">
        <v>575</v>
      </c>
      <c r="Q5664" t="s">
        <v>6692</v>
      </c>
      <c r="R5664" t="s">
        <v>6079</v>
      </c>
      <c r="S5664" t="s">
        <v>866</v>
      </c>
      <c r="T5664" t="s">
        <v>867</v>
      </c>
    </row>
    <row r="5665" spans="1:20" x14ac:dyDescent="0.25">
      <c r="A5665" t="s">
        <v>59</v>
      </c>
      <c r="B5665" t="s">
        <v>60</v>
      </c>
      <c r="C5665" t="s">
        <v>32</v>
      </c>
      <c r="D5665" t="s">
        <v>771</v>
      </c>
      <c r="F5665" t="s">
        <v>35</v>
      </c>
      <c r="G5665" t="s">
        <v>35</v>
      </c>
      <c r="H5665" t="s">
        <v>35</v>
      </c>
      <c r="J5665" t="s">
        <v>628</v>
      </c>
      <c r="K5665" t="s">
        <v>1092</v>
      </c>
      <c r="M5665">
        <v>2.25</v>
      </c>
      <c r="N5665">
        <v>1396</v>
      </c>
      <c r="O5665" t="s">
        <v>575</v>
      </c>
      <c r="Q5665" t="s">
        <v>6692</v>
      </c>
      <c r="R5665" t="s">
        <v>6079</v>
      </c>
      <c r="S5665" t="s">
        <v>866</v>
      </c>
      <c r="T5665" t="s">
        <v>867</v>
      </c>
    </row>
    <row r="5666" spans="1:20" x14ac:dyDescent="0.25">
      <c r="A5666" t="s">
        <v>59</v>
      </c>
      <c r="B5666" t="s">
        <v>60</v>
      </c>
      <c r="C5666" t="s">
        <v>32</v>
      </c>
      <c r="D5666" t="s">
        <v>771</v>
      </c>
      <c r="E5666" t="s">
        <v>783</v>
      </c>
      <c r="F5666" t="s">
        <v>35</v>
      </c>
      <c r="G5666" t="s">
        <v>35</v>
      </c>
      <c r="H5666" t="s">
        <v>35</v>
      </c>
      <c r="J5666" t="s">
        <v>6077</v>
      </c>
      <c r="K5666" t="s">
        <v>1092</v>
      </c>
      <c r="M5666">
        <v>1</v>
      </c>
      <c r="N5666">
        <v>1097</v>
      </c>
      <c r="O5666" t="s">
        <v>575</v>
      </c>
      <c r="Q5666" t="s">
        <v>6078</v>
      </c>
      <c r="R5666" t="s">
        <v>6079</v>
      </c>
      <c r="S5666" t="s">
        <v>866</v>
      </c>
      <c r="T5666" t="s">
        <v>867</v>
      </c>
    </row>
    <row r="5667" spans="1:20" x14ac:dyDescent="0.25">
      <c r="A5667" t="s">
        <v>59</v>
      </c>
      <c r="B5667" t="s">
        <v>60</v>
      </c>
      <c r="C5667" t="s">
        <v>32</v>
      </c>
      <c r="D5667" t="s">
        <v>771</v>
      </c>
      <c r="E5667" t="s">
        <v>865</v>
      </c>
      <c r="F5667" t="s">
        <v>35</v>
      </c>
      <c r="G5667" t="s">
        <v>35</v>
      </c>
      <c r="H5667" t="s">
        <v>35</v>
      </c>
      <c r="J5667" t="s">
        <v>866</v>
      </c>
      <c r="K5667" t="s">
        <v>1092</v>
      </c>
      <c r="M5667">
        <v>4</v>
      </c>
      <c r="N5667">
        <v>37</v>
      </c>
      <c r="O5667" t="s">
        <v>52</v>
      </c>
      <c r="Q5667" t="s">
        <v>192</v>
      </c>
      <c r="R5667" t="s">
        <v>6079</v>
      </c>
      <c r="S5667" t="s">
        <v>866</v>
      </c>
      <c r="T5667" t="s">
        <v>867</v>
      </c>
    </row>
    <row r="5668" spans="1:20" x14ac:dyDescent="0.25">
      <c r="A5668" t="s">
        <v>30</v>
      </c>
      <c r="B5668" t="s">
        <v>31</v>
      </c>
      <c r="C5668" t="s">
        <v>32</v>
      </c>
      <c r="D5668" t="s">
        <v>771</v>
      </c>
      <c r="E5668" t="s">
        <v>865</v>
      </c>
      <c r="F5668" t="s">
        <v>35</v>
      </c>
      <c r="G5668" t="s">
        <v>35</v>
      </c>
      <c r="H5668" t="s">
        <v>35</v>
      </c>
      <c r="J5668" t="s">
        <v>6385</v>
      </c>
      <c r="K5668" t="s">
        <v>1092</v>
      </c>
      <c r="M5668">
        <v>4.5</v>
      </c>
      <c r="N5668">
        <v>280</v>
      </c>
      <c r="O5668" t="s">
        <v>5</v>
      </c>
      <c r="Q5668" t="s">
        <v>3688</v>
      </c>
      <c r="R5668" t="s">
        <v>6079</v>
      </c>
      <c r="S5668" t="s">
        <v>866</v>
      </c>
      <c r="T5668" t="s">
        <v>867</v>
      </c>
    </row>
    <row r="5669" spans="1:20" x14ac:dyDescent="0.25">
      <c r="A5669" t="s">
        <v>59</v>
      </c>
      <c r="B5669" t="s">
        <v>60</v>
      </c>
      <c r="C5669" t="s">
        <v>32</v>
      </c>
      <c r="D5669" t="s">
        <v>771</v>
      </c>
      <c r="E5669" t="s">
        <v>865</v>
      </c>
      <c r="F5669" t="s">
        <v>35</v>
      </c>
      <c r="G5669" t="s">
        <v>35</v>
      </c>
      <c r="H5669" t="s">
        <v>35</v>
      </c>
      <c r="J5669" t="s">
        <v>6376</v>
      </c>
      <c r="K5669" t="s">
        <v>1092</v>
      </c>
      <c r="M5669">
        <v>3</v>
      </c>
      <c r="N5669">
        <v>37</v>
      </c>
      <c r="O5669" t="s">
        <v>52</v>
      </c>
      <c r="Q5669" t="s">
        <v>192</v>
      </c>
      <c r="R5669" t="s">
        <v>6079</v>
      </c>
      <c r="S5669" t="s">
        <v>866</v>
      </c>
      <c r="T5669" t="s">
        <v>867</v>
      </c>
    </row>
    <row r="5670" spans="1:20" x14ac:dyDescent="0.25">
      <c r="A5670" t="s">
        <v>59</v>
      </c>
      <c r="B5670" t="s">
        <v>60</v>
      </c>
      <c r="C5670" t="s">
        <v>32</v>
      </c>
      <c r="D5670" t="s">
        <v>771</v>
      </c>
      <c r="E5670" t="s">
        <v>783</v>
      </c>
      <c r="F5670" t="s">
        <v>35</v>
      </c>
      <c r="G5670" t="s">
        <v>35</v>
      </c>
      <c r="H5670" t="s">
        <v>35</v>
      </c>
      <c r="J5670" t="s">
        <v>6052</v>
      </c>
      <c r="K5670" t="s">
        <v>1092</v>
      </c>
      <c r="M5670">
        <v>8.5</v>
      </c>
      <c r="N5670">
        <v>13</v>
      </c>
      <c r="O5670" t="s">
        <v>46</v>
      </c>
      <c r="Q5670" t="s">
        <v>1004</v>
      </c>
      <c r="R5670" t="s">
        <v>6053</v>
      </c>
      <c r="S5670" t="s">
        <v>773</v>
      </c>
      <c r="T5670" t="s">
        <v>774</v>
      </c>
    </row>
    <row r="5671" spans="1:20" x14ac:dyDescent="0.25">
      <c r="A5671" t="s">
        <v>59</v>
      </c>
      <c r="B5671" t="s">
        <v>31</v>
      </c>
      <c r="C5671" t="s">
        <v>32</v>
      </c>
      <c r="D5671" t="s">
        <v>771</v>
      </c>
      <c r="E5671" t="s">
        <v>875</v>
      </c>
      <c r="F5671" t="s">
        <v>35</v>
      </c>
      <c r="G5671" t="s">
        <v>35</v>
      </c>
      <c r="H5671" t="s">
        <v>35</v>
      </c>
      <c r="J5671" t="s">
        <v>6448</v>
      </c>
      <c r="K5671" t="s">
        <v>1092</v>
      </c>
      <c r="M5671">
        <v>4.6349999999999998</v>
      </c>
      <c r="N5671">
        <v>35</v>
      </c>
      <c r="O5671" t="s">
        <v>52</v>
      </c>
      <c r="Q5671" t="s">
        <v>991</v>
      </c>
      <c r="R5671" t="s">
        <v>6318</v>
      </c>
      <c r="S5671" t="s">
        <v>800</v>
      </c>
      <c r="T5671" t="s">
        <v>801</v>
      </c>
    </row>
    <row r="5672" spans="1:20" x14ac:dyDescent="0.25">
      <c r="A5672" t="s">
        <v>30</v>
      </c>
      <c r="B5672" t="s">
        <v>31</v>
      </c>
      <c r="C5672" t="s">
        <v>32</v>
      </c>
      <c r="D5672" t="s">
        <v>771</v>
      </c>
      <c r="E5672" t="s">
        <v>861</v>
      </c>
      <c r="F5672" t="s">
        <v>35</v>
      </c>
      <c r="G5672" t="s">
        <v>35</v>
      </c>
      <c r="H5672" t="s">
        <v>35</v>
      </c>
      <c r="J5672" t="s">
        <v>6317</v>
      </c>
      <c r="K5672" t="s">
        <v>1092</v>
      </c>
      <c r="M5672">
        <v>7.02</v>
      </c>
      <c r="N5672">
        <v>35</v>
      </c>
      <c r="O5672" t="s">
        <v>52</v>
      </c>
      <c r="Q5672" t="s">
        <v>991</v>
      </c>
      <c r="R5672" t="s">
        <v>6318</v>
      </c>
      <c r="S5672" t="s">
        <v>800</v>
      </c>
      <c r="T5672" t="s">
        <v>801</v>
      </c>
    </row>
    <row r="5673" spans="1:20" x14ac:dyDescent="0.25">
      <c r="A5673" t="s">
        <v>30</v>
      </c>
      <c r="B5673" t="s">
        <v>31</v>
      </c>
      <c r="C5673" t="s">
        <v>32</v>
      </c>
      <c r="D5673" t="s">
        <v>771</v>
      </c>
      <c r="F5673" t="s">
        <v>35</v>
      </c>
      <c r="G5673" t="s">
        <v>35</v>
      </c>
      <c r="H5673" t="s">
        <v>35</v>
      </c>
      <c r="J5673" t="s">
        <v>6703</v>
      </c>
      <c r="K5673" t="s">
        <v>1092</v>
      </c>
      <c r="M5673">
        <v>7.02</v>
      </c>
      <c r="N5673">
        <v>33</v>
      </c>
      <c r="O5673" t="s">
        <v>52</v>
      </c>
      <c r="Q5673" t="s">
        <v>130</v>
      </c>
      <c r="R5673" t="s">
        <v>6318</v>
      </c>
      <c r="S5673" t="s">
        <v>800</v>
      </c>
      <c r="T5673" t="s">
        <v>801</v>
      </c>
    </row>
    <row r="5674" spans="1:20" x14ac:dyDescent="0.25">
      <c r="A5674" t="s">
        <v>30</v>
      </c>
      <c r="B5674" t="s">
        <v>31</v>
      </c>
      <c r="C5674" t="s">
        <v>32</v>
      </c>
      <c r="D5674" t="s">
        <v>771</v>
      </c>
      <c r="E5674" t="s">
        <v>875</v>
      </c>
      <c r="F5674" t="s">
        <v>35</v>
      </c>
      <c r="G5674" t="s">
        <v>35</v>
      </c>
      <c r="H5674" t="s">
        <v>35</v>
      </c>
      <c r="J5674" t="s">
        <v>6475</v>
      </c>
      <c r="K5674" t="s">
        <v>1092</v>
      </c>
      <c r="M5674">
        <v>1.2</v>
      </c>
      <c r="N5674">
        <v>556</v>
      </c>
      <c r="O5674" t="s">
        <v>575</v>
      </c>
      <c r="Q5674" t="s">
        <v>6476</v>
      </c>
      <c r="R5674" t="s">
        <v>6318</v>
      </c>
      <c r="S5674" t="s">
        <v>800</v>
      </c>
      <c r="T5674" t="s">
        <v>801</v>
      </c>
    </row>
    <row r="5675" spans="1:20" x14ac:dyDescent="0.25">
      <c r="A5675" t="s">
        <v>30</v>
      </c>
      <c r="B5675" t="s">
        <v>31</v>
      </c>
      <c r="C5675" t="s">
        <v>32</v>
      </c>
      <c r="D5675" t="s">
        <v>771</v>
      </c>
      <c r="E5675" t="s">
        <v>871</v>
      </c>
      <c r="F5675" t="s">
        <v>35</v>
      </c>
      <c r="G5675" t="s">
        <v>35</v>
      </c>
      <c r="H5675" t="s">
        <v>35</v>
      </c>
      <c r="J5675" t="s">
        <v>6414</v>
      </c>
      <c r="K5675" t="s">
        <v>1092</v>
      </c>
      <c r="M5675">
        <v>0.27</v>
      </c>
      <c r="N5675">
        <v>225</v>
      </c>
      <c r="O5675" t="s">
        <v>5</v>
      </c>
      <c r="Q5675" t="s">
        <v>6223</v>
      </c>
      <c r="R5675" t="s">
        <v>6318</v>
      </c>
      <c r="S5675" t="s">
        <v>800</v>
      </c>
      <c r="T5675" t="s">
        <v>801</v>
      </c>
    </row>
    <row r="5676" spans="1:20" x14ac:dyDescent="0.25">
      <c r="A5676" t="s">
        <v>59</v>
      </c>
      <c r="B5676" t="s">
        <v>31</v>
      </c>
      <c r="C5676" t="s">
        <v>32</v>
      </c>
      <c r="D5676" t="s">
        <v>771</v>
      </c>
      <c r="E5676" t="s">
        <v>875</v>
      </c>
      <c r="F5676" t="s">
        <v>35</v>
      </c>
      <c r="G5676" t="s">
        <v>35</v>
      </c>
      <c r="H5676" t="s">
        <v>35</v>
      </c>
      <c r="J5676" t="s">
        <v>6459</v>
      </c>
      <c r="K5676" t="s">
        <v>1092</v>
      </c>
      <c r="M5676">
        <v>2.5649999999999999</v>
      </c>
      <c r="N5676">
        <v>35</v>
      </c>
      <c r="O5676" t="s">
        <v>52</v>
      </c>
      <c r="Q5676" t="s">
        <v>991</v>
      </c>
      <c r="R5676" t="s">
        <v>6318</v>
      </c>
      <c r="S5676" t="s">
        <v>800</v>
      </c>
      <c r="T5676" t="s">
        <v>801</v>
      </c>
    </row>
    <row r="5677" spans="1:20" x14ac:dyDescent="0.25">
      <c r="A5677" t="s">
        <v>30</v>
      </c>
      <c r="B5677" t="s">
        <v>31</v>
      </c>
      <c r="C5677" t="s">
        <v>32</v>
      </c>
      <c r="D5677" t="s">
        <v>771</v>
      </c>
      <c r="E5677" t="s">
        <v>875</v>
      </c>
      <c r="F5677" t="s">
        <v>35</v>
      </c>
      <c r="G5677" t="s">
        <v>35</v>
      </c>
      <c r="H5677" t="s">
        <v>35</v>
      </c>
      <c r="J5677" t="s">
        <v>6459</v>
      </c>
      <c r="K5677" t="s">
        <v>1092</v>
      </c>
      <c r="M5677">
        <v>1.26</v>
      </c>
      <c r="N5677">
        <v>35</v>
      </c>
      <c r="O5677" t="s">
        <v>52</v>
      </c>
      <c r="Q5677" t="s">
        <v>991</v>
      </c>
      <c r="R5677" t="s">
        <v>6318</v>
      </c>
      <c r="S5677" t="s">
        <v>800</v>
      </c>
      <c r="T5677" t="s">
        <v>801</v>
      </c>
    </row>
    <row r="5678" spans="1:20" x14ac:dyDescent="0.25">
      <c r="A5678" t="s">
        <v>30</v>
      </c>
      <c r="B5678" t="s">
        <v>31</v>
      </c>
      <c r="C5678" t="s">
        <v>32</v>
      </c>
      <c r="D5678" t="s">
        <v>771</v>
      </c>
      <c r="E5678" t="s">
        <v>6319</v>
      </c>
      <c r="F5678" t="s">
        <v>35</v>
      </c>
      <c r="G5678" t="s">
        <v>35</v>
      </c>
      <c r="H5678" t="s">
        <v>35</v>
      </c>
      <c r="J5678" t="s">
        <v>6341</v>
      </c>
      <c r="K5678" t="s">
        <v>1092</v>
      </c>
      <c r="M5678">
        <v>2.97</v>
      </c>
      <c r="N5678">
        <v>35</v>
      </c>
      <c r="O5678" t="s">
        <v>52</v>
      </c>
      <c r="Q5678" t="s">
        <v>991</v>
      </c>
      <c r="R5678" t="s">
        <v>6318</v>
      </c>
      <c r="S5678" t="s">
        <v>800</v>
      </c>
      <c r="T5678" t="s">
        <v>801</v>
      </c>
    </row>
    <row r="5679" spans="1:20" x14ac:dyDescent="0.25">
      <c r="A5679" t="s">
        <v>30</v>
      </c>
      <c r="B5679" t="s">
        <v>31</v>
      </c>
      <c r="C5679" t="s">
        <v>32</v>
      </c>
      <c r="D5679" t="s">
        <v>771</v>
      </c>
      <c r="F5679" t="s">
        <v>35</v>
      </c>
      <c r="G5679" t="s">
        <v>35</v>
      </c>
      <c r="H5679" t="s">
        <v>35</v>
      </c>
      <c r="J5679" t="s">
        <v>6674</v>
      </c>
      <c r="K5679" t="s">
        <v>1092</v>
      </c>
      <c r="M5679">
        <v>0.01</v>
      </c>
      <c r="N5679">
        <v>1754</v>
      </c>
      <c r="O5679" t="s">
        <v>575</v>
      </c>
      <c r="Q5679" t="s">
        <v>6675</v>
      </c>
      <c r="R5679" t="s">
        <v>6318</v>
      </c>
      <c r="S5679" t="s">
        <v>800</v>
      </c>
      <c r="T5679" t="s">
        <v>801</v>
      </c>
    </row>
    <row r="5680" spans="1:20" x14ac:dyDescent="0.25">
      <c r="A5680" t="s">
        <v>30</v>
      </c>
      <c r="B5680" t="s">
        <v>31</v>
      </c>
      <c r="C5680" t="s">
        <v>32</v>
      </c>
      <c r="D5680" t="s">
        <v>771</v>
      </c>
      <c r="E5680" t="s">
        <v>875</v>
      </c>
      <c r="F5680" t="s">
        <v>35</v>
      </c>
      <c r="G5680" t="s">
        <v>35</v>
      </c>
      <c r="H5680" t="s">
        <v>35</v>
      </c>
      <c r="J5680" t="s">
        <v>6460</v>
      </c>
      <c r="K5680" t="s">
        <v>1092</v>
      </c>
      <c r="M5680">
        <v>0.99</v>
      </c>
      <c r="N5680">
        <v>35</v>
      </c>
      <c r="O5680" t="s">
        <v>52</v>
      </c>
      <c r="Q5680" t="s">
        <v>991</v>
      </c>
      <c r="R5680" t="s">
        <v>6318</v>
      </c>
      <c r="S5680" t="s">
        <v>800</v>
      </c>
      <c r="T5680" t="s">
        <v>801</v>
      </c>
    </row>
    <row r="5681" spans="1:20" x14ac:dyDescent="0.25">
      <c r="A5681" t="s">
        <v>30</v>
      </c>
      <c r="B5681" t="s">
        <v>31</v>
      </c>
      <c r="C5681" t="s">
        <v>32</v>
      </c>
      <c r="D5681" t="s">
        <v>771</v>
      </c>
      <c r="F5681" t="s">
        <v>35</v>
      </c>
      <c r="G5681" t="s">
        <v>35</v>
      </c>
      <c r="H5681" t="s">
        <v>35</v>
      </c>
      <c r="J5681" t="s">
        <v>3127</v>
      </c>
      <c r="K5681" t="s">
        <v>1092</v>
      </c>
      <c r="M5681">
        <v>6.6150000000000002</v>
      </c>
      <c r="N5681">
        <v>35</v>
      </c>
      <c r="O5681" t="s">
        <v>52</v>
      </c>
      <c r="Q5681" t="s">
        <v>991</v>
      </c>
      <c r="R5681" t="s">
        <v>6318</v>
      </c>
      <c r="S5681" t="s">
        <v>800</v>
      </c>
      <c r="T5681" t="s">
        <v>801</v>
      </c>
    </row>
    <row r="5682" spans="1:20" x14ac:dyDescent="0.25">
      <c r="A5682" t="s">
        <v>59</v>
      </c>
      <c r="B5682" t="s">
        <v>60</v>
      </c>
      <c r="C5682" t="s">
        <v>32</v>
      </c>
      <c r="D5682" t="s">
        <v>771</v>
      </c>
      <c r="E5682" t="s">
        <v>865</v>
      </c>
      <c r="F5682" t="s">
        <v>35</v>
      </c>
      <c r="G5682" t="s">
        <v>35</v>
      </c>
      <c r="H5682" t="s">
        <v>35</v>
      </c>
      <c r="J5682" t="s">
        <v>6360</v>
      </c>
      <c r="K5682" t="s">
        <v>1092</v>
      </c>
      <c r="M5682">
        <v>0.25</v>
      </c>
      <c r="N5682">
        <v>846</v>
      </c>
      <c r="O5682" t="s">
        <v>575</v>
      </c>
      <c r="Q5682" t="s">
        <v>5226</v>
      </c>
      <c r="R5682" t="s">
        <v>6361</v>
      </c>
      <c r="S5682" t="s">
        <v>6179</v>
      </c>
      <c r="T5682" t="s">
        <v>6351</v>
      </c>
    </row>
    <row r="5683" spans="1:20" x14ac:dyDescent="0.25">
      <c r="A5683" t="s">
        <v>30</v>
      </c>
      <c r="B5683" t="s">
        <v>31</v>
      </c>
      <c r="C5683" t="s">
        <v>32</v>
      </c>
      <c r="D5683" t="s">
        <v>771</v>
      </c>
      <c r="E5683" t="s">
        <v>861</v>
      </c>
      <c r="F5683" t="s">
        <v>35</v>
      </c>
      <c r="G5683" t="s">
        <v>35</v>
      </c>
      <c r="H5683" t="s">
        <v>35</v>
      </c>
      <c r="J5683" t="s">
        <v>862</v>
      </c>
      <c r="K5683" t="s">
        <v>37</v>
      </c>
      <c r="M5683">
        <v>10.574999999999999</v>
      </c>
      <c r="N5683">
        <v>40</v>
      </c>
      <c r="O5683" t="s">
        <v>52</v>
      </c>
      <c r="P5683" t="s">
        <v>864</v>
      </c>
      <c r="Q5683" t="s">
        <v>132</v>
      </c>
      <c r="R5683" t="s">
        <v>76</v>
      </c>
      <c r="S5683" t="s">
        <v>77</v>
      </c>
      <c r="T5683" t="s">
        <v>71</v>
      </c>
    </row>
    <row r="5684" spans="1:20" x14ac:dyDescent="0.25">
      <c r="A5684" t="s">
        <v>30</v>
      </c>
      <c r="B5684" t="s">
        <v>31</v>
      </c>
      <c r="C5684" t="s">
        <v>32</v>
      </c>
      <c r="D5684" t="s">
        <v>771</v>
      </c>
      <c r="E5684" t="s">
        <v>772</v>
      </c>
      <c r="F5684" t="s">
        <v>35</v>
      </c>
      <c r="G5684" t="s">
        <v>35</v>
      </c>
      <c r="H5684" t="s">
        <v>35</v>
      </c>
      <c r="J5684" t="s">
        <v>6001</v>
      </c>
      <c r="K5684" t="s">
        <v>1092</v>
      </c>
      <c r="M5684">
        <v>2.2050000000000001</v>
      </c>
      <c r="N5684">
        <v>265</v>
      </c>
      <c r="O5684" t="s">
        <v>5</v>
      </c>
      <c r="Q5684" t="s">
        <v>1264</v>
      </c>
      <c r="R5684" t="s">
        <v>6002</v>
      </c>
      <c r="S5684" t="s">
        <v>6003</v>
      </c>
      <c r="T5684" t="s">
        <v>6004</v>
      </c>
    </row>
    <row r="5685" spans="1:20" x14ac:dyDescent="0.25">
      <c r="A5685" t="s">
        <v>59</v>
      </c>
      <c r="B5685" t="s">
        <v>60</v>
      </c>
      <c r="C5685" t="s">
        <v>32</v>
      </c>
      <c r="D5685" t="s">
        <v>771</v>
      </c>
      <c r="E5685" t="s">
        <v>865</v>
      </c>
      <c r="F5685" t="s">
        <v>35</v>
      </c>
      <c r="G5685" t="s">
        <v>35</v>
      </c>
      <c r="H5685" t="s">
        <v>35</v>
      </c>
      <c r="J5685" t="s">
        <v>6367</v>
      </c>
      <c r="K5685" t="s">
        <v>1092</v>
      </c>
      <c r="M5685">
        <v>0.4</v>
      </c>
      <c r="N5685">
        <v>424</v>
      </c>
      <c r="O5685" t="s">
        <v>294</v>
      </c>
      <c r="Q5685" t="s">
        <v>3381</v>
      </c>
      <c r="R5685" t="s">
        <v>6368</v>
      </c>
      <c r="S5685" t="s">
        <v>6369</v>
      </c>
      <c r="T5685" t="s">
        <v>6370</v>
      </c>
    </row>
    <row r="5686" spans="1:20" x14ac:dyDescent="0.25">
      <c r="A5686" t="s">
        <v>59</v>
      </c>
      <c r="B5686" t="s">
        <v>31</v>
      </c>
      <c r="C5686" t="s">
        <v>32</v>
      </c>
      <c r="D5686" t="s">
        <v>771</v>
      </c>
      <c r="F5686" t="s">
        <v>35</v>
      </c>
      <c r="G5686" t="s">
        <v>35</v>
      </c>
      <c r="H5686" t="s">
        <v>35</v>
      </c>
      <c r="J5686" t="s">
        <v>4256</v>
      </c>
      <c r="K5686" t="s">
        <v>1092</v>
      </c>
      <c r="M5686">
        <v>4.4999999999999998E-2</v>
      </c>
      <c r="N5686">
        <v>1239</v>
      </c>
      <c r="O5686" t="s">
        <v>575</v>
      </c>
      <c r="Q5686" t="s">
        <v>3026</v>
      </c>
      <c r="R5686" t="s">
        <v>6368</v>
      </c>
      <c r="S5686" t="s">
        <v>6369</v>
      </c>
      <c r="T5686" t="s">
        <v>6370</v>
      </c>
    </row>
    <row r="5687" spans="1:20" x14ac:dyDescent="0.25">
      <c r="A5687" t="s">
        <v>59</v>
      </c>
      <c r="B5687" t="s">
        <v>60</v>
      </c>
      <c r="C5687" t="s">
        <v>32</v>
      </c>
      <c r="D5687" t="s">
        <v>771</v>
      </c>
      <c r="E5687" t="s">
        <v>898</v>
      </c>
      <c r="F5687" t="s">
        <v>35</v>
      </c>
      <c r="G5687" t="s">
        <v>35</v>
      </c>
      <c r="H5687" t="s">
        <v>35</v>
      </c>
      <c r="J5687" t="s">
        <v>6535</v>
      </c>
      <c r="K5687" t="s">
        <v>1092</v>
      </c>
      <c r="M5687">
        <v>4.2</v>
      </c>
      <c r="N5687">
        <v>37</v>
      </c>
      <c r="O5687" t="s">
        <v>52</v>
      </c>
      <c r="Q5687" t="s">
        <v>192</v>
      </c>
      <c r="R5687" t="s">
        <v>5992</v>
      </c>
      <c r="S5687" t="s">
        <v>817</v>
      </c>
      <c r="T5687" t="s">
        <v>818</v>
      </c>
    </row>
    <row r="5688" spans="1:20" x14ac:dyDescent="0.25">
      <c r="A5688" t="s">
        <v>59</v>
      </c>
      <c r="B5688" t="s">
        <v>31</v>
      </c>
      <c r="C5688" t="s">
        <v>32</v>
      </c>
      <c r="D5688" t="s">
        <v>771</v>
      </c>
      <c r="E5688" t="s">
        <v>898</v>
      </c>
      <c r="F5688" t="s">
        <v>35</v>
      </c>
      <c r="G5688" t="s">
        <v>35</v>
      </c>
      <c r="H5688" t="s">
        <v>35</v>
      </c>
      <c r="J5688" t="s">
        <v>6535</v>
      </c>
      <c r="K5688" t="s">
        <v>1092</v>
      </c>
      <c r="M5688">
        <v>3.5550000000000002</v>
      </c>
      <c r="N5688">
        <v>37</v>
      </c>
      <c r="O5688" t="s">
        <v>52</v>
      </c>
      <c r="Q5688" t="s">
        <v>192</v>
      </c>
      <c r="R5688" t="s">
        <v>5992</v>
      </c>
      <c r="S5688" t="s">
        <v>817</v>
      </c>
      <c r="T5688" t="s">
        <v>818</v>
      </c>
    </row>
    <row r="5689" spans="1:20" x14ac:dyDescent="0.25">
      <c r="A5689" t="s">
        <v>30</v>
      </c>
      <c r="B5689" t="s">
        <v>31</v>
      </c>
      <c r="C5689" t="s">
        <v>32</v>
      </c>
      <c r="D5689" t="s">
        <v>771</v>
      </c>
      <c r="E5689" t="s">
        <v>6093</v>
      </c>
      <c r="F5689" t="s">
        <v>35</v>
      </c>
      <c r="G5689" t="s">
        <v>35</v>
      </c>
      <c r="H5689" t="s">
        <v>35</v>
      </c>
      <c r="J5689" t="s">
        <v>6124</v>
      </c>
      <c r="K5689" t="s">
        <v>1092</v>
      </c>
      <c r="M5689">
        <v>1.53</v>
      </c>
      <c r="N5689">
        <v>112</v>
      </c>
      <c r="O5689" t="s">
        <v>106</v>
      </c>
      <c r="Q5689" t="s">
        <v>3465</v>
      </c>
      <c r="R5689" t="s">
        <v>5992</v>
      </c>
      <c r="S5689" t="s">
        <v>817</v>
      </c>
      <c r="T5689" t="s">
        <v>818</v>
      </c>
    </row>
    <row r="5690" spans="1:20" x14ac:dyDescent="0.25">
      <c r="A5690" t="s">
        <v>30</v>
      </c>
      <c r="B5690" t="s">
        <v>31</v>
      </c>
      <c r="C5690" t="s">
        <v>32</v>
      </c>
      <c r="D5690" t="s">
        <v>771</v>
      </c>
      <c r="E5690" t="s">
        <v>6093</v>
      </c>
      <c r="F5690" t="s">
        <v>35</v>
      </c>
      <c r="G5690" t="s">
        <v>35</v>
      </c>
      <c r="H5690" t="s">
        <v>35</v>
      </c>
      <c r="J5690" t="s">
        <v>6136</v>
      </c>
      <c r="K5690" t="s">
        <v>1092</v>
      </c>
      <c r="M5690">
        <v>0.18</v>
      </c>
      <c r="N5690">
        <v>233</v>
      </c>
      <c r="O5690" t="s">
        <v>5</v>
      </c>
      <c r="Q5690" t="s">
        <v>2516</v>
      </c>
      <c r="R5690" t="s">
        <v>5992</v>
      </c>
      <c r="S5690" t="s">
        <v>817</v>
      </c>
      <c r="T5690" t="s">
        <v>818</v>
      </c>
    </row>
    <row r="5691" spans="1:20" x14ac:dyDescent="0.25">
      <c r="A5691" t="s">
        <v>44</v>
      </c>
      <c r="B5691" t="s">
        <v>51</v>
      </c>
      <c r="C5691" t="s">
        <v>32</v>
      </c>
      <c r="D5691" t="s">
        <v>771</v>
      </c>
      <c r="E5691" t="s">
        <v>871</v>
      </c>
      <c r="F5691" t="s">
        <v>35</v>
      </c>
      <c r="G5691" t="s">
        <v>35</v>
      </c>
      <c r="H5691" t="s">
        <v>35</v>
      </c>
      <c r="J5691" t="s">
        <v>6390</v>
      </c>
      <c r="K5691" t="s">
        <v>1092</v>
      </c>
      <c r="M5691">
        <v>4.05</v>
      </c>
      <c r="N5691">
        <v>77</v>
      </c>
      <c r="O5691" t="s">
        <v>61</v>
      </c>
      <c r="Q5691" t="s">
        <v>778</v>
      </c>
      <c r="R5691" t="s">
        <v>5992</v>
      </c>
      <c r="S5691" t="s">
        <v>817</v>
      </c>
      <c r="T5691" t="s">
        <v>818</v>
      </c>
    </row>
    <row r="5692" spans="1:20" x14ac:dyDescent="0.25">
      <c r="A5692" t="s">
        <v>59</v>
      </c>
      <c r="B5692" t="s">
        <v>60</v>
      </c>
      <c r="C5692" t="s">
        <v>32</v>
      </c>
      <c r="D5692" t="s">
        <v>771</v>
      </c>
      <c r="E5692" t="s">
        <v>888</v>
      </c>
      <c r="F5692" t="s">
        <v>35</v>
      </c>
      <c r="G5692" t="s">
        <v>35</v>
      </c>
      <c r="H5692" t="s">
        <v>35</v>
      </c>
      <c r="J5692" t="s">
        <v>6294</v>
      </c>
      <c r="K5692" t="s">
        <v>1092</v>
      </c>
      <c r="M5692">
        <v>6</v>
      </c>
      <c r="N5692">
        <v>84</v>
      </c>
      <c r="O5692" t="s">
        <v>61</v>
      </c>
      <c r="Q5692" t="s">
        <v>1147</v>
      </c>
      <c r="R5692" t="s">
        <v>5992</v>
      </c>
      <c r="S5692" t="s">
        <v>817</v>
      </c>
      <c r="T5692" t="s">
        <v>818</v>
      </c>
    </row>
    <row r="5693" spans="1:20" x14ac:dyDescent="0.25">
      <c r="A5693" t="s">
        <v>30</v>
      </c>
      <c r="B5693" t="s">
        <v>31</v>
      </c>
      <c r="C5693" t="s">
        <v>32</v>
      </c>
      <c r="D5693" t="s">
        <v>771</v>
      </c>
      <c r="E5693" t="s">
        <v>772</v>
      </c>
      <c r="F5693" t="s">
        <v>35</v>
      </c>
      <c r="G5693" t="s">
        <v>35</v>
      </c>
      <c r="H5693" t="s">
        <v>35</v>
      </c>
      <c r="J5693" t="s">
        <v>6000</v>
      </c>
      <c r="K5693" t="s">
        <v>1092</v>
      </c>
      <c r="M5693">
        <v>7.02</v>
      </c>
      <c r="N5693">
        <v>41</v>
      </c>
      <c r="O5693" t="s">
        <v>52</v>
      </c>
      <c r="Q5693" t="s">
        <v>496</v>
      </c>
      <c r="R5693" t="s">
        <v>5992</v>
      </c>
      <c r="S5693" t="s">
        <v>817</v>
      </c>
      <c r="T5693" t="s">
        <v>818</v>
      </c>
    </row>
    <row r="5694" spans="1:20" x14ac:dyDescent="0.25">
      <c r="A5694" t="s">
        <v>59</v>
      </c>
      <c r="B5694" t="s">
        <v>31</v>
      </c>
      <c r="C5694" t="s">
        <v>32</v>
      </c>
      <c r="D5694" t="s">
        <v>771</v>
      </c>
      <c r="E5694" t="s">
        <v>772</v>
      </c>
      <c r="F5694" t="s">
        <v>35</v>
      </c>
      <c r="G5694" t="s">
        <v>35</v>
      </c>
      <c r="H5694" t="s">
        <v>35</v>
      </c>
      <c r="J5694" t="s">
        <v>6000</v>
      </c>
      <c r="K5694" t="s">
        <v>1092</v>
      </c>
      <c r="M5694">
        <v>4.4999999999999998E-2</v>
      </c>
      <c r="N5694">
        <v>39</v>
      </c>
      <c r="O5694" t="s">
        <v>52</v>
      </c>
      <c r="Q5694" t="s">
        <v>493</v>
      </c>
      <c r="R5694" t="s">
        <v>5992</v>
      </c>
      <c r="S5694" t="s">
        <v>817</v>
      </c>
      <c r="T5694" t="s">
        <v>818</v>
      </c>
    </row>
    <row r="5695" spans="1:20" x14ac:dyDescent="0.25">
      <c r="A5695" t="s">
        <v>59</v>
      </c>
      <c r="B5695" t="s">
        <v>60</v>
      </c>
      <c r="C5695" t="s">
        <v>32</v>
      </c>
      <c r="D5695" t="s">
        <v>771</v>
      </c>
      <c r="E5695" t="s">
        <v>898</v>
      </c>
      <c r="F5695" t="s">
        <v>35</v>
      </c>
      <c r="G5695" t="s">
        <v>35</v>
      </c>
      <c r="H5695" t="s">
        <v>35</v>
      </c>
      <c r="J5695" t="s">
        <v>6538</v>
      </c>
      <c r="K5695" t="s">
        <v>1092</v>
      </c>
      <c r="M5695">
        <v>1.9750000000000001</v>
      </c>
      <c r="N5695">
        <v>37</v>
      </c>
      <c r="O5695" t="s">
        <v>52</v>
      </c>
      <c r="Q5695" t="s">
        <v>192</v>
      </c>
      <c r="R5695" t="s">
        <v>5992</v>
      </c>
      <c r="S5695" t="s">
        <v>817</v>
      </c>
      <c r="T5695" t="s">
        <v>818</v>
      </c>
    </row>
    <row r="5696" spans="1:20" x14ac:dyDescent="0.25">
      <c r="A5696" t="s">
        <v>59</v>
      </c>
      <c r="B5696" t="s">
        <v>60</v>
      </c>
      <c r="C5696" t="s">
        <v>32</v>
      </c>
      <c r="D5696" t="s">
        <v>771</v>
      </c>
      <c r="E5696" t="s">
        <v>903</v>
      </c>
      <c r="F5696" t="s">
        <v>35</v>
      </c>
      <c r="G5696" t="s">
        <v>35</v>
      </c>
      <c r="H5696" t="s">
        <v>35</v>
      </c>
      <c r="J5696" t="s">
        <v>6561</v>
      </c>
      <c r="K5696" t="s">
        <v>1092</v>
      </c>
      <c r="M5696">
        <v>7</v>
      </c>
      <c r="N5696">
        <v>39</v>
      </c>
      <c r="O5696" t="s">
        <v>52</v>
      </c>
      <c r="Q5696" t="s">
        <v>493</v>
      </c>
      <c r="R5696" t="s">
        <v>5992</v>
      </c>
      <c r="S5696" t="s">
        <v>817</v>
      </c>
      <c r="T5696" t="s">
        <v>818</v>
      </c>
    </row>
    <row r="5697" spans="1:20" x14ac:dyDescent="0.25">
      <c r="A5697" t="s">
        <v>30</v>
      </c>
      <c r="B5697" t="s">
        <v>31</v>
      </c>
      <c r="C5697" t="s">
        <v>32</v>
      </c>
      <c r="D5697" t="s">
        <v>771</v>
      </c>
      <c r="E5697" t="s">
        <v>903</v>
      </c>
      <c r="F5697" t="s">
        <v>35</v>
      </c>
      <c r="G5697" t="s">
        <v>35</v>
      </c>
      <c r="H5697" t="s">
        <v>35</v>
      </c>
      <c r="J5697" t="s">
        <v>6561</v>
      </c>
      <c r="K5697" t="s">
        <v>1092</v>
      </c>
      <c r="M5697">
        <v>3.87</v>
      </c>
      <c r="N5697">
        <v>41</v>
      </c>
      <c r="O5697" t="s">
        <v>52</v>
      </c>
      <c r="Q5697" t="s">
        <v>496</v>
      </c>
      <c r="R5697" t="s">
        <v>5992</v>
      </c>
      <c r="S5697" t="s">
        <v>817</v>
      </c>
      <c r="T5697" t="s">
        <v>818</v>
      </c>
    </row>
    <row r="5698" spans="1:20" x14ac:dyDescent="0.25">
      <c r="A5698" t="s">
        <v>59</v>
      </c>
      <c r="B5698" t="s">
        <v>60</v>
      </c>
      <c r="C5698" t="s">
        <v>32</v>
      </c>
      <c r="D5698" t="s">
        <v>771</v>
      </c>
      <c r="E5698" t="s">
        <v>903</v>
      </c>
      <c r="F5698" t="s">
        <v>35</v>
      </c>
      <c r="G5698" t="s">
        <v>35</v>
      </c>
      <c r="H5698" t="s">
        <v>35</v>
      </c>
      <c r="J5698" t="s">
        <v>6561</v>
      </c>
      <c r="K5698" t="s">
        <v>1092</v>
      </c>
      <c r="M5698">
        <v>0.75</v>
      </c>
      <c r="N5698">
        <v>84</v>
      </c>
      <c r="O5698" t="s">
        <v>61</v>
      </c>
      <c r="Q5698" t="s">
        <v>1147</v>
      </c>
      <c r="R5698" t="s">
        <v>5992</v>
      </c>
      <c r="S5698" t="s">
        <v>817</v>
      </c>
      <c r="T5698" t="s">
        <v>818</v>
      </c>
    </row>
    <row r="5699" spans="1:20" x14ac:dyDescent="0.25">
      <c r="A5699" t="s">
        <v>59</v>
      </c>
      <c r="B5699" t="s">
        <v>31</v>
      </c>
      <c r="C5699" t="s">
        <v>32</v>
      </c>
      <c r="D5699" t="s">
        <v>771</v>
      </c>
      <c r="E5699" t="s">
        <v>903</v>
      </c>
      <c r="F5699" t="s">
        <v>35</v>
      </c>
      <c r="G5699" t="s">
        <v>35</v>
      </c>
      <c r="H5699" t="s">
        <v>35</v>
      </c>
      <c r="J5699" t="s">
        <v>6561</v>
      </c>
      <c r="K5699" t="s">
        <v>1092</v>
      </c>
      <c r="M5699">
        <v>5.22</v>
      </c>
      <c r="N5699">
        <v>84</v>
      </c>
      <c r="O5699" t="s">
        <v>61</v>
      </c>
      <c r="Q5699" t="s">
        <v>1147</v>
      </c>
      <c r="R5699" t="s">
        <v>5992</v>
      </c>
      <c r="S5699" t="s">
        <v>817</v>
      </c>
      <c r="T5699" t="s">
        <v>818</v>
      </c>
    </row>
    <row r="5700" spans="1:20" x14ac:dyDescent="0.25">
      <c r="A5700" t="s">
        <v>59</v>
      </c>
      <c r="B5700" t="s">
        <v>31</v>
      </c>
      <c r="C5700" t="s">
        <v>32</v>
      </c>
      <c r="D5700" t="s">
        <v>771</v>
      </c>
      <c r="E5700" t="s">
        <v>903</v>
      </c>
      <c r="F5700" t="s">
        <v>35</v>
      </c>
      <c r="G5700" t="s">
        <v>35</v>
      </c>
      <c r="H5700" t="s">
        <v>35</v>
      </c>
      <c r="J5700" t="s">
        <v>6561</v>
      </c>
      <c r="K5700" t="s">
        <v>1092</v>
      </c>
      <c r="M5700">
        <v>3.06</v>
      </c>
      <c r="N5700">
        <v>39</v>
      </c>
      <c r="O5700" t="s">
        <v>52</v>
      </c>
      <c r="Q5700" t="s">
        <v>493</v>
      </c>
      <c r="R5700" t="s">
        <v>5992</v>
      </c>
      <c r="S5700" t="s">
        <v>817</v>
      </c>
      <c r="T5700" t="s">
        <v>818</v>
      </c>
    </row>
    <row r="5701" spans="1:20" x14ac:dyDescent="0.25">
      <c r="A5701" t="s">
        <v>44</v>
      </c>
      <c r="B5701" t="s">
        <v>51</v>
      </c>
      <c r="C5701" t="s">
        <v>32</v>
      </c>
      <c r="D5701" t="s">
        <v>771</v>
      </c>
      <c r="E5701" t="s">
        <v>910</v>
      </c>
      <c r="F5701" t="s">
        <v>35</v>
      </c>
      <c r="G5701" t="s">
        <v>35</v>
      </c>
      <c r="H5701" t="s">
        <v>35</v>
      </c>
      <c r="J5701" t="s">
        <v>6563</v>
      </c>
      <c r="K5701" t="s">
        <v>1092</v>
      </c>
      <c r="M5701">
        <v>10</v>
      </c>
      <c r="N5701">
        <v>68</v>
      </c>
      <c r="O5701" t="s">
        <v>61</v>
      </c>
      <c r="Q5701" t="s">
        <v>805</v>
      </c>
      <c r="R5701" t="s">
        <v>5992</v>
      </c>
      <c r="S5701" t="s">
        <v>817</v>
      </c>
      <c r="T5701" t="s">
        <v>818</v>
      </c>
    </row>
    <row r="5702" spans="1:20" x14ac:dyDescent="0.25">
      <c r="A5702" t="s">
        <v>59</v>
      </c>
      <c r="B5702" t="s">
        <v>60</v>
      </c>
      <c r="C5702" t="s">
        <v>32</v>
      </c>
      <c r="D5702" t="s">
        <v>771</v>
      </c>
      <c r="E5702" t="s">
        <v>783</v>
      </c>
      <c r="F5702" t="s">
        <v>35</v>
      </c>
      <c r="G5702" t="s">
        <v>35</v>
      </c>
      <c r="H5702" t="s">
        <v>35</v>
      </c>
      <c r="J5702" t="s">
        <v>6051</v>
      </c>
      <c r="K5702" t="s">
        <v>1092</v>
      </c>
      <c r="M5702">
        <v>1.9</v>
      </c>
      <c r="N5702">
        <v>37</v>
      </c>
      <c r="O5702" t="s">
        <v>52</v>
      </c>
      <c r="Q5702" t="s">
        <v>192</v>
      </c>
      <c r="R5702" t="s">
        <v>5992</v>
      </c>
      <c r="S5702" t="s">
        <v>817</v>
      </c>
      <c r="T5702" t="s">
        <v>818</v>
      </c>
    </row>
    <row r="5703" spans="1:20" x14ac:dyDescent="0.25">
      <c r="A5703" t="s">
        <v>59</v>
      </c>
      <c r="B5703" t="s">
        <v>31</v>
      </c>
      <c r="C5703" t="s">
        <v>32</v>
      </c>
      <c r="D5703" t="s">
        <v>771</v>
      </c>
      <c r="E5703" t="s">
        <v>783</v>
      </c>
      <c r="F5703" t="s">
        <v>35</v>
      </c>
      <c r="G5703" t="s">
        <v>35</v>
      </c>
      <c r="H5703" t="s">
        <v>35</v>
      </c>
      <c r="J5703" t="s">
        <v>6051</v>
      </c>
      <c r="K5703" t="s">
        <v>1092</v>
      </c>
      <c r="M5703">
        <v>0.99</v>
      </c>
      <c r="N5703">
        <v>37</v>
      </c>
      <c r="O5703" t="s">
        <v>52</v>
      </c>
      <c r="Q5703" t="s">
        <v>192</v>
      </c>
      <c r="R5703" t="s">
        <v>5992</v>
      </c>
      <c r="S5703" t="s">
        <v>817</v>
      </c>
      <c r="T5703" t="s">
        <v>818</v>
      </c>
    </row>
    <row r="5704" spans="1:20" x14ac:dyDescent="0.25">
      <c r="A5704" t="s">
        <v>30</v>
      </c>
      <c r="B5704" t="s">
        <v>31</v>
      </c>
      <c r="C5704" t="s">
        <v>32</v>
      </c>
      <c r="D5704" t="s">
        <v>771</v>
      </c>
      <c r="E5704" t="s">
        <v>772</v>
      </c>
      <c r="F5704" t="s">
        <v>35</v>
      </c>
      <c r="G5704" t="s">
        <v>35</v>
      </c>
      <c r="H5704" t="s">
        <v>35</v>
      </c>
      <c r="J5704" t="s">
        <v>817</v>
      </c>
      <c r="K5704" t="s">
        <v>285</v>
      </c>
      <c r="M5704">
        <v>0.02</v>
      </c>
      <c r="N5704">
        <v>28</v>
      </c>
      <c r="O5704" t="s">
        <v>46</v>
      </c>
      <c r="Q5704" t="s">
        <v>48</v>
      </c>
      <c r="R5704" t="s">
        <v>5992</v>
      </c>
      <c r="S5704" t="s">
        <v>817</v>
      </c>
      <c r="T5704" t="s">
        <v>818</v>
      </c>
    </row>
    <row r="5705" spans="1:20" x14ac:dyDescent="0.25">
      <c r="A5705" t="s">
        <v>59</v>
      </c>
      <c r="B5705" t="s">
        <v>31</v>
      </c>
      <c r="C5705" t="s">
        <v>32</v>
      </c>
      <c r="D5705" t="s">
        <v>771</v>
      </c>
      <c r="E5705" t="s">
        <v>772</v>
      </c>
      <c r="F5705" t="s">
        <v>35</v>
      </c>
      <c r="G5705" t="s">
        <v>35</v>
      </c>
      <c r="H5705" t="s">
        <v>35</v>
      </c>
      <c r="J5705" t="s">
        <v>817</v>
      </c>
      <c r="K5705" t="s">
        <v>285</v>
      </c>
      <c r="M5705">
        <v>1.2949999999999999</v>
      </c>
      <c r="N5705">
        <v>272</v>
      </c>
      <c r="O5705" t="s">
        <v>5</v>
      </c>
      <c r="Q5705" t="s">
        <v>1717</v>
      </c>
      <c r="R5705" t="s">
        <v>5992</v>
      </c>
      <c r="S5705" t="s">
        <v>817</v>
      </c>
      <c r="T5705" t="s">
        <v>818</v>
      </c>
    </row>
    <row r="5706" spans="1:20" x14ac:dyDescent="0.25">
      <c r="A5706" t="s">
        <v>59</v>
      </c>
      <c r="B5706" t="s">
        <v>60</v>
      </c>
      <c r="C5706" t="s">
        <v>32</v>
      </c>
      <c r="D5706" t="s">
        <v>771</v>
      </c>
      <c r="E5706" t="s">
        <v>772</v>
      </c>
      <c r="F5706" t="s">
        <v>35</v>
      </c>
      <c r="G5706" t="s">
        <v>35</v>
      </c>
      <c r="H5706" t="s">
        <v>35</v>
      </c>
      <c r="J5706" t="s">
        <v>817</v>
      </c>
      <c r="K5706" t="s">
        <v>285</v>
      </c>
      <c r="M5706">
        <v>10.85</v>
      </c>
      <c r="N5706">
        <v>73</v>
      </c>
      <c r="O5706" t="s">
        <v>61</v>
      </c>
      <c r="Q5706" t="s">
        <v>477</v>
      </c>
      <c r="R5706" t="s">
        <v>5992</v>
      </c>
      <c r="S5706" t="s">
        <v>817</v>
      </c>
      <c r="T5706" t="s">
        <v>818</v>
      </c>
    </row>
    <row r="5707" spans="1:20" x14ac:dyDescent="0.25">
      <c r="A5707" t="s">
        <v>44</v>
      </c>
      <c r="B5707" t="s">
        <v>51</v>
      </c>
      <c r="C5707" t="s">
        <v>32</v>
      </c>
      <c r="D5707" t="s">
        <v>771</v>
      </c>
      <c r="E5707" t="s">
        <v>772</v>
      </c>
      <c r="F5707" t="s">
        <v>35</v>
      </c>
      <c r="G5707" t="s">
        <v>35</v>
      </c>
      <c r="H5707" t="s">
        <v>35</v>
      </c>
      <c r="J5707" t="s">
        <v>817</v>
      </c>
      <c r="K5707" t="s">
        <v>285</v>
      </c>
      <c r="M5707">
        <v>10</v>
      </c>
      <c r="N5707">
        <v>73</v>
      </c>
      <c r="O5707" t="s">
        <v>61</v>
      </c>
      <c r="Q5707" t="s">
        <v>477</v>
      </c>
      <c r="R5707" t="s">
        <v>5992</v>
      </c>
      <c r="S5707" t="s">
        <v>817</v>
      </c>
      <c r="T5707" t="s">
        <v>818</v>
      </c>
    </row>
    <row r="5708" spans="1:20" x14ac:dyDescent="0.25">
      <c r="A5708" t="s">
        <v>30</v>
      </c>
      <c r="B5708" t="s">
        <v>31</v>
      </c>
      <c r="C5708" t="s">
        <v>32</v>
      </c>
      <c r="D5708" t="s">
        <v>771</v>
      </c>
      <c r="E5708" t="s">
        <v>772</v>
      </c>
      <c r="F5708" t="s">
        <v>35</v>
      </c>
      <c r="G5708" t="s">
        <v>35</v>
      </c>
      <c r="H5708" t="s">
        <v>35</v>
      </c>
      <c r="J5708" t="s">
        <v>817</v>
      </c>
      <c r="K5708" t="s">
        <v>285</v>
      </c>
      <c r="M5708">
        <v>2.25</v>
      </c>
      <c r="N5708">
        <v>206</v>
      </c>
      <c r="O5708" t="s">
        <v>5</v>
      </c>
      <c r="Q5708" t="s">
        <v>1298</v>
      </c>
      <c r="R5708" t="s">
        <v>5992</v>
      </c>
      <c r="S5708" t="s">
        <v>817</v>
      </c>
      <c r="T5708" t="s">
        <v>818</v>
      </c>
    </row>
    <row r="5709" spans="1:20" x14ac:dyDescent="0.25">
      <c r="A5709" t="s">
        <v>30</v>
      </c>
      <c r="B5709" t="s">
        <v>31</v>
      </c>
      <c r="C5709" t="s">
        <v>32</v>
      </c>
      <c r="D5709" t="s">
        <v>771</v>
      </c>
      <c r="E5709" t="s">
        <v>875</v>
      </c>
      <c r="F5709" t="s">
        <v>35</v>
      </c>
      <c r="G5709" t="s">
        <v>35</v>
      </c>
      <c r="H5709" t="s">
        <v>35</v>
      </c>
      <c r="J5709" t="s">
        <v>6445</v>
      </c>
      <c r="K5709" t="s">
        <v>1092</v>
      </c>
      <c r="M5709">
        <v>9.99</v>
      </c>
      <c r="N5709">
        <v>41</v>
      </c>
      <c r="O5709" t="s">
        <v>52</v>
      </c>
      <c r="Q5709" t="s">
        <v>496</v>
      </c>
      <c r="R5709" t="s">
        <v>5992</v>
      </c>
      <c r="S5709" t="s">
        <v>817</v>
      </c>
      <c r="T5709" t="s">
        <v>818</v>
      </c>
    </row>
    <row r="5710" spans="1:20" x14ac:dyDescent="0.25">
      <c r="A5710" t="s">
        <v>30</v>
      </c>
      <c r="B5710" t="s">
        <v>31</v>
      </c>
      <c r="C5710" t="s">
        <v>32</v>
      </c>
      <c r="D5710" t="s">
        <v>771</v>
      </c>
      <c r="E5710" t="s">
        <v>865</v>
      </c>
      <c r="F5710" t="s">
        <v>35</v>
      </c>
      <c r="G5710" t="s">
        <v>35</v>
      </c>
      <c r="H5710" t="s">
        <v>35</v>
      </c>
      <c r="J5710" t="s">
        <v>6371</v>
      </c>
      <c r="K5710" t="s">
        <v>1092</v>
      </c>
      <c r="M5710">
        <v>0.9</v>
      </c>
      <c r="N5710">
        <v>112</v>
      </c>
      <c r="O5710" t="s">
        <v>106</v>
      </c>
      <c r="Q5710" t="s">
        <v>3465</v>
      </c>
      <c r="R5710" t="s">
        <v>5992</v>
      </c>
      <c r="S5710" t="s">
        <v>817</v>
      </c>
      <c r="T5710" t="s">
        <v>818</v>
      </c>
    </row>
    <row r="5711" spans="1:20" x14ac:dyDescent="0.25">
      <c r="A5711" t="s">
        <v>59</v>
      </c>
      <c r="B5711" t="s">
        <v>31</v>
      </c>
      <c r="C5711" t="s">
        <v>32</v>
      </c>
      <c r="D5711" t="s">
        <v>771</v>
      </c>
      <c r="E5711" t="s">
        <v>910</v>
      </c>
      <c r="F5711" t="s">
        <v>35</v>
      </c>
      <c r="G5711" t="s">
        <v>35</v>
      </c>
      <c r="H5711" t="s">
        <v>35</v>
      </c>
      <c r="J5711" t="s">
        <v>6572</v>
      </c>
      <c r="K5711" t="s">
        <v>1092</v>
      </c>
      <c r="M5711">
        <v>4.68</v>
      </c>
      <c r="N5711">
        <v>37</v>
      </c>
      <c r="O5711" t="s">
        <v>52</v>
      </c>
      <c r="Q5711" t="s">
        <v>192</v>
      </c>
      <c r="R5711" t="s">
        <v>5992</v>
      </c>
      <c r="S5711" t="s">
        <v>817</v>
      </c>
      <c r="T5711" t="s">
        <v>818</v>
      </c>
    </row>
    <row r="5712" spans="1:20" x14ac:dyDescent="0.25">
      <c r="A5712" t="s">
        <v>30</v>
      </c>
      <c r="B5712" t="s">
        <v>31</v>
      </c>
      <c r="C5712" t="s">
        <v>32</v>
      </c>
      <c r="D5712" t="s">
        <v>771</v>
      </c>
      <c r="E5712" t="s">
        <v>910</v>
      </c>
      <c r="F5712" t="s">
        <v>35</v>
      </c>
      <c r="G5712" t="s">
        <v>35</v>
      </c>
      <c r="H5712" t="s">
        <v>35</v>
      </c>
      <c r="J5712" t="s">
        <v>6572</v>
      </c>
      <c r="K5712" t="s">
        <v>1092</v>
      </c>
      <c r="M5712">
        <v>1.5549999999999999</v>
      </c>
      <c r="N5712">
        <v>37</v>
      </c>
      <c r="O5712" t="s">
        <v>52</v>
      </c>
      <c r="Q5712" t="s">
        <v>192</v>
      </c>
      <c r="R5712" t="s">
        <v>5992</v>
      </c>
      <c r="S5712" t="s">
        <v>817</v>
      </c>
      <c r="T5712" t="s">
        <v>818</v>
      </c>
    </row>
    <row r="5713" spans="1:20" x14ac:dyDescent="0.25">
      <c r="A5713" t="s">
        <v>59</v>
      </c>
      <c r="B5713" t="s">
        <v>31</v>
      </c>
      <c r="C5713" t="s">
        <v>32</v>
      </c>
      <c r="D5713" t="s">
        <v>771</v>
      </c>
      <c r="E5713" t="s">
        <v>6511</v>
      </c>
      <c r="F5713" t="s">
        <v>35</v>
      </c>
      <c r="G5713" t="s">
        <v>35</v>
      </c>
      <c r="H5713" t="s">
        <v>35</v>
      </c>
      <c r="J5713" t="s">
        <v>6522</v>
      </c>
      <c r="K5713" t="s">
        <v>1092</v>
      </c>
      <c r="M5713">
        <v>3.2850000000000001</v>
      </c>
      <c r="N5713">
        <v>143</v>
      </c>
      <c r="O5713" t="s">
        <v>38</v>
      </c>
      <c r="Q5713" t="s">
        <v>1612</v>
      </c>
      <c r="R5713" t="s">
        <v>5992</v>
      </c>
      <c r="S5713" t="s">
        <v>817</v>
      </c>
      <c r="T5713" t="s">
        <v>818</v>
      </c>
    </row>
    <row r="5714" spans="1:20" x14ac:dyDescent="0.25">
      <c r="A5714" t="s">
        <v>30</v>
      </c>
      <c r="B5714" t="s">
        <v>31</v>
      </c>
      <c r="C5714" t="s">
        <v>32</v>
      </c>
      <c r="D5714" t="s">
        <v>771</v>
      </c>
      <c r="E5714" t="s">
        <v>783</v>
      </c>
      <c r="F5714" t="s">
        <v>35</v>
      </c>
      <c r="G5714" t="s">
        <v>35</v>
      </c>
      <c r="H5714" t="s">
        <v>35</v>
      </c>
      <c r="J5714" t="s">
        <v>6049</v>
      </c>
      <c r="K5714" t="s">
        <v>1092</v>
      </c>
      <c r="M5714">
        <v>6.03</v>
      </c>
      <c r="N5714">
        <v>112</v>
      </c>
      <c r="O5714" t="s">
        <v>106</v>
      </c>
      <c r="Q5714" t="s">
        <v>3465</v>
      </c>
      <c r="R5714" t="s">
        <v>5992</v>
      </c>
      <c r="S5714" t="s">
        <v>817</v>
      </c>
      <c r="T5714" t="s">
        <v>818</v>
      </c>
    </row>
    <row r="5715" spans="1:20" x14ac:dyDescent="0.25">
      <c r="A5715" t="s">
        <v>44</v>
      </c>
      <c r="B5715" t="s">
        <v>51</v>
      </c>
      <c r="C5715" t="s">
        <v>32</v>
      </c>
      <c r="D5715" t="s">
        <v>771</v>
      </c>
      <c r="E5715" t="s">
        <v>783</v>
      </c>
      <c r="F5715" t="s">
        <v>35</v>
      </c>
      <c r="G5715" t="s">
        <v>35</v>
      </c>
      <c r="H5715" t="s">
        <v>35</v>
      </c>
      <c r="J5715" t="s">
        <v>6049</v>
      </c>
      <c r="K5715" t="s">
        <v>1092</v>
      </c>
      <c r="M5715">
        <v>1.75</v>
      </c>
      <c r="N5715">
        <v>77</v>
      </c>
      <c r="O5715" t="s">
        <v>61</v>
      </c>
      <c r="Q5715" t="s">
        <v>778</v>
      </c>
      <c r="R5715" t="s">
        <v>5992</v>
      </c>
      <c r="S5715" t="s">
        <v>817</v>
      </c>
      <c r="T5715" t="s">
        <v>818</v>
      </c>
    </row>
    <row r="5716" spans="1:20" x14ac:dyDescent="0.25">
      <c r="A5716" t="s">
        <v>30</v>
      </c>
      <c r="B5716" t="s">
        <v>31</v>
      </c>
      <c r="C5716" t="s">
        <v>32</v>
      </c>
      <c r="D5716" t="s">
        <v>771</v>
      </c>
      <c r="E5716" t="s">
        <v>779</v>
      </c>
      <c r="F5716" t="s">
        <v>35</v>
      </c>
      <c r="G5716" t="s">
        <v>35</v>
      </c>
      <c r="H5716" t="s">
        <v>35</v>
      </c>
      <c r="J5716" t="s">
        <v>6018</v>
      </c>
      <c r="K5716" t="s">
        <v>1092</v>
      </c>
      <c r="M5716">
        <v>4.4550000000000001</v>
      </c>
      <c r="N5716">
        <v>41</v>
      </c>
      <c r="O5716" t="s">
        <v>52</v>
      </c>
      <c r="Q5716" t="s">
        <v>496</v>
      </c>
      <c r="R5716" t="s">
        <v>5992</v>
      </c>
      <c r="S5716" t="s">
        <v>817</v>
      </c>
      <c r="T5716" t="s">
        <v>818</v>
      </c>
    </row>
    <row r="5717" spans="1:20" x14ac:dyDescent="0.25">
      <c r="A5717" t="s">
        <v>59</v>
      </c>
      <c r="B5717" t="s">
        <v>31</v>
      </c>
      <c r="C5717" t="s">
        <v>32</v>
      </c>
      <c r="D5717" t="s">
        <v>771</v>
      </c>
      <c r="E5717" t="s">
        <v>779</v>
      </c>
      <c r="F5717" t="s">
        <v>35</v>
      </c>
      <c r="G5717" t="s">
        <v>35</v>
      </c>
      <c r="H5717" t="s">
        <v>35</v>
      </c>
      <c r="J5717" t="s">
        <v>6018</v>
      </c>
      <c r="K5717" t="s">
        <v>1092</v>
      </c>
      <c r="M5717">
        <v>3.06</v>
      </c>
      <c r="N5717">
        <v>39</v>
      </c>
      <c r="O5717" t="s">
        <v>52</v>
      </c>
      <c r="Q5717" t="s">
        <v>493</v>
      </c>
      <c r="R5717" t="s">
        <v>5992</v>
      </c>
      <c r="S5717" t="s">
        <v>817</v>
      </c>
      <c r="T5717" t="s">
        <v>818</v>
      </c>
    </row>
    <row r="5718" spans="1:20" x14ac:dyDescent="0.25">
      <c r="A5718" t="s">
        <v>59</v>
      </c>
      <c r="B5718" t="s">
        <v>60</v>
      </c>
      <c r="C5718" t="s">
        <v>32</v>
      </c>
      <c r="D5718" t="s">
        <v>771</v>
      </c>
      <c r="E5718" t="s">
        <v>779</v>
      </c>
      <c r="F5718" t="s">
        <v>35</v>
      </c>
      <c r="G5718" t="s">
        <v>35</v>
      </c>
      <c r="H5718" t="s">
        <v>35</v>
      </c>
      <c r="J5718" t="s">
        <v>6018</v>
      </c>
      <c r="K5718" t="s">
        <v>1092</v>
      </c>
      <c r="M5718">
        <v>4</v>
      </c>
      <c r="N5718">
        <v>39</v>
      </c>
      <c r="O5718" t="s">
        <v>52</v>
      </c>
      <c r="Q5718" t="s">
        <v>493</v>
      </c>
      <c r="R5718" t="s">
        <v>5992</v>
      </c>
      <c r="S5718" t="s">
        <v>817</v>
      </c>
      <c r="T5718" t="s">
        <v>818</v>
      </c>
    </row>
    <row r="5719" spans="1:20" x14ac:dyDescent="0.25">
      <c r="A5719" t="s">
        <v>44</v>
      </c>
      <c r="B5719" t="s">
        <v>51</v>
      </c>
      <c r="C5719" t="s">
        <v>32</v>
      </c>
      <c r="D5719" t="s">
        <v>771</v>
      </c>
      <c r="E5719" t="s">
        <v>779</v>
      </c>
      <c r="F5719" t="s">
        <v>35</v>
      </c>
      <c r="G5719" t="s">
        <v>35</v>
      </c>
      <c r="H5719" t="s">
        <v>35</v>
      </c>
      <c r="J5719" t="s">
        <v>6018</v>
      </c>
      <c r="K5719" t="s">
        <v>1092</v>
      </c>
      <c r="M5719">
        <v>1.4</v>
      </c>
      <c r="N5719">
        <v>77</v>
      </c>
      <c r="O5719" t="s">
        <v>61</v>
      </c>
      <c r="Q5719" t="s">
        <v>778</v>
      </c>
      <c r="R5719" t="s">
        <v>5992</v>
      </c>
      <c r="S5719" t="s">
        <v>817</v>
      </c>
      <c r="T5719" t="s">
        <v>818</v>
      </c>
    </row>
    <row r="5720" spans="1:20" x14ac:dyDescent="0.25">
      <c r="A5720" t="s">
        <v>30</v>
      </c>
      <c r="B5720" t="s">
        <v>31</v>
      </c>
      <c r="C5720" t="s">
        <v>32</v>
      </c>
      <c r="D5720" t="s">
        <v>771</v>
      </c>
      <c r="E5720" t="s">
        <v>910</v>
      </c>
      <c r="F5720" t="s">
        <v>35</v>
      </c>
      <c r="G5720" t="s">
        <v>35</v>
      </c>
      <c r="H5720" t="s">
        <v>35</v>
      </c>
      <c r="J5720" t="s">
        <v>6605</v>
      </c>
      <c r="K5720" t="s">
        <v>1092</v>
      </c>
      <c r="M5720">
        <v>1.2150000000000001</v>
      </c>
      <c r="N5720">
        <v>37</v>
      </c>
      <c r="O5720" t="s">
        <v>52</v>
      </c>
      <c r="Q5720" t="s">
        <v>192</v>
      </c>
      <c r="R5720" t="s">
        <v>5992</v>
      </c>
      <c r="S5720" t="s">
        <v>817</v>
      </c>
      <c r="T5720" t="s">
        <v>818</v>
      </c>
    </row>
    <row r="5721" spans="1:20" x14ac:dyDescent="0.25">
      <c r="A5721" t="s">
        <v>30</v>
      </c>
      <c r="B5721" t="s">
        <v>31</v>
      </c>
      <c r="C5721" t="s">
        <v>32</v>
      </c>
      <c r="D5721" t="s">
        <v>771</v>
      </c>
      <c r="E5721" t="s">
        <v>6093</v>
      </c>
      <c r="F5721" t="s">
        <v>35</v>
      </c>
      <c r="G5721" t="s">
        <v>35</v>
      </c>
      <c r="H5721" t="s">
        <v>35</v>
      </c>
      <c r="J5721" t="s">
        <v>6129</v>
      </c>
      <c r="K5721" t="s">
        <v>1092</v>
      </c>
      <c r="M5721">
        <v>2.5649999999999999</v>
      </c>
      <c r="N5721">
        <v>112</v>
      </c>
      <c r="O5721" t="s">
        <v>106</v>
      </c>
      <c r="Q5721" t="s">
        <v>3465</v>
      </c>
      <c r="R5721" t="s">
        <v>5992</v>
      </c>
      <c r="S5721" t="s">
        <v>817</v>
      </c>
      <c r="T5721" t="s">
        <v>818</v>
      </c>
    </row>
    <row r="5722" spans="1:20" x14ac:dyDescent="0.25">
      <c r="A5722" t="s">
        <v>30</v>
      </c>
      <c r="B5722" t="s">
        <v>31</v>
      </c>
      <c r="C5722" t="s">
        <v>32</v>
      </c>
      <c r="D5722" t="s">
        <v>771</v>
      </c>
      <c r="E5722" t="s">
        <v>6319</v>
      </c>
      <c r="F5722" t="s">
        <v>35</v>
      </c>
      <c r="G5722" t="s">
        <v>35</v>
      </c>
      <c r="H5722" t="s">
        <v>35</v>
      </c>
      <c r="J5722" t="s">
        <v>6321</v>
      </c>
      <c r="K5722" t="s">
        <v>1092</v>
      </c>
      <c r="M5722">
        <v>2.3849999999999998</v>
      </c>
      <c r="N5722">
        <v>39</v>
      </c>
      <c r="O5722" t="s">
        <v>52</v>
      </c>
      <c r="Q5722" t="s">
        <v>493</v>
      </c>
      <c r="R5722" t="s">
        <v>5992</v>
      </c>
      <c r="S5722" t="s">
        <v>817</v>
      </c>
      <c r="T5722" t="s">
        <v>818</v>
      </c>
    </row>
    <row r="5723" spans="1:20" x14ac:dyDescent="0.25">
      <c r="A5723" t="s">
        <v>30</v>
      </c>
      <c r="B5723" t="s">
        <v>31</v>
      </c>
      <c r="C5723" t="s">
        <v>32</v>
      </c>
      <c r="D5723" t="s">
        <v>771</v>
      </c>
      <c r="E5723" t="s">
        <v>871</v>
      </c>
      <c r="F5723" t="s">
        <v>35</v>
      </c>
      <c r="G5723" t="s">
        <v>35</v>
      </c>
      <c r="H5723" t="s">
        <v>35</v>
      </c>
      <c r="J5723" t="s">
        <v>6392</v>
      </c>
      <c r="K5723" t="s">
        <v>1092</v>
      </c>
      <c r="M5723">
        <v>6.57</v>
      </c>
      <c r="N5723">
        <v>112</v>
      </c>
      <c r="O5723" t="s">
        <v>106</v>
      </c>
      <c r="Q5723" t="s">
        <v>3465</v>
      </c>
      <c r="R5723" t="s">
        <v>5992</v>
      </c>
      <c r="S5723" t="s">
        <v>817</v>
      </c>
      <c r="T5723" t="s">
        <v>818</v>
      </c>
    </row>
    <row r="5724" spans="1:20" x14ac:dyDescent="0.25">
      <c r="A5724" t="s">
        <v>59</v>
      </c>
      <c r="B5724" t="s">
        <v>60</v>
      </c>
      <c r="C5724" t="s">
        <v>32</v>
      </c>
      <c r="D5724" t="s">
        <v>771</v>
      </c>
      <c r="E5724" t="s">
        <v>871</v>
      </c>
      <c r="F5724" t="s">
        <v>35</v>
      </c>
      <c r="G5724" t="s">
        <v>35</v>
      </c>
      <c r="H5724" t="s">
        <v>35</v>
      </c>
      <c r="J5724" t="s">
        <v>6420</v>
      </c>
      <c r="K5724" t="s">
        <v>1092</v>
      </c>
      <c r="M5724">
        <v>5.5</v>
      </c>
      <c r="N5724">
        <v>84</v>
      </c>
      <c r="O5724" t="s">
        <v>61</v>
      </c>
      <c r="Q5724" t="s">
        <v>1147</v>
      </c>
      <c r="R5724" t="s">
        <v>5992</v>
      </c>
      <c r="S5724" t="s">
        <v>817</v>
      </c>
      <c r="T5724" t="s">
        <v>818</v>
      </c>
    </row>
    <row r="5725" spans="1:20" x14ac:dyDescent="0.25">
      <c r="A5725" t="s">
        <v>59</v>
      </c>
      <c r="B5725" t="s">
        <v>60</v>
      </c>
      <c r="C5725" t="s">
        <v>32</v>
      </c>
      <c r="D5725" t="s">
        <v>771</v>
      </c>
      <c r="E5725" t="s">
        <v>6214</v>
      </c>
      <c r="F5725" t="s">
        <v>35</v>
      </c>
      <c r="G5725" t="s">
        <v>35</v>
      </c>
      <c r="H5725" t="s">
        <v>35</v>
      </c>
      <c r="J5725" t="s">
        <v>6231</v>
      </c>
      <c r="K5725" t="s">
        <v>1092</v>
      </c>
      <c r="M5725">
        <v>7</v>
      </c>
      <c r="N5725">
        <v>37</v>
      </c>
      <c r="O5725" t="s">
        <v>52</v>
      </c>
      <c r="Q5725" t="s">
        <v>192</v>
      </c>
      <c r="R5725" t="s">
        <v>5992</v>
      </c>
      <c r="S5725" t="s">
        <v>817</v>
      </c>
      <c r="T5725" t="s">
        <v>818</v>
      </c>
    </row>
    <row r="5726" spans="1:20" x14ac:dyDescent="0.25">
      <c r="A5726" t="s">
        <v>44</v>
      </c>
      <c r="B5726" t="s">
        <v>51</v>
      </c>
      <c r="C5726" t="s">
        <v>32</v>
      </c>
      <c r="D5726" t="s">
        <v>771</v>
      </c>
      <c r="E5726" t="s">
        <v>871</v>
      </c>
      <c r="F5726" t="s">
        <v>35</v>
      </c>
      <c r="G5726" t="s">
        <v>35</v>
      </c>
      <c r="H5726" t="s">
        <v>35</v>
      </c>
      <c r="J5726" t="s">
        <v>6395</v>
      </c>
      <c r="K5726" t="s">
        <v>1092</v>
      </c>
      <c r="M5726">
        <v>0.9</v>
      </c>
      <c r="N5726">
        <v>77</v>
      </c>
      <c r="O5726" t="s">
        <v>61</v>
      </c>
      <c r="Q5726" t="s">
        <v>778</v>
      </c>
      <c r="R5726" t="s">
        <v>5992</v>
      </c>
      <c r="S5726" t="s">
        <v>817</v>
      </c>
      <c r="T5726" t="s">
        <v>818</v>
      </c>
    </row>
    <row r="5727" spans="1:20" x14ac:dyDescent="0.25">
      <c r="A5727" t="s">
        <v>30</v>
      </c>
      <c r="B5727" t="s">
        <v>31</v>
      </c>
      <c r="C5727" t="s">
        <v>32</v>
      </c>
      <c r="D5727" t="s">
        <v>771</v>
      </c>
      <c r="E5727" t="s">
        <v>871</v>
      </c>
      <c r="F5727" t="s">
        <v>35</v>
      </c>
      <c r="G5727" t="s">
        <v>35</v>
      </c>
      <c r="H5727" t="s">
        <v>35</v>
      </c>
      <c r="J5727" t="s">
        <v>6395</v>
      </c>
      <c r="K5727" t="s">
        <v>1092</v>
      </c>
      <c r="M5727">
        <v>7.11</v>
      </c>
      <c r="N5727">
        <v>41</v>
      </c>
      <c r="O5727" t="s">
        <v>52</v>
      </c>
      <c r="Q5727" t="s">
        <v>496</v>
      </c>
      <c r="R5727" t="s">
        <v>5992</v>
      </c>
      <c r="S5727" t="s">
        <v>817</v>
      </c>
      <c r="T5727" t="s">
        <v>818</v>
      </c>
    </row>
    <row r="5728" spans="1:20" x14ac:dyDescent="0.25">
      <c r="A5728" t="s">
        <v>59</v>
      </c>
      <c r="B5728" t="s">
        <v>60</v>
      </c>
      <c r="C5728" t="s">
        <v>32</v>
      </c>
      <c r="D5728" t="s">
        <v>771</v>
      </c>
      <c r="E5728" t="s">
        <v>871</v>
      </c>
      <c r="F5728" t="s">
        <v>35</v>
      </c>
      <c r="G5728" t="s">
        <v>35</v>
      </c>
      <c r="H5728" t="s">
        <v>35</v>
      </c>
      <c r="J5728" t="s">
        <v>6395</v>
      </c>
      <c r="K5728" t="s">
        <v>1092</v>
      </c>
      <c r="M5728">
        <v>6</v>
      </c>
      <c r="N5728">
        <v>39</v>
      </c>
      <c r="O5728" t="s">
        <v>52</v>
      </c>
      <c r="Q5728" t="s">
        <v>493</v>
      </c>
      <c r="R5728" t="s">
        <v>5992</v>
      </c>
      <c r="S5728" t="s">
        <v>817</v>
      </c>
      <c r="T5728" t="s">
        <v>818</v>
      </c>
    </row>
    <row r="5729" spans="1:20" x14ac:dyDescent="0.25">
      <c r="A5729" t="s">
        <v>30</v>
      </c>
      <c r="B5729" t="s">
        <v>31</v>
      </c>
      <c r="C5729" t="s">
        <v>32</v>
      </c>
      <c r="D5729" t="s">
        <v>771</v>
      </c>
      <c r="E5729" t="s">
        <v>875</v>
      </c>
      <c r="F5729" t="s">
        <v>35</v>
      </c>
      <c r="G5729" t="s">
        <v>35</v>
      </c>
      <c r="H5729" t="s">
        <v>35</v>
      </c>
      <c r="J5729" t="s">
        <v>6455</v>
      </c>
      <c r="K5729" t="s">
        <v>1092</v>
      </c>
      <c r="M5729">
        <v>5.8049999999999997</v>
      </c>
      <c r="N5729">
        <v>39</v>
      </c>
      <c r="O5729" t="s">
        <v>52</v>
      </c>
      <c r="Q5729" t="s">
        <v>493</v>
      </c>
      <c r="R5729" t="s">
        <v>5992</v>
      </c>
      <c r="S5729" t="s">
        <v>817</v>
      </c>
      <c r="T5729" t="s">
        <v>818</v>
      </c>
    </row>
    <row r="5730" spans="1:20" x14ac:dyDescent="0.25">
      <c r="A5730" t="s">
        <v>59</v>
      </c>
      <c r="B5730" t="s">
        <v>60</v>
      </c>
      <c r="C5730" t="s">
        <v>32</v>
      </c>
      <c r="D5730" t="s">
        <v>771</v>
      </c>
      <c r="E5730" t="s">
        <v>888</v>
      </c>
      <c r="F5730" t="s">
        <v>35</v>
      </c>
      <c r="G5730" t="s">
        <v>35</v>
      </c>
      <c r="H5730" t="s">
        <v>35</v>
      </c>
      <c r="J5730" t="s">
        <v>6497</v>
      </c>
      <c r="K5730" t="s">
        <v>1092</v>
      </c>
      <c r="M5730">
        <v>10</v>
      </c>
      <c r="N5730">
        <v>39</v>
      </c>
      <c r="O5730" t="s">
        <v>52</v>
      </c>
      <c r="Q5730" t="s">
        <v>493</v>
      </c>
      <c r="R5730" t="s">
        <v>5992</v>
      </c>
      <c r="S5730" t="s">
        <v>817</v>
      </c>
      <c r="T5730" t="s">
        <v>818</v>
      </c>
    </row>
    <row r="5731" spans="1:20" x14ac:dyDescent="0.25">
      <c r="A5731" t="s">
        <v>59</v>
      </c>
      <c r="B5731" t="s">
        <v>31</v>
      </c>
      <c r="C5731" t="s">
        <v>32</v>
      </c>
      <c r="D5731" t="s">
        <v>771</v>
      </c>
      <c r="E5731" t="s">
        <v>888</v>
      </c>
      <c r="F5731" t="s">
        <v>35</v>
      </c>
      <c r="G5731" t="s">
        <v>35</v>
      </c>
      <c r="H5731" t="s">
        <v>35</v>
      </c>
      <c r="J5731" t="s">
        <v>6497</v>
      </c>
      <c r="K5731" t="s">
        <v>1092</v>
      </c>
      <c r="M5731">
        <v>7.02</v>
      </c>
      <c r="N5731">
        <v>39</v>
      </c>
      <c r="O5731" t="s">
        <v>52</v>
      </c>
      <c r="Q5731" t="s">
        <v>493</v>
      </c>
      <c r="R5731" t="s">
        <v>5992</v>
      </c>
      <c r="S5731" t="s">
        <v>817</v>
      </c>
      <c r="T5731" t="s">
        <v>818</v>
      </c>
    </row>
    <row r="5732" spans="1:20" x14ac:dyDescent="0.25">
      <c r="A5732" t="s">
        <v>59</v>
      </c>
      <c r="B5732" t="s">
        <v>60</v>
      </c>
      <c r="C5732" t="s">
        <v>32</v>
      </c>
      <c r="D5732" t="s">
        <v>771</v>
      </c>
      <c r="E5732" t="s">
        <v>888</v>
      </c>
      <c r="F5732" t="s">
        <v>35</v>
      </c>
      <c r="G5732" t="s">
        <v>35</v>
      </c>
      <c r="H5732" t="s">
        <v>35</v>
      </c>
      <c r="J5732" t="s">
        <v>6497</v>
      </c>
      <c r="K5732" t="s">
        <v>1092</v>
      </c>
      <c r="M5732">
        <v>12</v>
      </c>
      <c r="N5732">
        <v>84</v>
      </c>
      <c r="O5732" t="s">
        <v>61</v>
      </c>
      <c r="Q5732" t="s">
        <v>1147</v>
      </c>
      <c r="R5732" t="s">
        <v>5992</v>
      </c>
      <c r="S5732" t="s">
        <v>817</v>
      </c>
      <c r="T5732" t="s">
        <v>818</v>
      </c>
    </row>
    <row r="5733" spans="1:20" x14ac:dyDescent="0.25">
      <c r="A5733" t="s">
        <v>30</v>
      </c>
      <c r="B5733" t="s">
        <v>31</v>
      </c>
      <c r="C5733" t="s">
        <v>32</v>
      </c>
      <c r="D5733" t="s">
        <v>771</v>
      </c>
      <c r="E5733" t="s">
        <v>888</v>
      </c>
      <c r="F5733" t="s">
        <v>35</v>
      </c>
      <c r="G5733" t="s">
        <v>35</v>
      </c>
      <c r="H5733" t="s">
        <v>35</v>
      </c>
      <c r="J5733" t="s">
        <v>6497</v>
      </c>
      <c r="K5733" t="s">
        <v>1092</v>
      </c>
      <c r="M5733">
        <v>9.99</v>
      </c>
      <c r="N5733">
        <v>112</v>
      </c>
      <c r="O5733" t="s">
        <v>106</v>
      </c>
      <c r="Q5733" t="s">
        <v>3465</v>
      </c>
      <c r="R5733" t="s">
        <v>5992</v>
      </c>
      <c r="S5733" t="s">
        <v>817</v>
      </c>
      <c r="T5733" t="s">
        <v>818</v>
      </c>
    </row>
    <row r="5734" spans="1:20" x14ac:dyDescent="0.25">
      <c r="A5734" t="s">
        <v>30</v>
      </c>
      <c r="B5734" t="s">
        <v>31</v>
      </c>
      <c r="C5734" t="s">
        <v>32</v>
      </c>
      <c r="D5734" t="s">
        <v>771</v>
      </c>
      <c r="E5734" t="s">
        <v>888</v>
      </c>
      <c r="F5734" t="s">
        <v>35</v>
      </c>
      <c r="G5734" t="s">
        <v>35</v>
      </c>
      <c r="H5734" t="s">
        <v>35</v>
      </c>
      <c r="J5734" t="s">
        <v>6497</v>
      </c>
      <c r="K5734" t="s">
        <v>1092</v>
      </c>
      <c r="M5734">
        <v>19.98</v>
      </c>
      <c r="N5734">
        <v>41</v>
      </c>
      <c r="O5734" t="s">
        <v>52</v>
      </c>
      <c r="Q5734" t="s">
        <v>496</v>
      </c>
      <c r="R5734" t="s">
        <v>5992</v>
      </c>
      <c r="S5734" t="s">
        <v>817</v>
      </c>
      <c r="T5734" t="s">
        <v>818</v>
      </c>
    </row>
    <row r="5735" spans="1:20" x14ac:dyDescent="0.25">
      <c r="A5735" t="s">
        <v>59</v>
      </c>
      <c r="B5735" t="s">
        <v>31</v>
      </c>
      <c r="C5735" t="s">
        <v>32</v>
      </c>
      <c r="D5735" t="s">
        <v>771</v>
      </c>
      <c r="E5735" t="s">
        <v>888</v>
      </c>
      <c r="F5735" t="s">
        <v>35</v>
      </c>
      <c r="G5735" t="s">
        <v>35</v>
      </c>
      <c r="H5735" t="s">
        <v>35</v>
      </c>
      <c r="J5735" t="s">
        <v>6497</v>
      </c>
      <c r="K5735" t="s">
        <v>1092</v>
      </c>
      <c r="M5735">
        <v>7.02</v>
      </c>
      <c r="N5735">
        <v>84</v>
      </c>
      <c r="O5735" t="s">
        <v>61</v>
      </c>
      <c r="Q5735" t="s">
        <v>1147</v>
      </c>
      <c r="R5735" t="s">
        <v>5992</v>
      </c>
      <c r="S5735" t="s">
        <v>817</v>
      </c>
      <c r="T5735" t="s">
        <v>818</v>
      </c>
    </row>
    <row r="5736" spans="1:20" x14ac:dyDescent="0.25">
      <c r="A5736" t="s">
        <v>59</v>
      </c>
      <c r="B5736" t="s">
        <v>60</v>
      </c>
      <c r="C5736" t="s">
        <v>32</v>
      </c>
      <c r="D5736" t="s">
        <v>771</v>
      </c>
      <c r="E5736" t="s">
        <v>898</v>
      </c>
      <c r="F5736" t="s">
        <v>35</v>
      </c>
      <c r="G5736" t="s">
        <v>35</v>
      </c>
      <c r="H5736" t="s">
        <v>35</v>
      </c>
      <c r="J5736" t="s">
        <v>899</v>
      </c>
      <c r="K5736" t="s">
        <v>1092</v>
      </c>
      <c r="M5736">
        <v>22</v>
      </c>
      <c r="N5736">
        <v>37</v>
      </c>
      <c r="O5736" t="s">
        <v>52</v>
      </c>
      <c r="Q5736" t="s">
        <v>192</v>
      </c>
      <c r="R5736" t="s">
        <v>5992</v>
      </c>
      <c r="S5736" t="s">
        <v>817</v>
      </c>
      <c r="T5736" t="s">
        <v>818</v>
      </c>
    </row>
    <row r="5737" spans="1:20" x14ac:dyDescent="0.25">
      <c r="A5737" t="s">
        <v>59</v>
      </c>
      <c r="B5737" t="s">
        <v>60</v>
      </c>
      <c r="C5737" t="s">
        <v>32</v>
      </c>
      <c r="D5737" t="s">
        <v>771</v>
      </c>
      <c r="E5737" t="s">
        <v>6214</v>
      </c>
      <c r="F5737" t="s">
        <v>35</v>
      </c>
      <c r="G5737" t="s">
        <v>35</v>
      </c>
      <c r="H5737" t="s">
        <v>35</v>
      </c>
      <c r="J5737" t="s">
        <v>6244</v>
      </c>
      <c r="K5737" t="s">
        <v>404</v>
      </c>
      <c r="M5737">
        <v>10</v>
      </c>
      <c r="N5737">
        <v>34</v>
      </c>
      <c r="O5737" t="s">
        <v>52</v>
      </c>
      <c r="Q5737" t="s">
        <v>249</v>
      </c>
      <c r="R5737" t="s">
        <v>6024</v>
      </c>
      <c r="S5737" t="s">
        <v>820</v>
      </c>
      <c r="T5737" t="s">
        <v>821</v>
      </c>
    </row>
    <row r="5738" spans="1:20" x14ac:dyDescent="0.25">
      <c r="A5738" t="s">
        <v>59</v>
      </c>
      <c r="B5738" t="s">
        <v>31</v>
      </c>
      <c r="C5738" t="s">
        <v>32</v>
      </c>
      <c r="D5738" t="s">
        <v>771</v>
      </c>
      <c r="E5738" t="s">
        <v>783</v>
      </c>
      <c r="F5738" t="s">
        <v>35</v>
      </c>
      <c r="G5738" t="s">
        <v>35</v>
      </c>
      <c r="H5738" t="s">
        <v>35</v>
      </c>
      <c r="J5738" t="s">
        <v>6039</v>
      </c>
      <c r="K5738" t="s">
        <v>1092</v>
      </c>
      <c r="M5738">
        <v>2.5000000000000001E-2</v>
      </c>
      <c r="N5738">
        <v>1022</v>
      </c>
      <c r="O5738" t="s">
        <v>575</v>
      </c>
      <c r="Q5738" t="s">
        <v>6040</v>
      </c>
      <c r="R5738" t="s">
        <v>6024</v>
      </c>
      <c r="S5738" t="s">
        <v>820</v>
      </c>
      <c r="T5738" t="s">
        <v>821</v>
      </c>
    </row>
    <row r="5739" spans="1:20" x14ac:dyDescent="0.25">
      <c r="A5739" t="s">
        <v>59</v>
      </c>
      <c r="B5739" t="s">
        <v>60</v>
      </c>
      <c r="C5739" t="s">
        <v>32</v>
      </c>
      <c r="D5739" t="s">
        <v>771</v>
      </c>
      <c r="E5739" t="s">
        <v>898</v>
      </c>
      <c r="F5739" t="s">
        <v>35</v>
      </c>
      <c r="G5739" t="s">
        <v>35</v>
      </c>
      <c r="H5739" t="s">
        <v>35</v>
      </c>
      <c r="J5739" t="s">
        <v>6545</v>
      </c>
      <c r="K5739" t="s">
        <v>1092</v>
      </c>
      <c r="M5739">
        <v>1</v>
      </c>
      <c r="N5739">
        <v>253</v>
      </c>
      <c r="O5739" t="s">
        <v>5</v>
      </c>
      <c r="Q5739" t="s">
        <v>5106</v>
      </c>
      <c r="R5739" t="s">
        <v>6024</v>
      </c>
      <c r="S5739" t="s">
        <v>820</v>
      </c>
      <c r="T5739" t="s">
        <v>821</v>
      </c>
    </row>
    <row r="5740" spans="1:20" x14ac:dyDescent="0.25">
      <c r="A5740" t="s">
        <v>59</v>
      </c>
      <c r="B5740" t="s">
        <v>60</v>
      </c>
      <c r="C5740" t="s">
        <v>32</v>
      </c>
      <c r="D5740" t="s">
        <v>771</v>
      </c>
      <c r="E5740" t="s">
        <v>865</v>
      </c>
      <c r="F5740" t="s">
        <v>35</v>
      </c>
      <c r="G5740" t="s">
        <v>35</v>
      </c>
      <c r="H5740" t="s">
        <v>35</v>
      </c>
      <c r="J5740" t="s">
        <v>6352</v>
      </c>
      <c r="K5740" t="s">
        <v>1092</v>
      </c>
      <c r="M5740">
        <v>0.05</v>
      </c>
      <c r="N5740">
        <v>298</v>
      </c>
      <c r="O5740" t="s">
        <v>5</v>
      </c>
      <c r="Q5740" t="s">
        <v>4947</v>
      </c>
      <c r="R5740" t="s">
        <v>6024</v>
      </c>
      <c r="S5740" t="s">
        <v>820</v>
      </c>
      <c r="T5740" t="s">
        <v>821</v>
      </c>
    </row>
    <row r="5741" spans="1:20" x14ac:dyDescent="0.25">
      <c r="A5741" t="s">
        <v>59</v>
      </c>
      <c r="B5741" t="s">
        <v>60</v>
      </c>
      <c r="C5741" t="s">
        <v>32</v>
      </c>
      <c r="D5741" t="s">
        <v>771</v>
      </c>
      <c r="E5741" t="s">
        <v>783</v>
      </c>
      <c r="F5741" t="s">
        <v>35</v>
      </c>
      <c r="G5741" t="s">
        <v>35</v>
      </c>
      <c r="H5741" t="s">
        <v>35</v>
      </c>
      <c r="J5741" t="s">
        <v>6023</v>
      </c>
      <c r="K5741" t="s">
        <v>1092</v>
      </c>
      <c r="M5741">
        <v>8.9</v>
      </c>
      <c r="N5741">
        <v>4</v>
      </c>
      <c r="O5741" t="s">
        <v>46</v>
      </c>
      <c r="Q5741" t="s">
        <v>1053</v>
      </c>
      <c r="R5741" t="s">
        <v>6024</v>
      </c>
      <c r="S5741" t="s">
        <v>820</v>
      </c>
      <c r="T5741" t="s">
        <v>821</v>
      </c>
    </row>
    <row r="5742" spans="1:20" x14ac:dyDescent="0.25">
      <c r="A5742" t="s">
        <v>59</v>
      </c>
      <c r="B5742" t="s">
        <v>60</v>
      </c>
      <c r="C5742" t="s">
        <v>32</v>
      </c>
      <c r="D5742" t="s">
        <v>771</v>
      </c>
      <c r="E5742" t="s">
        <v>6214</v>
      </c>
      <c r="F5742" t="s">
        <v>35</v>
      </c>
      <c r="G5742" t="s">
        <v>35</v>
      </c>
      <c r="H5742" t="s">
        <v>35</v>
      </c>
      <c r="J5742" t="s">
        <v>6254</v>
      </c>
      <c r="K5742" t="s">
        <v>1092</v>
      </c>
      <c r="M5742">
        <v>15</v>
      </c>
      <c r="N5742">
        <v>34</v>
      </c>
      <c r="O5742" t="s">
        <v>52</v>
      </c>
      <c r="Q5742" t="s">
        <v>249</v>
      </c>
      <c r="R5742" t="s">
        <v>6024</v>
      </c>
      <c r="S5742" t="s">
        <v>820</v>
      </c>
      <c r="T5742" t="s">
        <v>821</v>
      </c>
    </row>
    <row r="5743" spans="1:20" x14ac:dyDescent="0.25">
      <c r="A5743" t="s">
        <v>59</v>
      </c>
      <c r="B5743" t="s">
        <v>60</v>
      </c>
      <c r="C5743" t="s">
        <v>32</v>
      </c>
      <c r="D5743" t="s">
        <v>771</v>
      </c>
      <c r="E5743" t="s">
        <v>783</v>
      </c>
      <c r="F5743" t="s">
        <v>35</v>
      </c>
      <c r="G5743" t="s">
        <v>35</v>
      </c>
      <c r="H5743" t="s">
        <v>35</v>
      </c>
      <c r="J5743" t="s">
        <v>6059</v>
      </c>
      <c r="K5743" t="s">
        <v>1092</v>
      </c>
      <c r="M5743">
        <v>20</v>
      </c>
      <c r="N5743">
        <v>34</v>
      </c>
      <c r="O5743" t="s">
        <v>52</v>
      </c>
      <c r="Q5743" t="s">
        <v>249</v>
      </c>
      <c r="R5743" t="s">
        <v>6024</v>
      </c>
      <c r="S5743" t="s">
        <v>820</v>
      </c>
      <c r="T5743" t="s">
        <v>821</v>
      </c>
    </row>
    <row r="5744" spans="1:20" x14ac:dyDescent="0.25">
      <c r="A5744" t="s">
        <v>59</v>
      </c>
      <c r="B5744" t="s">
        <v>60</v>
      </c>
      <c r="C5744" t="s">
        <v>32</v>
      </c>
      <c r="D5744" t="s">
        <v>771</v>
      </c>
      <c r="E5744" t="s">
        <v>871</v>
      </c>
      <c r="F5744" t="s">
        <v>35</v>
      </c>
      <c r="G5744" t="s">
        <v>35</v>
      </c>
      <c r="H5744" t="s">
        <v>35</v>
      </c>
      <c r="J5744" t="s">
        <v>6424</v>
      </c>
      <c r="K5744" t="s">
        <v>1092</v>
      </c>
      <c r="M5744">
        <v>0.05</v>
      </c>
      <c r="N5744">
        <v>298</v>
      </c>
      <c r="O5744" t="s">
        <v>5</v>
      </c>
      <c r="Q5744" t="s">
        <v>4947</v>
      </c>
      <c r="R5744" t="s">
        <v>6024</v>
      </c>
      <c r="S5744" t="s">
        <v>820</v>
      </c>
      <c r="T5744" t="s">
        <v>821</v>
      </c>
    </row>
    <row r="5745" spans="1:20" x14ac:dyDescent="0.25">
      <c r="A5745" t="s">
        <v>30</v>
      </c>
      <c r="B5745" t="s">
        <v>31</v>
      </c>
      <c r="C5745" t="s">
        <v>32</v>
      </c>
      <c r="D5745" t="s">
        <v>771</v>
      </c>
      <c r="E5745" t="s">
        <v>865</v>
      </c>
      <c r="F5745" t="s">
        <v>35</v>
      </c>
      <c r="G5745" t="s">
        <v>35</v>
      </c>
      <c r="H5745" t="s">
        <v>35</v>
      </c>
      <c r="J5745" t="s">
        <v>6383</v>
      </c>
      <c r="K5745" t="s">
        <v>1092</v>
      </c>
      <c r="M5745">
        <v>3</v>
      </c>
      <c r="N5745">
        <v>97</v>
      </c>
      <c r="O5745" t="s">
        <v>106</v>
      </c>
      <c r="Q5745" t="s">
        <v>2577</v>
      </c>
      <c r="R5745" t="s">
        <v>6160</v>
      </c>
      <c r="S5745" t="s">
        <v>837</v>
      </c>
      <c r="T5745" t="s">
        <v>838</v>
      </c>
    </row>
    <row r="5746" spans="1:20" x14ac:dyDescent="0.25">
      <c r="A5746" t="s">
        <v>30</v>
      </c>
      <c r="B5746" t="s">
        <v>31</v>
      </c>
      <c r="C5746" t="s">
        <v>32</v>
      </c>
      <c r="D5746" t="s">
        <v>771</v>
      </c>
      <c r="E5746" t="s">
        <v>836</v>
      </c>
      <c r="F5746" t="s">
        <v>35</v>
      </c>
      <c r="G5746" t="s">
        <v>35</v>
      </c>
      <c r="H5746" t="s">
        <v>35</v>
      </c>
      <c r="J5746" t="s">
        <v>6158</v>
      </c>
      <c r="K5746" t="s">
        <v>1092</v>
      </c>
      <c r="M5746">
        <v>0.495</v>
      </c>
      <c r="N5746">
        <v>1821</v>
      </c>
      <c r="O5746" t="s">
        <v>575</v>
      </c>
      <c r="Q5746" t="s">
        <v>6159</v>
      </c>
      <c r="R5746" t="s">
        <v>6160</v>
      </c>
      <c r="S5746" t="s">
        <v>837</v>
      </c>
      <c r="T5746" t="s">
        <v>838</v>
      </c>
    </row>
    <row r="5747" spans="1:20" x14ac:dyDescent="0.25">
      <c r="A5747" t="s">
        <v>30</v>
      </c>
      <c r="B5747" t="s">
        <v>31</v>
      </c>
      <c r="C5747" t="s">
        <v>32</v>
      </c>
      <c r="D5747" t="s">
        <v>771</v>
      </c>
      <c r="F5747" t="s">
        <v>35</v>
      </c>
      <c r="G5747" t="s">
        <v>35</v>
      </c>
      <c r="H5747" t="s">
        <v>35</v>
      </c>
      <c r="J5747" t="s">
        <v>6702</v>
      </c>
      <c r="K5747" t="s">
        <v>1092</v>
      </c>
      <c r="M5747">
        <v>0.53</v>
      </c>
      <c r="N5747">
        <v>37</v>
      </c>
      <c r="O5747" t="s">
        <v>52</v>
      </c>
      <c r="Q5747" t="s">
        <v>192</v>
      </c>
      <c r="R5747" t="s">
        <v>6160</v>
      </c>
      <c r="S5747" t="s">
        <v>837</v>
      </c>
      <c r="T5747" t="s">
        <v>838</v>
      </c>
    </row>
    <row r="5748" spans="1:20" x14ac:dyDescent="0.25">
      <c r="A5748" t="s">
        <v>59</v>
      </c>
      <c r="B5748" t="s">
        <v>60</v>
      </c>
      <c r="C5748" t="s">
        <v>32</v>
      </c>
      <c r="D5748" t="s">
        <v>771</v>
      </c>
      <c r="E5748" t="s">
        <v>865</v>
      </c>
      <c r="F5748" t="s">
        <v>35</v>
      </c>
      <c r="G5748" t="s">
        <v>35</v>
      </c>
      <c r="H5748" t="s">
        <v>35</v>
      </c>
      <c r="J5748" t="s">
        <v>6366</v>
      </c>
      <c r="K5748" t="s">
        <v>1092</v>
      </c>
      <c r="M5748">
        <v>4</v>
      </c>
      <c r="N5748">
        <v>37</v>
      </c>
      <c r="O5748" t="s">
        <v>52</v>
      </c>
      <c r="Q5748" t="s">
        <v>192</v>
      </c>
      <c r="R5748" t="s">
        <v>6160</v>
      </c>
      <c r="S5748" t="s">
        <v>837</v>
      </c>
      <c r="T5748" t="s">
        <v>838</v>
      </c>
    </row>
    <row r="5749" spans="1:20" x14ac:dyDescent="0.25">
      <c r="A5749" t="s">
        <v>30</v>
      </c>
      <c r="B5749" t="s">
        <v>31</v>
      </c>
      <c r="C5749" t="s">
        <v>32</v>
      </c>
      <c r="D5749" t="s">
        <v>771</v>
      </c>
      <c r="E5749" t="s">
        <v>865</v>
      </c>
      <c r="F5749" t="s">
        <v>35</v>
      </c>
      <c r="G5749" t="s">
        <v>35</v>
      </c>
      <c r="H5749" t="s">
        <v>35</v>
      </c>
      <c r="J5749" t="s">
        <v>6362</v>
      </c>
      <c r="K5749" t="s">
        <v>1092</v>
      </c>
      <c r="M5749">
        <v>5.0000000000000001E-3</v>
      </c>
      <c r="N5749">
        <v>903</v>
      </c>
      <c r="O5749" t="s">
        <v>575</v>
      </c>
      <c r="Q5749" t="s">
        <v>6363</v>
      </c>
      <c r="R5749" t="s">
        <v>6160</v>
      </c>
      <c r="S5749" t="s">
        <v>837</v>
      </c>
      <c r="T5749" t="s">
        <v>838</v>
      </c>
    </row>
    <row r="5750" spans="1:20" x14ac:dyDescent="0.25">
      <c r="A5750" t="s">
        <v>59</v>
      </c>
      <c r="B5750" t="s">
        <v>31</v>
      </c>
      <c r="C5750" t="s">
        <v>32</v>
      </c>
      <c r="D5750" t="s">
        <v>771</v>
      </c>
      <c r="E5750" t="s">
        <v>865</v>
      </c>
      <c r="F5750" t="s">
        <v>35</v>
      </c>
      <c r="G5750" t="s">
        <v>35</v>
      </c>
      <c r="H5750" t="s">
        <v>35</v>
      </c>
      <c r="J5750" t="s">
        <v>6362</v>
      </c>
      <c r="K5750" t="s">
        <v>1092</v>
      </c>
      <c r="M5750">
        <v>0.01</v>
      </c>
      <c r="N5750">
        <v>904</v>
      </c>
      <c r="O5750" t="s">
        <v>575</v>
      </c>
      <c r="Q5750" t="s">
        <v>6364</v>
      </c>
      <c r="R5750" t="s">
        <v>6160</v>
      </c>
      <c r="S5750" t="s">
        <v>837</v>
      </c>
      <c r="T5750" t="s">
        <v>838</v>
      </c>
    </row>
    <row r="5751" spans="1:20" x14ac:dyDescent="0.25">
      <c r="A5751" t="s">
        <v>59</v>
      </c>
      <c r="B5751" t="s">
        <v>31</v>
      </c>
      <c r="C5751" t="s">
        <v>32</v>
      </c>
      <c r="D5751" t="s">
        <v>771</v>
      </c>
      <c r="F5751" t="s">
        <v>35</v>
      </c>
      <c r="G5751" t="s">
        <v>35</v>
      </c>
      <c r="H5751" t="s">
        <v>35</v>
      </c>
      <c r="J5751" t="s">
        <v>6637</v>
      </c>
      <c r="K5751" t="s">
        <v>285</v>
      </c>
      <c r="M5751">
        <v>2.0249999999999999</v>
      </c>
      <c r="N5751">
        <v>30</v>
      </c>
      <c r="O5751" t="s">
        <v>46</v>
      </c>
      <c r="Q5751" t="s">
        <v>3499</v>
      </c>
      <c r="R5751" t="s">
        <v>6033</v>
      </c>
      <c r="S5751" t="s">
        <v>6034</v>
      </c>
      <c r="T5751" t="s">
        <v>6035</v>
      </c>
    </row>
    <row r="5752" spans="1:20" x14ac:dyDescent="0.25">
      <c r="A5752" t="s">
        <v>59</v>
      </c>
      <c r="B5752" t="s">
        <v>60</v>
      </c>
      <c r="C5752" t="s">
        <v>32</v>
      </c>
      <c r="D5752" t="s">
        <v>771</v>
      </c>
      <c r="E5752" t="s">
        <v>6214</v>
      </c>
      <c r="F5752" t="s">
        <v>35</v>
      </c>
      <c r="G5752" t="s">
        <v>35</v>
      </c>
      <c r="H5752" t="s">
        <v>35</v>
      </c>
      <c r="J5752" t="s">
        <v>1204</v>
      </c>
      <c r="K5752" t="s">
        <v>1092</v>
      </c>
      <c r="M5752">
        <v>10</v>
      </c>
      <c r="N5752">
        <v>8</v>
      </c>
      <c r="O5752" t="s">
        <v>46</v>
      </c>
      <c r="Q5752" t="s">
        <v>1944</v>
      </c>
      <c r="R5752" t="s">
        <v>6033</v>
      </c>
      <c r="S5752" t="s">
        <v>6034</v>
      </c>
      <c r="T5752" t="s">
        <v>6035</v>
      </c>
    </row>
    <row r="5753" spans="1:20" x14ac:dyDescent="0.25">
      <c r="A5753" t="s">
        <v>59</v>
      </c>
      <c r="B5753" t="s">
        <v>31</v>
      </c>
      <c r="C5753" t="s">
        <v>32</v>
      </c>
      <c r="D5753" t="s">
        <v>771</v>
      </c>
      <c r="E5753" t="s">
        <v>6319</v>
      </c>
      <c r="F5753" t="s">
        <v>35</v>
      </c>
      <c r="G5753" t="s">
        <v>35</v>
      </c>
      <c r="H5753" t="s">
        <v>35</v>
      </c>
      <c r="J5753" t="s">
        <v>951</v>
      </c>
      <c r="K5753" t="s">
        <v>1092</v>
      </c>
      <c r="M5753">
        <v>9.99</v>
      </c>
      <c r="N5753">
        <v>30</v>
      </c>
      <c r="O5753" t="s">
        <v>46</v>
      </c>
      <c r="Q5753" t="s">
        <v>3499</v>
      </c>
      <c r="R5753" t="s">
        <v>6033</v>
      </c>
      <c r="S5753" t="s">
        <v>6034</v>
      </c>
      <c r="T5753" t="s">
        <v>6035</v>
      </c>
    </row>
    <row r="5754" spans="1:20" x14ac:dyDescent="0.25">
      <c r="A5754" t="s">
        <v>59</v>
      </c>
      <c r="B5754" t="s">
        <v>31</v>
      </c>
      <c r="C5754" t="s">
        <v>32</v>
      </c>
      <c r="D5754" t="s">
        <v>771</v>
      </c>
      <c r="E5754" t="s">
        <v>875</v>
      </c>
      <c r="F5754" t="s">
        <v>35</v>
      </c>
      <c r="G5754" t="s">
        <v>35</v>
      </c>
      <c r="H5754" t="s">
        <v>35</v>
      </c>
      <c r="J5754" t="s">
        <v>6444</v>
      </c>
      <c r="K5754" t="s">
        <v>1092</v>
      </c>
      <c r="M5754">
        <v>3.915</v>
      </c>
      <c r="N5754">
        <v>30</v>
      </c>
      <c r="O5754" t="s">
        <v>46</v>
      </c>
      <c r="Q5754" t="s">
        <v>3499</v>
      </c>
      <c r="R5754" t="s">
        <v>6033</v>
      </c>
      <c r="S5754" t="s">
        <v>6034</v>
      </c>
      <c r="T5754" t="s">
        <v>6035</v>
      </c>
    </row>
    <row r="5755" spans="1:20" x14ac:dyDescent="0.25">
      <c r="A5755" t="s">
        <v>59</v>
      </c>
      <c r="B5755" t="s">
        <v>31</v>
      </c>
      <c r="C5755" t="s">
        <v>32</v>
      </c>
      <c r="D5755" t="s">
        <v>771</v>
      </c>
      <c r="E5755" t="s">
        <v>783</v>
      </c>
      <c r="F5755" t="s">
        <v>35</v>
      </c>
      <c r="G5755" t="s">
        <v>35</v>
      </c>
      <c r="H5755" t="s">
        <v>35</v>
      </c>
      <c r="J5755" t="s">
        <v>6032</v>
      </c>
      <c r="K5755" t="s">
        <v>1092</v>
      </c>
      <c r="M5755">
        <v>4.7699999999999996</v>
      </c>
      <c r="N5755">
        <v>30</v>
      </c>
      <c r="O5755" t="s">
        <v>46</v>
      </c>
      <c r="Q5755" t="s">
        <v>3499</v>
      </c>
      <c r="R5755" t="s">
        <v>6033</v>
      </c>
      <c r="S5755" t="s">
        <v>6034</v>
      </c>
      <c r="T5755" t="s">
        <v>6035</v>
      </c>
    </row>
    <row r="5756" spans="1:20" x14ac:dyDescent="0.25">
      <c r="A5756" t="s">
        <v>59</v>
      </c>
      <c r="B5756" t="s">
        <v>60</v>
      </c>
      <c r="C5756" t="s">
        <v>32</v>
      </c>
      <c r="D5756" t="s">
        <v>771</v>
      </c>
      <c r="E5756" t="s">
        <v>888</v>
      </c>
      <c r="F5756" t="s">
        <v>35</v>
      </c>
      <c r="G5756" t="s">
        <v>35</v>
      </c>
      <c r="H5756" t="s">
        <v>35</v>
      </c>
      <c r="J5756" t="s">
        <v>889</v>
      </c>
      <c r="K5756" t="s">
        <v>37</v>
      </c>
      <c r="M5756">
        <v>14</v>
      </c>
      <c r="N5756">
        <v>36</v>
      </c>
      <c r="O5756" t="s">
        <v>52</v>
      </c>
      <c r="P5756" t="s">
        <v>891</v>
      </c>
      <c r="Q5756" t="s">
        <v>892</v>
      </c>
      <c r="R5756" t="s">
        <v>893</v>
      </c>
      <c r="S5756" t="s">
        <v>894</v>
      </c>
      <c r="T5756" t="s">
        <v>895</v>
      </c>
    </row>
    <row r="5757" spans="1:20" x14ac:dyDescent="0.25">
      <c r="A5757" t="s">
        <v>59</v>
      </c>
      <c r="B5757" t="s">
        <v>60</v>
      </c>
      <c r="C5757" t="s">
        <v>32</v>
      </c>
      <c r="D5757" t="s">
        <v>771</v>
      </c>
      <c r="E5757" t="s">
        <v>888</v>
      </c>
      <c r="F5757" t="s">
        <v>35</v>
      </c>
      <c r="G5757" t="s">
        <v>35</v>
      </c>
      <c r="H5757" t="s">
        <v>35</v>
      </c>
      <c r="J5757" t="s">
        <v>889</v>
      </c>
      <c r="K5757" t="s">
        <v>37</v>
      </c>
      <c r="M5757">
        <v>5</v>
      </c>
      <c r="N5757">
        <v>83</v>
      </c>
      <c r="O5757" t="s">
        <v>61</v>
      </c>
      <c r="P5757" t="s">
        <v>896</v>
      </c>
      <c r="Q5757" t="s">
        <v>897</v>
      </c>
      <c r="R5757" t="s">
        <v>893</v>
      </c>
      <c r="S5757" t="s">
        <v>894</v>
      </c>
      <c r="T5757" t="s">
        <v>895</v>
      </c>
    </row>
    <row r="5758" spans="1:20" x14ac:dyDescent="0.25">
      <c r="A5758" t="s">
        <v>59</v>
      </c>
      <c r="B5758" t="s">
        <v>60</v>
      </c>
      <c r="C5758" t="s">
        <v>32</v>
      </c>
      <c r="D5758" t="s">
        <v>771</v>
      </c>
      <c r="E5758" t="s">
        <v>783</v>
      </c>
      <c r="F5758" t="s">
        <v>35</v>
      </c>
      <c r="G5758" t="s">
        <v>35</v>
      </c>
      <c r="H5758" t="s">
        <v>35</v>
      </c>
      <c r="J5758" t="s">
        <v>6064</v>
      </c>
      <c r="K5758" t="s">
        <v>1092</v>
      </c>
      <c r="M5758">
        <v>0.1</v>
      </c>
      <c r="N5758">
        <v>149</v>
      </c>
      <c r="O5758" t="s">
        <v>38</v>
      </c>
      <c r="Q5758" t="s">
        <v>75</v>
      </c>
      <c r="R5758" t="s">
        <v>893</v>
      </c>
      <c r="S5758" t="s">
        <v>894</v>
      </c>
      <c r="T5758" t="s">
        <v>895</v>
      </c>
    </row>
    <row r="5759" spans="1:20" x14ac:dyDescent="0.25">
      <c r="A5759" t="s">
        <v>59</v>
      </c>
      <c r="B5759" t="s">
        <v>31</v>
      </c>
      <c r="C5759" t="s">
        <v>32</v>
      </c>
      <c r="D5759" t="s">
        <v>771</v>
      </c>
      <c r="E5759" t="s">
        <v>783</v>
      </c>
      <c r="F5759" t="s">
        <v>35</v>
      </c>
      <c r="G5759" t="s">
        <v>35</v>
      </c>
      <c r="H5759" t="s">
        <v>35</v>
      </c>
      <c r="J5759" t="s">
        <v>6064</v>
      </c>
      <c r="K5759" t="s">
        <v>1092</v>
      </c>
      <c r="M5759">
        <v>0.1</v>
      </c>
      <c r="N5759">
        <v>149</v>
      </c>
      <c r="O5759" t="s">
        <v>38</v>
      </c>
      <c r="Q5759" t="s">
        <v>75</v>
      </c>
      <c r="R5759" t="s">
        <v>893</v>
      </c>
      <c r="S5759" t="s">
        <v>894</v>
      </c>
      <c r="T5759" t="s">
        <v>895</v>
      </c>
    </row>
    <row r="5760" spans="1:20" x14ac:dyDescent="0.25">
      <c r="A5760" t="s">
        <v>59</v>
      </c>
      <c r="B5760" t="s">
        <v>60</v>
      </c>
      <c r="C5760" t="s">
        <v>32</v>
      </c>
      <c r="D5760" t="s">
        <v>771</v>
      </c>
      <c r="E5760" t="s">
        <v>910</v>
      </c>
      <c r="F5760" t="s">
        <v>35</v>
      </c>
      <c r="G5760" t="s">
        <v>35</v>
      </c>
      <c r="H5760" t="s">
        <v>35</v>
      </c>
      <c r="J5760" t="s">
        <v>921</v>
      </c>
      <c r="K5760" t="s">
        <v>37</v>
      </c>
      <c r="M5760">
        <v>4.5</v>
      </c>
      <c r="N5760">
        <v>36</v>
      </c>
      <c r="O5760" t="s">
        <v>52</v>
      </c>
      <c r="P5760" t="s">
        <v>923</v>
      </c>
      <c r="Q5760" t="s">
        <v>892</v>
      </c>
      <c r="R5760" t="s">
        <v>893</v>
      </c>
      <c r="S5760" t="s">
        <v>894</v>
      </c>
      <c r="T5760" t="s">
        <v>895</v>
      </c>
    </row>
    <row r="5761" spans="1:20" x14ac:dyDescent="0.25">
      <c r="A5761" t="s">
        <v>30</v>
      </c>
      <c r="B5761" t="s">
        <v>31</v>
      </c>
      <c r="C5761" t="s">
        <v>32</v>
      </c>
      <c r="D5761" t="s">
        <v>771</v>
      </c>
      <c r="E5761" t="s">
        <v>871</v>
      </c>
      <c r="F5761" t="s">
        <v>35</v>
      </c>
      <c r="G5761" t="s">
        <v>35</v>
      </c>
      <c r="H5761" t="s">
        <v>35</v>
      </c>
      <c r="J5761" t="s">
        <v>6400</v>
      </c>
      <c r="K5761" t="s">
        <v>1092</v>
      </c>
      <c r="M5761">
        <v>0.81</v>
      </c>
      <c r="N5761">
        <v>36</v>
      </c>
      <c r="O5761" t="s">
        <v>52</v>
      </c>
      <c r="Q5761" t="s">
        <v>892</v>
      </c>
      <c r="R5761" t="s">
        <v>893</v>
      </c>
      <c r="S5761" t="s">
        <v>894</v>
      </c>
      <c r="T5761" t="s">
        <v>895</v>
      </c>
    </row>
    <row r="5762" spans="1:20" x14ac:dyDescent="0.25">
      <c r="A5762" t="s">
        <v>59</v>
      </c>
      <c r="B5762" t="s">
        <v>60</v>
      </c>
      <c r="C5762" t="s">
        <v>32</v>
      </c>
      <c r="D5762" t="s">
        <v>771</v>
      </c>
      <c r="E5762" t="s">
        <v>783</v>
      </c>
      <c r="F5762" t="s">
        <v>35</v>
      </c>
      <c r="G5762" t="s">
        <v>35</v>
      </c>
      <c r="H5762" t="s">
        <v>35</v>
      </c>
      <c r="J5762" t="s">
        <v>6063</v>
      </c>
      <c r="K5762" t="s">
        <v>1092</v>
      </c>
      <c r="M5762">
        <v>5.0000000000000001E-3</v>
      </c>
      <c r="N5762">
        <v>149</v>
      </c>
      <c r="O5762" t="s">
        <v>38</v>
      </c>
      <c r="Q5762" t="s">
        <v>75</v>
      </c>
      <c r="R5762" t="s">
        <v>893</v>
      </c>
      <c r="S5762" t="s">
        <v>894</v>
      </c>
      <c r="T5762" t="s">
        <v>895</v>
      </c>
    </row>
    <row r="5763" spans="1:20" x14ac:dyDescent="0.25">
      <c r="A5763" t="s">
        <v>59</v>
      </c>
      <c r="B5763" t="s">
        <v>31</v>
      </c>
      <c r="C5763" t="s">
        <v>32</v>
      </c>
      <c r="D5763" t="s">
        <v>771</v>
      </c>
      <c r="E5763" t="s">
        <v>783</v>
      </c>
      <c r="F5763" t="s">
        <v>35</v>
      </c>
      <c r="G5763" t="s">
        <v>35</v>
      </c>
      <c r="H5763" t="s">
        <v>35</v>
      </c>
      <c r="J5763" t="s">
        <v>6063</v>
      </c>
      <c r="K5763" t="s">
        <v>1092</v>
      </c>
      <c r="M5763">
        <v>4.4999999999999998E-2</v>
      </c>
      <c r="N5763">
        <v>149</v>
      </c>
      <c r="O5763" t="s">
        <v>38</v>
      </c>
      <c r="Q5763" t="s">
        <v>75</v>
      </c>
      <c r="R5763" t="s">
        <v>893</v>
      </c>
      <c r="S5763" t="s">
        <v>894</v>
      </c>
      <c r="T5763" t="s">
        <v>895</v>
      </c>
    </row>
    <row r="5764" spans="1:20" x14ac:dyDescent="0.25">
      <c r="A5764" t="s">
        <v>59</v>
      </c>
      <c r="B5764" t="s">
        <v>31</v>
      </c>
      <c r="C5764" t="s">
        <v>32</v>
      </c>
      <c r="D5764" t="s">
        <v>771</v>
      </c>
      <c r="E5764" t="s">
        <v>888</v>
      </c>
      <c r="F5764" t="s">
        <v>35</v>
      </c>
      <c r="G5764" t="s">
        <v>35</v>
      </c>
      <c r="H5764" t="s">
        <v>35</v>
      </c>
      <c r="J5764" t="s">
        <v>6485</v>
      </c>
      <c r="K5764" t="s">
        <v>1092</v>
      </c>
      <c r="M5764">
        <v>9.0449999999999999</v>
      </c>
      <c r="N5764">
        <v>83</v>
      </c>
      <c r="O5764" t="s">
        <v>61</v>
      </c>
      <c r="Q5764" t="s">
        <v>897</v>
      </c>
      <c r="R5764" t="s">
        <v>893</v>
      </c>
      <c r="S5764" t="s">
        <v>894</v>
      </c>
      <c r="T5764" t="s">
        <v>895</v>
      </c>
    </row>
    <row r="5765" spans="1:20" x14ac:dyDescent="0.25">
      <c r="A5765" t="s">
        <v>59</v>
      </c>
      <c r="B5765" t="s">
        <v>31</v>
      </c>
      <c r="C5765" t="s">
        <v>32</v>
      </c>
      <c r="D5765" t="s">
        <v>771</v>
      </c>
      <c r="E5765" t="s">
        <v>888</v>
      </c>
      <c r="F5765" t="s">
        <v>35</v>
      </c>
      <c r="G5765" t="s">
        <v>35</v>
      </c>
      <c r="H5765" t="s">
        <v>35</v>
      </c>
      <c r="J5765" t="s">
        <v>6485</v>
      </c>
      <c r="K5765" t="s">
        <v>1092</v>
      </c>
      <c r="M5765">
        <v>7.9649999999999999</v>
      </c>
      <c r="N5765">
        <v>36</v>
      </c>
      <c r="O5765" t="s">
        <v>52</v>
      </c>
      <c r="Q5765" t="s">
        <v>892</v>
      </c>
      <c r="R5765" t="s">
        <v>893</v>
      </c>
      <c r="S5765" t="s">
        <v>894</v>
      </c>
      <c r="T5765" t="s">
        <v>895</v>
      </c>
    </row>
    <row r="5766" spans="1:20" x14ac:dyDescent="0.25">
      <c r="A5766" t="s">
        <v>44</v>
      </c>
      <c r="B5766" t="s">
        <v>51</v>
      </c>
      <c r="C5766" t="s">
        <v>32</v>
      </c>
      <c r="D5766" t="s">
        <v>771</v>
      </c>
      <c r="E5766" t="s">
        <v>888</v>
      </c>
      <c r="F5766" t="s">
        <v>35</v>
      </c>
      <c r="G5766" t="s">
        <v>35</v>
      </c>
      <c r="H5766" t="s">
        <v>35</v>
      </c>
      <c r="J5766" t="s">
        <v>6485</v>
      </c>
      <c r="K5766" t="s">
        <v>1092</v>
      </c>
      <c r="M5766">
        <v>12</v>
      </c>
      <c r="N5766">
        <v>75</v>
      </c>
      <c r="O5766" t="s">
        <v>61</v>
      </c>
      <c r="Q5766" t="s">
        <v>447</v>
      </c>
      <c r="R5766" t="s">
        <v>893</v>
      </c>
      <c r="S5766" t="s">
        <v>894</v>
      </c>
      <c r="T5766" t="s">
        <v>895</v>
      </c>
    </row>
    <row r="5767" spans="1:20" x14ac:dyDescent="0.25">
      <c r="A5767" t="s">
        <v>59</v>
      </c>
      <c r="B5767" t="s">
        <v>60</v>
      </c>
      <c r="C5767" t="s">
        <v>32</v>
      </c>
      <c r="D5767" t="s">
        <v>771</v>
      </c>
      <c r="E5767" t="s">
        <v>888</v>
      </c>
      <c r="F5767" t="s">
        <v>35</v>
      </c>
      <c r="G5767" t="s">
        <v>35</v>
      </c>
      <c r="H5767" t="s">
        <v>35</v>
      </c>
      <c r="J5767" t="s">
        <v>6485</v>
      </c>
      <c r="K5767" t="s">
        <v>1092</v>
      </c>
      <c r="M5767">
        <v>7</v>
      </c>
      <c r="N5767">
        <v>36</v>
      </c>
      <c r="O5767" t="s">
        <v>52</v>
      </c>
      <c r="Q5767" t="s">
        <v>892</v>
      </c>
      <c r="R5767" t="s">
        <v>893</v>
      </c>
      <c r="S5767" t="s">
        <v>894</v>
      </c>
      <c r="T5767" t="s">
        <v>895</v>
      </c>
    </row>
    <row r="5768" spans="1:20" x14ac:dyDescent="0.25">
      <c r="A5768" t="s">
        <v>30</v>
      </c>
      <c r="B5768" t="s">
        <v>31</v>
      </c>
      <c r="C5768" t="s">
        <v>32</v>
      </c>
      <c r="D5768" t="s">
        <v>771</v>
      </c>
      <c r="E5768" t="s">
        <v>783</v>
      </c>
      <c r="F5768" t="s">
        <v>35</v>
      </c>
      <c r="G5768" t="s">
        <v>35</v>
      </c>
      <c r="H5768" t="s">
        <v>35</v>
      </c>
      <c r="J5768" t="s">
        <v>6062</v>
      </c>
      <c r="K5768" t="s">
        <v>1092</v>
      </c>
      <c r="M5768">
        <v>7.02</v>
      </c>
      <c r="N5768">
        <v>41</v>
      </c>
      <c r="O5768" t="s">
        <v>52</v>
      </c>
      <c r="Q5768" t="s">
        <v>496</v>
      </c>
      <c r="R5768" t="s">
        <v>934</v>
      </c>
      <c r="S5768" t="s">
        <v>935</v>
      </c>
      <c r="T5768" t="s">
        <v>936</v>
      </c>
    </row>
    <row r="5769" spans="1:20" x14ac:dyDescent="0.25">
      <c r="A5769" t="s">
        <v>44</v>
      </c>
      <c r="B5769" t="s">
        <v>51</v>
      </c>
      <c r="C5769" t="s">
        <v>32</v>
      </c>
      <c r="D5769" t="s">
        <v>771</v>
      </c>
      <c r="E5769" t="s">
        <v>6319</v>
      </c>
      <c r="F5769" t="s">
        <v>35</v>
      </c>
      <c r="G5769" t="s">
        <v>35</v>
      </c>
      <c r="H5769" t="s">
        <v>35</v>
      </c>
      <c r="J5769" t="s">
        <v>6332</v>
      </c>
      <c r="K5769" t="s">
        <v>1092</v>
      </c>
      <c r="M5769">
        <v>7</v>
      </c>
      <c r="N5769">
        <v>59</v>
      </c>
      <c r="O5769" t="s">
        <v>52</v>
      </c>
      <c r="Q5769" t="s">
        <v>203</v>
      </c>
      <c r="R5769" t="s">
        <v>934</v>
      </c>
      <c r="S5769" t="s">
        <v>935</v>
      </c>
      <c r="T5769" t="s">
        <v>936</v>
      </c>
    </row>
    <row r="5770" spans="1:20" x14ac:dyDescent="0.25">
      <c r="A5770" t="s">
        <v>59</v>
      </c>
      <c r="B5770" t="s">
        <v>60</v>
      </c>
      <c r="C5770" t="s">
        <v>32</v>
      </c>
      <c r="D5770" t="s">
        <v>771</v>
      </c>
      <c r="E5770" t="s">
        <v>6214</v>
      </c>
      <c r="F5770" t="s">
        <v>35</v>
      </c>
      <c r="G5770" t="s">
        <v>35</v>
      </c>
      <c r="H5770" t="s">
        <v>35</v>
      </c>
      <c r="J5770" t="s">
        <v>1204</v>
      </c>
      <c r="K5770" t="s">
        <v>1092</v>
      </c>
      <c r="M5770">
        <v>5</v>
      </c>
      <c r="N5770">
        <v>35</v>
      </c>
      <c r="O5770" t="s">
        <v>52</v>
      </c>
      <c r="Q5770" t="s">
        <v>991</v>
      </c>
      <c r="R5770" t="s">
        <v>934</v>
      </c>
      <c r="S5770" t="s">
        <v>935</v>
      </c>
      <c r="T5770" t="s">
        <v>936</v>
      </c>
    </row>
    <row r="5771" spans="1:20" x14ac:dyDescent="0.25">
      <c r="A5771" t="s">
        <v>44</v>
      </c>
      <c r="B5771" t="s">
        <v>51</v>
      </c>
      <c r="C5771" t="s">
        <v>32</v>
      </c>
      <c r="D5771" t="s">
        <v>771</v>
      </c>
      <c r="E5771" t="s">
        <v>6093</v>
      </c>
      <c r="F5771" t="s">
        <v>35</v>
      </c>
      <c r="G5771" t="s">
        <v>35</v>
      </c>
      <c r="H5771" t="s">
        <v>35</v>
      </c>
      <c r="J5771" t="s">
        <v>6095</v>
      </c>
      <c r="K5771" t="s">
        <v>1092</v>
      </c>
      <c r="M5771">
        <v>10</v>
      </c>
      <c r="N5771">
        <v>75</v>
      </c>
      <c r="O5771" t="s">
        <v>61</v>
      </c>
      <c r="Q5771" t="s">
        <v>447</v>
      </c>
      <c r="R5771" t="s">
        <v>934</v>
      </c>
      <c r="S5771" t="s">
        <v>935</v>
      </c>
      <c r="T5771" t="s">
        <v>936</v>
      </c>
    </row>
    <row r="5772" spans="1:20" x14ac:dyDescent="0.25">
      <c r="A5772" t="s">
        <v>59</v>
      </c>
      <c r="B5772" t="s">
        <v>31</v>
      </c>
      <c r="C5772" t="s">
        <v>32</v>
      </c>
      <c r="D5772" t="s">
        <v>771</v>
      </c>
      <c r="E5772" t="s">
        <v>6093</v>
      </c>
      <c r="F5772" t="s">
        <v>35</v>
      </c>
      <c r="G5772" t="s">
        <v>35</v>
      </c>
      <c r="H5772" t="s">
        <v>35</v>
      </c>
      <c r="J5772" t="s">
        <v>6095</v>
      </c>
      <c r="K5772" t="s">
        <v>1092</v>
      </c>
      <c r="M5772">
        <v>7.02</v>
      </c>
      <c r="N5772">
        <v>84</v>
      </c>
      <c r="O5772" t="s">
        <v>61</v>
      </c>
      <c r="Q5772" t="s">
        <v>1147</v>
      </c>
      <c r="R5772" t="s">
        <v>934</v>
      </c>
      <c r="S5772" t="s">
        <v>935</v>
      </c>
      <c r="T5772" t="s">
        <v>936</v>
      </c>
    </row>
    <row r="5773" spans="1:20" x14ac:dyDescent="0.25">
      <c r="A5773" t="s">
        <v>59</v>
      </c>
      <c r="B5773" t="s">
        <v>31</v>
      </c>
      <c r="C5773" t="s">
        <v>32</v>
      </c>
      <c r="D5773" t="s">
        <v>771</v>
      </c>
      <c r="E5773" t="s">
        <v>6319</v>
      </c>
      <c r="F5773" t="s">
        <v>35</v>
      </c>
      <c r="G5773" t="s">
        <v>35</v>
      </c>
      <c r="H5773" t="s">
        <v>35</v>
      </c>
      <c r="J5773" t="s">
        <v>6329</v>
      </c>
      <c r="K5773" t="s">
        <v>1092</v>
      </c>
      <c r="M5773">
        <v>3.69</v>
      </c>
      <c r="N5773">
        <v>873</v>
      </c>
      <c r="O5773" t="s">
        <v>575</v>
      </c>
      <c r="Q5773" t="s">
        <v>1531</v>
      </c>
      <c r="R5773" t="s">
        <v>934</v>
      </c>
      <c r="S5773" t="s">
        <v>935</v>
      </c>
      <c r="T5773" t="s">
        <v>936</v>
      </c>
    </row>
    <row r="5774" spans="1:20" x14ac:dyDescent="0.25">
      <c r="A5774" t="s">
        <v>59</v>
      </c>
      <c r="B5774" t="s">
        <v>60</v>
      </c>
      <c r="C5774" t="s">
        <v>32</v>
      </c>
      <c r="D5774" t="s">
        <v>771</v>
      </c>
      <c r="E5774" t="s">
        <v>888</v>
      </c>
      <c r="F5774" t="s">
        <v>35</v>
      </c>
      <c r="G5774" t="s">
        <v>35</v>
      </c>
      <c r="H5774" t="s">
        <v>35</v>
      </c>
      <c r="J5774" t="s">
        <v>6482</v>
      </c>
      <c r="K5774" t="s">
        <v>1092</v>
      </c>
      <c r="M5774">
        <v>3</v>
      </c>
      <c r="N5774">
        <v>149</v>
      </c>
      <c r="O5774" t="s">
        <v>38</v>
      </c>
      <c r="Q5774" t="s">
        <v>75</v>
      </c>
      <c r="R5774" t="s">
        <v>934</v>
      </c>
      <c r="S5774" t="s">
        <v>935</v>
      </c>
      <c r="T5774" t="s">
        <v>936</v>
      </c>
    </row>
    <row r="5775" spans="1:20" x14ac:dyDescent="0.25">
      <c r="A5775" t="s">
        <v>59</v>
      </c>
      <c r="B5775" t="s">
        <v>31</v>
      </c>
      <c r="C5775" t="s">
        <v>32</v>
      </c>
      <c r="D5775" t="s">
        <v>771</v>
      </c>
      <c r="E5775" t="s">
        <v>888</v>
      </c>
      <c r="F5775" t="s">
        <v>35</v>
      </c>
      <c r="G5775" t="s">
        <v>35</v>
      </c>
      <c r="H5775" t="s">
        <v>35</v>
      </c>
      <c r="J5775" t="s">
        <v>6482</v>
      </c>
      <c r="K5775" t="s">
        <v>1092</v>
      </c>
      <c r="M5775">
        <v>3.33</v>
      </c>
      <c r="N5775">
        <v>149</v>
      </c>
      <c r="O5775" t="s">
        <v>38</v>
      </c>
      <c r="Q5775" t="s">
        <v>75</v>
      </c>
      <c r="R5775" t="s">
        <v>934</v>
      </c>
      <c r="S5775" t="s">
        <v>935</v>
      </c>
      <c r="T5775" t="s">
        <v>936</v>
      </c>
    </row>
    <row r="5776" spans="1:20" x14ac:dyDescent="0.25">
      <c r="A5776" t="s">
        <v>59</v>
      </c>
      <c r="B5776" t="s">
        <v>60</v>
      </c>
      <c r="C5776" t="s">
        <v>32</v>
      </c>
      <c r="D5776" t="s">
        <v>771</v>
      </c>
      <c r="E5776" t="s">
        <v>783</v>
      </c>
      <c r="F5776" t="s">
        <v>35</v>
      </c>
      <c r="G5776" t="s">
        <v>35</v>
      </c>
      <c r="H5776" t="s">
        <v>35</v>
      </c>
      <c r="J5776" t="s">
        <v>6037</v>
      </c>
      <c r="K5776" t="s">
        <v>1092</v>
      </c>
      <c r="M5776">
        <v>3.5999999999999997E-2</v>
      </c>
      <c r="N5776">
        <v>189</v>
      </c>
      <c r="O5776" t="s">
        <v>5</v>
      </c>
      <c r="Q5776" t="s">
        <v>5616</v>
      </c>
      <c r="R5776" t="s">
        <v>934</v>
      </c>
      <c r="S5776" t="s">
        <v>935</v>
      </c>
      <c r="T5776" t="s">
        <v>936</v>
      </c>
    </row>
    <row r="5777" spans="1:20" x14ac:dyDescent="0.25">
      <c r="A5777" t="s">
        <v>30</v>
      </c>
      <c r="B5777" t="s">
        <v>31</v>
      </c>
      <c r="C5777" t="s">
        <v>32</v>
      </c>
      <c r="D5777" t="s">
        <v>771</v>
      </c>
      <c r="E5777" t="s">
        <v>783</v>
      </c>
      <c r="F5777" t="s">
        <v>35</v>
      </c>
      <c r="G5777" t="s">
        <v>35</v>
      </c>
      <c r="H5777" t="s">
        <v>35</v>
      </c>
      <c r="J5777" t="s">
        <v>6037</v>
      </c>
      <c r="K5777" t="s">
        <v>1092</v>
      </c>
      <c r="M5777">
        <v>6.0750000000000002</v>
      </c>
      <c r="N5777">
        <v>112</v>
      </c>
      <c r="O5777" t="s">
        <v>106</v>
      </c>
      <c r="Q5777" t="s">
        <v>3465</v>
      </c>
      <c r="R5777" t="s">
        <v>934</v>
      </c>
      <c r="S5777" t="s">
        <v>935</v>
      </c>
      <c r="T5777" t="s">
        <v>936</v>
      </c>
    </row>
    <row r="5778" spans="1:20" x14ac:dyDescent="0.25">
      <c r="A5778" t="s">
        <v>30</v>
      </c>
      <c r="B5778" t="s">
        <v>31</v>
      </c>
      <c r="C5778" t="s">
        <v>32</v>
      </c>
      <c r="D5778" t="s">
        <v>771</v>
      </c>
      <c r="E5778" t="s">
        <v>779</v>
      </c>
      <c r="F5778" t="s">
        <v>35</v>
      </c>
      <c r="G5778" t="s">
        <v>35</v>
      </c>
      <c r="H5778" t="s">
        <v>35</v>
      </c>
      <c r="J5778" t="s">
        <v>6013</v>
      </c>
      <c r="K5778" t="s">
        <v>1092</v>
      </c>
      <c r="M5778">
        <v>0.495</v>
      </c>
      <c r="N5778">
        <v>857</v>
      </c>
      <c r="O5778" t="s">
        <v>575</v>
      </c>
      <c r="Q5778" t="s">
        <v>6014</v>
      </c>
      <c r="R5778" t="s">
        <v>934</v>
      </c>
      <c r="S5778" t="s">
        <v>935</v>
      </c>
      <c r="T5778" t="s">
        <v>936</v>
      </c>
    </row>
    <row r="5779" spans="1:20" x14ac:dyDescent="0.25">
      <c r="A5779" t="s">
        <v>59</v>
      </c>
      <c r="B5779" t="s">
        <v>31</v>
      </c>
      <c r="C5779" t="s">
        <v>32</v>
      </c>
      <c r="D5779" t="s">
        <v>771</v>
      </c>
      <c r="E5779" t="s">
        <v>6214</v>
      </c>
      <c r="F5779" t="s">
        <v>35</v>
      </c>
      <c r="G5779" t="s">
        <v>35</v>
      </c>
      <c r="H5779" t="s">
        <v>35</v>
      </c>
      <c r="J5779" t="s">
        <v>6224</v>
      </c>
      <c r="K5779" t="s">
        <v>1092</v>
      </c>
      <c r="M5779">
        <v>1.98</v>
      </c>
      <c r="N5779">
        <v>31</v>
      </c>
      <c r="O5779" t="s">
        <v>52</v>
      </c>
      <c r="Q5779" t="s">
        <v>748</v>
      </c>
      <c r="R5779" t="s">
        <v>934</v>
      </c>
      <c r="S5779" t="s">
        <v>935</v>
      </c>
      <c r="T5779" t="s">
        <v>936</v>
      </c>
    </row>
    <row r="5780" spans="1:20" x14ac:dyDescent="0.25">
      <c r="A5780" t="s">
        <v>44</v>
      </c>
      <c r="B5780" t="s">
        <v>51</v>
      </c>
      <c r="C5780" t="s">
        <v>32</v>
      </c>
      <c r="D5780" t="s">
        <v>771</v>
      </c>
      <c r="E5780" t="s">
        <v>783</v>
      </c>
      <c r="F5780" t="s">
        <v>35</v>
      </c>
      <c r="G5780" t="s">
        <v>35</v>
      </c>
      <c r="H5780" t="s">
        <v>35</v>
      </c>
      <c r="J5780" t="s">
        <v>6055</v>
      </c>
      <c r="K5780" t="s">
        <v>1092</v>
      </c>
      <c r="M5780">
        <v>0.55000000000000004</v>
      </c>
      <c r="N5780">
        <v>306</v>
      </c>
      <c r="O5780" t="s">
        <v>5</v>
      </c>
      <c r="Q5780" t="s">
        <v>6056</v>
      </c>
      <c r="R5780" t="s">
        <v>934</v>
      </c>
      <c r="S5780" t="s">
        <v>935</v>
      </c>
      <c r="T5780" t="s">
        <v>936</v>
      </c>
    </row>
    <row r="5781" spans="1:20" x14ac:dyDescent="0.25">
      <c r="A5781" t="s">
        <v>59</v>
      </c>
      <c r="B5781" t="s">
        <v>60</v>
      </c>
      <c r="C5781" t="s">
        <v>32</v>
      </c>
      <c r="D5781" t="s">
        <v>771</v>
      </c>
      <c r="E5781" t="s">
        <v>6214</v>
      </c>
      <c r="F5781" t="s">
        <v>35</v>
      </c>
      <c r="G5781" t="s">
        <v>35</v>
      </c>
      <c r="H5781" t="s">
        <v>35</v>
      </c>
      <c r="J5781" t="s">
        <v>6225</v>
      </c>
      <c r="K5781" t="s">
        <v>1092</v>
      </c>
      <c r="M5781">
        <v>9.6999999999999993</v>
      </c>
      <c r="N5781">
        <v>39</v>
      </c>
      <c r="O5781" t="s">
        <v>52</v>
      </c>
      <c r="Q5781" t="s">
        <v>493</v>
      </c>
      <c r="R5781" t="s">
        <v>934</v>
      </c>
      <c r="S5781" t="s">
        <v>935</v>
      </c>
      <c r="T5781" t="s">
        <v>936</v>
      </c>
    </row>
    <row r="5782" spans="1:20" x14ac:dyDescent="0.25">
      <c r="A5782" t="s">
        <v>30</v>
      </c>
      <c r="B5782" t="s">
        <v>31</v>
      </c>
      <c r="C5782" t="s">
        <v>32</v>
      </c>
      <c r="D5782" t="s">
        <v>771</v>
      </c>
      <c r="E5782" t="s">
        <v>6214</v>
      </c>
      <c r="F5782" t="s">
        <v>35</v>
      </c>
      <c r="G5782" t="s">
        <v>35</v>
      </c>
      <c r="H5782" t="s">
        <v>35</v>
      </c>
      <c r="J5782" t="s">
        <v>6225</v>
      </c>
      <c r="K5782" t="s">
        <v>1092</v>
      </c>
      <c r="M5782">
        <v>6.66</v>
      </c>
      <c r="N5782">
        <v>41</v>
      </c>
      <c r="O5782" t="s">
        <v>52</v>
      </c>
      <c r="Q5782" t="s">
        <v>496</v>
      </c>
      <c r="R5782" t="s">
        <v>934</v>
      </c>
      <c r="S5782" t="s">
        <v>935</v>
      </c>
      <c r="T5782" t="s">
        <v>936</v>
      </c>
    </row>
    <row r="5783" spans="1:20" x14ac:dyDescent="0.25">
      <c r="A5783" t="s">
        <v>59</v>
      </c>
      <c r="B5783" t="s">
        <v>31</v>
      </c>
      <c r="C5783" t="s">
        <v>32</v>
      </c>
      <c r="D5783" t="s">
        <v>771</v>
      </c>
      <c r="E5783" t="s">
        <v>6214</v>
      </c>
      <c r="F5783" t="s">
        <v>35</v>
      </c>
      <c r="G5783" t="s">
        <v>35</v>
      </c>
      <c r="H5783" t="s">
        <v>35</v>
      </c>
      <c r="J5783" t="s">
        <v>6225</v>
      </c>
      <c r="K5783" t="s">
        <v>1092</v>
      </c>
      <c r="M5783">
        <v>0.58499999999999996</v>
      </c>
      <c r="N5783">
        <v>84</v>
      </c>
      <c r="O5783" t="s">
        <v>61</v>
      </c>
      <c r="Q5783" t="s">
        <v>1147</v>
      </c>
      <c r="R5783" t="s">
        <v>934</v>
      </c>
      <c r="S5783" t="s">
        <v>935</v>
      </c>
      <c r="T5783" t="s">
        <v>936</v>
      </c>
    </row>
    <row r="5784" spans="1:20" x14ac:dyDescent="0.25">
      <c r="A5784" t="s">
        <v>30</v>
      </c>
      <c r="B5784" t="s">
        <v>31</v>
      </c>
      <c r="C5784" t="s">
        <v>32</v>
      </c>
      <c r="D5784" t="s">
        <v>771</v>
      </c>
      <c r="E5784" t="s">
        <v>903</v>
      </c>
      <c r="F5784" t="s">
        <v>35</v>
      </c>
      <c r="G5784" t="s">
        <v>35</v>
      </c>
      <c r="H5784" t="s">
        <v>35</v>
      </c>
      <c r="J5784" t="s">
        <v>6553</v>
      </c>
      <c r="K5784" t="s">
        <v>1144</v>
      </c>
      <c r="M5784">
        <v>5.94</v>
      </c>
      <c r="N5784">
        <v>112</v>
      </c>
      <c r="O5784" t="s">
        <v>106</v>
      </c>
      <c r="Q5784" t="s">
        <v>3465</v>
      </c>
      <c r="R5784" t="s">
        <v>934</v>
      </c>
      <c r="S5784" t="s">
        <v>935</v>
      </c>
      <c r="T5784" t="s">
        <v>936</v>
      </c>
    </row>
    <row r="5785" spans="1:20" x14ac:dyDescent="0.25">
      <c r="A5785" t="s">
        <v>59</v>
      </c>
      <c r="B5785" t="s">
        <v>60</v>
      </c>
      <c r="C5785" t="s">
        <v>32</v>
      </c>
      <c r="D5785" t="s">
        <v>771</v>
      </c>
      <c r="E5785" t="s">
        <v>903</v>
      </c>
      <c r="F5785" t="s">
        <v>35</v>
      </c>
      <c r="G5785" t="s">
        <v>35</v>
      </c>
      <c r="H5785" t="s">
        <v>35</v>
      </c>
      <c r="J5785" t="s">
        <v>6553</v>
      </c>
      <c r="K5785" t="s">
        <v>1144</v>
      </c>
      <c r="M5785">
        <v>1E-3</v>
      </c>
      <c r="N5785">
        <v>149</v>
      </c>
      <c r="O5785" t="s">
        <v>38</v>
      </c>
      <c r="Q5785" t="s">
        <v>75</v>
      </c>
      <c r="R5785" t="s">
        <v>934</v>
      </c>
      <c r="S5785" t="s">
        <v>935</v>
      </c>
      <c r="T5785" t="s">
        <v>936</v>
      </c>
    </row>
    <row r="5786" spans="1:20" x14ac:dyDescent="0.25">
      <c r="A5786" t="s">
        <v>44</v>
      </c>
      <c r="B5786" t="s">
        <v>51</v>
      </c>
      <c r="C5786" t="s">
        <v>32</v>
      </c>
      <c r="D5786" t="s">
        <v>771</v>
      </c>
      <c r="E5786" t="s">
        <v>903</v>
      </c>
      <c r="F5786" t="s">
        <v>35</v>
      </c>
      <c r="G5786" t="s">
        <v>35</v>
      </c>
      <c r="H5786" t="s">
        <v>35</v>
      </c>
      <c r="J5786" t="s">
        <v>6553</v>
      </c>
      <c r="K5786" t="s">
        <v>1144</v>
      </c>
      <c r="M5786">
        <v>7</v>
      </c>
      <c r="N5786">
        <v>28</v>
      </c>
      <c r="O5786" t="s">
        <v>46</v>
      </c>
      <c r="Q5786" t="s">
        <v>48</v>
      </c>
      <c r="R5786" t="s">
        <v>934</v>
      </c>
      <c r="S5786" t="s">
        <v>935</v>
      </c>
      <c r="T5786" t="s">
        <v>936</v>
      </c>
    </row>
    <row r="5787" spans="1:20" x14ac:dyDescent="0.25">
      <c r="A5787" t="s">
        <v>59</v>
      </c>
      <c r="B5787" t="s">
        <v>31</v>
      </c>
      <c r="C5787" t="s">
        <v>32</v>
      </c>
      <c r="D5787" t="s">
        <v>771</v>
      </c>
      <c r="E5787" t="s">
        <v>903</v>
      </c>
      <c r="F5787" t="s">
        <v>35</v>
      </c>
      <c r="G5787" t="s">
        <v>35</v>
      </c>
      <c r="H5787" t="s">
        <v>35</v>
      </c>
      <c r="J5787" t="s">
        <v>6553</v>
      </c>
      <c r="K5787" t="s">
        <v>1144</v>
      </c>
      <c r="M5787">
        <v>5.9850000000000003</v>
      </c>
      <c r="N5787">
        <v>84</v>
      </c>
      <c r="O5787" t="s">
        <v>61</v>
      </c>
      <c r="Q5787" t="s">
        <v>1147</v>
      </c>
      <c r="R5787" t="s">
        <v>934</v>
      </c>
      <c r="S5787" t="s">
        <v>935</v>
      </c>
      <c r="T5787" t="s">
        <v>936</v>
      </c>
    </row>
    <row r="5788" spans="1:20" x14ac:dyDescent="0.25">
      <c r="A5788" t="s">
        <v>59</v>
      </c>
      <c r="B5788" t="s">
        <v>60</v>
      </c>
      <c r="C5788" t="s">
        <v>32</v>
      </c>
      <c r="D5788" t="s">
        <v>771</v>
      </c>
      <c r="E5788" t="s">
        <v>903</v>
      </c>
      <c r="F5788" t="s">
        <v>35</v>
      </c>
      <c r="G5788" t="s">
        <v>35</v>
      </c>
      <c r="H5788" t="s">
        <v>35</v>
      </c>
      <c r="J5788" t="s">
        <v>6553</v>
      </c>
      <c r="K5788" t="s">
        <v>1144</v>
      </c>
      <c r="M5788">
        <v>1</v>
      </c>
      <c r="N5788">
        <v>84</v>
      </c>
      <c r="O5788" t="s">
        <v>61</v>
      </c>
      <c r="Q5788" t="s">
        <v>1147</v>
      </c>
      <c r="R5788" t="s">
        <v>934</v>
      </c>
      <c r="S5788" t="s">
        <v>935</v>
      </c>
      <c r="T5788" t="s">
        <v>936</v>
      </c>
    </row>
    <row r="5789" spans="1:20" x14ac:dyDescent="0.25">
      <c r="A5789" t="s">
        <v>30</v>
      </c>
      <c r="B5789" t="s">
        <v>31</v>
      </c>
      <c r="C5789" t="s">
        <v>32</v>
      </c>
      <c r="D5789" t="s">
        <v>771</v>
      </c>
      <c r="E5789" t="s">
        <v>6319</v>
      </c>
      <c r="F5789" t="s">
        <v>35</v>
      </c>
      <c r="G5789" t="s">
        <v>35</v>
      </c>
      <c r="H5789" t="s">
        <v>35</v>
      </c>
      <c r="J5789" t="s">
        <v>6334</v>
      </c>
      <c r="K5789" t="s">
        <v>1092</v>
      </c>
      <c r="M5789">
        <v>1.26</v>
      </c>
      <c r="N5789">
        <v>112</v>
      </c>
      <c r="O5789" t="s">
        <v>106</v>
      </c>
      <c r="Q5789" t="s">
        <v>3465</v>
      </c>
      <c r="R5789" t="s">
        <v>934</v>
      </c>
      <c r="S5789" t="s">
        <v>935</v>
      </c>
      <c r="T5789" t="s">
        <v>936</v>
      </c>
    </row>
    <row r="5790" spans="1:20" x14ac:dyDescent="0.25">
      <c r="A5790" t="s">
        <v>30</v>
      </c>
      <c r="B5790" t="s">
        <v>31</v>
      </c>
      <c r="C5790" t="s">
        <v>32</v>
      </c>
      <c r="D5790" t="s">
        <v>771</v>
      </c>
      <c r="E5790" t="s">
        <v>861</v>
      </c>
      <c r="F5790" t="s">
        <v>35</v>
      </c>
      <c r="G5790" t="s">
        <v>35</v>
      </c>
      <c r="H5790" t="s">
        <v>35</v>
      </c>
      <c r="J5790" t="s">
        <v>6299</v>
      </c>
      <c r="K5790" t="s">
        <v>1092</v>
      </c>
      <c r="M5790">
        <v>8.5050000000000008</v>
      </c>
      <c r="N5790">
        <v>39</v>
      </c>
      <c r="O5790" t="s">
        <v>52</v>
      </c>
      <c r="Q5790" t="s">
        <v>493</v>
      </c>
      <c r="R5790" t="s">
        <v>934</v>
      </c>
      <c r="S5790" t="s">
        <v>935</v>
      </c>
      <c r="T5790" t="s">
        <v>936</v>
      </c>
    </row>
    <row r="5791" spans="1:20" x14ac:dyDescent="0.25">
      <c r="A5791" t="s">
        <v>59</v>
      </c>
      <c r="B5791" t="s">
        <v>60</v>
      </c>
      <c r="C5791" t="s">
        <v>32</v>
      </c>
      <c r="D5791" t="s">
        <v>771</v>
      </c>
      <c r="E5791" t="s">
        <v>6261</v>
      </c>
      <c r="F5791" t="s">
        <v>35</v>
      </c>
      <c r="G5791" t="s">
        <v>35</v>
      </c>
      <c r="H5791" t="s">
        <v>35</v>
      </c>
      <c r="J5791" t="s">
        <v>6276</v>
      </c>
      <c r="K5791" t="s">
        <v>1092</v>
      </c>
      <c r="M5791">
        <v>1</v>
      </c>
      <c r="N5791">
        <v>349</v>
      </c>
      <c r="O5791" t="s">
        <v>5</v>
      </c>
      <c r="Q5791" t="s">
        <v>4728</v>
      </c>
      <c r="R5791" t="s">
        <v>934</v>
      </c>
      <c r="S5791" t="s">
        <v>935</v>
      </c>
      <c r="T5791" t="s">
        <v>936</v>
      </c>
    </row>
    <row r="5792" spans="1:20" x14ac:dyDescent="0.25">
      <c r="A5792" t="s">
        <v>59</v>
      </c>
      <c r="B5792" t="s">
        <v>31</v>
      </c>
      <c r="C5792" t="s">
        <v>32</v>
      </c>
      <c r="D5792" t="s">
        <v>771</v>
      </c>
      <c r="E5792" t="s">
        <v>6261</v>
      </c>
      <c r="F5792" t="s">
        <v>35</v>
      </c>
      <c r="G5792" t="s">
        <v>35</v>
      </c>
      <c r="H5792" t="s">
        <v>35</v>
      </c>
      <c r="J5792" t="s">
        <v>6276</v>
      </c>
      <c r="K5792" t="s">
        <v>1092</v>
      </c>
      <c r="M5792">
        <v>2.97</v>
      </c>
      <c r="N5792">
        <v>353</v>
      </c>
      <c r="O5792" t="s">
        <v>5</v>
      </c>
      <c r="Q5792" t="s">
        <v>1435</v>
      </c>
      <c r="R5792" t="s">
        <v>934</v>
      </c>
      <c r="S5792" t="s">
        <v>935</v>
      </c>
      <c r="T5792" t="s">
        <v>936</v>
      </c>
    </row>
    <row r="5793" spans="1:20" x14ac:dyDescent="0.25">
      <c r="A5793" t="s">
        <v>59</v>
      </c>
      <c r="B5793" t="s">
        <v>60</v>
      </c>
      <c r="C5793" t="s">
        <v>32</v>
      </c>
      <c r="D5793" t="s">
        <v>771</v>
      </c>
      <c r="E5793" t="s">
        <v>861</v>
      </c>
      <c r="F5793" t="s">
        <v>35</v>
      </c>
      <c r="G5793" t="s">
        <v>35</v>
      </c>
      <c r="H5793" t="s">
        <v>35</v>
      </c>
      <c r="J5793" t="s">
        <v>6309</v>
      </c>
      <c r="K5793" t="s">
        <v>1092</v>
      </c>
      <c r="M5793">
        <v>1</v>
      </c>
      <c r="N5793">
        <v>72</v>
      </c>
      <c r="O5793" t="s">
        <v>61</v>
      </c>
      <c r="Q5793" t="s">
        <v>1156</v>
      </c>
      <c r="R5793" t="s">
        <v>934</v>
      </c>
      <c r="S5793" t="s">
        <v>935</v>
      </c>
      <c r="T5793" t="s">
        <v>936</v>
      </c>
    </row>
    <row r="5794" spans="1:20" x14ac:dyDescent="0.25">
      <c r="A5794" t="s">
        <v>44</v>
      </c>
      <c r="B5794" t="s">
        <v>51</v>
      </c>
      <c r="C5794" t="s">
        <v>32</v>
      </c>
      <c r="D5794" t="s">
        <v>771</v>
      </c>
      <c r="E5794" t="s">
        <v>861</v>
      </c>
      <c r="F5794" t="s">
        <v>35</v>
      </c>
      <c r="G5794" t="s">
        <v>35</v>
      </c>
      <c r="H5794" t="s">
        <v>35</v>
      </c>
      <c r="J5794" t="s">
        <v>6309</v>
      </c>
      <c r="K5794" t="s">
        <v>1092</v>
      </c>
      <c r="M5794">
        <v>5.4</v>
      </c>
      <c r="N5794">
        <v>59</v>
      </c>
      <c r="O5794" t="s">
        <v>52</v>
      </c>
      <c r="Q5794" t="s">
        <v>203</v>
      </c>
      <c r="R5794" t="s">
        <v>934</v>
      </c>
      <c r="S5794" t="s">
        <v>935</v>
      </c>
      <c r="T5794" t="s">
        <v>936</v>
      </c>
    </row>
    <row r="5795" spans="1:20" x14ac:dyDescent="0.25">
      <c r="A5795" t="s">
        <v>30</v>
      </c>
      <c r="B5795" t="s">
        <v>31</v>
      </c>
      <c r="C5795" t="s">
        <v>32</v>
      </c>
      <c r="D5795" t="s">
        <v>771</v>
      </c>
      <c r="E5795" t="s">
        <v>861</v>
      </c>
      <c r="F5795" t="s">
        <v>35</v>
      </c>
      <c r="G5795" t="s">
        <v>35</v>
      </c>
      <c r="H5795" t="s">
        <v>35</v>
      </c>
      <c r="J5795" t="s">
        <v>6294</v>
      </c>
      <c r="K5795" t="s">
        <v>1092</v>
      </c>
      <c r="M5795">
        <v>4.2300000000000004</v>
      </c>
      <c r="N5795">
        <v>41</v>
      </c>
      <c r="O5795" t="s">
        <v>52</v>
      </c>
      <c r="Q5795" t="s">
        <v>496</v>
      </c>
      <c r="R5795" t="s">
        <v>934</v>
      </c>
      <c r="S5795" t="s">
        <v>935</v>
      </c>
      <c r="T5795" t="s">
        <v>936</v>
      </c>
    </row>
    <row r="5796" spans="1:20" x14ac:dyDescent="0.25">
      <c r="A5796" t="s">
        <v>30</v>
      </c>
      <c r="B5796" t="s">
        <v>31</v>
      </c>
      <c r="C5796" t="s">
        <v>32</v>
      </c>
      <c r="D5796" t="s">
        <v>771</v>
      </c>
      <c r="E5796" t="s">
        <v>6165</v>
      </c>
      <c r="F5796" t="s">
        <v>35</v>
      </c>
      <c r="G5796" t="s">
        <v>35</v>
      </c>
      <c r="H5796" t="s">
        <v>35</v>
      </c>
      <c r="J5796" t="s">
        <v>6167</v>
      </c>
      <c r="K5796" t="s">
        <v>1092</v>
      </c>
      <c r="M5796">
        <v>2.835</v>
      </c>
      <c r="N5796">
        <v>40</v>
      </c>
      <c r="O5796" t="s">
        <v>52</v>
      </c>
      <c r="Q5796" t="s">
        <v>132</v>
      </c>
      <c r="R5796" t="s">
        <v>934</v>
      </c>
      <c r="S5796" t="s">
        <v>935</v>
      </c>
      <c r="T5796" t="s">
        <v>936</v>
      </c>
    </row>
    <row r="5797" spans="1:20" x14ac:dyDescent="0.25">
      <c r="A5797" t="s">
        <v>59</v>
      </c>
      <c r="B5797" t="s">
        <v>31</v>
      </c>
      <c r="C5797" t="s">
        <v>32</v>
      </c>
      <c r="D5797" t="s">
        <v>771</v>
      </c>
      <c r="E5797" t="s">
        <v>6319</v>
      </c>
      <c r="F5797" t="s">
        <v>35</v>
      </c>
      <c r="G5797" t="s">
        <v>35</v>
      </c>
      <c r="H5797" t="s">
        <v>35</v>
      </c>
      <c r="J5797" t="s">
        <v>6323</v>
      </c>
      <c r="K5797" t="s">
        <v>1092</v>
      </c>
      <c r="M5797">
        <v>0.45</v>
      </c>
      <c r="N5797">
        <v>39</v>
      </c>
      <c r="O5797" t="s">
        <v>52</v>
      </c>
      <c r="Q5797" t="s">
        <v>493</v>
      </c>
      <c r="R5797" t="s">
        <v>934</v>
      </c>
      <c r="S5797" t="s">
        <v>935</v>
      </c>
      <c r="T5797" t="s">
        <v>936</v>
      </c>
    </row>
    <row r="5798" spans="1:20" x14ac:dyDescent="0.25">
      <c r="A5798" t="s">
        <v>59</v>
      </c>
      <c r="B5798" t="s">
        <v>31</v>
      </c>
      <c r="C5798" t="s">
        <v>32</v>
      </c>
      <c r="D5798" t="s">
        <v>771</v>
      </c>
      <c r="E5798" t="s">
        <v>845</v>
      </c>
      <c r="F5798" t="s">
        <v>35</v>
      </c>
      <c r="G5798" t="s">
        <v>35</v>
      </c>
      <c r="H5798" t="s">
        <v>35</v>
      </c>
      <c r="J5798" t="s">
        <v>6286</v>
      </c>
      <c r="K5798" t="s">
        <v>1092</v>
      </c>
      <c r="M5798">
        <v>4.9950000000000001</v>
      </c>
      <c r="N5798">
        <v>39</v>
      </c>
      <c r="O5798" t="s">
        <v>52</v>
      </c>
      <c r="Q5798" t="s">
        <v>493</v>
      </c>
      <c r="R5798" t="s">
        <v>934</v>
      </c>
      <c r="S5798" t="s">
        <v>935</v>
      </c>
      <c r="T5798" t="s">
        <v>936</v>
      </c>
    </row>
    <row r="5799" spans="1:20" x14ac:dyDescent="0.25">
      <c r="A5799" t="s">
        <v>44</v>
      </c>
      <c r="B5799" t="s">
        <v>51</v>
      </c>
      <c r="C5799" t="s">
        <v>32</v>
      </c>
      <c r="D5799" t="s">
        <v>771</v>
      </c>
      <c r="E5799" t="s">
        <v>845</v>
      </c>
      <c r="F5799" t="s">
        <v>35</v>
      </c>
      <c r="G5799" t="s">
        <v>35</v>
      </c>
      <c r="H5799" t="s">
        <v>35</v>
      </c>
      <c r="J5799" t="s">
        <v>6286</v>
      </c>
      <c r="K5799" t="s">
        <v>1092</v>
      </c>
      <c r="M5799">
        <v>7</v>
      </c>
      <c r="N5799">
        <v>75</v>
      </c>
      <c r="O5799" t="s">
        <v>61</v>
      </c>
      <c r="Q5799" t="s">
        <v>447</v>
      </c>
      <c r="R5799" t="s">
        <v>934</v>
      </c>
      <c r="S5799" t="s">
        <v>935</v>
      </c>
      <c r="T5799" t="s">
        <v>936</v>
      </c>
    </row>
    <row r="5800" spans="1:20" x14ac:dyDescent="0.25">
      <c r="A5800" t="s">
        <v>30</v>
      </c>
      <c r="B5800" t="s">
        <v>31</v>
      </c>
      <c r="C5800" t="s">
        <v>32</v>
      </c>
      <c r="D5800" t="s">
        <v>771</v>
      </c>
      <c r="F5800" t="s">
        <v>35</v>
      </c>
      <c r="G5800" t="s">
        <v>35</v>
      </c>
      <c r="H5800" t="s">
        <v>35</v>
      </c>
      <c r="J5800" t="s">
        <v>6701</v>
      </c>
      <c r="K5800" t="s">
        <v>1092</v>
      </c>
      <c r="M5800">
        <v>2.97</v>
      </c>
      <c r="N5800">
        <v>40</v>
      </c>
      <c r="O5800" t="s">
        <v>52</v>
      </c>
      <c r="Q5800" t="s">
        <v>132</v>
      </c>
      <c r="R5800" t="s">
        <v>934</v>
      </c>
      <c r="S5800" t="s">
        <v>935</v>
      </c>
      <c r="T5800" t="s">
        <v>936</v>
      </c>
    </row>
    <row r="5801" spans="1:20" x14ac:dyDescent="0.25">
      <c r="A5801" t="s">
        <v>30</v>
      </c>
      <c r="B5801" t="s">
        <v>31</v>
      </c>
      <c r="C5801" t="s">
        <v>32</v>
      </c>
      <c r="D5801" t="s">
        <v>771</v>
      </c>
      <c r="E5801" t="s">
        <v>783</v>
      </c>
      <c r="F5801" t="s">
        <v>35</v>
      </c>
      <c r="G5801" t="s">
        <v>35</v>
      </c>
      <c r="H5801" t="s">
        <v>35</v>
      </c>
      <c r="J5801" t="s">
        <v>6054</v>
      </c>
      <c r="K5801" t="s">
        <v>1092</v>
      </c>
      <c r="M5801">
        <v>2.97</v>
      </c>
      <c r="N5801">
        <v>41</v>
      </c>
      <c r="O5801" t="s">
        <v>52</v>
      </c>
      <c r="Q5801" t="s">
        <v>496</v>
      </c>
      <c r="R5801" t="s">
        <v>934</v>
      </c>
      <c r="S5801" t="s">
        <v>935</v>
      </c>
      <c r="T5801" t="s">
        <v>936</v>
      </c>
    </row>
    <row r="5802" spans="1:20" x14ac:dyDescent="0.25">
      <c r="A5802" t="s">
        <v>30</v>
      </c>
      <c r="B5802" t="s">
        <v>31</v>
      </c>
      <c r="C5802" t="s">
        <v>32</v>
      </c>
      <c r="D5802" t="s">
        <v>771</v>
      </c>
      <c r="E5802" t="s">
        <v>840</v>
      </c>
      <c r="F5802" t="s">
        <v>35</v>
      </c>
      <c r="G5802" t="s">
        <v>35</v>
      </c>
      <c r="H5802" t="s">
        <v>35</v>
      </c>
      <c r="J5802" t="s">
        <v>6211</v>
      </c>
      <c r="K5802" t="s">
        <v>1092</v>
      </c>
      <c r="M5802">
        <v>7.02</v>
      </c>
      <c r="N5802">
        <v>286</v>
      </c>
      <c r="O5802" t="s">
        <v>5</v>
      </c>
      <c r="Q5802" t="s">
        <v>6131</v>
      </c>
      <c r="R5802" t="s">
        <v>934</v>
      </c>
      <c r="S5802" t="s">
        <v>935</v>
      </c>
      <c r="T5802" t="s">
        <v>936</v>
      </c>
    </row>
    <row r="5803" spans="1:20" x14ac:dyDescent="0.25">
      <c r="A5803" t="s">
        <v>44</v>
      </c>
      <c r="B5803" t="s">
        <v>51</v>
      </c>
      <c r="C5803" t="s">
        <v>32</v>
      </c>
      <c r="D5803" t="s">
        <v>771</v>
      </c>
      <c r="F5803" t="s">
        <v>35</v>
      </c>
      <c r="G5803" t="s">
        <v>35</v>
      </c>
      <c r="H5803" t="s">
        <v>35</v>
      </c>
      <c r="J5803" t="s">
        <v>6649</v>
      </c>
      <c r="K5803" t="s">
        <v>1092</v>
      </c>
      <c r="M5803">
        <v>2.1</v>
      </c>
      <c r="N5803">
        <v>59</v>
      </c>
      <c r="O5803" t="s">
        <v>52</v>
      </c>
      <c r="Q5803" t="s">
        <v>203</v>
      </c>
      <c r="R5803" t="s">
        <v>934</v>
      </c>
      <c r="S5803" t="s">
        <v>935</v>
      </c>
      <c r="T5803" t="s">
        <v>936</v>
      </c>
    </row>
    <row r="5804" spans="1:20" x14ac:dyDescent="0.25">
      <c r="A5804" t="s">
        <v>30</v>
      </c>
      <c r="B5804" t="s">
        <v>31</v>
      </c>
      <c r="C5804" t="s">
        <v>32</v>
      </c>
      <c r="D5804" t="s">
        <v>771</v>
      </c>
      <c r="F5804" t="s">
        <v>35</v>
      </c>
      <c r="G5804" t="s">
        <v>35</v>
      </c>
      <c r="H5804" t="s">
        <v>35</v>
      </c>
      <c r="J5804" t="s">
        <v>6649</v>
      </c>
      <c r="K5804" t="s">
        <v>1092</v>
      </c>
      <c r="M5804">
        <v>6.7949999999999999</v>
      </c>
      <c r="N5804">
        <v>41</v>
      </c>
      <c r="O5804" t="s">
        <v>52</v>
      </c>
      <c r="Q5804" t="s">
        <v>496</v>
      </c>
      <c r="R5804" t="s">
        <v>934</v>
      </c>
      <c r="S5804" t="s">
        <v>935</v>
      </c>
      <c r="T5804" t="s">
        <v>936</v>
      </c>
    </row>
    <row r="5805" spans="1:20" x14ac:dyDescent="0.25">
      <c r="A5805" t="s">
        <v>30</v>
      </c>
      <c r="B5805" t="s">
        <v>31</v>
      </c>
      <c r="C5805" t="s">
        <v>32</v>
      </c>
      <c r="D5805" t="s">
        <v>771</v>
      </c>
      <c r="F5805" t="s">
        <v>35</v>
      </c>
      <c r="G5805" t="s">
        <v>35</v>
      </c>
      <c r="H5805" t="s">
        <v>35</v>
      </c>
      <c r="J5805" t="s">
        <v>6696</v>
      </c>
      <c r="K5805" t="s">
        <v>1092</v>
      </c>
      <c r="M5805">
        <v>7.02</v>
      </c>
      <c r="N5805">
        <v>39</v>
      </c>
      <c r="O5805" t="s">
        <v>52</v>
      </c>
      <c r="Q5805" t="s">
        <v>493</v>
      </c>
      <c r="R5805" t="s">
        <v>934</v>
      </c>
      <c r="S5805" t="s">
        <v>935</v>
      </c>
      <c r="T5805" t="s">
        <v>936</v>
      </c>
    </row>
    <row r="5806" spans="1:20" x14ac:dyDescent="0.25">
      <c r="A5806" t="s">
        <v>30</v>
      </c>
      <c r="B5806" t="s">
        <v>31</v>
      </c>
      <c r="C5806" t="s">
        <v>32</v>
      </c>
      <c r="D5806" t="s">
        <v>771</v>
      </c>
      <c r="E5806" t="s">
        <v>910</v>
      </c>
      <c r="F5806" t="s">
        <v>35</v>
      </c>
      <c r="G5806" t="s">
        <v>35</v>
      </c>
      <c r="H5806" t="s">
        <v>35</v>
      </c>
      <c r="J5806" t="s">
        <v>6597</v>
      </c>
      <c r="K5806" t="s">
        <v>1092</v>
      </c>
      <c r="M5806">
        <v>6.93</v>
      </c>
      <c r="N5806">
        <v>39</v>
      </c>
      <c r="O5806" t="s">
        <v>52</v>
      </c>
      <c r="Q5806" t="s">
        <v>493</v>
      </c>
      <c r="R5806" t="s">
        <v>934</v>
      </c>
      <c r="S5806" t="s">
        <v>935</v>
      </c>
      <c r="T5806" t="s">
        <v>936</v>
      </c>
    </row>
    <row r="5807" spans="1:20" x14ac:dyDescent="0.25">
      <c r="A5807" t="s">
        <v>30</v>
      </c>
      <c r="B5807" t="s">
        <v>31</v>
      </c>
      <c r="C5807" t="s">
        <v>32</v>
      </c>
      <c r="D5807" t="s">
        <v>771</v>
      </c>
      <c r="F5807" t="s">
        <v>35</v>
      </c>
      <c r="G5807" t="s">
        <v>35</v>
      </c>
      <c r="H5807" t="s">
        <v>35</v>
      </c>
      <c r="J5807" t="s">
        <v>6640</v>
      </c>
      <c r="K5807" t="s">
        <v>1092</v>
      </c>
      <c r="M5807">
        <v>0.315</v>
      </c>
      <c r="N5807">
        <v>112</v>
      </c>
      <c r="O5807" t="s">
        <v>106</v>
      </c>
      <c r="Q5807" t="s">
        <v>3465</v>
      </c>
      <c r="R5807" t="s">
        <v>934</v>
      </c>
      <c r="S5807" t="s">
        <v>935</v>
      </c>
      <c r="T5807" t="s">
        <v>936</v>
      </c>
    </row>
    <row r="5808" spans="1:20" x14ac:dyDescent="0.25">
      <c r="A5808" t="s">
        <v>30</v>
      </c>
      <c r="B5808" t="s">
        <v>31</v>
      </c>
      <c r="C5808" t="s">
        <v>32</v>
      </c>
      <c r="D5808" t="s">
        <v>771</v>
      </c>
      <c r="E5808" t="s">
        <v>6175</v>
      </c>
      <c r="F5808" t="s">
        <v>35</v>
      </c>
      <c r="G5808" t="s">
        <v>35</v>
      </c>
      <c r="H5808" t="s">
        <v>35</v>
      </c>
      <c r="J5808" t="s">
        <v>6179</v>
      </c>
      <c r="K5808" t="s">
        <v>1092</v>
      </c>
      <c r="M5808">
        <v>7.02</v>
      </c>
      <c r="N5808">
        <v>40</v>
      </c>
      <c r="O5808" t="s">
        <v>52</v>
      </c>
      <c r="Q5808" t="s">
        <v>132</v>
      </c>
      <c r="R5808" t="s">
        <v>934</v>
      </c>
      <c r="S5808" t="s">
        <v>935</v>
      </c>
      <c r="T5808" t="s">
        <v>936</v>
      </c>
    </row>
    <row r="5809" spans="1:20" x14ac:dyDescent="0.25">
      <c r="A5809" t="s">
        <v>30</v>
      </c>
      <c r="B5809" t="s">
        <v>31</v>
      </c>
      <c r="C5809" t="s">
        <v>32</v>
      </c>
      <c r="D5809" t="s">
        <v>771</v>
      </c>
      <c r="E5809" t="s">
        <v>6165</v>
      </c>
      <c r="F5809" t="s">
        <v>35</v>
      </c>
      <c r="G5809" t="s">
        <v>35</v>
      </c>
      <c r="H5809" t="s">
        <v>35</v>
      </c>
      <c r="J5809" t="s">
        <v>6170</v>
      </c>
      <c r="K5809" t="s">
        <v>1092</v>
      </c>
      <c r="M5809">
        <v>12.24</v>
      </c>
      <c r="N5809">
        <v>41</v>
      </c>
      <c r="O5809" t="s">
        <v>52</v>
      </c>
      <c r="Q5809" t="s">
        <v>496</v>
      </c>
      <c r="R5809" t="s">
        <v>934</v>
      </c>
      <c r="S5809" t="s">
        <v>935</v>
      </c>
      <c r="T5809" t="s">
        <v>936</v>
      </c>
    </row>
    <row r="5810" spans="1:20" x14ac:dyDescent="0.25">
      <c r="A5810" t="s">
        <v>30</v>
      </c>
      <c r="B5810" t="s">
        <v>31</v>
      </c>
      <c r="C5810" t="s">
        <v>32</v>
      </c>
      <c r="D5810" t="s">
        <v>771</v>
      </c>
      <c r="E5810" t="s">
        <v>772</v>
      </c>
      <c r="F5810" t="s">
        <v>35</v>
      </c>
      <c r="G5810" t="s">
        <v>35</v>
      </c>
      <c r="H5810" t="s">
        <v>35</v>
      </c>
      <c r="J5810" t="s">
        <v>6005</v>
      </c>
      <c r="K5810" t="s">
        <v>1092</v>
      </c>
      <c r="M5810">
        <v>11.61</v>
      </c>
      <c r="N5810">
        <v>112</v>
      </c>
      <c r="O5810" t="s">
        <v>106</v>
      </c>
      <c r="Q5810" t="s">
        <v>3465</v>
      </c>
      <c r="R5810" t="s">
        <v>934</v>
      </c>
      <c r="S5810" t="s">
        <v>935</v>
      </c>
      <c r="T5810" t="s">
        <v>936</v>
      </c>
    </row>
    <row r="5811" spans="1:20" x14ac:dyDescent="0.25">
      <c r="A5811" t="s">
        <v>30</v>
      </c>
      <c r="B5811" t="s">
        <v>31</v>
      </c>
      <c r="C5811" t="s">
        <v>32</v>
      </c>
      <c r="D5811" t="s">
        <v>771</v>
      </c>
      <c r="E5811" t="s">
        <v>875</v>
      </c>
      <c r="F5811" t="s">
        <v>35</v>
      </c>
      <c r="G5811" t="s">
        <v>35</v>
      </c>
      <c r="H5811" t="s">
        <v>35</v>
      </c>
      <c r="J5811" t="s">
        <v>6445</v>
      </c>
      <c r="K5811" t="s">
        <v>1092</v>
      </c>
      <c r="M5811">
        <v>0.72</v>
      </c>
      <c r="N5811">
        <v>112</v>
      </c>
      <c r="O5811" t="s">
        <v>106</v>
      </c>
      <c r="Q5811" t="s">
        <v>3465</v>
      </c>
      <c r="R5811" t="s">
        <v>934</v>
      </c>
      <c r="S5811" t="s">
        <v>935</v>
      </c>
      <c r="T5811" t="s">
        <v>936</v>
      </c>
    </row>
    <row r="5812" spans="1:20" x14ac:dyDescent="0.25">
      <c r="A5812" t="s">
        <v>59</v>
      </c>
      <c r="B5812" t="s">
        <v>31</v>
      </c>
      <c r="C5812" t="s">
        <v>32</v>
      </c>
      <c r="D5812" t="s">
        <v>771</v>
      </c>
      <c r="E5812" t="s">
        <v>875</v>
      </c>
      <c r="F5812" t="s">
        <v>35</v>
      </c>
      <c r="G5812" t="s">
        <v>35</v>
      </c>
      <c r="H5812" t="s">
        <v>35</v>
      </c>
      <c r="J5812" t="s">
        <v>6445</v>
      </c>
      <c r="K5812" t="s">
        <v>1092</v>
      </c>
      <c r="M5812">
        <v>6.2549999999999999</v>
      </c>
      <c r="N5812">
        <v>39</v>
      </c>
      <c r="O5812" t="s">
        <v>52</v>
      </c>
      <c r="Q5812" t="s">
        <v>493</v>
      </c>
      <c r="R5812" t="s">
        <v>934</v>
      </c>
      <c r="S5812" t="s">
        <v>935</v>
      </c>
      <c r="T5812" t="s">
        <v>936</v>
      </c>
    </row>
    <row r="5813" spans="1:20" x14ac:dyDescent="0.25">
      <c r="A5813" t="s">
        <v>59</v>
      </c>
      <c r="B5813" t="s">
        <v>60</v>
      </c>
      <c r="C5813" t="s">
        <v>32</v>
      </c>
      <c r="D5813" t="s">
        <v>771</v>
      </c>
      <c r="E5813" t="s">
        <v>875</v>
      </c>
      <c r="F5813" t="s">
        <v>35</v>
      </c>
      <c r="G5813" t="s">
        <v>35</v>
      </c>
      <c r="H5813" t="s">
        <v>35</v>
      </c>
      <c r="J5813" t="s">
        <v>6445</v>
      </c>
      <c r="K5813" t="s">
        <v>1092</v>
      </c>
      <c r="M5813">
        <v>5</v>
      </c>
      <c r="N5813">
        <v>39</v>
      </c>
      <c r="O5813" t="s">
        <v>52</v>
      </c>
      <c r="Q5813" t="s">
        <v>493</v>
      </c>
      <c r="R5813" t="s">
        <v>934</v>
      </c>
      <c r="S5813" t="s">
        <v>935</v>
      </c>
      <c r="T5813" t="s">
        <v>936</v>
      </c>
    </row>
    <row r="5814" spans="1:20" x14ac:dyDescent="0.25">
      <c r="A5814" t="s">
        <v>30</v>
      </c>
      <c r="B5814" t="s">
        <v>31</v>
      </c>
      <c r="C5814" t="s">
        <v>32</v>
      </c>
      <c r="D5814" t="s">
        <v>771</v>
      </c>
      <c r="E5814" t="s">
        <v>861</v>
      </c>
      <c r="F5814" t="s">
        <v>35</v>
      </c>
      <c r="G5814" t="s">
        <v>35</v>
      </c>
      <c r="H5814" t="s">
        <v>35</v>
      </c>
      <c r="J5814" t="s">
        <v>6298</v>
      </c>
      <c r="K5814" t="s">
        <v>1092</v>
      </c>
      <c r="M5814">
        <v>9.99</v>
      </c>
      <c r="N5814">
        <v>41</v>
      </c>
      <c r="O5814" t="s">
        <v>52</v>
      </c>
      <c r="Q5814" t="s">
        <v>496</v>
      </c>
      <c r="R5814" t="s">
        <v>934</v>
      </c>
      <c r="S5814" t="s">
        <v>935</v>
      </c>
      <c r="T5814" t="s">
        <v>936</v>
      </c>
    </row>
    <row r="5815" spans="1:20" x14ac:dyDescent="0.25">
      <c r="A5815" t="s">
        <v>59</v>
      </c>
      <c r="B5815" t="s">
        <v>60</v>
      </c>
      <c r="C5815" t="s">
        <v>32</v>
      </c>
      <c r="D5815" t="s">
        <v>771</v>
      </c>
      <c r="E5815" t="s">
        <v>875</v>
      </c>
      <c r="F5815" t="s">
        <v>35</v>
      </c>
      <c r="G5815" t="s">
        <v>35</v>
      </c>
      <c r="H5815" t="s">
        <v>35</v>
      </c>
      <c r="J5815" t="s">
        <v>6461</v>
      </c>
      <c r="K5815" t="s">
        <v>1092</v>
      </c>
      <c r="M5815">
        <v>0.7</v>
      </c>
      <c r="N5815">
        <v>82</v>
      </c>
      <c r="O5815" t="s">
        <v>61</v>
      </c>
      <c r="Q5815" t="s">
        <v>299</v>
      </c>
      <c r="R5815" t="s">
        <v>934</v>
      </c>
      <c r="S5815" t="s">
        <v>935</v>
      </c>
      <c r="T5815" t="s">
        <v>936</v>
      </c>
    </row>
    <row r="5816" spans="1:20" x14ac:dyDescent="0.25">
      <c r="A5816" t="s">
        <v>44</v>
      </c>
      <c r="B5816" t="s">
        <v>51</v>
      </c>
      <c r="C5816" t="s">
        <v>32</v>
      </c>
      <c r="D5816" t="s">
        <v>771</v>
      </c>
      <c r="E5816" t="s">
        <v>875</v>
      </c>
      <c r="F5816" t="s">
        <v>35</v>
      </c>
      <c r="G5816" t="s">
        <v>35</v>
      </c>
      <c r="H5816" t="s">
        <v>35</v>
      </c>
      <c r="J5816" t="s">
        <v>6461</v>
      </c>
      <c r="K5816" t="s">
        <v>1092</v>
      </c>
      <c r="M5816">
        <v>3.2</v>
      </c>
      <c r="N5816">
        <v>70</v>
      </c>
      <c r="O5816" t="s">
        <v>61</v>
      </c>
      <c r="Q5816" t="s">
        <v>305</v>
      </c>
      <c r="R5816" t="s">
        <v>934</v>
      </c>
      <c r="S5816" t="s">
        <v>935</v>
      </c>
      <c r="T5816" t="s">
        <v>936</v>
      </c>
    </row>
    <row r="5817" spans="1:20" x14ac:dyDescent="0.25">
      <c r="A5817" t="s">
        <v>59</v>
      </c>
      <c r="B5817" t="s">
        <v>31</v>
      </c>
      <c r="C5817" t="s">
        <v>32</v>
      </c>
      <c r="D5817" t="s">
        <v>771</v>
      </c>
      <c r="E5817" t="s">
        <v>875</v>
      </c>
      <c r="F5817" t="s">
        <v>35</v>
      </c>
      <c r="G5817" t="s">
        <v>35</v>
      </c>
      <c r="H5817" t="s">
        <v>35</v>
      </c>
      <c r="J5817" t="s">
        <v>6461</v>
      </c>
      <c r="K5817" t="s">
        <v>1092</v>
      </c>
      <c r="M5817">
        <v>3.42</v>
      </c>
      <c r="N5817">
        <v>149</v>
      </c>
      <c r="O5817" t="s">
        <v>38</v>
      </c>
      <c r="Q5817" t="s">
        <v>75</v>
      </c>
      <c r="R5817" t="s">
        <v>934</v>
      </c>
      <c r="S5817" t="s">
        <v>935</v>
      </c>
      <c r="T5817" t="s">
        <v>936</v>
      </c>
    </row>
    <row r="5818" spans="1:20" x14ac:dyDescent="0.25">
      <c r="A5818" t="s">
        <v>30</v>
      </c>
      <c r="B5818" t="s">
        <v>31</v>
      </c>
      <c r="C5818" t="s">
        <v>32</v>
      </c>
      <c r="D5818" t="s">
        <v>771</v>
      </c>
      <c r="E5818" t="s">
        <v>865</v>
      </c>
      <c r="F5818" t="s">
        <v>35</v>
      </c>
      <c r="G5818" t="s">
        <v>35</v>
      </c>
      <c r="H5818" t="s">
        <v>35</v>
      </c>
      <c r="J5818" t="s">
        <v>6342</v>
      </c>
      <c r="K5818" t="s">
        <v>1092</v>
      </c>
      <c r="M5818">
        <v>7.02</v>
      </c>
      <c r="N5818">
        <v>112</v>
      </c>
      <c r="O5818" t="s">
        <v>106</v>
      </c>
      <c r="Q5818" t="s">
        <v>3465</v>
      </c>
      <c r="R5818" t="s">
        <v>934</v>
      </c>
      <c r="S5818" t="s">
        <v>935</v>
      </c>
      <c r="T5818" t="s">
        <v>936</v>
      </c>
    </row>
    <row r="5819" spans="1:20" x14ac:dyDescent="0.25">
      <c r="A5819" t="s">
        <v>30</v>
      </c>
      <c r="B5819" t="s">
        <v>31</v>
      </c>
      <c r="C5819" t="s">
        <v>32</v>
      </c>
      <c r="D5819" t="s">
        <v>771</v>
      </c>
      <c r="E5819" t="s">
        <v>6511</v>
      </c>
      <c r="F5819" t="s">
        <v>35</v>
      </c>
      <c r="G5819" t="s">
        <v>35</v>
      </c>
      <c r="H5819" t="s">
        <v>35</v>
      </c>
      <c r="J5819" t="s">
        <v>6524</v>
      </c>
      <c r="K5819" t="s">
        <v>1092</v>
      </c>
      <c r="M5819">
        <v>5.3550000000000004</v>
      </c>
      <c r="N5819">
        <v>40</v>
      </c>
      <c r="O5819" t="s">
        <v>52</v>
      </c>
      <c r="Q5819" t="s">
        <v>132</v>
      </c>
      <c r="R5819" t="s">
        <v>934</v>
      </c>
      <c r="S5819" t="s">
        <v>935</v>
      </c>
      <c r="T5819" t="s">
        <v>936</v>
      </c>
    </row>
    <row r="5820" spans="1:20" x14ac:dyDescent="0.25">
      <c r="A5820" t="s">
        <v>30</v>
      </c>
      <c r="B5820" t="s">
        <v>31</v>
      </c>
      <c r="C5820" t="s">
        <v>32</v>
      </c>
      <c r="D5820" t="s">
        <v>771</v>
      </c>
      <c r="E5820" t="s">
        <v>875</v>
      </c>
      <c r="F5820" t="s">
        <v>35</v>
      </c>
      <c r="G5820" t="s">
        <v>35</v>
      </c>
      <c r="H5820" t="s">
        <v>35</v>
      </c>
      <c r="J5820" t="s">
        <v>6444</v>
      </c>
      <c r="K5820" t="s">
        <v>1092</v>
      </c>
      <c r="M5820">
        <v>7.02</v>
      </c>
      <c r="N5820">
        <v>41</v>
      </c>
      <c r="O5820" t="s">
        <v>52</v>
      </c>
      <c r="Q5820" t="s">
        <v>496</v>
      </c>
      <c r="R5820" t="s">
        <v>934</v>
      </c>
      <c r="S5820" t="s">
        <v>935</v>
      </c>
      <c r="T5820" t="s">
        <v>936</v>
      </c>
    </row>
    <row r="5821" spans="1:20" x14ac:dyDescent="0.25">
      <c r="A5821" t="s">
        <v>59</v>
      </c>
      <c r="B5821" t="s">
        <v>60</v>
      </c>
      <c r="C5821" t="s">
        <v>32</v>
      </c>
      <c r="D5821" t="s">
        <v>771</v>
      </c>
      <c r="E5821" t="s">
        <v>871</v>
      </c>
      <c r="F5821" t="s">
        <v>35</v>
      </c>
      <c r="G5821" t="s">
        <v>35</v>
      </c>
      <c r="H5821" t="s">
        <v>35</v>
      </c>
      <c r="J5821" t="s">
        <v>6431</v>
      </c>
      <c r="K5821" t="s">
        <v>1092</v>
      </c>
      <c r="M5821">
        <v>1</v>
      </c>
      <c r="N5821">
        <v>37</v>
      </c>
      <c r="O5821" t="s">
        <v>52</v>
      </c>
      <c r="Q5821" t="s">
        <v>192</v>
      </c>
      <c r="R5821" t="s">
        <v>934</v>
      </c>
      <c r="S5821" t="s">
        <v>935</v>
      </c>
      <c r="T5821" t="s">
        <v>936</v>
      </c>
    </row>
    <row r="5822" spans="1:20" x14ac:dyDescent="0.25">
      <c r="A5822" t="s">
        <v>59</v>
      </c>
      <c r="B5822" t="s">
        <v>60</v>
      </c>
      <c r="C5822" t="s">
        <v>32</v>
      </c>
      <c r="D5822" t="s">
        <v>771</v>
      </c>
      <c r="F5822" t="s">
        <v>35</v>
      </c>
      <c r="G5822" t="s">
        <v>35</v>
      </c>
      <c r="H5822" t="s">
        <v>35</v>
      </c>
      <c r="J5822" t="s">
        <v>6689</v>
      </c>
      <c r="K5822" t="s">
        <v>1092</v>
      </c>
      <c r="M5822">
        <v>0.01</v>
      </c>
      <c r="N5822">
        <v>2579</v>
      </c>
      <c r="O5822" t="s">
        <v>575</v>
      </c>
      <c r="Q5822" t="s">
        <v>6690</v>
      </c>
      <c r="R5822" t="s">
        <v>934</v>
      </c>
      <c r="S5822" t="s">
        <v>935</v>
      </c>
      <c r="T5822" t="s">
        <v>936</v>
      </c>
    </row>
    <row r="5823" spans="1:20" x14ac:dyDescent="0.25">
      <c r="A5823" t="s">
        <v>44</v>
      </c>
      <c r="B5823" t="s">
        <v>51</v>
      </c>
      <c r="C5823" t="s">
        <v>32</v>
      </c>
      <c r="D5823" t="s">
        <v>771</v>
      </c>
      <c r="E5823" t="s">
        <v>871</v>
      </c>
      <c r="F5823" t="s">
        <v>35</v>
      </c>
      <c r="G5823" t="s">
        <v>35</v>
      </c>
      <c r="H5823" t="s">
        <v>35</v>
      </c>
      <c r="J5823" t="s">
        <v>6426</v>
      </c>
      <c r="K5823" t="s">
        <v>1092</v>
      </c>
      <c r="M5823">
        <v>4</v>
      </c>
      <c r="N5823">
        <v>75</v>
      </c>
      <c r="O5823" t="s">
        <v>61</v>
      </c>
      <c r="Q5823" t="s">
        <v>447</v>
      </c>
      <c r="R5823" t="s">
        <v>934</v>
      </c>
      <c r="S5823" t="s">
        <v>935</v>
      </c>
      <c r="T5823" t="s">
        <v>936</v>
      </c>
    </row>
    <row r="5824" spans="1:20" x14ac:dyDescent="0.25">
      <c r="A5824" t="s">
        <v>59</v>
      </c>
      <c r="B5824" t="s">
        <v>60</v>
      </c>
      <c r="C5824" t="s">
        <v>32</v>
      </c>
      <c r="D5824" t="s">
        <v>771</v>
      </c>
      <c r="E5824" t="s">
        <v>836</v>
      </c>
      <c r="F5824" t="s">
        <v>35</v>
      </c>
      <c r="G5824" t="s">
        <v>35</v>
      </c>
      <c r="H5824" t="s">
        <v>35</v>
      </c>
      <c r="J5824" t="s">
        <v>6149</v>
      </c>
      <c r="K5824" t="s">
        <v>1092</v>
      </c>
      <c r="M5824">
        <v>0.3</v>
      </c>
      <c r="N5824">
        <v>134</v>
      </c>
      <c r="O5824" t="s">
        <v>38</v>
      </c>
      <c r="Q5824" t="s">
        <v>1822</v>
      </c>
      <c r="R5824" t="s">
        <v>934</v>
      </c>
      <c r="S5824" t="s">
        <v>935</v>
      </c>
      <c r="T5824" t="s">
        <v>936</v>
      </c>
    </row>
    <row r="5825" spans="1:20" x14ac:dyDescent="0.25">
      <c r="A5825" t="s">
        <v>44</v>
      </c>
      <c r="B5825" t="s">
        <v>51</v>
      </c>
      <c r="C5825" t="s">
        <v>32</v>
      </c>
      <c r="D5825" t="s">
        <v>771</v>
      </c>
      <c r="E5825" t="s">
        <v>836</v>
      </c>
      <c r="F5825" t="s">
        <v>35</v>
      </c>
      <c r="G5825" t="s">
        <v>35</v>
      </c>
      <c r="H5825" t="s">
        <v>35</v>
      </c>
      <c r="J5825" t="s">
        <v>6149</v>
      </c>
      <c r="K5825" t="s">
        <v>1092</v>
      </c>
      <c r="M5825">
        <v>0.65</v>
      </c>
      <c r="N5825">
        <v>134</v>
      </c>
      <c r="O5825" t="s">
        <v>38</v>
      </c>
      <c r="Q5825" t="s">
        <v>1822</v>
      </c>
      <c r="R5825" t="s">
        <v>934</v>
      </c>
      <c r="S5825" t="s">
        <v>935</v>
      </c>
      <c r="T5825" t="s">
        <v>936</v>
      </c>
    </row>
    <row r="5826" spans="1:20" x14ac:dyDescent="0.25">
      <c r="A5826" t="s">
        <v>44</v>
      </c>
      <c r="B5826" t="s">
        <v>51</v>
      </c>
      <c r="C5826" t="s">
        <v>32</v>
      </c>
      <c r="D5826" t="s">
        <v>771</v>
      </c>
      <c r="E5826" t="s">
        <v>910</v>
      </c>
      <c r="F5826" t="s">
        <v>35</v>
      </c>
      <c r="G5826" t="s">
        <v>35</v>
      </c>
      <c r="H5826" t="s">
        <v>35</v>
      </c>
      <c r="J5826" t="s">
        <v>6580</v>
      </c>
      <c r="K5826" t="s">
        <v>1092</v>
      </c>
      <c r="M5826">
        <v>0.5</v>
      </c>
      <c r="N5826">
        <v>244</v>
      </c>
      <c r="O5826" t="s">
        <v>5</v>
      </c>
      <c r="Q5826" t="s">
        <v>1688</v>
      </c>
      <c r="R5826" t="s">
        <v>934</v>
      </c>
      <c r="S5826" t="s">
        <v>935</v>
      </c>
      <c r="T5826" t="s">
        <v>936</v>
      </c>
    </row>
    <row r="5827" spans="1:20" x14ac:dyDescent="0.25">
      <c r="A5827" t="s">
        <v>59</v>
      </c>
      <c r="B5827" t="s">
        <v>60</v>
      </c>
      <c r="C5827" t="s">
        <v>32</v>
      </c>
      <c r="D5827" t="s">
        <v>771</v>
      </c>
      <c r="E5827" t="s">
        <v>910</v>
      </c>
      <c r="F5827" t="s">
        <v>35</v>
      </c>
      <c r="G5827" t="s">
        <v>35</v>
      </c>
      <c r="H5827" t="s">
        <v>35</v>
      </c>
      <c r="J5827" t="s">
        <v>6580</v>
      </c>
      <c r="K5827" t="s">
        <v>1092</v>
      </c>
      <c r="M5827">
        <v>1</v>
      </c>
      <c r="N5827">
        <v>37</v>
      </c>
      <c r="O5827" t="s">
        <v>52</v>
      </c>
      <c r="Q5827" t="s">
        <v>192</v>
      </c>
      <c r="R5827" t="s">
        <v>934</v>
      </c>
      <c r="S5827" t="s">
        <v>935</v>
      </c>
      <c r="T5827" t="s">
        <v>936</v>
      </c>
    </row>
    <row r="5828" spans="1:20" x14ac:dyDescent="0.25">
      <c r="A5828" t="s">
        <v>59</v>
      </c>
      <c r="B5828" t="s">
        <v>60</v>
      </c>
      <c r="C5828" t="s">
        <v>32</v>
      </c>
      <c r="D5828" t="s">
        <v>771</v>
      </c>
      <c r="E5828" t="s">
        <v>910</v>
      </c>
      <c r="F5828" t="s">
        <v>35</v>
      </c>
      <c r="G5828" t="s">
        <v>35</v>
      </c>
      <c r="H5828" t="s">
        <v>35</v>
      </c>
      <c r="J5828" t="s">
        <v>6580</v>
      </c>
      <c r="K5828" t="s">
        <v>1092</v>
      </c>
      <c r="M5828">
        <v>1</v>
      </c>
      <c r="N5828">
        <v>39</v>
      </c>
      <c r="O5828" t="s">
        <v>52</v>
      </c>
      <c r="Q5828" t="s">
        <v>493</v>
      </c>
      <c r="R5828" t="s">
        <v>934</v>
      </c>
      <c r="S5828" t="s">
        <v>935</v>
      </c>
      <c r="T5828" t="s">
        <v>936</v>
      </c>
    </row>
    <row r="5829" spans="1:20" x14ac:dyDescent="0.25">
      <c r="A5829" t="s">
        <v>30</v>
      </c>
      <c r="B5829" t="s">
        <v>31</v>
      </c>
      <c r="C5829" t="s">
        <v>32</v>
      </c>
      <c r="D5829" t="s">
        <v>771</v>
      </c>
      <c r="E5829" t="s">
        <v>861</v>
      </c>
      <c r="F5829" t="s">
        <v>35</v>
      </c>
      <c r="G5829" t="s">
        <v>35</v>
      </c>
      <c r="H5829" t="s">
        <v>35</v>
      </c>
      <c r="J5829" t="s">
        <v>6302</v>
      </c>
      <c r="K5829" t="s">
        <v>1092</v>
      </c>
      <c r="M5829">
        <v>7.02</v>
      </c>
      <c r="N5829">
        <v>112</v>
      </c>
      <c r="O5829" t="s">
        <v>106</v>
      </c>
      <c r="Q5829" t="s">
        <v>3465</v>
      </c>
      <c r="R5829" t="s">
        <v>934</v>
      </c>
      <c r="S5829" t="s">
        <v>935</v>
      </c>
      <c r="T5829" t="s">
        <v>936</v>
      </c>
    </row>
    <row r="5830" spans="1:20" x14ac:dyDescent="0.25">
      <c r="A5830" t="s">
        <v>59</v>
      </c>
      <c r="B5830" t="s">
        <v>31</v>
      </c>
      <c r="C5830" t="s">
        <v>32</v>
      </c>
      <c r="D5830" t="s">
        <v>771</v>
      </c>
      <c r="E5830" t="s">
        <v>861</v>
      </c>
      <c r="F5830" t="s">
        <v>35</v>
      </c>
      <c r="G5830" t="s">
        <v>35</v>
      </c>
      <c r="H5830" t="s">
        <v>35</v>
      </c>
      <c r="J5830" t="s">
        <v>6302</v>
      </c>
      <c r="K5830" t="s">
        <v>1092</v>
      </c>
      <c r="M5830">
        <v>7.02</v>
      </c>
      <c r="N5830">
        <v>39</v>
      </c>
      <c r="O5830" t="s">
        <v>52</v>
      </c>
      <c r="Q5830" t="s">
        <v>493</v>
      </c>
      <c r="R5830" t="s">
        <v>934</v>
      </c>
      <c r="S5830" t="s">
        <v>935</v>
      </c>
      <c r="T5830" t="s">
        <v>936</v>
      </c>
    </row>
    <row r="5831" spans="1:20" x14ac:dyDescent="0.25">
      <c r="A5831" t="s">
        <v>44</v>
      </c>
      <c r="B5831" t="s">
        <v>51</v>
      </c>
      <c r="C5831" t="s">
        <v>32</v>
      </c>
      <c r="D5831" t="s">
        <v>771</v>
      </c>
      <c r="E5831" t="s">
        <v>861</v>
      </c>
      <c r="F5831" t="s">
        <v>35</v>
      </c>
      <c r="G5831" t="s">
        <v>35</v>
      </c>
      <c r="H5831" t="s">
        <v>35</v>
      </c>
      <c r="J5831" t="s">
        <v>6302</v>
      </c>
      <c r="K5831" t="s">
        <v>1092</v>
      </c>
      <c r="M5831">
        <v>3.5</v>
      </c>
      <c r="N5831">
        <v>59</v>
      </c>
      <c r="O5831" t="s">
        <v>52</v>
      </c>
      <c r="Q5831" t="s">
        <v>203</v>
      </c>
      <c r="R5831" t="s">
        <v>934</v>
      </c>
      <c r="S5831" t="s">
        <v>935</v>
      </c>
      <c r="T5831" t="s">
        <v>936</v>
      </c>
    </row>
    <row r="5832" spans="1:20" x14ac:dyDescent="0.25">
      <c r="A5832" t="s">
        <v>30</v>
      </c>
      <c r="B5832" t="s">
        <v>31</v>
      </c>
      <c r="C5832" t="s">
        <v>32</v>
      </c>
      <c r="D5832" t="s">
        <v>771</v>
      </c>
      <c r="E5832" t="s">
        <v>6175</v>
      </c>
      <c r="F5832" t="s">
        <v>35</v>
      </c>
      <c r="G5832" t="s">
        <v>35</v>
      </c>
      <c r="H5832" t="s">
        <v>35</v>
      </c>
      <c r="J5832" t="s">
        <v>6180</v>
      </c>
      <c r="K5832" t="s">
        <v>1092</v>
      </c>
      <c r="M5832">
        <v>0.40500000000000003</v>
      </c>
      <c r="N5832">
        <v>40</v>
      </c>
      <c r="O5832" t="s">
        <v>52</v>
      </c>
      <c r="Q5832" t="s">
        <v>132</v>
      </c>
      <c r="R5832" t="s">
        <v>934</v>
      </c>
      <c r="S5832" t="s">
        <v>935</v>
      </c>
      <c r="T5832" t="s">
        <v>936</v>
      </c>
    </row>
    <row r="5833" spans="1:20" x14ac:dyDescent="0.25">
      <c r="A5833" t="s">
        <v>59</v>
      </c>
      <c r="B5833" t="s">
        <v>60</v>
      </c>
      <c r="C5833" t="s">
        <v>32</v>
      </c>
      <c r="D5833" t="s">
        <v>771</v>
      </c>
      <c r="E5833" t="s">
        <v>903</v>
      </c>
      <c r="F5833" t="s">
        <v>35</v>
      </c>
      <c r="G5833" t="s">
        <v>35</v>
      </c>
      <c r="H5833" t="s">
        <v>35</v>
      </c>
      <c r="J5833" t="s">
        <v>6557</v>
      </c>
      <c r="K5833" t="s">
        <v>1092</v>
      </c>
      <c r="M5833">
        <v>17</v>
      </c>
      <c r="N5833">
        <v>7</v>
      </c>
      <c r="O5833" t="s">
        <v>46</v>
      </c>
      <c r="Q5833" t="s">
        <v>2440</v>
      </c>
      <c r="R5833" t="s">
        <v>934</v>
      </c>
      <c r="S5833" t="s">
        <v>935</v>
      </c>
      <c r="T5833" t="s">
        <v>936</v>
      </c>
    </row>
    <row r="5834" spans="1:20" x14ac:dyDescent="0.25">
      <c r="A5834" t="s">
        <v>59</v>
      </c>
      <c r="B5834" t="s">
        <v>60</v>
      </c>
      <c r="C5834" t="s">
        <v>32</v>
      </c>
      <c r="D5834" t="s">
        <v>771</v>
      </c>
      <c r="E5834" t="s">
        <v>903</v>
      </c>
      <c r="F5834" t="s">
        <v>35</v>
      </c>
      <c r="G5834" t="s">
        <v>35</v>
      </c>
      <c r="H5834" t="s">
        <v>35</v>
      </c>
      <c r="J5834" t="s">
        <v>6559</v>
      </c>
      <c r="K5834" t="s">
        <v>1092</v>
      </c>
      <c r="M5834">
        <v>0.35</v>
      </c>
      <c r="N5834">
        <v>704</v>
      </c>
      <c r="O5834" t="s">
        <v>575</v>
      </c>
      <c r="Q5834" t="s">
        <v>1853</v>
      </c>
      <c r="R5834" t="s">
        <v>934</v>
      </c>
      <c r="S5834" t="s">
        <v>935</v>
      </c>
      <c r="T5834" t="s">
        <v>936</v>
      </c>
    </row>
    <row r="5835" spans="1:20" x14ac:dyDescent="0.25">
      <c r="A5835" t="s">
        <v>30</v>
      </c>
      <c r="B5835" t="s">
        <v>31</v>
      </c>
      <c r="C5835" t="s">
        <v>32</v>
      </c>
      <c r="D5835" t="s">
        <v>771</v>
      </c>
      <c r="E5835" t="s">
        <v>865</v>
      </c>
      <c r="F5835" t="s">
        <v>35</v>
      </c>
      <c r="G5835" t="s">
        <v>35</v>
      </c>
      <c r="H5835" t="s">
        <v>35</v>
      </c>
      <c r="J5835" t="s">
        <v>6384</v>
      </c>
      <c r="K5835" t="s">
        <v>1092</v>
      </c>
      <c r="M5835">
        <v>0.45</v>
      </c>
      <c r="N5835">
        <v>231</v>
      </c>
      <c r="O5835" t="s">
        <v>5</v>
      </c>
      <c r="Q5835" t="s">
        <v>933</v>
      </c>
      <c r="R5835" t="s">
        <v>934</v>
      </c>
      <c r="S5835" t="s">
        <v>935</v>
      </c>
      <c r="T5835" t="s">
        <v>936</v>
      </c>
    </row>
    <row r="5836" spans="1:20" x14ac:dyDescent="0.25">
      <c r="A5836" t="s">
        <v>30</v>
      </c>
      <c r="B5836" t="s">
        <v>31</v>
      </c>
      <c r="C5836" t="s">
        <v>32</v>
      </c>
      <c r="D5836" t="s">
        <v>771</v>
      </c>
      <c r="E5836" t="s">
        <v>6319</v>
      </c>
      <c r="F5836" t="s">
        <v>35</v>
      </c>
      <c r="G5836" t="s">
        <v>35</v>
      </c>
      <c r="H5836" t="s">
        <v>35</v>
      </c>
      <c r="J5836" t="s">
        <v>6322</v>
      </c>
      <c r="K5836" t="s">
        <v>1092</v>
      </c>
      <c r="M5836">
        <v>0.18</v>
      </c>
      <c r="N5836">
        <v>41</v>
      </c>
      <c r="O5836" t="s">
        <v>52</v>
      </c>
      <c r="Q5836" t="s">
        <v>496</v>
      </c>
      <c r="R5836" t="s">
        <v>934</v>
      </c>
      <c r="S5836" t="s">
        <v>935</v>
      </c>
      <c r="T5836" t="s">
        <v>936</v>
      </c>
    </row>
    <row r="5837" spans="1:20" x14ac:dyDescent="0.25">
      <c r="A5837" t="s">
        <v>30</v>
      </c>
      <c r="B5837" t="s">
        <v>31</v>
      </c>
      <c r="C5837" t="s">
        <v>32</v>
      </c>
      <c r="D5837" t="s">
        <v>771</v>
      </c>
      <c r="E5837" t="s">
        <v>840</v>
      </c>
      <c r="F5837" t="s">
        <v>35</v>
      </c>
      <c r="G5837" t="s">
        <v>35</v>
      </c>
      <c r="H5837" t="s">
        <v>35</v>
      </c>
      <c r="J5837" t="s">
        <v>6193</v>
      </c>
      <c r="K5837" t="s">
        <v>1092</v>
      </c>
      <c r="M5837">
        <v>14.04</v>
      </c>
      <c r="N5837">
        <v>41</v>
      </c>
      <c r="O5837" t="s">
        <v>52</v>
      </c>
      <c r="Q5837" t="s">
        <v>496</v>
      </c>
      <c r="R5837" t="s">
        <v>934</v>
      </c>
      <c r="S5837" t="s">
        <v>935</v>
      </c>
      <c r="T5837" t="s">
        <v>936</v>
      </c>
    </row>
    <row r="5838" spans="1:20" x14ac:dyDescent="0.25">
      <c r="A5838" t="s">
        <v>59</v>
      </c>
      <c r="B5838" t="s">
        <v>31</v>
      </c>
      <c r="C5838" t="s">
        <v>32</v>
      </c>
      <c r="D5838" t="s">
        <v>771</v>
      </c>
      <c r="E5838" t="s">
        <v>840</v>
      </c>
      <c r="F5838" t="s">
        <v>35</v>
      </c>
      <c r="G5838" t="s">
        <v>35</v>
      </c>
      <c r="H5838" t="s">
        <v>35</v>
      </c>
      <c r="J5838" t="s">
        <v>6193</v>
      </c>
      <c r="K5838" t="s">
        <v>1092</v>
      </c>
      <c r="M5838">
        <v>0.63</v>
      </c>
      <c r="N5838">
        <v>84</v>
      </c>
      <c r="O5838" t="s">
        <v>61</v>
      </c>
      <c r="Q5838" t="s">
        <v>1147</v>
      </c>
      <c r="R5838" t="s">
        <v>934</v>
      </c>
      <c r="S5838" t="s">
        <v>935</v>
      </c>
      <c r="T5838" t="s">
        <v>936</v>
      </c>
    </row>
    <row r="5839" spans="1:20" x14ac:dyDescent="0.25">
      <c r="A5839" t="s">
        <v>59</v>
      </c>
      <c r="B5839" t="s">
        <v>31</v>
      </c>
      <c r="C5839" t="s">
        <v>32</v>
      </c>
      <c r="D5839" t="s">
        <v>771</v>
      </c>
      <c r="E5839" t="s">
        <v>840</v>
      </c>
      <c r="F5839" t="s">
        <v>35</v>
      </c>
      <c r="G5839" t="s">
        <v>35</v>
      </c>
      <c r="H5839" t="s">
        <v>35</v>
      </c>
      <c r="J5839" t="s">
        <v>6193</v>
      </c>
      <c r="K5839" t="s">
        <v>1092</v>
      </c>
      <c r="M5839">
        <v>14.04</v>
      </c>
      <c r="N5839">
        <v>39</v>
      </c>
      <c r="O5839" t="s">
        <v>52</v>
      </c>
      <c r="Q5839" t="s">
        <v>493</v>
      </c>
      <c r="R5839" t="s">
        <v>934</v>
      </c>
      <c r="S5839" t="s">
        <v>935</v>
      </c>
      <c r="T5839" t="s">
        <v>936</v>
      </c>
    </row>
    <row r="5840" spans="1:20" x14ac:dyDescent="0.25">
      <c r="A5840" t="s">
        <v>59</v>
      </c>
      <c r="B5840" t="s">
        <v>60</v>
      </c>
      <c r="C5840" t="s">
        <v>32</v>
      </c>
      <c r="D5840" t="s">
        <v>771</v>
      </c>
      <c r="E5840" t="s">
        <v>861</v>
      </c>
      <c r="F5840" t="s">
        <v>35</v>
      </c>
      <c r="G5840" t="s">
        <v>35</v>
      </c>
      <c r="H5840" t="s">
        <v>35</v>
      </c>
      <c r="J5840" t="s">
        <v>6312</v>
      </c>
      <c r="K5840" t="s">
        <v>1092</v>
      </c>
      <c r="M5840">
        <v>0.7</v>
      </c>
      <c r="N5840">
        <v>149</v>
      </c>
      <c r="O5840" t="s">
        <v>38</v>
      </c>
      <c r="Q5840" t="s">
        <v>75</v>
      </c>
      <c r="R5840" t="s">
        <v>934</v>
      </c>
      <c r="S5840" t="s">
        <v>935</v>
      </c>
      <c r="T5840" t="s">
        <v>936</v>
      </c>
    </row>
    <row r="5841" spans="1:20" x14ac:dyDescent="0.25">
      <c r="A5841" t="s">
        <v>30</v>
      </c>
      <c r="B5841" t="s">
        <v>31</v>
      </c>
      <c r="C5841" t="s">
        <v>32</v>
      </c>
      <c r="D5841" t="s">
        <v>771</v>
      </c>
      <c r="E5841" t="s">
        <v>910</v>
      </c>
      <c r="F5841" t="s">
        <v>35</v>
      </c>
      <c r="G5841" t="s">
        <v>35</v>
      </c>
      <c r="H5841" t="s">
        <v>35</v>
      </c>
      <c r="J5841" t="s">
        <v>6579</v>
      </c>
      <c r="K5841" t="s">
        <v>1092</v>
      </c>
      <c r="M5841">
        <v>7.02</v>
      </c>
      <c r="N5841">
        <v>9</v>
      </c>
      <c r="O5841" t="s">
        <v>46</v>
      </c>
      <c r="Q5841" t="s">
        <v>323</v>
      </c>
      <c r="R5841" t="s">
        <v>934</v>
      </c>
      <c r="S5841" t="s">
        <v>935</v>
      </c>
      <c r="T5841" t="s">
        <v>936</v>
      </c>
    </row>
    <row r="5842" spans="1:20" x14ac:dyDescent="0.25">
      <c r="A5842" t="s">
        <v>30</v>
      </c>
      <c r="B5842" t="s">
        <v>31</v>
      </c>
      <c r="C5842" t="s">
        <v>32</v>
      </c>
      <c r="D5842" t="s">
        <v>771</v>
      </c>
      <c r="E5842" t="s">
        <v>6319</v>
      </c>
      <c r="F5842" t="s">
        <v>35</v>
      </c>
      <c r="G5842" t="s">
        <v>35</v>
      </c>
      <c r="H5842" t="s">
        <v>35</v>
      </c>
      <c r="J5842" t="s">
        <v>6341</v>
      </c>
      <c r="K5842" t="s">
        <v>1092</v>
      </c>
      <c r="M5842">
        <v>4.7699999999999996</v>
      </c>
      <c r="N5842">
        <v>212</v>
      </c>
      <c r="O5842" t="s">
        <v>5</v>
      </c>
      <c r="Q5842" t="s">
        <v>1578</v>
      </c>
      <c r="R5842" t="s">
        <v>934</v>
      </c>
      <c r="S5842" t="s">
        <v>935</v>
      </c>
      <c r="T5842" t="s">
        <v>936</v>
      </c>
    </row>
    <row r="5843" spans="1:20" x14ac:dyDescent="0.25">
      <c r="A5843" t="s">
        <v>59</v>
      </c>
      <c r="B5843" t="s">
        <v>60</v>
      </c>
      <c r="C5843" t="s">
        <v>32</v>
      </c>
      <c r="D5843" t="s">
        <v>771</v>
      </c>
      <c r="E5843" t="s">
        <v>6093</v>
      </c>
      <c r="F5843" t="s">
        <v>35</v>
      </c>
      <c r="G5843" t="s">
        <v>35</v>
      </c>
      <c r="H5843" t="s">
        <v>35</v>
      </c>
      <c r="J5843" t="s">
        <v>2376</v>
      </c>
      <c r="K5843" t="s">
        <v>1092</v>
      </c>
      <c r="M5843">
        <v>4</v>
      </c>
      <c r="N5843">
        <v>39</v>
      </c>
      <c r="O5843" t="s">
        <v>52</v>
      </c>
      <c r="Q5843" t="s">
        <v>493</v>
      </c>
      <c r="R5843" t="s">
        <v>934</v>
      </c>
      <c r="S5843" t="s">
        <v>935</v>
      </c>
      <c r="T5843" t="s">
        <v>936</v>
      </c>
    </row>
    <row r="5844" spans="1:20" x14ac:dyDescent="0.25">
      <c r="A5844" t="s">
        <v>59</v>
      </c>
      <c r="B5844" t="s">
        <v>60</v>
      </c>
      <c r="C5844" t="s">
        <v>32</v>
      </c>
      <c r="D5844" t="s">
        <v>771</v>
      </c>
      <c r="E5844" t="s">
        <v>845</v>
      </c>
      <c r="F5844" t="s">
        <v>35</v>
      </c>
      <c r="G5844" t="s">
        <v>35</v>
      </c>
      <c r="H5844" t="s">
        <v>35</v>
      </c>
      <c r="J5844" t="s">
        <v>6280</v>
      </c>
      <c r="K5844" t="s">
        <v>1092</v>
      </c>
      <c r="M5844">
        <v>0.7</v>
      </c>
      <c r="N5844">
        <v>134</v>
      </c>
      <c r="O5844" t="s">
        <v>38</v>
      </c>
      <c r="Q5844" t="s">
        <v>1822</v>
      </c>
      <c r="R5844" t="s">
        <v>934</v>
      </c>
      <c r="S5844" t="s">
        <v>935</v>
      </c>
      <c r="T5844" t="s">
        <v>936</v>
      </c>
    </row>
    <row r="5845" spans="1:20" x14ac:dyDescent="0.25">
      <c r="A5845" t="s">
        <v>44</v>
      </c>
      <c r="B5845" t="s">
        <v>51</v>
      </c>
      <c r="C5845" t="s">
        <v>32</v>
      </c>
      <c r="D5845" t="s">
        <v>771</v>
      </c>
      <c r="E5845" t="s">
        <v>845</v>
      </c>
      <c r="F5845" t="s">
        <v>35</v>
      </c>
      <c r="G5845" t="s">
        <v>35</v>
      </c>
      <c r="H5845" t="s">
        <v>35</v>
      </c>
      <c r="J5845" t="s">
        <v>6280</v>
      </c>
      <c r="K5845" t="s">
        <v>1092</v>
      </c>
      <c r="M5845">
        <v>5.6</v>
      </c>
      <c r="N5845">
        <v>75</v>
      </c>
      <c r="O5845" t="s">
        <v>61</v>
      </c>
      <c r="Q5845" t="s">
        <v>447</v>
      </c>
      <c r="R5845" t="s">
        <v>934</v>
      </c>
      <c r="S5845" t="s">
        <v>935</v>
      </c>
      <c r="T5845" t="s">
        <v>936</v>
      </c>
    </row>
    <row r="5846" spans="1:20" x14ac:dyDescent="0.25">
      <c r="A5846" t="s">
        <v>30</v>
      </c>
      <c r="B5846" t="s">
        <v>31</v>
      </c>
      <c r="C5846" t="s">
        <v>32</v>
      </c>
      <c r="D5846" t="s">
        <v>771</v>
      </c>
      <c r="E5846" t="s">
        <v>6511</v>
      </c>
      <c r="F5846" t="s">
        <v>35</v>
      </c>
      <c r="G5846" t="s">
        <v>35</v>
      </c>
      <c r="H5846" t="s">
        <v>35</v>
      </c>
      <c r="J5846" t="s">
        <v>6237</v>
      </c>
      <c r="K5846" t="s">
        <v>1092</v>
      </c>
      <c r="M5846">
        <v>7.02</v>
      </c>
      <c r="N5846">
        <v>39</v>
      </c>
      <c r="O5846" t="s">
        <v>52</v>
      </c>
      <c r="Q5846" t="s">
        <v>493</v>
      </c>
      <c r="R5846" t="s">
        <v>934</v>
      </c>
      <c r="S5846" t="s">
        <v>935</v>
      </c>
      <c r="T5846" t="s">
        <v>936</v>
      </c>
    </row>
    <row r="5847" spans="1:20" x14ac:dyDescent="0.25">
      <c r="A5847" t="s">
        <v>59</v>
      </c>
      <c r="B5847" t="s">
        <v>60</v>
      </c>
      <c r="C5847" t="s">
        <v>32</v>
      </c>
      <c r="D5847" t="s">
        <v>771</v>
      </c>
      <c r="E5847" t="s">
        <v>861</v>
      </c>
      <c r="F5847" t="s">
        <v>35</v>
      </c>
      <c r="G5847" t="s">
        <v>35</v>
      </c>
      <c r="H5847" t="s">
        <v>35</v>
      </c>
      <c r="J5847" t="s">
        <v>6305</v>
      </c>
      <c r="K5847" t="s">
        <v>1092</v>
      </c>
      <c r="M5847">
        <v>1</v>
      </c>
      <c r="N5847">
        <v>72</v>
      </c>
      <c r="O5847" t="s">
        <v>61</v>
      </c>
      <c r="Q5847" t="s">
        <v>1156</v>
      </c>
      <c r="R5847" t="s">
        <v>934</v>
      </c>
      <c r="S5847" t="s">
        <v>935</v>
      </c>
      <c r="T5847" t="s">
        <v>936</v>
      </c>
    </row>
    <row r="5848" spans="1:20" x14ac:dyDescent="0.25">
      <c r="A5848" t="s">
        <v>59</v>
      </c>
      <c r="B5848" t="s">
        <v>60</v>
      </c>
      <c r="C5848" t="s">
        <v>32</v>
      </c>
      <c r="D5848" t="s">
        <v>771</v>
      </c>
      <c r="E5848" t="s">
        <v>861</v>
      </c>
      <c r="F5848" t="s">
        <v>35</v>
      </c>
      <c r="G5848" t="s">
        <v>35</v>
      </c>
      <c r="H5848" t="s">
        <v>35</v>
      </c>
      <c r="J5848" t="s">
        <v>6305</v>
      </c>
      <c r="K5848" t="s">
        <v>1092</v>
      </c>
      <c r="M5848">
        <v>2</v>
      </c>
      <c r="N5848">
        <v>70</v>
      </c>
      <c r="O5848" t="s">
        <v>61</v>
      </c>
      <c r="Q5848" t="s">
        <v>305</v>
      </c>
      <c r="R5848" t="s">
        <v>934</v>
      </c>
      <c r="S5848" t="s">
        <v>935</v>
      </c>
      <c r="T5848" t="s">
        <v>936</v>
      </c>
    </row>
    <row r="5849" spans="1:20" x14ac:dyDescent="0.25">
      <c r="A5849" t="s">
        <v>59</v>
      </c>
      <c r="B5849" t="s">
        <v>31</v>
      </c>
      <c r="C5849" t="s">
        <v>32</v>
      </c>
      <c r="D5849" t="s">
        <v>771</v>
      </c>
      <c r="E5849" t="s">
        <v>910</v>
      </c>
      <c r="F5849" t="s">
        <v>35</v>
      </c>
      <c r="G5849" t="s">
        <v>35</v>
      </c>
      <c r="H5849" t="s">
        <v>35</v>
      </c>
      <c r="J5849" t="s">
        <v>6600</v>
      </c>
      <c r="K5849" t="s">
        <v>1092</v>
      </c>
      <c r="M5849">
        <v>1.915</v>
      </c>
      <c r="N5849">
        <v>38</v>
      </c>
      <c r="O5849" t="s">
        <v>52</v>
      </c>
      <c r="Q5849" t="s">
        <v>716</v>
      </c>
      <c r="R5849" t="s">
        <v>934</v>
      </c>
      <c r="S5849" t="s">
        <v>935</v>
      </c>
      <c r="T5849" t="s">
        <v>936</v>
      </c>
    </row>
    <row r="5850" spans="1:20" x14ac:dyDescent="0.25">
      <c r="A5850" t="s">
        <v>59</v>
      </c>
      <c r="B5850" t="s">
        <v>60</v>
      </c>
      <c r="C5850" t="s">
        <v>32</v>
      </c>
      <c r="D5850" t="s">
        <v>771</v>
      </c>
      <c r="E5850" t="s">
        <v>6214</v>
      </c>
      <c r="F5850" t="s">
        <v>35</v>
      </c>
      <c r="G5850" t="s">
        <v>35</v>
      </c>
      <c r="H5850" t="s">
        <v>35</v>
      </c>
      <c r="J5850" t="s">
        <v>6239</v>
      </c>
      <c r="K5850" t="s">
        <v>1092</v>
      </c>
      <c r="M5850">
        <v>8.85</v>
      </c>
      <c r="N5850">
        <v>84</v>
      </c>
      <c r="O5850" t="s">
        <v>61</v>
      </c>
      <c r="Q5850" t="s">
        <v>1147</v>
      </c>
      <c r="R5850" t="s">
        <v>934</v>
      </c>
      <c r="S5850" t="s">
        <v>935</v>
      </c>
      <c r="T5850" t="s">
        <v>936</v>
      </c>
    </row>
    <row r="5851" spans="1:20" x14ac:dyDescent="0.25">
      <c r="A5851" t="s">
        <v>59</v>
      </c>
      <c r="B5851" t="s">
        <v>60</v>
      </c>
      <c r="C5851" t="s">
        <v>32</v>
      </c>
      <c r="D5851" t="s">
        <v>771</v>
      </c>
      <c r="E5851" t="s">
        <v>6093</v>
      </c>
      <c r="F5851" t="s">
        <v>35</v>
      </c>
      <c r="G5851" t="s">
        <v>35</v>
      </c>
      <c r="H5851" t="s">
        <v>35</v>
      </c>
      <c r="J5851" t="s">
        <v>6126</v>
      </c>
      <c r="K5851" t="s">
        <v>1092</v>
      </c>
      <c r="M5851">
        <v>3</v>
      </c>
      <c r="N5851">
        <v>53</v>
      </c>
      <c r="O5851" t="s">
        <v>52</v>
      </c>
      <c r="Q5851" t="s">
        <v>1734</v>
      </c>
      <c r="R5851" t="s">
        <v>934</v>
      </c>
      <c r="S5851" t="s">
        <v>935</v>
      </c>
      <c r="T5851" t="s">
        <v>936</v>
      </c>
    </row>
    <row r="5852" spans="1:20" x14ac:dyDescent="0.25">
      <c r="A5852" t="s">
        <v>44</v>
      </c>
      <c r="B5852" t="s">
        <v>51</v>
      </c>
      <c r="C5852" t="s">
        <v>32</v>
      </c>
      <c r="D5852" t="s">
        <v>771</v>
      </c>
      <c r="E5852" t="s">
        <v>6214</v>
      </c>
      <c r="F5852" t="s">
        <v>35</v>
      </c>
      <c r="G5852" t="s">
        <v>35</v>
      </c>
      <c r="H5852" t="s">
        <v>35</v>
      </c>
      <c r="J5852" t="s">
        <v>6221</v>
      </c>
      <c r="K5852" t="s">
        <v>1144</v>
      </c>
      <c r="M5852">
        <v>6</v>
      </c>
      <c r="N5852">
        <v>28</v>
      </c>
      <c r="O5852" t="s">
        <v>46</v>
      </c>
      <c r="Q5852" t="s">
        <v>48</v>
      </c>
      <c r="R5852" t="s">
        <v>934</v>
      </c>
      <c r="S5852" t="s">
        <v>935</v>
      </c>
      <c r="T5852" t="s">
        <v>936</v>
      </c>
    </row>
    <row r="5853" spans="1:20" x14ac:dyDescent="0.25">
      <c r="A5853" t="s">
        <v>30</v>
      </c>
      <c r="B5853" t="s">
        <v>31</v>
      </c>
      <c r="C5853" t="s">
        <v>32</v>
      </c>
      <c r="D5853" t="s">
        <v>771</v>
      </c>
      <c r="E5853" t="s">
        <v>861</v>
      </c>
      <c r="F5853" t="s">
        <v>35</v>
      </c>
      <c r="G5853" t="s">
        <v>35</v>
      </c>
      <c r="H5853" t="s">
        <v>35</v>
      </c>
      <c r="J5853" t="s">
        <v>6295</v>
      </c>
      <c r="K5853" t="s">
        <v>1092</v>
      </c>
      <c r="M5853">
        <v>1.4850000000000001</v>
      </c>
      <c r="N5853">
        <v>231</v>
      </c>
      <c r="O5853" t="s">
        <v>5</v>
      </c>
      <c r="Q5853" t="s">
        <v>933</v>
      </c>
      <c r="R5853" t="s">
        <v>934</v>
      </c>
      <c r="S5853" t="s">
        <v>935</v>
      </c>
      <c r="T5853" t="s">
        <v>936</v>
      </c>
    </row>
    <row r="5854" spans="1:20" x14ac:dyDescent="0.25">
      <c r="A5854" t="s">
        <v>30</v>
      </c>
      <c r="B5854" t="s">
        <v>31</v>
      </c>
      <c r="C5854" t="s">
        <v>32</v>
      </c>
      <c r="D5854" t="s">
        <v>771</v>
      </c>
      <c r="E5854" t="s">
        <v>929</v>
      </c>
      <c r="F5854" t="s">
        <v>35</v>
      </c>
      <c r="G5854" t="s">
        <v>35</v>
      </c>
      <c r="H5854" t="s">
        <v>35</v>
      </c>
      <c r="J5854" t="s">
        <v>930</v>
      </c>
      <c r="K5854" t="s">
        <v>37</v>
      </c>
      <c r="M5854">
        <v>0.05</v>
      </c>
      <c r="N5854">
        <v>231</v>
      </c>
      <c r="O5854" t="s">
        <v>5</v>
      </c>
      <c r="P5854" t="s">
        <v>932</v>
      </c>
      <c r="Q5854" t="s">
        <v>933</v>
      </c>
      <c r="R5854" t="s">
        <v>934</v>
      </c>
      <c r="S5854" t="s">
        <v>935</v>
      </c>
      <c r="T5854" t="s">
        <v>936</v>
      </c>
    </row>
    <row r="5855" spans="1:20" x14ac:dyDescent="0.25">
      <c r="A5855" t="s">
        <v>30</v>
      </c>
      <c r="B5855" t="s">
        <v>31</v>
      </c>
      <c r="C5855" t="s">
        <v>32</v>
      </c>
      <c r="D5855" t="s">
        <v>771</v>
      </c>
      <c r="E5855" t="s">
        <v>6093</v>
      </c>
      <c r="F5855" t="s">
        <v>35</v>
      </c>
      <c r="G5855" t="s">
        <v>35</v>
      </c>
      <c r="H5855" t="s">
        <v>35</v>
      </c>
      <c r="J5855" t="s">
        <v>6111</v>
      </c>
      <c r="K5855" t="s">
        <v>1092</v>
      </c>
      <c r="M5855">
        <v>3.87</v>
      </c>
      <c r="N5855">
        <v>231</v>
      </c>
      <c r="O5855" t="s">
        <v>5</v>
      </c>
      <c r="Q5855" t="s">
        <v>933</v>
      </c>
      <c r="R5855" t="s">
        <v>934</v>
      </c>
      <c r="S5855" t="s">
        <v>935</v>
      </c>
      <c r="T5855" t="s">
        <v>936</v>
      </c>
    </row>
    <row r="5856" spans="1:20" x14ac:dyDescent="0.25">
      <c r="A5856" t="s">
        <v>30</v>
      </c>
      <c r="B5856" t="s">
        <v>31</v>
      </c>
      <c r="C5856" t="s">
        <v>32</v>
      </c>
      <c r="D5856" t="s">
        <v>771</v>
      </c>
      <c r="E5856" t="s">
        <v>6511</v>
      </c>
      <c r="F5856" t="s">
        <v>35</v>
      </c>
      <c r="G5856" t="s">
        <v>35</v>
      </c>
      <c r="H5856" t="s">
        <v>35</v>
      </c>
      <c r="J5856" t="s">
        <v>6518</v>
      </c>
      <c r="K5856" t="s">
        <v>1092</v>
      </c>
      <c r="M5856">
        <v>2.97</v>
      </c>
      <c r="N5856">
        <v>39</v>
      </c>
      <c r="O5856" t="s">
        <v>52</v>
      </c>
      <c r="Q5856" t="s">
        <v>493</v>
      </c>
      <c r="R5856" t="s">
        <v>934</v>
      </c>
      <c r="S5856" t="s">
        <v>935</v>
      </c>
      <c r="T5856" t="s">
        <v>936</v>
      </c>
    </row>
    <row r="5857" spans="1:20" x14ac:dyDescent="0.25">
      <c r="A5857" t="s">
        <v>30</v>
      </c>
      <c r="B5857" t="s">
        <v>31</v>
      </c>
      <c r="C5857" t="s">
        <v>32</v>
      </c>
      <c r="D5857" t="s">
        <v>771</v>
      </c>
      <c r="E5857" t="s">
        <v>910</v>
      </c>
      <c r="F5857" t="s">
        <v>35</v>
      </c>
      <c r="G5857" t="s">
        <v>35</v>
      </c>
      <c r="H5857" t="s">
        <v>35</v>
      </c>
      <c r="J5857" t="s">
        <v>6585</v>
      </c>
      <c r="K5857" t="s">
        <v>1092</v>
      </c>
      <c r="M5857">
        <v>3.69</v>
      </c>
      <c r="N5857">
        <v>40</v>
      </c>
      <c r="O5857" t="s">
        <v>52</v>
      </c>
      <c r="Q5857" t="s">
        <v>132</v>
      </c>
      <c r="R5857" t="s">
        <v>934</v>
      </c>
      <c r="S5857" t="s">
        <v>935</v>
      </c>
      <c r="T5857" t="s">
        <v>936</v>
      </c>
    </row>
    <row r="5858" spans="1:20" x14ac:dyDescent="0.25">
      <c r="A5858" t="s">
        <v>59</v>
      </c>
      <c r="B5858" t="s">
        <v>60</v>
      </c>
      <c r="C5858" t="s">
        <v>32</v>
      </c>
      <c r="D5858" t="s">
        <v>771</v>
      </c>
      <c r="E5858" t="s">
        <v>898</v>
      </c>
      <c r="F5858" t="s">
        <v>35</v>
      </c>
      <c r="G5858" t="s">
        <v>35</v>
      </c>
      <c r="H5858" t="s">
        <v>35</v>
      </c>
      <c r="J5858" t="s">
        <v>5472</v>
      </c>
      <c r="K5858" t="s">
        <v>1092</v>
      </c>
      <c r="M5858">
        <v>25</v>
      </c>
      <c r="N5858">
        <v>14</v>
      </c>
      <c r="O5858" t="s">
        <v>46</v>
      </c>
      <c r="Q5858" t="s">
        <v>1874</v>
      </c>
      <c r="R5858" t="s">
        <v>934</v>
      </c>
      <c r="S5858" t="s">
        <v>935</v>
      </c>
      <c r="T5858" t="s">
        <v>936</v>
      </c>
    </row>
    <row r="5859" spans="1:20" x14ac:dyDescent="0.25">
      <c r="A5859" t="s">
        <v>59</v>
      </c>
      <c r="B5859" t="s">
        <v>60</v>
      </c>
      <c r="C5859" t="s">
        <v>32</v>
      </c>
      <c r="D5859" t="s">
        <v>771</v>
      </c>
      <c r="E5859" t="s">
        <v>6214</v>
      </c>
      <c r="F5859" t="s">
        <v>35</v>
      </c>
      <c r="G5859" t="s">
        <v>35</v>
      </c>
      <c r="H5859" t="s">
        <v>35</v>
      </c>
      <c r="J5859" t="s">
        <v>6228</v>
      </c>
      <c r="K5859" t="s">
        <v>1092</v>
      </c>
      <c r="M5859">
        <v>6.75</v>
      </c>
      <c r="N5859">
        <v>39</v>
      </c>
      <c r="O5859" t="s">
        <v>52</v>
      </c>
      <c r="Q5859" t="s">
        <v>493</v>
      </c>
      <c r="R5859" t="s">
        <v>934</v>
      </c>
      <c r="S5859" t="s">
        <v>935</v>
      </c>
      <c r="T5859" t="s">
        <v>936</v>
      </c>
    </row>
    <row r="5860" spans="1:20" x14ac:dyDescent="0.25">
      <c r="A5860" t="s">
        <v>59</v>
      </c>
      <c r="B5860" t="s">
        <v>31</v>
      </c>
      <c r="C5860" t="s">
        <v>32</v>
      </c>
      <c r="D5860" t="s">
        <v>771</v>
      </c>
      <c r="E5860" t="s">
        <v>6319</v>
      </c>
      <c r="F5860" t="s">
        <v>35</v>
      </c>
      <c r="G5860" t="s">
        <v>35</v>
      </c>
      <c r="H5860" t="s">
        <v>35</v>
      </c>
      <c r="J5860" t="s">
        <v>6324</v>
      </c>
      <c r="K5860" t="s">
        <v>1092</v>
      </c>
      <c r="M5860">
        <v>5.8049999999999997</v>
      </c>
      <c r="N5860">
        <v>39</v>
      </c>
      <c r="O5860" t="s">
        <v>52</v>
      </c>
      <c r="Q5860" t="s">
        <v>493</v>
      </c>
      <c r="R5860" t="s">
        <v>934</v>
      </c>
      <c r="S5860" t="s">
        <v>935</v>
      </c>
      <c r="T5860" t="s">
        <v>936</v>
      </c>
    </row>
    <row r="5861" spans="1:20" x14ac:dyDescent="0.25">
      <c r="A5861" t="s">
        <v>59</v>
      </c>
      <c r="B5861" t="s">
        <v>60</v>
      </c>
      <c r="C5861" t="s">
        <v>32</v>
      </c>
      <c r="D5861" t="s">
        <v>771</v>
      </c>
      <c r="E5861" t="s">
        <v>6319</v>
      </c>
      <c r="F5861" t="s">
        <v>35</v>
      </c>
      <c r="G5861" t="s">
        <v>35</v>
      </c>
      <c r="H5861" t="s">
        <v>35</v>
      </c>
      <c r="J5861" t="s">
        <v>6324</v>
      </c>
      <c r="K5861" t="s">
        <v>1092</v>
      </c>
      <c r="M5861">
        <v>1</v>
      </c>
      <c r="N5861">
        <v>308</v>
      </c>
      <c r="O5861" t="s">
        <v>5</v>
      </c>
      <c r="Q5861" t="s">
        <v>6325</v>
      </c>
      <c r="R5861" t="s">
        <v>934</v>
      </c>
      <c r="S5861" t="s">
        <v>935</v>
      </c>
      <c r="T5861" t="s">
        <v>936</v>
      </c>
    </row>
    <row r="5862" spans="1:20" x14ac:dyDescent="0.25">
      <c r="A5862" t="s">
        <v>44</v>
      </c>
      <c r="B5862" t="s">
        <v>51</v>
      </c>
      <c r="C5862" t="s">
        <v>32</v>
      </c>
      <c r="D5862" t="s">
        <v>771</v>
      </c>
      <c r="E5862" t="s">
        <v>6165</v>
      </c>
      <c r="F5862" t="s">
        <v>35</v>
      </c>
      <c r="G5862" t="s">
        <v>35</v>
      </c>
      <c r="H5862" t="s">
        <v>35</v>
      </c>
      <c r="J5862" t="s">
        <v>6172</v>
      </c>
      <c r="K5862" t="s">
        <v>1092</v>
      </c>
      <c r="M5862">
        <v>1.9</v>
      </c>
      <c r="N5862">
        <v>329</v>
      </c>
      <c r="O5862" t="s">
        <v>5</v>
      </c>
      <c r="Q5862" t="s">
        <v>6173</v>
      </c>
      <c r="R5862" t="s">
        <v>934</v>
      </c>
      <c r="S5862" t="s">
        <v>935</v>
      </c>
      <c r="T5862" t="s">
        <v>936</v>
      </c>
    </row>
    <row r="5863" spans="1:20" x14ac:dyDescent="0.25">
      <c r="A5863" t="s">
        <v>59</v>
      </c>
      <c r="B5863" t="s">
        <v>31</v>
      </c>
      <c r="C5863" t="s">
        <v>32</v>
      </c>
      <c r="D5863" t="s">
        <v>771</v>
      </c>
      <c r="F5863" t="s">
        <v>35</v>
      </c>
      <c r="G5863" t="s">
        <v>35</v>
      </c>
      <c r="H5863" t="s">
        <v>35</v>
      </c>
      <c r="J5863" t="s">
        <v>6693</v>
      </c>
      <c r="K5863" t="s">
        <v>1092</v>
      </c>
      <c r="M5863">
        <v>9.5399999999999991</v>
      </c>
      <c r="N5863">
        <v>839</v>
      </c>
      <c r="O5863" t="s">
        <v>575</v>
      </c>
      <c r="Q5863" t="s">
        <v>6694</v>
      </c>
      <c r="R5863" t="s">
        <v>934</v>
      </c>
      <c r="S5863" t="s">
        <v>935</v>
      </c>
      <c r="T5863" t="s">
        <v>936</v>
      </c>
    </row>
    <row r="5864" spans="1:20" x14ac:dyDescent="0.25">
      <c r="A5864" t="s">
        <v>30</v>
      </c>
      <c r="B5864" t="s">
        <v>31</v>
      </c>
      <c r="C5864" t="s">
        <v>32</v>
      </c>
      <c r="D5864" t="s">
        <v>771</v>
      </c>
      <c r="E5864" t="s">
        <v>6631</v>
      </c>
      <c r="F5864" t="s">
        <v>35</v>
      </c>
      <c r="G5864" t="s">
        <v>35</v>
      </c>
      <c r="H5864" t="s">
        <v>35</v>
      </c>
      <c r="J5864" t="s">
        <v>6636</v>
      </c>
      <c r="K5864" t="s">
        <v>1092</v>
      </c>
      <c r="M5864">
        <v>7.02</v>
      </c>
      <c r="N5864">
        <v>39</v>
      </c>
      <c r="O5864" t="s">
        <v>52</v>
      </c>
      <c r="Q5864" t="s">
        <v>493</v>
      </c>
      <c r="R5864" t="s">
        <v>934</v>
      </c>
      <c r="S5864" t="s">
        <v>935</v>
      </c>
      <c r="T5864" t="s">
        <v>936</v>
      </c>
    </row>
    <row r="5865" spans="1:20" x14ac:dyDescent="0.25">
      <c r="A5865" t="s">
        <v>44</v>
      </c>
      <c r="B5865" t="s">
        <v>51</v>
      </c>
      <c r="C5865" t="s">
        <v>32</v>
      </c>
      <c r="D5865" t="s">
        <v>771</v>
      </c>
      <c r="E5865" t="s">
        <v>6261</v>
      </c>
      <c r="F5865" t="s">
        <v>35</v>
      </c>
      <c r="G5865" t="s">
        <v>35</v>
      </c>
      <c r="H5865" t="s">
        <v>35</v>
      </c>
      <c r="J5865" t="s">
        <v>6277</v>
      </c>
      <c r="K5865" t="s">
        <v>1092</v>
      </c>
      <c r="M5865">
        <v>7</v>
      </c>
      <c r="N5865">
        <v>59</v>
      </c>
      <c r="O5865" t="s">
        <v>52</v>
      </c>
      <c r="Q5865" t="s">
        <v>203</v>
      </c>
      <c r="R5865" t="s">
        <v>934</v>
      </c>
      <c r="S5865" t="s">
        <v>935</v>
      </c>
      <c r="T5865" t="s">
        <v>936</v>
      </c>
    </row>
    <row r="5866" spans="1:20" x14ac:dyDescent="0.25">
      <c r="A5866" t="s">
        <v>30</v>
      </c>
      <c r="B5866" t="s">
        <v>31</v>
      </c>
      <c r="C5866" t="s">
        <v>32</v>
      </c>
      <c r="D5866" t="s">
        <v>771</v>
      </c>
      <c r="E5866" t="s">
        <v>783</v>
      </c>
      <c r="F5866" t="s">
        <v>35</v>
      </c>
      <c r="G5866" t="s">
        <v>35</v>
      </c>
      <c r="H5866" t="s">
        <v>35</v>
      </c>
      <c r="J5866" t="s">
        <v>6036</v>
      </c>
      <c r="K5866" t="s">
        <v>1092</v>
      </c>
      <c r="M5866">
        <v>0.495</v>
      </c>
      <c r="N5866">
        <v>105</v>
      </c>
      <c r="O5866" t="s">
        <v>106</v>
      </c>
      <c r="Q5866" t="s">
        <v>171</v>
      </c>
      <c r="R5866" t="s">
        <v>849</v>
      </c>
      <c r="S5866" t="s">
        <v>850</v>
      </c>
      <c r="T5866" t="s">
        <v>851</v>
      </c>
    </row>
    <row r="5867" spans="1:20" x14ac:dyDescent="0.25">
      <c r="A5867" t="s">
        <v>59</v>
      </c>
      <c r="B5867" t="s">
        <v>60</v>
      </c>
      <c r="C5867" t="s">
        <v>32</v>
      </c>
      <c r="D5867" t="s">
        <v>771</v>
      </c>
      <c r="E5867" t="s">
        <v>903</v>
      </c>
      <c r="F5867" t="s">
        <v>35</v>
      </c>
      <c r="G5867" t="s">
        <v>35</v>
      </c>
      <c r="H5867" t="s">
        <v>35</v>
      </c>
      <c r="J5867" t="s">
        <v>6562</v>
      </c>
      <c r="K5867" t="s">
        <v>1092</v>
      </c>
      <c r="M5867">
        <v>5</v>
      </c>
      <c r="N5867">
        <v>147</v>
      </c>
      <c r="O5867" t="s">
        <v>38</v>
      </c>
      <c r="Q5867" t="s">
        <v>3398</v>
      </c>
      <c r="R5867" t="s">
        <v>849</v>
      </c>
      <c r="S5867" t="s">
        <v>850</v>
      </c>
      <c r="T5867" t="s">
        <v>851</v>
      </c>
    </row>
    <row r="5868" spans="1:20" x14ac:dyDescent="0.25">
      <c r="A5868" t="s">
        <v>30</v>
      </c>
      <c r="B5868" t="s">
        <v>31</v>
      </c>
      <c r="C5868" t="s">
        <v>32</v>
      </c>
      <c r="D5868" t="s">
        <v>771</v>
      </c>
      <c r="E5868" t="s">
        <v>6319</v>
      </c>
      <c r="F5868" t="s">
        <v>35</v>
      </c>
      <c r="G5868" t="s">
        <v>35</v>
      </c>
      <c r="H5868" t="s">
        <v>35</v>
      </c>
      <c r="J5868" t="s">
        <v>6320</v>
      </c>
      <c r="K5868" t="s">
        <v>1092</v>
      </c>
      <c r="M5868">
        <v>7.02</v>
      </c>
      <c r="N5868">
        <v>40</v>
      </c>
      <c r="O5868" t="s">
        <v>52</v>
      </c>
      <c r="Q5868" t="s">
        <v>132</v>
      </c>
      <c r="R5868" t="s">
        <v>849</v>
      </c>
      <c r="S5868" t="s">
        <v>850</v>
      </c>
      <c r="T5868" t="s">
        <v>851</v>
      </c>
    </row>
    <row r="5869" spans="1:20" x14ac:dyDescent="0.25">
      <c r="A5869" t="s">
        <v>30</v>
      </c>
      <c r="B5869" t="s">
        <v>31</v>
      </c>
      <c r="C5869" t="s">
        <v>32</v>
      </c>
      <c r="D5869" t="s">
        <v>771</v>
      </c>
      <c r="E5869" t="s">
        <v>6621</v>
      </c>
      <c r="F5869" t="s">
        <v>35</v>
      </c>
      <c r="G5869" t="s">
        <v>35</v>
      </c>
      <c r="H5869" t="s">
        <v>35</v>
      </c>
      <c r="J5869" t="s">
        <v>6623</v>
      </c>
      <c r="K5869" t="s">
        <v>1092</v>
      </c>
      <c r="M5869">
        <v>1.8</v>
      </c>
      <c r="N5869">
        <v>30</v>
      </c>
      <c r="O5869" t="s">
        <v>46</v>
      </c>
      <c r="Q5869" t="s">
        <v>3499</v>
      </c>
      <c r="R5869" t="s">
        <v>849</v>
      </c>
      <c r="S5869" t="s">
        <v>850</v>
      </c>
      <c r="T5869" t="s">
        <v>851</v>
      </c>
    </row>
    <row r="5870" spans="1:20" x14ac:dyDescent="0.25">
      <c r="A5870" t="s">
        <v>30</v>
      </c>
      <c r="B5870" t="s">
        <v>31</v>
      </c>
      <c r="C5870" t="s">
        <v>32</v>
      </c>
      <c r="D5870" t="s">
        <v>771</v>
      </c>
      <c r="E5870" t="s">
        <v>6319</v>
      </c>
      <c r="F5870" t="s">
        <v>35</v>
      </c>
      <c r="G5870" t="s">
        <v>35</v>
      </c>
      <c r="H5870" t="s">
        <v>35</v>
      </c>
      <c r="J5870" t="s">
        <v>6327</v>
      </c>
      <c r="K5870" t="s">
        <v>1092</v>
      </c>
      <c r="M5870">
        <v>7.02</v>
      </c>
      <c r="N5870">
        <v>40</v>
      </c>
      <c r="O5870" t="s">
        <v>52</v>
      </c>
      <c r="Q5870" t="s">
        <v>132</v>
      </c>
      <c r="R5870" t="s">
        <v>849</v>
      </c>
      <c r="S5870" t="s">
        <v>850</v>
      </c>
      <c r="T5870" t="s">
        <v>851</v>
      </c>
    </row>
    <row r="5871" spans="1:20" x14ac:dyDescent="0.25">
      <c r="A5871" t="s">
        <v>30</v>
      </c>
      <c r="B5871" t="s">
        <v>31</v>
      </c>
      <c r="C5871" t="s">
        <v>32</v>
      </c>
      <c r="D5871" t="s">
        <v>771</v>
      </c>
      <c r="E5871" t="s">
        <v>6261</v>
      </c>
      <c r="F5871" t="s">
        <v>35</v>
      </c>
      <c r="G5871" t="s">
        <v>35</v>
      </c>
      <c r="H5871" t="s">
        <v>35</v>
      </c>
      <c r="J5871" t="s">
        <v>6268</v>
      </c>
      <c r="K5871" t="s">
        <v>1092</v>
      </c>
      <c r="M5871">
        <v>3.24</v>
      </c>
      <c r="N5871">
        <v>40</v>
      </c>
      <c r="O5871" t="s">
        <v>52</v>
      </c>
      <c r="Q5871" t="s">
        <v>132</v>
      </c>
      <c r="R5871" t="s">
        <v>849</v>
      </c>
      <c r="S5871" t="s">
        <v>850</v>
      </c>
      <c r="T5871" t="s">
        <v>851</v>
      </c>
    </row>
    <row r="5872" spans="1:20" x14ac:dyDescent="0.25">
      <c r="A5872" t="s">
        <v>30</v>
      </c>
      <c r="B5872" t="s">
        <v>31</v>
      </c>
      <c r="C5872" t="s">
        <v>32</v>
      </c>
      <c r="D5872" t="s">
        <v>771</v>
      </c>
      <c r="F5872" t="s">
        <v>35</v>
      </c>
      <c r="G5872" t="s">
        <v>35</v>
      </c>
      <c r="H5872" t="s">
        <v>35</v>
      </c>
      <c r="J5872" t="s">
        <v>6679</v>
      </c>
      <c r="K5872" t="s">
        <v>1092</v>
      </c>
      <c r="M5872">
        <v>0.22500000000000001</v>
      </c>
      <c r="N5872">
        <v>2284</v>
      </c>
      <c r="O5872" t="s">
        <v>575</v>
      </c>
      <c r="Q5872" t="s">
        <v>6680</v>
      </c>
      <c r="R5872" t="s">
        <v>849</v>
      </c>
      <c r="S5872" t="s">
        <v>850</v>
      </c>
      <c r="T5872" t="s">
        <v>851</v>
      </c>
    </row>
    <row r="5873" spans="1:20" x14ac:dyDescent="0.25">
      <c r="A5873" t="s">
        <v>30</v>
      </c>
      <c r="B5873" t="s">
        <v>31</v>
      </c>
      <c r="C5873" t="s">
        <v>32</v>
      </c>
      <c r="D5873" t="s">
        <v>771</v>
      </c>
      <c r="E5873" t="s">
        <v>910</v>
      </c>
      <c r="F5873" t="s">
        <v>35</v>
      </c>
      <c r="G5873" t="s">
        <v>35</v>
      </c>
      <c r="H5873" t="s">
        <v>35</v>
      </c>
      <c r="J5873" t="s">
        <v>6581</v>
      </c>
      <c r="K5873" t="s">
        <v>1092</v>
      </c>
      <c r="M5873">
        <v>14.04</v>
      </c>
      <c r="N5873">
        <v>40</v>
      </c>
      <c r="O5873" t="s">
        <v>52</v>
      </c>
      <c r="Q5873" t="s">
        <v>132</v>
      </c>
      <c r="R5873" t="s">
        <v>849</v>
      </c>
      <c r="S5873" t="s">
        <v>850</v>
      </c>
      <c r="T5873" t="s">
        <v>851</v>
      </c>
    </row>
    <row r="5874" spans="1:20" x14ac:dyDescent="0.25">
      <c r="A5874" t="s">
        <v>30</v>
      </c>
      <c r="B5874" t="s">
        <v>31</v>
      </c>
      <c r="C5874" t="s">
        <v>32</v>
      </c>
      <c r="D5874" t="s">
        <v>771</v>
      </c>
      <c r="E5874" t="s">
        <v>875</v>
      </c>
      <c r="F5874" t="s">
        <v>35</v>
      </c>
      <c r="G5874" t="s">
        <v>35</v>
      </c>
      <c r="H5874" t="s">
        <v>35</v>
      </c>
      <c r="J5874" t="s">
        <v>6447</v>
      </c>
      <c r="K5874" t="s">
        <v>1092</v>
      </c>
      <c r="M5874">
        <v>9.99</v>
      </c>
      <c r="N5874">
        <v>40</v>
      </c>
      <c r="O5874" t="s">
        <v>52</v>
      </c>
      <c r="Q5874" t="s">
        <v>132</v>
      </c>
      <c r="R5874" t="s">
        <v>849</v>
      </c>
      <c r="S5874" t="s">
        <v>850</v>
      </c>
      <c r="T5874" t="s">
        <v>851</v>
      </c>
    </row>
    <row r="5875" spans="1:20" x14ac:dyDescent="0.25">
      <c r="A5875" t="s">
        <v>59</v>
      </c>
      <c r="B5875" t="s">
        <v>60</v>
      </c>
      <c r="C5875" t="s">
        <v>32</v>
      </c>
      <c r="D5875" t="s">
        <v>771</v>
      </c>
      <c r="E5875" t="s">
        <v>6214</v>
      </c>
      <c r="F5875" t="s">
        <v>35</v>
      </c>
      <c r="G5875" t="s">
        <v>35</v>
      </c>
      <c r="H5875" t="s">
        <v>35</v>
      </c>
      <c r="J5875" t="s">
        <v>6249</v>
      </c>
      <c r="K5875" t="s">
        <v>1092</v>
      </c>
      <c r="M5875">
        <v>7</v>
      </c>
      <c r="N5875">
        <v>247</v>
      </c>
      <c r="O5875" t="s">
        <v>5</v>
      </c>
      <c r="Q5875" t="s">
        <v>367</v>
      </c>
      <c r="R5875" t="s">
        <v>849</v>
      </c>
      <c r="S5875" t="s">
        <v>850</v>
      </c>
      <c r="T5875" t="s">
        <v>851</v>
      </c>
    </row>
    <row r="5876" spans="1:20" x14ac:dyDescent="0.25">
      <c r="A5876" t="s">
        <v>44</v>
      </c>
      <c r="B5876" t="s">
        <v>3</v>
      </c>
      <c r="C5876" t="s">
        <v>32</v>
      </c>
      <c r="D5876" t="s">
        <v>771</v>
      </c>
      <c r="E5876" t="s">
        <v>6511</v>
      </c>
      <c r="F5876" t="s">
        <v>35</v>
      </c>
      <c r="G5876" t="s">
        <v>35</v>
      </c>
      <c r="H5876" t="s">
        <v>35</v>
      </c>
      <c r="J5876" t="s">
        <v>6516</v>
      </c>
      <c r="K5876" t="s">
        <v>1092</v>
      </c>
      <c r="M5876">
        <v>0.35</v>
      </c>
      <c r="N5876">
        <v>467</v>
      </c>
      <c r="O5876" t="s">
        <v>294</v>
      </c>
      <c r="Q5876" t="s">
        <v>1498</v>
      </c>
      <c r="R5876" t="s">
        <v>849</v>
      </c>
      <c r="S5876" t="s">
        <v>850</v>
      </c>
      <c r="T5876" t="s">
        <v>851</v>
      </c>
    </row>
    <row r="5877" spans="1:20" x14ac:dyDescent="0.25">
      <c r="A5877" t="s">
        <v>30</v>
      </c>
      <c r="B5877" t="s">
        <v>31</v>
      </c>
      <c r="C5877" t="s">
        <v>32</v>
      </c>
      <c r="D5877" t="s">
        <v>771</v>
      </c>
      <c r="E5877" t="s">
        <v>6511</v>
      </c>
      <c r="F5877" t="s">
        <v>35</v>
      </c>
      <c r="G5877" t="s">
        <v>35</v>
      </c>
      <c r="H5877" t="s">
        <v>35</v>
      </c>
      <c r="J5877" t="s">
        <v>6516</v>
      </c>
      <c r="K5877" t="s">
        <v>1092</v>
      </c>
      <c r="M5877">
        <v>7.02</v>
      </c>
      <c r="N5877">
        <v>40</v>
      </c>
      <c r="O5877" t="s">
        <v>52</v>
      </c>
      <c r="Q5877" t="s">
        <v>132</v>
      </c>
      <c r="R5877" t="s">
        <v>849</v>
      </c>
      <c r="S5877" t="s">
        <v>850</v>
      </c>
      <c r="T5877" t="s">
        <v>851</v>
      </c>
    </row>
    <row r="5878" spans="1:20" x14ac:dyDescent="0.25">
      <c r="A5878" t="s">
        <v>44</v>
      </c>
      <c r="B5878" t="s">
        <v>51</v>
      </c>
      <c r="C5878" t="s">
        <v>32</v>
      </c>
      <c r="D5878" t="s">
        <v>771</v>
      </c>
      <c r="E5878" t="s">
        <v>6511</v>
      </c>
      <c r="F5878" t="s">
        <v>35</v>
      </c>
      <c r="G5878" t="s">
        <v>35</v>
      </c>
      <c r="H5878" t="s">
        <v>35</v>
      </c>
      <c r="J5878" t="s">
        <v>6516</v>
      </c>
      <c r="K5878" t="s">
        <v>1092</v>
      </c>
      <c r="M5878">
        <v>2</v>
      </c>
      <c r="N5878">
        <v>136</v>
      </c>
      <c r="O5878" t="s">
        <v>38</v>
      </c>
      <c r="Q5878" t="s">
        <v>2121</v>
      </c>
      <c r="R5878" t="s">
        <v>849</v>
      </c>
      <c r="S5878" t="s">
        <v>850</v>
      </c>
      <c r="T5878" t="s">
        <v>851</v>
      </c>
    </row>
    <row r="5879" spans="1:20" x14ac:dyDescent="0.25">
      <c r="A5879" t="s">
        <v>59</v>
      </c>
      <c r="B5879" t="s">
        <v>60</v>
      </c>
      <c r="C5879" t="s">
        <v>32</v>
      </c>
      <c r="D5879" t="s">
        <v>771</v>
      </c>
      <c r="F5879" t="s">
        <v>35</v>
      </c>
      <c r="G5879" t="s">
        <v>35</v>
      </c>
      <c r="H5879" t="s">
        <v>35</v>
      </c>
      <c r="J5879" t="s">
        <v>6687</v>
      </c>
      <c r="K5879" t="s">
        <v>1092</v>
      </c>
      <c r="M5879">
        <v>1.4</v>
      </c>
      <c r="N5879">
        <v>2112</v>
      </c>
      <c r="O5879" t="s">
        <v>575</v>
      </c>
      <c r="Q5879" t="s">
        <v>6688</v>
      </c>
      <c r="R5879" t="s">
        <v>849</v>
      </c>
      <c r="S5879" t="s">
        <v>850</v>
      </c>
      <c r="T5879" t="s">
        <v>851</v>
      </c>
    </row>
    <row r="5880" spans="1:20" x14ac:dyDescent="0.25">
      <c r="A5880" t="s">
        <v>30</v>
      </c>
      <c r="B5880" t="s">
        <v>31</v>
      </c>
      <c r="C5880" t="s">
        <v>32</v>
      </c>
      <c r="D5880" t="s">
        <v>771</v>
      </c>
      <c r="E5880" t="s">
        <v>875</v>
      </c>
      <c r="F5880" t="s">
        <v>35</v>
      </c>
      <c r="G5880" t="s">
        <v>35</v>
      </c>
      <c r="H5880" t="s">
        <v>35</v>
      </c>
      <c r="J5880" t="s">
        <v>6469</v>
      </c>
      <c r="K5880" t="s">
        <v>1092</v>
      </c>
      <c r="M5880">
        <v>7.02</v>
      </c>
      <c r="N5880">
        <v>40</v>
      </c>
      <c r="O5880" t="s">
        <v>52</v>
      </c>
      <c r="Q5880" t="s">
        <v>132</v>
      </c>
      <c r="R5880" t="s">
        <v>849</v>
      </c>
      <c r="S5880" t="s">
        <v>850</v>
      </c>
      <c r="T5880" t="s">
        <v>851</v>
      </c>
    </row>
    <row r="5881" spans="1:20" x14ac:dyDescent="0.25">
      <c r="A5881" t="s">
        <v>30</v>
      </c>
      <c r="B5881" t="s">
        <v>31</v>
      </c>
      <c r="C5881" t="s">
        <v>32</v>
      </c>
      <c r="D5881" t="s">
        <v>771</v>
      </c>
      <c r="E5881" t="s">
        <v>875</v>
      </c>
      <c r="F5881" t="s">
        <v>35</v>
      </c>
      <c r="G5881" t="s">
        <v>35</v>
      </c>
      <c r="H5881" t="s">
        <v>35</v>
      </c>
      <c r="J5881" t="s">
        <v>6469</v>
      </c>
      <c r="K5881" t="s">
        <v>1092</v>
      </c>
      <c r="M5881">
        <v>4.9050000000000002</v>
      </c>
      <c r="N5881">
        <v>110</v>
      </c>
      <c r="O5881" t="s">
        <v>106</v>
      </c>
      <c r="Q5881" t="s">
        <v>3342</v>
      </c>
      <c r="R5881" t="s">
        <v>849</v>
      </c>
      <c r="S5881" t="s">
        <v>850</v>
      </c>
      <c r="T5881" t="s">
        <v>851</v>
      </c>
    </row>
    <row r="5882" spans="1:20" x14ac:dyDescent="0.25">
      <c r="A5882" t="s">
        <v>30</v>
      </c>
      <c r="B5882" t="s">
        <v>31</v>
      </c>
      <c r="C5882" t="s">
        <v>32</v>
      </c>
      <c r="D5882" t="s">
        <v>771</v>
      </c>
      <c r="E5882" t="s">
        <v>910</v>
      </c>
      <c r="F5882" t="s">
        <v>35</v>
      </c>
      <c r="G5882" t="s">
        <v>35</v>
      </c>
      <c r="H5882" t="s">
        <v>35</v>
      </c>
      <c r="J5882" t="s">
        <v>6582</v>
      </c>
      <c r="K5882" t="s">
        <v>1092</v>
      </c>
      <c r="M5882">
        <v>9.99</v>
      </c>
      <c r="N5882">
        <v>40</v>
      </c>
      <c r="O5882" t="s">
        <v>52</v>
      </c>
      <c r="Q5882" t="s">
        <v>132</v>
      </c>
      <c r="R5882" t="s">
        <v>849</v>
      </c>
      <c r="S5882" t="s">
        <v>850</v>
      </c>
      <c r="T5882" t="s">
        <v>851</v>
      </c>
    </row>
    <row r="5883" spans="1:20" x14ac:dyDescent="0.25">
      <c r="A5883" t="s">
        <v>30</v>
      </c>
      <c r="B5883" t="s">
        <v>31</v>
      </c>
      <c r="C5883" t="s">
        <v>32</v>
      </c>
      <c r="D5883" t="s">
        <v>771</v>
      </c>
      <c r="E5883" t="s">
        <v>888</v>
      </c>
      <c r="F5883" t="s">
        <v>35</v>
      </c>
      <c r="G5883" t="s">
        <v>35</v>
      </c>
      <c r="H5883" t="s">
        <v>35</v>
      </c>
      <c r="J5883" t="s">
        <v>6483</v>
      </c>
      <c r="K5883" t="s">
        <v>1092</v>
      </c>
      <c r="M5883">
        <v>6.6150000000000002</v>
      </c>
      <c r="N5883">
        <v>110</v>
      </c>
      <c r="O5883" t="s">
        <v>106</v>
      </c>
      <c r="Q5883" t="s">
        <v>3342</v>
      </c>
      <c r="R5883" t="s">
        <v>849</v>
      </c>
      <c r="S5883" t="s">
        <v>850</v>
      </c>
      <c r="T5883" t="s">
        <v>851</v>
      </c>
    </row>
    <row r="5884" spans="1:20" x14ac:dyDescent="0.25">
      <c r="A5884" t="s">
        <v>30</v>
      </c>
      <c r="B5884" t="s">
        <v>31</v>
      </c>
      <c r="C5884" t="s">
        <v>32</v>
      </c>
      <c r="D5884" t="s">
        <v>771</v>
      </c>
      <c r="E5884" t="s">
        <v>6511</v>
      </c>
      <c r="F5884" t="s">
        <v>35</v>
      </c>
      <c r="G5884" t="s">
        <v>35</v>
      </c>
      <c r="H5884" t="s">
        <v>35</v>
      </c>
      <c r="J5884" t="s">
        <v>6514</v>
      </c>
      <c r="K5884" t="s">
        <v>1092</v>
      </c>
      <c r="M5884">
        <v>4.7699999999999996</v>
      </c>
      <c r="N5884">
        <v>40</v>
      </c>
      <c r="O5884" t="s">
        <v>52</v>
      </c>
      <c r="Q5884" t="s">
        <v>132</v>
      </c>
      <c r="R5884" t="s">
        <v>849</v>
      </c>
      <c r="S5884" t="s">
        <v>850</v>
      </c>
      <c r="T5884" t="s">
        <v>851</v>
      </c>
    </row>
    <row r="5885" spans="1:20" x14ac:dyDescent="0.25">
      <c r="A5885" t="s">
        <v>59</v>
      </c>
      <c r="B5885" t="s">
        <v>31</v>
      </c>
      <c r="C5885" t="s">
        <v>32</v>
      </c>
      <c r="D5885" t="s">
        <v>771</v>
      </c>
      <c r="E5885" t="s">
        <v>910</v>
      </c>
      <c r="F5885" t="s">
        <v>35</v>
      </c>
      <c r="G5885" t="s">
        <v>35</v>
      </c>
      <c r="H5885" t="s">
        <v>35</v>
      </c>
      <c r="J5885" t="s">
        <v>6587</v>
      </c>
      <c r="K5885" t="s">
        <v>1092</v>
      </c>
      <c r="M5885">
        <v>5.67</v>
      </c>
      <c r="N5885">
        <v>82</v>
      </c>
      <c r="O5885" t="s">
        <v>61</v>
      </c>
      <c r="Q5885" t="s">
        <v>299</v>
      </c>
      <c r="R5885" t="s">
        <v>849</v>
      </c>
      <c r="S5885" t="s">
        <v>850</v>
      </c>
      <c r="T5885" t="s">
        <v>851</v>
      </c>
    </row>
    <row r="5886" spans="1:20" x14ac:dyDescent="0.25">
      <c r="A5886" t="s">
        <v>44</v>
      </c>
      <c r="B5886" t="s">
        <v>51</v>
      </c>
      <c r="C5886" t="s">
        <v>32</v>
      </c>
      <c r="D5886" t="s">
        <v>771</v>
      </c>
      <c r="E5886" t="s">
        <v>910</v>
      </c>
      <c r="F5886" t="s">
        <v>35</v>
      </c>
      <c r="G5886" t="s">
        <v>35</v>
      </c>
      <c r="H5886" t="s">
        <v>35</v>
      </c>
      <c r="J5886" t="s">
        <v>6587</v>
      </c>
      <c r="K5886" t="s">
        <v>1092</v>
      </c>
      <c r="M5886">
        <v>7</v>
      </c>
      <c r="N5886">
        <v>67</v>
      </c>
      <c r="O5886" t="s">
        <v>61</v>
      </c>
      <c r="Q5886" t="s">
        <v>488</v>
      </c>
      <c r="R5886" t="s">
        <v>849</v>
      </c>
      <c r="S5886" t="s">
        <v>850</v>
      </c>
      <c r="T5886" t="s">
        <v>851</v>
      </c>
    </row>
    <row r="5887" spans="1:20" x14ac:dyDescent="0.25">
      <c r="A5887" t="s">
        <v>30</v>
      </c>
      <c r="B5887" t="s">
        <v>31</v>
      </c>
      <c r="C5887" t="s">
        <v>32</v>
      </c>
      <c r="D5887" t="s">
        <v>771</v>
      </c>
      <c r="E5887" t="s">
        <v>910</v>
      </c>
      <c r="F5887" t="s">
        <v>35</v>
      </c>
      <c r="G5887" t="s">
        <v>35</v>
      </c>
      <c r="H5887" t="s">
        <v>35</v>
      </c>
      <c r="J5887" t="s">
        <v>6587</v>
      </c>
      <c r="K5887" t="s">
        <v>1092</v>
      </c>
      <c r="M5887">
        <v>14.04</v>
      </c>
      <c r="N5887">
        <v>40</v>
      </c>
      <c r="O5887" t="s">
        <v>52</v>
      </c>
      <c r="Q5887" t="s">
        <v>132</v>
      </c>
      <c r="R5887" t="s">
        <v>849</v>
      </c>
      <c r="S5887" t="s">
        <v>850</v>
      </c>
      <c r="T5887" t="s">
        <v>851</v>
      </c>
    </row>
    <row r="5888" spans="1:20" x14ac:dyDescent="0.25">
      <c r="A5888" t="s">
        <v>30</v>
      </c>
      <c r="B5888" t="s">
        <v>31</v>
      </c>
      <c r="C5888" t="s">
        <v>32</v>
      </c>
      <c r="D5888" t="s">
        <v>771</v>
      </c>
      <c r="E5888" t="s">
        <v>875</v>
      </c>
      <c r="F5888" t="s">
        <v>35</v>
      </c>
      <c r="G5888" t="s">
        <v>35</v>
      </c>
      <c r="H5888" t="s">
        <v>35</v>
      </c>
      <c r="J5888" t="s">
        <v>6443</v>
      </c>
      <c r="K5888" t="s">
        <v>1092</v>
      </c>
      <c r="M5888">
        <v>9.99</v>
      </c>
      <c r="N5888">
        <v>34</v>
      </c>
      <c r="O5888" t="s">
        <v>52</v>
      </c>
      <c r="Q5888" t="s">
        <v>249</v>
      </c>
      <c r="R5888" t="s">
        <v>849</v>
      </c>
      <c r="S5888" t="s">
        <v>850</v>
      </c>
      <c r="T5888" t="s">
        <v>851</v>
      </c>
    </row>
    <row r="5889" spans="1:20" x14ac:dyDescent="0.25">
      <c r="A5889" t="s">
        <v>30</v>
      </c>
      <c r="B5889" t="s">
        <v>31</v>
      </c>
      <c r="C5889" t="s">
        <v>32</v>
      </c>
      <c r="D5889" t="s">
        <v>771</v>
      </c>
      <c r="E5889" t="s">
        <v>875</v>
      </c>
      <c r="F5889" t="s">
        <v>35</v>
      </c>
      <c r="G5889" t="s">
        <v>35</v>
      </c>
      <c r="H5889" t="s">
        <v>35</v>
      </c>
      <c r="J5889" t="s">
        <v>6443</v>
      </c>
      <c r="K5889" t="s">
        <v>1092</v>
      </c>
      <c r="M5889">
        <v>2.0249999999999999</v>
      </c>
      <c r="N5889">
        <v>158</v>
      </c>
      <c r="O5889" t="s">
        <v>38</v>
      </c>
      <c r="Q5889" t="s">
        <v>1548</v>
      </c>
      <c r="R5889" t="s">
        <v>849</v>
      </c>
      <c r="S5889" t="s">
        <v>850</v>
      </c>
      <c r="T5889" t="s">
        <v>851</v>
      </c>
    </row>
    <row r="5890" spans="1:20" x14ac:dyDescent="0.25">
      <c r="A5890" t="s">
        <v>59</v>
      </c>
      <c r="B5890" t="s">
        <v>31</v>
      </c>
      <c r="C5890" t="s">
        <v>32</v>
      </c>
      <c r="D5890" t="s">
        <v>771</v>
      </c>
      <c r="E5890" t="s">
        <v>910</v>
      </c>
      <c r="F5890" t="s">
        <v>35</v>
      </c>
      <c r="G5890" t="s">
        <v>35</v>
      </c>
      <c r="H5890" t="s">
        <v>35</v>
      </c>
      <c r="J5890" t="s">
        <v>6589</v>
      </c>
      <c r="K5890" t="s">
        <v>1092</v>
      </c>
      <c r="M5890">
        <v>1.89</v>
      </c>
      <c r="N5890">
        <v>822</v>
      </c>
      <c r="O5890" t="s">
        <v>575</v>
      </c>
      <c r="Q5890" t="s">
        <v>6590</v>
      </c>
      <c r="R5890" t="s">
        <v>849</v>
      </c>
      <c r="S5890" t="s">
        <v>850</v>
      </c>
      <c r="T5890" t="s">
        <v>851</v>
      </c>
    </row>
    <row r="5891" spans="1:20" x14ac:dyDescent="0.25">
      <c r="A5891" t="s">
        <v>44</v>
      </c>
      <c r="B5891" t="s">
        <v>3</v>
      </c>
      <c r="C5891" t="s">
        <v>32</v>
      </c>
      <c r="D5891" t="s">
        <v>771</v>
      </c>
      <c r="E5891" t="s">
        <v>910</v>
      </c>
      <c r="F5891" t="s">
        <v>35</v>
      </c>
      <c r="G5891" t="s">
        <v>35</v>
      </c>
      <c r="H5891" t="s">
        <v>35</v>
      </c>
      <c r="J5891" t="s">
        <v>6589</v>
      </c>
      <c r="K5891" t="s">
        <v>1092</v>
      </c>
      <c r="M5891">
        <v>0.5</v>
      </c>
      <c r="N5891">
        <v>388</v>
      </c>
      <c r="O5891" t="s">
        <v>294</v>
      </c>
      <c r="Q5891" t="s">
        <v>1713</v>
      </c>
      <c r="R5891" t="s">
        <v>849</v>
      </c>
      <c r="S5891" t="s">
        <v>850</v>
      </c>
      <c r="T5891" t="s">
        <v>851</v>
      </c>
    </row>
    <row r="5892" spans="1:20" x14ac:dyDescent="0.25">
      <c r="A5892" t="s">
        <v>44</v>
      </c>
      <c r="B5892" t="s">
        <v>3</v>
      </c>
      <c r="C5892" t="s">
        <v>32</v>
      </c>
      <c r="D5892" t="s">
        <v>771</v>
      </c>
      <c r="E5892" t="s">
        <v>871</v>
      </c>
      <c r="F5892" t="s">
        <v>35</v>
      </c>
      <c r="G5892" t="s">
        <v>35</v>
      </c>
      <c r="H5892" t="s">
        <v>35</v>
      </c>
      <c r="J5892" t="s">
        <v>6421</v>
      </c>
      <c r="K5892" t="s">
        <v>1092</v>
      </c>
      <c r="M5892">
        <v>0.5</v>
      </c>
      <c r="N5892">
        <v>258</v>
      </c>
      <c r="O5892" t="s">
        <v>5</v>
      </c>
      <c r="Q5892" t="s">
        <v>1754</v>
      </c>
      <c r="R5892" t="s">
        <v>849</v>
      </c>
      <c r="S5892" t="s">
        <v>850</v>
      </c>
      <c r="T5892" t="s">
        <v>851</v>
      </c>
    </row>
    <row r="5893" spans="1:20" x14ac:dyDescent="0.25">
      <c r="A5893" t="s">
        <v>59</v>
      </c>
      <c r="B5893" t="s">
        <v>60</v>
      </c>
      <c r="C5893" t="s">
        <v>32</v>
      </c>
      <c r="D5893" t="s">
        <v>771</v>
      </c>
      <c r="E5893" t="s">
        <v>875</v>
      </c>
      <c r="F5893" t="s">
        <v>35</v>
      </c>
      <c r="G5893" t="s">
        <v>35</v>
      </c>
      <c r="H5893" t="s">
        <v>35</v>
      </c>
      <c r="J5893" t="s">
        <v>6458</v>
      </c>
      <c r="K5893" t="s">
        <v>1092</v>
      </c>
      <c r="M5893">
        <v>1.5</v>
      </c>
      <c r="N5893">
        <v>30</v>
      </c>
      <c r="O5893" t="s">
        <v>46</v>
      </c>
      <c r="Q5893" t="s">
        <v>3499</v>
      </c>
      <c r="R5893" t="s">
        <v>849</v>
      </c>
      <c r="S5893" t="s">
        <v>850</v>
      </c>
      <c r="T5893" t="s">
        <v>851</v>
      </c>
    </row>
    <row r="5894" spans="1:20" x14ac:dyDescent="0.25">
      <c r="A5894" t="s">
        <v>30</v>
      </c>
      <c r="B5894" t="s">
        <v>31</v>
      </c>
      <c r="C5894" t="s">
        <v>32</v>
      </c>
      <c r="D5894" t="s">
        <v>771</v>
      </c>
      <c r="E5894" t="s">
        <v>6214</v>
      </c>
      <c r="F5894" t="s">
        <v>35</v>
      </c>
      <c r="G5894" t="s">
        <v>35</v>
      </c>
      <c r="H5894" t="s">
        <v>35</v>
      </c>
      <c r="J5894" t="s">
        <v>6250</v>
      </c>
      <c r="K5894" t="s">
        <v>1092</v>
      </c>
      <c r="M5894">
        <v>0.22500000000000001</v>
      </c>
      <c r="N5894">
        <v>280</v>
      </c>
      <c r="O5894" t="s">
        <v>5</v>
      </c>
      <c r="Q5894" t="s">
        <v>3688</v>
      </c>
      <c r="R5894" t="s">
        <v>849</v>
      </c>
      <c r="S5894" t="s">
        <v>850</v>
      </c>
      <c r="T5894" t="s">
        <v>851</v>
      </c>
    </row>
    <row r="5895" spans="1:20" x14ac:dyDescent="0.25">
      <c r="A5895" t="s">
        <v>30</v>
      </c>
      <c r="B5895" t="s">
        <v>31</v>
      </c>
      <c r="C5895" t="s">
        <v>32</v>
      </c>
      <c r="D5895" t="s">
        <v>771</v>
      </c>
      <c r="E5895" t="s">
        <v>6261</v>
      </c>
      <c r="F5895" t="s">
        <v>35</v>
      </c>
      <c r="G5895" t="s">
        <v>35</v>
      </c>
      <c r="H5895" t="s">
        <v>35</v>
      </c>
      <c r="J5895" t="s">
        <v>6269</v>
      </c>
      <c r="K5895" t="s">
        <v>1092</v>
      </c>
      <c r="M5895">
        <v>0.76500000000000001</v>
      </c>
      <c r="N5895">
        <v>453</v>
      </c>
      <c r="O5895" t="s">
        <v>294</v>
      </c>
      <c r="Q5895" t="s">
        <v>4042</v>
      </c>
      <c r="R5895" t="s">
        <v>849</v>
      </c>
      <c r="S5895" t="s">
        <v>850</v>
      </c>
      <c r="T5895" t="s">
        <v>851</v>
      </c>
    </row>
    <row r="5896" spans="1:20" x14ac:dyDescent="0.25">
      <c r="A5896" t="s">
        <v>30</v>
      </c>
      <c r="B5896" t="s">
        <v>31</v>
      </c>
      <c r="C5896" t="s">
        <v>32</v>
      </c>
      <c r="D5896" t="s">
        <v>771</v>
      </c>
      <c r="E5896" t="s">
        <v>840</v>
      </c>
      <c r="F5896" t="s">
        <v>35</v>
      </c>
      <c r="G5896" t="s">
        <v>35</v>
      </c>
      <c r="H5896" t="s">
        <v>35</v>
      </c>
      <c r="J5896" t="s">
        <v>6186</v>
      </c>
      <c r="K5896" t="s">
        <v>1092</v>
      </c>
      <c r="M5896">
        <v>4.32</v>
      </c>
      <c r="N5896">
        <v>283</v>
      </c>
      <c r="O5896" t="s">
        <v>5</v>
      </c>
      <c r="Q5896" t="s">
        <v>4463</v>
      </c>
      <c r="R5896" t="s">
        <v>849</v>
      </c>
      <c r="S5896" t="s">
        <v>850</v>
      </c>
      <c r="T5896" t="s">
        <v>851</v>
      </c>
    </row>
    <row r="5897" spans="1:20" x14ac:dyDescent="0.25">
      <c r="A5897" t="s">
        <v>30</v>
      </c>
      <c r="B5897" t="s">
        <v>31</v>
      </c>
      <c r="C5897" t="s">
        <v>32</v>
      </c>
      <c r="D5897" t="s">
        <v>771</v>
      </c>
      <c r="E5897" t="s">
        <v>6261</v>
      </c>
      <c r="F5897" t="s">
        <v>35</v>
      </c>
      <c r="G5897" t="s">
        <v>35</v>
      </c>
      <c r="H5897" t="s">
        <v>35</v>
      </c>
      <c r="J5897" t="s">
        <v>4661</v>
      </c>
      <c r="K5897" t="s">
        <v>1092</v>
      </c>
      <c r="M5897">
        <v>6.0750000000000002</v>
      </c>
      <c r="N5897">
        <v>105</v>
      </c>
      <c r="O5897" t="s">
        <v>106</v>
      </c>
      <c r="Q5897" t="s">
        <v>171</v>
      </c>
      <c r="R5897" t="s">
        <v>849</v>
      </c>
      <c r="S5897" t="s">
        <v>850</v>
      </c>
      <c r="T5897" t="s">
        <v>851</v>
      </c>
    </row>
    <row r="5898" spans="1:20" x14ac:dyDescent="0.25">
      <c r="A5898" t="s">
        <v>30</v>
      </c>
      <c r="B5898" t="s">
        <v>31</v>
      </c>
      <c r="C5898" t="s">
        <v>32</v>
      </c>
      <c r="D5898" t="s">
        <v>771</v>
      </c>
      <c r="E5898" t="s">
        <v>6261</v>
      </c>
      <c r="F5898" t="s">
        <v>35</v>
      </c>
      <c r="G5898" t="s">
        <v>35</v>
      </c>
      <c r="H5898" t="s">
        <v>35</v>
      </c>
      <c r="J5898" t="s">
        <v>6267</v>
      </c>
      <c r="K5898" t="s">
        <v>1092</v>
      </c>
      <c r="M5898">
        <v>2.79</v>
      </c>
      <c r="N5898">
        <v>111</v>
      </c>
      <c r="O5898" t="s">
        <v>106</v>
      </c>
      <c r="Q5898" t="s">
        <v>1469</v>
      </c>
      <c r="R5898" t="s">
        <v>849</v>
      </c>
      <c r="S5898" t="s">
        <v>850</v>
      </c>
      <c r="T5898" t="s">
        <v>851</v>
      </c>
    </row>
    <row r="5899" spans="1:20" x14ac:dyDescent="0.25">
      <c r="A5899" t="s">
        <v>30</v>
      </c>
      <c r="B5899" t="s">
        <v>31</v>
      </c>
      <c r="C5899" t="s">
        <v>32</v>
      </c>
      <c r="D5899" t="s">
        <v>771</v>
      </c>
      <c r="E5899" t="s">
        <v>888</v>
      </c>
      <c r="F5899" t="s">
        <v>35</v>
      </c>
      <c r="G5899" t="s">
        <v>35</v>
      </c>
      <c r="H5899" t="s">
        <v>35</v>
      </c>
      <c r="J5899" t="s">
        <v>6510</v>
      </c>
      <c r="K5899" t="s">
        <v>1092</v>
      </c>
      <c r="M5899">
        <v>2.16</v>
      </c>
      <c r="N5899">
        <v>105</v>
      </c>
      <c r="O5899" t="s">
        <v>106</v>
      </c>
      <c r="Q5899" t="s">
        <v>171</v>
      </c>
      <c r="R5899" t="s">
        <v>849</v>
      </c>
      <c r="S5899" t="s">
        <v>850</v>
      </c>
      <c r="T5899" t="s">
        <v>851</v>
      </c>
    </row>
    <row r="5900" spans="1:20" x14ac:dyDescent="0.25">
      <c r="A5900" t="s">
        <v>30</v>
      </c>
      <c r="B5900" t="s">
        <v>31</v>
      </c>
      <c r="C5900" t="s">
        <v>32</v>
      </c>
      <c r="D5900" t="s">
        <v>771</v>
      </c>
      <c r="E5900" t="s">
        <v>875</v>
      </c>
      <c r="F5900" t="s">
        <v>35</v>
      </c>
      <c r="G5900" t="s">
        <v>35</v>
      </c>
      <c r="H5900" t="s">
        <v>35</v>
      </c>
      <c r="J5900" t="s">
        <v>6441</v>
      </c>
      <c r="K5900" t="s">
        <v>1092</v>
      </c>
      <c r="M5900">
        <v>4.95</v>
      </c>
      <c r="N5900">
        <v>40</v>
      </c>
      <c r="O5900" t="s">
        <v>52</v>
      </c>
      <c r="Q5900" t="s">
        <v>132</v>
      </c>
      <c r="R5900" t="s">
        <v>849</v>
      </c>
      <c r="S5900" t="s">
        <v>850</v>
      </c>
      <c r="T5900" t="s">
        <v>851</v>
      </c>
    </row>
    <row r="5901" spans="1:20" x14ac:dyDescent="0.25">
      <c r="A5901" t="s">
        <v>59</v>
      </c>
      <c r="B5901" t="s">
        <v>31</v>
      </c>
      <c r="C5901" t="s">
        <v>32</v>
      </c>
      <c r="D5901" t="s">
        <v>771</v>
      </c>
      <c r="E5901" t="s">
        <v>6261</v>
      </c>
      <c r="F5901" t="s">
        <v>35</v>
      </c>
      <c r="G5901" t="s">
        <v>35</v>
      </c>
      <c r="H5901" t="s">
        <v>35</v>
      </c>
      <c r="J5901" t="s">
        <v>6266</v>
      </c>
      <c r="K5901" t="s">
        <v>1092</v>
      </c>
      <c r="M5901">
        <v>12.69</v>
      </c>
      <c r="N5901">
        <v>29</v>
      </c>
      <c r="O5901" t="s">
        <v>46</v>
      </c>
      <c r="Q5901" t="s">
        <v>2005</v>
      </c>
      <c r="R5901" t="s">
        <v>849</v>
      </c>
      <c r="S5901" t="s">
        <v>850</v>
      </c>
      <c r="T5901" t="s">
        <v>851</v>
      </c>
    </row>
    <row r="5902" spans="1:20" x14ac:dyDescent="0.25">
      <c r="A5902" t="s">
        <v>59</v>
      </c>
      <c r="B5902" t="s">
        <v>31</v>
      </c>
      <c r="C5902" t="s">
        <v>32</v>
      </c>
      <c r="D5902" t="s">
        <v>771</v>
      </c>
      <c r="E5902" t="s">
        <v>910</v>
      </c>
      <c r="F5902" t="s">
        <v>35</v>
      </c>
      <c r="G5902" t="s">
        <v>35</v>
      </c>
      <c r="H5902" t="s">
        <v>35</v>
      </c>
      <c r="J5902" t="s">
        <v>4072</v>
      </c>
      <c r="K5902" t="s">
        <v>1092</v>
      </c>
      <c r="M5902">
        <v>7.02</v>
      </c>
      <c r="N5902">
        <v>29</v>
      </c>
      <c r="O5902" t="s">
        <v>46</v>
      </c>
      <c r="Q5902" t="s">
        <v>2005</v>
      </c>
      <c r="R5902" t="s">
        <v>849</v>
      </c>
      <c r="S5902" t="s">
        <v>850</v>
      </c>
      <c r="T5902" t="s">
        <v>851</v>
      </c>
    </row>
    <row r="5903" spans="1:20" x14ac:dyDescent="0.25">
      <c r="A5903" t="s">
        <v>59</v>
      </c>
      <c r="B5903" t="s">
        <v>31</v>
      </c>
      <c r="C5903" t="s">
        <v>32</v>
      </c>
      <c r="D5903" t="s">
        <v>771</v>
      </c>
      <c r="E5903" t="s">
        <v>875</v>
      </c>
      <c r="F5903" t="s">
        <v>35</v>
      </c>
      <c r="G5903" t="s">
        <v>35</v>
      </c>
      <c r="H5903" t="s">
        <v>35</v>
      </c>
      <c r="J5903" t="s">
        <v>6442</v>
      </c>
      <c r="K5903" t="s">
        <v>1092</v>
      </c>
      <c r="M5903">
        <v>12.015000000000001</v>
      </c>
      <c r="N5903">
        <v>29</v>
      </c>
      <c r="O5903" t="s">
        <v>46</v>
      </c>
      <c r="Q5903" t="s">
        <v>2005</v>
      </c>
      <c r="R5903" t="s">
        <v>849</v>
      </c>
      <c r="S5903" t="s">
        <v>850</v>
      </c>
      <c r="T5903" t="s">
        <v>851</v>
      </c>
    </row>
    <row r="5904" spans="1:20" x14ac:dyDescent="0.25">
      <c r="A5904" t="s">
        <v>30</v>
      </c>
      <c r="B5904" t="s">
        <v>31</v>
      </c>
      <c r="C5904" t="s">
        <v>32</v>
      </c>
      <c r="D5904" t="s">
        <v>771</v>
      </c>
      <c r="E5904" t="s">
        <v>6214</v>
      </c>
      <c r="F5904" t="s">
        <v>35</v>
      </c>
      <c r="G5904" t="s">
        <v>35</v>
      </c>
      <c r="H5904" t="s">
        <v>35</v>
      </c>
      <c r="J5904" t="s">
        <v>6247</v>
      </c>
      <c r="K5904" t="s">
        <v>1092</v>
      </c>
      <c r="M5904">
        <v>0.94499999999999995</v>
      </c>
      <c r="N5904">
        <v>110</v>
      </c>
      <c r="O5904" t="s">
        <v>106</v>
      </c>
      <c r="Q5904" t="s">
        <v>3342</v>
      </c>
      <c r="R5904" t="s">
        <v>849</v>
      </c>
      <c r="S5904" t="s">
        <v>850</v>
      </c>
      <c r="T5904" t="s">
        <v>851</v>
      </c>
    </row>
    <row r="5905" spans="1:20" x14ac:dyDescent="0.25">
      <c r="A5905" t="s">
        <v>59</v>
      </c>
      <c r="B5905" t="s">
        <v>31</v>
      </c>
      <c r="C5905" t="s">
        <v>32</v>
      </c>
      <c r="D5905" t="s">
        <v>771</v>
      </c>
      <c r="E5905" t="s">
        <v>772</v>
      </c>
      <c r="F5905" t="s">
        <v>35</v>
      </c>
      <c r="G5905" t="s">
        <v>35</v>
      </c>
      <c r="H5905" t="s">
        <v>35</v>
      </c>
      <c r="J5905" t="s">
        <v>6005</v>
      </c>
      <c r="K5905" t="s">
        <v>1092</v>
      </c>
      <c r="M5905">
        <v>12.015000000000001</v>
      </c>
      <c r="N5905">
        <v>29</v>
      </c>
      <c r="O5905" t="s">
        <v>46</v>
      </c>
      <c r="Q5905" t="s">
        <v>2005</v>
      </c>
      <c r="R5905" t="s">
        <v>849</v>
      </c>
      <c r="S5905" t="s">
        <v>850</v>
      </c>
      <c r="T5905" t="s">
        <v>851</v>
      </c>
    </row>
    <row r="5906" spans="1:20" x14ac:dyDescent="0.25">
      <c r="A5906" t="s">
        <v>30</v>
      </c>
      <c r="B5906" t="s">
        <v>31</v>
      </c>
      <c r="C5906" t="s">
        <v>32</v>
      </c>
      <c r="D5906" t="s">
        <v>771</v>
      </c>
      <c r="E5906" t="s">
        <v>6261</v>
      </c>
      <c r="F5906" t="s">
        <v>35</v>
      </c>
      <c r="G5906" t="s">
        <v>35</v>
      </c>
      <c r="H5906" t="s">
        <v>35</v>
      </c>
      <c r="J5906" t="s">
        <v>6275</v>
      </c>
      <c r="K5906" t="s">
        <v>1092</v>
      </c>
      <c r="M5906">
        <v>8.64</v>
      </c>
      <c r="N5906">
        <v>111</v>
      </c>
      <c r="O5906" t="s">
        <v>106</v>
      </c>
      <c r="Q5906" t="s">
        <v>1469</v>
      </c>
      <c r="R5906" t="s">
        <v>849</v>
      </c>
      <c r="S5906" t="s">
        <v>850</v>
      </c>
      <c r="T5906" t="s">
        <v>851</v>
      </c>
    </row>
    <row r="5907" spans="1:20" x14ac:dyDescent="0.25">
      <c r="A5907" t="s">
        <v>59</v>
      </c>
      <c r="B5907" t="s">
        <v>60</v>
      </c>
      <c r="C5907" t="s">
        <v>32</v>
      </c>
      <c r="D5907" t="s">
        <v>771</v>
      </c>
      <c r="E5907" t="s">
        <v>875</v>
      </c>
      <c r="F5907" t="s">
        <v>35</v>
      </c>
      <c r="G5907" t="s">
        <v>35</v>
      </c>
      <c r="H5907" t="s">
        <v>35</v>
      </c>
      <c r="J5907" t="s">
        <v>6464</v>
      </c>
      <c r="K5907" t="s">
        <v>1092</v>
      </c>
      <c r="M5907">
        <v>0.75</v>
      </c>
      <c r="N5907">
        <v>446</v>
      </c>
      <c r="O5907" t="s">
        <v>294</v>
      </c>
      <c r="Q5907" t="s">
        <v>6465</v>
      </c>
      <c r="R5907" t="s">
        <v>849</v>
      </c>
      <c r="S5907" t="s">
        <v>850</v>
      </c>
      <c r="T5907" t="s">
        <v>851</v>
      </c>
    </row>
    <row r="5908" spans="1:20" x14ac:dyDescent="0.25">
      <c r="A5908" t="s">
        <v>30</v>
      </c>
      <c r="B5908" t="s">
        <v>31</v>
      </c>
      <c r="C5908" t="s">
        <v>32</v>
      </c>
      <c r="D5908" t="s">
        <v>771</v>
      </c>
      <c r="E5908" t="s">
        <v>875</v>
      </c>
      <c r="F5908" t="s">
        <v>35</v>
      </c>
      <c r="G5908" t="s">
        <v>35</v>
      </c>
      <c r="H5908" t="s">
        <v>35</v>
      </c>
      <c r="J5908" t="s">
        <v>6464</v>
      </c>
      <c r="K5908" t="s">
        <v>1092</v>
      </c>
      <c r="M5908">
        <v>5.58</v>
      </c>
      <c r="N5908">
        <v>446</v>
      </c>
      <c r="O5908" t="s">
        <v>294</v>
      </c>
      <c r="Q5908" t="s">
        <v>6465</v>
      </c>
      <c r="R5908" t="s">
        <v>849</v>
      </c>
      <c r="S5908" t="s">
        <v>850</v>
      </c>
      <c r="T5908" t="s">
        <v>851</v>
      </c>
    </row>
    <row r="5909" spans="1:20" x14ac:dyDescent="0.25">
      <c r="A5909" t="s">
        <v>30</v>
      </c>
      <c r="B5909" t="s">
        <v>31</v>
      </c>
      <c r="C5909" t="s">
        <v>32</v>
      </c>
      <c r="D5909" t="s">
        <v>771</v>
      </c>
      <c r="E5909" t="s">
        <v>861</v>
      </c>
      <c r="F5909" t="s">
        <v>35</v>
      </c>
      <c r="G5909" t="s">
        <v>35</v>
      </c>
      <c r="H5909" t="s">
        <v>35</v>
      </c>
      <c r="J5909" t="s">
        <v>6298</v>
      </c>
      <c r="K5909" t="s">
        <v>1092</v>
      </c>
      <c r="M5909">
        <v>9.99</v>
      </c>
      <c r="N5909">
        <v>40</v>
      </c>
      <c r="O5909" t="s">
        <v>52</v>
      </c>
      <c r="Q5909" t="s">
        <v>132</v>
      </c>
      <c r="R5909" t="s">
        <v>849</v>
      </c>
      <c r="S5909" t="s">
        <v>850</v>
      </c>
      <c r="T5909" t="s">
        <v>851</v>
      </c>
    </row>
    <row r="5910" spans="1:20" x14ac:dyDescent="0.25">
      <c r="A5910" t="s">
        <v>30</v>
      </c>
      <c r="B5910" t="s">
        <v>31</v>
      </c>
      <c r="C5910" t="s">
        <v>32</v>
      </c>
      <c r="D5910" t="s">
        <v>771</v>
      </c>
      <c r="E5910" t="s">
        <v>888</v>
      </c>
      <c r="F5910" t="s">
        <v>35</v>
      </c>
      <c r="G5910" t="s">
        <v>35</v>
      </c>
      <c r="H5910" t="s">
        <v>35</v>
      </c>
      <c r="J5910" t="s">
        <v>6493</v>
      </c>
      <c r="K5910" t="s">
        <v>1092</v>
      </c>
      <c r="M5910">
        <v>3.87</v>
      </c>
      <c r="N5910">
        <v>105</v>
      </c>
      <c r="O5910" t="s">
        <v>106</v>
      </c>
      <c r="Q5910" t="s">
        <v>171</v>
      </c>
      <c r="R5910" t="s">
        <v>849</v>
      </c>
      <c r="S5910" t="s">
        <v>850</v>
      </c>
      <c r="T5910" t="s">
        <v>851</v>
      </c>
    </row>
    <row r="5911" spans="1:20" x14ac:dyDescent="0.25">
      <c r="A5911" t="s">
        <v>59</v>
      </c>
      <c r="B5911" t="s">
        <v>31</v>
      </c>
      <c r="C5911" t="s">
        <v>32</v>
      </c>
      <c r="D5911" t="s">
        <v>771</v>
      </c>
      <c r="E5911" t="s">
        <v>871</v>
      </c>
      <c r="F5911" t="s">
        <v>35</v>
      </c>
      <c r="G5911" t="s">
        <v>35</v>
      </c>
      <c r="H5911" t="s">
        <v>35</v>
      </c>
      <c r="J5911" t="s">
        <v>6416</v>
      </c>
      <c r="K5911" t="s">
        <v>1092</v>
      </c>
      <c r="M5911">
        <v>3.87</v>
      </c>
      <c r="N5911">
        <v>147</v>
      </c>
      <c r="O5911" t="s">
        <v>38</v>
      </c>
      <c r="Q5911" t="s">
        <v>3398</v>
      </c>
      <c r="R5911" t="s">
        <v>849</v>
      </c>
      <c r="S5911" t="s">
        <v>850</v>
      </c>
      <c r="T5911" t="s">
        <v>851</v>
      </c>
    </row>
    <row r="5912" spans="1:20" x14ac:dyDescent="0.25">
      <c r="A5912" t="s">
        <v>30</v>
      </c>
      <c r="B5912" t="s">
        <v>31</v>
      </c>
      <c r="C5912" t="s">
        <v>32</v>
      </c>
      <c r="D5912" t="s">
        <v>771</v>
      </c>
      <c r="E5912" t="s">
        <v>840</v>
      </c>
      <c r="F5912" t="s">
        <v>35</v>
      </c>
      <c r="G5912" t="s">
        <v>35</v>
      </c>
      <c r="H5912" t="s">
        <v>35</v>
      </c>
      <c r="J5912" t="s">
        <v>6187</v>
      </c>
      <c r="K5912" t="s">
        <v>1092</v>
      </c>
      <c r="M5912">
        <v>10.215</v>
      </c>
      <c r="N5912">
        <v>34</v>
      </c>
      <c r="O5912" t="s">
        <v>52</v>
      </c>
      <c r="Q5912" t="s">
        <v>249</v>
      </c>
      <c r="R5912" t="s">
        <v>849</v>
      </c>
      <c r="S5912" t="s">
        <v>850</v>
      </c>
      <c r="T5912" t="s">
        <v>851</v>
      </c>
    </row>
    <row r="5913" spans="1:20" x14ac:dyDescent="0.25">
      <c r="A5913" t="s">
        <v>30</v>
      </c>
      <c r="B5913" t="s">
        <v>31</v>
      </c>
      <c r="C5913" t="s">
        <v>32</v>
      </c>
      <c r="D5913" t="s">
        <v>771</v>
      </c>
      <c r="E5913" t="s">
        <v>6093</v>
      </c>
      <c r="F5913" t="s">
        <v>35</v>
      </c>
      <c r="G5913" t="s">
        <v>35</v>
      </c>
      <c r="H5913" t="s">
        <v>35</v>
      </c>
      <c r="J5913" t="s">
        <v>6125</v>
      </c>
      <c r="K5913" t="s">
        <v>1092</v>
      </c>
      <c r="M5913">
        <v>1.2150000000000001</v>
      </c>
      <c r="N5913">
        <v>34</v>
      </c>
      <c r="O5913" t="s">
        <v>52</v>
      </c>
      <c r="Q5913" t="s">
        <v>249</v>
      </c>
      <c r="R5913" t="s">
        <v>849</v>
      </c>
      <c r="S5913" t="s">
        <v>850</v>
      </c>
      <c r="T5913" t="s">
        <v>851</v>
      </c>
    </row>
    <row r="5914" spans="1:20" x14ac:dyDescent="0.25">
      <c r="A5914" t="s">
        <v>59</v>
      </c>
      <c r="B5914" t="s">
        <v>31</v>
      </c>
      <c r="C5914" t="s">
        <v>32</v>
      </c>
      <c r="D5914" t="s">
        <v>771</v>
      </c>
      <c r="E5914" t="s">
        <v>865</v>
      </c>
      <c r="F5914" t="s">
        <v>35</v>
      </c>
      <c r="G5914" t="s">
        <v>35</v>
      </c>
      <c r="H5914" t="s">
        <v>35</v>
      </c>
      <c r="J5914" t="s">
        <v>6374</v>
      </c>
      <c r="K5914" t="s">
        <v>1092</v>
      </c>
      <c r="M5914">
        <v>7.02</v>
      </c>
      <c r="N5914">
        <v>454</v>
      </c>
      <c r="O5914" t="s">
        <v>294</v>
      </c>
      <c r="Q5914" t="s">
        <v>1509</v>
      </c>
      <c r="R5914" t="s">
        <v>849</v>
      </c>
      <c r="S5914" t="s">
        <v>850</v>
      </c>
      <c r="T5914" t="s">
        <v>851</v>
      </c>
    </row>
    <row r="5915" spans="1:20" x14ac:dyDescent="0.25">
      <c r="A5915" t="s">
        <v>59</v>
      </c>
      <c r="B5915" t="s">
        <v>31</v>
      </c>
      <c r="C5915" t="s">
        <v>32</v>
      </c>
      <c r="D5915" t="s">
        <v>771</v>
      </c>
      <c r="E5915" t="s">
        <v>865</v>
      </c>
      <c r="F5915" t="s">
        <v>35</v>
      </c>
      <c r="G5915" t="s">
        <v>35</v>
      </c>
      <c r="H5915" t="s">
        <v>35</v>
      </c>
      <c r="J5915" t="s">
        <v>6374</v>
      </c>
      <c r="K5915" t="s">
        <v>1092</v>
      </c>
      <c r="M5915">
        <v>5.13</v>
      </c>
      <c r="N5915">
        <v>511</v>
      </c>
      <c r="O5915" t="s">
        <v>294</v>
      </c>
      <c r="Q5915" t="s">
        <v>6375</v>
      </c>
      <c r="R5915" t="s">
        <v>849</v>
      </c>
      <c r="S5915" t="s">
        <v>850</v>
      </c>
      <c r="T5915" t="s">
        <v>851</v>
      </c>
    </row>
    <row r="5916" spans="1:20" x14ac:dyDescent="0.25">
      <c r="A5916" t="s">
        <v>59</v>
      </c>
      <c r="B5916" t="s">
        <v>60</v>
      </c>
      <c r="C5916" t="s">
        <v>32</v>
      </c>
      <c r="D5916" t="s">
        <v>771</v>
      </c>
      <c r="E5916" t="s">
        <v>865</v>
      </c>
      <c r="F5916" t="s">
        <v>35</v>
      </c>
      <c r="G5916" t="s">
        <v>35</v>
      </c>
      <c r="H5916" t="s">
        <v>35</v>
      </c>
      <c r="J5916" t="s">
        <v>6374</v>
      </c>
      <c r="K5916" t="s">
        <v>1092</v>
      </c>
      <c r="M5916">
        <v>0.5</v>
      </c>
      <c r="N5916">
        <v>454</v>
      </c>
      <c r="O5916" t="s">
        <v>294</v>
      </c>
      <c r="Q5916" t="s">
        <v>1509</v>
      </c>
      <c r="R5916" t="s">
        <v>849</v>
      </c>
      <c r="S5916" t="s">
        <v>850</v>
      </c>
      <c r="T5916" t="s">
        <v>851</v>
      </c>
    </row>
    <row r="5917" spans="1:20" x14ac:dyDescent="0.25">
      <c r="A5917" t="s">
        <v>30</v>
      </c>
      <c r="B5917" t="s">
        <v>31</v>
      </c>
      <c r="C5917" t="s">
        <v>32</v>
      </c>
      <c r="D5917" t="s">
        <v>771</v>
      </c>
      <c r="E5917" t="s">
        <v>6175</v>
      </c>
      <c r="F5917" t="s">
        <v>35</v>
      </c>
      <c r="G5917" t="s">
        <v>35</v>
      </c>
      <c r="H5917" t="s">
        <v>35</v>
      </c>
      <c r="J5917" t="s">
        <v>6177</v>
      </c>
      <c r="K5917" t="s">
        <v>1092</v>
      </c>
      <c r="M5917">
        <v>1.62</v>
      </c>
      <c r="N5917">
        <v>277</v>
      </c>
      <c r="O5917" t="s">
        <v>5</v>
      </c>
      <c r="Q5917" t="s">
        <v>1220</v>
      </c>
      <c r="R5917" t="s">
        <v>849</v>
      </c>
      <c r="S5917" t="s">
        <v>850</v>
      </c>
      <c r="T5917" t="s">
        <v>851</v>
      </c>
    </row>
    <row r="5918" spans="1:20" x14ac:dyDescent="0.25">
      <c r="A5918" t="s">
        <v>59</v>
      </c>
      <c r="B5918" t="s">
        <v>31</v>
      </c>
      <c r="C5918" t="s">
        <v>32</v>
      </c>
      <c r="D5918" t="s">
        <v>771</v>
      </c>
      <c r="E5918" t="s">
        <v>910</v>
      </c>
      <c r="F5918" t="s">
        <v>35</v>
      </c>
      <c r="G5918" t="s">
        <v>35</v>
      </c>
      <c r="H5918" t="s">
        <v>35</v>
      </c>
      <c r="J5918" t="s">
        <v>6593</v>
      </c>
      <c r="K5918" t="s">
        <v>1092</v>
      </c>
      <c r="M5918">
        <v>2.2050000000000001</v>
      </c>
      <c r="N5918">
        <v>118</v>
      </c>
      <c r="O5918" t="s">
        <v>106</v>
      </c>
      <c r="Q5918" t="s">
        <v>1954</v>
      </c>
      <c r="R5918" t="s">
        <v>849</v>
      </c>
      <c r="S5918" t="s">
        <v>850</v>
      </c>
      <c r="T5918" t="s">
        <v>851</v>
      </c>
    </row>
    <row r="5919" spans="1:20" x14ac:dyDescent="0.25">
      <c r="A5919" t="s">
        <v>44</v>
      </c>
      <c r="B5919" t="s">
        <v>3</v>
      </c>
      <c r="C5919" t="s">
        <v>32</v>
      </c>
      <c r="D5919" t="s">
        <v>771</v>
      </c>
      <c r="E5919" t="s">
        <v>910</v>
      </c>
      <c r="F5919" t="s">
        <v>35</v>
      </c>
      <c r="G5919" t="s">
        <v>35</v>
      </c>
      <c r="H5919" t="s">
        <v>35</v>
      </c>
      <c r="J5919" t="s">
        <v>6593</v>
      </c>
      <c r="K5919" t="s">
        <v>1092</v>
      </c>
      <c r="M5919">
        <v>0.25</v>
      </c>
      <c r="N5919">
        <v>208</v>
      </c>
      <c r="O5919" t="s">
        <v>5</v>
      </c>
      <c r="Q5919" t="s">
        <v>3122</v>
      </c>
      <c r="R5919" t="s">
        <v>849</v>
      </c>
      <c r="S5919" t="s">
        <v>850</v>
      </c>
      <c r="T5919" t="s">
        <v>851</v>
      </c>
    </row>
    <row r="5920" spans="1:20" x14ac:dyDescent="0.25">
      <c r="A5920" t="s">
        <v>30</v>
      </c>
      <c r="B5920" t="s">
        <v>31</v>
      </c>
      <c r="C5920" t="s">
        <v>32</v>
      </c>
      <c r="D5920" t="s">
        <v>771</v>
      </c>
      <c r="E5920" t="s">
        <v>910</v>
      </c>
      <c r="F5920" t="s">
        <v>35</v>
      </c>
      <c r="G5920" t="s">
        <v>35</v>
      </c>
      <c r="H5920" t="s">
        <v>35</v>
      </c>
      <c r="J5920" t="s">
        <v>6593</v>
      </c>
      <c r="K5920" t="s">
        <v>1092</v>
      </c>
      <c r="M5920">
        <v>4.8600000000000003</v>
      </c>
      <c r="N5920">
        <v>40</v>
      </c>
      <c r="O5920" t="s">
        <v>52</v>
      </c>
      <c r="Q5920" t="s">
        <v>132</v>
      </c>
      <c r="R5920" t="s">
        <v>849</v>
      </c>
      <c r="S5920" t="s">
        <v>850</v>
      </c>
      <c r="T5920" t="s">
        <v>851</v>
      </c>
    </row>
    <row r="5921" spans="1:20" x14ac:dyDescent="0.25">
      <c r="A5921" t="s">
        <v>59</v>
      </c>
      <c r="B5921" t="s">
        <v>60</v>
      </c>
      <c r="C5921" t="s">
        <v>32</v>
      </c>
      <c r="D5921" t="s">
        <v>771</v>
      </c>
      <c r="E5921" t="s">
        <v>871</v>
      </c>
      <c r="F5921" t="s">
        <v>35</v>
      </c>
      <c r="G5921" t="s">
        <v>35</v>
      </c>
      <c r="H5921" t="s">
        <v>35</v>
      </c>
      <c r="J5921" t="s">
        <v>6411</v>
      </c>
      <c r="K5921" t="s">
        <v>1092</v>
      </c>
      <c r="M5921">
        <v>0.5</v>
      </c>
      <c r="N5921">
        <v>82</v>
      </c>
      <c r="O5921" t="s">
        <v>61</v>
      </c>
      <c r="Q5921" t="s">
        <v>299</v>
      </c>
      <c r="R5921" t="s">
        <v>849</v>
      </c>
      <c r="S5921" t="s">
        <v>850</v>
      </c>
      <c r="T5921" t="s">
        <v>851</v>
      </c>
    </row>
    <row r="5922" spans="1:20" x14ac:dyDescent="0.25">
      <c r="A5922" t="s">
        <v>30</v>
      </c>
      <c r="B5922" t="s">
        <v>31</v>
      </c>
      <c r="C5922" t="s">
        <v>32</v>
      </c>
      <c r="D5922" t="s">
        <v>771</v>
      </c>
      <c r="E5922" t="s">
        <v>6631</v>
      </c>
      <c r="F5922" t="s">
        <v>35</v>
      </c>
      <c r="G5922" t="s">
        <v>35</v>
      </c>
      <c r="H5922" t="s">
        <v>35</v>
      </c>
      <c r="J5922" t="s">
        <v>6634</v>
      </c>
      <c r="K5922" t="s">
        <v>1092</v>
      </c>
      <c r="M5922">
        <v>5.085</v>
      </c>
      <c r="N5922">
        <v>98</v>
      </c>
      <c r="O5922" t="s">
        <v>106</v>
      </c>
      <c r="Q5922" t="s">
        <v>4971</v>
      </c>
      <c r="R5922" t="s">
        <v>849</v>
      </c>
      <c r="S5922" t="s">
        <v>850</v>
      </c>
      <c r="T5922" t="s">
        <v>851</v>
      </c>
    </row>
    <row r="5923" spans="1:20" x14ac:dyDescent="0.25">
      <c r="A5923" t="s">
        <v>30</v>
      </c>
      <c r="B5923" t="s">
        <v>31</v>
      </c>
      <c r="C5923" t="s">
        <v>32</v>
      </c>
      <c r="D5923" t="s">
        <v>771</v>
      </c>
      <c r="E5923" t="s">
        <v>910</v>
      </c>
      <c r="F5923" t="s">
        <v>35</v>
      </c>
      <c r="G5923" t="s">
        <v>35</v>
      </c>
      <c r="H5923" t="s">
        <v>35</v>
      </c>
      <c r="J5923" t="s">
        <v>6574</v>
      </c>
      <c r="K5923" t="s">
        <v>1092</v>
      </c>
      <c r="M5923">
        <v>2.0249999999999999</v>
      </c>
      <c r="N5923">
        <v>40</v>
      </c>
      <c r="O5923" t="s">
        <v>52</v>
      </c>
      <c r="Q5923" t="s">
        <v>132</v>
      </c>
      <c r="R5923" t="s">
        <v>849</v>
      </c>
      <c r="S5923" t="s">
        <v>850</v>
      </c>
      <c r="T5923" t="s">
        <v>851</v>
      </c>
    </row>
    <row r="5924" spans="1:20" x14ac:dyDescent="0.25">
      <c r="A5924" t="s">
        <v>30</v>
      </c>
      <c r="B5924" t="s">
        <v>31</v>
      </c>
      <c r="C5924" t="s">
        <v>32</v>
      </c>
      <c r="D5924" t="s">
        <v>771</v>
      </c>
      <c r="E5924" t="s">
        <v>875</v>
      </c>
      <c r="F5924" t="s">
        <v>35</v>
      </c>
      <c r="G5924" t="s">
        <v>35</v>
      </c>
      <c r="H5924" t="s">
        <v>35</v>
      </c>
      <c r="J5924" t="s">
        <v>6474</v>
      </c>
      <c r="K5924" t="s">
        <v>1092</v>
      </c>
      <c r="M5924">
        <v>9.1349999999999998</v>
      </c>
      <c r="N5924">
        <v>40</v>
      </c>
      <c r="O5924" t="s">
        <v>52</v>
      </c>
      <c r="Q5924" t="s">
        <v>132</v>
      </c>
      <c r="R5924" t="s">
        <v>849</v>
      </c>
      <c r="S5924" t="s">
        <v>850</v>
      </c>
      <c r="T5924" t="s">
        <v>851</v>
      </c>
    </row>
    <row r="5925" spans="1:20" x14ac:dyDescent="0.25">
      <c r="A5925" t="s">
        <v>30</v>
      </c>
      <c r="B5925" t="s">
        <v>31</v>
      </c>
      <c r="C5925" t="s">
        <v>32</v>
      </c>
      <c r="D5925" t="s">
        <v>771</v>
      </c>
      <c r="F5925" t="s">
        <v>35</v>
      </c>
      <c r="G5925" t="s">
        <v>35</v>
      </c>
      <c r="H5925" t="s">
        <v>35</v>
      </c>
      <c r="J5925" t="s">
        <v>6648</v>
      </c>
      <c r="K5925" t="s">
        <v>1144</v>
      </c>
      <c r="M5925">
        <v>9.99</v>
      </c>
      <c r="N5925">
        <v>40</v>
      </c>
      <c r="O5925" t="s">
        <v>52</v>
      </c>
      <c r="Q5925" t="s">
        <v>132</v>
      </c>
      <c r="R5925" t="s">
        <v>849</v>
      </c>
      <c r="S5925" t="s">
        <v>850</v>
      </c>
      <c r="T5925" t="s">
        <v>851</v>
      </c>
    </row>
    <row r="5926" spans="1:20" x14ac:dyDescent="0.25">
      <c r="A5926" t="s">
        <v>30</v>
      </c>
      <c r="B5926" t="s">
        <v>31</v>
      </c>
      <c r="C5926" t="s">
        <v>32</v>
      </c>
      <c r="D5926" t="s">
        <v>771</v>
      </c>
      <c r="E5926" t="s">
        <v>6093</v>
      </c>
      <c r="F5926" t="s">
        <v>35</v>
      </c>
      <c r="G5926" t="s">
        <v>35</v>
      </c>
      <c r="H5926" t="s">
        <v>35</v>
      </c>
      <c r="J5926" t="s">
        <v>6109</v>
      </c>
      <c r="K5926" t="s">
        <v>1092</v>
      </c>
      <c r="M5926">
        <v>6.3449999999999998</v>
      </c>
      <c r="N5926">
        <v>34</v>
      </c>
      <c r="O5926" t="s">
        <v>52</v>
      </c>
      <c r="Q5926" t="s">
        <v>249</v>
      </c>
      <c r="R5926" t="s">
        <v>849</v>
      </c>
      <c r="S5926" t="s">
        <v>850</v>
      </c>
      <c r="T5926" t="s">
        <v>851</v>
      </c>
    </row>
    <row r="5927" spans="1:20" x14ac:dyDescent="0.25">
      <c r="A5927" t="s">
        <v>59</v>
      </c>
      <c r="B5927" t="s">
        <v>31</v>
      </c>
      <c r="C5927" t="s">
        <v>32</v>
      </c>
      <c r="D5927" t="s">
        <v>771</v>
      </c>
      <c r="E5927" t="s">
        <v>6319</v>
      </c>
      <c r="F5927" t="s">
        <v>35</v>
      </c>
      <c r="G5927" t="s">
        <v>35</v>
      </c>
      <c r="H5927" t="s">
        <v>35</v>
      </c>
      <c r="J5927" t="s">
        <v>6328</v>
      </c>
      <c r="K5927" t="s">
        <v>1092</v>
      </c>
      <c r="M5927">
        <v>7.02</v>
      </c>
      <c r="N5927">
        <v>82</v>
      </c>
      <c r="O5927" t="s">
        <v>61</v>
      </c>
      <c r="Q5927" t="s">
        <v>299</v>
      </c>
      <c r="R5927" t="s">
        <v>849</v>
      </c>
      <c r="S5927" t="s">
        <v>850</v>
      </c>
      <c r="T5927" t="s">
        <v>851</v>
      </c>
    </row>
    <row r="5928" spans="1:20" x14ac:dyDescent="0.25">
      <c r="A5928" t="s">
        <v>30</v>
      </c>
      <c r="B5928" t="s">
        <v>31</v>
      </c>
      <c r="C5928" t="s">
        <v>32</v>
      </c>
      <c r="D5928" t="s">
        <v>771</v>
      </c>
      <c r="E5928" t="s">
        <v>840</v>
      </c>
      <c r="F5928" t="s">
        <v>35</v>
      </c>
      <c r="G5928" t="s">
        <v>35</v>
      </c>
      <c r="H5928" t="s">
        <v>35</v>
      </c>
      <c r="J5928" t="s">
        <v>6193</v>
      </c>
      <c r="K5928" t="s">
        <v>1092</v>
      </c>
      <c r="M5928">
        <v>4.1399999999999997</v>
      </c>
      <c r="N5928">
        <v>85</v>
      </c>
      <c r="O5928" t="s">
        <v>61</v>
      </c>
      <c r="Q5928" t="s">
        <v>1100</v>
      </c>
      <c r="R5928" t="s">
        <v>849</v>
      </c>
      <c r="S5928" t="s">
        <v>850</v>
      </c>
      <c r="T5928" t="s">
        <v>851</v>
      </c>
    </row>
    <row r="5929" spans="1:20" x14ac:dyDescent="0.25">
      <c r="A5929" t="s">
        <v>44</v>
      </c>
      <c r="B5929" t="s">
        <v>3</v>
      </c>
      <c r="C5929" t="s">
        <v>32</v>
      </c>
      <c r="D5929" t="s">
        <v>771</v>
      </c>
      <c r="E5929" t="s">
        <v>875</v>
      </c>
      <c r="F5929" t="s">
        <v>35</v>
      </c>
      <c r="G5929" t="s">
        <v>35</v>
      </c>
      <c r="H5929" t="s">
        <v>35</v>
      </c>
      <c r="J5929" t="s">
        <v>6454</v>
      </c>
      <c r="K5929" t="s">
        <v>1092</v>
      </c>
      <c r="M5929">
        <v>0.65</v>
      </c>
      <c r="N5929">
        <v>251</v>
      </c>
      <c r="O5929" t="s">
        <v>5</v>
      </c>
      <c r="Q5929" t="s">
        <v>5051</v>
      </c>
      <c r="R5929" t="s">
        <v>849</v>
      </c>
      <c r="S5929" t="s">
        <v>850</v>
      </c>
      <c r="T5929" t="s">
        <v>851</v>
      </c>
    </row>
    <row r="5930" spans="1:20" x14ac:dyDescent="0.25">
      <c r="A5930" t="s">
        <v>59</v>
      </c>
      <c r="B5930" t="s">
        <v>60</v>
      </c>
      <c r="C5930" t="s">
        <v>32</v>
      </c>
      <c r="D5930" t="s">
        <v>771</v>
      </c>
      <c r="E5930" t="s">
        <v>888</v>
      </c>
      <c r="F5930" t="s">
        <v>35</v>
      </c>
      <c r="G5930" t="s">
        <v>35</v>
      </c>
      <c r="H5930" t="s">
        <v>35</v>
      </c>
      <c r="J5930" t="s">
        <v>6502</v>
      </c>
      <c r="K5930" t="s">
        <v>1092</v>
      </c>
      <c r="M5930">
        <v>0.35</v>
      </c>
      <c r="N5930">
        <v>331</v>
      </c>
      <c r="O5930" t="s">
        <v>5</v>
      </c>
      <c r="Q5930" t="s">
        <v>4608</v>
      </c>
      <c r="R5930" t="s">
        <v>849</v>
      </c>
      <c r="S5930" t="s">
        <v>850</v>
      </c>
      <c r="T5930" t="s">
        <v>851</v>
      </c>
    </row>
    <row r="5931" spans="1:20" x14ac:dyDescent="0.25">
      <c r="A5931" t="s">
        <v>30</v>
      </c>
      <c r="B5931" t="s">
        <v>31</v>
      </c>
      <c r="C5931" t="s">
        <v>32</v>
      </c>
      <c r="D5931" t="s">
        <v>771</v>
      </c>
      <c r="E5931" t="s">
        <v>875</v>
      </c>
      <c r="F5931" t="s">
        <v>35</v>
      </c>
      <c r="G5931" t="s">
        <v>35</v>
      </c>
      <c r="H5931" t="s">
        <v>35</v>
      </c>
      <c r="J5931" t="s">
        <v>6479</v>
      </c>
      <c r="K5931" t="s">
        <v>1092</v>
      </c>
      <c r="M5931">
        <v>6.75</v>
      </c>
      <c r="N5931">
        <v>20</v>
      </c>
      <c r="O5931" t="s">
        <v>46</v>
      </c>
      <c r="Q5931" t="s">
        <v>1011</v>
      </c>
      <c r="R5931" t="s">
        <v>849</v>
      </c>
      <c r="S5931" t="s">
        <v>850</v>
      </c>
      <c r="T5931" t="s">
        <v>851</v>
      </c>
    </row>
    <row r="5932" spans="1:20" x14ac:dyDescent="0.25">
      <c r="A5932" t="s">
        <v>59</v>
      </c>
      <c r="B5932" t="s">
        <v>31</v>
      </c>
      <c r="C5932" t="s">
        <v>32</v>
      </c>
      <c r="D5932" t="s">
        <v>771</v>
      </c>
      <c r="E5932" t="s">
        <v>875</v>
      </c>
      <c r="F5932" t="s">
        <v>35</v>
      </c>
      <c r="G5932" t="s">
        <v>35</v>
      </c>
      <c r="H5932" t="s">
        <v>35</v>
      </c>
      <c r="J5932" t="s">
        <v>6479</v>
      </c>
      <c r="K5932" t="s">
        <v>1092</v>
      </c>
      <c r="M5932">
        <v>1.3049999999999999</v>
      </c>
      <c r="N5932">
        <v>405</v>
      </c>
      <c r="O5932" t="s">
        <v>294</v>
      </c>
      <c r="Q5932" t="s">
        <v>3472</v>
      </c>
      <c r="R5932" t="s">
        <v>849</v>
      </c>
      <c r="S5932" t="s">
        <v>850</v>
      </c>
      <c r="T5932" t="s">
        <v>851</v>
      </c>
    </row>
    <row r="5933" spans="1:20" x14ac:dyDescent="0.25">
      <c r="A5933" t="s">
        <v>44</v>
      </c>
      <c r="B5933" t="s">
        <v>3</v>
      </c>
      <c r="C5933" t="s">
        <v>32</v>
      </c>
      <c r="D5933" t="s">
        <v>771</v>
      </c>
      <c r="E5933" t="s">
        <v>875</v>
      </c>
      <c r="F5933" t="s">
        <v>35</v>
      </c>
      <c r="G5933" t="s">
        <v>35</v>
      </c>
      <c r="H5933" t="s">
        <v>35</v>
      </c>
      <c r="J5933" t="s">
        <v>6479</v>
      </c>
      <c r="K5933" t="s">
        <v>1092</v>
      </c>
      <c r="M5933">
        <v>0.4</v>
      </c>
      <c r="N5933">
        <v>269</v>
      </c>
      <c r="O5933" t="s">
        <v>5</v>
      </c>
      <c r="Q5933" t="s">
        <v>1952</v>
      </c>
      <c r="R5933" t="s">
        <v>849</v>
      </c>
      <c r="S5933" t="s">
        <v>850</v>
      </c>
      <c r="T5933" t="s">
        <v>851</v>
      </c>
    </row>
    <row r="5934" spans="1:20" x14ac:dyDescent="0.25">
      <c r="A5934" t="s">
        <v>59</v>
      </c>
      <c r="B5934" t="s">
        <v>31</v>
      </c>
      <c r="C5934" t="s">
        <v>32</v>
      </c>
      <c r="D5934" t="s">
        <v>771</v>
      </c>
      <c r="E5934" t="s">
        <v>875</v>
      </c>
      <c r="F5934" t="s">
        <v>35</v>
      </c>
      <c r="G5934" t="s">
        <v>35</v>
      </c>
      <c r="H5934" t="s">
        <v>35</v>
      </c>
      <c r="J5934" t="s">
        <v>6479</v>
      </c>
      <c r="K5934" t="s">
        <v>1092</v>
      </c>
      <c r="M5934">
        <v>2.0249999999999999</v>
      </c>
      <c r="N5934">
        <v>136</v>
      </c>
      <c r="O5934" t="s">
        <v>38</v>
      </c>
      <c r="Q5934" t="s">
        <v>2121</v>
      </c>
      <c r="R5934" t="s">
        <v>849</v>
      </c>
      <c r="S5934" t="s">
        <v>850</v>
      </c>
      <c r="T5934" t="s">
        <v>851</v>
      </c>
    </row>
    <row r="5935" spans="1:20" x14ac:dyDescent="0.25">
      <c r="A5935" t="s">
        <v>59</v>
      </c>
      <c r="B5935" t="s">
        <v>31</v>
      </c>
      <c r="C5935" t="s">
        <v>32</v>
      </c>
      <c r="D5935" t="s">
        <v>771</v>
      </c>
      <c r="E5935" t="s">
        <v>6319</v>
      </c>
      <c r="F5935" t="s">
        <v>35</v>
      </c>
      <c r="G5935" t="s">
        <v>35</v>
      </c>
      <c r="H5935" t="s">
        <v>35</v>
      </c>
      <c r="J5935" t="s">
        <v>6335</v>
      </c>
      <c r="K5935" t="s">
        <v>1092</v>
      </c>
      <c r="M5935">
        <v>3.51</v>
      </c>
      <c r="N5935">
        <v>29</v>
      </c>
      <c r="O5935" t="s">
        <v>46</v>
      </c>
      <c r="Q5935" t="s">
        <v>2005</v>
      </c>
      <c r="R5935" t="s">
        <v>849</v>
      </c>
      <c r="S5935" t="s">
        <v>850</v>
      </c>
      <c r="T5935" t="s">
        <v>851</v>
      </c>
    </row>
    <row r="5936" spans="1:20" x14ac:dyDescent="0.25">
      <c r="A5936" t="s">
        <v>59</v>
      </c>
      <c r="B5936" t="s">
        <v>31</v>
      </c>
      <c r="C5936" t="s">
        <v>32</v>
      </c>
      <c r="D5936" t="s">
        <v>771</v>
      </c>
      <c r="E5936" t="s">
        <v>6319</v>
      </c>
      <c r="F5936" t="s">
        <v>35</v>
      </c>
      <c r="G5936" t="s">
        <v>35</v>
      </c>
      <c r="H5936" t="s">
        <v>35</v>
      </c>
      <c r="J5936" t="s">
        <v>6335</v>
      </c>
      <c r="K5936" t="s">
        <v>1092</v>
      </c>
      <c r="M5936">
        <v>4.4999999999999998E-2</v>
      </c>
      <c r="N5936">
        <v>129</v>
      </c>
      <c r="O5936" t="s">
        <v>38</v>
      </c>
      <c r="Q5936" t="s">
        <v>157</v>
      </c>
      <c r="R5936" t="s">
        <v>849</v>
      </c>
      <c r="S5936" t="s">
        <v>850</v>
      </c>
      <c r="T5936" t="s">
        <v>851</v>
      </c>
    </row>
    <row r="5937" spans="1:20" x14ac:dyDescent="0.25">
      <c r="A5937" t="s">
        <v>30</v>
      </c>
      <c r="B5937" t="s">
        <v>31</v>
      </c>
      <c r="C5937" t="s">
        <v>32</v>
      </c>
      <c r="D5937" t="s">
        <v>771</v>
      </c>
      <c r="E5937" t="s">
        <v>6319</v>
      </c>
      <c r="F5937" t="s">
        <v>35</v>
      </c>
      <c r="G5937" t="s">
        <v>35</v>
      </c>
      <c r="H5937" t="s">
        <v>35</v>
      </c>
      <c r="J5937" t="s">
        <v>6335</v>
      </c>
      <c r="K5937" t="s">
        <v>1092</v>
      </c>
      <c r="M5937">
        <v>9.09</v>
      </c>
      <c r="N5937">
        <v>40</v>
      </c>
      <c r="O5937" t="s">
        <v>52</v>
      </c>
      <c r="Q5937" t="s">
        <v>132</v>
      </c>
      <c r="R5937" t="s">
        <v>849</v>
      </c>
      <c r="S5937" t="s">
        <v>850</v>
      </c>
      <c r="T5937" t="s">
        <v>851</v>
      </c>
    </row>
    <row r="5938" spans="1:20" x14ac:dyDescent="0.25">
      <c r="A5938" t="s">
        <v>30</v>
      </c>
      <c r="B5938" t="s">
        <v>31</v>
      </c>
      <c r="C5938" t="s">
        <v>32</v>
      </c>
      <c r="D5938" t="s">
        <v>771</v>
      </c>
      <c r="E5938" t="s">
        <v>910</v>
      </c>
      <c r="F5938" t="s">
        <v>35</v>
      </c>
      <c r="G5938" t="s">
        <v>35</v>
      </c>
      <c r="H5938" t="s">
        <v>35</v>
      </c>
      <c r="J5938" t="s">
        <v>6591</v>
      </c>
      <c r="K5938" t="s">
        <v>1092</v>
      </c>
      <c r="M5938">
        <v>0.72</v>
      </c>
      <c r="N5938">
        <v>40</v>
      </c>
      <c r="O5938" t="s">
        <v>52</v>
      </c>
      <c r="Q5938" t="s">
        <v>132</v>
      </c>
      <c r="R5938" t="s">
        <v>849</v>
      </c>
      <c r="S5938" t="s">
        <v>850</v>
      </c>
      <c r="T5938" t="s">
        <v>851</v>
      </c>
    </row>
    <row r="5939" spans="1:20" x14ac:dyDescent="0.25">
      <c r="A5939" t="s">
        <v>59</v>
      </c>
      <c r="B5939" t="s">
        <v>31</v>
      </c>
      <c r="C5939" t="s">
        <v>32</v>
      </c>
      <c r="D5939" t="s">
        <v>771</v>
      </c>
      <c r="E5939" t="s">
        <v>910</v>
      </c>
      <c r="F5939" t="s">
        <v>35</v>
      </c>
      <c r="G5939" t="s">
        <v>35</v>
      </c>
      <c r="H5939" t="s">
        <v>35</v>
      </c>
      <c r="J5939" t="s">
        <v>6591</v>
      </c>
      <c r="K5939" t="s">
        <v>1092</v>
      </c>
      <c r="M5939">
        <v>2.25</v>
      </c>
      <c r="N5939">
        <v>23</v>
      </c>
      <c r="O5939" t="s">
        <v>46</v>
      </c>
      <c r="Q5939" t="s">
        <v>793</v>
      </c>
      <c r="R5939" t="s">
        <v>849</v>
      </c>
      <c r="S5939" t="s">
        <v>850</v>
      </c>
      <c r="T5939" t="s">
        <v>851</v>
      </c>
    </row>
    <row r="5940" spans="1:20" x14ac:dyDescent="0.25">
      <c r="A5940" t="s">
        <v>30</v>
      </c>
      <c r="B5940" t="s">
        <v>31</v>
      </c>
      <c r="C5940" t="s">
        <v>32</v>
      </c>
      <c r="D5940" t="s">
        <v>771</v>
      </c>
      <c r="E5940" t="s">
        <v>910</v>
      </c>
      <c r="F5940" t="s">
        <v>35</v>
      </c>
      <c r="G5940" t="s">
        <v>35</v>
      </c>
      <c r="H5940" t="s">
        <v>35</v>
      </c>
      <c r="J5940" t="s">
        <v>6591</v>
      </c>
      <c r="K5940" t="s">
        <v>1092</v>
      </c>
      <c r="M5940">
        <v>4.5</v>
      </c>
      <c r="N5940">
        <v>30</v>
      </c>
      <c r="O5940" t="s">
        <v>46</v>
      </c>
      <c r="Q5940" t="s">
        <v>3499</v>
      </c>
      <c r="R5940" t="s">
        <v>849</v>
      </c>
      <c r="S5940" t="s">
        <v>850</v>
      </c>
      <c r="T5940" t="s">
        <v>851</v>
      </c>
    </row>
    <row r="5941" spans="1:20" x14ac:dyDescent="0.25">
      <c r="A5941" t="s">
        <v>30</v>
      </c>
      <c r="B5941" t="s">
        <v>31</v>
      </c>
      <c r="C5941" t="s">
        <v>32</v>
      </c>
      <c r="D5941" t="s">
        <v>771</v>
      </c>
      <c r="E5941" t="s">
        <v>875</v>
      </c>
      <c r="F5941" t="s">
        <v>35</v>
      </c>
      <c r="G5941" t="s">
        <v>35</v>
      </c>
      <c r="H5941" t="s">
        <v>35</v>
      </c>
      <c r="J5941" t="s">
        <v>6481</v>
      </c>
      <c r="K5941" t="s">
        <v>1092</v>
      </c>
      <c r="M5941">
        <v>5.8949999999999996</v>
      </c>
      <c r="N5941">
        <v>40</v>
      </c>
      <c r="O5941" t="s">
        <v>52</v>
      </c>
      <c r="Q5941" t="s">
        <v>132</v>
      </c>
      <c r="R5941" t="s">
        <v>849</v>
      </c>
      <c r="S5941" t="s">
        <v>850</v>
      </c>
      <c r="T5941" t="s">
        <v>851</v>
      </c>
    </row>
    <row r="5942" spans="1:20" x14ac:dyDescent="0.25">
      <c r="A5942" t="s">
        <v>59</v>
      </c>
      <c r="B5942" t="s">
        <v>60</v>
      </c>
      <c r="C5942" t="s">
        <v>32</v>
      </c>
      <c r="D5942" t="s">
        <v>771</v>
      </c>
      <c r="E5942" t="s">
        <v>875</v>
      </c>
      <c r="F5942" t="s">
        <v>35</v>
      </c>
      <c r="G5942" t="s">
        <v>35</v>
      </c>
      <c r="H5942" t="s">
        <v>35</v>
      </c>
      <c r="J5942" t="s">
        <v>6481</v>
      </c>
      <c r="K5942" t="s">
        <v>1092</v>
      </c>
      <c r="M5942">
        <v>8.5</v>
      </c>
      <c r="N5942">
        <v>25</v>
      </c>
      <c r="O5942" t="s">
        <v>46</v>
      </c>
      <c r="Q5942" t="s">
        <v>547</v>
      </c>
      <c r="R5942" t="s">
        <v>849</v>
      </c>
      <c r="S5942" t="s">
        <v>850</v>
      </c>
      <c r="T5942" t="s">
        <v>851</v>
      </c>
    </row>
    <row r="5943" spans="1:20" x14ac:dyDescent="0.25">
      <c r="A5943" t="s">
        <v>30</v>
      </c>
      <c r="B5943" t="s">
        <v>31</v>
      </c>
      <c r="C5943" t="s">
        <v>32</v>
      </c>
      <c r="D5943" t="s">
        <v>771</v>
      </c>
      <c r="E5943" t="s">
        <v>875</v>
      </c>
      <c r="F5943" t="s">
        <v>35</v>
      </c>
      <c r="G5943" t="s">
        <v>35</v>
      </c>
      <c r="H5943" t="s">
        <v>35</v>
      </c>
      <c r="J5943" t="s">
        <v>1484</v>
      </c>
      <c r="K5943" t="s">
        <v>1092</v>
      </c>
      <c r="M5943">
        <v>2.0699999999999998</v>
      </c>
      <c r="N5943">
        <v>34</v>
      </c>
      <c r="O5943" t="s">
        <v>52</v>
      </c>
      <c r="Q5943" t="s">
        <v>249</v>
      </c>
      <c r="R5943" t="s">
        <v>849</v>
      </c>
      <c r="S5943" t="s">
        <v>850</v>
      </c>
      <c r="T5943" t="s">
        <v>851</v>
      </c>
    </row>
    <row r="5944" spans="1:20" x14ac:dyDescent="0.25">
      <c r="A5944" t="s">
        <v>30</v>
      </c>
      <c r="B5944" t="s">
        <v>31</v>
      </c>
      <c r="C5944" t="s">
        <v>32</v>
      </c>
      <c r="D5944" t="s">
        <v>771</v>
      </c>
      <c r="E5944" t="s">
        <v>6621</v>
      </c>
      <c r="F5944" t="s">
        <v>35</v>
      </c>
      <c r="G5944" t="s">
        <v>35</v>
      </c>
      <c r="H5944" t="s">
        <v>35</v>
      </c>
      <c r="J5944" t="s">
        <v>6622</v>
      </c>
      <c r="K5944" t="s">
        <v>1092</v>
      </c>
      <c r="M5944">
        <v>9.4499999999999993</v>
      </c>
      <c r="N5944">
        <v>40</v>
      </c>
      <c r="O5944" t="s">
        <v>52</v>
      </c>
      <c r="Q5944" t="s">
        <v>132</v>
      </c>
      <c r="R5944" t="s">
        <v>849</v>
      </c>
      <c r="S5944" t="s">
        <v>850</v>
      </c>
      <c r="T5944" t="s">
        <v>851</v>
      </c>
    </row>
    <row r="5945" spans="1:20" x14ac:dyDescent="0.25">
      <c r="A5945" t="s">
        <v>59</v>
      </c>
      <c r="B5945" t="s">
        <v>60</v>
      </c>
      <c r="C5945" t="s">
        <v>32</v>
      </c>
      <c r="D5945" t="s">
        <v>771</v>
      </c>
      <c r="E5945" t="s">
        <v>903</v>
      </c>
      <c r="F5945" t="s">
        <v>35</v>
      </c>
      <c r="G5945" t="s">
        <v>35</v>
      </c>
      <c r="H5945" t="s">
        <v>35</v>
      </c>
      <c r="J5945" t="s">
        <v>904</v>
      </c>
      <c r="K5945" t="s">
        <v>37</v>
      </c>
      <c r="M5945">
        <v>43</v>
      </c>
      <c r="N5945">
        <v>34</v>
      </c>
      <c r="O5945" t="s">
        <v>52</v>
      </c>
      <c r="P5945" t="s">
        <v>908</v>
      </c>
      <c r="Q5945" t="s">
        <v>249</v>
      </c>
      <c r="R5945" t="s">
        <v>849</v>
      </c>
      <c r="S5945" t="s">
        <v>850</v>
      </c>
      <c r="T5945" t="s">
        <v>851</v>
      </c>
    </row>
    <row r="5946" spans="1:20" x14ac:dyDescent="0.25">
      <c r="A5946" t="s">
        <v>30</v>
      </c>
      <c r="B5946" t="s">
        <v>31</v>
      </c>
      <c r="C5946" t="s">
        <v>32</v>
      </c>
      <c r="D5946" t="s">
        <v>771</v>
      </c>
      <c r="E5946" t="s">
        <v>875</v>
      </c>
      <c r="F5946" t="s">
        <v>35</v>
      </c>
      <c r="G5946" t="s">
        <v>35</v>
      </c>
      <c r="H5946" t="s">
        <v>35</v>
      </c>
      <c r="J5946" t="s">
        <v>6452</v>
      </c>
      <c r="K5946" t="s">
        <v>1092</v>
      </c>
      <c r="M5946">
        <v>12.015000000000001</v>
      </c>
      <c r="N5946">
        <v>40</v>
      </c>
      <c r="O5946" t="s">
        <v>52</v>
      </c>
      <c r="Q5946" t="s">
        <v>132</v>
      </c>
      <c r="R5946" t="s">
        <v>849</v>
      </c>
      <c r="S5946" t="s">
        <v>850</v>
      </c>
      <c r="T5946" t="s">
        <v>851</v>
      </c>
    </row>
    <row r="5947" spans="1:20" x14ac:dyDescent="0.25">
      <c r="A5947" t="s">
        <v>59</v>
      </c>
      <c r="B5947" t="s">
        <v>31</v>
      </c>
      <c r="C5947" t="s">
        <v>32</v>
      </c>
      <c r="D5947" t="s">
        <v>771</v>
      </c>
      <c r="E5947" t="s">
        <v>875</v>
      </c>
      <c r="F5947" t="s">
        <v>35</v>
      </c>
      <c r="G5947" t="s">
        <v>35</v>
      </c>
      <c r="H5947" t="s">
        <v>35</v>
      </c>
      <c r="J5947" t="s">
        <v>6452</v>
      </c>
      <c r="K5947" t="s">
        <v>1092</v>
      </c>
      <c r="M5947">
        <v>8.8650000000000002</v>
      </c>
      <c r="N5947">
        <v>29</v>
      </c>
      <c r="O5947" t="s">
        <v>46</v>
      </c>
      <c r="Q5947" t="s">
        <v>2005</v>
      </c>
      <c r="R5947" t="s">
        <v>849</v>
      </c>
      <c r="S5947" t="s">
        <v>850</v>
      </c>
      <c r="T5947" t="s">
        <v>851</v>
      </c>
    </row>
    <row r="5948" spans="1:20" x14ac:dyDescent="0.25">
      <c r="A5948" t="s">
        <v>30</v>
      </c>
      <c r="B5948" t="s">
        <v>31</v>
      </c>
      <c r="C5948" t="s">
        <v>32</v>
      </c>
      <c r="D5948" t="s">
        <v>771</v>
      </c>
      <c r="E5948" t="s">
        <v>6319</v>
      </c>
      <c r="F5948" t="s">
        <v>35</v>
      </c>
      <c r="G5948" t="s">
        <v>35</v>
      </c>
      <c r="H5948" t="s">
        <v>35</v>
      </c>
      <c r="J5948" t="s">
        <v>6326</v>
      </c>
      <c r="K5948" t="s">
        <v>1092</v>
      </c>
      <c r="M5948">
        <v>6.12</v>
      </c>
      <c r="N5948">
        <v>34</v>
      </c>
      <c r="O5948" t="s">
        <v>52</v>
      </c>
      <c r="Q5948" t="s">
        <v>249</v>
      </c>
      <c r="R5948" t="s">
        <v>849</v>
      </c>
      <c r="S5948" t="s">
        <v>850</v>
      </c>
      <c r="T5948" t="s">
        <v>851</v>
      </c>
    </row>
    <row r="5949" spans="1:20" x14ac:dyDescent="0.25">
      <c r="A5949" t="s">
        <v>59</v>
      </c>
      <c r="B5949" t="s">
        <v>60</v>
      </c>
      <c r="C5949" t="s">
        <v>32</v>
      </c>
      <c r="D5949" t="s">
        <v>771</v>
      </c>
      <c r="E5949" t="s">
        <v>875</v>
      </c>
      <c r="F5949" t="s">
        <v>35</v>
      </c>
      <c r="G5949" t="s">
        <v>35</v>
      </c>
      <c r="H5949" t="s">
        <v>35</v>
      </c>
      <c r="J5949" t="s">
        <v>6472</v>
      </c>
      <c r="K5949" t="s">
        <v>1092</v>
      </c>
      <c r="M5949">
        <v>0.75</v>
      </c>
      <c r="N5949">
        <v>424</v>
      </c>
      <c r="O5949" t="s">
        <v>294</v>
      </c>
      <c r="Q5949" t="s">
        <v>3381</v>
      </c>
      <c r="R5949" t="s">
        <v>849</v>
      </c>
      <c r="S5949" t="s">
        <v>850</v>
      </c>
      <c r="T5949" t="s">
        <v>851</v>
      </c>
    </row>
    <row r="5950" spans="1:20" x14ac:dyDescent="0.25">
      <c r="A5950" t="s">
        <v>30</v>
      </c>
      <c r="B5950" t="s">
        <v>31</v>
      </c>
      <c r="C5950" t="s">
        <v>32</v>
      </c>
      <c r="D5950" t="s">
        <v>771</v>
      </c>
      <c r="E5950" t="s">
        <v>875</v>
      </c>
      <c r="F5950" t="s">
        <v>35</v>
      </c>
      <c r="G5950" t="s">
        <v>35</v>
      </c>
      <c r="H5950" t="s">
        <v>35</v>
      </c>
      <c r="J5950" t="s">
        <v>6472</v>
      </c>
      <c r="K5950" t="s">
        <v>1092</v>
      </c>
      <c r="M5950">
        <v>9.99</v>
      </c>
      <c r="N5950">
        <v>40</v>
      </c>
      <c r="O5950" t="s">
        <v>52</v>
      </c>
      <c r="Q5950" t="s">
        <v>132</v>
      </c>
      <c r="R5950" t="s">
        <v>849</v>
      </c>
      <c r="S5950" t="s">
        <v>850</v>
      </c>
      <c r="T5950" t="s">
        <v>851</v>
      </c>
    </row>
    <row r="5951" spans="1:20" x14ac:dyDescent="0.25">
      <c r="A5951" t="s">
        <v>59</v>
      </c>
      <c r="B5951" t="s">
        <v>31</v>
      </c>
      <c r="C5951" t="s">
        <v>32</v>
      </c>
      <c r="D5951" t="s">
        <v>771</v>
      </c>
      <c r="E5951" t="s">
        <v>875</v>
      </c>
      <c r="F5951" t="s">
        <v>35</v>
      </c>
      <c r="G5951" t="s">
        <v>35</v>
      </c>
      <c r="H5951" t="s">
        <v>35</v>
      </c>
      <c r="J5951" t="s">
        <v>6472</v>
      </c>
      <c r="K5951" t="s">
        <v>1092</v>
      </c>
      <c r="M5951">
        <v>13.23</v>
      </c>
      <c r="N5951">
        <v>34</v>
      </c>
      <c r="O5951" t="s">
        <v>52</v>
      </c>
      <c r="Q5951" t="s">
        <v>249</v>
      </c>
      <c r="R5951" t="s">
        <v>849</v>
      </c>
      <c r="S5951" t="s">
        <v>850</v>
      </c>
      <c r="T5951" t="s">
        <v>851</v>
      </c>
    </row>
    <row r="5952" spans="1:20" x14ac:dyDescent="0.25">
      <c r="A5952" t="s">
        <v>30</v>
      </c>
      <c r="B5952" t="s">
        <v>31</v>
      </c>
      <c r="C5952" t="s">
        <v>32</v>
      </c>
      <c r="D5952" t="s">
        <v>771</v>
      </c>
      <c r="E5952" t="s">
        <v>910</v>
      </c>
      <c r="F5952" t="s">
        <v>35</v>
      </c>
      <c r="G5952" t="s">
        <v>35</v>
      </c>
      <c r="H5952" t="s">
        <v>35</v>
      </c>
      <c r="J5952" t="s">
        <v>6618</v>
      </c>
      <c r="K5952" t="s">
        <v>1092</v>
      </c>
      <c r="M5952">
        <v>4.5</v>
      </c>
      <c r="N5952">
        <v>40</v>
      </c>
      <c r="O5952" t="s">
        <v>52</v>
      </c>
      <c r="Q5952" t="s">
        <v>132</v>
      </c>
      <c r="R5952" t="s">
        <v>849</v>
      </c>
      <c r="S5952" t="s">
        <v>850</v>
      </c>
      <c r="T5952" t="s">
        <v>851</v>
      </c>
    </row>
    <row r="5953" spans="1:20" x14ac:dyDescent="0.25">
      <c r="A5953" t="s">
        <v>30</v>
      </c>
      <c r="B5953" t="s">
        <v>31</v>
      </c>
      <c r="C5953" t="s">
        <v>32</v>
      </c>
      <c r="D5953" t="s">
        <v>771</v>
      </c>
      <c r="E5953" t="s">
        <v>910</v>
      </c>
      <c r="F5953" t="s">
        <v>35</v>
      </c>
      <c r="G5953" t="s">
        <v>35</v>
      </c>
      <c r="H5953" t="s">
        <v>35</v>
      </c>
      <c r="J5953" t="s">
        <v>6618</v>
      </c>
      <c r="K5953" t="s">
        <v>1092</v>
      </c>
      <c r="M5953">
        <v>1.98</v>
      </c>
      <c r="N5953">
        <v>106</v>
      </c>
      <c r="O5953" t="s">
        <v>106</v>
      </c>
      <c r="Q5953" t="s">
        <v>6066</v>
      </c>
      <c r="R5953" t="s">
        <v>849</v>
      </c>
      <c r="S5953" t="s">
        <v>850</v>
      </c>
      <c r="T5953" t="s">
        <v>851</v>
      </c>
    </row>
    <row r="5954" spans="1:20" x14ac:dyDescent="0.25">
      <c r="A5954" t="s">
        <v>44</v>
      </c>
      <c r="B5954" t="s">
        <v>51</v>
      </c>
      <c r="C5954" t="s">
        <v>32</v>
      </c>
      <c r="D5954" t="s">
        <v>771</v>
      </c>
      <c r="E5954" t="s">
        <v>6631</v>
      </c>
      <c r="F5954" t="s">
        <v>35</v>
      </c>
      <c r="G5954" t="s">
        <v>35</v>
      </c>
      <c r="H5954" t="s">
        <v>35</v>
      </c>
      <c r="J5954" t="s">
        <v>6632</v>
      </c>
      <c r="K5954" t="s">
        <v>1092</v>
      </c>
      <c r="M5954">
        <v>0.5</v>
      </c>
      <c r="N5954">
        <v>140</v>
      </c>
      <c r="O5954" t="s">
        <v>38</v>
      </c>
      <c r="Q5954" t="s">
        <v>1229</v>
      </c>
      <c r="R5954" t="s">
        <v>849</v>
      </c>
      <c r="S5954" t="s">
        <v>850</v>
      </c>
      <c r="T5954" t="s">
        <v>851</v>
      </c>
    </row>
    <row r="5955" spans="1:20" x14ac:dyDescent="0.25">
      <c r="A5955" t="s">
        <v>44</v>
      </c>
      <c r="B5955" t="s">
        <v>51</v>
      </c>
      <c r="C5955" t="s">
        <v>32</v>
      </c>
      <c r="D5955" t="s">
        <v>771</v>
      </c>
      <c r="E5955" t="s">
        <v>6093</v>
      </c>
      <c r="F5955" t="s">
        <v>35</v>
      </c>
      <c r="G5955" t="s">
        <v>35</v>
      </c>
      <c r="H5955" t="s">
        <v>35</v>
      </c>
      <c r="J5955" t="s">
        <v>6094</v>
      </c>
      <c r="K5955" t="s">
        <v>1092</v>
      </c>
      <c r="M5955">
        <v>1.1000000000000001</v>
      </c>
      <c r="N5955">
        <v>136</v>
      </c>
      <c r="O5955" t="s">
        <v>38</v>
      </c>
      <c r="Q5955" t="s">
        <v>2121</v>
      </c>
      <c r="R5955" t="s">
        <v>849</v>
      </c>
      <c r="S5955" t="s">
        <v>850</v>
      </c>
      <c r="T5955" t="s">
        <v>851</v>
      </c>
    </row>
    <row r="5956" spans="1:20" x14ac:dyDescent="0.25">
      <c r="A5956" t="s">
        <v>59</v>
      </c>
      <c r="B5956" t="s">
        <v>60</v>
      </c>
      <c r="C5956" t="s">
        <v>32</v>
      </c>
      <c r="D5956" t="s">
        <v>771</v>
      </c>
      <c r="E5956" t="s">
        <v>845</v>
      </c>
      <c r="F5956" t="s">
        <v>35</v>
      </c>
      <c r="G5956" t="s">
        <v>35</v>
      </c>
      <c r="H5956" t="s">
        <v>35</v>
      </c>
      <c r="J5956" t="s">
        <v>846</v>
      </c>
      <c r="K5956" t="s">
        <v>37</v>
      </c>
      <c r="M5956">
        <v>7</v>
      </c>
      <c r="N5956">
        <v>82</v>
      </c>
      <c r="O5956" t="s">
        <v>61</v>
      </c>
      <c r="P5956" t="s">
        <v>848</v>
      </c>
      <c r="Q5956" t="s">
        <v>299</v>
      </c>
      <c r="R5956" t="s">
        <v>849</v>
      </c>
      <c r="S5956" t="s">
        <v>850</v>
      </c>
      <c r="T5956" t="s">
        <v>851</v>
      </c>
    </row>
    <row r="5957" spans="1:20" x14ac:dyDescent="0.25">
      <c r="A5957" t="s">
        <v>44</v>
      </c>
      <c r="B5957" t="s">
        <v>51</v>
      </c>
      <c r="C5957" t="s">
        <v>32</v>
      </c>
      <c r="D5957" t="s">
        <v>771</v>
      </c>
      <c r="E5957" t="s">
        <v>845</v>
      </c>
      <c r="F5957" t="s">
        <v>35</v>
      </c>
      <c r="G5957" t="s">
        <v>35</v>
      </c>
      <c r="H5957" t="s">
        <v>35</v>
      </c>
      <c r="J5957" t="s">
        <v>846</v>
      </c>
      <c r="K5957" t="s">
        <v>37</v>
      </c>
      <c r="M5957">
        <v>7</v>
      </c>
      <c r="N5957">
        <v>67</v>
      </c>
      <c r="O5957" t="s">
        <v>61</v>
      </c>
      <c r="P5957" t="s">
        <v>852</v>
      </c>
      <c r="Q5957" t="s">
        <v>488</v>
      </c>
      <c r="R5957" t="s">
        <v>849</v>
      </c>
      <c r="S5957" t="s">
        <v>850</v>
      </c>
      <c r="T5957" t="s">
        <v>851</v>
      </c>
    </row>
    <row r="5958" spans="1:20" x14ac:dyDescent="0.25">
      <c r="A5958" t="s">
        <v>30</v>
      </c>
      <c r="B5958" t="s">
        <v>31</v>
      </c>
      <c r="C5958" t="s">
        <v>32</v>
      </c>
      <c r="D5958" t="s">
        <v>771</v>
      </c>
      <c r="E5958" t="s">
        <v>6214</v>
      </c>
      <c r="F5958" t="s">
        <v>35</v>
      </c>
      <c r="G5958" t="s">
        <v>35</v>
      </c>
      <c r="H5958" t="s">
        <v>35</v>
      </c>
      <c r="J5958" t="s">
        <v>6221</v>
      </c>
      <c r="K5958" t="s">
        <v>1144</v>
      </c>
      <c r="M5958">
        <v>14.04</v>
      </c>
      <c r="N5958">
        <v>40</v>
      </c>
      <c r="O5958" t="s">
        <v>52</v>
      </c>
      <c r="Q5958" t="s">
        <v>132</v>
      </c>
      <c r="R5958" t="s">
        <v>849</v>
      </c>
      <c r="S5958" t="s">
        <v>850</v>
      </c>
      <c r="T5958" t="s">
        <v>851</v>
      </c>
    </row>
    <row r="5959" spans="1:20" x14ac:dyDescent="0.25">
      <c r="A5959" t="s">
        <v>59</v>
      </c>
      <c r="B5959" t="s">
        <v>31</v>
      </c>
      <c r="C5959" t="s">
        <v>32</v>
      </c>
      <c r="D5959" t="s">
        <v>771</v>
      </c>
      <c r="E5959" t="s">
        <v>875</v>
      </c>
      <c r="F5959" t="s">
        <v>35</v>
      </c>
      <c r="G5959" t="s">
        <v>35</v>
      </c>
      <c r="H5959" t="s">
        <v>35</v>
      </c>
      <c r="J5959" t="s">
        <v>6446</v>
      </c>
      <c r="K5959" t="s">
        <v>1092</v>
      </c>
      <c r="M5959">
        <v>0.67500000000000004</v>
      </c>
      <c r="N5959">
        <v>205</v>
      </c>
      <c r="O5959" t="s">
        <v>5</v>
      </c>
      <c r="Q5959" t="s">
        <v>1711</v>
      </c>
      <c r="R5959" t="s">
        <v>849</v>
      </c>
      <c r="S5959" t="s">
        <v>850</v>
      </c>
      <c r="T5959" t="s">
        <v>851</v>
      </c>
    </row>
    <row r="5960" spans="1:20" x14ac:dyDescent="0.25">
      <c r="A5960" t="s">
        <v>30</v>
      </c>
      <c r="B5960" t="s">
        <v>31</v>
      </c>
      <c r="C5960" t="s">
        <v>32</v>
      </c>
      <c r="D5960" t="s">
        <v>771</v>
      </c>
      <c r="E5960" t="s">
        <v>875</v>
      </c>
      <c r="F5960" t="s">
        <v>35</v>
      </c>
      <c r="G5960" t="s">
        <v>35</v>
      </c>
      <c r="H5960" t="s">
        <v>35</v>
      </c>
      <c r="J5960" t="s">
        <v>6446</v>
      </c>
      <c r="K5960" t="s">
        <v>1092</v>
      </c>
      <c r="M5960">
        <v>7.02</v>
      </c>
      <c r="N5960">
        <v>40</v>
      </c>
      <c r="O5960" t="s">
        <v>52</v>
      </c>
      <c r="Q5960" t="s">
        <v>132</v>
      </c>
      <c r="R5960" t="s">
        <v>849</v>
      </c>
      <c r="S5960" t="s">
        <v>850</v>
      </c>
      <c r="T5960" t="s">
        <v>851</v>
      </c>
    </row>
    <row r="5961" spans="1:20" x14ac:dyDescent="0.25">
      <c r="A5961" t="s">
        <v>59</v>
      </c>
      <c r="B5961" t="s">
        <v>31</v>
      </c>
      <c r="C5961" t="s">
        <v>32</v>
      </c>
      <c r="D5961" t="s">
        <v>771</v>
      </c>
      <c r="E5961" t="s">
        <v>875</v>
      </c>
      <c r="F5961" t="s">
        <v>35</v>
      </c>
      <c r="G5961" t="s">
        <v>35</v>
      </c>
      <c r="H5961" t="s">
        <v>35</v>
      </c>
      <c r="J5961" t="s">
        <v>6446</v>
      </c>
      <c r="K5961" t="s">
        <v>1092</v>
      </c>
      <c r="M5961">
        <v>7.02</v>
      </c>
      <c r="N5961">
        <v>29</v>
      </c>
      <c r="O5961" t="s">
        <v>46</v>
      </c>
      <c r="Q5961" t="s">
        <v>2005</v>
      </c>
      <c r="R5961" t="s">
        <v>849</v>
      </c>
      <c r="S5961" t="s">
        <v>850</v>
      </c>
      <c r="T5961" t="s">
        <v>851</v>
      </c>
    </row>
    <row r="5962" spans="1:20" x14ac:dyDescent="0.25">
      <c r="A5962" t="s">
        <v>44</v>
      </c>
      <c r="B5962" t="s">
        <v>51</v>
      </c>
      <c r="C5962" t="s">
        <v>32</v>
      </c>
      <c r="D5962" t="s">
        <v>771</v>
      </c>
      <c r="E5962" t="s">
        <v>875</v>
      </c>
      <c r="F5962" t="s">
        <v>35</v>
      </c>
      <c r="G5962" t="s">
        <v>35</v>
      </c>
      <c r="H5962" t="s">
        <v>35</v>
      </c>
      <c r="J5962" t="s">
        <v>6446</v>
      </c>
      <c r="K5962" t="s">
        <v>1092</v>
      </c>
      <c r="M5962">
        <v>6</v>
      </c>
      <c r="N5962">
        <v>45</v>
      </c>
      <c r="O5962" t="s">
        <v>52</v>
      </c>
      <c r="Q5962" t="s">
        <v>1230</v>
      </c>
      <c r="R5962" t="s">
        <v>849</v>
      </c>
      <c r="S5962" t="s">
        <v>850</v>
      </c>
      <c r="T5962" t="s">
        <v>851</v>
      </c>
    </row>
    <row r="5963" spans="1:20" x14ac:dyDescent="0.25">
      <c r="A5963" t="s">
        <v>59</v>
      </c>
      <c r="B5963" t="s">
        <v>31</v>
      </c>
      <c r="C5963" t="s">
        <v>32</v>
      </c>
      <c r="D5963" t="s">
        <v>771</v>
      </c>
      <c r="E5963" t="s">
        <v>875</v>
      </c>
      <c r="F5963" t="s">
        <v>35</v>
      </c>
      <c r="G5963" t="s">
        <v>35</v>
      </c>
      <c r="H5963" t="s">
        <v>35</v>
      </c>
      <c r="J5963" t="s">
        <v>6446</v>
      </c>
      <c r="K5963" t="s">
        <v>1092</v>
      </c>
      <c r="M5963">
        <v>4.0049999999999999</v>
      </c>
      <c r="N5963">
        <v>305</v>
      </c>
      <c r="O5963" t="s">
        <v>5</v>
      </c>
      <c r="Q5963" t="s">
        <v>4818</v>
      </c>
      <c r="R5963" t="s">
        <v>849</v>
      </c>
      <c r="S5963" t="s">
        <v>850</v>
      </c>
      <c r="T5963" t="s">
        <v>851</v>
      </c>
    </row>
    <row r="5964" spans="1:20" x14ac:dyDescent="0.25">
      <c r="A5964" t="s">
        <v>44</v>
      </c>
      <c r="B5964" t="s">
        <v>3</v>
      </c>
      <c r="C5964" t="s">
        <v>32</v>
      </c>
      <c r="D5964" t="s">
        <v>771</v>
      </c>
      <c r="E5964" t="s">
        <v>875</v>
      </c>
      <c r="F5964" t="s">
        <v>35</v>
      </c>
      <c r="G5964" t="s">
        <v>35</v>
      </c>
      <c r="H5964" t="s">
        <v>35</v>
      </c>
      <c r="J5964" t="s">
        <v>6446</v>
      </c>
      <c r="K5964" t="s">
        <v>1092</v>
      </c>
      <c r="M5964">
        <v>0.25</v>
      </c>
      <c r="N5964">
        <v>262</v>
      </c>
      <c r="O5964" t="s">
        <v>5</v>
      </c>
      <c r="Q5964" t="s">
        <v>6399</v>
      </c>
      <c r="R5964" t="s">
        <v>849</v>
      </c>
      <c r="S5964" t="s">
        <v>850</v>
      </c>
      <c r="T5964" t="s">
        <v>851</v>
      </c>
    </row>
    <row r="5965" spans="1:20" x14ac:dyDescent="0.25">
      <c r="A5965" t="s">
        <v>59</v>
      </c>
      <c r="B5965" t="s">
        <v>60</v>
      </c>
      <c r="C5965" t="s">
        <v>32</v>
      </c>
      <c r="D5965" t="s">
        <v>771</v>
      </c>
      <c r="E5965" t="s">
        <v>875</v>
      </c>
      <c r="F5965" t="s">
        <v>35</v>
      </c>
      <c r="G5965" t="s">
        <v>35</v>
      </c>
      <c r="H5965" t="s">
        <v>35</v>
      </c>
      <c r="J5965" t="s">
        <v>6446</v>
      </c>
      <c r="K5965" t="s">
        <v>1092</v>
      </c>
      <c r="M5965">
        <v>0.45</v>
      </c>
      <c r="N5965">
        <v>233</v>
      </c>
      <c r="O5965" t="s">
        <v>5</v>
      </c>
      <c r="Q5965" t="s">
        <v>2516</v>
      </c>
      <c r="R5965" t="s">
        <v>849</v>
      </c>
      <c r="S5965" t="s">
        <v>850</v>
      </c>
      <c r="T5965" t="s">
        <v>851</v>
      </c>
    </row>
    <row r="5966" spans="1:20" x14ac:dyDescent="0.25">
      <c r="A5966" t="s">
        <v>30</v>
      </c>
      <c r="B5966" t="s">
        <v>31</v>
      </c>
      <c r="C5966" t="s">
        <v>32</v>
      </c>
      <c r="D5966" t="s">
        <v>771</v>
      </c>
      <c r="E5966" t="s">
        <v>875</v>
      </c>
      <c r="F5966" t="s">
        <v>35</v>
      </c>
      <c r="G5966" t="s">
        <v>35</v>
      </c>
      <c r="H5966" t="s">
        <v>35</v>
      </c>
      <c r="J5966" t="s">
        <v>6446</v>
      </c>
      <c r="K5966" t="s">
        <v>1092</v>
      </c>
      <c r="M5966">
        <v>0.9</v>
      </c>
      <c r="N5966">
        <v>406</v>
      </c>
      <c r="O5966" t="s">
        <v>294</v>
      </c>
      <c r="Q5966" t="s">
        <v>5627</v>
      </c>
      <c r="R5966" t="s">
        <v>849</v>
      </c>
      <c r="S5966" t="s">
        <v>850</v>
      </c>
      <c r="T5966" t="s">
        <v>851</v>
      </c>
    </row>
    <row r="5967" spans="1:20" x14ac:dyDescent="0.25">
      <c r="A5967" t="s">
        <v>59</v>
      </c>
      <c r="B5967" t="s">
        <v>31</v>
      </c>
      <c r="C5967" t="s">
        <v>32</v>
      </c>
      <c r="D5967" t="s">
        <v>771</v>
      </c>
      <c r="E5967" t="s">
        <v>875</v>
      </c>
      <c r="F5967" t="s">
        <v>35</v>
      </c>
      <c r="G5967" t="s">
        <v>35</v>
      </c>
      <c r="H5967" t="s">
        <v>35</v>
      </c>
      <c r="J5967" t="s">
        <v>6446</v>
      </c>
      <c r="K5967" t="s">
        <v>1092</v>
      </c>
      <c r="M5967">
        <v>0.81</v>
      </c>
      <c r="N5967">
        <v>511</v>
      </c>
      <c r="O5967" t="s">
        <v>294</v>
      </c>
      <c r="Q5967" t="s">
        <v>6375</v>
      </c>
      <c r="R5967" t="s">
        <v>849</v>
      </c>
      <c r="S5967" t="s">
        <v>850</v>
      </c>
      <c r="T5967" t="s">
        <v>851</v>
      </c>
    </row>
    <row r="5968" spans="1:20" x14ac:dyDescent="0.25">
      <c r="A5968" t="s">
        <v>30</v>
      </c>
      <c r="B5968" t="s">
        <v>31</v>
      </c>
      <c r="C5968" t="s">
        <v>32</v>
      </c>
      <c r="D5968" t="s">
        <v>771</v>
      </c>
      <c r="E5968" t="s">
        <v>6175</v>
      </c>
      <c r="F5968" t="s">
        <v>35</v>
      </c>
      <c r="G5968" t="s">
        <v>35</v>
      </c>
      <c r="H5968" t="s">
        <v>35</v>
      </c>
      <c r="J5968" t="s">
        <v>6176</v>
      </c>
      <c r="K5968" t="s">
        <v>1092</v>
      </c>
      <c r="M5968">
        <v>14.04</v>
      </c>
      <c r="N5968">
        <v>40</v>
      </c>
      <c r="O5968" t="s">
        <v>52</v>
      </c>
      <c r="Q5968" t="s">
        <v>132</v>
      </c>
      <c r="R5968" t="s">
        <v>849</v>
      </c>
      <c r="S5968" t="s">
        <v>850</v>
      </c>
      <c r="T5968" t="s">
        <v>851</v>
      </c>
    </row>
    <row r="5969" spans="1:20" x14ac:dyDescent="0.25">
      <c r="A5969" t="s">
        <v>59</v>
      </c>
      <c r="B5969" t="s">
        <v>31</v>
      </c>
      <c r="C5969" t="s">
        <v>32</v>
      </c>
      <c r="D5969" t="s">
        <v>771</v>
      </c>
      <c r="E5969" t="s">
        <v>6214</v>
      </c>
      <c r="F5969" t="s">
        <v>35</v>
      </c>
      <c r="G5969" t="s">
        <v>35</v>
      </c>
      <c r="H5969" t="s">
        <v>35</v>
      </c>
      <c r="J5969" t="s">
        <v>6243</v>
      </c>
      <c r="K5969" t="s">
        <v>1092</v>
      </c>
      <c r="M5969">
        <v>8.1000000000000003E-2</v>
      </c>
      <c r="N5969">
        <v>282</v>
      </c>
      <c r="O5969" t="s">
        <v>5</v>
      </c>
      <c r="Q5969" t="s">
        <v>1172</v>
      </c>
      <c r="R5969" t="s">
        <v>849</v>
      </c>
      <c r="S5969" t="s">
        <v>850</v>
      </c>
      <c r="T5969" t="s">
        <v>851</v>
      </c>
    </row>
    <row r="5970" spans="1:20" x14ac:dyDescent="0.25">
      <c r="A5970" t="s">
        <v>59</v>
      </c>
      <c r="B5970" t="s">
        <v>60</v>
      </c>
      <c r="C5970" t="s">
        <v>32</v>
      </c>
      <c r="D5970" t="s">
        <v>771</v>
      </c>
      <c r="E5970" t="s">
        <v>910</v>
      </c>
      <c r="F5970" t="s">
        <v>35</v>
      </c>
      <c r="G5970" t="s">
        <v>35</v>
      </c>
      <c r="H5970" t="s">
        <v>35</v>
      </c>
      <c r="J5970" t="s">
        <v>6576</v>
      </c>
      <c r="K5970" t="s">
        <v>1092</v>
      </c>
      <c r="M5970">
        <v>0.45</v>
      </c>
      <c r="N5970">
        <v>140</v>
      </c>
      <c r="O5970" t="s">
        <v>38</v>
      </c>
      <c r="Q5970" t="s">
        <v>1229</v>
      </c>
      <c r="R5970" t="s">
        <v>849</v>
      </c>
      <c r="S5970" t="s">
        <v>850</v>
      </c>
      <c r="T5970" t="s">
        <v>851</v>
      </c>
    </row>
    <row r="5971" spans="1:20" x14ac:dyDescent="0.25">
      <c r="A5971" t="s">
        <v>59</v>
      </c>
      <c r="B5971" t="s">
        <v>31</v>
      </c>
      <c r="C5971" t="s">
        <v>32</v>
      </c>
      <c r="D5971" t="s">
        <v>771</v>
      </c>
      <c r="E5971" t="s">
        <v>6511</v>
      </c>
      <c r="F5971" t="s">
        <v>35</v>
      </c>
      <c r="G5971" t="s">
        <v>35</v>
      </c>
      <c r="H5971" t="s">
        <v>35</v>
      </c>
      <c r="J5971" t="s">
        <v>6523</v>
      </c>
      <c r="K5971" t="s">
        <v>1092</v>
      </c>
      <c r="M5971">
        <v>6.0750000000000002</v>
      </c>
      <c r="N5971">
        <v>144</v>
      </c>
      <c r="O5971" t="s">
        <v>38</v>
      </c>
      <c r="Q5971" t="s">
        <v>1269</v>
      </c>
      <c r="R5971" t="s">
        <v>849</v>
      </c>
      <c r="S5971" t="s">
        <v>850</v>
      </c>
      <c r="T5971" t="s">
        <v>851</v>
      </c>
    </row>
    <row r="5972" spans="1:20" x14ac:dyDescent="0.25">
      <c r="A5972" t="s">
        <v>44</v>
      </c>
      <c r="B5972" t="s">
        <v>3</v>
      </c>
      <c r="C5972" t="s">
        <v>32</v>
      </c>
      <c r="D5972" t="s">
        <v>771</v>
      </c>
      <c r="E5972" t="s">
        <v>6511</v>
      </c>
      <c r="F5972" t="s">
        <v>35</v>
      </c>
      <c r="G5972" t="s">
        <v>35</v>
      </c>
      <c r="H5972" t="s">
        <v>35</v>
      </c>
      <c r="J5972" t="s">
        <v>6523</v>
      </c>
      <c r="K5972" t="s">
        <v>1092</v>
      </c>
      <c r="M5972">
        <v>1.1499999999999999</v>
      </c>
      <c r="N5972">
        <v>208</v>
      </c>
      <c r="O5972" t="s">
        <v>5</v>
      </c>
      <c r="Q5972" t="s">
        <v>3122</v>
      </c>
      <c r="R5972" t="s">
        <v>849</v>
      </c>
      <c r="S5972" t="s">
        <v>850</v>
      </c>
      <c r="T5972" t="s">
        <v>851</v>
      </c>
    </row>
    <row r="5973" spans="1:20" x14ac:dyDescent="0.25">
      <c r="A5973" t="s">
        <v>44</v>
      </c>
      <c r="B5973" t="s">
        <v>51</v>
      </c>
      <c r="C5973" t="s">
        <v>32</v>
      </c>
      <c r="D5973" t="s">
        <v>771</v>
      </c>
      <c r="E5973" t="s">
        <v>6511</v>
      </c>
      <c r="F5973" t="s">
        <v>35</v>
      </c>
      <c r="G5973" t="s">
        <v>35</v>
      </c>
      <c r="H5973" t="s">
        <v>35</v>
      </c>
      <c r="J5973" t="s">
        <v>6523</v>
      </c>
      <c r="K5973" t="s">
        <v>1092</v>
      </c>
      <c r="M5973">
        <v>2.5</v>
      </c>
      <c r="N5973">
        <v>31</v>
      </c>
      <c r="O5973" t="s">
        <v>52</v>
      </c>
      <c r="Q5973" t="s">
        <v>748</v>
      </c>
      <c r="R5973" t="s">
        <v>849</v>
      </c>
      <c r="S5973" t="s">
        <v>850</v>
      </c>
      <c r="T5973" t="s">
        <v>851</v>
      </c>
    </row>
    <row r="5974" spans="1:20" x14ac:dyDescent="0.25">
      <c r="A5974" t="s">
        <v>59</v>
      </c>
      <c r="B5974" t="s">
        <v>60</v>
      </c>
      <c r="C5974" t="s">
        <v>32</v>
      </c>
      <c r="D5974" t="s">
        <v>771</v>
      </c>
      <c r="E5974" t="s">
        <v>6511</v>
      </c>
      <c r="F5974" t="s">
        <v>35</v>
      </c>
      <c r="G5974" t="s">
        <v>35</v>
      </c>
      <c r="H5974" t="s">
        <v>35</v>
      </c>
      <c r="J5974" t="s">
        <v>6523</v>
      </c>
      <c r="K5974" t="s">
        <v>1092</v>
      </c>
      <c r="M5974">
        <v>2.75</v>
      </c>
      <c r="N5974">
        <v>31</v>
      </c>
      <c r="O5974" t="s">
        <v>52</v>
      </c>
      <c r="Q5974" t="s">
        <v>748</v>
      </c>
      <c r="R5974" t="s">
        <v>849</v>
      </c>
      <c r="S5974" t="s">
        <v>850</v>
      </c>
      <c r="T5974" t="s">
        <v>851</v>
      </c>
    </row>
    <row r="5975" spans="1:20" x14ac:dyDescent="0.25">
      <c r="A5975" t="s">
        <v>59</v>
      </c>
      <c r="B5975" t="s">
        <v>60</v>
      </c>
      <c r="C5975" t="s">
        <v>32</v>
      </c>
      <c r="D5975" t="s">
        <v>771</v>
      </c>
      <c r="E5975" t="s">
        <v>6214</v>
      </c>
      <c r="F5975" t="s">
        <v>35</v>
      </c>
      <c r="G5975" t="s">
        <v>35</v>
      </c>
      <c r="H5975" t="s">
        <v>35</v>
      </c>
      <c r="J5975" t="s">
        <v>6235</v>
      </c>
      <c r="K5975" t="s">
        <v>1092</v>
      </c>
      <c r="M5975">
        <v>4.5</v>
      </c>
      <c r="N5975">
        <v>82</v>
      </c>
      <c r="O5975" t="s">
        <v>61</v>
      </c>
      <c r="Q5975" t="s">
        <v>299</v>
      </c>
      <c r="R5975" t="s">
        <v>849</v>
      </c>
      <c r="S5975" t="s">
        <v>850</v>
      </c>
      <c r="T5975" t="s">
        <v>851</v>
      </c>
    </row>
    <row r="5976" spans="1:20" x14ac:dyDescent="0.25">
      <c r="A5976" t="s">
        <v>44</v>
      </c>
      <c r="B5976" t="s">
        <v>3</v>
      </c>
      <c r="C5976" t="s">
        <v>32</v>
      </c>
      <c r="D5976" t="s">
        <v>771</v>
      </c>
      <c r="E5976" t="s">
        <v>910</v>
      </c>
      <c r="F5976" t="s">
        <v>35</v>
      </c>
      <c r="G5976" t="s">
        <v>35</v>
      </c>
      <c r="H5976" t="s">
        <v>35</v>
      </c>
      <c r="J5976" t="s">
        <v>6614</v>
      </c>
      <c r="K5976" t="s">
        <v>1092</v>
      </c>
      <c r="M5976">
        <v>0.5</v>
      </c>
      <c r="N5976">
        <v>240</v>
      </c>
      <c r="O5976" t="s">
        <v>5</v>
      </c>
      <c r="Q5976" t="s">
        <v>574</v>
      </c>
      <c r="R5976" t="s">
        <v>849</v>
      </c>
      <c r="S5976" t="s">
        <v>850</v>
      </c>
      <c r="T5976" t="s">
        <v>851</v>
      </c>
    </row>
    <row r="5977" spans="1:20" x14ac:dyDescent="0.25">
      <c r="A5977" t="s">
        <v>30</v>
      </c>
      <c r="B5977" t="s">
        <v>31</v>
      </c>
      <c r="C5977" t="s">
        <v>32</v>
      </c>
      <c r="D5977" t="s">
        <v>771</v>
      </c>
      <c r="E5977" t="s">
        <v>910</v>
      </c>
      <c r="F5977" t="s">
        <v>35</v>
      </c>
      <c r="G5977" t="s">
        <v>35</v>
      </c>
      <c r="H5977" t="s">
        <v>35</v>
      </c>
      <c r="J5977" t="s">
        <v>6614</v>
      </c>
      <c r="K5977" t="s">
        <v>1092</v>
      </c>
      <c r="M5977">
        <v>2.25</v>
      </c>
      <c r="N5977">
        <v>29</v>
      </c>
      <c r="O5977" t="s">
        <v>46</v>
      </c>
      <c r="Q5977" t="s">
        <v>2005</v>
      </c>
      <c r="R5977" t="s">
        <v>849</v>
      </c>
      <c r="S5977" t="s">
        <v>850</v>
      </c>
      <c r="T5977" t="s">
        <v>851</v>
      </c>
    </row>
    <row r="5978" spans="1:20" x14ac:dyDescent="0.25">
      <c r="A5978" t="s">
        <v>44</v>
      </c>
      <c r="B5978" t="s">
        <v>3</v>
      </c>
      <c r="C5978" t="s">
        <v>32</v>
      </c>
      <c r="D5978" t="s">
        <v>771</v>
      </c>
      <c r="E5978" t="s">
        <v>910</v>
      </c>
      <c r="F5978" t="s">
        <v>35</v>
      </c>
      <c r="G5978" t="s">
        <v>35</v>
      </c>
      <c r="H5978" t="s">
        <v>35</v>
      </c>
      <c r="J5978" t="s">
        <v>6614</v>
      </c>
      <c r="K5978" t="s">
        <v>1092</v>
      </c>
      <c r="M5978">
        <v>0.35</v>
      </c>
      <c r="N5978">
        <v>255</v>
      </c>
      <c r="O5978" t="s">
        <v>5</v>
      </c>
      <c r="Q5978" t="s">
        <v>264</v>
      </c>
      <c r="R5978" t="s">
        <v>849</v>
      </c>
      <c r="S5978" t="s">
        <v>850</v>
      </c>
      <c r="T5978" t="s">
        <v>851</v>
      </c>
    </row>
    <row r="5979" spans="1:20" x14ac:dyDescent="0.25">
      <c r="A5979" t="s">
        <v>59</v>
      </c>
      <c r="B5979" t="s">
        <v>60</v>
      </c>
      <c r="C5979" t="s">
        <v>32</v>
      </c>
      <c r="D5979" t="s">
        <v>771</v>
      </c>
      <c r="E5979" t="s">
        <v>898</v>
      </c>
      <c r="F5979" t="s">
        <v>35</v>
      </c>
      <c r="G5979" t="s">
        <v>35</v>
      </c>
      <c r="H5979" t="s">
        <v>35</v>
      </c>
      <c r="J5979" t="s">
        <v>6544</v>
      </c>
      <c r="K5979" t="s">
        <v>1092</v>
      </c>
      <c r="M5979">
        <v>0.6</v>
      </c>
      <c r="N5979">
        <v>82</v>
      </c>
      <c r="O5979" t="s">
        <v>61</v>
      </c>
      <c r="Q5979" t="s">
        <v>299</v>
      </c>
      <c r="R5979" t="s">
        <v>849</v>
      </c>
      <c r="S5979" t="s">
        <v>850</v>
      </c>
      <c r="T5979" t="s">
        <v>851</v>
      </c>
    </row>
    <row r="5980" spans="1:20" x14ac:dyDescent="0.25">
      <c r="A5980" t="s">
        <v>30</v>
      </c>
      <c r="B5980" t="s">
        <v>31</v>
      </c>
      <c r="C5980" t="s">
        <v>32</v>
      </c>
      <c r="D5980" t="s">
        <v>771</v>
      </c>
      <c r="E5980" t="s">
        <v>910</v>
      </c>
      <c r="F5980" t="s">
        <v>35</v>
      </c>
      <c r="G5980" t="s">
        <v>35</v>
      </c>
      <c r="H5980" t="s">
        <v>35</v>
      </c>
      <c r="J5980" t="s">
        <v>6571</v>
      </c>
      <c r="K5980" t="s">
        <v>1092</v>
      </c>
      <c r="M5980">
        <v>6.4349999999999996</v>
      </c>
      <c r="N5980">
        <v>40</v>
      </c>
      <c r="O5980" t="s">
        <v>52</v>
      </c>
      <c r="Q5980" t="s">
        <v>132</v>
      </c>
      <c r="R5980" t="s">
        <v>849</v>
      </c>
      <c r="S5980" t="s">
        <v>850</v>
      </c>
      <c r="T5980" t="s">
        <v>851</v>
      </c>
    </row>
    <row r="5981" spans="1:20" x14ac:dyDescent="0.25">
      <c r="A5981" t="s">
        <v>30</v>
      </c>
      <c r="B5981" t="s">
        <v>31</v>
      </c>
      <c r="C5981" t="s">
        <v>32</v>
      </c>
      <c r="D5981" t="s">
        <v>771</v>
      </c>
      <c r="E5981" t="s">
        <v>6319</v>
      </c>
      <c r="F5981" t="s">
        <v>35</v>
      </c>
      <c r="G5981" t="s">
        <v>35</v>
      </c>
      <c r="H5981" t="s">
        <v>35</v>
      </c>
      <c r="J5981" t="s">
        <v>6330</v>
      </c>
      <c r="K5981" t="s">
        <v>1092</v>
      </c>
      <c r="M5981">
        <v>1.7549999999999999</v>
      </c>
      <c r="N5981">
        <v>111</v>
      </c>
      <c r="O5981" t="s">
        <v>106</v>
      </c>
      <c r="Q5981" t="s">
        <v>1469</v>
      </c>
      <c r="R5981" t="s">
        <v>849</v>
      </c>
      <c r="S5981" t="s">
        <v>850</v>
      </c>
      <c r="T5981" t="s">
        <v>851</v>
      </c>
    </row>
    <row r="5982" spans="1:20" x14ac:dyDescent="0.25">
      <c r="A5982" t="s">
        <v>30</v>
      </c>
      <c r="B5982" t="s">
        <v>31</v>
      </c>
      <c r="C5982" t="s">
        <v>32</v>
      </c>
      <c r="D5982" t="s">
        <v>771</v>
      </c>
      <c r="E5982" t="s">
        <v>871</v>
      </c>
      <c r="F5982" t="s">
        <v>35</v>
      </c>
      <c r="G5982" t="s">
        <v>35</v>
      </c>
      <c r="H5982" t="s">
        <v>35</v>
      </c>
      <c r="J5982" t="s">
        <v>6395</v>
      </c>
      <c r="K5982" t="s">
        <v>1092</v>
      </c>
      <c r="M5982">
        <v>2.0249999999999999</v>
      </c>
      <c r="N5982">
        <v>101</v>
      </c>
      <c r="O5982" t="s">
        <v>106</v>
      </c>
      <c r="Q5982" t="s">
        <v>1450</v>
      </c>
      <c r="R5982" t="s">
        <v>849</v>
      </c>
      <c r="S5982" t="s">
        <v>850</v>
      </c>
      <c r="T5982" t="s">
        <v>851</v>
      </c>
    </row>
    <row r="5983" spans="1:20" x14ac:dyDescent="0.25">
      <c r="A5983" t="s">
        <v>59</v>
      </c>
      <c r="B5983" t="s">
        <v>60</v>
      </c>
      <c r="C5983" t="s">
        <v>32</v>
      </c>
      <c r="D5983" t="s">
        <v>771</v>
      </c>
      <c r="E5983" t="s">
        <v>875</v>
      </c>
      <c r="F5983" t="s">
        <v>35</v>
      </c>
      <c r="G5983" t="s">
        <v>35</v>
      </c>
      <c r="H5983" t="s">
        <v>35</v>
      </c>
      <c r="J5983" t="s">
        <v>6453</v>
      </c>
      <c r="K5983" t="s">
        <v>1092</v>
      </c>
      <c r="M5983">
        <v>15</v>
      </c>
      <c r="N5983">
        <v>27</v>
      </c>
      <c r="O5983" t="s">
        <v>46</v>
      </c>
      <c r="Q5983" t="s">
        <v>809</v>
      </c>
      <c r="R5983" t="s">
        <v>849</v>
      </c>
      <c r="S5983" t="s">
        <v>850</v>
      </c>
      <c r="T5983" t="s">
        <v>851</v>
      </c>
    </row>
    <row r="5984" spans="1:20" x14ac:dyDescent="0.25">
      <c r="A5984" t="s">
        <v>30</v>
      </c>
      <c r="B5984" t="s">
        <v>31</v>
      </c>
      <c r="C5984" t="s">
        <v>32</v>
      </c>
      <c r="D5984" t="s">
        <v>771</v>
      </c>
      <c r="E5984" t="s">
        <v>875</v>
      </c>
      <c r="F5984" t="s">
        <v>35</v>
      </c>
      <c r="G5984" t="s">
        <v>35</v>
      </c>
      <c r="H5984" t="s">
        <v>35</v>
      </c>
      <c r="J5984" t="s">
        <v>6453</v>
      </c>
      <c r="K5984" t="s">
        <v>1092</v>
      </c>
      <c r="M5984">
        <v>4.4999999999999998E-2</v>
      </c>
      <c r="N5984">
        <v>29</v>
      </c>
      <c r="O5984" t="s">
        <v>46</v>
      </c>
      <c r="Q5984" t="s">
        <v>2005</v>
      </c>
      <c r="R5984" t="s">
        <v>849</v>
      </c>
      <c r="S5984" t="s">
        <v>850</v>
      </c>
      <c r="T5984" t="s">
        <v>851</v>
      </c>
    </row>
    <row r="5985" spans="1:20" x14ac:dyDescent="0.25">
      <c r="A5985" t="s">
        <v>59</v>
      </c>
      <c r="B5985" t="s">
        <v>31</v>
      </c>
      <c r="C5985" t="s">
        <v>32</v>
      </c>
      <c r="D5985" t="s">
        <v>771</v>
      </c>
      <c r="E5985" t="s">
        <v>875</v>
      </c>
      <c r="F5985" t="s">
        <v>35</v>
      </c>
      <c r="G5985" t="s">
        <v>35</v>
      </c>
      <c r="H5985" t="s">
        <v>35</v>
      </c>
      <c r="J5985" t="s">
        <v>6453</v>
      </c>
      <c r="K5985" t="s">
        <v>1092</v>
      </c>
      <c r="M5985">
        <v>0.85499999999999998</v>
      </c>
      <c r="N5985">
        <v>29</v>
      </c>
      <c r="O5985" t="s">
        <v>46</v>
      </c>
      <c r="Q5985" t="s">
        <v>2005</v>
      </c>
      <c r="R5985" t="s">
        <v>849</v>
      </c>
      <c r="S5985" t="s">
        <v>850</v>
      </c>
      <c r="T5985" t="s">
        <v>851</v>
      </c>
    </row>
    <row r="5986" spans="1:20" x14ac:dyDescent="0.25">
      <c r="A5986" t="s">
        <v>59</v>
      </c>
      <c r="B5986" t="s">
        <v>60</v>
      </c>
      <c r="C5986" t="s">
        <v>32</v>
      </c>
      <c r="D5986" t="s">
        <v>771</v>
      </c>
      <c r="E5986" t="s">
        <v>875</v>
      </c>
      <c r="F5986" t="s">
        <v>35</v>
      </c>
      <c r="G5986" t="s">
        <v>35</v>
      </c>
      <c r="H5986" t="s">
        <v>35</v>
      </c>
      <c r="J5986" t="s">
        <v>6453</v>
      </c>
      <c r="K5986" t="s">
        <v>1092</v>
      </c>
      <c r="M5986">
        <v>15</v>
      </c>
      <c r="N5986">
        <v>26</v>
      </c>
      <c r="O5986" t="s">
        <v>46</v>
      </c>
      <c r="Q5986" t="s">
        <v>137</v>
      </c>
      <c r="R5986" t="s">
        <v>849</v>
      </c>
      <c r="S5986" t="s">
        <v>850</v>
      </c>
      <c r="T5986" t="s">
        <v>851</v>
      </c>
    </row>
    <row r="5987" spans="1:20" x14ac:dyDescent="0.25">
      <c r="A5987" t="s">
        <v>59</v>
      </c>
      <c r="B5987" t="s">
        <v>31</v>
      </c>
      <c r="C5987" t="s">
        <v>32</v>
      </c>
      <c r="D5987" t="s">
        <v>771</v>
      </c>
      <c r="E5987" t="s">
        <v>910</v>
      </c>
      <c r="F5987" t="s">
        <v>35</v>
      </c>
      <c r="G5987" t="s">
        <v>35</v>
      </c>
      <c r="H5987" t="s">
        <v>35</v>
      </c>
      <c r="J5987" t="s">
        <v>6596</v>
      </c>
      <c r="K5987" t="s">
        <v>1092</v>
      </c>
      <c r="M5987">
        <v>2.79</v>
      </c>
      <c r="N5987">
        <v>72</v>
      </c>
      <c r="O5987" t="s">
        <v>61</v>
      </c>
      <c r="Q5987" t="s">
        <v>1156</v>
      </c>
      <c r="R5987" t="s">
        <v>926</v>
      </c>
      <c r="S5987" t="s">
        <v>911</v>
      </c>
      <c r="T5987" t="s">
        <v>912</v>
      </c>
    </row>
    <row r="5988" spans="1:20" x14ac:dyDescent="0.25">
      <c r="A5988" t="s">
        <v>59</v>
      </c>
      <c r="B5988" t="s">
        <v>31</v>
      </c>
      <c r="C5988" t="s">
        <v>32</v>
      </c>
      <c r="D5988" t="s">
        <v>771</v>
      </c>
      <c r="E5988" t="s">
        <v>910</v>
      </c>
      <c r="F5988" t="s">
        <v>35</v>
      </c>
      <c r="G5988" t="s">
        <v>35</v>
      </c>
      <c r="H5988" t="s">
        <v>35</v>
      </c>
      <c r="J5988" t="s">
        <v>6596</v>
      </c>
      <c r="K5988" t="s">
        <v>1092</v>
      </c>
      <c r="M5988">
        <v>0.58499999999999996</v>
      </c>
      <c r="N5988">
        <v>149</v>
      </c>
      <c r="O5988" t="s">
        <v>38</v>
      </c>
      <c r="Q5988" t="s">
        <v>75</v>
      </c>
      <c r="R5988" t="s">
        <v>926</v>
      </c>
      <c r="S5988" t="s">
        <v>911</v>
      </c>
      <c r="T5988" t="s">
        <v>912</v>
      </c>
    </row>
    <row r="5989" spans="1:20" x14ac:dyDescent="0.25">
      <c r="A5989" t="s">
        <v>44</v>
      </c>
      <c r="B5989" t="s">
        <v>51</v>
      </c>
      <c r="C5989" t="s">
        <v>32</v>
      </c>
      <c r="D5989" t="s">
        <v>771</v>
      </c>
      <c r="E5989" t="s">
        <v>6511</v>
      </c>
      <c r="F5989" t="s">
        <v>35</v>
      </c>
      <c r="G5989" t="s">
        <v>35</v>
      </c>
      <c r="H5989" t="s">
        <v>35</v>
      </c>
      <c r="J5989" t="s">
        <v>6519</v>
      </c>
      <c r="K5989" t="s">
        <v>1092</v>
      </c>
      <c r="M5989">
        <v>0.95</v>
      </c>
      <c r="N5989">
        <v>233</v>
      </c>
      <c r="O5989" t="s">
        <v>5</v>
      </c>
      <c r="Q5989" t="s">
        <v>2516</v>
      </c>
      <c r="R5989" t="s">
        <v>926</v>
      </c>
      <c r="S5989" t="s">
        <v>911</v>
      </c>
      <c r="T5989" t="s">
        <v>912</v>
      </c>
    </row>
    <row r="5990" spans="1:20" x14ac:dyDescent="0.25">
      <c r="A5990" t="s">
        <v>59</v>
      </c>
      <c r="B5990" t="s">
        <v>31</v>
      </c>
      <c r="C5990" t="s">
        <v>32</v>
      </c>
      <c r="D5990" t="s">
        <v>771</v>
      </c>
      <c r="E5990" t="s">
        <v>6511</v>
      </c>
      <c r="F5990" t="s">
        <v>35</v>
      </c>
      <c r="G5990" t="s">
        <v>35</v>
      </c>
      <c r="H5990" t="s">
        <v>35</v>
      </c>
      <c r="J5990" t="s">
        <v>6513</v>
      </c>
      <c r="K5990" t="s">
        <v>1092</v>
      </c>
      <c r="M5990">
        <v>0.495</v>
      </c>
      <c r="N5990">
        <v>72</v>
      </c>
      <c r="O5990" t="s">
        <v>61</v>
      </c>
      <c r="Q5990" t="s">
        <v>1156</v>
      </c>
      <c r="R5990" t="s">
        <v>926</v>
      </c>
      <c r="S5990" t="s">
        <v>911</v>
      </c>
      <c r="T5990" t="s">
        <v>912</v>
      </c>
    </row>
    <row r="5991" spans="1:20" x14ac:dyDescent="0.25">
      <c r="A5991" t="s">
        <v>30</v>
      </c>
      <c r="B5991" t="s">
        <v>31</v>
      </c>
      <c r="C5991" t="s">
        <v>32</v>
      </c>
      <c r="D5991" t="s">
        <v>771</v>
      </c>
      <c r="E5991" t="s">
        <v>6511</v>
      </c>
      <c r="F5991" t="s">
        <v>35</v>
      </c>
      <c r="G5991" t="s">
        <v>35</v>
      </c>
      <c r="H5991" t="s">
        <v>35</v>
      </c>
      <c r="J5991" t="s">
        <v>6513</v>
      </c>
      <c r="K5991" t="s">
        <v>1092</v>
      </c>
      <c r="M5991">
        <v>1.125</v>
      </c>
      <c r="N5991">
        <v>38</v>
      </c>
      <c r="O5991" t="s">
        <v>52</v>
      </c>
      <c r="Q5991" t="s">
        <v>716</v>
      </c>
      <c r="R5991" t="s">
        <v>926</v>
      </c>
      <c r="S5991" t="s">
        <v>911</v>
      </c>
      <c r="T5991" t="s">
        <v>912</v>
      </c>
    </row>
    <row r="5992" spans="1:20" x14ac:dyDescent="0.25">
      <c r="A5992" t="s">
        <v>44</v>
      </c>
      <c r="B5992" t="s">
        <v>51</v>
      </c>
      <c r="C5992" t="s">
        <v>32</v>
      </c>
      <c r="D5992" t="s">
        <v>771</v>
      </c>
      <c r="E5992" t="s">
        <v>910</v>
      </c>
      <c r="F5992" t="s">
        <v>35</v>
      </c>
      <c r="G5992" t="s">
        <v>35</v>
      </c>
      <c r="H5992" t="s">
        <v>35</v>
      </c>
      <c r="J5992" t="s">
        <v>6570</v>
      </c>
      <c r="K5992" t="s">
        <v>1092</v>
      </c>
      <c r="M5992">
        <v>3.05</v>
      </c>
      <c r="N5992">
        <v>157</v>
      </c>
      <c r="O5992" t="s">
        <v>38</v>
      </c>
      <c r="Q5992" t="s">
        <v>1587</v>
      </c>
      <c r="R5992" t="s">
        <v>926</v>
      </c>
      <c r="S5992" t="s">
        <v>911</v>
      </c>
      <c r="T5992" t="s">
        <v>912</v>
      </c>
    </row>
    <row r="5993" spans="1:20" x14ac:dyDescent="0.25">
      <c r="A5993" t="s">
        <v>59</v>
      </c>
      <c r="B5993" t="s">
        <v>31</v>
      </c>
      <c r="C5993" t="s">
        <v>32</v>
      </c>
      <c r="D5993" t="s">
        <v>771</v>
      </c>
      <c r="E5993" t="s">
        <v>910</v>
      </c>
      <c r="F5993" t="s">
        <v>35</v>
      </c>
      <c r="G5993" t="s">
        <v>35</v>
      </c>
      <c r="H5993" t="s">
        <v>35</v>
      </c>
      <c r="J5993" t="s">
        <v>6570</v>
      </c>
      <c r="K5993" t="s">
        <v>1092</v>
      </c>
      <c r="M5993">
        <v>2.88</v>
      </c>
      <c r="N5993">
        <v>23</v>
      </c>
      <c r="O5993" t="s">
        <v>46</v>
      </c>
      <c r="Q5993" t="s">
        <v>793</v>
      </c>
      <c r="R5993" t="s">
        <v>926</v>
      </c>
      <c r="S5993" t="s">
        <v>911</v>
      </c>
      <c r="T5993" t="s">
        <v>912</v>
      </c>
    </row>
    <row r="5994" spans="1:20" x14ac:dyDescent="0.25">
      <c r="A5994" t="s">
        <v>59</v>
      </c>
      <c r="B5994" t="s">
        <v>31</v>
      </c>
      <c r="C5994" t="s">
        <v>32</v>
      </c>
      <c r="D5994" t="s">
        <v>771</v>
      </c>
      <c r="E5994" t="s">
        <v>910</v>
      </c>
      <c r="F5994" t="s">
        <v>35</v>
      </c>
      <c r="G5994" t="s">
        <v>35</v>
      </c>
      <c r="H5994" t="s">
        <v>35</v>
      </c>
      <c r="J5994" t="s">
        <v>6575</v>
      </c>
      <c r="K5994" t="s">
        <v>1092</v>
      </c>
      <c r="M5994">
        <v>4.4999999999999998E-2</v>
      </c>
      <c r="N5994">
        <v>73</v>
      </c>
      <c r="O5994" t="s">
        <v>61</v>
      </c>
      <c r="Q5994" t="s">
        <v>477</v>
      </c>
      <c r="R5994" t="s">
        <v>926</v>
      </c>
      <c r="S5994" t="s">
        <v>911</v>
      </c>
      <c r="T5994" t="s">
        <v>912</v>
      </c>
    </row>
    <row r="5995" spans="1:20" x14ac:dyDescent="0.25">
      <c r="A5995" t="s">
        <v>44</v>
      </c>
      <c r="B5995" t="s">
        <v>51</v>
      </c>
      <c r="C5995" t="s">
        <v>32</v>
      </c>
      <c r="D5995" t="s">
        <v>771</v>
      </c>
      <c r="E5995" t="s">
        <v>910</v>
      </c>
      <c r="F5995" t="s">
        <v>35</v>
      </c>
      <c r="G5995" t="s">
        <v>35</v>
      </c>
      <c r="H5995" t="s">
        <v>35</v>
      </c>
      <c r="J5995" t="s">
        <v>6575</v>
      </c>
      <c r="K5995" t="s">
        <v>1092</v>
      </c>
      <c r="M5995">
        <v>0.5</v>
      </c>
      <c r="N5995">
        <v>283</v>
      </c>
      <c r="O5995" t="s">
        <v>5</v>
      </c>
      <c r="Q5995" t="s">
        <v>4463</v>
      </c>
      <c r="R5995" t="s">
        <v>926</v>
      </c>
      <c r="S5995" t="s">
        <v>911</v>
      </c>
      <c r="T5995" t="s">
        <v>912</v>
      </c>
    </row>
    <row r="5996" spans="1:20" x14ac:dyDescent="0.25">
      <c r="A5996" t="s">
        <v>44</v>
      </c>
      <c r="B5996" t="s">
        <v>3</v>
      </c>
      <c r="C5996" t="s">
        <v>32</v>
      </c>
      <c r="D5996" t="s">
        <v>771</v>
      </c>
      <c r="E5996" t="s">
        <v>910</v>
      </c>
      <c r="F5996" t="s">
        <v>35</v>
      </c>
      <c r="G5996" t="s">
        <v>35</v>
      </c>
      <c r="H5996" t="s">
        <v>35</v>
      </c>
      <c r="J5996" t="s">
        <v>6575</v>
      </c>
      <c r="K5996" t="s">
        <v>1092</v>
      </c>
      <c r="M5996">
        <v>0.05</v>
      </c>
      <c r="N5996">
        <v>289</v>
      </c>
      <c r="O5996" t="s">
        <v>5</v>
      </c>
      <c r="Q5996" t="s">
        <v>4253</v>
      </c>
      <c r="R5996" t="s">
        <v>926</v>
      </c>
      <c r="S5996" t="s">
        <v>911</v>
      </c>
      <c r="T5996" t="s">
        <v>912</v>
      </c>
    </row>
    <row r="5997" spans="1:20" x14ac:dyDescent="0.25">
      <c r="A5997" t="s">
        <v>44</v>
      </c>
      <c r="B5997" t="s">
        <v>51</v>
      </c>
      <c r="C5997" t="s">
        <v>32</v>
      </c>
      <c r="D5997" t="s">
        <v>771</v>
      </c>
      <c r="E5997" t="s">
        <v>910</v>
      </c>
      <c r="F5997" t="s">
        <v>35</v>
      </c>
      <c r="G5997" t="s">
        <v>35</v>
      </c>
      <c r="H5997" t="s">
        <v>35</v>
      </c>
      <c r="J5997" t="s">
        <v>924</v>
      </c>
      <c r="K5997" t="s">
        <v>37</v>
      </c>
      <c r="M5997">
        <v>7</v>
      </c>
      <c r="N5997">
        <v>77</v>
      </c>
      <c r="O5997" t="s">
        <v>61</v>
      </c>
      <c r="P5997" t="s">
        <v>925</v>
      </c>
      <c r="Q5997" t="s">
        <v>778</v>
      </c>
      <c r="R5997" t="s">
        <v>926</v>
      </c>
      <c r="S5997" t="s">
        <v>911</v>
      </c>
      <c r="T5997" t="s">
        <v>912</v>
      </c>
    </row>
    <row r="5998" spans="1:20" x14ac:dyDescent="0.25">
      <c r="A5998" t="s">
        <v>59</v>
      </c>
      <c r="B5998" t="s">
        <v>31</v>
      </c>
      <c r="C5998" t="s">
        <v>32</v>
      </c>
      <c r="D5998" t="s">
        <v>771</v>
      </c>
      <c r="E5998" t="s">
        <v>910</v>
      </c>
      <c r="F5998" t="s">
        <v>35</v>
      </c>
      <c r="G5998" t="s">
        <v>35</v>
      </c>
      <c r="H5998" t="s">
        <v>35</v>
      </c>
      <c r="J5998" t="s">
        <v>924</v>
      </c>
      <c r="K5998" t="s">
        <v>37</v>
      </c>
      <c r="M5998">
        <v>9.99</v>
      </c>
      <c r="N5998">
        <v>73</v>
      </c>
      <c r="O5998" t="s">
        <v>61</v>
      </c>
      <c r="P5998" t="s">
        <v>927</v>
      </c>
      <c r="Q5998" t="s">
        <v>477</v>
      </c>
      <c r="R5998" t="s">
        <v>926</v>
      </c>
      <c r="S5998" t="s">
        <v>911</v>
      </c>
      <c r="T5998" t="s">
        <v>912</v>
      </c>
    </row>
    <row r="5999" spans="1:20" x14ac:dyDescent="0.25">
      <c r="A5999" t="s">
        <v>59</v>
      </c>
      <c r="B5999" t="s">
        <v>31</v>
      </c>
      <c r="C5999" t="s">
        <v>32</v>
      </c>
      <c r="D5999" t="s">
        <v>771</v>
      </c>
      <c r="E5999" t="s">
        <v>910</v>
      </c>
      <c r="F5999" t="s">
        <v>35</v>
      </c>
      <c r="G5999" t="s">
        <v>35</v>
      </c>
      <c r="H5999" t="s">
        <v>35</v>
      </c>
      <c r="J5999" t="s">
        <v>924</v>
      </c>
      <c r="K5999" t="s">
        <v>37</v>
      </c>
      <c r="M5999">
        <v>7.02</v>
      </c>
      <c r="N5999">
        <v>37</v>
      </c>
      <c r="O5999" t="s">
        <v>52</v>
      </c>
      <c r="P5999" t="s">
        <v>928</v>
      </c>
      <c r="Q5999" t="s">
        <v>192</v>
      </c>
      <c r="R5999" t="s">
        <v>926</v>
      </c>
      <c r="S5999" t="s">
        <v>911</v>
      </c>
      <c r="T5999" t="s">
        <v>912</v>
      </c>
    </row>
    <row r="6000" spans="1:20" x14ac:dyDescent="0.25">
      <c r="A6000" t="s">
        <v>59</v>
      </c>
      <c r="B6000" t="s">
        <v>31</v>
      </c>
      <c r="C6000" t="s">
        <v>32</v>
      </c>
      <c r="D6000" t="s">
        <v>771</v>
      </c>
      <c r="E6000" t="s">
        <v>910</v>
      </c>
      <c r="F6000" t="s">
        <v>35</v>
      </c>
      <c r="G6000" t="s">
        <v>35</v>
      </c>
      <c r="H6000" t="s">
        <v>35</v>
      </c>
      <c r="J6000" t="s">
        <v>6615</v>
      </c>
      <c r="K6000" t="s">
        <v>1092</v>
      </c>
      <c r="M6000">
        <v>1.35</v>
      </c>
      <c r="N6000">
        <v>72</v>
      </c>
      <c r="O6000" t="s">
        <v>61</v>
      </c>
      <c r="Q6000" t="s">
        <v>1156</v>
      </c>
      <c r="R6000" t="s">
        <v>926</v>
      </c>
      <c r="S6000" t="s">
        <v>911</v>
      </c>
      <c r="T6000" t="s">
        <v>912</v>
      </c>
    </row>
    <row r="6001" spans="1:20" x14ac:dyDescent="0.25">
      <c r="A6001" t="s">
        <v>30</v>
      </c>
      <c r="B6001" t="s">
        <v>31</v>
      </c>
      <c r="C6001" t="s">
        <v>32</v>
      </c>
      <c r="D6001" t="s">
        <v>771</v>
      </c>
      <c r="E6001" t="s">
        <v>772</v>
      </c>
      <c r="F6001" t="s">
        <v>35</v>
      </c>
      <c r="G6001" t="s">
        <v>35</v>
      </c>
      <c r="H6001" t="s">
        <v>35</v>
      </c>
      <c r="J6001" t="s">
        <v>5994</v>
      </c>
      <c r="K6001" t="s">
        <v>1092</v>
      </c>
      <c r="M6001">
        <v>0.18</v>
      </c>
      <c r="N6001">
        <v>445</v>
      </c>
      <c r="O6001" t="s">
        <v>294</v>
      </c>
      <c r="Q6001" t="s">
        <v>2713</v>
      </c>
      <c r="R6001" t="s">
        <v>5995</v>
      </c>
      <c r="S6001" t="s">
        <v>5996</v>
      </c>
      <c r="T6001" t="s">
        <v>5997</v>
      </c>
    </row>
    <row r="6002" spans="1:20" x14ac:dyDescent="0.25">
      <c r="A6002" t="s">
        <v>59</v>
      </c>
      <c r="B6002" t="s">
        <v>60</v>
      </c>
      <c r="C6002" t="s">
        <v>32</v>
      </c>
      <c r="D6002" t="s">
        <v>771</v>
      </c>
      <c r="E6002" t="s">
        <v>772</v>
      </c>
      <c r="F6002" t="s">
        <v>35</v>
      </c>
      <c r="G6002" t="s">
        <v>35</v>
      </c>
      <c r="H6002" t="s">
        <v>35</v>
      </c>
      <c r="J6002" t="s">
        <v>5998</v>
      </c>
      <c r="K6002" t="s">
        <v>1092</v>
      </c>
      <c r="M6002">
        <v>0.35</v>
      </c>
      <c r="N6002">
        <v>2601</v>
      </c>
      <c r="O6002" t="s">
        <v>575</v>
      </c>
      <c r="Q6002" t="s">
        <v>4412</v>
      </c>
      <c r="R6002" t="s">
        <v>5995</v>
      </c>
      <c r="S6002" t="s">
        <v>5996</v>
      </c>
      <c r="T6002" t="s">
        <v>5997</v>
      </c>
    </row>
    <row r="6003" spans="1:20" x14ac:dyDescent="0.25">
      <c r="A6003" t="s">
        <v>30</v>
      </c>
      <c r="B6003" t="s">
        <v>31</v>
      </c>
      <c r="C6003" t="s">
        <v>32</v>
      </c>
      <c r="D6003" t="s">
        <v>771</v>
      </c>
      <c r="E6003" t="s">
        <v>888</v>
      </c>
      <c r="F6003" t="s">
        <v>35</v>
      </c>
      <c r="G6003" t="s">
        <v>35</v>
      </c>
      <c r="H6003" t="s">
        <v>35</v>
      </c>
      <c r="J6003" t="s">
        <v>6499</v>
      </c>
      <c r="K6003" t="s">
        <v>1092</v>
      </c>
      <c r="M6003">
        <v>3.5000000000000003E-2</v>
      </c>
      <c r="N6003">
        <v>170</v>
      </c>
      <c r="O6003" t="s">
        <v>38</v>
      </c>
      <c r="Q6003" t="s">
        <v>4657</v>
      </c>
      <c r="R6003" t="s">
        <v>5995</v>
      </c>
      <c r="S6003" t="s">
        <v>5996</v>
      </c>
      <c r="T6003" t="s">
        <v>5997</v>
      </c>
    </row>
    <row r="6004" spans="1:20" x14ac:dyDescent="0.25">
      <c r="A6004" t="s">
        <v>30</v>
      </c>
      <c r="B6004" t="s">
        <v>31</v>
      </c>
      <c r="C6004" t="s">
        <v>32</v>
      </c>
      <c r="D6004" t="s">
        <v>771</v>
      </c>
      <c r="E6004" t="s">
        <v>888</v>
      </c>
      <c r="F6004" t="s">
        <v>35</v>
      </c>
      <c r="G6004" t="s">
        <v>35</v>
      </c>
      <c r="H6004" t="s">
        <v>35</v>
      </c>
      <c r="J6004" t="s">
        <v>6495</v>
      </c>
      <c r="K6004" t="s">
        <v>1092</v>
      </c>
      <c r="M6004">
        <v>2.1150000000000002</v>
      </c>
      <c r="N6004">
        <v>106</v>
      </c>
      <c r="O6004" t="s">
        <v>106</v>
      </c>
      <c r="Q6004" t="s">
        <v>6066</v>
      </c>
      <c r="R6004" t="s">
        <v>5995</v>
      </c>
      <c r="S6004" t="s">
        <v>5996</v>
      </c>
      <c r="T6004" t="s">
        <v>5997</v>
      </c>
    </row>
    <row r="6005" spans="1:20" x14ac:dyDescent="0.25">
      <c r="A6005" t="s">
        <v>30</v>
      </c>
      <c r="B6005" t="s">
        <v>31</v>
      </c>
      <c r="C6005" t="s">
        <v>32</v>
      </c>
      <c r="D6005" t="s">
        <v>771</v>
      </c>
      <c r="E6005" t="s">
        <v>779</v>
      </c>
      <c r="F6005" t="s">
        <v>35</v>
      </c>
      <c r="G6005" t="s">
        <v>35</v>
      </c>
      <c r="H6005" t="s">
        <v>35</v>
      </c>
      <c r="J6005" t="s">
        <v>6016</v>
      </c>
      <c r="K6005" t="s">
        <v>1092</v>
      </c>
      <c r="M6005">
        <v>1.08</v>
      </c>
      <c r="N6005">
        <v>109</v>
      </c>
      <c r="O6005" t="s">
        <v>106</v>
      </c>
      <c r="Q6005" t="s">
        <v>1256</v>
      </c>
      <c r="R6005" t="s">
        <v>5995</v>
      </c>
      <c r="S6005" t="s">
        <v>5996</v>
      </c>
      <c r="T6005" t="s">
        <v>5997</v>
      </c>
    </row>
    <row r="6006" spans="1:20" x14ac:dyDescent="0.25">
      <c r="A6006" t="s">
        <v>59</v>
      </c>
      <c r="B6006" t="s">
        <v>31</v>
      </c>
      <c r="C6006" t="s">
        <v>32</v>
      </c>
      <c r="D6006" t="s">
        <v>771</v>
      </c>
      <c r="F6006" t="s">
        <v>35</v>
      </c>
      <c r="G6006" t="s">
        <v>35</v>
      </c>
      <c r="H6006" t="s">
        <v>35</v>
      </c>
      <c r="J6006" t="s">
        <v>6637</v>
      </c>
      <c r="K6006" t="s">
        <v>285</v>
      </c>
      <c r="M6006">
        <v>2.16</v>
      </c>
      <c r="N6006">
        <v>38</v>
      </c>
      <c r="O6006" t="s">
        <v>52</v>
      </c>
      <c r="Q6006" t="s">
        <v>716</v>
      </c>
      <c r="R6006" t="s">
        <v>844</v>
      </c>
      <c r="S6006" t="s">
        <v>806</v>
      </c>
      <c r="T6006" t="s">
        <v>160</v>
      </c>
    </row>
    <row r="6007" spans="1:20" x14ac:dyDescent="0.25">
      <c r="A6007" t="s">
        <v>44</v>
      </c>
      <c r="B6007" t="s">
        <v>51</v>
      </c>
      <c r="C6007" t="s">
        <v>32</v>
      </c>
      <c r="D6007" t="s">
        <v>771</v>
      </c>
      <c r="F6007" t="s">
        <v>35</v>
      </c>
      <c r="G6007" t="s">
        <v>35</v>
      </c>
      <c r="H6007" t="s">
        <v>35</v>
      </c>
      <c r="J6007" t="s">
        <v>6637</v>
      </c>
      <c r="K6007" t="s">
        <v>285</v>
      </c>
      <c r="M6007">
        <v>2</v>
      </c>
      <c r="N6007">
        <v>53</v>
      </c>
      <c r="O6007" t="s">
        <v>52</v>
      </c>
      <c r="Q6007" t="s">
        <v>1734</v>
      </c>
      <c r="R6007" t="s">
        <v>844</v>
      </c>
      <c r="S6007" t="s">
        <v>806</v>
      </c>
      <c r="T6007" t="s">
        <v>160</v>
      </c>
    </row>
    <row r="6008" spans="1:20" x14ac:dyDescent="0.25">
      <c r="A6008" t="s">
        <v>59</v>
      </c>
      <c r="B6008" t="s">
        <v>60</v>
      </c>
      <c r="C6008" t="s">
        <v>32</v>
      </c>
      <c r="D6008" t="s">
        <v>771</v>
      </c>
      <c r="F6008" t="s">
        <v>35</v>
      </c>
      <c r="G6008" t="s">
        <v>35</v>
      </c>
      <c r="H6008" t="s">
        <v>35</v>
      </c>
      <c r="J6008" t="s">
        <v>6637</v>
      </c>
      <c r="K6008" t="s">
        <v>285</v>
      </c>
      <c r="M6008">
        <v>2.75</v>
      </c>
      <c r="N6008">
        <v>38</v>
      </c>
      <c r="O6008" t="s">
        <v>52</v>
      </c>
      <c r="Q6008" t="s">
        <v>716</v>
      </c>
      <c r="R6008" t="s">
        <v>844</v>
      </c>
      <c r="S6008" t="s">
        <v>806</v>
      </c>
      <c r="T6008" t="s">
        <v>160</v>
      </c>
    </row>
    <row r="6009" spans="1:20" x14ac:dyDescent="0.25">
      <c r="A6009" t="s">
        <v>30</v>
      </c>
      <c r="B6009" t="s">
        <v>31</v>
      </c>
      <c r="C6009" t="s">
        <v>32</v>
      </c>
      <c r="D6009" t="s">
        <v>771</v>
      </c>
      <c r="F6009" t="s">
        <v>35</v>
      </c>
      <c r="G6009" t="s">
        <v>35</v>
      </c>
      <c r="H6009" t="s">
        <v>35</v>
      </c>
      <c r="J6009" t="s">
        <v>6638</v>
      </c>
      <c r="K6009" t="s">
        <v>1092</v>
      </c>
      <c r="M6009">
        <v>0.02</v>
      </c>
      <c r="N6009">
        <v>2410</v>
      </c>
      <c r="O6009" t="s">
        <v>575</v>
      </c>
      <c r="Q6009" t="s">
        <v>2908</v>
      </c>
      <c r="R6009" t="s">
        <v>844</v>
      </c>
      <c r="S6009" t="s">
        <v>806</v>
      </c>
      <c r="T6009" t="s">
        <v>160</v>
      </c>
    </row>
    <row r="6010" spans="1:20" x14ac:dyDescent="0.25">
      <c r="A6010" t="s">
        <v>30</v>
      </c>
      <c r="B6010" t="s">
        <v>31</v>
      </c>
      <c r="C6010" t="s">
        <v>32</v>
      </c>
      <c r="D6010" t="s">
        <v>771</v>
      </c>
      <c r="E6010" t="s">
        <v>6261</v>
      </c>
      <c r="F6010" t="s">
        <v>35</v>
      </c>
      <c r="G6010" t="s">
        <v>35</v>
      </c>
      <c r="H6010" t="s">
        <v>35</v>
      </c>
      <c r="J6010" t="s">
        <v>6264</v>
      </c>
      <c r="K6010" t="s">
        <v>1092</v>
      </c>
      <c r="M6010">
        <v>4.1399999999999997</v>
      </c>
      <c r="N6010">
        <v>230</v>
      </c>
      <c r="O6010" t="s">
        <v>5</v>
      </c>
      <c r="Q6010" t="s">
        <v>3446</v>
      </c>
      <c r="R6010" t="s">
        <v>844</v>
      </c>
      <c r="S6010" t="s">
        <v>806</v>
      </c>
      <c r="T6010" t="s">
        <v>160</v>
      </c>
    </row>
    <row r="6011" spans="1:20" x14ac:dyDescent="0.25">
      <c r="A6011" t="s">
        <v>59</v>
      </c>
      <c r="B6011" t="s">
        <v>31</v>
      </c>
      <c r="C6011" t="s">
        <v>32</v>
      </c>
      <c r="D6011" t="s">
        <v>771</v>
      </c>
      <c r="E6011" t="s">
        <v>6261</v>
      </c>
      <c r="F6011" t="s">
        <v>35</v>
      </c>
      <c r="G6011" t="s">
        <v>35</v>
      </c>
      <c r="H6011" t="s">
        <v>35</v>
      </c>
      <c r="J6011" t="s">
        <v>6264</v>
      </c>
      <c r="K6011" t="s">
        <v>1092</v>
      </c>
      <c r="M6011">
        <v>9.5850000000000009</v>
      </c>
      <c r="N6011">
        <v>296</v>
      </c>
      <c r="O6011" t="s">
        <v>5</v>
      </c>
      <c r="Q6011" t="s">
        <v>6265</v>
      </c>
      <c r="R6011" t="s">
        <v>844</v>
      </c>
      <c r="S6011" t="s">
        <v>806</v>
      </c>
      <c r="T6011" t="s">
        <v>160</v>
      </c>
    </row>
    <row r="6012" spans="1:20" x14ac:dyDescent="0.25">
      <c r="A6012" t="s">
        <v>59</v>
      </c>
      <c r="B6012" t="s">
        <v>31</v>
      </c>
      <c r="C6012" t="s">
        <v>32</v>
      </c>
      <c r="D6012" t="s">
        <v>771</v>
      </c>
      <c r="E6012" t="s">
        <v>6261</v>
      </c>
      <c r="F6012" t="s">
        <v>35</v>
      </c>
      <c r="G6012" t="s">
        <v>35</v>
      </c>
      <c r="H6012" t="s">
        <v>35</v>
      </c>
      <c r="J6012" t="s">
        <v>6264</v>
      </c>
      <c r="K6012" t="s">
        <v>1092</v>
      </c>
      <c r="M6012">
        <v>6.0750000000000002</v>
      </c>
      <c r="N6012">
        <v>245</v>
      </c>
      <c r="O6012" t="s">
        <v>5</v>
      </c>
      <c r="Q6012" t="s">
        <v>1222</v>
      </c>
      <c r="R6012" t="s">
        <v>844</v>
      </c>
      <c r="S6012" t="s">
        <v>806</v>
      </c>
      <c r="T6012" t="s">
        <v>160</v>
      </c>
    </row>
    <row r="6013" spans="1:20" x14ac:dyDescent="0.25">
      <c r="A6013" t="s">
        <v>30</v>
      </c>
      <c r="B6013" t="s">
        <v>31</v>
      </c>
      <c r="C6013" t="s">
        <v>32</v>
      </c>
      <c r="D6013" t="s">
        <v>771</v>
      </c>
      <c r="E6013" t="s">
        <v>6261</v>
      </c>
      <c r="F6013" t="s">
        <v>35</v>
      </c>
      <c r="G6013" t="s">
        <v>35</v>
      </c>
      <c r="H6013" t="s">
        <v>35</v>
      </c>
      <c r="J6013" t="s">
        <v>6264</v>
      </c>
      <c r="K6013" t="s">
        <v>1092</v>
      </c>
      <c r="M6013">
        <v>3.0150000000000001</v>
      </c>
      <c r="N6013">
        <v>108</v>
      </c>
      <c r="O6013" t="s">
        <v>106</v>
      </c>
      <c r="Q6013" t="s">
        <v>1195</v>
      </c>
      <c r="R6013" t="s">
        <v>844</v>
      </c>
      <c r="S6013" t="s">
        <v>806</v>
      </c>
      <c r="T6013" t="s">
        <v>160</v>
      </c>
    </row>
    <row r="6014" spans="1:20" x14ac:dyDescent="0.25">
      <c r="A6014" t="s">
        <v>30</v>
      </c>
      <c r="B6014" t="s">
        <v>31</v>
      </c>
      <c r="C6014" t="s">
        <v>32</v>
      </c>
      <c r="D6014" t="s">
        <v>771</v>
      </c>
      <c r="E6014" t="s">
        <v>888</v>
      </c>
      <c r="F6014" t="s">
        <v>35</v>
      </c>
      <c r="G6014" t="s">
        <v>35</v>
      </c>
      <c r="H6014" t="s">
        <v>35</v>
      </c>
      <c r="J6014" t="s">
        <v>6494</v>
      </c>
      <c r="K6014" t="s">
        <v>1092</v>
      </c>
      <c r="M6014">
        <v>6.3449999999999998</v>
      </c>
      <c r="N6014">
        <v>104</v>
      </c>
      <c r="O6014" t="s">
        <v>106</v>
      </c>
      <c r="Q6014" t="s">
        <v>4219</v>
      </c>
      <c r="R6014" t="s">
        <v>844</v>
      </c>
      <c r="S6014" t="s">
        <v>806</v>
      </c>
      <c r="T6014" t="s">
        <v>160</v>
      </c>
    </row>
    <row r="6015" spans="1:20" x14ac:dyDescent="0.25">
      <c r="A6015" t="s">
        <v>59</v>
      </c>
      <c r="B6015" t="s">
        <v>60</v>
      </c>
      <c r="C6015" t="s">
        <v>32</v>
      </c>
      <c r="D6015" t="s">
        <v>771</v>
      </c>
      <c r="E6015" t="s">
        <v>903</v>
      </c>
      <c r="F6015" t="s">
        <v>35</v>
      </c>
      <c r="G6015" t="s">
        <v>35</v>
      </c>
      <c r="H6015" t="s">
        <v>35</v>
      </c>
      <c r="J6015" t="s">
        <v>6558</v>
      </c>
      <c r="K6015" t="s">
        <v>1092</v>
      </c>
      <c r="M6015">
        <v>6.3</v>
      </c>
      <c r="N6015">
        <v>146</v>
      </c>
      <c r="O6015" t="s">
        <v>38</v>
      </c>
      <c r="Q6015" t="s">
        <v>569</v>
      </c>
      <c r="R6015" t="s">
        <v>844</v>
      </c>
      <c r="S6015" t="s">
        <v>806</v>
      </c>
      <c r="T6015" t="s">
        <v>160</v>
      </c>
    </row>
    <row r="6016" spans="1:20" x14ac:dyDescent="0.25">
      <c r="A6016" t="s">
        <v>59</v>
      </c>
      <c r="B6016" t="s">
        <v>31</v>
      </c>
      <c r="C6016" t="s">
        <v>32</v>
      </c>
      <c r="D6016" t="s">
        <v>771</v>
      </c>
      <c r="E6016" t="s">
        <v>845</v>
      </c>
      <c r="F6016" t="s">
        <v>35</v>
      </c>
      <c r="G6016" t="s">
        <v>35</v>
      </c>
      <c r="H6016" t="s">
        <v>35</v>
      </c>
      <c r="J6016" t="s">
        <v>6284</v>
      </c>
      <c r="K6016" t="s">
        <v>1092</v>
      </c>
      <c r="M6016">
        <v>2.97</v>
      </c>
      <c r="N6016">
        <v>146</v>
      </c>
      <c r="O6016" t="s">
        <v>38</v>
      </c>
      <c r="Q6016" t="s">
        <v>569</v>
      </c>
      <c r="R6016" t="s">
        <v>844</v>
      </c>
      <c r="S6016" t="s">
        <v>806</v>
      </c>
      <c r="T6016" t="s">
        <v>160</v>
      </c>
    </row>
    <row r="6017" spans="1:20" x14ac:dyDescent="0.25">
      <c r="A6017" t="s">
        <v>44</v>
      </c>
      <c r="B6017" t="s">
        <v>51</v>
      </c>
      <c r="C6017" t="s">
        <v>32</v>
      </c>
      <c r="D6017" t="s">
        <v>771</v>
      </c>
      <c r="E6017" t="s">
        <v>772</v>
      </c>
      <c r="F6017" t="s">
        <v>35</v>
      </c>
      <c r="G6017" t="s">
        <v>35</v>
      </c>
      <c r="H6017" t="s">
        <v>35</v>
      </c>
      <c r="J6017" t="s">
        <v>5999</v>
      </c>
      <c r="K6017" t="s">
        <v>1092</v>
      </c>
      <c r="M6017">
        <v>0.45</v>
      </c>
      <c r="N6017">
        <v>20</v>
      </c>
      <c r="O6017" t="s">
        <v>46</v>
      </c>
      <c r="Q6017" t="s">
        <v>1011</v>
      </c>
      <c r="R6017" t="s">
        <v>844</v>
      </c>
      <c r="S6017" t="s">
        <v>806</v>
      </c>
      <c r="T6017" t="s">
        <v>160</v>
      </c>
    </row>
    <row r="6018" spans="1:20" x14ac:dyDescent="0.25">
      <c r="A6018" t="s">
        <v>59</v>
      </c>
      <c r="B6018" t="s">
        <v>31</v>
      </c>
      <c r="C6018" t="s">
        <v>32</v>
      </c>
      <c r="D6018" t="s">
        <v>771</v>
      </c>
      <c r="E6018" t="s">
        <v>772</v>
      </c>
      <c r="F6018" t="s">
        <v>35</v>
      </c>
      <c r="G6018" t="s">
        <v>35</v>
      </c>
      <c r="H6018" t="s">
        <v>35</v>
      </c>
      <c r="J6018" t="s">
        <v>5999</v>
      </c>
      <c r="K6018" t="s">
        <v>1092</v>
      </c>
      <c r="M6018">
        <v>0.94499999999999995</v>
      </c>
      <c r="N6018">
        <v>20</v>
      </c>
      <c r="O6018" t="s">
        <v>46</v>
      </c>
      <c r="Q6018" t="s">
        <v>1011</v>
      </c>
      <c r="R6018" t="s">
        <v>844</v>
      </c>
      <c r="S6018" t="s">
        <v>806</v>
      </c>
      <c r="T6018" t="s">
        <v>160</v>
      </c>
    </row>
    <row r="6019" spans="1:20" x14ac:dyDescent="0.25">
      <c r="A6019" t="s">
        <v>59</v>
      </c>
      <c r="B6019" t="s">
        <v>60</v>
      </c>
      <c r="C6019" t="s">
        <v>32</v>
      </c>
      <c r="D6019" t="s">
        <v>771</v>
      </c>
      <c r="E6019" t="s">
        <v>772</v>
      </c>
      <c r="F6019" t="s">
        <v>35</v>
      </c>
      <c r="G6019" t="s">
        <v>35</v>
      </c>
      <c r="H6019" t="s">
        <v>35</v>
      </c>
      <c r="J6019" t="s">
        <v>5999</v>
      </c>
      <c r="K6019" t="s">
        <v>1092</v>
      </c>
      <c r="M6019">
        <v>3</v>
      </c>
      <c r="N6019">
        <v>6</v>
      </c>
      <c r="O6019" t="s">
        <v>46</v>
      </c>
      <c r="Q6019" t="s">
        <v>310</v>
      </c>
      <c r="R6019" t="s">
        <v>844</v>
      </c>
      <c r="S6019" t="s">
        <v>806</v>
      </c>
      <c r="T6019" t="s">
        <v>160</v>
      </c>
    </row>
    <row r="6020" spans="1:20" x14ac:dyDescent="0.25">
      <c r="A6020" t="s">
        <v>30</v>
      </c>
      <c r="B6020" t="s">
        <v>31</v>
      </c>
      <c r="C6020" t="s">
        <v>32</v>
      </c>
      <c r="D6020" t="s">
        <v>771</v>
      </c>
      <c r="E6020" t="s">
        <v>871</v>
      </c>
      <c r="F6020" t="s">
        <v>35</v>
      </c>
      <c r="G6020" t="s">
        <v>35</v>
      </c>
      <c r="H6020" t="s">
        <v>35</v>
      </c>
      <c r="J6020" t="s">
        <v>6409</v>
      </c>
      <c r="K6020" t="s">
        <v>1092</v>
      </c>
      <c r="M6020">
        <v>3.0150000000000001</v>
      </c>
      <c r="N6020">
        <v>104</v>
      </c>
      <c r="O6020" t="s">
        <v>106</v>
      </c>
      <c r="Q6020" t="s">
        <v>4219</v>
      </c>
      <c r="R6020" t="s">
        <v>844</v>
      </c>
      <c r="S6020" t="s">
        <v>806</v>
      </c>
      <c r="T6020" t="s">
        <v>160</v>
      </c>
    </row>
    <row r="6021" spans="1:20" x14ac:dyDescent="0.25">
      <c r="A6021" t="s">
        <v>59</v>
      </c>
      <c r="B6021" t="s">
        <v>60</v>
      </c>
      <c r="C6021" t="s">
        <v>32</v>
      </c>
      <c r="D6021" t="s">
        <v>771</v>
      </c>
      <c r="E6021" t="s">
        <v>6214</v>
      </c>
      <c r="F6021" t="s">
        <v>35</v>
      </c>
      <c r="G6021" t="s">
        <v>35</v>
      </c>
      <c r="H6021" t="s">
        <v>35</v>
      </c>
      <c r="J6021" t="s">
        <v>6219</v>
      </c>
      <c r="K6021" t="s">
        <v>1092</v>
      </c>
      <c r="M6021">
        <v>2.35</v>
      </c>
      <c r="N6021">
        <v>146</v>
      </c>
      <c r="O6021" t="s">
        <v>38</v>
      </c>
      <c r="Q6021" t="s">
        <v>569</v>
      </c>
      <c r="R6021" t="s">
        <v>844</v>
      </c>
      <c r="S6021" t="s">
        <v>806</v>
      </c>
      <c r="T6021" t="s">
        <v>160</v>
      </c>
    </row>
    <row r="6022" spans="1:20" x14ac:dyDescent="0.25">
      <c r="A6022" t="s">
        <v>59</v>
      </c>
      <c r="B6022" t="s">
        <v>60</v>
      </c>
      <c r="C6022" t="s">
        <v>32</v>
      </c>
      <c r="D6022" t="s">
        <v>771</v>
      </c>
      <c r="E6022" t="s">
        <v>871</v>
      </c>
      <c r="F6022" t="s">
        <v>35</v>
      </c>
      <c r="G6022" t="s">
        <v>35</v>
      </c>
      <c r="H6022" t="s">
        <v>35</v>
      </c>
      <c r="J6022" t="s">
        <v>6427</v>
      </c>
      <c r="K6022" t="s">
        <v>1092</v>
      </c>
      <c r="M6022">
        <v>3.25</v>
      </c>
      <c r="N6022">
        <v>5</v>
      </c>
      <c r="O6022" t="s">
        <v>46</v>
      </c>
      <c r="Q6022" t="s">
        <v>1865</v>
      </c>
      <c r="R6022" t="s">
        <v>844</v>
      </c>
      <c r="S6022" t="s">
        <v>806</v>
      </c>
      <c r="T6022" t="s">
        <v>160</v>
      </c>
    </row>
    <row r="6023" spans="1:20" x14ac:dyDescent="0.25">
      <c r="A6023" t="s">
        <v>30</v>
      </c>
      <c r="B6023" t="s">
        <v>31</v>
      </c>
      <c r="C6023" t="s">
        <v>32</v>
      </c>
      <c r="D6023" t="s">
        <v>771</v>
      </c>
      <c r="E6023" t="s">
        <v>871</v>
      </c>
      <c r="F6023" t="s">
        <v>35</v>
      </c>
      <c r="G6023" t="s">
        <v>35</v>
      </c>
      <c r="H6023" t="s">
        <v>35</v>
      </c>
      <c r="J6023" t="s">
        <v>6427</v>
      </c>
      <c r="K6023" t="s">
        <v>1092</v>
      </c>
      <c r="M6023">
        <v>6.99</v>
      </c>
      <c r="N6023">
        <v>41</v>
      </c>
      <c r="O6023" t="s">
        <v>52</v>
      </c>
      <c r="Q6023" t="s">
        <v>496</v>
      </c>
      <c r="R6023" t="s">
        <v>844</v>
      </c>
      <c r="S6023" t="s">
        <v>806</v>
      </c>
      <c r="T6023" t="s">
        <v>160</v>
      </c>
    </row>
    <row r="6024" spans="1:20" x14ac:dyDescent="0.25">
      <c r="A6024" t="s">
        <v>44</v>
      </c>
      <c r="B6024" t="s">
        <v>51</v>
      </c>
      <c r="C6024" t="s">
        <v>32</v>
      </c>
      <c r="D6024" t="s">
        <v>771</v>
      </c>
      <c r="E6024" t="s">
        <v>840</v>
      </c>
      <c r="F6024" t="s">
        <v>35</v>
      </c>
      <c r="G6024" t="s">
        <v>35</v>
      </c>
      <c r="H6024" t="s">
        <v>35</v>
      </c>
      <c r="J6024" t="s">
        <v>841</v>
      </c>
      <c r="K6024" t="s">
        <v>37</v>
      </c>
      <c r="M6024">
        <v>7</v>
      </c>
      <c r="N6024">
        <v>68</v>
      </c>
      <c r="O6024" t="s">
        <v>61</v>
      </c>
      <c r="P6024" t="s">
        <v>843</v>
      </c>
      <c r="Q6024" t="s">
        <v>805</v>
      </c>
      <c r="R6024" t="s">
        <v>844</v>
      </c>
      <c r="S6024" t="s">
        <v>806</v>
      </c>
      <c r="T6024" t="s">
        <v>160</v>
      </c>
    </row>
    <row r="6025" spans="1:20" x14ac:dyDescent="0.25">
      <c r="A6025" t="s">
        <v>59</v>
      </c>
      <c r="B6025" t="s">
        <v>31</v>
      </c>
      <c r="C6025" t="s">
        <v>32</v>
      </c>
      <c r="D6025" t="s">
        <v>771</v>
      </c>
      <c r="E6025" t="s">
        <v>840</v>
      </c>
      <c r="F6025" t="s">
        <v>35</v>
      </c>
      <c r="G6025" t="s">
        <v>35</v>
      </c>
      <c r="H6025" t="s">
        <v>35</v>
      </c>
      <c r="J6025" t="s">
        <v>6201</v>
      </c>
      <c r="K6025" t="s">
        <v>1092</v>
      </c>
      <c r="M6025">
        <v>10.035</v>
      </c>
      <c r="N6025">
        <v>6</v>
      </c>
      <c r="O6025" t="s">
        <v>46</v>
      </c>
      <c r="Q6025" t="s">
        <v>310</v>
      </c>
      <c r="R6025" t="s">
        <v>844</v>
      </c>
      <c r="S6025" t="s">
        <v>806</v>
      </c>
      <c r="T6025" t="s">
        <v>160</v>
      </c>
    </row>
    <row r="6026" spans="1:20" x14ac:dyDescent="0.25">
      <c r="A6026" t="s">
        <v>30</v>
      </c>
      <c r="B6026" t="s">
        <v>31</v>
      </c>
      <c r="C6026" t="s">
        <v>32</v>
      </c>
      <c r="D6026" t="s">
        <v>771</v>
      </c>
      <c r="E6026" t="s">
        <v>845</v>
      </c>
      <c r="F6026" t="s">
        <v>35</v>
      </c>
      <c r="G6026" t="s">
        <v>35</v>
      </c>
      <c r="H6026" t="s">
        <v>35</v>
      </c>
      <c r="J6026" t="s">
        <v>6279</v>
      </c>
      <c r="K6026" t="s">
        <v>1092</v>
      </c>
      <c r="M6026">
        <v>7.02</v>
      </c>
      <c r="N6026">
        <v>40</v>
      </c>
      <c r="O6026" t="s">
        <v>52</v>
      </c>
      <c r="Q6026" t="s">
        <v>132</v>
      </c>
      <c r="R6026" t="s">
        <v>844</v>
      </c>
      <c r="S6026" t="s">
        <v>806</v>
      </c>
      <c r="T6026" t="s">
        <v>160</v>
      </c>
    </row>
    <row r="6027" spans="1:20" x14ac:dyDescent="0.25">
      <c r="A6027" t="s">
        <v>30</v>
      </c>
      <c r="B6027" t="s">
        <v>31</v>
      </c>
      <c r="C6027" t="s">
        <v>32</v>
      </c>
      <c r="D6027" t="s">
        <v>771</v>
      </c>
      <c r="E6027" t="s">
        <v>845</v>
      </c>
      <c r="F6027" t="s">
        <v>35</v>
      </c>
      <c r="G6027" t="s">
        <v>35</v>
      </c>
      <c r="H6027" t="s">
        <v>35</v>
      </c>
      <c r="J6027" t="s">
        <v>6279</v>
      </c>
      <c r="K6027" t="s">
        <v>1092</v>
      </c>
      <c r="M6027">
        <v>8.3699999999999992</v>
      </c>
      <c r="N6027">
        <v>111</v>
      </c>
      <c r="O6027" t="s">
        <v>106</v>
      </c>
      <c r="Q6027" t="s">
        <v>1469</v>
      </c>
      <c r="R6027" t="s">
        <v>844</v>
      </c>
      <c r="S6027" t="s">
        <v>806</v>
      </c>
      <c r="T6027" t="s">
        <v>160</v>
      </c>
    </row>
    <row r="6028" spans="1:20" x14ac:dyDescent="0.25">
      <c r="A6028" t="s">
        <v>44</v>
      </c>
      <c r="B6028" t="s">
        <v>51</v>
      </c>
      <c r="C6028" t="s">
        <v>32</v>
      </c>
      <c r="D6028" t="s">
        <v>771</v>
      </c>
      <c r="E6028" t="s">
        <v>845</v>
      </c>
      <c r="F6028" t="s">
        <v>35</v>
      </c>
      <c r="G6028" t="s">
        <v>35</v>
      </c>
      <c r="H6028" t="s">
        <v>35</v>
      </c>
      <c r="J6028" t="s">
        <v>6279</v>
      </c>
      <c r="K6028" t="s">
        <v>1092</v>
      </c>
      <c r="M6028">
        <v>3.5</v>
      </c>
      <c r="N6028">
        <v>55</v>
      </c>
      <c r="O6028" t="s">
        <v>52</v>
      </c>
      <c r="Q6028" t="s">
        <v>90</v>
      </c>
      <c r="R6028" t="s">
        <v>844</v>
      </c>
      <c r="S6028" t="s">
        <v>806</v>
      </c>
      <c r="T6028" t="s">
        <v>160</v>
      </c>
    </row>
    <row r="6029" spans="1:20" x14ac:dyDescent="0.25">
      <c r="A6029" t="s">
        <v>44</v>
      </c>
      <c r="B6029" t="s">
        <v>51</v>
      </c>
      <c r="C6029" t="s">
        <v>32</v>
      </c>
      <c r="D6029" t="s">
        <v>771</v>
      </c>
      <c r="E6029" t="s">
        <v>845</v>
      </c>
      <c r="F6029" t="s">
        <v>35</v>
      </c>
      <c r="G6029" t="s">
        <v>35</v>
      </c>
      <c r="H6029" t="s">
        <v>35</v>
      </c>
      <c r="J6029" t="s">
        <v>853</v>
      </c>
      <c r="K6029" t="s">
        <v>37</v>
      </c>
      <c r="M6029">
        <v>10</v>
      </c>
      <c r="N6029">
        <v>68</v>
      </c>
      <c r="O6029" t="s">
        <v>61</v>
      </c>
      <c r="P6029" t="s">
        <v>855</v>
      </c>
      <c r="Q6029" t="s">
        <v>805</v>
      </c>
      <c r="R6029" t="s">
        <v>844</v>
      </c>
      <c r="S6029" t="s">
        <v>806</v>
      </c>
      <c r="T6029" t="s">
        <v>160</v>
      </c>
    </row>
    <row r="6030" spans="1:20" x14ac:dyDescent="0.25">
      <c r="A6030" t="s">
        <v>59</v>
      </c>
      <c r="B6030" t="s">
        <v>31</v>
      </c>
      <c r="C6030" t="s">
        <v>32</v>
      </c>
      <c r="D6030" t="s">
        <v>771</v>
      </c>
      <c r="E6030" t="s">
        <v>845</v>
      </c>
      <c r="F6030" t="s">
        <v>35</v>
      </c>
      <c r="G6030" t="s">
        <v>35</v>
      </c>
      <c r="H6030" t="s">
        <v>35</v>
      </c>
      <c r="J6030" t="s">
        <v>853</v>
      </c>
      <c r="K6030" t="s">
        <v>37</v>
      </c>
      <c r="M6030">
        <v>1.89</v>
      </c>
      <c r="N6030">
        <v>37</v>
      </c>
      <c r="O6030" t="s">
        <v>52</v>
      </c>
      <c r="P6030" t="s">
        <v>856</v>
      </c>
      <c r="Q6030" t="s">
        <v>192</v>
      </c>
      <c r="R6030" t="s">
        <v>844</v>
      </c>
      <c r="S6030" t="s">
        <v>806</v>
      </c>
      <c r="T6030" t="s">
        <v>160</v>
      </c>
    </row>
    <row r="6031" spans="1:20" x14ac:dyDescent="0.25">
      <c r="A6031" t="s">
        <v>59</v>
      </c>
      <c r="B6031" t="s">
        <v>60</v>
      </c>
      <c r="C6031" t="s">
        <v>32</v>
      </c>
      <c r="D6031" t="s">
        <v>771</v>
      </c>
      <c r="E6031" t="s">
        <v>845</v>
      </c>
      <c r="F6031" t="s">
        <v>35</v>
      </c>
      <c r="G6031" t="s">
        <v>35</v>
      </c>
      <c r="H6031" t="s">
        <v>35</v>
      </c>
      <c r="J6031" t="s">
        <v>853</v>
      </c>
      <c r="K6031" t="s">
        <v>37</v>
      </c>
      <c r="M6031">
        <v>9</v>
      </c>
      <c r="N6031">
        <v>81</v>
      </c>
      <c r="O6031" t="s">
        <v>61</v>
      </c>
      <c r="P6031" t="s">
        <v>857</v>
      </c>
      <c r="Q6031" t="s">
        <v>858</v>
      </c>
      <c r="R6031" t="s">
        <v>844</v>
      </c>
      <c r="S6031" t="s">
        <v>806</v>
      </c>
      <c r="T6031" t="s">
        <v>160</v>
      </c>
    </row>
    <row r="6032" spans="1:20" x14ac:dyDescent="0.25">
      <c r="A6032" t="s">
        <v>59</v>
      </c>
      <c r="B6032" t="s">
        <v>60</v>
      </c>
      <c r="C6032" t="s">
        <v>32</v>
      </c>
      <c r="D6032" t="s">
        <v>771</v>
      </c>
      <c r="E6032" t="s">
        <v>845</v>
      </c>
      <c r="F6032" t="s">
        <v>35</v>
      </c>
      <c r="G6032" t="s">
        <v>35</v>
      </c>
      <c r="H6032" t="s">
        <v>35</v>
      </c>
      <c r="J6032" t="s">
        <v>853</v>
      </c>
      <c r="K6032" t="s">
        <v>37</v>
      </c>
      <c r="M6032">
        <v>14</v>
      </c>
      <c r="N6032">
        <v>37</v>
      </c>
      <c r="O6032" t="s">
        <v>52</v>
      </c>
      <c r="P6032" t="s">
        <v>859</v>
      </c>
      <c r="Q6032" t="s">
        <v>192</v>
      </c>
      <c r="R6032" t="s">
        <v>844</v>
      </c>
      <c r="S6032" t="s">
        <v>806</v>
      </c>
      <c r="T6032" t="s">
        <v>160</v>
      </c>
    </row>
    <row r="6033" spans="1:20" x14ac:dyDescent="0.25">
      <c r="A6033" t="s">
        <v>30</v>
      </c>
      <c r="B6033" t="s">
        <v>31</v>
      </c>
      <c r="C6033" t="s">
        <v>32</v>
      </c>
      <c r="D6033" t="s">
        <v>771</v>
      </c>
      <c r="E6033" t="s">
        <v>845</v>
      </c>
      <c r="F6033" t="s">
        <v>35</v>
      </c>
      <c r="G6033" t="s">
        <v>35</v>
      </c>
      <c r="H6033" t="s">
        <v>35</v>
      </c>
      <c r="J6033" t="s">
        <v>853</v>
      </c>
      <c r="K6033" t="s">
        <v>37</v>
      </c>
      <c r="M6033">
        <v>14.13</v>
      </c>
      <c r="N6033">
        <v>37</v>
      </c>
      <c r="O6033" t="s">
        <v>52</v>
      </c>
      <c r="P6033" t="s">
        <v>860</v>
      </c>
      <c r="Q6033" t="s">
        <v>192</v>
      </c>
      <c r="R6033" t="s">
        <v>844</v>
      </c>
      <c r="S6033" t="s">
        <v>806</v>
      </c>
      <c r="T6033" t="s">
        <v>160</v>
      </c>
    </row>
    <row r="6034" spans="1:20" x14ac:dyDescent="0.25">
      <c r="A6034" t="s">
        <v>59</v>
      </c>
      <c r="B6034" t="s">
        <v>60</v>
      </c>
      <c r="C6034" t="s">
        <v>32</v>
      </c>
      <c r="D6034" t="s">
        <v>771</v>
      </c>
      <c r="E6034" t="s">
        <v>836</v>
      </c>
      <c r="F6034" t="s">
        <v>35</v>
      </c>
      <c r="G6034" t="s">
        <v>35</v>
      </c>
      <c r="H6034" t="s">
        <v>35</v>
      </c>
      <c r="J6034" t="s">
        <v>6151</v>
      </c>
      <c r="K6034" t="s">
        <v>1092</v>
      </c>
      <c r="M6034">
        <v>3</v>
      </c>
      <c r="N6034">
        <v>38</v>
      </c>
      <c r="O6034" t="s">
        <v>52</v>
      </c>
      <c r="Q6034" t="s">
        <v>716</v>
      </c>
      <c r="R6034" t="s">
        <v>844</v>
      </c>
      <c r="S6034" t="s">
        <v>806</v>
      </c>
      <c r="T6034" t="s">
        <v>160</v>
      </c>
    </row>
    <row r="6035" spans="1:20" x14ac:dyDescent="0.25">
      <c r="A6035" t="s">
        <v>44</v>
      </c>
      <c r="B6035" t="s">
        <v>3</v>
      </c>
      <c r="C6035" t="s">
        <v>32</v>
      </c>
      <c r="D6035" t="s">
        <v>771</v>
      </c>
      <c r="E6035" t="s">
        <v>865</v>
      </c>
      <c r="F6035" t="s">
        <v>35</v>
      </c>
      <c r="G6035" t="s">
        <v>35</v>
      </c>
      <c r="H6035" t="s">
        <v>35</v>
      </c>
      <c r="J6035" t="s">
        <v>6382</v>
      </c>
      <c r="K6035" t="s">
        <v>1092</v>
      </c>
      <c r="M6035">
        <v>1.1000000000000001</v>
      </c>
      <c r="N6035">
        <v>434</v>
      </c>
      <c r="O6035" t="s">
        <v>294</v>
      </c>
      <c r="Q6035" t="s">
        <v>1888</v>
      </c>
      <c r="R6035" t="s">
        <v>844</v>
      </c>
      <c r="S6035" t="s">
        <v>806</v>
      </c>
      <c r="T6035" t="s">
        <v>160</v>
      </c>
    </row>
    <row r="6036" spans="1:20" x14ac:dyDescent="0.25">
      <c r="A6036" t="s">
        <v>30</v>
      </c>
      <c r="B6036" t="s">
        <v>31</v>
      </c>
      <c r="C6036" t="s">
        <v>32</v>
      </c>
      <c r="D6036" t="s">
        <v>771</v>
      </c>
      <c r="E6036" t="s">
        <v>783</v>
      </c>
      <c r="F6036" t="s">
        <v>35</v>
      </c>
      <c r="G6036" t="s">
        <v>35</v>
      </c>
      <c r="H6036" t="s">
        <v>35</v>
      </c>
      <c r="J6036" t="s">
        <v>6025</v>
      </c>
      <c r="K6036" t="s">
        <v>1092</v>
      </c>
      <c r="M6036">
        <v>0.36</v>
      </c>
      <c r="N6036">
        <v>273</v>
      </c>
      <c r="O6036" t="s">
        <v>5</v>
      </c>
      <c r="Q6036" t="s">
        <v>4595</v>
      </c>
      <c r="R6036" t="s">
        <v>844</v>
      </c>
      <c r="S6036" t="s">
        <v>806</v>
      </c>
      <c r="T6036" t="s">
        <v>160</v>
      </c>
    </row>
    <row r="6037" spans="1:20" x14ac:dyDescent="0.25">
      <c r="A6037" t="s">
        <v>44</v>
      </c>
      <c r="B6037" t="s">
        <v>51</v>
      </c>
      <c r="C6037" t="s">
        <v>32</v>
      </c>
      <c r="D6037" t="s">
        <v>771</v>
      </c>
      <c r="E6037" t="s">
        <v>783</v>
      </c>
      <c r="F6037" t="s">
        <v>35</v>
      </c>
      <c r="G6037" t="s">
        <v>35</v>
      </c>
      <c r="H6037" t="s">
        <v>35</v>
      </c>
      <c r="J6037" t="s">
        <v>6025</v>
      </c>
      <c r="K6037" t="s">
        <v>1092</v>
      </c>
      <c r="M6037">
        <v>1.5</v>
      </c>
      <c r="N6037">
        <v>52</v>
      </c>
      <c r="O6037" t="s">
        <v>52</v>
      </c>
      <c r="Q6037" t="s">
        <v>84</v>
      </c>
      <c r="R6037" t="s">
        <v>844</v>
      </c>
      <c r="S6037" t="s">
        <v>806</v>
      </c>
      <c r="T6037" t="s">
        <v>160</v>
      </c>
    </row>
    <row r="6038" spans="1:20" x14ac:dyDescent="0.25">
      <c r="A6038" t="s">
        <v>59</v>
      </c>
      <c r="B6038" t="s">
        <v>60</v>
      </c>
      <c r="C6038" t="s">
        <v>32</v>
      </c>
      <c r="D6038" t="s">
        <v>771</v>
      </c>
      <c r="E6038" t="s">
        <v>836</v>
      </c>
      <c r="F6038" t="s">
        <v>35</v>
      </c>
      <c r="G6038" t="s">
        <v>35</v>
      </c>
      <c r="H6038" t="s">
        <v>35</v>
      </c>
      <c r="J6038" t="s">
        <v>6164</v>
      </c>
      <c r="K6038" t="s">
        <v>1092</v>
      </c>
      <c r="M6038">
        <v>2</v>
      </c>
      <c r="N6038">
        <v>38</v>
      </c>
      <c r="O6038" t="s">
        <v>52</v>
      </c>
      <c r="Q6038" t="s">
        <v>716</v>
      </c>
      <c r="R6038" t="s">
        <v>844</v>
      </c>
      <c r="S6038" t="s">
        <v>806</v>
      </c>
      <c r="T6038" t="s">
        <v>160</v>
      </c>
    </row>
    <row r="6039" spans="1:20" x14ac:dyDescent="0.25">
      <c r="A6039" t="s">
        <v>59</v>
      </c>
      <c r="B6039" t="s">
        <v>31</v>
      </c>
      <c r="C6039" t="s">
        <v>32</v>
      </c>
      <c r="D6039" t="s">
        <v>771</v>
      </c>
      <c r="E6039" t="s">
        <v>836</v>
      </c>
      <c r="F6039" t="s">
        <v>35</v>
      </c>
      <c r="G6039" t="s">
        <v>35</v>
      </c>
      <c r="H6039" t="s">
        <v>35</v>
      </c>
      <c r="J6039" t="s">
        <v>6164</v>
      </c>
      <c r="K6039" t="s">
        <v>1092</v>
      </c>
      <c r="M6039">
        <v>0.76500000000000001</v>
      </c>
      <c r="N6039">
        <v>146</v>
      </c>
      <c r="O6039" t="s">
        <v>38</v>
      </c>
      <c r="Q6039" t="s">
        <v>569</v>
      </c>
      <c r="R6039" t="s">
        <v>844</v>
      </c>
      <c r="S6039" t="s">
        <v>806</v>
      </c>
      <c r="T6039" t="s">
        <v>160</v>
      </c>
    </row>
    <row r="6040" spans="1:20" x14ac:dyDescent="0.25">
      <c r="A6040" t="s">
        <v>30</v>
      </c>
      <c r="B6040" t="s">
        <v>31</v>
      </c>
      <c r="C6040" t="s">
        <v>32</v>
      </c>
      <c r="D6040" t="s">
        <v>771</v>
      </c>
      <c r="E6040" t="s">
        <v>836</v>
      </c>
      <c r="F6040" t="s">
        <v>35</v>
      </c>
      <c r="G6040" t="s">
        <v>35</v>
      </c>
      <c r="H6040" t="s">
        <v>35</v>
      </c>
      <c r="J6040" t="s">
        <v>6164</v>
      </c>
      <c r="K6040" t="s">
        <v>1092</v>
      </c>
      <c r="M6040">
        <v>1.98</v>
      </c>
      <c r="N6040">
        <v>230</v>
      </c>
      <c r="O6040" t="s">
        <v>5</v>
      </c>
      <c r="Q6040" t="s">
        <v>3446</v>
      </c>
      <c r="R6040" t="s">
        <v>844</v>
      </c>
      <c r="S6040" t="s">
        <v>806</v>
      </c>
      <c r="T6040" t="s">
        <v>160</v>
      </c>
    </row>
    <row r="6041" spans="1:20" x14ac:dyDescent="0.25">
      <c r="A6041" t="s">
        <v>59</v>
      </c>
      <c r="B6041" t="s">
        <v>31</v>
      </c>
      <c r="C6041" t="s">
        <v>32</v>
      </c>
      <c r="D6041" t="s">
        <v>771</v>
      </c>
      <c r="E6041" t="s">
        <v>836</v>
      </c>
      <c r="F6041" t="s">
        <v>35</v>
      </c>
      <c r="G6041" t="s">
        <v>35</v>
      </c>
      <c r="H6041" t="s">
        <v>35</v>
      </c>
      <c r="J6041" t="s">
        <v>6164</v>
      </c>
      <c r="K6041" t="s">
        <v>1092</v>
      </c>
      <c r="M6041">
        <v>2.0249999999999999</v>
      </c>
      <c r="N6041">
        <v>38</v>
      </c>
      <c r="O6041" t="s">
        <v>52</v>
      </c>
      <c r="Q6041" t="s">
        <v>716</v>
      </c>
      <c r="R6041" t="s">
        <v>844</v>
      </c>
      <c r="S6041" t="s">
        <v>806</v>
      </c>
      <c r="T6041" t="s">
        <v>160</v>
      </c>
    </row>
    <row r="6042" spans="1:20" x14ac:dyDescent="0.25">
      <c r="A6042" t="s">
        <v>44</v>
      </c>
      <c r="B6042" t="s">
        <v>51</v>
      </c>
      <c r="C6042" t="s">
        <v>32</v>
      </c>
      <c r="D6042" t="s">
        <v>771</v>
      </c>
      <c r="E6042" t="s">
        <v>6319</v>
      </c>
      <c r="F6042" t="s">
        <v>35</v>
      </c>
      <c r="G6042" t="s">
        <v>35</v>
      </c>
      <c r="H6042" t="s">
        <v>35</v>
      </c>
      <c r="J6042" t="s">
        <v>6333</v>
      </c>
      <c r="K6042" t="s">
        <v>3132</v>
      </c>
      <c r="M6042">
        <v>3.5</v>
      </c>
      <c r="N6042">
        <v>55</v>
      </c>
      <c r="O6042" t="s">
        <v>52</v>
      </c>
      <c r="Q6042" t="s">
        <v>90</v>
      </c>
      <c r="R6042" t="s">
        <v>844</v>
      </c>
      <c r="S6042" t="s">
        <v>806</v>
      </c>
      <c r="T6042" t="s">
        <v>160</v>
      </c>
    </row>
    <row r="6043" spans="1:20" x14ac:dyDescent="0.25">
      <c r="A6043" t="s">
        <v>30</v>
      </c>
      <c r="B6043" t="s">
        <v>31</v>
      </c>
      <c r="C6043" t="s">
        <v>32</v>
      </c>
      <c r="D6043" t="s">
        <v>771</v>
      </c>
      <c r="E6043" t="s">
        <v>6319</v>
      </c>
      <c r="F6043" t="s">
        <v>35</v>
      </c>
      <c r="G6043" t="s">
        <v>35</v>
      </c>
      <c r="H6043" t="s">
        <v>35</v>
      </c>
      <c r="J6043" t="s">
        <v>6333</v>
      </c>
      <c r="K6043" t="s">
        <v>3132</v>
      </c>
      <c r="M6043">
        <v>3.51</v>
      </c>
      <c r="N6043">
        <v>41</v>
      </c>
      <c r="O6043" t="s">
        <v>52</v>
      </c>
      <c r="Q6043" t="s">
        <v>496</v>
      </c>
      <c r="R6043" t="s">
        <v>844</v>
      </c>
      <c r="S6043" t="s">
        <v>806</v>
      </c>
      <c r="T6043" t="s">
        <v>160</v>
      </c>
    </row>
    <row r="6044" spans="1:20" x14ac:dyDescent="0.25">
      <c r="A6044" t="s">
        <v>30</v>
      </c>
      <c r="B6044" t="s">
        <v>31</v>
      </c>
      <c r="C6044" t="s">
        <v>32</v>
      </c>
      <c r="D6044" t="s">
        <v>771</v>
      </c>
      <c r="E6044" t="s">
        <v>845</v>
      </c>
      <c r="F6044" t="s">
        <v>35</v>
      </c>
      <c r="G6044" t="s">
        <v>35</v>
      </c>
      <c r="H6044" t="s">
        <v>35</v>
      </c>
      <c r="J6044" t="s">
        <v>4247</v>
      </c>
      <c r="K6044" t="s">
        <v>1092</v>
      </c>
      <c r="M6044">
        <v>7.02</v>
      </c>
      <c r="N6044">
        <v>195</v>
      </c>
      <c r="O6044" t="s">
        <v>5</v>
      </c>
      <c r="Q6044" t="s">
        <v>1299</v>
      </c>
      <c r="R6044" t="s">
        <v>844</v>
      </c>
      <c r="S6044" t="s">
        <v>806</v>
      </c>
      <c r="T6044" t="s">
        <v>160</v>
      </c>
    </row>
    <row r="6045" spans="1:20" x14ac:dyDescent="0.25">
      <c r="A6045" t="s">
        <v>44</v>
      </c>
      <c r="B6045" t="s">
        <v>51</v>
      </c>
      <c r="C6045" t="s">
        <v>32</v>
      </c>
      <c r="D6045" t="s">
        <v>771</v>
      </c>
      <c r="E6045" t="s">
        <v>845</v>
      </c>
      <c r="F6045" t="s">
        <v>35</v>
      </c>
      <c r="G6045" t="s">
        <v>35</v>
      </c>
      <c r="H6045" t="s">
        <v>35</v>
      </c>
      <c r="J6045" t="s">
        <v>6281</v>
      </c>
      <c r="K6045" t="s">
        <v>1092</v>
      </c>
      <c r="M6045">
        <v>0.1</v>
      </c>
      <c r="N6045">
        <v>55</v>
      </c>
      <c r="O6045" t="s">
        <v>52</v>
      </c>
      <c r="Q6045" t="s">
        <v>90</v>
      </c>
      <c r="R6045" t="s">
        <v>844</v>
      </c>
      <c r="S6045" t="s">
        <v>806</v>
      </c>
      <c r="T6045" t="s">
        <v>160</v>
      </c>
    </row>
    <row r="6046" spans="1:20" x14ac:dyDescent="0.25">
      <c r="A6046" t="s">
        <v>30</v>
      </c>
      <c r="B6046" t="s">
        <v>31</v>
      </c>
      <c r="C6046" t="s">
        <v>32</v>
      </c>
      <c r="D6046" t="s">
        <v>771</v>
      </c>
      <c r="E6046" t="s">
        <v>845</v>
      </c>
      <c r="F6046" t="s">
        <v>35</v>
      </c>
      <c r="G6046" t="s">
        <v>35</v>
      </c>
      <c r="H6046" t="s">
        <v>35</v>
      </c>
      <c r="J6046" t="s">
        <v>6281</v>
      </c>
      <c r="K6046" t="s">
        <v>1092</v>
      </c>
      <c r="M6046">
        <v>2.16</v>
      </c>
      <c r="N6046">
        <v>40</v>
      </c>
      <c r="O6046" t="s">
        <v>52</v>
      </c>
      <c r="Q6046" t="s">
        <v>132</v>
      </c>
      <c r="R6046" t="s">
        <v>844</v>
      </c>
      <c r="S6046" t="s">
        <v>806</v>
      </c>
      <c r="T6046" t="s">
        <v>160</v>
      </c>
    </row>
    <row r="6047" spans="1:20" x14ac:dyDescent="0.25">
      <c r="A6047" t="s">
        <v>44</v>
      </c>
      <c r="B6047" t="s">
        <v>51</v>
      </c>
      <c r="C6047" t="s">
        <v>32</v>
      </c>
      <c r="D6047" t="s">
        <v>771</v>
      </c>
      <c r="F6047" t="s">
        <v>35</v>
      </c>
      <c r="G6047" t="s">
        <v>35</v>
      </c>
      <c r="H6047" t="s">
        <v>35</v>
      </c>
      <c r="J6047" t="s">
        <v>6640</v>
      </c>
      <c r="K6047" t="s">
        <v>1092</v>
      </c>
      <c r="M6047">
        <v>4.4000000000000004</v>
      </c>
      <c r="N6047">
        <v>68</v>
      </c>
      <c r="O6047" t="s">
        <v>61</v>
      </c>
      <c r="Q6047" t="s">
        <v>805</v>
      </c>
      <c r="R6047" t="s">
        <v>844</v>
      </c>
      <c r="S6047" t="s">
        <v>806</v>
      </c>
      <c r="T6047" t="s">
        <v>160</v>
      </c>
    </row>
    <row r="6048" spans="1:20" x14ac:dyDescent="0.25">
      <c r="A6048" t="s">
        <v>30</v>
      </c>
      <c r="B6048" t="s">
        <v>31</v>
      </c>
      <c r="C6048" t="s">
        <v>32</v>
      </c>
      <c r="D6048" t="s">
        <v>771</v>
      </c>
      <c r="E6048" t="s">
        <v>861</v>
      </c>
      <c r="F6048" t="s">
        <v>35</v>
      </c>
      <c r="G6048" t="s">
        <v>35</v>
      </c>
      <c r="H6048" t="s">
        <v>35</v>
      </c>
      <c r="J6048" t="s">
        <v>6310</v>
      </c>
      <c r="K6048" t="s">
        <v>1092</v>
      </c>
      <c r="M6048">
        <v>2.1150000000000002</v>
      </c>
      <c r="N6048">
        <v>38</v>
      </c>
      <c r="O6048" t="s">
        <v>52</v>
      </c>
      <c r="Q6048" t="s">
        <v>716</v>
      </c>
      <c r="R6048" t="s">
        <v>844</v>
      </c>
      <c r="S6048" t="s">
        <v>806</v>
      </c>
      <c r="T6048" t="s">
        <v>160</v>
      </c>
    </row>
    <row r="6049" spans="1:20" x14ac:dyDescent="0.25">
      <c r="A6049" t="s">
        <v>59</v>
      </c>
      <c r="B6049" t="s">
        <v>60</v>
      </c>
      <c r="C6049" t="s">
        <v>32</v>
      </c>
      <c r="D6049" t="s">
        <v>771</v>
      </c>
      <c r="E6049" t="s">
        <v>783</v>
      </c>
      <c r="F6049" t="s">
        <v>35</v>
      </c>
      <c r="G6049" t="s">
        <v>35</v>
      </c>
      <c r="H6049" t="s">
        <v>35</v>
      </c>
      <c r="J6049" t="s">
        <v>6072</v>
      </c>
      <c r="K6049" t="s">
        <v>1092</v>
      </c>
      <c r="M6049">
        <v>1.25</v>
      </c>
      <c r="N6049">
        <v>324</v>
      </c>
      <c r="O6049" t="s">
        <v>5</v>
      </c>
      <c r="Q6049" t="s">
        <v>6073</v>
      </c>
      <c r="R6049" t="s">
        <v>844</v>
      </c>
      <c r="S6049" t="s">
        <v>806</v>
      </c>
      <c r="T6049" t="s">
        <v>160</v>
      </c>
    </row>
    <row r="6050" spans="1:20" x14ac:dyDescent="0.25">
      <c r="A6050" t="s">
        <v>59</v>
      </c>
      <c r="B6050" t="s">
        <v>60</v>
      </c>
      <c r="C6050" t="s">
        <v>32</v>
      </c>
      <c r="D6050" t="s">
        <v>771</v>
      </c>
      <c r="E6050" t="s">
        <v>783</v>
      </c>
      <c r="F6050" t="s">
        <v>35</v>
      </c>
      <c r="G6050" t="s">
        <v>35</v>
      </c>
      <c r="H6050" t="s">
        <v>35</v>
      </c>
      <c r="J6050" t="s">
        <v>6072</v>
      </c>
      <c r="K6050" t="s">
        <v>1092</v>
      </c>
      <c r="M6050">
        <v>0.1</v>
      </c>
      <c r="N6050">
        <v>832</v>
      </c>
      <c r="O6050" t="s">
        <v>575</v>
      </c>
      <c r="Q6050" t="s">
        <v>6074</v>
      </c>
      <c r="R6050" t="s">
        <v>844</v>
      </c>
      <c r="S6050" t="s">
        <v>806</v>
      </c>
      <c r="T6050" t="s">
        <v>160</v>
      </c>
    </row>
    <row r="6051" spans="1:20" x14ac:dyDescent="0.25">
      <c r="A6051" t="s">
        <v>59</v>
      </c>
      <c r="B6051" t="s">
        <v>60</v>
      </c>
      <c r="C6051" t="s">
        <v>32</v>
      </c>
      <c r="D6051" t="s">
        <v>771</v>
      </c>
      <c r="E6051" t="s">
        <v>783</v>
      </c>
      <c r="F6051" t="s">
        <v>35</v>
      </c>
      <c r="G6051" t="s">
        <v>35</v>
      </c>
      <c r="H6051" t="s">
        <v>35</v>
      </c>
      <c r="J6051" t="s">
        <v>6072</v>
      </c>
      <c r="K6051" t="s">
        <v>1092</v>
      </c>
      <c r="M6051">
        <v>0.5</v>
      </c>
      <c r="N6051">
        <v>655</v>
      </c>
      <c r="O6051" t="s">
        <v>575</v>
      </c>
      <c r="Q6051" t="s">
        <v>6075</v>
      </c>
      <c r="R6051" t="s">
        <v>844</v>
      </c>
      <c r="S6051" t="s">
        <v>806</v>
      </c>
      <c r="T6051" t="s">
        <v>160</v>
      </c>
    </row>
    <row r="6052" spans="1:20" x14ac:dyDescent="0.25">
      <c r="A6052" t="s">
        <v>59</v>
      </c>
      <c r="B6052" t="s">
        <v>60</v>
      </c>
      <c r="C6052" t="s">
        <v>32</v>
      </c>
      <c r="D6052" t="s">
        <v>771</v>
      </c>
      <c r="E6052" t="s">
        <v>783</v>
      </c>
      <c r="F6052" t="s">
        <v>35</v>
      </c>
      <c r="G6052" t="s">
        <v>35</v>
      </c>
      <c r="H6052" t="s">
        <v>35</v>
      </c>
      <c r="J6052" t="s">
        <v>6072</v>
      </c>
      <c r="K6052" t="s">
        <v>1092</v>
      </c>
      <c r="M6052">
        <v>0.35</v>
      </c>
      <c r="N6052">
        <v>609</v>
      </c>
      <c r="O6052" t="s">
        <v>575</v>
      </c>
      <c r="Q6052" t="s">
        <v>1849</v>
      </c>
      <c r="R6052" t="s">
        <v>844</v>
      </c>
      <c r="S6052" t="s">
        <v>806</v>
      </c>
      <c r="T6052" t="s">
        <v>160</v>
      </c>
    </row>
    <row r="6053" spans="1:20" x14ac:dyDescent="0.25">
      <c r="A6053" t="s">
        <v>59</v>
      </c>
      <c r="B6053" t="s">
        <v>60</v>
      </c>
      <c r="C6053" t="s">
        <v>32</v>
      </c>
      <c r="D6053" t="s">
        <v>771</v>
      </c>
      <c r="E6053" t="s">
        <v>783</v>
      </c>
      <c r="F6053" t="s">
        <v>35</v>
      </c>
      <c r="G6053" t="s">
        <v>35</v>
      </c>
      <c r="H6053" t="s">
        <v>35</v>
      </c>
      <c r="J6053" t="s">
        <v>6072</v>
      </c>
      <c r="K6053" t="s">
        <v>1092</v>
      </c>
      <c r="M6053">
        <v>0.5</v>
      </c>
      <c r="N6053">
        <v>578</v>
      </c>
      <c r="O6053" t="s">
        <v>575</v>
      </c>
      <c r="Q6053" t="s">
        <v>1416</v>
      </c>
      <c r="R6053" t="s">
        <v>844</v>
      </c>
      <c r="S6053" t="s">
        <v>806</v>
      </c>
      <c r="T6053" t="s">
        <v>160</v>
      </c>
    </row>
    <row r="6054" spans="1:20" x14ac:dyDescent="0.25">
      <c r="A6054" t="s">
        <v>59</v>
      </c>
      <c r="B6054" t="s">
        <v>60</v>
      </c>
      <c r="C6054" t="s">
        <v>32</v>
      </c>
      <c r="D6054" t="s">
        <v>771</v>
      </c>
      <c r="E6054" t="s">
        <v>783</v>
      </c>
      <c r="F6054" t="s">
        <v>35</v>
      </c>
      <c r="G6054" t="s">
        <v>35</v>
      </c>
      <c r="H6054" t="s">
        <v>35</v>
      </c>
      <c r="J6054" t="s">
        <v>6072</v>
      </c>
      <c r="K6054" t="s">
        <v>1092</v>
      </c>
      <c r="M6054">
        <v>0.25</v>
      </c>
      <c r="N6054">
        <v>370</v>
      </c>
      <c r="O6054" t="s">
        <v>294</v>
      </c>
      <c r="Q6054" t="s">
        <v>6076</v>
      </c>
      <c r="R6054" t="s">
        <v>844</v>
      </c>
      <c r="S6054" t="s">
        <v>806</v>
      </c>
      <c r="T6054" t="s">
        <v>160</v>
      </c>
    </row>
    <row r="6055" spans="1:20" x14ac:dyDescent="0.25">
      <c r="A6055" t="s">
        <v>44</v>
      </c>
      <c r="B6055" t="s">
        <v>3</v>
      </c>
      <c r="C6055" t="s">
        <v>32</v>
      </c>
      <c r="D6055" t="s">
        <v>771</v>
      </c>
      <c r="E6055" t="s">
        <v>783</v>
      </c>
      <c r="F6055" t="s">
        <v>35</v>
      </c>
      <c r="G6055" t="s">
        <v>35</v>
      </c>
      <c r="H6055" t="s">
        <v>35</v>
      </c>
      <c r="J6055" t="s">
        <v>6072</v>
      </c>
      <c r="K6055" t="s">
        <v>1092</v>
      </c>
      <c r="M6055">
        <v>0.25</v>
      </c>
      <c r="N6055">
        <v>370</v>
      </c>
      <c r="O6055" t="s">
        <v>294</v>
      </c>
      <c r="Q6055" t="s">
        <v>6076</v>
      </c>
      <c r="R6055" t="s">
        <v>844</v>
      </c>
      <c r="S6055" t="s">
        <v>806</v>
      </c>
      <c r="T6055" t="s">
        <v>160</v>
      </c>
    </row>
    <row r="6056" spans="1:20" x14ac:dyDescent="0.25">
      <c r="A6056" t="s">
        <v>59</v>
      </c>
      <c r="B6056" t="s">
        <v>60</v>
      </c>
      <c r="C6056" t="s">
        <v>32</v>
      </c>
      <c r="D6056" t="s">
        <v>771</v>
      </c>
      <c r="E6056" t="s">
        <v>783</v>
      </c>
      <c r="F6056" t="s">
        <v>35</v>
      </c>
      <c r="G6056" t="s">
        <v>35</v>
      </c>
      <c r="H6056" t="s">
        <v>35</v>
      </c>
      <c r="J6056" t="s">
        <v>6072</v>
      </c>
      <c r="K6056" t="s">
        <v>1092</v>
      </c>
      <c r="M6056">
        <v>1</v>
      </c>
      <c r="N6056">
        <v>331</v>
      </c>
      <c r="O6056" t="s">
        <v>5</v>
      </c>
      <c r="Q6056" t="s">
        <v>4608</v>
      </c>
      <c r="R6056" t="s">
        <v>844</v>
      </c>
      <c r="S6056" t="s">
        <v>806</v>
      </c>
      <c r="T6056" t="s">
        <v>160</v>
      </c>
    </row>
    <row r="6057" spans="1:20" x14ac:dyDescent="0.25">
      <c r="A6057" t="s">
        <v>44</v>
      </c>
      <c r="B6057" t="s">
        <v>51</v>
      </c>
      <c r="C6057" t="s">
        <v>32</v>
      </c>
      <c r="D6057" t="s">
        <v>771</v>
      </c>
      <c r="E6057" t="s">
        <v>783</v>
      </c>
      <c r="F6057" t="s">
        <v>35</v>
      </c>
      <c r="G6057" t="s">
        <v>35</v>
      </c>
      <c r="H6057" t="s">
        <v>35</v>
      </c>
      <c r="J6057" t="s">
        <v>6072</v>
      </c>
      <c r="K6057" t="s">
        <v>1092</v>
      </c>
      <c r="M6057">
        <v>0.5</v>
      </c>
      <c r="N6057">
        <v>331</v>
      </c>
      <c r="O6057" t="s">
        <v>5</v>
      </c>
      <c r="Q6057" t="s">
        <v>4608</v>
      </c>
      <c r="R6057" t="s">
        <v>844</v>
      </c>
      <c r="S6057" t="s">
        <v>806</v>
      </c>
      <c r="T6057" t="s">
        <v>160</v>
      </c>
    </row>
    <row r="6058" spans="1:20" x14ac:dyDescent="0.25">
      <c r="A6058" t="s">
        <v>44</v>
      </c>
      <c r="B6058" t="s">
        <v>51</v>
      </c>
      <c r="C6058" t="s">
        <v>32</v>
      </c>
      <c r="D6058" t="s">
        <v>771</v>
      </c>
      <c r="E6058" t="s">
        <v>783</v>
      </c>
      <c r="F6058" t="s">
        <v>35</v>
      </c>
      <c r="G6058" t="s">
        <v>35</v>
      </c>
      <c r="H6058" t="s">
        <v>35</v>
      </c>
      <c r="J6058" t="s">
        <v>6072</v>
      </c>
      <c r="K6058" t="s">
        <v>1092</v>
      </c>
      <c r="M6058">
        <v>0.75</v>
      </c>
      <c r="N6058">
        <v>324</v>
      </c>
      <c r="O6058" t="s">
        <v>5</v>
      </c>
      <c r="Q6058" t="s">
        <v>6073</v>
      </c>
      <c r="R6058" t="s">
        <v>844</v>
      </c>
      <c r="S6058" t="s">
        <v>806</v>
      </c>
      <c r="T6058" t="s">
        <v>160</v>
      </c>
    </row>
    <row r="6059" spans="1:20" x14ac:dyDescent="0.25">
      <c r="A6059" t="s">
        <v>59</v>
      </c>
      <c r="B6059" t="s">
        <v>31</v>
      </c>
      <c r="C6059" t="s">
        <v>32</v>
      </c>
      <c r="D6059" t="s">
        <v>771</v>
      </c>
      <c r="E6059" t="s">
        <v>783</v>
      </c>
      <c r="F6059" t="s">
        <v>35</v>
      </c>
      <c r="G6059" t="s">
        <v>35</v>
      </c>
      <c r="H6059" t="s">
        <v>35</v>
      </c>
      <c r="J6059" t="s">
        <v>6072</v>
      </c>
      <c r="K6059" t="s">
        <v>1092</v>
      </c>
      <c r="M6059">
        <v>3.0150000000000001</v>
      </c>
      <c r="N6059">
        <v>328</v>
      </c>
      <c r="O6059" t="s">
        <v>5</v>
      </c>
      <c r="Q6059" t="s">
        <v>1306</v>
      </c>
      <c r="R6059" t="s">
        <v>844</v>
      </c>
      <c r="S6059" t="s">
        <v>806</v>
      </c>
      <c r="T6059" t="s">
        <v>160</v>
      </c>
    </row>
    <row r="6060" spans="1:20" x14ac:dyDescent="0.25">
      <c r="A6060" t="s">
        <v>30</v>
      </c>
      <c r="B6060" t="s">
        <v>31</v>
      </c>
      <c r="C6060" t="s">
        <v>32</v>
      </c>
      <c r="D6060" t="s">
        <v>771</v>
      </c>
      <c r="E6060" t="s">
        <v>6093</v>
      </c>
      <c r="F6060" t="s">
        <v>35</v>
      </c>
      <c r="G6060" t="s">
        <v>35</v>
      </c>
      <c r="H6060" t="s">
        <v>35</v>
      </c>
      <c r="J6060" t="s">
        <v>6134</v>
      </c>
      <c r="K6060" t="s">
        <v>1092</v>
      </c>
      <c r="M6060">
        <v>5.31</v>
      </c>
      <c r="N6060">
        <v>25</v>
      </c>
      <c r="O6060" t="s">
        <v>46</v>
      </c>
      <c r="Q6060" t="s">
        <v>547</v>
      </c>
      <c r="R6060" t="s">
        <v>844</v>
      </c>
      <c r="S6060" t="s">
        <v>806</v>
      </c>
      <c r="T6060" t="s">
        <v>160</v>
      </c>
    </row>
    <row r="6061" spans="1:20" x14ac:dyDescent="0.25">
      <c r="A6061" t="s">
        <v>59</v>
      </c>
      <c r="B6061" t="s">
        <v>31</v>
      </c>
      <c r="C6061" t="s">
        <v>32</v>
      </c>
      <c r="D6061" t="s">
        <v>771</v>
      </c>
      <c r="E6061" t="s">
        <v>861</v>
      </c>
      <c r="F6061" t="s">
        <v>35</v>
      </c>
      <c r="G6061" t="s">
        <v>35</v>
      </c>
      <c r="H6061" t="s">
        <v>35</v>
      </c>
      <c r="J6061" t="s">
        <v>6291</v>
      </c>
      <c r="K6061" t="s">
        <v>1092</v>
      </c>
      <c r="M6061">
        <v>3.5550000000000002</v>
      </c>
      <c r="N6061">
        <v>82</v>
      </c>
      <c r="O6061" t="s">
        <v>61</v>
      </c>
      <c r="Q6061" t="s">
        <v>299</v>
      </c>
      <c r="R6061" t="s">
        <v>844</v>
      </c>
      <c r="S6061" t="s">
        <v>806</v>
      </c>
      <c r="T6061" t="s">
        <v>160</v>
      </c>
    </row>
    <row r="6062" spans="1:20" x14ac:dyDescent="0.25">
      <c r="A6062" t="s">
        <v>59</v>
      </c>
      <c r="B6062" t="s">
        <v>60</v>
      </c>
      <c r="C6062" t="s">
        <v>32</v>
      </c>
      <c r="D6062" t="s">
        <v>771</v>
      </c>
      <c r="E6062" t="s">
        <v>783</v>
      </c>
      <c r="F6062" t="s">
        <v>35</v>
      </c>
      <c r="G6062" t="s">
        <v>35</v>
      </c>
      <c r="H6062" t="s">
        <v>35</v>
      </c>
      <c r="J6062" t="s">
        <v>806</v>
      </c>
      <c r="K6062" t="s">
        <v>37</v>
      </c>
      <c r="M6062">
        <v>26</v>
      </c>
      <c r="N6062">
        <v>9</v>
      </c>
      <c r="O6062" t="s">
        <v>46</v>
      </c>
      <c r="P6062" t="s">
        <v>812</v>
      </c>
      <c r="Q6062" t="s">
        <v>323</v>
      </c>
      <c r="R6062" t="s">
        <v>158</v>
      </c>
      <c r="S6062" t="s">
        <v>159</v>
      </c>
      <c r="T6062" t="s">
        <v>160</v>
      </c>
    </row>
    <row r="6063" spans="1:20" x14ac:dyDescent="0.25">
      <c r="A6063" t="s">
        <v>44</v>
      </c>
      <c r="B6063" t="s">
        <v>51</v>
      </c>
      <c r="C6063" t="s">
        <v>32</v>
      </c>
      <c r="D6063" t="s">
        <v>771</v>
      </c>
      <c r="E6063" t="s">
        <v>783</v>
      </c>
      <c r="F6063" t="s">
        <v>35</v>
      </c>
      <c r="G6063" t="s">
        <v>35</v>
      </c>
      <c r="H6063" t="s">
        <v>35</v>
      </c>
      <c r="J6063" t="s">
        <v>806</v>
      </c>
      <c r="K6063" t="s">
        <v>1092</v>
      </c>
      <c r="M6063">
        <v>3.05</v>
      </c>
      <c r="N6063">
        <v>181</v>
      </c>
      <c r="O6063" t="s">
        <v>5</v>
      </c>
      <c r="Q6063" t="s">
        <v>1277</v>
      </c>
      <c r="R6063" t="s">
        <v>844</v>
      </c>
      <c r="S6063" t="s">
        <v>806</v>
      </c>
      <c r="T6063" t="s">
        <v>160</v>
      </c>
    </row>
    <row r="6064" spans="1:20" x14ac:dyDescent="0.25">
      <c r="A6064" t="s">
        <v>59</v>
      </c>
      <c r="B6064" t="s">
        <v>60</v>
      </c>
      <c r="C6064" t="s">
        <v>32</v>
      </c>
      <c r="D6064" t="s">
        <v>771</v>
      </c>
      <c r="E6064" t="s">
        <v>783</v>
      </c>
      <c r="F6064" t="s">
        <v>35</v>
      </c>
      <c r="G6064" t="s">
        <v>35</v>
      </c>
      <c r="H6064" t="s">
        <v>35</v>
      </c>
      <c r="J6064" t="s">
        <v>806</v>
      </c>
      <c r="K6064" t="s">
        <v>1092</v>
      </c>
      <c r="M6064">
        <v>6</v>
      </c>
      <c r="N6064">
        <v>20</v>
      </c>
      <c r="O6064" t="s">
        <v>46</v>
      </c>
      <c r="Q6064" t="s">
        <v>1011</v>
      </c>
      <c r="R6064" t="s">
        <v>844</v>
      </c>
      <c r="S6064" t="s">
        <v>806</v>
      </c>
      <c r="T6064" t="s">
        <v>160</v>
      </c>
    </row>
    <row r="6065" spans="1:20" x14ac:dyDescent="0.25">
      <c r="A6065" t="s">
        <v>44</v>
      </c>
      <c r="B6065" t="s">
        <v>51</v>
      </c>
      <c r="C6065" t="s">
        <v>32</v>
      </c>
      <c r="D6065" t="s">
        <v>771</v>
      </c>
      <c r="E6065" t="s">
        <v>783</v>
      </c>
      <c r="F6065" t="s">
        <v>35</v>
      </c>
      <c r="G6065" t="s">
        <v>35</v>
      </c>
      <c r="H6065" t="s">
        <v>35</v>
      </c>
      <c r="J6065" t="s">
        <v>806</v>
      </c>
      <c r="K6065" t="s">
        <v>1092</v>
      </c>
      <c r="M6065">
        <v>0.2</v>
      </c>
      <c r="N6065">
        <v>122</v>
      </c>
      <c r="O6065" t="s">
        <v>38</v>
      </c>
      <c r="Q6065" t="s">
        <v>1449</v>
      </c>
      <c r="R6065" t="s">
        <v>844</v>
      </c>
      <c r="S6065" t="s">
        <v>806</v>
      </c>
      <c r="T6065" t="s">
        <v>160</v>
      </c>
    </row>
    <row r="6066" spans="1:20" x14ac:dyDescent="0.25">
      <c r="A6066" t="s">
        <v>44</v>
      </c>
      <c r="B6066" t="s">
        <v>51</v>
      </c>
      <c r="C6066" t="s">
        <v>32</v>
      </c>
      <c r="D6066" t="s">
        <v>771</v>
      </c>
      <c r="E6066" t="s">
        <v>783</v>
      </c>
      <c r="F6066" t="s">
        <v>35</v>
      </c>
      <c r="G6066" t="s">
        <v>35</v>
      </c>
      <c r="H6066" t="s">
        <v>35</v>
      </c>
      <c r="J6066" t="s">
        <v>6038</v>
      </c>
      <c r="K6066" t="s">
        <v>1092</v>
      </c>
      <c r="M6066">
        <v>3.5</v>
      </c>
      <c r="N6066">
        <v>55</v>
      </c>
      <c r="O6066" t="s">
        <v>52</v>
      </c>
      <c r="Q6066" t="s">
        <v>90</v>
      </c>
      <c r="R6066" t="s">
        <v>844</v>
      </c>
      <c r="S6066" t="s">
        <v>806</v>
      </c>
      <c r="T6066" t="s">
        <v>160</v>
      </c>
    </row>
    <row r="6067" spans="1:20" x14ac:dyDescent="0.25">
      <c r="A6067" t="s">
        <v>30</v>
      </c>
      <c r="B6067" t="s">
        <v>31</v>
      </c>
      <c r="C6067" t="s">
        <v>32</v>
      </c>
      <c r="D6067" t="s">
        <v>771</v>
      </c>
      <c r="E6067" t="s">
        <v>783</v>
      </c>
      <c r="F6067" t="s">
        <v>35</v>
      </c>
      <c r="G6067" t="s">
        <v>35</v>
      </c>
      <c r="H6067" t="s">
        <v>35</v>
      </c>
      <c r="J6067" t="s">
        <v>6038</v>
      </c>
      <c r="K6067" t="s">
        <v>1092</v>
      </c>
      <c r="M6067">
        <v>3.1949999999999998</v>
      </c>
      <c r="N6067">
        <v>41</v>
      </c>
      <c r="O6067" t="s">
        <v>52</v>
      </c>
      <c r="Q6067" t="s">
        <v>496</v>
      </c>
      <c r="R6067" t="s">
        <v>844</v>
      </c>
      <c r="S6067" t="s">
        <v>806</v>
      </c>
      <c r="T6067" t="s">
        <v>160</v>
      </c>
    </row>
    <row r="6068" spans="1:20" x14ac:dyDescent="0.25">
      <c r="A6068" t="s">
        <v>59</v>
      </c>
      <c r="B6068" t="s">
        <v>31</v>
      </c>
      <c r="C6068" t="s">
        <v>32</v>
      </c>
      <c r="D6068" t="s">
        <v>771</v>
      </c>
      <c r="E6068" t="s">
        <v>783</v>
      </c>
      <c r="F6068" t="s">
        <v>35</v>
      </c>
      <c r="G6068" t="s">
        <v>35</v>
      </c>
      <c r="H6068" t="s">
        <v>35</v>
      </c>
      <c r="J6068" t="s">
        <v>6038</v>
      </c>
      <c r="K6068" t="s">
        <v>1092</v>
      </c>
      <c r="M6068">
        <v>2.7</v>
      </c>
      <c r="N6068">
        <v>82</v>
      </c>
      <c r="O6068" t="s">
        <v>61</v>
      </c>
      <c r="Q6068" t="s">
        <v>299</v>
      </c>
      <c r="R6068" t="s">
        <v>844</v>
      </c>
      <c r="S6068" t="s">
        <v>806</v>
      </c>
      <c r="T6068" t="s">
        <v>160</v>
      </c>
    </row>
    <row r="6069" spans="1:20" x14ac:dyDescent="0.25">
      <c r="A6069" t="s">
        <v>30</v>
      </c>
      <c r="B6069" t="s">
        <v>31</v>
      </c>
      <c r="C6069" t="s">
        <v>32</v>
      </c>
      <c r="D6069" t="s">
        <v>771</v>
      </c>
      <c r="E6069" t="s">
        <v>871</v>
      </c>
      <c r="F6069" t="s">
        <v>35</v>
      </c>
      <c r="G6069" t="s">
        <v>35</v>
      </c>
      <c r="H6069" t="s">
        <v>35</v>
      </c>
      <c r="J6069" t="s">
        <v>6436</v>
      </c>
      <c r="K6069" t="s">
        <v>1092</v>
      </c>
      <c r="M6069">
        <v>9.5850000000000009</v>
      </c>
      <c r="N6069">
        <v>111</v>
      </c>
      <c r="O6069" t="s">
        <v>106</v>
      </c>
      <c r="Q6069" t="s">
        <v>1469</v>
      </c>
      <c r="R6069" t="s">
        <v>844</v>
      </c>
      <c r="S6069" t="s">
        <v>806</v>
      </c>
      <c r="T6069" t="s">
        <v>160</v>
      </c>
    </row>
    <row r="6070" spans="1:20" x14ac:dyDescent="0.25">
      <c r="A6070" t="s">
        <v>30</v>
      </c>
      <c r="B6070" t="s">
        <v>31</v>
      </c>
      <c r="C6070" t="s">
        <v>32</v>
      </c>
      <c r="D6070" t="s">
        <v>771</v>
      </c>
      <c r="F6070" t="s">
        <v>35</v>
      </c>
      <c r="G6070" t="s">
        <v>35</v>
      </c>
      <c r="H6070" t="s">
        <v>35</v>
      </c>
      <c r="J6070" t="s">
        <v>6697</v>
      </c>
      <c r="K6070" t="s">
        <v>1092</v>
      </c>
      <c r="M6070">
        <v>3.96</v>
      </c>
      <c r="N6070">
        <v>38</v>
      </c>
      <c r="O6070" t="s">
        <v>52</v>
      </c>
      <c r="Q6070" t="s">
        <v>716</v>
      </c>
      <c r="R6070" t="s">
        <v>844</v>
      </c>
      <c r="S6070" t="s">
        <v>806</v>
      </c>
      <c r="T6070" t="s">
        <v>160</v>
      </c>
    </row>
    <row r="6071" spans="1:20" x14ac:dyDescent="0.25">
      <c r="A6071" t="s">
        <v>59</v>
      </c>
      <c r="B6071" t="s">
        <v>60</v>
      </c>
      <c r="C6071" t="s">
        <v>32</v>
      </c>
      <c r="D6071" t="s">
        <v>771</v>
      </c>
      <c r="E6071" t="s">
        <v>875</v>
      </c>
      <c r="F6071" t="s">
        <v>35</v>
      </c>
      <c r="G6071" t="s">
        <v>35</v>
      </c>
      <c r="H6071" t="s">
        <v>35</v>
      </c>
      <c r="J6071" t="s">
        <v>6444</v>
      </c>
      <c r="K6071" t="s">
        <v>1092</v>
      </c>
      <c r="M6071">
        <v>0.25</v>
      </c>
      <c r="N6071">
        <v>38</v>
      </c>
      <c r="O6071" t="s">
        <v>52</v>
      </c>
      <c r="Q6071" t="s">
        <v>716</v>
      </c>
      <c r="R6071" t="s">
        <v>844</v>
      </c>
      <c r="S6071" t="s">
        <v>806</v>
      </c>
      <c r="T6071" t="s">
        <v>160</v>
      </c>
    </row>
    <row r="6072" spans="1:20" x14ac:dyDescent="0.25">
      <c r="A6072" t="s">
        <v>59</v>
      </c>
      <c r="B6072" t="s">
        <v>31</v>
      </c>
      <c r="C6072" t="s">
        <v>32</v>
      </c>
      <c r="D6072" t="s">
        <v>771</v>
      </c>
      <c r="E6072" t="s">
        <v>875</v>
      </c>
      <c r="F6072" t="s">
        <v>35</v>
      </c>
      <c r="G6072" t="s">
        <v>35</v>
      </c>
      <c r="H6072" t="s">
        <v>35</v>
      </c>
      <c r="J6072" t="s">
        <v>6444</v>
      </c>
      <c r="K6072" t="s">
        <v>1092</v>
      </c>
      <c r="M6072">
        <v>7.02</v>
      </c>
      <c r="N6072">
        <v>38</v>
      </c>
      <c r="O6072" t="s">
        <v>52</v>
      </c>
      <c r="Q6072" t="s">
        <v>716</v>
      </c>
      <c r="R6072" t="s">
        <v>844</v>
      </c>
      <c r="S6072" t="s">
        <v>806</v>
      </c>
      <c r="T6072" t="s">
        <v>160</v>
      </c>
    </row>
    <row r="6073" spans="1:20" x14ac:dyDescent="0.25">
      <c r="A6073" t="s">
        <v>59</v>
      </c>
      <c r="B6073" t="s">
        <v>31</v>
      </c>
      <c r="C6073" t="s">
        <v>32</v>
      </c>
      <c r="D6073" t="s">
        <v>771</v>
      </c>
      <c r="E6073" t="s">
        <v>875</v>
      </c>
      <c r="F6073" t="s">
        <v>35</v>
      </c>
      <c r="G6073" t="s">
        <v>35</v>
      </c>
      <c r="H6073" t="s">
        <v>35</v>
      </c>
      <c r="J6073" t="s">
        <v>6444</v>
      </c>
      <c r="K6073" t="s">
        <v>1092</v>
      </c>
      <c r="M6073">
        <v>4.1849999999999996</v>
      </c>
      <c r="N6073">
        <v>82</v>
      </c>
      <c r="O6073" t="s">
        <v>61</v>
      </c>
      <c r="Q6073" t="s">
        <v>299</v>
      </c>
      <c r="R6073" t="s">
        <v>844</v>
      </c>
      <c r="S6073" t="s">
        <v>806</v>
      </c>
      <c r="T6073" t="s">
        <v>160</v>
      </c>
    </row>
    <row r="6074" spans="1:20" x14ac:dyDescent="0.25">
      <c r="A6074" t="s">
        <v>59</v>
      </c>
      <c r="B6074" t="s">
        <v>60</v>
      </c>
      <c r="C6074" t="s">
        <v>32</v>
      </c>
      <c r="D6074" t="s">
        <v>771</v>
      </c>
      <c r="E6074" t="s">
        <v>865</v>
      </c>
      <c r="F6074" t="s">
        <v>35</v>
      </c>
      <c r="G6074" t="s">
        <v>35</v>
      </c>
      <c r="H6074" t="s">
        <v>35</v>
      </c>
      <c r="J6074" t="s">
        <v>6350</v>
      </c>
      <c r="K6074" t="s">
        <v>1092</v>
      </c>
      <c r="M6074">
        <v>7</v>
      </c>
      <c r="N6074">
        <v>38</v>
      </c>
      <c r="O6074" t="s">
        <v>52</v>
      </c>
      <c r="Q6074" t="s">
        <v>716</v>
      </c>
      <c r="R6074" t="s">
        <v>844</v>
      </c>
      <c r="S6074" t="s">
        <v>806</v>
      </c>
      <c r="T6074" t="s">
        <v>160</v>
      </c>
    </row>
    <row r="6075" spans="1:20" x14ac:dyDescent="0.25">
      <c r="A6075" t="s">
        <v>30</v>
      </c>
      <c r="B6075" t="s">
        <v>31</v>
      </c>
      <c r="C6075" t="s">
        <v>32</v>
      </c>
      <c r="D6075" t="s">
        <v>771</v>
      </c>
      <c r="E6075" t="s">
        <v>875</v>
      </c>
      <c r="F6075" t="s">
        <v>35</v>
      </c>
      <c r="G6075" t="s">
        <v>35</v>
      </c>
      <c r="H6075" t="s">
        <v>35</v>
      </c>
      <c r="J6075" t="s">
        <v>884</v>
      </c>
      <c r="K6075" t="s">
        <v>37</v>
      </c>
      <c r="M6075">
        <v>23.49</v>
      </c>
      <c r="N6075">
        <v>37</v>
      </c>
      <c r="O6075" t="s">
        <v>52</v>
      </c>
      <c r="P6075" t="s">
        <v>886</v>
      </c>
      <c r="Q6075" t="s">
        <v>192</v>
      </c>
      <c r="R6075" t="s">
        <v>844</v>
      </c>
      <c r="S6075" t="s">
        <v>806</v>
      </c>
      <c r="T6075" t="s">
        <v>160</v>
      </c>
    </row>
    <row r="6076" spans="1:20" x14ac:dyDescent="0.25">
      <c r="A6076" t="s">
        <v>59</v>
      </c>
      <c r="B6076" t="s">
        <v>60</v>
      </c>
      <c r="C6076" t="s">
        <v>32</v>
      </c>
      <c r="D6076" t="s">
        <v>771</v>
      </c>
      <c r="E6076" t="s">
        <v>6093</v>
      </c>
      <c r="F6076" t="s">
        <v>35</v>
      </c>
      <c r="G6076" t="s">
        <v>35</v>
      </c>
      <c r="H6076" t="s">
        <v>35</v>
      </c>
      <c r="J6076" t="s">
        <v>6102</v>
      </c>
      <c r="K6076" t="s">
        <v>1092</v>
      </c>
      <c r="M6076">
        <v>2.5</v>
      </c>
      <c r="N6076">
        <v>146</v>
      </c>
      <c r="O6076" t="s">
        <v>38</v>
      </c>
      <c r="Q6076" t="s">
        <v>569</v>
      </c>
      <c r="R6076" t="s">
        <v>844</v>
      </c>
      <c r="S6076" t="s">
        <v>806</v>
      </c>
      <c r="T6076" t="s">
        <v>160</v>
      </c>
    </row>
    <row r="6077" spans="1:20" x14ac:dyDescent="0.25">
      <c r="A6077" t="s">
        <v>59</v>
      </c>
      <c r="B6077" t="s">
        <v>31</v>
      </c>
      <c r="C6077" t="s">
        <v>32</v>
      </c>
      <c r="D6077" t="s">
        <v>771</v>
      </c>
      <c r="E6077" t="s">
        <v>6525</v>
      </c>
      <c r="F6077" t="s">
        <v>35</v>
      </c>
      <c r="G6077" t="s">
        <v>35</v>
      </c>
      <c r="H6077" t="s">
        <v>35</v>
      </c>
      <c r="J6077" t="s">
        <v>6526</v>
      </c>
      <c r="K6077" t="s">
        <v>1092</v>
      </c>
      <c r="M6077">
        <v>5.85</v>
      </c>
      <c r="N6077">
        <v>38</v>
      </c>
      <c r="O6077" t="s">
        <v>52</v>
      </c>
      <c r="Q6077" t="s">
        <v>716</v>
      </c>
      <c r="R6077" t="s">
        <v>844</v>
      </c>
      <c r="S6077" t="s">
        <v>806</v>
      </c>
      <c r="T6077" t="s">
        <v>160</v>
      </c>
    </row>
    <row r="6078" spans="1:20" x14ac:dyDescent="0.25">
      <c r="A6078" t="s">
        <v>30</v>
      </c>
      <c r="B6078" t="s">
        <v>31</v>
      </c>
      <c r="C6078" t="s">
        <v>32</v>
      </c>
      <c r="D6078" t="s">
        <v>771</v>
      </c>
      <c r="E6078" t="s">
        <v>865</v>
      </c>
      <c r="F6078" t="s">
        <v>35</v>
      </c>
      <c r="G6078" t="s">
        <v>35</v>
      </c>
      <c r="H6078" t="s">
        <v>35</v>
      </c>
      <c r="J6078" t="s">
        <v>6358</v>
      </c>
      <c r="K6078" t="s">
        <v>1092</v>
      </c>
      <c r="M6078">
        <v>11.025</v>
      </c>
      <c r="N6078">
        <v>108</v>
      </c>
      <c r="O6078" t="s">
        <v>106</v>
      </c>
      <c r="Q6078" t="s">
        <v>1195</v>
      </c>
      <c r="R6078" t="s">
        <v>844</v>
      </c>
      <c r="S6078" t="s">
        <v>806</v>
      </c>
      <c r="T6078" t="s">
        <v>160</v>
      </c>
    </row>
    <row r="6079" spans="1:20" x14ac:dyDescent="0.25">
      <c r="A6079" t="s">
        <v>30</v>
      </c>
      <c r="B6079" t="s">
        <v>31</v>
      </c>
      <c r="C6079" t="s">
        <v>32</v>
      </c>
      <c r="D6079" t="s">
        <v>771</v>
      </c>
      <c r="E6079" t="s">
        <v>865</v>
      </c>
      <c r="F6079" t="s">
        <v>35</v>
      </c>
      <c r="G6079" t="s">
        <v>35</v>
      </c>
      <c r="H6079" t="s">
        <v>35</v>
      </c>
      <c r="J6079" t="s">
        <v>6358</v>
      </c>
      <c r="K6079" t="s">
        <v>1092</v>
      </c>
      <c r="M6079">
        <v>7.02</v>
      </c>
      <c r="N6079">
        <v>40</v>
      </c>
      <c r="O6079" t="s">
        <v>52</v>
      </c>
      <c r="Q6079" t="s">
        <v>132</v>
      </c>
      <c r="R6079" t="s">
        <v>844</v>
      </c>
      <c r="S6079" t="s">
        <v>806</v>
      </c>
      <c r="T6079" t="s">
        <v>160</v>
      </c>
    </row>
    <row r="6080" spans="1:20" x14ac:dyDescent="0.25">
      <c r="A6080" t="s">
        <v>44</v>
      </c>
      <c r="B6080" t="s">
        <v>51</v>
      </c>
      <c r="C6080" t="s">
        <v>32</v>
      </c>
      <c r="D6080" t="s">
        <v>771</v>
      </c>
      <c r="E6080" t="s">
        <v>865</v>
      </c>
      <c r="F6080" t="s">
        <v>35</v>
      </c>
      <c r="G6080" t="s">
        <v>35</v>
      </c>
      <c r="H6080" t="s">
        <v>35</v>
      </c>
      <c r="J6080" t="s">
        <v>6358</v>
      </c>
      <c r="K6080" t="s">
        <v>1092</v>
      </c>
      <c r="M6080">
        <v>7</v>
      </c>
      <c r="N6080">
        <v>37</v>
      </c>
      <c r="O6080" t="s">
        <v>52</v>
      </c>
      <c r="Q6080" t="s">
        <v>192</v>
      </c>
      <c r="R6080" t="s">
        <v>844</v>
      </c>
      <c r="S6080" t="s">
        <v>806</v>
      </c>
      <c r="T6080" t="s">
        <v>160</v>
      </c>
    </row>
    <row r="6081" spans="1:20" x14ac:dyDescent="0.25">
      <c r="A6081" t="s">
        <v>44</v>
      </c>
      <c r="B6081" t="s">
        <v>51</v>
      </c>
      <c r="C6081" t="s">
        <v>32</v>
      </c>
      <c r="D6081" t="s">
        <v>771</v>
      </c>
      <c r="E6081" t="s">
        <v>865</v>
      </c>
      <c r="F6081" t="s">
        <v>35</v>
      </c>
      <c r="G6081" t="s">
        <v>35</v>
      </c>
      <c r="H6081" t="s">
        <v>35</v>
      </c>
      <c r="J6081" t="s">
        <v>6358</v>
      </c>
      <c r="K6081" t="s">
        <v>1092</v>
      </c>
      <c r="M6081">
        <v>0.4</v>
      </c>
      <c r="N6081">
        <v>226</v>
      </c>
      <c r="O6081" t="s">
        <v>5</v>
      </c>
      <c r="Q6081" t="s">
        <v>2002</v>
      </c>
      <c r="R6081" t="s">
        <v>844</v>
      </c>
      <c r="S6081" t="s">
        <v>806</v>
      </c>
      <c r="T6081" t="s">
        <v>160</v>
      </c>
    </row>
    <row r="6082" spans="1:20" x14ac:dyDescent="0.25">
      <c r="A6082" t="s">
        <v>59</v>
      </c>
      <c r="B6082" t="s">
        <v>31</v>
      </c>
      <c r="C6082" t="s">
        <v>32</v>
      </c>
      <c r="D6082" t="s">
        <v>771</v>
      </c>
      <c r="E6082" t="s">
        <v>865</v>
      </c>
      <c r="F6082" t="s">
        <v>35</v>
      </c>
      <c r="G6082" t="s">
        <v>35</v>
      </c>
      <c r="H6082" t="s">
        <v>35</v>
      </c>
      <c r="J6082" t="s">
        <v>6358</v>
      </c>
      <c r="K6082" t="s">
        <v>1092</v>
      </c>
      <c r="M6082">
        <v>7.02</v>
      </c>
      <c r="N6082">
        <v>82</v>
      </c>
      <c r="O6082" t="s">
        <v>61</v>
      </c>
      <c r="Q6082" t="s">
        <v>299</v>
      </c>
      <c r="R6082" t="s">
        <v>844</v>
      </c>
      <c r="S6082" t="s">
        <v>806</v>
      </c>
      <c r="T6082" t="s">
        <v>160</v>
      </c>
    </row>
    <row r="6083" spans="1:20" x14ac:dyDescent="0.25">
      <c r="A6083" t="s">
        <v>59</v>
      </c>
      <c r="B6083" t="s">
        <v>60</v>
      </c>
      <c r="C6083" t="s">
        <v>32</v>
      </c>
      <c r="D6083" t="s">
        <v>771</v>
      </c>
      <c r="E6083" t="s">
        <v>865</v>
      </c>
      <c r="F6083" t="s">
        <v>35</v>
      </c>
      <c r="G6083" t="s">
        <v>35</v>
      </c>
      <c r="H6083" t="s">
        <v>35</v>
      </c>
      <c r="J6083" t="s">
        <v>6358</v>
      </c>
      <c r="K6083" t="s">
        <v>1092</v>
      </c>
      <c r="M6083">
        <v>3</v>
      </c>
      <c r="N6083">
        <v>82</v>
      </c>
      <c r="O6083" t="s">
        <v>61</v>
      </c>
      <c r="Q6083" t="s">
        <v>299</v>
      </c>
      <c r="R6083" t="s">
        <v>844</v>
      </c>
      <c r="S6083" t="s">
        <v>806</v>
      </c>
      <c r="T6083" t="s">
        <v>160</v>
      </c>
    </row>
    <row r="6084" spans="1:20" x14ac:dyDescent="0.25">
      <c r="A6084" t="s">
        <v>30</v>
      </c>
      <c r="B6084" t="s">
        <v>31</v>
      </c>
      <c r="C6084" t="s">
        <v>32</v>
      </c>
      <c r="D6084" t="s">
        <v>771</v>
      </c>
      <c r="E6084" t="s">
        <v>861</v>
      </c>
      <c r="F6084" t="s">
        <v>35</v>
      </c>
      <c r="G6084" t="s">
        <v>35</v>
      </c>
      <c r="H6084" t="s">
        <v>35</v>
      </c>
      <c r="J6084" t="s">
        <v>6300</v>
      </c>
      <c r="K6084" t="s">
        <v>1092</v>
      </c>
      <c r="M6084">
        <v>3.51</v>
      </c>
      <c r="N6084">
        <v>38</v>
      </c>
      <c r="O6084" t="s">
        <v>52</v>
      </c>
      <c r="Q6084" t="s">
        <v>716</v>
      </c>
      <c r="R6084" t="s">
        <v>844</v>
      </c>
      <c r="S6084" t="s">
        <v>806</v>
      </c>
      <c r="T6084" t="s">
        <v>160</v>
      </c>
    </row>
    <row r="6085" spans="1:20" x14ac:dyDescent="0.25">
      <c r="A6085" t="s">
        <v>30</v>
      </c>
      <c r="B6085" t="s">
        <v>31</v>
      </c>
      <c r="C6085" t="s">
        <v>32</v>
      </c>
      <c r="D6085" t="s">
        <v>771</v>
      </c>
      <c r="E6085" t="s">
        <v>840</v>
      </c>
      <c r="F6085" t="s">
        <v>35</v>
      </c>
      <c r="G6085" t="s">
        <v>35</v>
      </c>
      <c r="H6085" t="s">
        <v>35</v>
      </c>
      <c r="J6085" t="s">
        <v>6200</v>
      </c>
      <c r="K6085" t="s">
        <v>1092</v>
      </c>
      <c r="M6085">
        <v>0.18</v>
      </c>
      <c r="N6085">
        <v>111</v>
      </c>
      <c r="O6085" t="s">
        <v>106</v>
      </c>
      <c r="Q6085" t="s">
        <v>1469</v>
      </c>
      <c r="R6085" t="s">
        <v>844</v>
      </c>
      <c r="S6085" t="s">
        <v>806</v>
      </c>
      <c r="T6085" t="s">
        <v>160</v>
      </c>
    </row>
    <row r="6086" spans="1:20" x14ac:dyDescent="0.25">
      <c r="A6086" t="s">
        <v>30</v>
      </c>
      <c r="B6086" t="s">
        <v>31</v>
      </c>
      <c r="C6086" t="s">
        <v>32</v>
      </c>
      <c r="D6086" t="s">
        <v>771</v>
      </c>
      <c r="E6086" t="s">
        <v>6525</v>
      </c>
      <c r="F6086" t="s">
        <v>35</v>
      </c>
      <c r="G6086" t="s">
        <v>35</v>
      </c>
      <c r="H6086" t="s">
        <v>35</v>
      </c>
      <c r="J6086" t="s">
        <v>6527</v>
      </c>
      <c r="K6086" t="s">
        <v>1092</v>
      </c>
      <c r="M6086">
        <v>6.12</v>
      </c>
      <c r="N6086">
        <v>229</v>
      </c>
      <c r="O6086" t="s">
        <v>5</v>
      </c>
      <c r="Q6086" t="s">
        <v>1140</v>
      </c>
      <c r="R6086" t="s">
        <v>844</v>
      </c>
      <c r="S6086" t="s">
        <v>806</v>
      </c>
      <c r="T6086" t="s">
        <v>160</v>
      </c>
    </row>
    <row r="6087" spans="1:20" x14ac:dyDescent="0.25">
      <c r="A6087" t="s">
        <v>30</v>
      </c>
      <c r="B6087" t="s">
        <v>31</v>
      </c>
      <c r="C6087" t="s">
        <v>32</v>
      </c>
      <c r="D6087" t="s">
        <v>771</v>
      </c>
      <c r="E6087" t="s">
        <v>783</v>
      </c>
      <c r="F6087" t="s">
        <v>35</v>
      </c>
      <c r="G6087" t="s">
        <v>35</v>
      </c>
      <c r="H6087" t="s">
        <v>35</v>
      </c>
      <c r="J6087" t="s">
        <v>6044</v>
      </c>
      <c r="K6087" t="s">
        <v>1092</v>
      </c>
      <c r="M6087">
        <v>2.61</v>
      </c>
      <c r="N6087">
        <v>38</v>
      </c>
      <c r="O6087" t="s">
        <v>52</v>
      </c>
      <c r="Q6087" t="s">
        <v>716</v>
      </c>
      <c r="R6087" t="s">
        <v>844</v>
      </c>
      <c r="S6087" t="s">
        <v>806</v>
      </c>
      <c r="T6087" t="s">
        <v>160</v>
      </c>
    </row>
    <row r="6088" spans="1:20" x14ac:dyDescent="0.25">
      <c r="A6088" t="s">
        <v>59</v>
      </c>
      <c r="B6088" t="s">
        <v>60</v>
      </c>
      <c r="C6088" t="s">
        <v>32</v>
      </c>
      <c r="D6088" t="s">
        <v>771</v>
      </c>
      <c r="E6088" t="s">
        <v>783</v>
      </c>
      <c r="F6088" t="s">
        <v>35</v>
      </c>
      <c r="G6088" t="s">
        <v>35</v>
      </c>
      <c r="H6088" t="s">
        <v>35</v>
      </c>
      <c r="J6088" t="s">
        <v>1885</v>
      </c>
      <c r="K6088" t="s">
        <v>1092</v>
      </c>
      <c r="M6088">
        <v>4.25</v>
      </c>
      <c r="N6088">
        <v>38</v>
      </c>
      <c r="O6088" t="s">
        <v>52</v>
      </c>
      <c r="Q6088" t="s">
        <v>716</v>
      </c>
      <c r="R6088" t="s">
        <v>844</v>
      </c>
      <c r="S6088" t="s">
        <v>806</v>
      </c>
      <c r="T6088" t="s">
        <v>160</v>
      </c>
    </row>
    <row r="6089" spans="1:20" x14ac:dyDescent="0.25">
      <c r="A6089" t="s">
        <v>59</v>
      </c>
      <c r="B6089" t="s">
        <v>31</v>
      </c>
      <c r="C6089" t="s">
        <v>32</v>
      </c>
      <c r="D6089" t="s">
        <v>771</v>
      </c>
      <c r="E6089" t="s">
        <v>910</v>
      </c>
      <c r="F6089" t="s">
        <v>35</v>
      </c>
      <c r="G6089" t="s">
        <v>35</v>
      </c>
      <c r="H6089" t="s">
        <v>35</v>
      </c>
      <c r="J6089" t="s">
        <v>6610</v>
      </c>
      <c r="K6089" t="s">
        <v>1092</v>
      </c>
      <c r="M6089">
        <v>21.33</v>
      </c>
      <c r="N6089">
        <v>38</v>
      </c>
      <c r="O6089" t="s">
        <v>52</v>
      </c>
      <c r="Q6089" t="s">
        <v>716</v>
      </c>
      <c r="R6089" t="s">
        <v>844</v>
      </c>
      <c r="S6089" t="s">
        <v>806</v>
      </c>
      <c r="T6089" t="s">
        <v>160</v>
      </c>
    </row>
    <row r="6090" spans="1:20" x14ac:dyDescent="0.25">
      <c r="A6090" t="s">
        <v>30</v>
      </c>
      <c r="B6090" t="s">
        <v>31</v>
      </c>
      <c r="C6090" t="s">
        <v>32</v>
      </c>
      <c r="D6090" t="s">
        <v>771</v>
      </c>
      <c r="E6090" t="s">
        <v>910</v>
      </c>
      <c r="F6090" t="s">
        <v>35</v>
      </c>
      <c r="G6090" t="s">
        <v>35</v>
      </c>
      <c r="H6090" t="s">
        <v>35</v>
      </c>
      <c r="J6090" t="s">
        <v>6610</v>
      </c>
      <c r="K6090" t="s">
        <v>1092</v>
      </c>
      <c r="M6090">
        <v>15.615</v>
      </c>
      <c r="N6090">
        <v>38</v>
      </c>
      <c r="O6090" t="s">
        <v>52</v>
      </c>
      <c r="Q6090" t="s">
        <v>716</v>
      </c>
      <c r="R6090" t="s">
        <v>844</v>
      </c>
      <c r="S6090" t="s">
        <v>806</v>
      </c>
      <c r="T6090" t="s">
        <v>160</v>
      </c>
    </row>
    <row r="6091" spans="1:20" x14ac:dyDescent="0.25">
      <c r="A6091" t="s">
        <v>59</v>
      </c>
      <c r="B6091" t="s">
        <v>31</v>
      </c>
      <c r="C6091" t="s">
        <v>32</v>
      </c>
      <c r="D6091" t="s">
        <v>771</v>
      </c>
      <c r="E6091" t="s">
        <v>6214</v>
      </c>
      <c r="F6091" t="s">
        <v>35</v>
      </c>
      <c r="G6091" t="s">
        <v>35</v>
      </c>
      <c r="H6091" t="s">
        <v>35</v>
      </c>
      <c r="J6091" t="s">
        <v>6248</v>
      </c>
      <c r="K6091" t="s">
        <v>1092</v>
      </c>
      <c r="M6091">
        <v>0.54</v>
      </c>
      <c r="N6091">
        <v>137</v>
      </c>
      <c r="O6091" t="s">
        <v>38</v>
      </c>
      <c r="Q6091" t="s">
        <v>2929</v>
      </c>
      <c r="R6091" t="s">
        <v>844</v>
      </c>
      <c r="S6091" t="s">
        <v>806</v>
      </c>
      <c r="T6091" t="s">
        <v>160</v>
      </c>
    </row>
    <row r="6092" spans="1:20" x14ac:dyDescent="0.25">
      <c r="A6092" t="s">
        <v>30</v>
      </c>
      <c r="B6092" t="s">
        <v>31</v>
      </c>
      <c r="C6092" t="s">
        <v>32</v>
      </c>
      <c r="D6092" t="s">
        <v>771</v>
      </c>
      <c r="E6092" t="s">
        <v>6214</v>
      </c>
      <c r="F6092" t="s">
        <v>35</v>
      </c>
      <c r="G6092" t="s">
        <v>35</v>
      </c>
      <c r="H6092" t="s">
        <v>35</v>
      </c>
      <c r="J6092" t="s">
        <v>6248</v>
      </c>
      <c r="K6092" t="s">
        <v>1092</v>
      </c>
      <c r="M6092">
        <v>7.02</v>
      </c>
      <c r="N6092">
        <v>40</v>
      </c>
      <c r="O6092" t="s">
        <v>52</v>
      </c>
      <c r="Q6092" t="s">
        <v>132</v>
      </c>
      <c r="R6092" t="s">
        <v>844</v>
      </c>
      <c r="S6092" t="s">
        <v>806</v>
      </c>
      <c r="T6092" t="s">
        <v>160</v>
      </c>
    </row>
    <row r="6093" spans="1:20" x14ac:dyDescent="0.25">
      <c r="A6093" t="s">
        <v>59</v>
      </c>
      <c r="B6093" t="s">
        <v>60</v>
      </c>
      <c r="C6093" t="s">
        <v>32</v>
      </c>
      <c r="D6093" t="s">
        <v>771</v>
      </c>
      <c r="E6093" t="s">
        <v>6214</v>
      </c>
      <c r="F6093" t="s">
        <v>35</v>
      </c>
      <c r="G6093" t="s">
        <v>35</v>
      </c>
      <c r="H6093" t="s">
        <v>35</v>
      </c>
      <c r="J6093" t="s">
        <v>6248</v>
      </c>
      <c r="K6093" t="s">
        <v>1092</v>
      </c>
      <c r="M6093">
        <v>1.25</v>
      </c>
      <c r="N6093">
        <v>146</v>
      </c>
      <c r="O6093" t="s">
        <v>38</v>
      </c>
      <c r="Q6093" t="s">
        <v>569</v>
      </c>
      <c r="R6093" t="s">
        <v>844</v>
      </c>
      <c r="S6093" t="s">
        <v>806</v>
      </c>
      <c r="T6093" t="s">
        <v>160</v>
      </c>
    </row>
    <row r="6094" spans="1:20" x14ac:dyDescent="0.25">
      <c r="A6094" t="s">
        <v>44</v>
      </c>
      <c r="B6094" t="s">
        <v>51</v>
      </c>
      <c r="C6094" t="s">
        <v>32</v>
      </c>
      <c r="D6094" t="s">
        <v>771</v>
      </c>
      <c r="E6094" t="s">
        <v>6214</v>
      </c>
      <c r="F6094" t="s">
        <v>35</v>
      </c>
      <c r="G6094" t="s">
        <v>35</v>
      </c>
      <c r="H6094" t="s">
        <v>35</v>
      </c>
      <c r="J6094" t="s">
        <v>6248</v>
      </c>
      <c r="K6094" t="s">
        <v>1092</v>
      </c>
      <c r="M6094">
        <v>1</v>
      </c>
      <c r="N6094">
        <v>146</v>
      </c>
      <c r="O6094" t="s">
        <v>38</v>
      </c>
      <c r="Q6094" t="s">
        <v>569</v>
      </c>
      <c r="R6094" t="s">
        <v>844</v>
      </c>
      <c r="S6094" t="s">
        <v>806</v>
      </c>
      <c r="T6094" t="s">
        <v>160</v>
      </c>
    </row>
    <row r="6095" spans="1:20" x14ac:dyDescent="0.25">
      <c r="A6095" t="s">
        <v>30</v>
      </c>
      <c r="B6095" t="s">
        <v>31</v>
      </c>
      <c r="C6095" t="s">
        <v>32</v>
      </c>
      <c r="D6095" t="s">
        <v>771</v>
      </c>
      <c r="E6095" t="s">
        <v>6214</v>
      </c>
      <c r="F6095" t="s">
        <v>35</v>
      </c>
      <c r="G6095" t="s">
        <v>35</v>
      </c>
      <c r="H6095" t="s">
        <v>35</v>
      </c>
      <c r="J6095" t="s">
        <v>6248</v>
      </c>
      <c r="K6095" t="s">
        <v>1092</v>
      </c>
      <c r="M6095">
        <v>6.3449999999999998</v>
      </c>
      <c r="N6095">
        <v>111</v>
      </c>
      <c r="O6095" t="s">
        <v>106</v>
      </c>
      <c r="Q6095" t="s">
        <v>1469</v>
      </c>
      <c r="R6095" t="s">
        <v>844</v>
      </c>
      <c r="S6095" t="s">
        <v>806</v>
      </c>
      <c r="T6095" t="s">
        <v>160</v>
      </c>
    </row>
    <row r="6096" spans="1:20" x14ac:dyDescent="0.25">
      <c r="A6096" t="s">
        <v>30</v>
      </c>
      <c r="B6096" t="s">
        <v>31</v>
      </c>
      <c r="C6096" t="s">
        <v>32</v>
      </c>
      <c r="D6096" t="s">
        <v>771</v>
      </c>
      <c r="E6096" t="s">
        <v>6214</v>
      </c>
      <c r="F6096" t="s">
        <v>35</v>
      </c>
      <c r="G6096" t="s">
        <v>35</v>
      </c>
      <c r="H6096" t="s">
        <v>35</v>
      </c>
      <c r="J6096" t="s">
        <v>6248</v>
      </c>
      <c r="K6096" t="s">
        <v>1092</v>
      </c>
      <c r="M6096">
        <v>3.0150000000000001</v>
      </c>
      <c r="N6096">
        <v>108</v>
      </c>
      <c r="O6096" t="s">
        <v>106</v>
      </c>
      <c r="Q6096" t="s">
        <v>1195</v>
      </c>
      <c r="R6096" t="s">
        <v>844</v>
      </c>
      <c r="S6096" t="s">
        <v>806</v>
      </c>
      <c r="T6096" t="s">
        <v>160</v>
      </c>
    </row>
    <row r="6097" spans="1:20" x14ac:dyDescent="0.25">
      <c r="A6097" t="s">
        <v>59</v>
      </c>
      <c r="B6097" t="s">
        <v>31</v>
      </c>
      <c r="C6097" t="s">
        <v>32</v>
      </c>
      <c r="D6097" t="s">
        <v>771</v>
      </c>
      <c r="E6097" t="s">
        <v>783</v>
      </c>
      <c r="F6097" t="s">
        <v>35</v>
      </c>
      <c r="G6097" t="s">
        <v>35</v>
      </c>
      <c r="H6097" t="s">
        <v>35</v>
      </c>
      <c r="J6097" t="s">
        <v>6049</v>
      </c>
      <c r="K6097" t="s">
        <v>1092</v>
      </c>
      <c r="M6097">
        <v>6.6150000000000002</v>
      </c>
      <c r="N6097">
        <v>38</v>
      </c>
      <c r="O6097" t="s">
        <v>52</v>
      </c>
      <c r="Q6097" t="s">
        <v>716</v>
      </c>
      <c r="R6097" t="s">
        <v>844</v>
      </c>
      <c r="S6097" t="s">
        <v>806</v>
      </c>
      <c r="T6097" t="s">
        <v>160</v>
      </c>
    </row>
    <row r="6098" spans="1:20" x14ac:dyDescent="0.25">
      <c r="A6098" t="s">
        <v>59</v>
      </c>
      <c r="B6098" t="s">
        <v>60</v>
      </c>
      <c r="C6098" t="s">
        <v>32</v>
      </c>
      <c r="D6098" t="s">
        <v>771</v>
      </c>
      <c r="E6098" t="s">
        <v>861</v>
      </c>
      <c r="F6098" t="s">
        <v>35</v>
      </c>
      <c r="G6098" t="s">
        <v>35</v>
      </c>
      <c r="H6098" t="s">
        <v>35</v>
      </c>
      <c r="J6098" t="s">
        <v>6293</v>
      </c>
      <c r="K6098" t="s">
        <v>1092</v>
      </c>
      <c r="M6098">
        <v>3.3</v>
      </c>
      <c r="N6098">
        <v>91</v>
      </c>
      <c r="O6098" t="s">
        <v>106</v>
      </c>
      <c r="Q6098" t="s">
        <v>108</v>
      </c>
      <c r="R6098" t="s">
        <v>844</v>
      </c>
      <c r="S6098" t="s">
        <v>806</v>
      </c>
      <c r="T6098" t="s">
        <v>160</v>
      </c>
    </row>
    <row r="6099" spans="1:20" x14ac:dyDescent="0.25">
      <c r="A6099" t="s">
        <v>30</v>
      </c>
      <c r="B6099" t="s">
        <v>31</v>
      </c>
      <c r="C6099" t="s">
        <v>32</v>
      </c>
      <c r="D6099" t="s">
        <v>771</v>
      </c>
      <c r="E6099" t="s">
        <v>836</v>
      </c>
      <c r="F6099" t="s">
        <v>35</v>
      </c>
      <c r="G6099" t="s">
        <v>35</v>
      </c>
      <c r="H6099" t="s">
        <v>35</v>
      </c>
      <c r="J6099" t="s">
        <v>6152</v>
      </c>
      <c r="K6099" t="s">
        <v>1092</v>
      </c>
      <c r="M6099">
        <v>3.15</v>
      </c>
      <c r="N6099">
        <v>108</v>
      </c>
      <c r="O6099" t="s">
        <v>106</v>
      </c>
      <c r="Q6099" t="s">
        <v>1195</v>
      </c>
      <c r="R6099" t="s">
        <v>844</v>
      </c>
      <c r="S6099" t="s">
        <v>806</v>
      </c>
      <c r="T6099" t="s">
        <v>160</v>
      </c>
    </row>
    <row r="6100" spans="1:20" x14ac:dyDescent="0.25">
      <c r="A6100" t="s">
        <v>30</v>
      </c>
      <c r="B6100" t="s">
        <v>31</v>
      </c>
      <c r="C6100" t="s">
        <v>32</v>
      </c>
      <c r="D6100" t="s">
        <v>771</v>
      </c>
      <c r="E6100" t="s">
        <v>861</v>
      </c>
      <c r="F6100" t="s">
        <v>35</v>
      </c>
      <c r="G6100" t="s">
        <v>35</v>
      </c>
      <c r="H6100" t="s">
        <v>35</v>
      </c>
      <c r="J6100" t="s">
        <v>6303</v>
      </c>
      <c r="K6100" t="s">
        <v>1092</v>
      </c>
      <c r="M6100">
        <v>3.51</v>
      </c>
      <c r="N6100">
        <v>111</v>
      </c>
      <c r="O6100" t="s">
        <v>106</v>
      </c>
      <c r="Q6100" t="s">
        <v>1469</v>
      </c>
      <c r="R6100" t="s">
        <v>844</v>
      </c>
      <c r="S6100" t="s">
        <v>806</v>
      </c>
      <c r="T6100" t="s">
        <v>160</v>
      </c>
    </row>
    <row r="6101" spans="1:20" x14ac:dyDescent="0.25">
      <c r="A6101" t="s">
        <v>30</v>
      </c>
      <c r="B6101" t="s">
        <v>31</v>
      </c>
      <c r="C6101" t="s">
        <v>32</v>
      </c>
      <c r="D6101" t="s">
        <v>771</v>
      </c>
      <c r="E6101" t="s">
        <v>6165</v>
      </c>
      <c r="F6101" t="s">
        <v>35</v>
      </c>
      <c r="G6101" t="s">
        <v>35</v>
      </c>
      <c r="H6101" t="s">
        <v>35</v>
      </c>
      <c r="J6101" t="s">
        <v>6166</v>
      </c>
      <c r="K6101" t="s">
        <v>1092</v>
      </c>
      <c r="M6101">
        <v>7.02</v>
      </c>
      <c r="N6101">
        <v>40</v>
      </c>
      <c r="O6101" t="s">
        <v>52</v>
      </c>
      <c r="Q6101" t="s">
        <v>132</v>
      </c>
      <c r="R6101" t="s">
        <v>844</v>
      </c>
      <c r="S6101" t="s">
        <v>806</v>
      </c>
      <c r="T6101" t="s">
        <v>160</v>
      </c>
    </row>
    <row r="6102" spans="1:20" x14ac:dyDescent="0.25">
      <c r="A6102" t="s">
        <v>44</v>
      </c>
      <c r="B6102" t="s">
        <v>51</v>
      </c>
      <c r="C6102" t="s">
        <v>32</v>
      </c>
      <c r="D6102" t="s">
        <v>771</v>
      </c>
      <c r="E6102" t="s">
        <v>6165</v>
      </c>
      <c r="F6102" t="s">
        <v>35</v>
      </c>
      <c r="G6102" t="s">
        <v>35</v>
      </c>
      <c r="H6102" t="s">
        <v>35</v>
      </c>
      <c r="J6102" t="s">
        <v>6171</v>
      </c>
      <c r="K6102" t="s">
        <v>1092</v>
      </c>
      <c r="M6102">
        <v>0.4</v>
      </c>
      <c r="N6102">
        <v>37</v>
      </c>
      <c r="O6102" t="s">
        <v>52</v>
      </c>
      <c r="Q6102" t="s">
        <v>192</v>
      </c>
      <c r="R6102" t="s">
        <v>844</v>
      </c>
      <c r="S6102" t="s">
        <v>806</v>
      </c>
      <c r="T6102" t="s">
        <v>160</v>
      </c>
    </row>
    <row r="6103" spans="1:20" x14ac:dyDescent="0.25">
      <c r="A6103" t="s">
        <v>44</v>
      </c>
      <c r="B6103" t="s">
        <v>51</v>
      </c>
      <c r="C6103" t="s">
        <v>32</v>
      </c>
      <c r="D6103" t="s">
        <v>771</v>
      </c>
      <c r="E6103" t="s">
        <v>6165</v>
      </c>
      <c r="F6103" t="s">
        <v>35</v>
      </c>
      <c r="G6103" t="s">
        <v>35</v>
      </c>
      <c r="H6103" t="s">
        <v>35</v>
      </c>
      <c r="J6103" t="s">
        <v>6171</v>
      </c>
      <c r="K6103" t="s">
        <v>1092</v>
      </c>
      <c r="M6103">
        <v>3.4</v>
      </c>
      <c r="N6103">
        <v>13</v>
      </c>
      <c r="O6103" t="s">
        <v>46</v>
      </c>
      <c r="Q6103" t="s">
        <v>1004</v>
      </c>
      <c r="R6103" t="s">
        <v>844</v>
      </c>
      <c r="S6103" t="s">
        <v>806</v>
      </c>
      <c r="T6103" t="s">
        <v>160</v>
      </c>
    </row>
    <row r="6104" spans="1:20" x14ac:dyDescent="0.25">
      <c r="A6104" t="s">
        <v>30</v>
      </c>
      <c r="B6104" t="s">
        <v>31</v>
      </c>
      <c r="C6104" t="s">
        <v>32</v>
      </c>
      <c r="D6104" t="s">
        <v>771</v>
      </c>
      <c r="E6104" t="s">
        <v>6165</v>
      </c>
      <c r="F6104" t="s">
        <v>35</v>
      </c>
      <c r="G6104" t="s">
        <v>35</v>
      </c>
      <c r="H6104" t="s">
        <v>35</v>
      </c>
      <c r="J6104" t="s">
        <v>6171</v>
      </c>
      <c r="K6104" t="s">
        <v>1092</v>
      </c>
      <c r="M6104">
        <v>6.8849999999999998</v>
      </c>
      <c r="N6104">
        <v>40</v>
      </c>
      <c r="O6104" t="s">
        <v>52</v>
      </c>
      <c r="Q6104" t="s">
        <v>132</v>
      </c>
      <c r="R6104" t="s">
        <v>844</v>
      </c>
      <c r="S6104" t="s">
        <v>806</v>
      </c>
      <c r="T6104" t="s">
        <v>160</v>
      </c>
    </row>
    <row r="6105" spans="1:20" x14ac:dyDescent="0.25">
      <c r="A6105" t="s">
        <v>44</v>
      </c>
      <c r="B6105" t="s">
        <v>51</v>
      </c>
      <c r="C6105" t="s">
        <v>32</v>
      </c>
      <c r="D6105" t="s">
        <v>771</v>
      </c>
      <c r="E6105" t="s">
        <v>861</v>
      </c>
      <c r="F6105" t="s">
        <v>35</v>
      </c>
      <c r="G6105" t="s">
        <v>35</v>
      </c>
      <c r="H6105" t="s">
        <v>35</v>
      </c>
      <c r="J6105" t="s">
        <v>6296</v>
      </c>
      <c r="K6105" t="s">
        <v>1092</v>
      </c>
      <c r="M6105">
        <v>0.7</v>
      </c>
      <c r="N6105">
        <v>256</v>
      </c>
      <c r="O6105" t="s">
        <v>5</v>
      </c>
      <c r="Q6105" t="s">
        <v>2499</v>
      </c>
      <c r="R6105" t="s">
        <v>844</v>
      </c>
      <c r="S6105" t="s">
        <v>806</v>
      </c>
      <c r="T6105" t="s">
        <v>160</v>
      </c>
    </row>
    <row r="6106" spans="1:20" x14ac:dyDescent="0.25">
      <c r="A6106" t="s">
        <v>30</v>
      </c>
      <c r="B6106" t="s">
        <v>31</v>
      </c>
      <c r="C6106" t="s">
        <v>32</v>
      </c>
      <c r="D6106" t="s">
        <v>771</v>
      </c>
      <c r="E6106" t="s">
        <v>861</v>
      </c>
      <c r="F6106" t="s">
        <v>35</v>
      </c>
      <c r="G6106" t="s">
        <v>35</v>
      </c>
      <c r="H6106" t="s">
        <v>35</v>
      </c>
      <c r="J6106" t="s">
        <v>6296</v>
      </c>
      <c r="K6106" t="s">
        <v>1092</v>
      </c>
      <c r="M6106">
        <v>2.0249999999999999</v>
      </c>
      <c r="N6106">
        <v>230</v>
      </c>
      <c r="O6106" t="s">
        <v>5</v>
      </c>
      <c r="Q6106" t="s">
        <v>3446</v>
      </c>
      <c r="R6106" t="s">
        <v>844</v>
      </c>
      <c r="S6106" t="s">
        <v>806</v>
      </c>
      <c r="T6106" t="s">
        <v>160</v>
      </c>
    </row>
    <row r="6107" spans="1:20" x14ac:dyDescent="0.25">
      <c r="A6107" t="s">
        <v>44</v>
      </c>
      <c r="B6107" t="s">
        <v>3</v>
      </c>
      <c r="C6107" t="s">
        <v>32</v>
      </c>
      <c r="D6107" t="s">
        <v>771</v>
      </c>
      <c r="E6107" t="s">
        <v>861</v>
      </c>
      <c r="F6107" t="s">
        <v>35</v>
      </c>
      <c r="G6107" t="s">
        <v>35</v>
      </c>
      <c r="H6107" t="s">
        <v>35</v>
      </c>
      <c r="J6107" t="s">
        <v>6296</v>
      </c>
      <c r="K6107" t="s">
        <v>1092</v>
      </c>
      <c r="M6107">
        <v>0.25</v>
      </c>
      <c r="N6107">
        <v>256</v>
      </c>
      <c r="O6107" t="s">
        <v>5</v>
      </c>
      <c r="Q6107" t="s">
        <v>2499</v>
      </c>
      <c r="R6107" t="s">
        <v>844</v>
      </c>
      <c r="S6107" t="s">
        <v>806</v>
      </c>
      <c r="T6107" t="s">
        <v>160</v>
      </c>
    </row>
    <row r="6108" spans="1:20" x14ac:dyDescent="0.25">
      <c r="A6108" t="s">
        <v>30</v>
      </c>
      <c r="B6108" t="s">
        <v>31</v>
      </c>
      <c r="C6108" t="s">
        <v>32</v>
      </c>
      <c r="D6108" t="s">
        <v>771</v>
      </c>
      <c r="E6108" t="s">
        <v>783</v>
      </c>
      <c r="F6108" t="s">
        <v>35</v>
      </c>
      <c r="G6108" t="s">
        <v>35</v>
      </c>
      <c r="H6108" t="s">
        <v>35</v>
      </c>
      <c r="J6108" t="s">
        <v>6087</v>
      </c>
      <c r="K6108" t="s">
        <v>1092</v>
      </c>
      <c r="M6108">
        <v>1.0349999999999999</v>
      </c>
      <c r="N6108">
        <v>40</v>
      </c>
      <c r="O6108" t="s">
        <v>52</v>
      </c>
      <c r="Q6108" t="s">
        <v>132</v>
      </c>
      <c r="R6108" t="s">
        <v>844</v>
      </c>
      <c r="S6108" t="s">
        <v>806</v>
      </c>
      <c r="T6108" t="s">
        <v>160</v>
      </c>
    </row>
    <row r="6109" spans="1:20" x14ac:dyDescent="0.25">
      <c r="A6109" t="s">
        <v>59</v>
      </c>
      <c r="B6109" t="s">
        <v>60</v>
      </c>
      <c r="C6109" t="s">
        <v>32</v>
      </c>
      <c r="D6109" t="s">
        <v>771</v>
      </c>
      <c r="E6109" t="s">
        <v>783</v>
      </c>
      <c r="F6109" t="s">
        <v>35</v>
      </c>
      <c r="G6109" t="s">
        <v>35</v>
      </c>
      <c r="H6109" t="s">
        <v>35</v>
      </c>
      <c r="J6109" t="s">
        <v>6087</v>
      </c>
      <c r="K6109" t="s">
        <v>1092</v>
      </c>
      <c r="M6109">
        <v>0.6</v>
      </c>
      <c r="N6109">
        <v>82</v>
      </c>
      <c r="O6109" t="s">
        <v>61</v>
      </c>
      <c r="Q6109" t="s">
        <v>299</v>
      </c>
      <c r="R6109" t="s">
        <v>844</v>
      </c>
      <c r="S6109" t="s">
        <v>806</v>
      </c>
      <c r="T6109" t="s">
        <v>160</v>
      </c>
    </row>
    <row r="6110" spans="1:20" x14ac:dyDescent="0.25">
      <c r="A6110" t="s">
        <v>30</v>
      </c>
      <c r="B6110" t="s">
        <v>31</v>
      </c>
      <c r="C6110" t="s">
        <v>32</v>
      </c>
      <c r="D6110" t="s">
        <v>771</v>
      </c>
      <c r="E6110" t="s">
        <v>6175</v>
      </c>
      <c r="F6110" t="s">
        <v>35</v>
      </c>
      <c r="G6110" t="s">
        <v>35</v>
      </c>
      <c r="H6110" t="s">
        <v>35</v>
      </c>
      <c r="J6110" t="s">
        <v>6178</v>
      </c>
      <c r="K6110" t="s">
        <v>1092</v>
      </c>
      <c r="M6110">
        <v>3.0150000000000001</v>
      </c>
      <c r="N6110">
        <v>186</v>
      </c>
      <c r="O6110" t="s">
        <v>5</v>
      </c>
      <c r="Q6110" t="s">
        <v>1894</v>
      </c>
      <c r="R6110" t="s">
        <v>844</v>
      </c>
      <c r="S6110" t="s">
        <v>806</v>
      </c>
      <c r="T6110" t="s">
        <v>160</v>
      </c>
    </row>
    <row r="6111" spans="1:20" x14ac:dyDescent="0.25">
      <c r="A6111" t="s">
        <v>59</v>
      </c>
      <c r="B6111" t="s">
        <v>31</v>
      </c>
      <c r="C6111" t="s">
        <v>32</v>
      </c>
      <c r="D6111" t="s">
        <v>771</v>
      </c>
      <c r="E6111" t="s">
        <v>6214</v>
      </c>
      <c r="F6111" t="s">
        <v>35</v>
      </c>
      <c r="G6111" t="s">
        <v>35</v>
      </c>
      <c r="H6111" t="s">
        <v>35</v>
      </c>
      <c r="J6111" t="s">
        <v>1659</v>
      </c>
      <c r="K6111" t="s">
        <v>1144</v>
      </c>
      <c r="M6111">
        <v>1.845</v>
      </c>
      <c r="N6111">
        <v>1075</v>
      </c>
      <c r="O6111" t="s">
        <v>575</v>
      </c>
      <c r="Q6111" t="s">
        <v>6220</v>
      </c>
      <c r="R6111" t="s">
        <v>844</v>
      </c>
      <c r="S6111" t="s">
        <v>806</v>
      </c>
      <c r="T6111" t="s">
        <v>160</v>
      </c>
    </row>
    <row r="6112" spans="1:20" x14ac:dyDescent="0.25">
      <c r="A6112" t="s">
        <v>59</v>
      </c>
      <c r="B6112" t="s">
        <v>60</v>
      </c>
      <c r="C6112" t="s">
        <v>32</v>
      </c>
      <c r="D6112" t="s">
        <v>771</v>
      </c>
      <c r="E6112" t="s">
        <v>6214</v>
      </c>
      <c r="F6112" t="s">
        <v>35</v>
      </c>
      <c r="G6112" t="s">
        <v>35</v>
      </c>
      <c r="H6112" t="s">
        <v>35</v>
      </c>
      <c r="J6112" t="s">
        <v>1659</v>
      </c>
      <c r="K6112" t="s">
        <v>1144</v>
      </c>
      <c r="M6112">
        <v>2.75</v>
      </c>
      <c r="N6112">
        <v>1075</v>
      </c>
      <c r="O6112" t="s">
        <v>575</v>
      </c>
      <c r="Q6112" t="s">
        <v>6220</v>
      </c>
      <c r="R6112" t="s">
        <v>844</v>
      </c>
      <c r="S6112" t="s">
        <v>806</v>
      </c>
      <c r="T6112" t="s">
        <v>160</v>
      </c>
    </row>
    <row r="6113" spans="1:20" x14ac:dyDescent="0.25">
      <c r="A6113" t="s">
        <v>59</v>
      </c>
      <c r="B6113" t="s">
        <v>60</v>
      </c>
      <c r="C6113" t="s">
        <v>32</v>
      </c>
      <c r="D6113" t="s">
        <v>771</v>
      </c>
      <c r="E6113" t="s">
        <v>836</v>
      </c>
      <c r="F6113" t="s">
        <v>35</v>
      </c>
      <c r="G6113" t="s">
        <v>35</v>
      </c>
      <c r="H6113" t="s">
        <v>35</v>
      </c>
      <c r="J6113" t="s">
        <v>6161</v>
      </c>
      <c r="K6113" t="s">
        <v>1092</v>
      </c>
      <c r="M6113">
        <v>0.27600000000000002</v>
      </c>
      <c r="N6113">
        <v>282</v>
      </c>
      <c r="O6113" t="s">
        <v>5</v>
      </c>
      <c r="Q6113" t="s">
        <v>1172</v>
      </c>
      <c r="R6113" t="s">
        <v>844</v>
      </c>
      <c r="S6113" t="s">
        <v>806</v>
      </c>
      <c r="T6113" t="s">
        <v>160</v>
      </c>
    </row>
    <row r="6114" spans="1:20" x14ac:dyDescent="0.25">
      <c r="A6114" t="s">
        <v>30</v>
      </c>
      <c r="B6114" t="s">
        <v>31</v>
      </c>
      <c r="C6114" t="s">
        <v>32</v>
      </c>
      <c r="D6114" t="s">
        <v>771</v>
      </c>
      <c r="E6114" t="s">
        <v>888</v>
      </c>
      <c r="F6114" t="s">
        <v>35</v>
      </c>
      <c r="G6114" t="s">
        <v>35</v>
      </c>
      <c r="H6114" t="s">
        <v>35</v>
      </c>
      <c r="J6114" t="s">
        <v>6484</v>
      </c>
      <c r="K6114" t="s">
        <v>1092</v>
      </c>
      <c r="M6114">
        <v>1.0349999999999999</v>
      </c>
      <c r="N6114">
        <v>104</v>
      </c>
      <c r="O6114" t="s">
        <v>106</v>
      </c>
      <c r="Q6114" t="s">
        <v>4219</v>
      </c>
      <c r="R6114" t="s">
        <v>844</v>
      </c>
      <c r="S6114" t="s">
        <v>806</v>
      </c>
      <c r="T6114" t="s">
        <v>160</v>
      </c>
    </row>
    <row r="6115" spans="1:20" x14ac:dyDescent="0.25">
      <c r="A6115" t="s">
        <v>59</v>
      </c>
      <c r="B6115" t="s">
        <v>60</v>
      </c>
      <c r="C6115" t="s">
        <v>32</v>
      </c>
      <c r="D6115" t="s">
        <v>771</v>
      </c>
      <c r="E6115" t="s">
        <v>888</v>
      </c>
      <c r="F6115" t="s">
        <v>35</v>
      </c>
      <c r="G6115" t="s">
        <v>35</v>
      </c>
      <c r="H6115" t="s">
        <v>35</v>
      </c>
      <c r="J6115" t="s">
        <v>6484</v>
      </c>
      <c r="K6115" t="s">
        <v>1092</v>
      </c>
      <c r="M6115">
        <v>0.5</v>
      </c>
      <c r="N6115">
        <v>146</v>
      </c>
      <c r="O6115" t="s">
        <v>38</v>
      </c>
      <c r="Q6115" t="s">
        <v>569</v>
      </c>
      <c r="R6115" t="s">
        <v>844</v>
      </c>
      <c r="S6115" t="s">
        <v>806</v>
      </c>
      <c r="T6115" t="s">
        <v>160</v>
      </c>
    </row>
    <row r="6116" spans="1:20" x14ac:dyDescent="0.25">
      <c r="A6116" t="s">
        <v>59</v>
      </c>
      <c r="B6116" t="s">
        <v>31</v>
      </c>
      <c r="C6116" t="s">
        <v>32</v>
      </c>
      <c r="D6116" t="s">
        <v>771</v>
      </c>
      <c r="E6116" t="s">
        <v>888</v>
      </c>
      <c r="F6116" t="s">
        <v>35</v>
      </c>
      <c r="G6116" t="s">
        <v>35</v>
      </c>
      <c r="H6116" t="s">
        <v>35</v>
      </c>
      <c r="J6116" t="s">
        <v>6484</v>
      </c>
      <c r="K6116" t="s">
        <v>1092</v>
      </c>
      <c r="M6116">
        <v>3.0150000000000001</v>
      </c>
      <c r="N6116">
        <v>20</v>
      </c>
      <c r="O6116" t="s">
        <v>46</v>
      </c>
      <c r="Q6116" t="s">
        <v>1011</v>
      </c>
      <c r="R6116" t="s">
        <v>844</v>
      </c>
      <c r="S6116" t="s">
        <v>806</v>
      </c>
      <c r="T6116" t="s">
        <v>160</v>
      </c>
    </row>
    <row r="6117" spans="1:20" x14ac:dyDescent="0.25">
      <c r="A6117" t="s">
        <v>59</v>
      </c>
      <c r="B6117" t="s">
        <v>60</v>
      </c>
      <c r="C6117" t="s">
        <v>32</v>
      </c>
      <c r="D6117" t="s">
        <v>771</v>
      </c>
      <c r="E6117" t="s">
        <v>888</v>
      </c>
      <c r="F6117" t="s">
        <v>35</v>
      </c>
      <c r="G6117" t="s">
        <v>35</v>
      </c>
      <c r="H6117" t="s">
        <v>35</v>
      </c>
      <c r="J6117" t="s">
        <v>6484</v>
      </c>
      <c r="K6117" t="s">
        <v>1092</v>
      </c>
      <c r="M6117">
        <v>8</v>
      </c>
      <c r="N6117">
        <v>20</v>
      </c>
      <c r="O6117" t="s">
        <v>46</v>
      </c>
      <c r="Q6117" t="s">
        <v>1011</v>
      </c>
      <c r="R6117" t="s">
        <v>844</v>
      </c>
      <c r="S6117" t="s">
        <v>806</v>
      </c>
      <c r="T6117" t="s">
        <v>160</v>
      </c>
    </row>
    <row r="6118" spans="1:20" x14ac:dyDescent="0.25">
      <c r="A6118" t="s">
        <v>59</v>
      </c>
      <c r="B6118" t="s">
        <v>31</v>
      </c>
      <c r="C6118" t="s">
        <v>32</v>
      </c>
      <c r="D6118" t="s">
        <v>771</v>
      </c>
      <c r="E6118" t="s">
        <v>6214</v>
      </c>
      <c r="F6118" t="s">
        <v>35</v>
      </c>
      <c r="G6118" t="s">
        <v>35</v>
      </c>
      <c r="H6118" t="s">
        <v>35</v>
      </c>
      <c r="J6118" t="s">
        <v>6237</v>
      </c>
      <c r="K6118" t="s">
        <v>1092</v>
      </c>
      <c r="M6118">
        <v>4.8600000000000003</v>
      </c>
      <c r="N6118">
        <v>146</v>
      </c>
      <c r="O6118" t="s">
        <v>38</v>
      </c>
      <c r="Q6118" t="s">
        <v>569</v>
      </c>
      <c r="R6118" t="s">
        <v>844</v>
      </c>
      <c r="S6118" t="s">
        <v>806</v>
      </c>
      <c r="T6118" t="s">
        <v>160</v>
      </c>
    </row>
    <row r="6119" spans="1:20" x14ac:dyDescent="0.25">
      <c r="A6119" t="s">
        <v>59</v>
      </c>
      <c r="B6119" t="s">
        <v>31</v>
      </c>
      <c r="C6119" t="s">
        <v>32</v>
      </c>
      <c r="D6119" t="s">
        <v>771</v>
      </c>
      <c r="E6119" t="s">
        <v>6214</v>
      </c>
      <c r="F6119" t="s">
        <v>35</v>
      </c>
      <c r="G6119" t="s">
        <v>35</v>
      </c>
      <c r="H6119" t="s">
        <v>35</v>
      </c>
      <c r="J6119" t="s">
        <v>6237</v>
      </c>
      <c r="K6119" t="s">
        <v>1092</v>
      </c>
      <c r="M6119">
        <v>4.9950000000000001</v>
      </c>
      <c r="N6119">
        <v>70</v>
      </c>
      <c r="O6119" t="s">
        <v>61</v>
      </c>
      <c r="Q6119" t="s">
        <v>305</v>
      </c>
      <c r="R6119" t="s">
        <v>844</v>
      </c>
      <c r="S6119" t="s">
        <v>806</v>
      </c>
      <c r="T6119" t="s">
        <v>160</v>
      </c>
    </row>
    <row r="6120" spans="1:20" x14ac:dyDescent="0.25">
      <c r="A6120" t="s">
        <v>59</v>
      </c>
      <c r="B6120" t="s">
        <v>31</v>
      </c>
      <c r="C6120" t="s">
        <v>32</v>
      </c>
      <c r="D6120" t="s">
        <v>771</v>
      </c>
      <c r="E6120" t="s">
        <v>783</v>
      </c>
      <c r="F6120" t="s">
        <v>35</v>
      </c>
      <c r="G6120" t="s">
        <v>35</v>
      </c>
      <c r="H6120" t="s">
        <v>35</v>
      </c>
      <c r="J6120" t="s">
        <v>6080</v>
      </c>
      <c r="K6120" t="s">
        <v>1092</v>
      </c>
      <c r="M6120">
        <v>0.63</v>
      </c>
      <c r="N6120">
        <v>82</v>
      </c>
      <c r="O6120" t="s">
        <v>61</v>
      </c>
      <c r="Q6120" t="s">
        <v>299</v>
      </c>
      <c r="R6120" t="s">
        <v>844</v>
      </c>
      <c r="S6120" t="s">
        <v>806</v>
      </c>
      <c r="T6120" t="s">
        <v>160</v>
      </c>
    </row>
    <row r="6121" spans="1:20" x14ac:dyDescent="0.25">
      <c r="A6121" t="s">
        <v>59</v>
      </c>
      <c r="B6121" t="s">
        <v>31</v>
      </c>
      <c r="C6121" t="s">
        <v>32</v>
      </c>
      <c r="D6121" t="s">
        <v>771</v>
      </c>
      <c r="E6121" t="s">
        <v>783</v>
      </c>
      <c r="F6121" t="s">
        <v>35</v>
      </c>
      <c r="G6121" t="s">
        <v>35</v>
      </c>
      <c r="H6121" t="s">
        <v>35</v>
      </c>
      <c r="J6121" t="s">
        <v>6080</v>
      </c>
      <c r="K6121" t="s">
        <v>1092</v>
      </c>
      <c r="M6121">
        <v>7.02</v>
      </c>
      <c r="N6121">
        <v>38</v>
      </c>
      <c r="O6121" t="s">
        <v>52</v>
      </c>
      <c r="Q6121" t="s">
        <v>716</v>
      </c>
      <c r="R6121" t="s">
        <v>844</v>
      </c>
      <c r="S6121" t="s">
        <v>806</v>
      </c>
      <c r="T6121" t="s">
        <v>160</v>
      </c>
    </row>
    <row r="6122" spans="1:20" x14ac:dyDescent="0.25">
      <c r="A6122" t="s">
        <v>59</v>
      </c>
      <c r="B6122" t="s">
        <v>60</v>
      </c>
      <c r="C6122" t="s">
        <v>32</v>
      </c>
      <c r="D6122" t="s">
        <v>771</v>
      </c>
      <c r="E6122" t="s">
        <v>783</v>
      </c>
      <c r="F6122" t="s">
        <v>35</v>
      </c>
      <c r="G6122" t="s">
        <v>35</v>
      </c>
      <c r="H6122" t="s">
        <v>35</v>
      </c>
      <c r="J6122" t="s">
        <v>6080</v>
      </c>
      <c r="K6122" t="s">
        <v>1092</v>
      </c>
      <c r="M6122">
        <v>2.35</v>
      </c>
      <c r="N6122">
        <v>82</v>
      </c>
      <c r="O6122" t="s">
        <v>61</v>
      </c>
      <c r="Q6122" t="s">
        <v>299</v>
      </c>
      <c r="R6122" t="s">
        <v>844</v>
      </c>
      <c r="S6122" t="s">
        <v>806</v>
      </c>
      <c r="T6122" t="s">
        <v>160</v>
      </c>
    </row>
    <row r="6123" spans="1:20" x14ac:dyDescent="0.25">
      <c r="A6123" t="s">
        <v>30</v>
      </c>
      <c r="B6123" t="s">
        <v>31</v>
      </c>
      <c r="C6123" t="s">
        <v>32</v>
      </c>
      <c r="D6123" t="s">
        <v>771</v>
      </c>
      <c r="E6123" t="s">
        <v>783</v>
      </c>
      <c r="F6123" t="s">
        <v>35</v>
      </c>
      <c r="G6123" t="s">
        <v>35</v>
      </c>
      <c r="H6123" t="s">
        <v>35</v>
      </c>
      <c r="J6123" t="s">
        <v>6080</v>
      </c>
      <c r="K6123" t="s">
        <v>1092</v>
      </c>
      <c r="M6123">
        <v>1.71</v>
      </c>
      <c r="N6123">
        <v>111</v>
      </c>
      <c r="O6123" t="s">
        <v>106</v>
      </c>
      <c r="Q6123" t="s">
        <v>1469</v>
      </c>
      <c r="R6123" t="s">
        <v>844</v>
      </c>
      <c r="S6123" t="s">
        <v>806</v>
      </c>
      <c r="T6123" t="s">
        <v>160</v>
      </c>
    </row>
    <row r="6124" spans="1:20" x14ac:dyDescent="0.25">
      <c r="A6124" t="s">
        <v>30</v>
      </c>
      <c r="B6124" t="s">
        <v>31</v>
      </c>
      <c r="C6124" t="s">
        <v>32</v>
      </c>
      <c r="D6124" t="s">
        <v>771</v>
      </c>
      <c r="E6124" t="s">
        <v>783</v>
      </c>
      <c r="F6124" t="s">
        <v>35</v>
      </c>
      <c r="G6124" t="s">
        <v>35</v>
      </c>
      <c r="H6124" t="s">
        <v>35</v>
      </c>
      <c r="J6124" t="s">
        <v>6046</v>
      </c>
      <c r="K6124" t="s">
        <v>1092</v>
      </c>
      <c r="M6124">
        <v>1.2150000000000001</v>
      </c>
      <c r="N6124">
        <v>111</v>
      </c>
      <c r="O6124" t="s">
        <v>106</v>
      </c>
      <c r="Q6124" t="s">
        <v>1469</v>
      </c>
      <c r="R6124" t="s">
        <v>844</v>
      </c>
      <c r="S6124" t="s">
        <v>806</v>
      </c>
      <c r="T6124" t="s">
        <v>160</v>
      </c>
    </row>
    <row r="6125" spans="1:20" x14ac:dyDescent="0.25">
      <c r="A6125" t="s">
        <v>59</v>
      </c>
      <c r="B6125" t="s">
        <v>60</v>
      </c>
      <c r="C6125" t="s">
        <v>32</v>
      </c>
      <c r="D6125" t="s">
        <v>771</v>
      </c>
      <c r="E6125" t="s">
        <v>783</v>
      </c>
      <c r="F6125" t="s">
        <v>35</v>
      </c>
      <c r="G6125" t="s">
        <v>35</v>
      </c>
      <c r="H6125" t="s">
        <v>35</v>
      </c>
      <c r="J6125" t="s">
        <v>6046</v>
      </c>
      <c r="K6125" t="s">
        <v>1092</v>
      </c>
      <c r="M6125">
        <v>2.4500000000000002</v>
      </c>
      <c r="N6125">
        <v>146</v>
      </c>
      <c r="O6125" t="s">
        <v>38</v>
      </c>
      <c r="Q6125" t="s">
        <v>569</v>
      </c>
      <c r="R6125" t="s">
        <v>844</v>
      </c>
      <c r="S6125" t="s">
        <v>806</v>
      </c>
      <c r="T6125" t="s">
        <v>160</v>
      </c>
    </row>
    <row r="6126" spans="1:20" x14ac:dyDescent="0.25">
      <c r="A6126" t="s">
        <v>59</v>
      </c>
      <c r="B6126" t="s">
        <v>31</v>
      </c>
      <c r="C6126" t="s">
        <v>32</v>
      </c>
      <c r="D6126" t="s">
        <v>771</v>
      </c>
      <c r="E6126" t="s">
        <v>840</v>
      </c>
      <c r="F6126" t="s">
        <v>35</v>
      </c>
      <c r="G6126" t="s">
        <v>35</v>
      </c>
      <c r="H6126" t="s">
        <v>35</v>
      </c>
      <c r="J6126" t="s">
        <v>6184</v>
      </c>
      <c r="K6126" t="s">
        <v>1092</v>
      </c>
      <c r="M6126">
        <v>7.02</v>
      </c>
      <c r="N6126">
        <v>38</v>
      </c>
      <c r="O6126" t="s">
        <v>52</v>
      </c>
      <c r="Q6126" t="s">
        <v>716</v>
      </c>
      <c r="R6126" t="s">
        <v>844</v>
      </c>
      <c r="S6126" t="s">
        <v>806</v>
      </c>
      <c r="T6126" t="s">
        <v>160</v>
      </c>
    </row>
    <row r="6127" spans="1:20" x14ac:dyDescent="0.25">
      <c r="A6127" t="s">
        <v>59</v>
      </c>
      <c r="B6127" t="s">
        <v>31</v>
      </c>
      <c r="C6127" t="s">
        <v>32</v>
      </c>
      <c r="D6127" t="s">
        <v>771</v>
      </c>
      <c r="E6127" t="s">
        <v>840</v>
      </c>
      <c r="F6127" t="s">
        <v>35</v>
      </c>
      <c r="G6127" t="s">
        <v>35</v>
      </c>
      <c r="H6127" t="s">
        <v>35</v>
      </c>
      <c r="J6127" t="s">
        <v>6184</v>
      </c>
      <c r="K6127" t="s">
        <v>1092</v>
      </c>
      <c r="M6127">
        <v>6.0750000000000002</v>
      </c>
      <c r="N6127">
        <v>82</v>
      </c>
      <c r="O6127" t="s">
        <v>61</v>
      </c>
      <c r="Q6127" t="s">
        <v>299</v>
      </c>
      <c r="R6127" t="s">
        <v>844</v>
      </c>
      <c r="S6127" t="s">
        <v>806</v>
      </c>
      <c r="T6127" t="s">
        <v>160</v>
      </c>
    </row>
    <row r="6128" spans="1:20" x14ac:dyDescent="0.25">
      <c r="A6128" t="s">
        <v>59</v>
      </c>
      <c r="B6128" t="s">
        <v>60</v>
      </c>
      <c r="C6128" t="s">
        <v>32</v>
      </c>
      <c r="D6128" t="s">
        <v>771</v>
      </c>
      <c r="E6128" t="s">
        <v>861</v>
      </c>
      <c r="F6128" t="s">
        <v>35</v>
      </c>
      <c r="G6128" t="s">
        <v>35</v>
      </c>
      <c r="H6128" t="s">
        <v>35</v>
      </c>
      <c r="J6128" t="s">
        <v>6301</v>
      </c>
      <c r="K6128" t="s">
        <v>1092</v>
      </c>
      <c r="M6128">
        <v>1.65</v>
      </c>
      <c r="N6128">
        <v>214</v>
      </c>
      <c r="O6128" t="s">
        <v>5</v>
      </c>
      <c r="Q6128" t="s">
        <v>79</v>
      </c>
      <c r="R6128" t="s">
        <v>844</v>
      </c>
      <c r="S6128" t="s">
        <v>806</v>
      </c>
      <c r="T6128" t="s">
        <v>160</v>
      </c>
    </row>
    <row r="6129" spans="1:20" x14ac:dyDescent="0.25">
      <c r="A6129" t="s">
        <v>59</v>
      </c>
      <c r="B6129" t="s">
        <v>31</v>
      </c>
      <c r="C6129" t="s">
        <v>32</v>
      </c>
      <c r="D6129" t="s">
        <v>771</v>
      </c>
      <c r="E6129" t="s">
        <v>871</v>
      </c>
      <c r="F6129" t="s">
        <v>35</v>
      </c>
      <c r="G6129" t="s">
        <v>35</v>
      </c>
      <c r="H6129" t="s">
        <v>35</v>
      </c>
      <c r="J6129" t="s">
        <v>6437</v>
      </c>
      <c r="K6129" t="s">
        <v>1092</v>
      </c>
      <c r="M6129">
        <v>2.97</v>
      </c>
      <c r="N6129">
        <v>70</v>
      </c>
      <c r="O6129" t="s">
        <v>61</v>
      </c>
      <c r="Q6129" t="s">
        <v>305</v>
      </c>
      <c r="R6129" t="s">
        <v>844</v>
      </c>
      <c r="S6129" t="s">
        <v>806</v>
      </c>
      <c r="T6129" t="s">
        <v>160</v>
      </c>
    </row>
    <row r="6130" spans="1:20" x14ac:dyDescent="0.25">
      <c r="A6130" t="s">
        <v>59</v>
      </c>
      <c r="B6130" t="s">
        <v>60</v>
      </c>
      <c r="C6130" t="s">
        <v>32</v>
      </c>
      <c r="D6130" t="s">
        <v>771</v>
      </c>
      <c r="E6130" t="s">
        <v>871</v>
      </c>
      <c r="F6130" t="s">
        <v>35</v>
      </c>
      <c r="G6130" t="s">
        <v>35</v>
      </c>
      <c r="H6130" t="s">
        <v>35</v>
      </c>
      <c r="J6130" t="s">
        <v>6437</v>
      </c>
      <c r="K6130" t="s">
        <v>1092</v>
      </c>
      <c r="M6130">
        <v>0.5</v>
      </c>
      <c r="N6130">
        <v>146</v>
      </c>
      <c r="O6130" t="s">
        <v>38</v>
      </c>
      <c r="Q6130" t="s">
        <v>569</v>
      </c>
      <c r="R6130" t="s">
        <v>844</v>
      </c>
      <c r="S6130" t="s">
        <v>806</v>
      </c>
      <c r="T6130" t="s">
        <v>160</v>
      </c>
    </row>
    <row r="6131" spans="1:20" x14ac:dyDescent="0.25">
      <c r="A6131" t="s">
        <v>30</v>
      </c>
      <c r="B6131" t="s">
        <v>31</v>
      </c>
      <c r="C6131" t="s">
        <v>32</v>
      </c>
      <c r="D6131" t="s">
        <v>771</v>
      </c>
      <c r="E6131" t="s">
        <v>861</v>
      </c>
      <c r="F6131" t="s">
        <v>35</v>
      </c>
      <c r="G6131" t="s">
        <v>35</v>
      </c>
      <c r="H6131" t="s">
        <v>35</v>
      </c>
      <c r="J6131" t="s">
        <v>6313</v>
      </c>
      <c r="K6131" t="s">
        <v>1092</v>
      </c>
      <c r="M6131">
        <v>2.97</v>
      </c>
      <c r="N6131">
        <v>122</v>
      </c>
      <c r="O6131" t="s">
        <v>38</v>
      </c>
      <c r="Q6131" t="s">
        <v>1449</v>
      </c>
      <c r="R6131" t="s">
        <v>844</v>
      </c>
      <c r="S6131" t="s">
        <v>806</v>
      </c>
      <c r="T6131" t="s">
        <v>160</v>
      </c>
    </row>
    <row r="6132" spans="1:20" x14ac:dyDescent="0.25">
      <c r="A6132" t="s">
        <v>59</v>
      </c>
      <c r="B6132" t="s">
        <v>31</v>
      </c>
      <c r="C6132" t="s">
        <v>32</v>
      </c>
      <c r="D6132" t="s">
        <v>771</v>
      </c>
      <c r="E6132" t="s">
        <v>861</v>
      </c>
      <c r="F6132" t="s">
        <v>35</v>
      </c>
      <c r="G6132" t="s">
        <v>35</v>
      </c>
      <c r="H6132" t="s">
        <v>35</v>
      </c>
      <c r="J6132" t="s">
        <v>6313</v>
      </c>
      <c r="K6132" t="s">
        <v>1092</v>
      </c>
      <c r="M6132">
        <v>2.97</v>
      </c>
      <c r="N6132">
        <v>257</v>
      </c>
      <c r="O6132" t="s">
        <v>5</v>
      </c>
      <c r="Q6132" t="s">
        <v>1721</v>
      </c>
      <c r="R6132" t="s">
        <v>844</v>
      </c>
      <c r="S6132" t="s">
        <v>806</v>
      </c>
      <c r="T6132" t="s">
        <v>160</v>
      </c>
    </row>
    <row r="6133" spans="1:20" x14ac:dyDescent="0.25">
      <c r="A6133" t="s">
        <v>30</v>
      </c>
      <c r="B6133" t="s">
        <v>31</v>
      </c>
      <c r="C6133" t="s">
        <v>32</v>
      </c>
      <c r="D6133" t="s">
        <v>771</v>
      </c>
      <c r="E6133" t="s">
        <v>836</v>
      </c>
      <c r="F6133" t="s">
        <v>35</v>
      </c>
      <c r="G6133" t="s">
        <v>35</v>
      </c>
      <c r="H6133" t="s">
        <v>35</v>
      </c>
      <c r="J6133" t="s">
        <v>6156</v>
      </c>
      <c r="K6133" t="s">
        <v>1092</v>
      </c>
      <c r="M6133">
        <v>5.0000000000000001E-3</v>
      </c>
      <c r="N6133">
        <v>2663</v>
      </c>
      <c r="O6133" t="s">
        <v>575</v>
      </c>
      <c r="Q6133" t="s">
        <v>6157</v>
      </c>
      <c r="R6133" t="s">
        <v>844</v>
      </c>
      <c r="S6133" t="s">
        <v>806</v>
      </c>
      <c r="T6133" t="s">
        <v>160</v>
      </c>
    </row>
    <row r="6134" spans="1:20" x14ac:dyDescent="0.25">
      <c r="A6134" t="s">
        <v>30</v>
      </c>
      <c r="B6134" t="s">
        <v>31</v>
      </c>
      <c r="C6134" t="s">
        <v>32</v>
      </c>
      <c r="D6134" t="s">
        <v>771</v>
      </c>
      <c r="E6134" t="s">
        <v>836</v>
      </c>
      <c r="F6134" t="s">
        <v>35</v>
      </c>
      <c r="G6134" t="s">
        <v>35</v>
      </c>
      <c r="H6134" t="s">
        <v>35</v>
      </c>
      <c r="J6134" t="s">
        <v>6150</v>
      </c>
      <c r="K6134" t="s">
        <v>1092</v>
      </c>
      <c r="M6134">
        <v>4.9950000000000001</v>
      </c>
      <c r="N6134">
        <v>38</v>
      </c>
      <c r="O6134" t="s">
        <v>52</v>
      </c>
      <c r="Q6134" t="s">
        <v>716</v>
      </c>
      <c r="R6134" t="s">
        <v>844</v>
      </c>
      <c r="S6134" t="s">
        <v>806</v>
      </c>
      <c r="T6134" t="s">
        <v>160</v>
      </c>
    </row>
    <row r="6135" spans="1:20" x14ac:dyDescent="0.25">
      <c r="A6135" t="s">
        <v>44</v>
      </c>
      <c r="B6135" t="s">
        <v>51</v>
      </c>
      <c r="C6135" t="s">
        <v>32</v>
      </c>
      <c r="D6135" t="s">
        <v>771</v>
      </c>
      <c r="E6135" t="s">
        <v>6525</v>
      </c>
      <c r="F6135" t="s">
        <v>35</v>
      </c>
      <c r="G6135" t="s">
        <v>35</v>
      </c>
      <c r="H6135" t="s">
        <v>35</v>
      </c>
      <c r="J6135" t="s">
        <v>6528</v>
      </c>
      <c r="K6135" t="s">
        <v>1092</v>
      </c>
      <c r="M6135">
        <v>0.25</v>
      </c>
      <c r="N6135">
        <v>124</v>
      </c>
      <c r="O6135" t="s">
        <v>38</v>
      </c>
      <c r="Q6135" t="s">
        <v>646</v>
      </c>
      <c r="R6135" t="s">
        <v>844</v>
      </c>
      <c r="S6135" t="s">
        <v>806</v>
      </c>
      <c r="T6135" t="s">
        <v>160</v>
      </c>
    </row>
    <row r="6136" spans="1:20" x14ac:dyDescent="0.25">
      <c r="A6136" t="s">
        <v>44</v>
      </c>
      <c r="B6136" t="s">
        <v>51</v>
      </c>
      <c r="C6136" t="s">
        <v>32</v>
      </c>
      <c r="D6136" t="s">
        <v>771</v>
      </c>
      <c r="E6136" t="s">
        <v>783</v>
      </c>
      <c r="F6136" t="s">
        <v>35</v>
      </c>
      <c r="G6136" t="s">
        <v>35</v>
      </c>
      <c r="H6136" t="s">
        <v>35</v>
      </c>
      <c r="J6136" t="s">
        <v>6041</v>
      </c>
      <c r="K6136" t="s">
        <v>1092</v>
      </c>
      <c r="M6136">
        <v>0.65</v>
      </c>
      <c r="N6136">
        <v>124</v>
      </c>
      <c r="O6136" t="s">
        <v>38</v>
      </c>
      <c r="Q6136" t="s">
        <v>646</v>
      </c>
      <c r="R6136" t="s">
        <v>844</v>
      </c>
      <c r="S6136" t="s">
        <v>806</v>
      </c>
      <c r="T6136" t="s">
        <v>160</v>
      </c>
    </row>
    <row r="6137" spans="1:20" x14ac:dyDescent="0.25">
      <c r="A6137" t="s">
        <v>59</v>
      </c>
      <c r="B6137" t="s">
        <v>60</v>
      </c>
      <c r="C6137" t="s">
        <v>32</v>
      </c>
      <c r="D6137" t="s">
        <v>771</v>
      </c>
      <c r="E6137" t="s">
        <v>871</v>
      </c>
      <c r="F6137" t="s">
        <v>35</v>
      </c>
      <c r="G6137" t="s">
        <v>35</v>
      </c>
      <c r="H6137" t="s">
        <v>35</v>
      </c>
      <c r="J6137" t="s">
        <v>6396</v>
      </c>
      <c r="K6137" t="s">
        <v>1092</v>
      </c>
      <c r="M6137">
        <v>2</v>
      </c>
      <c r="N6137">
        <v>38</v>
      </c>
      <c r="O6137" t="s">
        <v>52</v>
      </c>
      <c r="Q6137" t="s">
        <v>716</v>
      </c>
      <c r="R6137" t="s">
        <v>844</v>
      </c>
      <c r="S6137" t="s">
        <v>806</v>
      </c>
      <c r="T6137" t="s">
        <v>160</v>
      </c>
    </row>
    <row r="6138" spans="1:20" x14ac:dyDescent="0.25">
      <c r="A6138" t="s">
        <v>30</v>
      </c>
      <c r="B6138" t="s">
        <v>31</v>
      </c>
      <c r="C6138" t="s">
        <v>32</v>
      </c>
      <c r="D6138" t="s">
        <v>771</v>
      </c>
      <c r="E6138" t="s">
        <v>871</v>
      </c>
      <c r="F6138" t="s">
        <v>35</v>
      </c>
      <c r="G6138" t="s">
        <v>35</v>
      </c>
      <c r="H6138" t="s">
        <v>35</v>
      </c>
      <c r="J6138" t="s">
        <v>6396</v>
      </c>
      <c r="K6138" t="s">
        <v>1092</v>
      </c>
      <c r="M6138">
        <v>2.25</v>
      </c>
      <c r="N6138">
        <v>40</v>
      </c>
      <c r="O6138" t="s">
        <v>52</v>
      </c>
      <c r="Q6138" t="s">
        <v>132</v>
      </c>
      <c r="R6138" t="s">
        <v>844</v>
      </c>
      <c r="S6138" t="s">
        <v>806</v>
      </c>
      <c r="T6138" t="s">
        <v>160</v>
      </c>
    </row>
    <row r="6139" spans="1:20" x14ac:dyDescent="0.25">
      <c r="A6139" t="s">
        <v>59</v>
      </c>
      <c r="B6139" t="s">
        <v>31</v>
      </c>
      <c r="C6139" t="s">
        <v>32</v>
      </c>
      <c r="D6139" t="s">
        <v>771</v>
      </c>
      <c r="E6139" t="s">
        <v>871</v>
      </c>
      <c r="F6139" t="s">
        <v>35</v>
      </c>
      <c r="G6139" t="s">
        <v>35</v>
      </c>
      <c r="H6139" t="s">
        <v>35</v>
      </c>
      <c r="J6139" t="s">
        <v>6396</v>
      </c>
      <c r="K6139" t="s">
        <v>1092</v>
      </c>
      <c r="M6139">
        <v>1.0349999999999999</v>
      </c>
      <c r="N6139">
        <v>38</v>
      </c>
      <c r="O6139" t="s">
        <v>52</v>
      </c>
      <c r="Q6139" t="s">
        <v>716</v>
      </c>
      <c r="R6139" t="s">
        <v>844</v>
      </c>
      <c r="S6139" t="s">
        <v>806</v>
      </c>
      <c r="T6139" t="s">
        <v>160</v>
      </c>
    </row>
    <row r="6140" spans="1:20" x14ac:dyDescent="0.25">
      <c r="A6140" t="s">
        <v>59</v>
      </c>
      <c r="B6140" t="s">
        <v>60</v>
      </c>
      <c r="C6140" t="s">
        <v>32</v>
      </c>
      <c r="D6140" t="s">
        <v>771</v>
      </c>
      <c r="E6140" t="s">
        <v>845</v>
      </c>
      <c r="F6140" t="s">
        <v>35</v>
      </c>
      <c r="G6140" t="s">
        <v>35</v>
      </c>
      <c r="H6140" t="s">
        <v>35</v>
      </c>
      <c r="J6140" t="s">
        <v>4479</v>
      </c>
      <c r="K6140" t="s">
        <v>1092</v>
      </c>
      <c r="M6140">
        <v>7</v>
      </c>
      <c r="N6140">
        <v>38</v>
      </c>
      <c r="O6140" t="s">
        <v>52</v>
      </c>
      <c r="Q6140" t="s">
        <v>716</v>
      </c>
      <c r="R6140" t="s">
        <v>844</v>
      </c>
      <c r="S6140" t="s">
        <v>806</v>
      </c>
      <c r="T6140" t="s">
        <v>160</v>
      </c>
    </row>
    <row r="6141" spans="1:20" x14ac:dyDescent="0.25">
      <c r="A6141" t="s">
        <v>44</v>
      </c>
      <c r="B6141" t="s">
        <v>51</v>
      </c>
      <c r="C6141" t="s">
        <v>32</v>
      </c>
      <c r="D6141" t="s">
        <v>771</v>
      </c>
      <c r="E6141" t="s">
        <v>845</v>
      </c>
      <c r="F6141" t="s">
        <v>35</v>
      </c>
      <c r="G6141" t="s">
        <v>35</v>
      </c>
      <c r="H6141" t="s">
        <v>35</v>
      </c>
      <c r="J6141" t="s">
        <v>4479</v>
      </c>
      <c r="K6141" t="s">
        <v>1092</v>
      </c>
      <c r="M6141">
        <v>3.5</v>
      </c>
      <c r="N6141">
        <v>55</v>
      </c>
      <c r="O6141" t="s">
        <v>52</v>
      </c>
      <c r="Q6141" t="s">
        <v>90</v>
      </c>
      <c r="R6141" t="s">
        <v>844</v>
      </c>
      <c r="S6141" t="s">
        <v>806</v>
      </c>
      <c r="T6141" t="s">
        <v>160</v>
      </c>
    </row>
    <row r="6142" spans="1:20" x14ac:dyDescent="0.25">
      <c r="A6142" t="s">
        <v>30</v>
      </c>
      <c r="B6142" t="s">
        <v>31</v>
      </c>
      <c r="C6142" t="s">
        <v>32</v>
      </c>
      <c r="D6142" t="s">
        <v>771</v>
      </c>
      <c r="E6142" t="s">
        <v>845</v>
      </c>
      <c r="F6142" t="s">
        <v>35</v>
      </c>
      <c r="G6142" t="s">
        <v>35</v>
      </c>
      <c r="H6142" t="s">
        <v>35</v>
      </c>
      <c r="J6142" t="s">
        <v>4479</v>
      </c>
      <c r="K6142" t="s">
        <v>1092</v>
      </c>
      <c r="M6142">
        <v>0.64800000000000002</v>
      </c>
      <c r="N6142">
        <v>40</v>
      </c>
      <c r="O6142" t="s">
        <v>52</v>
      </c>
      <c r="Q6142" t="s">
        <v>132</v>
      </c>
      <c r="R6142" t="s">
        <v>844</v>
      </c>
      <c r="S6142" t="s">
        <v>806</v>
      </c>
      <c r="T6142" t="s">
        <v>160</v>
      </c>
    </row>
    <row r="6143" spans="1:20" x14ac:dyDescent="0.25">
      <c r="A6143" t="s">
        <v>44</v>
      </c>
      <c r="B6143" t="s">
        <v>51</v>
      </c>
      <c r="C6143" t="s">
        <v>32</v>
      </c>
      <c r="D6143" t="s">
        <v>771</v>
      </c>
      <c r="E6143" t="s">
        <v>871</v>
      </c>
      <c r="F6143" t="s">
        <v>35</v>
      </c>
      <c r="G6143" t="s">
        <v>35</v>
      </c>
      <c r="H6143" t="s">
        <v>35</v>
      </c>
      <c r="J6143" t="s">
        <v>6407</v>
      </c>
      <c r="K6143" t="s">
        <v>1092</v>
      </c>
      <c r="M6143">
        <v>0.5</v>
      </c>
      <c r="N6143">
        <v>208</v>
      </c>
      <c r="O6143" t="s">
        <v>5</v>
      </c>
      <c r="Q6143" t="s">
        <v>3122</v>
      </c>
      <c r="R6143" t="s">
        <v>844</v>
      </c>
      <c r="S6143" t="s">
        <v>806</v>
      </c>
      <c r="T6143" t="s">
        <v>160</v>
      </c>
    </row>
    <row r="6144" spans="1:20" x14ac:dyDescent="0.25">
      <c r="A6144" t="s">
        <v>30</v>
      </c>
      <c r="B6144" t="s">
        <v>31</v>
      </c>
      <c r="C6144" t="s">
        <v>32</v>
      </c>
      <c r="D6144" t="s">
        <v>771</v>
      </c>
      <c r="E6144" t="s">
        <v>871</v>
      </c>
      <c r="F6144" t="s">
        <v>35</v>
      </c>
      <c r="G6144" t="s">
        <v>35</v>
      </c>
      <c r="H6144" t="s">
        <v>35</v>
      </c>
      <c r="J6144" t="s">
        <v>6407</v>
      </c>
      <c r="K6144" t="s">
        <v>1092</v>
      </c>
      <c r="M6144">
        <v>1.98</v>
      </c>
      <c r="N6144">
        <v>13</v>
      </c>
      <c r="O6144" t="s">
        <v>46</v>
      </c>
      <c r="Q6144" t="s">
        <v>1004</v>
      </c>
      <c r="R6144" t="s">
        <v>844</v>
      </c>
      <c r="S6144" t="s">
        <v>806</v>
      </c>
      <c r="T6144" t="s">
        <v>160</v>
      </c>
    </row>
    <row r="6145" spans="1:20" x14ac:dyDescent="0.25">
      <c r="A6145" t="s">
        <v>30</v>
      </c>
      <c r="B6145" t="s">
        <v>31</v>
      </c>
      <c r="C6145" t="s">
        <v>32</v>
      </c>
      <c r="D6145" t="s">
        <v>771</v>
      </c>
      <c r="E6145" t="s">
        <v>871</v>
      </c>
      <c r="F6145" t="s">
        <v>35</v>
      </c>
      <c r="G6145" t="s">
        <v>35</v>
      </c>
      <c r="H6145" t="s">
        <v>35</v>
      </c>
      <c r="J6145" t="s">
        <v>6407</v>
      </c>
      <c r="K6145" t="s">
        <v>1092</v>
      </c>
      <c r="M6145">
        <v>2.5649999999999999</v>
      </c>
      <c r="N6145">
        <v>40</v>
      </c>
      <c r="O6145" t="s">
        <v>52</v>
      </c>
      <c r="Q6145" t="s">
        <v>132</v>
      </c>
      <c r="R6145" t="s">
        <v>844</v>
      </c>
      <c r="S6145" t="s">
        <v>806</v>
      </c>
      <c r="T6145" t="s">
        <v>160</v>
      </c>
    </row>
    <row r="6146" spans="1:20" x14ac:dyDescent="0.25">
      <c r="A6146" t="s">
        <v>44</v>
      </c>
      <c r="B6146" t="s">
        <v>51</v>
      </c>
      <c r="C6146" t="s">
        <v>32</v>
      </c>
      <c r="D6146" t="s">
        <v>771</v>
      </c>
      <c r="E6146" t="s">
        <v>871</v>
      </c>
      <c r="F6146" t="s">
        <v>35</v>
      </c>
      <c r="G6146" t="s">
        <v>35</v>
      </c>
      <c r="H6146" t="s">
        <v>35</v>
      </c>
      <c r="J6146" t="s">
        <v>6407</v>
      </c>
      <c r="K6146" t="s">
        <v>1092</v>
      </c>
      <c r="M6146">
        <v>0.5</v>
      </c>
      <c r="N6146">
        <v>226</v>
      </c>
      <c r="O6146" t="s">
        <v>5</v>
      </c>
      <c r="Q6146" t="s">
        <v>2002</v>
      </c>
      <c r="R6146" t="s">
        <v>844</v>
      </c>
      <c r="S6146" t="s">
        <v>806</v>
      </c>
      <c r="T6146" t="s">
        <v>160</v>
      </c>
    </row>
    <row r="6147" spans="1:20" x14ac:dyDescent="0.25">
      <c r="A6147" t="s">
        <v>59</v>
      </c>
      <c r="B6147" t="s">
        <v>60</v>
      </c>
      <c r="C6147" t="s">
        <v>32</v>
      </c>
      <c r="D6147" t="s">
        <v>771</v>
      </c>
      <c r="E6147" t="s">
        <v>779</v>
      </c>
      <c r="F6147" t="s">
        <v>35</v>
      </c>
      <c r="G6147" t="s">
        <v>35</v>
      </c>
      <c r="H6147" t="s">
        <v>35</v>
      </c>
      <c r="J6147" t="s">
        <v>3127</v>
      </c>
      <c r="K6147" t="s">
        <v>1092</v>
      </c>
      <c r="M6147">
        <v>1</v>
      </c>
      <c r="N6147">
        <v>146</v>
      </c>
      <c r="O6147" t="s">
        <v>38</v>
      </c>
      <c r="Q6147" t="s">
        <v>569</v>
      </c>
      <c r="R6147" t="s">
        <v>844</v>
      </c>
      <c r="S6147" t="s">
        <v>806</v>
      </c>
      <c r="T6147" t="s">
        <v>160</v>
      </c>
    </row>
    <row r="6148" spans="1:20" x14ac:dyDescent="0.25">
      <c r="A6148" t="s">
        <v>44</v>
      </c>
      <c r="B6148" t="s">
        <v>51</v>
      </c>
      <c r="C6148" t="s">
        <v>32</v>
      </c>
      <c r="D6148" t="s">
        <v>771</v>
      </c>
      <c r="E6148" t="s">
        <v>779</v>
      </c>
      <c r="F6148" t="s">
        <v>35</v>
      </c>
      <c r="G6148" t="s">
        <v>35</v>
      </c>
      <c r="H6148" t="s">
        <v>35</v>
      </c>
      <c r="J6148" t="s">
        <v>3127</v>
      </c>
      <c r="K6148" t="s">
        <v>1092</v>
      </c>
      <c r="M6148">
        <v>1</v>
      </c>
      <c r="N6148">
        <v>256</v>
      </c>
      <c r="O6148" t="s">
        <v>5</v>
      </c>
      <c r="Q6148" t="s">
        <v>2499</v>
      </c>
      <c r="R6148" t="s">
        <v>844</v>
      </c>
      <c r="S6148" t="s">
        <v>806</v>
      </c>
      <c r="T6148" t="s">
        <v>160</v>
      </c>
    </row>
    <row r="6149" spans="1:20" x14ac:dyDescent="0.25">
      <c r="A6149" t="s">
        <v>44</v>
      </c>
      <c r="B6149" t="s">
        <v>51</v>
      </c>
      <c r="C6149" t="s">
        <v>32</v>
      </c>
      <c r="D6149" t="s">
        <v>771</v>
      </c>
      <c r="E6149" t="s">
        <v>779</v>
      </c>
      <c r="F6149" t="s">
        <v>35</v>
      </c>
      <c r="G6149" t="s">
        <v>35</v>
      </c>
      <c r="H6149" t="s">
        <v>35</v>
      </c>
      <c r="J6149" t="s">
        <v>3127</v>
      </c>
      <c r="K6149" t="s">
        <v>1092</v>
      </c>
      <c r="M6149">
        <v>1</v>
      </c>
      <c r="N6149">
        <v>146</v>
      </c>
      <c r="O6149" t="s">
        <v>38</v>
      </c>
      <c r="Q6149" t="s">
        <v>569</v>
      </c>
      <c r="R6149" t="s">
        <v>844</v>
      </c>
      <c r="S6149" t="s">
        <v>806</v>
      </c>
      <c r="T6149" t="s">
        <v>160</v>
      </c>
    </row>
    <row r="6150" spans="1:20" x14ac:dyDescent="0.25">
      <c r="A6150" t="s">
        <v>59</v>
      </c>
      <c r="B6150" t="s">
        <v>60</v>
      </c>
      <c r="C6150" t="s">
        <v>32</v>
      </c>
      <c r="D6150" t="s">
        <v>771</v>
      </c>
      <c r="E6150" t="s">
        <v>875</v>
      </c>
      <c r="F6150" t="s">
        <v>35</v>
      </c>
      <c r="G6150" t="s">
        <v>35</v>
      </c>
      <c r="H6150" t="s">
        <v>35</v>
      </c>
      <c r="J6150" t="s">
        <v>6462</v>
      </c>
      <c r="K6150" t="s">
        <v>1092</v>
      </c>
      <c r="M6150">
        <v>0.9</v>
      </c>
      <c r="N6150">
        <v>205</v>
      </c>
      <c r="O6150" t="s">
        <v>5</v>
      </c>
      <c r="Q6150" t="s">
        <v>1711</v>
      </c>
      <c r="R6150" t="s">
        <v>844</v>
      </c>
      <c r="S6150" t="s">
        <v>806</v>
      </c>
      <c r="T6150" t="s">
        <v>160</v>
      </c>
    </row>
    <row r="6151" spans="1:20" x14ac:dyDescent="0.25">
      <c r="A6151" t="s">
        <v>59</v>
      </c>
      <c r="B6151" t="s">
        <v>60</v>
      </c>
      <c r="C6151" t="s">
        <v>32</v>
      </c>
      <c r="D6151" t="s">
        <v>771</v>
      </c>
      <c r="E6151" t="s">
        <v>845</v>
      </c>
      <c r="F6151" t="s">
        <v>35</v>
      </c>
      <c r="G6151" t="s">
        <v>35</v>
      </c>
      <c r="H6151" t="s">
        <v>35</v>
      </c>
      <c r="J6151" t="s">
        <v>6282</v>
      </c>
      <c r="K6151" t="s">
        <v>1092</v>
      </c>
      <c r="M6151">
        <v>1</v>
      </c>
      <c r="N6151">
        <v>146</v>
      </c>
      <c r="O6151" t="s">
        <v>38</v>
      </c>
      <c r="Q6151" t="s">
        <v>569</v>
      </c>
      <c r="R6151" t="s">
        <v>844</v>
      </c>
      <c r="S6151" t="s">
        <v>806</v>
      </c>
      <c r="T6151" t="s">
        <v>160</v>
      </c>
    </row>
    <row r="6152" spans="1:20" x14ac:dyDescent="0.25">
      <c r="A6152" t="s">
        <v>30</v>
      </c>
      <c r="B6152" t="s">
        <v>31</v>
      </c>
      <c r="C6152" t="s">
        <v>32</v>
      </c>
      <c r="D6152" t="s">
        <v>771</v>
      </c>
      <c r="E6152" t="s">
        <v>861</v>
      </c>
      <c r="F6152" t="s">
        <v>35</v>
      </c>
      <c r="G6152" t="s">
        <v>35</v>
      </c>
      <c r="H6152" t="s">
        <v>35</v>
      </c>
      <c r="J6152" t="s">
        <v>6289</v>
      </c>
      <c r="K6152" t="s">
        <v>1092</v>
      </c>
      <c r="M6152">
        <v>0.27</v>
      </c>
      <c r="N6152">
        <v>40</v>
      </c>
      <c r="O6152" t="s">
        <v>52</v>
      </c>
      <c r="Q6152" t="s">
        <v>132</v>
      </c>
      <c r="R6152" t="s">
        <v>844</v>
      </c>
      <c r="S6152" t="s">
        <v>806</v>
      </c>
      <c r="T6152" t="s">
        <v>160</v>
      </c>
    </row>
    <row r="6153" spans="1:20" x14ac:dyDescent="0.25">
      <c r="A6153" t="s">
        <v>30</v>
      </c>
      <c r="B6153" t="s">
        <v>31</v>
      </c>
      <c r="C6153" t="s">
        <v>32</v>
      </c>
      <c r="D6153" t="s">
        <v>771</v>
      </c>
      <c r="E6153" t="s">
        <v>898</v>
      </c>
      <c r="F6153" t="s">
        <v>35</v>
      </c>
      <c r="G6153" t="s">
        <v>35</v>
      </c>
      <c r="H6153" t="s">
        <v>35</v>
      </c>
      <c r="J6153" t="s">
        <v>6544</v>
      </c>
      <c r="K6153" t="s">
        <v>1092</v>
      </c>
      <c r="M6153">
        <v>9.99</v>
      </c>
      <c r="N6153">
        <v>40</v>
      </c>
      <c r="O6153" t="s">
        <v>52</v>
      </c>
      <c r="Q6153" t="s">
        <v>132</v>
      </c>
      <c r="R6153" t="s">
        <v>844</v>
      </c>
      <c r="S6153" t="s">
        <v>806</v>
      </c>
      <c r="T6153" t="s">
        <v>160</v>
      </c>
    </row>
    <row r="6154" spans="1:20" x14ac:dyDescent="0.25">
      <c r="A6154" t="s">
        <v>44</v>
      </c>
      <c r="B6154" t="s">
        <v>3</v>
      </c>
      <c r="C6154" t="s">
        <v>32</v>
      </c>
      <c r="D6154" t="s">
        <v>771</v>
      </c>
      <c r="E6154" t="s">
        <v>871</v>
      </c>
      <c r="F6154" t="s">
        <v>35</v>
      </c>
      <c r="G6154" t="s">
        <v>35</v>
      </c>
      <c r="H6154" t="s">
        <v>35</v>
      </c>
      <c r="J6154" t="s">
        <v>6410</v>
      </c>
      <c r="K6154" t="s">
        <v>1092</v>
      </c>
      <c r="M6154">
        <v>1</v>
      </c>
      <c r="N6154">
        <v>285</v>
      </c>
      <c r="O6154" t="s">
        <v>5</v>
      </c>
      <c r="Q6154" t="s">
        <v>1234</v>
      </c>
      <c r="R6154" t="s">
        <v>844</v>
      </c>
      <c r="S6154" t="s">
        <v>806</v>
      </c>
      <c r="T6154" t="s">
        <v>160</v>
      </c>
    </row>
    <row r="6155" spans="1:20" x14ac:dyDescent="0.25">
      <c r="A6155" t="s">
        <v>30</v>
      </c>
      <c r="B6155" t="s">
        <v>31</v>
      </c>
      <c r="C6155" t="s">
        <v>32</v>
      </c>
      <c r="D6155" t="s">
        <v>771</v>
      </c>
      <c r="E6155" t="s">
        <v>861</v>
      </c>
      <c r="F6155" t="s">
        <v>35</v>
      </c>
      <c r="G6155" t="s">
        <v>35</v>
      </c>
      <c r="H6155" t="s">
        <v>35</v>
      </c>
      <c r="J6155" t="s">
        <v>6292</v>
      </c>
      <c r="K6155" t="s">
        <v>1092</v>
      </c>
      <c r="M6155">
        <v>7.02</v>
      </c>
      <c r="N6155">
        <v>40</v>
      </c>
      <c r="O6155" t="s">
        <v>52</v>
      </c>
      <c r="Q6155" t="s">
        <v>132</v>
      </c>
      <c r="R6155" t="s">
        <v>844</v>
      </c>
      <c r="S6155" t="s">
        <v>806</v>
      </c>
      <c r="T6155" t="s">
        <v>160</v>
      </c>
    </row>
    <row r="6156" spans="1:20" x14ac:dyDescent="0.25">
      <c r="A6156" t="s">
        <v>30</v>
      </c>
      <c r="B6156" t="s">
        <v>31</v>
      </c>
      <c r="C6156" t="s">
        <v>32</v>
      </c>
      <c r="D6156" t="s">
        <v>771</v>
      </c>
      <c r="E6156" t="s">
        <v>861</v>
      </c>
      <c r="F6156" t="s">
        <v>35</v>
      </c>
      <c r="G6156" t="s">
        <v>35</v>
      </c>
      <c r="H6156" t="s">
        <v>35</v>
      </c>
      <c r="J6156" t="s">
        <v>6292</v>
      </c>
      <c r="K6156" t="s">
        <v>1092</v>
      </c>
      <c r="M6156">
        <v>0.01</v>
      </c>
      <c r="N6156">
        <v>108</v>
      </c>
      <c r="O6156" t="s">
        <v>106</v>
      </c>
      <c r="Q6156" t="s">
        <v>1195</v>
      </c>
      <c r="R6156" t="s">
        <v>844</v>
      </c>
      <c r="S6156" t="s">
        <v>806</v>
      </c>
      <c r="T6156" t="s">
        <v>160</v>
      </c>
    </row>
    <row r="6157" spans="1:20" x14ac:dyDescent="0.25">
      <c r="A6157" t="s">
        <v>30</v>
      </c>
      <c r="B6157" t="s">
        <v>31</v>
      </c>
      <c r="C6157" t="s">
        <v>32</v>
      </c>
      <c r="D6157" t="s">
        <v>771</v>
      </c>
      <c r="E6157" t="s">
        <v>888</v>
      </c>
      <c r="F6157" t="s">
        <v>35</v>
      </c>
      <c r="G6157" t="s">
        <v>35</v>
      </c>
      <c r="H6157" t="s">
        <v>35</v>
      </c>
      <c r="J6157" t="s">
        <v>6485</v>
      </c>
      <c r="K6157" t="s">
        <v>1092</v>
      </c>
      <c r="M6157">
        <v>6.7949999999999999</v>
      </c>
      <c r="N6157">
        <v>41</v>
      </c>
      <c r="O6157" t="s">
        <v>52</v>
      </c>
      <c r="Q6157" t="s">
        <v>496</v>
      </c>
      <c r="R6157" t="s">
        <v>844</v>
      </c>
      <c r="S6157" t="s">
        <v>806</v>
      </c>
      <c r="T6157" t="s">
        <v>160</v>
      </c>
    </row>
    <row r="6158" spans="1:20" x14ac:dyDescent="0.25">
      <c r="A6158" t="s">
        <v>59</v>
      </c>
      <c r="B6158" t="s">
        <v>31</v>
      </c>
      <c r="C6158" t="s">
        <v>32</v>
      </c>
      <c r="D6158" t="s">
        <v>771</v>
      </c>
      <c r="E6158" t="s">
        <v>888</v>
      </c>
      <c r="F6158" t="s">
        <v>35</v>
      </c>
      <c r="G6158" t="s">
        <v>35</v>
      </c>
      <c r="H6158" t="s">
        <v>35</v>
      </c>
      <c r="J6158" t="s">
        <v>6485</v>
      </c>
      <c r="K6158" t="s">
        <v>1092</v>
      </c>
      <c r="M6158">
        <v>9.99</v>
      </c>
      <c r="N6158">
        <v>82</v>
      </c>
      <c r="O6158" t="s">
        <v>61</v>
      </c>
      <c r="Q6158" t="s">
        <v>299</v>
      </c>
      <c r="R6158" t="s">
        <v>844</v>
      </c>
      <c r="S6158" t="s">
        <v>806</v>
      </c>
      <c r="T6158" t="s">
        <v>160</v>
      </c>
    </row>
    <row r="6159" spans="1:20" x14ac:dyDescent="0.25">
      <c r="A6159" t="s">
        <v>44</v>
      </c>
      <c r="B6159" t="s">
        <v>51</v>
      </c>
      <c r="C6159" t="s">
        <v>32</v>
      </c>
      <c r="D6159" t="s">
        <v>771</v>
      </c>
      <c r="E6159" t="s">
        <v>888</v>
      </c>
      <c r="F6159" t="s">
        <v>35</v>
      </c>
      <c r="G6159" t="s">
        <v>35</v>
      </c>
      <c r="H6159" t="s">
        <v>35</v>
      </c>
      <c r="J6159" t="s">
        <v>6485</v>
      </c>
      <c r="K6159" t="s">
        <v>1092</v>
      </c>
      <c r="M6159">
        <v>10</v>
      </c>
      <c r="N6159">
        <v>55</v>
      </c>
      <c r="O6159" t="s">
        <v>52</v>
      </c>
      <c r="Q6159" t="s">
        <v>90</v>
      </c>
      <c r="R6159" t="s">
        <v>844</v>
      </c>
      <c r="S6159" t="s">
        <v>806</v>
      </c>
      <c r="T6159" t="s">
        <v>160</v>
      </c>
    </row>
    <row r="6160" spans="1:20" x14ac:dyDescent="0.25">
      <c r="A6160" t="s">
        <v>59</v>
      </c>
      <c r="B6160" t="s">
        <v>60</v>
      </c>
      <c r="C6160" t="s">
        <v>32</v>
      </c>
      <c r="D6160" t="s">
        <v>771</v>
      </c>
      <c r="E6160" t="s">
        <v>888</v>
      </c>
      <c r="F6160" t="s">
        <v>35</v>
      </c>
      <c r="G6160" t="s">
        <v>35</v>
      </c>
      <c r="H6160" t="s">
        <v>35</v>
      </c>
      <c r="J6160" t="s">
        <v>6485</v>
      </c>
      <c r="K6160" t="s">
        <v>1092</v>
      </c>
      <c r="M6160">
        <v>8</v>
      </c>
      <c r="N6160">
        <v>27</v>
      </c>
      <c r="O6160" t="s">
        <v>46</v>
      </c>
      <c r="Q6160" t="s">
        <v>809</v>
      </c>
      <c r="R6160" t="s">
        <v>844</v>
      </c>
      <c r="S6160" t="s">
        <v>806</v>
      </c>
      <c r="T6160" t="s">
        <v>160</v>
      </c>
    </row>
    <row r="6161" spans="1:20" x14ac:dyDescent="0.25">
      <c r="A6161" t="s">
        <v>59</v>
      </c>
      <c r="B6161" t="s">
        <v>60</v>
      </c>
      <c r="C6161" t="s">
        <v>32</v>
      </c>
      <c r="D6161" t="s">
        <v>771</v>
      </c>
      <c r="E6161" t="s">
        <v>888</v>
      </c>
      <c r="F6161" t="s">
        <v>35</v>
      </c>
      <c r="G6161" t="s">
        <v>35</v>
      </c>
      <c r="H6161" t="s">
        <v>35</v>
      </c>
      <c r="J6161" t="s">
        <v>6485</v>
      </c>
      <c r="K6161" t="s">
        <v>1092</v>
      </c>
      <c r="M6161">
        <v>2</v>
      </c>
      <c r="N6161">
        <v>82</v>
      </c>
      <c r="O6161" t="s">
        <v>61</v>
      </c>
      <c r="Q6161" t="s">
        <v>299</v>
      </c>
      <c r="R6161" t="s">
        <v>844</v>
      </c>
      <c r="S6161" t="s">
        <v>806</v>
      </c>
      <c r="T6161" t="s">
        <v>160</v>
      </c>
    </row>
    <row r="6162" spans="1:20" x14ac:dyDescent="0.25">
      <c r="A6162" t="s">
        <v>30</v>
      </c>
      <c r="B6162" t="s">
        <v>31</v>
      </c>
      <c r="C6162" t="s">
        <v>32</v>
      </c>
      <c r="D6162" t="s">
        <v>771</v>
      </c>
      <c r="F6162" t="s">
        <v>35</v>
      </c>
      <c r="G6162" t="s">
        <v>35</v>
      </c>
      <c r="H6162" t="s">
        <v>35</v>
      </c>
      <c r="J6162" t="s">
        <v>6663</v>
      </c>
      <c r="K6162" t="s">
        <v>1092</v>
      </c>
      <c r="M6162">
        <v>7.02</v>
      </c>
      <c r="N6162">
        <v>1181</v>
      </c>
      <c r="O6162" t="s">
        <v>575</v>
      </c>
      <c r="Q6162" t="s">
        <v>4934</v>
      </c>
      <c r="R6162" t="s">
        <v>844</v>
      </c>
      <c r="S6162" t="s">
        <v>806</v>
      </c>
      <c r="T6162" t="s">
        <v>160</v>
      </c>
    </row>
    <row r="6163" spans="1:20" x14ac:dyDescent="0.25">
      <c r="A6163" t="s">
        <v>59</v>
      </c>
      <c r="B6163" t="s">
        <v>60</v>
      </c>
      <c r="C6163" t="s">
        <v>32</v>
      </c>
      <c r="D6163" t="s">
        <v>771</v>
      </c>
      <c r="E6163" t="s">
        <v>898</v>
      </c>
      <c r="F6163" t="s">
        <v>35</v>
      </c>
      <c r="G6163" t="s">
        <v>35</v>
      </c>
      <c r="H6163" t="s">
        <v>35</v>
      </c>
      <c r="J6163" t="s">
        <v>899</v>
      </c>
      <c r="K6163" t="s">
        <v>37</v>
      </c>
      <c r="M6163">
        <v>2</v>
      </c>
      <c r="N6163">
        <v>37</v>
      </c>
      <c r="O6163" t="s">
        <v>52</v>
      </c>
      <c r="P6163" t="s">
        <v>901</v>
      </c>
      <c r="Q6163" t="s">
        <v>192</v>
      </c>
      <c r="R6163" t="s">
        <v>844</v>
      </c>
      <c r="S6163" t="s">
        <v>806</v>
      </c>
      <c r="T6163" t="s">
        <v>160</v>
      </c>
    </row>
    <row r="6164" spans="1:20" x14ac:dyDescent="0.25">
      <c r="A6164" t="s">
        <v>59</v>
      </c>
      <c r="B6164" t="s">
        <v>31</v>
      </c>
      <c r="C6164" t="s">
        <v>32</v>
      </c>
      <c r="D6164" t="s">
        <v>771</v>
      </c>
      <c r="E6164" t="s">
        <v>898</v>
      </c>
      <c r="F6164" t="s">
        <v>35</v>
      </c>
      <c r="G6164" t="s">
        <v>35</v>
      </c>
      <c r="H6164" t="s">
        <v>35</v>
      </c>
      <c r="J6164" t="s">
        <v>899</v>
      </c>
      <c r="K6164" t="s">
        <v>37</v>
      </c>
      <c r="M6164">
        <v>2.52</v>
      </c>
      <c r="N6164">
        <v>37</v>
      </c>
      <c r="O6164" t="s">
        <v>52</v>
      </c>
      <c r="P6164" t="s">
        <v>902</v>
      </c>
      <c r="Q6164" t="s">
        <v>192</v>
      </c>
      <c r="R6164" t="s">
        <v>844</v>
      </c>
      <c r="S6164" t="s">
        <v>806</v>
      </c>
      <c r="T6164" t="s">
        <v>160</v>
      </c>
    </row>
    <row r="6165" spans="1:20" x14ac:dyDescent="0.25">
      <c r="A6165" t="s">
        <v>30</v>
      </c>
      <c r="B6165" t="s">
        <v>31</v>
      </c>
      <c r="C6165" t="s">
        <v>32</v>
      </c>
      <c r="D6165" t="s">
        <v>771</v>
      </c>
      <c r="E6165" t="s">
        <v>6214</v>
      </c>
      <c r="F6165" t="s">
        <v>35</v>
      </c>
      <c r="G6165" t="s">
        <v>35</v>
      </c>
      <c r="H6165" t="s">
        <v>35</v>
      </c>
      <c r="J6165" t="s">
        <v>6245</v>
      </c>
      <c r="K6165" t="s">
        <v>1092</v>
      </c>
      <c r="M6165">
        <v>0.33500000000000002</v>
      </c>
      <c r="N6165">
        <v>1910</v>
      </c>
      <c r="O6165" t="s">
        <v>575</v>
      </c>
      <c r="Q6165" t="s">
        <v>6246</v>
      </c>
      <c r="R6165" t="s">
        <v>6217</v>
      </c>
      <c r="S6165" t="s">
        <v>6218</v>
      </c>
      <c r="T6165" t="s">
        <v>6216</v>
      </c>
    </row>
    <row r="6166" spans="1:20" x14ac:dyDescent="0.25">
      <c r="A6166" t="s">
        <v>30</v>
      </c>
      <c r="B6166" t="s">
        <v>31</v>
      </c>
      <c r="C6166" t="s">
        <v>32</v>
      </c>
      <c r="D6166" t="s">
        <v>771</v>
      </c>
      <c r="F6166" t="s">
        <v>35</v>
      </c>
      <c r="G6166" t="s">
        <v>35</v>
      </c>
      <c r="H6166" t="s">
        <v>35</v>
      </c>
      <c r="J6166" t="s">
        <v>6661</v>
      </c>
      <c r="K6166" t="s">
        <v>1092</v>
      </c>
      <c r="M6166">
        <v>2.0099999999999998</v>
      </c>
      <c r="N6166">
        <v>1878</v>
      </c>
      <c r="O6166" t="s">
        <v>575</v>
      </c>
      <c r="Q6166" t="s">
        <v>3033</v>
      </c>
      <c r="R6166" t="s">
        <v>6217</v>
      </c>
      <c r="S6166" t="s">
        <v>6218</v>
      </c>
      <c r="T6166" t="s">
        <v>6216</v>
      </c>
    </row>
    <row r="6167" spans="1:20" x14ac:dyDescent="0.25">
      <c r="A6167" t="s">
        <v>30</v>
      </c>
      <c r="B6167" t="s">
        <v>31</v>
      </c>
      <c r="C6167" t="s">
        <v>32</v>
      </c>
      <c r="D6167" t="s">
        <v>771</v>
      </c>
      <c r="E6167" t="s">
        <v>6214</v>
      </c>
      <c r="F6167" t="s">
        <v>35</v>
      </c>
      <c r="G6167" t="s">
        <v>35</v>
      </c>
      <c r="H6167" t="s">
        <v>35</v>
      </c>
      <c r="J6167" t="s">
        <v>6215</v>
      </c>
      <c r="K6167" t="s">
        <v>1092</v>
      </c>
      <c r="M6167">
        <v>7.02</v>
      </c>
      <c r="N6167">
        <v>9</v>
      </c>
      <c r="O6167" t="s">
        <v>46</v>
      </c>
      <c r="Q6167" t="s">
        <v>323</v>
      </c>
      <c r="R6167" t="s">
        <v>6217</v>
      </c>
      <c r="S6167" t="s">
        <v>6218</v>
      </c>
      <c r="T6167" t="s">
        <v>6216</v>
      </c>
    </row>
    <row r="6168" spans="1:20" x14ac:dyDescent="0.25">
      <c r="A6168" t="s">
        <v>59</v>
      </c>
      <c r="B6168" t="s">
        <v>60</v>
      </c>
      <c r="C6168" t="s">
        <v>32</v>
      </c>
      <c r="D6168" t="s">
        <v>771</v>
      </c>
      <c r="E6168" t="s">
        <v>6525</v>
      </c>
      <c r="F6168" t="s">
        <v>35</v>
      </c>
      <c r="G6168" t="s">
        <v>35</v>
      </c>
      <c r="H6168" t="s">
        <v>35</v>
      </c>
      <c r="J6168" t="s">
        <v>6531</v>
      </c>
      <c r="K6168" t="s">
        <v>1092</v>
      </c>
      <c r="M6168">
        <v>1.95</v>
      </c>
      <c r="N6168">
        <v>1041</v>
      </c>
      <c r="O6168" t="s">
        <v>575</v>
      </c>
      <c r="Q6168" t="s">
        <v>6532</v>
      </c>
      <c r="R6168" t="s">
        <v>6533</v>
      </c>
      <c r="S6168" t="s">
        <v>6432</v>
      </c>
      <c r="T6168" t="s">
        <v>6433</v>
      </c>
    </row>
    <row r="6169" spans="1:20" x14ac:dyDescent="0.25">
      <c r="A6169" t="s">
        <v>59</v>
      </c>
      <c r="B6169" t="s">
        <v>60</v>
      </c>
      <c r="C6169" t="s">
        <v>32</v>
      </c>
      <c r="D6169" t="s">
        <v>771</v>
      </c>
      <c r="E6169" t="s">
        <v>865</v>
      </c>
      <c r="F6169" t="s">
        <v>35</v>
      </c>
      <c r="G6169" t="s">
        <v>35</v>
      </c>
      <c r="H6169" t="s">
        <v>35</v>
      </c>
      <c r="J6169" t="s">
        <v>6378</v>
      </c>
      <c r="K6169" t="s">
        <v>1092</v>
      </c>
      <c r="M6169">
        <v>1</v>
      </c>
      <c r="N6169">
        <v>503</v>
      </c>
      <c r="O6169" t="s">
        <v>294</v>
      </c>
      <c r="Q6169" t="s">
        <v>4279</v>
      </c>
      <c r="R6169" t="s">
        <v>6379</v>
      </c>
      <c r="S6169" t="s">
        <v>6380</v>
      </c>
      <c r="T6169" t="s">
        <v>6359</v>
      </c>
    </row>
    <row r="6170" spans="1:20" x14ac:dyDescent="0.25">
      <c r="A6170" t="s">
        <v>30</v>
      </c>
      <c r="B6170" t="s">
        <v>31</v>
      </c>
      <c r="C6170" t="s">
        <v>32</v>
      </c>
      <c r="D6170" t="s">
        <v>771</v>
      </c>
      <c r="E6170" t="s">
        <v>6525</v>
      </c>
      <c r="F6170" t="s">
        <v>35</v>
      </c>
      <c r="G6170" t="s">
        <v>35</v>
      </c>
      <c r="H6170" t="s">
        <v>35</v>
      </c>
      <c r="J6170" t="s">
        <v>6529</v>
      </c>
      <c r="K6170" t="s">
        <v>1092</v>
      </c>
      <c r="M6170">
        <v>1.365</v>
      </c>
      <c r="N6170">
        <v>864</v>
      </c>
      <c r="O6170" t="s">
        <v>575</v>
      </c>
      <c r="Q6170" t="s">
        <v>6530</v>
      </c>
      <c r="R6170" t="s">
        <v>6340</v>
      </c>
      <c r="S6170" t="s">
        <v>884</v>
      </c>
      <c r="T6170" t="s">
        <v>885</v>
      </c>
    </row>
    <row r="6171" spans="1:20" x14ac:dyDescent="0.25">
      <c r="A6171" t="s">
        <v>30</v>
      </c>
      <c r="B6171" t="s">
        <v>31</v>
      </c>
      <c r="C6171" t="s">
        <v>32</v>
      </c>
      <c r="D6171" t="s">
        <v>771</v>
      </c>
      <c r="F6171" t="s">
        <v>35</v>
      </c>
      <c r="G6171" t="s">
        <v>35</v>
      </c>
      <c r="H6171" t="s">
        <v>35</v>
      </c>
      <c r="J6171" t="s">
        <v>6698</v>
      </c>
      <c r="K6171" t="s">
        <v>1092</v>
      </c>
      <c r="M6171">
        <v>0.09</v>
      </c>
      <c r="N6171">
        <v>26</v>
      </c>
      <c r="O6171" t="s">
        <v>46</v>
      </c>
      <c r="Q6171" t="s">
        <v>137</v>
      </c>
      <c r="R6171" t="s">
        <v>6340</v>
      </c>
      <c r="S6171" t="s">
        <v>884</v>
      </c>
      <c r="T6171" t="s">
        <v>885</v>
      </c>
    </row>
    <row r="6172" spans="1:20" x14ac:dyDescent="0.25">
      <c r="A6172" t="s">
        <v>30</v>
      </c>
      <c r="B6172" t="s">
        <v>31</v>
      </c>
      <c r="C6172" t="s">
        <v>32</v>
      </c>
      <c r="D6172" t="s">
        <v>771</v>
      </c>
      <c r="E6172" t="s">
        <v>6511</v>
      </c>
      <c r="F6172" t="s">
        <v>35</v>
      </c>
      <c r="G6172" t="s">
        <v>35</v>
      </c>
      <c r="H6172" t="s">
        <v>35</v>
      </c>
      <c r="J6172" t="s">
        <v>2052</v>
      </c>
      <c r="K6172" t="s">
        <v>1092</v>
      </c>
      <c r="M6172">
        <v>0.9</v>
      </c>
      <c r="N6172">
        <v>228</v>
      </c>
      <c r="O6172" t="s">
        <v>5</v>
      </c>
      <c r="Q6172" t="s">
        <v>4942</v>
      </c>
      <c r="R6172" t="s">
        <v>6340</v>
      </c>
      <c r="S6172" t="s">
        <v>884</v>
      </c>
      <c r="T6172" t="s">
        <v>885</v>
      </c>
    </row>
    <row r="6173" spans="1:20" x14ac:dyDescent="0.25">
      <c r="A6173" t="s">
        <v>30</v>
      </c>
      <c r="B6173" t="s">
        <v>31</v>
      </c>
      <c r="C6173" t="s">
        <v>32</v>
      </c>
      <c r="D6173" t="s">
        <v>771</v>
      </c>
      <c r="E6173" t="s">
        <v>6511</v>
      </c>
      <c r="F6173" t="s">
        <v>35</v>
      </c>
      <c r="G6173" t="s">
        <v>35</v>
      </c>
      <c r="H6173" t="s">
        <v>35</v>
      </c>
      <c r="J6173" t="s">
        <v>6520</v>
      </c>
      <c r="K6173" t="s">
        <v>1092</v>
      </c>
      <c r="M6173">
        <v>0.81</v>
      </c>
      <c r="N6173">
        <v>227</v>
      </c>
      <c r="O6173" t="s">
        <v>5</v>
      </c>
      <c r="Q6173" t="s">
        <v>1780</v>
      </c>
      <c r="R6173" t="s">
        <v>6340</v>
      </c>
      <c r="S6173" t="s">
        <v>884</v>
      </c>
      <c r="T6173" t="s">
        <v>885</v>
      </c>
    </row>
    <row r="6174" spans="1:20" x14ac:dyDescent="0.25">
      <c r="A6174" t="s">
        <v>59</v>
      </c>
      <c r="B6174" t="s">
        <v>31</v>
      </c>
      <c r="C6174" t="s">
        <v>32</v>
      </c>
      <c r="D6174" t="s">
        <v>771</v>
      </c>
      <c r="E6174" t="s">
        <v>6319</v>
      </c>
      <c r="F6174" t="s">
        <v>35</v>
      </c>
      <c r="G6174" t="s">
        <v>35</v>
      </c>
      <c r="H6174" t="s">
        <v>35</v>
      </c>
      <c r="J6174" t="s">
        <v>6339</v>
      </c>
      <c r="K6174" t="s">
        <v>1092</v>
      </c>
      <c r="M6174">
        <v>4.41</v>
      </c>
      <c r="N6174">
        <v>264</v>
      </c>
      <c r="O6174" t="s">
        <v>5</v>
      </c>
      <c r="Q6174" t="s">
        <v>1881</v>
      </c>
      <c r="R6174" t="s">
        <v>6340</v>
      </c>
      <c r="S6174" t="s">
        <v>884</v>
      </c>
      <c r="T6174" t="s">
        <v>885</v>
      </c>
    </row>
    <row r="6175" spans="1:20" x14ac:dyDescent="0.25">
      <c r="A6175" t="s">
        <v>30</v>
      </c>
      <c r="B6175" t="s">
        <v>31</v>
      </c>
      <c r="C6175" t="s">
        <v>32</v>
      </c>
      <c r="D6175" t="s">
        <v>771</v>
      </c>
      <c r="E6175" t="s">
        <v>6511</v>
      </c>
      <c r="F6175" t="s">
        <v>35</v>
      </c>
      <c r="G6175" t="s">
        <v>35</v>
      </c>
      <c r="H6175" t="s">
        <v>35</v>
      </c>
      <c r="J6175" t="s">
        <v>6517</v>
      </c>
      <c r="K6175" t="s">
        <v>1092</v>
      </c>
      <c r="M6175">
        <v>3.15</v>
      </c>
      <c r="N6175">
        <v>272</v>
      </c>
      <c r="O6175" t="s">
        <v>5</v>
      </c>
      <c r="Q6175" t="s">
        <v>1717</v>
      </c>
      <c r="R6175" t="s">
        <v>6340</v>
      </c>
      <c r="S6175" t="s">
        <v>884</v>
      </c>
      <c r="T6175" t="s">
        <v>885</v>
      </c>
    </row>
    <row r="6176" spans="1:20" x14ac:dyDescent="0.25">
      <c r="A6176" t="s">
        <v>30</v>
      </c>
      <c r="B6176" t="s">
        <v>31</v>
      </c>
      <c r="C6176" t="s">
        <v>32</v>
      </c>
      <c r="D6176" t="s">
        <v>771</v>
      </c>
      <c r="E6176" t="s">
        <v>6621</v>
      </c>
      <c r="F6176" t="s">
        <v>35</v>
      </c>
      <c r="G6176" t="s">
        <v>35</v>
      </c>
      <c r="H6176" t="s">
        <v>35</v>
      </c>
      <c r="J6176" t="s">
        <v>6630</v>
      </c>
      <c r="K6176" t="s">
        <v>1092</v>
      </c>
      <c r="M6176">
        <v>14.984999999999999</v>
      </c>
      <c r="N6176">
        <v>38</v>
      </c>
      <c r="O6176" t="s">
        <v>52</v>
      </c>
      <c r="Q6176" t="s">
        <v>716</v>
      </c>
      <c r="R6176" t="s">
        <v>6340</v>
      </c>
      <c r="S6176" t="s">
        <v>884</v>
      </c>
      <c r="T6176" t="s">
        <v>885</v>
      </c>
    </row>
    <row r="6177" spans="1:20" x14ac:dyDescent="0.25">
      <c r="A6177" t="s">
        <v>30</v>
      </c>
      <c r="B6177" t="s">
        <v>31</v>
      </c>
      <c r="C6177" t="s">
        <v>32</v>
      </c>
      <c r="D6177" t="s">
        <v>771</v>
      </c>
      <c r="E6177" t="s">
        <v>840</v>
      </c>
      <c r="F6177" t="s">
        <v>35</v>
      </c>
      <c r="G6177" t="s">
        <v>35</v>
      </c>
      <c r="H6177" t="s">
        <v>35</v>
      </c>
      <c r="J6177" t="s">
        <v>6184</v>
      </c>
      <c r="K6177" t="s">
        <v>1092</v>
      </c>
      <c r="M6177">
        <v>4.8600000000000003</v>
      </c>
      <c r="N6177">
        <v>95</v>
      </c>
      <c r="O6177" t="s">
        <v>106</v>
      </c>
      <c r="Q6177" t="s">
        <v>2747</v>
      </c>
      <c r="R6177" t="s">
        <v>6185</v>
      </c>
      <c r="S6177" t="s">
        <v>862</v>
      </c>
      <c r="T6177" t="s">
        <v>863</v>
      </c>
    </row>
    <row r="6178" spans="1:20" x14ac:dyDescent="0.25">
      <c r="A6178" t="s">
        <v>59</v>
      </c>
      <c r="B6178" t="s">
        <v>60</v>
      </c>
      <c r="C6178" t="s">
        <v>32</v>
      </c>
      <c r="D6178" t="s">
        <v>771</v>
      </c>
      <c r="E6178" t="s">
        <v>6093</v>
      </c>
      <c r="F6178" t="s">
        <v>35</v>
      </c>
      <c r="G6178" t="s">
        <v>35</v>
      </c>
      <c r="H6178" t="s">
        <v>35</v>
      </c>
      <c r="J6178" t="s">
        <v>6112</v>
      </c>
      <c r="K6178" t="s">
        <v>1092</v>
      </c>
      <c r="M6178">
        <v>1</v>
      </c>
      <c r="N6178">
        <v>546</v>
      </c>
      <c r="O6178" t="s">
        <v>294</v>
      </c>
      <c r="Q6178" t="s">
        <v>5345</v>
      </c>
      <c r="R6178" t="s">
        <v>6113</v>
      </c>
      <c r="S6178" t="s">
        <v>6114</v>
      </c>
      <c r="T6178" t="s">
        <v>6103</v>
      </c>
    </row>
    <row r="6179" spans="1:20" x14ac:dyDescent="0.25">
      <c r="A6179" t="s">
        <v>59</v>
      </c>
      <c r="B6179" t="s">
        <v>60</v>
      </c>
      <c r="C6179" t="s">
        <v>32</v>
      </c>
      <c r="D6179" t="s">
        <v>771</v>
      </c>
      <c r="E6179" t="s">
        <v>865</v>
      </c>
      <c r="F6179" t="s">
        <v>35</v>
      </c>
      <c r="G6179" t="s">
        <v>35</v>
      </c>
      <c r="H6179" t="s">
        <v>35</v>
      </c>
      <c r="J6179" t="s">
        <v>6381</v>
      </c>
      <c r="K6179" t="s">
        <v>1092</v>
      </c>
      <c r="M6179">
        <v>1.5</v>
      </c>
      <c r="N6179">
        <v>510</v>
      </c>
      <c r="O6179" t="s">
        <v>294</v>
      </c>
      <c r="Q6179" t="s">
        <v>2509</v>
      </c>
      <c r="R6179" t="s">
        <v>6113</v>
      </c>
      <c r="S6179" t="s">
        <v>6114</v>
      </c>
      <c r="T6179" t="s">
        <v>6103</v>
      </c>
    </row>
    <row r="6180" spans="1:20" x14ac:dyDescent="0.25">
      <c r="A6180" t="s">
        <v>59</v>
      </c>
      <c r="B6180" t="s">
        <v>31</v>
      </c>
      <c r="C6180" t="s">
        <v>32</v>
      </c>
      <c r="D6180" t="s">
        <v>771</v>
      </c>
      <c r="E6180" t="s">
        <v>772</v>
      </c>
      <c r="F6180" t="s">
        <v>35</v>
      </c>
      <c r="G6180" t="s">
        <v>35</v>
      </c>
      <c r="H6180" t="s">
        <v>35</v>
      </c>
      <c r="J6180" t="s">
        <v>6005</v>
      </c>
      <c r="K6180" t="s">
        <v>1092</v>
      </c>
      <c r="M6180">
        <v>4.99</v>
      </c>
      <c r="N6180">
        <v>231</v>
      </c>
      <c r="O6180" t="s">
        <v>5</v>
      </c>
      <c r="Q6180" t="s">
        <v>933</v>
      </c>
      <c r="R6180" t="s">
        <v>6007</v>
      </c>
      <c r="S6180" t="s">
        <v>6008</v>
      </c>
      <c r="T6180" t="s">
        <v>6006</v>
      </c>
    </row>
    <row r="6181" spans="1:20" x14ac:dyDescent="0.25">
      <c r="A6181" t="s">
        <v>59</v>
      </c>
      <c r="B6181" t="s">
        <v>60</v>
      </c>
      <c r="C6181" t="s">
        <v>32</v>
      </c>
      <c r="D6181" t="s">
        <v>771</v>
      </c>
      <c r="E6181" t="s">
        <v>6214</v>
      </c>
      <c r="F6181" t="s">
        <v>35</v>
      </c>
      <c r="G6181" t="s">
        <v>35</v>
      </c>
      <c r="H6181" t="s">
        <v>35</v>
      </c>
      <c r="J6181" t="s">
        <v>6222</v>
      </c>
      <c r="K6181" t="s">
        <v>1092</v>
      </c>
      <c r="M6181">
        <v>2.5000000000000001E-2</v>
      </c>
      <c r="N6181">
        <v>225</v>
      </c>
      <c r="O6181" t="s">
        <v>5</v>
      </c>
      <c r="Q6181" t="s">
        <v>6223</v>
      </c>
      <c r="R6181" t="s">
        <v>6163</v>
      </c>
      <c r="S6181" t="s">
        <v>823</v>
      </c>
      <c r="T6181" t="s">
        <v>824</v>
      </c>
    </row>
    <row r="6182" spans="1:20" x14ac:dyDescent="0.25">
      <c r="A6182" t="s">
        <v>59</v>
      </c>
      <c r="B6182" t="s">
        <v>31</v>
      </c>
      <c r="C6182" t="s">
        <v>32</v>
      </c>
      <c r="D6182" t="s">
        <v>771</v>
      </c>
      <c r="E6182" t="s">
        <v>6214</v>
      </c>
      <c r="F6182" t="s">
        <v>35</v>
      </c>
      <c r="G6182" t="s">
        <v>35</v>
      </c>
      <c r="H6182" t="s">
        <v>35</v>
      </c>
      <c r="J6182" t="s">
        <v>4661</v>
      </c>
      <c r="K6182" t="s">
        <v>1092</v>
      </c>
      <c r="M6182">
        <v>7.02</v>
      </c>
      <c r="N6182">
        <v>37</v>
      </c>
      <c r="O6182" t="s">
        <v>52</v>
      </c>
      <c r="Q6182" t="s">
        <v>192</v>
      </c>
      <c r="R6182" t="s">
        <v>6163</v>
      </c>
      <c r="S6182" t="s">
        <v>823</v>
      </c>
      <c r="T6182" t="s">
        <v>824</v>
      </c>
    </row>
    <row r="6183" spans="1:20" x14ac:dyDescent="0.25">
      <c r="A6183" t="s">
        <v>59</v>
      </c>
      <c r="B6183" t="s">
        <v>31</v>
      </c>
      <c r="C6183" t="s">
        <v>32</v>
      </c>
      <c r="D6183" t="s">
        <v>771</v>
      </c>
      <c r="E6183" t="s">
        <v>836</v>
      </c>
      <c r="F6183" t="s">
        <v>35</v>
      </c>
      <c r="G6183" t="s">
        <v>35</v>
      </c>
      <c r="H6183" t="s">
        <v>35</v>
      </c>
      <c r="J6183" t="s">
        <v>6162</v>
      </c>
      <c r="K6183" t="s">
        <v>1092</v>
      </c>
      <c r="M6183">
        <v>7.02</v>
      </c>
      <c r="N6183">
        <v>223</v>
      </c>
      <c r="O6183" t="s">
        <v>5</v>
      </c>
      <c r="Q6183" t="s">
        <v>1544</v>
      </c>
      <c r="R6183" t="s">
        <v>6163</v>
      </c>
      <c r="S6183" t="s">
        <v>823</v>
      </c>
      <c r="T6183" t="s">
        <v>824</v>
      </c>
    </row>
    <row r="6184" spans="1:20" x14ac:dyDescent="0.25">
      <c r="A6184" t="s">
        <v>30</v>
      </c>
      <c r="B6184" t="s">
        <v>31</v>
      </c>
      <c r="C6184" t="s">
        <v>32</v>
      </c>
      <c r="D6184" t="s">
        <v>771</v>
      </c>
      <c r="E6184" t="s">
        <v>898</v>
      </c>
      <c r="F6184" t="s">
        <v>35</v>
      </c>
      <c r="G6184" t="s">
        <v>35</v>
      </c>
      <c r="H6184" t="s">
        <v>35</v>
      </c>
      <c r="J6184" t="s">
        <v>6548</v>
      </c>
      <c r="K6184" t="s">
        <v>1092</v>
      </c>
      <c r="M6184">
        <v>0.72</v>
      </c>
      <c r="N6184">
        <v>97</v>
      </c>
      <c r="O6184" t="s">
        <v>106</v>
      </c>
      <c r="Q6184" t="s">
        <v>2577</v>
      </c>
      <c r="R6184" t="s">
        <v>6163</v>
      </c>
      <c r="S6184" t="s">
        <v>823</v>
      </c>
      <c r="T6184" t="s">
        <v>824</v>
      </c>
    </row>
    <row r="6185" spans="1:20" x14ac:dyDescent="0.25">
      <c r="A6185" t="s">
        <v>30</v>
      </c>
      <c r="B6185" t="s">
        <v>31</v>
      </c>
      <c r="C6185" t="s">
        <v>32</v>
      </c>
      <c r="D6185" t="s">
        <v>771</v>
      </c>
      <c r="E6185" t="s">
        <v>898</v>
      </c>
      <c r="F6185" t="s">
        <v>35</v>
      </c>
      <c r="G6185" t="s">
        <v>35</v>
      </c>
      <c r="H6185" t="s">
        <v>35</v>
      </c>
      <c r="J6185" t="s">
        <v>6548</v>
      </c>
      <c r="K6185" t="s">
        <v>1092</v>
      </c>
      <c r="M6185">
        <v>14.04</v>
      </c>
      <c r="N6185">
        <v>37</v>
      </c>
      <c r="O6185" t="s">
        <v>52</v>
      </c>
      <c r="Q6185" t="s">
        <v>192</v>
      </c>
      <c r="R6185" t="s">
        <v>6163</v>
      </c>
      <c r="S6185" t="s">
        <v>823</v>
      </c>
      <c r="T6185" t="s">
        <v>824</v>
      </c>
    </row>
    <row r="6186" spans="1:20" x14ac:dyDescent="0.25">
      <c r="A6186" t="s">
        <v>59</v>
      </c>
      <c r="B6186" t="s">
        <v>60</v>
      </c>
      <c r="C6186" t="s">
        <v>32</v>
      </c>
      <c r="D6186" t="s">
        <v>771</v>
      </c>
      <c r="E6186" t="s">
        <v>845</v>
      </c>
      <c r="F6186" t="s">
        <v>35</v>
      </c>
      <c r="G6186" t="s">
        <v>35</v>
      </c>
      <c r="H6186" t="s">
        <v>35</v>
      </c>
      <c r="J6186" t="s">
        <v>6283</v>
      </c>
      <c r="K6186" t="s">
        <v>1092</v>
      </c>
      <c r="M6186">
        <v>7</v>
      </c>
      <c r="N6186">
        <v>57</v>
      </c>
      <c r="O6186" t="s">
        <v>52</v>
      </c>
      <c r="Q6186" t="s">
        <v>381</v>
      </c>
      <c r="R6186" t="s">
        <v>6163</v>
      </c>
      <c r="S6186" t="s">
        <v>823</v>
      </c>
      <c r="T6186" t="s">
        <v>824</v>
      </c>
    </row>
    <row r="6187" spans="1:20" x14ac:dyDescent="0.25">
      <c r="A6187" t="s">
        <v>30</v>
      </c>
      <c r="B6187" t="s">
        <v>31</v>
      </c>
      <c r="C6187" t="s">
        <v>32</v>
      </c>
      <c r="D6187" t="s">
        <v>771</v>
      </c>
      <c r="E6187" t="s">
        <v>6214</v>
      </c>
      <c r="F6187" t="s">
        <v>35</v>
      </c>
      <c r="G6187" t="s">
        <v>35</v>
      </c>
      <c r="H6187" t="s">
        <v>35</v>
      </c>
      <c r="J6187" t="s">
        <v>6237</v>
      </c>
      <c r="K6187" t="s">
        <v>1092</v>
      </c>
      <c r="M6187">
        <v>5.13</v>
      </c>
      <c r="N6187">
        <v>97</v>
      </c>
      <c r="O6187" t="s">
        <v>106</v>
      </c>
      <c r="Q6187" t="s">
        <v>2577</v>
      </c>
      <c r="R6187" t="s">
        <v>6163</v>
      </c>
      <c r="S6187" t="s">
        <v>823</v>
      </c>
      <c r="T6187" t="s">
        <v>824</v>
      </c>
    </row>
    <row r="6188" spans="1:20" x14ac:dyDescent="0.25">
      <c r="A6188" t="s">
        <v>59</v>
      </c>
      <c r="B6188" t="s">
        <v>60</v>
      </c>
      <c r="C6188" t="s">
        <v>32</v>
      </c>
      <c r="D6188" t="s">
        <v>771</v>
      </c>
      <c r="E6188" t="s">
        <v>845</v>
      </c>
      <c r="F6188" t="s">
        <v>35</v>
      </c>
      <c r="G6188" t="s">
        <v>35</v>
      </c>
      <c r="H6188" t="s">
        <v>35</v>
      </c>
      <c r="J6188" t="s">
        <v>6278</v>
      </c>
      <c r="K6188" t="s">
        <v>1092</v>
      </c>
      <c r="M6188">
        <v>2.75</v>
      </c>
      <c r="N6188">
        <v>37</v>
      </c>
      <c r="O6188" t="s">
        <v>52</v>
      </c>
      <c r="Q6188" t="s">
        <v>192</v>
      </c>
      <c r="R6188" t="s">
        <v>6163</v>
      </c>
      <c r="S6188" t="s">
        <v>823</v>
      </c>
      <c r="T6188" t="s">
        <v>824</v>
      </c>
    </row>
    <row r="6189" spans="1:20" x14ac:dyDescent="0.25">
      <c r="A6189" t="s">
        <v>59</v>
      </c>
      <c r="B6189" t="s">
        <v>31</v>
      </c>
      <c r="C6189" t="s">
        <v>32</v>
      </c>
      <c r="D6189" t="s">
        <v>771</v>
      </c>
      <c r="E6189" t="s">
        <v>871</v>
      </c>
      <c r="F6189" t="s">
        <v>35</v>
      </c>
      <c r="G6189" t="s">
        <v>35</v>
      </c>
      <c r="H6189" t="s">
        <v>35</v>
      </c>
      <c r="J6189" t="s">
        <v>6262</v>
      </c>
      <c r="K6189" t="s">
        <v>1092</v>
      </c>
      <c r="M6189">
        <v>4.68</v>
      </c>
      <c r="N6189">
        <v>223</v>
      </c>
      <c r="O6189" t="s">
        <v>5</v>
      </c>
      <c r="Q6189" t="s">
        <v>1544</v>
      </c>
      <c r="R6189" t="s">
        <v>6163</v>
      </c>
      <c r="S6189" t="s">
        <v>823</v>
      </c>
      <c r="T6189" t="s">
        <v>824</v>
      </c>
    </row>
    <row r="6190" spans="1:20" x14ac:dyDescent="0.25">
      <c r="A6190" t="s">
        <v>59</v>
      </c>
      <c r="B6190" t="s">
        <v>60</v>
      </c>
      <c r="C6190" t="s">
        <v>32</v>
      </c>
      <c r="D6190" t="s">
        <v>771</v>
      </c>
      <c r="E6190" t="s">
        <v>6214</v>
      </c>
      <c r="F6190" t="s">
        <v>35</v>
      </c>
      <c r="G6190" t="s">
        <v>35</v>
      </c>
      <c r="H6190" t="s">
        <v>35</v>
      </c>
      <c r="J6190" t="s">
        <v>2424</v>
      </c>
      <c r="K6190" t="s">
        <v>1092</v>
      </c>
      <c r="M6190">
        <v>4</v>
      </c>
      <c r="N6190">
        <v>225</v>
      </c>
      <c r="O6190" t="s">
        <v>5</v>
      </c>
      <c r="Q6190" t="s">
        <v>6223</v>
      </c>
      <c r="R6190" t="s">
        <v>6163</v>
      </c>
      <c r="S6190" t="s">
        <v>823</v>
      </c>
      <c r="T6190" t="s">
        <v>824</v>
      </c>
    </row>
    <row r="6191" spans="1:20" x14ac:dyDescent="0.25">
      <c r="A6191" t="s">
        <v>30</v>
      </c>
      <c r="B6191" t="s">
        <v>31</v>
      </c>
      <c r="C6191" t="s">
        <v>32</v>
      </c>
      <c r="D6191" t="s">
        <v>771</v>
      </c>
      <c r="E6191" t="s">
        <v>6214</v>
      </c>
      <c r="F6191" t="s">
        <v>35</v>
      </c>
      <c r="G6191" t="s">
        <v>35</v>
      </c>
      <c r="H6191" t="s">
        <v>35</v>
      </c>
      <c r="J6191" t="s">
        <v>2424</v>
      </c>
      <c r="K6191" t="s">
        <v>1092</v>
      </c>
      <c r="M6191">
        <v>6.165</v>
      </c>
      <c r="N6191">
        <v>97</v>
      </c>
      <c r="O6191" t="s">
        <v>106</v>
      </c>
      <c r="Q6191" t="s">
        <v>2577</v>
      </c>
      <c r="R6191" t="s">
        <v>6163</v>
      </c>
      <c r="S6191" t="s">
        <v>823</v>
      </c>
      <c r="T6191" t="s">
        <v>824</v>
      </c>
    </row>
    <row r="6192" spans="1:20" x14ac:dyDescent="0.25">
      <c r="A6192" t="s">
        <v>30</v>
      </c>
      <c r="B6192" t="s">
        <v>31</v>
      </c>
      <c r="C6192" t="s">
        <v>32</v>
      </c>
      <c r="D6192" t="s">
        <v>771</v>
      </c>
      <c r="E6192" t="s">
        <v>6261</v>
      </c>
      <c r="F6192" t="s">
        <v>35</v>
      </c>
      <c r="G6192" t="s">
        <v>35</v>
      </c>
      <c r="H6192" t="s">
        <v>35</v>
      </c>
      <c r="J6192" t="s">
        <v>6271</v>
      </c>
      <c r="K6192" t="s">
        <v>1092</v>
      </c>
      <c r="M6192">
        <v>0.435</v>
      </c>
      <c r="N6192">
        <v>244</v>
      </c>
      <c r="O6192" t="s">
        <v>5</v>
      </c>
      <c r="Q6192" t="s">
        <v>1688</v>
      </c>
      <c r="R6192" t="s">
        <v>6272</v>
      </c>
      <c r="S6192" t="s">
        <v>6273</v>
      </c>
      <c r="T6192" t="s">
        <v>6274</v>
      </c>
    </row>
    <row r="6193" spans="1:20" x14ac:dyDescent="0.25">
      <c r="A6193" t="s">
        <v>30</v>
      </c>
      <c r="B6193" t="s">
        <v>31</v>
      </c>
      <c r="C6193" t="s">
        <v>32</v>
      </c>
      <c r="D6193" t="s">
        <v>771</v>
      </c>
      <c r="E6193" t="s">
        <v>888</v>
      </c>
      <c r="F6193" t="s">
        <v>35</v>
      </c>
      <c r="G6193" t="s">
        <v>35</v>
      </c>
      <c r="H6193" t="s">
        <v>35</v>
      </c>
      <c r="J6193" t="s">
        <v>6496</v>
      </c>
      <c r="K6193" t="s">
        <v>1092</v>
      </c>
      <c r="M6193">
        <v>3</v>
      </c>
      <c r="N6193">
        <v>244</v>
      </c>
      <c r="O6193" t="s">
        <v>5</v>
      </c>
      <c r="Q6193" t="s">
        <v>1688</v>
      </c>
      <c r="R6193" t="s">
        <v>6272</v>
      </c>
      <c r="S6193" t="s">
        <v>6273</v>
      </c>
      <c r="T6193" t="s">
        <v>6274</v>
      </c>
    </row>
    <row r="6194" spans="1:20" x14ac:dyDescent="0.25">
      <c r="A6194" t="s">
        <v>59</v>
      </c>
      <c r="B6194" t="s">
        <v>60</v>
      </c>
      <c r="C6194" t="s">
        <v>32</v>
      </c>
      <c r="D6194" t="s">
        <v>771</v>
      </c>
      <c r="E6194" t="s">
        <v>888</v>
      </c>
      <c r="F6194" t="s">
        <v>35</v>
      </c>
      <c r="G6194" t="s">
        <v>35</v>
      </c>
      <c r="H6194" t="s">
        <v>35</v>
      </c>
      <c r="J6194" t="s">
        <v>6509</v>
      </c>
      <c r="K6194" t="s">
        <v>1092</v>
      </c>
      <c r="M6194">
        <v>0.05</v>
      </c>
      <c r="N6194">
        <v>577</v>
      </c>
      <c r="O6194" t="s">
        <v>575</v>
      </c>
      <c r="Q6194" t="s">
        <v>3636</v>
      </c>
      <c r="R6194" t="s">
        <v>6272</v>
      </c>
      <c r="S6194" t="s">
        <v>6273</v>
      </c>
      <c r="T6194" t="s">
        <v>6274</v>
      </c>
    </row>
    <row r="6195" spans="1:20" x14ac:dyDescent="0.25">
      <c r="A6195" t="s">
        <v>30</v>
      </c>
      <c r="B6195" t="s">
        <v>31</v>
      </c>
      <c r="C6195" t="s">
        <v>32</v>
      </c>
      <c r="D6195" t="s">
        <v>771</v>
      </c>
      <c r="E6195" t="s">
        <v>888</v>
      </c>
      <c r="F6195" t="s">
        <v>35</v>
      </c>
      <c r="G6195" t="s">
        <v>35</v>
      </c>
      <c r="H6195" t="s">
        <v>35</v>
      </c>
      <c r="J6195" t="s">
        <v>6508</v>
      </c>
      <c r="K6195" t="s">
        <v>1092</v>
      </c>
      <c r="M6195">
        <v>0.02</v>
      </c>
      <c r="N6195">
        <v>402</v>
      </c>
      <c r="O6195" t="s">
        <v>294</v>
      </c>
      <c r="Q6195" t="s">
        <v>2800</v>
      </c>
      <c r="R6195" t="s">
        <v>6272</v>
      </c>
      <c r="S6195" t="s">
        <v>6273</v>
      </c>
      <c r="T6195" t="s">
        <v>6274</v>
      </c>
    </row>
    <row r="6196" spans="1:20" x14ac:dyDescent="0.25">
      <c r="A6196" t="s">
        <v>44</v>
      </c>
      <c r="B6196" t="s">
        <v>51</v>
      </c>
      <c r="C6196" t="s">
        <v>32</v>
      </c>
      <c r="D6196" t="s">
        <v>771</v>
      </c>
      <c r="E6196" t="s">
        <v>888</v>
      </c>
      <c r="F6196" t="s">
        <v>35</v>
      </c>
      <c r="G6196" t="s">
        <v>35</v>
      </c>
      <c r="H6196" t="s">
        <v>35</v>
      </c>
      <c r="J6196" t="s">
        <v>6507</v>
      </c>
      <c r="K6196" t="s">
        <v>1092</v>
      </c>
      <c r="M6196">
        <v>0.1</v>
      </c>
      <c r="N6196">
        <v>449</v>
      </c>
      <c r="O6196" t="s">
        <v>294</v>
      </c>
      <c r="Q6196" t="s">
        <v>3661</v>
      </c>
      <c r="R6196" t="s">
        <v>6272</v>
      </c>
      <c r="S6196" t="s">
        <v>6273</v>
      </c>
      <c r="T6196" t="s">
        <v>6274</v>
      </c>
    </row>
    <row r="6197" spans="1:20" x14ac:dyDescent="0.25">
      <c r="A6197" t="s">
        <v>30</v>
      </c>
      <c r="B6197" t="s">
        <v>31</v>
      </c>
      <c r="C6197" t="s">
        <v>32</v>
      </c>
      <c r="D6197" t="s">
        <v>771</v>
      </c>
      <c r="E6197" t="s">
        <v>888</v>
      </c>
      <c r="F6197" t="s">
        <v>35</v>
      </c>
      <c r="G6197" t="s">
        <v>35</v>
      </c>
      <c r="H6197" t="s">
        <v>35</v>
      </c>
      <c r="J6197" t="s">
        <v>6507</v>
      </c>
      <c r="K6197" t="s">
        <v>1092</v>
      </c>
      <c r="M6197">
        <v>0.255</v>
      </c>
      <c r="N6197">
        <v>244</v>
      </c>
      <c r="O6197" t="s">
        <v>5</v>
      </c>
      <c r="Q6197" t="s">
        <v>1688</v>
      </c>
      <c r="R6197" t="s">
        <v>6272</v>
      </c>
      <c r="S6197" t="s">
        <v>6273</v>
      </c>
      <c r="T6197" t="s">
        <v>6274</v>
      </c>
    </row>
    <row r="6198" spans="1:20" x14ac:dyDescent="0.25">
      <c r="A6198" t="s">
        <v>59</v>
      </c>
      <c r="B6198" t="s">
        <v>60</v>
      </c>
      <c r="C6198" t="s">
        <v>32</v>
      </c>
      <c r="D6198" t="s">
        <v>771</v>
      </c>
      <c r="E6198" t="s">
        <v>888</v>
      </c>
      <c r="F6198" t="s">
        <v>35</v>
      </c>
      <c r="G6198" t="s">
        <v>35</v>
      </c>
      <c r="H6198" t="s">
        <v>35</v>
      </c>
      <c r="J6198" t="s">
        <v>6487</v>
      </c>
      <c r="K6198" t="s">
        <v>1092</v>
      </c>
      <c r="M6198">
        <v>0.2</v>
      </c>
      <c r="N6198">
        <v>217</v>
      </c>
      <c r="O6198" t="s">
        <v>5</v>
      </c>
      <c r="Q6198" t="s">
        <v>1150</v>
      </c>
      <c r="R6198" t="s">
        <v>6272</v>
      </c>
      <c r="S6198" t="s">
        <v>6273</v>
      </c>
      <c r="T6198" t="s">
        <v>6274</v>
      </c>
    </row>
    <row r="6199" spans="1:20" x14ac:dyDescent="0.25">
      <c r="A6199" t="s">
        <v>30</v>
      </c>
      <c r="B6199" t="s">
        <v>31</v>
      </c>
      <c r="C6199" t="s">
        <v>32</v>
      </c>
      <c r="D6199" t="s">
        <v>771</v>
      </c>
      <c r="E6199" t="s">
        <v>888</v>
      </c>
      <c r="F6199" t="s">
        <v>35</v>
      </c>
      <c r="G6199" t="s">
        <v>35</v>
      </c>
      <c r="H6199" t="s">
        <v>35</v>
      </c>
      <c r="J6199" t="s">
        <v>6487</v>
      </c>
      <c r="K6199" t="s">
        <v>1092</v>
      </c>
      <c r="M6199">
        <v>9.5000000000000001E-2</v>
      </c>
      <c r="N6199">
        <v>402</v>
      </c>
      <c r="O6199" t="s">
        <v>294</v>
      </c>
      <c r="Q6199" t="s">
        <v>2800</v>
      </c>
      <c r="R6199" t="s">
        <v>6272</v>
      </c>
      <c r="S6199" t="s">
        <v>6273</v>
      </c>
      <c r="T6199" t="s">
        <v>6274</v>
      </c>
    </row>
    <row r="6200" spans="1:20" x14ac:dyDescent="0.25">
      <c r="A6200" t="s">
        <v>30</v>
      </c>
      <c r="B6200" t="s">
        <v>31</v>
      </c>
      <c r="C6200" t="s">
        <v>32</v>
      </c>
      <c r="D6200" t="s">
        <v>771</v>
      </c>
      <c r="E6200" t="s">
        <v>888</v>
      </c>
      <c r="F6200" t="s">
        <v>35</v>
      </c>
      <c r="G6200" t="s">
        <v>35</v>
      </c>
      <c r="H6200" t="s">
        <v>35</v>
      </c>
      <c r="J6200" t="s">
        <v>6497</v>
      </c>
      <c r="K6200" t="s">
        <v>1092</v>
      </c>
      <c r="M6200">
        <v>2.3250000000000002</v>
      </c>
      <c r="N6200">
        <v>257</v>
      </c>
      <c r="O6200" t="s">
        <v>5</v>
      </c>
      <c r="Q6200" t="s">
        <v>1721</v>
      </c>
      <c r="R6200" t="s">
        <v>6272</v>
      </c>
      <c r="S6200" t="s">
        <v>6273</v>
      </c>
      <c r="T6200" t="s">
        <v>6274</v>
      </c>
    </row>
    <row r="6201" spans="1:20" x14ac:dyDescent="0.25">
      <c r="A6201" t="s">
        <v>30</v>
      </c>
      <c r="B6201" t="s">
        <v>31</v>
      </c>
      <c r="C6201" t="s">
        <v>32</v>
      </c>
      <c r="D6201" t="s">
        <v>771</v>
      </c>
      <c r="E6201" t="s">
        <v>875</v>
      </c>
      <c r="F6201" t="s">
        <v>35</v>
      </c>
      <c r="G6201" t="s">
        <v>35</v>
      </c>
      <c r="H6201" t="s">
        <v>35</v>
      </c>
      <c r="J6201" t="s">
        <v>6477</v>
      </c>
      <c r="K6201" t="s">
        <v>1092</v>
      </c>
      <c r="M6201">
        <v>2.5</v>
      </c>
      <c r="N6201">
        <v>38</v>
      </c>
      <c r="O6201" t="s">
        <v>52</v>
      </c>
      <c r="Q6201" t="s">
        <v>716</v>
      </c>
      <c r="R6201" t="s">
        <v>6356</v>
      </c>
      <c r="S6201" t="s">
        <v>943</v>
      </c>
      <c r="T6201" t="s">
        <v>944</v>
      </c>
    </row>
    <row r="6202" spans="1:20" x14ac:dyDescent="0.25">
      <c r="A6202" t="s">
        <v>30</v>
      </c>
      <c r="B6202" t="s">
        <v>31</v>
      </c>
      <c r="C6202" t="s">
        <v>32</v>
      </c>
      <c r="D6202" t="s">
        <v>771</v>
      </c>
      <c r="E6202" t="s">
        <v>871</v>
      </c>
      <c r="F6202" t="s">
        <v>35</v>
      </c>
      <c r="G6202" t="s">
        <v>35</v>
      </c>
      <c r="H6202" t="s">
        <v>35</v>
      </c>
      <c r="J6202" t="s">
        <v>6418</v>
      </c>
      <c r="K6202" t="s">
        <v>1092</v>
      </c>
      <c r="M6202">
        <v>0.09</v>
      </c>
      <c r="N6202">
        <v>35</v>
      </c>
      <c r="O6202" t="s">
        <v>52</v>
      </c>
      <c r="Q6202" t="s">
        <v>991</v>
      </c>
      <c r="R6202" t="s">
        <v>6356</v>
      </c>
      <c r="S6202" t="s">
        <v>943</v>
      </c>
      <c r="T6202" t="s">
        <v>944</v>
      </c>
    </row>
    <row r="6203" spans="1:20" x14ac:dyDescent="0.25">
      <c r="A6203" t="s">
        <v>59</v>
      </c>
      <c r="B6203" t="s">
        <v>31</v>
      </c>
      <c r="C6203" t="s">
        <v>32</v>
      </c>
      <c r="D6203" t="s">
        <v>771</v>
      </c>
      <c r="E6203" t="s">
        <v>865</v>
      </c>
      <c r="F6203" t="s">
        <v>35</v>
      </c>
      <c r="G6203" t="s">
        <v>35</v>
      </c>
      <c r="H6203" t="s">
        <v>35</v>
      </c>
      <c r="J6203" t="s">
        <v>6355</v>
      </c>
      <c r="K6203" t="s">
        <v>1092</v>
      </c>
      <c r="M6203">
        <v>2.7</v>
      </c>
      <c r="N6203">
        <v>67</v>
      </c>
      <c r="O6203" t="s">
        <v>61</v>
      </c>
      <c r="Q6203" t="s">
        <v>488</v>
      </c>
      <c r="R6203" t="s">
        <v>6356</v>
      </c>
      <c r="S6203" t="s">
        <v>943</v>
      </c>
      <c r="T6203" t="s">
        <v>944</v>
      </c>
    </row>
    <row r="6204" spans="1:20" x14ac:dyDescent="0.25">
      <c r="A6204" t="s">
        <v>59</v>
      </c>
      <c r="B6204" t="s">
        <v>31</v>
      </c>
      <c r="C6204" t="s">
        <v>32</v>
      </c>
      <c r="D6204" t="s">
        <v>771</v>
      </c>
      <c r="E6204" t="s">
        <v>871</v>
      </c>
      <c r="F6204" t="s">
        <v>35</v>
      </c>
      <c r="G6204" t="s">
        <v>35</v>
      </c>
      <c r="H6204" t="s">
        <v>35</v>
      </c>
      <c r="J6204" t="s">
        <v>6401</v>
      </c>
      <c r="K6204" t="s">
        <v>1092</v>
      </c>
      <c r="M6204">
        <v>3.24</v>
      </c>
      <c r="N6204">
        <v>146</v>
      </c>
      <c r="O6204" t="s">
        <v>38</v>
      </c>
      <c r="Q6204" t="s">
        <v>569</v>
      </c>
      <c r="R6204" t="s">
        <v>6356</v>
      </c>
      <c r="S6204" t="s">
        <v>943</v>
      </c>
      <c r="T6204" t="s">
        <v>944</v>
      </c>
    </row>
    <row r="6205" spans="1:20" x14ac:dyDescent="0.25">
      <c r="A6205" t="s">
        <v>30</v>
      </c>
      <c r="B6205" t="s">
        <v>31</v>
      </c>
      <c r="C6205" t="s">
        <v>32</v>
      </c>
      <c r="D6205" t="s">
        <v>771</v>
      </c>
      <c r="E6205" t="s">
        <v>871</v>
      </c>
      <c r="F6205" t="s">
        <v>35</v>
      </c>
      <c r="G6205" t="s">
        <v>35</v>
      </c>
      <c r="H6205" t="s">
        <v>35</v>
      </c>
      <c r="J6205" t="s">
        <v>6417</v>
      </c>
      <c r="K6205" t="s">
        <v>1092</v>
      </c>
      <c r="M6205">
        <v>0.54</v>
      </c>
      <c r="N6205">
        <v>222</v>
      </c>
      <c r="O6205" t="s">
        <v>5</v>
      </c>
      <c r="Q6205" t="s">
        <v>1562</v>
      </c>
      <c r="R6205" t="s">
        <v>6356</v>
      </c>
      <c r="S6205" t="s">
        <v>943</v>
      </c>
      <c r="T6205" t="s">
        <v>944</v>
      </c>
    </row>
    <row r="6206" spans="1:20" x14ac:dyDescent="0.25">
      <c r="A6206" t="s">
        <v>30</v>
      </c>
      <c r="B6206" t="s">
        <v>31</v>
      </c>
      <c r="C6206" t="s">
        <v>32</v>
      </c>
      <c r="D6206" t="s">
        <v>771</v>
      </c>
      <c r="E6206" t="s">
        <v>871</v>
      </c>
      <c r="F6206" t="s">
        <v>35</v>
      </c>
      <c r="G6206" t="s">
        <v>35</v>
      </c>
      <c r="H6206" t="s">
        <v>35</v>
      </c>
      <c r="J6206" t="s">
        <v>6422</v>
      </c>
      <c r="K6206" t="s">
        <v>1092</v>
      </c>
      <c r="M6206">
        <v>2.0699999999999998</v>
      </c>
      <c r="N6206">
        <v>35</v>
      </c>
      <c r="O6206" t="s">
        <v>52</v>
      </c>
      <c r="Q6206" t="s">
        <v>991</v>
      </c>
      <c r="R6206" t="s">
        <v>6356</v>
      </c>
      <c r="S6206" t="s">
        <v>943</v>
      </c>
      <c r="T6206" t="s">
        <v>944</v>
      </c>
    </row>
    <row r="6207" spans="1:20" x14ac:dyDescent="0.25">
      <c r="A6207" t="s">
        <v>30</v>
      </c>
      <c r="B6207" t="s">
        <v>31</v>
      </c>
      <c r="C6207" t="s">
        <v>32</v>
      </c>
      <c r="D6207" t="s">
        <v>771</v>
      </c>
      <c r="E6207" t="s">
        <v>871</v>
      </c>
      <c r="F6207" t="s">
        <v>35</v>
      </c>
      <c r="G6207" t="s">
        <v>35</v>
      </c>
      <c r="H6207" t="s">
        <v>35</v>
      </c>
      <c r="J6207" t="s">
        <v>6422</v>
      </c>
      <c r="K6207" t="s">
        <v>1092</v>
      </c>
      <c r="M6207">
        <v>1.53</v>
      </c>
      <c r="N6207">
        <v>192</v>
      </c>
      <c r="O6207" t="s">
        <v>5</v>
      </c>
      <c r="Q6207" t="s">
        <v>1720</v>
      </c>
      <c r="R6207" t="s">
        <v>6356</v>
      </c>
      <c r="S6207" t="s">
        <v>943</v>
      </c>
      <c r="T6207" t="s">
        <v>944</v>
      </c>
    </row>
    <row r="6208" spans="1:20" x14ac:dyDescent="0.25">
      <c r="A6208" t="s">
        <v>30</v>
      </c>
      <c r="B6208" t="s">
        <v>31</v>
      </c>
      <c r="C6208" t="s">
        <v>32</v>
      </c>
      <c r="D6208" t="s">
        <v>771</v>
      </c>
      <c r="E6208" t="s">
        <v>875</v>
      </c>
      <c r="F6208" t="s">
        <v>35</v>
      </c>
      <c r="G6208" t="s">
        <v>35</v>
      </c>
      <c r="H6208" t="s">
        <v>35</v>
      </c>
      <c r="J6208" t="s">
        <v>6449</v>
      </c>
      <c r="K6208" t="s">
        <v>1092</v>
      </c>
      <c r="M6208">
        <v>4.4999999999999998E-2</v>
      </c>
      <c r="N6208">
        <v>221</v>
      </c>
      <c r="O6208" t="s">
        <v>5</v>
      </c>
      <c r="Q6208" t="s">
        <v>1979</v>
      </c>
      <c r="R6208" t="s">
        <v>6356</v>
      </c>
      <c r="S6208" t="s">
        <v>943</v>
      </c>
      <c r="T6208" t="s">
        <v>944</v>
      </c>
    </row>
    <row r="6209" spans="1:20" x14ac:dyDescent="0.25">
      <c r="A6209" t="s">
        <v>30</v>
      </c>
      <c r="B6209" t="s">
        <v>31</v>
      </c>
      <c r="C6209" t="s">
        <v>32</v>
      </c>
      <c r="D6209" t="s">
        <v>771</v>
      </c>
      <c r="E6209" t="s">
        <v>875</v>
      </c>
      <c r="F6209" t="s">
        <v>35</v>
      </c>
      <c r="G6209" t="s">
        <v>35</v>
      </c>
      <c r="H6209" t="s">
        <v>35</v>
      </c>
      <c r="J6209" t="s">
        <v>6449</v>
      </c>
      <c r="K6209" t="s">
        <v>1092</v>
      </c>
      <c r="M6209">
        <v>4.9950000000000001</v>
      </c>
      <c r="N6209">
        <v>35</v>
      </c>
      <c r="O6209" t="s">
        <v>52</v>
      </c>
      <c r="Q6209" t="s">
        <v>991</v>
      </c>
      <c r="R6209" t="s">
        <v>6356</v>
      </c>
      <c r="S6209" t="s">
        <v>943</v>
      </c>
      <c r="T6209" t="s">
        <v>944</v>
      </c>
    </row>
    <row r="6210" spans="1:20" x14ac:dyDescent="0.25">
      <c r="A6210" t="s">
        <v>30</v>
      </c>
      <c r="B6210" t="s">
        <v>31</v>
      </c>
      <c r="C6210" t="s">
        <v>32</v>
      </c>
      <c r="D6210" t="s">
        <v>771</v>
      </c>
      <c r="E6210" t="s">
        <v>875</v>
      </c>
      <c r="F6210" t="s">
        <v>35</v>
      </c>
      <c r="G6210" t="s">
        <v>35</v>
      </c>
      <c r="H6210" t="s">
        <v>35</v>
      </c>
      <c r="J6210" t="s">
        <v>6440</v>
      </c>
      <c r="K6210" t="s">
        <v>1092</v>
      </c>
      <c r="M6210">
        <v>8.64</v>
      </c>
      <c r="N6210">
        <v>38</v>
      </c>
      <c r="O6210" t="s">
        <v>52</v>
      </c>
      <c r="Q6210" t="s">
        <v>716</v>
      </c>
      <c r="R6210" t="s">
        <v>6356</v>
      </c>
      <c r="S6210" t="s">
        <v>943</v>
      </c>
      <c r="T6210" t="s">
        <v>944</v>
      </c>
    </row>
    <row r="6211" spans="1:20" x14ac:dyDescent="0.25">
      <c r="A6211" t="s">
        <v>30</v>
      </c>
      <c r="B6211" t="s">
        <v>31</v>
      </c>
      <c r="C6211" t="s">
        <v>32</v>
      </c>
      <c r="D6211" t="s">
        <v>771</v>
      </c>
      <c r="E6211" t="s">
        <v>871</v>
      </c>
      <c r="F6211" t="s">
        <v>35</v>
      </c>
      <c r="G6211" t="s">
        <v>35</v>
      </c>
      <c r="H6211" t="s">
        <v>35</v>
      </c>
      <c r="J6211" t="s">
        <v>6423</v>
      </c>
      <c r="K6211" t="s">
        <v>1092</v>
      </c>
      <c r="M6211">
        <v>4.9950000000000001</v>
      </c>
      <c r="N6211">
        <v>35</v>
      </c>
      <c r="O6211" t="s">
        <v>52</v>
      </c>
      <c r="Q6211" t="s">
        <v>991</v>
      </c>
      <c r="R6211" t="s">
        <v>6356</v>
      </c>
      <c r="S6211" t="s">
        <v>943</v>
      </c>
      <c r="T6211" t="s">
        <v>944</v>
      </c>
    </row>
    <row r="6212" spans="1:20" x14ac:dyDescent="0.25">
      <c r="A6212" t="s">
        <v>59</v>
      </c>
      <c r="B6212" t="s">
        <v>60</v>
      </c>
      <c r="C6212" t="s">
        <v>32</v>
      </c>
      <c r="D6212" t="s">
        <v>771</v>
      </c>
      <c r="E6212" t="s">
        <v>871</v>
      </c>
      <c r="F6212" t="s">
        <v>35</v>
      </c>
      <c r="G6212" t="s">
        <v>35</v>
      </c>
      <c r="H6212" t="s">
        <v>35</v>
      </c>
      <c r="J6212" t="s">
        <v>6419</v>
      </c>
      <c r="K6212" t="s">
        <v>1092</v>
      </c>
      <c r="M6212">
        <v>1</v>
      </c>
      <c r="N6212">
        <v>146</v>
      </c>
      <c r="O6212" t="s">
        <v>38</v>
      </c>
      <c r="Q6212" t="s">
        <v>569</v>
      </c>
      <c r="R6212" t="s">
        <v>6356</v>
      </c>
      <c r="S6212" t="s">
        <v>943</v>
      </c>
      <c r="T6212" t="s">
        <v>944</v>
      </c>
    </row>
    <row r="6213" spans="1:20" x14ac:dyDescent="0.25">
      <c r="A6213" t="s">
        <v>59</v>
      </c>
      <c r="B6213" t="s">
        <v>60</v>
      </c>
      <c r="C6213" t="s">
        <v>32</v>
      </c>
      <c r="D6213" t="s">
        <v>771</v>
      </c>
      <c r="E6213" t="s">
        <v>836</v>
      </c>
      <c r="F6213" t="s">
        <v>35</v>
      </c>
      <c r="G6213" t="s">
        <v>35</v>
      </c>
      <c r="H6213" t="s">
        <v>35</v>
      </c>
      <c r="J6213" t="s">
        <v>6156</v>
      </c>
      <c r="K6213" t="s">
        <v>1092</v>
      </c>
      <c r="M6213">
        <v>1.5</v>
      </c>
      <c r="N6213">
        <v>1470</v>
      </c>
      <c r="O6213" t="s">
        <v>575</v>
      </c>
      <c r="Q6213" t="s">
        <v>4432</v>
      </c>
      <c r="R6213" t="s">
        <v>6106</v>
      </c>
      <c r="S6213" t="s">
        <v>6107</v>
      </c>
      <c r="T6213" t="s">
        <v>6108</v>
      </c>
    </row>
    <row r="6214" spans="1:20" x14ac:dyDescent="0.25">
      <c r="A6214" t="s">
        <v>59</v>
      </c>
      <c r="B6214" t="s">
        <v>60</v>
      </c>
      <c r="C6214" t="s">
        <v>32</v>
      </c>
      <c r="D6214" t="s">
        <v>771</v>
      </c>
      <c r="E6214" t="s">
        <v>6093</v>
      </c>
      <c r="F6214" t="s">
        <v>35</v>
      </c>
      <c r="G6214" t="s">
        <v>35</v>
      </c>
      <c r="H6214" t="s">
        <v>35</v>
      </c>
      <c r="J6214" t="s">
        <v>6105</v>
      </c>
      <c r="K6214" t="s">
        <v>1144</v>
      </c>
      <c r="M6214">
        <v>8</v>
      </c>
      <c r="N6214">
        <v>37</v>
      </c>
      <c r="O6214" t="s">
        <v>52</v>
      </c>
      <c r="Q6214" t="s">
        <v>192</v>
      </c>
      <c r="R6214" t="s">
        <v>6106</v>
      </c>
      <c r="S6214" t="s">
        <v>6107</v>
      </c>
      <c r="T6214" t="s">
        <v>6108</v>
      </c>
    </row>
    <row r="6215" spans="1:20" x14ac:dyDescent="0.25">
      <c r="A6215" t="s">
        <v>59</v>
      </c>
      <c r="B6215" t="s">
        <v>60</v>
      </c>
      <c r="C6215" t="s">
        <v>32</v>
      </c>
      <c r="D6215" t="s">
        <v>771</v>
      </c>
      <c r="E6215" t="s">
        <v>871</v>
      </c>
      <c r="F6215" t="s">
        <v>35</v>
      </c>
      <c r="G6215" t="s">
        <v>35</v>
      </c>
      <c r="H6215" t="s">
        <v>35</v>
      </c>
      <c r="J6215" t="s">
        <v>6405</v>
      </c>
      <c r="K6215" t="s">
        <v>1092</v>
      </c>
      <c r="M6215">
        <v>8</v>
      </c>
      <c r="N6215">
        <v>80</v>
      </c>
      <c r="O6215" t="s">
        <v>61</v>
      </c>
      <c r="Q6215" t="s">
        <v>1639</v>
      </c>
      <c r="R6215" t="s">
        <v>6106</v>
      </c>
      <c r="S6215" t="s">
        <v>6107</v>
      </c>
      <c r="T6215" t="s">
        <v>6108</v>
      </c>
    </row>
    <row r="6216" spans="1:20" x14ac:dyDescent="0.25">
      <c r="A6216" t="s">
        <v>44</v>
      </c>
      <c r="B6216" t="s">
        <v>51</v>
      </c>
      <c r="C6216" t="s">
        <v>32</v>
      </c>
      <c r="D6216" t="s">
        <v>771</v>
      </c>
      <c r="E6216" t="s">
        <v>871</v>
      </c>
      <c r="F6216" t="s">
        <v>35</v>
      </c>
      <c r="G6216" t="s">
        <v>35</v>
      </c>
      <c r="H6216" t="s">
        <v>35</v>
      </c>
      <c r="J6216" t="s">
        <v>6405</v>
      </c>
      <c r="K6216" t="s">
        <v>1092</v>
      </c>
      <c r="M6216">
        <v>4.75</v>
      </c>
      <c r="N6216">
        <v>77</v>
      </c>
      <c r="O6216" t="s">
        <v>61</v>
      </c>
      <c r="Q6216" t="s">
        <v>778</v>
      </c>
      <c r="R6216" t="s">
        <v>6106</v>
      </c>
      <c r="S6216" t="s">
        <v>6107</v>
      </c>
      <c r="T6216" t="s">
        <v>6108</v>
      </c>
    </row>
    <row r="6217" spans="1:20" x14ac:dyDescent="0.25">
      <c r="A6217" t="s">
        <v>59</v>
      </c>
      <c r="B6217" t="s">
        <v>31</v>
      </c>
      <c r="C6217" t="s">
        <v>32</v>
      </c>
      <c r="D6217" t="s">
        <v>771</v>
      </c>
      <c r="E6217" t="s">
        <v>871</v>
      </c>
      <c r="F6217" t="s">
        <v>35</v>
      </c>
      <c r="G6217" t="s">
        <v>35</v>
      </c>
      <c r="H6217" t="s">
        <v>35</v>
      </c>
      <c r="J6217" t="s">
        <v>6405</v>
      </c>
      <c r="K6217" t="s">
        <v>1092</v>
      </c>
      <c r="M6217">
        <v>3.15</v>
      </c>
      <c r="N6217">
        <v>80</v>
      </c>
      <c r="O6217" t="s">
        <v>61</v>
      </c>
      <c r="Q6217" t="s">
        <v>1639</v>
      </c>
      <c r="R6217" t="s">
        <v>6106</v>
      </c>
      <c r="S6217" t="s">
        <v>6107</v>
      </c>
      <c r="T6217" t="s">
        <v>6108</v>
      </c>
    </row>
    <row r="6218" spans="1:20" x14ac:dyDescent="0.25">
      <c r="A6218" t="s">
        <v>30</v>
      </c>
      <c r="B6218" t="s">
        <v>31</v>
      </c>
      <c r="C6218" t="s">
        <v>32</v>
      </c>
      <c r="D6218" t="s">
        <v>771</v>
      </c>
      <c r="E6218" t="s">
        <v>871</v>
      </c>
      <c r="F6218" t="s">
        <v>35</v>
      </c>
      <c r="G6218" t="s">
        <v>35</v>
      </c>
      <c r="H6218" t="s">
        <v>35</v>
      </c>
      <c r="J6218" t="s">
        <v>6397</v>
      </c>
      <c r="K6218" t="s">
        <v>1092</v>
      </c>
      <c r="M6218">
        <v>0.36</v>
      </c>
      <c r="N6218">
        <v>37</v>
      </c>
      <c r="O6218" t="s">
        <v>52</v>
      </c>
      <c r="Q6218" t="s">
        <v>192</v>
      </c>
      <c r="R6218" t="s">
        <v>6106</v>
      </c>
      <c r="S6218" t="s">
        <v>6107</v>
      </c>
      <c r="T6218" t="s">
        <v>6108</v>
      </c>
    </row>
    <row r="6219" spans="1:20" x14ac:dyDescent="0.25">
      <c r="A6219" t="s">
        <v>30</v>
      </c>
      <c r="B6219" t="s">
        <v>31</v>
      </c>
      <c r="C6219" t="s">
        <v>32</v>
      </c>
      <c r="D6219" t="s">
        <v>771</v>
      </c>
      <c r="E6219" t="s">
        <v>861</v>
      </c>
      <c r="F6219" t="s">
        <v>35</v>
      </c>
      <c r="G6219" t="s">
        <v>35</v>
      </c>
      <c r="H6219" t="s">
        <v>35</v>
      </c>
      <c r="J6219" t="s">
        <v>6316</v>
      </c>
      <c r="K6219" t="s">
        <v>1092</v>
      </c>
      <c r="M6219">
        <v>7.02</v>
      </c>
      <c r="N6219">
        <v>224</v>
      </c>
      <c r="O6219" t="s">
        <v>5</v>
      </c>
      <c r="Q6219" t="s">
        <v>402</v>
      </c>
      <c r="R6219" t="s">
        <v>6083</v>
      </c>
      <c r="S6219" t="s">
        <v>6084</v>
      </c>
      <c r="T6219" t="s">
        <v>6085</v>
      </c>
    </row>
    <row r="6220" spans="1:20" x14ac:dyDescent="0.25">
      <c r="A6220" t="s">
        <v>30</v>
      </c>
      <c r="B6220" t="s">
        <v>31</v>
      </c>
      <c r="C6220" t="s">
        <v>32</v>
      </c>
      <c r="D6220" t="s">
        <v>771</v>
      </c>
      <c r="E6220" t="s">
        <v>861</v>
      </c>
      <c r="F6220" t="s">
        <v>35</v>
      </c>
      <c r="G6220" t="s">
        <v>35</v>
      </c>
      <c r="H6220" t="s">
        <v>35</v>
      </c>
      <c r="J6220" t="s">
        <v>6316</v>
      </c>
      <c r="K6220" t="s">
        <v>1092</v>
      </c>
      <c r="M6220">
        <v>1.35</v>
      </c>
      <c r="N6220">
        <v>179</v>
      </c>
      <c r="O6220" t="s">
        <v>38</v>
      </c>
      <c r="Q6220" t="s">
        <v>1363</v>
      </c>
      <c r="R6220" t="s">
        <v>6083</v>
      </c>
      <c r="S6220" t="s">
        <v>6084</v>
      </c>
      <c r="T6220" t="s">
        <v>6085</v>
      </c>
    </row>
    <row r="6221" spans="1:20" x14ac:dyDescent="0.25">
      <c r="A6221" t="s">
        <v>30</v>
      </c>
      <c r="B6221" t="s">
        <v>31</v>
      </c>
      <c r="C6221" t="s">
        <v>32</v>
      </c>
      <c r="D6221" t="s">
        <v>771</v>
      </c>
      <c r="E6221" t="s">
        <v>783</v>
      </c>
      <c r="F6221" t="s">
        <v>35</v>
      </c>
      <c r="G6221" t="s">
        <v>35</v>
      </c>
      <c r="H6221" t="s">
        <v>35</v>
      </c>
      <c r="J6221" t="s">
        <v>6082</v>
      </c>
      <c r="K6221" t="s">
        <v>1092</v>
      </c>
      <c r="M6221">
        <v>0.13500000000000001</v>
      </c>
      <c r="N6221">
        <v>179</v>
      </c>
      <c r="O6221" t="s">
        <v>38</v>
      </c>
      <c r="Q6221" t="s">
        <v>1363</v>
      </c>
      <c r="R6221" t="s">
        <v>6083</v>
      </c>
      <c r="S6221" t="s">
        <v>6084</v>
      </c>
      <c r="T6221" t="s">
        <v>6085</v>
      </c>
    </row>
    <row r="6222" spans="1:20" x14ac:dyDescent="0.25">
      <c r="A6222" t="s">
        <v>59</v>
      </c>
      <c r="B6222" t="s">
        <v>31</v>
      </c>
      <c r="C6222" t="s">
        <v>32</v>
      </c>
      <c r="D6222" t="s">
        <v>771</v>
      </c>
      <c r="E6222" t="s">
        <v>783</v>
      </c>
      <c r="F6222" t="s">
        <v>35</v>
      </c>
      <c r="G6222" t="s">
        <v>35</v>
      </c>
      <c r="H6222" t="s">
        <v>35</v>
      </c>
      <c r="J6222" t="s">
        <v>6021</v>
      </c>
      <c r="K6222" t="s">
        <v>1092</v>
      </c>
      <c r="M6222">
        <v>4.4550000000000001</v>
      </c>
      <c r="N6222">
        <v>147</v>
      </c>
      <c r="O6222" t="s">
        <v>38</v>
      </c>
      <c r="Q6222" t="s">
        <v>3398</v>
      </c>
      <c r="R6222" t="s">
        <v>436</v>
      </c>
      <c r="S6222" t="s">
        <v>437</v>
      </c>
      <c r="T6222" t="s">
        <v>438</v>
      </c>
    </row>
    <row r="6223" spans="1:20" x14ac:dyDescent="0.25">
      <c r="A6223" t="s">
        <v>59</v>
      </c>
      <c r="B6223" t="s">
        <v>60</v>
      </c>
      <c r="C6223" t="s">
        <v>32</v>
      </c>
      <c r="D6223" t="s">
        <v>771</v>
      </c>
      <c r="E6223" t="s">
        <v>903</v>
      </c>
      <c r="F6223" t="s">
        <v>35</v>
      </c>
      <c r="G6223" t="s">
        <v>35</v>
      </c>
      <c r="H6223" t="s">
        <v>35</v>
      </c>
      <c r="J6223" t="s">
        <v>6556</v>
      </c>
      <c r="K6223" t="s">
        <v>1092</v>
      </c>
      <c r="M6223">
        <v>3.5</v>
      </c>
      <c r="N6223">
        <v>148</v>
      </c>
      <c r="O6223" t="s">
        <v>38</v>
      </c>
      <c r="Q6223" t="s">
        <v>3942</v>
      </c>
      <c r="R6223" t="s">
        <v>436</v>
      </c>
      <c r="S6223" t="s">
        <v>437</v>
      </c>
      <c r="T6223" t="s">
        <v>438</v>
      </c>
    </row>
    <row r="6224" spans="1:20" x14ac:dyDescent="0.25">
      <c r="A6224" t="s">
        <v>30</v>
      </c>
      <c r="B6224" t="s">
        <v>31</v>
      </c>
      <c r="C6224" t="s">
        <v>32</v>
      </c>
      <c r="D6224" t="s">
        <v>771</v>
      </c>
      <c r="E6224" t="s">
        <v>903</v>
      </c>
      <c r="F6224" t="s">
        <v>35</v>
      </c>
      <c r="G6224" t="s">
        <v>35</v>
      </c>
      <c r="H6224" t="s">
        <v>35</v>
      </c>
      <c r="J6224" t="s">
        <v>6556</v>
      </c>
      <c r="K6224" t="s">
        <v>1092</v>
      </c>
      <c r="M6224">
        <v>3.42</v>
      </c>
      <c r="N6224">
        <v>40</v>
      </c>
      <c r="O6224" t="s">
        <v>52</v>
      </c>
      <c r="Q6224" t="s">
        <v>132</v>
      </c>
      <c r="R6224" t="s">
        <v>436</v>
      </c>
      <c r="S6224" t="s">
        <v>437</v>
      </c>
      <c r="T6224" t="s">
        <v>438</v>
      </c>
    </row>
    <row r="6225" spans="1:20" x14ac:dyDescent="0.25">
      <c r="A6225" t="s">
        <v>59</v>
      </c>
      <c r="B6225" t="s">
        <v>60</v>
      </c>
      <c r="C6225" t="s">
        <v>32</v>
      </c>
      <c r="D6225" t="s">
        <v>771</v>
      </c>
      <c r="E6225" t="s">
        <v>845</v>
      </c>
      <c r="F6225" t="s">
        <v>35</v>
      </c>
      <c r="G6225" t="s">
        <v>35</v>
      </c>
      <c r="H6225" t="s">
        <v>35</v>
      </c>
      <c r="J6225" t="s">
        <v>6288</v>
      </c>
      <c r="K6225" t="s">
        <v>1092</v>
      </c>
      <c r="M6225">
        <v>6</v>
      </c>
      <c r="N6225">
        <v>77</v>
      </c>
      <c r="O6225" t="s">
        <v>61</v>
      </c>
      <c r="Q6225" t="s">
        <v>778</v>
      </c>
      <c r="R6225" t="s">
        <v>436</v>
      </c>
      <c r="S6225" t="s">
        <v>437</v>
      </c>
      <c r="T6225" t="s">
        <v>438</v>
      </c>
    </row>
    <row r="6226" spans="1:20" x14ac:dyDescent="0.25">
      <c r="A6226" t="s">
        <v>30</v>
      </c>
      <c r="B6226" t="s">
        <v>31</v>
      </c>
      <c r="C6226" t="s">
        <v>32</v>
      </c>
      <c r="D6226" t="s">
        <v>771</v>
      </c>
      <c r="F6226" t="s">
        <v>35</v>
      </c>
      <c r="G6226" t="s">
        <v>35</v>
      </c>
      <c r="H6226" t="s">
        <v>35</v>
      </c>
      <c r="J6226" t="s">
        <v>6668</v>
      </c>
      <c r="K6226" t="s">
        <v>1092</v>
      </c>
      <c r="M6226">
        <v>6.93</v>
      </c>
      <c r="N6226">
        <v>2001</v>
      </c>
      <c r="O6226" t="s">
        <v>575</v>
      </c>
      <c r="Q6226" t="s">
        <v>6669</v>
      </c>
      <c r="R6226" t="s">
        <v>436</v>
      </c>
      <c r="S6226" t="s">
        <v>437</v>
      </c>
      <c r="T6226" t="s">
        <v>438</v>
      </c>
    </row>
    <row r="6227" spans="1:20" x14ac:dyDescent="0.25">
      <c r="A6227" t="s">
        <v>30</v>
      </c>
      <c r="B6227" t="s">
        <v>31</v>
      </c>
      <c r="C6227" t="s">
        <v>32</v>
      </c>
      <c r="D6227" t="s">
        <v>771</v>
      </c>
      <c r="E6227" t="s">
        <v>783</v>
      </c>
      <c r="F6227" t="s">
        <v>35</v>
      </c>
      <c r="G6227" t="s">
        <v>35</v>
      </c>
      <c r="H6227" t="s">
        <v>35</v>
      </c>
      <c r="J6227" t="s">
        <v>833</v>
      </c>
      <c r="K6227" t="s">
        <v>37</v>
      </c>
      <c r="M6227">
        <v>2.52</v>
      </c>
      <c r="N6227">
        <v>40</v>
      </c>
      <c r="O6227" t="s">
        <v>52</v>
      </c>
      <c r="P6227" t="s">
        <v>835</v>
      </c>
      <c r="Q6227" t="s">
        <v>132</v>
      </c>
      <c r="R6227" t="s">
        <v>436</v>
      </c>
      <c r="S6227" t="s">
        <v>437</v>
      </c>
      <c r="T6227" t="s">
        <v>438</v>
      </c>
    </row>
    <row r="6228" spans="1:20" x14ac:dyDescent="0.25">
      <c r="A6228" t="s">
        <v>30</v>
      </c>
      <c r="B6228" t="s">
        <v>31</v>
      </c>
      <c r="C6228" t="s">
        <v>32</v>
      </c>
      <c r="D6228" t="s">
        <v>771</v>
      </c>
      <c r="E6228" t="s">
        <v>6621</v>
      </c>
      <c r="F6228" t="s">
        <v>35</v>
      </c>
      <c r="G6228" t="s">
        <v>35</v>
      </c>
      <c r="H6228" t="s">
        <v>35</v>
      </c>
      <c r="J6228" t="s">
        <v>1420</v>
      </c>
      <c r="K6228" t="s">
        <v>1092</v>
      </c>
      <c r="M6228">
        <v>18</v>
      </c>
      <c r="N6228">
        <v>34</v>
      </c>
      <c r="O6228" t="s">
        <v>52</v>
      </c>
      <c r="Q6228" t="s">
        <v>249</v>
      </c>
      <c r="R6228" t="s">
        <v>436</v>
      </c>
      <c r="S6228" t="s">
        <v>437</v>
      </c>
      <c r="T6228" t="s">
        <v>438</v>
      </c>
    </row>
    <row r="6229" spans="1:20" x14ac:dyDescent="0.25">
      <c r="A6229" t="s">
        <v>30</v>
      </c>
      <c r="B6229" t="s">
        <v>31</v>
      </c>
      <c r="C6229" t="s">
        <v>32</v>
      </c>
      <c r="D6229" t="s">
        <v>771</v>
      </c>
      <c r="E6229" t="s">
        <v>779</v>
      </c>
      <c r="F6229" t="s">
        <v>35</v>
      </c>
      <c r="G6229" t="s">
        <v>35</v>
      </c>
      <c r="H6229" t="s">
        <v>35</v>
      </c>
      <c r="J6229" t="s">
        <v>780</v>
      </c>
      <c r="K6229" t="s">
        <v>37</v>
      </c>
      <c r="M6229">
        <v>4.5</v>
      </c>
      <c r="N6229">
        <v>40</v>
      </c>
      <c r="O6229" t="s">
        <v>52</v>
      </c>
      <c r="P6229" t="s">
        <v>782</v>
      </c>
      <c r="Q6229" t="s">
        <v>132</v>
      </c>
      <c r="R6229" t="s">
        <v>436</v>
      </c>
      <c r="S6229" t="s">
        <v>437</v>
      </c>
      <c r="T6229" t="s">
        <v>438</v>
      </c>
    </row>
    <row r="6230" spans="1:20" x14ac:dyDescent="0.25">
      <c r="A6230" t="s">
        <v>59</v>
      </c>
      <c r="B6230" t="s">
        <v>31</v>
      </c>
      <c r="C6230" t="s">
        <v>32</v>
      </c>
      <c r="D6230" t="s">
        <v>771</v>
      </c>
      <c r="E6230" t="s">
        <v>888</v>
      </c>
      <c r="F6230" t="s">
        <v>35</v>
      </c>
      <c r="G6230" t="s">
        <v>35</v>
      </c>
      <c r="H6230" t="s">
        <v>35</v>
      </c>
      <c r="J6230" t="s">
        <v>6486</v>
      </c>
      <c r="K6230" t="s">
        <v>1092</v>
      </c>
      <c r="M6230">
        <v>6.39</v>
      </c>
      <c r="N6230">
        <v>77</v>
      </c>
      <c r="O6230" t="s">
        <v>61</v>
      </c>
      <c r="Q6230" t="s">
        <v>778</v>
      </c>
      <c r="R6230" t="s">
        <v>436</v>
      </c>
      <c r="S6230" t="s">
        <v>437</v>
      </c>
      <c r="T6230" t="s">
        <v>438</v>
      </c>
    </row>
    <row r="6231" spans="1:20" x14ac:dyDescent="0.25">
      <c r="A6231" t="s">
        <v>30</v>
      </c>
      <c r="B6231" t="s">
        <v>31</v>
      </c>
      <c r="C6231" t="s">
        <v>32</v>
      </c>
      <c r="D6231" t="s">
        <v>771</v>
      </c>
      <c r="E6231" t="s">
        <v>888</v>
      </c>
      <c r="F6231" t="s">
        <v>35</v>
      </c>
      <c r="G6231" t="s">
        <v>35</v>
      </c>
      <c r="H6231" t="s">
        <v>35</v>
      </c>
      <c r="J6231" t="s">
        <v>6486</v>
      </c>
      <c r="K6231" t="s">
        <v>1092</v>
      </c>
      <c r="M6231">
        <v>9.99</v>
      </c>
      <c r="N6231">
        <v>109</v>
      </c>
      <c r="O6231" t="s">
        <v>106</v>
      </c>
      <c r="Q6231" t="s">
        <v>1256</v>
      </c>
      <c r="R6231" t="s">
        <v>436</v>
      </c>
      <c r="S6231" t="s">
        <v>437</v>
      </c>
      <c r="T6231" t="s">
        <v>438</v>
      </c>
    </row>
    <row r="6232" spans="1:20" x14ac:dyDescent="0.25">
      <c r="A6232" t="s">
        <v>30</v>
      </c>
      <c r="B6232" t="s">
        <v>31</v>
      </c>
      <c r="C6232" t="s">
        <v>32</v>
      </c>
      <c r="D6232" t="s">
        <v>771</v>
      </c>
      <c r="E6232" t="s">
        <v>6093</v>
      </c>
      <c r="F6232" t="s">
        <v>35</v>
      </c>
      <c r="G6232" t="s">
        <v>35</v>
      </c>
      <c r="H6232" t="s">
        <v>35</v>
      </c>
      <c r="J6232" t="s">
        <v>6128</v>
      </c>
      <c r="K6232" t="s">
        <v>1092</v>
      </c>
      <c r="M6232">
        <v>2.52</v>
      </c>
      <c r="N6232">
        <v>40</v>
      </c>
      <c r="O6232" t="s">
        <v>52</v>
      </c>
      <c r="Q6232" t="s">
        <v>132</v>
      </c>
      <c r="R6232" t="s">
        <v>436</v>
      </c>
      <c r="S6232" t="s">
        <v>437</v>
      </c>
      <c r="T6232" t="s">
        <v>438</v>
      </c>
    </row>
    <row r="6233" spans="1:20" x14ac:dyDescent="0.25">
      <c r="A6233" t="s">
        <v>30</v>
      </c>
      <c r="B6233" t="s">
        <v>31</v>
      </c>
      <c r="C6233" t="s">
        <v>32</v>
      </c>
      <c r="D6233" t="s">
        <v>771</v>
      </c>
      <c r="F6233" t="s">
        <v>35</v>
      </c>
      <c r="G6233" t="s">
        <v>35</v>
      </c>
      <c r="H6233" t="s">
        <v>35</v>
      </c>
      <c r="J6233" t="s">
        <v>951</v>
      </c>
      <c r="K6233" t="s">
        <v>37</v>
      </c>
      <c r="M6233">
        <v>14.04</v>
      </c>
      <c r="N6233">
        <v>40</v>
      </c>
      <c r="O6233" t="s">
        <v>52</v>
      </c>
      <c r="P6233" t="s">
        <v>952</v>
      </c>
      <c r="Q6233" t="s">
        <v>132</v>
      </c>
      <c r="R6233" t="s">
        <v>436</v>
      </c>
      <c r="S6233" t="s">
        <v>437</v>
      </c>
      <c r="T6233" t="s">
        <v>438</v>
      </c>
    </row>
    <row r="6234" spans="1:20" x14ac:dyDescent="0.25">
      <c r="A6234" t="s">
        <v>30</v>
      </c>
      <c r="B6234" t="s">
        <v>31</v>
      </c>
      <c r="C6234" t="s">
        <v>32</v>
      </c>
      <c r="D6234" t="s">
        <v>771</v>
      </c>
      <c r="E6234" t="s">
        <v>6093</v>
      </c>
      <c r="F6234" t="s">
        <v>35</v>
      </c>
      <c r="G6234" t="s">
        <v>35</v>
      </c>
      <c r="H6234" t="s">
        <v>35</v>
      </c>
      <c r="J6234" t="s">
        <v>6132</v>
      </c>
      <c r="K6234" t="s">
        <v>1092</v>
      </c>
      <c r="M6234">
        <v>2.52</v>
      </c>
      <c r="N6234">
        <v>40</v>
      </c>
      <c r="O6234" t="s">
        <v>52</v>
      </c>
      <c r="Q6234" t="s">
        <v>132</v>
      </c>
      <c r="R6234" t="s">
        <v>436</v>
      </c>
      <c r="S6234" t="s">
        <v>437</v>
      </c>
      <c r="T6234" t="s">
        <v>438</v>
      </c>
    </row>
    <row r="6235" spans="1:20" x14ac:dyDescent="0.25">
      <c r="A6235" t="s">
        <v>30</v>
      </c>
      <c r="B6235" t="s">
        <v>31</v>
      </c>
      <c r="C6235" t="s">
        <v>32</v>
      </c>
      <c r="D6235" t="s">
        <v>771</v>
      </c>
      <c r="E6235" t="s">
        <v>865</v>
      </c>
      <c r="F6235" t="s">
        <v>35</v>
      </c>
      <c r="G6235" t="s">
        <v>35</v>
      </c>
      <c r="H6235" t="s">
        <v>35</v>
      </c>
      <c r="J6235" t="s">
        <v>866</v>
      </c>
      <c r="K6235" t="s">
        <v>37</v>
      </c>
      <c r="M6235">
        <v>7.02</v>
      </c>
      <c r="N6235">
        <v>40</v>
      </c>
      <c r="O6235" t="s">
        <v>52</v>
      </c>
      <c r="P6235" t="s">
        <v>868</v>
      </c>
      <c r="Q6235" t="s">
        <v>132</v>
      </c>
      <c r="R6235" t="s">
        <v>436</v>
      </c>
      <c r="S6235" t="s">
        <v>437</v>
      </c>
      <c r="T6235" t="s">
        <v>438</v>
      </c>
    </row>
    <row r="6236" spans="1:20" x14ac:dyDescent="0.25">
      <c r="A6236" t="s">
        <v>59</v>
      </c>
      <c r="B6236" t="s">
        <v>31</v>
      </c>
      <c r="C6236" t="s">
        <v>32</v>
      </c>
      <c r="D6236" t="s">
        <v>771</v>
      </c>
      <c r="E6236" t="s">
        <v>865</v>
      </c>
      <c r="F6236" t="s">
        <v>35</v>
      </c>
      <c r="G6236" t="s">
        <v>35</v>
      </c>
      <c r="H6236" t="s">
        <v>35</v>
      </c>
      <c r="J6236" t="s">
        <v>866</v>
      </c>
      <c r="K6236" t="s">
        <v>37</v>
      </c>
      <c r="M6236">
        <v>14.04</v>
      </c>
      <c r="N6236">
        <v>77</v>
      </c>
      <c r="O6236" t="s">
        <v>61</v>
      </c>
      <c r="P6236" t="s">
        <v>869</v>
      </c>
      <c r="Q6236" t="s">
        <v>778</v>
      </c>
      <c r="R6236" t="s">
        <v>436</v>
      </c>
      <c r="S6236" t="s">
        <v>437</v>
      </c>
      <c r="T6236" t="s">
        <v>438</v>
      </c>
    </row>
    <row r="6237" spans="1:20" x14ac:dyDescent="0.25">
      <c r="A6237" t="s">
        <v>30</v>
      </c>
      <c r="B6237" t="s">
        <v>31</v>
      </c>
      <c r="C6237" t="s">
        <v>32</v>
      </c>
      <c r="D6237" t="s">
        <v>771</v>
      </c>
      <c r="E6237" t="s">
        <v>865</v>
      </c>
      <c r="F6237" t="s">
        <v>35</v>
      </c>
      <c r="G6237" t="s">
        <v>35</v>
      </c>
      <c r="H6237" t="s">
        <v>35</v>
      </c>
      <c r="J6237" t="s">
        <v>866</v>
      </c>
      <c r="K6237" t="s">
        <v>37</v>
      </c>
      <c r="M6237">
        <v>9.99</v>
      </c>
      <c r="N6237">
        <v>40</v>
      </c>
      <c r="O6237" t="s">
        <v>52</v>
      </c>
      <c r="P6237" t="s">
        <v>870</v>
      </c>
      <c r="Q6237" t="s">
        <v>132</v>
      </c>
      <c r="R6237" t="s">
        <v>436</v>
      </c>
      <c r="S6237" t="s">
        <v>437</v>
      </c>
      <c r="T6237" t="s">
        <v>438</v>
      </c>
    </row>
    <row r="6238" spans="1:20" x14ac:dyDescent="0.25">
      <c r="A6238" t="s">
        <v>30</v>
      </c>
      <c r="B6238" t="s">
        <v>31</v>
      </c>
      <c r="C6238" t="s">
        <v>32</v>
      </c>
      <c r="D6238" t="s">
        <v>771</v>
      </c>
      <c r="E6238" t="s">
        <v>865</v>
      </c>
      <c r="F6238" t="s">
        <v>35</v>
      </c>
      <c r="G6238" t="s">
        <v>35</v>
      </c>
      <c r="H6238" t="s">
        <v>35</v>
      </c>
      <c r="J6238" t="s">
        <v>866</v>
      </c>
      <c r="K6238" t="s">
        <v>1092</v>
      </c>
      <c r="M6238">
        <v>6.6150000000000002</v>
      </c>
      <c r="N6238">
        <v>109</v>
      </c>
      <c r="O6238" t="s">
        <v>106</v>
      </c>
      <c r="Q6238" t="s">
        <v>1256</v>
      </c>
      <c r="R6238" t="s">
        <v>436</v>
      </c>
      <c r="S6238" t="s">
        <v>437</v>
      </c>
      <c r="T6238" t="s">
        <v>438</v>
      </c>
    </row>
    <row r="6239" spans="1:20" x14ac:dyDescent="0.25">
      <c r="A6239" t="s">
        <v>30</v>
      </c>
      <c r="B6239" t="s">
        <v>31</v>
      </c>
      <c r="C6239" t="s">
        <v>32</v>
      </c>
      <c r="D6239" t="s">
        <v>771</v>
      </c>
      <c r="E6239" t="s">
        <v>772</v>
      </c>
      <c r="F6239" t="s">
        <v>35</v>
      </c>
      <c r="G6239" t="s">
        <v>35</v>
      </c>
      <c r="H6239" t="s">
        <v>35</v>
      </c>
      <c r="J6239" t="s">
        <v>773</v>
      </c>
      <c r="K6239" t="s">
        <v>37</v>
      </c>
      <c r="M6239">
        <v>14.04</v>
      </c>
      <c r="N6239">
        <v>40</v>
      </c>
      <c r="O6239" t="s">
        <v>52</v>
      </c>
      <c r="P6239" t="s">
        <v>775</v>
      </c>
      <c r="Q6239" t="s">
        <v>132</v>
      </c>
      <c r="R6239" t="s">
        <v>436</v>
      </c>
      <c r="S6239" t="s">
        <v>437</v>
      </c>
      <c r="T6239" t="s">
        <v>438</v>
      </c>
    </row>
    <row r="6240" spans="1:20" x14ac:dyDescent="0.25">
      <c r="A6240" t="s">
        <v>30</v>
      </c>
      <c r="B6240" t="s">
        <v>31</v>
      </c>
      <c r="C6240" t="s">
        <v>32</v>
      </c>
      <c r="D6240" t="s">
        <v>771</v>
      </c>
      <c r="E6240" t="s">
        <v>783</v>
      </c>
      <c r="F6240" t="s">
        <v>35</v>
      </c>
      <c r="G6240" t="s">
        <v>35</v>
      </c>
      <c r="H6240" t="s">
        <v>35</v>
      </c>
      <c r="J6240" t="s">
        <v>800</v>
      </c>
      <c r="K6240" t="s">
        <v>37</v>
      </c>
      <c r="M6240">
        <v>1.89</v>
      </c>
      <c r="N6240">
        <v>40</v>
      </c>
      <c r="O6240" t="s">
        <v>52</v>
      </c>
      <c r="P6240" t="s">
        <v>802</v>
      </c>
      <c r="Q6240" t="s">
        <v>132</v>
      </c>
      <c r="R6240" t="s">
        <v>436</v>
      </c>
      <c r="S6240" t="s">
        <v>437</v>
      </c>
      <c r="T6240" t="s">
        <v>438</v>
      </c>
    </row>
    <row r="6241" spans="1:20" x14ac:dyDescent="0.25">
      <c r="A6241" t="s">
        <v>59</v>
      </c>
      <c r="B6241" t="s">
        <v>31</v>
      </c>
      <c r="C6241" t="s">
        <v>32</v>
      </c>
      <c r="D6241" t="s">
        <v>771</v>
      </c>
      <c r="E6241" t="s">
        <v>783</v>
      </c>
      <c r="F6241" t="s">
        <v>35</v>
      </c>
      <c r="G6241" t="s">
        <v>35</v>
      </c>
      <c r="H6241" t="s">
        <v>35</v>
      </c>
      <c r="J6241" t="s">
        <v>800</v>
      </c>
      <c r="K6241" t="s">
        <v>37</v>
      </c>
      <c r="M6241">
        <v>5.94</v>
      </c>
      <c r="N6241">
        <v>37</v>
      </c>
      <c r="O6241" t="s">
        <v>52</v>
      </c>
      <c r="P6241" t="s">
        <v>803</v>
      </c>
      <c r="Q6241" t="s">
        <v>192</v>
      </c>
      <c r="R6241" t="s">
        <v>436</v>
      </c>
      <c r="S6241" t="s">
        <v>437</v>
      </c>
      <c r="T6241" t="s">
        <v>438</v>
      </c>
    </row>
    <row r="6242" spans="1:20" x14ac:dyDescent="0.25">
      <c r="A6242" t="s">
        <v>44</v>
      </c>
      <c r="B6242" t="s">
        <v>51</v>
      </c>
      <c r="C6242" t="s">
        <v>32</v>
      </c>
      <c r="D6242" t="s">
        <v>771</v>
      </c>
      <c r="E6242" t="s">
        <v>783</v>
      </c>
      <c r="F6242" t="s">
        <v>35</v>
      </c>
      <c r="G6242" t="s">
        <v>35</v>
      </c>
      <c r="H6242" t="s">
        <v>35</v>
      </c>
      <c r="J6242" t="s">
        <v>800</v>
      </c>
      <c r="K6242" t="s">
        <v>37</v>
      </c>
      <c r="M6242">
        <v>1.75</v>
      </c>
      <c r="N6242">
        <v>68</v>
      </c>
      <c r="O6242" t="s">
        <v>61</v>
      </c>
      <c r="P6242" t="s">
        <v>804</v>
      </c>
      <c r="Q6242" t="s">
        <v>805</v>
      </c>
      <c r="R6242" t="s">
        <v>436</v>
      </c>
      <c r="S6242" t="s">
        <v>437</v>
      </c>
      <c r="T6242" t="s">
        <v>438</v>
      </c>
    </row>
    <row r="6243" spans="1:20" x14ac:dyDescent="0.25">
      <c r="A6243" t="s">
        <v>30</v>
      </c>
      <c r="B6243" t="s">
        <v>31</v>
      </c>
      <c r="C6243" t="s">
        <v>32</v>
      </c>
      <c r="D6243" t="s">
        <v>771</v>
      </c>
      <c r="E6243" t="s">
        <v>783</v>
      </c>
      <c r="F6243" t="s">
        <v>35</v>
      </c>
      <c r="G6243" t="s">
        <v>35</v>
      </c>
      <c r="H6243" t="s">
        <v>35</v>
      </c>
      <c r="J6243" t="s">
        <v>6061</v>
      </c>
      <c r="K6243" t="s">
        <v>1092</v>
      </c>
      <c r="M6243">
        <v>16.829999999999998</v>
      </c>
      <c r="N6243">
        <v>64</v>
      </c>
      <c r="O6243" t="s">
        <v>61</v>
      </c>
      <c r="Q6243" t="s">
        <v>102</v>
      </c>
      <c r="R6243" t="s">
        <v>436</v>
      </c>
      <c r="S6243" t="s">
        <v>437</v>
      </c>
      <c r="T6243" t="s">
        <v>438</v>
      </c>
    </row>
    <row r="6244" spans="1:20" x14ac:dyDescent="0.25">
      <c r="A6244" t="s">
        <v>30</v>
      </c>
      <c r="B6244" t="s">
        <v>31</v>
      </c>
      <c r="C6244" t="s">
        <v>32</v>
      </c>
      <c r="D6244" t="s">
        <v>771</v>
      </c>
      <c r="E6244" t="s">
        <v>772</v>
      </c>
      <c r="F6244" t="s">
        <v>35</v>
      </c>
      <c r="G6244" t="s">
        <v>35</v>
      </c>
      <c r="H6244" t="s">
        <v>35</v>
      </c>
      <c r="J6244" t="s">
        <v>6005</v>
      </c>
      <c r="K6244" t="s">
        <v>1092</v>
      </c>
      <c r="M6244">
        <v>9.99</v>
      </c>
      <c r="N6244">
        <v>109</v>
      </c>
      <c r="O6244" t="s">
        <v>106</v>
      </c>
      <c r="Q6244" t="s">
        <v>1256</v>
      </c>
      <c r="R6244" t="s">
        <v>436</v>
      </c>
      <c r="S6244" t="s">
        <v>437</v>
      </c>
      <c r="T6244" t="s">
        <v>438</v>
      </c>
    </row>
    <row r="6245" spans="1:20" x14ac:dyDescent="0.25">
      <c r="A6245" t="s">
        <v>30</v>
      </c>
      <c r="B6245" t="s">
        <v>31</v>
      </c>
      <c r="C6245" t="s">
        <v>32</v>
      </c>
      <c r="D6245" t="s">
        <v>771</v>
      </c>
      <c r="E6245" t="s">
        <v>861</v>
      </c>
      <c r="F6245" t="s">
        <v>35</v>
      </c>
      <c r="G6245" t="s">
        <v>35</v>
      </c>
      <c r="H6245" t="s">
        <v>35</v>
      </c>
      <c r="J6245" t="s">
        <v>6291</v>
      </c>
      <c r="K6245" t="s">
        <v>1092</v>
      </c>
      <c r="M6245">
        <v>1.125</v>
      </c>
      <c r="N6245">
        <v>109</v>
      </c>
      <c r="O6245" t="s">
        <v>106</v>
      </c>
      <c r="Q6245" t="s">
        <v>1256</v>
      </c>
      <c r="R6245" t="s">
        <v>436</v>
      </c>
      <c r="S6245" t="s">
        <v>437</v>
      </c>
      <c r="T6245" t="s">
        <v>438</v>
      </c>
    </row>
    <row r="6246" spans="1:20" x14ac:dyDescent="0.25">
      <c r="A6246" t="s">
        <v>59</v>
      </c>
      <c r="B6246" t="s">
        <v>60</v>
      </c>
      <c r="C6246" t="s">
        <v>32</v>
      </c>
      <c r="D6246" t="s">
        <v>771</v>
      </c>
      <c r="E6246" t="s">
        <v>783</v>
      </c>
      <c r="F6246" t="s">
        <v>35</v>
      </c>
      <c r="G6246" t="s">
        <v>35</v>
      </c>
      <c r="H6246" t="s">
        <v>35</v>
      </c>
      <c r="J6246" t="s">
        <v>820</v>
      </c>
      <c r="K6246" t="s">
        <v>37</v>
      </c>
      <c r="M6246">
        <v>10.5</v>
      </c>
      <c r="N6246">
        <v>37</v>
      </c>
      <c r="O6246" t="s">
        <v>52</v>
      </c>
      <c r="P6246" t="s">
        <v>822</v>
      </c>
      <c r="Q6246" t="s">
        <v>192</v>
      </c>
      <c r="R6246" t="s">
        <v>436</v>
      </c>
      <c r="S6246" t="s">
        <v>437</v>
      </c>
      <c r="T6246" t="s">
        <v>438</v>
      </c>
    </row>
    <row r="6247" spans="1:20" x14ac:dyDescent="0.25">
      <c r="A6247" t="s">
        <v>59</v>
      </c>
      <c r="B6247" t="s">
        <v>60</v>
      </c>
      <c r="C6247" t="s">
        <v>32</v>
      </c>
      <c r="D6247" t="s">
        <v>771</v>
      </c>
      <c r="E6247" t="s">
        <v>836</v>
      </c>
      <c r="F6247" t="s">
        <v>35</v>
      </c>
      <c r="G6247" t="s">
        <v>35</v>
      </c>
      <c r="H6247" t="s">
        <v>35</v>
      </c>
      <c r="J6247" t="s">
        <v>837</v>
      </c>
      <c r="K6247" t="s">
        <v>37</v>
      </c>
      <c r="M6247">
        <v>10</v>
      </c>
      <c r="N6247">
        <v>37</v>
      </c>
      <c r="O6247" t="s">
        <v>52</v>
      </c>
      <c r="P6247" t="s">
        <v>839</v>
      </c>
      <c r="Q6247" t="s">
        <v>192</v>
      </c>
      <c r="R6247" t="s">
        <v>436</v>
      </c>
      <c r="S6247" t="s">
        <v>437</v>
      </c>
      <c r="T6247" t="s">
        <v>438</v>
      </c>
    </row>
    <row r="6248" spans="1:20" x14ac:dyDescent="0.25">
      <c r="A6248" t="s">
        <v>59</v>
      </c>
      <c r="B6248" t="s">
        <v>60</v>
      </c>
      <c r="C6248" t="s">
        <v>32</v>
      </c>
      <c r="D6248" t="s">
        <v>771</v>
      </c>
      <c r="E6248" t="s">
        <v>772</v>
      </c>
      <c r="F6248" t="s">
        <v>35</v>
      </c>
      <c r="G6248" t="s">
        <v>35</v>
      </c>
      <c r="H6248" t="s">
        <v>35</v>
      </c>
      <c r="J6248" t="s">
        <v>5991</v>
      </c>
      <c r="K6248" t="s">
        <v>1092</v>
      </c>
      <c r="M6248">
        <v>10</v>
      </c>
      <c r="N6248">
        <v>65</v>
      </c>
      <c r="O6248" t="s">
        <v>61</v>
      </c>
      <c r="Q6248" t="s">
        <v>63</v>
      </c>
      <c r="R6248" t="s">
        <v>436</v>
      </c>
      <c r="S6248" t="s">
        <v>437</v>
      </c>
      <c r="T6248" t="s">
        <v>438</v>
      </c>
    </row>
    <row r="6249" spans="1:20" x14ac:dyDescent="0.25">
      <c r="A6249" t="s">
        <v>59</v>
      </c>
      <c r="B6249" t="s">
        <v>31</v>
      </c>
      <c r="C6249" t="s">
        <v>32</v>
      </c>
      <c r="D6249" t="s">
        <v>771</v>
      </c>
      <c r="E6249" t="s">
        <v>910</v>
      </c>
      <c r="F6249" t="s">
        <v>35</v>
      </c>
      <c r="G6249" t="s">
        <v>35</v>
      </c>
      <c r="H6249" t="s">
        <v>35</v>
      </c>
      <c r="J6249" t="s">
        <v>911</v>
      </c>
      <c r="K6249" t="s">
        <v>37</v>
      </c>
      <c r="M6249">
        <v>12.33</v>
      </c>
      <c r="N6249">
        <v>37</v>
      </c>
      <c r="O6249" t="s">
        <v>52</v>
      </c>
      <c r="P6249" t="s">
        <v>913</v>
      </c>
      <c r="Q6249" t="s">
        <v>192</v>
      </c>
      <c r="R6249" t="s">
        <v>436</v>
      </c>
      <c r="S6249" t="s">
        <v>437</v>
      </c>
      <c r="T6249" t="s">
        <v>438</v>
      </c>
    </row>
    <row r="6250" spans="1:20" x14ac:dyDescent="0.25">
      <c r="A6250" t="s">
        <v>59</v>
      </c>
      <c r="B6250" t="s">
        <v>31</v>
      </c>
      <c r="C6250" t="s">
        <v>32</v>
      </c>
      <c r="D6250" t="s">
        <v>771</v>
      </c>
      <c r="E6250" t="s">
        <v>910</v>
      </c>
      <c r="F6250" t="s">
        <v>35</v>
      </c>
      <c r="G6250" t="s">
        <v>35</v>
      </c>
      <c r="H6250" t="s">
        <v>35</v>
      </c>
      <c r="J6250" t="s">
        <v>911</v>
      </c>
      <c r="K6250" t="s">
        <v>37</v>
      </c>
      <c r="M6250">
        <v>7.56</v>
      </c>
      <c r="N6250">
        <v>37</v>
      </c>
      <c r="O6250" t="s">
        <v>52</v>
      </c>
      <c r="P6250" t="s">
        <v>914</v>
      </c>
      <c r="Q6250" t="s">
        <v>192</v>
      </c>
      <c r="R6250" t="s">
        <v>436</v>
      </c>
      <c r="S6250" t="s">
        <v>437</v>
      </c>
      <c r="T6250" t="s">
        <v>438</v>
      </c>
    </row>
    <row r="6251" spans="1:20" x14ac:dyDescent="0.25">
      <c r="A6251" t="s">
        <v>59</v>
      </c>
      <c r="B6251" t="s">
        <v>31</v>
      </c>
      <c r="C6251" t="s">
        <v>32</v>
      </c>
      <c r="D6251" t="s">
        <v>771</v>
      </c>
      <c r="E6251" t="s">
        <v>910</v>
      </c>
      <c r="F6251" t="s">
        <v>35</v>
      </c>
      <c r="G6251" t="s">
        <v>35</v>
      </c>
      <c r="H6251" t="s">
        <v>35</v>
      </c>
      <c r="J6251" t="s">
        <v>911</v>
      </c>
      <c r="K6251" t="s">
        <v>37</v>
      </c>
      <c r="M6251">
        <v>12.33</v>
      </c>
      <c r="N6251">
        <v>37</v>
      </c>
      <c r="O6251" t="s">
        <v>52</v>
      </c>
      <c r="P6251" t="s">
        <v>920</v>
      </c>
      <c r="Q6251" t="s">
        <v>192</v>
      </c>
      <c r="R6251" t="s">
        <v>436</v>
      </c>
      <c r="S6251" t="s">
        <v>437</v>
      </c>
      <c r="T6251" t="s">
        <v>438</v>
      </c>
    </row>
    <row r="6252" spans="1:20" x14ac:dyDescent="0.25">
      <c r="A6252" t="s">
        <v>44</v>
      </c>
      <c r="B6252" t="s">
        <v>51</v>
      </c>
      <c r="C6252" t="s">
        <v>32</v>
      </c>
      <c r="D6252" t="s">
        <v>771</v>
      </c>
      <c r="E6252" t="s">
        <v>875</v>
      </c>
      <c r="F6252" t="s">
        <v>35</v>
      </c>
      <c r="G6252" t="s">
        <v>35</v>
      </c>
      <c r="H6252" t="s">
        <v>35</v>
      </c>
      <c r="J6252" t="s">
        <v>6451</v>
      </c>
      <c r="K6252" t="s">
        <v>1092</v>
      </c>
      <c r="M6252">
        <v>1.45</v>
      </c>
      <c r="N6252">
        <v>276</v>
      </c>
      <c r="O6252" t="s">
        <v>5</v>
      </c>
      <c r="Q6252" t="s">
        <v>1771</v>
      </c>
      <c r="R6252" t="s">
        <v>436</v>
      </c>
      <c r="S6252" t="s">
        <v>437</v>
      </c>
      <c r="T6252" t="s">
        <v>438</v>
      </c>
    </row>
    <row r="6253" spans="1:20" x14ac:dyDescent="0.25">
      <c r="A6253" t="s">
        <v>44</v>
      </c>
      <c r="B6253" t="s">
        <v>51</v>
      </c>
      <c r="C6253" t="s">
        <v>32</v>
      </c>
      <c r="D6253" t="s">
        <v>771</v>
      </c>
      <c r="E6253" t="s">
        <v>875</v>
      </c>
      <c r="F6253" t="s">
        <v>35</v>
      </c>
      <c r="G6253" t="s">
        <v>35</v>
      </c>
      <c r="H6253" t="s">
        <v>35</v>
      </c>
      <c r="J6253" t="s">
        <v>6451</v>
      </c>
      <c r="K6253" t="s">
        <v>1092</v>
      </c>
      <c r="M6253">
        <v>3.5</v>
      </c>
      <c r="N6253">
        <v>266</v>
      </c>
      <c r="O6253" t="s">
        <v>5</v>
      </c>
      <c r="Q6253" t="s">
        <v>1989</v>
      </c>
      <c r="R6253" t="s">
        <v>436</v>
      </c>
      <c r="S6253" t="s">
        <v>437</v>
      </c>
      <c r="T6253" t="s">
        <v>438</v>
      </c>
    </row>
    <row r="6254" spans="1:20" x14ac:dyDescent="0.25">
      <c r="A6254" t="s">
        <v>30</v>
      </c>
      <c r="B6254" t="s">
        <v>31</v>
      </c>
      <c r="C6254" t="s">
        <v>32</v>
      </c>
      <c r="D6254" t="s">
        <v>771</v>
      </c>
      <c r="E6254" t="s">
        <v>910</v>
      </c>
      <c r="F6254" t="s">
        <v>35</v>
      </c>
      <c r="G6254" t="s">
        <v>35</v>
      </c>
      <c r="H6254" t="s">
        <v>35</v>
      </c>
      <c r="J6254" t="s">
        <v>6617</v>
      </c>
      <c r="K6254" t="s">
        <v>1092</v>
      </c>
      <c r="M6254">
        <v>4.4999999999999998E-2</v>
      </c>
      <c r="N6254">
        <v>87</v>
      </c>
      <c r="O6254" t="s">
        <v>61</v>
      </c>
      <c r="Q6254" t="s">
        <v>394</v>
      </c>
      <c r="R6254" t="s">
        <v>436</v>
      </c>
      <c r="S6254" t="s">
        <v>437</v>
      </c>
      <c r="T6254" t="s">
        <v>438</v>
      </c>
    </row>
    <row r="6255" spans="1:20" x14ac:dyDescent="0.25">
      <c r="A6255" t="s">
        <v>30</v>
      </c>
      <c r="B6255" t="s">
        <v>31</v>
      </c>
      <c r="C6255" t="s">
        <v>32</v>
      </c>
      <c r="D6255" t="s">
        <v>771</v>
      </c>
      <c r="E6255" t="s">
        <v>6093</v>
      </c>
      <c r="F6255" t="s">
        <v>35</v>
      </c>
      <c r="G6255" t="s">
        <v>35</v>
      </c>
      <c r="H6255" t="s">
        <v>35</v>
      </c>
      <c r="J6255" t="s">
        <v>6104</v>
      </c>
      <c r="K6255" t="s">
        <v>1092</v>
      </c>
      <c r="M6255">
        <v>1.665</v>
      </c>
      <c r="N6255">
        <v>101</v>
      </c>
      <c r="O6255" t="s">
        <v>106</v>
      </c>
      <c r="Q6255" t="s">
        <v>1450</v>
      </c>
      <c r="R6255" t="s">
        <v>436</v>
      </c>
      <c r="S6255" t="s">
        <v>437</v>
      </c>
      <c r="T6255" t="s">
        <v>438</v>
      </c>
    </row>
    <row r="6256" spans="1:20" x14ac:dyDescent="0.25">
      <c r="A6256" t="s">
        <v>30</v>
      </c>
      <c r="B6256" t="s">
        <v>31</v>
      </c>
      <c r="C6256" t="s">
        <v>32</v>
      </c>
      <c r="D6256" t="s">
        <v>771</v>
      </c>
      <c r="E6256" t="s">
        <v>6093</v>
      </c>
      <c r="F6256" t="s">
        <v>35</v>
      </c>
      <c r="G6256" t="s">
        <v>35</v>
      </c>
      <c r="H6256" t="s">
        <v>35</v>
      </c>
      <c r="J6256" t="s">
        <v>6104</v>
      </c>
      <c r="K6256" t="s">
        <v>1092</v>
      </c>
      <c r="M6256">
        <v>1.98</v>
      </c>
      <c r="N6256">
        <v>40</v>
      </c>
      <c r="O6256" t="s">
        <v>52</v>
      </c>
      <c r="Q6256" t="s">
        <v>132</v>
      </c>
      <c r="R6256" t="s">
        <v>436</v>
      </c>
      <c r="S6256" t="s">
        <v>437</v>
      </c>
      <c r="T6256" t="s">
        <v>438</v>
      </c>
    </row>
    <row r="6257" spans="1:20" x14ac:dyDescent="0.25">
      <c r="A6257" t="s">
        <v>30</v>
      </c>
      <c r="B6257" t="s">
        <v>31</v>
      </c>
      <c r="C6257" t="s">
        <v>32</v>
      </c>
      <c r="D6257" t="s">
        <v>771</v>
      </c>
      <c r="E6257" t="s">
        <v>875</v>
      </c>
      <c r="F6257" t="s">
        <v>35</v>
      </c>
      <c r="G6257" t="s">
        <v>35</v>
      </c>
      <c r="H6257" t="s">
        <v>35</v>
      </c>
      <c r="J6257" t="s">
        <v>884</v>
      </c>
      <c r="K6257" t="s">
        <v>37</v>
      </c>
      <c r="M6257">
        <v>15.21</v>
      </c>
      <c r="N6257">
        <v>40</v>
      </c>
      <c r="O6257" t="s">
        <v>52</v>
      </c>
      <c r="P6257" t="s">
        <v>887</v>
      </c>
      <c r="Q6257" t="s">
        <v>132</v>
      </c>
      <c r="R6257" t="s">
        <v>436</v>
      </c>
      <c r="S6257" t="s">
        <v>437</v>
      </c>
      <c r="T6257" t="s">
        <v>438</v>
      </c>
    </row>
    <row r="6258" spans="1:20" x14ac:dyDescent="0.25">
      <c r="A6258" t="s">
        <v>30</v>
      </c>
      <c r="B6258" t="s">
        <v>31</v>
      </c>
      <c r="C6258" t="s">
        <v>32</v>
      </c>
      <c r="D6258" t="s">
        <v>771</v>
      </c>
      <c r="F6258" t="s">
        <v>35</v>
      </c>
      <c r="G6258" t="s">
        <v>35</v>
      </c>
      <c r="H6258" t="s">
        <v>35</v>
      </c>
      <c r="J6258" t="s">
        <v>6683</v>
      </c>
      <c r="K6258" t="s">
        <v>1092</v>
      </c>
      <c r="M6258">
        <v>0.72</v>
      </c>
      <c r="N6258">
        <v>1944</v>
      </c>
      <c r="O6258" t="s">
        <v>575</v>
      </c>
      <c r="Q6258" t="s">
        <v>3016</v>
      </c>
      <c r="R6258" t="s">
        <v>436</v>
      </c>
      <c r="S6258" t="s">
        <v>437</v>
      </c>
      <c r="T6258" t="s">
        <v>438</v>
      </c>
    </row>
    <row r="6259" spans="1:20" x14ac:dyDescent="0.25">
      <c r="A6259" t="s">
        <v>30</v>
      </c>
      <c r="B6259" t="s">
        <v>31</v>
      </c>
      <c r="C6259" t="s">
        <v>32</v>
      </c>
      <c r="D6259" t="s">
        <v>771</v>
      </c>
      <c r="E6259" t="s">
        <v>772</v>
      </c>
      <c r="F6259" t="s">
        <v>35</v>
      </c>
      <c r="G6259" t="s">
        <v>35</v>
      </c>
      <c r="H6259" t="s">
        <v>35</v>
      </c>
      <c r="J6259" t="s">
        <v>5993</v>
      </c>
      <c r="K6259" t="s">
        <v>1092</v>
      </c>
      <c r="M6259">
        <v>0.54</v>
      </c>
      <c r="N6259">
        <v>448</v>
      </c>
      <c r="O6259" t="s">
        <v>294</v>
      </c>
      <c r="Q6259" t="s">
        <v>1760</v>
      </c>
      <c r="R6259" t="s">
        <v>436</v>
      </c>
      <c r="S6259" t="s">
        <v>437</v>
      </c>
      <c r="T6259" t="s">
        <v>438</v>
      </c>
    </row>
    <row r="6260" spans="1:20" x14ac:dyDescent="0.25">
      <c r="A6260" t="s">
        <v>30</v>
      </c>
      <c r="B6260" t="s">
        <v>31</v>
      </c>
      <c r="C6260" t="s">
        <v>32</v>
      </c>
      <c r="D6260" t="s">
        <v>771</v>
      </c>
      <c r="E6260" t="s">
        <v>910</v>
      </c>
      <c r="F6260" t="s">
        <v>35</v>
      </c>
      <c r="G6260" t="s">
        <v>35</v>
      </c>
      <c r="H6260" t="s">
        <v>35</v>
      </c>
      <c r="J6260" t="s">
        <v>6580</v>
      </c>
      <c r="K6260" t="s">
        <v>1092</v>
      </c>
      <c r="M6260">
        <v>14.04</v>
      </c>
      <c r="N6260">
        <v>40</v>
      </c>
      <c r="O6260" t="s">
        <v>52</v>
      </c>
      <c r="Q6260" t="s">
        <v>132</v>
      </c>
      <c r="R6260" t="s">
        <v>436</v>
      </c>
      <c r="S6260" t="s">
        <v>437</v>
      </c>
      <c r="T6260" t="s">
        <v>438</v>
      </c>
    </row>
    <row r="6261" spans="1:20" x14ac:dyDescent="0.25">
      <c r="A6261" t="s">
        <v>59</v>
      </c>
      <c r="B6261" t="s">
        <v>60</v>
      </c>
      <c r="C6261" t="s">
        <v>32</v>
      </c>
      <c r="D6261" t="s">
        <v>771</v>
      </c>
      <c r="E6261" t="s">
        <v>772</v>
      </c>
      <c r="F6261" t="s">
        <v>35</v>
      </c>
      <c r="G6261" t="s">
        <v>35</v>
      </c>
      <c r="H6261" t="s">
        <v>35</v>
      </c>
      <c r="J6261" t="s">
        <v>776</v>
      </c>
      <c r="K6261" t="s">
        <v>37</v>
      </c>
      <c r="M6261">
        <v>10</v>
      </c>
      <c r="N6261">
        <v>77</v>
      </c>
      <c r="O6261" t="s">
        <v>61</v>
      </c>
      <c r="P6261" t="s">
        <v>777</v>
      </c>
      <c r="Q6261" t="s">
        <v>778</v>
      </c>
      <c r="R6261" t="s">
        <v>436</v>
      </c>
      <c r="S6261" t="s">
        <v>437</v>
      </c>
      <c r="T6261" t="s">
        <v>438</v>
      </c>
    </row>
    <row r="6262" spans="1:20" x14ac:dyDescent="0.25">
      <c r="A6262" t="s">
        <v>59</v>
      </c>
      <c r="B6262" t="s">
        <v>60</v>
      </c>
      <c r="C6262" t="s">
        <v>32</v>
      </c>
      <c r="D6262" t="s">
        <v>771</v>
      </c>
      <c r="E6262" t="s">
        <v>783</v>
      </c>
      <c r="F6262" t="s">
        <v>35</v>
      </c>
      <c r="G6262" t="s">
        <v>35</v>
      </c>
      <c r="H6262" t="s">
        <v>35</v>
      </c>
      <c r="J6262" t="s">
        <v>823</v>
      </c>
      <c r="K6262" t="s">
        <v>37</v>
      </c>
      <c r="M6262">
        <v>5.9749999999999996</v>
      </c>
      <c r="N6262">
        <v>77</v>
      </c>
      <c r="O6262" t="s">
        <v>61</v>
      </c>
      <c r="P6262" t="s">
        <v>825</v>
      </c>
      <c r="Q6262" t="s">
        <v>778</v>
      </c>
      <c r="R6262" t="s">
        <v>436</v>
      </c>
      <c r="S6262" t="s">
        <v>437</v>
      </c>
      <c r="T6262" t="s">
        <v>438</v>
      </c>
    </row>
    <row r="6263" spans="1:20" x14ac:dyDescent="0.25">
      <c r="A6263" t="s">
        <v>59</v>
      </c>
      <c r="B6263" t="s">
        <v>60</v>
      </c>
      <c r="C6263" t="s">
        <v>32</v>
      </c>
      <c r="D6263" t="s">
        <v>771</v>
      </c>
      <c r="E6263" t="s">
        <v>783</v>
      </c>
      <c r="F6263" t="s">
        <v>35</v>
      </c>
      <c r="G6263" t="s">
        <v>35</v>
      </c>
      <c r="H6263" t="s">
        <v>35</v>
      </c>
      <c r="J6263" t="s">
        <v>823</v>
      </c>
      <c r="K6263" t="s">
        <v>37</v>
      </c>
      <c r="M6263">
        <v>21</v>
      </c>
      <c r="N6263">
        <v>37</v>
      </c>
      <c r="O6263" t="s">
        <v>52</v>
      </c>
      <c r="P6263" t="s">
        <v>826</v>
      </c>
      <c r="Q6263" t="s">
        <v>192</v>
      </c>
      <c r="R6263" t="s">
        <v>436</v>
      </c>
      <c r="S6263" t="s">
        <v>437</v>
      </c>
      <c r="T6263" t="s">
        <v>438</v>
      </c>
    </row>
    <row r="6264" spans="1:20" x14ac:dyDescent="0.25">
      <c r="A6264" t="s">
        <v>59</v>
      </c>
      <c r="B6264" t="s">
        <v>31</v>
      </c>
      <c r="C6264" t="s">
        <v>32</v>
      </c>
      <c r="D6264" t="s">
        <v>771</v>
      </c>
      <c r="E6264" t="s">
        <v>783</v>
      </c>
      <c r="F6264" t="s">
        <v>35</v>
      </c>
      <c r="G6264" t="s">
        <v>35</v>
      </c>
      <c r="H6264" t="s">
        <v>35</v>
      </c>
      <c r="J6264" t="s">
        <v>823</v>
      </c>
      <c r="K6264" t="s">
        <v>37</v>
      </c>
      <c r="M6264">
        <v>2.97</v>
      </c>
      <c r="N6264">
        <v>77</v>
      </c>
      <c r="O6264" t="s">
        <v>61</v>
      </c>
      <c r="P6264" t="s">
        <v>827</v>
      </c>
      <c r="Q6264" t="s">
        <v>778</v>
      </c>
      <c r="R6264" t="s">
        <v>436</v>
      </c>
      <c r="S6264" t="s">
        <v>437</v>
      </c>
      <c r="T6264" t="s">
        <v>438</v>
      </c>
    </row>
    <row r="6265" spans="1:20" x14ac:dyDescent="0.25">
      <c r="A6265" t="s">
        <v>59</v>
      </c>
      <c r="B6265" t="s">
        <v>31</v>
      </c>
      <c r="C6265" t="s">
        <v>32</v>
      </c>
      <c r="D6265" t="s">
        <v>771</v>
      </c>
      <c r="E6265" t="s">
        <v>783</v>
      </c>
      <c r="F6265" t="s">
        <v>35</v>
      </c>
      <c r="G6265" t="s">
        <v>35</v>
      </c>
      <c r="H6265" t="s">
        <v>35</v>
      </c>
      <c r="J6265" t="s">
        <v>823</v>
      </c>
      <c r="K6265" t="s">
        <v>37</v>
      </c>
      <c r="M6265">
        <v>9.99</v>
      </c>
      <c r="N6265">
        <v>77</v>
      </c>
      <c r="O6265" t="s">
        <v>61</v>
      </c>
      <c r="P6265" t="s">
        <v>828</v>
      </c>
      <c r="Q6265" t="s">
        <v>778</v>
      </c>
      <c r="R6265" t="s">
        <v>436</v>
      </c>
      <c r="S6265" t="s">
        <v>437</v>
      </c>
      <c r="T6265" t="s">
        <v>438</v>
      </c>
    </row>
    <row r="6266" spans="1:20" x14ac:dyDescent="0.25">
      <c r="A6266" t="s">
        <v>59</v>
      </c>
      <c r="B6266" t="s">
        <v>60</v>
      </c>
      <c r="C6266" t="s">
        <v>32</v>
      </c>
      <c r="D6266" t="s">
        <v>771</v>
      </c>
      <c r="E6266" t="s">
        <v>783</v>
      </c>
      <c r="F6266" t="s">
        <v>35</v>
      </c>
      <c r="G6266" t="s">
        <v>35</v>
      </c>
      <c r="H6266" t="s">
        <v>35</v>
      </c>
      <c r="J6266" t="s">
        <v>823</v>
      </c>
      <c r="K6266" t="s">
        <v>37</v>
      </c>
      <c r="M6266">
        <v>10</v>
      </c>
      <c r="N6266">
        <v>77</v>
      </c>
      <c r="O6266" t="s">
        <v>61</v>
      </c>
      <c r="P6266" t="s">
        <v>829</v>
      </c>
      <c r="Q6266" t="s">
        <v>778</v>
      </c>
      <c r="R6266" t="s">
        <v>436</v>
      </c>
      <c r="S6266" t="s">
        <v>437</v>
      </c>
      <c r="T6266" t="s">
        <v>438</v>
      </c>
    </row>
    <row r="6267" spans="1:20" x14ac:dyDescent="0.25">
      <c r="A6267" t="s">
        <v>30</v>
      </c>
      <c r="B6267" t="s">
        <v>31</v>
      </c>
      <c r="C6267" t="s">
        <v>32</v>
      </c>
      <c r="D6267" t="s">
        <v>771</v>
      </c>
      <c r="E6267" t="s">
        <v>783</v>
      </c>
      <c r="F6267" t="s">
        <v>35</v>
      </c>
      <c r="G6267" t="s">
        <v>35</v>
      </c>
      <c r="H6267" t="s">
        <v>35</v>
      </c>
      <c r="J6267" t="s">
        <v>823</v>
      </c>
      <c r="K6267" t="s">
        <v>37</v>
      </c>
      <c r="M6267">
        <v>12.96</v>
      </c>
      <c r="N6267">
        <v>40</v>
      </c>
      <c r="O6267" t="s">
        <v>52</v>
      </c>
      <c r="P6267" t="s">
        <v>832</v>
      </c>
      <c r="Q6267" t="s">
        <v>132</v>
      </c>
      <c r="R6267" t="s">
        <v>436</v>
      </c>
      <c r="S6267" t="s">
        <v>437</v>
      </c>
      <c r="T6267" t="s">
        <v>438</v>
      </c>
    </row>
    <row r="6268" spans="1:20" x14ac:dyDescent="0.25">
      <c r="A6268" t="s">
        <v>59</v>
      </c>
      <c r="B6268" t="s">
        <v>31</v>
      </c>
      <c r="C6268" t="s">
        <v>32</v>
      </c>
      <c r="D6268" t="s">
        <v>771</v>
      </c>
      <c r="E6268" t="s">
        <v>783</v>
      </c>
      <c r="F6268" t="s">
        <v>35</v>
      </c>
      <c r="G6268" t="s">
        <v>35</v>
      </c>
      <c r="H6268" t="s">
        <v>35</v>
      </c>
      <c r="J6268" t="s">
        <v>6081</v>
      </c>
      <c r="K6268" t="s">
        <v>1092</v>
      </c>
      <c r="M6268">
        <v>10.89</v>
      </c>
      <c r="N6268">
        <v>37</v>
      </c>
      <c r="O6268" t="s">
        <v>52</v>
      </c>
      <c r="Q6268" t="s">
        <v>192</v>
      </c>
      <c r="R6268" t="s">
        <v>436</v>
      </c>
      <c r="S6268" t="s">
        <v>437</v>
      </c>
      <c r="T6268" t="s">
        <v>438</v>
      </c>
    </row>
    <row r="6269" spans="1:20" x14ac:dyDescent="0.25">
      <c r="A6269" t="s">
        <v>30</v>
      </c>
      <c r="B6269" t="s">
        <v>31</v>
      </c>
      <c r="C6269" t="s">
        <v>32</v>
      </c>
      <c r="D6269" t="s">
        <v>771</v>
      </c>
      <c r="E6269" t="s">
        <v>910</v>
      </c>
      <c r="F6269" t="s">
        <v>35</v>
      </c>
      <c r="G6269" t="s">
        <v>35</v>
      </c>
      <c r="H6269" t="s">
        <v>35</v>
      </c>
      <c r="J6269" t="s">
        <v>6584</v>
      </c>
      <c r="K6269" t="s">
        <v>1092</v>
      </c>
      <c r="M6269">
        <v>6.4349999999999996</v>
      </c>
      <c r="N6269">
        <v>40</v>
      </c>
      <c r="O6269" t="s">
        <v>52</v>
      </c>
      <c r="Q6269" t="s">
        <v>132</v>
      </c>
      <c r="R6269" t="s">
        <v>436</v>
      </c>
      <c r="S6269" t="s">
        <v>437</v>
      </c>
      <c r="T6269" t="s">
        <v>438</v>
      </c>
    </row>
    <row r="6270" spans="1:20" x14ac:dyDescent="0.25">
      <c r="A6270" t="s">
        <v>44</v>
      </c>
      <c r="B6270" t="s">
        <v>51</v>
      </c>
      <c r="C6270" t="s">
        <v>32</v>
      </c>
      <c r="D6270" t="s">
        <v>771</v>
      </c>
      <c r="F6270" t="s">
        <v>35</v>
      </c>
      <c r="G6270" t="s">
        <v>35</v>
      </c>
      <c r="H6270" t="s">
        <v>35</v>
      </c>
      <c r="J6270" t="s">
        <v>943</v>
      </c>
      <c r="K6270" t="s">
        <v>37</v>
      </c>
      <c r="M6270">
        <v>10</v>
      </c>
      <c r="N6270">
        <v>68</v>
      </c>
      <c r="O6270" t="s">
        <v>61</v>
      </c>
      <c r="P6270" t="s">
        <v>945</v>
      </c>
      <c r="Q6270" t="s">
        <v>805</v>
      </c>
      <c r="R6270" t="s">
        <v>436</v>
      </c>
      <c r="S6270" t="s">
        <v>437</v>
      </c>
      <c r="T6270" t="s">
        <v>438</v>
      </c>
    </row>
    <row r="6271" spans="1:20" x14ac:dyDescent="0.25">
      <c r="A6271" t="s">
        <v>59</v>
      </c>
      <c r="B6271" t="s">
        <v>31</v>
      </c>
      <c r="C6271" t="s">
        <v>32</v>
      </c>
      <c r="D6271" t="s">
        <v>771</v>
      </c>
      <c r="F6271" t="s">
        <v>35</v>
      </c>
      <c r="G6271" t="s">
        <v>35</v>
      </c>
      <c r="H6271" t="s">
        <v>35</v>
      </c>
      <c r="J6271" t="s">
        <v>943</v>
      </c>
      <c r="K6271" t="s">
        <v>37</v>
      </c>
      <c r="M6271">
        <v>1.0349999999999999</v>
      </c>
      <c r="N6271">
        <v>77</v>
      </c>
      <c r="O6271" t="s">
        <v>61</v>
      </c>
      <c r="P6271" t="s">
        <v>946</v>
      </c>
      <c r="Q6271" t="s">
        <v>778</v>
      </c>
      <c r="R6271" t="s">
        <v>436</v>
      </c>
      <c r="S6271" t="s">
        <v>437</v>
      </c>
      <c r="T6271" t="s">
        <v>438</v>
      </c>
    </row>
    <row r="6272" spans="1:20" x14ac:dyDescent="0.25">
      <c r="A6272" t="s">
        <v>30</v>
      </c>
      <c r="B6272" t="s">
        <v>31</v>
      </c>
      <c r="C6272" t="s">
        <v>32</v>
      </c>
      <c r="D6272" t="s">
        <v>771</v>
      </c>
      <c r="E6272" t="s">
        <v>871</v>
      </c>
      <c r="F6272" t="s">
        <v>35</v>
      </c>
      <c r="G6272" t="s">
        <v>35</v>
      </c>
      <c r="H6272" t="s">
        <v>35</v>
      </c>
      <c r="J6272" t="s">
        <v>6401</v>
      </c>
      <c r="K6272" t="s">
        <v>1092</v>
      </c>
      <c r="M6272">
        <v>1.665</v>
      </c>
      <c r="N6272">
        <v>109</v>
      </c>
      <c r="O6272" t="s">
        <v>106</v>
      </c>
      <c r="Q6272" t="s">
        <v>1256</v>
      </c>
      <c r="R6272" t="s">
        <v>436</v>
      </c>
      <c r="S6272" t="s">
        <v>437</v>
      </c>
      <c r="T6272" t="s">
        <v>438</v>
      </c>
    </row>
    <row r="6273" spans="1:20" x14ac:dyDescent="0.25">
      <c r="A6273" t="s">
        <v>30</v>
      </c>
      <c r="B6273" t="s">
        <v>31</v>
      </c>
      <c r="C6273" t="s">
        <v>32</v>
      </c>
      <c r="D6273" t="s">
        <v>771</v>
      </c>
      <c r="E6273" t="s">
        <v>783</v>
      </c>
      <c r="F6273" t="s">
        <v>35</v>
      </c>
      <c r="G6273" t="s">
        <v>35</v>
      </c>
      <c r="H6273" t="s">
        <v>35</v>
      </c>
      <c r="J6273" t="s">
        <v>6026</v>
      </c>
      <c r="K6273" t="s">
        <v>1092</v>
      </c>
      <c r="M6273">
        <v>9.3149999999999995</v>
      </c>
      <c r="N6273">
        <v>34</v>
      </c>
      <c r="O6273" t="s">
        <v>52</v>
      </c>
      <c r="Q6273" t="s">
        <v>249</v>
      </c>
      <c r="R6273" t="s">
        <v>436</v>
      </c>
      <c r="S6273" t="s">
        <v>437</v>
      </c>
      <c r="T6273" t="s">
        <v>438</v>
      </c>
    </row>
    <row r="6274" spans="1:20" x14ac:dyDescent="0.25">
      <c r="A6274" t="s">
        <v>59</v>
      </c>
      <c r="B6274" t="s">
        <v>31</v>
      </c>
      <c r="C6274" t="s">
        <v>32</v>
      </c>
      <c r="D6274" t="s">
        <v>771</v>
      </c>
      <c r="E6274" t="s">
        <v>783</v>
      </c>
      <c r="F6274" t="s">
        <v>35</v>
      </c>
      <c r="G6274" t="s">
        <v>35</v>
      </c>
      <c r="H6274" t="s">
        <v>35</v>
      </c>
      <c r="J6274" t="s">
        <v>6026</v>
      </c>
      <c r="K6274" t="s">
        <v>1092</v>
      </c>
      <c r="M6274">
        <v>9.99</v>
      </c>
      <c r="N6274">
        <v>37</v>
      </c>
      <c r="O6274" t="s">
        <v>52</v>
      </c>
      <c r="Q6274" t="s">
        <v>192</v>
      </c>
      <c r="R6274" t="s">
        <v>436</v>
      </c>
      <c r="S6274" t="s">
        <v>437</v>
      </c>
      <c r="T6274" t="s">
        <v>438</v>
      </c>
    </row>
    <row r="6275" spans="1:20" x14ac:dyDescent="0.25">
      <c r="A6275" t="s">
        <v>59</v>
      </c>
      <c r="B6275" t="s">
        <v>60</v>
      </c>
      <c r="C6275" t="s">
        <v>32</v>
      </c>
      <c r="D6275" t="s">
        <v>771</v>
      </c>
      <c r="E6275" t="s">
        <v>6319</v>
      </c>
      <c r="F6275" t="s">
        <v>35</v>
      </c>
      <c r="G6275" t="s">
        <v>35</v>
      </c>
      <c r="H6275" t="s">
        <v>35</v>
      </c>
      <c r="J6275" t="s">
        <v>6321</v>
      </c>
      <c r="K6275" t="s">
        <v>1092</v>
      </c>
      <c r="M6275">
        <v>7</v>
      </c>
      <c r="N6275">
        <v>37</v>
      </c>
      <c r="O6275" t="s">
        <v>52</v>
      </c>
      <c r="Q6275" t="s">
        <v>192</v>
      </c>
      <c r="R6275" t="s">
        <v>436</v>
      </c>
      <c r="S6275" t="s">
        <v>437</v>
      </c>
      <c r="T6275" t="s">
        <v>438</v>
      </c>
    </row>
    <row r="6276" spans="1:20" x14ac:dyDescent="0.25">
      <c r="A6276" t="s">
        <v>59</v>
      </c>
      <c r="B6276" t="s">
        <v>31</v>
      </c>
      <c r="C6276" t="s">
        <v>32</v>
      </c>
      <c r="D6276" t="s">
        <v>771</v>
      </c>
      <c r="E6276" t="s">
        <v>6319</v>
      </c>
      <c r="F6276" t="s">
        <v>35</v>
      </c>
      <c r="G6276" t="s">
        <v>35</v>
      </c>
      <c r="H6276" t="s">
        <v>35</v>
      </c>
      <c r="J6276" t="s">
        <v>6321</v>
      </c>
      <c r="K6276" t="s">
        <v>1092</v>
      </c>
      <c r="M6276">
        <v>4.59</v>
      </c>
      <c r="N6276">
        <v>37</v>
      </c>
      <c r="O6276" t="s">
        <v>52</v>
      </c>
      <c r="Q6276" t="s">
        <v>192</v>
      </c>
      <c r="R6276" t="s">
        <v>436</v>
      </c>
      <c r="S6276" t="s">
        <v>437</v>
      </c>
      <c r="T6276" t="s">
        <v>438</v>
      </c>
    </row>
    <row r="6277" spans="1:20" x14ac:dyDescent="0.25">
      <c r="A6277" t="s">
        <v>30</v>
      </c>
      <c r="B6277" t="s">
        <v>31</v>
      </c>
      <c r="C6277" t="s">
        <v>32</v>
      </c>
      <c r="D6277" t="s">
        <v>771</v>
      </c>
      <c r="E6277" t="s">
        <v>836</v>
      </c>
      <c r="F6277" t="s">
        <v>35</v>
      </c>
      <c r="G6277" t="s">
        <v>35</v>
      </c>
      <c r="H6277" t="s">
        <v>35</v>
      </c>
      <c r="J6277" t="s">
        <v>6140</v>
      </c>
      <c r="K6277" t="s">
        <v>1092</v>
      </c>
      <c r="M6277">
        <v>7.02</v>
      </c>
      <c r="N6277">
        <v>40</v>
      </c>
      <c r="O6277" t="s">
        <v>52</v>
      </c>
      <c r="Q6277" t="s">
        <v>132</v>
      </c>
      <c r="R6277" t="s">
        <v>436</v>
      </c>
      <c r="S6277" t="s">
        <v>437</v>
      </c>
      <c r="T6277" t="s">
        <v>438</v>
      </c>
    </row>
    <row r="6278" spans="1:20" x14ac:dyDescent="0.25">
      <c r="A6278" t="s">
        <v>30</v>
      </c>
      <c r="B6278" t="s">
        <v>31</v>
      </c>
      <c r="C6278" t="s">
        <v>32</v>
      </c>
      <c r="D6278" t="s">
        <v>771</v>
      </c>
      <c r="E6278" t="s">
        <v>903</v>
      </c>
      <c r="F6278" t="s">
        <v>35</v>
      </c>
      <c r="G6278" t="s">
        <v>35</v>
      </c>
      <c r="H6278" t="s">
        <v>35</v>
      </c>
      <c r="J6278" t="s">
        <v>904</v>
      </c>
      <c r="K6278" t="s">
        <v>37</v>
      </c>
      <c r="M6278">
        <v>4.68</v>
      </c>
      <c r="N6278">
        <v>25</v>
      </c>
      <c r="O6278" t="s">
        <v>46</v>
      </c>
      <c r="P6278" t="s">
        <v>906</v>
      </c>
      <c r="Q6278" t="s">
        <v>547</v>
      </c>
      <c r="R6278" t="s">
        <v>436</v>
      </c>
      <c r="S6278" t="s">
        <v>437</v>
      </c>
      <c r="T6278" t="s">
        <v>438</v>
      </c>
    </row>
    <row r="6279" spans="1:20" x14ac:dyDescent="0.25">
      <c r="A6279" t="s">
        <v>59</v>
      </c>
      <c r="B6279" t="s">
        <v>31</v>
      </c>
      <c r="C6279" t="s">
        <v>32</v>
      </c>
      <c r="D6279" t="s">
        <v>771</v>
      </c>
      <c r="E6279" t="s">
        <v>903</v>
      </c>
      <c r="F6279" t="s">
        <v>35</v>
      </c>
      <c r="G6279" t="s">
        <v>35</v>
      </c>
      <c r="H6279" t="s">
        <v>35</v>
      </c>
      <c r="J6279" t="s">
        <v>904</v>
      </c>
      <c r="K6279" t="s">
        <v>37</v>
      </c>
      <c r="M6279">
        <v>9.0449999999999999</v>
      </c>
      <c r="N6279">
        <v>37</v>
      </c>
      <c r="O6279" t="s">
        <v>52</v>
      </c>
      <c r="P6279" t="s">
        <v>907</v>
      </c>
      <c r="Q6279" t="s">
        <v>192</v>
      </c>
      <c r="R6279" t="s">
        <v>436</v>
      </c>
      <c r="S6279" t="s">
        <v>437</v>
      </c>
      <c r="T6279" t="s">
        <v>438</v>
      </c>
    </row>
    <row r="6280" spans="1:20" x14ac:dyDescent="0.25">
      <c r="A6280" t="s">
        <v>30</v>
      </c>
      <c r="B6280" t="s">
        <v>31</v>
      </c>
      <c r="C6280" t="s">
        <v>32</v>
      </c>
      <c r="D6280" t="s">
        <v>771</v>
      </c>
      <c r="E6280" t="s">
        <v>903</v>
      </c>
      <c r="F6280" t="s">
        <v>35</v>
      </c>
      <c r="G6280" t="s">
        <v>35</v>
      </c>
      <c r="H6280" t="s">
        <v>35</v>
      </c>
      <c r="J6280" t="s">
        <v>904</v>
      </c>
      <c r="K6280" t="s">
        <v>37</v>
      </c>
      <c r="M6280">
        <v>17.010000000000002</v>
      </c>
      <c r="N6280">
        <v>25</v>
      </c>
      <c r="O6280" t="s">
        <v>46</v>
      </c>
      <c r="P6280" t="s">
        <v>909</v>
      </c>
      <c r="Q6280" t="s">
        <v>547</v>
      </c>
      <c r="R6280" t="s">
        <v>436</v>
      </c>
      <c r="S6280" t="s">
        <v>437</v>
      </c>
      <c r="T6280" t="s">
        <v>438</v>
      </c>
    </row>
    <row r="6281" spans="1:20" x14ac:dyDescent="0.25">
      <c r="A6281" t="s">
        <v>44</v>
      </c>
      <c r="B6281" t="s">
        <v>51</v>
      </c>
      <c r="C6281" t="s">
        <v>32</v>
      </c>
      <c r="D6281" t="s">
        <v>771</v>
      </c>
      <c r="E6281" t="s">
        <v>871</v>
      </c>
      <c r="F6281" t="s">
        <v>35</v>
      </c>
      <c r="G6281" t="s">
        <v>35</v>
      </c>
      <c r="H6281" t="s">
        <v>35</v>
      </c>
      <c r="J6281" t="s">
        <v>6392</v>
      </c>
      <c r="K6281" t="s">
        <v>1092</v>
      </c>
      <c r="M6281">
        <v>3.5</v>
      </c>
      <c r="N6281">
        <v>68</v>
      </c>
      <c r="O6281" t="s">
        <v>61</v>
      </c>
      <c r="Q6281" t="s">
        <v>805</v>
      </c>
      <c r="R6281" t="s">
        <v>436</v>
      </c>
      <c r="S6281" t="s">
        <v>437</v>
      </c>
      <c r="T6281" t="s">
        <v>438</v>
      </c>
    </row>
    <row r="6282" spans="1:20" x14ac:dyDescent="0.25">
      <c r="A6282" t="s">
        <v>59</v>
      </c>
      <c r="B6282" t="s">
        <v>31</v>
      </c>
      <c r="C6282" t="s">
        <v>32</v>
      </c>
      <c r="D6282" t="s">
        <v>771</v>
      </c>
      <c r="E6282" t="s">
        <v>871</v>
      </c>
      <c r="F6282" t="s">
        <v>35</v>
      </c>
      <c r="G6282" t="s">
        <v>35</v>
      </c>
      <c r="H6282" t="s">
        <v>35</v>
      </c>
      <c r="J6282" t="s">
        <v>6392</v>
      </c>
      <c r="K6282" t="s">
        <v>1092</v>
      </c>
      <c r="M6282">
        <v>9.99</v>
      </c>
      <c r="N6282">
        <v>77</v>
      </c>
      <c r="O6282" t="s">
        <v>61</v>
      </c>
      <c r="Q6282" t="s">
        <v>778</v>
      </c>
      <c r="R6282" t="s">
        <v>436</v>
      </c>
      <c r="S6282" t="s">
        <v>437</v>
      </c>
      <c r="T6282" t="s">
        <v>438</v>
      </c>
    </row>
    <row r="6283" spans="1:20" x14ac:dyDescent="0.25">
      <c r="A6283" t="s">
        <v>30</v>
      </c>
      <c r="B6283" t="s">
        <v>31</v>
      </c>
      <c r="C6283" t="s">
        <v>32</v>
      </c>
      <c r="D6283" t="s">
        <v>771</v>
      </c>
      <c r="E6283" t="s">
        <v>783</v>
      </c>
      <c r="F6283" t="s">
        <v>35</v>
      </c>
      <c r="G6283" t="s">
        <v>35</v>
      </c>
      <c r="H6283" t="s">
        <v>35</v>
      </c>
      <c r="J6283" t="s">
        <v>6023</v>
      </c>
      <c r="K6283" t="s">
        <v>1092</v>
      </c>
      <c r="M6283">
        <v>4.3650000000000002</v>
      </c>
      <c r="N6283">
        <v>109</v>
      </c>
      <c r="O6283" t="s">
        <v>106</v>
      </c>
      <c r="Q6283" t="s">
        <v>1256</v>
      </c>
      <c r="R6283" t="s">
        <v>436</v>
      </c>
      <c r="S6283" t="s">
        <v>437</v>
      </c>
      <c r="T6283" t="s">
        <v>438</v>
      </c>
    </row>
    <row r="6284" spans="1:20" x14ac:dyDescent="0.25">
      <c r="A6284" t="s">
        <v>30</v>
      </c>
      <c r="B6284" t="s">
        <v>31</v>
      </c>
      <c r="C6284" t="s">
        <v>32</v>
      </c>
      <c r="D6284" t="s">
        <v>771</v>
      </c>
      <c r="E6284" t="s">
        <v>910</v>
      </c>
      <c r="F6284" t="s">
        <v>35</v>
      </c>
      <c r="G6284" t="s">
        <v>35</v>
      </c>
      <c r="H6284" t="s">
        <v>35</v>
      </c>
      <c r="J6284" t="s">
        <v>6600</v>
      </c>
      <c r="K6284" t="s">
        <v>1092</v>
      </c>
      <c r="M6284">
        <v>5.24</v>
      </c>
      <c r="N6284">
        <v>40</v>
      </c>
      <c r="O6284" t="s">
        <v>52</v>
      </c>
      <c r="Q6284" t="s">
        <v>132</v>
      </c>
      <c r="R6284" t="s">
        <v>436</v>
      </c>
      <c r="S6284" t="s">
        <v>437</v>
      </c>
      <c r="T6284" t="s">
        <v>438</v>
      </c>
    </row>
    <row r="6285" spans="1:20" x14ac:dyDescent="0.25">
      <c r="A6285" t="s">
        <v>30</v>
      </c>
      <c r="B6285" t="s">
        <v>31</v>
      </c>
      <c r="C6285" t="s">
        <v>32</v>
      </c>
      <c r="D6285" t="s">
        <v>771</v>
      </c>
      <c r="E6285" t="s">
        <v>6261</v>
      </c>
      <c r="F6285" t="s">
        <v>35</v>
      </c>
      <c r="G6285" t="s">
        <v>35</v>
      </c>
      <c r="H6285" t="s">
        <v>35</v>
      </c>
      <c r="J6285" t="s">
        <v>6263</v>
      </c>
      <c r="K6285" t="s">
        <v>1092</v>
      </c>
      <c r="M6285">
        <v>7.38</v>
      </c>
      <c r="N6285">
        <v>40</v>
      </c>
      <c r="O6285" t="s">
        <v>52</v>
      </c>
      <c r="Q6285" t="s">
        <v>132</v>
      </c>
      <c r="R6285" t="s">
        <v>436</v>
      </c>
      <c r="S6285" t="s">
        <v>437</v>
      </c>
      <c r="T6285" t="s">
        <v>438</v>
      </c>
    </row>
    <row r="6286" spans="1:20" x14ac:dyDescent="0.25">
      <c r="A6286" t="s">
        <v>30</v>
      </c>
      <c r="B6286" t="s">
        <v>31</v>
      </c>
      <c r="C6286" t="s">
        <v>32</v>
      </c>
      <c r="D6286" t="s">
        <v>771</v>
      </c>
      <c r="E6286" t="s">
        <v>840</v>
      </c>
      <c r="F6286" t="s">
        <v>35</v>
      </c>
      <c r="G6286" t="s">
        <v>35</v>
      </c>
      <c r="H6286" t="s">
        <v>35</v>
      </c>
      <c r="J6286" t="s">
        <v>2541</v>
      </c>
      <c r="K6286" t="s">
        <v>1092</v>
      </c>
      <c r="M6286">
        <v>0.09</v>
      </c>
      <c r="N6286">
        <v>40</v>
      </c>
      <c r="O6286" t="s">
        <v>52</v>
      </c>
      <c r="Q6286" t="s">
        <v>132</v>
      </c>
      <c r="R6286" t="s">
        <v>436</v>
      </c>
      <c r="S6286" t="s">
        <v>437</v>
      </c>
      <c r="T6286" t="s">
        <v>438</v>
      </c>
    </row>
    <row r="6287" spans="1:20" x14ac:dyDescent="0.25">
      <c r="A6287" t="s">
        <v>44</v>
      </c>
      <c r="B6287" t="s">
        <v>51</v>
      </c>
      <c r="C6287" t="s">
        <v>32</v>
      </c>
      <c r="D6287" t="s">
        <v>771</v>
      </c>
      <c r="E6287" t="s">
        <v>840</v>
      </c>
      <c r="F6287" t="s">
        <v>35</v>
      </c>
      <c r="G6287" t="s">
        <v>35</v>
      </c>
      <c r="H6287" t="s">
        <v>35</v>
      </c>
      <c r="J6287" t="s">
        <v>2541</v>
      </c>
      <c r="K6287" t="s">
        <v>1092</v>
      </c>
      <c r="M6287">
        <v>3</v>
      </c>
      <c r="N6287">
        <v>198</v>
      </c>
      <c r="O6287" t="s">
        <v>5</v>
      </c>
      <c r="Q6287" t="s">
        <v>6188</v>
      </c>
      <c r="R6287" t="s">
        <v>436</v>
      </c>
      <c r="S6287" t="s">
        <v>437</v>
      </c>
      <c r="T6287" t="s">
        <v>438</v>
      </c>
    </row>
    <row r="6288" spans="1:20" x14ac:dyDescent="0.25">
      <c r="A6288" t="s">
        <v>30</v>
      </c>
      <c r="B6288" t="s">
        <v>31</v>
      </c>
      <c r="C6288" t="s">
        <v>32</v>
      </c>
      <c r="D6288" t="s">
        <v>771</v>
      </c>
      <c r="E6288" t="s">
        <v>871</v>
      </c>
      <c r="F6288" t="s">
        <v>35</v>
      </c>
      <c r="G6288" t="s">
        <v>35</v>
      </c>
      <c r="H6288" t="s">
        <v>35</v>
      </c>
      <c r="J6288" t="s">
        <v>6405</v>
      </c>
      <c r="K6288" t="s">
        <v>1092</v>
      </c>
      <c r="M6288">
        <v>9.99</v>
      </c>
      <c r="N6288">
        <v>109</v>
      </c>
      <c r="O6288" t="s">
        <v>106</v>
      </c>
      <c r="Q6288" t="s">
        <v>1256</v>
      </c>
      <c r="R6288" t="s">
        <v>436</v>
      </c>
      <c r="S6288" t="s">
        <v>437</v>
      </c>
      <c r="T6288" t="s">
        <v>438</v>
      </c>
    </row>
    <row r="6289" spans="1:20" x14ac:dyDescent="0.25">
      <c r="A6289" t="s">
        <v>30</v>
      </c>
      <c r="B6289" t="s">
        <v>31</v>
      </c>
      <c r="C6289" t="s">
        <v>32</v>
      </c>
      <c r="D6289" t="s">
        <v>771</v>
      </c>
      <c r="E6289" t="s">
        <v>6319</v>
      </c>
      <c r="F6289" t="s">
        <v>35</v>
      </c>
      <c r="G6289" t="s">
        <v>35</v>
      </c>
      <c r="H6289" t="s">
        <v>35</v>
      </c>
      <c r="J6289" t="s">
        <v>6331</v>
      </c>
      <c r="K6289" t="s">
        <v>1092</v>
      </c>
      <c r="M6289">
        <v>8.4149999999999991</v>
      </c>
      <c r="N6289">
        <v>34</v>
      </c>
      <c r="O6289" t="s">
        <v>52</v>
      </c>
      <c r="Q6289" t="s">
        <v>249</v>
      </c>
      <c r="R6289" t="s">
        <v>436</v>
      </c>
      <c r="S6289" t="s">
        <v>437</v>
      </c>
      <c r="T6289" t="s">
        <v>438</v>
      </c>
    </row>
    <row r="6290" spans="1:20" x14ac:dyDescent="0.25">
      <c r="A6290" t="s">
        <v>30</v>
      </c>
      <c r="B6290" t="s">
        <v>31</v>
      </c>
      <c r="C6290" t="s">
        <v>32</v>
      </c>
      <c r="D6290" t="s">
        <v>771</v>
      </c>
      <c r="E6290" t="s">
        <v>783</v>
      </c>
      <c r="F6290" t="s">
        <v>35</v>
      </c>
      <c r="G6290" t="s">
        <v>35</v>
      </c>
      <c r="H6290" t="s">
        <v>35</v>
      </c>
      <c r="J6290" t="s">
        <v>6059</v>
      </c>
      <c r="K6290" t="s">
        <v>1092</v>
      </c>
      <c r="M6290">
        <v>7.79</v>
      </c>
      <c r="N6290">
        <v>109</v>
      </c>
      <c r="O6290" t="s">
        <v>106</v>
      </c>
      <c r="Q6290" t="s">
        <v>1256</v>
      </c>
      <c r="R6290" t="s">
        <v>436</v>
      </c>
      <c r="S6290" t="s">
        <v>437</v>
      </c>
      <c r="T6290" t="s">
        <v>438</v>
      </c>
    </row>
    <row r="6291" spans="1:20" x14ac:dyDescent="0.25">
      <c r="A6291" t="s">
        <v>44</v>
      </c>
      <c r="B6291" t="s">
        <v>51</v>
      </c>
      <c r="C6291" t="s">
        <v>32</v>
      </c>
      <c r="D6291" t="s">
        <v>771</v>
      </c>
      <c r="E6291" t="s">
        <v>871</v>
      </c>
      <c r="F6291" t="s">
        <v>35</v>
      </c>
      <c r="G6291" t="s">
        <v>35</v>
      </c>
      <c r="H6291" t="s">
        <v>35</v>
      </c>
      <c r="J6291" t="s">
        <v>6403</v>
      </c>
      <c r="K6291" t="s">
        <v>1092</v>
      </c>
      <c r="M6291">
        <v>4</v>
      </c>
      <c r="N6291">
        <v>20</v>
      </c>
      <c r="O6291" t="s">
        <v>46</v>
      </c>
      <c r="Q6291" t="s">
        <v>1011</v>
      </c>
      <c r="R6291" t="s">
        <v>436</v>
      </c>
      <c r="S6291" t="s">
        <v>437</v>
      </c>
      <c r="T6291" t="s">
        <v>438</v>
      </c>
    </row>
    <row r="6292" spans="1:20" x14ac:dyDescent="0.25">
      <c r="A6292" t="s">
        <v>59</v>
      </c>
      <c r="B6292" t="s">
        <v>31</v>
      </c>
      <c r="C6292" t="s">
        <v>32</v>
      </c>
      <c r="D6292" t="s">
        <v>771</v>
      </c>
      <c r="E6292" t="s">
        <v>772</v>
      </c>
      <c r="F6292" t="s">
        <v>35</v>
      </c>
      <c r="G6292" t="s">
        <v>35</v>
      </c>
      <c r="H6292" t="s">
        <v>35</v>
      </c>
      <c r="J6292" t="s">
        <v>6009</v>
      </c>
      <c r="K6292" t="s">
        <v>1092</v>
      </c>
      <c r="M6292">
        <v>9.99</v>
      </c>
      <c r="N6292">
        <v>77</v>
      </c>
      <c r="O6292" t="s">
        <v>61</v>
      </c>
      <c r="Q6292" t="s">
        <v>778</v>
      </c>
      <c r="R6292" t="s">
        <v>436</v>
      </c>
      <c r="S6292" t="s">
        <v>437</v>
      </c>
      <c r="T6292" t="s">
        <v>438</v>
      </c>
    </row>
    <row r="6293" spans="1:20" x14ac:dyDescent="0.25">
      <c r="A6293" t="s">
        <v>30</v>
      </c>
      <c r="B6293" t="s">
        <v>31</v>
      </c>
      <c r="C6293" t="s">
        <v>32</v>
      </c>
      <c r="D6293" t="s">
        <v>771</v>
      </c>
      <c r="E6293" t="s">
        <v>871</v>
      </c>
      <c r="F6293" t="s">
        <v>35</v>
      </c>
      <c r="G6293" t="s">
        <v>35</v>
      </c>
      <c r="H6293" t="s">
        <v>35</v>
      </c>
      <c r="J6293" t="s">
        <v>6393</v>
      </c>
      <c r="K6293" t="s">
        <v>1092</v>
      </c>
      <c r="M6293">
        <v>0.02</v>
      </c>
      <c r="N6293">
        <v>1236</v>
      </c>
      <c r="O6293" t="s">
        <v>575</v>
      </c>
      <c r="Q6293" t="s">
        <v>2998</v>
      </c>
      <c r="R6293" t="s">
        <v>6141</v>
      </c>
      <c r="S6293" t="s">
        <v>6142</v>
      </c>
      <c r="T6293" t="s">
        <v>6143</v>
      </c>
    </row>
    <row r="6294" spans="1:20" x14ac:dyDescent="0.25">
      <c r="A6294" t="s">
        <v>59</v>
      </c>
      <c r="B6294" t="s">
        <v>31</v>
      </c>
      <c r="C6294" t="s">
        <v>32</v>
      </c>
      <c r="D6294" t="s">
        <v>771</v>
      </c>
      <c r="E6294" t="s">
        <v>898</v>
      </c>
      <c r="F6294" t="s">
        <v>35</v>
      </c>
      <c r="G6294" t="s">
        <v>35</v>
      </c>
      <c r="H6294" t="s">
        <v>35</v>
      </c>
      <c r="J6294" t="s">
        <v>6546</v>
      </c>
      <c r="K6294" t="s">
        <v>1092</v>
      </c>
      <c r="M6294">
        <v>0.01</v>
      </c>
      <c r="N6294">
        <v>1063</v>
      </c>
      <c r="O6294" t="s">
        <v>575</v>
      </c>
      <c r="Q6294" t="s">
        <v>6547</v>
      </c>
      <c r="R6294" t="s">
        <v>6141</v>
      </c>
      <c r="S6294" t="s">
        <v>6142</v>
      </c>
      <c r="T6294" t="s">
        <v>6143</v>
      </c>
    </row>
    <row r="6295" spans="1:20" x14ac:dyDescent="0.25">
      <c r="A6295" t="s">
        <v>59</v>
      </c>
      <c r="B6295" t="s">
        <v>60</v>
      </c>
      <c r="C6295" t="s">
        <v>32</v>
      </c>
      <c r="D6295" t="s">
        <v>771</v>
      </c>
      <c r="E6295" t="s">
        <v>836</v>
      </c>
      <c r="F6295" t="s">
        <v>35</v>
      </c>
      <c r="G6295" t="s">
        <v>35</v>
      </c>
      <c r="H6295" t="s">
        <v>35</v>
      </c>
      <c r="J6295" t="s">
        <v>6140</v>
      </c>
      <c r="K6295" t="s">
        <v>1092</v>
      </c>
      <c r="M6295">
        <v>4.2999999999999997E-2</v>
      </c>
      <c r="N6295">
        <v>123</v>
      </c>
      <c r="O6295" t="s">
        <v>38</v>
      </c>
      <c r="Q6295" t="s">
        <v>1656</v>
      </c>
      <c r="R6295" t="s">
        <v>6141</v>
      </c>
      <c r="S6295" t="s">
        <v>6142</v>
      </c>
      <c r="T6295" t="s">
        <v>6143</v>
      </c>
    </row>
    <row r="6296" spans="1:20" x14ac:dyDescent="0.25">
      <c r="A6296" t="s">
        <v>59</v>
      </c>
      <c r="B6296" t="s">
        <v>31</v>
      </c>
      <c r="C6296" t="s">
        <v>32</v>
      </c>
      <c r="D6296" t="s">
        <v>771</v>
      </c>
      <c r="E6296" t="s">
        <v>836</v>
      </c>
      <c r="F6296" t="s">
        <v>35</v>
      </c>
      <c r="G6296" t="s">
        <v>35</v>
      </c>
      <c r="H6296" t="s">
        <v>35</v>
      </c>
      <c r="J6296" t="s">
        <v>6140</v>
      </c>
      <c r="K6296" t="s">
        <v>1092</v>
      </c>
      <c r="M6296">
        <v>6.165</v>
      </c>
      <c r="N6296">
        <v>123</v>
      </c>
      <c r="O6296" t="s">
        <v>38</v>
      </c>
      <c r="Q6296" t="s">
        <v>1656</v>
      </c>
      <c r="R6296" t="s">
        <v>6141</v>
      </c>
      <c r="S6296" t="s">
        <v>6142</v>
      </c>
      <c r="T6296" t="s">
        <v>6143</v>
      </c>
    </row>
    <row r="6297" spans="1:20" x14ac:dyDescent="0.25">
      <c r="A6297" t="s">
        <v>59</v>
      </c>
      <c r="B6297" t="s">
        <v>60</v>
      </c>
      <c r="C6297" t="s">
        <v>32</v>
      </c>
      <c r="D6297" t="s">
        <v>771</v>
      </c>
      <c r="E6297" t="s">
        <v>903</v>
      </c>
      <c r="F6297" t="s">
        <v>35</v>
      </c>
      <c r="G6297" t="s">
        <v>35</v>
      </c>
      <c r="H6297" t="s">
        <v>35</v>
      </c>
      <c r="J6297" t="s">
        <v>6549</v>
      </c>
      <c r="K6297" t="s">
        <v>1092</v>
      </c>
      <c r="M6297">
        <v>4.4000000000000004</v>
      </c>
      <c r="N6297">
        <v>1301</v>
      </c>
      <c r="O6297" t="s">
        <v>575</v>
      </c>
      <c r="Q6297" t="s">
        <v>6550</v>
      </c>
      <c r="R6297" t="s">
        <v>6551</v>
      </c>
      <c r="S6297" t="s">
        <v>6552</v>
      </c>
      <c r="T6297" t="s">
        <v>948</v>
      </c>
    </row>
    <row r="6298" spans="1:20" x14ac:dyDescent="0.25">
      <c r="A6298" t="s">
        <v>59</v>
      </c>
      <c r="B6298" t="s">
        <v>31</v>
      </c>
      <c r="C6298" t="s">
        <v>32</v>
      </c>
      <c r="D6298" t="s">
        <v>771</v>
      </c>
      <c r="F6298" t="s">
        <v>35</v>
      </c>
      <c r="G6298" t="s">
        <v>35</v>
      </c>
      <c r="H6298" t="s">
        <v>35</v>
      </c>
      <c r="J6298" t="s">
        <v>6677</v>
      </c>
      <c r="K6298" t="s">
        <v>1092</v>
      </c>
      <c r="M6298">
        <v>0.51500000000000001</v>
      </c>
      <c r="N6298">
        <v>1439</v>
      </c>
      <c r="O6298" t="s">
        <v>575</v>
      </c>
      <c r="Q6298" t="s">
        <v>6678</v>
      </c>
      <c r="R6298" t="s">
        <v>6551</v>
      </c>
      <c r="S6298" t="s">
        <v>6552</v>
      </c>
      <c r="T6298" t="s">
        <v>948</v>
      </c>
    </row>
    <row r="6299" spans="1:20" x14ac:dyDescent="0.25">
      <c r="A6299" t="s">
        <v>59</v>
      </c>
      <c r="B6299" t="s">
        <v>60</v>
      </c>
      <c r="C6299" t="s">
        <v>32</v>
      </c>
      <c r="D6299" t="s">
        <v>771</v>
      </c>
      <c r="F6299" t="s">
        <v>35</v>
      </c>
      <c r="G6299" t="s">
        <v>35</v>
      </c>
      <c r="H6299" t="s">
        <v>35</v>
      </c>
      <c r="J6299" t="s">
        <v>6677</v>
      </c>
      <c r="K6299" t="s">
        <v>1092</v>
      </c>
      <c r="M6299">
        <v>0.7</v>
      </c>
      <c r="N6299">
        <v>1439</v>
      </c>
      <c r="O6299" t="s">
        <v>575</v>
      </c>
      <c r="Q6299" t="s">
        <v>6678</v>
      </c>
      <c r="R6299" t="s">
        <v>6551</v>
      </c>
      <c r="S6299" t="s">
        <v>6552</v>
      </c>
      <c r="T6299" t="s">
        <v>948</v>
      </c>
    </row>
    <row r="6300" spans="1:20" x14ac:dyDescent="0.25">
      <c r="A6300" t="s">
        <v>59</v>
      </c>
      <c r="B6300" t="s">
        <v>60</v>
      </c>
      <c r="C6300" t="s">
        <v>32</v>
      </c>
      <c r="D6300" t="s">
        <v>771</v>
      </c>
      <c r="F6300" t="s">
        <v>35</v>
      </c>
      <c r="G6300" t="s">
        <v>35</v>
      </c>
      <c r="H6300" t="s">
        <v>35</v>
      </c>
      <c r="J6300" t="s">
        <v>6645</v>
      </c>
      <c r="K6300" t="s">
        <v>1092</v>
      </c>
      <c r="M6300">
        <v>2</v>
      </c>
      <c r="N6300">
        <v>1320</v>
      </c>
      <c r="O6300" t="s">
        <v>575</v>
      </c>
      <c r="Q6300" t="s">
        <v>6646</v>
      </c>
      <c r="R6300" t="s">
        <v>6551</v>
      </c>
      <c r="S6300" t="s">
        <v>6552</v>
      </c>
      <c r="T6300" t="s">
        <v>948</v>
      </c>
    </row>
    <row r="6301" spans="1:20" x14ac:dyDescent="0.25">
      <c r="A6301" t="s">
        <v>59</v>
      </c>
      <c r="B6301" t="s">
        <v>60</v>
      </c>
      <c r="C6301" t="s">
        <v>32</v>
      </c>
      <c r="D6301" t="s">
        <v>771</v>
      </c>
      <c r="F6301" t="s">
        <v>35</v>
      </c>
      <c r="G6301" t="s">
        <v>35</v>
      </c>
      <c r="H6301" t="s">
        <v>35</v>
      </c>
      <c r="J6301" t="s">
        <v>6645</v>
      </c>
      <c r="K6301" t="s">
        <v>1092</v>
      </c>
      <c r="M6301">
        <v>0.80900000000000005</v>
      </c>
      <c r="N6301">
        <v>1352</v>
      </c>
      <c r="O6301" t="s">
        <v>575</v>
      </c>
      <c r="Q6301" t="s">
        <v>6647</v>
      </c>
      <c r="R6301" t="s">
        <v>6551</v>
      </c>
      <c r="S6301" t="s">
        <v>6552</v>
      </c>
      <c r="T6301" t="s">
        <v>948</v>
      </c>
    </row>
    <row r="6302" spans="1:20" x14ac:dyDescent="0.25">
      <c r="A6302" t="s">
        <v>59</v>
      </c>
      <c r="B6302" t="s">
        <v>31</v>
      </c>
      <c r="C6302" t="s">
        <v>32</v>
      </c>
      <c r="D6302" t="s">
        <v>771</v>
      </c>
      <c r="E6302" t="s">
        <v>903</v>
      </c>
      <c r="F6302" t="s">
        <v>35</v>
      </c>
      <c r="G6302" t="s">
        <v>35</v>
      </c>
      <c r="H6302" t="s">
        <v>35</v>
      </c>
      <c r="J6302" t="s">
        <v>6554</v>
      </c>
      <c r="K6302" t="s">
        <v>1092</v>
      </c>
      <c r="M6302">
        <v>4.8600000000000003</v>
      </c>
      <c r="N6302">
        <v>33</v>
      </c>
      <c r="O6302" t="s">
        <v>52</v>
      </c>
      <c r="Q6302" t="s">
        <v>130</v>
      </c>
      <c r="R6302" t="s">
        <v>6169</v>
      </c>
      <c r="S6302" t="s">
        <v>904</v>
      </c>
      <c r="T6302" t="s">
        <v>905</v>
      </c>
    </row>
    <row r="6303" spans="1:20" x14ac:dyDescent="0.25">
      <c r="A6303" t="s">
        <v>59</v>
      </c>
      <c r="B6303" t="s">
        <v>60</v>
      </c>
      <c r="C6303" t="s">
        <v>32</v>
      </c>
      <c r="D6303" t="s">
        <v>771</v>
      </c>
      <c r="E6303" t="s">
        <v>6214</v>
      </c>
      <c r="F6303" t="s">
        <v>35</v>
      </c>
      <c r="G6303" t="s">
        <v>35</v>
      </c>
      <c r="H6303" t="s">
        <v>35</v>
      </c>
      <c r="J6303" t="s">
        <v>6233</v>
      </c>
      <c r="K6303" t="s">
        <v>1092</v>
      </c>
      <c r="M6303">
        <v>3</v>
      </c>
      <c r="N6303">
        <v>33</v>
      </c>
      <c r="O6303" t="s">
        <v>52</v>
      </c>
      <c r="Q6303" t="s">
        <v>130</v>
      </c>
      <c r="R6303" t="s">
        <v>6169</v>
      </c>
      <c r="S6303" t="s">
        <v>904</v>
      </c>
      <c r="T6303" t="s">
        <v>905</v>
      </c>
    </row>
    <row r="6304" spans="1:20" x14ac:dyDescent="0.25">
      <c r="A6304" t="s">
        <v>59</v>
      </c>
      <c r="B6304" t="s">
        <v>31</v>
      </c>
      <c r="C6304" t="s">
        <v>32</v>
      </c>
      <c r="D6304" t="s">
        <v>771</v>
      </c>
      <c r="E6304" t="s">
        <v>6214</v>
      </c>
      <c r="F6304" t="s">
        <v>35</v>
      </c>
      <c r="G6304" t="s">
        <v>35</v>
      </c>
      <c r="H6304" t="s">
        <v>35</v>
      </c>
      <c r="J6304" t="s">
        <v>6233</v>
      </c>
      <c r="K6304" t="s">
        <v>1092</v>
      </c>
      <c r="M6304">
        <v>3.96</v>
      </c>
      <c r="N6304">
        <v>33</v>
      </c>
      <c r="O6304" t="s">
        <v>52</v>
      </c>
      <c r="Q6304" t="s">
        <v>130</v>
      </c>
      <c r="R6304" t="s">
        <v>6169</v>
      </c>
      <c r="S6304" t="s">
        <v>904</v>
      </c>
      <c r="T6304" t="s">
        <v>905</v>
      </c>
    </row>
    <row r="6305" spans="1:20" x14ac:dyDescent="0.25">
      <c r="A6305" t="s">
        <v>59</v>
      </c>
      <c r="B6305" t="s">
        <v>31</v>
      </c>
      <c r="C6305" t="s">
        <v>32</v>
      </c>
      <c r="D6305" t="s">
        <v>771</v>
      </c>
      <c r="E6305" t="s">
        <v>6165</v>
      </c>
      <c r="F6305" t="s">
        <v>35</v>
      </c>
      <c r="G6305" t="s">
        <v>35</v>
      </c>
      <c r="H6305" t="s">
        <v>35</v>
      </c>
      <c r="J6305" t="s">
        <v>6167</v>
      </c>
      <c r="K6305" t="s">
        <v>1092</v>
      </c>
      <c r="M6305">
        <v>0.36</v>
      </c>
      <c r="N6305">
        <v>307</v>
      </c>
      <c r="O6305" t="s">
        <v>5</v>
      </c>
      <c r="Q6305" t="s">
        <v>6168</v>
      </c>
      <c r="R6305" t="s">
        <v>6169</v>
      </c>
      <c r="S6305" t="s">
        <v>904</v>
      </c>
      <c r="T6305" t="s">
        <v>905</v>
      </c>
    </row>
    <row r="6306" spans="1:20" x14ac:dyDescent="0.25">
      <c r="A6306" t="s">
        <v>59</v>
      </c>
      <c r="B6306" t="s">
        <v>60</v>
      </c>
      <c r="C6306" t="s">
        <v>32</v>
      </c>
      <c r="D6306" t="s">
        <v>771</v>
      </c>
      <c r="E6306" t="s">
        <v>903</v>
      </c>
      <c r="F6306" t="s">
        <v>35</v>
      </c>
      <c r="G6306" t="s">
        <v>35</v>
      </c>
      <c r="H6306" t="s">
        <v>35</v>
      </c>
      <c r="J6306" t="s">
        <v>6555</v>
      </c>
      <c r="K6306" t="s">
        <v>1092</v>
      </c>
      <c r="M6306">
        <v>6.1</v>
      </c>
      <c r="N6306">
        <v>33</v>
      </c>
      <c r="O6306" t="s">
        <v>52</v>
      </c>
      <c r="Q6306" t="s">
        <v>130</v>
      </c>
      <c r="R6306" t="s">
        <v>6169</v>
      </c>
      <c r="S6306" t="s">
        <v>904</v>
      </c>
      <c r="T6306" t="s">
        <v>905</v>
      </c>
    </row>
    <row r="6307" spans="1:20" x14ac:dyDescent="0.25">
      <c r="A6307" t="s">
        <v>59</v>
      </c>
      <c r="B6307" t="s">
        <v>31</v>
      </c>
      <c r="C6307" t="s">
        <v>32</v>
      </c>
      <c r="D6307" t="s">
        <v>771</v>
      </c>
      <c r="E6307" t="s">
        <v>6319</v>
      </c>
      <c r="F6307" t="s">
        <v>35</v>
      </c>
      <c r="G6307" t="s">
        <v>35</v>
      </c>
      <c r="H6307" t="s">
        <v>35</v>
      </c>
      <c r="J6307" t="s">
        <v>951</v>
      </c>
      <c r="K6307" t="s">
        <v>1092</v>
      </c>
      <c r="M6307">
        <v>9.99</v>
      </c>
      <c r="N6307">
        <v>33</v>
      </c>
      <c r="O6307" t="s">
        <v>52</v>
      </c>
      <c r="Q6307" t="s">
        <v>130</v>
      </c>
      <c r="R6307" t="s">
        <v>6169</v>
      </c>
      <c r="S6307" t="s">
        <v>904</v>
      </c>
      <c r="T6307" t="s">
        <v>905</v>
      </c>
    </row>
    <row r="6308" spans="1:20" x14ac:dyDescent="0.25">
      <c r="A6308" t="s">
        <v>30</v>
      </c>
      <c r="B6308" t="s">
        <v>31</v>
      </c>
      <c r="C6308" t="s">
        <v>32</v>
      </c>
      <c r="D6308" t="s">
        <v>771</v>
      </c>
      <c r="E6308" t="s">
        <v>6621</v>
      </c>
      <c r="F6308" t="s">
        <v>35</v>
      </c>
      <c r="G6308" t="s">
        <v>35</v>
      </c>
      <c r="H6308" t="s">
        <v>35</v>
      </c>
      <c r="J6308" t="s">
        <v>6625</v>
      </c>
      <c r="K6308" t="s">
        <v>1092</v>
      </c>
      <c r="M6308">
        <v>7.335</v>
      </c>
      <c r="N6308">
        <v>194</v>
      </c>
      <c r="O6308" t="s">
        <v>5</v>
      </c>
      <c r="Q6308" t="s">
        <v>1428</v>
      </c>
      <c r="R6308" t="s">
        <v>6169</v>
      </c>
      <c r="S6308" t="s">
        <v>904</v>
      </c>
      <c r="T6308" t="s">
        <v>905</v>
      </c>
    </row>
    <row r="6309" spans="1:20" x14ac:dyDescent="0.25">
      <c r="A6309" t="s">
        <v>30</v>
      </c>
      <c r="B6309" t="s">
        <v>31</v>
      </c>
      <c r="C6309" t="s">
        <v>32</v>
      </c>
      <c r="D6309" t="s">
        <v>771</v>
      </c>
      <c r="E6309" t="s">
        <v>6319</v>
      </c>
      <c r="F6309" t="s">
        <v>35</v>
      </c>
      <c r="G6309" t="s">
        <v>35</v>
      </c>
      <c r="H6309" t="s">
        <v>35</v>
      </c>
      <c r="J6309" t="s">
        <v>6336</v>
      </c>
      <c r="K6309" t="s">
        <v>1092</v>
      </c>
      <c r="M6309">
        <v>19.98</v>
      </c>
      <c r="N6309">
        <v>18</v>
      </c>
      <c r="O6309" t="s">
        <v>46</v>
      </c>
      <c r="Q6309" t="s">
        <v>831</v>
      </c>
      <c r="R6309" t="s">
        <v>6169</v>
      </c>
      <c r="S6309" t="s">
        <v>904</v>
      </c>
      <c r="T6309" t="s">
        <v>905</v>
      </c>
    </row>
    <row r="6310" spans="1:20" x14ac:dyDescent="0.25">
      <c r="A6310" t="s">
        <v>59</v>
      </c>
      <c r="B6310" t="s">
        <v>31</v>
      </c>
      <c r="C6310" t="s">
        <v>32</v>
      </c>
      <c r="D6310" t="s">
        <v>771</v>
      </c>
      <c r="E6310" t="s">
        <v>903</v>
      </c>
      <c r="F6310" t="s">
        <v>35</v>
      </c>
      <c r="G6310" t="s">
        <v>35</v>
      </c>
      <c r="H6310" t="s">
        <v>35</v>
      </c>
      <c r="J6310" t="s">
        <v>904</v>
      </c>
      <c r="K6310" t="s">
        <v>1092</v>
      </c>
      <c r="M6310">
        <v>19.215</v>
      </c>
      <c r="N6310">
        <v>16</v>
      </c>
      <c r="O6310" t="s">
        <v>46</v>
      </c>
      <c r="Q6310" t="s">
        <v>1819</v>
      </c>
      <c r="R6310" t="s">
        <v>6169</v>
      </c>
      <c r="S6310" t="s">
        <v>904</v>
      </c>
      <c r="T6310" t="s">
        <v>905</v>
      </c>
    </row>
    <row r="6311" spans="1:20" x14ac:dyDescent="0.25">
      <c r="A6311" t="s">
        <v>30</v>
      </c>
      <c r="B6311" t="s">
        <v>31</v>
      </c>
      <c r="C6311" t="s">
        <v>32</v>
      </c>
      <c r="D6311" t="s">
        <v>771</v>
      </c>
      <c r="E6311" t="s">
        <v>865</v>
      </c>
      <c r="F6311" t="s">
        <v>35</v>
      </c>
      <c r="G6311" t="s">
        <v>35</v>
      </c>
      <c r="H6311" t="s">
        <v>35</v>
      </c>
      <c r="J6311" t="s">
        <v>6372</v>
      </c>
      <c r="K6311" t="s">
        <v>1092</v>
      </c>
      <c r="M6311">
        <v>9.99</v>
      </c>
      <c r="N6311">
        <v>18</v>
      </c>
      <c r="O6311" t="s">
        <v>46</v>
      </c>
      <c r="Q6311" t="s">
        <v>831</v>
      </c>
      <c r="R6311" t="s">
        <v>6169</v>
      </c>
      <c r="S6311" t="s">
        <v>904</v>
      </c>
      <c r="T6311" t="s">
        <v>905</v>
      </c>
    </row>
    <row r="6312" spans="1:20" x14ac:dyDescent="0.25">
      <c r="A6312" t="s">
        <v>59</v>
      </c>
      <c r="B6312" t="s">
        <v>31</v>
      </c>
      <c r="C6312" t="s">
        <v>32</v>
      </c>
      <c r="D6312" t="s">
        <v>771</v>
      </c>
      <c r="E6312" t="s">
        <v>845</v>
      </c>
      <c r="F6312" t="s">
        <v>35</v>
      </c>
      <c r="G6312" t="s">
        <v>35</v>
      </c>
      <c r="H6312" t="s">
        <v>35</v>
      </c>
      <c r="J6312" t="s">
        <v>6287</v>
      </c>
      <c r="K6312" t="s">
        <v>1092</v>
      </c>
      <c r="M6312">
        <v>0.27</v>
      </c>
      <c r="N6312">
        <v>184</v>
      </c>
      <c r="O6312" t="s">
        <v>5</v>
      </c>
      <c r="Q6312" t="s">
        <v>1569</v>
      </c>
      <c r="R6312" t="s">
        <v>6169</v>
      </c>
      <c r="S6312" t="s">
        <v>904</v>
      </c>
      <c r="T6312" t="s">
        <v>905</v>
      </c>
    </row>
    <row r="6313" spans="1:20" x14ac:dyDescent="0.25">
      <c r="A6313" t="s">
        <v>59</v>
      </c>
      <c r="B6313" t="s">
        <v>60</v>
      </c>
      <c r="C6313" t="s">
        <v>32</v>
      </c>
      <c r="D6313" t="s">
        <v>771</v>
      </c>
      <c r="E6313" t="s">
        <v>6214</v>
      </c>
      <c r="F6313" t="s">
        <v>35</v>
      </c>
      <c r="G6313" t="s">
        <v>35</v>
      </c>
      <c r="H6313" t="s">
        <v>35</v>
      </c>
      <c r="J6313" t="s">
        <v>6253</v>
      </c>
      <c r="K6313" t="s">
        <v>1092</v>
      </c>
      <c r="M6313">
        <v>7</v>
      </c>
      <c r="N6313">
        <v>33</v>
      </c>
      <c r="O6313" t="s">
        <v>52</v>
      </c>
      <c r="Q6313" t="s">
        <v>130</v>
      </c>
      <c r="R6313" t="s">
        <v>6169</v>
      </c>
      <c r="S6313" t="s">
        <v>904</v>
      </c>
      <c r="T6313" t="s">
        <v>905</v>
      </c>
    </row>
    <row r="6314" spans="1:20" x14ac:dyDescent="0.25">
      <c r="A6314" t="s">
        <v>59</v>
      </c>
      <c r="B6314" t="s">
        <v>31</v>
      </c>
      <c r="C6314" t="s">
        <v>32</v>
      </c>
      <c r="D6314" t="s">
        <v>771</v>
      </c>
      <c r="E6314" t="s">
        <v>6214</v>
      </c>
      <c r="F6314" t="s">
        <v>35</v>
      </c>
      <c r="G6314" t="s">
        <v>35</v>
      </c>
      <c r="H6314" t="s">
        <v>35</v>
      </c>
      <c r="J6314" t="s">
        <v>6253</v>
      </c>
      <c r="K6314" t="s">
        <v>1092</v>
      </c>
      <c r="M6314">
        <v>7.02</v>
      </c>
      <c r="N6314">
        <v>33</v>
      </c>
      <c r="O6314" t="s">
        <v>52</v>
      </c>
      <c r="Q6314" t="s">
        <v>130</v>
      </c>
      <c r="R6314" t="s">
        <v>6169</v>
      </c>
      <c r="S6314" t="s">
        <v>904</v>
      </c>
      <c r="T6314" t="s">
        <v>905</v>
      </c>
    </row>
    <row r="6315" spans="1:20" x14ac:dyDescent="0.25">
      <c r="A6315" t="s">
        <v>59</v>
      </c>
      <c r="B6315" t="s">
        <v>60</v>
      </c>
      <c r="C6315" t="s">
        <v>32</v>
      </c>
      <c r="D6315" t="s">
        <v>771</v>
      </c>
      <c r="E6315" t="s">
        <v>6214</v>
      </c>
      <c r="F6315" t="s">
        <v>35</v>
      </c>
      <c r="G6315" t="s">
        <v>35</v>
      </c>
      <c r="H6315" t="s">
        <v>35</v>
      </c>
      <c r="J6315" t="s">
        <v>6228</v>
      </c>
      <c r="K6315" t="s">
        <v>1092</v>
      </c>
      <c r="M6315">
        <v>5</v>
      </c>
      <c r="N6315">
        <v>33</v>
      </c>
      <c r="O6315" t="s">
        <v>52</v>
      </c>
      <c r="Q6315" t="s">
        <v>130</v>
      </c>
      <c r="R6315" t="s">
        <v>6169</v>
      </c>
      <c r="S6315" t="s">
        <v>904</v>
      </c>
      <c r="T6315" t="s">
        <v>905</v>
      </c>
    </row>
    <row r="6316" spans="1:20" x14ac:dyDescent="0.25">
      <c r="A6316" t="s">
        <v>59</v>
      </c>
      <c r="B6316" t="s">
        <v>31</v>
      </c>
      <c r="C6316" t="s">
        <v>32</v>
      </c>
      <c r="D6316" t="s">
        <v>771</v>
      </c>
      <c r="E6316" t="s">
        <v>6214</v>
      </c>
      <c r="F6316" t="s">
        <v>35</v>
      </c>
      <c r="G6316" t="s">
        <v>35</v>
      </c>
      <c r="H6316" t="s">
        <v>35</v>
      </c>
      <c r="J6316" t="s">
        <v>6228</v>
      </c>
      <c r="K6316" t="s">
        <v>1092</v>
      </c>
      <c r="M6316">
        <v>0.495</v>
      </c>
      <c r="N6316">
        <v>33</v>
      </c>
      <c r="O6316" t="s">
        <v>52</v>
      </c>
      <c r="Q6316" t="s">
        <v>130</v>
      </c>
      <c r="R6316" t="s">
        <v>6169</v>
      </c>
      <c r="S6316" t="s">
        <v>904</v>
      </c>
      <c r="T6316" t="s">
        <v>905</v>
      </c>
    </row>
    <row r="6317" spans="1:20" x14ac:dyDescent="0.25">
      <c r="A6317" t="s">
        <v>59</v>
      </c>
      <c r="B6317" t="s">
        <v>60</v>
      </c>
      <c r="C6317" t="s">
        <v>32</v>
      </c>
      <c r="D6317" t="s">
        <v>771</v>
      </c>
      <c r="F6317" t="s">
        <v>35</v>
      </c>
      <c r="G6317" t="s">
        <v>35</v>
      </c>
      <c r="H6317" t="s">
        <v>35</v>
      </c>
      <c r="J6317" t="s">
        <v>6654</v>
      </c>
      <c r="K6317" t="s">
        <v>1092</v>
      </c>
      <c r="M6317">
        <v>0.85</v>
      </c>
      <c r="N6317">
        <v>33</v>
      </c>
      <c r="O6317" t="s">
        <v>52</v>
      </c>
      <c r="Q6317" t="s">
        <v>130</v>
      </c>
      <c r="R6317" t="s">
        <v>6169</v>
      </c>
      <c r="S6317" t="s">
        <v>904</v>
      </c>
      <c r="T6317" t="s">
        <v>905</v>
      </c>
    </row>
    <row r="6318" spans="1:20" x14ac:dyDescent="0.25">
      <c r="A6318" t="s">
        <v>59</v>
      </c>
      <c r="B6318" t="s">
        <v>60</v>
      </c>
      <c r="C6318" t="s">
        <v>32</v>
      </c>
      <c r="D6318" t="s">
        <v>771</v>
      </c>
      <c r="E6318" t="s">
        <v>6214</v>
      </c>
      <c r="F6318" t="s">
        <v>35</v>
      </c>
      <c r="G6318" t="s">
        <v>35</v>
      </c>
      <c r="H6318" t="s">
        <v>35</v>
      </c>
      <c r="J6318" t="s">
        <v>6230</v>
      </c>
      <c r="K6318" t="s">
        <v>1092</v>
      </c>
      <c r="M6318">
        <v>0.3</v>
      </c>
      <c r="N6318">
        <v>33</v>
      </c>
      <c r="O6318" t="s">
        <v>52</v>
      </c>
      <c r="Q6318" t="s">
        <v>130</v>
      </c>
      <c r="R6318" t="s">
        <v>6169</v>
      </c>
      <c r="S6318" t="s">
        <v>904</v>
      </c>
      <c r="T6318" t="s">
        <v>905</v>
      </c>
    </row>
    <row r="6319" spans="1:20" x14ac:dyDescent="0.25">
      <c r="A6319" t="s">
        <v>59</v>
      </c>
      <c r="B6319" t="s">
        <v>31</v>
      </c>
      <c r="C6319" t="s">
        <v>32</v>
      </c>
      <c r="D6319" t="s">
        <v>771</v>
      </c>
      <c r="E6319" t="s">
        <v>6214</v>
      </c>
      <c r="F6319" t="s">
        <v>35</v>
      </c>
      <c r="G6319" t="s">
        <v>35</v>
      </c>
      <c r="H6319" t="s">
        <v>35</v>
      </c>
      <c r="J6319" t="s">
        <v>2424</v>
      </c>
      <c r="K6319" t="s">
        <v>1092</v>
      </c>
      <c r="M6319">
        <v>0.09</v>
      </c>
      <c r="N6319">
        <v>33</v>
      </c>
      <c r="O6319" t="s">
        <v>52</v>
      </c>
      <c r="Q6319" t="s">
        <v>130</v>
      </c>
      <c r="R6319" t="s">
        <v>6169</v>
      </c>
      <c r="S6319" t="s">
        <v>904</v>
      </c>
      <c r="T6319" t="s">
        <v>905</v>
      </c>
    </row>
    <row r="6320" spans="1:20" x14ac:dyDescent="0.25">
      <c r="A6320" t="s">
        <v>59</v>
      </c>
      <c r="B6320" t="s">
        <v>60</v>
      </c>
      <c r="C6320" t="s">
        <v>32</v>
      </c>
      <c r="D6320" t="s">
        <v>771</v>
      </c>
      <c r="E6320" t="s">
        <v>783</v>
      </c>
      <c r="F6320" t="s">
        <v>35</v>
      </c>
      <c r="G6320" t="s">
        <v>35</v>
      </c>
      <c r="H6320" t="s">
        <v>35</v>
      </c>
      <c r="J6320" t="s">
        <v>784</v>
      </c>
      <c r="K6320" t="s">
        <v>37</v>
      </c>
      <c r="M6320">
        <v>50</v>
      </c>
      <c r="N6320">
        <v>40</v>
      </c>
      <c r="O6320" t="s">
        <v>52</v>
      </c>
      <c r="P6320" t="s">
        <v>786</v>
      </c>
      <c r="Q6320" t="s">
        <v>132</v>
      </c>
      <c r="R6320" t="s">
        <v>91</v>
      </c>
      <c r="S6320" t="s">
        <v>92</v>
      </c>
    </row>
    <row r="6321" spans="1:19" x14ac:dyDescent="0.25">
      <c r="A6321" t="s">
        <v>44</v>
      </c>
      <c r="B6321" t="s">
        <v>51</v>
      </c>
      <c r="C6321" t="s">
        <v>32</v>
      </c>
      <c r="D6321" t="s">
        <v>771</v>
      </c>
      <c r="E6321" t="s">
        <v>783</v>
      </c>
      <c r="F6321" t="s">
        <v>35</v>
      </c>
      <c r="G6321" t="s">
        <v>35</v>
      </c>
      <c r="H6321" t="s">
        <v>35</v>
      </c>
      <c r="J6321" t="s">
        <v>784</v>
      </c>
      <c r="K6321" t="s">
        <v>37</v>
      </c>
      <c r="M6321">
        <v>37</v>
      </c>
      <c r="N6321">
        <v>41</v>
      </c>
      <c r="O6321" t="s">
        <v>52</v>
      </c>
      <c r="P6321" t="s">
        <v>787</v>
      </c>
      <c r="Q6321" t="s">
        <v>496</v>
      </c>
      <c r="R6321" t="s">
        <v>91</v>
      </c>
      <c r="S6321" t="s">
        <v>92</v>
      </c>
    </row>
    <row r="6322" spans="1:19" x14ac:dyDescent="0.25">
      <c r="A6322" t="s">
        <v>44</v>
      </c>
      <c r="B6322" t="s">
        <v>51</v>
      </c>
      <c r="C6322" t="s">
        <v>32</v>
      </c>
      <c r="D6322" t="s">
        <v>771</v>
      </c>
      <c r="E6322" t="s">
        <v>783</v>
      </c>
      <c r="F6322" t="s">
        <v>35</v>
      </c>
      <c r="G6322" t="s">
        <v>35</v>
      </c>
      <c r="H6322" t="s">
        <v>35</v>
      </c>
      <c r="J6322" t="s">
        <v>784</v>
      </c>
      <c r="K6322" t="s">
        <v>37</v>
      </c>
      <c r="M6322">
        <v>46.5</v>
      </c>
      <c r="N6322">
        <v>41</v>
      </c>
      <c r="O6322" t="s">
        <v>52</v>
      </c>
      <c r="P6322" t="s">
        <v>788</v>
      </c>
      <c r="Q6322" t="s">
        <v>496</v>
      </c>
      <c r="R6322" t="s">
        <v>91</v>
      </c>
      <c r="S6322" t="s">
        <v>92</v>
      </c>
    </row>
    <row r="6323" spans="1:19" x14ac:dyDescent="0.25">
      <c r="A6323" t="s">
        <v>30</v>
      </c>
      <c r="B6323" t="s">
        <v>31</v>
      </c>
      <c r="C6323" t="s">
        <v>32</v>
      </c>
      <c r="D6323" t="s">
        <v>771</v>
      </c>
      <c r="E6323" t="s">
        <v>783</v>
      </c>
      <c r="F6323" t="s">
        <v>35</v>
      </c>
      <c r="G6323" t="s">
        <v>35</v>
      </c>
      <c r="H6323" t="s">
        <v>35</v>
      </c>
      <c r="J6323" t="s">
        <v>784</v>
      </c>
      <c r="K6323" t="s">
        <v>37</v>
      </c>
      <c r="M6323">
        <v>7.02</v>
      </c>
      <c r="N6323">
        <v>42</v>
      </c>
      <c r="O6323" t="s">
        <v>52</v>
      </c>
      <c r="P6323" t="s">
        <v>789</v>
      </c>
      <c r="Q6323" t="s">
        <v>219</v>
      </c>
      <c r="R6323" t="s">
        <v>91</v>
      </c>
      <c r="S6323" t="s">
        <v>92</v>
      </c>
    </row>
    <row r="6324" spans="1:19" x14ac:dyDescent="0.25">
      <c r="A6324" t="s">
        <v>59</v>
      </c>
      <c r="B6324" t="s">
        <v>60</v>
      </c>
      <c r="C6324" t="s">
        <v>32</v>
      </c>
      <c r="D6324" t="s">
        <v>771</v>
      </c>
      <c r="E6324" t="s">
        <v>783</v>
      </c>
      <c r="F6324" t="s">
        <v>35</v>
      </c>
      <c r="G6324" t="s">
        <v>35</v>
      </c>
      <c r="H6324" t="s">
        <v>35</v>
      </c>
      <c r="J6324" t="s">
        <v>784</v>
      </c>
      <c r="K6324" t="s">
        <v>37</v>
      </c>
      <c r="M6324">
        <v>8</v>
      </c>
      <c r="N6324">
        <v>40</v>
      </c>
      <c r="O6324" t="s">
        <v>52</v>
      </c>
      <c r="P6324" t="s">
        <v>790</v>
      </c>
      <c r="Q6324" t="s">
        <v>132</v>
      </c>
      <c r="R6324" t="s">
        <v>91</v>
      </c>
      <c r="S6324" t="s">
        <v>92</v>
      </c>
    </row>
    <row r="6325" spans="1:19" x14ac:dyDescent="0.25">
      <c r="A6325" t="s">
        <v>59</v>
      </c>
      <c r="B6325" t="s">
        <v>31</v>
      </c>
      <c r="C6325" t="s">
        <v>32</v>
      </c>
      <c r="D6325" t="s">
        <v>771</v>
      </c>
      <c r="E6325" t="s">
        <v>783</v>
      </c>
      <c r="F6325" t="s">
        <v>35</v>
      </c>
      <c r="G6325" t="s">
        <v>35</v>
      </c>
      <c r="H6325" t="s">
        <v>35</v>
      </c>
      <c r="J6325" t="s">
        <v>784</v>
      </c>
      <c r="K6325" t="s">
        <v>37</v>
      </c>
      <c r="M6325">
        <v>8.2349999999999994</v>
      </c>
      <c r="N6325">
        <v>40</v>
      </c>
      <c r="O6325" t="s">
        <v>52</v>
      </c>
      <c r="P6325" t="s">
        <v>791</v>
      </c>
      <c r="Q6325" t="s">
        <v>132</v>
      </c>
      <c r="R6325" t="s">
        <v>91</v>
      </c>
      <c r="S6325" t="s">
        <v>92</v>
      </c>
    </row>
    <row r="6326" spans="1:19" x14ac:dyDescent="0.25">
      <c r="A6326" t="s">
        <v>30</v>
      </c>
      <c r="B6326" t="s">
        <v>31</v>
      </c>
      <c r="C6326" t="s">
        <v>32</v>
      </c>
      <c r="D6326" t="s">
        <v>771</v>
      </c>
      <c r="F6326" t="s">
        <v>35</v>
      </c>
      <c r="G6326" t="s">
        <v>35</v>
      </c>
      <c r="H6326" t="s">
        <v>35</v>
      </c>
      <c r="J6326" t="s">
        <v>937</v>
      </c>
      <c r="K6326" t="s">
        <v>37</v>
      </c>
      <c r="M6326">
        <v>5.085</v>
      </c>
      <c r="N6326">
        <v>42</v>
      </c>
      <c r="O6326" t="s">
        <v>52</v>
      </c>
      <c r="P6326" t="s">
        <v>939</v>
      </c>
      <c r="Q6326" t="s">
        <v>219</v>
      </c>
      <c r="R6326" t="s">
        <v>91</v>
      </c>
      <c r="S6326" t="s">
        <v>92</v>
      </c>
    </row>
    <row r="6327" spans="1:19" x14ac:dyDescent="0.25">
      <c r="A6327" t="s">
        <v>59</v>
      </c>
      <c r="B6327" t="s">
        <v>31</v>
      </c>
      <c r="C6327" t="s">
        <v>32</v>
      </c>
      <c r="D6327" t="s">
        <v>771</v>
      </c>
      <c r="F6327" t="s">
        <v>35</v>
      </c>
      <c r="G6327" t="s">
        <v>35</v>
      </c>
      <c r="H6327" t="s">
        <v>35</v>
      </c>
      <c r="J6327" t="s">
        <v>937</v>
      </c>
      <c r="K6327" t="s">
        <v>37</v>
      </c>
      <c r="M6327">
        <v>41.85</v>
      </c>
      <c r="N6327">
        <v>86</v>
      </c>
      <c r="O6327" t="s">
        <v>61</v>
      </c>
      <c r="P6327" t="s">
        <v>940</v>
      </c>
      <c r="Q6327" t="s">
        <v>941</v>
      </c>
      <c r="R6327" t="s">
        <v>91</v>
      </c>
      <c r="S6327" t="s">
        <v>92</v>
      </c>
    </row>
    <row r="6328" spans="1:19" x14ac:dyDescent="0.25">
      <c r="A6328" t="s">
        <v>59</v>
      </c>
      <c r="B6328" t="s">
        <v>31</v>
      </c>
      <c r="C6328" t="s">
        <v>32</v>
      </c>
      <c r="D6328" t="s">
        <v>771</v>
      </c>
      <c r="F6328" t="s">
        <v>35</v>
      </c>
      <c r="G6328" t="s">
        <v>35</v>
      </c>
      <c r="H6328" t="s">
        <v>35</v>
      </c>
      <c r="J6328" t="s">
        <v>937</v>
      </c>
      <c r="K6328" t="s">
        <v>37</v>
      </c>
      <c r="M6328">
        <v>46.98</v>
      </c>
      <c r="N6328">
        <v>40</v>
      </c>
      <c r="O6328" t="s">
        <v>52</v>
      </c>
      <c r="P6328" t="s">
        <v>942</v>
      </c>
      <c r="Q6328" t="s">
        <v>132</v>
      </c>
      <c r="R6328" t="s">
        <v>91</v>
      </c>
      <c r="S6328" t="s">
        <v>92</v>
      </c>
    </row>
    <row r="6329" spans="1:19" x14ac:dyDescent="0.25">
      <c r="A6329" t="s">
        <v>44</v>
      </c>
      <c r="B6329" t="s">
        <v>51</v>
      </c>
      <c r="C6329" t="s">
        <v>32</v>
      </c>
      <c r="D6329" t="s">
        <v>771</v>
      </c>
      <c r="F6329" t="s">
        <v>35</v>
      </c>
      <c r="G6329" t="s">
        <v>35</v>
      </c>
      <c r="H6329" t="s">
        <v>35</v>
      </c>
      <c r="J6329" t="s">
        <v>947</v>
      </c>
      <c r="K6329" t="s">
        <v>37</v>
      </c>
      <c r="M6329">
        <v>15</v>
      </c>
      <c r="N6329">
        <v>77</v>
      </c>
      <c r="O6329" t="s">
        <v>61</v>
      </c>
      <c r="P6329" t="s">
        <v>949</v>
      </c>
      <c r="Q6329" t="s">
        <v>778</v>
      </c>
      <c r="R6329" t="s">
        <v>91</v>
      </c>
      <c r="S6329" t="s">
        <v>92</v>
      </c>
    </row>
    <row r="6330" spans="1:19" x14ac:dyDescent="0.25">
      <c r="A6330" t="s">
        <v>59</v>
      </c>
      <c r="B6330" t="s">
        <v>60</v>
      </c>
      <c r="C6330" t="s">
        <v>32</v>
      </c>
      <c r="D6330" t="s">
        <v>771</v>
      </c>
      <c r="F6330" t="s">
        <v>35</v>
      </c>
      <c r="G6330" t="s">
        <v>35</v>
      </c>
      <c r="H6330" t="s">
        <v>35</v>
      </c>
      <c r="J6330" t="s">
        <v>947</v>
      </c>
      <c r="K6330" t="s">
        <v>37</v>
      </c>
      <c r="M6330">
        <v>7</v>
      </c>
      <c r="N6330">
        <v>40</v>
      </c>
      <c r="O6330" t="s">
        <v>52</v>
      </c>
      <c r="P6330" t="s">
        <v>950</v>
      </c>
      <c r="Q6330" t="s">
        <v>132</v>
      </c>
      <c r="R6330" t="s">
        <v>91</v>
      </c>
      <c r="S6330" t="s">
        <v>92</v>
      </c>
    </row>
    <row r="6331" spans="1:19" x14ac:dyDescent="0.25">
      <c r="A6331" t="s">
        <v>44</v>
      </c>
      <c r="B6331" t="s">
        <v>51</v>
      </c>
      <c r="C6331" t="s">
        <v>32</v>
      </c>
      <c r="D6331" t="s">
        <v>771</v>
      </c>
      <c r="E6331" t="s">
        <v>871</v>
      </c>
      <c r="F6331" t="s">
        <v>35</v>
      </c>
      <c r="G6331" t="s">
        <v>35</v>
      </c>
      <c r="H6331" t="s">
        <v>35</v>
      </c>
      <c r="J6331" t="s">
        <v>872</v>
      </c>
      <c r="K6331" t="s">
        <v>37</v>
      </c>
      <c r="M6331">
        <v>2.5</v>
      </c>
      <c r="N6331">
        <v>77</v>
      </c>
      <c r="O6331" t="s">
        <v>61</v>
      </c>
      <c r="P6331" t="s">
        <v>874</v>
      </c>
      <c r="Q6331" t="s">
        <v>778</v>
      </c>
      <c r="R6331" t="s">
        <v>91</v>
      </c>
      <c r="S6331" t="s">
        <v>92</v>
      </c>
    </row>
    <row r="6332" spans="1:19" x14ac:dyDescent="0.25">
      <c r="A6332" t="s">
        <v>59</v>
      </c>
      <c r="B6332" t="s">
        <v>60</v>
      </c>
      <c r="C6332" t="s">
        <v>32</v>
      </c>
      <c r="D6332" t="s">
        <v>771</v>
      </c>
      <c r="E6332" t="s">
        <v>783</v>
      </c>
      <c r="F6332" t="s">
        <v>35</v>
      </c>
      <c r="G6332" t="s">
        <v>35</v>
      </c>
      <c r="H6332" t="s">
        <v>35</v>
      </c>
      <c r="J6332" t="s">
        <v>817</v>
      </c>
      <c r="K6332" t="s">
        <v>37</v>
      </c>
      <c r="M6332">
        <v>20</v>
      </c>
      <c r="N6332">
        <v>40</v>
      </c>
      <c r="O6332" t="s">
        <v>52</v>
      </c>
      <c r="P6332" t="s">
        <v>819</v>
      </c>
      <c r="Q6332" t="s">
        <v>132</v>
      </c>
      <c r="R6332" t="s">
        <v>91</v>
      </c>
      <c r="S6332" t="s">
        <v>92</v>
      </c>
    </row>
    <row r="6333" spans="1:19" x14ac:dyDescent="0.25">
      <c r="A6333" t="s">
        <v>44</v>
      </c>
      <c r="B6333" t="s">
        <v>51</v>
      </c>
      <c r="C6333" t="s">
        <v>32</v>
      </c>
      <c r="D6333" t="s">
        <v>771</v>
      </c>
      <c r="E6333" t="s">
        <v>875</v>
      </c>
      <c r="F6333" t="s">
        <v>35</v>
      </c>
      <c r="G6333" t="s">
        <v>35</v>
      </c>
      <c r="H6333" t="s">
        <v>35</v>
      </c>
      <c r="J6333" t="s">
        <v>850</v>
      </c>
      <c r="K6333" t="s">
        <v>37</v>
      </c>
      <c r="M6333">
        <v>20</v>
      </c>
      <c r="N6333">
        <v>56</v>
      </c>
      <c r="O6333" t="s">
        <v>52</v>
      </c>
      <c r="P6333" t="s">
        <v>876</v>
      </c>
      <c r="Q6333" t="s">
        <v>423</v>
      </c>
      <c r="R6333" t="s">
        <v>91</v>
      </c>
      <c r="S6333" t="s">
        <v>92</v>
      </c>
    </row>
    <row r="6334" spans="1:19" x14ac:dyDescent="0.25">
      <c r="A6334" t="s">
        <v>44</v>
      </c>
      <c r="B6334" t="s">
        <v>51</v>
      </c>
      <c r="C6334" t="s">
        <v>32</v>
      </c>
      <c r="D6334" t="s">
        <v>771</v>
      </c>
      <c r="E6334" t="s">
        <v>875</v>
      </c>
      <c r="F6334" t="s">
        <v>35</v>
      </c>
      <c r="G6334" t="s">
        <v>35</v>
      </c>
      <c r="H6334" t="s">
        <v>35</v>
      </c>
      <c r="J6334" t="s">
        <v>850</v>
      </c>
      <c r="K6334" t="s">
        <v>37</v>
      </c>
      <c r="M6334">
        <v>10</v>
      </c>
      <c r="N6334">
        <v>31</v>
      </c>
      <c r="O6334" t="s">
        <v>52</v>
      </c>
      <c r="P6334" t="s">
        <v>877</v>
      </c>
      <c r="Q6334" t="s">
        <v>748</v>
      </c>
      <c r="R6334" t="s">
        <v>91</v>
      </c>
      <c r="S6334" t="s">
        <v>92</v>
      </c>
    </row>
    <row r="6335" spans="1:19" x14ac:dyDescent="0.25">
      <c r="A6335" t="s">
        <v>59</v>
      </c>
      <c r="B6335" t="s">
        <v>60</v>
      </c>
      <c r="C6335" t="s">
        <v>32</v>
      </c>
      <c r="D6335" t="s">
        <v>771</v>
      </c>
      <c r="E6335" t="s">
        <v>875</v>
      </c>
      <c r="F6335" t="s">
        <v>35</v>
      </c>
      <c r="G6335" t="s">
        <v>35</v>
      </c>
      <c r="H6335" t="s">
        <v>35</v>
      </c>
      <c r="J6335" t="s">
        <v>850</v>
      </c>
      <c r="K6335" t="s">
        <v>37</v>
      </c>
      <c r="M6335">
        <v>54</v>
      </c>
      <c r="N6335">
        <v>40</v>
      </c>
      <c r="O6335" t="s">
        <v>52</v>
      </c>
      <c r="P6335" t="s">
        <v>878</v>
      </c>
      <c r="Q6335" t="s">
        <v>132</v>
      </c>
      <c r="R6335" t="s">
        <v>91</v>
      </c>
      <c r="S6335" t="s">
        <v>92</v>
      </c>
    </row>
    <row r="6336" spans="1:19" x14ac:dyDescent="0.25">
      <c r="A6336" t="s">
        <v>59</v>
      </c>
      <c r="B6336" t="s">
        <v>31</v>
      </c>
      <c r="C6336" t="s">
        <v>32</v>
      </c>
      <c r="D6336" t="s">
        <v>771</v>
      </c>
      <c r="E6336" t="s">
        <v>875</v>
      </c>
      <c r="F6336" t="s">
        <v>35</v>
      </c>
      <c r="G6336" t="s">
        <v>35</v>
      </c>
      <c r="H6336" t="s">
        <v>35</v>
      </c>
      <c r="J6336" t="s">
        <v>850</v>
      </c>
      <c r="K6336" t="s">
        <v>37</v>
      </c>
      <c r="M6336">
        <v>7.74</v>
      </c>
      <c r="N6336">
        <v>40</v>
      </c>
      <c r="O6336" t="s">
        <v>52</v>
      </c>
      <c r="P6336" t="s">
        <v>879</v>
      </c>
      <c r="Q6336" t="s">
        <v>132</v>
      </c>
      <c r="R6336" t="s">
        <v>91</v>
      </c>
      <c r="S6336" t="s">
        <v>92</v>
      </c>
    </row>
    <row r="6337" spans="1:19" x14ac:dyDescent="0.25">
      <c r="A6337" t="s">
        <v>44</v>
      </c>
      <c r="B6337" t="s">
        <v>51</v>
      </c>
      <c r="C6337" t="s">
        <v>32</v>
      </c>
      <c r="D6337" t="s">
        <v>771</v>
      </c>
      <c r="E6337" t="s">
        <v>875</v>
      </c>
      <c r="F6337" t="s">
        <v>35</v>
      </c>
      <c r="G6337" t="s">
        <v>35</v>
      </c>
      <c r="H6337" t="s">
        <v>35</v>
      </c>
      <c r="J6337" t="s">
        <v>850</v>
      </c>
      <c r="K6337" t="s">
        <v>37</v>
      </c>
      <c r="M6337">
        <v>50</v>
      </c>
      <c r="N6337">
        <v>56</v>
      </c>
      <c r="O6337" t="s">
        <v>52</v>
      </c>
      <c r="P6337" t="s">
        <v>880</v>
      </c>
      <c r="Q6337" t="s">
        <v>423</v>
      </c>
      <c r="R6337" t="s">
        <v>91</v>
      </c>
      <c r="S6337" t="s">
        <v>92</v>
      </c>
    </row>
    <row r="6338" spans="1:19" x14ac:dyDescent="0.25">
      <c r="A6338" t="s">
        <v>59</v>
      </c>
      <c r="B6338" t="s">
        <v>60</v>
      </c>
      <c r="C6338" t="s">
        <v>32</v>
      </c>
      <c r="D6338" t="s">
        <v>771</v>
      </c>
      <c r="E6338" t="s">
        <v>875</v>
      </c>
      <c r="F6338" t="s">
        <v>35</v>
      </c>
      <c r="G6338" t="s">
        <v>35</v>
      </c>
      <c r="H6338" t="s">
        <v>35</v>
      </c>
      <c r="J6338" t="s">
        <v>850</v>
      </c>
      <c r="K6338" t="s">
        <v>37</v>
      </c>
      <c r="M6338">
        <v>28.25</v>
      </c>
      <c r="N6338">
        <v>40</v>
      </c>
      <c r="O6338" t="s">
        <v>52</v>
      </c>
      <c r="P6338" t="s">
        <v>881</v>
      </c>
      <c r="Q6338" t="s">
        <v>132</v>
      </c>
      <c r="R6338" t="s">
        <v>91</v>
      </c>
      <c r="S6338" t="s">
        <v>92</v>
      </c>
    </row>
    <row r="6339" spans="1:19" x14ac:dyDescent="0.25">
      <c r="A6339" t="s">
        <v>59</v>
      </c>
      <c r="B6339" t="s">
        <v>60</v>
      </c>
      <c r="C6339" t="s">
        <v>32</v>
      </c>
      <c r="D6339" t="s">
        <v>771</v>
      </c>
      <c r="E6339" t="s">
        <v>875</v>
      </c>
      <c r="F6339" t="s">
        <v>35</v>
      </c>
      <c r="G6339" t="s">
        <v>35</v>
      </c>
      <c r="H6339" t="s">
        <v>35</v>
      </c>
      <c r="J6339" t="s">
        <v>850</v>
      </c>
      <c r="K6339" t="s">
        <v>37</v>
      </c>
      <c r="M6339">
        <v>50</v>
      </c>
      <c r="N6339">
        <v>40</v>
      </c>
      <c r="O6339" t="s">
        <v>52</v>
      </c>
      <c r="P6339" t="s">
        <v>882</v>
      </c>
      <c r="Q6339" t="s">
        <v>132</v>
      </c>
      <c r="R6339" t="s">
        <v>91</v>
      </c>
      <c r="S6339" t="s">
        <v>92</v>
      </c>
    </row>
    <row r="6340" spans="1:19" x14ac:dyDescent="0.25">
      <c r="A6340" t="s">
        <v>44</v>
      </c>
      <c r="B6340" t="s">
        <v>51</v>
      </c>
      <c r="C6340" t="s">
        <v>32</v>
      </c>
      <c r="D6340" t="s">
        <v>771</v>
      </c>
      <c r="E6340" t="s">
        <v>875</v>
      </c>
      <c r="F6340" t="s">
        <v>35</v>
      </c>
      <c r="G6340" t="s">
        <v>35</v>
      </c>
      <c r="H6340" t="s">
        <v>35</v>
      </c>
      <c r="J6340" t="s">
        <v>850</v>
      </c>
      <c r="K6340" t="s">
        <v>37</v>
      </c>
      <c r="M6340">
        <v>46</v>
      </c>
      <c r="N6340">
        <v>56</v>
      </c>
      <c r="O6340" t="s">
        <v>52</v>
      </c>
      <c r="P6340" t="s">
        <v>883</v>
      </c>
      <c r="Q6340" t="s">
        <v>423</v>
      </c>
      <c r="R6340" t="s">
        <v>91</v>
      </c>
      <c r="S6340" t="s">
        <v>92</v>
      </c>
    </row>
    <row r="6341" spans="1:19" x14ac:dyDescent="0.25">
      <c r="A6341" t="s">
        <v>30</v>
      </c>
      <c r="B6341" t="s">
        <v>31</v>
      </c>
      <c r="C6341" t="s">
        <v>32</v>
      </c>
      <c r="D6341" t="s">
        <v>771</v>
      </c>
      <c r="E6341" t="s">
        <v>910</v>
      </c>
      <c r="F6341" t="s">
        <v>35</v>
      </c>
      <c r="G6341" t="s">
        <v>35</v>
      </c>
      <c r="H6341" t="s">
        <v>35</v>
      </c>
      <c r="J6341" t="s">
        <v>911</v>
      </c>
      <c r="K6341" t="s">
        <v>37</v>
      </c>
      <c r="M6341">
        <v>4.1399999999999997</v>
      </c>
      <c r="N6341">
        <v>42</v>
      </c>
      <c r="O6341" t="s">
        <v>52</v>
      </c>
      <c r="P6341" t="s">
        <v>915</v>
      </c>
      <c r="Q6341" t="s">
        <v>219</v>
      </c>
      <c r="R6341" t="s">
        <v>91</v>
      </c>
      <c r="S6341" t="s">
        <v>92</v>
      </c>
    </row>
    <row r="6342" spans="1:19" x14ac:dyDescent="0.25">
      <c r="A6342" t="s">
        <v>44</v>
      </c>
      <c r="B6342" t="s">
        <v>51</v>
      </c>
      <c r="C6342" t="s">
        <v>32</v>
      </c>
      <c r="D6342" t="s">
        <v>771</v>
      </c>
      <c r="E6342" t="s">
        <v>910</v>
      </c>
      <c r="F6342" t="s">
        <v>35</v>
      </c>
      <c r="G6342" t="s">
        <v>35</v>
      </c>
      <c r="H6342" t="s">
        <v>35</v>
      </c>
      <c r="J6342" t="s">
        <v>911</v>
      </c>
      <c r="K6342" t="s">
        <v>37</v>
      </c>
      <c r="M6342">
        <v>4</v>
      </c>
      <c r="N6342">
        <v>77</v>
      </c>
      <c r="O6342" t="s">
        <v>61</v>
      </c>
      <c r="P6342" t="s">
        <v>916</v>
      </c>
      <c r="Q6342" t="s">
        <v>778</v>
      </c>
      <c r="R6342" t="s">
        <v>91</v>
      </c>
      <c r="S6342" t="s">
        <v>92</v>
      </c>
    </row>
    <row r="6343" spans="1:19" x14ac:dyDescent="0.25">
      <c r="A6343" t="s">
        <v>59</v>
      </c>
      <c r="B6343" t="s">
        <v>60</v>
      </c>
      <c r="C6343" t="s">
        <v>32</v>
      </c>
      <c r="D6343" t="s">
        <v>771</v>
      </c>
      <c r="E6343" t="s">
        <v>910</v>
      </c>
      <c r="F6343" t="s">
        <v>35</v>
      </c>
      <c r="G6343" t="s">
        <v>35</v>
      </c>
      <c r="H6343" t="s">
        <v>35</v>
      </c>
      <c r="J6343" t="s">
        <v>911</v>
      </c>
      <c r="K6343" t="s">
        <v>37</v>
      </c>
      <c r="M6343">
        <v>11.5</v>
      </c>
      <c r="N6343">
        <v>40</v>
      </c>
      <c r="O6343" t="s">
        <v>52</v>
      </c>
      <c r="P6343" t="s">
        <v>917</v>
      </c>
      <c r="Q6343" t="s">
        <v>132</v>
      </c>
      <c r="R6343" t="s">
        <v>91</v>
      </c>
      <c r="S6343" t="s">
        <v>92</v>
      </c>
    </row>
    <row r="6344" spans="1:19" x14ac:dyDescent="0.25">
      <c r="A6344" t="s">
        <v>30</v>
      </c>
      <c r="B6344" t="s">
        <v>31</v>
      </c>
      <c r="C6344" t="s">
        <v>32</v>
      </c>
      <c r="D6344" t="s">
        <v>771</v>
      </c>
      <c r="E6344" t="s">
        <v>783</v>
      </c>
      <c r="F6344" t="s">
        <v>35</v>
      </c>
      <c r="G6344" t="s">
        <v>35</v>
      </c>
      <c r="H6344" t="s">
        <v>35</v>
      </c>
      <c r="J6344" t="s">
        <v>806</v>
      </c>
      <c r="K6344" t="s">
        <v>37</v>
      </c>
      <c r="M6344">
        <v>9.09</v>
      </c>
      <c r="N6344">
        <v>42</v>
      </c>
      <c r="O6344" t="s">
        <v>52</v>
      </c>
      <c r="P6344" t="s">
        <v>807</v>
      </c>
      <c r="Q6344" t="s">
        <v>219</v>
      </c>
      <c r="R6344" t="s">
        <v>91</v>
      </c>
      <c r="S6344" t="s">
        <v>92</v>
      </c>
    </row>
    <row r="6345" spans="1:19" x14ac:dyDescent="0.25">
      <c r="A6345" t="s">
        <v>44</v>
      </c>
      <c r="B6345" t="s">
        <v>51</v>
      </c>
      <c r="C6345" t="s">
        <v>32</v>
      </c>
      <c r="D6345" t="s">
        <v>771</v>
      </c>
      <c r="E6345" t="s">
        <v>783</v>
      </c>
      <c r="F6345" t="s">
        <v>35</v>
      </c>
      <c r="G6345" t="s">
        <v>35</v>
      </c>
      <c r="H6345" t="s">
        <v>35</v>
      </c>
      <c r="J6345" t="s">
        <v>806</v>
      </c>
      <c r="K6345" t="s">
        <v>37</v>
      </c>
      <c r="M6345">
        <v>10</v>
      </c>
      <c r="N6345">
        <v>27</v>
      </c>
      <c r="O6345" t="s">
        <v>46</v>
      </c>
      <c r="P6345" t="s">
        <v>808</v>
      </c>
      <c r="Q6345" t="s">
        <v>809</v>
      </c>
      <c r="R6345" t="s">
        <v>91</v>
      </c>
      <c r="S6345" t="s">
        <v>92</v>
      </c>
    </row>
    <row r="6346" spans="1:19" x14ac:dyDescent="0.25">
      <c r="A6346" t="s">
        <v>44</v>
      </c>
      <c r="B6346" t="s">
        <v>51</v>
      </c>
      <c r="C6346" t="s">
        <v>32</v>
      </c>
      <c r="D6346" t="s">
        <v>771</v>
      </c>
      <c r="E6346" t="s">
        <v>783</v>
      </c>
      <c r="F6346" t="s">
        <v>35</v>
      </c>
      <c r="G6346" t="s">
        <v>35</v>
      </c>
      <c r="H6346" t="s">
        <v>35</v>
      </c>
      <c r="J6346" t="s">
        <v>806</v>
      </c>
      <c r="K6346" t="s">
        <v>37</v>
      </c>
      <c r="M6346">
        <v>1.35</v>
      </c>
      <c r="N6346">
        <v>52</v>
      </c>
      <c r="O6346" t="s">
        <v>52</v>
      </c>
      <c r="P6346" t="s">
        <v>810</v>
      </c>
      <c r="Q6346" t="s">
        <v>84</v>
      </c>
      <c r="R6346" t="s">
        <v>91</v>
      </c>
      <c r="S6346" t="s">
        <v>92</v>
      </c>
    </row>
    <row r="6347" spans="1:19" x14ac:dyDescent="0.25">
      <c r="A6347" t="s">
        <v>44</v>
      </c>
      <c r="B6347" t="s">
        <v>51</v>
      </c>
      <c r="C6347" t="s">
        <v>32</v>
      </c>
      <c r="D6347" t="s">
        <v>771</v>
      </c>
      <c r="E6347" t="s">
        <v>783</v>
      </c>
      <c r="F6347" t="s">
        <v>35</v>
      </c>
      <c r="G6347" t="s">
        <v>35</v>
      </c>
      <c r="H6347" t="s">
        <v>35</v>
      </c>
      <c r="J6347" t="s">
        <v>806</v>
      </c>
      <c r="K6347" t="s">
        <v>37</v>
      </c>
      <c r="M6347">
        <v>16</v>
      </c>
      <c r="N6347">
        <v>28</v>
      </c>
      <c r="O6347" t="s">
        <v>46</v>
      </c>
      <c r="P6347" t="s">
        <v>811</v>
      </c>
      <c r="Q6347" t="s">
        <v>48</v>
      </c>
      <c r="R6347" t="s">
        <v>91</v>
      </c>
      <c r="S6347" t="s">
        <v>92</v>
      </c>
    </row>
    <row r="6348" spans="1:19" x14ac:dyDescent="0.25">
      <c r="A6348" t="s">
        <v>30</v>
      </c>
      <c r="B6348" t="s">
        <v>31</v>
      </c>
      <c r="C6348" t="s">
        <v>32</v>
      </c>
      <c r="D6348" t="s">
        <v>771</v>
      </c>
      <c r="E6348" t="s">
        <v>783</v>
      </c>
      <c r="F6348" t="s">
        <v>35</v>
      </c>
      <c r="G6348" t="s">
        <v>35</v>
      </c>
      <c r="H6348" t="s">
        <v>35</v>
      </c>
      <c r="J6348" t="s">
        <v>806</v>
      </c>
      <c r="K6348" t="s">
        <v>37</v>
      </c>
      <c r="M6348">
        <v>54</v>
      </c>
      <c r="N6348">
        <v>42</v>
      </c>
      <c r="O6348" t="s">
        <v>52</v>
      </c>
      <c r="P6348" t="s">
        <v>813</v>
      </c>
      <c r="Q6348" t="s">
        <v>219</v>
      </c>
      <c r="R6348" t="s">
        <v>91</v>
      </c>
      <c r="S6348" t="s">
        <v>92</v>
      </c>
    </row>
    <row r="6349" spans="1:19" x14ac:dyDescent="0.25">
      <c r="A6349" t="s">
        <v>44</v>
      </c>
      <c r="B6349" t="s">
        <v>51</v>
      </c>
      <c r="C6349" t="s">
        <v>32</v>
      </c>
      <c r="D6349" t="s">
        <v>771</v>
      </c>
      <c r="E6349" t="s">
        <v>783</v>
      </c>
      <c r="F6349" t="s">
        <v>35</v>
      </c>
      <c r="G6349" t="s">
        <v>35</v>
      </c>
      <c r="H6349" t="s">
        <v>35</v>
      </c>
      <c r="J6349" t="s">
        <v>806</v>
      </c>
      <c r="K6349" t="s">
        <v>37</v>
      </c>
      <c r="M6349">
        <v>10</v>
      </c>
      <c r="N6349">
        <v>46</v>
      </c>
      <c r="O6349" t="s">
        <v>52</v>
      </c>
      <c r="P6349" t="s">
        <v>814</v>
      </c>
      <c r="Q6349" t="s">
        <v>332</v>
      </c>
      <c r="R6349" t="s">
        <v>91</v>
      </c>
      <c r="S6349" t="s">
        <v>92</v>
      </c>
    </row>
    <row r="6350" spans="1:19" x14ac:dyDescent="0.25">
      <c r="A6350" t="s">
        <v>44</v>
      </c>
      <c r="B6350" t="s">
        <v>51</v>
      </c>
      <c r="C6350" t="s">
        <v>32</v>
      </c>
      <c r="D6350" t="s">
        <v>771</v>
      </c>
      <c r="E6350" t="s">
        <v>783</v>
      </c>
      <c r="F6350" t="s">
        <v>35</v>
      </c>
      <c r="G6350" t="s">
        <v>35</v>
      </c>
      <c r="H6350" t="s">
        <v>35</v>
      </c>
      <c r="J6350" t="s">
        <v>806</v>
      </c>
      <c r="K6350" t="s">
        <v>37</v>
      </c>
      <c r="M6350">
        <v>16</v>
      </c>
      <c r="N6350">
        <v>32</v>
      </c>
      <c r="O6350" t="s">
        <v>52</v>
      </c>
      <c r="P6350" t="s">
        <v>815</v>
      </c>
      <c r="Q6350" t="s">
        <v>816</v>
      </c>
      <c r="R6350" t="s">
        <v>91</v>
      </c>
      <c r="S6350" t="s">
        <v>92</v>
      </c>
    </row>
    <row r="6351" spans="1:19" x14ac:dyDescent="0.25">
      <c r="A6351" t="s">
        <v>44</v>
      </c>
      <c r="B6351" t="s">
        <v>51</v>
      </c>
      <c r="C6351" t="s">
        <v>32</v>
      </c>
      <c r="D6351" t="s">
        <v>771</v>
      </c>
      <c r="E6351" t="s">
        <v>783</v>
      </c>
      <c r="F6351" t="s">
        <v>35</v>
      </c>
      <c r="G6351" t="s">
        <v>35</v>
      </c>
      <c r="H6351" t="s">
        <v>35</v>
      </c>
      <c r="J6351" t="s">
        <v>437</v>
      </c>
      <c r="K6351" t="s">
        <v>37</v>
      </c>
      <c r="M6351">
        <v>55</v>
      </c>
      <c r="N6351">
        <v>23</v>
      </c>
      <c r="O6351" t="s">
        <v>46</v>
      </c>
      <c r="P6351" t="s">
        <v>792</v>
      </c>
      <c r="Q6351" t="s">
        <v>793</v>
      </c>
      <c r="R6351" t="s">
        <v>91</v>
      </c>
      <c r="S6351" t="s">
        <v>92</v>
      </c>
    </row>
    <row r="6352" spans="1:19" x14ac:dyDescent="0.25">
      <c r="A6352" t="s">
        <v>59</v>
      </c>
      <c r="B6352" t="s">
        <v>31</v>
      </c>
      <c r="C6352" t="s">
        <v>32</v>
      </c>
      <c r="D6352" t="s">
        <v>771</v>
      </c>
      <c r="E6352" t="s">
        <v>783</v>
      </c>
      <c r="F6352" t="s">
        <v>35</v>
      </c>
      <c r="G6352" t="s">
        <v>35</v>
      </c>
      <c r="H6352" t="s">
        <v>35</v>
      </c>
      <c r="J6352" t="s">
        <v>437</v>
      </c>
      <c r="K6352" t="s">
        <v>37</v>
      </c>
      <c r="M6352">
        <v>14.984999999999999</v>
      </c>
      <c r="N6352">
        <v>40</v>
      </c>
      <c r="O6352" t="s">
        <v>52</v>
      </c>
      <c r="P6352" t="s">
        <v>794</v>
      </c>
      <c r="Q6352" t="s">
        <v>132</v>
      </c>
      <c r="R6352" t="s">
        <v>91</v>
      </c>
      <c r="S6352" t="s">
        <v>92</v>
      </c>
    </row>
    <row r="6353" spans="1:20" x14ac:dyDescent="0.25">
      <c r="A6353" t="s">
        <v>30</v>
      </c>
      <c r="B6353" t="s">
        <v>31</v>
      </c>
      <c r="C6353" t="s">
        <v>32</v>
      </c>
      <c r="D6353" t="s">
        <v>771</v>
      </c>
      <c r="E6353" t="s">
        <v>783</v>
      </c>
      <c r="F6353" t="s">
        <v>35</v>
      </c>
      <c r="G6353" t="s">
        <v>35</v>
      </c>
      <c r="H6353" t="s">
        <v>35</v>
      </c>
      <c r="J6353" t="s">
        <v>437</v>
      </c>
      <c r="K6353" t="s">
        <v>37</v>
      </c>
      <c r="M6353">
        <v>12.96</v>
      </c>
      <c r="N6353">
        <v>42</v>
      </c>
      <c r="O6353" t="s">
        <v>52</v>
      </c>
      <c r="P6353" t="s">
        <v>795</v>
      </c>
      <c r="Q6353" t="s">
        <v>219</v>
      </c>
      <c r="R6353" t="s">
        <v>91</v>
      </c>
      <c r="S6353" t="s">
        <v>92</v>
      </c>
    </row>
    <row r="6354" spans="1:20" x14ac:dyDescent="0.25">
      <c r="A6354" t="s">
        <v>44</v>
      </c>
      <c r="B6354" t="s">
        <v>51</v>
      </c>
      <c r="C6354" t="s">
        <v>32</v>
      </c>
      <c r="D6354" t="s">
        <v>771</v>
      </c>
      <c r="E6354" t="s">
        <v>783</v>
      </c>
      <c r="F6354" t="s">
        <v>35</v>
      </c>
      <c r="G6354" t="s">
        <v>35</v>
      </c>
      <c r="H6354" t="s">
        <v>35</v>
      </c>
      <c r="J6354" t="s">
        <v>437</v>
      </c>
      <c r="K6354" t="s">
        <v>37</v>
      </c>
      <c r="M6354">
        <v>29.7</v>
      </c>
      <c r="N6354">
        <v>21</v>
      </c>
      <c r="O6354" t="s">
        <v>46</v>
      </c>
      <c r="P6354" t="s">
        <v>796</v>
      </c>
      <c r="Q6354" t="s">
        <v>176</v>
      </c>
      <c r="R6354" t="s">
        <v>91</v>
      </c>
      <c r="S6354" t="s">
        <v>92</v>
      </c>
    </row>
    <row r="6355" spans="1:20" x14ac:dyDescent="0.25">
      <c r="A6355" t="s">
        <v>44</v>
      </c>
      <c r="B6355" t="s">
        <v>51</v>
      </c>
      <c r="C6355" t="s">
        <v>32</v>
      </c>
      <c r="D6355" t="s">
        <v>771</v>
      </c>
      <c r="E6355" t="s">
        <v>783</v>
      </c>
      <c r="F6355" t="s">
        <v>35</v>
      </c>
      <c r="G6355" t="s">
        <v>35</v>
      </c>
      <c r="H6355" t="s">
        <v>35</v>
      </c>
      <c r="J6355" t="s">
        <v>437</v>
      </c>
      <c r="K6355" t="s">
        <v>37</v>
      </c>
      <c r="M6355">
        <v>51</v>
      </c>
      <c r="N6355">
        <v>31</v>
      </c>
      <c r="O6355" t="s">
        <v>52</v>
      </c>
      <c r="P6355" t="s">
        <v>797</v>
      </c>
      <c r="Q6355" t="s">
        <v>748</v>
      </c>
      <c r="R6355" t="s">
        <v>91</v>
      </c>
      <c r="S6355" t="s">
        <v>92</v>
      </c>
    </row>
    <row r="6356" spans="1:20" x14ac:dyDescent="0.25">
      <c r="A6356" t="s">
        <v>44</v>
      </c>
      <c r="B6356" t="s">
        <v>51</v>
      </c>
      <c r="C6356" t="s">
        <v>32</v>
      </c>
      <c r="D6356" t="s">
        <v>771</v>
      </c>
      <c r="E6356" t="s">
        <v>783</v>
      </c>
      <c r="F6356" t="s">
        <v>35</v>
      </c>
      <c r="G6356" t="s">
        <v>35</v>
      </c>
      <c r="H6356" t="s">
        <v>35</v>
      </c>
      <c r="J6356" t="s">
        <v>437</v>
      </c>
      <c r="K6356" t="s">
        <v>37</v>
      </c>
      <c r="M6356">
        <v>9</v>
      </c>
      <c r="N6356">
        <v>55</v>
      </c>
      <c r="O6356" t="s">
        <v>52</v>
      </c>
      <c r="P6356" t="s">
        <v>798</v>
      </c>
      <c r="Q6356" t="s">
        <v>90</v>
      </c>
      <c r="R6356" t="s">
        <v>91</v>
      </c>
      <c r="S6356" t="s">
        <v>92</v>
      </c>
    </row>
    <row r="6357" spans="1:20" x14ac:dyDescent="0.25">
      <c r="A6357" t="s">
        <v>44</v>
      </c>
      <c r="B6357" t="s">
        <v>51</v>
      </c>
      <c r="C6357" t="s">
        <v>32</v>
      </c>
      <c r="D6357" t="s">
        <v>771</v>
      </c>
      <c r="E6357" t="s">
        <v>783</v>
      </c>
      <c r="F6357" t="s">
        <v>35</v>
      </c>
      <c r="G6357" t="s">
        <v>35</v>
      </c>
      <c r="H6357" t="s">
        <v>35</v>
      </c>
      <c r="J6357" t="s">
        <v>437</v>
      </c>
      <c r="K6357" t="s">
        <v>37</v>
      </c>
      <c r="M6357">
        <v>51</v>
      </c>
      <c r="N6357">
        <v>31</v>
      </c>
      <c r="O6357" t="s">
        <v>52</v>
      </c>
      <c r="P6357" t="s">
        <v>799</v>
      </c>
      <c r="Q6357" t="s">
        <v>748</v>
      </c>
      <c r="R6357" t="s">
        <v>91</v>
      </c>
      <c r="S6357" t="s">
        <v>92</v>
      </c>
    </row>
    <row r="6358" spans="1:20" x14ac:dyDescent="0.25">
      <c r="A6358" t="s">
        <v>59</v>
      </c>
      <c r="B6358" t="s">
        <v>60</v>
      </c>
      <c r="C6358" t="s">
        <v>32</v>
      </c>
      <c r="D6358" t="s">
        <v>771</v>
      </c>
      <c r="F6358" t="s">
        <v>35</v>
      </c>
      <c r="G6358" t="s">
        <v>35</v>
      </c>
      <c r="H6358" t="s">
        <v>35</v>
      </c>
      <c r="J6358" t="s">
        <v>6691</v>
      </c>
      <c r="K6358" t="s">
        <v>1092</v>
      </c>
      <c r="M6358">
        <v>0.2</v>
      </c>
      <c r="N6358">
        <v>1694</v>
      </c>
      <c r="O6358" t="s">
        <v>575</v>
      </c>
      <c r="Q6358" t="s">
        <v>2873</v>
      </c>
      <c r="R6358" t="s">
        <v>6242</v>
      </c>
      <c r="S6358" t="s">
        <v>846</v>
      </c>
      <c r="T6358" t="s">
        <v>847</v>
      </c>
    </row>
    <row r="6359" spans="1:20" x14ac:dyDescent="0.25">
      <c r="A6359" t="s">
        <v>59</v>
      </c>
      <c r="B6359" t="s">
        <v>60</v>
      </c>
      <c r="C6359" t="s">
        <v>32</v>
      </c>
      <c r="D6359" t="s">
        <v>771</v>
      </c>
      <c r="E6359" t="s">
        <v>6214</v>
      </c>
      <c r="F6359" t="s">
        <v>35</v>
      </c>
      <c r="G6359" t="s">
        <v>35</v>
      </c>
      <c r="H6359" t="s">
        <v>35</v>
      </c>
      <c r="J6359" t="s">
        <v>6240</v>
      </c>
      <c r="K6359" t="s">
        <v>1092</v>
      </c>
      <c r="M6359">
        <v>0.5</v>
      </c>
      <c r="N6359">
        <v>708</v>
      </c>
      <c r="O6359" t="s">
        <v>575</v>
      </c>
      <c r="Q6359" t="s">
        <v>6241</v>
      </c>
      <c r="R6359" t="s">
        <v>6242</v>
      </c>
      <c r="S6359" t="s">
        <v>846</v>
      </c>
      <c r="T6359" t="s">
        <v>847</v>
      </c>
    </row>
    <row r="6360" spans="1:20" x14ac:dyDescent="0.25">
      <c r="A6360" t="s">
        <v>30</v>
      </c>
      <c r="B6360" t="s">
        <v>31</v>
      </c>
      <c r="C6360" t="s">
        <v>32</v>
      </c>
      <c r="D6360" t="s">
        <v>771</v>
      </c>
      <c r="E6360" t="s">
        <v>6621</v>
      </c>
      <c r="F6360" t="s">
        <v>35</v>
      </c>
      <c r="G6360" t="s">
        <v>35</v>
      </c>
      <c r="H6360" t="s">
        <v>35</v>
      </c>
      <c r="J6360" t="s">
        <v>6627</v>
      </c>
      <c r="K6360" t="s">
        <v>1092</v>
      </c>
      <c r="M6360">
        <v>4.2000000000000003E-2</v>
      </c>
      <c r="N6360">
        <v>716</v>
      </c>
      <c r="O6360" t="s">
        <v>575</v>
      </c>
      <c r="Q6360" t="s">
        <v>6628</v>
      </c>
      <c r="R6360" t="s">
        <v>6260</v>
      </c>
      <c r="S6360" t="s">
        <v>930</v>
      </c>
      <c r="T6360" t="s">
        <v>931</v>
      </c>
    </row>
    <row r="6361" spans="1:20" x14ac:dyDescent="0.25">
      <c r="A6361" t="s">
        <v>30</v>
      </c>
      <c r="B6361" t="s">
        <v>31</v>
      </c>
      <c r="C6361" t="s">
        <v>32</v>
      </c>
      <c r="D6361" t="s">
        <v>771</v>
      </c>
      <c r="E6361" t="s">
        <v>6255</v>
      </c>
      <c r="F6361" t="s">
        <v>35</v>
      </c>
      <c r="G6361" t="s">
        <v>35</v>
      </c>
      <c r="H6361" t="s">
        <v>35</v>
      </c>
      <c r="J6361" t="s">
        <v>6259</v>
      </c>
      <c r="K6361" t="s">
        <v>1092</v>
      </c>
      <c r="M6361">
        <v>0.36499999999999999</v>
      </c>
      <c r="N6361">
        <v>231</v>
      </c>
      <c r="O6361" t="s">
        <v>5</v>
      </c>
      <c r="Q6361" t="s">
        <v>933</v>
      </c>
      <c r="R6361" t="s">
        <v>6260</v>
      </c>
      <c r="S6361" t="s">
        <v>930</v>
      </c>
      <c r="T6361" t="s">
        <v>931</v>
      </c>
    </row>
    <row r="6362" spans="1:20" x14ac:dyDescent="0.25">
      <c r="A6362" t="s">
        <v>30</v>
      </c>
      <c r="B6362" t="s">
        <v>31</v>
      </c>
      <c r="C6362" t="s">
        <v>32</v>
      </c>
      <c r="D6362" t="s">
        <v>771</v>
      </c>
      <c r="F6362" t="s">
        <v>35</v>
      </c>
      <c r="G6362" t="s">
        <v>35</v>
      </c>
      <c r="H6362" t="s">
        <v>35</v>
      </c>
      <c r="J6362" t="s">
        <v>6695</v>
      </c>
      <c r="K6362" t="s">
        <v>1092</v>
      </c>
      <c r="M6362">
        <v>1.35</v>
      </c>
      <c r="N6362">
        <v>849</v>
      </c>
      <c r="O6362" t="s">
        <v>575</v>
      </c>
      <c r="Q6362" t="s">
        <v>5974</v>
      </c>
      <c r="R6362" t="s">
        <v>6260</v>
      </c>
      <c r="S6362" t="s">
        <v>930</v>
      </c>
      <c r="T6362" t="s">
        <v>931</v>
      </c>
    </row>
    <row r="6363" spans="1:20" x14ac:dyDescent="0.25">
      <c r="A6363" t="s">
        <v>44</v>
      </c>
      <c r="B6363" t="s">
        <v>51</v>
      </c>
      <c r="C6363" t="s">
        <v>32</v>
      </c>
      <c r="D6363" t="s">
        <v>771</v>
      </c>
      <c r="E6363" t="s">
        <v>888</v>
      </c>
      <c r="F6363" t="s">
        <v>35</v>
      </c>
      <c r="G6363" t="s">
        <v>35</v>
      </c>
      <c r="H6363" t="s">
        <v>35</v>
      </c>
      <c r="J6363" t="s">
        <v>6503</v>
      </c>
      <c r="K6363" t="s">
        <v>1092</v>
      </c>
      <c r="M6363">
        <v>10</v>
      </c>
      <c r="N6363">
        <v>143</v>
      </c>
      <c r="O6363" t="s">
        <v>38</v>
      </c>
      <c r="Q6363" t="s">
        <v>1612</v>
      </c>
      <c r="R6363" t="s">
        <v>6504</v>
      </c>
      <c r="S6363" t="s">
        <v>6505</v>
      </c>
      <c r="T6363" t="s">
        <v>6506</v>
      </c>
    </row>
    <row r="6364" spans="1:20" x14ac:dyDescent="0.25">
      <c r="A6364" t="s">
        <v>59</v>
      </c>
      <c r="B6364" t="s">
        <v>31</v>
      </c>
      <c r="C6364" t="s">
        <v>32</v>
      </c>
      <c r="D6364" t="s">
        <v>771</v>
      </c>
      <c r="F6364" t="s">
        <v>35</v>
      </c>
      <c r="G6364" t="s">
        <v>35</v>
      </c>
      <c r="H6364" t="s">
        <v>35</v>
      </c>
      <c r="J6364" t="s">
        <v>2541</v>
      </c>
      <c r="K6364" t="s">
        <v>1092</v>
      </c>
      <c r="M6364">
        <v>5.0000000000000001E-3</v>
      </c>
      <c r="N6364">
        <v>612</v>
      </c>
      <c r="O6364" t="s">
        <v>575</v>
      </c>
      <c r="Q6364" t="s">
        <v>6652</v>
      </c>
      <c r="R6364" t="s">
        <v>6653</v>
      </c>
      <c r="S6364" t="s">
        <v>2541</v>
      </c>
      <c r="T6364" t="s">
        <v>6651</v>
      </c>
    </row>
    <row r="6365" spans="1:20" x14ac:dyDescent="0.25">
      <c r="A6365" t="s">
        <v>30</v>
      </c>
      <c r="B6365" t="s">
        <v>31</v>
      </c>
      <c r="C6365" t="s">
        <v>32</v>
      </c>
      <c r="D6365" t="s">
        <v>771</v>
      </c>
      <c r="F6365" t="s">
        <v>35</v>
      </c>
      <c r="G6365" t="s">
        <v>35</v>
      </c>
      <c r="H6365" t="s">
        <v>35</v>
      </c>
      <c r="J6365" t="s">
        <v>6657</v>
      </c>
      <c r="K6365" t="s">
        <v>1092</v>
      </c>
      <c r="M6365">
        <v>5.2649999999999997</v>
      </c>
      <c r="N6365">
        <v>2335</v>
      </c>
      <c r="O6365" t="s">
        <v>575</v>
      </c>
      <c r="Q6365" t="s">
        <v>6658</v>
      </c>
      <c r="R6365" t="s">
        <v>6659</v>
      </c>
      <c r="S6365" t="s">
        <v>6660</v>
      </c>
      <c r="T6365" t="s">
        <v>6536</v>
      </c>
    </row>
    <row r="6366" spans="1:20" x14ac:dyDescent="0.25">
      <c r="A6366" t="s">
        <v>59</v>
      </c>
      <c r="B6366" t="s">
        <v>60</v>
      </c>
      <c r="C6366" t="s">
        <v>32</v>
      </c>
      <c r="D6366" t="s">
        <v>771</v>
      </c>
      <c r="E6366" t="s">
        <v>836</v>
      </c>
      <c r="F6366" t="s">
        <v>35</v>
      </c>
      <c r="G6366" t="s">
        <v>35</v>
      </c>
      <c r="H6366" t="s">
        <v>35</v>
      </c>
      <c r="J6366" t="s">
        <v>6140</v>
      </c>
      <c r="K6366" t="s">
        <v>1092</v>
      </c>
      <c r="M6366">
        <v>3</v>
      </c>
      <c r="N6366">
        <v>37</v>
      </c>
      <c r="O6366" t="s">
        <v>52</v>
      </c>
      <c r="Q6366" t="s">
        <v>192</v>
      </c>
      <c r="R6366" t="s">
        <v>6144</v>
      </c>
      <c r="S6366" t="s">
        <v>6145</v>
      </c>
      <c r="T6366" t="s">
        <v>6146</v>
      </c>
    </row>
    <row r="6367" spans="1:20" x14ac:dyDescent="0.25">
      <c r="A6367" t="s">
        <v>59</v>
      </c>
      <c r="B6367" t="s">
        <v>31</v>
      </c>
      <c r="C6367" t="s">
        <v>32</v>
      </c>
      <c r="D6367" t="s">
        <v>771</v>
      </c>
      <c r="E6367" t="s">
        <v>836</v>
      </c>
      <c r="F6367" t="s">
        <v>35</v>
      </c>
      <c r="G6367" t="s">
        <v>35</v>
      </c>
      <c r="H6367" t="s">
        <v>35</v>
      </c>
      <c r="J6367" t="s">
        <v>6140</v>
      </c>
      <c r="K6367" t="s">
        <v>1092</v>
      </c>
      <c r="M6367">
        <v>0.9</v>
      </c>
      <c r="N6367">
        <v>37</v>
      </c>
      <c r="O6367" t="s">
        <v>52</v>
      </c>
      <c r="Q6367" t="s">
        <v>192</v>
      </c>
      <c r="R6367" t="s">
        <v>6144</v>
      </c>
      <c r="S6367" t="s">
        <v>6145</v>
      </c>
      <c r="T6367" t="s">
        <v>6146</v>
      </c>
    </row>
    <row r="6368" spans="1:20" x14ac:dyDescent="0.25">
      <c r="A6368" t="s">
        <v>30</v>
      </c>
      <c r="B6368" t="s">
        <v>31</v>
      </c>
      <c r="C6368" t="s">
        <v>32</v>
      </c>
      <c r="D6368" t="s">
        <v>771</v>
      </c>
      <c r="E6368" t="s">
        <v>871</v>
      </c>
      <c r="F6368" t="s">
        <v>35</v>
      </c>
      <c r="G6368" t="s">
        <v>35</v>
      </c>
      <c r="H6368" t="s">
        <v>35</v>
      </c>
      <c r="J6368" t="s">
        <v>6428</v>
      </c>
      <c r="K6368" t="s">
        <v>1092</v>
      </c>
      <c r="M6368">
        <v>0.03</v>
      </c>
      <c r="N6368">
        <v>1878</v>
      </c>
      <c r="O6368" t="s">
        <v>575</v>
      </c>
      <c r="Q6368" t="s">
        <v>3033</v>
      </c>
      <c r="R6368" t="s">
        <v>6144</v>
      </c>
      <c r="S6368" t="s">
        <v>6145</v>
      </c>
      <c r="T6368" t="s">
        <v>6146</v>
      </c>
    </row>
    <row r="6369" spans="1:20" x14ac:dyDescent="0.25">
      <c r="A6369" t="s">
        <v>59</v>
      </c>
      <c r="B6369" t="s">
        <v>31</v>
      </c>
      <c r="C6369" t="s">
        <v>32</v>
      </c>
      <c r="D6369" t="s">
        <v>771</v>
      </c>
      <c r="E6369" t="s">
        <v>871</v>
      </c>
      <c r="F6369" t="s">
        <v>35</v>
      </c>
      <c r="G6369" t="s">
        <v>35</v>
      </c>
      <c r="H6369" t="s">
        <v>35</v>
      </c>
      <c r="J6369" t="s">
        <v>6428</v>
      </c>
      <c r="K6369" t="s">
        <v>1092</v>
      </c>
      <c r="M6369">
        <v>1.17</v>
      </c>
      <c r="N6369">
        <v>1894</v>
      </c>
      <c r="O6369" t="s">
        <v>575</v>
      </c>
      <c r="Q6369" t="s">
        <v>3566</v>
      </c>
      <c r="R6369" t="s">
        <v>6144</v>
      </c>
      <c r="S6369" t="s">
        <v>6145</v>
      </c>
      <c r="T6369" t="s">
        <v>6146</v>
      </c>
    </row>
    <row r="6370" spans="1:20" x14ac:dyDescent="0.25">
      <c r="A6370" t="s">
        <v>30</v>
      </c>
      <c r="B6370" t="s">
        <v>31</v>
      </c>
      <c r="C6370" t="s">
        <v>32</v>
      </c>
      <c r="D6370" t="s">
        <v>771</v>
      </c>
      <c r="E6370" t="s">
        <v>871</v>
      </c>
      <c r="F6370" t="s">
        <v>35</v>
      </c>
      <c r="G6370" t="s">
        <v>35</v>
      </c>
      <c r="H6370" t="s">
        <v>35</v>
      </c>
      <c r="J6370" t="s">
        <v>6406</v>
      </c>
      <c r="K6370" t="s">
        <v>1092</v>
      </c>
      <c r="M6370">
        <v>2.3149999999999999</v>
      </c>
      <c r="N6370">
        <v>108</v>
      </c>
      <c r="O6370" t="s">
        <v>106</v>
      </c>
      <c r="Q6370" t="s">
        <v>1195</v>
      </c>
      <c r="R6370" t="s">
        <v>6144</v>
      </c>
      <c r="S6370" t="s">
        <v>6145</v>
      </c>
      <c r="T6370" t="s">
        <v>6146</v>
      </c>
    </row>
    <row r="6371" spans="1:20" x14ac:dyDescent="0.25">
      <c r="A6371" t="s">
        <v>30</v>
      </c>
      <c r="B6371" t="s">
        <v>31</v>
      </c>
      <c r="C6371" t="s">
        <v>32</v>
      </c>
      <c r="D6371" t="s">
        <v>771</v>
      </c>
      <c r="E6371" t="s">
        <v>871</v>
      </c>
      <c r="F6371" t="s">
        <v>35</v>
      </c>
      <c r="G6371" t="s">
        <v>35</v>
      </c>
      <c r="H6371" t="s">
        <v>35</v>
      </c>
      <c r="J6371" t="s">
        <v>6406</v>
      </c>
      <c r="K6371" t="s">
        <v>1092</v>
      </c>
      <c r="M6371">
        <v>3.6</v>
      </c>
      <c r="N6371">
        <v>27</v>
      </c>
      <c r="O6371" t="s">
        <v>46</v>
      </c>
      <c r="Q6371" t="s">
        <v>809</v>
      </c>
      <c r="R6371" t="s">
        <v>6144</v>
      </c>
      <c r="S6371" t="s">
        <v>6145</v>
      </c>
      <c r="T6371" t="s">
        <v>6146</v>
      </c>
    </row>
    <row r="6372" spans="1:20" x14ac:dyDescent="0.25">
      <c r="A6372" t="s">
        <v>44</v>
      </c>
      <c r="B6372" t="s">
        <v>51</v>
      </c>
      <c r="C6372" t="s">
        <v>32</v>
      </c>
      <c r="D6372" t="s">
        <v>771</v>
      </c>
      <c r="E6372" t="s">
        <v>871</v>
      </c>
      <c r="F6372" t="s">
        <v>35</v>
      </c>
      <c r="G6372" t="s">
        <v>35</v>
      </c>
      <c r="H6372" t="s">
        <v>35</v>
      </c>
      <c r="J6372" t="s">
        <v>6406</v>
      </c>
      <c r="K6372" t="s">
        <v>1092</v>
      </c>
      <c r="M6372">
        <v>0.85</v>
      </c>
      <c r="N6372">
        <v>54</v>
      </c>
      <c r="O6372" t="s">
        <v>52</v>
      </c>
      <c r="Q6372" t="s">
        <v>671</v>
      </c>
      <c r="R6372" t="s">
        <v>6144</v>
      </c>
      <c r="S6372" t="s">
        <v>6145</v>
      </c>
      <c r="T6372" t="s">
        <v>6146</v>
      </c>
    </row>
    <row r="6373" spans="1:20" x14ac:dyDescent="0.25">
      <c r="A6373" t="s">
        <v>59</v>
      </c>
      <c r="B6373" t="s">
        <v>31</v>
      </c>
      <c r="C6373" t="s">
        <v>32</v>
      </c>
      <c r="D6373" t="s">
        <v>771</v>
      </c>
      <c r="E6373" t="s">
        <v>910</v>
      </c>
      <c r="F6373" t="s">
        <v>35</v>
      </c>
      <c r="G6373" t="s">
        <v>35</v>
      </c>
      <c r="H6373" t="s">
        <v>35</v>
      </c>
      <c r="J6373" t="s">
        <v>6595</v>
      </c>
      <c r="K6373" t="s">
        <v>1092</v>
      </c>
      <c r="M6373">
        <v>1.35</v>
      </c>
      <c r="N6373">
        <v>81</v>
      </c>
      <c r="O6373" t="s">
        <v>61</v>
      </c>
      <c r="Q6373" t="s">
        <v>858</v>
      </c>
      <c r="R6373" t="s">
        <v>6090</v>
      </c>
      <c r="S6373" t="s">
        <v>6091</v>
      </c>
      <c r="T6373" t="s">
        <v>6092</v>
      </c>
    </row>
    <row r="6374" spans="1:20" x14ac:dyDescent="0.25">
      <c r="A6374" t="s">
        <v>30</v>
      </c>
      <c r="B6374" t="s">
        <v>31</v>
      </c>
      <c r="C6374" t="s">
        <v>32</v>
      </c>
      <c r="D6374" t="s">
        <v>771</v>
      </c>
      <c r="E6374" t="s">
        <v>875</v>
      </c>
      <c r="F6374" t="s">
        <v>35</v>
      </c>
      <c r="G6374" t="s">
        <v>35</v>
      </c>
      <c r="H6374" t="s">
        <v>35</v>
      </c>
      <c r="J6374" t="s">
        <v>6480</v>
      </c>
      <c r="K6374" t="s">
        <v>1092</v>
      </c>
      <c r="M6374">
        <v>0.18</v>
      </c>
      <c r="N6374">
        <v>228</v>
      </c>
      <c r="O6374" t="s">
        <v>5</v>
      </c>
      <c r="Q6374" t="s">
        <v>4942</v>
      </c>
      <c r="R6374" t="s">
        <v>6090</v>
      </c>
      <c r="S6374" t="s">
        <v>6091</v>
      </c>
      <c r="T6374" t="s">
        <v>6092</v>
      </c>
    </row>
    <row r="6375" spans="1:20" x14ac:dyDescent="0.25">
      <c r="A6375" t="s">
        <v>30</v>
      </c>
      <c r="B6375" t="s">
        <v>31</v>
      </c>
      <c r="C6375" t="s">
        <v>32</v>
      </c>
      <c r="D6375" t="s">
        <v>771</v>
      </c>
      <c r="E6375" t="s">
        <v>910</v>
      </c>
      <c r="F6375" t="s">
        <v>35</v>
      </c>
      <c r="G6375" t="s">
        <v>35</v>
      </c>
      <c r="H6375" t="s">
        <v>35</v>
      </c>
      <c r="J6375" t="s">
        <v>6564</v>
      </c>
      <c r="K6375" t="s">
        <v>1092</v>
      </c>
      <c r="M6375">
        <v>0.27</v>
      </c>
      <c r="N6375">
        <v>228</v>
      </c>
      <c r="O6375" t="s">
        <v>5</v>
      </c>
      <c r="Q6375" t="s">
        <v>4942</v>
      </c>
      <c r="R6375" t="s">
        <v>6090</v>
      </c>
      <c r="S6375" t="s">
        <v>6091</v>
      </c>
      <c r="T6375" t="s">
        <v>6092</v>
      </c>
    </row>
    <row r="6376" spans="1:20" x14ac:dyDescent="0.25">
      <c r="A6376" t="s">
        <v>59</v>
      </c>
      <c r="B6376" t="s">
        <v>31</v>
      </c>
      <c r="C6376" t="s">
        <v>32</v>
      </c>
      <c r="D6376" t="s">
        <v>771</v>
      </c>
      <c r="E6376" t="s">
        <v>910</v>
      </c>
      <c r="F6376" t="s">
        <v>35</v>
      </c>
      <c r="G6376" t="s">
        <v>35</v>
      </c>
      <c r="H6376" t="s">
        <v>35</v>
      </c>
      <c r="J6376" t="s">
        <v>6564</v>
      </c>
      <c r="K6376" t="s">
        <v>1092</v>
      </c>
      <c r="M6376">
        <v>0.99</v>
      </c>
      <c r="N6376">
        <v>145</v>
      </c>
      <c r="O6376" t="s">
        <v>38</v>
      </c>
      <c r="Q6376" t="s">
        <v>408</v>
      </c>
      <c r="R6376" t="s">
        <v>6090</v>
      </c>
      <c r="S6376" t="s">
        <v>6091</v>
      </c>
      <c r="T6376" t="s">
        <v>6092</v>
      </c>
    </row>
    <row r="6377" spans="1:20" x14ac:dyDescent="0.25">
      <c r="A6377" t="s">
        <v>44</v>
      </c>
      <c r="B6377" t="s">
        <v>51</v>
      </c>
      <c r="C6377" t="s">
        <v>32</v>
      </c>
      <c r="D6377" t="s">
        <v>771</v>
      </c>
      <c r="E6377" t="s">
        <v>865</v>
      </c>
      <c r="F6377" t="s">
        <v>35</v>
      </c>
      <c r="G6377" t="s">
        <v>35</v>
      </c>
      <c r="H6377" t="s">
        <v>35</v>
      </c>
      <c r="J6377" t="s">
        <v>6357</v>
      </c>
      <c r="K6377" t="s">
        <v>1092</v>
      </c>
      <c r="M6377">
        <v>6.05</v>
      </c>
      <c r="N6377">
        <v>72</v>
      </c>
      <c r="O6377" t="s">
        <v>61</v>
      </c>
      <c r="Q6377" t="s">
        <v>1156</v>
      </c>
      <c r="R6377" t="s">
        <v>6090</v>
      </c>
      <c r="S6377" t="s">
        <v>6091</v>
      </c>
      <c r="T6377" t="s">
        <v>6092</v>
      </c>
    </row>
    <row r="6378" spans="1:20" x14ac:dyDescent="0.25">
      <c r="A6378" t="s">
        <v>30</v>
      </c>
      <c r="B6378" t="s">
        <v>31</v>
      </c>
      <c r="C6378" t="s">
        <v>32</v>
      </c>
      <c r="D6378" t="s">
        <v>771</v>
      </c>
      <c r="E6378" t="s">
        <v>783</v>
      </c>
      <c r="F6378" t="s">
        <v>35</v>
      </c>
      <c r="G6378" t="s">
        <v>35</v>
      </c>
      <c r="H6378" t="s">
        <v>35</v>
      </c>
      <c r="J6378" t="s">
        <v>6089</v>
      </c>
      <c r="K6378" t="s">
        <v>1092</v>
      </c>
      <c r="M6378">
        <v>0.76500000000000001</v>
      </c>
      <c r="N6378">
        <v>110</v>
      </c>
      <c r="O6378" t="s">
        <v>106</v>
      </c>
      <c r="Q6378" t="s">
        <v>3342</v>
      </c>
      <c r="R6378" t="s">
        <v>6090</v>
      </c>
      <c r="S6378" t="s">
        <v>6091</v>
      </c>
      <c r="T6378" t="s">
        <v>6092</v>
      </c>
    </row>
    <row r="6379" spans="1:20" x14ac:dyDescent="0.25">
      <c r="A6379" t="s">
        <v>30</v>
      </c>
      <c r="B6379" t="s">
        <v>31</v>
      </c>
      <c r="C6379" t="s">
        <v>32</v>
      </c>
      <c r="D6379" t="s">
        <v>771</v>
      </c>
      <c r="E6379" t="s">
        <v>840</v>
      </c>
      <c r="F6379" t="s">
        <v>35</v>
      </c>
      <c r="G6379" t="s">
        <v>35</v>
      </c>
      <c r="H6379" t="s">
        <v>35</v>
      </c>
      <c r="J6379" t="s">
        <v>6183</v>
      </c>
      <c r="K6379" t="s">
        <v>1092</v>
      </c>
      <c r="M6379">
        <v>4.68</v>
      </c>
      <c r="N6379">
        <v>110</v>
      </c>
      <c r="O6379" t="s">
        <v>106</v>
      </c>
      <c r="Q6379" t="s">
        <v>3342</v>
      </c>
      <c r="R6379" t="s">
        <v>6090</v>
      </c>
      <c r="S6379" t="s">
        <v>6091</v>
      </c>
      <c r="T6379" t="s">
        <v>6092</v>
      </c>
    </row>
    <row r="6380" spans="1:20" x14ac:dyDescent="0.25">
      <c r="A6380" t="s">
        <v>30</v>
      </c>
      <c r="B6380" t="s">
        <v>31</v>
      </c>
      <c r="C6380" t="s">
        <v>32</v>
      </c>
      <c r="D6380" t="s">
        <v>771</v>
      </c>
      <c r="E6380" t="s">
        <v>871</v>
      </c>
      <c r="F6380" t="s">
        <v>35</v>
      </c>
      <c r="G6380" t="s">
        <v>35</v>
      </c>
      <c r="H6380" t="s">
        <v>35</v>
      </c>
      <c r="J6380" t="s">
        <v>6398</v>
      </c>
      <c r="K6380" t="s">
        <v>1092</v>
      </c>
      <c r="M6380">
        <v>3.69</v>
      </c>
      <c r="N6380">
        <v>262</v>
      </c>
      <c r="O6380" t="s">
        <v>5</v>
      </c>
      <c r="Q6380" t="s">
        <v>6399</v>
      </c>
      <c r="R6380" t="s">
        <v>6090</v>
      </c>
      <c r="S6380" t="s">
        <v>6091</v>
      </c>
      <c r="T6380" t="s">
        <v>6092</v>
      </c>
    </row>
    <row r="6381" spans="1:20" x14ac:dyDescent="0.25">
      <c r="A6381" t="s">
        <v>30</v>
      </c>
      <c r="B6381" t="s">
        <v>31</v>
      </c>
      <c r="C6381" t="s">
        <v>32</v>
      </c>
      <c r="D6381" t="s">
        <v>771</v>
      </c>
      <c r="E6381" t="s">
        <v>871</v>
      </c>
      <c r="F6381" t="s">
        <v>35</v>
      </c>
      <c r="G6381" t="s">
        <v>35</v>
      </c>
      <c r="H6381" t="s">
        <v>35</v>
      </c>
      <c r="J6381" t="s">
        <v>6398</v>
      </c>
      <c r="K6381" t="s">
        <v>1092</v>
      </c>
      <c r="M6381">
        <v>6.9749999999999996</v>
      </c>
      <c r="N6381">
        <v>11</v>
      </c>
      <c r="O6381" t="s">
        <v>46</v>
      </c>
      <c r="Q6381" t="s">
        <v>1476</v>
      </c>
      <c r="R6381" t="s">
        <v>6090</v>
      </c>
      <c r="S6381" t="s">
        <v>6091</v>
      </c>
      <c r="T6381" t="s">
        <v>6092</v>
      </c>
    </row>
    <row r="6382" spans="1:20" x14ac:dyDescent="0.25">
      <c r="A6382" t="s">
        <v>59</v>
      </c>
      <c r="B6382" t="s">
        <v>31</v>
      </c>
      <c r="C6382" t="s">
        <v>32</v>
      </c>
      <c r="D6382" t="s">
        <v>771</v>
      </c>
      <c r="E6382" t="s">
        <v>910</v>
      </c>
      <c r="F6382" t="s">
        <v>35</v>
      </c>
      <c r="G6382" t="s">
        <v>35</v>
      </c>
      <c r="H6382" t="s">
        <v>35</v>
      </c>
      <c r="J6382" t="s">
        <v>6616</v>
      </c>
      <c r="K6382" t="s">
        <v>1092</v>
      </c>
      <c r="M6382">
        <v>1.17</v>
      </c>
      <c r="N6382">
        <v>71</v>
      </c>
      <c r="O6382" t="s">
        <v>61</v>
      </c>
      <c r="Q6382" t="s">
        <v>4851</v>
      </c>
      <c r="R6382" t="s">
        <v>6090</v>
      </c>
      <c r="S6382" t="s">
        <v>6091</v>
      </c>
      <c r="T6382" t="s">
        <v>6092</v>
      </c>
    </row>
    <row r="6383" spans="1:20" x14ac:dyDescent="0.25">
      <c r="A6383" t="s">
        <v>59</v>
      </c>
      <c r="B6383" t="s">
        <v>60</v>
      </c>
      <c r="C6383" t="s">
        <v>32</v>
      </c>
      <c r="D6383" t="s">
        <v>771</v>
      </c>
      <c r="E6383" t="s">
        <v>875</v>
      </c>
      <c r="F6383" t="s">
        <v>35</v>
      </c>
      <c r="G6383" t="s">
        <v>35</v>
      </c>
      <c r="H6383" t="s">
        <v>35</v>
      </c>
      <c r="J6383" t="s">
        <v>6450</v>
      </c>
      <c r="K6383" t="s">
        <v>1092</v>
      </c>
      <c r="M6383">
        <v>2.5000000000000001E-2</v>
      </c>
      <c r="N6383">
        <v>807</v>
      </c>
      <c r="O6383" t="s">
        <v>575</v>
      </c>
      <c r="Q6383" t="s">
        <v>2539</v>
      </c>
      <c r="R6383" t="s">
        <v>6090</v>
      </c>
      <c r="S6383" t="s">
        <v>6091</v>
      </c>
      <c r="T6383" t="s">
        <v>6092</v>
      </c>
    </row>
    <row r="6384" spans="1:20" x14ac:dyDescent="0.25">
      <c r="A6384" t="s">
        <v>44</v>
      </c>
      <c r="B6384" t="s">
        <v>51</v>
      </c>
      <c r="C6384" t="s">
        <v>32</v>
      </c>
      <c r="D6384" t="s">
        <v>771</v>
      </c>
      <c r="E6384" t="s">
        <v>875</v>
      </c>
      <c r="F6384" t="s">
        <v>35</v>
      </c>
      <c r="G6384" t="s">
        <v>35</v>
      </c>
      <c r="H6384" t="s">
        <v>35</v>
      </c>
      <c r="J6384" t="s">
        <v>6449</v>
      </c>
      <c r="K6384" t="s">
        <v>1092</v>
      </c>
      <c r="M6384">
        <v>6</v>
      </c>
      <c r="N6384">
        <v>31</v>
      </c>
      <c r="O6384" t="s">
        <v>52</v>
      </c>
      <c r="Q6384" t="s">
        <v>748</v>
      </c>
      <c r="R6384" t="s">
        <v>6090</v>
      </c>
      <c r="S6384" t="s">
        <v>6091</v>
      </c>
      <c r="T6384" t="s">
        <v>6092</v>
      </c>
    </row>
    <row r="6385" spans="1:20" x14ac:dyDescent="0.25">
      <c r="A6385" t="s">
        <v>30</v>
      </c>
      <c r="B6385" t="s">
        <v>31</v>
      </c>
      <c r="C6385" t="s">
        <v>32</v>
      </c>
      <c r="D6385" t="s">
        <v>771</v>
      </c>
      <c r="E6385" t="s">
        <v>875</v>
      </c>
      <c r="F6385" t="s">
        <v>35</v>
      </c>
      <c r="G6385" t="s">
        <v>35</v>
      </c>
      <c r="H6385" t="s">
        <v>35</v>
      </c>
      <c r="J6385" t="s">
        <v>6449</v>
      </c>
      <c r="K6385" t="s">
        <v>1092</v>
      </c>
      <c r="M6385">
        <v>8.2799999999999994</v>
      </c>
      <c r="N6385">
        <v>31</v>
      </c>
      <c r="O6385" t="s">
        <v>52</v>
      </c>
      <c r="Q6385" t="s">
        <v>748</v>
      </c>
      <c r="R6385" t="s">
        <v>6090</v>
      </c>
      <c r="S6385" t="s">
        <v>6091</v>
      </c>
      <c r="T6385" t="s">
        <v>6092</v>
      </c>
    </row>
    <row r="6386" spans="1:20" x14ac:dyDescent="0.25">
      <c r="A6386" t="s">
        <v>44</v>
      </c>
      <c r="B6386" t="s">
        <v>51</v>
      </c>
      <c r="C6386" t="s">
        <v>32</v>
      </c>
      <c r="D6386" t="s">
        <v>771</v>
      </c>
      <c r="E6386" t="s">
        <v>871</v>
      </c>
      <c r="F6386" t="s">
        <v>35</v>
      </c>
      <c r="G6386" t="s">
        <v>35</v>
      </c>
      <c r="H6386" t="s">
        <v>35</v>
      </c>
      <c r="J6386" t="s">
        <v>6402</v>
      </c>
      <c r="K6386" t="s">
        <v>1092</v>
      </c>
      <c r="M6386">
        <v>4.3499999999999996</v>
      </c>
      <c r="N6386">
        <v>23</v>
      </c>
      <c r="O6386" t="s">
        <v>46</v>
      </c>
      <c r="Q6386" t="s">
        <v>793</v>
      </c>
      <c r="R6386" t="s">
        <v>6090</v>
      </c>
      <c r="S6386" t="s">
        <v>6091</v>
      </c>
      <c r="T6386" t="s">
        <v>6092</v>
      </c>
    </row>
    <row r="6387" spans="1:20" x14ac:dyDescent="0.25">
      <c r="A6387" t="s">
        <v>30</v>
      </c>
      <c r="B6387" t="s">
        <v>31</v>
      </c>
      <c r="C6387" t="s">
        <v>32</v>
      </c>
      <c r="D6387" t="s">
        <v>771</v>
      </c>
      <c r="E6387" t="s">
        <v>871</v>
      </c>
      <c r="F6387" t="s">
        <v>35</v>
      </c>
      <c r="G6387" t="s">
        <v>35</v>
      </c>
      <c r="H6387" t="s">
        <v>35</v>
      </c>
      <c r="J6387" t="s">
        <v>6402</v>
      </c>
      <c r="K6387" t="s">
        <v>1092</v>
      </c>
      <c r="M6387">
        <v>5.3550000000000004</v>
      </c>
      <c r="N6387">
        <v>21</v>
      </c>
      <c r="O6387" t="s">
        <v>46</v>
      </c>
      <c r="Q6387" t="s">
        <v>176</v>
      </c>
      <c r="R6387" t="s">
        <v>6090</v>
      </c>
      <c r="S6387" t="s">
        <v>6091</v>
      </c>
      <c r="T6387" t="s">
        <v>6092</v>
      </c>
    </row>
    <row r="6388" spans="1:20" x14ac:dyDescent="0.25">
      <c r="A6388" t="s">
        <v>59</v>
      </c>
      <c r="B6388" t="s">
        <v>31</v>
      </c>
      <c r="C6388" t="s">
        <v>32</v>
      </c>
      <c r="D6388" t="s">
        <v>771</v>
      </c>
      <c r="E6388" t="s">
        <v>871</v>
      </c>
      <c r="F6388" t="s">
        <v>35</v>
      </c>
      <c r="G6388" t="s">
        <v>35</v>
      </c>
      <c r="H6388" t="s">
        <v>35</v>
      </c>
      <c r="J6388" t="s">
        <v>6435</v>
      </c>
      <c r="K6388" t="s">
        <v>1092</v>
      </c>
      <c r="M6388">
        <v>2.5649999999999999</v>
      </c>
      <c r="N6388">
        <v>1445</v>
      </c>
      <c r="O6388" t="s">
        <v>575</v>
      </c>
      <c r="Q6388" t="s">
        <v>6115</v>
      </c>
      <c r="R6388" t="s">
        <v>6090</v>
      </c>
      <c r="S6388" t="s">
        <v>6091</v>
      </c>
      <c r="T6388" t="s">
        <v>6092</v>
      </c>
    </row>
    <row r="6389" spans="1:20" x14ac:dyDescent="0.25">
      <c r="A6389" t="s">
        <v>30</v>
      </c>
      <c r="B6389" t="s">
        <v>31</v>
      </c>
      <c r="C6389" t="s">
        <v>32</v>
      </c>
      <c r="D6389" t="s">
        <v>771</v>
      </c>
      <c r="F6389" t="s">
        <v>35</v>
      </c>
      <c r="G6389" t="s">
        <v>35</v>
      </c>
      <c r="H6389" t="s">
        <v>35</v>
      </c>
      <c r="J6389" t="s">
        <v>6650</v>
      </c>
      <c r="K6389" t="s">
        <v>1092</v>
      </c>
      <c r="M6389">
        <v>4.0000000000000001E-3</v>
      </c>
      <c r="N6389">
        <v>2666</v>
      </c>
      <c r="O6389" t="s">
        <v>575</v>
      </c>
      <c r="Q6389" t="s">
        <v>1486</v>
      </c>
      <c r="R6389" t="s">
        <v>1487</v>
      </c>
      <c r="S6389" t="s">
        <v>1488</v>
      </c>
    </row>
    <row r="6390" spans="1:20" x14ac:dyDescent="0.25">
      <c r="A6390" t="s">
        <v>59</v>
      </c>
      <c r="B6390" t="s">
        <v>60</v>
      </c>
      <c r="C6390" t="s">
        <v>32</v>
      </c>
      <c r="D6390" t="s">
        <v>771</v>
      </c>
      <c r="E6390" t="s">
        <v>6093</v>
      </c>
      <c r="F6390" t="s">
        <v>35</v>
      </c>
      <c r="G6390" t="s">
        <v>35</v>
      </c>
      <c r="H6390" t="s">
        <v>35</v>
      </c>
      <c r="J6390" t="s">
        <v>6133</v>
      </c>
      <c r="K6390" t="s">
        <v>1092</v>
      </c>
      <c r="M6390">
        <v>0.1</v>
      </c>
      <c r="N6390">
        <v>2666</v>
      </c>
      <c r="O6390" t="s">
        <v>575</v>
      </c>
      <c r="Q6390" t="s">
        <v>1486</v>
      </c>
      <c r="R6390" t="s">
        <v>1487</v>
      </c>
      <c r="S6390" t="s">
        <v>1488</v>
      </c>
    </row>
    <row r="6391" spans="1:20" x14ac:dyDescent="0.25">
      <c r="A6391" t="s">
        <v>59</v>
      </c>
      <c r="B6391" t="s">
        <v>60</v>
      </c>
      <c r="C6391" t="s">
        <v>32</v>
      </c>
      <c r="D6391" t="s">
        <v>771</v>
      </c>
      <c r="F6391" t="s">
        <v>35</v>
      </c>
      <c r="G6391" t="s">
        <v>35</v>
      </c>
      <c r="H6391" t="s">
        <v>35</v>
      </c>
      <c r="J6391" t="s">
        <v>6639</v>
      </c>
      <c r="K6391" t="s">
        <v>1092</v>
      </c>
      <c r="M6391">
        <v>2.5000000000000001E-2</v>
      </c>
      <c r="N6391">
        <v>2666</v>
      </c>
      <c r="O6391" t="s">
        <v>575</v>
      </c>
      <c r="Q6391" t="s">
        <v>1486</v>
      </c>
      <c r="R6391" t="s">
        <v>1487</v>
      </c>
      <c r="S6391" t="s">
        <v>1488</v>
      </c>
    </row>
    <row r="6392" spans="1:20" x14ac:dyDescent="0.25">
      <c r="A6392" t="s">
        <v>30</v>
      </c>
      <c r="B6392" t="s">
        <v>31</v>
      </c>
      <c r="C6392" t="s">
        <v>32</v>
      </c>
      <c r="D6392" t="s">
        <v>771</v>
      </c>
      <c r="F6392" t="s">
        <v>35</v>
      </c>
      <c r="G6392" t="s">
        <v>35</v>
      </c>
      <c r="H6392" t="s">
        <v>35</v>
      </c>
      <c r="J6392" t="s">
        <v>6676</v>
      </c>
      <c r="K6392" t="s">
        <v>1092</v>
      </c>
      <c r="M6392">
        <v>1.575</v>
      </c>
      <c r="N6392">
        <v>2666</v>
      </c>
      <c r="O6392" t="s">
        <v>575</v>
      </c>
      <c r="Q6392" t="s">
        <v>1486</v>
      </c>
      <c r="R6392" t="s">
        <v>1487</v>
      </c>
      <c r="S6392" t="s">
        <v>1488</v>
      </c>
    </row>
    <row r="6393" spans="1:20" x14ac:dyDescent="0.25">
      <c r="A6393" t="s">
        <v>59</v>
      </c>
      <c r="B6393" t="s">
        <v>31</v>
      </c>
      <c r="C6393" t="s">
        <v>32</v>
      </c>
      <c r="D6393" t="s">
        <v>771</v>
      </c>
      <c r="F6393" t="s">
        <v>35</v>
      </c>
      <c r="G6393" t="s">
        <v>35</v>
      </c>
      <c r="H6393" t="s">
        <v>35</v>
      </c>
      <c r="J6393" t="s">
        <v>6657</v>
      </c>
      <c r="K6393" t="s">
        <v>1092</v>
      </c>
      <c r="M6393">
        <v>0.03</v>
      </c>
      <c r="N6393">
        <v>2666</v>
      </c>
      <c r="O6393" t="s">
        <v>575</v>
      </c>
      <c r="Q6393" t="s">
        <v>1486</v>
      </c>
      <c r="R6393" t="s">
        <v>1487</v>
      </c>
      <c r="S6393" t="s">
        <v>1488</v>
      </c>
    </row>
    <row r="6394" spans="1:20" x14ac:dyDescent="0.25">
      <c r="A6394" t="s">
        <v>59</v>
      </c>
      <c r="B6394" t="s">
        <v>60</v>
      </c>
      <c r="C6394" t="s">
        <v>32</v>
      </c>
      <c r="D6394" t="s">
        <v>771</v>
      </c>
      <c r="F6394" t="s">
        <v>35</v>
      </c>
      <c r="G6394" t="s">
        <v>35</v>
      </c>
      <c r="H6394" t="s">
        <v>35</v>
      </c>
      <c r="J6394" t="s">
        <v>6682</v>
      </c>
      <c r="K6394" t="s">
        <v>1092</v>
      </c>
      <c r="M6394">
        <v>0.05</v>
      </c>
      <c r="N6394">
        <v>2666</v>
      </c>
      <c r="O6394" t="s">
        <v>575</v>
      </c>
      <c r="Q6394" t="s">
        <v>1486</v>
      </c>
      <c r="R6394" t="s">
        <v>1487</v>
      </c>
      <c r="S6394" t="s">
        <v>1488</v>
      </c>
    </row>
    <row r="6395" spans="1:20" x14ac:dyDescent="0.25">
      <c r="A6395" t="s">
        <v>59</v>
      </c>
      <c r="B6395" t="s">
        <v>60</v>
      </c>
      <c r="C6395" t="s">
        <v>32</v>
      </c>
      <c r="D6395" t="s">
        <v>771</v>
      </c>
      <c r="F6395" t="s">
        <v>35</v>
      </c>
      <c r="G6395" t="s">
        <v>35</v>
      </c>
      <c r="H6395" t="s">
        <v>35</v>
      </c>
      <c r="J6395" t="s">
        <v>6681</v>
      </c>
      <c r="K6395" t="s">
        <v>1092</v>
      </c>
      <c r="M6395">
        <v>0.25</v>
      </c>
      <c r="N6395">
        <v>2666</v>
      </c>
      <c r="O6395" t="s">
        <v>575</v>
      </c>
      <c r="Q6395" t="s">
        <v>1486</v>
      </c>
      <c r="R6395" t="s">
        <v>1487</v>
      </c>
      <c r="S6395" t="s">
        <v>1488</v>
      </c>
    </row>
    <row r="6396" spans="1:20" x14ac:dyDescent="0.25">
      <c r="A6396" t="s">
        <v>59</v>
      </c>
      <c r="B6396" t="s">
        <v>31</v>
      </c>
      <c r="C6396" t="s">
        <v>32</v>
      </c>
      <c r="D6396" t="s">
        <v>771</v>
      </c>
      <c r="F6396" t="s">
        <v>35</v>
      </c>
      <c r="G6396" t="s">
        <v>35</v>
      </c>
      <c r="H6396" t="s">
        <v>35</v>
      </c>
      <c r="J6396" t="s">
        <v>6641</v>
      </c>
      <c r="K6396" t="s">
        <v>1092</v>
      </c>
      <c r="M6396">
        <v>0.45</v>
      </c>
      <c r="N6396">
        <v>2666</v>
      </c>
      <c r="O6396" t="s">
        <v>575</v>
      </c>
      <c r="Q6396" t="s">
        <v>1486</v>
      </c>
      <c r="R6396" t="s">
        <v>1487</v>
      </c>
      <c r="S6396" t="s">
        <v>1488</v>
      </c>
    </row>
    <row r="6397" spans="1:20" x14ac:dyDescent="0.25">
      <c r="A6397" t="s">
        <v>59</v>
      </c>
      <c r="B6397" t="s">
        <v>60</v>
      </c>
      <c r="C6397" t="s">
        <v>32</v>
      </c>
      <c r="D6397" t="s">
        <v>771</v>
      </c>
      <c r="F6397" t="s">
        <v>35</v>
      </c>
      <c r="G6397" t="s">
        <v>35</v>
      </c>
      <c r="H6397" t="s">
        <v>35</v>
      </c>
      <c r="J6397" t="s">
        <v>6641</v>
      </c>
      <c r="K6397" t="s">
        <v>1092</v>
      </c>
      <c r="M6397">
        <v>0.3</v>
      </c>
      <c r="N6397">
        <v>2666</v>
      </c>
      <c r="O6397" t="s">
        <v>575</v>
      </c>
      <c r="Q6397" t="s">
        <v>1486</v>
      </c>
      <c r="R6397" t="s">
        <v>1487</v>
      </c>
      <c r="S6397" t="s">
        <v>1488</v>
      </c>
    </row>
    <row r="6398" spans="1:20" x14ac:dyDescent="0.25">
      <c r="A6398" t="s">
        <v>59</v>
      </c>
      <c r="B6398" t="s">
        <v>60</v>
      </c>
      <c r="C6398" t="s">
        <v>32</v>
      </c>
      <c r="D6398" t="s">
        <v>771</v>
      </c>
      <c r="E6398" t="s">
        <v>783</v>
      </c>
      <c r="F6398" t="s">
        <v>35</v>
      </c>
      <c r="G6398" t="s">
        <v>35</v>
      </c>
      <c r="H6398" t="s">
        <v>35</v>
      </c>
      <c r="J6398" t="s">
        <v>823</v>
      </c>
      <c r="K6398" t="s">
        <v>37</v>
      </c>
      <c r="M6398">
        <v>25</v>
      </c>
      <c r="N6398">
        <v>18</v>
      </c>
      <c r="O6398" t="s">
        <v>46</v>
      </c>
      <c r="P6398" t="s">
        <v>830</v>
      </c>
      <c r="Q6398" t="s">
        <v>831</v>
      </c>
      <c r="R6398" t="s">
        <v>489</v>
      </c>
      <c r="S6398" t="s">
        <v>490</v>
      </c>
      <c r="T6398" t="s">
        <v>491</v>
      </c>
    </row>
    <row r="6399" spans="1:20" x14ac:dyDescent="0.25">
      <c r="A6399" t="s">
        <v>59</v>
      </c>
      <c r="B6399" t="s">
        <v>60</v>
      </c>
      <c r="C6399" t="s">
        <v>32</v>
      </c>
      <c r="D6399" t="s">
        <v>771</v>
      </c>
      <c r="E6399" t="s">
        <v>898</v>
      </c>
      <c r="F6399" t="s">
        <v>35</v>
      </c>
      <c r="G6399" t="s">
        <v>35</v>
      </c>
      <c r="H6399" t="s">
        <v>35</v>
      </c>
      <c r="J6399" t="s">
        <v>6542</v>
      </c>
      <c r="K6399" t="s">
        <v>1092</v>
      </c>
      <c r="M6399">
        <v>1.95</v>
      </c>
      <c r="N6399">
        <v>33</v>
      </c>
      <c r="O6399" t="s">
        <v>52</v>
      </c>
      <c r="Q6399" t="s">
        <v>130</v>
      </c>
      <c r="R6399" t="s">
        <v>6348</v>
      </c>
      <c r="S6399" t="s">
        <v>899</v>
      </c>
      <c r="T6399" t="s">
        <v>900</v>
      </c>
    </row>
    <row r="6400" spans="1:20" x14ac:dyDescent="0.25">
      <c r="A6400" t="s">
        <v>59</v>
      </c>
      <c r="B6400" t="s">
        <v>60</v>
      </c>
      <c r="C6400" t="s">
        <v>32</v>
      </c>
      <c r="D6400" t="s">
        <v>771</v>
      </c>
      <c r="E6400" t="s">
        <v>865</v>
      </c>
      <c r="F6400" t="s">
        <v>35</v>
      </c>
      <c r="G6400" t="s">
        <v>35</v>
      </c>
      <c r="H6400" t="s">
        <v>35</v>
      </c>
      <c r="J6400" t="s">
        <v>6346</v>
      </c>
      <c r="K6400" t="s">
        <v>1092</v>
      </c>
      <c r="M6400">
        <v>2.0499999999999998</v>
      </c>
      <c r="N6400">
        <v>827</v>
      </c>
      <c r="O6400" t="s">
        <v>575</v>
      </c>
      <c r="Q6400" t="s">
        <v>6347</v>
      </c>
      <c r="R6400" t="s">
        <v>6348</v>
      </c>
      <c r="S6400" t="s">
        <v>899</v>
      </c>
      <c r="T6400" t="s">
        <v>900</v>
      </c>
    </row>
    <row r="6401" spans="1:20" x14ac:dyDescent="0.25">
      <c r="A6401" t="s">
        <v>59</v>
      </c>
      <c r="B6401" t="s">
        <v>60</v>
      </c>
      <c r="C6401" t="s">
        <v>32</v>
      </c>
      <c r="D6401" t="s">
        <v>953</v>
      </c>
      <c r="E6401" t="s">
        <v>1072</v>
      </c>
      <c r="F6401" t="s">
        <v>35</v>
      </c>
      <c r="G6401" t="s">
        <v>35</v>
      </c>
      <c r="H6401" t="s">
        <v>35</v>
      </c>
      <c r="J6401" t="s">
        <v>7549</v>
      </c>
      <c r="K6401" t="s">
        <v>1092</v>
      </c>
      <c r="M6401">
        <v>3.5</v>
      </c>
      <c r="N6401">
        <v>244</v>
      </c>
      <c r="O6401" t="s">
        <v>5</v>
      </c>
      <c r="Q6401" t="s">
        <v>1688</v>
      </c>
      <c r="R6401" t="s">
        <v>7550</v>
      </c>
      <c r="S6401" t="s">
        <v>1073</v>
      </c>
      <c r="T6401" t="s">
        <v>1074</v>
      </c>
    </row>
    <row r="6402" spans="1:20" x14ac:dyDescent="0.25">
      <c r="A6402" t="s">
        <v>30</v>
      </c>
      <c r="B6402" t="s">
        <v>31</v>
      </c>
      <c r="C6402" t="s">
        <v>32</v>
      </c>
      <c r="D6402" t="s">
        <v>953</v>
      </c>
      <c r="E6402" t="s">
        <v>1072</v>
      </c>
      <c r="F6402" t="s">
        <v>35</v>
      </c>
      <c r="G6402" t="s">
        <v>35</v>
      </c>
      <c r="H6402" t="s">
        <v>35</v>
      </c>
      <c r="J6402" t="s">
        <v>7552</v>
      </c>
      <c r="K6402" t="s">
        <v>1092</v>
      </c>
      <c r="M6402">
        <v>0.315</v>
      </c>
      <c r="N6402">
        <v>332</v>
      </c>
      <c r="O6402" t="s">
        <v>5</v>
      </c>
      <c r="Q6402" t="s">
        <v>5298</v>
      </c>
      <c r="R6402" t="s">
        <v>7550</v>
      </c>
      <c r="S6402" t="s">
        <v>1073</v>
      </c>
      <c r="T6402" t="s">
        <v>1074</v>
      </c>
    </row>
    <row r="6403" spans="1:20" x14ac:dyDescent="0.25">
      <c r="A6403" t="s">
        <v>30</v>
      </c>
      <c r="B6403" t="s">
        <v>31</v>
      </c>
      <c r="C6403" t="s">
        <v>32</v>
      </c>
      <c r="D6403" t="s">
        <v>953</v>
      </c>
      <c r="E6403" t="s">
        <v>1072</v>
      </c>
      <c r="F6403" t="s">
        <v>35</v>
      </c>
      <c r="G6403" t="s">
        <v>35</v>
      </c>
      <c r="H6403" t="s">
        <v>35</v>
      </c>
      <c r="J6403" t="s">
        <v>7524</v>
      </c>
      <c r="K6403" t="s">
        <v>1092</v>
      </c>
      <c r="M6403">
        <v>0.01</v>
      </c>
      <c r="N6403">
        <v>1955</v>
      </c>
      <c r="O6403" t="s">
        <v>575</v>
      </c>
      <c r="Q6403" t="s">
        <v>7525</v>
      </c>
      <c r="R6403" t="s">
        <v>7526</v>
      </c>
      <c r="S6403" t="s">
        <v>7527</v>
      </c>
      <c r="T6403" t="s">
        <v>7528</v>
      </c>
    </row>
    <row r="6404" spans="1:20" x14ac:dyDescent="0.25">
      <c r="A6404" t="s">
        <v>59</v>
      </c>
      <c r="B6404" t="s">
        <v>60</v>
      </c>
      <c r="C6404" t="s">
        <v>32</v>
      </c>
      <c r="D6404" t="s">
        <v>953</v>
      </c>
      <c r="E6404" t="s">
        <v>954</v>
      </c>
      <c r="F6404" t="s">
        <v>35</v>
      </c>
      <c r="G6404" t="s">
        <v>35</v>
      </c>
      <c r="H6404" t="s">
        <v>35</v>
      </c>
      <c r="J6404" t="s">
        <v>6719</v>
      </c>
      <c r="K6404" t="s">
        <v>1092</v>
      </c>
      <c r="M6404">
        <v>0.1</v>
      </c>
      <c r="N6404">
        <v>77</v>
      </c>
      <c r="O6404" t="s">
        <v>61</v>
      </c>
      <c r="Q6404" t="s">
        <v>778</v>
      </c>
      <c r="R6404" t="s">
        <v>6721</v>
      </c>
      <c r="S6404" t="s">
        <v>1078</v>
      </c>
      <c r="T6404" t="s">
        <v>1079</v>
      </c>
    </row>
    <row r="6405" spans="1:20" x14ac:dyDescent="0.25">
      <c r="A6405" t="s">
        <v>44</v>
      </c>
      <c r="B6405" t="s">
        <v>3</v>
      </c>
      <c r="C6405" t="s">
        <v>32</v>
      </c>
      <c r="D6405" t="s">
        <v>953</v>
      </c>
      <c r="E6405" t="s">
        <v>954</v>
      </c>
      <c r="F6405" t="s">
        <v>35</v>
      </c>
      <c r="G6405" t="s">
        <v>35</v>
      </c>
      <c r="H6405" t="s">
        <v>35</v>
      </c>
      <c r="J6405" t="s">
        <v>6719</v>
      </c>
      <c r="K6405" t="s">
        <v>1092</v>
      </c>
      <c r="M6405">
        <v>0.15</v>
      </c>
      <c r="N6405">
        <v>57</v>
      </c>
      <c r="O6405" t="s">
        <v>52</v>
      </c>
      <c r="Q6405" t="s">
        <v>381</v>
      </c>
      <c r="R6405" t="s">
        <v>6721</v>
      </c>
      <c r="S6405" t="s">
        <v>1078</v>
      </c>
      <c r="T6405" t="s">
        <v>1079</v>
      </c>
    </row>
    <row r="6406" spans="1:20" x14ac:dyDescent="0.25">
      <c r="A6406" t="s">
        <v>59</v>
      </c>
      <c r="B6406" t="s">
        <v>60</v>
      </c>
      <c r="C6406" t="s">
        <v>32</v>
      </c>
      <c r="D6406" t="s">
        <v>953</v>
      </c>
      <c r="E6406" t="s">
        <v>954</v>
      </c>
      <c r="F6406" t="s">
        <v>35</v>
      </c>
      <c r="G6406" t="s">
        <v>35</v>
      </c>
      <c r="H6406" t="s">
        <v>35</v>
      </c>
      <c r="J6406" t="s">
        <v>6719</v>
      </c>
      <c r="K6406" t="s">
        <v>1092</v>
      </c>
      <c r="M6406">
        <v>0.5</v>
      </c>
      <c r="N6406">
        <v>57</v>
      </c>
      <c r="O6406" t="s">
        <v>52</v>
      </c>
      <c r="Q6406" t="s">
        <v>381</v>
      </c>
      <c r="R6406" t="s">
        <v>6721</v>
      </c>
      <c r="S6406" t="s">
        <v>1078</v>
      </c>
      <c r="T6406" t="s">
        <v>1079</v>
      </c>
    </row>
    <row r="6407" spans="1:20" x14ac:dyDescent="0.25">
      <c r="A6407" t="s">
        <v>59</v>
      </c>
      <c r="B6407" t="s">
        <v>60</v>
      </c>
      <c r="C6407" t="s">
        <v>32</v>
      </c>
      <c r="D6407" t="s">
        <v>953</v>
      </c>
      <c r="E6407" t="s">
        <v>954</v>
      </c>
      <c r="F6407" t="s">
        <v>35</v>
      </c>
      <c r="G6407" t="s">
        <v>35</v>
      </c>
      <c r="H6407" t="s">
        <v>35</v>
      </c>
      <c r="J6407" t="s">
        <v>6719</v>
      </c>
      <c r="K6407" t="s">
        <v>1092</v>
      </c>
      <c r="M6407">
        <v>0.5</v>
      </c>
      <c r="N6407">
        <v>15</v>
      </c>
      <c r="O6407" t="s">
        <v>46</v>
      </c>
      <c r="Q6407" t="s">
        <v>979</v>
      </c>
      <c r="R6407" t="s">
        <v>6721</v>
      </c>
      <c r="S6407" t="s">
        <v>1078</v>
      </c>
      <c r="T6407" t="s">
        <v>1079</v>
      </c>
    </row>
    <row r="6408" spans="1:20" x14ac:dyDescent="0.25">
      <c r="A6408" t="s">
        <v>59</v>
      </c>
      <c r="B6408" t="s">
        <v>60</v>
      </c>
      <c r="C6408" t="s">
        <v>32</v>
      </c>
      <c r="D6408" t="s">
        <v>953</v>
      </c>
      <c r="E6408" t="s">
        <v>954</v>
      </c>
      <c r="F6408" t="s">
        <v>35</v>
      </c>
      <c r="G6408" t="s">
        <v>35</v>
      </c>
      <c r="H6408" t="s">
        <v>35</v>
      </c>
      <c r="J6408" t="s">
        <v>6719</v>
      </c>
      <c r="K6408" t="s">
        <v>1092</v>
      </c>
      <c r="M6408">
        <v>0.25</v>
      </c>
      <c r="N6408">
        <v>68</v>
      </c>
      <c r="O6408" t="s">
        <v>61</v>
      </c>
      <c r="Q6408" t="s">
        <v>805</v>
      </c>
      <c r="R6408" t="s">
        <v>6721</v>
      </c>
      <c r="S6408" t="s">
        <v>1078</v>
      </c>
      <c r="T6408" t="s">
        <v>1079</v>
      </c>
    </row>
    <row r="6409" spans="1:20" x14ac:dyDescent="0.25">
      <c r="A6409" t="s">
        <v>59</v>
      </c>
      <c r="B6409" t="s">
        <v>31</v>
      </c>
      <c r="C6409" t="s">
        <v>32</v>
      </c>
      <c r="D6409" t="s">
        <v>953</v>
      </c>
      <c r="E6409" t="s">
        <v>954</v>
      </c>
      <c r="F6409" t="s">
        <v>35</v>
      </c>
      <c r="G6409" t="s">
        <v>35</v>
      </c>
      <c r="H6409" t="s">
        <v>35</v>
      </c>
      <c r="J6409" t="s">
        <v>6726</v>
      </c>
      <c r="K6409" t="s">
        <v>1092</v>
      </c>
      <c r="M6409">
        <v>9.7000000000000003E-2</v>
      </c>
      <c r="N6409">
        <v>77</v>
      </c>
      <c r="O6409" t="s">
        <v>61</v>
      </c>
      <c r="Q6409" t="s">
        <v>778</v>
      </c>
      <c r="R6409" t="s">
        <v>6721</v>
      </c>
      <c r="S6409" t="s">
        <v>1078</v>
      </c>
      <c r="T6409" t="s">
        <v>1079</v>
      </c>
    </row>
    <row r="6410" spans="1:20" x14ac:dyDescent="0.25">
      <c r="A6410" t="s">
        <v>44</v>
      </c>
      <c r="B6410" t="s">
        <v>51</v>
      </c>
      <c r="C6410" t="s">
        <v>32</v>
      </c>
      <c r="D6410" t="s">
        <v>953</v>
      </c>
      <c r="E6410" t="s">
        <v>954</v>
      </c>
      <c r="F6410" t="s">
        <v>35</v>
      </c>
      <c r="G6410" t="s">
        <v>35</v>
      </c>
      <c r="H6410" t="s">
        <v>35</v>
      </c>
      <c r="J6410" t="s">
        <v>6726</v>
      </c>
      <c r="K6410" t="s">
        <v>1092</v>
      </c>
      <c r="M6410">
        <v>8.9999999999999993E-3</v>
      </c>
      <c r="N6410">
        <v>281</v>
      </c>
      <c r="O6410" t="s">
        <v>5</v>
      </c>
      <c r="Q6410" t="s">
        <v>1421</v>
      </c>
      <c r="R6410" t="s">
        <v>6721</v>
      </c>
      <c r="S6410" t="s">
        <v>1078</v>
      </c>
      <c r="T6410" t="s">
        <v>1079</v>
      </c>
    </row>
    <row r="6411" spans="1:20" x14ac:dyDescent="0.25">
      <c r="A6411" t="s">
        <v>44</v>
      </c>
      <c r="B6411" t="s">
        <v>51</v>
      </c>
      <c r="C6411" t="s">
        <v>32</v>
      </c>
      <c r="D6411" t="s">
        <v>953</v>
      </c>
      <c r="E6411" t="s">
        <v>954</v>
      </c>
      <c r="F6411" t="s">
        <v>35</v>
      </c>
      <c r="G6411" t="s">
        <v>35</v>
      </c>
      <c r="H6411" t="s">
        <v>35</v>
      </c>
      <c r="J6411" t="s">
        <v>6726</v>
      </c>
      <c r="K6411" t="s">
        <v>1092</v>
      </c>
      <c r="M6411">
        <v>0.1</v>
      </c>
      <c r="N6411">
        <v>38</v>
      </c>
      <c r="O6411" t="s">
        <v>52</v>
      </c>
      <c r="Q6411" t="s">
        <v>716</v>
      </c>
      <c r="R6411" t="s">
        <v>6721</v>
      </c>
      <c r="S6411" t="s">
        <v>1078</v>
      </c>
      <c r="T6411" t="s">
        <v>1079</v>
      </c>
    </row>
    <row r="6412" spans="1:20" x14ac:dyDescent="0.25">
      <c r="A6412" t="s">
        <v>30</v>
      </c>
      <c r="B6412" t="s">
        <v>31</v>
      </c>
      <c r="C6412" t="s">
        <v>32</v>
      </c>
      <c r="D6412" t="s">
        <v>953</v>
      </c>
      <c r="E6412" t="s">
        <v>954</v>
      </c>
      <c r="F6412" t="s">
        <v>35</v>
      </c>
      <c r="G6412" t="s">
        <v>35</v>
      </c>
      <c r="H6412" t="s">
        <v>35</v>
      </c>
      <c r="J6412" t="s">
        <v>6726</v>
      </c>
      <c r="K6412" t="s">
        <v>1092</v>
      </c>
      <c r="M6412">
        <v>0.21199999999999999</v>
      </c>
      <c r="N6412">
        <v>36</v>
      </c>
      <c r="O6412" t="s">
        <v>52</v>
      </c>
      <c r="Q6412" t="s">
        <v>892</v>
      </c>
      <c r="R6412" t="s">
        <v>6721</v>
      </c>
      <c r="S6412" t="s">
        <v>1078</v>
      </c>
      <c r="T6412" t="s">
        <v>1079</v>
      </c>
    </row>
    <row r="6413" spans="1:20" x14ac:dyDescent="0.25">
      <c r="A6413" t="s">
        <v>59</v>
      </c>
      <c r="B6413" t="s">
        <v>60</v>
      </c>
      <c r="C6413" t="s">
        <v>32</v>
      </c>
      <c r="D6413" t="s">
        <v>953</v>
      </c>
      <c r="E6413" t="s">
        <v>1077</v>
      </c>
      <c r="F6413" t="s">
        <v>35</v>
      </c>
      <c r="G6413" t="s">
        <v>35</v>
      </c>
      <c r="H6413" t="s">
        <v>35</v>
      </c>
      <c r="J6413" t="s">
        <v>7684</v>
      </c>
      <c r="K6413" t="s">
        <v>1092</v>
      </c>
      <c r="M6413">
        <v>0.45</v>
      </c>
      <c r="N6413">
        <v>68</v>
      </c>
      <c r="O6413" t="s">
        <v>61</v>
      </c>
      <c r="Q6413" t="s">
        <v>805</v>
      </c>
      <c r="R6413" t="s">
        <v>6721</v>
      </c>
      <c r="S6413" t="s">
        <v>1078</v>
      </c>
      <c r="T6413" t="s">
        <v>1079</v>
      </c>
    </row>
    <row r="6414" spans="1:20" x14ac:dyDescent="0.25">
      <c r="A6414" t="s">
        <v>59</v>
      </c>
      <c r="B6414" t="s">
        <v>31</v>
      </c>
      <c r="C6414" t="s">
        <v>32</v>
      </c>
      <c r="D6414" t="s">
        <v>953</v>
      </c>
      <c r="E6414" t="s">
        <v>1077</v>
      </c>
      <c r="F6414" t="s">
        <v>35</v>
      </c>
      <c r="G6414" t="s">
        <v>35</v>
      </c>
      <c r="H6414" t="s">
        <v>35</v>
      </c>
      <c r="J6414" t="s">
        <v>7684</v>
      </c>
      <c r="K6414" t="s">
        <v>1092</v>
      </c>
      <c r="M6414">
        <v>3.42</v>
      </c>
      <c r="N6414">
        <v>57</v>
      </c>
      <c r="O6414" t="s">
        <v>52</v>
      </c>
      <c r="Q6414" t="s">
        <v>381</v>
      </c>
      <c r="R6414" t="s">
        <v>6721</v>
      </c>
      <c r="S6414" t="s">
        <v>1078</v>
      </c>
      <c r="T6414" t="s">
        <v>1079</v>
      </c>
    </row>
    <row r="6415" spans="1:20" x14ac:dyDescent="0.25">
      <c r="A6415" t="s">
        <v>44</v>
      </c>
      <c r="B6415" t="s">
        <v>3</v>
      </c>
      <c r="C6415" t="s">
        <v>32</v>
      </c>
      <c r="D6415" t="s">
        <v>953</v>
      </c>
      <c r="E6415" t="s">
        <v>1077</v>
      </c>
      <c r="F6415" t="s">
        <v>35</v>
      </c>
      <c r="G6415" t="s">
        <v>35</v>
      </c>
      <c r="H6415" t="s">
        <v>35</v>
      </c>
      <c r="J6415" t="s">
        <v>7684</v>
      </c>
      <c r="K6415" t="s">
        <v>1092</v>
      </c>
      <c r="M6415">
        <v>3</v>
      </c>
      <c r="N6415">
        <v>57</v>
      </c>
      <c r="O6415" t="s">
        <v>52</v>
      </c>
      <c r="Q6415" t="s">
        <v>381</v>
      </c>
      <c r="R6415" t="s">
        <v>6721</v>
      </c>
      <c r="S6415" t="s">
        <v>1078</v>
      </c>
      <c r="T6415" t="s">
        <v>1079</v>
      </c>
    </row>
    <row r="6416" spans="1:20" x14ac:dyDescent="0.25">
      <c r="A6416" t="s">
        <v>59</v>
      </c>
      <c r="B6416" t="s">
        <v>60</v>
      </c>
      <c r="C6416" t="s">
        <v>32</v>
      </c>
      <c r="D6416" t="s">
        <v>953</v>
      </c>
      <c r="E6416" t="s">
        <v>1077</v>
      </c>
      <c r="F6416" t="s">
        <v>35</v>
      </c>
      <c r="G6416" t="s">
        <v>35</v>
      </c>
      <c r="H6416" t="s">
        <v>35</v>
      </c>
      <c r="J6416" t="s">
        <v>7684</v>
      </c>
      <c r="K6416" t="s">
        <v>1092</v>
      </c>
      <c r="M6416">
        <v>5</v>
      </c>
      <c r="N6416">
        <v>57</v>
      </c>
      <c r="O6416" t="s">
        <v>52</v>
      </c>
      <c r="Q6416" t="s">
        <v>381</v>
      </c>
      <c r="R6416" t="s">
        <v>6721</v>
      </c>
      <c r="S6416" t="s">
        <v>1078</v>
      </c>
      <c r="T6416" t="s">
        <v>1079</v>
      </c>
    </row>
    <row r="6417" spans="1:20" x14ac:dyDescent="0.25">
      <c r="A6417" t="s">
        <v>44</v>
      </c>
      <c r="B6417" t="s">
        <v>51</v>
      </c>
      <c r="C6417" t="s">
        <v>32</v>
      </c>
      <c r="D6417" t="s">
        <v>953</v>
      </c>
      <c r="E6417" t="s">
        <v>1077</v>
      </c>
      <c r="F6417" t="s">
        <v>35</v>
      </c>
      <c r="G6417" t="s">
        <v>35</v>
      </c>
      <c r="H6417" t="s">
        <v>35</v>
      </c>
      <c r="J6417" t="s">
        <v>7684</v>
      </c>
      <c r="K6417" t="s">
        <v>1092</v>
      </c>
      <c r="M6417">
        <v>0.3</v>
      </c>
      <c r="N6417">
        <v>316</v>
      </c>
      <c r="O6417" t="s">
        <v>5</v>
      </c>
      <c r="Q6417" t="s">
        <v>6781</v>
      </c>
      <c r="R6417" t="s">
        <v>6721</v>
      </c>
      <c r="S6417" t="s">
        <v>1078</v>
      </c>
      <c r="T6417" t="s">
        <v>1079</v>
      </c>
    </row>
    <row r="6418" spans="1:20" x14ac:dyDescent="0.25">
      <c r="A6418" t="s">
        <v>44</v>
      </c>
      <c r="B6418" t="s">
        <v>3</v>
      </c>
      <c r="C6418" t="s">
        <v>32</v>
      </c>
      <c r="D6418" t="s">
        <v>953</v>
      </c>
      <c r="E6418" t="s">
        <v>954</v>
      </c>
      <c r="F6418" t="s">
        <v>35</v>
      </c>
      <c r="G6418" t="s">
        <v>35</v>
      </c>
      <c r="H6418" t="s">
        <v>35</v>
      </c>
      <c r="J6418" t="s">
        <v>6727</v>
      </c>
      <c r="K6418" t="s">
        <v>1092</v>
      </c>
      <c r="M6418">
        <v>0.1</v>
      </c>
      <c r="N6418">
        <v>36</v>
      </c>
      <c r="O6418" t="s">
        <v>52</v>
      </c>
      <c r="Q6418" t="s">
        <v>892</v>
      </c>
      <c r="R6418" t="s">
        <v>6721</v>
      </c>
      <c r="S6418" t="s">
        <v>1078</v>
      </c>
      <c r="T6418" t="s">
        <v>1079</v>
      </c>
    </row>
    <row r="6419" spans="1:20" x14ac:dyDescent="0.25">
      <c r="A6419" t="s">
        <v>44</v>
      </c>
      <c r="B6419" t="s">
        <v>51</v>
      </c>
      <c r="C6419" t="s">
        <v>32</v>
      </c>
      <c r="D6419" t="s">
        <v>953</v>
      </c>
      <c r="E6419" t="s">
        <v>7558</v>
      </c>
      <c r="F6419" t="s">
        <v>35</v>
      </c>
      <c r="G6419" t="s">
        <v>35</v>
      </c>
      <c r="H6419" t="s">
        <v>35</v>
      </c>
      <c r="J6419" t="s">
        <v>7565</v>
      </c>
      <c r="K6419" t="s">
        <v>1092</v>
      </c>
      <c r="M6419">
        <v>1.25</v>
      </c>
      <c r="N6419">
        <v>50</v>
      </c>
      <c r="O6419" t="s">
        <v>52</v>
      </c>
      <c r="Q6419" t="s">
        <v>665</v>
      </c>
      <c r="R6419" t="s">
        <v>6721</v>
      </c>
      <c r="S6419" t="s">
        <v>1078</v>
      </c>
      <c r="T6419" t="s">
        <v>1079</v>
      </c>
    </row>
    <row r="6420" spans="1:20" x14ac:dyDescent="0.25">
      <c r="A6420" t="s">
        <v>30</v>
      </c>
      <c r="B6420" t="s">
        <v>31</v>
      </c>
      <c r="C6420" t="s">
        <v>32</v>
      </c>
      <c r="D6420" t="s">
        <v>953</v>
      </c>
      <c r="E6420" t="s">
        <v>7558</v>
      </c>
      <c r="F6420" t="s">
        <v>35</v>
      </c>
      <c r="G6420" t="s">
        <v>35</v>
      </c>
      <c r="H6420" t="s">
        <v>35</v>
      </c>
      <c r="J6420" t="s">
        <v>7565</v>
      </c>
      <c r="K6420" t="s">
        <v>1092</v>
      </c>
      <c r="M6420">
        <v>5.49</v>
      </c>
      <c r="N6420">
        <v>36</v>
      </c>
      <c r="O6420" t="s">
        <v>52</v>
      </c>
      <c r="Q6420" t="s">
        <v>892</v>
      </c>
      <c r="R6420" t="s">
        <v>6721</v>
      </c>
      <c r="S6420" t="s">
        <v>1078</v>
      </c>
      <c r="T6420" t="s">
        <v>1079</v>
      </c>
    </row>
    <row r="6421" spans="1:20" x14ac:dyDescent="0.25">
      <c r="A6421" t="s">
        <v>59</v>
      </c>
      <c r="B6421" t="s">
        <v>60</v>
      </c>
      <c r="C6421" t="s">
        <v>32</v>
      </c>
      <c r="D6421" t="s">
        <v>953</v>
      </c>
      <c r="E6421" t="s">
        <v>7558</v>
      </c>
      <c r="F6421" t="s">
        <v>35</v>
      </c>
      <c r="G6421" t="s">
        <v>35</v>
      </c>
      <c r="H6421" t="s">
        <v>35</v>
      </c>
      <c r="J6421" t="s">
        <v>7565</v>
      </c>
      <c r="K6421" t="s">
        <v>1092</v>
      </c>
      <c r="M6421">
        <v>0.28000000000000003</v>
      </c>
      <c r="N6421">
        <v>57</v>
      </c>
      <c r="O6421" t="s">
        <v>52</v>
      </c>
      <c r="Q6421" t="s">
        <v>381</v>
      </c>
      <c r="R6421" t="s">
        <v>6721</v>
      </c>
      <c r="S6421" t="s">
        <v>1078</v>
      </c>
      <c r="T6421" t="s">
        <v>1079</v>
      </c>
    </row>
    <row r="6422" spans="1:20" x14ac:dyDescent="0.25">
      <c r="A6422" t="s">
        <v>59</v>
      </c>
      <c r="B6422" t="s">
        <v>31</v>
      </c>
      <c r="C6422" t="s">
        <v>32</v>
      </c>
      <c r="D6422" t="s">
        <v>953</v>
      </c>
      <c r="E6422" t="s">
        <v>7558</v>
      </c>
      <c r="F6422" t="s">
        <v>35</v>
      </c>
      <c r="G6422" t="s">
        <v>35</v>
      </c>
      <c r="H6422" t="s">
        <v>35</v>
      </c>
      <c r="J6422" t="s">
        <v>7565</v>
      </c>
      <c r="K6422" t="s">
        <v>1092</v>
      </c>
      <c r="M6422">
        <v>4.9950000000000001</v>
      </c>
      <c r="N6422">
        <v>17</v>
      </c>
      <c r="O6422" t="s">
        <v>46</v>
      </c>
      <c r="Q6422" t="s">
        <v>255</v>
      </c>
      <c r="R6422" t="s">
        <v>6721</v>
      </c>
      <c r="S6422" t="s">
        <v>1078</v>
      </c>
      <c r="T6422" t="s">
        <v>1079</v>
      </c>
    </row>
    <row r="6423" spans="1:20" x14ac:dyDescent="0.25">
      <c r="A6423" t="s">
        <v>44</v>
      </c>
      <c r="B6423" t="s">
        <v>3</v>
      </c>
      <c r="C6423" t="s">
        <v>32</v>
      </c>
      <c r="D6423" t="s">
        <v>953</v>
      </c>
      <c r="E6423" t="s">
        <v>7558</v>
      </c>
      <c r="F6423" t="s">
        <v>35</v>
      </c>
      <c r="G6423" t="s">
        <v>35</v>
      </c>
      <c r="H6423" t="s">
        <v>35</v>
      </c>
      <c r="J6423" t="s">
        <v>7565</v>
      </c>
      <c r="K6423" t="s">
        <v>1092</v>
      </c>
      <c r="M6423">
        <v>1.75</v>
      </c>
      <c r="N6423">
        <v>57</v>
      </c>
      <c r="O6423" t="s">
        <v>52</v>
      </c>
      <c r="Q6423" t="s">
        <v>381</v>
      </c>
      <c r="R6423" t="s">
        <v>6721</v>
      </c>
      <c r="S6423" t="s">
        <v>1078</v>
      </c>
      <c r="T6423" t="s">
        <v>1079</v>
      </c>
    </row>
    <row r="6424" spans="1:20" x14ac:dyDescent="0.25">
      <c r="A6424" t="s">
        <v>30</v>
      </c>
      <c r="B6424" t="s">
        <v>31</v>
      </c>
      <c r="C6424" t="s">
        <v>32</v>
      </c>
      <c r="D6424" t="s">
        <v>953</v>
      </c>
      <c r="E6424" t="s">
        <v>7558</v>
      </c>
      <c r="F6424" t="s">
        <v>35</v>
      </c>
      <c r="G6424" t="s">
        <v>35</v>
      </c>
      <c r="H6424" t="s">
        <v>35</v>
      </c>
      <c r="J6424" t="s">
        <v>7565</v>
      </c>
      <c r="K6424" t="s">
        <v>1092</v>
      </c>
      <c r="M6424">
        <v>0.1</v>
      </c>
      <c r="N6424">
        <v>191</v>
      </c>
      <c r="O6424" t="s">
        <v>5</v>
      </c>
      <c r="Q6424" t="s">
        <v>4086</v>
      </c>
      <c r="R6424" t="s">
        <v>6721</v>
      </c>
      <c r="S6424" t="s">
        <v>1078</v>
      </c>
      <c r="T6424" t="s">
        <v>1079</v>
      </c>
    </row>
    <row r="6425" spans="1:20" x14ac:dyDescent="0.25">
      <c r="A6425" t="s">
        <v>44</v>
      </c>
      <c r="B6425" t="s">
        <v>3</v>
      </c>
      <c r="C6425" t="s">
        <v>32</v>
      </c>
      <c r="D6425" t="s">
        <v>953</v>
      </c>
      <c r="E6425" t="s">
        <v>1077</v>
      </c>
      <c r="F6425" t="s">
        <v>35</v>
      </c>
      <c r="G6425" t="s">
        <v>35</v>
      </c>
      <c r="H6425" t="s">
        <v>35</v>
      </c>
      <c r="J6425" t="s">
        <v>7664</v>
      </c>
      <c r="K6425" t="s">
        <v>1092</v>
      </c>
      <c r="M6425">
        <v>0.2</v>
      </c>
      <c r="N6425">
        <v>456</v>
      </c>
      <c r="O6425" t="s">
        <v>294</v>
      </c>
      <c r="Q6425" t="s">
        <v>4882</v>
      </c>
      <c r="R6425" t="s">
        <v>6721</v>
      </c>
      <c r="S6425" t="s">
        <v>1078</v>
      </c>
      <c r="T6425" t="s">
        <v>1079</v>
      </c>
    </row>
    <row r="6426" spans="1:20" x14ac:dyDescent="0.25">
      <c r="A6426" t="s">
        <v>44</v>
      </c>
      <c r="B6426" t="s">
        <v>3</v>
      </c>
      <c r="C6426" t="s">
        <v>32</v>
      </c>
      <c r="D6426" t="s">
        <v>953</v>
      </c>
      <c r="E6426" t="s">
        <v>1077</v>
      </c>
      <c r="F6426" t="s">
        <v>35</v>
      </c>
      <c r="G6426" t="s">
        <v>35</v>
      </c>
      <c r="H6426" t="s">
        <v>35</v>
      </c>
      <c r="J6426" t="s">
        <v>7664</v>
      </c>
      <c r="K6426" t="s">
        <v>1092</v>
      </c>
      <c r="M6426">
        <v>0.25</v>
      </c>
      <c r="N6426">
        <v>442</v>
      </c>
      <c r="O6426" t="s">
        <v>294</v>
      </c>
      <c r="Q6426" t="s">
        <v>7665</v>
      </c>
      <c r="R6426" t="s">
        <v>6721</v>
      </c>
      <c r="S6426" t="s">
        <v>1078</v>
      </c>
      <c r="T6426" t="s">
        <v>1079</v>
      </c>
    </row>
    <row r="6427" spans="1:20" x14ac:dyDescent="0.25">
      <c r="A6427" t="s">
        <v>59</v>
      </c>
      <c r="B6427" t="s">
        <v>60</v>
      </c>
      <c r="C6427" t="s">
        <v>32</v>
      </c>
      <c r="D6427" t="s">
        <v>953</v>
      </c>
      <c r="E6427" t="s">
        <v>1077</v>
      </c>
      <c r="F6427" t="s">
        <v>35</v>
      </c>
      <c r="G6427" t="s">
        <v>35</v>
      </c>
      <c r="H6427" t="s">
        <v>35</v>
      </c>
      <c r="J6427" t="s">
        <v>7664</v>
      </c>
      <c r="K6427" t="s">
        <v>1092</v>
      </c>
      <c r="M6427">
        <v>0.5</v>
      </c>
      <c r="N6427">
        <v>106</v>
      </c>
      <c r="O6427" t="s">
        <v>106</v>
      </c>
      <c r="Q6427" t="s">
        <v>6066</v>
      </c>
      <c r="R6427" t="s">
        <v>6721</v>
      </c>
      <c r="S6427" t="s">
        <v>1078</v>
      </c>
      <c r="T6427" t="s">
        <v>1079</v>
      </c>
    </row>
    <row r="6428" spans="1:20" x14ac:dyDescent="0.25">
      <c r="A6428" t="s">
        <v>59</v>
      </c>
      <c r="B6428" t="s">
        <v>60</v>
      </c>
      <c r="C6428" t="s">
        <v>32</v>
      </c>
      <c r="D6428" t="s">
        <v>953</v>
      </c>
      <c r="E6428" t="s">
        <v>1077</v>
      </c>
      <c r="F6428" t="s">
        <v>35</v>
      </c>
      <c r="G6428" t="s">
        <v>35</v>
      </c>
      <c r="H6428" t="s">
        <v>35</v>
      </c>
      <c r="J6428" t="s">
        <v>7664</v>
      </c>
      <c r="K6428" t="s">
        <v>1092</v>
      </c>
      <c r="M6428">
        <v>1.25</v>
      </c>
      <c r="N6428">
        <v>82</v>
      </c>
      <c r="O6428" t="s">
        <v>61</v>
      </c>
      <c r="Q6428" t="s">
        <v>299</v>
      </c>
      <c r="R6428" t="s">
        <v>6721</v>
      </c>
      <c r="S6428" t="s">
        <v>1078</v>
      </c>
      <c r="T6428" t="s">
        <v>1079</v>
      </c>
    </row>
    <row r="6429" spans="1:20" x14ac:dyDescent="0.25">
      <c r="A6429" t="s">
        <v>59</v>
      </c>
      <c r="B6429" t="s">
        <v>31</v>
      </c>
      <c r="C6429" t="s">
        <v>32</v>
      </c>
      <c r="D6429" t="s">
        <v>953</v>
      </c>
      <c r="E6429" t="s">
        <v>1077</v>
      </c>
      <c r="F6429" t="s">
        <v>35</v>
      </c>
      <c r="G6429" t="s">
        <v>35</v>
      </c>
      <c r="H6429" t="s">
        <v>35</v>
      </c>
      <c r="J6429" t="s">
        <v>7664</v>
      </c>
      <c r="K6429" t="s">
        <v>1092</v>
      </c>
      <c r="M6429">
        <v>5.0000000000000001E-3</v>
      </c>
      <c r="N6429">
        <v>349</v>
      </c>
      <c r="O6429" t="s">
        <v>5</v>
      </c>
      <c r="Q6429" t="s">
        <v>4728</v>
      </c>
      <c r="R6429" t="s">
        <v>6721</v>
      </c>
      <c r="S6429" t="s">
        <v>1078</v>
      </c>
      <c r="T6429" t="s">
        <v>1079</v>
      </c>
    </row>
    <row r="6430" spans="1:20" x14ac:dyDescent="0.25">
      <c r="A6430" t="s">
        <v>59</v>
      </c>
      <c r="B6430" t="s">
        <v>31</v>
      </c>
      <c r="C6430" t="s">
        <v>32</v>
      </c>
      <c r="D6430" t="s">
        <v>953</v>
      </c>
      <c r="E6430" t="s">
        <v>1077</v>
      </c>
      <c r="F6430" t="s">
        <v>35</v>
      </c>
      <c r="G6430" t="s">
        <v>35</v>
      </c>
      <c r="H6430" t="s">
        <v>35</v>
      </c>
      <c r="J6430" t="s">
        <v>7664</v>
      </c>
      <c r="K6430" t="s">
        <v>1092</v>
      </c>
      <c r="M6430">
        <v>0.45</v>
      </c>
      <c r="N6430">
        <v>57</v>
      </c>
      <c r="O6430" t="s">
        <v>52</v>
      </c>
      <c r="Q6430" t="s">
        <v>381</v>
      </c>
      <c r="R6430" t="s">
        <v>6721</v>
      </c>
      <c r="S6430" t="s">
        <v>1078</v>
      </c>
      <c r="T6430" t="s">
        <v>1079</v>
      </c>
    </row>
    <row r="6431" spans="1:20" x14ac:dyDescent="0.25">
      <c r="A6431" t="s">
        <v>59</v>
      </c>
      <c r="B6431" t="s">
        <v>31</v>
      </c>
      <c r="C6431" t="s">
        <v>32</v>
      </c>
      <c r="D6431" t="s">
        <v>953</v>
      </c>
      <c r="E6431" t="s">
        <v>1077</v>
      </c>
      <c r="F6431" t="s">
        <v>35</v>
      </c>
      <c r="G6431" t="s">
        <v>35</v>
      </c>
      <c r="H6431" t="s">
        <v>35</v>
      </c>
      <c r="J6431" t="s">
        <v>7664</v>
      </c>
      <c r="K6431" t="s">
        <v>1092</v>
      </c>
      <c r="M6431">
        <v>0.9</v>
      </c>
      <c r="N6431">
        <v>106</v>
      </c>
      <c r="O6431" t="s">
        <v>106</v>
      </c>
      <c r="Q6431" t="s">
        <v>6066</v>
      </c>
      <c r="R6431" t="s">
        <v>6721</v>
      </c>
      <c r="S6431" t="s">
        <v>1078</v>
      </c>
      <c r="T6431" t="s">
        <v>1079</v>
      </c>
    </row>
    <row r="6432" spans="1:20" x14ac:dyDescent="0.25">
      <c r="A6432" t="s">
        <v>44</v>
      </c>
      <c r="B6432" t="s">
        <v>3</v>
      </c>
      <c r="C6432" t="s">
        <v>32</v>
      </c>
      <c r="D6432" t="s">
        <v>953</v>
      </c>
      <c r="E6432" t="s">
        <v>1077</v>
      </c>
      <c r="F6432" t="s">
        <v>35</v>
      </c>
      <c r="G6432" t="s">
        <v>35</v>
      </c>
      <c r="H6432" t="s">
        <v>35</v>
      </c>
      <c r="J6432" t="s">
        <v>7664</v>
      </c>
      <c r="K6432" t="s">
        <v>1092</v>
      </c>
      <c r="M6432">
        <v>0.25</v>
      </c>
      <c r="N6432">
        <v>57</v>
      </c>
      <c r="O6432" t="s">
        <v>52</v>
      </c>
      <c r="Q6432" t="s">
        <v>381</v>
      </c>
      <c r="R6432" t="s">
        <v>6721</v>
      </c>
      <c r="S6432" t="s">
        <v>1078</v>
      </c>
      <c r="T6432" t="s">
        <v>1079</v>
      </c>
    </row>
    <row r="6433" spans="1:20" x14ac:dyDescent="0.25">
      <c r="A6433" t="s">
        <v>44</v>
      </c>
      <c r="B6433" t="s">
        <v>51</v>
      </c>
      <c r="C6433" t="s">
        <v>32</v>
      </c>
      <c r="D6433" t="s">
        <v>953</v>
      </c>
      <c r="E6433" t="s">
        <v>1077</v>
      </c>
      <c r="F6433" t="s">
        <v>35</v>
      </c>
      <c r="G6433" t="s">
        <v>35</v>
      </c>
      <c r="H6433" t="s">
        <v>35</v>
      </c>
      <c r="J6433" t="s">
        <v>7664</v>
      </c>
      <c r="K6433" t="s">
        <v>1092</v>
      </c>
      <c r="M6433">
        <v>0.5</v>
      </c>
      <c r="N6433">
        <v>38</v>
      </c>
      <c r="O6433" t="s">
        <v>52</v>
      </c>
      <c r="Q6433" t="s">
        <v>716</v>
      </c>
      <c r="R6433" t="s">
        <v>6721</v>
      </c>
      <c r="S6433" t="s">
        <v>1078</v>
      </c>
      <c r="T6433" t="s">
        <v>1079</v>
      </c>
    </row>
    <row r="6434" spans="1:20" x14ac:dyDescent="0.25">
      <c r="A6434" t="s">
        <v>59</v>
      </c>
      <c r="B6434" t="s">
        <v>60</v>
      </c>
      <c r="C6434" t="s">
        <v>32</v>
      </c>
      <c r="D6434" t="s">
        <v>953</v>
      </c>
      <c r="E6434" t="s">
        <v>1077</v>
      </c>
      <c r="F6434" t="s">
        <v>35</v>
      </c>
      <c r="G6434" t="s">
        <v>35</v>
      </c>
      <c r="H6434" t="s">
        <v>35</v>
      </c>
      <c r="J6434" t="s">
        <v>7664</v>
      </c>
      <c r="K6434" t="s">
        <v>1092</v>
      </c>
      <c r="M6434">
        <v>0.5</v>
      </c>
      <c r="N6434">
        <v>38</v>
      </c>
      <c r="O6434" t="s">
        <v>52</v>
      </c>
      <c r="Q6434" t="s">
        <v>716</v>
      </c>
      <c r="R6434" t="s">
        <v>6721</v>
      </c>
      <c r="S6434" t="s">
        <v>1078</v>
      </c>
      <c r="T6434" t="s">
        <v>1079</v>
      </c>
    </row>
    <row r="6435" spans="1:20" x14ac:dyDescent="0.25">
      <c r="A6435" t="s">
        <v>44</v>
      </c>
      <c r="B6435" t="s">
        <v>3</v>
      </c>
      <c r="C6435" t="s">
        <v>32</v>
      </c>
      <c r="D6435" t="s">
        <v>953</v>
      </c>
      <c r="E6435" t="s">
        <v>1077</v>
      </c>
      <c r="F6435" t="s">
        <v>35</v>
      </c>
      <c r="G6435" t="s">
        <v>35</v>
      </c>
      <c r="H6435" t="s">
        <v>35</v>
      </c>
      <c r="J6435" t="s">
        <v>7664</v>
      </c>
      <c r="K6435" t="s">
        <v>1092</v>
      </c>
      <c r="M6435">
        <v>0.5</v>
      </c>
      <c r="N6435">
        <v>38</v>
      </c>
      <c r="O6435" t="s">
        <v>52</v>
      </c>
      <c r="Q6435" t="s">
        <v>716</v>
      </c>
      <c r="R6435" t="s">
        <v>6721</v>
      </c>
      <c r="S6435" t="s">
        <v>1078</v>
      </c>
      <c r="T6435" t="s">
        <v>1079</v>
      </c>
    </row>
    <row r="6436" spans="1:20" x14ac:dyDescent="0.25">
      <c r="A6436" t="s">
        <v>44</v>
      </c>
      <c r="B6436" t="s">
        <v>3</v>
      </c>
      <c r="C6436" t="s">
        <v>32</v>
      </c>
      <c r="D6436" t="s">
        <v>953</v>
      </c>
      <c r="E6436" t="s">
        <v>980</v>
      </c>
      <c r="F6436" t="s">
        <v>35</v>
      </c>
      <c r="G6436" t="s">
        <v>35</v>
      </c>
      <c r="H6436" t="s">
        <v>35</v>
      </c>
      <c r="J6436" t="s">
        <v>7083</v>
      </c>
      <c r="K6436" t="s">
        <v>1092</v>
      </c>
      <c r="M6436">
        <v>0.65</v>
      </c>
      <c r="N6436">
        <v>50</v>
      </c>
      <c r="O6436" t="s">
        <v>52</v>
      </c>
      <c r="Q6436" t="s">
        <v>665</v>
      </c>
      <c r="R6436" t="s">
        <v>6721</v>
      </c>
      <c r="S6436" t="s">
        <v>1078</v>
      </c>
      <c r="T6436" t="s">
        <v>1079</v>
      </c>
    </row>
    <row r="6437" spans="1:20" x14ac:dyDescent="0.25">
      <c r="A6437" t="s">
        <v>44</v>
      </c>
      <c r="B6437" t="s">
        <v>3</v>
      </c>
      <c r="C6437" t="s">
        <v>32</v>
      </c>
      <c r="D6437" t="s">
        <v>953</v>
      </c>
      <c r="E6437" t="s">
        <v>980</v>
      </c>
      <c r="F6437" t="s">
        <v>35</v>
      </c>
      <c r="G6437" t="s">
        <v>35</v>
      </c>
      <c r="H6437" t="s">
        <v>35</v>
      </c>
      <c r="J6437" t="s">
        <v>7083</v>
      </c>
      <c r="K6437" t="s">
        <v>1092</v>
      </c>
      <c r="M6437">
        <v>0.4</v>
      </c>
      <c r="N6437">
        <v>17</v>
      </c>
      <c r="O6437" t="s">
        <v>46</v>
      </c>
      <c r="Q6437" t="s">
        <v>255</v>
      </c>
      <c r="R6437" t="s">
        <v>6721</v>
      </c>
      <c r="S6437" t="s">
        <v>1078</v>
      </c>
      <c r="T6437" t="s">
        <v>1079</v>
      </c>
    </row>
    <row r="6438" spans="1:20" x14ac:dyDescent="0.25">
      <c r="A6438" t="s">
        <v>59</v>
      </c>
      <c r="B6438" t="s">
        <v>60</v>
      </c>
      <c r="C6438" t="s">
        <v>32</v>
      </c>
      <c r="D6438" t="s">
        <v>953</v>
      </c>
      <c r="E6438" t="s">
        <v>980</v>
      </c>
      <c r="F6438" t="s">
        <v>35</v>
      </c>
      <c r="G6438" t="s">
        <v>35</v>
      </c>
      <c r="H6438" t="s">
        <v>35</v>
      </c>
      <c r="J6438" t="s">
        <v>7083</v>
      </c>
      <c r="K6438" t="s">
        <v>1092</v>
      </c>
      <c r="M6438">
        <v>0.75</v>
      </c>
      <c r="N6438">
        <v>15</v>
      </c>
      <c r="O6438" t="s">
        <v>46</v>
      </c>
      <c r="Q6438" t="s">
        <v>979</v>
      </c>
      <c r="R6438" t="s">
        <v>6721</v>
      </c>
      <c r="S6438" t="s">
        <v>1078</v>
      </c>
      <c r="T6438" t="s">
        <v>1079</v>
      </c>
    </row>
    <row r="6439" spans="1:20" x14ac:dyDescent="0.25">
      <c r="A6439" t="s">
        <v>59</v>
      </c>
      <c r="B6439" t="s">
        <v>60</v>
      </c>
      <c r="C6439" t="s">
        <v>32</v>
      </c>
      <c r="D6439" t="s">
        <v>953</v>
      </c>
      <c r="E6439" t="s">
        <v>980</v>
      </c>
      <c r="F6439" t="s">
        <v>35</v>
      </c>
      <c r="G6439" t="s">
        <v>35</v>
      </c>
      <c r="H6439" t="s">
        <v>35</v>
      </c>
      <c r="J6439" t="s">
        <v>7083</v>
      </c>
      <c r="K6439" t="s">
        <v>1092</v>
      </c>
      <c r="M6439">
        <v>0.3</v>
      </c>
      <c r="N6439">
        <v>17</v>
      </c>
      <c r="O6439" t="s">
        <v>46</v>
      </c>
      <c r="Q6439" t="s">
        <v>255</v>
      </c>
      <c r="R6439" t="s">
        <v>6721</v>
      </c>
      <c r="S6439" t="s">
        <v>1078</v>
      </c>
      <c r="T6439" t="s">
        <v>1079</v>
      </c>
    </row>
    <row r="6440" spans="1:20" x14ac:dyDescent="0.25">
      <c r="A6440" t="s">
        <v>44</v>
      </c>
      <c r="B6440" t="s">
        <v>3</v>
      </c>
      <c r="C6440" t="s">
        <v>32</v>
      </c>
      <c r="D6440" t="s">
        <v>953</v>
      </c>
      <c r="E6440" t="s">
        <v>980</v>
      </c>
      <c r="F6440" t="s">
        <v>35</v>
      </c>
      <c r="G6440" t="s">
        <v>35</v>
      </c>
      <c r="H6440" t="s">
        <v>35</v>
      </c>
      <c r="J6440" t="s">
        <v>7083</v>
      </c>
      <c r="K6440" t="s">
        <v>1092</v>
      </c>
      <c r="M6440">
        <v>1.25</v>
      </c>
      <c r="N6440">
        <v>36</v>
      </c>
      <c r="O6440" t="s">
        <v>52</v>
      </c>
      <c r="Q6440" t="s">
        <v>892</v>
      </c>
      <c r="R6440" t="s">
        <v>6721</v>
      </c>
      <c r="S6440" t="s">
        <v>1078</v>
      </c>
      <c r="T6440" t="s">
        <v>1079</v>
      </c>
    </row>
    <row r="6441" spans="1:20" x14ac:dyDescent="0.25">
      <c r="A6441" t="s">
        <v>44</v>
      </c>
      <c r="B6441" t="s">
        <v>3</v>
      </c>
      <c r="C6441" t="s">
        <v>32</v>
      </c>
      <c r="D6441" t="s">
        <v>953</v>
      </c>
      <c r="E6441" t="s">
        <v>980</v>
      </c>
      <c r="F6441" t="s">
        <v>35</v>
      </c>
      <c r="G6441" t="s">
        <v>35</v>
      </c>
      <c r="H6441" t="s">
        <v>35</v>
      </c>
      <c r="J6441" t="s">
        <v>7083</v>
      </c>
      <c r="K6441" t="s">
        <v>1092</v>
      </c>
      <c r="M6441">
        <v>0.5</v>
      </c>
      <c r="N6441">
        <v>57</v>
      </c>
      <c r="O6441" t="s">
        <v>52</v>
      </c>
      <c r="Q6441" t="s">
        <v>381</v>
      </c>
      <c r="R6441" t="s">
        <v>6721</v>
      </c>
      <c r="S6441" t="s">
        <v>1078</v>
      </c>
      <c r="T6441" t="s">
        <v>1079</v>
      </c>
    </row>
    <row r="6442" spans="1:20" x14ac:dyDescent="0.25">
      <c r="A6442" t="s">
        <v>44</v>
      </c>
      <c r="B6442" t="s">
        <v>51</v>
      </c>
      <c r="C6442" t="s">
        <v>32</v>
      </c>
      <c r="D6442" t="s">
        <v>953</v>
      </c>
      <c r="E6442" t="s">
        <v>980</v>
      </c>
      <c r="F6442" t="s">
        <v>35</v>
      </c>
      <c r="G6442" t="s">
        <v>35</v>
      </c>
      <c r="H6442" t="s">
        <v>35</v>
      </c>
      <c r="J6442" t="s">
        <v>7083</v>
      </c>
      <c r="K6442" t="s">
        <v>1092</v>
      </c>
      <c r="M6442">
        <v>0.25</v>
      </c>
      <c r="N6442">
        <v>36</v>
      </c>
      <c r="O6442" t="s">
        <v>52</v>
      </c>
      <c r="Q6442" t="s">
        <v>892</v>
      </c>
      <c r="R6442" t="s">
        <v>6721</v>
      </c>
      <c r="S6442" t="s">
        <v>1078</v>
      </c>
      <c r="T6442" t="s">
        <v>1079</v>
      </c>
    </row>
    <row r="6443" spans="1:20" x14ac:dyDescent="0.25">
      <c r="A6443" t="s">
        <v>44</v>
      </c>
      <c r="B6443" t="s">
        <v>51</v>
      </c>
      <c r="C6443" t="s">
        <v>32</v>
      </c>
      <c r="D6443" t="s">
        <v>953</v>
      </c>
      <c r="E6443" t="s">
        <v>980</v>
      </c>
      <c r="F6443" t="s">
        <v>35</v>
      </c>
      <c r="G6443" t="s">
        <v>35</v>
      </c>
      <c r="H6443" t="s">
        <v>35</v>
      </c>
      <c r="J6443" t="s">
        <v>7083</v>
      </c>
      <c r="K6443" t="s">
        <v>1092</v>
      </c>
      <c r="M6443">
        <v>0.25</v>
      </c>
      <c r="N6443">
        <v>50</v>
      </c>
      <c r="O6443" t="s">
        <v>52</v>
      </c>
      <c r="Q6443" t="s">
        <v>665</v>
      </c>
      <c r="R6443" t="s">
        <v>6721</v>
      </c>
      <c r="S6443" t="s">
        <v>1078</v>
      </c>
      <c r="T6443" t="s">
        <v>1079</v>
      </c>
    </row>
    <row r="6444" spans="1:20" x14ac:dyDescent="0.25">
      <c r="A6444" t="s">
        <v>59</v>
      </c>
      <c r="B6444" t="s">
        <v>60</v>
      </c>
      <c r="C6444" t="s">
        <v>32</v>
      </c>
      <c r="D6444" t="s">
        <v>953</v>
      </c>
      <c r="E6444" t="s">
        <v>7558</v>
      </c>
      <c r="F6444" t="s">
        <v>35</v>
      </c>
      <c r="G6444" t="s">
        <v>35</v>
      </c>
      <c r="H6444" t="s">
        <v>35</v>
      </c>
      <c r="J6444" t="s">
        <v>7568</v>
      </c>
      <c r="K6444" t="s">
        <v>1092</v>
      </c>
      <c r="M6444">
        <v>1.05</v>
      </c>
      <c r="N6444">
        <v>239</v>
      </c>
      <c r="O6444" t="s">
        <v>5</v>
      </c>
      <c r="Q6444" t="s">
        <v>1903</v>
      </c>
      <c r="R6444" t="s">
        <v>6721</v>
      </c>
      <c r="S6444" t="s">
        <v>1078</v>
      </c>
      <c r="T6444" t="s">
        <v>1079</v>
      </c>
    </row>
    <row r="6445" spans="1:20" x14ac:dyDescent="0.25">
      <c r="A6445" t="s">
        <v>59</v>
      </c>
      <c r="B6445" t="s">
        <v>31</v>
      </c>
      <c r="C6445" t="s">
        <v>32</v>
      </c>
      <c r="D6445" t="s">
        <v>953</v>
      </c>
      <c r="E6445" t="s">
        <v>1077</v>
      </c>
      <c r="F6445" t="s">
        <v>35</v>
      </c>
      <c r="G6445" t="s">
        <v>35</v>
      </c>
      <c r="H6445" t="s">
        <v>35</v>
      </c>
      <c r="J6445" t="s">
        <v>7676</v>
      </c>
      <c r="K6445" t="s">
        <v>1092</v>
      </c>
      <c r="M6445">
        <v>0.45</v>
      </c>
      <c r="N6445">
        <v>526</v>
      </c>
      <c r="O6445" t="s">
        <v>294</v>
      </c>
      <c r="Q6445" t="s">
        <v>4047</v>
      </c>
      <c r="R6445" t="s">
        <v>6721</v>
      </c>
      <c r="S6445" t="s">
        <v>1078</v>
      </c>
      <c r="T6445" t="s">
        <v>1079</v>
      </c>
    </row>
    <row r="6446" spans="1:20" x14ac:dyDescent="0.25">
      <c r="A6446" t="s">
        <v>59</v>
      </c>
      <c r="B6446" t="s">
        <v>31</v>
      </c>
      <c r="C6446" t="s">
        <v>32</v>
      </c>
      <c r="D6446" t="s">
        <v>953</v>
      </c>
      <c r="E6446" t="s">
        <v>1077</v>
      </c>
      <c r="F6446" t="s">
        <v>35</v>
      </c>
      <c r="G6446" t="s">
        <v>35</v>
      </c>
      <c r="H6446" t="s">
        <v>35</v>
      </c>
      <c r="J6446" t="s">
        <v>7731</v>
      </c>
      <c r="K6446" t="s">
        <v>1092</v>
      </c>
      <c r="M6446">
        <v>0.315</v>
      </c>
      <c r="N6446">
        <v>462</v>
      </c>
      <c r="O6446" t="s">
        <v>294</v>
      </c>
      <c r="Q6446" t="s">
        <v>3662</v>
      </c>
      <c r="R6446" t="s">
        <v>6721</v>
      </c>
      <c r="S6446" t="s">
        <v>1078</v>
      </c>
      <c r="T6446" t="s">
        <v>1079</v>
      </c>
    </row>
    <row r="6447" spans="1:20" x14ac:dyDescent="0.25">
      <c r="A6447" t="s">
        <v>44</v>
      </c>
      <c r="B6447" t="s">
        <v>51</v>
      </c>
      <c r="C6447" t="s">
        <v>32</v>
      </c>
      <c r="D6447" t="s">
        <v>953</v>
      </c>
      <c r="E6447" t="s">
        <v>954</v>
      </c>
      <c r="F6447" t="s">
        <v>35</v>
      </c>
      <c r="G6447" t="s">
        <v>35</v>
      </c>
      <c r="H6447" t="s">
        <v>35</v>
      </c>
      <c r="J6447" t="s">
        <v>6780</v>
      </c>
      <c r="K6447" t="s">
        <v>1092</v>
      </c>
      <c r="M6447">
        <v>0.75</v>
      </c>
      <c r="N6447">
        <v>316</v>
      </c>
      <c r="O6447" t="s">
        <v>5</v>
      </c>
      <c r="Q6447" t="s">
        <v>6781</v>
      </c>
      <c r="R6447" t="s">
        <v>6721</v>
      </c>
      <c r="S6447" t="s">
        <v>1078</v>
      </c>
      <c r="T6447" t="s">
        <v>1079</v>
      </c>
    </row>
    <row r="6448" spans="1:20" x14ac:dyDescent="0.25">
      <c r="A6448" t="s">
        <v>59</v>
      </c>
      <c r="B6448" t="s">
        <v>60</v>
      </c>
      <c r="C6448" t="s">
        <v>32</v>
      </c>
      <c r="D6448" t="s">
        <v>953</v>
      </c>
      <c r="E6448" t="s">
        <v>954</v>
      </c>
      <c r="F6448" t="s">
        <v>35</v>
      </c>
      <c r="G6448" t="s">
        <v>35</v>
      </c>
      <c r="H6448" t="s">
        <v>35</v>
      </c>
      <c r="J6448" t="s">
        <v>6780</v>
      </c>
      <c r="K6448" t="s">
        <v>1092</v>
      </c>
      <c r="M6448">
        <v>0.25</v>
      </c>
      <c r="N6448">
        <v>316</v>
      </c>
      <c r="O6448" t="s">
        <v>5</v>
      </c>
      <c r="Q6448" t="s">
        <v>6781</v>
      </c>
      <c r="R6448" t="s">
        <v>6721</v>
      </c>
      <c r="S6448" t="s">
        <v>1078</v>
      </c>
      <c r="T6448" t="s">
        <v>1079</v>
      </c>
    </row>
    <row r="6449" spans="1:20" x14ac:dyDescent="0.25">
      <c r="A6449" t="s">
        <v>44</v>
      </c>
      <c r="B6449" t="s">
        <v>3</v>
      </c>
      <c r="C6449" t="s">
        <v>32</v>
      </c>
      <c r="D6449" t="s">
        <v>953</v>
      </c>
      <c r="E6449" t="s">
        <v>1077</v>
      </c>
      <c r="F6449" t="s">
        <v>35</v>
      </c>
      <c r="G6449" t="s">
        <v>35</v>
      </c>
      <c r="H6449" t="s">
        <v>35</v>
      </c>
      <c r="J6449" t="s">
        <v>7677</v>
      </c>
      <c r="K6449" t="s">
        <v>1092</v>
      </c>
      <c r="M6449">
        <v>0.25</v>
      </c>
      <c r="N6449">
        <v>57</v>
      </c>
      <c r="O6449" t="s">
        <v>52</v>
      </c>
      <c r="Q6449" t="s">
        <v>381</v>
      </c>
      <c r="R6449" t="s">
        <v>6721</v>
      </c>
      <c r="S6449" t="s">
        <v>1078</v>
      </c>
      <c r="T6449" t="s">
        <v>1079</v>
      </c>
    </row>
    <row r="6450" spans="1:20" x14ac:dyDescent="0.25">
      <c r="A6450" t="s">
        <v>59</v>
      </c>
      <c r="B6450" t="s">
        <v>60</v>
      </c>
      <c r="C6450" t="s">
        <v>32</v>
      </c>
      <c r="D6450" t="s">
        <v>953</v>
      </c>
      <c r="E6450" t="s">
        <v>1077</v>
      </c>
      <c r="F6450" t="s">
        <v>35</v>
      </c>
      <c r="G6450" t="s">
        <v>35</v>
      </c>
      <c r="H6450" t="s">
        <v>35</v>
      </c>
      <c r="J6450" t="s">
        <v>7677</v>
      </c>
      <c r="K6450" t="s">
        <v>1092</v>
      </c>
      <c r="M6450">
        <v>0.65</v>
      </c>
      <c r="N6450">
        <v>15</v>
      </c>
      <c r="O6450" t="s">
        <v>46</v>
      </c>
      <c r="Q6450" t="s">
        <v>979</v>
      </c>
      <c r="R6450" t="s">
        <v>6721</v>
      </c>
      <c r="S6450" t="s">
        <v>1078</v>
      </c>
      <c r="T6450" t="s">
        <v>1079</v>
      </c>
    </row>
    <row r="6451" spans="1:20" x14ac:dyDescent="0.25">
      <c r="A6451" t="s">
        <v>44</v>
      </c>
      <c r="B6451" t="s">
        <v>3</v>
      </c>
      <c r="C6451" t="s">
        <v>32</v>
      </c>
      <c r="D6451" t="s">
        <v>953</v>
      </c>
      <c r="E6451" t="s">
        <v>1077</v>
      </c>
      <c r="F6451" t="s">
        <v>35</v>
      </c>
      <c r="G6451" t="s">
        <v>35</v>
      </c>
      <c r="H6451" t="s">
        <v>35</v>
      </c>
      <c r="J6451" t="s">
        <v>7677</v>
      </c>
      <c r="K6451" t="s">
        <v>1092</v>
      </c>
      <c r="M6451">
        <v>0.25</v>
      </c>
      <c r="N6451">
        <v>36</v>
      </c>
      <c r="O6451" t="s">
        <v>52</v>
      </c>
      <c r="Q6451" t="s">
        <v>892</v>
      </c>
      <c r="R6451" t="s">
        <v>6721</v>
      </c>
      <c r="S6451" t="s">
        <v>1078</v>
      </c>
      <c r="T6451" t="s">
        <v>1079</v>
      </c>
    </row>
    <row r="6452" spans="1:20" x14ac:dyDescent="0.25">
      <c r="A6452" t="s">
        <v>44</v>
      </c>
      <c r="B6452" t="s">
        <v>51</v>
      </c>
      <c r="C6452" t="s">
        <v>32</v>
      </c>
      <c r="D6452" t="s">
        <v>953</v>
      </c>
      <c r="E6452" t="s">
        <v>954</v>
      </c>
      <c r="F6452" t="s">
        <v>35</v>
      </c>
      <c r="G6452" t="s">
        <v>35</v>
      </c>
      <c r="H6452" t="s">
        <v>35</v>
      </c>
      <c r="J6452" t="s">
        <v>6792</v>
      </c>
      <c r="K6452" t="s">
        <v>1092</v>
      </c>
      <c r="M6452">
        <v>0.5</v>
      </c>
      <c r="N6452">
        <v>38</v>
      </c>
      <c r="O6452" t="s">
        <v>52</v>
      </c>
      <c r="Q6452" t="s">
        <v>716</v>
      </c>
      <c r="R6452" t="s">
        <v>6721</v>
      </c>
      <c r="S6452" t="s">
        <v>1078</v>
      </c>
      <c r="T6452" t="s">
        <v>1079</v>
      </c>
    </row>
    <row r="6453" spans="1:20" x14ac:dyDescent="0.25">
      <c r="A6453" t="s">
        <v>44</v>
      </c>
      <c r="B6453" t="s">
        <v>51</v>
      </c>
      <c r="C6453" t="s">
        <v>32</v>
      </c>
      <c r="D6453" t="s">
        <v>953</v>
      </c>
      <c r="E6453" t="s">
        <v>954</v>
      </c>
      <c r="F6453" t="s">
        <v>35</v>
      </c>
      <c r="G6453" t="s">
        <v>35</v>
      </c>
      <c r="H6453" t="s">
        <v>35</v>
      </c>
      <c r="J6453" t="s">
        <v>6792</v>
      </c>
      <c r="K6453" t="s">
        <v>1092</v>
      </c>
      <c r="M6453">
        <v>0.1</v>
      </c>
      <c r="N6453">
        <v>50</v>
      </c>
      <c r="O6453" t="s">
        <v>52</v>
      </c>
      <c r="Q6453" t="s">
        <v>665</v>
      </c>
      <c r="R6453" t="s">
        <v>6721</v>
      </c>
      <c r="S6453" t="s">
        <v>1078</v>
      </c>
      <c r="T6453" t="s">
        <v>1079</v>
      </c>
    </row>
    <row r="6454" spans="1:20" x14ac:dyDescent="0.25">
      <c r="A6454" t="s">
        <v>59</v>
      </c>
      <c r="B6454" t="s">
        <v>60</v>
      </c>
      <c r="C6454" t="s">
        <v>32</v>
      </c>
      <c r="D6454" t="s">
        <v>953</v>
      </c>
      <c r="E6454" t="s">
        <v>954</v>
      </c>
      <c r="F6454" t="s">
        <v>35</v>
      </c>
      <c r="G6454" t="s">
        <v>35</v>
      </c>
      <c r="H6454" t="s">
        <v>35</v>
      </c>
      <c r="J6454" t="s">
        <v>6792</v>
      </c>
      <c r="K6454" t="s">
        <v>1092</v>
      </c>
      <c r="M6454">
        <v>0.25</v>
      </c>
      <c r="N6454">
        <v>36</v>
      </c>
      <c r="O6454" t="s">
        <v>52</v>
      </c>
      <c r="Q6454" t="s">
        <v>892</v>
      </c>
      <c r="R6454" t="s">
        <v>6721</v>
      </c>
      <c r="S6454" t="s">
        <v>1078</v>
      </c>
      <c r="T6454" t="s">
        <v>1079</v>
      </c>
    </row>
    <row r="6455" spans="1:20" x14ac:dyDescent="0.25">
      <c r="A6455" t="s">
        <v>44</v>
      </c>
      <c r="B6455" t="s">
        <v>3</v>
      </c>
      <c r="C6455" t="s">
        <v>32</v>
      </c>
      <c r="D6455" t="s">
        <v>953</v>
      </c>
      <c r="E6455" t="s">
        <v>954</v>
      </c>
      <c r="F6455" t="s">
        <v>35</v>
      </c>
      <c r="G6455" t="s">
        <v>35</v>
      </c>
      <c r="H6455" t="s">
        <v>35</v>
      </c>
      <c r="J6455" t="s">
        <v>6792</v>
      </c>
      <c r="K6455" t="s">
        <v>1092</v>
      </c>
      <c r="M6455">
        <v>0.1</v>
      </c>
      <c r="N6455">
        <v>473</v>
      </c>
      <c r="O6455" t="s">
        <v>294</v>
      </c>
      <c r="Q6455" t="s">
        <v>1405</v>
      </c>
      <c r="R6455" t="s">
        <v>6721</v>
      </c>
      <c r="S6455" t="s">
        <v>1078</v>
      </c>
      <c r="T6455" t="s">
        <v>1079</v>
      </c>
    </row>
    <row r="6456" spans="1:20" x14ac:dyDescent="0.25">
      <c r="A6456" t="s">
        <v>30</v>
      </c>
      <c r="B6456" t="s">
        <v>31</v>
      </c>
      <c r="C6456" t="s">
        <v>32</v>
      </c>
      <c r="D6456" t="s">
        <v>953</v>
      </c>
      <c r="E6456" t="s">
        <v>954</v>
      </c>
      <c r="F6456" t="s">
        <v>35</v>
      </c>
      <c r="G6456" t="s">
        <v>35</v>
      </c>
      <c r="H6456" t="s">
        <v>35</v>
      </c>
      <c r="J6456" t="s">
        <v>6792</v>
      </c>
      <c r="K6456" t="s">
        <v>1092</v>
      </c>
      <c r="M6456">
        <v>0.45</v>
      </c>
      <c r="N6456">
        <v>36</v>
      </c>
      <c r="O6456" t="s">
        <v>52</v>
      </c>
      <c r="Q6456" t="s">
        <v>892</v>
      </c>
      <c r="R6456" t="s">
        <v>6721</v>
      </c>
      <c r="S6456" t="s">
        <v>1078</v>
      </c>
      <c r="T6456" t="s">
        <v>1079</v>
      </c>
    </row>
    <row r="6457" spans="1:20" x14ac:dyDescent="0.25">
      <c r="A6457" t="s">
        <v>44</v>
      </c>
      <c r="B6457" t="s">
        <v>3</v>
      </c>
      <c r="C6457" t="s">
        <v>32</v>
      </c>
      <c r="D6457" t="s">
        <v>953</v>
      </c>
      <c r="E6457" t="s">
        <v>954</v>
      </c>
      <c r="F6457" t="s">
        <v>35</v>
      </c>
      <c r="G6457" t="s">
        <v>35</v>
      </c>
      <c r="H6457" t="s">
        <v>35</v>
      </c>
      <c r="J6457" t="s">
        <v>6792</v>
      </c>
      <c r="K6457" t="s">
        <v>1092</v>
      </c>
      <c r="M6457">
        <v>0.1</v>
      </c>
      <c r="N6457">
        <v>462</v>
      </c>
      <c r="O6457" t="s">
        <v>294</v>
      </c>
      <c r="Q6457" t="s">
        <v>3662</v>
      </c>
      <c r="R6457" t="s">
        <v>6721</v>
      </c>
      <c r="S6457" t="s">
        <v>1078</v>
      </c>
      <c r="T6457" t="s">
        <v>1079</v>
      </c>
    </row>
    <row r="6458" spans="1:20" x14ac:dyDescent="0.25">
      <c r="A6458" t="s">
        <v>44</v>
      </c>
      <c r="B6458" t="s">
        <v>3</v>
      </c>
      <c r="C6458" t="s">
        <v>32</v>
      </c>
      <c r="D6458" t="s">
        <v>953</v>
      </c>
      <c r="E6458" t="s">
        <v>954</v>
      </c>
      <c r="F6458" t="s">
        <v>35</v>
      </c>
      <c r="G6458" t="s">
        <v>35</v>
      </c>
      <c r="H6458" t="s">
        <v>35</v>
      </c>
      <c r="J6458" t="s">
        <v>6792</v>
      </c>
      <c r="K6458" t="s">
        <v>1092</v>
      </c>
      <c r="M6458">
        <v>0.05</v>
      </c>
      <c r="N6458">
        <v>36</v>
      </c>
      <c r="O6458" t="s">
        <v>52</v>
      </c>
      <c r="Q6458" t="s">
        <v>892</v>
      </c>
      <c r="R6458" t="s">
        <v>6721</v>
      </c>
      <c r="S6458" t="s">
        <v>1078</v>
      </c>
      <c r="T6458" t="s">
        <v>1079</v>
      </c>
    </row>
    <row r="6459" spans="1:20" x14ac:dyDescent="0.25">
      <c r="A6459" t="s">
        <v>59</v>
      </c>
      <c r="B6459" t="s">
        <v>60</v>
      </c>
      <c r="C6459" t="s">
        <v>32</v>
      </c>
      <c r="D6459" t="s">
        <v>953</v>
      </c>
      <c r="E6459" t="s">
        <v>954</v>
      </c>
      <c r="F6459" t="s">
        <v>35</v>
      </c>
      <c r="G6459" t="s">
        <v>35</v>
      </c>
      <c r="H6459" t="s">
        <v>35</v>
      </c>
      <c r="J6459" t="s">
        <v>6792</v>
      </c>
      <c r="K6459" t="s">
        <v>1092</v>
      </c>
      <c r="M6459">
        <v>0.1</v>
      </c>
      <c r="N6459">
        <v>77</v>
      </c>
      <c r="O6459" t="s">
        <v>61</v>
      </c>
      <c r="Q6459" t="s">
        <v>778</v>
      </c>
      <c r="R6459" t="s">
        <v>6721</v>
      </c>
      <c r="S6459" t="s">
        <v>1078</v>
      </c>
      <c r="T6459" t="s">
        <v>1079</v>
      </c>
    </row>
    <row r="6460" spans="1:20" x14ac:dyDescent="0.25">
      <c r="A6460" t="s">
        <v>44</v>
      </c>
      <c r="B6460" t="s">
        <v>51</v>
      </c>
      <c r="C6460" t="s">
        <v>32</v>
      </c>
      <c r="D6460" t="s">
        <v>953</v>
      </c>
      <c r="E6460" t="s">
        <v>954</v>
      </c>
      <c r="F6460" t="s">
        <v>35</v>
      </c>
      <c r="G6460" t="s">
        <v>35</v>
      </c>
      <c r="H6460" t="s">
        <v>35</v>
      </c>
      <c r="J6460" t="s">
        <v>6792</v>
      </c>
      <c r="K6460" t="s">
        <v>1092</v>
      </c>
      <c r="M6460">
        <v>0.05</v>
      </c>
      <c r="N6460">
        <v>36</v>
      </c>
      <c r="O6460" t="s">
        <v>52</v>
      </c>
      <c r="Q6460" t="s">
        <v>892</v>
      </c>
      <c r="R6460" t="s">
        <v>6721</v>
      </c>
      <c r="S6460" t="s">
        <v>1078</v>
      </c>
      <c r="T6460" t="s">
        <v>1079</v>
      </c>
    </row>
    <row r="6461" spans="1:20" x14ac:dyDescent="0.25">
      <c r="A6461" t="s">
        <v>59</v>
      </c>
      <c r="B6461" t="s">
        <v>60</v>
      </c>
      <c r="C6461" t="s">
        <v>32</v>
      </c>
      <c r="D6461" t="s">
        <v>953</v>
      </c>
      <c r="E6461" t="s">
        <v>954</v>
      </c>
      <c r="F6461" t="s">
        <v>35</v>
      </c>
      <c r="G6461" t="s">
        <v>35</v>
      </c>
      <c r="H6461" t="s">
        <v>35</v>
      </c>
      <c r="J6461" t="s">
        <v>6869</v>
      </c>
      <c r="K6461" t="s">
        <v>1092</v>
      </c>
      <c r="M6461">
        <v>0.1</v>
      </c>
      <c r="N6461">
        <v>38</v>
      </c>
      <c r="O6461" t="s">
        <v>52</v>
      </c>
      <c r="Q6461" t="s">
        <v>716</v>
      </c>
      <c r="R6461" t="s">
        <v>6721</v>
      </c>
      <c r="S6461" t="s">
        <v>1078</v>
      </c>
      <c r="T6461" t="s">
        <v>1079</v>
      </c>
    </row>
    <row r="6462" spans="1:20" x14ac:dyDescent="0.25">
      <c r="A6462" t="s">
        <v>59</v>
      </c>
      <c r="B6462" t="s">
        <v>60</v>
      </c>
      <c r="C6462" t="s">
        <v>32</v>
      </c>
      <c r="D6462" t="s">
        <v>953</v>
      </c>
      <c r="E6462" t="s">
        <v>954</v>
      </c>
      <c r="F6462" t="s">
        <v>35</v>
      </c>
      <c r="G6462" t="s">
        <v>35</v>
      </c>
      <c r="H6462" t="s">
        <v>35</v>
      </c>
      <c r="J6462" t="s">
        <v>6869</v>
      </c>
      <c r="K6462" t="s">
        <v>1092</v>
      </c>
      <c r="M6462">
        <v>0.15</v>
      </c>
      <c r="N6462">
        <v>166</v>
      </c>
      <c r="O6462" t="s">
        <v>38</v>
      </c>
      <c r="Q6462" t="s">
        <v>1345</v>
      </c>
      <c r="R6462" t="s">
        <v>6721</v>
      </c>
      <c r="S6462" t="s">
        <v>1078</v>
      </c>
      <c r="T6462" t="s">
        <v>1079</v>
      </c>
    </row>
    <row r="6463" spans="1:20" x14ac:dyDescent="0.25">
      <c r="A6463" t="s">
        <v>59</v>
      </c>
      <c r="B6463" t="s">
        <v>60</v>
      </c>
      <c r="C6463" t="s">
        <v>32</v>
      </c>
      <c r="D6463" t="s">
        <v>953</v>
      </c>
      <c r="E6463" t="s">
        <v>954</v>
      </c>
      <c r="F6463" t="s">
        <v>35</v>
      </c>
      <c r="G6463" t="s">
        <v>35</v>
      </c>
      <c r="H6463" t="s">
        <v>35</v>
      </c>
      <c r="J6463" t="s">
        <v>6869</v>
      </c>
      <c r="K6463" t="s">
        <v>1092</v>
      </c>
      <c r="M6463">
        <v>0.1</v>
      </c>
      <c r="N6463">
        <v>36</v>
      </c>
      <c r="O6463" t="s">
        <v>52</v>
      </c>
      <c r="Q6463" t="s">
        <v>892</v>
      </c>
      <c r="R6463" t="s">
        <v>6721</v>
      </c>
      <c r="S6463" t="s">
        <v>1078</v>
      </c>
      <c r="T6463" t="s">
        <v>1079</v>
      </c>
    </row>
    <row r="6464" spans="1:20" x14ac:dyDescent="0.25">
      <c r="A6464" t="s">
        <v>59</v>
      </c>
      <c r="B6464" t="s">
        <v>60</v>
      </c>
      <c r="C6464" t="s">
        <v>32</v>
      </c>
      <c r="D6464" t="s">
        <v>953</v>
      </c>
      <c r="E6464" t="s">
        <v>954</v>
      </c>
      <c r="F6464" t="s">
        <v>35</v>
      </c>
      <c r="G6464" t="s">
        <v>35</v>
      </c>
      <c r="H6464" t="s">
        <v>35</v>
      </c>
      <c r="J6464" t="s">
        <v>6869</v>
      </c>
      <c r="K6464" t="s">
        <v>1092</v>
      </c>
      <c r="M6464">
        <v>0.1</v>
      </c>
      <c r="N6464">
        <v>138</v>
      </c>
      <c r="O6464" t="s">
        <v>38</v>
      </c>
      <c r="Q6464" t="s">
        <v>1149</v>
      </c>
      <c r="R6464" t="s">
        <v>6721</v>
      </c>
      <c r="S6464" t="s">
        <v>1078</v>
      </c>
      <c r="T6464" t="s">
        <v>1079</v>
      </c>
    </row>
    <row r="6465" spans="1:20" x14ac:dyDescent="0.25">
      <c r="A6465" t="s">
        <v>59</v>
      </c>
      <c r="B6465" t="s">
        <v>31</v>
      </c>
      <c r="C6465" t="s">
        <v>32</v>
      </c>
      <c r="D6465" t="s">
        <v>953</v>
      </c>
      <c r="E6465" t="s">
        <v>954</v>
      </c>
      <c r="F6465" t="s">
        <v>35</v>
      </c>
      <c r="G6465" t="s">
        <v>35</v>
      </c>
      <c r="H6465" t="s">
        <v>35</v>
      </c>
      <c r="J6465" t="s">
        <v>6869</v>
      </c>
      <c r="K6465" t="s">
        <v>1092</v>
      </c>
      <c r="M6465">
        <v>0.19</v>
      </c>
      <c r="N6465">
        <v>138</v>
      </c>
      <c r="O6465" t="s">
        <v>38</v>
      </c>
      <c r="Q6465" t="s">
        <v>1149</v>
      </c>
      <c r="R6465" t="s">
        <v>6721</v>
      </c>
      <c r="S6465" t="s">
        <v>1078</v>
      </c>
      <c r="T6465" t="s">
        <v>1079</v>
      </c>
    </row>
    <row r="6466" spans="1:20" x14ac:dyDescent="0.25">
      <c r="A6466" t="s">
        <v>59</v>
      </c>
      <c r="B6466" t="s">
        <v>60</v>
      </c>
      <c r="C6466" t="s">
        <v>32</v>
      </c>
      <c r="D6466" t="s">
        <v>953</v>
      </c>
      <c r="E6466" t="s">
        <v>954</v>
      </c>
      <c r="F6466" t="s">
        <v>35</v>
      </c>
      <c r="G6466" t="s">
        <v>35</v>
      </c>
      <c r="H6466" t="s">
        <v>35</v>
      </c>
      <c r="J6466" t="s">
        <v>6869</v>
      </c>
      <c r="K6466" t="s">
        <v>1092</v>
      </c>
      <c r="M6466">
        <v>0.6</v>
      </c>
      <c r="N6466">
        <v>191</v>
      </c>
      <c r="O6466" t="s">
        <v>5</v>
      </c>
      <c r="Q6466" t="s">
        <v>4086</v>
      </c>
      <c r="R6466" t="s">
        <v>6721</v>
      </c>
      <c r="S6466" t="s">
        <v>1078</v>
      </c>
      <c r="T6466" t="s">
        <v>1079</v>
      </c>
    </row>
    <row r="6467" spans="1:20" x14ac:dyDescent="0.25">
      <c r="A6467" t="s">
        <v>30</v>
      </c>
      <c r="B6467" t="s">
        <v>31</v>
      </c>
      <c r="C6467" t="s">
        <v>32</v>
      </c>
      <c r="D6467" t="s">
        <v>953</v>
      </c>
      <c r="E6467" t="s">
        <v>954</v>
      </c>
      <c r="F6467" t="s">
        <v>35</v>
      </c>
      <c r="G6467" t="s">
        <v>35</v>
      </c>
      <c r="H6467" t="s">
        <v>35</v>
      </c>
      <c r="J6467" t="s">
        <v>6869</v>
      </c>
      <c r="K6467" t="s">
        <v>1092</v>
      </c>
      <c r="M6467">
        <v>4.4999999999999998E-2</v>
      </c>
      <c r="N6467">
        <v>36</v>
      </c>
      <c r="O6467" t="s">
        <v>52</v>
      </c>
      <c r="Q6467" t="s">
        <v>892</v>
      </c>
      <c r="R6467" t="s">
        <v>6721</v>
      </c>
      <c r="S6467" t="s">
        <v>1078</v>
      </c>
      <c r="T6467" t="s">
        <v>1079</v>
      </c>
    </row>
    <row r="6468" spans="1:20" x14ac:dyDescent="0.25">
      <c r="A6468" t="s">
        <v>44</v>
      </c>
      <c r="B6468" t="s">
        <v>3</v>
      </c>
      <c r="C6468" t="s">
        <v>32</v>
      </c>
      <c r="D6468" t="s">
        <v>953</v>
      </c>
      <c r="E6468" t="s">
        <v>954</v>
      </c>
      <c r="F6468" t="s">
        <v>35</v>
      </c>
      <c r="G6468" t="s">
        <v>35</v>
      </c>
      <c r="H6468" t="s">
        <v>35</v>
      </c>
      <c r="J6468" t="s">
        <v>6869</v>
      </c>
      <c r="K6468" t="s">
        <v>1092</v>
      </c>
      <c r="M6468">
        <v>0.1</v>
      </c>
      <c r="N6468">
        <v>36</v>
      </c>
      <c r="O6468" t="s">
        <v>52</v>
      </c>
      <c r="Q6468" t="s">
        <v>892</v>
      </c>
      <c r="R6468" t="s">
        <v>6721</v>
      </c>
      <c r="S6468" t="s">
        <v>1078</v>
      </c>
      <c r="T6468" t="s">
        <v>1079</v>
      </c>
    </row>
    <row r="6469" spans="1:20" x14ac:dyDescent="0.25">
      <c r="A6469" t="s">
        <v>44</v>
      </c>
      <c r="B6469" t="s">
        <v>3</v>
      </c>
      <c r="C6469" t="s">
        <v>32</v>
      </c>
      <c r="D6469" t="s">
        <v>953</v>
      </c>
      <c r="E6469" t="s">
        <v>954</v>
      </c>
      <c r="F6469" t="s">
        <v>35</v>
      </c>
      <c r="G6469" t="s">
        <v>35</v>
      </c>
      <c r="H6469" t="s">
        <v>35</v>
      </c>
      <c r="J6469" t="s">
        <v>6869</v>
      </c>
      <c r="K6469" t="s">
        <v>1092</v>
      </c>
      <c r="M6469">
        <v>0.05</v>
      </c>
      <c r="N6469">
        <v>38</v>
      </c>
      <c r="O6469" t="s">
        <v>52</v>
      </c>
      <c r="Q6469" t="s">
        <v>716</v>
      </c>
      <c r="R6469" t="s">
        <v>6721</v>
      </c>
      <c r="S6469" t="s">
        <v>1078</v>
      </c>
      <c r="T6469" t="s">
        <v>1079</v>
      </c>
    </row>
    <row r="6470" spans="1:20" x14ac:dyDescent="0.25">
      <c r="A6470" t="s">
        <v>59</v>
      </c>
      <c r="B6470" t="s">
        <v>31</v>
      </c>
      <c r="C6470" t="s">
        <v>32</v>
      </c>
      <c r="D6470" t="s">
        <v>953</v>
      </c>
      <c r="E6470" t="s">
        <v>7179</v>
      </c>
      <c r="F6470" t="s">
        <v>35</v>
      </c>
      <c r="G6470" t="s">
        <v>35</v>
      </c>
      <c r="H6470" t="s">
        <v>35</v>
      </c>
      <c r="J6470" t="s">
        <v>7182</v>
      </c>
      <c r="K6470" t="s">
        <v>1092</v>
      </c>
      <c r="M6470">
        <v>4.4999999999999998E-2</v>
      </c>
      <c r="N6470">
        <v>138</v>
      </c>
      <c r="O6470" t="s">
        <v>38</v>
      </c>
      <c r="Q6470" t="s">
        <v>1149</v>
      </c>
      <c r="R6470" t="s">
        <v>6721</v>
      </c>
      <c r="S6470" t="s">
        <v>1078</v>
      </c>
      <c r="T6470" t="s">
        <v>1079</v>
      </c>
    </row>
    <row r="6471" spans="1:20" x14ac:dyDescent="0.25">
      <c r="A6471" t="s">
        <v>30</v>
      </c>
      <c r="B6471" t="s">
        <v>31</v>
      </c>
      <c r="C6471" t="s">
        <v>32</v>
      </c>
      <c r="D6471" t="s">
        <v>953</v>
      </c>
      <c r="E6471" t="s">
        <v>7179</v>
      </c>
      <c r="F6471" t="s">
        <v>35</v>
      </c>
      <c r="G6471" t="s">
        <v>35</v>
      </c>
      <c r="H6471" t="s">
        <v>35</v>
      </c>
      <c r="J6471" t="s">
        <v>7182</v>
      </c>
      <c r="K6471" t="s">
        <v>1092</v>
      </c>
      <c r="M6471">
        <v>0.13500000000000001</v>
      </c>
      <c r="N6471">
        <v>191</v>
      </c>
      <c r="O6471" t="s">
        <v>5</v>
      </c>
      <c r="Q6471" t="s">
        <v>4086</v>
      </c>
      <c r="R6471" t="s">
        <v>6721</v>
      </c>
      <c r="S6471" t="s">
        <v>1078</v>
      </c>
      <c r="T6471" t="s">
        <v>1079</v>
      </c>
    </row>
    <row r="6472" spans="1:20" x14ac:dyDescent="0.25">
      <c r="A6472" t="s">
        <v>44</v>
      </c>
      <c r="B6472" t="s">
        <v>51</v>
      </c>
      <c r="C6472" t="s">
        <v>32</v>
      </c>
      <c r="D6472" t="s">
        <v>953</v>
      </c>
      <c r="E6472" t="s">
        <v>7179</v>
      </c>
      <c r="F6472" t="s">
        <v>35</v>
      </c>
      <c r="G6472" t="s">
        <v>35</v>
      </c>
      <c r="H6472" t="s">
        <v>35</v>
      </c>
      <c r="J6472" t="s">
        <v>7182</v>
      </c>
      <c r="K6472" t="s">
        <v>1092</v>
      </c>
      <c r="M6472">
        <v>3.6999999999999998E-2</v>
      </c>
      <c r="N6472">
        <v>335</v>
      </c>
      <c r="O6472" t="s">
        <v>5</v>
      </c>
      <c r="Q6472" t="s">
        <v>3213</v>
      </c>
      <c r="R6472" t="s">
        <v>6721</v>
      </c>
      <c r="S6472" t="s">
        <v>1078</v>
      </c>
      <c r="T6472" t="s">
        <v>1079</v>
      </c>
    </row>
    <row r="6473" spans="1:20" x14ac:dyDescent="0.25">
      <c r="A6473" t="s">
        <v>44</v>
      </c>
      <c r="B6473" t="s">
        <v>3</v>
      </c>
      <c r="C6473" t="s">
        <v>32</v>
      </c>
      <c r="D6473" t="s">
        <v>953</v>
      </c>
      <c r="E6473" t="s">
        <v>7179</v>
      </c>
      <c r="F6473" t="s">
        <v>35</v>
      </c>
      <c r="G6473" t="s">
        <v>35</v>
      </c>
      <c r="H6473" t="s">
        <v>35</v>
      </c>
      <c r="J6473" t="s">
        <v>7182</v>
      </c>
      <c r="K6473" t="s">
        <v>1092</v>
      </c>
      <c r="M6473">
        <v>0.5</v>
      </c>
      <c r="N6473">
        <v>17</v>
      </c>
      <c r="O6473" t="s">
        <v>46</v>
      </c>
      <c r="Q6473" t="s">
        <v>255</v>
      </c>
      <c r="R6473" t="s">
        <v>6721</v>
      </c>
      <c r="S6473" t="s">
        <v>1078</v>
      </c>
      <c r="T6473" t="s">
        <v>1079</v>
      </c>
    </row>
    <row r="6474" spans="1:20" x14ac:dyDescent="0.25">
      <c r="A6474" t="s">
        <v>59</v>
      </c>
      <c r="B6474" t="s">
        <v>60</v>
      </c>
      <c r="C6474" t="s">
        <v>32</v>
      </c>
      <c r="D6474" t="s">
        <v>953</v>
      </c>
      <c r="E6474" t="s">
        <v>7179</v>
      </c>
      <c r="F6474" t="s">
        <v>35</v>
      </c>
      <c r="G6474" t="s">
        <v>35</v>
      </c>
      <c r="H6474" t="s">
        <v>35</v>
      </c>
      <c r="J6474" t="s">
        <v>7182</v>
      </c>
      <c r="K6474" t="s">
        <v>1092</v>
      </c>
      <c r="M6474">
        <v>1.5</v>
      </c>
      <c r="N6474">
        <v>17</v>
      </c>
      <c r="O6474" t="s">
        <v>46</v>
      </c>
      <c r="Q6474" t="s">
        <v>255</v>
      </c>
      <c r="R6474" t="s">
        <v>6721</v>
      </c>
      <c r="S6474" t="s">
        <v>1078</v>
      </c>
      <c r="T6474" t="s">
        <v>1079</v>
      </c>
    </row>
    <row r="6475" spans="1:20" x14ac:dyDescent="0.25">
      <c r="A6475" t="s">
        <v>59</v>
      </c>
      <c r="B6475" t="s">
        <v>31</v>
      </c>
      <c r="C6475" t="s">
        <v>32</v>
      </c>
      <c r="D6475" t="s">
        <v>953</v>
      </c>
      <c r="E6475" t="s">
        <v>7179</v>
      </c>
      <c r="F6475" t="s">
        <v>35</v>
      </c>
      <c r="G6475" t="s">
        <v>35</v>
      </c>
      <c r="H6475" t="s">
        <v>35</v>
      </c>
      <c r="J6475" t="s">
        <v>7182</v>
      </c>
      <c r="K6475" t="s">
        <v>1092</v>
      </c>
      <c r="M6475">
        <v>0.9</v>
      </c>
      <c r="N6475">
        <v>64</v>
      </c>
      <c r="O6475" t="s">
        <v>61</v>
      </c>
      <c r="Q6475" t="s">
        <v>102</v>
      </c>
      <c r="R6475" t="s">
        <v>6721</v>
      </c>
      <c r="S6475" t="s">
        <v>1078</v>
      </c>
      <c r="T6475" t="s">
        <v>1079</v>
      </c>
    </row>
    <row r="6476" spans="1:20" x14ac:dyDescent="0.25">
      <c r="A6476" t="s">
        <v>59</v>
      </c>
      <c r="B6476" t="s">
        <v>31</v>
      </c>
      <c r="C6476" t="s">
        <v>32</v>
      </c>
      <c r="D6476" t="s">
        <v>953</v>
      </c>
      <c r="E6476" t="s">
        <v>7179</v>
      </c>
      <c r="F6476" t="s">
        <v>35</v>
      </c>
      <c r="G6476" t="s">
        <v>35</v>
      </c>
      <c r="H6476" t="s">
        <v>35</v>
      </c>
      <c r="J6476" t="s">
        <v>7182</v>
      </c>
      <c r="K6476" t="s">
        <v>1092</v>
      </c>
      <c r="M6476">
        <v>0.67500000000000004</v>
      </c>
      <c r="N6476">
        <v>85</v>
      </c>
      <c r="O6476" t="s">
        <v>61</v>
      </c>
      <c r="Q6476" t="s">
        <v>1100</v>
      </c>
      <c r="R6476" t="s">
        <v>6721</v>
      </c>
      <c r="S6476" t="s">
        <v>1078</v>
      </c>
      <c r="T6476" t="s">
        <v>1079</v>
      </c>
    </row>
    <row r="6477" spans="1:20" x14ac:dyDescent="0.25">
      <c r="A6477" t="s">
        <v>59</v>
      </c>
      <c r="B6477" t="s">
        <v>60</v>
      </c>
      <c r="C6477" t="s">
        <v>32</v>
      </c>
      <c r="D6477" t="s">
        <v>953</v>
      </c>
      <c r="E6477" t="s">
        <v>7179</v>
      </c>
      <c r="F6477" t="s">
        <v>35</v>
      </c>
      <c r="G6477" t="s">
        <v>35</v>
      </c>
      <c r="H6477" t="s">
        <v>35</v>
      </c>
      <c r="J6477" t="s">
        <v>7182</v>
      </c>
      <c r="K6477" t="s">
        <v>1092</v>
      </c>
      <c r="M6477">
        <v>0.1</v>
      </c>
      <c r="N6477">
        <v>85</v>
      </c>
      <c r="O6477" t="s">
        <v>61</v>
      </c>
      <c r="Q6477" t="s">
        <v>1100</v>
      </c>
      <c r="R6477" t="s">
        <v>6721</v>
      </c>
      <c r="S6477" t="s">
        <v>1078</v>
      </c>
      <c r="T6477" t="s">
        <v>1079</v>
      </c>
    </row>
    <row r="6478" spans="1:20" x14ac:dyDescent="0.25">
      <c r="A6478" t="s">
        <v>44</v>
      </c>
      <c r="B6478" t="s">
        <v>3</v>
      </c>
      <c r="C6478" t="s">
        <v>32</v>
      </c>
      <c r="D6478" t="s">
        <v>953</v>
      </c>
      <c r="E6478" t="s">
        <v>7179</v>
      </c>
      <c r="F6478" t="s">
        <v>35</v>
      </c>
      <c r="G6478" t="s">
        <v>35</v>
      </c>
      <c r="H6478" t="s">
        <v>35</v>
      </c>
      <c r="J6478" t="s">
        <v>7182</v>
      </c>
      <c r="K6478" t="s">
        <v>1092</v>
      </c>
      <c r="M6478">
        <v>0.5</v>
      </c>
      <c r="N6478">
        <v>50</v>
      </c>
      <c r="O6478" t="s">
        <v>52</v>
      </c>
      <c r="Q6478" t="s">
        <v>665</v>
      </c>
      <c r="R6478" t="s">
        <v>6721</v>
      </c>
      <c r="S6478" t="s">
        <v>1078</v>
      </c>
      <c r="T6478" t="s">
        <v>1079</v>
      </c>
    </row>
    <row r="6479" spans="1:20" x14ac:dyDescent="0.25">
      <c r="A6479" t="s">
        <v>44</v>
      </c>
      <c r="B6479" t="s">
        <v>51</v>
      </c>
      <c r="C6479" t="s">
        <v>32</v>
      </c>
      <c r="D6479" t="s">
        <v>953</v>
      </c>
      <c r="E6479" t="s">
        <v>7179</v>
      </c>
      <c r="F6479" t="s">
        <v>35</v>
      </c>
      <c r="G6479" t="s">
        <v>35</v>
      </c>
      <c r="H6479" t="s">
        <v>35</v>
      </c>
      <c r="J6479" t="s">
        <v>7182</v>
      </c>
      <c r="K6479" t="s">
        <v>1092</v>
      </c>
      <c r="M6479">
        <v>0.25</v>
      </c>
      <c r="N6479">
        <v>50</v>
      </c>
      <c r="O6479" t="s">
        <v>52</v>
      </c>
      <c r="Q6479" t="s">
        <v>665</v>
      </c>
      <c r="R6479" t="s">
        <v>6721</v>
      </c>
      <c r="S6479" t="s">
        <v>1078</v>
      </c>
      <c r="T6479" t="s">
        <v>1079</v>
      </c>
    </row>
    <row r="6480" spans="1:20" x14ac:dyDescent="0.25">
      <c r="A6480" t="s">
        <v>59</v>
      </c>
      <c r="B6480" t="s">
        <v>60</v>
      </c>
      <c r="C6480" t="s">
        <v>32</v>
      </c>
      <c r="D6480" t="s">
        <v>953</v>
      </c>
      <c r="E6480" t="s">
        <v>954</v>
      </c>
      <c r="F6480" t="s">
        <v>35</v>
      </c>
      <c r="G6480" t="s">
        <v>35</v>
      </c>
      <c r="H6480" t="s">
        <v>35</v>
      </c>
      <c r="J6480" t="s">
        <v>6804</v>
      </c>
      <c r="K6480" t="s">
        <v>1092</v>
      </c>
      <c r="M6480">
        <v>1</v>
      </c>
      <c r="N6480">
        <v>15</v>
      </c>
      <c r="O6480" t="s">
        <v>46</v>
      </c>
      <c r="Q6480" t="s">
        <v>979</v>
      </c>
      <c r="R6480" t="s">
        <v>6721</v>
      </c>
      <c r="S6480" t="s">
        <v>1078</v>
      </c>
      <c r="T6480" t="s">
        <v>1079</v>
      </c>
    </row>
    <row r="6481" spans="1:20" x14ac:dyDescent="0.25">
      <c r="A6481" t="s">
        <v>59</v>
      </c>
      <c r="B6481" t="s">
        <v>60</v>
      </c>
      <c r="C6481" t="s">
        <v>32</v>
      </c>
      <c r="D6481" t="s">
        <v>953</v>
      </c>
      <c r="E6481" t="s">
        <v>954</v>
      </c>
      <c r="F6481" t="s">
        <v>35</v>
      </c>
      <c r="G6481" t="s">
        <v>35</v>
      </c>
      <c r="H6481" t="s">
        <v>35</v>
      </c>
      <c r="J6481" t="s">
        <v>6804</v>
      </c>
      <c r="K6481" t="s">
        <v>1092</v>
      </c>
      <c r="M6481">
        <v>1.2</v>
      </c>
      <c r="N6481">
        <v>38</v>
      </c>
      <c r="O6481" t="s">
        <v>52</v>
      </c>
      <c r="Q6481" t="s">
        <v>716</v>
      </c>
      <c r="R6481" t="s">
        <v>6721</v>
      </c>
      <c r="S6481" t="s">
        <v>1078</v>
      </c>
      <c r="T6481" t="s">
        <v>1079</v>
      </c>
    </row>
    <row r="6482" spans="1:20" x14ac:dyDescent="0.25">
      <c r="A6482" t="s">
        <v>44</v>
      </c>
      <c r="B6482" t="s">
        <v>3</v>
      </c>
      <c r="C6482" t="s">
        <v>32</v>
      </c>
      <c r="D6482" t="s">
        <v>953</v>
      </c>
      <c r="E6482" t="s">
        <v>1077</v>
      </c>
      <c r="F6482" t="s">
        <v>35</v>
      </c>
      <c r="G6482" t="s">
        <v>35</v>
      </c>
      <c r="H6482" t="s">
        <v>35</v>
      </c>
      <c r="J6482" t="s">
        <v>7633</v>
      </c>
      <c r="K6482" t="s">
        <v>1092</v>
      </c>
      <c r="M6482">
        <v>0.1</v>
      </c>
      <c r="N6482">
        <v>50</v>
      </c>
      <c r="O6482" t="s">
        <v>52</v>
      </c>
      <c r="Q6482" t="s">
        <v>665</v>
      </c>
      <c r="R6482" t="s">
        <v>6721</v>
      </c>
      <c r="S6482" t="s">
        <v>1078</v>
      </c>
      <c r="T6482" t="s">
        <v>1079</v>
      </c>
    </row>
    <row r="6483" spans="1:20" x14ac:dyDescent="0.25">
      <c r="A6483" t="s">
        <v>44</v>
      </c>
      <c r="B6483" t="s">
        <v>51</v>
      </c>
      <c r="C6483" t="s">
        <v>32</v>
      </c>
      <c r="D6483" t="s">
        <v>953</v>
      </c>
      <c r="E6483" t="s">
        <v>1077</v>
      </c>
      <c r="F6483" t="s">
        <v>35</v>
      </c>
      <c r="G6483" t="s">
        <v>35</v>
      </c>
      <c r="H6483" t="s">
        <v>35</v>
      </c>
      <c r="J6483" t="s">
        <v>7633</v>
      </c>
      <c r="K6483" t="s">
        <v>1092</v>
      </c>
      <c r="M6483">
        <v>0.1</v>
      </c>
      <c r="N6483">
        <v>50</v>
      </c>
      <c r="O6483" t="s">
        <v>52</v>
      </c>
      <c r="Q6483" t="s">
        <v>665</v>
      </c>
      <c r="R6483" t="s">
        <v>6721</v>
      </c>
      <c r="S6483" t="s">
        <v>1078</v>
      </c>
      <c r="T6483" t="s">
        <v>1079</v>
      </c>
    </row>
    <row r="6484" spans="1:20" x14ac:dyDescent="0.25">
      <c r="A6484" t="s">
        <v>30</v>
      </c>
      <c r="B6484" t="s">
        <v>31</v>
      </c>
      <c r="C6484" t="s">
        <v>32</v>
      </c>
      <c r="D6484" t="s">
        <v>953</v>
      </c>
      <c r="E6484" t="s">
        <v>1077</v>
      </c>
      <c r="F6484" t="s">
        <v>35</v>
      </c>
      <c r="G6484" t="s">
        <v>35</v>
      </c>
      <c r="H6484" t="s">
        <v>35</v>
      </c>
      <c r="J6484" t="s">
        <v>7633</v>
      </c>
      <c r="K6484" t="s">
        <v>1092</v>
      </c>
      <c r="M6484">
        <v>0.18</v>
      </c>
      <c r="N6484">
        <v>36</v>
      </c>
      <c r="O6484" t="s">
        <v>52</v>
      </c>
      <c r="Q6484" t="s">
        <v>892</v>
      </c>
      <c r="R6484" t="s">
        <v>6721</v>
      </c>
      <c r="S6484" t="s">
        <v>1078</v>
      </c>
      <c r="T6484" t="s">
        <v>1079</v>
      </c>
    </row>
    <row r="6485" spans="1:20" x14ac:dyDescent="0.25">
      <c r="A6485" t="s">
        <v>59</v>
      </c>
      <c r="B6485" t="s">
        <v>31</v>
      </c>
      <c r="C6485" t="s">
        <v>32</v>
      </c>
      <c r="D6485" t="s">
        <v>953</v>
      </c>
      <c r="E6485" t="s">
        <v>1077</v>
      </c>
      <c r="F6485" t="s">
        <v>35</v>
      </c>
      <c r="G6485" t="s">
        <v>35</v>
      </c>
      <c r="H6485" t="s">
        <v>35</v>
      </c>
      <c r="J6485" t="s">
        <v>7633</v>
      </c>
      <c r="K6485" t="s">
        <v>1092</v>
      </c>
      <c r="M6485">
        <v>8.1000000000000003E-2</v>
      </c>
      <c r="N6485">
        <v>50</v>
      </c>
      <c r="O6485" t="s">
        <v>52</v>
      </c>
      <c r="Q6485" t="s">
        <v>665</v>
      </c>
      <c r="R6485" t="s">
        <v>6721</v>
      </c>
      <c r="S6485" t="s">
        <v>1078</v>
      </c>
      <c r="T6485" t="s">
        <v>1079</v>
      </c>
    </row>
    <row r="6486" spans="1:20" x14ac:dyDescent="0.25">
      <c r="A6486" t="s">
        <v>44</v>
      </c>
      <c r="B6486" t="s">
        <v>51</v>
      </c>
      <c r="C6486" t="s">
        <v>32</v>
      </c>
      <c r="D6486" t="s">
        <v>953</v>
      </c>
      <c r="E6486" t="s">
        <v>1077</v>
      </c>
      <c r="F6486" t="s">
        <v>35</v>
      </c>
      <c r="G6486" t="s">
        <v>35</v>
      </c>
      <c r="H6486" t="s">
        <v>35</v>
      </c>
      <c r="J6486" t="s">
        <v>7633</v>
      </c>
      <c r="K6486" t="s">
        <v>1092</v>
      </c>
      <c r="M6486">
        <v>0.15</v>
      </c>
      <c r="N6486">
        <v>16</v>
      </c>
      <c r="O6486" t="s">
        <v>46</v>
      </c>
      <c r="Q6486" t="s">
        <v>1819</v>
      </c>
      <c r="R6486" t="s">
        <v>6721</v>
      </c>
      <c r="S6486" t="s">
        <v>1078</v>
      </c>
      <c r="T6486" t="s">
        <v>1079</v>
      </c>
    </row>
    <row r="6487" spans="1:20" x14ac:dyDescent="0.25">
      <c r="A6487" t="s">
        <v>59</v>
      </c>
      <c r="B6487" t="s">
        <v>60</v>
      </c>
      <c r="C6487" t="s">
        <v>32</v>
      </c>
      <c r="D6487" t="s">
        <v>953</v>
      </c>
      <c r="E6487" t="s">
        <v>1077</v>
      </c>
      <c r="F6487" t="s">
        <v>35</v>
      </c>
      <c r="G6487" t="s">
        <v>35</v>
      </c>
      <c r="H6487" t="s">
        <v>35</v>
      </c>
      <c r="J6487" t="s">
        <v>7633</v>
      </c>
      <c r="K6487" t="s">
        <v>1092</v>
      </c>
      <c r="M6487">
        <v>0.1</v>
      </c>
      <c r="N6487">
        <v>50</v>
      </c>
      <c r="O6487" t="s">
        <v>52</v>
      </c>
      <c r="Q6487" t="s">
        <v>665</v>
      </c>
      <c r="R6487" t="s">
        <v>6721</v>
      </c>
      <c r="S6487" t="s">
        <v>1078</v>
      </c>
      <c r="T6487" t="s">
        <v>1079</v>
      </c>
    </row>
    <row r="6488" spans="1:20" x14ac:dyDescent="0.25">
      <c r="A6488" t="s">
        <v>59</v>
      </c>
      <c r="B6488" t="s">
        <v>31</v>
      </c>
      <c r="C6488" t="s">
        <v>32</v>
      </c>
      <c r="D6488" t="s">
        <v>953</v>
      </c>
      <c r="E6488" t="s">
        <v>980</v>
      </c>
      <c r="F6488" t="s">
        <v>35</v>
      </c>
      <c r="G6488" t="s">
        <v>35</v>
      </c>
      <c r="H6488" t="s">
        <v>35</v>
      </c>
      <c r="J6488" t="s">
        <v>7088</v>
      </c>
      <c r="K6488" t="s">
        <v>1092</v>
      </c>
      <c r="M6488">
        <v>0.25</v>
      </c>
      <c r="N6488">
        <v>134</v>
      </c>
      <c r="O6488" t="s">
        <v>38</v>
      </c>
      <c r="Q6488" t="s">
        <v>1822</v>
      </c>
      <c r="R6488" t="s">
        <v>6721</v>
      </c>
      <c r="S6488" t="s">
        <v>1078</v>
      </c>
      <c r="T6488" t="s">
        <v>1079</v>
      </c>
    </row>
    <row r="6489" spans="1:20" x14ac:dyDescent="0.25">
      <c r="A6489" t="s">
        <v>59</v>
      </c>
      <c r="B6489" t="s">
        <v>60</v>
      </c>
      <c r="C6489" t="s">
        <v>32</v>
      </c>
      <c r="D6489" t="s">
        <v>953</v>
      </c>
      <c r="E6489" t="s">
        <v>980</v>
      </c>
      <c r="F6489" t="s">
        <v>35</v>
      </c>
      <c r="G6489" t="s">
        <v>35</v>
      </c>
      <c r="H6489" t="s">
        <v>35</v>
      </c>
      <c r="J6489" t="s">
        <v>7088</v>
      </c>
      <c r="K6489" t="s">
        <v>1092</v>
      </c>
      <c r="M6489">
        <v>0.25</v>
      </c>
      <c r="N6489">
        <v>154</v>
      </c>
      <c r="O6489" t="s">
        <v>38</v>
      </c>
      <c r="Q6489" t="s">
        <v>2639</v>
      </c>
      <c r="R6489" t="s">
        <v>6721</v>
      </c>
      <c r="S6489" t="s">
        <v>1078</v>
      </c>
      <c r="T6489" t="s">
        <v>1079</v>
      </c>
    </row>
    <row r="6490" spans="1:20" x14ac:dyDescent="0.25">
      <c r="A6490" t="s">
        <v>59</v>
      </c>
      <c r="B6490" t="s">
        <v>60</v>
      </c>
      <c r="C6490" t="s">
        <v>32</v>
      </c>
      <c r="D6490" t="s">
        <v>953</v>
      </c>
      <c r="E6490" t="s">
        <v>980</v>
      </c>
      <c r="F6490" t="s">
        <v>35</v>
      </c>
      <c r="G6490" t="s">
        <v>35</v>
      </c>
      <c r="H6490" t="s">
        <v>35</v>
      </c>
      <c r="J6490" t="s">
        <v>7088</v>
      </c>
      <c r="K6490" t="s">
        <v>1092</v>
      </c>
      <c r="M6490">
        <v>0.1</v>
      </c>
      <c r="N6490">
        <v>148</v>
      </c>
      <c r="O6490" t="s">
        <v>38</v>
      </c>
      <c r="Q6490" t="s">
        <v>3942</v>
      </c>
      <c r="R6490" t="s">
        <v>6721</v>
      </c>
      <c r="S6490" t="s">
        <v>1078</v>
      </c>
      <c r="T6490" t="s">
        <v>1079</v>
      </c>
    </row>
    <row r="6491" spans="1:20" x14ac:dyDescent="0.25">
      <c r="A6491" t="s">
        <v>59</v>
      </c>
      <c r="B6491" t="s">
        <v>60</v>
      </c>
      <c r="C6491" t="s">
        <v>32</v>
      </c>
      <c r="D6491" t="s">
        <v>953</v>
      </c>
      <c r="E6491" t="s">
        <v>980</v>
      </c>
      <c r="F6491" t="s">
        <v>35</v>
      </c>
      <c r="G6491" t="s">
        <v>35</v>
      </c>
      <c r="H6491" t="s">
        <v>35</v>
      </c>
      <c r="J6491" t="s">
        <v>7088</v>
      </c>
      <c r="K6491" t="s">
        <v>1092</v>
      </c>
      <c r="M6491">
        <v>0.25</v>
      </c>
      <c r="N6491">
        <v>153</v>
      </c>
      <c r="O6491" t="s">
        <v>38</v>
      </c>
      <c r="Q6491" t="s">
        <v>260</v>
      </c>
      <c r="R6491" t="s">
        <v>6721</v>
      </c>
      <c r="S6491" t="s">
        <v>1078</v>
      </c>
      <c r="T6491" t="s">
        <v>1079</v>
      </c>
    </row>
    <row r="6492" spans="1:20" x14ac:dyDescent="0.25">
      <c r="A6492" t="s">
        <v>59</v>
      </c>
      <c r="B6492" t="s">
        <v>60</v>
      </c>
      <c r="C6492" t="s">
        <v>32</v>
      </c>
      <c r="D6492" t="s">
        <v>953</v>
      </c>
      <c r="E6492" t="s">
        <v>980</v>
      </c>
      <c r="F6492" t="s">
        <v>35</v>
      </c>
      <c r="G6492" t="s">
        <v>35</v>
      </c>
      <c r="H6492" t="s">
        <v>35</v>
      </c>
      <c r="J6492" t="s">
        <v>7088</v>
      </c>
      <c r="K6492" t="s">
        <v>1092</v>
      </c>
      <c r="M6492">
        <v>0.25</v>
      </c>
      <c r="N6492">
        <v>106</v>
      </c>
      <c r="O6492" t="s">
        <v>106</v>
      </c>
      <c r="Q6492" t="s">
        <v>6066</v>
      </c>
      <c r="R6492" t="s">
        <v>6721</v>
      </c>
      <c r="S6492" t="s">
        <v>1078</v>
      </c>
      <c r="T6492" t="s">
        <v>1079</v>
      </c>
    </row>
    <row r="6493" spans="1:20" x14ac:dyDescent="0.25">
      <c r="A6493" t="s">
        <v>59</v>
      </c>
      <c r="B6493" t="s">
        <v>60</v>
      </c>
      <c r="C6493" t="s">
        <v>32</v>
      </c>
      <c r="D6493" t="s">
        <v>953</v>
      </c>
      <c r="E6493" t="s">
        <v>980</v>
      </c>
      <c r="F6493" t="s">
        <v>35</v>
      </c>
      <c r="G6493" t="s">
        <v>35</v>
      </c>
      <c r="H6493" t="s">
        <v>35</v>
      </c>
      <c r="J6493" t="s">
        <v>7088</v>
      </c>
      <c r="K6493" t="s">
        <v>1092</v>
      </c>
      <c r="M6493">
        <v>0.25</v>
      </c>
      <c r="N6493">
        <v>134</v>
      </c>
      <c r="O6493" t="s">
        <v>38</v>
      </c>
      <c r="Q6493" t="s">
        <v>1822</v>
      </c>
      <c r="R6493" t="s">
        <v>6721</v>
      </c>
      <c r="S6493" t="s">
        <v>1078</v>
      </c>
      <c r="T6493" t="s">
        <v>1079</v>
      </c>
    </row>
    <row r="6494" spans="1:20" x14ac:dyDescent="0.25">
      <c r="A6494" t="s">
        <v>59</v>
      </c>
      <c r="B6494" t="s">
        <v>60</v>
      </c>
      <c r="C6494" t="s">
        <v>32</v>
      </c>
      <c r="D6494" t="s">
        <v>953</v>
      </c>
      <c r="E6494" t="s">
        <v>980</v>
      </c>
      <c r="F6494" t="s">
        <v>35</v>
      </c>
      <c r="G6494" t="s">
        <v>35</v>
      </c>
      <c r="H6494" t="s">
        <v>35</v>
      </c>
      <c r="J6494" t="s">
        <v>7088</v>
      </c>
      <c r="K6494" t="s">
        <v>1092</v>
      </c>
      <c r="M6494">
        <v>0.25</v>
      </c>
      <c r="N6494">
        <v>82</v>
      </c>
      <c r="O6494" t="s">
        <v>61</v>
      </c>
      <c r="Q6494" t="s">
        <v>299</v>
      </c>
      <c r="R6494" t="s">
        <v>6721</v>
      </c>
      <c r="S6494" t="s">
        <v>1078</v>
      </c>
      <c r="T6494" t="s">
        <v>1079</v>
      </c>
    </row>
    <row r="6495" spans="1:20" x14ac:dyDescent="0.25">
      <c r="A6495" t="s">
        <v>30</v>
      </c>
      <c r="B6495" t="s">
        <v>31</v>
      </c>
      <c r="C6495" t="s">
        <v>32</v>
      </c>
      <c r="D6495" t="s">
        <v>953</v>
      </c>
      <c r="E6495" t="s">
        <v>980</v>
      </c>
      <c r="F6495" t="s">
        <v>35</v>
      </c>
      <c r="G6495" t="s">
        <v>35</v>
      </c>
      <c r="H6495" t="s">
        <v>35</v>
      </c>
      <c r="J6495" t="s">
        <v>7088</v>
      </c>
      <c r="K6495" t="s">
        <v>1092</v>
      </c>
      <c r="M6495">
        <v>0.67500000000000004</v>
      </c>
      <c r="N6495">
        <v>118</v>
      </c>
      <c r="O6495" t="s">
        <v>106</v>
      </c>
      <c r="Q6495" t="s">
        <v>1954</v>
      </c>
      <c r="R6495" t="s">
        <v>6721</v>
      </c>
      <c r="S6495" t="s">
        <v>1078</v>
      </c>
      <c r="T6495" t="s">
        <v>1079</v>
      </c>
    </row>
    <row r="6496" spans="1:20" x14ac:dyDescent="0.25">
      <c r="A6496" t="s">
        <v>59</v>
      </c>
      <c r="B6496" t="s">
        <v>60</v>
      </c>
      <c r="C6496" t="s">
        <v>32</v>
      </c>
      <c r="D6496" t="s">
        <v>953</v>
      </c>
      <c r="E6496" t="s">
        <v>980</v>
      </c>
      <c r="F6496" t="s">
        <v>35</v>
      </c>
      <c r="G6496" t="s">
        <v>35</v>
      </c>
      <c r="H6496" t="s">
        <v>35</v>
      </c>
      <c r="J6496" t="s">
        <v>7088</v>
      </c>
      <c r="K6496" t="s">
        <v>1092</v>
      </c>
      <c r="M6496">
        <v>0.25</v>
      </c>
      <c r="N6496">
        <v>190</v>
      </c>
      <c r="O6496" t="s">
        <v>5</v>
      </c>
      <c r="Q6496" t="s">
        <v>6822</v>
      </c>
      <c r="R6496" t="s">
        <v>6721</v>
      </c>
      <c r="S6496" t="s">
        <v>1078</v>
      </c>
      <c r="T6496" t="s">
        <v>1079</v>
      </c>
    </row>
    <row r="6497" spans="1:20" x14ac:dyDescent="0.25">
      <c r="A6497" t="s">
        <v>30</v>
      </c>
      <c r="B6497" t="s">
        <v>31</v>
      </c>
      <c r="C6497" t="s">
        <v>32</v>
      </c>
      <c r="D6497" t="s">
        <v>953</v>
      </c>
      <c r="E6497" t="s">
        <v>980</v>
      </c>
      <c r="F6497" t="s">
        <v>35</v>
      </c>
      <c r="G6497" t="s">
        <v>35</v>
      </c>
      <c r="H6497" t="s">
        <v>35</v>
      </c>
      <c r="J6497" t="s">
        <v>7088</v>
      </c>
      <c r="K6497" t="s">
        <v>1092</v>
      </c>
      <c r="M6497">
        <v>0.36</v>
      </c>
      <c r="N6497">
        <v>36</v>
      </c>
      <c r="O6497" t="s">
        <v>52</v>
      </c>
      <c r="Q6497" t="s">
        <v>892</v>
      </c>
      <c r="R6497" t="s">
        <v>6721</v>
      </c>
      <c r="S6497" t="s">
        <v>1078</v>
      </c>
      <c r="T6497" t="s">
        <v>1079</v>
      </c>
    </row>
    <row r="6498" spans="1:20" x14ac:dyDescent="0.25">
      <c r="A6498" t="s">
        <v>59</v>
      </c>
      <c r="B6498" t="s">
        <v>31</v>
      </c>
      <c r="C6498" t="s">
        <v>32</v>
      </c>
      <c r="D6498" t="s">
        <v>953</v>
      </c>
      <c r="E6498" t="s">
        <v>980</v>
      </c>
      <c r="F6498" t="s">
        <v>35</v>
      </c>
      <c r="G6498" t="s">
        <v>35</v>
      </c>
      <c r="H6498" t="s">
        <v>35</v>
      </c>
      <c r="J6498" t="s">
        <v>7088</v>
      </c>
      <c r="K6498" t="s">
        <v>1092</v>
      </c>
      <c r="M6498">
        <v>0.495</v>
      </c>
      <c r="N6498">
        <v>57</v>
      </c>
      <c r="O6498" t="s">
        <v>52</v>
      </c>
      <c r="Q6498" t="s">
        <v>381</v>
      </c>
      <c r="R6498" t="s">
        <v>6721</v>
      </c>
      <c r="S6498" t="s">
        <v>1078</v>
      </c>
      <c r="T6498" t="s">
        <v>1079</v>
      </c>
    </row>
    <row r="6499" spans="1:20" x14ac:dyDescent="0.25">
      <c r="A6499" t="s">
        <v>44</v>
      </c>
      <c r="B6499" t="s">
        <v>3</v>
      </c>
      <c r="C6499" t="s">
        <v>32</v>
      </c>
      <c r="D6499" t="s">
        <v>953</v>
      </c>
      <c r="E6499" t="s">
        <v>980</v>
      </c>
      <c r="F6499" t="s">
        <v>35</v>
      </c>
      <c r="G6499" t="s">
        <v>35</v>
      </c>
      <c r="H6499" t="s">
        <v>35</v>
      </c>
      <c r="J6499" t="s">
        <v>7088</v>
      </c>
      <c r="K6499" t="s">
        <v>1092</v>
      </c>
      <c r="M6499">
        <v>0.3</v>
      </c>
      <c r="N6499">
        <v>38</v>
      </c>
      <c r="O6499" t="s">
        <v>52</v>
      </c>
      <c r="Q6499" t="s">
        <v>716</v>
      </c>
      <c r="R6499" t="s">
        <v>6721</v>
      </c>
      <c r="S6499" t="s">
        <v>1078</v>
      </c>
      <c r="T6499" t="s">
        <v>1079</v>
      </c>
    </row>
    <row r="6500" spans="1:20" x14ac:dyDescent="0.25">
      <c r="A6500" t="s">
        <v>44</v>
      </c>
      <c r="B6500" t="s">
        <v>3</v>
      </c>
      <c r="C6500" t="s">
        <v>32</v>
      </c>
      <c r="D6500" t="s">
        <v>953</v>
      </c>
      <c r="E6500" t="s">
        <v>980</v>
      </c>
      <c r="F6500" t="s">
        <v>35</v>
      </c>
      <c r="G6500" t="s">
        <v>35</v>
      </c>
      <c r="H6500" t="s">
        <v>35</v>
      </c>
      <c r="J6500" t="s">
        <v>7088</v>
      </c>
      <c r="K6500" t="s">
        <v>1092</v>
      </c>
      <c r="M6500">
        <v>0.2</v>
      </c>
      <c r="N6500">
        <v>57</v>
      </c>
      <c r="O6500" t="s">
        <v>52</v>
      </c>
      <c r="Q6500" t="s">
        <v>381</v>
      </c>
      <c r="R6500" t="s">
        <v>6721</v>
      </c>
      <c r="S6500" t="s">
        <v>1078</v>
      </c>
      <c r="T6500" t="s">
        <v>1079</v>
      </c>
    </row>
    <row r="6501" spans="1:20" x14ac:dyDescent="0.25">
      <c r="A6501" t="s">
        <v>44</v>
      </c>
      <c r="B6501" t="s">
        <v>51</v>
      </c>
      <c r="C6501" t="s">
        <v>32</v>
      </c>
      <c r="D6501" t="s">
        <v>953</v>
      </c>
      <c r="E6501" t="s">
        <v>980</v>
      </c>
      <c r="F6501" t="s">
        <v>35</v>
      </c>
      <c r="G6501" t="s">
        <v>35</v>
      </c>
      <c r="H6501" t="s">
        <v>35</v>
      </c>
      <c r="J6501" t="s">
        <v>7088</v>
      </c>
      <c r="K6501" t="s">
        <v>1092</v>
      </c>
      <c r="M6501">
        <v>0.2</v>
      </c>
      <c r="N6501">
        <v>36</v>
      </c>
      <c r="O6501" t="s">
        <v>52</v>
      </c>
      <c r="Q6501" t="s">
        <v>892</v>
      </c>
      <c r="R6501" t="s">
        <v>6721</v>
      </c>
      <c r="S6501" t="s">
        <v>1078</v>
      </c>
      <c r="T6501" t="s">
        <v>1079</v>
      </c>
    </row>
    <row r="6502" spans="1:20" x14ac:dyDescent="0.25">
      <c r="A6502" t="s">
        <v>59</v>
      </c>
      <c r="B6502" t="s">
        <v>60</v>
      </c>
      <c r="C6502" t="s">
        <v>32</v>
      </c>
      <c r="D6502" t="s">
        <v>953</v>
      </c>
      <c r="E6502" t="s">
        <v>980</v>
      </c>
      <c r="F6502" t="s">
        <v>35</v>
      </c>
      <c r="G6502" t="s">
        <v>35</v>
      </c>
      <c r="H6502" t="s">
        <v>35</v>
      </c>
      <c r="J6502" t="s">
        <v>7088</v>
      </c>
      <c r="K6502" t="s">
        <v>1092</v>
      </c>
      <c r="M6502">
        <v>0.2</v>
      </c>
      <c r="N6502">
        <v>36</v>
      </c>
      <c r="O6502" t="s">
        <v>52</v>
      </c>
      <c r="Q6502" t="s">
        <v>892</v>
      </c>
      <c r="R6502" t="s">
        <v>6721</v>
      </c>
      <c r="S6502" t="s">
        <v>1078</v>
      </c>
      <c r="T6502" t="s">
        <v>1079</v>
      </c>
    </row>
    <row r="6503" spans="1:20" x14ac:dyDescent="0.25">
      <c r="A6503" t="s">
        <v>59</v>
      </c>
      <c r="B6503" t="s">
        <v>60</v>
      </c>
      <c r="C6503" t="s">
        <v>32</v>
      </c>
      <c r="D6503" t="s">
        <v>953</v>
      </c>
      <c r="E6503" t="s">
        <v>980</v>
      </c>
      <c r="F6503" t="s">
        <v>35</v>
      </c>
      <c r="G6503" t="s">
        <v>35</v>
      </c>
      <c r="H6503" t="s">
        <v>35</v>
      </c>
      <c r="J6503" t="s">
        <v>7088</v>
      </c>
      <c r="K6503" t="s">
        <v>1092</v>
      </c>
      <c r="M6503">
        <v>0.25</v>
      </c>
      <c r="N6503">
        <v>57</v>
      </c>
      <c r="O6503" t="s">
        <v>52</v>
      </c>
      <c r="Q6503" t="s">
        <v>381</v>
      </c>
      <c r="R6503" t="s">
        <v>6721</v>
      </c>
      <c r="S6503" t="s">
        <v>1078</v>
      </c>
      <c r="T6503" t="s">
        <v>1079</v>
      </c>
    </row>
    <row r="6504" spans="1:20" x14ac:dyDescent="0.25">
      <c r="A6504" t="s">
        <v>59</v>
      </c>
      <c r="B6504" t="s">
        <v>31</v>
      </c>
      <c r="C6504" t="s">
        <v>32</v>
      </c>
      <c r="D6504" t="s">
        <v>953</v>
      </c>
      <c r="E6504" t="s">
        <v>980</v>
      </c>
      <c r="F6504" t="s">
        <v>35</v>
      </c>
      <c r="G6504" t="s">
        <v>35</v>
      </c>
      <c r="H6504" t="s">
        <v>35</v>
      </c>
      <c r="J6504" t="s">
        <v>7088</v>
      </c>
      <c r="K6504" t="s">
        <v>1092</v>
      </c>
      <c r="M6504">
        <v>0.67500000000000004</v>
      </c>
      <c r="N6504">
        <v>82</v>
      </c>
      <c r="O6504" t="s">
        <v>61</v>
      </c>
      <c r="Q6504" t="s">
        <v>299</v>
      </c>
      <c r="R6504" t="s">
        <v>6721</v>
      </c>
      <c r="S6504" t="s">
        <v>1078</v>
      </c>
      <c r="T6504" t="s">
        <v>1079</v>
      </c>
    </row>
    <row r="6505" spans="1:20" x14ac:dyDescent="0.25">
      <c r="A6505" t="s">
        <v>59</v>
      </c>
      <c r="B6505" t="s">
        <v>60</v>
      </c>
      <c r="C6505" t="s">
        <v>32</v>
      </c>
      <c r="D6505" t="s">
        <v>953</v>
      </c>
      <c r="E6505" t="s">
        <v>980</v>
      </c>
      <c r="F6505" t="s">
        <v>35</v>
      </c>
      <c r="G6505" t="s">
        <v>35</v>
      </c>
      <c r="H6505" t="s">
        <v>35</v>
      </c>
      <c r="J6505" t="s">
        <v>7088</v>
      </c>
      <c r="K6505" t="s">
        <v>1092</v>
      </c>
      <c r="M6505">
        <v>0.15</v>
      </c>
      <c r="N6505">
        <v>68</v>
      </c>
      <c r="O6505" t="s">
        <v>61</v>
      </c>
      <c r="Q6505" t="s">
        <v>805</v>
      </c>
      <c r="R6505" t="s">
        <v>6721</v>
      </c>
      <c r="S6505" t="s">
        <v>1078</v>
      </c>
      <c r="T6505" t="s">
        <v>1079</v>
      </c>
    </row>
    <row r="6506" spans="1:20" x14ac:dyDescent="0.25">
      <c r="A6506" t="s">
        <v>59</v>
      </c>
      <c r="B6506" t="s">
        <v>60</v>
      </c>
      <c r="C6506" t="s">
        <v>32</v>
      </c>
      <c r="D6506" t="s">
        <v>953</v>
      </c>
      <c r="E6506" t="s">
        <v>1077</v>
      </c>
      <c r="F6506" t="s">
        <v>35</v>
      </c>
      <c r="G6506" t="s">
        <v>35</v>
      </c>
      <c r="H6506" t="s">
        <v>35</v>
      </c>
      <c r="J6506" t="s">
        <v>7698</v>
      </c>
      <c r="K6506" t="s">
        <v>1092</v>
      </c>
      <c r="M6506">
        <v>0.2</v>
      </c>
      <c r="N6506">
        <v>264</v>
      </c>
      <c r="O6506" t="s">
        <v>5</v>
      </c>
      <c r="Q6506" t="s">
        <v>1881</v>
      </c>
      <c r="R6506" t="s">
        <v>6721</v>
      </c>
      <c r="S6506" t="s">
        <v>1078</v>
      </c>
      <c r="T6506" t="s">
        <v>1079</v>
      </c>
    </row>
    <row r="6507" spans="1:20" x14ac:dyDescent="0.25">
      <c r="A6507" t="s">
        <v>59</v>
      </c>
      <c r="B6507" t="s">
        <v>60</v>
      </c>
      <c r="C6507" t="s">
        <v>32</v>
      </c>
      <c r="D6507" t="s">
        <v>953</v>
      </c>
      <c r="E6507" t="s">
        <v>1077</v>
      </c>
      <c r="F6507" t="s">
        <v>35</v>
      </c>
      <c r="G6507" t="s">
        <v>35</v>
      </c>
      <c r="H6507" t="s">
        <v>35</v>
      </c>
      <c r="J6507" t="s">
        <v>7698</v>
      </c>
      <c r="K6507" t="s">
        <v>1092</v>
      </c>
      <c r="M6507">
        <v>0.1</v>
      </c>
      <c r="N6507">
        <v>281</v>
      </c>
      <c r="O6507" t="s">
        <v>5</v>
      </c>
      <c r="Q6507" t="s">
        <v>1421</v>
      </c>
      <c r="R6507" t="s">
        <v>6721</v>
      </c>
      <c r="S6507" t="s">
        <v>1078</v>
      </c>
      <c r="T6507" t="s">
        <v>1079</v>
      </c>
    </row>
    <row r="6508" spans="1:20" x14ac:dyDescent="0.25">
      <c r="A6508" t="s">
        <v>30</v>
      </c>
      <c r="B6508" t="s">
        <v>31</v>
      </c>
      <c r="C6508" t="s">
        <v>32</v>
      </c>
      <c r="D6508" t="s">
        <v>953</v>
      </c>
      <c r="E6508" t="s">
        <v>1077</v>
      </c>
      <c r="F6508" t="s">
        <v>35</v>
      </c>
      <c r="G6508" t="s">
        <v>35</v>
      </c>
      <c r="H6508" t="s">
        <v>35</v>
      </c>
      <c r="J6508" t="s">
        <v>7698</v>
      </c>
      <c r="K6508" t="s">
        <v>1092</v>
      </c>
      <c r="M6508">
        <v>0.13500000000000001</v>
      </c>
      <c r="N6508">
        <v>1009</v>
      </c>
      <c r="O6508" t="s">
        <v>575</v>
      </c>
      <c r="Q6508" t="s">
        <v>7699</v>
      </c>
      <c r="R6508" t="s">
        <v>6721</v>
      </c>
      <c r="S6508" t="s">
        <v>1078</v>
      </c>
      <c r="T6508" t="s">
        <v>1079</v>
      </c>
    </row>
    <row r="6509" spans="1:20" x14ac:dyDescent="0.25">
      <c r="A6509" t="s">
        <v>59</v>
      </c>
      <c r="B6509" t="s">
        <v>31</v>
      </c>
      <c r="C6509" t="s">
        <v>32</v>
      </c>
      <c r="D6509" t="s">
        <v>953</v>
      </c>
      <c r="E6509" t="s">
        <v>1077</v>
      </c>
      <c r="F6509" t="s">
        <v>35</v>
      </c>
      <c r="G6509" t="s">
        <v>35</v>
      </c>
      <c r="H6509" t="s">
        <v>35</v>
      </c>
      <c r="J6509" t="s">
        <v>7698</v>
      </c>
      <c r="K6509" t="s">
        <v>1092</v>
      </c>
      <c r="M6509">
        <v>0.28000000000000003</v>
      </c>
      <c r="N6509">
        <v>470</v>
      </c>
      <c r="O6509" t="s">
        <v>294</v>
      </c>
      <c r="Q6509" t="s">
        <v>6754</v>
      </c>
      <c r="R6509" t="s">
        <v>6721</v>
      </c>
      <c r="S6509" t="s">
        <v>1078</v>
      </c>
      <c r="T6509" t="s">
        <v>1079</v>
      </c>
    </row>
    <row r="6510" spans="1:20" x14ac:dyDescent="0.25">
      <c r="A6510" t="s">
        <v>59</v>
      </c>
      <c r="B6510" t="s">
        <v>31</v>
      </c>
      <c r="C6510" t="s">
        <v>32</v>
      </c>
      <c r="D6510" t="s">
        <v>953</v>
      </c>
      <c r="E6510" t="s">
        <v>1077</v>
      </c>
      <c r="F6510" t="s">
        <v>35</v>
      </c>
      <c r="G6510" t="s">
        <v>35</v>
      </c>
      <c r="H6510" t="s">
        <v>35</v>
      </c>
      <c r="J6510" t="s">
        <v>7698</v>
      </c>
      <c r="K6510" t="s">
        <v>1092</v>
      </c>
      <c r="M6510">
        <v>0.45</v>
      </c>
      <c r="N6510">
        <v>232</v>
      </c>
      <c r="O6510" t="s">
        <v>5</v>
      </c>
      <c r="Q6510" t="s">
        <v>1471</v>
      </c>
      <c r="R6510" t="s">
        <v>6721</v>
      </c>
      <c r="S6510" t="s">
        <v>1078</v>
      </c>
      <c r="T6510" t="s">
        <v>1079</v>
      </c>
    </row>
    <row r="6511" spans="1:20" x14ac:dyDescent="0.25">
      <c r="A6511" t="s">
        <v>59</v>
      </c>
      <c r="B6511" t="s">
        <v>60</v>
      </c>
      <c r="C6511" t="s">
        <v>32</v>
      </c>
      <c r="D6511" t="s">
        <v>953</v>
      </c>
      <c r="E6511" t="s">
        <v>1077</v>
      </c>
      <c r="F6511" t="s">
        <v>35</v>
      </c>
      <c r="G6511" t="s">
        <v>35</v>
      </c>
      <c r="H6511" t="s">
        <v>35</v>
      </c>
      <c r="J6511" t="s">
        <v>7698</v>
      </c>
      <c r="K6511" t="s">
        <v>1092</v>
      </c>
      <c r="M6511">
        <v>0.1</v>
      </c>
      <c r="N6511">
        <v>253</v>
      </c>
      <c r="O6511" t="s">
        <v>5</v>
      </c>
      <c r="Q6511" t="s">
        <v>5106</v>
      </c>
      <c r="R6511" t="s">
        <v>6721</v>
      </c>
      <c r="S6511" t="s">
        <v>1078</v>
      </c>
      <c r="T6511" t="s">
        <v>1079</v>
      </c>
    </row>
    <row r="6512" spans="1:20" x14ac:dyDescent="0.25">
      <c r="A6512" t="s">
        <v>59</v>
      </c>
      <c r="B6512" t="s">
        <v>60</v>
      </c>
      <c r="C6512" t="s">
        <v>32</v>
      </c>
      <c r="D6512" t="s">
        <v>953</v>
      </c>
      <c r="E6512" t="s">
        <v>1077</v>
      </c>
      <c r="F6512" t="s">
        <v>35</v>
      </c>
      <c r="G6512" t="s">
        <v>35</v>
      </c>
      <c r="H6512" t="s">
        <v>35</v>
      </c>
      <c r="J6512" t="s">
        <v>7698</v>
      </c>
      <c r="K6512" t="s">
        <v>1092</v>
      </c>
      <c r="M6512">
        <v>0.1</v>
      </c>
      <c r="N6512">
        <v>316</v>
      </c>
      <c r="O6512" t="s">
        <v>5</v>
      </c>
      <c r="Q6512" t="s">
        <v>6781</v>
      </c>
      <c r="R6512" t="s">
        <v>6721</v>
      </c>
      <c r="S6512" t="s">
        <v>1078</v>
      </c>
      <c r="T6512" t="s">
        <v>1079</v>
      </c>
    </row>
    <row r="6513" spans="1:20" x14ac:dyDescent="0.25">
      <c r="A6513" t="s">
        <v>44</v>
      </c>
      <c r="B6513" t="s">
        <v>51</v>
      </c>
      <c r="C6513" t="s">
        <v>32</v>
      </c>
      <c r="D6513" t="s">
        <v>953</v>
      </c>
      <c r="E6513" t="s">
        <v>1077</v>
      </c>
      <c r="F6513" t="s">
        <v>35</v>
      </c>
      <c r="G6513" t="s">
        <v>35</v>
      </c>
      <c r="H6513" t="s">
        <v>35</v>
      </c>
      <c r="J6513" t="s">
        <v>7698</v>
      </c>
      <c r="K6513" t="s">
        <v>1092</v>
      </c>
      <c r="M6513">
        <v>0.1</v>
      </c>
      <c r="N6513">
        <v>495</v>
      </c>
      <c r="O6513" t="s">
        <v>294</v>
      </c>
      <c r="Q6513" t="s">
        <v>1181</v>
      </c>
      <c r="R6513" t="s">
        <v>6721</v>
      </c>
      <c r="S6513" t="s">
        <v>1078</v>
      </c>
      <c r="T6513" t="s">
        <v>1079</v>
      </c>
    </row>
    <row r="6514" spans="1:20" x14ac:dyDescent="0.25">
      <c r="A6514" t="s">
        <v>59</v>
      </c>
      <c r="B6514" t="s">
        <v>31</v>
      </c>
      <c r="C6514" t="s">
        <v>32</v>
      </c>
      <c r="D6514" t="s">
        <v>953</v>
      </c>
      <c r="E6514" t="s">
        <v>1077</v>
      </c>
      <c r="F6514" t="s">
        <v>35</v>
      </c>
      <c r="G6514" t="s">
        <v>35</v>
      </c>
      <c r="H6514" t="s">
        <v>35</v>
      </c>
      <c r="J6514" t="s">
        <v>7698</v>
      </c>
      <c r="K6514" t="s">
        <v>1092</v>
      </c>
      <c r="M6514">
        <v>0.22500000000000001</v>
      </c>
      <c r="N6514">
        <v>383</v>
      </c>
      <c r="O6514" t="s">
        <v>294</v>
      </c>
      <c r="Q6514" t="s">
        <v>7697</v>
      </c>
      <c r="R6514" t="s">
        <v>6721</v>
      </c>
      <c r="S6514" t="s">
        <v>1078</v>
      </c>
      <c r="T6514" t="s">
        <v>1079</v>
      </c>
    </row>
    <row r="6515" spans="1:20" x14ac:dyDescent="0.25">
      <c r="A6515" t="s">
        <v>59</v>
      </c>
      <c r="B6515" t="s">
        <v>60</v>
      </c>
      <c r="C6515" t="s">
        <v>32</v>
      </c>
      <c r="D6515" t="s">
        <v>953</v>
      </c>
      <c r="E6515" t="s">
        <v>1077</v>
      </c>
      <c r="F6515" t="s">
        <v>35</v>
      </c>
      <c r="G6515" t="s">
        <v>35</v>
      </c>
      <c r="H6515" t="s">
        <v>35</v>
      </c>
      <c r="J6515" t="s">
        <v>7698</v>
      </c>
      <c r="K6515" t="s">
        <v>1092</v>
      </c>
      <c r="M6515">
        <v>0.25</v>
      </c>
      <c r="N6515">
        <v>232</v>
      </c>
      <c r="O6515" t="s">
        <v>5</v>
      </c>
      <c r="Q6515" t="s">
        <v>1471</v>
      </c>
      <c r="R6515" t="s">
        <v>6721</v>
      </c>
      <c r="S6515" t="s">
        <v>1078</v>
      </c>
      <c r="T6515" t="s">
        <v>1079</v>
      </c>
    </row>
    <row r="6516" spans="1:20" x14ac:dyDescent="0.25">
      <c r="A6516" t="s">
        <v>59</v>
      </c>
      <c r="B6516" t="s">
        <v>60</v>
      </c>
      <c r="C6516" t="s">
        <v>32</v>
      </c>
      <c r="D6516" t="s">
        <v>953</v>
      </c>
      <c r="E6516" t="s">
        <v>1077</v>
      </c>
      <c r="F6516" t="s">
        <v>35</v>
      </c>
      <c r="G6516" t="s">
        <v>35</v>
      </c>
      <c r="H6516" t="s">
        <v>35</v>
      </c>
      <c r="J6516" t="s">
        <v>7698</v>
      </c>
      <c r="K6516" t="s">
        <v>1092</v>
      </c>
      <c r="M6516">
        <v>0.2</v>
      </c>
      <c r="N6516">
        <v>295</v>
      </c>
      <c r="O6516" t="s">
        <v>5</v>
      </c>
      <c r="Q6516" t="s">
        <v>6862</v>
      </c>
      <c r="R6516" t="s">
        <v>6721</v>
      </c>
      <c r="S6516" t="s">
        <v>1078</v>
      </c>
      <c r="T6516" t="s">
        <v>1079</v>
      </c>
    </row>
    <row r="6517" spans="1:20" x14ac:dyDescent="0.25">
      <c r="A6517" t="s">
        <v>30</v>
      </c>
      <c r="B6517" t="s">
        <v>31</v>
      </c>
      <c r="C6517" t="s">
        <v>32</v>
      </c>
      <c r="D6517" t="s">
        <v>953</v>
      </c>
      <c r="E6517" t="s">
        <v>1077</v>
      </c>
      <c r="F6517" t="s">
        <v>35</v>
      </c>
      <c r="G6517" t="s">
        <v>35</v>
      </c>
      <c r="H6517" t="s">
        <v>35</v>
      </c>
      <c r="J6517" t="s">
        <v>7698</v>
      </c>
      <c r="K6517" t="s">
        <v>1092</v>
      </c>
      <c r="M6517">
        <v>0.36</v>
      </c>
      <c r="N6517">
        <v>442</v>
      </c>
      <c r="O6517" t="s">
        <v>294</v>
      </c>
      <c r="Q6517" t="s">
        <v>7665</v>
      </c>
      <c r="R6517" t="s">
        <v>6721</v>
      </c>
      <c r="S6517" t="s">
        <v>1078</v>
      </c>
      <c r="T6517" t="s">
        <v>1079</v>
      </c>
    </row>
    <row r="6518" spans="1:20" x14ac:dyDescent="0.25">
      <c r="A6518" t="s">
        <v>44</v>
      </c>
      <c r="B6518" t="s">
        <v>3</v>
      </c>
      <c r="C6518" t="s">
        <v>32</v>
      </c>
      <c r="D6518" t="s">
        <v>953</v>
      </c>
      <c r="E6518" t="s">
        <v>1077</v>
      </c>
      <c r="F6518" t="s">
        <v>35</v>
      </c>
      <c r="G6518" t="s">
        <v>35</v>
      </c>
      <c r="H6518" t="s">
        <v>35</v>
      </c>
      <c r="J6518" t="s">
        <v>7698</v>
      </c>
      <c r="K6518" t="s">
        <v>1092</v>
      </c>
      <c r="M6518">
        <v>9.6000000000000002E-2</v>
      </c>
      <c r="N6518">
        <v>434</v>
      </c>
      <c r="O6518" t="s">
        <v>294</v>
      </c>
      <c r="Q6518" t="s">
        <v>1888</v>
      </c>
      <c r="R6518" t="s">
        <v>6721</v>
      </c>
      <c r="S6518" t="s">
        <v>1078</v>
      </c>
      <c r="T6518" t="s">
        <v>1079</v>
      </c>
    </row>
    <row r="6519" spans="1:20" x14ac:dyDescent="0.25">
      <c r="A6519" t="s">
        <v>59</v>
      </c>
      <c r="B6519" t="s">
        <v>31</v>
      </c>
      <c r="C6519" t="s">
        <v>32</v>
      </c>
      <c r="D6519" t="s">
        <v>953</v>
      </c>
      <c r="E6519" t="s">
        <v>1077</v>
      </c>
      <c r="F6519" t="s">
        <v>35</v>
      </c>
      <c r="G6519" t="s">
        <v>35</v>
      </c>
      <c r="H6519" t="s">
        <v>35</v>
      </c>
      <c r="J6519" t="s">
        <v>7634</v>
      </c>
      <c r="K6519" t="s">
        <v>1092</v>
      </c>
      <c r="M6519">
        <v>5.0000000000000001E-3</v>
      </c>
      <c r="N6519">
        <v>75</v>
      </c>
      <c r="O6519" t="s">
        <v>61</v>
      </c>
      <c r="Q6519" t="s">
        <v>447</v>
      </c>
      <c r="R6519" t="s">
        <v>6721</v>
      </c>
      <c r="S6519" t="s">
        <v>1078</v>
      </c>
      <c r="T6519" t="s">
        <v>1079</v>
      </c>
    </row>
    <row r="6520" spans="1:20" x14ac:dyDescent="0.25">
      <c r="A6520" t="s">
        <v>59</v>
      </c>
      <c r="B6520" t="s">
        <v>60</v>
      </c>
      <c r="C6520" t="s">
        <v>32</v>
      </c>
      <c r="D6520" t="s">
        <v>953</v>
      </c>
      <c r="E6520" t="s">
        <v>1077</v>
      </c>
      <c r="F6520" t="s">
        <v>35</v>
      </c>
      <c r="G6520" t="s">
        <v>35</v>
      </c>
      <c r="H6520" t="s">
        <v>35</v>
      </c>
      <c r="J6520" t="s">
        <v>7634</v>
      </c>
      <c r="K6520" t="s">
        <v>1092</v>
      </c>
      <c r="M6520">
        <v>0.13</v>
      </c>
      <c r="N6520">
        <v>75</v>
      </c>
      <c r="O6520" t="s">
        <v>61</v>
      </c>
      <c r="Q6520" t="s">
        <v>447</v>
      </c>
      <c r="R6520" t="s">
        <v>6721</v>
      </c>
      <c r="S6520" t="s">
        <v>1078</v>
      </c>
      <c r="T6520" t="s">
        <v>1079</v>
      </c>
    </row>
    <row r="6521" spans="1:20" x14ac:dyDescent="0.25">
      <c r="A6521" t="s">
        <v>30</v>
      </c>
      <c r="B6521" t="s">
        <v>31</v>
      </c>
      <c r="C6521" t="s">
        <v>32</v>
      </c>
      <c r="D6521" t="s">
        <v>953</v>
      </c>
      <c r="F6521" t="s">
        <v>35</v>
      </c>
      <c r="G6521" t="s">
        <v>35</v>
      </c>
      <c r="H6521" t="s">
        <v>35</v>
      </c>
      <c r="J6521" t="s">
        <v>7908</v>
      </c>
      <c r="K6521" t="s">
        <v>1092</v>
      </c>
      <c r="M6521">
        <v>0.04</v>
      </c>
      <c r="N6521">
        <v>106</v>
      </c>
      <c r="O6521" t="s">
        <v>106</v>
      </c>
      <c r="Q6521" t="s">
        <v>6066</v>
      </c>
      <c r="R6521" t="s">
        <v>6721</v>
      </c>
      <c r="S6521" t="s">
        <v>1078</v>
      </c>
      <c r="T6521" t="s">
        <v>1079</v>
      </c>
    </row>
    <row r="6522" spans="1:20" x14ac:dyDescent="0.25">
      <c r="A6522" t="s">
        <v>44</v>
      </c>
      <c r="B6522" t="s">
        <v>51</v>
      </c>
      <c r="C6522" t="s">
        <v>32</v>
      </c>
      <c r="D6522" t="s">
        <v>953</v>
      </c>
      <c r="F6522" t="s">
        <v>35</v>
      </c>
      <c r="G6522" t="s">
        <v>35</v>
      </c>
      <c r="H6522" t="s">
        <v>35</v>
      </c>
      <c r="J6522" t="s">
        <v>7908</v>
      </c>
      <c r="K6522" t="s">
        <v>1092</v>
      </c>
      <c r="M6522">
        <v>0.5</v>
      </c>
      <c r="N6522">
        <v>38</v>
      </c>
      <c r="O6522" t="s">
        <v>52</v>
      </c>
      <c r="Q6522" t="s">
        <v>716</v>
      </c>
      <c r="R6522" t="s">
        <v>6721</v>
      </c>
      <c r="S6522" t="s">
        <v>1078</v>
      </c>
      <c r="T6522" t="s">
        <v>1079</v>
      </c>
    </row>
    <row r="6523" spans="1:20" x14ac:dyDescent="0.25">
      <c r="A6523" t="s">
        <v>59</v>
      </c>
      <c r="B6523" t="s">
        <v>31</v>
      </c>
      <c r="C6523" t="s">
        <v>32</v>
      </c>
      <c r="D6523" t="s">
        <v>953</v>
      </c>
      <c r="F6523" t="s">
        <v>35</v>
      </c>
      <c r="G6523" t="s">
        <v>35</v>
      </c>
      <c r="H6523" t="s">
        <v>35</v>
      </c>
      <c r="J6523" t="s">
        <v>7908</v>
      </c>
      <c r="K6523" t="s">
        <v>1092</v>
      </c>
      <c r="M6523">
        <v>5.0000000000000001E-3</v>
      </c>
      <c r="N6523">
        <v>106</v>
      </c>
      <c r="O6523" t="s">
        <v>106</v>
      </c>
      <c r="Q6523" t="s">
        <v>6066</v>
      </c>
      <c r="R6523" t="s">
        <v>6721</v>
      </c>
      <c r="S6523" t="s">
        <v>1078</v>
      </c>
      <c r="T6523" t="s">
        <v>1079</v>
      </c>
    </row>
    <row r="6524" spans="1:20" x14ac:dyDescent="0.25">
      <c r="A6524" t="s">
        <v>59</v>
      </c>
      <c r="B6524" t="s">
        <v>60</v>
      </c>
      <c r="C6524" t="s">
        <v>32</v>
      </c>
      <c r="D6524" t="s">
        <v>953</v>
      </c>
      <c r="F6524" t="s">
        <v>35</v>
      </c>
      <c r="G6524" t="s">
        <v>35</v>
      </c>
      <c r="H6524" t="s">
        <v>35</v>
      </c>
      <c r="J6524" t="s">
        <v>7908</v>
      </c>
      <c r="K6524" t="s">
        <v>1092</v>
      </c>
      <c r="M6524">
        <v>0.1</v>
      </c>
      <c r="N6524">
        <v>38</v>
      </c>
      <c r="O6524" t="s">
        <v>52</v>
      </c>
      <c r="Q6524" t="s">
        <v>716</v>
      </c>
      <c r="R6524" t="s">
        <v>6721</v>
      </c>
      <c r="S6524" t="s">
        <v>1078</v>
      </c>
      <c r="T6524" t="s">
        <v>1079</v>
      </c>
    </row>
    <row r="6525" spans="1:20" x14ac:dyDescent="0.25">
      <c r="A6525" t="s">
        <v>59</v>
      </c>
      <c r="B6525" t="s">
        <v>60</v>
      </c>
      <c r="C6525" t="s">
        <v>32</v>
      </c>
      <c r="D6525" t="s">
        <v>953</v>
      </c>
      <c r="E6525" t="s">
        <v>954</v>
      </c>
      <c r="F6525" t="s">
        <v>35</v>
      </c>
      <c r="G6525" t="s">
        <v>35</v>
      </c>
      <c r="H6525" t="s">
        <v>35</v>
      </c>
      <c r="J6525" t="s">
        <v>6743</v>
      </c>
      <c r="K6525" t="s">
        <v>1092</v>
      </c>
      <c r="M6525">
        <v>5.2</v>
      </c>
      <c r="N6525">
        <v>85</v>
      </c>
      <c r="O6525" t="s">
        <v>61</v>
      </c>
      <c r="Q6525" t="s">
        <v>1100</v>
      </c>
      <c r="R6525" t="s">
        <v>6721</v>
      </c>
      <c r="S6525" t="s">
        <v>1078</v>
      </c>
      <c r="T6525" t="s">
        <v>1079</v>
      </c>
    </row>
    <row r="6526" spans="1:20" x14ac:dyDescent="0.25">
      <c r="A6526" t="s">
        <v>30</v>
      </c>
      <c r="B6526" t="s">
        <v>31</v>
      </c>
      <c r="C6526" t="s">
        <v>32</v>
      </c>
      <c r="D6526" t="s">
        <v>953</v>
      </c>
      <c r="E6526" t="s">
        <v>1077</v>
      </c>
      <c r="F6526" t="s">
        <v>35</v>
      </c>
      <c r="G6526" t="s">
        <v>35</v>
      </c>
      <c r="H6526" t="s">
        <v>35</v>
      </c>
      <c r="J6526" t="s">
        <v>7739</v>
      </c>
      <c r="K6526" t="s">
        <v>1092</v>
      </c>
      <c r="M6526">
        <v>1.17</v>
      </c>
      <c r="N6526">
        <v>36</v>
      </c>
      <c r="O6526" t="s">
        <v>52</v>
      </c>
      <c r="Q6526" t="s">
        <v>892</v>
      </c>
      <c r="R6526" t="s">
        <v>6721</v>
      </c>
      <c r="S6526" t="s">
        <v>1078</v>
      </c>
      <c r="T6526" t="s">
        <v>1079</v>
      </c>
    </row>
    <row r="6527" spans="1:20" x14ac:dyDescent="0.25">
      <c r="A6527" t="s">
        <v>59</v>
      </c>
      <c r="B6527" t="s">
        <v>60</v>
      </c>
      <c r="C6527" t="s">
        <v>32</v>
      </c>
      <c r="D6527" t="s">
        <v>953</v>
      </c>
      <c r="E6527" t="s">
        <v>1077</v>
      </c>
      <c r="F6527" t="s">
        <v>35</v>
      </c>
      <c r="G6527" t="s">
        <v>35</v>
      </c>
      <c r="H6527" t="s">
        <v>35</v>
      </c>
      <c r="J6527" t="s">
        <v>7739</v>
      </c>
      <c r="K6527" t="s">
        <v>1092</v>
      </c>
      <c r="M6527">
        <v>0.45</v>
      </c>
      <c r="N6527">
        <v>38</v>
      </c>
      <c r="O6527" t="s">
        <v>52</v>
      </c>
      <c r="Q6527" t="s">
        <v>716</v>
      </c>
      <c r="R6527" t="s">
        <v>6721</v>
      </c>
      <c r="S6527" t="s">
        <v>1078</v>
      </c>
      <c r="T6527" t="s">
        <v>1079</v>
      </c>
    </row>
    <row r="6528" spans="1:20" x14ac:dyDescent="0.25">
      <c r="A6528" t="s">
        <v>44</v>
      </c>
      <c r="B6528" t="s">
        <v>3</v>
      </c>
      <c r="C6528" t="s">
        <v>32</v>
      </c>
      <c r="D6528" t="s">
        <v>953</v>
      </c>
      <c r="E6528" t="s">
        <v>1077</v>
      </c>
      <c r="F6528" t="s">
        <v>35</v>
      </c>
      <c r="G6528" t="s">
        <v>35</v>
      </c>
      <c r="H6528" t="s">
        <v>35</v>
      </c>
      <c r="J6528" t="s">
        <v>7739</v>
      </c>
      <c r="K6528" t="s">
        <v>1092</v>
      </c>
      <c r="M6528">
        <v>0.35</v>
      </c>
      <c r="N6528">
        <v>38</v>
      </c>
      <c r="O6528" t="s">
        <v>52</v>
      </c>
      <c r="Q6528" t="s">
        <v>716</v>
      </c>
      <c r="R6528" t="s">
        <v>6721</v>
      </c>
      <c r="S6528" t="s">
        <v>1078</v>
      </c>
      <c r="T6528" t="s">
        <v>1079</v>
      </c>
    </row>
    <row r="6529" spans="1:20" x14ac:dyDescent="0.25">
      <c r="A6529" t="s">
        <v>59</v>
      </c>
      <c r="B6529" t="s">
        <v>60</v>
      </c>
      <c r="C6529" t="s">
        <v>32</v>
      </c>
      <c r="D6529" t="s">
        <v>953</v>
      </c>
      <c r="E6529" t="s">
        <v>1077</v>
      </c>
      <c r="F6529" t="s">
        <v>35</v>
      </c>
      <c r="G6529" t="s">
        <v>35</v>
      </c>
      <c r="H6529" t="s">
        <v>35</v>
      </c>
      <c r="J6529" t="s">
        <v>7727</v>
      </c>
      <c r="K6529" t="s">
        <v>1092</v>
      </c>
      <c r="M6529">
        <v>0.15</v>
      </c>
      <c r="N6529">
        <v>166</v>
      </c>
      <c r="O6529" t="s">
        <v>38</v>
      </c>
      <c r="Q6529" t="s">
        <v>1345</v>
      </c>
      <c r="R6529" t="s">
        <v>6721</v>
      </c>
      <c r="S6529" t="s">
        <v>1078</v>
      </c>
      <c r="T6529" t="s">
        <v>1079</v>
      </c>
    </row>
    <row r="6530" spans="1:20" x14ac:dyDescent="0.25">
      <c r="A6530" t="s">
        <v>59</v>
      </c>
      <c r="B6530" t="s">
        <v>60</v>
      </c>
      <c r="C6530" t="s">
        <v>32</v>
      </c>
      <c r="D6530" t="s">
        <v>953</v>
      </c>
      <c r="E6530" t="s">
        <v>1077</v>
      </c>
      <c r="F6530" t="s">
        <v>35</v>
      </c>
      <c r="G6530" t="s">
        <v>35</v>
      </c>
      <c r="H6530" t="s">
        <v>35</v>
      </c>
      <c r="J6530" t="s">
        <v>7727</v>
      </c>
      <c r="K6530" t="s">
        <v>1092</v>
      </c>
      <c r="M6530">
        <v>0.1</v>
      </c>
      <c r="N6530">
        <v>153</v>
      </c>
      <c r="O6530" t="s">
        <v>38</v>
      </c>
      <c r="Q6530" t="s">
        <v>260</v>
      </c>
      <c r="R6530" t="s">
        <v>6721</v>
      </c>
      <c r="S6530" t="s">
        <v>1078</v>
      </c>
      <c r="T6530" t="s">
        <v>1079</v>
      </c>
    </row>
    <row r="6531" spans="1:20" x14ac:dyDescent="0.25">
      <c r="A6531" t="s">
        <v>59</v>
      </c>
      <c r="B6531" t="s">
        <v>31</v>
      </c>
      <c r="C6531" t="s">
        <v>32</v>
      </c>
      <c r="D6531" t="s">
        <v>953</v>
      </c>
      <c r="E6531" t="s">
        <v>1077</v>
      </c>
      <c r="F6531" t="s">
        <v>35</v>
      </c>
      <c r="G6531" t="s">
        <v>35</v>
      </c>
      <c r="H6531" t="s">
        <v>35</v>
      </c>
      <c r="J6531" t="s">
        <v>7727</v>
      </c>
      <c r="K6531" t="s">
        <v>1092</v>
      </c>
      <c r="M6531">
        <v>0.45</v>
      </c>
      <c r="N6531">
        <v>166</v>
      </c>
      <c r="O6531" t="s">
        <v>38</v>
      </c>
      <c r="Q6531" t="s">
        <v>1345</v>
      </c>
      <c r="R6531" t="s">
        <v>6721</v>
      </c>
      <c r="S6531" t="s">
        <v>1078</v>
      </c>
      <c r="T6531" t="s">
        <v>1079</v>
      </c>
    </row>
    <row r="6532" spans="1:20" x14ac:dyDescent="0.25">
      <c r="A6532" t="s">
        <v>59</v>
      </c>
      <c r="B6532" t="s">
        <v>60</v>
      </c>
      <c r="C6532" t="s">
        <v>32</v>
      </c>
      <c r="D6532" t="s">
        <v>953</v>
      </c>
      <c r="E6532" t="s">
        <v>1077</v>
      </c>
      <c r="F6532" t="s">
        <v>35</v>
      </c>
      <c r="G6532" t="s">
        <v>35</v>
      </c>
      <c r="H6532" t="s">
        <v>35</v>
      </c>
      <c r="J6532" t="s">
        <v>7727</v>
      </c>
      <c r="K6532" t="s">
        <v>1092</v>
      </c>
      <c r="M6532">
        <v>0.15</v>
      </c>
      <c r="N6532">
        <v>68</v>
      </c>
      <c r="O6532" t="s">
        <v>61</v>
      </c>
      <c r="Q6532" t="s">
        <v>805</v>
      </c>
      <c r="R6532" t="s">
        <v>6721</v>
      </c>
      <c r="S6532" t="s">
        <v>1078</v>
      </c>
      <c r="T6532" t="s">
        <v>1079</v>
      </c>
    </row>
    <row r="6533" spans="1:20" x14ac:dyDescent="0.25">
      <c r="A6533" t="s">
        <v>59</v>
      </c>
      <c r="B6533" t="s">
        <v>31</v>
      </c>
      <c r="C6533" t="s">
        <v>32</v>
      </c>
      <c r="D6533" t="s">
        <v>953</v>
      </c>
      <c r="E6533" t="s">
        <v>1077</v>
      </c>
      <c r="F6533" t="s">
        <v>35</v>
      </c>
      <c r="G6533" t="s">
        <v>35</v>
      </c>
      <c r="H6533" t="s">
        <v>35</v>
      </c>
      <c r="J6533" t="s">
        <v>7727</v>
      </c>
      <c r="K6533" t="s">
        <v>1092</v>
      </c>
      <c r="M6533">
        <v>0.16500000000000001</v>
      </c>
      <c r="N6533">
        <v>264</v>
      </c>
      <c r="O6533" t="s">
        <v>5</v>
      </c>
      <c r="Q6533" t="s">
        <v>1881</v>
      </c>
      <c r="R6533" t="s">
        <v>6721</v>
      </c>
      <c r="S6533" t="s">
        <v>1078</v>
      </c>
      <c r="T6533" t="s">
        <v>1079</v>
      </c>
    </row>
    <row r="6534" spans="1:20" x14ac:dyDescent="0.25">
      <c r="A6534" t="s">
        <v>59</v>
      </c>
      <c r="B6534" t="s">
        <v>31</v>
      </c>
      <c r="C6534" t="s">
        <v>32</v>
      </c>
      <c r="D6534" t="s">
        <v>953</v>
      </c>
      <c r="E6534" t="s">
        <v>1077</v>
      </c>
      <c r="F6534" t="s">
        <v>35</v>
      </c>
      <c r="G6534" t="s">
        <v>35</v>
      </c>
      <c r="H6534" t="s">
        <v>35</v>
      </c>
      <c r="J6534" t="s">
        <v>7727</v>
      </c>
      <c r="K6534" t="s">
        <v>1092</v>
      </c>
      <c r="M6534">
        <v>0.45</v>
      </c>
      <c r="N6534">
        <v>232</v>
      </c>
      <c r="O6534" t="s">
        <v>5</v>
      </c>
      <c r="Q6534" t="s">
        <v>1471</v>
      </c>
      <c r="R6534" t="s">
        <v>6721</v>
      </c>
      <c r="S6534" t="s">
        <v>1078</v>
      </c>
      <c r="T6534" t="s">
        <v>1079</v>
      </c>
    </row>
    <row r="6535" spans="1:20" x14ac:dyDescent="0.25">
      <c r="A6535" t="s">
        <v>44</v>
      </c>
      <c r="B6535" t="s">
        <v>51</v>
      </c>
      <c r="C6535" t="s">
        <v>32</v>
      </c>
      <c r="D6535" t="s">
        <v>953</v>
      </c>
      <c r="E6535" t="s">
        <v>1077</v>
      </c>
      <c r="F6535" t="s">
        <v>35</v>
      </c>
      <c r="G6535" t="s">
        <v>35</v>
      </c>
      <c r="H6535" t="s">
        <v>35</v>
      </c>
      <c r="J6535" t="s">
        <v>7727</v>
      </c>
      <c r="K6535" t="s">
        <v>1092</v>
      </c>
      <c r="M6535">
        <v>0.1</v>
      </c>
      <c r="N6535">
        <v>309</v>
      </c>
      <c r="O6535" t="s">
        <v>5</v>
      </c>
      <c r="Q6535" t="s">
        <v>6835</v>
      </c>
      <c r="R6535" t="s">
        <v>6721</v>
      </c>
      <c r="S6535" t="s">
        <v>1078</v>
      </c>
      <c r="T6535" t="s">
        <v>1079</v>
      </c>
    </row>
    <row r="6536" spans="1:20" x14ac:dyDescent="0.25">
      <c r="A6536" t="s">
        <v>59</v>
      </c>
      <c r="B6536" t="s">
        <v>31</v>
      </c>
      <c r="C6536" t="s">
        <v>32</v>
      </c>
      <c r="D6536" t="s">
        <v>953</v>
      </c>
      <c r="E6536" t="s">
        <v>1077</v>
      </c>
      <c r="F6536" t="s">
        <v>35</v>
      </c>
      <c r="G6536" t="s">
        <v>35</v>
      </c>
      <c r="H6536" t="s">
        <v>35</v>
      </c>
      <c r="J6536" t="s">
        <v>7727</v>
      </c>
      <c r="K6536" t="s">
        <v>1092</v>
      </c>
      <c r="M6536">
        <v>0.45</v>
      </c>
      <c r="N6536">
        <v>239</v>
      </c>
      <c r="O6536" t="s">
        <v>5</v>
      </c>
      <c r="Q6536" t="s">
        <v>1903</v>
      </c>
      <c r="R6536" t="s">
        <v>6721</v>
      </c>
      <c r="S6536" t="s">
        <v>1078</v>
      </c>
      <c r="T6536" t="s">
        <v>1079</v>
      </c>
    </row>
    <row r="6537" spans="1:20" x14ac:dyDescent="0.25">
      <c r="A6537" t="s">
        <v>59</v>
      </c>
      <c r="B6537" t="s">
        <v>60</v>
      </c>
      <c r="C6537" t="s">
        <v>32</v>
      </c>
      <c r="D6537" t="s">
        <v>953</v>
      </c>
      <c r="E6537" t="s">
        <v>1077</v>
      </c>
      <c r="F6537" t="s">
        <v>35</v>
      </c>
      <c r="G6537" t="s">
        <v>35</v>
      </c>
      <c r="H6537" t="s">
        <v>35</v>
      </c>
      <c r="J6537" t="s">
        <v>7737</v>
      </c>
      <c r="K6537" t="s">
        <v>1092</v>
      </c>
      <c r="M6537">
        <v>0.3</v>
      </c>
      <c r="N6537">
        <v>15</v>
      </c>
      <c r="O6537" t="s">
        <v>46</v>
      </c>
      <c r="Q6537" t="s">
        <v>979</v>
      </c>
      <c r="R6537" t="s">
        <v>6721</v>
      </c>
      <c r="S6537" t="s">
        <v>1078</v>
      </c>
      <c r="T6537" t="s">
        <v>1079</v>
      </c>
    </row>
    <row r="6538" spans="1:20" x14ac:dyDescent="0.25">
      <c r="A6538" t="s">
        <v>59</v>
      </c>
      <c r="B6538" t="s">
        <v>60</v>
      </c>
      <c r="C6538" t="s">
        <v>32</v>
      </c>
      <c r="D6538" t="s">
        <v>953</v>
      </c>
      <c r="E6538" t="s">
        <v>954</v>
      </c>
      <c r="F6538" t="s">
        <v>35</v>
      </c>
      <c r="G6538" t="s">
        <v>35</v>
      </c>
      <c r="H6538" t="s">
        <v>35</v>
      </c>
      <c r="J6538" t="s">
        <v>6778</v>
      </c>
      <c r="K6538" t="s">
        <v>1092</v>
      </c>
      <c r="M6538">
        <v>1.25</v>
      </c>
      <c r="N6538">
        <v>85</v>
      </c>
      <c r="O6538" t="s">
        <v>61</v>
      </c>
      <c r="Q6538" t="s">
        <v>1100</v>
      </c>
      <c r="R6538" t="s">
        <v>6721</v>
      </c>
      <c r="S6538" t="s">
        <v>1078</v>
      </c>
      <c r="T6538" t="s">
        <v>1079</v>
      </c>
    </row>
    <row r="6539" spans="1:20" x14ac:dyDescent="0.25">
      <c r="A6539" t="s">
        <v>59</v>
      </c>
      <c r="B6539" t="s">
        <v>60</v>
      </c>
      <c r="C6539" t="s">
        <v>32</v>
      </c>
      <c r="D6539" t="s">
        <v>953</v>
      </c>
      <c r="E6539" t="s">
        <v>954</v>
      </c>
      <c r="F6539" t="s">
        <v>35</v>
      </c>
      <c r="G6539" t="s">
        <v>35</v>
      </c>
      <c r="H6539" t="s">
        <v>35</v>
      </c>
      <c r="J6539" t="s">
        <v>6778</v>
      </c>
      <c r="K6539" t="s">
        <v>1092</v>
      </c>
      <c r="M6539">
        <v>2.5</v>
      </c>
      <c r="N6539">
        <v>166</v>
      </c>
      <c r="O6539" t="s">
        <v>38</v>
      </c>
      <c r="Q6539" t="s">
        <v>1345</v>
      </c>
      <c r="R6539" t="s">
        <v>6721</v>
      </c>
      <c r="S6539" t="s">
        <v>1078</v>
      </c>
      <c r="T6539" t="s">
        <v>1079</v>
      </c>
    </row>
    <row r="6540" spans="1:20" x14ac:dyDescent="0.25">
      <c r="A6540" t="s">
        <v>59</v>
      </c>
      <c r="B6540" t="s">
        <v>60</v>
      </c>
      <c r="C6540" t="s">
        <v>32</v>
      </c>
      <c r="D6540" t="s">
        <v>953</v>
      </c>
      <c r="E6540" t="s">
        <v>954</v>
      </c>
      <c r="F6540" t="s">
        <v>35</v>
      </c>
      <c r="G6540" t="s">
        <v>35</v>
      </c>
      <c r="H6540" t="s">
        <v>35</v>
      </c>
      <c r="J6540" t="s">
        <v>6778</v>
      </c>
      <c r="K6540" t="s">
        <v>1092</v>
      </c>
      <c r="M6540">
        <v>1</v>
      </c>
      <c r="N6540">
        <v>106</v>
      </c>
      <c r="O6540" t="s">
        <v>106</v>
      </c>
      <c r="Q6540" t="s">
        <v>6066</v>
      </c>
      <c r="R6540" t="s">
        <v>6721</v>
      </c>
      <c r="S6540" t="s">
        <v>1078</v>
      </c>
      <c r="T6540" t="s">
        <v>1079</v>
      </c>
    </row>
    <row r="6541" spans="1:20" x14ac:dyDescent="0.25">
      <c r="A6541" t="s">
        <v>59</v>
      </c>
      <c r="B6541" t="s">
        <v>31</v>
      </c>
      <c r="C6541" t="s">
        <v>32</v>
      </c>
      <c r="D6541" t="s">
        <v>953</v>
      </c>
      <c r="E6541" t="s">
        <v>954</v>
      </c>
      <c r="F6541" t="s">
        <v>35</v>
      </c>
      <c r="G6541" t="s">
        <v>35</v>
      </c>
      <c r="H6541" t="s">
        <v>35</v>
      </c>
      <c r="J6541" t="s">
        <v>6778</v>
      </c>
      <c r="K6541" t="s">
        <v>1092</v>
      </c>
      <c r="M6541">
        <v>0.85499999999999998</v>
      </c>
      <c r="N6541">
        <v>85</v>
      </c>
      <c r="O6541" t="s">
        <v>61</v>
      </c>
      <c r="Q6541" t="s">
        <v>1100</v>
      </c>
      <c r="R6541" t="s">
        <v>6721</v>
      </c>
      <c r="S6541" t="s">
        <v>1078</v>
      </c>
      <c r="T6541" t="s">
        <v>1079</v>
      </c>
    </row>
    <row r="6542" spans="1:20" x14ac:dyDescent="0.25">
      <c r="A6542" t="s">
        <v>59</v>
      </c>
      <c r="B6542" t="s">
        <v>60</v>
      </c>
      <c r="C6542" t="s">
        <v>32</v>
      </c>
      <c r="D6542" t="s">
        <v>953</v>
      </c>
      <c r="E6542" t="s">
        <v>954</v>
      </c>
      <c r="F6542" t="s">
        <v>35</v>
      </c>
      <c r="G6542" t="s">
        <v>35</v>
      </c>
      <c r="H6542" t="s">
        <v>35</v>
      </c>
      <c r="J6542" t="s">
        <v>6778</v>
      </c>
      <c r="K6542" t="s">
        <v>1092</v>
      </c>
      <c r="M6542">
        <v>2</v>
      </c>
      <c r="N6542">
        <v>138</v>
      </c>
      <c r="O6542" t="s">
        <v>38</v>
      </c>
      <c r="Q6542" t="s">
        <v>1149</v>
      </c>
      <c r="R6542" t="s">
        <v>6721</v>
      </c>
      <c r="S6542" t="s">
        <v>1078</v>
      </c>
      <c r="T6542" t="s">
        <v>1079</v>
      </c>
    </row>
    <row r="6543" spans="1:20" x14ac:dyDescent="0.25">
      <c r="A6543" t="s">
        <v>59</v>
      </c>
      <c r="B6543" t="s">
        <v>60</v>
      </c>
      <c r="C6543" t="s">
        <v>32</v>
      </c>
      <c r="D6543" t="s">
        <v>953</v>
      </c>
      <c r="E6543" t="s">
        <v>954</v>
      </c>
      <c r="F6543" t="s">
        <v>35</v>
      </c>
      <c r="G6543" t="s">
        <v>35</v>
      </c>
      <c r="H6543" t="s">
        <v>35</v>
      </c>
      <c r="J6543" t="s">
        <v>6778</v>
      </c>
      <c r="K6543" t="s">
        <v>1092</v>
      </c>
      <c r="M6543">
        <v>0.5</v>
      </c>
      <c r="N6543">
        <v>68</v>
      </c>
      <c r="O6543" t="s">
        <v>61</v>
      </c>
      <c r="Q6543" t="s">
        <v>805</v>
      </c>
      <c r="R6543" t="s">
        <v>6721</v>
      </c>
      <c r="S6543" t="s">
        <v>1078</v>
      </c>
      <c r="T6543" t="s">
        <v>1079</v>
      </c>
    </row>
    <row r="6544" spans="1:20" x14ac:dyDescent="0.25">
      <c r="A6544" t="s">
        <v>59</v>
      </c>
      <c r="B6544" t="s">
        <v>60</v>
      </c>
      <c r="C6544" t="s">
        <v>32</v>
      </c>
      <c r="D6544" t="s">
        <v>953</v>
      </c>
      <c r="E6544" t="s">
        <v>954</v>
      </c>
      <c r="F6544" t="s">
        <v>35</v>
      </c>
      <c r="G6544" t="s">
        <v>35</v>
      </c>
      <c r="H6544" t="s">
        <v>35</v>
      </c>
      <c r="J6544" t="s">
        <v>6778</v>
      </c>
      <c r="K6544" t="s">
        <v>1092</v>
      </c>
      <c r="M6544">
        <v>1</v>
      </c>
      <c r="N6544">
        <v>50</v>
      </c>
      <c r="O6544" t="s">
        <v>52</v>
      </c>
      <c r="Q6544" t="s">
        <v>665</v>
      </c>
      <c r="R6544" t="s">
        <v>6721</v>
      </c>
      <c r="S6544" t="s">
        <v>1078</v>
      </c>
      <c r="T6544" t="s">
        <v>1079</v>
      </c>
    </row>
    <row r="6545" spans="1:20" x14ac:dyDescent="0.25">
      <c r="A6545" t="s">
        <v>44</v>
      </c>
      <c r="B6545" t="s">
        <v>3</v>
      </c>
      <c r="C6545" t="s">
        <v>32</v>
      </c>
      <c r="D6545" t="s">
        <v>953</v>
      </c>
      <c r="E6545" t="s">
        <v>1077</v>
      </c>
      <c r="F6545" t="s">
        <v>35</v>
      </c>
      <c r="G6545" t="s">
        <v>35</v>
      </c>
      <c r="H6545" t="s">
        <v>35</v>
      </c>
      <c r="J6545" t="s">
        <v>7661</v>
      </c>
      <c r="K6545" t="s">
        <v>1092</v>
      </c>
      <c r="M6545">
        <v>0.4</v>
      </c>
      <c r="N6545">
        <v>38</v>
      </c>
      <c r="O6545" t="s">
        <v>52</v>
      </c>
      <c r="Q6545" t="s">
        <v>716</v>
      </c>
      <c r="R6545" t="s">
        <v>6721</v>
      </c>
      <c r="S6545" t="s">
        <v>1078</v>
      </c>
      <c r="T6545" t="s">
        <v>1079</v>
      </c>
    </row>
    <row r="6546" spans="1:20" x14ac:dyDescent="0.25">
      <c r="A6546" t="s">
        <v>59</v>
      </c>
      <c r="B6546" t="s">
        <v>60</v>
      </c>
      <c r="C6546" t="s">
        <v>32</v>
      </c>
      <c r="D6546" t="s">
        <v>953</v>
      </c>
      <c r="E6546" t="s">
        <v>1077</v>
      </c>
      <c r="F6546" t="s">
        <v>35</v>
      </c>
      <c r="G6546" t="s">
        <v>35</v>
      </c>
      <c r="H6546" t="s">
        <v>35</v>
      </c>
      <c r="J6546" t="s">
        <v>7661</v>
      </c>
      <c r="K6546" t="s">
        <v>1092</v>
      </c>
      <c r="M6546">
        <v>0.4</v>
      </c>
      <c r="N6546">
        <v>15</v>
      </c>
      <c r="O6546" t="s">
        <v>46</v>
      </c>
      <c r="Q6546" t="s">
        <v>979</v>
      </c>
      <c r="R6546" t="s">
        <v>6721</v>
      </c>
      <c r="S6546" t="s">
        <v>1078</v>
      </c>
      <c r="T6546" t="s">
        <v>1079</v>
      </c>
    </row>
    <row r="6547" spans="1:20" x14ac:dyDescent="0.25">
      <c r="A6547" t="s">
        <v>44</v>
      </c>
      <c r="B6547" t="s">
        <v>3</v>
      </c>
      <c r="C6547" t="s">
        <v>32</v>
      </c>
      <c r="D6547" t="s">
        <v>953</v>
      </c>
      <c r="E6547" t="s">
        <v>1077</v>
      </c>
      <c r="F6547" t="s">
        <v>35</v>
      </c>
      <c r="G6547" t="s">
        <v>35</v>
      </c>
      <c r="H6547" t="s">
        <v>35</v>
      </c>
      <c r="J6547" t="s">
        <v>7661</v>
      </c>
      <c r="K6547" t="s">
        <v>1092</v>
      </c>
      <c r="M6547">
        <v>0.1</v>
      </c>
      <c r="N6547">
        <v>50</v>
      </c>
      <c r="O6547" t="s">
        <v>52</v>
      </c>
      <c r="Q6547" t="s">
        <v>665</v>
      </c>
      <c r="R6547" t="s">
        <v>6721</v>
      </c>
      <c r="S6547" t="s">
        <v>1078</v>
      </c>
      <c r="T6547" t="s">
        <v>1079</v>
      </c>
    </row>
    <row r="6548" spans="1:20" x14ac:dyDescent="0.25">
      <c r="A6548" t="s">
        <v>59</v>
      </c>
      <c r="B6548" t="s">
        <v>60</v>
      </c>
      <c r="C6548" t="s">
        <v>32</v>
      </c>
      <c r="D6548" t="s">
        <v>953</v>
      </c>
      <c r="E6548" t="s">
        <v>954</v>
      </c>
      <c r="F6548" t="s">
        <v>35</v>
      </c>
      <c r="G6548" t="s">
        <v>35</v>
      </c>
      <c r="H6548" t="s">
        <v>35</v>
      </c>
      <c r="J6548" t="s">
        <v>6853</v>
      </c>
      <c r="K6548" t="s">
        <v>1092</v>
      </c>
      <c r="M6548">
        <v>0.01</v>
      </c>
      <c r="N6548">
        <v>36</v>
      </c>
      <c r="O6548" t="s">
        <v>52</v>
      </c>
      <c r="Q6548" t="s">
        <v>892</v>
      </c>
      <c r="R6548" t="s">
        <v>6721</v>
      </c>
      <c r="S6548" t="s">
        <v>1078</v>
      </c>
      <c r="T6548" t="s">
        <v>1079</v>
      </c>
    </row>
    <row r="6549" spans="1:20" x14ac:dyDescent="0.25">
      <c r="A6549" t="s">
        <v>59</v>
      </c>
      <c r="B6549" t="s">
        <v>31</v>
      </c>
      <c r="C6549" t="s">
        <v>32</v>
      </c>
      <c r="D6549" t="s">
        <v>953</v>
      </c>
      <c r="E6549" t="s">
        <v>954</v>
      </c>
      <c r="F6549" t="s">
        <v>35</v>
      </c>
      <c r="G6549" t="s">
        <v>35</v>
      </c>
      <c r="H6549" t="s">
        <v>35</v>
      </c>
      <c r="J6549" t="s">
        <v>6853</v>
      </c>
      <c r="K6549" t="s">
        <v>1092</v>
      </c>
      <c r="M6549">
        <v>0.495</v>
      </c>
      <c r="N6549">
        <v>50</v>
      </c>
      <c r="O6549" t="s">
        <v>52</v>
      </c>
      <c r="Q6549" t="s">
        <v>665</v>
      </c>
      <c r="R6549" t="s">
        <v>6721</v>
      </c>
      <c r="S6549" t="s">
        <v>1078</v>
      </c>
      <c r="T6549" t="s">
        <v>1079</v>
      </c>
    </row>
    <row r="6550" spans="1:20" x14ac:dyDescent="0.25">
      <c r="A6550" t="s">
        <v>30</v>
      </c>
      <c r="B6550" t="s">
        <v>31</v>
      </c>
      <c r="C6550" t="s">
        <v>32</v>
      </c>
      <c r="D6550" t="s">
        <v>953</v>
      </c>
      <c r="E6550" t="s">
        <v>954</v>
      </c>
      <c r="F6550" t="s">
        <v>35</v>
      </c>
      <c r="G6550" t="s">
        <v>35</v>
      </c>
      <c r="H6550" t="s">
        <v>35</v>
      </c>
      <c r="J6550" t="s">
        <v>6853</v>
      </c>
      <c r="K6550" t="s">
        <v>1092</v>
      </c>
      <c r="M6550">
        <v>0.13500000000000001</v>
      </c>
      <c r="N6550">
        <v>36</v>
      </c>
      <c r="O6550" t="s">
        <v>52</v>
      </c>
      <c r="Q6550" t="s">
        <v>892</v>
      </c>
      <c r="R6550" t="s">
        <v>6721</v>
      </c>
      <c r="S6550" t="s">
        <v>1078</v>
      </c>
      <c r="T6550" t="s">
        <v>1079</v>
      </c>
    </row>
    <row r="6551" spans="1:20" x14ac:dyDescent="0.25">
      <c r="A6551" t="s">
        <v>59</v>
      </c>
      <c r="B6551" t="s">
        <v>60</v>
      </c>
      <c r="C6551" t="s">
        <v>32</v>
      </c>
      <c r="D6551" t="s">
        <v>953</v>
      </c>
      <c r="E6551" t="s">
        <v>954</v>
      </c>
      <c r="F6551" t="s">
        <v>35</v>
      </c>
      <c r="G6551" t="s">
        <v>35</v>
      </c>
      <c r="H6551" t="s">
        <v>35</v>
      </c>
      <c r="J6551" t="s">
        <v>6853</v>
      </c>
      <c r="K6551" t="s">
        <v>1092</v>
      </c>
      <c r="M6551">
        <v>0.25</v>
      </c>
      <c r="N6551">
        <v>29</v>
      </c>
      <c r="O6551" t="s">
        <v>46</v>
      </c>
      <c r="Q6551" t="s">
        <v>2005</v>
      </c>
      <c r="R6551" t="s">
        <v>6721</v>
      </c>
      <c r="S6551" t="s">
        <v>1078</v>
      </c>
      <c r="T6551" t="s">
        <v>1079</v>
      </c>
    </row>
    <row r="6552" spans="1:20" x14ac:dyDescent="0.25">
      <c r="A6552" t="s">
        <v>44</v>
      </c>
      <c r="B6552" t="s">
        <v>3</v>
      </c>
      <c r="C6552" t="s">
        <v>32</v>
      </c>
      <c r="D6552" t="s">
        <v>953</v>
      </c>
      <c r="E6552" t="s">
        <v>1077</v>
      </c>
      <c r="F6552" t="s">
        <v>35</v>
      </c>
      <c r="G6552" t="s">
        <v>35</v>
      </c>
      <c r="H6552" t="s">
        <v>35</v>
      </c>
      <c r="J6552" t="s">
        <v>7635</v>
      </c>
      <c r="K6552" t="s">
        <v>1092</v>
      </c>
      <c r="M6552">
        <v>0.35</v>
      </c>
      <c r="N6552">
        <v>17</v>
      </c>
      <c r="O6552" t="s">
        <v>46</v>
      </c>
      <c r="Q6552" t="s">
        <v>255</v>
      </c>
      <c r="R6552" t="s">
        <v>6721</v>
      </c>
      <c r="S6552" t="s">
        <v>1078</v>
      </c>
      <c r="T6552" t="s">
        <v>1079</v>
      </c>
    </row>
    <row r="6553" spans="1:20" x14ac:dyDescent="0.25">
      <c r="A6553" t="s">
        <v>59</v>
      </c>
      <c r="B6553" t="s">
        <v>31</v>
      </c>
      <c r="C6553" t="s">
        <v>32</v>
      </c>
      <c r="D6553" t="s">
        <v>953</v>
      </c>
      <c r="E6553" t="s">
        <v>1077</v>
      </c>
      <c r="F6553" t="s">
        <v>35</v>
      </c>
      <c r="G6553" t="s">
        <v>35</v>
      </c>
      <c r="H6553" t="s">
        <v>35</v>
      </c>
      <c r="J6553" t="s">
        <v>7635</v>
      </c>
      <c r="K6553" t="s">
        <v>1092</v>
      </c>
      <c r="M6553">
        <v>0.45</v>
      </c>
      <c r="N6553">
        <v>82</v>
      </c>
      <c r="O6553" t="s">
        <v>61</v>
      </c>
      <c r="Q6553" t="s">
        <v>299</v>
      </c>
      <c r="R6553" t="s">
        <v>6721</v>
      </c>
      <c r="S6553" t="s">
        <v>1078</v>
      </c>
      <c r="T6553" t="s">
        <v>1079</v>
      </c>
    </row>
    <row r="6554" spans="1:20" x14ac:dyDescent="0.25">
      <c r="A6554" t="s">
        <v>44</v>
      </c>
      <c r="B6554" t="s">
        <v>51</v>
      </c>
      <c r="C6554" t="s">
        <v>32</v>
      </c>
      <c r="D6554" t="s">
        <v>953</v>
      </c>
      <c r="E6554" t="s">
        <v>1077</v>
      </c>
      <c r="F6554" t="s">
        <v>35</v>
      </c>
      <c r="G6554" t="s">
        <v>35</v>
      </c>
      <c r="H6554" t="s">
        <v>35</v>
      </c>
      <c r="J6554" t="s">
        <v>7635</v>
      </c>
      <c r="K6554" t="s">
        <v>1092</v>
      </c>
      <c r="M6554">
        <v>0.5</v>
      </c>
      <c r="N6554">
        <v>17</v>
      </c>
      <c r="O6554" t="s">
        <v>46</v>
      </c>
      <c r="Q6554" t="s">
        <v>255</v>
      </c>
      <c r="R6554" t="s">
        <v>6721</v>
      </c>
      <c r="S6554" t="s">
        <v>1078</v>
      </c>
      <c r="T6554" t="s">
        <v>1079</v>
      </c>
    </row>
    <row r="6555" spans="1:20" x14ac:dyDescent="0.25">
      <c r="A6555" t="s">
        <v>44</v>
      </c>
      <c r="B6555" t="s">
        <v>51</v>
      </c>
      <c r="C6555" t="s">
        <v>32</v>
      </c>
      <c r="D6555" t="s">
        <v>953</v>
      </c>
      <c r="E6555" t="s">
        <v>1077</v>
      </c>
      <c r="F6555" t="s">
        <v>35</v>
      </c>
      <c r="G6555" t="s">
        <v>35</v>
      </c>
      <c r="H6555" t="s">
        <v>35</v>
      </c>
      <c r="J6555" t="s">
        <v>7635</v>
      </c>
      <c r="K6555" t="s">
        <v>1092</v>
      </c>
      <c r="M6555">
        <v>0.25</v>
      </c>
      <c r="N6555">
        <v>29</v>
      </c>
      <c r="O6555" t="s">
        <v>46</v>
      </c>
      <c r="Q6555" t="s">
        <v>2005</v>
      </c>
      <c r="R6555" t="s">
        <v>6721</v>
      </c>
      <c r="S6555" t="s">
        <v>1078</v>
      </c>
      <c r="T6555" t="s">
        <v>1079</v>
      </c>
    </row>
    <row r="6556" spans="1:20" x14ac:dyDescent="0.25">
      <c r="A6556" t="s">
        <v>59</v>
      </c>
      <c r="B6556" t="s">
        <v>60</v>
      </c>
      <c r="C6556" t="s">
        <v>32</v>
      </c>
      <c r="D6556" t="s">
        <v>953</v>
      </c>
      <c r="E6556" t="s">
        <v>1077</v>
      </c>
      <c r="F6556" t="s">
        <v>35</v>
      </c>
      <c r="G6556" t="s">
        <v>35</v>
      </c>
      <c r="H6556" t="s">
        <v>35</v>
      </c>
      <c r="J6556" t="s">
        <v>7635</v>
      </c>
      <c r="K6556" t="s">
        <v>1092</v>
      </c>
      <c r="M6556">
        <v>0.7</v>
      </c>
      <c r="N6556">
        <v>15</v>
      </c>
      <c r="O6556" t="s">
        <v>46</v>
      </c>
      <c r="Q6556" t="s">
        <v>979</v>
      </c>
      <c r="R6556" t="s">
        <v>6721</v>
      </c>
      <c r="S6556" t="s">
        <v>1078</v>
      </c>
      <c r="T6556" t="s">
        <v>1079</v>
      </c>
    </row>
    <row r="6557" spans="1:20" x14ac:dyDescent="0.25">
      <c r="A6557" t="s">
        <v>44</v>
      </c>
      <c r="B6557" t="s">
        <v>51</v>
      </c>
      <c r="C6557" t="s">
        <v>32</v>
      </c>
      <c r="D6557" t="s">
        <v>953</v>
      </c>
      <c r="E6557" t="s">
        <v>1077</v>
      </c>
      <c r="F6557" t="s">
        <v>35</v>
      </c>
      <c r="G6557" t="s">
        <v>35</v>
      </c>
      <c r="H6557" t="s">
        <v>35</v>
      </c>
      <c r="J6557" t="s">
        <v>7635</v>
      </c>
      <c r="K6557" t="s">
        <v>1092</v>
      </c>
      <c r="M6557">
        <v>0.25</v>
      </c>
      <c r="N6557">
        <v>38</v>
      </c>
      <c r="O6557" t="s">
        <v>52</v>
      </c>
      <c r="Q6557" t="s">
        <v>716</v>
      </c>
      <c r="R6557" t="s">
        <v>6721</v>
      </c>
      <c r="S6557" t="s">
        <v>1078</v>
      </c>
      <c r="T6557" t="s">
        <v>1079</v>
      </c>
    </row>
    <row r="6558" spans="1:20" x14ac:dyDescent="0.25">
      <c r="A6558" t="s">
        <v>59</v>
      </c>
      <c r="B6558" t="s">
        <v>31</v>
      </c>
      <c r="C6558" t="s">
        <v>32</v>
      </c>
      <c r="D6558" t="s">
        <v>953</v>
      </c>
      <c r="E6558" t="s">
        <v>1077</v>
      </c>
      <c r="F6558" t="s">
        <v>35</v>
      </c>
      <c r="G6558" t="s">
        <v>35</v>
      </c>
      <c r="H6558" t="s">
        <v>35</v>
      </c>
      <c r="J6558" t="s">
        <v>7635</v>
      </c>
      <c r="K6558" t="s">
        <v>1092</v>
      </c>
      <c r="M6558">
        <v>0.09</v>
      </c>
      <c r="N6558">
        <v>171</v>
      </c>
      <c r="O6558" t="s">
        <v>38</v>
      </c>
      <c r="Q6558" t="s">
        <v>2827</v>
      </c>
      <c r="R6558" t="s">
        <v>6721</v>
      </c>
      <c r="S6558" t="s">
        <v>1078</v>
      </c>
      <c r="T6558" t="s">
        <v>1079</v>
      </c>
    </row>
    <row r="6559" spans="1:20" x14ac:dyDescent="0.25">
      <c r="A6559" t="s">
        <v>59</v>
      </c>
      <c r="B6559" t="s">
        <v>31</v>
      </c>
      <c r="C6559" t="s">
        <v>32</v>
      </c>
      <c r="D6559" t="s">
        <v>953</v>
      </c>
      <c r="E6559" t="s">
        <v>1077</v>
      </c>
      <c r="F6559" t="s">
        <v>35</v>
      </c>
      <c r="G6559" t="s">
        <v>35</v>
      </c>
      <c r="H6559" t="s">
        <v>35</v>
      </c>
      <c r="J6559" t="s">
        <v>7635</v>
      </c>
      <c r="K6559" t="s">
        <v>1092</v>
      </c>
      <c r="M6559">
        <v>0.45</v>
      </c>
      <c r="N6559">
        <v>128</v>
      </c>
      <c r="O6559" t="s">
        <v>38</v>
      </c>
      <c r="Q6559" t="s">
        <v>98</v>
      </c>
      <c r="R6559" t="s">
        <v>6721</v>
      </c>
      <c r="S6559" t="s">
        <v>1078</v>
      </c>
      <c r="T6559" t="s">
        <v>1079</v>
      </c>
    </row>
    <row r="6560" spans="1:20" x14ac:dyDescent="0.25">
      <c r="A6560" t="s">
        <v>59</v>
      </c>
      <c r="B6560" t="s">
        <v>60</v>
      </c>
      <c r="C6560" t="s">
        <v>32</v>
      </c>
      <c r="D6560" t="s">
        <v>953</v>
      </c>
      <c r="F6560" t="s">
        <v>35</v>
      </c>
      <c r="G6560" t="s">
        <v>35</v>
      </c>
      <c r="H6560" t="s">
        <v>35</v>
      </c>
      <c r="J6560" t="s">
        <v>7910</v>
      </c>
      <c r="K6560" t="s">
        <v>1092</v>
      </c>
      <c r="M6560">
        <v>0.35</v>
      </c>
      <c r="N6560">
        <v>54</v>
      </c>
      <c r="O6560" t="s">
        <v>52</v>
      </c>
      <c r="Q6560" t="s">
        <v>671</v>
      </c>
      <c r="R6560" t="s">
        <v>6721</v>
      </c>
      <c r="S6560" t="s">
        <v>1078</v>
      </c>
      <c r="T6560" t="s">
        <v>1079</v>
      </c>
    </row>
    <row r="6561" spans="1:20" x14ac:dyDescent="0.25">
      <c r="A6561" t="s">
        <v>59</v>
      </c>
      <c r="B6561" t="s">
        <v>31</v>
      </c>
      <c r="C6561" t="s">
        <v>32</v>
      </c>
      <c r="D6561" t="s">
        <v>953</v>
      </c>
      <c r="E6561" t="s">
        <v>7558</v>
      </c>
      <c r="F6561" t="s">
        <v>35</v>
      </c>
      <c r="G6561" t="s">
        <v>35</v>
      </c>
      <c r="H6561" t="s">
        <v>35</v>
      </c>
      <c r="J6561" t="s">
        <v>7576</v>
      </c>
      <c r="K6561" t="s">
        <v>1092</v>
      </c>
      <c r="M6561">
        <v>0.09</v>
      </c>
      <c r="N6561">
        <v>17</v>
      </c>
      <c r="O6561" t="s">
        <v>46</v>
      </c>
      <c r="Q6561" t="s">
        <v>255</v>
      </c>
      <c r="R6561" t="s">
        <v>6721</v>
      </c>
      <c r="S6561" t="s">
        <v>1078</v>
      </c>
      <c r="T6561" t="s">
        <v>1079</v>
      </c>
    </row>
    <row r="6562" spans="1:20" x14ac:dyDescent="0.25">
      <c r="A6562" t="s">
        <v>44</v>
      </c>
      <c r="B6562" t="s">
        <v>3</v>
      </c>
      <c r="C6562" t="s">
        <v>32</v>
      </c>
      <c r="D6562" t="s">
        <v>953</v>
      </c>
      <c r="E6562" t="s">
        <v>7558</v>
      </c>
      <c r="F6562" t="s">
        <v>35</v>
      </c>
      <c r="G6562" t="s">
        <v>35</v>
      </c>
      <c r="H6562" t="s">
        <v>35</v>
      </c>
      <c r="J6562" t="s">
        <v>7576</v>
      </c>
      <c r="K6562" t="s">
        <v>1092</v>
      </c>
      <c r="M6562">
        <v>0.05</v>
      </c>
      <c r="N6562">
        <v>36</v>
      </c>
      <c r="O6562" t="s">
        <v>52</v>
      </c>
      <c r="Q6562" t="s">
        <v>892</v>
      </c>
      <c r="R6562" t="s">
        <v>6721</v>
      </c>
      <c r="S6562" t="s">
        <v>1078</v>
      </c>
      <c r="T6562" t="s">
        <v>1079</v>
      </c>
    </row>
    <row r="6563" spans="1:20" x14ac:dyDescent="0.25">
      <c r="A6563" t="s">
        <v>30</v>
      </c>
      <c r="B6563" t="s">
        <v>31</v>
      </c>
      <c r="C6563" t="s">
        <v>32</v>
      </c>
      <c r="D6563" t="s">
        <v>953</v>
      </c>
      <c r="E6563" t="s">
        <v>7558</v>
      </c>
      <c r="F6563" t="s">
        <v>35</v>
      </c>
      <c r="G6563" t="s">
        <v>35</v>
      </c>
      <c r="H6563" t="s">
        <v>35</v>
      </c>
      <c r="J6563" t="s">
        <v>7576</v>
      </c>
      <c r="K6563" t="s">
        <v>1092</v>
      </c>
      <c r="M6563">
        <v>5.0000000000000001E-3</v>
      </c>
      <c r="N6563">
        <v>36</v>
      </c>
      <c r="O6563" t="s">
        <v>52</v>
      </c>
      <c r="Q6563" t="s">
        <v>892</v>
      </c>
      <c r="R6563" t="s">
        <v>6721</v>
      </c>
      <c r="S6563" t="s">
        <v>1078</v>
      </c>
      <c r="T6563" t="s">
        <v>1079</v>
      </c>
    </row>
    <row r="6564" spans="1:20" x14ac:dyDescent="0.25">
      <c r="A6564" t="s">
        <v>59</v>
      </c>
      <c r="B6564" t="s">
        <v>60</v>
      </c>
      <c r="C6564" t="s">
        <v>32</v>
      </c>
      <c r="D6564" t="s">
        <v>953</v>
      </c>
      <c r="E6564" t="s">
        <v>7558</v>
      </c>
      <c r="F6564" t="s">
        <v>35</v>
      </c>
      <c r="G6564" t="s">
        <v>35</v>
      </c>
      <c r="H6564" t="s">
        <v>35</v>
      </c>
      <c r="J6564" t="s">
        <v>7576</v>
      </c>
      <c r="K6564" t="s">
        <v>1092</v>
      </c>
      <c r="M6564">
        <v>0.25</v>
      </c>
      <c r="N6564">
        <v>17</v>
      </c>
      <c r="O6564" t="s">
        <v>46</v>
      </c>
      <c r="Q6564" t="s">
        <v>255</v>
      </c>
      <c r="R6564" t="s">
        <v>6721</v>
      </c>
      <c r="S6564" t="s">
        <v>1078</v>
      </c>
      <c r="T6564" t="s">
        <v>1079</v>
      </c>
    </row>
    <row r="6565" spans="1:20" x14ac:dyDescent="0.25">
      <c r="A6565" t="s">
        <v>44</v>
      </c>
      <c r="B6565" t="s">
        <v>51</v>
      </c>
      <c r="C6565" t="s">
        <v>32</v>
      </c>
      <c r="D6565" t="s">
        <v>953</v>
      </c>
      <c r="E6565" t="s">
        <v>7558</v>
      </c>
      <c r="F6565" t="s">
        <v>35</v>
      </c>
      <c r="G6565" t="s">
        <v>35</v>
      </c>
      <c r="H6565" t="s">
        <v>35</v>
      </c>
      <c r="J6565" t="s">
        <v>7576</v>
      </c>
      <c r="K6565" t="s">
        <v>1092</v>
      </c>
      <c r="M6565">
        <v>0.25</v>
      </c>
      <c r="N6565">
        <v>17</v>
      </c>
      <c r="O6565" t="s">
        <v>46</v>
      </c>
      <c r="Q6565" t="s">
        <v>255</v>
      </c>
      <c r="R6565" t="s">
        <v>6721</v>
      </c>
      <c r="S6565" t="s">
        <v>1078</v>
      </c>
      <c r="T6565" t="s">
        <v>1079</v>
      </c>
    </row>
    <row r="6566" spans="1:20" x14ac:dyDescent="0.25">
      <c r="A6566" t="s">
        <v>44</v>
      </c>
      <c r="B6566" t="s">
        <v>51</v>
      </c>
      <c r="C6566" t="s">
        <v>32</v>
      </c>
      <c r="D6566" t="s">
        <v>953</v>
      </c>
      <c r="E6566" t="s">
        <v>7558</v>
      </c>
      <c r="F6566" t="s">
        <v>35</v>
      </c>
      <c r="G6566" t="s">
        <v>35</v>
      </c>
      <c r="H6566" t="s">
        <v>35</v>
      </c>
      <c r="J6566" t="s">
        <v>7576</v>
      </c>
      <c r="K6566" t="s">
        <v>1092</v>
      </c>
      <c r="M6566">
        <v>0.25</v>
      </c>
      <c r="N6566">
        <v>16</v>
      </c>
      <c r="O6566" t="s">
        <v>46</v>
      </c>
      <c r="Q6566" t="s">
        <v>1819</v>
      </c>
      <c r="R6566" t="s">
        <v>6721</v>
      </c>
      <c r="S6566" t="s">
        <v>1078</v>
      </c>
      <c r="T6566" t="s">
        <v>1079</v>
      </c>
    </row>
    <row r="6567" spans="1:20" x14ac:dyDescent="0.25">
      <c r="A6567" t="s">
        <v>44</v>
      </c>
      <c r="B6567" t="s">
        <v>3</v>
      </c>
      <c r="C6567" t="s">
        <v>32</v>
      </c>
      <c r="D6567" t="s">
        <v>953</v>
      </c>
      <c r="E6567" t="s">
        <v>7558</v>
      </c>
      <c r="F6567" t="s">
        <v>35</v>
      </c>
      <c r="G6567" t="s">
        <v>35</v>
      </c>
      <c r="H6567" t="s">
        <v>35</v>
      </c>
      <c r="J6567" t="s">
        <v>7576</v>
      </c>
      <c r="K6567" t="s">
        <v>1092</v>
      </c>
      <c r="M6567">
        <v>0.1</v>
      </c>
      <c r="N6567">
        <v>16</v>
      </c>
      <c r="O6567" t="s">
        <v>46</v>
      </c>
      <c r="Q6567" t="s">
        <v>1819</v>
      </c>
      <c r="R6567" t="s">
        <v>6721</v>
      </c>
      <c r="S6567" t="s">
        <v>1078</v>
      </c>
      <c r="T6567" t="s">
        <v>1079</v>
      </c>
    </row>
    <row r="6568" spans="1:20" x14ac:dyDescent="0.25">
      <c r="A6568" t="s">
        <v>59</v>
      </c>
      <c r="B6568" t="s">
        <v>31</v>
      </c>
      <c r="C6568" t="s">
        <v>32</v>
      </c>
      <c r="D6568" t="s">
        <v>953</v>
      </c>
      <c r="E6568" t="s">
        <v>7558</v>
      </c>
      <c r="F6568" t="s">
        <v>35</v>
      </c>
      <c r="G6568" t="s">
        <v>35</v>
      </c>
      <c r="H6568" t="s">
        <v>35</v>
      </c>
      <c r="J6568" t="s">
        <v>1885</v>
      </c>
      <c r="K6568" t="s">
        <v>1092</v>
      </c>
      <c r="M6568">
        <v>0.27</v>
      </c>
      <c r="N6568">
        <v>392</v>
      </c>
      <c r="O6568" t="s">
        <v>294</v>
      </c>
      <c r="Q6568" t="s">
        <v>1707</v>
      </c>
      <c r="R6568" t="s">
        <v>6721</v>
      </c>
      <c r="S6568" t="s">
        <v>1078</v>
      </c>
      <c r="T6568" t="s">
        <v>1079</v>
      </c>
    </row>
    <row r="6569" spans="1:20" x14ac:dyDescent="0.25">
      <c r="A6569" t="s">
        <v>59</v>
      </c>
      <c r="B6569" t="s">
        <v>60</v>
      </c>
      <c r="C6569" t="s">
        <v>32</v>
      </c>
      <c r="D6569" t="s">
        <v>953</v>
      </c>
      <c r="E6569" t="s">
        <v>7558</v>
      </c>
      <c r="F6569" t="s">
        <v>35</v>
      </c>
      <c r="G6569" t="s">
        <v>35</v>
      </c>
      <c r="H6569" t="s">
        <v>35</v>
      </c>
      <c r="J6569" t="s">
        <v>1885</v>
      </c>
      <c r="K6569" t="s">
        <v>1092</v>
      </c>
      <c r="M6569">
        <v>0.1</v>
      </c>
      <c r="N6569">
        <v>15</v>
      </c>
      <c r="O6569" t="s">
        <v>46</v>
      </c>
      <c r="Q6569" t="s">
        <v>979</v>
      </c>
      <c r="R6569" t="s">
        <v>6721</v>
      </c>
      <c r="S6569" t="s">
        <v>1078</v>
      </c>
      <c r="T6569" t="s">
        <v>1079</v>
      </c>
    </row>
    <row r="6570" spans="1:20" x14ac:dyDescent="0.25">
      <c r="A6570" t="s">
        <v>59</v>
      </c>
      <c r="B6570" t="s">
        <v>60</v>
      </c>
      <c r="C6570" t="s">
        <v>32</v>
      </c>
      <c r="D6570" t="s">
        <v>953</v>
      </c>
      <c r="E6570" t="s">
        <v>980</v>
      </c>
      <c r="F6570" t="s">
        <v>35</v>
      </c>
      <c r="G6570" t="s">
        <v>35</v>
      </c>
      <c r="H6570" t="s">
        <v>35</v>
      </c>
      <c r="J6570" t="s">
        <v>1288</v>
      </c>
      <c r="K6570" t="s">
        <v>1092</v>
      </c>
      <c r="M6570">
        <v>0.9</v>
      </c>
      <c r="N6570">
        <v>68</v>
      </c>
      <c r="O6570" t="s">
        <v>61</v>
      </c>
      <c r="Q6570" t="s">
        <v>805</v>
      </c>
      <c r="R6570" t="s">
        <v>6721</v>
      </c>
      <c r="S6570" t="s">
        <v>1078</v>
      </c>
      <c r="T6570" t="s">
        <v>1079</v>
      </c>
    </row>
    <row r="6571" spans="1:20" x14ac:dyDescent="0.25">
      <c r="A6571" t="s">
        <v>59</v>
      </c>
      <c r="B6571" t="s">
        <v>60</v>
      </c>
      <c r="C6571" t="s">
        <v>32</v>
      </c>
      <c r="D6571" t="s">
        <v>953</v>
      </c>
      <c r="E6571" t="s">
        <v>1077</v>
      </c>
      <c r="F6571" t="s">
        <v>35</v>
      </c>
      <c r="G6571" t="s">
        <v>35</v>
      </c>
      <c r="H6571" t="s">
        <v>35</v>
      </c>
      <c r="J6571" t="s">
        <v>823</v>
      </c>
      <c r="K6571" t="s">
        <v>1092</v>
      </c>
      <c r="M6571">
        <v>1.7999999999999999E-2</v>
      </c>
      <c r="N6571">
        <v>392</v>
      </c>
      <c r="O6571" t="s">
        <v>294</v>
      </c>
      <c r="Q6571" t="s">
        <v>1707</v>
      </c>
      <c r="R6571" t="s">
        <v>6721</v>
      </c>
      <c r="S6571" t="s">
        <v>1078</v>
      </c>
      <c r="T6571" t="s">
        <v>1079</v>
      </c>
    </row>
    <row r="6572" spans="1:20" x14ac:dyDescent="0.25">
      <c r="A6572" t="s">
        <v>44</v>
      </c>
      <c r="B6572" t="s">
        <v>51</v>
      </c>
      <c r="C6572" t="s">
        <v>32</v>
      </c>
      <c r="D6572" t="s">
        <v>953</v>
      </c>
      <c r="E6572" t="s">
        <v>1077</v>
      </c>
      <c r="F6572" t="s">
        <v>35</v>
      </c>
      <c r="G6572" t="s">
        <v>35</v>
      </c>
      <c r="H6572" t="s">
        <v>35</v>
      </c>
      <c r="J6572" t="s">
        <v>823</v>
      </c>
      <c r="K6572" t="s">
        <v>1092</v>
      </c>
      <c r="M6572">
        <v>0.05</v>
      </c>
      <c r="N6572">
        <v>484</v>
      </c>
      <c r="O6572" t="s">
        <v>294</v>
      </c>
      <c r="Q6572" t="s">
        <v>7672</v>
      </c>
      <c r="R6572" t="s">
        <v>6721</v>
      </c>
      <c r="S6572" t="s">
        <v>1078</v>
      </c>
      <c r="T6572" t="s">
        <v>1079</v>
      </c>
    </row>
    <row r="6573" spans="1:20" x14ac:dyDescent="0.25">
      <c r="A6573" t="s">
        <v>59</v>
      </c>
      <c r="B6573" t="s">
        <v>31</v>
      </c>
      <c r="C6573" t="s">
        <v>32</v>
      </c>
      <c r="D6573" t="s">
        <v>953</v>
      </c>
      <c r="E6573" t="s">
        <v>1077</v>
      </c>
      <c r="F6573" t="s">
        <v>35</v>
      </c>
      <c r="G6573" t="s">
        <v>35</v>
      </c>
      <c r="H6573" t="s">
        <v>35</v>
      </c>
      <c r="J6573" t="s">
        <v>823</v>
      </c>
      <c r="K6573" t="s">
        <v>1092</v>
      </c>
      <c r="M6573">
        <v>5.0000000000000001E-3</v>
      </c>
      <c r="N6573">
        <v>529</v>
      </c>
      <c r="O6573" t="s">
        <v>294</v>
      </c>
      <c r="Q6573" t="s">
        <v>7607</v>
      </c>
      <c r="R6573" t="s">
        <v>6721</v>
      </c>
      <c r="S6573" t="s">
        <v>1078</v>
      </c>
      <c r="T6573" t="s">
        <v>1079</v>
      </c>
    </row>
    <row r="6574" spans="1:20" x14ac:dyDescent="0.25">
      <c r="A6574" t="s">
        <v>30</v>
      </c>
      <c r="B6574" t="s">
        <v>31</v>
      </c>
      <c r="C6574" t="s">
        <v>32</v>
      </c>
      <c r="D6574" t="s">
        <v>953</v>
      </c>
      <c r="E6574" t="s">
        <v>1077</v>
      </c>
      <c r="F6574" t="s">
        <v>35</v>
      </c>
      <c r="G6574" t="s">
        <v>35</v>
      </c>
      <c r="H6574" t="s">
        <v>35</v>
      </c>
      <c r="J6574" t="s">
        <v>823</v>
      </c>
      <c r="K6574" t="s">
        <v>1092</v>
      </c>
      <c r="M6574">
        <v>0.04</v>
      </c>
      <c r="N6574">
        <v>939</v>
      </c>
      <c r="O6574" t="s">
        <v>575</v>
      </c>
      <c r="Q6574" t="s">
        <v>7660</v>
      </c>
      <c r="R6574" t="s">
        <v>6721</v>
      </c>
      <c r="S6574" t="s">
        <v>1078</v>
      </c>
      <c r="T6574" t="s">
        <v>1079</v>
      </c>
    </row>
    <row r="6575" spans="1:20" x14ac:dyDescent="0.25">
      <c r="A6575" t="s">
        <v>59</v>
      </c>
      <c r="B6575" t="s">
        <v>60</v>
      </c>
      <c r="C6575" t="s">
        <v>32</v>
      </c>
      <c r="D6575" t="s">
        <v>953</v>
      </c>
      <c r="E6575" t="s">
        <v>954</v>
      </c>
      <c r="F6575" t="s">
        <v>35</v>
      </c>
      <c r="G6575" t="s">
        <v>35</v>
      </c>
      <c r="H6575" t="s">
        <v>35</v>
      </c>
      <c r="J6575" t="s">
        <v>6866</v>
      </c>
      <c r="K6575" t="s">
        <v>1092</v>
      </c>
      <c r="M6575">
        <v>0.25</v>
      </c>
      <c r="N6575">
        <v>29</v>
      </c>
      <c r="O6575" t="s">
        <v>46</v>
      </c>
      <c r="Q6575" t="s">
        <v>2005</v>
      </c>
      <c r="R6575" t="s">
        <v>6721</v>
      </c>
      <c r="S6575" t="s">
        <v>1078</v>
      </c>
      <c r="T6575" t="s">
        <v>1079</v>
      </c>
    </row>
    <row r="6576" spans="1:20" x14ac:dyDescent="0.25">
      <c r="A6576" t="s">
        <v>59</v>
      </c>
      <c r="B6576" t="s">
        <v>60</v>
      </c>
      <c r="C6576" t="s">
        <v>32</v>
      </c>
      <c r="D6576" t="s">
        <v>953</v>
      </c>
      <c r="E6576" t="s">
        <v>954</v>
      </c>
      <c r="F6576" t="s">
        <v>35</v>
      </c>
      <c r="G6576" t="s">
        <v>35</v>
      </c>
      <c r="H6576" t="s">
        <v>35</v>
      </c>
      <c r="J6576" t="s">
        <v>6866</v>
      </c>
      <c r="K6576" t="s">
        <v>1092</v>
      </c>
      <c r="M6576">
        <v>0.5</v>
      </c>
      <c r="N6576">
        <v>50</v>
      </c>
      <c r="O6576" t="s">
        <v>52</v>
      </c>
      <c r="Q6576" t="s">
        <v>665</v>
      </c>
      <c r="R6576" t="s">
        <v>6721</v>
      </c>
      <c r="S6576" t="s">
        <v>1078</v>
      </c>
      <c r="T6576" t="s">
        <v>1079</v>
      </c>
    </row>
    <row r="6577" spans="1:20" x14ac:dyDescent="0.25">
      <c r="A6577" t="s">
        <v>59</v>
      </c>
      <c r="B6577" t="s">
        <v>60</v>
      </c>
      <c r="C6577" t="s">
        <v>32</v>
      </c>
      <c r="D6577" t="s">
        <v>953</v>
      </c>
      <c r="E6577" t="s">
        <v>954</v>
      </c>
      <c r="F6577" t="s">
        <v>35</v>
      </c>
      <c r="G6577" t="s">
        <v>35</v>
      </c>
      <c r="H6577" t="s">
        <v>35</v>
      </c>
      <c r="J6577" t="s">
        <v>6866</v>
      </c>
      <c r="K6577" t="s">
        <v>1092</v>
      </c>
      <c r="M6577">
        <v>0.25</v>
      </c>
      <c r="N6577">
        <v>36</v>
      </c>
      <c r="O6577" t="s">
        <v>52</v>
      </c>
      <c r="Q6577" t="s">
        <v>892</v>
      </c>
      <c r="R6577" t="s">
        <v>6721</v>
      </c>
      <c r="S6577" t="s">
        <v>1078</v>
      </c>
      <c r="T6577" t="s">
        <v>1079</v>
      </c>
    </row>
    <row r="6578" spans="1:20" x14ac:dyDescent="0.25">
      <c r="A6578" t="s">
        <v>44</v>
      </c>
      <c r="B6578" t="s">
        <v>51</v>
      </c>
      <c r="C6578" t="s">
        <v>32</v>
      </c>
      <c r="D6578" t="s">
        <v>953</v>
      </c>
      <c r="E6578" t="s">
        <v>954</v>
      </c>
      <c r="F6578" t="s">
        <v>35</v>
      </c>
      <c r="G6578" t="s">
        <v>35</v>
      </c>
      <c r="H6578" t="s">
        <v>35</v>
      </c>
      <c r="J6578" t="s">
        <v>6866</v>
      </c>
      <c r="K6578" t="s">
        <v>1092</v>
      </c>
      <c r="M6578">
        <v>0.15</v>
      </c>
      <c r="N6578">
        <v>36</v>
      </c>
      <c r="O6578" t="s">
        <v>52</v>
      </c>
      <c r="Q6578" t="s">
        <v>892</v>
      </c>
      <c r="R6578" t="s">
        <v>6721</v>
      </c>
      <c r="S6578" t="s">
        <v>1078</v>
      </c>
      <c r="T6578" t="s">
        <v>1079</v>
      </c>
    </row>
    <row r="6579" spans="1:20" x14ac:dyDescent="0.25">
      <c r="A6579" t="s">
        <v>44</v>
      </c>
      <c r="B6579" t="s">
        <v>3</v>
      </c>
      <c r="C6579" t="s">
        <v>32</v>
      </c>
      <c r="D6579" t="s">
        <v>953</v>
      </c>
      <c r="E6579" t="s">
        <v>954</v>
      </c>
      <c r="F6579" t="s">
        <v>35</v>
      </c>
      <c r="G6579" t="s">
        <v>35</v>
      </c>
      <c r="H6579" t="s">
        <v>35</v>
      </c>
      <c r="J6579" t="s">
        <v>6866</v>
      </c>
      <c r="K6579" t="s">
        <v>1092</v>
      </c>
      <c r="M6579">
        <v>7.0000000000000007E-2</v>
      </c>
      <c r="N6579">
        <v>36</v>
      </c>
      <c r="O6579" t="s">
        <v>52</v>
      </c>
      <c r="Q6579" t="s">
        <v>892</v>
      </c>
      <c r="R6579" t="s">
        <v>6721</v>
      </c>
      <c r="S6579" t="s">
        <v>1078</v>
      </c>
      <c r="T6579" t="s">
        <v>1079</v>
      </c>
    </row>
    <row r="6580" spans="1:20" x14ac:dyDescent="0.25">
      <c r="A6580" t="s">
        <v>59</v>
      </c>
      <c r="B6580" t="s">
        <v>60</v>
      </c>
      <c r="C6580" t="s">
        <v>32</v>
      </c>
      <c r="D6580" t="s">
        <v>953</v>
      </c>
      <c r="E6580" t="s">
        <v>954</v>
      </c>
      <c r="F6580" t="s">
        <v>35</v>
      </c>
      <c r="G6580" t="s">
        <v>35</v>
      </c>
      <c r="H6580" t="s">
        <v>35</v>
      </c>
      <c r="J6580" t="s">
        <v>6866</v>
      </c>
      <c r="K6580" t="s">
        <v>1092</v>
      </c>
      <c r="M6580">
        <v>7.4999999999999997E-2</v>
      </c>
      <c r="N6580">
        <v>85</v>
      </c>
      <c r="O6580" t="s">
        <v>61</v>
      </c>
      <c r="Q6580" t="s">
        <v>1100</v>
      </c>
      <c r="R6580" t="s">
        <v>6721</v>
      </c>
      <c r="S6580" t="s">
        <v>1078</v>
      </c>
      <c r="T6580" t="s">
        <v>1079</v>
      </c>
    </row>
    <row r="6581" spans="1:20" x14ac:dyDescent="0.25">
      <c r="A6581" t="s">
        <v>59</v>
      </c>
      <c r="B6581" t="s">
        <v>60</v>
      </c>
      <c r="C6581" t="s">
        <v>32</v>
      </c>
      <c r="D6581" t="s">
        <v>953</v>
      </c>
      <c r="E6581" t="s">
        <v>954</v>
      </c>
      <c r="F6581" t="s">
        <v>35</v>
      </c>
      <c r="G6581" t="s">
        <v>35</v>
      </c>
      <c r="H6581" t="s">
        <v>35</v>
      </c>
      <c r="J6581" t="s">
        <v>6866</v>
      </c>
      <c r="K6581" t="s">
        <v>1092</v>
      </c>
      <c r="M6581">
        <v>0.25</v>
      </c>
      <c r="N6581">
        <v>68</v>
      </c>
      <c r="O6581" t="s">
        <v>61</v>
      </c>
      <c r="Q6581" t="s">
        <v>805</v>
      </c>
      <c r="R6581" t="s">
        <v>6721</v>
      </c>
      <c r="S6581" t="s">
        <v>1078</v>
      </c>
      <c r="T6581" t="s">
        <v>1079</v>
      </c>
    </row>
    <row r="6582" spans="1:20" x14ac:dyDescent="0.25">
      <c r="A6582" t="s">
        <v>44</v>
      </c>
      <c r="B6582" t="s">
        <v>3</v>
      </c>
      <c r="C6582" t="s">
        <v>32</v>
      </c>
      <c r="D6582" t="s">
        <v>953</v>
      </c>
      <c r="E6582" t="s">
        <v>1077</v>
      </c>
      <c r="F6582" t="s">
        <v>35</v>
      </c>
      <c r="G6582" t="s">
        <v>35</v>
      </c>
      <c r="H6582" t="s">
        <v>35</v>
      </c>
      <c r="J6582" t="s">
        <v>7674</v>
      </c>
      <c r="K6582" t="s">
        <v>1092</v>
      </c>
      <c r="M6582">
        <v>2.75</v>
      </c>
      <c r="N6582">
        <v>29</v>
      </c>
      <c r="O6582" t="s">
        <v>46</v>
      </c>
      <c r="Q6582" t="s">
        <v>2005</v>
      </c>
      <c r="R6582" t="s">
        <v>6721</v>
      </c>
      <c r="S6582" t="s">
        <v>1078</v>
      </c>
      <c r="T6582" t="s">
        <v>1079</v>
      </c>
    </row>
    <row r="6583" spans="1:20" x14ac:dyDescent="0.25">
      <c r="A6583" t="s">
        <v>59</v>
      </c>
      <c r="B6583" t="s">
        <v>60</v>
      </c>
      <c r="C6583" t="s">
        <v>32</v>
      </c>
      <c r="D6583" t="s">
        <v>953</v>
      </c>
      <c r="E6583" t="s">
        <v>1077</v>
      </c>
      <c r="F6583" t="s">
        <v>35</v>
      </c>
      <c r="G6583" t="s">
        <v>35</v>
      </c>
      <c r="H6583" t="s">
        <v>35</v>
      </c>
      <c r="J6583" t="s">
        <v>7674</v>
      </c>
      <c r="K6583" t="s">
        <v>1092</v>
      </c>
      <c r="M6583">
        <v>1.5</v>
      </c>
      <c r="N6583">
        <v>50</v>
      </c>
      <c r="O6583" t="s">
        <v>52</v>
      </c>
      <c r="Q6583" t="s">
        <v>665</v>
      </c>
      <c r="R6583" t="s">
        <v>6721</v>
      </c>
      <c r="S6583" t="s">
        <v>1078</v>
      </c>
      <c r="T6583" t="s">
        <v>1079</v>
      </c>
    </row>
    <row r="6584" spans="1:20" x14ac:dyDescent="0.25">
      <c r="A6584" t="s">
        <v>30</v>
      </c>
      <c r="B6584" t="s">
        <v>31</v>
      </c>
      <c r="C6584" t="s">
        <v>32</v>
      </c>
      <c r="D6584" t="s">
        <v>953</v>
      </c>
      <c r="E6584" t="s">
        <v>1077</v>
      </c>
      <c r="F6584" t="s">
        <v>35</v>
      </c>
      <c r="G6584" t="s">
        <v>35</v>
      </c>
      <c r="H6584" t="s">
        <v>35</v>
      </c>
      <c r="J6584" t="s">
        <v>7674</v>
      </c>
      <c r="K6584" t="s">
        <v>1092</v>
      </c>
      <c r="M6584">
        <v>4.32</v>
      </c>
      <c r="N6584">
        <v>36</v>
      </c>
      <c r="O6584" t="s">
        <v>52</v>
      </c>
      <c r="Q6584" t="s">
        <v>892</v>
      </c>
      <c r="R6584" t="s">
        <v>6721</v>
      </c>
      <c r="S6584" t="s">
        <v>1078</v>
      </c>
      <c r="T6584" t="s">
        <v>1079</v>
      </c>
    </row>
    <row r="6585" spans="1:20" x14ac:dyDescent="0.25">
      <c r="A6585" t="s">
        <v>59</v>
      </c>
      <c r="B6585" t="s">
        <v>60</v>
      </c>
      <c r="C6585" t="s">
        <v>32</v>
      </c>
      <c r="D6585" t="s">
        <v>953</v>
      </c>
      <c r="E6585" t="s">
        <v>1077</v>
      </c>
      <c r="F6585" t="s">
        <v>35</v>
      </c>
      <c r="G6585" t="s">
        <v>35</v>
      </c>
      <c r="H6585" t="s">
        <v>35</v>
      </c>
      <c r="J6585" t="s">
        <v>7674</v>
      </c>
      <c r="K6585" t="s">
        <v>1092</v>
      </c>
      <c r="M6585">
        <v>0.1</v>
      </c>
      <c r="N6585">
        <v>75</v>
      </c>
      <c r="O6585" t="s">
        <v>61</v>
      </c>
      <c r="Q6585" t="s">
        <v>447</v>
      </c>
      <c r="R6585" t="s">
        <v>6721</v>
      </c>
      <c r="S6585" t="s">
        <v>1078</v>
      </c>
      <c r="T6585" t="s">
        <v>1079</v>
      </c>
    </row>
    <row r="6586" spans="1:20" x14ac:dyDescent="0.25">
      <c r="A6586" t="s">
        <v>44</v>
      </c>
      <c r="B6586" t="s">
        <v>3</v>
      </c>
      <c r="C6586" t="s">
        <v>32</v>
      </c>
      <c r="D6586" t="s">
        <v>953</v>
      </c>
      <c r="E6586" t="s">
        <v>954</v>
      </c>
      <c r="F6586" t="s">
        <v>35</v>
      </c>
      <c r="G6586" t="s">
        <v>35</v>
      </c>
      <c r="H6586" t="s">
        <v>35</v>
      </c>
      <c r="J6586" t="s">
        <v>6757</v>
      </c>
      <c r="K6586" t="s">
        <v>1092</v>
      </c>
      <c r="M6586">
        <v>0.24299999999999999</v>
      </c>
      <c r="N6586">
        <v>38</v>
      </c>
      <c r="O6586" t="s">
        <v>52</v>
      </c>
      <c r="Q6586" t="s">
        <v>716</v>
      </c>
      <c r="R6586" t="s">
        <v>6721</v>
      </c>
      <c r="S6586" t="s">
        <v>1078</v>
      </c>
      <c r="T6586" t="s">
        <v>1079</v>
      </c>
    </row>
    <row r="6587" spans="1:20" x14ac:dyDescent="0.25">
      <c r="A6587" t="s">
        <v>59</v>
      </c>
      <c r="B6587" t="s">
        <v>60</v>
      </c>
      <c r="C6587" t="s">
        <v>32</v>
      </c>
      <c r="D6587" t="s">
        <v>953</v>
      </c>
      <c r="E6587" t="s">
        <v>954</v>
      </c>
      <c r="F6587" t="s">
        <v>35</v>
      </c>
      <c r="G6587" t="s">
        <v>35</v>
      </c>
      <c r="H6587" t="s">
        <v>35</v>
      </c>
      <c r="J6587" t="s">
        <v>6757</v>
      </c>
      <c r="K6587" t="s">
        <v>1092</v>
      </c>
      <c r="M6587">
        <v>0.36</v>
      </c>
      <c r="N6587">
        <v>38</v>
      </c>
      <c r="O6587" t="s">
        <v>52</v>
      </c>
      <c r="Q6587" t="s">
        <v>716</v>
      </c>
      <c r="R6587" t="s">
        <v>6721</v>
      </c>
      <c r="S6587" t="s">
        <v>1078</v>
      </c>
      <c r="T6587" t="s">
        <v>1079</v>
      </c>
    </row>
    <row r="6588" spans="1:20" x14ac:dyDescent="0.25">
      <c r="A6588" t="s">
        <v>44</v>
      </c>
      <c r="B6588" t="s">
        <v>51</v>
      </c>
      <c r="C6588" t="s">
        <v>32</v>
      </c>
      <c r="D6588" t="s">
        <v>953</v>
      </c>
      <c r="E6588" t="s">
        <v>954</v>
      </c>
      <c r="F6588" t="s">
        <v>35</v>
      </c>
      <c r="G6588" t="s">
        <v>35</v>
      </c>
      <c r="H6588" t="s">
        <v>35</v>
      </c>
      <c r="J6588" t="s">
        <v>6757</v>
      </c>
      <c r="K6588" t="s">
        <v>1092</v>
      </c>
      <c r="M6588">
        <v>0.25</v>
      </c>
      <c r="N6588">
        <v>38</v>
      </c>
      <c r="O6588" t="s">
        <v>52</v>
      </c>
      <c r="Q6588" t="s">
        <v>716</v>
      </c>
      <c r="R6588" t="s">
        <v>6721</v>
      </c>
      <c r="S6588" t="s">
        <v>1078</v>
      </c>
      <c r="T6588" t="s">
        <v>1079</v>
      </c>
    </row>
    <row r="6589" spans="1:20" x14ac:dyDescent="0.25">
      <c r="A6589" t="s">
        <v>59</v>
      </c>
      <c r="B6589" t="s">
        <v>31</v>
      </c>
      <c r="C6589" t="s">
        <v>32</v>
      </c>
      <c r="D6589" t="s">
        <v>953</v>
      </c>
      <c r="F6589" t="s">
        <v>35</v>
      </c>
      <c r="G6589" t="s">
        <v>35</v>
      </c>
      <c r="H6589" t="s">
        <v>35</v>
      </c>
      <c r="J6589" t="s">
        <v>7932</v>
      </c>
      <c r="K6589" t="s">
        <v>1092</v>
      </c>
      <c r="M6589">
        <v>1.35</v>
      </c>
      <c r="N6589">
        <v>281</v>
      </c>
      <c r="O6589" t="s">
        <v>5</v>
      </c>
      <c r="Q6589" t="s">
        <v>1421</v>
      </c>
      <c r="R6589" t="s">
        <v>6721</v>
      </c>
      <c r="S6589" t="s">
        <v>1078</v>
      </c>
      <c r="T6589" t="s">
        <v>1079</v>
      </c>
    </row>
    <row r="6590" spans="1:20" x14ac:dyDescent="0.25">
      <c r="A6590" t="s">
        <v>59</v>
      </c>
      <c r="B6590" t="s">
        <v>60</v>
      </c>
      <c r="C6590" t="s">
        <v>32</v>
      </c>
      <c r="D6590" t="s">
        <v>953</v>
      </c>
      <c r="F6590" t="s">
        <v>35</v>
      </c>
      <c r="G6590" t="s">
        <v>35</v>
      </c>
      <c r="H6590" t="s">
        <v>35</v>
      </c>
      <c r="J6590" t="s">
        <v>7932</v>
      </c>
      <c r="K6590" t="s">
        <v>1092</v>
      </c>
      <c r="M6590">
        <v>1.55</v>
      </c>
      <c r="N6590">
        <v>239</v>
      </c>
      <c r="O6590" t="s">
        <v>5</v>
      </c>
      <c r="Q6590" t="s">
        <v>1903</v>
      </c>
      <c r="R6590" t="s">
        <v>6721</v>
      </c>
      <c r="S6590" t="s">
        <v>1078</v>
      </c>
      <c r="T6590" t="s">
        <v>1079</v>
      </c>
    </row>
    <row r="6591" spans="1:20" x14ac:dyDescent="0.25">
      <c r="A6591" t="s">
        <v>44</v>
      </c>
      <c r="B6591" t="s">
        <v>51</v>
      </c>
      <c r="C6591" t="s">
        <v>32</v>
      </c>
      <c r="D6591" t="s">
        <v>953</v>
      </c>
      <c r="F6591" t="s">
        <v>35</v>
      </c>
      <c r="G6591" t="s">
        <v>35</v>
      </c>
      <c r="H6591" t="s">
        <v>35</v>
      </c>
      <c r="J6591" t="s">
        <v>7932</v>
      </c>
      <c r="K6591" t="s">
        <v>1092</v>
      </c>
      <c r="M6591">
        <v>1.5</v>
      </c>
      <c r="N6591">
        <v>330</v>
      </c>
      <c r="O6591" t="s">
        <v>5</v>
      </c>
      <c r="Q6591" t="s">
        <v>1825</v>
      </c>
      <c r="R6591" t="s">
        <v>6721</v>
      </c>
      <c r="S6591" t="s">
        <v>1078</v>
      </c>
      <c r="T6591" t="s">
        <v>1079</v>
      </c>
    </row>
    <row r="6592" spans="1:20" x14ac:dyDescent="0.25">
      <c r="A6592" t="s">
        <v>44</v>
      </c>
      <c r="B6592" t="s">
        <v>51</v>
      </c>
      <c r="C6592" t="s">
        <v>32</v>
      </c>
      <c r="D6592" t="s">
        <v>953</v>
      </c>
      <c r="F6592" t="s">
        <v>35</v>
      </c>
      <c r="G6592" t="s">
        <v>35</v>
      </c>
      <c r="H6592" t="s">
        <v>35</v>
      </c>
      <c r="J6592" t="s">
        <v>7932</v>
      </c>
      <c r="K6592" t="s">
        <v>1092</v>
      </c>
      <c r="M6592">
        <v>0.55000000000000004</v>
      </c>
      <c r="N6592">
        <v>337</v>
      </c>
      <c r="O6592" t="s">
        <v>5</v>
      </c>
      <c r="Q6592" t="s">
        <v>1859</v>
      </c>
      <c r="R6592" t="s">
        <v>6721</v>
      </c>
      <c r="S6592" t="s">
        <v>1078</v>
      </c>
      <c r="T6592" t="s">
        <v>1079</v>
      </c>
    </row>
    <row r="6593" spans="1:20" x14ac:dyDescent="0.25">
      <c r="A6593" t="s">
        <v>59</v>
      </c>
      <c r="B6593" t="s">
        <v>60</v>
      </c>
      <c r="C6593" t="s">
        <v>32</v>
      </c>
      <c r="D6593" t="s">
        <v>953</v>
      </c>
      <c r="F6593" t="s">
        <v>35</v>
      </c>
      <c r="G6593" t="s">
        <v>35</v>
      </c>
      <c r="H6593" t="s">
        <v>35</v>
      </c>
      <c r="J6593" t="s">
        <v>7932</v>
      </c>
      <c r="K6593" t="s">
        <v>1092</v>
      </c>
      <c r="M6593">
        <v>1</v>
      </c>
      <c r="N6593">
        <v>281</v>
      </c>
      <c r="O6593" t="s">
        <v>5</v>
      </c>
      <c r="Q6593" t="s">
        <v>1421</v>
      </c>
      <c r="R6593" t="s">
        <v>6721</v>
      </c>
      <c r="S6593" t="s">
        <v>1078</v>
      </c>
      <c r="T6593" t="s">
        <v>1079</v>
      </c>
    </row>
    <row r="6594" spans="1:20" x14ac:dyDescent="0.25">
      <c r="A6594" t="s">
        <v>59</v>
      </c>
      <c r="B6594" t="s">
        <v>31</v>
      </c>
      <c r="C6594" t="s">
        <v>32</v>
      </c>
      <c r="D6594" t="s">
        <v>953</v>
      </c>
      <c r="E6594" t="s">
        <v>954</v>
      </c>
      <c r="F6594" t="s">
        <v>35</v>
      </c>
      <c r="G6594" t="s">
        <v>35</v>
      </c>
      <c r="H6594" t="s">
        <v>35</v>
      </c>
      <c r="J6594" t="s">
        <v>6830</v>
      </c>
      <c r="K6594" t="s">
        <v>1092</v>
      </c>
      <c r="M6594">
        <v>0.05</v>
      </c>
      <c r="N6594">
        <v>785</v>
      </c>
      <c r="O6594" t="s">
        <v>575</v>
      </c>
      <c r="Q6594" t="s">
        <v>6831</v>
      </c>
      <c r="R6594" t="s">
        <v>6721</v>
      </c>
      <c r="S6594" t="s">
        <v>1078</v>
      </c>
      <c r="T6594" t="s">
        <v>1079</v>
      </c>
    </row>
    <row r="6595" spans="1:20" x14ac:dyDescent="0.25">
      <c r="A6595" t="s">
        <v>59</v>
      </c>
      <c r="B6595" t="s">
        <v>60</v>
      </c>
      <c r="C6595" t="s">
        <v>32</v>
      </c>
      <c r="D6595" t="s">
        <v>953</v>
      </c>
      <c r="F6595" t="s">
        <v>35</v>
      </c>
      <c r="G6595" t="s">
        <v>35</v>
      </c>
      <c r="H6595" t="s">
        <v>35</v>
      </c>
      <c r="J6595" t="s">
        <v>7935</v>
      </c>
      <c r="K6595" t="s">
        <v>1092</v>
      </c>
      <c r="M6595">
        <v>1.9</v>
      </c>
      <c r="N6595">
        <v>85</v>
      </c>
      <c r="O6595" t="s">
        <v>61</v>
      </c>
      <c r="Q6595" t="s">
        <v>1100</v>
      </c>
      <c r="R6595" t="s">
        <v>6721</v>
      </c>
      <c r="S6595" t="s">
        <v>1078</v>
      </c>
      <c r="T6595" t="s">
        <v>1079</v>
      </c>
    </row>
    <row r="6596" spans="1:20" x14ac:dyDescent="0.25">
      <c r="A6596" t="s">
        <v>44</v>
      </c>
      <c r="B6596" t="s">
        <v>3</v>
      </c>
      <c r="C6596" t="s">
        <v>32</v>
      </c>
      <c r="D6596" t="s">
        <v>953</v>
      </c>
      <c r="E6596" t="s">
        <v>954</v>
      </c>
      <c r="F6596" t="s">
        <v>35</v>
      </c>
      <c r="G6596" t="s">
        <v>35</v>
      </c>
      <c r="H6596" t="s">
        <v>35</v>
      </c>
      <c r="J6596" t="s">
        <v>6852</v>
      </c>
      <c r="K6596" t="s">
        <v>1092</v>
      </c>
      <c r="M6596">
        <v>1.4</v>
      </c>
      <c r="N6596">
        <v>462</v>
      </c>
      <c r="O6596" t="s">
        <v>294</v>
      </c>
      <c r="Q6596" t="s">
        <v>3662</v>
      </c>
      <c r="R6596" t="s">
        <v>6721</v>
      </c>
      <c r="S6596" t="s">
        <v>1078</v>
      </c>
      <c r="T6596" t="s">
        <v>1079</v>
      </c>
    </row>
    <row r="6597" spans="1:20" x14ac:dyDescent="0.25">
      <c r="A6597" t="s">
        <v>59</v>
      </c>
      <c r="B6597" t="s">
        <v>60</v>
      </c>
      <c r="C6597" t="s">
        <v>32</v>
      </c>
      <c r="D6597" t="s">
        <v>953</v>
      </c>
      <c r="E6597" t="s">
        <v>954</v>
      </c>
      <c r="F6597" t="s">
        <v>35</v>
      </c>
      <c r="G6597" t="s">
        <v>35</v>
      </c>
      <c r="H6597" t="s">
        <v>35</v>
      </c>
      <c r="J6597" t="s">
        <v>6852</v>
      </c>
      <c r="K6597" t="s">
        <v>1092</v>
      </c>
      <c r="M6597">
        <v>2.5499999999999998</v>
      </c>
      <c r="N6597">
        <v>138</v>
      </c>
      <c r="O6597" t="s">
        <v>38</v>
      </c>
      <c r="Q6597" t="s">
        <v>1149</v>
      </c>
      <c r="R6597" t="s">
        <v>6721</v>
      </c>
      <c r="S6597" t="s">
        <v>1078</v>
      </c>
      <c r="T6597" t="s">
        <v>1079</v>
      </c>
    </row>
    <row r="6598" spans="1:20" x14ac:dyDescent="0.25">
      <c r="A6598" t="s">
        <v>30</v>
      </c>
      <c r="B6598" t="s">
        <v>31</v>
      </c>
      <c r="C6598" t="s">
        <v>32</v>
      </c>
      <c r="D6598" t="s">
        <v>953</v>
      </c>
      <c r="E6598" t="s">
        <v>954</v>
      </c>
      <c r="F6598" t="s">
        <v>35</v>
      </c>
      <c r="G6598" t="s">
        <v>35</v>
      </c>
      <c r="H6598" t="s">
        <v>35</v>
      </c>
      <c r="J6598" t="s">
        <v>6852</v>
      </c>
      <c r="K6598" t="s">
        <v>1092</v>
      </c>
      <c r="M6598">
        <v>1.575</v>
      </c>
      <c r="N6598">
        <v>36</v>
      </c>
      <c r="O6598" t="s">
        <v>52</v>
      </c>
      <c r="Q6598" t="s">
        <v>892</v>
      </c>
      <c r="R6598" t="s">
        <v>6721</v>
      </c>
      <c r="S6598" t="s">
        <v>1078</v>
      </c>
      <c r="T6598" t="s">
        <v>1079</v>
      </c>
    </row>
    <row r="6599" spans="1:20" x14ac:dyDescent="0.25">
      <c r="A6599" t="s">
        <v>59</v>
      </c>
      <c r="B6599" t="s">
        <v>31</v>
      </c>
      <c r="C6599" t="s">
        <v>32</v>
      </c>
      <c r="D6599" t="s">
        <v>953</v>
      </c>
      <c r="F6599" t="s">
        <v>35</v>
      </c>
      <c r="G6599" t="s">
        <v>35</v>
      </c>
      <c r="H6599" t="s">
        <v>35</v>
      </c>
      <c r="J6599" t="s">
        <v>8032</v>
      </c>
      <c r="K6599" t="s">
        <v>1092</v>
      </c>
      <c r="M6599">
        <v>0.35499999999999998</v>
      </c>
      <c r="N6599">
        <v>2584</v>
      </c>
      <c r="O6599" t="s">
        <v>575</v>
      </c>
      <c r="Q6599" t="s">
        <v>8033</v>
      </c>
      <c r="R6599" t="s">
        <v>6721</v>
      </c>
      <c r="S6599" t="s">
        <v>1078</v>
      </c>
      <c r="T6599" t="s">
        <v>1079</v>
      </c>
    </row>
    <row r="6600" spans="1:20" x14ac:dyDescent="0.25">
      <c r="A6600" t="s">
        <v>59</v>
      </c>
      <c r="B6600" t="s">
        <v>60</v>
      </c>
      <c r="C6600" t="s">
        <v>32</v>
      </c>
      <c r="D6600" t="s">
        <v>953</v>
      </c>
      <c r="F6600" t="s">
        <v>35</v>
      </c>
      <c r="G6600" t="s">
        <v>35</v>
      </c>
      <c r="H6600" t="s">
        <v>35</v>
      </c>
      <c r="J6600" t="s">
        <v>8032</v>
      </c>
      <c r="K6600" t="s">
        <v>1092</v>
      </c>
      <c r="M6600">
        <v>0.14499999999999999</v>
      </c>
      <c r="N6600">
        <v>2584</v>
      </c>
      <c r="O6600" t="s">
        <v>575</v>
      </c>
      <c r="Q6600" t="s">
        <v>8033</v>
      </c>
      <c r="R6600" t="s">
        <v>6721</v>
      </c>
      <c r="S6600" t="s">
        <v>1078</v>
      </c>
      <c r="T6600" t="s">
        <v>1079</v>
      </c>
    </row>
    <row r="6601" spans="1:20" x14ac:dyDescent="0.25">
      <c r="A6601" t="s">
        <v>59</v>
      </c>
      <c r="B6601" t="s">
        <v>60</v>
      </c>
      <c r="C6601" t="s">
        <v>32</v>
      </c>
      <c r="D6601" t="s">
        <v>953</v>
      </c>
      <c r="E6601" t="s">
        <v>1077</v>
      </c>
      <c r="F6601" t="s">
        <v>35</v>
      </c>
      <c r="G6601" t="s">
        <v>35</v>
      </c>
      <c r="H6601" t="s">
        <v>35</v>
      </c>
      <c r="J6601" t="s">
        <v>7678</v>
      </c>
      <c r="K6601" t="s">
        <v>1092</v>
      </c>
      <c r="M6601">
        <v>0.25</v>
      </c>
      <c r="N6601">
        <v>29</v>
      </c>
      <c r="O6601" t="s">
        <v>46</v>
      </c>
      <c r="Q6601" t="s">
        <v>2005</v>
      </c>
      <c r="R6601" t="s">
        <v>6721</v>
      </c>
      <c r="S6601" t="s">
        <v>1078</v>
      </c>
      <c r="T6601" t="s">
        <v>1079</v>
      </c>
    </row>
    <row r="6602" spans="1:20" x14ac:dyDescent="0.25">
      <c r="A6602" t="s">
        <v>59</v>
      </c>
      <c r="B6602" t="s">
        <v>60</v>
      </c>
      <c r="C6602" t="s">
        <v>32</v>
      </c>
      <c r="D6602" t="s">
        <v>953</v>
      </c>
      <c r="E6602" t="s">
        <v>1077</v>
      </c>
      <c r="F6602" t="s">
        <v>35</v>
      </c>
      <c r="G6602" t="s">
        <v>35</v>
      </c>
      <c r="H6602" t="s">
        <v>35</v>
      </c>
      <c r="J6602" t="s">
        <v>7678</v>
      </c>
      <c r="K6602" t="s">
        <v>1092</v>
      </c>
      <c r="M6602">
        <v>0.25</v>
      </c>
      <c r="N6602">
        <v>50</v>
      </c>
      <c r="O6602" t="s">
        <v>52</v>
      </c>
      <c r="Q6602" t="s">
        <v>665</v>
      </c>
      <c r="R6602" t="s">
        <v>6721</v>
      </c>
      <c r="S6602" t="s">
        <v>1078</v>
      </c>
      <c r="T6602" t="s">
        <v>1079</v>
      </c>
    </row>
    <row r="6603" spans="1:20" x14ac:dyDescent="0.25">
      <c r="A6603" t="s">
        <v>44</v>
      </c>
      <c r="B6603" t="s">
        <v>51</v>
      </c>
      <c r="C6603" t="s">
        <v>32</v>
      </c>
      <c r="D6603" t="s">
        <v>953</v>
      </c>
      <c r="E6603" t="s">
        <v>1077</v>
      </c>
      <c r="F6603" t="s">
        <v>35</v>
      </c>
      <c r="G6603" t="s">
        <v>35</v>
      </c>
      <c r="H6603" t="s">
        <v>35</v>
      </c>
      <c r="J6603" t="s">
        <v>7678</v>
      </c>
      <c r="K6603" t="s">
        <v>1092</v>
      </c>
      <c r="M6603">
        <v>0.25</v>
      </c>
      <c r="N6603">
        <v>17</v>
      </c>
      <c r="O6603" t="s">
        <v>46</v>
      </c>
      <c r="Q6603" t="s">
        <v>255</v>
      </c>
      <c r="R6603" t="s">
        <v>6721</v>
      </c>
      <c r="S6603" t="s">
        <v>1078</v>
      </c>
      <c r="T6603" t="s">
        <v>1079</v>
      </c>
    </row>
    <row r="6604" spans="1:20" x14ac:dyDescent="0.25">
      <c r="A6604" t="s">
        <v>44</v>
      </c>
      <c r="B6604" t="s">
        <v>51</v>
      </c>
      <c r="C6604" t="s">
        <v>32</v>
      </c>
      <c r="D6604" t="s">
        <v>953</v>
      </c>
      <c r="E6604" t="s">
        <v>1077</v>
      </c>
      <c r="F6604" t="s">
        <v>35</v>
      </c>
      <c r="G6604" t="s">
        <v>35</v>
      </c>
      <c r="H6604" t="s">
        <v>35</v>
      </c>
      <c r="J6604" t="s">
        <v>7678</v>
      </c>
      <c r="K6604" t="s">
        <v>1092</v>
      </c>
      <c r="M6604">
        <v>0.25</v>
      </c>
      <c r="N6604">
        <v>29</v>
      </c>
      <c r="O6604" t="s">
        <v>46</v>
      </c>
      <c r="Q6604" t="s">
        <v>2005</v>
      </c>
      <c r="R6604" t="s">
        <v>6721</v>
      </c>
      <c r="S6604" t="s">
        <v>1078</v>
      </c>
      <c r="T6604" t="s">
        <v>1079</v>
      </c>
    </row>
    <row r="6605" spans="1:20" x14ac:dyDescent="0.25">
      <c r="A6605" t="s">
        <v>59</v>
      </c>
      <c r="B6605" t="s">
        <v>60</v>
      </c>
      <c r="C6605" t="s">
        <v>32</v>
      </c>
      <c r="D6605" t="s">
        <v>953</v>
      </c>
      <c r="E6605" t="s">
        <v>1077</v>
      </c>
      <c r="F6605" t="s">
        <v>35</v>
      </c>
      <c r="G6605" t="s">
        <v>35</v>
      </c>
      <c r="H6605" t="s">
        <v>35</v>
      </c>
      <c r="J6605" t="s">
        <v>7678</v>
      </c>
      <c r="K6605" t="s">
        <v>1092</v>
      </c>
      <c r="M6605">
        <v>0.25</v>
      </c>
      <c r="N6605">
        <v>17</v>
      </c>
      <c r="O6605" t="s">
        <v>46</v>
      </c>
      <c r="Q6605" t="s">
        <v>255</v>
      </c>
      <c r="R6605" t="s">
        <v>6721</v>
      </c>
      <c r="S6605" t="s">
        <v>1078</v>
      </c>
      <c r="T6605" t="s">
        <v>1079</v>
      </c>
    </row>
    <row r="6606" spans="1:20" x14ac:dyDescent="0.25">
      <c r="A6606" t="s">
        <v>59</v>
      </c>
      <c r="B6606" t="s">
        <v>31</v>
      </c>
      <c r="C6606" t="s">
        <v>32</v>
      </c>
      <c r="D6606" t="s">
        <v>953</v>
      </c>
      <c r="E6606" t="s">
        <v>1077</v>
      </c>
      <c r="F6606" t="s">
        <v>35</v>
      </c>
      <c r="G6606" t="s">
        <v>35</v>
      </c>
      <c r="H6606" t="s">
        <v>35</v>
      </c>
      <c r="J6606" t="s">
        <v>7678</v>
      </c>
      <c r="K6606" t="s">
        <v>1092</v>
      </c>
      <c r="M6606">
        <v>0.40500000000000003</v>
      </c>
      <c r="N6606">
        <v>64</v>
      </c>
      <c r="O6606" t="s">
        <v>61</v>
      </c>
      <c r="Q6606" t="s">
        <v>102</v>
      </c>
      <c r="R6606" t="s">
        <v>6721</v>
      </c>
      <c r="S6606" t="s">
        <v>1078</v>
      </c>
      <c r="T6606" t="s">
        <v>1079</v>
      </c>
    </row>
    <row r="6607" spans="1:20" x14ac:dyDescent="0.25">
      <c r="A6607" t="s">
        <v>59</v>
      </c>
      <c r="B6607" t="s">
        <v>31</v>
      </c>
      <c r="C6607" t="s">
        <v>32</v>
      </c>
      <c r="D6607" t="s">
        <v>953</v>
      </c>
      <c r="E6607" t="s">
        <v>1077</v>
      </c>
      <c r="F6607" t="s">
        <v>35</v>
      </c>
      <c r="G6607" t="s">
        <v>35</v>
      </c>
      <c r="H6607" t="s">
        <v>35</v>
      </c>
      <c r="J6607" t="s">
        <v>7678</v>
      </c>
      <c r="K6607" t="s">
        <v>1092</v>
      </c>
      <c r="M6607">
        <v>0.9</v>
      </c>
      <c r="N6607">
        <v>85</v>
      </c>
      <c r="O6607" t="s">
        <v>61</v>
      </c>
      <c r="Q6607" t="s">
        <v>1100</v>
      </c>
      <c r="R6607" t="s">
        <v>6721</v>
      </c>
      <c r="S6607" t="s">
        <v>1078</v>
      </c>
      <c r="T6607" t="s">
        <v>1079</v>
      </c>
    </row>
    <row r="6608" spans="1:20" x14ac:dyDescent="0.25">
      <c r="A6608" t="s">
        <v>59</v>
      </c>
      <c r="B6608" t="s">
        <v>60</v>
      </c>
      <c r="C6608" t="s">
        <v>32</v>
      </c>
      <c r="D6608" t="s">
        <v>953</v>
      </c>
      <c r="E6608" t="s">
        <v>1077</v>
      </c>
      <c r="F6608" t="s">
        <v>35</v>
      </c>
      <c r="G6608" t="s">
        <v>35</v>
      </c>
      <c r="H6608" t="s">
        <v>35</v>
      </c>
      <c r="J6608" t="s">
        <v>7678</v>
      </c>
      <c r="K6608" t="s">
        <v>1092</v>
      </c>
      <c r="M6608">
        <v>0.5</v>
      </c>
      <c r="N6608">
        <v>75</v>
      </c>
      <c r="O6608" t="s">
        <v>61</v>
      </c>
      <c r="Q6608" t="s">
        <v>447</v>
      </c>
      <c r="R6608" t="s">
        <v>6721</v>
      </c>
      <c r="S6608" t="s">
        <v>1078</v>
      </c>
      <c r="T6608" t="s">
        <v>1079</v>
      </c>
    </row>
    <row r="6609" spans="1:20" x14ac:dyDescent="0.25">
      <c r="A6609" t="s">
        <v>59</v>
      </c>
      <c r="B6609" t="s">
        <v>60</v>
      </c>
      <c r="C6609" t="s">
        <v>32</v>
      </c>
      <c r="D6609" t="s">
        <v>953</v>
      </c>
      <c r="E6609" t="s">
        <v>1077</v>
      </c>
      <c r="F6609" t="s">
        <v>35</v>
      </c>
      <c r="G6609" t="s">
        <v>35</v>
      </c>
      <c r="H6609" t="s">
        <v>35</v>
      </c>
      <c r="J6609" t="s">
        <v>7678</v>
      </c>
      <c r="K6609" t="s">
        <v>1092</v>
      </c>
      <c r="M6609">
        <v>0.25</v>
      </c>
      <c r="N6609">
        <v>85</v>
      </c>
      <c r="O6609" t="s">
        <v>61</v>
      </c>
      <c r="Q6609" t="s">
        <v>1100</v>
      </c>
      <c r="R6609" t="s">
        <v>6721</v>
      </c>
      <c r="S6609" t="s">
        <v>1078</v>
      </c>
      <c r="T6609" t="s">
        <v>1079</v>
      </c>
    </row>
    <row r="6610" spans="1:20" x14ac:dyDescent="0.25">
      <c r="A6610" t="s">
        <v>44</v>
      </c>
      <c r="B6610" t="s">
        <v>3</v>
      </c>
      <c r="C6610" t="s">
        <v>32</v>
      </c>
      <c r="D6610" t="s">
        <v>953</v>
      </c>
      <c r="E6610" t="s">
        <v>1077</v>
      </c>
      <c r="F6610" t="s">
        <v>35</v>
      </c>
      <c r="G6610" t="s">
        <v>35</v>
      </c>
      <c r="H6610" t="s">
        <v>35</v>
      </c>
      <c r="J6610" t="s">
        <v>7678</v>
      </c>
      <c r="K6610" t="s">
        <v>1092</v>
      </c>
      <c r="M6610">
        <v>0.25</v>
      </c>
      <c r="N6610">
        <v>38</v>
      </c>
      <c r="O6610" t="s">
        <v>52</v>
      </c>
      <c r="Q6610" t="s">
        <v>716</v>
      </c>
      <c r="R6610" t="s">
        <v>6721</v>
      </c>
      <c r="S6610" t="s">
        <v>1078</v>
      </c>
      <c r="T6610" t="s">
        <v>1079</v>
      </c>
    </row>
    <row r="6611" spans="1:20" x14ac:dyDescent="0.25">
      <c r="A6611" t="s">
        <v>44</v>
      </c>
      <c r="B6611" t="s">
        <v>3</v>
      </c>
      <c r="C6611" t="s">
        <v>32</v>
      </c>
      <c r="D6611" t="s">
        <v>953</v>
      </c>
      <c r="E6611" t="s">
        <v>1077</v>
      </c>
      <c r="F6611" t="s">
        <v>35</v>
      </c>
      <c r="G6611" t="s">
        <v>35</v>
      </c>
      <c r="H6611" t="s">
        <v>35</v>
      </c>
      <c r="J6611" t="s">
        <v>7678</v>
      </c>
      <c r="K6611" t="s">
        <v>1092</v>
      </c>
      <c r="M6611">
        <v>0.45</v>
      </c>
      <c r="N6611">
        <v>50</v>
      </c>
      <c r="O6611" t="s">
        <v>52</v>
      </c>
      <c r="Q6611" t="s">
        <v>665</v>
      </c>
      <c r="R6611" t="s">
        <v>6721</v>
      </c>
      <c r="S6611" t="s">
        <v>1078</v>
      </c>
      <c r="T6611" t="s">
        <v>1079</v>
      </c>
    </row>
    <row r="6612" spans="1:20" x14ac:dyDescent="0.25">
      <c r="A6612" t="s">
        <v>44</v>
      </c>
      <c r="B6612" t="s">
        <v>51</v>
      </c>
      <c r="C6612" t="s">
        <v>32</v>
      </c>
      <c r="D6612" t="s">
        <v>953</v>
      </c>
      <c r="E6612" t="s">
        <v>1077</v>
      </c>
      <c r="F6612" t="s">
        <v>35</v>
      </c>
      <c r="G6612" t="s">
        <v>35</v>
      </c>
      <c r="H6612" t="s">
        <v>35</v>
      </c>
      <c r="J6612" t="s">
        <v>7678</v>
      </c>
      <c r="K6612" t="s">
        <v>1092</v>
      </c>
      <c r="M6612">
        <v>0.15</v>
      </c>
      <c r="N6612">
        <v>50</v>
      </c>
      <c r="O6612" t="s">
        <v>52</v>
      </c>
      <c r="Q6612" t="s">
        <v>665</v>
      </c>
      <c r="R6612" t="s">
        <v>6721</v>
      </c>
      <c r="S6612" t="s">
        <v>1078</v>
      </c>
      <c r="T6612" t="s">
        <v>1079</v>
      </c>
    </row>
    <row r="6613" spans="1:20" x14ac:dyDescent="0.25">
      <c r="A6613" t="s">
        <v>30</v>
      </c>
      <c r="B6613" t="s">
        <v>31</v>
      </c>
      <c r="C6613" t="s">
        <v>32</v>
      </c>
      <c r="D6613" t="s">
        <v>953</v>
      </c>
      <c r="E6613" t="s">
        <v>1077</v>
      </c>
      <c r="F6613" t="s">
        <v>35</v>
      </c>
      <c r="G6613" t="s">
        <v>35</v>
      </c>
      <c r="H6613" t="s">
        <v>35</v>
      </c>
      <c r="J6613" t="s">
        <v>7696</v>
      </c>
      <c r="K6613" t="s">
        <v>1092</v>
      </c>
      <c r="M6613">
        <v>0.27</v>
      </c>
      <c r="N6613">
        <v>441</v>
      </c>
      <c r="O6613" t="s">
        <v>294</v>
      </c>
      <c r="Q6613" t="s">
        <v>1899</v>
      </c>
      <c r="R6613" t="s">
        <v>6721</v>
      </c>
      <c r="S6613" t="s">
        <v>1078</v>
      </c>
      <c r="T6613" t="s">
        <v>1079</v>
      </c>
    </row>
    <row r="6614" spans="1:20" x14ac:dyDescent="0.25">
      <c r="A6614" t="s">
        <v>59</v>
      </c>
      <c r="B6614" t="s">
        <v>31</v>
      </c>
      <c r="C6614" t="s">
        <v>32</v>
      </c>
      <c r="D6614" t="s">
        <v>953</v>
      </c>
      <c r="E6614" t="s">
        <v>1077</v>
      </c>
      <c r="F6614" t="s">
        <v>35</v>
      </c>
      <c r="G6614" t="s">
        <v>35</v>
      </c>
      <c r="H6614" t="s">
        <v>35</v>
      </c>
      <c r="J6614" t="s">
        <v>7696</v>
      </c>
      <c r="K6614" t="s">
        <v>1092</v>
      </c>
      <c r="M6614">
        <v>0.315</v>
      </c>
      <c r="N6614">
        <v>428</v>
      </c>
      <c r="O6614" t="s">
        <v>294</v>
      </c>
      <c r="Q6614" t="s">
        <v>1350</v>
      </c>
      <c r="R6614" t="s">
        <v>6721</v>
      </c>
      <c r="S6614" t="s">
        <v>1078</v>
      </c>
      <c r="T6614" t="s">
        <v>1079</v>
      </c>
    </row>
    <row r="6615" spans="1:20" x14ac:dyDescent="0.25">
      <c r="A6615" t="s">
        <v>59</v>
      </c>
      <c r="B6615" t="s">
        <v>31</v>
      </c>
      <c r="C6615" t="s">
        <v>32</v>
      </c>
      <c r="D6615" t="s">
        <v>953</v>
      </c>
      <c r="E6615" t="s">
        <v>1077</v>
      </c>
      <c r="F6615" t="s">
        <v>35</v>
      </c>
      <c r="G6615" t="s">
        <v>35</v>
      </c>
      <c r="H6615" t="s">
        <v>35</v>
      </c>
      <c r="J6615" t="s">
        <v>7696</v>
      </c>
      <c r="K6615" t="s">
        <v>1092</v>
      </c>
      <c r="M6615">
        <v>0.45</v>
      </c>
      <c r="N6615">
        <v>383</v>
      </c>
      <c r="O6615" t="s">
        <v>294</v>
      </c>
      <c r="Q6615" t="s">
        <v>7697</v>
      </c>
      <c r="R6615" t="s">
        <v>6721</v>
      </c>
      <c r="S6615" t="s">
        <v>1078</v>
      </c>
      <c r="T6615" t="s">
        <v>1079</v>
      </c>
    </row>
    <row r="6616" spans="1:20" x14ac:dyDescent="0.25">
      <c r="A6616" t="s">
        <v>59</v>
      </c>
      <c r="B6616" t="s">
        <v>60</v>
      </c>
      <c r="C6616" t="s">
        <v>32</v>
      </c>
      <c r="D6616" t="s">
        <v>953</v>
      </c>
      <c r="E6616" t="s">
        <v>1077</v>
      </c>
      <c r="F6616" t="s">
        <v>35</v>
      </c>
      <c r="G6616" t="s">
        <v>35</v>
      </c>
      <c r="H6616" t="s">
        <v>35</v>
      </c>
      <c r="J6616" t="s">
        <v>7696</v>
      </c>
      <c r="K6616" t="s">
        <v>1092</v>
      </c>
      <c r="M6616">
        <v>0.223</v>
      </c>
      <c r="N6616">
        <v>342</v>
      </c>
      <c r="O6616" t="s">
        <v>5</v>
      </c>
      <c r="Q6616" t="s">
        <v>3644</v>
      </c>
      <c r="R6616" t="s">
        <v>6721</v>
      </c>
      <c r="S6616" t="s">
        <v>1078</v>
      </c>
      <c r="T6616" t="s">
        <v>1079</v>
      </c>
    </row>
    <row r="6617" spans="1:20" x14ac:dyDescent="0.25">
      <c r="A6617" t="s">
        <v>44</v>
      </c>
      <c r="B6617" t="s">
        <v>51</v>
      </c>
      <c r="C6617" t="s">
        <v>32</v>
      </c>
      <c r="D6617" t="s">
        <v>953</v>
      </c>
      <c r="E6617" t="s">
        <v>1077</v>
      </c>
      <c r="F6617" t="s">
        <v>35</v>
      </c>
      <c r="G6617" t="s">
        <v>35</v>
      </c>
      <c r="H6617" t="s">
        <v>35</v>
      </c>
      <c r="J6617" t="s">
        <v>7696</v>
      </c>
      <c r="K6617" t="s">
        <v>1092</v>
      </c>
      <c r="M6617">
        <v>0.05</v>
      </c>
      <c r="N6617">
        <v>330</v>
      </c>
      <c r="O6617" t="s">
        <v>5</v>
      </c>
      <c r="Q6617" t="s">
        <v>1825</v>
      </c>
      <c r="R6617" t="s">
        <v>6721</v>
      </c>
      <c r="S6617" t="s">
        <v>1078</v>
      </c>
      <c r="T6617" t="s">
        <v>1079</v>
      </c>
    </row>
    <row r="6618" spans="1:20" x14ac:dyDescent="0.25">
      <c r="A6618" t="s">
        <v>59</v>
      </c>
      <c r="B6618" t="s">
        <v>31</v>
      </c>
      <c r="C6618" t="s">
        <v>32</v>
      </c>
      <c r="D6618" t="s">
        <v>953</v>
      </c>
      <c r="E6618" t="s">
        <v>1077</v>
      </c>
      <c r="F6618" t="s">
        <v>35</v>
      </c>
      <c r="G6618" t="s">
        <v>35</v>
      </c>
      <c r="H6618" t="s">
        <v>35</v>
      </c>
      <c r="J6618" t="s">
        <v>7696</v>
      </c>
      <c r="K6618" t="s">
        <v>1092</v>
      </c>
      <c r="M6618">
        <v>0.33</v>
      </c>
      <c r="N6618">
        <v>463</v>
      </c>
      <c r="O6618" t="s">
        <v>294</v>
      </c>
      <c r="Q6618" t="s">
        <v>1327</v>
      </c>
      <c r="R6618" t="s">
        <v>6721</v>
      </c>
      <c r="S6618" t="s">
        <v>1078</v>
      </c>
      <c r="T6618" t="s">
        <v>1079</v>
      </c>
    </row>
    <row r="6619" spans="1:20" x14ac:dyDescent="0.25">
      <c r="A6619" t="s">
        <v>59</v>
      </c>
      <c r="B6619" t="s">
        <v>60</v>
      </c>
      <c r="C6619" t="s">
        <v>32</v>
      </c>
      <c r="D6619" t="s">
        <v>953</v>
      </c>
      <c r="E6619" t="s">
        <v>980</v>
      </c>
      <c r="F6619" t="s">
        <v>35</v>
      </c>
      <c r="G6619" t="s">
        <v>35</v>
      </c>
      <c r="H6619" t="s">
        <v>35</v>
      </c>
      <c r="J6619" t="s">
        <v>7117</v>
      </c>
      <c r="K6619" t="s">
        <v>1092</v>
      </c>
      <c r="M6619">
        <v>0.75</v>
      </c>
      <c r="N6619">
        <v>713</v>
      </c>
      <c r="O6619" t="s">
        <v>575</v>
      </c>
      <c r="Q6619" t="s">
        <v>7118</v>
      </c>
      <c r="R6619" t="s">
        <v>6721</v>
      </c>
      <c r="S6619" t="s">
        <v>1078</v>
      </c>
      <c r="T6619" t="s">
        <v>1079</v>
      </c>
    </row>
    <row r="6620" spans="1:20" x14ac:dyDescent="0.25">
      <c r="A6620" t="s">
        <v>59</v>
      </c>
      <c r="B6620" t="s">
        <v>31</v>
      </c>
      <c r="C6620" t="s">
        <v>32</v>
      </c>
      <c r="D6620" t="s">
        <v>953</v>
      </c>
      <c r="E6620" t="s">
        <v>980</v>
      </c>
      <c r="F6620" t="s">
        <v>35</v>
      </c>
      <c r="G6620" t="s">
        <v>35</v>
      </c>
      <c r="H6620" t="s">
        <v>35</v>
      </c>
      <c r="J6620" t="s">
        <v>7117</v>
      </c>
      <c r="K6620" t="s">
        <v>1092</v>
      </c>
      <c r="M6620">
        <v>0.01</v>
      </c>
      <c r="N6620">
        <v>861</v>
      </c>
      <c r="O6620" t="s">
        <v>575</v>
      </c>
      <c r="Q6620" t="s">
        <v>5042</v>
      </c>
      <c r="R6620" t="s">
        <v>6721</v>
      </c>
      <c r="S6620" t="s">
        <v>1078</v>
      </c>
      <c r="T6620" t="s">
        <v>1079</v>
      </c>
    </row>
    <row r="6621" spans="1:20" x14ac:dyDescent="0.25">
      <c r="A6621" t="s">
        <v>59</v>
      </c>
      <c r="B6621" t="s">
        <v>60</v>
      </c>
      <c r="C6621" t="s">
        <v>32</v>
      </c>
      <c r="D6621" t="s">
        <v>953</v>
      </c>
      <c r="E6621" t="s">
        <v>1077</v>
      </c>
      <c r="F6621" t="s">
        <v>35</v>
      </c>
      <c r="G6621" t="s">
        <v>35</v>
      </c>
      <c r="H6621" t="s">
        <v>35</v>
      </c>
      <c r="J6621" t="s">
        <v>7723</v>
      </c>
      <c r="K6621" t="s">
        <v>1092</v>
      </c>
      <c r="M6621">
        <v>0.1</v>
      </c>
      <c r="N6621">
        <v>64</v>
      </c>
      <c r="O6621" t="s">
        <v>61</v>
      </c>
      <c r="Q6621" t="s">
        <v>102</v>
      </c>
      <c r="R6621" t="s">
        <v>6721</v>
      </c>
      <c r="S6621" t="s">
        <v>1078</v>
      </c>
      <c r="T6621" t="s">
        <v>1079</v>
      </c>
    </row>
    <row r="6622" spans="1:20" x14ac:dyDescent="0.25">
      <c r="A6622" t="s">
        <v>30</v>
      </c>
      <c r="B6622" t="s">
        <v>31</v>
      </c>
      <c r="C6622" t="s">
        <v>32</v>
      </c>
      <c r="D6622" t="s">
        <v>953</v>
      </c>
      <c r="E6622" t="s">
        <v>1077</v>
      </c>
      <c r="F6622" t="s">
        <v>35</v>
      </c>
      <c r="G6622" t="s">
        <v>35</v>
      </c>
      <c r="H6622" t="s">
        <v>35</v>
      </c>
      <c r="J6622" t="s">
        <v>7723</v>
      </c>
      <c r="K6622" t="s">
        <v>1092</v>
      </c>
      <c r="M6622">
        <v>0.45</v>
      </c>
      <c r="N6622">
        <v>1014</v>
      </c>
      <c r="O6622" t="s">
        <v>575</v>
      </c>
      <c r="Q6622" t="s">
        <v>7724</v>
      </c>
      <c r="R6622" t="s">
        <v>6721</v>
      </c>
      <c r="S6622" t="s">
        <v>1078</v>
      </c>
      <c r="T6622" t="s">
        <v>1079</v>
      </c>
    </row>
    <row r="6623" spans="1:20" x14ac:dyDescent="0.25">
      <c r="A6623" t="s">
        <v>59</v>
      </c>
      <c r="B6623" t="s">
        <v>60</v>
      </c>
      <c r="C6623" t="s">
        <v>32</v>
      </c>
      <c r="D6623" t="s">
        <v>953</v>
      </c>
      <c r="E6623" t="s">
        <v>1077</v>
      </c>
      <c r="F6623" t="s">
        <v>35</v>
      </c>
      <c r="G6623" t="s">
        <v>35</v>
      </c>
      <c r="H6623" t="s">
        <v>35</v>
      </c>
      <c r="J6623" t="s">
        <v>7723</v>
      </c>
      <c r="K6623" t="s">
        <v>1092</v>
      </c>
      <c r="M6623">
        <v>0.25</v>
      </c>
      <c r="N6623">
        <v>587</v>
      </c>
      <c r="O6623" t="s">
        <v>575</v>
      </c>
      <c r="Q6623" t="s">
        <v>1321</v>
      </c>
      <c r="R6623" t="s">
        <v>6721</v>
      </c>
      <c r="S6623" t="s">
        <v>1078</v>
      </c>
      <c r="T6623" t="s">
        <v>1079</v>
      </c>
    </row>
    <row r="6624" spans="1:20" x14ac:dyDescent="0.25">
      <c r="A6624" t="s">
        <v>59</v>
      </c>
      <c r="B6624" t="s">
        <v>60</v>
      </c>
      <c r="C6624" t="s">
        <v>32</v>
      </c>
      <c r="D6624" t="s">
        <v>953</v>
      </c>
      <c r="E6624" t="s">
        <v>1077</v>
      </c>
      <c r="F6624" t="s">
        <v>35</v>
      </c>
      <c r="G6624" t="s">
        <v>35</v>
      </c>
      <c r="H6624" t="s">
        <v>35</v>
      </c>
      <c r="J6624" t="s">
        <v>7723</v>
      </c>
      <c r="K6624" t="s">
        <v>1092</v>
      </c>
      <c r="M6624">
        <v>0.5</v>
      </c>
      <c r="N6624">
        <v>631</v>
      </c>
      <c r="O6624" t="s">
        <v>575</v>
      </c>
      <c r="Q6624" t="s">
        <v>5102</v>
      </c>
      <c r="R6624" t="s">
        <v>6721</v>
      </c>
      <c r="S6624" t="s">
        <v>1078</v>
      </c>
      <c r="T6624" t="s">
        <v>1079</v>
      </c>
    </row>
    <row r="6625" spans="1:20" x14ac:dyDescent="0.25">
      <c r="A6625" t="s">
        <v>59</v>
      </c>
      <c r="B6625" t="s">
        <v>60</v>
      </c>
      <c r="C6625" t="s">
        <v>32</v>
      </c>
      <c r="D6625" t="s">
        <v>953</v>
      </c>
      <c r="E6625" t="s">
        <v>1077</v>
      </c>
      <c r="F6625" t="s">
        <v>35</v>
      </c>
      <c r="G6625" t="s">
        <v>35</v>
      </c>
      <c r="H6625" t="s">
        <v>35</v>
      </c>
      <c r="J6625" t="s">
        <v>7723</v>
      </c>
      <c r="K6625" t="s">
        <v>1092</v>
      </c>
      <c r="M6625">
        <v>0.1</v>
      </c>
      <c r="N6625">
        <v>660</v>
      </c>
      <c r="O6625" t="s">
        <v>575</v>
      </c>
      <c r="Q6625" t="s">
        <v>1518</v>
      </c>
      <c r="R6625" t="s">
        <v>6721</v>
      </c>
      <c r="S6625" t="s">
        <v>1078</v>
      </c>
      <c r="T6625" t="s">
        <v>1079</v>
      </c>
    </row>
    <row r="6626" spans="1:20" x14ac:dyDescent="0.25">
      <c r="A6626" t="s">
        <v>59</v>
      </c>
      <c r="B6626" t="s">
        <v>60</v>
      </c>
      <c r="C6626" t="s">
        <v>32</v>
      </c>
      <c r="D6626" t="s">
        <v>953</v>
      </c>
      <c r="E6626" t="s">
        <v>1077</v>
      </c>
      <c r="F6626" t="s">
        <v>35</v>
      </c>
      <c r="G6626" t="s">
        <v>35</v>
      </c>
      <c r="H6626" t="s">
        <v>35</v>
      </c>
      <c r="J6626" t="s">
        <v>7723</v>
      </c>
      <c r="K6626" t="s">
        <v>1092</v>
      </c>
      <c r="M6626">
        <v>0.39900000000000002</v>
      </c>
      <c r="N6626">
        <v>713</v>
      </c>
      <c r="O6626" t="s">
        <v>575</v>
      </c>
      <c r="Q6626" t="s">
        <v>7118</v>
      </c>
      <c r="R6626" t="s">
        <v>6721</v>
      </c>
      <c r="S6626" t="s">
        <v>1078</v>
      </c>
      <c r="T6626" t="s">
        <v>1079</v>
      </c>
    </row>
    <row r="6627" spans="1:20" x14ac:dyDescent="0.25">
      <c r="A6627" t="s">
        <v>59</v>
      </c>
      <c r="B6627" t="s">
        <v>60</v>
      </c>
      <c r="C6627" t="s">
        <v>32</v>
      </c>
      <c r="D6627" t="s">
        <v>953</v>
      </c>
      <c r="E6627" t="s">
        <v>1077</v>
      </c>
      <c r="F6627" t="s">
        <v>35</v>
      </c>
      <c r="G6627" t="s">
        <v>35</v>
      </c>
      <c r="H6627" t="s">
        <v>35</v>
      </c>
      <c r="J6627" t="s">
        <v>7723</v>
      </c>
      <c r="K6627" t="s">
        <v>1092</v>
      </c>
      <c r="M6627">
        <v>0.15</v>
      </c>
      <c r="N6627">
        <v>29</v>
      </c>
      <c r="O6627" t="s">
        <v>46</v>
      </c>
      <c r="Q6627" t="s">
        <v>2005</v>
      </c>
      <c r="R6627" t="s">
        <v>6721</v>
      </c>
      <c r="S6627" t="s">
        <v>1078</v>
      </c>
      <c r="T6627" t="s">
        <v>1079</v>
      </c>
    </row>
    <row r="6628" spans="1:20" x14ac:dyDescent="0.25">
      <c r="A6628" t="s">
        <v>30</v>
      </c>
      <c r="B6628" t="s">
        <v>31</v>
      </c>
      <c r="C6628" t="s">
        <v>32</v>
      </c>
      <c r="D6628" t="s">
        <v>953</v>
      </c>
      <c r="E6628" t="s">
        <v>1077</v>
      </c>
      <c r="F6628" t="s">
        <v>35</v>
      </c>
      <c r="G6628" t="s">
        <v>35</v>
      </c>
      <c r="H6628" t="s">
        <v>35</v>
      </c>
      <c r="J6628" t="s">
        <v>7723</v>
      </c>
      <c r="K6628" t="s">
        <v>1092</v>
      </c>
      <c r="M6628">
        <v>0.18</v>
      </c>
      <c r="N6628">
        <v>1193</v>
      </c>
      <c r="O6628" t="s">
        <v>575</v>
      </c>
      <c r="Q6628" t="s">
        <v>3747</v>
      </c>
      <c r="R6628" t="s">
        <v>6721</v>
      </c>
      <c r="S6628" t="s">
        <v>1078</v>
      </c>
      <c r="T6628" t="s">
        <v>1079</v>
      </c>
    </row>
    <row r="6629" spans="1:20" x14ac:dyDescent="0.25">
      <c r="A6629" t="s">
        <v>44</v>
      </c>
      <c r="B6629" t="s">
        <v>51</v>
      </c>
      <c r="C6629" t="s">
        <v>32</v>
      </c>
      <c r="D6629" t="s">
        <v>953</v>
      </c>
      <c r="E6629" t="s">
        <v>1077</v>
      </c>
      <c r="F6629" t="s">
        <v>35</v>
      </c>
      <c r="G6629" t="s">
        <v>35</v>
      </c>
      <c r="H6629" t="s">
        <v>35</v>
      </c>
      <c r="J6629" t="s">
        <v>7723</v>
      </c>
      <c r="K6629" t="s">
        <v>1092</v>
      </c>
      <c r="M6629">
        <v>0.05</v>
      </c>
      <c r="N6629">
        <v>918</v>
      </c>
      <c r="O6629" t="s">
        <v>575</v>
      </c>
      <c r="Q6629" t="s">
        <v>7725</v>
      </c>
      <c r="R6629" t="s">
        <v>6721</v>
      </c>
      <c r="S6629" t="s">
        <v>1078</v>
      </c>
      <c r="T6629" t="s">
        <v>1079</v>
      </c>
    </row>
    <row r="6630" spans="1:20" x14ac:dyDescent="0.25">
      <c r="A6630" t="s">
        <v>59</v>
      </c>
      <c r="B6630" t="s">
        <v>31</v>
      </c>
      <c r="C6630" t="s">
        <v>32</v>
      </c>
      <c r="D6630" t="s">
        <v>953</v>
      </c>
      <c r="E6630" t="s">
        <v>1077</v>
      </c>
      <c r="F6630" t="s">
        <v>35</v>
      </c>
      <c r="G6630" t="s">
        <v>35</v>
      </c>
      <c r="H6630" t="s">
        <v>35</v>
      </c>
      <c r="J6630" t="s">
        <v>7691</v>
      </c>
      <c r="K6630" t="s">
        <v>1092</v>
      </c>
      <c r="M6630">
        <v>0.36</v>
      </c>
      <c r="N6630">
        <v>134</v>
      </c>
      <c r="O6630" t="s">
        <v>38</v>
      </c>
      <c r="Q6630" t="s">
        <v>1822</v>
      </c>
      <c r="R6630" t="s">
        <v>6721</v>
      </c>
      <c r="S6630" t="s">
        <v>1078</v>
      </c>
      <c r="T6630" t="s">
        <v>1079</v>
      </c>
    </row>
    <row r="6631" spans="1:20" x14ac:dyDescent="0.25">
      <c r="A6631" t="s">
        <v>44</v>
      </c>
      <c r="B6631" t="s">
        <v>3</v>
      </c>
      <c r="C6631" t="s">
        <v>32</v>
      </c>
      <c r="D6631" t="s">
        <v>953</v>
      </c>
      <c r="E6631" t="s">
        <v>980</v>
      </c>
      <c r="F6631" t="s">
        <v>35</v>
      </c>
      <c r="G6631" t="s">
        <v>35</v>
      </c>
      <c r="H6631" t="s">
        <v>35</v>
      </c>
      <c r="J6631" t="s">
        <v>7154</v>
      </c>
      <c r="K6631" t="s">
        <v>1092</v>
      </c>
      <c r="M6631">
        <v>0.35</v>
      </c>
      <c r="N6631">
        <v>29</v>
      </c>
      <c r="O6631" t="s">
        <v>46</v>
      </c>
      <c r="Q6631" t="s">
        <v>2005</v>
      </c>
      <c r="R6631" t="s">
        <v>6721</v>
      </c>
      <c r="S6631" t="s">
        <v>1078</v>
      </c>
      <c r="T6631" t="s">
        <v>1079</v>
      </c>
    </row>
    <row r="6632" spans="1:20" x14ac:dyDescent="0.25">
      <c r="A6632" t="s">
        <v>59</v>
      </c>
      <c r="B6632" t="s">
        <v>60</v>
      </c>
      <c r="C6632" t="s">
        <v>32</v>
      </c>
      <c r="D6632" t="s">
        <v>953</v>
      </c>
      <c r="E6632" t="s">
        <v>954</v>
      </c>
      <c r="F6632" t="s">
        <v>35</v>
      </c>
      <c r="G6632" t="s">
        <v>35</v>
      </c>
      <c r="H6632" t="s">
        <v>35</v>
      </c>
      <c r="J6632" t="s">
        <v>6788</v>
      </c>
      <c r="K6632" t="s">
        <v>1092</v>
      </c>
      <c r="M6632">
        <v>0.15</v>
      </c>
      <c r="N6632">
        <v>36</v>
      </c>
      <c r="O6632" t="s">
        <v>52</v>
      </c>
      <c r="Q6632" t="s">
        <v>892</v>
      </c>
      <c r="R6632" t="s">
        <v>6721</v>
      </c>
      <c r="S6632" t="s">
        <v>1078</v>
      </c>
      <c r="T6632" t="s">
        <v>1079</v>
      </c>
    </row>
    <row r="6633" spans="1:20" x14ac:dyDescent="0.25">
      <c r="A6633" t="s">
        <v>44</v>
      </c>
      <c r="B6633" t="s">
        <v>3</v>
      </c>
      <c r="C6633" t="s">
        <v>32</v>
      </c>
      <c r="D6633" t="s">
        <v>953</v>
      </c>
      <c r="E6633" t="s">
        <v>954</v>
      </c>
      <c r="F6633" t="s">
        <v>35</v>
      </c>
      <c r="G6633" t="s">
        <v>35</v>
      </c>
      <c r="H6633" t="s">
        <v>35</v>
      </c>
      <c r="J6633" t="s">
        <v>6788</v>
      </c>
      <c r="K6633" t="s">
        <v>1092</v>
      </c>
      <c r="M6633">
        <v>0.25</v>
      </c>
      <c r="N6633">
        <v>36</v>
      </c>
      <c r="O6633" t="s">
        <v>52</v>
      </c>
      <c r="Q6633" t="s">
        <v>892</v>
      </c>
      <c r="R6633" t="s">
        <v>6721</v>
      </c>
      <c r="S6633" t="s">
        <v>1078</v>
      </c>
      <c r="T6633" t="s">
        <v>1079</v>
      </c>
    </row>
    <row r="6634" spans="1:20" x14ac:dyDescent="0.25">
      <c r="A6634" t="s">
        <v>59</v>
      </c>
      <c r="B6634" t="s">
        <v>60</v>
      </c>
      <c r="C6634" t="s">
        <v>32</v>
      </c>
      <c r="D6634" t="s">
        <v>953</v>
      </c>
      <c r="E6634" t="s">
        <v>954</v>
      </c>
      <c r="F6634" t="s">
        <v>35</v>
      </c>
      <c r="G6634" t="s">
        <v>35</v>
      </c>
      <c r="H6634" t="s">
        <v>35</v>
      </c>
      <c r="J6634" t="s">
        <v>6788</v>
      </c>
      <c r="K6634" t="s">
        <v>1092</v>
      </c>
      <c r="M6634">
        <v>0.15</v>
      </c>
      <c r="N6634">
        <v>68</v>
      </c>
      <c r="O6634" t="s">
        <v>61</v>
      </c>
      <c r="Q6634" t="s">
        <v>805</v>
      </c>
      <c r="R6634" t="s">
        <v>6721</v>
      </c>
      <c r="S6634" t="s">
        <v>1078</v>
      </c>
      <c r="T6634" t="s">
        <v>1079</v>
      </c>
    </row>
    <row r="6635" spans="1:20" x14ac:dyDescent="0.25">
      <c r="A6635" t="s">
        <v>59</v>
      </c>
      <c r="B6635" t="s">
        <v>60</v>
      </c>
      <c r="C6635" t="s">
        <v>32</v>
      </c>
      <c r="D6635" t="s">
        <v>953</v>
      </c>
      <c r="F6635" t="s">
        <v>35</v>
      </c>
      <c r="G6635" t="s">
        <v>35</v>
      </c>
      <c r="H6635" t="s">
        <v>35</v>
      </c>
      <c r="J6635" t="s">
        <v>8027</v>
      </c>
      <c r="K6635" t="s">
        <v>1092</v>
      </c>
      <c r="M6635">
        <v>1.75</v>
      </c>
      <c r="N6635">
        <v>1170</v>
      </c>
      <c r="O6635" t="s">
        <v>575</v>
      </c>
      <c r="Q6635" t="s">
        <v>8028</v>
      </c>
      <c r="R6635" t="s">
        <v>6721</v>
      </c>
      <c r="S6635" t="s">
        <v>1078</v>
      </c>
      <c r="T6635" t="s">
        <v>1079</v>
      </c>
    </row>
    <row r="6636" spans="1:20" x14ac:dyDescent="0.25">
      <c r="A6636" t="s">
        <v>59</v>
      </c>
      <c r="B6636" t="s">
        <v>60</v>
      </c>
      <c r="C6636" t="s">
        <v>32</v>
      </c>
      <c r="D6636" t="s">
        <v>953</v>
      </c>
      <c r="E6636" t="s">
        <v>1084</v>
      </c>
      <c r="F6636" t="s">
        <v>35</v>
      </c>
      <c r="G6636" t="s">
        <v>35</v>
      </c>
      <c r="H6636" t="s">
        <v>35</v>
      </c>
      <c r="J6636" t="s">
        <v>7812</v>
      </c>
      <c r="K6636" t="s">
        <v>1092</v>
      </c>
      <c r="M6636">
        <v>0.1</v>
      </c>
      <c r="N6636">
        <v>549</v>
      </c>
      <c r="O6636" t="s">
        <v>575</v>
      </c>
      <c r="Q6636" t="s">
        <v>3825</v>
      </c>
      <c r="R6636" t="s">
        <v>7813</v>
      </c>
      <c r="S6636" t="s">
        <v>7814</v>
      </c>
      <c r="T6636" t="s">
        <v>7815</v>
      </c>
    </row>
    <row r="6637" spans="1:20" x14ac:dyDescent="0.25">
      <c r="A6637" t="s">
        <v>59</v>
      </c>
      <c r="B6637" t="s">
        <v>60</v>
      </c>
      <c r="C6637" t="s">
        <v>32</v>
      </c>
      <c r="D6637" t="s">
        <v>953</v>
      </c>
      <c r="E6637" t="s">
        <v>1084</v>
      </c>
      <c r="F6637" t="s">
        <v>35</v>
      </c>
      <c r="G6637" t="s">
        <v>35</v>
      </c>
      <c r="H6637" t="s">
        <v>35</v>
      </c>
      <c r="J6637" t="s">
        <v>7835</v>
      </c>
      <c r="K6637" t="s">
        <v>1092</v>
      </c>
      <c r="M6637">
        <v>0.25</v>
      </c>
      <c r="N6637">
        <v>549</v>
      </c>
      <c r="O6637" t="s">
        <v>575</v>
      </c>
      <c r="Q6637" t="s">
        <v>3825</v>
      </c>
      <c r="R6637" t="s">
        <v>7813</v>
      </c>
      <c r="S6637" t="s">
        <v>7814</v>
      </c>
      <c r="T6637" t="s">
        <v>7815</v>
      </c>
    </row>
    <row r="6638" spans="1:20" x14ac:dyDescent="0.25">
      <c r="A6638" t="s">
        <v>59</v>
      </c>
      <c r="B6638" t="s">
        <v>60</v>
      </c>
      <c r="C6638" t="s">
        <v>32</v>
      </c>
      <c r="D6638" t="s">
        <v>953</v>
      </c>
      <c r="E6638" t="s">
        <v>6878</v>
      </c>
      <c r="F6638" t="s">
        <v>35</v>
      </c>
      <c r="G6638" t="s">
        <v>35</v>
      </c>
      <c r="H6638" t="s">
        <v>35</v>
      </c>
      <c r="J6638" t="s">
        <v>1885</v>
      </c>
      <c r="K6638" t="s">
        <v>1092</v>
      </c>
      <c r="M6638">
        <v>0.05</v>
      </c>
      <c r="N6638">
        <v>687</v>
      </c>
      <c r="O6638" t="s">
        <v>575</v>
      </c>
      <c r="Q6638" t="s">
        <v>6889</v>
      </c>
      <c r="R6638" t="s">
        <v>6890</v>
      </c>
      <c r="S6638" t="s">
        <v>6880</v>
      </c>
      <c r="T6638" t="s">
        <v>6881</v>
      </c>
    </row>
    <row r="6639" spans="1:20" x14ac:dyDescent="0.25">
      <c r="A6639" t="s">
        <v>59</v>
      </c>
      <c r="B6639" t="s">
        <v>60</v>
      </c>
      <c r="C6639" t="s">
        <v>32</v>
      </c>
      <c r="D6639" t="s">
        <v>953</v>
      </c>
      <c r="E6639" t="s">
        <v>6878</v>
      </c>
      <c r="F6639" t="s">
        <v>35</v>
      </c>
      <c r="G6639" t="s">
        <v>35</v>
      </c>
      <c r="H6639" t="s">
        <v>35</v>
      </c>
      <c r="J6639" t="s">
        <v>1885</v>
      </c>
      <c r="K6639" t="s">
        <v>1092</v>
      </c>
      <c r="M6639">
        <v>0.3</v>
      </c>
      <c r="N6639">
        <v>597</v>
      </c>
      <c r="O6639" t="s">
        <v>575</v>
      </c>
      <c r="Q6639" t="s">
        <v>1854</v>
      </c>
      <c r="R6639" t="s">
        <v>6890</v>
      </c>
      <c r="S6639" t="s">
        <v>6880</v>
      </c>
      <c r="T6639" t="s">
        <v>6881</v>
      </c>
    </row>
    <row r="6640" spans="1:20" x14ac:dyDescent="0.25">
      <c r="A6640" t="s">
        <v>59</v>
      </c>
      <c r="B6640" t="s">
        <v>60</v>
      </c>
      <c r="C6640" t="s">
        <v>32</v>
      </c>
      <c r="D6640" t="s">
        <v>953</v>
      </c>
      <c r="E6640" t="s">
        <v>6878</v>
      </c>
      <c r="F6640" t="s">
        <v>35</v>
      </c>
      <c r="G6640" t="s">
        <v>35</v>
      </c>
      <c r="H6640" t="s">
        <v>35</v>
      </c>
      <c r="J6640" t="s">
        <v>1885</v>
      </c>
      <c r="K6640" t="s">
        <v>1092</v>
      </c>
      <c r="M6640">
        <v>1</v>
      </c>
      <c r="N6640">
        <v>569</v>
      </c>
      <c r="O6640" t="s">
        <v>575</v>
      </c>
      <c r="Q6640" t="s">
        <v>2557</v>
      </c>
      <c r="R6640" t="s">
        <v>6890</v>
      </c>
      <c r="S6640" t="s">
        <v>6880</v>
      </c>
      <c r="T6640" t="s">
        <v>6881</v>
      </c>
    </row>
    <row r="6641" spans="1:20" x14ac:dyDescent="0.25">
      <c r="A6641" t="s">
        <v>59</v>
      </c>
      <c r="B6641" t="s">
        <v>60</v>
      </c>
      <c r="C6641" t="s">
        <v>32</v>
      </c>
      <c r="D6641" t="s">
        <v>953</v>
      </c>
      <c r="E6641" t="s">
        <v>6878</v>
      </c>
      <c r="F6641" t="s">
        <v>35</v>
      </c>
      <c r="G6641" t="s">
        <v>35</v>
      </c>
      <c r="H6641" t="s">
        <v>35</v>
      </c>
      <c r="J6641" t="s">
        <v>1885</v>
      </c>
      <c r="K6641" t="s">
        <v>1092</v>
      </c>
      <c r="M6641">
        <v>0.25</v>
      </c>
      <c r="N6641">
        <v>578</v>
      </c>
      <c r="O6641" t="s">
        <v>575</v>
      </c>
      <c r="Q6641" t="s">
        <v>1416</v>
      </c>
      <c r="R6641" t="s">
        <v>6890</v>
      </c>
      <c r="S6641" t="s">
        <v>6880</v>
      </c>
      <c r="T6641" t="s">
        <v>6881</v>
      </c>
    </row>
    <row r="6642" spans="1:20" x14ac:dyDescent="0.25">
      <c r="A6642" t="s">
        <v>59</v>
      </c>
      <c r="B6642" t="s">
        <v>60</v>
      </c>
      <c r="C6642" t="s">
        <v>32</v>
      </c>
      <c r="D6642" t="s">
        <v>953</v>
      </c>
      <c r="F6642" t="s">
        <v>35</v>
      </c>
      <c r="G6642" t="s">
        <v>35</v>
      </c>
      <c r="H6642" t="s">
        <v>35</v>
      </c>
      <c r="J6642" t="s">
        <v>7967</v>
      </c>
      <c r="K6642" t="s">
        <v>1092</v>
      </c>
      <c r="M6642">
        <v>1.7999999999999999E-2</v>
      </c>
      <c r="N6642">
        <v>1875</v>
      </c>
      <c r="O6642" t="s">
        <v>575</v>
      </c>
      <c r="Q6642" t="s">
        <v>1800</v>
      </c>
      <c r="R6642" t="s">
        <v>6890</v>
      </c>
      <c r="S6642" t="s">
        <v>6880</v>
      </c>
      <c r="T6642" t="s">
        <v>6881</v>
      </c>
    </row>
    <row r="6643" spans="1:20" x14ac:dyDescent="0.25">
      <c r="A6643" t="s">
        <v>59</v>
      </c>
      <c r="B6643" t="s">
        <v>31</v>
      </c>
      <c r="C6643" t="s">
        <v>32</v>
      </c>
      <c r="D6643" t="s">
        <v>953</v>
      </c>
      <c r="F6643" t="s">
        <v>35</v>
      </c>
      <c r="G6643" t="s">
        <v>35</v>
      </c>
      <c r="H6643" t="s">
        <v>35</v>
      </c>
      <c r="J6643" t="s">
        <v>7998</v>
      </c>
      <c r="K6643" t="s">
        <v>1092</v>
      </c>
      <c r="M6643">
        <v>5.5E-2</v>
      </c>
      <c r="N6643">
        <v>1839</v>
      </c>
      <c r="O6643" t="s">
        <v>575</v>
      </c>
      <c r="Q6643" t="s">
        <v>7999</v>
      </c>
      <c r="R6643" t="s">
        <v>8000</v>
      </c>
      <c r="S6643" t="s">
        <v>8001</v>
      </c>
      <c r="T6643" t="s">
        <v>8002</v>
      </c>
    </row>
    <row r="6644" spans="1:20" x14ac:dyDescent="0.25">
      <c r="A6644" t="s">
        <v>30</v>
      </c>
      <c r="B6644" t="s">
        <v>31</v>
      </c>
      <c r="C6644" t="s">
        <v>32</v>
      </c>
      <c r="D6644" t="s">
        <v>953</v>
      </c>
      <c r="E6644" t="s">
        <v>998</v>
      </c>
      <c r="F6644" t="s">
        <v>35</v>
      </c>
      <c r="G6644" t="s">
        <v>35</v>
      </c>
      <c r="H6644" t="s">
        <v>35</v>
      </c>
      <c r="J6644" t="s">
        <v>7276</v>
      </c>
      <c r="K6644" t="s">
        <v>1092</v>
      </c>
      <c r="M6644">
        <v>2.7</v>
      </c>
      <c r="N6644">
        <v>85</v>
      </c>
      <c r="O6644" t="s">
        <v>61</v>
      </c>
      <c r="Q6644" t="s">
        <v>1100</v>
      </c>
      <c r="R6644" t="s">
        <v>7205</v>
      </c>
      <c r="S6644" t="s">
        <v>7206</v>
      </c>
      <c r="T6644" t="s">
        <v>7204</v>
      </c>
    </row>
    <row r="6645" spans="1:20" x14ac:dyDescent="0.25">
      <c r="A6645" t="s">
        <v>30</v>
      </c>
      <c r="B6645" t="s">
        <v>31</v>
      </c>
      <c r="C6645" t="s">
        <v>32</v>
      </c>
      <c r="D6645" t="s">
        <v>953</v>
      </c>
      <c r="E6645" t="s">
        <v>7184</v>
      </c>
      <c r="F6645" t="s">
        <v>35</v>
      </c>
      <c r="G6645" t="s">
        <v>35</v>
      </c>
      <c r="H6645" t="s">
        <v>35</v>
      </c>
      <c r="J6645" t="s">
        <v>7203</v>
      </c>
      <c r="K6645" t="s">
        <v>1092</v>
      </c>
      <c r="M6645">
        <v>1.44</v>
      </c>
      <c r="N6645">
        <v>7</v>
      </c>
      <c r="O6645" t="s">
        <v>46</v>
      </c>
      <c r="Q6645" t="s">
        <v>2440</v>
      </c>
      <c r="R6645" t="s">
        <v>7205</v>
      </c>
      <c r="S6645" t="s">
        <v>7206</v>
      </c>
      <c r="T6645" t="s">
        <v>7204</v>
      </c>
    </row>
    <row r="6646" spans="1:20" x14ac:dyDescent="0.25">
      <c r="A6646" t="s">
        <v>30</v>
      </c>
      <c r="B6646" t="s">
        <v>31</v>
      </c>
      <c r="C6646" t="s">
        <v>32</v>
      </c>
      <c r="D6646" t="s">
        <v>953</v>
      </c>
      <c r="E6646" t="s">
        <v>7184</v>
      </c>
      <c r="F6646" t="s">
        <v>35</v>
      </c>
      <c r="G6646" t="s">
        <v>35</v>
      </c>
      <c r="H6646" t="s">
        <v>35</v>
      </c>
      <c r="J6646" t="s">
        <v>7224</v>
      </c>
      <c r="K6646" t="s">
        <v>1092</v>
      </c>
      <c r="M6646">
        <v>1.35</v>
      </c>
      <c r="N6646">
        <v>85</v>
      </c>
      <c r="O6646" t="s">
        <v>61</v>
      </c>
      <c r="Q6646" t="s">
        <v>1100</v>
      </c>
      <c r="R6646" t="s">
        <v>7205</v>
      </c>
      <c r="S6646" t="s">
        <v>7206</v>
      </c>
      <c r="T6646" t="s">
        <v>7204</v>
      </c>
    </row>
    <row r="6647" spans="1:20" x14ac:dyDescent="0.25">
      <c r="A6647" t="s">
        <v>30</v>
      </c>
      <c r="B6647" t="s">
        <v>31</v>
      </c>
      <c r="C6647" t="s">
        <v>32</v>
      </c>
      <c r="D6647" t="s">
        <v>953</v>
      </c>
      <c r="E6647" t="s">
        <v>7184</v>
      </c>
      <c r="F6647" t="s">
        <v>35</v>
      </c>
      <c r="G6647" t="s">
        <v>35</v>
      </c>
      <c r="H6647" t="s">
        <v>35</v>
      </c>
      <c r="J6647" t="s">
        <v>7223</v>
      </c>
      <c r="K6647" t="s">
        <v>1092</v>
      </c>
      <c r="M6647">
        <v>1.125</v>
      </c>
      <c r="N6647">
        <v>85</v>
      </c>
      <c r="O6647" t="s">
        <v>61</v>
      </c>
      <c r="Q6647" t="s">
        <v>1100</v>
      </c>
      <c r="R6647" t="s">
        <v>7205</v>
      </c>
      <c r="S6647" t="s">
        <v>7206</v>
      </c>
      <c r="T6647" t="s">
        <v>7204</v>
      </c>
    </row>
    <row r="6648" spans="1:20" x14ac:dyDescent="0.25">
      <c r="A6648" t="s">
        <v>59</v>
      </c>
      <c r="B6648" t="s">
        <v>31</v>
      </c>
      <c r="C6648" t="s">
        <v>32</v>
      </c>
      <c r="D6648" t="s">
        <v>953</v>
      </c>
      <c r="F6648" t="s">
        <v>35</v>
      </c>
      <c r="G6648" t="s">
        <v>35</v>
      </c>
      <c r="H6648" t="s">
        <v>35</v>
      </c>
      <c r="J6648" t="s">
        <v>8014</v>
      </c>
      <c r="K6648" t="s">
        <v>1092</v>
      </c>
      <c r="M6648">
        <v>0.9</v>
      </c>
      <c r="N6648">
        <v>1904</v>
      </c>
      <c r="O6648" t="s">
        <v>575</v>
      </c>
      <c r="Q6648" t="s">
        <v>3031</v>
      </c>
      <c r="R6648" t="s">
        <v>7311</v>
      </c>
      <c r="S6648" t="s">
        <v>7312</v>
      </c>
      <c r="T6648" t="s">
        <v>7313</v>
      </c>
    </row>
    <row r="6649" spans="1:20" x14ac:dyDescent="0.25">
      <c r="A6649" t="s">
        <v>59</v>
      </c>
      <c r="B6649" t="s">
        <v>60</v>
      </c>
      <c r="C6649" t="s">
        <v>32</v>
      </c>
      <c r="D6649" t="s">
        <v>953</v>
      </c>
      <c r="E6649" t="s">
        <v>1007</v>
      </c>
      <c r="F6649" t="s">
        <v>35</v>
      </c>
      <c r="G6649" t="s">
        <v>35</v>
      </c>
      <c r="H6649" t="s">
        <v>35</v>
      </c>
      <c r="J6649" t="s">
        <v>7309</v>
      </c>
      <c r="K6649" t="s">
        <v>1092</v>
      </c>
      <c r="M6649">
        <v>0.45</v>
      </c>
      <c r="N6649">
        <v>1415</v>
      </c>
      <c r="O6649" t="s">
        <v>575</v>
      </c>
      <c r="Q6649" t="s">
        <v>7310</v>
      </c>
      <c r="R6649" t="s">
        <v>7311</v>
      </c>
      <c r="S6649" t="s">
        <v>7312</v>
      </c>
      <c r="T6649" t="s">
        <v>7313</v>
      </c>
    </row>
    <row r="6650" spans="1:20" x14ac:dyDescent="0.25">
      <c r="A6650" t="s">
        <v>59</v>
      </c>
      <c r="B6650" t="s">
        <v>60</v>
      </c>
      <c r="C6650" t="s">
        <v>32</v>
      </c>
      <c r="D6650" t="s">
        <v>953</v>
      </c>
      <c r="E6650" t="s">
        <v>980</v>
      </c>
      <c r="F6650" t="s">
        <v>35</v>
      </c>
      <c r="G6650" t="s">
        <v>35</v>
      </c>
      <c r="H6650" t="s">
        <v>35</v>
      </c>
      <c r="J6650" t="s">
        <v>7063</v>
      </c>
      <c r="K6650" t="s">
        <v>1092</v>
      </c>
      <c r="M6650">
        <v>7.15</v>
      </c>
      <c r="N6650">
        <v>90</v>
      </c>
      <c r="O6650" t="s">
        <v>61</v>
      </c>
      <c r="Q6650" t="s">
        <v>557</v>
      </c>
      <c r="R6650" t="s">
        <v>7064</v>
      </c>
      <c r="S6650" t="s">
        <v>7065</v>
      </c>
      <c r="T6650" t="s">
        <v>7066</v>
      </c>
    </row>
    <row r="6651" spans="1:20" x14ac:dyDescent="0.25">
      <c r="A6651" t="s">
        <v>59</v>
      </c>
      <c r="B6651" t="s">
        <v>60</v>
      </c>
      <c r="C6651" t="s">
        <v>32</v>
      </c>
      <c r="D6651" t="s">
        <v>953</v>
      </c>
      <c r="E6651" t="s">
        <v>980</v>
      </c>
      <c r="F6651" t="s">
        <v>35</v>
      </c>
      <c r="G6651" t="s">
        <v>35</v>
      </c>
      <c r="H6651" t="s">
        <v>35</v>
      </c>
      <c r="J6651" t="s">
        <v>7125</v>
      </c>
      <c r="K6651" t="s">
        <v>1092</v>
      </c>
      <c r="M6651">
        <v>5.5</v>
      </c>
      <c r="N6651">
        <v>68</v>
      </c>
      <c r="O6651" t="s">
        <v>61</v>
      </c>
      <c r="Q6651" t="s">
        <v>805</v>
      </c>
      <c r="R6651" t="s">
        <v>7064</v>
      </c>
      <c r="S6651" t="s">
        <v>7065</v>
      </c>
      <c r="T6651" t="s">
        <v>7066</v>
      </c>
    </row>
    <row r="6652" spans="1:20" x14ac:dyDescent="0.25">
      <c r="A6652" t="s">
        <v>30</v>
      </c>
      <c r="B6652" t="s">
        <v>31</v>
      </c>
      <c r="C6652" t="s">
        <v>32</v>
      </c>
      <c r="D6652" t="s">
        <v>953</v>
      </c>
      <c r="F6652" t="s">
        <v>35</v>
      </c>
      <c r="G6652" t="s">
        <v>35</v>
      </c>
      <c r="H6652" t="s">
        <v>35</v>
      </c>
      <c r="J6652" t="s">
        <v>8034</v>
      </c>
      <c r="K6652" t="s">
        <v>1092</v>
      </c>
      <c r="M6652">
        <v>2.7</v>
      </c>
      <c r="N6652">
        <v>1190</v>
      </c>
      <c r="O6652" t="s">
        <v>575</v>
      </c>
      <c r="Q6652" t="s">
        <v>2473</v>
      </c>
      <c r="R6652" t="s">
        <v>7029</v>
      </c>
      <c r="S6652" t="s">
        <v>7030</v>
      </c>
      <c r="T6652" t="s">
        <v>7031</v>
      </c>
    </row>
    <row r="6653" spans="1:20" x14ac:dyDescent="0.25">
      <c r="A6653" t="s">
        <v>59</v>
      </c>
      <c r="B6653" t="s">
        <v>60</v>
      </c>
      <c r="C6653" t="s">
        <v>32</v>
      </c>
      <c r="D6653" t="s">
        <v>953</v>
      </c>
      <c r="E6653" t="s">
        <v>7467</v>
      </c>
      <c r="F6653" t="s">
        <v>35</v>
      </c>
      <c r="G6653" t="s">
        <v>35</v>
      </c>
      <c r="H6653" t="s">
        <v>35</v>
      </c>
      <c r="J6653" t="s">
        <v>628</v>
      </c>
      <c r="K6653" t="s">
        <v>1092</v>
      </c>
      <c r="M6653">
        <v>0.45</v>
      </c>
      <c r="N6653">
        <v>163</v>
      </c>
      <c r="O6653" t="s">
        <v>38</v>
      </c>
      <c r="Q6653" t="s">
        <v>2780</v>
      </c>
      <c r="R6653" t="s">
        <v>7029</v>
      </c>
      <c r="S6653" t="s">
        <v>7030</v>
      </c>
      <c r="T6653" t="s">
        <v>7031</v>
      </c>
    </row>
    <row r="6654" spans="1:20" x14ac:dyDescent="0.25">
      <c r="A6654" t="s">
        <v>59</v>
      </c>
      <c r="B6654" t="s">
        <v>31</v>
      </c>
      <c r="C6654" t="s">
        <v>32</v>
      </c>
      <c r="D6654" t="s">
        <v>953</v>
      </c>
      <c r="E6654" t="s">
        <v>7467</v>
      </c>
      <c r="F6654" t="s">
        <v>35</v>
      </c>
      <c r="G6654" t="s">
        <v>35</v>
      </c>
      <c r="H6654" t="s">
        <v>35</v>
      </c>
      <c r="J6654" t="s">
        <v>7472</v>
      </c>
      <c r="K6654" t="s">
        <v>1092</v>
      </c>
      <c r="M6654">
        <v>0.58499999999999996</v>
      </c>
      <c r="N6654">
        <v>58</v>
      </c>
      <c r="O6654" t="s">
        <v>52</v>
      </c>
      <c r="Q6654" t="s">
        <v>128</v>
      </c>
      <c r="R6654" t="s">
        <v>7029</v>
      </c>
      <c r="S6654" t="s">
        <v>7030</v>
      </c>
      <c r="T6654" t="s">
        <v>7031</v>
      </c>
    </row>
    <row r="6655" spans="1:20" x14ac:dyDescent="0.25">
      <c r="A6655" t="s">
        <v>59</v>
      </c>
      <c r="B6655" t="s">
        <v>60</v>
      </c>
      <c r="C6655" t="s">
        <v>32</v>
      </c>
      <c r="D6655" t="s">
        <v>953</v>
      </c>
      <c r="E6655" t="s">
        <v>7467</v>
      </c>
      <c r="F6655" t="s">
        <v>35</v>
      </c>
      <c r="G6655" t="s">
        <v>35</v>
      </c>
      <c r="H6655" t="s">
        <v>35</v>
      </c>
      <c r="J6655" t="s">
        <v>7474</v>
      </c>
      <c r="K6655" t="s">
        <v>1092</v>
      </c>
      <c r="M6655">
        <v>0.25</v>
      </c>
      <c r="N6655">
        <v>248</v>
      </c>
      <c r="O6655" t="s">
        <v>5</v>
      </c>
      <c r="Q6655" t="s">
        <v>1747</v>
      </c>
      <c r="R6655" t="s">
        <v>7029</v>
      </c>
      <c r="S6655" t="s">
        <v>7030</v>
      </c>
      <c r="T6655" t="s">
        <v>7031</v>
      </c>
    </row>
    <row r="6656" spans="1:20" x14ac:dyDescent="0.25">
      <c r="A6656" t="s">
        <v>59</v>
      </c>
      <c r="B6656" t="s">
        <v>60</v>
      </c>
      <c r="C6656" t="s">
        <v>32</v>
      </c>
      <c r="D6656" t="s">
        <v>953</v>
      </c>
      <c r="E6656" t="s">
        <v>7467</v>
      </c>
      <c r="F6656" t="s">
        <v>35</v>
      </c>
      <c r="G6656" t="s">
        <v>35</v>
      </c>
      <c r="H6656" t="s">
        <v>35</v>
      </c>
      <c r="J6656" t="s">
        <v>7480</v>
      </c>
      <c r="K6656" t="s">
        <v>1092</v>
      </c>
      <c r="M6656">
        <v>1.45</v>
      </c>
      <c r="N6656">
        <v>163</v>
      </c>
      <c r="O6656" t="s">
        <v>38</v>
      </c>
      <c r="Q6656" t="s">
        <v>2780</v>
      </c>
      <c r="R6656" t="s">
        <v>7029</v>
      </c>
      <c r="S6656" t="s">
        <v>7030</v>
      </c>
      <c r="T6656" t="s">
        <v>7031</v>
      </c>
    </row>
    <row r="6657" spans="1:20" x14ac:dyDescent="0.25">
      <c r="A6657" t="s">
        <v>59</v>
      </c>
      <c r="B6657" t="s">
        <v>60</v>
      </c>
      <c r="C6657" t="s">
        <v>32</v>
      </c>
      <c r="D6657" t="s">
        <v>953</v>
      </c>
      <c r="E6657" t="s">
        <v>1072</v>
      </c>
      <c r="F6657" t="s">
        <v>35</v>
      </c>
      <c r="G6657" t="s">
        <v>35</v>
      </c>
      <c r="H6657" t="s">
        <v>35</v>
      </c>
      <c r="J6657" t="s">
        <v>7554</v>
      </c>
      <c r="K6657" t="s">
        <v>1092</v>
      </c>
      <c r="M6657">
        <v>0.35</v>
      </c>
      <c r="N6657">
        <v>223</v>
      </c>
      <c r="O6657" t="s">
        <v>5</v>
      </c>
      <c r="Q6657" t="s">
        <v>1544</v>
      </c>
      <c r="R6657" t="s">
        <v>7029</v>
      </c>
      <c r="S6657" t="s">
        <v>7030</v>
      </c>
      <c r="T6657" t="s">
        <v>7031</v>
      </c>
    </row>
    <row r="6658" spans="1:20" x14ac:dyDescent="0.25">
      <c r="A6658" t="s">
        <v>30</v>
      </c>
      <c r="B6658" t="s">
        <v>31</v>
      </c>
      <c r="C6658" t="s">
        <v>32</v>
      </c>
      <c r="D6658" t="s">
        <v>953</v>
      </c>
      <c r="E6658" t="s">
        <v>1072</v>
      </c>
      <c r="F6658" t="s">
        <v>35</v>
      </c>
      <c r="G6658" t="s">
        <v>35</v>
      </c>
      <c r="H6658" t="s">
        <v>35</v>
      </c>
      <c r="J6658" t="s">
        <v>7554</v>
      </c>
      <c r="K6658" t="s">
        <v>1092</v>
      </c>
      <c r="M6658">
        <v>9.99</v>
      </c>
      <c r="N6658">
        <v>185</v>
      </c>
      <c r="O6658" t="s">
        <v>5</v>
      </c>
      <c r="Q6658" t="s">
        <v>2046</v>
      </c>
      <c r="R6658" t="s">
        <v>7029</v>
      </c>
      <c r="S6658" t="s">
        <v>7030</v>
      </c>
      <c r="T6658" t="s">
        <v>7031</v>
      </c>
    </row>
    <row r="6659" spans="1:20" x14ac:dyDescent="0.25">
      <c r="A6659" t="s">
        <v>59</v>
      </c>
      <c r="B6659" t="s">
        <v>31</v>
      </c>
      <c r="C6659" t="s">
        <v>32</v>
      </c>
      <c r="D6659" t="s">
        <v>953</v>
      </c>
      <c r="E6659" t="s">
        <v>1072</v>
      </c>
      <c r="F6659" t="s">
        <v>35</v>
      </c>
      <c r="G6659" t="s">
        <v>35</v>
      </c>
      <c r="H6659" t="s">
        <v>35</v>
      </c>
      <c r="J6659" t="s">
        <v>7554</v>
      </c>
      <c r="K6659" t="s">
        <v>1092</v>
      </c>
      <c r="M6659">
        <v>4.9950000000000001</v>
      </c>
      <c r="N6659">
        <v>104</v>
      </c>
      <c r="O6659" t="s">
        <v>106</v>
      </c>
      <c r="Q6659" t="s">
        <v>4219</v>
      </c>
      <c r="R6659" t="s">
        <v>7029</v>
      </c>
      <c r="S6659" t="s">
        <v>7030</v>
      </c>
      <c r="T6659" t="s">
        <v>7031</v>
      </c>
    </row>
    <row r="6660" spans="1:20" x14ac:dyDescent="0.25">
      <c r="A6660" t="s">
        <v>59</v>
      </c>
      <c r="B6660" t="s">
        <v>60</v>
      </c>
      <c r="C6660" t="s">
        <v>32</v>
      </c>
      <c r="D6660" t="s">
        <v>953</v>
      </c>
      <c r="E6660" t="s">
        <v>7467</v>
      </c>
      <c r="F6660" t="s">
        <v>35</v>
      </c>
      <c r="G6660" t="s">
        <v>35</v>
      </c>
      <c r="H6660" t="s">
        <v>35</v>
      </c>
      <c r="J6660" t="s">
        <v>7479</v>
      </c>
      <c r="K6660" t="s">
        <v>1092</v>
      </c>
      <c r="M6660">
        <v>7.95</v>
      </c>
      <c r="N6660">
        <v>79</v>
      </c>
      <c r="O6660" t="s">
        <v>61</v>
      </c>
      <c r="Q6660" t="s">
        <v>1076</v>
      </c>
      <c r="R6660" t="s">
        <v>7029</v>
      </c>
      <c r="S6660" t="s">
        <v>7030</v>
      </c>
      <c r="T6660" t="s">
        <v>7031</v>
      </c>
    </row>
    <row r="6661" spans="1:20" x14ac:dyDescent="0.25">
      <c r="A6661" t="s">
        <v>59</v>
      </c>
      <c r="B6661" t="s">
        <v>31</v>
      </c>
      <c r="C6661" t="s">
        <v>32</v>
      </c>
      <c r="D6661" t="s">
        <v>953</v>
      </c>
      <c r="E6661" t="s">
        <v>7467</v>
      </c>
      <c r="F6661" t="s">
        <v>35</v>
      </c>
      <c r="G6661" t="s">
        <v>35</v>
      </c>
      <c r="H6661" t="s">
        <v>35</v>
      </c>
      <c r="J6661" t="s">
        <v>7479</v>
      </c>
      <c r="K6661" t="s">
        <v>1092</v>
      </c>
      <c r="M6661">
        <v>9.99</v>
      </c>
      <c r="N6661">
        <v>163</v>
      </c>
      <c r="O6661" t="s">
        <v>38</v>
      </c>
      <c r="Q6661" t="s">
        <v>2780</v>
      </c>
      <c r="R6661" t="s">
        <v>7029</v>
      </c>
      <c r="S6661" t="s">
        <v>7030</v>
      </c>
      <c r="T6661" t="s">
        <v>7031</v>
      </c>
    </row>
    <row r="6662" spans="1:20" x14ac:dyDescent="0.25">
      <c r="A6662" t="s">
        <v>30</v>
      </c>
      <c r="B6662" t="s">
        <v>31</v>
      </c>
      <c r="C6662" t="s">
        <v>32</v>
      </c>
      <c r="D6662" t="s">
        <v>953</v>
      </c>
      <c r="E6662" t="s">
        <v>968</v>
      </c>
      <c r="F6662" t="s">
        <v>35</v>
      </c>
      <c r="G6662" t="s">
        <v>35</v>
      </c>
      <c r="H6662" t="s">
        <v>35</v>
      </c>
      <c r="J6662" t="s">
        <v>7028</v>
      </c>
      <c r="K6662" t="s">
        <v>1092</v>
      </c>
      <c r="M6662">
        <v>0.18</v>
      </c>
      <c r="N6662">
        <v>448</v>
      </c>
      <c r="O6662" t="s">
        <v>294</v>
      </c>
      <c r="Q6662" t="s">
        <v>1760</v>
      </c>
      <c r="R6662" t="s">
        <v>7029</v>
      </c>
      <c r="S6662" t="s">
        <v>7030</v>
      </c>
      <c r="T6662" t="s">
        <v>7031</v>
      </c>
    </row>
    <row r="6663" spans="1:20" x14ac:dyDescent="0.25">
      <c r="A6663" t="s">
        <v>59</v>
      </c>
      <c r="B6663" t="s">
        <v>31</v>
      </c>
      <c r="C6663" t="s">
        <v>32</v>
      </c>
      <c r="D6663" t="s">
        <v>953</v>
      </c>
      <c r="E6663" t="s">
        <v>1015</v>
      </c>
      <c r="F6663" t="s">
        <v>35</v>
      </c>
      <c r="G6663" t="s">
        <v>35</v>
      </c>
      <c r="H6663" t="s">
        <v>35</v>
      </c>
      <c r="J6663" t="s">
        <v>7394</v>
      </c>
      <c r="K6663" t="s">
        <v>1092</v>
      </c>
      <c r="M6663">
        <v>2.02</v>
      </c>
      <c r="N6663">
        <v>58</v>
      </c>
      <c r="O6663" t="s">
        <v>52</v>
      </c>
      <c r="Q6663" t="s">
        <v>128</v>
      </c>
      <c r="R6663" t="s">
        <v>7029</v>
      </c>
      <c r="S6663" t="s">
        <v>7030</v>
      </c>
      <c r="T6663" t="s">
        <v>7031</v>
      </c>
    </row>
    <row r="6664" spans="1:20" x14ac:dyDescent="0.25">
      <c r="A6664" t="s">
        <v>59</v>
      </c>
      <c r="B6664" t="s">
        <v>60</v>
      </c>
      <c r="C6664" t="s">
        <v>32</v>
      </c>
      <c r="D6664" t="s">
        <v>953</v>
      </c>
      <c r="E6664" t="s">
        <v>1015</v>
      </c>
      <c r="F6664" t="s">
        <v>35</v>
      </c>
      <c r="G6664" t="s">
        <v>35</v>
      </c>
      <c r="H6664" t="s">
        <v>35</v>
      </c>
      <c r="J6664" t="s">
        <v>7394</v>
      </c>
      <c r="K6664" t="s">
        <v>1092</v>
      </c>
      <c r="M6664">
        <v>2</v>
      </c>
      <c r="N6664">
        <v>117</v>
      </c>
      <c r="O6664" t="s">
        <v>106</v>
      </c>
      <c r="Q6664" t="s">
        <v>406</v>
      </c>
      <c r="R6664" t="s">
        <v>7029</v>
      </c>
      <c r="S6664" t="s">
        <v>7030</v>
      </c>
      <c r="T6664" t="s">
        <v>7031</v>
      </c>
    </row>
    <row r="6665" spans="1:20" x14ac:dyDescent="0.25">
      <c r="A6665" t="s">
        <v>30</v>
      </c>
      <c r="B6665" t="s">
        <v>31</v>
      </c>
      <c r="C6665" t="s">
        <v>32</v>
      </c>
      <c r="D6665" t="s">
        <v>953</v>
      </c>
      <c r="E6665" t="s">
        <v>1015</v>
      </c>
      <c r="F6665" t="s">
        <v>35</v>
      </c>
      <c r="G6665" t="s">
        <v>35</v>
      </c>
      <c r="H6665" t="s">
        <v>35</v>
      </c>
      <c r="J6665" t="s">
        <v>7394</v>
      </c>
      <c r="K6665" t="s">
        <v>1092</v>
      </c>
      <c r="M6665">
        <v>3.5000000000000003E-2</v>
      </c>
      <c r="N6665">
        <v>430</v>
      </c>
      <c r="O6665" t="s">
        <v>294</v>
      </c>
      <c r="Q6665" t="s">
        <v>7363</v>
      </c>
      <c r="R6665" t="s">
        <v>7029</v>
      </c>
      <c r="S6665" t="s">
        <v>7030</v>
      </c>
      <c r="T6665" t="s">
        <v>7031</v>
      </c>
    </row>
    <row r="6666" spans="1:20" x14ac:dyDescent="0.25">
      <c r="A6666" t="s">
        <v>44</v>
      </c>
      <c r="B6666" t="s">
        <v>51</v>
      </c>
      <c r="C6666" t="s">
        <v>32</v>
      </c>
      <c r="D6666" t="s">
        <v>953</v>
      </c>
      <c r="E6666" t="s">
        <v>1015</v>
      </c>
      <c r="F6666" t="s">
        <v>35</v>
      </c>
      <c r="G6666" t="s">
        <v>35</v>
      </c>
      <c r="H6666" t="s">
        <v>35</v>
      </c>
      <c r="J6666" t="s">
        <v>7394</v>
      </c>
      <c r="K6666" t="s">
        <v>1092</v>
      </c>
      <c r="M6666">
        <v>0.4</v>
      </c>
      <c r="N6666">
        <v>275</v>
      </c>
      <c r="O6666" t="s">
        <v>5</v>
      </c>
      <c r="Q6666" t="s">
        <v>1225</v>
      </c>
      <c r="R6666" t="s">
        <v>7029</v>
      </c>
      <c r="S6666" t="s">
        <v>7030</v>
      </c>
      <c r="T6666" t="s">
        <v>7031</v>
      </c>
    </row>
    <row r="6667" spans="1:20" x14ac:dyDescent="0.25">
      <c r="A6667" t="s">
        <v>44</v>
      </c>
      <c r="B6667" t="s">
        <v>51</v>
      </c>
      <c r="C6667" t="s">
        <v>32</v>
      </c>
      <c r="D6667" t="s">
        <v>953</v>
      </c>
      <c r="E6667" t="s">
        <v>1015</v>
      </c>
      <c r="F6667" t="s">
        <v>35</v>
      </c>
      <c r="G6667" t="s">
        <v>35</v>
      </c>
      <c r="H6667" t="s">
        <v>35</v>
      </c>
      <c r="J6667" t="s">
        <v>7394</v>
      </c>
      <c r="K6667" t="s">
        <v>1092</v>
      </c>
      <c r="M6667">
        <v>1</v>
      </c>
      <c r="N6667">
        <v>248</v>
      </c>
      <c r="O6667" t="s">
        <v>5</v>
      </c>
      <c r="Q6667" t="s">
        <v>1747</v>
      </c>
      <c r="R6667" t="s">
        <v>7029</v>
      </c>
      <c r="S6667" t="s">
        <v>7030</v>
      </c>
      <c r="T6667" t="s">
        <v>7031</v>
      </c>
    </row>
    <row r="6668" spans="1:20" x14ac:dyDescent="0.25">
      <c r="A6668" t="s">
        <v>59</v>
      </c>
      <c r="B6668" t="s">
        <v>60</v>
      </c>
      <c r="C6668" t="s">
        <v>32</v>
      </c>
      <c r="D6668" t="s">
        <v>953</v>
      </c>
      <c r="E6668" t="s">
        <v>1015</v>
      </c>
      <c r="F6668" t="s">
        <v>35</v>
      </c>
      <c r="G6668" t="s">
        <v>35</v>
      </c>
      <c r="H6668" t="s">
        <v>35</v>
      </c>
      <c r="J6668" t="s">
        <v>7394</v>
      </c>
      <c r="K6668" t="s">
        <v>1092</v>
      </c>
      <c r="M6668">
        <v>0.53</v>
      </c>
      <c r="N6668">
        <v>144</v>
      </c>
      <c r="O6668" t="s">
        <v>38</v>
      </c>
      <c r="Q6668" t="s">
        <v>1269</v>
      </c>
      <c r="R6668" t="s">
        <v>7029</v>
      </c>
      <c r="S6668" t="s">
        <v>7030</v>
      </c>
      <c r="T6668" t="s">
        <v>7031</v>
      </c>
    </row>
    <row r="6669" spans="1:20" x14ac:dyDescent="0.25">
      <c r="A6669" t="s">
        <v>59</v>
      </c>
      <c r="B6669" t="s">
        <v>60</v>
      </c>
      <c r="C6669" t="s">
        <v>32</v>
      </c>
      <c r="D6669" t="s">
        <v>953</v>
      </c>
      <c r="E6669" t="s">
        <v>1015</v>
      </c>
      <c r="F6669" t="s">
        <v>35</v>
      </c>
      <c r="G6669" t="s">
        <v>35</v>
      </c>
      <c r="H6669" t="s">
        <v>35</v>
      </c>
      <c r="J6669" t="s">
        <v>7394</v>
      </c>
      <c r="K6669" t="s">
        <v>1092</v>
      </c>
      <c r="M6669">
        <v>1.5</v>
      </c>
      <c r="N6669">
        <v>12</v>
      </c>
      <c r="O6669" t="s">
        <v>46</v>
      </c>
      <c r="Q6669" t="s">
        <v>1192</v>
      </c>
      <c r="R6669" t="s">
        <v>7029</v>
      </c>
      <c r="S6669" t="s">
        <v>7030</v>
      </c>
      <c r="T6669" t="s">
        <v>7031</v>
      </c>
    </row>
    <row r="6670" spans="1:20" x14ac:dyDescent="0.25">
      <c r="A6670" t="s">
        <v>59</v>
      </c>
      <c r="B6670" t="s">
        <v>31</v>
      </c>
      <c r="C6670" t="s">
        <v>32</v>
      </c>
      <c r="D6670" t="s">
        <v>953</v>
      </c>
      <c r="E6670" t="s">
        <v>1015</v>
      </c>
      <c r="F6670" t="s">
        <v>35</v>
      </c>
      <c r="G6670" t="s">
        <v>35</v>
      </c>
      <c r="H6670" t="s">
        <v>35</v>
      </c>
      <c r="J6670" t="s">
        <v>7378</v>
      </c>
      <c r="K6670" t="s">
        <v>1092</v>
      </c>
      <c r="M6670">
        <v>0.18</v>
      </c>
      <c r="N6670">
        <v>445</v>
      </c>
      <c r="O6670" t="s">
        <v>294</v>
      </c>
      <c r="Q6670" t="s">
        <v>2713</v>
      </c>
      <c r="R6670" t="s">
        <v>7029</v>
      </c>
      <c r="S6670" t="s">
        <v>7030</v>
      </c>
      <c r="T6670" t="s">
        <v>7031</v>
      </c>
    </row>
    <row r="6671" spans="1:20" x14ac:dyDescent="0.25">
      <c r="A6671" t="s">
        <v>59</v>
      </c>
      <c r="B6671" t="s">
        <v>60</v>
      </c>
      <c r="C6671" t="s">
        <v>32</v>
      </c>
      <c r="D6671" t="s">
        <v>953</v>
      </c>
      <c r="E6671" t="s">
        <v>7467</v>
      </c>
      <c r="F6671" t="s">
        <v>35</v>
      </c>
      <c r="G6671" t="s">
        <v>35</v>
      </c>
      <c r="H6671" t="s">
        <v>35</v>
      </c>
      <c r="J6671" t="s">
        <v>7490</v>
      </c>
      <c r="K6671" t="s">
        <v>1092</v>
      </c>
      <c r="M6671">
        <v>2.4</v>
      </c>
      <c r="N6671">
        <v>223</v>
      </c>
      <c r="O6671" t="s">
        <v>5</v>
      </c>
      <c r="Q6671" t="s">
        <v>1544</v>
      </c>
      <c r="R6671" t="s">
        <v>7029</v>
      </c>
      <c r="S6671" t="s">
        <v>7030</v>
      </c>
      <c r="T6671" t="s">
        <v>7031</v>
      </c>
    </row>
    <row r="6672" spans="1:20" x14ac:dyDescent="0.25">
      <c r="A6672" t="s">
        <v>59</v>
      </c>
      <c r="B6672" t="s">
        <v>31</v>
      </c>
      <c r="C6672" t="s">
        <v>32</v>
      </c>
      <c r="D6672" t="s">
        <v>953</v>
      </c>
      <c r="E6672" t="s">
        <v>1015</v>
      </c>
      <c r="F6672" t="s">
        <v>35</v>
      </c>
      <c r="G6672" t="s">
        <v>35</v>
      </c>
      <c r="H6672" t="s">
        <v>35</v>
      </c>
      <c r="J6672" t="s">
        <v>7448</v>
      </c>
      <c r="K6672" t="s">
        <v>1092</v>
      </c>
      <c r="M6672">
        <v>0.36</v>
      </c>
      <c r="N6672">
        <v>209</v>
      </c>
      <c r="O6672" t="s">
        <v>5</v>
      </c>
      <c r="Q6672" t="s">
        <v>1492</v>
      </c>
      <c r="R6672" t="s">
        <v>7029</v>
      </c>
      <c r="S6672" t="s">
        <v>7030</v>
      </c>
      <c r="T6672" t="s">
        <v>7031</v>
      </c>
    </row>
    <row r="6673" spans="1:20" x14ac:dyDescent="0.25">
      <c r="A6673" t="s">
        <v>59</v>
      </c>
      <c r="B6673" t="s">
        <v>60</v>
      </c>
      <c r="C6673" t="s">
        <v>32</v>
      </c>
      <c r="D6673" t="s">
        <v>953</v>
      </c>
      <c r="E6673" t="s">
        <v>1015</v>
      </c>
      <c r="F6673" t="s">
        <v>35</v>
      </c>
      <c r="G6673" t="s">
        <v>35</v>
      </c>
      <c r="H6673" t="s">
        <v>35</v>
      </c>
      <c r="J6673" t="s">
        <v>7448</v>
      </c>
      <c r="K6673" t="s">
        <v>1092</v>
      </c>
      <c r="M6673">
        <v>0.25</v>
      </c>
      <c r="N6673">
        <v>49</v>
      </c>
      <c r="O6673" t="s">
        <v>52</v>
      </c>
      <c r="Q6673" t="s">
        <v>453</v>
      </c>
      <c r="R6673" t="s">
        <v>7029</v>
      </c>
      <c r="S6673" t="s">
        <v>7030</v>
      </c>
      <c r="T6673" t="s">
        <v>7031</v>
      </c>
    </row>
    <row r="6674" spans="1:20" x14ac:dyDescent="0.25">
      <c r="A6674" t="s">
        <v>59</v>
      </c>
      <c r="B6674" t="s">
        <v>60</v>
      </c>
      <c r="C6674" t="s">
        <v>32</v>
      </c>
      <c r="D6674" t="s">
        <v>953</v>
      </c>
      <c r="E6674" t="s">
        <v>1015</v>
      </c>
      <c r="F6674" t="s">
        <v>35</v>
      </c>
      <c r="G6674" t="s">
        <v>35</v>
      </c>
      <c r="H6674" t="s">
        <v>35</v>
      </c>
      <c r="J6674" t="s">
        <v>7448</v>
      </c>
      <c r="K6674" t="s">
        <v>1092</v>
      </c>
      <c r="M6674">
        <v>0.5</v>
      </c>
      <c r="N6674">
        <v>38</v>
      </c>
      <c r="O6674" t="s">
        <v>52</v>
      </c>
      <c r="Q6674" t="s">
        <v>716</v>
      </c>
      <c r="R6674" t="s">
        <v>7029</v>
      </c>
      <c r="S6674" t="s">
        <v>7030</v>
      </c>
      <c r="T6674" t="s">
        <v>7031</v>
      </c>
    </row>
    <row r="6675" spans="1:20" x14ac:dyDescent="0.25">
      <c r="A6675" t="s">
        <v>59</v>
      </c>
      <c r="B6675" t="s">
        <v>60</v>
      </c>
      <c r="C6675" t="s">
        <v>32</v>
      </c>
      <c r="D6675" t="s">
        <v>953</v>
      </c>
      <c r="E6675" t="s">
        <v>1015</v>
      </c>
      <c r="F6675" t="s">
        <v>35</v>
      </c>
      <c r="G6675" t="s">
        <v>35</v>
      </c>
      <c r="H6675" t="s">
        <v>35</v>
      </c>
      <c r="J6675" t="s">
        <v>7448</v>
      </c>
      <c r="K6675" t="s">
        <v>1092</v>
      </c>
      <c r="M6675">
        <v>0.25</v>
      </c>
      <c r="N6675">
        <v>82</v>
      </c>
      <c r="O6675" t="s">
        <v>61</v>
      </c>
      <c r="Q6675" t="s">
        <v>299</v>
      </c>
      <c r="R6675" t="s">
        <v>7029</v>
      </c>
      <c r="S6675" t="s">
        <v>7030</v>
      </c>
      <c r="T6675" t="s">
        <v>7031</v>
      </c>
    </row>
    <row r="6676" spans="1:20" x14ac:dyDescent="0.25">
      <c r="A6676" t="s">
        <v>59</v>
      </c>
      <c r="B6676" t="s">
        <v>31</v>
      </c>
      <c r="C6676" t="s">
        <v>32</v>
      </c>
      <c r="D6676" t="s">
        <v>953</v>
      </c>
      <c r="E6676" t="s">
        <v>1015</v>
      </c>
      <c r="F6676" t="s">
        <v>35</v>
      </c>
      <c r="G6676" t="s">
        <v>35</v>
      </c>
      <c r="H6676" t="s">
        <v>35</v>
      </c>
      <c r="J6676" t="s">
        <v>7448</v>
      </c>
      <c r="K6676" t="s">
        <v>1092</v>
      </c>
      <c r="M6676">
        <v>1.125</v>
      </c>
      <c r="N6676">
        <v>135</v>
      </c>
      <c r="O6676" t="s">
        <v>38</v>
      </c>
      <c r="Q6676" t="s">
        <v>2067</v>
      </c>
      <c r="R6676" t="s">
        <v>7029</v>
      </c>
      <c r="S6676" t="s">
        <v>7030</v>
      </c>
      <c r="T6676" t="s">
        <v>7031</v>
      </c>
    </row>
    <row r="6677" spans="1:20" x14ac:dyDescent="0.25">
      <c r="A6677" t="s">
        <v>59</v>
      </c>
      <c r="B6677" t="s">
        <v>31</v>
      </c>
      <c r="C6677" t="s">
        <v>32</v>
      </c>
      <c r="D6677" t="s">
        <v>953</v>
      </c>
      <c r="E6677" t="s">
        <v>1015</v>
      </c>
      <c r="F6677" t="s">
        <v>35</v>
      </c>
      <c r="G6677" t="s">
        <v>35</v>
      </c>
      <c r="H6677" t="s">
        <v>35</v>
      </c>
      <c r="J6677" t="s">
        <v>7448</v>
      </c>
      <c r="K6677" t="s">
        <v>1092</v>
      </c>
      <c r="M6677">
        <v>0.54</v>
      </c>
      <c r="N6677">
        <v>170</v>
      </c>
      <c r="O6677" t="s">
        <v>38</v>
      </c>
      <c r="Q6677" t="s">
        <v>4657</v>
      </c>
      <c r="R6677" t="s">
        <v>7029</v>
      </c>
      <c r="S6677" t="s">
        <v>7030</v>
      </c>
      <c r="T6677" t="s">
        <v>7031</v>
      </c>
    </row>
    <row r="6678" spans="1:20" x14ac:dyDescent="0.25">
      <c r="A6678" t="s">
        <v>59</v>
      </c>
      <c r="B6678" t="s">
        <v>60</v>
      </c>
      <c r="C6678" t="s">
        <v>32</v>
      </c>
      <c r="D6678" t="s">
        <v>953</v>
      </c>
      <c r="E6678" t="s">
        <v>1015</v>
      </c>
      <c r="F6678" t="s">
        <v>35</v>
      </c>
      <c r="G6678" t="s">
        <v>35</v>
      </c>
      <c r="H6678" t="s">
        <v>35</v>
      </c>
      <c r="J6678" t="s">
        <v>7448</v>
      </c>
      <c r="K6678" t="s">
        <v>1092</v>
      </c>
      <c r="M6678">
        <v>0.5</v>
      </c>
      <c r="N6678">
        <v>135</v>
      </c>
      <c r="O6678" t="s">
        <v>38</v>
      </c>
      <c r="Q6678" t="s">
        <v>2067</v>
      </c>
      <c r="R6678" t="s">
        <v>7029</v>
      </c>
      <c r="S6678" t="s">
        <v>7030</v>
      </c>
      <c r="T6678" t="s">
        <v>7031</v>
      </c>
    </row>
    <row r="6679" spans="1:20" x14ac:dyDescent="0.25">
      <c r="A6679" t="s">
        <v>59</v>
      </c>
      <c r="B6679" t="s">
        <v>60</v>
      </c>
      <c r="C6679" t="s">
        <v>32</v>
      </c>
      <c r="D6679" t="s">
        <v>953</v>
      </c>
      <c r="E6679" t="s">
        <v>1015</v>
      </c>
      <c r="F6679" t="s">
        <v>35</v>
      </c>
      <c r="G6679" t="s">
        <v>35</v>
      </c>
      <c r="H6679" t="s">
        <v>35</v>
      </c>
      <c r="J6679" t="s">
        <v>7448</v>
      </c>
      <c r="K6679" t="s">
        <v>1092</v>
      </c>
      <c r="M6679">
        <v>0.75</v>
      </c>
      <c r="N6679">
        <v>209</v>
      </c>
      <c r="O6679" t="s">
        <v>5</v>
      </c>
      <c r="Q6679" t="s">
        <v>1492</v>
      </c>
      <c r="R6679" t="s">
        <v>7029</v>
      </c>
      <c r="S6679" t="s">
        <v>7030</v>
      </c>
      <c r="T6679" t="s">
        <v>7031</v>
      </c>
    </row>
    <row r="6680" spans="1:20" x14ac:dyDescent="0.25">
      <c r="A6680" t="s">
        <v>59</v>
      </c>
      <c r="B6680" t="s">
        <v>60</v>
      </c>
      <c r="C6680" t="s">
        <v>32</v>
      </c>
      <c r="D6680" t="s">
        <v>953</v>
      </c>
      <c r="E6680" t="s">
        <v>1015</v>
      </c>
      <c r="F6680" t="s">
        <v>35</v>
      </c>
      <c r="G6680" t="s">
        <v>35</v>
      </c>
      <c r="H6680" t="s">
        <v>35</v>
      </c>
      <c r="J6680" t="s">
        <v>7448</v>
      </c>
      <c r="K6680" t="s">
        <v>1092</v>
      </c>
      <c r="M6680">
        <v>0.5</v>
      </c>
      <c r="N6680">
        <v>185</v>
      </c>
      <c r="O6680" t="s">
        <v>5</v>
      </c>
      <c r="Q6680" t="s">
        <v>2046</v>
      </c>
      <c r="R6680" t="s">
        <v>7029</v>
      </c>
      <c r="S6680" t="s">
        <v>7030</v>
      </c>
      <c r="T6680" t="s">
        <v>7031</v>
      </c>
    </row>
    <row r="6681" spans="1:20" x14ac:dyDescent="0.25">
      <c r="A6681" t="s">
        <v>59</v>
      </c>
      <c r="B6681" t="s">
        <v>60</v>
      </c>
      <c r="C6681" t="s">
        <v>32</v>
      </c>
      <c r="D6681" t="s">
        <v>953</v>
      </c>
      <c r="E6681" t="s">
        <v>1015</v>
      </c>
      <c r="F6681" t="s">
        <v>35</v>
      </c>
      <c r="G6681" t="s">
        <v>35</v>
      </c>
      <c r="H6681" t="s">
        <v>35</v>
      </c>
      <c r="J6681" t="s">
        <v>7448</v>
      </c>
      <c r="K6681" t="s">
        <v>1092</v>
      </c>
      <c r="M6681">
        <v>0.85</v>
      </c>
      <c r="N6681">
        <v>265</v>
      </c>
      <c r="O6681" t="s">
        <v>5</v>
      </c>
      <c r="Q6681" t="s">
        <v>1264</v>
      </c>
      <c r="R6681" t="s">
        <v>7029</v>
      </c>
      <c r="S6681" t="s">
        <v>7030</v>
      </c>
      <c r="T6681" t="s">
        <v>7031</v>
      </c>
    </row>
    <row r="6682" spans="1:20" x14ac:dyDescent="0.25">
      <c r="A6682" t="s">
        <v>59</v>
      </c>
      <c r="B6682" t="s">
        <v>31</v>
      </c>
      <c r="C6682" t="s">
        <v>32</v>
      </c>
      <c r="D6682" t="s">
        <v>953</v>
      </c>
      <c r="E6682" t="s">
        <v>1015</v>
      </c>
      <c r="F6682" t="s">
        <v>35</v>
      </c>
      <c r="G6682" t="s">
        <v>35</v>
      </c>
      <c r="H6682" t="s">
        <v>35</v>
      </c>
      <c r="J6682" t="s">
        <v>7448</v>
      </c>
      <c r="K6682" t="s">
        <v>1092</v>
      </c>
      <c r="M6682">
        <v>1.35</v>
      </c>
      <c r="N6682">
        <v>82</v>
      </c>
      <c r="O6682" t="s">
        <v>61</v>
      </c>
      <c r="Q6682" t="s">
        <v>299</v>
      </c>
      <c r="R6682" t="s">
        <v>7029</v>
      </c>
      <c r="S6682" t="s">
        <v>7030</v>
      </c>
      <c r="T6682" t="s">
        <v>7031</v>
      </c>
    </row>
    <row r="6683" spans="1:20" x14ac:dyDescent="0.25">
      <c r="A6683" t="s">
        <v>59</v>
      </c>
      <c r="B6683" t="s">
        <v>31</v>
      </c>
      <c r="C6683" t="s">
        <v>32</v>
      </c>
      <c r="D6683" t="s">
        <v>953</v>
      </c>
      <c r="F6683" t="s">
        <v>35</v>
      </c>
      <c r="G6683" t="s">
        <v>35</v>
      </c>
      <c r="H6683" t="s">
        <v>35</v>
      </c>
      <c r="J6683" t="s">
        <v>7960</v>
      </c>
      <c r="K6683" t="s">
        <v>1092</v>
      </c>
      <c r="M6683">
        <v>0.02</v>
      </c>
      <c r="N6683">
        <v>1531</v>
      </c>
      <c r="O6683" t="s">
        <v>575</v>
      </c>
      <c r="Q6683" t="s">
        <v>7961</v>
      </c>
      <c r="R6683" t="s">
        <v>7029</v>
      </c>
      <c r="S6683" t="s">
        <v>7030</v>
      </c>
      <c r="T6683" t="s">
        <v>7031</v>
      </c>
    </row>
    <row r="6684" spans="1:20" x14ac:dyDescent="0.25">
      <c r="A6684" t="s">
        <v>59</v>
      </c>
      <c r="B6684" t="s">
        <v>60</v>
      </c>
      <c r="C6684" t="s">
        <v>32</v>
      </c>
      <c r="D6684" t="s">
        <v>953</v>
      </c>
      <c r="F6684" t="s">
        <v>35</v>
      </c>
      <c r="G6684" t="s">
        <v>35</v>
      </c>
      <c r="H6684" t="s">
        <v>35</v>
      </c>
      <c r="J6684" t="s">
        <v>7960</v>
      </c>
      <c r="K6684" t="s">
        <v>1092</v>
      </c>
      <c r="M6684">
        <v>0.15</v>
      </c>
      <c r="N6684">
        <v>1409</v>
      </c>
      <c r="O6684" t="s">
        <v>575</v>
      </c>
      <c r="Q6684" t="s">
        <v>7962</v>
      </c>
      <c r="R6684" t="s">
        <v>7029</v>
      </c>
      <c r="S6684" t="s">
        <v>7030</v>
      </c>
      <c r="T6684" t="s">
        <v>7031</v>
      </c>
    </row>
    <row r="6685" spans="1:20" x14ac:dyDescent="0.25">
      <c r="A6685" t="s">
        <v>59</v>
      </c>
      <c r="B6685" t="s">
        <v>31</v>
      </c>
      <c r="C6685" t="s">
        <v>32</v>
      </c>
      <c r="D6685" t="s">
        <v>953</v>
      </c>
      <c r="E6685" t="s">
        <v>1015</v>
      </c>
      <c r="F6685" t="s">
        <v>35</v>
      </c>
      <c r="G6685" t="s">
        <v>35</v>
      </c>
      <c r="H6685" t="s">
        <v>35</v>
      </c>
      <c r="J6685" t="s">
        <v>7395</v>
      </c>
      <c r="K6685" t="s">
        <v>1092</v>
      </c>
      <c r="M6685">
        <v>0.9</v>
      </c>
      <c r="N6685">
        <v>238</v>
      </c>
      <c r="O6685" t="s">
        <v>5</v>
      </c>
      <c r="Q6685" t="s">
        <v>111</v>
      </c>
      <c r="R6685" t="s">
        <v>7029</v>
      </c>
      <c r="S6685" t="s">
        <v>7030</v>
      </c>
      <c r="T6685" t="s">
        <v>7031</v>
      </c>
    </row>
    <row r="6686" spans="1:20" x14ac:dyDescent="0.25">
      <c r="A6686" t="s">
        <v>30</v>
      </c>
      <c r="B6686" t="s">
        <v>31</v>
      </c>
      <c r="C6686" t="s">
        <v>32</v>
      </c>
      <c r="D6686" t="s">
        <v>953</v>
      </c>
      <c r="E6686" t="s">
        <v>1077</v>
      </c>
      <c r="F6686" t="s">
        <v>35</v>
      </c>
      <c r="G6686" t="s">
        <v>35</v>
      </c>
      <c r="H6686" t="s">
        <v>35</v>
      </c>
      <c r="J6686" t="s">
        <v>7685</v>
      </c>
      <c r="K6686" t="s">
        <v>1092</v>
      </c>
      <c r="M6686">
        <v>2.5999999999999999E-2</v>
      </c>
      <c r="N6686">
        <v>1837</v>
      </c>
      <c r="O6686" t="s">
        <v>575</v>
      </c>
      <c r="Q6686" t="s">
        <v>7687</v>
      </c>
      <c r="R6686" t="s">
        <v>7688</v>
      </c>
      <c r="S6686" t="s">
        <v>7689</v>
      </c>
      <c r="T6686" t="s">
        <v>7690</v>
      </c>
    </row>
    <row r="6687" spans="1:20" x14ac:dyDescent="0.25">
      <c r="A6687" t="s">
        <v>59</v>
      </c>
      <c r="B6687" t="s">
        <v>60</v>
      </c>
      <c r="C6687" t="s">
        <v>32</v>
      </c>
      <c r="D6687" t="s">
        <v>953</v>
      </c>
      <c r="F6687" t="s">
        <v>35</v>
      </c>
      <c r="G6687" t="s">
        <v>35</v>
      </c>
      <c r="H6687" t="s">
        <v>35</v>
      </c>
      <c r="J6687" t="s">
        <v>8003</v>
      </c>
      <c r="K6687" t="s">
        <v>1092</v>
      </c>
      <c r="M6687">
        <v>0.49</v>
      </c>
      <c r="N6687">
        <v>2289</v>
      </c>
      <c r="O6687" t="s">
        <v>575</v>
      </c>
      <c r="Q6687" t="s">
        <v>2977</v>
      </c>
      <c r="R6687" t="s">
        <v>7688</v>
      </c>
      <c r="S6687" t="s">
        <v>7689</v>
      </c>
      <c r="T6687" t="s">
        <v>7690</v>
      </c>
    </row>
    <row r="6688" spans="1:20" x14ac:dyDescent="0.25">
      <c r="A6688" t="s">
        <v>59</v>
      </c>
      <c r="B6688" t="s">
        <v>60</v>
      </c>
      <c r="C6688" t="s">
        <v>32</v>
      </c>
      <c r="D6688" t="s">
        <v>953</v>
      </c>
      <c r="E6688" t="s">
        <v>1077</v>
      </c>
      <c r="F6688" t="s">
        <v>35</v>
      </c>
      <c r="G6688" t="s">
        <v>35</v>
      </c>
      <c r="H6688" t="s">
        <v>35</v>
      </c>
      <c r="J6688" t="s">
        <v>7629</v>
      </c>
      <c r="K6688" t="s">
        <v>1092</v>
      </c>
      <c r="M6688">
        <v>0.05</v>
      </c>
      <c r="N6688">
        <v>2238</v>
      </c>
      <c r="O6688" t="s">
        <v>575</v>
      </c>
      <c r="Q6688" t="s">
        <v>7631</v>
      </c>
      <c r="R6688" t="s">
        <v>7632</v>
      </c>
      <c r="S6688" t="s">
        <v>1820</v>
      </c>
      <c r="T6688" t="s">
        <v>7354</v>
      </c>
    </row>
    <row r="6689" spans="1:20" x14ac:dyDescent="0.25">
      <c r="A6689" t="s">
        <v>59</v>
      </c>
      <c r="B6689" t="s">
        <v>60</v>
      </c>
      <c r="C6689" t="s">
        <v>32</v>
      </c>
      <c r="D6689" t="s">
        <v>953</v>
      </c>
      <c r="E6689" t="s">
        <v>1077</v>
      </c>
      <c r="F6689" t="s">
        <v>35</v>
      </c>
      <c r="G6689" t="s">
        <v>35</v>
      </c>
      <c r="H6689" t="s">
        <v>35</v>
      </c>
      <c r="J6689" t="s">
        <v>7629</v>
      </c>
      <c r="K6689" t="s">
        <v>1092</v>
      </c>
      <c r="M6689">
        <v>0.25</v>
      </c>
      <c r="N6689">
        <v>2229</v>
      </c>
      <c r="O6689" t="s">
        <v>575</v>
      </c>
      <c r="Q6689" t="s">
        <v>5861</v>
      </c>
      <c r="R6689" t="s">
        <v>7632</v>
      </c>
      <c r="S6689" t="s">
        <v>1820</v>
      </c>
      <c r="T6689" t="s">
        <v>7354</v>
      </c>
    </row>
    <row r="6690" spans="1:20" x14ac:dyDescent="0.25">
      <c r="A6690" t="s">
        <v>30</v>
      </c>
      <c r="B6690" t="s">
        <v>31</v>
      </c>
      <c r="C6690" t="s">
        <v>32</v>
      </c>
      <c r="D6690" t="s">
        <v>953</v>
      </c>
      <c r="E6690" t="s">
        <v>1077</v>
      </c>
      <c r="F6690" t="s">
        <v>35</v>
      </c>
      <c r="G6690" t="s">
        <v>35</v>
      </c>
      <c r="H6690" t="s">
        <v>35</v>
      </c>
      <c r="J6690" t="s">
        <v>7629</v>
      </c>
      <c r="K6690" t="s">
        <v>1092</v>
      </c>
      <c r="M6690">
        <v>0.36</v>
      </c>
      <c r="N6690">
        <v>2238</v>
      </c>
      <c r="O6690" t="s">
        <v>575</v>
      </c>
      <c r="Q6690" t="s">
        <v>7631</v>
      </c>
      <c r="R6690" t="s">
        <v>7632</v>
      </c>
      <c r="S6690" t="s">
        <v>1820</v>
      </c>
      <c r="T6690" t="s">
        <v>7354</v>
      </c>
    </row>
    <row r="6691" spans="1:20" x14ac:dyDescent="0.25">
      <c r="A6691" t="s">
        <v>59</v>
      </c>
      <c r="B6691" t="s">
        <v>31</v>
      </c>
      <c r="C6691" t="s">
        <v>32</v>
      </c>
      <c r="D6691" t="s">
        <v>953</v>
      </c>
      <c r="F6691" t="s">
        <v>35</v>
      </c>
      <c r="G6691" t="s">
        <v>35</v>
      </c>
      <c r="H6691" t="s">
        <v>35</v>
      </c>
      <c r="J6691" t="s">
        <v>1506</v>
      </c>
      <c r="K6691" t="s">
        <v>1092</v>
      </c>
      <c r="M6691">
        <v>3.5000000000000003E-2</v>
      </c>
      <c r="N6691">
        <v>2410</v>
      </c>
      <c r="O6691" t="s">
        <v>575</v>
      </c>
      <c r="Q6691" t="s">
        <v>2908</v>
      </c>
      <c r="R6691" t="s">
        <v>973</v>
      </c>
      <c r="S6691" t="s">
        <v>974</v>
      </c>
      <c r="T6691" t="s">
        <v>975</v>
      </c>
    </row>
    <row r="6692" spans="1:20" x14ac:dyDescent="0.25">
      <c r="A6692" t="s">
        <v>44</v>
      </c>
      <c r="B6692" t="s">
        <v>51</v>
      </c>
      <c r="C6692" t="s">
        <v>32</v>
      </c>
      <c r="D6692" t="s">
        <v>953</v>
      </c>
      <c r="E6692" t="s">
        <v>968</v>
      </c>
      <c r="F6692" t="s">
        <v>35</v>
      </c>
      <c r="G6692" t="s">
        <v>35</v>
      </c>
      <c r="H6692" t="s">
        <v>35</v>
      </c>
      <c r="J6692" t="s">
        <v>969</v>
      </c>
      <c r="K6692" t="s">
        <v>37</v>
      </c>
      <c r="M6692">
        <v>11</v>
      </c>
      <c r="N6692">
        <v>24</v>
      </c>
      <c r="O6692" t="s">
        <v>46</v>
      </c>
      <c r="P6692" t="s">
        <v>971</v>
      </c>
      <c r="Q6692" t="s">
        <v>972</v>
      </c>
      <c r="R6692" t="s">
        <v>973</v>
      </c>
      <c r="S6692" t="s">
        <v>974</v>
      </c>
      <c r="T6692" t="s">
        <v>975</v>
      </c>
    </row>
    <row r="6693" spans="1:20" x14ac:dyDescent="0.25">
      <c r="A6693" t="s">
        <v>59</v>
      </c>
      <c r="B6693" t="s">
        <v>31</v>
      </c>
      <c r="C6693" t="s">
        <v>32</v>
      </c>
      <c r="D6693" t="s">
        <v>953</v>
      </c>
      <c r="E6693" t="s">
        <v>968</v>
      </c>
      <c r="F6693" t="s">
        <v>35</v>
      </c>
      <c r="G6693" t="s">
        <v>35</v>
      </c>
      <c r="H6693" t="s">
        <v>35</v>
      </c>
      <c r="J6693" t="s">
        <v>969</v>
      </c>
      <c r="K6693" t="s">
        <v>37</v>
      </c>
      <c r="M6693">
        <v>1.395</v>
      </c>
      <c r="N6693">
        <v>55</v>
      </c>
      <c r="O6693" t="s">
        <v>52</v>
      </c>
      <c r="P6693" t="s">
        <v>976</v>
      </c>
      <c r="Q6693" t="s">
        <v>90</v>
      </c>
      <c r="R6693" t="s">
        <v>973</v>
      </c>
      <c r="S6693" t="s">
        <v>974</v>
      </c>
      <c r="T6693" t="s">
        <v>975</v>
      </c>
    </row>
    <row r="6694" spans="1:20" x14ac:dyDescent="0.25">
      <c r="A6694" t="s">
        <v>44</v>
      </c>
      <c r="B6694" t="s">
        <v>51</v>
      </c>
      <c r="C6694" t="s">
        <v>32</v>
      </c>
      <c r="D6694" t="s">
        <v>953</v>
      </c>
      <c r="E6694" t="s">
        <v>968</v>
      </c>
      <c r="F6694" t="s">
        <v>35</v>
      </c>
      <c r="G6694" t="s">
        <v>35</v>
      </c>
      <c r="H6694" t="s">
        <v>35</v>
      </c>
      <c r="J6694" t="s">
        <v>969</v>
      </c>
      <c r="K6694" t="s">
        <v>37</v>
      </c>
      <c r="M6694">
        <v>11</v>
      </c>
      <c r="N6694">
        <v>24</v>
      </c>
      <c r="O6694" t="s">
        <v>46</v>
      </c>
      <c r="P6694" t="s">
        <v>977</v>
      </c>
      <c r="Q6694" t="s">
        <v>972</v>
      </c>
      <c r="R6694" t="s">
        <v>973</v>
      </c>
      <c r="S6694" t="s">
        <v>974</v>
      </c>
      <c r="T6694" t="s">
        <v>975</v>
      </c>
    </row>
    <row r="6695" spans="1:20" x14ac:dyDescent="0.25">
      <c r="A6695" t="s">
        <v>30</v>
      </c>
      <c r="B6695" t="s">
        <v>31</v>
      </c>
      <c r="C6695" t="s">
        <v>32</v>
      </c>
      <c r="D6695" t="s">
        <v>953</v>
      </c>
      <c r="E6695" t="s">
        <v>968</v>
      </c>
      <c r="F6695" t="s">
        <v>35</v>
      </c>
      <c r="G6695" t="s">
        <v>35</v>
      </c>
      <c r="H6695" t="s">
        <v>35</v>
      </c>
      <c r="J6695" t="s">
        <v>969</v>
      </c>
      <c r="K6695" t="s">
        <v>37</v>
      </c>
      <c r="M6695">
        <v>15.885</v>
      </c>
      <c r="N6695">
        <v>15</v>
      </c>
      <c r="O6695" t="s">
        <v>46</v>
      </c>
      <c r="P6695" t="s">
        <v>978</v>
      </c>
      <c r="Q6695" t="s">
        <v>979</v>
      </c>
      <c r="R6695" t="s">
        <v>973</v>
      </c>
      <c r="S6695" t="s">
        <v>974</v>
      </c>
      <c r="T6695" t="s">
        <v>975</v>
      </c>
    </row>
    <row r="6696" spans="1:20" x14ac:dyDescent="0.25">
      <c r="A6696" t="s">
        <v>44</v>
      </c>
      <c r="B6696" t="s">
        <v>51</v>
      </c>
      <c r="C6696" t="s">
        <v>32</v>
      </c>
      <c r="D6696" t="s">
        <v>953</v>
      </c>
      <c r="E6696" t="s">
        <v>7467</v>
      </c>
      <c r="F6696" t="s">
        <v>35</v>
      </c>
      <c r="G6696" t="s">
        <v>35</v>
      </c>
      <c r="H6696" t="s">
        <v>35</v>
      </c>
      <c r="J6696" t="s">
        <v>2419</v>
      </c>
      <c r="K6696" t="s">
        <v>1092</v>
      </c>
      <c r="M6696">
        <v>0.05</v>
      </c>
      <c r="N6696">
        <v>503</v>
      </c>
      <c r="O6696" t="s">
        <v>294</v>
      </c>
      <c r="Q6696" t="s">
        <v>4279</v>
      </c>
      <c r="R6696" t="s">
        <v>973</v>
      </c>
      <c r="S6696" t="s">
        <v>974</v>
      </c>
      <c r="T6696" t="s">
        <v>975</v>
      </c>
    </row>
    <row r="6697" spans="1:20" x14ac:dyDescent="0.25">
      <c r="A6697" t="s">
        <v>30</v>
      </c>
      <c r="B6697" t="s">
        <v>31</v>
      </c>
      <c r="C6697" t="s">
        <v>32</v>
      </c>
      <c r="D6697" t="s">
        <v>953</v>
      </c>
      <c r="F6697" t="s">
        <v>35</v>
      </c>
      <c r="G6697" t="s">
        <v>35</v>
      </c>
      <c r="H6697" t="s">
        <v>35</v>
      </c>
      <c r="J6697" t="s">
        <v>7921</v>
      </c>
      <c r="K6697" t="s">
        <v>1092</v>
      </c>
      <c r="M6697">
        <v>7.0650000000000004</v>
      </c>
      <c r="N6697">
        <v>15</v>
      </c>
      <c r="O6697" t="s">
        <v>46</v>
      </c>
      <c r="Q6697" t="s">
        <v>979</v>
      </c>
      <c r="R6697" t="s">
        <v>973</v>
      </c>
      <c r="S6697" t="s">
        <v>974</v>
      </c>
      <c r="T6697" t="s">
        <v>975</v>
      </c>
    </row>
    <row r="6698" spans="1:20" x14ac:dyDescent="0.25">
      <c r="A6698" t="s">
        <v>59</v>
      </c>
      <c r="B6698" t="s">
        <v>60</v>
      </c>
      <c r="C6698" t="s">
        <v>32</v>
      </c>
      <c r="D6698" t="s">
        <v>953</v>
      </c>
      <c r="F6698" t="s">
        <v>35</v>
      </c>
      <c r="G6698" t="s">
        <v>35</v>
      </c>
      <c r="H6698" t="s">
        <v>35</v>
      </c>
      <c r="J6698" t="s">
        <v>7986</v>
      </c>
      <c r="K6698" t="s">
        <v>1092</v>
      </c>
      <c r="M6698">
        <v>5</v>
      </c>
      <c r="N6698">
        <v>1261</v>
      </c>
      <c r="O6698" t="s">
        <v>575</v>
      </c>
      <c r="Q6698" t="s">
        <v>7987</v>
      </c>
      <c r="R6698" t="s">
        <v>973</v>
      </c>
      <c r="S6698" t="s">
        <v>974</v>
      </c>
      <c r="T6698" t="s">
        <v>975</v>
      </c>
    </row>
    <row r="6699" spans="1:20" x14ac:dyDescent="0.25">
      <c r="A6699" t="s">
        <v>59</v>
      </c>
      <c r="B6699" t="s">
        <v>31</v>
      </c>
      <c r="C6699" t="s">
        <v>32</v>
      </c>
      <c r="D6699" t="s">
        <v>953</v>
      </c>
      <c r="F6699" t="s">
        <v>35</v>
      </c>
      <c r="G6699" t="s">
        <v>35</v>
      </c>
      <c r="H6699" t="s">
        <v>35</v>
      </c>
      <c r="J6699" t="s">
        <v>7986</v>
      </c>
      <c r="K6699" t="s">
        <v>1092</v>
      </c>
      <c r="M6699">
        <v>2.25</v>
      </c>
      <c r="N6699">
        <v>1915</v>
      </c>
      <c r="O6699" t="s">
        <v>575</v>
      </c>
      <c r="Q6699" t="s">
        <v>7988</v>
      </c>
      <c r="R6699" t="s">
        <v>973</v>
      </c>
      <c r="S6699" t="s">
        <v>974</v>
      </c>
      <c r="T6699" t="s">
        <v>975</v>
      </c>
    </row>
    <row r="6700" spans="1:20" x14ac:dyDescent="0.25">
      <c r="A6700" t="s">
        <v>59</v>
      </c>
      <c r="B6700" t="s">
        <v>60</v>
      </c>
      <c r="C6700" t="s">
        <v>32</v>
      </c>
      <c r="D6700" t="s">
        <v>953</v>
      </c>
      <c r="E6700" t="s">
        <v>1015</v>
      </c>
      <c r="F6700" t="s">
        <v>35</v>
      </c>
      <c r="G6700" t="s">
        <v>35</v>
      </c>
      <c r="H6700" t="s">
        <v>35</v>
      </c>
      <c r="J6700" t="s">
        <v>1062</v>
      </c>
      <c r="K6700" t="s">
        <v>37</v>
      </c>
      <c r="M6700">
        <v>2.5</v>
      </c>
      <c r="N6700">
        <v>55</v>
      </c>
      <c r="O6700" t="s">
        <v>52</v>
      </c>
      <c r="P6700" t="s">
        <v>1064</v>
      </c>
      <c r="Q6700" t="s">
        <v>90</v>
      </c>
      <c r="R6700" t="s">
        <v>973</v>
      </c>
      <c r="S6700" t="s">
        <v>974</v>
      </c>
      <c r="T6700" t="s">
        <v>975</v>
      </c>
    </row>
    <row r="6701" spans="1:20" x14ac:dyDescent="0.25">
      <c r="A6701" t="s">
        <v>44</v>
      </c>
      <c r="B6701" t="s">
        <v>3</v>
      </c>
      <c r="C6701" t="s">
        <v>32</v>
      </c>
      <c r="D6701" t="s">
        <v>953</v>
      </c>
      <c r="E6701" t="s">
        <v>1015</v>
      </c>
      <c r="F6701" t="s">
        <v>35</v>
      </c>
      <c r="G6701" t="s">
        <v>35</v>
      </c>
      <c r="H6701" t="s">
        <v>35</v>
      </c>
      <c r="J6701" t="s">
        <v>1062</v>
      </c>
      <c r="K6701" t="s">
        <v>37</v>
      </c>
      <c r="M6701">
        <v>1.25</v>
      </c>
      <c r="N6701">
        <v>55</v>
      </c>
      <c r="O6701" t="s">
        <v>52</v>
      </c>
      <c r="P6701" t="s">
        <v>1065</v>
      </c>
      <c r="Q6701" t="s">
        <v>90</v>
      </c>
      <c r="R6701" t="s">
        <v>973</v>
      </c>
      <c r="S6701" t="s">
        <v>974</v>
      </c>
      <c r="T6701" t="s">
        <v>975</v>
      </c>
    </row>
    <row r="6702" spans="1:20" x14ac:dyDescent="0.25">
      <c r="A6702" t="s">
        <v>30</v>
      </c>
      <c r="B6702" t="s">
        <v>31</v>
      </c>
      <c r="C6702" t="s">
        <v>32</v>
      </c>
      <c r="D6702" t="s">
        <v>953</v>
      </c>
      <c r="E6702" t="s">
        <v>968</v>
      </c>
      <c r="F6702" t="s">
        <v>35</v>
      </c>
      <c r="G6702" t="s">
        <v>35</v>
      </c>
      <c r="H6702" t="s">
        <v>35</v>
      </c>
      <c r="J6702" t="s">
        <v>7047</v>
      </c>
      <c r="K6702" t="s">
        <v>1092</v>
      </c>
      <c r="M6702">
        <v>3.6</v>
      </c>
      <c r="N6702">
        <v>16</v>
      </c>
      <c r="O6702" t="s">
        <v>46</v>
      </c>
      <c r="Q6702" t="s">
        <v>1819</v>
      </c>
      <c r="R6702" t="s">
        <v>6899</v>
      </c>
      <c r="S6702" t="s">
        <v>6900</v>
      </c>
      <c r="T6702" t="s">
        <v>6901</v>
      </c>
    </row>
    <row r="6703" spans="1:20" x14ac:dyDescent="0.25">
      <c r="A6703" t="s">
        <v>30</v>
      </c>
      <c r="B6703" t="s">
        <v>31</v>
      </c>
      <c r="C6703" t="s">
        <v>32</v>
      </c>
      <c r="D6703" t="s">
        <v>953</v>
      </c>
      <c r="E6703" t="s">
        <v>968</v>
      </c>
      <c r="F6703" t="s">
        <v>35</v>
      </c>
      <c r="G6703" t="s">
        <v>35</v>
      </c>
      <c r="H6703" t="s">
        <v>35</v>
      </c>
      <c r="J6703" t="s">
        <v>6980</v>
      </c>
      <c r="K6703" t="s">
        <v>1092</v>
      </c>
      <c r="M6703">
        <v>2.3849999999999998</v>
      </c>
      <c r="N6703">
        <v>28</v>
      </c>
      <c r="O6703" t="s">
        <v>46</v>
      </c>
      <c r="Q6703" t="s">
        <v>48</v>
      </c>
      <c r="R6703" t="s">
        <v>6899</v>
      </c>
      <c r="S6703" t="s">
        <v>6900</v>
      </c>
      <c r="T6703" t="s">
        <v>6901</v>
      </c>
    </row>
    <row r="6704" spans="1:20" x14ac:dyDescent="0.25">
      <c r="A6704" t="s">
        <v>44</v>
      </c>
      <c r="B6704" t="s">
        <v>51</v>
      </c>
      <c r="C6704" t="s">
        <v>32</v>
      </c>
      <c r="D6704" t="s">
        <v>953</v>
      </c>
      <c r="E6704" t="s">
        <v>6878</v>
      </c>
      <c r="F6704" t="s">
        <v>35</v>
      </c>
      <c r="G6704" t="s">
        <v>35</v>
      </c>
      <c r="H6704" t="s">
        <v>35</v>
      </c>
      <c r="J6704" t="s">
        <v>6898</v>
      </c>
      <c r="K6704" t="s">
        <v>1092</v>
      </c>
      <c r="M6704">
        <v>0.6</v>
      </c>
      <c r="N6704">
        <v>54</v>
      </c>
      <c r="O6704" t="s">
        <v>52</v>
      </c>
      <c r="Q6704" t="s">
        <v>671</v>
      </c>
      <c r="R6704" t="s">
        <v>6899</v>
      </c>
      <c r="S6704" t="s">
        <v>6900</v>
      </c>
      <c r="T6704" t="s">
        <v>6901</v>
      </c>
    </row>
    <row r="6705" spans="1:20" x14ac:dyDescent="0.25">
      <c r="A6705" t="s">
        <v>30</v>
      </c>
      <c r="B6705" t="s">
        <v>31</v>
      </c>
      <c r="C6705" t="s">
        <v>32</v>
      </c>
      <c r="D6705" t="s">
        <v>953</v>
      </c>
      <c r="E6705" t="s">
        <v>968</v>
      </c>
      <c r="F6705" t="s">
        <v>35</v>
      </c>
      <c r="G6705" t="s">
        <v>35</v>
      </c>
      <c r="H6705" t="s">
        <v>35</v>
      </c>
      <c r="J6705" t="s">
        <v>628</v>
      </c>
      <c r="K6705" t="s">
        <v>1092</v>
      </c>
      <c r="M6705">
        <v>4.5449999999999999</v>
      </c>
      <c r="N6705">
        <v>28</v>
      </c>
      <c r="O6705" t="s">
        <v>46</v>
      </c>
      <c r="Q6705" t="s">
        <v>48</v>
      </c>
      <c r="R6705" t="s">
        <v>6899</v>
      </c>
      <c r="S6705" t="s">
        <v>6900</v>
      </c>
      <c r="T6705" t="s">
        <v>6901</v>
      </c>
    </row>
    <row r="6706" spans="1:20" x14ac:dyDescent="0.25">
      <c r="A6706" t="s">
        <v>59</v>
      </c>
      <c r="B6706" t="s">
        <v>60</v>
      </c>
      <c r="C6706" t="s">
        <v>32</v>
      </c>
      <c r="D6706" t="s">
        <v>953</v>
      </c>
      <c r="E6706" t="s">
        <v>968</v>
      </c>
      <c r="F6706" t="s">
        <v>35</v>
      </c>
      <c r="G6706" t="s">
        <v>35</v>
      </c>
      <c r="H6706" t="s">
        <v>35</v>
      </c>
      <c r="J6706" t="s">
        <v>7038</v>
      </c>
      <c r="K6706" t="s">
        <v>1092</v>
      </c>
      <c r="M6706">
        <v>4.8920000000000003</v>
      </c>
      <c r="N6706">
        <v>84</v>
      </c>
      <c r="O6706" t="s">
        <v>61</v>
      </c>
      <c r="Q6706" t="s">
        <v>1147</v>
      </c>
      <c r="R6706" t="s">
        <v>6899</v>
      </c>
      <c r="S6706" t="s">
        <v>6900</v>
      </c>
      <c r="T6706" t="s">
        <v>6901</v>
      </c>
    </row>
    <row r="6707" spans="1:20" x14ac:dyDescent="0.25">
      <c r="A6707" t="s">
        <v>44</v>
      </c>
      <c r="B6707" t="s">
        <v>51</v>
      </c>
      <c r="C6707" t="s">
        <v>32</v>
      </c>
      <c r="D6707" t="s">
        <v>953</v>
      </c>
      <c r="E6707" t="s">
        <v>6878</v>
      </c>
      <c r="F6707" t="s">
        <v>35</v>
      </c>
      <c r="G6707" t="s">
        <v>35</v>
      </c>
      <c r="H6707" t="s">
        <v>35</v>
      </c>
      <c r="J6707" t="s">
        <v>6949</v>
      </c>
      <c r="K6707" t="s">
        <v>1092</v>
      </c>
      <c r="M6707">
        <v>0.9</v>
      </c>
      <c r="N6707">
        <v>54</v>
      </c>
      <c r="O6707" t="s">
        <v>52</v>
      </c>
      <c r="Q6707" t="s">
        <v>671</v>
      </c>
      <c r="R6707" t="s">
        <v>6899</v>
      </c>
      <c r="S6707" t="s">
        <v>6900</v>
      </c>
      <c r="T6707" t="s">
        <v>6901</v>
      </c>
    </row>
    <row r="6708" spans="1:20" x14ac:dyDescent="0.25">
      <c r="A6708" t="s">
        <v>59</v>
      </c>
      <c r="B6708" t="s">
        <v>31</v>
      </c>
      <c r="C6708" t="s">
        <v>32</v>
      </c>
      <c r="D6708" t="s">
        <v>953</v>
      </c>
      <c r="E6708" t="s">
        <v>1084</v>
      </c>
      <c r="F6708" t="s">
        <v>35</v>
      </c>
      <c r="G6708" t="s">
        <v>35</v>
      </c>
      <c r="H6708" t="s">
        <v>35</v>
      </c>
      <c r="J6708" t="s">
        <v>7771</v>
      </c>
      <c r="K6708" t="s">
        <v>1092</v>
      </c>
      <c r="M6708">
        <v>4.2750000000000004</v>
      </c>
      <c r="N6708">
        <v>54</v>
      </c>
      <c r="O6708" t="s">
        <v>52</v>
      </c>
      <c r="Q6708" t="s">
        <v>671</v>
      </c>
      <c r="R6708" t="s">
        <v>6899</v>
      </c>
      <c r="S6708" t="s">
        <v>6900</v>
      </c>
      <c r="T6708" t="s">
        <v>6901</v>
      </c>
    </row>
    <row r="6709" spans="1:20" x14ac:dyDescent="0.25">
      <c r="A6709" t="s">
        <v>44</v>
      </c>
      <c r="B6709" t="s">
        <v>3</v>
      </c>
      <c r="C6709" t="s">
        <v>32</v>
      </c>
      <c r="D6709" t="s">
        <v>953</v>
      </c>
      <c r="E6709" t="s">
        <v>1084</v>
      </c>
      <c r="F6709" t="s">
        <v>35</v>
      </c>
      <c r="G6709" t="s">
        <v>35</v>
      </c>
      <c r="H6709" t="s">
        <v>35</v>
      </c>
      <c r="J6709" t="s">
        <v>7771</v>
      </c>
      <c r="K6709" t="s">
        <v>1092</v>
      </c>
      <c r="M6709">
        <v>9.3000000000000007</v>
      </c>
      <c r="N6709">
        <v>61</v>
      </c>
      <c r="O6709" t="s">
        <v>61</v>
      </c>
      <c r="Q6709" t="s">
        <v>146</v>
      </c>
      <c r="R6709" t="s">
        <v>6899</v>
      </c>
      <c r="S6709" t="s">
        <v>6900</v>
      </c>
      <c r="T6709" t="s">
        <v>6901</v>
      </c>
    </row>
    <row r="6710" spans="1:20" x14ac:dyDescent="0.25">
      <c r="A6710" t="s">
        <v>59</v>
      </c>
      <c r="B6710" t="s">
        <v>60</v>
      </c>
      <c r="C6710" t="s">
        <v>32</v>
      </c>
      <c r="D6710" t="s">
        <v>953</v>
      </c>
      <c r="F6710" t="s">
        <v>35</v>
      </c>
      <c r="G6710" t="s">
        <v>35</v>
      </c>
      <c r="H6710" t="s">
        <v>35</v>
      </c>
      <c r="J6710" t="s">
        <v>7986</v>
      </c>
      <c r="K6710" t="s">
        <v>1092</v>
      </c>
      <c r="M6710">
        <v>1.7</v>
      </c>
      <c r="N6710">
        <v>1713</v>
      </c>
      <c r="O6710" t="s">
        <v>575</v>
      </c>
      <c r="Q6710" t="s">
        <v>7989</v>
      </c>
      <c r="R6710" t="s">
        <v>6899</v>
      </c>
      <c r="S6710" t="s">
        <v>6900</v>
      </c>
      <c r="T6710" t="s">
        <v>6901</v>
      </c>
    </row>
    <row r="6711" spans="1:20" x14ac:dyDescent="0.25">
      <c r="A6711" t="s">
        <v>30</v>
      </c>
      <c r="B6711" t="s">
        <v>31</v>
      </c>
      <c r="C6711" t="s">
        <v>32</v>
      </c>
      <c r="D6711" t="s">
        <v>953</v>
      </c>
      <c r="E6711" t="s">
        <v>968</v>
      </c>
      <c r="F6711" t="s">
        <v>35</v>
      </c>
      <c r="G6711" t="s">
        <v>35</v>
      </c>
      <c r="H6711" t="s">
        <v>35</v>
      </c>
      <c r="J6711" t="s">
        <v>7053</v>
      </c>
      <c r="K6711" t="s">
        <v>1092</v>
      </c>
      <c r="M6711">
        <v>0.13500000000000001</v>
      </c>
      <c r="N6711">
        <v>28</v>
      </c>
      <c r="O6711" t="s">
        <v>46</v>
      </c>
      <c r="Q6711" t="s">
        <v>48</v>
      </c>
      <c r="R6711" t="s">
        <v>6899</v>
      </c>
      <c r="S6711" t="s">
        <v>6900</v>
      </c>
      <c r="T6711" t="s">
        <v>6901</v>
      </c>
    </row>
    <row r="6712" spans="1:20" x14ac:dyDescent="0.25">
      <c r="A6712" t="s">
        <v>59</v>
      </c>
      <c r="B6712" t="s">
        <v>31</v>
      </c>
      <c r="C6712" t="s">
        <v>32</v>
      </c>
      <c r="D6712" t="s">
        <v>953</v>
      </c>
      <c r="F6712" t="s">
        <v>35</v>
      </c>
      <c r="G6712" t="s">
        <v>35</v>
      </c>
      <c r="H6712" t="s">
        <v>35</v>
      </c>
      <c r="J6712" t="s">
        <v>7940</v>
      </c>
      <c r="K6712" t="s">
        <v>1092</v>
      </c>
      <c r="M6712">
        <v>4.9950000000000001</v>
      </c>
      <c r="N6712">
        <v>1151</v>
      </c>
      <c r="O6712" t="s">
        <v>575</v>
      </c>
      <c r="Q6712" t="s">
        <v>7942</v>
      </c>
      <c r="R6712" t="s">
        <v>6899</v>
      </c>
      <c r="S6712" t="s">
        <v>6900</v>
      </c>
      <c r="T6712" t="s">
        <v>6901</v>
      </c>
    </row>
    <row r="6713" spans="1:20" x14ac:dyDescent="0.25">
      <c r="A6713" t="s">
        <v>59</v>
      </c>
      <c r="B6713" t="s">
        <v>31</v>
      </c>
      <c r="C6713" t="s">
        <v>32</v>
      </c>
      <c r="D6713" t="s">
        <v>953</v>
      </c>
      <c r="E6713" t="s">
        <v>968</v>
      </c>
      <c r="F6713" t="s">
        <v>35</v>
      </c>
      <c r="G6713" t="s">
        <v>35</v>
      </c>
      <c r="H6713" t="s">
        <v>35</v>
      </c>
      <c r="J6713" t="s">
        <v>7049</v>
      </c>
      <c r="K6713" t="s">
        <v>1092</v>
      </c>
      <c r="M6713">
        <v>1.575</v>
      </c>
      <c r="N6713">
        <v>54</v>
      </c>
      <c r="O6713" t="s">
        <v>52</v>
      </c>
      <c r="Q6713" t="s">
        <v>671</v>
      </c>
      <c r="R6713" t="s">
        <v>6899</v>
      </c>
      <c r="S6713" t="s">
        <v>6900</v>
      </c>
      <c r="T6713" t="s">
        <v>6901</v>
      </c>
    </row>
    <row r="6714" spans="1:20" x14ac:dyDescent="0.25">
      <c r="A6714" t="s">
        <v>30</v>
      </c>
      <c r="B6714" t="s">
        <v>31</v>
      </c>
      <c r="C6714" t="s">
        <v>32</v>
      </c>
      <c r="D6714" t="s">
        <v>953</v>
      </c>
      <c r="E6714" t="s">
        <v>968</v>
      </c>
      <c r="F6714" t="s">
        <v>35</v>
      </c>
      <c r="G6714" t="s">
        <v>35</v>
      </c>
      <c r="H6714" t="s">
        <v>35</v>
      </c>
      <c r="J6714" t="s">
        <v>7049</v>
      </c>
      <c r="K6714" t="s">
        <v>1092</v>
      </c>
      <c r="M6714">
        <v>4.9950000000000001</v>
      </c>
      <c r="N6714">
        <v>11</v>
      </c>
      <c r="O6714" t="s">
        <v>46</v>
      </c>
      <c r="Q6714" t="s">
        <v>1476</v>
      </c>
      <c r="R6714" t="s">
        <v>6899</v>
      </c>
      <c r="S6714" t="s">
        <v>6900</v>
      </c>
      <c r="T6714" t="s">
        <v>6901</v>
      </c>
    </row>
    <row r="6715" spans="1:20" x14ac:dyDescent="0.25">
      <c r="A6715" t="s">
        <v>59</v>
      </c>
      <c r="B6715" t="s">
        <v>60</v>
      </c>
      <c r="C6715" t="s">
        <v>32</v>
      </c>
      <c r="D6715" t="s">
        <v>953</v>
      </c>
      <c r="E6715" t="s">
        <v>968</v>
      </c>
      <c r="F6715" t="s">
        <v>35</v>
      </c>
      <c r="G6715" t="s">
        <v>35</v>
      </c>
      <c r="H6715" t="s">
        <v>35</v>
      </c>
      <c r="J6715" t="s">
        <v>7049</v>
      </c>
      <c r="K6715" t="s">
        <v>1092</v>
      </c>
      <c r="M6715">
        <v>12.2</v>
      </c>
      <c r="N6715">
        <v>54</v>
      </c>
      <c r="O6715" t="s">
        <v>52</v>
      </c>
      <c r="Q6715" t="s">
        <v>671</v>
      </c>
      <c r="R6715" t="s">
        <v>6899</v>
      </c>
      <c r="S6715" t="s">
        <v>6900</v>
      </c>
      <c r="T6715" t="s">
        <v>6901</v>
      </c>
    </row>
    <row r="6716" spans="1:20" x14ac:dyDescent="0.25">
      <c r="A6716" t="s">
        <v>59</v>
      </c>
      <c r="B6716" t="s">
        <v>31</v>
      </c>
      <c r="C6716" t="s">
        <v>32</v>
      </c>
      <c r="D6716" t="s">
        <v>953</v>
      </c>
      <c r="E6716" t="s">
        <v>968</v>
      </c>
      <c r="F6716" t="s">
        <v>35</v>
      </c>
      <c r="G6716" t="s">
        <v>35</v>
      </c>
      <c r="H6716" t="s">
        <v>35</v>
      </c>
      <c r="J6716" t="s">
        <v>7018</v>
      </c>
      <c r="K6716" t="s">
        <v>1092</v>
      </c>
      <c r="M6716">
        <v>4.9950000000000001</v>
      </c>
      <c r="N6716">
        <v>84</v>
      </c>
      <c r="O6716" t="s">
        <v>61</v>
      </c>
      <c r="Q6716" t="s">
        <v>1147</v>
      </c>
      <c r="R6716" t="s">
        <v>6899</v>
      </c>
      <c r="S6716" t="s">
        <v>6900</v>
      </c>
      <c r="T6716" t="s">
        <v>6901</v>
      </c>
    </row>
    <row r="6717" spans="1:20" x14ac:dyDescent="0.25">
      <c r="A6717" t="s">
        <v>44</v>
      </c>
      <c r="B6717" t="s">
        <v>51</v>
      </c>
      <c r="C6717" t="s">
        <v>32</v>
      </c>
      <c r="D6717" t="s">
        <v>953</v>
      </c>
      <c r="E6717" t="s">
        <v>6878</v>
      </c>
      <c r="F6717" t="s">
        <v>35</v>
      </c>
      <c r="G6717" t="s">
        <v>35</v>
      </c>
      <c r="H6717" t="s">
        <v>35</v>
      </c>
      <c r="J6717" t="s">
        <v>6915</v>
      </c>
      <c r="K6717" t="s">
        <v>1092</v>
      </c>
      <c r="M6717">
        <v>1.05</v>
      </c>
      <c r="N6717">
        <v>54</v>
      </c>
      <c r="O6717" t="s">
        <v>52</v>
      </c>
      <c r="Q6717" t="s">
        <v>671</v>
      </c>
      <c r="R6717" t="s">
        <v>6899</v>
      </c>
      <c r="S6717" t="s">
        <v>6900</v>
      </c>
      <c r="T6717" t="s">
        <v>6901</v>
      </c>
    </row>
    <row r="6718" spans="1:20" x14ac:dyDescent="0.25">
      <c r="A6718" t="s">
        <v>30</v>
      </c>
      <c r="B6718" t="s">
        <v>31</v>
      </c>
      <c r="C6718" t="s">
        <v>32</v>
      </c>
      <c r="D6718" t="s">
        <v>953</v>
      </c>
      <c r="E6718" t="s">
        <v>968</v>
      </c>
      <c r="F6718" t="s">
        <v>35</v>
      </c>
      <c r="G6718" t="s">
        <v>35</v>
      </c>
      <c r="H6718" t="s">
        <v>35</v>
      </c>
      <c r="J6718" t="s">
        <v>7054</v>
      </c>
      <c r="K6718" t="s">
        <v>1092</v>
      </c>
      <c r="M6718">
        <v>4.9950000000000001</v>
      </c>
      <c r="N6718">
        <v>16</v>
      </c>
      <c r="O6718" t="s">
        <v>46</v>
      </c>
      <c r="Q6718" t="s">
        <v>1819</v>
      </c>
      <c r="R6718" t="s">
        <v>6899</v>
      </c>
      <c r="S6718" t="s">
        <v>6900</v>
      </c>
      <c r="T6718" t="s">
        <v>6901</v>
      </c>
    </row>
    <row r="6719" spans="1:20" x14ac:dyDescent="0.25">
      <c r="A6719" t="s">
        <v>30</v>
      </c>
      <c r="B6719" t="s">
        <v>31</v>
      </c>
      <c r="C6719" t="s">
        <v>32</v>
      </c>
      <c r="D6719" t="s">
        <v>953</v>
      </c>
      <c r="E6719" t="s">
        <v>7842</v>
      </c>
      <c r="F6719" t="s">
        <v>35</v>
      </c>
      <c r="G6719" t="s">
        <v>35</v>
      </c>
      <c r="H6719" t="s">
        <v>35</v>
      </c>
      <c r="J6719" t="s">
        <v>7857</v>
      </c>
      <c r="K6719" t="s">
        <v>1092</v>
      </c>
      <c r="M6719">
        <v>0.63</v>
      </c>
      <c r="N6719">
        <v>1785</v>
      </c>
      <c r="O6719" t="s">
        <v>575</v>
      </c>
      <c r="Q6719" t="s">
        <v>7858</v>
      </c>
      <c r="R6719" t="s">
        <v>7859</v>
      </c>
      <c r="S6719" t="s">
        <v>7860</v>
      </c>
      <c r="T6719" t="s">
        <v>7861</v>
      </c>
    </row>
    <row r="6720" spans="1:20" x14ac:dyDescent="0.25">
      <c r="A6720" t="s">
        <v>59</v>
      </c>
      <c r="B6720" t="s">
        <v>60</v>
      </c>
      <c r="C6720" t="s">
        <v>32</v>
      </c>
      <c r="D6720" t="s">
        <v>953</v>
      </c>
      <c r="E6720" t="s">
        <v>980</v>
      </c>
      <c r="F6720" t="s">
        <v>35</v>
      </c>
      <c r="G6720" t="s">
        <v>35</v>
      </c>
      <c r="H6720" t="s">
        <v>35</v>
      </c>
      <c r="J6720" t="s">
        <v>7122</v>
      </c>
      <c r="K6720" t="s">
        <v>1092</v>
      </c>
      <c r="M6720">
        <v>0.05</v>
      </c>
      <c r="N6720">
        <v>23</v>
      </c>
      <c r="O6720" t="s">
        <v>46</v>
      </c>
      <c r="Q6720" t="s">
        <v>793</v>
      </c>
      <c r="R6720" t="s">
        <v>6720</v>
      </c>
      <c r="S6720" t="s">
        <v>961</v>
      </c>
      <c r="T6720" t="s">
        <v>962</v>
      </c>
    </row>
    <row r="6721" spans="1:20" x14ac:dyDescent="0.25">
      <c r="A6721" t="s">
        <v>30</v>
      </c>
      <c r="B6721" t="s">
        <v>31</v>
      </c>
      <c r="C6721" t="s">
        <v>32</v>
      </c>
      <c r="D6721" t="s">
        <v>953</v>
      </c>
      <c r="E6721" t="s">
        <v>980</v>
      </c>
      <c r="F6721" t="s">
        <v>35</v>
      </c>
      <c r="G6721" t="s">
        <v>35</v>
      </c>
      <c r="H6721" t="s">
        <v>35</v>
      </c>
      <c r="J6721" t="s">
        <v>7122</v>
      </c>
      <c r="K6721" t="s">
        <v>1092</v>
      </c>
      <c r="M6721">
        <v>0.315</v>
      </c>
      <c r="N6721">
        <v>9</v>
      </c>
      <c r="O6721" t="s">
        <v>46</v>
      </c>
      <c r="Q6721" t="s">
        <v>323</v>
      </c>
      <c r="R6721" t="s">
        <v>6720</v>
      </c>
      <c r="S6721" t="s">
        <v>961</v>
      </c>
      <c r="T6721" t="s">
        <v>962</v>
      </c>
    </row>
    <row r="6722" spans="1:20" x14ac:dyDescent="0.25">
      <c r="A6722" t="s">
        <v>59</v>
      </c>
      <c r="B6722" t="s">
        <v>60</v>
      </c>
      <c r="C6722" t="s">
        <v>32</v>
      </c>
      <c r="D6722" t="s">
        <v>953</v>
      </c>
      <c r="E6722" t="s">
        <v>954</v>
      </c>
      <c r="F6722" t="s">
        <v>35</v>
      </c>
      <c r="G6722" t="s">
        <v>35</v>
      </c>
      <c r="H6722" t="s">
        <v>35</v>
      </c>
      <c r="J6722" t="s">
        <v>6798</v>
      </c>
      <c r="K6722" t="s">
        <v>1092</v>
      </c>
      <c r="M6722">
        <v>1.5</v>
      </c>
      <c r="N6722">
        <v>23</v>
      </c>
      <c r="O6722" t="s">
        <v>46</v>
      </c>
      <c r="Q6722" t="s">
        <v>793</v>
      </c>
      <c r="R6722" t="s">
        <v>6720</v>
      </c>
      <c r="S6722" t="s">
        <v>961</v>
      </c>
      <c r="T6722" t="s">
        <v>962</v>
      </c>
    </row>
    <row r="6723" spans="1:20" x14ac:dyDescent="0.25">
      <c r="A6723" t="s">
        <v>44</v>
      </c>
      <c r="B6723" t="s">
        <v>3</v>
      </c>
      <c r="C6723" t="s">
        <v>32</v>
      </c>
      <c r="D6723" t="s">
        <v>953</v>
      </c>
      <c r="E6723" t="s">
        <v>954</v>
      </c>
      <c r="F6723" t="s">
        <v>35</v>
      </c>
      <c r="G6723" t="s">
        <v>35</v>
      </c>
      <c r="H6723" t="s">
        <v>35</v>
      </c>
      <c r="J6723" t="s">
        <v>6798</v>
      </c>
      <c r="K6723" t="s">
        <v>1092</v>
      </c>
      <c r="M6723">
        <v>0.4</v>
      </c>
      <c r="N6723">
        <v>23</v>
      </c>
      <c r="O6723" t="s">
        <v>46</v>
      </c>
      <c r="Q6723" t="s">
        <v>793</v>
      </c>
      <c r="R6723" t="s">
        <v>6720</v>
      </c>
      <c r="S6723" t="s">
        <v>961</v>
      </c>
      <c r="T6723" t="s">
        <v>962</v>
      </c>
    </row>
    <row r="6724" spans="1:20" x14ac:dyDescent="0.25">
      <c r="A6724" t="s">
        <v>30</v>
      </c>
      <c r="B6724" t="s">
        <v>31</v>
      </c>
      <c r="C6724" t="s">
        <v>32</v>
      </c>
      <c r="D6724" t="s">
        <v>953</v>
      </c>
      <c r="E6724" t="s">
        <v>954</v>
      </c>
      <c r="F6724" t="s">
        <v>35</v>
      </c>
      <c r="G6724" t="s">
        <v>35</v>
      </c>
      <c r="H6724" t="s">
        <v>35</v>
      </c>
      <c r="J6724" t="s">
        <v>6798</v>
      </c>
      <c r="K6724" t="s">
        <v>1092</v>
      </c>
      <c r="M6724">
        <v>0.94499999999999995</v>
      </c>
      <c r="N6724">
        <v>14</v>
      </c>
      <c r="O6724" t="s">
        <v>46</v>
      </c>
      <c r="Q6724" t="s">
        <v>1874</v>
      </c>
      <c r="R6724" t="s">
        <v>6720</v>
      </c>
      <c r="S6724" t="s">
        <v>961</v>
      </c>
      <c r="T6724" t="s">
        <v>962</v>
      </c>
    </row>
    <row r="6725" spans="1:20" x14ac:dyDescent="0.25">
      <c r="A6725" t="s">
        <v>44</v>
      </c>
      <c r="B6725" t="s">
        <v>51</v>
      </c>
      <c r="C6725" t="s">
        <v>32</v>
      </c>
      <c r="D6725" t="s">
        <v>953</v>
      </c>
      <c r="E6725" t="s">
        <v>954</v>
      </c>
      <c r="F6725" t="s">
        <v>35</v>
      </c>
      <c r="G6725" t="s">
        <v>35</v>
      </c>
      <c r="H6725" t="s">
        <v>35</v>
      </c>
      <c r="J6725" t="s">
        <v>6829</v>
      </c>
      <c r="K6725" t="s">
        <v>1092</v>
      </c>
      <c r="M6725">
        <v>0.15</v>
      </c>
      <c r="N6725">
        <v>193</v>
      </c>
      <c r="O6725" t="s">
        <v>5</v>
      </c>
      <c r="Q6725" t="s">
        <v>3691</v>
      </c>
      <c r="R6725" t="s">
        <v>6720</v>
      </c>
      <c r="S6725" t="s">
        <v>961</v>
      </c>
      <c r="T6725" t="s">
        <v>962</v>
      </c>
    </row>
    <row r="6726" spans="1:20" x14ac:dyDescent="0.25">
      <c r="A6726" t="s">
        <v>59</v>
      </c>
      <c r="B6726" t="s">
        <v>31</v>
      </c>
      <c r="C6726" t="s">
        <v>32</v>
      </c>
      <c r="D6726" t="s">
        <v>953</v>
      </c>
      <c r="E6726" t="s">
        <v>954</v>
      </c>
      <c r="F6726" t="s">
        <v>35</v>
      </c>
      <c r="G6726" t="s">
        <v>35</v>
      </c>
      <c r="H6726" t="s">
        <v>35</v>
      </c>
      <c r="J6726" t="s">
        <v>6719</v>
      </c>
      <c r="K6726" t="s">
        <v>1092</v>
      </c>
      <c r="M6726">
        <v>0.58499999999999996</v>
      </c>
      <c r="N6726">
        <v>53</v>
      </c>
      <c r="O6726" t="s">
        <v>52</v>
      </c>
      <c r="Q6726" t="s">
        <v>1734</v>
      </c>
      <c r="R6726" t="s">
        <v>6720</v>
      </c>
      <c r="S6726" t="s">
        <v>961</v>
      </c>
      <c r="T6726" t="s">
        <v>962</v>
      </c>
    </row>
    <row r="6727" spans="1:20" x14ac:dyDescent="0.25">
      <c r="A6727" t="s">
        <v>44</v>
      </c>
      <c r="B6727" t="s">
        <v>3</v>
      </c>
      <c r="C6727" t="s">
        <v>32</v>
      </c>
      <c r="D6727" t="s">
        <v>953</v>
      </c>
      <c r="E6727" t="s">
        <v>954</v>
      </c>
      <c r="F6727" t="s">
        <v>35</v>
      </c>
      <c r="G6727" t="s">
        <v>35</v>
      </c>
      <c r="H6727" t="s">
        <v>35</v>
      </c>
      <c r="J6727" t="s">
        <v>6719</v>
      </c>
      <c r="K6727" t="s">
        <v>1092</v>
      </c>
      <c r="M6727">
        <v>0.85</v>
      </c>
      <c r="N6727">
        <v>37</v>
      </c>
      <c r="O6727" t="s">
        <v>52</v>
      </c>
      <c r="Q6727" t="s">
        <v>192</v>
      </c>
      <c r="R6727" t="s">
        <v>6720</v>
      </c>
      <c r="S6727" t="s">
        <v>961</v>
      </c>
      <c r="T6727" t="s">
        <v>962</v>
      </c>
    </row>
    <row r="6728" spans="1:20" x14ac:dyDescent="0.25">
      <c r="A6728" t="s">
        <v>59</v>
      </c>
      <c r="B6728" t="s">
        <v>60</v>
      </c>
      <c r="C6728" t="s">
        <v>32</v>
      </c>
      <c r="D6728" t="s">
        <v>953</v>
      </c>
      <c r="E6728" t="s">
        <v>954</v>
      </c>
      <c r="F6728" t="s">
        <v>35</v>
      </c>
      <c r="G6728" t="s">
        <v>35</v>
      </c>
      <c r="H6728" t="s">
        <v>35</v>
      </c>
      <c r="J6728" t="s">
        <v>6719</v>
      </c>
      <c r="K6728" t="s">
        <v>1092</v>
      </c>
      <c r="M6728">
        <v>0.25</v>
      </c>
      <c r="N6728">
        <v>61</v>
      </c>
      <c r="O6728" t="s">
        <v>61</v>
      </c>
      <c r="Q6728" t="s">
        <v>146</v>
      </c>
      <c r="R6728" t="s">
        <v>6720</v>
      </c>
      <c r="S6728" t="s">
        <v>961</v>
      </c>
      <c r="T6728" t="s">
        <v>962</v>
      </c>
    </row>
    <row r="6729" spans="1:20" x14ac:dyDescent="0.25">
      <c r="A6729" t="s">
        <v>44</v>
      </c>
      <c r="B6729" t="s">
        <v>3</v>
      </c>
      <c r="C6729" t="s">
        <v>32</v>
      </c>
      <c r="D6729" t="s">
        <v>953</v>
      </c>
      <c r="E6729" t="s">
        <v>954</v>
      </c>
      <c r="F6729" t="s">
        <v>35</v>
      </c>
      <c r="G6729" t="s">
        <v>35</v>
      </c>
      <c r="H6729" t="s">
        <v>35</v>
      </c>
      <c r="J6729" t="s">
        <v>6719</v>
      </c>
      <c r="K6729" t="s">
        <v>1092</v>
      </c>
      <c r="M6729">
        <v>0.5</v>
      </c>
      <c r="N6729">
        <v>23</v>
      </c>
      <c r="O6729" t="s">
        <v>46</v>
      </c>
      <c r="Q6729" t="s">
        <v>793</v>
      </c>
      <c r="R6729" t="s">
        <v>6720</v>
      </c>
      <c r="S6729" t="s">
        <v>961</v>
      </c>
      <c r="T6729" t="s">
        <v>962</v>
      </c>
    </row>
    <row r="6730" spans="1:20" x14ac:dyDescent="0.25">
      <c r="A6730" t="s">
        <v>44</v>
      </c>
      <c r="B6730" t="s">
        <v>3</v>
      </c>
      <c r="C6730" t="s">
        <v>32</v>
      </c>
      <c r="D6730" t="s">
        <v>953</v>
      </c>
      <c r="E6730" t="s">
        <v>954</v>
      </c>
      <c r="F6730" t="s">
        <v>35</v>
      </c>
      <c r="G6730" t="s">
        <v>35</v>
      </c>
      <c r="H6730" t="s">
        <v>35</v>
      </c>
      <c r="J6730" t="s">
        <v>6799</v>
      </c>
      <c r="K6730" t="s">
        <v>1092</v>
      </c>
      <c r="M6730">
        <v>0.1</v>
      </c>
      <c r="N6730">
        <v>58</v>
      </c>
      <c r="O6730" t="s">
        <v>52</v>
      </c>
      <c r="Q6730" t="s">
        <v>128</v>
      </c>
      <c r="R6730" t="s">
        <v>6720</v>
      </c>
      <c r="S6730" t="s">
        <v>961</v>
      </c>
      <c r="T6730" t="s">
        <v>962</v>
      </c>
    </row>
    <row r="6731" spans="1:20" x14ac:dyDescent="0.25">
      <c r="A6731" t="s">
        <v>30</v>
      </c>
      <c r="B6731" t="s">
        <v>31</v>
      </c>
      <c r="C6731" t="s">
        <v>32</v>
      </c>
      <c r="D6731" t="s">
        <v>953</v>
      </c>
      <c r="E6731" t="s">
        <v>954</v>
      </c>
      <c r="F6731" t="s">
        <v>35</v>
      </c>
      <c r="G6731" t="s">
        <v>35</v>
      </c>
      <c r="H6731" t="s">
        <v>35</v>
      </c>
      <c r="J6731" t="s">
        <v>6799</v>
      </c>
      <c r="K6731" t="s">
        <v>1092</v>
      </c>
      <c r="M6731">
        <v>1.35</v>
      </c>
      <c r="N6731">
        <v>14</v>
      </c>
      <c r="O6731" t="s">
        <v>46</v>
      </c>
      <c r="Q6731" t="s">
        <v>1874</v>
      </c>
      <c r="R6731" t="s">
        <v>6720</v>
      </c>
      <c r="S6731" t="s">
        <v>961</v>
      </c>
      <c r="T6731" t="s">
        <v>962</v>
      </c>
    </row>
    <row r="6732" spans="1:20" x14ac:dyDescent="0.25">
      <c r="A6732" t="s">
        <v>59</v>
      </c>
      <c r="B6732" t="s">
        <v>60</v>
      </c>
      <c r="C6732" t="s">
        <v>32</v>
      </c>
      <c r="D6732" t="s">
        <v>953</v>
      </c>
      <c r="E6732" t="s">
        <v>954</v>
      </c>
      <c r="F6732" t="s">
        <v>35</v>
      </c>
      <c r="G6732" t="s">
        <v>35</v>
      </c>
      <c r="H6732" t="s">
        <v>35</v>
      </c>
      <c r="J6732" t="s">
        <v>6799</v>
      </c>
      <c r="K6732" t="s">
        <v>1092</v>
      </c>
      <c r="M6732">
        <v>0.75</v>
      </c>
      <c r="N6732">
        <v>45</v>
      </c>
      <c r="O6732" t="s">
        <v>52</v>
      </c>
      <c r="Q6732" t="s">
        <v>1230</v>
      </c>
      <c r="R6732" t="s">
        <v>6720</v>
      </c>
      <c r="S6732" t="s">
        <v>961</v>
      </c>
      <c r="T6732" t="s">
        <v>962</v>
      </c>
    </row>
    <row r="6733" spans="1:20" x14ac:dyDescent="0.25">
      <c r="A6733" t="s">
        <v>59</v>
      </c>
      <c r="B6733" t="s">
        <v>60</v>
      </c>
      <c r="C6733" t="s">
        <v>32</v>
      </c>
      <c r="D6733" t="s">
        <v>953</v>
      </c>
      <c r="E6733" t="s">
        <v>954</v>
      </c>
      <c r="F6733" t="s">
        <v>35</v>
      </c>
      <c r="G6733" t="s">
        <v>35</v>
      </c>
      <c r="H6733" t="s">
        <v>35</v>
      </c>
      <c r="J6733" t="s">
        <v>6799</v>
      </c>
      <c r="K6733" t="s">
        <v>1092</v>
      </c>
      <c r="M6733">
        <v>0.05</v>
      </c>
      <c r="N6733">
        <v>83</v>
      </c>
      <c r="O6733" t="s">
        <v>61</v>
      </c>
      <c r="Q6733" t="s">
        <v>897</v>
      </c>
      <c r="R6733" t="s">
        <v>6720</v>
      </c>
      <c r="S6733" t="s">
        <v>961</v>
      </c>
      <c r="T6733" t="s">
        <v>962</v>
      </c>
    </row>
    <row r="6734" spans="1:20" x14ac:dyDescent="0.25">
      <c r="A6734" t="s">
        <v>59</v>
      </c>
      <c r="B6734" t="s">
        <v>60</v>
      </c>
      <c r="C6734" t="s">
        <v>32</v>
      </c>
      <c r="D6734" t="s">
        <v>953</v>
      </c>
      <c r="E6734" t="s">
        <v>954</v>
      </c>
      <c r="F6734" t="s">
        <v>35</v>
      </c>
      <c r="G6734" t="s">
        <v>35</v>
      </c>
      <c r="H6734" t="s">
        <v>35</v>
      </c>
      <c r="J6734" t="s">
        <v>6799</v>
      </c>
      <c r="K6734" t="s">
        <v>1092</v>
      </c>
      <c r="M6734">
        <v>0.75</v>
      </c>
      <c r="N6734">
        <v>70</v>
      </c>
      <c r="O6734" t="s">
        <v>61</v>
      </c>
      <c r="Q6734" t="s">
        <v>305</v>
      </c>
      <c r="R6734" t="s">
        <v>6720</v>
      </c>
      <c r="S6734" t="s">
        <v>961</v>
      </c>
      <c r="T6734" t="s">
        <v>962</v>
      </c>
    </row>
    <row r="6735" spans="1:20" x14ac:dyDescent="0.25">
      <c r="A6735" t="s">
        <v>59</v>
      </c>
      <c r="B6735" t="s">
        <v>60</v>
      </c>
      <c r="C6735" t="s">
        <v>32</v>
      </c>
      <c r="D6735" t="s">
        <v>953</v>
      </c>
      <c r="E6735" t="s">
        <v>954</v>
      </c>
      <c r="F6735" t="s">
        <v>35</v>
      </c>
      <c r="G6735" t="s">
        <v>35</v>
      </c>
      <c r="H6735" t="s">
        <v>35</v>
      </c>
      <c r="J6735" t="s">
        <v>6730</v>
      </c>
      <c r="K6735" t="s">
        <v>1092</v>
      </c>
      <c r="M6735">
        <v>0.83499999999999996</v>
      </c>
      <c r="N6735">
        <v>135</v>
      </c>
      <c r="O6735" t="s">
        <v>38</v>
      </c>
      <c r="Q6735" t="s">
        <v>2067</v>
      </c>
      <c r="R6735" t="s">
        <v>6720</v>
      </c>
      <c r="S6735" t="s">
        <v>961</v>
      </c>
      <c r="T6735" t="s">
        <v>962</v>
      </c>
    </row>
    <row r="6736" spans="1:20" x14ac:dyDescent="0.25">
      <c r="A6736" t="s">
        <v>59</v>
      </c>
      <c r="B6736" t="s">
        <v>60</v>
      </c>
      <c r="C6736" t="s">
        <v>32</v>
      </c>
      <c r="D6736" t="s">
        <v>953</v>
      </c>
      <c r="E6736" t="s">
        <v>954</v>
      </c>
      <c r="F6736" t="s">
        <v>35</v>
      </c>
      <c r="G6736" t="s">
        <v>35</v>
      </c>
      <c r="H6736" t="s">
        <v>35</v>
      </c>
      <c r="J6736" t="s">
        <v>6730</v>
      </c>
      <c r="K6736" t="s">
        <v>1092</v>
      </c>
      <c r="M6736">
        <v>0.5</v>
      </c>
      <c r="N6736">
        <v>74</v>
      </c>
      <c r="O6736" t="s">
        <v>61</v>
      </c>
      <c r="Q6736" t="s">
        <v>527</v>
      </c>
      <c r="R6736" t="s">
        <v>6720</v>
      </c>
      <c r="S6736" t="s">
        <v>961</v>
      </c>
      <c r="T6736" t="s">
        <v>962</v>
      </c>
    </row>
    <row r="6737" spans="1:20" x14ac:dyDescent="0.25">
      <c r="A6737" t="s">
        <v>30</v>
      </c>
      <c r="B6737" t="s">
        <v>31</v>
      </c>
      <c r="C6737" t="s">
        <v>32</v>
      </c>
      <c r="D6737" t="s">
        <v>953</v>
      </c>
      <c r="E6737" t="s">
        <v>954</v>
      </c>
      <c r="F6737" t="s">
        <v>35</v>
      </c>
      <c r="G6737" t="s">
        <v>35</v>
      </c>
      <c r="H6737" t="s">
        <v>35</v>
      </c>
      <c r="J6737" t="s">
        <v>6730</v>
      </c>
      <c r="K6737" t="s">
        <v>1092</v>
      </c>
      <c r="M6737">
        <v>0.13500000000000001</v>
      </c>
      <c r="N6737">
        <v>14</v>
      </c>
      <c r="O6737" t="s">
        <v>46</v>
      </c>
      <c r="Q6737" t="s">
        <v>1874</v>
      </c>
      <c r="R6737" t="s">
        <v>6720</v>
      </c>
      <c r="S6737" t="s">
        <v>961</v>
      </c>
      <c r="T6737" t="s">
        <v>962</v>
      </c>
    </row>
    <row r="6738" spans="1:20" x14ac:dyDescent="0.25">
      <c r="A6738" t="s">
        <v>44</v>
      </c>
      <c r="B6738" t="s">
        <v>3</v>
      </c>
      <c r="C6738" t="s">
        <v>32</v>
      </c>
      <c r="D6738" t="s">
        <v>953</v>
      </c>
      <c r="E6738" t="s">
        <v>954</v>
      </c>
      <c r="F6738" t="s">
        <v>35</v>
      </c>
      <c r="G6738" t="s">
        <v>35</v>
      </c>
      <c r="H6738" t="s">
        <v>35</v>
      </c>
      <c r="J6738" t="s">
        <v>6731</v>
      </c>
      <c r="K6738" t="s">
        <v>1092</v>
      </c>
      <c r="M6738">
        <v>0.14000000000000001</v>
      </c>
      <c r="N6738">
        <v>37</v>
      </c>
      <c r="O6738" t="s">
        <v>52</v>
      </c>
      <c r="Q6738" t="s">
        <v>192</v>
      </c>
      <c r="R6738" t="s">
        <v>6720</v>
      </c>
      <c r="S6738" t="s">
        <v>961</v>
      </c>
      <c r="T6738" t="s">
        <v>962</v>
      </c>
    </row>
    <row r="6739" spans="1:20" x14ac:dyDescent="0.25">
      <c r="A6739" t="s">
        <v>30</v>
      </c>
      <c r="B6739" t="s">
        <v>31</v>
      </c>
      <c r="C6739" t="s">
        <v>32</v>
      </c>
      <c r="D6739" t="s">
        <v>953</v>
      </c>
      <c r="E6739" t="s">
        <v>954</v>
      </c>
      <c r="F6739" t="s">
        <v>35</v>
      </c>
      <c r="G6739" t="s">
        <v>35</v>
      </c>
      <c r="H6739" t="s">
        <v>35</v>
      </c>
      <c r="J6739" t="s">
        <v>6731</v>
      </c>
      <c r="K6739" t="s">
        <v>1092</v>
      </c>
      <c r="M6739">
        <v>0.09</v>
      </c>
      <c r="N6739">
        <v>32</v>
      </c>
      <c r="O6739" t="s">
        <v>52</v>
      </c>
      <c r="Q6739" t="s">
        <v>816</v>
      </c>
      <c r="R6739" t="s">
        <v>6720</v>
      </c>
      <c r="S6739" t="s">
        <v>961</v>
      </c>
      <c r="T6739" t="s">
        <v>962</v>
      </c>
    </row>
    <row r="6740" spans="1:20" x14ac:dyDescent="0.25">
      <c r="A6740" t="s">
        <v>44</v>
      </c>
      <c r="B6740" t="s">
        <v>3</v>
      </c>
      <c r="C6740" t="s">
        <v>32</v>
      </c>
      <c r="D6740" t="s">
        <v>953</v>
      </c>
      <c r="E6740" t="s">
        <v>954</v>
      </c>
      <c r="F6740" t="s">
        <v>35</v>
      </c>
      <c r="G6740" t="s">
        <v>35</v>
      </c>
      <c r="H6740" t="s">
        <v>35</v>
      </c>
      <c r="J6740" t="s">
        <v>6731</v>
      </c>
      <c r="K6740" t="s">
        <v>1092</v>
      </c>
      <c r="M6740">
        <v>0.15</v>
      </c>
      <c r="N6740">
        <v>32</v>
      </c>
      <c r="O6740" t="s">
        <v>52</v>
      </c>
      <c r="Q6740" t="s">
        <v>816</v>
      </c>
      <c r="R6740" t="s">
        <v>6720</v>
      </c>
      <c r="S6740" t="s">
        <v>961</v>
      </c>
      <c r="T6740" t="s">
        <v>962</v>
      </c>
    </row>
    <row r="6741" spans="1:20" x14ac:dyDescent="0.25">
      <c r="A6741" t="s">
        <v>44</v>
      </c>
      <c r="B6741" t="s">
        <v>3</v>
      </c>
      <c r="C6741" t="s">
        <v>32</v>
      </c>
      <c r="D6741" t="s">
        <v>953</v>
      </c>
      <c r="E6741" t="s">
        <v>954</v>
      </c>
      <c r="F6741" t="s">
        <v>35</v>
      </c>
      <c r="G6741" t="s">
        <v>35</v>
      </c>
      <c r="H6741" t="s">
        <v>35</v>
      </c>
      <c r="J6741" t="s">
        <v>6731</v>
      </c>
      <c r="K6741" t="s">
        <v>1092</v>
      </c>
      <c r="M6741">
        <v>0.3</v>
      </c>
      <c r="N6741">
        <v>30</v>
      </c>
      <c r="O6741" t="s">
        <v>46</v>
      </c>
      <c r="Q6741" t="s">
        <v>3499</v>
      </c>
      <c r="R6741" t="s">
        <v>6720</v>
      </c>
      <c r="S6741" t="s">
        <v>961</v>
      </c>
      <c r="T6741" t="s">
        <v>962</v>
      </c>
    </row>
    <row r="6742" spans="1:20" x14ac:dyDescent="0.25">
      <c r="A6742" t="s">
        <v>59</v>
      </c>
      <c r="B6742" t="s">
        <v>60</v>
      </c>
      <c r="C6742" t="s">
        <v>32</v>
      </c>
      <c r="D6742" t="s">
        <v>953</v>
      </c>
      <c r="E6742" t="s">
        <v>954</v>
      </c>
      <c r="F6742" t="s">
        <v>35</v>
      </c>
      <c r="G6742" t="s">
        <v>35</v>
      </c>
      <c r="H6742" t="s">
        <v>35</v>
      </c>
      <c r="J6742" t="s">
        <v>6731</v>
      </c>
      <c r="K6742" t="s">
        <v>1092</v>
      </c>
      <c r="M6742">
        <v>0.15</v>
      </c>
      <c r="N6742">
        <v>49</v>
      </c>
      <c r="O6742" t="s">
        <v>52</v>
      </c>
      <c r="Q6742" t="s">
        <v>453</v>
      </c>
      <c r="R6742" t="s">
        <v>6720</v>
      </c>
      <c r="S6742" t="s">
        <v>961</v>
      </c>
      <c r="T6742" t="s">
        <v>962</v>
      </c>
    </row>
    <row r="6743" spans="1:20" x14ac:dyDescent="0.25">
      <c r="A6743" t="s">
        <v>30</v>
      </c>
      <c r="B6743" t="s">
        <v>31</v>
      </c>
      <c r="C6743" t="s">
        <v>32</v>
      </c>
      <c r="D6743" t="s">
        <v>953</v>
      </c>
      <c r="E6743" t="s">
        <v>954</v>
      </c>
      <c r="F6743" t="s">
        <v>35</v>
      </c>
      <c r="G6743" t="s">
        <v>35</v>
      </c>
      <c r="H6743" t="s">
        <v>35</v>
      </c>
      <c r="J6743" t="s">
        <v>6731</v>
      </c>
      <c r="K6743" t="s">
        <v>1092</v>
      </c>
      <c r="M6743">
        <v>0.67500000000000004</v>
      </c>
      <c r="N6743">
        <v>30</v>
      </c>
      <c r="O6743" t="s">
        <v>46</v>
      </c>
      <c r="Q6743" t="s">
        <v>3499</v>
      </c>
      <c r="R6743" t="s">
        <v>6720</v>
      </c>
      <c r="S6743" t="s">
        <v>961</v>
      </c>
      <c r="T6743" t="s">
        <v>962</v>
      </c>
    </row>
    <row r="6744" spans="1:20" x14ac:dyDescent="0.25">
      <c r="A6744" t="s">
        <v>44</v>
      </c>
      <c r="B6744" t="s">
        <v>3</v>
      </c>
      <c r="C6744" t="s">
        <v>32</v>
      </c>
      <c r="D6744" t="s">
        <v>953</v>
      </c>
      <c r="E6744" t="s">
        <v>954</v>
      </c>
      <c r="F6744" t="s">
        <v>35</v>
      </c>
      <c r="G6744" t="s">
        <v>35</v>
      </c>
      <c r="H6744" t="s">
        <v>35</v>
      </c>
      <c r="J6744" t="s">
        <v>6731</v>
      </c>
      <c r="K6744" t="s">
        <v>1092</v>
      </c>
      <c r="M6744">
        <v>0.25</v>
      </c>
      <c r="N6744">
        <v>20</v>
      </c>
      <c r="O6744" t="s">
        <v>46</v>
      </c>
      <c r="Q6744" t="s">
        <v>1011</v>
      </c>
      <c r="R6744" t="s">
        <v>6720</v>
      </c>
      <c r="S6744" t="s">
        <v>961</v>
      </c>
      <c r="T6744" t="s">
        <v>962</v>
      </c>
    </row>
    <row r="6745" spans="1:20" x14ac:dyDescent="0.25">
      <c r="A6745" t="s">
        <v>59</v>
      </c>
      <c r="B6745" t="s">
        <v>60</v>
      </c>
      <c r="C6745" t="s">
        <v>32</v>
      </c>
      <c r="D6745" t="s">
        <v>953</v>
      </c>
      <c r="E6745" t="s">
        <v>954</v>
      </c>
      <c r="F6745" t="s">
        <v>35</v>
      </c>
      <c r="G6745" t="s">
        <v>35</v>
      </c>
      <c r="H6745" t="s">
        <v>35</v>
      </c>
      <c r="J6745" t="s">
        <v>6731</v>
      </c>
      <c r="K6745" t="s">
        <v>1092</v>
      </c>
      <c r="M6745">
        <v>0.20499999999999999</v>
      </c>
      <c r="N6745">
        <v>64</v>
      </c>
      <c r="O6745" t="s">
        <v>61</v>
      </c>
      <c r="Q6745" t="s">
        <v>102</v>
      </c>
      <c r="R6745" t="s">
        <v>6720</v>
      </c>
      <c r="S6745" t="s">
        <v>961</v>
      </c>
      <c r="T6745" t="s">
        <v>962</v>
      </c>
    </row>
    <row r="6746" spans="1:20" x14ac:dyDescent="0.25">
      <c r="A6746" t="s">
        <v>59</v>
      </c>
      <c r="B6746" t="s">
        <v>60</v>
      </c>
      <c r="C6746" t="s">
        <v>32</v>
      </c>
      <c r="D6746" t="s">
        <v>953</v>
      </c>
      <c r="E6746" t="s">
        <v>954</v>
      </c>
      <c r="F6746" t="s">
        <v>35</v>
      </c>
      <c r="G6746" t="s">
        <v>35</v>
      </c>
      <c r="H6746" t="s">
        <v>35</v>
      </c>
      <c r="J6746" t="s">
        <v>6731</v>
      </c>
      <c r="K6746" t="s">
        <v>1092</v>
      </c>
      <c r="M6746">
        <v>0.1</v>
      </c>
      <c r="N6746">
        <v>37</v>
      </c>
      <c r="O6746" t="s">
        <v>52</v>
      </c>
      <c r="Q6746" t="s">
        <v>192</v>
      </c>
      <c r="R6746" t="s">
        <v>6720</v>
      </c>
      <c r="S6746" t="s">
        <v>961</v>
      </c>
      <c r="T6746" t="s">
        <v>962</v>
      </c>
    </row>
    <row r="6747" spans="1:20" x14ac:dyDescent="0.25">
      <c r="A6747" t="s">
        <v>30</v>
      </c>
      <c r="B6747" t="s">
        <v>31</v>
      </c>
      <c r="C6747" t="s">
        <v>32</v>
      </c>
      <c r="D6747" t="s">
        <v>953</v>
      </c>
      <c r="E6747" t="s">
        <v>954</v>
      </c>
      <c r="F6747" t="s">
        <v>35</v>
      </c>
      <c r="G6747" t="s">
        <v>35</v>
      </c>
      <c r="H6747" t="s">
        <v>35</v>
      </c>
      <c r="J6747" t="s">
        <v>6731</v>
      </c>
      <c r="K6747" t="s">
        <v>1092</v>
      </c>
      <c r="M6747">
        <v>0.13500000000000001</v>
      </c>
      <c r="N6747">
        <v>4</v>
      </c>
      <c r="O6747" t="s">
        <v>46</v>
      </c>
      <c r="Q6747" t="s">
        <v>1053</v>
      </c>
      <c r="R6747" t="s">
        <v>6720</v>
      </c>
      <c r="S6747" t="s">
        <v>961</v>
      </c>
      <c r="T6747" t="s">
        <v>962</v>
      </c>
    </row>
    <row r="6748" spans="1:20" x14ac:dyDescent="0.25">
      <c r="A6748" t="s">
        <v>59</v>
      </c>
      <c r="B6748" t="s">
        <v>60</v>
      </c>
      <c r="C6748" t="s">
        <v>32</v>
      </c>
      <c r="D6748" t="s">
        <v>953</v>
      </c>
      <c r="E6748" t="s">
        <v>954</v>
      </c>
      <c r="F6748" t="s">
        <v>35</v>
      </c>
      <c r="G6748" t="s">
        <v>35</v>
      </c>
      <c r="H6748" t="s">
        <v>35</v>
      </c>
      <c r="J6748" t="s">
        <v>6858</v>
      </c>
      <c r="K6748" t="s">
        <v>1092</v>
      </c>
      <c r="M6748">
        <v>0.15</v>
      </c>
      <c r="N6748">
        <v>37</v>
      </c>
      <c r="O6748" t="s">
        <v>52</v>
      </c>
      <c r="Q6748" t="s">
        <v>192</v>
      </c>
      <c r="R6748" t="s">
        <v>6720</v>
      </c>
      <c r="S6748" t="s">
        <v>961</v>
      </c>
      <c r="T6748" t="s">
        <v>962</v>
      </c>
    </row>
    <row r="6749" spans="1:20" x14ac:dyDescent="0.25">
      <c r="A6749" t="s">
        <v>30</v>
      </c>
      <c r="B6749" t="s">
        <v>31</v>
      </c>
      <c r="C6749" t="s">
        <v>32</v>
      </c>
      <c r="D6749" t="s">
        <v>953</v>
      </c>
      <c r="E6749" t="s">
        <v>954</v>
      </c>
      <c r="F6749" t="s">
        <v>35</v>
      </c>
      <c r="G6749" t="s">
        <v>35</v>
      </c>
      <c r="H6749" t="s">
        <v>35</v>
      </c>
      <c r="J6749" t="s">
        <v>6858</v>
      </c>
      <c r="K6749" t="s">
        <v>1092</v>
      </c>
      <c r="M6749">
        <v>0.67500000000000004</v>
      </c>
      <c r="N6749">
        <v>37</v>
      </c>
      <c r="O6749" t="s">
        <v>52</v>
      </c>
      <c r="Q6749" t="s">
        <v>192</v>
      </c>
      <c r="R6749" t="s">
        <v>6720</v>
      </c>
      <c r="S6749" t="s">
        <v>961</v>
      </c>
      <c r="T6749" t="s">
        <v>962</v>
      </c>
    </row>
    <row r="6750" spans="1:20" x14ac:dyDescent="0.25">
      <c r="A6750" t="s">
        <v>59</v>
      </c>
      <c r="B6750" t="s">
        <v>31</v>
      </c>
      <c r="C6750" t="s">
        <v>32</v>
      </c>
      <c r="D6750" t="s">
        <v>953</v>
      </c>
      <c r="E6750" t="s">
        <v>954</v>
      </c>
      <c r="F6750" t="s">
        <v>35</v>
      </c>
      <c r="G6750" t="s">
        <v>35</v>
      </c>
      <c r="H6750" t="s">
        <v>35</v>
      </c>
      <c r="J6750" t="s">
        <v>6809</v>
      </c>
      <c r="K6750" t="s">
        <v>1092</v>
      </c>
      <c r="M6750">
        <v>0.22500000000000001</v>
      </c>
      <c r="N6750">
        <v>972</v>
      </c>
      <c r="O6750" t="s">
        <v>575</v>
      </c>
      <c r="Q6750" t="s">
        <v>3814</v>
      </c>
      <c r="R6750" t="s">
        <v>6720</v>
      </c>
      <c r="S6750" t="s">
        <v>961</v>
      </c>
      <c r="T6750" t="s">
        <v>962</v>
      </c>
    </row>
    <row r="6751" spans="1:20" x14ac:dyDescent="0.25">
      <c r="A6751" t="s">
        <v>44</v>
      </c>
      <c r="B6751" t="s">
        <v>3</v>
      </c>
      <c r="C6751" t="s">
        <v>32</v>
      </c>
      <c r="D6751" t="s">
        <v>953</v>
      </c>
      <c r="E6751" t="s">
        <v>954</v>
      </c>
      <c r="F6751" t="s">
        <v>35</v>
      </c>
      <c r="G6751" t="s">
        <v>35</v>
      </c>
      <c r="H6751" t="s">
        <v>35</v>
      </c>
      <c r="J6751" t="s">
        <v>6809</v>
      </c>
      <c r="K6751" t="s">
        <v>1092</v>
      </c>
      <c r="M6751">
        <v>0.2</v>
      </c>
      <c r="N6751">
        <v>450</v>
      </c>
      <c r="O6751" t="s">
        <v>294</v>
      </c>
      <c r="Q6751" t="s">
        <v>2104</v>
      </c>
      <c r="R6751" t="s">
        <v>6720</v>
      </c>
      <c r="S6751" t="s">
        <v>961</v>
      </c>
      <c r="T6751" t="s">
        <v>962</v>
      </c>
    </row>
    <row r="6752" spans="1:20" x14ac:dyDescent="0.25">
      <c r="A6752" t="s">
        <v>30</v>
      </c>
      <c r="B6752" t="s">
        <v>31</v>
      </c>
      <c r="C6752" t="s">
        <v>32</v>
      </c>
      <c r="D6752" t="s">
        <v>953</v>
      </c>
      <c r="E6752" t="s">
        <v>954</v>
      </c>
      <c r="F6752" t="s">
        <v>35</v>
      </c>
      <c r="G6752" t="s">
        <v>35</v>
      </c>
      <c r="H6752" t="s">
        <v>35</v>
      </c>
      <c r="J6752" t="s">
        <v>6809</v>
      </c>
      <c r="K6752" t="s">
        <v>1092</v>
      </c>
      <c r="M6752">
        <v>0.45</v>
      </c>
      <c r="N6752">
        <v>450</v>
      </c>
      <c r="O6752" t="s">
        <v>294</v>
      </c>
      <c r="Q6752" t="s">
        <v>2104</v>
      </c>
      <c r="R6752" t="s">
        <v>6720</v>
      </c>
      <c r="S6752" t="s">
        <v>961</v>
      </c>
      <c r="T6752" t="s">
        <v>962</v>
      </c>
    </row>
    <row r="6753" spans="1:20" x14ac:dyDescent="0.25">
      <c r="A6753" t="s">
        <v>59</v>
      </c>
      <c r="B6753" t="s">
        <v>60</v>
      </c>
      <c r="C6753" t="s">
        <v>32</v>
      </c>
      <c r="D6753" t="s">
        <v>953</v>
      </c>
      <c r="E6753" t="s">
        <v>954</v>
      </c>
      <c r="F6753" t="s">
        <v>35</v>
      </c>
      <c r="G6753" t="s">
        <v>35</v>
      </c>
      <c r="H6753" t="s">
        <v>35</v>
      </c>
      <c r="J6753" t="s">
        <v>6809</v>
      </c>
      <c r="K6753" t="s">
        <v>1092</v>
      </c>
      <c r="M6753">
        <v>0.15</v>
      </c>
      <c r="N6753">
        <v>592</v>
      </c>
      <c r="O6753" t="s">
        <v>575</v>
      </c>
      <c r="Q6753" t="s">
        <v>6810</v>
      </c>
      <c r="R6753" t="s">
        <v>6720</v>
      </c>
      <c r="S6753" t="s">
        <v>961</v>
      </c>
      <c r="T6753" t="s">
        <v>962</v>
      </c>
    </row>
    <row r="6754" spans="1:20" x14ac:dyDescent="0.25">
      <c r="A6754" t="s">
        <v>59</v>
      </c>
      <c r="B6754" t="s">
        <v>60</v>
      </c>
      <c r="C6754" t="s">
        <v>32</v>
      </c>
      <c r="D6754" t="s">
        <v>953</v>
      </c>
      <c r="E6754" t="s">
        <v>954</v>
      </c>
      <c r="F6754" t="s">
        <v>35</v>
      </c>
      <c r="G6754" t="s">
        <v>35</v>
      </c>
      <c r="H6754" t="s">
        <v>35</v>
      </c>
      <c r="J6754" t="s">
        <v>6809</v>
      </c>
      <c r="K6754" t="s">
        <v>1092</v>
      </c>
      <c r="M6754">
        <v>0.15</v>
      </c>
      <c r="N6754">
        <v>246</v>
      </c>
      <c r="O6754" t="s">
        <v>5</v>
      </c>
      <c r="Q6754" t="s">
        <v>1502</v>
      </c>
      <c r="R6754" t="s">
        <v>6720</v>
      </c>
      <c r="S6754" t="s">
        <v>961</v>
      </c>
      <c r="T6754" t="s">
        <v>962</v>
      </c>
    </row>
    <row r="6755" spans="1:20" x14ac:dyDescent="0.25">
      <c r="A6755" t="s">
        <v>59</v>
      </c>
      <c r="B6755" t="s">
        <v>60</v>
      </c>
      <c r="C6755" t="s">
        <v>32</v>
      </c>
      <c r="D6755" t="s">
        <v>953</v>
      </c>
      <c r="E6755" t="s">
        <v>954</v>
      </c>
      <c r="F6755" t="s">
        <v>35</v>
      </c>
      <c r="G6755" t="s">
        <v>35</v>
      </c>
      <c r="H6755" t="s">
        <v>35</v>
      </c>
      <c r="J6755" t="s">
        <v>6809</v>
      </c>
      <c r="K6755" t="s">
        <v>1092</v>
      </c>
      <c r="M6755">
        <v>7.4999999999999997E-2</v>
      </c>
      <c r="N6755">
        <v>661</v>
      </c>
      <c r="O6755" t="s">
        <v>575</v>
      </c>
      <c r="Q6755" t="s">
        <v>6811</v>
      </c>
      <c r="R6755" t="s">
        <v>6720</v>
      </c>
      <c r="S6755" t="s">
        <v>961</v>
      </c>
      <c r="T6755" t="s">
        <v>962</v>
      </c>
    </row>
    <row r="6756" spans="1:20" x14ac:dyDescent="0.25">
      <c r="A6756" t="s">
        <v>59</v>
      </c>
      <c r="B6756" t="s">
        <v>60</v>
      </c>
      <c r="C6756" t="s">
        <v>32</v>
      </c>
      <c r="D6756" t="s">
        <v>953</v>
      </c>
      <c r="E6756" t="s">
        <v>954</v>
      </c>
      <c r="F6756" t="s">
        <v>35</v>
      </c>
      <c r="G6756" t="s">
        <v>35</v>
      </c>
      <c r="H6756" t="s">
        <v>35</v>
      </c>
      <c r="J6756" t="s">
        <v>6809</v>
      </c>
      <c r="K6756" t="s">
        <v>1092</v>
      </c>
      <c r="M6756">
        <v>0.15</v>
      </c>
      <c r="N6756">
        <v>616</v>
      </c>
      <c r="O6756" t="s">
        <v>575</v>
      </c>
      <c r="Q6756" t="s">
        <v>6812</v>
      </c>
      <c r="R6756" t="s">
        <v>6720</v>
      </c>
      <c r="S6756" t="s">
        <v>961</v>
      </c>
      <c r="T6756" t="s">
        <v>962</v>
      </c>
    </row>
    <row r="6757" spans="1:20" x14ac:dyDescent="0.25">
      <c r="A6757" t="s">
        <v>59</v>
      </c>
      <c r="B6757" t="s">
        <v>60</v>
      </c>
      <c r="C6757" t="s">
        <v>32</v>
      </c>
      <c r="D6757" t="s">
        <v>953</v>
      </c>
      <c r="E6757" t="s">
        <v>954</v>
      </c>
      <c r="F6757" t="s">
        <v>35</v>
      </c>
      <c r="G6757" t="s">
        <v>35</v>
      </c>
      <c r="H6757" t="s">
        <v>35</v>
      </c>
      <c r="J6757" t="s">
        <v>6809</v>
      </c>
      <c r="K6757" t="s">
        <v>1092</v>
      </c>
      <c r="M6757">
        <v>0.25</v>
      </c>
      <c r="N6757">
        <v>450</v>
      </c>
      <c r="O6757" t="s">
        <v>294</v>
      </c>
      <c r="Q6757" t="s">
        <v>2104</v>
      </c>
      <c r="R6757" t="s">
        <v>6720</v>
      </c>
      <c r="S6757" t="s">
        <v>961</v>
      </c>
      <c r="T6757" t="s">
        <v>962</v>
      </c>
    </row>
    <row r="6758" spans="1:20" x14ac:dyDescent="0.25">
      <c r="A6758" t="s">
        <v>44</v>
      </c>
      <c r="B6758" t="s">
        <v>3</v>
      </c>
      <c r="C6758" t="s">
        <v>32</v>
      </c>
      <c r="D6758" t="s">
        <v>953</v>
      </c>
      <c r="E6758" t="s">
        <v>954</v>
      </c>
      <c r="F6758" t="s">
        <v>35</v>
      </c>
      <c r="G6758" t="s">
        <v>35</v>
      </c>
      <c r="H6758" t="s">
        <v>35</v>
      </c>
      <c r="J6758" t="s">
        <v>6809</v>
      </c>
      <c r="K6758" t="s">
        <v>1092</v>
      </c>
      <c r="M6758">
        <v>0.05</v>
      </c>
      <c r="N6758">
        <v>431</v>
      </c>
      <c r="O6758" t="s">
        <v>294</v>
      </c>
      <c r="Q6758" t="s">
        <v>1663</v>
      </c>
      <c r="R6758" t="s">
        <v>6720</v>
      </c>
      <c r="S6758" t="s">
        <v>961</v>
      </c>
      <c r="T6758" t="s">
        <v>962</v>
      </c>
    </row>
    <row r="6759" spans="1:20" x14ac:dyDescent="0.25">
      <c r="A6759" t="s">
        <v>59</v>
      </c>
      <c r="B6759" t="s">
        <v>31</v>
      </c>
      <c r="C6759" t="s">
        <v>32</v>
      </c>
      <c r="D6759" t="s">
        <v>953</v>
      </c>
      <c r="E6759" t="s">
        <v>954</v>
      </c>
      <c r="F6759" t="s">
        <v>35</v>
      </c>
      <c r="G6759" t="s">
        <v>35</v>
      </c>
      <c r="H6759" t="s">
        <v>35</v>
      </c>
      <c r="J6759" t="s">
        <v>6813</v>
      </c>
      <c r="K6759" t="s">
        <v>1092</v>
      </c>
      <c r="M6759">
        <v>0.09</v>
      </c>
      <c r="N6759">
        <v>81</v>
      </c>
      <c r="O6759" t="s">
        <v>61</v>
      </c>
      <c r="Q6759" t="s">
        <v>858</v>
      </c>
      <c r="R6759" t="s">
        <v>6720</v>
      </c>
      <c r="S6759" t="s">
        <v>961</v>
      </c>
      <c r="T6759" t="s">
        <v>962</v>
      </c>
    </row>
    <row r="6760" spans="1:20" x14ac:dyDescent="0.25">
      <c r="A6760" t="s">
        <v>59</v>
      </c>
      <c r="B6760" t="s">
        <v>60</v>
      </c>
      <c r="C6760" t="s">
        <v>32</v>
      </c>
      <c r="D6760" t="s">
        <v>953</v>
      </c>
      <c r="E6760" t="s">
        <v>954</v>
      </c>
      <c r="F6760" t="s">
        <v>35</v>
      </c>
      <c r="G6760" t="s">
        <v>35</v>
      </c>
      <c r="H6760" t="s">
        <v>35</v>
      </c>
      <c r="J6760" t="s">
        <v>6813</v>
      </c>
      <c r="K6760" t="s">
        <v>1092</v>
      </c>
      <c r="M6760">
        <v>5.0000000000000001E-3</v>
      </c>
      <c r="N6760">
        <v>37</v>
      </c>
      <c r="O6760" t="s">
        <v>52</v>
      </c>
      <c r="Q6760" t="s">
        <v>192</v>
      </c>
      <c r="R6760" t="s">
        <v>6720</v>
      </c>
      <c r="S6760" t="s">
        <v>961</v>
      </c>
      <c r="T6760" t="s">
        <v>962</v>
      </c>
    </row>
    <row r="6761" spans="1:20" x14ac:dyDescent="0.25">
      <c r="A6761" t="s">
        <v>30</v>
      </c>
      <c r="B6761" t="s">
        <v>31</v>
      </c>
      <c r="C6761" t="s">
        <v>32</v>
      </c>
      <c r="D6761" t="s">
        <v>953</v>
      </c>
      <c r="E6761" t="s">
        <v>954</v>
      </c>
      <c r="F6761" t="s">
        <v>35</v>
      </c>
      <c r="G6761" t="s">
        <v>35</v>
      </c>
      <c r="H6761" t="s">
        <v>35</v>
      </c>
      <c r="J6761" t="s">
        <v>6813</v>
      </c>
      <c r="K6761" t="s">
        <v>1092</v>
      </c>
      <c r="M6761">
        <v>0.09</v>
      </c>
      <c r="N6761">
        <v>30</v>
      </c>
      <c r="O6761" t="s">
        <v>46</v>
      </c>
      <c r="Q6761" t="s">
        <v>3499</v>
      </c>
      <c r="R6761" t="s">
        <v>6720</v>
      </c>
      <c r="S6761" t="s">
        <v>961</v>
      </c>
      <c r="T6761" t="s">
        <v>962</v>
      </c>
    </row>
    <row r="6762" spans="1:20" x14ac:dyDescent="0.25">
      <c r="A6762" t="s">
        <v>44</v>
      </c>
      <c r="B6762" t="s">
        <v>51</v>
      </c>
      <c r="C6762" t="s">
        <v>32</v>
      </c>
      <c r="D6762" t="s">
        <v>953</v>
      </c>
      <c r="E6762" t="s">
        <v>954</v>
      </c>
      <c r="F6762" t="s">
        <v>35</v>
      </c>
      <c r="G6762" t="s">
        <v>35</v>
      </c>
      <c r="H6762" t="s">
        <v>35</v>
      </c>
      <c r="J6762" t="s">
        <v>6813</v>
      </c>
      <c r="K6762" t="s">
        <v>1092</v>
      </c>
      <c r="M6762">
        <v>0.05</v>
      </c>
      <c r="N6762">
        <v>30</v>
      </c>
      <c r="O6762" t="s">
        <v>46</v>
      </c>
      <c r="Q6762" t="s">
        <v>3499</v>
      </c>
      <c r="R6762" t="s">
        <v>6720</v>
      </c>
      <c r="S6762" t="s">
        <v>961</v>
      </c>
      <c r="T6762" t="s">
        <v>962</v>
      </c>
    </row>
    <row r="6763" spans="1:20" x14ac:dyDescent="0.25">
      <c r="A6763" t="s">
        <v>30</v>
      </c>
      <c r="B6763" t="s">
        <v>31</v>
      </c>
      <c r="C6763" t="s">
        <v>32</v>
      </c>
      <c r="D6763" t="s">
        <v>953</v>
      </c>
      <c r="E6763" t="s">
        <v>954</v>
      </c>
      <c r="F6763" t="s">
        <v>35</v>
      </c>
      <c r="G6763" t="s">
        <v>35</v>
      </c>
      <c r="H6763" t="s">
        <v>35</v>
      </c>
      <c r="J6763" t="s">
        <v>6813</v>
      </c>
      <c r="K6763" t="s">
        <v>1092</v>
      </c>
      <c r="M6763">
        <v>0.27</v>
      </c>
      <c r="N6763">
        <v>37</v>
      </c>
      <c r="O6763" t="s">
        <v>52</v>
      </c>
      <c r="Q6763" t="s">
        <v>192</v>
      </c>
      <c r="R6763" t="s">
        <v>6720</v>
      </c>
      <c r="S6763" t="s">
        <v>961</v>
      </c>
      <c r="T6763" t="s">
        <v>962</v>
      </c>
    </row>
    <row r="6764" spans="1:20" x14ac:dyDescent="0.25">
      <c r="A6764" t="s">
        <v>44</v>
      </c>
      <c r="B6764" t="s">
        <v>51</v>
      </c>
      <c r="C6764" t="s">
        <v>32</v>
      </c>
      <c r="D6764" t="s">
        <v>953</v>
      </c>
      <c r="E6764" t="s">
        <v>954</v>
      </c>
      <c r="F6764" t="s">
        <v>35</v>
      </c>
      <c r="G6764" t="s">
        <v>35</v>
      </c>
      <c r="H6764" t="s">
        <v>35</v>
      </c>
      <c r="J6764" t="s">
        <v>6813</v>
      </c>
      <c r="K6764" t="s">
        <v>1092</v>
      </c>
      <c r="M6764">
        <v>0.05</v>
      </c>
      <c r="N6764">
        <v>152</v>
      </c>
      <c r="O6764" t="s">
        <v>38</v>
      </c>
      <c r="Q6764" t="s">
        <v>40</v>
      </c>
      <c r="R6764" t="s">
        <v>6720</v>
      </c>
      <c r="S6764" t="s">
        <v>961</v>
      </c>
      <c r="T6764" t="s">
        <v>962</v>
      </c>
    </row>
    <row r="6765" spans="1:20" x14ac:dyDescent="0.25">
      <c r="A6765" t="s">
        <v>59</v>
      </c>
      <c r="B6765" t="s">
        <v>60</v>
      </c>
      <c r="C6765" t="s">
        <v>32</v>
      </c>
      <c r="D6765" t="s">
        <v>953</v>
      </c>
      <c r="E6765" t="s">
        <v>954</v>
      </c>
      <c r="F6765" t="s">
        <v>35</v>
      </c>
      <c r="G6765" t="s">
        <v>35</v>
      </c>
      <c r="H6765" t="s">
        <v>35</v>
      </c>
      <c r="J6765" t="s">
        <v>6823</v>
      </c>
      <c r="K6765" t="s">
        <v>1092</v>
      </c>
      <c r="M6765">
        <v>0.05</v>
      </c>
      <c r="N6765">
        <v>57</v>
      </c>
      <c r="O6765" t="s">
        <v>52</v>
      </c>
      <c r="Q6765" t="s">
        <v>381</v>
      </c>
      <c r="R6765" t="s">
        <v>6720</v>
      </c>
      <c r="S6765" t="s">
        <v>961</v>
      </c>
      <c r="T6765" t="s">
        <v>962</v>
      </c>
    </row>
    <row r="6766" spans="1:20" x14ac:dyDescent="0.25">
      <c r="A6766" t="s">
        <v>44</v>
      </c>
      <c r="B6766" t="s">
        <v>3</v>
      </c>
      <c r="C6766" t="s">
        <v>32</v>
      </c>
      <c r="D6766" t="s">
        <v>953</v>
      </c>
      <c r="E6766" t="s">
        <v>954</v>
      </c>
      <c r="F6766" t="s">
        <v>35</v>
      </c>
      <c r="G6766" t="s">
        <v>35</v>
      </c>
      <c r="H6766" t="s">
        <v>35</v>
      </c>
      <c r="J6766" t="s">
        <v>6823</v>
      </c>
      <c r="K6766" t="s">
        <v>1092</v>
      </c>
      <c r="M6766">
        <v>0.05</v>
      </c>
      <c r="N6766">
        <v>30</v>
      </c>
      <c r="O6766" t="s">
        <v>46</v>
      </c>
      <c r="Q6766" t="s">
        <v>3499</v>
      </c>
      <c r="R6766" t="s">
        <v>6720</v>
      </c>
      <c r="S6766" t="s">
        <v>961</v>
      </c>
      <c r="T6766" t="s">
        <v>962</v>
      </c>
    </row>
    <row r="6767" spans="1:20" x14ac:dyDescent="0.25">
      <c r="A6767" t="s">
        <v>30</v>
      </c>
      <c r="B6767" t="s">
        <v>31</v>
      </c>
      <c r="C6767" t="s">
        <v>32</v>
      </c>
      <c r="D6767" t="s">
        <v>953</v>
      </c>
      <c r="E6767" t="s">
        <v>954</v>
      </c>
      <c r="F6767" t="s">
        <v>35</v>
      </c>
      <c r="G6767" t="s">
        <v>35</v>
      </c>
      <c r="H6767" t="s">
        <v>35</v>
      </c>
      <c r="J6767" t="s">
        <v>6823</v>
      </c>
      <c r="K6767" t="s">
        <v>1092</v>
      </c>
      <c r="M6767">
        <v>0.495</v>
      </c>
      <c r="N6767">
        <v>30</v>
      </c>
      <c r="O6767" t="s">
        <v>46</v>
      </c>
      <c r="Q6767" t="s">
        <v>3499</v>
      </c>
      <c r="R6767" t="s">
        <v>6720</v>
      </c>
      <c r="S6767" t="s">
        <v>961</v>
      </c>
      <c r="T6767" t="s">
        <v>962</v>
      </c>
    </row>
    <row r="6768" spans="1:20" x14ac:dyDescent="0.25">
      <c r="A6768" t="s">
        <v>44</v>
      </c>
      <c r="B6768" t="s">
        <v>3</v>
      </c>
      <c r="C6768" t="s">
        <v>32</v>
      </c>
      <c r="D6768" t="s">
        <v>953</v>
      </c>
      <c r="E6768" t="s">
        <v>954</v>
      </c>
      <c r="F6768" t="s">
        <v>35</v>
      </c>
      <c r="G6768" t="s">
        <v>35</v>
      </c>
      <c r="H6768" t="s">
        <v>35</v>
      </c>
      <c r="J6768" t="s">
        <v>6823</v>
      </c>
      <c r="K6768" t="s">
        <v>1092</v>
      </c>
      <c r="M6768">
        <v>0.05</v>
      </c>
      <c r="N6768">
        <v>32</v>
      </c>
      <c r="O6768" t="s">
        <v>52</v>
      </c>
      <c r="Q6768" t="s">
        <v>816</v>
      </c>
      <c r="R6768" t="s">
        <v>6720</v>
      </c>
      <c r="S6768" t="s">
        <v>961</v>
      </c>
      <c r="T6768" t="s">
        <v>962</v>
      </c>
    </row>
    <row r="6769" spans="1:20" x14ac:dyDescent="0.25">
      <c r="A6769" t="s">
        <v>59</v>
      </c>
      <c r="B6769" t="s">
        <v>60</v>
      </c>
      <c r="C6769" t="s">
        <v>32</v>
      </c>
      <c r="D6769" t="s">
        <v>953</v>
      </c>
      <c r="E6769" t="s">
        <v>954</v>
      </c>
      <c r="F6769" t="s">
        <v>35</v>
      </c>
      <c r="G6769" t="s">
        <v>35</v>
      </c>
      <c r="H6769" t="s">
        <v>35</v>
      </c>
      <c r="J6769" t="s">
        <v>6823</v>
      </c>
      <c r="K6769" t="s">
        <v>1092</v>
      </c>
      <c r="M6769">
        <v>0.05</v>
      </c>
      <c r="N6769">
        <v>215</v>
      </c>
      <c r="O6769" t="s">
        <v>5</v>
      </c>
      <c r="Q6769" t="s">
        <v>1746</v>
      </c>
      <c r="R6769" t="s">
        <v>6720</v>
      </c>
      <c r="S6769" t="s">
        <v>961</v>
      </c>
      <c r="T6769" t="s">
        <v>962</v>
      </c>
    </row>
    <row r="6770" spans="1:20" x14ac:dyDescent="0.25">
      <c r="A6770" t="s">
        <v>30</v>
      </c>
      <c r="B6770" t="s">
        <v>31</v>
      </c>
      <c r="C6770" t="s">
        <v>32</v>
      </c>
      <c r="D6770" t="s">
        <v>953</v>
      </c>
      <c r="E6770" t="s">
        <v>954</v>
      </c>
      <c r="F6770" t="s">
        <v>35</v>
      </c>
      <c r="G6770" t="s">
        <v>35</v>
      </c>
      <c r="H6770" t="s">
        <v>35</v>
      </c>
      <c r="J6770" t="s">
        <v>6823</v>
      </c>
      <c r="K6770" t="s">
        <v>1092</v>
      </c>
      <c r="M6770">
        <v>0.09</v>
      </c>
      <c r="N6770">
        <v>23</v>
      </c>
      <c r="O6770" t="s">
        <v>46</v>
      </c>
      <c r="Q6770" t="s">
        <v>793</v>
      </c>
      <c r="R6770" t="s">
        <v>6720</v>
      </c>
      <c r="S6770" t="s">
        <v>961</v>
      </c>
      <c r="T6770" t="s">
        <v>962</v>
      </c>
    </row>
    <row r="6771" spans="1:20" x14ac:dyDescent="0.25">
      <c r="A6771" t="s">
        <v>44</v>
      </c>
      <c r="B6771" t="s">
        <v>3</v>
      </c>
      <c r="C6771" t="s">
        <v>32</v>
      </c>
      <c r="D6771" t="s">
        <v>953</v>
      </c>
      <c r="E6771" t="s">
        <v>954</v>
      </c>
      <c r="F6771" t="s">
        <v>35</v>
      </c>
      <c r="G6771" t="s">
        <v>35</v>
      </c>
      <c r="H6771" t="s">
        <v>35</v>
      </c>
      <c r="J6771" t="s">
        <v>6823</v>
      </c>
      <c r="K6771" t="s">
        <v>1092</v>
      </c>
      <c r="M6771">
        <v>0.05</v>
      </c>
      <c r="N6771">
        <v>34</v>
      </c>
      <c r="O6771" t="s">
        <v>52</v>
      </c>
      <c r="Q6771" t="s">
        <v>249</v>
      </c>
      <c r="R6771" t="s">
        <v>6720</v>
      </c>
      <c r="S6771" t="s">
        <v>961</v>
      </c>
      <c r="T6771" t="s">
        <v>962</v>
      </c>
    </row>
    <row r="6772" spans="1:20" x14ac:dyDescent="0.25">
      <c r="A6772" t="s">
        <v>44</v>
      </c>
      <c r="B6772" t="s">
        <v>3</v>
      </c>
      <c r="C6772" t="s">
        <v>32</v>
      </c>
      <c r="D6772" t="s">
        <v>953</v>
      </c>
      <c r="E6772" t="s">
        <v>954</v>
      </c>
      <c r="F6772" t="s">
        <v>35</v>
      </c>
      <c r="G6772" t="s">
        <v>35</v>
      </c>
      <c r="H6772" t="s">
        <v>35</v>
      </c>
      <c r="J6772" t="s">
        <v>6823</v>
      </c>
      <c r="K6772" t="s">
        <v>1092</v>
      </c>
      <c r="M6772">
        <v>0.05</v>
      </c>
      <c r="N6772">
        <v>23</v>
      </c>
      <c r="O6772" t="s">
        <v>46</v>
      </c>
      <c r="Q6772" t="s">
        <v>793</v>
      </c>
      <c r="R6772" t="s">
        <v>6720</v>
      </c>
      <c r="S6772" t="s">
        <v>961</v>
      </c>
      <c r="T6772" t="s">
        <v>962</v>
      </c>
    </row>
    <row r="6773" spans="1:20" x14ac:dyDescent="0.25">
      <c r="A6773" t="s">
        <v>59</v>
      </c>
      <c r="B6773" t="s">
        <v>60</v>
      </c>
      <c r="C6773" t="s">
        <v>32</v>
      </c>
      <c r="D6773" t="s">
        <v>953</v>
      </c>
      <c r="E6773" t="s">
        <v>954</v>
      </c>
      <c r="F6773" t="s">
        <v>35</v>
      </c>
      <c r="G6773" t="s">
        <v>35</v>
      </c>
      <c r="H6773" t="s">
        <v>35</v>
      </c>
      <c r="J6773" t="s">
        <v>6823</v>
      </c>
      <c r="K6773" t="s">
        <v>1092</v>
      </c>
      <c r="M6773">
        <v>0.05</v>
      </c>
      <c r="N6773">
        <v>45</v>
      </c>
      <c r="O6773" t="s">
        <v>52</v>
      </c>
      <c r="Q6773" t="s">
        <v>1230</v>
      </c>
      <c r="R6773" t="s">
        <v>6720</v>
      </c>
      <c r="S6773" t="s">
        <v>961</v>
      </c>
      <c r="T6773" t="s">
        <v>962</v>
      </c>
    </row>
    <row r="6774" spans="1:20" x14ac:dyDescent="0.25">
      <c r="A6774" t="s">
        <v>30</v>
      </c>
      <c r="B6774" t="s">
        <v>31</v>
      </c>
      <c r="C6774" t="s">
        <v>32</v>
      </c>
      <c r="D6774" t="s">
        <v>953</v>
      </c>
      <c r="E6774" t="s">
        <v>954</v>
      </c>
      <c r="F6774" t="s">
        <v>35</v>
      </c>
      <c r="G6774" t="s">
        <v>35</v>
      </c>
      <c r="H6774" t="s">
        <v>35</v>
      </c>
      <c r="J6774" t="s">
        <v>6823</v>
      </c>
      <c r="K6774" t="s">
        <v>1092</v>
      </c>
      <c r="M6774">
        <v>0.09</v>
      </c>
      <c r="N6774">
        <v>32</v>
      </c>
      <c r="O6774" t="s">
        <v>52</v>
      </c>
      <c r="Q6774" t="s">
        <v>816</v>
      </c>
      <c r="R6774" t="s">
        <v>6720</v>
      </c>
      <c r="S6774" t="s">
        <v>961</v>
      </c>
      <c r="T6774" t="s">
        <v>962</v>
      </c>
    </row>
    <row r="6775" spans="1:20" x14ac:dyDescent="0.25">
      <c r="A6775" t="s">
        <v>59</v>
      </c>
      <c r="B6775" t="s">
        <v>60</v>
      </c>
      <c r="C6775" t="s">
        <v>32</v>
      </c>
      <c r="D6775" t="s">
        <v>953</v>
      </c>
      <c r="E6775" t="s">
        <v>954</v>
      </c>
      <c r="F6775" t="s">
        <v>35</v>
      </c>
      <c r="G6775" t="s">
        <v>35</v>
      </c>
      <c r="H6775" t="s">
        <v>35</v>
      </c>
      <c r="J6775" t="s">
        <v>6823</v>
      </c>
      <c r="K6775" t="s">
        <v>1092</v>
      </c>
      <c r="M6775">
        <v>0.05</v>
      </c>
      <c r="N6775">
        <v>68</v>
      </c>
      <c r="O6775" t="s">
        <v>61</v>
      </c>
      <c r="Q6775" t="s">
        <v>805</v>
      </c>
      <c r="R6775" t="s">
        <v>6720</v>
      </c>
      <c r="S6775" t="s">
        <v>961</v>
      </c>
      <c r="T6775" t="s">
        <v>962</v>
      </c>
    </row>
    <row r="6776" spans="1:20" x14ac:dyDescent="0.25">
      <c r="A6776" t="s">
        <v>59</v>
      </c>
      <c r="B6776" t="s">
        <v>60</v>
      </c>
      <c r="C6776" t="s">
        <v>32</v>
      </c>
      <c r="D6776" t="s">
        <v>953</v>
      </c>
      <c r="E6776" t="s">
        <v>954</v>
      </c>
      <c r="F6776" t="s">
        <v>35</v>
      </c>
      <c r="G6776" t="s">
        <v>35</v>
      </c>
      <c r="H6776" t="s">
        <v>35</v>
      </c>
      <c r="J6776" t="s">
        <v>6823</v>
      </c>
      <c r="K6776" t="s">
        <v>1092</v>
      </c>
      <c r="M6776">
        <v>0.05</v>
      </c>
      <c r="N6776">
        <v>51</v>
      </c>
      <c r="O6776" t="s">
        <v>52</v>
      </c>
      <c r="Q6776" t="s">
        <v>58</v>
      </c>
      <c r="R6776" t="s">
        <v>6720</v>
      </c>
      <c r="S6776" t="s">
        <v>961</v>
      </c>
      <c r="T6776" t="s">
        <v>962</v>
      </c>
    </row>
    <row r="6777" spans="1:20" x14ac:dyDescent="0.25">
      <c r="A6777" t="s">
        <v>59</v>
      </c>
      <c r="B6777" t="s">
        <v>60</v>
      </c>
      <c r="C6777" t="s">
        <v>32</v>
      </c>
      <c r="D6777" t="s">
        <v>953</v>
      </c>
      <c r="E6777" t="s">
        <v>954</v>
      </c>
      <c r="F6777" t="s">
        <v>35</v>
      </c>
      <c r="G6777" t="s">
        <v>35</v>
      </c>
      <c r="H6777" t="s">
        <v>35</v>
      </c>
      <c r="J6777" t="s">
        <v>6823</v>
      </c>
      <c r="K6777" t="s">
        <v>1092</v>
      </c>
      <c r="M6777">
        <v>0.05</v>
      </c>
      <c r="N6777">
        <v>61</v>
      </c>
      <c r="O6777" t="s">
        <v>61</v>
      </c>
      <c r="Q6777" t="s">
        <v>146</v>
      </c>
      <c r="R6777" t="s">
        <v>6720</v>
      </c>
      <c r="S6777" t="s">
        <v>961</v>
      </c>
      <c r="T6777" t="s">
        <v>962</v>
      </c>
    </row>
    <row r="6778" spans="1:20" x14ac:dyDescent="0.25">
      <c r="A6778" t="s">
        <v>59</v>
      </c>
      <c r="B6778" t="s">
        <v>60</v>
      </c>
      <c r="C6778" t="s">
        <v>32</v>
      </c>
      <c r="D6778" t="s">
        <v>953</v>
      </c>
      <c r="E6778" t="s">
        <v>954</v>
      </c>
      <c r="F6778" t="s">
        <v>35</v>
      </c>
      <c r="G6778" t="s">
        <v>35</v>
      </c>
      <c r="H6778" t="s">
        <v>35</v>
      </c>
      <c r="J6778" t="s">
        <v>6780</v>
      </c>
      <c r="K6778" t="s">
        <v>1092</v>
      </c>
      <c r="M6778">
        <v>0.25</v>
      </c>
      <c r="N6778">
        <v>395</v>
      </c>
      <c r="O6778" t="s">
        <v>294</v>
      </c>
      <c r="Q6778" t="s">
        <v>1369</v>
      </c>
      <c r="R6778" t="s">
        <v>6720</v>
      </c>
      <c r="S6778" t="s">
        <v>961</v>
      </c>
      <c r="T6778" t="s">
        <v>962</v>
      </c>
    </row>
    <row r="6779" spans="1:20" x14ac:dyDescent="0.25">
      <c r="A6779" t="s">
        <v>59</v>
      </c>
      <c r="B6779" t="s">
        <v>60</v>
      </c>
      <c r="C6779" t="s">
        <v>32</v>
      </c>
      <c r="D6779" t="s">
        <v>953</v>
      </c>
      <c r="E6779" t="s">
        <v>954</v>
      </c>
      <c r="F6779" t="s">
        <v>35</v>
      </c>
      <c r="G6779" t="s">
        <v>35</v>
      </c>
      <c r="H6779" t="s">
        <v>35</v>
      </c>
      <c r="J6779" t="s">
        <v>6840</v>
      </c>
      <c r="K6779" t="s">
        <v>1092</v>
      </c>
      <c r="M6779">
        <v>0.25</v>
      </c>
      <c r="N6779">
        <v>70</v>
      </c>
      <c r="O6779" t="s">
        <v>61</v>
      </c>
      <c r="Q6779" t="s">
        <v>305</v>
      </c>
      <c r="R6779" t="s">
        <v>6720</v>
      </c>
      <c r="S6779" t="s">
        <v>961</v>
      </c>
      <c r="T6779" t="s">
        <v>962</v>
      </c>
    </row>
    <row r="6780" spans="1:20" x14ac:dyDescent="0.25">
      <c r="A6780" t="s">
        <v>59</v>
      </c>
      <c r="B6780" t="s">
        <v>60</v>
      </c>
      <c r="C6780" t="s">
        <v>32</v>
      </c>
      <c r="D6780" t="s">
        <v>953</v>
      </c>
      <c r="E6780" t="s">
        <v>954</v>
      </c>
      <c r="F6780" t="s">
        <v>35</v>
      </c>
      <c r="G6780" t="s">
        <v>35</v>
      </c>
      <c r="H6780" t="s">
        <v>35</v>
      </c>
      <c r="J6780" t="s">
        <v>6840</v>
      </c>
      <c r="K6780" t="s">
        <v>1092</v>
      </c>
      <c r="M6780">
        <v>0.25</v>
      </c>
      <c r="N6780">
        <v>83</v>
      </c>
      <c r="O6780" t="s">
        <v>61</v>
      </c>
      <c r="Q6780" t="s">
        <v>897</v>
      </c>
      <c r="R6780" t="s">
        <v>6720</v>
      </c>
      <c r="S6780" t="s">
        <v>961</v>
      </c>
      <c r="T6780" t="s">
        <v>962</v>
      </c>
    </row>
    <row r="6781" spans="1:20" x14ac:dyDescent="0.25">
      <c r="A6781" t="s">
        <v>30</v>
      </c>
      <c r="B6781" t="s">
        <v>31</v>
      </c>
      <c r="C6781" t="s">
        <v>32</v>
      </c>
      <c r="D6781" t="s">
        <v>953</v>
      </c>
      <c r="E6781" t="s">
        <v>954</v>
      </c>
      <c r="F6781" t="s">
        <v>35</v>
      </c>
      <c r="G6781" t="s">
        <v>35</v>
      </c>
      <c r="H6781" t="s">
        <v>35</v>
      </c>
      <c r="J6781" t="s">
        <v>6840</v>
      </c>
      <c r="K6781" t="s">
        <v>1092</v>
      </c>
      <c r="M6781">
        <v>0.67500000000000004</v>
      </c>
      <c r="N6781">
        <v>32</v>
      </c>
      <c r="O6781" t="s">
        <v>52</v>
      </c>
      <c r="Q6781" t="s">
        <v>816</v>
      </c>
      <c r="R6781" t="s">
        <v>6720</v>
      </c>
      <c r="S6781" t="s">
        <v>961</v>
      </c>
      <c r="T6781" t="s">
        <v>962</v>
      </c>
    </row>
    <row r="6782" spans="1:20" x14ac:dyDescent="0.25">
      <c r="A6782" t="s">
        <v>44</v>
      </c>
      <c r="B6782" t="s">
        <v>51</v>
      </c>
      <c r="C6782" t="s">
        <v>32</v>
      </c>
      <c r="D6782" t="s">
        <v>953</v>
      </c>
      <c r="E6782" t="s">
        <v>954</v>
      </c>
      <c r="F6782" t="s">
        <v>35</v>
      </c>
      <c r="G6782" t="s">
        <v>35</v>
      </c>
      <c r="H6782" t="s">
        <v>35</v>
      </c>
      <c r="J6782" t="s">
        <v>6840</v>
      </c>
      <c r="K6782" t="s">
        <v>1092</v>
      </c>
      <c r="M6782">
        <v>0.25</v>
      </c>
      <c r="N6782">
        <v>51</v>
      </c>
      <c r="O6782" t="s">
        <v>52</v>
      </c>
      <c r="Q6782" t="s">
        <v>58</v>
      </c>
      <c r="R6782" t="s">
        <v>6720</v>
      </c>
      <c r="S6782" t="s">
        <v>961</v>
      </c>
      <c r="T6782" t="s">
        <v>962</v>
      </c>
    </row>
    <row r="6783" spans="1:20" x14ac:dyDescent="0.25">
      <c r="A6783" t="s">
        <v>59</v>
      </c>
      <c r="B6783" t="s">
        <v>60</v>
      </c>
      <c r="C6783" t="s">
        <v>32</v>
      </c>
      <c r="D6783" t="s">
        <v>953</v>
      </c>
      <c r="E6783" t="s">
        <v>954</v>
      </c>
      <c r="F6783" t="s">
        <v>35</v>
      </c>
      <c r="G6783" t="s">
        <v>35</v>
      </c>
      <c r="H6783" t="s">
        <v>35</v>
      </c>
      <c r="J6783" t="s">
        <v>6840</v>
      </c>
      <c r="K6783" t="s">
        <v>1092</v>
      </c>
      <c r="M6783">
        <v>0.25</v>
      </c>
      <c r="N6783">
        <v>45</v>
      </c>
      <c r="O6783" t="s">
        <v>52</v>
      </c>
      <c r="Q6783" t="s">
        <v>1230</v>
      </c>
      <c r="R6783" t="s">
        <v>6720</v>
      </c>
      <c r="S6783" t="s">
        <v>961</v>
      </c>
      <c r="T6783" t="s">
        <v>962</v>
      </c>
    </row>
    <row r="6784" spans="1:20" x14ac:dyDescent="0.25">
      <c r="A6784" t="s">
        <v>59</v>
      </c>
      <c r="B6784" t="s">
        <v>60</v>
      </c>
      <c r="C6784" t="s">
        <v>32</v>
      </c>
      <c r="D6784" t="s">
        <v>953</v>
      </c>
      <c r="E6784" t="s">
        <v>954</v>
      </c>
      <c r="F6784" t="s">
        <v>35</v>
      </c>
      <c r="G6784" t="s">
        <v>35</v>
      </c>
      <c r="H6784" t="s">
        <v>35</v>
      </c>
      <c r="J6784" t="s">
        <v>6840</v>
      </c>
      <c r="K6784" t="s">
        <v>1092</v>
      </c>
      <c r="M6784">
        <v>0.25</v>
      </c>
      <c r="N6784">
        <v>57</v>
      </c>
      <c r="O6784" t="s">
        <v>52</v>
      </c>
      <c r="Q6784" t="s">
        <v>381</v>
      </c>
      <c r="R6784" t="s">
        <v>6720</v>
      </c>
      <c r="S6784" t="s">
        <v>961</v>
      </c>
      <c r="T6784" t="s">
        <v>962</v>
      </c>
    </row>
    <row r="6785" spans="1:20" x14ac:dyDescent="0.25">
      <c r="A6785" t="s">
        <v>44</v>
      </c>
      <c r="B6785" t="s">
        <v>51</v>
      </c>
      <c r="C6785" t="s">
        <v>32</v>
      </c>
      <c r="D6785" t="s">
        <v>953</v>
      </c>
      <c r="E6785" t="s">
        <v>954</v>
      </c>
      <c r="F6785" t="s">
        <v>35</v>
      </c>
      <c r="G6785" t="s">
        <v>35</v>
      </c>
      <c r="H6785" t="s">
        <v>35</v>
      </c>
      <c r="J6785" t="s">
        <v>6840</v>
      </c>
      <c r="K6785" t="s">
        <v>1092</v>
      </c>
      <c r="M6785">
        <v>0.25</v>
      </c>
      <c r="N6785">
        <v>22</v>
      </c>
      <c r="O6785" t="s">
        <v>46</v>
      </c>
      <c r="Q6785" t="s">
        <v>1645</v>
      </c>
      <c r="R6785" t="s">
        <v>6720</v>
      </c>
      <c r="S6785" t="s">
        <v>961</v>
      </c>
      <c r="T6785" t="s">
        <v>962</v>
      </c>
    </row>
    <row r="6786" spans="1:20" x14ac:dyDescent="0.25">
      <c r="A6786" t="s">
        <v>59</v>
      </c>
      <c r="B6786" t="s">
        <v>60</v>
      </c>
      <c r="C6786" t="s">
        <v>32</v>
      </c>
      <c r="D6786" t="s">
        <v>953</v>
      </c>
      <c r="E6786" t="s">
        <v>954</v>
      </c>
      <c r="F6786" t="s">
        <v>35</v>
      </c>
      <c r="G6786" t="s">
        <v>35</v>
      </c>
      <c r="H6786" t="s">
        <v>35</v>
      </c>
      <c r="J6786" t="s">
        <v>6840</v>
      </c>
      <c r="K6786" t="s">
        <v>1092</v>
      </c>
      <c r="M6786">
        <v>0.25</v>
      </c>
      <c r="N6786">
        <v>22</v>
      </c>
      <c r="O6786" t="s">
        <v>46</v>
      </c>
      <c r="Q6786" t="s">
        <v>1645</v>
      </c>
      <c r="R6786" t="s">
        <v>6720</v>
      </c>
      <c r="S6786" t="s">
        <v>961</v>
      </c>
      <c r="T6786" t="s">
        <v>962</v>
      </c>
    </row>
    <row r="6787" spans="1:20" x14ac:dyDescent="0.25">
      <c r="A6787" t="s">
        <v>59</v>
      </c>
      <c r="B6787" t="s">
        <v>60</v>
      </c>
      <c r="C6787" t="s">
        <v>32</v>
      </c>
      <c r="D6787" t="s">
        <v>953</v>
      </c>
      <c r="E6787" t="s">
        <v>954</v>
      </c>
      <c r="F6787" t="s">
        <v>35</v>
      </c>
      <c r="G6787" t="s">
        <v>35</v>
      </c>
      <c r="H6787" t="s">
        <v>35</v>
      </c>
      <c r="J6787" t="s">
        <v>6840</v>
      </c>
      <c r="K6787" t="s">
        <v>1092</v>
      </c>
      <c r="M6787">
        <v>0.5</v>
      </c>
      <c r="N6787">
        <v>30</v>
      </c>
      <c r="O6787" t="s">
        <v>46</v>
      </c>
      <c r="Q6787" t="s">
        <v>3499</v>
      </c>
      <c r="R6787" t="s">
        <v>6720</v>
      </c>
      <c r="S6787" t="s">
        <v>961</v>
      </c>
      <c r="T6787" t="s">
        <v>962</v>
      </c>
    </row>
    <row r="6788" spans="1:20" x14ac:dyDescent="0.25">
      <c r="A6788" t="s">
        <v>44</v>
      </c>
      <c r="B6788" t="s">
        <v>3</v>
      </c>
      <c r="C6788" t="s">
        <v>32</v>
      </c>
      <c r="D6788" t="s">
        <v>953</v>
      </c>
      <c r="E6788" t="s">
        <v>954</v>
      </c>
      <c r="F6788" t="s">
        <v>35</v>
      </c>
      <c r="G6788" t="s">
        <v>35</v>
      </c>
      <c r="H6788" t="s">
        <v>35</v>
      </c>
      <c r="J6788" t="s">
        <v>6832</v>
      </c>
      <c r="K6788" t="s">
        <v>1092</v>
      </c>
      <c r="M6788">
        <v>0.15</v>
      </c>
      <c r="N6788">
        <v>30</v>
      </c>
      <c r="O6788" t="s">
        <v>46</v>
      </c>
      <c r="Q6788" t="s">
        <v>3499</v>
      </c>
      <c r="R6788" t="s">
        <v>6720</v>
      </c>
      <c r="S6788" t="s">
        <v>961</v>
      </c>
      <c r="T6788" t="s">
        <v>962</v>
      </c>
    </row>
    <row r="6789" spans="1:20" x14ac:dyDescent="0.25">
      <c r="A6789" t="s">
        <v>30</v>
      </c>
      <c r="B6789" t="s">
        <v>31</v>
      </c>
      <c r="C6789" t="s">
        <v>32</v>
      </c>
      <c r="D6789" t="s">
        <v>953</v>
      </c>
      <c r="E6789" t="s">
        <v>954</v>
      </c>
      <c r="F6789" t="s">
        <v>35</v>
      </c>
      <c r="G6789" t="s">
        <v>35</v>
      </c>
      <c r="H6789" t="s">
        <v>35</v>
      </c>
      <c r="J6789" t="s">
        <v>6832</v>
      </c>
      <c r="K6789" t="s">
        <v>1092</v>
      </c>
      <c r="M6789">
        <v>0.45</v>
      </c>
      <c r="N6789">
        <v>14</v>
      </c>
      <c r="O6789" t="s">
        <v>46</v>
      </c>
      <c r="Q6789" t="s">
        <v>1874</v>
      </c>
      <c r="R6789" t="s">
        <v>6720</v>
      </c>
      <c r="S6789" t="s">
        <v>961</v>
      </c>
      <c r="T6789" t="s">
        <v>962</v>
      </c>
    </row>
    <row r="6790" spans="1:20" x14ac:dyDescent="0.25">
      <c r="A6790" t="s">
        <v>59</v>
      </c>
      <c r="B6790" t="s">
        <v>31</v>
      </c>
      <c r="C6790" t="s">
        <v>32</v>
      </c>
      <c r="D6790" t="s">
        <v>953</v>
      </c>
      <c r="E6790" t="s">
        <v>954</v>
      </c>
      <c r="F6790" t="s">
        <v>35</v>
      </c>
      <c r="G6790" t="s">
        <v>35</v>
      </c>
      <c r="H6790" t="s">
        <v>35</v>
      </c>
      <c r="J6790" t="s">
        <v>6738</v>
      </c>
      <c r="K6790" t="s">
        <v>1092</v>
      </c>
      <c r="M6790">
        <v>0.22500000000000001</v>
      </c>
      <c r="N6790">
        <v>83</v>
      </c>
      <c r="O6790" t="s">
        <v>61</v>
      </c>
      <c r="Q6790" t="s">
        <v>897</v>
      </c>
      <c r="R6790" t="s">
        <v>6720</v>
      </c>
      <c r="S6790" t="s">
        <v>961</v>
      </c>
      <c r="T6790" t="s">
        <v>962</v>
      </c>
    </row>
    <row r="6791" spans="1:20" x14ac:dyDescent="0.25">
      <c r="A6791" t="s">
        <v>59</v>
      </c>
      <c r="B6791" t="s">
        <v>60</v>
      </c>
      <c r="C6791" t="s">
        <v>32</v>
      </c>
      <c r="D6791" t="s">
        <v>953</v>
      </c>
      <c r="E6791" t="s">
        <v>954</v>
      </c>
      <c r="F6791" t="s">
        <v>35</v>
      </c>
      <c r="G6791" t="s">
        <v>35</v>
      </c>
      <c r="H6791" t="s">
        <v>35</v>
      </c>
      <c r="J6791" t="s">
        <v>6738</v>
      </c>
      <c r="K6791" t="s">
        <v>1092</v>
      </c>
      <c r="M6791">
        <v>0.85</v>
      </c>
      <c r="N6791">
        <v>70</v>
      </c>
      <c r="O6791" t="s">
        <v>61</v>
      </c>
      <c r="Q6791" t="s">
        <v>305</v>
      </c>
      <c r="R6791" t="s">
        <v>6720</v>
      </c>
      <c r="S6791" t="s">
        <v>961</v>
      </c>
      <c r="T6791" t="s">
        <v>962</v>
      </c>
    </row>
    <row r="6792" spans="1:20" x14ac:dyDescent="0.25">
      <c r="A6792" t="s">
        <v>59</v>
      </c>
      <c r="B6792" t="s">
        <v>31</v>
      </c>
      <c r="C6792" t="s">
        <v>32</v>
      </c>
      <c r="D6792" t="s">
        <v>953</v>
      </c>
      <c r="E6792" t="s">
        <v>954</v>
      </c>
      <c r="F6792" t="s">
        <v>35</v>
      </c>
      <c r="G6792" t="s">
        <v>35</v>
      </c>
      <c r="H6792" t="s">
        <v>35</v>
      </c>
      <c r="J6792" t="s">
        <v>6738</v>
      </c>
      <c r="K6792" t="s">
        <v>1092</v>
      </c>
      <c r="M6792">
        <v>0.45</v>
      </c>
      <c r="N6792">
        <v>53</v>
      </c>
      <c r="O6792" t="s">
        <v>52</v>
      </c>
      <c r="Q6792" t="s">
        <v>1734</v>
      </c>
      <c r="R6792" t="s">
        <v>6720</v>
      </c>
      <c r="S6792" t="s">
        <v>961</v>
      </c>
      <c r="T6792" t="s">
        <v>962</v>
      </c>
    </row>
    <row r="6793" spans="1:20" x14ac:dyDescent="0.25">
      <c r="A6793" t="s">
        <v>59</v>
      </c>
      <c r="B6793" t="s">
        <v>60</v>
      </c>
      <c r="C6793" t="s">
        <v>32</v>
      </c>
      <c r="D6793" t="s">
        <v>953</v>
      </c>
      <c r="E6793" t="s">
        <v>954</v>
      </c>
      <c r="F6793" t="s">
        <v>35</v>
      </c>
      <c r="G6793" t="s">
        <v>35</v>
      </c>
      <c r="H6793" t="s">
        <v>35</v>
      </c>
      <c r="J6793" t="s">
        <v>6738</v>
      </c>
      <c r="K6793" t="s">
        <v>1092</v>
      </c>
      <c r="M6793">
        <v>1.5</v>
      </c>
      <c r="N6793">
        <v>53</v>
      </c>
      <c r="O6793" t="s">
        <v>52</v>
      </c>
      <c r="Q6793" t="s">
        <v>1734</v>
      </c>
      <c r="R6793" t="s">
        <v>6720</v>
      </c>
      <c r="S6793" t="s">
        <v>961</v>
      </c>
      <c r="T6793" t="s">
        <v>962</v>
      </c>
    </row>
    <row r="6794" spans="1:20" x14ac:dyDescent="0.25">
      <c r="A6794" t="s">
        <v>30</v>
      </c>
      <c r="B6794" t="s">
        <v>31</v>
      </c>
      <c r="C6794" t="s">
        <v>32</v>
      </c>
      <c r="D6794" t="s">
        <v>953</v>
      </c>
      <c r="F6794" t="s">
        <v>35</v>
      </c>
      <c r="G6794" t="s">
        <v>35</v>
      </c>
      <c r="H6794" t="s">
        <v>35</v>
      </c>
      <c r="J6794" t="s">
        <v>8042</v>
      </c>
      <c r="K6794" t="s">
        <v>1092</v>
      </c>
      <c r="M6794">
        <v>0.68</v>
      </c>
      <c r="N6794">
        <v>1900</v>
      </c>
      <c r="O6794" t="s">
        <v>575</v>
      </c>
      <c r="Q6794" t="s">
        <v>8043</v>
      </c>
      <c r="R6794" t="s">
        <v>6720</v>
      </c>
      <c r="S6794" t="s">
        <v>961</v>
      </c>
      <c r="T6794" t="s">
        <v>962</v>
      </c>
    </row>
    <row r="6795" spans="1:20" x14ac:dyDescent="0.25">
      <c r="A6795" t="s">
        <v>30</v>
      </c>
      <c r="B6795" t="s">
        <v>31</v>
      </c>
      <c r="C6795" t="s">
        <v>32</v>
      </c>
      <c r="D6795" t="s">
        <v>953</v>
      </c>
      <c r="E6795" t="s">
        <v>954</v>
      </c>
      <c r="F6795" t="s">
        <v>35</v>
      </c>
      <c r="G6795" t="s">
        <v>35</v>
      </c>
      <c r="H6795" t="s">
        <v>35</v>
      </c>
      <c r="J6795" t="s">
        <v>6739</v>
      </c>
      <c r="K6795" t="s">
        <v>1092</v>
      </c>
      <c r="M6795">
        <v>0.67500000000000004</v>
      </c>
      <c r="N6795">
        <v>9</v>
      </c>
      <c r="O6795" t="s">
        <v>46</v>
      </c>
      <c r="Q6795" t="s">
        <v>323</v>
      </c>
      <c r="R6795" t="s">
        <v>6720</v>
      </c>
      <c r="S6795" t="s">
        <v>961</v>
      </c>
      <c r="T6795" t="s">
        <v>962</v>
      </c>
    </row>
    <row r="6796" spans="1:20" x14ac:dyDescent="0.25">
      <c r="A6796" t="s">
        <v>59</v>
      </c>
      <c r="B6796" t="s">
        <v>60</v>
      </c>
      <c r="C6796" t="s">
        <v>32</v>
      </c>
      <c r="D6796" t="s">
        <v>953</v>
      </c>
      <c r="E6796" t="s">
        <v>954</v>
      </c>
      <c r="F6796" t="s">
        <v>35</v>
      </c>
      <c r="G6796" t="s">
        <v>35</v>
      </c>
      <c r="H6796" t="s">
        <v>35</v>
      </c>
      <c r="J6796" t="s">
        <v>6739</v>
      </c>
      <c r="K6796" t="s">
        <v>1092</v>
      </c>
      <c r="M6796">
        <v>0.45</v>
      </c>
      <c r="N6796">
        <v>22</v>
      </c>
      <c r="O6796" t="s">
        <v>46</v>
      </c>
      <c r="Q6796" t="s">
        <v>1645</v>
      </c>
      <c r="R6796" t="s">
        <v>6720</v>
      </c>
      <c r="S6796" t="s">
        <v>961</v>
      </c>
      <c r="T6796" t="s">
        <v>962</v>
      </c>
    </row>
    <row r="6797" spans="1:20" x14ac:dyDescent="0.25">
      <c r="A6797" t="s">
        <v>59</v>
      </c>
      <c r="B6797" t="s">
        <v>60</v>
      </c>
      <c r="C6797" t="s">
        <v>32</v>
      </c>
      <c r="D6797" t="s">
        <v>953</v>
      </c>
      <c r="E6797" t="s">
        <v>954</v>
      </c>
      <c r="F6797" t="s">
        <v>35</v>
      </c>
      <c r="G6797" t="s">
        <v>35</v>
      </c>
      <c r="H6797" t="s">
        <v>35</v>
      </c>
      <c r="J6797" t="s">
        <v>6739</v>
      </c>
      <c r="K6797" t="s">
        <v>1092</v>
      </c>
      <c r="M6797">
        <v>0.5</v>
      </c>
      <c r="N6797">
        <v>30</v>
      </c>
      <c r="O6797" t="s">
        <v>46</v>
      </c>
      <c r="Q6797" t="s">
        <v>3499</v>
      </c>
      <c r="R6797" t="s">
        <v>6720</v>
      </c>
      <c r="S6797" t="s">
        <v>961</v>
      </c>
      <c r="T6797" t="s">
        <v>962</v>
      </c>
    </row>
    <row r="6798" spans="1:20" x14ac:dyDescent="0.25">
      <c r="A6798" t="s">
        <v>30</v>
      </c>
      <c r="B6798" t="s">
        <v>31</v>
      </c>
      <c r="C6798" t="s">
        <v>32</v>
      </c>
      <c r="D6798" t="s">
        <v>953</v>
      </c>
      <c r="E6798" t="s">
        <v>954</v>
      </c>
      <c r="F6798" t="s">
        <v>35</v>
      </c>
      <c r="G6798" t="s">
        <v>35</v>
      </c>
      <c r="H6798" t="s">
        <v>35</v>
      </c>
      <c r="J6798" t="s">
        <v>6739</v>
      </c>
      <c r="K6798" t="s">
        <v>1092</v>
      </c>
      <c r="M6798">
        <v>0.45</v>
      </c>
      <c r="N6798">
        <v>12</v>
      </c>
      <c r="O6798" t="s">
        <v>46</v>
      </c>
      <c r="Q6798" t="s">
        <v>1192</v>
      </c>
      <c r="R6798" t="s">
        <v>6720</v>
      </c>
      <c r="S6798" t="s">
        <v>961</v>
      </c>
      <c r="T6798" t="s">
        <v>962</v>
      </c>
    </row>
    <row r="6799" spans="1:20" x14ac:dyDescent="0.25">
      <c r="A6799" t="s">
        <v>30</v>
      </c>
      <c r="B6799" t="s">
        <v>31</v>
      </c>
      <c r="C6799" t="s">
        <v>32</v>
      </c>
      <c r="D6799" t="s">
        <v>953</v>
      </c>
      <c r="E6799" t="s">
        <v>954</v>
      </c>
      <c r="F6799" t="s">
        <v>35</v>
      </c>
      <c r="G6799" t="s">
        <v>35</v>
      </c>
      <c r="H6799" t="s">
        <v>35</v>
      </c>
      <c r="J6799" t="s">
        <v>6739</v>
      </c>
      <c r="K6799" t="s">
        <v>1092</v>
      </c>
      <c r="M6799">
        <v>0.63</v>
      </c>
      <c r="N6799">
        <v>30</v>
      </c>
      <c r="O6799" t="s">
        <v>46</v>
      </c>
      <c r="Q6799" t="s">
        <v>3499</v>
      </c>
      <c r="R6799" t="s">
        <v>6720</v>
      </c>
      <c r="S6799" t="s">
        <v>961</v>
      </c>
      <c r="T6799" t="s">
        <v>962</v>
      </c>
    </row>
    <row r="6800" spans="1:20" x14ac:dyDescent="0.25">
      <c r="A6800" t="s">
        <v>30</v>
      </c>
      <c r="B6800" t="s">
        <v>31</v>
      </c>
      <c r="C6800" t="s">
        <v>32</v>
      </c>
      <c r="D6800" t="s">
        <v>953</v>
      </c>
      <c r="E6800" t="s">
        <v>954</v>
      </c>
      <c r="F6800" t="s">
        <v>35</v>
      </c>
      <c r="G6800" t="s">
        <v>35</v>
      </c>
      <c r="H6800" t="s">
        <v>35</v>
      </c>
      <c r="J6800" t="s">
        <v>6739</v>
      </c>
      <c r="K6800" t="s">
        <v>1092</v>
      </c>
      <c r="M6800">
        <v>0.67500000000000004</v>
      </c>
      <c r="N6800">
        <v>14</v>
      </c>
      <c r="O6800" t="s">
        <v>46</v>
      </c>
      <c r="Q6800" t="s">
        <v>1874</v>
      </c>
      <c r="R6800" t="s">
        <v>6720</v>
      </c>
      <c r="S6800" t="s">
        <v>961</v>
      </c>
      <c r="T6800" t="s">
        <v>962</v>
      </c>
    </row>
    <row r="6801" spans="1:20" x14ac:dyDescent="0.25">
      <c r="A6801" t="s">
        <v>59</v>
      </c>
      <c r="B6801" t="s">
        <v>60</v>
      </c>
      <c r="C6801" t="s">
        <v>32</v>
      </c>
      <c r="D6801" t="s">
        <v>953</v>
      </c>
      <c r="E6801" t="s">
        <v>954</v>
      </c>
      <c r="F6801" t="s">
        <v>35</v>
      </c>
      <c r="G6801" t="s">
        <v>35</v>
      </c>
      <c r="H6801" t="s">
        <v>35</v>
      </c>
      <c r="J6801" t="s">
        <v>6739</v>
      </c>
      <c r="K6801" t="s">
        <v>1092</v>
      </c>
      <c r="M6801">
        <v>0.2</v>
      </c>
      <c r="N6801">
        <v>45</v>
      </c>
      <c r="O6801" t="s">
        <v>52</v>
      </c>
      <c r="Q6801" t="s">
        <v>1230</v>
      </c>
      <c r="R6801" t="s">
        <v>6720</v>
      </c>
      <c r="S6801" t="s">
        <v>961</v>
      </c>
      <c r="T6801" t="s">
        <v>962</v>
      </c>
    </row>
    <row r="6802" spans="1:20" x14ac:dyDescent="0.25">
      <c r="A6802" t="s">
        <v>44</v>
      </c>
      <c r="B6802" t="s">
        <v>51</v>
      </c>
      <c r="C6802" t="s">
        <v>32</v>
      </c>
      <c r="D6802" t="s">
        <v>953</v>
      </c>
      <c r="E6802" t="s">
        <v>1015</v>
      </c>
      <c r="F6802" t="s">
        <v>35</v>
      </c>
      <c r="G6802" t="s">
        <v>35</v>
      </c>
      <c r="H6802" t="s">
        <v>35</v>
      </c>
      <c r="J6802" t="s">
        <v>7361</v>
      </c>
      <c r="K6802" t="s">
        <v>1092</v>
      </c>
      <c r="M6802">
        <v>0.95</v>
      </c>
      <c r="N6802">
        <v>22</v>
      </c>
      <c r="O6802" t="s">
        <v>46</v>
      </c>
      <c r="Q6802" t="s">
        <v>1645</v>
      </c>
      <c r="R6802" t="s">
        <v>6720</v>
      </c>
      <c r="S6802" t="s">
        <v>961</v>
      </c>
      <c r="T6802" t="s">
        <v>962</v>
      </c>
    </row>
    <row r="6803" spans="1:20" x14ac:dyDescent="0.25">
      <c r="A6803" t="s">
        <v>59</v>
      </c>
      <c r="B6803" t="s">
        <v>60</v>
      </c>
      <c r="C6803" t="s">
        <v>32</v>
      </c>
      <c r="D6803" t="s">
        <v>953</v>
      </c>
      <c r="E6803" t="s">
        <v>1015</v>
      </c>
      <c r="F6803" t="s">
        <v>35</v>
      </c>
      <c r="G6803" t="s">
        <v>35</v>
      </c>
      <c r="H6803" t="s">
        <v>35</v>
      </c>
      <c r="J6803" t="s">
        <v>7361</v>
      </c>
      <c r="K6803" t="s">
        <v>1092</v>
      </c>
      <c r="M6803">
        <v>0.5</v>
      </c>
      <c r="N6803">
        <v>39</v>
      </c>
      <c r="O6803" t="s">
        <v>52</v>
      </c>
      <c r="Q6803" t="s">
        <v>493</v>
      </c>
      <c r="R6803" t="s">
        <v>6720</v>
      </c>
      <c r="S6803" t="s">
        <v>961</v>
      </c>
      <c r="T6803" t="s">
        <v>962</v>
      </c>
    </row>
    <row r="6804" spans="1:20" x14ac:dyDescent="0.25">
      <c r="A6804" t="s">
        <v>44</v>
      </c>
      <c r="B6804" t="s">
        <v>3</v>
      </c>
      <c r="C6804" t="s">
        <v>32</v>
      </c>
      <c r="D6804" t="s">
        <v>953</v>
      </c>
      <c r="E6804" t="s">
        <v>1015</v>
      </c>
      <c r="F6804" t="s">
        <v>35</v>
      </c>
      <c r="G6804" t="s">
        <v>35</v>
      </c>
      <c r="H6804" t="s">
        <v>35</v>
      </c>
      <c r="J6804" t="s">
        <v>7361</v>
      </c>
      <c r="K6804" t="s">
        <v>1092</v>
      </c>
      <c r="M6804">
        <v>0.25</v>
      </c>
      <c r="N6804">
        <v>39</v>
      </c>
      <c r="O6804" t="s">
        <v>52</v>
      </c>
      <c r="Q6804" t="s">
        <v>493</v>
      </c>
      <c r="R6804" t="s">
        <v>6720</v>
      </c>
      <c r="S6804" t="s">
        <v>961</v>
      </c>
      <c r="T6804" t="s">
        <v>962</v>
      </c>
    </row>
    <row r="6805" spans="1:20" x14ac:dyDescent="0.25">
      <c r="A6805" t="s">
        <v>44</v>
      </c>
      <c r="B6805" t="s">
        <v>3</v>
      </c>
      <c r="C6805" t="s">
        <v>32</v>
      </c>
      <c r="D6805" t="s">
        <v>953</v>
      </c>
      <c r="E6805" t="s">
        <v>1015</v>
      </c>
      <c r="F6805" t="s">
        <v>35</v>
      </c>
      <c r="G6805" t="s">
        <v>35</v>
      </c>
      <c r="H6805" t="s">
        <v>35</v>
      </c>
      <c r="J6805" t="s">
        <v>7361</v>
      </c>
      <c r="K6805" t="s">
        <v>1092</v>
      </c>
      <c r="M6805">
        <v>0.5</v>
      </c>
      <c r="N6805">
        <v>22</v>
      </c>
      <c r="O6805" t="s">
        <v>46</v>
      </c>
      <c r="Q6805" t="s">
        <v>1645</v>
      </c>
      <c r="R6805" t="s">
        <v>6720</v>
      </c>
      <c r="S6805" t="s">
        <v>961</v>
      </c>
      <c r="T6805" t="s">
        <v>962</v>
      </c>
    </row>
    <row r="6806" spans="1:20" x14ac:dyDescent="0.25">
      <c r="A6806" t="s">
        <v>30</v>
      </c>
      <c r="B6806" t="s">
        <v>31</v>
      </c>
      <c r="C6806" t="s">
        <v>32</v>
      </c>
      <c r="D6806" t="s">
        <v>953</v>
      </c>
      <c r="E6806" t="s">
        <v>1015</v>
      </c>
      <c r="F6806" t="s">
        <v>35</v>
      </c>
      <c r="G6806" t="s">
        <v>35</v>
      </c>
      <c r="H6806" t="s">
        <v>35</v>
      </c>
      <c r="J6806" t="s">
        <v>7361</v>
      </c>
      <c r="K6806" t="s">
        <v>1092</v>
      </c>
      <c r="M6806">
        <v>3.15</v>
      </c>
      <c r="N6806">
        <v>14</v>
      </c>
      <c r="O6806" t="s">
        <v>46</v>
      </c>
      <c r="Q6806" t="s">
        <v>1874</v>
      </c>
      <c r="R6806" t="s">
        <v>6720</v>
      </c>
      <c r="S6806" t="s">
        <v>961</v>
      </c>
      <c r="T6806" t="s">
        <v>962</v>
      </c>
    </row>
    <row r="6807" spans="1:20" x14ac:dyDescent="0.25">
      <c r="A6807" t="s">
        <v>59</v>
      </c>
      <c r="B6807" t="s">
        <v>60</v>
      </c>
      <c r="C6807" t="s">
        <v>32</v>
      </c>
      <c r="D6807" t="s">
        <v>953</v>
      </c>
      <c r="E6807" t="s">
        <v>1015</v>
      </c>
      <c r="F6807" t="s">
        <v>35</v>
      </c>
      <c r="G6807" t="s">
        <v>35</v>
      </c>
      <c r="H6807" t="s">
        <v>35</v>
      </c>
      <c r="J6807" t="s">
        <v>7361</v>
      </c>
      <c r="K6807" t="s">
        <v>1092</v>
      </c>
      <c r="M6807">
        <v>0.3</v>
      </c>
      <c r="N6807">
        <v>70</v>
      </c>
      <c r="O6807" t="s">
        <v>61</v>
      </c>
      <c r="Q6807" t="s">
        <v>305</v>
      </c>
      <c r="R6807" t="s">
        <v>6720</v>
      </c>
      <c r="S6807" t="s">
        <v>961</v>
      </c>
      <c r="T6807" t="s">
        <v>962</v>
      </c>
    </row>
    <row r="6808" spans="1:20" x14ac:dyDescent="0.25">
      <c r="A6808" t="s">
        <v>44</v>
      </c>
      <c r="B6808" t="s">
        <v>3</v>
      </c>
      <c r="C6808" t="s">
        <v>32</v>
      </c>
      <c r="D6808" t="s">
        <v>953</v>
      </c>
      <c r="E6808" t="s">
        <v>7558</v>
      </c>
      <c r="F6808" t="s">
        <v>35</v>
      </c>
      <c r="G6808" t="s">
        <v>35</v>
      </c>
      <c r="H6808" t="s">
        <v>35</v>
      </c>
      <c r="J6808" t="s">
        <v>7569</v>
      </c>
      <c r="K6808" t="s">
        <v>1092</v>
      </c>
      <c r="M6808">
        <v>1</v>
      </c>
      <c r="N6808">
        <v>4</v>
      </c>
      <c r="O6808" t="s">
        <v>46</v>
      </c>
      <c r="Q6808" t="s">
        <v>1053</v>
      </c>
      <c r="R6808" t="s">
        <v>6720</v>
      </c>
      <c r="S6808" t="s">
        <v>961</v>
      </c>
      <c r="T6808" t="s">
        <v>962</v>
      </c>
    </row>
    <row r="6809" spans="1:20" x14ac:dyDescent="0.25">
      <c r="A6809" t="s">
        <v>59</v>
      </c>
      <c r="B6809" t="s">
        <v>60</v>
      </c>
      <c r="C6809" t="s">
        <v>32</v>
      </c>
      <c r="D6809" t="s">
        <v>953</v>
      </c>
      <c r="E6809" t="s">
        <v>7558</v>
      </c>
      <c r="F6809" t="s">
        <v>35</v>
      </c>
      <c r="G6809" t="s">
        <v>35</v>
      </c>
      <c r="H6809" t="s">
        <v>35</v>
      </c>
      <c r="J6809" t="s">
        <v>7569</v>
      </c>
      <c r="K6809" t="s">
        <v>1092</v>
      </c>
      <c r="M6809">
        <v>0.5</v>
      </c>
      <c r="N6809">
        <v>172</v>
      </c>
      <c r="O6809" t="s">
        <v>38</v>
      </c>
      <c r="Q6809" t="s">
        <v>346</v>
      </c>
      <c r="R6809" t="s">
        <v>6720</v>
      </c>
      <c r="S6809" t="s">
        <v>961</v>
      </c>
      <c r="T6809" t="s">
        <v>962</v>
      </c>
    </row>
    <row r="6810" spans="1:20" x14ac:dyDescent="0.25">
      <c r="A6810" t="s">
        <v>44</v>
      </c>
      <c r="B6810" t="s">
        <v>51</v>
      </c>
      <c r="C6810" t="s">
        <v>32</v>
      </c>
      <c r="D6810" t="s">
        <v>953</v>
      </c>
      <c r="E6810" t="s">
        <v>980</v>
      </c>
      <c r="F6810" t="s">
        <v>35</v>
      </c>
      <c r="G6810" t="s">
        <v>35</v>
      </c>
      <c r="H6810" t="s">
        <v>35</v>
      </c>
      <c r="J6810" t="s">
        <v>7090</v>
      </c>
      <c r="K6810" t="s">
        <v>1092</v>
      </c>
      <c r="M6810">
        <v>0.1</v>
      </c>
      <c r="N6810">
        <v>49</v>
      </c>
      <c r="O6810" t="s">
        <v>52</v>
      </c>
      <c r="Q6810" t="s">
        <v>453</v>
      </c>
      <c r="R6810" t="s">
        <v>6720</v>
      </c>
      <c r="S6810" t="s">
        <v>961</v>
      </c>
      <c r="T6810" t="s">
        <v>962</v>
      </c>
    </row>
    <row r="6811" spans="1:20" x14ac:dyDescent="0.25">
      <c r="A6811" t="s">
        <v>44</v>
      </c>
      <c r="B6811" t="s">
        <v>3</v>
      </c>
      <c r="C6811" t="s">
        <v>32</v>
      </c>
      <c r="D6811" t="s">
        <v>953</v>
      </c>
      <c r="E6811" t="s">
        <v>980</v>
      </c>
      <c r="F6811" t="s">
        <v>35</v>
      </c>
      <c r="G6811" t="s">
        <v>35</v>
      </c>
      <c r="H6811" t="s">
        <v>35</v>
      </c>
      <c r="J6811" t="s">
        <v>7090</v>
      </c>
      <c r="K6811" t="s">
        <v>1092</v>
      </c>
      <c r="M6811">
        <v>0.15</v>
      </c>
      <c r="N6811">
        <v>37</v>
      </c>
      <c r="O6811" t="s">
        <v>52</v>
      </c>
      <c r="Q6811" t="s">
        <v>192</v>
      </c>
      <c r="R6811" t="s">
        <v>6720</v>
      </c>
      <c r="S6811" t="s">
        <v>961</v>
      </c>
      <c r="T6811" t="s">
        <v>962</v>
      </c>
    </row>
    <row r="6812" spans="1:20" x14ac:dyDescent="0.25">
      <c r="A6812" t="s">
        <v>30</v>
      </c>
      <c r="B6812" t="s">
        <v>31</v>
      </c>
      <c r="C6812" t="s">
        <v>32</v>
      </c>
      <c r="D6812" t="s">
        <v>953</v>
      </c>
      <c r="E6812" t="s">
        <v>980</v>
      </c>
      <c r="F6812" t="s">
        <v>35</v>
      </c>
      <c r="G6812" t="s">
        <v>35</v>
      </c>
      <c r="H6812" t="s">
        <v>35</v>
      </c>
      <c r="J6812" t="s">
        <v>7090</v>
      </c>
      <c r="K6812" t="s">
        <v>1092</v>
      </c>
      <c r="M6812">
        <v>0.18</v>
      </c>
      <c r="N6812">
        <v>37</v>
      </c>
      <c r="O6812" t="s">
        <v>52</v>
      </c>
      <c r="Q6812" t="s">
        <v>192</v>
      </c>
      <c r="R6812" t="s">
        <v>6720</v>
      </c>
      <c r="S6812" t="s">
        <v>961</v>
      </c>
      <c r="T6812" t="s">
        <v>962</v>
      </c>
    </row>
    <row r="6813" spans="1:20" x14ac:dyDescent="0.25">
      <c r="A6813" t="s">
        <v>59</v>
      </c>
      <c r="B6813" t="s">
        <v>60</v>
      </c>
      <c r="C6813" t="s">
        <v>32</v>
      </c>
      <c r="D6813" t="s">
        <v>953</v>
      </c>
      <c r="E6813" t="s">
        <v>980</v>
      </c>
      <c r="F6813" t="s">
        <v>35</v>
      </c>
      <c r="G6813" t="s">
        <v>35</v>
      </c>
      <c r="H6813" t="s">
        <v>35</v>
      </c>
      <c r="J6813" t="s">
        <v>7090</v>
      </c>
      <c r="K6813" t="s">
        <v>1092</v>
      </c>
      <c r="M6813">
        <v>0.2</v>
      </c>
      <c r="N6813">
        <v>129</v>
      </c>
      <c r="O6813" t="s">
        <v>38</v>
      </c>
      <c r="Q6813" t="s">
        <v>157</v>
      </c>
      <c r="R6813" t="s">
        <v>6720</v>
      </c>
      <c r="S6813" t="s">
        <v>961</v>
      </c>
      <c r="T6813" t="s">
        <v>962</v>
      </c>
    </row>
    <row r="6814" spans="1:20" x14ac:dyDescent="0.25">
      <c r="A6814" t="s">
        <v>44</v>
      </c>
      <c r="B6814" t="s">
        <v>3</v>
      </c>
      <c r="C6814" t="s">
        <v>32</v>
      </c>
      <c r="D6814" t="s">
        <v>953</v>
      </c>
      <c r="E6814" t="s">
        <v>980</v>
      </c>
      <c r="F6814" t="s">
        <v>35</v>
      </c>
      <c r="G6814" t="s">
        <v>35</v>
      </c>
      <c r="H6814" t="s">
        <v>35</v>
      </c>
      <c r="J6814" t="s">
        <v>7090</v>
      </c>
      <c r="K6814" t="s">
        <v>1092</v>
      </c>
      <c r="M6814">
        <v>0.25</v>
      </c>
      <c r="N6814">
        <v>49</v>
      </c>
      <c r="O6814" t="s">
        <v>52</v>
      </c>
      <c r="Q6814" t="s">
        <v>453</v>
      </c>
      <c r="R6814" t="s">
        <v>6720</v>
      </c>
      <c r="S6814" t="s">
        <v>961</v>
      </c>
      <c r="T6814" t="s">
        <v>962</v>
      </c>
    </row>
    <row r="6815" spans="1:20" x14ac:dyDescent="0.25">
      <c r="A6815" t="s">
        <v>44</v>
      </c>
      <c r="B6815" t="s">
        <v>3</v>
      </c>
      <c r="C6815" t="s">
        <v>32</v>
      </c>
      <c r="D6815" t="s">
        <v>953</v>
      </c>
      <c r="E6815" t="s">
        <v>954</v>
      </c>
      <c r="F6815" t="s">
        <v>35</v>
      </c>
      <c r="G6815" t="s">
        <v>35</v>
      </c>
      <c r="H6815" t="s">
        <v>35</v>
      </c>
      <c r="J6815" t="s">
        <v>6841</v>
      </c>
      <c r="K6815" t="s">
        <v>1092</v>
      </c>
      <c r="M6815">
        <v>0.25</v>
      </c>
      <c r="N6815">
        <v>23</v>
      </c>
      <c r="O6815" t="s">
        <v>46</v>
      </c>
      <c r="Q6815" t="s">
        <v>793</v>
      </c>
      <c r="R6815" t="s">
        <v>6720</v>
      </c>
      <c r="S6815" t="s">
        <v>961</v>
      </c>
      <c r="T6815" t="s">
        <v>962</v>
      </c>
    </row>
    <row r="6816" spans="1:20" x14ac:dyDescent="0.25">
      <c r="A6816" t="s">
        <v>59</v>
      </c>
      <c r="B6816" t="s">
        <v>60</v>
      </c>
      <c r="C6816" t="s">
        <v>32</v>
      </c>
      <c r="D6816" t="s">
        <v>953</v>
      </c>
      <c r="E6816" t="s">
        <v>954</v>
      </c>
      <c r="F6816" t="s">
        <v>35</v>
      </c>
      <c r="G6816" t="s">
        <v>35</v>
      </c>
      <c r="H6816" t="s">
        <v>35</v>
      </c>
      <c r="J6816" t="s">
        <v>6841</v>
      </c>
      <c r="K6816" t="s">
        <v>1092</v>
      </c>
      <c r="M6816">
        <v>0.4</v>
      </c>
      <c r="N6816">
        <v>23</v>
      </c>
      <c r="O6816" t="s">
        <v>46</v>
      </c>
      <c r="Q6816" t="s">
        <v>793</v>
      </c>
      <c r="R6816" t="s">
        <v>6720</v>
      </c>
      <c r="S6816" t="s">
        <v>961</v>
      </c>
      <c r="T6816" t="s">
        <v>962</v>
      </c>
    </row>
    <row r="6817" spans="1:20" x14ac:dyDescent="0.25">
      <c r="A6817" t="s">
        <v>30</v>
      </c>
      <c r="B6817" t="s">
        <v>31</v>
      </c>
      <c r="C6817" t="s">
        <v>32</v>
      </c>
      <c r="D6817" t="s">
        <v>953</v>
      </c>
      <c r="E6817" t="s">
        <v>980</v>
      </c>
      <c r="F6817" t="s">
        <v>35</v>
      </c>
      <c r="G6817" t="s">
        <v>35</v>
      </c>
      <c r="H6817" t="s">
        <v>35</v>
      </c>
      <c r="J6817" t="s">
        <v>7091</v>
      </c>
      <c r="K6817" t="s">
        <v>1092</v>
      </c>
      <c r="M6817">
        <v>0.18</v>
      </c>
      <c r="N6817">
        <v>23</v>
      </c>
      <c r="O6817" t="s">
        <v>46</v>
      </c>
      <c r="Q6817" t="s">
        <v>793</v>
      </c>
      <c r="R6817" t="s">
        <v>6720</v>
      </c>
      <c r="S6817" t="s">
        <v>961</v>
      </c>
      <c r="T6817" t="s">
        <v>962</v>
      </c>
    </row>
    <row r="6818" spans="1:20" x14ac:dyDescent="0.25">
      <c r="A6818" t="s">
        <v>44</v>
      </c>
      <c r="B6818" t="s">
        <v>3</v>
      </c>
      <c r="C6818" t="s">
        <v>32</v>
      </c>
      <c r="D6818" t="s">
        <v>953</v>
      </c>
      <c r="E6818" t="s">
        <v>980</v>
      </c>
      <c r="F6818" t="s">
        <v>35</v>
      </c>
      <c r="G6818" t="s">
        <v>35</v>
      </c>
      <c r="H6818" t="s">
        <v>35</v>
      </c>
      <c r="J6818" t="s">
        <v>7091</v>
      </c>
      <c r="K6818" t="s">
        <v>1092</v>
      </c>
      <c r="M6818">
        <v>0.5</v>
      </c>
      <c r="N6818">
        <v>49</v>
      </c>
      <c r="O6818" t="s">
        <v>52</v>
      </c>
      <c r="Q6818" t="s">
        <v>453</v>
      </c>
      <c r="R6818" t="s">
        <v>6720</v>
      </c>
      <c r="S6818" t="s">
        <v>961</v>
      </c>
      <c r="T6818" t="s">
        <v>962</v>
      </c>
    </row>
    <row r="6819" spans="1:20" x14ac:dyDescent="0.25">
      <c r="A6819" t="s">
        <v>44</v>
      </c>
      <c r="B6819" t="s">
        <v>3</v>
      </c>
      <c r="C6819" t="s">
        <v>32</v>
      </c>
      <c r="D6819" t="s">
        <v>953</v>
      </c>
      <c r="E6819" t="s">
        <v>980</v>
      </c>
      <c r="F6819" t="s">
        <v>35</v>
      </c>
      <c r="G6819" t="s">
        <v>35</v>
      </c>
      <c r="H6819" t="s">
        <v>35</v>
      </c>
      <c r="J6819" t="s">
        <v>7091</v>
      </c>
      <c r="K6819" t="s">
        <v>1092</v>
      </c>
      <c r="M6819">
        <v>0.5</v>
      </c>
      <c r="N6819">
        <v>37</v>
      </c>
      <c r="O6819" t="s">
        <v>52</v>
      </c>
      <c r="Q6819" t="s">
        <v>192</v>
      </c>
      <c r="R6819" t="s">
        <v>6720</v>
      </c>
      <c r="S6819" t="s">
        <v>961</v>
      </c>
      <c r="T6819" t="s">
        <v>962</v>
      </c>
    </row>
    <row r="6820" spans="1:20" x14ac:dyDescent="0.25">
      <c r="A6820" t="s">
        <v>59</v>
      </c>
      <c r="B6820" t="s">
        <v>31</v>
      </c>
      <c r="C6820" t="s">
        <v>32</v>
      </c>
      <c r="D6820" t="s">
        <v>953</v>
      </c>
      <c r="E6820" t="s">
        <v>980</v>
      </c>
      <c r="F6820" t="s">
        <v>35</v>
      </c>
      <c r="G6820" t="s">
        <v>35</v>
      </c>
      <c r="H6820" t="s">
        <v>35</v>
      </c>
      <c r="J6820" t="s">
        <v>7091</v>
      </c>
      <c r="K6820" t="s">
        <v>1092</v>
      </c>
      <c r="M6820">
        <v>0.22500000000000001</v>
      </c>
      <c r="N6820">
        <v>53</v>
      </c>
      <c r="O6820" t="s">
        <v>52</v>
      </c>
      <c r="Q6820" t="s">
        <v>1734</v>
      </c>
      <c r="R6820" t="s">
        <v>6720</v>
      </c>
      <c r="S6820" t="s">
        <v>961</v>
      </c>
      <c r="T6820" t="s">
        <v>962</v>
      </c>
    </row>
    <row r="6821" spans="1:20" x14ac:dyDescent="0.25">
      <c r="A6821" t="s">
        <v>44</v>
      </c>
      <c r="B6821" t="s">
        <v>3</v>
      </c>
      <c r="C6821" t="s">
        <v>32</v>
      </c>
      <c r="D6821" t="s">
        <v>953</v>
      </c>
      <c r="E6821" t="s">
        <v>980</v>
      </c>
      <c r="F6821" t="s">
        <v>35</v>
      </c>
      <c r="G6821" t="s">
        <v>35</v>
      </c>
      <c r="H6821" t="s">
        <v>35</v>
      </c>
      <c r="J6821" t="s">
        <v>7091</v>
      </c>
      <c r="K6821" t="s">
        <v>1092</v>
      </c>
      <c r="M6821">
        <v>0.25</v>
      </c>
      <c r="N6821">
        <v>23</v>
      </c>
      <c r="O6821" t="s">
        <v>46</v>
      </c>
      <c r="Q6821" t="s">
        <v>793</v>
      </c>
      <c r="R6821" t="s">
        <v>6720</v>
      </c>
      <c r="S6821" t="s">
        <v>961</v>
      </c>
      <c r="T6821" t="s">
        <v>962</v>
      </c>
    </row>
    <row r="6822" spans="1:20" x14ac:dyDescent="0.25">
      <c r="A6822" t="s">
        <v>30</v>
      </c>
      <c r="B6822" t="s">
        <v>31</v>
      </c>
      <c r="C6822" t="s">
        <v>32</v>
      </c>
      <c r="D6822" t="s">
        <v>953</v>
      </c>
      <c r="E6822" t="s">
        <v>980</v>
      </c>
      <c r="F6822" t="s">
        <v>35</v>
      </c>
      <c r="G6822" t="s">
        <v>35</v>
      </c>
      <c r="H6822" t="s">
        <v>35</v>
      </c>
      <c r="J6822" t="s">
        <v>7091</v>
      </c>
      <c r="K6822" t="s">
        <v>1092</v>
      </c>
      <c r="M6822">
        <v>0.45</v>
      </c>
      <c r="N6822">
        <v>30</v>
      </c>
      <c r="O6822" t="s">
        <v>46</v>
      </c>
      <c r="Q6822" t="s">
        <v>3499</v>
      </c>
      <c r="R6822" t="s">
        <v>6720</v>
      </c>
      <c r="S6822" t="s">
        <v>961</v>
      </c>
      <c r="T6822" t="s">
        <v>962</v>
      </c>
    </row>
    <row r="6823" spans="1:20" x14ac:dyDescent="0.25">
      <c r="A6823" t="s">
        <v>59</v>
      </c>
      <c r="B6823" t="s">
        <v>60</v>
      </c>
      <c r="C6823" t="s">
        <v>32</v>
      </c>
      <c r="D6823" t="s">
        <v>953</v>
      </c>
      <c r="E6823" t="s">
        <v>954</v>
      </c>
      <c r="F6823" t="s">
        <v>35</v>
      </c>
      <c r="G6823" t="s">
        <v>35</v>
      </c>
      <c r="H6823" t="s">
        <v>35</v>
      </c>
      <c r="J6823" t="s">
        <v>6815</v>
      </c>
      <c r="K6823" t="s">
        <v>1092</v>
      </c>
      <c r="M6823">
        <v>1</v>
      </c>
      <c r="N6823">
        <v>57</v>
      </c>
      <c r="O6823" t="s">
        <v>52</v>
      </c>
      <c r="Q6823" t="s">
        <v>381</v>
      </c>
      <c r="R6823" t="s">
        <v>6720</v>
      </c>
      <c r="S6823" t="s">
        <v>961</v>
      </c>
      <c r="T6823" t="s">
        <v>962</v>
      </c>
    </row>
    <row r="6824" spans="1:20" x14ac:dyDescent="0.25">
      <c r="A6824" t="s">
        <v>59</v>
      </c>
      <c r="B6824" t="s">
        <v>60</v>
      </c>
      <c r="C6824" t="s">
        <v>32</v>
      </c>
      <c r="D6824" t="s">
        <v>953</v>
      </c>
      <c r="E6824" t="s">
        <v>954</v>
      </c>
      <c r="F6824" t="s">
        <v>35</v>
      </c>
      <c r="G6824" t="s">
        <v>35</v>
      </c>
      <c r="H6824" t="s">
        <v>35</v>
      </c>
      <c r="J6824" t="s">
        <v>6815</v>
      </c>
      <c r="K6824" t="s">
        <v>1092</v>
      </c>
      <c r="M6824">
        <v>0.4</v>
      </c>
      <c r="N6824">
        <v>133</v>
      </c>
      <c r="O6824" t="s">
        <v>38</v>
      </c>
      <c r="Q6824" t="s">
        <v>609</v>
      </c>
      <c r="R6824" t="s">
        <v>6720</v>
      </c>
      <c r="S6824" t="s">
        <v>961</v>
      </c>
      <c r="T6824" t="s">
        <v>962</v>
      </c>
    </row>
    <row r="6825" spans="1:20" x14ac:dyDescent="0.25">
      <c r="A6825" t="s">
        <v>59</v>
      </c>
      <c r="B6825" t="s">
        <v>31</v>
      </c>
      <c r="C6825" t="s">
        <v>32</v>
      </c>
      <c r="D6825" t="s">
        <v>953</v>
      </c>
      <c r="E6825" t="s">
        <v>954</v>
      </c>
      <c r="F6825" t="s">
        <v>35</v>
      </c>
      <c r="G6825" t="s">
        <v>35</v>
      </c>
      <c r="H6825" t="s">
        <v>35</v>
      </c>
      <c r="J6825" t="s">
        <v>6815</v>
      </c>
      <c r="K6825" t="s">
        <v>1092</v>
      </c>
      <c r="M6825">
        <v>0.495</v>
      </c>
      <c r="N6825">
        <v>57</v>
      </c>
      <c r="O6825" t="s">
        <v>52</v>
      </c>
      <c r="Q6825" t="s">
        <v>381</v>
      </c>
      <c r="R6825" t="s">
        <v>6720</v>
      </c>
      <c r="S6825" t="s">
        <v>961</v>
      </c>
      <c r="T6825" t="s">
        <v>962</v>
      </c>
    </row>
    <row r="6826" spans="1:20" x14ac:dyDescent="0.25">
      <c r="A6826" t="s">
        <v>59</v>
      </c>
      <c r="B6826" t="s">
        <v>31</v>
      </c>
      <c r="C6826" t="s">
        <v>32</v>
      </c>
      <c r="D6826" t="s">
        <v>953</v>
      </c>
      <c r="E6826" t="s">
        <v>1077</v>
      </c>
      <c r="F6826" t="s">
        <v>35</v>
      </c>
      <c r="G6826" t="s">
        <v>35</v>
      </c>
      <c r="H6826" t="s">
        <v>35</v>
      </c>
      <c r="J6826" t="s">
        <v>7669</v>
      </c>
      <c r="K6826" t="s">
        <v>1092</v>
      </c>
      <c r="M6826">
        <v>0.45</v>
      </c>
      <c r="N6826">
        <v>244</v>
      </c>
      <c r="O6826" t="s">
        <v>5</v>
      </c>
      <c r="Q6826" t="s">
        <v>1688</v>
      </c>
      <c r="R6826" t="s">
        <v>6720</v>
      </c>
      <c r="S6826" t="s">
        <v>961</v>
      </c>
      <c r="T6826" t="s">
        <v>962</v>
      </c>
    </row>
    <row r="6827" spans="1:20" x14ac:dyDescent="0.25">
      <c r="A6827" t="s">
        <v>30</v>
      </c>
      <c r="B6827" t="s">
        <v>31</v>
      </c>
      <c r="C6827" t="s">
        <v>32</v>
      </c>
      <c r="D6827" t="s">
        <v>953</v>
      </c>
      <c r="E6827" t="s">
        <v>1077</v>
      </c>
      <c r="F6827" t="s">
        <v>35</v>
      </c>
      <c r="G6827" t="s">
        <v>35</v>
      </c>
      <c r="H6827" t="s">
        <v>35</v>
      </c>
      <c r="J6827" t="s">
        <v>7669</v>
      </c>
      <c r="K6827" t="s">
        <v>1092</v>
      </c>
      <c r="M6827">
        <v>0.9</v>
      </c>
      <c r="N6827">
        <v>450</v>
      </c>
      <c r="O6827" t="s">
        <v>294</v>
      </c>
      <c r="Q6827" t="s">
        <v>2104</v>
      </c>
      <c r="R6827" t="s">
        <v>6720</v>
      </c>
      <c r="S6827" t="s">
        <v>961</v>
      </c>
      <c r="T6827" t="s">
        <v>962</v>
      </c>
    </row>
    <row r="6828" spans="1:20" x14ac:dyDescent="0.25">
      <c r="A6828" t="s">
        <v>44</v>
      </c>
      <c r="B6828" t="s">
        <v>3</v>
      </c>
      <c r="C6828" t="s">
        <v>32</v>
      </c>
      <c r="D6828" t="s">
        <v>953</v>
      </c>
      <c r="E6828" t="s">
        <v>1077</v>
      </c>
      <c r="F6828" t="s">
        <v>35</v>
      </c>
      <c r="G6828" t="s">
        <v>35</v>
      </c>
      <c r="H6828" t="s">
        <v>35</v>
      </c>
      <c r="J6828" t="s">
        <v>7669</v>
      </c>
      <c r="K6828" t="s">
        <v>1092</v>
      </c>
      <c r="M6828">
        <v>0.1</v>
      </c>
      <c r="N6828">
        <v>410</v>
      </c>
      <c r="O6828" t="s">
        <v>294</v>
      </c>
      <c r="Q6828" t="s">
        <v>4858</v>
      </c>
      <c r="R6828" t="s">
        <v>6720</v>
      </c>
      <c r="S6828" t="s">
        <v>961</v>
      </c>
      <c r="T6828" t="s">
        <v>962</v>
      </c>
    </row>
    <row r="6829" spans="1:20" x14ac:dyDescent="0.25">
      <c r="A6829" t="s">
        <v>44</v>
      </c>
      <c r="B6829" t="s">
        <v>3</v>
      </c>
      <c r="C6829" t="s">
        <v>32</v>
      </c>
      <c r="D6829" t="s">
        <v>953</v>
      </c>
      <c r="E6829" t="s">
        <v>1077</v>
      </c>
      <c r="F6829" t="s">
        <v>35</v>
      </c>
      <c r="G6829" t="s">
        <v>35</v>
      </c>
      <c r="H6829" t="s">
        <v>35</v>
      </c>
      <c r="J6829" t="s">
        <v>7669</v>
      </c>
      <c r="K6829" t="s">
        <v>1092</v>
      </c>
      <c r="M6829">
        <v>0.05</v>
      </c>
      <c r="N6829">
        <v>415</v>
      </c>
      <c r="O6829" t="s">
        <v>294</v>
      </c>
      <c r="Q6829" t="s">
        <v>4141</v>
      </c>
      <c r="R6829" t="s">
        <v>6720</v>
      </c>
      <c r="S6829" t="s">
        <v>961</v>
      </c>
      <c r="T6829" t="s">
        <v>962</v>
      </c>
    </row>
    <row r="6830" spans="1:20" x14ac:dyDescent="0.25">
      <c r="A6830" t="s">
        <v>44</v>
      </c>
      <c r="B6830" t="s">
        <v>3</v>
      </c>
      <c r="C6830" t="s">
        <v>32</v>
      </c>
      <c r="D6830" t="s">
        <v>953</v>
      </c>
      <c r="E6830" t="s">
        <v>1077</v>
      </c>
      <c r="F6830" t="s">
        <v>35</v>
      </c>
      <c r="G6830" t="s">
        <v>35</v>
      </c>
      <c r="H6830" t="s">
        <v>35</v>
      </c>
      <c r="J6830" t="s">
        <v>7669</v>
      </c>
      <c r="K6830" t="s">
        <v>1092</v>
      </c>
      <c r="M6830">
        <v>0.1</v>
      </c>
      <c r="N6830">
        <v>418</v>
      </c>
      <c r="O6830" t="s">
        <v>294</v>
      </c>
      <c r="Q6830" t="s">
        <v>7670</v>
      </c>
      <c r="R6830" t="s">
        <v>6720</v>
      </c>
      <c r="S6830" t="s">
        <v>961</v>
      </c>
      <c r="T6830" t="s">
        <v>962</v>
      </c>
    </row>
    <row r="6831" spans="1:20" x14ac:dyDescent="0.25">
      <c r="A6831" t="s">
        <v>44</v>
      </c>
      <c r="B6831" t="s">
        <v>3</v>
      </c>
      <c r="C6831" t="s">
        <v>32</v>
      </c>
      <c r="D6831" t="s">
        <v>953</v>
      </c>
      <c r="E6831" t="s">
        <v>1077</v>
      </c>
      <c r="F6831" t="s">
        <v>35</v>
      </c>
      <c r="G6831" t="s">
        <v>35</v>
      </c>
      <c r="H6831" t="s">
        <v>35</v>
      </c>
      <c r="J6831" t="s">
        <v>7669</v>
      </c>
      <c r="K6831" t="s">
        <v>1092</v>
      </c>
      <c r="M6831">
        <v>0.1</v>
      </c>
      <c r="N6831">
        <v>425</v>
      </c>
      <c r="O6831" t="s">
        <v>294</v>
      </c>
      <c r="Q6831" t="s">
        <v>1271</v>
      </c>
      <c r="R6831" t="s">
        <v>6720</v>
      </c>
      <c r="S6831" t="s">
        <v>961</v>
      </c>
      <c r="T6831" t="s">
        <v>962</v>
      </c>
    </row>
    <row r="6832" spans="1:20" x14ac:dyDescent="0.25">
      <c r="A6832" t="s">
        <v>44</v>
      </c>
      <c r="B6832" t="s">
        <v>3</v>
      </c>
      <c r="C6832" t="s">
        <v>32</v>
      </c>
      <c r="D6832" t="s">
        <v>953</v>
      </c>
      <c r="E6832" t="s">
        <v>1077</v>
      </c>
      <c r="F6832" t="s">
        <v>35</v>
      </c>
      <c r="G6832" t="s">
        <v>35</v>
      </c>
      <c r="H6832" t="s">
        <v>35</v>
      </c>
      <c r="J6832" t="s">
        <v>7669</v>
      </c>
      <c r="K6832" t="s">
        <v>1092</v>
      </c>
      <c r="M6832">
        <v>0.1</v>
      </c>
      <c r="N6832">
        <v>431</v>
      </c>
      <c r="O6832" t="s">
        <v>294</v>
      </c>
      <c r="Q6832" t="s">
        <v>1663</v>
      </c>
      <c r="R6832" t="s">
        <v>6720</v>
      </c>
      <c r="S6832" t="s">
        <v>961</v>
      </c>
      <c r="T6832" t="s">
        <v>962</v>
      </c>
    </row>
    <row r="6833" spans="1:20" x14ac:dyDescent="0.25">
      <c r="A6833" t="s">
        <v>59</v>
      </c>
      <c r="B6833" t="s">
        <v>31</v>
      </c>
      <c r="C6833" t="s">
        <v>32</v>
      </c>
      <c r="D6833" t="s">
        <v>953</v>
      </c>
      <c r="E6833" t="s">
        <v>1077</v>
      </c>
      <c r="F6833" t="s">
        <v>35</v>
      </c>
      <c r="G6833" t="s">
        <v>35</v>
      </c>
      <c r="H6833" t="s">
        <v>35</v>
      </c>
      <c r="J6833" t="s">
        <v>7669</v>
      </c>
      <c r="K6833" t="s">
        <v>1092</v>
      </c>
      <c r="M6833">
        <v>0.67500000000000004</v>
      </c>
      <c r="N6833">
        <v>42</v>
      </c>
      <c r="O6833" t="s">
        <v>52</v>
      </c>
      <c r="Q6833" t="s">
        <v>219</v>
      </c>
      <c r="R6833" t="s">
        <v>6720</v>
      </c>
      <c r="S6833" t="s">
        <v>961</v>
      </c>
      <c r="T6833" t="s">
        <v>962</v>
      </c>
    </row>
    <row r="6834" spans="1:20" x14ac:dyDescent="0.25">
      <c r="A6834" t="s">
        <v>44</v>
      </c>
      <c r="B6834" t="s">
        <v>3</v>
      </c>
      <c r="C6834" t="s">
        <v>32</v>
      </c>
      <c r="D6834" t="s">
        <v>953</v>
      </c>
      <c r="E6834" t="s">
        <v>1077</v>
      </c>
      <c r="F6834" t="s">
        <v>35</v>
      </c>
      <c r="G6834" t="s">
        <v>35</v>
      </c>
      <c r="H6834" t="s">
        <v>35</v>
      </c>
      <c r="J6834" t="s">
        <v>7669</v>
      </c>
      <c r="K6834" t="s">
        <v>1092</v>
      </c>
      <c r="M6834">
        <v>0.2</v>
      </c>
      <c r="N6834">
        <v>436</v>
      </c>
      <c r="O6834" t="s">
        <v>294</v>
      </c>
      <c r="Q6834" t="s">
        <v>3148</v>
      </c>
      <c r="R6834" t="s">
        <v>6720</v>
      </c>
      <c r="S6834" t="s">
        <v>961</v>
      </c>
      <c r="T6834" t="s">
        <v>962</v>
      </c>
    </row>
    <row r="6835" spans="1:20" x14ac:dyDescent="0.25">
      <c r="A6835" t="s">
        <v>30</v>
      </c>
      <c r="B6835" t="s">
        <v>31</v>
      </c>
      <c r="C6835" t="s">
        <v>32</v>
      </c>
      <c r="D6835" t="s">
        <v>953</v>
      </c>
      <c r="E6835" t="s">
        <v>1077</v>
      </c>
      <c r="F6835" t="s">
        <v>35</v>
      </c>
      <c r="G6835" t="s">
        <v>35</v>
      </c>
      <c r="H6835" t="s">
        <v>35</v>
      </c>
      <c r="J6835" t="s">
        <v>7669</v>
      </c>
      <c r="K6835" t="s">
        <v>1092</v>
      </c>
      <c r="M6835">
        <v>0.54</v>
      </c>
      <c r="N6835">
        <v>959</v>
      </c>
      <c r="O6835" t="s">
        <v>575</v>
      </c>
      <c r="Q6835" t="s">
        <v>7671</v>
      </c>
      <c r="R6835" t="s">
        <v>6720</v>
      </c>
      <c r="S6835" t="s">
        <v>961</v>
      </c>
      <c r="T6835" t="s">
        <v>962</v>
      </c>
    </row>
    <row r="6836" spans="1:20" x14ac:dyDescent="0.25">
      <c r="A6836" t="s">
        <v>59</v>
      </c>
      <c r="B6836" t="s">
        <v>60</v>
      </c>
      <c r="C6836" t="s">
        <v>32</v>
      </c>
      <c r="D6836" t="s">
        <v>953</v>
      </c>
      <c r="E6836" t="s">
        <v>954</v>
      </c>
      <c r="F6836" t="s">
        <v>35</v>
      </c>
      <c r="G6836" t="s">
        <v>35</v>
      </c>
      <c r="H6836" t="s">
        <v>35</v>
      </c>
      <c r="J6836" t="s">
        <v>6744</v>
      </c>
      <c r="K6836" t="s">
        <v>1092</v>
      </c>
      <c r="M6836">
        <v>0.2</v>
      </c>
      <c r="N6836">
        <v>32</v>
      </c>
      <c r="O6836" t="s">
        <v>52</v>
      </c>
      <c r="Q6836" t="s">
        <v>816</v>
      </c>
      <c r="R6836" t="s">
        <v>6720</v>
      </c>
      <c r="S6836" t="s">
        <v>961</v>
      </c>
      <c r="T6836" t="s">
        <v>962</v>
      </c>
    </row>
    <row r="6837" spans="1:20" x14ac:dyDescent="0.25">
      <c r="A6837" t="s">
        <v>59</v>
      </c>
      <c r="B6837" t="s">
        <v>60</v>
      </c>
      <c r="C6837" t="s">
        <v>32</v>
      </c>
      <c r="D6837" t="s">
        <v>953</v>
      </c>
      <c r="E6837" t="s">
        <v>954</v>
      </c>
      <c r="F6837" t="s">
        <v>35</v>
      </c>
      <c r="G6837" t="s">
        <v>35</v>
      </c>
      <c r="H6837" t="s">
        <v>35</v>
      </c>
      <c r="J6837" t="s">
        <v>6744</v>
      </c>
      <c r="K6837" t="s">
        <v>1092</v>
      </c>
      <c r="M6837">
        <v>0.1</v>
      </c>
      <c r="N6837">
        <v>53</v>
      </c>
      <c r="O6837" t="s">
        <v>52</v>
      </c>
      <c r="Q6837" t="s">
        <v>1734</v>
      </c>
      <c r="R6837" t="s">
        <v>6720</v>
      </c>
      <c r="S6837" t="s">
        <v>961</v>
      </c>
      <c r="T6837" t="s">
        <v>962</v>
      </c>
    </row>
    <row r="6838" spans="1:20" x14ac:dyDescent="0.25">
      <c r="A6838" t="s">
        <v>44</v>
      </c>
      <c r="B6838" t="s">
        <v>3</v>
      </c>
      <c r="C6838" t="s">
        <v>32</v>
      </c>
      <c r="D6838" t="s">
        <v>953</v>
      </c>
      <c r="E6838" t="s">
        <v>954</v>
      </c>
      <c r="F6838" t="s">
        <v>35</v>
      </c>
      <c r="G6838" t="s">
        <v>35</v>
      </c>
      <c r="H6838" t="s">
        <v>35</v>
      </c>
      <c r="J6838" t="s">
        <v>6821</v>
      </c>
      <c r="K6838" t="s">
        <v>1092</v>
      </c>
      <c r="M6838">
        <v>0.25</v>
      </c>
      <c r="N6838">
        <v>23</v>
      </c>
      <c r="O6838" t="s">
        <v>46</v>
      </c>
      <c r="Q6838" t="s">
        <v>793</v>
      </c>
      <c r="R6838" t="s">
        <v>6720</v>
      </c>
      <c r="S6838" t="s">
        <v>961</v>
      </c>
      <c r="T6838" t="s">
        <v>962</v>
      </c>
    </row>
    <row r="6839" spans="1:20" x14ac:dyDescent="0.25">
      <c r="A6839" t="s">
        <v>44</v>
      </c>
      <c r="B6839" t="s">
        <v>3</v>
      </c>
      <c r="C6839" t="s">
        <v>32</v>
      </c>
      <c r="D6839" t="s">
        <v>953</v>
      </c>
      <c r="E6839" t="s">
        <v>954</v>
      </c>
      <c r="F6839" t="s">
        <v>35</v>
      </c>
      <c r="G6839" t="s">
        <v>35</v>
      </c>
      <c r="H6839" t="s">
        <v>35</v>
      </c>
      <c r="J6839" t="s">
        <v>6821</v>
      </c>
      <c r="K6839" t="s">
        <v>1092</v>
      </c>
      <c r="M6839">
        <v>0.2</v>
      </c>
      <c r="N6839">
        <v>39</v>
      </c>
      <c r="O6839" t="s">
        <v>52</v>
      </c>
      <c r="Q6839" t="s">
        <v>493</v>
      </c>
      <c r="R6839" t="s">
        <v>6720</v>
      </c>
      <c r="S6839" t="s">
        <v>961</v>
      </c>
      <c r="T6839" t="s">
        <v>962</v>
      </c>
    </row>
    <row r="6840" spans="1:20" x14ac:dyDescent="0.25">
      <c r="A6840" t="s">
        <v>30</v>
      </c>
      <c r="B6840" t="s">
        <v>31</v>
      </c>
      <c r="C6840" t="s">
        <v>32</v>
      </c>
      <c r="D6840" t="s">
        <v>953</v>
      </c>
      <c r="E6840" t="s">
        <v>954</v>
      </c>
      <c r="F6840" t="s">
        <v>35</v>
      </c>
      <c r="G6840" t="s">
        <v>35</v>
      </c>
      <c r="H6840" t="s">
        <v>35</v>
      </c>
      <c r="J6840" t="s">
        <v>6821</v>
      </c>
      <c r="K6840" t="s">
        <v>1092</v>
      </c>
      <c r="M6840">
        <v>0.63</v>
      </c>
      <c r="N6840">
        <v>32</v>
      </c>
      <c r="O6840" t="s">
        <v>52</v>
      </c>
      <c r="Q6840" t="s">
        <v>816</v>
      </c>
      <c r="R6840" t="s">
        <v>6720</v>
      </c>
      <c r="S6840" t="s">
        <v>961</v>
      </c>
      <c r="T6840" t="s">
        <v>962</v>
      </c>
    </row>
    <row r="6841" spans="1:20" x14ac:dyDescent="0.25">
      <c r="A6841" t="s">
        <v>30</v>
      </c>
      <c r="B6841" t="s">
        <v>31</v>
      </c>
      <c r="C6841" t="s">
        <v>32</v>
      </c>
      <c r="D6841" t="s">
        <v>953</v>
      </c>
      <c r="E6841" t="s">
        <v>954</v>
      </c>
      <c r="F6841" t="s">
        <v>35</v>
      </c>
      <c r="G6841" t="s">
        <v>35</v>
      </c>
      <c r="H6841" t="s">
        <v>35</v>
      </c>
      <c r="J6841" t="s">
        <v>6821</v>
      </c>
      <c r="K6841" t="s">
        <v>1092</v>
      </c>
      <c r="M6841">
        <v>1.0349999999999999</v>
      </c>
      <c r="N6841">
        <v>37</v>
      </c>
      <c r="O6841" t="s">
        <v>52</v>
      </c>
      <c r="Q6841" t="s">
        <v>192</v>
      </c>
      <c r="R6841" t="s">
        <v>6720</v>
      </c>
      <c r="S6841" t="s">
        <v>961</v>
      </c>
      <c r="T6841" t="s">
        <v>962</v>
      </c>
    </row>
    <row r="6842" spans="1:20" x14ac:dyDescent="0.25">
      <c r="A6842" t="s">
        <v>59</v>
      </c>
      <c r="B6842" t="s">
        <v>31</v>
      </c>
      <c r="C6842" t="s">
        <v>32</v>
      </c>
      <c r="D6842" t="s">
        <v>953</v>
      </c>
      <c r="E6842" t="s">
        <v>954</v>
      </c>
      <c r="F6842" t="s">
        <v>35</v>
      </c>
      <c r="G6842" t="s">
        <v>35</v>
      </c>
      <c r="H6842" t="s">
        <v>35</v>
      </c>
      <c r="J6842" t="s">
        <v>6821</v>
      </c>
      <c r="K6842" t="s">
        <v>1092</v>
      </c>
      <c r="M6842">
        <v>0.67500000000000004</v>
      </c>
      <c r="N6842">
        <v>53</v>
      </c>
      <c r="O6842" t="s">
        <v>52</v>
      </c>
      <c r="Q6842" t="s">
        <v>1734</v>
      </c>
      <c r="R6842" t="s">
        <v>6720</v>
      </c>
      <c r="S6842" t="s">
        <v>961</v>
      </c>
      <c r="T6842" t="s">
        <v>962</v>
      </c>
    </row>
    <row r="6843" spans="1:20" x14ac:dyDescent="0.25">
      <c r="A6843" t="s">
        <v>59</v>
      </c>
      <c r="B6843" t="s">
        <v>31</v>
      </c>
      <c r="C6843" t="s">
        <v>32</v>
      </c>
      <c r="D6843" t="s">
        <v>953</v>
      </c>
      <c r="E6843" t="s">
        <v>954</v>
      </c>
      <c r="F6843" t="s">
        <v>35</v>
      </c>
      <c r="G6843" t="s">
        <v>35</v>
      </c>
      <c r="H6843" t="s">
        <v>35</v>
      </c>
      <c r="J6843" t="s">
        <v>6821</v>
      </c>
      <c r="K6843" t="s">
        <v>1092</v>
      </c>
      <c r="M6843">
        <v>0.22500000000000001</v>
      </c>
      <c r="N6843">
        <v>57</v>
      </c>
      <c r="O6843" t="s">
        <v>52</v>
      </c>
      <c r="Q6843" t="s">
        <v>381</v>
      </c>
      <c r="R6843" t="s">
        <v>6720</v>
      </c>
      <c r="S6843" t="s">
        <v>961</v>
      </c>
      <c r="T6843" t="s">
        <v>962</v>
      </c>
    </row>
    <row r="6844" spans="1:20" x14ac:dyDescent="0.25">
      <c r="A6844" t="s">
        <v>44</v>
      </c>
      <c r="B6844" t="s">
        <v>3</v>
      </c>
      <c r="C6844" t="s">
        <v>32</v>
      </c>
      <c r="D6844" t="s">
        <v>953</v>
      </c>
      <c r="E6844" t="s">
        <v>954</v>
      </c>
      <c r="F6844" t="s">
        <v>35</v>
      </c>
      <c r="G6844" t="s">
        <v>35</v>
      </c>
      <c r="H6844" t="s">
        <v>35</v>
      </c>
      <c r="J6844" t="s">
        <v>6821</v>
      </c>
      <c r="K6844" t="s">
        <v>1092</v>
      </c>
      <c r="M6844">
        <v>0.1</v>
      </c>
      <c r="N6844">
        <v>32</v>
      </c>
      <c r="O6844" t="s">
        <v>52</v>
      </c>
      <c r="Q6844" t="s">
        <v>816</v>
      </c>
      <c r="R6844" t="s">
        <v>6720</v>
      </c>
      <c r="S6844" t="s">
        <v>961</v>
      </c>
      <c r="T6844" t="s">
        <v>962</v>
      </c>
    </row>
    <row r="6845" spans="1:20" x14ac:dyDescent="0.25">
      <c r="A6845" t="s">
        <v>44</v>
      </c>
      <c r="B6845" t="s">
        <v>3</v>
      </c>
      <c r="C6845" t="s">
        <v>32</v>
      </c>
      <c r="D6845" t="s">
        <v>953</v>
      </c>
      <c r="E6845" t="s">
        <v>954</v>
      </c>
      <c r="F6845" t="s">
        <v>35</v>
      </c>
      <c r="G6845" t="s">
        <v>35</v>
      </c>
      <c r="H6845" t="s">
        <v>35</v>
      </c>
      <c r="J6845" t="s">
        <v>6821</v>
      </c>
      <c r="K6845" t="s">
        <v>1092</v>
      </c>
      <c r="M6845">
        <v>0.5</v>
      </c>
      <c r="N6845">
        <v>37</v>
      </c>
      <c r="O6845" t="s">
        <v>52</v>
      </c>
      <c r="Q6845" t="s">
        <v>192</v>
      </c>
      <c r="R6845" t="s">
        <v>6720</v>
      </c>
      <c r="S6845" t="s">
        <v>961</v>
      </c>
      <c r="T6845" t="s">
        <v>962</v>
      </c>
    </row>
    <row r="6846" spans="1:20" x14ac:dyDescent="0.25">
      <c r="A6846" t="s">
        <v>44</v>
      </c>
      <c r="B6846" t="s">
        <v>3</v>
      </c>
      <c r="C6846" t="s">
        <v>32</v>
      </c>
      <c r="D6846" t="s">
        <v>953</v>
      </c>
      <c r="E6846" t="s">
        <v>954</v>
      </c>
      <c r="F6846" t="s">
        <v>35</v>
      </c>
      <c r="G6846" t="s">
        <v>35</v>
      </c>
      <c r="H6846" t="s">
        <v>35</v>
      </c>
      <c r="J6846" t="s">
        <v>6821</v>
      </c>
      <c r="K6846" t="s">
        <v>1092</v>
      </c>
      <c r="M6846">
        <v>0.3</v>
      </c>
      <c r="N6846">
        <v>42</v>
      </c>
      <c r="O6846" t="s">
        <v>52</v>
      </c>
      <c r="Q6846" t="s">
        <v>219</v>
      </c>
      <c r="R6846" t="s">
        <v>6720</v>
      </c>
      <c r="S6846" t="s">
        <v>961</v>
      </c>
      <c r="T6846" t="s">
        <v>962</v>
      </c>
    </row>
    <row r="6847" spans="1:20" x14ac:dyDescent="0.25">
      <c r="A6847" t="s">
        <v>44</v>
      </c>
      <c r="B6847" t="s">
        <v>3</v>
      </c>
      <c r="C6847" t="s">
        <v>32</v>
      </c>
      <c r="D6847" t="s">
        <v>953</v>
      </c>
      <c r="E6847" t="s">
        <v>954</v>
      </c>
      <c r="F6847" t="s">
        <v>35</v>
      </c>
      <c r="G6847" t="s">
        <v>35</v>
      </c>
      <c r="H6847" t="s">
        <v>35</v>
      </c>
      <c r="J6847" t="s">
        <v>6821</v>
      </c>
      <c r="K6847" t="s">
        <v>1092</v>
      </c>
      <c r="M6847">
        <v>0.45</v>
      </c>
      <c r="N6847">
        <v>45</v>
      </c>
      <c r="O6847" t="s">
        <v>52</v>
      </c>
      <c r="Q6847" t="s">
        <v>1230</v>
      </c>
      <c r="R6847" t="s">
        <v>6720</v>
      </c>
      <c r="S6847" t="s">
        <v>961</v>
      </c>
      <c r="T6847" t="s">
        <v>962</v>
      </c>
    </row>
    <row r="6848" spans="1:20" x14ac:dyDescent="0.25">
      <c r="A6848" t="s">
        <v>44</v>
      </c>
      <c r="B6848" t="s">
        <v>3</v>
      </c>
      <c r="C6848" t="s">
        <v>32</v>
      </c>
      <c r="D6848" t="s">
        <v>953</v>
      </c>
      <c r="E6848" t="s">
        <v>954</v>
      </c>
      <c r="F6848" t="s">
        <v>35</v>
      </c>
      <c r="G6848" t="s">
        <v>35</v>
      </c>
      <c r="H6848" t="s">
        <v>35</v>
      </c>
      <c r="J6848" t="s">
        <v>6821</v>
      </c>
      <c r="K6848" t="s">
        <v>1092</v>
      </c>
      <c r="M6848">
        <v>0.15</v>
      </c>
      <c r="N6848">
        <v>49</v>
      </c>
      <c r="O6848" t="s">
        <v>52</v>
      </c>
      <c r="Q6848" t="s">
        <v>453</v>
      </c>
      <c r="R6848" t="s">
        <v>6720</v>
      </c>
      <c r="S6848" t="s">
        <v>961</v>
      </c>
      <c r="T6848" t="s">
        <v>962</v>
      </c>
    </row>
    <row r="6849" spans="1:20" x14ac:dyDescent="0.25">
      <c r="A6849" t="s">
        <v>44</v>
      </c>
      <c r="B6849" t="s">
        <v>3</v>
      </c>
      <c r="C6849" t="s">
        <v>32</v>
      </c>
      <c r="D6849" t="s">
        <v>953</v>
      </c>
      <c r="E6849" t="s">
        <v>954</v>
      </c>
      <c r="F6849" t="s">
        <v>35</v>
      </c>
      <c r="G6849" t="s">
        <v>35</v>
      </c>
      <c r="H6849" t="s">
        <v>35</v>
      </c>
      <c r="J6849" t="s">
        <v>6821</v>
      </c>
      <c r="K6849" t="s">
        <v>1092</v>
      </c>
      <c r="M6849">
        <v>0.05</v>
      </c>
      <c r="N6849">
        <v>51</v>
      </c>
      <c r="O6849" t="s">
        <v>52</v>
      </c>
      <c r="Q6849" t="s">
        <v>58</v>
      </c>
      <c r="R6849" t="s">
        <v>6720</v>
      </c>
      <c r="S6849" t="s">
        <v>961</v>
      </c>
      <c r="T6849" t="s">
        <v>962</v>
      </c>
    </row>
    <row r="6850" spans="1:20" x14ac:dyDescent="0.25">
      <c r="A6850" t="s">
        <v>44</v>
      </c>
      <c r="B6850" t="s">
        <v>51</v>
      </c>
      <c r="C6850" t="s">
        <v>32</v>
      </c>
      <c r="D6850" t="s">
        <v>953</v>
      </c>
      <c r="E6850" t="s">
        <v>954</v>
      </c>
      <c r="F6850" t="s">
        <v>35</v>
      </c>
      <c r="G6850" t="s">
        <v>35</v>
      </c>
      <c r="H6850" t="s">
        <v>35</v>
      </c>
      <c r="J6850" t="s">
        <v>6821</v>
      </c>
      <c r="K6850" t="s">
        <v>1092</v>
      </c>
      <c r="M6850">
        <v>0.05</v>
      </c>
      <c r="N6850">
        <v>190</v>
      </c>
      <c r="O6850" t="s">
        <v>5</v>
      </c>
      <c r="Q6850" t="s">
        <v>6822</v>
      </c>
      <c r="R6850" t="s">
        <v>6720</v>
      </c>
      <c r="S6850" t="s">
        <v>961</v>
      </c>
      <c r="T6850" t="s">
        <v>962</v>
      </c>
    </row>
    <row r="6851" spans="1:20" x14ac:dyDescent="0.25">
      <c r="A6851" t="s">
        <v>30</v>
      </c>
      <c r="B6851" t="s">
        <v>31</v>
      </c>
      <c r="C6851" t="s">
        <v>32</v>
      </c>
      <c r="D6851" t="s">
        <v>953</v>
      </c>
      <c r="E6851" t="s">
        <v>954</v>
      </c>
      <c r="F6851" t="s">
        <v>35</v>
      </c>
      <c r="G6851" t="s">
        <v>35</v>
      </c>
      <c r="H6851" t="s">
        <v>35</v>
      </c>
      <c r="J6851" t="s">
        <v>6821</v>
      </c>
      <c r="K6851" t="s">
        <v>1092</v>
      </c>
      <c r="M6851">
        <v>0.58499999999999996</v>
      </c>
      <c r="N6851">
        <v>23</v>
      </c>
      <c r="O6851" t="s">
        <v>46</v>
      </c>
      <c r="Q6851" t="s">
        <v>793</v>
      </c>
      <c r="R6851" t="s">
        <v>6720</v>
      </c>
      <c r="S6851" t="s">
        <v>961</v>
      </c>
      <c r="T6851" t="s">
        <v>962</v>
      </c>
    </row>
    <row r="6852" spans="1:20" x14ac:dyDescent="0.25">
      <c r="A6852" t="s">
        <v>44</v>
      </c>
      <c r="B6852" t="s">
        <v>3</v>
      </c>
      <c r="C6852" t="s">
        <v>32</v>
      </c>
      <c r="D6852" t="s">
        <v>953</v>
      </c>
      <c r="E6852" t="s">
        <v>954</v>
      </c>
      <c r="F6852" t="s">
        <v>35</v>
      </c>
      <c r="G6852" t="s">
        <v>35</v>
      </c>
      <c r="H6852" t="s">
        <v>35</v>
      </c>
      <c r="J6852" t="s">
        <v>6821</v>
      </c>
      <c r="K6852" t="s">
        <v>1092</v>
      </c>
      <c r="M6852">
        <v>0.15</v>
      </c>
      <c r="N6852">
        <v>30</v>
      </c>
      <c r="O6852" t="s">
        <v>46</v>
      </c>
      <c r="Q6852" t="s">
        <v>3499</v>
      </c>
      <c r="R6852" t="s">
        <v>6720</v>
      </c>
      <c r="S6852" t="s">
        <v>961</v>
      </c>
      <c r="T6852" t="s">
        <v>962</v>
      </c>
    </row>
    <row r="6853" spans="1:20" x14ac:dyDescent="0.25">
      <c r="A6853" t="s">
        <v>44</v>
      </c>
      <c r="B6853" t="s">
        <v>3</v>
      </c>
      <c r="C6853" t="s">
        <v>32</v>
      </c>
      <c r="D6853" t="s">
        <v>953</v>
      </c>
      <c r="E6853" t="s">
        <v>954</v>
      </c>
      <c r="F6853" t="s">
        <v>35</v>
      </c>
      <c r="G6853" t="s">
        <v>35</v>
      </c>
      <c r="H6853" t="s">
        <v>35</v>
      </c>
      <c r="J6853" t="s">
        <v>6821</v>
      </c>
      <c r="K6853" t="s">
        <v>1092</v>
      </c>
      <c r="M6853">
        <v>0.1</v>
      </c>
      <c r="N6853">
        <v>20</v>
      </c>
      <c r="O6853" t="s">
        <v>46</v>
      </c>
      <c r="Q6853" t="s">
        <v>1011</v>
      </c>
      <c r="R6853" t="s">
        <v>6720</v>
      </c>
      <c r="S6853" t="s">
        <v>961</v>
      </c>
      <c r="T6853" t="s">
        <v>962</v>
      </c>
    </row>
    <row r="6854" spans="1:20" x14ac:dyDescent="0.25">
      <c r="A6854" t="s">
        <v>44</v>
      </c>
      <c r="B6854" t="s">
        <v>51</v>
      </c>
      <c r="C6854" t="s">
        <v>32</v>
      </c>
      <c r="D6854" t="s">
        <v>953</v>
      </c>
      <c r="E6854" t="s">
        <v>954</v>
      </c>
      <c r="F6854" t="s">
        <v>35</v>
      </c>
      <c r="G6854" t="s">
        <v>35</v>
      </c>
      <c r="H6854" t="s">
        <v>35</v>
      </c>
      <c r="J6854" t="s">
        <v>6821</v>
      </c>
      <c r="K6854" t="s">
        <v>1092</v>
      </c>
      <c r="M6854">
        <v>0.1</v>
      </c>
      <c r="N6854">
        <v>23</v>
      </c>
      <c r="O6854" t="s">
        <v>46</v>
      </c>
      <c r="Q6854" t="s">
        <v>793</v>
      </c>
      <c r="R6854" t="s">
        <v>6720</v>
      </c>
      <c r="S6854" t="s">
        <v>961</v>
      </c>
      <c r="T6854" t="s">
        <v>962</v>
      </c>
    </row>
    <row r="6855" spans="1:20" x14ac:dyDescent="0.25">
      <c r="A6855" t="s">
        <v>59</v>
      </c>
      <c r="B6855" t="s">
        <v>60</v>
      </c>
      <c r="C6855" t="s">
        <v>32</v>
      </c>
      <c r="D6855" t="s">
        <v>953</v>
      </c>
      <c r="E6855" t="s">
        <v>1007</v>
      </c>
      <c r="F6855" t="s">
        <v>35</v>
      </c>
      <c r="G6855" t="s">
        <v>35</v>
      </c>
      <c r="H6855" t="s">
        <v>35</v>
      </c>
      <c r="J6855" t="s">
        <v>7314</v>
      </c>
      <c r="K6855" t="s">
        <v>1092</v>
      </c>
      <c r="M6855">
        <v>1.6</v>
      </c>
      <c r="N6855">
        <v>53</v>
      </c>
      <c r="O6855" t="s">
        <v>52</v>
      </c>
      <c r="Q6855" t="s">
        <v>1734</v>
      </c>
      <c r="R6855" t="s">
        <v>6720</v>
      </c>
      <c r="S6855" t="s">
        <v>961</v>
      </c>
      <c r="T6855" t="s">
        <v>962</v>
      </c>
    </row>
    <row r="6856" spans="1:20" x14ac:dyDescent="0.25">
      <c r="A6856" t="s">
        <v>30</v>
      </c>
      <c r="B6856" t="s">
        <v>31</v>
      </c>
      <c r="C6856" t="s">
        <v>32</v>
      </c>
      <c r="D6856" t="s">
        <v>953</v>
      </c>
      <c r="E6856" t="s">
        <v>954</v>
      </c>
      <c r="F6856" t="s">
        <v>35</v>
      </c>
      <c r="G6856" t="s">
        <v>35</v>
      </c>
      <c r="H6856" t="s">
        <v>35</v>
      </c>
      <c r="J6856" t="s">
        <v>6736</v>
      </c>
      <c r="K6856" t="s">
        <v>1092</v>
      </c>
      <c r="M6856">
        <v>0.40500000000000003</v>
      </c>
      <c r="N6856">
        <v>23</v>
      </c>
      <c r="O6856" t="s">
        <v>46</v>
      </c>
      <c r="Q6856" t="s">
        <v>793</v>
      </c>
      <c r="R6856" t="s">
        <v>6720</v>
      </c>
      <c r="S6856" t="s">
        <v>961</v>
      </c>
      <c r="T6856" t="s">
        <v>962</v>
      </c>
    </row>
    <row r="6857" spans="1:20" x14ac:dyDescent="0.25">
      <c r="A6857" t="s">
        <v>44</v>
      </c>
      <c r="B6857" t="s">
        <v>3</v>
      </c>
      <c r="C6857" t="s">
        <v>32</v>
      </c>
      <c r="D6857" t="s">
        <v>953</v>
      </c>
      <c r="E6857" t="s">
        <v>954</v>
      </c>
      <c r="F6857" t="s">
        <v>35</v>
      </c>
      <c r="G6857" t="s">
        <v>35</v>
      </c>
      <c r="H6857" t="s">
        <v>35</v>
      </c>
      <c r="J6857" t="s">
        <v>6736</v>
      </c>
      <c r="K6857" t="s">
        <v>1092</v>
      </c>
      <c r="M6857">
        <v>0.3</v>
      </c>
      <c r="N6857">
        <v>23</v>
      </c>
      <c r="O6857" t="s">
        <v>46</v>
      </c>
      <c r="Q6857" t="s">
        <v>793</v>
      </c>
      <c r="R6857" t="s">
        <v>6720</v>
      </c>
      <c r="S6857" t="s">
        <v>961</v>
      </c>
      <c r="T6857" t="s">
        <v>962</v>
      </c>
    </row>
    <row r="6858" spans="1:20" x14ac:dyDescent="0.25">
      <c r="A6858" t="s">
        <v>44</v>
      </c>
      <c r="B6858" t="s">
        <v>3</v>
      </c>
      <c r="C6858" t="s">
        <v>32</v>
      </c>
      <c r="D6858" t="s">
        <v>953</v>
      </c>
      <c r="E6858" t="s">
        <v>954</v>
      </c>
      <c r="F6858" t="s">
        <v>35</v>
      </c>
      <c r="G6858" t="s">
        <v>35</v>
      </c>
      <c r="H6858" t="s">
        <v>35</v>
      </c>
      <c r="J6858" t="s">
        <v>6859</v>
      </c>
      <c r="K6858" t="s">
        <v>1092</v>
      </c>
      <c r="M6858">
        <v>0.25</v>
      </c>
      <c r="N6858">
        <v>22</v>
      </c>
      <c r="O6858" t="s">
        <v>46</v>
      </c>
      <c r="Q6858" t="s">
        <v>1645</v>
      </c>
      <c r="R6858" t="s">
        <v>6720</v>
      </c>
      <c r="S6858" t="s">
        <v>961</v>
      </c>
      <c r="T6858" t="s">
        <v>962</v>
      </c>
    </row>
    <row r="6859" spans="1:20" x14ac:dyDescent="0.25">
      <c r="A6859" t="s">
        <v>44</v>
      </c>
      <c r="B6859" t="s">
        <v>3</v>
      </c>
      <c r="C6859" t="s">
        <v>32</v>
      </c>
      <c r="D6859" t="s">
        <v>953</v>
      </c>
      <c r="E6859" t="s">
        <v>954</v>
      </c>
      <c r="F6859" t="s">
        <v>35</v>
      </c>
      <c r="G6859" t="s">
        <v>35</v>
      </c>
      <c r="H6859" t="s">
        <v>35</v>
      </c>
      <c r="J6859" t="s">
        <v>6859</v>
      </c>
      <c r="K6859" t="s">
        <v>1092</v>
      </c>
      <c r="M6859">
        <v>0.2</v>
      </c>
      <c r="N6859">
        <v>39</v>
      </c>
      <c r="O6859" t="s">
        <v>52</v>
      </c>
      <c r="Q6859" t="s">
        <v>493</v>
      </c>
      <c r="R6859" t="s">
        <v>6720</v>
      </c>
      <c r="S6859" t="s">
        <v>961</v>
      </c>
      <c r="T6859" t="s">
        <v>962</v>
      </c>
    </row>
    <row r="6860" spans="1:20" x14ac:dyDescent="0.25">
      <c r="A6860" t="s">
        <v>59</v>
      </c>
      <c r="B6860" t="s">
        <v>60</v>
      </c>
      <c r="C6860" t="s">
        <v>32</v>
      </c>
      <c r="D6860" t="s">
        <v>953</v>
      </c>
      <c r="E6860" t="s">
        <v>954</v>
      </c>
      <c r="F6860" t="s">
        <v>35</v>
      </c>
      <c r="G6860" t="s">
        <v>35</v>
      </c>
      <c r="H6860" t="s">
        <v>35</v>
      </c>
      <c r="J6860" t="s">
        <v>6859</v>
      </c>
      <c r="K6860" t="s">
        <v>1092</v>
      </c>
      <c r="M6860">
        <v>0.25</v>
      </c>
      <c r="N6860">
        <v>39</v>
      </c>
      <c r="O6860" t="s">
        <v>52</v>
      </c>
      <c r="Q6860" t="s">
        <v>493</v>
      </c>
      <c r="R6860" t="s">
        <v>6720</v>
      </c>
      <c r="S6860" t="s">
        <v>961</v>
      </c>
      <c r="T6860" t="s">
        <v>962</v>
      </c>
    </row>
    <row r="6861" spans="1:20" x14ac:dyDescent="0.25">
      <c r="A6861" t="s">
        <v>44</v>
      </c>
      <c r="B6861" t="s">
        <v>3</v>
      </c>
      <c r="C6861" t="s">
        <v>32</v>
      </c>
      <c r="D6861" t="s">
        <v>953</v>
      </c>
      <c r="E6861" t="s">
        <v>954</v>
      </c>
      <c r="F6861" t="s">
        <v>35</v>
      </c>
      <c r="G6861" t="s">
        <v>35</v>
      </c>
      <c r="H6861" t="s">
        <v>35</v>
      </c>
      <c r="J6861" t="s">
        <v>6859</v>
      </c>
      <c r="K6861" t="s">
        <v>1092</v>
      </c>
      <c r="M6861">
        <v>0.1</v>
      </c>
      <c r="N6861">
        <v>37</v>
      </c>
      <c r="O6861" t="s">
        <v>52</v>
      </c>
      <c r="Q6861" t="s">
        <v>192</v>
      </c>
      <c r="R6861" t="s">
        <v>6720</v>
      </c>
      <c r="S6861" t="s">
        <v>961</v>
      </c>
      <c r="T6861" t="s">
        <v>962</v>
      </c>
    </row>
    <row r="6862" spans="1:20" x14ac:dyDescent="0.25">
      <c r="A6862" t="s">
        <v>59</v>
      </c>
      <c r="B6862" t="s">
        <v>60</v>
      </c>
      <c r="C6862" t="s">
        <v>32</v>
      </c>
      <c r="D6862" t="s">
        <v>953</v>
      </c>
      <c r="E6862" t="s">
        <v>954</v>
      </c>
      <c r="F6862" t="s">
        <v>35</v>
      </c>
      <c r="G6862" t="s">
        <v>35</v>
      </c>
      <c r="H6862" t="s">
        <v>35</v>
      </c>
      <c r="J6862" t="s">
        <v>6859</v>
      </c>
      <c r="K6862" t="s">
        <v>1092</v>
      </c>
      <c r="M6862">
        <v>0.25</v>
      </c>
      <c r="N6862">
        <v>45</v>
      </c>
      <c r="O6862" t="s">
        <v>52</v>
      </c>
      <c r="Q6862" t="s">
        <v>1230</v>
      </c>
      <c r="R6862" t="s">
        <v>6720</v>
      </c>
      <c r="S6862" t="s">
        <v>961</v>
      </c>
      <c r="T6862" t="s">
        <v>962</v>
      </c>
    </row>
    <row r="6863" spans="1:20" x14ac:dyDescent="0.25">
      <c r="A6863" t="s">
        <v>30</v>
      </c>
      <c r="B6863" t="s">
        <v>31</v>
      </c>
      <c r="C6863" t="s">
        <v>32</v>
      </c>
      <c r="D6863" t="s">
        <v>953</v>
      </c>
      <c r="E6863" t="s">
        <v>954</v>
      </c>
      <c r="F6863" t="s">
        <v>35</v>
      </c>
      <c r="G6863" t="s">
        <v>35</v>
      </c>
      <c r="H6863" t="s">
        <v>35</v>
      </c>
      <c r="J6863" t="s">
        <v>6859</v>
      </c>
      <c r="K6863" t="s">
        <v>1092</v>
      </c>
      <c r="M6863">
        <v>0.45</v>
      </c>
      <c r="N6863">
        <v>23</v>
      </c>
      <c r="O6863" t="s">
        <v>46</v>
      </c>
      <c r="Q6863" t="s">
        <v>793</v>
      </c>
      <c r="R6863" t="s">
        <v>6720</v>
      </c>
      <c r="S6863" t="s">
        <v>961</v>
      </c>
      <c r="T6863" t="s">
        <v>962</v>
      </c>
    </row>
    <row r="6864" spans="1:20" x14ac:dyDescent="0.25">
      <c r="A6864" t="s">
        <v>30</v>
      </c>
      <c r="B6864" t="s">
        <v>31</v>
      </c>
      <c r="C6864" t="s">
        <v>32</v>
      </c>
      <c r="D6864" t="s">
        <v>953</v>
      </c>
      <c r="E6864" t="s">
        <v>954</v>
      </c>
      <c r="F6864" t="s">
        <v>35</v>
      </c>
      <c r="G6864" t="s">
        <v>35</v>
      </c>
      <c r="H6864" t="s">
        <v>35</v>
      </c>
      <c r="J6864" t="s">
        <v>6859</v>
      </c>
      <c r="K6864" t="s">
        <v>1092</v>
      </c>
      <c r="M6864">
        <v>0.9</v>
      </c>
      <c r="N6864">
        <v>37</v>
      </c>
      <c r="O6864" t="s">
        <v>52</v>
      </c>
      <c r="Q6864" t="s">
        <v>192</v>
      </c>
      <c r="R6864" t="s">
        <v>6720</v>
      </c>
      <c r="S6864" t="s">
        <v>961</v>
      </c>
      <c r="T6864" t="s">
        <v>962</v>
      </c>
    </row>
    <row r="6865" spans="1:20" x14ac:dyDescent="0.25">
      <c r="A6865" t="s">
        <v>59</v>
      </c>
      <c r="B6865" t="s">
        <v>60</v>
      </c>
      <c r="C6865" t="s">
        <v>32</v>
      </c>
      <c r="D6865" t="s">
        <v>953</v>
      </c>
      <c r="E6865" t="s">
        <v>954</v>
      </c>
      <c r="F6865" t="s">
        <v>35</v>
      </c>
      <c r="G6865" t="s">
        <v>35</v>
      </c>
      <c r="H6865" t="s">
        <v>35</v>
      </c>
      <c r="J6865" t="s">
        <v>6859</v>
      </c>
      <c r="K6865" t="s">
        <v>1092</v>
      </c>
      <c r="M6865">
        <v>0.25</v>
      </c>
      <c r="N6865">
        <v>30</v>
      </c>
      <c r="O6865" t="s">
        <v>46</v>
      </c>
      <c r="Q6865" t="s">
        <v>3499</v>
      </c>
      <c r="R6865" t="s">
        <v>6720</v>
      </c>
      <c r="S6865" t="s">
        <v>961</v>
      </c>
      <c r="T6865" t="s">
        <v>962</v>
      </c>
    </row>
    <row r="6866" spans="1:20" x14ac:dyDescent="0.25">
      <c r="A6866" t="s">
        <v>44</v>
      </c>
      <c r="B6866" t="s">
        <v>3</v>
      </c>
      <c r="C6866" t="s">
        <v>32</v>
      </c>
      <c r="D6866" t="s">
        <v>953</v>
      </c>
      <c r="E6866" t="s">
        <v>954</v>
      </c>
      <c r="F6866" t="s">
        <v>35</v>
      </c>
      <c r="G6866" t="s">
        <v>35</v>
      </c>
      <c r="H6866" t="s">
        <v>35</v>
      </c>
      <c r="J6866" t="s">
        <v>6859</v>
      </c>
      <c r="K6866" t="s">
        <v>1092</v>
      </c>
      <c r="M6866">
        <v>0.25</v>
      </c>
      <c r="N6866">
        <v>30</v>
      </c>
      <c r="O6866" t="s">
        <v>46</v>
      </c>
      <c r="Q6866" t="s">
        <v>3499</v>
      </c>
      <c r="R6866" t="s">
        <v>6720</v>
      </c>
      <c r="S6866" t="s">
        <v>961</v>
      </c>
      <c r="T6866" t="s">
        <v>962</v>
      </c>
    </row>
    <row r="6867" spans="1:20" x14ac:dyDescent="0.25">
      <c r="A6867" t="s">
        <v>30</v>
      </c>
      <c r="B6867" t="s">
        <v>31</v>
      </c>
      <c r="C6867" t="s">
        <v>32</v>
      </c>
      <c r="D6867" t="s">
        <v>953</v>
      </c>
      <c r="E6867" t="s">
        <v>954</v>
      </c>
      <c r="F6867" t="s">
        <v>35</v>
      </c>
      <c r="G6867" t="s">
        <v>35</v>
      </c>
      <c r="H6867" t="s">
        <v>35</v>
      </c>
      <c r="J6867" t="s">
        <v>6859</v>
      </c>
      <c r="K6867" t="s">
        <v>1092</v>
      </c>
      <c r="M6867">
        <v>0.45</v>
      </c>
      <c r="N6867">
        <v>30</v>
      </c>
      <c r="O6867" t="s">
        <v>46</v>
      </c>
      <c r="Q6867" t="s">
        <v>3499</v>
      </c>
      <c r="R6867" t="s">
        <v>6720</v>
      </c>
      <c r="S6867" t="s">
        <v>961</v>
      </c>
      <c r="T6867" t="s">
        <v>962</v>
      </c>
    </row>
    <row r="6868" spans="1:20" x14ac:dyDescent="0.25">
      <c r="A6868" t="s">
        <v>44</v>
      </c>
      <c r="B6868" t="s">
        <v>3</v>
      </c>
      <c r="C6868" t="s">
        <v>32</v>
      </c>
      <c r="D6868" t="s">
        <v>953</v>
      </c>
      <c r="E6868" t="s">
        <v>954</v>
      </c>
      <c r="F6868" t="s">
        <v>35</v>
      </c>
      <c r="G6868" t="s">
        <v>35</v>
      </c>
      <c r="H6868" t="s">
        <v>35</v>
      </c>
      <c r="J6868" t="s">
        <v>6737</v>
      </c>
      <c r="K6868" t="s">
        <v>1092</v>
      </c>
      <c r="M6868">
        <v>0.25</v>
      </c>
      <c r="N6868">
        <v>57</v>
      </c>
      <c r="O6868" t="s">
        <v>52</v>
      </c>
      <c r="Q6868" t="s">
        <v>381</v>
      </c>
      <c r="R6868" t="s">
        <v>6720</v>
      </c>
      <c r="S6868" t="s">
        <v>961</v>
      </c>
      <c r="T6868" t="s">
        <v>962</v>
      </c>
    </row>
    <row r="6869" spans="1:20" x14ac:dyDescent="0.25">
      <c r="A6869" t="s">
        <v>44</v>
      </c>
      <c r="B6869" t="s">
        <v>3</v>
      </c>
      <c r="C6869" t="s">
        <v>32</v>
      </c>
      <c r="D6869" t="s">
        <v>953</v>
      </c>
      <c r="E6869" t="s">
        <v>954</v>
      </c>
      <c r="F6869" t="s">
        <v>35</v>
      </c>
      <c r="G6869" t="s">
        <v>35</v>
      </c>
      <c r="H6869" t="s">
        <v>35</v>
      </c>
      <c r="J6869" t="s">
        <v>6737</v>
      </c>
      <c r="K6869" t="s">
        <v>1092</v>
      </c>
      <c r="M6869">
        <v>0.25</v>
      </c>
      <c r="N6869">
        <v>58</v>
      </c>
      <c r="O6869" t="s">
        <v>52</v>
      </c>
      <c r="Q6869" t="s">
        <v>128</v>
      </c>
      <c r="R6869" t="s">
        <v>6720</v>
      </c>
      <c r="S6869" t="s">
        <v>961</v>
      </c>
      <c r="T6869" t="s">
        <v>962</v>
      </c>
    </row>
    <row r="6870" spans="1:20" x14ac:dyDescent="0.25">
      <c r="A6870" t="s">
        <v>59</v>
      </c>
      <c r="B6870" t="s">
        <v>60</v>
      </c>
      <c r="C6870" t="s">
        <v>32</v>
      </c>
      <c r="D6870" t="s">
        <v>953</v>
      </c>
      <c r="E6870" t="s">
        <v>954</v>
      </c>
      <c r="F6870" t="s">
        <v>35</v>
      </c>
      <c r="G6870" t="s">
        <v>35</v>
      </c>
      <c r="H6870" t="s">
        <v>35</v>
      </c>
      <c r="J6870" t="s">
        <v>6737</v>
      </c>
      <c r="K6870" t="s">
        <v>1092</v>
      </c>
      <c r="M6870">
        <v>0.05</v>
      </c>
      <c r="N6870">
        <v>23</v>
      </c>
      <c r="O6870" t="s">
        <v>46</v>
      </c>
      <c r="Q6870" t="s">
        <v>793</v>
      </c>
      <c r="R6870" t="s">
        <v>6720</v>
      </c>
      <c r="S6870" t="s">
        <v>961</v>
      </c>
      <c r="T6870" t="s">
        <v>962</v>
      </c>
    </row>
    <row r="6871" spans="1:20" x14ac:dyDescent="0.25">
      <c r="A6871" t="s">
        <v>44</v>
      </c>
      <c r="B6871" t="s">
        <v>3</v>
      </c>
      <c r="C6871" t="s">
        <v>32</v>
      </c>
      <c r="D6871" t="s">
        <v>953</v>
      </c>
      <c r="E6871" t="s">
        <v>954</v>
      </c>
      <c r="F6871" t="s">
        <v>35</v>
      </c>
      <c r="G6871" t="s">
        <v>35</v>
      </c>
      <c r="H6871" t="s">
        <v>35</v>
      </c>
      <c r="J6871" t="s">
        <v>6737</v>
      </c>
      <c r="K6871" t="s">
        <v>1092</v>
      </c>
      <c r="M6871">
        <v>2.5</v>
      </c>
      <c r="N6871">
        <v>32</v>
      </c>
      <c r="O6871" t="s">
        <v>52</v>
      </c>
      <c r="Q6871" t="s">
        <v>816</v>
      </c>
      <c r="R6871" t="s">
        <v>6720</v>
      </c>
      <c r="S6871" t="s">
        <v>961</v>
      </c>
      <c r="T6871" t="s">
        <v>962</v>
      </c>
    </row>
    <row r="6872" spans="1:20" x14ac:dyDescent="0.25">
      <c r="A6872" t="s">
        <v>44</v>
      </c>
      <c r="B6872" t="s">
        <v>3</v>
      </c>
      <c r="C6872" t="s">
        <v>32</v>
      </c>
      <c r="D6872" t="s">
        <v>953</v>
      </c>
      <c r="E6872" t="s">
        <v>954</v>
      </c>
      <c r="F6872" t="s">
        <v>35</v>
      </c>
      <c r="G6872" t="s">
        <v>35</v>
      </c>
      <c r="H6872" t="s">
        <v>35</v>
      </c>
      <c r="J6872" t="s">
        <v>6737</v>
      </c>
      <c r="K6872" t="s">
        <v>1092</v>
      </c>
      <c r="M6872">
        <v>0.75</v>
      </c>
      <c r="N6872">
        <v>42</v>
      </c>
      <c r="O6872" t="s">
        <v>52</v>
      </c>
      <c r="Q6872" t="s">
        <v>219</v>
      </c>
      <c r="R6872" t="s">
        <v>6720</v>
      </c>
      <c r="S6872" t="s">
        <v>961</v>
      </c>
      <c r="T6872" t="s">
        <v>962</v>
      </c>
    </row>
    <row r="6873" spans="1:20" x14ac:dyDescent="0.25">
      <c r="A6873" t="s">
        <v>44</v>
      </c>
      <c r="B6873" t="s">
        <v>3</v>
      </c>
      <c r="C6873" t="s">
        <v>32</v>
      </c>
      <c r="D6873" t="s">
        <v>953</v>
      </c>
      <c r="E6873" t="s">
        <v>954</v>
      </c>
      <c r="F6873" t="s">
        <v>35</v>
      </c>
      <c r="G6873" t="s">
        <v>35</v>
      </c>
      <c r="H6873" t="s">
        <v>35</v>
      </c>
      <c r="J6873" t="s">
        <v>6737</v>
      </c>
      <c r="K6873" t="s">
        <v>1092</v>
      </c>
      <c r="M6873">
        <v>0.25</v>
      </c>
      <c r="N6873">
        <v>45</v>
      </c>
      <c r="O6873" t="s">
        <v>52</v>
      </c>
      <c r="Q6873" t="s">
        <v>1230</v>
      </c>
      <c r="R6873" t="s">
        <v>6720</v>
      </c>
      <c r="S6873" t="s">
        <v>961</v>
      </c>
      <c r="T6873" t="s">
        <v>962</v>
      </c>
    </row>
    <row r="6874" spans="1:20" x14ac:dyDescent="0.25">
      <c r="A6874" t="s">
        <v>44</v>
      </c>
      <c r="B6874" t="s">
        <v>3</v>
      </c>
      <c r="C6874" t="s">
        <v>32</v>
      </c>
      <c r="D6874" t="s">
        <v>953</v>
      </c>
      <c r="E6874" t="s">
        <v>954</v>
      </c>
      <c r="F6874" t="s">
        <v>35</v>
      </c>
      <c r="G6874" t="s">
        <v>35</v>
      </c>
      <c r="H6874" t="s">
        <v>35</v>
      </c>
      <c r="J6874" t="s">
        <v>6737</v>
      </c>
      <c r="K6874" t="s">
        <v>1092</v>
      </c>
      <c r="M6874">
        <v>0.25</v>
      </c>
      <c r="N6874">
        <v>49</v>
      </c>
      <c r="O6874" t="s">
        <v>52</v>
      </c>
      <c r="Q6874" t="s">
        <v>453</v>
      </c>
      <c r="R6874" t="s">
        <v>6720</v>
      </c>
      <c r="S6874" t="s">
        <v>961</v>
      </c>
      <c r="T6874" t="s">
        <v>962</v>
      </c>
    </row>
    <row r="6875" spans="1:20" x14ac:dyDescent="0.25">
      <c r="A6875" t="s">
        <v>44</v>
      </c>
      <c r="B6875" t="s">
        <v>3</v>
      </c>
      <c r="C6875" t="s">
        <v>32</v>
      </c>
      <c r="D6875" t="s">
        <v>953</v>
      </c>
      <c r="E6875" t="s">
        <v>954</v>
      </c>
      <c r="F6875" t="s">
        <v>35</v>
      </c>
      <c r="G6875" t="s">
        <v>35</v>
      </c>
      <c r="H6875" t="s">
        <v>35</v>
      </c>
      <c r="J6875" t="s">
        <v>6737</v>
      </c>
      <c r="K6875" t="s">
        <v>1092</v>
      </c>
      <c r="M6875">
        <v>0.25</v>
      </c>
      <c r="N6875">
        <v>53</v>
      </c>
      <c r="O6875" t="s">
        <v>52</v>
      </c>
      <c r="Q6875" t="s">
        <v>1734</v>
      </c>
      <c r="R6875" t="s">
        <v>6720</v>
      </c>
      <c r="S6875" t="s">
        <v>961</v>
      </c>
      <c r="T6875" t="s">
        <v>962</v>
      </c>
    </row>
    <row r="6876" spans="1:20" x14ac:dyDescent="0.25">
      <c r="A6876" t="s">
        <v>30</v>
      </c>
      <c r="B6876" t="s">
        <v>31</v>
      </c>
      <c r="C6876" t="s">
        <v>32</v>
      </c>
      <c r="D6876" t="s">
        <v>953</v>
      </c>
      <c r="E6876" t="s">
        <v>954</v>
      </c>
      <c r="F6876" t="s">
        <v>35</v>
      </c>
      <c r="G6876" t="s">
        <v>35</v>
      </c>
      <c r="H6876" t="s">
        <v>35</v>
      </c>
      <c r="J6876" t="s">
        <v>6794</v>
      </c>
      <c r="K6876" t="s">
        <v>1092</v>
      </c>
      <c r="M6876">
        <v>0.67500000000000004</v>
      </c>
      <c r="N6876">
        <v>9</v>
      </c>
      <c r="O6876" t="s">
        <v>46</v>
      </c>
      <c r="Q6876" t="s">
        <v>323</v>
      </c>
      <c r="R6876" t="s">
        <v>6720</v>
      </c>
      <c r="S6876" t="s">
        <v>961</v>
      </c>
      <c r="T6876" t="s">
        <v>962</v>
      </c>
    </row>
    <row r="6877" spans="1:20" x14ac:dyDescent="0.25">
      <c r="A6877" t="s">
        <v>44</v>
      </c>
      <c r="B6877" t="s">
        <v>3</v>
      </c>
      <c r="C6877" t="s">
        <v>32</v>
      </c>
      <c r="D6877" t="s">
        <v>953</v>
      </c>
      <c r="E6877" t="s">
        <v>954</v>
      </c>
      <c r="F6877" t="s">
        <v>35</v>
      </c>
      <c r="G6877" t="s">
        <v>35</v>
      </c>
      <c r="H6877" t="s">
        <v>35</v>
      </c>
      <c r="J6877" t="s">
        <v>6794</v>
      </c>
      <c r="K6877" t="s">
        <v>1092</v>
      </c>
      <c r="M6877">
        <v>0.1</v>
      </c>
      <c r="N6877">
        <v>37</v>
      </c>
      <c r="O6877" t="s">
        <v>52</v>
      </c>
      <c r="Q6877" t="s">
        <v>192</v>
      </c>
      <c r="R6877" t="s">
        <v>6720</v>
      </c>
      <c r="S6877" t="s">
        <v>961</v>
      </c>
      <c r="T6877" t="s">
        <v>962</v>
      </c>
    </row>
    <row r="6878" spans="1:20" x14ac:dyDescent="0.25">
      <c r="A6878" t="s">
        <v>59</v>
      </c>
      <c r="B6878" t="s">
        <v>60</v>
      </c>
      <c r="C6878" t="s">
        <v>32</v>
      </c>
      <c r="D6878" t="s">
        <v>953</v>
      </c>
      <c r="E6878" t="s">
        <v>954</v>
      </c>
      <c r="F6878" t="s">
        <v>35</v>
      </c>
      <c r="G6878" t="s">
        <v>35</v>
      </c>
      <c r="H6878" t="s">
        <v>35</v>
      </c>
      <c r="J6878" t="s">
        <v>6794</v>
      </c>
      <c r="K6878" t="s">
        <v>1092</v>
      </c>
      <c r="M6878">
        <v>0.1</v>
      </c>
      <c r="N6878">
        <v>37</v>
      </c>
      <c r="O6878" t="s">
        <v>52</v>
      </c>
      <c r="Q6878" t="s">
        <v>192</v>
      </c>
      <c r="R6878" t="s">
        <v>6720</v>
      </c>
      <c r="S6878" t="s">
        <v>961</v>
      </c>
      <c r="T6878" t="s">
        <v>962</v>
      </c>
    </row>
    <row r="6879" spans="1:20" x14ac:dyDescent="0.25">
      <c r="A6879" t="s">
        <v>30</v>
      </c>
      <c r="B6879" t="s">
        <v>31</v>
      </c>
      <c r="C6879" t="s">
        <v>32</v>
      </c>
      <c r="D6879" t="s">
        <v>953</v>
      </c>
      <c r="E6879" t="s">
        <v>954</v>
      </c>
      <c r="F6879" t="s">
        <v>35</v>
      </c>
      <c r="G6879" t="s">
        <v>35</v>
      </c>
      <c r="H6879" t="s">
        <v>35</v>
      </c>
      <c r="J6879" t="s">
        <v>6756</v>
      </c>
      <c r="K6879" t="s">
        <v>1092</v>
      </c>
      <c r="M6879">
        <v>0.67500000000000004</v>
      </c>
      <c r="N6879">
        <v>14</v>
      </c>
      <c r="O6879" t="s">
        <v>46</v>
      </c>
      <c r="Q6879" t="s">
        <v>1874</v>
      </c>
      <c r="R6879" t="s">
        <v>6720</v>
      </c>
      <c r="S6879" t="s">
        <v>961</v>
      </c>
      <c r="T6879" t="s">
        <v>962</v>
      </c>
    </row>
    <row r="6880" spans="1:20" x14ac:dyDescent="0.25">
      <c r="A6880" t="s">
        <v>30</v>
      </c>
      <c r="B6880" t="s">
        <v>31</v>
      </c>
      <c r="C6880" t="s">
        <v>32</v>
      </c>
      <c r="D6880" t="s">
        <v>953</v>
      </c>
      <c r="E6880" t="s">
        <v>954</v>
      </c>
      <c r="F6880" t="s">
        <v>35</v>
      </c>
      <c r="G6880" t="s">
        <v>35</v>
      </c>
      <c r="H6880" t="s">
        <v>35</v>
      </c>
      <c r="J6880" t="s">
        <v>6759</v>
      </c>
      <c r="K6880" t="s">
        <v>1092</v>
      </c>
      <c r="M6880">
        <v>0.25</v>
      </c>
      <c r="N6880">
        <v>12</v>
      </c>
      <c r="O6880" t="s">
        <v>46</v>
      </c>
      <c r="Q6880" t="s">
        <v>1192</v>
      </c>
      <c r="R6880" t="s">
        <v>6720</v>
      </c>
      <c r="S6880" t="s">
        <v>961</v>
      </c>
      <c r="T6880" t="s">
        <v>962</v>
      </c>
    </row>
    <row r="6881" spans="1:20" x14ac:dyDescent="0.25">
      <c r="A6881" t="s">
        <v>30</v>
      </c>
      <c r="B6881" t="s">
        <v>31</v>
      </c>
      <c r="C6881" t="s">
        <v>32</v>
      </c>
      <c r="D6881" t="s">
        <v>953</v>
      </c>
      <c r="E6881" t="s">
        <v>954</v>
      </c>
      <c r="F6881" t="s">
        <v>35</v>
      </c>
      <c r="G6881" t="s">
        <v>35</v>
      </c>
      <c r="H6881" t="s">
        <v>35</v>
      </c>
      <c r="J6881" t="s">
        <v>6853</v>
      </c>
      <c r="K6881" t="s">
        <v>1092</v>
      </c>
      <c r="M6881">
        <v>0.45</v>
      </c>
      <c r="N6881">
        <v>9</v>
      </c>
      <c r="O6881" t="s">
        <v>46</v>
      </c>
      <c r="Q6881" t="s">
        <v>323</v>
      </c>
      <c r="R6881" t="s">
        <v>6720</v>
      </c>
      <c r="S6881" t="s">
        <v>961</v>
      </c>
      <c r="T6881" t="s">
        <v>962</v>
      </c>
    </row>
    <row r="6882" spans="1:20" x14ac:dyDescent="0.25">
      <c r="A6882" t="s">
        <v>59</v>
      </c>
      <c r="B6882" t="s">
        <v>60</v>
      </c>
      <c r="C6882" t="s">
        <v>32</v>
      </c>
      <c r="D6882" t="s">
        <v>953</v>
      </c>
      <c r="E6882" t="s">
        <v>954</v>
      </c>
      <c r="F6882" t="s">
        <v>35</v>
      </c>
      <c r="G6882" t="s">
        <v>35</v>
      </c>
      <c r="H6882" t="s">
        <v>35</v>
      </c>
      <c r="J6882" t="s">
        <v>6779</v>
      </c>
      <c r="K6882" t="s">
        <v>1092</v>
      </c>
      <c r="M6882">
        <v>0.25</v>
      </c>
      <c r="N6882">
        <v>79</v>
      </c>
      <c r="O6882" t="s">
        <v>61</v>
      </c>
      <c r="Q6882" t="s">
        <v>1076</v>
      </c>
      <c r="R6882" t="s">
        <v>6720</v>
      </c>
      <c r="S6882" t="s">
        <v>961</v>
      </c>
      <c r="T6882" t="s">
        <v>962</v>
      </c>
    </row>
    <row r="6883" spans="1:20" x14ac:dyDescent="0.25">
      <c r="A6883" t="s">
        <v>44</v>
      </c>
      <c r="B6883" t="s">
        <v>51</v>
      </c>
      <c r="C6883" t="s">
        <v>32</v>
      </c>
      <c r="D6883" t="s">
        <v>953</v>
      </c>
      <c r="E6883" t="s">
        <v>954</v>
      </c>
      <c r="F6883" t="s">
        <v>35</v>
      </c>
      <c r="G6883" t="s">
        <v>35</v>
      </c>
      <c r="H6883" t="s">
        <v>35</v>
      </c>
      <c r="J6883" t="s">
        <v>6861</v>
      </c>
      <c r="K6883" t="s">
        <v>1092</v>
      </c>
      <c r="M6883">
        <v>0.5</v>
      </c>
      <c r="N6883">
        <v>295</v>
      </c>
      <c r="O6883" t="s">
        <v>5</v>
      </c>
      <c r="Q6883" t="s">
        <v>6862</v>
      </c>
      <c r="R6883" t="s">
        <v>6720</v>
      </c>
      <c r="S6883" t="s">
        <v>961</v>
      </c>
      <c r="T6883" t="s">
        <v>962</v>
      </c>
    </row>
    <row r="6884" spans="1:20" x14ac:dyDescent="0.25">
      <c r="A6884" t="s">
        <v>44</v>
      </c>
      <c r="B6884" t="s">
        <v>3</v>
      </c>
      <c r="C6884" t="s">
        <v>32</v>
      </c>
      <c r="D6884" t="s">
        <v>953</v>
      </c>
      <c r="E6884" t="s">
        <v>954</v>
      </c>
      <c r="F6884" t="s">
        <v>35</v>
      </c>
      <c r="G6884" t="s">
        <v>35</v>
      </c>
      <c r="H6884" t="s">
        <v>35</v>
      </c>
      <c r="J6884" t="s">
        <v>6861</v>
      </c>
      <c r="K6884" t="s">
        <v>1092</v>
      </c>
      <c r="M6884">
        <v>1.35</v>
      </c>
      <c r="N6884">
        <v>37</v>
      </c>
      <c r="O6884" t="s">
        <v>52</v>
      </c>
      <c r="Q6884" t="s">
        <v>192</v>
      </c>
      <c r="R6884" t="s">
        <v>6720</v>
      </c>
      <c r="S6884" t="s">
        <v>961</v>
      </c>
      <c r="T6884" t="s">
        <v>962</v>
      </c>
    </row>
    <row r="6885" spans="1:20" x14ac:dyDescent="0.25">
      <c r="A6885" t="s">
        <v>59</v>
      </c>
      <c r="B6885" t="s">
        <v>31</v>
      </c>
      <c r="C6885" t="s">
        <v>32</v>
      </c>
      <c r="D6885" t="s">
        <v>953</v>
      </c>
      <c r="E6885" t="s">
        <v>954</v>
      </c>
      <c r="F6885" t="s">
        <v>35</v>
      </c>
      <c r="G6885" t="s">
        <v>35</v>
      </c>
      <c r="H6885" t="s">
        <v>35</v>
      </c>
      <c r="J6885" t="s">
        <v>6861</v>
      </c>
      <c r="K6885" t="s">
        <v>1092</v>
      </c>
      <c r="M6885">
        <v>0.45</v>
      </c>
      <c r="N6885">
        <v>135</v>
      </c>
      <c r="O6885" t="s">
        <v>38</v>
      </c>
      <c r="Q6885" t="s">
        <v>2067</v>
      </c>
      <c r="R6885" t="s">
        <v>6720</v>
      </c>
      <c r="S6885" t="s">
        <v>961</v>
      </c>
      <c r="T6885" t="s">
        <v>962</v>
      </c>
    </row>
    <row r="6886" spans="1:20" x14ac:dyDescent="0.25">
      <c r="A6886" t="s">
        <v>44</v>
      </c>
      <c r="B6886" t="s">
        <v>3</v>
      </c>
      <c r="C6886" t="s">
        <v>32</v>
      </c>
      <c r="D6886" t="s">
        <v>953</v>
      </c>
      <c r="E6886" t="s">
        <v>954</v>
      </c>
      <c r="F6886" t="s">
        <v>35</v>
      </c>
      <c r="G6886" t="s">
        <v>35</v>
      </c>
      <c r="H6886" t="s">
        <v>35</v>
      </c>
      <c r="J6886" t="s">
        <v>6861</v>
      </c>
      <c r="K6886" t="s">
        <v>1092</v>
      </c>
      <c r="M6886">
        <v>0.5</v>
      </c>
      <c r="N6886">
        <v>51</v>
      </c>
      <c r="O6886" t="s">
        <v>52</v>
      </c>
      <c r="Q6886" t="s">
        <v>58</v>
      </c>
      <c r="R6886" t="s">
        <v>6720</v>
      </c>
      <c r="S6886" t="s">
        <v>961</v>
      </c>
      <c r="T6886" t="s">
        <v>962</v>
      </c>
    </row>
    <row r="6887" spans="1:20" x14ac:dyDescent="0.25">
      <c r="A6887" t="s">
        <v>44</v>
      </c>
      <c r="B6887" t="s">
        <v>3</v>
      </c>
      <c r="C6887" t="s">
        <v>32</v>
      </c>
      <c r="D6887" t="s">
        <v>953</v>
      </c>
      <c r="E6887" t="s">
        <v>954</v>
      </c>
      <c r="F6887" t="s">
        <v>35</v>
      </c>
      <c r="G6887" t="s">
        <v>35</v>
      </c>
      <c r="H6887" t="s">
        <v>35</v>
      </c>
      <c r="J6887" t="s">
        <v>6861</v>
      </c>
      <c r="K6887" t="s">
        <v>1092</v>
      </c>
      <c r="M6887">
        <v>0.5</v>
      </c>
      <c r="N6887">
        <v>59</v>
      </c>
      <c r="O6887" t="s">
        <v>52</v>
      </c>
      <c r="Q6887" t="s">
        <v>203</v>
      </c>
      <c r="R6887" t="s">
        <v>6720</v>
      </c>
      <c r="S6887" t="s">
        <v>961</v>
      </c>
      <c r="T6887" t="s">
        <v>962</v>
      </c>
    </row>
    <row r="6888" spans="1:20" x14ac:dyDescent="0.25">
      <c r="A6888" t="s">
        <v>59</v>
      </c>
      <c r="B6888" t="s">
        <v>60</v>
      </c>
      <c r="C6888" t="s">
        <v>32</v>
      </c>
      <c r="D6888" t="s">
        <v>953</v>
      </c>
      <c r="E6888" t="s">
        <v>954</v>
      </c>
      <c r="F6888" t="s">
        <v>35</v>
      </c>
      <c r="G6888" t="s">
        <v>35</v>
      </c>
      <c r="H6888" t="s">
        <v>35</v>
      </c>
      <c r="J6888" t="s">
        <v>6861</v>
      </c>
      <c r="K6888" t="s">
        <v>1092</v>
      </c>
      <c r="M6888">
        <v>1.5</v>
      </c>
      <c r="N6888">
        <v>45</v>
      </c>
      <c r="O6888" t="s">
        <v>52</v>
      </c>
      <c r="Q6888" t="s">
        <v>1230</v>
      </c>
      <c r="R6888" t="s">
        <v>6720</v>
      </c>
      <c r="S6888" t="s">
        <v>961</v>
      </c>
      <c r="T6888" t="s">
        <v>962</v>
      </c>
    </row>
    <row r="6889" spans="1:20" x14ac:dyDescent="0.25">
      <c r="A6889" t="s">
        <v>59</v>
      </c>
      <c r="B6889" t="s">
        <v>60</v>
      </c>
      <c r="C6889" t="s">
        <v>32</v>
      </c>
      <c r="D6889" t="s">
        <v>953</v>
      </c>
      <c r="E6889" t="s">
        <v>954</v>
      </c>
      <c r="F6889" t="s">
        <v>35</v>
      </c>
      <c r="G6889" t="s">
        <v>35</v>
      </c>
      <c r="H6889" t="s">
        <v>35</v>
      </c>
      <c r="J6889" t="s">
        <v>6861</v>
      </c>
      <c r="K6889" t="s">
        <v>1092</v>
      </c>
      <c r="M6889">
        <v>1.25</v>
      </c>
      <c r="N6889">
        <v>30</v>
      </c>
      <c r="O6889" t="s">
        <v>46</v>
      </c>
      <c r="Q6889" t="s">
        <v>3499</v>
      </c>
      <c r="R6889" t="s">
        <v>6720</v>
      </c>
      <c r="S6889" t="s">
        <v>961</v>
      </c>
      <c r="T6889" t="s">
        <v>962</v>
      </c>
    </row>
    <row r="6890" spans="1:20" x14ac:dyDescent="0.25">
      <c r="A6890" t="s">
        <v>59</v>
      </c>
      <c r="B6890" t="s">
        <v>60</v>
      </c>
      <c r="C6890" t="s">
        <v>32</v>
      </c>
      <c r="D6890" t="s">
        <v>953</v>
      </c>
      <c r="E6890" t="s">
        <v>954</v>
      </c>
      <c r="F6890" t="s">
        <v>35</v>
      </c>
      <c r="G6890" t="s">
        <v>35</v>
      </c>
      <c r="H6890" t="s">
        <v>35</v>
      </c>
      <c r="J6890" t="s">
        <v>6861</v>
      </c>
      <c r="K6890" t="s">
        <v>1092</v>
      </c>
      <c r="M6890">
        <v>0.75</v>
      </c>
      <c r="N6890">
        <v>23</v>
      </c>
      <c r="O6890" t="s">
        <v>46</v>
      </c>
      <c r="Q6890" t="s">
        <v>793</v>
      </c>
      <c r="R6890" t="s">
        <v>6720</v>
      </c>
      <c r="S6890" t="s">
        <v>961</v>
      </c>
      <c r="T6890" t="s">
        <v>962</v>
      </c>
    </row>
    <row r="6891" spans="1:20" x14ac:dyDescent="0.25">
      <c r="A6891" t="s">
        <v>59</v>
      </c>
      <c r="B6891" t="s">
        <v>60</v>
      </c>
      <c r="C6891" t="s">
        <v>32</v>
      </c>
      <c r="D6891" t="s">
        <v>953</v>
      </c>
      <c r="E6891" t="s">
        <v>954</v>
      </c>
      <c r="F6891" t="s">
        <v>35</v>
      </c>
      <c r="G6891" t="s">
        <v>35</v>
      </c>
      <c r="H6891" t="s">
        <v>35</v>
      </c>
      <c r="J6891" t="s">
        <v>6861</v>
      </c>
      <c r="K6891" t="s">
        <v>1092</v>
      </c>
      <c r="M6891">
        <v>0.25</v>
      </c>
      <c r="N6891">
        <v>51</v>
      </c>
      <c r="O6891" t="s">
        <v>52</v>
      </c>
      <c r="Q6891" t="s">
        <v>58</v>
      </c>
      <c r="R6891" t="s">
        <v>6720</v>
      </c>
      <c r="S6891" t="s">
        <v>961</v>
      </c>
      <c r="T6891" t="s">
        <v>962</v>
      </c>
    </row>
    <row r="6892" spans="1:20" x14ac:dyDescent="0.25">
      <c r="A6892" t="s">
        <v>44</v>
      </c>
      <c r="B6892" t="s">
        <v>3</v>
      </c>
      <c r="C6892" t="s">
        <v>32</v>
      </c>
      <c r="D6892" t="s">
        <v>953</v>
      </c>
      <c r="E6892" t="s">
        <v>954</v>
      </c>
      <c r="F6892" t="s">
        <v>35</v>
      </c>
      <c r="G6892" t="s">
        <v>35</v>
      </c>
      <c r="H6892" t="s">
        <v>35</v>
      </c>
      <c r="J6892" t="s">
        <v>6861</v>
      </c>
      <c r="K6892" t="s">
        <v>1092</v>
      </c>
      <c r="M6892">
        <v>0.55000000000000004</v>
      </c>
      <c r="N6892">
        <v>23</v>
      </c>
      <c r="O6892" t="s">
        <v>46</v>
      </c>
      <c r="Q6892" t="s">
        <v>793</v>
      </c>
      <c r="R6892" t="s">
        <v>6720</v>
      </c>
      <c r="S6892" t="s">
        <v>961</v>
      </c>
      <c r="T6892" t="s">
        <v>962</v>
      </c>
    </row>
    <row r="6893" spans="1:20" x14ac:dyDescent="0.25">
      <c r="A6893" t="s">
        <v>30</v>
      </c>
      <c r="B6893" t="s">
        <v>31</v>
      </c>
      <c r="C6893" t="s">
        <v>32</v>
      </c>
      <c r="D6893" t="s">
        <v>953</v>
      </c>
      <c r="E6893" t="s">
        <v>954</v>
      </c>
      <c r="F6893" t="s">
        <v>35</v>
      </c>
      <c r="G6893" t="s">
        <v>35</v>
      </c>
      <c r="H6893" t="s">
        <v>35</v>
      </c>
      <c r="J6893" t="s">
        <v>6861</v>
      </c>
      <c r="K6893" t="s">
        <v>1092</v>
      </c>
      <c r="M6893">
        <v>0.54</v>
      </c>
      <c r="N6893">
        <v>30</v>
      </c>
      <c r="O6893" t="s">
        <v>46</v>
      </c>
      <c r="Q6893" t="s">
        <v>3499</v>
      </c>
      <c r="R6893" t="s">
        <v>6720</v>
      </c>
      <c r="S6893" t="s">
        <v>961</v>
      </c>
      <c r="T6893" t="s">
        <v>962</v>
      </c>
    </row>
    <row r="6894" spans="1:20" x14ac:dyDescent="0.25">
      <c r="A6894" t="s">
        <v>59</v>
      </c>
      <c r="B6894" t="s">
        <v>60</v>
      </c>
      <c r="C6894" t="s">
        <v>32</v>
      </c>
      <c r="D6894" t="s">
        <v>953</v>
      </c>
      <c r="E6894" t="s">
        <v>954</v>
      </c>
      <c r="F6894" t="s">
        <v>35</v>
      </c>
      <c r="G6894" t="s">
        <v>35</v>
      </c>
      <c r="H6894" t="s">
        <v>35</v>
      </c>
      <c r="J6894" t="s">
        <v>6861</v>
      </c>
      <c r="K6894" t="s">
        <v>1092</v>
      </c>
      <c r="M6894">
        <v>0.95</v>
      </c>
      <c r="N6894">
        <v>83</v>
      </c>
      <c r="O6894" t="s">
        <v>61</v>
      </c>
      <c r="Q6894" t="s">
        <v>897</v>
      </c>
      <c r="R6894" t="s">
        <v>6720</v>
      </c>
      <c r="S6894" t="s">
        <v>961</v>
      </c>
      <c r="T6894" t="s">
        <v>962</v>
      </c>
    </row>
    <row r="6895" spans="1:20" x14ac:dyDescent="0.25">
      <c r="A6895" t="s">
        <v>59</v>
      </c>
      <c r="B6895" t="s">
        <v>31</v>
      </c>
      <c r="C6895" t="s">
        <v>32</v>
      </c>
      <c r="D6895" t="s">
        <v>953</v>
      </c>
      <c r="E6895" t="s">
        <v>954</v>
      </c>
      <c r="F6895" t="s">
        <v>35</v>
      </c>
      <c r="G6895" t="s">
        <v>35</v>
      </c>
      <c r="H6895" t="s">
        <v>35</v>
      </c>
      <c r="J6895" t="s">
        <v>6861</v>
      </c>
      <c r="K6895" t="s">
        <v>1092</v>
      </c>
      <c r="M6895">
        <v>0.45</v>
      </c>
      <c r="N6895">
        <v>83</v>
      </c>
      <c r="O6895" t="s">
        <v>61</v>
      </c>
      <c r="Q6895" t="s">
        <v>897</v>
      </c>
      <c r="R6895" t="s">
        <v>6720</v>
      </c>
      <c r="S6895" t="s">
        <v>961</v>
      </c>
      <c r="T6895" t="s">
        <v>962</v>
      </c>
    </row>
    <row r="6896" spans="1:20" x14ac:dyDescent="0.25">
      <c r="A6896" t="s">
        <v>44</v>
      </c>
      <c r="B6896" t="s">
        <v>3</v>
      </c>
      <c r="C6896" t="s">
        <v>32</v>
      </c>
      <c r="D6896" t="s">
        <v>953</v>
      </c>
      <c r="E6896" t="s">
        <v>954</v>
      </c>
      <c r="F6896" t="s">
        <v>35</v>
      </c>
      <c r="G6896" t="s">
        <v>35</v>
      </c>
      <c r="H6896" t="s">
        <v>35</v>
      </c>
      <c r="J6896" t="s">
        <v>6861</v>
      </c>
      <c r="K6896" t="s">
        <v>1092</v>
      </c>
      <c r="M6896">
        <v>0.25</v>
      </c>
      <c r="N6896">
        <v>410</v>
      </c>
      <c r="O6896" t="s">
        <v>294</v>
      </c>
      <c r="Q6896" t="s">
        <v>4858</v>
      </c>
      <c r="R6896" t="s">
        <v>6720</v>
      </c>
      <c r="S6896" t="s">
        <v>961</v>
      </c>
      <c r="T6896" t="s">
        <v>962</v>
      </c>
    </row>
    <row r="6897" spans="1:20" x14ac:dyDescent="0.25">
      <c r="A6897" t="s">
        <v>44</v>
      </c>
      <c r="B6897" t="s">
        <v>51</v>
      </c>
      <c r="C6897" t="s">
        <v>32</v>
      </c>
      <c r="D6897" t="s">
        <v>953</v>
      </c>
      <c r="E6897" t="s">
        <v>954</v>
      </c>
      <c r="F6897" t="s">
        <v>35</v>
      </c>
      <c r="G6897" t="s">
        <v>35</v>
      </c>
      <c r="H6897" t="s">
        <v>35</v>
      </c>
      <c r="J6897" t="s">
        <v>6861</v>
      </c>
      <c r="K6897" t="s">
        <v>1092</v>
      </c>
      <c r="M6897">
        <v>0.05</v>
      </c>
      <c r="N6897">
        <v>463</v>
      </c>
      <c r="O6897" t="s">
        <v>294</v>
      </c>
      <c r="Q6897" t="s">
        <v>1327</v>
      </c>
      <c r="R6897" t="s">
        <v>6720</v>
      </c>
      <c r="S6897" t="s">
        <v>961</v>
      </c>
      <c r="T6897" t="s">
        <v>962</v>
      </c>
    </row>
    <row r="6898" spans="1:20" x14ac:dyDescent="0.25">
      <c r="A6898" t="s">
        <v>44</v>
      </c>
      <c r="B6898" t="s">
        <v>51</v>
      </c>
      <c r="C6898" t="s">
        <v>32</v>
      </c>
      <c r="D6898" t="s">
        <v>953</v>
      </c>
      <c r="E6898" t="s">
        <v>954</v>
      </c>
      <c r="F6898" t="s">
        <v>35</v>
      </c>
      <c r="G6898" t="s">
        <v>35</v>
      </c>
      <c r="H6898" t="s">
        <v>35</v>
      </c>
      <c r="J6898" t="s">
        <v>6775</v>
      </c>
      <c r="K6898" t="s">
        <v>1092</v>
      </c>
      <c r="M6898">
        <v>0.1</v>
      </c>
      <c r="N6898">
        <v>177</v>
      </c>
      <c r="O6898" t="s">
        <v>38</v>
      </c>
      <c r="Q6898" t="s">
        <v>4625</v>
      </c>
      <c r="R6898" t="s">
        <v>6720</v>
      </c>
      <c r="S6898" t="s">
        <v>961</v>
      </c>
      <c r="T6898" t="s">
        <v>962</v>
      </c>
    </row>
    <row r="6899" spans="1:20" x14ac:dyDescent="0.25">
      <c r="A6899" t="s">
        <v>30</v>
      </c>
      <c r="B6899" t="s">
        <v>31</v>
      </c>
      <c r="C6899" t="s">
        <v>32</v>
      </c>
      <c r="D6899" t="s">
        <v>953</v>
      </c>
      <c r="E6899" t="s">
        <v>954</v>
      </c>
      <c r="F6899" t="s">
        <v>35</v>
      </c>
      <c r="G6899" t="s">
        <v>35</v>
      </c>
      <c r="H6899" t="s">
        <v>35</v>
      </c>
      <c r="J6899" t="s">
        <v>6775</v>
      </c>
      <c r="K6899" t="s">
        <v>1092</v>
      </c>
      <c r="M6899">
        <v>0.36</v>
      </c>
      <c r="N6899">
        <v>9</v>
      </c>
      <c r="O6899" t="s">
        <v>46</v>
      </c>
      <c r="Q6899" t="s">
        <v>323</v>
      </c>
      <c r="R6899" t="s">
        <v>6720</v>
      </c>
      <c r="S6899" t="s">
        <v>961</v>
      </c>
      <c r="T6899" t="s">
        <v>962</v>
      </c>
    </row>
    <row r="6900" spans="1:20" x14ac:dyDescent="0.25">
      <c r="A6900" t="s">
        <v>44</v>
      </c>
      <c r="B6900" t="s">
        <v>3</v>
      </c>
      <c r="C6900" t="s">
        <v>32</v>
      </c>
      <c r="D6900" t="s">
        <v>953</v>
      </c>
      <c r="E6900" t="s">
        <v>954</v>
      </c>
      <c r="F6900" t="s">
        <v>35</v>
      </c>
      <c r="G6900" t="s">
        <v>35</v>
      </c>
      <c r="H6900" t="s">
        <v>35</v>
      </c>
      <c r="J6900" t="s">
        <v>6775</v>
      </c>
      <c r="K6900" t="s">
        <v>1092</v>
      </c>
      <c r="M6900">
        <v>0.05</v>
      </c>
      <c r="N6900">
        <v>410</v>
      </c>
      <c r="O6900" t="s">
        <v>294</v>
      </c>
      <c r="Q6900" t="s">
        <v>4858</v>
      </c>
      <c r="R6900" t="s">
        <v>6720</v>
      </c>
      <c r="S6900" t="s">
        <v>961</v>
      </c>
      <c r="T6900" t="s">
        <v>962</v>
      </c>
    </row>
    <row r="6901" spans="1:20" x14ac:dyDescent="0.25">
      <c r="A6901" t="s">
        <v>44</v>
      </c>
      <c r="B6901" t="s">
        <v>3</v>
      </c>
      <c r="C6901" t="s">
        <v>32</v>
      </c>
      <c r="D6901" t="s">
        <v>953</v>
      </c>
      <c r="E6901" t="s">
        <v>954</v>
      </c>
      <c r="F6901" t="s">
        <v>35</v>
      </c>
      <c r="G6901" t="s">
        <v>35</v>
      </c>
      <c r="H6901" t="s">
        <v>35</v>
      </c>
      <c r="J6901" t="s">
        <v>6775</v>
      </c>
      <c r="K6901" t="s">
        <v>1092</v>
      </c>
      <c r="M6901">
        <v>0.25</v>
      </c>
      <c r="N6901">
        <v>53</v>
      </c>
      <c r="O6901" t="s">
        <v>52</v>
      </c>
      <c r="Q6901" t="s">
        <v>1734</v>
      </c>
      <c r="R6901" t="s">
        <v>6720</v>
      </c>
      <c r="S6901" t="s">
        <v>961</v>
      </c>
      <c r="T6901" t="s">
        <v>962</v>
      </c>
    </row>
    <row r="6902" spans="1:20" x14ac:dyDescent="0.25">
      <c r="A6902" t="s">
        <v>44</v>
      </c>
      <c r="B6902" t="s">
        <v>3</v>
      </c>
      <c r="C6902" t="s">
        <v>32</v>
      </c>
      <c r="D6902" t="s">
        <v>953</v>
      </c>
      <c r="E6902" t="s">
        <v>954</v>
      </c>
      <c r="F6902" t="s">
        <v>35</v>
      </c>
      <c r="G6902" t="s">
        <v>35</v>
      </c>
      <c r="H6902" t="s">
        <v>35</v>
      </c>
      <c r="J6902" t="s">
        <v>6783</v>
      </c>
      <c r="K6902" t="s">
        <v>1092</v>
      </c>
      <c r="M6902">
        <v>0.05</v>
      </c>
      <c r="N6902">
        <v>58</v>
      </c>
      <c r="O6902" t="s">
        <v>52</v>
      </c>
      <c r="Q6902" t="s">
        <v>128</v>
      </c>
      <c r="R6902" t="s">
        <v>6720</v>
      </c>
      <c r="S6902" t="s">
        <v>961</v>
      </c>
      <c r="T6902" t="s">
        <v>962</v>
      </c>
    </row>
    <row r="6903" spans="1:20" x14ac:dyDescent="0.25">
      <c r="A6903" t="s">
        <v>44</v>
      </c>
      <c r="B6903" t="s">
        <v>3</v>
      </c>
      <c r="C6903" t="s">
        <v>32</v>
      </c>
      <c r="D6903" t="s">
        <v>953</v>
      </c>
      <c r="E6903" t="s">
        <v>954</v>
      </c>
      <c r="F6903" t="s">
        <v>35</v>
      </c>
      <c r="G6903" t="s">
        <v>35</v>
      </c>
      <c r="H6903" t="s">
        <v>35</v>
      </c>
      <c r="J6903" t="s">
        <v>6783</v>
      </c>
      <c r="K6903" t="s">
        <v>1092</v>
      </c>
      <c r="M6903">
        <v>0.25</v>
      </c>
      <c r="N6903">
        <v>37</v>
      </c>
      <c r="O6903" t="s">
        <v>52</v>
      </c>
      <c r="Q6903" t="s">
        <v>192</v>
      </c>
      <c r="R6903" t="s">
        <v>6720</v>
      </c>
      <c r="S6903" t="s">
        <v>961</v>
      </c>
      <c r="T6903" t="s">
        <v>962</v>
      </c>
    </row>
    <row r="6904" spans="1:20" x14ac:dyDescent="0.25">
      <c r="A6904" t="s">
        <v>44</v>
      </c>
      <c r="B6904" t="s">
        <v>3</v>
      </c>
      <c r="C6904" t="s">
        <v>32</v>
      </c>
      <c r="D6904" t="s">
        <v>953</v>
      </c>
      <c r="E6904" t="s">
        <v>954</v>
      </c>
      <c r="F6904" t="s">
        <v>35</v>
      </c>
      <c r="G6904" t="s">
        <v>35</v>
      </c>
      <c r="H6904" t="s">
        <v>35</v>
      </c>
      <c r="J6904" t="s">
        <v>6783</v>
      </c>
      <c r="K6904" t="s">
        <v>1092</v>
      </c>
      <c r="M6904">
        <v>0.25</v>
      </c>
      <c r="N6904">
        <v>45</v>
      </c>
      <c r="O6904" t="s">
        <v>52</v>
      </c>
      <c r="Q6904" t="s">
        <v>1230</v>
      </c>
      <c r="R6904" t="s">
        <v>6720</v>
      </c>
      <c r="S6904" t="s">
        <v>961</v>
      </c>
      <c r="T6904" t="s">
        <v>962</v>
      </c>
    </row>
    <row r="6905" spans="1:20" x14ac:dyDescent="0.25">
      <c r="A6905" t="s">
        <v>44</v>
      </c>
      <c r="B6905" t="s">
        <v>3</v>
      </c>
      <c r="C6905" t="s">
        <v>32</v>
      </c>
      <c r="D6905" t="s">
        <v>953</v>
      </c>
      <c r="E6905" t="s">
        <v>954</v>
      </c>
      <c r="F6905" t="s">
        <v>35</v>
      </c>
      <c r="G6905" t="s">
        <v>35</v>
      </c>
      <c r="H6905" t="s">
        <v>35</v>
      </c>
      <c r="J6905" t="s">
        <v>6783</v>
      </c>
      <c r="K6905" t="s">
        <v>1092</v>
      </c>
      <c r="M6905">
        <v>0.25</v>
      </c>
      <c r="N6905">
        <v>53</v>
      </c>
      <c r="O6905" t="s">
        <v>52</v>
      </c>
      <c r="Q6905" t="s">
        <v>1734</v>
      </c>
      <c r="R6905" t="s">
        <v>6720</v>
      </c>
      <c r="S6905" t="s">
        <v>961</v>
      </c>
      <c r="T6905" t="s">
        <v>962</v>
      </c>
    </row>
    <row r="6906" spans="1:20" x14ac:dyDescent="0.25">
      <c r="A6906" t="s">
        <v>59</v>
      </c>
      <c r="B6906" t="s">
        <v>60</v>
      </c>
      <c r="C6906" t="s">
        <v>32</v>
      </c>
      <c r="D6906" t="s">
        <v>953</v>
      </c>
      <c r="E6906" t="s">
        <v>954</v>
      </c>
      <c r="F6906" t="s">
        <v>35</v>
      </c>
      <c r="G6906" t="s">
        <v>35</v>
      </c>
      <c r="H6906" t="s">
        <v>35</v>
      </c>
      <c r="J6906" t="s">
        <v>6749</v>
      </c>
      <c r="K6906" t="s">
        <v>1092</v>
      </c>
      <c r="M6906">
        <v>0.03</v>
      </c>
      <c r="N6906">
        <v>23</v>
      </c>
      <c r="O6906" t="s">
        <v>46</v>
      </c>
      <c r="Q6906" t="s">
        <v>793</v>
      </c>
      <c r="R6906" t="s">
        <v>6720</v>
      </c>
      <c r="S6906" t="s">
        <v>961</v>
      </c>
      <c r="T6906" t="s">
        <v>962</v>
      </c>
    </row>
    <row r="6907" spans="1:20" x14ac:dyDescent="0.25">
      <c r="A6907" t="s">
        <v>59</v>
      </c>
      <c r="B6907" t="s">
        <v>60</v>
      </c>
      <c r="C6907" t="s">
        <v>32</v>
      </c>
      <c r="D6907" t="s">
        <v>953</v>
      </c>
      <c r="E6907" t="s">
        <v>954</v>
      </c>
      <c r="F6907" t="s">
        <v>35</v>
      </c>
      <c r="G6907" t="s">
        <v>35</v>
      </c>
      <c r="H6907" t="s">
        <v>35</v>
      </c>
      <c r="J6907" t="s">
        <v>6751</v>
      </c>
      <c r="K6907" t="s">
        <v>1092</v>
      </c>
      <c r="M6907">
        <v>0.25</v>
      </c>
      <c r="N6907">
        <v>37</v>
      </c>
      <c r="O6907" t="s">
        <v>52</v>
      </c>
      <c r="Q6907" t="s">
        <v>192</v>
      </c>
      <c r="R6907" t="s">
        <v>6720</v>
      </c>
      <c r="S6907" t="s">
        <v>961</v>
      </c>
      <c r="T6907" t="s">
        <v>962</v>
      </c>
    </row>
    <row r="6908" spans="1:20" x14ac:dyDescent="0.25">
      <c r="A6908" t="s">
        <v>44</v>
      </c>
      <c r="B6908" t="s">
        <v>3</v>
      </c>
      <c r="C6908" t="s">
        <v>32</v>
      </c>
      <c r="D6908" t="s">
        <v>953</v>
      </c>
      <c r="E6908" t="s">
        <v>954</v>
      </c>
      <c r="F6908" t="s">
        <v>35</v>
      </c>
      <c r="G6908" t="s">
        <v>35</v>
      </c>
      <c r="H6908" t="s">
        <v>35</v>
      </c>
      <c r="J6908" t="s">
        <v>6751</v>
      </c>
      <c r="K6908" t="s">
        <v>1092</v>
      </c>
      <c r="M6908">
        <v>0.25</v>
      </c>
      <c r="N6908">
        <v>4</v>
      </c>
      <c r="O6908" t="s">
        <v>46</v>
      </c>
      <c r="Q6908" t="s">
        <v>1053</v>
      </c>
      <c r="R6908" t="s">
        <v>6720</v>
      </c>
      <c r="S6908" t="s">
        <v>961</v>
      </c>
      <c r="T6908" t="s">
        <v>962</v>
      </c>
    </row>
    <row r="6909" spans="1:20" x14ac:dyDescent="0.25">
      <c r="A6909" t="s">
        <v>59</v>
      </c>
      <c r="B6909" t="s">
        <v>60</v>
      </c>
      <c r="C6909" t="s">
        <v>32</v>
      </c>
      <c r="D6909" t="s">
        <v>953</v>
      </c>
      <c r="E6909" t="s">
        <v>954</v>
      </c>
      <c r="F6909" t="s">
        <v>35</v>
      </c>
      <c r="G6909" t="s">
        <v>35</v>
      </c>
      <c r="H6909" t="s">
        <v>35</v>
      </c>
      <c r="J6909" t="s">
        <v>6751</v>
      </c>
      <c r="K6909" t="s">
        <v>1092</v>
      </c>
      <c r="M6909">
        <v>0.2</v>
      </c>
      <c r="N6909">
        <v>49</v>
      </c>
      <c r="O6909" t="s">
        <v>52</v>
      </c>
      <c r="Q6909" t="s">
        <v>453</v>
      </c>
      <c r="R6909" t="s">
        <v>6720</v>
      </c>
      <c r="S6909" t="s">
        <v>961</v>
      </c>
      <c r="T6909" t="s">
        <v>962</v>
      </c>
    </row>
    <row r="6910" spans="1:20" x14ac:dyDescent="0.25">
      <c r="A6910" t="s">
        <v>44</v>
      </c>
      <c r="B6910" t="s">
        <v>3</v>
      </c>
      <c r="C6910" t="s">
        <v>32</v>
      </c>
      <c r="D6910" t="s">
        <v>953</v>
      </c>
      <c r="E6910" t="s">
        <v>954</v>
      </c>
      <c r="F6910" t="s">
        <v>35</v>
      </c>
      <c r="G6910" t="s">
        <v>35</v>
      </c>
      <c r="H6910" t="s">
        <v>35</v>
      </c>
      <c r="J6910" t="s">
        <v>6751</v>
      </c>
      <c r="K6910" t="s">
        <v>1092</v>
      </c>
      <c r="M6910">
        <v>0.15</v>
      </c>
      <c r="N6910">
        <v>37</v>
      </c>
      <c r="O6910" t="s">
        <v>52</v>
      </c>
      <c r="Q6910" t="s">
        <v>192</v>
      </c>
      <c r="R6910" t="s">
        <v>6720</v>
      </c>
      <c r="S6910" t="s">
        <v>961</v>
      </c>
      <c r="T6910" t="s">
        <v>962</v>
      </c>
    </row>
    <row r="6911" spans="1:20" x14ac:dyDescent="0.25">
      <c r="A6911" t="s">
        <v>30</v>
      </c>
      <c r="B6911" t="s">
        <v>31</v>
      </c>
      <c r="C6911" t="s">
        <v>32</v>
      </c>
      <c r="D6911" t="s">
        <v>953</v>
      </c>
      <c r="E6911" t="s">
        <v>954</v>
      </c>
      <c r="F6911" t="s">
        <v>35</v>
      </c>
      <c r="G6911" t="s">
        <v>35</v>
      </c>
      <c r="H6911" t="s">
        <v>35</v>
      </c>
      <c r="J6911" t="s">
        <v>6751</v>
      </c>
      <c r="K6911" t="s">
        <v>1092</v>
      </c>
      <c r="M6911">
        <v>0.9</v>
      </c>
      <c r="N6911">
        <v>32</v>
      </c>
      <c r="O6911" t="s">
        <v>52</v>
      </c>
      <c r="Q6911" t="s">
        <v>816</v>
      </c>
      <c r="R6911" t="s">
        <v>6720</v>
      </c>
      <c r="S6911" t="s">
        <v>961</v>
      </c>
      <c r="T6911" t="s">
        <v>962</v>
      </c>
    </row>
    <row r="6912" spans="1:20" x14ac:dyDescent="0.25">
      <c r="A6912" t="s">
        <v>44</v>
      </c>
      <c r="B6912" t="s">
        <v>51</v>
      </c>
      <c r="C6912" t="s">
        <v>32</v>
      </c>
      <c r="D6912" t="s">
        <v>953</v>
      </c>
      <c r="E6912" t="s">
        <v>954</v>
      </c>
      <c r="F6912" t="s">
        <v>35</v>
      </c>
      <c r="G6912" t="s">
        <v>35</v>
      </c>
      <c r="H6912" t="s">
        <v>35</v>
      </c>
      <c r="J6912" t="s">
        <v>6751</v>
      </c>
      <c r="K6912" t="s">
        <v>1092</v>
      </c>
      <c r="M6912">
        <v>0.1</v>
      </c>
      <c r="N6912">
        <v>488</v>
      </c>
      <c r="O6912" t="s">
        <v>294</v>
      </c>
      <c r="Q6912" t="s">
        <v>2610</v>
      </c>
      <c r="R6912" t="s">
        <v>6720</v>
      </c>
      <c r="S6912" t="s">
        <v>961</v>
      </c>
      <c r="T6912" t="s">
        <v>962</v>
      </c>
    </row>
    <row r="6913" spans="1:20" x14ac:dyDescent="0.25">
      <c r="A6913" t="s">
        <v>30</v>
      </c>
      <c r="B6913" t="s">
        <v>31</v>
      </c>
      <c r="C6913" t="s">
        <v>32</v>
      </c>
      <c r="D6913" t="s">
        <v>953</v>
      </c>
      <c r="E6913" t="s">
        <v>954</v>
      </c>
      <c r="F6913" t="s">
        <v>35</v>
      </c>
      <c r="G6913" t="s">
        <v>35</v>
      </c>
      <c r="H6913" t="s">
        <v>35</v>
      </c>
      <c r="J6913" t="s">
        <v>6751</v>
      </c>
      <c r="K6913" t="s">
        <v>1092</v>
      </c>
      <c r="M6913">
        <v>0.45</v>
      </c>
      <c r="N6913">
        <v>37</v>
      </c>
      <c r="O6913" t="s">
        <v>52</v>
      </c>
      <c r="Q6913" t="s">
        <v>192</v>
      </c>
      <c r="R6913" t="s">
        <v>6720</v>
      </c>
      <c r="S6913" t="s">
        <v>961</v>
      </c>
      <c r="T6913" t="s">
        <v>962</v>
      </c>
    </row>
    <row r="6914" spans="1:20" x14ac:dyDescent="0.25">
      <c r="A6914" t="s">
        <v>44</v>
      </c>
      <c r="B6914" t="s">
        <v>51</v>
      </c>
      <c r="C6914" t="s">
        <v>32</v>
      </c>
      <c r="D6914" t="s">
        <v>953</v>
      </c>
      <c r="E6914" t="s">
        <v>954</v>
      </c>
      <c r="F6914" t="s">
        <v>35</v>
      </c>
      <c r="G6914" t="s">
        <v>35</v>
      </c>
      <c r="H6914" t="s">
        <v>35</v>
      </c>
      <c r="J6914" t="s">
        <v>6751</v>
      </c>
      <c r="K6914" t="s">
        <v>1092</v>
      </c>
      <c r="M6914">
        <v>0.1</v>
      </c>
      <c r="N6914">
        <v>37</v>
      </c>
      <c r="O6914" t="s">
        <v>52</v>
      </c>
      <c r="Q6914" t="s">
        <v>192</v>
      </c>
      <c r="R6914" t="s">
        <v>6720</v>
      </c>
      <c r="S6914" t="s">
        <v>961</v>
      </c>
      <c r="T6914" t="s">
        <v>962</v>
      </c>
    </row>
    <row r="6915" spans="1:20" x14ac:dyDescent="0.25">
      <c r="A6915" t="s">
        <v>44</v>
      </c>
      <c r="B6915" t="s">
        <v>51</v>
      </c>
      <c r="C6915" t="s">
        <v>32</v>
      </c>
      <c r="D6915" t="s">
        <v>953</v>
      </c>
      <c r="E6915" t="s">
        <v>954</v>
      </c>
      <c r="F6915" t="s">
        <v>35</v>
      </c>
      <c r="G6915" t="s">
        <v>35</v>
      </c>
      <c r="H6915" t="s">
        <v>35</v>
      </c>
      <c r="J6915" t="s">
        <v>6752</v>
      </c>
      <c r="K6915" t="s">
        <v>1092</v>
      </c>
      <c r="M6915">
        <v>0.35</v>
      </c>
      <c r="N6915">
        <v>158</v>
      </c>
      <c r="O6915" t="s">
        <v>38</v>
      </c>
      <c r="Q6915" t="s">
        <v>1548</v>
      </c>
      <c r="R6915" t="s">
        <v>6720</v>
      </c>
      <c r="S6915" t="s">
        <v>961</v>
      </c>
      <c r="T6915" t="s">
        <v>962</v>
      </c>
    </row>
    <row r="6916" spans="1:20" x14ac:dyDescent="0.25">
      <c r="A6916" t="s">
        <v>59</v>
      </c>
      <c r="B6916" t="s">
        <v>31</v>
      </c>
      <c r="C6916" t="s">
        <v>32</v>
      </c>
      <c r="D6916" t="s">
        <v>953</v>
      </c>
      <c r="E6916" t="s">
        <v>954</v>
      </c>
      <c r="F6916" t="s">
        <v>35</v>
      </c>
      <c r="G6916" t="s">
        <v>35</v>
      </c>
      <c r="H6916" t="s">
        <v>35</v>
      </c>
      <c r="J6916" t="s">
        <v>6752</v>
      </c>
      <c r="K6916" t="s">
        <v>1092</v>
      </c>
      <c r="M6916">
        <v>0.45</v>
      </c>
      <c r="N6916">
        <v>85</v>
      </c>
      <c r="O6916" t="s">
        <v>61</v>
      </c>
      <c r="Q6916" t="s">
        <v>1100</v>
      </c>
      <c r="R6916" t="s">
        <v>6720</v>
      </c>
      <c r="S6916" t="s">
        <v>961</v>
      </c>
      <c r="T6916" t="s">
        <v>962</v>
      </c>
    </row>
    <row r="6917" spans="1:20" x14ac:dyDescent="0.25">
      <c r="A6917" t="s">
        <v>59</v>
      </c>
      <c r="B6917" t="s">
        <v>31</v>
      </c>
      <c r="C6917" t="s">
        <v>32</v>
      </c>
      <c r="D6917" t="s">
        <v>953</v>
      </c>
      <c r="E6917" t="s">
        <v>954</v>
      </c>
      <c r="F6917" t="s">
        <v>35</v>
      </c>
      <c r="G6917" t="s">
        <v>35</v>
      </c>
      <c r="H6917" t="s">
        <v>35</v>
      </c>
      <c r="J6917" t="s">
        <v>6752</v>
      </c>
      <c r="K6917" t="s">
        <v>1092</v>
      </c>
      <c r="M6917">
        <v>0.45</v>
      </c>
      <c r="N6917">
        <v>80</v>
      </c>
      <c r="O6917" t="s">
        <v>61</v>
      </c>
      <c r="Q6917" t="s">
        <v>1639</v>
      </c>
      <c r="R6917" t="s">
        <v>6720</v>
      </c>
      <c r="S6917" t="s">
        <v>961</v>
      </c>
      <c r="T6917" t="s">
        <v>962</v>
      </c>
    </row>
    <row r="6918" spans="1:20" x14ac:dyDescent="0.25">
      <c r="A6918" t="s">
        <v>59</v>
      </c>
      <c r="B6918" t="s">
        <v>60</v>
      </c>
      <c r="C6918" t="s">
        <v>32</v>
      </c>
      <c r="D6918" t="s">
        <v>953</v>
      </c>
      <c r="E6918" t="s">
        <v>954</v>
      </c>
      <c r="F6918" t="s">
        <v>35</v>
      </c>
      <c r="G6918" t="s">
        <v>35</v>
      </c>
      <c r="H6918" t="s">
        <v>35</v>
      </c>
      <c r="J6918" t="s">
        <v>6752</v>
      </c>
      <c r="K6918" t="s">
        <v>1092</v>
      </c>
      <c r="M6918">
        <v>0.25</v>
      </c>
      <c r="N6918">
        <v>39</v>
      </c>
      <c r="O6918" t="s">
        <v>52</v>
      </c>
      <c r="Q6918" t="s">
        <v>493</v>
      </c>
      <c r="R6918" t="s">
        <v>6720</v>
      </c>
      <c r="S6918" t="s">
        <v>961</v>
      </c>
      <c r="T6918" t="s">
        <v>962</v>
      </c>
    </row>
    <row r="6919" spans="1:20" x14ac:dyDescent="0.25">
      <c r="A6919" t="s">
        <v>44</v>
      </c>
      <c r="B6919" t="s">
        <v>3</v>
      </c>
      <c r="C6919" t="s">
        <v>32</v>
      </c>
      <c r="D6919" t="s">
        <v>953</v>
      </c>
      <c r="E6919" t="s">
        <v>954</v>
      </c>
      <c r="F6919" t="s">
        <v>35</v>
      </c>
      <c r="G6919" t="s">
        <v>35</v>
      </c>
      <c r="H6919" t="s">
        <v>35</v>
      </c>
      <c r="J6919" t="s">
        <v>6752</v>
      </c>
      <c r="K6919" t="s">
        <v>1092</v>
      </c>
      <c r="M6919">
        <v>0.15</v>
      </c>
      <c r="N6919">
        <v>437</v>
      </c>
      <c r="O6919" t="s">
        <v>294</v>
      </c>
      <c r="Q6919" t="s">
        <v>6753</v>
      </c>
      <c r="R6919" t="s">
        <v>6720</v>
      </c>
      <c r="S6919" t="s">
        <v>961</v>
      </c>
      <c r="T6919" t="s">
        <v>962</v>
      </c>
    </row>
    <row r="6920" spans="1:20" x14ac:dyDescent="0.25">
      <c r="A6920" t="s">
        <v>30</v>
      </c>
      <c r="B6920" t="s">
        <v>31</v>
      </c>
      <c r="C6920" t="s">
        <v>32</v>
      </c>
      <c r="D6920" t="s">
        <v>953</v>
      </c>
      <c r="E6920" t="s">
        <v>954</v>
      </c>
      <c r="F6920" t="s">
        <v>35</v>
      </c>
      <c r="G6920" t="s">
        <v>35</v>
      </c>
      <c r="H6920" t="s">
        <v>35</v>
      </c>
      <c r="J6920" t="s">
        <v>6752</v>
      </c>
      <c r="K6920" t="s">
        <v>1092</v>
      </c>
      <c r="M6920">
        <v>0.9</v>
      </c>
      <c r="N6920">
        <v>37</v>
      </c>
      <c r="O6920" t="s">
        <v>52</v>
      </c>
      <c r="Q6920" t="s">
        <v>192</v>
      </c>
      <c r="R6920" t="s">
        <v>6720</v>
      </c>
      <c r="S6920" t="s">
        <v>961</v>
      </c>
      <c r="T6920" t="s">
        <v>962</v>
      </c>
    </row>
    <row r="6921" spans="1:20" x14ac:dyDescent="0.25">
      <c r="A6921" t="s">
        <v>44</v>
      </c>
      <c r="B6921" t="s">
        <v>3</v>
      </c>
      <c r="C6921" t="s">
        <v>32</v>
      </c>
      <c r="D6921" t="s">
        <v>953</v>
      </c>
      <c r="E6921" t="s">
        <v>954</v>
      </c>
      <c r="F6921" t="s">
        <v>35</v>
      </c>
      <c r="G6921" t="s">
        <v>35</v>
      </c>
      <c r="H6921" t="s">
        <v>35</v>
      </c>
      <c r="J6921" t="s">
        <v>6752</v>
      </c>
      <c r="K6921" t="s">
        <v>1092</v>
      </c>
      <c r="M6921">
        <v>0.25</v>
      </c>
      <c r="N6921">
        <v>416</v>
      </c>
      <c r="O6921" t="s">
        <v>294</v>
      </c>
      <c r="Q6921" t="s">
        <v>1607</v>
      </c>
      <c r="R6921" t="s">
        <v>6720</v>
      </c>
      <c r="S6921" t="s">
        <v>961</v>
      </c>
      <c r="T6921" t="s">
        <v>962</v>
      </c>
    </row>
    <row r="6922" spans="1:20" x14ac:dyDescent="0.25">
      <c r="A6922" t="s">
        <v>44</v>
      </c>
      <c r="B6922" t="s">
        <v>51</v>
      </c>
      <c r="C6922" t="s">
        <v>32</v>
      </c>
      <c r="D6922" t="s">
        <v>953</v>
      </c>
      <c r="E6922" t="s">
        <v>954</v>
      </c>
      <c r="F6922" t="s">
        <v>35</v>
      </c>
      <c r="G6922" t="s">
        <v>35</v>
      </c>
      <c r="H6922" t="s">
        <v>35</v>
      </c>
      <c r="J6922" t="s">
        <v>6752</v>
      </c>
      <c r="K6922" t="s">
        <v>1092</v>
      </c>
      <c r="M6922">
        <v>0.5</v>
      </c>
      <c r="N6922">
        <v>232</v>
      </c>
      <c r="O6922" t="s">
        <v>5</v>
      </c>
      <c r="Q6922" t="s">
        <v>1471</v>
      </c>
      <c r="R6922" t="s">
        <v>6720</v>
      </c>
      <c r="S6922" t="s">
        <v>961</v>
      </c>
      <c r="T6922" t="s">
        <v>962</v>
      </c>
    </row>
    <row r="6923" spans="1:20" x14ac:dyDescent="0.25">
      <c r="A6923" t="s">
        <v>44</v>
      </c>
      <c r="B6923" t="s">
        <v>51</v>
      </c>
      <c r="C6923" t="s">
        <v>32</v>
      </c>
      <c r="D6923" t="s">
        <v>953</v>
      </c>
      <c r="E6923" t="s">
        <v>954</v>
      </c>
      <c r="F6923" t="s">
        <v>35</v>
      </c>
      <c r="G6923" t="s">
        <v>35</v>
      </c>
      <c r="H6923" t="s">
        <v>35</v>
      </c>
      <c r="J6923" t="s">
        <v>6752</v>
      </c>
      <c r="K6923" t="s">
        <v>1092</v>
      </c>
      <c r="M6923">
        <v>0.15</v>
      </c>
      <c r="N6923">
        <v>263</v>
      </c>
      <c r="O6923" t="s">
        <v>5</v>
      </c>
      <c r="Q6923" t="s">
        <v>2486</v>
      </c>
      <c r="R6923" t="s">
        <v>6720</v>
      </c>
      <c r="S6923" t="s">
        <v>961</v>
      </c>
      <c r="T6923" t="s">
        <v>962</v>
      </c>
    </row>
    <row r="6924" spans="1:20" x14ac:dyDescent="0.25">
      <c r="A6924" t="s">
        <v>44</v>
      </c>
      <c r="B6924" t="s">
        <v>51</v>
      </c>
      <c r="C6924" t="s">
        <v>32</v>
      </c>
      <c r="D6924" t="s">
        <v>953</v>
      </c>
      <c r="E6924" t="s">
        <v>954</v>
      </c>
      <c r="F6924" t="s">
        <v>35</v>
      </c>
      <c r="G6924" t="s">
        <v>35</v>
      </c>
      <c r="H6924" t="s">
        <v>35</v>
      </c>
      <c r="J6924" t="s">
        <v>6752</v>
      </c>
      <c r="K6924" t="s">
        <v>1092</v>
      </c>
      <c r="M6924">
        <v>0.25</v>
      </c>
      <c r="N6924">
        <v>499</v>
      </c>
      <c r="O6924" t="s">
        <v>294</v>
      </c>
      <c r="Q6924" t="s">
        <v>2101</v>
      </c>
      <c r="R6924" t="s">
        <v>6720</v>
      </c>
      <c r="S6924" t="s">
        <v>961</v>
      </c>
      <c r="T6924" t="s">
        <v>962</v>
      </c>
    </row>
    <row r="6925" spans="1:20" x14ac:dyDescent="0.25">
      <c r="A6925" t="s">
        <v>44</v>
      </c>
      <c r="B6925" t="s">
        <v>51</v>
      </c>
      <c r="C6925" t="s">
        <v>32</v>
      </c>
      <c r="D6925" t="s">
        <v>953</v>
      </c>
      <c r="E6925" t="s">
        <v>954</v>
      </c>
      <c r="F6925" t="s">
        <v>35</v>
      </c>
      <c r="G6925" t="s">
        <v>35</v>
      </c>
      <c r="H6925" t="s">
        <v>35</v>
      </c>
      <c r="J6925" t="s">
        <v>6752</v>
      </c>
      <c r="K6925" t="s">
        <v>1092</v>
      </c>
      <c r="M6925">
        <v>0.25</v>
      </c>
      <c r="N6925">
        <v>488</v>
      </c>
      <c r="O6925" t="s">
        <v>294</v>
      </c>
      <c r="Q6925" t="s">
        <v>2610</v>
      </c>
      <c r="R6925" t="s">
        <v>6720</v>
      </c>
      <c r="S6925" t="s">
        <v>961</v>
      </c>
      <c r="T6925" t="s">
        <v>962</v>
      </c>
    </row>
    <row r="6926" spans="1:20" x14ac:dyDescent="0.25">
      <c r="A6926" t="s">
        <v>44</v>
      </c>
      <c r="B6926" t="s">
        <v>51</v>
      </c>
      <c r="C6926" t="s">
        <v>32</v>
      </c>
      <c r="D6926" t="s">
        <v>953</v>
      </c>
      <c r="E6926" t="s">
        <v>954</v>
      </c>
      <c r="F6926" t="s">
        <v>35</v>
      </c>
      <c r="G6926" t="s">
        <v>35</v>
      </c>
      <c r="H6926" t="s">
        <v>35</v>
      </c>
      <c r="J6926" t="s">
        <v>6752</v>
      </c>
      <c r="K6926" t="s">
        <v>1092</v>
      </c>
      <c r="M6926">
        <v>2</v>
      </c>
      <c r="N6926">
        <v>485</v>
      </c>
      <c r="O6926" t="s">
        <v>294</v>
      </c>
      <c r="Q6926" t="s">
        <v>1186</v>
      </c>
      <c r="R6926" t="s">
        <v>6720</v>
      </c>
      <c r="S6926" t="s">
        <v>961</v>
      </c>
      <c r="T6926" t="s">
        <v>962</v>
      </c>
    </row>
    <row r="6927" spans="1:20" x14ac:dyDescent="0.25">
      <c r="A6927" t="s">
        <v>44</v>
      </c>
      <c r="B6927" t="s">
        <v>51</v>
      </c>
      <c r="C6927" t="s">
        <v>32</v>
      </c>
      <c r="D6927" t="s">
        <v>953</v>
      </c>
      <c r="E6927" t="s">
        <v>954</v>
      </c>
      <c r="F6927" t="s">
        <v>35</v>
      </c>
      <c r="G6927" t="s">
        <v>35</v>
      </c>
      <c r="H6927" t="s">
        <v>35</v>
      </c>
      <c r="J6927" t="s">
        <v>6752</v>
      </c>
      <c r="K6927" t="s">
        <v>1092</v>
      </c>
      <c r="M6927">
        <v>0.5</v>
      </c>
      <c r="N6927">
        <v>470</v>
      </c>
      <c r="O6927" t="s">
        <v>294</v>
      </c>
      <c r="Q6927" t="s">
        <v>6754</v>
      </c>
      <c r="R6927" t="s">
        <v>6720</v>
      </c>
      <c r="S6927" t="s">
        <v>961</v>
      </c>
      <c r="T6927" t="s">
        <v>962</v>
      </c>
    </row>
    <row r="6928" spans="1:20" x14ac:dyDescent="0.25">
      <c r="A6928" t="s">
        <v>44</v>
      </c>
      <c r="B6928" t="s">
        <v>51</v>
      </c>
      <c r="C6928" t="s">
        <v>32</v>
      </c>
      <c r="D6928" t="s">
        <v>953</v>
      </c>
      <c r="E6928" t="s">
        <v>954</v>
      </c>
      <c r="F6928" t="s">
        <v>35</v>
      </c>
      <c r="G6928" t="s">
        <v>35</v>
      </c>
      <c r="H6928" t="s">
        <v>35</v>
      </c>
      <c r="J6928" t="s">
        <v>6752</v>
      </c>
      <c r="K6928" t="s">
        <v>1092</v>
      </c>
      <c r="M6928">
        <v>0.25</v>
      </c>
      <c r="N6928">
        <v>150</v>
      </c>
      <c r="O6928" t="s">
        <v>38</v>
      </c>
      <c r="Q6928" t="s">
        <v>1145</v>
      </c>
      <c r="R6928" t="s">
        <v>6720</v>
      </c>
      <c r="S6928" t="s">
        <v>961</v>
      </c>
      <c r="T6928" t="s">
        <v>962</v>
      </c>
    </row>
    <row r="6929" spans="1:20" x14ac:dyDescent="0.25">
      <c r="A6929" t="s">
        <v>59</v>
      </c>
      <c r="B6929" t="s">
        <v>31</v>
      </c>
      <c r="C6929" t="s">
        <v>32</v>
      </c>
      <c r="D6929" t="s">
        <v>953</v>
      </c>
      <c r="E6929" t="s">
        <v>954</v>
      </c>
      <c r="F6929" t="s">
        <v>35</v>
      </c>
      <c r="G6929" t="s">
        <v>35</v>
      </c>
      <c r="H6929" t="s">
        <v>35</v>
      </c>
      <c r="J6929" t="s">
        <v>6752</v>
      </c>
      <c r="K6929" t="s">
        <v>1092</v>
      </c>
      <c r="M6929">
        <v>1.08</v>
      </c>
      <c r="N6929">
        <v>135</v>
      </c>
      <c r="O6929" t="s">
        <v>38</v>
      </c>
      <c r="Q6929" t="s">
        <v>2067</v>
      </c>
      <c r="R6929" t="s">
        <v>6720</v>
      </c>
      <c r="S6929" t="s">
        <v>961</v>
      </c>
      <c r="T6929" t="s">
        <v>962</v>
      </c>
    </row>
    <row r="6930" spans="1:20" x14ac:dyDescent="0.25">
      <c r="A6930" t="s">
        <v>59</v>
      </c>
      <c r="B6930" t="s">
        <v>60</v>
      </c>
      <c r="C6930" t="s">
        <v>32</v>
      </c>
      <c r="D6930" t="s">
        <v>953</v>
      </c>
      <c r="E6930" t="s">
        <v>7558</v>
      </c>
      <c r="F6930" t="s">
        <v>35</v>
      </c>
      <c r="G6930" t="s">
        <v>35</v>
      </c>
      <c r="H6930" t="s">
        <v>35</v>
      </c>
      <c r="J6930" t="s">
        <v>7608</v>
      </c>
      <c r="K6930" t="s">
        <v>1092</v>
      </c>
      <c r="M6930">
        <v>0.05</v>
      </c>
      <c r="N6930">
        <v>362</v>
      </c>
      <c r="O6930" t="s">
        <v>5</v>
      </c>
      <c r="Q6930" t="s">
        <v>2769</v>
      </c>
      <c r="R6930" t="s">
        <v>6720</v>
      </c>
      <c r="S6930" t="s">
        <v>961</v>
      </c>
      <c r="T6930" t="s">
        <v>962</v>
      </c>
    </row>
    <row r="6931" spans="1:20" x14ac:dyDescent="0.25">
      <c r="A6931" t="s">
        <v>30</v>
      </c>
      <c r="B6931" t="s">
        <v>31</v>
      </c>
      <c r="C6931" t="s">
        <v>32</v>
      </c>
      <c r="D6931" t="s">
        <v>953</v>
      </c>
      <c r="E6931" t="s">
        <v>7558</v>
      </c>
      <c r="F6931" t="s">
        <v>35</v>
      </c>
      <c r="G6931" t="s">
        <v>35</v>
      </c>
      <c r="H6931" t="s">
        <v>35</v>
      </c>
      <c r="J6931" t="s">
        <v>7608</v>
      </c>
      <c r="K6931" t="s">
        <v>1092</v>
      </c>
      <c r="M6931">
        <v>0.09</v>
      </c>
      <c r="N6931">
        <v>450</v>
      </c>
      <c r="O6931" t="s">
        <v>294</v>
      </c>
      <c r="Q6931" t="s">
        <v>2104</v>
      </c>
      <c r="R6931" t="s">
        <v>6720</v>
      </c>
      <c r="S6931" t="s">
        <v>961</v>
      </c>
      <c r="T6931" t="s">
        <v>962</v>
      </c>
    </row>
    <row r="6932" spans="1:20" x14ac:dyDescent="0.25">
      <c r="A6932" t="s">
        <v>59</v>
      </c>
      <c r="B6932" t="s">
        <v>60</v>
      </c>
      <c r="C6932" t="s">
        <v>32</v>
      </c>
      <c r="D6932" t="s">
        <v>953</v>
      </c>
      <c r="E6932" t="s">
        <v>7558</v>
      </c>
      <c r="F6932" t="s">
        <v>35</v>
      </c>
      <c r="G6932" t="s">
        <v>35</v>
      </c>
      <c r="H6932" t="s">
        <v>35</v>
      </c>
      <c r="J6932" t="s">
        <v>7608</v>
      </c>
      <c r="K6932" t="s">
        <v>1092</v>
      </c>
      <c r="M6932">
        <v>0.1</v>
      </c>
      <c r="N6932">
        <v>226</v>
      </c>
      <c r="O6932" t="s">
        <v>5</v>
      </c>
      <c r="Q6932" t="s">
        <v>2002</v>
      </c>
      <c r="R6932" t="s">
        <v>6720</v>
      </c>
      <c r="S6932" t="s">
        <v>961</v>
      </c>
      <c r="T6932" t="s">
        <v>962</v>
      </c>
    </row>
    <row r="6933" spans="1:20" x14ac:dyDescent="0.25">
      <c r="A6933" t="s">
        <v>59</v>
      </c>
      <c r="B6933" t="s">
        <v>31</v>
      </c>
      <c r="C6933" t="s">
        <v>32</v>
      </c>
      <c r="D6933" t="s">
        <v>953</v>
      </c>
      <c r="E6933" t="s">
        <v>7558</v>
      </c>
      <c r="F6933" t="s">
        <v>35</v>
      </c>
      <c r="G6933" t="s">
        <v>35</v>
      </c>
      <c r="H6933" t="s">
        <v>35</v>
      </c>
      <c r="J6933" t="s">
        <v>7608</v>
      </c>
      <c r="K6933" t="s">
        <v>1092</v>
      </c>
      <c r="M6933">
        <v>4.4999999999999998E-2</v>
      </c>
      <c r="N6933">
        <v>616</v>
      </c>
      <c r="O6933" t="s">
        <v>575</v>
      </c>
      <c r="Q6933" t="s">
        <v>6812</v>
      </c>
      <c r="R6933" t="s">
        <v>6720</v>
      </c>
      <c r="S6933" t="s">
        <v>961</v>
      </c>
      <c r="T6933" t="s">
        <v>962</v>
      </c>
    </row>
    <row r="6934" spans="1:20" x14ac:dyDescent="0.25">
      <c r="A6934" t="s">
        <v>59</v>
      </c>
      <c r="B6934" t="s">
        <v>60</v>
      </c>
      <c r="C6934" t="s">
        <v>32</v>
      </c>
      <c r="D6934" t="s">
        <v>953</v>
      </c>
      <c r="E6934" t="s">
        <v>7558</v>
      </c>
      <c r="F6934" t="s">
        <v>35</v>
      </c>
      <c r="G6934" t="s">
        <v>35</v>
      </c>
      <c r="H6934" t="s">
        <v>35</v>
      </c>
      <c r="J6934" t="s">
        <v>7608</v>
      </c>
      <c r="K6934" t="s">
        <v>1092</v>
      </c>
      <c r="M6934">
        <v>0.1</v>
      </c>
      <c r="N6934">
        <v>246</v>
      </c>
      <c r="O6934" t="s">
        <v>5</v>
      </c>
      <c r="Q6934" t="s">
        <v>1502</v>
      </c>
      <c r="R6934" t="s">
        <v>6720</v>
      </c>
      <c r="S6934" t="s">
        <v>961</v>
      </c>
      <c r="T6934" t="s">
        <v>962</v>
      </c>
    </row>
    <row r="6935" spans="1:20" x14ac:dyDescent="0.25">
      <c r="A6935" t="s">
        <v>59</v>
      </c>
      <c r="B6935" t="s">
        <v>60</v>
      </c>
      <c r="C6935" t="s">
        <v>32</v>
      </c>
      <c r="D6935" t="s">
        <v>953</v>
      </c>
      <c r="E6935" t="s">
        <v>7558</v>
      </c>
      <c r="F6935" t="s">
        <v>35</v>
      </c>
      <c r="G6935" t="s">
        <v>35</v>
      </c>
      <c r="H6935" t="s">
        <v>35</v>
      </c>
      <c r="J6935" t="s">
        <v>7608</v>
      </c>
      <c r="K6935" t="s">
        <v>1092</v>
      </c>
      <c r="M6935">
        <v>0.25</v>
      </c>
      <c r="N6935">
        <v>271</v>
      </c>
      <c r="O6935" t="s">
        <v>5</v>
      </c>
      <c r="Q6935" t="s">
        <v>1724</v>
      </c>
      <c r="R6935" t="s">
        <v>6720</v>
      </c>
      <c r="S6935" t="s">
        <v>961</v>
      </c>
      <c r="T6935" t="s">
        <v>962</v>
      </c>
    </row>
    <row r="6936" spans="1:20" x14ac:dyDescent="0.25">
      <c r="A6936" t="s">
        <v>59</v>
      </c>
      <c r="B6936" t="s">
        <v>60</v>
      </c>
      <c r="C6936" t="s">
        <v>32</v>
      </c>
      <c r="D6936" t="s">
        <v>953</v>
      </c>
      <c r="E6936" t="s">
        <v>7558</v>
      </c>
      <c r="F6936" t="s">
        <v>35</v>
      </c>
      <c r="G6936" t="s">
        <v>35</v>
      </c>
      <c r="H6936" t="s">
        <v>35</v>
      </c>
      <c r="J6936" t="s">
        <v>2669</v>
      </c>
      <c r="K6936" t="s">
        <v>1092</v>
      </c>
      <c r="M6936">
        <v>0.1</v>
      </c>
      <c r="N6936">
        <v>37</v>
      </c>
      <c r="O6936" t="s">
        <v>52</v>
      </c>
      <c r="Q6936" t="s">
        <v>192</v>
      </c>
      <c r="R6936" t="s">
        <v>6720</v>
      </c>
      <c r="S6936" t="s">
        <v>961</v>
      </c>
      <c r="T6936" t="s">
        <v>962</v>
      </c>
    </row>
    <row r="6937" spans="1:20" x14ac:dyDescent="0.25">
      <c r="A6937" t="s">
        <v>59</v>
      </c>
      <c r="B6937" t="s">
        <v>60</v>
      </c>
      <c r="C6937" t="s">
        <v>32</v>
      </c>
      <c r="D6937" t="s">
        <v>953</v>
      </c>
      <c r="E6937" t="s">
        <v>7558</v>
      </c>
      <c r="F6937" t="s">
        <v>35</v>
      </c>
      <c r="G6937" t="s">
        <v>35</v>
      </c>
      <c r="H6937" t="s">
        <v>35</v>
      </c>
      <c r="J6937" t="s">
        <v>2669</v>
      </c>
      <c r="K6937" t="s">
        <v>1092</v>
      </c>
      <c r="M6937">
        <v>0.35</v>
      </c>
      <c r="N6937">
        <v>32</v>
      </c>
      <c r="O6937" t="s">
        <v>52</v>
      </c>
      <c r="Q6937" t="s">
        <v>816</v>
      </c>
      <c r="R6937" t="s">
        <v>6720</v>
      </c>
      <c r="S6937" t="s">
        <v>961</v>
      </c>
      <c r="T6937" t="s">
        <v>962</v>
      </c>
    </row>
    <row r="6938" spans="1:20" x14ac:dyDescent="0.25">
      <c r="A6938" t="s">
        <v>44</v>
      </c>
      <c r="B6938" t="s">
        <v>51</v>
      </c>
      <c r="C6938" t="s">
        <v>32</v>
      </c>
      <c r="D6938" t="s">
        <v>953</v>
      </c>
      <c r="E6938" t="s">
        <v>7558</v>
      </c>
      <c r="F6938" t="s">
        <v>35</v>
      </c>
      <c r="G6938" t="s">
        <v>35</v>
      </c>
      <c r="H6938" t="s">
        <v>35</v>
      </c>
      <c r="J6938" t="s">
        <v>2669</v>
      </c>
      <c r="K6938" t="s">
        <v>1092</v>
      </c>
      <c r="M6938">
        <v>0.1</v>
      </c>
      <c r="N6938">
        <v>23</v>
      </c>
      <c r="O6938" t="s">
        <v>46</v>
      </c>
      <c r="Q6938" t="s">
        <v>793</v>
      </c>
      <c r="R6938" t="s">
        <v>6720</v>
      </c>
      <c r="S6938" t="s">
        <v>961</v>
      </c>
      <c r="T6938" t="s">
        <v>962</v>
      </c>
    </row>
    <row r="6939" spans="1:20" x14ac:dyDescent="0.25">
      <c r="A6939" t="s">
        <v>44</v>
      </c>
      <c r="B6939" t="s">
        <v>3</v>
      </c>
      <c r="C6939" t="s">
        <v>32</v>
      </c>
      <c r="D6939" t="s">
        <v>953</v>
      </c>
      <c r="E6939" t="s">
        <v>7558</v>
      </c>
      <c r="F6939" t="s">
        <v>35</v>
      </c>
      <c r="G6939" t="s">
        <v>35</v>
      </c>
      <c r="H6939" t="s">
        <v>35</v>
      </c>
      <c r="J6939" t="s">
        <v>2669</v>
      </c>
      <c r="K6939" t="s">
        <v>1092</v>
      </c>
      <c r="M6939">
        <v>0.1</v>
      </c>
      <c r="N6939">
        <v>14</v>
      </c>
      <c r="O6939" t="s">
        <v>46</v>
      </c>
      <c r="Q6939" t="s">
        <v>1874</v>
      </c>
      <c r="R6939" t="s">
        <v>6720</v>
      </c>
      <c r="S6939" t="s">
        <v>961</v>
      </c>
      <c r="T6939" t="s">
        <v>962</v>
      </c>
    </row>
    <row r="6940" spans="1:20" x14ac:dyDescent="0.25">
      <c r="A6940" t="s">
        <v>30</v>
      </c>
      <c r="B6940" t="s">
        <v>31</v>
      </c>
      <c r="C6940" t="s">
        <v>32</v>
      </c>
      <c r="D6940" t="s">
        <v>953</v>
      </c>
      <c r="E6940" t="s">
        <v>7558</v>
      </c>
      <c r="F6940" t="s">
        <v>35</v>
      </c>
      <c r="G6940" t="s">
        <v>35</v>
      </c>
      <c r="H6940" t="s">
        <v>35</v>
      </c>
      <c r="J6940" t="s">
        <v>2669</v>
      </c>
      <c r="K6940" t="s">
        <v>1092</v>
      </c>
      <c r="M6940">
        <v>0.63</v>
      </c>
      <c r="N6940">
        <v>14</v>
      </c>
      <c r="O6940" t="s">
        <v>46</v>
      </c>
      <c r="Q6940" t="s">
        <v>1874</v>
      </c>
      <c r="R6940" t="s">
        <v>6720</v>
      </c>
      <c r="S6940" t="s">
        <v>961</v>
      </c>
      <c r="T6940" t="s">
        <v>962</v>
      </c>
    </row>
    <row r="6941" spans="1:20" x14ac:dyDescent="0.25">
      <c r="A6941" t="s">
        <v>30</v>
      </c>
      <c r="B6941" t="s">
        <v>31</v>
      </c>
      <c r="C6941" t="s">
        <v>32</v>
      </c>
      <c r="D6941" t="s">
        <v>953</v>
      </c>
      <c r="E6941" t="s">
        <v>7558</v>
      </c>
      <c r="F6941" t="s">
        <v>35</v>
      </c>
      <c r="G6941" t="s">
        <v>35</v>
      </c>
      <c r="H6941" t="s">
        <v>35</v>
      </c>
      <c r="J6941" t="s">
        <v>2669</v>
      </c>
      <c r="K6941" t="s">
        <v>1092</v>
      </c>
      <c r="M6941">
        <v>0.13500000000000001</v>
      </c>
      <c r="N6941">
        <v>37</v>
      </c>
      <c r="O6941" t="s">
        <v>52</v>
      </c>
      <c r="Q6941" t="s">
        <v>192</v>
      </c>
      <c r="R6941" t="s">
        <v>6720</v>
      </c>
      <c r="S6941" t="s">
        <v>961</v>
      </c>
      <c r="T6941" t="s">
        <v>962</v>
      </c>
    </row>
    <row r="6942" spans="1:20" x14ac:dyDescent="0.25">
      <c r="A6942" t="s">
        <v>30</v>
      </c>
      <c r="B6942" t="s">
        <v>31</v>
      </c>
      <c r="C6942" t="s">
        <v>32</v>
      </c>
      <c r="D6942" t="s">
        <v>953</v>
      </c>
      <c r="E6942" t="s">
        <v>7558</v>
      </c>
      <c r="F6942" t="s">
        <v>35</v>
      </c>
      <c r="G6942" t="s">
        <v>35</v>
      </c>
      <c r="H6942" t="s">
        <v>35</v>
      </c>
      <c r="J6942" t="s">
        <v>2669</v>
      </c>
      <c r="K6942" t="s">
        <v>1092</v>
      </c>
      <c r="M6942">
        <v>0.72</v>
      </c>
      <c r="N6942">
        <v>23</v>
      </c>
      <c r="O6942" t="s">
        <v>46</v>
      </c>
      <c r="Q6942" t="s">
        <v>793</v>
      </c>
      <c r="R6942" t="s">
        <v>6720</v>
      </c>
      <c r="S6942" t="s">
        <v>961</v>
      </c>
      <c r="T6942" t="s">
        <v>962</v>
      </c>
    </row>
    <row r="6943" spans="1:20" x14ac:dyDescent="0.25">
      <c r="A6943" t="s">
        <v>59</v>
      </c>
      <c r="B6943" t="s">
        <v>31</v>
      </c>
      <c r="C6943" t="s">
        <v>32</v>
      </c>
      <c r="D6943" t="s">
        <v>953</v>
      </c>
      <c r="F6943" t="s">
        <v>35</v>
      </c>
      <c r="G6943" t="s">
        <v>35</v>
      </c>
      <c r="H6943" t="s">
        <v>35</v>
      </c>
      <c r="J6943" t="s">
        <v>7890</v>
      </c>
      <c r="K6943" t="s">
        <v>1144</v>
      </c>
      <c r="M6943">
        <v>8.9550000000000001</v>
      </c>
      <c r="N6943">
        <v>235</v>
      </c>
      <c r="O6943" t="s">
        <v>5</v>
      </c>
      <c r="Q6943" t="s">
        <v>2904</v>
      </c>
      <c r="R6943" t="s">
        <v>6720</v>
      </c>
      <c r="S6943" t="s">
        <v>961</v>
      </c>
      <c r="T6943" t="s">
        <v>962</v>
      </c>
    </row>
    <row r="6944" spans="1:20" x14ac:dyDescent="0.25">
      <c r="A6944" t="s">
        <v>30</v>
      </c>
      <c r="B6944" t="s">
        <v>31</v>
      </c>
      <c r="C6944" t="s">
        <v>32</v>
      </c>
      <c r="D6944" t="s">
        <v>953</v>
      </c>
      <c r="E6944" t="s">
        <v>954</v>
      </c>
      <c r="F6944" t="s">
        <v>35</v>
      </c>
      <c r="G6944" t="s">
        <v>35</v>
      </c>
      <c r="H6944" t="s">
        <v>35</v>
      </c>
      <c r="J6944" t="s">
        <v>6842</v>
      </c>
      <c r="K6944" t="s">
        <v>1092</v>
      </c>
      <c r="M6944">
        <v>0.09</v>
      </c>
      <c r="N6944">
        <v>23</v>
      </c>
      <c r="O6944" t="s">
        <v>46</v>
      </c>
      <c r="Q6944" t="s">
        <v>793</v>
      </c>
      <c r="R6944" t="s">
        <v>6720</v>
      </c>
      <c r="S6944" t="s">
        <v>961</v>
      </c>
      <c r="T6944" t="s">
        <v>962</v>
      </c>
    </row>
    <row r="6945" spans="1:20" x14ac:dyDescent="0.25">
      <c r="A6945" t="s">
        <v>44</v>
      </c>
      <c r="B6945" t="s">
        <v>3</v>
      </c>
      <c r="C6945" t="s">
        <v>32</v>
      </c>
      <c r="D6945" t="s">
        <v>953</v>
      </c>
      <c r="E6945" t="s">
        <v>954</v>
      </c>
      <c r="F6945" t="s">
        <v>35</v>
      </c>
      <c r="G6945" t="s">
        <v>35</v>
      </c>
      <c r="H6945" t="s">
        <v>35</v>
      </c>
      <c r="J6945" t="s">
        <v>6842</v>
      </c>
      <c r="K6945" t="s">
        <v>1092</v>
      </c>
      <c r="M6945">
        <v>0.4</v>
      </c>
      <c r="N6945">
        <v>32</v>
      </c>
      <c r="O6945" t="s">
        <v>52</v>
      </c>
      <c r="Q6945" t="s">
        <v>816</v>
      </c>
      <c r="R6945" t="s">
        <v>6720</v>
      </c>
      <c r="S6945" t="s">
        <v>961</v>
      </c>
      <c r="T6945" t="s">
        <v>962</v>
      </c>
    </row>
    <row r="6946" spans="1:20" x14ac:dyDescent="0.25">
      <c r="A6946" t="s">
        <v>59</v>
      </c>
      <c r="B6946" t="s">
        <v>60</v>
      </c>
      <c r="C6946" t="s">
        <v>32</v>
      </c>
      <c r="D6946" t="s">
        <v>953</v>
      </c>
      <c r="E6946" t="s">
        <v>954</v>
      </c>
      <c r="F6946" t="s">
        <v>35</v>
      </c>
      <c r="G6946" t="s">
        <v>35</v>
      </c>
      <c r="H6946" t="s">
        <v>35</v>
      </c>
      <c r="J6946" t="s">
        <v>6842</v>
      </c>
      <c r="K6946" t="s">
        <v>1092</v>
      </c>
      <c r="M6946">
        <v>0.1</v>
      </c>
      <c r="N6946">
        <v>39</v>
      </c>
      <c r="O6946" t="s">
        <v>52</v>
      </c>
      <c r="Q6946" t="s">
        <v>493</v>
      </c>
      <c r="R6946" t="s">
        <v>6720</v>
      </c>
      <c r="S6946" t="s">
        <v>961</v>
      </c>
      <c r="T6946" t="s">
        <v>962</v>
      </c>
    </row>
    <row r="6947" spans="1:20" x14ac:dyDescent="0.25">
      <c r="A6947" t="s">
        <v>44</v>
      </c>
      <c r="B6947" t="s">
        <v>3</v>
      </c>
      <c r="C6947" t="s">
        <v>32</v>
      </c>
      <c r="D6947" t="s">
        <v>953</v>
      </c>
      <c r="E6947" t="s">
        <v>954</v>
      </c>
      <c r="F6947" t="s">
        <v>35</v>
      </c>
      <c r="G6947" t="s">
        <v>35</v>
      </c>
      <c r="H6947" t="s">
        <v>35</v>
      </c>
      <c r="J6947" t="s">
        <v>6842</v>
      </c>
      <c r="K6947" t="s">
        <v>1092</v>
      </c>
      <c r="M6947">
        <v>0.6</v>
      </c>
      <c r="N6947">
        <v>37</v>
      </c>
      <c r="O6947" t="s">
        <v>52</v>
      </c>
      <c r="Q6947" t="s">
        <v>192</v>
      </c>
      <c r="R6947" t="s">
        <v>6720</v>
      </c>
      <c r="S6947" t="s">
        <v>961</v>
      </c>
      <c r="T6947" t="s">
        <v>962</v>
      </c>
    </row>
    <row r="6948" spans="1:20" x14ac:dyDescent="0.25">
      <c r="A6948" t="s">
        <v>59</v>
      </c>
      <c r="B6948" t="s">
        <v>60</v>
      </c>
      <c r="C6948" t="s">
        <v>32</v>
      </c>
      <c r="D6948" t="s">
        <v>953</v>
      </c>
      <c r="E6948" t="s">
        <v>954</v>
      </c>
      <c r="F6948" t="s">
        <v>35</v>
      </c>
      <c r="G6948" t="s">
        <v>35</v>
      </c>
      <c r="H6948" t="s">
        <v>35</v>
      </c>
      <c r="J6948" t="s">
        <v>6842</v>
      </c>
      <c r="K6948" t="s">
        <v>1092</v>
      </c>
      <c r="M6948">
        <v>0.45</v>
      </c>
      <c r="N6948">
        <v>45</v>
      </c>
      <c r="O6948" t="s">
        <v>52</v>
      </c>
      <c r="Q6948" t="s">
        <v>1230</v>
      </c>
      <c r="R6948" t="s">
        <v>6720</v>
      </c>
      <c r="S6948" t="s">
        <v>961</v>
      </c>
      <c r="T6948" t="s">
        <v>962</v>
      </c>
    </row>
    <row r="6949" spans="1:20" x14ac:dyDescent="0.25">
      <c r="A6949" t="s">
        <v>59</v>
      </c>
      <c r="B6949" t="s">
        <v>60</v>
      </c>
      <c r="C6949" t="s">
        <v>32</v>
      </c>
      <c r="D6949" t="s">
        <v>953</v>
      </c>
      <c r="E6949" t="s">
        <v>954</v>
      </c>
      <c r="F6949" t="s">
        <v>35</v>
      </c>
      <c r="G6949" t="s">
        <v>35</v>
      </c>
      <c r="H6949" t="s">
        <v>35</v>
      </c>
      <c r="J6949" t="s">
        <v>6842</v>
      </c>
      <c r="K6949" t="s">
        <v>1092</v>
      </c>
      <c r="M6949">
        <v>0.2</v>
      </c>
      <c r="N6949">
        <v>49</v>
      </c>
      <c r="O6949" t="s">
        <v>52</v>
      </c>
      <c r="Q6949" t="s">
        <v>453</v>
      </c>
      <c r="R6949" t="s">
        <v>6720</v>
      </c>
      <c r="S6949" t="s">
        <v>961</v>
      </c>
      <c r="T6949" t="s">
        <v>962</v>
      </c>
    </row>
    <row r="6950" spans="1:20" x14ac:dyDescent="0.25">
      <c r="A6950" t="s">
        <v>59</v>
      </c>
      <c r="B6950" t="s">
        <v>60</v>
      </c>
      <c r="C6950" t="s">
        <v>32</v>
      </c>
      <c r="D6950" t="s">
        <v>953</v>
      </c>
      <c r="E6950" t="s">
        <v>954</v>
      </c>
      <c r="F6950" t="s">
        <v>35</v>
      </c>
      <c r="G6950" t="s">
        <v>35</v>
      </c>
      <c r="H6950" t="s">
        <v>35</v>
      </c>
      <c r="J6950" t="s">
        <v>6842</v>
      </c>
      <c r="K6950" t="s">
        <v>1092</v>
      </c>
      <c r="M6950">
        <v>0.2</v>
      </c>
      <c r="N6950">
        <v>54</v>
      </c>
      <c r="O6950" t="s">
        <v>52</v>
      </c>
      <c r="Q6950" t="s">
        <v>671</v>
      </c>
      <c r="R6950" t="s">
        <v>6720</v>
      </c>
      <c r="S6950" t="s">
        <v>961</v>
      </c>
      <c r="T6950" t="s">
        <v>962</v>
      </c>
    </row>
    <row r="6951" spans="1:20" x14ac:dyDescent="0.25">
      <c r="A6951" t="s">
        <v>44</v>
      </c>
      <c r="B6951" t="s">
        <v>3</v>
      </c>
      <c r="C6951" t="s">
        <v>32</v>
      </c>
      <c r="D6951" t="s">
        <v>953</v>
      </c>
      <c r="E6951" t="s">
        <v>954</v>
      </c>
      <c r="F6951" t="s">
        <v>35</v>
      </c>
      <c r="G6951" t="s">
        <v>35</v>
      </c>
      <c r="H6951" t="s">
        <v>35</v>
      </c>
      <c r="J6951" t="s">
        <v>6842</v>
      </c>
      <c r="K6951" t="s">
        <v>1092</v>
      </c>
      <c r="M6951">
        <v>0.25</v>
      </c>
      <c r="N6951">
        <v>23</v>
      </c>
      <c r="O6951" t="s">
        <v>46</v>
      </c>
      <c r="Q6951" t="s">
        <v>793</v>
      </c>
      <c r="R6951" t="s">
        <v>6720</v>
      </c>
      <c r="S6951" t="s">
        <v>961</v>
      </c>
      <c r="T6951" t="s">
        <v>962</v>
      </c>
    </row>
    <row r="6952" spans="1:20" x14ac:dyDescent="0.25">
      <c r="A6952" t="s">
        <v>30</v>
      </c>
      <c r="B6952" t="s">
        <v>31</v>
      </c>
      <c r="C6952" t="s">
        <v>32</v>
      </c>
      <c r="D6952" t="s">
        <v>953</v>
      </c>
      <c r="E6952" t="s">
        <v>954</v>
      </c>
      <c r="F6952" t="s">
        <v>35</v>
      </c>
      <c r="G6952" t="s">
        <v>35</v>
      </c>
      <c r="H6952" t="s">
        <v>35</v>
      </c>
      <c r="J6952" t="s">
        <v>6842</v>
      </c>
      <c r="K6952" t="s">
        <v>1092</v>
      </c>
      <c r="M6952">
        <v>0.13500000000000001</v>
      </c>
      <c r="N6952">
        <v>9</v>
      </c>
      <c r="O6952" t="s">
        <v>46</v>
      </c>
      <c r="Q6952" t="s">
        <v>323</v>
      </c>
      <c r="R6952" t="s">
        <v>6720</v>
      </c>
      <c r="S6952" t="s">
        <v>961</v>
      </c>
      <c r="T6952" t="s">
        <v>962</v>
      </c>
    </row>
    <row r="6953" spans="1:20" x14ac:dyDescent="0.25">
      <c r="A6953" t="s">
        <v>44</v>
      </c>
      <c r="B6953" t="s">
        <v>3</v>
      </c>
      <c r="C6953" t="s">
        <v>32</v>
      </c>
      <c r="D6953" t="s">
        <v>953</v>
      </c>
      <c r="E6953" t="s">
        <v>954</v>
      </c>
      <c r="F6953" t="s">
        <v>35</v>
      </c>
      <c r="G6953" t="s">
        <v>35</v>
      </c>
      <c r="H6953" t="s">
        <v>35</v>
      </c>
      <c r="J6953" t="s">
        <v>6842</v>
      </c>
      <c r="K6953" t="s">
        <v>1092</v>
      </c>
      <c r="M6953">
        <v>0.3</v>
      </c>
      <c r="N6953">
        <v>39</v>
      </c>
      <c r="O6953" t="s">
        <v>52</v>
      </c>
      <c r="Q6953" t="s">
        <v>493</v>
      </c>
      <c r="R6953" t="s">
        <v>6720</v>
      </c>
      <c r="S6953" t="s">
        <v>961</v>
      </c>
      <c r="T6953" t="s">
        <v>962</v>
      </c>
    </row>
    <row r="6954" spans="1:20" x14ac:dyDescent="0.25">
      <c r="A6954" t="s">
        <v>44</v>
      </c>
      <c r="B6954" t="s">
        <v>3</v>
      </c>
      <c r="C6954" t="s">
        <v>32</v>
      </c>
      <c r="D6954" t="s">
        <v>953</v>
      </c>
      <c r="E6954" t="s">
        <v>954</v>
      </c>
      <c r="F6954" t="s">
        <v>35</v>
      </c>
      <c r="G6954" t="s">
        <v>35</v>
      </c>
      <c r="H6954" t="s">
        <v>35</v>
      </c>
      <c r="J6954" t="s">
        <v>6842</v>
      </c>
      <c r="K6954" t="s">
        <v>1092</v>
      </c>
      <c r="M6954">
        <v>0.15</v>
      </c>
      <c r="N6954">
        <v>30</v>
      </c>
      <c r="O6954" t="s">
        <v>46</v>
      </c>
      <c r="Q6954" t="s">
        <v>3499</v>
      </c>
      <c r="R6954" t="s">
        <v>6720</v>
      </c>
      <c r="S6954" t="s">
        <v>961</v>
      </c>
      <c r="T6954" t="s">
        <v>962</v>
      </c>
    </row>
    <row r="6955" spans="1:20" x14ac:dyDescent="0.25">
      <c r="A6955" t="s">
        <v>59</v>
      </c>
      <c r="B6955" t="s">
        <v>60</v>
      </c>
      <c r="C6955" t="s">
        <v>32</v>
      </c>
      <c r="D6955" t="s">
        <v>953</v>
      </c>
      <c r="E6955" t="s">
        <v>954</v>
      </c>
      <c r="F6955" t="s">
        <v>35</v>
      </c>
      <c r="G6955" t="s">
        <v>35</v>
      </c>
      <c r="H6955" t="s">
        <v>35</v>
      </c>
      <c r="J6955" t="s">
        <v>6842</v>
      </c>
      <c r="K6955" t="s">
        <v>1092</v>
      </c>
      <c r="M6955">
        <v>0.05</v>
      </c>
      <c r="N6955">
        <v>53</v>
      </c>
      <c r="O6955" t="s">
        <v>52</v>
      </c>
      <c r="Q6955" t="s">
        <v>1734</v>
      </c>
      <c r="R6955" t="s">
        <v>6720</v>
      </c>
      <c r="S6955" t="s">
        <v>961</v>
      </c>
      <c r="T6955" t="s">
        <v>962</v>
      </c>
    </row>
    <row r="6956" spans="1:20" x14ac:dyDescent="0.25">
      <c r="A6956" t="s">
        <v>44</v>
      </c>
      <c r="B6956" t="s">
        <v>51</v>
      </c>
      <c r="C6956" t="s">
        <v>32</v>
      </c>
      <c r="D6956" t="s">
        <v>953</v>
      </c>
      <c r="E6956" t="s">
        <v>954</v>
      </c>
      <c r="F6956" t="s">
        <v>35</v>
      </c>
      <c r="G6956" t="s">
        <v>35</v>
      </c>
      <c r="H6956" t="s">
        <v>35</v>
      </c>
      <c r="J6956" t="s">
        <v>6842</v>
      </c>
      <c r="K6956" t="s">
        <v>1092</v>
      </c>
      <c r="M6956">
        <v>0.05</v>
      </c>
      <c r="N6956">
        <v>9</v>
      </c>
      <c r="O6956" t="s">
        <v>46</v>
      </c>
      <c r="Q6956" t="s">
        <v>323</v>
      </c>
      <c r="R6956" t="s">
        <v>6720</v>
      </c>
      <c r="S6956" t="s">
        <v>961</v>
      </c>
      <c r="T6956" t="s">
        <v>962</v>
      </c>
    </row>
    <row r="6957" spans="1:20" x14ac:dyDescent="0.25">
      <c r="A6957" t="s">
        <v>59</v>
      </c>
      <c r="B6957" t="s">
        <v>60</v>
      </c>
      <c r="C6957" t="s">
        <v>32</v>
      </c>
      <c r="D6957" t="s">
        <v>953</v>
      </c>
      <c r="E6957" t="s">
        <v>954</v>
      </c>
      <c r="F6957" t="s">
        <v>35</v>
      </c>
      <c r="G6957" t="s">
        <v>35</v>
      </c>
      <c r="H6957" t="s">
        <v>35</v>
      </c>
      <c r="J6957" t="s">
        <v>6842</v>
      </c>
      <c r="K6957" t="s">
        <v>1092</v>
      </c>
      <c r="M6957">
        <v>0.1</v>
      </c>
      <c r="N6957">
        <v>23</v>
      </c>
      <c r="O6957" t="s">
        <v>46</v>
      </c>
      <c r="Q6957" t="s">
        <v>793</v>
      </c>
      <c r="R6957" t="s">
        <v>6720</v>
      </c>
      <c r="S6957" t="s">
        <v>961</v>
      </c>
      <c r="T6957" t="s">
        <v>962</v>
      </c>
    </row>
    <row r="6958" spans="1:20" x14ac:dyDescent="0.25">
      <c r="A6958" t="s">
        <v>59</v>
      </c>
      <c r="B6958" t="s">
        <v>60</v>
      </c>
      <c r="C6958" t="s">
        <v>32</v>
      </c>
      <c r="D6958" t="s">
        <v>953</v>
      </c>
      <c r="E6958" t="s">
        <v>954</v>
      </c>
      <c r="F6958" t="s">
        <v>35</v>
      </c>
      <c r="G6958" t="s">
        <v>35</v>
      </c>
      <c r="H6958" t="s">
        <v>35</v>
      </c>
      <c r="J6958" t="s">
        <v>6842</v>
      </c>
      <c r="K6958" t="s">
        <v>1092</v>
      </c>
      <c r="M6958">
        <v>0.1</v>
      </c>
      <c r="N6958">
        <v>30</v>
      </c>
      <c r="O6958" t="s">
        <v>46</v>
      </c>
      <c r="Q6958" t="s">
        <v>3499</v>
      </c>
      <c r="R6958" t="s">
        <v>6720</v>
      </c>
      <c r="S6958" t="s">
        <v>961</v>
      </c>
      <c r="T6958" t="s">
        <v>962</v>
      </c>
    </row>
    <row r="6959" spans="1:20" x14ac:dyDescent="0.25">
      <c r="A6959" t="s">
        <v>59</v>
      </c>
      <c r="B6959" t="s">
        <v>60</v>
      </c>
      <c r="C6959" t="s">
        <v>32</v>
      </c>
      <c r="D6959" t="s">
        <v>953</v>
      </c>
      <c r="E6959" t="s">
        <v>954</v>
      </c>
      <c r="F6959" t="s">
        <v>35</v>
      </c>
      <c r="G6959" t="s">
        <v>35</v>
      </c>
      <c r="H6959" t="s">
        <v>35</v>
      </c>
      <c r="J6959" t="s">
        <v>6842</v>
      </c>
      <c r="K6959" t="s">
        <v>1092</v>
      </c>
      <c r="M6959">
        <v>0.2</v>
      </c>
      <c r="N6959">
        <v>32</v>
      </c>
      <c r="O6959" t="s">
        <v>52</v>
      </c>
      <c r="Q6959" t="s">
        <v>816</v>
      </c>
      <c r="R6959" t="s">
        <v>6720</v>
      </c>
      <c r="S6959" t="s">
        <v>961</v>
      </c>
      <c r="T6959" t="s">
        <v>962</v>
      </c>
    </row>
    <row r="6960" spans="1:20" x14ac:dyDescent="0.25">
      <c r="A6960" t="s">
        <v>59</v>
      </c>
      <c r="B6960" t="s">
        <v>60</v>
      </c>
      <c r="C6960" t="s">
        <v>32</v>
      </c>
      <c r="D6960" t="s">
        <v>953</v>
      </c>
      <c r="E6960" t="s">
        <v>954</v>
      </c>
      <c r="F6960" t="s">
        <v>35</v>
      </c>
      <c r="G6960" t="s">
        <v>35</v>
      </c>
      <c r="H6960" t="s">
        <v>35</v>
      </c>
      <c r="J6960" t="s">
        <v>6842</v>
      </c>
      <c r="K6960" t="s">
        <v>1092</v>
      </c>
      <c r="M6960">
        <v>0.2</v>
      </c>
      <c r="N6960">
        <v>37</v>
      </c>
      <c r="O6960" t="s">
        <v>52</v>
      </c>
      <c r="Q6960" t="s">
        <v>192</v>
      </c>
      <c r="R6960" t="s">
        <v>6720</v>
      </c>
      <c r="S6960" t="s">
        <v>961</v>
      </c>
      <c r="T6960" t="s">
        <v>962</v>
      </c>
    </row>
    <row r="6961" spans="1:20" x14ac:dyDescent="0.25">
      <c r="A6961" t="s">
        <v>59</v>
      </c>
      <c r="B6961" t="s">
        <v>60</v>
      </c>
      <c r="C6961" t="s">
        <v>32</v>
      </c>
      <c r="D6961" t="s">
        <v>953</v>
      </c>
      <c r="E6961" t="s">
        <v>954</v>
      </c>
      <c r="F6961" t="s">
        <v>35</v>
      </c>
      <c r="G6961" t="s">
        <v>35</v>
      </c>
      <c r="H6961" t="s">
        <v>35</v>
      </c>
      <c r="J6961" t="s">
        <v>6842</v>
      </c>
      <c r="K6961" t="s">
        <v>1092</v>
      </c>
      <c r="M6961">
        <v>0.05</v>
      </c>
      <c r="N6961">
        <v>41</v>
      </c>
      <c r="O6961" t="s">
        <v>52</v>
      </c>
      <c r="Q6961" t="s">
        <v>496</v>
      </c>
      <c r="R6961" t="s">
        <v>6720</v>
      </c>
      <c r="S6961" t="s">
        <v>961</v>
      </c>
      <c r="T6961" t="s">
        <v>962</v>
      </c>
    </row>
    <row r="6962" spans="1:20" x14ac:dyDescent="0.25">
      <c r="A6962" t="s">
        <v>59</v>
      </c>
      <c r="B6962" t="s">
        <v>60</v>
      </c>
      <c r="C6962" t="s">
        <v>32</v>
      </c>
      <c r="D6962" t="s">
        <v>953</v>
      </c>
      <c r="E6962" t="s">
        <v>1015</v>
      </c>
      <c r="F6962" t="s">
        <v>35</v>
      </c>
      <c r="G6962" t="s">
        <v>35</v>
      </c>
      <c r="H6962" t="s">
        <v>35</v>
      </c>
      <c r="J6962" t="s">
        <v>7366</v>
      </c>
      <c r="K6962" t="s">
        <v>1092</v>
      </c>
      <c r="M6962">
        <v>0.02</v>
      </c>
      <c r="N6962">
        <v>51</v>
      </c>
      <c r="O6962" t="s">
        <v>52</v>
      </c>
      <c r="Q6962" t="s">
        <v>58</v>
      </c>
      <c r="R6962" t="s">
        <v>6720</v>
      </c>
      <c r="S6962" t="s">
        <v>961</v>
      </c>
      <c r="T6962" t="s">
        <v>962</v>
      </c>
    </row>
    <row r="6963" spans="1:20" x14ac:dyDescent="0.25">
      <c r="A6963" t="s">
        <v>59</v>
      </c>
      <c r="B6963" t="s">
        <v>31</v>
      </c>
      <c r="C6963" t="s">
        <v>32</v>
      </c>
      <c r="D6963" t="s">
        <v>953</v>
      </c>
      <c r="E6963" t="s">
        <v>6878</v>
      </c>
      <c r="F6963" t="s">
        <v>35</v>
      </c>
      <c r="G6963" t="s">
        <v>35</v>
      </c>
      <c r="H6963" t="s">
        <v>35</v>
      </c>
      <c r="J6963" t="s">
        <v>6919</v>
      </c>
      <c r="K6963" t="s">
        <v>1092</v>
      </c>
      <c r="M6963">
        <v>2.7</v>
      </c>
      <c r="N6963">
        <v>83</v>
      </c>
      <c r="O6963" t="s">
        <v>61</v>
      </c>
      <c r="Q6963" t="s">
        <v>897</v>
      </c>
      <c r="R6963" t="s">
        <v>6720</v>
      </c>
      <c r="S6963" t="s">
        <v>961</v>
      </c>
      <c r="T6963" t="s">
        <v>962</v>
      </c>
    </row>
    <row r="6964" spans="1:20" x14ac:dyDescent="0.25">
      <c r="A6964" t="s">
        <v>59</v>
      </c>
      <c r="B6964" t="s">
        <v>60</v>
      </c>
      <c r="C6964" t="s">
        <v>32</v>
      </c>
      <c r="D6964" t="s">
        <v>953</v>
      </c>
      <c r="E6964" t="s">
        <v>954</v>
      </c>
      <c r="F6964" t="s">
        <v>35</v>
      </c>
      <c r="G6964" t="s">
        <v>35</v>
      </c>
      <c r="H6964" t="s">
        <v>35</v>
      </c>
      <c r="J6964" t="s">
        <v>6866</v>
      </c>
      <c r="K6964" t="s">
        <v>1092</v>
      </c>
      <c r="M6964">
        <v>0.25</v>
      </c>
      <c r="N6964">
        <v>32</v>
      </c>
      <c r="O6964" t="s">
        <v>52</v>
      </c>
      <c r="Q6964" t="s">
        <v>816</v>
      </c>
      <c r="R6964" t="s">
        <v>6720</v>
      </c>
      <c r="S6964" t="s">
        <v>961</v>
      </c>
      <c r="T6964" t="s">
        <v>962</v>
      </c>
    </row>
    <row r="6965" spans="1:20" x14ac:dyDescent="0.25">
      <c r="A6965" t="s">
        <v>59</v>
      </c>
      <c r="B6965" t="s">
        <v>60</v>
      </c>
      <c r="C6965" t="s">
        <v>32</v>
      </c>
      <c r="D6965" t="s">
        <v>953</v>
      </c>
      <c r="E6965" t="s">
        <v>954</v>
      </c>
      <c r="F6965" t="s">
        <v>35</v>
      </c>
      <c r="G6965" t="s">
        <v>35</v>
      </c>
      <c r="H6965" t="s">
        <v>35</v>
      </c>
      <c r="J6965" t="s">
        <v>6875</v>
      </c>
      <c r="K6965" t="s">
        <v>1092</v>
      </c>
      <c r="M6965">
        <v>0.25</v>
      </c>
      <c r="N6965">
        <v>57</v>
      </c>
      <c r="O6965" t="s">
        <v>52</v>
      </c>
      <c r="Q6965" t="s">
        <v>381</v>
      </c>
      <c r="R6965" t="s">
        <v>6720</v>
      </c>
      <c r="S6965" t="s">
        <v>961</v>
      </c>
      <c r="T6965" t="s">
        <v>962</v>
      </c>
    </row>
    <row r="6966" spans="1:20" x14ac:dyDescent="0.25">
      <c r="A6966" t="s">
        <v>44</v>
      </c>
      <c r="B6966" t="s">
        <v>3</v>
      </c>
      <c r="C6966" t="s">
        <v>32</v>
      </c>
      <c r="D6966" t="s">
        <v>953</v>
      </c>
      <c r="E6966" t="s">
        <v>954</v>
      </c>
      <c r="F6966" t="s">
        <v>35</v>
      </c>
      <c r="G6966" t="s">
        <v>35</v>
      </c>
      <c r="H6966" t="s">
        <v>35</v>
      </c>
      <c r="J6966" t="s">
        <v>6875</v>
      </c>
      <c r="K6966" t="s">
        <v>1092</v>
      </c>
      <c r="M6966">
        <v>0.1</v>
      </c>
      <c r="N6966">
        <v>57</v>
      </c>
      <c r="O6966" t="s">
        <v>52</v>
      </c>
      <c r="Q6966" t="s">
        <v>381</v>
      </c>
      <c r="R6966" t="s">
        <v>6720</v>
      </c>
      <c r="S6966" t="s">
        <v>961</v>
      </c>
      <c r="T6966" t="s">
        <v>962</v>
      </c>
    </row>
    <row r="6967" spans="1:20" x14ac:dyDescent="0.25">
      <c r="A6967" t="s">
        <v>59</v>
      </c>
      <c r="B6967" t="s">
        <v>31</v>
      </c>
      <c r="C6967" t="s">
        <v>32</v>
      </c>
      <c r="D6967" t="s">
        <v>953</v>
      </c>
      <c r="E6967" t="s">
        <v>954</v>
      </c>
      <c r="F6967" t="s">
        <v>35</v>
      </c>
      <c r="G6967" t="s">
        <v>35</v>
      </c>
      <c r="H6967" t="s">
        <v>35</v>
      </c>
      <c r="J6967" t="s">
        <v>6875</v>
      </c>
      <c r="K6967" t="s">
        <v>1092</v>
      </c>
      <c r="M6967">
        <v>0.45</v>
      </c>
      <c r="N6967">
        <v>57</v>
      </c>
      <c r="O6967" t="s">
        <v>52</v>
      </c>
      <c r="Q6967" t="s">
        <v>381</v>
      </c>
      <c r="R6967" t="s">
        <v>6720</v>
      </c>
      <c r="S6967" t="s">
        <v>961</v>
      </c>
      <c r="T6967" t="s">
        <v>962</v>
      </c>
    </row>
    <row r="6968" spans="1:20" x14ac:dyDescent="0.25">
      <c r="A6968" t="s">
        <v>44</v>
      </c>
      <c r="B6968" t="s">
        <v>51</v>
      </c>
      <c r="C6968" t="s">
        <v>32</v>
      </c>
      <c r="D6968" t="s">
        <v>953</v>
      </c>
      <c r="E6968" t="s">
        <v>954</v>
      </c>
      <c r="F6968" t="s">
        <v>35</v>
      </c>
      <c r="G6968" t="s">
        <v>35</v>
      </c>
      <c r="H6968" t="s">
        <v>35</v>
      </c>
      <c r="J6968" t="s">
        <v>6875</v>
      </c>
      <c r="K6968" t="s">
        <v>1092</v>
      </c>
      <c r="M6968">
        <v>0.15</v>
      </c>
      <c r="N6968">
        <v>177</v>
      </c>
      <c r="O6968" t="s">
        <v>38</v>
      </c>
      <c r="Q6968" t="s">
        <v>4625</v>
      </c>
      <c r="R6968" t="s">
        <v>6720</v>
      </c>
      <c r="S6968" t="s">
        <v>961</v>
      </c>
      <c r="T6968" t="s">
        <v>962</v>
      </c>
    </row>
    <row r="6969" spans="1:20" x14ac:dyDescent="0.25">
      <c r="A6969" t="s">
        <v>59</v>
      </c>
      <c r="B6969" t="s">
        <v>60</v>
      </c>
      <c r="C6969" t="s">
        <v>32</v>
      </c>
      <c r="D6969" t="s">
        <v>953</v>
      </c>
      <c r="E6969" t="s">
        <v>954</v>
      </c>
      <c r="F6969" t="s">
        <v>35</v>
      </c>
      <c r="G6969" t="s">
        <v>35</v>
      </c>
      <c r="H6969" t="s">
        <v>35</v>
      </c>
      <c r="J6969" t="s">
        <v>6768</v>
      </c>
      <c r="K6969" t="s">
        <v>1092</v>
      </c>
      <c r="M6969">
        <v>0.15</v>
      </c>
      <c r="N6969">
        <v>135</v>
      </c>
      <c r="O6969" t="s">
        <v>38</v>
      </c>
      <c r="Q6969" t="s">
        <v>2067</v>
      </c>
      <c r="R6969" t="s">
        <v>6720</v>
      </c>
      <c r="S6969" t="s">
        <v>961</v>
      </c>
      <c r="T6969" t="s">
        <v>962</v>
      </c>
    </row>
    <row r="6970" spans="1:20" x14ac:dyDescent="0.25">
      <c r="A6970" t="s">
        <v>59</v>
      </c>
      <c r="B6970" t="s">
        <v>60</v>
      </c>
      <c r="C6970" t="s">
        <v>32</v>
      </c>
      <c r="D6970" t="s">
        <v>953</v>
      </c>
      <c r="E6970" t="s">
        <v>954</v>
      </c>
      <c r="F6970" t="s">
        <v>35</v>
      </c>
      <c r="G6970" t="s">
        <v>35</v>
      </c>
      <c r="H6970" t="s">
        <v>35</v>
      </c>
      <c r="J6970" t="s">
        <v>6768</v>
      </c>
      <c r="K6970" t="s">
        <v>1092</v>
      </c>
      <c r="M6970">
        <v>1</v>
      </c>
      <c r="N6970">
        <v>74</v>
      </c>
      <c r="O6970" t="s">
        <v>61</v>
      </c>
      <c r="Q6970" t="s">
        <v>527</v>
      </c>
      <c r="R6970" t="s">
        <v>6720</v>
      </c>
      <c r="S6970" t="s">
        <v>961</v>
      </c>
      <c r="T6970" t="s">
        <v>962</v>
      </c>
    </row>
    <row r="6971" spans="1:20" x14ac:dyDescent="0.25">
      <c r="A6971" t="s">
        <v>30</v>
      </c>
      <c r="B6971" t="s">
        <v>31</v>
      </c>
      <c r="C6971" t="s">
        <v>32</v>
      </c>
      <c r="D6971" t="s">
        <v>953</v>
      </c>
      <c r="E6971" t="s">
        <v>954</v>
      </c>
      <c r="F6971" t="s">
        <v>35</v>
      </c>
      <c r="G6971" t="s">
        <v>35</v>
      </c>
      <c r="H6971" t="s">
        <v>35</v>
      </c>
      <c r="J6971" t="s">
        <v>6768</v>
      </c>
      <c r="K6971" t="s">
        <v>1092</v>
      </c>
      <c r="M6971">
        <v>0.81</v>
      </c>
      <c r="N6971">
        <v>14</v>
      </c>
      <c r="O6971" t="s">
        <v>46</v>
      </c>
      <c r="Q6971" t="s">
        <v>1874</v>
      </c>
      <c r="R6971" t="s">
        <v>6720</v>
      </c>
      <c r="S6971" t="s">
        <v>961</v>
      </c>
      <c r="T6971" t="s">
        <v>962</v>
      </c>
    </row>
    <row r="6972" spans="1:20" x14ac:dyDescent="0.25">
      <c r="A6972" t="s">
        <v>30</v>
      </c>
      <c r="B6972" t="s">
        <v>31</v>
      </c>
      <c r="C6972" t="s">
        <v>32</v>
      </c>
      <c r="D6972" t="s">
        <v>953</v>
      </c>
      <c r="E6972" t="s">
        <v>968</v>
      </c>
      <c r="F6972" t="s">
        <v>35</v>
      </c>
      <c r="G6972" t="s">
        <v>35</v>
      </c>
      <c r="H6972" t="s">
        <v>35</v>
      </c>
      <c r="J6972" t="s">
        <v>6997</v>
      </c>
      <c r="K6972" t="s">
        <v>1092</v>
      </c>
      <c r="M6972">
        <v>9.6750000000000007</v>
      </c>
      <c r="N6972">
        <v>14</v>
      </c>
      <c r="O6972" t="s">
        <v>46</v>
      </c>
      <c r="Q6972" t="s">
        <v>1874</v>
      </c>
      <c r="R6972" t="s">
        <v>6720</v>
      </c>
      <c r="S6972" t="s">
        <v>961</v>
      </c>
      <c r="T6972" t="s">
        <v>962</v>
      </c>
    </row>
    <row r="6973" spans="1:20" x14ac:dyDescent="0.25">
      <c r="A6973" t="s">
        <v>59</v>
      </c>
      <c r="B6973" t="s">
        <v>60</v>
      </c>
      <c r="C6973" t="s">
        <v>32</v>
      </c>
      <c r="D6973" t="s">
        <v>953</v>
      </c>
      <c r="F6973" t="s">
        <v>35</v>
      </c>
      <c r="G6973" t="s">
        <v>35</v>
      </c>
      <c r="H6973" t="s">
        <v>35</v>
      </c>
      <c r="J6973" t="s">
        <v>7928</v>
      </c>
      <c r="K6973" t="s">
        <v>1092</v>
      </c>
      <c r="M6973">
        <v>0.25</v>
      </c>
      <c r="N6973">
        <v>54</v>
      </c>
      <c r="O6973" t="s">
        <v>52</v>
      </c>
      <c r="Q6973" t="s">
        <v>671</v>
      </c>
      <c r="R6973" t="s">
        <v>6720</v>
      </c>
      <c r="S6973" t="s">
        <v>961</v>
      </c>
      <c r="T6973" t="s">
        <v>962</v>
      </c>
    </row>
    <row r="6974" spans="1:20" x14ac:dyDescent="0.25">
      <c r="A6974" t="s">
        <v>59</v>
      </c>
      <c r="B6974" t="s">
        <v>60</v>
      </c>
      <c r="C6974" t="s">
        <v>32</v>
      </c>
      <c r="D6974" t="s">
        <v>953</v>
      </c>
      <c r="F6974" t="s">
        <v>35</v>
      </c>
      <c r="G6974" t="s">
        <v>35</v>
      </c>
      <c r="H6974" t="s">
        <v>35</v>
      </c>
      <c r="J6974" t="s">
        <v>7928</v>
      </c>
      <c r="K6974" t="s">
        <v>1092</v>
      </c>
      <c r="M6974">
        <v>0.1</v>
      </c>
      <c r="N6974">
        <v>77</v>
      </c>
      <c r="O6974" t="s">
        <v>61</v>
      </c>
      <c r="Q6974" t="s">
        <v>778</v>
      </c>
      <c r="R6974" t="s">
        <v>6720</v>
      </c>
      <c r="S6974" t="s">
        <v>961</v>
      </c>
      <c r="T6974" t="s">
        <v>962</v>
      </c>
    </row>
    <row r="6975" spans="1:20" x14ac:dyDescent="0.25">
      <c r="A6975" t="s">
        <v>59</v>
      </c>
      <c r="B6975" t="s">
        <v>60</v>
      </c>
      <c r="C6975" t="s">
        <v>32</v>
      </c>
      <c r="D6975" t="s">
        <v>953</v>
      </c>
      <c r="F6975" t="s">
        <v>35</v>
      </c>
      <c r="G6975" t="s">
        <v>35</v>
      </c>
      <c r="H6975" t="s">
        <v>35</v>
      </c>
      <c r="J6975" t="s">
        <v>7928</v>
      </c>
      <c r="K6975" t="s">
        <v>1092</v>
      </c>
      <c r="M6975">
        <v>0.5</v>
      </c>
      <c r="N6975">
        <v>85</v>
      </c>
      <c r="O6975" t="s">
        <v>61</v>
      </c>
      <c r="Q6975" t="s">
        <v>1100</v>
      </c>
      <c r="R6975" t="s">
        <v>6720</v>
      </c>
      <c r="S6975" t="s">
        <v>961</v>
      </c>
      <c r="T6975" t="s">
        <v>962</v>
      </c>
    </row>
    <row r="6976" spans="1:20" x14ac:dyDescent="0.25">
      <c r="A6976" t="s">
        <v>59</v>
      </c>
      <c r="B6976" t="s">
        <v>60</v>
      </c>
      <c r="C6976" t="s">
        <v>32</v>
      </c>
      <c r="D6976" t="s">
        <v>953</v>
      </c>
      <c r="F6976" t="s">
        <v>35</v>
      </c>
      <c r="G6976" t="s">
        <v>35</v>
      </c>
      <c r="H6976" t="s">
        <v>35</v>
      </c>
      <c r="J6976" t="s">
        <v>7928</v>
      </c>
      <c r="K6976" t="s">
        <v>1092</v>
      </c>
      <c r="M6976">
        <v>0.2</v>
      </c>
      <c r="N6976">
        <v>135</v>
      </c>
      <c r="O6976" t="s">
        <v>38</v>
      </c>
      <c r="Q6976" t="s">
        <v>2067</v>
      </c>
      <c r="R6976" t="s">
        <v>6720</v>
      </c>
      <c r="S6976" t="s">
        <v>961</v>
      </c>
      <c r="T6976" t="s">
        <v>962</v>
      </c>
    </row>
    <row r="6977" spans="1:20" x14ac:dyDescent="0.25">
      <c r="A6977" t="s">
        <v>44</v>
      </c>
      <c r="B6977" t="s">
        <v>51</v>
      </c>
      <c r="C6977" t="s">
        <v>32</v>
      </c>
      <c r="D6977" t="s">
        <v>953</v>
      </c>
      <c r="F6977" t="s">
        <v>35</v>
      </c>
      <c r="G6977" t="s">
        <v>35</v>
      </c>
      <c r="H6977" t="s">
        <v>35</v>
      </c>
      <c r="J6977" t="s">
        <v>7928</v>
      </c>
      <c r="K6977" t="s">
        <v>1092</v>
      </c>
      <c r="M6977">
        <v>0.15</v>
      </c>
      <c r="N6977">
        <v>49</v>
      </c>
      <c r="O6977" t="s">
        <v>52</v>
      </c>
      <c r="Q6977" t="s">
        <v>453</v>
      </c>
      <c r="R6977" t="s">
        <v>6720</v>
      </c>
      <c r="S6977" t="s">
        <v>961</v>
      </c>
      <c r="T6977" t="s">
        <v>962</v>
      </c>
    </row>
    <row r="6978" spans="1:20" x14ac:dyDescent="0.25">
      <c r="A6978" t="s">
        <v>44</v>
      </c>
      <c r="B6978" t="s">
        <v>3</v>
      </c>
      <c r="C6978" t="s">
        <v>32</v>
      </c>
      <c r="D6978" t="s">
        <v>953</v>
      </c>
      <c r="F6978" t="s">
        <v>35</v>
      </c>
      <c r="G6978" t="s">
        <v>35</v>
      </c>
      <c r="H6978" t="s">
        <v>35</v>
      </c>
      <c r="J6978" t="s">
        <v>7928</v>
      </c>
      <c r="K6978" t="s">
        <v>1092</v>
      </c>
      <c r="M6978">
        <v>0.25</v>
      </c>
      <c r="N6978">
        <v>57</v>
      </c>
      <c r="O6978" t="s">
        <v>52</v>
      </c>
      <c r="Q6978" t="s">
        <v>381</v>
      </c>
      <c r="R6978" t="s">
        <v>6720</v>
      </c>
      <c r="S6978" t="s">
        <v>961</v>
      </c>
      <c r="T6978" t="s">
        <v>962</v>
      </c>
    </row>
    <row r="6979" spans="1:20" x14ac:dyDescent="0.25">
      <c r="A6979" t="s">
        <v>44</v>
      </c>
      <c r="B6979" t="s">
        <v>3</v>
      </c>
      <c r="C6979" t="s">
        <v>32</v>
      </c>
      <c r="D6979" t="s">
        <v>953</v>
      </c>
      <c r="F6979" t="s">
        <v>35</v>
      </c>
      <c r="G6979" t="s">
        <v>35</v>
      </c>
      <c r="H6979" t="s">
        <v>35</v>
      </c>
      <c r="J6979" t="s">
        <v>7928</v>
      </c>
      <c r="K6979" t="s">
        <v>1092</v>
      </c>
      <c r="M6979">
        <v>0.4</v>
      </c>
      <c r="N6979">
        <v>54</v>
      </c>
      <c r="O6979" t="s">
        <v>52</v>
      </c>
      <c r="Q6979" t="s">
        <v>671</v>
      </c>
      <c r="R6979" t="s">
        <v>6720</v>
      </c>
      <c r="S6979" t="s">
        <v>961</v>
      </c>
      <c r="T6979" t="s">
        <v>962</v>
      </c>
    </row>
    <row r="6980" spans="1:20" x14ac:dyDescent="0.25">
      <c r="A6980" t="s">
        <v>44</v>
      </c>
      <c r="B6980" t="s">
        <v>3</v>
      </c>
      <c r="C6980" t="s">
        <v>32</v>
      </c>
      <c r="D6980" t="s">
        <v>953</v>
      </c>
      <c r="F6980" t="s">
        <v>35</v>
      </c>
      <c r="G6980" t="s">
        <v>35</v>
      </c>
      <c r="H6980" t="s">
        <v>35</v>
      </c>
      <c r="J6980" t="s">
        <v>7928</v>
      </c>
      <c r="K6980" t="s">
        <v>1092</v>
      </c>
      <c r="M6980">
        <v>0.1</v>
      </c>
      <c r="N6980">
        <v>49</v>
      </c>
      <c r="O6980" t="s">
        <v>52</v>
      </c>
      <c r="Q6980" t="s">
        <v>453</v>
      </c>
      <c r="R6980" t="s">
        <v>6720</v>
      </c>
      <c r="S6980" t="s">
        <v>961</v>
      </c>
      <c r="T6980" t="s">
        <v>962</v>
      </c>
    </row>
    <row r="6981" spans="1:20" x14ac:dyDescent="0.25">
      <c r="A6981" t="s">
        <v>59</v>
      </c>
      <c r="B6981" t="s">
        <v>31</v>
      </c>
      <c r="C6981" t="s">
        <v>32</v>
      </c>
      <c r="D6981" t="s">
        <v>953</v>
      </c>
      <c r="F6981" t="s">
        <v>35</v>
      </c>
      <c r="G6981" t="s">
        <v>35</v>
      </c>
      <c r="H6981" t="s">
        <v>35</v>
      </c>
      <c r="J6981" t="s">
        <v>7928</v>
      </c>
      <c r="K6981" t="s">
        <v>1092</v>
      </c>
      <c r="M6981">
        <v>0.67500000000000004</v>
      </c>
      <c r="N6981">
        <v>57</v>
      </c>
      <c r="O6981" t="s">
        <v>52</v>
      </c>
      <c r="Q6981" t="s">
        <v>381</v>
      </c>
      <c r="R6981" t="s">
        <v>6720</v>
      </c>
      <c r="S6981" t="s">
        <v>961</v>
      </c>
      <c r="T6981" t="s">
        <v>962</v>
      </c>
    </row>
    <row r="6982" spans="1:20" x14ac:dyDescent="0.25">
      <c r="A6982" t="s">
        <v>30</v>
      </c>
      <c r="B6982" t="s">
        <v>31</v>
      </c>
      <c r="C6982" t="s">
        <v>32</v>
      </c>
      <c r="D6982" t="s">
        <v>953</v>
      </c>
      <c r="F6982" t="s">
        <v>35</v>
      </c>
      <c r="G6982" t="s">
        <v>35</v>
      </c>
      <c r="H6982" t="s">
        <v>35</v>
      </c>
      <c r="J6982" t="s">
        <v>7928</v>
      </c>
      <c r="K6982" t="s">
        <v>1092</v>
      </c>
      <c r="M6982">
        <v>0.45</v>
      </c>
      <c r="N6982">
        <v>37</v>
      </c>
      <c r="O6982" t="s">
        <v>52</v>
      </c>
      <c r="Q6982" t="s">
        <v>192</v>
      </c>
      <c r="R6982" t="s">
        <v>6720</v>
      </c>
      <c r="S6982" t="s">
        <v>961</v>
      </c>
      <c r="T6982" t="s">
        <v>962</v>
      </c>
    </row>
    <row r="6983" spans="1:20" x14ac:dyDescent="0.25">
      <c r="A6983" t="s">
        <v>44</v>
      </c>
      <c r="B6983" t="s">
        <v>51</v>
      </c>
      <c r="C6983" t="s">
        <v>32</v>
      </c>
      <c r="D6983" t="s">
        <v>953</v>
      </c>
      <c r="F6983" t="s">
        <v>35</v>
      </c>
      <c r="G6983" t="s">
        <v>35</v>
      </c>
      <c r="H6983" t="s">
        <v>35</v>
      </c>
      <c r="J6983" t="s">
        <v>7928</v>
      </c>
      <c r="K6983" t="s">
        <v>1092</v>
      </c>
      <c r="M6983">
        <v>0.25</v>
      </c>
      <c r="N6983">
        <v>223</v>
      </c>
      <c r="O6983" t="s">
        <v>5</v>
      </c>
      <c r="Q6983" t="s">
        <v>1544</v>
      </c>
      <c r="R6983" t="s">
        <v>6720</v>
      </c>
      <c r="S6983" t="s">
        <v>961</v>
      </c>
      <c r="T6983" t="s">
        <v>962</v>
      </c>
    </row>
    <row r="6984" spans="1:20" x14ac:dyDescent="0.25">
      <c r="A6984" t="s">
        <v>44</v>
      </c>
      <c r="B6984" t="s">
        <v>3</v>
      </c>
      <c r="C6984" t="s">
        <v>32</v>
      </c>
      <c r="D6984" t="s">
        <v>953</v>
      </c>
      <c r="F6984" t="s">
        <v>35</v>
      </c>
      <c r="G6984" t="s">
        <v>35</v>
      </c>
      <c r="H6984" t="s">
        <v>35</v>
      </c>
      <c r="J6984" t="s">
        <v>7928</v>
      </c>
      <c r="K6984" t="s">
        <v>1092</v>
      </c>
      <c r="M6984">
        <v>0.5</v>
      </c>
      <c r="N6984">
        <v>23</v>
      </c>
      <c r="O6984" t="s">
        <v>46</v>
      </c>
      <c r="Q6984" t="s">
        <v>793</v>
      </c>
      <c r="R6984" t="s">
        <v>6720</v>
      </c>
      <c r="S6984" t="s">
        <v>961</v>
      </c>
      <c r="T6984" t="s">
        <v>962</v>
      </c>
    </row>
    <row r="6985" spans="1:20" x14ac:dyDescent="0.25">
      <c r="A6985" t="s">
        <v>30</v>
      </c>
      <c r="B6985" t="s">
        <v>31</v>
      </c>
      <c r="C6985" t="s">
        <v>32</v>
      </c>
      <c r="D6985" t="s">
        <v>953</v>
      </c>
      <c r="F6985" t="s">
        <v>35</v>
      </c>
      <c r="G6985" t="s">
        <v>35</v>
      </c>
      <c r="H6985" t="s">
        <v>35</v>
      </c>
      <c r="J6985" t="s">
        <v>7928</v>
      </c>
      <c r="K6985" t="s">
        <v>1092</v>
      </c>
      <c r="M6985">
        <v>0.9</v>
      </c>
      <c r="N6985">
        <v>23</v>
      </c>
      <c r="O6985" t="s">
        <v>46</v>
      </c>
      <c r="Q6985" t="s">
        <v>793</v>
      </c>
      <c r="R6985" t="s">
        <v>6720</v>
      </c>
      <c r="S6985" t="s">
        <v>961</v>
      </c>
      <c r="T6985" t="s">
        <v>962</v>
      </c>
    </row>
    <row r="6986" spans="1:20" x14ac:dyDescent="0.25">
      <c r="A6986" t="s">
        <v>59</v>
      </c>
      <c r="B6986" t="s">
        <v>60</v>
      </c>
      <c r="C6986" t="s">
        <v>32</v>
      </c>
      <c r="D6986" t="s">
        <v>953</v>
      </c>
      <c r="F6986" t="s">
        <v>35</v>
      </c>
      <c r="G6986" t="s">
        <v>35</v>
      </c>
      <c r="H6986" t="s">
        <v>35</v>
      </c>
      <c r="J6986" t="s">
        <v>7928</v>
      </c>
      <c r="K6986" t="s">
        <v>1092</v>
      </c>
      <c r="M6986">
        <v>0.25</v>
      </c>
      <c r="N6986">
        <v>61</v>
      </c>
      <c r="O6986" t="s">
        <v>61</v>
      </c>
      <c r="Q6986" t="s">
        <v>146</v>
      </c>
      <c r="R6986" t="s">
        <v>6720</v>
      </c>
      <c r="S6986" t="s">
        <v>961</v>
      </c>
      <c r="T6986" t="s">
        <v>962</v>
      </c>
    </row>
    <row r="6987" spans="1:20" x14ac:dyDescent="0.25">
      <c r="A6987" t="s">
        <v>59</v>
      </c>
      <c r="B6987" t="s">
        <v>60</v>
      </c>
      <c r="C6987" t="s">
        <v>32</v>
      </c>
      <c r="D6987" t="s">
        <v>953</v>
      </c>
      <c r="F6987" t="s">
        <v>35</v>
      </c>
      <c r="G6987" t="s">
        <v>35</v>
      </c>
      <c r="H6987" t="s">
        <v>35</v>
      </c>
      <c r="J6987" t="s">
        <v>7929</v>
      </c>
      <c r="K6987" t="s">
        <v>1092</v>
      </c>
      <c r="M6987">
        <v>0.15</v>
      </c>
      <c r="N6987">
        <v>308</v>
      </c>
      <c r="O6987" t="s">
        <v>5</v>
      </c>
      <c r="Q6987" t="s">
        <v>6325</v>
      </c>
      <c r="R6987" t="s">
        <v>6720</v>
      </c>
      <c r="S6987" t="s">
        <v>961</v>
      </c>
      <c r="T6987" t="s">
        <v>962</v>
      </c>
    </row>
    <row r="6988" spans="1:20" x14ac:dyDescent="0.25">
      <c r="A6988" t="s">
        <v>59</v>
      </c>
      <c r="B6988" t="s">
        <v>31</v>
      </c>
      <c r="C6988" t="s">
        <v>32</v>
      </c>
      <c r="D6988" t="s">
        <v>953</v>
      </c>
      <c r="F6988" t="s">
        <v>35</v>
      </c>
      <c r="G6988" t="s">
        <v>35</v>
      </c>
      <c r="H6988" t="s">
        <v>35</v>
      </c>
      <c r="J6988" t="s">
        <v>7998</v>
      </c>
      <c r="K6988" t="s">
        <v>1092</v>
      </c>
      <c r="M6988">
        <v>0.22500000000000001</v>
      </c>
      <c r="N6988">
        <v>1818</v>
      </c>
      <c r="O6988" t="s">
        <v>575</v>
      </c>
      <c r="Q6988" t="s">
        <v>7374</v>
      </c>
      <c r="R6988" t="s">
        <v>6720</v>
      </c>
      <c r="S6988" t="s">
        <v>961</v>
      </c>
      <c r="T6988" t="s">
        <v>962</v>
      </c>
    </row>
    <row r="6989" spans="1:20" x14ac:dyDescent="0.25">
      <c r="A6989" t="s">
        <v>30</v>
      </c>
      <c r="B6989" t="s">
        <v>31</v>
      </c>
      <c r="C6989" t="s">
        <v>32</v>
      </c>
      <c r="D6989" t="s">
        <v>953</v>
      </c>
      <c r="E6989" t="s">
        <v>7740</v>
      </c>
      <c r="F6989" t="s">
        <v>35</v>
      </c>
      <c r="G6989" t="s">
        <v>35</v>
      </c>
      <c r="H6989" t="s">
        <v>35</v>
      </c>
      <c r="J6989" t="s">
        <v>7761</v>
      </c>
      <c r="K6989" t="s">
        <v>1092</v>
      </c>
      <c r="M6989">
        <v>2.34</v>
      </c>
      <c r="N6989">
        <v>14</v>
      </c>
      <c r="O6989" t="s">
        <v>46</v>
      </c>
      <c r="Q6989" t="s">
        <v>1874</v>
      </c>
      <c r="R6989" t="s">
        <v>6720</v>
      </c>
      <c r="S6989" t="s">
        <v>961</v>
      </c>
      <c r="T6989" t="s">
        <v>962</v>
      </c>
    </row>
    <row r="6990" spans="1:20" x14ac:dyDescent="0.25">
      <c r="A6990" t="s">
        <v>44</v>
      </c>
      <c r="B6990" t="s">
        <v>51</v>
      </c>
      <c r="C6990" t="s">
        <v>32</v>
      </c>
      <c r="D6990" t="s">
        <v>953</v>
      </c>
      <c r="E6990" t="s">
        <v>7740</v>
      </c>
      <c r="F6990" t="s">
        <v>35</v>
      </c>
      <c r="G6990" t="s">
        <v>35</v>
      </c>
      <c r="H6990" t="s">
        <v>35</v>
      </c>
      <c r="J6990" t="s">
        <v>7761</v>
      </c>
      <c r="K6990" t="s">
        <v>1092</v>
      </c>
      <c r="M6990">
        <v>0.05</v>
      </c>
      <c r="N6990">
        <v>160</v>
      </c>
      <c r="O6990" t="s">
        <v>38</v>
      </c>
      <c r="Q6990" t="s">
        <v>1120</v>
      </c>
      <c r="R6990" t="s">
        <v>6720</v>
      </c>
      <c r="S6990" t="s">
        <v>961</v>
      </c>
      <c r="T6990" t="s">
        <v>962</v>
      </c>
    </row>
    <row r="6991" spans="1:20" x14ac:dyDescent="0.25">
      <c r="A6991" t="s">
        <v>59</v>
      </c>
      <c r="B6991" t="s">
        <v>60</v>
      </c>
      <c r="C6991" t="s">
        <v>32</v>
      </c>
      <c r="D6991" t="s">
        <v>953</v>
      </c>
      <c r="E6991" t="s">
        <v>7740</v>
      </c>
      <c r="F6991" t="s">
        <v>35</v>
      </c>
      <c r="G6991" t="s">
        <v>35</v>
      </c>
      <c r="H6991" t="s">
        <v>35</v>
      </c>
      <c r="J6991" t="s">
        <v>7761</v>
      </c>
      <c r="K6991" t="s">
        <v>1092</v>
      </c>
      <c r="M6991">
        <v>0.25</v>
      </c>
      <c r="N6991">
        <v>160</v>
      </c>
      <c r="O6991" t="s">
        <v>38</v>
      </c>
      <c r="Q6991" t="s">
        <v>1120</v>
      </c>
      <c r="R6991" t="s">
        <v>6720</v>
      </c>
      <c r="S6991" t="s">
        <v>961</v>
      </c>
      <c r="T6991" t="s">
        <v>962</v>
      </c>
    </row>
    <row r="6992" spans="1:20" x14ac:dyDescent="0.25">
      <c r="A6992" t="s">
        <v>59</v>
      </c>
      <c r="B6992" t="s">
        <v>60</v>
      </c>
      <c r="C6992" t="s">
        <v>32</v>
      </c>
      <c r="D6992" t="s">
        <v>953</v>
      </c>
      <c r="E6992" t="s">
        <v>7740</v>
      </c>
      <c r="F6992" t="s">
        <v>35</v>
      </c>
      <c r="G6992" t="s">
        <v>35</v>
      </c>
      <c r="H6992" t="s">
        <v>35</v>
      </c>
      <c r="J6992" t="s">
        <v>7761</v>
      </c>
      <c r="K6992" t="s">
        <v>1092</v>
      </c>
      <c r="M6992">
        <v>0.1</v>
      </c>
      <c r="N6992">
        <v>278</v>
      </c>
      <c r="O6992" t="s">
        <v>5</v>
      </c>
      <c r="Q6992" t="s">
        <v>1687</v>
      </c>
      <c r="R6992" t="s">
        <v>6720</v>
      </c>
      <c r="S6992" t="s">
        <v>961</v>
      </c>
      <c r="T6992" t="s">
        <v>962</v>
      </c>
    </row>
    <row r="6993" spans="1:20" x14ac:dyDescent="0.25">
      <c r="A6993" t="s">
        <v>44</v>
      </c>
      <c r="B6993" t="s">
        <v>3</v>
      </c>
      <c r="C6993" t="s">
        <v>32</v>
      </c>
      <c r="D6993" t="s">
        <v>953</v>
      </c>
      <c r="F6993" t="s">
        <v>35</v>
      </c>
      <c r="G6993" t="s">
        <v>35</v>
      </c>
      <c r="H6993" t="s">
        <v>35</v>
      </c>
      <c r="J6993" t="s">
        <v>7932</v>
      </c>
      <c r="K6993" t="s">
        <v>1092</v>
      </c>
      <c r="M6993">
        <v>0.75</v>
      </c>
      <c r="N6993">
        <v>418</v>
      </c>
      <c r="O6993" t="s">
        <v>294</v>
      </c>
      <c r="Q6993" t="s">
        <v>7670</v>
      </c>
      <c r="R6993" t="s">
        <v>6720</v>
      </c>
      <c r="S6993" t="s">
        <v>961</v>
      </c>
      <c r="T6993" t="s">
        <v>962</v>
      </c>
    </row>
    <row r="6994" spans="1:20" x14ac:dyDescent="0.25">
      <c r="A6994" t="s">
        <v>59</v>
      </c>
      <c r="B6994" t="s">
        <v>31</v>
      </c>
      <c r="C6994" t="s">
        <v>32</v>
      </c>
      <c r="D6994" t="s">
        <v>953</v>
      </c>
      <c r="E6994" t="s">
        <v>954</v>
      </c>
      <c r="F6994" t="s">
        <v>35</v>
      </c>
      <c r="G6994" t="s">
        <v>35</v>
      </c>
      <c r="H6994" t="s">
        <v>35</v>
      </c>
      <c r="J6994" t="s">
        <v>6796</v>
      </c>
      <c r="K6994" t="s">
        <v>1092</v>
      </c>
      <c r="M6994">
        <v>0.45</v>
      </c>
      <c r="N6994">
        <v>85</v>
      </c>
      <c r="O6994" t="s">
        <v>61</v>
      </c>
      <c r="Q6994" t="s">
        <v>1100</v>
      </c>
      <c r="R6994" t="s">
        <v>6720</v>
      </c>
      <c r="S6994" t="s">
        <v>961</v>
      </c>
      <c r="T6994" t="s">
        <v>962</v>
      </c>
    </row>
    <row r="6995" spans="1:20" x14ac:dyDescent="0.25">
      <c r="A6995" t="s">
        <v>59</v>
      </c>
      <c r="B6995" t="s">
        <v>60</v>
      </c>
      <c r="C6995" t="s">
        <v>32</v>
      </c>
      <c r="D6995" t="s">
        <v>953</v>
      </c>
      <c r="E6995" t="s">
        <v>954</v>
      </c>
      <c r="F6995" t="s">
        <v>35</v>
      </c>
      <c r="G6995" t="s">
        <v>35</v>
      </c>
      <c r="H6995" t="s">
        <v>35</v>
      </c>
      <c r="J6995" t="s">
        <v>6796</v>
      </c>
      <c r="K6995" t="s">
        <v>1092</v>
      </c>
      <c r="M6995">
        <v>0.4</v>
      </c>
      <c r="N6995">
        <v>85</v>
      </c>
      <c r="O6995" t="s">
        <v>61</v>
      </c>
      <c r="Q6995" t="s">
        <v>1100</v>
      </c>
      <c r="R6995" t="s">
        <v>6720</v>
      </c>
      <c r="S6995" t="s">
        <v>961</v>
      </c>
      <c r="T6995" t="s">
        <v>962</v>
      </c>
    </row>
    <row r="6996" spans="1:20" x14ac:dyDescent="0.25">
      <c r="A6996" t="s">
        <v>30</v>
      </c>
      <c r="B6996" t="s">
        <v>31</v>
      </c>
      <c r="C6996" t="s">
        <v>32</v>
      </c>
      <c r="D6996" t="s">
        <v>953</v>
      </c>
      <c r="E6996" t="s">
        <v>954</v>
      </c>
      <c r="F6996" t="s">
        <v>35</v>
      </c>
      <c r="G6996" t="s">
        <v>35</v>
      </c>
      <c r="H6996" t="s">
        <v>35</v>
      </c>
      <c r="J6996" t="s">
        <v>6796</v>
      </c>
      <c r="K6996" t="s">
        <v>1092</v>
      </c>
      <c r="M6996">
        <v>0.315</v>
      </c>
      <c r="N6996">
        <v>12</v>
      </c>
      <c r="O6996" t="s">
        <v>46</v>
      </c>
      <c r="Q6996" t="s">
        <v>1192</v>
      </c>
      <c r="R6996" t="s">
        <v>6720</v>
      </c>
      <c r="S6996" t="s">
        <v>961</v>
      </c>
      <c r="T6996" t="s">
        <v>962</v>
      </c>
    </row>
    <row r="6997" spans="1:20" x14ac:dyDescent="0.25">
      <c r="A6997" t="s">
        <v>30</v>
      </c>
      <c r="B6997" t="s">
        <v>31</v>
      </c>
      <c r="C6997" t="s">
        <v>32</v>
      </c>
      <c r="D6997" t="s">
        <v>953</v>
      </c>
      <c r="E6997" t="s">
        <v>954</v>
      </c>
      <c r="F6997" t="s">
        <v>35</v>
      </c>
      <c r="G6997" t="s">
        <v>35</v>
      </c>
      <c r="H6997" t="s">
        <v>35</v>
      </c>
      <c r="J6997" t="s">
        <v>6796</v>
      </c>
      <c r="K6997" t="s">
        <v>1092</v>
      </c>
      <c r="M6997">
        <v>0.45</v>
      </c>
      <c r="N6997">
        <v>37</v>
      </c>
      <c r="O6997" t="s">
        <v>52</v>
      </c>
      <c r="Q6997" t="s">
        <v>192</v>
      </c>
      <c r="R6997" t="s">
        <v>6720</v>
      </c>
      <c r="S6997" t="s">
        <v>961</v>
      </c>
      <c r="T6997" t="s">
        <v>962</v>
      </c>
    </row>
    <row r="6998" spans="1:20" x14ac:dyDescent="0.25">
      <c r="A6998" t="s">
        <v>59</v>
      </c>
      <c r="B6998" t="s">
        <v>31</v>
      </c>
      <c r="C6998" t="s">
        <v>32</v>
      </c>
      <c r="D6998" t="s">
        <v>953</v>
      </c>
      <c r="E6998" t="s">
        <v>954</v>
      </c>
      <c r="F6998" t="s">
        <v>35</v>
      </c>
      <c r="G6998" t="s">
        <v>35</v>
      </c>
      <c r="H6998" t="s">
        <v>35</v>
      </c>
      <c r="J6998" t="s">
        <v>6796</v>
      </c>
      <c r="K6998" t="s">
        <v>1092</v>
      </c>
      <c r="M6998">
        <v>0.36</v>
      </c>
      <c r="N6998">
        <v>344</v>
      </c>
      <c r="O6998" t="s">
        <v>5</v>
      </c>
      <c r="Q6998" t="s">
        <v>1375</v>
      </c>
      <c r="R6998" t="s">
        <v>6720</v>
      </c>
      <c r="S6998" t="s">
        <v>961</v>
      </c>
      <c r="T6998" t="s">
        <v>962</v>
      </c>
    </row>
    <row r="6999" spans="1:20" x14ac:dyDescent="0.25">
      <c r="A6999" t="s">
        <v>59</v>
      </c>
      <c r="B6999" t="s">
        <v>60</v>
      </c>
      <c r="C6999" t="s">
        <v>32</v>
      </c>
      <c r="D6999" t="s">
        <v>953</v>
      </c>
      <c r="F6999" t="s">
        <v>35</v>
      </c>
      <c r="G6999" t="s">
        <v>35</v>
      </c>
      <c r="H6999" t="s">
        <v>35</v>
      </c>
      <c r="J6999" t="s">
        <v>7933</v>
      </c>
      <c r="K6999" t="s">
        <v>1092</v>
      </c>
      <c r="M6999">
        <v>1.85</v>
      </c>
      <c r="N6999">
        <v>319</v>
      </c>
      <c r="O6999" t="s">
        <v>5</v>
      </c>
      <c r="Q6999" t="s">
        <v>6118</v>
      </c>
      <c r="R6999" t="s">
        <v>6720</v>
      </c>
      <c r="S6999" t="s">
        <v>961</v>
      </c>
      <c r="T6999" t="s">
        <v>962</v>
      </c>
    </row>
    <row r="7000" spans="1:20" x14ac:dyDescent="0.25">
      <c r="A7000" t="s">
        <v>59</v>
      </c>
      <c r="B7000" t="s">
        <v>60</v>
      </c>
      <c r="C7000" t="s">
        <v>32</v>
      </c>
      <c r="D7000" t="s">
        <v>953</v>
      </c>
      <c r="F7000" t="s">
        <v>35</v>
      </c>
      <c r="G7000" t="s">
        <v>35</v>
      </c>
      <c r="H7000" t="s">
        <v>35</v>
      </c>
      <c r="J7000" t="s">
        <v>7937</v>
      </c>
      <c r="K7000" t="s">
        <v>1092</v>
      </c>
      <c r="M7000">
        <v>0.45</v>
      </c>
      <c r="N7000">
        <v>1208</v>
      </c>
      <c r="O7000" t="s">
        <v>575</v>
      </c>
      <c r="Q7000" t="s">
        <v>7938</v>
      </c>
      <c r="R7000" t="s">
        <v>6720</v>
      </c>
      <c r="S7000" t="s">
        <v>961</v>
      </c>
      <c r="T7000" t="s">
        <v>962</v>
      </c>
    </row>
    <row r="7001" spans="1:20" x14ac:dyDescent="0.25">
      <c r="A7001" t="s">
        <v>59</v>
      </c>
      <c r="B7001" t="s">
        <v>60</v>
      </c>
      <c r="C7001" t="s">
        <v>32</v>
      </c>
      <c r="D7001" t="s">
        <v>953</v>
      </c>
      <c r="F7001" t="s">
        <v>35</v>
      </c>
      <c r="G7001" t="s">
        <v>35</v>
      </c>
      <c r="H7001" t="s">
        <v>35</v>
      </c>
      <c r="J7001" t="s">
        <v>7937</v>
      </c>
      <c r="K7001" t="s">
        <v>1092</v>
      </c>
      <c r="M7001">
        <v>0.5</v>
      </c>
      <c r="N7001">
        <v>1132</v>
      </c>
      <c r="O7001" t="s">
        <v>575</v>
      </c>
      <c r="Q7001" t="s">
        <v>7939</v>
      </c>
      <c r="R7001" t="s">
        <v>6720</v>
      </c>
      <c r="S7001" t="s">
        <v>961</v>
      </c>
      <c r="T7001" t="s">
        <v>962</v>
      </c>
    </row>
    <row r="7002" spans="1:20" x14ac:dyDescent="0.25">
      <c r="A7002" t="s">
        <v>30</v>
      </c>
      <c r="B7002" t="s">
        <v>31</v>
      </c>
      <c r="C7002" t="s">
        <v>32</v>
      </c>
      <c r="D7002" t="s">
        <v>953</v>
      </c>
      <c r="E7002" t="s">
        <v>968</v>
      </c>
      <c r="F7002" t="s">
        <v>35</v>
      </c>
      <c r="G7002" t="s">
        <v>35</v>
      </c>
      <c r="H7002" t="s">
        <v>35</v>
      </c>
      <c r="J7002" t="s">
        <v>7000</v>
      </c>
      <c r="K7002" t="s">
        <v>1092</v>
      </c>
      <c r="M7002">
        <v>9.2249999999999996</v>
      </c>
      <c r="N7002">
        <v>14</v>
      </c>
      <c r="O7002" t="s">
        <v>46</v>
      </c>
      <c r="Q7002" t="s">
        <v>1874</v>
      </c>
      <c r="R7002" t="s">
        <v>6720</v>
      </c>
      <c r="S7002" t="s">
        <v>961</v>
      </c>
      <c r="T7002" t="s">
        <v>962</v>
      </c>
    </row>
    <row r="7003" spans="1:20" x14ac:dyDescent="0.25">
      <c r="A7003" t="s">
        <v>44</v>
      </c>
      <c r="B7003" t="s">
        <v>51</v>
      </c>
      <c r="C7003" t="s">
        <v>32</v>
      </c>
      <c r="D7003" t="s">
        <v>953</v>
      </c>
      <c r="E7003" t="s">
        <v>954</v>
      </c>
      <c r="F7003" t="s">
        <v>35</v>
      </c>
      <c r="G7003" t="s">
        <v>35</v>
      </c>
      <c r="H7003" t="s">
        <v>35</v>
      </c>
      <c r="J7003" t="s">
        <v>6855</v>
      </c>
      <c r="K7003" t="s">
        <v>1092</v>
      </c>
      <c r="M7003">
        <v>0.05</v>
      </c>
      <c r="N7003">
        <v>14</v>
      </c>
      <c r="O7003" t="s">
        <v>46</v>
      </c>
      <c r="Q7003" t="s">
        <v>1874</v>
      </c>
      <c r="R7003" t="s">
        <v>6720</v>
      </c>
      <c r="S7003" t="s">
        <v>961</v>
      </c>
      <c r="T7003" t="s">
        <v>962</v>
      </c>
    </row>
    <row r="7004" spans="1:20" x14ac:dyDescent="0.25">
      <c r="A7004" t="s">
        <v>30</v>
      </c>
      <c r="B7004" t="s">
        <v>31</v>
      </c>
      <c r="C7004" t="s">
        <v>32</v>
      </c>
      <c r="D7004" t="s">
        <v>953</v>
      </c>
      <c r="E7004" t="s">
        <v>954</v>
      </c>
      <c r="F7004" t="s">
        <v>35</v>
      </c>
      <c r="G7004" t="s">
        <v>35</v>
      </c>
      <c r="H7004" t="s">
        <v>35</v>
      </c>
      <c r="J7004" t="s">
        <v>6855</v>
      </c>
      <c r="K7004" t="s">
        <v>1092</v>
      </c>
      <c r="M7004">
        <v>0.22500000000000001</v>
      </c>
      <c r="N7004">
        <v>4</v>
      </c>
      <c r="O7004" t="s">
        <v>46</v>
      </c>
      <c r="Q7004" t="s">
        <v>1053</v>
      </c>
      <c r="R7004" t="s">
        <v>6720</v>
      </c>
      <c r="S7004" t="s">
        <v>961</v>
      </c>
      <c r="T7004" t="s">
        <v>962</v>
      </c>
    </row>
    <row r="7005" spans="1:20" x14ac:dyDescent="0.25">
      <c r="A7005" t="s">
        <v>30</v>
      </c>
      <c r="B7005" t="s">
        <v>31</v>
      </c>
      <c r="C7005" t="s">
        <v>32</v>
      </c>
      <c r="D7005" t="s">
        <v>953</v>
      </c>
      <c r="E7005" t="s">
        <v>954</v>
      </c>
      <c r="F7005" t="s">
        <v>35</v>
      </c>
      <c r="G7005" t="s">
        <v>35</v>
      </c>
      <c r="H7005" t="s">
        <v>35</v>
      </c>
      <c r="J7005" t="s">
        <v>6855</v>
      </c>
      <c r="K7005" t="s">
        <v>1092</v>
      </c>
      <c r="M7005">
        <v>0.9</v>
      </c>
      <c r="N7005">
        <v>9</v>
      </c>
      <c r="O7005" t="s">
        <v>46</v>
      </c>
      <c r="Q7005" t="s">
        <v>323</v>
      </c>
      <c r="R7005" t="s">
        <v>6720</v>
      </c>
      <c r="S7005" t="s">
        <v>961</v>
      </c>
      <c r="T7005" t="s">
        <v>962</v>
      </c>
    </row>
    <row r="7006" spans="1:20" x14ac:dyDescent="0.25">
      <c r="A7006" t="s">
        <v>30</v>
      </c>
      <c r="B7006" t="s">
        <v>31</v>
      </c>
      <c r="C7006" t="s">
        <v>32</v>
      </c>
      <c r="D7006" t="s">
        <v>953</v>
      </c>
      <c r="E7006" t="s">
        <v>954</v>
      </c>
      <c r="F7006" t="s">
        <v>35</v>
      </c>
      <c r="G7006" t="s">
        <v>35</v>
      </c>
      <c r="H7006" t="s">
        <v>35</v>
      </c>
      <c r="J7006" t="s">
        <v>6855</v>
      </c>
      <c r="K7006" t="s">
        <v>1092</v>
      </c>
      <c r="M7006">
        <v>0.13500000000000001</v>
      </c>
      <c r="N7006">
        <v>12</v>
      </c>
      <c r="O7006" t="s">
        <v>46</v>
      </c>
      <c r="Q7006" t="s">
        <v>1192</v>
      </c>
      <c r="R7006" t="s">
        <v>6720</v>
      </c>
      <c r="S7006" t="s">
        <v>961</v>
      </c>
      <c r="T7006" t="s">
        <v>962</v>
      </c>
    </row>
    <row r="7007" spans="1:20" x14ac:dyDescent="0.25">
      <c r="A7007" t="s">
        <v>44</v>
      </c>
      <c r="B7007" t="s">
        <v>3</v>
      </c>
      <c r="C7007" t="s">
        <v>32</v>
      </c>
      <c r="D7007" t="s">
        <v>953</v>
      </c>
      <c r="E7007" t="s">
        <v>954</v>
      </c>
      <c r="F7007" t="s">
        <v>35</v>
      </c>
      <c r="G7007" t="s">
        <v>35</v>
      </c>
      <c r="H7007" t="s">
        <v>35</v>
      </c>
      <c r="J7007" t="s">
        <v>6855</v>
      </c>
      <c r="K7007" t="s">
        <v>1092</v>
      </c>
      <c r="M7007">
        <v>0.05</v>
      </c>
      <c r="N7007">
        <v>4</v>
      </c>
      <c r="O7007" t="s">
        <v>46</v>
      </c>
      <c r="Q7007" t="s">
        <v>1053</v>
      </c>
      <c r="R7007" t="s">
        <v>6720</v>
      </c>
      <c r="S7007" t="s">
        <v>961</v>
      </c>
      <c r="T7007" t="s">
        <v>962</v>
      </c>
    </row>
    <row r="7008" spans="1:20" x14ac:dyDescent="0.25">
      <c r="A7008" t="s">
        <v>44</v>
      </c>
      <c r="B7008" t="s">
        <v>3</v>
      </c>
      <c r="C7008" t="s">
        <v>32</v>
      </c>
      <c r="D7008" t="s">
        <v>953</v>
      </c>
      <c r="E7008" t="s">
        <v>1077</v>
      </c>
      <c r="F7008" t="s">
        <v>35</v>
      </c>
      <c r="G7008" t="s">
        <v>35</v>
      </c>
      <c r="H7008" t="s">
        <v>35</v>
      </c>
      <c r="J7008" t="s">
        <v>7694</v>
      </c>
      <c r="K7008" t="s">
        <v>404</v>
      </c>
      <c r="M7008">
        <v>1</v>
      </c>
      <c r="N7008">
        <v>455</v>
      </c>
      <c r="O7008" t="s">
        <v>294</v>
      </c>
      <c r="Q7008" t="s">
        <v>7695</v>
      </c>
      <c r="R7008" t="s">
        <v>6720</v>
      </c>
      <c r="S7008" t="s">
        <v>961</v>
      </c>
      <c r="T7008" t="s">
        <v>962</v>
      </c>
    </row>
    <row r="7009" spans="1:20" x14ac:dyDescent="0.25">
      <c r="A7009" t="s">
        <v>44</v>
      </c>
      <c r="B7009" t="s">
        <v>3</v>
      </c>
      <c r="C7009" t="s">
        <v>32</v>
      </c>
      <c r="D7009" t="s">
        <v>953</v>
      </c>
      <c r="E7009" t="s">
        <v>1077</v>
      </c>
      <c r="F7009" t="s">
        <v>35</v>
      </c>
      <c r="G7009" t="s">
        <v>35</v>
      </c>
      <c r="H7009" t="s">
        <v>35</v>
      </c>
      <c r="J7009" t="s">
        <v>7694</v>
      </c>
      <c r="K7009" t="s">
        <v>404</v>
      </c>
      <c r="M7009">
        <v>0.5</v>
      </c>
      <c r="N7009">
        <v>415</v>
      </c>
      <c r="O7009" t="s">
        <v>294</v>
      </c>
      <c r="Q7009" t="s">
        <v>4141</v>
      </c>
      <c r="R7009" t="s">
        <v>6720</v>
      </c>
      <c r="S7009" t="s">
        <v>961</v>
      </c>
      <c r="T7009" t="s">
        <v>962</v>
      </c>
    </row>
    <row r="7010" spans="1:20" x14ac:dyDescent="0.25">
      <c r="A7010" t="s">
        <v>30</v>
      </c>
      <c r="B7010" t="s">
        <v>31</v>
      </c>
      <c r="C7010" t="s">
        <v>32</v>
      </c>
      <c r="D7010" t="s">
        <v>953</v>
      </c>
      <c r="E7010" t="s">
        <v>954</v>
      </c>
      <c r="F7010" t="s">
        <v>35</v>
      </c>
      <c r="G7010" t="s">
        <v>35</v>
      </c>
      <c r="H7010" t="s">
        <v>35</v>
      </c>
      <c r="J7010" t="s">
        <v>6769</v>
      </c>
      <c r="K7010" t="s">
        <v>1092</v>
      </c>
      <c r="M7010">
        <v>0.45</v>
      </c>
      <c r="N7010">
        <v>23</v>
      </c>
      <c r="O7010" t="s">
        <v>46</v>
      </c>
      <c r="Q7010" t="s">
        <v>793</v>
      </c>
      <c r="R7010" t="s">
        <v>6720</v>
      </c>
      <c r="S7010" t="s">
        <v>961</v>
      </c>
      <c r="T7010" t="s">
        <v>962</v>
      </c>
    </row>
    <row r="7011" spans="1:20" x14ac:dyDescent="0.25">
      <c r="A7011" t="s">
        <v>59</v>
      </c>
      <c r="B7011" t="s">
        <v>60</v>
      </c>
      <c r="C7011" t="s">
        <v>32</v>
      </c>
      <c r="D7011" t="s">
        <v>953</v>
      </c>
      <c r="E7011" t="s">
        <v>954</v>
      </c>
      <c r="F7011" t="s">
        <v>35</v>
      </c>
      <c r="G7011" t="s">
        <v>35</v>
      </c>
      <c r="H7011" t="s">
        <v>35</v>
      </c>
      <c r="J7011" t="s">
        <v>6769</v>
      </c>
      <c r="K7011" t="s">
        <v>1092</v>
      </c>
      <c r="M7011">
        <v>0.35</v>
      </c>
      <c r="N7011">
        <v>45</v>
      </c>
      <c r="O7011" t="s">
        <v>52</v>
      </c>
      <c r="Q7011" t="s">
        <v>1230</v>
      </c>
      <c r="R7011" t="s">
        <v>6720</v>
      </c>
      <c r="S7011" t="s">
        <v>961</v>
      </c>
      <c r="T7011" t="s">
        <v>962</v>
      </c>
    </row>
    <row r="7012" spans="1:20" x14ac:dyDescent="0.25">
      <c r="A7012" t="s">
        <v>30</v>
      </c>
      <c r="B7012" t="s">
        <v>31</v>
      </c>
      <c r="C7012" t="s">
        <v>32</v>
      </c>
      <c r="D7012" t="s">
        <v>953</v>
      </c>
      <c r="E7012" t="s">
        <v>954</v>
      </c>
      <c r="F7012" t="s">
        <v>35</v>
      </c>
      <c r="G7012" t="s">
        <v>35</v>
      </c>
      <c r="H7012" t="s">
        <v>35</v>
      </c>
      <c r="J7012" t="s">
        <v>6763</v>
      </c>
      <c r="K7012" t="s">
        <v>1092</v>
      </c>
      <c r="M7012">
        <v>0.99</v>
      </c>
      <c r="N7012">
        <v>37</v>
      </c>
      <c r="O7012" t="s">
        <v>52</v>
      </c>
      <c r="Q7012" t="s">
        <v>192</v>
      </c>
      <c r="R7012" t="s">
        <v>6720</v>
      </c>
      <c r="S7012" t="s">
        <v>961</v>
      </c>
      <c r="T7012" t="s">
        <v>962</v>
      </c>
    </row>
    <row r="7013" spans="1:20" x14ac:dyDescent="0.25">
      <c r="A7013" t="s">
        <v>59</v>
      </c>
      <c r="B7013" t="s">
        <v>60</v>
      </c>
      <c r="C7013" t="s">
        <v>32</v>
      </c>
      <c r="D7013" t="s">
        <v>953</v>
      </c>
      <c r="E7013" t="s">
        <v>954</v>
      </c>
      <c r="F7013" t="s">
        <v>35</v>
      </c>
      <c r="G7013" t="s">
        <v>35</v>
      </c>
      <c r="H7013" t="s">
        <v>35</v>
      </c>
      <c r="J7013" t="s">
        <v>6763</v>
      </c>
      <c r="K7013" t="s">
        <v>1092</v>
      </c>
      <c r="M7013">
        <v>0.15</v>
      </c>
      <c r="N7013">
        <v>133</v>
      </c>
      <c r="O7013" t="s">
        <v>38</v>
      </c>
      <c r="Q7013" t="s">
        <v>609</v>
      </c>
      <c r="R7013" t="s">
        <v>6720</v>
      </c>
      <c r="S7013" t="s">
        <v>961</v>
      </c>
      <c r="T7013" t="s">
        <v>962</v>
      </c>
    </row>
    <row r="7014" spans="1:20" x14ac:dyDescent="0.25">
      <c r="A7014" t="s">
        <v>44</v>
      </c>
      <c r="B7014" t="s">
        <v>3</v>
      </c>
      <c r="C7014" t="s">
        <v>32</v>
      </c>
      <c r="D7014" t="s">
        <v>953</v>
      </c>
      <c r="E7014" t="s">
        <v>954</v>
      </c>
      <c r="F7014" t="s">
        <v>35</v>
      </c>
      <c r="G7014" t="s">
        <v>35</v>
      </c>
      <c r="H7014" t="s">
        <v>35</v>
      </c>
      <c r="J7014" t="s">
        <v>6763</v>
      </c>
      <c r="K7014" t="s">
        <v>1092</v>
      </c>
      <c r="M7014">
        <v>0.25</v>
      </c>
      <c r="N7014">
        <v>45</v>
      </c>
      <c r="O7014" t="s">
        <v>52</v>
      </c>
      <c r="Q7014" t="s">
        <v>1230</v>
      </c>
      <c r="R7014" t="s">
        <v>6720</v>
      </c>
      <c r="S7014" t="s">
        <v>961</v>
      </c>
      <c r="T7014" t="s">
        <v>962</v>
      </c>
    </row>
    <row r="7015" spans="1:20" x14ac:dyDescent="0.25">
      <c r="A7015" t="s">
        <v>59</v>
      </c>
      <c r="B7015" t="s">
        <v>60</v>
      </c>
      <c r="C7015" t="s">
        <v>32</v>
      </c>
      <c r="D7015" t="s">
        <v>953</v>
      </c>
      <c r="E7015" t="s">
        <v>954</v>
      </c>
      <c r="F7015" t="s">
        <v>35</v>
      </c>
      <c r="G7015" t="s">
        <v>35</v>
      </c>
      <c r="H7015" t="s">
        <v>35</v>
      </c>
      <c r="J7015" t="s">
        <v>6763</v>
      </c>
      <c r="K7015" t="s">
        <v>1092</v>
      </c>
      <c r="M7015">
        <v>0.05</v>
      </c>
      <c r="N7015">
        <v>174</v>
      </c>
      <c r="O7015" t="s">
        <v>38</v>
      </c>
      <c r="Q7015" t="s">
        <v>1684</v>
      </c>
      <c r="R7015" t="s">
        <v>6720</v>
      </c>
      <c r="S7015" t="s">
        <v>961</v>
      </c>
      <c r="T7015" t="s">
        <v>962</v>
      </c>
    </row>
    <row r="7016" spans="1:20" x14ac:dyDescent="0.25">
      <c r="A7016" t="s">
        <v>44</v>
      </c>
      <c r="B7016" t="s">
        <v>3</v>
      </c>
      <c r="C7016" t="s">
        <v>32</v>
      </c>
      <c r="D7016" t="s">
        <v>953</v>
      </c>
      <c r="E7016" t="s">
        <v>954</v>
      </c>
      <c r="F7016" t="s">
        <v>35</v>
      </c>
      <c r="G7016" t="s">
        <v>35</v>
      </c>
      <c r="H7016" t="s">
        <v>35</v>
      </c>
      <c r="J7016" t="s">
        <v>6763</v>
      </c>
      <c r="K7016" t="s">
        <v>1092</v>
      </c>
      <c r="M7016">
        <v>0.15</v>
      </c>
      <c r="N7016">
        <v>37</v>
      </c>
      <c r="O7016" t="s">
        <v>52</v>
      </c>
      <c r="Q7016" t="s">
        <v>192</v>
      </c>
      <c r="R7016" t="s">
        <v>6720</v>
      </c>
      <c r="S7016" t="s">
        <v>961</v>
      </c>
      <c r="T7016" t="s">
        <v>962</v>
      </c>
    </row>
    <row r="7017" spans="1:20" x14ac:dyDescent="0.25">
      <c r="A7017" t="s">
        <v>44</v>
      </c>
      <c r="B7017" t="s">
        <v>51</v>
      </c>
      <c r="C7017" t="s">
        <v>32</v>
      </c>
      <c r="D7017" t="s">
        <v>953</v>
      </c>
      <c r="E7017" t="s">
        <v>954</v>
      </c>
      <c r="F7017" t="s">
        <v>35</v>
      </c>
      <c r="G7017" t="s">
        <v>35</v>
      </c>
      <c r="H7017" t="s">
        <v>35</v>
      </c>
      <c r="J7017" t="s">
        <v>6763</v>
      </c>
      <c r="K7017" t="s">
        <v>1092</v>
      </c>
      <c r="M7017">
        <v>0.25</v>
      </c>
      <c r="N7017">
        <v>22</v>
      </c>
      <c r="O7017" t="s">
        <v>46</v>
      </c>
      <c r="Q7017" t="s">
        <v>1645</v>
      </c>
      <c r="R7017" t="s">
        <v>6720</v>
      </c>
      <c r="S7017" t="s">
        <v>961</v>
      </c>
      <c r="T7017" t="s">
        <v>962</v>
      </c>
    </row>
    <row r="7018" spans="1:20" x14ac:dyDescent="0.25">
      <c r="A7018" t="s">
        <v>59</v>
      </c>
      <c r="B7018" t="s">
        <v>60</v>
      </c>
      <c r="C7018" t="s">
        <v>32</v>
      </c>
      <c r="D7018" t="s">
        <v>953</v>
      </c>
      <c r="E7018" t="s">
        <v>954</v>
      </c>
      <c r="F7018" t="s">
        <v>35</v>
      </c>
      <c r="G7018" t="s">
        <v>35</v>
      </c>
      <c r="H7018" t="s">
        <v>35</v>
      </c>
      <c r="J7018" t="s">
        <v>6763</v>
      </c>
      <c r="K7018" t="s">
        <v>1092</v>
      </c>
      <c r="M7018">
        <v>0.4</v>
      </c>
      <c r="N7018">
        <v>45</v>
      </c>
      <c r="O7018" t="s">
        <v>52</v>
      </c>
      <c r="Q7018" t="s">
        <v>1230</v>
      </c>
      <c r="R7018" t="s">
        <v>6720</v>
      </c>
      <c r="S7018" t="s">
        <v>961</v>
      </c>
      <c r="T7018" t="s">
        <v>962</v>
      </c>
    </row>
    <row r="7019" spans="1:20" x14ac:dyDescent="0.25">
      <c r="A7019" t="s">
        <v>44</v>
      </c>
      <c r="B7019" t="s">
        <v>51</v>
      </c>
      <c r="C7019" t="s">
        <v>32</v>
      </c>
      <c r="D7019" t="s">
        <v>953</v>
      </c>
      <c r="E7019" t="s">
        <v>954</v>
      </c>
      <c r="F7019" t="s">
        <v>35</v>
      </c>
      <c r="G7019" t="s">
        <v>35</v>
      </c>
      <c r="H7019" t="s">
        <v>35</v>
      </c>
      <c r="J7019" t="s">
        <v>6763</v>
      </c>
      <c r="K7019" t="s">
        <v>1092</v>
      </c>
      <c r="M7019">
        <v>0.15</v>
      </c>
      <c r="N7019">
        <v>45</v>
      </c>
      <c r="O7019" t="s">
        <v>52</v>
      </c>
      <c r="Q7019" t="s">
        <v>1230</v>
      </c>
      <c r="R7019" t="s">
        <v>6720</v>
      </c>
      <c r="S7019" t="s">
        <v>961</v>
      </c>
      <c r="T7019" t="s">
        <v>962</v>
      </c>
    </row>
    <row r="7020" spans="1:20" x14ac:dyDescent="0.25">
      <c r="A7020" t="s">
        <v>59</v>
      </c>
      <c r="B7020" t="s">
        <v>60</v>
      </c>
      <c r="C7020" t="s">
        <v>32</v>
      </c>
      <c r="D7020" t="s">
        <v>953</v>
      </c>
      <c r="E7020" t="s">
        <v>7494</v>
      </c>
      <c r="F7020" t="s">
        <v>35</v>
      </c>
      <c r="G7020" t="s">
        <v>35</v>
      </c>
      <c r="H7020" t="s">
        <v>35</v>
      </c>
      <c r="J7020" t="s">
        <v>7496</v>
      </c>
      <c r="K7020" t="s">
        <v>1092</v>
      </c>
      <c r="M7020">
        <v>0.39</v>
      </c>
      <c r="N7020">
        <v>23</v>
      </c>
      <c r="O7020" t="s">
        <v>46</v>
      </c>
      <c r="Q7020" t="s">
        <v>793</v>
      </c>
      <c r="R7020" t="s">
        <v>6720</v>
      </c>
      <c r="S7020" t="s">
        <v>961</v>
      </c>
      <c r="T7020" t="s">
        <v>962</v>
      </c>
    </row>
    <row r="7021" spans="1:20" x14ac:dyDescent="0.25">
      <c r="A7021" t="s">
        <v>30</v>
      </c>
      <c r="B7021" t="s">
        <v>31</v>
      </c>
      <c r="C7021" t="s">
        <v>32</v>
      </c>
      <c r="D7021" t="s">
        <v>953</v>
      </c>
      <c r="E7021" t="s">
        <v>7740</v>
      </c>
      <c r="F7021" t="s">
        <v>35</v>
      </c>
      <c r="G7021" t="s">
        <v>35</v>
      </c>
      <c r="H7021" t="s">
        <v>35</v>
      </c>
      <c r="J7021" t="s">
        <v>7762</v>
      </c>
      <c r="K7021" t="s">
        <v>1092</v>
      </c>
      <c r="M7021">
        <v>3.105</v>
      </c>
      <c r="N7021">
        <v>14</v>
      </c>
      <c r="O7021" t="s">
        <v>46</v>
      </c>
      <c r="Q7021" t="s">
        <v>1874</v>
      </c>
      <c r="R7021" t="s">
        <v>6720</v>
      </c>
      <c r="S7021" t="s">
        <v>961</v>
      </c>
      <c r="T7021" t="s">
        <v>962</v>
      </c>
    </row>
    <row r="7022" spans="1:20" x14ac:dyDescent="0.25">
      <c r="A7022" t="s">
        <v>59</v>
      </c>
      <c r="B7022" t="s">
        <v>60</v>
      </c>
      <c r="C7022" t="s">
        <v>32</v>
      </c>
      <c r="D7022" t="s">
        <v>953</v>
      </c>
      <c r="E7022" t="s">
        <v>7740</v>
      </c>
      <c r="F7022" t="s">
        <v>35</v>
      </c>
      <c r="G7022" t="s">
        <v>35</v>
      </c>
      <c r="H7022" t="s">
        <v>35</v>
      </c>
      <c r="J7022" t="s">
        <v>7762</v>
      </c>
      <c r="K7022" t="s">
        <v>1092</v>
      </c>
      <c r="M7022">
        <v>0.5</v>
      </c>
      <c r="N7022">
        <v>39</v>
      </c>
      <c r="O7022" t="s">
        <v>52</v>
      </c>
      <c r="Q7022" t="s">
        <v>493</v>
      </c>
      <c r="R7022" t="s">
        <v>6720</v>
      </c>
      <c r="S7022" t="s">
        <v>961</v>
      </c>
      <c r="T7022" t="s">
        <v>962</v>
      </c>
    </row>
    <row r="7023" spans="1:20" x14ac:dyDescent="0.25">
      <c r="A7023" t="s">
        <v>59</v>
      </c>
      <c r="B7023" t="s">
        <v>60</v>
      </c>
      <c r="C7023" t="s">
        <v>32</v>
      </c>
      <c r="D7023" t="s">
        <v>953</v>
      </c>
      <c r="E7023" t="s">
        <v>7494</v>
      </c>
      <c r="F7023" t="s">
        <v>35</v>
      </c>
      <c r="G7023" t="s">
        <v>35</v>
      </c>
      <c r="H7023" t="s">
        <v>35</v>
      </c>
      <c r="J7023" t="s">
        <v>7497</v>
      </c>
      <c r="K7023" t="s">
        <v>1092</v>
      </c>
      <c r="M7023">
        <v>0.21</v>
      </c>
      <c r="N7023">
        <v>172</v>
      </c>
      <c r="O7023" t="s">
        <v>38</v>
      </c>
      <c r="Q7023" t="s">
        <v>346</v>
      </c>
      <c r="R7023" t="s">
        <v>6720</v>
      </c>
      <c r="S7023" t="s">
        <v>961</v>
      </c>
      <c r="T7023" t="s">
        <v>962</v>
      </c>
    </row>
    <row r="7024" spans="1:20" x14ac:dyDescent="0.25">
      <c r="A7024" t="s">
        <v>59</v>
      </c>
      <c r="B7024" t="s">
        <v>60</v>
      </c>
      <c r="C7024" t="s">
        <v>32</v>
      </c>
      <c r="D7024" t="s">
        <v>953</v>
      </c>
      <c r="F7024" t="s">
        <v>35</v>
      </c>
      <c r="G7024" t="s">
        <v>35</v>
      </c>
      <c r="H7024" t="s">
        <v>35</v>
      </c>
      <c r="J7024" t="s">
        <v>8023</v>
      </c>
      <c r="K7024" t="s">
        <v>1092</v>
      </c>
      <c r="M7024">
        <v>0.25</v>
      </c>
      <c r="N7024">
        <v>1569</v>
      </c>
      <c r="O7024" t="s">
        <v>575</v>
      </c>
      <c r="Q7024" t="s">
        <v>8024</v>
      </c>
      <c r="R7024" t="s">
        <v>6720</v>
      </c>
      <c r="S7024" t="s">
        <v>961</v>
      </c>
      <c r="T7024" t="s">
        <v>962</v>
      </c>
    </row>
    <row r="7025" spans="1:20" x14ac:dyDescent="0.25">
      <c r="A7025" t="s">
        <v>59</v>
      </c>
      <c r="B7025" t="s">
        <v>60</v>
      </c>
      <c r="C7025" t="s">
        <v>32</v>
      </c>
      <c r="D7025" t="s">
        <v>953</v>
      </c>
      <c r="F7025" t="s">
        <v>35</v>
      </c>
      <c r="G7025" t="s">
        <v>35</v>
      </c>
      <c r="H7025" t="s">
        <v>35</v>
      </c>
      <c r="J7025" t="s">
        <v>8023</v>
      </c>
      <c r="K7025" t="s">
        <v>1092</v>
      </c>
      <c r="M7025">
        <v>0.5</v>
      </c>
      <c r="N7025">
        <v>1481</v>
      </c>
      <c r="O7025" t="s">
        <v>575</v>
      </c>
      <c r="Q7025" t="s">
        <v>8025</v>
      </c>
      <c r="R7025" t="s">
        <v>6720</v>
      </c>
      <c r="S7025" t="s">
        <v>961</v>
      </c>
      <c r="T7025" t="s">
        <v>962</v>
      </c>
    </row>
    <row r="7026" spans="1:20" x14ac:dyDescent="0.25">
      <c r="A7026" t="s">
        <v>59</v>
      </c>
      <c r="B7026" t="s">
        <v>60</v>
      </c>
      <c r="C7026" t="s">
        <v>32</v>
      </c>
      <c r="D7026" t="s">
        <v>953</v>
      </c>
      <c r="F7026" t="s">
        <v>35</v>
      </c>
      <c r="G7026" t="s">
        <v>35</v>
      </c>
      <c r="H7026" t="s">
        <v>35</v>
      </c>
      <c r="J7026" t="s">
        <v>8023</v>
      </c>
      <c r="K7026" t="s">
        <v>1092</v>
      </c>
      <c r="M7026">
        <v>0.05</v>
      </c>
      <c r="N7026">
        <v>1630</v>
      </c>
      <c r="O7026" t="s">
        <v>575</v>
      </c>
      <c r="Q7026" t="s">
        <v>8026</v>
      </c>
      <c r="R7026" t="s">
        <v>6720</v>
      </c>
      <c r="S7026" t="s">
        <v>961</v>
      </c>
      <c r="T7026" t="s">
        <v>962</v>
      </c>
    </row>
    <row r="7027" spans="1:20" x14ac:dyDescent="0.25">
      <c r="A7027" t="s">
        <v>59</v>
      </c>
      <c r="B7027" t="s">
        <v>60</v>
      </c>
      <c r="C7027" t="s">
        <v>32</v>
      </c>
      <c r="D7027" t="s">
        <v>953</v>
      </c>
      <c r="E7027" t="s">
        <v>954</v>
      </c>
      <c r="F7027" t="s">
        <v>35</v>
      </c>
      <c r="G7027" t="s">
        <v>35</v>
      </c>
      <c r="H7027" t="s">
        <v>35</v>
      </c>
      <c r="J7027" t="s">
        <v>6814</v>
      </c>
      <c r="K7027" t="s">
        <v>1092</v>
      </c>
      <c r="M7027">
        <v>0.5</v>
      </c>
      <c r="N7027">
        <v>135</v>
      </c>
      <c r="O7027" t="s">
        <v>38</v>
      </c>
      <c r="Q7027" t="s">
        <v>2067</v>
      </c>
      <c r="R7027" t="s">
        <v>6720</v>
      </c>
      <c r="S7027" t="s">
        <v>961</v>
      </c>
      <c r="T7027" t="s">
        <v>962</v>
      </c>
    </row>
    <row r="7028" spans="1:20" x14ac:dyDescent="0.25">
      <c r="A7028" t="s">
        <v>59</v>
      </c>
      <c r="B7028" t="s">
        <v>60</v>
      </c>
      <c r="C7028" t="s">
        <v>32</v>
      </c>
      <c r="D7028" t="s">
        <v>953</v>
      </c>
      <c r="E7028" t="s">
        <v>954</v>
      </c>
      <c r="F7028" t="s">
        <v>35</v>
      </c>
      <c r="G7028" t="s">
        <v>35</v>
      </c>
      <c r="H7028" t="s">
        <v>35</v>
      </c>
      <c r="J7028" t="s">
        <v>6814</v>
      </c>
      <c r="K7028" t="s">
        <v>1092</v>
      </c>
      <c r="M7028">
        <v>0.5</v>
      </c>
      <c r="N7028">
        <v>133</v>
      </c>
      <c r="O7028" t="s">
        <v>38</v>
      </c>
      <c r="Q7028" t="s">
        <v>609</v>
      </c>
      <c r="R7028" t="s">
        <v>6720</v>
      </c>
      <c r="S7028" t="s">
        <v>961</v>
      </c>
      <c r="T7028" t="s">
        <v>962</v>
      </c>
    </row>
    <row r="7029" spans="1:20" x14ac:dyDescent="0.25">
      <c r="A7029" t="s">
        <v>59</v>
      </c>
      <c r="B7029" t="s">
        <v>31</v>
      </c>
      <c r="C7029" t="s">
        <v>32</v>
      </c>
      <c r="D7029" t="s">
        <v>953</v>
      </c>
      <c r="E7029" t="s">
        <v>6878</v>
      </c>
      <c r="F7029" t="s">
        <v>35</v>
      </c>
      <c r="G7029" t="s">
        <v>35</v>
      </c>
      <c r="H7029" t="s">
        <v>35</v>
      </c>
      <c r="J7029" t="s">
        <v>6936</v>
      </c>
      <c r="K7029" t="s">
        <v>1092</v>
      </c>
      <c r="M7029">
        <v>4.9950000000000001</v>
      </c>
      <c r="N7029">
        <v>53</v>
      </c>
      <c r="O7029" t="s">
        <v>52</v>
      </c>
      <c r="Q7029" t="s">
        <v>1734</v>
      </c>
      <c r="R7029" t="s">
        <v>6720</v>
      </c>
      <c r="S7029" t="s">
        <v>961</v>
      </c>
      <c r="T7029" t="s">
        <v>962</v>
      </c>
    </row>
    <row r="7030" spans="1:20" x14ac:dyDescent="0.25">
      <c r="A7030" t="s">
        <v>59</v>
      </c>
      <c r="B7030" t="s">
        <v>60</v>
      </c>
      <c r="C7030" t="s">
        <v>32</v>
      </c>
      <c r="D7030" t="s">
        <v>953</v>
      </c>
      <c r="E7030" t="s">
        <v>6878</v>
      </c>
      <c r="F7030" t="s">
        <v>35</v>
      </c>
      <c r="G7030" t="s">
        <v>35</v>
      </c>
      <c r="H7030" t="s">
        <v>35</v>
      </c>
      <c r="J7030" t="s">
        <v>6936</v>
      </c>
      <c r="K7030" t="s">
        <v>1092</v>
      </c>
      <c r="M7030">
        <v>5</v>
      </c>
      <c r="N7030">
        <v>53</v>
      </c>
      <c r="O7030" t="s">
        <v>52</v>
      </c>
      <c r="Q7030" t="s">
        <v>1734</v>
      </c>
      <c r="R7030" t="s">
        <v>6720</v>
      </c>
      <c r="S7030" t="s">
        <v>961</v>
      </c>
      <c r="T7030" t="s">
        <v>962</v>
      </c>
    </row>
    <row r="7031" spans="1:20" x14ac:dyDescent="0.25">
      <c r="A7031" t="s">
        <v>59</v>
      </c>
      <c r="B7031" t="s">
        <v>60</v>
      </c>
      <c r="C7031" t="s">
        <v>32</v>
      </c>
      <c r="D7031" t="s">
        <v>953</v>
      </c>
      <c r="E7031" t="s">
        <v>6878</v>
      </c>
      <c r="F7031" t="s">
        <v>35</v>
      </c>
      <c r="G7031" t="s">
        <v>35</v>
      </c>
      <c r="H7031" t="s">
        <v>35</v>
      </c>
      <c r="J7031" t="s">
        <v>6936</v>
      </c>
      <c r="K7031" t="s">
        <v>1092</v>
      </c>
      <c r="M7031">
        <v>4</v>
      </c>
      <c r="N7031">
        <v>82</v>
      </c>
      <c r="O7031" t="s">
        <v>61</v>
      </c>
      <c r="Q7031" t="s">
        <v>299</v>
      </c>
      <c r="R7031" t="s">
        <v>6720</v>
      </c>
      <c r="S7031" t="s">
        <v>961</v>
      </c>
      <c r="T7031" t="s">
        <v>962</v>
      </c>
    </row>
    <row r="7032" spans="1:20" x14ac:dyDescent="0.25">
      <c r="A7032" t="s">
        <v>30</v>
      </c>
      <c r="B7032" t="s">
        <v>31</v>
      </c>
      <c r="C7032" t="s">
        <v>32</v>
      </c>
      <c r="D7032" t="s">
        <v>953</v>
      </c>
      <c r="E7032" t="s">
        <v>6878</v>
      </c>
      <c r="F7032" t="s">
        <v>35</v>
      </c>
      <c r="G7032" t="s">
        <v>35</v>
      </c>
      <c r="H7032" t="s">
        <v>35</v>
      </c>
      <c r="J7032" t="s">
        <v>6936</v>
      </c>
      <c r="K7032" t="s">
        <v>1092</v>
      </c>
      <c r="M7032">
        <v>4.1849999999999996</v>
      </c>
      <c r="N7032">
        <v>206</v>
      </c>
      <c r="O7032" t="s">
        <v>5</v>
      </c>
      <c r="Q7032" t="s">
        <v>1298</v>
      </c>
      <c r="R7032" t="s">
        <v>6720</v>
      </c>
      <c r="S7032" t="s">
        <v>961</v>
      </c>
      <c r="T7032" t="s">
        <v>962</v>
      </c>
    </row>
    <row r="7033" spans="1:20" x14ac:dyDescent="0.25">
      <c r="A7033" t="s">
        <v>59</v>
      </c>
      <c r="B7033" t="s">
        <v>31</v>
      </c>
      <c r="C7033" t="s">
        <v>32</v>
      </c>
      <c r="D7033" t="s">
        <v>953</v>
      </c>
      <c r="E7033" t="s">
        <v>6878</v>
      </c>
      <c r="F7033" t="s">
        <v>35</v>
      </c>
      <c r="G7033" t="s">
        <v>35</v>
      </c>
      <c r="H7033" t="s">
        <v>35</v>
      </c>
      <c r="J7033" t="s">
        <v>6936</v>
      </c>
      <c r="K7033" t="s">
        <v>1092</v>
      </c>
      <c r="M7033">
        <v>0.44500000000000001</v>
      </c>
      <c r="N7033">
        <v>83</v>
      </c>
      <c r="O7033" t="s">
        <v>61</v>
      </c>
      <c r="Q7033" t="s">
        <v>897</v>
      </c>
      <c r="R7033" t="s">
        <v>6720</v>
      </c>
      <c r="S7033" t="s">
        <v>961</v>
      </c>
      <c r="T7033" t="s">
        <v>962</v>
      </c>
    </row>
    <row r="7034" spans="1:20" x14ac:dyDescent="0.25">
      <c r="A7034" t="s">
        <v>30</v>
      </c>
      <c r="B7034" t="s">
        <v>31</v>
      </c>
      <c r="C7034" t="s">
        <v>32</v>
      </c>
      <c r="D7034" t="s">
        <v>953</v>
      </c>
      <c r="E7034" t="s">
        <v>1072</v>
      </c>
      <c r="F7034" t="s">
        <v>35</v>
      </c>
      <c r="G7034" t="s">
        <v>35</v>
      </c>
      <c r="H7034" t="s">
        <v>35</v>
      </c>
      <c r="J7034" t="s">
        <v>7516</v>
      </c>
      <c r="K7034" t="s">
        <v>1092</v>
      </c>
      <c r="M7034">
        <v>9.99</v>
      </c>
      <c r="N7034">
        <v>206</v>
      </c>
      <c r="O7034" t="s">
        <v>5</v>
      </c>
      <c r="Q7034" t="s">
        <v>1298</v>
      </c>
      <c r="R7034" t="s">
        <v>6720</v>
      </c>
      <c r="S7034" t="s">
        <v>961</v>
      </c>
      <c r="T7034" t="s">
        <v>962</v>
      </c>
    </row>
    <row r="7035" spans="1:20" x14ac:dyDescent="0.25">
      <c r="A7035" t="s">
        <v>30</v>
      </c>
      <c r="B7035" t="s">
        <v>31</v>
      </c>
      <c r="C7035" t="s">
        <v>32</v>
      </c>
      <c r="D7035" t="s">
        <v>953</v>
      </c>
      <c r="E7035" t="s">
        <v>954</v>
      </c>
      <c r="F7035" t="s">
        <v>35</v>
      </c>
      <c r="G7035" t="s">
        <v>35</v>
      </c>
      <c r="H7035" t="s">
        <v>35</v>
      </c>
      <c r="J7035" t="s">
        <v>6440</v>
      </c>
      <c r="K7035" t="s">
        <v>1092</v>
      </c>
      <c r="M7035">
        <v>0.9</v>
      </c>
      <c r="N7035">
        <v>9</v>
      </c>
      <c r="O7035" t="s">
        <v>46</v>
      </c>
      <c r="Q7035" t="s">
        <v>323</v>
      </c>
      <c r="R7035" t="s">
        <v>6720</v>
      </c>
      <c r="S7035" t="s">
        <v>961</v>
      </c>
      <c r="T7035" t="s">
        <v>962</v>
      </c>
    </row>
    <row r="7036" spans="1:20" x14ac:dyDescent="0.25">
      <c r="A7036" t="s">
        <v>30</v>
      </c>
      <c r="B7036" t="s">
        <v>31</v>
      </c>
      <c r="C7036" t="s">
        <v>32</v>
      </c>
      <c r="D7036" t="s">
        <v>953</v>
      </c>
      <c r="E7036" t="s">
        <v>954</v>
      </c>
      <c r="F7036" t="s">
        <v>35</v>
      </c>
      <c r="G7036" t="s">
        <v>35</v>
      </c>
      <c r="H7036" t="s">
        <v>35</v>
      </c>
      <c r="J7036" t="s">
        <v>6440</v>
      </c>
      <c r="K7036" t="s">
        <v>1092</v>
      </c>
      <c r="M7036">
        <v>0.67500000000000004</v>
      </c>
      <c r="N7036">
        <v>4</v>
      </c>
      <c r="O7036" t="s">
        <v>46</v>
      </c>
      <c r="Q7036" t="s">
        <v>1053</v>
      </c>
      <c r="R7036" t="s">
        <v>6720</v>
      </c>
      <c r="S7036" t="s">
        <v>961</v>
      </c>
      <c r="T7036" t="s">
        <v>962</v>
      </c>
    </row>
    <row r="7037" spans="1:20" x14ac:dyDescent="0.25">
      <c r="A7037" t="s">
        <v>30</v>
      </c>
      <c r="B7037" t="s">
        <v>31</v>
      </c>
      <c r="C7037" t="s">
        <v>32</v>
      </c>
      <c r="D7037" t="s">
        <v>953</v>
      </c>
      <c r="E7037" t="s">
        <v>954</v>
      </c>
      <c r="F7037" t="s">
        <v>35</v>
      </c>
      <c r="G7037" t="s">
        <v>35</v>
      </c>
      <c r="H7037" t="s">
        <v>35</v>
      </c>
      <c r="J7037" t="s">
        <v>6440</v>
      </c>
      <c r="K7037" t="s">
        <v>1092</v>
      </c>
      <c r="M7037">
        <v>0.27</v>
      </c>
      <c r="N7037">
        <v>14</v>
      </c>
      <c r="O7037" t="s">
        <v>46</v>
      </c>
      <c r="Q7037" t="s">
        <v>1874</v>
      </c>
      <c r="R7037" t="s">
        <v>6720</v>
      </c>
      <c r="S7037" t="s">
        <v>961</v>
      </c>
      <c r="T7037" t="s">
        <v>962</v>
      </c>
    </row>
    <row r="7038" spans="1:20" x14ac:dyDescent="0.25">
      <c r="A7038" t="s">
        <v>59</v>
      </c>
      <c r="B7038" t="s">
        <v>60</v>
      </c>
      <c r="C7038" t="s">
        <v>32</v>
      </c>
      <c r="D7038" t="s">
        <v>953</v>
      </c>
      <c r="E7038" t="s">
        <v>954</v>
      </c>
      <c r="F7038" t="s">
        <v>35</v>
      </c>
      <c r="G7038" t="s">
        <v>35</v>
      </c>
      <c r="H7038" t="s">
        <v>35</v>
      </c>
      <c r="J7038" t="s">
        <v>6440</v>
      </c>
      <c r="K7038" t="s">
        <v>1092</v>
      </c>
      <c r="M7038">
        <v>0.5</v>
      </c>
      <c r="N7038">
        <v>37</v>
      </c>
      <c r="O7038" t="s">
        <v>52</v>
      </c>
      <c r="Q7038" t="s">
        <v>192</v>
      </c>
      <c r="R7038" t="s">
        <v>6720</v>
      </c>
      <c r="S7038" t="s">
        <v>961</v>
      </c>
      <c r="T7038" t="s">
        <v>962</v>
      </c>
    </row>
    <row r="7039" spans="1:20" x14ac:dyDescent="0.25">
      <c r="A7039" t="s">
        <v>44</v>
      </c>
      <c r="B7039" t="s">
        <v>3</v>
      </c>
      <c r="C7039" t="s">
        <v>32</v>
      </c>
      <c r="D7039" t="s">
        <v>953</v>
      </c>
      <c r="E7039" t="s">
        <v>954</v>
      </c>
      <c r="F7039" t="s">
        <v>35</v>
      </c>
      <c r="G7039" t="s">
        <v>35</v>
      </c>
      <c r="H7039" t="s">
        <v>35</v>
      </c>
      <c r="J7039" t="s">
        <v>6782</v>
      </c>
      <c r="K7039" t="s">
        <v>1092</v>
      </c>
      <c r="M7039">
        <v>0.25</v>
      </c>
      <c r="N7039">
        <v>57</v>
      </c>
      <c r="O7039" t="s">
        <v>52</v>
      </c>
      <c r="Q7039" t="s">
        <v>381</v>
      </c>
      <c r="R7039" t="s">
        <v>6720</v>
      </c>
      <c r="S7039" t="s">
        <v>961</v>
      </c>
      <c r="T7039" t="s">
        <v>962</v>
      </c>
    </row>
    <row r="7040" spans="1:20" x14ac:dyDescent="0.25">
      <c r="A7040" t="s">
        <v>30</v>
      </c>
      <c r="B7040" t="s">
        <v>31</v>
      </c>
      <c r="C7040" t="s">
        <v>32</v>
      </c>
      <c r="D7040" t="s">
        <v>953</v>
      </c>
      <c r="E7040" t="s">
        <v>954</v>
      </c>
      <c r="F7040" t="s">
        <v>35</v>
      </c>
      <c r="G7040" t="s">
        <v>35</v>
      </c>
      <c r="H7040" t="s">
        <v>35</v>
      </c>
      <c r="J7040" t="s">
        <v>6782</v>
      </c>
      <c r="K7040" t="s">
        <v>1092</v>
      </c>
      <c r="M7040">
        <v>0.27</v>
      </c>
      <c r="N7040">
        <v>274</v>
      </c>
      <c r="O7040" t="s">
        <v>5</v>
      </c>
      <c r="Q7040" t="s">
        <v>1226</v>
      </c>
      <c r="R7040" t="s">
        <v>6720</v>
      </c>
      <c r="S7040" t="s">
        <v>961</v>
      </c>
      <c r="T7040" t="s">
        <v>962</v>
      </c>
    </row>
    <row r="7041" spans="1:20" x14ac:dyDescent="0.25">
      <c r="A7041" t="s">
        <v>44</v>
      </c>
      <c r="B7041" t="s">
        <v>3</v>
      </c>
      <c r="C7041" t="s">
        <v>32</v>
      </c>
      <c r="D7041" t="s">
        <v>953</v>
      </c>
      <c r="E7041" t="s">
        <v>954</v>
      </c>
      <c r="F7041" t="s">
        <v>35</v>
      </c>
      <c r="G7041" t="s">
        <v>35</v>
      </c>
      <c r="H7041" t="s">
        <v>35</v>
      </c>
      <c r="J7041" t="s">
        <v>6871</v>
      </c>
      <c r="K7041" t="s">
        <v>1092</v>
      </c>
      <c r="M7041">
        <v>0.25</v>
      </c>
      <c r="N7041">
        <v>45</v>
      </c>
      <c r="O7041" t="s">
        <v>52</v>
      </c>
      <c r="Q7041" t="s">
        <v>1230</v>
      </c>
      <c r="R7041" t="s">
        <v>6720</v>
      </c>
      <c r="S7041" t="s">
        <v>961</v>
      </c>
      <c r="T7041" t="s">
        <v>962</v>
      </c>
    </row>
    <row r="7042" spans="1:20" x14ac:dyDescent="0.25">
      <c r="A7042" t="s">
        <v>44</v>
      </c>
      <c r="B7042" t="s">
        <v>3</v>
      </c>
      <c r="C7042" t="s">
        <v>32</v>
      </c>
      <c r="D7042" t="s">
        <v>953</v>
      </c>
      <c r="E7042" t="s">
        <v>954</v>
      </c>
      <c r="F7042" t="s">
        <v>35</v>
      </c>
      <c r="G7042" t="s">
        <v>35</v>
      </c>
      <c r="H7042" t="s">
        <v>35</v>
      </c>
      <c r="J7042" t="s">
        <v>6871</v>
      </c>
      <c r="K7042" t="s">
        <v>1092</v>
      </c>
      <c r="M7042">
        <v>1</v>
      </c>
      <c r="N7042">
        <v>37</v>
      </c>
      <c r="O7042" t="s">
        <v>52</v>
      </c>
      <c r="Q7042" t="s">
        <v>192</v>
      </c>
      <c r="R7042" t="s">
        <v>6720</v>
      </c>
      <c r="S7042" t="s">
        <v>961</v>
      </c>
      <c r="T7042" t="s">
        <v>962</v>
      </c>
    </row>
    <row r="7043" spans="1:20" x14ac:dyDescent="0.25">
      <c r="A7043" t="s">
        <v>30</v>
      </c>
      <c r="B7043" t="s">
        <v>31</v>
      </c>
      <c r="C7043" t="s">
        <v>32</v>
      </c>
      <c r="D7043" t="s">
        <v>953</v>
      </c>
      <c r="E7043" t="s">
        <v>954</v>
      </c>
      <c r="F7043" t="s">
        <v>35</v>
      </c>
      <c r="G7043" t="s">
        <v>35</v>
      </c>
      <c r="H7043" t="s">
        <v>35</v>
      </c>
      <c r="J7043" t="s">
        <v>6871</v>
      </c>
      <c r="K7043" t="s">
        <v>1092</v>
      </c>
      <c r="M7043">
        <v>1.35</v>
      </c>
      <c r="N7043">
        <v>39</v>
      </c>
      <c r="O7043" t="s">
        <v>52</v>
      </c>
      <c r="Q7043" t="s">
        <v>493</v>
      </c>
      <c r="R7043" t="s">
        <v>6720</v>
      </c>
      <c r="S7043" t="s">
        <v>961</v>
      </c>
      <c r="T7043" t="s">
        <v>962</v>
      </c>
    </row>
    <row r="7044" spans="1:20" x14ac:dyDescent="0.25">
      <c r="A7044" t="s">
        <v>44</v>
      </c>
      <c r="B7044" t="s">
        <v>51</v>
      </c>
      <c r="C7044" t="s">
        <v>32</v>
      </c>
      <c r="D7044" t="s">
        <v>953</v>
      </c>
      <c r="E7044" t="s">
        <v>954</v>
      </c>
      <c r="F7044" t="s">
        <v>35</v>
      </c>
      <c r="G7044" t="s">
        <v>35</v>
      </c>
      <c r="H7044" t="s">
        <v>35</v>
      </c>
      <c r="J7044" t="s">
        <v>6871</v>
      </c>
      <c r="K7044" t="s">
        <v>1092</v>
      </c>
      <c r="M7044">
        <v>0.25</v>
      </c>
      <c r="N7044">
        <v>14</v>
      </c>
      <c r="O7044" t="s">
        <v>46</v>
      </c>
      <c r="Q7044" t="s">
        <v>1874</v>
      </c>
      <c r="R7044" t="s">
        <v>6720</v>
      </c>
      <c r="S7044" t="s">
        <v>961</v>
      </c>
      <c r="T7044" t="s">
        <v>962</v>
      </c>
    </row>
    <row r="7045" spans="1:20" x14ac:dyDescent="0.25">
      <c r="A7045" t="s">
        <v>44</v>
      </c>
      <c r="B7045" t="s">
        <v>3</v>
      </c>
      <c r="C7045" t="s">
        <v>32</v>
      </c>
      <c r="D7045" t="s">
        <v>953</v>
      </c>
      <c r="E7045" t="s">
        <v>954</v>
      </c>
      <c r="F7045" t="s">
        <v>35</v>
      </c>
      <c r="G7045" t="s">
        <v>35</v>
      </c>
      <c r="H7045" t="s">
        <v>35</v>
      </c>
      <c r="J7045" t="s">
        <v>6871</v>
      </c>
      <c r="K7045" t="s">
        <v>1092</v>
      </c>
      <c r="M7045">
        <v>1</v>
      </c>
      <c r="N7045">
        <v>23</v>
      </c>
      <c r="O7045" t="s">
        <v>46</v>
      </c>
      <c r="Q7045" t="s">
        <v>793</v>
      </c>
      <c r="R7045" t="s">
        <v>6720</v>
      </c>
      <c r="S7045" t="s">
        <v>961</v>
      </c>
      <c r="T7045" t="s">
        <v>962</v>
      </c>
    </row>
    <row r="7046" spans="1:20" x14ac:dyDescent="0.25">
      <c r="A7046" t="s">
        <v>44</v>
      </c>
      <c r="B7046" t="s">
        <v>51</v>
      </c>
      <c r="C7046" t="s">
        <v>32</v>
      </c>
      <c r="D7046" t="s">
        <v>953</v>
      </c>
      <c r="E7046" t="s">
        <v>954</v>
      </c>
      <c r="F7046" t="s">
        <v>35</v>
      </c>
      <c r="G7046" t="s">
        <v>35</v>
      </c>
      <c r="H7046" t="s">
        <v>35</v>
      </c>
      <c r="J7046" t="s">
        <v>6871</v>
      </c>
      <c r="K7046" t="s">
        <v>1092</v>
      </c>
      <c r="M7046">
        <v>0.25</v>
      </c>
      <c r="N7046">
        <v>285</v>
      </c>
      <c r="O7046" t="s">
        <v>5</v>
      </c>
      <c r="Q7046" t="s">
        <v>1234</v>
      </c>
      <c r="R7046" t="s">
        <v>6720</v>
      </c>
      <c r="S7046" t="s">
        <v>961</v>
      </c>
      <c r="T7046" t="s">
        <v>962</v>
      </c>
    </row>
    <row r="7047" spans="1:20" x14ac:dyDescent="0.25">
      <c r="A7047" t="s">
        <v>44</v>
      </c>
      <c r="B7047" t="s">
        <v>3</v>
      </c>
      <c r="C7047" t="s">
        <v>32</v>
      </c>
      <c r="D7047" t="s">
        <v>953</v>
      </c>
      <c r="E7047" t="s">
        <v>954</v>
      </c>
      <c r="F7047" t="s">
        <v>35</v>
      </c>
      <c r="G7047" t="s">
        <v>35</v>
      </c>
      <c r="H7047" t="s">
        <v>35</v>
      </c>
      <c r="J7047" t="s">
        <v>6871</v>
      </c>
      <c r="K7047" t="s">
        <v>1092</v>
      </c>
      <c r="M7047">
        <v>0.5</v>
      </c>
      <c r="N7047">
        <v>49</v>
      </c>
      <c r="O7047" t="s">
        <v>52</v>
      </c>
      <c r="Q7047" t="s">
        <v>453</v>
      </c>
      <c r="R7047" t="s">
        <v>6720</v>
      </c>
      <c r="S7047" t="s">
        <v>961</v>
      </c>
      <c r="T7047" t="s">
        <v>962</v>
      </c>
    </row>
    <row r="7048" spans="1:20" x14ac:dyDescent="0.25">
      <c r="A7048" t="s">
        <v>30</v>
      </c>
      <c r="B7048" t="s">
        <v>31</v>
      </c>
      <c r="C7048" t="s">
        <v>32</v>
      </c>
      <c r="D7048" t="s">
        <v>953</v>
      </c>
      <c r="E7048" t="s">
        <v>954</v>
      </c>
      <c r="F7048" t="s">
        <v>35</v>
      </c>
      <c r="G7048" t="s">
        <v>35</v>
      </c>
      <c r="H7048" t="s">
        <v>35</v>
      </c>
      <c r="J7048" t="s">
        <v>6774</v>
      </c>
      <c r="K7048" t="s">
        <v>1092</v>
      </c>
      <c r="M7048">
        <v>1.35</v>
      </c>
      <c r="N7048">
        <v>2</v>
      </c>
      <c r="O7048" t="s">
        <v>46</v>
      </c>
      <c r="Q7048" t="s">
        <v>2009</v>
      </c>
      <c r="R7048" t="s">
        <v>6720</v>
      </c>
      <c r="S7048" t="s">
        <v>961</v>
      </c>
      <c r="T7048" t="s">
        <v>962</v>
      </c>
    </row>
    <row r="7049" spans="1:20" x14ac:dyDescent="0.25">
      <c r="A7049" t="s">
        <v>30</v>
      </c>
      <c r="B7049" t="s">
        <v>31</v>
      </c>
      <c r="C7049" t="s">
        <v>32</v>
      </c>
      <c r="D7049" t="s">
        <v>953</v>
      </c>
      <c r="E7049" t="s">
        <v>954</v>
      </c>
      <c r="F7049" t="s">
        <v>35</v>
      </c>
      <c r="G7049" t="s">
        <v>35</v>
      </c>
      <c r="H7049" t="s">
        <v>35</v>
      </c>
      <c r="J7049" t="s">
        <v>6774</v>
      </c>
      <c r="K7049" t="s">
        <v>1092</v>
      </c>
      <c r="M7049">
        <v>1.8</v>
      </c>
      <c r="N7049">
        <v>4</v>
      </c>
      <c r="O7049" t="s">
        <v>46</v>
      </c>
      <c r="Q7049" t="s">
        <v>1053</v>
      </c>
      <c r="R7049" t="s">
        <v>6720</v>
      </c>
      <c r="S7049" t="s">
        <v>961</v>
      </c>
      <c r="T7049" t="s">
        <v>962</v>
      </c>
    </row>
    <row r="7050" spans="1:20" x14ac:dyDescent="0.25">
      <c r="A7050" t="s">
        <v>59</v>
      </c>
      <c r="B7050" t="s">
        <v>60</v>
      </c>
      <c r="C7050" t="s">
        <v>32</v>
      </c>
      <c r="D7050" t="s">
        <v>953</v>
      </c>
      <c r="E7050" t="s">
        <v>1084</v>
      </c>
      <c r="F7050" t="s">
        <v>35</v>
      </c>
      <c r="G7050" t="s">
        <v>35</v>
      </c>
      <c r="H7050" t="s">
        <v>35</v>
      </c>
      <c r="J7050" t="s">
        <v>7787</v>
      </c>
      <c r="K7050" t="s">
        <v>1092</v>
      </c>
      <c r="M7050">
        <v>0.75</v>
      </c>
      <c r="N7050">
        <v>1582</v>
      </c>
      <c r="O7050" t="s">
        <v>575</v>
      </c>
      <c r="Q7050" t="s">
        <v>4921</v>
      </c>
      <c r="R7050" t="s">
        <v>6720</v>
      </c>
      <c r="S7050" t="s">
        <v>961</v>
      </c>
      <c r="T7050" t="s">
        <v>962</v>
      </c>
    </row>
    <row r="7051" spans="1:20" x14ac:dyDescent="0.25">
      <c r="A7051" t="s">
        <v>30</v>
      </c>
      <c r="B7051" t="s">
        <v>31</v>
      </c>
      <c r="C7051" t="s">
        <v>32</v>
      </c>
      <c r="D7051" t="s">
        <v>953</v>
      </c>
      <c r="E7051" t="s">
        <v>1084</v>
      </c>
      <c r="F7051" t="s">
        <v>35</v>
      </c>
      <c r="G7051" t="s">
        <v>35</v>
      </c>
      <c r="H7051" t="s">
        <v>35</v>
      </c>
      <c r="J7051" t="s">
        <v>7787</v>
      </c>
      <c r="K7051" t="s">
        <v>1092</v>
      </c>
      <c r="M7051">
        <v>0.85499999999999998</v>
      </c>
      <c r="N7051">
        <v>1582</v>
      </c>
      <c r="O7051" t="s">
        <v>575</v>
      </c>
      <c r="Q7051" t="s">
        <v>4921</v>
      </c>
      <c r="R7051" t="s">
        <v>6720</v>
      </c>
      <c r="S7051" t="s">
        <v>961</v>
      </c>
      <c r="T7051" t="s">
        <v>962</v>
      </c>
    </row>
    <row r="7052" spans="1:20" x14ac:dyDescent="0.25">
      <c r="A7052" t="s">
        <v>59</v>
      </c>
      <c r="B7052" t="s">
        <v>60</v>
      </c>
      <c r="C7052" t="s">
        <v>32</v>
      </c>
      <c r="D7052" t="s">
        <v>953</v>
      </c>
      <c r="E7052" t="s">
        <v>980</v>
      </c>
      <c r="F7052" t="s">
        <v>35</v>
      </c>
      <c r="G7052" t="s">
        <v>35</v>
      </c>
      <c r="H7052" t="s">
        <v>35</v>
      </c>
      <c r="J7052" t="s">
        <v>7130</v>
      </c>
      <c r="K7052" t="s">
        <v>1092</v>
      </c>
      <c r="M7052">
        <v>0.05</v>
      </c>
      <c r="N7052">
        <v>41</v>
      </c>
      <c r="O7052" t="s">
        <v>52</v>
      </c>
      <c r="Q7052" t="s">
        <v>496</v>
      </c>
      <c r="R7052" t="s">
        <v>6720</v>
      </c>
      <c r="S7052" t="s">
        <v>961</v>
      </c>
      <c r="T7052" t="s">
        <v>962</v>
      </c>
    </row>
    <row r="7053" spans="1:20" x14ac:dyDescent="0.25">
      <c r="A7053" t="s">
        <v>59</v>
      </c>
      <c r="B7053" t="s">
        <v>31</v>
      </c>
      <c r="C7053" t="s">
        <v>32</v>
      </c>
      <c r="D7053" t="s">
        <v>953</v>
      </c>
      <c r="E7053" t="s">
        <v>980</v>
      </c>
      <c r="F7053" t="s">
        <v>35</v>
      </c>
      <c r="G7053" t="s">
        <v>35</v>
      </c>
      <c r="H7053" t="s">
        <v>35</v>
      </c>
      <c r="J7053" t="s">
        <v>7130</v>
      </c>
      <c r="K7053" t="s">
        <v>1092</v>
      </c>
      <c r="M7053">
        <v>0.36</v>
      </c>
      <c r="N7053">
        <v>85</v>
      </c>
      <c r="O7053" t="s">
        <v>61</v>
      </c>
      <c r="Q7053" t="s">
        <v>1100</v>
      </c>
      <c r="R7053" t="s">
        <v>6720</v>
      </c>
      <c r="S7053" t="s">
        <v>961</v>
      </c>
      <c r="T7053" t="s">
        <v>962</v>
      </c>
    </row>
    <row r="7054" spans="1:20" x14ac:dyDescent="0.25">
      <c r="A7054" t="s">
        <v>59</v>
      </c>
      <c r="B7054" t="s">
        <v>60</v>
      </c>
      <c r="C7054" t="s">
        <v>32</v>
      </c>
      <c r="D7054" t="s">
        <v>953</v>
      </c>
      <c r="E7054" t="s">
        <v>980</v>
      </c>
      <c r="F7054" t="s">
        <v>35</v>
      </c>
      <c r="G7054" t="s">
        <v>35</v>
      </c>
      <c r="H7054" t="s">
        <v>35</v>
      </c>
      <c r="J7054" t="s">
        <v>7130</v>
      </c>
      <c r="K7054" t="s">
        <v>1092</v>
      </c>
      <c r="M7054">
        <v>0.5</v>
      </c>
      <c r="N7054">
        <v>61</v>
      </c>
      <c r="O7054" t="s">
        <v>61</v>
      </c>
      <c r="Q7054" t="s">
        <v>146</v>
      </c>
      <c r="R7054" t="s">
        <v>6720</v>
      </c>
      <c r="S7054" t="s">
        <v>961</v>
      </c>
      <c r="T7054" t="s">
        <v>962</v>
      </c>
    </row>
    <row r="7055" spans="1:20" x14ac:dyDescent="0.25">
      <c r="A7055" t="s">
        <v>44</v>
      </c>
      <c r="B7055" t="s">
        <v>51</v>
      </c>
      <c r="C7055" t="s">
        <v>32</v>
      </c>
      <c r="D7055" t="s">
        <v>953</v>
      </c>
      <c r="E7055" t="s">
        <v>980</v>
      </c>
      <c r="F7055" t="s">
        <v>35</v>
      </c>
      <c r="G7055" t="s">
        <v>35</v>
      </c>
      <c r="H7055" t="s">
        <v>35</v>
      </c>
      <c r="J7055" t="s">
        <v>7130</v>
      </c>
      <c r="K7055" t="s">
        <v>1092</v>
      </c>
      <c r="M7055">
        <v>0.4</v>
      </c>
      <c r="N7055">
        <v>23</v>
      </c>
      <c r="O7055" t="s">
        <v>46</v>
      </c>
      <c r="Q7055" t="s">
        <v>793</v>
      </c>
      <c r="R7055" t="s">
        <v>6720</v>
      </c>
      <c r="S7055" t="s">
        <v>961</v>
      </c>
      <c r="T7055" t="s">
        <v>962</v>
      </c>
    </row>
    <row r="7056" spans="1:20" x14ac:dyDescent="0.25">
      <c r="A7056" t="s">
        <v>44</v>
      </c>
      <c r="B7056" t="s">
        <v>3</v>
      </c>
      <c r="C7056" t="s">
        <v>32</v>
      </c>
      <c r="D7056" t="s">
        <v>953</v>
      </c>
      <c r="E7056" t="s">
        <v>980</v>
      </c>
      <c r="F7056" t="s">
        <v>35</v>
      </c>
      <c r="G7056" t="s">
        <v>35</v>
      </c>
      <c r="H7056" t="s">
        <v>35</v>
      </c>
      <c r="J7056" t="s">
        <v>7130</v>
      </c>
      <c r="K7056" t="s">
        <v>1092</v>
      </c>
      <c r="M7056">
        <v>0.25</v>
      </c>
      <c r="N7056">
        <v>41</v>
      </c>
      <c r="O7056" t="s">
        <v>52</v>
      </c>
      <c r="Q7056" t="s">
        <v>496</v>
      </c>
      <c r="R7056" t="s">
        <v>6720</v>
      </c>
      <c r="S7056" t="s">
        <v>961</v>
      </c>
      <c r="T7056" t="s">
        <v>962</v>
      </c>
    </row>
    <row r="7057" spans="1:20" x14ac:dyDescent="0.25">
      <c r="A7057" t="s">
        <v>30</v>
      </c>
      <c r="B7057" t="s">
        <v>31</v>
      </c>
      <c r="C7057" t="s">
        <v>32</v>
      </c>
      <c r="D7057" t="s">
        <v>953</v>
      </c>
      <c r="E7057" t="s">
        <v>954</v>
      </c>
      <c r="F7057" t="s">
        <v>35</v>
      </c>
      <c r="G7057" t="s">
        <v>35</v>
      </c>
      <c r="H7057" t="s">
        <v>35</v>
      </c>
      <c r="J7057" t="s">
        <v>6856</v>
      </c>
      <c r="K7057" t="s">
        <v>1092</v>
      </c>
      <c r="M7057">
        <v>2.2949999999999999</v>
      </c>
      <c r="N7057">
        <v>30</v>
      </c>
      <c r="O7057" t="s">
        <v>46</v>
      </c>
      <c r="Q7057" t="s">
        <v>3499</v>
      </c>
      <c r="R7057" t="s">
        <v>6720</v>
      </c>
      <c r="S7057" t="s">
        <v>961</v>
      </c>
      <c r="T7057" t="s">
        <v>962</v>
      </c>
    </row>
    <row r="7058" spans="1:20" x14ac:dyDescent="0.25">
      <c r="A7058" t="s">
        <v>59</v>
      </c>
      <c r="B7058" t="s">
        <v>31</v>
      </c>
      <c r="C7058" t="s">
        <v>32</v>
      </c>
      <c r="D7058" t="s">
        <v>953</v>
      </c>
      <c r="E7058" t="s">
        <v>954</v>
      </c>
      <c r="F7058" t="s">
        <v>35</v>
      </c>
      <c r="G7058" t="s">
        <v>35</v>
      </c>
      <c r="H7058" t="s">
        <v>35</v>
      </c>
      <c r="J7058" t="s">
        <v>6856</v>
      </c>
      <c r="K7058" t="s">
        <v>1092</v>
      </c>
      <c r="M7058">
        <v>4.9950000000000001</v>
      </c>
      <c r="N7058">
        <v>53</v>
      </c>
      <c r="O7058" t="s">
        <v>52</v>
      </c>
      <c r="Q7058" t="s">
        <v>1734</v>
      </c>
      <c r="R7058" t="s">
        <v>6720</v>
      </c>
      <c r="S7058" t="s">
        <v>961</v>
      </c>
      <c r="T7058" t="s">
        <v>962</v>
      </c>
    </row>
    <row r="7059" spans="1:20" x14ac:dyDescent="0.25">
      <c r="A7059" t="s">
        <v>59</v>
      </c>
      <c r="B7059" t="s">
        <v>60</v>
      </c>
      <c r="C7059" t="s">
        <v>32</v>
      </c>
      <c r="D7059" t="s">
        <v>953</v>
      </c>
      <c r="E7059" t="s">
        <v>954</v>
      </c>
      <c r="F7059" t="s">
        <v>35</v>
      </c>
      <c r="G7059" t="s">
        <v>35</v>
      </c>
      <c r="H7059" t="s">
        <v>35</v>
      </c>
      <c r="J7059" t="s">
        <v>6856</v>
      </c>
      <c r="K7059" t="s">
        <v>1092</v>
      </c>
      <c r="M7059">
        <v>5</v>
      </c>
      <c r="N7059">
        <v>53</v>
      </c>
      <c r="O7059" t="s">
        <v>52</v>
      </c>
      <c r="Q7059" t="s">
        <v>1734</v>
      </c>
      <c r="R7059" t="s">
        <v>6720</v>
      </c>
      <c r="S7059" t="s">
        <v>961</v>
      </c>
      <c r="T7059" t="s">
        <v>962</v>
      </c>
    </row>
    <row r="7060" spans="1:20" x14ac:dyDescent="0.25">
      <c r="A7060" t="s">
        <v>59</v>
      </c>
      <c r="B7060" t="s">
        <v>60</v>
      </c>
      <c r="C7060" t="s">
        <v>32</v>
      </c>
      <c r="D7060" t="s">
        <v>953</v>
      </c>
      <c r="E7060" t="s">
        <v>954</v>
      </c>
      <c r="F7060" t="s">
        <v>35</v>
      </c>
      <c r="G7060" t="s">
        <v>35</v>
      </c>
      <c r="H7060" t="s">
        <v>35</v>
      </c>
      <c r="J7060" t="s">
        <v>6856</v>
      </c>
      <c r="K7060" t="s">
        <v>1092</v>
      </c>
      <c r="M7060">
        <v>1</v>
      </c>
      <c r="N7060">
        <v>59</v>
      </c>
      <c r="O7060" t="s">
        <v>52</v>
      </c>
      <c r="Q7060" t="s">
        <v>203</v>
      </c>
      <c r="R7060" t="s">
        <v>6720</v>
      </c>
      <c r="S7060" t="s">
        <v>961</v>
      </c>
      <c r="T7060" t="s">
        <v>962</v>
      </c>
    </row>
    <row r="7061" spans="1:20" x14ac:dyDescent="0.25">
      <c r="A7061" t="s">
        <v>59</v>
      </c>
      <c r="B7061" t="s">
        <v>31</v>
      </c>
      <c r="C7061" t="s">
        <v>32</v>
      </c>
      <c r="D7061" t="s">
        <v>953</v>
      </c>
      <c r="E7061" t="s">
        <v>954</v>
      </c>
      <c r="F7061" t="s">
        <v>35</v>
      </c>
      <c r="G7061" t="s">
        <v>35</v>
      </c>
      <c r="H7061" t="s">
        <v>35</v>
      </c>
      <c r="J7061" t="s">
        <v>6856</v>
      </c>
      <c r="K7061" t="s">
        <v>1092</v>
      </c>
      <c r="M7061">
        <v>1.35</v>
      </c>
      <c r="N7061">
        <v>135</v>
      </c>
      <c r="O7061" t="s">
        <v>38</v>
      </c>
      <c r="Q7061" t="s">
        <v>2067</v>
      </c>
      <c r="R7061" t="s">
        <v>6720</v>
      </c>
      <c r="S7061" t="s">
        <v>961</v>
      </c>
      <c r="T7061" t="s">
        <v>962</v>
      </c>
    </row>
    <row r="7062" spans="1:20" x14ac:dyDescent="0.25">
      <c r="A7062" t="s">
        <v>44</v>
      </c>
      <c r="B7062" t="s">
        <v>51</v>
      </c>
      <c r="C7062" t="s">
        <v>32</v>
      </c>
      <c r="D7062" t="s">
        <v>953</v>
      </c>
      <c r="E7062" t="s">
        <v>954</v>
      </c>
      <c r="F7062" t="s">
        <v>35</v>
      </c>
      <c r="G7062" t="s">
        <v>35</v>
      </c>
      <c r="H7062" t="s">
        <v>35</v>
      </c>
      <c r="J7062" t="s">
        <v>6845</v>
      </c>
      <c r="K7062" t="s">
        <v>1092</v>
      </c>
      <c r="M7062">
        <v>0.25</v>
      </c>
      <c r="N7062">
        <v>175</v>
      </c>
      <c r="O7062" t="s">
        <v>38</v>
      </c>
      <c r="Q7062" t="s">
        <v>1764</v>
      </c>
      <c r="R7062" t="s">
        <v>6720</v>
      </c>
      <c r="S7062" t="s">
        <v>961</v>
      </c>
      <c r="T7062" t="s">
        <v>962</v>
      </c>
    </row>
    <row r="7063" spans="1:20" x14ac:dyDescent="0.25">
      <c r="A7063" t="s">
        <v>59</v>
      </c>
      <c r="B7063" t="s">
        <v>31</v>
      </c>
      <c r="C7063" t="s">
        <v>32</v>
      </c>
      <c r="D7063" t="s">
        <v>953</v>
      </c>
      <c r="E7063" t="s">
        <v>954</v>
      </c>
      <c r="F7063" t="s">
        <v>35</v>
      </c>
      <c r="G7063" t="s">
        <v>35</v>
      </c>
      <c r="H7063" t="s">
        <v>35</v>
      </c>
      <c r="J7063" t="s">
        <v>6845</v>
      </c>
      <c r="K7063" t="s">
        <v>1092</v>
      </c>
      <c r="M7063">
        <v>0.22500000000000001</v>
      </c>
      <c r="N7063">
        <v>23</v>
      </c>
      <c r="O7063" t="s">
        <v>46</v>
      </c>
      <c r="Q7063" t="s">
        <v>793</v>
      </c>
      <c r="R7063" t="s">
        <v>6720</v>
      </c>
      <c r="S7063" t="s">
        <v>961</v>
      </c>
      <c r="T7063" t="s">
        <v>962</v>
      </c>
    </row>
    <row r="7064" spans="1:20" x14ac:dyDescent="0.25">
      <c r="A7064" t="s">
        <v>30</v>
      </c>
      <c r="B7064" t="s">
        <v>31</v>
      </c>
      <c r="C7064" t="s">
        <v>32</v>
      </c>
      <c r="D7064" t="s">
        <v>953</v>
      </c>
      <c r="E7064" t="s">
        <v>954</v>
      </c>
      <c r="F7064" t="s">
        <v>35</v>
      </c>
      <c r="G7064" t="s">
        <v>35</v>
      </c>
      <c r="H7064" t="s">
        <v>35</v>
      </c>
      <c r="J7064" t="s">
        <v>6845</v>
      </c>
      <c r="K7064" t="s">
        <v>1092</v>
      </c>
      <c r="M7064">
        <v>0.45</v>
      </c>
      <c r="N7064">
        <v>12</v>
      </c>
      <c r="O7064" t="s">
        <v>46</v>
      </c>
      <c r="Q7064" t="s">
        <v>1192</v>
      </c>
      <c r="R7064" t="s">
        <v>6720</v>
      </c>
      <c r="S7064" t="s">
        <v>961</v>
      </c>
      <c r="T7064" t="s">
        <v>962</v>
      </c>
    </row>
    <row r="7065" spans="1:20" x14ac:dyDescent="0.25">
      <c r="A7065" t="s">
        <v>44</v>
      </c>
      <c r="B7065" t="s">
        <v>51</v>
      </c>
      <c r="C7065" t="s">
        <v>32</v>
      </c>
      <c r="D7065" t="s">
        <v>953</v>
      </c>
      <c r="E7065" t="s">
        <v>954</v>
      </c>
      <c r="F7065" t="s">
        <v>35</v>
      </c>
      <c r="G7065" t="s">
        <v>35</v>
      </c>
      <c r="H7065" t="s">
        <v>35</v>
      </c>
      <c r="J7065" t="s">
        <v>6845</v>
      </c>
      <c r="K7065" t="s">
        <v>1092</v>
      </c>
      <c r="M7065">
        <v>0.1</v>
      </c>
      <c r="N7065">
        <v>221</v>
      </c>
      <c r="O7065" t="s">
        <v>5</v>
      </c>
      <c r="Q7065" t="s">
        <v>1979</v>
      </c>
      <c r="R7065" t="s">
        <v>6720</v>
      </c>
      <c r="S7065" t="s">
        <v>961</v>
      </c>
      <c r="T7065" t="s">
        <v>962</v>
      </c>
    </row>
    <row r="7066" spans="1:20" x14ac:dyDescent="0.25">
      <c r="A7066" t="s">
        <v>59</v>
      </c>
      <c r="B7066" t="s">
        <v>60</v>
      </c>
      <c r="C7066" t="s">
        <v>32</v>
      </c>
      <c r="D7066" t="s">
        <v>953</v>
      </c>
      <c r="E7066" t="s">
        <v>954</v>
      </c>
      <c r="F7066" t="s">
        <v>35</v>
      </c>
      <c r="G7066" t="s">
        <v>35</v>
      </c>
      <c r="H7066" t="s">
        <v>35</v>
      </c>
      <c r="J7066" t="s">
        <v>6845</v>
      </c>
      <c r="K7066" t="s">
        <v>1092</v>
      </c>
      <c r="M7066">
        <v>0.35</v>
      </c>
      <c r="N7066">
        <v>83</v>
      </c>
      <c r="O7066" t="s">
        <v>61</v>
      </c>
      <c r="Q7066" t="s">
        <v>897</v>
      </c>
      <c r="R7066" t="s">
        <v>6720</v>
      </c>
      <c r="S7066" t="s">
        <v>961</v>
      </c>
      <c r="T7066" t="s">
        <v>962</v>
      </c>
    </row>
    <row r="7067" spans="1:20" x14ac:dyDescent="0.25">
      <c r="A7067" t="s">
        <v>44</v>
      </c>
      <c r="B7067" t="s">
        <v>51</v>
      </c>
      <c r="C7067" t="s">
        <v>32</v>
      </c>
      <c r="D7067" t="s">
        <v>953</v>
      </c>
      <c r="E7067" t="s">
        <v>1077</v>
      </c>
      <c r="F7067" t="s">
        <v>35</v>
      </c>
      <c r="G7067" t="s">
        <v>35</v>
      </c>
      <c r="H7067" t="s">
        <v>35</v>
      </c>
      <c r="J7067" t="s">
        <v>7644</v>
      </c>
      <c r="K7067" t="s">
        <v>1092</v>
      </c>
      <c r="M7067">
        <v>2</v>
      </c>
      <c r="N7067">
        <v>221</v>
      </c>
      <c r="O7067" t="s">
        <v>5</v>
      </c>
      <c r="Q7067" t="s">
        <v>1979</v>
      </c>
      <c r="R7067" t="s">
        <v>6720</v>
      </c>
      <c r="S7067" t="s">
        <v>961</v>
      </c>
      <c r="T7067" t="s">
        <v>962</v>
      </c>
    </row>
    <row r="7068" spans="1:20" x14ac:dyDescent="0.25">
      <c r="A7068" t="s">
        <v>44</v>
      </c>
      <c r="B7068" t="s">
        <v>51</v>
      </c>
      <c r="C7068" t="s">
        <v>32</v>
      </c>
      <c r="D7068" t="s">
        <v>953</v>
      </c>
      <c r="E7068" t="s">
        <v>1077</v>
      </c>
      <c r="F7068" t="s">
        <v>35</v>
      </c>
      <c r="G7068" t="s">
        <v>35</v>
      </c>
      <c r="H7068" t="s">
        <v>35</v>
      </c>
      <c r="J7068" t="s">
        <v>7644</v>
      </c>
      <c r="K7068" t="s">
        <v>1092</v>
      </c>
      <c r="M7068">
        <v>0.1</v>
      </c>
      <c r="N7068">
        <v>239</v>
      </c>
      <c r="O7068" t="s">
        <v>5</v>
      </c>
      <c r="Q7068" t="s">
        <v>1903</v>
      </c>
      <c r="R7068" t="s">
        <v>6720</v>
      </c>
      <c r="S7068" t="s">
        <v>961</v>
      </c>
      <c r="T7068" t="s">
        <v>962</v>
      </c>
    </row>
    <row r="7069" spans="1:20" x14ac:dyDescent="0.25">
      <c r="A7069" t="s">
        <v>59</v>
      </c>
      <c r="B7069" t="s">
        <v>60</v>
      </c>
      <c r="C7069" t="s">
        <v>32</v>
      </c>
      <c r="D7069" t="s">
        <v>953</v>
      </c>
      <c r="E7069" t="s">
        <v>1077</v>
      </c>
      <c r="F7069" t="s">
        <v>35</v>
      </c>
      <c r="G7069" t="s">
        <v>35</v>
      </c>
      <c r="H7069" t="s">
        <v>35</v>
      </c>
      <c r="J7069" t="s">
        <v>7668</v>
      </c>
      <c r="K7069" t="s">
        <v>1092</v>
      </c>
      <c r="M7069">
        <v>0.2</v>
      </c>
      <c r="N7069">
        <v>232</v>
      </c>
      <c r="O7069" t="s">
        <v>5</v>
      </c>
      <c r="Q7069" t="s">
        <v>1471</v>
      </c>
      <c r="R7069" t="s">
        <v>6720</v>
      </c>
      <c r="S7069" t="s">
        <v>961</v>
      </c>
      <c r="T7069" t="s">
        <v>962</v>
      </c>
    </row>
    <row r="7070" spans="1:20" x14ac:dyDescent="0.25">
      <c r="A7070" t="s">
        <v>30</v>
      </c>
      <c r="B7070" t="s">
        <v>31</v>
      </c>
      <c r="C7070" t="s">
        <v>32</v>
      </c>
      <c r="D7070" t="s">
        <v>953</v>
      </c>
      <c r="E7070" t="s">
        <v>1077</v>
      </c>
      <c r="F7070" t="s">
        <v>35</v>
      </c>
      <c r="G7070" t="s">
        <v>35</v>
      </c>
      <c r="H7070" t="s">
        <v>35</v>
      </c>
      <c r="J7070" t="s">
        <v>7668</v>
      </c>
      <c r="K7070" t="s">
        <v>1092</v>
      </c>
      <c r="M7070">
        <v>0.36</v>
      </c>
      <c r="N7070">
        <v>193</v>
      </c>
      <c r="O7070" t="s">
        <v>5</v>
      </c>
      <c r="Q7070" t="s">
        <v>3691</v>
      </c>
      <c r="R7070" t="s">
        <v>6720</v>
      </c>
      <c r="S7070" t="s">
        <v>961</v>
      </c>
      <c r="T7070" t="s">
        <v>962</v>
      </c>
    </row>
    <row r="7071" spans="1:20" x14ac:dyDescent="0.25">
      <c r="A7071" t="s">
        <v>59</v>
      </c>
      <c r="B7071" t="s">
        <v>31</v>
      </c>
      <c r="C7071" t="s">
        <v>32</v>
      </c>
      <c r="D7071" t="s">
        <v>953</v>
      </c>
      <c r="E7071" t="s">
        <v>980</v>
      </c>
      <c r="F7071" t="s">
        <v>35</v>
      </c>
      <c r="G7071" t="s">
        <v>35</v>
      </c>
      <c r="H7071" t="s">
        <v>35</v>
      </c>
      <c r="J7071" t="s">
        <v>7127</v>
      </c>
      <c r="K7071" t="s">
        <v>1092</v>
      </c>
      <c r="M7071">
        <v>0.13500000000000001</v>
      </c>
      <c r="N7071">
        <v>470</v>
      </c>
      <c r="O7071" t="s">
        <v>294</v>
      </c>
      <c r="Q7071" t="s">
        <v>6754</v>
      </c>
      <c r="R7071" t="s">
        <v>6720</v>
      </c>
      <c r="S7071" t="s">
        <v>961</v>
      </c>
      <c r="T7071" t="s">
        <v>962</v>
      </c>
    </row>
    <row r="7072" spans="1:20" x14ac:dyDescent="0.25">
      <c r="A7072" t="s">
        <v>59</v>
      </c>
      <c r="B7072" t="s">
        <v>31</v>
      </c>
      <c r="C7072" t="s">
        <v>32</v>
      </c>
      <c r="D7072" t="s">
        <v>953</v>
      </c>
      <c r="E7072" t="s">
        <v>980</v>
      </c>
      <c r="F7072" t="s">
        <v>35</v>
      </c>
      <c r="G7072" t="s">
        <v>35</v>
      </c>
      <c r="H7072" t="s">
        <v>35</v>
      </c>
      <c r="J7072" t="s">
        <v>7127</v>
      </c>
      <c r="K7072" t="s">
        <v>1092</v>
      </c>
      <c r="M7072">
        <v>0.27</v>
      </c>
      <c r="N7072">
        <v>450</v>
      </c>
      <c r="O7072" t="s">
        <v>294</v>
      </c>
      <c r="Q7072" t="s">
        <v>2104</v>
      </c>
      <c r="R7072" t="s">
        <v>6720</v>
      </c>
      <c r="S7072" t="s">
        <v>961</v>
      </c>
      <c r="T7072" t="s">
        <v>962</v>
      </c>
    </row>
    <row r="7073" spans="1:20" x14ac:dyDescent="0.25">
      <c r="A7073" t="s">
        <v>59</v>
      </c>
      <c r="B7073" t="s">
        <v>60</v>
      </c>
      <c r="C7073" t="s">
        <v>32</v>
      </c>
      <c r="D7073" t="s">
        <v>953</v>
      </c>
      <c r="E7073" t="s">
        <v>980</v>
      </c>
      <c r="F7073" t="s">
        <v>35</v>
      </c>
      <c r="G7073" t="s">
        <v>35</v>
      </c>
      <c r="H7073" t="s">
        <v>35</v>
      </c>
      <c r="J7073" t="s">
        <v>7127</v>
      </c>
      <c r="K7073" t="s">
        <v>1092</v>
      </c>
      <c r="M7073">
        <v>0.5</v>
      </c>
      <c r="N7073">
        <v>246</v>
      </c>
      <c r="O7073" t="s">
        <v>5</v>
      </c>
      <c r="Q7073" t="s">
        <v>1502</v>
      </c>
      <c r="R7073" t="s">
        <v>6720</v>
      </c>
      <c r="S7073" t="s">
        <v>961</v>
      </c>
      <c r="T7073" t="s">
        <v>962</v>
      </c>
    </row>
    <row r="7074" spans="1:20" x14ac:dyDescent="0.25">
      <c r="A7074" t="s">
        <v>59</v>
      </c>
      <c r="B7074" t="s">
        <v>31</v>
      </c>
      <c r="C7074" t="s">
        <v>32</v>
      </c>
      <c r="D7074" t="s">
        <v>953</v>
      </c>
      <c r="E7074" t="s">
        <v>980</v>
      </c>
      <c r="F7074" t="s">
        <v>35</v>
      </c>
      <c r="G7074" t="s">
        <v>35</v>
      </c>
      <c r="H7074" t="s">
        <v>35</v>
      </c>
      <c r="J7074" t="s">
        <v>7127</v>
      </c>
      <c r="K7074" t="s">
        <v>1092</v>
      </c>
      <c r="M7074">
        <v>2.5000000000000001E-2</v>
      </c>
      <c r="N7074">
        <v>507</v>
      </c>
      <c r="O7074" t="s">
        <v>294</v>
      </c>
      <c r="Q7074" t="s">
        <v>7128</v>
      </c>
      <c r="R7074" t="s">
        <v>6720</v>
      </c>
      <c r="S7074" t="s">
        <v>961</v>
      </c>
      <c r="T7074" t="s">
        <v>962</v>
      </c>
    </row>
    <row r="7075" spans="1:20" x14ac:dyDescent="0.25">
      <c r="A7075" t="s">
        <v>59</v>
      </c>
      <c r="B7075" t="s">
        <v>31</v>
      </c>
      <c r="C7075" t="s">
        <v>32</v>
      </c>
      <c r="D7075" t="s">
        <v>953</v>
      </c>
      <c r="E7075" t="s">
        <v>980</v>
      </c>
      <c r="F7075" t="s">
        <v>35</v>
      </c>
      <c r="G7075" t="s">
        <v>35</v>
      </c>
      <c r="H7075" t="s">
        <v>35</v>
      </c>
      <c r="J7075" t="s">
        <v>7127</v>
      </c>
      <c r="K7075" t="s">
        <v>1092</v>
      </c>
      <c r="M7075">
        <v>0.40500000000000003</v>
      </c>
      <c r="N7075">
        <v>505</v>
      </c>
      <c r="O7075" t="s">
        <v>294</v>
      </c>
      <c r="Q7075" t="s">
        <v>4645</v>
      </c>
      <c r="R7075" t="s">
        <v>6720</v>
      </c>
      <c r="S7075" t="s">
        <v>961</v>
      </c>
      <c r="T7075" t="s">
        <v>962</v>
      </c>
    </row>
    <row r="7076" spans="1:20" x14ac:dyDescent="0.25">
      <c r="A7076" t="s">
        <v>59</v>
      </c>
      <c r="B7076" t="s">
        <v>60</v>
      </c>
      <c r="C7076" t="s">
        <v>32</v>
      </c>
      <c r="D7076" t="s">
        <v>953</v>
      </c>
      <c r="E7076" t="s">
        <v>980</v>
      </c>
      <c r="F7076" t="s">
        <v>35</v>
      </c>
      <c r="G7076" t="s">
        <v>35</v>
      </c>
      <c r="H7076" t="s">
        <v>35</v>
      </c>
      <c r="J7076" t="s">
        <v>7127</v>
      </c>
      <c r="K7076" t="s">
        <v>1092</v>
      </c>
      <c r="M7076">
        <v>0.14299999999999999</v>
      </c>
      <c r="N7076">
        <v>285</v>
      </c>
      <c r="O7076" t="s">
        <v>5</v>
      </c>
      <c r="Q7076" t="s">
        <v>1234</v>
      </c>
      <c r="R7076" t="s">
        <v>6720</v>
      </c>
      <c r="S7076" t="s">
        <v>961</v>
      </c>
      <c r="T7076" t="s">
        <v>962</v>
      </c>
    </row>
    <row r="7077" spans="1:20" x14ac:dyDescent="0.25">
      <c r="A7077" t="s">
        <v>30</v>
      </c>
      <c r="B7077" t="s">
        <v>31</v>
      </c>
      <c r="C7077" t="s">
        <v>32</v>
      </c>
      <c r="D7077" t="s">
        <v>953</v>
      </c>
      <c r="E7077" t="s">
        <v>980</v>
      </c>
      <c r="F7077" t="s">
        <v>35</v>
      </c>
      <c r="G7077" t="s">
        <v>35</v>
      </c>
      <c r="H7077" t="s">
        <v>35</v>
      </c>
      <c r="J7077" t="s">
        <v>7081</v>
      </c>
      <c r="K7077" t="s">
        <v>1092</v>
      </c>
      <c r="M7077">
        <v>4.7699999999999996</v>
      </c>
      <c r="N7077">
        <v>40</v>
      </c>
      <c r="O7077" t="s">
        <v>52</v>
      </c>
      <c r="Q7077" t="s">
        <v>132</v>
      </c>
      <c r="R7077" t="s">
        <v>987</v>
      </c>
      <c r="S7077" t="s">
        <v>988</v>
      </c>
      <c r="T7077" t="s">
        <v>989</v>
      </c>
    </row>
    <row r="7078" spans="1:20" x14ac:dyDescent="0.25">
      <c r="A7078" t="s">
        <v>59</v>
      </c>
      <c r="B7078" t="s">
        <v>31</v>
      </c>
      <c r="C7078" t="s">
        <v>32</v>
      </c>
      <c r="D7078" t="s">
        <v>953</v>
      </c>
      <c r="E7078" t="s">
        <v>1015</v>
      </c>
      <c r="F7078" t="s">
        <v>35</v>
      </c>
      <c r="G7078" t="s">
        <v>35</v>
      </c>
      <c r="H7078" t="s">
        <v>35</v>
      </c>
      <c r="J7078" t="s">
        <v>7386</v>
      </c>
      <c r="K7078" t="s">
        <v>1092</v>
      </c>
      <c r="M7078">
        <v>2.25</v>
      </c>
      <c r="N7078">
        <v>84</v>
      </c>
      <c r="O7078" t="s">
        <v>61</v>
      </c>
      <c r="Q7078" t="s">
        <v>1147</v>
      </c>
      <c r="R7078" t="s">
        <v>987</v>
      </c>
      <c r="S7078" t="s">
        <v>988</v>
      </c>
      <c r="T7078" t="s">
        <v>989</v>
      </c>
    </row>
    <row r="7079" spans="1:20" x14ac:dyDescent="0.25">
      <c r="A7079" t="s">
        <v>59</v>
      </c>
      <c r="B7079" t="s">
        <v>60</v>
      </c>
      <c r="C7079" t="s">
        <v>32</v>
      </c>
      <c r="D7079" t="s">
        <v>953</v>
      </c>
      <c r="E7079" t="s">
        <v>1015</v>
      </c>
      <c r="F7079" t="s">
        <v>35</v>
      </c>
      <c r="G7079" t="s">
        <v>35</v>
      </c>
      <c r="H7079" t="s">
        <v>35</v>
      </c>
      <c r="J7079" t="s">
        <v>7386</v>
      </c>
      <c r="K7079" t="s">
        <v>1092</v>
      </c>
      <c r="M7079">
        <v>1.8</v>
      </c>
      <c r="N7079">
        <v>142</v>
      </c>
      <c r="O7079" t="s">
        <v>38</v>
      </c>
      <c r="Q7079" t="s">
        <v>73</v>
      </c>
      <c r="R7079" t="s">
        <v>987</v>
      </c>
      <c r="S7079" t="s">
        <v>988</v>
      </c>
      <c r="T7079" t="s">
        <v>989</v>
      </c>
    </row>
    <row r="7080" spans="1:20" x14ac:dyDescent="0.25">
      <c r="A7080" t="s">
        <v>59</v>
      </c>
      <c r="B7080" t="s">
        <v>60</v>
      </c>
      <c r="C7080" t="s">
        <v>32</v>
      </c>
      <c r="D7080" t="s">
        <v>953</v>
      </c>
      <c r="E7080" t="s">
        <v>1015</v>
      </c>
      <c r="F7080" t="s">
        <v>35</v>
      </c>
      <c r="G7080" t="s">
        <v>35</v>
      </c>
      <c r="H7080" t="s">
        <v>35</v>
      </c>
      <c r="J7080" t="s">
        <v>7386</v>
      </c>
      <c r="K7080" t="s">
        <v>1092</v>
      </c>
      <c r="M7080">
        <v>2.5</v>
      </c>
      <c r="N7080">
        <v>84</v>
      </c>
      <c r="O7080" t="s">
        <v>61</v>
      </c>
      <c r="Q7080" t="s">
        <v>1147</v>
      </c>
      <c r="R7080" t="s">
        <v>987</v>
      </c>
      <c r="S7080" t="s">
        <v>988</v>
      </c>
      <c r="T7080" t="s">
        <v>989</v>
      </c>
    </row>
    <row r="7081" spans="1:20" x14ac:dyDescent="0.25">
      <c r="A7081" t="s">
        <v>30</v>
      </c>
      <c r="B7081" t="s">
        <v>31</v>
      </c>
      <c r="C7081" t="s">
        <v>32</v>
      </c>
      <c r="D7081" t="s">
        <v>953</v>
      </c>
      <c r="E7081" t="s">
        <v>980</v>
      </c>
      <c r="F7081" t="s">
        <v>35</v>
      </c>
      <c r="G7081" t="s">
        <v>35</v>
      </c>
      <c r="H7081" t="s">
        <v>35</v>
      </c>
      <c r="J7081" t="s">
        <v>7129</v>
      </c>
      <c r="K7081" t="s">
        <v>1092</v>
      </c>
      <c r="M7081">
        <v>1.44</v>
      </c>
      <c r="N7081">
        <v>40</v>
      </c>
      <c r="O7081" t="s">
        <v>52</v>
      </c>
      <c r="Q7081" t="s">
        <v>132</v>
      </c>
      <c r="R7081" t="s">
        <v>987</v>
      </c>
      <c r="S7081" t="s">
        <v>988</v>
      </c>
      <c r="T7081" t="s">
        <v>989</v>
      </c>
    </row>
    <row r="7082" spans="1:20" x14ac:dyDescent="0.25">
      <c r="A7082" t="s">
        <v>59</v>
      </c>
      <c r="B7082" t="s">
        <v>31</v>
      </c>
      <c r="C7082" t="s">
        <v>32</v>
      </c>
      <c r="D7082" t="s">
        <v>953</v>
      </c>
      <c r="E7082" t="s">
        <v>1015</v>
      </c>
      <c r="F7082" t="s">
        <v>35</v>
      </c>
      <c r="G7082" t="s">
        <v>35</v>
      </c>
      <c r="H7082" t="s">
        <v>35</v>
      </c>
      <c r="J7082" t="s">
        <v>7435</v>
      </c>
      <c r="K7082" t="s">
        <v>1092</v>
      </c>
      <c r="M7082">
        <v>2.61</v>
      </c>
      <c r="N7082">
        <v>86</v>
      </c>
      <c r="O7082" t="s">
        <v>61</v>
      </c>
      <c r="Q7082" t="s">
        <v>941</v>
      </c>
      <c r="R7082" t="s">
        <v>987</v>
      </c>
      <c r="S7082" t="s">
        <v>988</v>
      </c>
      <c r="T7082" t="s">
        <v>989</v>
      </c>
    </row>
    <row r="7083" spans="1:20" x14ac:dyDescent="0.25">
      <c r="A7083" t="s">
        <v>59</v>
      </c>
      <c r="B7083" t="s">
        <v>60</v>
      </c>
      <c r="C7083" t="s">
        <v>32</v>
      </c>
      <c r="D7083" t="s">
        <v>953</v>
      </c>
      <c r="E7083" t="s">
        <v>954</v>
      </c>
      <c r="F7083" t="s">
        <v>35</v>
      </c>
      <c r="G7083" t="s">
        <v>35</v>
      </c>
      <c r="H7083" t="s">
        <v>35</v>
      </c>
      <c r="J7083" t="s">
        <v>6816</v>
      </c>
      <c r="K7083" t="s">
        <v>1092</v>
      </c>
      <c r="M7083">
        <v>0.9</v>
      </c>
      <c r="N7083">
        <v>55</v>
      </c>
      <c r="O7083" t="s">
        <v>52</v>
      </c>
      <c r="Q7083" t="s">
        <v>90</v>
      </c>
      <c r="R7083" t="s">
        <v>987</v>
      </c>
      <c r="S7083" t="s">
        <v>988</v>
      </c>
      <c r="T7083" t="s">
        <v>989</v>
      </c>
    </row>
    <row r="7084" spans="1:20" x14ac:dyDescent="0.25">
      <c r="A7084" t="s">
        <v>30</v>
      </c>
      <c r="B7084" t="s">
        <v>31</v>
      </c>
      <c r="C7084" t="s">
        <v>32</v>
      </c>
      <c r="D7084" t="s">
        <v>953</v>
      </c>
      <c r="E7084" t="s">
        <v>980</v>
      </c>
      <c r="F7084" t="s">
        <v>35</v>
      </c>
      <c r="G7084" t="s">
        <v>35</v>
      </c>
      <c r="H7084" t="s">
        <v>35</v>
      </c>
      <c r="J7084" t="s">
        <v>7085</v>
      </c>
      <c r="K7084" t="s">
        <v>1092</v>
      </c>
      <c r="M7084">
        <v>4.68</v>
      </c>
      <c r="N7084">
        <v>40</v>
      </c>
      <c r="O7084" t="s">
        <v>52</v>
      </c>
      <c r="Q7084" t="s">
        <v>132</v>
      </c>
      <c r="R7084" t="s">
        <v>987</v>
      </c>
      <c r="S7084" t="s">
        <v>988</v>
      </c>
      <c r="T7084" t="s">
        <v>989</v>
      </c>
    </row>
    <row r="7085" spans="1:20" x14ac:dyDescent="0.25">
      <c r="A7085" t="s">
        <v>59</v>
      </c>
      <c r="B7085" t="s">
        <v>60</v>
      </c>
      <c r="C7085" t="s">
        <v>32</v>
      </c>
      <c r="D7085" t="s">
        <v>953</v>
      </c>
      <c r="E7085" t="s">
        <v>968</v>
      </c>
      <c r="F7085" t="s">
        <v>35</v>
      </c>
      <c r="G7085" t="s">
        <v>35</v>
      </c>
      <c r="H7085" t="s">
        <v>35</v>
      </c>
      <c r="J7085" t="s">
        <v>6983</v>
      </c>
      <c r="K7085" t="s">
        <v>1092</v>
      </c>
      <c r="M7085">
        <v>5</v>
      </c>
      <c r="N7085">
        <v>55</v>
      </c>
      <c r="O7085" t="s">
        <v>52</v>
      </c>
      <c r="Q7085" t="s">
        <v>90</v>
      </c>
      <c r="R7085" t="s">
        <v>987</v>
      </c>
      <c r="S7085" t="s">
        <v>988</v>
      </c>
      <c r="T7085" t="s">
        <v>989</v>
      </c>
    </row>
    <row r="7086" spans="1:20" x14ac:dyDescent="0.25">
      <c r="A7086" t="s">
        <v>59</v>
      </c>
      <c r="B7086" t="s">
        <v>60</v>
      </c>
      <c r="C7086" t="s">
        <v>32</v>
      </c>
      <c r="D7086" t="s">
        <v>953</v>
      </c>
      <c r="E7086" t="s">
        <v>968</v>
      </c>
      <c r="F7086" t="s">
        <v>35</v>
      </c>
      <c r="G7086" t="s">
        <v>35</v>
      </c>
      <c r="H7086" t="s">
        <v>35</v>
      </c>
      <c r="J7086" t="s">
        <v>6983</v>
      </c>
      <c r="K7086" t="s">
        <v>1092</v>
      </c>
      <c r="M7086">
        <v>6</v>
      </c>
      <c r="N7086">
        <v>86</v>
      </c>
      <c r="O7086" t="s">
        <v>61</v>
      </c>
      <c r="Q7086" t="s">
        <v>941</v>
      </c>
      <c r="R7086" t="s">
        <v>987</v>
      </c>
      <c r="S7086" t="s">
        <v>988</v>
      </c>
      <c r="T7086" t="s">
        <v>989</v>
      </c>
    </row>
    <row r="7087" spans="1:20" x14ac:dyDescent="0.25">
      <c r="A7087" t="s">
        <v>30</v>
      </c>
      <c r="B7087" t="s">
        <v>31</v>
      </c>
      <c r="C7087" t="s">
        <v>32</v>
      </c>
      <c r="D7087" t="s">
        <v>953</v>
      </c>
      <c r="E7087" t="s">
        <v>980</v>
      </c>
      <c r="F7087" t="s">
        <v>35</v>
      </c>
      <c r="G7087" t="s">
        <v>35</v>
      </c>
      <c r="H7087" t="s">
        <v>35</v>
      </c>
      <c r="J7087" t="s">
        <v>1304</v>
      </c>
      <c r="K7087" t="s">
        <v>1092</v>
      </c>
      <c r="M7087">
        <v>9</v>
      </c>
      <c r="N7087">
        <v>18</v>
      </c>
      <c r="O7087" t="s">
        <v>46</v>
      </c>
      <c r="Q7087" t="s">
        <v>831</v>
      </c>
      <c r="R7087" t="s">
        <v>987</v>
      </c>
      <c r="S7087" t="s">
        <v>988</v>
      </c>
      <c r="T7087" t="s">
        <v>989</v>
      </c>
    </row>
    <row r="7088" spans="1:20" x14ac:dyDescent="0.25">
      <c r="A7088" t="s">
        <v>59</v>
      </c>
      <c r="B7088" t="s">
        <v>60</v>
      </c>
      <c r="C7088" t="s">
        <v>32</v>
      </c>
      <c r="D7088" t="s">
        <v>953</v>
      </c>
      <c r="E7088" t="s">
        <v>980</v>
      </c>
      <c r="F7088" t="s">
        <v>35</v>
      </c>
      <c r="G7088" t="s">
        <v>35</v>
      </c>
      <c r="H7088" t="s">
        <v>35</v>
      </c>
      <c r="J7088" t="s">
        <v>1304</v>
      </c>
      <c r="K7088" t="s">
        <v>1092</v>
      </c>
      <c r="M7088">
        <v>13</v>
      </c>
      <c r="N7088">
        <v>86</v>
      </c>
      <c r="O7088" t="s">
        <v>61</v>
      </c>
      <c r="Q7088" t="s">
        <v>941</v>
      </c>
      <c r="R7088" t="s">
        <v>987</v>
      </c>
      <c r="S7088" t="s">
        <v>988</v>
      </c>
      <c r="T7088" t="s">
        <v>989</v>
      </c>
    </row>
    <row r="7089" spans="1:20" x14ac:dyDescent="0.25">
      <c r="A7089" t="s">
        <v>30</v>
      </c>
      <c r="B7089" t="s">
        <v>31</v>
      </c>
      <c r="C7089" t="s">
        <v>32</v>
      </c>
      <c r="D7089" t="s">
        <v>953</v>
      </c>
      <c r="E7089" t="s">
        <v>1007</v>
      </c>
      <c r="F7089" t="s">
        <v>35</v>
      </c>
      <c r="G7089" t="s">
        <v>35</v>
      </c>
      <c r="H7089" t="s">
        <v>35</v>
      </c>
      <c r="J7089" t="s">
        <v>7331</v>
      </c>
      <c r="K7089" t="s">
        <v>1092</v>
      </c>
      <c r="M7089">
        <v>4.9950000000000001</v>
      </c>
      <c r="N7089">
        <v>7</v>
      </c>
      <c r="O7089" t="s">
        <v>46</v>
      </c>
      <c r="Q7089" t="s">
        <v>2440</v>
      </c>
      <c r="R7089" t="s">
        <v>987</v>
      </c>
      <c r="S7089" t="s">
        <v>988</v>
      </c>
      <c r="T7089" t="s">
        <v>989</v>
      </c>
    </row>
    <row r="7090" spans="1:20" x14ac:dyDescent="0.25">
      <c r="A7090" t="s">
        <v>30</v>
      </c>
      <c r="B7090" t="s">
        <v>31</v>
      </c>
      <c r="C7090" t="s">
        <v>32</v>
      </c>
      <c r="D7090" t="s">
        <v>953</v>
      </c>
      <c r="E7090" t="s">
        <v>968</v>
      </c>
      <c r="F7090" t="s">
        <v>35</v>
      </c>
      <c r="G7090" t="s">
        <v>35</v>
      </c>
      <c r="H7090" t="s">
        <v>35</v>
      </c>
      <c r="J7090" t="s">
        <v>6984</v>
      </c>
      <c r="K7090" t="s">
        <v>1092</v>
      </c>
      <c r="M7090">
        <v>1.62</v>
      </c>
      <c r="N7090">
        <v>273</v>
      </c>
      <c r="O7090" t="s">
        <v>5</v>
      </c>
      <c r="Q7090" t="s">
        <v>4595</v>
      </c>
      <c r="R7090" t="s">
        <v>987</v>
      </c>
      <c r="S7090" t="s">
        <v>988</v>
      </c>
      <c r="T7090" t="s">
        <v>989</v>
      </c>
    </row>
    <row r="7091" spans="1:20" x14ac:dyDescent="0.25">
      <c r="A7091" t="s">
        <v>59</v>
      </c>
      <c r="B7091" t="s">
        <v>31</v>
      </c>
      <c r="C7091" t="s">
        <v>32</v>
      </c>
      <c r="D7091" t="s">
        <v>953</v>
      </c>
      <c r="E7091" t="s">
        <v>6878</v>
      </c>
      <c r="F7091" t="s">
        <v>35</v>
      </c>
      <c r="G7091" t="s">
        <v>35</v>
      </c>
      <c r="H7091" t="s">
        <v>35</v>
      </c>
      <c r="J7091" t="s">
        <v>628</v>
      </c>
      <c r="K7091" t="s">
        <v>1092</v>
      </c>
      <c r="M7091">
        <v>9.99</v>
      </c>
      <c r="N7091">
        <v>55</v>
      </c>
      <c r="O7091" t="s">
        <v>52</v>
      </c>
      <c r="Q7091" t="s">
        <v>90</v>
      </c>
      <c r="R7091" t="s">
        <v>987</v>
      </c>
      <c r="S7091" t="s">
        <v>988</v>
      </c>
      <c r="T7091" t="s">
        <v>989</v>
      </c>
    </row>
    <row r="7092" spans="1:20" x14ac:dyDescent="0.25">
      <c r="A7092" t="s">
        <v>30</v>
      </c>
      <c r="B7092" t="s">
        <v>31</v>
      </c>
      <c r="C7092" t="s">
        <v>32</v>
      </c>
      <c r="D7092" t="s">
        <v>953</v>
      </c>
      <c r="E7092" t="s">
        <v>1015</v>
      </c>
      <c r="F7092" t="s">
        <v>35</v>
      </c>
      <c r="G7092" t="s">
        <v>35</v>
      </c>
      <c r="H7092" t="s">
        <v>35</v>
      </c>
      <c r="J7092" t="s">
        <v>7387</v>
      </c>
      <c r="K7092" t="s">
        <v>1092</v>
      </c>
      <c r="M7092">
        <v>9.99</v>
      </c>
      <c r="N7092">
        <v>10</v>
      </c>
      <c r="O7092" t="s">
        <v>46</v>
      </c>
      <c r="Q7092" t="s">
        <v>1302</v>
      </c>
      <c r="R7092" t="s">
        <v>987</v>
      </c>
      <c r="S7092" t="s">
        <v>988</v>
      </c>
      <c r="T7092" t="s">
        <v>989</v>
      </c>
    </row>
    <row r="7093" spans="1:20" x14ac:dyDescent="0.25">
      <c r="A7093" t="s">
        <v>30</v>
      </c>
      <c r="B7093" t="s">
        <v>31</v>
      </c>
      <c r="C7093" t="s">
        <v>32</v>
      </c>
      <c r="D7093" t="s">
        <v>953</v>
      </c>
      <c r="E7093" t="s">
        <v>1007</v>
      </c>
      <c r="F7093" t="s">
        <v>35</v>
      </c>
      <c r="G7093" t="s">
        <v>35</v>
      </c>
      <c r="H7093" t="s">
        <v>35</v>
      </c>
      <c r="J7093" t="s">
        <v>4697</v>
      </c>
      <c r="K7093" t="s">
        <v>1092</v>
      </c>
      <c r="M7093">
        <v>0.13500000000000001</v>
      </c>
      <c r="N7093">
        <v>272</v>
      </c>
      <c r="O7093" t="s">
        <v>5</v>
      </c>
      <c r="Q7093" t="s">
        <v>1717</v>
      </c>
      <c r="R7093" t="s">
        <v>987</v>
      </c>
      <c r="S7093" t="s">
        <v>988</v>
      </c>
      <c r="T7093" t="s">
        <v>989</v>
      </c>
    </row>
    <row r="7094" spans="1:20" x14ac:dyDescent="0.25">
      <c r="A7094" t="s">
        <v>59</v>
      </c>
      <c r="B7094" t="s">
        <v>60</v>
      </c>
      <c r="C7094" t="s">
        <v>32</v>
      </c>
      <c r="D7094" t="s">
        <v>953</v>
      </c>
      <c r="E7094" t="s">
        <v>1015</v>
      </c>
      <c r="F7094" t="s">
        <v>35</v>
      </c>
      <c r="G7094" t="s">
        <v>35</v>
      </c>
      <c r="H7094" t="s">
        <v>35</v>
      </c>
      <c r="J7094" t="s">
        <v>1705</v>
      </c>
      <c r="K7094" t="s">
        <v>1092</v>
      </c>
      <c r="M7094">
        <v>7.7960000000000003</v>
      </c>
      <c r="N7094">
        <v>55</v>
      </c>
      <c r="O7094" t="s">
        <v>52</v>
      </c>
      <c r="Q7094" t="s">
        <v>90</v>
      </c>
      <c r="R7094" t="s">
        <v>987</v>
      </c>
      <c r="S7094" t="s">
        <v>988</v>
      </c>
      <c r="T7094" t="s">
        <v>989</v>
      </c>
    </row>
    <row r="7095" spans="1:20" x14ac:dyDescent="0.25">
      <c r="A7095" t="s">
        <v>44</v>
      </c>
      <c r="B7095" t="s">
        <v>51</v>
      </c>
      <c r="C7095" t="s">
        <v>32</v>
      </c>
      <c r="D7095" t="s">
        <v>953</v>
      </c>
      <c r="E7095" t="s">
        <v>7558</v>
      </c>
      <c r="F7095" t="s">
        <v>35</v>
      </c>
      <c r="G7095" t="s">
        <v>35</v>
      </c>
      <c r="H7095" t="s">
        <v>35</v>
      </c>
      <c r="J7095" t="s">
        <v>6412</v>
      </c>
      <c r="K7095" t="s">
        <v>1092</v>
      </c>
      <c r="M7095">
        <v>3.25</v>
      </c>
      <c r="N7095">
        <v>224</v>
      </c>
      <c r="O7095" t="s">
        <v>5</v>
      </c>
      <c r="Q7095" t="s">
        <v>402</v>
      </c>
      <c r="R7095" t="s">
        <v>987</v>
      </c>
      <c r="S7095" t="s">
        <v>988</v>
      </c>
      <c r="T7095" t="s">
        <v>989</v>
      </c>
    </row>
    <row r="7096" spans="1:20" x14ac:dyDescent="0.25">
      <c r="A7096" t="s">
        <v>59</v>
      </c>
      <c r="B7096" t="s">
        <v>60</v>
      </c>
      <c r="C7096" t="s">
        <v>32</v>
      </c>
      <c r="D7096" t="s">
        <v>953</v>
      </c>
      <c r="E7096" t="s">
        <v>6878</v>
      </c>
      <c r="F7096" t="s">
        <v>35</v>
      </c>
      <c r="G7096" t="s">
        <v>35</v>
      </c>
      <c r="H7096" t="s">
        <v>35</v>
      </c>
      <c r="J7096" t="s">
        <v>625</v>
      </c>
      <c r="K7096" t="s">
        <v>1092</v>
      </c>
      <c r="M7096">
        <v>9.5</v>
      </c>
      <c r="N7096">
        <v>55</v>
      </c>
      <c r="O7096" t="s">
        <v>52</v>
      </c>
      <c r="Q7096" t="s">
        <v>90</v>
      </c>
      <c r="R7096" t="s">
        <v>987</v>
      </c>
      <c r="S7096" t="s">
        <v>988</v>
      </c>
      <c r="T7096" t="s">
        <v>989</v>
      </c>
    </row>
    <row r="7097" spans="1:20" x14ac:dyDescent="0.25">
      <c r="A7097" t="s">
        <v>30</v>
      </c>
      <c r="B7097" t="s">
        <v>31</v>
      </c>
      <c r="C7097" t="s">
        <v>32</v>
      </c>
      <c r="D7097" t="s">
        <v>953</v>
      </c>
      <c r="E7097" t="s">
        <v>1072</v>
      </c>
      <c r="F7097" t="s">
        <v>35</v>
      </c>
      <c r="G7097" t="s">
        <v>35</v>
      </c>
      <c r="H7097" t="s">
        <v>35</v>
      </c>
      <c r="J7097" t="s">
        <v>7551</v>
      </c>
      <c r="K7097" t="s">
        <v>1092</v>
      </c>
      <c r="M7097">
        <v>4.4999999999999998E-2</v>
      </c>
      <c r="N7097">
        <v>208</v>
      </c>
      <c r="O7097" t="s">
        <v>5</v>
      </c>
      <c r="Q7097" t="s">
        <v>3122</v>
      </c>
      <c r="R7097" t="s">
        <v>987</v>
      </c>
      <c r="S7097" t="s">
        <v>988</v>
      </c>
      <c r="T7097" t="s">
        <v>989</v>
      </c>
    </row>
    <row r="7098" spans="1:20" x14ac:dyDescent="0.25">
      <c r="A7098" t="s">
        <v>59</v>
      </c>
      <c r="B7098" t="s">
        <v>60</v>
      </c>
      <c r="C7098" t="s">
        <v>32</v>
      </c>
      <c r="D7098" t="s">
        <v>953</v>
      </c>
      <c r="F7098" t="s">
        <v>35</v>
      </c>
      <c r="G7098" t="s">
        <v>35</v>
      </c>
      <c r="H7098" t="s">
        <v>35</v>
      </c>
      <c r="J7098" t="s">
        <v>7975</v>
      </c>
      <c r="K7098" t="s">
        <v>1092</v>
      </c>
      <c r="M7098">
        <v>5</v>
      </c>
      <c r="N7098">
        <v>1087</v>
      </c>
      <c r="O7098" t="s">
        <v>575</v>
      </c>
      <c r="Q7098" t="s">
        <v>7976</v>
      </c>
      <c r="R7098" t="s">
        <v>987</v>
      </c>
      <c r="S7098" t="s">
        <v>988</v>
      </c>
      <c r="T7098" t="s">
        <v>989</v>
      </c>
    </row>
    <row r="7099" spans="1:20" x14ac:dyDescent="0.25">
      <c r="A7099" t="s">
        <v>59</v>
      </c>
      <c r="B7099" t="s">
        <v>60</v>
      </c>
      <c r="C7099" t="s">
        <v>32</v>
      </c>
      <c r="D7099" t="s">
        <v>953</v>
      </c>
      <c r="E7099" t="s">
        <v>7467</v>
      </c>
      <c r="F7099" t="s">
        <v>35</v>
      </c>
      <c r="G7099" t="s">
        <v>35</v>
      </c>
      <c r="H7099" t="s">
        <v>35</v>
      </c>
      <c r="J7099" t="s">
        <v>7473</v>
      </c>
      <c r="K7099" t="s">
        <v>1092</v>
      </c>
      <c r="M7099">
        <v>2.25</v>
      </c>
      <c r="N7099">
        <v>55</v>
      </c>
      <c r="O7099" t="s">
        <v>52</v>
      </c>
      <c r="Q7099" t="s">
        <v>90</v>
      </c>
      <c r="R7099" t="s">
        <v>987</v>
      </c>
      <c r="S7099" t="s">
        <v>988</v>
      </c>
      <c r="T7099" t="s">
        <v>989</v>
      </c>
    </row>
    <row r="7100" spans="1:20" x14ac:dyDescent="0.25">
      <c r="A7100" t="s">
        <v>30</v>
      </c>
      <c r="B7100" t="s">
        <v>31</v>
      </c>
      <c r="C7100" t="s">
        <v>32</v>
      </c>
      <c r="D7100" t="s">
        <v>953</v>
      </c>
      <c r="E7100" t="s">
        <v>980</v>
      </c>
      <c r="F7100" t="s">
        <v>35</v>
      </c>
      <c r="G7100" t="s">
        <v>35</v>
      </c>
      <c r="H7100" t="s">
        <v>35</v>
      </c>
      <c r="J7100" t="s">
        <v>7115</v>
      </c>
      <c r="K7100" t="s">
        <v>1092</v>
      </c>
      <c r="M7100">
        <v>3.6</v>
      </c>
      <c r="N7100">
        <v>40</v>
      </c>
      <c r="O7100" t="s">
        <v>52</v>
      </c>
      <c r="Q7100" t="s">
        <v>132</v>
      </c>
      <c r="R7100" t="s">
        <v>987</v>
      </c>
      <c r="S7100" t="s">
        <v>988</v>
      </c>
      <c r="T7100" t="s">
        <v>989</v>
      </c>
    </row>
    <row r="7101" spans="1:20" x14ac:dyDescent="0.25">
      <c r="A7101" t="s">
        <v>30</v>
      </c>
      <c r="B7101" t="s">
        <v>31</v>
      </c>
      <c r="C7101" t="s">
        <v>32</v>
      </c>
      <c r="D7101" t="s">
        <v>953</v>
      </c>
      <c r="E7101" t="s">
        <v>980</v>
      </c>
      <c r="F7101" t="s">
        <v>35</v>
      </c>
      <c r="G7101" t="s">
        <v>35</v>
      </c>
      <c r="H7101" t="s">
        <v>35</v>
      </c>
      <c r="J7101" t="s">
        <v>7134</v>
      </c>
      <c r="K7101" t="s">
        <v>1092</v>
      </c>
      <c r="M7101">
        <v>4.68</v>
      </c>
      <c r="N7101">
        <v>40</v>
      </c>
      <c r="O7101" t="s">
        <v>52</v>
      </c>
      <c r="Q7101" t="s">
        <v>132</v>
      </c>
      <c r="R7101" t="s">
        <v>987</v>
      </c>
      <c r="S7101" t="s">
        <v>988</v>
      </c>
      <c r="T7101" t="s">
        <v>989</v>
      </c>
    </row>
    <row r="7102" spans="1:20" x14ac:dyDescent="0.25">
      <c r="A7102" t="s">
        <v>30</v>
      </c>
      <c r="B7102" t="s">
        <v>31</v>
      </c>
      <c r="C7102" t="s">
        <v>32</v>
      </c>
      <c r="D7102" t="s">
        <v>953</v>
      </c>
      <c r="E7102" t="s">
        <v>980</v>
      </c>
      <c r="F7102" t="s">
        <v>35</v>
      </c>
      <c r="G7102" t="s">
        <v>35</v>
      </c>
      <c r="H7102" t="s">
        <v>35</v>
      </c>
      <c r="J7102" t="s">
        <v>7141</v>
      </c>
      <c r="K7102" t="s">
        <v>1092</v>
      </c>
      <c r="M7102">
        <v>0.54</v>
      </c>
      <c r="N7102">
        <v>40</v>
      </c>
      <c r="O7102" t="s">
        <v>52</v>
      </c>
      <c r="Q7102" t="s">
        <v>132</v>
      </c>
      <c r="R7102" t="s">
        <v>987</v>
      </c>
      <c r="S7102" t="s">
        <v>988</v>
      </c>
      <c r="T7102" t="s">
        <v>989</v>
      </c>
    </row>
    <row r="7103" spans="1:20" x14ac:dyDescent="0.25">
      <c r="A7103" t="s">
        <v>59</v>
      </c>
      <c r="B7103" t="s">
        <v>31</v>
      </c>
      <c r="C7103" t="s">
        <v>32</v>
      </c>
      <c r="D7103" t="s">
        <v>953</v>
      </c>
      <c r="E7103" t="s">
        <v>1007</v>
      </c>
      <c r="F7103" t="s">
        <v>35</v>
      </c>
      <c r="G7103" t="s">
        <v>35</v>
      </c>
      <c r="H7103" t="s">
        <v>35</v>
      </c>
      <c r="J7103" t="s">
        <v>7320</v>
      </c>
      <c r="K7103" t="s">
        <v>1092</v>
      </c>
      <c r="M7103">
        <v>0.13500000000000001</v>
      </c>
      <c r="N7103">
        <v>55</v>
      </c>
      <c r="O7103" t="s">
        <v>52</v>
      </c>
      <c r="Q7103" t="s">
        <v>90</v>
      </c>
      <c r="R7103" t="s">
        <v>987</v>
      </c>
      <c r="S7103" t="s">
        <v>988</v>
      </c>
      <c r="T7103" t="s">
        <v>989</v>
      </c>
    </row>
    <row r="7104" spans="1:20" x14ac:dyDescent="0.25">
      <c r="A7104" t="s">
        <v>44</v>
      </c>
      <c r="B7104" t="s">
        <v>3</v>
      </c>
      <c r="C7104" t="s">
        <v>32</v>
      </c>
      <c r="D7104" t="s">
        <v>953</v>
      </c>
      <c r="E7104" t="s">
        <v>1007</v>
      </c>
      <c r="F7104" t="s">
        <v>35</v>
      </c>
      <c r="G7104" t="s">
        <v>35</v>
      </c>
      <c r="H7104" t="s">
        <v>35</v>
      </c>
      <c r="J7104" t="s">
        <v>7320</v>
      </c>
      <c r="K7104" t="s">
        <v>1092</v>
      </c>
      <c r="M7104">
        <v>2.5</v>
      </c>
      <c r="N7104">
        <v>55</v>
      </c>
      <c r="O7104" t="s">
        <v>52</v>
      </c>
      <c r="Q7104" t="s">
        <v>90</v>
      </c>
      <c r="R7104" t="s">
        <v>987</v>
      </c>
      <c r="S7104" t="s">
        <v>988</v>
      </c>
      <c r="T7104" t="s">
        <v>989</v>
      </c>
    </row>
    <row r="7105" spans="1:20" x14ac:dyDescent="0.25">
      <c r="A7105" t="s">
        <v>59</v>
      </c>
      <c r="B7105" t="s">
        <v>60</v>
      </c>
      <c r="C7105" t="s">
        <v>32</v>
      </c>
      <c r="D7105" t="s">
        <v>953</v>
      </c>
      <c r="E7105" t="s">
        <v>7740</v>
      </c>
      <c r="F7105" t="s">
        <v>35</v>
      </c>
      <c r="G7105" t="s">
        <v>35</v>
      </c>
      <c r="H7105" t="s">
        <v>35</v>
      </c>
      <c r="J7105" t="s">
        <v>7754</v>
      </c>
      <c r="K7105" t="s">
        <v>1092</v>
      </c>
      <c r="M7105">
        <v>0.65</v>
      </c>
      <c r="N7105">
        <v>86</v>
      </c>
      <c r="O7105" t="s">
        <v>61</v>
      </c>
      <c r="Q7105" t="s">
        <v>941</v>
      </c>
      <c r="R7105" t="s">
        <v>987</v>
      </c>
      <c r="S7105" t="s">
        <v>988</v>
      </c>
      <c r="T7105" t="s">
        <v>989</v>
      </c>
    </row>
    <row r="7106" spans="1:20" x14ac:dyDescent="0.25">
      <c r="A7106" t="s">
        <v>59</v>
      </c>
      <c r="B7106" t="s">
        <v>31</v>
      </c>
      <c r="C7106" t="s">
        <v>32</v>
      </c>
      <c r="D7106" t="s">
        <v>953</v>
      </c>
      <c r="E7106" t="s">
        <v>7740</v>
      </c>
      <c r="F7106" t="s">
        <v>35</v>
      </c>
      <c r="G7106" t="s">
        <v>35</v>
      </c>
      <c r="H7106" t="s">
        <v>35</v>
      </c>
      <c r="J7106" t="s">
        <v>7754</v>
      </c>
      <c r="K7106" t="s">
        <v>1092</v>
      </c>
      <c r="M7106">
        <v>1.17</v>
      </c>
      <c r="N7106">
        <v>86</v>
      </c>
      <c r="O7106" t="s">
        <v>61</v>
      </c>
      <c r="Q7106" t="s">
        <v>941</v>
      </c>
      <c r="R7106" t="s">
        <v>987</v>
      </c>
      <c r="S7106" t="s">
        <v>988</v>
      </c>
      <c r="T7106" t="s">
        <v>989</v>
      </c>
    </row>
    <row r="7107" spans="1:20" x14ac:dyDescent="0.25">
      <c r="A7107" t="s">
        <v>44</v>
      </c>
      <c r="B7107" t="s">
        <v>3</v>
      </c>
      <c r="C7107" t="s">
        <v>32</v>
      </c>
      <c r="D7107" t="s">
        <v>953</v>
      </c>
      <c r="E7107" t="s">
        <v>1015</v>
      </c>
      <c r="F7107" t="s">
        <v>35</v>
      </c>
      <c r="G7107" t="s">
        <v>35</v>
      </c>
      <c r="H7107" t="s">
        <v>35</v>
      </c>
      <c r="J7107" t="s">
        <v>7458</v>
      </c>
      <c r="K7107" t="s">
        <v>1092</v>
      </c>
      <c r="M7107">
        <v>5</v>
      </c>
      <c r="N7107">
        <v>55</v>
      </c>
      <c r="O7107" t="s">
        <v>52</v>
      </c>
      <c r="Q7107" t="s">
        <v>90</v>
      </c>
      <c r="R7107" t="s">
        <v>987</v>
      </c>
      <c r="S7107" t="s">
        <v>988</v>
      </c>
      <c r="T7107" t="s">
        <v>989</v>
      </c>
    </row>
    <row r="7108" spans="1:20" x14ac:dyDescent="0.25">
      <c r="A7108" t="s">
        <v>30</v>
      </c>
      <c r="B7108" t="s">
        <v>31</v>
      </c>
      <c r="C7108" t="s">
        <v>32</v>
      </c>
      <c r="D7108" t="s">
        <v>953</v>
      </c>
      <c r="E7108" t="s">
        <v>980</v>
      </c>
      <c r="F7108" t="s">
        <v>35</v>
      </c>
      <c r="G7108" t="s">
        <v>35</v>
      </c>
      <c r="H7108" t="s">
        <v>35</v>
      </c>
      <c r="J7108" t="s">
        <v>7135</v>
      </c>
      <c r="K7108" t="s">
        <v>1092</v>
      </c>
      <c r="M7108">
        <v>0.81</v>
      </c>
      <c r="N7108">
        <v>40</v>
      </c>
      <c r="O7108" t="s">
        <v>52</v>
      </c>
      <c r="Q7108" t="s">
        <v>132</v>
      </c>
      <c r="R7108" t="s">
        <v>987</v>
      </c>
      <c r="S7108" t="s">
        <v>988</v>
      </c>
      <c r="T7108" t="s">
        <v>989</v>
      </c>
    </row>
    <row r="7109" spans="1:20" x14ac:dyDescent="0.25">
      <c r="A7109" t="s">
        <v>44</v>
      </c>
      <c r="B7109" t="s">
        <v>51</v>
      </c>
      <c r="C7109" t="s">
        <v>32</v>
      </c>
      <c r="D7109" t="s">
        <v>953</v>
      </c>
      <c r="E7109" t="s">
        <v>980</v>
      </c>
      <c r="F7109" t="s">
        <v>35</v>
      </c>
      <c r="G7109" t="s">
        <v>35</v>
      </c>
      <c r="H7109" t="s">
        <v>35</v>
      </c>
      <c r="J7109" t="s">
        <v>984</v>
      </c>
      <c r="K7109" t="s">
        <v>37</v>
      </c>
      <c r="M7109">
        <v>10.45</v>
      </c>
      <c r="N7109">
        <v>21</v>
      </c>
      <c r="O7109" t="s">
        <v>46</v>
      </c>
      <c r="P7109" t="s">
        <v>986</v>
      </c>
      <c r="Q7109" t="s">
        <v>176</v>
      </c>
      <c r="R7109" t="s">
        <v>987</v>
      </c>
      <c r="S7109" t="s">
        <v>988</v>
      </c>
      <c r="T7109" t="s">
        <v>989</v>
      </c>
    </row>
    <row r="7110" spans="1:20" x14ac:dyDescent="0.25">
      <c r="A7110" t="s">
        <v>44</v>
      </c>
      <c r="B7110" t="s">
        <v>51</v>
      </c>
      <c r="C7110" t="s">
        <v>32</v>
      </c>
      <c r="D7110" t="s">
        <v>953</v>
      </c>
      <c r="E7110" t="s">
        <v>980</v>
      </c>
      <c r="F7110" t="s">
        <v>35</v>
      </c>
      <c r="G7110" t="s">
        <v>35</v>
      </c>
      <c r="H7110" t="s">
        <v>35</v>
      </c>
      <c r="J7110" t="s">
        <v>984</v>
      </c>
      <c r="K7110" t="s">
        <v>37</v>
      </c>
      <c r="M7110">
        <v>0.55000000000000004</v>
      </c>
      <c r="N7110">
        <v>24</v>
      </c>
      <c r="O7110" t="s">
        <v>46</v>
      </c>
      <c r="P7110" t="s">
        <v>986</v>
      </c>
      <c r="Q7110" t="s">
        <v>972</v>
      </c>
      <c r="R7110" t="s">
        <v>987</v>
      </c>
      <c r="S7110" t="s">
        <v>988</v>
      </c>
      <c r="T7110" t="s">
        <v>989</v>
      </c>
    </row>
    <row r="7111" spans="1:20" x14ac:dyDescent="0.25">
      <c r="A7111" t="s">
        <v>44</v>
      </c>
      <c r="B7111" t="s">
        <v>51</v>
      </c>
      <c r="C7111" t="s">
        <v>32</v>
      </c>
      <c r="D7111" t="s">
        <v>953</v>
      </c>
      <c r="E7111" t="s">
        <v>980</v>
      </c>
      <c r="F7111" t="s">
        <v>35</v>
      </c>
      <c r="G7111" t="s">
        <v>35</v>
      </c>
      <c r="H7111" t="s">
        <v>35</v>
      </c>
      <c r="J7111" t="s">
        <v>984</v>
      </c>
      <c r="K7111" t="s">
        <v>37</v>
      </c>
      <c r="M7111">
        <v>8.65</v>
      </c>
      <c r="N7111">
        <v>35</v>
      </c>
      <c r="O7111" t="s">
        <v>52</v>
      </c>
      <c r="P7111" t="s">
        <v>990</v>
      </c>
      <c r="Q7111" t="s">
        <v>991</v>
      </c>
      <c r="R7111" t="s">
        <v>987</v>
      </c>
      <c r="S7111" t="s">
        <v>988</v>
      </c>
      <c r="T7111" t="s">
        <v>989</v>
      </c>
    </row>
    <row r="7112" spans="1:20" x14ac:dyDescent="0.25">
      <c r="A7112" t="s">
        <v>30</v>
      </c>
      <c r="B7112" t="s">
        <v>31</v>
      </c>
      <c r="C7112" t="s">
        <v>32</v>
      </c>
      <c r="D7112" t="s">
        <v>953</v>
      </c>
      <c r="E7112" t="s">
        <v>7740</v>
      </c>
      <c r="F7112" t="s">
        <v>35</v>
      </c>
      <c r="G7112" t="s">
        <v>35</v>
      </c>
      <c r="H7112" t="s">
        <v>35</v>
      </c>
      <c r="J7112" t="s">
        <v>7755</v>
      </c>
      <c r="K7112" t="s">
        <v>1092</v>
      </c>
      <c r="M7112">
        <v>5.8049999999999997</v>
      </c>
      <c r="N7112">
        <v>40</v>
      </c>
      <c r="O7112" t="s">
        <v>52</v>
      </c>
      <c r="Q7112" t="s">
        <v>132</v>
      </c>
      <c r="R7112" t="s">
        <v>987</v>
      </c>
      <c r="S7112" t="s">
        <v>988</v>
      </c>
      <c r="T7112" t="s">
        <v>989</v>
      </c>
    </row>
    <row r="7113" spans="1:20" x14ac:dyDescent="0.25">
      <c r="A7113" t="s">
        <v>30</v>
      </c>
      <c r="B7113" t="s">
        <v>31</v>
      </c>
      <c r="C7113" t="s">
        <v>32</v>
      </c>
      <c r="D7113" t="s">
        <v>953</v>
      </c>
      <c r="E7113" t="s">
        <v>6878</v>
      </c>
      <c r="F7113" t="s">
        <v>35</v>
      </c>
      <c r="G7113" t="s">
        <v>35</v>
      </c>
      <c r="H7113" t="s">
        <v>35</v>
      </c>
      <c r="J7113" t="s">
        <v>6910</v>
      </c>
      <c r="K7113" t="s">
        <v>1092</v>
      </c>
      <c r="M7113">
        <v>6.6150000000000002</v>
      </c>
      <c r="N7113">
        <v>16</v>
      </c>
      <c r="O7113" t="s">
        <v>46</v>
      </c>
      <c r="Q7113" t="s">
        <v>1819</v>
      </c>
      <c r="R7113" t="s">
        <v>987</v>
      </c>
      <c r="S7113" t="s">
        <v>988</v>
      </c>
      <c r="T7113" t="s">
        <v>989</v>
      </c>
    </row>
    <row r="7114" spans="1:20" x14ac:dyDescent="0.25">
      <c r="A7114" t="s">
        <v>30</v>
      </c>
      <c r="B7114" t="s">
        <v>31</v>
      </c>
      <c r="C7114" t="s">
        <v>32</v>
      </c>
      <c r="D7114" t="s">
        <v>953</v>
      </c>
      <c r="F7114" t="s">
        <v>35</v>
      </c>
      <c r="G7114" t="s">
        <v>35</v>
      </c>
      <c r="H7114" t="s">
        <v>35</v>
      </c>
      <c r="J7114" t="s">
        <v>7958</v>
      </c>
      <c r="K7114" t="s">
        <v>1092</v>
      </c>
      <c r="M7114">
        <v>14.625</v>
      </c>
      <c r="N7114">
        <v>18</v>
      </c>
      <c r="O7114" t="s">
        <v>46</v>
      </c>
      <c r="Q7114" t="s">
        <v>831</v>
      </c>
      <c r="R7114" t="s">
        <v>987</v>
      </c>
      <c r="S7114" t="s">
        <v>988</v>
      </c>
      <c r="T7114" t="s">
        <v>989</v>
      </c>
    </row>
    <row r="7115" spans="1:20" x14ac:dyDescent="0.25">
      <c r="A7115" t="s">
        <v>30</v>
      </c>
      <c r="B7115" t="s">
        <v>31</v>
      </c>
      <c r="C7115" t="s">
        <v>32</v>
      </c>
      <c r="D7115" t="s">
        <v>953</v>
      </c>
      <c r="E7115" t="s">
        <v>954</v>
      </c>
      <c r="F7115" t="s">
        <v>35</v>
      </c>
      <c r="G7115" t="s">
        <v>35</v>
      </c>
      <c r="H7115" t="s">
        <v>35</v>
      </c>
      <c r="J7115" t="s">
        <v>1243</v>
      </c>
      <c r="K7115" t="s">
        <v>1092</v>
      </c>
      <c r="M7115">
        <v>3.105</v>
      </c>
      <c r="N7115">
        <v>40</v>
      </c>
      <c r="O7115" t="s">
        <v>52</v>
      </c>
      <c r="Q7115" t="s">
        <v>132</v>
      </c>
      <c r="R7115" t="s">
        <v>987</v>
      </c>
      <c r="S7115" t="s">
        <v>988</v>
      </c>
      <c r="T7115" t="s">
        <v>989</v>
      </c>
    </row>
    <row r="7116" spans="1:20" x14ac:dyDescent="0.25">
      <c r="A7116" t="s">
        <v>30</v>
      </c>
      <c r="B7116" t="s">
        <v>31</v>
      </c>
      <c r="C7116" t="s">
        <v>32</v>
      </c>
      <c r="D7116" t="s">
        <v>953</v>
      </c>
      <c r="E7116" t="s">
        <v>980</v>
      </c>
      <c r="F7116" t="s">
        <v>35</v>
      </c>
      <c r="G7116" t="s">
        <v>35</v>
      </c>
      <c r="H7116" t="s">
        <v>35</v>
      </c>
      <c r="J7116" t="s">
        <v>7124</v>
      </c>
      <c r="K7116" t="s">
        <v>1092</v>
      </c>
      <c r="M7116">
        <v>4.95</v>
      </c>
      <c r="N7116">
        <v>40</v>
      </c>
      <c r="O7116" t="s">
        <v>52</v>
      </c>
      <c r="Q7116" t="s">
        <v>132</v>
      </c>
      <c r="R7116" t="s">
        <v>987</v>
      </c>
      <c r="S7116" t="s">
        <v>988</v>
      </c>
      <c r="T7116" t="s">
        <v>989</v>
      </c>
    </row>
    <row r="7117" spans="1:20" x14ac:dyDescent="0.25">
      <c r="A7117" t="s">
        <v>30</v>
      </c>
      <c r="B7117" t="s">
        <v>31</v>
      </c>
      <c r="C7117" t="s">
        <v>32</v>
      </c>
      <c r="D7117" t="s">
        <v>953</v>
      </c>
      <c r="E7117" t="s">
        <v>1072</v>
      </c>
      <c r="F7117" t="s">
        <v>35</v>
      </c>
      <c r="G7117" t="s">
        <v>35</v>
      </c>
      <c r="H7117" t="s">
        <v>35</v>
      </c>
      <c r="J7117" t="s">
        <v>1613</v>
      </c>
      <c r="K7117" t="s">
        <v>1092</v>
      </c>
      <c r="M7117">
        <v>4.9950000000000001</v>
      </c>
      <c r="N7117">
        <v>18</v>
      </c>
      <c r="O7117" t="s">
        <v>46</v>
      </c>
      <c r="Q7117" t="s">
        <v>831</v>
      </c>
      <c r="R7117" t="s">
        <v>987</v>
      </c>
      <c r="S7117" t="s">
        <v>988</v>
      </c>
      <c r="T7117" t="s">
        <v>989</v>
      </c>
    </row>
    <row r="7118" spans="1:20" x14ac:dyDescent="0.25">
      <c r="A7118" t="s">
        <v>59</v>
      </c>
      <c r="B7118" t="s">
        <v>60</v>
      </c>
      <c r="C7118" t="s">
        <v>32</v>
      </c>
      <c r="D7118" t="s">
        <v>953</v>
      </c>
      <c r="E7118" t="s">
        <v>1015</v>
      </c>
      <c r="F7118" t="s">
        <v>35</v>
      </c>
      <c r="G7118" t="s">
        <v>35</v>
      </c>
      <c r="H7118" t="s">
        <v>35</v>
      </c>
      <c r="J7118" t="s">
        <v>7403</v>
      </c>
      <c r="K7118" t="s">
        <v>1092</v>
      </c>
      <c r="M7118">
        <v>3.75</v>
      </c>
      <c r="N7118">
        <v>55</v>
      </c>
      <c r="O7118" t="s">
        <v>52</v>
      </c>
      <c r="Q7118" t="s">
        <v>90</v>
      </c>
      <c r="R7118" t="s">
        <v>987</v>
      </c>
      <c r="S7118" t="s">
        <v>988</v>
      </c>
      <c r="T7118" t="s">
        <v>989</v>
      </c>
    </row>
    <row r="7119" spans="1:20" x14ac:dyDescent="0.25">
      <c r="A7119" t="s">
        <v>44</v>
      </c>
      <c r="B7119" t="s">
        <v>3</v>
      </c>
      <c r="C7119" t="s">
        <v>32</v>
      </c>
      <c r="D7119" t="s">
        <v>953</v>
      </c>
      <c r="E7119" t="s">
        <v>1015</v>
      </c>
      <c r="F7119" t="s">
        <v>35</v>
      </c>
      <c r="G7119" t="s">
        <v>35</v>
      </c>
      <c r="H7119" t="s">
        <v>35</v>
      </c>
      <c r="J7119" t="s">
        <v>7403</v>
      </c>
      <c r="K7119" t="s">
        <v>1092</v>
      </c>
      <c r="M7119">
        <v>2.5</v>
      </c>
      <c r="N7119">
        <v>55</v>
      </c>
      <c r="O7119" t="s">
        <v>52</v>
      </c>
      <c r="Q7119" t="s">
        <v>90</v>
      </c>
      <c r="R7119" t="s">
        <v>987</v>
      </c>
      <c r="S7119" t="s">
        <v>988</v>
      </c>
      <c r="T7119" t="s">
        <v>989</v>
      </c>
    </row>
    <row r="7120" spans="1:20" x14ac:dyDescent="0.25">
      <c r="A7120" t="s">
        <v>59</v>
      </c>
      <c r="B7120" t="s">
        <v>31</v>
      </c>
      <c r="C7120" t="s">
        <v>32</v>
      </c>
      <c r="D7120" t="s">
        <v>953</v>
      </c>
      <c r="E7120" t="s">
        <v>1015</v>
      </c>
      <c r="F7120" t="s">
        <v>35</v>
      </c>
      <c r="G7120" t="s">
        <v>35</v>
      </c>
      <c r="H7120" t="s">
        <v>35</v>
      </c>
      <c r="J7120" t="s">
        <v>7403</v>
      </c>
      <c r="K7120" t="s">
        <v>1092</v>
      </c>
      <c r="M7120">
        <v>4.32</v>
      </c>
      <c r="N7120">
        <v>55</v>
      </c>
      <c r="O7120" t="s">
        <v>52</v>
      </c>
      <c r="Q7120" t="s">
        <v>90</v>
      </c>
      <c r="R7120" t="s">
        <v>987</v>
      </c>
      <c r="S7120" t="s">
        <v>988</v>
      </c>
      <c r="T7120" t="s">
        <v>989</v>
      </c>
    </row>
    <row r="7121" spans="1:20" x14ac:dyDescent="0.25">
      <c r="A7121" t="s">
        <v>59</v>
      </c>
      <c r="B7121" t="s">
        <v>31</v>
      </c>
      <c r="C7121" t="s">
        <v>32</v>
      </c>
      <c r="D7121" t="s">
        <v>953</v>
      </c>
      <c r="E7121" t="s">
        <v>7164</v>
      </c>
      <c r="F7121" t="s">
        <v>35</v>
      </c>
      <c r="G7121" t="s">
        <v>35</v>
      </c>
      <c r="H7121" t="s">
        <v>35</v>
      </c>
      <c r="J7121" t="s">
        <v>7178</v>
      </c>
      <c r="K7121" t="s">
        <v>1092</v>
      </c>
      <c r="M7121">
        <v>0.72</v>
      </c>
      <c r="N7121">
        <v>55</v>
      </c>
      <c r="O7121" t="s">
        <v>52</v>
      </c>
      <c r="Q7121" t="s">
        <v>90</v>
      </c>
      <c r="R7121" t="s">
        <v>987</v>
      </c>
      <c r="S7121" t="s">
        <v>988</v>
      </c>
      <c r="T7121" t="s">
        <v>989</v>
      </c>
    </row>
    <row r="7122" spans="1:20" x14ac:dyDescent="0.25">
      <c r="A7122" t="s">
        <v>30</v>
      </c>
      <c r="B7122" t="s">
        <v>31</v>
      </c>
      <c r="C7122" t="s">
        <v>32</v>
      </c>
      <c r="D7122" t="s">
        <v>953</v>
      </c>
      <c r="E7122" t="s">
        <v>980</v>
      </c>
      <c r="F7122" t="s">
        <v>35</v>
      </c>
      <c r="G7122" t="s">
        <v>35</v>
      </c>
      <c r="H7122" t="s">
        <v>35</v>
      </c>
      <c r="J7122" t="s">
        <v>7146</v>
      </c>
      <c r="K7122" t="s">
        <v>1092</v>
      </c>
      <c r="M7122">
        <v>0.94499999999999995</v>
      </c>
      <c r="N7122">
        <v>40</v>
      </c>
      <c r="O7122" t="s">
        <v>52</v>
      </c>
      <c r="Q7122" t="s">
        <v>132</v>
      </c>
      <c r="R7122" t="s">
        <v>987</v>
      </c>
      <c r="S7122" t="s">
        <v>988</v>
      </c>
      <c r="T7122" t="s">
        <v>989</v>
      </c>
    </row>
    <row r="7123" spans="1:20" x14ac:dyDescent="0.25">
      <c r="A7123" t="s">
        <v>30</v>
      </c>
      <c r="B7123" t="s">
        <v>31</v>
      </c>
      <c r="C7123" t="s">
        <v>32</v>
      </c>
      <c r="D7123" t="s">
        <v>953</v>
      </c>
      <c r="E7123" t="s">
        <v>1015</v>
      </c>
      <c r="F7123" t="s">
        <v>35</v>
      </c>
      <c r="G7123" t="s">
        <v>35</v>
      </c>
      <c r="H7123" t="s">
        <v>35</v>
      </c>
      <c r="J7123" t="s">
        <v>7342</v>
      </c>
      <c r="K7123" t="s">
        <v>1092</v>
      </c>
      <c r="M7123">
        <v>9.99</v>
      </c>
      <c r="N7123">
        <v>18</v>
      </c>
      <c r="O7123" t="s">
        <v>46</v>
      </c>
      <c r="Q7123" t="s">
        <v>831</v>
      </c>
      <c r="R7123" t="s">
        <v>987</v>
      </c>
      <c r="S7123" t="s">
        <v>988</v>
      </c>
      <c r="T7123" t="s">
        <v>989</v>
      </c>
    </row>
    <row r="7124" spans="1:20" x14ac:dyDescent="0.25">
      <c r="A7124" t="s">
        <v>59</v>
      </c>
      <c r="B7124" t="s">
        <v>31</v>
      </c>
      <c r="C7124" t="s">
        <v>32</v>
      </c>
      <c r="D7124" t="s">
        <v>953</v>
      </c>
      <c r="E7124" t="s">
        <v>7164</v>
      </c>
      <c r="F7124" t="s">
        <v>35</v>
      </c>
      <c r="G7124" t="s">
        <v>35</v>
      </c>
      <c r="H7124" t="s">
        <v>35</v>
      </c>
      <c r="J7124" t="s">
        <v>7166</v>
      </c>
      <c r="K7124" t="s">
        <v>1092</v>
      </c>
      <c r="M7124">
        <v>7.47</v>
      </c>
      <c r="N7124">
        <v>535</v>
      </c>
      <c r="O7124" t="s">
        <v>294</v>
      </c>
      <c r="Q7124" t="s">
        <v>7167</v>
      </c>
      <c r="R7124" t="s">
        <v>987</v>
      </c>
      <c r="S7124" t="s">
        <v>988</v>
      </c>
      <c r="T7124" t="s">
        <v>989</v>
      </c>
    </row>
    <row r="7125" spans="1:20" x14ac:dyDescent="0.25">
      <c r="A7125" t="s">
        <v>30</v>
      </c>
      <c r="B7125" t="s">
        <v>31</v>
      </c>
      <c r="C7125" t="s">
        <v>32</v>
      </c>
      <c r="D7125" t="s">
        <v>953</v>
      </c>
      <c r="F7125" t="s">
        <v>35</v>
      </c>
      <c r="G7125" t="s">
        <v>35</v>
      </c>
      <c r="H7125" t="s">
        <v>35</v>
      </c>
      <c r="J7125" t="s">
        <v>7934</v>
      </c>
      <c r="K7125" t="s">
        <v>1092</v>
      </c>
      <c r="M7125">
        <v>9.99</v>
      </c>
      <c r="N7125">
        <v>18</v>
      </c>
      <c r="O7125" t="s">
        <v>46</v>
      </c>
      <c r="Q7125" t="s">
        <v>831</v>
      </c>
      <c r="R7125" t="s">
        <v>987</v>
      </c>
      <c r="S7125" t="s">
        <v>988</v>
      </c>
      <c r="T7125" t="s">
        <v>989</v>
      </c>
    </row>
    <row r="7126" spans="1:20" x14ac:dyDescent="0.25">
      <c r="A7126" t="s">
        <v>59</v>
      </c>
      <c r="B7126" t="s">
        <v>31</v>
      </c>
      <c r="C7126" t="s">
        <v>32</v>
      </c>
      <c r="D7126" t="s">
        <v>953</v>
      </c>
      <c r="F7126" t="s">
        <v>35</v>
      </c>
      <c r="G7126" t="s">
        <v>35</v>
      </c>
      <c r="H7126" t="s">
        <v>35</v>
      </c>
      <c r="J7126" t="s">
        <v>7934</v>
      </c>
      <c r="K7126" t="s">
        <v>1092</v>
      </c>
      <c r="M7126">
        <v>4.9950000000000001</v>
      </c>
      <c r="N7126">
        <v>56</v>
      </c>
      <c r="O7126" t="s">
        <v>52</v>
      </c>
      <c r="Q7126" t="s">
        <v>423</v>
      </c>
      <c r="R7126" t="s">
        <v>987</v>
      </c>
      <c r="S7126" t="s">
        <v>988</v>
      </c>
      <c r="T7126" t="s">
        <v>989</v>
      </c>
    </row>
    <row r="7127" spans="1:20" x14ac:dyDescent="0.25">
      <c r="A7127" t="s">
        <v>59</v>
      </c>
      <c r="B7127" t="s">
        <v>60</v>
      </c>
      <c r="C7127" t="s">
        <v>32</v>
      </c>
      <c r="D7127" t="s">
        <v>953</v>
      </c>
      <c r="F7127" t="s">
        <v>35</v>
      </c>
      <c r="G7127" t="s">
        <v>35</v>
      </c>
      <c r="H7127" t="s">
        <v>35</v>
      </c>
      <c r="J7127" t="s">
        <v>7934</v>
      </c>
      <c r="K7127" t="s">
        <v>1092</v>
      </c>
      <c r="M7127">
        <v>5</v>
      </c>
      <c r="N7127">
        <v>56</v>
      </c>
      <c r="O7127" t="s">
        <v>52</v>
      </c>
      <c r="Q7127" t="s">
        <v>423</v>
      </c>
      <c r="R7127" t="s">
        <v>987</v>
      </c>
      <c r="S7127" t="s">
        <v>988</v>
      </c>
      <c r="T7127" t="s">
        <v>989</v>
      </c>
    </row>
    <row r="7128" spans="1:20" x14ac:dyDescent="0.25">
      <c r="A7128" t="s">
        <v>59</v>
      </c>
      <c r="B7128" t="s">
        <v>60</v>
      </c>
      <c r="C7128" t="s">
        <v>32</v>
      </c>
      <c r="D7128" t="s">
        <v>953</v>
      </c>
      <c r="F7128" t="s">
        <v>35</v>
      </c>
      <c r="G7128" t="s">
        <v>35</v>
      </c>
      <c r="H7128" t="s">
        <v>35</v>
      </c>
      <c r="J7128" t="s">
        <v>7934</v>
      </c>
      <c r="K7128" t="s">
        <v>1092</v>
      </c>
      <c r="M7128">
        <v>8.1999999999999993</v>
      </c>
      <c r="N7128">
        <v>86</v>
      </c>
      <c r="O7128" t="s">
        <v>61</v>
      </c>
      <c r="Q7128" t="s">
        <v>941</v>
      </c>
      <c r="R7128" t="s">
        <v>987</v>
      </c>
      <c r="S7128" t="s">
        <v>988</v>
      </c>
      <c r="T7128" t="s">
        <v>989</v>
      </c>
    </row>
    <row r="7129" spans="1:20" x14ac:dyDescent="0.25">
      <c r="A7129" t="s">
        <v>59</v>
      </c>
      <c r="B7129" t="s">
        <v>31</v>
      </c>
      <c r="C7129" t="s">
        <v>32</v>
      </c>
      <c r="D7129" t="s">
        <v>953</v>
      </c>
      <c r="F7129" t="s">
        <v>35</v>
      </c>
      <c r="G7129" t="s">
        <v>35</v>
      </c>
      <c r="H7129" t="s">
        <v>35</v>
      </c>
      <c r="J7129" t="s">
        <v>7934</v>
      </c>
      <c r="K7129" t="s">
        <v>1092</v>
      </c>
      <c r="M7129">
        <v>2.25</v>
      </c>
      <c r="N7129">
        <v>86</v>
      </c>
      <c r="O7129" t="s">
        <v>61</v>
      </c>
      <c r="Q7129" t="s">
        <v>941</v>
      </c>
      <c r="R7129" t="s">
        <v>987</v>
      </c>
      <c r="S7129" t="s">
        <v>988</v>
      </c>
      <c r="T7129" t="s">
        <v>989</v>
      </c>
    </row>
    <row r="7130" spans="1:20" x14ac:dyDescent="0.25">
      <c r="A7130" t="s">
        <v>30</v>
      </c>
      <c r="B7130" t="s">
        <v>31</v>
      </c>
      <c r="C7130" t="s">
        <v>32</v>
      </c>
      <c r="D7130" t="s">
        <v>953</v>
      </c>
      <c r="E7130" t="s">
        <v>7558</v>
      </c>
      <c r="F7130" t="s">
        <v>35</v>
      </c>
      <c r="G7130" t="s">
        <v>35</v>
      </c>
      <c r="H7130" t="s">
        <v>35</v>
      </c>
      <c r="J7130" t="s">
        <v>7598</v>
      </c>
      <c r="K7130" t="s">
        <v>1092</v>
      </c>
      <c r="M7130">
        <v>0.63</v>
      </c>
      <c r="N7130">
        <v>40</v>
      </c>
      <c r="O7130" t="s">
        <v>52</v>
      </c>
      <c r="Q7130" t="s">
        <v>132</v>
      </c>
      <c r="R7130" t="s">
        <v>987</v>
      </c>
      <c r="S7130" t="s">
        <v>988</v>
      </c>
      <c r="T7130" t="s">
        <v>989</v>
      </c>
    </row>
    <row r="7131" spans="1:20" x14ac:dyDescent="0.25">
      <c r="A7131" t="s">
        <v>59</v>
      </c>
      <c r="B7131" t="s">
        <v>60</v>
      </c>
      <c r="C7131" t="s">
        <v>32</v>
      </c>
      <c r="D7131" t="s">
        <v>953</v>
      </c>
      <c r="E7131" t="s">
        <v>7558</v>
      </c>
      <c r="F7131" t="s">
        <v>35</v>
      </c>
      <c r="G7131" t="s">
        <v>35</v>
      </c>
      <c r="H7131" t="s">
        <v>35</v>
      </c>
      <c r="J7131" t="s">
        <v>7592</v>
      </c>
      <c r="K7131" t="s">
        <v>1092</v>
      </c>
      <c r="M7131">
        <v>10</v>
      </c>
      <c r="N7131">
        <v>55</v>
      </c>
      <c r="O7131" t="s">
        <v>52</v>
      </c>
      <c r="Q7131" t="s">
        <v>90</v>
      </c>
      <c r="R7131" t="s">
        <v>987</v>
      </c>
      <c r="S7131" t="s">
        <v>988</v>
      </c>
      <c r="T7131" t="s">
        <v>989</v>
      </c>
    </row>
    <row r="7132" spans="1:20" x14ac:dyDescent="0.25">
      <c r="A7132" t="s">
        <v>30</v>
      </c>
      <c r="B7132" t="s">
        <v>31</v>
      </c>
      <c r="C7132" t="s">
        <v>32</v>
      </c>
      <c r="D7132" t="s">
        <v>953</v>
      </c>
      <c r="E7132" t="s">
        <v>1007</v>
      </c>
      <c r="F7132" t="s">
        <v>35</v>
      </c>
      <c r="G7132" t="s">
        <v>35</v>
      </c>
      <c r="H7132" t="s">
        <v>35</v>
      </c>
      <c r="J7132" t="s">
        <v>7307</v>
      </c>
      <c r="K7132" t="s">
        <v>1092</v>
      </c>
      <c r="M7132">
        <v>9.99</v>
      </c>
      <c r="N7132">
        <v>16</v>
      </c>
      <c r="O7132" t="s">
        <v>46</v>
      </c>
      <c r="Q7132" t="s">
        <v>1819</v>
      </c>
      <c r="R7132" t="s">
        <v>987</v>
      </c>
      <c r="S7132" t="s">
        <v>988</v>
      </c>
      <c r="T7132" t="s">
        <v>989</v>
      </c>
    </row>
    <row r="7133" spans="1:20" x14ac:dyDescent="0.25">
      <c r="A7133" t="s">
        <v>59</v>
      </c>
      <c r="B7133" t="s">
        <v>31</v>
      </c>
      <c r="C7133" t="s">
        <v>32</v>
      </c>
      <c r="D7133" t="s">
        <v>953</v>
      </c>
      <c r="E7133" t="s">
        <v>1072</v>
      </c>
      <c r="F7133" t="s">
        <v>35</v>
      </c>
      <c r="G7133" t="s">
        <v>35</v>
      </c>
      <c r="H7133" t="s">
        <v>35</v>
      </c>
      <c r="J7133" t="s">
        <v>7513</v>
      </c>
      <c r="K7133" t="s">
        <v>1092</v>
      </c>
      <c r="M7133">
        <v>3.7349999999999999</v>
      </c>
      <c r="N7133">
        <v>55</v>
      </c>
      <c r="O7133" t="s">
        <v>52</v>
      </c>
      <c r="Q7133" t="s">
        <v>90</v>
      </c>
      <c r="R7133" t="s">
        <v>987</v>
      </c>
      <c r="S7133" t="s">
        <v>988</v>
      </c>
      <c r="T7133" t="s">
        <v>989</v>
      </c>
    </row>
    <row r="7134" spans="1:20" x14ac:dyDescent="0.25">
      <c r="A7134" t="s">
        <v>30</v>
      </c>
      <c r="B7134" t="s">
        <v>31</v>
      </c>
      <c r="C7134" t="s">
        <v>32</v>
      </c>
      <c r="D7134" t="s">
        <v>953</v>
      </c>
      <c r="E7134" t="s">
        <v>1072</v>
      </c>
      <c r="F7134" t="s">
        <v>35</v>
      </c>
      <c r="G7134" t="s">
        <v>35</v>
      </c>
      <c r="H7134" t="s">
        <v>35</v>
      </c>
      <c r="J7134" t="s">
        <v>7513</v>
      </c>
      <c r="K7134" t="s">
        <v>1092</v>
      </c>
      <c r="M7134">
        <v>4.9950000000000001</v>
      </c>
      <c r="N7134">
        <v>18</v>
      </c>
      <c r="O7134" t="s">
        <v>46</v>
      </c>
      <c r="Q7134" t="s">
        <v>831</v>
      </c>
      <c r="R7134" t="s">
        <v>987</v>
      </c>
      <c r="S7134" t="s">
        <v>988</v>
      </c>
      <c r="T7134" t="s">
        <v>989</v>
      </c>
    </row>
    <row r="7135" spans="1:20" x14ac:dyDescent="0.25">
      <c r="A7135" t="s">
        <v>59</v>
      </c>
      <c r="B7135" t="s">
        <v>31</v>
      </c>
      <c r="C7135" t="s">
        <v>32</v>
      </c>
      <c r="D7135" t="s">
        <v>953</v>
      </c>
      <c r="E7135" t="s">
        <v>968</v>
      </c>
      <c r="F7135" t="s">
        <v>35</v>
      </c>
      <c r="G7135" t="s">
        <v>35</v>
      </c>
      <c r="H7135" t="s">
        <v>35</v>
      </c>
      <c r="J7135" t="s">
        <v>7018</v>
      </c>
      <c r="K7135" t="s">
        <v>1092</v>
      </c>
      <c r="M7135">
        <v>9.99</v>
      </c>
      <c r="N7135">
        <v>82</v>
      </c>
      <c r="O7135" t="s">
        <v>61</v>
      </c>
      <c r="Q7135" t="s">
        <v>299</v>
      </c>
      <c r="R7135" t="s">
        <v>987</v>
      </c>
      <c r="S7135" t="s">
        <v>988</v>
      </c>
      <c r="T7135" t="s">
        <v>989</v>
      </c>
    </row>
    <row r="7136" spans="1:20" x14ac:dyDescent="0.25">
      <c r="A7136" t="s">
        <v>59</v>
      </c>
      <c r="B7136" t="s">
        <v>60</v>
      </c>
      <c r="C7136" t="s">
        <v>32</v>
      </c>
      <c r="D7136" t="s">
        <v>953</v>
      </c>
      <c r="E7136" t="s">
        <v>6878</v>
      </c>
      <c r="F7136" t="s">
        <v>35</v>
      </c>
      <c r="G7136" t="s">
        <v>35</v>
      </c>
      <c r="H7136" t="s">
        <v>35</v>
      </c>
      <c r="J7136" t="s">
        <v>6915</v>
      </c>
      <c r="K7136" t="s">
        <v>1092</v>
      </c>
      <c r="M7136">
        <v>2.35</v>
      </c>
      <c r="N7136">
        <v>86</v>
      </c>
      <c r="O7136" t="s">
        <v>61</v>
      </c>
      <c r="Q7136" t="s">
        <v>941</v>
      </c>
      <c r="R7136" t="s">
        <v>987</v>
      </c>
      <c r="S7136" t="s">
        <v>988</v>
      </c>
      <c r="T7136" t="s">
        <v>989</v>
      </c>
    </row>
    <row r="7137" spans="1:20" x14ac:dyDescent="0.25">
      <c r="A7137" t="s">
        <v>59</v>
      </c>
      <c r="B7137" t="s">
        <v>31</v>
      </c>
      <c r="C7137" t="s">
        <v>32</v>
      </c>
      <c r="D7137" t="s">
        <v>953</v>
      </c>
      <c r="E7137" t="s">
        <v>1015</v>
      </c>
      <c r="F7137" t="s">
        <v>35</v>
      </c>
      <c r="G7137" t="s">
        <v>35</v>
      </c>
      <c r="H7137" t="s">
        <v>35</v>
      </c>
      <c r="J7137" t="s">
        <v>7382</v>
      </c>
      <c r="K7137" t="s">
        <v>1092</v>
      </c>
      <c r="M7137">
        <v>1.08</v>
      </c>
      <c r="N7137">
        <v>55</v>
      </c>
      <c r="O7137" t="s">
        <v>52</v>
      </c>
      <c r="Q7137" t="s">
        <v>90</v>
      </c>
      <c r="R7137" t="s">
        <v>987</v>
      </c>
      <c r="S7137" t="s">
        <v>988</v>
      </c>
      <c r="T7137" t="s">
        <v>989</v>
      </c>
    </row>
    <row r="7138" spans="1:20" x14ac:dyDescent="0.25">
      <c r="A7138" t="s">
        <v>44</v>
      </c>
      <c r="B7138" t="s">
        <v>3</v>
      </c>
      <c r="C7138" t="s">
        <v>32</v>
      </c>
      <c r="D7138" t="s">
        <v>953</v>
      </c>
      <c r="E7138" t="s">
        <v>1015</v>
      </c>
      <c r="F7138" t="s">
        <v>35</v>
      </c>
      <c r="G7138" t="s">
        <v>35</v>
      </c>
      <c r="H7138" t="s">
        <v>35</v>
      </c>
      <c r="J7138" t="s">
        <v>7382</v>
      </c>
      <c r="K7138" t="s">
        <v>1092</v>
      </c>
      <c r="M7138">
        <v>4.0999999999999996</v>
      </c>
      <c r="N7138">
        <v>56</v>
      </c>
      <c r="O7138" t="s">
        <v>52</v>
      </c>
      <c r="Q7138" t="s">
        <v>423</v>
      </c>
      <c r="R7138" t="s">
        <v>987</v>
      </c>
      <c r="S7138" t="s">
        <v>988</v>
      </c>
      <c r="T7138" t="s">
        <v>989</v>
      </c>
    </row>
    <row r="7139" spans="1:20" x14ac:dyDescent="0.25">
      <c r="A7139" t="s">
        <v>44</v>
      </c>
      <c r="B7139" t="s">
        <v>3</v>
      </c>
      <c r="C7139" t="s">
        <v>32</v>
      </c>
      <c r="D7139" t="s">
        <v>953</v>
      </c>
      <c r="E7139" t="s">
        <v>1007</v>
      </c>
      <c r="F7139" t="s">
        <v>35</v>
      </c>
      <c r="G7139" t="s">
        <v>35</v>
      </c>
      <c r="H7139" t="s">
        <v>35</v>
      </c>
      <c r="J7139" t="s">
        <v>1008</v>
      </c>
      <c r="K7139" t="s">
        <v>37</v>
      </c>
      <c r="M7139">
        <v>10</v>
      </c>
      <c r="N7139">
        <v>20</v>
      </c>
      <c r="O7139" t="s">
        <v>46</v>
      </c>
      <c r="P7139" t="s">
        <v>1010</v>
      </c>
      <c r="Q7139" t="s">
        <v>1011</v>
      </c>
      <c r="R7139" t="s">
        <v>987</v>
      </c>
      <c r="S7139" t="s">
        <v>988</v>
      </c>
      <c r="T7139" t="s">
        <v>989</v>
      </c>
    </row>
    <row r="7140" spans="1:20" x14ac:dyDescent="0.25">
      <c r="A7140" t="s">
        <v>44</v>
      </c>
      <c r="B7140" t="s">
        <v>3</v>
      </c>
      <c r="C7140" t="s">
        <v>32</v>
      </c>
      <c r="D7140" t="s">
        <v>953</v>
      </c>
      <c r="E7140" t="s">
        <v>1007</v>
      </c>
      <c r="F7140" t="s">
        <v>35</v>
      </c>
      <c r="G7140" t="s">
        <v>35</v>
      </c>
      <c r="H7140" t="s">
        <v>35</v>
      </c>
      <c r="J7140" t="s">
        <v>1008</v>
      </c>
      <c r="K7140" t="s">
        <v>37</v>
      </c>
      <c r="M7140">
        <v>10</v>
      </c>
      <c r="N7140">
        <v>18</v>
      </c>
      <c r="O7140" t="s">
        <v>46</v>
      </c>
      <c r="P7140" t="s">
        <v>1012</v>
      </c>
      <c r="Q7140" t="s">
        <v>831</v>
      </c>
      <c r="R7140" t="s">
        <v>987</v>
      </c>
      <c r="S7140" t="s">
        <v>988</v>
      </c>
      <c r="T7140" t="s">
        <v>989</v>
      </c>
    </row>
    <row r="7141" spans="1:20" x14ac:dyDescent="0.25">
      <c r="A7141" t="s">
        <v>44</v>
      </c>
      <c r="B7141" t="s">
        <v>3</v>
      </c>
      <c r="C7141" t="s">
        <v>32</v>
      </c>
      <c r="D7141" t="s">
        <v>953</v>
      </c>
      <c r="E7141" t="s">
        <v>1007</v>
      </c>
      <c r="F7141" t="s">
        <v>35</v>
      </c>
      <c r="G7141" t="s">
        <v>35</v>
      </c>
      <c r="H7141" t="s">
        <v>35</v>
      </c>
      <c r="J7141" t="s">
        <v>1008</v>
      </c>
      <c r="K7141" t="s">
        <v>37</v>
      </c>
      <c r="M7141">
        <v>4.25</v>
      </c>
      <c r="N7141">
        <v>20</v>
      </c>
      <c r="O7141" t="s">
        <v>46</v>
      </c>
      <c r="P7141" t="s">
        <v>1013</v>
      </c>
      <c r="Q7141" t="s">
        <v>1011</v>
      </c>
      <c r="R7141" t="s">
        <v>987</v>
      </c>
      <c r="S7141" t="s">
        <v>988</v>
      </c>
      <c r="T7141" t="s">
        <v>989</v>
      </c>
    </row>
    <row r="7142" spans="1:20" x14ac:dyDescent="0.25">
      <c r="A7142" t="s">
        <v>44</v>
      </c>
      <c r="B7142" t="s">
        <v>3</v>
      </c>
      <c r="C7142" t="s">
        <v>32</v>
      </c>
      <c r="D7142" t="s">
        <v>953</v>
      </c>
      <c r="E7142" t="s">
        <v>1007</v>
      </c>
      <c r="F7142" t="s">
        <v>35</v>
      </c>
      <c r="G7142" t="s">
        <v>35</v>
      </c>
      <c r="H7142" t="s">
        <v>35</v>
      </c>
      <c r="J7142" t="s">
        <v>1008</v>
      </c>
      <c r="K7142" t="s">
        <v>37</v>
      </c>
      <c r="M7142">
        <v>10</v>
      </c>
      <c r="N7142">
        <v>18</v>
      </c>
      <c r="O7142" t="s">
        <v>46</v>
      </c>
      <c r="P7142" t="s">
        <v>1014</v>
      </c>
      <c r="Q7142" t="s">
        <v>831</v>
      </c>
      <c r="R7142" t="s">
        <v>987</v>
      </c>
      <c r="S7142" t="s">
        <v>988</v>
      </c>
      <c r="T7142" t="s">
        <v>989</v>
      </c>
    </row>
    <row r="7143" spans="1:20" x14ac:dyDescent="0.25">
      <c r="A7143" t="s">
        <v>30</v>
      </c>
      <c r="B7143" t="s">
        <v>31</v>
      </c>
      <c r="C7143" t="s">
        <v>32</v>
      </c>
      <c r="D7143" t="s">
        <v>953</v>
      </c>
      <c r="E7143" t="s">
        <v>1007</v>
      </c>
      <c r="F7143" t="s">
        <v>35</v>
      </c>
      <c r="G7143" t="s">
        <v>35</v>
      </c>
      <c r="H7143" t="s">
        <v>35</v>
      </c>
      <c r="J7143" t="s">
        <v>7319</v>
      </c>
      <c r="K7143" t="s">
        <v>1092</v>
      </c>
      <c r="M7143">
        <v>39.96</v>
      </c>
      <c r="N7143">
        <v>17</v>
      </c>
      <c r="O7143" t="s">
        <v>46</v>
      </c>
      <c r="Q7143" t="s">
        <v>255</v>
      </c>
      <c r="R7143" t="s">
        <v>987</v>
      </c>
      <c r="S7143" t="s">
        <v>988</v>
      </c>
      <c r="T7143" t="s">
        <v>989</v>
      </c>
    </row>
    <row r="7144" spans="1:20" x14ac:dyDescent="0.25">
      <c r="A7144" t="s">
        <v>59</v>
      </c>
      <c r="B7144" t="s">
        <v>31</v>
      </c>
      <c r="C7144" t="s">
        <v>32</v>
      </c>
      <c r="D7144" t="s">
        <v>953</v>
      </c>
      <c r="E7144" t="s">
        <v>1007</v>
      </c>
      <c r="F7144" t="s">
        <v>35</v>
      </c>
      <c r="G7144" t="s">
        <v>35</v>
      </c>
      <c r="H7144" t="s">
        <v>35</v>
      </c>
      <c r="J7144" t="s">
        <v>7319</v>
      </c>
      <c r="K7144" t="s">
        <v>1092</v>
      </c>
      <c r="M7144">
        <v>11.744999999999999</v>
      </c>
      <c r="N7144">
        <v>55</v>
      </c>
      <c r="O7144" t="s">
        <v>52</v>
      </c>
      <c r="Q7144" t="s">
        <v>90</v>
      </c>
      <c r="R7144" t="s">
        <v>987</v>
      </c>
      <c r="S7144" t="s">
        <v>988</v>
      </c>
      <c r="T7144" t="s">
        <v>989</v>
      </c>
    </row>
    <row r="7145" spans="1:20" x14ac:dyDescent="0.25">
      <c r="A7145" t="s">
        <v>44</v>
      </c>
      <c r="B7145" t="s">
        <v>3</v>
      </c>
      <c r="C7145" t="s">
        <v>32</v>
      </c>
      <c r="D7145" t="s">
        <v>953</v>
      </c>
      <c r="E7145" t="s">
        <v>1007</v>
      </c>
      <c r="F7145" t="s">
        <v>35</v>
      </c>
      <c r="G7145" t="s">
        <v>35</v>
      </c>
      <c r="H7145" t="s">
        <v>35</v>
      </c>
      <c r="J7145" t="s">
        <v>7319</v>
      </c>
      <c r="K7145" t="s">
        <v>1092</v>
      </c>
      <c r="M7145">
        <v>14.5</v>
      </c>
      <c r="N7145">
        <v>56</v>
      </c>
      <c r="O7145" t="s">
        <v>52</v>
      </c>
      <c r="Q7145" t="s">
        <v>423</v>
      </c>
      <c r="R7145" t="s">
        <v>987</v>
      </c>
      <c r="S7145" t="s">
        <v>988</v>
      </c>
      <c r="T7145" t="s">
        <v>989</v>
      </c>
    </row>
    <row r="7146" spans="1:20" x14ac:dyDescent="0.25">
      <c r="A7146" t="s">
        <v>59</v>
      </c>
      <c r="B7146" t="s">
        <v>60</v>
      </c>
      <c r="C7146" t="s">
        <v>32</v>
      </c>
      <c r="D7146" t="s">
        <v>953</v>
      </c>
      <c r="E7146" t="s">
        <v>1007</v>
      </c>
      <c r="F7146" t="s">
        <v>35</v>
      </c>
      <c r="G7146" t="s">
        <v>35</v>
      </c>
      <c r="H7146" t="s">
        <v>35</v>
      </c>
      <c r="J7146" t="s">
        <v>7319</v>
      </c>
      <c r="K7146" t="s">
        <v>1092</v>
      </c>
      <c r="M7146">
        <v>20.65</v>
      </c>
      <c r="N7146">
        <v>55</v>
      </c>
      <c r="O7146" t="s">
        <v>52</v>
      </c>
      <c r="Q7146" t="s">
        <v>90</v>
      </c>
      <c r="R7146" t="s">
        <v>987</v>
      </c>
      <c r="S7146" t="s">
        <v>988</v>
      </c>
      <c r="T7146" t="s">
        <v>989</v>
      </c>
    </row>
    <row r="7147" spans="1:20" x14ac:dyDescent="0.25">
      <c r="A7147" t="s">
        <v>59</v>
      </c>
      <c r="B7147" t="s">
        <v>31</v>
      </c>
      <c r="C7147" t="s">
        <v>32</v>
      </c>
      <c r="D7147" t="s">
        <v>953</v>
      </c>
      <c r="E7147" t="s">
        <v>6878</v>
      </c>
      <c r="F7147" t="s">
        <v>35</v>
      </c>
      <c r="G7147" t="s">
        <v>35</v>
      </c>
      <c r="H7147" t="s">
        <v>35</v>
      </c>
      <c r="J7147" t="s">
        <v>6908</v>
      </c>
      <c r="K7147" t="s">
        <v>1092</v>
      </c>
      <c r="M7147">
        <v>0.72</v>
      </c>
      <c r="N7147">
        <v>357</v>
      </c>
      <c r="O7147" t="s">
        <v>5</v>
      </c>
      <c r="Q7147" t="s">
        <v>1742</v>
      </c>
      <c r="R7147" t="s">
        <v>987</v>
      </c>
      <c r="S7147" t="s">
        <v>988</v>
      </c>
      <c r="T7147" t="s">
        <v>989</v>
      </c>
    </row>
    <row r="7148" spans="1:20" x14ac:dyDescent="0.25">
      <c r="A7148" t="s">
        <v>59</v>
      </c>
      <c r="B7148" t="s">
        <v>60</v>
      </c>
      <c r="C7148" t="s">
        <v>32</v>
      </c>
      <c r="D7148" t="s">
        <v>953</v>
      </c>
      <c r="E7148" t="s">
        <v>954</v>
      </c>
      <c r="F7148" t="s">
        <v>35</v>
      </c>
      <c r="G7148" t="s">
        <v>35</v>
      </c>
      <c r="H7148" t="s">
        <v>35</v>
      </c>
      <c r="J7148" t="s">
        <v>6851</v>
      </c>
      <c r="K7148" t="s">
        <v>1092</v>
      </c>
      <c r="M7148">
        <v>2</v>
      </c>
      <c r="N7148">
        <v>55</v>
      </c>
      <c r="O7148" t="s">
        <v>52</v>
      </c>
      <c r="Q7148" t="s">
        <v>90</v>
      </c>
      <c r="R7148" t="s">
        <v>987</v>
      </c>
      <c r="S7148" t="s">
        <v>988</v>
      </c>
      <c r="T7148" t="s">
        <v>989</v>
      </c>
    </row>
    <row r="7149" spans="1:20" x14ac:dyDescent="0.25">
      <c r="A7149" t="s">
        <v>59</v>
      </c>
      <c r="B7149" t="s">
        <v>60</v>
      </c>
      <c r="C7149" t="s">
        <v>32</v>
      </c>
      <c r="D7149" t="s">
        <v>953</v>
      </c>
      <c r="E7149" t="s">
        <v>7467</v>
      </c>
      <c r="F7149" t="s">
        <v>35</v>
      </c>
      <c r="G7149" t="s">
        <v>35</v>
      </c>
      <c r="H7149" t="s">
        <v>35</v>
      </c>
      <c r="J7149" t="s">
        <v>7493</v>
      </c>
      <c r="K7149" t="s">
        <v>404</v>
      </c>
      <c r="M7149">
        <v>2.25</v>
      </c>
      <c r="N7149">
        <v>86</v>
      </c>
      <c r="O7149" t="s">
        <v>61</v>
      </c>
      <c r="Q7149" t="s">
        <v>941</v>
      </c>
      <c r="R7149" t="s">
        <v>987</v>
      </c>
      <c r="S7149" t="s">
        <v>988</v>
      </c>
      <c r="T7149" t="s">
        <v>989</v>
      </c>
    </row>
    <row r="7150" spans="1:20" x14ac:dyDescent="0.25">
      <c r="A7150" t="s">
        <v>59</v>
      </c>
      <c r="B7150" t="s">
        <v>60</v>
      </c>
      <c r="C7150" t="s">
        <v>32</v>
      </c>
      <c r="D7150" t="s">
        <v>953</v>
      </c>
      <c r="E7150" t="s">
        <v>1072</v>
      </c>
      <c r="F7150" t="s">
        <v>35</v>
      </c>
      <c r="G7150" t="s">
        <v>35</v>
      </c>
      <c r="H7150" t="s">
        <v>35</v>
      </c>
      <c r="J7150" t="s">
        <v>7556</v>
      </c>
      <c r="K7150" t="s">
        <v>404</v>
      </c>
      <c r="M7150">
        <v>10</v>
      </c>
      <c r="N7150">
        <v>86</v>
      </c>
      <c r="O7150" t="s">
        <v>61</v>
      </c>
      <c r="Q7150" t="s">
        <v>941</v>
      </c>
      <c r="R7150" t="s">
        <v>987</v>
      </c>
      <c r="S7150" t="s">
        <v>988</v>
      </c>
      <c r="T7150" t="s">
        <v>989</v>
      </c>
    </row>
    <row r="7151" spans="1:20" x14ac:dyDescent="0.25">
      <c r="A7151" t="s">
        <v>59</v>
      </c>
      <c r="B7151" t="s">
        <v>60</v>
      </c>
      <c r="C7151" t="s">
        <v>32</v>
      </c>
      <c r="D7151" t="s">
        <v>953</v>
      </c>
      <c r="E7151" t="s">
        <v>1015</v>
      </c>
      <c r="F7151" t="s">
        <v>35</v>
      </c>
      <c r="G7151" t="s">
        <v>35</v>
      </c>
      <c r="H7151" t="s">
        <v>35</v>
      </c>
      <c r="J7151" t="s">
        <v>7450</v>
      </c>
      <c r="K7151" t="s">
        <v>1092</v>
      </c>
      <c r="M7151">
        <v>2.5</v>
      </c>
      <c r="N7151">
        <v>899</v>
      </c>
      <c r="O7151" t="s">
        <v>575</v>
      </c>
      <c r="Q7151" t="s">
        <v>7452</v>
      </c>
      <c r="R7151" t="s">
        <v>987</v>
      </c>
      <c r="S7151" t="s">
        <v>988</v>
      </c>
      <c r="T7151" t="s">
        <v>989</v>
      </c>
    </row>
    <row r="7152" spans="1:20" x14ac:dyDescent="0.25">
      <c r="A7152" t="s">
        <v>59</v>
      </c>
      <c r="B7152" t="s">
        <v>60</v>
      </c>
      <c r="C7152" t="s">
        <v>32</v>
      </c>
      <c r="D7152" t="s">
        <v>953</v>
      </c>
      <c r="E7152" t="s">
        <v>1015</v>
      </c>
      <c r="F7152" t="s">
        <v>35</v>
      </c>
      <c r="G7152" t="s">
        <v>35</v>
      </c>
      <c r="H7152" t="s">
        <v>35</v>
      </c>
      <c r="J7152" t="s">
        <v>7450</v>
      </c>
      <c r="K7152" t="s">
        <v>1092</v>
      </c>
      <c r="M7152">
        <v>2.5</v>
      </c>
      <c r="N7152">
        <v>1011</v>
      </c>
      <c r="O7152" t="s">
        <v>575</v>
      </c>
      <c r="Q7152" t="s">
        <v>2234</v>
      </c>
      <c r="R7152" t="s">
        <v>987</v>
      </c>
      <c r="S7152" t="s">
        <v>988</v>
      </c>
      <c r="T7152" t="s">
        <v>989</v>
      </c>
    </row>
    <row r="7153" spans="1:20" x14ac:dyDescent="0.25">
      <c r="A7153" t="s">
        <v>59</v>
      </c>
      <c r="B7153" t="s">
        <v>31</v>
      </c>
      <c r="C7153" t="s">
        <v>32</v>
      </c>
      <c r="D7153" t="s">
        <v>953</v>
      </c>
      <c r="E7153" t="s">
        <v>1015</v>
      </c>
      <c r="F7153" t="s">
        <v>35</v>
      </c>
      <c r="G7153" t="s">
        <v>35</v>
      </c>
      <c r="H7153" t="s">
        <v>35</v>
      </c>
      <c r="J7153" t="s">
        <v>7365</v>
      </c>
      <c r="K7153" t="s">
        <v>1092</v>
      </c>
      <c r="M7153">
        <v>2.2949999999999999</v>
      </c>
      <c r="N7153">
        <v>245</v>
      </c>
      <c r="O7153" t="s">
        <v>5</v>
      </c>
      <c r="Q7153" t="s">
        <v>1222</v>
      </c>
      <c r="R7153" t="s">
        <v>987</v>
      </c>
      <c r="S7153" t="s">
        <v>988</v>
      </c>
      <c r="T7153" t="s">
        <v>989</v>
      </c>
    </row>
    <row r="7154" spans="1:20" x14ac:dyDescent="0.25">
      <c r="A7154" t="s">
        <v>30</v>
      </c>
      <c r="B7154" t="s">
        <v>31</v>
      </c>
      <c r="C7154" t="s">
        <v>32</v>
      </c>
      <c r="D7154" t="s">
        <v>953</v>
      </c>
      <c r="E7154" t="s">
        <v>1077</v>
      </c>
      <c r="F7154" t="s">
        <v>35</v>
      </c>
      <c r="G7154" t="s">
        <v>35</v>
      </c>
      <c r="H7154" t="s">
        <v>35</v>
      </c>
      <c r="J7154" t="s">
        <v>7653</v>
      </c>
      <c r="K7154" t="s">
        <v>1092</v>
      </c>
      <c r="M7154">
        <v>9.9</v>
      </c>
      <c r="N7154">
        <v>40</v>
      </c>
      <c r="O7154" t="s">
        <v>52</v>
      </c>
      <c r="Q7154" t="s">
        <v>132</v>
      </c>
      <c r="R7154" t="s">
        <v>987</v>
      </c>
      <c r="S7154" t="s">
        <v>988</v>
      </c>
      <c r="T7154" t="s">
        <v>989</v>
      </c>
    </row>
    <row r="7155" spans="1:20" x14ac:dyDescent="0.25">
      <c r="A7155" t="s">
        <v>59</v>
      </c>
      <c r="B7155" t="s">
        <v>60</v>
      </c>
      <c r="C7155" t="s">
        <v>32</v>
      </c>
      <c r="D7155" t="s">
        <v>953</v>
      </c>
      <c r="E7155" t="s">
        <v>1015</v>
      </c>
      <c r="F7155" t="s">
        <v>35</v>
      </c>
      <c r="G7155" t="s">
        <v>35</v>
      </c>
      <c r="H7155" t="s">
        <v>35</v>
      </c>
      <c r="J7155" t="s">
        <v>7407</v>
      </c>
      <c r="K7155" t="s">
        <v>1092</v>
      </c>
      <c r="M7155">
        <v>0.9</v>
      </c>
      <c r="N7155">
        <v>769</v>
      </c>
      <c r="O7155" t="s">
        <v>575</v>
      </c>
      <c r="Q7155" t="s">
        <v>7094</v>
      </c>
      <c r="R7155" t="s">
        <v>7408</v>
      </c>
      <c r="S7155" t="s">
        <v>7409</v>
      </c>
      <c r="T7155" t="s">
        <v>7410</v>
      </c>
    </row>
    <row r="7156" spans="1:20" x14ac:dyDescent="0.25">
      <c r="A7156" t="s">
        <v>59</v>
      </c>
      <c r="B7156" t="s">
        <v>31</v>
      </c>
      <c r="C7156" t="s">
        <v>32</v>
      </c>
      <c r="D7156" t="s">
        <v>953</v>
      </c>
      <c r="E7156" t="s">
        <v>7184</v>
      </c>
      <c r="F7156" t="s">
        <v>35</v>
      </c>
      <c r="G7156" t="s">
        <v>35</v>
      </c>
      <c r="H7156" t="s">
        <v>35</v>
      </c>
      <c r="J7156" t="s">
        <v>7198</v>
      </c>
      <c r="K7156" t="s">
        <v>1092</v>
      </c>
      <c r="M7156">
        <v>0.81</v>
      </c>
      <c r="N7156">
        <v>1206</v>
      </c>
      <c r="O7156" t="s">
        <v>575</v>
      </c>
      <c r="Q7156" t="s">
        <v>4152</v>
      </c>
      <c r="R7156" t="s">
        <v>7199</v>
      </c>
      <c r="S7156" t="s">
        <v>1069</v>
      </c>
      <c r="T7156" t="s">
        <v>1070</v>
      </c>
    </row>
    <row r="7157" spans="1:20" x14ac:dyDescent="0.25">
      <c r="A7157" t="s">
        <v>59</v>
      </c>
      <c r="B7157" t="s">
        <v>60</v>
      </c>
      <c r="C7157" t="s">
        <v>32</v>
      </c>
      <c r="D7157" t="s">
        <v>953</v>
      </c>
      <c r="F7157" t="s">
        <v>35</v>
      </c>
      <c r="G7157" t="s">
        <v>35</v>
      </c>
      <c r="H7157" t="s">
        <v>35</v>
      </c>
      <c r="J7157" t="s">
        <v>7975</v>
      </c>
      <c r="K7157" t="s">
        <v>1092</v>
      </c>
      <c r="M7157">
        <v>0.75</v>
      </c>
      <c r="N7157">
        <v>1143</v>
      </c>
      <c r="O7157" t="s">
        <v>575</v>
      </c>
      <c r="Q7157" t="s">
        <v>7499</v>
      </c>
      <c r="R7157" t="s">
        <v>7199</v>
      </c>
      <c r="S7157" t="s">
        <v>1069</v>
      </c>
      <c r="T7157" t="s">
        <v>1070</v>
      </c>
    </row>
    <row r="7158" spans="1:20" x14ac:dyDescent="0.25">
      <c r="A7158" t="s">
        <v>59</v>
      </c>
      <c r="B7158" t="s">
        <v>31</v>
      </c>
      <c r="C7158" t="s">
        <v>32</v>
      </c>
      <c r="D7158" t="s">
        <v>953</v>
      </c>
      <c r="F7158" t="s">
        <v>35</v>
      </c>
      <c r="G7158" t="s">
        <v>35</v>
      </c>
      <c r="H7158" t="s">
        <v>35</v>
      </c>
      <c r="J7158" t="s">
        <v>8092</v>
      </c>
      <c r="K7158" t="s">
        <v>1092</v>
      </c>
      <c r="M7158">
        <v>4.7249999999999996</v>
      </c>
      <c r="N7158">
        <v>1173</v>
      </c>
      <c r="O7158" t="s">
        <v>575</v>
      </c>
      <c r="Q7158" t="s">
        <v>2161</v>
      </c>
      <c r="R7158" t="s">
        <v>7199</v>
      </c>
      <c r="S7158" t="s">
        <v>1069</v>
      </c>
      <c r="T7158" t="s">
        <v>1070</v>
      </c>
    </row>
    <row r="7159" spans="1:20" x14ac:dyDescent="0.25">
      <c r="A7159" t="s">
        <v>59</v>
      </c>
      <c r="B7159" t="s">
        <v>60</v>
      </c>
      <c r="C7159" t="s">
        <v>32</v>
      </c>
      <c r="D7159" t="s">
        <v>953</v>
      </c>
      <c r="F7159" t="s">
        <v>35</v>
      </c>
      <c r="G7159" t="s">
        <v>35</v>
      </c>
      <c r="H7159" t="s">
        <v>35</v>
      </c>
      <c r="J7159" t="s">
        <v>8040</v>
      </c>
      <c r="K7159" t="s">
        <v>1092</v>
      </c>
      <c r="M7159">
        <v>0.75</v>
      </c>
      <c r="N7159">
        <v>1236</v>
      </c>
      <c r="O7159" t="s">
        <v>575</v>
      </c>
      <c r="Q7159" t="s">
        <v>2998</v>
      </c>
      <c r="R7159" t="s">
        <v>7199</v>
      </c>
      <c r="S7159" t="s">
        <v>1069</v>
      </c>
      <c r="T7159" t="s">
        <v>1070</v>
      </c>
    </row>
    <row r="7160" spans="1:20" x14ac:dyDescent="0.25">
      <c r="A7160" t="s">
        <v>59</v>
      </c>
      <c r="B7160" t="s">
        <v>60</v>
      </c>
      <c r="C7160" t="s">
        <v>32</v>
      </c>
      <c r="D7160" t="s">
        <v>953</v>
      </c>
      <c r="E7160" t="s">
        <v>1072</v>
      </c>
      <c r="F7160" t="s">
        <v>35</v>
      </c>
      <c r="G7160" t="s">
        <v>35</v>
      </c>
      <c r="H7160" t="s">
        <v>35</v>
      </c>
      <c r="J7160" t="s">
        <v>7557</v>
      </c>
      <c r="K7160" t="s">
        <v>1092</v>
      </c>
      <c r="M7160">
        <v>0.75</v>
      </c>
      <c r="N7160">
        <v>118</v>
      </c>
      <c r="O7160" t="s">
        <v>106</v>
      </c>
      <c r="Q7160" t="s">
        <v>1954</v>
      </c>
      <c r="R7160" t="s">
        <v>7199</v>
      </c>
      <c r="S7160" t="s">
        <v>1069</v>
      </c>
      <c r="T7160" t="s">
        <v>1070</v>
      </c>
    </row>
    <row r="7161" spans="1:20" x14ac:dyDescent="0.25">
      <c r="A7161" t="s">
        <v>59</v>
      </c>
      <c r="B7161" t="s">
        <v>60</v>
      </c>
      <c r="C7161" t="s">
        <v>32</v>
      </c>
      <c r="D7161" t="s">
        <v>953</v>
      </c>
      <c r="E7161" t="s">
        <v>1072</v>
      </c>
      <c r="F7161" t="s">
        <v>35</v>
      </c>
      <c r="G7161" t="s">
        <v>35</v>
      </c>
      <c r="H7161" t="s">
        <v>35</v>
      </c>
      <c r="J7161" t="s">
        <v>7516</v>
      </c>
      <c r="K7161" t="s">
        <v>1092</v>
      </c>
      <c r="M7161">
        <v>0.05</v>
      </c>
      <c r="N7161">
        <v>118</v>
      </c>
      <c r="O7161" t="s">
        <v>106</v>
      </c>
      <c r="Q7161" t="s">
        <v>1954</v>
      </c>
      <c r="R7161" t="s">
        <v>7199</v>
      </c>
      <c r="S7161" t="s">
        <v>1069</v>
      </c>
      <c r="T7161" t="s">
        <v>1070</v>
      </c>
    </row>
    <row r="7162" spans="1:20" x14ac:dyDescent="0.25">
      <c r="A7162" t="s">
        <v>30</v>
      </c>
      <c r="B7162" t="s">
        <v>31</v>
      </c>
      <c r="C7162" t="s">
        <v>32</v>
      </c>
      <c r="D7162" t="s">
        <v>953</v>
      </c>
      <c r="E7162" t="s">
        <v>1084</v>
      </c>
      <c r="F7162" t="s">
        <v>35</v>
      </c>
      <c r="G7162" t="s">
        <v>35</v>
      </c>
      <c r="H7162" t="s">
        <v>35</v>
      </c>
      <c r="J7162" t="s">
        <v>7832</v>
      </c>
      <c r="K7162" t="s">
        <v>1092</v>
      </c>
      <c r="M7162">
        <v>0.129</v>
      </c>
      <c r="N7162">
        <v>1196</v>
      </c>
      <c r="O7162" t="s">
        <v>575</v>
      </c>
      <c r="Q7162" t="s">
        <v>2190</v>
      </c>
      <c r="R7162" t="s">
        <v>7199</v>
      </c>
      <c r="S7162" t="s">
        <v>1069</v>
      </c>
      <c r="T7162" t="s">
        <v>1070</v>
      </c>
    </row>
    <row r="7163" spans="1:20" x14ac:dyDescent="0.25">
      <c r="A7163" t="s">
        <v>44</v>
      </c>
      <c r="B7163" t="s">
        <v>3</v>
      </c>
      <c r="C7163" t="s">
        <v>32</v>
      </c>
      <c r="D7163" t="s">
        <v>953</v>
      </c>
      <c r="E7163" t="s">
        <v>1015</v>
      </c>
      <c r="F7163" t="s">
        <v>35</v>
      </c>
      <c r="G7163" t="s">
        <v>35</v>
      </c>
      <c r="H7163" t="s">
        <v>35</v>
      </c>
      <c r="J7163" t="s">
        <v>1066</v>
      </c>
      <c r="K7163" t="s">
        <v>37</v>
      </c>
      <c r="M7163">
        <v>1.4</v>
      </c>
      <c r="N7163">
        <v>61</v>
      </c>
      <c r="O7163" t="s">
        <v>61</v>
      </c>
      <c r="P7163" t="s">
        <v>1068</v>
      </c>
      <c r="Q7163" t="s">
        <v>146</v>
      </c>
      <c r="R7163" t="s">
        <v>199</v>
      </c>
      <c r="S7163" t="s">
        <v>200</v>
      </c>
      <c r="T7163" t="s">
        <v>201</v>
      </c>
    </row>
    <row r="7164" spans="1:20" x14ac:dyDescent="0.25">
      <c r="A7164" t="s">
        <v>59</v>
      </c>
      <c r="B7164" t="s">
        <v>60</v>
      </c>
      <c r="C7164" t="s">
        <v>32</v>
      </c>
      <c r="D7164" t="s">
        <v>953</v>
      </c>
      <c r="E7164" t="s">
        <v>7842</v>
      </c>
      <c r="F7164" t="s">
        <v>35</v>
      </c>
      <c r="G7164" t="s">
        <v>35</v>
      </c>
      <c r="H7164" t="s">
        <v>35</v>
      </c>
      <c r="J7164" t="s">
        <v>7872</v>
      </c>
      <c r="K7164" t="s">
        <v>1092</v>
      </c>
      <c r="M7164">
        <v>0.1</v>
      </c>
      <c r="N7164">
        <v>584</v>
      </c>
      <c r="O7164" t="s">
        <v>575</v>
      </c>
      <c r="Q7164" t="s">
        <v>4496</v>
      </c>
      <c r="R7164" t="s">
        <v>7873</v>
      </c>
      <c r="S7164" t="s">
        <v>7874</v>
      </c>
      <c r="T7164" t="s">
        <v>7875</v>
      </c>
    </row>
    <row r="7165" spans="1:20" x14ac:dyDescent="0.25">
      <c r="A7165" t="s">
        <v>59</v>
      </c>
      <c r="B7165" t="s">
        <v>60</v>
      </c>
      <c r="C7165" t="s">
        <v>32</v>
      </c>
      <c r="D7165" t="s">
        <v>953</v>
      </c>
      <c r="E7165" t="s">
        <v>980</v>
      </c>
      <c r="F7165" t="s">
        <v>35</v>
      </c>
      <c r="G7165" t="s">
        <v>35</v>
      </c>
      <c r="H7165" t="s">
        <v>35</v>
      </c>
      <c r="J7165" t="s">
        <v>7073</v>
      </c>
      <c r="K7165" t="s">
        <v>1092</v>
      </c>
      <c r="M7165">
        <v>0.25</v>
      </c>
      <c r="N7165">
        <v>174</v>
      </c>
      <c r="O7165" t="s">
        <v>38</v>
      </c>
      <c r="Q7165" t="s">
        <v>1684</v>
      </c>
      <c r="R7165" t="s">
        <v>7074</v>
      </c>
      <c r="S7165" t="s">
        <v>7075</v>
      </c>
      <c r="T7165" t="s">
        <v>7076</v>
      </c>
    </row>
    <row r="7166" spans="1:20" x14ac:dyDescent="0.25">
      <c r="A7166" t="s">
        <v>59</v>
      </c>
      <c r="B7166" t="s">
        <v>60</v>
      </c>
      <c r="C7166" t="s">
        <v>32</v>
      </c>
      <c r="D7166" t="s">
        <v>953</v>
      </c>
      <c r="E7166" t="s">
        <v>980</v>
      </c>
      <c r="F7166" t="s">
        <v>35</v>
      </c>
      <c r="G7166" t="s">
        <v>35</v>
      </c>
      <c r="H7166" t="s">
        <v>35</v>
      </c>
      <c r="J7166" t="s">
        <v>7100</v>
      </c>
      <c r="K7166" t="s">
        <v>1092</v>
      </c>
      <c r="M7166">
        <v>0.3</v>
      </c>
      <c r="N7166">
        <v>174</v>
      </c>
      <c r="O7166" t="s">
        <v>38</v>
      </c>
      <c r="Q7166" t="s">
        <v>1684</v>
      </c>
      <c r="R7166" t="s">
        <v>7074</v>
      </c>
      <c r="S7166" t="s">
        <v>7075</v>
      </c>
      <c r="T7166" t="s">
        <v>7076</v>
      </c>
    </row>
    <row r="7167" spans="1:20" x14ac:dyDescent="0.25">
      <c r="A7167" t="s">
        <v>59</v>
      </c>
      <c r="B7167" t="s">
        <v>60</v>
      </c>
      <c r="C7167" t="s">
        <v>32</v>
      </c>
      <c r="D7167" t="s">
        <v>953</v>
      </c>
      <c r="E7167" t="s">
        <v>980</v>
      </c>
      <c r="F7167" t="s">
        <v>35</v>
      </c>
      <c r="G7167" t="s">
        <v>35</v>
      </c>
      <c r="H7167" t="s">
        <v>35</v>
      </c>
      <c r="J7167" t="s">
        <v>7101</v>
      </c>
      <c r="K7167" t="s">
        <v>1092</v>
      </c>
      <c r="M7167">
        <v>0.5</v>
      </c>
      <c r="N7167">
        <v>174</v>
      </c>
      <c r="O7167" t="s">
        <v>38</v>
      </c>
      <c r="Q7167" t="s">
        <v>1684</v>
      </c>
      <c r="R7167" t="s">
        <v>7074</v>
      </c>
      <c r="S7167" t="s">
        <v>7075</v>
      </c>
      <c r="T7167" t="s">
        <v>7076</v>
      </c>
    </row>
    <row r="7168" spans="1:20" x14ac:dyDescent="0.25">
      <c r="A7168" t="s">
        <v>59</v>
      </c>
      <c r="B7168" t="s">
        <v>60</v>
      </c>
      <c r="C7168" t="s">
        <v>32</v>
      </c>
      <c r="D7168" t="s">
        <v>953</v>
      </c>
      <c r="E7168" t="s">
        <v>980</v>
      </c>
      <c r="F7168" t="s">
        <v>35</v>
      </c>
      <c r="G7168" t="s">
        <v>35</v>
      </c>
      <c r="H7168" t="s">
        <v>35</v>
      </c>
      <c r="J7168" t="s">
        <v>7106</v>
      </c>
      <c r="K7168" t="s">
        <v>1092</v>
      </c>
      <c r="M7168">
        <v>0.1</v>
      </c>
      <c r="N7168">
        <v>174</v>
      </c>
      <c r="O7168" t="s">
        <v>38</v>
      </c>
      <c r="Q7168" t="s">
        <v>1684</v>
      </c>
      <c r="R7168" t="s">
        <v>7074</v>
      </c>
      <c r="S7168" t="s">
        <v>7075</v>
      </c>
      <c r="T7168" t="s">
        <v>7076</v>
      </c>
    </row>
    <row r="7169" spans="1:20" x14ac:dyDescent="0.25">
      <c r="A7169" t="s">
        <v>59</v>
      </c>
      <c r="B7169" t="s">
        <v>60</v>
      </c>
      <c r="C7169" t="s">
        <v>32</v>
      </c>
      <c r="D7169" t="s">
        <v>953</v>
      </c>
      <c r="E7169" t="s">
        <v>6878</v>
      </c>
      <c r="F7169" t="s">
        <v>35</v>
      </c>
      <c r="G7169" t="s">
        <v>35</v>
      </c>
      <c r="H7169" t="s">
        <v>35</v>
      </c>
      <c r="J7169" t="s">
        <v>1885</v>
      </c>
      <c r="K7169" t="s">
        <v>1092</v>
      </c>
      <c r="M7169">
        <v>0.3</v>
      </c>
      <c r="N7169">
        <v>1227</v>
      </c>
      <c r="O7169" t="s">
        <v>575</v>
      </c>
      <c r="Q7169" t="s">
        <v>2186</v>
      </c>
      <c r="R7169" t="s">
        <v>6922</v>
      </c>
      <c r="S7169" t="s">
        <v>6923</v>
      </c>
      <c r="T7169" t="s">
        <v>6924</v>
      </c>
    </row>
    <row r="7170" spans="1:20" x14ac:dyDescent="0.25">
      <c r="A7170" t="s">
        <v>59</v>
      </c>
      <c r="B7170" t="s">
        <v>31</v>
      </c>
      <c r="C7170" t="s">
        <v>32</v>
      </c>
      <c r="D7170" t="s">
        <v>953</v>
      </c>
      <c r="F7170" t="s">
        <v>35</v>
      </c>
      <c r="G7170" t="s">
        <v>35</v>
      </c>
      <c r="H7170" t="s">
        <v>35</v>
      </c>
      <c r="J7170" t="s">
        <v>1885</v>
      </c>
      <c r="K7170" t="s">
        <v>1092</v>
      </c>
      <c r="M7170">
        <v>0.03</v>
      </c>
      <c r="N7170">
        <v>1821</v>
      </c>
      <c r="O7170" t="s">
        <v>575</v>
      </c>
      <c r="Q7170" t="s">
        <v>6159</v>
      </c>
      <c r="R7170" t="s">
        <v>6922</v>
      </c>
      <c r="S7170" t="s">
        <v>6923</v>
      </c>
      <c r="T7170" t="s">
        <v>6924</v>
      </c>
    </row>
    <row r="7171" spans="1:20" x14ac:dyDescent="0.25">
      <c r="A7171" t="s">
        <v>44</v>
      </c>
      <c r="B7171" t="s">
        <v>3</v>
      </c>
      <c r="C7171" t="s">
        <v>32</v>
      </c>
      <c r="D7171" t="s">
        <v>953</v>
      </c>
      <c r="E7171" t="s">
        <v>6878</v>
      </c>
      <c r="F7171" t="s">
        <v>35</v>
      </c>
      <c r="G7171" t="s">
        <v>35</v>
      </c>
      <c r="H7171" t="s">
        <v>35</v>
      </c>
      <c r="J7171" t="s">
        <v>6928</v>
      </c>
      <c r="K7171" t="s">
        <v>1092</v>
      </c>
      <c r="M7171">
        <v>0.05</v>
      </c>
      <c r="N7171">
        <v>474</v>
      </c>
      <c r="O7171" t="s">
        <v>294</v>
      </c>
      <c r="Q7171" t="s">
        <v>1682</v>
      </c>
      <c r="R7171" t="s">
        <v>6922</v>
      </c>
      <c r="S7171" t="s">
        <v>6923</v>
      </c>
      <c r="T7171" t="s">
        <v>6924</v>
      </c>
    </row>
    <row r="7172" spans="1:20" x14ac:dyDescent="0.25">
      <c r="A7172" t="s">
        <v>44</v>
      </c>
      <c r="B7172" t="s">
        <v>3</v>
      </c>
      <c r="C7172" t="s">
        <v>32</v>
      </c>
      <c r="D7172" t="s">
        <v>953</v>
      </c>
      <c r="E7172" t="s">
        <v>6878</v>
      </c>
      <c r="F7172" t="s">
        <v>35</v>
      </c>
      <c r="G7172" t="s">
        <v>35</v>
      </c>
      <c r="H7172" t="s">
        <v>35</v>
      </c>
      <c r="J7172" t="s">
        <v>6908</v>
      </c>
      <c r="K7172" t="s">
        <v>1092</v>
      </c>
      <c r="M7172">
        <v>0.25</v>
      </c>
      <c r="N7172">
        <v>482</v>
      </c>
      <c r="O7172" t="s">
        <v>294</v>
      </c>
      <c r="Q7172" t="s">
        <v>2729</v>
      </c>
      <c r="R7172" t="s">
        <v>6922</v>
      </c>
      <c r="S7172" t="s">
        <v>6923</v>
      </c>
      <c r="T7172" t="s">
        <v>6924</v>
      </c>
    </row>
    <row r="7173" spans="1:20" x14ac:dyDescent="0.25">
      <c r="A7173" t="s">
        <v>44</v>
      </c>
      <c r="B7173" t="s">
        <v>51</v>
      </c>
      <c r="C7173" t="s">
        <v>32</v>
      </c>
      <c r="D7173" t="s">
        <v>953</v>
      </c>
      <c r="E7173" t="s">
        <v>954</v>
      </c>
      <c r="F7173" t="s">
        <v>35</v>
      </c>
      <c r="G7173" t="s">
        <v>35</v>
      </c>
      <c r="H7173" t="s">
        <v>35</v>
      </c>
      <c r="J7173" t="s">
        <v>6829</v>
      </c>
      <c r="K7173" t="s">
        <v>1092</v>
      </c>
      <c r="M7173">
        <v>0.85</v>
      </c>
      <c r="N7173">
        <v>292</v>
      </c>
      <c r="O7173" t="s">
        <v>5</v>
      </c>
      <c r="Q7173" t="s">
        <v>3281</v>
      </c>
      <c r="R7173" t="s">
        <v>6711</v>
      </c>
      <c r="S7173" t="s">
        <v>6712</v>
      </c>
      <c r="T7173" t="s">
        <v>6713</v>
      </c>
    </row>
    <row r="7174" spans="1:20" x14ac:dyDescent="0.25">
      <c r="A7174" t="s">
        <v>59</v>
      </c>
      <c r="B7174" t="s">
        <v>60</v>
      </c>
      <c r="C7174" t="s">
        <v>32</v>
      </c>
      <c r="D7174" t="s">
        <v>953</v>
      </c>
      <c r="E7174" t="s">
        <v>980</v>
      </c>
      <c r="F7174" t="s">
        <v>35</v>
      </c>
      <c r="G7174" t="s">
        <v>35</v>
      </c>
      <c r="H7174" t="s">
        <v>35</v>
      </c>
      <c r="J7174" t="s">
        <v>7162</v>
      </c>
      <c r="K7174" t="s">
        <v>1092</v>
      </c>
      <c r="M7174">
        <v>0.1</v>
      </c>
      <c r="N7174">
        <v>302</v>
      </c>
      <c r="O7174" t="s">
        <v>5</v>
      </c>
      <c r="Q7174" t="s">
        <v>1360</v>
      </c>
      <c r="R7174" t="s">
        <v>6711</v>
      </c>
      <c r="S7174" t="s">
        <v>6712</v>
      </c>
      <c r="T7174" t="s">
        <v>6713</v>
      </c>
    </row>
    <row r="7175" spans="1:20" x14ac:dyDescent="0.25">
      <c r="A7175" t="s">
        <v>44</v>
      </c>
      <c r="B7175" t="s">
        <v>51</v>
      </c>
      <c r="C7175" t="s">
        <v>32</v>
      </c>
      <c r="D7175" t="s">
        <v>953</v>
      </c>
      <c r="F7175" t="s">
        <v>35</v>
      </c>
      <c r="G7175" t="s">
        <v>35</v>
      </c>
      <c r="H7175" t="s">
        <v>35</v>
      </c>
      <c r="J7175" t="s">
        <v>7901</v>
      </c>
      <c r="K7175" t="s">
        <v>1092</v>
      </c>
      <c r="M7175">
        <v>0.25</v>
      </c>
      <c r="N7175">
        <v>193</v>
      </c>
      <c r="O7175" t="s">
        <v>5</v>
      </c>
      <c r="Q7175" t="s">
        <v>3691</v>
      </c>
      <c r="R7175" t="s">
        <v>6711</v>
      </c>
      <c r="S7175" t="s">
        <v>6712</v>
      </c>
      <c r="T7175" t="s">
        <v>6713</v>
      </c>
    </row>
    <row r="7176" spans="1:20" x14ac:dyDescent="0.25">
      <c r="A7176" t="s">
        <v>44</v>
      </c>
      <c r="B7176" t="s">
        <v>51</v>
      </c>
      <c r="C7176" t="s">
        <v>32</v>
      </c>
      <c r="D7176" t="s">
        <v>953</v>
      </c>
      <c r="E7176" t="s">
        <v>954</v>
      </c>
      <c r="F7176" t="s">
        <v>35</v>
      </c>
      <c r="G7176" t="s">
        <v>35</v>
      </c>
      <c r="H7176" t="s">
        <v>35</v>
      </c>
      <c r="J7176" t="s">
        <v>6800</v>
      </c>
      <c r="K7176" t="s">
        <v>1092</v>
      </c>
      <c r="M7176">
        <v>0.75</v>
      </c>
      <c r="N7176">
        <v>186</v>
      </c>
      <c r="O7176" t="s">
        <v>5</v>
      </c>
      <c r="Q7176" t="s">
        <v>1894</v>
      </c>
      <c r="R7176" t="s">
        <v>6711</v>
      </c>
      <c r="S7176" t="s">
        <v>6712</v>
      </c>
      <c r="T7176" t="s">
        <v>6713</v>
      </c>
    </row>
    <row r="7177" spans="1:20" x14ac:dyDescent="0.25">
      <c r="A7177" t="s">
        <v>44</v>
      </c>
      <c r="B7177" t="s">
        <v>51</v>
      </c>
      <c r="C7177" t="s">
        <v>32</v>
      </c>
      <c r="D7177" t="s">
        <v>953</v>
      </c>
      <c r="E7177" t="s">
        <v>954</v>
      </c>
      <c r="F7177" t="s">
        <v>35</v>
      </c>
      <c r="G7177" t="s">
        <v>35</v>
      </c>
      <c r="H7177" t="s">
        <v>35</v>
      </c>
      <c r="J7177" t="s">
        <v>6800</v>
      </c>
      <c r="K7177" t="s">
        <v>1092</v>
      </c>
      <c r="M7177">
        <v>1</v>
      </c>
      <c r="N7177">
        <v>209</v>
      </c>
      <c r="O7177" t="s">
        <v>5</v>
      </c>
      <c r="Q7177" t="s">
        <v>1492</v>
      </c>
      <c r="R7177" t="s">
        <v>6711</v>
      </c>
      <c r="S7177" t="s">
        <v>6712</v>
      </c>
      <c r="T7177" t="s">
        <v>6713</v>
      </c>
    </row>
    <row r="7178" spans="1:20" x14ac:dyDescent="0.25">
      <c r="A7178" t="s">
        <v>59</v>
      </c>
      <c r="B7178" t="s">
        <v>60</v>
      </c>
      <c r="C7178" t="s">
        <v>32</v>
      </c>
      <c r="D7178" t="s">
        <v>953</v>
      </c>
      <c r="E7178" t="s">
        <v>1077</v>
      </c>
      <c r="F7178" t="s">
        <v>35</v>
      </c>
      <c r="G7178" t="s">
        <v>35</v>
      </c>
      <c r="H7178" t="s">
        <v>35</v>
      </c>
      <c r="J7178" t="s">
        <v>7181</v>
      </c>
      <c r="K7178" t="s">
        <v>1092</v>
      </c>
      <c r="M7178">
        <v>0.3</v>
      </c>
      <c r="N7178">
        <v>765</v>
      </c>
      <c r="O7178" t="s">
        <v>575</v>
      </c>
      <c r="Q7178" t="s">
        <v>7683</v>
      </c>
      <c r="R7178" t="s">
        <v>6711</v>
      </c>
      <c r="S7178" t="s">
        <v>6712</v>
      </c>
      <c r="T7178" t="s">
        <v>6713</v>
      </c>
    </row>
    <row r="7179" spans="1:20" x14ac:dyDescent="0.25">
      <c r="A7179" t="s">
        <v>59</v>
      </c>
      <c r="B7179" t="s">
        <v>60</v>
      </c>
      <c r="C7179" t="s">
        <v>32</v>
      </c>
      <c r="D7179" t="s">
        <v>953</v>
      </c>
      <c r="E7179" t="s">
        <v>954</v>
      </c>
      <c r="F7179" t="s">
        <v>35</v>
      </c>
      <c r="G7179" t="s">
        <v>35</v>
      </c>
      <c r="H7179" t="s">
        <v>35</v>
      </c>
      <c r="J7179" t="s">
        <v>6802</v>
      </c>
      <c r="K7179" t="s">
        <v>1092</v>
      </c>
      <c r="M7179">
        <v>0.69</v>
      </c>
      <c r="N7179">
        <v>467</v>
      </c>
      <c r="O7179" t="s">
        <v>294</v>
      </c>
      <c r="Q7179" t="s">
        <v>1498</v>
      </c>
      <c r="R7179" t="s">
        <v>6711</v>
      </c>
      <c r="S7179" t="s">
        <v>6712</v>
      </c>
      <c r="T7179" t="s">
        <v>6713</v>
      </c>
    </row>
    <row r="7180" spans="1:20" x14ac:dyDescent="0.25">
      <c r="A7180" t="s">
        <v>44</v>
      </c>
      <c r="B7180" t="s">
        <v>3</v>
      </c>
      <c r="C7180" t="s">
        <v>32</v>
      </c>
      <c r="D7180" t="s">
        <v>953</v>
      </c>
      <c r="E7180" t="s">
        <v>980</v>
      </c>
      <c r="F7180" t="s">
        <v>35</v>
      </c>
      <c r="G7180" t="s">
        <v>35</v>
      </c>
      <c r="H7180" t="s">
        <v>35</v>
      </c>
      <c r="J7180" t="s">
        <v>7090</v>
      </c>
      <c r="K7180" t="s">
        <v>1092</v>
      </c>
      <c r="M7180">
        <v>0.25</v>
      </c>
      <c r="N7180">
        <v>52</v>
      </c>
      <c r="O7180" t="s">
        <v>52</v>
      </c>
      <c r="Q7180" t="s">
        <v>84</v>
      </c>
      <c r="R7180" t="s">
        <v>6711</v>
      </c>
      <c r="S7180" t="s">
        <v>6712</v>
      </c>
      <c r="T7180" t="s">
        <v>6713</v>
      </c>
    </row>
    <row r="7181" spans="1:20" x14ac:dyDescent="0.25">
      <c r="A7181" t="s">
        <v>44</v>
      </c>
      <c r="B7181" t="s">
        <v>3</v>
      </c>
      <c r="C7181" t="s">
        <v>32</v>
      </c>
      <c r="D7181" t="s">
        <v>953</v>
      </c>
      <c r="E7181" t="s">
        <v>954</v>
      </c>
      <c r="F7181" t="s">
        <v>35</v>
      </c>
      <c r="G7181" t="s">
        <v>35</v>
      </c>
      <c r="H7181" t="s">
        <v>35</v>
      </c>
      <c r="J7181" t="s">
        <v>6710</v>
      </c>
      <c r="K7181" t="s">
        <v>1092</v>
      </c>
      <c r="M7181">
        <v>0.6</v>
      </c>
      <c r="N7181">
        <v>52</v>
      </c>
      <c r="O7181" t="s">
        <v>52</v>
      </c>
      <c r="Q7181" t="s">
        <v>84</v>
      </c>
      <c r="R7181" t="s">
        <v>6711</v>
      </c>
      <c r="S7181" t="s">
        <v>6712</v>
      </c>
      <c r="T7181" t="s">
        <v>6713</v>
      </c>
    </row>
    <row r="7182" spans="1:20" x14ac:dyDescent="0.25">
      <c r="A7182" t="s">
        <v>44</v>
      </c>
      <c r="B7182" t="s">
        <v>51</v>
      </c>
      <c r="C7182" t="s">
        <v>32</v>
      </c>
      <c r="D7182" t="s">
        <v>953</v>
      </c>
      <c r="E7182" t="s">
        <v>954</v>
      </c>
      <c r="F7182" t="s">
        <v>35</v>
      </c>
      <c r="G7182" t="s">
        <v>35</v>
      </c>
      <c r="H7182" t="s">
        <v>35</v>
      </c>
      <c r="J7182" t="s">
        <v>590</v>
      </c>
      <c r="K7182" t="s">
        <v>1092</v>
      </c>
      <c r="M7182">
        <v>0.2</v>
      </c>
      <c r="N7182">
        <v>168</v>
      </c>
      <c r="O7182" t="s">
        <v>38</v>
      </c>
      <c r="Q7182" t="s">
        <v>1692</v>
      </c>
      <c r="R7182" t="s">
        <v>6711</v>
      </c>
      <c r="S7182" t="s">
        <v>6712</v>
      </c>
      <c r="T7182" t="s">
        <v>6713</v>
      </c>
    </row>
    <row r="7183" spans="1:20" x14ac:dyDescent="0.25">
      <c r="A7183" t="s">
        <v>59</v>
      </c>
      <c r="B7183" t="s">
        <v>60</v>
      </c>
      <c r="C7183" t="s">
        <v>32</v>
      </c>
      <c r="D7183" t="s">
        <v>953</v>
      </c>
      <c r="E7183" t="s">
        <v>954</v>
      </c>
      <c r="F7183" t="s">
        <v>35</v>
      </c>
      <c r="G7183" t="s">
        <v>35</v>
      </c>
      <c r="H7183" t="s">
        <v>35</v>
      </c>
      <c r="J7183" t="s">
        <v>590</v>
      </c>
      <c r="K7183" t="s">
        <v>1092</v>
      </c>
      <c r="M7183">
        <v>0.1</v>
      </c>
      <c r="N7183">
        <v>320</v>
      </c>
      <c r="O7183" t="s">
        <v>5</v>
      </c>
      <c r="Q7183" t="s">
        <v>6843</v>
      </c>
      <c r="R7183" t="s">
        <v>6711</v>
      </c>
      <c r="S7183" t="s">
        <v>6712</v>
      </c>
      <c r="T7183" t="s">
        <v>6713</v>
      </c>
    </row>
    <row r="7184" spans="1:20" x14ac:dyDescent="0.25">
      <c r="A7184" t="s">
        <v>44</v>
      </c>
      <c r="B7184" t="s">
        <v>3</v>
      </c>
      <c r="C7184" t="s">
        <v>32</v>
      </c>
      <c r="D7184" t="s">
        <v>953</v>
      </c>
      <c r="E7184" t="s">
        <v>954</v>
      </c>
      <c r="F7184" t="s">
        <v>35</v>
      </c>
      <c r="G7184" t="s">
        <v>35</v>
      </c>
      <c r="H7184" t="s">
        <v>35</v>
      </c>
      <c r="J7184" t="s">
        <v>6867</v>
      </c>
      <c r="K7184" t="s">
        <v>1092</v>
      </c>
      <c r="M7184">
        <v>1</v>
      </c>
      <c r="N7184">
        <v>52</v>
      </c>
      <c r="O7184" t="s">
        <v>52</v>
      </c>
      <c r="Q7184" t="s">
        <v>84</v>
      </c>
      <c r="R7184" t="s">
        <v>6711</v>
      </c>
      <c r="S7184" t="s">
        <v>6712</v>
      </c>
      <c r="T7184" t="s">
        <v>6713</v>
      </c>
    </row>
    <row r="7185" spans="1:20" x14ac:dyDescent="0.25">
      <c r="A7185" t="s">
        <v>44</v>
      </c>
      <c r="B7185" t="s">
        <v>3</v>
      </c>
      <c r="C7185" t="s">
        <v>32</v>
      </c>
      <c r="D7185" t="s">
        <v>953</v>
      </c>
      <c r="E7185" t="s">
        <v>954</v>
      </c>
      <c r="F7185" t="s">
        <v>35</v>
      </c>
      <c r="G7185" t="s">
        <v>35</v>
      </c>
      <c r="H7185" t="s">
        <v>35</v>
      </c>
      <c r="J7185" t="s">
        <v>6759</v>
      </c>
      <c r="K7185" t="s">
        <v>1092</v>
      </c>
      <c r="M7185">
        <v>1</v>
      </c>
      <c r="N7185">
        <v>52</v>
      </c>
      <c r="O7185" t="s">
        <v>52</v>
      </c>
      <c r="Q7185" t="s">
        <v>84</v>
      </c>
      <c r="R7185" t="s">
        <v>6711</v>
      </c>
      <c r="S7185" t="s">
        <v>6712</v>
      </c>
      <c r="T7185" t="s">
        <v>6713</v>
      </c>
    </row>
    <row r="7186" spans="1:20" x14ac:dyDescent="0.25">
      <c r="A7186" t="s">
        <v>44</v>
      </c>
      <c r="B7186" t="s">
        <v>3</v>
      </c>
      <c r="C7186" t="s">
        <v>32</v>
      </c>
      <c r="D7186" t="s">
        <v>953</v>
      </c>
      <c r="E7186" t="s">
        <v>954</v>
      </c>
      <c r="F7186" t="s">
        <v>35</v>
      </c>
      <c r="G7186" t="s">
        <v>35</v>
      </c>
      <c r="H7186" t="s">
        <v>35</v>
      </c>
      <c r="J7186" t="s">
        <v>6784</v>
      </c>
      <c r="K7186" t="s">
        <v>1092</v>
      </c>
      <c r="M7186">
        <v>4.6500000000000004</v>
      </c>
      <c r="N7186">
        <v>52</v>
      </c>
      <c r="O7186" t="s">
        <v>52</v>
      </c>
      <c r="Q7186" t="s">
        <v>84</v>
      </c>
      <c r="R7186" t="s">
        <v>6711</v>
      </c>
      <c r="S7186" t="s">
        <v>6712</v>
      </c>
      <c r="T7186" t="s">
        <v>6713</v>
      </c>
    </row>
    <row r="7187" spans="1:20" x14ac:dyDescent="0.25">
      <c r="A7187" t="s">
        <v>44</v>
      </c>
      <c r="B7187" t="s">
        <v>3</v>
      </c>
      <c r="C7187" t="s">
        <v>32</v>
      </c>
      <c r="D7187" t="s">
        <v>953</v>
      </c>
      <c r="E7187" t="s">
        <v>980</v>
      </c>
      <c r="F7187" t="s">
        <v>35</v>
      </c>
      <c r="G7187" t="s">
        <v>35</v>
      </c>
      <c r="H7187" t="s">
        <v>35</v>
      </c>
      <c r="J7187" t="s">
        <v>7161</v>
      </c>
      <c r="K7187" t="s">
        <v>1092</v>
      </c>
      <c r="M7187">
        <v>0.2</v>
      </c>
      <c r="N7187">
        <v>416</v>
      </c>
      <c r="O7187" t="s">
        <v>294</v>
      </c>
      <c r="Q7187" t="s">
        <v>1607</v>
      </c>
      <c r="R7187" t="s">
        <v>6711</v>
      </c>
      <c r="S7187" t="s">
        <v>6712</v>
      </c>
      <c r="T7187" t="s">
        <v>6713</v>
      </c>
    </row>
    <row r="7188" spans="1:20" x14ac:dyDescent="0.25">
      <c r="A7188" t="s">
        <v>59</v>
      </c>
      <c r="B7188" t="s">
        <v>60</v>
      </c>
      <c r="C7188" t="s">
        <v>32</v>
      </c>
      <c r="D7188" t="s">
        <v>953</v>
      </c>
      <c r="E7188" t="s">
        <v>954</v>
      </c>
      <c r="F7188" t="s">
        <v>35</v>
      </c>
      <c r="G7188" t="s">
        <v>35</v>
      </c>
      <c r="H7188" t="s">
        <v>35</v>
      </c>
      <c r="J7188" t="s">
        <v>6844</v>
      </c>
      <c r="K7188" t="s">
        <v>1092</v>
      </c>
      <c r="M7188">
        <v>0.04</v>
      </c>
      <c r="N7188">
        <v>545</v>
      </c>
      <c r="O7188" t="s">
        <v>294</v>
      </c>
      <c r="Q7188" t="s">
        <v>2152</v>
      </c>
      <c r="R7188" t="s">
        <v>6711</v>
      </c>
      <c r="S7188" t="s">
        <v>6712</v>
      </c>
      <c r="T7188" t="s">
        <v>6713</v>
      </c>
    </row>
    <row r="7189" spans="1:20" x14ac:dyDescent="0.25">
      <c r="A7189" t="s">
        <v>44</v>
      </c>
      <c r="B7189" t="s">
        <v>3</v>
      </c>
      <c r="C7189" t="s">
        <v>32</v>
      </c>
      <c r="D7189" t="s">
        <v>953</v>
      </c>
      <c r="E7189" t="s">
        <v>954</v>
      </c>
      <c r="F7189" t="s">
        <v>35</v>
      </c>
      <c r="G7189" t="s">
        <v>35</v>
      </c>
      <c r="H7189" t="s">
        <v>35</v>
      </c>
      <c r="J7189" t="s">
        <v>6820</v>
      </c>
      <c r="K7189" t="s">
        <v>1092</v>
      </c>
      <c r="M7189">
        <v>0.25</v>
      </c>
      <c r="N7189">
        <v>52</v>
      </c>
      <c r="O7189" t="s">
        <v>52</v>
      </c>
      <c r="Q7189" t="s">
        <v>84</v>
      </c>
      <c r="R7189" t="s">
        <v>6711</v>
      </c>
      <c r="S7189" t="s">
        <v>6712</v>
      </c>
      <c r="T7189" t="s">
        <v>6713</v>
      </c>
    </row>
    <row r="7190" spans="1:20" x14ac:dyDescent="0.25">
      <c r="A7190" t="s">
        <v>44</v>
      </c>
      <c r="B7190" t="s">
        <v>51</v>
      </c>
      <c r="C7190" t="s">
        <v>32</v>
      </c>
      <c r="D7190" t="s">
        <v>953</v>
      </c>
      <c r="E7190" t="s">
        <v>954</v>
      </c>
      <c r="F7190" t="s">
        <v>35</v>
      </c>
      <c r="G7190" t="s">
        <v>35</v>
      </c>
      <c r="H7190" t="s">
        <v>35</v>
      </c>
      <c r="J7190" t="s">
        <v>6755</v>
      </c>
      <c r="K7190" t="s">
        <v>1092</v>
      </c>
      <c r="M7190">
        <v>0.25</v>
      </c>
      <c r="N7190">
        <v>292</v>
      </c>
      <c r="O7190" t="s">
        <v>5</v>
      </c>
      <c r="Q7190" t="s">
        <v>3281</v>
      </c>
      <c r="R7190" t="s">
        <v>6711</v>
      </c>
      <c r="S7190" t="s">
        <v>6712</v>
      </c>
      <c r="T7190" t="s">
        <v>6713</v>
      </c>
    </row>
    <row r="7191" spans="1:20" x14ac:dyDescent="0.25">
      <c r="A7191" t="s">
        <v>59</v>
      </c>
      <c r="B7191" t="s">
        <v>60</v>
      </c>
      <c r="C7191" t="s">
        <v>32</v>
      </c>
      <c r="D7191" t="s">
        <v>953</v>
      </c>
      <c r="E7191" t="s">
        <v>954</v>
      </c>
      <c r="F7191" t="s">
        <v>35</v>
      </c>
      <c r="G7191" t="s">
        <v>35</v>
      </c>
      <c r="H7191" t="s">
        <v>35</v>
      </c>
      <c r="J7191" t="s">
        <v>6755</v>
      </c>
      <c r="K7191" t="s">
        <v>1092</v>
      </c>
      <c r="M7191">
        <v>8.0000000000000002E-3</v>
      </c>
      <c r="N7191">
        <v>292</v>
      </c>
      <c r="O7191" t="s">
        <v>5</v>
      </c>
      <c r="Q7191" t="s">
        <v>3281</v>
      </c>
      <c r="R7191" t="s">
        <v>6711</v>
      </c>
      <c r="S7191" t="s">
        <v>6712</v>
      </c>
      <c r="T7191" t="s">
        <v>6713</v>
      </c>
    </row>
    <row r="7192" spans="1:20" x14ac:dyDescent="0.25">
      <c r="A7192" t="s">
        <v>59</v>
      </c>
      <c r="B7192" t="s">
        <v>60</v>
      </c>
      <c r="C7192" t="s">
        <v>32</v>
      </c>
      <c r="D7192" t="s">
        <v>953</v>
      </c>
      <c r="E7192" t="s">
        <v>954</v>
      </c>
      <c r="F7192" t="s">
        <v>35</v>
      </c>
      <c r="G7192" t="s">
        <v>35</v>
      </c>
      <c r="H7192" t="s">
        <v>35</v>
      </c>
      <c r="J7192" t="s">
        <v>6824</v>
      </c>
      <c r="K7192" t="s">
        <v>1092</v>
      </c>
      <c r="M7192">
        <v>1</v>
      </c>
      <c r="N7192">
        <v>448</v>
      </c>
      <c r="O7192" t="s">
        <v>294</v>
      </c>
      <c r="Q7192" t="s">
        <v>1760</v>
      </c>
      <c r="R7192" t="s">
        <v>6711</v>
      </c>
      <c r="S7192" t="s">
        <v>6712</v>
      </c>
      <c r="T7192" t="s">
        <v>6713</v>
      </c>
    </row>
    <row r="7193" spans="1:20" x14ac:dyDescent="0.25">
      <c r="A7193" t="s">
        <v>44</v>
      </c>
      <c r="B7193" t="s">
        <v>3</v>
      </c>
      <c r="C7193" t="s">
        <v>32</v>
      </c>
      <c r="D7193" t="s">
        <v>953</v>
      </c>
      <c r="E7193" t="s">
        <v>954</v>
      </c>
      <c r="F7193" t="s">
        <v>35</v>
      </c>
      <c r="G7193" t="s">
        <v>35</v>
      </c>
      <c r="H7193" t="s">
        <v>35</v>
      </c>
      <c r="J7193" t="s">
        <v>6824</v>
      </c>
      <c r="K7193" t="s">
        <v>1092</v>
      </c>
      <c r="M7193">
        <v>0.75</v>
      </c>
      <c r="N7193">
        <v>417</v>
      </c>
      <c r="O7193" t="s">
        <v>294</v>
      </c>
      <c r="Q7193" t="s">
        <v>1749</v>
      </c>
      <c r="R7193" t="s">
        <v>6711</v>
      </c>
      <c r="S7193" t="s">
        <v>6712</v>
      </c>
      <c r="T7193" t="s">
        <v>6713</v>
      </c>
    </row>
    <row r="7194" spans="1:20" x14ac:dyDescent="0.25">
      <c r="A7194" t="s">
        <v>44</v>
      </c>
      <c r="B7194" t="s">
        <v>51</v>
      </c>
      <c r="C7194" t="s">
        <v>32</v>
      </c>
      <c r="D7194" t="s">
        <v>953</v>
      </c>
      <c r="E7194" t="s">
        <v>954</v>
      </c>
      <c r="F7194" t="s">
        <v>35</v>
      </c>
      <c r="G7194" t="s">
        <v>35</v>
      </c>
      <c r="H7194" t="s">
        <v>35</v>
      </c>
      <c r="J7194" t="s">
        <v>6769</v>
      </c>
      <c r="K7194" t="s">
        <v>1092</v>
      </c>
      <c r="M7194">
        <v>0.5</v>
      </c>
      <c r="N7194">
        <v>152</v>
      </c>
      <c r="O7194" t="s">
        <v>38</v>
      </c>
      <c r="Q7194" t="s">
        <v>40</v>
      </c>
      <c r="R7194" t="s">
        <v>6711</v>
      </c>
      <c r="S7194" t="s">
        <v>6712</v>
      </c>
      <c r="T7194" t="s">
        <v>6713</v>
      </c>
    </row>
    <row r="7195" spans="1:20" x14ac:dyDescent="0.25">
      <c r="A7195" t="s">
        <v>30</v>
      </c>
      <c r="B7195" t="s">
        <v>31</v>
      </c>
      <c r="C7195" t="s">
        <v>32</v>
      </c>
      <c r="D7195" t="s">
        <v>953</v>
      </c>
      <c r="E7195" t="s">
        <v>980</v>
      </c>
      <c r="F7195" t="s">
        <v>35</v>
      </c>
      <c r="G7195" t="s">
        <v>35</v>
      </c>
      <c r="H7195" t="s">
        <v>35</v>
      </c>
      <c r="J7195" t="s">
        <v>7156</v>
      </c>
      <c r="K7195" t="s">
        <v>1092</v>
      </c>
      <c r="M7195">
        <v>4.4999999999999998E-2</v>
      </c>
      <c r="N7195">
        <v>2008</v>
      </c>
      <c r="O7195" t="s">
        <v>575</v>
      </c>
      <c r="Q7195" t="s">
        <v>6069</v>
      </c>
      <c r="R7195" t="s">
        <v>6711</v>
      </c>
      <c r="S7195" t="s">
        <v>6712</v>
      </c>
      <c r="T7195" t="s">
        <v>6713</v>
      </c>
    </row>
    <row r="7196" spans="1:20" x14ac:dyDescent="0.25">
      <c r="A7196" t="s">
        <v>59</v>
      </c>
      <c r="B7196" t="s">
        <v>60</v>
      </c>
      <c r="C7196" t="s">
        <v>32</v>
      </c>
      <c r="D7196" t="s">
        <v>953</v>
      </c>
      <c r="F7196" t="s">
        <v>35</v>
      </c>
      <c r="G7196" t="s">
        <v>35</v>
      </c>
      <c r="H7196" t="s">
        <v>35</v>
      </c>
      <c r="J7196" t="s">
        <v>7981</v>
      </c>
      <c r="K7196" t="s">
        <v>1092</v>
      </c>
      <c r="M7196">
        <v>0.92</v>
      </c>
      <c r="N7196">
        <v>2479</v>
      </c>
      <c r="O7196" t="s">
        <v>575</v>
      </c>
      <c r="Q7196" t="s">
        <v>7959</v>
      </c>
      <c r="R7196" t="s">
        <v>6711</v>
      </c>
      <c r="S7196" t="s">
        <v>6712</v>
      </c>
      <c r="T7196" t="s">
        <v>6713</v>
      </c>
    </row>
    <row r="7197" spans="1:20" x14ac:dyDescent="0.25">
      <c r="A7197" t="s">
        <v>59</v>
      </c>
      <c r="B7197" t="s">
        <v>60</v>
      </c>
      <c r="C7197" t="s">
        <v>32</v>
      </c>
      <c r="D7197" t="s">
        <v>953</v>
      </c>
      <c r="F7197" t="s">
        <v>35</v>
      </c>
      <c r="G7197" t="s">
        <v>35</v>
      </c>
      <c r="H7197" t="s">
        <v>35</v>
      </c>
      <c r="J7197" t="s">
        <v>7981</v>
      </c>
      <c r="K7197" t="s">
        <v>1092</v>
      </c>
      <c r="M7197">
        <v>1.5</v>
      </c>
      <c r="N7197">
        <v>2417</v>
      </c>
      <c r="O7197" t="s">
        <v>575</v>
      </c>
      <c r="Q7197" t="s">
        <v>7983</v>
      </c>
      <c r="R7197" t="s">
        <v>6711</v>
      </c>
      <c r="S7197" t="s">
        <v>6712</v>
      </c>
      <c r="T7197" t="s">
        <v>6713</v>
      </c>
    </row>
    <row r="7198" spans="1:20" x14ac:dyDescent="0.25">
      <c r="A7198" t="s">
        <v>59</v>
      </c>
      <c r="B7198" t="s">
        <v>60</v>
      </c>
      <c r="C7198" t="s">
        <v>32</v>
      </c>
      <c r="D7198" t="s">
        <v>953</v>
      </c>
      <c r="F7198" t="s">
        <v>35</v>
      </c>
      <c r="G7198" t="s">
        <v>35</v>
      </c>
      <c r="H7198" t="s">
        <v>35</v>
      </c>
      <c r="J7198" t="s">
        <v>8080</v>
      </c>
      <c r="K7198" t="s">
        <v>404</v>
      </c>
      <c r="M7198">
        <v>0.18</v>
      </c>
      <c r="N7198">
        <v>2193</v>
      </c>
      <c r="O7198" t="s">
        <v>575</v>
      </c>
      <c r="Q7198" t="s">
        <v>2340</v>
      </c>
      <c r="R7198" t="s">
        <v>6807</v>
      </c>
      <c r="S7198" t="s">
        <v>1066</v>
      </c>
      <c r="T7198" t="s">
        <v>1067</v>
      </c>
    </row>
    <row r="7199" spans="1:20" x14ac:dyDescent="0.25">
      <c r="A7199" t="s">
        <v>30</v>
      </c>
      <c r="B7199" t="s">
        <v>31</v>
      </c>
      <c r="C7199" t="s">
        <v>32</v>
      </c>
      <c r="D7199" t="s">
        <v>953</v>
      </c>
      <c r="F7199" t="s">
        <v>35</v>
      </c>
      <c r="G7199" t="s">
        <v>35</v>
      </c>
      <c r="H7199" t="s">
        <v>35</v>
      </c>
      <c r="J7199" t="s">
        <v>7990</v>
      </c>
      <c r="K7199" t="s">
        <v>1092</v>
      </c>
      <c r="M7199">
        <v>0.18</v>
      </c>
      <c r="N7199">
        <v>1883</v>
      </c>
      <c r="O7199" t="s">
        <v>575</v>
      </c>
      <c r="Q7199" t="s">
        <v>7991</v>
      </c>
      <c r="R7199" t="s">
        <v>6807</v>
      </c>
      <c r="S7199" t="s">
        <v>1066</v>
      </c>
      <c r="T7199" t="s">
        <v>1067</v>
      </c>
    </row>
    <row r="7200" spans="1:20" x14ac:dyDescent="0.25">
      <c r="A7200" t="s">
        <v>59</v>
      </c>
      <c r="B7200" t="s">
        <v>60</v>
      </c>
      <c r="C7200" t="s">
        <v>32</v>
      </c>
      <c r="D7200" t="s">
        <v>953</v>
      </c>
      <c r="F7200" t="s">
        <v>35</v>
      </c>
      <c r="G7200" t="s">
        <v>35</v>
      </c>
      <c r="H7200" t="s">
        <v>35</v>
      </c>
      <c r="J7200" t="s">
        <v>7990</v>
      </c>
      <c r="K7200" t="s">
        <v>1092</v>
      </c>
      <c r="M7200">
        <v>0.6</v>
      </c>
      <c r="N7200">
        <v>1952</v>
      </c>
      <c r="O7200" t="s">
        <v>575</v>
      </c>
      <c r="Q7200" t="s">
        <v>7992</v>
      </c>
      <c r="R7200" t="s">
        <v>6807</v>
      </c>
      <c r="S7200" t="s">
        <v>1066</v>
      </c>
      <c r="T7200" t="s">
        <v>1067</v>
      </c>
    </row>
    <row r="7201" spans="1:20" x14ac:dyDescent="0.25">
      <c r="A7201" t="s">
        <v>59</v>
      </c>
      <c r="B7201" t="s">
        <v>60</v>
      </c>
      <c r="C7201" t="s">
        <v>32</v>
      </c>
      <c r="D7201" t="s">
        <v>953</v>
      </c>
      <c r="E7201" t="s">
        <v>6878</v>
      </c>
      <c r="F7201" t="s">
        <v>35</v>
      </c>
      <c r="G7201" t="s">
        <v>35</v>
      </c>
      <c r="H7201" t="s">
        <v>35</v>
      </c>
      <c r="J7201" t="s">
        <v>6942</v>
      </c>
      <c r="K7201" t="s">
        <v>1092</v>
      </c>
      <c r="M7201">
        <v>0.25</v>
      </c>
      <c r="N7201">
        <v>165</v>
      </c>
      <c r="O7201" t="s">
        <v>38</v>
      </c>
      <c r="Q7201" t="s">
        <v>1124</v>
      </c>
      <c r="R7201" t="s">
        <v>6807</v>
      </c>
      <c r="S7201" t="s">
        <v>1066</v>
      </c>
      <c r="T7201" t="s">
        <v>1067</v>
      </c>
    </row>
    <row r="7202" spans="1:20" x14ac:dyDescent="0.25">
      <c r="A7202" t="s">
        <v>59</v>
      </c>
      <c r="B7202" t="s">
        <v>60</v>
      </c>
      <c r="C7202" t="s">
        <v>32</v>
      </c>
      <c r="D7202" t="s">
        <v>953</v>
      </c>
      <c r="E7202" t="s">
        <v>7184</v>
      </c>
      <c r="F7202" t="s">
        <v>35</v>
      </c>
      <c r="G7202" t="s">
        <v>35</v>
      </c>
      <c r="H7202" t="s">
        <v>35</v>
      </c>
      <c r="J7202" t="s">
        <v>7198</v>
      </c>
      <c r="K7202" t="s">
        <v>1092</v>
      </c>
      <c r="M7202">
        <v>1.5</v>
      </c>
      <c r="N7202">
        <v>873</v>
      </c>
      <c r="O7202" t="s">
        <v>575</v>
      </c>
      <c r="Q7202" t="s">
        <v>1531</v>
      </c>
      <c r="R7202" t="s">
        <v>6807</v>
      </c>
      <c r="S7202" t="s">
        <v>1066</v>
      </c>
      <c r="T7202" t="s">
        <v>1067</v>
      </c>
    </row>
    <row r="7203" spans="1:20" x14ac:dyDescent="0.25">
      <c r="A7203" t="s">
        <v>59</v>
      </c>
      <c r="B7203" t="s">
        <v>60</v>
      </c>
      <c r="C7203" t="s">
        <v>32</v>
      </c>
      <c r="D7203" t="s">
        <v>953</v>
      </c>
      <c r="E7203" t="s">
        <v>1015</v>
      </c>
      <c r="F7203" t="s">
        <v>35</v>
      </c>
      <c r="G7203" t="s">
        <v>35</v>
      </c>
      <c r="H7203" t="s">
        <v>35</v>
      </c>
      <c r="J7203" t="s">
        <v>7443</v>
      </c>
      <c r="K7203" t="s">
        <v>1092</v>
      </c>
      <c r="M7203">
        <v>1.7</v>
      </c>
      <c r="N7203">
        <v>173</v>
      </c>
      <c r="O7203" t="s">
        <v>38</v>
      </c>
      <c r="Q7203" t="s">
        <v>2138</v>
      </c>
      <c r="R7203" t="s">
        <v>6807</v>
      </c>
      <c r="S7203" t="s">
        <v>1066</v>
      </c>
      <c r="T7203" t="s">
        <v>1067</v>
      </c>
    </row>
    <row r="7204" spans="1:20" x14ac:dyDescent="0.25">
      <c r="A7204" t="s">
        <v>30</v>
      </c>
      <c r="B7204" t="s">
        <v>31</v>
      </c>
      <c r="C7204" t="s">
        <v>32</v>
      </c>
      <c r="D7204" t="s">
        <v>953</v>
      </c>
      <c r="E7204" t="s">
        <v>1015</v>
      </c>
      <c r="F7204" t="s">
        <v>35</v>
      </c>
      <c r="G7204" t="s">
        <v>35</v>
      </c>
      <c r="H7204" t="s">
        <v>35</v>
      </c>
      <c r="J7204" t="s">
        <v>7373</v>
      </c>
      <c r="K7204" t="s">
        <v>1092</v>
      </c>
      <c r="M7204">
        <v>1.4999999999999999E-2</v>
      </c>
      <c r="N7204">
        <v>1818</v>
      </c>
      <c r="O7204" t="s">
        <v>575</v>
      </c>
      <c r="Q7204" t="s">
        <v>7374</v>
      </c>
      <c r="R7204" t="s">
        <v>6807</v>
      </c>
      <c r="S7204" t="s">
        <v>1066</v>
      </c>
      <c r="T7204" t="s">
        <v>1067</v>
      </c>
    </row>
    <row r="7205" spans="1:20" x14ac:dyDescent="0.25">
      <c r="A7205" t="s">
        <v>44</v>
      </c>
      <c r="B7205" t="s">
        <v>3</v>
      </c>
      <c r="C7205" t="s">
        <v>32</v>
      </c>
      <c r="D7205" t="s">
        <v>953</v>
      </c>
      <c r="E7205" t="s">
        <v>6878</v>
      </c>
      <c r="F7205" t="s">
        <v>35</v>
      </c>
      <c r="G7205" t="s">
        <v>35</v>
      </c>
      <c r="H7205" t="s">
        <v>35</v>
      </c>
      <c r="J7205" t="s">
        <v>6972</v>
      </c>
      <c r="K7205" t="s">
        <v>1092</v>
      </c>
      <c r="M7205">
        <v>0.45</v>
      </c>
      <c r="N7205">
        <v>35</v>
      </c>
      <c r="O7205" t="s">
        <v>52</v>
      </c>
      <c r="Q7205" t="s">
        <v>991</v>
      </c>
      <c r="R7205" t="s">
        <v>6807</v>
      </c>
      <c r="S7205" t="s">
        <v>1066</v>
      </c>
      <c r="T7205" t="s">
        <v>1067</v>
      </c>
    </row>
    <row r="7206" spans="1:20" x14ac:dyDescent="0.25">
      <c r="A7206" t="s">
        <v>59</v>
      </c>
      <c r="B7206" t="s">
        <v>60</v>
      </c>
      <c r="C7206" t="s">
        <v>32</v>
      </c>
      <c r="D7206" t="s">
        <v>953</v>
      </c>
      <c r="E7206" t="s">
        <v>7558</v>
      </c>
      <c r="F7206" t="s">
        <v>35</v>
      </c>
      <c r="G7206" t="s">
        <v>35</v>
      </c>
      <c r="H7206" t="s">
        <v>35</v>
      </c>
      <c r="J7206" t="s">
        <v>7585</v>
      </c>
      <c r="K7206" t="s">
        <v>1092</v>
      </c>
      <c r="M7206">
        <v>0.5</v>
      </c>
      <c r="N7206">
        <v>165</v>
      </c>
      <c r="O7206" t="s">
        <v>38</v>
      </c>
      <c r="Q7206" t="s">
        <v>1124</v>
      </c>
      <c r="R7206" t="s">
        <v>6807</v>
      </c>
      <c r="S7206" t="s">
        <v>1066</v>
      </c>
      <c r="T7206" t="s">
        <v>1067</v>
      </c>
    </row>
    <row r="7207" spans="1:20" x14ac:dyDescent="0.25">
      <c r="A7207" t="s">
        <v>30</v>
      </c>
      <c r="B7207" t="s">
        <v>31</v>
      </c>
      <c r="C7207" t="s">
        <v>32</v>
      </c>
      <c r="D7207" t="s">
        <v>953</v>
      </c>
      <c r="E7207" t="s">
        <v>7558</v>
      </c>
      <c r="F7207" t="s">
        <v>35</v>
      </c>
      <c r="G7207" t="s">
        <v>35</v>
      </c>
      <c r="H7207" t="s">
        <v>35</v>
      </c>
      <c r="J7207" t="s">
        <v>7605</v>
      </c>
      <c r="K7207" t="s">
        <v>1092</v>
      </c>
      <c r="M7207">
        <v>0.09</v>
      </c>
      <c r="N7207">
        <v>1818</v>
      </c>
      <c r="O7207" t="s">
        <v>575</v>
      </c>
      <c r="Q7207" t="s">
        <v>7374</v>
      </c>
      <c r="R7207" t="s">
        <v>6807</v>
      </c>
      <c r="S7207" t="s">
        <v>1066</v>
      </c>
      <c r="T7207" t="s">
        <v>1067</v>
      </c>
    </row>
    <row r="7208" spans="1:20" x14ac:dyDescent="0.25">
      <c r="A7208" t="s">
        <v>44</v>
      </c>
      <c r="B7208" t="s">
        <v>3</v>
      </c>
      <c r="C7208" t="s">
        <v>32</v>
      </c>
      <c r="D7208" t="s">
        <v>953</v>
      </c>
      <c r="E7208" t="s">
        <v>7558</v>
      </c>
      <c r="F7208" t="s">
        <v>35</v>
      </c>
      <c r="G7208" t="s">
        <v>35</v>
      </c>
      <c r="H7208" t="s">
        <v>35</v>
      </c>
      <c r="J7208" t="s">
        <v>7564</v>
      </c>
      <c r="K7208" t="s">
        <v>1092</v>
      </c>
      <c r="M7208">
        <v>3</v>
      </c>
      <c r="N7208">
        <v>35</v>
      </c>
      <c r="O7208" t="s">
        <v>52</v>
      </c>
      <c r="Q7208" t="s">
        <v>991</v>
      </c>
      <c r="R7208" t="s">
        <v>6807</v>
      </c>
      <c r="S7208" t="s">
        <v>1066</v>
      </c>
      <c r="T7208" t="s">
        <v>1067</v>
      </c>
    </row>
    <row r="7209" spans="1:20" x14ac:dyDescent="0.25">
      <c r="A7209" t="s">
        <v>59</v>
      </c>
      <c r="B7209" t="s">
        <v>60</v>
      </c>
      <c r="C7209" t="s">
        <v>32</v>
      </c>
      <c r="D7209" t="s">
        <v>953</v>
      </c>
      <c r="E7209" t="s">
        <v>6878</v>
      </c>
      <c r="F7209" t="s">
        <v>35</v>
      </c>
      <c r="G7209" t="s">
        <v>35</v>
      </c>
      <c r="H7209" t="s">
        <v>35</v>
      </c>
      <c r="J7209" t="s">
        <v>1885</v>
      </c>
      <c r="K7209" t="s">
        <v>1092</v>
      </c>
      <c r="M7209">
        <v>9.6</v>
      </c>
      <c r="N7209">
        <v>65</v>
      </c>
      <c r="O7209" t="s">
        <v>61</v>
      </c>
      <c r="Q7209" t="s">
        <v>63</v>
      </c>
      <c r="R7209" t="s">
        <v>6807</v>
      </c>
      <c r="S7209" t="s">
        <v>1066</v>
      </c>
      <c r="T7209" t="s">
        <v>1067</v>
      </c>
    </row>
    <row r="7210" spans="1:20" x14ac:dyDescent="0.25">
      <c r="A7210" t="s">
        <v>59</v>
      </c>
      <c r="B7210" t="s">
        <v>60</v>
      </c>
      <c r="C7210" t="s">
        <v>32</v>
      </c>
      <c r="D7210" t="s">
        <v>953</v>
      </c>
      <c r="E7210" t="s">
        <v>6878</v>
      </c>
      <c r="F7210" t="s">
        <v>35</v>
      </c>
      <c r="G7210" t="s">
        <v>35</v>
      </c>
      <c r="H7210" t="s">
        <v>35</v>
      </c>
      <c r="J7210" t="s">
        <v>6940</v>
      </c>
      <c r="K7210" t="s">
        <v>1092</v>
      </c>
      <c r="M7210">
        <v>5.6</v>
      </c>
      <c r="N7210">
        <v>84</v>
      </c>
      <c r="O7210" t="s">
        <v>61</v>
      </c>
      <c r="Q7210" t="s">
        <v>1147</v>
      </c>
      <c r="R7210" t="s">
        <v>6807</v>
      </c>
      <c r="S7210" t="s">
        <v>1066</v>
      </c>
      <c r="T7210" t="s">
        <v>1067</v>
      </c>
    </row>
    <row r="7211" spans="1:20" x14ac:dyDescent="0.25">
      <c r="A7211" t="s">
        <v>59</v>
      </c>
      <c r="B7211" t="s">
        <v>60</v>
      </c>
      <c r="C7211" t="s">
        <v>32</v>
      </c>
      <c r="D7211" t="s">
        <v>953</v>
      </c>
      <c r="E7211" t="s">
        <v>6878</v>
      </c>
      <c r="F7211" t="s">
        <v>35</v>
      </c>
      <c r="G7211" t="s">
        <v>35</v>
      </c>
      <c r="H7211" t="s">
        <v>35</v>
      </c>
      <c r="J7211" t="s">
        <v>6919</v>
      </c>
      <c r="K7211" t="s">
        <v>1092</v>
      </c>
      <c r="M7211">
        <v>8</v>
      </c>
      <c r="N7211">
        <v>192</v>
      </c>
      <c r="O7211" t="s">
        <v>5</v>
      </c>
      <c r="Q7211" t="s">
        <v>1720</v>
      </c>
      <c r="R7211" t="s">
        <v>6807</v>
      </c>
      <c r="S7211" t="s">
        <v>1066</v>
      </c>
      <c r="T7211" t="s">
        <v>1067</v>
      </c>
    </row>
    <row r="7212" spans="1:20" x14ac:dyDescent="0.25">
      <c r="A7212" t="s">
        <v>59</v>
      </c>
      <c r="B7212" t="s">
        <v>31</v>
      </c>
      <c r="C7212" t="s">
        <v>32</v>
      </c>
      <c r="D7212" t="s">
        <v>953</v>
      </c>
      <c r="E7212" t="s">
        <v>1007</v>
      </c>
      <c r="F7212" t="s">
        <v>35</v>
      </c>
      <c r="G7212" t="s">
        <v>35</v>
      </c>
      <c r="H7212" t="s">
        <v>35</v>
      </c>
      <c r="J7212" t="s">
        <v>7340</v>
      </c>
      <c r="K7212" t="s">
        <v>1092</v>
      </c>
      <c r="M7212">
        <v>0.73</v>
      </c>
      <c r="N7212">
        <v>217</v>
      </c>
      <c r="O7212" t="s">
        <v>5</v>
      </c>
      <c r="Q7212" t="s">
        <v>1150</v>
      </c>
      <c r="R7212" t="s">
        <v>6807</v>
      </c>
      <c r="S7212" t="s">
        <v>1066</v>
      </c>
      <c r="T7212" t="s">
        <v>1067</v>
      </c>
    </row>
    <row r="7213" spans="1:20" x14ac:dyDescent="0.25">
      <c r="A7213" t="s">
        <v>44</v>
      </c>
      <c r="B7213" t="s">
        <v>3</v>
      </c>
      <c r="C7213" t="s">
        <v>32</v>
      </c>
      <c r="D7213" t="s">
        <v>953</v>
      </c>
      <c r="F7213" t="s">
        <v>35</v>
      </c>
      <c r="G7213" t="s">
        <v>35</v>
      </c>
      <c r="H7213" t="s">
        <v>35</v>
      </c>
      <c r="J7213" t="s">
        <v>7935</v>
      </c>
      <c r="K7213" t="s">
        <v>1092</v>
      </c>
      <c r="M7213">
        <v>5</v>
      </c>
      <c r="N7213">
        <v>47</v>
      </c>
      <c r="O7213" t="s">
        <v>52</v>
      </c>
      <c r="Q7213" t="s">
        <v>1207</v>
      </c>
      <c r="R7213" t="s">
        <v>6807</v>
      </c>
      <c r="S7213" t="s">
        <v>1066</v>
      </c>
      <c r="T7213" t="s">
        <v>1067</v>
      </c>
    </row>
    <row r="7214" spans="1:20" x14ac:dyDescent="0.25">
      <c r="A7214" t="s">
        <v>59</v>
      </c>
      <c r="B7214" t="s">
        <v>60</v>
      </c>
      <c r="C7214" t="s">
        <v>32</v>
      </c>
      <c r="D7214" t="s">
        <v>953</v>
      </c>
      <c r="E7214" t="s">
        <v>7558</v>
      </c>
      <c r="F7214" t="s">
        <v>35</v>
      </c>
      <c r="G7214" t="s">
        <v>35</v>
      </c>
      <c r="H7214" t="s">
        <v>35</v>
      </c>
      <c r="J7214" t="s">
        <v>7592</v>
      </c>
      <c r="K7214" t="s">
        <v>1092</v>
      </c>
      <c r="M7214">
        <v>5.9</v>
      </c>
      <c r="N7214">
        <v>124</v>
      </c>
      <c r="O7214" t="s">
        <v>38</v>
      </c>
      <c r="Q7214" t="s">
        <v>646</v>
      </c>
      <c r="R7214" t="s">
        <v>6807</v>
      </c>
      <c r="S7214" t="s">
        <v>1066</v>
      </c>
      <c r="T7214" t="s">
        <v>1067</v>
      </c>
    </row>
    <row r="7215" spans="1:20" x14ac:dyDescent="0.25">
      <c r="A7215" t="s">
        <v>59</v>
      </c>
      <c r="B7215" t="s">
        <v>60</v>
      </c>
      <c r="C7215" t="s">
        <v>32</v>
      </c>
      <c r="D7215" t="s">
        <v>953</v>
      </c>
      <c r="E7215" t="s">
        <v>7558</v>
      </c>
      <c r="F7215" t="s">
        <v>35</v>
      </c>
      <c r="G7215" t="s">
        <v>35</v>
      </c>
      <c r="H7215" t="s">
        <v>35</v>
      </c>
      <c r="J7215" t="s">
        <v>7592</v>
      </c>
      <c r="K7215" t="s">
        <v>1092</v>
      </c>
      <c r="M7215">
        <v>5</v>
      </c>
      <c r="N7215">
        <v>84</v>
      </c>
      <c r="O7215" t="s">
        <v>61</v>
      </c>
      <c r="Q7215" t="s">
        <v>1147</v>
      </c>
      <c r="R7215" t="s">
        <v>6807</v>
      </c>
      <c r="S7215" t="s">
        <v>1066</v>
      </c>
      <c r="T7215" t="s">
        <v>1067</v>
      </c>
    </row>
    <row r="7216" spans="1:20" x14ac:dyDescent="0.25">
      <c r="A7216" t="s">
        <v>59</v>
      </c>
      <c r="B7216" t="s">
        <v>60</v>
      </c>
      <c r="C7216" t="s">
        <v>32</v>
      </c>
      <c r="D7216" t="s">
        <v>953</v>
      </c>
      <c r="E7216" t="s">
        <v>1007</v>
      </c>
      <c r="F7216" t="s">
        <v>35</v>
      </c>
      <c r="G7216" t="s">
        <v>35</v>
      </c>
      <c r="H7216" t="s">
        <v>35</v>
      </c>
      <c r="J7216" t="s">
        <v>7307</v>
      </c>
      <c r="K7216" t="s">
        <v>1092</v>
      </c>
      <c r="M7216">
        <v>5.4</v>
      </c>
      <c r="N7216">
        <v>124</v>
      </c>
      <c r="O7216" t="s">
        <v>38</v>
      </c>
      <c r="Q7216" t="s">
        <v>646</v>
      </c>
      <c r="R7216" t="s">
        <v>6807</v>
      </c>
      <c r="S7216" t="s">
        <v>1066</v>
      </c>
      <c r="T7216" t="s">
        <v>1067</v>
      </c>
    </row>
    <row r="7217" spans="1:20" x14ac:dyDescent="0.25">
      <c r="A7217" t="s">
        <v>59</v>
      </c>
      <c r="B7217" t="s">
        <v>60</v>
      </c>
      <c r="C7217" t="s">
        <v>32</v>
      </c>
      <c r="D7217" t="s">
        <v>953</v>
      </c>
      <c r="E7217" t="s">
        <v>6878</v>
      </c>
      <c r="F7217" t="s">
        <v>35</v>
      </c>
      <c r="G7217" t="s">
        <v>35</v>
      </c>
      <c r="H7217" t="s">
        <v>35</v>
      </c>
      <c r="J7217" t="s">
        <v>6895</v>
      </c>
      <c r="K7217" t="s">
        <v>1092</v>
      </c>
      <c r="M7217">
        <v>0.05</v>
      </c>
      <c r="N7217">
        <v>189</v>
      </c>
      <c r="O7217" t="s">
        <v>5</v>
      </c>
      <c r="Q7217" t="s">
        <v>5616</v>
      </c>
      <c r="R7217" t="s">
        <v>6807</v>
      </c>
      <c r="S7217" t="s">
        <v>1066</v>
      </c>
      <c r="T7217" t="s">
        <v>1067</v>
      </c>
    </row>
    <row r="7218" spans="1:20" x14ac:dyDescent="0.25">
      <c r="A7218" t="s">
        <v>59</v>
      </c>
      <c r="B7218" t="s">
        <v>60</v>
      </c>
      <c r="C7218" t="s">
        <v>32</v>
      </c>
      <c r="D7218" t="s">
        <v>953</v>
      </c>
      <c r="E7218" t="s">
        <v>1077</v>
      </c>
      <c r="F7218" t="s">
        <v>35</v>
      </c>
      <c r="G7218" t="s">
        <v>35</v>
      </c>
      <c r="H7218" t="s">
        <v>35</v>
      </c>
      <c r="J7218" t="s">
        <v>7655</v>
      </c>
      <c r="K7218" t="s">
        <v>1092</v>
      </c>
      <c r="M7218">
        <v>7.2759999999999998</v>
      </c>
      <c r="N7218">
        <v>167</v>
      </c>
      <c r="O7218" t="s">
        <v>38</v>
      </c>
      <c r="Q7218" t="s">
        <v>1565</v>
      </c>
      <c r="R7218" t="s">
        <v>6807</v>
      </c>
      <c r="S7218" t="s">
        <v>1066</v>
      </c>
      <c r="T7218" t="s">
        <v>1067</v>
      </c>
    </row>
    <row r="7219" spans="1:20" x14ac:dyDescent="0.25">
      <c r="A7219" t="s">
        <v>30</v>
      </c>
      <c r="B7219" t="s">
        <v>31</v>
      </c>
      <c r="C7219" t="s">
        <v>32</v>
      </c>
      <c r="D7219" t="s">
        <v>953</v>
      </c>
      <c r="E7219" t="s">
        <v>954</v>
      </c>
      <c r="F7219" t="s">
        <v>35</v>
      </c>
      <c r="G7219" t="s">
        <v>35</v>
      </c>
      <c r="H7219" t="s">
        <v>35</v>
      </c>
      <c r="J7219" t="s">
        <v>6805</v>
      </c>
      <c r="K7219" t="s">
        <v>1092</v>
      </c>
      <c r="M7219">
        <v>0.9</v>
      </c>
      <c r="N7219">
        <v>793</v>
      </c>
      <c r="O7219" t="s">
        <v>575</v>
      </c>
      <c r="Q7219" t="s">
        <v>6806</v>
      </c>
      <c r="R7219" t="s">
        <v>6807</v>
      </c>
      <c r="S7219" t="s">
        <v>1066</v>
      </c>
      <c r="T7219" t="s">
        <v>1067</v>
      </c>
    </row>
    <row r="7220" spans="1:20" x14ac:dyDescent="0.25">
      <c r="A7220" t="s">
        <v>44</v>
      </c>
      <c r="B7220" t="s">
        <v>3</v>
      </c>
      <c r="C7220" t="s">
        <v>32</v>
      </c>
      <c r="D7220" t="s">
        <v>953</v>
      </c>
      <c r="F7220" t="s">
        <v>35</v>
      </c>
      <c r="G7220" t="s">
        <v>35</v>
      </c>
      <c r="H7220" t="s">
        <v>35</v>
      </c>
      <c r="J7220" t="s">
        <v>7894</v>
      </c>
      <c r="K7220" t="s">
        <v>1092</v>
      </c>
      <c r="M7220">
        <v>1</v>
      </c>
      <c r="N7220">
        <v>35</v>
      </c>
      <c r="O7220" t="s">
        <v>52</v>
      </c>
      <c r="Q7220" t="s">
        <v>991</v>
      </c>
      <c r="R7220" t="s">
        <v>6807</v>
      </c>
      <c r="S7220" t="s">
        <v>1066</v>
      </c>
      <c r="T7220" t="s">
        <v>1067</v>
      </c>
    </row>
    <row r="7221" spans="1:20" x14ac:dyDescent="0.25">
      <c r="A7221" t="s">
        <v>59</v>
      </c>
      <c r="B7221" t="s">
        <v>60</v>
      </c>
      <c r="C7221" t="s">
        <v>32</v>
      </c>
      <c r="D7221" t="s">
        <v>953</v>
      </c>
      <c r="E7221" t="s">
        <v>1015</v>
      </c>
      <c r="F7221" t="s">
        <v>35</v>
      </c>
      <c r="G7221" t="s">
        <v>35</v>
      </c>
      <c r="H7221" t="s">
        <v>35</v>
      </c>
      <c r="J7221" t="s">
        <v>7365</v>
      </c>
      <c r="K7221" t="s">
        <v>1092</v>
      </c>
      <c r="M7221">
        <v>0.4</v>
      </c>
      <c r="N7221">
        <v>173</v>
      </c>
      <c r="O7221" t="s">
        <v>38</v>
      </c>
      <c r="Q7221" t="s">
        <v>2138</v>
      </c>
      <c r="R7221" t="s">
        <v>6807</v>
      </c>
      <c r="S7221" t="s">
        <v>1066</v>
      </c>
      <c r="T7221" t="s">
        <v>1067</v>
      </c>
    </row>
    <row r="7222" spans="1:20" x14ac:dyDescent="0.25">
      <c r="A7222" t="s">
        <v>59</v>
      </c>
      <c r="B7222" t="s">
        <v>60</v>
      </c>
      <c r="C7222" t="s">
        <v>32</v>
      </c>
      <c r="D7222" t="s">
        <v>953</v>
      </c>
      <c r="E7222" t="s">
        <v>980</v>
      </c>
      <c r="F7222" t="s">
        <v>35</v>
      </c>
      <c r="G7222" t="s">
        <v>35</v>
      </c>
      <c r="H7222" t="s">
        <v>35</v>
      </c>
      <c r="J7222" t="s">
        <v>7125</v>
      </c>
      <c r="K7222" t="s">
        <v>1092</v>
      </c>
      <c r="M7222">
        <v>8.75</v>
      </c>
      <c r="N7222">
        <v>124</v>
      </c>
      <c r="O7222" t="s">
        <v>38</v>
      </c>
      <c r="Q7222" t="s">
        <v>646</v>
      </c>
      <c r="R7222" t="s">
        <v>6807</v>
      </c>
      <c r="S7222" t="s">
        <v>1066</v>
      </c>
      <c r="T7222" t="s">
        <v>1067</v>
      </c>
    </row>
    <row r="7223" spans="1:20" x14ac:dyDescent="0.25">
      <c r="A7223" t="s">
        <v>30</v>
      </c>
      <c r="B7223" t="s">
        <v>31</v>
      </c>
      <c r="C7223" t="s">
        <v>32</v>
      </c>
      <c r="D7223" t="s">
        <v>953</v>
      </c>
      <c r="F7223" t="s">
        <v>35</v>
      </c>
      <c r="G7223" t="s">
        <v>35</v>
      </c>
      <c r="H7223" t="s">
        <v>35</v>
      </c>
      <c r="J7223" t="s">
        <v>7912</v>
      </c>
      <c r="K7223" t="s">
        <v>1092</v>
      </c>
      <c r="M7223">
        <v>0.45</v>
      </c>
      <c r="N7223">
        <v>1844</v>
      </c>
      <c r="O7223" t="s">
        <v>575</v>
      </c>
      <c r="Q7223" t="s">
        <v>7913</v>
      </c>
      <c r="R7223" t="s">
        <v>7171</v>
      </c>
      <c r="S7223" t="s">
        <v>7172</v>
      </c>
      <c r="T7223" t="s">
        <v>7173</v>
      </c>
    </row>
    <row r="7224" spans="1:20" x14ac:dyDescent="0.25">
      <c r="A7224" t="s">
        <v>30</v>
      </c>
      <c r="B7224" t="s">
        <v>31</v>
      </c>
      <c r="C7224" t="s">
        <v>32</v>
      </c>
      <c r="D7224" t="s">
        <v>953</v>
      </c>
      <c r="E7224" t="s">
        <v>7164</v>
      </c>
      <c r="F7224" t="s">
        <v>35</v>
      </c>
      <c r="G7224" t="s">
        <v>35</v>
      </c>
      <c r="H7224" t="s">
        <v>35</v>
      </c>
      <c r="J7224" t="s">
        <v>7170</v>
      </c>
      <c r="K7224" t="s">
        <v>1092</v>
      </c>
      <c r="M7224">
        <v>0.315</v>
      </c>
      <c r="N7224">
        <v>265</v>
      </c>
      <c r="O7224" t="s">
        <v>5</v>
      </c>
      <c r="Q7224" t="s">
        <v>1264</v>
      </c>
      <c r="R7224" t="s">
        <v>7171</v>
      </c>
      <c r="S7224" t="s">
        <v>7172</v>
      </c>
      <c r="T7224" t="s">
        <v>7173</v>
      </c>
    </row>
    <row r="7225" spans="1:20" x14ac:dyDescent="0.25">
      <c r="A7225" t="s">
        <v>59</v>
      </c>
      <c r="B7225" t="s">
        <v>60</v>
      </c>
      <c r="C7225" t="s">
        <v>32</v>
      </c>
      <c r="D7225" t="s">
        <v>953</v>
      </c>
      <c r="F7225" t="s">
        <v>35</v>
      </c>
      <c r="G7225" t="s">
        <v>35</v>
      </c>
      <c r="H7225" t="s">
        <v>35</v>
      </c>
      <c r="J7225" t="s">
        <v>7877</v>
      </c>
      <c r="K7225" t="s">
        <v>1092</v>
      </c>
      <c r="M7225">
        <v>0.3</v>
      </c>
      <c r="N7225">
        <v>2247</v>
      </c>
      <c r="O7225" t="s">
        <v>575</v>
      </c>
      <c r="Q7225" t="s">
        <v>7879</v>
      </c>
      <c r="R7225" t="s">
        <v>7880</v>
      </c>
      <c r="S7225" t="s">
        <v>7881</v>
      </c>
      <c r="T7225" t="s">
        <v>7878</v>
      </c>
    </row>
    <row r="7226" spans="1:20" x14ac:dyDescent="0.25">
      <c r="A7226" t="s">
        <v>59</v>
      </c>
      <c r="B7226" t="s">
        <v>31</v>
      </c>
      <c r="C7226" t="s">
        <v>32</v>
      </c>
      <c r="D7226" t="s">
        <v>953</v>
      </c>
      <c r="F7226" t="s">
        <v>35</v>
      </c>
      <c r="G7226" t="s">
        <v>35</v>
      </c>
      <c r="H7226" t="s">
        <v>35</v>
      </c>
      <c r="J7226" t="s">
        <v>7877</v>
      </c>
      <c r="K7226" t="s">
        <v>1092</v>
      </c>
      <c r="M7226">
        <v>0.81</v>
      </c>
      <c r="N7226">
        <v>2010</v>
      </c>
      <c r="O7226" t="s">
        <v>575</v>
      </c>
      <c r="Q7226" t="s">
        <v>7882</v>
      </c>
      <c r="R7226" t="s">
        <v>7880</v>
      </c>
      <c r="S7226" t="s">
        <v>7881</v>
      </c>
      <c r="T7226" t="s">
        <v>7878</v>
      </c>
    </row>
    <row r="7227" spans="1:20" x14ac:dyDescent="0.25">
      <c r="A7227" t="s">
        <v>59</v>
      </c>
      <c r="B7227" t="s">
        <v>31</v>
      </c>
      <c r="C7227" t="s">
        <v>32</v>
      </c>
      <c r="D7227" t="s">
        <v>953</v>
      </c>
      <c r="E7227" t="s">
        <v>954</v>
      </c>
      <c r="F7227" t="s">
        <v>35</v>
      </c>
      <c r="G7227" t="s">
        <v>35</v>
      </c>
      <c r="H7227" t="s">
        <v>35</v>
      </c>
      <c r="J7227" t="s">
        <v>6706</v>
      </c>
      <c r="K7227" t="s">
        <v>1092</v>
      </c>
      <c r="M7227">
        <v>1.8</v>
      </c>
      <c r="N7227">
        <v>42</v>
      </c>
      <c r="O7227" t="s">
        <v>52</v>
      </c>
      <c r="Q7227" t="s">
        <v>219</v>
      </c>
      <c r="R7227" t="s">
        <v>6707</v>
      </c>
      <c r="S7227" t="s">
        <v>955</v>
      </c>
      <c r="T7227" t="s">
        <v>956</v>
      </c>
    </row>
    <row r="7228" spans="1:20" x14ac:dyDescent="0.25">
      <c r="A7228" t="s">
        <v>30</v>
      </c>
      <c r="B7228" t="s">
        <v>31</v>
      </c>
      <c r="C7228" t="s">
        <v>32</v>
      </c>
      <c r="D7228" t="s">
        <v>953</v>
      </c>
      <c r="E7228" t="s">
        <v>954</v>
      </c>
      <c r="F7228" t="s">
        <v>35</v>
      </c>
      <c r="G7228" t="s">
        <v>35</v>
      </c>
      <c r="H7228" t="s">
        <v>35</v>
      </c>
      <c r="J7228" t="s">
        <v>6706</v>
      </c>
      <c r="K7228" t="s">
        <v>1092</v>
      </c>
      <c r="M7228">
        <v>1.35</v>
      </c>
      <c r="N7228">
        <v>36</v>
      </c>
      <c r="O7228" t="s">
        <v>52</v>
      </c>
      <c r="Q7228" t="s">
        <v>892</v>
      </c>
      <c r="R7228" t="s">
        <v>6707</v>
      </c>
      <c r="S7228" t="s">
        <v>955</v>
      </c>
      <c r="T7228" t="s">
        <v>956</v>
      </c>
    </row>
    <row r="7229" spans="1:20" x14ac:dyDescent="0.25">
      <c r="A7229" t="s">
        <v>59</v>
      </c>
      <c r="B7229" t="s">
        <v>31</v>
      </c>
      <c r="C7229" t="s">
        <v>32</v>
      </c>
      <c r="D7229" t="s">
        <v>953</v>
      </c>
      <c r="E7229" t="s">
        <v>954</v>
      </c>
      <c r="F7229" t="s">
        <v>35</v>
      </c>
      <c r="G7229" t="s">
        <v>35</v>
      </c>
      <c r="H7229" t="s">
        <v>35</v>
      </c>
      <c r="J7229" t="s">
        <v>6706</v>
      </c>
      <c r="K7229" t="s">
        <v>1092</v>
      </c>
      <c r="M7229">
        <v>1.2150000000000001</v>
      </c>
      <c r="N7229">
        <v>55</v>
      </c>
      <c r="O7229" t="s">
        <v>52</v>
      </c>
      <c r="Q7229" t="s">
        <v>90</v>
      </c>
      <c r="R7229" t="s">
        <v>6707</v>
      </c>
      <c r="S7229" t="s">
        <v>955</v>
      </c>
      <c r="T7229" t="s">
        <v>956</v>
      </c>
    </row>
    <row r="7230" spans="1:20" x14ac:dyDescent="0.25">
      <c r="A7230" t="s">
        <v>30</v>
      </c>
      <c r="B7230" t="s">
        <v>31</v>
      </c>
      <c r="C7230" t="s">
        <v>32</v>
      </c>
      <c r="D7230" t="s">
        <v>953</v>
      </c>
      <c r="E7230" t="s">
        <v>954</v>
      </c>
      <c r="F7230" t="s">
        <v>35</v>
      </c>
      <c r="G7230" t="s">
        <v>35</v>
      </c>
      <c r="H7230" t="s">
        <v>35</v>
      </c>
      <c r="J7230" t="s">
        <v>6706</v>
      </c>
      <c r="K7230" t="s">
        <v>1092</v>
      </c>
      <c r="M7230">
        <v>4.8600000000000003</v>
      </c>
      <c r="N7230">
        <v>207</v>
      </c>
      <c r="O7230" t="s">
        <v>5</v>
      </c>
      <c r="Q7230" t="s">
        <v>537</v>
      </c>
      <c r="R7230" t="s">
        <v>6707</v>
      </c>
      <c r="S7230" t="s">
        <v>955</v>
      </c>
      <c r="T7230" t="s">
        <v>956</v>
      </c>
    </row>
    <row r="7231" spans="1:20" x14ac:dyDescent="0.25">
      <c r="A7231" t="s">
        <v>30</v>
      </c>
      <c r="B7231" t="s">
        <v>31</v>
      </c>
      <c r="C7231" t="s">
        <v>32</v>
      </c>
      <c r="D7231" t="s">
        <v>953</v>
      </c>
      <c r="E7231" t="s">
        <v>954</v>
      </c>
      <c r="F7231" t="s">
        <v>35</v>
      </c>
      <c r="G7231" t="s">
        <v>35</v>
      </c>
      <c r="H7231" t="s">
        <v>35</v>
      </c>
      <c r="J7231" t="s">
        <v>6706</v>
      </c>
      <c r="K7231" t="s">
        <v>1092</v>
      </c>
      <c r="M7231">
        <v>9.99</v>
      </c>
      <c r="N7231">
        <v>13</v>
      </c>
      <c r="O7231" t="s">
        <v>46</v>
      </c>
      <c r="Q7231" t="s">
        <v>1004</v>
      </c>
      <c r="R7231" t="s">
        <v>6707</v>
      </c>
      <c r="S7231" t="s">
        <v>955</v>
      </c>
      <c r="T7231" t="s">
        <v>956</v>
      </c>
    </row>
    <row r="7232" spans="1:20" x14ac:dyDescent="0.25">
      <c r="A7232" t="s">
        <v>44</v>
      </c>
      <c r="B7232" t="s">
        <v>51</v>
      </c>
      <c r="C7232" t="s">
        <v>32</v>
      </c>
      <c r="D7232" t="s">
        <v>953</v>
      </c>
      <c r="E7232" t="s">
        <v>954</v>
      </c>
      <c r="F7232" t="s">
        <v>35</v>
      </c>
      <c r="G7232" t="s">
        <v>35</v>
      </c>
      <c r="H7232" t="s">
        <v>35</v>
      </c>
      <c r="J7232" t="s">
        <v>6706</v>
      </c>
      <c r="K7232" t="s">
        <v>1092</v>
      </c>
      <c r="M7232">
        <v>0.5</v>
      </c>
      <c r="N7232">
        <v>13</v>
      </c>
      <c r="O7232" t="s">
        <v>46</v>
      </c>
      <c r="Q7232" t="s">
        <v>1004</v>
      </c>
      <c r="R7232" t="s">
        <v>6707</v>
      </c>
      <c r="S7232" t="s">
        <v>955</v>
      </c>
      <c r="T7232" t="s">
        <v>956</v>
      </c>
    </row>
    <row r="7233" spans="1:20" x14ac:dyDescent="0.25">
      <c r="A7233" t="s">
        <v>59</v>
      </c>
      <c r="B7233" t="s">
        <v>60</v>
      </c>
      <c r="C7233" t="s">
        <v>32</v>
      </c>
      <c r="D7233" t="s">
        <v>953</v>
      </c>
      <c r="E7233" t="s">
        <v>954</v>
      </c>
      <c r="F7233" t="s">
        <v>35</v>
      </c>
      <c r="G7233" t="s">
        <v>35</v>
      </c>
      <c r="H7233" t="s">
        <v>35</v>
      </c>
      <c r="J7233" t="s">
        <v>6706</v>
      </c>
      <c r="K7233" t="s">
        <v>1092</v>
      </c>
      <c r="M7233">
        <v>0.43</v>
      </c>
      <c r="N7233">
        <v>67</v>
      </c>
      <c r="O7233" t="s">
        <v>61</v>
      </c>
      <c r="Q7233" t="s">
        <v>488</v>
      </c>
      <c r="R7233" t="s">
        <v>6707</v>
      </c>
      <c r="S7233" t="s">
        <v>955</v>
      </c>
      <c r="T7233" t="s">
        <v>956</v>
      </c>
    </row>
    <row r="7234" spans="1:20" x14ac:dyDescent="0.25">
      <c r="A7234" t="s">
        <v>44</v>
      </c>
      <c r="B7234" t="s">
        <v>51</v>
      </c>
      <c r="C7234" t="s">
        <v>32</v>
      </c>
      <c r="D7234" t="s">
        <v>953</v>
      </c>
      <c r="E7234" t="s">
        <v>954</v>
      </c>
      <c r="F7234" t="s">
        <v>35</v>
      </c>
      <c r="G7234" t="s">
        <v>35</v>
      </c>
      <c r="H7234" t="s">
        <v>35</v>
      </c>
      <c r="J7234" t="s">
        <v>6727</v>
      </c>
      <c r="K7234" t="s">
        <v>1092</v>
      </c>
      <c r="M7234">
        <v>1.5</v>
      </c>
      <c r="N7234">
        <v>13</v>
      </c>
      <c r="O7234" t="s">
        <v>46</v>
      </c>
      <c r="Q7234" t="s">
        <v>1004</v>
      </c>
      <c r="R7234" t="s">
        <v>6707</v>
      </c>
      <c r="S7234" t="s">
        <v>955</v>
      </c>
      <c r="T7234" t="s">
        <v>956</v>
      </c>
    </row>
    <row r="7235" spans="1:20" x14ac:dyDescent="0.25">
      <c r="A7235" t="s">
        <v>59</v>
      </c>
      <c r="B7235" t="s">
        <v>60</v>
      </c>
      <c r="C7235" t="s">
        <v>32</v>
      </c>
      <c r="D7235" t="s">
        <v>953</v>
      </c>
      <c r="F7235" t="s">
        <v>35</v>
      </c>
      <c r="G7235" t="s">
        <v>35</v>
      </c>
      <c r="H7235" t="s">
        <v>35</v>
      </c>
      <c r="J7235" t="s">
        <v>7898</v>
      </c>
      <c r="K7235" t="s">
        <v>1092</v>
      </c>
      <c r="M7235">
        <v>0.25</v>
      </c>
      <c r="N7235">
        <v>1815</v>
      </c>
      <c r="O7235" t="s">
        <v>575</v>
      </c>
      <c r="Q7235" t="s">
        <v>7899</v>
      </c>
      <c r="R7235" t="s">
        <v>6707</v>
      </c>
      <c r="S7235" t="s">
        <v>955</v>
      </c>
      <c r="T7235" t="s">
        <v>956</v>
      </c>
    </row>
    <row r="7236" spans="1:20" x14ac:dyDescent="0.25">
      <c r="A7236" t="s">
        <v>59</v>
      </c>
      <c r="B7236" t="s">
        <v>60</v>
      </c>
      <c r="C7236" t="s">
        <v>32</v>
      </c>
      <c r="D7236" t="s">
        <v>953</v>
      </c>
      <c r="F7236" t="s">
        <v>35</v>
      </c>
      <c r="G7236" t="s">
        <v>35</v>
      </c>
      <c r="H7236" t="s">
        <v>35</v>
      </c>
      <c r="J7236" t="s">
        <v>7898</v>
      </c>
      <c r="K7236" t="s">
        <v>1092</v>
      </c>
      <c r="M7236">
        <v>0.7</v>
      </c>
      <c r="N7236">
        <v>1825</v>
      </c>
      <c r="O7236" t="s">
        <v>575</v>
      </c>
      <c r="Q7236" t="s">
        <v>7900</v>
      </c>
      <c r="R7236" t="s">
        <v>6707</v>
      </c>
      <c r="S7236" t="s">
        <v>955</v>
      </c>
      <c r="T7236" t="s">
        <v>956</v>
      </c>
    </row>
    <row r="7237" spans="1:20" x14ac:dyDescent="0.25">
      <c r="A7237" t="s">
        <v>30</v>
      </c>
      <c r="B7237" t="s">
        <v>31</v>
      </c>
      <c r="C7237" t="s">
        <v>32</v>
      </c>
      <c r="D7237" t="s">
        <v>953</v>
      </c>
      <c r="F7237" t="s">
        <v>35</v>
      </c>
      <c r="G7237" t="s">
        <v>35</v>
      </c>
      <c r="H7237" t="s">
        <v>35</v>
      </c>
      <c r="J7237" t="s">
        <v>7898</v>
      </c>
      <c r="K7237" t="s">
        <v>1092</v>
      </c>
      <c r="M7237">
        <v>1.2150000000000001</v>
      </c>
      <c r="N7237">
        <v>1837</v>
      </c>
      <c r="O7237" t="s">
        <v>575</v>
      </c>
      <c r="Q7237" t="s">
        <v>7687</v>
      </c>
      <c r="R7237" t="s">
        <v>6707</v>
      </c>
      <c r="S7237" t="s">
        <v>955</v>
      </c>
      <c r="T7237" t="s">
        <v>956</v>
      </c>
    </row>
    <row r="7238" spans="1:20" x14ac:dyDescent="0.25">
      <c r="A7238" t="s">
        <v>59</v>
      </c>
      <c r="B7238" t="s">
        <v>31</v>
      </c>
      <c r="C7238" t="s">
        <v>32</v>
      </c>
      <c r="D7238" t="s">
        <v>953</v>
      </c>
      <c r="E7238" t="s">
        <v>954</v>
      </c>
      <c r="F7238" t="s">
        <v>35</v>
      </c>
      <c r="G7238" t="s">
        <v>35</v>
      </c>
      <c r="H7238" t="s">
        <v>35</v>
      </c>
      <c r="J7238" t="s">
        <v>6730</v>
      </c>
      <c r="K7238" t="s">
        <v>1092</v>
      </c>
      <c r="M7238">
        <v>0.16500000000000001</v>
      </c>
      <c r="N7238">
        <v>53</v>
      </c>
      <c r="O7238" t="s">
        <v>52</v>
      </c>
      <c r="Q7238" t="s">
        <v>1734</v>
      </c>
      <c r="R7238" t="s">
        <v>6707</v>
      </c>
      <c r="S7238" t="s">
        <v>955</v>
      </c>
      <c r="T7238" t="s">
        <v>956</v>
      </c>
    </row>
    <row r="7239" spans="1:20" x14ac:dyDescent="0.25">
      <c r="A7239" t="s">
        <v>59</v>
      </c>
      <c r="B7239" t="s">
        <v>31</v>
      </c>
      <c r="C7239" t="s">
        <v>32</v>
      </c>
      <c r="D7239" t="s">
        <v>953</v>
      </c>
      <c r="E7239" t="s">
        <v>954</v>
      </c>
      <c r="F7239" t="s">
        <v>35</v>
      </c>
      <c r="G7239" t="s">
        <v>35</v>
      </c>
      <c r="H7239" t="s">
        <v>35</v>
      </c>
      <c r="J7239" t="s">
        <v>6854</v>
      </c>
      <c r="K7239" t="s">
        <v>1092</v>
      </c>
      <c r="M7239">
        <v>1.8</v>
      </c>
      <c r="N7239">
        <v>49</v>
      </c>
      <c r="O7239" t="s">
        <v>52</v>
      </c>
      <c r="Q7239" t="s">
        <v>453</v>
      </c>
      <c r="R7239" t="s">
        <v>6707</v>
      </c>
      <c r="S7239" t="s">
        <v>955</v>
      </c>
      <c r="T7239" t="s">
        <v>956</v>
      </c>
    </row>
    <row r="7240" spans="1:20" x14ac:dyDescent="0.25">
      <c r="A7240" t="s">
        <v>59</v>
      </c>
      <c r="B7240" t="s">
        <v>31</v>
      </c>
      <c r="C7240" t="s">
        <v>32</v>
      </c>
      <c r="D7240" t="s">
        <v>953</v>
      </c>
      <c r="E7240" t="s">
        <v>954</v>
      </c>
      <c r="F7240" t="s">
        <v>35</v>
      </c>
      <c r="G7240" t="s">
        <v>35</v>
      </c>
      <c r="H7240" t="s">
        <v>35</v>
      </c>
      <c r="J7240" t="s">
        <v>6854</v>
      </c>
      <c r="K7240" t="s">
        <v>1092</v>
      </c>
      <c r="M7240">
        <v>0.45</v>
      </c>
      <c r="N7240">
        <v>50</v>
      </c>
      <c r="O7240" t="s">
        <v>52</v>
      </c>
      <c r="Q7240" t="s">
        <v>665</v>
      </c>
      <c r="R7240" t="s">
        <v>6707</v>
      </c>
      <c r="S7240" t="s">
        <v>955</v>
      </c>
      <c r="T7240" t="s">
        <v>956</v>
      </c>
    </row>
    <row r="7241" spans="1:20" x14ac:dyDescent="0.25">
      <c r="A7241" t="s">
        <v>1439</v>
      </c>
      <c r="B7241" t="s">
        <v>1440</v>
      </c>
      <c r="C7241" t="s">
        <v>32</v>
      </c>
      <c r="D7241" t="s">
        <v>953</v>
      </c>
      <c r="E7241" t="s">
        <v>954</v>
      </c>
      <c r="F7241" t="s">
        <v>35</v>
      </c>
      <c r="G7241" t="s">
        <v>35</v>
      </c>
      <c r="H7241" t="s">
        <v>35</v>
      </c>
      <c r="J7241" t="s">
        <v>6734</v>
      </c>
      <c r="K7241" t="s">
        <v>1092</v>
      </c>
      <c r="M7241">
        <v>0.03</v>
      </c>
      <c r="N7241">
        <v>504</v>
      </c>
      <c r="O7241" t="s">
        <v>294</v>
      </c>
      <c r="Q7241" t="s">
        <v>5048</v>
      </c>
      <c r="R7241" t="s">
        <v>6707</v>
      </c>
      <c r="S7241" t="s">
        <v>955</v>
      </c>
      <c r="T7241" t="s">
        <v>956</v>
      </c>
    </row>
    <row r="7242" spans="1:20" x14ac:dyDescent="0.25">
      <c r="A7242" t="s">
        <v>30</v>
      </c>
      <c r="B7242" t="s">
        <v>31</v>
      </c>
      <c r="C7242" t="s">
        <v>32</v>
      </c>
      <c r="D7242" t="s">
        <v>953</v>
      </c>
      <c r="E7242" t="s">
        <v>954</v>
      </c>
      <c r="F7242" t="s">
        <v>35</v>
      </c>
      <c r="G7242" t="s">
        <v>35</v>
      </c>
      <c r="H7242" t="s">
        <v>35</v>
      </c>
      <c r="J7242" t="s">
        <v>6734</v>
      </c>
      <c r="K7242" t="s">
        <v>1092</v>
      </c>
      <c r="M7242">
        <v>1.8</v>
      </c>
      <c r="N7242">
        <v>29</v>
      </c>
      <c r="O7242" t="s">
        <v>46</v>
      </c>
      <c r="Q7242" t="s">
        <v>2005</v>
      </c>
      <c r="R7242" t="s">
        <v>6707</v>
      </c>
      <c r="S7242" t="s">
        <v>955</v>
      </c>
      <c r="T7242" t="s">
        <v>956</v>
      </c>
    </row>
    <row r="7243" spans="1:20" x14ac:dyDescent="0.25">
      <c r="A7243" t="s">
        <v>30</v>
      </c>
      <c r="B7243" t="s">
        <v>31</v>
      </c>
      <c r="C7243" t="s">
        <v>32</v>
      </c>
      <c r="D7243" t="s">
        <v>953</v>
      </c>
      <c r="E7243" t="s">
        <v>954</v>
      </c>
      <c r="F7243" t="s">
        <v>35</v>
      </c>
      <c r="G7243" t="s">
        <v>35</v>
      </c>
      <c r="H7243" t="s">
        <v>35</v>
      </c>
      <c r="J7243" t="s">
        <v>6734</v>
      </c>
      <c r="K7243" t="s">
        <v>1092</v>
      </c>
      <c r="M7243">
        <v>1.125</v>
      </c>
      <c r="N7243">
        <v>35</v>
      </c>
      <c r="O7243" t="s">
        <v>52</v>
      </c>
      <c r="Q7243" t="s">
        <v>991</v>
      </c>
      <c r="R7243" t="s">
        <v>6707</v>
      </c>
      <c r="S7243" t="s">
        <v>955</v>
      </c>
      <c r="T7243" t="s">
        <v>956</v>
      </c>
    </row>
    <row r="7244" spans="1:20" x14ac:dyDescent="0.25">
      <c r="A7244" t="s">
        <v>30</v>
      </c>
      <c r="B7244" t="s">
        <v>31</v>
      </c>
      <c r="C7244" t="s">
        <v>32</v>
      </c>
      <c r="D7244" t="s">
        <v>953</v>
      </c>
      <c r="E7244" t="s">
        <v>954</v>
      </c>
      <c r="F7244" t="s">
        <v>35</v>
      </c>
      <c r="G7244" t="s">
        <v>35</v>
      </c>
      <c r="H7244" t="s">
        <v>35</v>
      </c>
      <c r="J7244" t="s">
        <v>6734</v>
      </c>
      <c r="K7244" t="s">
        <v>1092</v>
      </c>
      <c r="M7244">
        <v>0.22500000000000001</v>
      </c>
      <c r="N7244">
        <v>31</v>
      </c>
      <c r="O7244" t="s">
        <v>52</v>
      </c>
      <c r="Q7244" t="s">
        <v>748</v>
      </c>
      <c r="R7244" t="s">
        <v>6707</v>
      </c>
      <c r="S7244" t="s">
        <v>955</v>
      </c>
      <c r="T7244" t="s">
        <v>956</v>
      </c>
    </row>
    <row r="7245" spans="1:20" x14ac:dyDescent="0.25">
      <c r="A7245" t="s">
        <v>30</v>
      </c>
      <c r="B7245" t="s">
        <v>31</v>
      </c>
      <c r="C7245" t="s">
        <v>32</v>
      </c>
      <c r="D7245" t="s">
        <v>953</v>
      </c>
      <c r="E7245" t="s">
        <v>954</v>
      </c>
      <c r="F7245" t="s">
        <v>35</v>
      </c>
      <c r="G7245" t="s">
        <v>35</v>
      </c>
      <c r="H7245" t="s">
        <v>35</v>
      </c>
      <c r="J7245" t="s">
        <v>6734</v>
      </c>
      <c r="K7245" t="s">
        <v>1092</v>
      </c>
      <c r="M7245">
        <v>0.45</v>
      </c>
      <c r="N7245">
        <v>38</v>
      </c>
      <c r="O7245" t="s">
        <v>52</v>
      </c>
      <c r="Q7245" t="s">
        <v>716</v>
      </c>
      <c r="R7245" t="s">
        <v>6707</v>
      </c>
      <c r="S7245" t="s">
        <v>955</v>
      </c>
      <c r="T7245" t="s">
        <v>956</v>
      </c>
    </row>
    <row r="7246" spans="1:20" x14ac:dyDescent="0.25">
      <c r="A7246" t="s">
        <v>59</v>
      </c>
      <c r="B7246" t="s">
        <v>31</v>
      </c>
      <c r="C7246" t="s">
        <v>32</v>
      </c>
      <c r="D7246" t="s">
        <v>953</v>
      </c>
      <c r="E7246" t="s">
        <v>954</v>
      </c>
      <c r="F7246" t="s">
        <v>35</v>
      </c>
      <c r="G7246" t="s">
        <v>35</v>
      </c>
      <c r="H7246" t="s">
        <v>35</v>
      </c>
      <c r="J7246" t="s">
        <v>6834</v>
      </c>
      <c r="K7246" t="s">
        <v>1092</v>
      </c>
      <c r="M7246">
        <v>4.4999999999999998E-2</v>
      </c>
      <c r="N7246">
        <v>49</v>
      </c>
      <c r="O7246" t="s">
        <v>52</v>
      </c>
      <c r="Q7246" t="s">
        <v>453</v>
      </c>
      <c r="R7246" t="s">
        <v>6707</v>
      </c>
      <c r="S7246" t="s">
        <v>955</v>
      </c>
      <c r="T7246" t="s">
        <v>956</v>
      </c>
    </row>
    <row r="7247" spans="1:20" x14ac:dyDescent="0.25">
      <c r="A7247" t="s">
        <v>44</v>
      </c>
      <c r="B7247" t="s">
        <v>51</v>
      </c>
      <c r="C7247" t="s">
        <v>32</v>
      </c>
      <c r="D7247" t="s">
        <v>953</v>
      </c>
      <c r="E7247" t="s">
        <v>954</v>
      </c>
      <c r="F7247" t="s">
        <v>35</v>
      </c>
      <c r="G7247" t="s">
        <v>35</v>
      </c>
      <c r="H7247" t="s">
        <v>35</v>
      </c>
      <c r="J7247" t="s">
        <v>6834</v>
      </c>
      <c r="K7247" t="s">
        <v>1092</v>
      </c>
      <c r="M7247">
        <v>0.1</v>
      </c>
      <c r="N7247">
        <v>233</v>
      </c>
      <c r="O7247" t="s">
        <v>5</v>
      </c>
      <c r="Q7247" t="s">
        <v>2516</v>
      </c>
      <c r="R7247" t="s">
        <v>6707</v>
      </c>
      <c r="S7247" t="s">
        <v>955</v>
      </c>
      <c r="T7247" t="s">
        <v>956</v>
      </c>
    </row>
    <row r="7248" spans="1:20" x14ac:dyDescent="0.25">
      <c r="A7248" t="s">
        <v>59</v>
      </c>
      <c r="B7248" t="s">
        <v>60</v>
      </c>
      <c r="C7248" t="s">
        <v>32</v>
      </c>
      <c r="D7248" t="s">
        <v>953</v>
      </c>
      <c r="E7248" t="s">
        <v>954</v>
      </c>
      <c r="F7248" t="s">
        <v>35</v>
      </c>
      <c r="G7248" t="s">
        <v>35</v>
      </c>
      <c r="H7248" t="s">
        <v>35</v>
      </c>
      <c r="J7248" t="s">
        <v>6834</v>
      </c>
      <c r="K7248" t="s">
        <v>1092</v>
      </c>
      <c r="M7248">
        <v>0.2</v>
      </c>
      <c r="N7248">
        <v>233</v>
      </c>
      <c r="O7248" t="s">
        <v>5</v>
      </c>
      <c r="Q7248" t="s">
        <v>2516</v>
      </c>
      <c r="R7248" t="s">
        <v>6707</v>
      </c>
      <c r="S7248" t="s">
        <v>955</v>
      </c>
      <c r="T7248" t="s">
        <v>956</v>
      </c>
    </row>
    <row r="7249" spans="1:20" x14ac:dyDescent="0.25">
      <c r="A7249" t="s">
        <v>59</v>
      </c>
      <c r="B7249" t="s">
        <v>60</v>
      </c>
      <c r="C7249" t="s">
        <v>32</v>
      </c>
      <c r="D7249" t="s">
        <v>953</v>
      </c>
      <c r="E7249" t="s">
        <v>954</v>
      </c>
      <c r="F7249" t="s">
        <v>35</v>
      </c>
      <c r="G7249" t="s">
        <v>35</v>
      </c>
      <c r="H7249" t="s">
        <v>35</v>
      </c>
      <c r="J7249" t="s">
        <v>6834</v>
      </c>
      <c r="K7249" t="s">
        <v>1092</v>
      </c>
      <c r="M7249">
        <v>0.35</v>
      </c>
      <c r="N7249">
        <v>49</v>
      </c>
      <c r="O7249" t="s">
        <v>52</v>
      </c>
      <c r="Q7249" t="s">
        <v>453</v>
      </c>
      <c r="R7249" t="s">
        <v>6707</v>
      </c>
      <c r="S7249" t="s">
        <v>955</v>
      </c>
      <c r="T7249" t="s">
        <v>956</v>
      </c>
    </row>
    <row r="7250" spans="1:20" x14ac:dyDescent="0.25">
      <c r="A7250" t="s">
        <v>44</v>
      </c>
      <c r="B7250" t="s">
        <v>51</v>
      </c>
      <c r="C7250" t="s">
        <v>32</v>
      </c>
      <c r="D7250" t="s">
        <v>953</v>
      </c>
      <c r="E7250" t="s">
        <v>980</v>
      </c>
      <c r="F7250" t="s">
        <v>35</v>
      </c>
      <c r="G7250" t="s">
        <v>35</v>
      </c>
      <c r="H7250" t="s">
        <v>35</v>
      </c>
      <c r="J7250" t="s">
        <v>7086</v>
      </c>
      <c r="K7250" t="s">
        <v>1092</v>
      </c>
      <c r="M7250">
        <v>0.35</v>
      </c>
      <c r="N7250">
        <v>13</v>
      </c>
      <c r="O7250" t="s">
        <v>46</v>
      </c>
      <c r="Q7250" t="s">
        <v>1004</v>
      </c>
      <c r="R7250" t="s">
        <v>6707</v>
      </c>
      <c r="S7250" t="s">
        <v>955</v>
      </c>
      <c r="T7250" t="s">
        <v>956</v>
      </c>
    </row>
    <row r="7251" spans="1:20" x14ac:dyDescent="0.25">
      <c r="A7251" t="s">
        <v>30</v>
      </c>
      <c r="B7251" t="s">
        <v>31</v>
      </c>
      <c r="C7251" t="s">
        <v>32</v>
      </c>
      <c r="D7251" t="s">
        <v>953</v>
      </c>
      <c r="E7251" t="s">
        <v>980</v>
      </c>
      <c r="F7251" t="s">
        <v>35</v>
      </c>
      <c r="G7251" t="s">
        <v>35</v>
      </c>
      <c r="H7251" t="s">
        <v>35</v>
      </c>
      <c r="J7251" t="s">
        <v>7086</v>
      </c>
      <c r="K7251" t="s">
        <v>1092</v>
      </c>
      <c r="M7251">
        <v>4.9950000000000001</v>
      </c>
      <c r="N7251">
        <v>13</v>
      </c>
      <c r="O7251" t="s">
        <v>46</v>
      </c>
      <c r="Q7251" t="s">
        <v>1004</v>
      </c>
      <c r="R7251" t="s">
        <v>6707</v>
      </c>
      <c r="S7251" t="s">
        <v>955</v>
      </c>
      <c r="T7251" t="s">
        <v>956</v>
      </c>
    </row>
    <row r="7252" spans="1:20" x14ac:dyDescent="0.25">
      <c r="A7252" t="s">
        <v>59</v>
      </c>
      <c r="B7252" t="s">
        <v>60</v>
      </c>
      <c r="C7252" t="s">
        <v>32</v>
      </c>
      <c r="D7252" t="s">
        <v>953</v>
      </c>
      <c r="E7252" t="s">
        <v>980</v>
      </c>
      <c r="F7252" t="s">
        <v>35</v>
      </c>
      <c r="G7252" t="s">
        <v>35</v>
      </c>
      <c r="H7252" t="s">
        <v>35</v>
      </c>
      <c r="J7252" t="s">
        <v>7086</v>
      </c>
      <c r="K7252" t="s">
        <v>1092</v>
      </c>
      <c r="M7252">
        <v>0.81</v>
      </c>
      <c r="N7252">
        <v>84</v>
      </c>
      <c r="O7252" t="s">
        <v>61</v>
      </c>
      <c r="Q7252" t="s">
        <v>1147</v>
      </c>
      <c r="R7252" t="s">
        <v>6707</v>
      </c>
      <c r="S7252" t="s">
        <v>955</v>
      </c>
      <c r="T7252" t="s">
        <v>956</v>
      </c>
    </row>
    <row r="7253" spans="1:20" x14ac:dyDescent="0.25">
      <c r="A7253" t="s">
        <v>59</v>
      </c>
      <c r="B7253" t="s">
        <v>60</v>
      </c>
      <c r="C7253" t="s">
        <v>32</v>
      </c>
      <c r="D7253" t="s">
        <v>953</v>
      </c>
      <c r="E7253" t="s">
        <v>954</v>
      </c>
      <c r="F7253" t="s">
        <v>35</v>
      </c>
      <c r="G7253" t="s">
        <v>35</v>
      </c>
      <c r="H7253" t="s">
        <v>35</v>
      </c>
      <c r="J7253" t="s">
        <v>6850</v>
      </c>
      <c r="K7253" t="s">
        <v>1092</v>
      </c>
      <c r="M7253">
        <v>0.7</v>
      </c>
      <c r="N7253">
        <v>235</v>
      </c>
      <c r="O7253" t="s">
        <v>5</v>
      </c>
      <c r="Q7253" t="s">
        <v>2904</v>
      </c>
      <c r="R7253" t="s">
        <v>6707</v>
      </c>
      <c r="S7253" t="s">
        <v>955</v>
      </c>
      <c r="T7253" t="s">
        <v>956</v>
      </c>
    </row>
    <row r="7254" spans="1:20" x14ac:dyDescent="0.25">
      <c r="A7254" t="s">
        <v>59</v>
      </c>
      <c r="B7254" t="s">
        <v>60</v>
      </c>
      <c r="C7254" t="s">
        <v>32</v>
      </c>
      <c r="D7254" t="s">
        <v>953</v>
      </c>
      <c r="E7254" t="s">
        <v>7179</v>
      </c>
      <c r="F7254" t="s">
        <v>35</v>
      </c>
      <c r="G7254" t="s">
        <v>35</v>
      </c>
      <c r="H7254" t="s">
        <v>35</v>
      </c>
      <c r="J7254" t="s">
        <v>7183</v>
      </c>
      <c r="K7254" t="s">
        <v>1092</v>
      </c>
      <c r="M7254">
        <v>0.95</v>
      </c>
      <c r="N7254">
        <v>80</v>
      </c>
      <c r="O7254" t="s">
        <v>61</v>
      </c>
      <c r="Q7254" t="s">
        <v>1639</v>
      </c>
      <c r="R7254" t="s">
        <v>6707</v>
      </c>
      <c r="S7254" t="s">
        <v>955</v>
      </c>
      <c r="T7254" t="s">
        <v>956</v>
      </c>
    </row>
    <row r="7255" spans="1:20" x14ac:dyDescent="0.25">
      <c r="A7255" t="s">
        <v>59</v>
      </c>
      <c r="B7255" t="s">
        <v>60</v>
      </c>
      <c r="C7255" t="s">
        <v>32</v>
      </c>
      <c r="D7255" t="s">
        <v>953</v>
      </c>
      <c r="E7255" t="s">
        <v>7179</v>
      </c>
      <c r="F7255" t="s">
        <v>35</v>
      </c>
      <c r="G7255" t="s">
        <v>35</v>
      </c>
      <c r="H7255" t="s">
        <v>35</v>
      </c>
      <c r="J7255" t="s">
        <v>7183</v>
      </c>
      <c r="K7255" t="s">
        <v>1092</v>
      </c>
      <c r="M7255">
        <v>0.25</v>
      </c>
      <c r="N7255">
        <v>74</v>
      </c>
      <c r="O7255" t="s">
        <v>61</v>
      </c>
      <c r="Q7255" t="s">
        <v>527</v>
      </c>
      <c r="R7255" t="s">
        <v>6707</v>
      </c>
      <c r="S7255" t="s">
        <v>955</v>
      </c>
      <c r="T7255" t="s">
        <v>956</v>
      </c>
    </row>
    <row r="7256" spans="1:20" x14ac:dyDescent="0.25">
      <c r="A7256" t="s">
        <v>59</v>
      </c>
      <c r="B7256" t="s">
        <v>31</v>
      </c>
      <c r="C7256" t="s">
        <v>32</v>
      </c>
      <c r="D7256" t="s">
        <v>953</v>
      </c>
      <c r="F7256" t="s">
        <v>35</v>
      </c>
      <c r="G7256" t="s">
        <v>35</v>
      </c>
      <c r="H7256" t="s">
        <v>35</v>
      </c>
      <c r="J7256" t="s">
        <v>8042</v>
      </c>
      <c r="K7256" t="s">
        <v>1092</v>
      </c>
      <c r="M7256">
        <v>0.85</v>
      </c>
      <c r="N7256">
        <v>1164</v>
      </c>
      <c r="O7256" t="s">
        <v>575</v>
      </c>
      <c r="Q7256" t="s">
        <v>5807</v>
      </c>
      <c r="R7256" t="s">
        <v>6707</v>
      </c>
      <c r="S7256" t="s">
        <v>955</v>
      </c>
      <c r="T7256" t="s">
        <v>956</v>
      </c>
    </row>
    <row r="7257" spans="1:20" x14ac:dyDescent="0.25">
      <c r="A7257" t="s">
        <v>30</v>
      </c>
      <c r="B7257" t="s">
        <v>31</v>
      </c>
      <c r="C7257" t="s">
        <v>32</v>
      </c>
      <c r="D7257" t="s">
        <v>953</v>
      </c>
      <c r="E7257" t="s">
        <v>7558</v>
      </c>
      <c r="F7257" t="s">
        <v>35</v>
      </c>
      <c r="G7257" t="s">
        <v>35</v>
      </c>
      <c r="H7257" t="s">
        <v>35</v>
      </c>
      <c r="J7257" t="s">
        <v>7569</v>
      </c>
      <c r="K7257" t="s">
        <v>1092</v>
      </c>
      <c r="M7257">
        <v>0.83</v>
      </c>
      <c r="N7257">
        <v>33</v>
      </c>
      <c r="O7257" t="s">
        <v>52</v>
      </c>
      <c r="Q7257" t="s">
        <v>130</v>
      </c>
      <c r="R7257" t="s">
        <v>6707</v>
      </c>
      <c r="S7257" t="s">
        <v>955</v>
      </c>
      <c r="T7257" t="s">
        <v>956</v>
      </c>
    </row>
    <row r="7258" spans="1:20" x14ac:dyDescent="0.25">
      <c r="A7258" t="s">
        <v>59</v>
      </c>
      <c r="B7258" t="s">
        <v>60</v>
      </c>
      <c r="C7258" t="s">
        <v>32</v>
      </c>
      <c r="D7258" t="s">
        <v>953</v>
      </c>
      <c r="E7258" t="s">
        <v>954</v>
      </c>
      <c r="F7258" t="s">
        <v>35</v>
      </c>
      <c r="G7258" t="s">
        <v>35</v>
      </c>
      <c r="H7258" t="s">
        <v>35</v>
      </c>
      <c r="J7258" t="s">
        <v>6827</v>
      </c>
      <c r="K7258" t="s">
        <v>1092</v>
      </c>
      <c r="M7258">
        <v>1</v>
      </c>
      <c r="N7258">
        <v>70</v>
      </c>
      <c r="O7258" t="s">
        <v>61</v>
      </c>
      <c r="Q7258" t="s">
        <v>305</v>
      </c>
      <c r="R7258" t="s">
        <v>6707</v>
      </c>
      <c r="S7258" t="s">
        <v>955</v>
      </c>
      <c r="T7258" t="s">
        <v>956</v>
      </c>
    </row>
    <row r="7259" spans="1:20" x14ac:dyDescent="0.25">
      <c r="A7259" t="s">
        <v>59</v>
      </c>
      <c r="B7259" t="s">
        <v>31</v>
      </c>
      <c r="C7259" t="s">
        <v>32</v>
      </c>
      <c r="D7259" t="s">
        <v>953</v>
      </c>
      <c r="E7259" t="s">
        <v>954</v>
      </c>
      <c r="F7259" t="s">
        <v>35</v>
      </c>
      <c r="G7259" t="s">
        <v>35</v>
      </c>
      <c r="H7259" t="s">
        <v>35</v>
      </c>
      <c r="J7259" t="s">
        <v>6827</v>
      </c>
      <c r="K7259" t="s">
        <v>1092</v>
      </c>
      <c r="M7259">
        <v>0.9</v>
      </c>
      <c r="N7259">
        <v>82</v>
      </c>
      <c r="O7259" t="s">
        <v>61</v>
      </c>
      <c r="Q7259" t="s">
        <v>299</v>
      </c>
      <c r="R7259" t="s">
        <v>6707</v>
      </c>
      <c r="S7259" t="s">
        <v>955</v>
      </c>
      <c r="T7259" t="s">
        <v>956</v>
      </c>
    </row>
    <row r="7260" spans="1:20" x14ac:dyDescent="0.25">
      <c r="A7260" t="s">
        <v>59</v>
      </c>
      <c r="B7260" t="s">
        <v>31</v>
      </c>
      <c r="C7260" t="s">
        <v>32</v>
      </c>
      <c r="D7260" t="s">
        <v>953</v>
      </c>
      <c r="E7260" t="s">
        <v>954</v>
      </c>
      <c r="F7260" t="s">
        <v>35</v>
      </c>
      <c r="G7260" t="s">
        <v>35</v>
      </c>
      <c r="H7260" t="s">
        <v>35</v>
      </c>
      <c r="J7260" t="s">
        <v>6827</v>
      </c>
      <c r="K7260" t="s">
        <v>1092</v>
      </c>
      <c r="M7260">
        <v>0.46500000000000002</v>
      </c>
      <c r="N7260">
        <v>213</v>
      </c>
      <c r="O7260" t="s">
        <v>5</v>
      </c>
      <c r="Q7260" t="s">
        <v>6828</v>
      </c>
      <c r="R7260" t="s">
        <v>6707</v>
      </c>
      <c r="S7260" t="s">
        <v>955</v>
      </c>
      <c r="T7260" t="s">
        <v>956</v>
      </c>
    </row>
    <row r="7261" spans="1:20" x14ac:dyDescent="0.25">
      <c r="A7261" t="s">
        <v>59</v>
      </c>
      <c r="B7261" t="s">
        <v>60</v>
      </c>
      <c r="C7261" t="s">
        <v>32</v>
      </c>
      <c r="D7261" t="s">
        <v>953</v>
      </c>
      <c r="E7261" t="s">
        <v>954</v>
      </c>
      <c r="F7261" t="s">
        <v>35</v>
      </c>
      <c r="G7261" t="s">
        <v>35</v>
      </c>
      <c r="H7261" t="s">
        <v>35</v>
      </c>
      <c r="J7261" t="s">
        <v>6827</v>
      </c>
      <c r="K7261" t="s">
        <v>1092</v>
      </c>
      <c r="M7261">
        <v>0.25</v>
      </c>
      <c r="N7261">
        <v>232</v>
      </c>
      <c r="O7261" t="s">
        <v>5</v>
      </c>
      <c r="Q7261" t="s">
        <v>1471</v>
      </c>
      <c r="R7261" t="s">
        <v>6707</v>
      </c>
      <c r="S7261" t="s">
        <v>955</v>
      </c>
      <c r="T7261" t="s">
        <v>956</v>
      </c>
    </row>
    <row r="7262" spans="1:20" x14ac:dyDescent="0.25">
      <c r="A7262" t="s">
        <v>59</v>
      </c>
      <c r="B7262" t="s">
        <v>60</v>
      </c>
      <c r="C7262" t="s">
        <v>32</v>
      </c>
      <c r="D7262" t="s">
        <v>953</v>
      </c>
      <c r="E7262" t="s">
        <v>954</v>
      </c>
      <c r="F7262" t="s">
        <v>35</v>
      </c>
      <c r="G7262" t="s">
        <v>35</v>
      </c>
      <c r="H7262" t="s">
        <v>35</v>
      </c>
      <c r="J7262" t="s">
        <v>6827</v>
      </c>
      <c r="K7262" t="s">
        <v>1092</v>
      </c>
      <c r="M7262">
        <v>0.26500000000000001</v>
      </c>
      <c r="N7262">
        <v>256</v>
      </c>
      <c r="O7262" t="s">
        <v>5</v>
      </c>
      <c r="Q7262" t="s">
        <v>2499</v>
      </c>
      <c r="R7262" t="s">
        <v>6707</v>
      </c>
      <c r="S7262" t="s">
        <v>955</v>
      </c>
      <c r="T7262" t="s">
        <v>956</v>
      </c>
    </row>
    <row r="7263" spans="1:20" x14ac:dyDescent="0.25">
      <c r="A7263" t="s">
        <v>44</v>
      </c>
      <c r="B7263" t="s">
        <v>51</v>
      </c>
      <c r="C7263" t="s">
        <v>32</v>
      </c>
      <c r="D7263" t="s">
        <v>953</v>
      </c>
      <c r="E7263" t="s">
        <v>954</v>
      </c>
      <c r="F7263" t="s">
        <v>35</v>
      </c>
      <c r="G7263" t="s">
        <v>35</v>
      </c>
      <c r="H7263" t="s">
        <v>35</v>
      </c>
      <c r="J7263" t="s">
        <v>6827</v>
      </c>
      <c r="K7263" t="s">
        <v>1092</v>
      </c>
      <c r="M7263">
        <v>0.44600000000000001</v>
      </c>
      <c r="N7263">
        <v>232</v>
      </c>
      <c r="O7263" t="s">
        <v>5</v>
      </c>
      <c r="Q7263" t="s">
        <v>1471</v>
      </c>
      <c r="R7263" t="s">
        <v>6707</v>
      </c>
      <c r="S7263" t="s">
        <v>955</v>
      </c>
      <c r="T7263" t="s">
        <v>956</v>
      </c>
    </row>
    <row r="7264" spans="1:20" x14ac:dyDescent="0.25">
      <c r="A7264" t="s">
        <v>59</v>
      </c>
      <c r="B7264" t="s">
        <v>31</v>
      </c>
      <c r="C7264" t="s">
        <v>32</v>
      </c>
      <c r="D7264" t="s">
        <v>953</v>
      </c>
      <c r="E7264" t="s">
        <v>980</v>
      </c>
      <c r="F7264" t="s">
        <v>35</v>
      </c>
      <c r="G7264" t="s">
        <v>35</v>
      </c>
      <c r="H7264" t="s">
        <v>35</v>
      </c>
      <c r="J7264" t="s">
        <v>7091</v>
      </c>
      <c r="K7264" t="s">
        <v>1092</v>
      </c>
      <c r="M7264">
        <v>0.18</v>
      </c>
      <c r="N7264">
        <v>79</v>
      </c>
      <c r="O7264" t="s">
        <v>61</v>
      </c>
      <c r="Q7264" t="s">
        <v>1076</v>
      </c>
      <c r="R7264" t="s">
        <v>6707</v>
      </c>
      <c r="S7264" t="s">
        <v>955</v>
      </c>
      <c r="T7264" t="s">
        <v>956</v>
      </c>
    </row>
    <row r="7265" spans="1:20" x14ac:dyDescent="0.25">
      <c r="A7265" t="s">
        <v>59</v>
      </c>
      <c r="B7265" t="s">
        <v>31</v>
      </c>
      <c r="C7265" t="s">
        <v>32</v>
      </c>
      <c r="D7265" t="s">
        <v>953</v>
      </c>
      <c r="E7265" t="s">
        <v>980</v>
      </c>
      <c r="F7265" t="s">
        <v>35</v>
      </c>
      <c r="G7265" t="s">
        <v>35</v>
      </c>
      <c r="H7265" t="s">
        <v>35</v>
      </c>
      <c r="J7265" t="s">
        <v>7091</v>
      </c>
      <c r="K7265" t="s">
        <v>1092</v>
      </c>
      <c r="M7265">
        <v>0.67500000000000004</v>
      </c>
      <c r="N7265">
        <v>56</v>
      </c>
      <c r="O7265" t="s">
        <v>52</v>
      </c>
      <c r="Q7265" t="s">
        <v>423</v>
      </c>
      <c r="R7265" t="s">
        <v>6707</v>
      </c>
      <c r="S7265" t="s">
        <v>955</v>
      </c>
      <c r="T7265" t="s">
        <v>956</v>
      </c>
    </row>
    <row r="7266" spans="1:20" x14ac:dyDescent="0.25">
      <c r="A7266" t="s">
        <v>30</v>
      </c>
      <c r="B7266" t="s">
        <v>31</v>
      </c>
      <c r="C7266" t="s">
        <v>32</v>
      </c>
      <c r="D7266" t="s">
        <v>953</v>
      </c>
      <c r="E7266" t="s">
        <v>980</v>
      </c>
      <c r="F7266" t="s">
        <v>35</v>
      </c>
      <c r="G7266" t="s">
        <v>35</v>
      </c>
      <c r="H7266" t="s">
        <v>35</v>
      </c>
      <c r="J7266" t="s">
        <v>7091</v>
      </c>
      <c r="K7266" t="s">
        <v>1092</v>
      </c>
      <c r="M7266">
        <v>1.4850000000000001</v>
      </c>
      <c r="N7266">
        <v>33</v>
      </c>
      <c r="O7266" t="s">
        <v>52</v>
      </c>
      <c r="Q7266" t="s">
        <v>130</v>
      </c>
      <c r="R7266" t="s">
        <v>6707</v>
      </c>
      <c r="S7266" t="s">
        <v>955</v>
      </c>
      <c r="T7266" t="s">
        <v>956</v>
      </c>
    </row>
    <row r="7267" spans="1:20" x14ac:dyDescent="0.25">
      <c r="A7267" t="s">
        <v>59</v>
      </c>
      <c r="B7267" t="s">
        <v>31</v>
      </c>
      <c r="C7267" t="s">
        <v>32</v>
      </c>
      <c r="D7267" t="s">
        <v>953</v>
      </c>
      <c r="E7267" t="s">
        <v>980</v>
      </c>
      <c r="F7267" t="s">
        <v>35</v>
      </c>
      <c r="G7267" t="s">
        <v>35</v>
      </c>
      <c r="H7267" t="s">
        <v>35</v>
      </c>
      <c r="J7267" t="s">
        <v>7133</v>
      </c>
      <c r="K7267" t="s">
        <v>1092</v>
      </c>
      <c r="M7267">
        <v>0.315</v>
      </c>
      <c r="N7267">
        <v>373</v>
      </c>
      <c r="O7267" t="s">
        <v>294</v>
      </c>
      <c r="Q7267" t="s">
        <v>2664</v>
      </c>
      <c r="R7267" t="s">
        <v>6707</v>
      </c>
      <c r="S7267" t="s">
        <v>955</v>
      </c>
      <c r="T7267" t="s">
        <v>956</v>
      </c>
    </row>
    <row r="7268" spans="1:20" x14ac:dyDescent="0.25">
      <c r="A7268" t="s">
        <v>59</v>
      </c>
      <c r="B7268" t="s">
        <v>60</v>
      </c>
      <c r="C7268" t="s">
        <v>32</v>
      </c>
      <c r="D7268" t="s">
        <v>953</v>
      </c>
      <c r="E7268" t="s">
        <v>980</v>
      </c>
      <c r="F7268" t="s">
        <v>35</v>
      </c>
      <c r="G7268" t="s">
        <v>35</v>
      </c>
      <c r="H7268" t="s">
        <v>35</v>
      </c>
      <c r="J7268" t="s">
        <v>7133</v>
      </c>
      <c r="K7268" t="s">
        <v>1092</v>
      </c>
      <c r="M7268">
        <v>0.25</v>
      </c>
      <c r="N7268">
        <v>404</v>
      </c>
      <c r="O7268" t="s">
        <v>294</v>
      </c>
      <c r="Q7268" t="s">
        <v>3336</v>
      </c>
      <c r="R7268" t="s">
        <v>6707</v>
      </c>
      <c r="S7268" t="s">
        <v>955</v>
      </c>
      <c r="T7268" t="s">
        <v>956</v>
      </c>
    </row>
    <row r="7269" spans="1:20" x14ac:dyDescent="0.25">
      <c r="A7269" t="s">
        <v>59</v>
      </c>
      <c r="B7269" t="s">
        <v>31</v>
      </c>
      <c r="C7269" t="s">
        <v>32</v>
      </c>
      <c r="D7269" t="s">
        <v>953</v>
      </c>
      <c r="E7269" t="s">
        <v>954</v>
      </c>
      <c r="F7269" t="s">
        <v>35</v>
      </c>
      <c r="G7269" t="s">
        <v>35</v>
      </c>
      <c r="H7269" t="s">
        <v>35</v>
      </c>
      <c r="J7269" t="s">
        <v>6743</v>
      </c>
      <c r="K7269" t="s">
        <v>1092</v>
      </c>
      <c r="M7269">
        <v>3.78</v>
      </c>
      <c r="N7269">
        <v>170</v>
      </c>
      <c r="O7269" t="s">
        <v>38</v>
      </c>
      <c r="Q7269" t="s">
        <v>4657</v>
      </c>
      <c r="R7269" t="s">
        <v>6707</v>
      </c>
      <c r="S7269" t="s">
        <v>955</v>
      </c>
      <c r="T7269" t="s">
        <v>956</v>
      </c>
    </row>
    <row r="7270" spans="1:20" x14ac:dyDescent="0.25">
      <c r="A7270" t="s">
        <v>59</v>
      </c>
      <c r="B7270" t="s">
        <v>31</v>
      </c>
      <c r="C7270" t="s">
        <v>32</v>
      </c>
      <c r="D7270" t="s">
        <v>953</v>
      </c>
      <c r="E7270" t="s">
        <v>954</v>
      </c>
      <c r="F7270" t="s">
        <v>35</v>
      </c>
      <c r="G7270" t="s">
        <v>35</v>
      </c>
      <c r="H7270" t="s">
        <v>35</v>
      </c>
      <c r="J7270" t="s">
        <v>6743</v>
      </c>
      <c r="K7270" t="s">
        <v>1092</v>
      </c>
      <c r="M7270">
        <v>0.9</v>
      </c>
      <c r="N7270">
        <v>144</v>
      </c>
      <c r="O7270" t="s">
        <v>38</v>
      </c>
      <c r="Q7270" t="s">
        <v>1269</v>
      </c>
      <c r="R7270" t="s">
        <v>6707</v>
      </c>
      <c r="S7270" t="s">
        <v>955</v>
      </c>
      <c r="T7270" t="s">
        <v>956</v>
      </c>
    </row>
    <row r="7271" spans="1:20" x14ac:dyDescent="0.25">
      <c r="A7271" t="s">
        <v>59</v>
      </c>
      <c r="B7271" t="s">
        <v>31</v>
      </c>
      <c r="C7271" t="s">
        <v>32</v>
      </c>
      <c r="D7271" t="s">
        <v>953</v>
      </c>
      <c r="E7271" t="s">
        <v>954</v>
      </c>
      <c r="F7271" t="s">
        <v>35</v>
      </c>
      <c r="G7271" t="s">
        <v>35</v>
      </c>
      <c r="H7271" t="s">
        <v>35</v>
      </c>
      <c r="J7271" t="s">
        <v>6743</v>
      </c>
      <c r="K7271" t="s">
        <v>1092</v>
      </c>
      <c r="M7271">
        <v>4.9950000000000001</v>
      </c>
      <c r="N7271">
        <v>142</v>
      </c>
      <c r="O7271" t="s">
        <v>38</v>
      </c>
      <c r="Q7271" t="s">
        <v>73</v>
      </c>
      <c r="R7271" t="s">
        <v>6707</v>
      </c>
      <c r="S7271" t="s">
        <v>955</v>
      </c>
      <c r="T7271" t="s">
        <v>956</v>
      </c>
    </row>
    <row r="7272" spans="1:20" x14ac:dyDescent="0.25">
      <c r="A7272" t="s">
        <v>59</v>
      </c>
      <c r="B7272" t="s">
        <v>60</v>
      </c>
      <c r="C7272" t="s">
        <v>32</v>
      </c>
      <c r="D7272" t="s">
        <v>953</v>
      </c>
      <c r="E7272" t="s">
        <v>980</v>
      </c>
      <c r="F7272" t="s">
        <v>35</v>
      </c>
      <c r="G7272" t="s">
        <v>35</v>
      </c>
      <c r="H7272" t="s">
        <v>35</v>
      </c>
      <c r="J7272" t="s">
        <v>7151</v>
      </c>
      <c r="K7272" t="s">
        <v>1092</v>
      </c>
      <c r="M7272">
        <v>0.1</v>
      </c>
      <c r="N7272">
        <v>135</v>
      </c>
      <c r="O7272" t="s">
        <v>38</v>
      </c>
      <c r="Q7272" t="s">
        <v>2067</v>
      </c>
      <c r="R7272" t="s">
        <v>6707</v>
      </c>
      <c r="S7272" t="s">
        <v>955</v>
      </c>
      <c r="T7272" t="s">
        <v>956</v>
      </c>
    </row>
    <row r="7273" spans="1:20" x14ac:dyDescent="0.25">
      <c r="A7273" t="s">
        <v>59</v>
      </c>
      <c r="B7273" t="s">
        <v>60</v>
      </c>
      <c r="C7273" t="s">
        <v>32</v>
      </c>
      <c r="D7273" t="s">
        <v>953</v>
      </c>
      <c r="E7273" t="s">
        <v>980</v>
      </c>
      <c r="F7273" t="s">
        <v>35</v>
      </c>
      <c r="G7273" t="s">
        <v>35</v>
      </c>
      <c r="H7273" t="s">
        <v>35</v>
      </c>
      <c r="J7273" t="s">
        <v>7151</v>
      </c>
      <c r="K7273" t="s">
        <v>1092</v>
      </c>
      <c r="M7273">
        <v>0.4</v>
      </c>
      <c r="N7273">
        <v>125</v>
      </c>
      <c r="O7273" t="s">
        <v>38</v>
      </c>
      <c r="Q7273" t="s">
        <v>2901</v>
      </c>
      <c r="R7273" t="s">
        <v>6707</v>
      </c>
      <c r="S7273" t="s">
        <v>955</v>
      </c>
      <c r="T7273" t="s">
        <v>956</v>
      </c>
    </row>
    <row r="7274" spans="1:20" x14ac:dyDescent="0.25">
      <c r="A7274" t="s">
        <v>44</v>
      </c>
      <c r="B7274" t="s">
        <v>51</v>
      </c>
      <c r="C7274" t="s">
        <v>32</v>
      </c>
      <c r="D7274" t="s">
        <v>953</v>
      </c>
      <c r="E7274" t="s">
        <v>954</v>
      </c>
      <c r="F7274" t="s">
        <v>35</v>
      </c>
      <c r="G7274" t="s">
        <v>35</v>
      </c>
      <c r="H7274" t="s">
        <v>35</v>
      </c>
      <c r="J7274" t="s">
        <v>6714</v>
      </c>
      <c r="K7274" t="s">
        <v>1092</v>
      </c>
      <c r="M7274">
        <v>0.5</v>
      </c>
      <c r="N7274">
        <v>13</v>
      </c>
      <c r="O7274" t="s">
        <v>46</v>
      </c>
      <c r="Q7274" t="s">
        <v>1004</v>
      </c>
      <c r="R7274" t="s">
        <v>6707</v>
      </c>
      <c r="S7274" t="s">
        <v>955</v>
      </c>
      <c r="T7274" t="s">
        <v>956</v>
      </c>
    </row>
    <row r="7275" spans="1:20" x14ac:dyDescent="0.25">
      <c r="A7275" t="s">
        <v>59</v>
      </c>
      <c r="B7275" t="s">
        <v>60</v>
      </c>
      <c r="C7275" t="s">
        <v>32</v>
      </c>
      <c r="D7275" t="s">
        <v>953</v>
      </c>
      <c r="E7275" t="s">
        <v>954</v>
      </c>
      <c r="F7275" t="s">
        <v>35</v>
      </c>
      <c r="G7275" t="s">
        <v>35</v>
      </c>
      <c r="H7275" t="s">
        <v>35</v>
      </c>
      <c r="J7275" t="s">
        <v>6714</v>
      </c>
      <c r="K7275" t="s">
        <v>1092</v>
      </c>
      <c r="M7275">
        <v>0.5</v>
      </c>
      <c r="N7275">
        <v>42</v>
      </c>
      <c r="O7275" t="s">
        <v>52</v>
      </c>
      <c r="Q7275" t="s">
        <v>219</v>
      </c>
      <c r="R7275" t="s">
        <v>6707</v>
      </c>
      <c r="S7275" t="s">
        <v>955</v>
      </c>
      <c r="T7275" t="s">
        <v>956</v>
      </c>
    </row>
    <row r="7276" spans="1:20" x14ac:dyDescent="0.25">
      <c r="A7276" t="s">
        <v>59</v>
      </c>
      <c r="B7276" t="s">
        <v>60</v>
      </c>
      <c r="C7276" t="s">
        <v>32</v>
      </c>
      <c r="D7276" t="s">
        <v>953</v>
      </c>
      <c r="E7276" t="s">
        <v>954</v>
      </c>
      <c r="F7276" t="s">
        <v>35</v>
      </c>
      <c r="G7276" t="s">
        <v>35</v>
      </c>
      <c r="H7276" t="s">
        <v>35</v>
      </c>
      <c r="J7276" t="s">
        <v>6714</v>
      </c>
      <c r="K7276" t="s">
        <v>1092</v>
      </c>
      <c r="M7276">
        <v>0.05</v>
      </c>
      <c r="N7276">
        <v>52</v>
      </c>
      <c r="O7276" t="s">
        <v>52</v>
      </c>
      <c r="Q7276" t="s">
        <v>84</v>
      </c>
      <c r="R7276" t="s">
        <v>6707</v>
      </c>
      <c r="S7276" t="s">
        <v>955</v>
      </c>
      <c r="T7276" t="s">
        <v>956</v>
      </c>
    </row>
    <row r="7277" spans="1:20" x14ac:dyDescent="0.25">
      <c r="A7277" t="s">
        <v>59</v>
      </c>
      <c r="B7277" t="s">
        <v>31</v>
      </c>
      <c r="C7277" t="s">
        <v>32</v>
      </c>
      <c r="D7277" t="s">
        <v>953</v>
      </c>
      <c r="E7277" t="s">
        <v>954</v>
      </c>
      <c r="F7277" t="s">
        <v>35</v>
      </c>
      <c r="G7277" t="s">
        <v>35</v>
      </c>
      <c r="H7277" t="s">
        <v>35</v>
      </c>
      <c r="J7277" t="s">
        <v>6728</v>
      </c>
      <c r="K7277" t="s">
        <v>1092</v>
      </c>
      <c r="M7277">
        <v>0.13500000000000001</v>
      </c>
      <c r="N7277">
        <v>764</v>
      </c>
      <c r="O7277" t="s">
        <v>575</v>
      </c>
      <c r="Q7277" t="s">
        <v>6729</v>
      </c>
      <c r="R7277" t="s">
        <v>6707</v>
      </c>
      <c r="S7277" t="s">
        <v>955</v>
      </c>
      <c r="T7277" t="s">
        <v>956</v>
      </c>
    </row>
    <row r="7278" spans="1:20" x14ac:dyDescent="0.25">
      <c r="A7278" t="s">
        <v>30</v>
      </c>
      <c r="B7278" t="s">
        <v>31</v>
      </c>
      <c r="C7278" t="s">
        <v>32</v>
      </c>
      <c r="D7278" t="s">
        <v>953</v>
      </c>
      <c r="E7278" t="s">
        <v>954</v>
      </c>
      <c r="F7278" t="s">
        <v>35</v>
      </c>
      <c r="G7278" t="s">
        <v>35</v>
      </c>
      <c r="H7278" t="s">
        <v>35</v>
      </c>
      <c r="J7278" t="s">
        <v>6728</v>
      </c>
      <c r="K7278" t="s">
        <v>1092</v>
      </c>
      <c r="M7278">
        <v>3.5000000000000003E-2</v>
      </c>
      <c r="N7278">
        <v>1194</v>
      </c>
      <c r="O7278" t="s">
        <v>575</v>
      </c>
      <c r="Q7278" t="s">
        <v>3631</v>
      </c>
      <c r="R7278" t="s">
        <v>6707</v>
      </c>
      <c r="S7278" t="s">
        <v>955</v>
      </c>
      <c r="T7278" t="s">
        <v>956</v>
      </c>
    </row>
    <row r="7279" spans="1:20" x14ac:dyDescent="0.25">
      <c r="A7279" t="s">
        <v>59</v>
      </c>
      <c r="B7279" t="s">
        <v>60</v>
      </c>
      <c r="C7279" t="s">
        <v>32</v>
      </c>
      <c r="D7279" t="s">
        <v>953</v>
      </c>
      <c r="E7279" t="s">
        <v>954</v>
      </c>
      <c r="F7279" t="s">
        <v>35</v>
      </c>
      <c r="G7279" t="s">
        <v>35</v>
      </c>
      <c r="H7279" t="s">
        <v>35</v>
      </c>
      <c r="J7279" t="s">
        <v>6732</v>
      </c>
      <c r="K7279" t="s">
        <v>1092</v>
      </c>
      <c r="M7279">
        <v>0.25</v>
      </c>
      <c r="N7279">
        <v>37</v>
      </c>
      <c r="O7279" t="s">
        <v>52</v>
      </c>
      <c r="Q7279" t="s">
        <v>192</v>
      </c>
      <c r="R7279" t="s">
        <v>6707</v>
      </c>
      <c r="S7279" t="s">
        <v>955</v>
      </c>
      <c r="T7279" t="s">
        <v>956</v>
      </c>
    </row>
    <row r="7280" spans="1:20" x14ac:dyDescent="0.25">
      <c r="A7280" t="s">
        <v>30</v>
      </c>
      <c r="B7280" t="s">
        <v>31</v>
      </c>
      <c r="C7280" t="s">
        <v>32</v>
      </c>
      <c r="D7280" t="s">
        <v>953</v>
      </c>
      <c r="E7280" t="s">
        <v>954</v>
      </c>
      <c r="F7280" t="s">
        <v>35</v>
      </c>
      <c r="G7280" t="s">
        <v>35</v>
      </c>
      <c r="H7280" t="s">
        <v>35</v>
      </c>
      <c r="J7280" t="s">
        <v>6736</v>
      </c>
      <c r="K7280" t="s">
        <v>1092</v>
      </c>
      <c r="M7280">
        <v>19.98</v>
      </c>
      <c r="N7280">
        <v>13</v>
      </c>
      <c r="O7280" t="s">
        <v>46</v>
      </c>
      <c r="Q7280" t="s">
        <v>1004</v>
      </c>
      <c r="R7280" t="s">
        <v>6707</v>
      </c>
      <c r="S7280" t="s">
        <v>955</v>
      </c>
      <c r="T7280" t="s">
        <v>956</v>
      </c>
    </row>
    <row r="7281" spans="1:20" x14ac:dyDescent="0.25">
      <c r="A7281" t="s">
        <v>44</v>
      </c>
      <c r="B7281" t="s">
        <v>51</v>
      </c>
      <c r="C7281" t="s">
        <v>32</v>
      </c>
      <c r="D7281" t="s">
        <v>953</v>
      </c>
      <c r="E7281" t="s">
        <v>954</v>
      </c>
      <c r="F7281" t="s">
        <v>35</v>
      </c>
      <c r="G7281" t="s">
        <v>35</v>
      </c>
      <c r="H7281" t="s">
        <v>35</v>
      </c>
      <c r="J7281" t="s">
        <v>6736</v>
      </c>
      <c r="K7281" t="s">
        <v>1092</v>
      </c>
      <c r="M7281">
        <v>1</v>
      </c>
      <c r="N7281">
        <v>13</v>
      </c>
      <c r="O7281" t="s">
        <v>46</v>
      </c>
      <c r="Q7281" t="s">
        <v>1004</v>
      </c>
      <c r="R7281" t="s">
        <v>6707</v>
      </c>
      <c r="S7281" t="s">
        <v>955</v>
      </c>
      <c r="T7281" t="s">
        <v>956</v>
      </c>
    </row>
    <row r="7282" spans="1:20" x14ac:dyDescent="0.25">
      <c r="A7282" t="s">
        <v>59</v>
      </c>
      <c r="B7282" t="s">
        <v>31</v>
      </c>
      <c r="C7282" t="s">
        <v>32</v>
      </c>
      <c r="D7282" t="s">
        <v>953</v>
      </c>
      <c r="E7282" t="s">
        <v>954</v>
      </c>
      <c r="F7282" t="s">
        <v>35</v>
      </c>
      <c r="G7282" t="s">
        <v>35</v>
      </c>
      <c r="H7282" t="s">
        <v>35</v>
      </c>
      <c r="J7282" t="s">
        <v>6736</v>
      </c>
      <c r="K7282" t="s">
        <v>1092</v>
      </c>
      <c r="M7282">
        <v>2.25</v>
      </c>
      <c r="N7282">
        <v>84</v>
      </c>
      <c r="O7282" t="s">
        <v>61</v>
      </c>
      <c r="Q7282" t="s">
        <v>1147</v>
      </c>
      <c r="R7282" t="s">
        <v>6707</v>
      </c>
      <c r="S7282" t="s">
        <v>955</v>
      </c>
      <c r="T7282" t="s">
        <v>956</v>
      </c>
    </row>
    <row r="7283" spans="1:20" x14ac:dyDescent="0.25">
      <c r="A7283" t="s">
        <v>44</v>
      </c>
      <c r="B7283" t="s">
        <v>51</v>
      </c>
      <c r="C7283" t="s">
        <v>32</v>
      </c>
      <c r="D7283" t="s">
        <v>953</v>
      </c>
      <c r="E7283" t="s">
        <v>954</v>
      </c>
      <c r="F7283" t="s">
        <v>35</v>
      </c>
      <c r="G7283" t="s">
        <v>35</v>
      </c>
      <c r="H7283" t="s">
        <v>35</v>
      </c>
      <c r="J7283" t="s">
        <v>6737</v>
      </c>
      <c r="K7283" t="s">
        <v>1092</v>
      </c>
      <c r="M7283">
        <v>0.35</v>
      </c>
      <c r="N7283">
        <v>21</v>
      </c>
      <c r="O7283" t="s">
        <v>46</v>
      </c>
      <c r="Q7283" t="s">
        <v>176</v>
      </c>
      <c r="R7283" t="s">
        <v>6707</v>
      </c>
      <c r="S7283" t="s">
        <v>955</v>
      </c>
      <c r="T7283" t="s">
        <v>956</v>
      </c>
    </row>
    <row r="7284" spans="1:20" x14ac:dyDescent="0.25">
      <c r="A7284" t="s">
        <v>59</v>
      </c>
      <c r="B7284" t="s">
        <v>60</v>
      </c>
      <c r="C7284" t="s">
        <v>32</v>
      </c>
      <c r="D7284" t="s">
        <v>953</v>
      </c>
      <c r="E7284" t="s">
        <v>980</v>
      </c>
      <c r="F7284" t="s">
        <v>35</v>
      </c>
      <c r="G7284" t="s">
        <v>35</v>
      </c>
      <c r="H7284" t="s">
        <v>35</v>
      </c>
      <c r="J7284" t="s">
        <v>7071</v>
      </c>
      <c r="K7284" t="s">
        <v>1092</v>
      </c>
      <c r="M7284">
        <v>0.25</v>
      </c>
      <c r="N7284">
        <v>53</v>
      </c>
      <c r="O7284" t="s">
        <v>52</v>
      </c>
      <c r="Q7284" t="s">
        <v>1734</v>
      </c>
      <c r="R7284" t="s">
        <v>6707</v>
      </c>
      <c r="S7284" t="s">
        <v>955</v>
      </c>
      <c r="T7284" t="s">
        <v>956</v>
      </c>
    </row>
    <row r="7285" spans="1:20" x14ac:dyDescent="0.25">
      <c r="A7285" t="s">
        <v>59</v>
      </c>
      <c r="B7285" t="s">
        <v>31</v>
      </c>
      <c r="C7285" t="s">
        <v>32</v>
      </c>
      <c r="D7285" t="s">
        <v>953</v>
      </c>
      <c r="E7285" t="s">
        <v>954</v>
      </c>
      <c r="F7285" t="s">
        <v>35</v>
      </c>
      <c r="G7285" t="s">
        <v>35</v>
      </c>
      <c r="H7285" t="s">
        <v>35</v>
      </c>
      <c r="J7285" t="s">
        <v>6818</v>
      </c>
      <c r="K7285" t="s">
        <v>1092</v>
      </c>
      <c r="M7285">
        <v>0.22500000000000001</v>
      </c>
      <c r="N7285">
        <v>42</v>
      </c>
      <c r="O7285" t="s">
        <v>52</v>
      </c>
      <c r="Q7285" t="s">
        <v>219</v>
      </c>
      <c r="R7285" t="s">
        <v>6707</v>
      </c>
      <c r="S7285" t="s">
        <v>955</v>
      </c>
      <c r="T7285" t="s">
        <v>956</v>
      </c>
    </row>
    <row r="7286" spans="1:20" x14ac:dyDescent="0.25">
      <c r="A7286" t="s">
        <v>59</v>
      </c>
      <c r="B7286" t="s">
        <v>60</v>
      </c>
      <c r="C7286" t="s">
        <v>32</v>
      </c>
      <c r="D7286" t="s">
        <v>953</v>
      </c>
      <c r="E7286" t="s">
        <v>954</v>
      </c>
      <c r="F7286" t="s">
        <v>35</v>
      </c>
      <c r="G7286" t="s">
        <v>35</v>
      </c>
      <c r="H7286" t="s">
        <v>35</v>
      </c>
      <c r="J7286" t="s">
        <v>6818</v>
      </c>
      <c r="K7286" t="s">
        <v>1092</v>
      </c>
      <c r="M7286">
        <v>0.35</v>
      </c>
      <c r="N7286">
        <v>58</v>
      </c>
      <c r="O7286" t="s">
        <v>52</v>
      </c>
      <c r="Q7286" t="s">
        <v>128</v>
      </c>
      <c r="R7286" t="s">
        <v>6707</v>
      </c>
      <c r="S7286" t="s">
        <v>955</v>
      </c>
      <c r="T7286" t="s">
        <v>956</v>
      </c>
    </row>
    <row r="7287" spans="1:20" x14ac:dyDescent="0.25">
      <c r="A7287" t="s">
        <v>59</v>
      </c>
      <c r="B7287" t="s">
        <v>60</v>
      </c>
      <c r="C7287" t="s">
        <v>32</v>
      </c>
      <c r="D7287" t="s">
        <v>953</v>
      </c>
      <c r="E7287" t="s">
        <v>954</v>
      </c>
      <c r="F7287" t="s">
        <v>35</v>
      </c>
      <c r="G7287" t="s">
        <v>35</v>
      </c>
      <c r="H7287" t="s">
        <v>35</v>
      </c>
      <c r="J7287" t="s">
        <v>6818</v>
      </c>
      <c r="K7287" t="s">
        <v>1092</v>
      </c>
      <c r="M7287">
        <v>0.35</v>
      </c>
      <c r="N7287">
        <v>42</v>
      </c>
      <c r="O7287" t="s">
        <v>52</v>
      </c>
      <c r="Q7287" t="s">
        <v>219</v>
      </c>
      <c r="R7287" t="s">
        <v>6707</v>
      </c>
      <c r="S7287" t="s">
        <v>955</v>
      </c>
      <c r="T7287" t="s">
        <v>956</v>
      </c>
    </row>
    <row r="7288" spans="1:20" x14ac:dyDescent="0.25">
      <c r="A7288" t="s">
        <v>59</v>
      </c>
      <c r="B7288" t="s">
        <v>60</v>
      </c>
      <c r="C7288" t="s">
        <v>32</v>
      </c>
      <c r="D7288" t="s">
        <v>953</v>
      </c>
      <c r="E7288" t="s">
        <v>954</v>
      </c>
      <c r="F7288" t="s">
        <v>35</v>
      </c>
      <c r="G7288" t="s">
        <v>35</v>
      </c>
      <c r="H7288" t="s">
        <v>35</v>
      </c>
      <c r="J7288" t="s">
        <v>6818</v>
      </c>
      <c r="K7288" t="s">
        <v>1092</v>
      </c>
      <c r="M7288">
        <v>0.4</v>
      </c>
      <c r="N7288">
        <v>69</v>
      </c>
      <c r="O7288" t="s">
        <v>61</v>
      </c>
      <c r="Q7288" t="s">
        <v>234</v>
      </c>
      <c r="R7288" t="s">
        <v>6707</v>
      </c>
      <c r="S7288" t="s">
        <v>955</v>
      </c>
      <c r="T7288" t="s">
        <v>956</v>
      </c>
    </row>
    <row r="7289" spans="1:20" x14ac:dyDescent="0.25">
      <c r="A7289" t="s">
        <v>59</v>
      </c>
      <c r="B7289" t="s">
        <v>60</v>
      </c>
      <c r="C7289" t="s">
        <v>32</v>
      </c>
      <c r="D7289" t="s">
        <v>953</v>
      </c>
      <c r="E7289" t="s">
        <v>954</v>
      </c>
      <c r="F7289" t="s">
        <v>35</v>
      </c>
      <c r="G7289" t="s">
        <v>35</v>
      </c>
      <c r="H7289" t="s">
        <v>35</v>
      </c>
      <c r="J7289" t="s">
        <v>6818</v>
      </c>
      <c r="K7289" t="s">
        <v>1092</v>
      </c>
      <c r="M7289">
        <v>0.1</v>
      </c>
      <c r="N7289">
        <v>75</v>
      </c>
      <c r="O7289" t="s">
        <v>61</v>
      </c>
      <c r="Q7289" t="s">
        <v>447</v>
      </c>
      <c r="R7289" t="s">
        <v>6707</v>
      </c>
      <c r="S7289" t="s">
        <v>955</v>
      </c>
      <c r="T7289" t="s">
        <v>956</v>
      </c>
    </row>
    <row r="7290" spans="1:20" x14ac:dyDescent="0.25">
      <c r="A7290" t="s">
        <v>44</v>
      </c>
      <c r="B7290" t="s">
        <v>51</v>
      </c>
      <c r="C7290" t="s">
        <v>32</v>
      </c>
      <c r="D7290" t="s">
        <v>953</v>
      </c>
      <c r="E7290" t="s">
        <v>954</v>
      </c>
      <c r="F7290" t="s">
        <v>35</v>
      </c>
      <c r="G7290" t="s">
        <v>35</v>
      </c>
      <c r="H7290" t="s">
        <v>35</v>
      </c>
      <c r="J7290" t="s">
        <v>6750</v>
      </c>
      <c r="K7290" t="s">
        <v>1092</v>
      </c>
      <c r="M7290">
        <v>2</v>
      </c>
      <c r="N7290">
        <v>13</v>
      </c>
      <c r="O7290" t="s">
        <v>46</v>
      </c>
      <c r="Q7290" t="s">
        <v>1004</v>
      </c>
      <c r="R7290" t="s">
        <v>6707</v>
      </c>
      <c r="S7290" t="s">
        <v>955</v>
      </c>
      <c r="T7290" t="s">
        <v>956</v>
      </c>
    </row>
    <row r="7291" spans="1:20" x14ac:dyDescent="0.25">
      <c r="A7291" t="s">
        <v>30</v>
      </c>
      <c r="B7291" t="s">
        <v>31</v>
      </c>
      <c r="C7291" t="s">
        <v>32</v>
      </c>
      <c r="D7291" t="s">
        <v>953</v>
      </c>
      <c r="E7291" t="s">
        <v>954</v>
      </c>
      <c r="F7291" t="s">
        <v>35</v>
      </c>
      <c r="G7291" t="s">
        <v>35</v>
      </c>
      <c r="H7291" t="s">
        <v>35</v>
      </c>
      <c r="J7291" t="s">
        <v>6750</v>
      </c>
      <c r="K7291" t="s">
        <v>1092</v>
      </c>
      <c r="M7291">
        <v>0.85499999999999998</v>
      </c>
      <c r="N7291">
        <v>26</v>
      </c>
      <c r="O7291" t="s">
        <v>46</v>
      </c>
      <c r="Q7291" t="s">
        <v>137</v>
      </c>
      <c r="R7291" t="s">
        <v>6707</v>
      </c>
      <c r="S7291" t="s">
        <v>955</v>
      </c>
      <c r="T7291" t="s">
        <v>956</v>
      </c>
    </row>
    <row r="7292" spans="1:20" x14ac:dyDescent="0.25">
      <c r="A7292" t="s">
        <v>59</v>
      </c>
      <c r="B7292" t="s">
        <v>60</v>
      </c>
      <c r="C7292" t="s">
        <v>32</v>
      </c>
      <c r="D7292" t="s">
        <v>953</v>
      </c>
      <c r="E7292" t="s">
        <v>954</v>
      </c>
      <c r="F7292" t="s">
        <v>35</v>
      </c>
      <c r="G7292" t="s">
        <v>35</v>
      </c>
      <c r="H7292" t="s">
        <v>35</v>
      </c>
      <c r="J7292" t="s">
        <v>6750</v>
      </c>
      <c r="K7292" t="s">
        <v>1092</v>
      </c>
      <c r="M7292">
        <v>0.1</v>
      </c>
      <c r="N7292">
        <v>168</v>
      </c>
      <c r="O7292" t="s">
        <v>38</v>
      </c>
      <c r="Q7292" t="s">
        <v>1692</v>
      </c>
      <c r="R7292" t="s">
        <v>6707</v>
      </c>
      <c r="S7292" t="s">
        <v>955</v>
      </c>
      <c r="T7292" t="s">
        <v>956</v>
      </c>
    </row>
    <row r="7293" spans="1:20" x14ac:dyDescent="0.25">
      <c r="A7293" t="s">
        <v>30</v>
      </c>
      <c r="B7293" t="s">
        <v>31</v>
      </c>
      <c r="C7293" t="s">
        <v>32</v>
      </c>
      <c r="D7293" t="s">
        <v>953</v>
      </c>
      <c r="E7293" t="s">
        <v>954</v>
      </c>
      <c r="F7293" t="s">
        <v>35</v>
      </c>
      <c r="G7293" t="s">
        <v>35</v>
      </c>
      <c r="H7293" t="s">
        <v>35</v>
      </c>
      <c r="J7293" t="s">
        <v>6756</v>
      </c>
      <c r="K7293" t="s">
        <v>1092</v>
      </c>
      <c r="M7293">
        <v>0.13500000000000001</v>
      </c>
      <c r="N7293">
        <v>9</v>
      </c>
      <c r="O7293" t="s">
        <v>46</v>
      </c>
      <c r="Q7293" t="s">
        <v>323</v>
      </c>
      <c r="R7293" t="s">
        <v>6707</v>
      </c>
      <c r="S7293" t="s">
        <v>955</v>
      </c>
      <c r="T7293" t="s">
        <v>956</v>
      </c>
    </row>
    <row r="7294" spans="1:20" x14ac:dyDescent="0.25">
      <c r="A7294" t="s">
        <v>59</v>
      </c>
      <c r="B7294" t="s">
        <v>60</v>
      </c>
      <c r="C7294" t="s">
        <v>32</v>
      </c>
      <c r="D7294" t="s">
        <v>953</v>
      </c>
      <c r="E7294" t="s">
        <v>954</v>
      </c>
      <c r="F7294" t="s">
        <v>35</v>
      </c>
      <c r="G7294" t="s">
        <v>35</v>
      </c>
      <c r="H7294" t="s">
        <v>35</v>
      </c>
      <c r="J7294" t="s">
        <v>6758</v>
      </c>
      <c r="K7294" t="s">
        <v>1092</v>
      </c>
      <c r="M7294">
        <v>0.15</v>
      </c>
      <c r="N7294">
        <v>42</v>
      </c>
      <c r="O7294" t="s">
        <v>52</v>
      </c>
      <c r="Q7294" t="s">
        <v>219</v>
      </c>
      <c r="R7294" t="s">
        <v>6707</v>
      </c>
      <c r="S7294" t="s">
        <v>955</v>
      </c>
      <c r="T7294" t="s">
        <v>956</v>
      </c>
    </row>
    <row r="7295" spans="1:20" x14ac:dyDescent="0.25">
      <c r="A7295" t="s">
        <v>30</v>
      </c>
      <c r="B7295" t="s">
        <v>31</v>
      </c>
      <c r="C7295" t="s">
        <v>32</v>
      </c>
      <c r="D7295" t="s">
        <v>953</v>
      </c>
      <c r="E7295" t="s">
        <v>954</v>
      </c>
      <c r="F7295" t="s">
        <v>35</v>
      </c>
      <c r="G7295" t="s">
        <v>35</v>
      </c>
      <c r="H7295" t="s">
        <v>35</v>
      </c>
      <c r="J7295" t="s">
        <v>6758</v>
      </c>
      <c r="K7295" t="s">
        <v>1092</v>
      </c>
      <c r="M7295">
        <v>0.9</v>
      </c>
      <c r="N7295">
        <v>26</v>
      </c>
      <c r="O7295" t="s">
        <v>46</v>
      </c>
      <c r="Q7295" t="s">
        <v>137</v>
      </c>
      <c r="R7295" t="s">
        <v>6707</v>
      </c>
      <c r="S7295" t="s">
        <v>955</v>
      </c>
      <c r="T7295" t="s">
        <v>956</v>
      </c>
    </row>
    <row r="7296" spans="1:20" x14ac:dyDescent="0.25">
      <c r="A7296" t="s">
        <v>30</v>
      </c>
      <c r="B7296" t="s">
        <v>31</v>
      </c>
      <c r="C7296" t="s">
        <v>32</v>
      </c>
      <c r="D7296" t="s">
        <v>953</v>
      </c>
      <c r="E7296" t="s">
        <v>954</v>
      </c>
      <c r="F7296" t="s">
        <v>35</v>
      </c>
      <c r="G7296" t="s">
        <v>35</v>
      </c>
      <c r="H7296" t="s">
        <v>35</v>
      </c>
      <c r="J7296" t="s">
        <v>6758</v>
      </c>
      <c r="K7296" t="s">
        <v>1092</v>
      </c>
      <c r="M7296">
        <v>4.4999999999999998E-2</v>
      </c>
      <c r="N7296">
        <v>31</v>
      </c>
      <c r="O7296" t="s">
        <v>52</v>
      </c>
      <c r="Q7296" t="s">
        <v>748</v>
      </c>
      <c r="R7296" t="s">
        <v>6707</v>
      </c>
      <c r="S7296" t="s">
        <v>955</v>
      </c>
      <c r="T7296" t="s">
        <v>956</v>
      </c>
    </row>
    <row r="7297" spans="1:20" x14ac:dyDescent="0.25">
      <c r="A7297" t="s">
        <v>44</v>
      </c>
      <c r="B7297" t="s">
        <v>51</v>
      </c>
      <c r="C7297" t="s">
        <v>32</v>
      </c>
      <c r="D7297" t="s">
        <v>953</v>
      </c>
      <c r="E7297" t="s">
        <v>980</v>
      </c>
      <c r="F7297" t="s">
        <v>35</v>
      </c>
      <c r="G7297" t="s">
        <v>35</v>
      </c>
      <c r="H7297" t="s">
        <v>35</v>
      </c>
      <c r="J7297" t="s">
        <v>7110</v>
      </c>
      <c r="K7297" t="s">
        <v>1092</v>
      </c>
      <c r="M7297">
        <v>0.7</v>
      </c>
      <c r="N7297">
        <v>13</v>
      </c>
      <c r="O7297" t="s">
        <v>46</v>
      </c>
      <c r="Q7297" t="s">
        <v>1004</v>
      </c>
      <c r="R7297" t="s">
        <v>6707</v>
      </c>
      <c r="S7297" t="s">
        <v>955</v>
      </c>
      <c r="T7297" t="s">
        <v>956</v>
      </c>
    </row>
    <row r="7298" spans="1:20" x14ac:dyDescent="0.25">
      <c r="A7298" t="s">
        <v>59</v>
      </c>
      <c r="B7298" t="s">
        <v>60</v>
      </c>
      <c r="C7298" t="s">
        <v>32</v>
      </c>
      <c r="D7298" t="s">
        <v>953</v>
      </c>
      <c r="F7298" t="s">
        <v>35</v>
      </c>
      <c r="G7298" t="s">
        <v>35</v>
      </c>
      <c r="H7298" t="s">
        <v>35</v>
      </c>
      <c r="J7298" t="s">
        <v>7980</v>
      </c>
      <c r="K7298" t="s">
        <v>1092</v>
      </c>
      <c r="M7298">
        <v>0.32400000000000001</v>
      </c>
      <c r="N7298">
        <v>1885</v>
      </c>
      <c r="O7298" t="s">
        <v>575</v>
      </c>
      <c r="Q7298" t="s">
        <v>1094</v>
      </c>
      <c r="R7298" t="s">
        <v>6707</v>
      </c>
      <c r="S7298" t="s">
        <v>955</v>
      </c>
      <c r="T7298" t="s">
        <v>956</v>
      </c>
    </row>
    <row r="7299" spans="1:20" x14ac:dyDescent="0.25">
      <c r="A7299" t="s">
        <v>30</v>
      </c>
      <c r="B7299" t="s">
        <v>31</v>
      </c>
      <c r="C7299" t="s">
        <v>32</v>
      </c>
      <c r="D7299" t="s">
        <v>953</v>
      </c>
      <c r="E7299" t="s">
        <v>954</v>
      </c>
      <c r="F7299" t="s">
        <v>35</v>
      </c>
      <c r="G7299" t="s">
        <v>35</v>
      </c>
      <c r="H7299" t="s">
        <v>35</v>
      </c>
      <c r="J7299" t="s">
        <v>6872</v>
      </c>
      <c r="K7299" t="s">
        <v>1092</v>
      </c>
      <c r="M7299">
        <v>0.18</v>
      </c>
      <c r="N7299">
        <v>13</v>
      </c>
      <c r="O7299" t="s">
        <v>46</v>
      </c>
      <c r="Q7299" t="s">
        <v>1004</v>
      </c>
      <c r="R7299" t="s">
        <v>6707</v>
      </c>
      <c r="S7299" t="s">
        <v>955</v>
      </c>
      <c r="T7299" t="s">
        <v>956</v>
      </c>
    </row>
    <row r="7300" spans="1:20" x14ac:dyDescent="0.25">
      <c r="A7300" t="s">
        <v>59</v>
      </c>
      <c r="B7300" t="s">
        <v>60</v>
      </c>
      <c r="C7300" t="s">
        <v>32</v>
      </c>
      <c r="D7300" t="s">
        <v>953</v>
      </c>
      <c r="E7300" t="s">
        <v>954</v>
      </c>
      <c r="F7300" t="s">
        <v>35</v>
      </c>
      <c r="G7300" t="s">
        <v>35</v>
      </c>
      <c r="H7300" t="s">
        <v>35</v>
      </c>
      <c r="J7300" t="s">
        <v>6860</v>
      </c>
      <c r="K7300" t="s">
        <v>1092</v>
      </c>
      <c r="M7300">
        <v>0.75</v>
      </c>
      <c r="N7300">
        <v>57</v>
      </c>
      <c r="O7300" t="s">
        <v>52</v>
      </c>
      <c r="Q7300" t="s">
        <v>381</v>
      </c>
      <c r="R7300" t="s">
        <v>6707</v>
      </c>
      <c r="S7300" t="s">
        <v>955</v>
      </c>
      <c r="T7300" t="s">
        <v>956</v>
      </c>
    </row>
    <row r="7301" spans="1:20" x14ac:dyDescent="0.25">
      <c r="A7301" t="s">
        <v>30</v>
      </c>
      <c r="B7301" t="s">
        <v>31</v>
      </c>
      <c r="C7301" t="s">
        <v>32</v>
      </c>
      <c r="D7301" t="s">
        <v>953</v>
      </c>
      <c r="E7301" t="s">
        <v>954</v>
      </c>
      <c r="F7301" t="s">
        <v>35</v>
      </c>
      <c r="G7301" t="s">
        <v>35</v>
      </c>
      <c r="H7301" t="s">
        <v>35</v>
      </c>
      <c r="J7301" t="s">
        <v>6860</v>
      </c>
      <c r="K7301" t="s">
        <v>1092</v>
      </c>
      <c r="M7301">
        <v>3.87</v>
      </c>
      <c r="N7301">
        <v>13</v>
      </c>
      <c r="O7301" t="s">
        <v>46</v>
      </c>
      <c r="Q7301" t="s">
        <v>1004</v>
      </c>
      <c r="R7301" t="s">
        <v>6707</v>
      </c>
      <c r="S7301" t="s">
        <v>955</v>
      </c>
      <c r="T7301" t="s">
        <v>956</v>
      </c>
    </row>
    <row r="7302" spans="1:20" x14ac:dyDescent="0.25">
      <c r="A7302" t="s">
        <v>44</v>
      </c>
      <c r="B7302" t="s">
        <v>51</v>
      </c>
      <c r="C7302" t="s">
        <v>32</v>
      </c>
      <c r="D7302" t="s">
        <v>953</v>
      </c>
      <c r="E7302" t="s">
        <v>954</v>
      </c>
      <c r="F7302" t="s">
        <v>35</v>
      </c>
      <c r="G7302" t="s">
        <v>35</v>
      </c>
      <c r="H7302" t="s">
        <v>35</v>
      </c>
      <c r="J7302" t="s">
        <v>6860</v>
      </c>
      <c r="K7302" t="s">
        <v>1092</v>
      </c>
      <c r="M7302">
        <v>1.25</v>
      </c>
      <c r="N7302">
        <v>13</v>
      </c>
      <c r="O7302" t="s">
        <v>46</v>
      </c>
      <c r="Q7302" t="s">
        <v>1004</v>
      </c>
      <c r="R7302" t="s">
        <v>6707</v>
      </c>
      <c r="S7302" t="s">
        <v>955</v>
      </c>
      <c r="T7302" t="s">
        <v>956</v>
      </c>
    </row>
    <row r="7303" spans="1:20" x14ac:dyDescent="0.25">
      <c r="A7303" t="s">
        <v>30</v>
      </c>
      <c r="B7303" t="s">
        <v>31</v>
      </c>
      <c r="C7303" t="s">
        <v>32</v>
      </c>
      <c r="D7303" t="s">
        <v>953</v>
      </c>
      <c r="E7303" t="s">
        <v>954</v>
      </c>
      <c r="F7303" t="s">
        <v>35</v>
      </c>
      <c r="G7303" t="s">
        <v>35</v>
      </c>
      <c r="H7303" t="s">
        <v>35</v>
      </c>
      <c r="J7303" t="s">
        <v>6776</v>
      </c>
      <c r="K7303" t="s">
        <v>1092</v>
      </c>
      <c r="M7303">
        <v>0.09</v>
      </c>
      <c r="N7303">
        <v>39</v>
      </c>
      <c r="O7303" t="s">
        <v>52</v>
      </c>
      <c r="Q7303" t="s">
        <v>493</v>
      </c>
      <c r="R7303" t="s">
        <v>6707</v>
      </c>
      <c r="S7303" t="s">
        <v>955</v>
      </c>
      <c r="T7303" t="s">
        <v>956</v>
      </c>
    </row>
    <row r="7304" spans="1:20" x14ac:dyDescent="0.25">
      <c r="A7304" t="s">
        <v>59</v>
      </c>
      <c r="B7304" t="s">
        <v>31</v>
      </c>
      <c r="C7304" t="s">
        <v>32</v>
      </c>
      <c r="D7304" t="s">
        <v>953</v>
      </c>
      <c r="E7304" t="s">
        <v>954</v>
      </c>
      <c r="F7304" t="s">
        <v>35</v>
      </c>
      <c r="G7304" t="s">
        <v>35</v>
      </c>
      <c r="H7304" t="s">
        <v>35</v>
      </c>
      <c r="J7304" t="s">
        <v>6776</v>
      </c>
      <c r="K7304" t="s">
        <v>1092</v>
      </c>
      <c r="M7304">
        <v>0.22500000000000001</v>
      </c>
      <c r="N7304">
        <v>53</v>
      </c>
      <c r="O7304" t="s">
        <v>52</v>
      </c>
      <c r="Q7304" t="s">
        <v>1734</v>
      </c>
      <c r="R7304" t="s">
        <v>6707</v>
      </c>
      <c r="S7304" t="s">
        <v>955</v>
      </c>
      <c r="T7304" t="s">
        <v>956</v>
      </c>
    </row>
    <row r="7305" spans="1:20" x14ac:dyDescent="0.25">
      <c r="A7305" t="s">
        <v>59</v>
      </c>
      <c r="B7305" t="s">
        <v>60</v>
      </c>
      <c r="C7305" t="s">
        <v>32</v>
      </c>
      <c r="D7305" t="s">
        <v>953</v>
      </c>
      <c r="E7305" t="s">
        <v>954</v>
      </c>
      <c r="F7305" t="s">
        <v>35</v>
      </c>
      <c r="G7305" t="s">
        <v>35</v>
      </c>
      <c r="H7305" t="s">
        <v>35</v>
      </c>
      <c r="J7305" t="s">
        <v>6776</v>
      </c>
      <c r="K7305" t="s">
        <v>1092</v>
      </c>
      <c r="M7305">
        <v>0.5</v>
      </c>
      <c r="N7305">
        <v>70</v>
      </c>
      <c r="O7305" t="s">
        <v>61</v>
      </c>
      <c r="Q7305" t="s">
        <v>305</v>
      </c>
      <c r="R7305" t="s">
        <v>6707</v>
      </c>
      <c r="S7305" t="s">
        <v>955</v>
      </c>
      <c r="T7305" t="s">
        <v>956</v>
      </c>
    </row>
    <row r="7306" spans="1:20" x14ac:dyDescent="0.25">
      <c r="A7306" t="s">
        <v>59</v>
      </c>
      <c r="B7306" t="s">
        <v>60</v>
      </c>
      <c r="C7306" t="s">
        <v>32</v>
      </c>
      <c r="D7306" t="s">
        <v>953</v>
      </c>
      <c r="E7306" t="s">
        <v>980</v>
      </c>
      <c r="F7306" t="s">
        <v>35</v>
      </c>
      <c r="G7306" t="s">
        <v>35</v>
      </c>
      <c r="H7306" t="s">
        <v>35</v>
      </c>
      <c r="J7306" t="s">
        <v>7131</v>
      </c>
      <c r="K7306" t="s">
        <v>1092</v>
      </c>
      <c r="M7306">
        <v>0.4</v>
      </c>
      <c r="N7306">
        <v>136</v>
      </c>
      <c r="O7306" t="s">
        <v>38</v>
      </c>
      <c r="Q7306" t="s">
        <v>2121</v>
      </c>
      <c r="R7306" t="s">
        <v>6707</v>
      </c>
      <c r="S7306" t="s">
        <v>955</v>
      </c>
      <c r="T7306" t="s">
        <v>956</v>
      </c>
    </row>
    <row r="7307" spans="1:20" x14ac:dyDescent="0.25">
      <c r="A7307" t="s">
        <v>44</v>
      </c>
      <c r="B7307" t="s">
        <v>51</v>
      </c>
      <c r="C7307" t="s">
        <v>32</v>
      </c>
      <c r="D7307" t="s">
        <v>953</v>
      </c>
      <c r="E7307" t="s">
        <v>954</v>
      </c>
      <c r="F7307" t="s">
        <v>35</v>
      </c>
      <c r="G7307" t="s">
        <v>35</v>
      </c>
      <c r="H7307" t="s">
        <v>35</v>
      </c>
      <c r="J7307" t="s">
        <v>6874</v>
      </c>
      <c r="K7307" t="s">
        <v>1092</v>
      </c>
      <c r="M7307">
        <v>0.5</v>
      </c>
      <c r="N7307">
        <v>3</v>
      </c>
      <c r="O7307" t="s">
        <v>46</v>
      </c>
      <c r="Q7307" t="s">
        <v>1676</v>
      </c>
      <c r="R7307" t="s">
        <v>6707</v>
      </c>
      <c r="S7307" t="s">
        <v>955</v>
      </c>
      <c r="T7307" t="s">
        <v>956</v>
      </c>
    </row>
    <row r="7308" spans="1:20" x14ac:dyDescent="0.25">
      <c r="A7308" t="s">
        <v>30</v>
      </c>
      <c r="B7308" t="s">
        <v>31</v>
      </c>
      <c r="C7308" t="s">
        <v>32</v>
      </c>
      <c r="D7308" t="s">
        <v>953</v>
      </c>
      <c r="E7308" t="s">
        <v>954</v>
      </c>
      <c r="F7308" t="s">
        <v>35</v>
      </c>
      <c r="G7308" t="s">
        <v>35</v>
      </c>
      <c r="H7308" t="s">
        <v>35</v>
      </c>
      <c r="J7308" t="s">
        <v>6874</v>
      </c>
      <c r="K7308" t="s">
        <v>1092</v>
      </c>
      <c r="M7308">
        <v>1.35</v>
      </c>
      <c r="N7308">
        <v>3</v>
      </c>
      <c r="O7308" t="s">
        <v>46</v>
      </c>
      <c r="Q7308" t="s">
        <v>1676</v>
      </c>
      <c r="R7308" t="s">
        <v>6707</v>
      </c>
      <c r="S7308" t="s">
        <v>955</v>
      </c>
      <c r="T7308" t="s">
        <v>956</v>
      </c>
    </row>
    <row r="7309" spans="1:20" x14ac:dyDescent="0.25">
      <c r="A7309" t="s">
        <v>30</v>
      </c>
      <c r="B7309" t="s">
        <v>31</v>
      </c>
      <c r="C7309" t="s">
        <v>32</v>
      </c>
      <c r="D7309" t="s">
        <v>953</v>
      </c>
      <c r="E7309" t="s">
        <v>1077</v>
      </c>
      <c r="F7309" t="s">
        <v>35</v>
      </c>
      <c r="G7309" t="s">
        <v>35</v>
      </c>
      <c r="H7309" t="s">
        <v>35</v>
      </c>
      <c r="J7309" t="s">
        <v>7656</v>
      </c>
      <c r="K7309" t="s">
        <v>1092</v>
      </c>
      <c r="M7309">
        <v>0.9</v>
      </c>
      <c r="N7309">
        <v>5</v>
      </c>
      <c r="O7309" t="s">
        <v>46</v>
      </c>
      <c r="Q7309" t="s">
        <v>1865</v>
      </c>
      <c r="R7309" t="s">
        <v>6707</v>
      </c>
      <c r="S7309" t="s">
        <v>955</v>
      </c>
      <c r="T7309" t="s">
        <v>956</v>
      </c>
    </row>
    <row r="7310" spans="1:20" x14ac:dyDescent="0.25">
      <c r="A7310" t="s">
        <v>44</v>
      </c>
      <c r="B7310" t="s">
        <v>51</v>
      </c>
      <c r="C7310" t="s">
        <v>32</v>
      </c>
      <c r="D7310" t="s">
        <v>953</v>
      </c>
      <c r="E7310" t="s">
        <v>1077</v>
      </c>
      <c r="F7310" t="s">
        <v>35</v>
      </c>
      <c r="G7310" t="s">
        <v>35</v>
      </c>
      <c r="H7310" t="s">
        <v>35</v>
      </c>
      <c r="J7310" t="s">
        <v>7656</v>
      </c>
      <c r="K7310" t="s">
        <v>1092</v>
      </c>
      <c r="M7310">
        <v>0.25</v>
      </c>
      <c r="N7310">
        <v>5</v>
      </c>
      <c r="O7310" t="s">
        <v>46</v>
      </c>
      <c r="Q7310" t="s">
        <v>1865</v>
      </c>
      <c r="R7310" t="s">
        <v>6707</v>
      </c>
      <c r="S7310" t="s">
        <v>955</v>
      </c>
      <c r="T7310" t="s">
        <v>956</v>
      </c>
    </row>
    <row r="7311" spans="1:20" x14ac:dyDescent="0.25">
      <c r="A7311" t="s">
        <v>59</v>
      </c>
      <c r="B7311" t="s">
        <v>60</v>
      </c>
      <c r="C7311" t="s">
        <v>32</v>
      </c>
      <c r="D7311" t="s">
        <v>953</v>
      </c>
      <c r="E7311" t="s">
        <v>954</v>
      </c>
      <c r="F7311" t="s">
        <v>35</v>
      </c>
      <c r="G7311" t="s">
        <v>35</v>
      </c>
      <c r="H7311" t="s">
        <v>35</v>
      </c>
      <c r="J7311" t="s">
        <v>6777</v>
      </c>
      <c r="K7311" t="s">
        <v>1092</v>
      </c>
      <c r="M7311">
        <v>0.5</v>
      </c>
      <c r="N7311">
        <v>54</v>
      </c>
      <c r="O7311" t="s">
        <v>52</v>
      </c>
      <c r="Q7311" t="s">
        <v>671</v>
      </c>
      <c r="R7311" t="s">
        <v>6707</v>
      </c>
      <c r="S7311" t="s">
        <v>955</v>
      </c>
      <c r="T7311" t="s">
        <v>956</v>
      </c>
    </row>
    <row r="7312" spans="1:20" x14ac:dyDescent="0.25">
      <c r="A7312" t="s">
        <v>59</v>
      </c>
      <c r="B7312" t="s">
        <v>60</v>
      </c>
      <c r="C7312" t="s">
        <v>32</v>
      </c>
      <c r="D7312" t="s">
        <v>953</v>
      </c>
      <c r="E7312" t="s">
        <v>954</v>
      </c>
      <c r="F7312" t="s">
        <v>35</v>
      </c>
      <c r="G7312" t="s">
        <v>35</v>
      </c>
      <c r="H7312" t="s">
        <v>35</v>
      </c>
      <c r="J7312" t="s">
        <v>6777</v>
      </c>
      <c r="K7312" t="s">
        <v>1092</v>
      </c>
      <c r="M7312">
        <v>0.98</v>
      </c>
      <c r="N7312">
        <v>81</v>
      </c>
      <c r="O7312" t="s">
        <v>61</v>
      </c>
      <c r="Q7312" t="s">
        <v>858</v>
      </c>
      <c r="R7312" t="s">
        <v>6707</v>
      </c>
      <c r="S7312" t="s">
        <v>955</v>
      </c>
      <c r="T7312" t="s">
        <v>956</v>
      </c>
    </row>
    <row r="7313" spans="1:20" x14ac:dyDescent="0.25">
      <c r="A7313" t="s">
        <v>44</v>
      </c>
      <c r="B7313" t="s">
        <v>51</v>
      </c>
      <c r="C7313" t="s">
        <v>32</v>
      </c>
      <c r="D7313" t="s">
        <v>953</v>
      </c>
      <c r="E7313" t="s">
        <v>954</v>
      </c>
      <c r="F7313" t="s">
        <v>35</v>
      </c>
      <c r="G7313" t="s">
        <v>35</v>
      </c>
      <c r="H7313" t="s">
        <v>35</v>
      </c>
      <c r="J7313" t="s">
        <v>6777</v>
      </c>
      <c r="K7313" t="s">
        <v>1092</v>
      </c>
      <c r="M7313">
        <v>0.75</v>
      </c>
      <c r="N7313">
        <v>13</v>
      </c>
      <c r="O7313" t="s">
        <v>46</v>
      </c>
      <c r="Q7313" t="s">
        <v>1004</v>
      </c>
      <c r="R7313" t="s">
        <v>6707</v>
      </c>
      <c r="S7313" t="s">
        <v>955</v>
      </c>
      <c r="T7313" t="s">
        <v>956</v>
      </c>
    </row>
    <row r="7314" spans="1:20" x14ac:dyDescent="0.25">
      <c r="A7314" t="s">
        <v>59</v>
      </c>
      <c r="B7314" t="s">
        <v>60</v>
      </c>
      <c r="C7314" t="s">
        <v>32</v>
      </c>
      <c r="D7314" t="s">
        <v>953</v>
      </c>
      <c r="E7314" t="s">
        <v>954</v>
      </c>
      <c r="F7314" t="s">
        <v>35</v>
      </c>
      <c r="G7314" t="s">
        <v>35</v>
      </c>
      <c r="H7314" t="s">
        <v>35</v>
      </c>
      <c r="J7314" t="s">
        <v>6783</v>
      </c>
      <c r="K7314" t="s">
        <v>1092</v>
      </c>
      <c r="M7314">
        <v>0.1</v>
      </c>
      <c r="N7314">
        <v>77</v>
      </c>
      <c r="O7314" t="s">
        <v>61</v>
      </c>
      <c r="Q7314" t="s">
        <v>778</v>
      </c>
      <c r="R7314" t="s">
        <v>6707</v>
      </c>
      <c r="S7314" t="s">
        <v>955</v>
      </c>
      <c r="T7314" t="s">
        <v>956</v>
      </c>
    </row>
    <row r="7315" spans="1:20" x14ac:dyDescent="0.25">
      <c r="A7315" t="s">
        <v>59</v>
      </c>
      <c r="B7315" t="s">
        <v>60</v>
      </c>
      <c r="C7315" t="s">
        <v>32</v>
      </c>
      <c r="D7315" t="s">
        <v>953</v>
      </c>
      <c r="E7315" t="s">
        <v>954</v>
      </c>
      <c r="F7315" t="s">
        <v>35</v>
      </c>
      <c r="G7315" t="s">
        <v>35</v>
      </c>
      <c r="H7315" t="s">
        <v>35</v>
      </c>
      <c r="J7315" t="s">
        <v>6783</v>
      </c>
      <c r="K7315" t="s">
        <v>1092</v>
      </c>
      <c r="M7315">
        <v>0.5</v>
      </c>
      <c r="N7315">
        <v>41</v>
      </c>
      <c r="O7315" t="s">
        <v>52</v>
      </c>
      <c r="Q7315" t="s">
        <v>496</v>
      </c>
      <c r="R7315" t="s">
        <v>6707</v>
      </c>
      <c r="S7315" t="s">
        <v>955</v>
      </c>
      <c r="T7315" t="s">
        <v>956</v>
      </c>
    </row>
    <row r="7316" spans="1:20" x14ac:dyDescent="0.25">
      <c r="A7316" t="s">
        <v>59</v>
      </c>
      <c r="B7316" t="s">
        <v>60</v>
      </c>
      <c r="C7316" t="s">
        <v>32</v>
      </c>
      <c r="D7316" t="s">
        <v>953</v>
      </c>
      <c r="E7316" t="s">
        <v>7740</v>
      </c>
      <c r="F7316" t="s">
        <v>35</v>
      </c>
      <c r="G7316" t="s">
        <v>35</v>
      </c>
      <c r="H7316" t="s">
        <v>35</v>
      </c>
      <c r="J7316" t="s">
        <v>7760</v>
      </c>
      <c r="K7316" t="s">
        <v>1092</v>
      </c>
      <c r="M7316">
        <v>0.55000000000000004</v>
      </c>
      <c r="N7316">
        <v>450</v>
      </c>
      <c r="O7316" t="s">
        <v>294</v>
      </c>
      <c r="Q7316" t="s">
        <v>2104</v>
      </c>
      <c r="R7316" t="s">
        <v>6707</v>
      </c>
      <c r="S7316" t="s">
        <v>955</v>
      </c>
      <c r="T7316" t="s">
        <v>956</v>
      </c>
    </row>
    <row r="7317" spans="1:20" x14ac:dyDescent="0.25">
      <c r="A7317" t="s">
        <v>59</v>
      </c>
      <c r="B7317" t="s">
        <v>60</v>
      </c>
      <c r="C7317" t="s">
        <v>32</v>
      </c>
      <c r="D7317" t="s">
        <v>953</v>
      </c>
      <c r="E7317" t="s">
        <v>954</v>
      </c>
      <c r="F7317" t="s">
        <v>35</v>
      </c>
      <c r="G7317" t="s">
        <v>35</v>
      </c>
      <c r="H7317" t="s">
        <v>35</v>
      </c>
      <c r="J7317" t="s">
        <v>6785</v>
      </c>
      <c r="K7317" t="s">
        <v>1092</v>
      </c>
      <c r="M7317">
        <v>0.5</v>
      </c>
      <c r="N7317">
        <v>367</v>
      </c>
      <c r="O7317" t="s">
        <v>294</v>
      </c>
      <c r="Q7317" t="s">
        <v>6786</v>
      </c>
      <c r="R7317" t="s">
        <v>6707</v>
      </c>
      <c r="S7317" t="s">
        <v>955</v>
      </c>
      <c r="T7317" t="s">
        <v>956</v>
      </c>
    </row>
    <row r="7318" spans="1:20" x14ac:dyDescent="0.25">
      <c r="A7318" t="s">
        <v>59</v>
      </c>
      <c r="B7318" t="s">
        <v>60</v>
      </c>
      <c r="C7318" t="s">
        <v>32</v>
      </c>
      <c r="D7318" t="s">
        <v>953</v>
      </c>
      <c r="E7318" t="s">
        <v>954</v>
      </c>
      <c r="F7318" t="s">
        <v>35</v>
      </c>
      <c r="G7318" t="s">
        <v>35</v>
      </c>
      <c r="H7318" t="s">
        <v>35</v>
      </c>
      <c r="J7318" t="s">
        <v>6785</v>
      </c>
      <c r="K7318" t="s">
        <v>1092</v>
      </c>
      <c r="M7318">
        <v>0.05</v>
      </c>
      <c r="N7318">
        <v>392</v>
      </c>
      <c r="O7318" t="s">
        <v>294</v>
      </c>
      <c r="Q7318" t="s">
        <v>1707</v>
      </c>
      <c r="R7318" t="s">
        <v>6707</v>
      </c>
      <c r="S7318" t="s">
        <v>955</v>
      </c>
      <c r="T7318" t="s">
        <v>956</v>
      </c>
    </row>
    <row r="7319" spans="1:20" x14ac:dyDescent="0.25">
      <c r="A7319" t="s">
        <v>59</v>
      </c>
      <c r="B7319" t="s">
        <v>31</v>
      </c>
      <c r="C7319" t="s">
        <v>32</v>
      </c>
      <c r="D7319" t="s">
        <v>953</v>
      </c>
      <c r="F7319" t="s">
        <v>35</v>
      </c>
      <c r="G7319" t="s">
        <v>35</v>
      </c>
      <c r="H7319" t="s">
        <v>35</v>
      </c>
      <c r="J7319" t="s">
        <v>8090</v>
      </c>
      <c r="K7319" t="s">
        <v>1092</v>
      </c>
      <c r="M7319">
        <v>0.45</v>
      </c>
      <c r="N7319">
        <v>2577</v>
      </c>
      <c r="O7319" t="s">
        <v>575</v>
      </c>
      <c r="Q7319" t="s">
        <v>8091</v>
      </c>
      <c r="R7319" t="s">
        <v>6707</v>
      </c>
      <c r="S7319" t="s">
        <v>955</v>
      </c>
      <c r="T7319" t="s">
        <v>956</v>
      </c>
    </row>
    <row r="7320" spans="1:20" x14ac:dyDescent="0.25">
      <c r="A7320" t="s">
        <v>59</v>
      </c>
      <c r="B7320" t="s">
        <v>60</v>
      </c>
      <c r="C7320" t="s">
        <v>32</v>
      </c>
      <c r="D7320" t="s">
        <v>953</v>
      </c>
      <c r="F7320" t="s">
        <v>35</v>
      </c>
      <c r="G7320" t="s">
        <v>35</v>
      </c>
      <c r="H7320" t="s">
        <v>35</v>
      </c>
      <c r="J7320" t="s">
        <v>8090</v>
      </c>
      <c r="K7320" t="s">
        <v>1092</v>
      </c>
      <c r="M7320">
        <v>0.15</v>
      </c>
      <c r="N7320">
        <v>2577</v>
      </c>
      <c r="O7320" t="s">
        <v>575</v>
      </c>
      <c r="Q7320" t="s">
        <v>8091</v>
      </c>
      <c r="R7320" t="s">
        <v>6707</v>
      </c>
      <c r="S7320" t="s">
        <v>955</v>
      </c>
      <c r="T7320" t="s">
        <v>956</v>
      </c>
    </row>
    <row r="7321" spans="1:20" x14ac:dyDescent="0.25">
      <c r="A7321" t="s">
        <v>44</v>
      </c>
      <c r="B7321" t="s">
        <v>51</v>
      </c>
      <c r="C7321" t="s">
        <v>32</v>
      </c>
      <c r="D7321" t="s">
        <v>953</v>
      </c>
      <c r="E7321" t="s">
        <v>954</v>
      </c>
      <c r="F7321" t="s">
        <v>35</v>
      </c>
      <c r="G7321" t="s">
        <v>35</v>
      </c>
      <c r="H7321" t="s">
        <v>35</v>
      </c>
      <c r="J7321" t="s">
        <v>1243</v>
      </c>
      <c r="K7321" t="s">
        <v>1092</v>
      </c>
      <c r="M7321">
        <v>0.45</v>
      </c>
      <c r="N7321">
        <v>221</v>
      </c>
      <c r="O7321" t="s">
        <v>5</v>
      </c>
      <c r="Q7321" t="s">
        <v>1979</v>
      </c>
      <c r="R7321" t="s">
        <v>6707</v>
      </c>
      <c r="S7321" t="s">
        <v>955</v>
      </c>
      <c r="T7321" t="s">
        <v>956</v>
      </c>
    </row>
    <row r="7322" spans="1:20" x14ac:dyDescent="0.25">
      <c r="A7322" t="s">
        <v>59</v>
      </c>
      <c r="B7322" t="s">
        <v>60</v>
      </c>
      <c r="C7322" t="s">
        <v>32</v>
      </c>
      <c r="D7322" t="s">
        <v>953</v>
      </c>
      <c r="E7322" t="s">
        <v>954</v>
      </c>
      <c r="F7322" t="s">
        <v>35</v>
      </c>
      <c r="G7322" t="s">
        <v>35</v>
      </c>
      <c r="H7322" t="s">
        <v>35</v>
      </c>
      <c r="J7322" t="s">
        <v>1243</v>
      </c>
      <c r="K7322" t="s">
        <v>1092</v>
      </c>
      <c r="M7322">
        <v>1.65</v>
      </c>
      <c r="N7322">
        <v>354</v>
      </c>
      <c r="O7322" t="s">
        <v>5</v>
      </c>
      <c r="Q7322" t="s">
        <v>1685</v>
      </c>
      <c r="R7322" t="s">
        <v>6707</v>
      </c>
      <c r="S7322" t="s">
        <v>955</v>
      </c>
      <c r="T7322" t="s">
        <v>956</v>
      </c>
    </row>
    <row r="7323" spans="1:20" x14ac:dyDescent="0.25">
      <c r="A7323" t="s">
        <v>44</v>
      </c>
      <c r="B7323" t="s">
        <v>51</v>
      </c>
      <c r="C7323" t="s">
        <v>32</v>
      </c>
      <c r="D7323" t="s">
        <v>953</v>
      </c>
      <c r="E7323" t="s">
        <v>954</v>
      </c>
      <c r="F7323" t="s">
        <v>35</v>
      </c>
      <c r="G7323" t="s">
        <v>35</v>
      </c>
      <c r="H7323" t="s">
        <v>35</v>
      </c>
      <c r="J7323" t="s">
        <v>1243</v>
      </c>
      <c r="K7323" t="s">
        <v>1092</v>
      </c>
      <c r="M7323">
        <v>1.25</v>
      </c>
      <c r="N7323">
        <v>13</v>
      </c>
      <c r="O7323" t="s">
        <v>46</v>
      </c>
      <c r="Q7323" t="s">
        <v>1004</v>
      </c>
      <c r="R7323" t="s">
        <v>6707</v>
      </c>
      <c r="S7323" t="s">
        <v>955</v>
      </c>
      <c r="T7323" t="s">
        <v>956</v>
      </c>
    </row>
    <row r="7324" spans="1:20" x14ac:dyDescent="0.25">
      <c r="A7324" t="s">
        <v>59</v>
      </c>
      <c r="B7324" t="s">
        <v>60</v>
      </c>
      <c r="C7324" t="s">
        <v>32</v>
      </c>
      <c r="D7324" t="s">
        <v>953</v>
      </c>
      <c r="E7324" t="s">
        <v>954</v>
      </c>
      <c r="F7324" t="s">
        <v>35</v>
      </c>
      <c r="G7324" t="s">
        <v>35</v>
      </c>
      <c r="H7324" t="s">
        <v>35</v>
      </c>
      <c r="J7324" t="s">
        <v>6787</v>
      </c>
      <c r="K7324" t="s">
        <v>1092</v>
      </c>
      <c r="M7324">
        <v>0.1</v>
      </c>
      <c r="N7324">
        <v>42</v>
      </c>
      <c r="O7324" t="s">
        <v>52</v>
      </c>
      <c r="Q7324" t="s">
        <v>219</v>
      </c>
      <c r="R7324" t="s">
        <v>6707</v>
      </c>
      <c r="S7324" t="s">
        <v>955</v>
      </c>
      <c r="T7324" t="s">
        <v>956</v>
      </c>
    </row>
    <row r="7325" spans="1:20" x14ac:dyDescent="0.25">
      <c r="A7325" t="s">
        <v>44</v>
      </c>
      <c r="B7325" t="s">
        <v>51</v>
      </c>
      <c r="C7325" t="s">
        <v>32</v>
      </c>
      <c r="D7325" t="s">
        <v>953</v>
      </c>
      <c r="E7325" t="s">
        <v>954</v>
      </c>
      <c r="F7325" t="s">
        <v>35</v>
      </c>
      <c r="G7325" t="s">
        <v>35</v>
      </c>
      <c r="H7325" t="s">
        <v>35</v>
      </c>
      <c r="J7325" t="s">
        <v>6787</v>
      </c>
      <c r="K7325" t="s">
        <v>1092</v>
      </c>
      <c r="M7325">
        <v>1</v>
      </c>
      <c r="N7325">
        <v>13</v>
      </c>
      <c r="O7325" t="s">
        <v>46</v>
      </c>
      <c r="Q7325" t="s">
        <v>1004</v>
      </c>
      <c r="R7325" t="s">
        <v>6707</v>
      </c>
      <c r="S7325" t="s">
        <v>955</v>
      </c>
      <c r="T7325" t="s">
        <v>956</v>
      </c>
    </row>
    <row r="7326" spans="1:20" x14ac:dyDescent="0.25">
      <c r="A7326" t="s">
        <v>44</v>
      </c>
      <c r="B7326" t="s">
        <v>51</v>
      </c>
      <c r="C7326" t="s">
        <v>32</v>
      </c>
      <c r="D7326" t="s">
        <v>953</v>
      </c>
      <c r="E7326" t="s">
        <v>954</v>
      </c>
      <c r="F7326" t="s">
        <v>35</v>
      </c>
      <c r="G7326" t="s">
        <v>35</v>
      </c>
      <c r="H7326" t="s">
        <v>35</v>
      </c>
      <c r="J7326" t="s">
        <v>6787</v>
      </c>
      <c r="K7326" t="s">
        <v>1092</v>
      </c>
      <c r="M7326">
        <v>1</v>
      </c>
      <c r="N7326">
        <v>9</v>
      </c>
      <c r="O7326" t="s">
        <v>46</v>
      </c>
      <c r="Q7326" t="s">
        <v>323</v>
      </c>
      <c r="R7326" t="s">
        <v>6707</v>
      </c>
      <c r="S7326" t="s">
        <v>955</v>
      </c>
      <c r="T7326" t="s">
        <v>956</v>
      </c>
    </row>
    <row r="7327" spans="1:20" x14ac:dyDescent="0.25">
      <c r="A7327" t="s">
        <v>30</v>
      </c>
      <c r="B7327" t="s">
        <v>31</v>
      </c>
      <c r="C7327" t="s">
        <v>32</v>
      </c>
      <c r="D7327" t="s">
        <v>953</v>
      </c>
      <c r="E7327" t="s">
        <v>7558</v>
      </c>
      <c r="F7327" t="s">
        <v>35</v>
      </c>
      <c r="G7327" t="s">
        <v>35</v>
      </c>
      <c r="H7327" t="s">
        <v>35</v>
      </c>
      <c r="J7327" t="s">
        <v>7570</v>
      </c>
      <c r="K7327" t="s">
        <v>1092</v>
      </c>
      <c r="M7327">
        <v>0.09</v>
      </c>
      <c r="N7327">
        <v>13</v>
      </c>
      <c r="O7327" t="s">
        <v>46</v>
      </c>
      <c r="Q7327" t="s">
        <v>1004</v>
      </c>
      <c r="R7327" t="s">
        <v>6707</v>
      </c>
      <c r="S7327" t="s">
        <v>955</v>
      </c>
      <c r="T7327" t="s">
        <v>956</v>
      </c>
    </row>
    <row r="7328" spans="1:20" x14ac:dyDescent="0.25">
      <c r="A7328" t="s">
        <v>44</v>
      </c>
      <c r="B7328" t="s">
        <v>51</v>
      </c>
      <c r="C7328" t="s">
        <v>32</v>
      </c>
      <c r="D7328" t="s">
        <v>953</v>
      </c>
      <c r="E7328" t="s">
        <v>7558</v>
      </c>
      <c r="F7328" t="s">
        <v>35</v>
      </c>
      <c r="G7328" t="s">
        <v>35</v>
      </c>
      <c r="H7328" t="s">
        <v>35</v>
      </c>
      <c r="J7328" t="s">
        <v>7570</v>
      </c>
      <c r="K7328" t="s">
        <v>1092</v>
      </c>
      <c r="M7328">
        <v>0.75</v>
      </c>
      <c r="N7328">
        <v>13</v>
      </c>
      <c r="O7328" t="s">
        <v>46</v>
      </c>
      <c r="Q7328" t="s">
        <v>1004</v>
      </c>
      <c r="R7328" t="s">
        <v>6707</v>
      </c>
      <c r="S7328" t="s">
        <v>955</v>
      </c>
      <c r="T7328" t="s">
        <v>956</v>
      </c>
    </row>
    <row r="7329" spans="1:20" x14ac:dyDescent="0.25">
      <c r="A7329" t="s">
        <v>1439</v>
      </c>
      <c r="B7329" t="s">
        <v>1440</v>
      </c>
      <c r="C7329" t="s">
        <v>32</v>
      </c>
      <c r="D7329" t="s">
        <v>953</v>
      </c>
      <c r="E7329" t="s">
        <v>7558</v>
      </c>
      <c r="F7329" t="s">
        <v>35</v>
      </c>
      <c r="G7329" t="s">
        <v>35</v>
      </c>
      <c r="H7329" t="s">
        <v>35</v>
      </c>
      <c r="J7329" t="s">
        <v>7570</v>
      </c>
      <c r="K7329" t="s">
        <v>1092</v>
      </c>
      <c r="M7329">
        <v>0.01</v>
      </c>
      <c r="N7329">
        <v>589</v>
      </c>
      <c r="O7329" t="s">
        <v>575</v>
      </c>
      <c r="Q7329" t="s">
        <v>7571</v>
      </c>
      <c r="R7329" t="s">
        <v>6707</v>
      </c>
      <c r="S7329" t="s">
        <v>955</v>
      </c>
      <c r="T7329" t="s">
        <v>956</v>
      </c>
    </row>
    <row r="7330" spans="1:20" x14ac:dyDescent="0.25">
      <c r="A7330" t="s">
        <v>30</v>
      </c>
      <c r="B7330" t="s">
        <v>31</v>
      </c>
      <c r="C7330" t="s">
        <v>32</v>
      </c>
      <c r="D7330" t="s">
        <v>953</v>
      </c>
      <c r="E7330" t="s">
        <v>7558</v>
      </c>
      <c r="F7330" t="s">
        <v>35</v>
      </c>
      <c r="G7330" t="s">
        <v>35</v>
      </c>
      <c r="H7330" t="s">
        <v>35</v>
      </c>
      <c r="J7330" t="s">
        <v>7570</v>
      </c>
      <c r="K7330" t="s">
        <v>1092</v>
      </c>
      <c r="M7330">
        <v>0.45</v>
      </c>
      <c r="N7330">
        <v>5</v>
      </c>
      <c r="O7330" t="s">
        <v>46</v>
      </c>
      <c r="Q7330" t="s">
        <v>1865</v>
      </c>
      <c r="R7330" t="s">
        <v>6707</v>
      </c>
      <c r="S7330" t="s">
        <v>955</v>
      </c>
      <c r="T7330" t="s">
        <v>956</v>
      </c>
    </row>
    <row r="7331" spans="1:20" x14ac:dyDescent="0.25">
      <c r="A7331" t="s">
        <v>59</v>
      </c>
      <c r="B7331" t="s">
        <v>31</v>
      </c>
      <c r="C7331" t="s">
        <v>32</v>
      </c>
      <c r="D7331" t="s">
        <v>953</v>
      </c>
      <c r="E7331" t="s">
        <v>7179</v>
      </c>
      <c r="F7331" t="s">
        <v>35</v>
      </c>
      <c r="G7331" t="s">
        <v>35</v>
      </c>
      <c r="H7331" t="s">
        <v>35</v>
      </c>
      <c r="J7331" t="s">
        <v>7180</v>
      </c>
      <c r="K7331" t="s">
        <v>1092</v>
      </c>
      <c r="M7331">
        <v>0.09</v>
      </c>
      <c r="N7331">
        <v>42</v>
      </c>
      <c r="O7331" t="s">
        <v>52</v>
      </c>
      <c r="Q7331" t="s">
        <v>219</v>
      </c>
      <c r="R7331" t="s">
        <v>6707</v>
      </c>
      <c r="S7331" t="s">
        <v>955</v>
      </c>
      <c r="T7331" t="s">
        <v>956</v>
      </c>
    </row>
    <row r="7332" spans="1:20" x14ac:dyDescent="0.25">
      <c r="A7332" t="s">
        <v>59</v>
      </c>
      <c r="B7332" t="s">
        <v>60</v>
      </c>
      <c r="C7332" t="s">
        <v>32</v>
      </c>
      <c r="D7332" t="s">
        <v>953</v>
      </c>
      <c r="E7332" t="s">
        <v>7558</v>
      </c>
      <c r="F7332" t="s">
        <v>35</v>
      </c>
      <c r="G7332" t="s">
        <v>35</v>
      </c>
      <c r="H7332" t="s">
        <v>35</v>
      </c>
      <c r="J7332" t="s">
        <v>7602</v>
      </c>
      <c r="K7332" t="s">
        <v>1092</v>
      </c>
      <c r="M7332">
        <v>6.05</v>
      </c>
      <c r="N7332">
        <v>57</v>
      </c>
      <c r="O7332" t="s">
        <v>52</v>
      </c>
      <c r="Q7332" t="s">
        <v>381</v>
      </c>
      <c r="R7332" t="s">
        <v>6707</v>
      </c>
      <c r="S7332" t="s">
        <v>955</v>
      </c>
      <c r="T7332" t="s">
        <v>956</v>
      </c>
    </row>
    <row r="7333" spans="1:20" x14ac:dyDescent="0.25">
      <c r="A7333" t="s">
        <v>44</v>
      </c>
      <c r="B7333" t="s">
        <v>51</v>
      </c>
      <c r="C7333" t="s">
        <v>32</v>
      </c>
      <c r="D7333" t="s">
        <v>953</v>
      </c>
      <c r="E7333" t="s">
        <v>954</v>
      </c>
      <c r="F7333" t="s">
        <v>35</v>
      </c>
      <c r="G7333" t="s">
        <v>35</v>
      </c>
      <c r="H7333" t="s">
        <v>35</v>
      </c>
      <c r="J7333" t="s">
        <v>6764</v>
      </c>
      <c r="K7333" t="s">
        <v>1092</v>
      </c>
      <c r="M7333">
        <v>0.5</v>
      </c>
      <c r="N7333">
        <v>13</v>
      </c>
      <c r="O7333" t="s">
        <v>46</v>
      </c>
      <c r="Q7333" t="s">
        <v>1004</v>
      </c>
      <c r="R7333" t="s">
        <v>6707</v>
      </c>
      <c r="S7333" t="s">
        <v>955</v>
      </c>
      <c r="T7333" t="s">
        <v>956</v>
      </c>
    </row>
    <row r="7334" spans="1:20" x14ac:dyDescent="0.25">
      <c r="A7334" t="s">
        <v>44</v>
      </c>
      <c r="B7334" t="s">
        <v>51</v>
      </c>
      <c r="C7334" t="s">
        <v>32</v>
      </c>
      <c r="D7334" t="s">
        <v>953</v>
      </c>
      <c r="E7334" t="s">
        <v>954</v>
      </c>
      <c r="F7334" t="s">
        <v>35</v>
      </c>
      <c r="G7334" t="s">
        <v>35</v>
      </c>
      <c r="H7334" t="s">
        <v>35</v>
      </c>
      <c r="J7334" t="s">
        <v>6764</v>
      </c>
      <c r="K7334" t="s">
        <v>1092</v>
      </c>
      <c r="M7334">
        <v>0.5</v>
      </c>
      <c r="N7334">
        <v>7</v>
      </c>
      <c r="O7334" t="s">
        <v>46</v>
      </c>
      <c r="Q7334" t="s">
        <v>2440</v>
      </c>
      <c r="R7334" t="s">
        <v>6707</v>
      </c>
      <c r="S7334" t="s">
        <v>955</v>
      </c>
      <c r="T7334" t="s">
        <v>956</v>
      </c>
    </row>
    <row r="7335" spans="1:20" x14ac:dyDescent="0.25">
      <c r="A7335" t="s">
        <v>59</v>
      </c>
      <c r="B7335" t="s">
        <v>60</v>
      </c>
      <c r="C7335" t="s">
        <v>32</v>
      </c>
      <c r="D7335" t="s">
        <v>953</v>
      </c>
      <c r="E7335" t="s">
        <v>954</v>
      </c>
      <c r="F7335" t="s">
        <v>35</v>
      </c>
      <c r="G7335" t="s">
        <v>35</v>
      </c>
      <c r="H7335" t="s">
        <v>35</v>
      </c>
      <c r="J7335" t="s">
        <v>6764</v>
      </c>
      <c r="K7335" t="s">
        <v>1092</v>
      </c>
      <c r="M7335">
        <v>0.25</v>
      </c>
      <c r="N7335">
        <v>54</v>
      </c>
      <c r="O7335" t="s">
        <v>52</v>
      </c>
      <c r="Q7335" t="s">
        <v>671</v>
      </c>
      <c r="R7335" t="s">
        <v>6707</v>
      </c>
      <c r="S7335" t="s">
        <v>955</v>
      </c>
      <c r="T7335" t="s">
        <v>956</v>
      </c>
    </row>
    <row r="7336" spans="1:20" x14ac:dyDescent="0.25">
      <c r="A7336" t="s">
        <v>59</v>
      </c>
      <c r="B7336" t="s">
        <v>60</v>
      </c>
      <c r="C7336" t="s">
        <v>32</v>
      </c>
      <c r="D7336" t="s">
        <v>953</v>
      </c>
      <c r="E7336" t="s">
        <v>954</v>
      </c>
      <c r="F7336" t="s">
        <v>35</v>
      </c>
      <c r="G7336" t="s">
        <v>35</v>
      </c>
      <c r="H7336" t="s">
        <v>35</v>
      </c>
      <c r="J7336" t="s">
        <v>6764</v>
      </c>
      <c r="K7336" t="s">
        <v>1092</v>
      </c>
      <c r="M7336">
        <v>0.5</v>
      </c>
      <c r="N7336">
        <v>42</v>
      </c>
      <c r="O7336" t="s">
        <v>52</v>
      </c>
      <c r="Q7336" t="s">
        <v>219</v>
      </c>
      <c r="R7336" t="s">
        <v>6707</v>
      </c>
      <c r="S7336" t="s">
        <v>955</v>
      </c>
      <c r="T7336" t="s">
        <v>956</v>
      </c>
    </row>
    <row r="7337" spans="1:20" x14ac:dyDescent="0.25">
      <c r="A7337" t="s">
        <v>59</v>
      </c>
      <c r="B7337" t="s">
        <v>31</v>
      </c>
      <c r="C7337" t="s">
        <v>32</v>
      </c>
      <c r="D7337" t="s">
        <v>953</v>
      </c>
      <c r="F7337" t="s">
        <v>35</v>
      </c>
      <c r="G7337" t="s">
        <v>35</v>
      </c>
      <c r="H7337" t="s">
        <v>35</v>
      </c>
      <c r="J7337" t="s">
        <v>7936</v>
      </c>
      <c r="K7337" t="s">
        <v>1092</v>
      </c>
      <c r="M7337">
        <v>0.02</v>
      </c>
      <c r="N7337">
        <v>303</v>
      </c>
      <c r="O7337" t="s">
        <v>5</v>
      </c>
      <c r="Q7337" t="s">
        <v>168</v>
      </c>
      <c r="R7337" t="s">
        <v>6707</v>
      </c>
      <c r="S7337" t="s">
        <v>955</v>
      </c>
      <c r="T7337" t="s">
        <v>956</v>
      </c>
    </row>
    <row r="7338" spans="1:20" x14ac:dyDescent="0.25">
      <c r="A7338" t="s">
        <v>59</v>
      </c>
      <c r="B7338" t="s">
        <v>31</v>
      </c>
      <c r="C7338" t="s">
        <v>32</v>
      </c>
      <c r="D7338" t="s">
        <v>953</v>
      </c>
      <c r="F7338" t="s">
        <v>35</v>
      </c>
      <c r="G7338" t="s">
        <v>35</v>
      </c>
      <c r="H7338" t="s">
        <v>35</v>
      </c>
      <c r="J7338" t="s">
        <v>7936</v>
      </c>
      <c r="K7338" t="s">
        <v>1092</v>
      </c>
      <c r="M7338">
        <v>0.45</v>
      </c>
      <c r="N7338">
        <v>55</v>
      </c>
      <c r="O7338" t="s">
        <v>52</v>
      </c>
      <c r="Q7338" t="s">
        <v>90</v>
      </c>
      <c r="R7338" t="s">
        <v>6707</v>
      </c>
      <c r="S7338" t="s">
        <v>955</v>
      </c>
      <c r="T7338" t="s">
        <v>956</v>
      </c>
    </row>
    <row r="7339" spans="1:20" x14ac:dyDescent="0.25">
      <c r="A7339" t="s">
        <v>59</v>
      </c>
      <c r="B7339" t="s">
        <v>31</v>
      </c>
      <c r="C7339" t="s">
        <v>32</v>
      </c>
      <c r="D7339" t="s">
        <v>953</v>
      </c>
      <c r="F7339" t="s">
        <v>35</v>
      </c>
      <c r="G7339" t="s">
        <v>35</v>
      </c>
      <c r="H7339" t="s">
        <v>35</v>
      </c>
      <c r="J7339" t="s">
        <v>7936</v>
      </c>
      <c r="K7339" t="s">
        <v>1092</v>
      </c>
      <c r="M7339">
        <v>1.8</v>
      </c>
      <c r="N7339">
        <v>84</v>
      </c>
      <c r="O7339" t="s">
        <v>61</v>
      </c>
      <c r="Q7339" t="s">
        <v>1147</v>
      </c>
      <c r="R7339" t="s">
        <v>6707</v>
      </c>
      <c r="S7339" t="s">
        <v>955</v>
      </c>
      <c r="T7339" t="s">
        <v>956</v>
      </c>
    </row>
    <row r="7340" spans="1:20" x14ac:dyDescent="0.25">
      <c r="A7340" t="s">
        <v>59</v>
      </c>
      <c r="B7340" t="s">
        <v>60</v>
      </c>
      <c r="C7340" t="s">
        <v>32</v>
      </c>
      <c r="D7340" t="s">
        <v>953</v>
      </c>
      <c r="F7340" t="s">
        <v>35</v>
      </c>
      <c r="G7340" t="s">
        <v>35</v>
      </c>
      <c r="H7340" t="s">
        <v>35</v>
      </c>
      <c r="J7340" t="s">
        <v>7936</v>
      </c>
      <c r="K7340" t="s">
        <v>1092</v>
      </c>
      <c r="M7340">
        <v>0.05</v>
      </c>
      <c r="N7340">
        <v>228</v>
      </c>
      <c r="O7340" t="s">
        <v>5</v>
      </c>
      <c r="Q7340" t="s">
        <v>4942</v>
      </c>
      <c r="R7340" t="s">
        <v>6707</v>
      </c>
      <c r="S7340" t="s">
        <v>955</v>
      </c>
      <c r="T7340" t="s">
        <v>956</v>
      </c>
    </row>
    <row r="7341" spans="1:20" x14ac:dyDescent="0.25">
      <c r="A7341" t="s">
        <v>59</v>
      </c>
      <c r="B7341" t="s">
        <v>31</v>
      </c>
      <c r="C7341" t="s">
        <v>32</v>
      </c>
      <c r="D7341" t="s">
        <v>953</v>
      </c>
      <c r="E7341" t="s">
        <v>954</v>
      </c>
      <c r="F7341" t="s">
        <v>35</v>
      </c>
      <c r="G7341" t="s">
        <v>35</v>
      </c>
      <c r="H7341" t="s">
        <v>35</v>
      </c>
      <c r="J7341" t="s">
        <v>6873</v>
      </c>
      <c r="K7341" t="s">
        <v>1092</v>
      </c>
      <c r="M7341">
        <v>0.22500000000000001</v>
      </c>
      <c r="N7341">
        <v>219</v>
      </c>
      <c r="O7341" t="s">
        <v>5</v>
      </c>
      <c r="Q7341" t="s">
        <v>3300</v>
      </c>
      <c r="R7341" t="s">
        <v>6707</v>
      </c>
      <c r="S7341" t="s">
        <v>955</v>
      </c>
      <c r="T7341" t="s">
        <v>956</v>
      </c>
    </row>
    <row r="7342" spans="1:20" x14ac:dyDescent="0.25">
      <c r="A7342" t="s">
        <v>59</v>
      </c>
      <c r="B7342" t="s">
        <v>60</v>
      </c>
      <c r="C7342" t="s">
        <v>32</v>
      </c>
      <c r="D7342" t="s">
        <v>953</v>
      </c>
      <c r="E7342" t="s">
        <v>954</v>
      </c>
      <c r="F7342" t="s">
        <v>35</v>
      </c>
      <c r="G7342" t="s">
        <v>35</v>
      </c>
      <c r="H7342" t="s">
        <v>35</v>
      </c>
      <c r="J7342" t="s">
        <v>6873</v>
      </c>
      <c r="K7342" t="s">
        <v>1092</v>
      </c>
      <c r="M7342">
        <v>0.2</v>
      </c>
      <c r="N7342">
        <v>290</v>
      </c>
      <c r="O7342" t="s">
        <v>5</v>
      </c>
      <c r="Q7342" t="s">
        <v>6028</v>
      </c>
      <c r="R7342" t="s">
        <v>6707</v>
      </c>
      <c r="S7342" t="s">
        <v>955</v>
      </c>
      <c r="T7342" t="s">
        <v>956</v>
      </c>
    </row>
    <row r="7343" spans="1:20" x14ac:dyDescent="0.25">
      <c r="A7343" t="s">
        <v>59</v>
      </c>
      <c r="B7343" t="s">
        <v>60</v>
      </c>
      <c r="C7343" t="s">
        <v>32</v>
      </c>
      <c r="D7343" t="s">
        <v>953</v>
      </c>
      <c r="E7343" t="s">
        <v>954</v>
      </c>
      <c r="F7343" t="s">
        <v>35</v>
      </c>
      <c r="G7343" t="s">
        <v>35</v>
      </c>
      <c r="H7343" t="s">
        <v>35</v>
      </c>
      <c r="J7343" t="s">
        <v>6873</v>
      </c>
      <c r="K7343" t="s">
        <v>1092</v>
      </c>
      <c r="M7343">
        <v>0.25</v>
      </c>
      <c r="N7343">
        <v>137</v>
      </c>
      <c r="O7343" t="s">
        <v>38</v>
      </c>
      <c r="Q7343" t="s">
        <v>2929</v>
      </c>
      <c r="R7343" t="s">
        <v>6707</v>
      </c>
      <c r="S7343" t="s">
        <v>955</v>
      </c>
      <c r="T7343" t="s">
        <v>956</v>
      </c>
    </row>
    <row r="7344" spans="1:20" x14ac:dyDescent="0.25">
      <c r="A7344" t="s">
        <v>59</v>
      </c>
      <c r="B7344" t="s">
        <v>60</v>
      </c>
      <c r="C7344" t="s">
        <v>32</v>
      </c>
      <c r="D7344" t="s">
        <v>953</v>
      </c>
      <c r="E7344" t="s">
        <v>954</v>
      </c>
      <c r="F7344" t="s">
        <v>35</v>
      </c>
      <c r="G7344" t="s">
        <v>35</v>
      </c>
      <c r="H7344" t="s">
        <v>35</v>
      </c>
      <c r="J7344" t="s">
        <v>6791</v>
      </c>
      <c r="K7344" t="s">
        <v>1092</v>
      </c>
      <c r="M7344">
        <v>5</v>
      </c>
      <c r="N7344">
        <v>57</v>
      </c>
      <c r="O7344" t="s">
        <v>52</v>
      </c>
      <c r="Q7344" t="s">
        <v>381</v>
      </c>
      <c r="R7344" t="s">
        <v>6707</v>
      </c>
      <c r="S7344" t="s">
        <v>955</v>
      </c>
      <c r="T7344" t="s">
        <v>956</v>
      </c>
    </row>
    <row r="7345" spans="1:20" x14ac:dyDescent="0.25">
      <c r="A7345" t="s">
        <v>59</v>
      </c>
      <c r="B7345" t="s">
        <v>60</v>
      </c>
      <c r="C7345" t="s">
        <v>32</v>
      </c>
      <c r="D7345" t="s">
        <v>953</v>
      </c>
      <c r="E7345" t="s">
        <v>954</v>
      </c>
      <c r="F7345" t="s">
        <v>35</v>
      </c>
      <c r="G7345" t="s">
        <v>35</v>
      </c>
      <c r="H7345" t="s">
        <v>35</v>
      </c>
      <c r="J7345" t="s">
        <v>6791</v>
      </c>
      <c r="K7345" t="s">
        <v>1092</v>
      </c>
      <c r="M7345">
        <v>1</v>
      </c>
      <c r="N7345">
        <v>79</v>
      </c>
      <c r="O7345" t="s">
        <v>61</v>
      </c>
      <c r="Q7345" t="s">
        <v>1076</v>
      </c>
      <c r="R7345" t="s">
        <v>6707</v>
      </c>
      <c r="S7345" t="s">
        <v>955</v>
      </c>
      <c r="T7345" t="s">
        <v>956</v>
      </c>
    </row>
    <row r="7346" spans="1:20" x14ac:dyDescent="0.25">
      <c r="A7346" t="s">
        <v>44</v>
      </c>
      <c r="B7346" t="s">
        <v>3</v>
      </c>
      <c r="C7346" t="s">
        <v>32</v>
      </c>
      <c r="D7346" t="s">
        <v>953</v>
      </c>
      <c r="E7346" t="s">
        <v>954</v>
      </c>
      <c r="F7346" t="s">
        <v>35</v>
      </c>
      <c r="G7346" t="s">
        <v>35</v>
      </c>
      <c r="H7346" t="s">
        <v>35</v>
      </c>
      <c r="J7346" t="s">
        <v>6791</v>
      </c>
      <c r="K7346" t="s">
        <v>1092</v>
      </c>
      <c r="M7346">
        <v>0.45</v>
      </c>
      <c r="N7346">
        <v>453</v>
      </c>
      <c r="O7346" t="s">
        <v>294</v>
      </c>
      <c r="Q7346" t="s">
        <v>4042</v>
      </c>
      <c r="R7346" t="s">
        <v>6707</v>
      </c>
      <c r="S7346" t="s">
        <v>955</v>
      </c>
      <c r="T7346" t="s">
        <v>956</v>
      </c>
    </row>
    <row r="7347" spans="1:20" x14ac:dyDescent="0.25">
      <c r="A7347" t="s">
        <v>44</v>
      </c>
      <c r="B7347" t="s">
        <v>51</v>
      </c>
      <c r="C7347" t="s">
        <v>32</v>
      </c>
      <c r="D7347" t="s">
        <v>953</v>
      </c>
      <c r="E7347" t="s">
        <v>954</v>
      </c>
      <c r="F7347" t="s">
        <v>35</v>
      </c>
      <c r="G7347" t="s">
        <v>35</v>
      </c>
      <c r="H7347" t="s">
        <v>35</v>
      </c>
      <c r="J7347" t="s">
        <v>6766</v>
      </c>
      <c r="K7347" t="s">
        <v>1092</v>
      </c>
      <c r="M7347">
        <v>0.25</v>
      </c>
      <c r="N7347">
        <v>9</v>
      </c>
      <c r="O7347" t="s">
        <v>46</v>
      </c>
      <c r="Q7347" t="s">
        <v>323</v>
      </c>
      <c r="R7347" t="s">
        <v>6707</v>
      </c>
      <c r="S7347" t="s">
        <v>955</v>
      </c>
      <c r="T7347" t="s">
        <v>956</v>
      </c>
    </row>
    <row r="7348" spans="1:20" x14ac:dyDescent="0.25">
      <c r="A7348" t="s">
        <v>30</v>
      </c>
      <c r="B7348" t="s">
        <v>31</v>
      </c>
      <c r="C7348" t="s">
        <v>32</v>
      </c>
      <c r="D7348" t="s">
        <v>953</v>
      </c>
      <c r="E7348" t="s">
        <v>954</v>
      </c>
      <c r="F7348" t="s">
        <v>35</v>
      </c>
      <c r="G7348" t="s">
        <v>35</v>
      </c>
      <c r="H7348" t="s">
        <v>35</v>
      </c>
      <c r="J7348" t="s">
        <v>6766</v>
      </c>
      <c r="K7348" t="s">
        <v>1092</v>
      </c>
      <c r="M7348">
        <v>1.08</v>
      </c>
      <c r="N7348">
        <v>9</v>
      </c>
      <c r="O7348" t="s">
        <v>46</v>
      </c>
      <c r="Q7348" t="s">
        <v>323</v>
      </c>
      <c r="R7348" t="s">
        <v>6707</v>
      </c>
      <c r="S7348" t="s">
        <v>955</v>
      </c>
      <c r="T7348" t="s">
        <v>956</v>
      </c>
    </row>
    <row r="7349" spans="1:20" x14ac:dyDescent="0.25">
      <c r="A7349" t="s">
        <v>59</v>
      </c>
      <c r="B7349" t="s">
        <v>60</v>
      </c>
      <c r="C7349" t="s">
        <v>32</v>
      </c>
      <c r="D7349" t="s">
        <v>953</v>
      </c>
      <c r="E7349" t="s">
        <v>954</v>
      </c>
      <c r="F7349" t="s">
        <v>35</v>
      </c>
      <c r="G7349" t="s">
        <v>35</v>
      </c>
      <c r="H7349" t="s">
        <v>35</v>
      </c>
      <c r="J7349" t="s">
        <v>6766</v>
      </c>
      <c r="K7349" t="s">
        <v>1092</v>
      </c>
      <c r="M7349">
        <v>0.27500000000000002</v>
      </c>
      <c r="N7349">
        <v>42</v>
      </c>
      <c r="O7349" t="s">
        <v>52</v>
      </c>
      <c r="Q7349" t="s">
        <v>219</v>
      </c>
      <c r="R7349" t="s">
        <v>6707</v>
      </c>
      <c r="S7349" t="s">
        <v>955</v>
      </c>
      <c r="T7349" t="s">
        <v>956</v>
      </c>
    </row>
    <row r="7350" spans="1:20" x14ac:dyDescent="0.25">
      <c r="A7350" t="s">
        <v>59</v>
      </c>
      <c r="B7350" t="s">
        <v>31</v>
      </c>
      <c r="C7350" t="s">
        <v>32</v>
      </c>
      <c r="D7350" t="s">
        <v>953</v>
      </c>
      <c r="E7350" t="s">
        <v>954</v>
      </c>
      <c r="F7350" t="s">
        <v>35</v>
      </c>
      <c r="G7350" t="s">
        <v>35</v>
      </c>
      <c r="H7350" t="s">
        <v>35</v>
      </c>
      <c r="J7350" t="s">
        <v>6795</v>
      </c>
      <c r="K7350" t="s">
        <v>1092</v>
      </c>
      <c r="M7350">
        <v>1.71</v>
      </c>
      <c r="N7350">
        <v>49</v>
      </c>
      <c r="O7350" t="s">
        <v>52</v>
      </c>
      <c r="Q7350" t="s">
        <v>453</v>
      </c>
      <c r="R7350" t="s">
        <v>6707</v>
      </c>
      <c r="S7350" t="s">
        <v>955</v>
      </c>
      <c r="T7350" t="s">
        <v>956</v>
      </c>
    </row>
    <row r="7351" spans="1:20" x14ac:dyDescent="0.25">
      <c r="A7351" t="s">
        <v>30</v>
      </c>
      <c r="B7351" t="s">
        <v>31</v>
      </c>
      <c r="C7351" t="s">
        <v>32</v>
      </c>
      <c r="D7351" t="s">
        <v>953</v>
      </c>
      <c r="E7351" t="s">
        <v>954</v>
      </c>
      <c r="F7351" t="s">
        <v>35</v>
      </c>
      <c r="G7351" t="s">
        <v>35</v>
      </c>
      <c r="H7351" t="s">
        <v>35</v>
      </c>
      <c r="J7351" t="s">
        <v>6795</v>
      </c>
      <c r="K7351" t="s">
        <v>1092</v>
      </c>
      <c r="M7351">
        <v>3.6</v>
      </c>
      <c r="N7351">
        <v>36</v>
      </c>
      <c r="O7351" t="s">
        <v>52</v>
      </c>
      <c r="Q7351" t="s">
        <v>892</v>
      </c>
      <c r="R7351" t="s">
        <v>6707</v>
      </c>
      <c r="S7351" t="s">
        <v>955</v>
      </c>
      <c r="T7351" t="s">
        <v>956</v>
      </c>
    </row>
    <row r="7352" spans="1:20" x14ac:dyDescent="0.25">
      <c r="A7352" t="s">
        <v>59</v>
      </c>
      <c r="B7352" t="s">
        <v>60</v>
      </c>
      <c r="C7352" t="s">
        <v>32</v>
      </c>
      <c r="D7352" t="s">
        <v>953</v>
      </c>
      <c r="E7352" t="s">
        <v>954</v>
      </c>
      <c r="F7352" t="s">
        <v>35</v>
      </c>
      <c r="G7352" t="s">
        <v>35</v>
      </c>
      <c r="H7352" t="s">
        <v>35</v>
      </c>
      <c r="J7352" t="s">
        <v>6795</v>
      </c>
      <c r="K7352" t="s">
        <v>1092</v>
      </c>
      <c r="M7352">
        <v>0.5</v>
      </c>
      <c r="N7352">
        <v>58</v>
      </c>
      <c r="O7352" t="s">
        <v>52</v>
      </c>
      <c r="Q7352" t="s">
        <v>128</v>
      </c>
      <c r="R7352" t="s">
        <v>6707</v>
      </c>
      <c r="S7352" t="s">
        <v>955</v>
      </c>
      <c r="T7352" t="s">
        <v>956</v>
      </c>
    </row>
    <row r="7353" spans="1:20" x14ac:dyDescent="0.25">
      <c r="A7353" t="s">
        <v>59</v>
      </c>
      <c r="B7353" t="s">
        <v>60</v>
      </c>
      <c r="C7353" t="s">
        <v>32</v>
      </c>
      <c r="D7353" t="s">
        <v>953</v>
      </c>
      <c r="E7353" t="s">
        <v>954</v>
      </c>
      <c r="F7353" t="s">
        <v>35</v>
      </c>
      <c r="G7353" t="s">
        <v>35</v>
      </c>
      <c r="H7353" t="s">
        <v>35</v>
      </c>
      <c r="J7353" t="s">
        <v>6795</v>
      </c>
      <c r="K7353" t="s">
        <v>1092</v>
      </c>
      <c r="M7353">
        <v>0.5</v>
      </c>
      <c r="N7353">
        <v>41</v>
      </c>
      <c r="O7353" t="s">
        <v>52</v>
      </c>
      <c r="Q7353" t="s">
        <v>496</v>
      </c>
      <c r="R7353" t="s">
        <v>6707</v>
      </c>
      <c r="S7353" t="s">
        <v>955</v>
      </c>
      <c r="T7353" t="s">
        <v>956</v>
      </c>
    </row>
    <row r="7354" spans="1:20" x14ac:dyDescent="0.25">
      <c r="A7354" t="s">
        <v>59</v>
      </c>
      <c r="B7354" t="s">
        <v>60</v>
      </c>
      <c r="C7354" t="s">
        <v>32</v>
      </c>
      <c r="D7354" t="s">
        <v>953</v>
      </c>
      <c r="E7354" t="s">
        <v>954</v>
      </c>
      <c r="F7354" t="s">
        <v>35</v>
      </c>
      <c r="G7354" t="s">
        <v>35</v>
      </c>
      <c r="H7354" t="s">
        <v>35</v>
      </c>
      <c r="J7354" t="s">
        <v>6770</v>
      </c>
      <c r="K7354" t="s">
        <v>1092</v>
      </c>
      <c r="M7354">
        <v>0.3</v>
      </c>
      <c r="N7354">
        <v>85</v>
      </c>
      <c r="O7354" t="s">
        <v>61</v>
      </c>
      <c r="Q7354" t="s">
        <v>1100</v>
      </c>
      <c r="R7354" t="s">
        <v>6707</v>
      </c>
      <c r="S7354" t="s">
        <v>955</v>
      </c>
      <c r="T7354" t="s">
        <v>956</v>
      </c>
    </row>
    <row r="7355" spans="1:20" x14ac:dyDescent="0.25">
      <c r="A7355" t="s">
        <v>59</v>
      </c>
      <c r="B7355" t="s">
        <v>31</v>
      </c>
      <c r="C7355" t="s">
        <v>32</v>
      </c>
      <c r="D7355" t="s">
        <v>953</v>
      </c>
      <c r="E7355" t="s">
        <v>954</v>
      </c>
      <c r="F7355" t="s">
        <v>35</v>
      </c>
      <c r="G7355" t="s">
        <v>35</v>
      </c>
      <c r="H7355" t="s">
        <v>35</v>
      </c>
      <c r="J7355" t="s">
        <v>6770</v>
      </c>
      <c r="K7355" t="s">
        <v>1092</v>
      </c>
      <c r="M7355">
        <v>0.315</v>
      </c>
      <c r="N7355">
        <v>144</v>
      </c>
      <c r="O7355" t="s">
        <v>38</v>
      </c>
      <c r="Q7355" t="s">
        <v>1269</v>
      </c>
      <c r="R7355" t="s">
        <v>6707</v>
      </c>
      <c r="S7355" t="s">
        <v>955</v>
      </c>
      <c r="T7355" t="s">
        <v>956</v>
      </c>
    </row>
    <row r="7356" spans="1:20" x14ac:dyDescent="0.25">
      <c r="A7356" t="s">
        <v>30</v>
      </c>
      <c r="B7356" t="s">
        <v>31</v>
      </c>
      <c r="C7356" t="s">
        <v>32</v>
      </c>
      <c r="D7356" t="s">
        <v>953</v>
      </c>
      <c r="F7356" t="s">
        <v>35</v>
      </c>
      <c r="G7356" t="s">
        <v>35</v>
      </c>
      <c r="H7356" t="s">
        <v>35</v>
      </c>
      <c r="J7356" t="s">
        <v>8030</v>
      </c>
      <c r="K7356" t="s">
        <v>1092</v>
      </c>
      <c r="M7356">
        <v>0.35499999999999998</v>
      </c>
      <c r="N7356">
        <v>1974</v>
      </c>
      <c r="O7356" t="s">
        <v>575</v>
      </c>
      <c r="Q7356" t="s">
        <v>1137</v>
      </c>
      <c r="R7356" t="s">
        <v>6707</v>
      </c>
      <c r="S7356" t="s">
        <v>955</v>
      </c>
      <c r="T7356" t="s">
        <v>956</v>
      </c>
    </row>
    <row r="7357" spans="1:20" x14ac:dyDescent="0.25">
      <c r="A7357" t="s">
        <v>59</v>
      </c>
      <c r="B7357" t="s">
        <v>60</v>
      </c>
      <c r="C7357" t="s">
        <v>32</v>
      </c>
      <c r="D7357" t="s">
        <v>953</v>
      </c>
      <c r="E7357" t="s">
        <v>954</v>
      </c>
      <c r="F7357" t="s">
        <v>35</v>
      </c>
      <c r="G7357" t="s">
        <v>35</v>
      </c>
      <c r="H7357" t="s">
        <v>35</v>
      </c>
      <c r="J7357" t="s">
        <v>6771</v>
      </c>
      <c r="K7357" t="s">
        <v>1092</v>
      </c>
      <c r="M7357">
        <v>0.05</v>
      </c>
      <c r="N7357">
        <v>137</v>
      </c>
      <c r="O7357" t="s">
        <v>38</v>
      </c>
      <c r="Q7357" t="s">
        <v>2929</v>
      </c>
      <c r="R7357" t="s">
        <v>6707</v>
      </c>
      <c r="S7357" t="s">
        <v>955</v>
      </c>
      <c r="T7357" t="s">
        <v>956</v>
      </c>
    </row>
    <row r="7358" spans="1:20" x14ac:dyDescent="0.25">
      <c r="A7358" t="s">
        <v>59</v>
      </c>
      <c r="B7358" t="s">
        <v>31</v>
      </c>
      <c r="C7358" t="s">
        <v>32</v>
      </c>
      <c r="D7358" t="s">
        <v>953</v>
      </c>
      <c r="E7358" t="s">
        <v>7494</v>
      </c>
      <c r="F7358" t="s">
        <v>35</v>
      </c>
      <c r="G7358" t="s">
        <v>35</v>
      </c>
      <c r="H7358" t="s">
        <v>35</v>
      </c>
      <c r="J7358" t="s">
        <v>7497</v>
      </c>
      <c r="K7358" t="s">
        <v>1092</v>
      </c>
      <c r="M7358">
        <v>0.45</v>
      </c>
      <c r="N7358">
        <v>80</v>
      </c>
      <c r="O7358" t="s">
        <v>61</v>
      </c>
      <c r="Q7358" t="s">
        <v>1639</v>
      </c>
      <c r="R7358" t="s">
        <v>6707</v>
      </c>
      <c r="S7358" t="s">
        <v>955</v>
      </c>
      <c r="T7358" t="s">
        <v>956</v>
      </c>
    </row>
    <row r="7359" spans="1:20" x14ac:dyDescent="0.25">
      <c r="A7359" t="s">
        <v>59</v>
      </c>
      <c r="B7359" t="s">
        <v>60</v>
      </c>
      <c r="C7359" t="s">
        <v>32</v>
      </c>
      <c r="D7359" t="s">
        <v>953</v>
      </c>
      <c r="E7359" t="s">
        <v>7494</v>
      </c>
      <c r="F7359" t="s">
        <v>35</v>
      </c>
      <c r="G7359" t="s">
        <v>35</v>
      </c>
      <c r="H7359" t="s">
        <v>35</v>
      </c>
      <c r="J7359" t="s">
        <v>7497</v>
      </c>
      <c r="K7359" t="s">
        <v>1092</v>
      </c>
      <c r="M7359">
        <v>0.5</v>
      </c>
      <c r="N7359">
        <v>42</v>
      </c>
      <c r="O7359" t="s">
        <v>52</v>
      </c>
      <c r="Q7359" t="s">
        <v>219</v>
      </c>
      <c r="R7359" t="s">
        <v>6707</v>
      </c>
      <c r="S7359" t="s">
        <v>955</v>
      </c>
      <c r="T7359" t="s">
        <v>956</v>
      </c>
    </row>
    <row r="7360" spans="1:20" x14ac:dyDescent="0.25">
      <c r="A7360" t="s">
        <v>59</v>
      </c>
      <c r="B7360" t="s">
        <v>60</v>
      </c>
      <c r="C7360" t="s">
        <v>32</v>
      </c>
      <c r="D7360" t="s">
        <v>953</v>
      </c>
      <c r="E7360" t="s">
        <v>7494</v>
      </c>
      <c r="F7360" t="s">
        <v>35</v>
      </c>
      <c r="G7360" t="s">
        <v>35</v>
      </c>
      <c r="H7360" t="s">
        <v>35</v>
      </c>
      <c r="J7360" t="s">
        <v>7497</v>
      </c>
      <c r="K7360" t="s">
        <v>1092</v>
      </c>
      <c r="M7360">
        <v>1</v>
      </c>
      <c r="N7360">
        <v>80</v>
      </c>
      <c r="O7360" t="s">
        <v>61</v>
      </c>
      <c r="Q7360" t="s">
        <v>1639</v>
      </c>
      <c r="R7360" t="s">
        <v>6707</v>
      </c>
      <c r="S7360" t="s">
        <v>955</v>
      </c>
      <c r="T7360" t="s">
        <v>956</v>
      </c>
    </row>
    <row r="7361" spans="1:20" x14ac:dyDescent="0.25">
      <c r="A7361" t="s">
        <v>59</v>
      </c>
      <c r="B7361" t="s">
        <v>31</v>
      </c>
      <c r="C7361" t="s">
        <v>32</v>
      </c>
      <c r="D7361" t="s">
        <v>953</v>
      </c>
      <c r="E7361" t="s">
        <v>7494</v>
      </c>
      <c r="F7361" t="s">
        <v>35</v>
      </c>
      <c r="G7361" t="s">
        <v>35</v>
      </c>
      <c r="H7361" t="s">
        <v>35</v>
      </c>
      <c r="J7361" t="s">
        <v>7497</v>
      </c>
      <c r="K7361" t="s">
        <v>1092</v>
      </c>
      <c r="M7361">
        <v>1.2</v>
      </c>
      <c r="N7361">
        <v>148</v>
      </c>
      <c r="O7361" t="s">
        <v>38</v>
      </c>
      <c r="Q7361" t="s">
        <v>3942</v>
      </c>
      <c r="R7361" t="s">
        <v>6707</v>
      </c>
      <c r="S7361" t="s">
        <v>955</v>
      </c>
      <c r="T7361" t="s">
        <v>956</v>
      </c>
    </row>
    <row r="7362" spans="1:20" x14ac:dyDescent="0.25">
      <c r="A7362" t="s">
        <v>59</v>
      </c>
      <c r="B7362" t="s">
        <v>31</v>
      </c>
      <c r="C7362" t="s">
        <v>32</v>
      </c>
      <c r="D7362" t="s">
        <v>953</v>
      </c>
      <c r="E7362" t="s">
        <v>954</v>
      </c>
      <c r="F7362" t="s">
        <v>35</v>
      </c>
      <c r="G7362" t="s">
        <v>35</v>
      </c>
      <c r="H7362" t="s">
        <v>35</v>
      </c>
      <c r="J7362" t="s">
        <v>6772</v>
      </c>
      <c r="K7362" t="s">
        <v>1092</v>
      </c>
      <c r="M7362">
        <v>0.27</v>
      </c>
      <c r="N7362">
        <v>568</v>
      </c>
      <c r="O7362" t="s">
        <v>575</v>
      </c>
      <c r="Q7362" t="s">
        <v>6773</v>
      </c>
      <c r="R7362" t="s">
        <v>6707</v>
      </c>
      <c r="S7362" t="s">
        <v>955</v>
      </c>
      <c r="T7362" t="s">
        <v>956</v>
      </c>
    </row>
    <row r="7363" spans="1:20" x14ac:dyDescent="0.25">
      <c r="A7363" t="s">
        <v>59</v>
      </c>
      <c r="B7363" t="s">
        <v>31</v>
      </c>
      <c r="C7363" t="s">
        <v>32</v>
      </c>
      <c r="D7363" t="s">
        <v>953</v>
      </c>
      <c r="E7363" t="s">
        <v>954</v>
      </c>
      <c r="F7363" t="s">
        <v>35</v>
      </c>
      <c r="G7363" t="s">
        <v>35</v>
      </c>
      <c r="H7363" t="s">
        <v>35</v>
      </c>
      <c r="J7363" t="s">
        <v>6772</v>
      </c>
      <c r="K7363" t="s">
        <v>1092</v>
      </c>
      <c r="M7363">
        <v>1.35</v>
      </c>
      <c r="N7363">
        <v>504</v>
      </c>
      <c r="O7363" t="s">
        <v>294</v>
      </c>
      <c r="Q7363" t="s">
        <v>5048</v>
      </c>
      <c r="R7363" t="s">
        <v>6707</v>
      </c>
      <c r="S7363" t="s">
        <v>955</v>
      </c>
      <c r="T7363" t="s">
        <v>956</v>
      </c>
    </row>
    <row r="7364" spans="1:20" x14ac:dyDescent="0.25">
      <c r="A7364" t="s">
        <v>59</v>
      </c>
      <c r="B7364" t="s">
        <v>31</v>
      </c>
      <c r="C7364" t="s">
        <v>32</v>
      </c>
      <c r="D7364" t="s">
        <v>953</v>
      </c>
      <c r="E7364" t="s">
        <v>954</v>
      </c>
      <c r="F7364" t="s">
        <v>35</v>
      </c>
      <c r="G7364" t="s">
        <v>35</v>
      </c>
      <c r="H7364" t="s">
        <v>35</v>
      </c>
      <c r="J7364" t="s">
        <v>6772</v>
      </c>
      <c r="K7364" t="s">
        <v>1092</v>
      </c>
      <c r="M7364">
        <v>0.9</v>
      </c>
      <c r="N7364">
        <v>427</v>
      </c>
      <c r="O7364" t="s">
        <v>294</v>
      </c>
      <c r="Q7364" t="s">
        <v>1370</v>
      </c>
      <c r="R7364" t="s">
        <v>6707</v>
      </c>
      <c r="S7364" t="s">
        <v>955</v>
      </c>
      <c r="T7364" t="s">
        <v>956</v>
      </c>
    </row>
    <row r="7365" spans="1:20" x14ac:dyDescent="0.25">
      <c r="A7365" t="s">
        <v>59</v>
      </c>
      <c r="B7365" t="s">
        <v>31</v>
      </c>
      <c r="C7365" t="s">
        <v>32</v>
      </c>
      <c r="D7365" t="s">
        <v>953</v>
      </c>
      <c r="E7365" t="s">
        <v>954</v>
      </c>
      <c r="F7365" t="s">
        <v>35</v>
      </c>
      <c r="G7365" t="s">
        <v>35</v>
      </c>
      <c r="H7365" t="s">
        <v>35</v>
      </c>
      <c r="J7365" t="s">
        <v>6772</v>
      </c>
      <c r="K7365" t="s">
        <v>1092</v>
      </c>
      <c r="M7365">
        <v>0.9</v>
      </c>
      <c r="N7365">
        <v>85</v>
      </c>
      <c r="O7365" t="s">
        <v>61</v>
      </c>
      <c r="Q7365" t="s">
        <v>1100</v>
      </c>
      <c r="R7365" t="s">
        <v>6707</v>
      </c>
      <c r="S7365" t="s">
        <v>955</v>
      </c>
      <c r="T7365" t="s">
        <v>956</v>
      </c>
    </row>
    <row r="7366" spans="1:20" x14ac:dyDescent="0.25">
      <c r="A7366" t="s">
        <v>59</v>
      </c>
      <c r="B7366" t="s">
        <v>31</v>
      </c>
      <c r="C7366" t="s">
        <v>32</v>
      </c>
      <c r="D7366" t="s">
        <v>953</v>
      </c>
      <c r="E7366" t="s">
        <v>954</v>
      </c>
      <c r="F7366" t="s">
        <v>35</v>
      </c>
      <c r="G7366" t="s">
        <v>35</v>
      </c>
      <c r="H7366" t="s">
        <v>35</v>
      </c>
      <c r="J7366" t="s">
        <v>6772</v>
      </c>
      <c r="K7366" t="s">
        <v>1092</v>
      </c>
      <c r="M7366">
        <v>0.9</v>
      </c>
      <c r="N7366">
        <v>52</v>
      </c>
      <c r="O7366" t="s">
        <v>52</v>
      </c>
      <c r="Q7366" t="s">
        <v>84</v>
      </c>
      <c r="R7366" t="s">
        <v>6707</v>
      </c>
      <c r="S7366" t="s">
        <v>955</v>
      </c>
      <c r="T7366" t="s">
        <v>956</v>
      </c>
    </row>
    <row r="7367" spans="1:20" x14ac:dyDescent="0.25">
      <c r="A7367" t="s">
        <v>59</v>
      </c>
      <c r="B7367" t="s">
        <v>60</v>
      </c>
      <c r="C7367" t="s">
        <v>32</v>
      </c>
      <c r="D7367" t="s">
        <v>953</v>
      </c>
      <c r="E7367" t="s">
        <v>954</v>
      </c>
      <c r="F7367" t="s">
        <v>35</v>
      </c>
      <c r="G7367" t="s">
        <v>35</v>
      </c>
      <c r="H7367" t="s">
        <v>35</v>
      </c>
      <c r="J7367" t="s">
        <v>6789</v>
      </c>
      <c r="K7367" t="s">
        <v>1092</v>
      </c>
      <c r="M7367">
        <v>0.9</v>
      </c>
      <c r="N7367">
        <v>138</v>
      </c>
      <c r="O7367" t="s">
        <v>38</v>
      </c>
      <c r="Q7367" t="s">
        <v>1149</v>
      </c>
      <c r="R7367" t="s">
        <v>6707</v>
      </c>
      <c r="S7367" t="s">
        <v>955</v>
      </c>
      <c r="T7367" t="s">
        <v>956</v>
      </c>
    </row>
    <row r="7368" spans="1:20" x14ac:dyDescent="0.25">
      <c r="A7368" t="s">
        <v>59</v>
      </c>
      <c r="B7368" t="s">
        <v>31</v>
      </c>
      <c r="C7368" t="s">
        <v>32</v>
      </c>
      <c r="D7368" t="s">
        <v>953</v>
      </c>
      <c r="E7368" t="s">
        <v>954</v>
      </c>
      <c r="F7368" t="s">
        <v>35</v>
      </c>
      <c r="G7368" t="s">
        <v>35</v>
      </c>
      <c r="H7368" t="s">
        <v>35</v>
      </c>
      <c r="J7368" t="s">
        <v>6789</v>
      </c>
      <c r="K7368" t="s">
        <v>1092</v>
      </c>
      <c r="M7368">
        <v>1.35</v>
      </c>
      <c r="N7368">
        <v>49</v>
      </c>
      <c r="O7368" t="s">
        <v>52</v>
      </c>
      <c r="Q7368" t="s">
        <v>453</v>
      </c>
      <c r="R7368" t="s">
        <v>6707</v>
      </c>
      <c r="S7368" t="s">
        <v>955</v>
      </c>
      <c r="T7368" t="s">
        <v>956</v>
      </c>
    </row>
    <row r="7369" spans="1:20" x14ac:dyDescent="0.25">
      <c r="A7369" t="s">
        <v>30</v>
      </c>
      <c r="B7369" t="s">
        <v>31</v>
      </c>
      <c r="C7369" t="s">
        <v>32</v>
      </c>
      <c r="D7369" t="s">
        <v>953</v>
      </c>
      <c r="E7369" t="s">
        <v>954</v>
      </c>
      <c r="F7369" t="s">
        <v>35</v>
      </c>
      <c r="G7369" t="s">
        <v>35</v>
      </c>
      <c r="H7369" t="s">
        <v>35</v>
      </c>
      <c r="J7369" t="s">
        <v>6814</v>
      </c>
      <c r="K7369" t="s">
        <v>1092</v>
      </c>
      <c r="M7369">
        <v>0.22500000000000001</v>
      </c>
      <c r="N7369">
        <v>9</v>
      </c>
      <c r="O7369" t="s">
        <v>46</v>
      </c>
      <c r="Q7369" t="s">
        <v>323</v>
      </c>
      <c r="R7369" t="s">
        <v>6707</v>
      </c>
      <c r="S7369" t="s">
        <v>955</v>
      </c>
      <c r="T7369" t="s">
        <v>956</v>
      </c>
    </row>
    <row r="7370" spans="1:20" x14ac:dyDescent="0.25">
      <c r="A7370" t="s">
        <v>59</v>
      </c>
      <c r="B7370" t="s">
        <v>60</v>
      </c>
      <c r="C7370" t="s">
        <v>32</v>
      </c>
      <c r="D7370" t="s">
        <v>953</v>
      </c>
      <c r="E7370" t="s">
        <v>954</v>
      </c>
      <c r="F7370" t="s">
        <v>35</v>
      </c>
      <c r="G7370" t="s">
        <v>35</v>
      </c>
      <c r="H7370" t="s">
        <v>35</v>
      </c>
      <c r="J7370" t="s">
        <v>6814</v>
      </c>
      <c r="K7370" t="s">
        <v>1092</v>
      </c>
      <c r="M7370">
        <v>0.25</v>
      </c>
      <c r="N7370">
        <v>78</v>
      </c>
      <c r="O7370" t="s">
        <v>61</v>
      </c>
      <c r="Q7370" t="s">
        <v>1202</v>
      </c>
      <c r="R7370" t="s">
        <v>6707</v>
      </c>
      <c r="S7370" t="s">
        <v>955</v>
      </c>
      <c r="T7370" t="s">
        <v>956</v>
      </c>
    </row>
    <row r="7371" spans="1:20" x14ac:dyDescent="0.25">
      <c r="A7371" t="s">
        <v>59</v>
      </c>
      <c r="B7371" t="s">
        <v>60</v>
      </c>
      <c r="C7371" t="s">
        <v>32</v>
      </c>
      <c r="D7371" t="s">
        <v>953</v>
      </c>
      <c r="E7371" t="s">
        <v>954</v>
      </c>
      <c r="F7371" t="s">
        <v>35</v>
      </c>
      <c r="G7371" t="s">
        <v>35</v>
      </c>
      <c r="H7371" t="s">
        <v>35</v>
      </c>
      <c r="J7371" t="s">
        <v>6814</v>
      </c>
      <c r="K7371" t="s">
        <v>1092</v>
      </c>
      <c r="M7371">
        <v>0.45</v>
      </c>
      <c r="N7371">
        <v>170</v>
      </c>
      <c r="O7371" t="s">
        <v>38</v>
      </c>
      <c r="Q7371" t="s">
        <v>4657</v>
      </c>
      <c r="R7371" t="s">
        <v>6707</v>
      </c>
      <c r="S7371" t="s">
        <v>955</v>
      </c>
      <c r="T7371" t="s">
        <v>956</v>
      </c>
    </row>
    <row r="7372" spans="1:20" x14ac:dyDescent="0.25">
      <c r="A7372" t="s">
        <v>59</v>
      </c>
      <c r="B7372" t="s">
        <v>60</v>
      </c>
      <c r="C7372" t="s">
        <v>32</v>
      </c>
      <c r="D7372" t="s">
        <v>953</v>
      </c>
      <c r="E7372" t="s">
        <v>954</v>
      </c>
      <c r="F7372" t="s">
        <v>35</v>
      </c>
      <c r="G7372" t="s">
        <v>35</v>
      </c>
      <c r="H7372" t="s">
        <v>35</v>
      </c>
      <c r="J7372" t="s">
        <v>6814</v>
      </c>
      <c r="K7372" t="s">
        <v>1092</v>
      </c>
      <c r="M7372">
        <v>0.75</v>
      </c>
      <c r="N7372">
        <v>162</v>
      </c>
      <c r="O7372" t="s">
        <v>38</v>
      </c>
      <c r="Q7372" t="s">
        <v>1189</v>
      </c>
      <c r="R7372" t="s">
        <v>6707</v>
      </c>
      <c r="S7372" t="s">
        <v>955</v>
      </c>
      <c r="T7372" t="s">
        <v>956</v>
      </c>
    </row>
    <row r="7373" spans="1:20" x14ac:dyDescent="0.25">
      <c r="A7373" t="s">
        <v>59</v>
      </c>
      <c r="B7373" t="s">
        <v>31</v>
      </c>
      <c r="C7373" t="s">
        <v>32</v>
      </c>
      <c r="D7373" t="s">
        <v>953</v>
      </c>
      <c r="E7373" t="s">
        <v>954</v>
      </c>
      <c r="F7373" t="s">
        <v>35</v>
      </c>
      <c r="G7373" t="s">
        <v>35</v>
      </c>
      <c r="H7373" t="s">
        <v>35</v>
      </c>
      <c r="J7373" t="s">
        <v>6814</v>
      </c>
      <c r="K7373" t="s">
        <v>1092</v>
      </c>
      <c r="M7373">
        <v>1.575</v>
      </c>
      <c r="N7373">
        <v>144</v>
      </c>
      <c r="O7373" t="s">
        <v>38</v>
      </c>
      <c r="Q7373" t="s">
        <v>1269</v>
      </c>
      <c r="R7373" t="s">
        <v>6707</v>
      </c>
      <c r="S7373" t="s">
        <v>955</v>
      </c>
      <c r="T7373" t="s">
        <v>956</v>
      </c>
    </row>
    <row r="7374" spans="1:20" x14ac:dyDescent="0.25">
      <c r="A7374" t="s">
        <v>44</v>
      </c>
      <c r="B7374" t="s">
        <v>51</v>
      </c>
      <c r="C7374" t="s">
        <v>32</v>
      </c>
      <c r="D7374" t="s">
        <v>953</v>
      </c>
      <c r="E7374" t="s">
        <v>954</v>
      </c>
      <c r="F7374" t="s">
        <v>35</v>
      </c>
      <c r="G7374" t="s">
        <v>35</v>
      </c>
      <c r="H7374" t="s">
        <v>35</v>
      </c>
      <c r="J7374" t="s">
        <v>6814</v>
      </c>
      <c r="K7374" t="s">
        <v>1092</v>
      </c>
      <c r="M7374">
        <v>0.5</v>
      </c>
      <c r="N7374">
        <v>13</v>
      </c>
      <c r="O7374" t="s">
        <v>46</v>
      </c>
      <c r="Q7374" t="s">
        <v>1004</v>
      </c>
      <c r="R7374" t="s">
        <v>6707</v>
      </c>
      <c r="S7374" t="s">
        <v>955</v>
      </c>
      <c r="T7374" t="s">
        <v>956</v>
      </c>
    </row>
    <row r="7375" spans="1:20" x14ac:dyDescent="0.25">
      <c r="A7375" t="s">
        <v>59</v>
      </c>
      <c r="B7375" t="s">
        <v>31</v>
      </c>
      <c r="C7375" t="s">
        <v>32</v>
      </c>
      <c r="D7375" t="s">
        <v>953</v>
      </c>
      <c r="E7375" t="s">
        <v>954</v>
      </c>
      <c r="F7375" t="s">
        <v>35</v>
      </c>
      <c r="G7375" t="s">
        <v>35</v>
      </c>
      <c r="H7375" t="s">
        <v>35</v>
      </c>
      <c r="J7375" t="s">
        <v>6440</v>
      </c>
      <c r="K7375" t="s">
        <v>1092</v>
      </c>
      <c r="M7375">
        <v>0.13500000000000001</v>
      </c>
      <c r="N7375">
        <v>79</v>
      </c>
      <c r="O7375" t="s">
        <v>61</v>
      </c>
      <c r="Q7375" t="s">
        <v>1076</v>
      </c>
      <c r="R7375" t="s">
        <v>6707</v>
      </c>
      <c r="S7375" t="s">
        <v>955</v>
      </c>
      <c r="T7375" t="s">
        <v>956</v>
      </c>
    </row>
    <row r="7376" spans="1:20" x14ac:dyDescent="0.25">
      <c r="A7376" t="s">
        <v>30</v>
      </c>
      <c r="B7376" t="s">
        <v>31</v>
      </c>
      <c r="C7376" t="s">
        <v>32</v>
      </c>
      <c r="D7376" t="s">
        <v>953</v>
      </c>
      <c r="E7376" t="s">
        <v>954</v>
      </c>
      <c r="F7376" t="s">
        <v>35</v>
      </c>
      <c r="G7376" t="s">
        <v>35</v>
      </c>
      <c r="H7376" t="s">
        <v>35</v>
      </c>
      <c r="J7376" t="s">
        <v>6440</v>
      </c>
      <c r="K7376" t="s">
        <v>1092</v>
      </c>
      <c r="M7376">
        <v>0.67500000000000004</v>
      </c>
      <c r="N7376">
        <v>13</v>
      </c>
      <c r="O7376" t="s">
        <v>46</v>
      </c>
      <c r="Q7376" t="s">
        <v>1004</v>
      </c>
      <c r="R7376" t="s">
        <v>6707</v>
      </c>
      <c r="S7376" t="s">
        <v>955</v>
      </c>
      <c r="T7376" t="s">
        <v>956</v>
      </c>
    </row>
    <row r="7377" spans="1:20" x14ac:dyDescent="0.25">
      <c r="A7377" t="s">
        <v>59</v>
      </c>
      <c r="B7377" t="s">
        <v>31</v>
      </c>
      <c r="C7377" t="s">
        <v>32</v>
      </c>
      <c r="D7377" t="s">
        <v>953</v>
      </c>
      <c r="E7377" t="s">
        <v>954</v>
      </c>
      <c r="F7377" t="s">
        <v>35</v>
      </c>
      <c r="G7377" t="s">
        <v>35</v>
      </c>
      <c r="H7377" t="s">
        <v>35</v>
      </c>
      <c r="J7377" t="s">
        <v>6440</v>
      </c>
      <c r="K7377" t="s">
        <v>1092</v>
      </c>
      <c r="M7377">
        <v>0.45</v>
      </c>
      <c r="N7377">
        <v>78</v>
      </c>
      <c r="O7377" t="s">
        <v>61</v>
      </c>
      <c r="Q7377" t="s">
        <v>1202</v>
      </c>
      <c r="R7377" t="s">
        <v>6707</v>
      </c>
      <c r="S7377" t="s">
        <v>955</v>
      </c>
      <c r="T7377" t="s">
        <v>956</v>
      </c>
    </row>
    <row r="7378" spans="1:20" x14ac:dyDescent="0.25">
      <c r="A7378" t="s">
        <v>59</v>
      </c>
      <c r="B7378" t="s">
        <v>31</v>
      </c>
      <c r="C7378" t="s">
        <v>32</v>
      </c>
      <c r="D7378" t="s">
        <v>953</v>
      </c>
      <c r="E7378" t="s">
        <v>7558</v>
      </c>
      <c r="F7378" t="s">
        <v>35</v>
      </c>
      <c r="G7378" t="s">
        <v>35</v>
      </c>
      <c r="H7378" t="s">
        <v>35</v>
      </c>
      <c r="J7378" t="s">
        <v>7589</v>
      </c>
      <c r="K7378" t="s">
        <v>1092</v>
      </c>
      <c r="M7378">
        <v>0.27</v>
      </c>
      <c r="N7378">
        <v>231</v>
      </c>
      <c r="O7378" t="s">
        <v>5</v>
      </c>
      <c r="Q7378" t="s">
        <v>933</v>
      </c>
      <c r="R7378" t="s">
        <v>6707</v>
      </c>
      <c r="S7378" t="s">
        <v>955</v>
      </c>
      <c r="T7378" t="s">
        <v>956</v>
      </c>
    </row>
    <row r="7379" spans="1:20" x14ac:dyDescent="0.25">
      <c r="A7379" t="s">
        <v>44</v>
      </c>
      <c r="B7379" t="s">
        <v>51</v>
      </c>
      <c r="C7379" t="s">
        <v>32</v>
      </c>
      <c r="D7379" t="s">
        <v>953</v>
      </c>
      <c r="E7379" t="s">
        <v>7558</v>
      </c>
      <c r="F7379" t="s">
        <v>35</v>
      </c>
      <c r="G7379" t="s">
        <v>35</v>
      </c>
      <c r="H7379" t="s">
        <v>35</v>
      </c>
      <c r="J7379" t="s">
        <v>7589</v>
      </c>
      <c r="K7379" t="s">
        <v>1092</v>
      </c>
      <c r="M7379">
        <v>0.1</v>
      </c>
      <c r="N7379">
        <v>231</v>
      </c>
      <c r="O7379" t="s">
        <v>5</v>
      </c>
      <c r="Q7379" t="s">
        <v>933</v>
      </c>
      <c r="R7379" t="s">
        <v>6707</v>
      </c>
      <c r="S7379" t="s">
        <v>955</v>
      </c>
      <c r="T7379" t="s">
        <v>956</v>
      </c>
    </row>
    <row r="7380" spans="1:20" x14ac:dyDescent="0.25">
      <c r="A7380" t="s">
        <v>59</v>
      </c>
      <c r="B7380" t="s">
        <v>60</v>
      </c>
      <c r="C7380" t="s">
        <v>32</v>
      </c>
      <c r="D7380" t="s">
        <v>953</v>
      </c>
      <c r="E7380" t="s">
        <v>7558</v>
      </c>
      <c r="F7380" t="s">
        <v>35</v>
      </c>
      <c r="G7380" t="s">
        <v>35</v>
      </c>
      <c r="H7380" t="s">
        <v>35</v>
      </c>
      <c r="J7380" t="s">
        <v>7589</v>
      </c>
      <c r="K7380" t="s">
        <v>1092</v>
      </c>
      <c r="M7380">
        <v>0.05</v>
      </c>
      <c r="N7380">
        <v>231</v>
      </c>
      <c r="O7380" t="s">
        <v>5</v>
      </c>
      <c r="Q7380" t="s">
        <v>933</v>
      </c>
      <c r="R7380" t="s">
        <v>6707</v>
      </c>
      <c r="S7380" t="s">
        <v>955</v>
      </c>
      <c r="T7380" t="s">
        <v>956</v>
      </c>
    </row>
    <row r="7381" spans="1:20" x14ac:dyDescent="0.25">
      <c r="A7381" t="s">
        <v>59</v>
      </c>
      <c r="B7381" t="s">
        <v>60</v>
      </c>
      <c r="C7381" t="s">
        <v>32</v>
      </c>
      <c r="D7381" t="s">
        <v>953</v>
      </c>
      <c r="E7381" t="s">
        <v>1077</v>
      </c>
      <c r="F7381" t="s">
        <v>35</v>
      </c>
      <c r="G7381" t="s">
        <v>35</v>
      </c>
      <c r="H7381" t="s">
        <v>35</v>
      </c>
      <c r="J7381" t="s">
        <v>7657</v>
      </c>
      <c r="K7381" t="s">
        <v>1092</v>
      </c>
      <c r="M7381">
        <v>1</v>
      </c>
      <c r="N7381">
        <v>786</v>
      </c>
      <c r="O7381" t="s">
        <v>575</v>
      </c>
      <c r="Q7381" t="s">
        <v>7658</v>
      </c>
      <c r="R7381" t="s">
        <v>6707</v>
      </c>
      <c r="S7381" t="s">
        <v>955</v>
      </c>
      <c r="T7381" t="s">
        <v>956</v>
      </c>
    </row>
    <row r="7382" spans="1:20" x14ac:dyDescent="0.25">
      <c r="A7382" t="s">
        <v>59</v>
      </c>
      <c r="B7382" t="s">
        <v>60</v>
      </c>
      <c r="C7382" t="s">
        <v>32</v>
      </c>
      <c r="D7382" t="s">
        <v>953</v>
      </c>
      <c r="E7382" t="s">
        <v>1077</v>
      </c>
      <c r="F7382" t="s">
        <v>35</v>
      </c>
      <c r="G7382" t="s">
        <v>35</v>
      </c>
      <c r="H7382" t="s">
        <v>35</v>
      </c>
      <c r="J7382" t="s">
        <v>7657</v>
      </c>
      <c r="K7382" t="s">
        <v>1092</v>
      </c>
      <c r="M7382">
        <v>0.1</v>
      </c>
      <c r="N7382">
        <v>1127</v>
      </c>
      <c r="O7382" t="s">
        <v>575</v>
      </c>
      <c r="Q7382" t="s">
        <v>4716</v>
      </c>
      <c r="R7382" t="s">
        <v>6707</v>
      </c>
      <c r="S7382" t="s">
        <v>955</v>
      </c>
      <c r="T7382" t="s">
        <v>956</v>
      </c>
    </row>
    <row r="7383" spans="1:20" x14ac:dyDescent="0.25">
      <c r="A7383" t="s">
        <v>30</v>
      </c>
      <c r="B7383" t="s">
        <v>31</v>
      </c>
      <c r="C7383" t="s">
        <v>32</v>
      </c>
      <c r="D7383" t="s">
        <v>953</v>
      </c>
      <c r="E7383" t="s">
        <v>1077</v>
      </c>
      <c r="F7383" t="s">
        <v>35</v>
      </c>
      <c r="G7383" t="s">
        <v>35</v>
      </c>
      <c r="H7383" t="s">
        <v>35</v>
      </c>
      <c r="J7383" t="s">
        <v>7657</v>
      </c>
      <c r="K7383" t="s">
        <v>1092</v>
      </c>
      <c r="M7383">
        <v>7.6050000000000004</v>
      </c>
      <c r="N7383">
        <v>276</v>
      </c>
      <c r="O7383" t="s">
        <v>5</v>
      </c>
      <c r="Q7383" t="s">
        <v>1771</v>
      </c>
      <c r="R7383" t="s">
        <v>6707</v>
      </c>
      <c r="S7383" t="s">
        <v>955</v>
      </c>
      <c r="T7383" t="s">
        <v>956</v>
      </c>
    </row>
    <row r="7384" spans="1:20" x14ac:dyDescent="0.25">
      <c r="A7384" t="s">
        <v>59</v>
      </c>
      <c r="B7384" t="s">
        <v>60</v>
      </c>
      <c r="C7384" t="s">
        <v>32</v>
      </c>
      <c r="D7384" t="s">
        <v>953</v>
      </c>
      <c r="E7384" t="s">
        <v>1077</v>
      </c>
      <c r="F7384" t="s">
        <v>35</v>
      </c>
      <c r="G7384" t="s">
        <v>35</v>
      </c>
      <c r="H7384" t="s">
        <v>35</v>
      </c>
      <c r="J7384" t="s">
        <v>7657</v>
      </c>
      <c r="K7384" t="s">
        <v>1092</v>
      </c>
      <c r="M7384">
        <v>1</v>
      </c>
      <c r="N7384">
        <v>782</v>
      </c>
      <c r="O7384" t="s">
        <v>575</v>
      </c>
      <c r="Q7384" t="s">
        <v>7659</v>
      </c>
      <c r="R7384" t="s">
        <v>6707</v>
      </c>
      <c r="S7384" t="s">
        <v>955</v>
      </c>
      <c r="T7384" t="s">
        <v>956</v>
      </c>
    </row>
    <row r="7385" spans="1:20" x14ac:dyDescent="0.25">
      <c r="A7385" t="s">
        <v>59</v>
      </c>
      <c r="B7385" t="s">
        <v>60</v>
      </c>
      <c r="C7385" t="s">
        <v>32</v>
      </c>
      <c r="D7385" t="s">
        <v>953</v>
      </c>
      <c r="E7385" t="s">
        <v>1077</v>
      </c>
      <c r="F7385" t="s">
        <v>35</v>
      </c>
      <c r="G7385" t="s">
        <v>35</v>
      </c>
      <c r="H7385" t="s">
        <v>35</v>
      </c>
      <c r="J7385" t="s">
        <v>7657</v>
      </c>
      <c r="K7385" t="s">
        <v>1092</v>
      </c>
      <c r="M7385">
        <v>0.5</v>
      </c>
      <c r="N7385">
        <v>939</v>
      </c>
      <c r="O7385" t="s">
        <v>575</v>
      </c>
      <c r="Q7385" t="s">
        <v>7660</v>
      </c>
      <c r="R7385" t="s">
        <v>6707</v>
      </c>
      <c r="S7385" t="s">
        <v>955</v>
      </c>
      <c r="T7385" t="s">
        <v>956</v>
      </c>
    </row>
    <row r="7386" spans="1:20" x14ac:dyDescent="0.25">
      <c r="A7386" t="s">
        <v>59</v>
      </c>
      <c r="B7386" t="s">
        <v>31</v>
      </c>
      <c r="C7386" t="s">
        <v>32</v>
      </c>
      <c r="D7386" t="s">
        <v>953</v>
      </c>
      <c r="F7386" t="s">
        <v>35</v>
      </c>
      <c r="G7386" t="s">
        <v>35</v>
      </c>
      <c r="H7386" t="s">
        <v>35</v>
      </c>
      <c r="J7386" t="s">
        <v>7981</v>
      </c>
      <c r="K7386" t="s">
        <v>1092</v>
      </c>
      <c r="M7386">
        <v>4.68</v>
      </c>
      <c r="N7386">
        <v>2454</v>
      </c>
      <c r="O7386" t="s">
        <v>575</v>
      </c>
      <c r="Q7386" t="s">
        <v>7982</v>
      </c>
      <c r="R7386" t="s">
        <v>6707</v>
      </c>
      <c r="S7386" t="s">
        <v>955</v>
      </c>
      <c r="T7386" t="s">
        <v>956</v>
      </c>
    </row>
    <row r="7387" spans="1:20" x14ac:dyDescent="0.25">
      <c r="A7387" t="s">
        <v>30</v>
      </c>
      <c r="B7387" t="s">
        <v>31</v>
      </c>
      <c r="C7387" t="s">
        <v>32</v>
      </c>
      <c r="D7387" t="s">
        <v>953</v>
      </c>
      <c r="E7387" t="s">
        <v>954</v>
      </c>
      <c r="F7387" t="s">
        <v>35</v>
      </c>
      <c r="G7387" t="s">
        <v>35</v>
      </c>
      <c r="H7387" t="s">
        <v>35</v>
      </c>
      <c r="J7387" t="s">
        <v>6774</v>
      </c>
      <c r="K7387" t="s">
        <v>1092</v>
      </c>
      <c r="M7387">
        <v>9.6300000000000008</v>
      </c>
      <c r="N7387">
        <v>13</v>
      </c>
      <c r="O7387" t="s">
        <v>46</v>
      </c>
      <c r="Q7387" t="s">
        <v>1004</v>
      </c>
      <c r="R7387" t="s">
        <v>6707</v>
      </c>
      <c r="S7387" t="s">
        <v>955</v>
      </c>
      <c r="T7387" t="s">
        <v>956</v>
      </c>
    </row>
    <row r="7388" spans="1:20" x14ac:dyDescent="0.25">
      <c r="A7388" t="s">
        <v>59</v>
      </c>
      <c r="B7388" t="s">
        <v>60</v>
      </c>
      <c r="C7388" t="s">
        <v>32</v>
      </c>
      <c r="D7388" t="s">
        <v>953</v>
      </c>
      <c r="E7388" t="s">
        <v>954</v>
      </c>
      <c r="F7388" t="s">
        <v>35</v>
      </c>
      <c r="G7388" t="s">
        <v>35</v>
      </c>
      <c r="H7388" t="s">
        <v>35</v>
      </c>
      <c r="J7388" t="s">
        <v>6801</v>
      </c>
      <c r="K7388" t="s">
        <v>1092</v>
      </c>
      <c r="M7388">
        <v>0.36</v>
      </c>
      <c r="N7388">
        <v>79</v>
      </c>
      <c r="O7388" t="s">
        <v>61</v>
      </c>
      <c r="Q7388" t="s">
        <v>1076</v>
      </c>
      <c r="R7388" t="s">
        <v>6707</v>
      </c>
      <c r="S7388" t="s">
        <v>955</v>
      </c>
      <c r="T7388" t="s">
        <v>956</v>
      </c>
    </row>
    <row r="7389" spans="1:20" x14ac:dyDescent="0.25">
      <c r="A7389" t="s">
        <v>59</v>
      </c>
      <c r="B7389" t="s">
        <v>31</v>
      </c>
      <c r="C7389" t="s">
        <v>32</v>
      </c>
      <c r="D7389" t="s">
        <v>953</v>
      </c>
      <c r="E7389" t="s">
        <v>954</v>
      </c>
      <c r="F7389" t="s">
        <v>35</v>
      </c>
      <c r="G7389" t="s">
        <v>35</v>
      </c>
      <c r="H7389" t="s">
        <v>35</v>
      </c>
      <c r="J7389" t="s">
        <v>6801</v>
      </c>
      <c r="K7389" t="s">
        <v>1092</v>
      </c>
      <c r="M7389">
        <v>0.435</v>
      </c>
      <c r="N7389">
        <v>79</v>
      </c>
      <c r="O7389" t="s">
        <v>61</v>
      </c>
      <c r="Q7389" t="s">
        <v>1076</v>
      </c>
      <c r="R7389" t="s">
        <v>6707</v>
      </c>
      <c r="S7389" t="s">
        <v>955</v>
      </c>
      <c r="T7389" t="s">
        <v>956</v>
      </c>
    </row>
    <row r="7390" spans="1:20" x14ac:dyDescent="0.25">
      <c r="A7390" t="s">
        <v>59</v>
      </c>
      <c r="B7390" t="s">
        <v>60</v>
      </c>
      <c r="C7390" t="s">
        <v>32</v>
      </c>
      <c r="D7390" t="s">
        <v>953</v>
      </c>
      <c r="E7390" t="s">
        <v>1077</v>
      </c>
      <c r="F7390" t="s">
        <v>35</v>
      </c>
      <c r="G7390" t="s">
        <v>35</v>
      </c>
      <c r="H7390" t="s">
        <v>35</v>
      </c>
      <c r="J7390" t="s">
        <v>7673</v>
      </c>
      <c r="K7390" t="s">
        <v>1092</v>
      </c>
      <c r="M7390">
        <v>0.28499999999999998</v>
      </c>
      <c r="N7390">
        <v>549</v>
      </c>
      <c r="O7390" t="s">
        <v>575</v>
      </c>
      <c r="Q7390" t="s">
        <v>3825</v>
      </c>
      <c r="R7390" t="s">
        <v>6838</v>
      </c>
      <c r="S7390" t="s">
        <v>6839</v>
      </c>
      <c r="T7390" t="s">
        <v>6741</v>
      </c>
    </row>
    <row r="7391" spans="1:20" x14ac:dyDescent="0.25">
      <c r="A7391" t="s">
        <v>59</v>
      </c>
      <c r="B7391" t="s">
        <v>60</v>
      </c>
      <c r="C7391" t="s">
        <v>32</v>
      </c>
      <c r="D7391" t="s">
        <v>953</v>
      </c>
      <c r="E7391" t="s">
        <v>954</v>
      </c>
      <c r="F7391" t="s">
        <v>35</v>
      </c>
      <c r="G7391" t="s">
        <v>35</v>
      </c>
      <c r="H7391" t="s">
        <v>35</v>
      </c>
      <c r="J7391" t="s">
        <v>6836</v>
      </c>
      <c r="K7391" t="s">
        <v>1092</v>
      </c>
      <c r="M7391">
        <v>4.2000000000000003E-2</v>
      </c>
      <c r="N7391">
        <v>724</v>
      </c>
      <c r="O7391" t="s">
        <v>575</v>
      </c>
      <c r="Q7391" t="s">
        <v>6837</v>
      </c>
      <c r="R7391" t="s">
        <v>6838</v>
      </c>
      <c r="S7391" t="s">
        <v>6839</v>
      </c>
      <c r="T7391" t="s">
        <v>6741</v>
      </c>
    </row>
    <row r="7392" spans="1:20" x14ac:dyDescent="0.25">
      <c r="A7392" t="s">
        <v>59</v>
      </c>
      <c r="B7392" t="s">
        <v>60</v>
      </c>
      <c r="C7392" t="s">
        <v>32</v>
      </c>
      <c r="D7392" t="s">
        <v>953</v>
      </c>
      <c r="E7392" t="s">
        <v>1072</v>
      </c>
      <c r="F7392" t="s">
        <v>35</v>
      </c>
      <c r="G7392" t="s">
        <v>35</v>
      </c>
      <c r="H7392" t="s">
        <v>35</v>
      </c>
      <c r="J7392" t="s">
        <v>1073</v>
      </c>
      <c r="K7392" t="s">
        <v>37</v>
      </c>
      <c r="M7392">
        <v>7</v>
      </c>
      <c r="N7392">
        <v>79</v>
      </c>
      <c r="O7392" t="s">
        <v>61</v>
      </c>
      <c r="P7392" t="s">
        <v>1075</v>
      </c>
      <c r="Q7392" t="s">
        <v>1076</v>
      </c>
      <c r="R7392" t="s">
        <v>934</v>
      </c>
      <c r="S7392" t="s">
        <v>935</v>
      </c>
      <c r="T7392" t="s">
        <v>936</v>
      </c>
    </row>
    <row r="7393" spans="1:20" x14ac:dyDescent="0.25">
      <c r="A7393" t="s">
        <v>44</v>
      </c>
      <c r="B7393" t="s">
        <v>51</v>
      </c>
      <c r="C7393" t="s">
        <v>32</v>
      </c>
      <c r="D7393" t="s">
        <v>953</v>
      </c>
      <c r="E7393" t="s">
        <v>980</v>
      </c>
      <c r="F7393" t="s">
        <v>35</v>
      </c>
      <c r="G7393" t="s">
        <v>35</v>
      </c>
      <c r="H7393" t="s">
        <v>35</v>
      </c>
      <c r="J7393" t="s">
        <v>7078</v>
      </c>
      <c r="K7393" t="s">
        <v>1092</v>
      </c>
      <c r="M7393">
        <v>0.75</v>
      </c>
      <c r="N7393">
        <v>38</v>
      </c>
      <c r="O7393" t="s">
        <v>52</v>
      </c>
      <c r="Q7393" t="s">
        <v>716</v>
      </c>
      <c r="R7393" t="s">
        <v>6865</v>
      </c>
      <c r="S7393" t="s">
        <v>984</v>
      </c>
      <c r="T7393" t="s">
        <v>985</v>
      </c>
    </row>
    <row r="7394" spans="1:20" x14ac:dyDescent="0.25">
      <c r="A7394" t="s">
        <v>44</v>
      </c>
      <c r="B7394" t="s">
        <v>51</v>
      </c>
      <c r="C7394" t="s">
        <v>32</v>
      </c>
      <c r="D7394" t="s">
        <v>953</v>
      </c>
      <c r="E7394" t="s">
        <v>980</v>
      </c>
      <c r="F7394" t="s">
        <v>35</v>
      </c>
      <c r="G7394" t="s">
        <v>35</v>
      </c>
      <c r="H7394" t="s">
        <v>35</v>
      </c>
      <c r="J7394" t="s">
        <v>7079</v>
      </c>
      <c r="K7394" t="s">
        <v>1092</v>
      </c>
      <c r="M7394">
        <v>0.5</v>
      </c>
      <c r="N7394">
        <v>13</v>
      </c>
      <c r="O7394" t="s">
        <v>46</v>
      </c>
      <c r="Q7394" t="s">
        <v>1004</v>
      </c>
      <c r="R7394" t="s">
        <v>6865</v>
      </c>
      <c r="S7394" t="s">
        <v>984</v>
      </c>
      <c r="T7394" t="s">
        <v>985</v>
      </c>
    </row>
    <row r="7395" spans="1:20" x14ac:dyDescent="0.25">
      <c r="A7395" t="s">
        <v>44</v>
      </c>
      <c r="B7395" t="s">
        <v>51</v>
      </c>
      <c r="C7395" t="s">
        <v>32</v>
      </c>
      <c r="D7395" t="s">
        <v>953</v>
      </c>
      <c r="E7395" t="s">
        <v>980</v>
      </c>
      <c r="F7395" t="s">
        <v>35</v>
      </c>
      <c r="G7395" t="s">
        <v>35</v>
      </c>
      <c r="H7395" t="s">
        <v>35</v>
      </c>
      <c r="J7395" t="s">
        <v>7081</v>
      </c>
      <c r="K7395" t="s">
        <v>1092</v>
      </c>
      <c r="M7395">
        <v>0.75</v>
      </c>
      <c r="N7395">
        <v>16</v>
      </c>
      <c r="O7395" t="s">
        <v>46</v>
      </c>
      <c r="Q7395" t="s">
        <v>1819</v>
      </c>
      <c r="R7395" t="s">
        <v>6865</v>
      </c>
      <c r="S7395" t="s">
        <v>984</v>
      </c>
      <c r="T7395" t="s">
        <v>985</v>
      </c>
    </row>
    <row r="7396" spans="1:20" x14ac:dyDescent="0.25">
      <c r="A7396" t="s">
        <v>44</v>
      </c>
      <c r="B7396" t="s">
        <v>51</v>
      </c>
      <c r="C7396" t="s">
        <v>32</v>
      </c>
      <c r="D7396" t="s">
        <v>953</v>
      </c>
      <c r="E7396" t="s">
        <v>980</v>
      </c>
      <c r="F7396" t="s">
        <v>35</v>
      </c>
      <c r="G7396" t="s">
        <v>35</v>
      </c>
      <c r="H7396" t="s">
        <v>35</v>
      </c>
      <c r="J7396" t="s">
        <v>7121</v>
      </c>
      <c r="K7396" t="s">
        <v>1092</v>
      </c>
      <c r="M7396">
        <v>0.25</v>
      </c>
      <c r="N7396">
        <v>16</v>
      </c>
      <c r="O7396" t="s">
        <v>46</v>
      </c>
      <c r="Q7396" t="s">
        <v>1819</v>
      </c>
      <c r="R7396" t="s">
        <v>6865</v>
      </c>
      <c r="S7396" t="s">
        <v>984</v>
      </c>
      <c r="T7396" t="s">
        <v>985</v>
      </c>
    </row>
    <row r="7397" spans="1:20" x14ac:dyDescent="0.25">
      <c r="A7397" t="s">
        <v>59</v>
      </c>
      <c r="B7397" t="s">
        <v>60</v>
      </c>
      <c r="C7397" t="s">
        <v>32</v>
      </c>
      <c r="D7397" t="s">
        <v>953</v>
      </c>
      <c r="E7397" t="s">
        <v>980</v>
      </c>
      <c r="F7397" t="s">
        <v>35</v>
      </c>
      <c r="G7397" t="s">
        <v>35</v>
      </c>
      <c r="H7397" t="s">
        <v>35</v>
      </c>
      <c r="J7397" t="s">
        <v>7089</v>
      </c>
      <c r="K7397" t="s">
        <v>1092</v>
      </c>
      <c r="M7397">
        <v>0.15</v>
      </c>
      <c r="N7397">
        <v>45</v>
      </c>
      <c r="O7397" t="s">
        <v>52</v>
      </c>
      <c r="Q7397" t="s">
        <v>1230</v>
      </c>
      <c r="R7397" t="s">
        <v>6865</v>
      </c>
      <c r="S7397" t="s">
        <v>984</v>
      </c>
      <c r="T7397" t="s">
        <v>985</v>
      </c>
    </row>
    <row r="7398" spans="1:20" x14ac:dyDescent="0.25">
      <c r="A7398" t="s">
        <v>44</v>
      </c>
      <c r="B7398" t="s">
        <v>51</v>
      </c>
      <c r="C7398" t="s">
        <v>32</v>
      </c>
      <c r="D7398" t="s">
        <v>953</v>
      </c>
      <c r="E7398" t="s">
        <v>980</v>
      </c>
      <c r="F7398" t="s">
        <v>35</v>
      </c>
      <c r="G7398" t="s">
        <v>35</v>
      </c>
      <c r="H7398" t="s">
        <v>35</v>
      </c>
      <c r="J7398" t="s">
        <v>7072</v>
      </c>
      <c r="K7398" t="s">
        <v>1092</v>
      </c>
      <c r="M7398">
        <v>1</v>
      </c>
      <c r="N7398">
        <v>2</v>
      </c>
      <c r="O7398" t="s">
        <v>46</v>
      </c>
      <c r="Q7398" t="s">
        <v>2009</v>
      </c>
      <c r="R7398" t="s">
        <v>6865</v>
      </c>
      <c r="S7398" t="s">
        <v>984</v>
      </c>
      <c r="T7398" t="s">
        <v>985</v>
      </c>
    </row>
    <row r="7399" spans="1:20" x14ac:dyDescent="0.25">
      <c r="A7399" t="s">
        <v>44</v>
      </c>
      <c r="B7399" t="s">
        <v>51</v>
      </c>
      <c r="C7399" t="s">
        <v>32</v>
      </c>
      <c r="D7399" t="s">
        <v>953</v>
      </c>
      <c r="E7399" t="s">
        <v>980</v>
      </c>
      <c r="F7399" t="s">
        <v>35</v>
      </c>
      <c r="G7399" t="s">
        <v>35</v>
      </c>
      <c r="H7399" t="s">
        <v>35</v>
      </c>
      <c r="J7399" t="s">
        <v>7157</v>
      </c>
      <c r="K7399" t="s">
        <v>1092</v>
      </c>
      <c r="M7399">
        <v>0.25</v>
      </c>
      <c r="N7399">
        <v>237</v>
      </c>
      <c r="O7399" t="s">
        <v>5</v>
      </c>
      <c r="Q7399" t="s">
        <v>1242</v>
      </c>
      <c r="R7399" t="s">
        <v>6865</v>
      </c>
      <c r="S7399" t="s">
        <v>984</v>
      </c>
      <c r="T7399" t="s">
        <v>985</v>
      </c>
    </row>
    <row r="7400" spans="1:20" x14ac:dyDescent="0.25">
      <c r="A7400" t="s">
        <v>59</v>
      </c>
      <c r="B7400" t="s">
        <v>60</v>
      </c>
      <c r="C7400" t="s">
        <v>32</v>
      </c>
      <c r="D7400" t="s">
        <v>953</v>
      </c>
      <c r="E7400" t="s">
        <v>980</v>
      </c>
      <c r="F7400" t="s">
        <v>35</v>
      </c>
      <c r="G7400" t="s">
        <v>35</v>
      </c>
      <c r="H7400" t="s">
        <v>35</v>
      </c>
      <c r="J7400" t="s">
        <v>7157</v>
      </c>
      <c r="K7400" t="s">
        <v>1092</v>
      </c>
      <c r="M7400">
        <v>0.25</v>
      </c>
      <c r="N7400">
        <v>34</v>
      </c>
      <c r="O7400" t="s">
        <v>52</v>
      </c>
      <c r="Q7400" t="s">
        <v>249</v>
      </c>
      <c r="R7400" t="s">
        <v>6865</v>
      </c>
      <c r="S7400" t="s">
        <v>984</v>
      </c>
      <c r="T7400" t="s">
        <v>985</v>
      </c>
    </row>
    <row r="7401" spans="1:20" x14ac:dyDescent="0.25">
      <c r="A7401" t="s">
        <v>59</v>
      </c>
      <c r="B7401" t="s">
        <v>60</v>
      </c>
      <c r="C7401" t="s">
        <v>32</v>
      </c>
      <c r="D7401" t="s">
        <v>953</v>
      </c>
      <c r="E7401" t="s">
        <v>980</v>
      </c>
      <c r="F7401" t="s">
        <v>35</v>
      </c>
      <c r="G7401" t="s">
        <v>35</v>
      </c>
      <c r="H7401" t="s">
        <v>35</v>
      </c>
      <c r="J7401" t="s">
        <v>7157</v>
      </c>
      <c r="K7401" t="s">
        <v>1092</v>
      </c>
      <c r="M7401">
        <v>0.1</v>
      </c>
      <c r="N7401">
        <v>212</v>
      </c>
      <c r="O7401" t="s">
        <v>5</v>
      </c>
      <c r="Q7401" t="s">
        <v>1578</v>
      </c>
      <c r="R7401" t="s">
        <v>6865</v>
      </c>
      <c r="S7401" t="s">
        <v>984</v>
      </c>
      <c r="T7401" t="s">
        <v>985</v>
      </c>
    </row>
    <row r="7402" spans="1:20" x14ac:dyDescent="0.25">
      <c r="A7402" t="s">
        <v>44</v>
      </c>
      <c r="B7402" t="s">
        <v>51</v>
      </c>
      <c r="C7402" t="s">
        <v>32</v>
      </c>
      <c r="D7402" t="s">
        <v>953</v>
      </c>
      <c r="E7402" t="s">
        <v>980</v>
      </c>
      <c r="F7402" t="s">
        <v>35</v>
      </c>
      <c r="G7402" t="s">
        <v>35</v>
      </c>
      <c r="H7402" t="s">
        <v>35</v>
      </c>
      <c r="J7402" t="s">
        <v>7092</v>
      </c>
      <c r="K7402" t="s">
        <v>1092</v>
      </c>
      <c r="M7402">
        <v>0.8</v>
      </c>
      <c r="N7402">
        <v>25</v>
      </c>
      <c r="O7402" t="s">
        <v>46</v>
      </c>
      <c r="Q7402" t="s">
        <v>547</v>
      </c>
      <c r="R7402" t="s">
        <v>6865</v>
      </c>
      <c r="S7402" t="s">
        <v>984</v>
      </c>
      <c r="T7402" t="s">
        <v>985</v>
      </c>
    </row>
    <row r="7403" spans="1:20" x14ac:dyDescent="0.25">
      <c r="A7403" t="s">
        <v>44</v>
      </c>
      <c r="B7403" t="s">
        <v>51</v>
      </c>
      <c r="C7403" t="s">
        <v>32</v>
      </c>
      <c r="D7403" t="s">
        <v>953</v>
      </c>
      <c r="E7403" t="s">
        <v>980</v>
      </c>
      <c r="F7403" t="s">
        <v>35</v>
      </c>
      <c r="G7403" t="s">
        <v>35</v>
      </c>
      <c r="H7403" t="s">
        <v>35</v>
      </c>
      <c r="J7403" t="s">
        <v>7077</v>
      </c>
      <c r="K7403" t="s">
        <v>1092</v>
      </c>
      <c r="M7403">
        <v>0.3</v>
      </c>
      <c r="N7403">
        <v>27</v>
      </c>
      <c r="O7403" t="s">
        <v>46</v>
      </c>
      <c r="Q7403" t="s">
        <v>809</v>
      </c>
      <c r="R7403" t="s">
        <v>6865</v>
      </c>
      <c r="S7403" t="s">
        <v>984</v>
      </c>
      <c r="T7403" t="s">
        <v>985</v>
      </c>
    </row>
    <row r="7404" spans="1:20" x14ac:dyDescent="0.25">
      <c r="A7404" t="s">
        <v>44</v>
      </c>
      <c r="B7404" t="s">
        <v>51</v>
      </c>
      <c r="C7404" t="s">
        <v>32</v>
      </c>
      <c r="D7404" t="s">
        <v>953</v>
      </c>
      <c r="E7404" t="s">
        <v>980</v>
      </c>
      <c r="F7404" t="s">
        <v>35</v>
      </c>
      <c r="G7404" t="s">
        <v>35</v>
      </c>
      <c r="H7404" t="s">
        <v>35</v>
      </c>
      <c r="J7404" t="s">
        <v>7136</v>
      </c>
      <c r="K7404" t="s">
        <v>1092</v>
      </c>
      <c r="M7404">
        <v>4.4000000000000004</v>
      </c>
      <c r="N7404">
        <v>44</v>
      </c>
      <c r="O7404" t="s">
        <v>52</v>
      </c>
      <c r="Q7404" t="s">
        <v>54</v>
      </c>
      <c r="R7404" t="s">
        <v>6865</v>
      </c>
      <c r="S7404" t="s">
        <v>984</v>
      </c>
      <c r="T7404" t="s">
        <v>985</v>
      </c>
    </row>
    <row r="7405" spans="1:20" x14ac:dyDescent="0.25">
      <c r="A7405" t="s">
        <v>44</v>
      </c>
      <c r="B7405" t="s">
        <v>51</v>
      </c>
      <c r="C7405" t="s">
        <v>32</v>
      </c>
      <c r="D7405" t="s">
        <v>953</v>
      </c>
      <c r="E7405" t="s">
        <v>980</v>
      </c>
      <c r="F7405" t="s">
        <v>35</v>
      </c>
      <c r="G7405" t="s">
        <v>35</v>
      </c>
      <c r="H7405" t="s">
        <v>35</v>
      </c>
      <c r="J7405" t="s">
        <v>7087</v>
      </c>
      <c r="K7405" t="s">
        <v>1092</v>
      </c>
      <c r="M7405">
        <v>0.35</v>
      </c>
      <c r="N7405">
        <v>25</v>
      </c>
      <c r="O7405" t="s">
        <v>46</v>
      </c>
      <c r="Q7405" t="s">
        <v>547</v>
      </c>
      <c r="R7405" t="s">
        <v>6865</v>
      </c>
      <c r="S7405" t="s">
        <v>984</v>
      </c>
      <c r="T7405" t="s">
        <v>985</v>
      </c>
    </row>
    <row r="7406" spans="1:20" x14ac:dyDescent="0.25">
      <c r="A7406" t="s">
        <v>59</v>
      </c>
      <c r="B7406" t="s">
        <v>60</v>
      </c>
      <c r="C7406" t="s">
        <v>32</v>
      </c>
      <c r="D7406" t="s">
        <v>953</v>
      </c>
      <c r="E7406" t="s">
        <v>980</v>
      </c>
      <c r="F7406" t="s">
        <v>35</v>
      </c>
      <c r="G7406" t="s">
        <v>35</v>
      </c>
      <c r="H7406" t="s">
        <v>35</v>
      </c>
      <c r="J7406" t="s">
        <v>7137</v>
      </c>
      <c r="K7406" t="s">
        <v>1092</v>
      </c>
      <c r="M7406">
        <v>0.5</v>
      </c>
      <c r="N7406">
        <v>55</v>
      </c>
      <c r="O7406" t="s">
        <v>52</v>
      </c>
      <c r="Q7406" t="s">
        <v>90</v>
      </c>
      <c r="R7406" t="s">
        <v>6865</v>
      </c>
      <c r="S7406" t="s">
        <v>984</v>
      </c>
      <c r="T7406" t="s">
        <v>985</v>
      </c>
    </row>
    <row r="7407" spans="1:20" x14ac:dyDescent="0.25">
      <c r="A7407" t="s">
        <v>44</v>
      </c>
      <c r="B7407" t="s">
        <v>51</v>
      </c>
      <c r="C7407" t="s">
        <v>32</v>
      </c>
      <c r="D7407" t="s">
        <v>953</v>
      </c>
      <c r="E7407" t="s">
        <v>980</v>
      </c>
      <c r="F7407" t="s">
        <v>35</v>
      </c>
      <c r="G7407" t="s">
        <v>35</v>
      </c>
      <c r="H7407" t="s">
        <v>35</v>
      </c>
      <c r="J7407" t="s">
        <v>7148</v>
      </c>
      <c r="K7407" t="s">
        <v>1092</v>
      </c>
      <c r="M7407">
        <v>0.4</v>
      </c>
      <c r="N7407">
        <v>10</v>
      </c>
      <c r="O7407" t="s">
        <v>46</v>
      </c>
      <c r="Q7407" t="s">
        <v>1302</v>
      </c>
      <c r="R7407" t="s">
        <v>6865</v>
      </c>
      <c r="S7407" t="s">
        <v>984</v>
      </c>
      <c r="T7407" t="s">
        <v>985</v>
      </c>
    </row>
    <row r="7408" spans="1:20" x14ac:dyDescent="0.25">
      <c r="A7408" t="s">
        <v>59</v>
      </c>
      <c r="B7408" t="s">
        <v>60</v>
      </c>
      <c r="C7408" t="s">
        <v>32</v>
      </c>
      <c r="D7408" t="s">
        <v>953</v>
      </c>
      <c r="E7408" t="s">
        <v>980</v>
      </c>
      <c r="F7408" t="s">
        <v>35</v>
      </c>
      <c r="G7408" t="s">
        <v>35</v>
      </c>
      <c r="H7408" t="s">
        <v>35</v>
      </c>
      <c r="J7408" t="s">
        <v>7148</v>
      </c>
      <c r="K7408" t="s">
        <v>1092</v>
      </c>
      <c r="M7408">
        <v>0.25</v>
      </c>
      <c r="N7408">
        <v>38</v>
      </c>
      <c r="O7408" t="s">
        <v>52</v>
      </c>
      <c r="Q7408" t="s">
        <v>716</v>
      </c>
      <c r="R7408" t="s">
        <v>6865</v>
      </c>
      <c r="S7408" t="s">
        <v>984</v>
      </c>
      <c r="T7408" t="s">
        <v>985</v>
      </c>
    </row>
    <row r="7409" spans="1:20" x14ac:dyDescent="0.25">
      <c r="A7409" t="s">
        <v>44</v>
      </c>
      <c r="B7409" t="s">
        <v>51</v>
      </c>
      <c r="C7409" t="s">
        <v>32</v>
      </c>
      <c r="D7409" t="s">
        <v>953</v>
      </c>
      <c r="E7409" t="s">
        <v>980</v>
      </c>
      <c r="F7409" t="s">
        <v>35</v>
      </c>
      <c r="G7409" t="s">
        <v>35</v>
      </c>
      <c r="H7409" t="s">
        <v>35</v>
      </c>
      <c r="J7409" t="s">
        <v>7148</v>
      </c>
      <c r="K7409" t="s">
        <v>1092</v>
      </c>
      <c r="M7409">
        <v>0.25</v>
      </c>
      <c r="N7409">
        <v>20</v>
      </c>
      <c r="O7409" t="s">
        <v>46</v>
      </c>
      <c r="Q7409" t="s">
        <v>1011</v>
      </c>
      <c r="R7409" t="s">
        <v>6865</v>
      </c>
      <c r="S7409" t="s">
        <v>984</v>
      </c>
      <c r="T7409" t="s">
        <v>985</v>
      </c>
    </row>
    <row r="7410" spans="1:20" x14ac:dyDescent="0.25">
      <c r="A7410" t="s">
        <v>44</v>
      </c>
      <c r="B7410" t="s">
        <v>51</v>
      </c>
      <c r="C7410" t="s">
        <v>32</v>
      </c>
      <c r="D7410" t="s">
        <v>953</v>
      </c>
      <c r="E7410" t="s">
        <v>980</v>
      </c>
      <c r="F7410" t="s">
        <v>35</v>
      </c>
      <c r="G7410" t="s">
        <v>35</v>
      </c>
      <c r="H7410" t="s">
        <v>35</v>
      </c>
      <c r="J7410" t="s">
        <v>7135</v>
      </c>
      <c r="K7410" t="s">
        <v>1092</v>
      </c>
      <c r="M7410">
        <v>0.5</v>
      </c>
      <c r="N7410">
        <v>17</v>
      </c>
      <c r="O7410" t="s">
        <v>46</v>
      </c>
      <c r="Q7410" t="s">
        <v>255</v>
      </c>
      <c r="R7410" t="s">
        <v>6865</v>
      </c>
      <c r="S7410" t="s">
        <v>984</v>
      </c>
      <c r="T7410" t="s">
        <v>985</v>
      </c>
    </row>
    <row r="7411" spans="1:20" x14ac:dyDescent="0.25">
      <c r="A7411" t="s">
        <v>44</v>
      </c>
      <c r="B7411" t="s">
        <v>51</v>
      </c>
      <c r="C7411" t="s">
        <v>32</v>
      </c>
      <c r="D7411" t="s">
        <v>953</v>
      </c>
      <c r="E7411" t="s">
        <v>980</v>
      </c>
      <c r="F7411" t="s">
        <v>35</v>
      </c>
      <c r="G7411" t="s">
        <v>35</v>
      </c>
      <c r="H7411" t="s">
        <v>35</v>
      </c>
      <c r="J7411" t="s">
        <v>7135</v>
      </c>
      <c r="K7411" t="s">
        <v>1092</v>
      </c>
      <c r="M7411">
        <v>2</v>
      </c>
      <c r="N7411">
        <v>26</v>
      </c>
      <c r="O7411" t="s">
        <v>46</v>
      </c>
      <c r="Q7411" t="s">
        <v>137</v>
      </c>
      <c r="R7411" t="s">
        <v>6865</v>
      </c>
      <c r="S7411" t="s">
        <v>984</v>
      </c>
      <c r="T7411" t="s">
        <v>985</v>
      </c>
    </row>
    <row r="7412" spans="1:20" x14ac:dyDescent="0.25">
      <c r="A7412" t="s">
        <v>59</v>
      </c>
      <c r="B7412" t="s">
        <v>60</v>
      </c>
      <c r="C7412" t="s">
        <v>32</v>
      </c>
      <c r="D7412" t="s">
        <v>953</v>
      </c>
      <c r="F7412" t="s">
        <v>35</v>
      </c>
      <c r="G7412" t="s">
        <v>35</v>
      </c>
      <c r="H7412" t="s">
        <v>35</v>
      </c>
      <c r="J7412" t="s">
        <v>7993</v>
      </c>
      <c r="K7412" t="s">
        <v>1092</v>
      </c>
      <c r="M7412">
        <v>0.22500000000000001</v>
      </c>
      <c r="N7412">
        <v>2554</v>
      </c>
      <c r="O7412" t="s">
        <v>575</v>
      </c>
      <c r="Q7412" t="s">
        <v>7994</v>
      </c>
      <c r="R7412" t="s">
        <v>6865</v>
      </c>
      <c r="S7412" t="s">
        <v>984</v>
      </c>
      <c r="T7412" t="s">
        <v>985</v>
      </c>
    </row>
    <row r="7413" spans="1:20" x14ac:dyDescent="0.25">
      <c r="A7413" t="s">
        <v>44</v>
      </c>
      <c r="B7413" t="s">
        <v>51</v>
      </c>
      <c r="C7413" t="s">
        <v>32</v>
      </c>
      <c r="D7413" t="s">
        <v>953</v>
      </c>
      <c r="E7413" t="s">
        <v>980</v>
      </c>
      <c r="F7413" t="s">
        <v>35</v>
      </c>
      <c r="G7413" t="s">
        <v>35</v>
      </c>
      <c r="H7413" t="s">
        <v>35</v>
      </c>
      <c r="J7413" t="s">
        <v>7096</v>
      </c>
      <c r="K7413" t="s">
        <v>1092</v>
      </c>
      <c r="M7413">
        <v>0.5</v>
      </c>
      <c r="N7413">
        <v>21</v>
      </c>
      <c r="O7413" t="s">
        <v>46</v>
      </c>
      <c r="Q7413" t="s">
        <v>176</v>
      </c>
      <c r="R7413" t="s">
        <v>6865</v>
      </c>
      <c r="S7413" t="s">
        <v>984</v>
      </c>
      <c r="T7413" t="s">
        <v>985</v>
      </c>
    </row>
    <row r="7414" spans="1:20" x14ac:dyDescent="0.25">
      <c r="A7414" t="s">
        <v>59</v>
      </c>
      <c r="B7414" t="s">
        <v>60</v>
      </c>
      <c r="C7414" t="s">
        <v>32</v>
      </c>
      <c r="D7414" t="s">
        <v>953</v>
      </c>
      <c r="E7414" t="s">
        <v>980</v>
      </c>
      <c r="F7414" t="s">
        <v>35</v>
      </c>
      <c r="G7414" t="s">
        <v>35</v>
      </c>
      <c r="H7414" t="s">
        <v>35</v>
      </c>
      <c r="J7414" t="s">
        <v>7096</v>
      </c>
      <c r="K7414" t="s">
        <v>1092</v>
      </c>
      <c r="M7414">
        <v>0.25</v>
      </c>
      <c r="N7414">
        <v>46</v>
      </c>
      <c r="O7414" t="s">
        <v>52</v>
      </c>
      <c r="Q7414" t="s">
        <v>332</v>
      </c>
      <c r="R7414" t="s">
        <v>6865</v>
      </c>
      <c r="S7414" t="s">
        <v>984</v>
      </c>
      <c r="T7414" t="s">
        <v>985</v>
      </c>
    </row>
    <row r="7415" spans="1:20" x14ac:dyDescent="0.25">
      <c r="A7415" t="s">
        <v>59</v>
      </c>
      <c r="B7415" t="s">
        <v>60</v>
      </c>
      <c r="C7415" t="s">
        <v>32</v>
      </c>
      <c r="D7415" t="s">
        <v>953</v>
      </c>
      <c r="E7415" t="s">
        <v>980</v>
      </c>
      <c r="F7415" t="s">
        <v>35</v>
      </c>
      <c r="G7415" t="s">
        <v>35</v>
      </c>
      <c r="H7415" t="s">
        <v>35</v>
      </c>
      <c r="J7415" t="s">
        <v>7097</v>
      </c>
      <c r="K7415" t="s">
        <v>1092</v>
      </c>
      <c r="M7415">
        <v>0.25</v>
      </c>
      <c r="N7415">
        <v>38</v>
      </c>
      <c r="O7415" t="s">
        <v>52</v>
      </c>
      <c r="Q7415" t="s">
        <v>716</v>
      </c>
      <c r="R7415" t="s">
        <v>6865</v>
      </c>
      <c r="S7415" t="s">
        <v>984</v>
      </c>
      <c r="T7415" t="s">
        <v>985</v>
      </c>
    </row>
    <row r="7416" spans="1:20" x14ac:dyDescent="0.25">
      <c r="A7416" t="s">
        <v>44</v>
      </c>
      <c r="B7416" t="s">
        <v>51</v>
      </c>
      <c r="C7416" t="s">
        <v>32</v>
      </c>
      <c r="D7416" t="s">
        <v>953</v>
      </c>
      <c r="E7416" t="s">
        <v>980</v>
      </c>
      <c r="F7416" t="s">
        <v>35</v>
      </c>
      <c r="G7416" t="s">
        <v>35</v>
      </c>
      <c r="H7416" t="s">
        <v>35</v>
      </c>
      <c r="J7416" t="s">
        <v>7097</v>
      </c>
      <c r="K7416" t="s">
        <v>1092</v>
      </c>
      <c r="M7416">
        <v>0.1</v>
      </c>
      <c r="N7416">
        <v>17</v>
      </c>
      <c r="O7416" t="s">
        <v>46</v>
      </c>
      <c r="Q7416" t="s">
        <v>255</v>
      </c>
      <c r="R7416" t="s">
        <v>6865</v>
      </c>
      <c r="S7416" t="s">
        <v>984</v>
      </c>
      <c r="T7416" t="s">
        <v>985</v>
      </c>
    </row>
    <row r="7417" spans="1:20" x14ac:dyDescent="0.25">
      <c r="A7417" t="s">
        <v>59</v>
      </c>
      <c r="B7417" t="s">
        <v>60</v>
      </c>
      <c r="C7417" t="s">
        <v>32</v>
      </c>
      <c r="D7417" t="s">
        <v>953</v>
      </c>
      <c r="E7417" t="s">
        <v>980</v>
      </c>
      <c r="F7417" t="s">
        <v>35</v>
      </c>
      <c r="G7417" t="s">
        <v>35</v>
      </c>
      <c r="H7417" t="s">
        <v>35</v>
      </c>
      <c r="J7417" t="s">
        <v>7143</v>
      </c>
      <c r="K7417" t="s">
        <v>1092</v>
      </c>
      <c r="M7417">
        <v>1</v>
      </c>
      <c r="N7417">
        <v>46</v>
      </c>
      <c r="O7417" t="s">
        <v>52</v>
      </c>
      <c r="Q7417" t="s">
        <v>332</v>
      </c>
      <c r="R7417" t="s">
        <v>6865</v>
      </c>
      <c r="S7417" t="s">
        <v>984</v>
      </c>
      <c r="T7417" t="s">
        <v>985</v>
      </c>
    </row>
    <row r="7418" spans="1:20" x14ac:dyDescent="0.25">
      <c r="A7418" t="s">
        <v>59</v>
      </c>
      <c r="B7418" t="s">
        <v>60</v>
      </c>
      <c r="C7418" t="s">
        <v>32</v>
      </c>
      <c r="D7418" t="s">
        <v>953</v>
      </c>
      <c r="E7418" t="s">
        <v>980</v>
      </c>
      <c r="F7418" t="s">
        <v>35</v>
      </c>
      <c r="G7418" t="s">
        <v>35</v>
      </c>
      <c r="H7418" t="s">
        <v>35</v>
      </c>
      <c r="J7418" t="s">
        <v>7143</v>
      </c>
      <c r="K7418" t="s">
        <v>1092</v>
      </c>
      <c r="M7418">
        <v>0.5</v>
      </c>
      <c r="N7418">
        <v>247</v>
      </c>
      <c r="O7418" t="s">
        <v>5</v>
      </c>
      <c r="Q7418" t="s">
        <v>367</v>
      </c>
      <c r="R7418" t="s">
        <v>6865</v>
      </c>
      <c r="S7418" t="s">
        <v>984</v>
      </c>
      <c r="T7418" t="s">
        <v>985</v>
      </c>
    </row>
    <row r="7419" spans="1:20" x14ac:dyDescent="0.25">
      <c r="A7419" t="s">
        <v>44</v>
      </c>
      <c r="B7419" t="s">
        <v>51</v>
      </c>
      <c r="C7419" t="s">
        <v>32</v>
      </c>
      <c r="D7419" t="s">
        <v>953</v>
      </c>
      <c r="E7419" t="s">
        <v>980</v>
      </c>
      <c r="F7419" t="s">
        <v>35</v>
      </c>
      <c r="G7419" t="s">
        <v>35</v>
      </c>
      <c r="H7419" t="s">
        <v>35</v>
      </c>
      <c r="J7419" t="s">
        <v>7098</v>
      </c>
      <c r="K7419" t="s">
        <v>1092</v>
      </c>
      <c r="M7419">
        <v>0.5</v>
      </c>
      <c r="N7419">
        <v>13</v>
      </c>
      <c r="O7419" t="s">
        <v>46</v>
      </c>
      <c r="Q7419" t="s">
        <v>1004</v>
      </c>
      <c r="R7419" t="s">
        <v>6865</v>
      </c>
      <c r="S7419" t="s">
        <v>984</v>
      </c>
      <c r="T7419" t="s">
        <v>985</v>
      </c>
    </row>
    <row r="7420" spans="1:20" x14ac:dyDescent="0.25">
      <c r="A7420" t="s">
        <v>59</v>
      </c>
      <c r="B7420" t="s">
        <v>60</v>
      </c>
      <c r="C7420" t="s">
        <v>32</v>
      </c>
      <c r="D7420" t="s">
        <v>953</v>
      </c>
      <c r="E7420" t="s">
        <v>980</v>
      </c>
      <c r="F7420" t="s">
        <v>35</v>
      </c>
      <c r="G7420" t="s">
        <v>35</v>
      </c>
      <c r="H7420" t="s">
        <v>35</v>
      </c>
      <c r="J7420" t="s">
        <v>7099</v>
      </c>
      <c r="K7420" t="s">
        <v>1092</v>
      </c>
      <c r="M7420">
        <v>0.5</v>
      </c>
      <c r="N7420">
        <v>27</v>
      </c>
      <c r="O7420" t="s">
        <v>46</v>
      </c>
      <c r="Q7420" t="s">
        <v>809</v>
      </c>
      <c r="R7420" t="s">
        <v>6865</v>
      </c>
      <c r="S7420" t="s">
        <v>984</v>
      </c>
      <c r="T7420" t="s">
        <v>985</v>
      </c>
    </row>
    <row r="7421" spans="1:20" x14ac:dyDescent="0.25">
      <c r="A7421" t="s">
        <v>44</v>
      </c>
      <c r="B7421" t="s">
        <v>51</v>
      </c>
      <c r="C7421" t="s">
        <v>32</v>
      </c>
      <c r="D7421" t="s">
        <v>953</v>
      </c>
      <c r="E7421" t="s">
        <v>980</v>
      </c>
      <c r="F7421" t="s">
        <v>35</v>
      </c>
      <c r="G7421" t="s">
        <v>35</v>
      </c>
      <c r="H7421" t="s">
        <v>35</v>
      </c>
      <c r="J7421" t="s">
        <v>7124</v>
      </c>
      <c r="K7421" t="s">
        <v>1092</v>
      </c>
      <c r="M7421">
        <v>1.25</v>
      </c>
      <c r="N7421">
        <v>18</v>
      </c>
      <c r="O7421" t="s">
        <v>46</v>
      </c>
      <c r="Q7421" t="s">
        <v>831</v>
      </c>
      <c r="R7421" t="s">
        <v>6865</v>
      </c>
      <c r="S7421" t="s">
        <v>984</v>
      </c>
      <c r="T7421" t="s">
        <v>985</v>
      </c>
    </row>
    <row r="7422" spans="1:20" x14ac:dyDescent="0.25">
      <c r="A7422" t="s">
        <v>59</v>
      </c>
      <c r="B7422" t="s">
        <v>60</v>
      </c>
      <c r="C7422" t="s">
        <v>32</v>
      </c>
      <c r="D7422" t="s">
        <v>953</v>
      </c>
      <c r="E7422" t="s">
        <v>980</v>
      </c>
      <c r="F7422" t="s">
        <v>35</v>
      </c>
      <c r="G7422" t="s">
        <v>35</v>
      </c>
      <c r="H7422" t="s">
        <v>35</v>
      </c>
      <c r="J7422" t="s">
        <v>7124</v>
      </c>
      <c r="K7422" t="s">
        <v>1092</v>
      </c>
      <c r="M7422">
        <v>0.4</v>
      </c>
      <c r="N7422">
        <v>45</v>
      </c>
      <c r="O7422" t="s">
        <v>52</v>
      </c>
      <c r="Q7422" t="s">
        <v>1230</v>
      </c>
      <c r="R7422" t="s">
        <v>6865</v>
      </c>
      <c r="S7422" t="s">
        <v>984</v>
      </c>
      <c r="T7422" t="s">
        <v>985</v>
      </c>
    </row>
    <row r="7423" spans="1:20" x14ac:dyDescent="0.25">
      <c r="A7423" t="s">
        <v>59</v>
      </c>
      <c r="B7423" t="s">
        <v>60</v>
      </c>
      <c r="C7423" t="s">
        <v>32</v>
      </c>
      <c r="D7423" t="s">
        <v>953</v>
      </c>
      <c r="E7423" t="s">
        <v>980</v>
      </c>
      <c r="F7423" t="s">
        <v>35</v>
      </c>
      <c r="G7423" t="s">
        <v>35</v>
      </c>
      <c r="H7423" t="s">
        <v>35</v>
      </c>
      <c r="J7423" t="s">
        <v>7158</v>
      </c>
      <c r="K7423" t="s">
        <v>1092</v>
      </c>
      <c r="M7423">
        <v>0.5</v>
      </c>
      <c r="N7423">
        <v>34</v>
      </c>
      <c r="O7423" t="s">
        <v>52</v>
      </c>
      <c r="Q7423" t="s">
        <v>249</v>
      </c>
      <c r="R7423" t="s">
        <v>6865</v>
      </c>
      <c r="S7423" t="s">
        <v>984</v>
      </c>
      <c r="T7423" t="s">
        <v>985</v>
      </c>
    </row>
    <row r="7424" spans="1:20" x14ac:dyDescent="0.25">
      <c r="A7424" t="s">
        <v>44</v>
      </c>
      <c r="B7424" t="s">
        <v>51</v>
      </c>
      <c r="C7424" t="s">
        <v>32</v>
      </c>
      <c r="D7424" t="s">
        <v>953</v>
      </c>
      <c r="E7424" t="s">
        <v>980</v>
      </c>
      <c r="F7424" t="s">
        <v>35</v>
      </c>
      <c r="G7424" t="s">
        <v>35</v>
      </c>
      <c r="H7424" t="s">
        <v>35</v>
      </c>
      <c r="J7424" t="s">
        <v>7158</v>
      </c>
      <c r="K7424" t="s">
        <v>1092</v>
      </c>
      <c r="M7424">
        <v>0.25</v>
      </c>
      <c r="N7424">
        <v>34</v>
      </c>
      <c r="O7424" t="s">
        <v>52</v>
      </c>
      <c r="Q7424" t="s">
        <v>249</v>
      </c>
      <c r="R7424" t="s">
        <v>6865</v>
      </c>
      <c r="S7424" t="s">
        <v>984</v>
      </c>
      <c r="T7424" t="s">
        <v>985</v>
      </c>
    </row>
    <row r="7425" spans="1:20" x14ac:dyDescent="0.25">
      <c r="A7425" t="s">
        <v>59</v>
      </c>
      <c r="B7425" t="s">
        <v>60</v>
      </c>
      <c r="C7425" t="s">
        <v>32</v>
      </c>
      <c r="D7425" t="s">
        <v>953</v>
      </c>
      <c r="E7425" t="s">
        <v>980</v>
      </c>
      <c r="F7425" t="s">
        <v>35</v>
      </c>
      <c r="G7425" t="s">
        <v>35</v>
      </c>
      <c r="H7425" t="s">
        <v>35</v>
      </c>
      <c r="J7425" t="s">
        <v>7158</v>
      </c>
      <c r="K7425" t="s">
        <v>1092</v>
      </c>
      <c r="M7425">
        <v>0.2</v>
      </c>
      <c r="N7425">
        <v>56</v>
      </c>
      <c r="O7425" t="s">
        <v>52</v>
      </c>
      <c r="Q7425" t="s">
        <v>423</v>
      </c>
      <c r="R7425" t="s">
        <v>6865</v>
      </c>
      <c r="S7425" t="s">
        <v>984</v>
      </c>
      <c r="T7425" t="s">
        <v>985</v>
      </c>
    </row>
    <row r="7426" spans="1:20" x14ac:dyDescent="0.25">
      <c r="A7426" t="s">
        <v>44</v>
      </c>
      <c r="B7426" t="s">
        <v>51</v>
      </c>
      <c r="C7426" t="s">
        <v>32</v>
      </c>
      <c r="D7426" t="s">
        <v>953</v>
      </c>
      <c r="E7426" t="s">
        <v>980</v>
      </c>
      <c r="F7426" t="s">
        <v>35</v>
      </c>
      <c r="G7426" t="s">
        <v>35</v>
      </c>
      <c r="H7426" t="s">
        <v>35</v>
      </c>
      <c r="J7426" t="s">
        <v>7158</v>
      </c>
      <c r="K7426" t="s">
        <v>1092</v>
      </c>
      <c r="M7426">
        <v>0.5</v>
      </c>
      <c r="N7426">
        <v>19</v>
      </c>
      <c r="O7426" t="s">
        <v>46</v>
      </c>
      <c r="Q7426" t="s">
        <v>94</v>
      </c>
      <c r="R7426" t="s">
        <v>6865</v>
      </c>
      <c r="S7426" t="s">
        <v>984</v>
      </c>
      <c r="T7426" t="s">
        <v>985</v>
      </c>
    </row>
    <row r="7427" spans="1:20" x14ac:dyDescent="0.25">
      <c r="A7427" t="s">
        <v>44</v>
      </c>
      <c r="B7427" t="s">
        <v>51</v>
      </c>
      <c r="C7427" t="s">
        <v>32</v>
      </c>
      <c r="D7427" t="s">
        <v>953</v>
      </c>
      <c r="E7427" t="s">
        <v>954</v>
      </c>
      <c r="F7427" t="s">
        <v>35</v>
      </c>
      <c r="G7427" t="s">
        <v>35</v>
      </c>
      <c r="H7427" t="s">
        <v>35</v>
      </c>
      <c r="J7427" t="s">
        <v>6864</v>
      </c>
      <c r="K7427" t="s">
        <v>1092</v>
      </c>
      <c r="M7427">
        <v>0.75</v>
      </c>
      <c r="N7427">
        <v>13</v>
      </c>
      <c r="O7427" t="s">
        <v>46</v>
      </c>
      <c r="Q7427" t="s">
        <v>1004</v>
      </c>
      <c r="R7427" t="s">
        <v>6865</v>
      </c>
      <c r="S7427" t="s">
        <v>984</v>
      </c>
      <c r="T7427" t="s">
        <v>985</v>
      </c>
    </row>
    <row r="7428" spans="1:20" x14ac:dyDescent="0.25">
      <c r="A7428" t="s">
        <v>44</v>
      </c>
      <c r="B7428" t="s">
        <v>51</v>
      </c>
      <c r="C7428" t="s">
        <v>32</v>
      </c>
      <c r="D7428" t="s">
        <v>953</v>
      </c>
      <c r="E7428" t="s">
        <v>954</v>
      </c>
      <c r="F7428" t="s">
        <v>35</v>
      </c>
      <c r="G7428" t="s">
        <v>35</v>
      </c>
      <c r="H7428" t="s">
        <v>35</v>
      </c>
      <c r="J7428" t="s">
        <v>6864</v>
      </c>
      <c r="K7428" t="s">
        <v>1092</v>
      </c>
      <c r="M7428">
        <v>0.75</v>
      </c>
      <c r="N7428">
        <v>20</v>
      </c>
      <c r="O7428" t="s">
        <v>46</v>
      </c>
      <c r="Q7428" t="s">
        <v>1011</v>
      </c>
      <c r="R7428" t="s">
        <v>6865</v>
      </c>
      <c r="S7428" t="s">
        <v>984</v>
      </c>
      <c r="T7428" t="s">
        <v>985</v>
      </c>
    </row>
    <row r="7429" spans="1:20" x14ac:dyDescent="0.25">
      <c r="A7429" t="s">
        <v>44</v>
      </c>
      <c r="B7429" t="s">
        <v>51</v>
      </c>
      <c r="C7429" t="s">
        <v>32</v>
      </c>
      <c r="D7429" t="s">
        <v>953</v>
      </c>
      <c r="E7429" t="s">
        <v>954</v>
      </c>
      <c r="F7429" t="s">
        <v>35</v>
      </c>
      <c r="G7429" t="s">
        <v>35</v>
      </c>
      <c r="H7429" t="s">
        <v>35</v>
      </c>
      <c r="J7429" t="s">
        <v>6864</v>
      </c>
      <c r="K7429" t="s">
        <v>1092</v>
      </c>
      <c r="M7429">
        <v>0.03</v>
      </c>
      <c r="N7429">
        <v>23</v>
      </c>
      <c r="O7429" t="s">
        <v>46</v>
      </c>
      <c r="Q7429" t="s">
        <v>793</v>
      </c>
      <c r="R7429" t="s">
        <v>6865</v>
      </c>
      <c r="S7429" t="s">
        <v>984</v>
      </c>
      <c r="T7429" t="s">
        <v>985</v>
      </c>
    </row>
    <row r="7430" spans="1:20" x14ac:dyDescent="0.25">
      <c r="A7430" t="s">
        <v>59</v>
      </c>
      <c r="B7430" t="s">
        <v>31</v>
      </c>
      <c r="C7430" t="s">
        <v>32</v>
      </c>
      <c r="D7430" t="s">
        <v>953</v>
      </c>
      <c r="E7430" t="s">
        <v>7558</v>
      </c>
      <c r="F7430" t="s">
        <v>35</v>
      </c>
      <c r="G7430" t="s">
        <v>35</v>
      </c>
      <c r="H7430" t="s">
        <v>35</v>
      </c>
      <c r="J7430" t="s">
        <v>7596</v>
      </c>
      <c r="K7430" t="s">
        <v>1092</v>
      </c>
      <c r="M7430">
        <v>2.2949999999999999</v>
      </c>
      <c r="N7430">
        <v>56</v>
      </c>
      <c r="O7430" t="s">
        <v>52</v>
      </c>
      <c r="Q7430" t="s">
        <v>423</v>
      </c>
      <c r="R7430" t="s">
        <v>6865</v>
      </c>
      <c r="S7430" t="s">
        <v>984</v>
      </c>
      <c r="T7430" t="s">
        <v>985</v>
      </c>
    </row>
    <row r="7431" spans="1:20" x14ac:dyDescent="0.25">
      <c r="A7431" t="s">
        <v>59</v>
      </c>
      <c r="B7431" t="s">
        <v>60</v>
      </c>
      <c r="C7431" t="s">
        <v>32</v>
      </c>
      <c r="D7431" t="s">
        <v>953</v>
      </c>
      <c r="E7431" t="s">
        <v>980</v>
      </c>
      <c r="F7431" t="s">
        <v>35</v>
      </c>
      <c r="G7431" t="s">
        <v>35</v>
      </c>
      <c r="H7431" t="s">
        <v>35</v>
      </c>
      <c r="J7431" t="s">
        <v>7105</v>
      </c>
      <c r="K7431" t="s">
        <v>1092</v>
      </c>
      <c r="M7431">
        <v>0.3</v>
      </c>
      <c r="N7431">
        <v>38</v>
      </c>
      <c r="O7431" t="s">
        <v>52</v>
      </c>
      <c r="Q7431" t="s">
        <v>716</v>
      </c>
      <c r="R7431" t="s">
        <v>6865</v>
      </c>
      <c r="S7431" t="s">
        <v>984</v>
      </c>
      <c r="T7431" t="s">
        <v>985</v>
      </c>
    </row>
    <row r="7432" spans="1:20" x14ac:dyDescent="0.25">
      <c r="A7432" t="s">
        <v>44</v>
      </c>
      <c r="B7432" t="s">
        <v>51</v>
      </c>
      <c r="C7432" t="s">
        <v>32</v>
      </c>
      <c r="D7432" t="s">
        <v>953</v>
      </c>
      <c r="E7432" t="s">
        <v>980</v>
      </c>
      <c r="F7432" t="s">
        <v>35</v>
      </c>
      <c r="G7432" t="s">
        <v>35</v>
      </c>
      <c r="H7432" t="s">
        <v>35</v>
      </c>
      <c r="J7432" t="s">
        <v>7107</v>
      </c>
      <c r="K7432" t="s">
        <v>1092</v>
      </c>
      <c r="M7432">
        <v>1</v>
      </c>
      <c r="N7432">
        <v>23</v>
      </c>
      <c r="O7432" t="s">
        <v>46</v>
      </c>
      <c r="Q7432" t="s">
        <v>793</v>
      </c>
      <c r="R7432" t="s">
        <v>6865</v>
      </c>
      <c r="S7432" t="s">
        <v>984</v>
      </c>
      <c r="T7432" t="s">
        <v>985</v>
      </c>
    </row>
    <row r="7433" spans="1:20" x14ac:dyDescent="0.25">
      <c r="A7433" t="s">
        <v>44</v>
      </c>
      <c r="B7433" t="s">
        <v>51</v>
      </c>
      <c r="C7433" t="s">
        <v>32</v>
      </c>
      <c r="D7433" t="s">
        <v>953</v>
      </c>
      <c r="E7433" t="s">
        <v>980</v>
      </c>
      <c r="F7433" t="s">
        <v>35</v>
      </c>
      <c r="G7433" t="s">
        <v>35</v>
      </c>
      <c r="H7433" t="s">
        <v>35</v>
      </c>
      <c r="J7433" t="s">
        <v>7146</v>
      </c>
      <c r="K7433" t="s">
        <v>1092</v>
      </c>
      <c r="M7433">
        <v>0.05</v>
      </c>
      <c r="N7433">
        <v>17</v>
      </c>
      <c r="O7433" t="s">
        <v>46</v>
      </c>
      <c r="Q7433" t="s">
        <v>255</v>
      </c>
      <c r="R7433" t="s">
        <v>6865</v>
      </c>
      <c r="S7433" t="s">
        <v>984</v>
      </c>
      <c r="T7433" t="s">
        <v>985</v>
      </c>
    </row>
    <row r="7434" spans="1:20" x14ac:dyDescent="0.25">
      <c r="A7434" t="s">
        <v>59</v>
      </c>
      <c r="B7434" t="s">
        <v>60</v>
      </c>
      <c r="C7434" t="s">
        <v>32</v>
      </c>
      <c r="D7434" t="s">
        <v>953</v>
      </c>
      <c r="E7434" t="s">
        <v>980</v>
      </c>
      <c r="F7434" t="s">
        <v>35</v>
      </c>
      <c r="G7434" t="s">
        <v>35</v>
      </c>
      <c r="H7434" t="s">
        <v>35</v>
      </c>
      <c r="J7434" t="s">
        <v>7116</v>
      </c>
      <c r="K7434" t="s">
        <v>1092</v>
      </c>
      <c r="M7434">
        <v>0.25</v>
      </c>
      <c r="N7434">
        <v>34</v>
      </c>
      <c r="O7434" t="s">
        <v>52</v>
      </c>
      <c r="Q7434" t="s">
        <v>249</v>
      </c>
      <c r="R7434" t="s">
        <v>6865</v>
      </c>
      <c r="S7434" t="s">
        <v>984</v>
      </c>
      <c r="T7434" t="s">
        <v>985</v>
      </c>
    </row>
    <row r="7435" spans="1:20" x14ac:dyDescent="0.25">
      <c r="A7435" t="s">
        <v>59</v>
      </c>
      <c r="B7435" t="s">
        <v>60</v>
      </c>
      <c r="C7435" t="s">
        <v>32</v>
      </c>
      <c r="D7435" t="s">
        <v>953</v>
      </c>
      <c r="E7435" t="s">
        <v>980</v>
      </c>
      <c r="F7435" t="s">
        <v>35</v>
      </c>
      <c r="G7435" t="s">
        <v>35</v>
      </c>
      <c r="H7435" t="s">
        <v>35</v>
      </c>
      <c r="J7435" t="s">
        <v>7116</v>
      </c>
      <c r="K7435" t="s">
        <v>1092</v>
      </c>
      <c r="M7435">
        <v>0.498</v>
      </c>
      <c r="N7435">
        <v>44</v>
      </c>
      <c r="O7435" t="s">
        <v>52</v>
      </c>
      <c r="Q7435" t="s">
        <v>54</v>
      </c>
      <c r="R7435" t="s">
        <v>6865</v>
      </c>
      <c r="S7435" t="s">
        <v>984</v>
      </c>
      <c r="T7435" t="s">
        <v>985</v>
      </c>
    </row>
    <row r="7436" spans="1:20" x14ac:dyDescent="0.25">
      <c r="A7436" t="s">
        <v>44</v>
      </c>
      <c r="B7436" t="s">
        <v>51</v>
      </c>
      <c r="C7436" t="s">
        <v>32</v>
      </c>
      <c r="D7436" t="s">
        <v>953</v>
      </c>
      <c r="E7436" t="s">
        <v>7558</v>
      </c>
      <c r="F7436" t="s">
        <v>35</v>
      </c>
      <c r="G7436" t="s">
        <v>35</v>
      </c>
      <c r="H7436" t="s">
        <v>35</v>
      </c>
      <c r="J7436" t="s">
        <v>7588</v>
      </c>
      <c r="K7436" t="s">
        <v>1092</v>
      </c>
      <c r="M7436">
        <v>0.4</v>
      </c>
      <c r="N7436">
        <v>26</v>
      </c>
      <c r="O7436" t="s">
        <v>46</v>
      </c>
      <c r="Q7436" t="s">
        <v>137</v>
      </c>
      <c r="R7436" t="s">
        <v>6865</v>
      </c>
      <c r="S7436" t="s">
        <v>984</v>
      </c>
      <c r="T7436" t="s">
        <v>985</v>
      </c>
    </row>
    <row r="7437" spans="1:20" x14ac:dyDescent="0.25">
      <c r="A7437" t="s">
        <v>44</v>
      </c>
      <c r="B7437" t="s">
        <v>51</v>
      </c>
      <c r="C7437" t="s">
        <v>32</v>
      </c>
      <c r="D7437" t="s">
        <v>953</v>
      </c>
      <c r="E7437" t="s">
        <v>980</v>
      </c>
      <c r="F7437" t="s">
        <v>35</v>
      </c>
      <c r="G7437" t="s">
        <v>35</v>
      </c>
      <c r="H7437" t="s">
        <v>35</v>
      </c>
      <c r="J7437" t="s">
        <v>7123</v>
      </c>
      <c r="K7437" t="s">
        <v>1092</v>
      </c>
      <c r="M7437">
        <v>5.5</v>
      </c>
      <c r="N7437">
        <v>34</v>
      </c>
      <c r="O7437" t="s">
        <v>52</v>
      </c>
      <c r="Q7437" t="s">
        <v>249</v>
      </c>
      <c r="R7437" t="s">
        <v>6865</v>
      </c>
      <c r="S7437" t="s">
        <v>984</v>
      </c>
      <c r="T7437" t="s">
        <v>985</v>
      </c>
    </row>
    <row r="7438" spans="1:20" x14ac:dyDescent="0.25">
      <c r="A7438" t="s">
        <v>44</v>
      </c>
      <c r="B7438" t="s">
        <v>51</v>
      </c>
      <c r="C7438" t="s">
        <v>32</v>
      </c>
      <c r="D7438" t="s">
        <v>953</v>
      </c>
      <c r="E7438" t="s">
        <v>980</v>
      </c>
      <c r="F7438" t="s">
        <v>35</v>
      </c>
      <c r="G7438" t="s">
        <v>35</v>
      </c>
      <c r="H7438" t="s">
        <v>35</v>
      </c>
      <c r="J7438" t="s">
        <v>7112</v>
      </c>
      <c r="K7438" t="s">
        <v>1092</v>
      </c>
      <c r="M7438">
        <v>0.5</v>
      </c>
      <c r="N7438">
        <v>12</v>
      </c>
      <c r="O7438" t="s">
        <v>46</v>
      </c>
      <c r="Q7438" t="s">
        <v>1192</v>
      </c>
      <c r="R7438" t="s">
        <v>6865</v>
      </c>
      <c r="S7438" t="s">
        <v>984</v>
      </c>
      <c r="T7438" t="s">
        <v>985</v>
      </c>
    </row>
    <row r="7439" spans="1:20" x14ac:dyDescent="0.25">
      <c r="A7439" t="s">
        <v>44</v>
      </c>
      <c r="B7439" t="s">
        <v>51</v>
      </c>
      <c r="C7439" t="s">
        <v>32</v>
      </c>
      <c r="D7439" t="s">
        <v>953</v>
      </c>
      <c r="F7439" t="s">
        <v>35</v>
      </c>
      <c r="G7439" t="s">
        <v>35</v>
      </c>
      <c r="H7439" t="s">
        <v>35</v>
      </c>
      <c r="J7439" t="s">
        <v>8099</v>
      </c>
      <c r="K7439" t="s">
        <v>1092</v>
      </c>
      <c r="M7439">
        <v>0.25</v>
      </c>
      <c r="N7439">
        <v>31</v>
      </c>
      <c r="O7439" t="s">
        <v>52</v>
      </c>
      <c r="Q7439" t="s">
        <v>748</v>
      </c>
      <c r="R7439" t="s">
        <v>6865</v>
      </c>
      <c r="S7439" t="s">
        <v>984</v>
      </c>
      <c r="T7439" t="s">
        <v>985</v>
      </c>
    </row>
    <row r="7440" spans="1:20" x14ac:dyDescent="0.25">
      <c r="A7440" t="s">
        <v>59</v>
      </c>
      <c r="B7440" t="s">
        <v>60</v>
      </c>
      <c r="C7440" t="s">
        <v>32</v>
      </c>
      <c r="D7440" t="s">
        <v>953</v>
      </c>
      <c r="F7440" t="s">
        <v>35</v>
      </c>
      <c r="G7440" t="s">
        <v>35</v>
      </c>
      <c r="H7440" t="s">
        <v>35</v>
      </c>
      <c r="J7440" t="s">
        <v>8099</v>
      </c>
      <c r="K7440" t="s">
        <v>1092</v>
      </c>
      <c r="M7440">
        <v>0.05</v>
      </c>
      <c r="N7440">
        <v>31</v>
      </c>
      <c r="O7440" t="s">
        <v>52</v>
      </c>
      <c r="Q7440" t="s">
        <v>748</v>
      </c>
      <c r="R7440" t="s">
        <v>6865</v>
      </c>
      <c r="S7440" t="s">
        <v>984</v>
      </c>
      <c r="T7440" t="s">
        <v>985</v>
      </c>
    </row>
    <row r="7441" spans="1:20" x14ac:dyDescent="0.25">
      <c r="A7441" t="s">
        <v>44</v>
      </c>
      <c r="B7441" t="s">
        <v>51</v>
      </c>
      <c r="C7441" t="s">
        <v>32</v>
      </c>
      <c r="D7441" t="s">
        <v>953</v>
      </c>
      <c r="E7441" t="s">
        <v>980</v>
      </c>
      <c r="F7441" t="s">
        <v>35</v>
      </c>
      <c r="G7441" t="s">
        <v>35</v>
      </c>
      <c r="H7441" t="s">
        <v>35</v>
      </c>
      <c r="J7441" t="s">
        <v>7109</v>
      </c>
      <c r="K7441" t="s">
        <v>1092</v>
      </c>
      <c r="M7441">
        <v>0.5</v>
      </c>
      <c r="N7441">
        <v>12</v>
      </c>
      <c r="O7441" t="s">
        <v>46</v>
      </c>
      <c r="Q7441" t="s">
        <v>1192</v>
      </c>
      <c r="R7441" t="s">
        <v>6865</v>
      </c>
      <c r="S7441" t="s">
        <v>984</v>
      </c>
      <c r="T7441" t="s">
        <v>985</v>
      </c>
    </row>
    <row r="7442" spans="1:20" x14ac:dyDescent="0.25">
      <c r="A7442" t="s">
        <v>44</v>
      </c>
      <c r="B7442" t="s">
        <v>51</v>
      </c>
      <c r="C7442" t="s">
        <v>32</v>
      </c>
      <c r="D7442" t="s">
        <v>953</v>
      </c>
      <c r="E7442" t="s">
        <v>980</v>
      </c>
      <c r="F7442" t="s">
        <v>35</v>
      </c>
      <c r="G7442" t="s">
        <v>35</v>
      </c>
      <c r="H7442" t="s">
        <v>35</v>
      </c>
      <c r="J7442" t="s">
        <v>7109</v>
      </c>
      <c r="K7442" t="s">
        <v>1092</v>
      </c>
      <c r="M7442">
        <v>0.5</v>
      </c>
      <c r="N7442">
        <v>224</v>
      </c>
      <c r="O7442" t="s">
        <v>5</v>
      </c>
      <c r="Q7442" t="s">
        <v>402</v>
      </c>
      <c r="R7442" t="s">
        <v>6865</v>
      </c>
      <c r="S7442" t="s">
        <v>984</v>
      </c>
      <c r="T7442" t="s">
        <v>985</v>
      </c>
    </row>
    <row r="7443" spans="1:20" x14ac:dyDescent="0.25">
      <c r="A7443" t="s">
        <v>59</v>
      </c>
      <c r="B7443" t="s">
        <v>60</v>
      </c>
      <c r="C7443" t="s">
        <v>32</v>
      </c>
      <c r="D7443" t="s">
        <v>953</v>
      </c>
      <c r="E7443" t="s">
        <v>980</v>
      </c>
      <c r="F7443" t="s">
        <v>35</v>
      </c>
      <c r="G7443" t="s">
        <v>35</v>
      </c>
      <c r="H7443" t="s">
        <v>35</v>
      </c>
      <c r="J7443" t="s">
        <v>7132</v>
      </c>
      <c r="K7443" t="s">
        <v>1092</v>
      </c>
      <c r="M7443">
        <v>0.1</v>
      </c>
      <c r="N7443">
        <v>52</v>
      </c>
      <c r="O7443" t="s">
        <v>52</v>
      </c>
      <c r="Q7443" t="s">
        <v>84</v>
      </c>
      <c r="R7443" t="s">
        <v>6865</v>
      </c>
      <c r="S7443" t="s">
        <v>984</v>
      </c>
      <c r="T7443" t="s">
        <v>985</v>
      </c>
    </row>
    <row r="7444" spans="1:20" x14ac:dyDescent="0.25">
      <c r="A7444" t="s">
        <v>59</v>
      </c>
      <c r="B7444" t="s">
        <v>60</v>
      </c>
      <c r="C7444" t="s">
        <v>32</v>
      </c>
      <c r="D7444" t="s">
        <v>953</v>
      </c>
      <c r="E7444" t="s">
        <v>980</v>
      </c>
      <c r="F7444" t="s">
        <v>35</v>
      </c>
      <c r="G7444" t="s">
        <v>35</v>
      </c>
      <c r="H7444" t="s">
        <v>35</v>
      </c>
      <c r="J7444" t="s">
        <v>7138</v>
      </c>
      <c r="K7444" t="s">
        <v>1092</v>
      </c>
      <c r="M7444">
        <v>0.03</v>
      </c>
      <c r="N7444">
        <v>243</v>
      </c>
      <c r="O7444" t="s">
        <v>5</v>
      </c>
      <c r="Q7444" t="s">
        <v>3296</v>
      </c>
      <c r="R7444" t="s">
        <v>6865</v>
      </c>
      <c r="S7444" t="s">
        <v>984</v>
      </c>
      <c r="T7444" t="s">
        <v>985</v>
      </c>
    </row>
    <row r="7445" spans="1:20" x14ac:dyDescent="0.25">
      <c r="A7445" t="s">
        <v>59</v>
      </c>
      <c r="B7445" t="s">
        <v>60</v>
      </c>
      <c r="C7445" t="s">
        <v>32</v>
      </c>
      <c r="D7445" t="s">
        <v>953</v>
      </c>
      <c r="E7445" t="s">
        <v>980</v>
      </c>
      <c r="F7445" t="s">
        <v>35</v>
      </c>
      <c r="G7445" t="s">
        <v>35</v>
      </c>
      <c r="H7445" t="s">
        <v>35</v>
      </c>
      <c r="J7445" t="s">
        <v>7138</v>
      </c>
      <c r="K7445" t="s">
        <v>1092</v>
      </c>
      <c r="M7445">
        <v>0.2</v>
      </c>
      <c r="N7445">
        <v>40</v>
      </c>
      <c r="O7445" t="s">
        <v>52</v>
      </c>
      <c r="Q7445" t="s">
        <v>132</v>
      </c>
      <c r="R7445" t="s">
        <v>6865</v>
      </c>
      <c r="S7445" t="s">
        <v>984</v>
      </c>
      <c r="T7445" t="s">
        <v>985</v>
      </c>
    </row>
    <row r="7446" spans="1:20" x14ac:dyDescent="0.25">
      <c r="A7446" t="s">
        <v>44</v>
      </c>
      <c r="B7446" t="s">
        <v>51</v>
      </c>
      <c r="C7446" t="s">
        <v>32</v>
      </c>
      <c r="D7446" t="s">
        <v>953</v>
      </c>
      <c r="E7446" t="s">
        <v>980</v>
      </c>
      <c r="F7446" t="s">
        <v>35</v>
      </c>
      <c r="G7446" t="s">
        <v>35</v>
      </c>
      <c r="H7446" t="s">
        <v>35</v>
      </c>
      <c r="J7446" t="s">
        <v>7138</v>
      </c>
      <c r="K7446" t="s">
        <v>1092</v>
      </c>
      <c r="M7446">
        <v>0.25</v>
      </c>
      <c r="N7446">
        <v>16</v>
      </c>
      <c r="O7446" t="s">
        <v>46</v>
      </c>
      <c r="Q7446" t="s">
        <v>1819</v>
      </c>
      <c r="R7446" t="s">
        <v>6865</v>
      </c>
      <c r="S7446" t="s">
        <v>984</v>
      </c>
      <c r="T7446" t="s">
        <v>985</v>
      </c>
    </row>
    <row r="7447" spans="1:20" x14ac:dyDescent="0.25">
      <c r="A7447" t="s">
        <v>44</v>
      </c>
      <c r="B7447" t="s">
        <v>51</v>
      </c>
      <c r="C7447" t="s">
        <v>32</v>
      </c>
      <c r="D7447" t="s">
        <v>953</v>
      </c>
      <c r="E7447" t="s">
        <v>980</v>
      </c>
      <c r="F7447" t="s">
        <v>35</v>
      </c>
      <c r="G7447" t="s">
        <v>35</v>
      </c>
      <c r="H7447" t="s">
        <v>35</v>
      </c>
      <c r="J7447" t="s">
        <v>7149</v>
      </c>
      <c r="K7447" t="s">
        <v>1092</v>
      </c>
      <c r="M7447">
        <v>0.75</v>
      </c>
      <c r="N7447">
        <v>23</v>
      </c>
      <c r="O7447" t="s">
        <v>46</v>
      </c>
      <c r="Q7447" t="s">
        <v>793</v>
      </c>
      <c r="R7447" t="s">
        <v>6865</v>
      </c>
      <c r="S7447" t="s">
        <v>984</v>
      </c>
      <c r="T7447" t="s">
        <v>985</v>
      </c>
    </row>
    <row r="7448" spans="1:20" x14ac:dyDescent="0.25">
      <c r="A7448" t="s">
        <v>59</v>
      </c>
      <c r="B7448" t="s">
        <v>60</v>
      </c>
      <c r="C7448" t="s">
        <v>32</v>
      </c>
      <c r="D7448" t="s">
        <v>953</v>
      </c>
      <c r="E7448" t="s">
        <v>980</v>
      </c>
      <c r="F7448" t="s">
        <v>35</v>
      </c>
      <c r="G7448" t="s">
        <v>35</v>
      </c>
      <c r="H7448" t="s">
        <v>35</v>
      </c>
      <c r="J7448" t="s">
        <v>7142</v>
      </c>
      <c r="K7448" t="s">
        <v>1092</v>
      </c>
      <c r="M7448">
        <v>0.35</v>
      </c>
      <c r="N7448">
        <v>215</v>
      </c>
      <c r="O7448" t="s">
        <v>5</v>
      </c>
      <c r="Q7448" t="s">
        <v>1746</v>
      </c>
      <c r="R7448" t="s">
        <v>6865</v>
      </c>
      <c r="S7448" t="s">
        <v>984</v>
      </c>
      <c r="T7448" t="s">
        <v>985</v>
      </c>
    </row>
    <row r="7449" spans="1:20" x14ac:dyDescent="0.25">
      <c r="A7449" t="s">
        <v>59</v>
      </c>
      <c r="B7449" t="s">
        <v>60</v>
      </c>
      <c r="C7449" t="s">
        <v>32</v>
      </c>
      <c r="D7449" t="s">
        <v>953</v>
      </c>
      <c r="E7449" t="s">
        <v>980</v>
      </c>
      <c r="F7449" t="s">
        <v>35</v>
      </c>
      <c r="G7449" t="s">
        <v>35</v>
      </c>
      <c r="H7449" t="s">
        <v>35</v>
      </c>
      <c r="J7449" t="s">
        <v>7142</v>
      </c>
      <c r="K7449" t="s">
        <v>1092</v>
      </c>
      <c r="M7449">
        <v>0.1</v>
      </c>
      <c r="N7449">
        <v>248</v>
      </c>
      <c r="O7449" t="s">
        <v>5</v>
      </c>
      <c r="Q7449" t="s">
        <v>1747</v>
      </c>
      <c r="R7449" t="s">
        <v>6865</v>
      </c>
      <c r="S7449" t="s">
        <v>984</v>
      </c>
      <c r="T7449" t="s">
        <v>985</v>
      </c>
    </row>
    <row r="7450" spans="1:20" x14ac:dyDescent="0.25">
      <c r="A7450" t="s">
        <v>59</v>
      </c>
      <c r="B7450" t="s">
        <v>60</v>
      </c>
      <c r="C7450" t="s">
        <v>32</v>
      </c>
      <c r="D7450" t="s">
        <v>953</v>
      </c>
      <c r="E7450" t="s">
        <v>980</v>
      </c>
      <c r="F7450" t="s">
        <v>35</v>
      </c>
      <c r="G7450" t="s">
        <v>35</v>
      </c>
      <c r="H7450" t="s">
        <v>35</v>
      </c>
      <c r="J7450" t="s">
        <v>7142</v>
      </c>
      <c r="K7450" t="s">
        <v>1092</v>
      </c>
      <c r="M7450">
        <v>0.25</v>
      </c>
      <c r="N7450">
        <v>27</v>
      </c>
      <c r="O7450" t="s">
        <v>46</v>
      </c>
      <c r="Q7450" t="s">
        <v>809</v>
      </c>
      <c r="R7450" t="s">
        <v>6865</v>
      </c>
      <c r="S7450" t="s">
        <v>984</v>
      </c>
      <c r="T7450" t="s">
        <v>985</v>
      </c>
    </row>
    <row r="7451" spans="1:20" x14ac:dyDescent="0.25">
      <c r="A7451" t="s">
        <v>59</v>
      </c>
      <c r="B7451" t="s">
        <v>60</v>
      </c>
      <c r="C7451" t="s">
        <v>32</v>
      </c>
      <c r="D7451" t="s">
        <v>953</v>
      </c>
      <c r="E7451" t="s">
        <v>980</v>
      </c>
      <c r="F7451" t="s">
        <v>35</v>
      </c>
      <c r="G7451" t="s">
        <v>35</v>
      </c>
      <c r="H7451" t="s">
        <v>35</v>
      </c>
      <c r="J7451" t="s">
        <v>7142</v>
      </c>
      <c r="K7451" t="s">
        <v>1092</v>
      </c>
      <c r="M7451">
        <v>0.25</v>
      </c>
      <c r="N7451">
        <v>54</v>
      </c>
      <c r="O7451" t="s">
        <v>52</v>
      </c>
      <c r="Q7451" t="s">
        <v>671</v>
      </c>
      <c r="R7451" t="s">
        <v>6865</v>
      </c>
      <c r="S7451" t="s">
        <v>984</v>
      </c>
      <c r="T7451" t="s">
        <v>985</v>
      </c>
    </row>
    <row r="7452" spans="1:20" x14ac:dyDescent="0.25">
      <c r="A7452" t="s">
        <v>59</v>
      </c>
      <c r="B7452" t="s">
        <v>60</v>
      </c>
      <c r="C7452" t="s">
        <v>32</v>
      </c>
      <c r="D7452" t="s">
        <v>953</v>
      </c>
      <c r="E7452" t="s">
        <v>980</v>
      </c>
      <c r="F7452" t="s">
        <v>35</v>
      </c>
      <c r="G7452" t="s">
        <v>35</v>
      </c>
      <c r="H7452" t="s">
        <v>35</v>
      </c>
      <c r="J7452" t="s">
        <v>7142</v>
      </c>
      <c r="K7452" t="s">
        <v>1092</v>
      </c>
      <c r="M7452">
        <v>0.15</v>
      </c>
      <c r="N7452">
        <v>275</v>
      </c>
      <c r="O7452" t="s">
        <v>5</v>
      </c>
      <c r="Q7452" t="s">
        <v>1225</v>
      </c>
      <c r="R7452" t="s">
        <v>6865</v>
      </c>
      <c r="S7452" t="s">
        <v>984</v>
      </c>
      <c r="T7452" t="s">
        <v>985</v>
      </c>
    </row>
    <row r="7453" spans="1:20" x14ac:dyDescent="0.25">
      <c r="A7453" t="s">
        <v>59</v>
      </c>
      <c r="B7453" t="s">
        <v>60</v>
      </c>
      <c r="C7453" t="s">
        <v>32</v>
      </c>
      <c r="D7453" t="s">
        <v>953</v>
      </c>
      <c r="E7453" t="s">
        <v>980</v>
      </c>
      <c r="F7453" t="s">
        <v>35</v>
      </c>
      <c r="G7453" t="s">
        <v>35</v>
      </c>
      <c r="H7453" t="s">
        <v>35</v>
      </c>
      <c r="J7453" t="s">
        <v>7142</v>
      </c>
      <c r="K7453" t="s">
        <v>1092</v>
      </c>
      <c r="M7453">
        <v>0.15</v>
      </c>
      <c r="N7453">
        <v>242</v>
      </c>
      <c r="O7453" t="s">
        <v>5</v>
      </c>
      <c r="Q7453" t="s">
        <v>6137</v>
      </c>
      <c r="R7453" t="s">
        <v>6865</v>
      </c>
      <c r="S7453" t="s">
        <v>984</v>
      </c>
      <c r="T7453" t="s">
        <v>985</v>
      </c>
    </row>
    <row r="7454" spans="1:20" x14ac:dyDescent="0.25">
      <c r="A7454" t="s">
        <v>44</v>
      </c>
      <c r="B7454" t="s">
        <v>51</v>
      </c>
      <c r="C7454" t="s">
        <v>32</v>
      </c>
      <c r="D7454" t="s">
        <v>953</v>
      </c>
      <c r="E7454" t="s">
        <v>980</v>
      </c>
      <c r="F7454" t="s">
        <v>35</v>
      </c>
      <c r="G7454" t="s">
        <v>35</v>
      </c>
      <c r="H7454" t="s">
        <v>35</v>
      </c>
      <c r="J7454" t="s">
        <v>7145</v>
      </c>
      <c r="K7454" t="s">
        <v>1092</v>
      </c>
      <c r="M7454">
        <v>0.25</v>
      </c>
      <c r="N7454">
        <v>13</v>
      </c>
      <c r="O7454" t="s">
        <v>46</v>
      </c>
      <c r="Q7454" t="s">
        <v>1004</v>
      </c>
      <c r="R7454" t="s">
        <v>6865</v>
      </c>
      <c r="S7454" t="s">
        <v>984</v>
      </c>
      <c r="T7454" t="s">
        <v>985</v>
      </c>
    </row>
    <row r="7455" spans="1:20" x14ac:dyDescent="0.25">
      <c r="A7455" t="s">
        <v>44</v>
      </c>
      <c r="B7455" t="s">
        <v>51</v>
      </c>
      <c r="C7455" t="s">
        <v>32</v>
      </c>
      <c r="D7455" t="s">
        <v>953</v>
      </c>
      <c r="E7455" t="s">
        <v>980</v>
      </c>
      <c r="F7455" t="s">
        <v>35</v>
      </c>
      <c r="G7455" t="s">
        <v>35</v>
      </c>
      <c r="H7455" t="s">
        <v>35</v>
      </c>
      <c r="J7455" t="s">
        <v>7159</v>
      </c>
      <c r="K7455" t="s">
        <v>1092</v>
      </c>
      <c r="M7455">
        <v>0.2</v>
      </c>
      <c r="N7455">
        <v>17</v>
      </c>
      <c r="O7455" t="s">
        <v>46</v>
      </c>
      <c r="Q7455" t="s">
        <v>255</v>
      </c>
      <c r="R7455" t="s">
        <v>6865</v>
      </c>
      <c r="S7455" t="s">
        <v>984</v>
      </c>
      <c r="T7455" t="s">
        <v>985</v>
      </c>
    </row>
    <row r="7456" spans="1:20" x14ac:dyDescent="0.25">
      <c r="A7456" t="s">
        <v>59</v>
      </c>
      <c r="B7456" t="s">
        <v>60</v>
      </c>
      <c r="C7456" t="s">
        <v>32</v>
      </c>
      <c r="D7456" t="s">
        <v>953</v>
      </c>
      <c r="E7456" t="s">
        <v>980</v>
      </c>
      <c r="F7456" t="s">
        <v>35</v>
      </c>
      <c r="G7456" t="s">
        <v>35</v>
      </c>
      <c r="H7456" t="s">
        <v>35</v>
      </c>
      <c r="J7456" t="s">
        <v>7159</v>
      </c>
      <c r="K7456" t="s">
        <v>1092</v>
      </c>
      <c r="M7456">
        <v>0.10299999999999999</v>
      </c>
      <c r="N7456">
        <v>51</v>
      </c>
      <c r="O7456" t="s">
        <v>52</v>
      </c>
      <c r="Q7456" t="s">
        <v>58</v>
      </c>
      <c r="R7456" t="s">
        <v>6865</v>
      </c>
      <c r="S7456" t="s">
        <v>984</v>
      </c>
      <c r="T7456" t="s">
        <v>985</v>
      </c>
    </row>
    <row r="7457" spans="1:20" x14ac:dyDescent="0.25">
      <c r="A7457" t="s">
        <v>59</v>
      </c>
      <c r="B7457" t="s">
        <v>31</v>
      </c>
      <c r="C7457" t="s">
        <v>32</v>
      </c>
      <c r="D7457" t="s">
        <v>953</v>
      </c>
      <c r="E7457" t="s">
        <v>1077</v>
      </c>
      <c r="F7457" t="s">
        <v>35</v>
      </c>
      <c r="G7457" t="s">
        <v>35</v>
      </c>
      <c r="H7457" t="s">
        <v>35</v>
      </c>
      <c r="J7457" t="s">
        <v>7653</v>
      </c>
      <c r="K7457" t="s">
        <v>1092</v>
      </c>
      <c r="M7457">
        <v>4.9950000000000001</v>
      </c>
      <c r="N7457">
        <v>55</v>
      </c>
      <c r="O7457" t="s">
        <v>52</v>
      </c>
      <c r="Q7457" t="s">
        <v>90</v>
      </c>
      <c r="R7457" t="s">
        <v>6865</v>
      </c>
      <c r="S7457" t="s">
        <v>984</v>
      </c>
      <c r="T7457" t="s">
        <v>985</v>
      </c>
    </row>
    <row r="7458" spans="1:20" x14ac:dyDescent="0.25">
      <c r="A7458" t="s">
        <v>59</v>
      </c>
      <c r="B7458" t="s">
        <v>60</v>
      </c>
      <c r="C7458" t="s">
        <v>32</v>
      </c>
      <c r="D7458" t="s">
        <v>953</v>
      </c>
      <c r="E7458" t="s">
        <v>7494</v>
      </c>
      <c r="F7458" t="s">
        <v>35</v>
      </c>
      <c r="G7458" t="s">
        <v>35</v>
      </c>
      <c r="H7458" t="s">
        <v>35</v>
      </c>
      <c r="J7458" t="s">
        <v>7511</v>
      </c>
      <c r="K7458" t="s">
        <v>1092</v>
      </c>
      <c r="M7458">
        <v>0.25</v>
      </c>
      <c r="N7458">
        <v>136</v>
      </c>
      <c r="O7458" t="s">
        <v>38</v>
      </c>
      <c r="Q7458" t="s">
        <v>2121</v>
      </c>
      <c r="R7458" t="s">
        <v>133</v>
      </c>
      <c r="S7458" t="s">
        <v>134</v>
      </c>
      <c r="T7458" t="s">
        <v>135</v>
      </c>
    </row>
    <row r="7459" spans="1:20" x14ac:dyDescent="0.25">
      <c r="A7459" t="s">
        <v>59</v>
      </c>
      <c r="B7459" t="s">
        <v>60</v>
      </c>
      <c r="C7459" t="s">
        <v>32</v>
      </c>
      <c r="D7459" t="s">
        <v>953</v>
      </c>
      <c r="E7459" t="s">
        <v>7494</v>
      </c>
      <c r="F7459" t="s">
        <v>35</v>
      </c>
      <c r="G7459" t="s">
        <v>35</v>
      </c>
      <c r="H7459" t="s">
        <v>35</v>
      </c>
      <c r="J7459" t="s">
        <v>7511</v>
      </c>
      <c r="K7459" t="s">
        <v>1092</v>
      </c>
      <c r="M7459">
        <v>0.25</v>
      </c>
      <c r="N7459">
        <v>102</v>
      </c>
      <c r="O7459" t="s">
        <v>106</v>
      </c>
      <c r="Q7459" t="s">
        <v>2624</v>
      </c>
      <c r="R7459" t="s">
        <v>133</v>
      </c>
      <c r="S7459" t="s">
        <v>134</v>
      </c>
      <c r="T7459" t="s">
        <v>135</v>
      </c>
    </row>
    <row r="7460" spans="1:20" x14ac:dyDescent="0.25">
      <c r="A7460" t="s">
        <v>44</v>
      </c>
      <c r="B7460" t="s">
        <v>3</v>
      </c>
      <c r="C7460" t="s">
        <v>32</v>
      </c>
      <c r="D7460" t="s">
        <v>953</v>
      </c>
      <c r="E7460" t="s">
        <v>7842</v>
      </c>
      <c r="F7460" t="s">
        <v>35</v>
      </c>
      <c r="G7460" t="s">
        <v>35</v>
      </c>
      <c r="H7460" t="s">
        <v>35</v>
      </c>
      <c r="J7460" t="s">
        <v>7852</v>
      </c>
      <c r="K7460" t="s">
        <v>1092</v>
      </c>
      <c r="M7460">
        <v>2.5</v>
      </c>
      <c r="N7460">
        <v>53</v>
      </c>
      <c r="O7460" t="s">
        <v>52</v>
      </c>
      <c r="Q7460" t="s">
        <v>1734</v>
      </c>
      <c r="R7460" t="s">
        <v>133</v>
      </c>
      <c r="S7460" t="s">
        <v>134</v>
      </c>
      <c r="T7460" t="s">
        <v>135</v>
      </c>
    </row>
    <row r="7461" spans="1:20" x14ac:dyDescent="0.25">
      <c r="A7461" t="s">
        <v>44</v>
      </c>
      <c r="B7461" t="s">
        <v>3</v>
      </c>
      <c r="C7461" t="s">
        <v>32</v>
      </c>
      <c r="D7461" t="s">
        <v>953</v>
      </c>
      <c r="E7461" t="s">
        <v>1015</v>
      </c>
      <c r="F7461" t="s">
        <v>35</v>
      </c>
      <c r="G7461" t="s">
        <v>35</v>
      </c>
      <c r="H7461" t="s">
        <v>35</v>
      </c>
      <c r="J7461" t="s">
        <v>7428</v>
      </c>
      <c r="K7461" t="s">
        <v>1092</v>
      </c>
      <c r="M7461">
        <v>0.35</v>
      </c>
      <c r="N7461">
        <v>25</v>
      </c>
      <c r="O7461" t="s">
        <v>46</v>
      </c>
      <c r="Q7461" t="s">
        <v>547</v>
      </c>
      <c r="R7461" t="s">
        <v>133</v>
      </c>
      <c r="S7461" t="s">
        <v>134</v>
      </c>
      <c r="T7461" t="s">
        <v>135</v>
      </c>
    </row>
    <row r="7462" spans="1:20" x14ac:dyDescent="0.25">
      <c r="A7462" t="s">
        <v>59</v>
      </c>
      <c r="B7462" t="s">
        <v>60</v>
      </c>
      <c r="C7462" t="s">
        <v>32</v>
      </c>
      <c r="D7462" t="s">
        <v>953</v>
      </c>
      <c r="E7462" t="s">
        <v>1015</v>
      </c>
      <c r="F7462" t="s">
        <v>35</v>
      </c>
      <c r="G7462" t="s">
        <v>35</v>
      </c>
      <c r="H7462" t="s">
        <v>35</v>
      </c>
      <c r="J7462" t="s">
        <v>7428</v>
      </c>
      <c r="K7462" t="s">
        <v>1092</v>
      </c>
      <c r="M7462">
        <v>0.25</v>
      </c>
      <c r="N7462">
        <v>31</v>
      </c>
      <c r="O7462" t="s">
        <v>52</v>
      </c>
      <c r="Q7462" t="s">
        <v>748</v>
      </c>
      <c r="R7462" t="s">
        <v>133</v>
      </c>
      <c r="S7462" t="s">
        <v>134</v>
      </c>
      <c r="T7462" t="s">
        <v>135</v>
      </c>
    </row>
    <row r="7463" spans="1:20" x14ac:dyDescent="0.25">
      <c r="A7463" t="s">
        <v>44</v>
      </c>
      <c r="B7463" t="s">
        <v>3</v>
      </c>
      <c r="C7463" t="s">
        <v>32</v>
      </c>
      <c r="D7463" t="s">
        <v>953</v>
      </c>
      <c r="E7463" t="s">
        <v>1015</v>
      </c>
      <c r="F7463" t="s">
        <v>35</v>
      </c>
      <c r="G7463" t="s">
        <v>35</v>
      </c>
      <c r="H7463" t="s">
        <v>35</v>
      </c>
      <c r="J7463" t="s">
        <v>7383</v>
      </c>
      <c r="K7463" t="s">
        <v>1092</v>
      </c>
      <c r="M7463">
        <v>0.5</v>
      </c>
      <c r="N7463">
        <v>10</v>
      </c>
      <c r="O7463" t="s">
        <v>46</v>
      </c>
      <c r="Q7463" t="s">
        <v>1302</v>
      </c>
      <c r="R7463" t="s">
        <v>133</v>
      </c>
      <c r="S7463" t="s">
        <v>134</v>
      </c>
      <c r="T7463" t="s">
        <v>135</v>
      </c>
    </row>
    <row r="7464" spans="1:20" x14ac:dyDescent="0.25">
      <c r="A7464" t="s">
        <v>59</v>
      </c>
      <c r="B7464" t="s">
        <v>60</v>
      </c>
      <c r="C7464" t="s">
        <v>32</v>
      </c>
      <c r="D7464" t="s">
        <v>953</v>
      </c>
      <c r="E7464" t="s">
        <v>980</v>
      </c>
      <c r="F7464" t="s">
        <v>35</v>
      </c>
      <c r="G7464" t="s">
        <v>35</v>
      </c>
      <c r="H7464" t="s">
        <v>35</v>
      </c>
      <c r="J7464" t="s">
        <v>7068</v>
      </c>
      <c r="K7464" t="s">
        <v>1092</v>
      </c>
      <c r="M7464">
        <v>2.5449999999999999</v>
      </c>
      <c r="N7464">
        <v>1603</v>
      </c>
      <c r="O7464" t="s">
        <v>575</v>
      </c>
      <c r="Q7464" t="s">
        <v>7069</v>
      </c>
      <c r="R7464" t="s">
        <v>133</v>
      </c>
      <c r="S7464" t="s">
        <v>134</v>
      </c>
      <c r="T7464" t="s">
        <v>135</v>
      </c>
    </row>
    <row r="7465" spans="1:20" x14ac:dyDescent="0.25">
      <c r="A7465" t="s">
        <v>59</v>
      </c>
      <c r="B7465" t="s">
        <v>60</v>
      </c>
      <c r="C7465" t="s">
        <v>32</v>
      </c>
      <c r="D7465" t="s">
        <v>953</v>
      </c>
      <c r="E7465" t="s">
        <v>980</v>
      </c>
      <c r="F7465" t="s">
        <v>35</v>
      </c>
      <c r="G7465" t="s">
        <v>35</v>
      </c>
      <c r="H7465" t="s">
        <v>35</v>
      </c>
      <c r="J7465" t="s">
        <v>7078</v>
      </c>
      <c r="K7465" t="s">
        <v>1092</v>
      </c>
      <c r="M7465">
        <v>4.3499999999999996</v>
      </c>
      <c r="N7465">
        <v>53</v>
      </c>
      <c r="O7465" t="s">
        <v>52</v>
      </c>
      <c r="Q7465" t="s">
        <v>1734</v>
      </c>
      <c r="R7465" t="s">
        <v>133</v>
      </c>
      <c r="S7465" t="s">
        <v>134</v>
      </c>
      <c r="T7465" t="s">
        <v>135</v>
      </c>
    </row>
    <row r="7466" spans="1:20" x14ac:dyDescent="0.25">
      <c r="A7466" t="s">
        <v>59</v>
      </c>
      <c r="B7466" t="s">
        <v>31</v>
      </c>
      <c r="C7466" t="s">
        <v>32</v>
      </c>
      <c r="D7466" t="s">
        <v>953</v>
      </c>
      <c r="E7466" t="s">
        <v>980</v>
      </c>
      <c r="F7466" t="s">
        <v>35</v>
      </c>
      <c r="G7466" t="s">
        <v>35</v>
      </c>
      <c r="H7466" t="s">
        <v>35</v>
      </c>
      <c r="J7466" t="s">
        <v>7078</v>
      </c>
      <c r="K7466" t="s">
        <v>1092</v>
      </c>
      <c r="M7466">
        <v>0.58499999999999996</v>
      </c>
      <c r="N7466">
        <v>53</v>
      </c>
      <c r="O7466" t="s">
        <v>52</v>
      </c>
      <c r="Q7466" t="s">
        <v>1734</v>
      </c>
      <c r="R7466" t="s">
        <v>133</v>
      </c>
      <c r="S7466" t="s">
        <v>134</v>
      </c>
      <c r="T7466" t="s">
        <v>135</v>
      </c>
    </row>
    <row r="7467" spans="1:20" x14ac:dyDescent="0.25">
      <c r="A7467" t="s">
        <v>59</v>
      </c>
      <c r="B7467" t="s">
        <v>31</v>
      </c>
      <c r="C7467" t="s">
        <v>32</v>
      </c>
      <c r="D7467" t="s">
        <v>953</v>
      </c>
      <c r="E7467" t="s">
        <v>1015</v>
      </c>
      <c r="F7467" t="s">
        <v>35</v>
      </c>
      <c r="G7467" t="s">
        <v>35</v>
      </c>
      <c r="H7467" t="s">
        <v>35</v>
      </c>
      <c r="J7467" t="s">
        <v>7405</v>
      </c>
      <c r="K7467" t="s">
        <v>1092</v>
      </c>
      <c r="M7467">
        <v>3.87</v>
      </c>
      <c r="N7467">
        <v>150</v>
      </c>
      <c r="O7467" t="s">
        <v>38</v>
      </c>
      <c r="Q7467" t="s">
        <v>1145</v>
      </c>
      <c r="R7467" t="s">
        <v>133</v>
      </c>
      <c r="S7467" t="s">
        <v>134</v>
      </c>
      <c r="T7467" t="s">
        <v>135</v>
      </c>
    </row>
    <row r="7468" spans="1:20" x14ac:dyDescent="0.25">
      <c r="A7468" t="s">
        <v>44</v>
      </c>
      <c r="B7468" t="s">
        <v>3</v>
      </c>
      <c r="C7468" t="s">
        <v>32</v>
      </c>
      <c r="D7468" t="s">
        <v>953</v>
      </c>
      <c r="E7468" t="s">
        <v>1015</v>
      </c>
      <c r="F7468" t="s">
        <v>35</v>
      </c>
      <c r="G7468" t="s">
        <v>35</v>
      </c>
      <c r="H7468" t="s">
        <v>35</v>
      </c>
      <c r="J7468" t="s">
        <v>7430</v>
      </c>
      <c r="K7468" t="s">
        <v>1092</v>
      </c>
      <c r="M7468">
        <v>1.7</v>
      </c>
      <c r="N7468">
        <v>53</v>
      </c>
      <c r="O7468" t="s">
        <v>52</v>
      </c>
      <c r="Q7468" t="s">
        <v>1734</v>
      </c>
      <c r="R7468" t="s">
        <v>133</v>
      </c>
      <c r="S7468" t="s">
        <v>134</v>
      </c>
      <c r="T7468" t="s">
        <v>135</v>
      </c>
    </row>
    <row r="7469" spans="1:20" x14ac:dyDescent="0.25">
      <c r="A7469" t="s">
        <v>59</v>
      </c>
      <c r="B7469" t="s">
        <v>60</v>
      </c>
      <c r="C7469" t="s">
        <v>32</v>
      </c>
      <c r="D7469" t="s">
        <v>953</v>
      </c>
      <c r="E7469" t="s">
        <v>1015</v>
      </c>
      <c r="F7469" t="s">
        <v>35</v>
      </c>
      <c r="G7469" t="s">
        <v>35</v>
      </c>
      <c r="H7469" t="s">
        <v>35</v>
      </c>
      <c r="J7469" t="s">
        <v>7430</v>
      </c>
      <c r="K7469" t="s">
        <v>1092</v>
      </c>
      <c r="M7469">
        <v>1</v>
      </c>
      <c r="N7469">
        <v>79</v>
      </c>
      <c r="O7469" t="s">
        <v>61</v>
      </c>
      <c r="Q7469" t="s">
        <v>1076</v>
      </c>
      <c r="R7469" t="s">
        <v>133</v>
      </c>
      <c r="S7469" t="s">
        <v>134</v>
      </c>
      <c r="T7469" t="s">
        <v>135</v>
      </c>
    </row>
    <row r="7470" spans="1:20" x14ac:dyDescent="0.25">
      <c r="A7470" t="s">
        <v>30</v>
      </c>
      <c r="B7470" t="s">
        <v>31</v>
      </c>
      <c r="C7470" t="s">
        <v>32</v>
      </c>
      <c r="D7470" t="s">
        <v>953</v>
      </c>
      <c r="E7470" t="s">
        <v>1015</v>
      </c>
      <c r="F7470" t="s">
        <v>35</v>
      </c>
      <c r="G7470" t="s">
        <v>35</v>
      </c>
      <c r="H7470" t="s">
        <v>35</v>
      </c>
      <c r="J7470" t="s">
        <v>7417</v>
      </c>
      <c r="K7470" t="s">
        <v>1092</v>
      </c>
      <c r="M7470">
        <v>2.7E-2</v>
      </c>
      <c r="N7470">
        <v>1467</v>
      </c>
      <c r="O7470" t="s">
        <v>575</v>
      </c>
      <c r="Q7470" t="s">
        <v>2257</v>
      </c>
      <c r="R7470" t="s">
        <v>133</v>
      </c>
      <c r="S7470" t="s">
        <v>134</v>
      </c>
      <c r="T7470" t="s">
        <v>135</v>
      </c>
    </row>
    <row r="7471" spans="1:20" x14ac:dyDescent="0.25">
      <c r="A7471" t="s">
        <v>59</v>
      </c>
      <c r="B7471" t="s">
        <v>60</v>
      </c>
      <c r="C7471" t="s">
        <v>32</v>
      </c>
      <c r="D7471" t="s">
        <v>953</v>
      </c>
      <c r="E7471" t="s">
        <v>1015</v>
      </c>
      <c r="F7471" t="s">
        <v>35</v>
      </c>
      <c r="G7471" t="s">
        <v>35</v>
      </c>
      <c r="H7471" t="s">
        <v>35</v>
      </c>
      <c r="J7471" t="s">
        <v>7417</v>
      </c>
      <c r="K7471" t="s">
        <v>1092</v>
      </c>
      <c r="M7471">
        <v>0.3</v>
      </c>
      <c r="N7471">
        <v>244</v>
      </c>
      <c r="O7471" t="s">
        <v>5</v>
      </c>
      <c r="Q7471" t="s">
        <v>1688</v>
      </c>
      <c r="R7471" t="s">
        <v>133</v>
      </c>
      <c r="S7471" t="s">
        <v>134</v>
      </c>
      <c r="T7471" t="s">
        <v>135</v>
      </c>
    </row>
    <row r="7472" spans="1:20" x14ac:dyDescent="0.25">
      <c r="A7472" t="s">
        <v>59</v>
      </c>
      <c r="B7472" t="s">
        <v>31</v>
      </c>
      <c r="C7472" t="s">
        <v>32</v>
      </c>
      <c r="D7472" t="s">
        <v>953</v>
      </c>
      <c r="E7472" t="s">
        <v>1015</v>
      </c>
      <c r="F7472" t="s">
        <v>35</v>
      </c>
      <c r="G7472" t="s">
        <v>35</v>
      </c>
      <c r="H7472" t="s">
        <v>35</v>
      </c>
      <c r="J7472" t="s">
        <v>7417</v>
      </c>
      <c r="K7472" t="s">
        <v>1092</v>
      </c>
      <c r="M7472">
        <v>0.09</v>
      </c>
      <c r="N7472">
        <v>1601</v>
      </c>
      <c r="O7472" t="s">
        <v>575</v>
      </c>
      <c r="Q7472" t="s">
        <v>7418</v>
      </c>
      <c r="R7472" t="s">
        <v>133</v>
      </c>
      <c r="S7472" t="s">
        <v>134</v>
      </c>
      <c r="T7472" t="s">
        <v>135</v>
      </c>
    </row>
    <row r="7473" spans="1:20" x14ac:dyDescent="0.25">
      <c r="A7473" t="s">
        <v>59</v>
      </c>
      <c r="B7473" t="s">
        <v>60</v>
      </c>
      <c r="C7473" t="s">
        <v>32</v>
      </c>
      <c r="D7473" t="s">
        <v>953</v>
      </c>
      <c r="E7473" t="s">
        <v>1015</v>
      </c>
      <c r="F7473" t="s">
        <v>35</v>
      </c>
      <c r="G7473" t="s">
        <v>35</v>
      </c>
      <c r="H7473" t="s">
        <v>35</v>
      </c>
      <c r="J7473" t="s">
        <v>7380</v>
      </c>
      <c r="K7473" t="s">
        <v>1092</v>
      </c>
      <c r="M7473">
        <v>5</v>
      </c>
      <c r="N7473">
        <v>53</v>
      </c>
      <c r="O7473" t="s">
        <v>52</v>
      </c>
      <c r="Q7473" t="s">
        <v>1734</v>
      </c>
      <c r="R7473" t="s">
        <v>133</v>
      </c>
      <c r="S7473" t="s">
        <v>134</v>
      </c>
      <c r="T7473" t="s">
        <v>135</v>
      </c>
    </row>
    <row r="7474" spans="1:20" x14ac:dyDescent="0.25">
      <c r="A7474" t="s">
        <v>30</v>
      </c>
      <c r="B7474" t="s">
        <v>31</v>
      </c>
      <c r="C7474" t="s">
        <v>32</v>
      </c>
      <c r="D7474" t="s">
        <v>953</v>
      </c>
      <c r="E7474" t="s">
        <v>1015</v>
      </c>
      <c r="F7474" t="s">
        <v>35</v>
      </c>
      <c r="G7474" t="s">
        <v>35</v>
      </c>
      <c r="H7474" t="s">
        <v>35</v>
      </c>
      <c r="J7474" t="s">
        <v>7380</v>
      </c>
      <c r="K7474" t="s">
        <v>1092</v>
      </c>
      <c r="M7474">
        <v>4.9950000000000001</v>
      </c>
      <c r="N7474">
        <v>53</v>
      </c>
      <c r="O7474" t="s">
        <v>52</v>
      </c>
      <c r="Q7474" t="s">
        <v>1734</v>
      </c>
      <c r="R7474" t="s">
        <v>133</v>
      </c>
      <c r="S7474" t="s">
        <v>134</v>
      </c>
      <c r="T7474" t="s">
        <v>135</v>
      </c>
    </row>
    <row r="7475" spans="1:20" x14ac:dyDescent="0.25">
      <c r="A7475" t="s">
        <v>59</v>
      </c>
      <c r="B7475" t="s">
        <v>60</v>
      </c>
      <c r="C7475" t="s">
        <v>32</v>
      </c>
      <c r="D7475" t="s">
        <v>953</v>
      </c>
      <c r="E7475" t="s">
        <v>1015</v>
      </c>
      <c r="F7475" t="s">
        <v>35</v>
      </c>
      <c r="G7475" t="s">
        <v>35</v>
      </c>
      <c r="H7475" t="s">
        <v>35</v>
      </c>
      <c r="J7475" t="s">
        <v>7380</v>
      </c>
      <c r="K7475" t="s">
        <v>1092</v>
      </c>
      <c r="M7475">
        <v>1.2</v>
      </c>
      <c r="N7475">
        <v>84</v>
      </c>
      <c r="O7475" t="s">
        <v>61</v>
      </c>
      <c r="Q7475" t="s">
        <v>1147</v>
      </c>
      <c r="R7475" t="s">
        <v>133</v>
      </c>
      <c r="S7475" t="s">
        <v>134</v>
      </c>
      <c r="T7475" t="s">
        <v>135</v>
      </c>
    </row>
    <row r="7476" spans="1:20" x14ac:dyDescent="0.25">
      <c r="A7476" t="s">
        <v>59</v>
      </c>
      <c r="B7476" t="s">
        <v>60</v>
      </c>
      <c r="C7476" t="s">
        <v>32</v>
      </c>
      <c r="D7476" t="s">
        <v>953</v>
      </c>
      <c r="F7476" t="s">
        <v>35</v>
      </c>
      <c r="G7476" t="s">
        <v>35</v>
      </c>
      <c r="H7476" t="s">
        <v>35</v>
      </c>
      <c r="J7476" t="s">
        <v>8034</v>
      </c>
      <c r="K7476" t="s">
        <v>1092</v>
      </c>
      <c r="M7476">
        <v>2.0499999999999998</v>
      </c>
      <c r="N7476">
        <v>1145</v>
      </c>
      <c r="O7476" t="s">
        <v>575</v>
      </c>
      <c r="Q7476" t="s">
        <v>8035</v>
      </c>
      <c r="R7476" t="s">
        <v>133</v>
      </c>
      <c r="S7476" t="s">
        <v>134</v>
      </c>
      <c r="T7476" t="s">
        <v>135</v>
      </c>
    </row>
    <row r="7477" spans="1:20" x14ac:dyDescent="0.25">
      <c r="A7477" t="s">
        <v>59</v>
      </c>
      <c r="B7477" t="s">
        <v>60</v>
      </c>
      <c r="C7477" t="s">
        <v>32</v>
      </c>
      <c r="D7477" t="s">
        <v>953</v>
      </c>
      <c r="E7477" t="s">
        <v>1015</v>
      </c>
      <c r="F7477" t="s">
        <v>35</v>
      </c>
      <c r="G7477" t="s">
        <v>35</v>
      </c>
      <c r="H7477" t="s">
        <v>35</v>
      </c>
      <c r="J7477" t="s">
        <v>7360</v>
      </c>
      <c r="K7477" t="s">
        <v>1092</v>
      </c>
      <c r="M7477">
        <v>2</v>
      </c>
      <c r="N7477">
        <v>79</v>
      </c>
      <c r="O7477" t="s">
        <v>61</v>
      </c>
      <c r="Q7477" t="s">
        <v>1076</v>
      </c>
      <c r="R7477" t="s">
        <v>133</v>
      </c>
      <c r="S7477" t="s">
        <v>134</v>
      </c>
      <c r="T7477" t="s">
        <v>135</v>
      </c>
    </row>
    <row r="7478" spans="1:20" x14ac:dyDescent="0.25">
      <c r="A7478" t="s">
        <v>59</v>
      </c>
      <c r="B7478" t="s">
        <v>60</v>
      </c>
      <c r="C7478" t="s">
        <v>32</v>
      </c>
      <c r="D7478" t="s">
        <v>953</v>
      </c>
      <c r="F7478" t="s">
        <v>35</v>
      </c>
      <c r="G7478" t="s">
        <v>35</v>
      </c>
      <c r="H7478" t="s">
        <v>35</v>
      </c>
      <c r="J7478" t="s">
        <v>8095</v>
      </c>
      <c r="K7478" t="s">
        <v>1092</v>
      </c>
      <c r="M7478">
        <v>5</v>
      </c>
      <c r="N7478">
        <v>53</v>
      </c>
      <c r="O7478" t="s">
        <v>52</v>
      </c>
      <c r="Q7478" t="s">
        <v>1734</v>
      </c>
      <c r="R7478" t="s">
        <v>133</v>
      </c>
      <c r="S7478" t="s">
        <v>134</v>
      </c>
      <c r="T7478" t="s">
        <v>135</v>
      </c>
    </row>
    <row r="7479" spans="1:20" x14ac:dyDescent="0.25">
      <c r="A7479" t="s">
        <v>59</v>
      </c>
      <c r="B7479" t="s">
        <v>60</v>
      </c>
      <c r="C7479" t="s">
        <v>32</v>
      </c>
      <c r="D7479" t="s">
        <v>953</v>
      </c>
      <c r="F7479" t="s">
        <v>35</v>
      </c>
      <c r="G7479" t="s">
        <v>35</v>
      </c>
      <c r="H7479" t="s">
        <v>35</v>
      </c>
      <c r="J7479" t="s">
        <v>7896</v>
      </c>
      <c r="K7479" t="s">
        <v>1092</v>
      </c>
      <c r="M7479">
        <v>1.87</v>
      </c>
      <c r="N7479">
        <v>546</v>
      </c>
      <c r="O7479" t="s">
        <v>294</v>
      </c>
      <c r="Q7479" t="s">
        <v>5345</v>
      </c>
      <c r="R7479" t="s">
        <v>133</v>
      </c>
      <c r="S7479" t="s">
        <v>134</v>
      </c>
      <c r="T7479" t="s">
        <v>135</v>
      </c>
    </row>
    <row r="7480" spans="1:20" x14ac:dyDescent="0.25">
      <c r="A7480" t="s">
        <v>59</v>
      </c>
      <c r="B7480" t="s">
        <v>31</v>
      </c>
      <c r="C7480" t="s">
        <v>32</v>
      </c>
      <c r="D7480" t="s">
        <v>953</v>
      </c>
      <c r="F7480" t="s">
        <v>35</v>
      </c>
      <c r="G7480" t="s">
        <v>35</v>
      </c>
      <c r="H7480" t="s">
        <v>35</v>
      </c>
      <c r="J7480" t="s">
        <v>7896</v>
      </c>
      <c r="K7480" t="s">
        <v>1092</v>
      </c>
      <c r="M7480">
        <v>1.98</v>
      </c>
      <c r="N7480">
        <v>546</v>
      </c>
      <c r="O7480" t="s">
        <v>294</v>
      </c>
      <c r="Q7480" t="s">
        <v>5345</v>
      </c>
      <c r="R7480" t="s">
        <v>133</v>
      </c>
      <c r="S7480" t="s">
        <v>134</v>
      </c>
      <c r="T7480" t="s">
        <v>135</v>
      </c>
    </row>
    <row r="7481" spans="1:20" x14ac:dyDescent="0.25">
      <c r="A7481" t="s">
        <v>59</v>
      </c>
      <c r="B7481" t="s">
        <v>60</v>
      </c>
      <c r="C7481" t="s">
        <v>32</v>
      </c>
      <c r="D7481" t="s">
        <v>953</v>
      </c>
      <c r="E7481" t="s">
        <v>980</v>
      </c>
      <c r="F7481" t="s">
        <v>35</v>
      </c>
      <c r="G7481" t="s">
        <v>35</v>
      </c>
      <c r="H7481" t="s">
        <v>35</v>
      </c>
      <c r="J7481" t="s">
        <v>7129</v>
      </c>
      <c r="K7481" t="s">
        <v>1092</v>
      </c>
      <c r="M7481">
        <v>4.0999999999999996</v>
      </c>
      <c r="N7481">
        <v>51</v>
      </c>
      <c r="O7481" t="s">
        <v>52</v>
      </c>
      <c r="Q7481" t="s">
        <v>58</v>
      </c>
      <c r="R7481" t="s">
        <v>133</v>
      </c>
      <c r="S7481" t="s">
        <v>134</v>
      </c>
      <c r="T7481" t="s">
        <v>135</v>
      </c>
    </row>
    <row r="7482" spans="1:20" x14ac:dyDescent="0.25">
      <c r="A7482" t="s">
        <v>44</v>
      </c>
      <c r="B7482" t="s">
        <v>51</v>
      </c>
      <c r="C7482" t="s">
        <v>32</v>
      </c>
      <c r="D7482" t="s">
        <v>953</v>
      </c>
      <c r="E7482" t="s">
        <v>980</v>
      </c>
      <c r="F7482" t="s">
        <v>35</v>
      </c>
      <c r="G7482" t="s">
        <v>35</v>
      </c>
      <c r="H7482" t="s">
        <v>35</v>
      </c>
      <c r="J7482" t="s">
        <v>7129</v>
      </c>
      <c r="K7482" t="s">
        <v>1092</v>
      </c>
      <c r="M7482">
        <v>3.75</v>
      </c>
      <c r="N7482">
        <v>44</v>
      </c>
      <c r="O7482" t="s">
        <v>52</v>
      </c>
      <c r="Q7482" t="s">
        <v>54</v>
      </c>
      <c r="R7482" t="s">
        <v>133</v>
      </c>
      <c r="S7482" t="s">
        <v>134</v>
      </c>
      <c r="T7482" t="s">
        <v>135</v>
      </c>
    </row>
    <row r="7483" spans="1:20" x14ac:dyDescent="0.25">
      <c r="A7483" t="s">
        <v>59</v>
      </c>
      <c r="B7483" t="s">
        <v>31</v>
      </c>
      <c r="C7483" t="s">
        <v>32</v>
      </c>
      <c r="D7483" t="s">
        <v>953</v>
      </c>
      <c r="E7483" t="s">
        <v>980</v>
      </c>
      <c r="F7483" t="s">
        <v>35</v>
      </c>
      <c r="G7483" t="s">
        <v>35</v>
      </c>
      <c r="H7483" t="s">
        <v>35</v>
      </c>
      <c r="J7483" t="s">
        <v>7129</v>
      </c>
      <c r="K7483" t="s">
        <v>1092</v>
      </c>
      <c r="M7483">
        <v>7.1550000000000002</v>
      </c>
      <c r="N7483">
        <v>60</v>
      </c>
      <c r="O7483" t="s">
        <v>52</v>
      </c>
      <c r="Q7483" t="s">
        <v>1311</v>
      </c>
      <c r="R7483" t="s">
        <v>133</v>
      </c>
      <c r="S7483" t="s">
        <v>134</v>
      </c>
      <c r="T7483" t="s">
        <v>135</v>
      </c>
    </row>
    <row r="7484" spans="1:20" x14ac:dyDescent="0.25">
      <c r="A7484" t="s">
        <v>44</v>
      </c>
      <c r="B7484" t="s">
        <v>3</v>
      </c>
      <c r="C7484" t="s">
        <v>32</v>
      </c>
      <c r="D7484" t="s">
        <v>953</v>
      </c>
      <c r="E7484" t="s">
        <v>980</v>
      </c>
      <c r="F7484" t="s">
        <v>35</v>
      </c>
      <c r="G7484" t="s">
        <v>35</v>
      </c>
      <c r="H7484" t="s">
        <v>35</v>
      </c>
      <c r="J7484" t="s">
        <v>7129</v>
      </c>
      <c r="K7484" t="s">
        <v>1092</v>
      </c>
      <c r="M7484">
        <v>4.75</v>
      </c>
      <c r="N7484">
        <v>52</v>
      </c>
      <c r="O7484" t="s">
        <v>52</v>
      </c>
      <c r="Q7484" t="s">
        <v>84</v>
      </c>
      <c r="R7484" t="s">
        <v>133</v>
      </c>
      <c r="S7484" t="s">
        <v>134</v>
      </c>
      <c r="T7484" t="s">
        <v>135</v>
      </c>
    </row>
    <row r="7485" spans="1:20" x14ac:dyDescent="0.25">
      <c r="A7485" t="s">
        <v>59</v>
      </c>
      <c r="B7485" t="s">
        <v>31</v>
      </c>
      <c r="C7485" t="s">
        <v>32</v>
      </c>
      <c r="D7485" t="s">
        <v>953</v>
      </c>
      <c r="E7485" t="s">
        <v>1072</v>
      </c>
      <c r="F7485" t="s">
        <v>35</v>
      </c>
      <c r="G7485" t="s">
        <v>35</v>
      </c>
      <c r="H7485" t="s">
        <v>35</v>
      </c>
      <c r="J7485" t="s">
        <v>7520</v>
      </c>
      <c r="K7485" t="s">
        <v>1092</v>
      </c>
      <c r="M7485">
        <v>4.9950000000000001</v>
      </c>
      <c r="N7485">
        <v>52</v>
      </c>
      <c r="O7485" t="s">
        <v>52</v>
      </c>
      <c r="Q7485" t="s">
        <v>84</v>
      </c>
      <c r="R7485" t="s">
        <v>133</v>
      </c>
      <c r="S7485" t="s">
        <v>134</v>
      </c>
      <c r="T7485" t="s">
        <v>135</v>
      </c>
    </row>
    <row r="7486" spans="1:20" x14ac:dyDescent="0.25">
      <c r="A7486" t="s">
        <v>44</v>
      </c>
      <c r="B7486" t="s">
        <v>3</v>
      </c>
      <c r="C7486" t="s">
        <v>32</v>
      </c>
      <c r="D7486" t="s">
        <v>953</v>
      </c>
      <c r="E7486" t="s">
        <v>1072</v>
      </c>
      <c r="F7486" t="s">
        <v>35</v>
      </c>
      <c r="G7486" t="s">
        <v>35</v>
      </c>
      <c r="H7486" t="s">
        <v>35</v>
      </c>
      <c r="J7486" t="s">
        <v>7520</v>
      </c>
      <c r="K7486" t="s">
        <v>1092</v>
      </c>
      <c r="M7486">
        <v>5</v>
      </c>
      <c r="N7486">
        <v>53</v>
      </c>
      <c r="O7486" t="s">
        <v>52</v>
      </c>
      <c r="Q7486" t="s">
        <v>1734</v>
      </c>
      <c r="R7486" t="s">
        <v>133</v>
      </c>
      <c r="S7486" t="s">
        <v>134</v>
      </c>
      <c r="T7486" t="s">
        <v>135</v>
      </c>
    </row>
    <row r="7487" spans="1:20" x14ac:dyDescent="0.25">
      <c r="A7487" t="s">
        <v>30</v>
      </c>
      <c r="B7487" t="s">
        <v>31</v>
      </c>
      <c r="C7487" t="s">
        <v>32</v>
      </c>
      <c r="D7487" t="s">
        <v>953</v>
      </c>
      <c r="E7487" t="s">
        <v>954</v>
      </c>
      <c r="F7487" t="s">
        <v>35</v>
      </c>
      <c r="G7487" t="s">
        <v>35</v>
      </c>
      <c r="H7487" t="s">
        <v>35</v>
      </c>
      <c r="J7487" t="s">
        <v>6846</v>
      </c>
      <c r="K7487" t="s">
        <v>1092</v>
      </c>
      <c r="M7487">
        <v>5.04</v>
      </c>
      <c r="N7487">
        <v>132</v>
      </c>
      <c r="O7487" t="s">
        <v>38</v>
      </c>
      <c r="Q7487" t="s">
        <v>1696</v>
      </c>
      <c r="R7487" t="s">
        <v>133</v>
      </c>
      <c r="S7487" t="s">
        <v>134</v>
      </c>
      <c r="T7487" t="s">
        <v>135</v>
      </c>
    </row>
    <row r="7488" spans="1:20" x14ac:dyDescent="0.25">
      <c r="A7488" t="s">
        <v>30</v>
      </c>
      <c r="B7488" t="s">
        <v>31</v>
      </c>
      <c r="C7488" t="s">
        <v>32</v>
      </c>
      <c r="D7488" t="s">
        <v>953</v>
      </c>
      <c r="E7488" t="s">
        <v>980</v>
      </c>
      <c r="F7488" t="s">
        <v>35</v>
      </c>
      <c r="G7488" t="s">
        <v>35</v>
      </c>
      <c r="H7488" t="s">
        <v>35</v>
      </c>
      <c r="J7488" t="s">
        <v>7152</v>
      </c>
      <c r="K7488" t="s">
        <v>1092</v>
      </c>
      <c r="M7488">
        <v>0.39500000000000002</v>
      </c>
      <c r="N7488">
        <v>1057</v>
      </c>
      <c r="O7488" t="s">
        <v>575</v>
      </c>
      <c r="Q7488" t="s">
        <v>7153</v>
      </c>
      <c r="R7488" t="s">
        <v>133</v>
      </c>
      <c r="S7488" t="s">
        <v>134</v>
      </c>
      <c r="T7488" t="s">
        <v>135</v>
      </c>
    </row>
    <row r="7489" spans="1:20" x14ac:dyDescent="0.25">
      <c r="A7489" t="s">
        <v>30</v>
      </c>
      <c r="B7489" t="s">
        <v>31</v>
      </c>
      <c r="C7489" t="s">
        <v>32</v>
      </c>
      <c r="D7489" t="s">
        <v>953</v>
      </c>
      <c r="E7489" t="s">
        <v>1015</v>
      </c>
      <c r="F7489" t="s">
        <v>35</v>
      </c>
      <c r="G7489" t="s">
        <v>35</v>
      </c>
      <c r="H7489" t="s">
        <v>35</v>
      </c>
      <c r="J7489" t="s">
        <v>7435</v>
      </c>
      <c r="K7489" t="s">
        <v>1092</v>
      </c>
      <c r="M7489">
        <v>1.35</v>
      </c>
      <c r="N7489">
        <v>5</v>
      </c>
      <c r="O7489" t="s">
        <v>46</v>
      </c>
      <c r="Q7489" t="s">
        <v>1865</v>
      </c>
      <c r="R7489" t="s">
        <v>133</v>
      </c>
      <c r="S7489" t="s">
        <v>134</v>
      </c>
      <c r="T7489" t="s">
        <v>135</v>
      </c>
    </row>
    <row r="7490" spans="1:20" x14ac:dyDescent="0.25">
      <c r="A7490" t="s">
        <v>59</v>
      </c>
      <c r="B7490" t="s">
        <v>31</v>
      </c>
      <c r="C7490" t="s">
        <v>32</v>
      </c>
      <c r="D7490" t="s">
        <v>953</v>
      </c>
      <c r="E7490" t="s">
        <v>7494</v>
      </c>
      <c r="F7490" t="s">
        <v>35</v>
      </c>
      <c r="G7490" t="s">
        <v>35</v>
      </c>
      <c r="H7490" t="s">
        <v>35</v>
      </c>
      <c r="J7490" t="s">
        <v>7501</v>
      </c>
      <c r="K7490" t="s">
        <v>1092</v>
      </c>
      <c r="M7490">
        <v>8.0549999999999997</v>
      </c>
      <c r="N7490">
        <v>115</v>
      </c>
      <c r="O7490" t="s">
        <v>106</v>
      </c>
      <c r="Q7490" t="s">
        <v>3430</v>
      </c>
      <c r="R7490" t="s">
        <v>133</v>
      </c>
      <c r="S7490" t="s">
        <v>134</v>
      </c>
      <c r="T7490" t="s">
        <v>135</v>
      </c>
    </row>
    <row r="7491" spans="1:20" x14ac:dyDescent="0.25">
      <c r="A7491" t="s">
        <v>59</v>
      </c>
      <c r="B7491" t="s">
        <v>60</v>
      </c>
      <c r="C7491" t="s">
        <v>32</v>
      </c>
      <c r="D7491" t="s">
        <v>953</v>
      </c>
      <c r="E7491" t="s">
        <v>1015</v>
      </c>
      <c r="F7491" t="s">
        <v>35</v>
      </c>
      <c r="G7491" t="s">
        <v>35</v>
      </c>
      <c r="H7491" t="s">
        <v>35</v>
      </c>
      <c r="J7491" t="s">
        <v>7379</v>
      </c>
      <c r="K7491" t="s">
        <v>1092</v>
      </c>
      <c r="M7491">
        <v>0.6</v>
      </c>
      <c r="N7491">
        <v>79</v>
      </c>
      <c r="O7491" t="s">
        <v>61</v>
      </c>
      <c r="Q7491" t="s">
        <v>1076</v>
      </c>
      <c r="R7491" t="s">
        <v>133</v>
      </c>
      <c r="S7491" t="s">
        <v>134</v>
      </c>
      <c r="T7491" t="s">
        <v>135</v>
      </c>
    </row>
    <row r="7492" spans="1:20" x14ac:dyDescent="0.25">
      <c r="A7492" t="s">
        <v>59</v>
      </c>
      <c r="B7492" t="s">
        <v>31</v>
      </c>
      <c r="C7492" t="s">
        <v>32</v>
      </c>
      <c r="D7492" t="s">
        <v>953</v>
      </c>
      <c r="E7492" t="s">
        <v>1015</v>
      </c>
      <c r="F7492" t="s">
        <v>35</v>
      </c>
      <c r="G7492" t="s">
        <v>35</v>
      </c>
      <c r="H7492" t="s">
        <v>35</v>
      </c>
      <c r="J7492" t="s">
        <v>7379</v>
      </c>
      <c r="K7492" t="s">
        <v>1092</v>
      </c>
      <c r="M7492">
        <v>1.17</v>
      </c>
      <c r="N7492">
        <v>79</v>
      </c>
      <c r="O7492" t="s">
        <v>61</v>
      </c>
      <c r="Q7492" t="s">
        <v>1076</v>
      </c>
      <c r="R7492" t="s">
        <v>133</v>
      </c>
      <c r="S7492" t="s">
        <v>134</v>
      </c>
      <c r="T7492" t="s">
        <v>135</v>
      </c>
    </row>
    <row r="7493" spans="1:20" x14ac:dyDescent="0.25">
      <c r="A7493" t="s">
        <v>44</v>
      </c>
      <c r="B7493" t="s">
        <v>51</v>
      </c>
      <c r="C7493" t="s">
        <v>32</v>
      </c>
      <c r="D7493" t="s">
        <v>953</v>
      </c>
      <c r="E7493" t="s">
        <v>980</v>
      </c>
      <c r="F7493" t="s">
        <v>35</v>
      </c>
      <c r="G7493" t="s">
        <v>35</v>
      </c>
      <c r="H7493" t="s">
        <v>35</v>
      </c>
      <c r="J7493" t="s">
        <v>7083</v>
      </c>
      <c r="K7493" t="s">
        <v>1092</v>
      </c>
      <c r="M7493">
        <v>2.5</v>
      </c>
      <c r="N7493">
        <v>6</v>
      </c>
      <c r="O7493" t="s">
        <v>46</v>
      </c>
      <c r="Q7493" t="s">
        <v>310</v>
      </c>
      <c r="R7493" t="s">
        <v>133</v>
      </c>
      <c r="S7493" t="s">
        <v>134</v>
      </c>
      <c r="T7493" t="s">
        <v>135</v>
      </c>
    </row>
    <row r="7494" spans="1:20" x14ac:dyDescent="0.25">
      <c r="A7494" t="s">
        <v>30</v>
      </c>
      <c r="B7494" t="s">
        <v>31</v>
      </c>
      <c r="C7494" t="s">
        <v>32</v>
      </c>
      <c r="D7494" t="s">
        <v>953</v>
      </c>
      <c r="F7494" t="s">
        <v>35</v>
      </c>
      <c r="G7494" t="s">
        <v>35</v>
      </c>
      <c r="H7494" t="s">
        <v>35</v>
      </c>
      <c r="J7494" t="s">
        <v>7889</v>
      </c>
      <c r="K7494" t="s">
        <v>1092</v>
      </c>
      <c r="M7494">
        <v>6.93</v>
      </c>
      <c r="N7494">
        <v>13</v>
      </c>
      <c r="O7494" t="s">
        <v>46</v>
      </c>
      <c r="Q7494" t="s">
        <v>1004</v>
      </c>
      <c r="R7494" t="s">
        <v>133</v>
      </c>
      <c r="S7494" t="s">
        <v>134</v>
      </c>
      <c r="T7494" t="s">
        <v>135</v>
      </c>
    </row>
    <row r="7495" spans="1:20" x14ac:dyDescent="0.25">
      <c r="A7495" t="s">
        <v>59</v>
      </c>
      <c r="B7495" t="s">
        <v>60</v>
      </c>
      <c r="C7495" t="s">
        <v>32</v>
      </c>
      <c r="D7495" t="s">
        <v>953</v>
      </c>
      <c r="E7495" t="s">
        <v>1084</v>
      </c>
      <c r="F7495" t="s">
        <v>35</v>
      </c>
      <c r="G7495" t="s">
        <v>35</v>
      </c>
      <c r="H7495" t="s">
        <v>35</v>
      </c>
      <c r="J7495" t="s">
        <v>7827</v>
      </c>
      <c r="K7495" t="s">
        <v>1092</v>
      </c>
      <c r="M7495">
        <v>0.5</v>
      </c>
      <c r="N7495">
        <v>168</v>
      </c>
      <c r="O7495" t="s">
        <v>38</v>
      </c>
      <c r="Q7495" t="s">
        <v>1692</v>
      </c>
      <c r="R7495" t="s">
        <v>133</v>
      </c>
      <c r="S7495" t="s">
        <v>134</v>
      </c>
      <c r="T7495" t="s">
        <v>135</v>
      </c>
    </row>
    <row r="7496" spans="1:20" x14ac:dyDescent="0.25">
      <c r="A7496" t="s">
        <v>59</v>
      </c>
      <c r="B7496" t="s">
        <v>60</v>
      </c>
      <c r="C7496" t="s">
        <v>32</v>
      </c>
      <c r="D7496" t="s">
        <v>953</v>
      </c>
      <c r="F7496" t="s">
        <v>35</v>
      </c>
      <c r="G7496" t="s">
        <v>35</v>
      </c>
      <c r="H7496" t="s">
        <v>35</v>
      </c>
      <c r="J7496" t="s">
        <v>7903</v>
      </c>
      <c r="K7496" t="s">
        <v>1092</v>
      </c>
      <c r="M7496">
        <v>0.35</v>
      </c>
      <c r="N7496">
        <v>79</v>
      </c>
      <c r="O7496" t="s">
        <v>61</v>
      </c>
      <c r="Q7496" t="s">
        <v>1076</v>
      </c>
      <c r="R7496" t="s">
        <v>133</v>
      </c>
      <c r="S7496" t="s">
        <v>134</v>
      </c>
      <c r="T7496" t="s">
        <v>135</v>
      </c>
    </row>
    <row r="7497" spans="1:20" x14ac:dyDescent="0.25">
      <c r="A7497" t="s">
        <v>59</v>
      </c>
      <c r="B7497" t="s">
        <v>31</v>
      </c>
      <c r="C7497" t="s">
        <v>32</v>
      </c>
      <c r="D7497" t="s">
        <v>953</v>
      </c>
      <c r="F7497" t="s">
        <v>35</v>
      </c>
      <c r="G7497" t="s">
        <v>35</v>
      </c>
      <c r="H7497" t="s">
        <v>35</v>
      </c>
      <c r="J7497" t="s">
        <v>7903</v>
      </c>
      <c r="K7497" t="s">
        <v>1092</v>
      </c>
      <c r="M7497">
        <v>0.09</v>
      </c>
      <c r="N7497">
        <v>79</v>
      </c>
      <c r="O7497" t="s">
        <v>61</v>
      </c>
      <c r="Q7497" t="s">
        <v>1076</v>
      </c>
      <c r="R7497" t="s">
        <v>133</v>
      </c>
      <c r="S7497" t="s">
        <v>134</v>
      </c>
      <c r="T7497" t="s">
        <v>135</v>
      </c>
    </row>
    <row r="7498" spans="1:20" x14ac:dyDescent="0.25">
      <c r="A7498" t="s">
        <v>59</v>
      </c>
      <c r="B7498" t="s">
        <v>60</v>
      </c>
      <c r="C7498" t="s">
        <v>32</v>
      </c>
      <c r="D7498" t="s">
        <v>953</v>
      </c>
      <c r="E7498" t="s">
        <v>1015</v>
      </c>
      <c r="F7498" t="s">
        <v>35</v>
      </c>
      <c r="G7498" t="s">
        <v>35</v>
      </c>
      <c r="H7498" t="s">
        <v>35</v>
      </c>
      <c r="J7498" t="s">
        <v>7345</v>
      </c>
      <c r="K7498" t="s">
        <v>1092</v>
      </c>
      <c r="M7498">
        <v>6.25</v>
      </c>
      <c r="N7498">
        <v>53</v>
      </c>
      <c r="O7498" t="s">
        <v>52</v>
      </c>
      <c r="Q7498" t="s">
        <v>1734</v>
      </c>
      <c r="R7498" t="s">
        <v>133</v>
      </c>
      <c r="S7498" t="s">
        <v>134</v>
      </c>
      <c r="T7498" t="s">
        <v>135</v>
      </c>
    </row>
    <row r="7499" spans="1:20" x14ac:dyDescent="0.25">
      <c r="A7499" t="s">
        <v>59</v>
      </c>
      <c r="B7499" t="s">
        <v>31</v>
      </c>
      <c r="C7499" t="s">
        <v>32</v>
      </c>
      <c r="D7499" t="s">
        <v>953</v>
      </c>
      <c r="E7499" t="s">
        <v>980</v>
      </c>
      <c r="F7499" t="s">
        <v>35</v>
      </c>
      <c r="G7499" t="s">
        <v>35</v>
      </c>
      <c r="H7499" t="s">
        <v>35</v>
      </c>
      <c r="J7499" t="s">
        <v>7084</v>
      </c>
      <c r="K7499" t="s">
        <v>1092</v>
      </c>
      <c r="M7499">
        <v>8.01</v>
      </c>
      <c r="N7499">
        <v>133</v>
      </c>
      <c r="O7499" t="s">
        <v>38</v>
      </c>
      <c r="Q7499" t="s">
        <v>609</v>
      </c>
      <c r="R7499" t="s">
        <v>133</v>
      </c>
      <c r="S7499" t="s">
        <v>134</v>
      </c>
      <c r="T7499" t="s">
        <v>135</v>
      </c>
    </row>
    <row r="7500" spans="1:20" x14ac:dyDescent="0.25">
      <c r="A7500" t="s">
        <v>59</v>
      </c>
      <c r="B7500" t="s">
        <v>60</v>
      </c>
      <c r="C7500" t="s">
        <v>32</v>
      </c>
      <c r="D7500" t="s">
        <v>953</v>
      </c>
      <c r="E7500" t="s">
        <v>7467</v>
      </c>
      <c r="F7500" t="s">
        <v>35</v>
      </c>
      <c r="G7500" t="s">
        <v>35</v>
      </c>
      <c r="H7500" t="s">
        <v>35</v>
      </c>
      <c r="J7500" t="s">
        <v>7241</v>
      </c>
      <c r="K7500" t="s">
        <v>1092</v>
      </c>
      <c r="M7500">
        <v>0.75</v>
      </c>
      <c r="N7500">
        <v>42</v>
      </c>
      <c r="O7500" t="s">
        <v>52</v>
      </c>
      <c r="Q7500" t="s">
        <v>219</v>
      </c>
      <c r="R7500" t="s">
        <v>133</v>
      </c>
      <c r="S7500" t="s">
        <v>134</v>
      </c>
      <c r="T7500" t="s">
        <v>135</v>
      </c>
    </row>
    <row r="7501" spans="1:20" x14ac:dyDescent="0.25">
      <c r="A7501" t="s">
        <v>30</v>
      </c>
      <c r="B7501" t="s">
        <v>31</v>
      </c>
      <c r="C7501" t="s">
        <v>32</v>
      </c>
      <c r="D7501" t="s">
        <v>953</v>
      </c>
      <c r="E7501" t="s">
        <v>7467</v>
      </c>
      <c r="F7501" t="s">
        <v>35</v>
      </c>
      <c r="G7501" t="s">
        <v>35</v>
      </c>
      <c r="H7501" t="s">
        <v>35</v>
      </c>
      <c r="J7501" t="s">
        <v>7241</v>
      </c>
      <c r="K7501" t="s">
        <v>1092</v>
      </c>
      <c r="M7501">
        <v>1.395</v>
      </c>
      <c r="N7501">
        <v>19</v>
      </c>
      <c r="O7501" t="s">
        <v>46</v>
      </c>
      <c r="Q7501" t="s">
        <v>94</v>
      </c>
      <c r="R7501" t="s">
        <v>133</v>
      </c>
      <c r="S7501" t="s">
        <v>134</v>
      </c>
      <c r="T7501" t="s">
        <v>135</v>
      </c>
    </row>
    <row r="7502" spans="1:20" x14ac:dyDescent="0.25">
      <c r="A7502" t="s">
        <v>44</v>
      </c>
      <c r="B7502" t="s">
        <v>3</v>
      </c>
      <c r="C7502" t="s">
        <v>32</v>
      </c>
      <c r="D7502" t="s">
        <v>953</v>
      </c>
      <c r="E7502" t="s">
        <v>7467</v>
      </c>
      <c r="F7502" t="s">
        <v>35</v>
      </c>
      <c r="G7502" t="s">
        <v>35</v>
      </c>
      <c r="H7502" t="s">
        <v>35</v>
      </c>
      <c r="J7502" t="s">
        <v>7241</v>
      </c>
      <c r="K7502" t="s">
        <v>1092</v>
      </c>
      <c r="M7502">
        <v>1</v>
      </c>
      <c r="N7502">
        <v>53</v>
      </c>
      <c r="O7502" t="s">
        <v>52</v>
      </c>
      <c r="Q7502" t="s">
        <v>1734</v>
      </c>
      <c r="R7502" t="s">
        <v>133</v>
      </c>
      <c r="S7502" t="s">
        <v>134</v>
      </c>
      <c r="T7502" t="s">
        <v>135</v>
      </c>
    </row>
    <row r="7503" spans="1:20" x14ac:dyDescent="0.25">
      <c r="A7503" t="s">
        <v>59</v>
      </c>
      <c r="B7503" t="s">
        <v>31</v>
      </c>
      <c r="C7503" t="s">
        <v>32</v>
      </c>
      <c r="D7503" t="s">
        <v>953</v>
      </c>
      <c r="E7503" t="s">
        <v>7467</v>
      </c>
      <c r="F7503" t="s">
        <v>35</v>
      </c>
      <c r="G7503" t="s">
        <v>35</v>
      </c>
      <c r="H7503" t="s">
        <v>35</v>
      </c>
      <c r="J7503" t="s">
        <v>7241</v>
      </c>
      <c r="K7503" t="s">
        <v>1092</v>
      </c>
      <c r="M7503">
        <v>1.35</v>
      </c>
      <c r="N7503">
        <v>79</v>
      </c>
      <c r="O7503" t="s">
        <v>61</v>
      </c>
      <c r="Q7503" t="s">
        <v>1076</v>
      </c>
      <c r="R7503" t="s">
        <v>133</v>
      </c>
      <c r="S7503" t="s">
        <v>134</v>
      </c>
      <c r="T7503" t="s">
        <v>135</v>
      </c>
    </row>
    <row r="7504" spans="1:20" x14ac:dyDescent="0.25">
      <c r="A7504" t="s">
        <v>59</v>
      </c>
      <c r="B7504" t="s">
        <v>60</v>
      </c>
      <c r="C7504" t="s">
        <v>32</v>
      </c>
      <c r="D7504" t="s">
        <v>953</v>
      </c>
      <c r="E7504" t="s">
        <v>7467</v>
      </c>
      <c r="F7504" t="s">
        <v>35</v>
      </c>
      <c r="G7504" t="s">
        <v>35</v>
      </c>
      <c r="H7504" t="s">
        <v>35</v>
      </c>
      <c r="J7504" t="s">
        <v>7241</v>
      </c>
      <c r="K7504" t="s">
        <v>1092</v>
      </c>
      <c r="M7504">
        <v>1</v>
      </c>
      <c r="N7504">
        <v>66</v>
      </c>
      <c r="O7504" t="s">
        <v>61</v>
      </c>
      <c r="Q7504" t="s">
        <v>552</v>
      </c>
      <c r="R7504" t="s">
        <v>133</v>
      </c>
      <c r="S7504" t="s">
        <v>134</v>
      </c>
      <c r="T7504" t="s">
        <v>135</v>
      </c>
    </row>
    <row r="7505" spans="1:20" x14ac:dyDescent="0.25">
      <c r="A7505" t="s">
        <v>59</v>
      </c>
      <c r="B7505" t="s">
        <v>60</v>
      </c>
      <c r="C7505" t="s">
        <v>32</v>
      </c>
      <c r="D7505" t="s">
        <v>953</v>
      </c>
      <c r="E7505" t="s">
        <v>7467</v>
      </c>
      <c r="F7505" t="s">
        <v>35</v>
      </c>
      <c r="G7505" t="s">
        <v>35</v>
      </c>
      <c r="H7505" t="s">
        <v>35</v>
      </c>
      <c r="J7505" t="s">
        <v>7241</v>
      </c>
      <c r="K7505" t="s">
        <v>1092</v>
      </c>
      <c r="M7505">
        <v>0.5</v>
      </c>
      <c r="N7505">
        <v>69</v>
      </c>
      <c r="O7505" t="s">
        <v>61</v>
      </c>
      <c r="Q7505" t="s">
        <v>234</v>
      </c>
      <c r="R7505" t="s">
        <v>133</v>
      </c>
      <c r="S7505" t="s">
        <v>134</v>
      </c>
      <c r="T7505" t="s">
        <v>135</v>
      </c>
    </row>
    <row r="7506" spans="1:20" x14ac:dyDescent="0.25">
      <c r="A7506" t="s">
        <v>59</v>
      </c>
      <c r="B7506" t="s">
        <v>60</v>
      </c>
      <c r="C7506" t="s">
        <v>32</v>
      </c>
      <c r="D7506" t="s">
        <v>953</v>
      </c>
      <c r="E7506" t="s">
        <v>7467</v>
      </c>
      <c r="F7506" t="s">
        <v>35</v>
      </c>
      <c r="G7506" t="s">
        <v>35</v>
      </c>
      <c r="H7506" t="s">
        <v>35</v>
      </c>
      <c r="J7506" t="s">
        <v>7241</v>
      </c>
      <c r="K7506" t="s">
        <v>1092</v>
      </c>
      <c r="M7506">
        <v>0.45</v>
      </c>
      <c r="N7506">
        <v>79</v>
      </c>
      <c r="O7506" t="s">
        <v>61</v>
      </c>
      <c r="Q7506" t="s">
        <v>1076</v>
      </c>
      <c r="R7506" t="s">
        <v>133</v>
      </c>
      <c r="S7506" t="s">
        <v>134</v>
      </c>
      <c r="T7506" t="s">
        <v>135</v>
      </c>
    </row>
    <row r="7507" spans="1:20" x14ac:dyDescent="0.25">
      <c r="A7507" t="s">
        <v>59</v>
      </c>
      <c r="B7507" t="s">
        <v>60</v>
      </c>
      <c r="C7507" t="s">
        <v>32</v>
      </c>
      <c r="D7507" t="s">
        <v>953</v>
      </c>
      <c r="E7507" t="s">
        <v>7467</v>
      </c>
      <c r="F7507" t="s">
        <v>35</v>
      </c>
      <c r="G7507" t="s">
        <v>35</v>
      </c>
      <c r="H7507" t="s">
        <v>35</v>
      </c>
      <c r="J7507" t="s">
        <v>7241</v>
      </c>
      <c r="K7507" t="s">
        <v>1092</v>
      </c>
      <c r="M7507">
        <v>2</v>
      </c>
      <c r="N7507">
        <v>150</v>
      </c>
      <c r="O7507" t="s">
        <v>38</v>
      </c>
      <c r="Q7507" t="s">
        <v>1145</v>
      </c>
      <c r="R7507" t="s">
        <v>133</v>
      </c>
      <c r="S7507" t="s">
        <v>134</v>
      </c>
      <c r="T7507" t="s">
        <v>135</v>
      </c>
    </row>
    <row r="7508" spans="1:20" x14ac:dyDescent="0.25">
      <c r="A7508" t="s">
        <v>59</v>
      </c>
      <c r="B7508" t="s">
        <v>31</v>
      </c>
      <c r="C7508" t="s">
        <v>32</v>
      </c>
      <c r="D7508" t="s">
        <v>953</v>
      </c>
      <c r="E7508" t="s">
        <v>6878</v>
      </c>
      <c r="F7508" t="s">
        <v>35</v>
      </c>
      <c r="G7508" t="s">
        <v>35</v>
      </c>
      <c r="H7508" t="s">
        <v>35</v>
      </c>
      <c r="J7508" t="s">
        <v>628</v>
      </c>
      <c r="K7508" t="s">
        <v>1092</v>
      </c>
      <c r="M7508">
        <v>3.5550000000000002</v>
      </c>
      <c r="N7508">
        <v>84</v>
      </c>
      <c r="O7508" t="s">
        <v>61</v>
      </c>
      <c r="Q7508" t="s">
        <v>1147</v>
      </c>
      <c r="R7508" t="s">
        <v>133</v>
      </c>
      <c r="S7508" t="s">
        <v>134</v>
      </c>
      <c r="T7508" t="s">
        <v>135</v>
      </c>
    </row>
    <row r="7509" spans="1:20" x14ac:dyDescent="0.25">
      <c r="A7509" t="s">
        <v>59</v>
      </c>
      <c r="B7509" t="s">
        <v>60</v>
      </c>
      <c r="C7509" t="s">
        <v>32</v>
      </c>
      <c r="D7509" t="s">
        <v>953</v>
      </c>
      <c r="E7509" t="s">
        <v>6878</v>
      </c>
      <c r="F7509" t="s">
        <v>35</v>
      </c>
      <c r="G7509" t="s">
        <v>35</v>
      </c>
      <c r="H7509" t="s">
        <v>35</v>
      </c>
      <c r="J7509" t="s">
        <v>628</v>
      </c>
      <c r="K7509" t="s">
        <v>1092</v>
      </c>
      <c r="M7509">
        <v>5</v>
      </c>
      <c r="N7509">
        <v>84</v>
      </c>
      <c r="O7509" t="s">
        <v>61</v>
      </c>
      <c r="Q7509" t="s">
        <v>1147</v>
      </c>
      <c r="R7509" t="s">
        <v>133</v>
      </c>
      <c r="S7509" t="s">
        <v>134</v>
      </c>
      <c r="T7509" t="s">
        <v>135</v>
      </c>
    </row>
    <row r="7510" spans="1:20" x14ac:dyDescent="0.25">
      <c r="A7510" t="s">
        <v>30</v>
      </c>
      <c r="B7510" t="s">
        <v>31</v>
      </c>
      <c r="C7510" t="s">
        <v>32</v>
      </c>
      <c r="D7510" t="s">
        <v>953</v>
      </c>
      <c r="E7510" t="s">
        <v>6878</v>
      </c>
      <c r="F7510" t="s">
        <v>35</v>
      </c>
      <c r="G7510" t="s">
        <v>35</v>
      </c>
      <c r="H7510" t="s">
        <v>35</v>
      </c>
      <c r="J7510" t="s">
        <v>628</v>
      </c>
      <c r="K7510" t="s">
        <v>1092</v>
      </c>
      <c r="M7510">
        <v>5.0000000000000001E-3</v>
      </c>
      <c r="N7510">
        <v>1242</v>
      </c>
      <c r="O7510" t="s">
        <v>575</v>
      </c>
      <c r="Q7510" t="s">
        <v>3627</v>
      </c>
      <c r="R7510" t="s">
        <v>133</v>
      </c>
      <c r="S7510" t="s">
        <v>134</v>
      </c>
      <c r="T7510" t="s">
        <v>135</v>
      </c>
    </row>
    <row r="7511" spans="1:20" x14ac:dyDescent="0.25">
      <c r="A7511" t="s">
        <v>59</v>
      </c>
      <c r="B7511" t="s">
        <v>60</v>
      </c>
      <c r="C7511" t="s">
        <v>32</v>
      </c>
      <c r="D7511" t="s">
        <v>953</v>
      </c>
      <c r="E7511" t="s">
        <v>6878</v>
      </c>
      <c r="F7511" t="s">
        <v>35</v>
      </c>
      <c r="G7511" t="s">
        <v>35</v>
      </c>
      <c r="H7511" t="s">
        <v>35</v>
      </c>
      <c r="J7511" t="s">
        <v>628</v>
      </c>
      <c r="K7511" t="s">
        <v>1092</v>
      </c>
      <c r="M7511">
        <v>1.5</v>
      </c>
      <c r="N7511">
        <v>216</v>
      </c>
      <c r="O7511" t="s">
        <v>5</v>
      </c>
      <c r="Q7511" t="s">
        <v>3310</v>
      </c>
      <c r="R7511" t="s">
        <v>133</v>
      </c>
      <c r="S7511" t="s">
        <v>134</v>
      </c>
      <c r="T7511" t="s">
        <v>135</v>
      </c>
    </row>
    <row r="7512" spans="1:20" x14ac:dyDescent="0.25">
      <c r="A7512" t="s">
        <v>59</v>
      </c>
      <c r="B7512" t="s">
        <v>60</v>
      </c>
      <c r="C7512" t="s">
        <v>32</v>
      </c>
      <c r="D7512" t="s">
        <v>953</v>
      </c>
      <c r="E7512" t="s">
        <v>6878</v>
      </c>
      <c r="F7512" t="s">
        <v>35</v>
      </c>
      <c r="G7512" t="s">
        <v>35</v>
      </c>
      <c r="H7512" t="s">
        <v>35</v>
      </c>
      <c r="J7512" t="s">
        <v>628</v>
      </c>
      <c r="K7512" t="s">
        <v>1092</v>
      </c>
      <c r="M7512">
        <v>1.4999999999999999E-2</v>
      </c>
      <c r="N7512">
        <v>1242</v>
      </c>
      <c r="O7512" t="s">
        <v>575</v>
      </c>
      <c r="Q7512" t="s">
        <v>3627</v>
      </c>
      <c r="R7512" t="s">
        <v>133</v>
      </c>
      <c r="S7512" t="s">
        <v>134</v>
      </c>
      <c r="T7512" t="s">
        <v>135</v>
      </c>
    </row>
    <row r="7513" spans="1:20" x14ac:dyDescent="0.25">
      <c r="A7513" t="s">
        <v>59</v>
      </c>
      <c r="B7513" t="s">
        <v>60</v>
      </c>
      <c r="C7513" t="s">
        <v>32</v>
      </c>
      <c r="D7513" t="s">
        <v>953</v>
      </c>
      <c r="E7513" t="s">
        <v>1015</v>
      </c>
      <c r="F7513" t="s">
        <v>35</v>
      </c>
      <c r="G7513" t="s">
        <v>35</v>
      </c>
      <c r="H7513" t="s">
        <v>35</v>
      </c>
      <c r="J7513" t="s">
        <v>628</v>
      </c>
      <c r="K7513" t="s">
        <v>1092</v>
      </c>
      <c r="M7513">
        <v>1</v>
      </c>
      <c r="N7513">
        <v>69</v>
      </c>
      <c r="O7513" t="s">
        <v>61</v>
      </c>
      <c r="Q7513" t="s">
        <v>234</v>
      </c>
      <c r="R7513" t="s">
        <v>133</v>
      </c>
      <c r="S7513" t="s">
        <v>134</v>
      </c>
      <c r="T7513" t="s">
        <v>135</v>
      </c>
    </row>
    <row r="7514" spans="1:20" x14ac:dyDescent="0.25">
      <c r="A7514" t="s">
        <v>44</v>
      </c>
      <c r="B7514" t="s">
        <v>3</v>
      </c>
      <c r="C7514" t="s">
        <v>32</v>
      </c>
      <c r="D7514" t="s">
        <v>953</v>
      </c>
      <c r="E7514" t="s">
        <v>1015</v>
      </c>
      <c r="F7514" t="s">
        <v>35</v>
      </c>
      <c r="G7514" t="s">
        <v>35</v>
      </c>
      <c r="H7514" t="s">
        <v>35</v>
      </c>
      <c r="J7514" t="s">
        <v>628</v>
      </c>
      <c r="K7514" t="s">
        <v>1092</v>
      </c>
      <c r="M7514">
        <v>0.25</v>
      </c>
      <c r="N7514">
        <v>25</v>
      </c>
      <c r="O7514" t="s">
        <v>46</v>
      </c>
      <c r="Q7514" t="s">
        <v>547</v>
      </c>
      <c r="R7514" t="s">
        <v>133</v>
      </c>
      <c r="S7514" t="s">
        <v>134</v>
      </c>
      <c r="T7514" t="s">
        <v>135</v>
      </c>
    </row>
    <row r="7515" spans="1:20" x14ac:dyDescent="0.25">
      <c r="A7515" t="s">
        <v>59</v>
      </c>
      <c r="B7515" t="s">
        <v>60</v>
      </c>
      <c r="C7515" t="s">
        <v>32</v>
      </c>
      <c r="D7515" t="s">
        <v>953</v>
      </c>
      <c r="E7515" t="s">
        <v>7467</v>
      </c>
      <c r="F7515" t="s">
        <v>35</v>
      </c>
      <c r="G7515" t="s">
        <v>35</v>
      </c>
      <c r="H7515" t="s">
        <v>35</v>
      </c>
      <c r="J7515" t="s">
        <v>628</v>
      </c>
      <c r="K7515" t="s">
        <v>1092</v>
      </c>
      <c r="M7515">
        <v>4.5</v>
      </c>
      <c r="N7515">
        <v>688</v>
      </c>
      <c r="O7515" t="s">
        <v>575</v>
      </c>
      <c r="Q7515" t="s">
        <v>7491</v>
      </c>
      <c r="R7515" t="s">
        <v>133</v>
      </c>
      <c r="S7515" t="s">
        <v>134</v>
      </c>
      <c r="T7515" t="s">
        <v>135</v>
      </c>
    </row>
    <row r="7516" spans="1:20" x14ac:dyDescent="0.25">
      <c r="A7516" t="s">
        <v>30</v>
      </c>
      <c r="B7516" t="s">
        <v>31</v>
      </c>
      <c r="C7516" t="s">
        <v>32</v>
      </c>
      <c r="D7516" t="s">
        <v>953</v>
      </c>
      <c r="E7516" t="s">
        <v>1015</v>
      </c>
      <c r="F7516" t="s">
        <v>35</v>
      </c>
      <c r="G7516" t="s">
        <v>35</v>
      </c>
      <c r="H7516" t="s">
        <v>35</v>
      </c>
      <c r="J7516" t="s">
        <v>7367</v>
      </c>
      <c r="K7516" t="s">
        <v>1092</v>
      </c>
      <c r="M7516">
        <v>9.99</v>
      </c>
      <c r="N7516">
        <v>13</v>
      </c>
      <c r="O7516" t="s">
        <v>46</v>
      </c>
      <c r="Q7516" t="s">
        <v>1004</v>
      </c>
      <c r="R7516" t="s">
        <v>133</v>
      </c>
      <c r="S7516" t="s">
        <v>134</v>
      </c>
      <c r="T7516" t="s">
        <v>135</v>
      </c>
    </row>
    <row r="7517" spans="1:20" x14ac:dyDescent="0.25">
      <c r="A7517" t="s">
        <v>44</v>
      </c>
      <c r="B7517" t="s">
        <v>3</v>
      </c>
      <c r="C7517" t="s">
        <v>32</v>
      </c>
      <c r="D7517" t="s">
        <v>953</v>
      </c>
      <c r="E7517" t="s">
        <v>1015</v>
      </c>
      <c r="F7517" t="s">
        <v>35</v>
      </c>
      <c r="G7517" t="s">
        <v>35</v>
      </c>
      <c r="H7517" t="s">
        <v>35</v>
      </c>
      <c r="J7517" t="s">
        <v>7436</v>
      </c>
      <c r="K7517" t="s">
        <v>1092</v>
      </c>
      <c r="M7517">
        <v>5</v>
      </c>
      <c r="N7517">
        <v>58</v>
      </c>
      <c r="O7517" t="s">
        <v>52</v>
      </c>
      <c r="Q7517" t="s">
        <v>128</v>
      </c>
      <c r="R7517" t="s">
        <v>133</v>
      </c>
      <c r="S7517" t="s">
        <v>134</v>
      </c>
      <c r="T7517" t="s">
        <v>135</v>
      </c>
    </row>
    <row r="7518" spans="1:20" x14ac:dyDescent="0.25">
      <c r="A7518" t="s">
        <v>59</v>
      </c>
      <c r="B7518" t="s">
        <v>60</v>
      </c>
      <c r="C7518" t="s">
        <v>32</v>
      </c>
      <c r="D7518" t="s">
        <v>953</v>
      </c>
      <c r="E7518" t="s">
        <v>1015</v>
      </c>
      <c r="F7518" t="s">
        <v>35</v>
      </c>
      <c r="G7518" t="s">
        <v>35</v>
      </c>
      <c r="H7518" t="s">
        <v>35</v>
      </c>
      <c r="J7518" t="s">
        <v>7436</v>
      </c>
      <c r="K7518" t="s">
        <v>1092</v>
      </c>
      <c r="M7518">
        <v>5</v>
      </c>
      <c r="N7518">
        <v>52</v>
      </c>
      <c r="O7518" t="s">
        <v>52</v>
      </c>
      <c r="Q7518" t="s">
        <v>84</v>
      </c>
      <c r="R7518" t="s">
        <v>133</v>
      </c>
      <c r="S7518" t="s">
        <v>134</v>
      </c>
      <c r="T7518" t="s">
        <v>135</v>
      </c>
    </row>
    <row r="7519" spans="1:20" x14ac:dyDescent="0.25">
      <c r="A7519" t="s">
        <v>30</v>
      </c>
      <c r="B7519" t="s">
        <v>31</v>
      </c>
      <c r="C7519" t="s">
        <v>32</v>
      </c>
      <c r="D7519" t="s">
        <v>953</v>
      </c>
      <c r="E7519" t="s">
        <v>1015</v>
      </c>
      <c r="F7519" t="s">
        <v>35</v>
      </c>
      <c r="G7519" t="s">
        <v>35</v>
      </c>
      <c r="H7519" t="s">
        <v>35</v>
      </c>
      <c r="J7519" t="s">
        <v>7436</v>
      </c>
      <c r="K7519" t="s">
        <v>1092</v>
      </c>
      <c r="M7519">
        <v>4.9950000000000001</v>
      </c>
      <c r="N7519">
        <v>53</v>
      </c>
      <c r="O7519" t="s">
        <v>52</v>
      </c>
      <c r="Q7519" t="s">
        <v>1734</v>
      </c>
      <c r="R7519" t="s">
        <v>133</v>
      </c>
      <c r="S7519" t="s">
        <v>134</v>
      </c>
      <c r="T7519" t="s">
        <v>135</v>
      </c>
    </row>
    <row r="7520" spans="1:20" x14ac:dyDescent="0.25">
      <c r="A7520" t="s">
        <v>59</v>
      </c>
      <c r="B7520" t="s">
        <v>60</v>
      </c>
      <c r="C7520" t="s">
        <v>32</v>
      </c>
      <c r="D7520" t="s">
        <v>953</v>
      </c>
      <c r="E7520" t="s">
        <v>1015</v>
      </c>
      <c r="F7520" t="s">
        <v>35</v>
      </c>
      <c r="G7520" t="s">
        <v>35</v>
      </c>
      <c r="H7520" t="s">
        <v>35</v>
      </c>
      <c r="J7520" t="s">
        <v>7436</v>
      </c>
      <c r="K7520" t="s">
        <v>1092</v>
      </c>
      <c r="M7520">
        <v>4</v>
      </c>
      <c r="N7520">
        <v>136</v>
      </c>
      <c r="O7520" t="s">
        <v>38</v>
      </c>
      <c r="Q7520" t="s">
        <v>2121</v>
      </c>
      <c r="R7520" t="s">
        <v>133</v>
      </c>
      <c r="S7520" t="s">
        <v>134</v>
      </c>
      <c r="T7520" t="s">
        <v>135</v>
      </c>
    </row>
    <row r="7521" spans="1:20" x14ac:dyDescent="0.25">
      <c r="A7521" t="s">
        <v>59</v>
      </c>
      <c r="B7521" t="s">
        <v>60</v>
      </c>
      <c r="C7521" t="s">
        <v>32</v>
      </c>
      <c r="D7521" t="s">
        <v>953</v>
      </c>
      <c r="E7521" t="s">
        <v>7740</v>
      </c>
      <c r="F7521" t="s">
        <v>35</v>
      </c>
      <c r="G7521" t="s">
        <v>35</v>
      </c>
      <c r="H7521" t="s">
        <v>35</v>
      </c>
      <c r="J7521" t="s">
        <v>7767</v>
      </c>
      <c r="K7521" t="s">
        <v>1092</v>
      </c>
      <c r="M7521">
        <v>0.5</v>
      </c>
      <c r="N7521">
        <v>115</v>
      </c>
      <c r="O7521" t="s">
        <v>106</v>
      </c>
      <c r="Q7521" t="s">
        <v>3430</v>
      </c>
      <c r="R7521" t="s">
        <v>133</v>
      </c>
      <c r="S7521" t="s">
        <v>134</v>
      </c>
      <c r="T7521" t="s">
        <v>135</v>
      </c>
    </row>
    <row r="7522" spans="1:20" x14ac:dyDescent="0.25">
      <c r="A7522" t="s">
        <v>59</v>
      </c>
      <c r="B7522" t="s">
        <v>31</v>
      </c>
      <c r="C7522" t="s">
        <v>32</v>
      </c>
      <c r="D7522" t="s">
        <v>953</v>
      </c>
      <c r="F7522" t="s">
        <v>35</v>
      </c>
      <c r="G7522" t="s">
        <v>35</v>
      </c>
      <c r="H7522" t="s">
        <v>35</v>
      </c>
      <c r="J7522" t="s">
        <v>8064</v>
      </c>
      <c r="K7522" t="s">
        <v>1092</v>
      </c>
      <c r="M7522">
        <v>1.97</v>
      </c>
      <c r="N7522">
        <v>1193</v>
      </c>
      <c r="O7522" t="s">
        <v>575</v>
      </c>
      <c r="Q7522" t="s">
        <v>3747</v>
      </c>
      <c r="R7522" t="s">
        <v>133</v>
      </c>
      <c r="S7522" t="s">
        <v>134</v>
      </c>
      <c r="T7522" t="s">
        <v>135</v>
      </c>
    </row>
    <row r="7523" spans="1:20" x14ac:dyDescent="0.25">
      <c r="A7523" t="s">
        <v>59</v>
      </c>
      <c r="B7523" t="s">
        <v>60</v>
      </c>
      <c r="C7523" t="s">
        <v>32</v>
      </c>
      <c r="D7523" t="s">
        <v>953</v>
      </c>
      <c r="E7523" t="s">
        <v>1015</v>
      </c>
      <c r="F7523" t="s">
        <v>35</v>
      </c>
      <c r="G7523" t="s">
        <v>35</v>
      </c>
      <c r="H7523" t="s">
        <v>35</v>
      </c>
      <c r="J7523" t="s">
        <v>7384</v>
      </c>
      <c r="K7523" t="s">
        <v>1092</v>
      </c>
      <c r="M7523">
        <v>0.45</v>
      </c>
      <c r="N7523">
        <v>31</v>
      </c>
      <c r="O7523" t="s">
        <v>52</v>
      </c>
      <c r="Q7523" t="s">
        <v>748</v>
      </c>
      <c r="R7523" t="s">
        <v>133</v>
      </c>
      <c r="S7523" t="s">
        <v>134</v>
      </c>
      <c r="T7523" t="s">
        <v>135</v>
      </c>
    </row>
    <row r="7524" spans="1:20" x14ac:dyDescent="0.25">
      <c r="A7524" t="s">
        <v>44</v>
      </c>
      <c r="B7524" t="s">
        <v>3</v>
      </c>
      <c r="C7524" t="s">
        <v>32</v>
      </c>
      <c r="D7524" t="s">
        <v>953</v>
      </c>
      <c r="E7524" t="s">
        <v>1015</v>
      </c>
      <c r="F7524" t="s">
        <v>35</v>
      </c>
      <c r="G7524" t="s">
        <v>35</v>
      </c>
      <c r="H7524" t="s">
        <v>35</v>
      </c>
      <c r="J7524" t="s">
        <v>7384</v>
      </c>
      <c r="K7524" t="s">
        <v>1092</v>
      </c>
      <c r="M7524">
        <v>0.25</v>
      </c>
      <c r="N7524">
        <v>25</v>
      </c>
      <c r="O7524" t="s">
        <v>46</v>
      </c>
      <c r="Q7524" t="s">
        <v>547</v>
      </c>
      <c r="R7524" t="s">
        <v>133</v>
      </c>
      <c r="S7524" t="s">
        <v>134</v>
      </c>
      <c r="T7524" t="s">
        <v>135</v>
      </c>
    </row>
    <row r="7525" spans="1:20" x14ac:dyDescent="0.25">
      <c r="A7525" t="s">
        <v>59</v>
      </c>
      <c r="B7525" t="s">
        <v>31</v>
      </c>
      <c r="C7525" t="s">
        <v>32</v>
      </c>
      <c r="D7525" t="s">
        <v>953</v>
      </c>
      <c r="E7525" t="s">
        <v>1015</v>
      </c>
      <c r="F7525" t="s">
        <v>35</v>
      </c>
      <c r="G7525" t="s">
        <v>35</v>
      </c>
      <c r="H7525" t="s">
        <v>35</v>
      </c>
      <c r="J7525" t="s">
        <v>7404</v>
      </c>
      <c r="K7525" t="s">
        <v>1092</v>
      </c>
      <c r="M7525">
        <v>18.45</v>
      </c>
      <c r="N7525">
        <v>215</v>
      </c>
      <c r="O7525" t="s">
        <v>5</v>
      </c>
      <c r="Q7525" t="s">
        <v>1746</v>
      </c>
      <c r="R7525" t="s">
        <v>133</v>
      </c>
      <c r="S7525" t="s">
        <v>134</v>
      </c>
      <c r="T7525" t="s">
        <v>135</v>
      </c>
    </row>
    <row r="7526" spans="1:20" x14ac:dyDescent="0.25">
      <c r="A7526" t="s">
        <v>59</v>
      </c>
      <c r="B7526" t="s">
        <v>60</v>
      </c>
      <c r="C7526" t="s">
        <v>32</v>
      </c>
      <c r="D7526" t="s">
        <v>953</v>
      </c>
      <c r="E7526" t="s">
        <v>1015</v>
      </c>
      <c r="F7526" t="s">
        <v>35</v>
      </c>
      <c r="G7526" t="s">
        <v>35</v>
      </c>
      <c r="H7526" t="s">
        <v>35</v>
      </c>
      <c r="J7526" t="s">
        <v>7457</v>
      </c>
      <c r="K7526" t="s">
        <v>1092</v>
      </c>
      <c r="M7526">
        <v>1.95</v>
      </c>
      <c r="N7526">
        <v>79</v>
      </c>
      <c r="O7526" t="s">
        <v>61</v>
      </c>
      <c r="Q7526" t="s">
        <v>1076</v>
      </c>
      <c r="R7526" t="s">
        <v>133</v>
      </c>
      <c r="S7526" t="s">
        <v>134</v>
      </c>
      <c r="T7526" t="s">
        <v>135</v>
      </c>
    </row>
    <row r="7527" spans="1:20" x14ac:dyDescent="0.25">
      <c r="A7527" t="s">
        <v>30</v>
      </c>
      <c r="B7527" t="s">
        <v>31</v>
      </c>
      <c r="C7527" t="s">
        <v>32</v>
      </c>
      <c r="D7527" t="s">
        <v>953</v>
      </c>
      <c r="E7527" t="s">
        <v>1084</v>
      </c>
      <c r="F7527" t="s">
        <v>35</v>
      </c>
      <c r="G7527" t="s">
        <v>35</v>
      </c>
      <c r="H7527" t="s">
        <v>35</v>
      </c>
      <c r="J7527" t="s">
        <v>7822</v>
      </c>
      <c r="K7527" t="s">
        <v>1092</v>
      </c>
      <c r="M7527">
        <v>9.09</v>
      </c>
      <c r="N7527">
        <v>13</v>
      </c>
      <c r="O7527" t="s">
        <v>46</v>
      </c>
      <c r="Q7527" t="s">
        <v>1004</v>
      </c>
      <c r="R7527" t="s">
        <v>133</v>
      </c>
      <c r="S7527" t="s">
        <v>134</v>
      </c>
      <c r="T7527" t="s">
        <v>135</v>
      </c>
    </row>
    <row r="7528" spans="1:20" x14ac:dyDescent="0.25">
      <c r="A7528" t="s">
        <v>59</v>
      </c>
      <c r="B7528" t="s">
        <v>60</v>
      </c>
      <c r="C7528" t="s">
        <v>32</v>
      </c>
      <c r="D7528" t="s">
        <v>953</v>
      </c>
      <c r="E7528" t="s">
        <v>1015</v>
      </c>
      <c r="F7528" t="s">
        <v>35</v>
      </c>
      <c r="G7528" t="s">
        <v>35</v>
      </c>
      <c r="H7528" t="s">
        <v>35</v>
      </c>
      <c r="J7528" t="s">
        <v>7459</v>
      </c>
      <c r="K7528" t="s">
        <v>1092</v>
      </c>
      <c r="M7528">
        <v>0.03</v>
      </c>
      <c r="N7528">
        <v>52</v>
      </c>
      <c r="O7528" t="s">
        <v>52</v>
      </c>
      <c r="Q7528" t="s">
        <v>84</v>
      </c>
      <c r="R7528" t="s">
        <v>133</v>
      </c>
      <c r="S7528" t="s">
        <v>134</v>
      </c>
      <c r="T7528" t="s">
        <v>135</v>
      </c>
    </row>
    <row r="7529" spans="1:20" x14ac:dyDescent="0.25">
      <c r="A7529" t="s">
        <v>30</v>
      </c>
      <c r="B7529" t="s">
        <v>31</v>
      </c>
      <c r="C7529" t="s">
        <v>32</v>
      </c>
      <c r="D7529" t="s">
        <v>953</v>
      </c>
      <c r="E7529" t="s">
        <v>1015</v>
      </c>
      <c r="F7529" t="s">
        <v>35</v>
      </c>
      <c r="G7529" t="s">
        <v>35</v>
      </c>
      <c r="H7529" t="s">
        <v>35</v>
      </c>
      <c r="J7529" t="s">
        <v>7459</v>
      </c>
      <c r="K7529" t="s">
        <v>1092</v>
      </c>
      <c r="M7529">
        <v>0.9</v>
      </c>
      <c r="N7529">
        <v>53</v>
      </c>
      <c r="O7529" t="s">
        <v>52</v>
      </c>
      <c r="Q7529" t="s">
        <v>1734</v>
      </c>
      <c r="R7529" t="s">
        <v>133</v>
      </c>
      <c r="S7529" t="s">
        <v>134</v>
      </c>
      <c r="T7529" t="s">
        <v>135</v>
      </c>
    </row>
    <row r="7530" spans="1:20" x14ac:dyDescent="0.25">
      <c r="A7530" t="s">
        <v>30</v>
      </c>
      <c r="B7530" t="s">
        <v>31</v>
      </c>
      <c r="C7530" t="s">
        <v>32</v>
      </c>
      <c r="D7530" t="s">
        <v>953</v>
      </c>
      <c r="E7530" t="s">
        <v>1015</v>
      </c>
      <c r="F7530" t="s">
        <v>35</v>
      </c>
      <c r="G7530" t="s">
        <v>35</v>
      </c>
      <c r="H7530" t="s">
        <v>35</v>
      </c>
      <c r="J7530" t="s">
        <v>7459</v>
      </c>
      <c r="K7530" t="s">
        <v>1092</v>
      </c>
      <c r="M7530">
        <v>1.125</v>
      </c>
      <c r="N7530">
        <v>42</v>
      </c>
      <c r="O7530" t="s">
        <v>52</v>
      </c>
      <c r="Q7530" t="s">
        <v>219</v>
      </c>
      <c r="R7530" t="s">
        <v>133</v>
      </c>
      <c r="S7530" t="s">
        <v>134</v>
      </c>
      <c r="T7530" t="s">
        <v>135</v>
      </c>
    </row>
    <row r="7531" spans="1:20" x14ac:dyDescent="0.25">
      <c r="A7531" t="s">
        <v>59</v>
      </c>
      <c r="B7531" t="s">
        <v>31</v>
      </c>
      <c r="C7531" t="s">
        <v>32</v>
      </c>
      <c r="D7531" t="s">
        <v>953</v>
      </c>
      <c r="E7531" t="s">
        <v>1015</v>
      </c>
      <c r="F7531" t="s">
        <v>35</v>
      </c>
      <c r="G7531" t="s">
        <v>35</v>
      </c>
      <c r="H7531" t="s">
        <v>35</v>
      </c>
      <c r="J7531" t="s">
        <v>7459</v>
      </c>
      <c r="K7531" t="s">
        <v>1092</v>
      </c>
      <c r="M7531">
        <v>0.18</v>
      </c>
      <c r="N7531">
        <v>531</v>
      </c>
      <c r="O7531" t="s">
        <v>294</v>
      </c>
      <c r="Q7531" t="s">
        <v>7460</v>
      </c>
      <c r="R7531" t="s">
        <v>133</v>
      </c>
      <c r="S7531" t="s">
        <v>134</v>
      </c>
      <c r="T7531" t="s">
        <v>135</v>
      </c>
    </row>
    <row r="7532" spans="1:20" x14ac:dyDescent="0.25">
      <c r="A7532" t="s">
        <v>59</v>
      </c>
      <c r="B7532" t="s">
        <v>60</v>
      </c>
      <c r="C7532" t="s">
        <v>32</v>
      </c>
      <c r="D7532" t="s">
        <v>953</v>
      </c>
      <c r="E7532" t="s">
        <v>1015</v>
      </c>
      <c r="F7532" t="s">
        <v>35</v>
      </c>
      <c r="G7532" t="s">
        <v>35</v>
      </c>
      <c r="H7532" t="s">
        <v>35</v>
      </c>
      <c r="J7532" t="s">
        <v>7440</v>
      </c>
      <c r="K7532" t="s">
        <v>1092</v>
      </c>
      <c r="M7532">
        <v>0.35</v>
      </c>
      <c r="N7532">
        <v>40</v>
      </c>
      <c r="O7532" t="s">
        <v>52</v>
      </c>
      <c r="Q7532" t="s">
        <v>132</v>
      </c>
      <c r="R7532" t="s">
        <v>133</v>
      </c>
      <c r="S7532" t="s">
        <v>134</v>
      </c>
      <c r="T7532" t="s">
        <v>135</v>
      </c>
    </row>
    <row r="7533" spans="1:20" x14ac:dyDescent="0.25">
      <c r="A7533" t="s">
        <v>59</v>
      </c>
      <c r="B7533" t="s">
        <v>60</v>
      </c>
      <c r="C7533" t="s">
        <v>32</v>
      </c>
      <c r="D7533" t="s">
        <v>953</v>
      </c>
      <c r="E7533" t="s">
        <v>1077</v>
      </c>
      <c r="F7533" t="s">
        <v>35</v>
      </c>
      <c r="G7533" t="s">
        <v>35</v>
      </c>
      <c r="H7533" t="s">
        <v>35</v>
      </c>
      <c r="J7533" t="s">
        <v>7619</v>
      </c>
      <c r="K7533" t="s">
        <v>404</v>
      </c>
      <c r="M7533">
        <v>10</v>
      </c>
      <c r="N7533">
        <v>35</v>
      </c>
      <c r="O7533" t="s">
        <v>52</v>
      </c>
      <c r="Q7533" t="s">
        <v>991</v>
      </c>
      <c r="R7533" t="s">
        <v>133</v>
      </c>
      <c r="S7533" t="s">
        <v>134</v>
      </c>
      <c r="T7533" t="s">
        <v>135</v>
      </c>
    </row>
    <row r="7534" spans="1:20" x14ac:dyDescent="0.25">
      <c r="A7534" t="s">
        <v>44</v>
      </c>
      <c r="B7534" t="s">
        <v>3</v>
      </c>
      <c r="C7534" t="s">
        <v>32</v>
      </c>
      <c r="D7534" t="s">
        <v>953</v>
      </c>
      <c r="E7534" t="s">
        <v>1077</v>
      </c>
      <c r="F7534" t="s">
        <v>35</v>
      </c>
      <c r="G7534" t="s">
        <v>35</v>
      </c>
      <c r="H7534" t="s">
        <v>35</v>
      </c>
      <c r="J7534" t="s">
        <v>7619</v>
      </c>
      <c r="K7534" t="s">
        <v>404</v>
      </c>
      <c r="M7534">
        <v>5</v>
      </c>
      <c r="N7534">
        <v>37</v>
      </c>
      <c r="O7534" t="s">
        <v>52</v>
      </c>
      <c r="Q7534" t="s">
        <v>192</v>
      </c>
      <c r="R7534" t="s">
        <v>133</v>
      </c>
      <c r="S7534" t="s">
        <v>134</v>
      </c>
      <c r="T7534" t="s">
        <v>135</v>
      </c>
    </row>
    <row r="7535" spans="1:20" x14ac:dyDescent="0.25">
      <c r="A7535" t="s">
        <v>59</v>
      </c>
      <c r="B7535" t="s">
        <v>60</v>
      </c>
      <c r="C7535" t="s">
        <v>32</v>
      </c>
      <c r="D7535" t="s">
        <v>953</v>
      </c>
      <c r="E7535" t="s">
        <v>1077</v>
      </c>
      <c r="F7535" t="s">
        <v>35</v>
      </c>
      <c r="G7535" t="s">
        <v>35</v>
      </c>
      <c r="H7535" t="s">
        <v>35</v>
      </c>
      <c r="J7535" t="s">
        <v>7619</v>
      </c>
      <c r="K7535" t="s">
        <v>404</v>
      </c>
      <c r="M7535">
        <v>5</v>
      </c>
      <c r="N7535">
        <v>37</v>
      </c>
      <c r="O7535" t="s">
        <v>52</v>
      </c>
      <c r="Q7535" t="s">
        <v>192</v>
      </c>
      <c r="R7535" t="s">
        <v>133</v>
      </c>
      <c r="S7535" t="s">
        <v>134</v>
      </c>
      <c r="T7535" t="s">
        <v>135</v>
      </c>
    </row>
    <row r="7536" spans="1:20" x14ac:dyDescent="0.25">
      <c r="A7536" t="s">
        <v>59</v>
      </c>
      <c r="B7536" t="s">
        <v>60</v>
      </c>
      <c r="C7536" t="s">
        <v>32</v>
      </c>
      <c r="D7536" t="s">
        <v>953</v>
      </c>
      <c r="E7536" t="s">
        <v>1077</v>
      </c>
      <c r="F7536" t="s">
        <v>35</v>
      </c>
      <c r="G7536" t="s">
        <v>35</v>
      </c>
      <c r="H7536" t="s">
        <v>35</v>
      </c>
      <c r="J7536" t="s">
        <v>7619</v>
      </c>
      <c r="K7536" t="s">
        <v>404</v>
      </c>
      <c r="M7536">
        <v>5.95</v>
      </c>
      <c r="N7536">
        <v>411</v>
      </c>
      <c r="O7536" t="s">
        <v>294</v>
      </c>
      <c r="Q7536" t="s">
        <v>6204</v>
      </c>
      <c r="R7536" t="s">
        <v>133</v>
      </c>
      <c r="S7536" t="s">
        <v>134</v>
      </c>
      <c r="T7536" t="s">
        <v>135</v>
      </c>
    </row>
    <row r="7537" spans="1:20" x14ac:dyDescent="0.25">
      <c r="A7537" t="s">
        <v>59</v>
      </c>
      <c r="B7537" t="s">
        <v>60</v>
      </c>
      <c r="C7537" t="s">
        <v>32</v>
      </c>
      <c r="D7537" t="s">
        <v>953</v>
      </c>
      <c r="E7537" t="s">
        <v>1015</v>
      </c>
      <c r="F7537" t="s">
        <v>35</v>
      </c>
      <c r="G7537" t="s">
        <v>35</v>
      </c>
      <c r="H7537" t="s">
        <v>35</v>
      </c>
      <c r="J7537" t="s">
        <v>7432</v>
      </c>
      <c r="K7537" t="s">
        <v>1092</v>
      </c>
      <c r="M7537">
        <v>0.2</v>
      </c>
      <c r="N7537">
        <v>459</v>
      </c>
      <c r="O7537" t="s">
        <v>294</v>
      </c>
      <c r="Q7537" t="s">
        <v>1114</v>
      </c>
      <c r="R7537" t="s">
        <v>133</v>
      </c>
      <c r="S7537" t="s">
        <v>134</v>
      </c>
      <c r="T7537" t="s">
        <v>135</v>
      </c>
    </row>
    <row r="7538" spans="1:20" x14ac:dyDescent="0.25">
      <c r="A7538" t="s">
        <v>59</v>
      </c>
      <c r="B7538" t="s">
        <v>60</v>
      </c>
      <c r="C7538" t="s">
        <v>32</v>
      </c>
      <c r="D7538" t="s">
        <v>953</v>
      </c>
      <c r="E7538" t="s">
        <v>1015</v>
      </c>
      <c r="F7538" t="s">
        <v>35</v>
      </c>
      <c r="G7538" t="s">
        <v>35</v>
      </c>
      <c r="H7538" t="s">
        <v>35</v>
      </c>
      <c r="J7538" t="s">
        <v>7432</v>
      </c>
      <c r="K7538" t="s">
        <v>1092</v>
      </c>
      <c r="M7538">
        <v>0.15</v>
      </c>
      <c r="N7538">
        <v>150</v>
      </c>
      <c r="O7538" t="s">
        <v>38</v>
      </c>
      <c r="Q7538" t="s">
        <v>1145</v>
      </c>
      <c r="R7538" t="s">
        <v>133</v>
      </c>
      <c r="S7538" t="s">
        <v>134</v>
      </c>
      <c r="T7538" t="s">
        <v>135</v>
      </c>
    </row>
    <row r="7539" spans="1:20" x14ac:dyDescent="0.25">
      <c r="A7539" t="s">
        <v>30</v>
      </c>
      <c r="B7539" t="s">
        <v>31</v>
      </c>
      <c r="C7539" t="s">
        <v>32</v>
      </c>
      <c r="D7539" t="s">
        <v>953</v>
      </c>
      <c r="E7539" t="s">
        <v>1015</v>
      </c>
      <c r="F7539" t="s">
        <v>35</v>
      </c>
      <c r="G7539" t="s">
        <v>35</v>
      </c>
      <c r="H7539" t="s">
        <v>35</v>
      </c>
      <c r="J7539" t="s">
        <v>7432</v>
      </c>
      <c r="K7539" t="s">
        <v>1092</v>
      </c>
      <c r="M7539">
        <v>4.4999999999999998E-2</v>
      </c>
      <c r="N7539">
        <v>163</v>
      </c>
      <c r="O7539" t="s">
        <v>38</v>
      </c>
      <c r="Q7539" t="s">
        <v>2780</v>
      </c>
      <c r="R7539" t="s">
        <v>133</v>
      </c>
      <c r="S7539" t="s">
        <v>134</v>
      </c>
      <c r="T7539" t="s">
        <v>135</v>
      </c>
    </row>
    <row r="7540" spans="1:20" x14ac:dyDescent="0.25">
      <c r="A7540" t="s">
        <v>44</v>
      </c>
      <c r="B7540" t="s">
        <v>3</v>
      </c>
      <c r="C7540" t="s">
        <v>32</v>
      </c>
      <c r="D7540" t="s">
        <v>953</v>
      </c>
      <c r="E7540" t="s">
        <v>1015</v>
      </c>
      <c r="F7540" t="s">
        <v>35</v>
      </c>
      <c r="G7540" t="s">
        <v>35</v>
      </c>
      <c r="H7540" t="s">
        <v>35</v>
      </c>
      <c r="J7540" t="s">
        <v>7442</v>
      </c>
      <c r="K7540" t="s">
        <v>1092</v>
      </c>
      <c r="M7540">
        <v>0.05</v>
      </c>
      <c r="N7540">
        <v>10</v>
      </c>
      <c r="O7540" t="s">
        <v>46</v>
      </c>
      <c r="Q7540" t="s">
        <v>1302</v>
      </c>
      <c r="R7540" t="s">
        <v>133</v>
      </c>
      <c r="S7540" t="s">
        <v>134</v>
      </c>
      <c r="T7540" t="s">
        <v>135</v>
      </c>
    </row>
    <row r="7541" spans="1:20" x14ac:dyDescent="0.25">
      <c r="A7541" t="s">
        <v>59</v>
      </c>
      <c r="B7541" t="s">
        <v>60</v>
      </c>
      <c r="C7541" t="s">
        <v>32</v>
      </c>
      <c r="D7541" t="s">
        <v>953</v>
      </c>
      <c r="E7541" t="s">
        <v>1015</v>
      </c>
      <c r="F7541" t="s">
        <v>35</v>
      </c>
      <c r="G7541" t="s">
        <v>35</v>
      </c>
      <c r="H7541" t="s">
        <v>35</v>
      </c>
      <c r="J7541" t="s">
        <v>7413</v>
      </c>
      <c r="K7541" t="s">
        <v>1092</v>
      </c>
      <c r="M7541">
        <v>1.4</v>
      </c>
      <c r="N7541">
        <v>53</v>
      </c>
      <c r="O7541" t="s">
        <v>52</v>
      </c>
      <c r="Q7541" t="s">
        <v>1734</v>
      </c>
      <c r="R7541" t="s">
        <v>133</v>
      </c>
      <c r="S7541" t="s">
        <v>134</v>
      </c>
      <c r="T7541" t="s">
        <v>135</v>
      </c>
    </row>
    <row r="7542" spans="1:20" x14ac:dyDescent="0.25">
      <c r="A7542" t="s">
        <v>44</v>
      </c>
      <c r="B7542" t="s">
        <v>3</v>
      </c>
      <c r="C7542" t="s">
        <v>32</v>
      </c>
      <c r="D7542" t="s">
        <v>953</v>
      </c>
      <c r="E7542" t="s">
        <v>1015</v>
      </c>
      <c r="F7542" t="s">
        <v>35</v>
      </c>
      <c r="G7542" t="s">
        <v>35</v>
      </c>
      <c r="H7542" t="s">
        <v>35</v>
      </c>
      <c r="J7542" t="s">
        <v>1705</v>
      </c>
      <c r="K7542" t="s">
        <v>1092</v>
      </c>
      <c r="M7542">
        <v>1.5</v>
      </c>
      <c r="N7542">
        <v>53</v>
      </c>
      <c r="O7542" t="s">
        <v>52</v>
      </c>
      <c r="Q7542" t="s">
        <v>1734</v>
      </c>
      <c r="R7542" t="s">
        <v>133</v>
      </c>
      <c r="S7542" t="s">
        <v>134</v>
      </c>
      <c r="T7542" t="s">
        <v>135</v>
      </c>
    </row>
    <row r="7543" spans="1:20" x14ac:dyDescent="0.25">
      <c r="A7543" t="s">
        <v>30</v>
      </c>
      <c r="B7543" t="s">
        <v>31</v>
      </c>
      <c r="C7543" t="s">
        <v>32</v>
      </c>
      <c r="D7543" t="s">
        <v>953</v>
      </c>
      <c r="E7543" t="s">
        <v>998</v>
      </c>
      <c r="F7543" t="s">
        <v>35</v>
      </c>
      <c r="G7543" t="s">
        <v>35</v>
      </c>
      <c r="H7543" t="s">
        <v>35</v>
      </c>
      <c r="J7543" t="s">
        <v>7294</v>
      </c>
      <c r="K7543" t="s">
        <v>1092</v>
      </c>
      <c r="M7543">
        <v>0.09</v>
      </c>
      <c r="N7543">
        <v>1244</v>
      </c>
      <c r="O7543" t="s">
        <v>575</v>
      </c>
      <c r="Q7543" t="s">
        <v>2549</v>
      </c>
      <c r="R7543" t="s">
        <v>133</v>
      </c>
      <c r="S7543" t="s">
        <v>134</v>
      </c>
      <c r="T7543" t="s">
        <v>135</v>
      </c>
    </row>
    <row r="7544" spans="1:20" x14ac:dyDescent="0.25">
      <c r="A7544" t="s">
        <v>59</v>
      </c>
      <c r="B7544" t="s">
        <v>60</v>
      </c>
      <c r="C7544" t="s">
        <v>32</v>
      </c>
      <c r="D7544" t="s">
        <v>953</v>
      </c>
      <c r="E7544" t="s">
        <v>1084</v>
      </c>
      <c r="F7544" t="s">
        <v>35</v>
      </c>
      <c r="G7544" t="s">
        <v>35</v>
      </c>
      <c r="H7544" t="s">
        <v>35</v>
      </c>
      <c r="J7544" t="s">
        <v>7788</v>
      </c>
      <c r="K7544" t="s">
        <v>1092</v>
      </c>
      <c r="M7544">
        <v>1.325</v>
      </c>
      <c r="N7544">
        <v>84</v>
      </c>
      <c r="O7544" t="s">
        <v>61</v>
      </c>
      <c r="Q7544" t="s">
        <v>1147</v>
      </c>
      <c r="R7544" t="s">
        <v>133</v>
      </c>
      <c r="S7544" t="s">
        <v>134</v>
      </c>
      <c r="T7544" t="s">
        <v>135</v>
      </c>
    </row>
    <row r="7545" spans="1:20" x14ac:dyDescent="0.25">
      <c r="A7545" t="s">
        <v>44</v>
      </c>
      <c r="B7545" t="s">
        <v>3</v>
      </c>
      <c r="C7545" t="s">
        <v>32</v>
      </c>
      <c r="D7545" t="s">
        <v>953</v>
      </c>
      <c r="E7545" t="s">
        <v>7842</v>
      </c>
      <c r="F7545" t="s">
        <v>35</v>
      </c>
      <c r="G7545" t="s">
        <v>35</v>
      </c>
      <c r="H7545" t="s">
        <v>35</v>
      </c>
      <c r="J7545" t="s">
        <v>6555</v>
      </c>
      <c r="K7545" t="s">
        <v>1092</v>
      </c>
      <c r="M7545">
        <v>10</v>
      </c>
      <c r="N7545">
        <v>58</v>
      </c>
      <c r="O7545" t="s">
        <v>52</v>
      </c>
      <c r="Q7545" t="s">
        <v>128</v>
      </c>
      <c r="R7545" t="s">
        <v>133</v>
      </c>
      <c r="S7545" t="s">
        <v>134</v>
      </c>
      <c r="T7545" t="s">
        <v>135</v>
      </c>
    </row>
    <row r="7546" spans="1:20" x14ac:dyDescent="0.25">
      <c r="A7546" t="s">
        <v>59</v>
      </c>
      <c r="B7546" t="s">
        <v>60</v>
      </c>
      <c r="C7546" t="s">
        <v>32</v>
      </c>
      <c r="D7546" t="s">
        <v>953</v>
      </c>
      <c r="E7546" t="s">
        <v>6878</v>
      </c>
      <c r="F7546" t="s">
        <v>35</v>
      </c>
      <c r="G7546" t="s">
        <v>35</v>
      </c>
      <c r="H7546" t="s">
        <v>35</v>
      </c>
      <c r="J7546" t="s">
        <v>6943</v>
      </c>
      <c r="K7546" t="s">
        <v>1092</v>
      </c>
      <c r="M7546">
        <v>3</v>
      </c>
      <c r="N7546">
        <v>42</v>
      </c>
      <c r="O7546" t="s">
        <v>52</v>
      </c>
      <c r="Q7546" t="s">
        <v>219</v>
      </c>
      <c r="R7546" t="s">
        <v>133</v>
      </c>
      <c r="S7546" t="s">
        <v>134</v>
      </c>
      <c r="T7546" t="s">
        <v>135</v>
      </c>
    </row>
    <row r="7547" spans="1:20" x14ac:dyDescent="0.25">
      <c r="A7547" t="s">
        <v>59</v>
      </c>
      <c r="B7547" t="s">
        <v>60</v>
      </c>
      <c r="C7547" t="s">
        <v>32</v>
      </c>
      <c r="D7547" t="s">
        <v>953</v>
      </c>
      <c r="E7547" t="s">
        <v>7494</v>
      </c>
      <c r="F7547" t="s">
        <v>35</v>
      </c>
      <c r="G7547" t="s">
        <v>35</v>
      </c>
      <c r="H7547" t="s">
        <v>35</v>
      </c>
      <c r="J7547" t="s">
        <v>7512</v>
      </c>
      <c r="K7547" t="s">
        <v>1092</v>
      </c>
      <c r="M7547">
        <v>0.25</v>
      </c>
      <c r="N7547">
        <v>355</v>
      </c>
      <c r="O7547" t="s">
        <v>5</v>
      </c>
      <c r="Q7547" t="s">
        <v>2408</v>
      </c>
      <c r="R7547" t="s">
        <v>133</v>
      </c>
      <c r="S7547" t="s">
        <v>134</v>
      </c>
      <c r="T7547" t="s">
        <v>135</v>
      </c>
    </row>
    <row r="7548" spans="1:20" x14ac:dyDescent="0.25">
      <c r="A7548" t="s">
        <v>59</v>
      </c>
      <c r="B7548" t="s">
        <v>60</v>
      </c>
      <c r="C7548" t="s">
        <v>32</v>
      </c>
      <c r="D7548" t="s">
        <v>953</v>
      </c>
      <c r="E7548" t="s">
        <v>1015</v>
      </c>
      <c r="F7548" t="s">
        <v>35</v>
      </c>
      <c r="G7548" t="s">
        <v>35</v>
      </c>
      <c r="H7548" t="s">
        <v>35</v>
      </c>
      <c r="J7548" t="s">
        <v>7346</v>
      </c>
      <c r="K7548" t="s">
        <v>1092</v>
      </c>
      <c r="M7548">
        <v>0.25</v>
      </c>
      <c r="N7548">
        <v>65</v>
      </c>
      <c r="O7548" t="s">
        <v>61</v>
      </c>
      <c r="Q7548" t="s">
        <v>63</v>
      </c>
      <c r="R7548" t="s">
        <v>133</v>
      </c>
      <c r="S7548" t="s">
        <v>134</v>
      </c>
      <c r="T7548" t="s">
        <v>135</v>
      </c>
    </row>
    <row r="7549" spans="1:20" x14ac:dyDescent="0.25">
      <c r="A7549" t="s">
        <v>59</v>
      </c>
      <c r="B7549" t="s">
        <v>60</v>
      </c>
      <c r="C7549" t="s">
        <v>32</v>
      </c>
      <c r="D7549" t="s">
        <v>953</v>
      </c>
      <c r="E7549" t="s">
        <v>1015</v>
      </c>
      <c r="F7549" t="s">
        <v>35</v>
      </c>
      <c r="G7549" t="s">
        <v>35</v>
      </c>
      <c r="H7549" t="s">
        <v>35</v>
      </c>
      <c r="J7549" t="s">
        <v>7346</v>
      </c>
      <c r="K7549" t="s">
        <v>1092</v>
      </c>
      <c r="M7549">
        <v>0.1</v>
      </c>
      <c r="N7549">
        <v>150</v>
      </c>
      <c r="O7549" t="s">
        <v>38</v>
      </c>
      <c r="Q7549" t="s">
        <v>1145</v>
      </c>
      <c r="R7549" t="s">
        <v>133</v>
      </c>
      <c r="S7549" t="s">
        <v>134</v>
      </c>
      <c r="T7549" t="s">
        <v>135</v>
      </c>
    </row>
    <row r="7550" spans="1:20" x14ac:dyDescent="0.25">
      <c r="A7550" t="s">
        <v>59</v>
      </c>
      <c r="B7550" t="s">
        <v>60</v>
      </c>
      <c r="C7550" t="s">
        <v>32</v>
      </c>
      <c r="D7550" t="s">
        <v>953</v>
      </c>
      <c r="E7550" t="s">
        <v>1015</v>
      </c>
      <c r="F7550" t="s">
        <v>35</v>
      </c>
      <c r="G7550" t="s">
        <v>35</v>
      </c>
      <c r="H7550" t="s">
        <v>35</v>
      </c>
      <c r="J7550" t="s">
        <v>7438</v>
      </c>
      <c r="K7550" t="s">
        <v>1092</v>
      </c>
      <c r="M7550">
        <v>0.15</v>
      </c>
      <c r="N7550">
        <v>69</v>
      </c>
      <c r="O7550" t="s">
        <v>61</v>
      </c>
      <c r="Q7550" t="s">
        <v>234</v>
      </c>
      <c r="R7550" t="s">
        <v>133</v>
      </c>
      <c r="S7550" t="s">
        <v>134</v>
      </c>
      <c r="T7550" t="s">
        <v>135</v>
      </c>
    </row>
    <row r="7551" spans="1:20" x14ac:dyDescent="0.25">
      <c r="A7551" t="s">
        <v>59</v>
      </c>
      <c r="B7551" t="s">
        <v>60</v>
      </c>
      <c r="C7551" t="s">
        <v>32</v>
      </c>
      <c r="D7551" t="s">
        <v>953</v>
      </c>
      <c r="E7551" t="s">
        <v>1015</v>
      </c>
      <c r="F7551" t="s">
        <v>35</v>
      </c>
      <c r="G7551" t="s">
        <v>35</v>
      </c>
      <c r="H7551" t="s">
        <v>35</v>
      </c>
      <c r="J7551" t="s">
        <v>7438</v>
      </c>
      <c r="K7551" t="s">
        <v>1092</v>
      </c>
      <c r="M7551">
        <v>0.15</v>
      </c>
      <c r="N7551">
        <v>40</v>
      </c>
      <c r="O7551" t="s">
        <v>52</v>
      </c>
      <c r="Q7551" t="s">
        <v>132</v>
      </c>
      <c r="R7551" t="s">
        <v>133</v>
      </c>
      <c r="S7551" t="s">
        <v>134</v>
      </c>
      <c r="T7551" t="s">
        <v>135</v>
      </c>
    </row>
    <row r="7552" spans="1:20" x14ac:dyDescent="0.25">
      <c r="A7552" t="s">
        <v>59</v>
      </c>
      <c r="B7552" t="s">
        <v>31</v>
      </c>
      <c r="C7552" t="s">
        <v>32</v>
      </c>
      <c r="D7552" t="s">
        <v>953</v>
      </c>
      <c r="E7552" t="s">
        <v>1015</v>
      </c>
      <c r="F7552" t="s">
        <v>35</v>
      </c>
      <c r="G7552" t="s">
        <v>35</v>
      </c>
      <c r="H7552" t="s">
        <v>35</v>
      </c>
      <c r="J7552" t="s">
        <v>7438</v>
      </c>
      <c r="K7552" t="s">
        <v>1092</v>
      </c>
      <c r="M7552">
        <v>0.9</v>
      </c>
      <c r="N7552">
        <v>79</v>
      </c>
      <c r="O7552" t="s">
        <v>61</v>
      </c>
      <c r="Q7552" t="s">
        <v>1076</v>
      </c>
      <c r="R7552" t="s">
        <v>133</v>
      </c>
      <c r="S7552" t="s">
        <v>134</v>
      </c>
      <c r="T7552" t="s">
        <v>135</v>
      </c>
    </row>
    <row r="7553" spans="1:20" x14ac:dyDescent="0.25">
      <c r="A7553" t="s">
        <v>30</v>
      </c>
      <c r="B7553" t="s">
        <v>31</v>
      </c>
      <c r="C7553" t="s">
        <v>32</v>
      </c>
      <c r="D7553" t="s">
        <v>953</v>
      </c>
      <c r="E7553" t="s">
        <v>1015</v>
      </c>
      <c r="F7553" t="s">
        <v>35</v>
      </c>
      <c r="G7553" t="s">
        <v>35</v>
      </c>
      <c r="H7553" t="s">
        <v>35</v>
      </c>
      <c r="J7553" t="s">
        <v>7438</v>
      </c>
      <c r="K7553" t="s">
        <v>1092</v>
      </c>
      <c r="M7553">
        <v>0.81</v>
      </c>
      <c r="N7553">
        <v>186</v>
      </c>
      <c r="O7553" t="s">
        <v>5</v>
      </c>
      <c r="Q7553" t="s">
        <v>1894</v>
      </c>
      <c r="R7553" t="s">
        <v>133</v>
      </c>
      <c r="S7553" t="s">
        <v>134</v>
      </c>
      <c r="T7553" t="s">
        <v>135</v>
      </c>
    </row>
    <row r="7554" spans="1:20" x14ac:dyDescent="0.25">
      <c r="A7554" t="s">
        <v>30</v>
      </c>
      <c r="B7554" t="s">
        <v>31</v>
      </c>
      <c r="C7554" t="s">
        <v>32</v>
      </c>
      <c r="D7554" t="s">
        <v>953</v>
      </c>
      <c r="E7554" t="s">
        <v>1015</v>
      </c>
      <c r="F7554" t="s">
        <v>35</v>
      </c>
      <c r="G7554" t="s">
        <v>35</v>
      </c>
      <c r="H7554" t="s">
        <v>35</v>
      </c>
      <c r="J7554" t="s">
        <v>7438</v>
      </c>
      <c r="K7554" t="s">
        <v>1092</v>
      </c>
      <c r="M7554">
        <v>1.26</v>
      </c>
      <c r="N7554">
        <v>195</v>
      </c>
      <c r="O7554" t="s">
        <v>5</v>
      </c>
      <c r="Q7554" t="s">
        <v>1299</v>
      </c>
      <c r="R7554" t="s">
        <v>133</v>
      </c>
      <c r="S7554" t="s">
        <v>134</v>
      </c>
      <c r="T7554" t="s">
        <v>135</v>
      </c>
    </row>
    <row r="7555" spans="1:20" x14ac:dyDescent="0.25">
      <c r="A7555" t="s">
        <v>59</v>
      </c>
      <c r="B7555" t="s">
        <v>60</v>
      </c>
      <c r="C7555" t="s">
        <v>32</v>
      </c>
      <c r="D7555" t="s">
        <v>953</v>
      </c>
      <c r="E7555" t="s">
        <v>6878</v>
      </c>
      <c r="F7555" t="s">
        <v>35</v>
      </c>
      <c r="G7555" t="s">
        <v>35</v>
      </c>
      <c r="H7555" t="s">
        <v>35</v>
      </c>
      <c r="J7555" t="s">
        <v>625</v>
      </c>
      <c r="K7555" t="s">
        <v>1092</v>
      </c>
      <c r="M7555">
        <v>1.35</v>
      </c>
      <c r="N7555">
        <v>52</v>
      </c>
      <c r="O7555" t="s">
        <v>52</v>
      </c>
      <c r="Q7555" t="s">
        <v>84</v>
      </c>
      <c r="R7555" t="s">
        <v>133</v>
      </c>
      <c r="S7555" t="s">
        <v>134</v>
      </c>
      <c r="T7555" t="s">
        <v>135</v>
      </c>
    </row>
    <row r="7556" spans="1:20" x14ac:dyDescent="0.25">
      <c r="A7556" t="s">
        <v>59</v>
      </c>
      <c r="B7556" t="s">
        <v>31</v>
      </c>
      <c r="C7556" t="s">
        <v>32</v>
      </c>
      <c r="D7556" t="s">
        <v>953</v>
      </c>
      <c r="E7556" t="s">
        <v>1015</v>
      </c>
      <c r="F7556" t="s">
        <v>35</v>
      </c>
      <c r="G7556" t="s">
        <v>35</v>
      </c>
      <c r="H7556" t="s">
        <v>35</v>
      </c>
      <c r="J7556" t="s">
        <v>3952</v>
      </c>
      <c r="K7556" t="s">
        <v>1092</v>
      </c>
      <c r="M7556">
        <v>0.315</v>
      </c>
      <c r="N7556">
        <v>52</v>
      </c>
      <c r="O7556" t="s">
        <v>52</v>
      </c>
      <c r="Q7556" t="s">
        <v>84</v>
      </c>
      <c r="R7556" t="s">
        <v>133</v>
      </c>
      <c r="S7556" t="s">
        <v>134</v>
      </c>
      <c r="T7556" t="s">
        <v>135</v>
      </c>
    </row>
    <row r="7557" spans="1:20" x14ac:dyDescent="0.25">
      <c r="A7557" t="s">
        <v>44</v>
      </c>
      <c r="B7557" t="s">
        <v>51</v>
      </c>
      <c r="C7557" t="s">
        <v>32</v>
      </c>
      <c r="D7557" t="s">
        <v>953</v>
      </c>
      <c r="E7557" t="s">
        <v>1015</v>
      </c>
      <c r="F7557" t="s">
        <v>35</v>
      </c>
      <c r="G7557" t="s">
        <v>35</v>
      </c>
      <c r="H7557" t="s">
        <v>35</v>
      </c>
      <c r="J7557" t="s">
        <v>3952</v>
      </c>
      <c r="K7557" t="s">
        <v>1092</v>
      </c>
      <c r="M7557">
        <v>0.25</v>
      </c>
      <c r="N7557">
        <v>452</v>
      </c>
      <c r="O7557" t="s">
        <v>294</v>
      </c>
      <c r="Q7557" t="s">
        <v>1199</v>
      </c>
      <c r="R7557" t="s">
        <v>133</v>
      </c>
      <c r="S7557" t="s">
        <v>134</v>
      </c>
      <c r="T7557" t="s">
        <v>135</v>
      </c>
    </row>
    <row r="7558" spans="1:20" x14ac:dyDescent="0.25">
      <c r="A7558" t="s">
        <v>59</v>
      </c>
      <c r="B7558" t="s">
        <v>31</v>
      </c>
      <c r="C7558" t="s">
        <v>32</v>
      </c>
      <c r="D7558" t="s">
        <v>953</v>
      </c>
      <c r="E7558" t="s">
        <v>1015</v>
      </c>
      <c r="F7558" t="s">
        <v>35</v>
      </c>
      <c r="G7558" t="s">
        <v>35</v>
      </c>
      <c r="H7558" t="s">
        <v>35</v>
      </c>
      <c r="J7558" t="s">
        <v>3952</v>
      </c>
      <c r="K7558" t="s">
        <v>1092</v>
      </c>
      <c r="M7558">
        <v>1.35</v>
      </c>
      <c r="N7558">
        <v>220</v>
      </c>
      <c r="O7558" t="s">
        <v>5</v>
      </c>
      <c r="Q7558" t="s">
        <v>2236</v>
      </c>
      <c r="R7558" t="s">
        <v>133</v>
      </c>
      <c r="S7558" t="s">
        <v>134</v>
      </c>
      <c r="T7558" t="s">
        <v>135</v>
      </c>
    </row>
    <row r="7559" spans="1:20" x14ac:dyDescent="0.25">
      <c r="A7559" t="s">
        <v>59</v>
      </c>
      <c r="B7559" t="s">
        <v>31</v>
      </c>
      <c r="C7559" t="s">
        <v>32</v>
      </c>
      <c r="D7559" t="s">
        <v>953</v>
      </c>
      <c r="E7559" t="s">
        <v>1015</v>
      </c>
      <c r="F7559" t="s">
        <v>35</v>
      </c>
      <c r="G7559" t="s">
        <v>35</v>
      </c>
      <c r="H7559" t="s">
        <v>35</v>
      </c>
      <c r="J7559" t="s">
        <v>3952</v>
      </c>
      <c r="K7559" t="s">
        <v>1092</v>
      </c>
      <c r="M7559">
        <v>0.72</v>
      </c>
      <c r="N7559">
        <v>236</v>
      </c>
      <c r="O7559" t="s">
        <v>5</v>
      </c>
      <c r="Q7559" t="s">
        <v>1151</v>
      </c>
      <c r="R7559" t="s">
        <v>133</v>
      </c>
      <c r="S7559" t="s">
        <v>134</v>
      </c>
      <c r="T7559" t="s">
        <v>135</v>
      </c>
    </row>
    <row r="7560" spans="1:20" x14ac:dyDescent="0.25">
      <c r="A7560" t="s">
        <v>59</v>
      </c>
      <c r="B7560" t="s">
        <v>31</v>
      </c>
      <c r="C7560" t="s">
        <v>32</v>
      </c>
      <c r="D7560" t="s">
        <v>953</v>
      </c>
      <c r="E7560" t="s">
        <v>1015</v>
      </c>
      <c r="F7560" t="s">
        <v>35</v>
      </c>
      <c r="G7560" t="s">
        <v>35</v>
      </c>
      <c r="H7560" t="s">
        <v>35</v>
      </c>
      <c r="J7560" t="s">
        <v>3952</v>
      </c>
      <c r="K7560" t="s">
        <v>1092</v>
      </c>
      <c r="M7560">
        <v>0.67500000000000004</v>
      </c>
      <c r="N7560">
        <v>136</v>
      </c>
      <c r="O7560" t="s">
        <v>38</v>
      </c>
      <c r="Q7560" t="s">
        <v>2121</v>
      </c>
      <c r="R7560" t="s">
        <v>133</v>
      </c>
      <c r="S7560" t="s">
        <v>134</v>
      </c>
      <c r="T7560" t="s">
        <v>135</v>
      </c>
    </row>
    <row r="7561" spans="1:20" x14ac:dyDescent="0.25">
      <c r="A7561" t="s">
        <v>59</v>
      </c>
      <c r="B7561" t="s">
        <v>60</v>
      </c>
      <c r="C7561" t="s">
        <v>32</v>
      </c>
      <c r="D7561" t="s">
        <v>953</v>
      </c>
      <c r="E7561" t="s">
        <v>1015</v>
      </c>
      <c r="F7561" t="s">
        <v>35</v>
      </c>
      <c r="G7561" t="s">
        <v>35</v>
      </c>
      <c r="H7561" t="s">
        <v>35</v>
      </c>
      <c r="J7561" t="s">
        <v>3952</v>
      </c>
      <c r="K7561" t="s">
        <v>1092</v>
      </c>
      <c r="M7561">
        <v>0.4</v>
      </c>
      <c r="N7561">
        <v>79</v>
      </c>
      <c r="O7561" t="s">
        <v>61</v>
      </c>
      <c r="Q7561" t="s">
        <v>1076</v>
      </c>
      <c r="R7561" t="s">
        <v>133</v>
      </c>
      <c r="S7561" t="s">
        <v>134</v>
      </c>
      <c r="T7561" t="s">
        <v>135</v>
      </c>
    </row>
    <row r="7562" spans="1:20" x14ac:dyDescent="0.25">
      <c r="A7562" t="s">
        <v>59</v>
      </c>
      <c r="B7562" t="s">
        <v>60</v>
      </c>
      <c r="C7562" t="s">
        <v>32</v>
      </c>
      <c r="D7562" t="s">
        <v>953</v>
      </c>
      <c r="E7562" t="s">
        <v>1015</v>
      </c>
      <c r="F7562" t="s">
        <v>35</v>
      </c>
      <c r="G7562" t="s">
        <v>35</v>
      </c>
      <c r="H7562" t="s">
        <v>35</v>
      </c>
      <c r="J7562" t="s">
        <v>3952</v>
      </c>
      <c r="K7562" t="s">
        <v>1092</v>
      </c>
      <c r="M7562">
        <v>0.5</v>
      </c>
      <c r="N7562">
        <v>66</v>
      </c>
      <c r="O7562" t="s">
        <v>61</v>
      </c>
      <c r="Q7562" t="s">
        <v>552</v>
      </c>
      <c r="R7562" t="s">
        <v>133</v>
      </c>
      <c r="S7562" t="s">
        <v>134</v>
      </c>
      <c r="T7562" t="s">
        <v>135</v>
      </c>
    </row>
    <row r="7563" spans="1:20" x14ac:dyDescent="0.25">
      <c r="A7563" t="s">
        <v>44</v>
      </c>
      <c r="B7563" t="s">
        <v>3</v>
      </c>
      <c r="C7563" t="s">
        <v>32</v>
      </c>
      <c r="D7563" t="s">
        <v>953</v>
      </c>
      <c r="E7563" t="s">
        <v>1015</v>
      </c>
      <c r="F7563" t="s">
        <v>35</v>
      </c>
      <c r="G7563" t="s">
        <v>35</v>
      </c>
      <c r="H7563" t="s">
        <v>35</v>
      </c>
      <c r="J7563" t="s">
        <v>3952</v>
      </c>
      <c r="K7563" t="s">
        <v>1092</v>
      </c>
      <c r="M7563">
        <v>0.25</v>
      </c>
      <c r="N7563">
        <v>52</v>
      </c>
      <c r="O7563" t="s">
        <v>52</v>
      </c>
      <c r="Q7563" t="s">
        <v>84</v>
      </c>
      <c r="R7563" t="s">
        <v>133</v>
      </c>
      <c r="S7563" t="s">
        <v>134</v>
      </c>
      <c r="T7563" t="s">
        <v>135</v>
      </c>
    </row>
    <row r="7564" spans="1:20" x14ac:dyDescent="0.25">
      <c r="A7564" t="s">
        <v>30</v>
      </c>
      <c r="B7564" t="s">
        <v>31</v>
      </c>
      <c r="C7564" t="s">
        <v>32</v>
      </c>
      <c r="D7564" t="s">
        <v>953</v>
      </c>
      <c r="E7564" t="s">
        <v>1015</v>
      </c>
      <c r="F7564" t="s">
        <v>35</v>
      </c>
      <c r="G7564" t="s">
        <v>35</v>
      </c>
      <c r="H7564" t="s">
        <v>35</v>
      </c>
      <c r="J7564" t="s">
        <v>3952</v>
      </c>
      <c r="K7564" t="s">
        <v>1092</v>
      </c>
      <c r="M7564">
        <v>0.45</v>
      </c>
      <c r="N7564">
        <v>31</v>
      </c>
      <c r="O7564" t="s">
        <v>52</v>
      </c>
      <c r="Q7564" t="s">
        <v>748</v>
      </c>
      <c r="R7564" t="s">
        <v>133</v>
      </c>
      <c r="S7564" t="s">
        <v>134</v>
      </c>
      <c r="T7564" t="s">
        <v>135</v>
      </c>
    </row>
    <row r="7565" spans="1:20" x14ac:dyDescent="0.25">
      <c r="A7565" t="s">
        <v>59</v>
      </c>
      <c r="B7565" t="s">
        <v>60</v>
      </c>
      <c r="C7565" t="s">
        <v>32</v>
      </c>
      <c r="D7565" t="s">
        <v>953</v>
      </c>
      <c r="E7565" t="s">
        <v>1015</v>
      </c>
      <c r="F7565" t="s">
        <v>35</v>
      </c>
      <c r="G7565" t="s">
        <v>35</v>
      </c>
      <c r="H7565" t="s">
        <v>35</v>
      </c>
      <c r="J7565" t="s">
        <v>3952</v>
      </c>
      <c r="K7565" t="s">
        <v>1092</v>
      </c>
      <c r="M7565">
        <v>0.5</v>
      </c>
      <c r="N7565">
        <v>31</v>
      </c>
      <c r="O7565" t="s">
        <v>52</v>
      </c>
      <c r="Q7565" t="s">
        <v>748</v>
      </c>
      <c r="R7565" t="s">
        <v>133</v>
      </c>
      <c r="S7565" t="s">
        <v>134</v>
      </c>
      <c r="T7565" t="s">
        <v>135</v>
      </c>
    </row>
    <row r="7566" spans="1:20" x14ac:dyDescent="0.25">
      <c r="A7566" t="s">
        <v>59</v>
      </c>
      <c r="B7566" t="s">
        <v>60</v>
      </c>
      <c r="C7566" t="s">
        <v>32</v>
      </c>
      <c r="D7566" t="s">
        <v>953</v>
      </c>
      <c r="E7566" t="s">
        <v>1015</v>
      </c>
      <c r="F7566" t="s">
        <v>35</v>
      </c>
      <c r="G7566" t="s">
        <v>35</v>
      </c>
      <c r="H7566" t="s">
        <v>35</v>
      </c>
      <c r="J7566" t="s">
        <v>3952</v>
      </c>
      <c r="K7566" t="s">
        <v>1092</v>
      </c>
      <c r="M7566">
        <v>0.25</v>
      </c>
      <c r="N7566">
        <v>25</v>
      </c>
      <c r="O7566" t="s">
        <v>46</v>
      </c>
      <c r="Q7566" t="s">
        <v>547</v>
      </c>
      <c r="R7566" t="s">
        <v>133</v>
      </c>
      <c r="S7566" t="s">
        <v>134</v>
      </c>
      <c r="T7566" t="s">
        <v>135</v>
      </c>
    </row>
    <row r="7567" spans="1:20" x14ac:dyDescent="0.25">
      <c r="A7567" t="s">
        <v>44</v>
      </c>
      <c r="B7567" t="s">
        <v>3</v>
      </c>
      <c r="C7567" t="s">
        <v>32</v>
      </c>
      <c r="D7567" t="s">
        <v>953</v>
      </c>
      <c r="E7567" t="s">
        <v>1015</v>
      </c>
      <c r="F7567" t="s">
        <v>35</v>
      </c>
      <c r="G7567" t="s">
        <v>35</v>
      </c>
      <c r="H7567" t="s">
        <v>35</v>
      </c>
      <c r="J7567" t="s">
        <v>3952</v>
      </c>
      <c r="K7567" t="s">
        <v>1092</v>
      </c>
      <c r="M7567">
        <v>0.65</v>
      </c>
      <c r="N7567">
        <v>25</v>
      </c>
      <c r="O7567" t="s">
        <v>46</v>
      </c>
      <c r="Q7567" t="s">
        <v>547</v>
      </c>
      <c r="R7567" t="s">
        <v>133</v>
      </c>
      <c r="S7567" t="s">
        <v>134</v>
      </c>
      <c r="T7567" t="s">
        <v>135</v>
      </c>
    </row>
    <row r="7568" spans="1:20" x14ac:dyDescent="0.25">
      <c r="A7568" t="s">
        <v>30</v>
      </c>
      <c r="B7568" t="s">
        <v>31</v>
      </c>
      <c r="C7568" t="s">
        <v>32</v>
      </c>
      <c r="D7568" t="s">
        <v>953</v>
      </c>
      <c r="E7568" t="s">
        <v>7558</v>
      </c>
      <c r="F7568" t="s">
        <v>35</v>
      </c>
      <c r="G7568" t="s">
        <v>35</v>
      </c>
      <c r="H7568" t="s">
        <v>35</v>
      </c>
      <c r="J7568" t="s">
        <v>3952</v>
      </c>
      <c r="K7568" t="s">
        <v>1092</v>
      </c>
      <c r="M7568">
        <v>0.18</v>
      </c>
      <c r="N7568">
        <v>1057</v>
      </c>
      <c r="O7568" t="s">
        <v>575</v>
      </c>
      <c r="Q7568" t="s">
        <v>7153</v>
      </c>
      <c r="R7568" t="s">
        <v>133</v>
      </c>
      <c r="S7568" t="s">
        <v>134</v>
      </c>
      <c r="T7568" t="s">
        <v>135</v>
      </c>
    </row>
    <row r="7569" spans="1:20" x14ac:dyDescent="0.25">
      <c r="A7569" t="s">
        <v>30</v>
      </c>
      <c r="B7569" t="s">
        <v>31</v>
      </c>
      <c r="C7569" t="s">
        <v>32</v>
      </c>
      <c r="D7569" t="s">
        <v>953</v>
      </c>
      <c r="E7569" t="s">
        <v>7740</v>
      </c>
      <c r="F7569" t="s">
        <v>35</v>
      </c>
      <c r="G7569" t="s">
        <v>35</v>
      </c>
      <c r="H7569" t="s">
        <v>35</v>
      </c>
      <c r="J7569" t="s">
        <v>7765</v>
      </c>
      <c r="K7569" t="s">
        <v>1092</v>
      </c>
      <c r="M7569">
        <v>0.45</v>
      </c>
      <c r="N7569">
        <v>5</v>
      </c>
      <c r="O7569" t="s">
        <v>46</v>
      </c>
      <c r="Q7569" t="s">
        <v>1865</v>
      </c>
      <c r="R7569" t="s">
        <v>133</v>
      </c>
      <c r="S7569" t="s">
        <v>134</v>
      </c>
      <c r="T7569" t="s">
        <v>135</v>
      </c>
    </row>
    <row r="7570" spans="1:20" x14ac:dyDescent="0.25">
      <c r="A7570" t="s">
        <v>30</v>
      </c>
      <c r="B7570" t="s">
        <v>31</v>
      </c>
      <c r="C7570" t="s">
        <v>32</v>
      </c>
      <c r="D7570" t="s">
        <v>953</v>
      </c>
      <c r="F7570" t="s">
        <v>35</v>
      </c>
      <c r="G7570" t="s">
        <v>35</v>
      </c>
      <c r="H7570" t="s">
        <v>35</v>
      </c>
      <c r="J7570" t="s">
        <v>8072</v>
      </c>
      <c r="K7570" t="s">
        <v>1092</v>
      </c>
      <c r="M7570">
        <v>2.835</v>
      </c>
      <c r="N7570">
        <v>1192</v>
      </c>
      <c r="O7570" t="s">
        <v>575</v>
      </c>
      <c r="Q7570" t="s">
        <v>7051</v>
      </c>
      <c r="R7570" t="s">
        <v>133</v>
      </c>
      <c r="S7570" t="s">
        <v>134</v>
      </c>
      <c r="T7570" t="s">
        <v>135</v>
      </c>
    </row>
    <row r="7571" spans="1:20" x14ac:dyDescent="0.25">
      <c r="A7571" t="s">
        <v>59</v>
      </c>
      <c r="B7571" t="s">
        <v>60</v>
      </c>
      <c r="C7571" t="s">
        <v>32</v>
      </c>
      <c r="D7571" t="s">
        <v>953</v>
      </c>
      <c r="E7571" t="s">
        <v>7467</v>
      </c>
      <c r="F7571" t="s">
        <v>35</v>
      </c>
      <c r="G7571" t="s">
        <v>35</v>
      </c>
      <c r="H7571" t="s">
        <v>35</v>
      </c>
      <c r="J7571" t="s">
        <v>7468</v>
      </c>
      <c r="K7571" t="s">
        <v>1092</v>
      </c>
      <c r="M7571">
        <v>1.25</v>
      </c>
      <c r="N7571">
        <v>84</v>
      </c>
      <c r="O7571" t="s">
        <v>61</v>
      </c>
      <c r="Q7571" t="s">
        <v>1147</v>
      </c>
      <c r="R7571" t="s">
        <v>133</v>
      </c>
      <c r="S7571" t="s">
        <v>134</v>
      </c>
      <c r="T7571" t="s">
        <v>135</v>
      </c>
    </row>
    <row r="7572" spans="1:20" x14ac:dyDescent="0.25">
      <c r="A7572" t="s">
        <v>59</v>
      </c>
      <c r="B7572" t="s">
        <v>31</v>
      </c>
      <c r="C7572" t="s">
        <v>32</v>
      </c>
      <c r="D7572" t="s">
        <v>953</v>
      </c>
      <c r="E7572" t="s">
        <v>7467</v>
      </c>
      <c r="F7572" t="s">
        <v>35</v>
      </c>
      <c r="G7572" t="s">
        <v>35</v>
      </c>
      <c r="H7572" t="s">
        <v>35</v>
      </c>
      <c r="J7572" t="s">
        <v>7468</v>
      </c>
      <c r="K7572" t="s">
        <v>1092</v>
      </c>
      <c r="M7572">
        <v>2.0699999999999998</v>
      </c>
      <c r="N7572">
        <v>84</v>
      </c>
      <c r="O7572" t="s">
        <v>61</v>
      </c>
      <c r="Q7572" t="s">
        <v>1147</v>
      </c>
      <c r="R7572" t="s">
        <v>133</v>
      </c>
      <c r="S7572" t="s">
        <v>134</v>
      </c>
      <c r="T7572" t="s">
        <v>135</v>
      </c>
    </row>
    <row r="7573" spans="1:20" x14ac:dyDescent="0.25">
      <c r="A7573" t="s">
        <v>30</v>
      </c>
      <c r="B7573" t="s">
        <v>31</v>
      </c>
      <c r="C7573" t="s">
        <v>32</v>
      </c>
      <c r="D7573" t="s">
        <v>953</v>
      </c>
      <c r="E7573" t="s">
        <v>1077</v>
      </c>
      <c r="F7573" t="s">
        <v>35</v>
      </c>
      <c r="G7573" t="s">
        <v>35</v>
      </c>
      <c r="H7573" t="s">
        <v>35</v>
      </c>
      <c r="J7573" t="s">
        <v>7654</v>
      </c>
      <c r="K7573" t="s">
        <v>1092</v>
      </c>
      <c r="M7573">
        <v>4.8600000000000003</v>
      </c>
      <c r="N7573">
        <v>31</v>
      </c>
      <c r="O7573" t="s">
        <v>52</v>
      </c>
      <c r="Q7573" t="s">
        <v>748</v>
      </c>
      <c r="R7573" t="s">
        <v>133</v>
      </c>
      <c r="S7573" t="s">
        <v>134</v>
      </c>
      <c r="T7573" t="s">
        <v>135</v>
      </c>
    </row>
    <row r="7574" spans="1:20" x14ac:dyDescent="0.25">
      <c r="A7574" t="s">
        <v>59</v>
      </c>
      <c r="B7574" t="s">
        <v>60</v>
      </c>
      <c r="C7574" t="s">
        <v>32</v>
      </c>
      <c r="D7574" t="s">
        <v>953</v>
      </c>
      <c r="E7574" t="s">
        <v>6878</v>
      </c>
      <c r="F7574" t="s">
        <v>35</v>
      </c>
      <c r="G7574" t="s">
        <v>35</v>
      </c>
      <c r="H7574" t="s">
        <v>35</v>
      </c>
      <c r="J7574" t="s">
        <v>5097</v>
      </c>
      <c r="K7574" t="s">
        <v>1092</v>
      </c>
      <c r="M7574">
        <v>4</v>
      </c>
      <c r="N7574">
        <v>52</v>
      </c>
      <c r="O7574" t="s">
        <v>52</v>
      </c>
      <c r="Q7574" t="s">
        <v>84</v>
      </c>
      <c r="R7574" t="s">
        <v>133</v>
      </c>
      <c r="S7574" t="s">
        <v>134</v>
      </c>
      <c r="T7574" t="s">
        <v>135</v>
      </c>
    </row>
    <row r="7575" spans="1:20" x14ac:dyDescent="0.25">
      <c r="A7575" t="s">
        <v>30</v>
      </c>
      <c r="B7575" t="s">
        <v>31</v>
      </c>
      <c r="C7575" t="s">
        <v>32</v>
      </c>
      <c r="D7575" t="s">
        <v>953</v>
      </c>
      <c r="E7575" t="s">
        <v>1077</v>
      </c>
      <c r="F7575" t="s">
        <v>35</v>
      </c>
      <c r="G7575" t="s">
        <v>35</v>
      </c>
      <c r="H7575" t="s">
        <v>35</v>
      </c>
      <c r="J7575" t="s">
        <v>7675</v>
      </c>
      <c r="K7575" t="s">
        <v>1092</v>
      </c>
      <c r="M7575">
        <v>4.79</v>
      </c>
      <c r="N7575">
        <v>1176</v>
      </c>
      <c r="O7575" t="s">
        <v>575</v>
      </c>
      <c r="Q7575" t="s">
        <v>5087</v>
      </c>
      <c r="R7575" t="s">
        <v>133</v>
      </c>
      <c r="S7575" t="s">
        <v>134</v>
      </c>
      <c r="T7575" t="s">
        <v>135</v>
      </c>
    </row>
    <row r="7576" spans="1:20" x14ac:dyDescent="0.25">
      <c r="A7576" t="s">
        <v>59</v>
      </c>
      <c r="B7576" t="s">
        <v>60</v>
      </c>
      <c r="C7576" t="s">
        <v>32</v>
      </c>
      <c r="D7576" t="s">
        <v>953</v>
      </c>
      <c r="E7576" t="s">
        <v>1084</v>
      </c>
      <c r="F7576" t="s">
        <v>35</v>
      </c>
      <c r="G7576" t="s">
        <v>35</v>
      </c>
      <c r="H7576" t="s">
        <v>35</v>
      </c>
      <c r="J7576" t="s">
        <v>7770</v>
      </c>
      <c r="K7576" t="s">
        <v>1092</v>
      </c>
      <c r="M7576">
        <v>4.55</v>
      </c>
      <c r="N7576">
        <v>168</v>
      </c>
      <c r="O7576" t="s">
        <v>38</v>
      </c>
      <c r="Q7576" t="s">
        <v>1692</v>
      </c>
      <c r="R7576" t="s">
        <v>133</v>
      </c>
      <c r="S7576" t="s">
        <v>134</v>
      </c>
      <c r="T7576" t="s">
        <v>135</v>
      </c>
    </row>
    <row r="7577" spans="1:20" x14ac:dyDescent="0.25">
      <c r="A7577" t="s">
        <v>59</v>
      </c>
      <c r="B7577" t="s">
        <v>31</v>
      </c>
      <c r="C7577" t="s">
        <v>32</v>
      </c>
      <c r="D7577" t="s">
        <v>953</v>
      </c>
      <c r="E7577" t="s">
        <v>1072</v>
      </c>
      <c r="F7577" t="s">
        <v>35</v>
      </c>
      <c r="G7577" t="s">
        <v>35</v>
      </c>
      <c r="H7577" t="s">
        <v>35</v>
      </c>
      <c r="J7577" t="s">
        <v>7531</v>
      </c>
      <c r="K7577" t="s">
        <v>1092</v>
      </c>
      <c r="M7577">
        <v>1.35</v>
      </c>
      <c r="N7577">
        <v>508</v>
      </c>
      <c r="O7577" t="s">
        <v>294</v>
      </c>
      <c r="Q7577" t="s">
        <v>2573</v>
      </c>
      <c r="R7577" t="s">
        <v>133</v>
      </c>
      <c r="S7577" t="s">
        <v>134</v>
      </c>
      <c r="T7577" t="s">
        <v>135</v>
      </c>
    </row>
    <row r="7578" spans="1:20" x14ac:dyDescent="0.25">
      <c r="A7578" t="s">
        <v>30</v>
      </c>
      <c r="B7578" t="s">
        <v>31</v>
      </c>
      <c r="C7578" t="s">
        <v>32</v>
      </c>
      <c r="D7578" t="s">
        <v>953</v>
      </c>
      <c r="E7578" t="s">
        <v>7740</v>
      </c>
      <c r="F7578" t="s">
        <v>35</v>
      </c>
      <c r="G7578" t="s">
        <v>35</v>
      </c>
      <c r="H7578" t="s">
        <v>35</v>
      </c>
      <c r="J7578" t="s">
        <v>7751</v>
      </c>
      <c r="K7578" t="s">
        <v>1092</v>
      </c>
      <c r="M7578">
        <v>1.53</v>
      </c>
      <c r="N7578">
        <v>31</v>
      </c>
      <c r="O7578" t="s">
        <v>52</v>
      </c>
      <c r="Q7578" t="s">
        <v>748</v>
      </c>
      <c r="R7578" t="s">
        <v>133</v>
      </c>
      <c r="S7578" t="s">
        <v>134</v>
      </c>
      <c r="T7578" t="s">
        <v>135</v>
      </c>
    </row>
    <row r="7579" spans="1:20" x14ac:dyDescent="0.25">
      <c r="A7579" t="s">
        <v>59</v>
      </c>
      <c r="B7579" t="s">
        <v>31</v>
      </c>
      <c r="C7579" t="s">
        <v>32</v>
      </c>
      <c r="D7579" t="s">
        <v>953</v>
      </c>
      <c r="E7579" t="s">
        <v>968</v>
      </c>
      <c r="F7579" t="s">
        <v>35</v>
      </c>
      <c r="G7579" t="s">
        <v>35</v>
      </c>
      <c r="H7579" t="s">
        <v>35</v>
      </c>
      <c r="J7579" t="s">
        <v>6988</v>
      </c>
      <c r="K7579" t="s">
        <v>1092</v>
      </c>
      <c r="M7579">
        <v>0.9</v>
      </c>
      <c r="N7579">
        <v>2296</v>
      </c>
      <c r="O7579" t="s">
        <v>575</v>
      </c>
      <c r="Q7579" t="s">
        <v>2357</v>
      </c>
      <c r="R7579" t="s">
        <v>133</v>
      </c>
      <c r="S7579" t="s">
        <v>134</v>
      </c>
      <c r="T7579" t="s">
        <v>135</v>
      </c>
    </row>
    <row r="7580" spans="1:20" x14ac:dyDescent="0.25">
      <c r="A7580" t="s">
        <v>59</v>
      </c>
      <c r="B7580" t="s">
        <v>60</v>
      </c>
      <c r="C7580" t="s">
        <v>32</v>
      </c>
      <c r="D7580" t="s">
        <v>953</v>
      </c>
      <c r="E7580" t="s">
        <v>1015</v>
      </c>
      <c r="F7580" t="s">
        <v>35</v>
      </c>
      <c r="G7580" t="s">
        <v>35</v>
      </c>
      <c r="H7580" t="s">
        <v>35</v>
      </c>
      <c r="J7580" t="s">
        <v>7373</v>
      </c>
      <c r="K7580" t="s">
        <v>1092</v>
      </c>
      <c r="M7580">
        <v>0.8</v>
      </c>
      <c r="N7580">
        <v>172</v>
      </c>
      <c r="O7580" t="s">
        <v>38</v>
      </c>
      <c r="Q7580" t="s">
        <v>346</v>
      </c>
      <c r="R7580" t="s">
        <v>133</v>
      </c>
      <c r="S7580" t="s">
        <v>134</v>
      </c>
      <c r="T7580" t="s">
        <v>135</v>
      </c>
    </row>
    <row r="7581" spans="1:20" x14ac:dyDescent="0.25">
      <c r="A7581" t="s">
        <v>59</v>
      </c>
      <c r="B7581" t="s">
        <v>31</v>
      </c>
      <c r="C7581" t="s">
        <v>32</v>
      </c>
      <c r="D7581" t="s">
        <v>953</v>
      </c>
      <c r="E7581" t="s">
        <v>1015</v>
      </c>
      <c r="F7581" t="s">
        <v>35</v>
      </c>
      <c r="G7581" t="s">
        <v>35</v>
      </c>
      <c r="H7581" t="s">
        <v>35</v>
      </c>
      <c r="J7581" t="s">
        <v>7373</v>
      </c>
      <c r="K7581" t="s">
        <v>1092</v>
      </c>
      <c r="M7581">
        <v>0.09</v>
      </c>
      <c r="N7581">
        <v>223</v>
      </c>
      <c r="O7581" t="s">
        <v>5</v>
      </c>
      <c r="Q7581" t="s">
        <v>1544</v>
      </c>
      <c r="R7581" t="s">
        <v>133</v>
      </c>
      <c r="S7581" t="s">
        <v>134</v>
      </c>
      <c r="T7581" t="s">
        <v>135</v>
      </c>
    </row>
    <row r="7582" spans="1:20" x14ac:dyDescent="0.25">
      <c r="A7582" t="s">
        <v>59</v>
      </c>
      <c r="B7582" t="s">
        <v>31</v>
      </c>
      <c r="C7582" t="s">
        <v>32</v>
      </c>
      <c r="D7582" t="s">
        <v>953</v>
      </c>
      <c r="E7582" t="s">
        <v>1072</v>
      </c>
      <c r="F7582" t="s">
        <v>35</v>
      </c>
      <c r="G7582" t="s">
        <v>35</v>
      </c>
      <c r="H7582" t="s">
        <v>35</v>
      </c>
      <c r="J7582" t="s">
        <v>7514</v>
      </c>
      <c r="K7582" t="s">
        <v>1092</v>
      </c>
      <c r="M7582">
        <v>0.36</v>
      </c>
      <c r="N7582">
        <v>851</v>
      </c>
      <c r="O7582" t="s">
        <v>575</v>
      </c>
      <c r="Q7582" t="s">
        <v>4266</v>
      </c>
      <c r="R7582" t="s">
        <v>133</v>
      </c>
      <c r="S7582" t="s">
        <v>134</v>
      </c>
      <c r="T7582" t="s">
        <v>135</v>
      </c>
    </row>
    <row r="7583" spans="1:20" x14ac:dyDescent="0.25">
      <c r="A7583" t="s">
        <v>59</v>
      </c>
      <c r="B7583" t="s">
        <v>60</v>
      </c>
      <c r="C7583" t="s">
        <v>32</v>
      </c>
      <c r="D7583" t="s">
        <v>953</v>
      </c>
      <c r="F7583" t="s">
        <v>35</v>
      </c>
      <c r="G7583" t="s">
        <v>35</v>
      </c>
      <c r="H7583" t="s">
        <v>35</v>
      </c>
      <c r="J7583" t="s">
        <v>7968</v>
      </c>
      <c r="K7583" t="s">
        <v>1092</v>
      </c>
      <c r="M7583">
        <v>0.25</v>
      </c>
      <c r="N7583">
        <v>919</v>
      </c>
      <c r="O7583" t="s">
        <v>575</v>
      </c>
      <c r="Q7583" t="s">
        <v>3257</v>
      </c>
      <c r="R7583" t="s">
        <v>133</v>
      </c>
      <c r="S7583" t="s">
        <v>134</v>
      </c>
      <c r="T7583" t="s">
        <v>135</v>
      </c>
    </row>
    <row r="7584" spans="1:20" x14ac:dyDescent="0.25">
      <c r="A7584" t="s">
        <v>59</v>
      </c>
      <c r="B7584" t="s">
        <v>31</v>
      </c>
      <c r="C7584" t="s">
        <v>32</v>
      </c>
      <c r="D7584" t="s">
        <v>953</v>
      </c>
      <c r="E7584" t="s">
        <v>1072</v>
      </c>
      <c r="F7584" t="s">
        <v>35</v>
      </c>
      <c r="G7584" t="s">
        <v>35</v>
      </c>
      <c r="H7584" t="s">
        <v>35</v>
      </c>
      <c r="J7584" t="s">
        <v>7515</v>
      </c>
      <c r="K7584" t="s">
        <v>1092</v>
      </c>
      <c r="M7584">
        <v>0.27</v>
      </c>
      <c r="N7584">
        <v>569</v>
      </c>
      <c r="O7584" t="s">
        <v>575</v>
      </c>
      <c r="Q7584" t="s">
        <v>2557</v>
      </c>
      <c r="R7584" t="s">
        <v>133</v>
      </c>
      <c r="S7584" t="s">
        <v>134</v>
      </c>
      <c r="T7584" t="s">
        <v>135</v>
      </c>
    </row>
    <row r="7585" spans="1:20" x14ac:dyDescent="0.25">
      <c r="A7585" t="s">
        <v>30</v>
      </c>
      <c r="B7585" t="s">
        <v>31</v>
      </c>
      <c r="C7585" t="s">
        <v>32</v>
      </c>
      <c r="D7585" t="s">
        <v>953</v>
      </c>
      <c r="E7585" t="s">
        <v>1015</v>
      </c>
      <c r="F7585" t="s">
        <v>35</v>
      </c>
      <c r="G7585" t="s">
        <v>35</v>
      </c>
      <c r="H7585" t="s">
        <v>35</v>
      </c>
      <c r="J7585" t="s">
        <v>7441</v>
      </c>
      <c r="K7585" t="s">
        <v>1092</v>
      </c>
      <c r="M7585">
        <v>0.67500000000000004</v>
      </c>
      <c r="N7585">
        <v>5</v>
      </c>
      <c r="O7585" t="s">
        <v>46</v>
      </c>
      <c r="Q7585" t="s">
        <v>1865</v>
      </c>
      <c r="R7585" t="s">
        <v>133</v>
      </c>
      <c r="S7585" t="s">
        <v>134</v>
      </c>
      <c r="T7585" t="s">
        <v>135</v>
      </c>
    </row>
    <row r="7586" spans="1:20" x14ac:dyDescent="0.25">
      <c r="A7586" t="s">
        <v>30</v>
      </c>
      <c r="B7586" t="s">
        <v>31</v>
      </c>
      <c r="C7586" t="s">
        <v>32</v>
      </c>
      <c r="D7586" t="s">
        <v>953</v>
      </c>
      <c r="E7586" t="s">
        <v>968</v>
      </c>
      <c r="F7586" t="s">
        <v>35</v>
      </c>
      <c r="G7586" t="s">
        <v>35</v>
      </c>
      <c r="H7586" t="s">
        <v>35</v>
      </c>
      <c r="J7586" t="s">
        <v>6989</v>
      </c>
      <c r="K7586" t="s">
        <v>1092</v>
      </c>
      <c r="M7586">
        <v>2.9249999999999998</v>
      </c>
      <c r="N7586">
        <v>189</v>
      </c>
      <c r="O7586" t="s">
        <v>5</v>
      </c>
      <c r="Q7586" t="s">
        <v>5616</v>
      </c>
      <c r="R7586" t="s">
        <v>133</v>
      </c>
      <c r="S7586" t="s">
        <v>134</v>
      </c>
      <c r="T7586" t="s">
        <v>135</v>
      </c>
    </row>
    <row r="7587" spans="1:20" x14ac:dyDescent="0.25">
      <c r="A7587" t="s">
        <v>59</v>
      </c>
      <c r="B7587" t="s">
        <v>60</v>
      </c>
      <c r="C7587" t="s">
        <v>32</v>
      </c>
      <c r="D7587" t="s">
        <v>953</v>
      </c>
      <c r="E7587" t="s">
        <v>1015</v>
      </c>
      <c r="F7587" t="s">
        <v>35</v>
      </c>
      <c r="G7587" t="s">
        <v>35</v>
      </c>
      <c r="H7587" t="s">
        <v>35</v>
      </c>
      <c r="J7587" t="s">
        <v>7455</v>
      </c>
      <c r="K7587" t="s">
        <v>1092</v>
      </c>
      <c r="M7587">
        <v>0.3</v>
      </c>
      <c r="N7587">
        <v>69</v>
      </c>
      <c r="O7587" t="s">
        <v>61</v>
      </c>
      <c r="Q7587" t="s">
        <v>234</v>
      </c>
      <c r="R7587" t="s">
        <v>133</v>
      </c>
      <c r="S7587" t="s">
        <v>134</v>
      </c>
      <c r="T7587" t="s">
        <v>135</v>
      </c>
    </row>
    <row r="7588" spans="1:20" x14ac:dyDescent="0.25">
      <c r="A7588" t="s">
        <v>59</v>
      </c>
      <c r="B7588" t="s">
        <v>31</v>
      </c>
      <c r="C7588" t="s">
        <v>32</v>
      </c>
      <c r="D7588" t="s">
        <v>953</v>
      </c>
      <c r="E7588" t="s">
        <v>1015</v>
      </c>
      <c r="F7588" t="s">
        <v>35</v>
      </c>
      <c r="G7588" t="s">
        <v>35</v>
      </c>
      <c r="H7588" t="s">
        <v>35</v>
      </c>
      <c r="J7588" t="s">
        <v>7455</v>
      </c>
      <c r="K7588" t="s">
        <v>1092</v>
      </c>
      <c r="M7588">
        <v>0.495</v>
      </c>
      <c r="N7588">
        <v>69</v>
      </c>
      <c r="O7588" t="s">
        <v>61</v>
      </c>
      <c r="Q7588" t="s">
        <v>234</v>
      </c>
      <c r="R7588" t="s">
        <v>133</v>
      </c>
      <c r="S7588" t="s">
        <v>134</v>
      </c>
      <c r="T7588" t="s">
        <v>135</v>
      </c>
    </row>
    <row r="7589" spans="1:20" x14ac:dyDescent="0.25">
      <c r="A7589" t="s">
        <v>30</v>
      </c>
      <c r="B7589" t="s">
        <v>31</v>
      </c>
      <c r="C7589" t="s">
        <v>32</v>
      </c>
      <c r="D7589" t="s">
        <v>953</v>
      </c>
      <c r="E7589" t="s">
        <v>1015</v>
      </c>
      <c r="F7589" t="s">
        <v>35</v>
      </c>
      <c r="G7589" t="s">
        <v>35</v>
      </c>
      <c r="H7589" t="s">
        <v>35</v>
      </c>
      <c r="J7589" t="s">
        <v>7362</v>
      </c>
      <c r="K7589" t="s">
        <v>1092</v>
      </c>
      <c r="M7589">
        <v>0.45</v>
      </c>
      <c r="N7589">
        <v>128</v>
      </c>
      <c r="O7589" t="s">
        <v>38</v>
      </c>
      <c r="Q7589" t="s">
        <v>98</v>
      </c>
      <c r="R7589" t="s">
        <v>133</v>
      </c>
      <c r="S7589" t="s">
        <v>134</v>
      </c>
      <c r="T7589" t="s">
        <v>135</v>
      </c>
    </row>
    <row r="7590" spans="1:20" x14ac:dyDescent="0.25">
      <c r="A7590" t="s">
        <v>59</v>
      </c>
      <c r="B7590" t="s">
        <v>60</v>
      </c>
      <c r="C7590" t="s">
        <v>32</v>
      </c>
      <c r="D7590" t="s">
        <v>953</v>
      </c>
      <c r="E7590" t="s">
        <v>1015</v>
      </c>
      <c r="F7590" t="s">
        <v>35</v>
      </c>
      <c r="G7590" t="s">
        <v>35</v>
      </c>
      <c r="H7590" t="s">
        <v>35</v>
      </c>
      <c r="J7590" t="s">
        <v>7362</v>
      </c>
      <c r="K7590" t="s">
        <v>1092</v>
      </c>
      <c r="M7590">
        <v>0.05</v>
      </c>
      <c r="N7590">
        <v>69</v>
      </c>
      <c r="O7590" t="s">
        <v>61</v>
      </c>
      <c r="Q7590" t="s">
        <v>234</v>
      </c>
      <c r="R7590" t="s">
        <v>133</v>
      </c>
      <c r="S7590" t="s">
        <v>134</v>
      </c>
      <c r="T7590" t="s">
        <v>135</v>
      </c>
    </row>
    <row r="7591" spans="1:20" x14ac:dyDescent="0.25">
      <c r="A7591" t="s">
        <v>59</v>
      </c>
      <c r="B7591" t="s">
        <v>31</v>
      </c>
      <c r="C7591" t="s">
        <v>32</v>
      </c>
      <c r="D7591" t="s">
        <v>953</v>
      </c>
      <c r="E7591" t="s">
        <v>1015</v>
      </c>
      <c r="F7591" t="s">
        <v>35</v>
      </c>
      <c r="G7591" t="s">
        <v>35</v>
      </c>
      <c r="H7591" t="s">
        <v>35</v>
      </c>
      <c r="J7591" t="s">
        <v>7362</v>
      </c>
      <c r="K7591" t="s">
        <v>1092</v>
      </c>
      <c r="M7591">
        <v>0.22500000000000001</v>
      </c>
      <c r="N7591">
        <v>79</v>
      </c>
      <c r="O7591" t="s">
        <v>61</v>
      </c>
      <c r="Q7591" t="s">
        <v>1076</v>
      </c>
      <c r="R7591" t="s">
        <v>133</v>
      </c>
      <c r="S7591" t="s">
        <v>134</v>
      </c>
      <c r="T7591" t="s">
        <v>135</v>
      </c>
    </row>
    <row r="7592" spans="1:20" x14ac:dyDescent="0.25">
      <c r="A7592" t="s">
        <v>59</v>
      </c>
      <c r="B7592" t="s">
        <v>60</v>
      </c>
      <c r="C7592" t="s">
        <v>32</v>
      </c>
      <c r="D7592" t="s">
        <v>953</v>
      </c>
      <c r="E7592" t="s">
        <v>1015</v>
      </c>
      <c r="F7592" t="s">
        <v>35</v>
      </c>
      <c r="G7592" t="s">
        <v>35</v>
      </c>
      <c r="H7592" t="s">
        <v>35</v>
      </c>
      <c r="J7592" t="s">
        <v>7362</v>
      </c>
      <c r="K7592" t="s">
        <v>1092</v>
      </c>
      <c r="M7592">
        <v>0.05</v>
      </c>
      <c r="N7592">
        <v>53</v>
      </c>
      <c r="O7592" t="s">
        <v>52</v>
      </c>
      <c r="Q7592" t="s">
        <v>1734</v>
      </c>
      <c r="R7592" t="s">
        <v>133</v>
      </c>
      <c r="S7592" t="s">
        <v>134</v>
      </c>
      <c r="T7592" t="s">
        <v>135</v>
      </c>
    </row>
    <row r="7593" spans="1:20" x14ac:dyDescent="0.25">
      <c r="A7593" t="s">
        <v>59</v>
      </c>
      <c r="B7593" t="s">
        <v>60</v>
      </c>
      <c r="C7593" t="s">
        <v>32</v>
      </c>
      <c r="D7593" t="s">
        <v>953</v>
      </c>
      <c r="E7593" t="s">
        <v>1015</v>
      </c>
      <c r="F7593" t="s">
        <v>35</v>
      </c>
      <c r="G7593" t="s">
        <v>35</v>
      </c>
      <c r="H7593" t="s">
        <v>35</v>
      </c>
      <c r="J7593" t="s">
        <v>7362</v>
      </c>
      <c r="K7593" t="s">
        <v>1092</v>
      </c>
      <c r="M7593">
        <v>0.05</v>
      </c>
      <c r="N7593">
        <v>40</v>
      </c>
      <c r="O7593" t="s">
        <v>52</v>
      </c>
      <c r="Q7593" t="s">
        <v>132</v>
      </c>
      <c r="R7593" t="s">
        <v>133</v>
      </c>
      <c r="S7593" t="s">
        <v>134</v>
      </c>
      <c r="T7593" t="s">
        <v>135</v>
      </c>
    </row>
    <row r="7594" spans="1:20" x14ac:dyDescent="0.25">
      <c r="A7594" t="s">
        <v>59</v>
      </c>
      <c r="B7594" t="s">
        <v>60</v>
      </c>
      <c r="C7594" t="s">
        <v>32</v>
      </c>
      <c r="D7594" t="s">
        <v>953</v>
      </c>
      <c r="E7594" t="s">
        <v>1015</v>
      </c>
      <c r="F7594" t="s">
        <v>35</v>
      </c>
      <c r="G7594" t="s">
        <v>35</v>
      </c>
      <c r="H7594" t="s">
        <v>35</v>
      </c>
      <c r="J7594" t="s">
        <v>7362</v>
      </c>
      <c r="K7594" t="s">
        <v>1092</v>
      </c>
      <c r="M7594">
        <v>0.1</v>
      </c>
      <c r="N7594">
        <v>459</v>
      </c>
      <c r="O7594" t="s">
        <v>294</v>
      </c>
      <c r="Q7594" t="s">
        <v>1114</v>
      </c>
      <c r="R7594" t="s">
        <v>133</v>
      </c>
      <c r="S7594" t="s">
        <v>134</v>
      </c>
      <c r="T7594" t="s">
        <v>135</v>
      </c>
    </row>
    <row r="7595" spans="1:20" x14ac:dyDescent="0.25">
      <c r="A7595" t="s">
        <v>59</v>
      </c>
      <c r="B7595" t="s">
        <v>31</v>
      </c>
      <c r="C7595" t="s">
        <v>32</v>
      </c>
      <c r="D7595" t="s">
        <v>953</v>
      </c>
      <c r="E7595" t="s">
        <v>1015</v>
      </c>
      <c r="F7595" t="s">
        <v>35</v>
      </c>
      <c r="G7595" t="s">
        <v>35</v>
      </c>
      <c r="H7595" t="s">
        <v>35</v>
      </c>
      <c r="J7595" t="s">
        <v>7362</v>
      </c>
      <c r="K7595" t="s">
        <v>1092</v>
      </c>
      <c r="M7595">
        <v>4.4999999999999998E-2</v>
      </c>
      <c r="N7595">
        <v>430</v>
      </c>
      <c r="O7595" t="s">
        <v>294</v>
      </c>
      <c r="Q7595" t="s">
        <v>7363</v>
      </c>
      <c r="R7595" t="s">
        <v>133</v>
      </c>
      <c r="S7595" t="s">
        <v>134</v>
      </c>
      <c r="T7595" t="s">
        <v>135</v>
      </c>
    </row>
    <row r="7596" spans="1:20" x14ac:dyDescent="0.25">
      <c r="A7596" t="s">
        <v>59</v>
      </c>
      <c r="B7596" t="s">
        <v>31</v>
      </c>
      <c r="C7596" t="s">
        <v>32</v>
      </c>
      <c r="D7596" t="s">
        <v>953</v>
      </c>
      <c r="E7596" t="s">
        <v>1015</v>
      </c>
      <c r="F7596" t="s">
        <v>35</v>
      </c>
      <c r="G7596" t="s">
        <v>35</v>
      </c>
      <c r="H7596" t="s">
        <v>35</v>
      </c>
      <c r="J7596" t="s">
        <v>7362</v>
      </c>
      <c r="K7596" t="s">
        <v>1092</v>
      </c>
      <c r="M7596">
        <v>0.13500000000000001</v>
      </c>
      <c r="N7596">
        <v>420</v>
      </c>
      <c r="O7596" t="s">
        <v>294</v>
      </c>
      <c r="Q7596" t="s">
        <v>1463</v>
      </c>
      <c r="R7596" t="s">
        <v>133</v>
      </c>
      <c r="S7596" t="s">
        <v>134</v>
      </c>
      <c r="T7596" t="s">
        <v>135</v>
      </c>
    </row>
    <row r="7597" spans="1:20" x14ac:dyDescent="0.25">
      <c r="A7597" t="s">
        <v>30</v>
      </c>
      <c r="B7597" t="s">
        <v>31</v>
      </c>
      <c r="C7597" t="s">
        <v>32</v>
      </c>
      <c r="D7597" t="s">
        <v>953</v>
      </c>
      <c r="E7597" t="s">
        <v>1015</v>
      </c>
      <c r="F7597" t="s">
        <v>35</v>
      </c>
      <c r="G7597" t="s">
        <v>35</v>
      </c>
      <c r="H7597" t="s">
        <v>35</v>
      </c>
      <c r="J7597" t="s">
        <v>7362</v>
      </c>
      <c r="K7597" t="s">
        <v>1092</v>
      </c>
      <c r="M7597">
        <v>0.22500000000000001</v>
      </c>
      <c r="N7597">
        <v>40</v>
      </c>
      <c r="O7597" t="s">
        <v>52</v>
      </c>
      <c r="Q7597" t="s">
        <v>132</v>
      </c>
      <c r="R7597" t="s">
        <v>133</v>
      </c>
      <c r="S7597" t="s">
        <v>134</v>
      </c>
      <c r="T7597" t="s">
        <v>135</v>
      </c>
    </row>
    <row r="7598" spans="1:20" x14ac:dyDescent="0.25">
      <c r="A7598" t="s">
        <v>59</v>
      </c>
      <c r="B7598" t="s">
        <v>60</v>
      </c>
      <c r="C7598" t="s">
        <v>32</v>
      </c>
      <c r="D7598" t="s">
        <v>953</v>
      </c>
      <c r="E7598" t="s">
        <v>1015</v>
      </c>
      <c r="F7598" t="s">
        <v>35</v>
      </c>
      <c r="G7598" t="s">
        <v>35</v>
      </c>
      <c r="H7598" t="s">
        <v>35</v>
      </c>
      <c r="J7598" t="s">
        <v>7362</v>
      </c>
      <c r="K7598" t="s">
        <v>1092</v>
      </c>
      <c r="M7598">
        <v>0.35</v>
      </c>
      <c r="N7598">
        <v>394</v>
      </c>
      <c r="O7598" t="s">
        <v>294</v>
      </c>
      <c r="Q7598" t="s">
        <v>1434</v>
      </c>
      <c r="R7598" t="s">
        <v>133</v>
      </c>
      <c r="S7598" t="s">
        <v>134</v>
      </c>
      <c r="T7598" t="s">
        <v>135</v>
      </c>
    </row>
    <row r="7599" spans="1:20" x14ac:dyDescent="0.25">
      <c r="A7599" t="s">
        <v>59</v>
      </c>
      <c r="B7599" t="s">
        <v>60</v>
      </c>
      <c r="C7599" t="s">
        <v>32</v>
      </c>
      <c r="D7599" t="s">
        <v>953</v>
      </c>
      <c r="E7599" t="s">
        <v>1015</v>
      </c>
      <c r="F7599" t="s">
        <v>35</v>
      </c>
      <c r="G7599" t="s">
        <v>35</v>
      </c>
      <c r="H7599" t="s">
        <v>35</v>
      </c>
      <c r="J7599" t="s">
        <v>7362</v>
      </c>
      <c r="K7599" t="s">
        <v>1092</v>
      </c>
      <c r="M7599">
        <v>0.05</v>
      </c>
      <c r="N7599">
        <v>306</v>
      </c>
      <c r="O7599" t="s">
        <v>5</v>
      </c>
      <c r="Q7599" t="s">
        <v>6056</v>
      </c>
      <c r="R7599" t="s">
        <v>133</v>
      </c>
      <c r="S7599" t="s">
        <v>134</v>
      </c>
      <c r="T7599" t="s">
        <v>135</v>
      </c>
    </row>
    <row r="7600" spans="1:20" x14ac:dyDescent="0.25">
      <c r="A7600" t="s">
        <v>59</v>
      </c>
      <c r="B7600" t="s">
        <v>60</v>
      </c>
      <c r="C7600" t="s">
        <v>32</v>
      </c>
      <c r="D7600" t="s">
        <v>953</v>
      </c>
      <c r="E7600" t="s">
        <v>1015</v>
      </c>
      <c r="F7600" t="s">
        <v>35</v>
      </c>
      <c r="G7600" t="s">
        <v>35</v>
      </c>
      <c r="H7600" t="s">
        <v>35</v>
      </c>
      <c r="J7600" t="s">
        <v>7362</v>
      </c>
      <c r="K7600" t="s">
        <v>1092</v>
      </c>
      <c r="M7600">
        <v>0.05</v>
      </c>
      <c r="N7600">
        <v>420</v>
      </c>
      <c r="O7600" t="s">
        <v>294</v>
      </c>
      <c r="Q7600" t="s">
        <v>1463</v>
      </c>
      <c r="R7600" t="s">
        <v>133</v>
      </c>
      <c r="S7600" t="s">
        <v>134</v>
      </c>
      <c r="T7600" t="s">
        <v>135</v>
      </c>
    </row>
    <row r="7601" spans="1:20" x14ac:dyDescent="0.25">
      <c r="A7601" t="s">
        <v>59</v>
      </c>
      <c r="B7601" t="s">
        <v>60</v>
      </c>
      <c r="C7601" t="s">
        <v>32</v>
      </c>
      <c r="D7601" t="s">
        <v>953</v>
      </c>
      <c r="E7601" t="s">
        <v>1015</v>
      </c>
      <c r="F7601" t="s">
        <v>35</v>
      </c>
      <c r="G7601" t="s">
        <v>35</v>
      </c>
      <c r="H7601" t="s">
        <v>35</v>
      </c>
      <c r="J7601" t="s">
        <v>7362</v>
      </c>
      <c r="K7601" t="s">
        <v>1092</v>
      </c>
      <c r="M7601">
        <v>0.05</v>
      </c>
      <c r="N7601">
        <v>172</v>
      </c>
      <c r="O7601" t="s">
        <v>38</v>
      </c>
      <c r="Q7601" t="s">
        <v>346</v>
      </c>
      <c r="R7601" t="s">
        <v>133</v>
      </c>
      <c r="S7601" t="s">
        <v>134</v>
      </c>
      <c r="T7601" t="s">
        <v>135</v>
      </c>
    </row>
    <row r="7602" spans="1:20" x14ac:dyDescent="0.25">
      <c r="A7602" t="s">
        <v>59</v>
      </c>
      <c r="B7602" t="s">
        <v>31</v>
      </c>
      <c r="C7602" t="s">
        <v>32</v>
      </c>
      <c r="D7602" t="s">
        <v>953</v>
      </c>
      <c r="E7602" t="s">
        <v>1015</v>
      </c>
      <c r="F7602" t="s">
        <v>35</v>
      </c>
      <c r="G7602" t="s">
        <v>35</v>
      </c>
      <c r="H7602" t="s">
        <v>35</v>
      </c>
      <c r="J7602" t="s">
        <v>7362</v>
      </c>
      <c r="K7602" t="s">
        <v>1092</v>
      </c>
      <c r="M7602">
        <v>0.22500000000000001</v>
      </c>
      <c r="N7602">
        <v>236</v>
      </c>
      <c r="O7602" t="s">
        <v>5</v>
      </c>
      <c r="Q7602" t="s">
        <v>1151</v>
      </c>
      <c r="R7602" t="s">
        <v>133</v>
      </c>
      <c r="S7602" t="s">
        <v>134</v>
      </c>
      <c r="T7602" t="s">
        <v>135</v>
      </c>
    </row>
    <row r="7603" spans="1:20" x14ac:dyDescent="0.25">
      <c r="A7603" t="s">
        <v>44</v>
      </c>
      <c r="B7603" t="s">
        <v>3</v>
      </c>
      <c r="C7603" t="s">
        <v>32</v>
      </c>
      <c r="D7603" t="s">
        <v>953</v>
      </c>
      <c r="E7603" t="s">
        <v>1015</v>
      </c>
      <c r="F7603" t="s">
        <v>35</v>
      </c>
      <c r="G7603" t="s">
        <v>35</v>
      </c>
      <c r="H7603" t="s">
        <v>35</v>
      </c>
      <c r="J7603" t="s">
        <v>7362</v>
      </c>
      <c r="K7603" t="s">
        <v>1092</v>
      </c>
      <c r="M7603">
        <v>0.05</v>
      </c>
      <c r="N7603">
        <v>480</v>
      </c>
      <c r="O7603" t="s">
        <v>294</v>
      </c>
      <c r="Q7603" t="s">
        <v>6492</v>
      </c>
      <c r="R7603" t="s">
        <v>133</v>
      </c>
      <c r="S7603" t="s">
        <v>134</v>
      </c>
      <c r="T7603" t="s">
        <v>135</v>
      </c>
    </row>
    <row r="7604" spans="1:20" x14ac:dyDescent="0.25">
      <c r="A7604" t="s">
        <v>59</v>
      </c>
      <c r="B7604" t="s">
        <v>31</v>
      </c>
      <c r="C7604" t="s">
        <v>32</v>
      </c>
      <c r="D7604" t="s">
        <v>953</v>
      </c>
      <c r="E7604" t="s">
        <v>1015</v>
      </c>
      <c r="F7604" t="s">
        <v>35</v>
      </c>
      <c r="G7604" t="s">
        <v>35</v>
      </c>
      <c r="H7604" t="s">
        <v>35</v>
      </c>
      <c r="J7604" t="s">
        <v>7362</v>
      </c>
      <c r="K7604" t="s">
        <v>1092</v>
      </c>
      <c r="M7604">
        <v>0.315</v>
      </c>
      <c r="N7604">
        <v>53</v>
      </c>
      <c r="O7604" t="s">
        <v>52</v>
      </c>
      <c r="Q7604" t="s">
        <v>1734</v>
      </c>
      <c r="R7604" t="s">
        <v>133</v>
      </c>
      <c r="S7604" t="s">
        <v>134</v>
      </c>
      <c r="T7604" t="s">
        <v>135</v>
      </c>
    </row>
    <row r="7605" spans="1:20" x14ac:dyDescent="0.25">
      <c r="A7605" t="s">
        <v>59</v>
      </c>
      <c r="B7605" t="s">
        <v>31</v>
      </c>
      <c r="C7605" t="s">
        <v>32</v>
      </c>
      <c r="D7605" t="s">
        <v>953</v>
      </c>
      <c r="E7605" t="s">
        <v>1015</v>
      </c>
      <c r="F7605" t="s">
        <v>35</v>
      </c>
      <c r="G7605" t="s">
        <v>35</v>
      </c>
      <c r="H7605" t="s">
        <v>35</v>
      </c>
      <c r="J7605" t="s">
        <v>7362</v>
      </c>
      <c r="K7605" t="s">
        <v>1092</v>
      </c>
      <c r="M7605">
        <v>0.09</v>
      </c>
      <c r="N7605">
        <v>426</v>
      </c>
      <c r="O7605" t="s">
        <v>294</v>
      </c>
      <c r="Q7605" t="s">
        <v>1935</v>
      </c>
      <c r="R7605" t="s">
        <v>133</v>
      </c>
      <c r="S7605" t="s">
        <v>134</v>
      </c>
      <c r="T7605" t="s">
        <v>135</v>
      </c>
    </row>
    <row r="7606" spans="1:20" x14ac:dyDescent="0.25">
      <c r="A7606" t="s">
        <v>59</v>
      </c>
      <c r="B7606" t="s">
        <v>60</v>
      </c>
      <c r="C7606" t="s">
        <v>32</v>
      </c>
      <c r="D7606" t="s">
        <v>953</v>
      </c>
      <c r="E7606" t="s">
        <v>1007</v>
      </c>
      <c r="F7606" t="s">
        <v>35</v>
      </c>
      <c r="G7606" t="s">
        <v>35</v>
      </c>
      <c r="H7606" t="s">
        <v>35</v>
      </c>
      <c r="J7606" t="s">
        <v>7321</v>
      </c>
      <c r="K7606" t="s">
        <v>1092</v>
      </c>
      <c r="M7606">
        <v>8.5500000000000007</v>
      </c>
      <c r="N7606">
        <v>1045</v>
      </c>
      <c r="O7606" t="s">
        <v>575</v>
      </c>
      <c r="Q7606" t="s">
        <v>7322</v>
      </c>
      <c r="R7606" t="s">
        <v>133</v>
      </c>
      <c r="S7606" t="s">
        <v>134</v>
      </c>
      <c r="T7606" t="s">
        <v>135</v>
      </c>
    </row>
    <row r="7607" spans="1:20" x14ac:dyDescent="0.25">
      <c r="A7607" t="s">
        <v>59</v>
      </c>
      <c r="B7607" t="s">
        <v>60</v>
      </c>
      <c r="C7607" t="s">
        <v>32</v>
      </c>
      <c r="D7607" t="s">
        <v>953</v>
      </c>
      <c r="E7607" t="s">
        <v>6878</v>
      </c>
      <c r="F7607" t="s">
        <v>35</v>
      </c>
      <c r="G7607" t="s">
        <v>35</v>
      </c>
      <c r="H7607" t="s">
        <v>35</v>
      </c>
      <c r="J7607" t="s">
        <v>6894</v>
      </c>
      <c r="K7607" t="s">
        <v>1092</v>
      </c>
      <c r="M7607">
        <v>3.5</v>
      </c>
      <c r="N7607">
        <v>136</v>
      </c>
      <c r="O7607" t="s">
        <v>38</v>
      </c>
      <c r="Q7607" t="s">
        <v>2121</v>
      </c>
      <c r="R7607" t="s">
        <v>133</v>
      </c>
      <c r="S7607" t="s">
        <v>134</v>
      </c>
      <c r="T7607" t="s">
        <v>135</v>
      </c>
    </row>
    <row r="7608" spans="1:20" x14ac:dyDescent="0.25">
      <c r="A7608" t="s">
        <v>59</v>
      </c>
      <c r="B7608" t="s">
        <v>60</v>
      </c>
      <c r="C7608" t="s">
        <v>32</v>
      </c>
      <c r="D7608" t="s">
        <v>953</v>
      </c>
      <c r="E7608" t="s">
        <v>1015</v>
      </c>
      <c r="F7608" t="s">
        <v>35</v>
      </c>
      <c r="G7608" t="s">
        <v>35</v>
      </c>
      <c r="H7608" t="s">
        <v>35</v>
      </c>
      <c r="J7608" t="s">
        <v>7398</v>
      </c>
      <c r="K7608" t="s">
        <v>1092</v>
      </c>
      <c r="M7608">
        <v>10</v>
      </c>
      <c r="N7608">
        <v>52</v>
      </c>
      <c r="O7608" t="s">
        <v>52</v>
      </c>
      <c r="Q7608" t="s">
        <v>84</v>
      </c>
      <c r="R7608" t="s">
        <v>133</v>
      </c>
      <c r="S7608" t="s">
        <v>134</v>
      </c>
      <c r="T7608" t="s">
        <v>135</v>
      </c>
    </row>
    <row r="7609" spans="1:20" x14ac:dyDescent="0.25">
      <c r="A7609" t="s">
        <v>30</v>
      </c>
      <c r="B7609" t="s">
        <v>31</v>
      </c>
      <c r="C7609" t="s">
        <v>32</v>
      </c>
      <c r="D7609" t="s">
        <v>953</v>
      </c>
      <c r="E7609" t="s">
        <v>7558</v>
      </c>
      <c r="F7609" t="s">
        <v>35</v>
      </c>
      <c r="G7609" t="s">
        <v>35</v>
      </c>
      <c r="H7609" t="s">
        <v>35</v>
      </c>
      <c r="J7609" t="s">
        <v>4467</v>
      </c>
      <c r="K7609" t="s">
        <v>1092</v>
      </c>
      <c r="M7609">
        <v>0.94499999999999995</v>
      </c>
      <c r="N7609">
        <v>1192</v>
      </c>
      <c r="O7609" t="s">
        <v>575</v>
      </c>
      <c r="Q7609" t="s">
        <v>7051</v>
      </c>
      <c r="R7609" t="s">
        <v>133</v>
      </c>
      <c r="S7609" t="s">
        <v>134</v>
      </c>
      <c r="T7609" t="s">
        <v>135</v>
      </c>
    </row>
    <row r="7610" spans="1:20" x14ac:dyDescent="0.25">
      <c r="A7610" t="s">
        <v>59</v>
      </c>
      <c r="B7610" t="s">
        <v>60</v>
      </c>
      <c r="C7610" t="s">
        <v>32</v>
      </c>
      <c r="D7610" t="s">
        <v>953</v>
      </c>
      <c r="E7610" t="s">
        <v>7494</v>
      </c>
      <c r="F7610" t="s">
        <v>35</v>
      </c>
      <c r="G7610" t="s">
        <v>35</v>
      </c>
      <c r="H7610" t="s">
        <v>35</v>
      </c>
      <c r="J7610" t="s">
        <v>7498</v>
      </c>
      <c r="K7610" t="s">
        <v>1092</v>
      </c>
      <c r="M7610">
        <v>0.5</v>
      </c>
      <c r="N7610">
        <v>1143</v>
      </c>
      <c r="O7610" t="s">
        <v>575</v>
      </c>
      <c r="Q7610" t="s">
        <v>7499</v>
      </c>
      <c r="R7610" t="s">
        <v>133</v>
      </c>
      <c r="S7610" t="s">
        <v>134</v>
      </c>
      <c r="T7610" t="s">
        <v>135</v>
      </c>
    </row>
    <row r="7611" spans="1:20" x14ac:dyDescent="0.25">
      <c r="A7611" t="s">
        <v>30</v>
      </c>
      <c r="B7611" t="s">
        <v>31</v>
      </c>
      <c r="C7611" t="s">
        <v>32</v>
      </c>
      <c r="D7611" t="s">
        <v>953</v>
      </c>
      <c r="E7611" t="s">
        <v>954</v>
      </c>
      <c r="F7611" t="s">
        <v>35</v>
      </c>
      <c r="G7611" t="s">
        <v>35</v>
      </c>
      <c r="H7611" t="s">
        <v>35</v>
      </c>
      <c r="J7611" t="s">
        <v>6714</v>
      </c>
      <c r="K7611" t="s">
        <v>1092</v>
      </c>
      <c r="M7611">
        <v>5.085</v>
      </c>
      <c r="N7611">
        <v>35</v>
      </c>
      <c r="O7611" t="s">
        <v>52</v>
      </c>
      <c r="Q7611" t="s">
        <v>991</v>
      </c>
      <c r="R7611" t="s">
        <v>133</v>
      </c>
      <c r="S7611" t="s">
        <v>134</v>
      </c>
      <c r="T7611" t="s">
        <v>135</v>
      </c>
    </row>
    <row r="7612" spans="1:20" x14ac:dyDescent="0.25">
      <c r="A7612" t="s">
        <v>59</v>
      </c>
      <c r="B7612" t="s">
        <v>60</v>
      </c>
      <c r="C7612" t="s">
        <v>32</v>
      </c>
      <c r="D7612" t="s">
        <v>953</v>
      </c>
      <c r="E7612" t="s">
        <v>980</v>
      </c>
      <c r="F7612" t="s">
        <v>35</v>
      </c>
      <c r="G7612" t="s">
        <v>35</v>
      </c>
      <c r="H7612" t="s">
        <v>35</v>
      </c>
      <c r="J7612" t="s">
        <v>7115</v>
      </c>
      <c r="K7612" t="s">
        <v>1092</v>
      </c>
      <c r="M7612">
        <v>3.9</v>
      </c>
      <c r="N7612">
        <v>53</v>
      </c>
      <c r="O7612" t="s">
        <v>52</v>
      </c>
      <c r="Q7612" t="s">
        <v>1734</v>
      </c>
      <c r="R7612" t="s">
        <v>133</v>
      </c>
      <c r="S7612" t="s">
        <v>134</v>
      </c>
      <c r="T7612" t="s">
        <v>135</v>
      </c>
    </row>
    <row r="7613" spans="1:20" x14ac:dyDescent="0.25">
      <c r="A7613" t="s">
        <v>59</v>
      </c>
      <c r="B7613" t="s">
        <v>60</v>
      </c>
      <c r="C7613" t="s">
        <v>32</v>
      </c>
      <c r="D7613" t="s">
        <v>953</v>
      </c>
      <c r="E7613" t="s">
        <v>6878</v>
      </c>
      <c r="F7613" t="s">
        <v>35</v>
      </c>
      <c r="G7613" t="s">
        <v>35</v>
      </c>
      <c r="H7613" t="s">
        <v>35</v>
      </c>
      <c r="J7613" t="s">
        <v>6970</v>
      </c>
      <c r="K7613" t="s">
        <v>1092</v>
      </c>
      <c r="M7613">
        <v>0.16500000000000001</v>
      </c>
      <c r="N7613">
        <v>159</v>
      </c>
      <c r="O7613" t="s">
        <v>38</v>
      </c>
      <c r="Q7613" t="s">
        <v>2316</v>
      </c>
      <c r="R7613" t="s">
        <v>133</v>
      </c>
      <c r="S7613" t="s">
        <v>134</v>
      </c>
      <c r="T7613" t="s">
        <v>135</v>
      </c>
    </row>
    <row r="7614" spans="1:20" x14ac:dyDescent="0.25">
      <c r="A7614" t="s">
        <v>44</v>
      </c>
      <c r="B7614" t="s">
        <v>51</v>
      </c>
      <c r="C7614" t="s">
        <v>32</v>
      </c>
      <c r="D7614" t="s">
        <v>953</v>
      </c>
      <c r="E7614" t="s">
        <v>980</v>
      </c>
      <c r="F7614" t="s">
        <v>35</v>
      </c>
      <c r="G7614" t="s">
        <v>35</v>
      </c>
      <c r="H7614" t="s">
        <v>35</v>
      </c>
      <c r="J7614" t="s">
        <v>7141</v>
      </c>
      <c r="K7614" t="s">
        <v>1092</v>
      </c>
      <c r="M7614">
        <v>1.65</v>
      </c>
      <c r="N7614">
        <v>44</v>
      </c>
      <c r="O7614" t="s">
        <v>52</v>
      </c>
      <c r="Q7614" t="s">
        <v>54</v>
      </c>
      <c r="R7614" t="s">
        <v>133</v>
      </c>
      <c r="S7614" t="s">
        <v>134</v>
      </c>
      <c r="T7614" t="s">
        <v>135</v>
      </c>
    </row>
    <row r="7615" spans="1:20" x14ac:dyDescent="0.25">
      <c r="A7615" t="s">
        <v>59</v>
      </c>
      <c r="B7615" t="s">
        <v>60</v>
      </c>
      <c r="C7615" t="s">
        <v>32</v>
      </c>
      <c r="D7615" t="s">
        <v>953</v>
      </c>
      <c r="E7615" t="s">
        <v>980</v>
      </c>
      <c r="F7615" t="s">
        <v>35</v>
      </c>
      <c r="G7615" t="s">
        <v>35</v>
      </c>
      <c r="H7615" t="s">
        <v>35</v>
      </c>
      <c r="J7615" t="s">
        <v>7141</v>
      </c>
      <c r="K7615" t="s">
        <v>1092</v>
      </c>
      <c r="M7615">
        <v>0.4</v>
      </c>
      <c r="N7615">
        <v>51</v>
      </c>
      <c r="O7615" t="s">
        <v>52</v>
      </c>
      <c r="Q7615" t="s">
        <v>58</v>
      </c>
      <c r="R7615" t="s">
        <v>133</v>
      </c>
      <c r="S7615" t="s">
        <v>134</v>
      </c>
      <c r="T7615" t="s">
        <v>135</v>
      </c>
    </row>
    <row r="7616" spans="1:20" x14ac:dyDescent="0.25">
      <c r="A7616" t="s">
        <v>44</v>
      </c>
      <c r="B7616" t="s">
        <v>3</v>
      </c>
      <c r="C7616" t="s">
        <v>32</v>
      </c>
      <c r="D7616" t="s">
        <v>953</v>
      </c>
      <c r="E7616" t="s">
        <v>980</v>
      </c>
      <c r="F7616" t="s">
        <v>35</v>
      </c>
      <c r="G7616" t="s">
        <v>35</v>
      </c>
      <c r="H7616" t="s">
        <v>35</v>
      </c>
      <c r="J7616" t="s">
        <v>7141</v>
      </c>
      <c r="K7616" t="s">
        <v>1092</v>
      </c>
      <c r="M7616">
        <v>11</v>
      </c>
      <c r="N7616">
        <v>52</v>
      </c>
      <c r="O7616" t="s">
        <v>52</v>
      </c>
      <c r="Q7616" t="s">
        <v>84</v>
      </c>
      <c r="R7616" t="s">
        <v>133</v>
      </c>
      <c r="S7616" t="s">
        <v>134</v>
      </c>
      <c r="T7616" t="s">
        <v>135</v>
      </c>
    </row>
    <row r="7617" spans="1:20" x14ac:dyDescent="0.25">
      <c r="A7617" t="s">
        <v>59</v>
      </c>
      <c r="B7617" t="s">
        <v>31</v>
      </c>
      <c r="C7617" t="s">
        <v>32</v>
      </c>
      <c r="D7617" t="s">
        <v>953</v>
      </c>
      <c r="E7617" t="s">
        <v>1015</v>
      </c>
      <c r="F7617" t="s">
        <v>35</v>
      </c>
      <c r="G7617" t="s">
        <v>35</v>
      </c>
      <c r="H7617" t="s">
        <v>35</v>
      </c>
      <c r="J7617" t="s">
        <v>7463</v>
      </c>
      <c r="K7617" t="s">
        <v>1092</v>
      </c>
      <c r="M7617">
        <v>0.40500000000000003</v>
      </c>
      <c r="N7617">
        <v>28</v>
      </c>
      <c r="O7617" t="s">
        <v>46</v>
      </c>
      <c r="Q7617" t="s">
        <v>48</v>
      </c>
      <c r="R7617" t="s">
        <v>133</v>
      </c>
      <c r="S7617" t="s">
        <v>134</v>
      </c>
      <c r="T7617" t="s">
        <v>135</v>
      </c>
    </row>
    <row r="7618" spans="1:20" x14ac:dyDescent="0.25">
      <c r="A7618" t="s">
        <v>44</v>
      </c>
      <c r="B7618" t="s">
        <v>3</v>
      </c>
      <c r="C7618" t="s">
        <v>32</v>
      </c>
      <c r="D7618" t="s">
        <v>953</v>
      </c>
      <c r="E7618" t="s">
        <v>1015</v>
      </c>
      <c r="F7618" t="s">
        <v>35</v>
      </c>
      <c r="G7618" t="s">
        <v>35</v>
      </c>
      <c r="H7618" t="s">
        <v>35</v>
      </c>
      <c r="J7618" t="s">
        <v>7463</v>
      </c>
      <c r="K7618" t="s">
        <v>1092</v>
      </c>
      <c r="M7618">
        <v>0.3</v>
      </c>
      <c r="N7618">
        <v>25</v>
      </c>
      <c r="O7618" t="s">
        <v>46</v>
      </c>
      <c r="Q7618" t="s">
        <v>547</v>
      </c>
      <c r="R7618" t="s">
        <v>133</v>
      </c>
      <c r="S7618" t="s">
        <v>134</v>
      </c>
      <c r="T7618" t="s">
        <v>135</v>
      </c>
    </row>
    <row r="7619" spans="1:20" x14ac:dyDescent="0.25">
      <c r="A7619" t="s">
        <v>59</v>
      </c>
      <c r="B7619" t="s">
        <v>60</v>
      </c>
      <c r="C7619" t="s">
        <v>32</v>
      </c>
      <c r="D7619" t="s">
        <v>953</v>
      </c>
      <c r="E7619" t="s">
        <v>954</v>
      </c>
      <c r="F7619" t="s">
        <v>35</v>
      </c>
      <c r="G7619" t="s">
        <v>35</v>
      </c>
      <c r="H7619" t="s">
        <v>35</v>
      </c>
      <c r="J7619" t="s">
        <v>6817</v>
      </c>
      <c r="K7619" t="s">
        <v>1092</v>
      </c>
      <c r="M7619">
        <v>7.5999999999999998E-2</v>
      </c>
      <c r="N7619">
        <v>324</v>
      </c>
      <c r="O7619" t="s">
        <v>5</v>
      </c>
      <c r="Q7619" t="s">
        <v>6073</v>
      </c>
      <c r="R7619" t="s">
        <v>133</v>
      </c>
      <c r="S7619" t="s">
        <v>134</v>
      </c>
      <c r="T7619" t="s">
        <v>135</v>
      </c>
    </row>
    <row r="7620" spans="1:20" x14ac:dyDescent="0.25">
      <c r="A7620" t="s">
        <v>59</v>
      </c>
      <c r="B7620" t="s">
        <v>60</v>
      </c>
      <c r="C7620" t="s">
        <v>32</v>
      </c>
      <c r="D7620" t="s">
        <v>953</v>
      </c>
      <c r="E7620" t="s">
        <v>7740</v>
      </c>
      <c r="F7620" t="s">
        <v>35</v>
      </c>
      <c r="G7620" t="s">
        <v>35</v>
      </c>
      <c r="H7620" t="s">
        <v>35</v>
      </c>
      <c r="J7620" t="s">
        <v>7753</v>
      </c>
      <c r="K7620" t="s">
        <v>1092</v>
      </c>
      <c r="M7620">
        <v>5</v>
      </c>
      <c r="N7620">
        <v>83</v>
      </c>
      <c r="O7620" t="s">
        <v>61</v>
      </c>
      <c r="Q7620" t="s">
        <v>897</v>
      </c>
      <c r="R7620" t="s">
        <v>133</v>
      </c>
      <c r="S7620" t="s">
        <v>134</v>
      </c>
      <c r="T7620" t="s">
        <v>135</v>
      </c>
    </row>
    <row r="7621" spans="1:20" x14ac:dyDescent="0.25">
      <c r="A7621" t="s">
        <v>59</v>
      </c>
      <c r="B7621" t="s">
        <v>31</v>
      </c>
      <c r="C7621" t="s">
        <v>32</v>
      </c>
      <c r="D7621" t="s">
        <v>953</v>
      </c>
      <c r="E7621" t="s">
        <v>7740</v>
      </c>
      <c r="F7621" t="s">
        <v>35</v>
      </c>
      <c r="G7621" t="s">
        <v>35</v>
      </c>
      <c r="H7621" t="s">
        <v>35</v>
      </c>
      <c r="J7621" t="s">
        <v>7753</v>
      </c>
      <c r="K7621" t="s">
        <v>1092</v>
      </c>
      <c r="M7621">
        <v>4.9950000000000001</v>
      </c>
      <c r="N7621">
        <v>53</v>
      </c>
      <c r="O7621" t="s">
        <v>52</v>
      </c>
      <c r="Q7621" t="s">
        <v>1734</v>
      </c>
      <c r="R7621" t="s">
        <v>133</v>
      </c>
      <c r="S7621" t="s">
        <v>134</v>
      </c>
      <c r="T7621" t="s">
        <v>135</v>
      </c>
    </row>
    <row r="7622" spans="1:20" x14ac:dyDescent="0.25">
      <c r="A7622" t="s">
        <v>44</v>
      </c>
      <c r="B7622" t="s">
        <v>3</v>
      </c>
      <c r="C7622" t="s">
        <v>32</v>
      </c>
      <c r="D7622" t="s">
        <v>953</v>
      </c>
      <c r="E7622" t="s">
        <v>7740</v>
      </c>
      <c r="F7622" t="s">
        <v>35</v>
      </c>
      <c r="G7622" t="s">
        <v>35</v>
      </c>
      <c r="H7622" t="s">
        <v>35</v>
      </c>
      <c r="J7622" t="s">
        <v>7753</v>
      </c>
      <c r="K7622" t="s">
        <v>1092</v>
      </c>
      <c r="M7622">
        <v>0.5</v>
      </c>
      <c r="N7622">
        <v>7</v>
      </c>
      <c r="O7622" t="s">
        <v>46</v>
      </c>
      <c r="Q7622" t="s">
        <v>2440</v>
      </c>
      <c r="R7622" t="s">
        <v>133</v>
      </c>
      <c r="S7622" t="s">
        <v>134</v>
      </c>
      <c r="T7622" t="s">
        <v>135</v>
      </c>
    </row>
    <row r="7623" spans="1:20" x14ac:dyDescent="0.25">
      <c r="A7623" t="s">
        <v>59</v>
      </c>
      <c r="B7623" t="s">
        <v>60</v>
      </c>
      <c r="C7623" t="s">
        <v>32</v>
      </c>
      <c r="D7623" t="s">
        <v>953</v>
      </c>
      <c r="E7623" t="s">
        <v>6878</v>
      </c>
      <c r="F7623" t="s">
        <v>35</v>
      </c>
      <c r="G7623" t="s">
        <v>35</v>
      </c>
      <c r="H7623" t="s">
        <v>35</v>
      </c>
      <c r="J7623" t="s">
        <v>6972</v>
      </c>
      <c r="K7623" t="s">
        <v>1092</v>
      </c>
      <c r="M7623">
        <v>0.35</v>
      </c>
      <c r="N7623">
        <v>143</v>
      </c>
      <c r="O7623" t="s">
        <v>38</v>
      </c>
      <c r="Q7623" t="s">
        <v>1612</v>
      </c>
      <c r="R7623" t="s">
        <v>133</v>
      </c>
      <c r="S7623" t="s">
        <v>134</v>
      </c>
      <c r="T7623" t="s">
        <v>135</v>
      </c>
    </row>
    <row r="7624" spans="1:20" x14ac:dyDescent="0.25">
      <c r="A7624" t="s">
        <v>59</v>
      </c>
      <c r="B7624" t="s">
        <v>60</v>
      </c>
      <c r="C7624" t="s">
        <v>32</v>
      </c>
      <c r="D7624" t="s">
        <v>953</v>
      </c>
      <c r="E7624" t="s">
        <v>980</v>
      </c>
      <c r="F7624" t="s">
        <v>35</v>
      </c>
      <c r="G7624" t="s">
        <v>35</v>
      </c>
      <c r="H7624" t="s">
        <v>35</v>
      </c>
      <c r="J7624" t="s">
        <v>7136</v>
      </c>
      <c r="K7624" t="s">
        <v>1092</v>
      </c>
      <c r="M7624">
        <v>3.2</v>
      </c>
      <c r="N7624">
        <v>51</v>
      </c>
      <c r="O7624" t="s">
        <v>52</v>
      </c>
      <c r="Q7624" t="s">
        <v>58</v>
      </c>
      <c r="R7624" t="s">
        <v>133</v>
      </c>
      <c r="S7624" t="s">
        <v>134</v>
      </c>
      <c r="T7624" t="s">
        <v>135</v>
      </c>
    </row>
    <row r="7625" spans="1:20" x14ac:dyDescent="0.25">
      <c r="A7625" t="s">
        <v>59</v>
      </c>
      <c r="B7625" t="s">
        <v>60</v>
      </c>
      <c r="C7625" t="s">
        <v>32</v>
      </c>
      <c r="D7625" t="s">
        <v>953</v>
      </c>
      <c r="E7625" t="s">
        <v>7558</v>
      </c>
      <c r="F7625" t="s">
        <v>35</v>
      </c>
      <c r="G7625" t="s">
        <v>35</v>
      </c>
      <c r="H7625" t="s">
        <v>35</v>
      </c>
      <c r="J7625" t="s">
        <v>7585</v>
      </c>
      <c r="K7625" t="s">
        <v>1092</v>
      </c>
      <c r="M7625">
        <v>5.0999999999999996</v>
      </c>
      <c r="N7625">
        <v>60</v>
      </c>
      <c r="O7625" t="s">
        <v>52</v>
      </c>
      <c r="Q7625" t="s">
        <v>1311</v>
      </c>
      <c r="R7625" t="s">
        <v>133</v>
      </c>
      <c r="S7625" t="s">
        <v>134</v>
      </c>
      <c r="T7625" t="s">
        <v>135</v>
      </c>
    </row>
    <row r="7626" spans="1:20" x14ac:dyDescent="0.25">
      <c r="A7626" t="s">
        <v>59</v>
      </c>
      <c r="B7626" t="s">
        <v>31</v>
      </c>
      <c r="C7626" t="s">
        <v>32</v>
      </c>
      <c r="D7626" t="s">
        <v>953</v>
      </c>
      <c r="E7626" t="s">
        <v>1015</v>
      </c>
      <c r="F7626" t="s">
        <v>35</v>
      </c>
      <c r="G7626" t="s">
        <v>35</v>
      </c>
      <c r="H7626" t="s">
        <v>35</v>
      </c>
      <c r="J7626" t="s">
        <v>7456</v>
      </c>
      <c r="K7626" t="s">
        <v>1092</v>
      </c>
      <c r="M7626">
        <v>4.4999999999999998E-2</v>
      </c>
      <c r="N7626">
        <v>53</v>
      </c>
      <c r="O7626" t="s">
        <v>52</v>
      </c>
      <c r="Q7626" t="s">
        <v>1734</v>
      </c>
      <c r="R7626" t="s">
        <v>133</v>
      </c>
      <c r="S7626" t="s">
        <v>134</v>
      </c>
      <c r="T7626" t="s">
        <v>135</v>
      </c>
    </row>
    <row r="7627" spans="1:20" x14ac:dyDescent="0.25">
      <c r="A7627" t="s">
        <v>59</v>
      </c>
      <c r="B7627" t="s">
        <v>60</v>
      </c>
      <c r="C7627" t="s">
        <v>32</v>
      </c>
      <c r="D7627" t="s">
        <v>953</v>
      </c>
      <c r="E7627" t="s">
        <v>6878</v>
      </c>
      <c r="F7627" t="s">
        <v>35</v>
      </c>
      <c r="G7627" t="s">
        <v>35</v>
      </c>
      <c r="H7627" t="s">
        <v>35</v>
      </c>
      <c r="J7627" t="s">
        <v>6967</v>
      </c>
      <c r="K7627" t="s">
        <v>1092</v>
      </c>
      <c r="M7627">
        <v>0.45</v>
      </c>
      <c r="N7627">
        <v>53</v>
      </c>
      <c r="O7627" t="s">
        <v>52</v>
      </c>
      <c r="Q7627" t="s">
        <v>1734</v>
      </c>
      <c r="R7627" t="s">
        <v>133</v>
      </c>
      <c r="S7627" t="s">
        <v>134</v>
      </c>
      <c r="T7627" t="s">
        <v>135</v>
      </c>
    </row>
    <row r="7628" spans="1:20" x14ac:dyDescent="0.25">
      <c r="A7628" t="s">
        <v>59</v>
      </c>
      <c r="B7628" t="s">
        <v>60</v>
      </c>
      <c r="C7628" t="s">
        <v>32</v>
      </c>
      <c r="D7628" t="s">
        <v>953</v>
      </c>
      <c r="E7628" t="s">
        <v>1015</v>
      </c>
      <c r="F7628" t="s">
        <v>35</v>
      </c>
      <c r="G7628" t="s">
        <v>35</v>
      </c>
      <c r="H7628" t="s">
        <v>35</v>
      </c>
      <c r="J7628" t="s">
        <v>7348</v>
      </c>
      <c r="K7628" t="s">
        <v>1092</v>
      </c>
      <c r="M7628">
        <v>0.45</v>
      </c>
      <c r="N7628">
        <v>66</v>
      </c>
      <c r="O7628" t="s">
        <v>61</v>
      </c>
      <c r="Q7628" t="s">
        <v>552</v>
      </c>
      <c r="R7628" t="s">
        <v>133</v>
      </c>
      <c r="S7628" t="s">
        <v>134</v>
      </c>
      <c r="T7628" t="s">
        <v>135</v>
      </c>
    </row>
    <row r="7629" spans="1:20" x14ac:dyDescent="0.25">
      <c r="A7629" t="s">
        <v>59</v>
      </c>
      <c r="B7629" t="s">
        <v>60</v>
      </c>
      <c r="C7629" t="s">
        <v>32</v>
      </c>
      <c r="D7629" t="s">
        <v>953</v>
      </c>
      <c r="E7629" t="s">
        <v>1015</v>
      </c>
      <c r="F7629" t="s">
        <v>35</v>
      </c>
      <c r="G7629" t="s">
        <v>35</v>
      </c>
      <c r="H7629" t="s">
        <v>35</v>
      </c>
      <c r="J7629" t="s">
        <v>7369</v>
      </c>
      <c r="K7629" t="s">
        <v>1092</v>
      </c>
      <c r="M7629">
        <v>6.7</v>
      </c>
      <c r="N7629">
        <v>53</v>
      </c>
      <c r="O7629" t="s">
        <v>52</v>
      </c>
      <c r="Q7629" t="s">
        <v>1734</v>
      </c>
      <c r="R7629" t="s">
        <v>133</v>
      </c>
      <c r="S7629" t="s">
        <v>134</v>
      </c>
      <c r="T7629" t="s">
        <v>135</v>
      </c>
    </row>
    <row r="7630" spans="1:20" x14ac:dyDescent="0.25">
      <c r="A7630" t="s">
        <v>59</v>
      </c>
      <c r="B7630" t="s">
        <v>60</v>
      </c>
      <c r="C7630" t="s">
        <v>32</v>
      </c>
      <c r="D7630" t="s">
        <v>953</v>
      </c>
      <c r="E7630" t="s">
        <v>980</v>
      </c>
      <c r="F7630" t="s">
        <v>35</v>
      </c>
      <c r="G7630" t="s">
        <v>35</v>
      </c>
      <c r="H7630" t="s">
        <v>35</v>
      </c>
      <c r="J7630" t="s">
        <v>7137</v>
      </c>
      <c r="K7630" t="s">
        <v>1092</v>
      </c>
      <c r="M7630">
        <v>3</v>
      </c>
      <c r="N7630">
        <v>51</v>
      </c>
      <c r="O7630" t="s">
        <v>52</v>
      </c>
      <c r="Q7630" t="s">
        <v>58</v>
      </c>
      <c r="R7630" t="s">
        <v>133</v>
      </c>
      <c r="S7630" t="s">
        <v>134</v>
      </c>
      <c r="T7630" t="s">
        <v>135</v>
      </c>
    </row>
    <row r="7631" spans="1:20" x14ac:dyDescent="0.25">
      <c r="A7631" t="s">
        <v>59</v>
      </c>
      <c r="B7631" t="s">
        <v>60</v>
      </c>
      <c r="C7631" t="s">
        <v>32</v>
      </c>
      <c r="D7631" t="s">
        <v>953</v>
      </c>
      <c r="E7631" t="s">
        <v>6878</v>
      </c>
      <c r="F7631" t="s">
        <v>35</v>
      </c>
      <c r="G7631" t="s">
        <v>35</v>
      </c>
      <c r="H7631" t="s">
        <v>35</v>
      </c>
      <c r="J7631" t="s">
        <v>2661</v>
      </c>
      <c r="K7631" t="s">
        <v>1092</v>
      </c>
      <c r="M7631">
        <v>2</v>
      </c>
      <c r="N7631">
        <v>65</v>
      </c>
      <c r="O7631" t="s">
        <v>61</v>
      </c>
      <c r="Q7631" t="s">
        <v>63</v>
      </c>
      <c r="R7631" t="s">
        <v>133</v>
      </c>
      <c r="S7631" t="s">
        <v>134</v>
      </c>
      <c r="T7631" t="s">
        <v>135</v>
      </c>
    </row>
    <row r="7632" spans="1:20" x14ac:dyDescent="0.25">
      <c r="A7632" t="s">
        <v>59</v>
      </c>
      <c r="B7632" t="s">
        <v>60</v>
      </c>
      <c r="C7632" t="s">
        <v>32</v>
      </c>
      <c r="D7632" t="s">
        <v>953</v>
      </c>
      <c r="E7632" t="s">
        <v>6878</v>
      </c>
      <c r="F7632" t="s">
        <v>35</v>
      </c>
      <c r="G7632" t="s">
        <v>35</v>
      </c>
      <c r="H7632" t="s">
        <v>35</v>
      </c>
      <c r="J7632" t="s">
        <v>2661</v>
      </c>
      <c r="K7632" t="s">
        <v>1092</v>
      </c>
      <c r="M7632">
        <v>1.2</v>
      </c>
      <c r="N7632">
        <v>228</v>
      </c>
      <c r="O7632" t="s">
        <v>5</v>
      </c>
      <c r="Q7632" t="s">
        <v>4942</v>
      </c>
      <c r="R7632" t="s">
        <v>133</v>
      </c>
      <c r="S7632" t="s">
        <v>134</v>
      </c>
      <c r="T7632" t="s">
        <v>135</v>
      </c>
    </row>
    <row r="7633" spans="1:20" x14ac:dyDescent="0.25">
      <c r="A7633" t="s">
        <v>59</v>
      </c>
      <c r="B7633" t="s">
        <v>31</v>
      </c>
      <c r="C7633" t="s">
        <v>32</v>
      </c>
      <c r="D7633" t="s">
        <v>953</v>
      </c>
      <c r="E7633" t="s">
        <v>7842</v>
      </c>
      <c r="F7633" t="s">
        <v>35</v>
      </c>
      <c r="G7633" t="s">
        <v>35</v>
      </c>
      <c r="H7633" t="s">
        <v>35</v>
      </c>
      <c r="J7633" t="s">
        <v>2661</v>
      </c>
      <c r="K7633" t="s">
        <v>1092</v>
      </c>
      <c r="M7633">
        <v>49.59</v>
      </c>
      <c r="N7633">
        <v>136</v>
      </c>
      <c r="O7633" t="s">
        <v>38</v>
      </c>
      <c r="Q7633" t="s">
        <v>2121</v>
      </c>
      <c r="R7633" t="s">
        <v>133</v>
      </c>
      <c r="S7633" t="s">
        <v>134</v>
      </c>
      <c r="T7633" t="s">
        <v>135</v>
      </c>
    </row>
    <row r="7634" spans="1:20" x14ac:dyDescent="0.25">
      <c r="A7634" t="s">
        <v>59</v>
      </c>
      <c r="B7634" t="s">
        <v>31</v>
      </c>
      <c r="C7634" t="s">
        <v>32</v>
      </c>
      <c r="D7634" t="s">
        <v>953</v>
      </c>
      <c r="E7634" t="s">
        <v>7494</v>
      </c>
      <c r="F7634" t="s">
        <v>35</v>
      </c>
      <c r="G7634" t="s">
        <v>35</v>
      </c>
      <c r="H7634" t="s">
        <v>35</v>
      </c>
      <c r="J7634" t="s">
        <v>7503</v>
      </c>
      <c r="K7634" t="s">
        <v>1092</v>
      </c>
      <c r="M7634">
        <v>4.4550000000000001</v>
      </c>
      <c r="N7634">
        <v>215</v>
      </c>
      <c r="O7634" t="s">
        <v>5</v>
      </c>
      <c r="Q7634" t="s">
        <v>1746</v>
      </c>
      <c r="R7634" t="s">
        <v>133</v>
      </c>
      <c r="S7634" t="s">
        <v>134</v>
      </c>
      <c r="T7634" t="s">
        <v>135</v>
      </c>
    </row>
    <row r="7635" spans="1:20" x14ac:dyDescent="0.25">
      <c r="A7635" t="s">
        <v>30</v>
      </c>
      <c r="B7635" t="s">
        <v>31</v>
      </c>
      <c r="C7635" t="s">
        <v>32</v>
      </c>
      <c r="D7635" t="s">
        <v>953</v>
      </c>
      <c r="E7635" t="s">
        <v>7558</v>
      </c>
      <c r="F7635" t="s">
        <v>35</v>
      </c>
      <c r="G7635" t="s">
        <v>35</v>
      </c>
      <c r="H7635" t="s">
        <v>35</v>
      </c>
      <c r="J7635" t="s">
        <v>7578</v>
      </c>
      <c r="K7635" t="s">
        <v>1092</v>
      </c>
      <c r="M7635">
        <v>3.71</v>
      </c>
      <c r="N7635">
        <v>1057</v>
      </c>
      <c r="O7635" t="s">
        <v>575</v>
      </c>
      <c r="Q7635" t="s">
        <v>7153</v>
      </c>
      <c r="R7635" t="s">
        <v>133</v>
      </c>
      <c r="S7635" t="s">
        <v>134</v>
      </c>
      <c r="T7635" t="s">
        <v>135</v>
      </c>
    </row>
    <row r="7636" spans="1:20" x14ac:dyDescent="0.25">
      <c r="A7636" t="s">
        <v>44</v>
      </c>
      <c r="B7636" t="s">
        <v>51</v>
      </c>
      <c r="C7636" t="s">
        <v>32</v>
      </c>
      <c r="D7636" t="s">
        <v>953</v>
      </c>
      <c r="E7636" t="s">
        <v>954</v>
      </c>
      <c r="F7636" t="s">
        <v>35</v>
      </c>
      <c r="G7636" t="s">
        <v>35</v>
      </c>
      <c r="H7636" t="s">
        <v>35</v>
      </c>
      <c r="J7636" t="s">
        <v>6759</v>
      </c>
      <c r="K7636" t="s">
        <v>1092</v>
      </c>
      <c r="M7636">
        <v>2.5</v>
      </c>
      <c r="N7636">
        <v>6</v>
      </c>
      <c r="O7636" t="s">
        <v>46</v>
      </c>
      <c r="Q7636" t="s">
        <v>310</v>
      </c>
      <c r="R7636" t="s">
        <v>133</v>
      </c>
      <c r="S7636" t="s">
        <v>134</v>
      </c>
      <c r="T7636" t="s">
        <v>135</v>
      </c>
    </row>
    <row r="7637" spans="1:20" x14ac:dyDescent="0.25">
      <c r="A7637" t="s">
        <v>59</v>
      </c>
      <c r="B7637" t="s">
        <v>60</v>
      </c>
      <c r="C7637" t="s">
        <v>32</v>
      </c>
      <c r="D7637" t="s">
        <v>953</v>
      </c>
      <c r="E7637" t="s">
        <v>968</v>
      </c>
      <c r="F7637" t="s">
        <v>35</v>
      </c>
      <c r="G7637" t="s">
        <v>35</v>
      </c>
      <c r="H7637" t="s">
        <v>35</v>
      </c>
      <c r="J7637" t="s">
        <v>7006</v>
      </c>
      <c r="K7637" t="s">
        <v>1092</v>
      </c>
      <c r="M7637">
        <v>8.75</v>
      </c>
      <c r="N7637">
        <v>84</v>
      </c>
      <c r="O7637" t="s">
        <v>61</v>
      </c>
      <c r="Q7637" t="s">
        <v>1147</v>
      </c>
      <c r="R7637" t="s">
        <v>133</v>
      </c>
      <c r="S7637" t="s">
        <v>134</v>
      </c>
      <c r="T7637" t="s">
        <v>135</v>
      </c>
    </row>
    <row r="7638" spans="1:20" x14ac:dyDescent="0.25">
      <c r="A7638" t="s">
        <v>59</v>
      </c>
      <c r="B7638" t="s">
        <v>60</v>
      </c>
      <c r="C7638" t="s">
        <v>32</v>
      </c>
      <c r="D7638" t="s">
        <v>953</v>
      </c>
      <c r="E7638" t="s">
        <v>968</v>
      </c>
      <c r="F7638" t="s">
        <v>35</v>
      </c>
      <c r="G7638" t="s">
        <v>35</v>
      </c>
      <c r="H7638" t="s">
        <v>35</v>
      </c>
      <c r="J7638" t="s">
        <v>7007</v>
      </c>
      <c r="K7638" t="s">
        <v>1092</v>
      </c>
      <c r="M7638">
        <v>5</v>
      </c>
      <c r="N7638">
        <v>79</v>
      </c>
      <c r="O7638" t="s">
        <v>61</v>
      </c>
      <c r="Q7638" t="s">
        <v>1076</v>
      </c>
      <c r="R7638" t="s">
        <v>133</v>
      </c>
      <c r="S7638" t="s">
        <v>134</v>
      </c>
      <c r="T7638" t="s">
        <v>135</v>
      </c>
    </row>
    <row r="7639" spans="1:20" x14ac:dyDescent="0.25">
      <c r="A7639" t="s">
        <v>59</v>
      </c>
      <c r="B7639" t="s">
        <v>60</v>
      </c>
      <c r="C7639" t="s">
        <v>32</v>
      </c>
      <c r="D7639" t="s">
        <v>953</v>
      </c>
      <c r="E7639" t="s">
        <v>1015</v>
      </c>
      <c r="F7639" t="s">
        <v>35</v>
      </c>
      <c r="G7639" t="s">
        <v>35</v>
      </c>
      <c r="H7639" t="s">
        <v>35</v>
      </c>
      <c r="J7639" t="s">
        <v>4452</v>
      </c>
      <c r="K7639" t="s">
        <v>1092</v>
      </c>
      <c r="M7639">
        <v>0.2</v>
      </c>
      <c r="N7639">
        <v>52</v>
      </c>
      <c r="O7639" t="s">
        <v>52</v>
      </c>
      <c r="Q7639" t="s">
        <v>84</v>
      </c>
      <c r="R7639" t="s">
        <v>133</v>
      </c>
      <c r="S7639" t="s">
        <v>134</v>
      </c>
      <c r="T7639" t="s">
        <v>135</v>
      </c>
    </row>
    <row r="7640" spans="1:20" x14ac:dyDescent="0.25">
      <c r="A7640" t="s">
        <v>59</v>
      </c>
      <c r="B7640" t="s">
        <v>31</v>
      </c>
      <c r="C7640" t="s">
        <v>32</v>
      </c>
      <c r="D7640" t="s">
        <v>953</v>
      </c>
      <c r="E7640" t="s">
        <v>980</v>
      </c>
      <c r="F7640" t="s">
        <v>35</v>
      </c>
      <c r="G7640" t="s">
        <v>35</v>
      </c>
      <c r="H7640" t="s">
        <v>35</v>
      </c>
      <c r="J7640" t="s">
        <v>7144</v>
      </c>
      <c r="K7640" t="s">
        <v>1092</v>
      </c>
      <c r="M7640">
        <v>1.9350000000000001</v>
      </c>
      <c r="N7640">
        <v>392</v>
      </c>
      <c r="O7640" t="s">
        <v>294</v>
      </c>
      <c r="Q7640" t="s">
        <v>1707</v>
      </c>
      <c r="R7640" t="s">
        <v>133</v>
      </c>
      <c r="S7640" t="s">
        <v>134</v>
      </c>
      <c r="T7640" t="s">
        <v>135</v>
      </c>
    </row>
    <row r="7641" spans="1:20" x14ac:dyDescent="0.25">
      <c r="A7641" t="s">
        <v>30</v>
      </c>
      <c r="B7641" t="s">
        <v>31</v>
      </c>
      <c r="C7641" t="s">
        <v>32</v>
      </c>
      <c r="D7641" t="s">
        <v>953</v>
      </c>
      <c r="E7641" t="s">
        <v>954</v>
      </c>
      <c r="F7641" t="s">
        <v>35</v>
      </c>
      <c r="G7641" t="s">
        <v>35</v>
      </c>
      <c r="H7641" t="s">
        <v>35</v>
      </c>
      <c r="J7641" t="s">
        <v>6876</v>
      </c>
      <c r="K7641" t="s">
        <v>1092</v>
      </c>
      <c r="M7641">
        <v>2.97</v>
      </c>
      <c r="N7641">
        <v>195</v>
      </c>
      <c r="O7641" t="s">
        <v>5</v>
      </c>
      <c r="Q7641" t="s">
        <v>1299</v>
      </c>
      <c r="R7641" t="s">
        <v>133</v>
      </c>
      <c r="S7641" t="s">
        <v>134</v>
      </c>
      <c r="T7641" t="s">
        <v>135</v>
      </c>
    </row>
    <row r="7642" spans="1:20" x14ac:dyDescent="0.25">
      <c r="A7642" t="s">
        <v>59</v>
      </c>
      <c r="B7642" t="s">
        <v>60</v>
      </c>
      <c r="C7642" t="s">
        <v>32</v>
      </c>
      <c r="D7642" t="s">
        <v>953</v>
      </c>
      <c r="E7642" t="s">
        <v>1015</v>
      </c>
      <c r="F7642" t="s">
        <v>35</v>
      </c>
      <c r="G7642" t="s">
        <v>35</v>
      </c>
      <c r="H7642" t="s">
        <v>35</v>
      </c>
      <c r="J7642" t="s">
        <v>7371</v>
      </c>
      <c r="K7642" t="s">
        <v>1092</v>
      </c>
      <c r="M7642">
        <v>0.2</v>
      </c>
      <c r="N7642">
        <v>79</v>
      </c>
      <c r="O7642" t="s">
        <v>61</v>
      </c>
      <c r="Q7642" t="s">
        <v>1076</v>
      </c>
      <c r="R7642" t="s">
        <v>133</v>
      </c>
      <c r="S7642" t="s">
        <v>134</v>
      </c>
      <c r="T7642" t="s">
        <v>135</v>
      </c>
    </row>
    <row r="7643" spans="1:20" x14ac:dyDescent="0.25">
      <c r="A7643" t="s">
        <v>59</v>
      </c>
      <c r="B7643" t="s">
        <v>60</v>
      </c>
      <c r="C7643" t="s">
        <v>32</v>
      </c>
      <c r="D7643" t="s">
        <v>953</v>
      </c>
      <c r="E7643" t="s">
        <v>1015</v>
      </c>
      <c r="F7643" t="s">
        <v>35</v>
      </c>
      <c r="G7643" t="s">
        <v>35</v>
      </c>
      <c r="H7643" t="s">
        <v>35</v>
      </c>
      <c r="J7643" t="s">
        <v>7371</v>
      </c>
      <c r="K7643" t="s">
        <v>1092</v>
      </c>
      <c r="M7643">
        <v>0.5</v>
      </c>
      <c r="N7643">
        <v>18</v>
      </c>
      <c r="O7643" t="s">
        <v>46</v>
      </c>
      <c r="Q7643" t="s">
        <v>831</v>
      </c>
      <c r="R7643" t="s">
        <v>133</v>
      </c>
      <c r="S7643" t="s">
        <v>134</v>
      </c>
      <c r="T7643" t="s">
        <v>135</v>
      </c>
    </row>
    <row r="7644" spans="1:20" x14ac:dyDescent="0.25">
      <c r="A7644" t="s">
        <v>44</v>
      </c>
      <c r="B7644" t="s">
        <v>3</v>
      </c>
      <c r="C7644" t="s">
        <v>32</v>
      </c>
      <c r="D7644" t="s">
        <v>953</v>
      </c>
      <c r="E7644" t="s">
        <v>1015</v>
      </c>
      <c r="F7644" t="s">
        <v>35</v>
      </c>
      <c r="G7644" t="s">
        <v>35</v>
      </c>
      <c r="H7644" t="s">
        <v>35</v>
      </c>
      <c r="J7644" t="s">
        <v>7371</v>
      </c>
      <c r="K7644" t="s">
        <v>1092</v>
      </c>
      <c r="M7644">
        <v>0.5</v>
      </c>
      <c r="N7644">
        <v>18</v>
      </c>
      <c r="O7644" t="s">
        <v>46</v>
      </c>
      <c r="Q7644" t="s">
        <v>831</v>
      </c>
      <c r="R7644" t="s">
        <v>133</v>
      </c>
      <c r="S7644" t="s">
        <v>134</v>
      </c>
      <c r="T7644" t="s">
        <v>135</v>
      </c>
    </row>
    <row r="7645" spans="1:20" x14ac:dyDescent="0.25">
      <c r="A7645" t="s">
        <v>59</v>
      </c>
      <c r="B7645" t="s">
        <v>60</v>
      </c>
      <c r="C7645" t="s">
        <v>32</v>
      </c>
      <c r="D7645" t="s">
        <v>953</v>
      </c>
      <c r="E7645" t="s">
        <v>980</v>
      </c>
      <c r="F7645" t="s">
        <v>35</v>
      </c>
      <c r="G7645" t="s">
        <v>35</v>
      </c>
      <c r="H7645" t="s">
        <v>35</v>
      </c>
      <c r="J7645" t="s">
        <v>7163</v>
      </c>
      <c r="K7645" t="s">
        <v>1092</v>
      </c>
      <c r="M7645">
        <v>0.75</v>
      </c>
      <c r="N7645">
        <v>6</v>
      </c>
      <c r="O7645" t="s">
        <v>46</v>
      </c>
      <c r="Q7645" t="s">
        <v>310</v>
      </c>
      <c r="R7645" t="s">
        <v>133</v>
      </c>
      <c r="S7645" t="s">
        <v>134</v>
      </c>
      <c r="T7645" t="s">
        <v>135</v>
      </c>
    </row>
    <row r="7646" spans="1:20" x14ac:dyDescent="0.25">
      <c r="A7646" t="s">
        <v>59</v>
      </c>
      <c r="B7646" t="s">
        <v>60</v>
      </c>
      <c r="C7646" t="s">
        <v>32</v>
      </c>
      <c r="D7646" t="s">
        <v>953</v>
      </c>
      <c r="E7646" t="s">
        <v>968</v>
      </c>
      <c r="F7646" t="s">
        <v>35</v>
      </c>
      <c r="G7646" t="s">
        <v>35</v>
      </c>
      <c r="H7646" t="s">
        <v>35</v>
      </c>
      <c r="J7646" t="s">
        <v>7014</v>
      </c>
      <c r="K7646" t="s">
        <v>1092</v>
      </c>
      <c r="M7646">
        <v>1.4</v>
      </c>
      <c r="N7646">
        <v>84</v>
      </c>
      <c r="O7646" t="s">
        <v>61</v>
      </c>
      <c r="Q7646" t="s">
        <v>1147</v>
      </c>
      <c r="R7646" t="s">
        <v>133</v>
      </c>
      <c r="S7646" t="s">
        <v>134</v>
      </c>
      <c r="T7646" t="s">
        <v>135</v>
      </c>
    </row>
    <row r="7647" spans="1:20" x14ac:dyDescent="0.25">
      <c r="A7647" t="s">
        <v>59</v>
      </c>
      <c r="B7647" t="s">
        <v>60</v>
      </c>
      <c r="C7647" t="s">
        <v>32</v>
      </c>
      <c r="D7647" t="s">
        <v>953</v>
      </c>
      <c r="E7647" t="s">
        <v>968</v>
      </c>
      <c r="F7647" t="s">
        <v>35</v>
      </c>
      <c r="G7647" t="s">
        <v>35</v>
      </c>
      <c r="H7647" t="s">
        <v>35</v>
      </c>
      <c r="J7647" t="s">
        <v>7014</v>
      </c>
      <c r="K7647" t="s">
        <v>1092</v>
      </c>
      <c r="M7647">
        <v>5</v>
      </c>
      <c r="N7647">
        <v>52</v>
      </c>
      <c r="O7647" t="s">
        <v>52</v>
      </c>
      <c r="Q7647" t="s">
        <v>84</v>
      </c>
      <c r="R7647" t="s">
        <v>133</v>
      </c>
      <c r="S7647" t="s">
        <v>134</v>
      </c>
      <c r="T7647" t="s">
        <v>135</v>
      </c>
    </row>
    <row r="7648" spans="1:20" x14ac:dyDescent="0.25">
      <c r="A7648" t="s">
        <v>59</v>
      </c>
      <c r="B7648" t="s">
        <v>60</v>
      </c>
      <c r="C7648" t="s">
        <v>32</v>
      </c>
      <c r="D7648" t="s">
        <v>953</v>
      </c>
      <c r="E7648" t="s">
        <v>968</v>
      </c>
      <c r="F7648" t="s">
        <v>35</v>
      </c>
      <c r="G7648" t="s">
        <v>35</v>
      </c>
      <c r="H7648" t="s">
        <v>35</v>
      </c>
      <c r="J7648" t="s">
        <v>7060</v>
      </c>
      <c r="K7648" t="s">
        <v>1092</v>
      </c>
      <c r="M7648">
        <v>0.75</v>
      </c>
      <c r="N7648">
        <v>160</v>
      </c>
      <c r="O7648" t="s">
        <v>38</v>
      </c>
      <c r="Q7648" t="s">
        <v>1120</v>
      </c>
      <c r="R7648" t="s">
        <v>133</v>
      </c>
      <c r="S7648" t="s">
        <v>134</v>
      </c>
      <c r="T7648" t="s">
        <v>135</v>
      </c>
    </row>
    <row r="7649" spans="1:20" x14ac:dyDescent="0.25">
      <c r="A7649" t="s">
        <v>44</v>
      </c>
      <c r="B7649" t="s">
        <v>3</v>
      </c>
      <c r="C7649" t="s">
        <v>32</v>
      </c>
      <c r="D7649" t="s">
        <v>953</v>
      </c>
      <c r="E7649" t="s">
        <v>7740</v>
      </c>
      <c r="F7649" t="s">
        <v>35</v>
      </c>
      <c r="G7649" t="s">
        <v>35</v>
      </c>
      <c r="H7649" t="s">
        <v>35</v>
      </c>
      <c r="J7649" t="s">
        <v>7763</v>
      </c>
      <c r="K7649" t="s">
        <v>1092</v>
      </c>
      <c r="M7649">
        <v>0.35</v>
      </c>
      <c r="N7649">
        <v>53</v>
      </c>
      <c r="O7649" t="s">
        <v>52</v>
      </c>
      <c r="Q7649" t="s">
        <v>1734</v>
      </c>
      <c r="R7649" t="s">
        <v>133</v>
      </c>
      <c r="S7649" t="s">
        <v>134</v>
      </c>
      <c r="T7649" t="s">
        <v>135</v>
      </c>
    </row>
    <row r="7650" spans="1:20" x14ac:dyDescent="0.25">
      <c r="A7650" t="s">
        <v>30</v>
      </c>
      <c r="B7650" t="s">
        <v>31</v>
      </c>
      <c r="C7650" t="s">
        <v>32</v>
      </c>
      <c r="D7650" t="s">
        <v>953</v>
      </c>
      <c r="E7650" t="s">
        <v>7740</v>
      </c>
      <c r="F7650" t="s">
        <v>35</v>
      </c>
      <c r="G7650" t="s">
        <v>35</v>
      </c>
      <c r="H7650" t="s">
        <v>35</v>
      </c>
      <c r="J7650" t="s">
        <v>7766</v>
      </c>
      <c r="K7650" t="s">
        <v>1092</v>
      </c>
      <c r="M7650">
        <v>0.76500000000000001</v>
      </c>
      <c r="N7650">
        <v>193</v>
      </c>
      <c r="O7650" t="s">
        <v>5</v>
      </c>
      <c r="Q7650" t="s">
        <v>3691</v>
      </c>
      <c r="R7650" t="s">
        <v>133</v>
      </c>
      <c r="S7650" t="s">
        <v>134</v>
      </c>
      <c r="T7650" t="s">
        <v>135</v>
      </c>
    </row>
    <row r="7651" spans="1:20" x14ac:dyDescent="0.25">
      <c r="A7651" t="s">
        <v>30</v>
      </c>
      <c r="B7651" t="s">
        <v>31</v>
      </c>
      <c r="C7651" t="s">
        <v>32</v>
      </c>
      <c r="D7651" t="s">
        <v>953</v>
      </c>
      <c r="E7651" t="s">
        <v>7740</v>
      </c>
      <c r="F7651" t="s">
        <v>35</v>
      </c>
      <c r="G7651" t="s">
        <v>35</v>
      </c>
      <c r="H7651" t="s">
        <v>35</v>
      </c>
      <c r="J7651" t="s">
        <v>7766</v>
      </c>
      <c r="K7651" t="s">
        <v>1092</v>
      </c>
      <c r="M7651">
        <v>1.2150000000000001</v>
      </c>
      <c r="N7651">
        <v>5</v>
      </c>
      <c r="O7651" t="s">
        <v>46</v>
      </c>
      <c r="Q7651" t="s">
        <v>1865</v>
      </c>
      <c r="R7651" t="s">
        <v>133</v>
      </c>
      <c r="S7651" t="s">
        <v>134</v>
      </c>
      <c r="T7651" t="s">
        <v>135</v>
      </c>
    </row>
    <row r="7652" spans="1:20" x14ac:dyDescent="0.25">
      <c r="A7652" t="s">
        <v>59</v>
      </c>
      <c r="B7652" t="s">
        <v>31</v>
      </c>
      <c r="C7652" t="s">
        <v>32</v>
      </c>
      <c r="D7652" t="s">
        <v>953</v>
      </c>
      <c r="E7652" t="s">
        <v>7740</v>
      </c>
      <c r="F7652" t="s">
        <v>35</v>
      </c>
      <c r="G7652" t="s">
        <v>35</v>
      </c>
      <c r="H7652" t="s">
        <v>35</v>
      </c>
      <c r="J7652" t="s">
        <v>7766</v>
      </c>
      <c r="K7652" t="s">
        <v>1092</v>
      </c>
      <c r="M7652">
        <v>0.99</v>
      </c>
      <c r="N7652">
        <v>136</v>
      </c>
      <c r="O7652" t="s">
        <v>38</v>
      </c>
      <c r="Q7652" t="s">
        <v>2121</v>
      </c>
      <c r="R7652" t="s">
        <v>133</v>
      </c>
      <c r="S7652" t="s">
        <v>134</v>
      </c>
      <c r="T7652" t="s">
        <v>135</v>
      </c>
    </row>
    <row r="7653" spans="1:20" x14ac:dyDescent="0.25">
      <c r="A7653" t="s">
        <v>59</v>
      </c>
      <c r="B7653" t="s">
        <v>60</v>
      </c>
      <c r="C7653" t="s">
        <v>32</v>
      </c>
      <c r="D7653" t="s">
        <v>953</v>
      </c>
      <c r="E7653" t="s">
        <v>7740</v>
      </c>
      <c r="F7653" t="s">
        <v>35</v>
      </c>
      <c r="G7653" t="s">
        <v>35</v>
      </c>
      <c r="H7653" t="s">
        <v>35</v>
      </c>
      <c r="J7653" t="s">
        <v>7755</v>
      </c>
      <c r="K7653" t="s">
        <v>1092</v>
      </c>
      <c r="M7653">
        <v>0.45</v>
      </c>
      <c r="N7653">
        <v>277</v>
      </c>
      <c r="O7653" t="s">
        <v>5</v>
      </c>
      <c r="Q7653" t="s">
        <v>1220</v>
      </c>
      <c r="R7653" t="s">
        <v>133</v>
      </c>
      <c r="S7653" t="s">
        <v>134</v>
      </c>
      <c r="T7653" t="s">
        <v>135</v>
      </c>
    </row>
    <row r="7654" spans="1:20" x14ac:dyDescent="0.25">
      <c r="A7654" t="s">
        <v>44</v>
      </c>
      <c r="B7654" t="s">
        <v>51</v>
      </c>
      <c r="C7654" t="s">
        <v>32</v>
      </c>
      <c r="D7654" t="s">
        <v>953</v>
      </c>
      <c r="E7654" t="s">
        <v>7558</v>
      </c>
      <c r="F7654" t="s">
        <v>35</v>
      </c>
      <c r="G7654" t="s">
        <v>35</v>
      </c>
      <c r="H7654" t="s">
        <v>35</v>
      </c>
      <c r="J7654" t="s">
        <v>7572</v>
      </c>
      <c r="K7654" t="s">
        <v>1092</v>
      </c>
      <c r="M7654">
        <v>4.8499999999999996</v>
      </c>
      <c r="N7654">
        <v>234</v>
      </c>
      <c r="O7654" t="s">
        <v>5</v>
      </c>
      <c r="Q7654" t="s">
        <v>3415</v>
      </c>
      <c r="R7654" t="s">
        <v>133</v>
      </c>
      <c r="S7654" t="s">
        <v>134</v>
      </c>
      <c r="T7654" t="s">
        <v>135</v>
      </c>
    </row>
    <row r="7655" spans="1:20" x14ac:dyDescent="0.25">
      <c r="A7655" t="s">
        <v>44</v>
      </c>
      <c r="B7655" t="s">
        <v>3</v>
      </c>
      <c r="C7655" t="s">
        <v>32</v>
      </c>
      <c r="D7655" t="s">
        <v>953</v>
      </c>
      <c r="E7655" t="s">
        <v>7558</v>
      </c>
      <c r="F7655" t="s">
        <v>35</v>
      </c>
      <c r="G7655" t="s">
        <v>35</v>
      </c>
      <c r="H7655" t="s">
        <v>35</v>
      </c>
      <c r="J7655" t="s">
        <v>7572</v>
      </c>
      <c r="K7655" t="s">
        <v>1092</v>
      </c>
      <c r="M7655">
        <v>2</v>
      </c>
      <c r="N7655">
        <v>10</v>
      </c>
      <c r="O7655" t="s">
        <v>46</v>
      </c>
      <c r="Q7655" t="s">
        <v>1302</v>
      </c>
      <c r="R7655" t="s">
        <v>133</v>
      </c>
      <c r="S7655" t="s">
        <v>134</v>
      </c>
      <c r="T7655" t="s">
        <v>135</v>
      </c>
    </row>
    <row r="7656" spans="1:20" x14ac:dyDescent="0.25">
      <c r="A7656" t="s">
        <v>59</v>
      </c>
      <c r="B7656" t="s">
        <v>60</v>
      </c>
      <c r="C7656" t="s">
        <v>32</v>
      </c>
      <c r="D7656" t="s">
        <v>953</v>
      </c>
      <c r="E7656" t="s">
        <v>6878</v>
      </c>
      <c r="F7656" t="s">
        <v>35</v>
      </c>
      <c r="G7656" t="s">
        <v>35</v>
      </c>
      <c r="H7656" t="s">
        <v>35</v>
      </c>
      <c r="J7656" t="s">
        <v>6927</v>
      </c>
      <c r="K7656" t="s">
        <v>1092</v>
      </c>
      <c r="M7656">
        <v>0.25</v>
      </c>
      <c r="N7656">
        <v>167</v>
      </c>
      <c r="O7656" t="s">
        <v>38</v>
      </c>
      <c r="Q7656" t="s">
        <v>1565</v>
      </c>
      <c r="R7656" t="s">
        <v>133</v>
      </c>
      <c r="S7656" t="s">
        <v>134</v>
      </c>
      <c r="T7656" t="s">
        <v>135</v>
      </c>
    </row>
    <row r="7657" spans="1:20" x14ac:dyDescent="0.25">
      <c r="A7657" t="s">
        <v>59</v>
      </c>
      <c r="B7657" t="s">
        <v>60</v>
      </c>
      <c r="C7657" t="s">
        <v>32</v>
      </c>
      <c r="D7657" t="s">
        <v>953</v>
      </c>
      <c r="E7657" t="s">
        <v>7740</v>
      </c>
      <c r="F7657" t="s">
        <v>35</v>
      </c>
      <c r="G7657" t="s">
        <v>35</v>
      </c>
      <c r="H7657" t="s">
        <v>35</v>
      </c>
      <c r="J7657" t="s">
        <v>3111</v>
      </c>
      <c r="K7657" t="s">
        <v>1092</v>
      </c>
      <c r="M7657">
        <v>0.4</v>
      </c>
      <c r="N7657">
        <v>83</v>
      </c>
      <c r="O7657" t="s">
        <v>61</v>
      </c>
      <c r="Q7657" t="s">
        <v>897</v>
      </c>
      <c r="R7657" t="s">
        <v>133</v>
      </c>
      <c r="S7657" t="s">
        <v>134</v>
      </c>
      <c r="T7657" t="s">
        <v>135</v>
      </c>
    </row>
    <row r="7658" spans="1:20" x14ac:dyDescent="0.25">
      <c r="A7658" t="s">
        <v>44</v>
      </c>
      <c r="B7658" t="s">
        <v>3</v>
      </c>
      <c r="C7658" t="s">
        <v>32</v>
      </c>
      <c r="D7658" t="s">
        <v>953</v>
      </c>
      <c r="E7658" t="s">
        <v>1015</v>
      </c>
      <c r="F7658" t="s">
        <v>35</v>
      </c>
      <c r="G7658" t="s">
        <v>35</v>
      </c>
      <c r="H7658" t="s">
        <v>35</v>
      </c>
      <c r="J7658" t="s">
        <v>3984</v>
      </c>
      <c r="K7658" t="s">
        <v>1092</v>
      </c>
      <c r="M7658">
        <v>9.6</v>
      </c>
      <c r="N7658">
        <v>58</v>
      </c>
      <c r="O7658" t="s">
        <v>52</v>
      </c>
      <c r="Q7658" t="s">
        <v>128</v>
      </c>
      <c r="R7658" t="s">
        <v>133</v>
      </c>
      <c r="S7658" t="s">
        <v>134</v>
      </c>
      <c r="T7658" t="s">
        <v>135</v>
      </c>
    </row>
    <row r="7659" spans="1:20" x14ac:dyDescent="0.25">
      <c r="A7659" t="s">
        <v>59</v>
      </c>
      <c r="B7659" t="s">
        <v>31</v>
      </c>
      <c r="C7659" t="s">
        <v>32</v>
      </c>
      <c r="D7659" t="s">
        <v>953</v>
      </c>
      <c r="E7659" t="s">
        <v>1077</v>
      </c>
      <c r="F7659" t="s">
        <v>35</v>
      </c>
      <c r="G7659" t="s">
        <v>35</v>
      </c>
      <c r="H7659" t="s">
        <v>35</v>
      </c>
      <c r="J7659" t="s">
        <v>7714</v>
      </c>
      <c r="K7659" t="s">
        <v>1092</v>
      </c>
      <c r="M7659">
        <v>0.52300000000000002</v>
      </c>
      <c r="N7659">
        <v>1202</v>
      </c>
      <c r="O7659" t="s">
        <v>575</v>
      </c>
      <c r="Q7659" t="s">
        <v>7715</v>
      </c>
      <c r="R7659" t="s">
        <v>133</v>
      </c>
      <c r="S7659" t="s">
        <v>134</v>
      </c>
      <c r="T7659" t="s">
        <v>135</v>
      </c>
    </row>
    <row r="7660" spans="1:20" x14ac:dyDescent="0.25">
      <c r="A7660" t="s">
        <v>30</v>
      </c>
      <c r="B7660" t="s">
        <v>31</v>
      </c>
      <c r="C7660" t="s">
        <v>32</v>
      </c>
      <c r="D7660" t="s">
        <v>953</v>
      </c>
      <c r="E7660" t="s">
        <v>1077</v>
      </c>
      <c r="F7660" t="s">
        <v>35</v>
      </c>
      <c r="G7660" t="s">
        <v>35</v>
      </c>
      <c r="H7660" t="s">
        <v>35</v>
      </c>
      <c r="J7660" t="s">
        <v>7714</v>
      </c>
      <c r="K7660" t="s">
        <v>1092</v>
      </c>
      <c r="M7660">
        <v>4.4999999999999998E-2</v>
      </c>
      <c r="N7660">
        <v>1432</v>
      </c>
      <c r="O7660" t="s">
        <v>575</v>
      </c>
      <c r="Q7660" t="s">
        <v>4273</v>
      </c>
      <c r="R7660" t="s">
        <v>133</v>
      </c>
      <c r="S7660" t="s">
        <v>134</v>
      </c>
      <c r="T7660" t="s">
        <v>135</v>
      </c>
    </row>
    <row r="7661" spans="1:20" x14ac:dyDescent="0.25">
      <c r="A7661" t="s">
        <v>44</v>
      </c>
      <c r="B7661" t="s">
        <v>51</v>
      </c>
      <c r="C7661" t="s">
        <v>32</v>
      </c>
      <c r="D7661" t="s">
        <v>953</v>
      </c>
      <c r="E7661" t="s">
        <v>1077</v>
      </c>
      <c r="F7661" t="s">
        <v>35</v>
      </c>
      <c r="G7661" t="s">
        <v>35</v>
      </c>
      <c r="H7661" t="s">
        <v>35</v>
      </c>
      <c r="J7661" t="s">
        <v>7714</v>
      </c>
      <c r="K7661" t="s">
        <v>1092</v>
      </c>
      <c r="M7661">
        <v>0.5</v>
      </c>
      <c r="N7661">
        <v>242</v>
      </c>
      <c r="O7661" t="s">
        <v>5</v>
      </c>
      <c r="Q7661" t="s">
        <v>6137</v>
      </c>
      <c r="R7661" t="s">
        <v>133</v>
      </c>
      <c r="S7661" t="s">
        <v>134</v>
      </c>
      <c r="T7661" t="s">
        <v>135</v>
      </c>
    </row>
    <row r="7662" spans="1:20" x14ac:dyDescent="0.25">
      <c r="A7662" t="s">
        <v>59</v>
      </c>
      <c r="B7662" t="s">
        <v>60</v>
      </c>
      <c r="C7662" t="s">
        <v>32</v>
      </c>
      <c r="D7662" t="s">
        <v>953</v>
      </c>
      <c r="E7662" t="s">
        <v>1077</v>
      </c>
      <c r="F7662" t="s">
        <v>35</v>
      </c>
      <c r="G7662" t="s">
        <v>35</v>
      </c>
      <c r="H7662" t="s">
        <v>35</v>
      </c>
      <c r="J7662" t="s">
        <v>7714</v>
      </c>
      <c r="K7662" t="s">
        <v>1092</v>
      </c>
      <c r="M7662">
        <v>1</v>
      </c>
      <c r="N7662">
        <v>143</v>
      </c>
      <c r="O7662" t="s">
        <v>38</v>
      </c>
      <c r="Q7662" t="s">
        <v>1612</v>
      </c>
      <c r="R7662" t="s">
        <v>133</v>
      </c>
      <c r="S7662" t="s">
        <v>134</v>
      </c>
      <c r="T7662" t="s">
        <v>135</v>
      </c>
    </row>
    <row r="7663" spans="1:20" x14ac:dyDescent="0.25">
      <c r="A7663" t="s">
        <v>30</v>
      </c>
      <c r="B7663" t="s">
        <v>31</v>
      </c>
      <c r="C7663" t="s">
        <v>32</v>
      </c>
      <c r="D7663" t="s">
        <v>953</v>
      </c>
      <c r="E7663" t="s">
        <v>1015</v>
      </c>
      <c r="F7663" t="s">
        <v>35</v>
      </c>
      <c r="G7663" t="s">
        <v>35</v>
      </c>
      <c r="H7663" t="s">
        <v>35</v>
      </c>
      <c r="J7663" t="s">
        <v>7444</v>
      </c>
      <c r="K7663" t="s">
        <v>1092</v>
      </c>
      <c r="M7663">
        <v>0.94499999999999995</v>
      </c>
      <c r="N7663">
        <v>425</v>
      </c>
      <c r="O7663" t="s">
        <v>294</v>
      </c>
      <c r="Q7663" t="s">
        <v>1271</v>
      </c>
      <c r="R7663" t="s">
        <v>133</v>
      </c>
      <c r="S7663" t="s">
        <v>134</v>
      </c>
      <c r="T7663" t="s">
        <v>135</v>
      </c>
    </row>
    <row r="7664" spans="1:20" x14ac:dyDescent="0.25">
      <c r="A7664" t="s">
        <v>59</v>
      </c>
      <c r="B7664" t="s">
        <v>31</v>
      </c>
      <c r="C7664" t="s">
        <v>32</v>
      </c>
      <c r="D7664" t="s">
        <v>953</v>
      </c>
      <c r="E7664" t="s">
        <v>1015</v>
      </c>
      <c r="F7664" t="s">
        <v>35</v>
      </c>
      <c r="G7664" t="s">
        <v>35</v>
      </c>
      <c r="H7664" t="s">
        <v>35</v>
      </c>
      <c r="J7664" t="s">
        <v>7444</v>
      </c>
      <c r="K7664" t="s">
        <v>1092</v>
      </c>
      <c r="M7664">
        <v>2.25</v>
      </c>
      <c r="N7664">
        <v>240</v>
      </c>
      <c r="O7664" t="s">
        <v>5</v>
      </c>
      <c r="Q7664" t="s">
        <v>574</v>
      </c>
      <c r="R7664" t="s">
        <v>133</v>
      </c>
      <c r="S7664" t="s">
        <v>134</v>
      </c>
      <c r="T7664" t="s">
        <v>135</v>
      </c>
    </row>
    <row r="7665" spans="1:20" x14ac:dyDescent="0.25">
      <c r="A7665" t="s">
        <v>59</v>
      </c>
      <c r="B7665" t="s">
        <v>31</v>
      </c>
      <c r="C7665" t="s">
        <v>32</v>
      </c>
      <c r="D7665" t="s">
        <v>953</v>
      </c>
      <c r="E7665" t="s">
        <v>1015</v>
      </c>
      <c r="F7665" t="s">
        <v>35</v>
      </c>
      <c r="G7665" t="s">
        <v>35</v>
      </c>
      <c r="H7665" t="s">
        <v>35</v>
      </c>
      <c r="J7665" t="s">
        <v>7444</v>
      </c>
      <c r="K7665" t="s">
        <v>1092</v>
      </c>
      <c r="M7665">
        <v>0.58499999999999996</v>
      </c>
      <c r="N7665">
        <v>420</v>
      </c>
      <c r="O7665" t="s">
        <v>294</v>
      </c>
      <c r="Q7665" t="s">
        <v>1463</v>
      </c>
      <c r="R7665" t="s">
        <v>133</v>
      </c>
      <c r="S7665" t="s">
        <v>134</v>
      </c>
      <c r="T7665" t="s">
        <v>135</v>
      </c>
    </row>
    <row r="7666" spans="1:20" x14ac:dyDescent="0.25">
      <c r="A7666" t="s">
        <v>59</v>
      </c>
      <c r="B7666" t="s">
        <v>60</v>
      </c>
      <c r="C7666" t="s">
        <v>32</v>
      </c>
      <c r="D7666" t="s">
        <v>953</v>
      </c>
      <c r="E7666" t="s">
        <v>1015</v>
      </c>
      <c r="F7666" t="s">
        <v>35</v>
      </c>
      <c r="G7666" t="s">
        <v>35</v>
      </c>
      <c r="H7666" t="s">
        <v>35</v>
      </c>
      <c r="J7666" t="s">
        <v>7444</v>
      </c>
      <c r="K7666" t="s">
        <v>1092</v>
      </c>
      <c r="M7666">
        <v>2</v>
      </c>
      <c r="N7666">
        <v>968</v>
      </c>
      <c r="O7666" t="s">
        <v>575</v>
      </c>
      <c r="Q7666" t="s">
        <v>7445</v>
      </c>
      <c r="R7666" t="s">
        <v>133</v>
      </c>
      <c r="S7666" t="s">
        <v>134</v>
      </c>
      <c r="T7666" t="s">
        <v>135</v>
      </c>
    </row>
    <row r="7667" spans="1:20" x14ac:dyDescent="0.25">
      <c r="A7667" t="s">
        <v>59</v>
      </c>
      <c r="B7667" t="s">
        <v>60</v>
      </c>
      <c r="C7667" t="s">
        <v>32</v>
      </c>
      <c r="D7667" t="s">
        <v>953</v>
      </c>
      <c r="E7667" t="s">
        <v>1015</v>
      </c>
      <c r="F7667" t="s">
        <v>35</v>
      </c>
      <c r="G7667" t="s">
        <v>35</v>
      </c>
      <c r="H7667" t="s">
        <v>35</v>
      </c>
      <c r="J7667" t="s">
        <v>7444</v>
      </c>
      <c r="K7667" t="s">
        <v>1092</v>
      </c>
      <c r="M7667">
        <v>0.5</v>
      </c>
      <c r="N7667">
        <v>727</v>
      </c>
      <c r="O7667" t="s">
        <v>575</v>
      </c>
      <c r="Q7667" t="s">
        <v>7446</v>
      </c>
      <c r="R7667" t="s">
        <v>133</v>
      </c>
      <c r="S7667" t="s">
        <v>134</v>
      </c>
      <c r="T7667" t="s">
        <v>135</v>
      </c>
    </row>
    <row r="7668" spans="1:20" x14ac:dyDescent="0.25">
      <c r="A7668" t="s">
        <v>59</v>
      </c>
      <c r="B7668" t="s">
        <v>60</v>
      </c>
      <c r="C7668" t="s">
        <v>32</v>
      </c>
      <c r="D7668" t="s">
        <v>953</v>
      </c>
      <c r="E7668" t="s">
        <v>1015</v>
      </c>
      <c r="F7668" t="s">
        <v>35</v>
      </c>
      <c r="G7668" t="s">
        <v>35</v>
      </c>
      <c r="H7668" t="s">
        <v>35</v>
      </c>
      <c r="J7668" t="s">
        <v>7444</v>
      </c>
      <c r="K7668" t="s">
        <v>1092</v>
      </c>
      <c r="M7668">
        <v>1</v>
      </c>
      <c r="N7668">
        <v>654</v>
      </c>
      <c r="O7668" t="s">
        <v>575</v>
      </c>
      <c r="Q7668" t="s">
        <v>7447</v>
      </c>
      <c r="R7668" t="s">
        <v>133</v>
      </c>
      <c r="S7668" t="s">
        <v>134</v>
      </c>
      <c r="T7668" t="s">
        <v>135</v>
      </c>
    </row>
    <row r="7669" spans="1:20" x14ac:dyDescent="0.25">
      <c r="A7669" t="s">
        <v>59</v>
      </c>
      <c r="B7669" t="s">
        <v>60</v>
      </c>
      <c r="C7669" t="s">
        <v>32</v>
      </c>
      <c r="D7669" t="s">
        <v>953</v>
      </c>
      <c r="E7669" t="s">
        <v>1015</v>
      </c>
      <c r="F7669" t="s">
        <v>35</v>
      </c>
      <c r="G7669" t="s">
        <v>35</v>
      </c>
      <c r="H7669" t="s">
        <v>35</v>
      </c>
      <c r="J7669" t="s">
        <v>7356</v>
      </c>
      <c r="K7669" t="s">
        <v>1092</v>
      </c>
      <c r="M7669">
        <v>0.05</v>
      </c>
      <c r="N7669">
        <v>172</v>
      </c>
      <c r="O7669" t="s">
        <v>38</v>
      </c>
      <c r="Q7669" t="s">
        <v>346</v>
      </c>
      <c r="R7669" t="s">
        <v>133</v>
      </c>
      <c r="S7669" t="s">
        <v>134</v>
      </c>
      <c r="T7669" t="s">
        <v>135</v>
      </c>
    </row>
    <row r="7670" spans="1:20" x14ac:dyDescent="0.25">
      <c r="A7670" t="s">
        <v>59</v>
      </c>
      <c r="B7670" t="s">
        <v>31</v>
      </c>
      <c r="C7670" t="s">
        <v>32</v>
      </c>
      <c r="D7670" t="s">
        <v>953</v>
      </c>
      <c r="E7670" t="s">
        <v>1072</v>
      </c>
      <c r="F7670" t="s">
        <v>35</v>
      </c>
      <c r="G7670" t="s">
        <v>35</v>
      </c>
      <c r="H7670" t="s">
        <v>35</v>
      </c>
      <c r="J7670" t="s">
        <v>7521</v>
      </c>
      <c r="K7670" t="s">
        <v>1092</v>
      </c>
      <c r="M7670">
        <v>29.76</v>
      </c>
      <c r="N7670">
        <v>215</v>
      </c>
      <c r="O7670" t="s">
        <v>5</v>
      </c>
      <c r="Q7670" t="s">
        <v>1746</v>
      </c>
      <c r="R7670" t="s">
        <v>133</v>
      </c>
      <c r="S7670" t="s">
        <v>134</v>
      </c>
      <c r="T7670" t="s">
        <v>135</v>
      </c>
    </row>
    <row r="7671" spans="1:20" x14ac:dyDescent="0.25">
      <c r="A7671" t="s">
        <v>30</v>
      </c>
      <c r="B7671" t="s">
        <v>31</v>
      </c>
      <c r="C7671" t="s">
        <v>32</v>
      </c>
      <c r="D7671" t="s">
        <v>953</v>
      </c>
      <c r="E7671" t="s">
        <v>1072</v>
      </c>
      <c r="F7671" t="s">
        <v>35</v>
      </c>
      <c r="G7671" t="s">
        <v>35</v>
      </c>
      <c r="H7671" t="s">
        <v>35</v>
      </c>
      <c r="J7671" t="s">
        <v>7521</v>
      </c>
      <c r="K7671" t="s">
        <v>1092</v>
      </c>
      <c r="M7671">
        <v>42.15</v>
      </c>
      <c r="N7671">
        <v>194</v>
      </c>
      <c r="O7671" t="s">
        <v>5</v>
      </c>
      <c r="Q7671" t="s">
        <v>1428</v>
      </c>
      <c r="R7671" t="s">
        <v>133</v>
      </c>
      <c r="S7671" t="s">
        <v>134</v>
      </c>
      <c r="T7671" t="s">
        <v>135</v>
      </c>
    </row>
    <row r="7672" spans="1:20" x14ac:dyDescent="0.25">
      <c r="A7672" t="s">
        <v>44</v>
      </c>
      <c r="B7672" t="s">
        <v>3</v>
      </c>
      <c r="C7672" t="s">
        <v>32</v>
      </c>
      <c r="D7672" t="s">
        <v>953</v>
      </c>
      <c r="E7672" t="s">
        <v>1015</v>
      </c>
      <c r="F7672" t="s">
        <v>35</v>
      </c>
      <c r="G7672" t="s">
        <v>35</v>
      </c>
      <c r="H7672" t="s">
        <v>35</v>
      </c>
      <c r="J7672" t="s">
        <v>7388</v>
      </c>
      <c r="K7672" t="s">
        <v>1092</v>
      </c>
      <c r="M7672">
        <v>0.15</v>
      </c>
      <c r="N7672">
        <v>25</v>
      </c>
      <c r="O7672" t="s">
        <v>46</v>
      </c>
      <c r="Q7672" t="s">
        <v>547</v>
      </c>
      <c r="R7672" t="s">
        <v>133</v>
      </c>
      <c r="S7672" t="s">
        <v>134</v>
      </c>
      <c r="T7672" t="s">
        <v>135</v>
      </c>
    </row>
    <row r="7673" spans="1:20" x14ac:dyDescent="0.25">
      <c r="A7673" t="s">
        <v>59</v>
      </c>
      <c r="B7673" t="s">
        <v>60</v>
      </c>
      <c r="C7673" t="s">
        <v>32</v>
      </c>
      <c r="D7673" t="s">
        <v>953</v>
      </c>
      <c r="E7673" t="s">
        <v>1015</v>
      </c>
      <c r="F7673" t="s">
        <v>35</v>
      </c>
      <c r="G7673" t="s">
        <v>35</v>
      </c>
      <c r="H7673" t="s">
        <v>35</v>
      </c>
      <c r="J7673" t="s">
        <v>7388</v>
      </c>
      <c r="K7673" t="s">
        <v>1092</v>
      </c>
      <c r="M7673">
        <v>0.05</v>
      </c>
      <c r="N7673">
        <v>25</v>
      </c>
      <c r="O7673" t="s">
        <v>46</v>
      </c>
      <c r="Q7673" t="s">
        <v>547</v>
      </c>
      <c r="R7673" t="s">
        <v>133</v>
      </c>
      <c r="S7673" t="s">
        <v>134</v>
      </c>
      <c r="T7673" t="s">
        <v>135</v>
      </c>
    </row>
    <row r="7674" spans="1:20" x14ac:dyDescent="0.25">
      <c r="A7674" t="s">
        <v>59</v>
      </c>
      <c r="B7674" t="s">
        <v>60</v>
      </c>
      <c r="C7674" t="s">
        <v>32</v>
      </c>
      <c r="D7674" t="s">
        <v>953</v>
      </c>
      <c r="E7674" t="s">
        <v>954</v>
      </c>
      <c r="F7674" t="s">
        <v>35</v>
      </c>
      <c r="G7674" t="s">
        <v>35</v>
      </c>
      <c r="H7674" t="s">
        <v>35</v>
      </c>
      <c r="J7674" t="s">
        <v>6752</v>
      </c>
      <c r="K7674" t="s">
        <v>1092</v>
      </c>
      <c r="M7674">
        <v>5</v>
      </c>
      <c r="N7674">
        <v>84</v>
      </c>
      <c r="O7674" t="s">
        <v>61</v>
      </c>
      <c r="Q7674" t="s">
        <v>1147</v>
      </c>
      <c r="R7674" t="s">
        <v>133</v>
      </c>
      <c r="S7674" t="s">
        <v>134</v>
      </c>
      <c r="T7674" t="s">
        <v>135</v>
      </c>
    </row>
    <row r="7675" spans="1:20" x14ac:dyDescent="0.25">
      <c r="A7675" t="s">
        <v>44</v>
      </c>
      <c r="B7675" t="s">
        <v>3</v>
      </c>
      <c r="C7675" t="s">
        <v>32</v>
      </c>
      <c r="D7675" t="s">
        <v>953</v>
      </c>
      <c r="F7675" t="s">
        <v>35</v>
      </c>
      <c r="G7675" t="s">
        <v>35</v>
      </c>
      <c r="H7675" t="s">
        <v>35</v>
      </c>
      <c r="J7675" t="s">
        <v>8097</v>
      </c>
      <c r="K7675" t="s">
        <v>1092</v>
      </c>
      <c r="M7675">
        <v>0.8</v>
      </c>
      <c r="N7675">
        <v>53</v>
      </c>
      <c r="O7675" t="s">
        <v>52</v>
      </c>
      <c r="Q7675" t="s">
        <v>1734</v>
      </c>
      <c r="R7675" t="s">
        <v>133</v>
      </c>
      <c r="S7675" t="s">
        <v>134</v>
      </c>
      <c r="T7675" t="s">
        <v>135</v>
      </c>
    </row>
    <row r="7676" spans="1:20" x14ac:dyDescent="0.25">
      <c r="A7676" t="s">
        <v>59</v>
      </c>
      <c r="B7676" t="s">
        <v>31</v>
      </c>
      <c r="C7676" t="s">
        <v>32</v>
      </c>
      <c r="D7676" t="s">
        <v>953</v>
      </c>
      <c r="E7676" t="s">
        <v>1015</v>
      </c>
      <c r="F7676" t="s">
        <v>35</v>
      </c>
      <c r="G7676" t="s">
        <v>35</v>
      </c>
      <c r="H7676" t="s">
        <v>35</v>
      </c>
      <c r="J7676" t="s">
        <v>3676</v>
      </c>
      <c r="K7676" t="s">
        <v>1092</v>
      </c>
      <c r="M7676">
        <v>1.665</v>
      </c>
      <c r="N7676">
        <v>53</v>
      </c>
      <c r="O7676" t="s">
        <v>52</v>
      </c>
      <c r="Q7676" t="s">
        <v>1734</v>
      </c>
      <c r="R7676" t="s">
        <v>133</v>
      </c>
      <c r="S7676" t="s">
        <v>134</v>
      </c>
      <c r="T7676" t="s">
        <v>135</v>
      </c>
    </row>
    <row r="7677" spans="1:20" x14ac:dyDescent="0.25">
      <c r="A7677" t="s">
        <v>59</v>
      </c>
      <c r="B7677" t="s">
        <v>60</v>
      </c>
      <c r="C7677" t="s">
        <v>32</v>
      </c>
      <c r="D7677" t="s">
        <v>953</v>
      </c>
      <c r="E7677" t="s">
        <v>1015</v>
      </c>
      <c r="F7677" t="s">
        <v>35</v>
      </c>
      <c r="G7677" t="s">
        <v>35</v>
      </c>
      <c r="H7677" t="s">
        <v>35</v>
      </c>
      <c r="J7677" t="s">
        <v>3676</v>
      </c>
      <c r="K7677" t="s">
        <v>1092</v>
      </c>
      <c r="M7677">
        <v>1.2</v>
      </c>
      <c r="N7677">
        <v>52</v>
      </c>
      <c r="O7677" t="s">
        <v>52</v>
      </c>
      <c r="Q7677" t="s">
        <v>84</v>
      </c>
      <c r="R7677" t="s">
        <v>133</v>
      </c>
      <c r="S7677" t="s">
        <v>134</v>
      </c>
      <c r="T7677" t="s">
        <v>135</v>
      </c>
    </row>
    <row r="7678" spans="1:20" x14ac:dyDescent="0.25">
      <c r="A7678" t="s">
        <v>59</v>
      </c>
      <c r="B7678" t="s">
        <v>31</v>
      </c>
      <c r="C7678" t="s">
        <v>32</v>
      </c>
      <c r="D7678" t="s">
        <v>953</v>
      </c>
      <c r="E7678" t="s">
        <v>1015</v>
      </c>
      <c r="F7678" t="s">
        <v>35</v>
      </c>
      <c r="G7678" t="s">
        <v>35</v>
      </c>
      <c r="H7678" t="s">
        <v>35</v>
      </c>
      <c r="J7678" t="s">
        <v>2384</v>
      </c>
      <c r="K7678" t="s">
        <v>1092</v>
      </c>
      <c r="M7678">
        <v>0.04</v>
      </c>
      <c r="N7678">
        <v>391</v>
      </c>
      <c r="O7678" t="s">
        <v>294</v>
      </c>
      <c r="Q7678" t="s">
        <v>3592</v>
      </c>
      <c r="R7678" t="s">
        <v>133</v>
      </c>
      <c r="S7678" t="s">
        <v>134</v>
      </c>
      <c r="T7678" t="s">
        <v>135</v>
      </c>
    </row>
    <row r="7679" spans="1:20" x14ac:dyDescent="0.25">
      <c r="A7679" t="s">
        <v>59</v>
      </c>
      <c r="B7679" t="s">
        <v>31</v>
      </c>
      <c r="C7679" t="s">
        <v>32</v>
      </c>
      <c r="D7679" t="s">
        <v>953</v>
      </c>
      <c r="E7679" t="s">
        <v>1084</v>
      </c>
      <c r="F7679" t="s">
        <v>35</v>
      </c>
      <c r="G7679" t="s">
        <v>35</v>
      </c>
      <c r="H7679" t="s">
        <v>35</v>
      </c>
      <c r="J7679" t="s">
        <v>7797</v>
      </c>
      <c r="K7679" t="s">
        <v>1092</v>
      </c>
      <c r="M7679">
        <v>0.45</v>
      </c>
      <c r="N7679">
        <v>132</v>
      </c>
      <c r="O7679" t="s">
        <v>38</v>
      </c>
      <c r="Q7679" t="s">
        <v>1696</v>
      </c>
      <c r="R7679" t="s">
        <v>133</v>
      </c>
      <c r="S7679" t="s">
        <v>134</v>
      </c>
      <c r="T7679" t="s">
        <v>135</v>
      </c>
    </row>
    <row r="7680" spans="1:20" x14ac:dyDescent="0.25">
      <c r="A7680" t="s">
        <v>30</v>
      </c>
      <c r="B7680" t="s">
        <v>31</v>
      </c>
      <c r="C7680" t="s">
        <v>32</v>
      </c>
      <c r="D7680" t="s">
        <v>953</v>
      </c>
      <c r="E7680" t="s">
        <v>1015</v>
      </c>
      <c r="F7680" t="s">
        <v>35</v>
      </c>
      <c r="G7680" t="s">
        <v>35</v>
      </c>
      <c r="H7680" t="s">
        <v>35</v>
      </c>
      <c r="J7680" t="s">
        <v>7375</v>
      </c>
      <c r="K7680" t="s">
        <v>1092</v>
      </c>
      <c r="M7680">
        <v>0.9</v>
      </c>
      <c r="N7680">
        <v>5</v>
      </c>
      <c r="O7680" t="s">
        <v>46</v>
      </c>
      <c r="Q7680" t="s">
        <v>1865</v>
      </c>
      <c r="R7680" t="s">
        <v>133</v>
      </c>
      <c r="S7680" t="s">
        <v>134</v>
      </c>
      <c r="T7680" t="s">
        <v>135</v>
      </c>
    </row>
    <row r="7681" spans="1:20" x14ac:dyDescent="0.25">
      <c r="A7681" t="s">
        <v>44</v>
      </c>
      <c r="B7681" t="s">
        <v>3</v>
      </c>
      <c r="C7681" t="s">
        <v>32</v>
      </c>
      <c r="D7681" t="s">
        <v>953</v>
      </c>
      <c r="E7681" t="s">
        <v>6878</v>
      </c>
      <c r="F7681" t="s">
        <v>35</v>
      </c>
      <c r="G7681" t="s">
        <v>35</v>
      </c>
      <c r="H7681" t="s">
        <v>35</v>
      </c>
      <c r="J7681" t="s">
        <v>6954</v>
      </c>
      <c r="K7681" t="s">
        <v>1092</v>
      </c>
      <c r="M7681">
        <v>7.3</v>
      </c>
      <c r="N7681">
        <v>33</v>
      </c>
      <c r="O7681" t="s">
        <v>52</v>
      </c>
      <c r="Q7681" t="s">
        <v>130</v>
      </c>
      <c r="R7681" t="s">
        <v>133</v>
      </c>
      <c r="S7681" t="s">
        <v>134</v>
      </c>
      <c r="T7681" t="s">
        <v>135</v>
      </c>
    </row>
    <row r="7682" spans="1:20" x14ac:dyDescent="0.25">
      <c r="A7682" t="s">
        <v>59</v>
      </c>
      <c r="B7682" t="s">
        <v>31</v>
      </c>
      <c r="C7682" t="s">
        <v>32</v>
      </c>
      <c r="D7682" t="s">
        <v>953</v>
      </c>
      <c r="E7682" t="s">
        <v>998</v>
      </c>
      <c r="F7682" t="s">
        <v>35</v>
      </c>
      <c r="G7682" t="s">
        <v>35</v>
      </c>
      <c r="H7682" t="s">
        <v>35</v>
      </c>
      <c r="J7682" t="s">
        <v>7275</v>
      </c>
      <c r="K7682" t="s">
        <v>1092</v>
      </c>
      <c r="M7682">
        <v>0.22500000000000001</v>
      </c>
      <c r="N7682">
        <v>1193</v>
      </c>
      <c r="O7682" t="s">
        <v>575</v>
      </c>
      <c r="Q7682" t="s">
        <v>3747</v>
      </c>
      <c r="R7682" t="s">
        <v>133</v>
      </c>
      <c r="S7682" t="s">
        <v>134</v>
      </c>
      <c r="T7682" t="s">
        <v>135</v>
      </c>
    </row>
    <row r="7683" spans="1:20" x14ac:dyDescent="0.25">
      <c r="A7683" t="s">
        <v>59</v>
      </c>
      <c r="B7683" t="s">
        <v>60</v>
      </c>
      <c r="C7683" t="s">
        <v>32</v>
      </c>
      <c r="D7683" t="s">
        <v>953</v>
      </c>
      <c r="E7683" t="s">
        <v>1015</v>
      </c>
      <c r="F7683" t="s">
        <v>35</v>
      </c>
      <c r="G7683" t="s">
        <v>35</v>
      </c>
      <c r="H7683" t="s">
        <v>35</v>
      </c>
      <c r="J7683" t="s">
        <v>7449</v>
      </c>
      <c r="K7683" t="s">
        <v>1092</v>
      </c>
      <c r="M7683">
        <v>1.5</v>
      </c>
      <c r="N7683">
        <v>172</v>
      </c>
      <c r="O7683" t="s">
        <v>38</v>
      </c>
      <c r="Q7683" t="s">
        <v>346</v>
      </c>
      <c r="R7683" t="s">
        <v>133</v>
      </c>
      <c r="S7683" t="s">
        <v>134</v>
      </c>
      <c r="T7683" t="s">
        <v>135</v>
      </c>
    </row>
    <row r="7684" spans="1:20" x14ac:dyDescent="0.25">
      <c r="A7684" t="s">
        <v>59</v>
      </c>
      <c r="B7684" t="s">
        <v>60</v>
      </c>
      <c r="C7684" t="s">
        <v>32</v>
      </c>
      <c r="D7684" t="s">
        <v>953</v>
      </c>
      <c r="E7684" t="s">
        <v>7494</v>
      </c>
      <c r="F7684" t="s">
        <v>35</v>
      </c>
      <c r="G7684" t="s">
        <v>35</v>
      </c>
      <c r="H7684" t="s">
        <v>35</v>
      </c>
      <c r="J7684" t="s">
        <v>7506</v>
      </c>
      <c r="K7684" t="s">
        <v>1092</v>
      </c>
      <c r="M7684">
        <v>3.2</v>
      </c>
      <c r="N7684">
        <v>53</v>
      </c>
      <c r="O7684" t="s">
        <v>52</v>
      </c>
      <c r="Q7684" t="s">
        <v>1734</v>
      </c>
      <c r="R7684" t="s">
        <v>133</v>
      </c>
      <c r="S7684" t="s">
        <v>134</v>
      </c>
      <c r="T7684" t="s">
        <v>135</v>
      </c>
    </row>
    <row r="7685" spans="1:20" x14ac:dyDescent="0.25">
      <c r="A7685" t="s">
        <v>59</v>
      </c>
      <c r="B7685" t="s">
        <v>31</v>
      </c>
      <c r="C7685" t="s">
        <v>32</v>
      </c>
      <c r="D7685" t="s">
        <v>953</v>
      </c>
      <c r="E7685" t="s">
        <v>980</v>
      </c>
      <c r="F7685" t="s">
        <v>35</v>
      </c>
      <c r="G7685" t="s">
        <v>35</v>
      </c>
      <c r="H7685" t="s">
        <v>35</v>
      </c>
      <c r="J7685" t="s">
        <v>7101</v>
      </c>
      <c r="K7685" t="s">
        <v>1092</v>
      </c>
      <c r="M7685">
        <v>0.01</v>
      </c>
      <c r="N7685">
        <v>797</v>
      </c>
      <c r="O7685" t="s">
        <v>575</v>
      </c>
      <c r="Q7685" t="s">
        <v>7102</v>
      </c>
      <c r="R7685" t="s">
        <v>133</v>
      </c>
      <c r="S7685" t="s">
        <v>134</v>
      </c>
      <c r="T7685" t="s">
        <v>135</v>
      </c>
    </row>
    <row r="7686" spans="1:20" x14ac:dyDescent="0.25">
      <c r="A7686" t="s">
        <v>59</v>
      </c>
      <c r="B7686" t="s">
        <v>60</v>
      </c>
      <c r="C7686" t="s">
        <v>32</v>
      </c>
      <c r="D7686" t="s">
        <v>953</v>
      </c>
      <c r="E7686" t="s">
        <v>1015</v>
      </c>
      <c r="F7686" t="s">
        <v>35</v>
      </c>
      <c r="G7686" t="s">
        <v>35</v>
      </c>
      <c r="H7686" t="s">
        <v>35</v>
      </c>
      <c r="J7686" t="s">
        <v>7406</v>
      </c>
      <c r="K7686" t="s">
        <v>1092</v>
      </c>
      <c r="M7686">
        <v>0.05</v>
      </c>
      <c r="N7686">
        <v>69</v>
      </c>
      <c r="O7686" t="s">
        <v>61</v>
      </c>
      <c r="Q7686" t="s">
        <v>234</v>
      </c>
      <c r="R7686" t="s">
        <v>133</v>
      </c>
      <c r="S7686" t="s">
        <v>134</v>
      </c>
      <c r="T7686" t="s">
        <v>135</v>
      </c>
    </row>
    <row r="7687" spans="1:20" x14ac:dyDescent="0.25">
      <c r="A7687" t="s">
        <v>59</v>
      </c>
      <c r="B7687" t="s">
        <v>60</v>
      </c>
      <c r="C7687" t="s">
        <v>32</v>
      </c>
      <c r="D7687" t="s">
        <v>953</v>
      </c>
      <c r="E7687" t="s">
        <v>7558</v>
      </c>
      <c r="F7687" t="s">
        <v>35</v>
      </c>
      <c r="G7687" t="s">
        <v>35</v>
      </c>
      <c r="H7687" t="s">
        <v>35</v>
      </c>
      <c r="J7687" t="s">
        <v>7564</v>
      </c>
      <c r="K7687" t="s">
        <v>1092</v>
      </c>
      <c r="M7687">
        <v>7.95</v>
      </c>
      <c r="N7687">
        <v>52</v>
      </c>
      <c r="O7687" t="s">
        <v>52</v>
      </c>
      <c r="Q7687" t="s">
        <v>84</v>
      </c>
      <c r="R7687" t="s">
        <v>133</v>
      </c>
      <c r="S7687" t="s">
        <v>134</v>
      </c>
      <c r="T7687" t="s">
        <v>135</v>
      </c>
    </row>
    <row r="7688" spans="1:20" x14ac:dyDescent="0.25">
      <c r="A7688" t="s">
        <v>30</v>
      </c>
      <c r="B7688" t="s">
        <v>31</v>
      </c>
      <c r="C7688" t="s">
        <v>32</v>
      </c>
      <c r="D7688" t="s">
        <v>953</v>
      </c>
      <c r="E7688" t="s">
        <v>7558</v>
      </c>
      <c r="F7688" t="s">
        <v>35</v>
      </c>
      <c r="G7688" t="s">
        <v>35</v>
      </c>
      <c r="H7688" t="s">
        <v>35</v>
      </c>
      <c r="J7688" t="s">
        <v>7564</v>
      </c>
      <c r="K7688" t="s">
        <v>1092</v>
      </c>
      <c r="M7688">
        <v>0.495</v>
      </c>
      <c r="N7688">
        <v>53</v>
      </c>
      <c r="O7688" t="s">
        <v>52</v>
      </c>
      <c r="Q7688" t="s">
        <v>1734</v>
      </c>
      <c r="R7688" t="s">
        <v>133</v>
      </c>
      <c r="S7688" t="s">
        <v>134</v>
      </c>
      <c r="T7688" t="s">
        <v>135</v>
      </c>
    </row>
    <row r="7689" spans="1:20" x14ac:dyDescent="0.25">
      <c r="A7689" t="s">
        <v>59</v>
      </c>
      <c r="B7689" t="s">
        <v>31</v>
      </c>
      <c r="C7689" t="s">
        <v>32</v>
      </c>
      <c r="D7689" t="s">
        <v>953</v>
      </c>
      <c r="E7689" t="s">
        <v>7558</v>
      </c>
      <c r="F7689" t="s">
        <v>35</v>
      </c>
      <c r="G7689" t="s">
        <v>35</v>
      </c>
      <c r="H7689" t="s">
        <v>35</v>
      </c>
      <c r="J7689" t="s">
        <v>7564</v>
      </c>
      <c r="K7689" t="s">
        <v>1092</v>
      </c>
      <c r="M7689">
        <v>4.4999999999999998E-2</v>
      </c>
      <c r="N7689">
        <v>81</v>
      </c>
      <c r="O7689" t="s">
        <v>61</v>
      </c>
      <c r="Q7689" t="s">
        <v>858</v>
      </c>
      <c r="R7689" t="s">
        <v>133</v>
      </c>
      <c r="S7689" t="s">
        <v>134</v>
      </c>
      <c r="T7689" t="s">
        <v>135</v>
      </c>
    </row>
    <row r="7690" spans="1:20" x14ac:dyDescent="0.25">
      <c r="A7690" t="s">
        <v>59</v>
      </c>
      <c r="B7690" t="s">
        <v>31</v>
      </c>
      <c r="C7690" t="s">
        <v>32</v>
      </c>
      <c r="D7690" t="s">
        <v>953</v>
      </c>
      <c r="F7690" t="s">
        <v>35</v>
      </c>
      <c r="G7690" t="s">
        <v>35</v>
      </c>
      <c r="H7690" t="s">
        <v>35</v>
      </c>
      <c r="J7690" t="s">
        <v>7974</v>
      </c>
      <c r="K7690" t="s">
        <v>1092</v>
      </c>
      <c r="M7690">
        <v>8.4600000000000009</v>
      </c>
      <c r="N7690">
        <v>390</v>
      </c>
      <c r="O7690" t="s">
        <v>294</v>
      </c>
      <c r="Q7690" t="s">
        <v>1808</v>
      </c>
      <c r="R7690" t="s">
        <v>133</v>
      </c>
      <c r="S7690" t="s">
        <v>134</v>
      </c>
      <c r="T7690" t="s">
        <v>135</v>
      </c>
    </row>
    <row r="7691" spans="1:20" x14ac:dyDescent="0.25">
      <c r="A7691" t="s">
        <v>59</v>
      </c>
      <c r="B7691" t="s">
        <v>31</v>
      </c>
      <c r="C7691" t="s">
        <v>32</v>
      </c>
      <c r="D7691" t="s">
        <v>953</v>
      </c>
      <c r="F7691" t="s">
        <v>35</v>
      </c>
      <c r="G7691" t="s">
        <v>35</v>
      </c>
      <c r="H7691" t="s">
        <v>35</v>
      </c>
      <c r="J7691" t="s">
        <v>8100</v>
      </c>
      <c r="K7691" t="s">
        <v>1092</v>
      </c>
      <c r="M7691">
        <v>4.4999999999999998E-2</v>
      </c>
      <c r="N7691">
        <v>33</v>
      </c>
      <c r="O7691" t="s">
        <v>52</v>
      </c>
      <c r="Q7691" t="s">
        <v>130</v>
      </c>
      <c r="R7691" t="s">
        <v>133</v>
      </c>
      <c r="S7691" t="s">
        <v>134</v>
      </c>
      <c r="T7691" t="s">
        <v>135</v>
      </c>
    </row>
    <row r="7692" spans="1:20" x14ac:dyDescent="0.25">
      <c r="A7692" t="s">
        <v>59</v>
      </c>
      <c r="B7692" t="s">
        <v>60</v>
      </c>
      <c r="C7692" t="s">
        <v>32</v>
      </c>
      <c r="D7692" t="s">
        <v>953</v>
      </c>
      <c r="E7692" t="s">
        <v>6878</v>
      </c>
      <c r="F7692" t="s">
        <v>35</v>
      </c>
      <c r="G7692" t="s">
        <v>35</v>
      </c>
      <c r="H7692" t="s">
        <v>35</v>
      </c>
      <c r="J7692" t="s">
        <v>6951</v>
      </c>
      <c r="K7692" t="s">
        <v>1092</v>
      </c>
      <c r="M7692">
        <v>1.65</v>
      </c>
      <c r="N7692">
        <v>508</v>
      </c>
      <c r="O7692" t="s">
        <v>294</v>
      </c>
      <c r="Q7692" t="s">
        <v>2573</v>
      </c>
      <c r="R7692" t="s">
        <v>133</v>
      </c>
      <c r="S7692" t="s">
        <v>134</v>
      </c>
      <c r="T7692" t="s">
        <v>135</v>
      </c>
    </row>
    <row r="7693" spans="1:20" x14ac:dyDescent="0.25">
      <c r="A7693" t="s">
        <v>59</v>
      </c>
      <c r="B7693" t="s">
        <v>31</v>
      </c>
      <c r="C7693" t="s">
        <v>32</v>
      </c>
      <c r="D7693" t="s">
        <v>953</v>
      </c>
      <c r="E7693" t="s">
        <v>6878</v>
      </c>
      <c r="F7693" t="s">
        <v>35</v>
      </c>
      <c r="G7693" t="s">
        <v>35</v>
      </c>
      <c r="H7693" t="s">
        <v>35</v>
      </c>
      <c r="J7693" t="s">
        <v>6951</v>
      </c>
      <c r="K7693" t="s">
        <v>1092</v>
      </c>
      <c r="M7693">
        <v>4.5</v>
      </c>
      <c r="N7693">
        <v>508</v>
      </c>
      <c r="O7693" t="s">
        <v>294</v>
      </c>
      <c r="Q7693" t="s">
        <v>2573</v>
      </c>
      <c r="R7693" t="s">
        <v>133</v>
      </c>
      <c r="S7693" t="s">
        <v>134</v>
      </c>
      <c r="T7693" t="s">
        <v>135</v>
      </c>
    </row>
    <row r="7694" spans="1:20" x14ac:dyDescent="0.25">
      <c r="A7694" t="s">
        <v>59</v>
      </c>
      <c r="B7694" t="s">
        <v>31</v>
      </c>
      <c r="C7694" t="s">
        <v>32</v>
      </c>
      <c r="D7694" t="s">
        <v>953</v>
      </c>
      <c r="E7694" t="s">
        <v>1015</v>
      </c>
      <c r="F7694" t="s">
        <v>35</v>
      </c>
      <c r="G7694" t="s">
        <v>35</v>
      </c>
      <c r="H7694" t="s">
        <v>35</v>
      </c>
      <c r="J7694" t="s">
        <v>3285</v>
      </c>
      <c r="K7694" t="s">
        <v>1092</v>
      </c>
      <c r="M7694">
        <v>2.4750000000000001</v>
      </c>
      <c r="N7694">
        <v>79</v>
      </c>
      <c r="O7694" t="s">
        <v>61</v>
      </c>
      <c r="Q7694" t="s">
        <v>1076</v>
      </c>
      <c r="R7694" t="s">
        <v>133</v>
      </c>
      <c r="S7694" t="s">
        <v>134</v>
      </c>
      <c r="T7694" t="s">
        <v>135</v>
      </c>
    </row>
    <row r="7695" spans="1:20" x14ac:dyDescent="0.25">
      <c r="A7695" t="s">
        <v>59</v>
      </c>
      <c r="B7695" t="s">
        <v>60</v>
      </c>
      <c r="C7695" t="s">
        <v>32</v>
      </c>
      <c r="D7695" t="s">
        <v>953</v>
      </c>
      <c r="E7695" t="s">
        <v>1015</v>
      </c>
      <c r="F7695" t="s">
        <v>35</v>
      </c>
      <c r="G7695" t="s">
        <v>35</v>
      </c>
      <c r="H7695" t="s">
        <v>35</v>
      </c>
      <c r="J7695" t="s">
        <v>3285</v>
      </c>
      <c r="K7695" t="s">
        <v>1092</v>
      </c>
      <c r="M7695">
        <v>2.35</v>
      </c>
      <c r="N7695">
        <v>79</v>
      </c>
      <c r="O7695" t="s">
        <v>61</v>
      </c>
      <c r="Q7695" t="s">
        <v>1076</v>
      </c>
      <c r="R7695" t="s">
        <v>133</v>
      </c>
      <c r="S7695" t="s">
        <v>134</v>
      </c>
      <c r="T7695" t="s">
        <v>135</v>
      </c>
    </row>
    <row r="7696" spans="1:20" x14ac:dyDescent="0.25">
      <c r="A7696" t="s">
        <v>59</v>
      </c>
      <c r="B7696" t="s">
        <v>31</v>
      </c>
      <c r="C7696" t="s">
        <v>32</v>
      </c>
      <c r="D7696" t="s">
        <v>953</v>
      </c>
      <c r="E7696" t="s">
        <v>968</v>
      </c>
      <c r="F7696" t="s">
        <v>35</v>
      </c>
      <c r="G7696" t="s">
        <v>35</v>
      </c>
      <c r="H7696" t="s">
        <v>35</v>
      </c>
      <c r="J7696" t="s">
        <v>7056</v>
      </c>
      <c r="K7696" t="s">
        <v>1092</v>
      </c>
      <c r="M7696">
        <v>2.4300000000000002</v>
      </c>
      <c r="N7696">
        <v>1298</v>
      </c>
      <c r="O7696" t="s">
        <v>575</v>
      </c>
      <c r="Q7696" t="s">
        <v>4748</v>
      </c>
      <c r="R7696" t="s">
        <v>133</v>
      </c>
      <c r="S7696" t="s">
        <v>134</v>
      </c>
      <c r="T7696" t="s">
        <v>135</v>
      </c>
    </row>
    <row r="7697" spans="1:20" x14ac:dyDescent="0.25">
      <c r="A7697" t="s">
        <v>59</v>
      </c>
      <c r="B7697" t="s">
        <v>60</v>
      </c>
      <c r="C7697" t="s">
        <v>32</v>
      </c>
      <c r="D7697" t="s">
        <v>953</v>
      </c>
      <c r="E7697" t="s">
        <v>968</v>
      </c>
      <c r="F7697" t="s">
        <v>35</v>
      </c>
      <c r="G7697" t="s">
        <v>35</v>
      </c>
      <c r="H7697" t="s">
        <v>35</v>
      </c>
      <c r="J7697" t="s">
        <v>7056</v>
      </c>
      <c r="K7697" t="s">
        <v>1092</v>
      </c>
      <c r="M7697">
        <v>7.25</v>
      </c>
      <c r="N7697">
        <v>1298</v>
      </c>
      <c r="O7697" t="s">
        <v>575</v>
      </c>
      <c r="Q7697" t="s">
        <v>4748</v>
      </c>
      <c r="R7697" t="s">
        <v>133</v>
      </c>
      <c r="S7697" t="s">
        <v>134</v>
      </c>
      <c r="T7697" t="s">
        <v>135</v>
      </c>
    </row>
    <row r="7698" spans="1:20" x14ac:dyDescent="0.25">
      <c r="A7698" t="s">
        <v>30</v>
      </c>
      <c r="B7698" t="s">
        <v>31</v>
      </c>
      <c r="C7698" t="s">
        <v>32</v>
      </c>
      <c r="D7698" t="s">
        <v>953</v>
      </c>
      <c r="E7698" t="s">
        <v>968</v>
      </c>
      <c r="F7698" t="s">
        <v>35</v>
      </c>
      <c r="G7698" t="s">
        <v>35</v>
      </c>
      <c r="H7698" t="s">
        <v>35</v>
      </c>
      <c r="J7698" t="s">
        <v>7013</v>
      </c>
      <c r="K7698" t="s">
        <v>1092</v>
      </c>
      <c r="M7698">
        <v>15.93</v>
      </c>
      <c r="N7698">
        <v>390</v>
      </c>
      <c r="O7698" t="s">
        <v>294</v>
      </c>
      <c r="Q7698" t="s">
        <v>1808</v>
      </c>
      <c r="R7698" t="s">
        <v>133</v>
      </c>
      <c r="S7698" t="s">
        <v>134</v>
      </c>
      <c r="T7698" t="s">
        <v>135</v>
      </c>
    </row>
    <row r="7699" spans="1:20" x14ac:dyDescent="0.25">
      <c r="A7699" t="s">
        <v>59</v>
      </c>
      <c r="B7699" t="s">
        <v>60</v>
      </c>
      <c r="C7699" t="s">
        <v>32</v>
      </c>
      <c r="D7699" t="s">
        <v>953</v>
      </c>
      <c r="E7699" t="s">
        <v>980</v>
      </c>
      <c r="F7699" t="s">
        <v>35</v>
      </c>
      <c r="G7699" t="s">
        <v>35</v>
      </c>
      <c r="H7699" t="s">
        <v>35</v>
      </c>
      <c r="J7699" t="s">
        <v>7103</v>
      </c>
      <c r="K7699" t="s">
        <v>1092</v>
      </c>
      <c r="M7699">
        <v>2.355</v>
      </c>
      <c r="N7699">
        <v>51</v>
      </c>
      <c r="O7699" t="s">
        <v>52</v>
      </c>
      <c r="Q7699" t="s">
        <v>58</v>
      </c>
      <c r="R7699" t="s">
        <v>133</v>
      </c>
      <c r="S7699" t="s">
        <v>134</v>
      </c>
      <c r="T7699" t="s">
        <v>135</v>
      </c>
    </row>
    <row r="7700" spans="1:20" x14ac:dyDescent="0.25">
      <c r="A7700" t="s">
        <v>44</v>
      </c>
      <c r="B7700" t="s">
        <v>3</v>
      </c>
      <c r="C7700" t="s">
        <v>32</v>
      </c>
      <c r="D7700" t="s">
        <v>953</v>
      </c>
      <c r="E7700" t="s">
        <v>980</v>
      </c>
      <c r="F7700" t="s">
        <v>35</v>
      </c>
      <c r="G7700" t="s">
        <v>35</v>
      </c>
      <c r="H7700" t="s">
        <v>35</v>
      </c>
      <c r="J7700" t="s">
        <v>7103</v>
      </c>
      <c r="K7700" t="s">
        <v>1092</v>
      </c>
      <c r="M7700">
        <v>5.5</v>
      </c>
      <c r="N7700">
        <v>52</v>
      </c>
      <c r="O7700" t="s">
        <v>52</v>
      </c>
      <c r="Q7700" t="s">
        <v>84</v>
      </c>
      <c r="R7700" t="s">
        <v>133</v>
      </c>
      <c r="S7700" t="s">
        <v>134</v>
      </c>
      <c r="T7700" t="s">
        <v>135</v>
      </c>
    </row>
    <row r="7701" spans="1:20" x14ac:dyDescent="0.25">
      <c r="A7701" t="s">
        <v>44</v>
      </c>
      <c r="B7701" t="s">
        <v>51</v>
      </c>
      <c r="C7701" t="s">
        <v>32</v>
      </c>
      <c r="D7701" t="s">
        <v>953</v>
      </c>
      <c r="E7701" t="s">
        <v>980</v>
      </c>
      <c r="F7701" t="s">
        <v>35</v>
      </c>
      <c r="G7701" t="s">
        <v>35</v>
      </c>
      <c r="H7701" t="s">
        <v>35</v>
      </c>
      <c r="J7701" t="s">
        <v>7103</v>
      </c>
      <c r="K7701" t="s">
        <v>1092</v>
      </c>
      <c r="M7701">
        <v>1.4</v>
      </c>
      <c r="N7701">
        <v>44</v>
      </c>
      <c r="O7701" t="s">
        <v>52</v>
      </c>
      <c r="Q7701" t="s">
        <v>54</v>
      </c>
      <c r="R7701" t="s">
        <v>133</v>
      </c>
      <c r="S7701" t="s">
        <v>134</v>
      </c>
      <c r="T7701" t="s">
        <v>135</v>
      </c>
    </row>
    <row r="7702" spans="1:20" x14ac:dyDescent="0.25">
      <c r="A7702" t="s">
        <v>59</v>
      </c>
      <c r="B7702" t="s">
        <v>60</v>
      </c>
      <c r="C7702" t="s">
        <v>32</v>
      </c>
      <c r="D7702" t="s">
        <v>953</v>
      </c>
      <c r="E7702" t="s">
        <v>7494</v>
      </c>
      <c r="F7702" t="s">
        <v>35</v>
      </c>
      <c r="G7702" t="s">
        <v>35</v>
      </c>
      <c r="H7702" t="s">
        <v>35</v>
      </c>
      <c r="J7702" t="s">
        <v>7500</v>
      </c>
      <c r="K7702" t="s">
        <v>1092</v>
      </c>
      <c r="M7702">
        <v>10</v>
      </c>
      <c r="N7702">
        <v>52</v>
      </c>
      <c r="O7702" t="s">
        <v>52</v>
      </c>
      <c r="Q7702" t="s">
        <v>84</v>
      </c>
      <c r="R7702" t="s">
        <v>133</v>
      </c>
      <c r="S7702" t="s">
        <v>134</v>
      </c>
      <c r="T7702" t="s">
        <v>135</v>
      </c>
    </row>
    <row r="7703" spans="1:20" x14ac:dyDescent="0.25">
      <c r="A7703" t="s">
        <v>59</v>
      </c>
      <c r="B7703" t="s">
        <v>60</v>
      </c>
      <c r="C7703" t="s">
        <v>32</v>
      </c>
      <c r="D7703" t="s">
        <v>953</v>
      </c>
      <c r="F7703" t="s">
        <v>35</v>
      </c>
      <c r="G7703" t="s">
        <v>35</v>
      </c>
      <c r="H7703" t="s">
        <v>35</v>
      </c>
      <c r="J7703" t="s">
        <v>7948</v>
      </c>
      <c r="K7703" t="s">
        <v>1092</v>
      </c>
      <c r="M7703">
        <v>0.25</v>
      </c>
      <c r="N7703">
        <v>228</v>
      </c>
      <c r="O7703" t="s">
        <v>5</v>
      </c>
      <c r="Q7703" t="s">
        <v>4942</v>
      </c>
      <c r="R7703" t="s">
        <v>133</v>
      </c>
      <c r="S7703" t="s">
        <v>134</v>
      </c>
      <c r="T7703" t="s">
        <v>135</v>
      </c>
    </row>
    <row r="7704" spans="1:20" x14ac:dyDescent="0.25">
      <c r="A7704" t="s">
        <v>59</v>
      </c>
      <c r="B7704" t="s">
        <v>31</v>
      </c>
      <c r="C7704" t="s">
        <v>32</v>
      </c>
      <c r="D7704" t="s">
        <v>953</v>
      </c>
      <c r="E7704" t="s">
        <v>980</v>
      </c>
      <c r="F7704" t="s">
        <v>35</v>
      </c>
      <c r="G7704" t="s">
        <v>35</v>
      </c>
      <c r="H7704" t="s">
        <v>35</v>
      </c>
      <c r="J7704" t="s">
        <v>7155</v>
      </c>
      <c r="K7704" t="s">
        <v>1092</v>
      </c>
      <c r="M7704">
        <v>5.0049999999999999</v>
      </c>
      <c r="N7704">
        <v>797</v>
      </c>
      <c r="O7704" t="s">
        <v>575</v>
      </c>
      <c r="Q7704" t="s">
        <v>7102</v>
      </c>
      <c r="R7704" t="s">
        <v>133</v>
      </c>
      <c r="S7704" t="s">
        <v>134</v>
      </c>
      <c r="T7704" t="s">
        <v>135</v>
      </c>
    </row>
    <row r="7705" spans="1:20" x14ac:dyDescent="0.25">
      <c r="A7705" t="s">
        <v>30</v>
      </c>
      <c r="B7705" t="s">
        <v>31</v>
      </c>
      <c r="C7705" t="s">
        <v>32</v>
      </c>
      <c r="D7705" t="s">
        <v>953</v>
      </c>
      <c r="E7705" t="s">
        <v>980</v>
      </c>
      <c r="F7705" t="s">
        <v>35</v>
      </c>
      <c r="G7705" t="s">
        <v>35</v>
      </c>
      <c r="H7705" t="s">
        <v>35</v>
      </c>
      <c r="J7705" t="s">
        <v>7155</v>
      </c>
      <c r="K7705" t="s">
        <v>1092</v>
      </c>
      <c r="M7705">
        <v>2.0699999999999998</v>
      </c>
      <c r="N7705">
        <v>1057</v>
      </c>
      <c r="O7705" t="s">
        <v>575</v>
      </c>
      <c r="Q7705" t="s">
        <v>7153</v>
      </c>
      <c r="R7705" t="s">
        <v>133</v>
      </c>
      <c r="S7705" t="s">
        <v>134</v>
      </c>
      <c r="T7705" t="s">
        <v>135</v>
      </c>
    </row>
    <row r="7706" spans="1:20" x14ac:dyDescent="0.25">
      <c r="A7706" t="s">
        <v>59</v>
      </c>
      <c r="B7706" t="s">
        <v>60</v>
      </c>
      <c r="C7706" t="s">
        <v>32</v>
      </c>
      <c r="D7706" t="s">
        <v>953</v>
      </c>
      <c r="F7706" t="s">
        <v>35</v>
      </c>
      <c r="G7706" t="s">
        <v>35</v>
      </c>
      <c r="H7706" t="s">
        <v>35</v>
      </c>
      <c r="J7706" t="s">
        <v>7922</v>
      </c>
      <c r="K7706" t="s">
        <v>1092</v>
      </c>
      <c r="M7706">
        <v>0.5</v>
      </c>
      <c r="N7706">
        <v>1355</v>
      </c>
      <c r="O7706" t="s">
        <v>575</v>
      </c>
      <c r="Q7706" t="s">
        <v>7886</v>
      </c>
      <c r="R7706" t="s">
        <v>133</v>
      </c>
      <c r="S7706" t="s">
        <v>134</v>
      </c>
      <c r="T7706" t="s">
        <v>135</v>
      </c>
    </row>
    <row r="7707" spans="1:20" x14ac:dyDescent="0.25">
      <c r="A7707" t="s">
        <v>59</v>
      </c>
      <c r="B7707" t="s">
        <v>60</v>
      </c>
      <c r="C7707" t="s">
        <v>32</v>
      </c>
      <c r="D7707" t="s">
        <v>953</v>
      </c>
      <c r="F7707" t="s">
        <v>35</v>
      </c>
      <c r="G7707" t="s">
        <v>35</v>
      </c>
      <c r="H7707" t="s">
        <v>35</v>
      </c>
      <c r="J7707" t="s">
        <v>7922</v>
      </c>
      <c r="K7707" t="s">
        <v>1092</v>
      </c>
      <c r="M7707">
        <v>0.25</v>
      </c>
      <c r="N7707">
        <v>1146</v>
      </c>
      <c r="O7707" t="s">
        <v>575</v>
      </c>
      <c r="Q7707" t="s">
        <v>7923</v>
      </c>
      <c r="R7707" t="s">
        <v>133</v>
      </c>
      <c r="S7707" t="s">
        <v>134</v>
      </c>
      <c r="T7707" t="s">
        <v>135</v>
      </c>
    </row>
    <row r="7708" spans="1:20" x14ac:dyDescent="0.25">
      <c r="A7708" t="s">
        <v>59</v>
      </c>
      <c r="B7708" t="s">
        <v>31</v>
      </c>
      <c r="C7708" t="s">
        <v>32</v>
      </c>
      <c r="D7708" t="s">
        <v>953</v>
      </c>
      <c r="F7708" t="s">
        <v>35</v>
      </c>
      <c r="G7708" t="s">
        <v>35</v>
      </c>
      <c r="H7708" t="s">
        <v>35</v>
      </c>
      <c r="J7708" t="s">
        <v>7922</v>
      </c>
      <c r="K7708" t="s">
        <v>1092</v>
      </c>
      <c r="M7708">
        <v>0.63</v>
      </c>
      <c r="N7708">
        <v>1146</v>
      </c>
      <c r="O7708" t="s">
        <v>575</v>
      </c>
      <c r="Q7708" t="s">
        <v>7923</v>
      </c>
      <c r="R7708" t="s">
        <v>133</v>
      </c>
      <c r="S7708" t="s">
        <v>134</v>
      </c>
      <c r="T7708" t="s">
        <v>135</v>
      </c>
    </row>
    <row r="7709" spans="1:20" x14ac:dyDescent="0.25">
      <c r="A7709" t="s">
        <v>59</v>
      </c>
      <c r="B7709" t="s">
        <v>60</v>
      </c>
      <c r="C7709" t="s">
        <v>32</v>
      </c>
      <c r="D7709" t="s">
        <v>953</v>
      </c>
      <c r="F7709" t="s">
        <v>35</v>
      </c>
      <c r="G7709" t="s">
        <v>35</v>
      </c>
      <c r="H7709" t="s">
        <v>35</v>
      </c>
      <c r="J7709" t="s">
        <v>7922</v>
      </c>
      <c r="K7709" t="s">
        <v>1092</v>
      </c>
      <c r="M7709">
        <v>0.5</v>
      </c>
      <c r="N7709">
        <v>1509</v>
      </c>
      <c r="O7709" t="s">
        <v>575</v>
      </c>
      <c r="Q7709" t="s">
        <v>7924</v>
      </c>
      <c r="R7709" t="s">
        <v>133</v>
      </c>
      <c r="S7709" t="s">
        <v>134</v>
      </c>
      <c r="T7709" t="s">
        <v>135</v>
      </c>
    </row>
    <row r="7710" spans="1:20" x14ac:dyDescent="0.25">
      <c r="A7710" t="s">
        <v>30</v>
      </c>
      <c r="B7710" t="s">
        <v>31</v>
      </c>
      <c r="C7710" t="s">
        <v>32</v>
      </c>
      <c r="D7710" t="s">
        <v>953</v>
      </c>
      <c r="F7710" t="s">
        <v>35</v>
      </c>
      <c r="G7710" t="s">
        <v>35</v>
      </c>
      <c r="H7710" t="s">
        <v>35</v>
      </c>
      <c r="J7710" t="s">
        <v>7922</v>
      </c>
      <c r="K7710" t="s">
        <v>1092</v>
      </c>
      <c r="M7710">
        <v>1.8</v>
      </c>
      <c r="N7710">
        <v>1459</v>
      </c>
      <c r="O7710" t="s">
        <v>575</v>
      </c>
      <c r="Q7710" t="s">
        <v>7925</v>
      </c>
      <c r="R7710" t="s">
        <v>133</v>
      </c>
      <c r="S7710" t="s">
        <v>134</v>
      </c>
      <c r="T7710" t="s">
        <v>135</v>
      </c>
    </row>
    <row r="7711" spans="1:20" x14ac:dyDescent="0.25">
      <c r="A7711" t="s">
        <v>59</v>
      </c>
      <c r="B7711" t="s">
        <v>60</v>
      </c>
      <c r="C7711" t="s">
        <v>32</v>
      </c>
      <c r="D7711" t="s">
        <v>953</v>
      </c>
      <c r="F7711" t="s">
        <v>35</v>
      </c>
      <c r="G7711" t="s">
        <v>35</v>
      </c>
      <c r="H7711" t="s">
        <v>35</v>
      </c>
      <c r="J7711" t="s">
        <v>7926</v>
      </c>
      <c r="K7711" t="s">
        <v>1092</v>
      </c>
      <c r="M7711">
        <v>0.25</v>
      </c>
      <c r="N7711">
        <v>206</v>
      </c>
      <c r="O7711" t="s">
        <v>5</v>
      </c>
      <c r="Q7711" t="s">
        <v>1298</v>
      </c>
      <c r="R7711" t="s">
        <v>133</v>
      </c>
      <c r="S7711" t="s">
        <v>134</v>
      </c>
      <c r="T7711" t="s">
        <v>135</v>
      </c>
    </row>
    <row r="7712" spans="1:20" x14ac:dyDescent="0.25">
      <c r="A7712" t="s">
        <v>59</v>
      </c>
      <c r="B7712" t="s">
        <v>60</v>
      </c>
      <c r="C7712" t="s">
        <v>32</v>
      </c>
      <c r="D7712" t="s">
        <v>953</v>
      </c>
      <c r="E7712" t="s">
        <v>968</v>
      </c>
      <c r="F7712" t="s">
        <v>35</v>
      </c>
      <c r="G7712" t="s">
        <v>35</v>
      </c>
      <c r="H7712" t="s">
        <v>35</v>
      </c>
      <c r="J7712" t="s">
        <v>7045</v>
      </c>
      <c r="K7712" t="s">
        <v>1092</v>
      </c>
      <c r="M7712">
        <v>1.75</v>
      </c>
      <c r="N7712">
        <v>84</v>
      </c>
      <c r="O7712" t="s">
        <v>61</v>
      </c>
      <c r="Q7712" t="s">
        <v>1147</v>
      </c>
      <c r="R7712" t="s">
        <v>133</v>
      </c>
      <c r="S7712" t="s">
        <v>134</v>
      </c>
      <c r="T7712" t="s">
        <v>135</v>
      </c>
    </row>
    <row r="7713" spans="1:20" x14ac:dyDescent="0.25">
      <c r="A7713" t="s">
        <v>44</v>
      </c>
      <c r="B7713" t="s">
        <v>3</v>
      </c>
      <c r="C7713" t="s">
        <v>32</v>
      </c>
      <c r="D7713" t="s">
        <v>953</v>
      </c>
      <c r="E7713" t="s">
        <v>968</v>
      </c>
      <c r="F7713" t="s">
        <v>35</v>
      </c>
      <c r="G7713" t="s">
        <v>35</v>
      </c>
      <c r="H7713" t="s">
        <v>35</v>
      </c>
      <c r="J7713" t="s">
        <v>7045</v>
      </c>
      <c r="K7713" t="s">
        <v>1092</v>
      </c>
      <c r="M7713">
        <v>0.75</v>
      </c>
      <c r="N7713">
        <v>25</v>
      </c>
      <c r="O7713" t="s">
        <v>46</v>
      </c>
      <c r="Q7713" t="s">
        <v>547</v>
      </c>
      <c r="R7713" t="s">
        <v>133</v>
      </c>
      <c r="S7713" t="s">
        <v>134</v>
      </c>
      <c r="T7713" t="s">
        <v>135</v>
      </c>
    </row>
    <row r="7714" spans="1:20" x14ac:dyDescent="0.25">
      <c r="A7714" t="s">
        <v>59</v>
      </c>
      <c r="B7714" t="s">
        <v>60</v>
      </c>
      <c r="C7714" t="s">
        <v>32</v>
      </c>
      <c r="D7714" t="s">
        <v>953</v>
      </c>
      <c r="E7714" t="s">
        <v>6878</v>
      </c>
      <c r="F7714" t="s">
        <v>35</v>
      </c>
      <c r="G7714" t="s">
        <v>35</v>
      </c>
      <c r="H7714" t="s">
        <v>35</v>
      </c>
      <c r="J7714" t="s">
        <v>6909</v>
      </c>
      <c r="K7714" t="s">
        <v>1092</v>
      </c>
      <c r="M7714">
        <v>0.65</v>
      </c>
      <c r="N7714">
        <v>65</v>
      </c>
      <c r="O7714" t="s">
        <v>61</v>
      </c>
      <c r="Q7714" t="s">
        <v>63</v>
      </c>
      <c r="R7714" t="s">
        <v>133</v>
      </c>
      <c r="S7714" t="s">
        <v>134</v>
      </c>
      <c r="T7714" t="s">
        <v>135</v>
      </c>
    </row>
    <row r="7715" spans="1:20" x14ac:dyDescent="0.25">
      <c r="A7715" t="s">
        <v>59</v>
      </c>
      <c r="B7715" t="s">
        <v>60</v>
      </c>
      <c r="C7715" t="s">
        <v>32</v>
      </c>
      <c r="D7715" t="s">
        <v>953</v>
      </c>
      <c r="E7715" t="s">
        <v>7740</v>
      </c>
      <c r="F7715" t="s">
        <v>35</v>
      </c>
      <c r="G7715" t="s">
        <v>35</v>
      </c>
      <c r="H7715" t="s">
        <v>35</v>
      </c>
      <c r="J7715" t="s">
        <v>7764</v>
      </c>
      <c r="K7715" t="s">
        <v>1092</v>
      </c>
      <c r="M7715">
        <v>1</v>
      </c>
      <c r="N7715">
        <v>69</v>
      </c>
      <c r="O7715" t="s">
        <v>61</v>
      </c>
      <c r="Q7715" t="s">
        <v>234</v>
      </c>
      <c r="R7715" t="s">
        <v>133</v>
      </c>
      <c r="S7715" t="s">
        <v>134</v>
      </c>
      <c r="T7715" t="s">
        <v>135</v>
      </c>
    </row>
    <row r="7716" spans="1:20" x14ac:dyDescent="0.25">
      <c r="A7716" t="s">
        <v>59</v>
      </c>
      <c r="B7716" t="s">
        <v>60</v>
      </c>
      <c r="C7716" t="s">
        <v>32</v>
      </c>
      <c r="D7716" t="s">
        <v>953</v>
      </c>
      <c r="E7716" t="s">
        <v>7740</v>
      </c>
      <c r="F7716" t="s">
        <v>35</v>
      </c>
      <c r="G7716" t="s">
        <v>35</v>
      </c>
      <c r="H7716" t="s">
        <v>35</v>
      </c>
      <c r="J7716" t="s">
        <v>823</v>
      </c>
      <c r="K7716" t="s">
        <v>1092</v>
      </c>
      <c r="M7716">
        <v>0.5</v>
      </c>
      <c r="N7716">
        <v>53</v>
      </c>
      <c r="O7716" t="s">
        <v>52</v>
      </c>
      <c r="Q7716" t="s">
        <v>1734</v>
      </c>
      <c r="R7716" t="s">
        <v>133</v>
      </c>
      <c r="S7716" t="s">
        <v>134</v>
      </c>
      <c r="T7716" t="s">
        <v>135</v>
      </c>
    </row>
    <row r="7717" spans="1:20" x14ac:dyDescent="0.25">
      <c r="A7717" t="s">
        <v>59</v>
      </c>
      <c r="B7717" t="s">
        <v>60</v>
      </c>
      <c r="C7717" t="s">
        <v>32</v>
      </c>
      <c r="D7717" t="s">
        <v>953</v>
      </c>
      <c r="E7717" t="s">
        <v>6878</v>
      </c>
      <c r="F7717" t="s">
        <v>35</v>
      </c>
      <c r="G7717" t="s">
        <v>35</v>
      </c>
      <c r="H7717" t="s">
        <v>35</v>
      </c>
      <c r="J7717" t="s">
        <v>6940</v>
      </c>
      <c r="K7717" t="s">
        <v>1092</v>
      </c>
      <c r="M7717">
        <v>2</v>
      </c>
      <c r="N7717">
        <v>79</v>
      </c>
      <c r="O7717" t="s">
        <v>61</v>
      </c>
      <c r="Q7717" t="s">
        <v>1076</v>
      </c>
      <c r="R7717" t="s">
        <v>133</v>
      </c>
      <c r="S7717" t="s">
        <v>134</v>
      </c>
      <c r="T7717" t="s">
        <v>135</v>
      </c>
    </row>
    <row r="7718" spans="1:20" x14ac:dyDescent="0.25">
      <c r="A7718" t="s">
        <v>59</v>
      </c>
      <c r="B7718" t="s">
        <v>60</v>
      </c>
      <c r="C7718" t="s">
        <v>32</v>
      </c>
      <c r="D7718" t="s">
        <v>953</v>
      </c>
      <c r="E7718" t="s">
        <v>6878</v>
      </c>
      <c r="F7718" t="s">
        <v>35</v>
      </c>
      <c r="G7718" t="s">
        <v>35</v>
      </c>
      <c r="H7718" t="s">
        <v>35</v>
      </c>
      <c r="J7718" t="s">
        <v>6920</v>
      </c>
      <c r="K7718" t="s">
        <v>1092</v>
      </c>
      <c r="M7718">
        <v>1</v>
      </c>
      <c r="N7718">
        <v>60</v>
      </c>
      <c r="O7718" t="s">
        <v>52</v>
      </c>
      <c r="Q7718" t="s">
        <v>1311</v>
      </c>
      <c r="R7718" t="s">
        <v>133</v>
      </c>
      <c r="S7718" t="s">
        <v>134</v>
      </c>
      <c r="T7718" t="s">
        <v>135</v>
      </c>
    </row>
    <row r="7719" spans="1:20" x14ac:dyDescent="0.25">
      <c r="A7719" t="s">
        <v>59</v>
      </c>
      <c r="B7719" t="s">
        <v>60</v>
      </c>
      <c r="C7719" t="s">
        <v>32</v>
      </c>
      <c r="D7719" t="s">
        <v>953</v>
      </c>
      <c r="E7719" t="s">
        <v>1015</v>
      </c>
      <c r="F7719" t="s">
        <v>35</v>
      </c>
      <c r="G7719" t="s">
        <v>35</v>
      </c>
      <c r="H7719" t="s">
        <v>35</v>
      </c>
      <c r="J7719" t="s">
        <v>7429</v>
      </c>
      <c r="K7719" t="s">
        <v>1092</v>
      </c>
      <c r="M7719">
        <v>0.75</v>
      </c>
      <c r="N7719">
        <v>10</v>
      </c>
      <c r="O7719" t="s">
        <v>46</v>
      </c>
      <c r="Q7719" t="s">
        <v>1302</v>
      </c>
      <c r="R7719" t="s">
        <v>133</v>
      </c>
      <c r="S7719" t="s">
        <v>134</v>
      </c>
      <c r="T7719" t="s">
        <v>135</v>
      </c>
    </row>
    <row r="7720" spans="1:20" x14ac:dyDescent="0.25">
      <c r="A7720" t="s">
        <v>59</v>
      </c>
      <c r="B7720" t="s">
        <v>60</v>
      </c>
      <c r="C7720" t="s">
        <v>32</v>
      </c>
      <c r="D7720" t="s">
        <v>953</v>
      </c>
      <c r="E7720" t="s">
        <v>1015</v>
      </c>
      <c r="F7720" t="s">
        <v>35</v>
      </c>
      <c r="G7720" t="s">
        <v>35</v>
      </c>
      <c r="H7720" t="s">
        <v>35</v>
      </c>
      <c r="J7720" t="s">
        <v>7429</v>
      </c>
      <c r="K7720" t="s">
        <v>1092</v>
      </c>
      <c r="M7720">
        <v>1.6850000000000001</v>
      </c>
      <c r="N7720">
        <v>53</v>
      </c>
      <c r="O7720" t="s">
        <v>52</v>
      </c>
      <c r="Q7720" t="s">
        <v>1734</v>
      </c>
      <c r="R7720" t="s">
        <v>133</v>
      </c>
      <c r="S7720" t="s">
        <v>134</v>
      </c>
      <c r="T7720" t="s">
        <v>135</v>
      </c>
    </row>
    <row r="7721" spans="1:20" x14ac:dyDescent="0.25">
      <c r="A7721" t="s">
        <v>59</v>
      </c>
      <c r="B7721" t="s">
        <v>31</v>
      </c>
      <c r="C7721" t="s">
        <v>32</v>
      </c>
      <c r="D7721" t="s">
        <v>953</v>
      </c>
      <c r="E7721" t="s">
        <v>1015</v>
      </c>
      <c r="F7721" t="s">
        <v>35</v>
      </c>
      <c r="G7721" t="s">
        <v>35</v>
      </c>
      <c r="H7721" t="s">
        <v>35</v>
      </c>
      <c r="J7721" t="s">
        <v>7454</v>
      </c>
      <c r="K7721" t="s">
        <v>1092</v>
      </c>
      <c r="M7721">
        <v>0.45</v>
      </c>
      <c r="N7721">
        <v>58</v>
      </c>
      <c r="O7721" t="s">
        <v>52</v>
      </c>
      <c r="Q7721" t="s">
        <v>128</v>
      </c>
      <c r="R7721" t="s">
        <v>133</v>
      </c>
      <c r="S7721" t="s">
        <v>134</v>
      </c>
      <c r="T7721" t="s">
        <v>135</v>
      </c>
    </row>
    <row r="7722" spans="1:20" x14ac:dyDescent="0.25">
      <c r="A7722" t="s">
        <v>59</v>
      </c>
      <c r="B7722" t="s">
        <v>60</v>
      </c>
      <c r="C7722" t="s">
        <v>32</v>
      </c>
      <c r="D7722" t="s">
        <v>953</v>
      </c>
      <c r="E7722" t="s">
        <v>1015</v>
      </c>
      <c r="F7722" t="s">
        <v>35</v>
      </c>
      <c r="G7722" t="s">
        <v>35</v>
      </c>
      <c r="H7722" t="s">
        <v>35</v>
      </c>
      <c r="J7722" t="s">
        <v>7454</v>
      </c>
      <c r="K7722" t="s">
        <v>1092</v>
      </c>
      <c r="M7722">
        <v>0.3</v>
      </c>
      <c r="N7722">
        <v>58</v>
      </c>
      <c r="O7722" t="s">
        <v>52</v>
      </c>
      <c r="Q7722" t="s">
        <v>128</v>
      </c>
      <c r="R7722" t="s">
        <v>133</v>
      </c>
      <c r="S7722" t="s">
        <v>134</v>
      </c>
      <c r="T7722" t="s">
        <v>135</v>
      </c>
    </row>
    <row r="7723" spans="1:20" x14ac:dyDescent="0.25">
      <c r="A7723" t="s">
        <v>59</v>
      </c>
      <c r="B7723" t="s">
        <v>31</v>
      </c>
      <c r="C7723" t="s">
        <v>32</v>
      </c>
      <c r="D7723" t="s">
        <v>953</v>
      </c>
      <c r="E7723" t="s">
        <v>6878</v>
      </c>
      <c r="F7723" t="s">
        <v>35</v>
      </c>
      <c r="G7723" t="s">
        <v>35</v>
      </c>
      <c r="H7723" t="s">
        <v>35</v>
      </c>
      <c r="J7723" t="s">
        <v>6888</v>
      </c>
      <c r="K7723" t="s">
        <v>1092</v>
      </c>
      <c r="M7723">
        <v>1.4850000000000001</v>
      </c>
      <c r="N7723">
        <v>167</v>
      </c>
      <c r="O7723" t="s">
        <v>38</v>
      </c>
      <c r="Q7723" t="s">
        <v>1565</v>
      </c>
      <c r="R7723" t="s">
        <v>133</v>
      </c>
      <c r="S7723" t="s">
        <v>134</v>
      </c>
      <c r="T7723" t="s">
        <v>135</v>
      </c>
    </row>
    <row r="7724" spans="1:20" x14ac:dyDescent="0.25">
      <c r="A7724" t="s">
        <v>59</v>
      </c>
      <c r="B7724" t="s">
        <v>31</v>
      </c>
      <c r="C7724" t="s">
        <v>32</v>
      </c>
      <c r="D7724" t="s">
        <v>953</v>
      </c>
      <c r="E7724" t="s">
        <v>6878</v>
      </c>
      <c r="F7724" t="s">
        <v>35</v>
      </c>
      <c r="G7724" t="s">
        <v>35</v>
      </c>
      <c r="H7724" t="s">
        <v>35</v>
      </c>
      <c r="J7724" t="s">
        <v>6888</v>
      </c>
      <c r="K7724" t="s">
        <v>1092</v>
      </c>
      <c r="M7724">
        <v>4.9950000000000001</v>
      </c>
      <c r="N7724">
        <v>32</v>
      </c>
      <c r="O7724" t="s">
        <v>52</v>
      </c>
      <c r="Q7724" t="s">
        <v>816</v>
      </c>
      <c r="R7724" t="s">
        <v>133</v>
      </c>
      <c r="S7724" t="s">
        <v>134</v>
      </c>
      <c r="T7724" t="s">
        <v>135</v>
      </c>
    </row>
    <row r="7725" spans="1:20" x14ac:dyDescent="0.25">
      <c r="A7725" t="s">
        <v>44</v>
      </c>
      <c r="B7725" t="s">
        <v>3</v>
      </c>
      <c r="C7725" t="s">
        <v>32</v>
      </c>
      <c r="D7725" t="s">
        <v>953</v>
      </c>
      <c r="E7725" t="s">
        <v>6878</v>
      </c>
      <c r="F7725" t="s">
        <v>35</v>
      </c>
      <c r="G7725" t="s">
        <v>35</v>
      </c>
      <c r="H7725" t="s">
        <v>35</v>
      </c>
      <c r="J7725" t="s">
        <v>6888</v>
      </c>
      <c r="K7725" t="s">
        <v>1092</v>
      </c>
      <c r="M7725">
        <v>0.75</v>
      </c>
      <c r="N7725">
        <v>32</v>
      </c>
      <c r="O7725" t="s">
        <v>52</v>
      </c>
      <c r="Q7725" t="s">
        <v>816</v>
      </c>
      <c r="R7725" t="s">
        <v>133</v>
      </c>
      <c r="S7725" t="s">
        <v>134</v>
      </c>
      <c r="T7725" t="s">
        <v>135</v>
      </c>
    </row>
    <row r="7726" spans="1:20" x14ac:dyDescent="0.25">
      <c r="A7726" t="s">
        <v>59</v>
      </c>
      <c r="B7726" t="s">
        <v>60</v>
      </c>
      <c r="C7726" t="s">
        <v>32</v>
      </c>
      <c r="D7726" t="s">
        <v>953</v>
      </c>
      <c r="E7726" t="s">
        <v>6878</v>
      </c>
      <c r="F7726" t="s">
        <v>35</v>
      </c>
      <c r="G7726" t="s">
        <v>35</v>
      </c>
      <c r="H7726" t="s">
        <v>35</v>
      </c>
      <c r="J7726" t="s">
        <v>6888</v>
      </c>
      <c r="K7726" t="s">
        <v>1092</v>
      </c>
      <c r="M7726">
        <v>1</v>
      </c>
      <c r="N7726">
        <v>32</v>
      </c>
      <c r="O7726" t="s">
        <v>52</v>
      </c>
      <c r="Q7726" t="s">
        <v>816</v>
      </c>
      <c r="R7726" t="s">
        <v>133</v>
      </c>
      <c r="S7726" t="s">
        <v>134</v>
      </c>
      <c r="T7726" t="s">
        <v>135</v>
      </c>
    </row>
    <row r="7727" spans="1:20" x14ac:dyDescent="0.25">
      <c r="A7727" t="s">
        <v>59</v>
      </c>
      <c r="B7727" t="s">
        <v>31</v>
      </c>
      <c r="C7727" t="s">
        <v>32</v>
      </c>
      <c r="D7727" t="s">
        <v>953</v>
      </c>
      <c r="E7727" t="s">
        <v>6878</v>
      </c>
      <c r="F7727" t="s">
        <v>35</v>
      </c>
      <c r="G7727" t="s">
        <v>35</v>
      </c>
      <c r="H7727" t="s">
        <v>35</v>
      </c>
      <c r="J7727" t="s">
        <v>6888</v>
      </c>
      <c r="K7727" t="s">
        <v>1092</v>
      </c>
      <c r="M7727">
        <v>4.9950000000000001</v>
      </c>
      <c r="N7727">
        <v>82</v>
      </c>
      <c r="O7727" t="s">
        <v>61</v>
      </c>
      <c r="Q7727" t="s">
        <v>299</v>
      </c>
      <c r="R7727" t="s">
        <v>133</v>
      </c>
      <c r="S7727" t="s">
        <v>134</v>
      </c>
      <c r="T7727" t="s">
        <v>135</v>
      </c>
    </row>
    <row r="7728" spans="1:20" x14ac:dyDescent="0.25">
      <c r="A7728" t="s">
        <v>59</v>
      </c>
      <c r="B7728" t="s">
        <v>60</v>
      </c>
      <c r="C7728" t="s">
        <v>32</v>
      </c>
      <c r="D7728" t="s">
        <v>953</v>
      </c>
      <c r="E7728" t="s">
        <v>6878</v>
      </c>
      <c r="F7728" t="s">
        <v>35</v>
      </c>
      <c r="G7728" t="s">
        <v>35</v>
      </c>
      <c r="H7728" t="s">
        <v>35</v>
      </c>
      <c r="J7728" t="s">
        <v>6918</v>
      </c>
      <c r="K7728" t="s">
        <v>1092</v>
      </c>
      <c r="M7728">
        <v>0.95</v>
      </c>
      <c r="N7728">
        <v>159</v>
      </c>
      <c r="O7728" t="s">
        <v>38</v>
      </c>
      <c r="Q7728" t="s">
        <v>2316</v>
      </c>
      <c r="R7728" t="s">
        <v>133</v>
      </c>
      <c r="S7728" t="s">
        <v>134</v>
      </c>
      <c r="T7728" t="s">
        <v>135</v>
      </c>
    </row>
    <row r="7729" spans="1:20" x14ac:dyDescent="0.25">
      <c r="A7729" t="s">
        <v>59</v>
      </c>
      <c r="B7729" t="s">
        <v>60</v>
      </c>
      <c r="C7729" t="s">
        <v>32</v>
      </c>
      <c r="D7729" t="s">
        <v>953</v>
      </c>
      <c r="E7729" t="s">
        <v>968</v>
      </c>
      <c r="F7729" t="s">
        <v>35</v>
      </c>
      <c r="G7729" t="s">
        <v>35</v>
      </c>
      <c r="H7729" t="s">
        <v>35</v>
      </c>
      <c r="J7729" t="s">
        <v>6973</v>
      </c>
      <c r="K7729" t="s">
        <v>404</v>
      </c>
      <c r="M7729">
        <v>9.1</v>
      </c>
      <c r="N7729">
        <v>84</v>
      </c>
      <c r="O7729" t="s">
        <v>61</v>
      </c>
      <c r="Q7729" t="s">
        <v>1147</v>
      </c>
      <c r="R7729" t="s">
        <v>133</v>
      </c>
      <c r="S7729" t="s">
        <v>134</v>
      </c>
      <c r="T7729" t="s">
        <v>135</v>
      </c>
    </row>
    <row r="7730" spans="1:20" x14ac:dyDescent="0.25">
      <c r="A7730" t="s">
        <v>44</v>
      </c>
      <c r="B7730" t="s">
        <v>3</v>
      </c>
      <c r="C7730" t="s">
        <v>32</v>
      </c>
      <c r="D7730" t="s">
        <v>953</v>
      </c>
      <c r="E7730" t="s">
        <v>968</v>
      </c>
      <c r="F7730" t="s">
        <v>35</v>
      </c>
      <c r="G7730" t="s">
        <v>35</v>
      </c>
      <c r="H7730" t="s">
        <v>35</v>
      </c>
      <c r="J7730" t="s">
        <v>6996</v>
      </c>
      <c r="K7730" t="s">
        <v>1092</v>
      </c>
      <c r="M7730">
        <v>0.25</v>
      </c>
      <c r="N7730">
        <v>25</v>
      </c>
      <c r="O7730" t="s">
        <v>46</v>
      </c>
      <c r="Q7730" t="s">
        <v>547</v>
      </c>
      <c r="R7730" t="s">
        <v>133</v>
      </c>
      <c r="S7730" t="s">
        <v>134</v>
      </c>
      <c r="T7730" t="s">
        <v>135</v>
      </c>
    </row>
    <row r="7731" spans="1:20" x14ac:dyDescent="0.25">
      <c r="A7731" t="s">
        <v>59</v>
      </c>
      <c r="B7731" t="s">
        <v>60</v>
      </c>
      <c r="C7731" t="s">
        <v>32</v>
      </c>
      <c r="D7731" t="s">
        <v>953</v>
      </c>
      <c r="E7731" t="s">
        <v>968</v>
      </c>
      <c r="F7731" t="s">
        <v>35</v>
      </c>
      <c r="G7731" t="s">
        <v>35</v>
      </c>
      <c r="H7731" t="s">
        <v>35</v>
      </c>
      <c r="J7731" t="s">
        <v>6996</v>
      </c>
      <c r="K7731" t="s">
        <v>1092</v>
      </c>
      <c r="M7731">
        <v>0.5</v>
      </c>
      <c r="N7731">
        <v>84</v>
      </c>
      <c r="O7731" t="s">
        <v>61</v>
      </c>
      <c r="Q7731" t="s">
        <v>1147</v>
      </c>
      <c r="R7731" t="s">
        <v>133</v>
      </c>
      <c r="S7731" t="s">
        <v>134</v>
      </c>
      <c r="T7731" t="s">
        <v>135</v>
      </c>
    </row>
    <row r="7732" spans="1:20" x14ac:dyDescent="0.25">
      <c r="A7732" t="s">
        <v>59</v>
      </c>
      <c r="B7732" t="s">
        <v>60</v>
      </c>
      <c r="C7732" t="s">
        <v>32</v>
      </c>
      <c r="D7732" t="s">
        <v>953</v>
      </c>
      <c r="E7732" t="s">
        <v>968</v>
      </c>
      <c r="F7732" t="s">
        <v>35</v>
      </c>
      <c r="G7732" t="s">
        <v>35</v>
      </c>
      <c r="H7732" t="s">
        <v>35</v>
      </c>
      <c r="J7732" t="s">
        <v>6996</v>
      </c>
      <c r="K7732" t="s">
        <v>1092</v>
      </c>
      <c r="M7732">
        <v>0.25</v>
      </c>
      <c r="N7732">
        <v>160</v>
      </c>
      <c r="O7732" t="s">
        <v>38</v>
      </c>
      <c r="Q7732" t="s">
        <v>1120</v>
      </c>
      <c r="R7732" t="s">
        <v>133</v>
      </c>
      <c r="S7732" t="s">
        <v>134</v>
      </c>
      <c r="T7732" t="s">
        <v>135</v>
      </c>
    </row>
    <row r="7733" spans="1:20" x14ac:dyDescent="0.25">
      <c r="A7733" t="s">
        <v>59</v>
      </c>
      <c r="B7733" t="s">
        <v>31</v>
      </c>
      <c r="C7733" t="s">
        <v>32</v>
      </c>
      <c r="D7733" t="s">
        <v>953</v>
      </c>
      <c r="E7733" t="s">
        <v>7842</v>
      </c>
      <c r="F7733" t="s">
        <v>35</v>
      </c>
      <c r="G7733" t="s">
        <v>35</v>
      </c>
      <c r="H7733" t="s">
        <v>35</v>
      </c>
      <c r="J7733" t="s">
        <v>7867</v>
      </c>
      <c r="K7733" t="s">
        <v>1092</v>
      </c>
      <c r="M7733">
        <v>0.54</v>
      </c>
      <c r="N7733">
        <v>1214</v>
      </c>
      <c r="O7733" t="s">
        <v>575</v>
      </c>
      <c r="Q7733" t="s">
        <v>4540</v>
      </c>
      <c r="R7733" t="s">
        <v>133</v>
      </c>
      <c r="S7733" t="s">
        <v>134</v>
      </c>
      <c r="T7733" t="s">
        <v>135</v>
      </c>
    </row>
    <row r="7734" spans="1:20" x14ac:dyDescent="0.25">
      <c r="A7734" t="s">
        <v>59</v>
      </c>
      <c r="B7734" t="s">
        <v>31</v>
      </c>
      <c r="C7734" t="s">
        <v>32</v>
      </c>
      <c r="D7734" t="s">
        <v>953</v>
      </c>
      <c r="E7734" t="s">
        <v>1015</v>
      </c>
      <c r="F7734" t="s">
        <v>35</v>
      </c>
      <c r="G7734" t="s">
        <v>35</v>
      </c>
      <c r="H7734" t="s">
        <v>35</v>
      </c>
      <c r="J7734" t="s">
        <v>7439</v>
      </c>
      <c r="K7734" t="s">
        <v>1092</v>
      </c>
      <c r="M7734">
        <v>4.9950000000000001</v>
      </c>
      <c r="N7734">
        <v>52</v>
      </c>
      <c r="O7734" t="s">
        <v>52</v>
      </c>
      <c r="Q7734" t="s">
        <v>84</v>
      </c>
      <c r="R7734" t="s">
        <v>133</v>
      </c>
      <c r="S7734" t="s">
        <v>134</v>
      </c>
      <c r="T7734" t="s">
        <v>135</v>
      </c>
    </row>
    <row r="7735" spans="1:20" x14ac:dyDescent="0.25">
      <c r="A7735" t="s">
        <v>30</v>
      </c>
      <c r="B7735" t="s">
        <v>31</v>
      </c>
      <c r="C7735" t="s">
        <v>32</v>
      </c>
      <c r="D7735" t="s">
        <v>953</v>
      </c>
      <c r="E7735" t="s">
        <v>1015</v>
      </c>
      <c r="F7735" t="s">
        <v>35</v>
      </c>
      <c r="G7735" t="s">
        <v>35</v>
      </c>
      <c r="H7735" t="s">
        <v>35</v>
      </c>
      <c r="J7735" t="s">
        <v>7439</v>
      </c>
      <c r="K7735" t="s">
        <v>1092</v>
      </c>
      <c r="M7735">
        <v>7.875</v>
      </c>
      <c r="N7735">
        <v>205</v>
      </c>
      <c r="O7735" t="s">
        <v>5</v>
      </c>
      <c r="Q7735" t="s">
        <v>1711</v>
      </c>
      <c r="R7735" t="s">
        <v>133</v>
      </c>
      <c r="S7735" t="s">
        <v>134</v>
      </c>
      <c r="T7735" t="s">
        <v>135</v>
      </c>
    </row>
    <row r="7736" spans="1:20" x14ac:dyDescent="0.25">
      <c r="A7736" t="s">
        <v>59</v>
      </c>
      <c r="B7736" t="s">
        <v>60</v>
      </c>
      <c r="C7736" t="s">
        <v>32</v>
      </c>
      <c r="D7736" t="s">
        <v>953</v>
      </c>
      <c r="E7736" t="s">
        <v>1015</v>
      </c>
      <c r="F7736" t="s">
        <v>35</v>
      </c>
      <c r="G7736" t="s">
        <v>35</v>
      </c>
      <c r="H7736" t="s">
        <v>35</v>
      </c>
      <c r="J7736" t="s">
        <v>7439</v>
      </c>
      <c r="K7736" t="s">
        <v>1092</v>
      </c>
      <c r="M7736">
        <v>10</v>
      </c>
      <c r="N7736">
        <v>84</v>
      </c>
      <c r="O7736" t="s">
        <v>61</v>
      </c>
      <c r="Q7736" t="s">
        <v>1147</v>
      </c>
      <c r="R7736" t="s">
        <v>133</v>
      </c>
      <c r="S7736" t="s">
        <v>134</v>
      </c>
      <c r="T7736" t="s">
        <v>135</v>
      </c>
    </row>
    <row r="7737" spans="1:20" x14ac:dyDescent="0.25">
      <c r="A7737" t="s">
        <v>59</v>
      </c>
      <c r="B7737" t="s">
        <v>60</v>
      </c>
      <c r="C7737" t="s">
        <v>32</v>
      </c>
      <c r="D7737" t="s">
        <v>953</v>
      </c>
      <c r="E7737" t="s">
        <v>1015</v>
      </c>
      <c r="F7737" t="s">
        <v>35</v>
      </c>
      <c r="G7737" t="s">
        <v>35</v>
      </c>
      <c r="H7737" t="s">
        <v>35</v>
      </c>
      <c r="J7737" t="s">
        <v>7439</v>
      </c>
      <c r="K7737" t="s">
        <v>1092</v>
      </c>
      <c r="M7737">
        <v>10</v>
      </c>
      <c r="N7737">
        <v>52</v>
      </c>
      <c r="O7737" t="s">
        <v>52</v>
      </c>
      <c r="Q7737" t="s">
        <v>84</v>
      </c>
      <c r="R7737" t="s">
        <v>133</v>
      </c>
      <c r="S7737" t="s">
        <v>134</v>
      </c>
      <c r="T7737" t="s">
        <v>135</v>
      </c>
    </row>
    <row r="7738" spans="1:20" x14ac:dyDescent="0.25">
      <c r="A7738" t="s">
        <v>44</v>
      </c>
      <c r="B7738" t="s">
        <v>3</v>
      </c>
      <c r="C7738" t="s">
        <v>32</v>
      </c>
      <c r="D7738" t="s">
        <v>953</v>
      </c>
      <c r="E7738" t="s">
        <v>1015</v>
      </c>
      <c r="F7738" t="s">
        <v>35</v>
      </c>
      <c r="G7738" t="s">
        <v>35</v>
      </c>
      <c r="H7738" t="s">
        <v>35</v>
      </c>
      <c r="J7738" t="s">
        <v>7439</v>
      </c>
      <c r="K7738" t="s">
        <v>1092</v>
      </c>
      <c r="M7738">
        <v>10</v>
      </c>
      <c r="N7738">
        <v>58</v>
      </c>
      <c r="O7738" t="s">
        <v>52</v>
      </c>
      <c r="Q7738" t="s">
        <v>128</v>
      </c>
      <c r="R7738" t="s">
        <v>133</v>
      </c>
      <c r="S7738" t="s">
        <v>134</v>
      </c>
      <c r="T7738" t="s">
        <v>135</v>
      </c>
    </row>
    <row r="7739" spans="1:20" x14ac:dyDescent="0.25">
      <c r="A7739" t="s">
        <v>59</v>
      </c>
      <c r="B7739" t="s">
        <v>31</v>
      </c>
      <c r="C7739" t="s">
        <v>32</v>
      </c>
      <c r="D7739" t="s">
        <v>953</v>
      </c>
      <c r="E7739" t="s">
        <v>1015</v>
      </c>
      <c r="F7739" t="s">
        <v>35</v>
      </c>
      <c r="G7739" t="s">
        <v>35</v>
      </c>
      <c r="H7739" t="s">
        <v>35</v>
      </c>
      <c r="J7739" t="s">
        <v>7439</v>
      </c>
      <c r="K7739" t="s">
        <v>1092</v>
      </c>
      <c r="M7739">
        <v>4.9950000000000001</v>
      </c>
      <c r="N7739">
        <v>167</v>
      </c>
      <c r="O7739" t="s">
        <v>38</v>
      </c>
      <c r="Q7739" t="s">
        <v>1565</v>
      </c>
      <c r="R7739" t="s">
        <v>133</v>
      </c>
      <c r="S7739" t="s">
        <v>134</v>
      </c>
      <c r="T7739" t="s">
        <v>135</v>
      </c>
    </row>
    <row r="7740" spans="1:20" x14ac:dyDescent="0.25">
      <c r="A7740" t="s">
        <v>59</v>
      </c>
      <c r="B7740" t="s">
        <v>31</v>
      </c>
      <c r="C7740" t="s">
        <v>32</v>
      </c>
      <c r="D7740" t="s">
        <v>953</v>
      </c>
      <c r="E7740" t="s">
        <v>1015</v>
      </c>
      <c r="F7740" t="s">
        <v>35</v>
      </c>
      <c r="G7740" t="s">
        <v>35</v>
      </c>
      <c r="H7740" t="s">
        <v>35</v>
      </c>
      <c r="J7740" t="s">
        <v>7439</v>
      </c>
      <c r="K7740" t="s">
        <v>1092</v>
      </c>
      <c r="M7740">
        <v>3.7349999999999999</v>
      </c>
      <c r="N7740">
        <v>355</v>
      </c>
      <c r="O7740" t="s">
        <v>5</v>
      </c>
      <c r="Q7740" t="s">
        <v>2408</v>
      </c>
      <c r="R7740" t="s">
        <v>133</v>
      </c>
      <c r="S7740" t="s">
        <v>134</v>
      </c>
      <c r="T7740" t="s">
        <v>135</v>
      </c>
    </row>
    <row r="7741" spans="1:20" x14ac:dyDescent="0.25">
      <c r="A7741" t="s">
        <v>59</v>
      </c>
      <c r="B7741" t="s">
        <v>60</v>
      </c>
      <c r="C7741" t="s">
        <v>32</v>
      </c>
      <c r="D7741" t="s">
        <v>953</v>
      </c>
      <c r="E7741" t="s">
        <v>968</v>
      </c>
      <c r="F7741" t="s">
        <v>35</v>
      </c>
      <c r="G7741" t="s">
        <v>35</v>
      </c>
      <c r="H7741" t="s">
        <v>35</v>
      </c>
      <c r="J7741" t="s">
        <v>7039</v>
      </c>
      <c r="K7741" t="s">
        <v>1092</v>
      </c>
      <c r="M7741">
        <v>4</v>
      </c>
      <c r="N7741">
        <v>84</v>
      </c>
      <c r="O7741" t="s">
        <v>61</v>
      </c>
      <c r="Q7741" t="s">
        <v>1147</v>
      </c>
      <c r="R7741" t="s">
        <v>133</v>
      </c>
      <c r="S7741" t="s">
        <v>134</v>
      </c>
      <c r="T7741" t="s">
        <v>135</v>
      </c>
    </row>
    <row r="7742" spans="1:20" x14ac:dyDescent="0.25">
      <c r="A7742" t="s">
        <v>59</v>
      </c>
      <c r="B7742" t="s">
        <v>60</v>
      </c>
      <c r="C7742" t="s">
        <v>32</v>
      </c>
      <c r="D7742" t="s">
        <v>953</v>
      </c>
      <c r="E7742" t="s">
        <v>968</v>
      </c>
      <c r="F7742" t="s">
        <v>35</v>
      </c>
      <c r="G7742" t="s">
        <v>35</v>
      </c>
      <c r="H7742" t="s">
        <v>35</v>
      </c>
      <c r="J7742" t="s">
        <v>7039</v>
      </c>
      <c r="K7742" t="s">
        <v>1092</v>
      </c>
      <c r="M7742">
        <v>1.2</v>
      </c>
      <c r="N7742">
        <v>136</v>
      </c>
      <c r="O7742" t="s">
        <v>38</v>
      </c>
      <c r="Q7742" t="s">
        <v>2121</v>
      </c>
      <c r="R7742" t="s">
        <v>133</v>
      </c>
      <c r="S7742" t="s">
        <v>134</v>
      </c>
      <c r="T7742" t="s">
        <v>135</v>
      </c>
    </row>
    <row r="7743" spans="1:20" x14ac:dyDescent="0.25">
      <c r="A7743" t="s">
        <v>59</v>
      </c>
      <c r="B7743" t="s">
        <v>60</v>
      </c>
      <c r="C7743" t="s">
        <v>32</v>
      </c>
      <c r="D7743" t="s">
        <v>953</v>
      </c>
      <c r="E7743" t="s">
        <v>968</v>
      </c>
      <c r="F7743" t="s">
        <v>35</v>
      </c>
      <c r="G7743" t="s">
        <v>35</v>
      </c>
      <c r="H7743" t="s">
        <v>35</v>
      </c>
      <c r="J7743" t="s">
        <v>7017</v>
      </c>
      <c r="K7743" t="s">
        <v>1092</v>
      </c>
      <c r="M7743">
        <v>0.25</v>
      </c>
      <c r="N7743">
        <v>18</v>
      </c>
      <c r="O7743" t="s">
        <v>46</v>
      </c>
      <c r="Q7743" t="s">
        <v>831</v>
      </c>
      <c r="R7743" t="s">
        <v>133</v>
      </c>
      <c r="S7743" t="s">
        <v>134</v>
      </c>
      <c r="T7743" t="s">
        <v>135</v>
      </c>
    </row>
    <row r="7744" spans="1:20" x14ac:dyDescent="0.25">
      <c r="A7744" t="s">
        <v>44</v>
      </c>
      <c r="B7744" t="s">
        <v>3</v>
      </c>
      <c r="C7744" t="s">
        <v>32</v>
      </c>
      <c r="D7744" t="s">
        <v>953</v>
      </c>
      <c r="E7744" t="s">
        <v>968</v>
      </c>
      <c r="F7744" t="s">
        <v>35</v>
      </c>
      <c r="G7744" t="s">
        <v>35</v>
      </c>
      <c r="H7744" t="s">
        <v>35</v>
      </c>
      <c r="J7744" t="s">
        <v>7017</v>
      </c>
      <c r="K7744" t="s">
        <v>1092</v>
      </c>
      <c r="M7744">
        <v>0.25</v>
      </c>
      <c r="N7744">
        <v>18</v>
      </c>
      <c r="O7744" t="s">
        <v>46</v>
      </c>
      <c r="Q7744" t="s">
        <v>831</v>
      </c>
      <c r="R7744" t="s">
        <v>133</v>
      </c>
      <c r="S7744" t="s">
        <v>134</v>
      </c>
      <c r="T7744" t="s">
        <v>135</v>
      </c>
    </row>
    <row r="7745" spans="1:20" x14ac:dyDescent="0.25">
      <c r="A7745" t="s">
        <v>59</v>
      </c>
      <c r="B7745" t="s">
        <v>60</v>
      </c>
      <c r="C7745" t="s">
        <v>32</v>
      </c>
      <c r="D7745" t="s">
        <v>953</v>
      </c>
      <c r="E7745" t="s">
        <v>968</v>
      </c>
      <c r="F7745" t="s">
        <v>35</v>
      </c>
      <c r="G7745" t="s">
        <v>35</v>
      </c>
      <c r="H7745" t="s">
        <v>35</v>
      </c>
      <c r="J7745" t="s">
        <v>7017</v>
      </c>
      <c r="K7745" t="s">
        <v>1092</v>
      </c>
      <c r="M7745">
        <v>0.8</v>
      </c>
      <c r="N7745">
        <v>42</v>
      </c>
      <c r="O7745" t="s">
        <v>52</v>
      </c>
      <c r="Q7745" t="s">
        <v>219</v>
      </c>
      <c r="R7745" t="s">
        <v>133</v>
      </c>
      <c r="S7745" t="s">
        <v>134</v>
      </c>
      <c r="T7745" t="s">
        <v>135</v>
      </c>
    </row>
    <row r="7746" spans="1:20" x14ac:dyDescent="0.25">
      <c r="A7746" t="s">
        <v>44</v>
      </c>
      <c r="B7746" t="s">
        <v>3</v>
      </c>
      <c r="C7746" t="s">
        <v>32</v>
      </c>
      <c r="D7746" t="s">
        <v>953</v>
      </c>
      <c r="F7746" t="s">
        <v>35</v>
      </c>
      <c r="G7746" t="s">
        <v>35</v>
      </c>
      <c r="H7746" t="s">
        <v>35</v>
      </c>
      <c r="J7746" t="s">
        <v>8101</v>
      </c>
      <c r="K7746" t="s">
        <v>1092</v>
      </c>
      <c r="M7746">
        <v>0.5</v>
      </c>
      <c r="N7746">
        <v>19</v>
      </c>
      <c r="O7746" t="s">
        <v>46</v>
      </c>
      <c r="Q7746" t="s">
        <v>94</v>
      </c>
      <c r="R7746" t="s">
        <v>133</v>
      </c>
      <c r="S7746" t="s">
        <v>134</v>
      </c>
      <c r="T7746" t="s">
        <v>135</v>
      </c>
    </row>
    <row r="7747" spans="1:20" x14ac:dyDescent="0.25">
      <c r="A7747" t="s">
        <v>59</v>
      </c>
      <c r="B7747" t="s">
        <v>60</v>
      </c>
      <c r="C7747" t="s">
        <v>32</v>
      </c>
      <c r="D7747" t="s">
        <v>953</v>
      </c>
      <c r="F7747" t="s">
        <v>35</v>
      </c>
      <c r="G7747" t="s">
        <v>35</v>
      </c>
      <c r="H7747" t="s">
        <v>35</v>
      </c>
      <c r="J7747" t="s">
        <v>8101</v>
      </c>
      <c r="K7747" t="s">
        <v>1092</v>
      </c>
      <c r="M7747">
        <v>0.5</v>
      </c>
      <c r="N7747">
        <v>19</v>
      </c>
      <c r="O7747" t="s">
        <v>46</v>
      </c>
      <c r="Q7747" t="s">
        <v>94</v>
      </c>
      <c r="R7747" t="s">
        <v>133</v>
      </c>
      <c r="S7747" t="s">
        <v>134</v>
      </c>
      <c r="T7747" t="s">
        <v>135</v>
      </c>
    </row>
    <row r="7748" spans="1:20" x14ac:dyDescent="0.25">
      <c r="A7748" t="s">
        <v>59</v>
      </c>
      <c r="B7748" t="s">
        <v>31</v>
      </c>
      <c r="C7748" t="s">
        <v>32</v>
      </c>
      <c r="D7748" t="s">
        <v>953</v>
      </c>
      <c r="E7748" t="s">
        <v>1015</v>
      </c>
      <c r="F7748" t="s">
        <v>35</v>
      </c>
      <c r="G7748" t="s">
        <v>35</v>
      </c>
      <c r="H7748" t="s">
        <v>35</v>
      </c>
      <c r="J7748" t="s">
        <v>7407</v>
      </c>
      <c r="K7748" t="s">
        <v>1092</v>
      </c>
      <c r="M7748">
        <v>2.2949999999999999</v>
      </c>
      <c r="N7748">
        <v>76</v>
      </c>
      <c r="O7748" t="s">
        <v>61</v>
      </c>
      <c r="Q7748" t="s">
        <v>455</v>
      </c>
      <c r="R7748" t="s">
        <v>133</v>
      </c>
      <c r="S7748" t="s">
        <v>134</v>
      </c>
      <c r="T7748" t="s">
        <v>135</v>
      </c>
    </row>
    <row r="7749" spans="1:20" x14ac:dyDescent="0.25">
      <c r="A7749" t="s">
        <v>59</v>
      </c>
      <c r="B7749" t="s">
        <v>31</v>
      </c>
      <c r="C7749" t="s">
        <v>32</v>
      </c>
      <c r="D7749" t="s">
        <v>953</v>
      </c>
      <c r="E7749" t="s">
        <v>1015</v>
      </c>
      <c r="F7749" t="s">
        <v>35</v>
      </c>
      <c r="G7749" t="s">
        <v>35</v>
      </c>
      <c r="H7749" t="s">
        <v>35</v>
      </c>
      <c r="J7749" t="s">
        <v>7407</v>
      </c>
      <c r="K7749" t="s">
        <v>1092</v>
      </c>
      <c r="M7749">
        <v>0.45</v>
      </c>
      <c r="N7749">
        <v>809</v>
      </c>
      <c r="O7749" t="s">
        <v>575</v>
      </c>
      <c r="Q7749" t="s">
        <v>7411</v>
      </c>
      <c r="R7749" t="s">
        <v>133</v>
      </c>
      <c r="S7749" t="s">
        <v>134</v>
      </c>
      <c r="T7749" t="s">
        <v>135</v>
      </c>
    </row>
    <row r="7750" spans="1:20" x14ac:dyDescent="0.25">
      <c r="A7750" t="s">
        <v>59</v>
      </c>
      <c r="B7750" t="s">
        <v>60</v>
      </c>
      <c r="C7750" t="s">
        <v>32</v>
      </c>
      <c r="D7750" t="s">
        <v>953</v>
      </c>
      <c r="E7750" t="s">
        <v>1077</v>
      </c>
      <c r="F7750" t="s">
        <v>35</v>
      </c>
      <c r="G7750" t="s">
        <v>35</v>
      </c>
      <c r="H7750" t="s">
        <v>35</v>
      </c>
      <c r="J7750" t="s">
        <v>1357</v>
      </c>
      <c r="K7750" t="s">
        <v>1092</v>
      </c>
      <c r="M7750">
        <v>0.2</v>
      </c>
      <c r="N7750">
        <v>84</v>
      </c>
      <c r="O7750" t="s">
        <v>61</v>
      </c>
      <c r="Q7750" t="s">
        <v>1147</v>
      </c>
      <c r="R7750" t="s">
        <v>133</v>
      </c>
      <c r="S7750" t="s">
        <v>134</v>
      </c>
      <c r="T7750" t="s">
        <v>135</v>
      </c>
    </row>
    <row r="7751" spans="1:20" x14ac:dyDescent="0.25">
      <c r="A7751" t="s">
        <v>59</v>
      </c>
      <c r="B7751" t="s">
        <v>31</v>
      </c>
      <c r="C7751" t="s">
        <v>32</v>
      </c>
      <c r="D7751" t="s">
        <v>953</v>
      </c>
      <c r="E7751" t="s">
        <v>1077</v>
      </c>
      <c r="F7751" t="s">
        <v>35</v>
      </c>
      <c r="G7751" t="s">
        <v>35</v>
      </c>
      <c r="H7751" t="s">
        <v>35</v>
      </c>
      <c r="J7751" t="s">
        <v>1357</v>
      </c>
      <c r="K7751" t="s">
        <v>1092</v>
      </c>
      <c r="M7751">
        <v>5.22</v>
      </c>
      <c r="N7751">
        <v>31</v>
      </c>
      <c r="O7751" t="s">
        <v>52</v>
      </c>
      <c r="Q7751" t="s">
        <v>748</v>
      </c>
      <c r="R7751" t="s">
        <v>133</v>
      </c>
      <c r="S7751" t="s">
        <v>134</v>
      </c>
      <c r="T7751" t="s">
        <v>135</v>
      </c>
    </row>
    <row r="7752" spans="1:20" x14ac:dyDescent="0.25">
      <c r="A7752" t="s">
        <v>44</v>
      </c>
      <c r="B7752" t="s">
        <v>3</v>
      </c>
      <c r="C7752" t="s">
        <v>32</v>
      </c>
      <c r="D7752" t="s">
        <v>953</v>
      </c>
      <c r="E7752" t="s">
        <v>1077</v>
      </c>
      <c r="F7752" t="s">
        <v>35</v>
      </c>
      <c r="G7752" t="s">
        <v>35</v>
      </c>
      <c r="H7752" t="s">
        <v>35</v>
      </c>
      <c r="J7752" t="s">
        <v>1357</v>
      </c>
      <c r="K7752" t="s">
        <v>1092</v>
      </c>
      <c r="M7752">
        <v>5</v>
      </c>
      <c r="N7752">
        <v>3</v>
      </c>
      <c r="O7752" t="s">
        <v>46</v>
      </c>
      <c r="Q7752" t="s">
        <v>1676</v>
      </c>
      <c r="R7752" t="s">
        <v>133</v>
      </c>
      <c r="S7752" t="s">
        <v>134</v>
      </c>
      <c r="T7752" t="s">
        <v>135</v>
      </c>
    </row>
    <row r="7753" spans="1:20" x14ac:dyDescent="0.25">
      <c r="A7753" t="s">
        <v>30</v>
      </c>
      <c r="B7753" t="s">
        <v>31</v>
      </c>
      <c r="C7753" t="s">
        <v>32</v>
      </c>
      <c r="D7753" t="s">
        <v>953</v>
      </c>
      <c r="F7753" t="s">
        <v>35</v>
      </c>
      <c r="G7753" t="s">
        <v>35</v>
      </c>
      <c r="H7753" t="s">
        <v>35</v>
      </c>
      <c r="J7753" t="s">
        <v>8040</v>
      </c>
      <c r="K7753" t="s">
        <v>1092</v>
      </c>
      <c r="M7753">
        <v>3.78</v>
      </c>
      <c r="N7753">
        <v>1241</v>
      </c>
      <c r="O7753" t="s">
        <v>575</v>
      </c>
      <c r="Q7753" t="s">
        <v>8041</v>
      </c>
      <c r="R7753" t="s">
        <v>133</v>
      </c>
      <c r="S7753" t="s">
        <v>134</v>
      </c>
      <c r="T7753" t="s">
        <v>135</v>
      </c>
    </row>
    <row r="7754" spans="1:20" x14ac:dyDescent="0.25">
      <c r="A7754" t="s">
        <v>59</v>
      </c>
      <c r="B7754" t="s">
        <v>31</v>
      </c>
      <c r="C7754" t="s">
        <v>32</v>
      </c>
      <c r="D7754" t="s">
        <v>953</v>
      </c>
      <c r="F7754" t="s">
        <v>35</v>
      </c>
      <c r="G7754" t="s">
        <v>35</v>
      </c>
      <c r="H7754" t="s">
        <v>35</v>
      </c>
      <c r="J7754" t="s">
        <v>8040</v>
      </c>
      <c r="K7754" t="s">
        <v>1092</v>
      </c>
      <c r="M7754">
        <v>1.125</v>
      </c>
      <c r="N7754">
        <v>1419</v>
      </c>
      <c r="O7754" t="s">
        <v>575</v>
      </c>
      <c r="Q7754" t="s">
        <v>3488</v>
      </c>
      <c r="R7754" t="s">
        <v>133</v>
      </c>
      <c r="S7754" t="s">
        <v>134</v>
      </c>
      <c r="T7754" t="s">
        <v>135</v>
      </c>
    </row>
    <row r="7755" spans="1:20" x14ac:dyDescent="0.25">
      <c r="A7755" t="s">
        <v>59</v>
      </c>
      <c r="B7755" t="s">
        <v>60</v>
      </c>
      <c r="C7755" t="s">
        <v>32</v>
      </c>
      <c r="D7755" t="s">
        <v>953</v>
      </c>
      <c r="F7755" t="s">
        <v>35</v>
      </c>
      <c r="G7755" t="s">
        <v>35</v>
      </c>
      <c r="H7755" t="s">
        <v>35</v>
      </c>
      <c r="J7755" t="s">
        <v>7927</v>
      </c>
      <c r="K7755" t="s">
        <v>1092</v>
      </c>
      <c r="M7755">
        <v>1</v>
      </c>
      <c r="N7755">
        <v>52</v>
      </c>
      <c r="O7755" t="s">
        <v>52</v>
      </c>
      <c r="Q7755" t="s">
        <v>84</v>
      </c>
      <c r="R7755" t="s">
        <v>133</v>
      </c>
      <c r="S7755" t="s">
        <v>134</v>
      </c>
      <c r="T7755" t="s">
        <v>135</v>
      </c>
    </row>
    <row r="7756" spans="1:20" x14ac:dyDescent="0.25">
      <c r="A7756" t="s">
        <v>59</v>
      </c>
      <c r="B7756" t="s">
        <v>60</v>
      </c>
      <c r="C7756" t="s">
        <v>32</v>
      </c>
      <c r="D7756" t="s">
        <v>953</v>
      </c>
      <c r="F7756" t="s">
        <v>35</v>
      </c>
      <c r="G7756" t="s">
        <v>35</v>
      </c>
      <c r="H7756" t="s">
        <v>35</v>
      </c>
      <c r="J7756" t="s">
        <v>7927</v>
      </c>
      <c r="K7756" t="s">
        <v>1092</v>
      </c>
      <c r="M7756">
        <v>0.27500000000000002</v>
      </c>
      <c r="N7756">
        <v>83</v>
      </c>
      <c r="O7756" t="s">
        <v>61</v>
      </c>
      <c r="Q7756" t="s">
        <v>897</v>
      </c>
      <c r="R7756" t="s">
        <v>133</v>
      </c>
      <c r="S7756" t="s">
        <v>134</v>
      </c>
      <c r="T7756" t="s">
        <v>135</v>
      </c>
    </row>
    <row r="7757" spans="1:20" x14ac:dyDescent="0.25">
      <c r="A7757" t="s">
        <v>30</v>
      </c>
      <c r="B7757" t="s">
        <v>31</v>
      </c>
      <c r="C7757" t="s">
        <v>32</v>
      </c>
      <c r="D7757" t="s">
        <v>953</v>
      </c>
      <c r="F7757" t="s">
        <v>35</v>
      </c>
      <c r="G7757" t="s">
        <v>35</v>
      </c>
      <c r="H7757" t="s">
        <v>35</v>
      </c>
      <c r="J7757" t="s">
        <v>7927</v>
      </c>
      <c r="K7757" t="s">
        <v>1092</v>
      </c>
      <c r="M7757">
        <v>1.575</v>
      </c>
      <c r="N7757">
        <v>5</v>
      </c>
      <c r="O7757" t="s">
        <v>46</v>
      </c>
      <c r="Q7757" t="s">
        <v>1865</v>
      </c>
      <c r="R7757" t="s">
        <v>133</v>
      </c>
      <c r="S7757" t="s">
        <v>134</v>
      </c>
      <c r="T7757" t="s">
        <v>135</v>
      </c>
    </row>
    <row r="7758" spans="1:20" x14ac:dyDescent="0.25">
      <c r="A7758" t="s">
        <v>59</v>
      </c>
      <c r="B7758" t="s">
        <v>60</v>
      </c>
      <c r="C7758" t="s">
        <v>32</v>
      </c>
      <c r="D7758" t="s">
        <v>953</v>
      </c>
      <c r="F7758" t="s">
        <v>35</v>
      </c>
      <c r="G7758" t="s">
        <v>35</v>
      </c>
      <c r="H7758" t="s">
        <v>35</v>
      </c>
      <c r="J7758" t="s">
        <v>7969</v>
      </c>
      <c r="K7758" t="s">
        <v>1092</v>
      </c>
      <c r="M7758">
        <v>0.35</v>
      </c>
      <c r="N7758">
        <v>2351</v>
      </c>
      <c r="O7758" t="s">
        <v>575</v>
      </c>
      <c r="Q7758" t="s">
        <v>7970</v>
      </c>
      <c r="R7758" t="s">
        <v>133</v>
      </c>
      <c r="S7758" t="s">
        <v>134</v>
      </c>
      <c r="T7758" t="s">
        <v>135</v>
      </c>
    </row>
    <row r="7759" spans="1:20" x14ac:dyDescent="0.25">
      <c r="A7759" t="s">
        <v>30</v>
      </c>
      <c r="B7759" t="s">
        <v>31</v>
      </c>
      <c r="C7759" t="s">
        <v>32</v>
      </c>
      <c r="D7759" t="s">
        <v>953</v>
      </c>
      <c r="E7759" t="s">
        <v>1007</v>
      </c>
      <c r="F7759" t="s">
        <v>35</v>
      </c>
      <c r="G7759" t="s">
        <v>35</v>
      </c>
      <c r="H7759" t="s">
        <v>35</v>
      </c>
      <c r="J7759" t="s">
        <v>7318</v>
      </c>
      <c r="K7759" t="s">
        <v>1092</v>
      </c>
      <c r="M7759">
        <v>3.6</v>
      </c>
      <c r="N7759">
        <v>136</v>
      </c>
      <c r="O7759" t="s">
        <v>38</v>
      </c>
      <c r="Q7759" t="s">
        <v>2121</v>
      </c>
      <c r="R7759" t="s">
        <v>133</v>
      </c>
      <c r="S7759" t="s">
        <v>134</v>
      </c>
      <c r="T7759" t="s">
        <v>135</v>
      </c>
    </row>
    <row r="7760" spans="1:20" x14ac:dyDescent="0.25">
      <c r="A7760" t="s">
        <v>59</v>
      </c>
      <c r="B7760" t="s">
        <v>31</v>
      </c>
      <c r="C7760" t="s">
        <v>32</v>
      </c>
      <c r="D7760" t="s">
        <v>953</v>
      </c>
      <c r="E7760" t="s">
        <v>1007</v>
      </c>
      <c r="F7760" t="s">
        <v>35</v>
      </c>
      <c r="G7760" t="s">
        <v>35</v>
      </c>
      <c r="H7760" t="s">
        <v>35</v>
      </c>
      <c r="J7760" t="s">
        <v>7318</v>
      </c>
      <c r="K7760" t="s">
        <v>1092</v>
      </c>
      <c r="M7760">
        <v>0.67500000000000004</v>
      </c>
      <c r="N7760">
        <v>168</v>
      </c>
      <c r="O7760" t="s">
        <v>38</v>
      </c>
      <c r="Q7760" t="s">
        <v>1692</v>
      </c>
      <c r="R7760" t="s">
        <v>133</v>
      </c>
      <c r="S7760" t="s">
        <v>134</v>
      </c>
      <c r="T7760" t="s">
        <v>135</v>
      </c>
    </row>
    <row r="7761" spans="1:20" x14ac:dyDescent="0.25">
      <c r="A7761" t="s">
        <v>59</v>
      </c>
      <c r="B7761" t="s">
        <v>31</v>
      </c>
      <c r="C7761" t="s">
        <v>32</v>
      </c>
      <c r="D7761" t="s">
        <v>953</v>
      </c>
      <c r="E7761" t="s">
        <v>1007</v>
      </c>
      <c r="F7761" t="s">
        <v>35</v>
      </c>
      <c r="G7761" t="s">
        <v>35</v>
      </c>
      <c r="H7761" t="s">
        <v>35</v>
      </c>
      <c r="J7761" t="s">
        <v>7318</v>
      </c>
      <c r="K7761" t="s">
        <v>1092</v>
      </c>
      <c r="M7761">
        <v>1.395</v>
      </c>
      <c r="N7761">
        <v>136</v>
      </c>
      <c r="O7761" t="s">
        <v>38</v>
      </c>
      <c r="Q7761" t="s">
        <v>2121</v>
      </c>
      <c r="R7761" t="s">
        <v>133</v>
      </c>
      <c r="S7761" t="s">
        <v>134</v>
      </c>
      <c r="T7761" t="s">
        <v>135</v>
      </c>
    </row>
    <row r="7762" spans="1:20" x14ac:dyDescent="0.25">
      <c r="A7762" t="s">
        <v>59</v>
      </c>
      <c r="B7762" t="s">
        <v>31</v>
      </c>
      <c r="C7762" t="s">
        <v>32</v>
      </c>
      <c r="D7762" t="s">
        <v>953</v>
      </c>
      <c r="E7762" t="s">
        <v>7558</v>
      </c>
      <c r="F7762" t="s">
        <v>35</v>
      </c>
      <c r="G7762" t="s">
        <v>35</v>
      </c>
      <c r="H7762" t="s">
        <v>35</v>
      </c>
      <c r="J7762" t="s">
        <v>7602</v>
      </c>
      <c r="K7762" t="s">
        <v>1092</v>
      </c>
      <c r="M7762">
        <v>2.52</v>
      </c>
      <c r="N7762">
        <v>52</v>
      </c>
      <c r="O7762" t="s">
        <v>52</v>
      </c>
      <c r="Q7762" t="s">
        <v>84</v>
      </c>
      <c r="R7762" t="s">
        <v>133</v>
      </c>
      <c r="S7762" t="s">
        <v>134</v>
      </c>
      <c r="T7762" t="s">
        <v>135</v>
      </c>
    </row>
    <row r="7763" spans="1:20" x14ac:dyDescent="0.25">
      <c r="A7763" t="s">
        <v>59</v>
      </c>
      <c r="B7763" t="s">
        <v>31</v>
      </c>
      <c r="C7763" t="s">
        <v>32</v>
      </c>
      <c r="D7763" t="s">
        <v>953</v>
      </c>
      <c r="E7763" t="s">
        <v>7558</v>
      </c>
      <c r="F7763" t="s">
        <v>35</v>
      </c>
      <c r="G7763" t="s">
        <v>35</v>
      </c>
      <c r="H7763" t="s">
        <v>35</v>
      </c>
      <c r="J7763" t="s">
        <v>7602</v>
      </c>
      <c r="K7763" t="s">
        <v>1092</v>
      </c>
      <c r="M7763">
        <v>10.98</v>
      </c>
      <c r="N7763">
        <v>33</v>
      </c>
      <c r="O7763" t="s">
        <v>52</v>
      </c>
      <c r="Q7763" t="s">
        <v>130</v>
      </c>
      <c r="R7763" t="s">
        <v>133</v>
      </c>
      <c r="S7763" t="s">
        <v>134</v>
      </c>
      <c r="T7763" t="s">
        <v>135</v>
      </c>
    </row>
    <row r="7764" spans="1:20" x14ac:dyDescent="0.25">
      <c r="A7764" t="s">
        <v>59</v>
      </c>
      <c r="B7764" t="s">
        <v>60</v>
      </c>
      <c r="C7764" t="s">
        <v>32</v>
      </c>
      <c r="D7764" t="s">
        <v>953</v>
      </c>
      <c r="E7764" t="s">
        <v>7558</v>
      </c>
      <c r="F7764" t="s">
        <v>35</v>
      </c>
      <c r="G7764" t="s">
        <v>35</v>
      </c>
      <c r="H7764" t="s">
        <v>35</v>
      </c>
      <c r="J7764" t="s">
        <v>7602</v>
      </c>
      <c r="K7764" t="s">
        <v>1092</v>
      </c>
      <c r="M7764">
        <v>1.25</v>
      </c>
      <c r="N7764">
        <v>10</v>
      </c>
      <c r="O7764" t="s">
        <v>46</v>
      </c>
      <c r="Q7764" t="s">
        <v>1302</v>
      </c>
      <c r="R7764" t="s">
        <v>133</v>
      </c>
      <c r="S7764" t="s">
        <v>134</v>
      </c>
      <c r="T7764" t="s">
        <v>135</v>
      </c>
    </row>
    <row r="7765" spans="1:20" x14ac:dyDescent="0.25">
      <c r="A7765" t="s">
        <v>59</v>
      </c>
      <c r="B7765" t="s">
        <v>60</v>
      </c>
      <c r="C7765" t="s">
        <v>32</v>
      </c>
      <c r="D7765" t="s">
        <v>953</v>
      </c>
      <c r="E7765" t="s">
        <v>7558</v>
      </c>
      <c r="F7765" t="s">
        <v>35</v>
      </c>
      <c r="G7765" t="s">
        <v>35</v>
      </c>
      <c r="H7765" t="s">
        <v>35</v>
      </c>
      <c r="J7765" t="s">
        <v>7602</v>
      </c>
      <c r="K7765" t="s">
        <v>1092</v>
      </c>
      <c r="M7765">
        <v>10</v>
      </c>
      <c r="N7765">
        <v>52</v>
      </c>
      <c r="O7765" t="s">
        <v>52</v>
      </c>
      <c r="Q7765" t="s">
        <v>84</v>
      </c>
      <c r="R7765" t="s">
        <v>133</v>
      </c>
      <c r="S7765" t="s">
        <v>134</v>
      </c>
      <c r="T7765" t="s">
        <v>135</v>
      </c>
    </row>
    <row r="7766" spans="1:20" x14ac:dyDescent="0.25">
      <c r="A7766" t="s">
        <v>44</v>
      </c>
      <c r="B7766" t="s">
        <v>3</v>
      </c>
      <c r="C7766" t="s">
        <v>32</v>
      </c>
      <c r="D7766" t="s">
        <v>953</v>
      </c>
      <c r="E7766" t="s">
        <v>7558</v>
      </c>
      <c r="F7766" t="s">
        <v>35</v>
      </c>
      <c r="G7766" t="s">
        <v>35</v>
      </c>
      <c r="H7766" t="s">
        <v>35</v>
      </c>
      <c r="J7766" t="s">
        <v>7602</v>
      </c>
      <c r="K7766" t="s">
        <v>1092</v>
      </c>
      <c r="M7766">
        <v>4.45</v>
      </c>
      <c r="N7766">
        <v>58</v>
      </c>
      <c r="O7766" t="s">
        <v>52</v>
      </c>
      <c r="Q7766" t="s">
        <v>128</v>
      </c>
      <c r="R7766" t="s">
        <v>133</v>
      </c>
      <c r="S7766" t="s">
        <v>134</v>
      </c>
      <c r="T7766" t="s">
        <v>135</v>
      </c>
    </row>
    <row r="7767" spans="1:20" x14ac:dyDescent="0.25">
      <c r="A7767" t="s">
        <v>44</v>
      </c>
      <c r="B7767" t="s">
        <v>3</v>
      </c>
      <c r="C7767" t="s">
        <v>32</v>
      </c>
      <c r="D7767" t="s">
        <v>953</v>
      </c>
      <c r="E7767" t="s">
        <v>968</v>
      </c>
      <c r="F7767" t="s">
        <v>35</v>
      </c>
      <c r="G7767" t="s">
        <v>35</v>
      </c>
      <c r="H7767" t="s">
        <v>35</v>
      </c>
      <c r="J7767" t="s">
        <v>7020</v>
      </c>
      <c r="K7767" t="s">
        <v>1092</v>
      </c>
      <c r="M7767">
        <v>0.5</v>
      </c>
      <c r="N7767">
        <v>19</v>
      </c>
      <c r="O7767" t="s">
        <v>46</v>
      </c>
      <c r="Q7767" t="s">
        <v>94</v>
      </c>
      <c r="R7767" t="s">
        <v>133</v>
      </c>
      <c r="S7767" t="s">
        <v>134</v>
      </c>
      <c r="T7767" t="s">
        <v>135</v>
      </c>
    </row>
    <row r="7768" spans="1:20" x14ac:dyDescent="0.25">
      <c r="A7768" t="s">
        <v>44</v>
      </c>
      <c r="B7768" t="s">
        <v>3</v>
      </c>
      <c r="C7768" t="s">
        <v>32</v>
      </c>
      <c r="D7768" t="s">
        <v>953</v>
      </c>
      <c r="E7768" t="s">
        <v>968</v>
      </c>
      <c r="F7768" t="s">
        <v>35</v>
      </c>
      <c r="G7768" t="s">
        <v>35</v>
      </c>
      <c r="H7768" t="s">
        <v>35</v>
      </c>
      <c r="J7768" t="s">
        <v>7020</v>
      </c>
      <c r="K7768" t="s">
        <v>1092</v>
      </c>
      <c r="M7768">
        <v>0.5</v>
      </c>
      <c r="N7768">
        <v>24</v>
      </c>
      <c r="O7768" t="s">
        <v>46</v>
      </c>
      <c r="Q7768" t="s">
        <v>972</v>
      </c>
      <c r="R7768" t="s">
        <v>133</v>
      </c>
      <c r="S7768" t="s">
        <v>134</v>
      </c>
      <c r="T7768" t="s">
        <v>135</v>
      </c>
    </row>
    <row r="7769" spans="1:20" x14ac:dyDescent="0.25">
      <c r="A7769" t="s">
        <v>59</v>
      </c>
      <c r="B7769" t="s">
        <v>60</v>
      </c>
      <c r="C7769" t="s">
        <v>32</v>
      </c>
      <c r="D7769" t="s">
        <v>953</v>
      </c>
      <c r="E7769" t="s">
        <v>968</v>
      </c>
      <c r="F7769" t="s">
        <v>35</v>
      </c>
      <c r="G7769" t="s">
        <v>35</v>
      </c>
      <c r="H7769" t="s">
        <v>35</v>
      </c>
      <c r="J7769" t="s">
        <v>7020</v>
      </c>
      <c r="K7769" t="s">
        <v>1092</v>
      </c>
      <c r="M7769">
        <v>1</v>
      </c>
      <c r="N7769">
        <v>24</v>
      </c>
      <c r="O7769" t="s">
        <v>46</v>
      </c>
      <c r="Q7769" t="s">
        <v>972</v>
      </c>
      <c r="R7769" t="s">
        <v>133</v>
      </c>
      <c r="S7769" t="s">
        <v>134</v>
      </c>
      <c r="T7769" t="s">
        <v>135</v>
      </c>
    </row>
    <row r="7770" spans="1:20" x14ac:dyDescent="0.25">
      <c r="A7770" t="s">
        <v>59</v>
      </c>
      <c r="B7770" t="s">
        <v>31</v>
      </c>
      <c r="C7770" t="s">
        <v>32</v>
      </c>
      <c r="D7770" t="s">
        <v>953</v>
      </c>
      <c r="E7770" t="s">
        <v>1015</v>
      </c>
      <c r="F7770" t="s">
        <v>35</v>
      </c>
      <c r="G7770" t="s">
        <v>35</v>
      </c>
      <c r="H7770" t="s">
        <v>35</v>
      </c>
      <c r="J7770" t="s">
        <v>7342</v>
      </c>
      <c r="K7770" t="s">
        <v>1092</v>
      </c>
      <c r="M7770">
        <v>2.1150000000000002</v>
      </c>
      <c r="N7770">
        <v>206</v>
      </c>
      <c r="O7770" t="s">
        <v>5</v>
      </c>
      <c r="Q7770" t="s">
        <v>1298</v>
      </c>
      <c r="R7770" t="s">
        <v>133</v>
      </c>
      <c r="S7770" t="s">
        <v>134</v>
      </c>
      <c r="T7770" t="s">
        <v>135</v>
      </c>
    </row>
    <row r="7771" spans="1:20" x14ac:dyDescent="0.25">
      <c r="A7771" t="s">
        <v>59</v>
      </c>
      <c r="B7771" t="s">
        <v>31</v>
      </c>
      <c r="C7771" t="s">
        <v>32</v>
      </c>
      <c r="D7771" t="s">
        <v>953</v>
      </c>
      <c r="E7771" t="s">
        <v>1015</v>
      </c>
      <c r="F7771" t="s">
        <v>35</v>
      </c>
      <c r="G7771" t="s">
        <v>35</v>
      </c>
      <c r="H7771" t="s">
        <v>35</v>
      </c>
      <c r="J7771" t="s">
        <v>7425</v>
      </c>
      <c r="K7771" t="s">
        <v>1092</v>
      </c>
      <c r="M7771">
        <v>0.21</v>
      </c>
      <c r="N7771">
        <v>242</v>
      </c>
      <c r="O7771" t="s">
        <v>5</v>
      </c>
      <c r="Q7771" t="s">
        <v>6137</v>
      </c>
      <c r="R7771" t="s">
        <v>133</v>
      </c>
      <c r="S7771" t="s">
        <v>134</v>
      </c>
      <c r="T7771" t="s">
        <v>135</v>
      </c>
    </row>
    <row r="7772" spans="1:20" x14ac:dyDescent="0.25">
      <c r="A7772" t="s">
        <v>59</v>
      </c>
      <c r="B7772" t="s">
        <v>60</v>
      </c>
      <c r="C7772" t="s">
        <v>32</v>
      </c>
      <c r="D7772" t="s">
        <v>953</v>
      </c>
      <c r="E7772" t="s">
        <v>1015</v>
      </c>
      <c r="F7772" t="s">
        <v>35</v>
      </c>
      <c r="G7772" t="s">
        <v>35</v>
      </c>
      <c r="H7772" t="s">
        <v>35</v>
      </c>
      <c r="J7772" t="s">
        <v>7425</v>
      </c>
      <c r="K7772" t="s">
        <v>1092</v>
      </c>
      <c r="M7772">
        <v>3.1</v>
      </c>
      <c r="N7772">
        <v>62</v>
      </c>
      <c r="O7772" t="s">
        <v>61</v>
      </c>
      <c r="Q7772" t="s">
        <v>139</v>
      </c>
      <c r="R7772" t="s">
        <v>133</v>
      </c>
      <c r="S7772" t="s">
        <v>134</v>
      </c>
      <c r="T7772" t="s">
        <v>135</v>
      </c>
    </row>
    <row r="7773" spans="1:20" x14ac:dyDescent="0.25">
      <c r="A7773" t="s">
        <v>59</v>
      </c>
      <c r="B7773" t="s">
        <v>60</v>
      </c>
      <c r="C7773" t="s">
        <v>32</v>
      </c>
      <c r="D7773" t="s">
        <v>953</v>
      </c>
      <c r="E7773" t="s">
        <v>1077</v>
      </c>
      <c r="F7773" t="s">
        <v>35</v>
      </c>
      <c r="G7773" t="s">
        <v>35</v>
      </c>
      <c r="H7773" t="s">
        <v>35</v>
      </c>
      <c r="J7773" t="s">
        <v>7700</v>
      </c>
      <c r="K7773" t="s">
        <v>404</v>
      </c>
      <c r="M7773">
        <v>18.149999999999999</v>
      </c>
      <c r="N7773">
        <v>37</v>
      </c>
      <c r="O7773" t="s">
        <v>52</v>
      </c>
      <c r="Q7773" t="s">
        <v>192</v>
      </c>
      <c r="R7773" t="s">
        <v>133</v>
      </c>
      <c r="S7773" t="s">
        <v>134</v>
      </c>
      <c r="T7773" t="s">
        <v>135</v>
      </c>
    </row>
    <row r="7774" spans="1:20" x14ac:dyDescent="0.25">
      <c r="A7774" t="s">
        <v>59</v>
      </c>
      <c r="B7774" t="s">
        <v>31</v>
      </c>
      <c r="C7774" t="s">
        <v>32</v>
      </c>
      <c r="D7774" t="s">
        <v>953</v>
      </c>
      <c r="E7774" t="s">
        <v>7494</v>
      </c>
      <c r="F7774" t="s">
        <v>35</v>
      </c>
      <c r="G7774" t="s">
        <v>35</v>
      </c>
      <c r="H7774" t="s">
        <v>35</v>
      </c>
      <c r="J7774" t="s">
        <v>7510</v>
      </c>
      <c r="K7774" t="s">
        <v>1092</v>
      </c>
      <c r="M7774">
        <v>1.89</v>
      </c>
      <c r="N7774">
        <v>215</v>
      </c>
      <c r="O7774" t="s">
        <v>5</v>
      </c>
      <c r="Q7774" t="s">
        <v>1746</v>
      </c>
      <c r="R7774" t="s">
        <v>133</v>
      </c>
      <c r="S7774" t="s">
        <v>134</v>
      </c>
      <c r="T7774" t="s">
        <v>135</v>
      </c>
    </row>
    <row r="7775" spans="1:20" x14ac:dyDescent="0.25">
      <c r="A7775" t="s">
        <v>59</v>
      </c>
      <c r="B7775" t="s">
        <v>60</v>
      </c>
      <c r="C7775" t="s">
        <v>32</v>
      </c>
      <c r="D7775" t="s">
        <v>953</v>
      </c>
      <c r="E7775" t="s">
        <v>1007</v>
      </c>
      <c r="F7775" t="s">
        <v>35</v>
      </c>
      <c r="G7775" t="s">
        <v>35</v>
      </c>
      <c r="H7775" t="s">
        <v>35</v>
      </c>
      <c r="J7775" t="s">
        <v>7330</v>
      </c>
      <c r="K7775" t="s">
        <v>1092</v>
      </c>
      <c r="M7775">
        <v>2.4500000000000002</v>
      </c>
      <c r="N7775">
        <v>83</v>
      </c>
      <c r="O7775" t="s">
        <v>61</v>
      </c>
      <c r="Q7775" t="s">
        <v>897</v>
      </c>
      <c r="R7775" t="s">
        <v>133</v>
      </c>
      <c r="S7775" t="s">
        <v>134</v>
      </c>
      <c r="T7775" t="s">
        <v>135</v>
      </c>
    </row>
    <row r="7776" spans="1:20" x14ac:dyDescent="0.25">
      <c r="A7776" t="s">
        <v>30</v>
      </c>
      <c r="B7776" t="s">
        <v>31</v>
      </c>
      <c r="C7776" t="s">
        <v>32</v>
      </c>
      <c r="D7776" t="s">
        <v>953</v>
      </c>
      <c r="F7776" t="s">
        <v>35</v>
      </c>
      <c r="G7776" t="s">
        <v>35</v>
      </c>
      <c r="H7776" t="s">
        <v>35</v>
      </c>
      <c r="J7776" t="s">
        <v>7931</v>
      </c>
      <c r="K7776" t="s">
        <v>1092</v>
      </c>
      <c r="M7776">
        <v>9.99</v>
      </c>
      <c r="N7776">
        <v>13</v>
      </c>
      <c r="O7776" t="s">
        <v>46</v>
      </c>
      <c r="Q7776" t="s">
        <v>1004</v>
      </c>
      <c r="R7776" t="s">
        <v>133</v>
      </c>
      <c r="S7776" t="s">
        <v>134</v>
      </c>
      <c r="T7776" t="s">
        <v>135</v>
      </c>
    </row>
    <row r="7777" spans="1:20" x14ac:dyDescent="0.25">
      <c r="A7777" t="s">
        <v>59</v>
      </c>
      <c r="B7777" t="s">
        <v>60</v>
      </c>
      <c r="C7777" t="s">
        <v>32</v>
      </c>
      <c r="D7777" t="s">
        <v>953</v>
      </c>
      <c r="F7777" t="s">
        <v>35</v>
      </c>
      <c r="G7777" t="s">
        <v>35</v>
      </c>
      <c r="H7777" t="s">
        <v>35</v>
      </c>
      <c r="J7777" t="s">
        <v>7931</v>
      </c>
      <c r="K7777" t="s">
        <v>1092</v>
      </c>
      <c r="M7777">
        <v>0.5</v>
      </c>
      <c r="N7777">
        <v>84</v>
      </c>
      <c r="O7777" t="s">
        <v>61</v>
      </c>
      <c r="Q7777" t="s">
        <v>1147</v>
      </c>
      <c r="R7777" t="s">
        <v>133</v>
      </c>
      <c r="S7777" t="s">
        <v>134</v>
      </c>
      <c r="T7777" t="s">
        <v>135</v>
      </c>
    </row>
    <row r="7778" spans="1:20" x14ac:dyDescent="0.25">
      <c r="A7778" t="s">
        <v>30</v>
      </c>
      <c r="B7778" t="s">
        <v>31</v>
      </c>
      <c r="C7778" t="s">
        <v>32</v>
      </c>
      <c r="D7778" t="s">
        <v>953</v>
      </c>
      <c r="E7778" t="s">
        <v>968</v>
      </c>
      <c r="F7778" t="s">
        <v>35</v>
      </c>
      <c r="G7778" t="s">
        <v>35</v>
      </c>
      <c r="H7778" t="s">
        <v>35</v>
      </c>
      <c r="J7778" t="s">
        <v>7050</v>
      </c>
      <c r="K7778" t="s">
        <v>1092</v>
      </c>
      <c r="M7778">
        <v>0.09</v>
      </c>
      <c r="N7778">
        <v>1192</v>
      </c>
      <c r="O7778" t="s">
        <v>575</v>
      </c>
      <c r="Q7778" t="s">
        <v>7051</v>
      </c>
      <c r="R7778" t="s">
        <v>133</v>
      </c>
      <c r="S7778" t="s">
        <v>134</v>
      </c>
      <c r="T7778" t="s">
        <v>135</v>
      </c>
    </row>
    <row r="7779" spans="1:20" x14ac:dyDescent="0.25">
      <c r="A7779" t="s">
        <v>59</v>
      </c>
      <c r="B7779" t="s">
        <v>60</v>
      </c>
      <c r="C7779" t="s">
        <v>32</v>
      </c>
      <c r="D7779" t="s">
        <v>953</v>
      </c>
      <c r="E7779" t="s">
        <v>968</v>
      </c>
      <c r="F7779" t="s">
        <v>35</v>
      </c>
      <c r="G7779" t="s">
        <v>35</v>
      </c>
      <c r="H7779" t="s">
        <v>35</v>
      </c>
      <c r="J7779" t="s">
        <v>7050</v>
      </c>
      <c r="K7779" t="s">
        <v>1092</v>
      </c>
      <c r="M7779">
        <v>0.15</v>
      </c>
      <c r="N7779">
        <v>1377</v>
      </c>
      <c r="O7779" t="s">
        <v>575</v>
      </c>
      <c r="Q7779" t="s">
        <v>7052</v>
      </c>
      <c r="R7779" t="s">
        <v>133</v>
      </c>
      <c r="S7779" t="s">
        <v>134</v>
      </c>
      <c r="T7779" t="s">
        <v>135</v>
      </c>
    </row>
    <row r="7780" spans="1:20" x14ac:dyDescent="0.25">
      <c r="A7780" t="s">
        <v>59</v>
      </c>
      <c r="B7780" t="s">
        <v>31</v>
      </c>
      <c r="C7780" t="s">
        <v>32</v>
      </c>
      <c r="D7780" t="s">
        <v>953</v>
      </c>
      <c r="E7780" t="s">
        <v>968</v>
      </c>
      <c r="F7780" t="s">
        <v>35</v>
      </c>
      <c r="G7780" t="s">
        <v>35</v>
      </c>
      <c r="H7780" t="s">
        <v>35</v>
      </c>
      <c r="J7780" t="s">
        <v>7050</v>
      </c>
      <c r="K7780" t="s">
        <v>1092</v>
      </c>
      <c r="M7780">
        <v>0.18</v>
      </c>
      <c r="N7780">
        <v>1377</v>
      </c>
      <c r="O7780" t="s">
        <v>575</v>
      </c>
      <c r="Q7780" t="s">
        <v>7052</v>
      </c>
      <c r="R7780" t="s">
        <v>133</v>
      </c>
      <c r="S7780" t="s">
        <v>134</v>
      </c>
      <c r="T7780" t="s">
        <v>135</v>
      </c>
    </row>
    <row r="7781" spans="1:20" x14ac:dyDescent="0.25">
      <c r="A7781" t="s">
        <v>44</v>
      </c>
      <c r="B7781" t="s">
        <v>3</v>
      </c>
      <c r="C7781" t="s">
        <v>32</v>
      </c>
      <c r="D7781" t="s">
        <v>953</v>
      </c>
      <c r="E7781" t="s">
        <v>968</v>
      </c>
      <c r="F7781" t="s">
        <v>35</v>
      </c>
      <c r="G7781" t="s">
        <v>35</v>
      </c>
      <c r="H7781" t="s">
        <v>35</v>
      </c>
      <c r="J7781" t="s">
        <v>7043</v>
      </c>
      <c r="K7781" t="s">
        <v>1092</v>
      </c>
      <c r="M7781">
        <v>3.6</v>
      </c>
      <c r="N7781">
        <v>52</v>
      </c>
      <c r="O7781" t="s">
        <v>52</v>
      </c>
      <c r="Q7781" t="s">
        <v>84</v>
      </c>
      <c r="R7781" t="s">
        <v>133</v>
      </c>
      <c r="S7781" t="s">
        <v>134</v>
      </c>
      <c r="T7781" t="s">
        <v>135</v>
      </c>
    </row>
    <row r="7782" spans="1:20" x14ac:dyDescent="0.25">
      <c r="A7782" t="s">
        <v>59</v>
      </c>
      <c r="B7782" t="s">
        <v>60</v>
      </c>
      <c r="C7782" t="s">
        <v>32</v>
      </c>
      <c r="D7782" t="s">
        <v>953</v>
      </c>
      <c r="E7782" t="s">
        <v>968</v>
      </c>
      <c r="F7782" t="s">
        <v>35</v>
      </c>
      <c r="G7782" t="s">
        <v>35</v>
      </c>
      <c r="H7782" t="s">
        <v>35</v>
      </c>
      <c r="J7782" t="s">
        <v>7043</v>
      </c>
      <c r="K7782" t="s">
        <v>1092</v>
      </c>
      <c r="M7782">
        <v>0.25</v>
      </c>
      <c r="N7782">
        <v>52</v>
      </c>
      <c r="O7782" t="s">
        <v>52</v>
      </c>
      <c r="Q7782" t="s">
        <v>84</v>
      </c>
      <c r="R7782" t="s">
        <v>133</v>
      </c>
      <c r="S7782" t="s">
        <v>134</v>
      </c>
      <c r="T7782" t="s">
        <v>135</v>
      </c>
    </row>
    <row r="7783" spans="1:20" x14ac:dyDescent="0.25">
      <c r="A7783" t="s">
        <v>59</v>
      </c>
      <c r="B7783" t="s">
        <v>31</v>
      </c>
      <c r="C7783" t="s">
        <v>32</v>
      </c>
      <c r="D7783" t="s">
        <v>953</v>
      </c>
      <c r="E7783" t="s">
        <v>1015</v>
      </c>
      <c r="F7783" t="s">
        <v>35</v>
      </c>
      <c r="G7783" t="s">
        <v>35</v>
      </c>
      <c r="H7783" t="s">
        <v>35</v>
      </c>
      <c r="J7783" t="s">
        <v>7427</v>
      </c>
      <c r="K7783" t="s">
        <v>1092</v>
      </c>
      <c r="M7783">
        <v>0.67500000000000004</v>
      </c>
      <c r="N7783">
        <v>430</v>
      </c>
      <c r="O7783" t="s">
        <v>294</v>
      </c>
      <c r="Q7783" t="s">
        <v>7363</v>
      </c>
      <c r="R7783" t="s">
        <v>133</v>
      </c>
      <c r="S7783" t="s">
        <v>134</v>
      </c>
      <c r="T7783" t="s">
        <v>135</v>
      </c>
    </row>
    <row r="7784" spans="1:20" x14ac:dyDescent="0.25">
      <c r="A7784" t="s">
        <v>59</v>
      </c>
      <c r="B7784" t="s">
        <v>60</v>
      </c>
      <c r="C7784" t="s">
        <v>32</v>
      </c>
      <c r="D7784" t="s">
        <v>953</v>
      </c>
      <c r="E7784" t="s">
        <v>1015</v>
      </c>
      <c r="F7784" t="s">
        <v>35</v>
      </c>
      <c r="G7784" t="s">
        <v>35</v>
      </c>
      <c r="H7784" t="s">
        <v>35</v>
      </c>
      <c r="J7784" t="s">
        <v>7427</v>
      </c>
      <c r="K7784" t="s">
        <v>1092</v>
      </c>
      <c r="M7784">
        <v>0.1</v>
      </c>
      <c r="N7784">
        <v>69</v>
      </c>
      <c r="O7784" t="s">
        <v>61</v>
      </c>
      <c r="Q7784" t="s">
        <v>234</v>
      </c>
      <c r="R7784" t="s">
        <v>133</v>
      </c>
      <c r="S7784" t="s">
        <v>134</v>
      </c>
      <c r="T7784" t="s">
        <v>135</v>
      </c>
    </row>
    <row r="7785" spans="1:20" x14ac:dyDescent="0.25">
      <c r="A7785" t="s">
        <v>59</v>
      </c>
      <c r="B7785" t="s">
        <v>60</v>
      </c>
      <c r="C7785" t="s">
        <v>32</v>
      </c>
      <c r="D7785" t="s">
        <v>953</v>
      </c>
      <c r="E7785" t="s">
        <v>1015</v>
      </c>
      <c r="F7785" t="s">
        <v>35</v>
      </c>
      <c r="G7785" t="s">
        <v>35</v>
      </c>
      <c r="H7785" t="s">
        <v>35</v>
      </c>
      <c r="J7785" t="s">
        <v>7427</v>
      </c>
      <c r="K7785" t="s">
        <v>1092</v>
      </c>
      <c r="M7785">
        <v>0.2</v>
      </c>
      <c r="N7785">
        <v>494</v>
      </c>
      <c r="O7785" t="s">
        <v>294</v>
      </c>
      <c r="Q7785" t="s">
        <v>4620</v>
      </c>
      <c r="R7785" t="s">
        <v>133</v>
      </c>
      <c r="S7785" t="s">
        <v>134</v>
      </c>
      <c r="T7785" t="s">
        <v>135</v>
      </c>
    </row>
    <row r="7786" spans="1:20" x14ac:dyDescent="0.25">
      <c r="A7786" t="s">
        <v>59</v>
      </c>
      <c r="B7786" t="s">
        <v>31</v>
      </c>
      <c r="C7786" t="s">
        <v>32</v>
      </c>
      <c r="D7786" t="s">
        <v>953</v>
      </c>
      <c r="E7786" t="s">
        <v>7558</v>
      </c>
      <c r="F7786" t="s">
        <v>35</v>
      </c>
      <c r="G7786" t="s">
        <v>35</v>
      </c>
      <c r="H7786" t="s">
        <v>35</v>
      </c>
      <c r="J7786" t="s">
        <v>7562</v>
      </c>
      <c r="K7786" t="s">
        <v>1092</v>
      </c>
      <c r="M7786">
        <v>0.45</v>
      </c>
      <c r="N7786">
        <v>65</v>
      </c>
      <c r="O7786" t="s">
        <v>61</v>
      </c>
      <c r="Q7786" t="s">
        <v>63</v>
      </c>
      <c r="R7786" t="s">
        <v>133</v>
      </c>
      <c r="S7786" t="s">
        <v>134</v>
      </c>
      <c r="T7786" t="s">
        <v>135</v>
      </c>
    </row>
    <row r="7787" spans="1:20" x14ac:dyDescent="0.25">
      <c r="A7787" t="s">
        <v>59</v>
      </c>
      <c r="B7787" t="s">
        <v>60</v>
      </c>
      <c r="C7787" t="s">
        <v>32</v>
      </c>
      <c r="D7787" t="s">
        <v>953</v>
      </c>
      <c r="E7787" t="s">
        <v>1015</v>
      </c>
      <c r="F7787" t="s">
        <v>35</v>
      </c>
      <c r="G7787" t="s">
        <v>35</v>
      </c>
      <c r="H7787" t="s">
        <v>35</v>
      </c>
      <c r="J7787" t="s">
        <v>7416</v>
      </c>
      <c r="K7787" t="s">
        <v>1092</v>
      </c>
      <c r="M7787">
        <v>0.1</v>
      </c>
      <c r="N7787">
        <v>235</v>
      </c>
      <c r="O7787" t="s">
        <v>5</v>
      </c>
      <c r="Q7787" t="s">
        <v>2904</v>
      </c>
      <c r="R7787" t="s">
        <v>133</v>
      </c>
      <c r="S7787" t="s">
        <v>134</v>
      </c>
      <c r="T7787" t="s">
        <v>135</v>
      </c>
    </row>
    <row r="7788" spans="1:20" x14ac:dyDescent="0.25">
      <c r="A7788" t="s">
        <v>59</v>
      </c>
      <c r="B7788" t="s">
        <v>60</v>
      </c>
      <c r="C7788" t="s">
        <v>32</v>
      </c>
      <c r="D7788" t="s">
        <v>953</v>
      </c>
      <c r="E7788" t="s">
        <v>7740</v>
      </c>
      <c r="F7788" t="s">
        <v>35</v>
      </c>
      <c r="G7788" t="s">
        <v>35</v>
      </c>
      <c r="H7788" t="s">
        <v>35</v>
      </c>
      <c r="J7788" t="s">
        <v>7749</v>
      </c>
      <c r="K7788" t="s">
        <v>1092</v>
      </c>
      <c r="M7788">
        <v>1</v>
      </c>
      <c r="N7788">
        <v>136</v>
      </c>
      <c r="O7788" t="s">
        <v>38</v>
      </c>
      <c r="Q7788" t="s">
        <v>2121</v>
      </c>
      <c r="R7788" t="s">
        <v>133</v>
      </c>
      <c r="S7788" t="s">
        <v>134</v>
      </c>
      <c r="T7788" t="s">
        <v>135</v>
      </c>
    </row>
    <row r="7789" spans="1:20" x14ac:dyDescent="0.25">
      <c r="A7789" t="s">
        <v>30</v>
      </c>
      <c r="B7789" t="s">
        <v>31</v>
      </c>
      <c r="C7789" t="s">
        <v>32</v>
      </c>
      <c r="D7789" t="s">
        <v>953</v>
      </c>
      <c r="E7789" t="s">
        <v>7740</v>
      </c>
      <c r="F7789" t="s">
        <v>35</v>
      </c>
      <c r="G7789" t="s">
        <v>35</v>
      </c>
      <c r="H7789" t="s">
        <v>35</v>
      </c>
      <c r="J7789" t="s">
        <v>7749</v>
      </c>
      <c r="K7789" t="s">
        <v>1092</v>
      </c>
      <c r="M7789">
        <v>1.125</v>
      </c>
      <c r="N7789">
        <v>5</v>
      </c>
      <c r="O7789" t="s">
        <v>46</v>
      </c>
      <c r="Q7789" t="s">
        <v>1865</v>
      </c>
      <c r="R7789" t="s">
        <v>133</v>
      </c>
      <c r="S7789" t="s">
        <v>134</v>
      </c>
      <c r="T7789" t="s">
        <v>135</v>
      </c>
    </row>
    <row r="7790" spans="1:20" x14ac:dyDescent="0.25">
      <c r="A7790" t="s">
        <v>30</v>
      </c>
      <c r="B7790" t="s">
        <v>31</v>
      </c>
      <c r="C7790" t="s">
        <v>32</v>
      </c>
      <c r="D7790" t="s">
        <v>953</v>
      </c>
      <c r="F7790" t="s">
        <v>35</v>
      </c>
      <c r="G7790" t="s">
        <v>35</v>
      </c>
      <c r="H7790" t="s">
        <v>35</v>
      </c>
      <c r="J7790" t="s">
        <v>8056</v>
      </c>
      <c r="K7790" t="s">
        <v>1092</v>
      </c>
      <c r="M7790">
        <v>9.18</v>
      </c>
      <c r="N7790">
        <v>389</v>
      </c>
      <c r="O7790" t="s">
        <v>294</v>
      </c>
      <c r="Q7790" t="s">
        <v>8057</v>
      </c>
      <c r="R7790" t="s">
        <v>133</v>
      </c>
      <c r="S7790" t="s">
        <v>134</v>
      </c>
      <c r="T7790" t="s">
        <v>135</v>
      </c>
    </row>
    <row r="7791" spans="1:20" x14ac:dyDescent="0.25">
      <c r="A7791" t="s">
        <v>59</v>
      </c>
      <c r="B7791" t="s">
        <v>60</v>
      </c>
      <c r="C7791" t="s">
        <v>32</v>
      </c>
      <c r="D7791" t="s">
        <v>953</v>
      </c>
      <c r="E7791" t="s">
        <v>1077</v>
      </c>
      <c r="F7791" t="s">
        <v>35</v>
      </c>
      <c r="G7791" t="s">
        <v>35</v>
      </c>
      <c r="H7791" t="s">
        <v>35</v>
      </c>
      <c r="J7791" t="s">
        <v>7694</v>
      </c>
      <c r="K7791" t="s">
        <v>404</v>
      </c>
      <c r="M7791">
        <v>1.05</v>
      </c>
      <c r="N7791">
        <v>487</v>
      </c>
      <c r="O7791" t="s">
        <v>294</v>
      </c>
      <c r="Q7791" t="s">
        <v>3564</v>
      </c>
      <c r="R7791" t="s">
        <v>133</v>
      </c>
      <c r="S7791" t="s">
        <v>134</v>
      </c>
      <c r="T7791" t="s">
        <v>135</v>
      </c>
    </row>
    <row r="7792" spans="1:20" x14ac:dyDescent="0.25">
      <c r="A7792" t="s">
        <v>59</v>
      </c>
      <c r="B7792" t="s">
        <v>60</v>
      </c>
      <c r="C7792" t="s">
        <v>32</v>
      </c>
      <c r="D7792" t="s">
        <v>953</v>
      </c>
      <c r="E7792" t="s">
        <v>1015</v>
      </c>
      <c r="F7792" t="s">
        <v>35</v>
      </c>
      <c r="G7792" t="s">
        <v>35</v>
      </c>
      <c r="H7792" t="s">
        <v>35</v>
      </c>
      <c r="J7792" t="s">
        <v>7431</v>
      </c>
      <c r="K7792" t="s">
        <v>1092</v>
      </c>
      <c r="M7792">
        <v>4.55</v>
      </c>
      <c r="N7792">
        <v>84</v>
      </c>
      <c r="O7792" t="s">
        <v>61</v>
      </c>
      <c r="Q7792" t="s">
        <v>1147</v>
      </c>
      <c r="R7792" t="s">
        <v>133</v>
      </c>
      <c r="S7792" t="s">
        <v>134</v>
      </c>
      <c r="T7792" t="s">
        <v>135</v>
      </c>
    </row>
    <row r="7793" spans="1:20" x14ac:dyDescent="0.25">
      <c r="A7793" t="s">
        <v>30</v>
      </c>
      <c r="B7793" t="s">
        <v>31</v>
      </c>
      <c r="C7793" t="s">
        <v>32</v>
      </c>
      <c r="D7793" t="s">
        <v>953</v>
      </c>
      <c r="E7793" t="s">
        <v>1015</v>
      </c>
      <c r="F7793" t="s">
        <v>35</v>
      </c>
      <c r="G7793" t="s">
        <v>35</v>
      </c>
      <c r="H7793" t="s">
        <v>35</v>
      </c>
      <c r="J7793" t="s">
        <v>7431</v>
      </c>
      <c r="K7793" t="s">
        <v>1092</v>
      </c>
      <c r="M7793">
        <v>0.45</v>
      </c>
      <c r="N7793">
        <v>31</v>
      </c>
      <c r="O7793" t="s">
        <v>52</v>
      </c>
      <c r="Q7793" t="s">
        <v>748</v>
      </c>
      <c r="R7793" t="s">
        <v>133</v>
      </c>
      <c r="S7793" t="s">
        <v>134</v>
      </c>
      <c r="T7793" t="s">
        <v>135</v>
      </c>
    </row>
    <row r="7794" spans="1:20" x14ac:dyDescent="0.25">
      <c r="A7794" t="s">
        <v>59</v>
      </c>
      <c r="B7794" t="s">
        <v>31</v>
      </c>
      <c r="C7794" t="s">
        <v>32</v>
      </c>
      <c r="D7794" t="s">
        <v>953</v>
      </c>
      <c r="E7794" t="s">
        <v>1015</v>
      </c>
      <c r="F7794" t="s">
        <v>35</v>
      </c>
      <c r="G7794" t="s">
        <v>35</v>
      </c>
      <c r="H7794" t="s">
        <v>35</v>
      </c>
      <c r="J7794" t="s">
        <v>7431</v>
      </c>
      <c r="K7794" t="s">
        <v>1092</v>
      </c>
      <c r="M7794">
        <v>0.45</v>
      </c>
      <c r="N7794">
        <v>11</v>
      </c>
      <c r="O7794" t="s">
        <v>46</v>
      </c>
      <c r="Q7794" t="s">
        <v>1476</v>
      </c>
      <c r="R7794" t="s">
        <v>133</v>
      </c>
      <c r="S7794" t="s">
        <v>134</v>
      </c>
      <c r="T7794" t="s">
        <v>135</v>
      </c>
    </row>
    <row r="7795" spans="1:20" x14ac:dyDescent="0.25">
      <c r="A7795" t="s">
        <v>30</v>
      </c>
      <c r="B7795" t="s">
        <v>31</v>
      </c>
      <c r="C7795" t="s">
        <v>32</v>
      </c>
      <c r="D7795" t="s">
        <v>953</v>
      </c>
      <c r="E7795" t="s">
        <v>998</v>
      </c>
      <c r="F7795" t="s">
        <v>35</v>
      </c>
      <c r="G7795" t="s">
        <v>35</v>
      </c>
      <c r="H7795" t="s">
        <v>35</v>
      </c>
      <c r="J7795" t="s">
        <v>7300</v>
      </c>
      <c r="K7795" t="s">
        <v>1092</v>
      </c>
      <c r="M7795">
        <v>1.8</v>
      </c>
      <c r="N7795">
        <v>271</v>
      </c>
      <c r="O7795" t="s">
        <v>5</v>
      </c>
      <c r="Q7795" t="s">
        <v>1724</v>
      </c>
      <c r="R7795" t="s">
        <v>133</v>
      </c>
      <c r="S7795" t="s">
        <v>134</v>
      </c>
      <c r="T7795" t="s">
        <v>135</v>
      </c>
    </row>
    <row r="7796" spans="1:20" x14ac:dyDescent="0.25">
      <c r="A7796" t="s">
        <v>30</v>
      </c>
      <c r="B7796" t="s">
        <v>31</v>
      </c>
      <c r="C7796" t="s">
        <v>32</v>
      </c>
      <c r="D7796" t="s">
        <v>953</v>
      </c>
      <c r="E7796" t="s">
        <v>998</v>
      </c>
      <c r="F7796" t="s">
        <v>35</v>
      </c>
      <c r="G7796" t="s">
        <v>35</v>
      </c>
      <c r="H7796" t="s">
        <v>35</v>
      </c>
      <c r="J7796" t="s">
        <v>7281</v>
      </c>
      <c r="K7796" t="s">
        <v>1092</v>
      </c>
      <c r="M7796">
        <v>1.0349999999999999</v>
      </c>
      <c r="N7796">
        <v>1243</v>
      </c>
      <c r="O7796" t="s">
        <v>575</v>
      </c>
      <c r="Q7796" t="s">
        <v>7282</v>
      </c>
      <c r="R7796" t="s">
        <v>133</v>
      </c>
      <c r="S7796" t="s">
        <v>134</v>
      </c>
      <c r="T7796" t="s">
        <v>135</v>
      </c>
    </row>
    <row r="7797" spans="1:20" x14ac:dyDescent="0.25">
      <c r="A7797" t="s">
        <v>30</v>
      </c>
      <c r="B7797" t="s">
        <v>31</v>
      </c>
      <c r="C7797" t="s">
        <v>32</v>
      </c>
      <c r="D7797" t="s">
        <v>953</v>
      </c>
      <c r="E7797" t="s">
        <v>7164</v>
      </c>
      <c r="F7797" t="s">
        <v>35</v>
      </c>
      <c r="G7797" t="s">
        <v>35</v>
      </c>
      <c r="H7797" t="s">
        <v>35</v>
      </c>
      <c r="J7797" t="s">
        <v>7168</v>
      </c>
      <c r="K7797" t="s">
        <v>1092</v>
      </c>
      <c r="M7797">
        <v>2.0249999999999999</v>
      </c>
      <c r="N7797">
        <v>13</v>
      </c>
      <c r="O7797" t="s">
        <v>46</v>
      </c>
      <c r="Q7797" t="s">
        <v>1004</v>
      </c>
      <c r="R7797" t="s">
        <v>133</v>
      </c>
      <c r="S7797" t="s">
        <v>134</v>
      </c>
      <c r="T7797" t="s">
        <v>135</v>
      </c>
    </row>
    <row r="7798" spans="1:20" x14ac:dyDescent="0.25">
      <c r="A7798" t="s">
        <v>59</v>
      </c>
      <c r="B7798" t="s">
        <v>31</v>
      </c>
      <c r="C7798" t="s">
        <v>32</v>
      </c>
      <c r="D7798" t="s">
        <v>953</v>
      </c>
      <c r="E7798" t="s">
        <v>1015</v>
      </c>
      <c r="F7798" t="s">
        <v>35</v>
      </c>
      <c r="G7798" t="s">
        <v>35</v>
      </c>
      <c r="H7798" t="s">
        <v>35</v>
      </c>
      <c r="J7798" t="s">
        <v>7381</v>
      </c>
      <c r="K7798" t="s">
        <v>1092</v>
      </c>
      <c r="M7798">
        <v>0.9</v>
      </c>
      <c r="N7798">
        <v>83</v>
      </c>
      <c r="O7798" t="s">
        <v>61</v>
      </c>
      <c r="Q7798" t="s">
        <v>897</v>
      </c>
      <c r="R7798" t="s">
        <v>133</v>
      </c>
      <c r="S7798" t="s">
        <v>134</v>
      </c>
      <c r="T7798" t="s">
        <v>135</v>
      </c>
    </row>
    <row r="7799" spans="1:20" x14ac:dyDescent="0.25">
      <c r="A7799" t="s">
        <v>59</v>
      </c>
      <c r="B7799" t="s">
        <v>60</v>
      </c>
      <c r="C7799" t="s">
        <v>32</v>
      </c>
      <c r="D7799" t="s">
        <v>953</v>
      </c>
      <c r="E7799" t="s">
        <v>1015</v>
      </c>
      <c r="F7799" t="s">
        <v>35</v>
      </c>
      <c r="G7799" t="s">
        <v>35</v>
      </c>
      <c r="H7799" t="s">
        <v>35</v>
      </c>
      <c r="J7799" t="s">
        <v>7357</v>
      </c>
      <c r="K7799" t="s">
        <v>1092</v>
      </c>
      <c r="M7799">
        <v>0.15</v>
      </c>
      <c r="N7799">
        <v>136</v>
      </c>
      <c r="O7799" t="s">
        <v>38</v>
      </c>
      <c r="Q7799" t="s">
        <v>2121</v>
      </c>
      <c r="R7799" t="s">
        <v>133</v>
      </c>
      <c r="S7799" t="s">
        <v>134</v>
      </c>
      <c r="T7799" t="s">
        <v>135</v>
      </c>
    </row>
    <row r="7800" spans="1:20" x14ac:dyDescent="0.25">
      <c r="A7800" t="s">
        <v>59</v>
      </c>
      <c r="B7800" t="s">
        <v>31</v>
      </c>
      <c r="C7800" t="s">
        <v>32</v>
      </c>
      <c r="D7800" t="s">
        <v>953</v>
      </c>
      <c r="E7800" t="s">
        <v>1015</v>
      </c>
      <c r="F7800" t="s">
        <v>35</v>
      </c>
      <c r="G7800" t="s">
        <v>35</v>
      </c>
      <c r="H7800" t="s">
        <v>35</v>
      </c>
      <c r="J7800" t="s">
        <v>7357</v>
      </c>
      <c r="K7800" t="s">
        <v>1092</v>
      </c>
      <c r="M7800">
        <v>0.22500000000000001</v>
      </c>
      <c r="N7800">
        <v>33</v>
      </c>
      <c r="O7800" t="s">
        <v>52</v>
      </c>
      <c r="Q7800" t="s">
        <v>130</v>
      </c>
      <c r="R7800" t="s">
        <v>133</v>
      </c>
      <c r="S7800" t="s">
        <v>134</v>
      </c>
      <c r="T7800" t="s">
        <v>135</v>
      </c>
    </row>
    <row r="7801" spans="1:20" x14ac:dyDescent="0.25">
      <c r="A7801" t="s">
        <v>30</v>
      </c>
      <c r="B7801" t="s">
        <v>31</v>
      </c>
      <c r="C7801" t="s">
        <v>32</v>
      </c>
      <c r="D7801" t="s">
        <v>953</v>
      </c>
      <c r="F7801" t="s">
        <v>35</v>
      </c>
      <c r="G7801" t="s">
        <v>35</v>
      </c>
      <c r="H7801" t="s">
        <v>35</v>
      </c>
      <c r="J7801" t="s">
        <v>7940</v>
      </c>
      <c r="K7801" t="s">
        <v>1092</v>
      </c>
      <c r="M7801">
        <v>4.3650000000000002</v>
      </c>
      <c r="N7801">
        <v>1157</v>
      </c>
      <c r="O7801" t="s">
        <v>575</v>
      </c>
      <c r="Q7801" t="s">
        <v>2754</v>
      </c>
      <c r="R7801" t="s">
        <v>133</v>
      </c>
      <c r="S7801" t="s">
        <v>134</v>
      </c>
      <c r="T7801" t="s">
        <v>135</v>
      </c>
    </row>
    <row r="7802" spans="1:20" x14ac:dyDescent="0.25">
      <c r="A7802" t="s">
        <v>30</v>
      </c>
      <c r="B7802" t="s">
        <v>31</v>
      </c>
      <c r="C7802" t="s">
        <v>32</v>
      </c>
      <c r="D7802" t="s">
        <v>953</v>
      </c>
      <c r="E7802" t="s">
        <v>980</v>
      </c>
      <c r="F7802" t="s">
        <v>35</v>
      </c>
      <c r="G7802" t="s">
        <v>35</v>
      </c>
      <c r="H7802" t="s">
        <v>35</v>
      </c>
      <c r="J7802" t="s">
        <v>7111</v>
      </c>
      <c r="K7802" t="s">
        <v>1092</v>
      </c>
      <c r="M7802">
        <v>10.98</v>
      </c>
      <c r="N7802">
        <v>39</v>
      </c>
      <c r="O7802" t="s">
        <v>52</v>
      </c>
      <c r="Q7802" t="s">
        <v>493</v>
      </c>
      <c r="R7802" t="s">
        <v>133</v>
      </c>
      <c r="S7802" t="s">
        <v>134</v>
      </c>
      <c r="T7802" t="s">
        <v>135</v>
      </c>
    </row>
    <row r="7803" spans="1:20" x14ac:dyDescent="0.25">
      <c r="A7803" t="s">
        <v>30</v>
      </c>
      <c r="B7803" t="s">
        <v>31</v>
      </c>
      <c r="C7803" t="s">
        <v>32</v>
      </c>
      <c r="D7803" t="s">
        <v>953</v>
      </c>
      <c r="E7803" t="s">
        <v>1077</v>
      </c>
      <c r="F7803" t="s">
        <v>35</v>
      </c>
      <c r="G7803" t="s">
        <v>35</v>
      </c>
      <c r="H7803" t="s">
        <v>35</v>
      </c>
      <c r="J7803" t="s">
        <v>7639</v>
      </c>
      <c r="K7803" t="s">
        <v>1092</v>
      </c>
      <c r="M7803">
        <v>8.9550000000000001</v>
      </c>
      <c r="N7803">
        <v>216</v>
      </c>
      <c r="O7803" t="s">
        <v>5</v>
      </c>
      <c r="Q7803" t="s">
        <v>3310</v>
      </c>
      <c r="R7803" t="s">
        <v>133</v>
      </c>
      <c r="S7803" t="s">
        <v>134</v>
      </c>
      <c r="T7803" t="s">
        <v>135</v>
      </c>
    </row>
    <row r="7804" spans="1:20" x14ac:dyDescent="0.25">
      <c r="A7804" t="s">
        <v>59</v>
      </c>
      <c r="B7804" t="s">
        <v>60</v>
      </c>
      <c r="C7804" t="s">
        <v>32</v>
      </c>
      <c r="D7804" t="s">
        <v>953</v>
      </c>
      <c r="E7804" t="s">
        <v>1015</v>
      </c>
      <c r="F7804" t="s">
        <v>35</v>
      </c>
      <c r="G7804" t="s">
        <v>35</v>
      </c>
      <c r="H7804" t="s">
        <v>35</v>
      </c>
      <c r="J7804" t="s">
        <v>5418</v>
      </c>
      <c r="K7804" t="s">
        <v>1092</v>
      </c>
      <c r="M7804">
        <v>1</v>
      </c>
      <c r="N7804">
        <v>53</v>
      </c>
      <c r="O7804" t="s">
        <v>52</v>
      </c>
      <c r="Q7804" t="s">
        <v>1734</v>
      </c>
      <c r="R7804" t="s">
        <v>133</v>
      </c>
      <c r="S7804" t="s">
        <v>134</v>
      </c>
      <c r="T7804" t="s">
        <v>135</v>
      </c>
    </row>
    <row r="7805" spans="1:20" x14ac:dyDescent="0.25">
      <c r="A7805" t="s">
        <v>59</v>
      </c>
      <c r="B7805" t="s">
        <v>60</v>
      </c>
      <c r="C7805" t="s">
        <v>32</v>
      </c>
      <c r="D7805" t="s">
        <v>953</v>
      </c>
      <c r="E7805" t="s">
        <v>7740</v>
      </c>
      <c r="F7805" t="s">
        <v>35</v>
      </c>
      <c r="G7805" t="s">
        <v>35</v>
      </c>
      <c r="H7805" t="s">
        <v>35</v>
      </c>
      <c r="J7805" t="s">
        <v>7752</v>
      </c>
      <c r="K7805" t="s">
        <v>1092</v>
      </c>
      <c r="M7805">
        <v>1</v>
      </c>
      <c r="N7805">
        <v>83</v>
      </c>
      <c r="O7805" t="s">
        <v>61</v>
      </c>
      <c r="Q7805" t="s">
        <v>897</v>
      </c>
      <c r="R7805" t="s">
        <v>133</v>
      </c>
      <c r="S7805" t="s">
        <v>134</v>
      </c>
      <c r="T7805" t="s">
        <v>135</v>
      </c>
    </row>
    <row r="7806" spans="1:20" x14ac:dyDescent="0.25">
      <c r="A7806" t="s">
        <v>59</v>
      </c>
      <c r="B7806" t="s">
        <v>31</v>
      </c>
      <c r="C7806" t="s">
        <v>32</v>
      </c>
      <c r="D7806" t="s">
        <v>953</v>
      </c>
      <c r="E7806" t="s">
        <v>7494</v>
      </c>
      <c r="F7806" t="s">
        <v>35</v>
      </c>
      <c r="G7806" t="s">
        <v>35</v>
      </c>
      <c r="H7806" t="s">
        <v>35</v>
      </c>
      <c r="J7806" t="s">
        <v>7509</v>
      </c>
      <c r="K7806" t="s">
        <v>1092</v>
      </c>
      <c r="M7806">
        <v>8.3699999999999992</v>
      </c>
      <c r="N7806">
        <v>83</v>
      </c>
      <c r="O7806" t="s">
        <v>61</v>
      </c>
      <c r="Q7806" t="s">
        <v>897</v>
      </c>
      <c r="R7806" t="s">
        <v>133</v>
      </c>
      <c r="S7806" t="s">
        <v>134</v>
      </c>
      <c r="T7806" t="s">
        <v>135</v>
      </c>
    </row>
    <row r="7807" spans="1:20" x14ac:dyDescent="0.25">
      <c r="A7807" t="s">
        <v>30</v>
      </c>
      <c r="B7807" t="s">
        <v>31</v>
      </c>
      <c r="C7807" t="s">
        <v>32</v>
      </c>
      <c r="D7807" t="s">
        <v>953</v>
      </c>
      <c r="E7807" t="s">
        <v>7184</v>
      </c>
      <c r="F7807" t="s">
        <v>35</v>
      </c>
      <c r="G7807" t="s">
        <v>35</v>
      </c>
      <c r="H7807" t="s">
        <v>35</v>
      </c>
      <c r="J7807" t="s">
        <v>7229</v>
      </c>
      <c r="K7807" t="s">
        <v>1092</v>
      </c>
      <c r="M7807">
        <v>2.25</v>
      </c>
      <c r="N7807">
        <v>13</v>
      </c>
      <c r="O7807" t="s">
        <v>46</v>
      </c>
      <c r="Q7807" t="s">
        <v>1004</v>
      </c>
      <c r="R7807" t="s">
        <v>133</v>
      </c>
      <c r="S7807" t="s">
        <v>134</v>
      </c>
      <c r="T7807" t="s">
        <v>135</v>
      </c>
    </row>
    <row r="7808" spans="1:20" x14ac:dyDescent="0.25">
      <c r="A7808" t="s">
        <v>59</v>
      </c>
      <c r="B7808" t="s">
        <v>31</v>
      </c>
      <c r="C7808" t="s">
        <v>32</v>
      </c>
      <c r="D7808" t="s">
        <v>953</v>
      </c>
      <c r="E7808" t="s">
        <v>7494</v>
      </c>
      <c r="F7808" t="s">
        <v>35</v>
      </c>
      <c r="G7808" t="s">
        <v>35</v>
      </c>
      <c r="H7808" t="s">
        <v>35</v>
      </c>
      <c r="J7808" t="s">
        <v>7505</v>
      </c>
      <c r="K7808" t="s">
        <v>1092</v>
      </c>
      <c r="M7808">
        <v>0.35299999999999998</v>
      </c>
      <c r="N7808">
        <v>242</v>
      </c>
      <c r="O7808" t="s">
        <v>5</v>
      </c>
      <c r="Q7808" t="s">
        <v>6137</v>
      </c>
      <c r="R7808" t="s">
        <v>133</v>
      </c>
      <c r="S7808" t="s">
        <v>134</v>
      </c>
      <c r="T7808" t="s">
        <v>135</v>
      </c>
    </row>
    <row r="7809" spans="1:20" x14ac:dyDescent="0.25">
      <c r="A7809" t="s">
        <v>59</v>
      </c>
      <c r="B7809" t="s">
        <v>60</v>
      </c>
      <c r="C7809" t="s">
        <v>32</v>
      </c>
      <c r="D7809" t="s">
        <v>953</v>
      </c>
      <c r="E7809" t="s">
        <v>7494</v>
      </c>
      <c r="F7809" t="s">
        <v>35</v>
      </c>
      <c r="G7809" t="s">
        <v>35</v>
      </c>
      <c r="H7809" t="s">
        <v>35</v>
      </c>
      <c r="J7809" t="s">
        <v>7505</v>
      </c>
      <c r="K7809" t="s">
        <v>1092</v>
      </c>
      <c r="M7809">
        <v>0.85</v>
      </c>
      <c r="N7809">
        <v>242</v>
      </c>
      <c r="O7809" t="s">
        <v>5</v>
      </c>
      <c r="Q7809" t="s">
        <v>6137</v>
      </c>
      <c r="R7809" t="s">
        <v>133</v>
      </c>
      <c r="S7809" t="s">
        <v>134</v>
      </c>
      <c r="T7809" t="s">
        <v>135</v>
      </c>
    </row>
    <row r="7810" spans="1:20" x14ac:dyDescent="0.25">
      <c r="A7810" t="s">
        <v>59</v>
      </c>
      <c r="B7810" t="s">
        <v>31</v>
      </c>
      <c r="C7810" t="s">
        <v>32</v>
      </c>
      <c r="D7810" t="s">
        <v>953</v>
      </c>
      <c r="E7810" t="s">
        <v>7558</v>
      </c>
      <c r="F7810" t="s">
        <v>35</v>
      </c>
      <c r="G7810" t="s">
        <v>35</v>
      </c>
      <c r="H7810" t="s">
        <v>35</v>
      </c>
      <c r="J7810" t="s">
        <v>7611</v>
      </c>
      <c r="K7810" t="s">
        <v>1092</v>
      </c>
      <c r="M7810">
        <v>2.1150000000000002</v>
      </c>
      <c r="N7810">
        <v>74</v>
      </c>
      <c r="O7810" t="s">
        <v>61</v>
      </c>
      <c r="Q7810" t="s">
        <v>527</v>
      </c>
      <c r="R7810" t="s">
        <v>133</v>
      </c>
      <c r="S7810" t="s">
        <v>134</v>
      </c>
      <c r="T7810" t="s">
        <v>135</v>
      </c>
    </row>
    <row r="7811" spans="1:20" x14ac:dyDescent="0.25">
      <c r="A7811" t="s">
        <v>59</v>
      </c>
      <c r="B7811" t="s">
        <v>60</v>
      </c>
      <c r="C7811" t="s">
        <v>32</v>
      </c>
      <c r="D7811" t="s">
        <v>953</v>
      </c>
      <c r="E7811" t="s">
        <v>7558</v>
      </c>
      <c r="F7811" t="s">
        <v>35</v>
      </c>
      <c r="G7811" t="s">
        <v>35</v>
      </c>
      <c r="H7811" t="s">
        <v>35</v>
      </c>
      <c r="J7811" t="s">
        <v>7611</v>
      </c>
      <c r="K7811" t="s">
        <v>1092</v>
      </c>
      <c r="M7811">
        <v>2.7</v>
      </c>
      <c r="N7811">
        <v>74</v>
      </c>
      <c r="O7811" t="s">
        <v>61</v>
      </c>
      <c r="Q7811" t="s">
        <v>527</v>
      </c>
      <c r="R7811" t="s">
        <v>133</v>
      </c>
      <c r="S7811" t="s">
        <v>134</v>
      </c>
      <c r="T7811" t="s">
        <v>135</v>
      </c>
    </row>
    <row r="7812" spans="1:20" x14ac:dyDescent="0.25">
      <c r="A7812" t="s">
        <v>59</v>
      </c>
      <c r="B7812" t="s">
        <v>60</v>
      </c>
      <c r="C7812" t="s">
        <v>32</v>
      </c>
      <c r="D7812" t="s">
        <v>953</v>
      </c>
      <c r="E7812" t="s">
        <v>1077</v>
      </c>
      <c r="F7812" t="s">
        <v>35</v>
      </c>
      <c r="G7812" t="s">
        <v>35</v>
      </c>
      <c r="H7812" t="s">
        <v>35</v>
      </c>
      <c r="J7812" t="s">
        <v>7691</v>
      </c>
      <c r="K7812" t="s">
        <v>1092</v>
      </c>
      <c r="M7812">
        <v>2.5</v>
      </c>
      <c r="N7812">
        <v>6</v>
      </c>
      <c r="O7812" t="s">
        <v>46</v>
      </c>
      <c r="Q7812" t="s">
        <v>310</v>
      </c>
      <c r="R7812" t="s">
        <v>133</v>
      </c>
      <c r="S7812" t="s">
        <v>134</v>
      </c>
      <c r="T7812" t="s">
        <v>135</v>
      </c>
    </row>
    <row r="7813" spans="1:20" x14ac:dyDescent="0.25">
      <c r="A7813" t="s">
        <v>44</v>
      </c>
      <c r="B7813" t="s">
        <v>51</v>
      </c>
      <c r="C7813" t="s">
        <v>32</v>
      </c>
      <c r="D7813" t="s">
        <v>953</v>
      </c>
      <c r="E7813" t="s">
        <v>1077</v>
      </c>
      <c r="F7813" t="s">
        <v>35</v>
      </c>
      <c r="G7813" t="s">
        <v>35</v>
      </c>
      <c r="H7813" t="s">
        <v>35</v>
      </c>
      <c r="J7813" t="s">
        <v>7691</v>
      </c>
      <c r="K7813" t="s">
        <v>1092</v>
      </c>
      <c r="M7813">
        <v>2.5</v>
      </c>
      <c r="N7813">
        <v>6</v>
      </c>
      <c r="O7813" t="s">
        <v>46</v>
      </c>
      <c r="Q7813" t="s">
        <v>310</v>
      </c>
      <c r="R7813" t="s">
        <v>133</v>
      </c>
      <c r="S7813" t="s">
        <v>134</v>
      </c>
      <c r="T7813" t="s">
        <v>135</v>
      </c>
    </row>
    <row r="7814" spans="1:20" x14ac:dyDescent="0.25">
      <c r="A7814" t="s">
        <v>44</v>
      </c>
      <c r="B7814" t="s">
        <v>3</v>
      </c>
      <c r="C7814" t="s">
        <v>32</v>
      </c>
      <c r="D7814" t="s">
        <v>953</v>
      </c>
      <c r="E7814" t="s">
        <v>968</v>
      </c>
      <c r="F7814" t="s">
        <v>35</v>
      </c>
      <c r="G7814" t="s">
        <v>35</v>
      </c>
      <c r="H7814" t="s">
        <v>35</v>
      </c>
      <c r="J7814" t="s">
        <v>7018</v>
      </c>
      <c r="K7814" t="s">
        <v>1092</v>
      </c>
      <c r="M7814">
        <v>1</v>
      </c>
      <c r="N7814">
        <v>18</v>
      </c>
      <c r="O7814" t="s">
        <v>46</v>
      </c>
      <c r="Q7814" t="s">
        <v>831</v>
      </c>
      <c r="R7814" t="s">
        <v>133</v>
      </c>
      <c r="S7814" t="s">
        <v>134</v>
      </c>
      <c r="T7814" t="s">
        <v>135</v>
      </c>
    </row>
    <row r="7815" spans="1:20" x14ac:dyDescent="0.25">
      <c r="A7815" t="s">
        <v>59</v>
      </c>
      <c r="B7815" t="s">
        <v>60</v>
      </c>
      <c r="C7815" t="s">
        <v>32</v>
      </c>
      <c r="D7815" t="s">
        <v>953</v>
      </c>
      <c r="E7815" t="s">
        <v>968</v>
      </c>
      <c r="F7815" t="s">
        <v>35</v>
      </c>
      <c r="G7815" t="s">
        <v>35</v>
      </c>
      <c r="H7815" t="s">
        <v>35</v>
      </c>
      <c r="J7815" t="s">
        <v>7018</v>
      </c>
      <c r="K7815" t="s">
        <v>1092</v>
      </c>
      <c r="M7815">
        <v>0.75</v>
      </c>
      <c r="N7815">
        <v>18</v>
      </c>
      <c r="O7815" t="s">
        <v>46</v>
      </c>
      <c r="Q7815" t="s">
        <v>831</v>
      </c>
      <c r="R7815" t="s">
        <v>133</v>
      </c>
      <c r="S7815" t="s">
        <v>134</v>
      </c>
      <c r="T7815" t="s">
        <v>135</v>
      </c>
    </row>
    <row r="7816" spans="1:20" x14ac:dyDescent="0.25">
      <c r="A7816" t="s">
        <v>30</v>
      </c>
      <c r="B7816" t="s">
        <v>31</v>
      </c>
      <c r="C7816" t="s">
        <v>32</v>
      </c>
      <c r="D7816" t="s">
        <v>953</v>
      </c>
      <c r="E7816" t="s">
        <v>968</v>
      </c>
      <c r="F7816" t="s">
        <v>35</v>
      </c>
      <c r="G7816" t="s">
        <v>35</v>
      </c>
      <c r="H7816" t="s">
        <v>35</v>
      </c>
      <c r="J7816" t="s">
        <v>7018</v>
      </c>
      <c r="K7816" t="s">
        <v>1092</v>
      </c>
      <c r="M7816">
        <v>1.575</v>
      </c>
      <c r="N7816">
        <v>42</v>
      </c>
      <c r="O7816" t="s">
        <v>52</v>
      </c>
      <c r="Q7816" t="s">
        <v>219</v>
      </c>
      <c r="R7816" t="s">
        <v>133</v>
      </c>
      <c r="S7816" t="s">
        <v>134</v>
      </c>
      <c r="T7816" t="s">
        <v>135</v>
      </c>
    </row>
    <row r="7817" spans="1:20" x14ac:dyDescent="0.25">
      <c r="A7817" t="s">
        <v>59</v>
      </c>
      <c r="B7817" t="s">
        <v>60</v>
      </c>
      <c r="C7817" t="s">
        <v>32</v>
      </c>
      <c r="D7817" t="s">
        <v>953</v>
      </c>
      <c r="E7817" t="s">
        <v>968</v>
      </c>
      <c r="F7817" t="s">
        <v>35</v>
      </c>
      <c r="G7817" t="s">
        <v>35</v>
      </c>
      <c r="H7817" t="s">
        <v>35</v>
      </c>
      <c r="J7817" t="s">
        <v>7018</v>
      </c>
      <c r="K7817" t="s">
        <v>1092</v>
      </c>
      <c r="M7817">
        <v>0.25</v>
      </c>
      <c r="N7817">
        <v>42</v>
      </c>
      <c r="O7817" t="s">
        <v>52</v>
      </c>
      <c r="Q7817" t="s">
        <v>219</v>
      </c>
      <c r="R7817" t="s">
        <v>133</v>
      </c>
      <c r="S7817" t="s">
        <v>134</v>
      </c>
      <c r="T7817" t="s">
        <v>135</v>
      </c>
    </row>
    <row r="7818" spans="1:20" x14ac:dyDescent="0.25">
      <c r="A7818" t="s">
        <v>59</v>
      </c>
      <c r="B7818" t="s">
        <v>31</v>
      </c>
      <c r="C7818" t="s">
        <v>32</v>
      </c>
      <c r="D7818" t="s">
        <v>953</v>
      </c>
      <c r="E7818" t="s">
        <v>968</v>
      </c>
      <c r="F7818" t="s">
        <v>35</v>
      </c>
      <c r="G7818" t="s">
        <v>35</v>
      </c>
      <c r="H7818" t="s">
        <v>35</v>
      </c>
      <c r="J7818" t="s">
        <v>7018</v>
      </c>
      <c r="K7818" t="s">
        <v>1092</v>
      </c>
      <c r="M7818">
        <v>4.1849999999999996</v>
      </c>
      <c r="N7818">
        <v>136</v>
      </c>
      <c r="O7818" t="s">
        <v>38</v>
      </c>
      <c r="Q7818" t="s">
        <v>2121</v>
      </c>
      <c r="R7818" t="s">
        <v>133</v>
      </c>
      <c r="S7818" t="s">
        <v>134</v>
      </c>
      <c r="T7818" t="s">
        <v>135</v>
      </c>
    </row>
    <row r="7819" spans="1:20" x14ac:dyDescent="0.25">
      <c r="A7819" t="s">
        <v>30</v>
      </c>
      <c r="B7819" t="s">
        <v>31</v>
      </c>
      <c r="C7819" t="s">
        <v>32</v>
      </c>
      <c r="D7819" t="s">
        <v>953</v>
      </c>
      <c r="E7819" t="s">
        <v>968</v>
      </c>
      <c r="F7819" t="s">
        <v>35</v>
      </c>
      <c r="G7819" t="s">
        <v>35</v>
      </c>
      <c r="H7819" t="s">
        <v>35</v>
      </c>
      <c r="J7819" t="s">
        <v>7018</v>
      </c>
      <c r="K7819" t="s">
        <v>1092</v>
      </c>
      <c r="M7819">
        <v>1.05</v>
      </c>
      <c r="N7819">
        <v>250</v>
      </c>
      <c r="O7819" t="s">
        <v>5</v>
      </c>
      <c r="Q7819" t="s">
        <v>1286</v>
      </c>
      <c r="R7819" t="s">
        <v>133</v>
      </c>
      <c r="S7819" t="s">
        <v>134</v>
      </c>
      <c r="T7819" t="s">
        <v>135</v>
      </c>
    </row>
    <row r="7820" spans="1:20" x14ac:dyDescent="0.25">
      <c r="A7820" t="s">
        <v>30</v>
      </c>
      <c r="B7820" t="s">
        <v>31</v>
      </c>
      <c r="C7820" t="s">
        <v>32</v>
      </c>
      <c r="D7820" t="s">
        <v>953</v>
      </c>
      <c r="E7820" t="s">
        <v>968</v>
      </c>
      <c r="F7820" t="s">
        <v>35</v>
      </c>
      <c r="G7820" t="s">
        <v>35</v>
      </c>
      <c r="H7820" t="s">
        <v>35</v>
      </c>
      <c r="J7820" t="s">
        <v>7018</v>
      </c>
      <c r="K7820" t="s">
        <v>1092</v>
      </c>
      <c r="M7820">
        <v>6.3</v>
      </c>
      <c r="N7820">
        <v>223</v>
      </c>
      <c r="O7820" t="s">
        <v>5</v>
      </c>
      <c r="Q7820" t="s">
        <v>1544</v>
      </c>
      <c r="R7820" t="s">
        <v>133</v>
      </c>
      <c r="S7820" t="s">
        <v>134</v>
      </c>
      <c r="T7820" t="s">
        <v>135</v>
      </c>
    </row>
    <row r="7821" spans="1:20" x14ac:dyDescent="0.25">
      <c r="A7821" t="s">
        <v>59</v>
      </c>
      <c r="B7821" t="s">
        <v>60</v>
      </c>
      <c r="C7821" t="s">
        <v>32</v>
      </c>
      <c r="D7821" t="s">
        <v>953</v>
      </c>
      <c r="E7821" t="s">
        <v>954</v>
      </c>
      <c r="F7821" t="s">
        <v>35</v>
      </c>
      <c r="G7821" t="s">
        <v>35</v>
      </c>
      <c r="H7821" t="s">
        <v>35</v>
      </c>
      <c r="J7821" t="s">
        <v>6771</v>
      </c>
      <c r="K7821" t="s">
        <v>1092</v>
      </c>
      <c r="M7821">
        <v>2.5</v>
      </c>
      <c r="N7821">
        <v>6</v>
      </c>
      <c r="O7821" t="s">
        <v>46</v>
      </c>
      <c r="Q7821" t="s">
        <v>310</v>
      </c>
      <c r="R7821" t="s">
        <v>133</v>
      </c>
      <c r="S7821" t="s">
        <v>134</v>
      </c>
      <c r="T7821" t="s">
        <v>135</v>
      </c>
    </row>
    <row r="7822" spans="1:20" x14ac:dyDescent="0.25">
      <c r="A7822" t="s">
        <v>44</v>
      </c>
      <c r="B7822" t="s">
        <v>51</v>
      </c>
      <c r="C7822" t="s">
        <v>32</v>
      </c>
      <c r="D7822" t="s">
        <v>953</v>
      </c>
      <c r="E7822" t="s">
        <v>954</v>
      </c>
      <c r="F7822" t="s">
        <v>35</v>
      </c>
      <c r="G7822" t="s">
        <v>35</v>
      </c>
      <c r="H7822" t="s">
        <v>35</v>
      </c>
      <c r="J7822" t="s">
        <v>6771</v>
      </c>
      <c r="K7822" t="s">
        <v>1092</v>
      </c>
      <c r="M7822">
        <v>2.5</v>
      </c>
      <c r="N7822">
        <v>6</v>
      </c>
      <c r="O7822" t="s">
        <v>46</v>
      </c>
      <c r="Q7822" t="s">
        <v>310</v>
      </c>
      <c r="R7822" t="s">
        <v>133</v>
      </c>
      <c r="S7822" t="s">
        <v>134</v>
      </c>
      <c r="T7822" t="s">
        <v>135</v>
      </c>
    </row>
    <row r="7823" spans="1:20" x14ac:dyDescent="0.25">
      <c r="A7823" t="s">
        <v>59</v>
      </c>
      <c r="B7823" t="s">
        <v>60</v>
      </c>
      <c r="C7823" t="s">
        <v>32</v>
      </c>
      <c r="D7823" t="s">
        <v>953</v>
      </c>
      <c r="E7823" t="s">
        <v>980</v>
      </c>
      <c r="F7823" t="s">
        <v>35</v>
      </c>
      <c r="G7823" t="s">
        <v>35</v>
      </c>
      <c r="H7823" t="s">
        <v>35</v>
      </c>
      <c r="J7823" t="s">
        <v>7119</v>
      </c>
      <c r="K7823" t="s">
        <v>1092</v>
      </c>
      <c r="M7823">
        <v>0.25</v>
      </c>
      <c r="N7823">
        <v>714</v>
      </c>
      <c r="O7823" t="s">
        <v>575</v>
      </c>
      <c r="Q7823" t="s">
        <v>7120</v>
      </c>
      <c r="R7823" t="s">
        <v>133</v>
      </c>
      <c r="S7823" t="s">
        <v>134</v>
      </c>
      <c r="T7823" t="s">
        <v>135</v>
      </c>
    </row>
    <row r="7824" spans="1:20" x14ac:dyDescent="0.25">
      <c r="A7824" t="s">
        <v>59</v>
      </c>
      <c r="B7824" t="s">
        <v>31</v>
      </c>
      <c r="C7824" t="s">
        <v>32</v>
      </c>
      <c r="D7824" t="s">
        <v>953</v>
      </c>
      <c r="F7824" t="s">
        <v>35</v>
      </c>
      <c r="G7824" t="s">
        <v>35</v>
      </c>
      <c r="H7824" t="s">
        <v>35</v>
      </c>
      <c r="J7824" t="s">
        <v>6772</v>
      </c>
      <c r="K7824" t="s">
        <v>1092</v>
      </c>
      <c r="M7824">
        <v>0.36499999999999999</v>
      </c>
      <c r="N7824">
        <v>1420</v>
      </c>
      <c r="O7824" t="s">
        <v>575</v>
      </c>
      <c r="Q7824" t="s">
        <v>7893</v>
      </c>
      <c r="R7824" t="s">
        <v>133</v>
      </c>
      <c r="S7824" t="s">
        <v>134</v>
      </c>
      <c r="T7824" t="s">
        <v>135</v>
      </c>
    </row>
    <row r="7825" spans="1:20" x14ac:dyDescent="0.25">
      <c r="A7825" t="s">
        <v>59</v>
      </c>
      <c r="B7825" t="s">
        <v>60</v>
      </c>
      <c r="C7825" t="s">
        <v>32</v>
      </c>
      <c r="D7825" t="s">
        <v>953</v>
      </c>
      <c r="F7825" t="s">
        <v>35</v>
      </c>
      <c r="G7825" t="s">
        <v>35</v>
      </c>
      <c r="H7825" t="s">
        <v>35</v>
      </c>
      <c r="J7825" t="s">
        <v>6772</v>
      </c>
      <c r="K7825" t="s">
        <v>1092</v>
      </c>
      <c r="M7825">
        <v>5.85</v>
      </c>
      <c r="N7825">
        <v>1420</v>
      </c>
      <c r="O7825" t="s">
        <v>575</v>
      </c>
      <c r="Q7825" t="s">
        <v>7893</v>
      </c>
      <c r="R7825" t="s">
        <v>133</v>
      </c>
      <c r="S7825" t="s">
        <v>134</v>
      </c>
      <c r="T7825" t="s">
        <v>135</v>
      </c>
    </row>
    <row r="7826" spans="1:20" x14ac:dyDescent="0.25">
      <c r="A7826" t="s">
        <v>30</v>
      </c>
      <c r="B7826" t="s">
        <v>31</v>
      </c>
      <c r="C7826" t="s">
        <v>32</v>
      </c>
      <c r="D7826" t="s">
        <v>953</v>
      </c>
      <c r="E7826" t="s">
        <v>1077</v>
      </c>
      <c r="F7826" t="s">
        <v>35</v>
      </c>
      <c r="G7826" t="s">
        <v>35</v>
      </c>
      <c r="H7826" t="s">
        <v>35</v>
      </c>
      <c r="J7826" t="s">
        <v>7718</v>
      </c>
      <c r="K7826" t="s">
        <v>1092</v>
      </c>
      <c r="M7826">
        <v>0.01</v>
      </c>
      <c r="N7826">
        <v>513</v>
      </c>
      <c r="O7826" t="s">
        <v>294</v>
      </c>
      <c r="Q7826" t="s">
        <v>2816</v>
      </c>
      <c r="R7826" t="s">
        <v>133</v>
      </c>
      <c r="S7826" t="s">
        <v>134</v>
      </c>
      <c r="T7826" t="s">
        <v>135</v>
      </c>
    </row>
    <row r="7827" spans="1:20" x14ac:dyDescent="0.25">
      <c r="A7827" t="s">
        <v>30</v>
      </c>
      <c r="B7827" t="s">
        <v>31</v>
      </c>
      <c r="C7827" t="s">
        <v>32</v>
      </c>
      <c r="D7827" t="s">
        <v>953</v>
      </c>
      <c r="F7827" t="s">
        <v>35</v>
      </c>
      <c r="G7827" t="s">
        <v>35</v>
      </c>
      <c r="H7827" t="s">
        <v>35</v>
      </c>
      <c r="J7827" t="s">
        <v>8031</v>
      </c>
      <c r="K7827" t="s">
        <v>1092</v>
      </c>
      <c r="M7827">
        <v>1.17</v>
      </c>
      <c r="N7827">
        <v>1242</v>
      </c>
      <c r="O7827" t="s">
        <v>575</v>
      </c>
      <c r="Q7827" t="s">
        <v>3627</v>
      </c>
      <c r="R7827" t="s">
        <v>133</v>
      </c>
      <c r="S7827" t="s">
        <v>134</v>
      </c>
      <c r="T7827" t="s">
        <v>135</v>
      </c>
    </row>
    <row r="7828" spans="1:20" x14ac:dyDescent="0.25">
      <c r="A7828" t="s">
        <v>59</v>
      </c>
      <c r="B7828" t="s">
        <v>60</v>
      </c>
      <c r="C7828" t="s">
        <v>32</v>
      </c>
      <c r="D7828" t="s">
        <v>953</v>
      </c>
      <c r="E7828" t="s">
        <v>6878</v>
      </c>
      <c r="F7828" t="s">
        <v>35</v>
      </c>
      <c r="G7828" t="s">
        <v>35</v>
      </c>
      <c r="H7828" t="s">
        <v>35</v>
      </c>
      <c r="J7828" t="s">
        <v>6957</v>
      </c>
      <c r="K7828" t="s">
        <v>1092</v>
      </c>
      <c r="M7828">
        <v>2.5</v>
      </c>
      <c r="N7828">
        <v>83</v>
      </c>
      <c r="O7828" t="s">
        <v>61</v>
      </c>
      <c r="Q7828" t="s">
        <v>897</v>
      </c>
      <c r="R7828" t="s">
        <v>133</v>
      </c>
      <c r="S7828" t="s">
        <v>134</v>
      </c>
      <c r="T7828" t="s">
        <v>135</v>
      </c>
    </row>
    <row r="7829" spans="1:20" x14ac:dyDescent="0.25">
      <c r="A7829" t="s">
        <v>59</v>
      </c>
      <c r="B7829" t="s">
        <v>60</v>
      </c>
      <c r="C7829" t="s">
        <v>32</v>
      </c>
      <c r="D7829" t="s">
        <v>953</v>
      </c>
      <c r="E7829" t="s">
        <v>6878</v>
      </c>
      <c r="F7829" t="s">
        <v>35</v>
      </c>
      <c r="G7829" t="s">
        <v>35</v>
      </c>
      <c r="H7829" t="s">
        <v>35</v>
      </c>
      <c r="J7829" t="s">
        <v>6957</v>
      </c>
      <c r="K7829" t="s">
        <v>1092</v>
      </c>
      <c r="M7829">
        <v>2</v>
      </c>
      <c r="N7829">
        <v>241</v>
      </c>
      <c r="O7829" t="s">
        <v>5</v>
      </c>
      <c r="Q7829" t="s">
        <v>1154</v>
      </c>
      <c r="R7829" t="s">
        <v>133</v>
      </c>
      <c r="S7829" t="s">
        <v>134</v>
      </c>
      <c r="T7829" t="s">
        <v>135</v>
      </c>
    </row>
    <row r="7830" spans="1:20" x14ac:dyDescent="0.25">
      <c r="A7830" t="s">
        <v>44</v>
      </c>
      <c r="B7830" t="s">
        <v>3</v>
      </c>
      <c r="C7830" t="s">
        <v>32</v>
      </c>
      <c r="D7830" t="s">
        <v>953</v>
      </c>
      <c r="E7830" t="s">
        <v>7467</v>
      </c>
      <c r="F7830" t="s">
        <v>35</v>
      </c>
      <c r="G7830" t="s">
        <v>35</v>
      </c>
      <c r="H7830" t="s">
        <v>35</v>
      </c>
      <c r="J7830" t="s">
        <v>7487</v>
      </c>
      <c r="K7830" t="s">
        <v>1092</v>
      </c>
      <c r="M7830">
        <v>0.25</v>
      </c>
      <c r="N7830">
        <v>486</v>
      </c>
      <c r="O7830" t="s">
        <v>294</v>
      </c>
      <c r="Q7830" t="s">
        <v>1107</v>
      </c>
      <c r="R7830" t="s">
        <v>133</v>
      </c>
      <c r="S7830" t="s">
        <v>134</v>
      </c>
      <c r="T7830" t="s">
        <v>135</v>
      </c>
    </row>
    <row r="7831" spans="1:20" x14ac:dyDescent="0.25">
      <c r="A7831" t="s">
        <v>44</v>
      </c>
      <c r="B7831" t="s">
        <v>51</v>
      </c>
      <c r="C7831" t="s">
        <v>32</v>
      </c>
      <c r="D7831" t="s">
        <v>953</v>
      </c>
      <c r="E7831" t="s">
        <v>7467</v>
      </c>
      <c r="F7831" t="s">
        <v>35</v>
      </c>
      <c r="G7831" t="s">
        <v>35</v>
      </c>
      <c r="H7831" t="s">
        <v>35</v>
      </c>
      <c r="J7831" t="s">
        <v>7487</v>
      </c>
      <c r="K7831" t="s">
        <v>1092</v>
      </c>
      <c r="M7831">
        <v>0.5</v>
      </c>
      <c r="N7831">
        <v>486</v>
      </c>
      <c r="O7831" t="s">
        <v>294</v>
      </c>
      <c r="Q7831" t="s">
        <v>1107</v>
      </c>
      <c r="R7831" t="s">
        <v>133</v>
      </c>
      <c r="S7831" t="s">
        <v>134</v>
      </c>
      <c r="T7831" t="s">
        <v>135</v>
      </c>
    </row>
    <row r="7832" spans="1:20" x14ac:dyDescent="0.25">
      <c r="A7832" t="s">
        <v>30</v>
      </c>
      <c r="B7832" t="s">
        <v>31</v>
      </c>
      <c r="C7832" t="s">
        <v>32</v>
      </c>
      <c r="D7832" t="s">
        <v>953</v>
      </c>
      <c r="E7832" t="s">
        <v>7467</v>
      </c>
      <c r="F7832" t="s">
        <v>35</v>
      </c>
      <c r="G7832" t="s">
        <v>35</v>
      </c>
      <c r="H7832" t="s">
        <v>35</v>
      </c>
      <c r="J7832" t="s">
        <v>7487</v>
      </c>
      <c r="K7832" t="s">
        <v>1092</v>
      </c>
      <c r="M7832">
        <v>4.32</v>
      </c>
      <c r="N7832">
        <v>13</v>
      </c>
      <c r="O7832" t="s">
        <v>46</v>
      </c>
      <c r="Q7832" t="s">
        <v>1004</v>
      </c>
      <c r="R7832" t="s">
        <v>133</v>
      </c>
      <c r="S7832" t="s">
        <v>134</v>
      </c>
      <c r="T7832" t="s">
        <v>135</v>
      </c>
    </row>
    <row r="7833" spans="1:20" x14ac:dyDescent="0.25">
      <c r="A7833" t="s">
        <v>59</v>
      </c>
      <c r="B7833" t="s">
        <v>31</v>
      </c>
      <c r="C7833" t="s">
        <v>32</v>
      </c>
      <c r="D7833" t="s">
        <v>953</v>
      </c>
      <c r="E7833" t="s">
        <v>7467</v>
      </c>
      <c r="F7833" t="s">
        <v>35</v>
      </c>
      <c r="G7833" t="s">
        <v>35</v>
      </c>
      <c r="H7833" t="s">
        <v>35</v>
      </c>
      <c r="J7833" t="s">
        <v>7487</v>
      </c>
      <c r="K7833" t="s">
        <v>1092</v>
      </c>
      <c r="M7833">
        <v>0.495</v>
      </c>
      <c r="N7833">
        <v>430</v>
      </c>
      <c r="O7833" t="s">
        <v>294</v>
      </c>
      <c r="Q7833" t="s">
        <v>7363</v>
      </c>
      <c r="R7833" t="s">
        <v>133</v>
      </c>
      <c r="S7833" t="s">
        <v>134</v>
      </c>
      <c r="T7833" t="s">
        <v>135</v>
      </c>
    </row>
    <row r="7834" spans="1:20" x14ac:dyDescent="0.25">
      <c r="A7834" t="s">
        <v>59</v>
      </c>
      <c r="B7834" t="s">
        <v>60</v>
      </c>
      <c r="C7834" t="s">
        <v>32</v>
      </c>
      <c r="D7834" t="s">
        <v>953</v>
      </c>
      <c r="E7834" t="s">
        <v>7467</v>
      </c>
      <c r="F7834" t="s">
        <v>35</v>
      </c>
      <c r="G7834" t="s">
        <v>35</v>
      </c>
      <c r="H7834" t="s">
        <v>35</v>
      </c>
      <c r="J7834" t="s">
        <v>7487</v>
      </c>
      <c r="K7834" t="s">
        <v>1092</v>
      </c>
      <c r="M7834">
        <v>0.2</v>
      </c>
      <c r="N7834">
        <v>390</v>
      </c>
      <c r="O7834" t="s">
        <v>294</v>
      </c>
      <c r="Q7834" t="s">
        <v>1808</v>
      </c>
      <c r="R7834" t="s">
        <v>133</v>
      </c>
      <c r="S7834" t="s">
        <v>134</v>
      </c>
      <c r="T7834" t="s">
        <v>135</v>
      </c>
    </row>
    <row r="7835" spans="1:20" x14ac:dyDescent="0.25">
      <c r="A7835" t="s">
        <v>44</v>
      </c>
      <c r="B7835" t="s">
        <v>3</v>
      </c>
      <c r="C7835" t="s">
        <v>32</v>
      </c>
      <c r="D7835" t="s">
        <v>953</v>
      </c>
      <c r="E7835" t="s">
        <v>980</v>
      </c>
      <c r="F7835" t="s">
        <v>35</v>
      </c>
      <c r="G7835" t="s">
        <v>35</v>
      </c>
      <c r="H7835" t="s">
        <v>35</v>
      </c>
      <c r="J7835" t="s">
        <v>7126</v>
      </c>
      <c r="K7835" t="s">
        <v>1092</v>
      </c>
      <c r="M7835">
        <v>4.5999999999999996</v>
      </c>
      <c r="N7835">
        <v>56</v>
      </c>
      <c r="O7835" t="s">
        <v>52</v>
      </c>
      <c r="Q7835" t="s">
        <v>423</v>
      </c>
      <c r="R7835" t="s">
        <v>133</v>
      </c>
      <c r="S7835" t="s">
        <v>134</v>
      </c>
      <c r="T7835" t="s">
        <v>135</v>
      </c>
    </row>
    <row r="7836" spans="1:20" x14ac:dyDescent="0.25">
      <c r="A7836" t="s">
        <v>59</v>
      </c>
      <c r="B7836" t="s">
        <v>60</v>
      </c>
      <c r="C7836" t="s">
        <v>32</v>
      </c>
      <c r="D7836" t="s">
        <v>953</v>
      </c>
      <c r="E7836" t="s">
        <v>1077</v>
      </c>
      <c r="F7836" t="s">
        <v>35</v>
      </c>
      <c r="G7836" t="s">
        <v>35</v>
      </c>
      <c r="H7836" t="s">
        <v>35</v>
      </c>
      <c r="J7836" t="s">
        <v>7702</v>
      </c>
      <c r="K7836" t="s">
        <v>404</v>
      </c>
      <c r="M7836">
        <v>2.5499999999999998</v>
      </c>
      <c r="N7836">
        <v>446</v>
      </c>
      <c r="O7836" t="s">
        <v>294</v>
      </c>
      <c r="Q7836" t="s">
        <v>6465</v>
      </c>
      <c r="R7836" t="s">
        <v>133</v>
      </c>
      <c r="S7836" t="s">
        <v>134</v>
      </c>
      <c r="T7836" t="s">
        <v>135</v>
      </c>
    </row>
    <row r="7837" spans="1:20" x14ac:dyDescent="0.25">
      <c r="A7837" t="s">
        <v>59</v>
      </c>
      <c r="B7837" t="s">
        <v>60</v>
      </c>
      <c r="C7837" t="s">
        <v>32</v>
      </c>
      <c r="D7837" t="s">
        <v>953</v>
      </c>
      <c r="E7837" t="s">
        <v>7558</v>
      </c>
      <c r="F7837" t="s">
        <v>35</v>
      </c>
      <c r="G7837" t="s">
        <v>35</v>
      </c>
      <c r="H7837" t="s">
        <v>35</v>
      </c>
      <c r="J7837" t="s">
        <v>7610</v>
      </c>
      <c r="K7837" t="s">
        <v>404</v>
      </c>
      <c r="M7837">
        <v>7.15</v>
      </c>
      <c r="N7837">
        <v>35</v>
      </c>
      <c r="O7837" t="s">
        <v>52</v>
      </c>
      <c r="Q7837" t="s">
        <v>991</v>
      </c>
      <c r="R7837" t="s">
        <v>133</v>
      </c>
      <c r="S7837" t="s">
        <v>134</v>
      </c>
      <c r="T7837" t="s">
        <v>135</v>
      </c>
    </row>
    <row r="7838" spans="1:20" x14ac:dyDescent="0.25">
      <c r="A7838" t="s">
        <v>59</v>
      </c>
      <c r="B7838" t="s">
        <v>60</v>
      </c>
      <c r="C7838" t="s">
        <v>32</v>
      </c>
      <c r="D7838" t="s">
        <v>953</v>
      </c>
      <c r="E7838" t="s">
        <v>7558</v>
      </c>
      <c r="F7838" t="s">
        <v>35</v>
      </c>
      <c r="G7838" t="s">
        <v>35</v>
      </c>
      <c r="H7838" t="s">
        <v>35</v>
      </c>
      <c r="J7838" t="s">
        <v>7609</v>
      </c>
      <c r="K7838" t="s">
        <v>404</v>
      </c>
      <c r="M7838">
        <v>9.09</v>
      </c>
      <c r="N7838">
        <v>35</v>
      </c>
      <c r="O7838" t="s">
        <v>52</v>
      </c>
      <c r="Q7838" t="s">
        <v>991</v>
      </c>
      <c r="R7838" t="s">
        <v>133</v>
      </c>
      <c r="S7838" t="s">
        <v>134</v>
      </c>
      <c r="T7838" t="s">
        <v>135</v>
      </c>
    </row>
    <row r="7839" spans="1:20" x14ac:dyDescent="0.25">
      <c r="A7839" t="s">
        <v>59</v>
      </c>
      <c r="B7839" t="s">
        <v>31</v>
      </c>
      <c r="C7839" t="s">
        <v>32</v>
      </c>
      <c r="D7839" t="s">
        <v>953</v>
      </c>
      <c r="E7839" t="s">
        <v>1072</v>
      </c>
      <c r="F7839" t="s">
        <v>35</v>
      </c>
      <c r="G7839" t="s">
        <v>35</v>
      </c>
      <c r="H7839" t="s">
        <v>35</v>
      </c>
      <c r="J7839" t="s">
        <v>7553</v>
      </c>
      <c r="K7839" t="s">
        <v>1092</v>
      </c>
      <c r="M7839">
        <v>3.69</v>
      </c>
      <c r="N7839">
        <v>52</v>
      </c>
      <c r="O7839" t="s">
        <v>52</v>
      </c>
      <c r="Q7839" t="s">
        <v>84</v>
      </c>
      <c r="R7839" t="s">
        <v>133</v>
      </c>
      <c r="S7839" t="s">
        <v>134</v>
      </c>
      <c r="T7839" t="s">
        <v>135</v>
      </c>
    </row>
    <row r="7840" spans="1:20" x14ac:dyDescent="0.25">
      <c r="A7840" t="s">
        <v>59</v>
      </c>
      <c r="B7840" t="s">
        <v>60</v>
      </c>
      <c r="C7840" t="s">
        <v>32</v>
      </c>
      <c r="D7840" t="s">
        <v>953</v>
      </c>
      <c r="E7840" t="s">
        <v>6878</v>
      </c>
      <c r="F7840" t="s">
        <v>35</v>
      </c>
      <c r="G7840" t="s">
        <v>35</v>
      </c>
      <c r="H7840" t="s">
        <v>35</v>
      </c>
      <c r="J7840" t="s">
        <v>6930</v>
      </c>
      <c r="K7840" t="s">
        <v>1092</v>
      </c>
      <c r="M7840">
        <v>0.45</v>
      </c>
      <c r="N7840">
        <v>243</v>
      </c>
      <c r="O7840" t="s">
        <v>5</v>
      </c>
      <c r="Q7840" t="s">
        <v>3296</v>
      </c>
      <c r="R7840" t="s">
        <v>133</v>
      </c>
      <c r="S7840" t="s">
        <v>134</v>
      </c>
      <c r="T7840" t="s">
        <v>135</v>
      </c>
    </row>
    <row r="7841" spans="1:20" x14ac:dyDescent="0.25">
      <c r="A7841" t="s">
        <v>59</v>
      </c>
      <c r="B7841" t="s">
        <v>31</v>
      </c>
      <c r="C7841" t="s">
        <v>32</v>
      </c>
      <c r="D7841" t="s">
        <v>953</v>
      </c>
      <c r="E7841" t="s">
        <v>968</v>
      </c>
      <c r="F7841" t="s">
        <v>35</v>
      </c>
      <c r="G7841" t="s">
        <v>35</v>
      </c>
      <c r="H7841" t="s">
        <v>35</v>
      </c>
      <c r="J7841" t="s">
        <v>7019</v>
      </c>
      <c r="K7841" t="s">
        <v>1092</v>
      </c>
      <c r="M7841">
        <v>2.25</v>
      </c>
      <c r="N7841">
        <v>459</v>
      </c>
      <c r="O7841" t="s">
        <v>294</v>
      </c>
      <c r="Q7841" t="s">
        <v>1114</v>
      </c>
      <c r="R7841" t="s">
        <v>133</v>
      </c>
      <c r="S7841" t="s">
        <v>134</v>
      </c>
      <c r="T7841" t="s">
        <v>135</v>
      </c>
    </row>
    <row r="7842" spans="1:20" x14ac:dyDescent="0.25">
      <c r="A7842" t="s">
        <v>59</v>
      </c>
      <c r="B7842" t="s">
        <v>31</v>
      </c>
      <c r="C7842" t="s">
        <v>32</v>
      </c>
      <c r="D7842" t="s">
        <v>953</v>
      </c>
      <c r="F7842" t="s">
        <v>35</v>
      </c>
      <c r="G7842" t="s">
        <v>35</v>
      </c>
      <c r="H7842" t="s">
        <v>35</v>
      </c>
      <c r="J7842" t="s">
        <v>7984</v>
      </c>
      <c r="K7842" t="s">
        <v>1092</v>
      </c>
      <c r="M7842">
        <v>7.6150000000000002</v>
      </c>
      <c r="N7842">
        <v>346</v>
      </c>
      <c r="O7842" t="s">
        <v>5</v>
      </c>
      <c r="Q7842" t="s">
        <v>1126</v>
      </c>
      <c r="R7842" t="s">
        <v>133</v>
      </c>
      <c r="S7842" t="s">
        <v>134</v>
      </c>
      <c r="T7842" t="s">
        <v>135</v>
      </c>
    </row>
    <row r="7843" spans="1:20" x14ac:dyDescent="0.25">
      <c r="A7843" t="s">
        <v>30</v>
      </c>
      <c r="B7843" t="s">
        <v>31</v>
      </c>
      <c r="C7843" t="s">
        <v>32</v>
      </c>
      <c r="D7843" t="s">
        <v>953</v>
      </c>
      <c r="F7843" t="s">
        <v>35</v>
      </c>
      <c r="G7843" t="s">
        <v>35</v>
      </c>
      <c r="H7843" t="s">
        <v>35</v>
      </c>
      <c r="J7843" t="s">
        <v>7984</v>
      </c>
      <c r="K7843" t="s">
        <v>1092</v>
      </c>
      <c r="M7843">
        <v>4.13</v>
      </c>
      <c r="N7843">
        <v>346</v>
      </c>
      <c r="O7843" t="s">
        <v>5</v>
      </c>
      <c r="Q7843" t="s">
        <v>1126</v>
      </c>
      <c r="R7843" t="s">
        <v>133</v>
      </c>
      <c r="S7843" t="s">
        <v>134</v>
      </c>
      <c r="T7843" t="s">
        <v>135</v>
      </c>
    </row>
    <row r="7844" spans="1:20" x14ac:dyDescent="0.25">
      <c r="A7844" t="s">
        <v>30</v>
      </c>
      <c r="B7844" t="s">
        <v>31</v>
      </c>
      <c r="C7844" t="s">
        <v>32</v>
      </c>
      <c r="D7844" t="s">
        <v>953</v>
      </c>
      <c r="E7844" t="s">
        <v>1084</v>
      </c>
      <c r="F7844" t="s">
        <v>35</v>
      </c>
      <c r="G7844" t="s">
        <v>35</v>
      </c>
      <c r="H7844" t="s">
        <v>35</v>
      </c>
      <c r="J7844" t="s">
        <v>7824</v>
      </c>
      <c r="K7844" t="s">
        <v>1092</v>
      </c>
      <c r="M7844">
        <v>9.99</v>
      </c>
      <c r="N7844">
        <v>13</v>
      </c>
      <c r="O7844" t="s">
        <v>46</v>
      </c>
      <c r="Q7844" t="s">
        <v>1004</v>
      </c>
      <c r="R7844" t="s">
        <v>133</v>
      </c>
      <c r="S7844" t="s">
        <v>134</v>
      </c>
      <c r="T7844" t="s">
        <v>135</v>
      </c>
    </row>
    <row r="7845" spans="1:20" x14ac:dyDescent="0.25">
      <c r="A7845" t="s">
        <v>59</v>
      </c>
      <c r="B7845" t="s">
        <v>31</v>
      </c>
      <c r="C7845" t="s">
        <v>32</v>
      </c>
      <c r="D7845" t="s">
        <v>953</v>
      </c>
      <c r="E7845" t="s">
        <v>6878</v>
      </c>
      <c r="F7845" t="s">
        <v>35</v>
      </c>
      <c r="G7845" t="s">
        <v>35</v>
      </c>
      <c r="H7845" t="s">
        <v>35</v>
      </c>
      <c r="J7845" t="s">
        <v>6952</v>
      </c>
      <c r="K7845" t="s">
        <v>1092</v>
      </c>
      <c r="M7845">
        <v>1.35</v>
      </c>
      <c r="N7845">
        <v>629</v>
      </c>
      <c r="O7845" t="s">
        <v>575</v>
      </c>
      <c r="Q7845" t="s">
        <v>6953</v>
      </c>
      <c r="R7845" t="s">
        <v>133</v>
      </c>
      <c r="S7845" t="s">
        <v>134</v>
      </c>
      <c r="T7845" t="s">
        <v>135</v>
      </c>
    </row>
    <row r="7846" spans="1:20" x14ac:dyDescent="0.25">
      <c r="A7846" t="s">
        <v>59</v>
      </c>
      <c r="B7846" t="s">
        <v>31</v>
      </c>
      <c r="C7846" t="s">
        <v>32</v>
      </c>
      <c r="D7846" t="s">
        <v>953</v>
      </c>
      <c r="E7846" t="s">
        <v>1072</v>
      </c>
      <c r="F7846" t="s">
        <v>35</v>
      </c>
      <c r="G7846" t="s">
        <v>35</v>
      </c>
      <c r="H7846" t="s">
        <v>35</v>
      </c>
      <c r="J7846" t="s">
        <v>7535</v>
      </c>
      <c r="K7846" t="s">
        <v>1092</v>
      </c>
      <c r="M7846">
        <v>0.36</v>
      </c>
      <c r="N7846">
        <v>231</v>
      </c>
      <c r="O7846" t="s">
        <v>5</v>
      </c>
      <c r="Q7846" t="s">
        <v>933</v>
      </c>
      <c r="R7846" t="s">
        <v>133</v>
      </c>
      <c r="S7846" t="s">
        <v>134</v>
      </c>
      <c r="T7846" t="s">
        <v>135</v>
      </c>
    </row>
    <row r="7847" spans="1:20" x14ac:dyDescent="0.25">
      <c r="A7847" t="s">
        <v>59</v>
      </c>
      <c r="B7847" t="s">
        <v>60</v>
      </c>
      <c r="C7847" t="s">
        <v>32</v>
      </c>
      <c r="D7847" t="s">
        <v>953</v>
      </c>
      <c r="E7847" t="s">
        <v>7558</v>
      </c>
      <c r="F7847" t="s">
        <v>35</v>
      </c>
      <c r="G7847" t="s">
        <v>35</v>
      </c>
      <c r="H7847" t="s">
        <v>35</v>
      </c>
      <c r="J7847" t="s">
        <v>7586</v>
      </c>
      <c r="K7847" t="s">
        <v>1092</v>
      </c>
      <c r="M7847">
        <v>0.04</v>
      </c>
      <c r="N7847">
        <v>633</v>
      </c>
      <c r="O7847" t="s">
        <v>575</v>
      </c>
      <c r="Q7847" t="s">
        <v>7587</v>
      </c>
      <c r="R7847" t="s">
        <v>133</v>
      </c>
      <c r="S7847" t="s">
        <v>134</v>
      </c>
      <c r="T7847" t="s">
        <v>135</v>
      </c>
    </row>
    <row r="7848" spans="1:20" x14ac:dyDescent="0.25">
      <c r="A7848" t="s">
        <v>59</v>
      </c>
      <c r="B7848" t="s">
        <v>60</v>
      </c>
      <c r="C7848" t="s">
        <v>32</v>
      </c>
      <c r="D7848" t="s">
        <v>953</v>
      </c>
      <c r="E7848" t="s">
        <v>968</v>
      </c>
      <c r="F7848" t="s">
        <v>35</v>
      </c>
      <c r="G7848" t="s">
        <v>35</v>
      </c>
      <c r="H7848" t="s">
        <v>35</v>
      </c>
      <c r="J7848" t="s">
        <v>7041</v>
      </c>
      <c r="K7848" t="s">
        <v>1092</v>
      </c>
      <c r="M7848">
        <v>0.5</v>
      </c>
      <c r="N7848">
        <v>42</v>
      </c>
      <c r="O7848" t="s">
        <v>52</v>
      </c>
      <c r="Q7848" t="s">
        <v>219</v>
      </c>
      <c r="R7848" t="s">
        <v>133</v>
      </c>
      <c r="S7848" t="s">
        <v>134</v>
      </c>
      <c r="T7848" t="s">
        <v>135</v>
      </c>
    </row>
    <row r="7849" spans="1:20" x14ac:dyDescent="0.25">
      <c r="A7849" t="s">
        <v>30</v>
      </c>
      <c r="B7849" t="s">
        <v>31</v>
      </c>
      <c r="C7849" t="s">
        <v>32</v>
      </c>
      <c r="D7849" t="s">
        <v>953</v>
      </c>
      <c r="F7849" t="s">
        <v>35</v>
      </c>
      <c r="G7849" t="s">
        <v>35</v>
      </c>
      <c r="H7849" t="s">
        <v>35</v>
      </c>
      <c r="J7849" t="s">
        <v>8081</v>
      </c>
      <c r="K7849" t="s">
        <v>1092</v>
      </c>
      <c r="M7849">
        <v>0.04</v>
      </c>
      <c r="N7849">
        <v>2656</v>
      </c>
      <c r="O7849" t="s">
        <v>575</v>
      </c>
      <c r="Q7849" t="s">
        <v>2222</v>
      </c>
      <c r="R7849" t="s">
        <v>133</v>
      </c>
      <c r="S7849" t="s">
        <v>134</v>
      </c>
      <c r="T7849" t="s">
        <v>135</v>
      </c>
    </row>
    <row r="7850" spans="1:20" x14ac:dyDescent="0.25">
      <c r="A7850" t="s">
        <v>59</v>
      </c>
      <c r="B7850" t="s">
        <v>60</v>
      </c>
      <c r="C7850" t="s">
        <v>32</v>
      </c>
      <c r="D7850" t="s">
        <v>953</v>
      </c>
      <c r="E7850" t="s">
        <v>1084</v>
      </c>
      <c r="F7850" t="s">
        <v>35</v>
      </c>
      <c r="G7850" t="s">
        <v>35</v>
      </c>
      <c r="H7850" t="s">
        <v>35</v>
      </c>
      <c r="J7850" t="s">
        <v>7805</v>
      </c>
      <c r="K7850" t="s">
        <v>1092</v>
      </c>
      <c r="M7850">
        <v>0.15</v>
      </c>
      <c r="N7850">
        <v>84</v>
      </c>
      <c r="O7850" t="s">
        <v>61</v>
      </c>
      <c r="Q7850" t="s">
        <v>1147</v>
      </c>
      <c r="R7850" t="s">
        <v>133</v>
      </c>
      <c r="S7850" t="s">
        <v>134</v>
      </c>
      <c r="T7850" t="s">
        <v>135</v>
      </c>
    </row>
    <row r="7851" spans="1:20" x14ac:dyDescent="0.25">
      <c r="A7851" t="s">
        <v>59</v>
      </c>
      <c r="B7851" t="s">
        <v>60</v>
      </c>
      <c r="C7851" t="s">
        <v>32</v>
      </c>
      <c r="D7851" t="s">
        <v>953</v>
      </c>
      <c r="E7851" t="s">
        <v>968</v>
      </c>
      <c r="F7851" t="s">
        <v>35</v>
      </c>
      <c r="G7851" t="s">
        <v>35</v>
      </c>
      <c r="H7851" t="s">
        <v>35</v>
      </c>
      <c r="J7851" t="s">
        <v>7054</v>
      </c>
      <c r="K7851" t="s">
        <v>1092</v>
      </c>
      <c r="M7851">
        <v>3.65</v>
      </c>
      <c r="N7851">
        <v>52</v>
      </c>
      <c r="O7851" t="s">
        <v>52</v>
      </c>
      <c r="Q7851" t="s">
        <v>84</v>
      </c>
      <c r="R7851" t="s">
        <v>133</v>
      </c>
      <c r="S7851" t="s">
        <v>134</v>
      </c>
      <c r="T7851" t="s">
        <v>135</v>
      </c>
    </row>
    <row r="7852" spans="1:20" x14ac:dyDescent="0.25">
      <c r="A7852" t="s">
        <v>30</v>
      </c>
      <c r="B7852" t="s">
        <v>31</v>
      </c>
      <c r="C7852" t="s">
        <v>32</v>
      </c>
      <c r="D7852" t="s">
        <v>953</v>
      </c>
      <c r="E7852" t="s">
        <v>968</v>
      </c>
      <c r="F7852" t="s">
        <v>35</v>
      </c>
      <c r="G7852" t="s">
        <v>35</v>
      </c>
      <c r="H7852" t="s">
        <v>35</v>
      </c>
      <c r="J7852" t="s">
        <v>7054</v>
      </c>
      <c r="K7852" t="s">
        <v>1092</v>
      </c>
      <c r="M7852">
        <v>5.13</v>
      </c>
      <c r="N7852">
        <v>205</v>
      </c>
      <c r="O7852" t="s">
        <v>5</v>
      </c>
      <c r="Q7852" t="s">
        <v>1711</v>
      </c>
      <c r="R7852" t="s">
        <v>133</v>
      </c>
      <c r="S7852" t="s">
        <v>134</v>
      </c>
      <c r="T7852" t="s">
        <v>135</v>
      </c>
    </row>
    <row r="7853" spans="1:20" x14ac:dyDescent="0.25">
      <c r="A7853" t="s">
        <v>44</v>
      </c>
      <c r="B7853" t="s">
        <v>3</v>
      </c>
      <c r="C7853" t="s">
        <v>32</v>
      </c>
      <c r="D7853" t="s">
        <v>953</v>
      </c>
      <c r="E7853" t="s">
        <v>968</v>
      </c>
      <c r="F7853" t="s">
        <v>35</v>
      </c>
      <c r="G7853" t="s">
        <v>35</v>
      </c>
      <c r="H7853" t="s">
        <v>35</v>
      </c>
      <c r="J7853" t="s">
        <v>7054</v>
      </c>
      <c r="K7853" t="s">
        <v>1092</v>
      </c>
      <c r="M7853">
        <v>1.35</v>
      </c>
      <c r="N7853">
        <v>58</v>
      </c>
      <c r="O7853" t="s">
        <v>52</v>
      </c>
      <c r="Q7853" t="s">
        <v>128</v>
      </c>
      <c r="R7853" t="s">
        <v>133</v>
      </c>
      <c r="S7853" t="s">
        <v>134</v>
      </c>
      <c r="T7853" t="s">
        <v>135</v>
      </c>
    </row>
    <row r="7854" spans="1:20" x14ac:dyDescent="0.25">
      <c r="A7854" t="s">
        <v>59</v>
      </c>
      <c r="B7854" t="s">
        <v>31</v>
      </c>
      <c r="C7854" t="s">
        <v>32</v>
      </c>
      <c r="D7854" t="s">
        <v>953</v>
      </c>
      <c r="E7854" t="s">
        <v>968</v>
      </c>
      <c r="F7854" t="s">
        <v>35</v>
      </c>
      <c r="G7854" t="s">
        <v>35</v>
      </c>
      <c r="H7854" t="s">
        <v>35</v>
      </c>
      <c r="J7854" t="s">
        <v>7054</v>
      </c>
      <c r="K7854" t="s">
        <v>1092</v>
      </c>
      <c r="M7854">
        <v>9.99</v>
      </c>
      <c r="N7854">
        <v>52</v>
      </c>
      <c r="O7854" t="s">
        <v>52</v>
      </c>
      <c r="Q7854" t="s">
        <v>84</v>
      </c>
      <c r="R7854" t="s">
        <v>133</v>
      </c>
      <c r="S7854" t="s">
        <v>134</v>
      </c>
      <c r="T7854" t="s">
        <v>135</v>
      </c>
    </row>
    <row r="7855" spans="1:20" x14ac:dyDescent="0.25">
      <c r="A7855" t="s">
        <v>59</v>
      </c>
      <c r="B7855" t="s">
        <v>31</v>
      </c>
      <c r="C7855" t="s">
        <v>32</v>
      </c>
      <c r="D7855" t="s">
        <v>953</v>
      </c>
      <c r="E7855" t="s">
        <v>968</v>
      </c>
      <c r="F7855" t="s">
        <v>35</v>
      </c>
      <c r="G7855" t="s">
        <v>35</v>
      </c>
      <c r="H7855" t="s">
        <v>35</v>
      </c>
      <c r="J7855" t="s">
        <v>7054</v>
      </c>
      <c r="K7855" t="s">
        <v>1092</v>
      </c>
      <c r="M7855">
        <v>3.06</v>
      </c>
      <c r="N7855">
        <v>355</v>
      </c>
      <c r="O7855" t="s">
        <v>5</v>
      </c>
      <c r="Q7855" t="s">
        <v>2408</v>
      </c>
      <c r="R7855" t="s">
        <v>133</v>
      </c>
      <c r="S7855" t="s">
        <v>134</v>
      </c>
      <c r="T7855" t="s">
        <v>135</v>
      </c>
    </row>
    <row r="7856" spans="1:20" x14ac:dyDescent="0.25">
      <c r="A7856" t="s">
        <v>59</v>
      </c>
      <c r="B7856" t="s">
        <v>60</v>
      </c>
      <c r="C7856" t="s">
        <v>32</v>
      </c>
      <c r="D7856" t="s">
        <v>953</v>
      </c>
      <c r="E7856" t="s">
        <v>968</v>
      </c>
      <c r="F7856" t="s">
        <v>35</v>
      </c>
      <c r="G7856" t="s">
        <v>35</v>
      </c>
      <c r="H7856" t="s">
        <v>35</v>
      </c>
      <c r="J7856" t="s">
        <v>7054</v>
      </c>
      <c r="K7856" t="s">
        <v>1092</v>
      </c>
      <c r="M7856">
        <v>5</v>
      </c>
      <c r="N7856">
        <v>35</v>
      </c>
      <c r="O7856" t="s">
        <v>52</v>
      </c>
      <c r="Q7856" t="s">
        <v>991</v>
      </c>
      <c r="R7856" t="s">
        <v>133</v>
      </c>
      <c r="S7856" t="s">
        <v>134</v>
      </c>
      <c r="T7856" t="s">
        <v>135</v>
      </c>
    </row>
    <row r="7857" spans="1:20" x14ac:dyDescent="0.25">
      <c r="A7857" t="s">
        <v>59</v>
      </c>
      <c r="B7857" t="s">
        <v>60</v>
      </c>
      <c r="C7857" t="s">
        <v>32</v>
      </c>
      <c r="D7857" t="s">
        <v>953</v>
      </c>
      <c r="E7857" t="s">
        <v>1015</v>
      </c>
      <c r="F7857" t="s">
        <v>35</v>
      </c>
      <c r="G7857" t="s">
        <v>35</v>
      </c>
      <c r="H7857" t="s">
        <v>35</v>
      </c>
      <c r="J7857" t="s">
        <v>7423</v>
      </c>
      <c r="K7857" t="s">
        <v>1092</v>
      </c>
      <c r="M7857">
        <v>1.5</v>
      </c>
      <c r="N7857">
        <v>242</v>
      </c>
      <c r="O7857" t="s">
        <v>5</v>
      </c>
      <c r="Q7857" t="s">
        <v>6137</v>
      </c>
      <c r="R7857" t="s">
        <v>133</v>
      </c>
      <c r="S7857" t="s">
        <v>134</v>
      </c>
      <c r="T7857" t="s">
        <v>135</v>
      </c>
    </row>
    <row r="7858" spans="1:20" x14ac:dyDescent="0.25">
      <c r="A7858" t="s">
        <v>59</v>
      </c>
      <c r="B7858" t="s">
        <v>60</v>
      </c>
      <c r="C7858" t="s">
        <v>32</v>
      </c>
      <c r="D7858" t="s">
        <v>953</v>
      </c>
      <c r="E7858" t="s">
        <v>7740</v>
      </c>
      <c r="F7858" t="s">
        <v>35</v>
      </c>
      <c r="G7858" t="s">
        <v>35</v>
      </c>
      <c r="H7858" t="s">
        <v>35</v>
      </c>
      <c r="J7858" t="s">
        <v>7757</v>
      </c>
      <c r="K7858" t="s">
        <v>1092</v>
      </c>
      <c r="M7858">
        <v>0.25</v>
      </c>
      <c r="N7858">
        <v>235</v>
      </c>
      <c r="O7858" t="s">
        <v>5</v>
      </c>
      <c r="Q7858" t="s">
        <v>2904</v>
      </c>
      <c r="R7858" t="s">
        <v>133</v>
      </c>
      <c r="S7858" t="s">
        <v>134</v>
      </c>
      <c r="T7858" t="s">
        <v>135</v>
      </c>
    </row>
    <row r="7859" spans="1:20" x14ac:dyDescent="0.25">
      <c r="A7859" t="s">
        <v>59</v>
      </c>
      <c r="B7859" t="s">
        <v>31</v>
      </c>
      <c r="C7859" t="s">
        <v>32</v>
      </c>
      <c r="D7859" t="s">
        <v>953</v>
      </c>
      <c r="E7859" t="s">
        <v>7740</v>
      </c>
      <c r="F7859" t="s">
        <v>35</v>
      </c>
      <c r="G7859" t="s">
        <v>35</v>
      </c>
      <c r="H7859" t="s">
        <v>35</v>
      </c>
      <c r="J7859" t="s">
        <v>7756</v>
      </c>
      <c r="K7859" t="s">
        <v>1092</v>
      </c>
      <c r="M7859">
        <v>1.8</v>
      </c>
      <c r="N7859">
        <v>84</v>
      </c>
      <c r="O7859" t="s">
        <v>61</v>
      </c>
      <c r="Q7859" t="s">
        <v>1147</v>
      </c>
      <c r="R7859" t="s">
        <v>133</v>
      </c>
      <c r="S7859" t="s">
        <v>134</v>
      </c>
      <c r="T7859" t="s">
        <v>135</v>
      </c>
    </row>
    <row r="7860" spans="1:20" x14ac:dyDescent="0.25">
      <c r="A7860" t="s">
        <v>59</v>
      </c>
      <c r="B7860" t="s">
        <v>60</v>
      </c>
      <c r="C7860" t="s">
        <v>32</v>
      </c>
      <c r="D7860" t="s">
        <v>953</v>
      </c>
      <c r="E7860" t="s">
        <v>7740</v>
      </c>
      <c r="F7860" t="s">
        <v>35</v>
      </c>
      <c r="G7860" t="s">
        <v>35</v>
      </c>
      <c r="H7860" t="s">
        <v>35</v>
      </c>
      <c r="J7860" t="s">
        <v>7756</v>
      </c>
      <c r="K7860" t="s">
        <v>1092</v>
      </c>
      <c r="M7860">
        <v>3.5</v>
      </c>
      <c r="N7860">
        <v>84</v>
      </c>
      <c r="O7860" t="s">
        <v>61</v>
      </c>
      <c r="Q7860" t="s">
        <v>1147</v>
      </c>
      <c r="R7860" t="s">
        <v>133</v>
      </c>
      <c r="S7860" t="s">
        <v>134</v>
      </c>
      <c r="T7860" t="s">
        <v>135</v>
      </c>
    </row>
    <row r="7861" spans="1:20" x14ac:dyDescent="0.25">
      <c r="A7861" t="s">
        <v>59</v>
      </c>
      <c r="B7861" t="s">
        <v>60</v>
      </c>
      <c r="C7861" t="s">
        <v>32</v>
      </c>
      <c r="D7861" t="s">
        <v>953</v>
      </c>
      <c r="E7861" t="s">
        <v>1077</v>
      </c>
      <c r="F7861" t="s">
        <v>35</v>
      </c>
      <c r="G7861" t="s">
        <v>35</v>
      </c>
      <c r="H7861" t="s">
        <v>35</v>
      </c>
      <c r="J7861" t="s">
        <v>7621</v>
      </c>
      <c r="K7861" t="s">
        <v>1092</v>
      </c>
      <c r="M7861">
        <v>0.5</v>
      </c>
      <c r="N7861">
        <v>52</v>
      </c>
      <c r="O7861" t="s">
        <v>52</v>
      </c>
      <c r="Q7861" t="s">
        <v>84</v>
      </c>
      <c r="R7861" t="s">
        <v>133</v>
      </c>
      <c r="S7861" t="s">
        <v>134</v>
      </c>
      <c r="T7861" t="s">
        <v>135</v>
      </c>
    </row>
    <row r="7862" spans="1:20" x14ac:dyDescent="0.25">
      <c r="A7862" t="s">
        <v>30</v>
      </c>
      <c r="B7862" t="s">
        <v>31</v>
      </c>
      <c r="C7862" t="s">
        <v>32</v>
      </c>
      <c r="D7862" t="s">
        <v>953</v>
      </c>
      <c r="E7862" t="s">
        <v>1077</v>
      </c>
      <c r="F7862" t="s">
        <v>35</v>
      </c>
      <c r="G7862" t="s">
        <v>35</v>
      </c>
      <c r="H7862" t="s">
        <v>35</v>
      </c>
      <c r="J7862" t="s">
        <v>7621</v>
      </c>
      <c r="K7862" t="s">
        <v>1092</v>
      </c>
      <c r="M7862">
        <v>9.99</v>
      </c>
      <c r="N7862">
        <v>13</v>
      </c>
      <c r="O7862" t="s">
        <v>46</v>
      </c>
      <c r="Q7862" t="s">
        <v>1004</v>
      </c>
      <c r="R7862" t="s">
        <v>133</v>
      </c>
      <c r="S7862" t="s">
        <v>134</v>
      </c>
      <c r="T7862" t="s">
        <v>135</v>
      </c>
    </row>
    <row r="7863" spans="1:20" x14ac:dyDescent="0.25">
      <c r="A7863" t="s">
        <v>44</v>
      </c>
      <c r="B7863" t="s">
        <v>3</v>
      </c>
      <c r="C7863" t="s">
        <v>32</v>
      </c>
      <c r="D7863" t="s">
        <v>953</v>
      </c>
      <c r="E7863" t="s">
        <v>1077</v>
      </c>
      <c r="F7863" t="s">
        <v>35</v>
      </c>
      <c r="G7863" t="s">
        <v>35</v>
      </c>
      <c r="H7863" t="s">
        <v>35</v>
      </c>
      <c r="J7863" t="s">
        <v>7621</v>
      </c>
      <c r="K7863" t="s">
        <v>1092</v>
      </c>
      <c r="M7863">
        <v>5</v>
      </c>
      <c r="N7863">
        <v>25</v>
      </c>
      <c r="O7863" t="s">
        <v>46</v>
      </c>
      <c r="Q7863" t="s">
        <v>547</v>
      </c>
      <c r="R7863" t="s">
        <v>133</v>
      </c>
      <c r="S7863" t="s">
        <v>134</v>
      </c>
      <c r="T7863" t="s">
        <v>135</v>
      </c>
    </row>
    <row r="7864" spans="1:20" x14ac:dyDescent="0.25">
      <c r="A7864" t="s">
        <v>59</v>
      </c>
      <c r="B7864" t="s">
        <v>60</v>
      </c>
      <c r="C7864" t="s">
        <v>32</v>
      </c>
      <c r="D7864" t="s">
        <v>953</v>
      </c>
      <c r="E7864" t="s">
        <v>1015</v>
      </c>
      <c r="F7864" t="s">
        <v>35</v>
      </c>
      <c r="G7864" t="s">
        <v>35</v>
      </c>
      <c r="H7864" t="s">
        <v>35</v>
      </c>
      <c r="J7864" t="s">
        <v>7424</v>
      </c>
      <c r="K7864" t="s">
        <v>1092</v>
      </c>
      <c r="M7864">
        <v>1.8</v>
      </c>
      <c r="N7864">
        <v>62</v>
      </c>
      <c r="O7864" t="s">
        <v>61</v>
      </c>
      <c r="Q7864" t="s">
        <v>139</v>
      </c>
      <c r="R7864" t="s">
        <v>133</v>
      </c>
      <c r="S7864" t="s">
        <v>134</v>
      </c>
      <c r="T7864" t="s">
        <v>135</v>
      </c>
    </row>
    <row r="7865" spans="1:20" x14ac:dyDescent="0.25">
      <c r="A7865" t="s">
        <v>30</v>
      </c>
      <c r="B7865" t="s">
        <v>31</v>
      </c>
      <c r="C7865" t="s">
        <v>32</v>
      </c>
      <c r="D7865" t="s">
        <v>953</v>
      </c>
      <c r="F7865" t="s">
        <v>35</v>
      </c>
      <c r="G7865" t="s">
        <v>35</v>
      </c>
      <c r="H7865" t="s">
        <v>35</v>
      </c>
      <c r="J7865" t="s">
        <v>8096</v>
      </c>
      <c r="K7865" t="s">
        <v>1092</v>
      </c>
      <c r="M7865">
        <v>4.9950000000000001</v>
      </c>
      <c r="N7865">
        <v>9</v>
      </c>
      <c r="O7865" t="s">
        <v>46</v>
      </c>
      <c r="Q7865" t="s">
        <v>323</v>
      </c>
      <c r="R7865" t="s">
        <v>133</v>
      </c>
      <c r="S7865" t="s">
        <v>134</v>
      </c>
      <c r="T7865" t="s">
        <v>135</v>
      </c>
    </row>
    <row r="7866" spans="1:20" x14ac:dyDescent="0.25">
      <c r="A7866" t="s">
        <v>59</v>
      </c>
      <c r="B7866" t="s">
        <v>60</v>
      </c>
      <c r="C7866" t="s">
        <v>32</v>
      </c>
      <c r="D7866" t="s">
        <v>953</v>
      </c>
      <c r="E7866" t="s">
        <v>1015</v>
      </c>
      <c r="F7866" t="s">
        <v>35</v>
      </c>
      <c r="G7866" t="s">
        <v>35</v>
      </c>
      <c r="H7866" t="s">
        <v>35</v>
      </c>
      <c r="J7866" t="s">
        <v>7365</v>
      </c>
      <c r="K7866" t="s">
        <v>1092</v>
      </c>
      <c r="M7866">
        <v>7</v>
      </c>
      <c r="N7866">
        <v>60</v>
      </c>
      <c r="O7866" t="s">
        <v>52</v>
      </c>
      <c r="Q7866" t="s">
        <v>1311</v>
      </c>
      <c r="R7866" t="s">
        <v>133</v>
      </c>
      <c r="S7866" t="s">
        <v>134</v>
      </c>
      <c r="T7866" t="s">
        <v>135</v>
      </c>
    </row>
    <row r="7867" spans="1:20" x14ac:dyDescent="0.25">
      <c r="A7867" t="s">
        <v>30</v>
      </c>
      <c r="B7867" t="s">
        <v>31</v>
      </c>
      <c r="C7867" t="s">
        <v>32</v>
      </c>
      <c r="D7867" t="s">
        <v>953</v>
      </c>
      <c r="E7867" t="s">
        <v>980</v>
      </c>
      <c r="F7867" t="s">
        <v>35</v>
      </c>
      <c r="G7867" t="s">
        <v>35</v>
      </c>
      <c r="H7867" t="s">
        <v>35</v>
      </c>
      <c r="J7867" t="s">
        <v>7130</v>
      </c>
      <c r="K7867" t="s">
        <v>1092</v>
      </c>
      <c r="M7867">
        <v>4.41</v>
      </c>
      <c r="N7867">
        <v>9</v>
      </c>
      <c r="O7867" t="s">
        <v>46</v>
      </c>
      <c r="Q7867" t="s">
        <v>323</v>
      </c>
      <c r="R7867" t="s">
        <v>133</v>
      </c>
      <c r="S7867" t="s">
        <v>134</v>
      </c>
      <c r="T7867" t="s">
        <v>135</v>
      </c>
    </row>
    <row r="7868" spans="1:20" x14ac:dyDescent="0.25">
      <c r="A7868" t="s">
        <v>59</v>
      </c>
      <c r="B7868" t="s">
        <v>31</v>
      </c>
      <c r="C7868" t="s">
        <v>32</v>
      </c>
      <c r="D7868" t="s">
        <v>953</v>
      </c>
      <c r="E7868" t="s">
        <v>1015</v>
      </c>
      <c r="F7868" t="s">
        <v>35</v>
      </c>
      <c r="G7868" t="s">
        <v>35</v>
      </c>
      <c r="H7868" t="s">
        <v>35</v>
      </c>
      <c r="J7868" t="s">
        <v>7433</v>
      </c>
      <c r="K7868" t="s">
        <v>1092</v>
      </c>
      <c r="M7868">
        <v>1.575</v>
      </c>
      <c r="N7868">
        <v>459</v>
      </c>
      <c r="O7868" t="s">
        <v>294</v>
      </c>
      <c r="Q7868" t="s">
        <v>1114</v>
      </c>
      <c r="R7868" t="s">
        <v>133</v>
      </c>
      <c r="S7868" t="s">
        <v>134</v>
      </c>
      <c r="T7868" t="s">
        <v>135</v>
      </c>
    </row>
    <row r="7869" spans="1:20" x14ac:dyDescent="0.25">
      <c r="A7869" t="s">
        <v>59</v>
      </c>
      <c r="B7869" t="s">
        <v>60</v>
      </c>
      <c r="C7869" t="s">
        <v>32</v>
      </c>
      <c r="D7869" t="s">
        <v>953</v>
      </c>
      <c r="E7869" t="s">
        <v>1015</v>
      </c>
      <c r="F7869" t="s">
        <v>35</v>
      </c>
      <c r="G7869" t="s">
        <v>35</v>
      </c>
      <c r="H7869" t="s">
        <v>35</v>
      </c>
      <c r="J7869" t="s">
        <v>7433</v>
      </c>
      <c r="K7869" t="s">
        <v>1092</v>
      </c>
      <c r="M7869">
        <v>1.25</v>
      </c>
      <c r="N7869">
        <v>355</v>
      </c>
      <c r="O7869" t="s">
        <v>5</v>
      </c>
      <c r="Q7869" t="s">
        <v>2408</v>
      </c>
      <c r="R7869" t="s">
        <v>133</v>
      </c>
      <c r="S7869" t="s">
        <v>134</v>
      </c>
      <c r="T7869" t="s">
        <v>135</v>
      </c>
    </row>
    <row r="7870" spans="1:20" x14ac:dyDescent="0.25">
      <c r="A7870" t="s">
        <v>30</v>
      </c>
      <c r="B7870" t="s">
        <v>31</v>
      </c>
      <c r="C7870" t="s">
        <v>32</v>
      </c>
      <c r="D7870" t="s">
        <v>953</v>
      </c>
      <c r="E7870" t="s">
        <v>7740</v>
      </c>
      <c r="F7870" t="s">
        <v>35</v>
      </c>
      <c r="G7870" t="s">
        <v>35</v>
      </c>
      <c r="H7870" t="s">
        <v>35</v>
      </c>
      <c r="J7870" t="s">
        <v>7758</v>
      </c>
      <c r="K7870" t="s">
        <v>1092</v>
      </c>
      <c r="M7870">
        <v>0.76500000000000001</v>
      </c>
      <c r="N7870">
        <v>936</v>
      </c>
      <c r="O7870" t="s">
        <v>575</v>
      </c>
      <c r="Q7870" t="s">
        <v>7759</v>
      </c>
      <c r="R7870" t="s">
        <v>133</v>
      </c>
      <c r="S7870" t="s">
        <v>134</v>
      </c>
      <c r="T7870" t="s">
        <v>135</v>
      </c>
    </row>
    <row r="7871" spans="1:20" x14ac:dyDescent="0.25">
      <c r="A7871" t="s">
        <v>59</v>
      </c>
      <c r="B7871" t="s">
        <v>31</v>
      </c>
      <c r="C7871" t="s">
        <v>32</v>
      </c>
      <c r="D7871" t="s">
        <v>953</v>
      </c>
      <c r="E7871" t="s">
        <v>1015</v>
      </c>
      <c r="F7871" t="s">
        <v>35</v>
      </c>
      <c r="G7871" t="s">
        <v>35</v>
      </c>
      <c r="H7871" t="s">
        <v>35</v>
      </c>
      <c r="J7871" t="s">
        <v>7434</v>
      </c>
      <c r="K7871" t="s">
        <v>1092</v>
      </c>
      <c r="M7871">
        <v>1.8</v>
      </c>
      <c r="N7871">
        <v>25</v>
      </c>
      <c r="O7871" t="s">
        <v>46</v>
      </c>
      <c r="Q7871" t="s">
        <v>547</v>
      </c>
      <c r="R7871" t="s">
        <v>133</v>
      </c>
      <c r="S7871" t="s">
        <v>134</v>
      </c>
      <c r="T7871" t="s">
        <v>135</v>
      </c>
    </row>
    <row r="7872" spans="1:20" x14ac:dyDescent="0.25">
      <c r="A7872" t="s">
        <v>30</v>
      </c>
      <c r="B7872" t="s">
        <v>31</v>
      </c>
      <c r="C7872" t="s">
        <v>32</v>
      </c>
      <c r="D7872" t="s">
        <v>953</v>
      </c>
      <c r="E7872" t="s">
        <v>1077</v>
      </c>
      <c r="F7872" t="s">
        <v>35</v>
      </c>
      <c r="G7872" t="s">
        <v>35</v>
      </c>
      <c r="H7872" t="s">
        <v>35</v>
      </c>
      <c r="J7872" t="s">
        <v>3870</v>
      </c>
      <c r="K7872" t="s">
        <v>1092</v>
      </c>
      <c r="M7872">
        <v>9.7110000000000003</v>
      </c>
      <c r="N7872">
        <v>40</v>
      </c>
      <c r="O7872" t="s">
        <v>52</v>
      </c>
      <c r="Q7872" t="s">
        <v>132</v>
      </c>
      <c r="R7872" t="s">
        <v>133</v>
      </c>
      <c r="S7872" t="s">
        <v>134</v>
      </c>
      <c r="T7872" t="s">
        <v>135</v>
      </c>
    </row>
    <row r="7873" spans="1:20" x14ac:dyDescent="0.25">
      <c r="A7873" t="s">
        <v>59</v>
      </c>
      <c r="B7873" t="s">
        <v>60</v>
      </c>
      <c r="C7873" t="s">
        <v>32</v>
      </c>
      <c r="D7873" t="s">
        <v>953</v>
      </c>
      <c r="E7873" t="s">
        <v>7740</v>
      </c>
      <c r="F7873" t="s">
        <v>35</v>
      </c>
      <c r="G7873" t="s">
        <v>35</v>
      </c>
      <c r="H7873" t="s">
        <v>35</v>
      </c>
      <c r="J7873" t="s">
        <v>7741</v>
      </c>
      <c r="K7873" t="s">
        <v>1092</v>
      </c>
      <c r="M7873">
        <v>1.5</v>
      </c>
      <c r="N7873">
        <v>53</v>
      </c>
      <c r="O7873" t="s">
        <v>52</v>
      </c>
      <c r="Q7873" t="s">
        <v>1734</v>
      </c>
      <c r="R7873" t="s">
        <v>133</v>
      </c>
      <c r="S7873" t="s">
        <v>134</v>
      </c>
      <c r="T7873" t="s">
        <v>135</v>
      </c>
    </row>
    <row r="7874" spans="1:20" x14ac:dyDescent="0.25">
      <c r="A7874" t="s">
        <v>59</v>
      </c>
      <c r="B7874" t="s">
        <v>31</v>
      </c>
      <c r="C7874" t="s">
        <v>32</v>
      </c>
      <c r="D7874" t="s">
        <v>953</v>
      </c>
      <c r="E7874" t="s">
        <v>1015</v>
      </c>
      <c r="F7874" t="s">
        <v>35</v>
      </c>
      <c r="G7874" t="s">
        <v>35</v>
      </c>
      <c r="H7874" t="s">
        <v>35</v>
      </c>
      <c r="J7874" t="s">
        <v>7401</v>
      </c>
      <c r="K7874" t="s">
        <v>1092</v>
      </c>
      <c r="M7874">
        <v>1.17</v>
      </c>
      <c r="N7874">
        <v>391</v>
      </c>
      <c r="O7874" t="s">
        <v>294</v>
      </c>
      <c r="Q7874" t="s">
        <v>3592</v>
      </c>
      <c r="R7874" t="s">
        <v>133</v>
      </c>
      <c r="S7874" t="s">
        <v>134</v>
      </c>
      <c r="T7874" t="s">
        <v>135</v>
      </c>
    </row>
    <row r="7875" spans="1:20" x14ac:dyDescent="0.25">
      <c r="A7875" t="s">
        <v>59</v>
      </c>
      <c r="B7875" t="s">
        <v>60</v>
      </c>
      <c r="C7875" t="s">
        <v>32</v>
      </c>
      <c r="D7875" t="s">
        <v>953</v>
      </c>
      <c r="E7875" t="s">
        <v>1015</v>
      </c>
      <c r="F7875" t="s">
        <v>35</v>
      </c>
      <c r="G7875" t="s">
        <v>35</v>
      </c>
      <c r="H7875" t="s">
        <v>35</v>
      </c>
      <c r="J7875" t="s">
        <v>7350</v>
      </c>
      <c r="K7875" t="s">
        <v>1092</v>
      </c>
      <c r="M7875">
        <v>2.75</v>
      </c>
      <c r="N7875">
        <v>135</v>
      </c>
      <c r="O7875" t="s">
        <v>38</v>
      </c>
      <c r="Q7875" t="s">
        <v>2067</v>
      </c>
      <c r="R7875" t="s">
        <v>133</v>
      </c>
      <c r="S7875" t="s">
        <v>134</v>
      </c>
      <c r="T7875" t="s">
        <v>135</v>
      </c>
    </row>
    <row r="7876" spans="1:20" x14ac:dyDescent="0.25">
      <c r="A7876" t="s">
        <v>30</v>
      </c>
      <c r="B7876" t="s">
        <v>31</v>
      </c>
      <c r="C7876" t="s">
        <v>32</v>
      </c>
      <c r="D7876" t="s">
        <v>953</v>
      </c>
      <c r="E7876" t="s">
        <v>7467</v>
      </c>
      <c r="F7876" t="s">
        <v>35</v>
      </c>
      <c r="G7876" t="s">
        <v>35</v>
      </c>
      <c r="H7876" t="s">
        <v>35</v>
      </c>
      <c r="J7876" t="s">
        <v>7471</v>
      </c>
      <c r="K7876" t="s">
        <v>1092</v>
      </c>
      <c r="M7876">
        <v>9.99</v>
      </c>
      <c r="N7876">
        <v>13</v>
      </c>
      <c r="O7876" t="s">
        <v>46</v>
      </c>
      <c r="Q7876" t="s">
        <v>1004</v>
      </c>
      <c r="R7876" t="s">
        <v>133</v>
      </c>
      <c r="S7876" t="s">
        <v>134</v>
      </c>
      <c r="T7876" t="s">
        <v>135</v>
      </c>
    </row>
    <row r="7877" spans="1:20" x14ac:dyDescent="0.25">
      <c r="A7877" t="s">
        <v>59</v>
      </c>
      <c r="B7877" t="s">
        <v>60</v>
      </c>
      <c r="C7877" t="s">
        <v>32</v>
      </c>
      <c r="D7877" t="s">
        <v>953</v>
      </c>
      <c r="E7877" t="s">
        <v>7467</v>
      </c>
      <c r="F7877" t="s">
        <v>35</v>
      </c>
      <c r="G7877" t="s">
        <v>35</v>
      </c>
      <c r="H7877" t="s">
        <v>35</v>
      </c>
      <c r="J7877" t="s">
        <v>7471</v>
      </c>
      <c r="K7877" t="s">
        <v>1092</v>
      </c>
      <c r="M7877">
        <v>0.22500000000000001</v>
      </c>
      <c r="N7877">
        <v>244</v>
      </c>
      <c r="O7877" t="s">
        <v>5</v>
      </c>
      <c r="Q7877" t="s">
        <v>1688</v>
      </c>
      <c r="R7877" t="s">
        <v>133</v>
      </c>
      <c r="S7877" t="s">
        <v>134</v>
      </c>
      <c r="T7877" t="s">
        <v>135</v>
      </c>
    </row>
    <row r="7878" spans="1:20" x14ac:dyDescent="0.25">
      <c r="A7878" t="s">
        <v>59</v>
      </c>
      <c r="B7878" t="s">
        <v>60</v>
      </c>
      <c r="C7878" t="s">
        <v>32</v>
      </c>
      <c r="D7878" t="s">
        <v>953</v>
      </c>
      <c r="E7878" t="s">
        <v>7467</v>
      </c>
      <c r="F7878" t="s">
        <v>35</v>
      </c>
      <c r="G7878" t="s">
        <v>35</v>
      </c>
      <c r="H7878" t="s">
        <v>35</v>
      </c>
      <c r="J7878" t="s">
        <v>7471</v>
      </c>
      <c r="K7878" t="s">
        <v>1092</v>
      </c>
      <c r="M7878">
        <v>2.5</v>
      </c>
      <c r="N7878">
        <v>18</v>
      </c>
      <c r="O7878" t="s">
        <v>46</v>
      </c>
      <c r="Q7878" t="s">
        <v>831</v>
      </c>
      <c r="R7878" t="s">
        <v>133</v>
      </c>
      <c r="S7878" t="s">
        <v>134</v>
      </c>
      <c r="T7878" t="s">
        <v>135</v>
      </c>
    </row>
    <row r="7879" spans="1:20" x14ac:dyDescent="0.25">
      <c r="A7879" t="s">
        <v>44</v>
      </c>
      <c r="B7879" t="s">
        <v>3</v>
      </c>
      <c r="C7879" t="s">
        <v>32</v>
      </c>
      <c r="D7879" t="s">
        <v>953</v>
      </c>
      <c r="E7879" t="s">
        <v>7467</v>
      </c>
      <c r="F7879" t="s">
        <v>35</v>
      </c>
      <c r="G7879" t="s">
        <v>35</v>
      </c>
      <c r="H7879" t="s">
        <v>35</v>
      </c>
      <c r="J7879" t="s">
        <v>7471</v>
      </c>
      <c r="K7879" t="s">
        <v>1092</v>
      </c>
      <c r="M7879">
        <v>2.5</v>
      </c>
      <c r="N7879">
        <v>18</v>
      </c>
      <c r="O7879" t="s">
        <v>46</v>
      </c>
      <c r="Q7879" t="s">
        <v>831</v>
      </c>
      <c r="R7879" t="s">
        <v>133</v>
      </c>
      <c r="S7879" t="s">
        <v>134</v>
      </c>
      <c r="T7879" t="s">
        <v>135</v>
      </c>
    </row>
    <row r="7880" spans="1:20" x14ac:dyDescent="0.25">
      <c r="A7880" t="s">
        <v>59</v>
      </c>
      <c r="B7880" t="s">
        <v>60</v>
      </c>
      <c r="C7880" t="s">
        <v>32</v>
      </c>
      <c r="D7880" t="s">
        <v>953</v>
      </c>
      <c r="E7880" t="s">
        <v>1077</v>
      </c>
      <c r="F7880" t="s">
        <v>35</v>
      </c>
      <c r="G7880" t="s">
        <v>35</v>
      </c>
      <c r="H7880" t="s">
        <v>35</v>
      </c>
      <c r="J7880" t="s">
        <v>7653</v>
      </c>
      <c r="K7880" t="s">
        <v>1092</v>
      </c>
      <c r="M7880">
        <v>8.8000000000000007</v>
      </c>
      <c r="N7880">
        <v>47</v>
      </c>
      <c r="O7880" t="s">
        <v>52</v>
      </c>
      <c r="Q7880" t="s">
        <v>1207</v>
      </c>
      <c r="R7880" t="s">
        <v>133</v>
      </c>
      <c r="S7880" t="s">
        <v>134</v>
      </c>
      <c r="T7880" t="s">
        <v>135</v>
      </c>
    </row>
    <row r="7881" spans="1:20" x14ac:dyDescent="0.25">
      <c r="A7881" t="s">
        <v>59</v>
      </c>
      <c r="B7881" t="s">
        <v>60</v>
      </c>
      <c r="C7881" t="s">
        <v>32</v>
      </c>
      <c r="D7881" t="s">
        <v>953</v>
      </c>
      <c r="E7881" t="s">
        <v>1084</v>
      </c>
      <c r="F7881" t="s">
        <v>35</v>
      </c>
      <c r="G7881" t="s">
        <v>35</v>
      </c>
      <c r="H7881" t="s">
        <v>35</v>
      </c>
      <c r="J7881" t="s">
        <v>7837</v>
      </c>
      <c r="K7881" t="s">
        <v>1092</v>
      </c>
      <c r="M7881">
        <v>0.25</v>
      </c>
      <c r="N7881">
        <v>196</v>
      </c>
      <c r="O7881" t="s">
        <v>5</v>
      </c>
      <c r="Q7881" t="s">
        <v>6960</v>
      </c>
      <c r="R7881" t="s">
        <v>6847</v>
      </c>
      <c r="S7881" t="s">
        <v>1034</v>
      </c>
      <c r="T7881" t="s">
        <v>1035</v>
      </c>
    </row>
    <row r="7882" spans="1:20" x14ac:dyDescent="0.25">
      <c r="A7882" t="s">
        <v>59</v>
      </c>
      <c r="B7882" t="s">
        <v>31</v>
      </c>
      <c r="C7882" t="s">
        <v>32</v>
      </c>
      <c r="D7882" t="s">
        <v>953</v>
      </c>
      <c r="E7882" t="s">
        <v>7467</v>
      </c>
      <c r="F7882" t="s">
        <v>35</v>
      </c>
      <c r="G7882" t="s">
        <v>35</v>
      </c>
      <c r="H7882" t="s">
        <v>35</v>
      </c>
      <c r="J7882" t="s">
        <v>7481</v>
      </c>
      <c r="K7882" t="s">
        <v>1092</v>
      </c>
      <c r="M7882">
        <v>4.9950000000000001</v>
      </c>
      <c r="N7882">
        <v>83</v>
      </c>
      <c r="O7882" t="s">
        <v>61</v>
      </c>
      <c r="Q7882" t="s">
        <v>897</v>
      </c>
      <c r="R7882" t="s">
        <v>6847</v>
      </c>
      <c r="S7882" t="s">
        <v>1034</v>
      </c>
      <c r="T7882" t="s">
        <v>1035</v>
      </c>
    </row>
    <row r="7883" spans="1:20" x14ac:dyDescent="0.25">
      <c r="A7883" t="s">
        <v>59</v>
      </c>
      <c r="B7883" t="s">
        <v>60</v>
      </c>
      <c r="C7883" t="s">
        <v>32</v>
      </c>
      <c r="D7883" t="s">
        <v>953</v>
      </c>
      <c r="E7883" t="s">
        <v>7467</v>
      </c>
      <c r="F7883" t="s">
        <v>35</v>
      </c>
      <c r="G7883" t="s">
        <v>35</v>
      </c>
      <c r="H7883" t="s">
        <v>35</v>
      </c>
      <c r="J7883" t="s">
        <v>7481</v>
      </c>
      <c r="K7883" t="s">
        <v>1092</v>
      </c>
      <c r="M7883">
        <v>5</v>
      </c>
      <c r="N7883">
        <v>83</v>
      </c>
      <c r="O7883" t="s">
        <v>61</v>
      </c>
      <c r="Q7883" t="s">
        <v>897</v>
      </c>
      <c r="R7883" t="s">
        <v>6847</v>
      </c>
      <c r="S7883" t="s">
        <v>1034</v>
      </c>
      <c r="T7883" t="s">
        <v>1035</v>
      </c>
    </row>
    <row r="7884" spans="1:20" x14ac:dyDescent="0.25">
      <c r="A7884" t="s">
        <v>30</v>
      </c>
      <c r="B7884" t="s">
        <v>31</v>
      </c>
      <c r="C7884" t="s">
        <v>32</v>
      </c>
      <c r="D7884" t="s">
        <v>953</v>
      </c>
      <c r="E7884" t="s">
        <v>1077</v>
      </c>
      <c r="F7884" t="s">
        <v>35</v>
      </c>
      <c r="G7884" t="s">
        <v>35</v>
      </c>
      <c r="H7884" t="s">
        <v>35</v>
      </c>
      <c r="J7884" t="s">
        <v>7640</v>
      </c>
      <c r="K7884" t="s">
        <v>1092</v>
      </c>
      <c r="M7884">
        <v>7.56</v>
      </c>
      <c r="N7884">
        <v>41</v>
      </c>
      <c r="O7884" t="s">
        <v>52</v>
      </c>
      <c r="Q7884" t="s">
        <v>496</v>
      </c>
      <c r="R7884" t="s">
        <v>6847</v>
      </c>
      <c r="S7884" t="s">
        <v>1034</v>
      </c>
      <c r="T7884" t="s">
        <v>1035</v>
      </c>
    </row>
    <row r="7885" spans="1:20" x14ac:dyDescent="0.25">
      <c r="A7885" t="s">
        <v>44</v>
      </c>
      <c r="B7885" t="s">
        <v>3</v>
      </c>
      <c r="C7885" t="s">
        <v>32</v>
      </c>
      <c r="D7885" t="s">
        <v>953</v>
      </c>
      <c r="E7885" t="s">
        <v>1077</v>
      </c>
      <c r="F7885" t="s">
        <v>35</v>
      </c>
      <c r="G7885" t="s">
        <v>35</v>
      </c>
      <c r="H7885" t="s">
        <v>35</v>
      </c>
      <c r="J7885" t="s">
        <v>7640</v>
      </c>
      <c r="K7885" t="s">
        <v>1092</v>
      </c>
      <c r="M7885">
        <v>5</v>
      </c>
      <c r="N7885">
        <v>58</v>
      </c>
      <c r="O7885" t="s">
        <v>52</v>
      </c>
      <c r="Q7885" t="s">
        <v>128</v>
      </c>
      <c r="R7885" t="s">
        <v>6847</v>
      </c>
      <c r="S7885" t="s">
        <v>1034</v>
      </c>
      <c r="T7885" t="s">
        <v>1035</v>
      </c>
    </row>
    <row r="7886" spans="1:20" x14ac:dyDescent="0.25">
      <c r="A7886" t="s">
        <v>59</v>
      </c>
      <c r="B7886" t="s">
        <v>60</v>
      </c>
      <c r="C7886" t="s">
        <v>32</v>
      </c>
      <c r="D7886" t="s">
        <v>953</v>
      </c>
      <c r="F7886" t="s">
        <v>35</v>
      </c>
      <c r="G7886" t="s">
        <v>35</v>
      </c>
      <c r="H7886" t="s">
        <v>35</v>
      </c>
      <c r="J7886" t="s">
        <v>7950</v>
      </c>
      <c r="K7886" t="s">
        <v>1092</v>
      </c>
      <c r="M7886">
        <v>0.6</v>
      </c>
      <c r="N7886">
        <v>2300</v>
      </c>
      <c r="O7886" t="s">
        <v>575</v>
      </c>
      <c r="Q7886" t="s">
        <v>2338</v>
      </c>
      <c r="R7886" t="s">
        <v>6847</v>
      </c>
      <c r="S7886" t="s">
        <v>1034</v>
      </c>
      <c r="T7886" t="s">
        <v>1035</v>
      </c>
    </row>
    <row r="7887" spans="1:20" x14ac:dyDescent="0.25">
      <c r="A7887" t="s">
        <v>59</v>
      </c>
      <c r="B7887" t="s">
        <v>60</v>
      </c>
      <c r="C7887" t="s">
        <v>32</v>
      </c>
      <c r="D7887" t="s">
        <v>953</v>
      </c>
      <c r="E7887" t="s">
        <v>1077</v>
      </c>
      <c r="F7887" t="s">
        <v>35</v>
      </c>
      <c r="G7887" t="s">
        <v>35</v>
      </c>
      <c r="H7887" t="s">
        <v>35</v>
      </c>
      <c r="J7887" t="s">
        <v>7622</v>
      </c>
      <c r="K7887" t="s">
        <v>1092</v>
      </c>
      <c r="M7887">
        <v>0.1</v>
      </c>
      <c r="N7887">
        <v>73</v>
      </c>
      <c r="O7887" t="s">
        <v>61</v>
      </c>
      <c r="Q7887" t="s">
        <v>477</v>
      </c>
      <c r="R7887" t="s">
        <v>6847</v>
      </c>
      <c r="S7887" t="s">
        <v>1034</v>
      </c>
      <c r="T7887" t="s">
        <v>1035</v>
      </c>
    </row>
    <row r="7888" spans="1:20" x14ac:dyDescent="0.25">
      <c r="A7888" t="s">
        <v>44</v>
      </c>
      <c r="B7888" t="s">
        <v>3</v>
      </c>
      <c r="C7888" t="s">
        <v>32</v>
      </c>
      <c r="D7888" t="s">
        <v>953</v>
      </c>
      <c r="E7888" t="s">
        <v>1077</v>
      </c>
      <c r="F7888" t="s">
        <v>35</v>
      </c>
      <c r="G7888" t="s">
        <v>35</v>
      </c>
      <c r="H7888" t="s">
        <v>35</v>
      </c>
      <c r="J7888" t="s">
        <v>7622</v>
      </c>
      <c r="K7888" t="s">
        <v>1092</v>
      </c>
      <c r="M7888">
        <v>0.8</v>
      </c>
      <c r="N7888">
        <v>26</v>
      </c>
      <c r="O7888" t="s">
        <v>46</v>
      </c>
      <c r="Q7888" t="s">
        <v>137</v>
      </c>
      <c r="R7888" t="s">
        <v>6847</v>
      </c>
      <c r="S7888" t="s">
        <v>1034</v>
      </c>
      <c r="T7888" t="s">
        <v>1035</v>
      </c>
    </row>
    <row r="7889" spans="1:20" x14ac:dyDescent="0.25">
      <c r="A7889" t="s">
        <v>59</v>
      </c>
      <c r="B7889" t="s">
        <v>60</v>
      </c>
      <c r="C7889" t="s">
        <v>32</v>
      </c>
      <c r="D7889" t="s">
        <v>953</v>
      </c>
      <c r="F7889" t="s">
        <v>35</v>
      </c>
      <c r="G7889" t="s">
        <v>35</v>
      </c>
      <c r="H7889" t="s">
        <v>35</v>
      </c>
      <c r="J7889" t="s">
        <v>7957</v>
      </c>
      <c r="K7889" t="s">
        <v>1092</v>
      </c>
      <c r="M7889">
        <v>0.5</v>
      </c>
      <c r="N7889">
        <v>520</v>
      </c>
      <c r="O7889" t="s">
        <v>294</v>
      </c>
      <c r="Q7889" t="s">
        <v>4563</v>
      </c>
      <c r="R7889" t="s">
        <v>6847</v>
      </c>
      <c r="S7889" t="s">
        <v>1034</v>
      </c>
      <c r="T7889" t="s">
        <v>1035</v>
      </c>
    </row>
    <row r="7890" spans="1:20" x14ac:dyDescent="0.25">
      <c r="A7890" t="s">
        <v>59</v>
      </c>
      <c r="B7890" t="s">
        <v>60</v>
      </c>
      <c r="C7890" t="s">
        <v>32</v>
      </c>
      <c r="D7890" t="s">
        <v>953</v>
      </c>
      <c r="E7890" t="s">
        <v>1015</v>
      </c>
      <c r="F7890" t="s">
        <v>35</v>
      </c>
      <c r="G7890" t="s">
        <v>35</v>
      </c>
      <c r="H7890" t="s">
        <v>35</v>
      </c>
      <c r="J7890" t="s">
        <v>7461</v>
      </c>
      <c r="K7890" t="s">
        <v>1092</v>
      </c>
      <c r="M7890">
        <v>1</v>
      </c>
      <c r="N7890">
        <v>26</v>
      </c>
      <c r="O7890" t="s">
        <v>46</v>
      </c>
      <c r="Q7890" t="s">
        <v>137</v>
      </c>
      <c r="R7890" t="s">
        <v>6847</v>
      </c>
      <c r="S7890" t="s">
        <v>1034</v>
      </c>
      <c r="T7890" t="s">
        <v>1035</v>
      </c>
    </row>
    <row r="7891" spans="1:20" x14ac:dyDescent="0.25">
      <c r="A7891" t="s">
        <v>59</v>
      </c>
      <c r="B7891" t="s">
        <v>60</v>
      </c>
      <c r="C7891" t="s">
        <v>32</v>
      </c>
      <c r="D7891" t="s">
        <v>953</v>
      </c>
      <c r="E7891" t="s">
        <v>1015</v>
      </c>
      <c r="F7891" t="s">
        <v>35</v>
      </c>
      <c r="G7891" t="s">
        <v>35</v>
      </c>
      <c r="H7891" t="s">
        <v>35</v>
      </c>
      <c r="J7891" t="s">
        <v>7393</v>
      </c>
      <c r="K7891" t="s">
        <v>1092</v>
      </c>
      <c r="M7891">
        <v>0.5</v>
      </c>
      <c r="N7891">
        <v>83</v>
      </c>
      <c r="O7891" t="s">
        <v>61</v>
      </c>
      <c r="Q7891" t="s">
        <v>897</v>
      </c>
      <c r="R7891" t="s">
        <v>6847</v>
      </c>
      <c r="S7891" t="s">
        <v>1034</v>
      </c>
      <c r="T7891" t="s">
        <v>1035</v>
      </c>
    </row>
    <row r="7892" spans="1:20" x14ac:dyDescent="0.25">
      <c r="A7892" t="s">
        <v>59</v>
      </c>
      <c r="B7892" t="s">
        <v>31</v>
      </c>
      <c r="C7892" t="s">
        <v>32</v>
      </c>
      <c r="D7892" t="s">
        <v>953</v>
      </c>
      <c r="E7892" t="s">
        <v>1015</v>
      </c>
      <c r="F7892" t="s">
        <v>35</v>
      </c>
      <c r="G7892" t="s">
        <v>35</v>
      </c>
      <c r="H7892" t="s">
        <v>35</v>
      </c>
      <c r="J7892" t="s">
        <v>7393</v>
      </c>
      <c r="K7892" t="s">
        <v>1092</v>
      </c>
      <c r="M7892">
        <v>3.15</v>
      </c>
      <c r="N7892">
        <v>83</v>
      </c>
      <c r="O7892" t="s">
        <v>61</v>
      </c>
      <c r="Q7892" t="s">
        <v>897</v>
      </c>
      <c r="R7892" t="s">
        <v>6847</v>
      </c>
      <c r="S7892" t="s">
        <v>1034</v>
      </c>
      <c r="T7892" t="s">
        <v>1035</v>
      </c>
    </row>
    <row r="7893" spans="1:20" x14ac:dyDescent="0.25">
      <c r="A7893" t="s">
        <v>30</v>
      </c>
      <c r="B7893" t="s">
        <v>31</v>
      </c>
      <c r="C7893" t="s">
        <v>32</v>
      </c>
      <c r="D7893" t="s">
        <v>953</v>
      </c>
      <c r="E7893" t="s">
        <v>954</v>
      </c>
      <c r="F7893" t="s">
        <v>35</v>
      </c>
      <c r="G7893" t="s">
        <v>35</v>
      </c>
      <c r="H7893" t="s">
        <v>35</v>
      </c>
      <c r="J7893" t="s">
        <v>6846</v>
      </c>
      <c r="K7893" t="s">
        <v>1092</v>
      </c>
      <c r="M7893">
        <v>49.95</v>
      </c>
      <c r="N7893">
        <v>13</v>
      </c>
      <c r="O7893" t="s">
        <v>46</v>
      </c>
      <c r="Q7893" t="s">
        <v>1004</v>
      </c>
      <c r="R7893" t="s">
        <v>6847</v>
      </c>
      <c r="S7893" t="s">
        <v>1034</v>
      </c>
      <c r="T7893" t="s">
        <v>1035</v>
      </c>
    </row>
    <row r="7894" spans="1:20" x14ac:dyDescent="0.25">
      <c r="A7894" t="s">
        <v>59</v>
      </c>
      <c r="B7894" t="s">
        <v>60</v>
      </c>
      <c r="C7894" t="s">
        <v>32</v>
      </c>
      <c r="D7894" t="s">
        <v>953</v>
      </c>
      <c r="E7894" t="s">
        <v>954</v>
      </c>
      <c r="F7894" t="s">
        <v>35</v>
      </c>
      <c r="G7894" t="s">
        <v>35</v>
      </c>
      <c r="H7894" t="s">
        <v>35</v>
      </c>
      <c r="J7894" t="s">
        <v>6846</v>
      </c>
      <c r="K7894" t="s">
        <v>1092</v>
      </c>
      <c r="M7894">
        <v>1.2949999999999999</v>
      </c>
      <c r="N7894">
        <v>156</v>
      </c>
      <c r="O7894" t="s">
        <v>38</v>
      </c>
      <c r="Q7894" t="s">
        <v>1632</v>
      </c>
      <c r="R7894" t="s">
        <v>6847</v>
      </c>
      <c r="S7894" t="s">
        <v>1034</v>
      </c>
      <c r="T7894" t="s">
        <v>1035</v>
      </c>
    </row>
    <row r="7895" spans="1:20" x14ac:dyDescent="0.25">
      <c r="A7895" t="s">
        <v>59</v>
      </c>
      <c r="B7895" t="s">
        <v>31</v>
      </c>
      <c r="C7895" t="s">
        <v>32</v>
      </c>
      <c r="D7895" t="s">
        <v>953</v>
      </c>
      <c r="E7895" t="s">
        <v>6878</v>
      </c>
      <c r="F7895" t="s">
        <v>35</v>
      </c>
      <c r="G7895" t="s">
        <v>35</v>
      </c>
      <c r="H7895" t="s">
        <v>35</v>
      </c>
      <c r="J7895" t="s">
        <v>6968</v>
      </c>
      <c r="K7895" t="s">
        <v>1092</v>
      </c>
      <c r="M7895">
        <v>3.33</v>
      </c>
      <c r="N7895">
        <v>237</v>
      </c>
      <c r="O7895" t="s">
        <v>5</v>
      </c>
      <c r="Q7895" t="s">
        <v>1242</v>
      </c>
      <c r="R7895" t="s">
        <v>6847</v>
      </c>
      <c r="S7895" t="s">
        <v>1034</v>
      </c>
      <c r="T7895" t="s">
        <v>1035</v>
      </c>
    </row>
    <row r="7896" spans="1:20" x14ac:dyDescent="0.25">
      <c r="A7896" t="s">
        <v>44</v>
      </c>
      <c r="B7896" t="s">
        <v>3</v>
      </c>
      <c r="C7896" t="s">
        <v>32</v>
      </c>
      <c r="D7896" t="s">
        <v>953</v>
      </c>
      <c r="E7896" t="s">
        <v>968</v>
      </c>
      <c r="F7896" t="s">
        <v>35</v>
      </c>
      <c r="G7896" t="s">
        <v>35</v>
      </c>
      <c r="H7896" t="s">
        <v>35</v>
      </c>
      <c r="J7896" t="s">
        <v>2243</v>
      </c>
      <c r="K7896" t="s">
        <v>1092</v>
      </c>
      <c r="M7896">
        <v>0.5</v>
      </c>
      <c r="N7896">
        <v>26</v>
      </c>
      <c r="O7896" t="s">
        <v>46</v>
      </c>
      <c r="Q7896" t="s">
        <v>137</v>
      </c>
      <c r="R7896" t="s">
        <v>6847</v>
      </c>
      <c r="S7896" t="s">
        <v>1034</v>
      </c>
      <c r="T7896" t="s">
        <v>1035</v>
      </c>
    </row>
    <row r="7897" spans="1:20" x14ac:dyDescent="0.25">
      <c r="A7897" t="s">
        <v>30</v>
      </c>
      <c r="B7897" t="s">
        <v>31</v>
      </c>
      <c r="C7897" t="s">
        <v>32</v>
      </c>
      <c r="D7897" t="s">
        <v>953</v>
      </c>
      <c r="E7897" t="s">
        <v>968</v>
      </c>
      <c r="F7897" t="s">
        <v>35</v>
      </c>
      <c r="G7897" t="s">
        <v>35</v>
      </c>
      <c r="H7897" t="s">
        <v>35</v>
      </c>
      <c r="J7897" t="s">
        <v>2243</v>
      </c>
      <c r="K7897" t="s">
        <v>1092</v>
      </c>
      <c r="M7897">
        <v>3.15</v>
      </c>
      <c r="N7897">
        <v>13</v>
      </c>
      <c r="O7897" t="s">
        <v>46</v>
      </c>
      <c r="Q7897" t="s">
        <v>1004</v>
      </c>
      <c r="R7897" t="s">
        <v>6847</v>
      </c>
      <c r="S7897" t="s">
        <v>1034</v>
      </c>
      <c r="T7897" t="s">
        <v>1035</v>
      </c>
    </row>
    <row r="7898" spans="1:20" x14ac:dyDescent="0.25">
      <c r="A7898" t="s">
        <v>59</v>
      </c>
      <c r="B7898" t="s">
        <v>60</v>
      </c>
      <c r="C7898" t="s">
        <v>32</v>
      </c>
      <c r="D7898" t="s">
        <v>953</v>
      </c>
      <c r="E7898" t="s">
        <v>7842</v>
      </c>
      <c r="F7898" t="s">
        <v>35</v>
      </c>
      <c r="G7898" t="s">
        <v>35</v>
      </c>
      <c r="H7898" t="s">
        <v>35</v>
      </c>
      <c r="J7898" t="s">
        <v>7854</v>
      </c>
      <c r="K7898" t="s">
        <v>1092</v>
      </c>
      <c r="M7898">
        <v>0.25</v>
      </c>
      <c r="N7898">
        <v>229</v>
      </c>
      <c r="O7898" t="s">
        <v>5</v>
      </c>
      <c r="Q7898" t="s">
        <v>1140</v>
      </c>
      <c r="R7898" t="s">
        <v>6847</v>
      </c>
      <c r="S7898" t="s">
        <v>1034</v>
      </c>
      <c r="T7898" t="s">
        <v>1035</v>
      </c>
    </row>
    <row r="7899" spans="1:20" x14ac:dyDescent="0.25">
      <c r="A7899" t="s">
        <v>59</v>
      </c>
      <c r="B7899" t="s">
        <v>60</v>
      </c>
      <c r="C7899" t="s">
        <v>32</v>
      </c>
      <c r="D7899" t="s">
        <v>953</v>
      </c>
      <c r="E7899" t="s">
        <v>968</v>
      </c>
      <c r="F7899" t="s">
        <v>35</v>
      </c>
      <c r="G7899" t="s">
        <v>35</v>
      </c>
      <c r="H7899" t="s">
        <v>35</v>
      </c>
      <c r="J7899" t="s">
        <v>6981</v>
      </c>
      <c r="K7899" t="s">
        <v>1092</v>
      </c>
      <c r="M7899">
        <v>0.2</v>
      </c>
      <c r="N7899">
        <v>173</v>
      </c>
      <c r="O7899" t="s">
        <v>38</v>
      </c>
      <c r="Q7899" t="s">
        <v>2138</v>
      </c>
      <c r="R7899" t="s">
        <v>6847</v>
      </c>
      <c r="S7899" t="s">
        <v>1034</v>
      </c>
      <c r="T7899" t="s">
        <v>1035</v>
      </c>
    </row>
    <row r="7900" spans="1:20" x14ac:dyDescent="0.25">
      <c r="A7900" t="s">
        <v>59</v>
      </c>
      <c r="B7900" t="s">
        <v>60</v>
      </c>
      <c r="C7900" t="s">
        <v>32</v>
      </c>
      <c r="D7900" t="s">
        <v>953</v>
      </c>
      <c r="E7900" t="s">
        <v>1007</v>
      </c>
      <c r="F7900" t="s">
        <v>35</v>
      </c>
      <c r="G7900" t="s">
        <v>35</v>
      </c>
      <c r="H7900" t="s">
        <v>35</v>
      </c>
      <c r="J7900" t="s">
        <v>7333</v>
      </c>
      <c r="K7900" t="s">
        <v>1092</v>
      </c>
      <c r="M7900">
        <v>0.15</v>
      </c>
      <c r="N7900">
        <v>290</v>
      </c>
      <c r="O7900" t="s">
        <v>5</v>
      </c>
      <c r="Q7900" t="s">
        <v>6028</v>
      </c>
      <c r="R7900" t="s">
        <v>6847</v>
      </c>
      <c r="S7900" t="s">
        <v>1034</v>
      </c>
      <c r="T7900" t="s">
        <v>1035</v>
      </c>
    </row>
    <row r="7901" spans="1:20" x14ac:dyDescent="0.25">
      <c r="A7901" t="s">
        <v>30</v>
      </c>
      <c r="B7901" t="s">
        <v>31</v>
      </c>
      <c r="C7901" t="s">
        <v>32</v>
      </c>
      <c r="D7901" t="s">
        <v>953</v>
      </c>
      <c r="E7901" t="s">
        <v>7558</v>
      </c>
      <c r="F7901" t="s">
        <v>35</v>
      </c>
      <c r="G7901" t="s">
        <v>35</v>
      </c>
      <c r="H7901" t="s">
        <v>35</v>
      </c>
      <c r="J7901" t="s">
        <v>7568</v>
      </c>
      <c r="K7901" t="s">
        <v>1092</v>
      </c>
      <c r="M7901">
        <v>19.98</v>
      </c>
      <c r="N7901">
        <v>13</v>
      </c>
      <c r="O7901" t="s">
        <v>46</v>
      </c>
      <c r="Q7901" t="s">
        <v>1004</v>
      </c>
      <c r="R7901" t="s">
        <v>6847</v>
      </c>
      <c r="S7901" t="s">
        <v>1034</v>
      </c>
      <c r="T7901" t="s">
        <v>1035</v>
      </c>
    </row>
    <row r="7902" spans="1:20" x14ac:dyDescent="0.25">
      <c r="A7902" t="s">
        <v>59</v>
      </c>
      <c r="B7902" t="s">
        <v>60</v>
      </c>
      <c r="C7902" t="s">
        <v>32</v>
      </c>
      <c r="D7902" t="s">
        <v>953</v>
      </c>
      <c r="E7902" t="s">
        <v>7558</v>
      </c>
      <c r="F7902" t="s">
        <v>35</v>
      </c>
      <c r="G7902" t="s">
        <v>35</v>
      </c>
      <c r="H7902" t="s">
        <v>35</v>
      </c>
      <c r="J7902" t="s">
        <v>7568</v>
      </c>
      <c r="K7902" t="s">
        <v>1092</v>
      </c>
      <c r="M7902">
        <v>2</v>
      </c>
      <c r="N7902">
        <v>26</v>
      </c>
      <c r="O7902" t="s">
        <v>46</v>
      </c>
      <c r="Q7902" t="s">
        <v>137</v>
      </c>
      <c r="R7902" t="s">
        <v>6847</v>
      </c>
      <c r="S7902" t="s">
        <v>1034</v>
      </c>
      <c r="T7902" t="s">
        <v>1035</v>
      </c>
    </row>
    <row r="7903" spans="1:20" x14ac:dyDescent="0.25">
      <c r="A7903" t="s">
        <v>59</v>
      </c>
      <c r="B7903" t="s">
        <v>31</v>
      </c>
      <c r="C7903" t="s">
        <v>32</v>
      </c>
      <c r="D7903" t="s">
        <v>953</v>
      </c>
      <c r="E7903" t="s">
        <v>968</v>
      </c>
      <c r="F7903" t="s">
        <v>35</v>
      </c>
      <c r="G7903" t="s">
        <v>35</v>
      </c>
      <c r="H7903" t="s">
        <v>35</v>
      </c>
      <c r="J7903" t="s">
        <v>7012</v>
      </c>
      <c r="K7903" t="s">
        <v>1092</v>
      </c>
      <c r="M7903">
        <v>7.4999999999999997E-2</v>
      </c>
      <c r="N7903">
        <v>135</v>
      </c>
      <c r="O7903" t="s">
        <v>38</v>
      </c>
      <c r="Q7903" t="s">
        <v>2067</v>
      </c>
      <c r="R7903" t="s">
        <v>6847</v>
      </c>
      <c r="S7903" t="s">
        <v>1034</v>
      </c>
      <c r="T7903" t="s">
        <v>1035</v>
      </c>
    </row>
    <row r="7904" spans="1:20" x14ac:dyDescent="0.25">
      <c r="A7904" t="s">
        <v>59</v>
      </c>
      <c r="B7904" t="s">
        <v>60</v>
      </c>
      <c r="C7904" t="s">
        <v>32</v>
      </c>
      <c r="D7904" t="s">
        <v>953</v>
      </c>
      <c r="E7904" t="s">
        <v>968</v>
      </c>
      <c r="F7904" t="s">
        <v>35</v>
      </c>
      <c r="G7904" t="s">
        <v>35</v>
      </c>
      <c r="H7904" t="s">
        <v>35</v>
      </c>
      <c r="J7904" t="s">
        <v>7012</v>
      </c>
      <c r="K7904" t="s">
        <v>1092</v>
      </c>
      <c r="M7904">
        <v>0.15</v>
      </c>
      <c r="N7904">
        <v>143</v>
      </c>
      <c r="O7904" t="s">
        <v>38</v>
      </c>
      <c r="Q7904" t="s">
        <v>1612</v>
      </c>
      <c r="R7904" t="s">
        <v>6847</v>
      </c>
      <c r="S7904" t="s">
        <v>1034</v>
      </c>
      <c r="T7904" t="s">
        <v>1035</v>
      </c>
    </row>
    <row r="7905" spans="1:20" x14ac:dyDescent="0.25">
      <c r="A7905" t="s">
        <v>30</v>
      </c>
      <c r="B7905" t="s">
        <v>31</v>
      </c>
      <c r="C7905" t="s">
        <v>32</v>
      </c>
      <c r="D7905" t="s">
        <v>953</v>
      </c>
      <c r="E7905" t="s">
        <v>968</v>
      </c>
      <c r="F7905" t="s">
        <v>35</v>
      </c>
      <c r="G7905" t="s">
        <v>35</v>
      </c>
      <c r="H7905" t="s">
        <v>35</v>
      </c>
      <c r="J7905" t="s">
        <v>7012</v>
      </c>
      <c r="K7905" t="s">
        <v>1092</v>
      </c>
      <c r="M7905">
        <v>0.15</v>
      </c>
      <c r="N7905">
        <v>206</v>
      </c>
      <c r="O7905" t="s">
        <v>5</v>
      </c>
      <c r="Q7905" t="s">
        <v>1298</v>
      </c>
      <c r="R7905" t="s">
        <v>6847</v>
      </c>
      <c r="S7905" t="s">
        <v>1034</v>
      </c>
      <c r="T7905" t="s">
        <v>1035</v>
      </c>
    </row>
    <row r="7906" spans="1:20" x14ac:dyDescent="0.25">
      <c r="A7906" t="s">
        <v>59</v>
      </c>
      <c r="B7906" t="s">
        <v>60</v>
      </c>
      <c r="C7906" t="s">
        <v>32</v>
      </c>
      <c r="D7906" t="s">
        <v>953</v>
      </c>
      <c r="E7906" t="s">
        <v>1015</v>
      </c>
      <c r="F7906" t="s">
        <v>35</v>
      </c>
      <c r="G7906" t="s">
        <v>35</v>
      </c>
      <c r="H7906" t="s">
        <v>35</v>
      </c>
      <c r="J7906" t="s">
        <v>628</v>
      </c>
      <c r="K7906" t="s">
        <v>1092</v>
      </c>
      <c r="M7906">
        <v>1</v>
      </c>
      <c r="N7906">
        <v>168</v>
      </c>
      <c r="O7906" t="s">
        <v>38</v>
      </c>
      <c r="Q7906" t="s">
        <v>1692</v>
      </c>
      <c r="R7906" t="s">
        <v>6847</v>
      </c>
      <c r="S7906" t="s">
        <v>1034</v>
      </c>
      <c r="T7906" t="s">
        <v>1035</v>
      </c>
    </row>
    <row r="7907" spans="1:20" x14ac:dyDescent="0.25">
      <c r="A7907" t="s">
        <v>59</v>
      </c>
      <c r="B7907" t="s">
        <v>60</v>
      </c>
      <c r="C7907" t="s">
        <v>32</v>
      </c>
      <c r="D7907" t="s">
        <v>953</v>
      </c>
      <c r="E7907" t="s">
        <v>1015</v>
      </c>
      <c r="F7907" t="s">
        <v>35</v>
      </c>
      <c r="G7907" t="s">
        <v>35</v>
      </c>
      <c r="H7907" t="s">
        <v>35</v>
      </c>
      <c r="J7907" t="s">
        <v>7436</v>
      </c>
      <c r="K7907" t="s">
        <v>1092</v>
      </c>
      <c r="M7907">
        <v>5</v>
      </c>
      <c r="N7907">
        <v>55</v>
      </c>
      <c r="O7907" t="s">
        <v>52</v>
      </c>
      <c r="Q7907" t="s">
        <v>90</v>
      </c>
      <c r="R7907" t="s">
        <v>6847</v>
      </c>
      <c r="S7907" t="s">
        <v>1034</v>
      </c>
      <c r="T7907" t="s">
        <v>1035</v>
      </c>
    </row>
    <row r="7908" spans="1:20" x14ac:dyDescent="0.25">
      <c r="A7908" t="s">
        <v>44</v>
      </c>
      <c r="B7908" t="s">
        <v>3</v>
      </c>
      <c r="C7908" t="s">
        <v>32</v>
      </c>
      <c r="D7908" t="s">
        <v>953</v>
      </c>
      <c r="E7908" t="s">
        <v>1015</v>
      </c>
      <c r="F7908" t="s">
        <v>35</v>
      </c>
      <c r="G7908" t="s">
        <v>35</v>
      </c>
      <c r="H7908" t="s">
        <v>35</v>
      </c>
      <c r="J7908" t="s">
        <v>7436</v>
      </c>
      <c r="K7908" t="s">
        <v>1092</v>
      </c>
      <c r="M7908">
        <v>10</v>
      </c>
      <c r="N7908">
        <v>58</v>
      </c>
      <c r="O7908" t="s">
        <v>52</v>
      </c>
      <c r="Q7908" t="s">
        <v>128</v>
      </c>
      <c r="R7908" t="s">
        <v>6847</v>
      </c>
      <c r="S7908" t="s">
        <v>1034</v>
      </c>
      <c r="T7908" t="s">
        <v>1035</v>
      </c>
    </row>
    <row r="7909" spans="1:20" x14ac:dyDescent="0.25">
      <c r="A7909" t="s">
        <v>30</v>
      </c>
      <c r="B7909" t="s">
        <v>31</v>
      </c>
      <c r="C7909" t="s">
        <v>32</v>
      </c>
      <c r="D7909" t="s">
        <v>953</v>
      </c>
      <c r="E7909" t="s">
        <v>1015</v>
      </c>
      <c r="F7909" t="s">
        <v>35</v>
      </c>
      <c r="G7909" t="s">
        <v>35</v>
      </c>
      <c r="H7909" t="s">
        <v>35</v>
      </c>
      <c r="J7909" t="s">
        <v>7436</v>
      </c>
      <c r="K7909" t="s">
        <v>1092</v>
      </c>
      <c r="M7909">
        <v>9.99</v>
      </c>
      <c r="N7909">
        <v>13</v>
      </c>
      <c r="O7909" t="s">
        <v>46</v>
      </c>
      <c r="Q7909" t="s">
        <v>1004</v>
      </c>
      <c r="R7909" t="s">
        <v>6847</v>
      </c>
      <c r="S7909" t="s">
        <v>1034</v>
      </c>
      <c r="T7909" t="s">
        <v>1035</v>
      </c>
    </row>
    <row r="7910" spans="1:20" x14ac:dyDescent="0.25">
      <c r="A7910" t="s">
        <v>59</v>
      </c>
      <c r="B7910" t="s">
        <v>31</v>
      </c>
      <c r="C7910" t="s">
        <v>32</v>
      </c>
      <c r="D7910" t="s">
        <v>953</v>
      </c>
      <c r="E7910" t="s">
        <v>1015</v>
      </c>
      <c r="F7910" t="s">
        <v>35</v>
      </c>
      <c r="G7910" t="s">
        <v>35</v>
      </c>
      <c r="H7910" t="s">
        <v>35</v>
      </c>
      <c r="J7910" t="s">
        <v>7436</v>
      </c>
      <c r="K7910" t="s">
        <v>1092</v>
      </c>
      <c r="M7910">
        <v>4.9950000000000001</v>
      </c>
      <c r="N7910">
        <v>55</v>
      </c>
      <c r="O7910" t="s">
        <v>52</v>
      </c>
      <c r="Q7910" t="s">
        <v>90</v>
      </c>
      <c r="R7910" t="s">
        <v>6847</v>
      </c>
      <c r="S7910" t="s">
        <v>1034</v>
      </c>
      <c r="T7910" t="s">
        <v>1035</v>
      </c>
    </row>
    <row r="7911" spans="1:20" x14ac:dyDescent="0.25">
      <c r="A7911" t="s">
        <v>59</v>
      </c>
      <c r="B7911" t="s">
        <v>31</v>
      </c>
      <c r="C7911" t="s">
        <v>32</v>
      </c>
      <c r="D7911" t="s">
        <v>953</v>
      </c>
      <c r="E7911" t="s">
        <v>1084</v>
      </c>
      <c r="F7911" t="s">
        <v>35</v>
      </c>
      <c r="G7911" t="s">
        <v>35</v>
      </c>
      <c r="H7911" t="s">
        <v>35</v>
      </c>
      <c r="J7911" t="s">
        <v>7833</v>
      </c>
      <c r="K7911" t="s">
        <v>1092</v>
      </c>
      <c r="M7911">
        <v>0.22</v>
      </c>
      <c r="N7911">
        <v>741</v>
      </c>
      <c r="O7911" t="s">
        <v>575</v>
      </c>
      <c r="Q7911" t="s">
        <v>7834</v>
      </c>
      <c r="R7911" t="s">
        <v>6847</v>
      </c>
      <c r="S7911" t="s">
        <v>1034</v>
      </c>
      <c r="T7911" t="s">
        <v>1035</v>
      </c>
    </row>
    <row r="7912" spans="1:20" x14ac:dyDescent="0.25">
      <c r="A7912" t="s">
        <v>30</v>
      </c>
      <c r="B7912" t="s">
        <v>31</v>
      </c>
      <c r="C7912" t="s">
        <v>32</v>
      </c>
      <c r="D7912" t="s">
        <v>953</v>
      </c>
      <c r="E7912" t="s">
        <v>7184</v>
      </c>
      <c r="F7912" t="s">
        <v>35</v>
      </c>
      <c r="G7912" t="s">
        <v>35</v>
      </c>
      <c r="H7912" t="s">
        <v>35</v>
      </c>
      <c r="J7912" t="s">
        <v>7211</v>
      </c>
      <c r="K7912" t="s">
        <v>1092</v>
      </c>
      <c r="M7912">
        <v>4.3650000000000002</v>
      </c>
      <c r="N7912">
        <v>1248</v>
      </c>
      <c r="O7912" t="s">
        <v>575</v>
      </c>
      <c r="Q7912" t="s">
        <v>7212</v>
      </c>
      <c r="R7912" t="s">
        <v>6847</v>
      </c>
      <c r="S7912" t="s">
        <v>1034</v>
      </c>
      <c r="T7912" t="s">
        <v>1035</v>
      </c>
    </row>
    <row r="7913" spans="1:20" x14ac:dyDescent="0.25">
      <c r="A7913" t="s">
        <v>44</v>
      </c>
      <c r="B7913" t="s">
        <v>3</v>
      </c>
      <c r="C7913" t="s">
        <v>32</v>
      </c>
      <c r="D7913" t="s">
        <v>953</v>
      </c>
      <c r="E7913" t="s">
        <v>1007</v>
      </c>
      <c r="F7913" t="s">
        <v>35</v>
      </c>
      <c r="G7913" t="s">
        <v>35</v>
      </c>
      <c r="H7913" t="s">
        <v>35</v>
      </c>
      <c r="J7913" t="s">
        <v>7305</v>
      </c>
      <c r="K7913" t="s">
        <v>1092</v>
      </c>
      <c r="M7913">
        <v>5</v>
      </c>
      <c r="N7913">
        <v>58</v>
      </c>
      <c r="O7913" t="s">
        <v>52</v>
      </c>
      <c r="Q7913" t="s">
        <v>128</v>
      </c>
      <c r="R7913" t="s">
        <v>6847</v>
      </c>
      <c r="S7913" t="s">
        <v>1034</v>
      </c>
      <c r="T7913" t="s">
        <v>1035</v>
      </c>
    </row>
    <row r="7914" spans="1:20" x14ac:dyDescent="0.25">
      <c r="A7914" t="s">
        <v>59</v>
      </c>
      <c r="B7914" t="s">
        <v>60</v>
      </c>
      <c r="C7914" t="s">
        <v>32</v>
      </c>
      <c r="D7914" t="s">
        <v>953</v>
      </c>
      <c r="E7914" t="s">
        <v>1077</v>
      </c>
      <c r="F7914" t="s">
        <v>35</v>
      </c>
      <c r="G7914" t="s">
        <v>35</v>
      </c>
      <c r="H7914" t="s">
        <v>35</v>
      </c>
      <c r="J7914" t="s">
        <v>7720</v>
      </c>
      <c r="K7914" t="s">
        <v>1092</v>
      </c>
      <c r="M7914">
        <v>0.55000000000000004</v>
      </c>
      <c r="N7914">
        <v>2072</v>
      </c>
      <c r="O7914" t="s">
        <v>575</v>
      </c>
      <c r="Q7914" t="s">
        <v>7721</v>
      </c>
      <c r="R7914" t="s">
        <v>6847</v>
      </c>
      <c r="S7914" t="s">
        <v>1034</v>
      </c>
      <c r="T7914" t="s">
        <v>1035</v>
      </c>
    </row>
    <row r="7915" spans="1:20" x14ac:dyDescent="0.25">
      <c r="A7915" t="s">
        <v>59</v>
      </c>
      <c r="B7915" t="s">
        <v>31</v>
      </c>
      <c r="C7915" t="s">
        <v>32</v>
      </c>
      <c r="D7915" t="s">
        <v>953</v>
      </c>
      <c r="E7915" t="s">
        <v>1077</v>
      </c>
      <c r="F7915" t="s">
        <v>35</v>
      </c>
      <c r="G7915" t="s">
        <v>35</v>
      </c>
      <c r="H7915" t="s">
        <v>35</v>
      </c>
      <c r="J7915" t="s">
        <v>7720</v>
      </c>
      <c r="K7915" t="s">
        <v>1092</v>
      </c>
      <c r="M7915">
        <v>0.04</v>
      </c>
      <c r="N7915">
        <v>2630</v>
      </c>
      <c r="O7915" t="s">
        <v>575</v>
      </c>
      <c r="Q7915" t="s">
        <v>7722</v>
      </c>
      <c r="R7915" t="s">
        <v>6847</v>
      </c>
      <c r="S7915" t="s">
        <v>1034</v>
      </c>
      <c r="T7915" t="s">
        <v>1035</v>
      </c>
    </row>
    <row r="7916" spans="1:20" x14ac:dyDescent="0.25">
      <c r="A7916" t="s">
        <v>59</v>
      </c>
      <c r="B7916" t="s">
        <v>60</v>
      </c>
      <c r="C7916" t="s">
        <v>32</v>
      </c>
      <c r="D7916" t="s">
        <v>953</v>
      </c>
      <c r="E7916" t="s">
        <v>968</v>
      </c>
      <c r="F7916" t="s">
        <v>35</v>
      </c>
      <c r="G7916" t="s">
        <v>35</v>
      </c>
      <c r="H7916" t="s">
        <v>35</v>
      </c>
      <c r="J7916" t="s">
        <v>7025</v>
      </c>
      <c r="K7916" t="s">
        <v>1092</v>
      </c>
      <c r="M7916">
        <v>1.65</v>
      </c>
      <c r="N7916">
        <v>83</v>
      </c>
      <c r="O7916" t="s">
        <v>61</v>
      </c>
      <c r="Q7916" t="s">
        <v>897</v>
      </c>
      <c r="R7916" t="s">
        <v>6847</v>
      </c>
      <c r="S7916" t="s">
        <v>1034</v>
      </c>
      <c r="T7916" t="s">
        <v>1035</v>
      </c>
    </row>
    <row r="7917" spans="1:20" x14ac:dyDescent="0.25">
      <c r="A7917" t="s">
        <v>59</v>
      </c>
      <c r="B7917" t="s">
        <v>60</v>
      </c>
      <c r="C7917" t="s">
        <v>32</v>
      </c>
      <c r="D7917" t="s">
        <v>953</v>
      </c>
      <c r="E7917" t="s">
        <v>7740</v>
      </c>
      <c r="F7917" t="s">
        <v>35</v>
      </c>
      <c r="G7917" t="s">
        <v>35</v>
      </c>
      <c r="H7917" t="s">
        <v>35</v>
      </c>
      <c r="J7917" t="s">
        <v>7745</v>
      </c>
      <c r="K7917" t="s">
        <v>1092</v>
      </c>
      <c r="M7917">
        <v>0.5</v>
      </c>
      <c r="N7917">
        <v>68</v>
      </c>
      <c r="O7917" t="s">
        <v>61</v>
      </c>
      <c r="Q7917" t="s">
        <v>805</v>
      </c>
      <c r="R7917" t="s">
        <v>6847</v>
      </c>
      <c r="S7917" t="s">
        <v>1034</v>
      </c>
      <c r="T7917" t="s">
        <v>1035</v>
      </c>
    </row>
    <row r="7918" spans="1:20" x14ac:dyDescent="0.25">
      <c r="A7918" t="s">
        <v>59</v>
      </c>
      <c r="B7918" t="s">
        <v>60</v>
      </c>
      <c r="C7918" t="s">
        <v>32</v>
      </c>
      <c r="D7918" t="s">
        <v>953</v>
      </c>
      <c r="E7918" t="s">
        <v>7558</v>
      </c>
      <c r="F7918" t="s">
        <v>35</v>
      </c>
      <c r="G7918" t="s">
        <v>35</v>
      </c>
      <c r="H7918" t="s">
        <v>35</v>
      </c>
      <c r="J7918" t="s">
        <v>7560</v>
      </c>
      <c r="K7918" t="s">
        <v>1092</v>
      </c>
      <c r="M7918">
        <v>0.56599999999999995</v>
      </c>
      <c r="N7918">
        <v>552</v>
      </c>
      <c r="O7918" t="s">
        <v>575</v>
      </c>
      <c r="Q7918" t="s">
        <v>2199</v>
      </c>
      <c r="R7918" t="s">
        <v>6847</v>
      </c>
      <c r="S7918" t="s">
        <v>1034</v>
      </c>
      <c r="T7918" t="s">
        <v>1035</v>
      </c>
    </row>
    <row r="7919" spans="1:20" x14ac:dyDescent="0.25">
      <c r="A7919" t="s">
        <v>30</v>
      </c>
      <c r="B7919" t="s">
        <v>31</v>
      </c>
      <c r="C7919" t="s">
        <v>32</v>
      </c>
      <c r="D7919" t="s">
        <v>953</v>
      </c>
      <c r="E7919" t="s">
        <v>1077</v>
      </c>
      <c r="F7919" t="s">
        <v>35</v>
      </c>
      <c r="G7919" t="s">
        <v>35</v>
      </c>
      <c r="H7919" t="s">
        <v>35</v>
      </c>
      <c r="J7919" t="s">
        <v>7625</v>
      </c>
      <c r="K7919" t="s">
        <v>1092</v>
      </c>
      <c r="M7919">
        <v>9.99</v>
      </c>
      <c r="N7919">
        <v>13</v>
      </c>
      <c r="O7919" t="s">
        <v>46</v>
      </c>
      <c r="Q7919" t="s">
        <v>1004</v>
      </c>
      <c r="R7919" t="s">
        <v>6847</v>
      </c>
      <c r="S7919" t="s">
        <v>1034</v>
      </c>
      <c r="T7919" t="s">
        <v>1035</v>
      </c>
    </row>
    <row r="7920" spans="1:20" x14ac:dyDescent="0.25">
      <c r="A7920" t="s">
        <v>44</v>
      </c>
      <c r="B7920" t="s">
        <v>51</v>
      </c>
      <c r="C7920" t="s">
        <v>32</v>
      </c>
      <c r="D7920" t="s">
        <v>953</v>
      </c>
      <c r="E7920" t="s">
        <v>1077</v>
      </c>
      <c r="F7920" t="s">
        <v>35</v>
      </c>
      <c r="G7920" t="s">
        <v>35</v>
      </c>
      <c r="H7920" t="s">
        <v>35</v>
      </c>
      <c r="J7920" t="s">
        <v>7625</v>
      </c>
      <c r="K7920" t="s">
        <v>1092</v>
      </c>
      <c r="M7920">
        <v>6</v>
      </c>
      <c r="N7920">
        <v>54</v>
      </c>
      <c r="O7920" t="s">
        <v>52</v>
      </c>
      <c r="Q7920" t="s">
        <v>671</v>
      </c>
      <c r="R7920" t="s">
        <v>6847</v>
      </c>
      <c r="S7920" t="s">
        <v>1034</v>
      </c>
      <c r="T7920" t="s">
        <v>1035</v>
      </c>
    </row>
    <row r="7921" spans="1:20" x14ac:dyDescent="0.25">
      <c r="A7921" t="s">
        <v>44</v>
      </c>
      <c r="B7921" t="s">
        <v>3</v>
      </c>
      <c r="C7921" t="s">
        <v>32</v>
      </c>
      <c r="D7921" t="s">
        <v>953</v>
      </c>
      <c r="E7921" t="s">
        <v>1077</v>
      </c>
      <c r="F7921" t="s">
        <v>35</v>
      </c>
      <c r="G7921" t="s">
        <v>35</v>
      </c>
      <c r="H7921" t="s">
        <v>35</v>
      </c>
      <c r="J7921" t="s">
        <v>7625</v>
      </c>
      <c r="K7921" t="s">
        <v>1092</v>
      </c>
      <c r="M7921">
        <v>5</v>
      </c>
      <c r="N7921">
        <v>58</v>
      </c>
      <c r="O7921" t="s">
        <v>52</v>
      </c>
      <c r="Q7921" t="s">
        <v>128</v>
      </c>
      <c r="R7921" t="s">
        <v>6847</v>
      </c>
      <c r="S7921" t="s">
        <v>1034</v>
      </c>
      <c r="T7921" t="s">
        <v>1035</v>
      </c>
    </row>
    <row r="7922" spans="1:20" x14ac:dyDescent="0.25">
      <c r="A7922" t="s">
        <v>59</v>
      </c>
      <c r="B7922" t="s">
        <v>31</v>
      </c>
      <c r="C7922" t="s">
        <v>32</v>
      </c>
      <c r="D7922" t="s">
        <v>953</v>
      </c>
      <c r="E7922" t="s">
        <v>1077</v>
      </c>
      <c r="F7922" t="s">
        <v>35</v>
      </c>
      <c r="G7922" t="s">
        <v>35</v>
      </c>
      <c r="H7922" t="s">
        <v>35</v>
      </c>
      <c r="J7922" t="s">
        <v>7625</v>
      </c>
      <c r="K7922" t="s">
        <v>1092</v>
      </c>
      <c r="M7922">
        <v>2.7450000000000001</v>
      </c>
      <c r="N7922">
        <v>55</v>
      </c>
      <c r="O7922" t="s">
        <v>52</v>
      </c>
      <c r="Q7922" t="s">
        <v>90</v>
      </c>
      <c r="R7922" t="s">
        <v>6847</v>
      </c>
      <c r="S7922" t="s">
        <v>1034</v>
      </c>
      <c r="T7922" t="s">
        <v>1035</v>
      </c>
    </row>
    <row r="7923" spans="1:20" x14ac:dyDescent="0.25">
      <c r="A7923" t="s">
        <v>59</v>
      </c>
      <c r="B7923" t="s">
        <v>60</v>
      </c>
      <c r="C7923" t="s">
        <v>32</v>
      </c>
      <c r="D7923" t="s">
        <v>953</v>
      </c>
      <c r="E7923" t="s">
        <v>1077</v>
      </c>
      <c r="F7923" t="s">
        <v>35</v>
      </c>
      <c r="G7923" t="s">
        <v>35</v>
      </c>
      <c r="H7923" t="s">
        <v>35</v>
      </c>
      <c r="J7923" t="s">
        <v>7625</v>
      </c>
      <c r="K7923" t="s">
        <v>1092</v>
      </c>
      <c r="M7923">
        <v>2.6</v>
      </c>
      <c r="N7923">
        <v>83</v>
      </c>
      <c r="O7923" t="s">
        <v>61</v>
      </c>
      <c r="Q7923" t="s">
        <v>897</v>
      </c>
      <c r="R7923" t="s">
        <v>6847</v>
      </c>
      <c r="S7923" t="s">
        <v>1034</v>
      </c>
      <c r="T7923" t="s">
        <v>1035</v>
      </c>
    </row>
    <row r="7924" spans="1:20" x14ac:dyDescent="0.25">
      <c r="A7924" t="s">
        <v>59</v>
      </c>
      <c r="B7924" t="s">
        <v>31</v>
      </c>
      <c r="C7924" t="s">
        <v>32</v>
      </c>
      <c r="D7924" t="s">
        <v>953</v>
      </c>
      <c r="E7924" t="s">
        <v>7558</v>
      </c>
      <c r="F7924" t="s">
        <v>35</v>
      </c>
      <c r="G7924" t="s">
        <v>35</v>
      </c>
      <c r="H7924" t="s">
        <v>35</v>
      </c>
      <c r="J7924" t="s">
        <v>7597</v>
      </c>
      <c r="K7924" t="s">
        <v>1092</v>
      </c>
      <c r="M7924">
        <v>2.5</v>
      </c>
      <c r="N7924">
        <v>173</v>
      </c>
      <c r="O7924" t="s">
        <v>38</v>
      </c>
      <c r="Q7924" t="s">
        <v>2138</v>
      </c>
      <c r="R7924" t="s">
        <v>6847</v>
      </c>
      <c r="S7924" t="s">
        <v>1034</v>
      </c>
      <c r="T7924" t="s">
        <v>1035</v>
      </c>
    </row>
    <row r="7925" spans="1:20" x14ac:dyDescent="0.25">
      <c r="A7925" t="s">
        <v>59</v>
      </c>
      <c r="B7925" t="s">
        <v>31</v>
      </c>
      <c r="C7925" t="s">
        <v>32</v>
      </c>
      <c r="D7925" t="s">
        <v>953</v>
      </c>
      <c r="E7925" t="s">
        <v>7558</v>
      </c>
      <c r="F7925" t="s">
        <v>35</v>
      </c>
      <c r="G7925" t="s">
        <v>35</v>
      </c>
      <c r="H7925" t="s">
        <v>35</v>
      </c>
      <c r="J7925" t="s">
        <v>7597</v>
      </c>
      <c r="K7925" t="s">
        <v>1092</v>
      </c>
      <c r="M7925">
        <v>0.58499999999999996</v>
      </c>
      <c r="N7925">
        <v>244</v>
      </c>
      <c r="O7925" t="s">
        <v>5</v>
      </c>
      <c r="Q7925" t="s">
        <v>1688</v>
      </c>
      <c r="R7925" t="s">
        <v>6847</v>
      </c>
      <c r="S7925" t="s">
        <v>1034</v>
      </c>
      <c r="T7925" t="s">
        <v>1035</v>
      </c>
    </row>
    <row r="7926" spans="1:20" x14ac:dyDescent="0.25">
      <c r="A7926" t="s">
        <v>44</v>
      </c>
      <c r="B7926" t="s">
        <v>3</v>
      </c>
      <c r="C7926" t="s">
        <v>32</v>
      </c>
      <c r="D7926" t="s">
        <v>953</v>
      </c>
      <c r="E7926" t="s">
        <v>7558</v>
      </c>
      <c r="F7926" t="s">
        <v>35</v>
      </c>
      <c r="G7926" t="s">
        <v>35</v>
      </c>
      <c r="H7926" t="s">
        <v>35</v>
      </c>
      <c r="J7926" t="s">
        <v>7597</v>
      </c>
      <c r="K7926" t="s">
        <v>1092</v>
      </c>
      <c r="M7926">
        <v>3</v>
      </c>
      <c r="N7926">
        <v>58</v>
      </c>
      <c r="O7926" t="s">
        <v>52</v>
      </c>
      <c r="Q7926" t="s">
        <v>128</v>
      </c>
      <c r="R7926" t="s">
        <v>6847</v>
      </c>
      <c r="S7926" t="s">
        <v>1034</v>
      </c>
      <c r="T7926" t="s">
        <v>1035</v>
      </c>
    </row>
    <row r="7927" spans="1:20" x14ac:dyDescent="0.25">
      <c r="A7927" t="s">
        <v>59</v>
      </c>
      <c r="B7927" t="s">
        <v>60</v>
      </c>
      <c r="C7927" t="s">
        <v>32</v>
      </c>
      <c r="D7927" t="s">
        <v>953</v>
      </c>
      <c r="E7927" t="s">
        <v>7558</v>
      </c>
      <c r="F7927" t="s">
        <v>35</v>
      </c>
      <c r="G7927" t="s">
        <v>35</v>
      </c>
      <c r="H7927" t="s">
        <v>35</v>
      </c>
      <c r="J7927" t="s">
        <v>7597</v>
      </c>
      <c r="K7927" t="s">
        <v>1092</v>
      </c>
      <c r="M7927">
        <v>3</v>
      </c>
      <c r="N7927">
        <v>55</v>
      </c>
      <c r="O7927" t="s">
        <v>52</v>
      </c>
      <c r="Q7927" t="s">
        <v>90</v>
      </c>
      <c r="R7927" t="s">
        <v>6847</v>
      </c>
      <c r="S7927" t="s">
        <v>1034</v>
      </c>
      <c r="T7927" t="s">
        <v>1035</v>
      </c>
    </row>
    <row r="7928" spans="1:20" x14ac:dyDescent="0.25">
      <c r="A7928" t="s">
        <v>59</v>
      </c>
      <c r="B7928" t="s">
        <v>60</v>
      </c>
      <c r="C7928" t="s">
        <v>32</v>
      </c>
      <c r="D7928" t="s">
        <v>953</v>
      </c>
      <c r="E7928" t="s">
        <v>7558</v>
      </c>
      <c r="F7928" t="s">
        <v>35</v>
      </c>
      <c r="G7928" t="s">
        <v>35</v>
      </c>
      <c r="H7928" t="s">
        <v>35</v>
      </c>
      <c r="J7928" t="s">
        <v>7597</v>
      </c>
      <c r="K7928" t="s">
        <v>1092</v>
      </c>
      <c r="M7928">
        <v>1.1000000000000001</v>
      </c>
      <c r="N7928">
        <v>83</v>
      </c>
      <c r="O7928" t="s">
        <v>61</v>
      </c>
      <c r="Q7928" t="s">
        <v>897</v>
      </c>
      <c r="R7928" t="s">
        <v>6847</v>
      </c>
      <c r="S7928" t="s">
        <v>1034</v>
      </c>
      <c r="T7928" t="s">
        <v>1035</v>
      </c>
    </row>
    <row r="7929" spans="1:20" x14ac:dyDescent="0.25">
      <c r="A7929" t="s">
        <v>30</v>
      </c>
      <c r="B7929" t="s">
        <v>31</v>
      </c>
      <c r="C7929" t="s">
        <v>32</v>
      </c>
      <c r="D7929" t="s">
        <v>953</v>
      </c>
      <c r="E7929" t="s">
        <v>7740</v>
      </c>
      <c r="F7929" t="s">
        <v>35</v>
      </c>
      <c r="G7929" t="s">
        <v>35</v>
      </c>
      <c r="H7929" t="s">
        <v>35</v>
      </c>
      <c r="J7929" t="s">
        <v>7746</v>
      </c>
      <c r="K7929" t="s">
        <v>1092</v>
      </c>
      <c r="M7929">
        <v>9.4949999999999992</v>
      </c>
      <c r="N7929">
        <v>41</v>
      </c>
      <c r="O7929" t="s">
        <v>52</v>
      </c>
      <c r="Q7929" t="s">
        <v>496</v>
      </c>
      <c r="R7929" t="s">
        <v>6847</v>
      </c>
      <c r="S7929" t="s">
        <v>1034</v>
      </c>
      <c r="T7929" t="s">
        <v>1035</v>
      </c>
    </row>
    <row r="7930" spans="1:20" x14ac:dyDescent="0.25">
      <c r="A7930" t="s">
        <v>59</v>
      </c>
      <c r="B7930" t="s">
        <v>60</v>
      </c>
      <c r="C7930" t="s">
        <v>32</v>
      </c>
      <c r="D7930" t="s">
        <v>953</v>
      </c>
      <c r="E7930" t="s">
        <v>7740</v>
      </c>
      <c r="F7930" t="s">
        <v>35</v>
      </c>
      <c r="G7930" t="s">
        <v>35</v>
      </c>
      <c r="H7930" t="s">
        <v>35</v>
      </c>
      <c r="J7930" t="s">
        <v>7746</v>
      </c>
      <c r="K7930" t="s">
        <v>1092</v>
      </c>
      <c r="M7930">
        <v>3.1</v>
      </c>
      <c r="N7930">
        <v>83</v>
      </c>
      <c r="O7930" t="s">
        <v>61</v>
      </c>
      <c r="Q7930" t="s">
        <v>897</v>
      </c>
      <c r="R7930" t="s">
        <v>6847</v>
      </c>
      <c r="S7930" t="s">
        <v>1034</v>
      </c>
      <c r="T7930" t="s">
        <v>1035</v>
      </c>
    </row>
    <row r="7931" spans="1:20" x14ac:dyDescent="0.25">
      <c r="A7931" t="s">
        <v>44</v>
      </c>
      <c r="B7931" t="s">
        <v>3</v>
      </c>
      <c r="C7931" t="s">
        <v>32</v>
      </c>
      <c r="D7931" t="s">
        <v>953</v>
      </c>
      <c r="E7931" t="s">
        <v>1015</v>
      </c>
      <c r="F7931" t="s">
        <v>35</v>
      </c>
      <c r="G7931" t="s">
        <v>35</v>
      </c>
      <c r="H7931" t="s">
        <v>35</v>
      </c>
      <c r="J7931" t="s">
        <v>7353</v>
      </c>
      <c r="K7931" t="s">
        <v>1092</v>
      </c>
      <c r="M7931">
        <v>0.15</v>
      </c>
      <c r="N7931">
        <v>54</v>
      </c>
      <c r="O7931" t="s">
        <v>52</v>
      </c>
      <c r="Q7931" t="s">
        <v>671</v>
      </c>
      <c r="R7931" t="s">
        <v>6847</v>
      </c>
      <c r="S7931" t="s">
        <v>1034</v>
      </c>
      <c r="T7931" t="s">
        <v>1035</v>
      </c>
    </row>
    <row r="7932" spans="1:20" x14ac:dyDescent="0.25">
      <c r="A7932" t="s">
        <v>59</v>
      </c>
      <c r="B7932" t="s">
        <v>60</v>
      </c>
      <c r="C7932" t="s">
        <v>32</v>
      </c>
      <c r="D7932" t="s">
        <v>953</v>
      </c>
      <c r="E7932" t="s">
        <v>1015</v>
      </c>
      <c r="F7932" t="s">
        <v>35</v>
      </c>
      <c r="G7932" t="s">
        <v>35</v>
      </c>
      <c r="H7932" t="s">
        <v>35</v>
      </c>
      <c r="J7932" t="s">
        <v>7414</v>
      </c>
      <c r="K7932" t="s">
        <v>1092</v>
      </c>
      <c r="M7932">
        <v>0.75</v>
      </c>
      <c r="N7932">
        <v>54</v>
      </c>
      <c r="O7932" t="s">
        <v>52</v>
      </c>
      <c r="Q7932" t="s">
        <v>671</v>
      </c>
      <c r="R7932" t="s">
        <v>6847</v>
      </c>
      <c r="S7932" t="s">
        <v>1034</v>
      </c>
      <c r="T7932" t="s">
        <v>1035</v>
      </c>
    </row>
    <row r="7933" spans="1:20" x14ac:dyDescent="0.25">
      <c r="A7933" t="s">
        <v>59</v>
      </c>
      <c r="B7933" t="s">
        <v>31</v>
      </c>
      <c r="C7933" t="s">
        <v>32</v>
      </c>
      <c r="D7933" t="s">
        <v>953</v>
      </c>
      <c r="E7933" t="s">
        <v>968</v>
      </c>
      <c r="F7933" t="s">
        <v>35</v>
      </c>
      <c r="G7933" t="s">
        <v>35</v>
      </c>
      <c r="H7933" t="s">
        <v>35</v>
      </c>
      <c r="J7933" t="s">
        <v>6987</v>
      </c>
      <c r="K7933" t="s">
        <v>1092</v>
      </c>
      <c r="M7933">
        <v>4.5449999999999999</v>
      </c>
      <c r="N7933">
        <v>47</v>
      </c>
      <c r="O7933" t="s">
        <v>52</v>
      </c>
      <c r="Q7933" t="s">
        <v>1207</v>
      </c>
      <c r="R7933" t="s">
        <v>6847</v>
      </c>
      <c r="S7933" t="s">
        <v>1034</v>
      </c>
      <c r="T7933" t="s">
        <v>1035</v>
      </c>
    </row>
    <row r="7934" spans="1:20" x14ac:dyDescent="0.25">
      <c r="A7934" t="s">
        <v>59</v>
      </c>
      <c r="B7934" t="s">
        <v>60</v>
      </c>
      <c r="C7934" t="s">
        <v>32</v>
      </c>
      <c r="D7934" t="s">
        <v>953</v>
      </c>
      <c r="F7934" t="s">
        <v>35</v>
      </c>
      <c r="G7934" t="s">
        <v>35</v>
      </c>
      <c r="H7934" t="s">
        <v>35</v>
      </c>
      <c r="J7934" t="s">
        <v>7971</v>
      </c>
      <c r="K7934" t="s">
        <v>1092</v>
      </c>
      <c r="M7934">
        <v>0.5</v>
      </c>
      <c r="N7934">
        <v>2197</v>
      </c>
      <c r="O7934" t="s">
        <v>575</v>
      </c>
      <c r="Q7934" t="s">
        <v>7972</v>
      </c>
      <c r="R7934" t="s">
        <v>6847</v>
      </c>
      <c r="S7934" t="s">
        <v>1034</v>
      </c>
      <c r="T7934" t="s">
        <v>1035</v>
      </c>
    </row>
    <row r="7935" spans="1:20" x14ac:dyDescent="0.25">
      <c r="A7935" t="s">
        <v>59</v>
      </c>
      <c r="B7935" t="s">
        <v>31</v>
      </c>
      <c r="C7935" t="s">
        <v>32</v>
      </c>
      <c r="D7935" t="s">
        <v>953</v>
      </c>
      <c r="E7935" t="s">
        <v>7494</v>
      </c>
      <c r="F7935" t="s">
        <v>35</v>
      </c>
      <c r="G7935" t="s">
        <v>35</v>
      </c>
      <c r="H7935" t="s">
        <v>35</v>
      </c>
      <c r="J7935" t="s">
        <v>7495</v>
      </c>
      <c r="K7935" t="s">
        <v>1092</v>
      </c>
      <c r="M7935">
        <v>4.59</v>
      </c>
      <c r="N7935">
        <v>47</v>
      </c>
      <c r="O7935" t="s">
        <v>52</v>
      </c>
      <c r="Q7935" t="s">
        <v>1207</v>
      </c>
      <c r="R7935" t="s">
        <v>6847</v>
      </c>
      <c r="S7935" t="s">
        <v>1034</v>
      </c>
      <c r="T7935" t="s">
        <v>1035</v>
      </c>
    </row>
    <row r="7936" spans="1:20" x14ac:dyDescent="0.25">
      <c r="A7936" t="s">
        <v>59</v>
      </c>
      <c r="B7936" t="s">
        <v>60</v>
      </c>
      <c r="C7936" t="s">
        <v>32</v>
      </c>
      <c r="D7936" t="s">
        <v>953</v>
      </c>
      <c r="E7936" t="s">
        <v>7842</v>
      </c>
      <c r="F7936" t="s">
        <v>35</v>
      </c>
      <c r="G7936" t="s">
        <v>35</v>
      </c>
      <c r="H7936" t="s">
        <v>35</v>
      </c>
      <c r="J7936" t="s">
        <v>3494</v>
      </c>
      <c r="K7936" t="s">
        <v>1092</v>
      </c>
      <c r="M7936">
        <v>1</v>
      </c>
      <c r="N7936">
        <v>1183</v>
      </c>
      <c r="O7936" t="s">
        <v>575</v>
      </c>
      <c r="Q7936" t="s">
        <v>7849</v>
      </c>
      <c r="R7936" t="s">
        <v>6847</v>
      </c>
      <c r="S7936" t="s">
        <v>1034</v>
      </c>
      <c r="T7936" t="s">
        <v>1035</v>
      </c>
    </row>
    <row r="7937" spans="1:20" x14ac:dyDescent="0.25">
      <c r="A7937" t="s">
        <v>59</v>
      </c>
      <c r="B7937" t="s">
        <v>60</v>
      </c>
      <c r="C7937" t="s">
        <v>32</v>
      </c>
      <c r="D7937" t="s">
        <v>953</v>
      </c>
      <c r="E7937" t="s">
        <v>1077</v>
      </c>
      <c r="F7937" t="s">
        <v>35</v>
      </c>
      <c r="G7937" t="s">
        <v>35</v>
      </c>
      <c r="H7937" t="s">
        <v>35</v>
      </c>
      <c r="J7937" t="s">
        <v>7663</v>
      </c>
      <c r="K7937" t="s">
        <v>1092</v>
      </c>
      <c r="M7937">
        <v>1.25</v>
      </c>
      <c r="N7937">
        <v>83</v>
      </c>
      <c r="O7937" t="s">
        <v>61</v>
      </c>
      <c r="Q7937" t="s">
        <v>897</v>
      </c>
      <c r="R7937" t="s">
        <v>6847</v>
      </c>
      <c r="S7937" t="s">
        <v>1034</v>
      </c>
      <c r="T7937" t="s">
        <v>1035</v>
      </c>
    </row>
    <row r="7938" spans="1:20" x14ac:dyDescent="0.25">
      <c r="A7938" t="s">
        <v>44</v>
      </c>
      <c r="B7938" t="s">
        <v>51</v>
      </c>
      <c r="C7938" t="s">
        <v>32</v>
      </c>
      <c r="D7938" t="s">
        <v>953</v>
      </c>
      <c r="E7938" t="s">
        <v>1077</v>
      </c>
      <c r="F7938" t="s">
        <v>35</v>
      </c>
      <c r="G7938" t="s">
        <v>35</v>
      </c>
      <c r="H7938" t="s">
        <v>35</v>
      </c>
      <c r="J7938" t="s">
        <v>7663</v>
      </c>
      <c r="K7938" t="s">
        <v>1092</v>
      </c>
      <c r="M7938">
        <v>1.5</v>
      </c>
      <c r="N7938">
        <v>54</v>
      </c>
      <c r="O7938" t="s">
        <v>52</v>
      </c>
      <c r="Q7938" t="s">
        <v>671</v>
      </c>
      <c r="R7938" t="s">
        <v>6847</v>
      </c>
      <c r="S7938" t="s">
        <v>1034</v>
      </c>
      <c r="T7938" t="s">
        <v>1035</v>
      </c>
    </row>
    <row r="7939" spans="1:20" x14ac:dyDescent="0.25">
      <c r="A7939" t="s">
        <v>59</v>
      </c>
      <c r="B7939" t="s">
        <v>31</v>
      </c>
      <c r="C7939" t="s">
        <v>32</v>
      </c>
      <c r="D7939" t="s">
        <v>953</v>
      </c>
      <c r="E7939" t="s">
        <v>1077</v>
      </c>
      <c r="F7939" t="s">
        <v>35</v>
      </c>
      <c r="G7939" t="s">
        <v>35</v>
      </c>
      <c r="H7939" t="s">
        <v>35</v>
      </c>
      <c r="J7939" t="s">
        <v>7663</v>
      </c>
      <c r="K7939" t="s">
        <v>1092</v>
      </c>
      <c r="M7939">
        <v>0.76500000000000001</v>
      </c>
      <c r="N7939">
        <v>83</v>
      </c>
      <c r="O7939" t="s">
        <v>61</v>
      </c>
      <c r="Q7939" t="s">
        <v>897</v>
      </c>
      <c r="R7939" t="s">
        <v>6847</v>
      </c>
      <c r="S7939" t="s">
        <v>1034</v>
      </c>
      <c r="T7939" t="s">
        <v>1035</v>
      </c>
    </row>
    <row r="7940" spans="1:20" x14ac:dyDescent="0.25">
      <c r="A7940" t="s">
        <v>59</v>
      </c>
      <c r="B7940" t="s">
        <v>60</v>
      </c>
      <c r="C7940" t="s">
        <v>32</v>
      </c>
      <c r="D7940" t="s">
        <v>953</v>
      </c>
      <c r="E7940" t="s">
        <v>1015</v>
      </c>
      <c r="F7940" t="s">
        <v>35</v>
      </c>
      <c r="G7940" t="s">
        <v>35</v>
      </c>
      <c r="H7940" t="s">
        <v>35</v>
      </c>
      <c r="J7940" t="s">
        <v>7398</v>
      </c>
      <c r="K7940" t="s">
        <v>1092</v>
      </c>
      <c r="M7940">
        <v>8</v>
      </c>
      <c r="N7940">
        <v>83</v>
      </c>
      <c r="O7940" t="s">
        <v>61</v>
      </c>
      <c r="Q7940" t="s">
        <v>897</v>
      </c>
      <c r="R7940" t="s">
        <v>6847</v>
      </c>
      <c r="S7940" t="s">
        <v>1034</v>
      </c>
      <c r="T7940" t="s">
        <v>1035</v>
      </c>
    </row>
    <row r="7941" spans="1:20" x14ac:dyDescent="0.25">
      <c r="A7941" t="s">
        <v>44</v>
      </c>
      <c r="B7941" t="s">
        <v>3</v>
      </c>
      <c r="C7941" t="s">
        <v>32</v>
      </c>
      <c r="D7941" t="s">
        <v>953</v>
      </c>
      <c r="E7941" t="s">
        <v>968</v>
      </c>
      <c r="F7941" t="s">
        <v>35</v>
      </c>
      <c r="G7941" t="s">
        <v>35</v>
      </c>
      <c r="H7941" t="s">
        <v>35</v>
      </c>
      <c r="J7941" t="s">
        <v>6992</v>
      </c>
      <c r="K7941" t="s">
        <v>1092</v>
      </c>
      <c r="M7941">
        <v>3.45</v>
      </c>
      <c r="N7941">
        <v>58</v>
      </c>
      <c r="O7941" t="s">
        <v>52</v>
      </c>
      <c r="Q7941" t="s">
        <v>128</v>
      </c>
      <c r="R7941" t="s">
        <v>6847</v>
      </c>
      <c r="S7941" t="s">
        <v>1034</v>
      </c>
      <c r="T7941" t="s">
        <v>1035</v>
      </c>
    </row>
    <row r="7942" spans="1:20" x14ac:dyDescent="0.25">
      <c r="A7942" t="s">
        <v>59</v>
      </c>
      <c r="B7942" t="s">
        <v>60</v>
      </c>
      <c r="C7942" t="s">
        <v>32</v>
      </c>
      <c r="D7942" t="s">
        <v>953</v>
      </c>
      <c r="E7942" t="s">
        <v>968</v>
      </c>
      <c r="F7942" t="s">
        <v>35</v>
      </c>
      <c r="G7942" t="s">
        <v>35</v>
      </c>
      <c r="H7942" t="s">
        <v>35</v>
      </c>
      <c r="J7942" t="s">
        <v>6992</v>
      </c>
      <c r="K7942" t="s">
        <v>1092</v>
      </c>
      <c r="M7942">
        <v>0.55000000000000004</v>
      </c>
      <c r="N7942">
        <v>55</v>
      </c>
      <c r="O7942" t="s">
        <v>52</v>
      </c>
      <c r="Q7942" t="s">
        <v>90</v>
      </c>
      <c r="R7942" t="s">
        <v>6847</v>
      </c>
      <c r="S7942" t="s">
        <v>1034</v>
      </c>
      <c r="T7942" t="s">
        <v>1035</v>
      </c>
    </row>
    <row r="7943" spans="1:20" x14ac:dyDescent="0.25">
      <c r="A7943" t="s">
        <v>59</v>
      </c>
      <c r="B7943" t="s">
        <v>60</v>
      </c>
      <c r="C7943" t="s">
        <v>32</v>
      </c>
      <c r="D7943" t="s">
        <v>953</v>
      </c>
      <c r="F7943" t="s">
        <v>35</v>
      </c>
      <c r="G7943" t="s">
        <v>35</v>
      </c>
      <c r="H7943" t="s">
        <v>35</v>
      </c>
      <c r="J7943" t="s">
        <v>7963</v>
      </c>
      <c r="K7943" t="s">
        <v>1092</v>
      </c>
      <c r="M7943">
        <v>0.15</v>
      </c>
      <c r="N7943">
        <v>1714</v>
      </c>
      <c r="O7943" t="s">
        <v>575</v>
      </c>
      <c r="Q7943" t="s">
        <v>7964</v>
      </c>
      <c r="R7943" t="s">
        <v>6847</v>
      </c>
      <c r="S7943" t="s">
        <v>1034</v>
      </c>
      <c r="T7943" t="s">
        <v>1035</v>
      </c>
    </row>
    <row r="7944" spans="1:20" x14ac:dyDescent="0.25">
      <c r="A7944" t="s">
        <v>59</v>
      </c>
      <c r="B7944" t="s">
        <v>31</v>
      </c>
      <c r="C7944" t="s">
        <v>32</v>
      </c>
      <c r="D7944" t="s">
        <v>953</v>
      </c>
      <c r="E7944" t="s">
        <v>6878</v>
      </c>
      <c r="F7944" t="s">
        <v>35</v>
      </c>
      <c r="G7944" t="s">
        <v>35</v>
      </c>
      <c r="H7944" t="s">
        <v>35</v>
      </c>
      <c r="J7944" t="s">
        <v>6929</v>
      </c>
      <c r="K7944" t="s">
        <v>1092</v>
      </c>
      <c r="M7944">
        <v>4.9950000000000001</v>
      </c>
      <c r="N7944">
        <v>55</v>
      </c>
      <c r="O7944" t="s">
        <v>52</v>
      </c>
      <c r="Q7944" t="s">
        <v>90</v>
      </c>
      <c r="R7944" t="s">
        <v>6847</v>
      </c>
      <c r="S7944" t="s">
        <v>1034</v>
      </c>
      <c r="T7944" t="s">
        <v>1035</v>
      </c>
    </row>
    <row r="7945" spans="1:20" x14ac:dyDescent="0.25">
      <c r="A7945" t="s">
        <v>30</v>
      </c>
      <c r="B7945" t="s">
        <v>31</v>
      </c>
      <c r="C7945" t="s">
        <v>32</v>
      </c>
      <c r="D7945" t="s">
        <v>953</v>
      </c>
      <c r="E7945" t="s">
        <v>6878</v>
      </c>
      <c r="F7945" t="s">
        <v>35</v>
      </c>
      <c r="G7945" t="s">
        <v>35</v>
      </c>
      <c r="H7945" t="s">
        <v>35</v>
      </c>
      <c r="J7945" t="s">
        <v>6929</v>
      </c>
      <c r="K7945" t="s">
        <v>1092</v>
      </c>
      <c r="M7945">
        <v>5.49</v>
      </c>
      <c r="N7945">
        <v>27</v>
      </c>
      <c r="O7945" t="s">
        <v>46</v>
      </c>
      <c r="Q7945" t="s">
        <v>809</v>
      </c>
      <c r="R7945" t="s">
        <v>6847</v>
      </c>
      <c r="S7945" t="s">
        <v>1034</v>
      </c>
      <c r="T7945" t="s">
        <v>1035</v>
      </c>
    </row>
    <row r="7946" spans="1:20" x14ac:dyDescent="0.25">
      <c r="A7946" t="s">
        <v>30</v>
      </c>
      <c r="B7946" t="s">
        <v>31</v>
      </c>
      <c r="C7946" t="s">
        <v>32</v>
      </c>
      <c r="D7946" t="s">
        <v>953</v>
      </c>
      <c r="E7946" t="s">
        <v>6878</v>
      </c>
      <c r="F7946" t="s">
        <v>35</v>
      </c>
      <c r="G7946" t="s">
        <v>35</v>
      </c>
      <c r="H7946" t="s">
        <v>35</v>
      </c>
      <c r="J7946" t="s">
        <v>6929</v>
      </c>
      <c r="K7946" t="s">
        <v>1092</v>
      </c>
      <c r="M7946">
        <v>5.49</v>
      </c>
      <c r="N7946">
        <v>41</v>
      </c>
      <c r="O7946" t="s">
        <v>52</v>
      </c>
      <c r="Q7946" t="s">
        <v>496</v>
      </c>
      <c r="R7946" t="s">
        <v>6847</v>
      </c>
      <c r="S7946" t="s">
        <v>1034</v>
      </c>
      <c r="T7946" t="s">
        <v>1035</v>
      </c>
    </row>
    <row r="7947" spans="1:20" x14ac:dyDescent="0.25">
      <c r="A7947" t="s">
        <v>30</v>
      </c>
      <c r="B7947" t="s">
        <v>31</v>
      </c>
      <c r="C7947" t="s">
        <v>32</v>
      </c>
      <c r="D7947" t="s">
        <v>953</v>
      </c>
      <c r="E7947" t="s">
        <v>6878</v>
      </c>
      <c r="F7947" t="s">
        <v>35</v>
      </c>
      <c r="G7947" t="s">
        <v>35</v>
      </c>
      <c r="H7947" t="s">
        <v>35</v>
      </c>
      <c r="J7947" t="s">
        <v>6929</v>
      </c>
      <c r="K7947" t="s">
        <v>1092</v>
      </c>
      <c r="M7947">
        <v>0.94499999999999995</v>
      </c>
      <c r="N7947">
        <v>199</v>
      </c>
      <c r="O7947" t="s">
        <v>5</v>
      </c>
      <c r="Q7947" t="s">
        <v>1328</v>
      </c>
      <c r="R7947" t="s">
        <v>6847</v>
      </c>
      <c r="S7947" t="s">
        <v>1034</v>
      </c>
      <c r="T7947" t="s">
        <v>1035</v>
      </c>
    </row>
    <row r="7948" spans="1:20" x14ac:dyDescent="0.25">
      <c r="A7948" t="s">
        <v>44</v>
      </c>
      <c r="B7948" t="s">
        <v>3</v>
      </c>
      <c r="C7948" t="s">
        <v>32</v>
      </c>
      <c r="D7948" t="s">
        <v>953</v>
      </c>
      <c r="E7948" t="s">
        <v>7558</v>
      </c>
      <c r="F7948" t="s">
        <v>35</v>
      </c>
      <c r="G7948" t="s">
        <v>35</v>
      </c>
      <c r="H7948" t="s">
        <v>35</v>
      </c>
      <c r="J7948" t="s">
        <v>7617</v>
      </c>
      <c r="K7948" t="s">
        <v>1092</v>
      </c>
      <c r="M7948">
        <v>0.5</v>
      </c>
      <c r="N7948">
        <v>58</v>
      </c>
      <c r="O7948" t="s">
        <v>52</v>
      </c>
      <c r="Q7948" t="s">
        <v>128</v>
      </c>
      <c r="R7948" t="s">
        <v>6847</v>
      </c>
      <c r="S7948" t="s">
        <v>1034</v>
      </c>
      <c r="T7948" t="s">
        <v>1035</v>
      </c>
    </row>
    <row r="7949" spans="1:20" x14ac:dyDescent="0.25">
      <c r="A7949" t="s">
        <v>59</v>
      </c>
      <c r="B7949" t="s">
        <v>31</v>
      </c>
      <c r="C7949" t="s">
        <v>32</v>
      </c>
      <c r="D7949" t="s">
        <v>953</v>
      </c>
      <c r="E7949" t="s">
        <v>7558</v>
      </c>
      <c r="F7949" t="s">
        <v>35</v>
      </c>
      <c r="G7949" t="s">
        <v>35</v>
      </c>
      <c r="H7949" t="s">
        <v>35</v>
      </c>
      <c r="J7949" t="s">
        <v>7617</v>
      </c>
      <c r="K7949" t="s">
        <v>1092</v>
      </c>
      <c r="M7949">
        <v>2.88</v>
      </c>
      <c r="N7949">
        <v>55</v>
      </c>
      <c r="O7949" t="s">
        <v>52</v>
      </c>
      <c r="Q7949" t="s">
        <v>90</v>
      </c>
      <c r="R7949" t="s">
        <v>6847</v>
      </c>
      <c r="S7949" t="s">
        <v>1034</v>
      </c>
      <c r="T7949" t="s">
        <v>1035</v>
      </c>
    </row>
    <row r="7950" spans="1:20" x14ac:dyDescent="0.25">
      <c r="A7950" t="s">
        <v>30</v>
      </c>
      <c r="B7950" t="s">
        <v>31</v>
      </c>
      <c r="C7950" t="s">
        <v>32</v>
      </c>
      <c r="D7950" t="s">
        <v>953</v>
      </c>
      <c r="E7950" t="s">
        <v>7558</v>
      </c>
      <c r="F7950" t="s">
        <v>35</v>
      </c>
      <c r="G7950" t="s">
        <v>35</v>
      </c>
      <c r="H7950" t="s">
        <v>35</v>
      </c>
      <c r="J7950" t="s">
        <v>7617</v>
      </c>
      <c r="K7950" t="s">
        <v>1092</v>
      </c>
      <c r="M7950">
        <v>9.99</v>
      </c>
      <c r="N7950">
        <v>13</v>
      </c>
      <c r="O7950" t="s">
        <v>46</v>
      </c>
      <c r="Q7950" t="s">
        <v>1004</v>
      </c>
      <c r="R7950" t="s">
        <v>6847</v>
      </c>
      <c r="S7950" t="s">
        <v>1034</v>
      </c>
      <c r="T7950" t="s">
        <v>1035</v>
      </c>
    </row>
    <row r="7951" spans="1:20" x14ac:dyDescent="0.25">
      <c r="A7951" t="s">
        <v>30</v>
      </c>
      <c r="B7951" t="s">
        <v>31</v>
      </c>
      <c r="C7951" t="s">
        <v>32</v>
      </c>
      <c r="D7951" t="s">
        <v>953</v>
      </c>
      <c r="E7951" t="s">
        <v>7558</v>
      </c>
      <c r="F7951" t="s">
        <v>35</v>
      </c>
      <c r="G7951" t="s">
        <v>35</v>
      </c>
      <c r="H7951" t="s">
        <v>35</v>
      </c>
      <c r="J7951" t="s">
        <v>7617</v>
      </c>
      <c r="K7951" t="s">
        <v>1092</v>
      </c>
      <c r="M7951">
        <v>7.6050000000000004</v>
      </c>
      <c r="N7951">
        <v>41</v>
      </c>
      <c r="O7951" t="s">
        <v>52</v>
      </c>
      <c r="Q7951" t="s">
        <v>496</v>
      </c>
      <c r="R7951" t="s">
        <v>6847</v>
      </c>
      <c r="S7951" t="s">
        <v>1034</v>
      </c>
      <c r="T7951" t="s">
        <v>1035</v>
      </c>
    </row>
    <row r="7952" spans="1:20" x14ac:dyDescent="0.25">
      <c r="A7952" t="s">
        <v>59</v>
      </c>
      <c r="B7952" t="s">
        <v>31</v>
      </c>
      <c r="C7952" t="s">
        <v>32</v>
      </c>
      <c r="D7952" t="s">
        <v>953</v>
      </c>
      <c r="E7952" t="s">
        <v>1077</v>
      </c>
      <c r="F7952" t="s">
        <v>35</v>
      </c>
      <c r="G7952" t="s">
        <v>35</v>
      </c>
      <c r="H7952" t="s">
        <v>35</v>
      </c>
      <c r="J7952" t="s">
        <v>7728</v>
      </c>
      <c r="K7952" t="s">
        <v>1092</v>
      </c>
      <c r="M7952">
        <v>4.4999999999999998E-2</v>
      </c>
      <c r="N7952">
        <v>808</v>
      </c>
      <c r="O7952" t="s">
        <v>575</v>
      </c>
      <c r="Q7952" t="s">
        <v>7729</v>
      </c>
      <c r="R7952" t="s">
        <v>6847</v>
      </c>
      <c r="S7952" t="s">
        <v>1034</v>
      </c>
      <c r="T7952" t="s">
        <v>1035</v>
      </c>
    </row>
    <row r="7953" spans="1:20" x14ac:dyDescent="0.25">
      <c r="A7953" t="s">
        <v>59</v>
      </c>
      <c r="B7953" t="s">
        <v>31</v>
      </c>
      <c r="C7953" t="s">
        <v>32</v>
      </c>
      <c r="D7953" t="s">
        <v>953</v>
      </c>
      <c r="E7953" t="s">
        <v>1077</v>
      </c>
      <c r="F7953" t="s">
        <v>35</v>
      </c>
      <c r="G7953" t="s">
        <v>35</v>
      </c>
      <c r="H7953" t="s">
        <v>35</v>
      </c>
      <c r="J7953" t="s">
        <v>7648</v>
      </c>
      <c r="K7953" t="s">
        <v>1092</v>
      </c>
      <c r="M7953">
        <v>3.4580000000000002</v>
      </c>
      <c r="N7953">
        <v>145</v>
      </c>
      <c r="O7953" t="s">
        <v>38</v>
      </c>
      <c r="Q7953" t="s">
        <v>408</v>
      </c>
      <c r="R7953" t="s">
        <v>6847</v>
      </c>
      <c r="S7953" t="s">
        <v>1034</v>
      </c>
      <c r="T7953" t="s">
        <v>1035</v>
      </c>
    </row>
    <row r="7954" spans="1:20" x14ac:dyDescent="0.25">
      <c r="A7954" t="s">
        <v>59</v>
      </c>
      <c r="B7954" t="s">
        <v>31</v>
      </c>
      <c r="C7954" t="s">
        <v>32</v>
      </c>
      <c r="D7954" t="s">
        <v>953</v>
      </c>
      <c r="E7954" t="s">
        <v>6878</v>
      </c>
      <c r="F7954" t="s">
        <v>35</v>
      </c>
      <c r="G7954" t="s">
        <v>35</v>
      </c>
      <c r="H7954" t="s">
        <v>35</v>
      </c>
      <c r="J7954" t="s">
        <v>6971</v>
      </c>
      <c r="K7954" t="s">
        <v>1092</v>
      </c>
      <c r="M7954">
        <v>2.88</v>
      </c>
      <c r="N7954">
        <v>55</v>
      </c>
      <c r="O7954" t="s">
        <v>52</v>
      </c>
      <c r="Q7954" t="s">
        <v>90</v>
      </c>
      <c r="R7954" t="s">
        <v>6847</v>
      </c>
      <c r="S7954" t="s">
        <v>1034</v>
      </c>
      <c r="T7954" t="s">
        <v>1035</v>
      </c>
    </row>
    <row r="7955" spans="1:20" x14ac:dyDescent="0.25">
      <c r="A7955" t="s">
        <v>30</v>
      </c>
      <c r="B7955" t="s">
        <v>31</v>
      </c>
      <c r="C7955" t="s">
        <v>32</v>
      </c>
      <c r="D7955" t="s">
        <v>953</v>
      </c>
      <c r="E7955" t="s">
        <v>1077</v>
      </c>
      <c r="F7955" t="s">
        <v>35</v>
      </c>
      <c r="G7955" t="s">
        <v>35</v>
      </c>
      <c r="H7955" t="s">
        <v>35</v>
      </c>
      <c r="J7955" t="s">
        <v>7624</v>
      </c>
      <c r="K7955" t="s">
        <v>1092</v>
      </c>
      <c r="M7955">
        <v>10.98</v>
      </c>
      <c r="N7955">
        <v>41</v>
      </c>
      <c r="O7955" t="s">
        <v>52</v>
      </c>
      <c r="Q7955" t="s">
        <v>496</v>
      </c>
      <c r="R7955" t="s">
        <v>6847</v>
      </c>
      <c r="S7955" t="s">
        <v>1034</v>
      </c>
      <c r="T7955" t="s">
        <v>1035</v>
      </c>
    </row>
    <row r="7956" spans="1:20" x14ac:dyDescent="0.25">
      <c r="A7956" t="s">
        <v>59</v>
      </c>
      <c r="B7956" t="s">
        <v>31</v>
      </c>
      <c r="C7956" t="s">
        <v>32</v>
      </c>
      <c r="D7956" t="s">
        <v>953</v>
      </c>
      <c r="E7956" t="s">
        <v>1077</v>
      </c>
      <c r="F7956" t="s">
        <v>35</v>
      </c>
      <c r="G7956" t="s">
        <v>35</v>
      </c>
      <c r="H7956" t="s">
        <v>35</v>
      </c>
      <c r="J7956" t="s">
        <v>7624</v>
      </c>
      <c r="K7956" t="s">
        <v>1092</v>
      </c>
      <c r="M7956">
        <v>4.9950000000000001</v>
      </c>
      <c r="N7956">
        <v>143</v>
      </c>
      <c r="O7956" t="s">
        <v>38</v>
      </c>
      <c r="Q7956" t="s">
        <v>1612</v>
      </c>
      <c r="R7956" t="s">
        <v>6847</v>
      </c>
      <c r="S7956" t="s">
        <v>1034</v>
      </c>
      <c r="T7956" t="s">
        <v>1035</v>
      </c>
    </row>
    <row r="7957" spans="1:20" x14ac:dyDescent="0.25">
      <c r="A7957" t="s">
        <v>44</v>
      </c>
      <c r="B7957" t="s">
        <v>3</v>
      </c>
      <c r="C7957" t="s">
        <v>32</v>
      </c>
      <c r="D7957" t="s">
        <v>953</v>
      </c>
      <c r="E7957" t="s">
        <v>1077</v>
      </c>
      <c r="F7957" t="s">
        <v>35</v>
      </c>
      <c r="G7957" t="s">
        <v>35</v>
      </c>
      <c r="H7957" t="s">
        <v>35</v>
      </c>
      <c r="J7957" t="s">
        <v>7624</v>
      </c>
      <c r="K7957" t="s">
        <v>1092</v>
      </c>
      <c r="M7957">
        <v>10</v>
      </c>
      <c r="N7957">
        <v>58</v>
      </c>
      <c r="O7957" t="s">
        <v>52</v>
      </c>
      <c r="Q7957" t="s">
        <v>128</v>
      </c>
      <c r="R7957" t="s">
        <v>6847</v>
      </c>
      <c r="S7957" t="s">
        <v>1034</v>
      </c>
      <c r="T7957" t="s">
        <v>1035</v>
      </c>
    </row>
    <row r="7958" spans="1:20" x14ac:dyDescent="0.25">
      <c r="A7958" t="s">
        <v>44</v>
      </c>
      <c r="B7958" t="s">
        <v>51</v>
      </c>
      <c r="C7958" t="s">
        <v>32</v>
      </c>
      <c r="D7958" t="s">
        <v>953</v>
      </c>
      <c r="E7958" t="s">
        <v>1077</v>
      </c>
      <c r="F7958" t="s">
        <v>35</v>
      </c>
      <c r="G7958" t="s">
        <v>35</v>
      </c>
      <c r="H7958" t="s">
        <v>35</v>
      </c>
      <c r="J7958" t="s">
        <v>7624</v>
      </c>
      <c r="K7958" t="s">
        <v>1092</v>
      </c>
      <c r="M7958">
        <v>20</v>
      </c>
      <c r="N7958">
        <v>54</v>
      </c>
      <c r="O7958" t="s">
        <v>52</v>
      </c>
      <c r="Q7958" t="s">
        <v>671</v>
      </c>
      <c r="R7958" t="s">
        <v>6847</v>
      </c>
      <c r="S7958" t="s">
        <v>1034</v>
      </c>
      <c r="T7958" t="s">
        <v>1035</v>
      </c>
    </row>
    <row r="7959" spans="1:20" x14ac:dyDescent="0.25">
      <c r="A7959" t="s">
        <v>59</v>
      </c>
      <c r="B7959" t="s">
        <v>60</v>
      </c>
      <c r="C7959" t="s">
        <v>32</v>
      </c>
      <c r="D7959" t="s">
        <v>953</v>
      </c>
      <c r="E7959" t="s">
        <v>1077</v>
      </c>
      <c r="F7959" t="s">
        <v>35</v>
      </c>
      <c r="G7959" t="s">
        <v>35</v>
      </c>
      <c r="H7959" t="s">
        <v>35</v>
      </c>
      <c r="J7959" t="s">
        <v>7624</v>
      </c>
      <c r="K7959" t="s">
        <v>1092</v>
      </c>
      <c r="M7959">
        <v>9.65</v>
      </c>
      <c r="N7959">
        <v>55</v>
      </c>
      <c r="O7959" t="s">
        <v>52</v>
      </c>
      <c r="Q7959" t="s">
        <v>90</v>
      </c>
      <c r="R7959" t="s">
        <v>6847</v>
      </c>
      <c r="S7959" t="s">
        <v>1034</v>
      </c>
      <c r="T7959" t="s">
        <v>1035</v>
      </c>
    </row>
    <row r="7960" spans="1:20" x14ac:dyDescent="0.25">
      <c r="A7960" t="s">
        <v>30</v>
      </c>
      <c r="B7960" t="s">
        <v>31</v>
      </c>
      <c r="C7960" t="s">
        <v>32</v>
      </c>
      <c r="D7960" t="s">
        <v>953</v>
      </c>
      <c r="E7960" t="s">
        <v>1007</v>
      </c>
      <c r="F7960" t="s">
        <v>35</v>
      </c>
      <c r="G7960" t="s">
        <v>35</v>
      </c>
      <c r="H7960" t="s">
        <v>35</v>
      </c>
      <c r="J7960" t="s">
        <v>7306</v>
      </c>
      <c r="K7960" t="s">
        <v>1092</v>
      </c>
      <c r="M7960">
        <v>9.3149999999999995</v>
      </c>
      <c r="N7960">
        <v>13</v>
      </c>
      <c r="O7960" t="s">
        <v>46</v>
      </c>
      <c r="Q7960" t="s">
        <v>1004</v>
      </c>
      <c r="R7960" t="s">
        <v>6847</v>
      </c>
      <c r="S7960" t="s">
        <v>1034</v>
      </c>
      <c r="T7960" t="s">
        <v>1035</v>
      </c>
    </row>
    <row r="7961" spans="1:20" x14ac:dyDescent="0.25">
      <c r="A7961" t="s">
        <v>59</v>
      </c>
      <c r="B7961" t="s">
        <v>31</v>
      </c>
      <c r="C7961" t="s">
        <v>32</v>
      </c>
      <c r="D7961" t="s">
        <v>953</v>
      </c>
      <c r="E7961" t="s">
        <v>7558</v>
      </c>
      <c r="F7961" t="s">
        <v>35</v>
      </c>
      <c r="G7961" t="s">
        <v>35</v>
      </c>
      <c r="H7961" t="s">
        <v>35</v>
      </c>
      <c r="J7961" t="s">
        <v>7578</v>
      </c>
      <c r="K7961" t="s">
        <v>1092</v>
      </c>
      <c r="M7961">
        <v>4.9950000000000001</v>
      </c>
      <c r="N7961">
        <v>774</v>
      </c>
      <c r="O7961" t="s">
        <v>575</v>
      </c>
      <c r="Q7961" t="s">
        <v>7579</v>
      </c>
      <c r="R7961" t="s">
        <v>6847</v>
      </c>
      <c r="S7961" t="s">
        <v>1034</v>
      </c>
      <c r="T7961" t="s">
        <v>1035</v>
      </c>
    </row>
    <row r="7962" spans="1:20" x14ac:dyDescent="0.25">
      <c r="A7962" t="s">
        <v>59</v>
      </c>
      <c r="B7962" t="s">
        <v>60</v>
      </c>
      <c r="C7962" t="s">
        <v>32</v>
      </c>
      <c r="D7962" t="s">
        <v>953</v>
      </c>
      <c r="E7962" t="s">
        <v>7558</v>
      </c>
      <c r="F7962" t="s">
        <v>35</v>
      </c>
      <c r="G7962" t="s">
        <v>35</v>
      </c>
      <c r="H7962" t="s">
        <v>35</v>
      </c>
      <c r="J7962" t="s">
        <v>7578</v>
      </c>
      <c r="K7962" t="s">
        <v>1092</v>
      </c>
      <c r="M7962">
        <v>4.05</v>
      </c>
      <c r="N7962">
        <v>774</v>
      </c>
      <c r="O7962" t="s">
        <v>575</v>
      </c>
      <c r="Q7962" t="s">
        <v>7579</v>
      </c>
      <c r="R7962" t="s">
        <v>6847</v>
      </c>
      <c r="S7962" t="s">
        <v>1034</v>
      </c>
      <c r="T7962" t="s">
        <v>1035</v>
      </c>
    </row>
    <row r="7963" spans="1:20" x14ac:dyDescent="0.25">
      <c r="A7963" t="s">
        <v>59</v>
      </c>
      <c r="B7963" t="s">
        <v>31</v>
      </c>
      <c r="C7963" t="s">
        <v>32</v>
      </c>
      <c r="D7963" t="s">
        <v>953</v>
      </c>
      <c r="E7963" t="s">
        <v>7558</v>
      </c>
      <c r="F7963" t="s">
        <v>35</v>
      </c>
      <c r="G7963" t="s">
        <v>35</v>
      </c>
      <c r="H7963" t="s">
        <v>35</v>
      </c>
      <c r="J7963" t="s">
        <v>7578</v>
      </c>
      <c r="K7963" t="s">
        <v>1092</v>
      </c>
      <c r="M7963">
        <v>3.24</v>
      </c>
      <c r="N7963">
        <v>861</v>
      </c>
      <c r="O7963" t="s">
        <v>575</v>
      </c>
      <c r="Q7963" t="s">
        <v>5042</v>
      </c>
      <c r="R7963" t="s">
        <v>6847</v>
      </c>
      <c r="S7963" t="s">
        <v>1034</v>
      </c>
      <c r="T7963" t="s">
        <v>1035</v>
      </c>
    </row>
    <row r="7964" spans="1:20" x14ac:dyDescent="0.25">
      <c r="A7964" t="s">
        <v>59</v>
      </c>
      <c r="B7964" t="s">
        <v>60</v>
      </c>
      <c r="C7964" t="s">
        <v>32</v>
      </c>
      <c r="D7964" t="s">
        <v>953</v>
      </c>
      <c r="E7964" t="s">
        <v>1007</v>
      </c>
      <c r="F7964" t="s">
        <v>35</v>
      </c>
      <c r="G7964" t="s">
        <v>35</v>
      </c>
      <c r="H7964" t="s">
        <v>35</v>
      </c>
      <c r="J7964" t="s">
        <v>7332</v>
      </c>
      <c r="K7964" t="s">
        <v>1092</v>
      </c>
      <c r="M7964">
        <v>0.85</v>
      </c>
      <c r="N7964">
        <v>280</v>
      </c>
      <c r="O7964" t="s">
        <v>5</v>
      </c>
      <c r="Q7964" t="s">
        <v>3688</v>
      </c>
      <c r="R7964" t="s">
        <v>6847</v>
      </c>
      <c r="S7964" t="s">
        <v>1034</v>
      </c>
      <c r="T7964" t="s">
        <v>1035</v>
      </c>
    </row>
    <row r="7965" spans="1:20" x14ac:dyDescent="0.25">
      <c r="A7965" t="s">
        <v>59</v>
      </c>
      <c r="B7965" t="s">
        <v>60</v>
      </c>
      <c r="C7965" t="s">
        <v>32</v>
      </c>
      <c r="D7965" t="s">
        <v>953</v>
      </c>
      <c r="F7965" t="s">
        <v>35</v>
      </c>
      <c r="G7965" t="s">
        <v>35</v>
      </c>
      <c r="H7965" t="s">
        <v>35</v>
      </c>
      <c r="J7965" t="s">
        <v>7965</v>
      </c>
      <c r="K7965" t="s">
        <v>1092</v>
      </c>
      <c r="M7965">
        <v>5.75</v>
      </c>
      <c r="N7965">
        <v>2441</v>
      </c>
      <c r="O7965" t="s">
        <v>575</v>
      </c>
      <c r="Q7965" t="s">
        <v>7966</v>
      </c>
      <c r="R7965" t="s">
        <v>6847</v>
      </c>
      <c r="S7965" t="s">
        <v>1034</v>
      </c>
      <c r="T7965" t="s">
        <v>1035</v>
      </c>
    </row>
    <row r="7966" spans="1:20" x14ac:dyDescent="0.25">
      <c r="A7966" t="s">
        <v>59</v>
      </c>
      <c r="B7966" t="s">
        <v>60</v>
      </c>
      <c r="C7966" t="s">
        <v>32</v>
      </c>
      <c r="D7966" t="s">
        <v>953</v>
      </c>
      <c r="E7966" t="s">
        <v>968</v>
      </c>
      <c r="F7966" t="s">
        <v>35</v>
      </c>
      <c r="G7966" t="s">
        <v>35</v>
      </c>
      <c r="H7966" t="s">
        <v>35</v>
      </c>
      <c r="J7966" t="s">
        <v>7010</v>
      </c>
      <c r="K7966" t="s">
        <v>1092</v>
      </c>
      <c r="M7966">
        <v>0.75</v>
      </c>
      <c r="N7966">
        <v>640</v>
      </c>
      <c r="O7966" t="s">
        <v>575</v>
      </c>
      <c r="Q7966" t="s">
        <v>7011</v>
      </c>
      <c r="R7966" t="s">
        <v>6847</v>
      </c>
      <c r="S7966" t="s">
        <v>1034</v>
      </c>
      <c r="T7966" t="s">
        <v>1035</v>
      </c>
    </row>
    <row r="7967" spans="1:20" x14ac:dyDescent="0.25">
      <c r="A7967" t="s">
        <v>59</v>
      </c>
      <c r="B7967" t="s">
        <v>60</v>
      </c>
      <c r="C7967" t="s">
        <v>32</v>
      </c>
      <c r="D7967" t="s">
        <v>953</v>
      </c>
      <c r="E7967" t="s">
        <v>968</v>
      </c>
      <c r="F7967" t="s">
        <v>35</v>
      </c>
      <c r="G7967" t="s">
        <v>35</v>
      </c>
      <c r="H7967" t="s">
        <v>35</v>
      </c>
      <c r="J7967" t="s">
        <v>7010</v>
      </c>
      <c r="K7967" t="s">
        <v>1092</v>
      </c>
      <c r="M7967">
        <v>0.4</v>
      </c>
      <c r="N7967">
        <v>843</v>
      </c>
      <c r="O7967" t="s">
        <v>575</v>
      </c>
      <c r="Q7967" t="s">
        <v>5227</v>
      </c>
      <c r="R7967" t="s">
        <v>6847</v>
      </c>
      <c r="S7967" t="s">
        <v>1034</v>
      </c>
      <c r="T7967" t="s">
        <v>1035</v>
      </c>
    </row>
    <row r="7968" spans="1:20" x14ac:dyDescent="0.25">
      <c r="A7968" t="s">
        <v>30</v>
      </c>
      <c r="B7968" t="s">
        <v>31</v>
      </c>
      <c r="C7968" t="s">
        <v>32</v>
      </c>
      <c r="D7968" t="s">
        <v>953</v>
      </c>
      <c r="E7968" t="s">
        <v>968</v>
      </c>
      <c r="F7968" t="s">
        <v>35</v>
      </c>
      <c r="G7968" t="s">
        <v>35</v>
      </c>
      <c r="H7968" t="s">
        <v>35</v>
      </c>
      <c r="J7968" t="s">
        <v>7010</v>
      </c>
      <c r="K7968" t="s">
        <v>1092</v>
      </c>
      <c r="M7968">
        <v>0.5</v>
      </c>
      <c r="N7968">
        <v>1060</v>
      </c>
      <c r="O7968" t="s">
        <v>575</v>
      </c>
      <c r="Q7968" t="s">
        <v>1407</v>
      </c>
      <c r="R7968" t="s">
        <v>6847</v>
      </c>
      <c r="S7968" t="s">
        <v>1034</v>
      </c>
      <c r="T7968" t="s">
        <v>1035</v>
      </c>
    </row>
    <row r="7969" spans="1:20" x14ac:dyDescent="0.25">
      <c r="A7969" t="s">
        <v>44</v>
      </c>
      <c r="B7969" t="s">
        <v>51</v>
      </c>
      <c r="C7969" t="s">
        <v>32</v>
      </c>
      <c r="D7969" t="s">
        <v>953</v>
      </c>
      <c r="E7969" t="s">
        <v>7558</v>
      </c>
      <c r="F7969" t="s">
        <v>35</v>
      </c>
      <c r="G7969" t="s">
        <v>35</v>
      </c>
      <c r="H7969" t="s">
        <v>35</v>
      </c>
      <c r="J7969" t="s">
        <v>7567</v>
      </c>
      <c r="K7969" t="s">
        <v>1092</v>
      </c>
      <c r="M7969">
        <v>4.7</v>
      </c>
      <c r="N7969">
        <v>54</v>
      </c>
      <c r="O7969" t="s">
        <v>52</v>
      </c>
      <c r="Q7969" t="s">
        <v>671</v>
      </c>
      <c r="R7969" t="s">
        <v>6847</v>
      </c>
      <c r="S7969" t="s">
        <v>1034</v>
      </c>
      <c r="T7969" t="s">
        <v>1035</v>
      </c>
    </row>
    <row r="7970" spans="1:20" x14ac:dyDescent="0.25">
      <c r="A7970" t="s">
        <v>44</v>
      </c>
      <c r="B7970" t="s">
        <v>3</v>
      </c>
      <c r="C7970" t="s">
        <v>32</v>
      </c>
      <c r="D7970" t="s">
        <v>953</v>
      </c>
      <c r="E7970" t="s">
        <v>7558</v>
      </c>
      <c r="F7970" t="s">
        <v>35</v>
      </c>
      <c r="G7970" t="s">
        <v>35</v>
      </c>
      <c r="H7970" t="s">
        <v>35</v>
      </c>
      <c r="J7970" t="s">
        <v>7567</v>
      </c>
      <c r="K7970" t="s">
        <v>1092</v>
      </c>
      <c r="M7970">
        <v>5.7</v>
      </c>
      <c r="N7970">
        <v>58</v>
      </c>
      <c r="O7970" t="s">
        <v>52</v>
      </c>
      <c r="Q7970" t="s">
        <v>128</v>
      </c>
      <c r="R7970" t="s">
        <v>6847</v>
      </c>
      <c r="S7970" t="s">
        <v>1034</v>
      </c>
      <c r="T7970" t="s">
        <v>1035</v>
      </c>
    </row>
    <row r="7971" spans="1:20" x14ac:dyDescent="0.25">
      <c r="A7971" t="s">
        <v>59</v>
      </c>
      <c r="B7971" t="s">
        <v>60</v>
      </c>
      <c r="C7971" t="s">
        <v>32</v>
      </c>
      <c r="D7971" t="s">
        <v>953</v>
      </c>
      <c r="E7971" t="s">
        <v>7558</v>
      </c>
      <c r="F7971" t="s">
        <v>35</v>
      </c>
      <c r="G7971" t="s">
        <v>35</v>
      </c>
      <c r="H7971" t="s">
        <v>35</v>
      </c>
      <c r="J7971" t="s">
        <v>7567</v>
      </c>
      <c r="K7971" t="s">
        <v>1092</v>
      </c>
      <c r="M7971">
        <v>2.7</v>
      </c>
      <c r="N7971">
        <v>55</v>
      </c>
      <c r="O7971" t="s">
        <v>52</v>
      </c>
      <c r="Q7971" t="s">
        <v>90</v>
      </c>
      <c r="R7971" t="s">
        <v>6847</v>
      </c>
      <c r="S7971" t="s">
        <v>1034</v>
      </c>
      <c r="T7971" t="s">
        <v>1035</v>
      </c>
    </row>
    <row r="7972" spans="1:20" x14ac:dyDescent="0.25">
      <c r="A7972" t="s">
        <v>30</v>
      </c>
      <c r="B7972" t="s">
        <v>31</v>
      </c>
      <c r="C7972" t="s">
        <v>32</v>
      </c>
      <c r="D7972" t="s">
        <v>953</v>
      </c>
      <c r="E7972" t="s">
        <v>7558</v>
      </c>
      <c r="F7972" t="s">
        <v>35</v>
      </c>
      <c r="G7972" t="s">
        <v>35</v>
      </c>
      <c r="H7972" t="s">
        <v>35</v>
      </c>
      <c r="J7972" t="s">
        <v>7567</v>
      </c>
      <c r="K7972" t="s">
        <v>1092</v>
      </c>
      <c r="M7972">
        <v>15.03</v>
      </c>
      <c r="N7972">
        <v>41</v>
      </c>
      <c r="O7972" t="s">
        <v>52</v>
      </c>
      <c r="Q7972" t="s">
        <v>496</v>
      </c>
      <c r="R7972" t="s">
        <v>6847</v>
      </c>
      <c r="S7972" t="s">
        <v>1034</v>
      </c>
      <c r="T7972" t="s">
        <v>1035</v>
      </c>
    </row>
    <row r="7973" spans="1:20" x14ac:dyDescent="0.25">
      <c r="A7973" t="s">
        <v>59</v>
      </c>
      <c r="B7973" t="s">
        <v>31</v>
      </c>
      <c r="C7973" t="s">
        <v>32</v>
      </c>
      <c r="D7973" t="s">
        <v>953</v>
      </c>
      <c r="E7973" t="s">
        <v>1077</v>
      </c>
      <c r="F7973" t="s">
        <v>35</v>
      </c>
      <c r="G7973" t="s">
        <v>35</v>
      </c>
      <c r="H7973" t="s">
        <v>35</v>
      </c>
      <c r="J7973" t="s">
        <v>7652</v>
      </c>
      <c r="K7973" t="s">
        <v>1092</v>
      </c>
      <c r="M7973">
        <v>1.98</v>
      </c>
      <c r="N7973">
        <v>427</v>
      </c>
      <c r="O7973" t="s">
        <v>294</v>
      </c>
      <c r="Q7973" t="s">
        <v>1370</v>
      </c>
      <c r="R7973" t="s">
        <v>6847</v>
      </c>
      <c r="S7973" t="s">
        <v>1034</v>
      </c>
      <c r="T7973" t="s">
        <v>1035</v>
      </c>
    </row>
    <row r="7974" spans="1:20" x14ac:dyDescent="0.25">
      <c r="A7974" t="s">
        <v>44</v>
      </c>
      <c r="B7974" t="s">
        <v>51</v>
      </c>
      <c r="C7974" t="s">
        <v>32</v>
      </c>
      <c r="D7974" t="s">
        <v>953</v>
      </c>
      <c r="E7974" t="s">
        <v>1077</v>
      </c>
      <c r="F7974" t="s">
        <v>35</v>
      </c>
      <c r="G7974" t="s">
        <v>35</v>
      </c>
      <c r="H7974" t="s">
        <v>35</v>
      </c>
      <c r="J7974" t="s">
        <v>7649</v>
      </c>
      <c r="K7974" t="s">
        <v>1092</v>
      </c>
      <c r="M7974">
        <v>2.6</v>
      </c>
      <c r="N7974">
        <v>54</v>
      </c>
      <c r="O7974" t="s">
        <v>52</v>
      </c>
      <c r="Q7974" t="s">
        <v>671</v>
      </c>
      <c r="R7974" t="s">
        <v>6847</v>
      </c>
      <c r="S7974" t="s">
        <v>1034</v>
      </c>
      <c r="T7974" t="s">
        <v>1035</v>
      </c>
    </row>
    <row r="7975" spans="1:20" x14ac:dyDescent="0.25">
      <c r="A7975" t="s">
        <v>30</v>
      </c>
      <c r="B7975" t="s">
        <v>31</v>
      </c>
      <c r="C7975" t="s">
        <v>32</v>
      </c>
      <c r="D7975" t="s">
        <v>953</v>
      </c>
      <c r="E7975" t="s">
        <v>1077</v>
      </c>
      <c r="F7975" t="s">
        <v>35</v>
      </c>
      <c r="G7975" t="s">
        <v>35</v>
      </c>
      <c r="H7975" t="s">
        <v>35</v>
      </c>
      <c r="J7975" t="s">
        <v>7649</v>
      </c>
      <c r="K7975" t="s">
        <v>1092</v>
      </c>
      <c r="M7975">
        <v>7.5149999999999997</v>
      </c>
      <c r="N7975">
        <v>13</v>
      </c>
      <c r="O7975" t="s">
        <v>46</v>
      </c>
      <c r="Q7975" t="s">
        <v>1004</v>
      </c>
      <c r="R7975" t="s">
        <v>6847</v>
      </c>
      <c r="S7975" t="s">
        <v>1034</v>
      </c>
      <c r="T7975" t="s">
        <v>1035</v>
      </c>
    </row>
    <row r="7976" spans="1:20" x14ac:dyDescent="0.25">
      <c r="A7976" t="s">
        <v>59</v>
      </c>
      <c r="B7976" t="s">
        <v>60</v>
      </c>
      <c r="C7976" t="s">
        <v>32</v>
      </c>
      <c r="D7976" t="s">
        <v>953</v>
      </c>
      <c r="E7976" t="s">
        <v>1077</v>
      </c>
      <c r="F7976" t="s">
        <v>35</v>
      </c>
      <c r="G7976" t="s">
        <v>35</v>
      </c>
      <c r="H7976" t="s">
        <v>35</v>
      </c>
      <c r="J7976" t="s">
        <v>7649</v>
      </c>
      <c r="K7976" t="s">
        <v>1092</v>
      </c>
      <c r="M7976">
        <v>0.9</v>
      </c>
      <c r="N7976">
        <v>83</v>
      </c>
      <c r="O7976" t="s">
        <v>61</v>
      </c>
      <c r="Q7976" t="s">
        <v>897</v>
      </c>
      <c r="R7976" t="s">
        <v>6847</v>
      </c>
      <c r="S7976" t="s">
        <v>1034</v>
      </c>
      <c r="T7976" t="s">
        <v>1035</v>
      </c>
    </row>
    <row r="7977" spans="1:20" x14ac:dyDescent="0.25">
      <c r="A7977" t="s">
        <v>59</v>
      </c>
      <c r="B7977" t="s">
        <v>31</v>
      </c>
      <c r="C7977" t="s">
        <v>32</v>
      </c>
      <c r="D7977" t="s">
        <v>953</v>
      </c>
      <c r="E7977" t="s">
        <v>6878</v>
      </c>
      <c r="F7977" t="s">
        <v>35</v>
      </c>
      <c r="G7977" t="s">
        <v>35</v>
      </c>
      <c r="H7977" t="s">
        <v>35</v>
      </c>
      <c r="J7977" t="s">
        <v>6902</v>
      </c>
      <c r="K7977" t="s">
        <v>1092</v>
      </c>
      <c r="M7977">
        <v>2.835</v>
      </c>
      <c r="N7977">
        <v>55</v>
      </c>
      <c r="O7977" t="s">
        <v>52</v>
      </c>
      <c r="Q7977" t="s">
        <v>90</v>
      </c>
      <c r="R7977" t="s">
        <v>6847</v>
      </c>
      <c r="S7977" t="s">
        <v>1034</v>
      </c>
      <c r="T7977" t="s">
        <v>1035</v>
      </c>
    </row>
    <row r="7978" spans="1:20" x14ac:dyDescent="0.25">
      <c r="A7978" t="s">
        <v>30</v>
      </c>
      <c r="B7978" t="s">
        <v>31</v>
      </c>
      <c r="C7978" t="s">
        <v>32</v>
      </c>
      <c r="D7978" t="s">
        <v>953</v>
      </c>
      <c r="E7978" t="s">
        <v>7842</v>
      </c>
      <c r="F7978" t="s">
        <v>35</v>
      </c>
      <c r="G7978" t="s">
        <v>35</v>
      </c>
      <c r="H7978" t="s">
        <v>35</v>
      </c>
      <c r="J7978" t="s">
        <v>7866</v>
      </c>
      <c r="K7978" t="s">
        <v>1092</v>
      </c>
      <c r="M7978">
        <v>3.8250000000000002</v>
      </c>
      <c r="N7978">
        <v>265</v>
      </c>
      <c r="O7978" t="s">
        <v>5</v>
      </c>
      <c r="Q7978" t="s">
        <v>1264</v>
      </c>
      <c r="R7978" t="s">
        <v>6847</v>
      </c>
      <c r="S7978" t="s">
        <v>1034</v>
      </c>
      <c r="T7978" t="s">
        <v>1035</v>
      </c>
    </row>
    <row r="7979" spans="1:20" x14ac:dyDescent="0.25">
      <c r="A7979" t="s">
        <v>59</v>
      </c>
      <c r="B7979" t="s">
        <v>31</v>
      </c>
      <c r="C7979" t="s">
        <v>32</v>
      </c>
      <c r="D7979" t="s">
        <v>953</v>
      </c>
      <c r="E7979" t="s">
        <v>1077</v>
      </c>
      <c r="F7979" t="s">
        <v>35</v>
      </c>
      <c r="G7979" t="s">
        <v>35</v>
      </c>
      <c r="H7979" t="s">
        <v>35</v>
      </c>
      <c r="J7979" t="s">
        <v>6820</v>
      </c>
      <c r="K7979" t="s">
        <v>1092</v>
      </c>
      <c r="M7979">
        <v>1.575</v>
      </c>
      <c r="N7979">
        <v>238</v>
      </c>
      <c r="O7979" t="s">
        <v>5</v>
      </c>
      <c r="Q7979" t="s">
        <v>111</v>
      </c>
      <c r="R7979" t="s">
        <v>6847</v>
      </c>
      <c r="S7979" t="s">
        <v>1034</v>
      </c>
      <c r="T7979" t="s">
        <v>1035</v>
      </c>
    </row>
    <row r="7980" spans="1:20" x14ac:dyDescent="0.25">
      <c r="A7980" t="s">
        <v>59</v>
      </c>
      <c r="B7980" t="s">
        <v>31</v>
      </c>
      <c r="C7980" t="s">
        <v>32</v>
      </c>
      <c r="D7980" t="s">
        <v>953</v>
      </c>
      <c r="E7980" t="s">
        <v>1077</v>
      </c>
      <c r="F7980" t="s">
        <v>35</v>
      </c>
      <c r="G7980" t="s">
        <v>35</v>
      </c>
      <c r="H7980" t="s">
        <v>35</v>
      </c>
      <c r="J7980" t="s">
        <v>6820</v>
      </c>
      <c r="K7980" t="s">
        <v>1092</v>
      </c>
      <c r="M7980">
        <v>4.9950000000000001</v>
      </c>
      <c r="N7980">
        <v>83</v>
      </c>
      <c r="O7980" t="s">
        <v>61</v>
      </c>
      <c r="Q7980" t="s">
        <v>897</v>
      </c>
      <c r="R7980" t="s">
        <v>6847</v>
      </c>
      <c r="S7980" t="s">
        <v>1034</v>
      </c>
      <c r="T7980" t="s">
        <v>1035</v>
      </c>
    </row>
    <row r="7981" spans="1:20" x14ac:dyDescent="0.25">
      <c r="A7981" t="s">
        <v>30</v>
      </c>
      <c r="B7981" t="s">
        <v>31</v>
      </c>
      <c r="C7981" t="s">
        <v>32</v>
      </c>
      <c r="D7981" t="s">
        <v>953</v>
      </c>
      <c r="E7981" t="s">
        <v>1077</v>
      </c>
      <c r="F7981" t="s">
        <v>35</v>
      </c>
      <c r="G7981" t="s">
        <v>35</v>
      </c>
      <c r="H7981" t="s">
        <v>35</v>
      </c>
      <c r="J7981" t="s">
        <v>6820</v>
      </c>
      <c r="K7981" t="s">
        <v>1092</v>
      </c>
      <c r="M7981">
        <v>3.15</v>
      </c>
      <c r="N7981">
        <v>206</v>
      </c>
      <c r="O7981" t="s">
        <v>5</v>
      </c>
      <c r="Q7981" t="s">
        <v>1298</v>
      </c>
      <c r="R7981" t="s">
        <v>6847</v>
      </c>
      <c r="S7981" t="s">
        <v>1034</v>
      </c>
      <c r="T7981" t="s">
        <v>1035</v>
      </c>
    </row>
    <row r="7982" spans="1:20" x14ac:dyDescent="0.25">
      <c r="A7982" t="s">
        <v>44</v>
      </c>
      <c r="B7982" t="s">
        <v>51</v>
      </c>
      <c r="C7982" t="s">
        <v>32</v>
      </c>
      <c r="D7982" t="s">
        <v>953</v>
      </c>
      <c r="E7982" t="s">
        <v>1077</v>
      </c>
      <c r="F7982" t="s">
        <v>35</v>
      </c>
      <c r="G7982" t="s">
        <v>35</v>
      </c>
      <c r="H7982" t="s">
        <v>35</v>
      </c>
      <c r="J7982" t="s">
        <v>6820</v>
      </c>
      <c r="K7982" t="s">
        <v>1092</v>
      </c>
      <c r="M7982">
        <v>1.25</v>
      </c>
      <c r="N7982">
        <v>223</v>
      </c>
      <c r="O7982" t="s">
        <v>5</v>
      </c>
      <c r="Q7982" t="s">
        <v>1544</v>
      </c>
      <c r="R7982" t="s">
        <v>6847</v>
      </c>
      <c r="S7982" t="s">
        <v>1034</v>
      </c>
      <c r="T7982" t="s">
        <v>1035</v>
      </c>
    </row>
    <row r="7983" spans="1:20" x14ac:dyDescent="0.25">
      <c r="A7983" t="s">
        <v>44</v>
      </c>
      <c r="B7983" t="s">
        <v>51</v>
      </c>
      <c r="C7983" t="s">
        <v>32</v>
      </c>
      <c r="D7983" t="s">
        <v>953</v>
      </c>
      <c r="E7983" t="s">
        <v>1077</v>
      </c>
      <c r="F7983" t="s">
        <v>35</v>
      </c>
      <c r="G7983" t="s">
        <v>35</v>
      </c>
      <c r="H7983" t="s">
        <v>35</v>
      </c>
      <c r="J7983" t="s">
        <v>6820</v>
      </c>
      <c r="K7983" t="s">
        <v>1092</v>
      </c>
      <c r="M7983">
        <v>11</v>
      </c>
      <c r="N7983">
        <v>54</v>
      </c>
      <c r="O7983" t="s">
        <v>52</v>
      </c>
      <c r="Q7983" t="s">
        <v>671</v>
      </c>
      <c r="R7983" t="s">
        <v>6847</v>
      </c>
      <c r="S7983" t="s">
        <v>1034</v>
      </c>
      <c r="T7983" t="s">
        <v>1035</v>
      </c>
    </row>
    <row r="7984" spans="1:20" x14ac:dyDescent="0.25">
      <c r="A7984" t="s">
        <v>59</v>
      </c>
      <c r="B7984" t="s">
        <v>60</v>
      </c>
      <c r="C7984" t="s">
        <v>32</v>
      </c>
      <c r="D7984" t="s">
        <v>953</v>
      </c>
      <c r="E7984" t="s">
        <v>1077</v>
      </c>
      <c r="F7984" t="s">
        <v>35</v>
      </c>
      <c r="G7984" t="s">
        <v>35</v>
      </c>
      <c r="H7984" t="s">
        <v>35</v>
      </c>
      <c r="J7984" t="s">
        <v>6820</v>
      </c>
      <c r="K7984" t="s">
        <v>1092</v>
      </c>
      <c r="M7984">
        <v>2.5</v>
      </c>
      <c r="N7984">
        <v>35</v>
      </c>
      <c r="O7984" t="s">
        <v>52</v>
      </c>
      <c r="Q7984" t="s">
        <v>991</v>
      </c>
      <c r="R7984" t="s">
        <v>6847</v>
      </c>
      <c r="S7984" t="s">
        <v>1034</v>
      </c>
      <c r="T7984" t="s">
        <v>1035</v>
      </c>
    </row>
    <row r="7985" spans="1:20" x14ac:dyDescent="0.25">
      <c r="A7985" t="s">
        <v>59</v>
      </c>
      <c r="B7985" t="s">
        <v>60</v>
      </c>
      <c r="C7985" t="s">
        <v>32</v>
      </c>
      <c r="D7985" t="s">
        <v>953</v>
      </c>
      <c r="E7985" t="s">
        <v>1077</v>
      </c>
      <c r="F7985" t="s">
        <v>35</v>
      </c>
      <c r="G7985" t="s">
        <v>35</v>
      </c>
      <c r="H7985" t="s">
        <v>35</v>
      </c>
      <c r="J7985" t="s">
        <v>6820</v>
      </c>
      <c r="K7985" t="s">
        <v>1092</v>
      </c>
      <c r="M7985">
        <v>1.5</v>
      </c>
      <c r="N7985">
        <v>47</v>
      </c>
      <c r="O7985" t="s">
        <v>52</v>
      </c>
      <c r="Q7985" t="s">
        <v>1207</v>
      </c>
      <c r="R7985" t="s">
        <v>6847</v>
      </c>
      <c r="S7985" t="s">
        <v>1034</v>
      </c>
      <c r="T7985" t="s">
        <v>1035</v>
      </c>
    </row>
    <row r="7986" spans="1:20" x14ac:dyDescent="0.25">
      <c r="A7986" t="s">
        <v>44</v>
      </c>
      <c r="B7986" t="s">
        <v>3</v>
      </c>
      <c r="C7986" t="s">
        <v>32</v>
      </c>
      <c r="D7986" t="s">
        <v>953</v>
      </c>
      <c r="E7986" t="s">
        <v>1077</v>
      </c>
      <c r="F7986" t="s">
        <v>35</v>
      </c>
      <c r="G7986" t="s">
        <v>35</v>
      </c>
      <c r="H7986" t="s">
        <v>35</v>
      </c>
      <c r="J7986" t="s">
        <v>6820</v>
      </c>
      <c r="K7986" t="s">
        <v>1092</v>
      </c>
      <c r="M7986">
        <v>2</v>
      </c>
      <c r="N7986">
        <v>47</v>
      </c>
      <c r="O7986" t="s">
        <v>52</v>
      </c>
      <c r="Q7986" t="s">
        <v>1207</v>
      </c>
      <c r="R7986" t="s">
        <v>6847</v>
      </c>
      <c r="S7986" t="s">
        <v>1034</v>
      </c>
      <c r="T7986" t="s">
        <v>1035</v>
      </c>
    </row>
    <row r="7987" spans="1:20" x14ac:dyDescent="0.25">
      <c r="A7987" t="s">
        <v>30</v>
      </c>
      <c r="B7987" t="s">
        <v>31</v>
      </c>
      <c r="C7987" t="s">
        <v>32</v>
      </c>
      <c r="D7987" t="s">
        <v>953</v>
      </c>
      <c r="E7987" t="s">
        <v>7494</v>
      </c>
      <c r="F7987" t="s">
        <v>35</v>
      </c>
      <c r="G7987" t="s">
        <v>35</v>
      </c>
      <c r="H7987" t="s">
        <v>35</v>
      </c>
      <c r="J7987" t="s">
        <v>7504</v>
      </c>
      <c r="K7987" t="s">
        <v>1092</v>
      </c>
      <c r="M7987">
        <v>1.71</v>
      </c>
      <c r="N7987">
        <v>450</v>
      </c>
      <c r="O7987" t="s">
        <v>294</v>
      </c>
      <c r="Q7987" t="s">
        <v>2104</v>
      </c>
      <c r="R7987" t="s">
        <v>6847</v>
      </c>
      <c r="S7987" t="s">
        <v>1034</v>
      </c>
      <c r="T7987" t="s">
        <v>1035</v>
      </c>
    </row>
    <row r="7988" spans="1:20" x14ac:dyDescent="0.25">
      <c r="A7988" t="s">
        <v>30</v>
      </c>
      <c r="B7988" t="s">
        <v>31</v>
      </c>
      <c r="C7988" t="s">
        <v>32</v>
      </c>
      <c r="D7988" t="s">
        <v>953</v>
      </c>
      <c r="E7988" t="s">
        <v>7164</v>
      </c>
      <c r="F7988" t="s">
        <v>35</v>
      </c>
      <c r="G7988" t="s">
        <v>35</v>
      </c>
      <c r="H7988" t="s">
        <v>35</v>
      </c>
      <c r="J7988" t="s">
        <v>7169</v>
      </c>
      <c r="K7988" t="s">
        <v>1092</v>
      </c>
      <c r="M7988">
        <v>0.58499999999999996</v>
      </c>
      <c r="N7988">
        <v>265</v>
      </c>
      <c r="O7988" t="s">
        <v>5</v>
      </c>
      <c r="Q7988" t="s">
        <v>1264</v>
      </c>
      <c r="R7988" t="s">
        <v>6847</v>
      </c>
      <c r="S7988" t="s">
        <v>1034</v>
      </c>
      <c r="T7988" t="s">
        <v>1035</v>
      </c>
    </row>
    <row r="7989" spans="1:20" x14ac:dyDescent="0.25">
      <c r="A7989" t="s">
        <v>30</v>
      </c>
      <c r="B7989" t="s">
        <v>31</v>
      </c>
      <c r="C7989" t="s">
        <v>32</v>
      </c>
      <c r="D7989" t="s">
        <v>953</v>
      </c>
      <c r="E7989" t="s">
        <v>7467</v>
      </c>
      <c r="F7989" t="s">
        <v>35</v>
      </c>
      <c r="G7989" t="s">
        <v>35</v>
      </c>
      <c r="H7989" t="s">
        <v>35</v>
      </c>
      <c r="J7989" t="s">
        <v>2419</v>
      </c>
      <c r="K7989" t="s">
        <v>1092</v>
      </c>
      <c r="M7989">
        <v>0.18</v>
      </c>
      <c r="N7989">
        <v>1060</v>
      </c>
      <c r="O7989" t="s">
        <v>575</v>
      </c>
      <c r="Q7989" t="s">
        <v>1407</v>
      </c>
      <c r="R7989" t="s">
        <v>6847</v>
      </c>
      <c r="S7989" t="s">
        <v>1034</v>
      </c>
      <c r="T7989" t="s">
        <v>1035</v>
      </c>
    </row>
    <row r="7990" spans="1:20" x14ac:dyDescent="0.25">
      <c r="A7990" t="s">
        <v>59</v>
      </c>
      <c r="B7990" t="s">
        <v>60</v>
      </c>
      <c r="C7990" t="s">
        <v>32</v>
      </c>
      <c r="D7990" t="s">
        <v>953</v>
      </c>
      <c r="E7990" t="s">
        <v>7467</v>
      </c>
      <c r="F7990" t="s">
        <v>35</v>
      </c>
      <c r="G7990" t="s">
        <v>35</v>
      </c>
      <c r="H7990" t="s">
        <v>35</v>
      </c>
      <c r="J7990" t="s">
        <v>2419</v>
      </c>
      <c r="K7990" t="s">
        <v>1092</v>
      </c>
      <c r="M7990">
        <v>0.9</v>
      </c>
      <c r="N7990">
        <v>524</v>
      </c>
      <c r="O7990" t="s">
        <v>294</v>
      </c>
      <c r="Q7990" t="s">
        <v>1619</v>
      </c>
      <c r="R7990" t="s">
        <v>6847</v>
      </c>
      <c r="S7990" t="s">
        <v>1034</v>
      </c>
      <c r="T7990" t="s">
        <v>1035</v>
      </c>
    </row>
    <row r="7991" spans="1:20" x14ac:dyDescent="0.25">
      <c r="A7991" t="s">
        <v>30</v>
      </c>
      <c r="B7991" t="s">
        <v>31</v>
      </c>
      <c r="C7991" t="s">
        <v>32</v>
      </c>
      <c r="D7991" t="s">
        <v>953</v>
      </c>
      <c r="E7991" t="s">
        <v>6878</v>
      </c>
      <c r="F7991" t="s">
        <v>35</v>
      </c>
      <c r="G7991" t="s">
        <v>35</v>
      </c>
      <c r="H7991" t="s">
        <v>35</v>
      </c>
      <c r="J7991" t="s">
        <v>1885</v>
      </c>
      <c r="K7991" t="s">
        <v>1092</v>
      </c>
      <c r="M7991">
        <v>9.8149999999999995</v>
      </c>
      <c r="N7991">
        <v>13</v>
      </c>
      <c r="O7991" t="s">
        <v>46</v>
      </c>
      <c r="Q7991" t="s">
        <v>1004</v>
      </c>
      <c r="R7991" t="s">
        <v>6847</v>
      </c>
      <c r="S7991" t="s">
        <v>1034</v>
      </c>
      <c r="T7991" t="s">
        <v>1035</v>
      </c>
    </row>
    <row r="7992" spans="1:20" x14ac:dyDescent="0.25">
      <c r="A7992" t="s">
        <v>59</v>
      </c>
      <c r="B7992" t="s">
        <v>60</v>
      </c>
      <c r="C7992" t="s">
        <v>32</v>
      </c>
      <c r="D7992" t="s">
        <v>953</v>
      </c>
      <c r="E7992" t="s">
        <v>968</v>
      </c>
      <c r="F7992" t="s">
        <v>35</v>
      </c>
      <c r="G7992" t="s">
        <v>35</v>
      </c>
      <c r="H7992" t="s">
        <v>35</v>
      </c>
      <c r="J7992" t="s">
        <v>6985</v>
      </c>
      <c r="K7992" t="s">
        <v>1092</v>
      </c>
      <c r="M7992">
        <v>0.25</v>
      </c>
      <c r="N7992">
        <v>837</v>
      </c>
      <c r="O7992" t="s">
        <v>575</v>
      </c>
      <c r="Q7992" t="s">
        <v>6986</v>
      </c>
      <c r="R7992" t="s">
        <v>6847</v>
      </c>
      <c r="S7992" t="s">
        <v>1034</v>
      </c>
      <c r="T7992" t="s">
        <v>1035</v>
      </c>
    </row>
    <row r="7993" spans="1:20" x14ac:dyDescent="0.25">
      <c r="A7993" t="s">
        <v>59</v>
      </c>
      <c r="B7993" t="s">
        <v>31</v>
      </c>
      <c r="C7993" t="s">
        <v>32</v>
      </c>
      <c r="D7993" t="s">
        <v>953</v>
      </c>
      <c r="E7993" t="s">
        <v>6878</v>
      </c>
      <c r="F7993" t="s">
        <v>35</v>
      </c>
      <c r="G7993" t="s">
        <v>35</v>
      </c>
      <c r="H7993" t="s">
        <v>35</v>
      </c>
      <c r="J7993" t="s">
        <v>6921</v>
      </c>
      <c r="K7993" t="s">
        <v>1092</v>
      </c>
      <c r="M7993">
        <v>1.8</v>
      </c>
      <c r="N7993">
        <v>47</v>
      </c>
      <c r="O7993" t="s">
        <v>52</v>
      </c>
      <c r="Q7993" t="s">
        <v>1207</v>
      </c>
      <c r="R7993" t="s">
        <v>6847</v>
      </c>
      <c r="S7993" t="s">
        <v>1034</v>
      </c>
      <c r="T7993" t="s">
        <v>1035</v>
      </c>
    </row>
    <row r="7994" spans="1:20" x14ac:dyDescent="0.25">
      <c r="A7994" t="s">
        <v>59</v>
      </c>
      <c r="B7994" t="s">
        <v>31</v>
      </c>
      <c r="C7994" t="s">
        <v>32</v>
      </c>
      <c r="D7994" t="s">
        <v>953</v>
      </c>
      <c r="E7994" t="s">
        <v>6878</v>
      </c>
      <c r="F7994" t="s">
        <v>35</v>
      </c>
      <c r="G7994" t="s">
        <v>35</v>
      </c>
      <c r="H7994" t="s">
        <v>35</v>
      </c>
      <c r="J7994" t="s">
        <v>6945</v>
      </c>
      <c r="K7994" t="s">
        <v>1092</v>
      </c>
      <c r="M7994">
        <v>1.39</v>
      </c>
      <c r="N7994">
        <v>745</v>
      </c>
      <c r="O7994" t="s">
        <v>575</v>
      </c>
      <c r="Q7994" t="s">
        <v>6946</v>
      </c>
      <c r="R7994" t="s">
        <v>6847</v>
      </c>
      <c r="S7994" t="s">
        <v>1034</v>
      </c>
      <c r="T7994" t="s">
        <v>1035</v>
      </c>
    </row>
    <row r="7995" spans="1:20" x14ac:dyDescent="0.25">
      <c r="A7995" t="s">
        <v>59</v>
      </c>
      <c r="B7995" t="s">
        <v>60</v>
      </c>
      <c r="C7995" t="s">
        <v>32</v>
      </c>
      <c r="D7995" t="s">
        <v>953</v>
      </c>
      <c r="E7995" t="s">
        <v>1015</v>
      </c>
      <c r="F7995" t="s">
        <v>35</v>
      </c>
      <c r="G7995" t="s">
        <v>35</v>
      </c>
      <c r="H7995" t="s">
        <v>35</v>
      </c>
      <c r="J7995" t="s">
        <v>7376</v>
      </c>
      <c r="K7995" t="s">
        <v>1092</v>
      </c>
      <c r="M7995">
        <v>5</v>
      </c>
      <c r="N7995">
        <v>83</v>
      </c>
      <c r="O7995" t="s">
        <v>61</v>
      </c>
      <c r="Q7995" t="s">
        <v>897</v>
      </c>
      <c r="R7995" t="s">
        <v>6847</v>
      </c>
      <c r="S7995" t="s">
        <v>1034</v>
      </c>
      <c r="T7995" t="s">
        <v>1035</v>
      </c>
    </row>
    <row r="7996" spans="1:20" x14ac:dyDescent="0.25">
      <c r="A7996" t="s">
        <v>44</v>
      </c>
      <c r="B7996" t="s">
        <v>3</v>
      </c>
      <c r="C7996" t="s">
        <v>32</v>
      </c>
      <c r="D7996" t="s">
        <v>953</v>
      </c>
      <c r="E7996" t="s">
        <v>1015</v>
      </c>
      <c r="F7996" t="s">
        <v>35</v>
      </c>
      <c r="G7996" t="s">
        <v>35</v>
      </c>
      <c r="H7996" t="s">
        <v>35</v>
      </c>
      <c r="J7996" t="s">
        <v>7376</v>
      </c>
      <c r="K7996" t="s">
        <v>1092</v>
      </c>
      <c r="M7996">
        <v>3.45</v>
      </c>
      <c r="N7996">
        <v>58</v>
      </c>
      <c r="O7996" t="s">
        <v>52</v>
      </c>
      <c r="Q7996" t="s">
        <v>128</v>
      </c>
      <c r="R7996" t="s">
        <v>6847</v>
      </c>
      <c r="S7996" t="s">
        <v>1034</v>
      </c>
      <c r="T7996" t="s">
        <v>1035</v>
      </c>
    </row>
    <row r="7997" spans="1:20" x14ac:dyDescent="0.25">
      <c r="A7997" t="s">
        <v>59</v>
      </c>
      <c r="B7997" t="s">
        <v>60</v>
      </c>
      <c r="C7997" t="s">
        <v>32</v>
      </c>
      <c r="D7997" t="s">
        <v>953</v>
      </c>
      <c r="E7997" t="s">
        <v>1015</v>
      </c>
      <c r="F7997" t="s">
        <v>35</v>
      </c>
      <c r="G7997" t="s">
        <v>35</v>
      </c>
      <c r="H7997" t="s">
        <v>35</v>
      </c>
      <c r="J7997" t="s">
        <v>7376</v>
      </c>
      <c r="K7997" t="s">
        <v>1092</v>
      </c>
      <c r="M7997">
        <v>0.6</v>
      </c>
      <c r="N7997">
        <v>123</v>
      </c>
      <c r="O7997" t="s">
        <v>38</v>
      </c>
      <c r="Q7997" t="s">
        <v>1656</v>
      </c>
      <c r="R7997" t="s">
        <v>6847</v>
      </c>
      <c r="S7997" t="s">
        <v>1034</v>
      </c>
      <c r="T7997" t="s">
        <v>1035</v>
      </c>
    </row>
    <row r="7998" spans="1:20" x14ac:dyDescent="0.25">
      <c r="A7998" t="s">
        <v>59</v>
      </c>
      <c r="B7998" t="s">
        <v>60</v>
      </c>
      <c r="C7998" t="s">
        <v>32</v>
      </c>
      <c r="D7998" t="s">
        <v>953</v>
      </c>
      <c r="E7998" t="s">
        <v>1015</v>
      </c>
      <c r="F7998" t="s">
        <v>35</v>
      </c>
      <c r="G7998" t="s">
        <v>35</v>
      </c>
      <c r="H7998" t="s">
        <v>35</v>
      </c>
      <c r="J7998" t="s">
        <v>7376</v>
      </c>
      <c r="K7998" t="s">
        <v>1092</v>
      </c>
      <c r="M7998">
        <v>4</v>
      </c>
      <c r="N7998">
        <v>55</v>
      </c>
      <c r="O7998" t="s">
        <v>52</v>
      </c>
      <c r="Q7998" t="s">
        <v>90</v>
      </c>
      <c r="R7998" t="s">
        <v>6847</v>
      </c>
      <c r="S7998" t="s">
        <v>1034</v>
      </c>
      <c r="T7998" t="s">
        <v>1035</v>
      </c>
    </row>
    <row r="7999" spans="1:20" x14ac:dyDescent="0.25">
      <c r="A7999" t="s">
        <v>44</v>
      </c>
      <c r="B7999" t="s">
        <v>51</v>
      </c>
      <c r="C7999" t="s">
        <v>32</v>
      </c>
      <c r="D7999" t="s">
        <v>953</v>
      </c>
      <c r="F7999" t="s">
        <v>35</v>
      </c>
      <c r="G7999" t="s">
        <v>35</v>
      </c>
      <c r="H7999" t="s">
        <v>35</v>
      </c>
      <c r="J7999" t="s">
        <v>7949</v>
      </c>
      <c r="K7999" t="s">
        <v>1092</v>
      </c>
      <c r="M7999">
        <v>1.5</v>
      </c>
      <c r="N7999">
        <v>207</v>
      </c>
      <c r="O7999" t="s">
        <v>5</v>
      </c>
      <c r="Q7999" t="s">
        <v>537</v>
      </c>
      <c r="R7999" t="s">
        <v>6847</v>
      </c>
      <c r="S7999" t="s">
        <v>1034</v>
      </c>
      <c r="T7999" t="s">
        <v>1035</v>
      </c>
    </row>
    <row r="8000" spans="1:20" x14ac:dyDescent="0.25">
      <c r="A8000" t="s">
        <v>59</v>
      </c>
      <c r="B8000" t="s">
        <v>60</v>
      </c>
      <c r="C8000" t="s">
        <v>32</v>
      </c>
      <c r="D8000" t="s">
        <v>953</v>
      </c>
      <c r="F8000" t="s">
        <v>35</v>
      </c>
      <c r="G8000" t="s">
        <v>35</v>
      </c>
      <c r="H8000" t="s">
        <v>35</v>
      </c>
      <c r="J8000" t="s">
        <v>7949</v>
      </c>
      <c r="K8000" t="s">
        <v>1092</v>
      </c>
      <c r="M8000">
        <v>1</v>
      </c>
      <c r="N8000">
        <v>83</v>
      </c>
      <c r="O8000" t="s">
        <v>61</v>
      </c>
      <c r="Q8000" t="s">
        <v>897</v>
      </c>
      <c r="R8000" t="s">
        <v>6847</v>
      </c>
      <c r="S8000" t="s">
        <v>1034</v>
      </c>
      <c r="T8000" t="s">
        <v>1035</v>
      </c>
    </row>
    <row r="8001" spans="1:20" x14ac:dyDescent="0.25">
      <c r="A8001" t="s">
        <v>59</v>
      </c>
      <c r="B8001" t="s">
        <v>60</v>
      </c>
      <c r="C8001" t="s">
        <v>32</v>
      </c>
      <c r="D8001" t="s">
        <v>953</v>
      </c>
      <c r="F8001" t="s">
        <v>35</v>
      </c>
      <c r="G8001" t="s">
        <v>35</v>
      </c>
      <c r="H8001" t="s">
        <v>35</v>
      </c>
      <c r="J8001" t="s">
        <v>7949</v>
      </c>
      <c r="K8001" t="s">
        <v>1092</v>
      </c>
      <c r="M8001">
        <v>0.5</v>
      </c>
      <c r="N8001">
        <v>125</v>
      </c>
      <c r="O8001" t="s">
        <v>38</v>
      </c>
      <c r="Q8001" t="s">
        <v>2901</v>
      </c>
      <c r="R8001" t="s">
        <v>6847</v>
      </c>
      <c r="S8001" t="s">
        <v>1034</v>
      </c>
      <c r="T8001" t="s">
        <v>1035</v>
      </c>
    </row>
    <row r="8002" spans="1:20" x14ac:dyDescent="0.25">
      <c r="A8002" t="s">
        <v>59</v>
      </c>
      <c r="B8002" t="s">
        <v>60</v>
      </c>
      <c r="C8002" t="s">
        <v>32</v>
      </c>
      <c r="D8002" t="s">
        <v>953</v>
      </c>
      <c r="F8002" t="s">
        <v>35</v>
      </c>
      <c r="G8002" t="s">
        <v>35</v>
      </c>
      <c r="H8002" t="s">
        <v>35</v>
      </c>
      <c r="J8002" t="s">
        <v>7949</v>
      </c>
      <c r="K8002" t="s">
        <v>1092</v>
      </c>
      <c r="M8002">
        <v>5</v>
      </c>
      <c r="N8002">
        <v>55</v>
      </c>
      <c r="O8002" t="s">
        <v>52</v>
      </c>
      <c r="Q8002" t="s">
        <v>90</v>
      </c>
      <c r="R8002" t="s">
        <v>6847</v>
      </c>
      <c r="S8002" t="s">
        <v>1034</v>
      </c>
      <c r="T8002" t="s">
        <v>1035</v>
      </c>
    </row>
    <row r="8003" spans="1:20" x14ac:dyDescent="0.25">
      <c r="A8003" t="s">
        <v>44</v>
      </c>
      <c r="B8003" t="s">
        <v>3</v>
      </c>
      <c r="C8003" t="s">
        <v>32</v>
      </c>
      <c r="D8003" t="s">
        <v>953</v>
      </c>
      <c r="F8003" t="s">
        <v>35</v>
      </c>
      <c r="G8003" t="s">
        <v>35</v>
      </c>
      <c r="H8003" t="s">
        <v>35</v>
      </c>
      <c r="J8003" t="s">
        <v>7949</v>
      </c>
      <c r="K8003" t="s">
        <v>1092</v>
      </c>
      <c r="M8003">
        <v>5</v>
      </c>
      <c r="N8003">
        <v>58</v>
      </c>
      <c r="O8003" t="s">
        <v>52</v>
      </c>
      <c r="Q8003" t="s">
        <v>128</v>
      </c>
      <c r="R8003" t="s">
        <v>6847</v>
      </c>
      <c r="S8003" t="s">
        <v>1034</v>
      </c>
      <c r="T8003" t="s">
        <v>1035</v>
      </c>
    </row>
    <row r="8004" spans="1:20" x14ac:dyDescent="0.25">
      <c r="A8004" t="s">
        <v>30</v>
      </c>
      <c r="B8004" t="s">
        <v>31</v>
      </c>
      <c r="C8004" t="s">
        <v>32</v>
      </c>
      <c r="D8004" t="s">
        <v>953</v>
      </c>
      <c r="F8004" t="s">
        <v>35</v>
      </c>
      <c r="G8004" t="s">
        <v>35</v>
      </c>
      <c r="H8004" t="s">
        <v>35</v>
      </c>
      <c r="J8004" t="s">
        <v>7949</v>
      </c>
      <c r="K8004" t="s">
        <v>1092</v>
      </c>
      <c r="M8004">
        <v>10.98</v>
      </c>
      <c r="N8004">
        <v>41</v>
      </c>
      <c r="O8004" t="s">
        <v>52</v>
      </c>
      <c r="Q8004" t="s">
        <v>496</v>
      </c>
      <c r="R8004" t="s">
        <v>6847</v>
      </c>
      <c r="S8004" t="s">
        <v>1034</v>
      </c>
      <c r="T8004" t="s">
        <v>1035</v>
      </c>
    </row>
    <row r="8005" spans="1:20" x14ac:dyDescent="0.25">
      <c r="A8005" t="s">
        <v>59</v>
      </c>
      <c r="B8005" t="s">
        <v>60</v>
      </c>
      <c r="C8005" t="s">
        <v>32</v>
      </c>
      <c r="D8005" t="s">
        <v>953</v>
      </c>
      <c r="E8005" t="s">
        <v>1007</v>
      </c>
      <c r="F8005" t="s">
        <v>35</v>
      </c>
      <c r="G8005" t="s">
        <v>35</v>
      </c>
      <c r="H8005" t="s">
        <v>35</v>
      </c>
      <c r="J8005" t="s">
        <v>7323</v>
      </c>
      <c r="K8005" t="s">
        <v>1092</v>
      </c>
      <c r="M8005">
        <v>3</v>
      </c>
      <c r="N8005">
        <v>55</v>
      </c>
      <c r="O8005" t="s">
        <v>52</v>
      </c>
      <c r="Q8005" t="s">
        <v>90</v>
      </c>
      <c r="R8005" t="s">
        <v>6847</v>
      </c>
      <c r="S8005" t="s">
        <v>1034</v>
      </c>
      <c r="T8005" t="s">
        <v>1035</v>
      </c>
    </row>
    <row r="8006" spans="1:20" x14ac:dyDescent="0.25">
      <c r="A8006" t="s">
        <v>44</v>
      </c>
      <c r="B8006" t="s">
        <v>3</v>
      </c>
      <c r="C8006" t="s">
        <v>32</v>
      </c>
      <c r="D8006" t="s">
        <v>953</v>
      </c>
      <c r="E8006" t="s">
        <v>1007</v>
      </c>
      <c r="F8006" t="s">
        <v>35</v>
      </c>
      <c r="G8006" t="s">
        <v>35</v>
      </c>
      <c r="H8006" t="s">
        <v>35</v>
      </c>
      <c r="J8006" t="s">
        <v>7323</v>
      </c>
      <c r="K8006" t="s">
        <v>1092</v>
      </c>
      <c r="M8006">
        <v>3.7</v>
      </c>
      <c r="N8006">
        <v>58</v>
      </c>
      <c r="O8006" t="s">
        <v>52</v>
      </c>
      <c r="Q8006" t="s">
        <v>128</v>
      </c>
      <c r="R8006" t="s">
        <v>6847</v>
      </c>
      <c r="S8006" t="s">
        <v>1034</v>
      </c>
      <c r="T8006" t="s">
        <v>1035</v>
      </c>
    </row>
    <row r="8007" spans="1:20" x14ac:dyDescent="0.25">
      <c r="A8007" t="s">
        <v>59</v>
      </c>
      <c r="B8007" t="s">
        <v>31</v>
      </c>
      <c r="C8007" t="s">
        <v>32</v>
      </c>
      <c r="D8007" t="s">
        <v>953</v>
      </c>
      <c r="E8007" t="s">
        <v>1007</v>
      </c>
      <c r="F8007" t="s">
        <v>35</v>
      </c>
      <c r="G8007" t="s">
        <v>35</v>
      </c>
      <c r="H8007" t="s">
        <v>35</v>
      </c>
      <c r="J8007" t="s">
        <v>7323</v>
      </c>
      <c r="K8007" t="s">
        <v>1092</v>
      </c>
      <c r="M8007">
        <v>2.25</v>
      </c>
      <c r="N8007">
        <v>55</v>
      </c>
      <c r="O8007" t="s">
        <v>52</v>
      </c>
      <c r="Q8007" t="s">
        <v>90</v>
      </c>
      <c r="R8007" t="s">
        <v>6847</v>
      </c>
      <c r="S8007" t="s">
        <v>1034</v>
      </c>
      <c r="T8007" t="s">
        <v>1035</v>
      </c>
    </row>
    <row r="8008" spans="1:20" x14ac:dyDescent="0.25">
      <c r="A8008" t="s">
        <v>30</v>
      </c>
      <c r="B8008" t="s">
        <v>31</v>
      </c>
      <c r="C8008" t="s">
        <v>32</v>
      </c>
      <c r="D8008" t="s">
        <v>953</v>
      </c>
      <c r="E8008" t="s">
        <v>7558</v>
      </c>
      <c r="F8008" t="s">
        <v>35</v>
      </c>
      <c r="G8008" t="s">
        <v>35</v>
      </c>
      <c r="H8008" t="s">
        <v>35</v>
      </c>
      <c r="J8008" t="s">
        <v>7577</v>
      </c>
      <c r="K8008" t="s">
        <v>1092</v>
      </c>
      <c r="M8008">
        <v>4.4999999999999998E-2</v>
      </c>
      <c r="N8008">
        <v>451</v>
      </c>
      <c r="O8008" t="s">
        <v>294</v>
      </c>
      <c r="Q8008" t="s">
        <v>1355</v>
      </c>
      <c r="R8008" t="s">
        <v>6847</v>
      </c>
      <c r="S8008" t="s">
        <v>1034</v>
      </c>
      <c r="T8008" t="s">
        <v>1035</v>
      </c>
    </row>
    <row r="8009" spans="1:20" x14ac:dyDescent="0.25">
      <c r="A8009" t="s">
        <v>59</v>
      </c>
      <c r="B8009" t="s">
        <v>31</v>
      </c>
      <c r="C8009" t="s">
        <v>32</v>
      </c>
      <c r="D8009" t="s">
        <v>953</v>
      </c>
      <c r="E8009" t="s">
        <v>7558</v>
      </c>
      <c r="F8009" t="s">
        <v>35</v>
      </c>
      <c r="G8009" t="s">
        <v>35</v>
      </c>
      <c r="H8009" t="s">
        <v>35</v>
      </c>
      <c r="J8009" t="s">
        <v>7577</v>
      </c>
      <c r="K8009" t="s">
        <v>1092</v>
      </c>
      <c r="M8009">
        <v>4.4999999999999998E-2</v>
      </c>
      <c r="N8009">
        <v>429</v>
      </c>
      <c r="O8009" t="s">
        <v>294</v>
      </c>
      <c r="Q8009" t="s">
        <v>1787</v>
      </c>
      <c r="R8009" t="s">
        <v>6847</v>
      </c>
      <c r="S8009" t="s">
        <v>1034</v>
      </c>
      <c r="T8009" t="s">
        <v>1035</v>
      </c>
    </row>
    <row r="8010" spans="1:20" x14ac:dyDescent="0.25">
      <c r="A8010" t="s">
        <v>44</v>
      </c>
      <c r="B8010" t="s">
        <v>3</v>
      </c>
      <c r="C8010" t="s">
        <v>32</v>
      </c>
      <c r="D8010" t="s">
        <v>953</v>
      </c>
      <c r="E8010" t="s">
        <v>1077</v>
      </c>
      <c r="F8010" t="s">
        <v>35</v>
      </c>
      <c r="G8010" t="s">
        <v>35</v>
      </c>
      <c r="H8010" t="s">
        <v>35</v>
      </c>
      <c r="J8010" t="s">
        <v>7028</v>
      </c>
      <c r="K8010" t="s">
        <v>1092</v>
      </c>
      <c r="M8010">
        <v>1.5</v>
      </c>
      <c r="N8010">
        <v>26</v>
      </c>
      <c r="O8010" t="s">
        <v>46</v>
      </c>
      <c r="Q8010" t="s">
        <v>137</v>
      </c>
      <c r="R8010" t="s">
        <v>6847</v>
      </c>
      <c r="S8010" t="s">
        <v>1034</v>
      </c>
      <c r="T8010" t="s">
        <v>1035</v>
      </c>
    </row>
    <row r="8011" spans="1:20" x14ac:dyDescent="0.25">
      <c r="A8011" t="s">
        <v>59</v>
      </c>
      <c r="B8011" t="s">
        <v>60</v>
      </c>
      <c r="C8011" t="s">
        <v>32</v>
      </c>
      <c r="D8011" t="s">
        <v>953</v>
      </c>
      <c r="E8011" t="s">
        <v>1077</v>
      </c>
      <c r="F8011" t="s">
        <v>35</v>
      </c>
      <c r="G8011" t="s">
        <v>35</v>
      </c>
      <c r="H8011" t="s">
        <v>35</v>
      </c>
      <c r="J8011" t="s">
        <v>7028</v>
      </c>
      <c r="K8011" t="s">
        <v>1092</v>
      </c>
      <c r="M8011">
        <v>1.5</v>
      </c>
      <c r="N8011">
        <v>26</v>
      </c>
      <c r="O8011" t="s">
        <v>46</v>
      </c>
      <c r="Q8011" t="s">
        <v>137</v>
      </c>
      <c r="R8011" t="s">
        <v>6847</v>
      </c>
      <c r="S8011" t="s">
        <v>1034</v>
      </c>
      <c r="T8011" t="s">
        <v>1035</v>
      </c>
    </row>
    <row r="8012" spans="1:20" x14ac:dyDescent="0.25">
      <c r="A8012" t="s">
        <v>30</v>
      </c>
      <c r="B8012" t="s">
        <v>31</v>
      </c>
      <c r="C8012" t="s">
        <v>32</v>
      </c>
      <c r="D8012" t="s">
        <v>953</v>
      </c>
      <c r="E8012" t="s">
        <v>1077</v>
      </c>
      <c r="F8012" t="s">
        <v>35</v>
      </c>
      <c r="G8012" t="s">
        <v>35</v>
      </c>
      <c r="H8012" t="s">
        <v>35</v>
      </c>
      <c r="J8012" t="s">
        <v>7028</v>
      </c>
      <c r="K8012" t="s">
        <v>1092</v>
      </c>
      <c r="M8012">
        <v>10.98</v>
      </c>
      <c r="N8012">
        <v>41</v>
      </c>
      <c r="O8012" t="s">
        <v>52</v>
      </c>
      <c r="Q8012" t="s">
        <v>496</v>
      </c>
      <c r="R8012" t="s">
        <v>6847</v>
      </c>
      <c r="S8012" t="s">
        <v>1034</v>
      </c>
      <c r="T8012" t="s">
        <v>1035</v>
      </c>
    </row>
    <row r="8013" spans="1:20" x14ac:dyDescent="0.25">
      <c r="A8013" t="s">
        <v>59</v>
      </c>
      <c r="B8013" t="s">
        <v>60</v>
      </c>
      <c r="C8013" t="s">
        <v>32</v>
      </c>
      <c r="D8013" t="s">
        <v>953</v>
      </c>
      <c r="E8013" t="s">
        <v>1077</v>
      </c>
      <c r="F8013" t="s">
        <v>35</v>
      </c>
      <c r="G8013" t="s">
        <v>35</v>
      </c>
      <c r="H8013" t="s">
        <v>35</v>
      </c>
      <c r="J8013" t="s">
        <v>7028</v>
      </c>
      <c r="K8013" t="s">
        <v>1092</v>
      </c>
      <c r="M8013">
        <v>0.05</v>
      </c>
      <c r="N8013">
        <v>39</v>
      </c>
      <c r="O8013" t="s">
        <v>52</v>
      </c>
      <c r="Q8013" t="s">
        <v>493</v>
      </c>
      <c r="R8013" t="s">
        <v>6847</v>
      </c>
      <c r="S8013" t="s">
        <v>1034</v>
      </c>
      <c r="T8013" t="s">
        <v>1035</v>
      </c>
    </row>
    <row r="8014" spans="1:20" x14ac:dyDescent="0.25">
      <c r="A8014" t="s">
        <v>44</v>
      </c>
      <c r="B8014" t="s">
        <v>3</v>
      </c>
      <c r="C8014" t="s">
        <v>32</v>
      </c>
      <c r="D8014" t="s">
        <v>953</v>
      </c>
      <c r="E8014" t="s">
        <v>7740</v>
      </c>
      <c r="F8014" t="s">
        <v>35</v>
      </c>
      <c r="G8014" t="s">
        <v>35</v>
      </c>
      <c r="H8014" t="s">
        <v>35</v>
      </c>
      <c r="J8014" t="s">
        <v>7768</v>
      </c>
      <c r="K8014" t="s">
        <v>1092</v>
      </c>
      <c r="M8014">
        <v>0.85</v>
      </c>
      <c r="N8014">
        <v>58</v>
      </c>
      <c r="O8014" t="s">
        <v>52</v>
      </c>
      <c r="Q8014" t="s">
        <v>128</v>
      </c>
      <c r="R8014" t="s">
        <v>6847</v>
      </c>
      <c r="S8014" t="s">
        <v>1034</v>
      </c>
      <c r="T8014" t="s">
        <v>1035</v>
      </c>
    </row>
    <row r="8015" spans="1:20" x14ac:dyDescent="0.25">
      <c r="A8015" t="s">
        <v>59</v>
      </c>
      <c r="B8015" t="s">
        <v>60</v>
      </c>
      <c r="C8015" t="s">
        <v>32</v>
      </c>
      <c r="D8015" t="s">
        <v>953</v>
      </c>
      <c r="E8015" t="s">
        <v>7740</v>
      </c>
      <c r="F8015" t="s">
        <v>35</v>
      </c>
      <c r="G8015" t="s">
        <v>35</v>
      </c>
      <c r="H8015" t="s">
        <v>35</v>
      </c>
      <c r="J8015" t="s">
        <v>7768</v>
      </c>
      <c r="K8015" t="s">
        <v>1092</v>
      </c>
      <c r="M8015">
        <v>0.1</v>
      </c>
      <c r="N8015">
        <v>55</v>
      </c>
      <c r="O8015" t="s">
        <v>52</v>
      </c>
      <c r="Q8015" t="s">
        <v>90</v>
      </c>
      <c r="R8015" t="s">
        <v>6847</v>
      </c>
      <c r="S8015" t="s">
        <v>1034</v>
      </c>
      <c r="T8015" t="s">
        <v>1035</v>
      </c>
    </row>
    <row r="8016" spans="1:20" x14ac:dyDescent="0.25">
      <c r="A8016" t="s">
        <v>44</v>
      </c>
      <c r="B8016" t="s">
        <v>51</v>
      </c>
      <c r="C8016" t="s">
        <v>32</v>
      </c>
      <c r="D8016" t="s">
        <v>953</v>
      </c>
      <c r="E8016" t="s">
        <v>1077</v>
      </c>
      <c r="F8016" t="s">
        <v>35</v>
      </c>
      <c r="G8016" t="s">
        <v>35</v>
      </c>
      <c r="H8016" t="s">
        <v>35</v>
      </c>
      <c r="J8016" t="s">
        <v>7638</v>
      </c>
      <c r="K8016" t="s">
        <v>1092</v>
      </c>
      <c r="M8016">
        <v>4.5</v>
      </c>
      <c r="N8016">
        <v>54</v>
      </c>
      <c r="O8016" t="s">
        <v>52</v>
      </c>
      <c r="Q8016" t="s">
        <v>671</v>
      </c>
      <c r="R8016" t="s">
        <v>6847</v>
      </c>
      <c r="S8016" t="s">
        <v>1034</v>
      </c>
      <c r="T8016" t="s">
        <v>1035</v>
      </c>
    </row>
    <row r="8017" spans="1:20" x14ac:dyDescent="0.25">
      <c r="A8017" t="s">
        <v>44</v>
      </c>
      <c r="B8017" t="s">
        <v>3</v>
      </c>
      <c r="C8017" t="s">
        <v>32</v>
      </c>
      <c r="D8017" t="s">
        <v>953</v>
      </c>
      <c r="E8017" t="s">
        <v>1077</v>
      </c>
      <c r="F8017" t="s">
        <v>35</v>
      </c>
      <c r="G8017" t="s">
        <v>35</v>
      </c>
      <c r="H8017" t="s">
        <v>35</v>
      </c>
      <c r="J8017" t="s">
        <v>7638</v>
      </c>
      <c r="K8017" t="s">
        <v>1092</v>
      </c>
      <c r="M8017">
        <v>5</v>
      </c>
      <c r="N8017">
        <v>58</v>
      </c>
      <c r="O8017" t="s">
        <v>52</v>
      </c>
      <c r="Q8017" t="s">
        <v>128</v>
      </c>
      <c r="R8017" t="s">
        <v>6847</v>
      </c>
      <c r="S8017" t="s">
        <v>1034</v>
      </c>
      <c r="T8017" t="s">
        <v>1035</v>
      </c>
    </row>
    <row r="8018" spans="1:20" x14ac:dyDescent="0.25">
      <c r="A8018" t="s">
        <v>59</v>
      </c>
      <c r="B8018" t="s">
        <v>60</v>
      </c>
      <c r="C8018" t="s">
        <v>32</v>
      </c>
      <c r="D8018" t="s">
        <v>953</v>
      </c>
      <c r="E8018" t="s">
        <v>1077</v>
      </c>
      <c r="F8018" t="s">
        <v>35</v>
      </c>
      <c r="G8018" t="s">
        <v>35</v>
      </c>
      <c r="H8018" t="s">
        <v>35</v>
      </c>
      <c r="J8018" t="s">
        <v>7638</v>
      </c>
      <c r="K8018" t="s">
        <v>1092</v>
      </c>
      <c r="M8018">
        <v>4.5</v>
      </c>
      <c r="N8018">
        <v>55</v>
      </c>
      <c r="O8018" t="s">
        <v>52</v>
      </c>
      <c r="Q8018" t="s">
        <v>90</v>
      </c>
      <c r="R8018" t="s">
        <v>6847</v>
      </c>
      <c r="S8018" t="s">
        <v>1034</v>
      </c>
      <c r="T8018" t="s">
        <v>1035</v>
      </c>
    </row>
    <row r="8019" spans="1:20" x14ac:dyDescent="0.25">
      <c r="A8019" t="s">
        <v>59</v>
      </c>
      <c r="B8019" t="s">
        <v>60</v>
      </c>
      <c r="C8019" t="s">
        <v>32</v>
      </c>
      <c r="D8019" t="s">
        <v>953</v>
      </c>
      <c r="E8019" t="s">
        <v>1077</v>
      </c>
      <c r="F8019" t="s">
        <v>35</v>
      </c>
      <c r="G8019" t="s">
        <v>35</v>
      </c>
      <c r="H8019" t="s">
        <v>35</v>
      </c>
      <c r="J8019" t="s">
        <v>7637</v>
      </c>
      <c r="K8019" t="s">
        <v>1092</v>
      </c>
      <c r="M8019">
        <v>1.25</v>
      </c>
      <c r="N8019">
        <v>37</v>
      </c>
      <c r="O8019" t="s">
        <v>52</v>
      </c>
      <c r="Q8019" t="s">
        <v>192</v>
      </c>
      <c r="R8019" t="s">
        <v>6847</v>
      </c>
      <c r="S8019" t="s">
        <v>1034</v>
      </c>
      <c r="T8019" t="s">
        <v>1035</v>
      </c>
    </row>
    <row r="8020" spans="1:20" x14ac:dyDescent="0.25">
      <c r="A8020" t="s">
        <v>44</v>
      </c>
      <c r="B8020" t="s">
        <v>3</v>
      </c>
      <c r="C8020" t="s">
        <v>32</v>
      </c>
      <c r="D8020" t="s">
        <v>953</v>
      </c>
      <c r="E8020" t="s">
        <v>1077</v>
      </c>
      <c r="F8020" t="s">
        <v>35</v>
      </c>
      <c r="G8020" t="s">
        <v>35</v>
      </c>
      <c r="H8020" t="s">
        <v>35</v>
      </c>
      <c r="J8020" t="s">
        <v>7637</v>
      </c>
      <c r="K8020" t="s">
        <v>1092</v>
      </c>
      <c r="M8020">
        <v>1.25</v>
      </c>
      <c r="N8020">
        <v>37</v>
      </c>
      <c r="O8020" t="s">
        <v>52</v>
      </c>
      <c r="Q8020" t="s">
        <v>192</v>
      </c>
      <c r="R8020" t="s">
        <v>6847</v>
      </c>
      <c r="S8020" t="s">
        <v>1034</v>
      </c>
      <c r="T8020" t="s">
        <v>1035</v>
      </c>
    </row>
    <row r="8021" spans="1:20" x14ac:dyDescent="0.25">
      <c r="A8021" t="s">
        <v>59</v>
      </c>
      <c r="B8021" t="s">
        <v>60</v>
      </c>
      <c r="C8021" t="s">
        <v>32</v>
      </c>
      <c r="D8021" t="s">
        <v>953</v>
      </c>
      <c r="E8021" t="s">
        <v>1015</v>
      </c>
      <c r="F8021" t="s">
        <v>35</v>
      </c>
      <c r="G8021" t="s">
        <v>35</v>
      </c>
      <c r="H8021" t="s">
        <v>35</v>
      </c>
      <c r="J8021" t="s">
        <v>7349</v>
      </c>
      <c r="K8021" t="s">
        <v>1092</v>
      </c>
      <c r="M8021">
        <v>1</v>
      </c>
      <c r="N8021">
        <v>47</v>
      </c>
      <c r="O8021" t="s">
        <v>52</v>
      </c>
      <c r="Q8021" t="s">
        <v>1207</v>
      </c>
      <c r="R8021" t="s">
        <v>6847</v>
      </c>
      <c r="S8021" t="s">
        <v>1034</v>
      </c>
      <c r="T8021" t="s">
        <v>1035</v>
      </c>
    </row>
    <row r="8022" spans="1:20" x14ac:dyDescent="0.25">
      <c r="A8022" t="s">
        <v>59</v>
      </c>
      <c r="B8022" t="s">
        <v>60</v>
      </c>
      <c r="C8022" t="s">
        <v>32</v>
      </c>
      <c r="D8022" t="s">
        <v>953</v>
      </c>
      <c r="E8022" t="s">
        <v>1015</v>
      </c>
      <c r="F8022" t="s">
        <v>35</v>
      </c>
      <c r="G8022" t="s">
        <v>35</v>
      </c>
      <c r="H8022" t="s">
        <v>35</v>
      </c>
      <c r="J8022" t="s">
        <v>7349</v>
      </c>
      <c r="K8022" t="s">
        <v>1092</v>
      </c>
      <c r="M8022">
        <v>0.6</v>
      </c>
      <c r="N8022">
        <v>54</v>
      </c>
      <c r="O8022" t="s">
        <v>52</v>
      </c>
      <c r="Q8022" t="s">
        <v>671</v>
      </c>
      <c r="R8022" t="s">
        <v>6847</v>
      </c>
      <c r="S8022" t="s">
        <v>1034</v>
      </c>
      <c r="T8022" t="s">
        <v>1035</v>
      </c>
    </row>
    <row r="8023" spans="1:20" x14ac:dyDescent="0.25">
      <c r="A8023" t="s">
        <v>30</v>
      </c>
      <c r="B8023" t="s">
        <v>31</v>
      </c>
      <c r="C8023" t="s">
        <v>32</v>
      </c>
      <c r="D8023" t="s">
        <v>953</v>
      </c>
      <c r="E8023" t="s">
        <v>1015</v>
      </c>
      <c r="F8023" t="s">
        <v>35</v>
      </c>
      <c r="G8023" t="s">
        <v>35</v>
      </c>
      <c r="H8023" t="s">
        <v>35</v>
      </c>
      <c r="J8023" t="s">
        <v>7465</v>
      </c>
      <c r="K8023" t="s">
        <v>1092</v>
      </c>
      <c r="M8023">
        <v>9.99</v>
      </c>
      <c r="N8023">
        <v>13</v>
      </c>
      <c r="O8023" t="s">
        <v>46</v>
      </c>
      <c r="Q8023" t="s">
        <v>1004</v>
      </c>
      <c r="R8023" t="s">
        <v>6847</v>
      </c>
      <c r="S8023" t="s">
        <v>1034</v>
      </c>
      <c r="T8023" t="s">
        <v>1035</v>
      </c>
    </row>
    <row r="8024" spans="1:20" x14ac:dyDescent="0.25">
      <c r="A8024" t="s">
        <v>59</v>
      </c>
      <c r="B8024" t="s">
        <v>60</v>
      </c>
      <c r="C8024" t="s">
        <v>32</v>
      </c>
      <c r="D8024" t="s">
        <v>953</v>
      </c>
      <c r="E8024" t="s">
        <v>1015</v>
      </c>
      <c r="F8024" t="s">
        <v>35</v>
      </c>
      <c r="G8024" t="s">
        <v>35</v>
      </c>
      <c r="H8024" t="s">
        <v>35</v>
      </c>
      <c r="J8024" t="s">
        <v>7465</v>
      </c>
      <c r="K8024" t="s">
        <v>1092</v>
      </c>
      <c r="M8024">
        <v>2</v>
      </c>
      <c r="N8024">
        <v>26</v>
      </c>
      <c r="O8024" t="s">
        <v>46</v>
      </c>
      <c r="Q8024" t="s">
        <v>137</v>
      </c>
      <c r="R8024" t="s">
        <v>6847</v>
      </c>
      <c r="S8024" t="s">
        <v>1034</v>
      </c>
      <c r="T8024" t="s">
        <v>1035</v>
      </c>
    </row>
    <row r="8025" spans="1:20" x14ac:dyDescent="0.25">
      <c r="A8025" t="s">
        <v>30</v>
      </c>
      <c r="B8025" t="s">
        <v>31</v>
      </c>
      <c r="C8025" t="s">
        <v>32</v>
      </c>
      <c r="D8025" t="s">
        <v>953</v>
      </c>
      <c r="E8025" t="s">
        <v>968</v>
      </c>
      <c r="F8025" t="s">
        <v>35</v>
      </c>
      <c r="G8025" t="s">
        <v>35</v>
      </c>
      <c r="H8025" t="s">
        <v>35</v>
      </c>
      <c r="J8025" t="s">
        <v>7003</v>
      </c>
      <c r="K8025" t="s">
        <v>1092</v>
      </c>
      <c r="M8025">
        <v>3.15</v>
      </c>
      <c r="N8025">
        <v>13</v>
      </c>
      <c r="O8025" t="s">
        <v>46</v>
      </c>
      <c r="Q8025" t="s">
        <v>1004</v>
      </c>
      <c r="R8025" t="s">
        <v>6847</v>
      </c>
      <c r="S8025" t="s">
        <v>1034</v>
      </c>
      <c r="T8025" t="s">
        <v>1035</v>
      </c>
    </row>
    <row r="8026" spans="1:20" x14ac:dyDescent="0.25">
      <c r="A8026" t="s">
        <v>59</v>
      </c>
      <c r="B8026" t="s">
        <v>60</v>
      </c>
      <c r="C8026" t="s">
        <v>32</v>
      </c>
      <c r="D8026" t="s">
        <v>953</v>
      </c>
      <c r="E8026" t="s">
        <v>1015</v>
      </c>
      <c r="F8026" t="s">
        <v>35</v>
      </c>
      <c r="G8026" t="s">
        <v>35</v>
      </c>
      <c r="H8026" t="s">
        <v>35</v>
      </c>
      <c r="J8026" t="s">
        <v>7343</v>
      </c>
      <c r="K8026" t="s">
        <v>1092</v>
      </c>
      <c r="M8026">
        <v>1</v>
      </c>
      <c r="N8026">
        <v>35</v>
      </c>
      <c r="O8026" t="s">
        <v>52</v>
      </c>
      <c r="Q8026" t="s">
        <v>991</v>
      </c>
      <c r="R8026" t="s">
        <v>6847</v>
      </c>
      <c r="S8026" t="s">
        <v>1034</v>
      </c>
      <c r="T8026" t="s">
        <v>1035</v>
      </c>
    </row>
    <row r="8027" spans="1:20" x14ac:dyDescent="0.25">
      <c r="A8027" t="s">
        <v>44</v>
      </c>
      <c r="B8027" t="s">
        <v>3</v>
      </c>
      <c r="C8027" t="s">
        <v>32</v>
      </c>
      <c r="D8027" t="s">
        <v>953</v>
      </c>
      <c r="E8027" t="s">
        <v>1015</v>
      </c>
      <c r="F8027" t="s">
        <v>35</v>
      </c>
      <c r="G8027" t="s">
        <v>35</v>
      </c>
      <c r="H8027" t="s">
        <v>35</v>
      </c>
      <c r="J8027" t="s">
        <v>7343</v>
      </c>
      <c r="K8027" t="s">
        <v>1092</v>
      </c>
      <c r="M8027">
        <v>1</v>
      </c>
      <c r="N8027">
        <v>35</v>
      </c>
      <c r="O8027" t="s">
        <v>52</v>
      </c>
      <c r="Q8027" t="s">
        <v>991</v>
      </c>
      <c r="R8027" t="s">
        <v>6847</v>
      </c>
      <c r="S8027" t="s">
        <v>1034</v>
      </c>
      <c r="T8027" t="s">
        <v>1035</v>
      </c>
    </row>
    <row r="8028" spans="1:20" x14ac:dyDescent="0.25">
      <c r="A8028" t="s">
        <v>59</v>
      </c>
      <c r="B8028" t="s">
        <v>60</v>
      </c>
      <c r="C8028" t="s">
        <v>32</v>
      </c>
      <c r="D8028" t="s">
        <v>953</v>
      </c>
      <c r="E8028" t="s">
        <v>7558</v>
      </c>
      <c r="F8028" t="s">
        <v>35</v>
      </c>
      <c r="G8028" t="s">
        <v>35</v>
      </c>
      <c r="H8028" t="s">
        <v>35</v>
      </c>
      <c r="J8028" t="s">
        <v>7584</v>
      </c>
      <c r="K8028" t="s">
        <v>1092</v>
      </c>
      <c r="M8028">
        <v>1</v>
      </c>
      <c r="N8028">
        <v>47</v>
      </c>
      <c r="O8028" t="s">
        <v>52</v>
      </c>
      <c r="Q8028" t="s">
        <v>1207</v>
      </c>
      <c r="R8028" t="s">
        <v>6847</v>
      </c>
      <c r="S8028" t="s">
        <v>1034</v>
      </c>
      <c r="T8028" t="s">
        <v>1035</v>
      </c>
    </row>
    <row r="8029" spans="1:20" x14ac:dyDescent="0.25">
      <c r="A8029" t="s">
        <v>44</v>
      </c>
      <c r="B8029" t="s">
        <v>3</v>
      </c>
      <c r="C8029" t="s">
        <v>32</v>
      </c>
      <c r="D8029" t="s">
        <v>953</v>
      </c>
      <c r="E8029" t="s">
        <v>1015</v>
      </c>
      <c r="F8029" t="s">
        <v>35</v>
      </c>
      <c r="G8029" t="s">
        <v>35</v>
      </c>
      <c r="H8029" t="s">
        <v>35</v>
      </c>
      <c r="J8029" t="s">
        <v>7415</v>
      </c>
      <c r="K8029" t="s">
        <v>1092</v>
      </c>
      <c r="M8029">
        <v>1</v>
      </c>
      <c r="N8029">
        <v>54</v>
      </c>
      <c r="O8029" t="s">
        <v>52</v>
      </c>
      <c r="Q8029" t="s">
        <v>671</v>
      </c>
      <c r="R8029" t="s">
        <v>6847</v>
      </c>
      <c r="S8029" t="s">
        <v>1034</v>
      </c>
      <c r="T8029" t="s">
        <v>1035</v>
      </c>
    </row>
    <row r="8030" spans="1:20" x14ac:dyDescent="0.25">
      <c r="A8030" t="s">
        <v>44</v>
      </c>
      <c r="B8030" t="s">
        <v>3</v>
      </c>
      <c r="C8030" t="s">
        <v>32</v>
      </c>
      <c r="D8030" t="s">
        <v>953</v>
      </c>
      <c r="E8030" t="s">
        <v>6878</v>
      </c>
      <c r="F8030" t="s">
        <v>35</v>
      </c>
      <c r="G8030" t="s">
        <v>35</v>
      </c>
      <c r="H8030" t="s">
        <v>35</v>
      </c>
      <c r="J8030" t="s">
        <v>6926</v>
      </c>
      <c r="K8030" t="s">
        <v>1092</v>
      </c>
      <c r="M8030">
        <v>0.5</v>
      </c>
      <c r="N8030">
        <v>54</v>
      </c>
      <c r="O8030" t="s">
        <v>52</v>
      </c>
      <c r="Q8030" t="s">
        <v>671</v>
      </c>
      <c r="R8030" t="s">
        <v>6847</v>
      </c>
      <c r="S8030" t="s">
        <v>1034</v>
      </c>
      <c r="T8030" t="s">
        <v>1035</v>
      </c>
    </row>
    <row r="8031" spans="1:20" x14ac:dyDescent="0.25">
      <c r="A8031" t="s">
        <v>59</v>
      </c>
      <c r="B8031" t="s">
        <v>60</v>
      </c>
      <c r="C8031" t="s">
        <v>32</v>
      </c>
      <c r="D8031" t="s">
        <v>953</v>
      </c>
      <c r="E8031" t="s">
        <v>6878</v>
      </c>
      <c r="F8031" t="s">
        <v>35</v>
      </c>
      <c r="G8031" t="s">
        <v>35</v>
      </c>
      <c r="H8031" t="s">
        <v>35</v>
      </c>
      <c r="J8031" t="s">
        <v>6926</v>
      </c>
      <c r="K8031" t="s">
        <v>1092</v>
      </c>
      <c r="M8031">
        <v>0.5</v>
      </c>
      <c r="N8031">
        <v>54</v>
      </c>
      <c r="O8031" t="s">
        <v>52</v>
      </c>
      <c r="Q8031" t="s">
        <v>671</v>
      </c>
      <c r="R8031" t="s">
        <v>6847</v>
      </c>
      <c r="S8031" t="s">
        <v>1034</v>
      </c>
      <c r="T8031" t="s">
        <v>1035</v>
      </c>
    </row>
    <row r="8032" spans="1:20" x14ac:dyDescent="0.25">
      <c r="A8032" t="s">
        <v>59</v>
      </c>
      <c r="B8032" t="s">
        <v>60</v>
      </c>
      <c r="C8032" t="s">
        <v>32</v>
      </c>
      <c r="D8032" t="s">
        <v>953</v>
      </c>
      <c r="E8032" t="s">
        <v>6878</v>
      </c>
      <c r="F8032" t="s">
        <v>35</v>
      </c>
      <c r="G8032" t="s">
        <v>35</v>
      </c>
      <c r="H8032" t="s">
        <v>35</v>
      </c>
      <c r="J8032" t="s">
        <v>6926</v>
      </c>
      <c r="K8032" t="s">
        <v>1092</v>
      </c>
      <c r="M8032">
        <v>1</v>
      </c>
      <c r="N8032">
        <v>69</v>
      </c>
      <c r="O8032" t="s">
        <v>61</v>
      </c>
      <c r="Q8032" t="s">
        <v>234</v>
      </c>
      <c r="R8032" t="s">
        <v>6847</v>
      </c>
      <c r="S8032" t="s">
        <v>1034</v>
      </c>
      <c r="T8032" t="s">
        <v>1035</v>
      </c>
    </row>
    <row r="8033" spans="1:20" x14ac:dyDescent="0.25">
      <c r="A8033" t="s">
        <v>59</v>
      </c>
      <c r="B8033" t="s">
        <v>60</v>
      </c>
      <c r="C8033" t="s">
        <v>32</v>
      </c>
      <c r="D8033" t="s">
        <v>953</v>
      </c>
      <c r="E8033" t="s">
        <v>6878</v>
      </c>
      <c r="F8033" t="s">
        <v>35</v>
      </c>
      <c r="G8033" t="s">
        <v>35</v>
      </c>
      <c r="H8033" t="s">
        <v>35</v>
      </c>
      <c r="J8033" t="s">
        <v>6926</v>
      </c>
      <c r="K8033" t="s">
        <v>1092</v>
      </c>
      <c r="M8033">
        <v>0.65</v>
      </c>
      <c r="N8033">
        <v>168</v>
      </c>
      <c r="O8033" t="s">
        <v>38</v>
      </c>
      <c r="Q8033" t="s">
        <v>1692</v>
      </c>
      <c r="R8033" t="s">
        <v>6847</v>
      </c>
      <c r="S8033" t="s">
        <v>1034</v>
      </c>
      <c r="T8033" t="s">
        <v>1035</v>
      </c>
    </row>
    <row r="8034" spans="1:20" x14ac:dyDescent="0.25">
      <c r="A8034" t="s">
        <v>59</v>
      </c>
      <c r="B8034" t="s">
        <v>60</v>
      </c>
      <c r="C8034" t="s">
        <v>32</v>
      </c>
      <c r="D8034" t="s">
        <v>953</v>
      </c>
      <c r="E8034" t="s">
        <v>968</v>
      </c>
      <c r="F8034" t="s">
        <v>35</v>
      </c>
      <c r="G8034" t="s">
        <v>35</v>
      </c>
      <c r="H8034" t="s">
        <v>35</v>
      </c>
      <c r="J8034" t="s">
        <v>7027</v>
      </c>
      <c r="K8034" t="s">
        <v>1092</v>
      </c>
      <c r="M8034">
        <v>1.5</v>
      </c>
      <c r="N8034">
        <v>143</v>
      </c>
      <c r="O8034" t="s">
        <v>38</v>
      </c>
      <c r="Q8034" t="s">
        <v>1612</v>
      </c>
      <c r="R8034" t="s">
        <v>6847</v>
      </c>
      <c r="S8034" t="s">
        <v>1034</v>
      </c>
      <c r="T8034" t="s">
        <v>1035</v>
      </c>
    </row>
    <row r="8035" spans="1:20" x14ac:dyDescent="0.25">
      <c r="A8035" t="s">
        <v>44</v>
      </c>
      <c r="B8035" t="s">
        <v>3</v>
      </c>
      <c r="C8035" t="s">
        <v>32</v>
      </c>
      <c r="D8035" t="s">
        <v>953</v>
      </c>
      <c r="E8035" t="s">
        <v>1015</v>
      </c>
      <c r="F8035" t="s">
        <v>35</v>
      </c>
      <c r="G8035" t="s">
        <v>35</v>
      </c>
      <c r="H8035" t="s">
        <v>35</v>
      </c>
      <c r="J8035" t="s">
        <v>7344</v>
      </c>
      <c r="K8035" t="s">
        <v>1092</v>
      </c>
      <c r="M8035">
        <v>2.35</v>
      </c>
      <c r="N8035">
        <v>58</v>
      </c>
      <c r="O8035" t="s">
        <v>52</v>
      </c>
      <c r="Q8035" t="s">
        <v>128</v>
      </c>
      <c r="R8035" t="s">
        <v>6847</v>
      </c>
      <c r="S8035" t="s">
        <v>1034</v>
      </c>
      <c r="T8035" t="s">
        <v>1035</v>
      </c>
    </row>
    <row r="8036" spans="1:20" x14ac:dyDescent="0.25">
      <c r="A8036" t="s">
        <v>59</v>
      </c>
      <c r="B8036" t="s">
        <v>31</v>
      </c>
      <c r="C8036" t="s">
        <v>32</v>
      </c>
      <c r="D8036" t="s">
        <v>953</v>
      </c>
      <c r="E8036" t="s">
        <v>1015</v>
      </c>
      <c r="F8036" t="s">
        <v>35</v>
      </c>
      <c r="G8036" t="s">
        <v>35</v>
      </c>
      <c r="H8036" t="s">
        <v>35</v>
      </c>
      <c r="J8036" t="s">
        <v>7344</v>
      </c>
      <c r="K8036" t="s">
        <v>1092</v>
      </c>
      <c r="M8036">
        <v>2.4750000000000001</v>
      </c>
      <c r="N8036">
        <v>55</v>
      </c>
      <c r="O8036" t="s">
        <v>52</v>
      </c>
      <c r="Q8036" t="s">
        <v>90</v>
      </c>
      <c r="R8036" t="s">
        <v>6847</v>
      </c>
      <c r="S8036" t="s">
        <v>1034</v>
      </c>
      <c r="T8036" t="s">
        <v>1035</v>
      </c>
    </row>
    <row r="8037" spans="1:20" x14ac:dyDescent="0.25">
      <c r="A8037" t="s">
        <v>59</v>
      </c>
      <c r="B8037" t="s">
        <v>60</v>
      </c>
      <c r="C8037" t="s">
        <v>32</v>
      </c>
      <c r="D8037" t="s">
        <v>953</v>
      </c>
      <c r="E8037" t="s">
        <v>1015</v>
      </c>
      <c r="F8037" t="s">
        <v>35</v>
      </c>
      <c r="G8037" t="s">
        <v>35</v>
      </c>
      <c r="H8037" t="s">
        <v>35</v>
      </c>
      <c r="J8037" t="s">
        <v>7359</v>
      </c>
      <c r="K8037" t="s">
        <v>1092</v>
      </c>
      <c r="M8037">
        <v>0.8</v>
      </c>
      <c r="N8037">
        <v>244</v>
      </c>
      <c r="O8037" t="s">
        <v>5</v>
      </c>
      <c r="Q8037" t="s">
        <v>1688</v>
      </c>
      <c r="R8037" t="s">
        <v>6847</v>
      </c>
      <c r="S8037" t="s">
        <v>1034</v>
      </c>
      <c r="T8037" t="s">
        <v>1035</v>
      </c>
    </row>
    <row r="8038" spans="1:20" x14ac:dyDescent="0.25">
      <c r="A8038" t="s">
        <v>44</v>
      </c>
      <c r="B8038" t="s">
        <v>51</v>
      </c>
      <c r="C8038" t="s">
        <v>32</v>
      </c>
      <c r="D8038" t="s">
        <v>953</v>
      </c>
      <c r="E8038" t="s">
        <v>7558</v>
      </c>
      <c r="F8038" t="s">
        <v>35</v>
      </c>
      <c r="G8038" t="s">
        <v>35</v>
      </c>
      <c r="H8038" t="s">
        <v>35</v>
      </c>
      <c r="J8038" t="s">
        <v>7591</v>
      </c>
      <c r="K8038" t="s">
        <v>1092</v>
      </c>
      <c r="M8038">
        <v>5.25</v>
      </c>
      <c r="N8038">
        <v>54</v>
      </c>
      <c r="O8038" t="s">
        <v>52</v>
      </c>
      <c r="Q8038" t="s">
        <v>671</v>
      </c>
      <c r="R8038" t="s">
        <v>6847</v>
      </c>
      <c r="S8038" t="s">
        <v>1034</v>
      </c>
      <c r="T8038" t="s">
        <v>1035</v>
      </c>
    </row>
    <row r="8039" spans="1:20" x14ac:dyDescent="0.25">
      <c r="A8039" t="s">
        <v>59</v>
      </c>
      <c r="B8039" t="s">
        <v>60</v>
      </c>
      <c r="C8039" t="s">
        <v>32</v>
      </c>
      <c r="D8039" t="s">
        <v>953</v>
      </c>
      <c r="F8039" t="s">
        <v>35</v>
      </c>
      <c r="G8039" t="s">
        <v>35</v>
      </c>
      <c r="H8039" t="s">
        <v>35</v>
      </c>
      <c r="J8039" t="s">
        <v>8038</v>
      </c>
      <c r="K8039" t="s">
        <v>1092</v>
      </c>
      <c r="M8039">
        <v>0.2</v>
      </c>
      <c r="N8039">
        <v>2009</v>
      </c>
      <c r="O8039" t="s">
        <v>575</v>
      </c>
      <c r="Q8039" t="s">
        <v>8039</v>
      </c>
      <c r="R8039" t="s">
        <v>6847</v>
      </c>
      <c r="S8039" t="s">
        <v>1034</v>
      </c>
      <c r="T8039" t="s">
        <v>1035</v>
      </c>
    </row>
    <row r="8040" spans="1:20" x14ac:dyDescent="0.25">
      <c r="A8040" t="s">
        <v>59</v>
      </c>
      <c r="B8040" t="s">
        <v>31</v>
      </c>
      <c r="C8040" t="s">
        <v>32</v>
      </c>
      <c r="D8040" t="s">
        <v>953</v>
      </c>
      <c r="F8040" t="s">
        <v>35</v>
      </c>
      <c r="G8040" t="s">
        <v>35</v>
      </c>
      <c r="H8040" t="s">
        <v>35</v>
      </c>
      <c r="J8040" t="s">
        <v>8038</v>
      </c>
      <c r="K8040" t="s">
        <v>1092</v>
      </c>
      <c r="M8040">
        <v>4.59</v>
      </c>
      <c r="N8040">
        <v>2014</v>
      </c>
      <c r="O8040" t="s">
        <v>575</v>
      </c>
      <c r="Q8040" t="s">
        <v>1671</v>
      </c>
      <c r="R8040" t="s">
        <v>6847</v>
      </c>
      <c r="S8040" t="s">
        <v>1034</v>
      </c>
      <c r="T8040" t="s">
        <v>1035</v>
      </c>
    </row>
    <row r="8041" spans="1:20" x14ac:dyDescent="0.25">
      <c r="A8041" t="s">
        <v>59</v>
      </c>
      <c r="B8041" t="s">
        <v>31</v>
      </c>
      <c r="C8041" t="s">
        <v>32</v>
      </c>
      <c r="D8041" t="s">
        <v>953</v>
      </c>
      <c r="E8041" t="s">
        <v>1007</v>
      </c>
      <c r="F8041" t="s">
        <v>35</v>
      </c>
      <c r="G8041" t="s">
        <v>35</v>
      </c>
      <c r="H8041" t="s">
        <v>35</v>
      </c>
      <c r="J8041" t="s">
        <v>7324</v>
      </c>
      <c r="K8041" t="s">
        <v>1092</v>
      </c>
      <c r="M8041">
        <v>3.78</v>
      </c>
      <c r="N8041">
        <v>83</v>
      </c>
      <c r="O8041" t="s">
        <v>61</v>
      </c>
      <c r="Q8041" t="s">
        <v>897</v>
      </c>
      <c r="R8041" t="s">
        <v>6847</v>
      </c>
      <c r="S8041" t="s">
        <v>1034</v>
      </c>
      <c r="T8041" t="s">
        <v>1035</v>
      </c>
    </row>
    <row r="8042" spans="1:20" x14ac:dyDescent="0.25">
      <c r="A8042" t="s">
        <v>59</v>
      </c>
      <c r="B8042" t="s">
        <v>60</v>
      </c>
      <c r="C8042" t="s">
        <v>32</v>
      </c>
      <c r="D8042" t="s">
        <v>953</v>
      </c>
      <c r="E8042" t="s">
        <v>1007</v>
      </c>
      <c r="F8042" t="s">
        <v>35</v>
      </c>
      <c r="G8042" t="s">
        <v>35</v>
      </c>
      <c r="H8042" t="s">
        <v>35</v>
      </c>
      <c r="J8042" t="s">
        <v>7308</v>
      </c>
      <c r="K8042" t="s">
        <v>1092</v>
      </c>
      <c r="M8042">
        <v>0.95</v>
      </c>
      <c r="N8042">
        <v>77</v>
      </c>
      <c r="O8042" t="s">
        <v>61</v>
      </c>
      <c r="Q8042" t="s">
        <v>778</v>
      </c>
      <c r="R8042" t="s">
        <v>6847</v>
      </c>
      <c r="S8042" t="s">
        <v>1034</v>
      </c>
      <c r="T8042" t="s">
        <v>1035</v>
      </c>
    </row>
    <row r="8043" spans="1:20" x14ac:dyDescent="0.25">
      <c r="A8043" t="s">
        <v>44</v>
      </c>
      <c r="B8043" t="s">
        <v>51</v>
      </c>
      <c r="C8043" t="s">
        <v>32</v>
      </c>
      <c r="D8043" t="s">
        <v>953</v>
      </c>
      <c r="E8043" t="s">
        <v>1007</v>
      </c>
      <c r="F8043" t="s">
        <v>35</v>
      </c>
      <c r="G8043" t="s">
        <v>35</v>
      </c>
      <c r="H8043" t="s">
        <v>35</v>
      </c>
      <c r="J8043" t="s">
        <v>7308</v>
      </c>
      <c r="K8043" t="s">
        <v>1092</v>
      </c>
      <c r="M8043">
        <v>0.85</v>
      </c>
      <c r="N8043">
        <v>54</v>
      </c>
      <c r="O8043" t="s">
        <v>52</v>
      </c>
      <c r="Q8043" t="s">
        <v>671</v>
      </c>
      <c r="R8043" t="s">
        <v>6847</v>
      </c>
      <c r="S8043" t="s">
        <v>1034</v>
      </c>
      <c r="T8043" t="s">
        <v>1035</v>
      </c>
    </row>
    <row r="8044" spans="1:20" x14ac:dyDescent="0.25">
      <c r="A8044" t="s">
        <v>30</v>
      </c>
      <c r="B8044" t="s">
        <v>31</v>
      </c>
      <c r="C8044" t="s">
        <v>32</v>
      </c>
      <c r="D8044" t="s">
        <v>953</v>
      </c>
      <c r="E8044" t="s">
        <v>1007</v>
      </c>
      <c r="F8044" t="s">
        <v>35</v>
      </c>
      <c r="G8044" t="s">
        <v>35</v>
      </c>
      <c r="H8044" t="s">
        <v>35</v>
      </c>
      <c r="J8044" t="s">
        <v>7308</v>
      </c>
      <c r="K8044" t="s">
        <v>1092</v>
      </c>
      <c r="M8044">
        <v>9.5399999999999991</v>
      </c>
      <c r="N8044">
        <v>13</v>
      </c>
      <c r="O8044" t="s">
        <v>46</v>
      </c>
      <c r="Q8044" t="s">
        <v>1004</v>
      </c>
      <c r="R8044" t="s">
        <v>6847</v>
      </c>
      <c r="S8044" t="s">
        <v>1034</v>
      </c>
      <c r="T8044" t="s">
        <v>1035</v>
      </c>
    </row>
    <row r="8045" spans="1:20" x14ac:dyDescent="0.25">
      <c r="A8045" t="s">
        <v>30</v>
      </c>
      <c r="B8045" t="s">
        <v>31</v>
      </c>
      <c r="C8045" t="s">
        <v>32</v>
      </c>
      <c r="D8045" t="s">
        <v>953</v>
      </c>
      <c r="E8045" t="s">
        <v>1015</v>
      </c>
      <c r="F8045" t="s">
        <v>35</v>
      </c>
      <c r="G8045" t="s">
        <v>35</v>
      </c>
      <c r="H8045" t="s">
        <v>35</v>
      </c>
      <c r="J8045" t="s">
        <v>7358</v>
      </c>
      <c r="K8045" t="s">
        <v>1092</v>
      </c>
      <c r="M8045">
        <v>10.98</v>
      </c>
      <c r="N8045">
        <v>41</v>
      </c>
      <c r="O8045" t="s">
        <v>52</v>
      </c>
      <c r="Q8045" t="s">
        <v>496</v>
      </c>
      <c r="R8045" t="s">
        <v>6847</v>
      </c>
      <c r="S8045" t="s">
        <v>1034</v>
      </c>
      <c r="T8045" t="s">
        <v>1035</v>
      </c>
    </row>
    <row r="8046" spans="1:20" x14ac:dyDescent="0.25">
      <c r="A8046" t="s">
        <v>44</v>
      </c>
      <c r="B8046" t="s">
        <v>3</v>
      </c>
      <c r="C8046" t="s">
        <v>32</v>
      </c>
      <c r="D8046" t="s">
        <v>953</v>
      </c>
      <c r="E8046" t="s">
        <v>1015</v>
      </c>
      <c r="F8046" t="s">
        <v>35</v>
      </c>
      <c r="G8046" t="s">
        <v>35</v>
      </c>
      <c r="H8046" t="s">
        <v>35</v>
      </c>
      <c r="J8046" t="s">
        <v>7358</v>
      </c>
      <c r="K8046" t="s">
        <v>1092</v>
      </c>
      <c r="M8046">
        <v>4.75</v>
      </c>
      <c r="N8046">
        <v>58</v>
      </c>
      <c r="O8046" t="s">
        <v>52</v>
      </c>
      <c r="Q8046" t="s">
        <v>128</v>
      </c>
      <c r="R8046" t="s">
        <v>6847</v>
      </c>
      <c r="S8046" t="s">
        <v>1034</v>
      </c>
      <c r="T8046" t="s">
        <v>1035</v>
      </c>
    </row>
    <row r="8047" spans="1:20" x14ac:dyDescent="0.25">
      <c r="A8047" t="s">
        <v>59</v>
      </c>
      <c r="B8047" t="s">
        <v>60</v>
      </c>
      <c r="C8047" t="s">
        <v>32</v>
      </c>
      <c r="D8047" t="s">
        <v>953</v>
      </c>
      <c r="E8047" t="s">
        <v>1015</v>
      </c>
      <c r="F8047" t="s">
        <v>35</v>
      </c>
      <c r="G8047" t="s">
        <v>35</v>
      </c>
      <c r="H8047" t="s">
        <v>35</v>
      </c>
      <c r="J8047" t="s">
        <v>7358</v>
      </c>
      <c r="K8047" t="s">
        <v>1092</v>
      </c>
      <c r="M8047">
        <v>1.5</v>
      </c>
      <c r="N8047">
        <v>55</v>
      </c>
      <c r="O8047" t="s">
        <v>52</v>
      </c>
      <c r="Q8047" t="s">
        <v>90</v>
      </c>
      <c r="R8047" t="s">
        <v>6847</v>
      </c>
      <c r="S8047" t="s">
        <v>1034</v>
      </c>
      <c r="T8047" t="s">
        <v>1035</v>
      </c>
    </row>
    <row r="8048" spans="1:20" x14ac:dyDescent="0.25">
      <c r="A8048" t="s">
        <v>59</v>
      </c>
      <c r="B8048" t="s">
        <v>31</v>
      </c>
      <c r="C8048" t="s">
        <v>32</v>
      </c>
      <c r="D8048" t="s">
        <v>953</v>
      </c>
      <c r="E8048" t="s">
        <v>1015</v>
      </c>
      <c r="F8048" t="s">
        <v>35</v>
      </c>
      <c r="G8048" t="s">
        <v>35</v>
      </c>
      <c r="H8048" t="s">
        <v>35</v>
      </c>
      <c r="J8048" t="s">
        <v>7358</v>
      </c>
      <c r="K8048" t="s">
        <v>1092</v>
      </c>
      <c r="M8048">
        <v>2.52</v>
      </c>
      <c r="N8048">
        <v>55</v>
      </c>
      <c r="O8048" t="s">
        <v>52</v>
      </c>
      <c r="Q8048" t="s">
        <v>90</v>
      </c>
      <c r="R8048" t="s">
        <v>6847</v>
      </c>
      <c r="S8048" t="s">
        <v>1034</v>
      </c>
      <c r="T8048" t="s">
        <v>1035</v>
      </c>
    </row>
    <row r="8049" spans="1:20" x14ac:dyDescent="0.25">
      <c r="A8049" t="s">
        <v>59</v>
      </c>
      <c r="B8049" t="s">
        <v>60</v>
      </c>
      <c r="C8049" t="s">
        <v>32</v>
      </c>
      <c r="D8049" t="s">
        <v>953</v>
      </c>
      <c r="F8049" t="s">
        <v>35</v>
      </c>
      <c r="G8049" t="s">
        <v>35</v>
      </c>
      <c r="H8049" t="s">
        <v>35</v>
      </c>
      <c r="J8049" t="s">
        <v>7943</v>
      </c>
      <c r="K8049" t="s">
        <v>1092</v>
      </c>
      <c r="M8049">
        <v>2.5</v>
      </c>
      <c r="N8049">
        <v>2338</v>
      </c>
      <c r="O8049" t="s">
        <v>575</v>
      </c>
      <c r="Q8049" t="s">
        <v>7944</v>
      </c>
      <c r="R8049" t="s">
        <v>6847</v>
      </c>
      <c r="S8049" t="s">
        <v>1034</v>
      </c>
      <c r="T8049" t="s">
        <v>1035</v>
      </c>
    </row>
    <row r="8050" spans="1:20" x14ac:dyDescent="0.25">
      <c r="A8050" t="s">
        <v>59</v>
      </c>
      <c r="B8050" t="s">
        <v>60</v>
      </c>
      <c r="C8050" t="s">
        <v>32</v>
      </c>
      <c r="D8050" t="s">
        <v>953</v>
      </c>
      <c r="E8050" t="s">
        <v>998</v>
      </c>
      <c r="F8050" t="s">
        <v>35</v>
      </c>
      <c r="G8050" t="s">
        <v>35</v>
      </c>
      <c r="H8050" t="s">
        <v>35</v>
      </c>
      <c r="J8050" t="s">
        <v>7232</v>
      </c>
      <c r="K8050" t="s">
        <v>1092</v>
      </c>
      <c r="M8050">
        <v>0.01</v>
      </c>
      <c r="N8050">
        <v>42</v>
      </c>
      <c r="O8050" t="s">
        <v>52</v>
      </c>
      <c r="Q8050" t="s">
        <v>219</v>
      </c>
      <c r="R8050" t="s">
        <v>6847</v>
      </c>
      <c r="S8050" t="s">
        <v>1034</v>
      </c>
      <c r="T8050" t="s">
        <v>1035</v>
      </c>
    </row>
    <row r="8051" spans="1:20" x14ac:dyDescent="0.25">
      <c r="A8051" t="s">
        <v>44</v>
      </c>
      <c r="B8051" t="s">
        <v>3</v>
      </c>
      <c r="C8051" t="s">
        <v>32</v>
      </c>
      <c r="D8051" t="s">
        <v>953</v>
      </c>
      <c r="E8051" t="s">
        <v>998</v>
      </c>
      <c r="F8051" t="s">
        <v>35</v>
      </c>
      <c r="G8051" t="s">
        <v>35</v>
      </c>
      <c r="H8051" t="s">
        <v>35</v>
      </c>
      <c r="J8051" t="s">
        <v>7232</v>
      </c>
      <c r="K8051" t="s">
        <v>1092</v>
      </c>
      <c r="M8051">
        <v>5.75</v>
      </c>
      <c r="N8051">
        <v>58</v>
      </c>
      <c r="O8051" t="s">
        <v>52</v>
      </c>
      <c r="Q8051" t="s">
        <v>128</v>
      </c>
      <c r="R8051" t="s">
        <v>6847</v>
      </c>
      <c r="S8051" t="s">
        <v>1034</v>
      </c>
      <c r="T8051" t="s">
        <v>1035</v>
      </c>
    </row>
    <row r="8052" spans="1:20" x14ac:dyDescent="0.25">
      <c r="A8052" t="s">
        <v>59</v>
      </c>
      <c r="B8052" t="s">
        <v>31</v>
      </c>
      <c r="C8052" t="s">
        <v>32</v>
      </c>
      <c r="D8052" t="s">
        <v>953</v>
      </c>
      <c r="E8052" t="s">
        <v>998</v>
      </c>
      <c r="F8052" t="s">
        <v>35</v>
      </c>
      <c r="G8052" t="s">
        <v>35</v>
      </c>
      <c r="H8052" t="s">
        <v>35</v>
      </c>
      <c r="J8052" t="s">
        <v>7232</v>
      </c>
      <c r="K8052" t="s">
        <v>1092</v>
      </c>
      <c r="M8052">
        <v>12.28</v>
      </c>
      <c r="N8052">
        <v>54</v>
      </c>
      <c r="O8052" t="s">
        <v>52</v>
      </c>
      <c r="Q8052" t="s">
        <v>671</v>
      </c>
      <c r="R8052" t="s">
        <v>6847</v>
      </c>
      <c r="S8052" t="s">
        <v>1034</v>
      </c>
      <c r="T8052" t="s">
        <v>1035</v>
      </c>
    </row>
    <row r="8053" spans="1:20" x14ac:dyDescent="0.25">
      <c r="A8053" t="s">
        <v>30</v>
      </c>
      <c r="B8053" t="s">
        <v>31</v>
      </c>
      <c r="C8053" t="s">
        <v>32</v>
      </c>
      <c r="D8053" t="s">
        <v>953</v>
      </c>
      <c r="E8053" t="s">
        <v>998</v>
      </c>
      <c r="F8053" t="s">
        <v>35</v>
      </c>
      <c r="G8053" t="s">
        <v>35</v>
      </c>
      <c r="H8053" t="s">
        <v>35</v>
      </c>
      <c r="J8053" t="s">
        <v>7232</v>
      </c>
      <c r="K8053" t="s">
        <v>1092</v>
      </c>
      <c r="M8053">
        <v>20.25</v>
      </c>
      <c r="N8053">
        <v>41</v>
      </c>
      <c r="O8053" t="s">
        <v>52</v>
      </c>
      <c r="Q8053" t="s">
        <v>496</v>
      </c>
      <c r="R8053" t="s">
        <v>6847</v>
      </c>
      <c r="S8053" t="s">
        <v>1034</v>
      </c>
      <c r="T8053" t="s">
        <v>1035</v>
      </c>
    </row>
    <row r="8054" spans="1:20" x14ac:dyDescent="0.25">
      <c r="A8054" t="s">
        <v>59</v>
      </c>
      <c r="B8054" t="s">
        <v>60</v>
      </c>
      <c r="C8054" t="s">
        <v>32</v>
      </c>
      <c r="D8054" t="s">
        <v>953</v>
      </c>
      <c r="E8054" t="s">
        <v>968</v>
      </c>
      <c r="F8054" t="s">
        <v>35</v>
      </c>
      <c r="G8054" t="s">
        <v>35</v>
      </c>
      <c r="H8054" t="s">
        <v>35</v>
      </c>
      <c r="J8054" t="s">
        <v>7048</v>
      </c>
      <c r="K8054" t="s">
        <v>1092</v>
      </c>
      <c r="M8054">
        <v>1.5</v>
      </c>
      <c r="N8054">
        <v>71</v>
      </c>
      <c r="O8054" t="s">
        <v>61</v>
      </c>
      <c r="Q8054" t="s">
        <v>4851</v>
      </c>
      <c r="R8054" t="s">
        <v>6939</v>
      </c>
      <c r="S8054" t="s">
        <v>969</v>
      </c>
      <c r="T8054" t="s">
        <v>970</v>
      </c>
    </row>
    <row r="8055" spans="1:20" x14ac:dyDescent="0.25">
      <c r="A8055" t="s">
        <v>59</v>
      </c>
      <c r="B8055" t="s">
        <v>60</v>
      </c>
      <c r="C8055" t="s">
        <v>32</v>
      </c>
      <c r="D8055" t="s">
        <v>953</v>
      </c>
      <c r="E8055" t="s">
        <v>1077</v>
      </c>
      <c r="F8055" t="s">
        <v>35</v>
      </c>
      <c r="G8055" t="s">
        <v>35</v>
      </c>
      <c r="H8055" t="s">
        <v>35</v>
      </c>
      <c r="J8055" t="s">
        <v>7703</v>
      </c>
      <c r="K8055" t="s">
        <v>1092</v>
      </c>
      <c r="M8055">
        <v>0.7</v>
      </c>
      <c r="N8055">
        <v>130</v>
      </c>
      <c r="O8055" t="s">
        <v>38</v>
      </c>
      <c r="Q8055" t="s">
        <v>1602</v>
      </c>
      <c r="R8055" t="s">
        <v>6939</v>
      </c>
      <c r="S8055" t="s">
        <v>969</v>
      </c>
      <c r="T8055" t="s">
        <v>970</v>
      </c>
    </row>
    <row r="8056" spans="1:20" x14ac:dyDescent="0.25">
      <c r="A8056" t="s">
        <v>59</v>
      </c>
      <c r="B8056" t="s">
        <v>60</v>
      </c>
      <c r="C8056" t="s">
        <v>32</v>
      </c>
      <c r="D8056" t="s">
        <v>953</v>
      </c>
      <c r="E8056" t="s">
        <v>1077</v>
      </c>
      <c r="F8056" t="s">
        <v>35</v>
      </c>
      <c r="G8056" t="s">
        <v>35</v>
      </c>
      <c r="H8056" t="s">
        <v>35</v>
      </c>
      <c r="J8056" t="s">
        <v>7707</v>
      </c>
      <c r="K8056" t="s">
        <v>1092</v>
      </c>
      <c r="M8056">
        <v>9.75</v>
      </c>
      <c r="N8056">
        <v>72</v>
      </c>
      <c r="O8056" t="s">
        <v>61</v>
      </c>
      <c r="Q8056" t="s">
        <v>1156</v>
      </c>
      <c r="R8056" t="s">
        <v>6939</v>
      </c>
      <c r="S8056" t="s">
        <v>969</v>
      </c>
      <c r="T8056" t="s">
        <v>970</v>
      </c>
    </row>
    <row r="8057" spans="1:20" x14ac:dyDescent="0.25">
      <c r="A8057" t="s">
        <v>59</v>
      </c>
      <c r="B8057" t="s">
        <v>60</v>
      </c>
      <c r="C8057" t="s">
        <v>32</v>
      </c>
      <c r="D8057" t="s">
        <v>953</v>
      </c>
      <c r="E8057" t="s">
        <v>968</v>
      </c>
      <c r="F8057" t="s">
        <v>35</v>
      </c>
      <c r="G8057" t="s">
        <v>35</v>
      </c>
      <c r="H8057" t="s">
        <v>35</v>
      </c>
      <c r="J8057" t="s">
        <v>628</v>
      </c>
      <c r="K8057" t="s">
        <v>1092</v>
      </c>
      <c r="M8057">
        <v>6</v>
      </c>
      <c r="N8057">
        <v>20</v>
      </c>
      <c r="O8057" t="s">
        <v>46</v>
      </c>
      <c r="Q8057" t="s">
        <v>1011</v>
      </c>
      <c r="R8057" t="s">
        <v>6939</v>
      </c>
      <c r="S8057" t="s">
        <v>969</v>
      </c>
      <c r="T8057" t="s">
        <v>970</v>
      </c>
    </row>
    <row r="8058" spans="1:20" x14ac:dyDescent="0.25">
      <c r="A8058" t="s">
        <v>59</v>
      </c>
      <c r="B8058" t="s">
        <v>60</v>
      </c>
      <c r="C8058" t="s">
        <v>32</v>
      </c>
      <c r="D8058" t="s">
        <v>953</v>
      </c>
      <c r="E8058" t="s">
        <v>968</v>
      </c>
      <c r="F8058" t="s">
        <v>35</v>
      </c>
      <c r="G8058" t="s">
        <v>35</v>
      </c>
      <c r="H8058" t="s">
        <v>35</v>
      </c>
      <c r="J8058" t="s">
        <v>628</v>
      </c>
      <c r="K8058" t="s">
        <v>1092</v>
      </c>
      <c r="M8058">
        <v>6.25</v>
      </c>
      <c r="N8058">
        <v>71</v>
      </c>
      <c r="O8058" t="s">
        <v>61</v>
      </c>
      <c r="Q8058" t="s">
        <v>4851</v>
      </c>
      <c r="R8058" t="s">
        <v>6939</v>
      </c>
      <c r="S8058" t="s">
        <v>969</v>
      </c>
      <c r="T8058" t="s">
        <v>970</v>
      </c>
    </row>
    <row r="8059" spans="1:20" x14ac:dyDescent="0.25">
      <c r="A8059" t="s">
        <v>59</v>
      </c>
      <c r="B8059" t="s">
        <v>31</v>
      </c>
      <c r="C8059" t="s">
        <v>32</v>
      </c>
      <c r="D8059" t="s">
        <v>953</v>
      </c>
      <c r="E8059" t="s">
        <v>968</v>
      </c>
      <c r="F8059" t="s">
        <v>35</v>
      </c>
      <c r="G8059" t="s">
        <v>35</v>
      </c>
      <c r="H8059" t="s">
        <v>35</v>
      </c>
      <c r="J8059" t="s">
        <v>7061</v>
      </c>
      <c r="K8059" t="s">
        <v>1092</v>
      </c>
      <c r="M8059">
        <v>2.88</v>
      </c>
      <c r="N8059">
        <v>29</v>
      </c>
      <c r="O8059" t="s">
        <v>46</v>
      </c>
      <c r="Q8059" t="s">
        <v>2005</v>
      </c>
      <c r="R8059" t="s">
        <v>6939</v>
      </c>
      <c r="S8059" t="s">
        <v>969</v>
      </c>
      <c r="T8059" t="s">
        <v>970</v>
      </c>
    </row>
    <row r="8060" spans="1:20" x14ac:dyDescent="0.25">
      <c r="A8060" t="s">
        <v>30</v>
      </c>
      <c r="B8060" t="s">
        <v>31</v>
      </c>
      <c r="C8060" t="s">
        <v>32</v>
      </c>
      <c r="D8060" t="s">
        <v>953</v>
      </c>
      <c r="E8060" t="s">
        <v>968</v>
      </c>
      <c r="F8060" t="s">
        <v>35</v>
      </c>
      <c r="G8060" t="s">
        <v>35</v>
      </c>
      <c r="H8060" t="s">
        <v>35</v>
      </c>
      <c r="J8060" t="s">
        <v>7061</v>
      </c>
      <c r="K8060" t="s">
        <v>1092</v>
      </c>
      <c r="M8060">
        <v>4.0949999999999998</v>
      </c>
      <c r="N8060">
        <v>2</v>
      </c>
      <c r="O8060" t="s">
        <v>46</v>
      </c>
      <c r="Q8060" t="s">
        <v>2009</v>
      </c>
      <c r="R8060" t="s">
        <v>6939</v>
      </c>
      <c r="S8060" t="s">
        <v>969</v>
      </c>
      <c r="T8060" t="s">
        <v>970</v>
      </c>
    </row>
    <row r="8061" spans="1:20" x14ac:dyDescent="0.25">
      <c r="A8061" t="s">
        <v>59</v>
      </c>
      <c r="B8061" t="s">
        <v>60</v>
      </c>
      <c r="C8061" t="s">
        <v>32</v>
      </c>
      <c r="D8061" t="s">
        <v>953</v>
      </c>
      <c r="E8061" t="s">
        <v>968</v>
      </c>
      <c r="F8061" t="s">
        <v>35</v>
      </c>
      <c r="G8061" t="s">
        <v>35</v>
      </c>
      <c r="H8061" t="s">
        <v>35</v>
      </c>
      <c r="J8061" t="s">
        <v>7034</v>
      </c>
      <c r="K8061" t="s">
        <v>3132</v>
      </c>
      <c r="M8061">
        <v>1</v>
      </c>
      <c r="N8061">
        <v>171</v>
      </c>
      <c r="O8061" t="s">
        <v>38</v>
      </c>
      <c r="Q8061" t="s">
        <v>2827</v>
      </c>
      <c r="R8061" t="s">
        <v>6939</v>
      </c>
      <c r="S8061" t="s">
        <v>969</v>
      </c>
      <c r="T8061" t="s">
        <v>970</v>
      </c>
    </row>
    <row r="8062" spans="1:20" x14ac:dyDescent="0.25">
      <c r="A8062" t="s">
        <v>59</v>
      </c>
      <c r="B8062" t="s">
        <v>60</v>
      </c>
      <c r="C8062" t="s">
        <v>32</v>
      </c>
      <c r="D8062" t="s">
        <v>953</v>
      </c>
      <c r="E8062" t="s">
        <v>1077</v>
      </c>
      <c r="F8062" t="s">
        <v>35</v>
      </c>
      <c r="G8062" t="s">
        <v>35</v>
      </c>
      <c r="H8062" t="s">
        <v>35</v>
      </c>
      <c r="J8062" t="s">
        <v>7641</v>
      </c>
      <c r="K8062" t="s">
        <v>1092</v>
      </c>
      <c r="M8062">
        <v>0.02</v>
      </c>
      <c r="N8062">
        <v>60</v>
      </c>
      <c r="O8062" t="s">
        <v>52</v>
      </c>
      <c r="Q8062" t="s">
        <v>1311</v>
      </c>
      <c r="R8062" t="s">
        <v>6939</v>
      </c>
      <c r="S8062" t="s">
        <v>969</v>
      </c>
      <c r="T8062" t="s">
        <v>970</v>
      </c>
    </row>
    <row r="8063" spans="1:20" x14ac:dyDescent="0.25">
      <c r="A8063" t="s">
        <v>59</v>
      </c>
      <c r="B8063" t="s">
        <v>60</v>
      </c>
      <c r="C8063" t="s">
        <v>32</v>
      </c>
      <c r="D8063" t="s">
        <v>953</v>
      </c>
      <c r="E8063" t="s">
        <v>1077</v>
      </c>
      <c r="F8063" t="s">
        <v>35</v>
      </c>
      <c r="G8063" t="s">
        <v>35</v>
      </c>
      <c r="H8063" t="s">
        <v>35</v>
      </c>
      <c r="J8063" t="s">
        <v>7626</v>
      </c>
      <c r="K8063" t="s">
        <v>1092</v>
      </c>
      <c r="M8063">
        <v>0.5</v>
      </c>
      <c r="N8063">
        <v>180</v>
      </c>
      <c r="O8063" t="s">
        <v>38</v>
      </c>
      <c r="Q8063" t="s">
        <v>1798</v>
      </c>
      <c r="R8063" t="s">
        <v>6939</v>
      </c>
      <c r="S8063" t="s">
        <v>969</v>
      </c>
      <c r="T8063" t="s">
        <v>970</v>
      </c>
    </row>
    <row r="8064" spans="1:20" x14ac:dyDescent="0.25">
      <c r="A8064" t="s">
        <v>59</v>
      </c>
      <c r="B8064" t="s">
        <v>60</v>
      </c>
      <c r="C8064" t="s">
        <v>32</v>
      </c>
      <c r="D8064" t="s">
        <v>953</v>
      </c>
      <c r="E8064" t="s">
        <v>1077</v>
      </c>
      <c r="F8064" t="s">
        <v>35</v>
      </c>
      <c r="G8064" t="s">
        <v>35</v>
      </c>
      <c r="H8064" t="s">
        <v>35</v>
      </c>
      <c r="J8064" t="s">
        <v>7626</v>
      </c>
      <c r="K8064" t="s">
        <v>1092</v>
      </c>
      <c r="M8064">
        <v>2</v>
      </c>
      <c r="N8064">
        <v>128</v>
      </c>
      <c r="O8064" t="s">
        <v>38</v>
      </c>
      <c r="Q8064" t="s">
        <v>98</v>
      </c>
      <c r="R8064" t="s">
        <v>6939</v>
      </c>
      <c r="S8064" t="s">
        <v>969</v>
      </c>
      <c r="T8064" t="s">
        <v>970</v>
      </c>
    </row>
    <row r="8065" spans="1:20" x14ac:dyDescent="0.25">
      <c r="A8065" t="s">
        <v>59</v>
      </c>
      <c r="B8065" t="s">
        <v>31</v>
      </c>
      <c r="C8065" t="s">
        <v>32</v>
      </c>
      <c r="D8065" t="s">
        <v>953</v>
      </c>
      <c r="E8065" t="s">
        <v>1077</v>
      </c>
      <c r="F8065" t="s">
        <v>35</v>
      </c>
      <c r="G8065" t="s">
        <v>35</v>
      </c>
      <c r="H8065" t="s">
        <v>35</v>
      </c>
      <c r="J8065" t="s">
        <v>7626</v>
      </c>
      <c r="K8065" t="s">
        <v>1092</v>
      </c>
      <c r="M8065">
        <v>1.53</v>
      </c>
      <c r="N8065">
        <v>128</v>
      </c>
      <c r="O8065" t="s">
        <v>38</v>
      </c>
      <c r="Q8065" t="s">
        <v>98</v>
      </c>
      <c r="R8065" t="s">
        <v>6939</v>
      </c>
      <c r="S8065" t="s">
        <v>969</v>
      </c>
      <c r="T8065" t="s">
        <v>970</v>
      </c>
    </row>
    <row r="8066" spans="1:20" x14ac:dyDescent="0.25">
      <c r="A8066" t="s">
        <v>59</v>
      </c>
      <c r="B8066" t="s">
        <v>60</v>
      </c>
      <c r="C8066" t="s">
        <v>32</v>
      </c>
      <c r="D8066" t="s">
        <v>953</v>
      </c>
      <c r="E8066" t="s">
        <v>6878</v>
      </c>
      <c r="F8066" t="s">
        <v>35</v>
      </c>
      <c r="G8066" t="s">
        <v>35</v>
      </c>
      <c r="H8066" t="s">
        <v>35</v>
      </c>
      <c r="J8066" t="s">
        <v>6938</v>
      </c>
      <c r="K8066" t="s">
        <v>1092</v>
      </c>
      <c r="M8066">
        <v>11.2</v>
      </c>
      <c r="N8066">
        <v>72</v>
      </c>
      <c r="O8066" t="s">
        <v>61</v>
      </c>
      <c r="Q8066" t="s">
        <v>1156</v>
      </c>
      <c r="R8066" t="s">
        <v>6939</v>
      </c>
      <c r="S8066" t="s">
        <v>969</v>
      </c>
      <c r="T8066" t="s">
        <v>970</v>
      </c>
    </row>
    <row r="8067" spans="1:20" x14ac:dyDescent="0.25">
      <c r="A8067" t="s">
        <v>59</v>
      </c>
      <c r="B8067" t="s">
        <v>60</v>
      </c>
      <c r="C8067" t="s">
        <v>32</v>
      </c>
      <c r="D8067" t="s">
        <v>953</v>
      </c>
      <c r="E8067" t="s">
        <v>6878</v>
      </c>
      <c r="F8067" t="s">
        <v>35</v>
      </c>
      <c r="G8067" t="s">
        <v>35</v>
      </c>
      <c r="H8067" t="s">
        <v>35</v>
      </c>
      <c r="J8067" t="s">
        <v>6938</v>
      </c>
      <c r="K8067" t="s">
        <v>1092</v>
      </c>
      <c r="M8067">
        <v>12</v>
      </c>
      <c r="N8067">
        <v>20</v>
      </c>
      <c r="O8067" t="s">
        <v>46</v>
      </c>
      <c r="Q8067" t="s">
        <v>1011</v>
      </c>
      <c r="R8067" t="s">
        <v>6939</v>
      </c>
      <c r="S8067" t="s">
        <v>969</v>
      </c>
      <c r="T8067" t="s">
        <v>970</v>
      </c>
    </row>
    <row r="8068" spans="1:20" x14ac:dyDescent="0.25">
      <c r="A8068" t="s">
        <v>59</v>
      </c>
      <c r="B8068" t="s">
        <v>60</v>
      </c>
      <c r="C8068" t="s">
        <v>32</v>
      </c>
      <c r="D8068" t="s">
        <v>953</v>
      </c>
      <c r="E8068" t="s">
        <v>6878</v>
      </c>
      <c r="F8068" t="s">
        <v>35</v>
      </c>
      <c r="G8068" t="s">
        <v>35</v>
      </c>
      <c r="H8068" t="s">
        <v>35</v>
      </c>
      <c r="J8068" t="s">
        <v>6969</v>
      </c>
      <c r="K8068" t="s">
        <v>1092</v>
      </c>
      <c r="M8068">
        <v>8.85</v>
      </c>
      <c r="N8068">
        <v>41</v>
      </c>
      <c r="O8068" t="s">
        <v>52</v>
      </c>
      <c r="Q8068" t="s">
        <v>496</v>
      </c>
      <c r="R8068" t="s">
        <v>6939</v>
      </c>
      <c r="S8068" t="s">
        <v>969</v>
      </c>
      <c r="T8068" t="s">
        <v>970</v>
      </c>
    </row>
    <row r="8069" spans="1:20" x14ac:dyDescent="0.25">
      <c r="A8069" t="s">
        <v>59</v>
      </c>
      <c r="B8069" t="s">
        <v>31</v>
      </c>
      <c r="C8069" t="s">
        <v>32</v>
      </c>
      <c r="D8069" t="s">
        <v>953</v>
      </c>
      <c r="E8069" t="s">
        <v>968</v>
      </c>
      <c r="F8069" t="s">
        <v>35</v>
      </c>
      <c r="G8069" t="s">
        <v>35</v>
      </c>
      <c r="H8069" t="s">
        <v>35</v>
      </c>
      <c r="J8069" t="s">
        <v>7062</v>
      </c>
      <c r="K8069" t="s">
        <v>1092</v>
      </c>
      <c r="M8069">
        <v>4.9950000000000001</v>
      </c>
      <c r="N8069">
        <v>171</v>
      </c>
      <c r="O8069" t="s">
        <v>38</v>
      </c>
      <c r="Q8069" t="s">
        <v>2827</v>
      </c>
      <c r="R8069" t="s">
        <v>6939</v>
      </c>
      <c r="S8069" t="s">
        <v>969</v>
      </c>
      <c r="T8069" t="s">
        <v>970</v>
      </c>
    </row>
    <row r="8070" spans="1:20" x14ac:dyDescent="0.25">
      <c r="A8070" t="s">
        <v>59</v>
      </c>
      <c r="B8070" t="s">
        <v>60</v>
      </c>
      <c r="C8070" t="s">
        <v>32</v>
      </c>
      <c r="D8070" t="s">
        <v>953</v>
      </c>
      <c r="E8070" t="s">
        <v>968</v>
      </c>
      <c r="F8070" t="s">
        <v>35</v>
      </c>
      <c r="G8070" t="s">
        <v>35</v>
      </c>
      <c r="H8070" t="s">
        <v>35</v>
      </c>
      <c r="J8070" t="s">
        <v>7062</v>
      </c>
      <c r="K8070" t="s">
        <v>1092</v>
      </c>
      <c r="M8070">
        <v>5</v>
      </c>
      <c r="N8070">
        <v>20</v>
      </c>
      <c r="O8070" t="s">
        <v>46</v>
      </c>
      <c r="Q8070" t="s">
        <v>1011</v>
      </c>
      <c r="R8070" t="s">
        <v>6939</v>
      </c>
      <c r="S8070" t="s">
        <v>969</v>
      </c>
      <c r="T8070" t="s">
        <v>970</v>
      </c>
    </row>
    <row r="8071" spans="1:20" x14ac:dyDescent="0.25">
      <c r="A8071" t="s">
        <v>59</v>
      </c>
      <c r="B8071" t="s">
        <v>60</v>
      </c>
      <c r="C8071" t="s">
        <v>32</v>
      </c>
      <c r="D8071" t="s">
        <v>953</v>
      </c>
      <c r="E8071" t="s">
        <v>968</v>
      </c>
      <c r="F8071" t="s">
        <v>35</v>
      </c>
      <c r="G8071" t="s">
        <v>35</v>
      </c>
      <c r="H8071" t="s">
        <v>35</v>
      </c>
      <c r="J8071" t="s">
        <v>7062</v>
      </c>
      <c r="K8071" t="s">
        <v>1092</v>
      </c>
      <c r="M8071">
        <v>2.6</v>
      </c>
      <c r="N8071">
        <v>148</v>
      </c>
      <c r="O8071" t="s">
        <v>38</v>
      </c>
      <c r="Q8071" t="s">
        <v>3942</v>
      </c>
      <c r="R8071" t="s">
        <v>6939</v>
      </c>
      <c r="S8071" t="s">
        <v>969</v>
      </c>
      <c r="T8071" t="s">
        <v>970</v>
      </c>
    </row>
    <row r="8072" spans="1:20" x14ac:dyDescent="0.25">
      <c r="A8072" t="s">
        <v>30</v>
      </c>
      <c r="B8072" t="s">
        <v>31</v>
      </c>
      <c r="C8072" t="s">
        <v>32</v>
      </c>
      <c r="D8072" t="s">
        <v>953</v>
      </c>
      <c r="E8072" t="s">
        <v>968</v>
      </c>
      <c r="F8072" t="s">
        <v>35</v>
      </c>
      <c r="G8072" t="s">
        <v>35</v>
      </c>
      <c r="H8072" t="s">
        <v>35</v>
      </c>
      <c r="J8072" t="s">
        <v>6993</v>
      </c>
      <c r="K8072" t="s">
        <v>1092</v>
      </c>
      <c r="M8072">
        <v>0.18</v>
      </c>
      <c r="N8072">
        <v>193</v>
      </c>
      <c r="O8072" t="s">
        <v>5</v>
      </c>
      <c r="Q8072" t="s">
        <v>3691</v>
      </c>
      <c r="R8072" t="s">
        <v>6939</v>
      </c>
      <c r="S8072" t="s">
        <v>969</v>
      </c>
      <c r="T8072" t="s">
        <v>970</v>
      </c>
    </row>
    <row r="8073" spans="1:20" x14ac:dyDescent="0.25">
      <c r="A8073" t="s">
        <v>59</v>
      </c>
      <c r="B8073" t="s">
        <v>60</v>
      </c>
      <c r="C8073" t="s">
        <v>32</v>
      </c>
      <c r="D8073" t="s">
        <v>953</v>
      </c>
      <c r="E8073" t="s">
        <v>968</v>
      </c>
      <c r="F8073" t="s">
        <v>35</v>
      </c>
      <c r="G8073" t="s">
        <v>35</v>
      </c>
      <c r="H8073" t="s">
        <v>35</v>
      </c>
      <c r="J8073" t="s">
        <v>6993</v>
      </c>
      <c r="K8073" t="s">
        <v>1092</v>
      </c>
      <c r="M8073">
        <v>0.65</v>
      </c>
      <c r="N8073">
        <v>148</v>
      </c>
      <c r="O8073" t="s">
        <v>38</v>
      </c>
      <c r="Q8073" t="s">
        <v>3942</v>
      </c>
      <c r="R8073" t="s">
        <v>6939</v>
      </c>
      <c r="S8073" t="s">
        <v>969</v>
      </c>
      <c r="T8073" t="s">
        <v>970</v>
      </c>
    </row>
    <row r="8074" spans="1:20" x14ac:dyDescent="0.25">
      <c r="A8074" t="s">
        <v>30</v>
      </c>
      <c r="B8074" t="s">
        <v>31</v>
      </c>
      <c r="C8074" t="s">
        <v>32</v>
      </c>
      <c r="D8074" t="s">
        <v>953</v>
      </c>
      <c r="E8074" t="s">
        <v>968</v>
      </c>
      <c r="F8074" t="s">
        <v>35</v>
      </c>
      <c r="G8074" t="s">
        <v>35</v>
      </c>
      <c r="H8074" t="s">
        <v>35</v>
      </c>
      <c r="J8074" t="s">
        <v>6994</v>
      </c>
      <c r="K8074" t="s">
        <v>1092</v>
      </c>
      <c r="M8074">
        <v>0.27</v>
      </c>
      <c r="N8074">
        <v>193</v>
      </c>
      <c r="O8074" t="s">
        <v>5</v>
      </c>
      <c r="Q8074" t="s">
        <v>3691</v>
      </c>
      <c r="R8074" t="s">
        <v>6939</v>
      </c>
      <c r="S8074" t="s">
        <v>969</v>
      </c>
      <c r="T8074" t="s">
        <v>970</v>
      </c>
    </row>
    <row r="8075" spans="1:20" x14ac:dyDescent="0.25">
      <c r="A8075" t="s">
        <v>59</v>
      </c>
      <c r="B8075" t="s">
        <v>60</v>
      </c>
      <c r="C8075" t="s">
        <v>32</v>
      </c>
      <c r="D8075" t="s">
        <v>953</v>
      </c>
      <c r="E8075" t="s">
        <v>968</v>
      </c>
      <c r="F8075" t="s">
        <v>35</v>
      </c>
      <c r="G8075" t="s">
        <v>35</v>
      </c>
      <c r="H8075" t="s">
        <v>35</v>
      </c>
      <c r="J8075" t="s">
        <v>6994</v>
      </c>
      <c r="K8075" t="s">
        <v>1092</v>
      </c>
      <c r="M8075">
        <v>2.2999999999999998</v>
      </c>
      <c r="N8075">
        <v>20</v>
      </c>
      <c r="O8075" t="s">
        <v>46</v>
      </c>
      <c r="Q8075" t="s">
        <v>1011</v>
      </c>
      <c r="R8075" t="s">
        <v>6939</v>
      </c>
      <c r="S8075" t="s">
        <v>969</v>
      </c>
      <c r="T8075" t="s">
        <v>970</v>
      </c>
    </row>
    <row r="8076" spans="1:20" x14ac:dyDescent="0.25">
      <c r="A8076" t="s">
        <v>30</v>
      </c>
      <c r="B8076" t="s">
        <v>31</v>
      </c>
      <c r="C8076" t="s">
        <v>32</v>
      </c>
      <c r="D8076" t="s">
        <v>953</v>
      </c>
      <c r="E8076" t="s">
        <v>968</v>
      </c>
      <c r="F8076" t="s">
        <v>35</v>
      </c>
      <c r="G8076" t="s">
        <v>35</v>
      </c>
      <c r="H8076" t="s">
        <v>35</v>
      </c>
      <c r="J8076" t="s">
        <v>7022</v>
      </c>
      <c r="K8076" t="s">
        <v>1092</v>
      </c>
      <c r="M8076">
        <v>3.96</v>
      </c>
      <c r="N8076">
        <v>193</v>
      </c>
      <c r="O8076" t="s">
        <v>5</v>
      </c>
      <c r="Q8076" t="s">
        <v>3691</v>
      </c>
      <c r="R8076" t="s">
        <v>6939</v>
      </c>
      <c r="S8076" t="s">
        <v>969</v>
      </c>
      <c r="T8076" t="s">
        <v>970</v>
      </c>
    </row>
    <row r="8077" spans="1:20" x14ac:dyDescent="0.25">
      <c r="A8077" t="s">
        <v>59</v>
      </c>
      <c r="B8077" t="s">
        <v>60</v>
      </c>
      <c r="C8077" t="s">
        <v>32</v>
      </c>
      <c r="D8077" t="s">
        <v>953</v>
      </c>
      <c r="E8077" t="s">
        <v>968</v>
      </c>
      <c r="F8077" t="s">
        <v>35</v>
      </c>
      <c r="G8077" t="s">
        <v>35</v>
      </c>
      <c r="H8077" t="s">
        <v>35</v>
      </c>
      <c r="J8077" t="s">
        <v>7022</v>
      </c>
      <c r="K8077" t="s">
        <v>1092</v>
      </c>
      <c r="M8077">
        <v>0.01</v>
      </c>
      <c r="N8077">
        <v>130</v>
      </c>
      <c r="O8077" t="s">
        <v>38</v>
      </c>
      <c r="Q8077" t="s">
        <v>1602</v>
      </c>
      <c r="R8077" t="s">
        <v>6939</v>
      </c>
      <c r="S8077" t="s">
        <v>969</v>
      </c>
      <c r="T8077" t="s">
        <v>970</v>
      </c>
    </row>
    <row r="8078" spans="1:20" x14ac:dyDescent="0.25">
      <c r="A8078" t="s">
        <v>44</v>
      </c>
      <c r="B8078" t="s">
        <v>3</v>
      </c>
      <c r="C8078" t="s">
        <v>32</v>
      </c>
      <c r="D8078" t="s">
        <v>953</v>
      </c>
      <c r="E8078" t="s">
        <v>968</v>
      </c>
      <c r="F8078" t="s">
        <v>35</v>
      </c>
      <c r="G8078" t="s">
        <v>35</v>
      </c>
      <c r="H8078" t="s">
        <v>35</v>
      </c>
      <c r="J8078" t="s">
        <v>7022</v>
      </c>
      <c r="K8078" t="s">
        <v>1092</v>
      </c>
      <c r="M8078">
        <v>4.5999999999999996</v>
      </c>
      <c r="N8078">
        <v>394</v>
      </c>
      <c r="O8078" t="s">
        <v>294</v>
      </c>
      <c r="Q8078" t="s">
        <v>1434</v>
      </c>
      <c r="R8078" t="s">
        <v>6939</v>
      </c>
      <c r="S8078" t="s">
        <v>969</v>
      </c>
      <c r="T8078" t="s">
        <v>970</v>
      </c>
    </row>
    <row r="8079" spans="1:20" x14ac:dyDescent="0.25">
      <c r="A8079" t="s">
        <v>59</v>
      </c>
      <c r="B8079" t="s">
        <v>31</v>
      </c>
      <c r="C8079" t="s">
        <v>32</v>
      </c>
      <c r="D8079" t="s">
        <v>953</v>
      </c>
      <c r="E8079" t="s">
        <v>968</v>
      </c>
      <c r="F8079" t="s">
        <v>35</v>
      </c>
      <c r="G8079" t="s">
        <v>35</v>
      </c>
      <c r="H8079" t="s">
        <v>35</v>
      </c>
      <c r="J8079" t="s">
        <v>7023</v>
      </c>
      <c r="K8079" t="s">
        <v>1092</v>
      </c>
      <c r="M8079">
        <v>4.4999999999999998E-2</v>
      </c>
      <c r="N8079">
        <v>585</v>
      </c>
      <c r="O8079" t="s">
        <v>575</v>
      </c>
      <c r="Q8079" t="s">
        <v>4004</v>
      </c>
      <c r="R8079" t="s">
        <v>6939</v>
      </c>
      <c r="S8079" t="s">
        <v>969</v>
      </c>
      <c r="T8079" t="s">
        <v>970</v>
      </c>
    </row>
    <row r="8080" spans="1:20" x14ac:dyDescent="0.25">
      <c r="A8080" t="s">
        <v>59</v>
      </c>
      <c r="B8080" t="s">
        <v>60</v>
      </c>
      <c r="C8080" t="s">
        <v>32</v>
      </c>
      <c r="D8080" t="s">
        <v>953</v>
      </c>
      <c r="E8080" t="s">
        <v>968</v>
      </c>
      <c r="F8080" t="s">
        <v>35</v>
      </c>
      <c r="G8080" t="s">
        <v>35</v>
      </c>
      <c r="H8080" t="s">
        <v>35</v>
      </c>
      <c r="J8080" t="s">
        <v>6995</v>
      </c>
      <c r="K8080" t="s">
        <v>1092</v>
      </c>
      <c r="M8080">
        <v>0.1</v>
      </c>
      <c r="N8080">
        <v>171</v>
      </c>
      <c r="O8080" t="s">
        <v>38</v>
      </c>
      <c r="Q8080" t="s">
        <v>2827</v>
      </c>
      <c r="R8080" t="s">
        <v>6939</v>
      </c>
      <c r="S8080" t="s">
        <v>969</v>
      </c>
      <c r="T8080" t="s">
        <v>970</v>
      </c>
    </row>
    <row r="8081" spans="1:20" x14ac:dyDescent="0.25">
      <c r="A8081" t="s">
        <v>59</v>
      </c>
      <c r="B8081" t="s">
        <v>31</v>
      </c>
      <c r="C8081" t="s">
        <v>32</v>
      </c>
      <c r="D8081" t="s">
        <v>953</v>
      </c>
      <c r="E8081" t="s">
        <v>1077</v>
      </c>
      <c r="F8081" t="s">
        <v>35</v>
      </c>
      <c r="G8081" t="s">
        <v>35</v>
      </c>
      <c r="H8081" t="s">
        <v>35</v>
      </c>
      <c r="J8081" t="s">
        <v>7662</v>
      </c>
      <c r="K8081" t="s">
        <v>1092</v>
      </c>
      <c r="M8081">
        <v>4.9950000000000001</v>
      </c>
      <c r="N8081">
        <v>2</v>
      </c>
      <c r="O8081" t="s">
        <v>46</v>
      </c>
      <c r="Q8081" t="s">
        <v>2009</v>
      </c>
      <c r="R8081" t="s">
        <v>6939</v>
      </c>
      <c r="S8081" t="s">
        <v>969</v>
      </c>
      <c r="T8081" t="s">
        <v>970</v>
      </c>
    </row>
    <row r="8082" spans="1:20" x14ac:dyDescent="0.25">
      <c r="A8082" t="s">
        <v>44</v>
      </c>
      <c r="B8082" t="s">
        <v>3</v>
      </c>
      <c r="C8082" t="s">
        <v>32</v>
      </c>
      <c r="D8082" t="s">
        <v>953</v>
      </c>
      <c r="E8082" t="s">
        <v>968</v>
      </c>
      <c r="F8082" t="s">
        <v>35</v>
      </c>
      <c r="G8082" t="s">
        <v>35</v>
      </c>
      <c r="H8082" t="s">
        <v>35</v>
      </c>
      <c r="J8082" t="s">
        <v>6998</v>
      </c>
      <c r="K8082" t="s">
        <v>1092</v>
      </c>
      <c r="M8082">
        <v>0.05</v>
      </c>
      <c r="N8082">
        <v>394</v>
      </c>
      <c r="O8082" t="s">
        <v>294</v>
      </c>
      <c r="Q8082" t="s">
        <v>1434</v>
      </c>
      <c r="R8082" t="s">
        <v>6939</v>
      </c>
      <c r="S8082" t="s">
        <v>969</v>
      </c>
      <c r="T8082" t="s">
        <v>970</v>
      </c>
    </row>
    <row r="8083" spans="1:20" x14ac:dyDescent="0.25">
      <c r="A8083" t="s">
        <v>59</v>
      </c>
      <c r="B8083" t="s">
        <v>60</v>
      </c>
      <c r="C8083" t="s">
        <v>32</v>
      </c>
      <c r="D8083" t="s">
        <v>953</v>
      </c>
      <c r="E8083" t="s">
        <v>968</v>
      </c>
      <c r="F8083" t="s">
        <v>35</v>
      </c>
      <c r="G8083" t="s">
        <v>35</v>
      </c>
      <c r="H8083" t="s">
        <v>35</v>
      </c>
      <c r="J8083" t="s">
        <v>6998</v>
      </c>
      <c r="K8083" t="s">
        <v>1092</v>
      </c>
      <c r="M8083">
        <v>0.4</v>
      </c>
      <c r="N8083">
        <v>71</v>
      </c>
      <c r="O8083" t="s">
        <v>61</v>
      </c>
      <c r="Q8083" t="s">
        <v>4851</v>
      </c>
      <c r="R8083" t="s">
        <v>6939</v>
      </c>
      <c r="S8083" t="s">
        <v>969</v>
      </c>
      <c r="T8083" t="s">
        <v>970</v>
      </c>
    </row>
    <row r="8084" spans="1:20" x14ac:dyDescent="0.25">
      <c r="A8084" t="s">
        <v>59</v>
      </c>
      <c r="B8084" t="s">
        <v>60</v>
      </c>
      <c r="C8084" t="s">
        <v>32</v>
      </c>
      <c r="D8084" t="s">
        <v>953</v>
      </c>
      <c r="E8084" t="s">
        <v>968</v>
      </c>
      <c r="F8084" t="s">
        <v>35</v>
      </c>
      <c r="G8084" t="s">
        <v>35</v>
      </c>
      <c r="H8084" t="s">
        <v>35</v>
      </c>
      <c r="J8084" t="s">
        <v>6998</v>
      </c>
      <c r="K8084" t="s">
        <v>1092</v>
      </c>
      <c r="M8084">
        <v>6</v>
      </c>
      <c r="N8084">
        <v>20</v>
      </c>
      <c r="O8084" t="s">
        <v>46</v>
      </c>
      <c r="Q8084" t="s">
        <v>1011</v>
      </c>
      <c r="R8084" t="s">
        <v>6939</v>
      </c>
      <c r="S8084" t="s">
        <v>969</v>
      </c>
      <c r="T8084" t="s">
        <v>970</v>
      </c>
    </row>
    <row r="8085" spans="1:20" x14ac:dyDescent="0.25">
      <c r="A8085" t="s">
        <v>30</v>
      </c>
      <c r="B8085" t="s">
        <v>31</v>
      </c>
      <c r="C8085" t="s">
        <v>32</v>
      </c>
      <c r="D8085" t="s">
        <v>953</v>
      </c>
      <c r="E8085" t="s">
        <v>968</v>
      </c>
      <c r="F8085" t="s">
        <v>35</v>
      </c>
      <c r="G8085" t="s">
        <v>35</v>
      </c>
      <c r="H8085" t="s">
        <v>35</v>
      </c>
      <c r="J8085" t="s">
        <v>7028</v>
      </c>
      <c r="K8085" t="s">
        <v>1092</v>
      </c>
      <c r="M8085">
        <v>10.98</v>
      </c>
      <c r="N8085">
        <v>8</v>
      </c>
      <c r="O8085" t="s">
        <v>46</v>
      </c>
      <c r="Q8085" t="s">
        <v>1944</v>
      </c>
      <c r="R8085" t="s">
        <v>6939</v>
      </c>
      <c r="S8085" t="s">
        <v>969</v>
      </c>
      <c r="T8085" t="s">
        <v>970</v>
      </c>
    </row>
    <row r="8086" spans="1:20" x14ac:dyDescent="0.25">
      <c r="A8086" t="s">
        <v>59</v>
      </c>
      <c r="B8086" t="s">
        <v>60</v>
      </c>
      <c r="C8086" t="s">
        <v>32</v>
      </c>
      <c r="D8086" t="s">
        <v>953</v>
      </c>
      <c r="E8086" t="s">
        <v>1077</v>
      </c>
      <c r="F8086" t="s">
        <v>35</v>
      </c>
      <c r="G8086" t="s">
        <v>35</v>
      </c>
      <c r="H8086" t="s">
        <v>35</v>
      </c>
      <c r="J8086" t="s">
        <v>7639</v>
      </c>
      <c r="K8086" t="s">
        <v>1092</v>
      </c>
      <c r="M8086">
        <v>3</v>
      </c>
      <c r="N8086">
        <v>20</v>
      </c>
      <c r="O8086" t="s">
        <v>46</v>
      </c>
      <c r="Q8086" t="s">
        <v>1011</v>
      </c>
      <c r="R8086" t="s">
        <v>6939</v>
      </c>
      <c r="S8086" t="s">
        <v>969</v>
      </c>
      <c r="T8086" t="s">
        <v>970</v>
      </c>
    </row>
    <row r="8087" spans="1:20" x14ac:dyDescent="0.25">
      <c r="A8087" t="s">
        <v>30</v>
      </c>
      <c r="B8087" t="s">
        <v>31</v>
      </c>
      <c r="C8087" t="s">
        <v>32</v>
      </c>
      <c r="D8087" t="s">
        <v>953</v>
      </c>
      <c r="E8087" t="s">
        <v>1077</v>
      </c>
      <c r="F8087" t="s">
        <v>35</v>
      </c>
      <c r="G8087" t="s">
        <v>35</v>
      </c>
      <c r="H8087" t="s">
        <v>35</v>
      </c>
      <c r="J8087" t="s">
        <v>7735</v>
      </c>
      <c r="K8087" t="s">
        <v>1092</v>
      </c>
      <c r="M8087">
        <v>2.16</v>
      </c>
      <c r="N8087">
        <v>193</v>
      </c>
      <c r="O8087" t="s">
        <v>5</v>
      </c>
      <c r="Q8087" t="s">
        <v>3691</v>
      </c>
      <c r="R8087" t="s">
        <v>6939</v>
      </c>
      <c r="S8087" t="s">
        <v>969</v>
      </c>
      <c r="T8087" t="s">
        <v>970</v>
      </c>
    </row>
    <row r="8088" spans="1:20" x14ac:dyDescent="0.25">
      <c r="A8088" t="s">
        <v>59</v>
      </c>
      <c r="B8088" t="s">
        <v>60</v>
      </c>
      <c r="C8088" t="s">
        <v>32</v>
      </c>
      <c r="D8088" t="s">
        <v>953</v>
      </c>
      <c r="E8088" t="s">
        <v>7184</v>
      </c>
      <c r="F8088" t="s">
        <v>35</v>
      </c>
      <c r="G8088" t="s">
        <v>35</v>
      </c>
      <c r="H8088" t="s">
        <v>35</v>
      </c>
      <c r="J8088" t="s">
        <v>7187</v>
      </c>
      <c r="K8088" t="s">
        <v>1092</v>
      </c>
      <c r="M8088">
        <v>0.55000000000000004</v>
      </c>
      <c r="N8088">
        <v>702</v>
      </c>
      <c r="O8088" t="s">
        <v>575</v>
      </c>
      <c r="Q8088" t="s">
        <v>7188</v>
      </c>
      <c r="R8088" t="s">
        <v>158</v>
      </c>
      <c r="S8088" t="s">
        <v>159</v>
      </c>
      <c r="T8088" t="s">
        <v>160</v>
      </c>
    </row>
    <row r="8089" spans="1:20" x14ac:dyDescent="0.25">
      <c r="A8089" t="s">
        <v>59</v>
      </c>
      <c r="B8089" t="s">
        <v>60</v>
      </c>
      <c r="C8089" t="s">
        <v>32</v>
      </c>
      <c r="D8089" t="s">
        <v>953</v>
      </c>
      <c r="E8089" t="s">
        <v>7184</v>
      </c>
      <c r="F8089" t="s">
        <v>35</v>
      </c>
      <c r="G8089" t="s">
        <v>35</v>
      </c>
      <c r="H8089" t="s">
        <v>35</v>
      </c>
      <c r="J8089" t="s">
        <v>7189</v>
      </c>
      <c r="K8089" t="s">
        <v>1092</v>
      </c>
      <c r="M8089">
        <v>1.4</v>
      </c>
      <c r="N8089">
        <v>79</v>
      </c>
      <c r="O8089" t="s">
        <v>61</v>
      </c>
      <c r="Q8089" t="s">
        <v>1076</v>
      </c>
      <c r="R8089" t="s">
        <v>158</v>
      </c>
      <c r="S8089" t="s">
        <v>159</v>
      </c>
      <c r="T8089" t="s">
        <v>160</v>
      </c>
    </row>
    <row r="8090" spans="1:20" x14ac:dyDescent="0.25">
      <c r="A8090" t="s">
        <v>59</v>
      </c>
      <c r="B8090" t="s">
        <v>60</v>
      </c>
      <c r="C8090" t="s">
        <v>32</v>
      </c>
      <c r="D8090" t="s">
        <v>953</v>
      </c>
      <c r="E8090" t="s">
        <v>998</v>
      </c>
      <c r="F8090" t="s">
        <v>35</v>
      </c>
      <c r="G8090" t="s">
        <v>35</v>
      </c>
      <c r="H8090" t="s">
        <v>35</v>
      </c>
      <c r="J8090" t="s">
        <v>7233</v>
      </c>
      <c r="K8090" t="s">
        <v>1092</v>
      </c>
      <c r="M8090">
        <v>2.8</v>
      </c>
      <c r="N8090">
        <v>79</v>
      </c>
      <c r="O8090" t="s">
        <v>61</v>
      </c>
      <c r="Q8090" t="s">
        <v>1076</v>
      </c>
      <c r="R8090" t="s">
        <v>158</v>
      </c>
      <c r="S8090" t="s">
        <v>159</v>
      </c>
      <c r="T8090" t="s">
        <v>160</v>
      </c>
    </row>
    <row r="8091" spans="1:20" x14ac:dyDescent="0.25">
      <c r="A8091" t="s">
        <v>59</v>
      </c>
      <c r="B8091" t="s">
        <v>60</v>
      </c>
      <c r="C8091" t="s">
        <v>32</v>
      </c>
      <c r="D8091" t="s">
        <v>953</v>
      </c>
      <c r="E8091" t="s">
        <v>7184</v>
      </c>
      <c r="F8091" t="s">
        <v>35</v>
      </c>
      <c r="G8091" t="s">
        <v>35</v>
      </c>
      <c r="H8091" t="s">
        <v>35</v>
      </c>
      <c r="J8091" t="s">
        <v>7218</v>
      </c>
      <c r="K8091" t="s">
        <v>1092</v>
      </c>
      <c r="M8091">
        <v>1.75</v>
      </c>
      <c r="N8091">
        <v>173</v>
      </c>
      <c r="O8091" t="s">
        <v>38</v>
      </c>
      <c r="Q8091" t="s">
        <v>2138</v>
      </c>
      <c r="R8091" t="s">
        <v>158</v>
      </c>
      <c r="S8091" t="s">
        <v>159</v>
      </c>
      <c r="T8091" t="s">
        <v>160</v>
      </c>
    </row>
    <row r="8092" spans="1:20" x14ac:dyDescent="0.25">
      <c r="A8092" t="s">
        <v>44</v>
      </c>
      <c r="B8092" t="s">
        <v>51</v>
      </c>
      <c r="C8092" t="s">
        <v>32</v>
      </c>
      <c r="D8092" t="s">
        <v>953</v>
      </c>
      <c r="E8092" t="s">
        <v>7184</v>
      </c>
      <c r="F8092" t="s">
        <v>35</v>
      </c>
      <c r="G8092" t="s">
        <v>35</v>
      </c>
      <c r="H8092" t="s">
        <v>35</v>
      </c>
      <c r="J8092" t="s">
        <v>7213</v>
      </c>
      <c r="K8092" t="s">
        <v>1092</v>
      </c>
      <c r="M8092">
        <v>1.6</v>
      </c>
      <c r="N8092">
        <v>37</v>
      </c>
      <c r="O8092" t="s">
        <v>52</v>
      </c>
      <c r="Q8092" t="s">
        <v>192</v>
      </c>
      <c r="R8092" t="s">
        <v>158</v>
      </c>
      <c r="S8092" t="s">
        <v>159</v>
      </c>
      <c r="T8092" t="s">
        <v>160</v>
      </c>
    </row>
    <row r="8093" spans="1:20" x14ac:dyDescent="0.25">
      <c r="A8093" t="s">
        <v>59</v>
      </c>
      <c r="B8093" t="s">
        <v>60</v>
      </c>
      <c r="C8093" t="s">
        <v>32</v>
      </c>
      <c r="D8093" t="s">
        <v>953</v>
      </c>
      <c r="E8093" t="s">
        <v>7184</v>
      </c>
      <c r="F8093" t="s">
        <v>35</v>
      </c>
      <c r="G8093" t="s">
        <v>35</v>
      </c>
      <c r="H8093" t="s">
        <v>35</v>
      </c>
      <c r="J8093" t="s">
        <v>7213</v>
      </c>
      <c r="K8093" t="s">
        <v>1092</v>
      </c>
      <c r="M8093">
        <v>0.3</v>
      </c>
      <c r="N8093">
        <v>144</v>
      </c>
      <c r="O8093" t="s">
        <v>38</v>
      </c>
      <c r="Q8093" t="s">
        <v>1269</v>
      </c>
      <c r="R8093" t="s">
        <v>158</v>
      </c>
      <c r="S8093" t="s">
        <v>159</v>
      </c>
      <c r="T8093" t="s">
        <v>160</v>
      </c>
    </row>
    <row r="8094" spans="1:20" x14ac:dyDescent="0.25">
      <c r="A8094" t="s">
        <v>59</v>
      </c>
      <c r="B8094" t="s">
        <v>60</v>
      </c>
      <c r="C8094" t="s">
        <v>32</v>
      </c>
      <c r="D8094" t="s">
        <v>953</v>
      </c>
      <c r="E8094" t="s">
        <v>998</v>
      </c>
      <c r="F8094" t="s">
        <v>35</v>
      </c>
      <c r="G8094" t="s">
        <v>35</v>
      </c>
      <c r="H8094" t="s">
        <v>35</v>
      </c>
      <c r="J8094" t="s">
        <v>7243</v>
      </c>
      <c r="K8094" t="s">
        <v>1092</v>
      </c>
      <c r="M8094">
        <v>7.6</v>
      </c>
      <c r="N8094">
        <v>114</v>
      </c>
      <c r="O8094" t="s">
        <v>106</v>
      </c>
      <c r="Q8094" t="s">
        <v>2895</v>
      </c>
      <c r="R8094" t="s">
        <v>158</v>
      </c>
      <c r="S8094" t="s">
        <v>159</v>
      </c>
      <c r="T8094" t="s">
        <v>160</v>
      </c>
    </row>
    <row r="8095" spans="1:20" x14ac:dyDescent="0.25">
      <c r="A8095" t="s">
        <v>59</v>
      </c>
      <c r="B8095" t="s">
        <v>60</v>
      </c>
      <c r="C8095" t="s">
        <v>32</v>
      </c>
      <c r="D8095" t="s">
        <v>953</v>
      </c>
      <c r="E8095" t="s">
        <v>7184</v>
      </c>
      <c r="F8095" t="s">
        <v>35</v>
      </c>
      <c r="G8095" t="s">
        <v>35</v>
      </c>
      <c r="H8095" t="s">
        <v>35</v>
      </c>
      <c r="J8095" t="s">
        <v>7209</v>
      </c>
      <c r="K8095" t="s">
        <v>1092</v>
      </c>
      <c r="M8095">
        <v>2.5</v>
      </c>
      <c r="N8095">
        <v>79</v>
      </c>
      <c r="O8095" t="s">
        <v>61</v>
      </c>
      <c r="Q8095" t="s">
        <v>1076</v>
      </c>
      <c r="R8095" t="s">
        <v>158</v>
      </c>
      <c r="S8095" t="s">
        <v>159</v>
      </c>
      <c r="T8095" t="s">
        <v>160</v>
      </c>
    </row>
    <row r="8096" spans="1:20" x14ac:dyDescent="0.25">
      <c r="A8096" t="s">
        <v>59</v>
      </c>
      <c r="B8096" t="s">
        <v>60</v>
      </c>
      <c r="C8096" t="s">
        <v>32</v>
      </c>
      <c r="D8096" t="s">
        <v>953</v>
      </c>
      <c r="E8096" t="s">
        <v>7184</v>
      </c>
      <c r="F8096" t="s">
        <v>35</v>
      </c>
      <c r="G8096" t="s">
        <v>35</v>
      </c>
      <c r="H8096" t="s">
        <v>35</v>
      </c>
      <c r="J8096" t="s">
        <v>7215</v>
      </c>
      <c r="K8096" t="s">
        <v>1092</v>
      </c>
      <c r="M8096">
        <v>0.05</v>
      </c>
      <c r="N8096">
        <v>173</v>
      </c>
      <c r="O8096" t="s">
        <v>38</v>
      </c>
      <c r="Q8096" t="s">
        <v>2138</v>
      </c>
      <c r="R8096" t="s">
        <v>158</v>
      </c>
      <c r="S8096" t="s">
        <v>159</v>
      </c>
      <c r="T8096" t="s">
        <v>160</v>
      </c>
    </row>
    <row r="8097" spans="1:20" x14ac:dyDescent="0.25">
      <c r="A8097" t="s">
        <v>59</v>
      </c>
      <c r="B8097" t="s">
        <v>60</v>
      </c>
      <c r="C8097" t="s">
        <v>32</v>
      </c>
      <c r="D8097" t="s">
        <v>953</v>
      </c>
      <c r="E8097" t="s">
        <v>7184</v>
      </c>
      <c r="F8097" t="s">
        <v>35</v>
      </c>
      <c r="G8097" t="s">
        <v>35</v>
      </c>
      <c r="H8097" t="s">
        <v>35</v>
      </c>
      <c r="J8097" t="s">
        <v>7222</v>
      </c>
      <c r="K8097" t="s">
        <v>1092</v>
      </c>
      <c r="M8097">
        <v>0.3</v>
      </c>
      <c r="N8097">
        <v>173</v>
      </c>
      <c r="O8097" t="s">
        <v>38</v>
      </c>
      <c r="Q8097" t="s">
        <v>2138</v>
      </c>
      <c r="R8097" t="s">
        <v>158</v>
      </c>
      <c r="S8097" t="s">
        <v>159</v>
      </c>
      <c r="T8097" t="s">
        <v>160</v>
      </c>
    </row>
    <row r="8098" spans="1:20" x14ac:dyDescent="0.25">
      <c r="A8098" t="s">
        <v>59</v>
      </c>
      <c r="B8098" t="s">
        <v>60</v>
      </c>
      <c r="C8098" t="s">
        <v>32</v>
      </c>
      <c r="D8098" t="s">
        <v>953</v>
      </c>
      <c r="E8098" t="s">
        <v>7184</v>
      </c>
      <c r="F8098" t="s">
        <v>35</v>
      </c>
      <c r="G8098" t="s">
        <v>35</v>
      </c>
      <c r="H8098" t="s">
        <v>35</v>
      </c>
      <c r="J8098" t="s">
        <v>7214</v>
      </c>
      <c r="K8098" t="s">
        <v>1092</v>
      </c>
      <c r="M8098">
        <v>0.2</v>
      </c>
      <c r="N8098">
        <v>205</v>
      </c>
      <c r="O8098" t="s">
        <v>5</v>
      </c>
      <c r="Q8098" t="s">
        <v>1711</v>
      </c>
      <c r="R8098" t="s">
        <v>158</v>
      </c>
      <c r="S8098" t="s">
        <v>159</v>
      </c>
      <c r="T8098" t="s">
        <v>160</v>
      </c>
    </row>
    <row r="8099" spans="1:20" x14ac:dyDescent="0.25">
      <c r="A8099" t="s">
        <v>59</v>
      </c>
      <c r="B8099" t="s">
        <v>60</v>
      </c>
      <c r="C8099" t="s">
        <v>32</v>
      </c>
      <c r="D8099" t="s">
        <v>953</v>
      </c>
      <c r="E8099" t="s">
        <v>7184</v>
      </c>
      <c r="F8099" t="s">
        <v>35</v>
      </c>
      <c r="G8099" t="s">
        <v>35</v>
      </c>
      <c r="H8099" t="s">
        <v>35</v>
      </c>
      <c r="J8099" t="s">
        <v>7220</v>
      </c>
      <c r="K8099" t="s">
        <v>1092</v>
      </c>
      <c r="M8099">
        <v>0.21</v>
      </c>
      <c r="N8099">
        <v>205</v>
      </c>
      <c r="O8099" t="s">
        <v>5</v>
      </c>
      <c r="Q8099" t="s">
        <v>1711</v>
      </c>
      <c r="R8099" t="s">
        <v>158</v>
      </c>
      <c r="S8099" t="s">
        <v>159</v>
      </c>
      <c r="T8099" t="s">
        <v>160</v>
      </c>
    </row>
    <row r="8100" spans="1:20" x14ac:dyDescent="0.25">
      <c r="A8100" t="s">
        <v>59</v>
      </c>
      <c r="B8100" t="s">
        <v>60</v>
      </c>
      <c r="C8100" t="s">
        <v>32</v>
      </c>
      <c r="D8100" t="s">
        <v>953</v>
      </c>
      <c r="E8100" t="s">
        <v>1015</v>
      </c>
      <c r="F8100" t="s">
        <v>35</v>
      </c>
      <c r="G8100" t="s">
        <v>35</v>
      </c>
      <c r="H8100" t="s">
        <v>35</v>
      </c>
      <c r="J8100" t="s">
        <v>1069</v>
      </c>
      <c r="K8100" t="s">
        <v>37</v>
      </c>
      <c r="M8100">
        <v>5</v>
      </c>
      <c r="N8100">
        <v>13</v>
      </c>
      <c r="O8100" t="s">
        <v>46</v>
      </c>
      <c r="P8100" t="s">
        <v>1071</v>
      </c>
      <c r="Q8100" t="s">
        <v>1004</v>
      </c>
      <c r="R8100" t="s">
        <v>158</v>
      </c>
      <c r="S8100" t="s">
        <v>159</v>
      </c>
      <c r="T8100" t="s">
        <v>160</v>
      </c>
    </row>
    <row r="8101" spans="1:20" x14ac:dyDescent="0.25">
      <c r="A8101" t="s">
        <v>59</v>
      </c>
      <c r="B8101" t="s">
        <v>60</v>
      </c>
      <c r="C8101" t="s">
        <v>32</v>
      </c>
      <c r="D8101" t="s">
        <v>953</v>
      </c>
      <c r="E8101" t="s">
        <v>7184</v>
      </c>
      <c r="F8101" t="s">
        <v>35</v>
      </c>
      <c r="G8101" t="s">
        <v>35</v>
      </c>
      <c r="H8101" t="s">
        <v>35</v>
      </c>
      <c r="J8101" t="s">
        <v>7207</v>
      </c>
      <c r="K8101" t="s">
        <v>1092</v>
      </c>
      <c r="M8101">
        <v>0.7</v>
      </c>
      <c r="N8101">
        <v>689</v>
      </c>
      <c r="O8101" t="s">
        <v>575</v>
      </c>
      <c r="Q8101" t="s">
        <v>7208</v>
      </c>
      <c r="R8101" t="s">
        <v>158</v>
      </c>
      <c r="S8101" t="s">
        <v>159</v>
      </c>
      <c r="T8101" t="s">
        <v>160</v>
      </c>
    </row>
    <row r="8102" spans="1:20" x14ac:dyDescent="0.25">
      <c r="A8102" t="s">
        <v>44</v>
      </c>
      <c r="B8102" t="s">
        <v>51</v>
      </c>
      <c r="C8102" t="s">
        <v>32</v>
      </c>
      <c r="D8102" t="s">
        <v>953</v>
      </c>
      <c r="E8102" t="s">
        <v>998</v>
      </c>
      <c r="F8102" t="s">
        <v>35</v>
      </c>
      <c r="G8102" t="s">
        <v>35</v>
      </c>
      <c r="H8102" t="s">
        <v>35</v>
      </c>
      <c r="J8102" t="s">
        <v>159</v>
      </c>
      <c r="K8102" t="s">
        <v>37</v>
      </c>
      <c r="M8102">
        <v>7</v>
      </c>
      <c r="N8102">
        <v>13</v>
      </c>
      <c r="O8102" t="s">
        <v>46</v>
      </c>
      <c r="P8102" t="s">
        <v>1003</v>
      </c>
      <c r="Q8102" t="s">
        <v>1004</v>
      </c>
      <c r="R8102" t="s">
        <v>844</v>
      </c>
      <c r="S8102" t="s">
        <v>806</v>
      </c>
      <c r="T8102" t="s">
        <v>160</v>
      </c>
    </row>
    <row r="8103" spans="1:20" x14ac:dyDescent="0.25">
      <c r="A8103" t="s">
        <v>59</v>
      </c>
      <c r="B8103" t="s">
        <v>60</v>
      </c>
      <c r="C8103" t="s">
        <v>32</v>
      </c>
      <c r="D8103" t="s">
        <v>953</v>
      </c>
      <c r="E8103" t="s">
        <v>998</v>
      </c>
      <c r="F8103" t="s">
        <v>35</v>
      </c>
      <c r="G8103" t="s">
        <v>35</v>
      </c>
      <c r="H8103" t="s">
        <v>35</v>
      </c>
      <c r="J8103" t="s">
        <v>159</v>
      </c>
      <c r="K8103" t="s">
        <v>37</v>
      </c>
      <c r="M8103">
        <v>9</v>
      </c>
      <c r="N8103">
        <v>13</v>
      </c>
      <c r="O8103" t="s">
        <v>46</v>
      </c>
      <c r="P8103" t="s">
        <v>1005</v>
      </c>
      <c r="Q8103" t="s">
        <v>1004</v>
      </c>
      <c r="R8103" t="s">
        <v>844</v>
      </c>
      <c r="S8103" t="s">
        <v>806</v>
      </c>
      <c r="T8103" t="s">
        <v>160</v>
      </c>
    </row>
    <row r="8104" spans="1:20" x14ac:dyDescent="0.25">
      <c r="A8104" t="s">
        <v>44</v>
      </c>
      <c r="B8104" t="s">
        <v>51</v>
      </c>
      <c r="C8104" t="s">
        <v>32</v>
      </c>
      <c r="D8104" t="s">
        <v>953</v>
      </c>
      <c r="E8104" t="s">
        <v>998</v>
      </c>
      <c r="F8104" t="s">
        <v>35</v>
      </c>
      <c r="G8104" t="s">
        <v>35</v>
      </c>
      <c r="H8104" t="s">
        <v>35</v>
      </c>
      <c r="J8104" t="s">
        <v>159</v>
      </c>
      <c r="K8104" t="s">
        <v>37</v>
      </c>
      <c r="M8104">
        <v>0.5</v>
      </c>
      <c r="N8104">
        <v>55</v>
      </c>
      <c r="O8104" t="s">
        <v>52</v>
      </c>
      <c r="P8104" t="s">
        <v>1006</v>
      </c>
      <c r="Q8104" t="s">
        <v>90</v>
      </c>
      <c r="R8104" t="s">
        <v>844</v>
      </c>
      <c r="S8104" t="s">
        <v>806</v>
      </c>
      <c r="T8104" t="s">
        <v>160</v>
      </c>
    </row>
    <row r="8105" spans="1:20" x14ac:dyDescent="0.25">
      <c r="A8105" t="s">
        <v>59</v>
      </c>
      <c r="B8105" t="s">
        <v>60</v>
      </c>
      <c r="C8105" t="s">
        <v>32</v>
      </c>
      <c r="D8105" t="s">
        <v>953</v>
      </c>
      <c r="E8105" t="s">
        <v>7184</v>
      </c>
      <c r="F8105" t="s">
        <v>35</v>
      </c>
      <c r="G8105" t="s">
        <v>35</v>
      </c>
      <c r="H8105" t="s">
        <v>35</v>
      </c>
      <c r="J8105" t="s">
        <v>7197</v>
      </c>
      <c r="K8105" t="s">
        <v>1092</v>
      </c>
      <c r="M8105">
        <v>0.65</v>
      </c>
      <c r="N8105">
        <v>205</v>
      </c>
      <c r="O8105" t="s">
        <v>5</v>
      </c>
      <c r="Q8105" t="s">
        <v>1711</v>
      </c>
      <c r="R8105" t="s">
        <v>158</v>
      </c>
      <c r="S8105" t="s">
        <v>159</v>
      </c>
      <c r="T8105" t="s">
        <v>160</v>
      </c>
    </row>
    <row r="8106" spans="1:20" x14ac:dyDescent="0.25">
      <c r="A8106" t="s">
        <v>59</v>
      </c>
      <c r="B8106" t="s">
        <v>60</v>
      </c>
      <c r="C8106" t="s">
        <v>32</v>
      </c>
      <c r="D8106" t="s">
        <v>953</v>
      </c>
      <c r="E8106" t="s">
        <v>1084</v>
      </c>
      <c r="F8106" t="s">
        <v>35</v>
      </c>
      <c r="G8106" t="s">
        <v>35</v>
      </c>
      <c r="H8106" t="s">
        <v>35</v>
      </c>
      <c r="J8106" t="s">
        <v>7804</v>
      </c>
      <c r="K8106" t="s">
        <v>1092</v>
      </c>
      <c r="M8106">
        <v>8.8000000000000007</v>
      </c>
      <c r="N8106">
        <v>171</v>
      </c>
      <c r="O8106" t="s">
        <v>38</v>
      </c>
      <c r="Q8106" t="s">
        <v>2827</v>
      </c>
      <c r="R8106" t="s">
        <v>158</v>
      </c>
      <c r="S8106" t="s">
        <v>159</v>
      </c>
      <c r="T8106" t="s">
        <v>160</v>
      </c>
    </row>
    <row r="8107" spans="1:20" x14ac:dyDescent="0.25">
      <c r="A8107" t="s">
        <v>59</v>
      </c>
      <c r="B8107" t="s">
        <v>60</v>
      </c>
      <c r="C8107" t="s">
        <v>32</v>
      </c>
      <c r="D8107" t="s">
        <v>953</v>
      </c>
      <c r="E8107" t="s">
        <v>998</v>
      </c>
      <c r="F8107" t="s">
        <v>35</v>
      </c>
      <c r="G8107" t="s">
        <v>35</v>
      </c>
      <c r="H8107" t="s">
        <v>35</v>
      </c>
      <c r="J8107" t="s">
        <v>7289</v>
      </c>
      <c r="K8107" t="s">
        <v>1092</v>
      </c>
      <c r="M8107">
        <v>0.2</v>
      </c>
      <c r="N8107">
        <v>122</v>
      </c>
      <c r="O8107" t="s">
        <v>38</v>
      </c>
      <c r="Q8107" t="s">
        <v>1449</v>
      </c>
      <c r="R8107" t="s">
        <v>158</v>
      </c>
      <c r="S8107" t="s">
        <v>159</v>
      </c>
      <c r="T8107" t="s">
        <v>160</v>
      </c>
    </row>
    <row r="8108" spans="1:20" x14ac:dyDescent="0.25">
      <c r="A8108" t="s">
        <v>59</v>
      </c>
      <c r="B8108" t="s">
        <v>60</v>
      </c>
      <c r="C8108" t="s">
        <v>32</v>
      </c>
      <c r="D8108" t="s">
        <v>953</v>
      </c>
      <c r="E8108" t="s">
        <v>1084</v>
      </c>
      <c r="F8108" t="s">
        <v>35</v>
      </c>
      <c r="G8108" t="s">
        <v>35</v>
      </c>
      <c r="H8108" t="s">
        <v>35</v>
      </c>
      <c r="J8108" t="s">
        <v>7776</v>
      </c>
      <c r="K8108" t="s">
        <v>1092</v>
      </c>
      <c r="M8108">
        <v>3.65</v>
      </c>
      <c r="N8108">
        <v>114</v>
      </c>
      <c r="O8108" t="s">
        <v>106</v>
      </c>
      <c r="Q8108" t="s">
        <v>2895</v>
      </c>
      <c r="R8108" t="s">
        <v>158</v>
      </c>
      <c r="S8108" t="s">
        <v>159</v>
      </c>
      <c r="T8108" t="s">
        <v>160</v>
      </c>
    </row>
    <row r="8109" spans="1:20" x14ac:dyDescent="0.25">
      <c r="A8109" t="s">
        <v>59</v>
      </c>
      <c r="B8109" t="s">
        <v>60</v>
      </c>
      <c r="C8109" t="s">
        <v>32</v>
      </c>
      <c r="D8109" t="s">
        <v>953</v>
      </c>
      <c r="E8109" t="s">
        <v>1084</v>
      </c>
      <c r="F8109" t="s">
        <v>35</v>
      </c>
      <c r="G8109" t="s">
        <v>35</v>
      </c>
      <c r="H8109" t="s">
        <v>35</v>
      </c>
      <c r="J8109" t="s">
        <v>7786</v>
      </c>
      <c r="K8109" t="s">
        <v>1092</v>
      </c>
      <c r="M8109">
        <v>4.05</v>
      </c>
      <c r="N8109">
        <v>114</v>
      </c>
      <c r="O8109" t="s">
        <v>106</v>
      </c>
      <c r="Q8109" t="s">
        <v>2895</v>
      </c>
      <c r="R8109" t="s">
        <v>158</v>
      </c>
      <c r="S8109" t="s">
        <v>159</v>
      </c>
      <c r="T8109" t="s">
        <v>160</v>
      </c>
    </row>
    <row r="8110" spans="1:20" x14ac:dyDescent="0.25">
      <c r="A8110" t="s">
        <v>59</v>
      </c>
      <c r="B8110" t="s">
        <v>60</v>
      </c>
      <c r="C8110" t="s">
        <v>32</v>
      </c>
      <c r="D8110" t="s">
        <v>953</v>
      </c>
      <c r="E8110" t="s">
        <v>1084</v>
      </c>
      <c r="F8110" t="s">
        <v>35</v>
      </c>
      <c r="G8110" t="s">
        <v>35</v>
      </c>
      <c r="H8110" t="s">
        <v>35</v>
      </c>
      <c r="J8110" t="s">
        <v>7786</v>
      </c>
      <c r="K8110" t="s">
        <v>1092</v>
      </c>
      <c r="M8110">
        <v>7</v>
      </c>
      <c r="N8110">
        <v>79</v>
      </c>
      <c r="O8110" t="s">
        <v>61</v>
      </c>
      <c r="Q8110" t="s">
        <v>1076</v>
      </c>
      <c r="R8110" t="s">
        <v>158</v>
      </c>
      <c r="S8110" t="s">
        <v>159</v>
      </c>
      <c r="T8110" t="s">
        <v>160</v>
      </c>
    </row>
    <row r="8111" spans="1:20" x14ac:dyDescent="0.25">
      <c r="A8111" t="s">
        <v>59</v>
      </c>
      <c r="B8111" t="s">
        <v>60</v>
      </c>
      <c r="C8111" t="s">
        <v>32</v>
      </c>
      <c r="D8111" t="s">
        <v>953</v>
      </c>
      <c r="E8111" t="s">
        <v>7184</v>
      </c>
      <c r="F8111" t="s">
        <v>35</v>
      </c>
      <c r="G8111" t="s">
        <v>35</v>
      </c>
      <c r="H8111" t="s">
        <v>35</v>
      </c>
      <c r="J8111" t="s">
        <v>7227</v>
      </c>
      <c r="K8111" t="s">
        <v>1092</v>
      </c>
      <c r="M8111">
        <v>0.2</v>
      </c>
      <c r="N8111">
        <v>525</v>
      </c>
      <c r="O8111" t="s">
        <v>294</v>
      </c>
      <c r="Q8111" t="s">
        <v>2400</v>
      </c>
      <c r="R8111" t="s">
        <v>158</v>
      </c>
      <c r="S8111" t="s">
        <v>159</v>
      </c>
      <c r="T8111" t="s">
        <v>160</v>
      </c>
    </row>
    <row r="8112" spans="1:20" x14ac:dyDescent="0.25">
      <c r="A8112" t="s">
        <v>59</v>
      </c>
      <c r="B8112" t="s">
        <v>60</v>
      </c>
      <c r="C8112" t="s">
        <v>32</v>
      </c>
      <c r="D8112" t="s">
        <v>953</v>
      </c>
      <c r="E8112" t="s">
        <v>7184</v>
      </c>
      <c r="F8112" t="s">
        <v>35</v>
      </c>
      <c r="G8112" t="s">
        <v>35</v>
      </c>
      <c r="H8112" t="s">
        <v>35</v>
      </c>
      <c r="J8112" t="s">
        <v>7194</v>
      </c>
      <c r="K8112" t="s">
        <v>1092</v>
      </c>
      <c r="M8112">
        <v>9.8000000000000007</v>
      </c>
      <c r="N8112">
        <v>103</v>
      </c>
      <c r="O8112" t="s">
        <v>106</v>
      </c>
      <c r="Q8112" t="s">
        <v>1494</v>
      </c>
      <c r="R8112" t="s">
        <v>158</v>
      </c>
      <c r="S8112" t="s">
        <v>159</v>
      </c>
      <c r="T8112" t="s">
        <v>160</v>
      </c>
    </row>
    <row r="8113" spans="1:20" x14ac:dyDescent="0.25">
      <c r="A8113" t="s">
        <v>59</v>
      </c>
      <c r="B8113" t="s">
        <v>60</v>
      </c>
      <c r="C8113" t="s">
        <v>32</v>
      </c>
      <c r="D8113" t="s">
        <v>953</v>
      </c>
      <c r="E8113" t="s">
        <v>998</v>
      </c>
      <c r="F8113" t="s">
        <v>35</v>
      </c>
      <c r="G8113" t="s">
        <v>35</v>
      </c>
      <c r="H8113" t="s">
        <v>35</v>
      </c>
      <c r="J8113" t="s">
        <v>7278</v>
      </c>
      <c r="K8113" t="s">
        <v>1092</v>
      </c>
      <c r="M8113">
        <v>3.4</v>
      </c>
      <c r="N8113">
        <v>79</v>
      </c>
      <c r="O8113" t="s">
        <v>61</v>
      </c>
      <c r="Q8113" t="s">
        <v>1076</v>
      </c>
      <c r="R8113" t="s">
        <v>158</v>
      </c>
      <c r="S8113" t="s">
        <v>159</v>
      </c>
      <c r="T8113" t="s">
        <v>160</v>
      </c>
    </row>
    <row r="8114" spans="1:20" x14ac:dyDescent="0.25">
      <c r="A8114" t="s">
        <v>59</v>
      </c>
      <c r="B8114" t="s">
        <v>60</v>
      </c>
      <c r="C8114" t="s">
        <v>32</v>
      </c>
      <c r="D8114" t="s">
        <v>953</v>
      </c>
      <c r="E8114" t="s">
        <v>998</v>
      </c>
      <c r="F8114" t="s">
        <v>35</v>
      </c>
      <c r="G8114" t="s">
        <v>35</v>
      </c>
      <c r="H8114" t="s">
        <v>35</v>
      </c>
      <c r="J8114" t="s">
        <v>7240</v>
      </c>
      <c r="K8114" t="s">
        <v>1092</v>
      </c>
      <c r="M8114">
        <v>2.5</v>
      </c>
      <c r="N8114">
        <v>702</v>
      </c>
      <c r="O8114" t="s">
        <v>575</v>
      </c>
      <c r="Q8114" t="s">
        <v>7188</v>
      </c>
      <c r="R8114" t="s">
        <v>158</v>
      </c>
      <c r="S8114" t="s">
        <v>159</v>
      </c>
      <c r="T8114" t="s">
        <v>160</v>
      </c>
    </row>
    <row r="8115" spans="1:20" x14ac:dyDescent="0.25">
      <c r="A8115" t="s">
        <v>59</v>
      </c>
      <c r="B8115" t="s">
        <v>60</v>
      </c>
      <c r="C8115" t="s">
        <v>32</v>
      </c>
      <c r="D8115" t="s">
        <v>953</v>
      </c>
      <c r="E8115" t="s">
        <v>7184</v>
      </c>
      <c r="F8115" t="s">
        <v>35</v>
      </c>
      <c r="G8115" t="s">
        <v>35</v>
      </c>
      <c r="H8115" t="s">
        <v>35</v>
      </c>
      <c r="J8115" t="s">
        <v>7219</v>
      </c>
      <c r="K8115" t="s">
        <v>1092</v>
      </c>
      <c r="M8115">
        <v>0.65</v>
      </c>
      <c r="N8115">
        <v>525</v>
      </c>
      <c r="O8115" t="s">
        <v>294</v>
      </c>
      <c r="Q8115" t="s">
        <v>2400</v>
      </c>
      <c r="R8115" t="s">
        <v>158</v>
      </c>
      <c r="S8115" t="s">
        <v>159</v>
      </c>
      <c r="T8115" t="s">
        <v>160</v>
      </c>
    </row>
    <row r="8116" spans="1:20" x14ac:dyDescent="0.25">
      <c r="A8116" t="s">
        <v>59</v>
      </c>
      <c r="B8116" t="s">
        <v>60</v>
      </c>
      <c r="C8116" t="s">
        <v>32</v>
      </c>
      <c r="D8116" t="s">
        <v>953</v>
      </c>
      <c r="E8116" t="s">
        <v>7184</v>
      </c>
      <c r="F8116" t="s">
        <v>35</v>
      </c>
      <c r="G8116" t="s">
        <v>35</v>
      </c>
      <c r="H8116" t="s">
        <v>35</v>
      </c>
      <c r="J8116" t="s">
        <v>7192</v>
      </c>
      <c r="K8116" t="s">
        <v>1092</v>
      </c>
      <c r="M8116">
        <v>0.5</v>
      </c>
      <c r="N8116">
        <v>173</v>
      </c>
      <c r="O8116" t="s">
        <v>38</v>
      </c>
      <c r="Q8116" t="s">
        <v>2138</v>
      </c>
      <c r="R8116" t="s">
        <v>158</v>
      </c>
      <c r="S8116" t="s">
        <v>159</v>
      </c>
      <c r="T8116" t="s">
        <v>160</v>
      </c>
    </row>
    <row r="8117" spans="1:20" x14ac:dyDescent="0.25">
      <c r="A8117" t="s">
        <v>59</v>
      </c>
      <c r="B8117" t="s">
        <v>60</v>
      </c>
      <c r="C8117" t="s">
        <v>32</v>
      </c>
      <c r="D8117" t="s">
        <v>953</v>
      </c>
      <c r="E8117" t="s">
        <v>7184</v>
      </c>
      <c r="F8117" t="s">
        <v>35</v>
      </c>
      <c r="G8117" t="s">
        <v>35</v>
      </c>
      <c r="H8117" t="s">
        <v>35</v>
      </c>
      <c r="J8117" t="s">
        <v>7230</v>
      </c>
      <c r="K8117" t="s">
        <v>1092</v>
      </c>
      <c r="M8117">
        <v>0.05</v>
      </c>
      <c r="N8117">
        <v>263</v>
      </c>
      <c r="O8117" t="s">
        <v>5</v>
      </c>
      <c r="Q8117" t="s">
        <v>2486</v>
      </c>
      <c r="R8117" t="s">
        <v>158</v>
      </c>
      <c r="S8117" t="s">
        <v>159</v>
      </c>
      <c r="T8117" t="s">
        <v>160</v>
      </c>
    </row>
    <row r="8118" spans="1:20" x14ac:dyDescent="0.25">
      <c r="A8118" t="s">
        <v>59</v>
      </c>
      <c r="B8118" t="s">
        <v>60</v>
      </c>
      <c r="C8118" t="s">
        <v>32</v>
      </c>
      <c r="D8118" t="s">
        <v>953</v>
      </c>
      <c r="E8118" t="s">
        <v>7184</v>
      </c>
      <c r="F8118" t="s">
        <v>35</v>
      </c>
      <c r="G8118" t="s">
        <v>35</v>
      </c>
      <c r="H8118" t="s">
        <v>35</v>
      </c>
      <c r="J8118" t="s">
        <v>7193</v>
      </c>
      <c r="K8118" t="s">
        <v>1092</v>
      </c>
      <c r="M8118">
        <v>5</v>
      </c>
      <c r="N8118">
        <v>79</v>
      </c>
      <c r="O8118" t="s">
        <v>61</v>
      </c>
      <c r="Q8118" t="s">
        <v>1076</v>
      </c>
      <c r="R8118" t="s">
        <v>158</v>
      </c>
      <c r="S8118" t="s">
        <v>159</v>
      </c>
      <c r="T8118" t="s">
        <v>160</v>
      </c>
    </row>
    <row r="8119" spans="1:20" x14ac:dyDescent="0.25">
      <c r="A8119" t="s">
        <v>59</v>
      </c>
      <c r="B8119" t="s">
        <v>60</v>
      </c>
      <c r="C8119" t="s">
        <v>32</v>
      </c>
      <c r="D8119" t="s">
        <v>953</v>
      </c>
      <c r="E8119" t="s">
        <v>7184</v>
      </c>
      <c r="F8119" t="s">
        <v>35</v>
      </c>
      <c r="G8119" t="s">
        <v>35</v>
      </c>
      <c r="H8119" t="s">
        <v>35</v>
      </c>
      <c r="J8119" t="s">
        <v>7193</v>
      </c>
      <c r="K8119" t="s">
        <v>1092</v>
      </c>
      <c r="M8119">
        <v>1.6</v>
      </c>
      <c r="N8119">
        <v>205</v>
      </c>
      <c r="O8119" t="s">
        <v>5</v>
      </c>
      <c r="Q8119" t="s">
        <v>1711</v>
      </c>
      <c r="R8119" t="s">
        <v>158</v>
      </c>
      <c r="S8119" t="s">
        <v>159</v>
      </c>
      <c r="T8119" t="s">
        <v>160</v>
      </c>
    </row>
    <row r="8120" spans="1:20" x14ac:dyDescent="0.25">
      <c r="A8120" t="s">
        <v>59</v>
      </c>
      <c r="B8120" t="s">
        <v>60</v>
      </c>
      <c r="C8120" t="s">
        <v>32</v>
      </c>
      <c r="D8120" t="s">
        <v>953</v>
      </c>
      <c r="E8120" t="s">
        <v>7184</v>
      </c>
      <c r="F8120" t="s">
        <v>35</v>
      </c>
      <c r="G8120" t="s">
        <v>35</v>
      </c>
      <c r="H8120" t="s">
        <v>35</v>
      </c>
      <c r="J8120" t="s">
        <v>7196</v>
      </c>
      <c r="K8120" t="s">
        <v>1092</v>
      </c>
      <c r="M8120">
        <v>2.35</v>
      </c>
      <c r="N8120">
        <v>205</v>
      </c>
      <c r="O8120" t="s">
        <v>5</v>
      </c>
      <c r="Q8120" t="s">
        <v>1711</v>
      </c>
      <c r="R8120" t="s">
        <v>158</v>
      </c>
      <c r="S8120" t="s">
        <v>159</v>
      </c>
      <c r="T8120" t="s">
        <v>160</v>
      </c>
    </row>
    <row r="8121" spans="1:20" x14ac:dyDescent="0.25">
      <c r="A8121" t="s">
        <v>59</v>
      </c>
      <c r="B8121" t="s">
        <v>60</v>
      </c>
      <c r="C8121" t="s">
        <v>32</v>
      </c>
      <c r="D8121" t="s">
        <v>953</v>
      </c>
      <c r="E8121" t="s">
        <v>7184</v>
      </c>
      <c r="F8121" t="s">
        <v>35</v>
      </c>
      <c r="G8121" t="s">
        <v>35</v>
      </c>
      <c r="H8121" t="s">
        <v>35</v>
      </c>
      <c r="J8121" t="s">
        <v>7186</v>
      </c>
      <c r="K8121" t="s">
        <v>404</v>
      </c>
      <c r="M8121">
        <v>7</v>
      </c>
      <c r="N8121">
        <v>137</v>
      </c>
      <c r="O8121" t="s">
        <v>38</v>
      </c>
      <c r="Q8121" t="s">
        <v>2929</v>
      </c>
      <c r="R8121" t="s">
        <v>158</v>
      </c>
      <c r="S8121" t="s">
        <v>159</v>
      </c>
      <c r="T8121" t="s">
        <v>160</v>
      </c>
    </row>
    <row r="8122" spans="1:20" x14ac:dyDescent="0.25">
      <c r="A8122" t="s">
        <v>59</v>
      </c>
      <c r="B8122" t="s">
        <v>60</v>
      </c>
      <c r="C8122" t="s">
        <v>32</v>
      </c>
      <c r="D8122" t="s">
        <v>953</v>
      </c>
      <c r="E8122" t="s">
        <v>1084</v>
      </c>
      <c r="F8122" t="s">
        <v>35</v>
      </c>
      <c r="G8122" t="s">
        <v>35</v>
      </c>
      <c r="H8122" t="s">
        <v>35</v>
      </c>
      <c r="J8122" t="s">
        <v>7796</v>
      </c>
      <c r="K8122" t="s">
        <v>1092</v>
      </c>
      <c r="M8122">
        <v>4</v>
      </c>
      <c r="N8122">
        <v>79</v>
      </c>
      <c r="O8122" t="s">
        <v>61</v>
      </c>
      <c r="Q8122" t="s">
        <v>1076</v>
      </c>
      <c r="R8122" t="s">
        <v>158</v>
      </c>
      <c r="S8122" t="s">
        <v>159</v>
      </c>
      <c r="T8122" t="s">
        <v>160</v>
      </c>
    </row>
    <row r="8123" spans="1:20" x14ac:dyDescent="0.25">
      <c r="A8123" t="s">
        <v>59</v>
      </c>
      <c r="B8123" t="s">
        <v>60</v>
      </c>
      <c r="C8123" t="s">
        <v>32</v>
      </c>
      <c r="D8123" t="s">
        <v>953</v>
      </c>
      <c r="E8123" t="s">
        <v>1084</v>
      </c>
      <c r="F8123" t="s">
        <v>35</v>
      </c>
      <c r="G8123" t="s">
        <v>35</v>
      </c>
      <c r="H8123" t="s">
        <v>35</v>
      </c>
      <c r="J8123" t="s">
        <v>7796</v>
      </c>
      <c r="K8123" t="s">
        <v>1092</v>
      </c>
      <c r="M8123">
        <v>0.15</v>
      </c>
      <c r="N8123">
        <v>268</v>
      </c>
      <c r="O8123" t="s">
        <v>5</v>
      </c>
      <c r="Q8123" t="s">
        <v>4238</v>
      </c>
      <c r="R8123" t="s">
        <v>158</v>
      </c>
      <c r="S8123" t="s">
        <v>159</v>
      </c>
      <c r="T8123" t="s">
        <v>160</v>
      </c>
    </row>
    <row r="8124" spans="1:20" x14ac:dyDescent="0.25">
      <c r="A8124" t="s">
        <v>59</v>
      </c>
      <c r="B8124" t="s">
        <v>60</v>
      </c>
      <c r="C8124" t="s">
        <v>32</v>
      </c>
      <c r="D8124" t="s">
        <v>953</v>
      </c>
      <c r="E8124" t="s">
        <v>998</v>
      </c>
      <c r="F8124" t="s">
        <v>35</v>
      </c>
      <c r="G8124" t="s">
        <v>35</v>
      </c>
      <c r="H8124" t="s">
        <v>35</v>
      </c>
      <c r="J8124" t="s">
        <v>7247</v>
      </c>
      <c r="K8124" t="s">
        <v>1092</v>
      </c>
      <c r="M8124">
        <v>4</v>
      </c>
      <c r="N8124">
        <v>79</v>
      </c>
      <c r="O8124" t="s">
        <v>61</v>
      </c>
      <c r="Q8124" t="s">
        <v>1076</v>
      </c>
      <c r="R8124" t="s">
        <v>158</v>
      </c>
      <c r="S8124" t="s">
        <v>159</v>
      </c>
      <c r="T8124" t="s">
        <v>160</v>
      </c>
    </row>
    <row r="8125" spans="1:20" x14ac:dyDescent="0.25">
      <c r="A8125" t="s">
        <v>59</v>
      </c>
      <c r="B8125" t="s">
        <v>60</v>
      </c>
      <c r="C8125" t="s">
        <v>32</v>
      </c>
      <c r="D8125" t="s">
        <v>953</v>
      </c>
      <c r="E8125" t="s">
        <v>7184</v>
      </c>
      <c r="F8125" t="s">
        <v>35</v>
      </c>
      <c r="G8125" t="s">
        <v>35</v>
      </c>
      <c r="H8125" t="s">
        <v>35</v>
      </c>
      <c r="J8125" t="s">
        <v>7210</v>
      </c>
      <c r="K8125" t="s">
        <v>1092</v>
      </c>
      <c r="M8125">
        <v>0.3</v>
      </c>
      <c r="N8125">
        <v>689</v>
      </c>
      <c r="O8125" t="s">
        <v>575</v>
      </c>
      <c r="Q8125" t="s">
        <v>7208</v>
      </c>
      <c r="R8125" t="s">
        <v>158</v>
      </c>
      <c r="S8125" t="s">
        <v>159</v>
      </c>
      <c r="T8125" t="s">
        <v>160</v>
      </c>
    </row>
    <row r="8126" spans="1:20" x14ac:dyDescent="0.25">
      <c r="A8126" t="s">
        <v>59</v>
      </c>
      <c r="B8126" t="s">
        <v>60</v>
      </c>
      <c r="C8126" t="s">
        <v>32</v>
      </c>
      <c r="D8126" t="s">
        <v>953</v>
      </c>
      <c r="E8126" t="s">
        <v>7184</v>
      </c>
      <c r="F8126" t="s">
        <v>35</v>
      </c>
      <c r="G8126" t="s">
        <v>35</v>
      </c>
      <c r="H8126" t="s">
        <v>35</v>
      </c>
      <c r="J8126" t="s">
        <v>7210</v>
      </c>
      <c r="K8126" t="s">
        <v>1092</v>
      </c>
      <c r="M8126">
        <v>5</v>
      </c>
      <c r="N8126">
        <v>137</v>
      </c>
      <c r="O8126" t="s">
        <v>38</v>
      </c>
      <c r="Q8126" t="s">
        <v>2929</v>
      </c>
      <c r="R8126" t="s">
        <v>158</v>
      </c>
      <c r="S8126" t="s">
        <v>159</v>
      </c>
      <c r="T8126" t="s">
        <v>160</v>
      </c>
    </row>
    <row r="8127" spans="1:20" x14ac:dyDescent="0.25">
      <c r="A8127" t="s">
        <v>44</v>
      </c>
      <c r="B8127" t="s">
        <v>51</v>
      </c>
      <c r="C8127" t="s">
        <v>32</v>
      </c>
      <c r="D8127" t="s">
        <v>953</v>
      </c>
      <c r="E8127" t="s">
        <v>7184</v>
      </c>
      <c r="F8127" t="s">
        <v>35</v>
      </c>
      <c r="G8127" t="s">
        <v>35</v>
      </c>
      <c r="H8127" t="s">
        <v>35</v>
      </c>
      <c r="J8127" t="s">
        <v>7191</v>
      </c>
      <c r="K8127" t="s">
        <v>1092</v>
      </c>
      <c r="M8127">
        <v>3</v>
      </c>
      <c r="N8127">
        <v>37</v>
      </c>
      <c r="O8127" t="s">
        <v>52</v>
      </c>
      <c r="Q8127" t="s">
        <v>192</v>
      </c>
      <c r="R8127" t="s">
        <v>158</v>
      </c>
      <c r="S8127" t="s">
        <v>159</v>
      </c>
      <c r="T8127" t="s">
        <v>160</v>
      </c>
    </row>
    <row r="8128" spans="1:20" x14ac:dyDescent="0.25">
      <c r="A8128" t="s">
        <v>44</v>
      </c>
      <c r="B8128" t="s">
        <v>51</v>
      </c>
      <c r="C8128" t="s">
        <v>32</v>
      </c>
      <c r="D8128" t="s">
        <v>953</v>
      </c>
      <c r="E8128" t="s">
        <v>7184</v>
      </c>
      <c r="F8128" t="s">
        <v>35</v>
      </c>
      <c r="G8128" t="s">
        <v>35</v>
      </c>
      <c r="H8128" t="s">
        <v>35</v>
      </c>
      <c r="J8128" t="s">
        <v>7191</v>
      </c>
      <c r="K8128" t="s">
        <v>1092</v>
      </c>
      <c r="M8128">
        <v>0.6</v>
      </c>
      <c r="N8128">
        <v>293</v>
      </c>
      <c r="O8128" t="s">
        <v>5</v>
      </c>
      <c r="Q8128" t="s">
        <v>1223</v>
      </c>
      <c r="R8128" t="s">
        <v>158</v>
      </c>
      <c r="S8128" t="s">
        <v>159</v>
      </c>
      <c r="T8128" t="s">
        <v>160</v>
      </c>
    </row>
    <row r="8129" spans="1:20" x14ac:dyDescent="0.25">
      <c r="A8129" t="s">
        <v>30</v>
      </c>
      <c r="B8129" t="s">
        <v>31</v>
      </c>
      <c r="C8129" t="s">
        <v>32</v>
      </c>
      <c r="D8129" t="s">
        <v>953</v>
      </c>
      <c r="F8129" t="s">
        <v>35</v>
      </c>
      <c r="G8129" t="s">
        <v>35</v>
      </c>
      <c r="H8129" t="s">
        <v>35</v>
      </c>
      <c r="J8129" t="s">
        <v>8088</v>
      </c>
      <c r="K8129" t="s">
        <v>1092</v>
      </c>
      <c r="M8129">
        <v>0.22500000000000001</v>
      </c>
      <c r="N8129">
        <v>1897</v>
      </c>
      <c r="O8129" t="s">
        <v>575</v>
      </c>
      <c r="Q8129" t="s">
        <v>8089</v>
      </c>
      <c r="R8129" t="s">
        <v>8077</v>
      </c>
      <c r="S8129" t="s">
        <v>8078</v>
      </c>
      <c r="T8129" t="s">
        <v>8079</v>
      </c>
    </row>
    <row r="8130" spans="1:20" x14ac:dyDescent="0.25">
      <c r="A8130" t="s">
        <v>30</v>
      </c>
      <c r="B8130" t="s">
        <v>31</v>
      </c>
      <c r="C8130" t="s">
        <v>32</v>
      </c>
      <c r="D8130" t="s">
        <v>953</v>
      </c>
      <c r="F8130" t="s">
        <v>35</v>
      </c>
      <c r="G8130" t="s">
        <v>35</v>
      </c>
      <c r="H8130" t="s">
        <v>35</v>
      </c>
      <c r="J8130" t="s">
        <v>8082</v>
      </c>
      <c r="K8130" t="s">
        <v>1092</v>
      </c>
      <c r="M8130">
        <v>4.9950000000000001</v>
      </c>
      <c r="N8130">
        <v>2298</v>
      </c>
      <c r="O8130" t="s">
        <v>575</v>
      </c>
      <c r="Q8130" t="s">
        <v>8083</v>
      </c>
      <c r="R8130" t="s">
        <v>8077</v>
      </c>
      <c r="S8130" t="s">
        <v>8078</v>
      </c>
      <c r="T8130" t="s">
        <v>8079</v>
      </c>
    </row>
    <row r="8131" spans="1:20" x14ac:dyDescent="0.25">
      <c r="A8131" t="s">
        <v>30</v>
      </c>
      <c r="B8131" t="s">
        <v>31</v>
      </c>
      <c r="C8131" t="s">
        <v>32</v>
      </c>
      <c r="D8131" t="s">
        <v>953</v>
      </c>
      <c r="F8131" t="s">
        <v>35</v>
      </c>
      <c r="G8131" t="s">
        <v>35</v>
      </c>
      <c r="H8131" t="s">
        <v>35</v>
      </c>
      <c r="J8131" t="s">
        <v>8073</v>
      </c>
      <c r="K8131" t="s">
        <v>1092</v>
      </c>
      <c r="M8131">
        <v>0.28499999999999998</v>
      </c>
      <c r="N8131">
        <v>1804</v>
      </c>
      <c r="O8131" t="s">
        <v>575</v>
      </c>
      <c r="Q8131" t="s">
        <v>5720</v>
      </c>
      <c r="R8131" t="s">
        <v>8077</v>
      </c>
      <c r="S8131" t="s">
        <v>8078</v>
      </c>
      <c r="T8131" t="s">
        <v>8079</v>
      </c>
    </row>
    <row r="8132" spans="1:20" x14ac:dyDescent="0.25">
      <c r="A8132" t="s">
        <v>59</v>
      </c>
      <c r="B8132" t="s">
        <v>31</v>
      </c>
      <c r="C8132" t="s">
        <v>32</v>
      </c>
      <c r="D8132" t="s">
        <v>953</v>
      </c>
      <c r="F8132" t="s">
        <v>35</v>
      </c>
      <c r="G8132" t="s">
        <v>35</v>
      </c>
      <c r="H8132" t="s">
        <v>35</v>
      </c>
      <c r="J8132" t="s">
        <v>8073</v>
      </c>
      <c r="K8132" t="s">
        <v>1092</v>
      </c>
      <c r="M8132">
        <v>0.03</v>
      </c>
      <c r="N8132">
        <v>2328</v>
      </c>
      <c r="O8132" t="s">
        <v>575</v>
      </c>
      <c r="Q8132" t="s">
        <v>3889</v>
      </c>
      <c r="R8132" t="s">
        <v>8074</v>
      </c>
      <c r="S8132" t="s">
        <v>8075</v>
      </c>
      <c r="T8132" t="s">
        <v>8076</v>
      </c>
    </row>
    <row r="8133" spans="1:20" x14ac:dyDescent="0.25">
      <c r="A8133" t="s">
        <v>59</v>
      </c>
      <c r="B8133" t="s">
        <v>31</v>
      </c>
      <c r="C8133" t="s">
        <v>32</v>
      </c>
      <c r="D8133" t="s">
        <v>953</v>
      </c>
      <c r="E8133" t="s">
        <v>980</v>
      </c>
      <c r="F8133" t="s">
        <v>35</v>
      </c>
      <c r="G8133" t="s">
        <v>35</v>
      </c>
      <c r="H8133" t="s">
        <v>35</v>
      </c>
      <c r="J8133" t="s">
        <v>7080</v>
      </c>
      <c r="K8133" t="s">
        <v>1092</v>
      </c>
      <c r="M8133">
        <v>2.4750000000000001</v>
      </c>
      <c r="N8133">
        <v>93</v>
      </c>
      <c r="O8133" t="s">
        <v>106</v>
      </c>
      <c r="Q8133" t="s">
        <v>1112</v>
      </c>
      <c r="R8133" t="s">
        <v>6705</v>
      </c>
      <c r="S8133" t="s">
        <v>981</v>
      </c>
      <c r="T8133" t="s">
        <v>982</v>
      </c>
    </row>
    <row r="8134" spans="1:20" x14ac:dyDescent="0.25">
      <c r="A8134" t="s">
        <v>59</v>
      </c>
      <c r="B8134" t="s">
        <v>31</v>
      </c>
      <c r="C8134" t="s">
        <v>32</v>
      </c>
      <c r="D8134" t="s">
        <v>953</v>
      </c>
      <c r="E8134" t="s">
        <v>980</v>
      </c>
      <c r="F8134" t="s">
        <v>35</v>
      </c>
      <c r="G8134" t="s">
        <v>35</v>
      </c>
      <c r="H8134" t="s">
        <v>35</v>
      </c>
      <c r="J8134" t="s">
        <v>7080</v>
      </c>
      <c r="K8134" t="s">
        <v>1092</v>
      </c>
      <c r="M8134">
        <v>3.0150000000000001</v>
      </c>
      <c r="N8134">
        <v>55</v>
      </c>
      <c r="O8134" t="s">
        <v>52</v>
      </c>
      <c r="Q8134" t="s">
        <v>90</v>
      </c>
      <c r="R8134" t="s">
        <v>6705</v>
      </c>
      <c r="S8134" t="s">
        <v>981</v>
      </c>
      <c r="T8134" t="s">
        <v>982</v>
      </c>
    </row>
    <row r="8135" spans="1:20" x14ac:dyDescent="0.25">
      <c r="A8135" t="s">
        <v>59</v>
      </c>
      <c r="B8135" t="s">
        <v>60</v>
      </c>
      <c r="C8135" t="s">
        <v>32</v>
      </c>
      <c r="D8135" t="s">
        <v>953</v>
      </c>
      <c r="E8135" t="s">
        <v>980</v>
      </c>
      <c r="F8135" t="s">
        <v>35</v>
      </c>
      <c r="G8135" t="s">
        <v>35</v>
      </c>
      <c r="H8135" t="s">
        <v>35</v>
      </c>
      <c r="J8135" t="s">
        <v>7080</v>
      </c>
      <c r="K8135" t="s">
        <v>1092</v>
      </c>
      <c r="M8135">
        <v>2</v>
      </c>
      <c r="N8135">
        <v>55</v>
      </c>
      <c r="O8135" t="s">
        <v>52</v>
      </c>
      <c r="Q8135" t="s">
        <v>90</v>
      </c>
      <c r="R8135" t="s">
        <v>6705</v>
      </c>
      <c r="S8135" t="s">
        <v>981</v>
      </c>
      <c r="T8135" t="s">
        <v>982</v>
      </c>
    </row>
    <row r="8136" spans="1:20" x14ac:dyDescent="0.25">
      <c r="A8136" t="s">
        <v>59</v>
      </c>
      <c r="B8136" t="s">
        <v>31</v>
      </c>
      <c r="C8136" t="s">
        <v>32</v>
      </c>
      <c r="D8136" t="s">
        <v>953</v>
      </c>
      <c r="E8136" t="s">
        <v>980</v>
      </c>
      <c r="F8136" t="s">
        <v>35</v>
      </c>
      <c r="G8136" t="s">
        <v>35</v>
      </c>
      <c r="H8136" t="s">
        <v>35</v>
      </c>
      <c r="J8136" t="s">
        <v>7080</v>
      </c>
      <c r="K8136" t="s">
        <v>1092</v>
      </c>
      <c r="M8136">
        <v>3.51</v>
      </c>
      <c r="N8136">
        <v>66</v>
      </c>
      <c r="O8136" t="s">
        <v>61</v>
      </c>
      <c r="Q8136" t="s">
        <v>552</v>
      </c>
      <c r="R8136" t="s">
        <v>6705</v>
      </c>
      <c r="S8136" t="s">
        <v>981</v>
      </c>
      <c r="T8136" t="s">
        <v>982</v>
      </c>
    </row>
    <row r="8137" spans="1:20" x14ac:dyDescent="0.25">
      <c r="A8137" t="s">
        <v>59</v>
      </c>
      <c r="B8137" t="s">
        <v>60</v>
      </c>
      <c r="C8137" t="s">
        <v>32</v>
      </c>
      <c r="D8137" t="s">
        <v>953</v>
      </c>
      <c r="E8137" t="s">
        <v>980</v>
      </c>
      <c r="F8137" t="s">
        <v>35</v>
      </c>
      <c r="G8137" t="s">
        <v>35</v>
      </c>
      <c r="H8137" t="s">
        <v>35</v>
      </c>
      <c r="J8137" t="s">
        <v>7080</v>
      </c>
      <c r="K8137" t="s">
        <v>1092</v>
      </c>
      <c r="M8137">
        <v>2.75</v>
      </c>
      <c r="N8137">
        <v>66</v>
      </c>
      <c r="O8137" t="s">
        <v>61</v>
      </c>
      <c r="Q8137" t="s">
        <v>552</v>
      </c>
      <c r="R8137" t="s">
        <v>6705</v>
      </c>
      <c r="S8137" t="s">
        <v>981</v>
      </c>
      <c r="T8137" t="s">
        <v>982</v>
      </c>
    </row>
    <row r="8138" spans="1:20" x14ac:dyDescent="0.25">
      <c r="A8138" t="s">
        <v>59</v>
      </c>
      <c r="B8138" t="s">
        <v>31</v>
      </c>
      <c r="C8138" t="s">
        <v>32</v>
      </c>
      <c r="D8138" t="s">
        <v>953</v>
      </c>
      <c r="E8138" t="s">
        <v>980</v>
      </c>
      <c r="F8138" t="s">
        <v>35</v>
      </c>
      <c r="G8138" t="s">
        <v>35</v>
      </c>
      <c r="H8138" t="s">
        <v>35</v>
      </c>
      <c r="J8138" t="s">
        <v>7082</v>
      </c>
      <c r="K8138" t="s">
        <v>1092</v>
      </c>
      <c r="M8138">
        <v>1.395</v>
      </c>
      <c r="N8138">
        <v>139</v>
      </c>
      <c r="O8138" t="s">
        <v>38</v>
      </c>
      <c r="Q8138" t="s">
        <v>1335</v>
      </c>
      <c r="R8138" t="s">
        <v>6705</v>
      </c>
      <c r="S8138" t="s">
        <v>981</v>
      </c>
      <c r="T8138" t="s">
        <v>982</v>
      </c>
    </row>
    <row r="8139" spans="1:20" x14ac:dyDescent="0.25">
      <c r="A8139" t="s">
        <v>59</v>
      </c>
      <c r="B8139" t="s">
        <v>31</v>
      </c>
      <c r="C8139" t="s">
        <v>32</v>
      </c>
      <c r="D8139" t="s">
        <v>953</v>
      </c>
      <c r="E8139" t="s">
        <v>980</v>
      </c>
      <c r="F8139" t="s">
        <v>35</v>
      </c>
      <c r="G8139" t="s">
        <v>35</v>
      </c>
      <c r="H8139" t="s">
        <v>35</v>
      </c>
      <c r="J8139" t="s">
        <v>7082</v>
      </c>
      <c r="K8139" t="s">
        <v>1092</v>
      </c>
      <c r="M8139">
        <v>5.49</v>
      </c>
      <c r="N8139">
        <v>93</v>
      </c>
      <c r="O8139" t="s">
        <v>106</v>
      </c>
      <c r="Q8139" t="s">
        <v>1112</v>
      </c>
      <c r="R8139" t="s">
        <v>6705</v>
      </c>
      <c r="S8139" t="s">
        <v>981</v>
      </c>
      <c r="T8139" t="s">
        <v>982</v>
      </c>
    </row>
    <row r="8140" spans="1:20" x14ac:dyDescent="0.25">
      <c r="A8140" t="s">
        <v>59</v>
      </c>
      <c r="B8140" t="s">
        <v>60</v>
      </c>
      <c r="C8140" t="s">
        <v>32</v>
      </c>
      <c r="D8140" t="s">
        <v>953</v>
      </c>
      <c r="E8140" t="s">
        <v>980</v>
      </c>
      <c r="F8140" t="s">
        <v>35</v>
      </c>
      <c r="G8140" t="s">
        <v>35</v>
      </c>
      <c r="H8140" t="s">
        <v>35</v>
      </c>
      <c r="J8140" t="s">
        <v>7082</v>
      </c>
      <c r="K8140" t="s">
        <v>1092</v>
      </c>
      <c r="M8140">
        <v>3.65</v>
      </c>
      <c r="N8140">
        <v>93</v>
      </c>
      <c r="O8140" t="s">
        <v>106</v>
      </c>
      <c r="Q8140" t="s">
        <v>1112</v>
      </c>
      <c r="R8140" t="s">
        <v>6705</v>
      </c>
      <c r="S8140" t="s">
        <v>981</v>
      </c>
      <c r="T8140" t="s">
        <v>982</v>
      </c>
    </row>
    <row r="8141" spans="1:20" x14ac:dyDescent="0.25">
      <c r="A8141" t="s">
        <v>59</v>
      </c>
      <c r="B8141" t="s">
        <v>60</v>
      </c>
      <c r="C8141" t="s">
        <v>32</v>
      </c>
      <c r="D8141" t="s">
        <v>953</v>
      </c>
      <c r="F8141" t="s">
        <v>35</v>
      </c>
      <c r="G8141" t="s">
        <v>35</v>
      </c>
      <c r="H8141" t="s">
        <v>35</v>
      </c>
      <c r="J8141" t="s">
        <v>7901</v>
      </c>
      <c r="K8141" t="s">
        <v>1092</v>
      </c>
      <c r="M8141">
        <v>0.17499999999999999</v>
      </c>
      <c r="N8141">
        <v>236</v>
      </c>
      <c r="O8141" t="s">
        <v>5</v>
      </c>
      <c r="Q8141" t="s">
        <v>1151</v>
      </c>
      <c r="R8141" t="s">
        <v>6705</v>
      </c>
      <c r="S8141" t="s">
        <v>981</v>
      </c>
      <c r="T8141" t="s">
        <v>982</v>
      </c>
    </row>
    <row r="8142" spans="1:20" x14ac:dyDescent="0.25">
      <c r="A8142" t="s">
        <v>59</v>
      </c>
      <c r="B8142" t="s">
        <v>60</v>
      </c>
      <c r="C8142" t="s">
        <v>32</v>
      </c>
      <c r="D8142" t="s">
        <v>953</v>
      </c>
      <c r="E8142" t="s">
        <v>968</v>
      </c>
      <c r="F8142" t="s">
        <v>35</v>
      </c>
      <c r="G8142" t="s">
        <v>35</v>
      </c>
      <c r="H8142" t="s">
        <v>35</v>
      </c>
      <c r="J8142" t="s">
        <v>7004</v>
      </c>
      <c r="K8142" t="s">
        <v>1092</v>
      </c>
      <c r="M8142">
        <v>1.35</v>
      </c>
      <c r="N8142">
        <v>1008</v>
      </c>
      <c r="O8142" t="s">
        <v>575</v>
      </c>
      <c r="Q8142" t="s">
        <v>7005</v>
      </c>
      <c r="R8142" t="s">
        <v>6705</v>
      </c>
      <c r="S8142" t="s">
        <v>981</v>
      </c>
      <c r="T8142" t="s">
        <v>982</v>
      </c>
    </row>
    <row r="8143" spans="1:20" x14ac:dyDescent="0.25">
      <c r="A8143" t="s">
        <v>59</v>
      </c>
      <c r="B8143" t="s">
        <v>60</v>
      </c>
      <c r="C8143" t="s">
        <v>32</v>
      </c>
      <c r="D8143" t="s">
        <v>953</v>
      </c>
      <c r="E8143" t="s">
        <v>980</v>
      </c>
      <c r="F8143" t="s">
        <v>35</v>
      </c>
      <c r="G8143" t="s">
        <v>35</v>
      </c>
      <c r="H8143" t="s">
        <v>35</v>
      </c>
      <c r="J8143" t="s">
        <v>7085</v>
      </c>
      <c r="K8143" t="s">
        <v>1092</v>
      </c>
      <c r="M8143">
        <v>2.5</v>
      </c>
      <c r="N8143">
        <v>66</v>
      </c>
      <c r="O8143" t="s">
        <v>61</v>
      </c>
      <c r="Q8143" t="s">
        <v>552</v>
      </c>
      <c r="R8143" t="s">
        <v>6705</v>
      </c>
      <c r="S8143" t="s">
        <v>981</v>
      </c>
      <c r="T8143" t="s">
        <v>982</v>
      </c>
    </row>
    <row r="8144" spans="1:20" x14ac:dyDescent="0.25">
      <c r="A8144" t="s">
        <v>59</v>
      </c>
      <c r="B8144" t="s">
        <v>60</v>
      </c>
      <c r="C8144" t="s">
        <v>32</v>
      </c>
      <c r="D8144" t="s">
        <v>953</v>
      </c>
      <c r="E8144" t="s">
        <v>968</v>
      </c>
      <c r="F8144" t="s">
        <v>35</v>
      </c>
      <c r="G8144" t="s">
        <v>35</v>
      </c>
      <c r="H8144" t="s">
        <v>35</v>
      </c>
      <c r="J8144" t="s">
        <v>6982</v>
      </c>
      <c r="K8144" t="s">
        <v>1092</v>
      </c>
      <c r="M8144">
        <v>4.2</v>
      </c>
      <c r="N8144">
        <v>236</v>
      </c>
      <c r="O8144" t="s">
        <v>5</v>
      </c>
      <c r="Q8144" t="s">
        <v>1151</v>
      </c>
      <c r="R8144" t="s">
        <v>6705</v>
      </c>
      <c r="S8144" t="s">
        <v>981</v>
      </c>
      <c r="T8144" t="s">
        <v>982</v>
      </c>
    </row>
    <row r="8145" spans="1:20" x14ac:dyDescent="0.25">
      <c r="A8145" t="s">
        <v>59</v>
      </c>
      <c r="B8145" t="s">
        <v>31</v>
      </c>
      <c r="C8145" t="s">
        <v>32</v>
      </c>
      <c r="D8145" t="s">
        <v>953</v>
      </c>
      <c r="E8145" t="s">
        <v>968</v>
      </c>
      <c r="F8145" t="s">
        <v>35</v>
      </c>
      <c r="G8145" t="s">
        <v>35</v>
      </c>
      <c r="H8145" t="s">
        <v>35</v>
      </c>
      <c r="J8145" t="s">
        <v>6982</v>
      </c>
      <c r="K8145" t="s">
        <v>1092</v>
      </c>
      <c r="M8145">
        <v>4.9950000000000001</v>
      </c>
      <c r="N8145">
        <v>236</v>
      </c>
      <c r="O8145" t="s">
        <v>5</v>
      </c>
      <c r="Q8145" t="s">
        <v>1151</v>
      </c>
      <c r="R8145" t="s">
        <v>6705</v>
      </c>
      <c r="S8145" t="s">
        <v>981</v>
      </c>
      <c r="T8145" t="s">
        <v>982</v>
      </c>
    </row>
    <row r="8146" spans="1:20" x14ac:dyDescent="0.25">
      <c r="A8146" t="s">
        <v>59</v>
      </c>
      <c r="B8146" t="s">
        <v>60</v>
      </c>
      <c r="C8146" t="s">
        <v>32</v>
      </c>
      <c r="D8146" t="s">
        <v>953</v>
      </c>
      <c r="E8146" t="s">
        <v>980</v>
      </c>
      <c r="F8146" t="s">
        <v>35</v>
      </c>
      <c r="G8146" t="s">
        <v>35</v>
      </c>
      <c r="H8146" t="s">
        <v>35</v>
      </c>
      <c r="J8146" t="s">
        <v>7063</v>
      </c>
      <c r="K8146" t="s">
        <v>1092</v>
      </c>
      <c r="M8146">
        <v>5</v>
      </c>
      <c r="N8146">
        <v>55</v>
      </c>
      <c r="O8146" t="s">
        <v>52</v>
      </c>
      <c r="Q8146" t="s">
        <v>90</v>
      </c>
      <c r="R8146" t="s">
        <v>6705</v>
      </c>
      <c r="S8146" t="s">
        <v>981</v>
      </c>
      <c r="T8146" t="s">
        <v>982</v>
      </c>
    </row>
    <row r="8147" spans="1:20" x14ac:dyDescent="0.25">
      <c r="A8147" t="s">
        <v>59</v>
      </c>
      <c r="B8147" t="s">
        <v>31</v>
      </c>
      <c r="C8147" t="s">
        <v>32</v>
      </c>
      <c r="D8147" t="s">
        <v>953</v>
      </c>
      <c r="E8147" t="s">
        <v>1007</v>
      </c>
      <c r="F8147" t="s">
        <v>35</v>
      </c>
      <c r="G8147" t="s">
        <v>35</v>
      </c>
      <c r="H8147" t="s">
        <v>35</v>
      </c>
      <c r="J8147" t="s">
        <v>7331</v>
      </c>
      <c r="K8147" t="s">
        <v>1092</v>
      </c>
      <c r="M8147">
        <v>4.4999999999999998E-2</v>
      </c>
      <c r="N8147">
        <v>76</v>
      </c>
      <c r="O8147" t="s">
        <v>61</v>
      </c>
      <c r="Q8147" t="s">
        <v>455</v>
      </c>
      <c r="R8147" t="s">
        <v>6705</v>
      </c>
      <c r="S8147" t="s">
        <v>981</v>
      </c>
      <c r="T8147" t="s">
        <v>982</v>
      </c>
    </row>
    <row r="8148" spans="1:20" x14ac:dyDescent="0.25">
      <c r="A8148" t="s">
        <v>59</v>
      </c>
      <c r="B8148" t="s">
        <v>60</v>
      </c>
      <c r="C8148" t="s">
        <v>32</v>
      </c>
      <c r="D8148" t="s">
        <v>953</v>
      </c>
      <c r="E8148" t="s">
        <v>1007</v>
      </c>
      <c r="F8148" t="s">
        <v>35</v>
      </c>
      <c r="G8148" t="s">
        <v>35</v>
      </c>
      <c r="H8148" t="s">
        <v>35</v>
      </c>
      <c r="J8148" t="s">
        <v>7331</v>
      </c>
      <c r="K8148" t="s">
        <v>1092</v>
      </c>
      <c r="M8148">
        <v>2</v>
      </c>
      <c r="N8148">
        <v>76</v>
      </c>
      <c r="O8148" t="s">
        <v>61</v>
      </c>
      <c r="Q8148" t="s">
        <v>455</v>
      </c>
      <c r="R8148" t="s">
        <v>6705</v>
      </c>
      <c r="S8148" t="s">
        <v>981</v>
      </c>
      <c r="T8148" t="s">
        <v>982</v>
      </c>
    </row>
    <row r="8149" spans="1:20" x14ac:dyDescent="0.25">
      <c r="A8149" t="s">
        <v>59</v>
      </c>
      <c r="B8149" t="s">
        <v>31</v>
      </c>
      <c r="C8149" t="s">
        <v>32</v>
      </c>
      <c r="D8149" t="s">
        <v>953</v>
      </c>
      <c r="E8149" t="s">
        <v>7467</v>
      </c>
      <c r="F8149" t="s">
        <v>35</v>
      </c>
      <c r="G8149" t="s">
        <v>35</v>
      </c>
      <c r="H8149" t="s">
        <v>35</v>
      </c>
      <c r="J8149" t="s">
        <v>628</v>
      </c>
      <c r="K8149" t="s">
        <v>1092</v>
      </c>
      <c r="M8149">
        <v>0.63</v>
      </c>
      <c r="N8149">
        <v>1166</v>
      </c>
      <c r="O8149" t="s">
        <v>575</v>
      </c>
      <c r="Q8149" t="s">
        <v>7492</v>
      </c>
      <c r="R8149" t="s">
        <v>6705</v>
      </c>
      <c r="S8149" t="s">
        <v>981</v>
      </c>
      <c r="T8149" t="s">
        <v>982</v>
      </c>
    </row>
    <row r="8150" spans="1:20" x14ac:dyDescent="0.25">
      <c r="A8150" t="s">
        <v>59</v>
      </c>
      <c r="B8150" t="s">
        <v>31</v>
      </c>
      <c r="C8150" t="s">
        <v>32</v>
      </c>
      <c r="D8150" t="s">
        <v>953</v>
      </c>
      <c r="E8150" t="s">
        <v>1015</v>
      </c>
      <c r="F8150" t="s">
        <v>35</v>
      </c>
      <c r="G8150" t="s">
        <v>35</v>
      </c>
      <c r="H8150" t="s">
        <v>35</v>
      </c>
      <c r="J8150" t="s">
        <v>7367</v>
      </c>
      <c r="K8150" t="s">
        <v>1092</v>
      </c>
      <c r="M8150">
        <v>4.9950000000000001</v>
      </c>
      <c r="N8150">
        <v>51</v>
      </c>
      <c r="O8150" t="s">
        <v>52</v>
      </c>
      <c r="Q8150" t="s">
        <v>58</v>
      </c>
      <c r="R8150" t="s">
        <v>6705</v>
      </c>
      <c r="S8150" t="s">
        <v>981</v>
      </c>
      <c r="T8150" t="s">
        <v>982</v>
      </c>
    </row>
    <row r="8151" spans="1:20" x14ac:dyDescent="0.25">
      <c r="A8151" t="s">
        <v>59</v>
      </c>
      <c r="B8151" t="s">
        <v>31</v>
      </c>
      <c r="C8151" t="s">
        <v>32</v>
      </c>
      <c r="D8151" t="s">
        <v>953</v>
      </c>
      <c r="E8151" t="s">
        <v>1015</v>
      </c>
      <c r="F8151" t="s">
        <v>35</v>
      </c>
      <c r="G8151" t="s">
        <v>35</v>
      </c>
      <c r="H8151" t="s">
        <v>35</v>
      </c>
      <c r="J8151" t="s">
        <v>7402</v>
      </c>
      <c r="K8151" t="s">
        <v>1092</v>
      </c>
      <c r="M8151">
        <v>4.9950000000000001</v>
      </c>
      <c r="N8151">
        <v>83</v>
      </c>
      <c r="O8151" t="s">
        <v>61</v>
      </c>
      <c r="Q8151" t="s">
        <v>897</v>
      </c>
      <c r="R8151" t="s">
        <v>6705</v>
      </c>
      <c r="S8151" t="s">
        <v>981</v>
      </c>
      <c r="T8151" t="s">
        <v>982</v>
      </c>
    </row>
    <row r="8152" spans="1:20" x14ac:dyDescent="0.25">
      <c r="A8152" t="s">
        <v>59</v>
      </c>
      <c r="B8152" t="s">
        <v>60</v>
      </c>
      <c r="C8152" t="s">
        <v>32</v>
      </c>
      <c r="D8152" t="s">
        <v>953</v>
      </c>
      <c r="E8152" t="s">
        <v>1015</v>
      </c>
      <c r="F8152" t="s">
        <v>35</v>
      </c>
      <c r="G8152" t="s">
        <v>35</v>
      </c>
      <c r="H8152" t="s">
        <v>35</v>
      </c>
      <c r="J8152" t="s">
        <v>7402</v>
      </c>
      <c r="K8152" t="s">
        <v>1092</v>
      </c>
      <c r="M8152">
        <v>5</v>
      </c>
      <c r="N8152">
        <v>83</v>
      </c>
      <c r="O8152" t="s">
        <v>61</v>
      </c>
      <c r="Q8152" t="s">
        <v>897</v>
      </c>
      <c r="R8152" t="s">
        <v>6705</v>
      </c>
      <c r="S8152" t="s">
        <v>981</v>
      </c>
      <c r="T8152" t="s">
        <v>982</v>
      </c>
    </row>
    <row r="8153" spans="1:20" x14ac:dyDescent="0.25">
      <c r="A8153" t="s">
        <v>59</v>
      </c>
      <c r="B8153" t="s">
        <v>60</v>
      </c>
      <c r="C8153" t="s">
        <v>32</v>
      </c>
      <c r="D8153" t="s">
        <v>953</v>
      </c>
      <c r="E8153" t="s">
        <v>1015</v>
      </c>
      <c r="F8153" t="s">
        <v>35</v>
      </c>
      <c r="G8153" t="s">
        <v>35</v>
      </c>
      <c r="H8153" t="s">
        <v>35</v>
      </c>
      <c r="J8153" t="s">
        <v>7392</v>
      </c>
      <c r="K8153" t="s">
        <v>1092</v>
      </c>
      <c r="M8153">
        <v>0.75</v>
      </c>
      <c r="N8153">
        <v>76</v>
      </c>
      <c r="O8153" t="s">
        <v>61</v>
      </c>
      <c r="Q8153" t="s">
        <v>455</v>
      </c>
      <c r="R8153" t="s">
        <v>6705</v>
      </c>
      <c r="S8153" t="s">
        <v>981</v>
      </c>
      <c r="T8153" t="s">
        <v>982</v>
      </c>
    </row>
    <row r="8154" spans="1:20" x14ac:dyDescent="0.25">
      <c r="A8154" t="s">
        <v>59</v>
      </c>
      <c r="B8154" t="s">
        <v>31</v>
      </c>
      <c r="C8154" t="s">
        <v>32</v>
      </c>
      <c r="D8154" t="s">
        <v>953</v>
      </c>
      <c r="E8154" t="s">
        <v>1007</v>
      </c>
      <c r="F8154" t="s">
        <v>35</v>
      </c>
      <c r="G8154" t="s">
        <v>35</v>
      </c>
      <c r="H8154" t="s">
        <v>35</v>
      </c>
      <c r="J8154" t="s">
        <v>4697</v>
      </c>
      <c r="K8154" t="s">
        <v>1092</v>
      </c>
      <c r="M8154">
        <v>4.4999999999999998E-2</v>
      </c>
      <c r="N8154">
        <v>175</v>
      </c>
      <c r="O8154" t="s">
        <v>38</v>
      </c>
      <c r="Q8154" t="s">
        <v>1764</v>
      </c>
      <c r="R8154" t="s">
        <v>6705</v>
      </c>
      <c r="S8154" t="s">
        <v>981</v>
      </c>
      <c r="T8154" t="s">
        <v>982</v>
      </c>
    </row>
    <row r="8155" spans="1:20" x14ac:dyDescent="0.25">
      <c r="A8155" t="s">
        <v>59</v>
      </c>
      <c r="B8155" t="s">
        <v>60</v>
      </c>
      <c r="C8155" t="s">
        <v>32</v>
      </c>
      <c r="D8155" t="s">
        <v>953</v>
      </c>
      <c r="E8155" t="s">
        <v>7740</v>
      </c>
      <c r="F8155" t="s">
        <v>35</v>
      </c>
      <c r="G8155" t="s">
        <v>35</v>
      </c>
      <c r="H8155" t="s">
        <v>35</v>
      </c>
      <c r="J8155" t="s">
        <v>7744</v>
      </c>
      <c r="K8155" t="s">
        <v>1092</v>
      </c>
      <c r="M8155">
        <v>1.1499999999999999</v>
      </c>
      <c r="N8155">
        <v>44</v>
      </c>
      <c r="O8155" t="s">
        <v>52</v>
      </c>
      <c r="Q8155" t="s">
        <v>54</v>
      </c>
      <c r="R8155" t="s">
        <v>6705</v>
      </c>
      <c r="S8155" t="s">
        <v>981</v>
      </c>
      <c r="T8155" t="s">
        <v>982</v>
      </c>
    </row>
    <row r="8156" spans="1:20" x14ac:dyDescent="0.25">
      <c r="A8156" t="s">
        <v>59</v>
      </c>
      <c r="B8156" t="s">
        <v>31</v>
      </c>
      <c r="C8156" t="s">
        <v>32</v>
      </c>
      <c r="D8156" t="s">
        <v>953</v>
      </c>
      <c r="E8156" t="s">
        <v>7740</v>
      </c>
      <c r="F8156" t="s">
        <v>35</v>
      </c>
      <c r="G8156" t="s">
        <v>35</v>
      </c>
      <c r="H8156" t="s">
        <v>35</v>
      </c>
      <c r="J8156" t="s">
        <v>7744</v>
      </c>
      <c r="K8156" t="s">
        <v>1092</v>
      </c>
      <c r="M8156">
        <v>2.0699999999999998</v>
      </c>
      <c r="N8156">
        <v>44</v>
      </c>
      <c r="O8156" t="s">
        <v>52</v>
      </c>
      <c r="Q8156" t="s">
        <v>54</v>
      </c>
      <c r="R8156" t="s">
        <v>6705</v>
      </c>
      <c r="S8156" t="s">
        <v>981</v>
      </c>
      <c r="T8156" t="s">
        <v>982</v>
      </c>
    </row>
    <row r="8157" spans="1:20" x14ac:dyDescent="0.25">
      <c r="A8157" t="s">
        <v>59</v>
      </c>
      <c r="B8157" t="s">
        <v>60</v>
      </c>
      <c r="C8157" t="s">
        <v>32</v>
      </c>
      <c r="D8157" t="s">
        <v>953</v>
      </c>
      <c r="E8157" t="s">
        <v>968</v>
      </c>
      <c r="F8157" t="s">
        <v>35</v>
      </c>
      <c r="G8157" t="s">
        <v>35</v>
      </c>
      <c r="H8157" t="s">
        <v>35</v>
      </c>
      <c r="J8157" t="s">
        <v>7025</v>
      </c>
      <c r="K8157" t="s">
        <v>1092</v>
      </c>
      <c r="M8157">
        <v>10</v>
      </c>
      <c r="N8157">
        <v>83</v>
      </c>
      <c r="O8157" t="s">
        <v>61</v>
      </c>
      <c r="Q8157" t="s">
        <v>897</v>
      </c>
      <c r="R8157" t="s">
        <v>6705</v>
      </c>
      <c r="S8157" t="s">
        <v>981</v>
      </c>
      <c r="T8157" t="s">
        <v>982</v>
      </c>
    </row>
    <row r="8158" spans="1:20" x14ac:dyDescent="0.25">
      <c r="A8158" t="s">
        <v>59</v>
      </c>
      <c r="B8158" t="s">
        <v>60</v>
      </c>
      <c r="C8158" t="s">
        <v>32</v>
      </c>
      <c r="D8158" t="s">
        <v>953</v>
      </c>
      <c r="E8158" t="s">
        <v>968</v>
      </c>
      <c r="F8158" t="s">
        <v>35</v>
      </c>
      <c r="G8158" t="s">
        <v>35</v>
      </c>
      <c r="H8158" t="s">
        <v>35</v>
      </c>
      <c r="J8158" t="s">
        <v>7058</v>
      </c>
      <c r="K8158" t="s">
        <v>1092</v>
      </c>
      <c r="M8158">
        <v>5</v>
      </c>
      <c r="N8158">
        <v>44</v>
      </c>
      <c r="O8158" t="s">
        <v>52</v>
      </c>
      <c r="Q8158" t="s">
        <v>54</v>
      </c>
      <c r="R8158" t="s">
        <v>6705</v>
      </c>
      <c r="S8158" t="s">
        <v>981</v>
      </c>
      <c r="T8158" t="s">
        <v>982</v>
      </c>
    </row>
    <row r="8159" spans="1:20" x14ac:dyDescent="0.25">
      <c r="A8159" t="s">
        <v>59</v>
      </c>
      <c r="B8159" t="s">
        <v>31</v>
      </c>
      <c r="C8159" t="s">
        <v>32</v>
      </c>
      <c r="D8159" t="s">
        <v>953</v>
      </c>
      <c r="E8159" t="s">
        <v>968</v>
      </c>
      <c r="F8159" t="s">
        <v>35</v>
      </c>
      <c r="G8159" t="s">
        <v>35</v>
      </c>
      <c r="H8159" t="s">
        <v>35</v>
      </c>
      <c r="J8159" t="s">
        <v>7058</v>
      </c>
      <c r="K8159" t="s">
        <v>1092</v>
      </c>
      <c r="M8159">
        <v>0.94499999999999995</v>
      </c>
      <c r="N8159">
        <v>83</v>
      </c>
      <c r="O8159" t="s">
        <v>61</v>
      </c>
      <c r="Q8159" t="s">
        <v>897</v>
      </c>
      <c r="R8159" t="s">
        <v>6705</v>
      </c>
      <c r="S8159" t="s">
        <v>981</v>
      </c>
      <c r="T8159" t="s">
        <v>982</v>
      </c>
    </row>
    <row r="8160" spans="1:20" x14ac:dyDescent="0.25">
      <c r="A8160" t="s">
        <v>59</v>
      </c>
      <c r="B8160" t="s">
        <v>60</v>
      </c>
      <c r="C8160" t="s">
        <v>32</v>
      </c>
      <c r="D8160" t="s">
        <v>953</v>
      </c>
      <c r="E8160" t="s">
        <v>968</v>
      </c>
      <c r="F8160" t="s">
        <v>35</v>
      </c>
      <c r="G8160" t="s">
        <v>35</v>
      </c>
      <c r="H8160" t="s">
        <v>35</v>
      </c>
      <c r="J8160" t="s">
        <v>7058</v>
      </c>
      <c r="K8160" t="s">
        <v>1092</v>
      </c>
      <c r="M8160">
        <v>0.15</v>
      </c>
      <c r="N8160">
        <v>83</v>
      </c>
      <c r="O8160" t="s">
        <v>61</v>
      </c>
      <c r="Q8160" t="s">
        <v>897</v>
      </c>
      <c r="R8160" t="s">
        <v>6705</v>
      </c>
      <c r="S8160" t="s">
        <v>981</v>
      </c>
      <c r="T8160" t="s">
        <v>982</v>
      </c>
    </row>
    <row r="8161" spans="1:20" x14ac:dyDescent="0.25">
      <c r="A8161" t="s">
        <v>59</v>
      </c>
      <c r="B8161" t="s">
        <v>31</v>
      </c>
      <c r="C8161" t="s">
        <v>32</v>
      </c>
      <c r="D8161" t="s">
        <v>953</v>
      </c>
      <c r="E8161" t="s">
        <v>968</v>
      </c>
      <c r="F8161" t="s">
        <v>35</v>
      </c>
      <c r="G8161" t="s">
        <v>35</v>
      </c>
      <c r="H8161" t="s">
        <v>35</v>
      </c>
      <c r="J8161" t="s">
        <v>7058</v>
      </c>
      <c r="K8161" t="s">
        <v>1092</v>
      </c>
      <c r="M8161">
        <v>4.9950000000000001</v>
      </c>
      <c r="N8161">
        <v>44</v>
      </c>
      <c r="O8161" t="s">
        <v>52</v>
      </c>
      <c r="Q8161" t="s">
        <v>54</v>
      </c>
      <c r="R8161" t="s">
        <v>6705</v>
      </c>
      <c r="S8161" t="s">
        <v>981</v>
      </c>
      <c r="T8161" t="s">
        <v>982</v>
      </c>
    </row>
    <row r="8162" spans="1:20" x14ac:dyDescent="0.25">
      <c r="A8162" t="s">
        <v>59</v>
      </c>
      <c r="B8162" t="s">
        <v>60</v>
      </c>
      <c r="C8162" t="s">
        <v>32</v>
      </c>
      <c r="D8162" t="s">
        <v>953</v>
      </c>
      <c r="E8162" t="s">
        <v>7467</v>
      </c>
      <c r="F8162" t="s">
        <v>35</v>
      </c>
      <c r="G8162" t="s">
        <v>35</v>
      </c>
      <c r="H8162" t="s">
        <v>35</v>
      </c>
      <c r="J8162" t="s">
        <v>7483</v>
      </c>
      <c r="K8162" t="s">
        <v>1092</v>
      </c>
      <c r="M8162">
        <v>4.5</v>
      </c>
      <c r="N8162">
        <v>73</v>
      </c>
      <c r="O8162" t="s">
        <v>61</v>
      </c>
      <c r="Q8162" t="s">
        <v>477</v>
      </c>
      <c r="R8162" t="s">
        <v>6705</v>
      </c>
      <c r="S8162" t="s">
        <v>981</v>
      </c>
      <c r="T8162" t="s">
        <v>982</v>
      </c>
    </row>
    <row r="8163" spans="1:20" x14ac:dyDescent="0.25">
      <c r="A8163" t="s">
        <v>30</v>
      </c>
      <c r="B8163" t="s">
        <v>31</v>
      </c>
      <c r="C8163" t="s">
        <v>32</v>
      </c>
      <c r="D8163" t="s">
        <v>953</v>
      </c>
      <c r="E8163" t="s">
        <v>980</v>
      </c>
      <c r="F8163" t="s">
        <v>35</v>
      </c>
      <c r="G8163" t="s">
        <v>35</v>
      </c>
      <c r="H8163" t="s">
        <v>35</v>
      </c>
      <c r="J8163" t="s">
        <v>7072</v>
      </c>
      <c r="K8163" t="s">
        <v>1092</v>
      </c>
      <c r="M8163">
        <v>9.3149999999999995</v>
      </c>
      <c r="N8163">
        <v>14</v>
      </c>
      <c r="O8163" t="s">
        <v>46</v>
      </c>
      <c r="Q8163" t="s">
        <v>1874</v>
      </c>
      <c r="R8163" t="s">
        <v>6705</v>
      </c>
      <c r="S8163" t="s">
        <v>981</v>
      </c>
      <c r="T8163" t="s">
        <v>982</v>
      </c>
    </row>
    <row r="8164" spans="1:20" x14ac:dyDescent="0.25">
      <c r="A8164" t="s">
        <v>44</v>
      </c>
      <c r="B8164" t="s">
        <v>51</v>
      </c>
      <c r="C8164" t="s">
        <v>32</v>
      </c>
      <c r="D8164" t="s">
        <v>953</v>
      </c>
      <c r="E8164" t="s">
        <v>980</v>
      </c>
      <c r="F8164" t="s">
        <v>35</v>
      </c>
      <c r="G8164" t="s">
        <v>35</v>
      </c>
      <c r="H8164" t="s">
        <v>35</v>
      </c>
      <c r="J8164" t="s">
        <v>7067</v>
      </c>
      <c r="K8164" t="s">
        <v>1092</v>
      </c>
      <c r="M8164">
        <v>4.7</v>
      </c>
      <c r="N8164">
        <v>52</v>
      </c>
      <c r="O8164" t="s">
        <v>52</v>
      </c>
      <c r="Q8164" t="s">
        <v>84</v>
      </c>
      <c r="R8164" t="s">
        <v>6705</v>
      </c>
      <c r="S8164" t="s">
        <v>981</v>
      </c>
      <c r="T8164" t="s">
        <v>982</v>
      </c>
    </row>
    <row r="8165" spans="1:20" x14ac:dyDescent="0.25">
      <c r="A8165" t="s">
        <v>30</v>
      </c>
      <c r="B8165" t="s">
        <v>31</v>
      </c>
      <c r="C8165" t="s">
        <v>32</v>
      </c>
      <c r="D8165" t="s">
        <v>953</v>
      </c>
      <c r="E8165" t="s">
        <v>980</v>
      </c>
      <c r="F8165" t="s">
        <v>35</v>
      </c>
      <c r="G8165" t="s">
        <v>35</v>
      </c>
      <c r="H8165" t="s">
        <v>35</v>
      </c>
      <c r="J8165" t="s">
        <v>7067</v>
      </c>
      <c r="K8165" t="s">
        <v>1092</v>
      </c>
      <c r="M8165">
        <v>4.59</v>
      </c>
      <c r="N8165">
        <v>41</v>
      </c>
      <c r="O8165" t="s">
        <v>52</v>
      </c>
      <c r="Q8165" t="s">
        <v>496</v>
      </c>
      <c r="R8165" t="s">
        <v>6705</v>
      </c>
      <c r="S8165" t="s">
        <v>981</v>
      </c>
      <c r="T8165" t="s">
        <v>982</v>
      </c>
    </row>
    <row r="8166" spans="1:20" x14ac:dyDescent="0.25">
      <c r="A8166" t="s">
        <v>44</v>
      </c>
      <c r="B8166" t="s">
        <v>3</v>
      </c>
      <c r="C8166" t="s">
        <v>32</v>
      </c>
      <c r="D8166" t="s">
        <v>953</v>
      </c>
      <c r="E8166" t="s">
        <v>980</v>
      </c>
      <c r="F8166" t="s">
        <v>35</v>
      </c>
      <c r="G8166" t="s">
        <v>35</v>
      </c>
      <c r="H8166" t="s">
        <v>35</v>
      </c>
      <c r="J8166" t="s">
        <v>7067</v>
      </c>
      <c r="K8166" t="s">
        <v>1092</v>
      </c>
      <c r="M8166">
        <v>1.5</v>
      </c>
      <c r="N8166">
        <v>53</v>
      </c>
      <c r="O8166" t="s">
        <v>52</v>
      </c>
      <c r="Q8166" t="s">
        <v>1734</v>
      </c>
      <c r="R8166" t="s">
        <v>6705</v>
      </c>
      <c r="S8166" t="s">
        <v>981</v>
      </c>
      <c r="T8166" t="s">
        <v>982</v>
      </c>
    </row>
    <row r="8167" spans="1:20" x14ac:dyDescent="0.25">
      <c r="A8167" t="s">
        <v>59</v>
      </c>
      <c r="B8167" t="s">
        <v>60</v>
      </c>
      <c r="C8167" t="s">
        <v>32</v>
      </c>
      <c r="D8167" t="s">
        <v>953</v>
      </c>
      <c r="E8167" t="s">
        <v>980</v>
      </c>
      <c r="F8167" t="s">
        <v>35</v>
      </c>
      <c r="G8167" t="s">
        <v>35</v>
      </c>
      <c r="H8167" t="s">
        <v>35</v>
      </c>
      <c r="J8167" t="s">
        <v>7067</v>
      </c>
      <c r="K8167" t="s">
        <v>1092</v>
      </c>
      <c r="M8167">
        <v>0.6</v>
      </c>
      <c r="N8167">
        <v>66</v>
      </c>
      <c r="O8167" t="s">
        <v>61</v>
      </c>
      <c r="Q8167" t="s">
        <v>552</v>
      </c>
      <c r="R8167" t="s">
        <v>6705</v>
      </c>
      <c r="S8167" t="s">
        <v>981</v>
      </c>
      <c r="T8167" t="s">
        <v>982</v>
      </c>
    </row>
    <row r="8168" spans="1:20" x14ac:dyDescent="0.25">
      <c r="A8168" t="s">
        <v>30</v>
      </c>
      <c r="B8168" t="s">
        <v>31</v>
      </c>
      <c r="C8168" t="s">
        <v>32</v>
      </c>
      <c r="D8168" t="s">
        <v>953</v>
      </c>
      <c r="E8168" t="s">
        <v>1007</v>
      </c>
      <c r="F8168" t="s">
        <v>35</v>
      </c>
      <c r="G8168" t="s">
        <v>35</v>
      </c>
      <c r="H8168" t="s">
        <v>35</v>
      </c>
      <c r="J8168" t="s">
        <v>7328</v>
      </c>
      <c r="K8168" t="s">
        <v>1092</v>
      </c>
      <c r="M8168">
        <v>1.575</v>
      </c>
      <c r="N8168">
        <v>207</v>
      </c>
      <c r="O8168" t="s">
        <v>5</v>
      </c>
      <c r="Q8168" t="s">
        <v>537</v>
      </c>
      <c r="R8168" t="s">
        <v>6705</v>
      </c>
      <c r="S8168" t="s">
        <v>981</v>
      </c>
      <c r="T8168" t="s">
        <v>982</v>
      </c>
    </row>
    <row r="8169" spans="1:20" x14ac:dyDescent="0.25">
      <c r="A8169" t="s">
        <v>59</v>
      </c>
      <c r="B8169" t="s">
        <v>60</v>
      </c>
      <c r="C8169" t="s">
        <v>32</v>
      </c>
      <c r="D8169" t="s">
        <v>953</v>
      </c>
      <c r="E8169" t="s">
        <v>980</v>
      </c>
      <c r="F8169" t="s">
        <v>35</v>
      </c>
      <c r="G8169" t="s">
        <v>35</v>
      </c>
      <c r="H8169" t="s">
        <v>35</v>
      </c>
      <c r="J8169" t="s">
        <v>7095</v>
      </c>
      <c r="K8169" t="s">
        <v>1092</v>
      </c>
      <c r="M8169">
        <v>0.5</v>
      </c>
      <c r="N8169">
        <v>66</v>
      </c>
      <c r="O8169" t="s">
        <v>61</v>
      </c>
      <c r="Q8169" t="s">
        <v>552</v>
      </c>
      <c r="R8169" t="s">
        <v>6705</v>
      </c>
      <c r="S8169" t="s">
        <v>981</v>
      </c>
      <c r="T8169" t="s">
        <v>982</v>
      </c>
    </row>
    <row r="8170" spans="1:20" x14ac:dyDescent="0.25">
      <c r="A8170" t="s">
        <v>59</v>
      </c>
      <c r="B8170" t="s">
        <v>31</v>
      </c>
      <c r="C8170" t="s">
        <v>32</v>
      </c>
      <c r="D8170" t="s">
        <v>953</v>
      </c>
      <c r="E8170" t="s">
        <v>980</v>
      </c>
      <c r="F8170" t="s">
        <v>35</v>
      </c>
      <c r="G8170" t="s">
        <v>35</v>
      </c>
      <c r="H8170" t="s">
        <v>35</v>
      </c>
      <c r="J8170" t="s">
        <v>7095</v>
      </c>
      <c r="K8170" t="s">
        <v>1092</v>
      </c>
      <c r="M8170">
        <v>5.49</v>
      </c>
      <c r="N8170">
        <v>66</v>
      </c>
      <c r="O8170" t="s">
        <v>61</v>
      </c>
      <c r="Q8170" t="s">
        <v>552</v>
      </c>
      <c r="R8170" t="s">
        <v>6705</v>
      </c>
      <c r="S8170" t="s">
        <v>981</v>
      </c>
      <c r="T8170" t="s">
        <v>982</v>
      </c>
    </row>
    <row r="8171" spans="1:20" x14ac:dyDescent="0.25">
      <c r="A8171" t="s">
        <v>30</v>
      </c>
      <c r="B8171" t="s">
        <v>31</v>
      </c>
      <c r="C8171" t="s">
        <v>32</v>
      </c>
      <c r="D8171" t="s">
        <v>953</v>
      </c>
      <c r="E8171" t="s">
        <v>980</v>
      </c>
      <c r="F8171" t="s">
        <v>35</v>
      </c>
      <c r="G8171" t="s">
        <v>35</v>
      </c>
      <c r="H8171" t="s">
        <v>35</v>
      </c>
      <c r="J8171" t="s">
        <v>7136</v>
      </c>
      <c r="K8171" t="s">
        <v>1092</v>
      </c>
      <c r="M8171">
        <v>4.9950000000000001</v>
      </c>
      <c r="N8171">
        <v>14</v>
      </c>
      <c r="O8171" t="s">
        <v>46</v>
      </c>
      <c r="Q8171" t="s">
        <v>1874</v>
      </c>
      <c r="R8171" t="s">
        <v>6705</v>
      </c>
      <c r="S8171" t="s">
        <v>981</v>
      </c>
      <c r="T8171" t="s">
        <v>982</v>
      </c>
    </row>
    <row r="8172" spans="1:20" x14ac:dyDescent="0.25">
      <c r="A8172" t="s">
        <v>59</v>
      </c>
      <c r="B8172" t="s">
        <v>31</v>
      </c>
      <c r="C8172" t="s">
        <v>32</v>
      </c>
      <c r="D8172" t="s">
        <v>953</v>
      </c>
      <c r="E8172" t="s">
        <v>954</v>
      </c>
      <c r="F8172" t="s">
        <v>35</v>
      </c>
      <c r="G8172" t="s">
        <v>35</v>
      </c>
      <c r="H8172" t="s">
        <v>35</v>
      </c>
      <c r="J8172" t="s">
        <v>6767</v>
      </c>
      <c r="K8172" t="s">
        <v>1092</v>
      </c>
      <c r="M8172">
        <v>9.99</v>
      </c>
      <c r="N8172">
        <v>53</v>
      </c>
      <c r="O8172" t="s">
        <v>52</v>
      </c>
      <c r="Q8172" t="s">
        <v>1734</v>
      </c>
      <c r="R8172" t="s">
        <v>6705</v>
      </c>
      <c r="S8172" t="s">
        <v>981</v>
      </c>
      <c r="T8172" t="s">
        <v>982</v>
      </c>
    </row>
    <row r="8173" spans="1:20" x14ac:dyDescent="0.25">
      <c r="A8173" t="s">
        <v>59</v>
      </c>
      <c r="B8173" t="s">
        <v>31</v>
      </c>
      <c r="C8173" t="s">
        <v>32</v>
      </c>
      <c r="D8173" t="s">
        <v>953</v>
      </c>
      <c r="E8173" t="s">
        <v>954</v>
      </c>
      <c r="F8173" t="s">
        <v>35</v>
      </c>
      <c r="G8173" t="s">
        <v>35</v>
      </c>
      <c r="H8173" t="s">
        <v>35</v>
      </c>
      <c r="J8173" t="s">
        <v>6767</v>
      </c>
      <c r="K8173" t="s">
        <v>1092</v>
      </c>
      <c r="M8173">
        <v>6.8849999999999998</v>
      </c>
      <c r="N8173">
        <v>83</v>
      </c>
      <c r="O8173" t="s">
        <v>61</v>
      </c>
      <c r="Q8173" t="s">
        <v>897</v>
      </c>
      <c r="R8173" t="s">
        <v>6705</v>
      </c>
      <c r="S8173" t="s">
        <v>981</v>
      </c>
      <c r="T8173" t="s">
        <v>982</v>
      </c>
    </row>
    <row r="8174" spans="1:20" x14ac:dyDescent="0.25">
      <c r="A8174" t="s">
        <v>59</v>
      </c>
      <c r="B8174" t="s">
        <v>60</v>
      </c>
      <c r="C8174" t="s">
        <v>32</v>
      </c>
      <c r="D8174" t="s">
        <v>953</v>
      </c>
      <c r="E8174" t="s">
        <v>954</v>
      </c>
      <c r="F8174" t="s">
        <v>35</v>
      </c>
      <c r="G8174" t="s">
        <v>35</v>
      </c>
      <c r="H8174" t="s">
        <v>35</v>
      </c>
      <c r="J8174" t="s">
        <v>6767</v>
      </c>
      <c r="K8174" t="s">
        <v>1092</v>
      </c>
      <c r="M8174">
        <v>1.25</v>
      </c>
      <c r="N8174">
        <v>53</v>
      </c>
      <c r="O8174" t="s">
        <v>52</v>
      </c>
      <c r="Q8174" t="s">
        <v>1734</v>
      </c>
      <c r="R8174" t="s">
        <v>6705</v>
      </c>
      <c r="S8174" t="s">
        <v>981</v>
      </c>
      <c r="T8174" t="s">
        <v>982</v>
      </c>
    </row>
    <row r="8175" spans="1:20" x14ac:dyDescent="0.25">
      <c r="A8175" t="s">
        <v>59</v>
      </c>
      <c r="B8175" t="s">
        <v>31</v>
      </c>
      <c r="C8175" t="s">
        <v>32</v>
      </c>
      <c r="D8175" t="s">
        <v>953</v>
      </c>
      <c r="E8175" t="s">
        <v>7558</v>
      </c>
      <c r="F8175" t="s">
        <v>35</v>
      </c>
      <c r="G8175" t="s">
        <v>35</v>
      </c>
      <c r="H8175" t="s">
        <v>35</v>
      </c>
      <c r="J8175" t="s">
        <v>7605</v>
      </c>
      <c r="K8175" t="s">
        <v>1092</v>
      </c>
      <c r="M8175">
        <v>1.9350000000000001</v>
      </c>
      <c r="N8175">
        <v>193</v>
      </c>
      <c r="O8175" t="s">
        <v>5</v>
      </c>
      <c r="Q8175" t="s">
        <v>3691</v>
      </c>
      <c r="R8175" t="s">
        <v>6705</v>
      </c>
      <c r="S8175" t="s">
        <v>981</v>
      </c>
      <c r="T8175" t="s">
        <v>982</v>
      </c>
    </row>
    <row r="8176" spans="1:20" x14ac:dyDescent="0.25">
      <c r="A8176" t="s">
        <v>59</v>
      </c>
      <c r="B8176" t="s">
        <v>60</v>
      </c>
      <c r="C8176" t="s">
        <v>32</v>
      </c>
      <c r="D8176" t="s">
        <v>953</v>
      </c>
      <c r="E8176" t="s">
        <v>7558</v>
      </c>
      <c r="F8176" t="s">
        <v>35</v>
      </c>
      <c r="G8176" t="s">
        <v>35</v>
      </c>
      <c r="H8176" t="s">
        <v>35</v>
      </c>
      <c r="J8176" t="s">
        <v>7605</v>
      </c>
      <c r="K8176" t="s">
        <v>1092</v>
      </c>
      <c r="M8176">
        <v>0.55000000000000004</v>
      </c>
      <c r="N8176">
        <v>236</v>
      </c>
      <c r="O8176" t="s">
        <v>5</v>
      </c>
      <c r="Q8176" t="s">
        <v>1151</v>
      </c>
      <c r="R8176" t="s">
        <v>6705</v>
      </c>
      <c r="S8176" t="s">
        <v>981</v>
      </c>
      <c r="T8176" t="s">
        <v>982</v>
      </c>
    </row>
    <row r="8177" spans="1:20" x14ac:dyDescent="0.25">
      <c r="A8177" t="s">
        <v>30</v>
      </c>
      <c r="B8177" t="s">
        <v>31</v>
      </c>
      <c r="C8177" t="s">
        <v>32</v>
      </c>
      <c r="D8177" t="s">
        <v>953</v>
      </c>
      <c r="E8177" t="s">
        <v>980</v>
      </c>
      <c r="F8177" t="s">
        <v>35</v>
      </c>
      <c r="G8177" t="s">
        <v>35</v>
      </c>
      <c r="H8177" t="s">
        <v>35</v>
      </c>
      <c r="J8177" t="s">
        <v>7137</v>
      </c>
      <c r="K8177" t="s">
        <v>1092</v>
      </c>
      <c r="M8177">
        <v>4.6349999999999998</v>
      </c>
      <c r="N8177">
        <v>14</v>
      </c>
      <c r="O8177" t="s">
        <v>46</v>
      </c>
      <c r="Q8177" t="s">
        <v>1874</v>
      </c>
      <c r="R8177" t="s">
        <v>6705</v>
      </c>
      <c r="S8177" t="s">
        <v>981</v>
      </c>
      <c r="T8177" t="s">
        <v>982</v>
      </c>
    </row>
    <row r="8178" spans="1:20" x14ac:dyDescent="0.25">
      <c r="A8178" t="s">
        <v>30</v>
      </c>
      <c r="B8178" t="s">
        <v>31</v>
      </c>
      <c r="C8178" t="s">
        <v>32</v>
      </c>
      <c r="D8178" t="s">
        <v>953</v>
      </c>
      <c r="E8178" t="s">
        <v>980</v>
      </c>
      <c r="F8178" t="s">
        <v>35</v>
      </c>
      <c r="G8178" t="s">
        <v>35</v>
      </c>
      <c r="H8178" t="s">
        <v>35</v>
      </c>
      <c r="J8178" t="s">
        <v>7148</v>
      </c>
      <c r="K8178" t="s">
        <v>1092</v>
      </c>
      <c r="M8178">
        <v>5.49</v>
      </c>
      <c r="N8178">
        <v>41</v>
      </c>
      <c r="O8178" t="s">
        <v>52</v>
      </c>
      <c r="Q8178" t="s">
        <v>496</v>
      </c>
      <c r="R8178" t="s">
        <v>6705</v>
      </c>
      <c r="S8178" t="s">
        <v>981</v>
      </c>
      <c r="T8178" t="s">
        <v>982</v>
      </c>
    </row>
    <row r="8179" spans="1:20" x14ac:dyDescent="0.25">
      <c r="A8179" t="s">
        <v>30</v>
      </c>
      <c r="B8179" t="s">
        <v>31</v>
      </c>
      <c r="C8179" t="s">
        <v>32</v>
      </c>
      <c r="D8179" t="s">
        <v>953</v>
      </c>
      <c r="E8179" t="s">
        <v>980</v>
      </c>
      <c r="F8179" t="s">
        <v>35</v>
      </c>
      <c r="G8179" t="s">
        <v>35</v>
      </c>
      <c r="H8179" t="s">
        <v>35</v>
      </c>
      <c r="J8179" t="s">
        <v>7148</v>
      </c>
      <c r="K8179" t="s">
        <v>1092</v>
      </c>
      <c r="M8179">
        <v>4.9050000000000002</v>
      </c>
      <c r="N8179">
        <v>275</v>
      </c>
      <c r="O8179" t="s">
        <v>5</v>
      </c>
      <c r="Q8179" t="s">
        <v>1225</v>
      </c>
      <c r="R8179" t="s">
        <v>6705</v>
      </c>
      <c r="S8179" t="s">
        <v>981</v>
      </c>
      <c r="T8179" t="s">
        <v>982</v>
      </c>
    </row>
    <row r="8180" spans="1:20" x14ac:dyDescent="0.25">
      <c r="A8180" t="s">
        <v>59</v>
      </c>
      <c r="B8180" t="s">
        <v>60</v>
      </c>
      <c r="C8180" t="s">
        <v>32</v>
      </c>
      <c r="D8180" t="s">
        <v>953</v>
      </c>
      <c r="E8180" t="s">
        <v>954</v>
      </c>
      <c r="F8180" t="s">
        <v>35</v>
      </c>
      <c r="G8180" t="s">
        <v>35</v>
      </c>
      <c r="H8180" t="s">
        <v>35</v>
      </c>
      <c r="J8180" t="s">
        <v>6784</v>
      </c>
      <c r="K8180" t="s">
        <v>1092</v>
      </c>
      <c r="M8180">
        <v>0.17299999999999999</v>
      </c>
      <c r="N8180">
        <v>53</v>
      </c>
      <c r="O8180" t="s">
        <v>52</v>
      </c>
      <c r="Q8180" t="s">
        <v>1734</v>
      </c>
      <c r="R8180" t="s">
        <v>6705</v>
      </c>
      <c r="S8180" t="s">
        <v>981</v>
      </c>
      <c r="T8180" t="s">
        <v>982</v>
      </c>
    </row>
    <row r="8181" spans="1:20" x14ac:dyDescent="0.25">
      <c r="A8181" t="s">
        <v>59</v>
      </c>
      <c r="B8181" t="s">
        <v>60</v>
      </c>
      <c r="C8181" t="s">
        <v>32</v>
      </c>
      <c r="D8181" t="s">
        <v>953</v>
      </c>
      <c r="E8181" t="s">
        <v>7558</v>
      </c>
      <c r="F8181" t="s">
        <v>35</v>
      </c>
      <c r="G8181" t="s">
        <v>35</v>
      </c>
      <c r="H8181" t="s">
        <v>35</v>
      </c>
      <c r="J8181" t="s">
        <v>7582</v>
      </c>
      <c r="K8181" t="s">
        <v>1092</v>
      </c>
      <c r="M8181">
        <v>1.2</v>
      </c>
      <c r="N8181">
        <v>83</v>
      </c>
      <c r="O8181" t="s">
        <v>61</v>
      </c>
      <c r="Q8181" t="s">
        <v>897</v>
      </c>
      <c r="R8181" t="s">
        <v>6705</v>
      </c>
      <c r="S8181" t="s">
        <v>981</v>
      </c>
      <c r="T8181" t="s">
        <v>982</v>
      </c>
    </row>
    <row r="8182" spans="1:20" x14ac:dyDescent="0.25">
      <c r="A8182" t="s">
        <v>59</v>
      </c>
      <c r="B8182" t="s">
        <v>31</v>
      </c>
      <c r="C8182" t="s">
        <v>32</v>
      </c>
      <c r="D8182" t="s">
        <v>953</v>
      </c>
      <c r="E8182" t="s">
        <v>7558</v>
      </c>
      <c r="F8182" t="s">
        <v>35</v>
      </c>
      <c r="G8182" t="s">
        <v>35</v>
      </c>
      <c r="H8182" t="s">
        <v>35</v>
      </c>
      <c r="J8182" t="s">
        <v>2414</v>
      </c>
      <c r="K8182" t="s">
        <v>1092</v>
      </c>
      <c r="M8182">
        <v>0.94499999999999995</v>
      </c>
      <c r="N8182">
        <v>55</v>
      </c>
      <c r="O8182" t="s">
        <v>52</v>
      </c>
      <c r="Q8182" t="s">
        <v>90</v>
      </c>
      <c r="R8182" t="s">
        <v>6705</v>
      </c>
      <c r="S8182" t="s">
        <v>981</v>
      </c>
      <c r="T8182" t="s">
        <v>982</v>
      </c>
    </row>
    <row r="8183" spans="1:20" x14ac:dyDescent="0.25">
      <c r="A8183" t="s">
        <v>59</v>
      </c>
      <c r="B8183" t="s">
        <v>60</v>
      </c>
      <c r="C8183" t="s">
        <v>32</v>
      </c>
      <c r="D8183" t="s">
        <v>953</v>
      </c>
      <c r="E8183" t="s">
        <v>7558</v>
      </c>
      <c r="F8183" t="s">
        <v>35</v>
      </c>
      <c r="G8183" t="s">
        <v>35</v>
      </c>
      <c r="H8183" t="s">
        <v>35</v>
      </c>
      <c r="J8183" t="s">
        <v>2414</v>
      </c>
      <c r="K8183" t="s">
        <v>1092</v>
      </c>
      <c r="M8183">
        <v>0.9</v>
      </c>
      <c r="N8183">
        <v>55</v>
      </c>
      <c r="O8183" t="s">
        <v>52</v>
      </c>
      <c r="Q8183" t="s">
        <v>90</v>
      </c>
      <c r="R8183" t="s">
        <v>6705</v>
      </c>
      <c r="S8183" t="s">
        <v>981</v>
      </c>
      <c r="T8183" t="s">
        <v>982</v>
      </c>
    </row>
    <row r="8184" spans="1:20" x14ac:dyDescent="0.25">
      <c r="A8184" t="s">
        <v>59</v>
      </c>
      <c r="B8184" t="s">
        <v>31</v>
      </c>
      <c r="C8184" t="s">
        <v>32</v>
      </c>
      <c r="D8184" t="s">
        <v>953</v>
      </c>
      <c r="E8184" t="s">
        <v>7558</v>
      </c>
      <c r="F8184" t="s">
        <v>35</v>
      </c>
      <c r="G8184" t="s">
        <v>35</v>
      </c>
      <c r="H8184" t="s">
        <v>35</v>
      </c>
      <c r="J8184" t="s">
        <v>7572</v>
      </c>
      <c r="K8184" t="s">
        <v>1092</v>
      </c>
      <c r="M8184">
        <v>0.45</v>
      </c>
      <c r="N8184">
        <v>143</v>
      </c>
      <c r="O8184" t="s">
        <v>38</v>
      </c>
      <c r="Q8184" t="s">
        <v>1612</v>
      </c>
      <c r="R8184" t="s">
        <v>6705</v>
      </c>
      <c r="S8184" t="s">
        <v>981</v>
      </c>
      <c r="T8184" t="s">
        <v>982</v>
      </c>
    </row>
    <row r="8185" spans="1:20" x14ac:dyDescent="0.25">
      <c r="A8185" t="s">
        <v>59</v>
      </c>
      <c r="B8185" t="s">
        <v>60</v>
      </c>
      <c r="C8185" t="s">
        <v>32</v>
      </c>
      <c r="D8185" t="s">
        <v>953</v>
      </c>
      <c r="E8185" t="s">
        <v>7558</v>
      </c>
      <c r="F8185" t="s">
        <v>35</v>
      </c>
      <c r="G8185" t="s">
        <v>35</v>
      </c>
      <c r="H8185" t="s">
        <v>35</v>
      </c>
      <c r="J8185" t="s">
        <v>7572</v>
      </c>
      <c r="K8185" t="s">
        <v>1092</v>
      </c>
      <c r="M8185">
        <v>1.76</v>
      </c>
      <c r="N8185">
        <v>143</v>
      </c>
      <c r="O8185" t="s">
        <v>38</v>
      </c>
      <c r="Q8185" t="s">
        <v>1612</v>
      </c>
      <c r="R8185" t="s">
        <v>6705</v>
      </c>
      <c r="S8185" t="s">
        <v>981</v>
      </c>
      <c r="T8185" t="s">
        <v>982</v>
      </c>
    </row>
    <row r="8186" spans="1:20" x14ac:dyDescent="0.25">
      <c r="A8186" t="s">
        <v>59</v>
      </c>
      <c r="B8186" t="s">
        <v>60</v>
      </c>
      <c r="C8186" t="s">
        <v>32</v>
      </c>
      <c r="D8186" t="s">
        <v>953</v>
      </c>
      <c r="E8186" t="s">
        <v>980</v>
      </c>
      <c r="F8186" t="s">
        <v>35</v>
      </c>
      <c r="G8186" t="s">
        <v>35</v>
      </c>
      <c r="H8186" t="s">
        <v>35</v>
      </c>
      <c r="J8186" t="s">
        <v>7161</v>
      </c>
      <c r="K8186" t="s">
        <v>1092</v>
      </c>
      <c r="M8186">
        <v>0.1</v>
      </c>
      <c r="N8186">
        <v>244</v>
      </c>
      <c r="O8186" t="s">
        <v>5</v>
      </c>
      <c r="Q8186" t="s">
        <v>1688</v>
      </c>
      <c r="R8186" t="s">
        <v>6705</v>
      </c>
      <c r="S8186" t="s">
        <v>981</v>
      </c>
      <c r="T8186" t="s">
        <v>982</v>
      </c>
    </row>
    <row r="8187" spans="1:20" x14ac:dyDescent="0.25">
      <c r="A8187" t="s">
        <v>59</v>
      </c>
      <c r="B8187" t="s">
        <v>60</v>
      </c>
      <c r="C8187" t="s">
        <v>32</v>
      </c>
      <c r="D8187" t="s">
        <v>953</v>
      </c>
      <c r="E8187" t="s">
        <v>7467</v>
      </c>
      <c r="F8187" t="s">
        <v>35</v>
      </c>
      <c r="G8187" t="s">
        <v>35</v>
      </c>
      <c r="H8187" t="s">
        <v>35</v>
      </c>
      <c r="J8187" t="s">
        <v>7469</v>
      </c>
      <c r="K8187" t="s">
        <v>1092</v>
      </c>
      <c r="M8187">
        <v>10</v>
      </c>
      <c r="N8187">
        <v>44</v>
      </c>
      <c r="O8187" t="s">
        <v>52</v>
      </c>
      <c r="Q8187" t="s">
        <v>54</v>
      </c>
      <c r="R8187" t="s">
        <v>6705</v>
      </c>
      <c r="S8187" t="s">
        <v>981</v>
      </c>
      <c r="T8187" t="s">
        <v>982</v>
      </c>
    </row>
    <row r="8188" spans="1:20" x14ac:dyDescent="0.25">
      <c r="A8188" t="s">
        <v>59</v>
      </c>
      <c r="B8188" t="s">
        <v>31</v>
      </c>
      <c r="C8188" t="s">
        <v>32</v>
      </c>
      <c r="D8188" t="s">
        <v>953</v>
      </c>
      <c r="E8188" t="s">
        <v>1072</v>
      </c>
      <c r="F8188" t="s">
        <v>35</v>
      </c>
      <c r="G8188" t="s">
        <v>35</v>
      </c>
      <c r="H8188" t="s">
        <v>35</v>
      </c>
      <c r="J8188" t="s">
        <v>7522</v>
      </c>
      <c r="K8188" t="s">
        <v>1092</v>
      </c>
      <c r="M8188">
        <v>4.9950000000000001</v>
      </c>
      <c r="N8188">
        <v>44</v>
      </c>
      <c r="O8188" t="s">
        <v>52</v>
      </c>
      <c r="Q8188" t="s">
        <v>54</v>
      </c>
      <c r="R8188" t="s">
        <v>6705</v>
      </c>
      <c r="S8188" t="s">
        <v>981</v>
      </c>
      <c r="T8188" t="s">
        <v>982</v>
      </c>
    </row>
    <row r="8189" spans="1:20" x14ac:dyDescent="0.25">
      <c r="A8189" t="s">
        <v>59</v>
      </c>
      <c r="B8189" t="s">
        <v>31</v>
      </c>
      <c r="C8189" t="s">
        <v>32</v>
      </c>
      <c r="D8189" t="s">
        <v>953</v>
      </c>
      <c r="E8189" t="s">
        <v>980</v>
      </c>
      <c r="F8189" t="s">
        <v>35</v>
      </c>
      <c r="G8189" t="s">
        <v>35</v>
      </c>
      <c r="H8189" t="s">
        <v>35</v>
      </c>
      <c r="J8189" t="s">
        <v>7098</v>
      </c>
      <c r="K8189" t="s">
        <v>1092</v>
      </c>
      <c r="M8189">
        <v>1.35</v>
      </c>
      <c r="N8189">
        <v>93</v>
      </c>
      <c r="O8189" t="s">
        <v>106</v>
      </c>
      <c r="Q8189" t="s">
        <v>1112</v>
      </c>
      <c r="R8189" t="s">
        <v>6705</v>
      </c>
      <c r="S8189" t="s">
        <v>981</v>
      </c>
      <c r="T8189" t="s">
        <v>982</v>
      </c>
    </row>
    <row r="8190" spans="1:20" x14ac:dyDescent="0.25">
      <c r="A8190" t="s">
        <v>59</v>
      </c>
      <c r="B8190" t="s">
        <v>60</v>
      </c>
      <c r="C8190" t="s">
        <v>32</v>
      </c>
      <c r="D8190" t="s">
        <v>953</v>
      </c>
      <c r="E8190" t="s">
        <v>980</v>
      </c>
      <c r="F8190" t="s">
        <v>35</v>
      </c>
      <c r="G8190" t="s">
        <v>35</v>
      </c>
      <c r="H8190" t="s">
        <v>35</v>
      </c>
      <c r="J8190" t="s">
        <v>7098</v>
      </c>
      <c r="K8190" t="s">
        <v>1092</v>
      </c>
      <c r="M8190">
        <v>2</v>
      </c>
      <c r="N8190">
        <v>55</v>
      </c>
      <c r="O8190" t="s">
        <v>52</v>
      </c>
      <c r="Q8190" t="s">
        <v>90</v>
      </c>
      <c r="R8190" t="s">
        <v>6705</v>
      </c>
      <c r="S8190" t="s">
        <v>981</v>
      </c>
      <c r="T8190" t="s">
        <v>982</v>
      </c>
    </row>
    <row r="8191" spans="1:20" x14ac:dyDescent="0.25">
      <c r="A8191" t="s">
        <v>59</v>
      </c>
      <c r="B8191" t="s">
        <v>60</v>
      </c>
      <c r="C8191" t="s">
        <v>32</v>
      </c>
      <c r="D8191" t="s">
        <v>953</v>
      </c>
      <c r="E8191" t="s">
        <v>980</v>
      </c>
      <c r="F8191" t="s">
        <v>35</v>
      </c>
      <c r="G8191" t="s">
        <v>35</v>
      </c>
      <c r="H8191" t="s">
        <v>35</v>
      </c>
      <c r="J8191" t="s">
        <v>7098</v>
      </c>
      <c r="K8191" t="s">
        <v>1092</v>
      </c>
      <c r="M8191">
        <v>3.3</v>
      </c>
      <c r="N8191">
        <v>66</v>
      </c>
      <c r="O8191" t="s">
        <v>61</v>
      </c>
      <c r="Q8191" t="s">
        <v>552</v>
      </c>
      <c r="R8191" t="s">
        <v>6705</v>
      </c>
      <c r="S8191" t="s">
        <v>981</v>
      </c>
      <c r="T8191" t="s">
        <v>982</v>
      </c>
    </row>
    <row r="8192" spans="1:20" x14ac:dyDescent="0.25">
      <c r="A8192" t="s">
        <v>59</v>
      </c>
      <c r="B8192" t="s">
        <v>60</v>
      </c>
      <c r="C8192" t="s">
        <v>32</v>
      </c>
      <c r="D8192" t="s">
        <v>953</v>
      </c>
      <c r="E8192" t="s">
        <v>980</v>
      </c>
      <c r="F8192" t="s">
        <v>35</v>
      </c>
      <c r="G8192" t="s">
        <v>35</v>
      </c>
      <c r="H8192" t="s">
        <v>35</v>
      </c>
      <c r="J8192" t="s">
        <v>7099</v>
      </c>
      <c r="K8192" t="s">
        <v>1092</v>
      </c>
      <c r="M8192">
        <v>0.4</v>
      </c>
      <c r="N8192">
        <v>83</v>
      </c>
      <c r="O8192" t="s">
        <v>61</v>
      </c>
      <c r="Q8192" t="s">
        <v>897</v>
      </c>
      <c r="R8192" t="s">
        <v>6705</v>
      </c>
      <c r="S8192" t="s">
        <v>981</v>
      </c>
      <c r="T8192" t="s">
        <v>982</v>
      </c>
    </row>
    <row r="8193" spans="1:20" x14ac:dyDescent="0.25">
      <c r="A8193" t="s">
        <v>30</v>
      </c>
      <c r="B8193" t="s">
        <v>31</v>
      </c>
      <c r="C8193" t="s">
        <v>32</v>
      </c>
      <c r="D8193" t="s">
        <v>953</v>
      </c>
      <c r="E8193" t="s">
        <v>980</v>
      </c>
      <c r="F8193" t="s">
        <v>35</v>
      </c>
      <c r="G8193" t="s">
        <v>35</v>
      </c>
      <c r="H8193" t="s">
        <v>35</v>
      </c>
      <c r="J8193" t="s">
        <v>7099</v>
      </c>
      <c r="K8193" t="s">
        <v>1092</v>
      </c>
      <c r="M8193">
        <v>1.98</v>
      </c>
      <c r="N8193">
        <v>41</v>
      </c>
      <c r="O8193" t="s">
        <v>52</v>
      </c>
      <c r="Q8193" t="s">
        <v>496</v>
      </c>
      <c r="R8193" t="s">
        <v>6705</v>
      </c>
      <c r="S8193" t="s">
        <v>981</v>
      </c>
      <c r="T8193" t="s">
        <v>982</v>
      </c>
    </row>
    <row r="8194" spans="1:20" x14ac:dyDescent="0.25">
      <c r="A8194" t="s">
        <v>44</v>
      </c>
      <c r="B8194" t="s">
        <v>51</v>
      </c>
      <c r="C8194" t="s">
        <v>32</v>
      </c>
      <c r="D8194" t="s">
        <v>953</v>
      </c>
      <c r="E8194" t="s">
        <v>980</v>
      </c>
      <c r="F8194" t="s">
        <v>35</v>
      </c>
      <c r="G8194" t="s">
        <v>35</v>
      </c>
      <c r="H8194" t="s">
        <v>35</v>
      </c>
      <c r="J8194" t="s">
        <v>7099</v>
      </c>
      <c r="K8194" t="s">
        <v>1092</v>
      </c>
      <c r="M8194">
        <v>3.45</v>
      </c>
      <c r="N8194">
        <v>52</v>
      </c>
      <c r="O8194" t="s">
        <v>52</v>
      </c>
      <c r="Q8194" t="s">
        <v>84</v>
      </c>
      <c r="R8194" t="s">
        <v>6705</v>
      </c>
      <c r="S8194" t="s">
        <v>981</v>
      </c>
      <c r="T8194" t="s">
        <v>982</v>
      </c>
    </row>
    <row r="8195" spans="1:20" x14ac:dyDescent="0.25">
      <c r="A8195" t="s">
        <v>30</v>
      </c>
      <c r="B8195" t="s">
        <v>31</v>
      </c>
      <c r="C8195" t="s">
        <v>32</v>
      </c>
      <c r="D8195" t="s">
        <v>953</v>
      </c>
      <c r="E8195" t="s">
        <v>7558</v>
      </c>
      <c r="F8195" t="s">
        <v>35</v>
      </c>
      <c r="G8195" t="s">
        <v>35</v>
      </c>
      <c r="H8195" t="s">
        <v>35</v>
      </c>
      <c r="J8195" t="s">
        <v>7603</v>
      </c>
      <c r="K8195" t="s">
        <v>1092</v>
      </c>
      <c r="M8195">
        <v>4.68</v>
      </c>
      <c r="N8195">
        <v>1056</v>
      </c>
      <c r="O8195" t="s">
        <v>575</v>
      </c>
      <c r="Q8195" t="s">
        <v>7604</v>
      </c>
      <c r="R8195" t="s">
        <v>6705</v>
      </c>
      <c r="S8195" t="s">
        <v>981</v>
      </c>
      <c r="T8195" t="s">
        <v>982</v>
      </c>
    </row>
    <row r="8196" spans="1:20" x14ac:dyDescent="0.25">
      <c r="A8196" t="s">
        <v>44</v>
      </c>
      <c r="B8196" t="s">
        <v>3</v>
      </c>
      <c r="C8196" t="s">
        <v>32</v>
      </c>
      <c r="D8196" t="s">
        <v>953</v>
      </c>
      <c r="E8196" t="s">
        <v>980</v>
      </c>
      <c r="F8196" t="s">
        <v>35</v>
      </c>
      <c r="G8196" t="s">
        <v>35</v>
      </c>
      <c r="H8196" t="s">
        <v>35</v>
      </c>
      <c r="J8196" t="s">
        <v>7104</v>
      </c>
      <c r="K8196" t="s">
        <v>1092</v>
      </c>
      <c r="M8196">
        <v>2.2000000000000002</v>
      </c>
      <c r="N8196">
        <v>62</v>
      </c>
      <c r="O8196" t="s">
        <v>61</v>
      </c>
      <c r="Q8196" t="s">
        <v>139</v>
      </c>
      <c r="R8196" t="s">
        <v>6705</v>
      </c>
      <c r="S8196" t="s">
        <v>981</v>
      </c>
      <c r="T8196" t="s">
        <v>982</v>
      </c>
    </row>
    <row r="8197" spans="1:20" x14ac:dyDescent="0.25">
      <c r="A8197" t="s">
        <v>30</v>
      </c>
      <c r="B8197" t="s">
        <v>31</v>
      </c>
      <c r="C8197" t="s">
        <v>32</v>
      </c>
      <c r="D8197" t="s">
        <v>953</v>
      </c>
      <c r="E8197" t="s">
        <v>980</v>
      </c>
      <c r="F8197" t="s">
        <v>35</v>
      </c>
      <c r="G8197" t="s">
        <v>35</v>
      </c>
      <c r="H8197" t="s">
        <v>35</v>
      </c>
      <c r="J8197" t="s">
        <v>7104</v>
      </c>
      <c r="K8197" t="s">
        <v>1092</v>
      </c>
      <c r="M8197">
        <v>1.53</v>
      </c>
      <c r="N8197">
        <v>41</v>
      </c>
      <c r="O8197" t="s">
        <v>52</v>
      </c>
      <c r="Q8197" t="s">
        <v>496</v>
      </c>
      <c r="R8197" t="s">
        <v>6705</v>
      </c>
      <c r="S8197" t="s">
        <v>981</v>
      </c>
      <c r="T8197" t="s">
        <v>982</v>
      </c>
    </row>
    <row r="8198" spans="1:20" x14ac:dyDescent="0.25">
      <c r="A8198" t="s">
        <v>59</v>
      </c>
      <c r="B8198" t="s">
        <v>31</v>
      </c>
      <c r="C8198" t="s">
        <v>32</v>
      </c>
      <c r="D8198" t="s">
        <v>953</v>
      </c>
      <c r="E8198" t="s">
        <v>1072</v>
      </c>
      <c r="F8198" t="s">
        <v>35</v>
      </c>
      <c r="G8198" t="s">
        <v>35</v>
      </c>
      <c r="H8198" t="s">
        <v>35</v>
      </c>
      <c r="J8198" t="s">
        <v>7554</v>
      </c>
      <c r="K8198" t="s">
        <v>1092</v>
      </c>
      <c r="M8198">
        <v>0.9</v>
      </c>
      <c r="N8198">
        <v>426</v>
      </c>
      <c r="O8198" t="s">
        <v>294</v>
      </c>
      <c r="Q8198" t="s">
        <v>1935</v>
      </c>
      <c r="R8198" t="s">
        <v>6705</v>
      </c>
      <c r="S8198" t="s">
        <v>981</v>
      </c>
      <c r="T8198" t="s">
        <v>982</v>
      </c>
    </row>
    <row r="8199" spans="1:20" x14ac:dyDescent="0.25">
      <c r="A8199" t="s">
        <v>30</v>
      </c>
      <c r="B8199" t="s">
        <v>31</v>
      </c>
      <c r="C8199" t="s">
        <v>32</v>
      </c>
      <c r="D8199" t="s">
        <v>953</v>
      </c>
      <c r="E8199" t="s">
        <v>6878</v>
      </c>
      <c r="F8199" t="s">
        <v>35</v>
      </c>
      <c r="G8199" t="s">
        <v>35</v>
      </c>
      <c r="H8199" t="s">
        <v>35</v>
      </c>
      <c r="J8199" t="s">
        <v>6883</v>
      </c>
      <c r="K8199" t="s">
        <v>1092</v>
      </c>
      <c r="M8199">
        <v>9</v>
      </c>
      <c r="N8199">
        <v>14</v>
      </c>
      <c r="O8199" t="s">
        <v>46</v>
      </c>
      <c r="Q8199" t="s">
        <v>1874</v>
      </c>
      <c r="R8199" t="s">
        <v>6705</v>
      </c>
      <c r="S8199" t="s">
        <v>981</v>
      </c>
      <c r="T8199" t="s">
        <v>982</v>
      </c>
    </row>
    <row r="8200" spans="1:20" x14ac:dyDescent="0.25">
      <c r="A8200" t="s">
        <v>59</v>
      </c>
      <c r="B8200" t="s">
        <v>60</v>
      </c>
      <c r="C8200" t="s">
        <v>32</v>
      </c>
      <c r="D8200" t="s">
        <v>953</v>
      </c>
      <c r="E8200" t="s">
        <v>7558</v>
      </c>
      <c r="F8200" t="s">
        <v>35</v>
      </c>
      <c r="G8200" t="s">
        <v>35</v>
      </c>
      <c r="H8200" t="s">
        <v>35</v>
      </c>
      <c r="J8200" t="s">
        <v>7596</v>
      </c>
      <c r="K8200" t="s">
        <v>1092</v>
      </c>
      <c r="M8200">
        <v>2.5</v>
      </c>
      <c r="N8200">
        <v>55</v>
      </c>
      <c r="O8200" t="s">
        <v>52</v>
      </c>
      <c r="Q8200" t="s">
        <v>90</v>
      </c>
      <c r="R8200" t="s">
        <v>6705</v>
      </c>
      <c r="S8200" t="s">
        <v>981</v>
      </c>
      <c r="T8200" t="s">
        <v>982</v>
      </c>
    </row>
    <row r="8201" spans="1:20" x14ac:dyDescent="0.25">
      <c r="A8201" t="s">
        <v>30</v>
      </c>
      <c r="B8201" t="s">
        <v>31</v>
      </c>
      <c r="C8201" t="s">
        <v>32</v>
      </c>
      <c r="D8201" t="s">
        <v>953</v>
      </c>
      <c r="E8201" t="s">
        <v>1007</v>
      </c>
      <c r="F8201" t="s">
        <v>35</v>
      </c>
      <c r="G8201" t="s">
        <v>35</v>
      </c>
      <c r="H8201" t="s">
        <v>35</v>
      </c>
      <c r="J8201" t="s">
        <v>7318</v>
      </c>
      <c r="K8201" t="s">
        <v>1092</v>
      </c>
      <c r="M8201">
        <v>2.34</v>
      </c>
      <c r="N8201">
        <v>207</v>
      </c>
      <c r="O8201" t="s">
        <v>5</v>
      </c>
      <c r="Q8201" t="s">
        <v>537</v>
      </c>
      <c r="R8201" t="s">
        <v>6705</v>
      </c>
      <c r="S8201" t="s">
        <v>981</v>
      </c>
      <c r="T8201" t="s">
        <v>982</v>
      </c>
    </row>
    <row r="8202" spans="1:20" x14ac:dyDescent="0.25">
      <c r="A8202" t="s">
        <v>59</v>
      </c>
      <c r="B8202" t="s">
        <v>31</v>
      </c>
      <c r="C8202" t="s">
        <v>32</v>
      </c>
      <c r="D8202" t="s">
        <v>953</v>
      </c>
      <c r="E8202" t="s">
        <v>7467</v>
      </c>
      <c r="F8202" t="s">
        <v>35</v>
      </c>
      <c r="G8202" t="s">
        <v>35</v>
      </c>
      <c r="H8202" t="s">
        <v>35</v>
      </c>
      <c r="J8202" t="s">
        <v>7479</v>
      </c>
      <c r="K8202" t="s">
        <v>1092</v>
      </c>
      <c r="M8202">
        <v>4.9950000000000001</v>
      </c>
      <c r="N8202">
        <v>73</v>
      </c>
      <c r="O8202" t="s">
        <v>61</v>
      </c>
      <c r="Q8202" t="s">
        <v>477</v>
      </c>
      <c r="R8202" t="s">
        <v>6705</v>
      </c>
      <c r="S8202" t="s">
        <v>981</v>
      </c>
      <c r="T8202" t="s">
        <v>982</v>
      </c>
    </row>
    <row r="8203" spans="1:20" x14ac:dyDescent="0.25">
      <c r="A8203" t="s">
        <v>30</v>
      </c>
      <c r="B8203" t="s">
        <v>31</v>
      </c>
      <c r="C8203" t="s">
        <v>32</v>
      </c>
      <c r="D8203" t="s">
        <v>953</v>
      </c>
      <c r="E8203" t="s">
        <v>7467</v>
      </c>
      <c r="F8203" t="s">
        <v>35</v>
      </c>
      <c r="G8203" t="s">
        <v>35</v>
      </c>
      <c r="H8203" t="s">
        <v>35</v>
      </c>
      <c r="J8203" t="s">
        <v>7479</v>
      </c>
      <c r="K8203" t="s">
        <v>1092</v>
      </c>
      <c r="M8203">
        <v>2.2050000000000001</v>
      </c>
      <c r="N8203">
        <v>179</v>
      </c>
      <c r="O8203" t="s">
        <v>38</v>
      </c>
      <c r="Q8203" t="s">
        <v>1363</v>
      </c>
      <c r="R8203" t="s">
        <v>6705</v>
      </c>
      <c r="S8203" t="s">
        <v>981</v>
      </c>
      <c r="T8203" t="s">
        <v>982</v>
      </c>
    </row>
    <row r="8204" spans="1:20" x14ac:dyDescent="0.25">
      <c r="A8204" t="s">
        <v>59</v>
      </c>
      <c r="B8204" t="s">
        <v>31</v>
      </c>
      <c r="C8204" t="s">
        <v>32</v>
      </c>
      <c r="D8204" t="s">
        <v>953</v>
      </c>
      <c r="E8204" t="s">
        <v>7467</v>
      </c>
      <c r="F8204" t="s">
        <v>35</v>
      </c>
      <c r="G8204" t="s">
        <v>35</v>
      </c>
      <c r="H8204" t="s">
        <v>35</v>
      </c>
      <c r="J8204" t="s">
        <v>7479</v>
      </c>
      <c r="K8204" t="s">
        <v>1092</v>
      </c>
      <c r="M8204">
        <v>2.4750000000000001</v>
      </c>
      <c r="N8204">
        <v>117</v>
      </c>
      <c r="O8204" t="s">
        <v>106</v>
      </c>
      <c r="Q8204" t="s">
        <v>406</v>
      </c>
      <c r="R8204" t="s">
        <v>6705</v>
      </c>
      <c r="S8204" t="s">
        <v>981</v>
      </c>
      <c r="T8204" t="s">
        <v>982</v>
      </c>
    </row>
    <row r="8205" spans="1:20" x14ac:dyDescent="0.25">
      <c r="A8205" t="s">
        <v>59</v>
      </c>
      <c r="B8205" t="s">
        <v>31</v>
      </c>
      <c r="C8205" t="s">
        <v>32</v>
      </c>
      <c r="D8205" t="s">
        <v>953</v>
      </c>
      <c r="E8205" t="s">
        <v>7467</v>
      </c>
      <c r="F8205" t="s">
        <v>35</v>
      </c>
      <c r="G8205" t="s">
        <v>35</v>
      </c>
      <c r="H8205" t="s">
        <v>35</v>
      </c>
      <c r="J8205" t="s">
        <v>7479</v>
      </c>
      <c r="K8205" t="s">
        <v>1092</v>
      </c>
      <c r="M8205">
        <v>0.94499999999999995</v>
      </c>
      <c r="N8205">
        <v>171</v>
      </c>
      <c r="O8205" t="s">
        <v>38</v>
      </c>
      <c r="Q8205" t="s">
        <v>2827</v>
      </c>
      <c r="R8205" t="s">
        <v>6705</v>
      </c>
      <c r="S8205" t="s">
        <v>981</v>
      </c>
      <c r="T8205" t="s">
        <v>982</v>
      </c>
    </row>
    <row r="8206" spans="1:20" x14ac:dyDescent="0.25">
      <c r="A8206" t="s">
        <v>59</v>
      </c>
      <c r="B8206" t="s">
        <v>60</v>
      </c>
      <c r="C8206" t="s">
        <v>32</v>
      </c>
      <c r="D8206" t="s">
        <v>953</v>
      </c>
      <c r="E8206" t="s">
        <v>980</v>
      </c>
      <c r="F8206" t="s">
        <v>35</v>
      </c>
      <c r="G8206" t="s">
        <v>35</v>
      </c>
      <c r="H8206" t="s">
        <v>35</v>
      </c>
      <c r="J8206" t="s">
        <v>7146</v>
      </c>
      <c r="K8206" t="s">
        <v>1092</v>
      </c>
      <c r="M8206">
        <v>2.38</v>
      </c>
      <c r="N8206">
        <v>55</v>
      </c>
      <c r="O8206" t="s">
        <v>52</v>
      </c>
      <c r="Q8206" t="s">
        <v>90</v>
      </c>
      <c r="R8206" t="s">
        <v>6705</v>
      </c>
      <c r="S8206" t="s">
        <v>981</v>
      </c>
      <c r="T8206" t="s">
        <v>982</v>
      </c>
    </row>
    <row r="8207" spans="1:20" x14ac:dyDescent="0.25">
      <c r="A8207" t="s">
        <v>59</v>
      </c>
      <c r="B8207" t="s">
        <v>60</v>
      </c>
      <c r="C8207" t="s">
        <v>32</v>
      </c>
      <c r="D8207" t="s">
        <v>953</v>
      </c>
      <c r="E8207" t="s">
        <v>1015</v>
      </c>
      <c r="F8207" t="s">
        <v>35</v>
      </c>
      <c r="G8207" t="s">
        <v>35</v>
      </c>
      <c r="H8207" t="s">
        <v>35</v>
      </c>
      <c r="J8207" t="s">
        <v>7342</v>
      </c>
      <c r="K8207" t="s">
        <v>1092</v>
      </c>
      <c r="M8207">
        <v>0.45</v>
      </c>
      <c r="N8207">
        <v>236</v>
      </c>
      <c r="O8207" t="s">
        <v>5</v>
      </c>
      <c r="Q8207" t="s">
        <v>1151</v>
      </c>
      <c r="R8207" t="s">
        <v>6705</v>
      </c>
      <c r="S8207" t="s">
        <v>981</v>
      </c>
      <c r="T8207" t="s">
        <v>982</v>
      </c>
    </row>
    <row r="8208" spans="1:20" x14ac:dyDescent="0.25">
      <c r="A8208" t="s">
        <v>30</v>
      </c>
      <c r="B8208" t="s">
        <v>31</v>
      </c>
      <c r="C8208" t="s">
        <v>32</v>
      </c>
      <c r="D8208" t="s">
        <v>953</v>
      </c>
      <c r="E8208" t="s">
        <v>7164</v>
      </c>
      <c r="F8208" t="s">
        <v>35</v>
      </c>
      <c r="G8208" t="s">
        <v>35</v>
      </c>
      <c r="H8208" t="s">
        <v>35</v>
      </c>
      <c r="J8208" t="s">
        <v>7166</v>
      </c>
      <c r="K8208" t="s">
        <v>1092</v>
      </c>
      <c r="M8208">
        <v>2.31</v>
      </c>
      <c r="N8208">
        <v>1246</v>
      </c>
      <c r="O8208" t="s">
        <v>575</v>
      </c>
      <c r="Q8208" t="s">
        <v>5573</v>
      </c>
      <c r="R8208" t="s">
        <v>6705</v>
      </c>
      <c r="S8208" t="s">
        <v>981</v>
      </c>
      <c r="T8208" t="s">
        <v>982</v>
      </c>
    </row>
    <row r="8209" spans="1:20" x14ac:dyDescent="0.25">
      <c r="A8209" t="s">
        <v>59</v>
      </c>
      <c r="B8209" t="s">
        <v>31</v>
      </c>
      <c r="C8209" t="s">
        <v>32</v>
      </c>
      <c r="D8209" t="s">
        <v>953</v>
      </c>
      <c r="E8209" t="s">
        <v>954</v>
      </c>
      <c r="F8209" t="s">
        <v>35</v>
      </c>
      <c r="G8209" t="s">
        <v>35</v>
      </c>
      <c r="H8209" t="s">
        <v>35</v>
      </c>
      <c r="J8209" t="s">
        <v>6704</v>
      </c>
      <c r="K8209" t="s">
        <v>285</v>
      </c>
      <c r="M8209">
        <v>4.8949999999999996</v>
      </c>
      <c r="N8209">
        <v>236</v>
      </c>
      <c r="O8209" t="s">
        <v>5</v>
      </c>
      <c r="Q8209" t="s">
        <v>1151</v>
      </c>
      <c r="R8209" t="s">
        <v>6705</v>
      </c>
      <c r="S8209" t="s">
        <v>981</v>
      </c>
      <c r="T8209" t="s">
        <v>982</v>
      </c>
    </row>
    <row r="8210" spans="1:20" x14ac:dyDescent="0.25">
      <c r="A8210" t="s">
        <v>30</v>
      </c>
      <c r="B8210" t="s">
        <v>31</v>
      </c>
      <c r="C8210" t="s">
        <v>32</v>
      </c>
      <c r="D8210" t="s">
        <v>953</v>
      </c>
      <c r="E8210" t="s">
        <v>7558</v>
      </c>
      <c r="F8210" t="s">
        <v>35</v>
      </c>
      <c r="G8210" t="s">
        <v>35</v>
      </c>
      <c r="H8210" t="s">
        <v>35</v>
      </c>
      <c r="J8210" t="s">
        <v>7598</v>
      </c>
      <c r="K8210" t="s">
        <v>1092</v>
      </c>
      <c r="M8210">
        <v>9.99</v>
      </c>
      <c r="N8210">
        <v>14</v>
      </c>
      <c r="O8210" t="s">
        <v>46</v>
      </c>
      <c r="Q8210" t="s">
        <v>1874</v>
      </c>
      <c r="R8210" t="s">
        <v>6705</v>
      </c>
      <c r="S8210" t="s">
        <v>981</v>
      </c>
      <c r="T8210" t="s">
        <v>982</v>
      </c>
    </row>
    <row r="8211" spans="1:20" x14ac:dyDescent="0.25">
      <c r="A8211" t="s">
        <v>59</v>
      </c>
      <c r="B8211" t="s">
        <v>60</v>
      </c>
      <c r="C8211" t="s">
        <v>32</v>
      </c>
      <c r="D8211" t="s">
        <v>953</v>
      </c>
      <c r="E8211" t="s">
        <v>7558</v>
      </c>
      <c r="F8211" t="s">
        <v>35</v>
      </c>
      <c r="G8211" t="s">
        <v>35</v>
      </c>
      <c r="H8211" t="s">
        <v>35</v>
      </c>
      <c r="J8211" t="s">
        <v>7598</v>
      </c>
      <c r="K8211" t="s">
        <v>1092</v>
      </c>
      <c r="M8211">
        <v>0.5</v>
      </c>
      <c r="N8211">
        <v>55</v>
      </c>
      <c r="O8211" t="s">
        <v>52</v>
      </c>
      <c r="Q8211" t="s">
        <v>90</v>
      </c>
      <c r="R8211" t="s">
        <v>6705</v>
      </c>
      <c r="S8211" t="s">
        <v>981</v>
      </c>
      <c r="T8211" t="s">
        <v>982</v>
      </c>
    </row>
    <row r="8212" spans="1:20" x14ac:dyDescent="0.25">
      <c r="A8212" t="s">
        <v>59</v>
      </c>
      <c r="B8212" t="s">
        <v>31</v>
      </c>
      <c r="C8212" t="s">
        <v>32</v>
      </c>
      <c r="D8212" t="s">
        <v>953</v>
      </c>
      <c r="E8212" t="s">
        <v>980</v>
      </c>
      <c r="F8212" t="s">
        <v>35</v>
      </c>
      <c r="G8212" t="s">
        <v>35</v>
      </c>
      <c r="H8212" t="s">
        <v>35</v>
      </c>
      <c r="J8212" t="s">
        <v>7123</v>
      </c>
      <c r="K8212" t="s">
        <v>1092</v>
      </c>
      <c r="M8212">
        <v>5.49</v>
      </c>
      <c r="N8212">
        <v>66</v>
      </c>
      <c r="O8212" t="s">
        <v>61</v>
      </c>
      <c r="Q8212" t="s">
        <v>552</v>
      </c>
      <c r="R8212" t="s">
        <v>6705</v>
      </c>
      <c r="S8212" t="s">
        <v>981</v>
      </c>
      <c r="T8212" t="s">
        <v>982</v>
      </c>
    </row>
    <row r="8213" spans="1:20" x14ac:dyDescent="0.25">
      <c r="A8213" t="s">
        <v>44</v>
      </c>
      <c r="B8213" t="s">
        <v>51</v>
      </c>
      <c r="C8213" t="s">
        <v>32</v>
      </c>
      <c r="D8213" t="s">
        <v>953</v>
      </c>
      <c r="E8213" t="s">
        <v>980</v>
      </c>
      <c r="F8213" t="s">
        <v>35</v>
      </c>
      <c r="G8213" t="s">
        <v>35</v>
      </c>
      <c r="H8213" t="s">
        <v>35</v>
      </c>
      <c r="J8213" t="s">
        <v>7123</v>
      </c>
      <c r="K8213" t="s">
        <v>1092</v>
      </c>
      <c r="M8213">
        <v>5.5</v>
      </c>
      <c r="N8213">
        <v>52</v>
      </c>
      <c r="O8213" t="s">
        <v>52</v>
      </c>
      <c r="Q8213" t="s">
        <v>84</v>
      </c>
      <c r="R8213" t="s">
        <v>6705</v>
      </c>
      <c r="S8213" t="s">
        <v>981</v>
      </c>
      <c r="T8213" t="s">
        <v>982</v>
      </c>
    </row>
    <row r="8214" spans="1:20" x14ac:dyDescent="0.25">
      <c r="A8214" t="s">
        <v>44</v>
      </c>
      <c r="B8214" t="s">
        <v>3</v>
      </c>
      <c r="C8214" t="s">
        <v>32</v>
      </c>
      <c r="D8214" t="s">
        <v>953</v>
      </c>
      <c r="E8214" t="s">
        <v>980</v>
      </c>
      <c r="F8214" t="s">
        <v>35</v>
      </c>
      <c r="G8214" t="s">
        <v>35</v>
      </c>
      <c r="H8214" t="s">
        <v>35</v>
      </c>
      <c r="J8214" t="s">
        <v>7123</v>
      </c>
      <c r="K8214" t="s">
        <v>1092</v>
      </c>
      <c r="M8214">
        <v>5.5</v>
      </c>
      <c r="N8214">
        <v>62</v>
      </c>
      <c r="O8214" t="s">
        <v>61</v>
      </c>
      <c r="Q8214" t="s">
        <v>139</v>
      </c>
      <c r="R8214" t="s">
        <v>6705</v>
      </c>
      <c r="S8214" t="s">
        <v>981</v>
      </c>
      <c r="T8214" t="s">
        <v>982</v>
      </c>
    </row>
    <row r="8215" spans="1:20" x14ac:dyDescent="0.25">
      <c r="A8215" t="s">
        <v>59</v>
      </c>
      <c r="B8215" t="s">
        <v>60</v>
      </c>
      <c r="C8215" t="s">
        <v>32</v>
      </c>
      <c r="D8215" t="s">
        <v>953</v>
      </c>
      <c r="E8215" t="s">
        <v>980</v>
      </c>
      <c r="F8215" t="s">
        <v>35</v>
      </c>
      <c r="G8215" t="s">
        <v>35</v>
      </c>
      <c r="H8215" t="s">
        <v>35</v>
      </c>
      <c r="J8215" t="s">
        <v>7123</v>
      </c>
      <c r="K8215" t="s">
        <v>1092</v>
      </c>
      <c r="M8215">
        <v>4.6500000000000004</v>
      </c>
      <c r="N8215">
        <v>93</v>
      </c>
      <c r="O8215" t="s">
        <v>106</v>
      </c>
      <c r="Q8215" t="s">
        <v>1112</v>
      </c>
      <c r="R8215" t="s">
        <v>6705</v>
      </c>
      <c r="S8215" t="s">
        <v>981</v>
      </c>
      <c r="T8215" t="s">
        <v>982</v>
      </c>
    </row>
    <row r="8216" spans="1:20" x14ac:dyDescent="0.25">
      <c r="A8216" t="s">
        <v>59</v>
      </c>
      <c r="B8216" t="s">
        <v>31</v>
      </c>
      <c r="C8216" t="s">
        <v>32</v>
      </c>
      <c r="D8216" t="s">
        <v>953</v>
      </c>
      <c r="E8216" t="s">
        <v>980</v>
      </c>
      <c r="F8216" t="s">
        <v>35</v>
      </c>
      <c r="G8216" t="s">
        <v>35</v>
      </c>
      <c r="H8216" t="s">
        <v>35</v>
      </c>
      <c r="J8216" t="s">
        <v>7123</v>
      </c>
      <c r="K8216" t="s">
        <v>1092</v>
      </c>
      <c r="M8216">
        <v>4.41</v>
      </c>
      <c r="N8216">
        <v>93</v>
      </c>
      <c r="O8216" t="s">
        <v>106</v>
      </c>
      <c r="Q8216" t="s">
        <v>1112</v>
      </c>
      <c r="R8216" t="s">
        <v>6705</v>
      </c>
      <c r="S8216" t="s">
        <v>981</v>
      </c>
      <c r="T8216" t="s">
        <v>982</v>
      </c>
    </row>
    <row r="8217" spans="1:20" x14ac:dyDescent="0.25">
      <c r="A8217" t="s">
        <v>59</v>
      </c>
      <c r="B8217" t="s">
        <v>60</v>
      </c>
      <c r="C8217" t="s">
        <v>32</v>
      </c>
      <c r="D8217" t="s">
        <v>953</v>
      </c>
      <c r="E8217" t="s">
        <v>980</v>
      </c>
      <c r="F8217" t="s">
        <v>35</v>
      </c>
      <c r="G8217" t="s">
        <v>35</v>
      </c>
      <c r="H8217" t="s">
        <v>35</v>
      </c>
      <c r="J8217" t="s">
        <v>7123</v>
      </c>
      <c r="K8217" t="s">
        <v>1092</v>
      </c>
      <c r="M8217">
        <v>5.5</v>
      </c>
      <c r="N8217">
        <v>66</v>
      </c>
      <c r="O8217" t="s">
        <v>61</v>
      </c>
      <c r="Q8217" t="s">
        <v>552</v>
      </c>
      <c r="R8217" t="s">
        <v>6705</v>
      </c>
      <c r="S8217" t="s">
        <v>981</v>
      </c>
      <c r="T8217" t="s">
        <v>982</v>
      </c>
    </row>
    <row r="8218" spans="1:20" x14ac:dyDescent="0.25">
      <c r="A8218" t="s">
        <v>30</v>
      </c>
      <c r="B8218" t="s">
        <v>31</v>
      </c>
      <c r="C8218" t="s">
        <v>32</v>
      </c>
      <c r="D8218" t="s">
        <v>953</v>
      </c>
      <c r="E8218" t="s">
        <v>980</v>
      </c>
      <c r="F8218" t="s">
        <v>35</v>
      </c>
      <c r="G8218" t="s">
        <v>35</v>
      </c>
      <c r="H8218" t="s">
        <v>35</v>
      </c>
      <c r="J8218" t="s">
        <v>7123</v>
      </c>
      <c r="K8218" t="s">
        <v>1092</v>
      </c>
      <c r="M8218">
        <v>10.62</v>
      </c>
      <c r="N8218">
        <v>41</v>
      </c>
      <c r="O8218" t="s">
        <v>52</v>
      </c>
      <c r="Q8218" t="s">
        <v>496</v>
      </c>
      <c r="R8218" t="s">
        <v>6705</v>
      </c>
      <c r="S8218" t="s">
        <v>981</v>
      </c>
      <c r="T8218" t="s">
        <v>982</v>
      </c>
    </row>
    <row r="8219" spans="1:20" x14ac:dyDescent="0.25">
      <c r="A8219" t="s">
        <v>44</v>
      </c>
      <c r="B8219" t="s">
        <v>51</v>
      </c>
      <c r="C8219" t="s">
        <v>32</v>
      </c>
      <c r="D8219" t="s">
        <v>953</v>
      </c>
      <c r="E8219" t="s">
        <v>980</v>
      </c>
      <c r="F8219" t="s">
        <v>35</v>
      </c>
      <c r="G8219" t="s">
        <v>35</v>
      </c>
      <c r="H8219" t="s">
        <v>35</v>
      </c>
      <c r="J8219" t="s">
        <v>7114</v>
      </c>
      <c r="K8219" t="s">
        <v>1092</v>
      </c>
      <c r="M8219">
        <v>5</v>
      </c>
      <c r="N8219">
        <v>52</v>
      </c>
      <c r="O8219" t="s">
        <v>52</v>
      </c>
      <c r="Q8219" t="s">
        <v>84</v>
      </c>
      <c r="R8219" t="s">
        <v>6705</v>
      </c>
      <c r="S8219" t="s">
        <v>981</v>
      </c>
      <c r="T8219" t="s">
        <v>982</v>
      </c>
    </row>
    <row r="8220" spans="1:20" x14ac:dyDescent="0.25">
      <c r="A8220" t="s">
        <v>44</v>
      </c>
      <c r="B8220" t="s">
        <v>3</v>
      </c>
      <c r="C8220" t="s">
        <v>32</v>
      </c>
      <c r="D8220" t="s">
        <v>953</v>
      </c>
      <c r="E8220" t="s">
        <v>980</v>
      </c>
      <c r="F8220" t="s">
        <v>35</v>
      </c>
      <c r="G8220" t="s">
        <v>35</v>
      </c>
      <c r="H8220" t="s">
        <v>35</v>
      </c>
      <c r="J8220" t="s">
        <v>7114</v>
      </c>
      <c r="K8220" t="s">
        <v>1092</v>
      </c>
      <c r="M8220">
        <v>4.75</v>
      </c>
      <c r="N8220">
        <v>53</v>
      </c>
      <c r="O8220" t="s">
        <v>52</v>
      </c>
      <c r="Q8220" t="s">
        <v>1734</v>
      </c>
      <c r="R8220" t="s">
        <v>6705</v>
      </c>
      <c r="S8220" t="s">
        <v>981</v>
      </c>
      <c r="T8220" t="s">
        <v>982</v>
      </c>
    </row>
    <row r="8221" spans="1:20" x14ac:dyDescent="0.25">
      <c r="A8221" t="s">
        <v>30</v>
      </c>
      <c r="B8221" t="s">
        <v>31</v>
      </c>
      <c r="C8221" t="s">
        <v>32</v>
      </c>
      <c r="D8221" t="s">
        <v>953</v>
      </c>
      <c r="E8221" t="s">
        <v>980</v>
      </c>
      <c r="F8221" t="s">
        <v>35</v>
      </c>
      <c r="G8221" t="s">
        <v>35</v>
      </c>
      <c r="H8221" t="s">
        <v>35</v>
      </c>
      <c r="J8221" t="s">
        <v>7114</v>
      </c>
      <c r="K8221" t="s">
        <v>1092</v>
      </c>
      <c r="M8221">
        <v>4.9050000000000002</v>
      </c>
      <c r="N8221">
        <v>41</v>
      </c>
      <c r="O8221" t="s">
        <v>52</v>
      </c>
      <c r="Q8221" t="s">
        <v>496</v>
      </c>
      <c r="R8221" t="s">
        <v>6705</v>
      </c>
      <c r="S8221" t="s">
        <v>981</v>
      </c>
      <c r="T8221" t="s">
        <v>982</v>
      </c>
    </row>
    <row r="8222" spans="1:20" x14ac:dyDescent="0.25">
      <c r="A8222" t="s">
        <v>59</v>
      </c>
      <c r="B8222" t="s">
        <v>60</v>
      </c>
      <c r="C8222" t="s">
        <v>32</v>
      </c>
      <c r="D8222" t="s">
        <v>953</v>
      </c>
      <c r="E8222" t="s">
        <v>980</v>
      </c>
      <c r="F8222" t="s">
        <v>35</v>
      </c>
      <c r="G8222" t="s">
        <v>35</v>
      </c>
      <c r="H8222" t="s">
        <v>35</v>
      </c>
      <c r="J8222" t="s">
        <v>7112</v>
      </c>
      <c r="K8222" t="s">
        <v>1092</v>
      </c>
      <c r="M8222">
        <v>1.8</v>
      </c>
      <c r="N8222">
        <v>55</v>
      </c>
      <c r="O8222" t="s">
        <v>52</v>
      </c>
      <c r="Q8222" t="s">
        <v>90</v>
      </c>
      <c r="R8222" t="s">
        <v>6705</v>
      </c>
      <c r="S8222" t="s">
        <v>981</v>
      </c>
      <c r="T8222" t="s">
        <v>982</v>
      </c>
    </row>
    <row r="8223" spans="1:20" x14ac:dyDescent="0.25">
      <c r="A8223" t="s">
        <v>59</v>
      </c>
      <c r="B8223" t="s">
        <v>31</v>
      </c>
      <c r="C8223" t="s">
        <v>32</v>
      </c>
      <c r="D8223" t="s">
        <v>953</v>
      </c>
      <c r="E8223" t="s">
        <v>980</v>
      </c>
      <c r="F8223" t="s">
        <v>35</v>
      </c>
      <c r="G8223" t="s">
        <v>35</v>
      </c>
      <c r="H8223" t="s">
        <v>35</v>
      </c>
      <c r="J8223" t="s">
        <v>7112</v>
      </c>
      <c r="K8223" t="s">
        <v>1092</v>
      </c>
      <c r="M8223">
        <v>3.0150000000000001</v>
      </c>
      <c r="N8223">
        <v>55</v>
      </c>
      <c r="O8223" t="s">
        <v>52</v>
      </c>
      <c r="Q8223" t="s">
        <v>90</v>
      </c>
      <c r="R8223" t="s">
        <v>6705</v>
      </c>
      <c r="S8223" t="s">
        <v>981</v>
      </c>
      <c r="T8223" t="s">
        <v>982</v>
      </c>
    </row>
    <row r="8224" spans="1:20" x14ac:dyDescent="0.25">
      <c r="A8224" t="s">
        <v>59</v>
      </c>
      <c r="B8224" t="s">
        <v>31</v>
      </c>
      <c r="C8224" t="s">
        <v>32</v>
      </c>
      <c r="D8224" t="s">
        <v>953</v>
      </c>
      <c r="E8224" t="s">
        <v>980</v>
      </c>
      <c r="F8224" t="s">
        <v>35</v>
      </c>
      <c r="G8224" t="s">
        <v>35</v>
      </c>
      <c r="H8224" t="s">
        <v>35</v>
      </c>
      <c r="J8224" t="s">
        <v>7112</v>
      </c>
      <c r="K8224" t="s">
        <v>1092</v>
      </c>
      <c r="M8224">
        <v>1.62</v>
      </c>
      <c r="N8224">
        <v>66</v>
      </c>
      <c r="O8224" t="s">
        <v>61</v>
      </c>
      <c r="Q8224" t="s">
        <v>552</v>
      </c>
      <c r="R8224" t="s">
        <v>6705</v>
      </c>
      <c r="S8224" t="s">
        <v>981</v>
      </c>
      <c r="T8224" t="s">
        <v>982</v>
      </c>
    </row>
    <row r="8225" spans="1:20" x14ac:dyDescent="0.25">
      <c r="A8225" t="s">
        <v>59</v>
      </c>
      <c r="B8225" t="s">
        <v>60</v>
      </c>
      <c r="C8225" t="s">
        <v>32</v>
      </c>
      <c r="D8225" t="s">
        <v>953</v>
      </c>
      <c r="E8225" t="s">
        <v>1077</v>
      </c>
      <c r="F8225" t="s">
        <v>35</v>
      </c>
      <c r="G8225" t="s">
        <v>35</v>
      </c>
      <c r="H8225" t="s">
        <v>35</v>
      </c>
      <c r="J8225" t="s">
        <v>7637</v>
      </c>
      <c r="K8225" t="s">
        <v>1092</v>
      </c>
      <c r="M8225">
        <v>2.7</v>
      </c>
      <c r="N8225">
        <v>83</v>
      </c>
      <c r="O8225" t="s">
        <v>61</v>
      </c>
      <c r="Q8225" t="s">
        <v>897</v>
      </c>
      <c r="R8225" t="s">
        <v>6705</v>
      </c>
      <c r="S8225" t="s">
        <v>981</v>
      </c>
      <c r="T8225" t="s">
        <v>982</v>
      </c>
    </row>
    <row r="8226" spans="1:20" x14ac:dyDescent="0.25">
      <c r="A8226" t="s">
        <v>30</v>
      </c>
      <c r="B8226" t="s">
        <v>31</v>
      </c>
      <c r="C8226" t="s">
        <v>32</v>
      </c>
      <c r="D8226" t="s">
        <v>953</v>
      </c>
      <c r="E8226" t="s">
        <v>980</v>
      </c>
      <c r="F8226" t="s">
        <v>35</v>
      </c>
      <c r="G8226" t="s">
        <v>35</v>
      </c>
      <c r="H8226" t="s">
        <v>35</v>
      </c>
      <c r="J8226" t="s">
        <v>7111</v>
      </c>
      <c r="K8226" t="s">
        <v>1092</v>
      </c>
      <c r="M8226">
        <v>10.98</v>
      </c>
      <c r="N8226">
        <v>41</v>
      </c>
      <c r="O8226" t="s">
        <v>52</v>
      </c>
      <c r="Q8226" t="s">
        <v>496</v>
      </c>
      <c r="R8226" t="s">
        <v>6705</v>
      </c>
      <c r="S8226" t="s">
        <v>981</v>
      </c>
      <c r="T8226" t="s">
        <v>982</v>
      </c>
    </row>
    <row r="8227" spans="1:20" x14ac:dyDescent="0.25">
      <c r="A8227" t="s">
        <v>44</v>
      </c>
      <c r="B8227" t="s">
        <v>51</v>
      </c>
      <c r="C8227" t="s">
        <v>32</v>
      </c>
      <c r="D8227" t="s">
        <v>953</v>
      </c>
      <c r="E8227" t="s">
        <v>980</v>
      </c>
      <c r="F8227" t="s">
        <v>35</v>
      </c>
      <c r="G8227" t="s">
        <v>35</v>
      </c>
      <c r="H8227" t="s">
        <v>35</v>
      </c>
      <c r="J8227" t="s">
        <v>7111</v>
      </c>
      <c r="K8227" t="s">
        <v>1092</v>
      </c>
      <c r="M8227">
        <v>11</v>
      </c>
      <c r="N8227">
        <v>52</v>
      </c>
      <c r="O8227" t="s">
        <v>52</v>
      </c>
      <c r="Q8227" t="s">
        <v>84</v>
      </c>
      <c r="R8227" t="s">
        <v>6705</v>
      </c>
      <c r="S8227" t="s">
        <v>981</v>
      </c>
      <c r="T8227" t="s">
        <v>982</v>
      </c>
    </row>
    <row r="8228" spans="1:20" x14ac:dyDescent="0.25">
      <c r="A8228" t="s">
        <v>30</v>
      </c>
      <c r="B8228" t="s">
        <v>31</v>
      </c>
      <c r="C8228" t="s">
        <v>32</v>
      </c>
      <c r="D8228" t="s">
        <v>953</v>
      </c>
      <c r="E8228" t="s">
        <v>980</v>
      </c>
      <c r="F8228" t="s">
        <v>35</v>
      </c>
      <c r="G8228" t="s">
        <v>35</v>
      </c>
      <c r="H8228" t="s">
        <v>35</v>
      </c>
      <c r="J8228" t="s">
        <v>7111</v>
      </c>
      <c r="K8228" t="s">
        <v>1092</v>
      </c>
      <c r="M8228">
        <v>4.2750000000000004</v>
      </c>
      <c r="N8228">
        <v>70</v>
      </c>
      <c r="O8228" t="s">
        <v>61</v>
      </c>
      <c r="Q8228" t="s">
        <v>305</v>
      </c>
      <c r="R8228" t="s">
        <v>6705</v>
      </c>
      <c r="S8228" t="s">
        <v>981</v>
      </c>
      <c r="T8228" t="s">
        <v>982</v>
      </c>
    </row>
    <row r="8229" spans="1:20" x14ac:dyDescent="0.25">
      <c r="A8229" t="s">
        <v>44</v>
      </c>
      <c r="B8229" t="s">
        <v>3</v>
      </c>
      <c r="C8229" t="s">
        <v>32</v>
      </c>
      <c r="D8229" t="s">
        <v>953</v>
      </c>
      <c r="E8229" t="s">
        <v>980</v>
      </c>
      <c r="F8229" t="s">
        <v>35</v>
      </c>
      <c r="G8229" t="s">
        <v>35</v>
      </c>
      <c r="H8229" t="s">
        <v>35</v>
      </c>
      <c r="J8229" t="s">
        <v>7111</v>
      </c>
      <c r="K8229" t="s">
        <v>1092</v>
      </c>
      <c r="M8229">
        <v>3</v>
      </c>
      <c r="N8229">
        <v>62</v>
      </c>
      <c r="O8229" t="s">
        <v>61</v>
      </c>
      <c r="Q8229" t="s">
        <v>139</v>
      </c>
      <c r="R8229" t="s">
        <v>6705</v>
      </c>
      <c r="S8229" t="s">
        <v>981</v>
      </c>
      <c r="T8229" t="s">
        <v>982</v>
      </c>
    </row>
    <row r="8230" spans="1:20" x14ac:dyDescent="0.25">
      <c r="A8230" t="s">
        <v>59</v>
      </c>
      <c r="B8230" t="s">
        <v>60</v>
      </c>
      <c r="C8230" t="s">
        <v>32</v>
      </c>
      <c r="D8230" t="s">
        <v>953</v>
      </c>
      <c r="E8230" t="s">
        <v>980</v>
      </c>
      <c r="F8230" t="s">
        <v>35</v>
      </c>
      <c r="G8230" t="s">
        <v>35</v>
      </c>
      <c r="H8230" t="s">
        <v>35</v>
      </c>
      <c r="J8230" t="s">
        <v>7111</v>
      </c>
      <c r="K8230" t="s">
        <v>1092</v>
      </c>
      <c r="M8230">
        <v>3.3</v>
      </c>
      <c r="N8230">
        <v>66</v>
      </c>
      <c r="O8230" t="s">
        <v>61</v>
      </c>
      <c r="Q8230" t="s">
        <v>552</v>
      </c>
      <c r="R8230" t="s">
        <v>6705</v>
      </c>
      <c r="S8230" t="s">
        <v>981</v>
      </c>
      <c r="T8230" t="s">
        <v>982</v>
      </c>
    </row>
    <row r="8231" spans="1:20" x14ac:dyDescent="0.25">
      <c r="A8231" t="s">
        <v>59</v>
      </c>
      <c r="B8231" t="s">
        <v>31</v>
      </c>
      <c r="C8231" t="s">
        <v>32</v>
      </c>
      <c r="D8231" t="s">
        <v>953</v>
      </c>
      <c r="E8231" t="s">
        <v>1072</v>
      </c>
      <c r="F8231" t="s">
        <v>35</v>
      </c>
      <c r="G8231" t="s">
        <v>35</v>
      </c>
      <c r="H8231" t="s">
        <v>35</v>
      </c>
      <c r="J8231" t="s">
        <v>7513</v>
      </c>
      <c r="K8231" t="s">
        <v>1092</v>
      </c>
      <c r="M8231">
        <v>4.9950000000000001</v>
      </c>
      <c r="N8231">
        <v>44</v>
      </c>
      <c r="O8231" t="s">
        <v>52</v>
      </c>
      <c r="Q8231" t="s">
        <v>54</v>
      </c>
      <c r="R8231" t="s">
        <v>6705</v>
      </c>
      <c r="S8231" t="s">
        <v>981</v>
      </c>
      <c r="T8231" t="s">
        <v>982</v>
      </c>
    </row>
    <row r="8232" spans="1:20" x14ac:dyDescent="0.25">
      <c r="A8232" t="s">
        <v>59</v>
      </c>
      <c r="B8232" t="s">
        <v>60</v>
      </c>
      <c r="C8232" t="s">
        <v>32</v>
      </c>
      <c r="D8232" t="s">
        <v>953</v>
      </c>
      <c r="E8232" t="s">
        <v>1072</v>
      </c>
      <c r="F8232" t="s">
        <v>35</v>
      </c>
      <c r="G8232" t="s">
        <v>35</v>
      </c>
      <c r="H8232" t="s">
        <v>35</v>
      </c>
      <c r="J8232" t="s">
        <v>7513</v>
      </c>
      <c r="K8232" t="s">
        <v>1092</v>
      </c>
      <c r="M8232">
        <v>3.25</v>
      </c>
      <c r="N8232">
        <v>44</v>
      </c>
      <c r="O8232" t="s">
        <v>52</v>
      </c>
      <c r="Q8232" t="s">
        <v>54</v>
      </c>
      <c r="R8232" t="s">
        <v>6705</v>
      </c>
      <c r="S8232" t="s">
        <v>981</v>
      </c>
      <c r="T8232" t="s">
        <v>982</v>
      </c>
    </row>
    <row r="8233" spans="1:20" x14ac:dyDescent="0.25">
      <c r="A8233" t="s">
        <v>59</v>
      </c>
      <c r="B8233" t="s">
        <v>31</v>
      </c>
      <c r="C8233" t="s">
        <v>32</v>
      </c>
      <c r="D8233" t="s">
        <v>953</v>
      </c>
      <c r="E8233" t="s">
        <v>980</v>
      </c>
      <c r="F8233" t="s">
        <v>35</v>
      </c>
      <c r="G8233" t="s">
        <v>35</v>
      </c>
      <c r="H8233" t="s">
        <v>35</v>
      </c>
      <c r="J8233" t="s">
        <v>7109</v>
      </c>
      <c r="K8233" t="s">
        <v>1092</v>
      </c>
      <c r="M8233">
        <v>3.96</v>
      </c>
      <c r="N8233">
        <v>55</v>
      </c>
      <c r="O8233" t="s">
        <v>52</v>
      </c>
      <c r="Q8233" t="s">
        <v>90</v>
      </c>
      <c r="R8233" t="s">
        <v>6705</v>
      </c>
      <c r="S8233" t="s">
        <v>981</v>
      </c>
      <c r="T8233" t="s">
        <v>982</v>
      </c>
    </row>
    <row r="8234" spans="1:20" x14ac:dyDescent="0.25">
      <c r="A8234" t="s">
        <v>30</v>
      </c>
      <c r="B8234" t="s">
        <v>31</v>
      </c>
      <c r="C8234" t="s">
        <v>32</v>
      </c>
      <c r="D8234" t="s">
        <v>953</v>
      </c>
      <c r="E8234" t="s">
        <v>1077</v>
      </c>
      <c r="F8234" t="s">
        <v>35</v>
      </c>
      <c r="G8234" t="s">
        <v>35</v>
      </c>
      <c r="H8234" t="s">
        <v>35</v>
      </c>
      <c r="J8234" t="s">
        <v>7691</v>
      </c>
      <c r="K8234" t="s">
        <v>1092</v>
      </c>
      <c r="M8234">
        <v>0.27</v>
      </c>
      <c r="N8234">
        <v>207</v>
      </c>
      <c r="O8234" t="s">
        <v>5</v>
      </c>
      <c r="Q8234" t="s">
        <v>537</v>
      </c>
      <c r="R8234" t="s">
        <v>6705</v>
      </c>
      <c r="S8234" t="s">
        <v>981</v>
      </c>
      <c r="T8234" t="s">
        <v>982</v>
      </c>
    </row>
    <row r="8235" spans="1:20" x14ac:dyDescent="0.25">
      <c r="A8235" t="s">
        <v>59</v>
      </c>
      <c r="B8235" t="s">
        <v>60</v>
      </c>
      <c r="C8235" t="s">
        <v>32</v>
      </c>
      <c r="D8235" t="s">
        <v>953</v>
      </c>
      <c r="E8235" t="s">
        <v>1077</v>
      </c>
      <c r="F8235" t="s">
        <v>35</v>
      </c>
      <c r="G8235" t="s">
        <v>35</v>
      </c>
      <c r="H8235" t="s">
        <v>35</v>
      </c>
      <c r="J8235" t="s">
        <v>7691</v>
      </c>
      <c r="K8235" t="s">
        <v>1092</v>
      </c>
      <c r="M8235">
        <v>1.1000000000000001</v>
      </c>
      <c r="N8235">
        <v>53</v>
      </c>
      <c r="O8235" t="s">
        <v>52</v>
      </c>
      <c r="Q8235" t="s">
        <v>1734</v>
      </c>
      <c r="R8235" t="s">
        <v>6705</v>
      </c>
      <c r="S8235" t="s">
        <v>981</v>
      </c>
      <c r="T8235" t="s">
        <v>982</v>
      </c>
    </row>
    <row r="8236" spans="1:20" x14ac:dyDescent="0.25">
      <c r="A8236" t="s">
        <v>59</v>
      </c>
      <c r="B8236" t="s">
        <v>60</v>
      </c>
      <c r="C8236" t="s">
        <v>32</v>
      </c>
      <c r="D8236" t="s">
        <v>953</v>
      </c>
      <c r="E8236" t="s">
        <v>980</v>
      </c>
      <c r="F8236" t="s">
        <v>35</v>
      </c>
      <c r="G8236" t="s">
        <v>35</v>
      </c>
      <c r="H8236" t="s">
        <v>35</v>
      </c>
      <c r="J8236" t="s">
        <v>7126</v>
      </c>
      <c r="K8236" t="s">
        <v>1092</v>
      </c>
      <c r="M8236">
        <v>0.9</v>
      </c>
      <c r="N8236">
        <v>66</v>
      </c>
      <c r="O8236" t="s">
        <v>61</v>
      </c>
      <c r="Q8236" t="s">
        <v>552</v>
      </c>
      <c r="R8236" t="s">
        <v>6705</v>
      </c>
      <c r="S8236" t="s">
        <v>981</v>
      </c>
      <c r="T8236" t="s">
        <v>982</v>
      </c>
    </row>
    <row r="8237" spans="1:20" x14ac:dyDescent="0.25">
      <c r="A8237" t="s">
        <v>30</v>
      </c>
      <c r="B8237" t="s">
        <v>31</v>
      </c>
      <c r="C8237" t="s">
        <v>32</v>
      </c>
      <c r="D8237" t="s">
        <v>953</v>
      </c>
      <c r="E8237" t="s">
        <v>980</v>
      </c>
      <c r="F8237" t="s">
        <v>35</v>
      </c>
      <c r="G8237" t="s">
        <v>35</v>
      </c>
      <c r="H8237" t="s">
        <v>35</v>
      </c>
      <c r="J8237" t="s">
        <v>7126</v>
      </c>
      <c r="K8237" t="s">
        <v>1092</v>
      </c>
      <c r="M8237">
        <v>4.7699999999999996</v>
      </c>
      <c r="N8237">
        <v>41</v>
      </c>
      <c r="O8237" t="s">
        <v>52</v>
      </c>
      <c r="Q8237" t="s">
        <v>496</v>
      </c>
      <c r="R8237" t="s">
        <v>6705</v>
      </c>
      <c r="S8237" t="s">
        <v>981</v>
      </c>
      <c r="T8237" t="s">
        <v>982</v>
      </c>
    </row>
    <row r="8238" spans="1:20" x14ac:dyDescent="0.25">
      <c r="A8238" t="s">
        <v>44</v>
      </c>
      <c r="B8238" t="s">
        <v>51</v>
      </c>
      <c r="C8238" t="s">
        <v>32</v>
      </c>
      <c r="D8238" t="s">
        <v>953</v>
      </c>
      <c r="E8238" t="s">
        <v>980</v>
      </c>
      <c r="F8238" t="s">
        <v>35</v>
      </c>
      <c r="G8238" t="s">
        <v>35</v>
      </c>
      <c r="H8238" t="s">
        <v>35</v>
      </c>
      <c r="J8238" t="s">
        <v>7126</v>
      </c>
      <c r="K8238" t="s">
        <v>1092</v>
      </c>
      <c r="M8238">
        <v>3.7</v>
      </c>
      <c r="N8238">
        <v>52</v>
      </c>
      <c r="O8238" t="s">
        <v>52</v>
      </c>
      <c r="Q8238" t="s">
        <v>84</v>
      </c>
      <c r="R8238" t="s">
        <v>6705</v>
      </c>
      <c r="S8238" t="s">
        <v>981</v>
      </c>
      <c r="T8238" t="s">
        <v>982</v>
      </c>
    </row>
    <row r="8239" spans="1:20" x14ac:dyDescent="0.25">
      <c r="A8239" t="s">
        <v>30</v>
      </c>
      <c r="B8239" t="s">
        <v>31</v>
      </c>
      <c r="C8239" t="s">
        <v>32</v>
      </c>
      <c r="D8239" t="s">
        <v>953</v>
      </c>
      <c r="E8239" t="s">
        <v>980</v>
      </c>
      <c r="F8239" t="s">
        <v>35</v>
      </c>
      <c r="G8239" t="s">
        <v>35</v>
      </c>
      <c r="H8239" t="s">
        <v>35</v>
      </c>
      <c r="J8239" t="s">
        <v>7160</v>
      </c>
      <c r="K8239" t="s">
        <v>1092</v>
      </c>
      <c r="M8239">
        <v>6.66</v>
      </c>
      <c r="N8239">
        <v>18</v>
      </c>
      <c r="O8239" t="s">
        <v>46</v>
      </c>
      <c r="Q8239" t="s">
        <v>831</v>
      </c>
      <c r="R8239" t="s">
        <v>6705</v>
      </c>
      <c r="S8239" t="s">
        <v>981</v>
      </c>
      <c r="T8239" t="s">
        <v>982</v>
      </c>
    </row>
    <row r="8240" spans="1:20" x14ac:dyDescent="0.25">
      <c r="A8240" t="s">
        <v>44</v>
      </c>
      <c r="B8240" t="s">
        <v>51</v>
      </c>
      <c r="C8240" t="s">
        <v>32</v>
      </c>
      <c r="D8240" t="s">
        <v>953</v>
      </c>
      <c r="E8240" t="s">
        <v>980</v>
      </c>
      <c r="F8240" t="s">
        <v>35</v>
      </c>
      <c r="G8240" t="s">
        <v>35</v>
      </c>
      <c r="H8240" t="s">
        <v>35</v>
      </c>
      <c r="J8240" t="s">
        <v>7160</v>
      </c>
      <c r="K8240" t="s">
        <v>1092</v>
      </c>
      <c r="M8240">
        <v>7</v>
      </c>
      <c r="N8240">
        <v>52</v>
      </c>
      <c r="O8240" t="s">
        <v>52</v>
      </c>
      <c r="Q8240" t="s">
        <v>84</v>
      </c>
      <c r="R8240" t="s">
        <v>6705</v>
      </c>
      <c r="S8240" t="s">
        <v>981</v>
      </c>
      <c r="T8240" t="s">
        <v>982</v>
      </c>
    </row>
    <row r="8241" spans="1:20" x14ac:dyDescent="0.25">
      <c r="A8241" t="s">
        <v>59</v>
      </c>
      <c r="B8241" t="s">
        <v>60</v>
      </c>
      <c r="C8241" t="s">
        <v>32</v>
      </c>
      <c r="D8241" t="s">
        <v>953</v>
      </c>
      <c r="E8241" t="s">
        <v>980</v>
      </c>
      <c r="F8241" t="s">
        <v>35</v>
      </c>
      <c r="G8241" t="s">
        <v>35</v>
      </c>
      <c r="H8241" t="s">
        <v>35</v>
      </c>
      <c r="J8241" t="s">
        <v>7160</v>
      </c>
      <c r="K8241" t="s">
        <v>1092</v>
      </c>
      <c r="M8241">
        <v>0.5</v>
      </c>
      <c r="N8241">
        <v>93</v>
      </c>
      <c r="O8241" t="s">
        <v>106</v>
      </c>
      <c r="Q8241" t="s">
        <v>1112</v>
      </c>
      <c r="R8241" t="s">
        <v>6705</v>
      </c>
      <c r="S8241" t="s">
        <v>981</v>
      </c>
      <c r="T8241" t="s">
        <v>982</v>
      </c>
    </row>
    <row r="8242" spans="1:20" x14ac:dyDescent="0.25">
      <c r="A8242" t="s">
        <v>44</v>
      </c>
      <c r="B8242" t="s">
        <v>3</v>
      </c>
      <c r="C8242" t="s">
        <v>32</v>
      </c>
      <c r="D8242" t="s">
        <v>953</v>
      </c>
      <c r="E8242" t="s">
        <v>968</v>
      </c>
      <c r="F8242" t="s">
        <v>35</v>
      </c>
      <c r="G8242" t="s">
        <v>35</v>
      </c>
      <c r="H8242" t="s">
        <v>35</v>
      </c>
      <c r="J8242" t="s">
        <v>7009</v>
      </c>
      <c r="K8242" t="s">
        <v>1092</v>
      </c>
      <c r="M8242">
        <v>9</v>
      </c>
      <c r="N8242">
        <v>51</v>
      </c>
      <c r="O8242" t="s">
        <v>52</v>
      </c>
      <c r="Q8242" t="s">
        <v>58</v>
      </c>
      <c r="R8242" t="s">
        <v>6705</v>
      </c>
      <c r="S8242" t="s">
        <v>981</v>
      </c>
      <c r="T8242" t="s">
        <v>982</v>
      </c>
    </row>
    <row r="8243" spans="1:20" x14ac:dyDescent="0.25">
      <c r="A8243" t="s">
        <v>30</v>
      </c>
      <c r="B8243" t="s">
        <v>31</v>
      </c>
      <c r="C8243" t="s">
        <v>32</v>
      </c>
      <c r="D8243" t="s">
        <v>953</v>
      </c>
      <c r="E8243" t="s">
        <v>1072</v>
      </c>
      <c r="F8243" t="s">
        <v>35</v>
      </c>
      <c r="G8243" t="s">
        <v>35</v>
      </c>
      <c r="H8243" t="s">
        <v>35</v>
      </c>
      <c r="J8243" t="s">
        <v>7516</v>
      </c>
      <c r="K8243" t="s">
        <v>1092</v>
      </c>
      <c r="M8243">
        <v>9.99</v>
      </c>
      <c r="N8243">
        <v>272</v>
      </c>
      <c r="O8243" t="s">
        <v>5</v>
      </c>
      <c r="Q8243" t="s">
        <v>1717</v>
      </c>
      <c r="R8243" t="s">
        <v>6705</v>
      </c>
      <c r="S8243" t="s">
        <v>981</v>
      </c>
      <c r="T8243" t="s">
        <v>982</v>
      </c>
    </row>
    <row r="8244" spans="1:20" x14ac:dyDescent="0.25">
      <c r="A8244" t="s">
        <v>59</v>
      </c>
      <c r="B8244" t="s">
        <v>31</v>
      </c>
      <c r="C8244" t="s">
        <v>32</v>
      </c>
      <c r="D8244" t="s">
        <v>953</v>
      </c>
      <c r="E8244" t="s">
        <v>1072</v>
      </c>
      <c r="F8244" t="s">
        <v>35</v>
      </c>
      <c r="G8244" t="s">
        <v>35</v>
      </c>
      <c r="H8244" t="s">
        <v>35</v>
      </c>
      <c r="J8244" t="s">
        <v>7516</v>
      </c>
      <c r="K8244" t="s">
        <v>1092</v>
      </c>
      <c r="M8244">
        <v>3.2850000000000001</v>
      </c>
      <c r="N8244">
        <v>286</v>
      </c>
      <c r="O8244" t="s">
        <v>5</v>
      </c>
      <c r="Q8244" t="s">
        <v>6131</v>
      </c>
      <c r="R8244" t="s">
        <v>6705</v>
      </c>
      <c r="S8244" t="s">
        <v>981</v>
      </c>
      <c r="T8244" t="s">
        <v>982</v>
      </c>
    </row>
    <row r="8245" spans="1:20" x14ac:dyDescent="0.25">
      <c r="A8245" t="s">
        <v>30</v>
      </c>
      <c r="B8245" t="s">
        <v>31</v>
      </c>
      <c r="C8245" t="s">
        <v>32</v>
      </c>
      <c r="D8245" t="s">
        <v>953</v>
      </c>
      <c r="E8245" t="s">
        <v>1015</v>
      </c>
      <c r="F8245" t="s">
        <v>35</v>
      </c>
      <c r="G8245" t="s">
        <v>35</v>
      </c>
      <c r="H8245" t="s">
        <v>35</v>
      </c>
      <c r="J8245" t="s">
        <v>7350</v>
      </c>
      <c r="K8245" t="s">
        <v>1092</v>
      </c>
      <c r="M8245">
        <v>10.755000000000001</v>
      </c>
      <c r="N8245">
        <v>66</v>
      </c>
      <c r="O8245" t="s">
        <v>61</v>
      </c>
      <c r="Q8245" t="s">
        <v>552</v>
      </c>
      <c r="R8245" t="s">
        <v>6705</v>
      </c>
      <c r="S8245" t="s">
        <v>981</v>
      </c>
      <c r="T8245" t="s">
        <v>982</v>
      </c>
    </row>
    <row r="8246" spans="1:20" x14ac:dyDescent="0.25">
      <c r="A8246" t="s">
        <v>59</v>
      </c>
      <c r="B8246" t="s">
        <v>31</v>
      </c>
      <c r="C8246" t="s">
        <v>32</v>
      </c>
      <c r="D8246" t="s">
        <v>953</v>
      </c>
      <c r="E8246" t="s">
        <v>1077</v>
      </c>
      <c r="F8246" t="s">
        <v>35</v>
      </c>
      <c r="G8246" t="s">
        <v>35</v>
      </c>
      <c r="H8246" t="s">
        <v>35</v>
      </c>
      <c r="J8246" t="s">
        <v>7653</v>
      </c>
      <c r="K8246" t="s">
        <v>1092</v>
      </c>
      <c r="M8246">
        <v>3.2850000000000001</v>
      </c>
      <c r="N8246">
        <v>55</v>
      </c>
      <c r="O8246" t="s">
        <v>52</v>
      </c>
      <c r="Q8246" t="s">
        <v>90</v>
      </c>
      <c r="R8246" t="s">
        <v>6705</v>
      </c>
      <c r="S8246" t="s">
        <v>981</v>
      </c>
      <c r="T8246" t="s">
        <v>982</v>
      </c>
    </row>
    <row r="8247" spans="1:20" x14ac:dyDescent="0.25">
      <c r="A8247" t="s">
        <v>59</v>
      </c>
      <c r="B8247" t="s">
        <v>31</v>
      </c>
      <c r="C8247" t="s">
        <v>32</v>
      </c>
      <c r="D8247" t="s">
        <v>953</v>
      </c>
      <c r="F8247" t="s">
        <v>35</v>
      </c>
      <c r="G8247" t="s">
        <v>35</v>
      </c>
      <c r="H8247" t="s">
        <v>35</v>
      </c>
      <c r="J8247" t="s">
        <v>8065</v>
      </c>
      <c r="K8247" t="s">
        <v>1092</v>
      </c>
      <c r="M8247">
        <v>0.9</v>
      </c>
      <c r="N8247">
        <v>2182</v>
      </c>
      <c r="O8247" t="s">
        <v>575</v>
      </c>
      <c r="Q8247" t="s">
        <v>8066</v>
      </c>
      <c r="R8247" t="s">
        <v>8067</v>
      </c>
      <c r="S8247" t="s">
        <v>8068</v>
      </c>
      <c r="T8247" t="s">
        <v>8069</v>
      </c>
    </row>
    <row r="8248" spans="1:20" x14ac:dyDescent="0.25">
      <c r="A8248" t="s">
        <v>59</v>
      </c>
      <c r="B8248" t="s">
        <v>60</v>
      </c>
      <c r="C8248" t="s">
        <v>32</v>
      </c>
      <c r="D8248" t="s">
        <v>953</v>
      </c>
      <c r="F8248" t="s">
        <v>35</v>
      </c>
      <c r="G8248" t="s">
        <v>35</v>
      </c>
      <c r="H8248" t="s">
        <v>35</v>
      </c>
      <c r="J8248" t="s">
        <v>8065</v>
      </c>
      <c r="K8248" t="s">
        <v>1092</v>
      </c>
      <c r="M8248">
        <v>0.3</v>
      </c>
      <c r="N8248">
        <v>2297</v>
      </c>
      <c r="O8248" t="s">
        <v>575</v>
      </c>
      <c r="Q8248" t="s">
        <v>8070</v>
      </c>
      <c r="R8248" t="s">
        <v>8067</v>
      </c>
      <c r="S8248" t="s">
        <v>8068</v>
      </c>
      <c r="T8248" t="s">
        <v>8069</v>
      </c>
    </row>
    <row r="8249" spans="1:20" x14ac:dyDescent="0.25">
      <c r="A8249" t="s">
        <v>59</v>
      </c>
      <c r="B8249" t="s">
        <v>60</v>
      </c>
      <c r="C8249" t="s">
        <v>32</v>
      </c>
      <c r="D8249" t="s">
        <v>953</v>
      </c>
      <c r="F8249" t="s">
        <v>35</v>
      </c>
      <c r="G8249" t="s">
        <v>35</v>
      </c>
      <c r="H8249" t="s">
        <v>35</v>
      </c>
      <c r="J8249" t="s">
        <v>1885</v>
      </c>
      <c r="K8249" t="s">
        <v>1092</v>
      </c>
      <c r="M8249">
        <v>0.05</v>
      </c>
      <c r="N8249">
        <v>2208</v>
      </c>
      <c r="O8249" t="s">
        <v>575</v>
      </c>
      <c r="Q8249" t="s">
        <v>5869</v>
      </c>
      <c r="R8249" t="s">
        <v>8067</v>
      </c>
      <c r="S8249" t="s">
        <v>8068</v>
      </c>
      <c r="T8249" t="s">
        <v>8069</v>
      </c>
    </row>
    <row r="8250" spans="1:20" x14ac:dyDescent="0.25">
      <c r="A8250" t="s">
        <v>30</v>
      </c>
      <c r="B8250" t="s">
        <v>31</v>
      </c>
      <c r="C8250" t="s">
        <v>32</v>
      </c>
      <c r="D8250" t="s">
        <v>953</v>
      </c>
      <c r="F8250" t="s">
        <v>35</v>
      </c>
      <c r="G8250" t="s">
        <v>35</v>
      </c>
      <c r="H8250" t="s">
        <v>35</v>
      </c>
      <c r="J8250" t="s">
        <v>1885</v>
      </c>
      <c r="K8250" t="s">
        <v>1092</v>
      </c>
      <c r="M8250">
        <v>0.12</v>
      </c>
      <c r="N8250">
        <v>2410</v>
      </c>
      <c r="O8250" t="s">
        <v>575</v>
      </c>
      <c r="Q8250" t="s">
        <v>2908</v>
      </c>
      <c r="R8250" t="s">
        <v>8067</v>
      </c>
      <c r="S8250" t="s">
        <v>8068</v>
      </c>
      <c r="T8250" t="s">
        <v>8069</v>
      </c>
    </row>
    <row r="8251" spans="1:20" x14ac:dyDescent="0.25">
      <c r="A8251" t="s">
        <v>59</v>
      </c>
      <c r="B8251" t="s">
        <v>60</v>
      </c>
      <c r="C8251" t="s">
        <v>32</v>
      </c>
      <c r="D8251" t="s">
        <v>953</v>
      </c>
      <c r="E8251" t="s">
        <v>7467</v>
      </c>
      <c r="F8251" t="s">
        <v>35</v>
      </c>
      <c r="G8251" t="s">
        <v>35</v>
      </c>
      <c r="H8251" t="s">
        <v>35</v>
      </c>
      <c r="J8251" t="s">
        <v>7485</v>
      </c>
      <c r="K8251" t="s">
        <v>1092</v>
      </c>
      <c r="M8251">
        <v>0.8</v>
      </c>
      <c r="N8251">
        <v>1908</v>
      </c>
      <c r="O8251" t="s">
        <v>575</v>
      </c>
      <c r="Q8251" t="s">
        <v>2088</v>
      </c>
      <c r="R8251" t="s">
        <v>7486</v>
      </c>
      <c r="S8251" t="s">
        <v>7469</v>
      </c>
      <c r="T8251" t="s">
        <v>7470</v>
      </c>
    </row>
    <row r="8252" spans="1:20" x14ac:dyDescent="0.25">
      <c r="A8252" t="s">
        <v>30</v>
      </c>
      <c r="B8252" t="s">
        <v>31</v>
      </c>
      <c r="C8252" t="s">
        <v>32</v>
      </c>
      <c r="D8252" t="s">
        <v>953</v>
      </c>
      <c r="E8252" t="s">
        <v>7467</v>
      </c>
      <c r="F8252" t="s">
        <v>35</v>
      </c>
      <c r="G8252" t="s">
        <v>35</v>
      </c>
      <c r="H8252" t="s">
        <v>35</v>
      </c>
      <c r="J8252" t="s">
        <v>7485</v>
      </c>
      <c r="K8252" t="s">
        <v>1092</v>
      </c>
      <c r="M8252">
        <v>2E-3</v>
      </c>
      <c r="N8252">
        <v>1908</v>
      </c>
      <c r="O8252" t="s">
        <v>575</v>
      </c>
      <c r="Q8252" t="s">
        <v>2088</v>
      </c>
      <c r="R8252" t="s">
        <v>7486</v>
      </c>
      <c r="S8252" t="s">
        <v>7469</v>
      </c>
      <c r="T8252" t="s">
        <v>7470</v>
      </c>
    </row>
    <row r="8253" spans="1:20" x14ac:dyDescent="0.25">
      <c r="A8253" t="s">
        <v>59</v>
      </c>
      <c r="B8253" t="s">
        <v>31</v>
      </c>
      <c r="C8253" t="s">
        <v>32</v>
      </c>
      <c r="D8253" t="s">
        <v>953</v>
      </c>
      <c r="F8253" t="s">
        <v>35</v>
      </c>
      <c r="G8253" t="s">
        <v>35</v>
      </c>
      <c r="H8253" t="s">
        <v>35</v>
      </c>
      <c r="J8253" t="s">
        <v>8009</v>
      </c>
      <c r="K8253" t="s">
        <v>1092</v>
      </c>
      <c r="M8253">
        <v>5.0000000000000001E-3</v>
      </c>
      <c r="N8253">
        <v>2117</v>
      </c>
      <c r="O8253" t="s">
        <v>575</v>
      </c>
      <c r="Q8253" t="s">
        <v>8010</v>
      </c>
      <c r="R8253" t="s">
        <v>8011</v>
      </c>
      <c r="S8253" t="s">
        <v>6907</v>
      </c>
      <c r="T8253" t="s">
        <v>8012</v>
      </c>
    </row>
    <row r="8254" spans="1:20" x14ac:dyDescent="0.25">
      <c r="A8254" t="s">
        <v>59</v>
      </c>
      <c r="B8254" t="s">
        <v>60</v>
      </c>
      <c r="C8254" t="s">
        <v>32</v>
      </c>
      <c r="D8254" t="s">
        <v>953</v>
      </c>
      <c r="E8254" t="s">
        <v>1077</v>
      </c>
      <c r="F8254" t="s">
        <v>35</v>
      </c>
      <c r="G8254" t="s">
        <v>35</v>
      </c>
      <c r="H8254" t="s">
        <v>35</v>
      </c>
      <c r="J8254" t="s">
        <v>7706</v>
      </c>
      <c r="K8254" t="s">
        <v>1092</v>
      </c>
      <c r="M8254">
        <v>0.06</v>
      </c>
      <c r="N8254">
        <v>187</v>
      </c>
      <c r="O8254" t="s">
        <v>5</v>
      </c>
      <c r="Q8254" t="s">
        <v>2315</v>
      </c>
      <c r="R8254" t="s">
        <v>7646</v>
      </c>
      <c r="S8254" t="s">
        <v>7647</v>
      </c>
      <c r="T8254" t="s">
        <v>7628</v>
      </c>
    </row>
    <row r="8255" spans="1:20" x14ac:dyDescent="0.25">
      <c r="A8255" t="s">
        <v>59</v>
      </c>
      <c r="B8255" t="s">
        <v>60</v>
      </c>
      <c r="C8255" t="s">
        <v>32</v>
      </c>
      <c r="D8255" t="s">
        <v>953</v>
      </c>
      <c r="E8255" t="s">
        <v>1077</v>
      </c>
      <c r="F8255" t="s">
        <v>35</v>
      </c>
      <c r="G8255" t="s">
        <v>35</v>
      </c>
      <c r="H8255" t="s">
        <v>35</v>
      </c>
      <c r="J8255" t="s">
        <v>7645</v>
      </c>
      <c r="K8255" t="s">
        <v>1092</v>
      </c>
      <c r="M8255">
        <v>0.3</v>
      </c>
      <c r="N8255">
        <v>473</v>
      </c>
      <c r="O8255" t="s">
        <v>294</v>
      </c>
      <c r="Q8255" t="s">
        <v>1405</v>
      </c>
      <c r="R8255" t="s">
        <v>7646</v>
      </c>
      <c r="S8255" t="s">
        <v>7647</v>
      </c>
      <c r="T8255" t="s">
        <v>7628</v>
      </c>
    </row>
    <row r="8256" spans="1:20" x14ac:dyDescent="0.25">
      <c r="A8256" t="s">
        <v>59</v>
      </c>
      <c r="B8256" t="s">
        <v>60</v>
      </c>
      <c r="C8256" t="s">
        <v>32</v>
      </c>
      <c r="D8256" t="s">
        <v>953</v>
      </c>
      <c r="F8256" t="s">
        <v>35</v>
      </c>
      <c r="G8256" t="s">
        <v>35</v>
      </c>
      <c r="H8256" t="s">
        <v>35</v>
      </c>
      <c r="J8256" t="s">
        <v>7930</v>
      </c>
      <c r="K8256" t="s">
        <v>1092</v>
      </c>
      <c r="M8256">
        <v>7.75</v>
      </c>
      <c r="N8256">
        <v>274</v>
      </c>
      <c r="O8256" t="s">
        <v>5</v>
      </c>
      <c r="Q8256" t="s">
        <v>1226</v>
      </c>
      <c r="R8256" t="s">
        <v>7646</v>
      </c>
      <c r="S8256" t="s">
        <v>7647</v>
      </c>
      <c r="T8256" t="s">
        <v>7628</v>
      </c>
    </row>
    <row r="8257" spans="1:20" x14ac:dyDescent="0.25">
      <c r="A8257" t="s">
        <v>30</v>
      </c>
      <c r="B8257" t="s">
        <v>31</v>
      </c>
      <c r="C8257" t="s">
        <v>32</v>
      </c>
      <c r="D8257" t="s">
        <v>953</v>
      </c>
      <c r="E8257" t="s">
        <v>1077</v>
      </c>
      <c r="F8257" t="s">
        <v>35</v>
      </c>
      <c r="G8257" t="s">
        <v>35</v>
      </c>
      <c r="H8257" t="s">
        <v>35</v>
      </c>
      <c r="J8257" t="s">
        <v>7693</v>
      </c>
      <c r="K8257" t="s">
        <v>1092</v>
      </c>
      <c r="M8257">
        <v>4.9950000000000001</v>
      </c>
      <c r="N8257">
        <v>10</v>
      </c>
      <c r="O8257" t="s">
        <v>46</v>
      </c>
      <c r="Q8257" t="s">
        <v>1302</v>
      </c>
      <c r="R8257" t="s">
        <v>7646</v>
      </c>
      <c r="S8257" t="s">
        <v>7647</v>
      </c>
      <c r="T8257" t="s">
        <v>7628</v>
      </c>
    </row>
    <row r="8258" spans="1:20" x14ac:dyDescent="0.25">
      <c r="A8258" t="s">
        <v>44</v>
      </c>
      <c r="B8258" t="s">
        <v>51</v>
      </c>
      <c r="C8258" t="s">
        <v>32</v>
      </c>
      <c r="D8258" t="s">
        <v>953</v>
      </c>
      <c r="E8258" t="s">
        <v>980</v>
      </c>
      <c r="F8258" t="s">
        <v>35</v>
      </c>
      <c r="G8258" t="s">
        <v>35</v>
      </c>
      <c r="H8258" t="s">
        <v>35</v>
      </c>
      <c r="J8258" t="s">
        <v>7140</v>
      </c>
      <c r="K8258" t="s">
        <v>1092</v>
      </c>
      <c r="M8258">
        <v>1.5</v>
      </c>
      <c r="N8258">
        <v>47</v>
      </c>
      <c r="O8258" t="s">
        <v>52</v>
      </c>
      <c r="Q8258" t="s">
        <v>1207</v>
      </c>
      <c r="R8258" t="s">
        <v>6762</v>
      </c>
      <c r="S8258" t="s">
        <v>992</v>
      </c>
      <c r="T8258" t="s">
        <v>993</v>
      </c>
    </row>
    <row r="8259" spans="1:20" x14ac:dyDescent="0.25">
      <c r="A8259" t="s">
        <v>59</v>
      </c>
      <c r="B8259" t="s">
        <v>31</v>
      </c>
      <c r="C8259" t="s">
        <v>32</v>
      </c>
      <c r="D8259" t="s">
        <v>953</v>
      </c>
      <c r="E8259" t="s">
        <v>980</v>
      </c>
      <c r="F8259" t="s">
        <v>35</v>
      </c>
      <c r="G8259" t="s">
        <v>35</v>
      </c>
      <c r="H8259" t="s">
        <v>35</v>
      </c>
      <c r="J8259" t="s">
        <v>7140</v>
      </c>
      <c r="K8259" t="s">
        <v>1092</v>
      </c>
      <c r="M8259">
        <v>1.8</v>
      </c>
      <c r="N8259">
        <v>47</v>
      </c>
      <c r="O8259" t="s">
        <v>52</v>
      </c>
      <c r="Q8259" t="s">
        <v>1207</v>
      </c>
      <c r="R8259" t="s">
        <v>6762</v>
      </c>
      <c r="S8259" t="s">
        <v>992</v>
      </c>
      <c r="T8259" t="s">
        <v>993</v>
      </c>
    </row>
    <row r="8260" spans="1:20" x14ac:dyDescent="0.25">
      <c r="A8260" t="s">
        <v>44</v>
      </c>
      <c r="B8260" t="s">
        <v>3</v>
      </c>
      <c r="C8260" t="s">
        <v>32</v>
      </c>
      <c r="D8260" t="s">
        <v>953</v>
      </c>
      <c r="E8260" t="s">
        <v>980</v>
      </c>
      <c r="F8260" t="s">
        <v>35</v>
      </c>
      <c r="G8260" t="s">
        <v>35</v>
      </c>
      <c r="H8260" t="s">
        <v>35</v>
      </c>
      <c r="J8260" t="s">
        <v>7140</v>
      </c>
      <c r="K8260" t="s">
        <v>1092</v>
      </c>
      <c r="M8260">
        <v>2</v>
      </c>
      <c r="N8260">
        <v>47</v>
      </c>
      <c r="O8260" t="s">
        <v>52</v>
      </c>
      <c r="Q8260" t="s">
        <v>1207</v>
      </c>
      <c r="R8260" t="s">
        <v>6762</v>
      </c>
      <c r="S8260" t="s">
        <v>992</v>
      </c>
      <c r="T8260" t="s">
        <v>993</v>
      </c>
    </row>
    <row r="8261" spans="1:20" x14ac:dyDescent="0.25">
      <c r="A8261" t="s">
        <v>59</v>
      </c>
      <c r="B8261" t="s">
        <v>60</v>
      </c>
      <c r="C8261" t="s">
        <v>32</v>
      </c>
      <c r="D8261" t="s">
        <v>953</v>
      </c>
      <c r="E8261" t="s">
        <v>980</v>
      </c>
      <c r="F8261" t="s">
        <v>35</v>
      </c>
      <c r="G8261" t="s">
        <v>35</v>
      </c>
      <c r="H8261" t="s">
        <v>35</v>
      </c>
      <c r="J8261" t="s">
        <v>7140</v>
      </c>
      <c r="K8261" t="s">
        <v>1092</v>
      </c>
      <c r="M8261">
        <v>1.75</v>
      </c>
      <c r="N8261">
        <v>47</v>
      </c>
      <c r="O8261" t="s">
        <v>52</v>
      </c>
      <c r="Q8261" t="s">
        <v>1207</v>
      </c>
      <c r="R8261" t="s">
        <v>6762</v>
      </c>
      <c r="S8261" t="s">
        <v>992</v>
      </c>
      <c r="T8261" t="s">
        <v>993</v>
      </c>
    </row>
    <row r="8262" spans="1:20" x14ac:dyDescent="0.25">
      <c r="A8262" t="s">
        <v>59</v>
      </c>
      <c r="B8262" t="s">
        <v>60</v>
      </c>
      <c r="C8262" t="s">
        <v>32</v>
      </c>
      <c r="D8262" t="s">
        <v>953</v>
      </c>
      <c r="E8262" t="s">
        <v>980</v>
      </c>
      <c r="F8262" t="s">
        <v>35</v>
      </c>
      <c r="G8262" t="s">
        <v>35</v>
      </c>
      <c r="H8262" t="s">
        <v>35</v>
      </c>
      <c r="J8262" t="s">
        <v>7140</v>
      </c>
      <c r="K8262" t="s">
        <v>1092</v>
      </c>
      <c r="M8262">
        <v>0.65</v>
      </c>
      <c r="N8262">
        <v>144</v>
      </c>
      <c r="O8262" t="s">
        <v>38</v>
      </c>
      <c r="Q8262" t="s">
        <v>1269</v>
      </c>
      <c r="R8262" t="s">
        <v>6762</v>
      </c>
      <c r="S8262" t="s">
        <v>992</v>
      </c>
      <c r="T8262" t="s">
        <v>993</v>
      </c>
    </row>
    <row r="8263" spans="1:20" x14ac:dyDescent="0.25">
      <c r="A8263" t="s">
        <v>44</v>
      </c>
      <c r="B8263" t="s">
        <v>51</v>
      </c>
      <c r="C8263" t="s">
        <v>32</v>
      </c>
      <c r="D8263" t="s">
        <v>953</v>
      </c>
      <c r="E8263" t="s">
        <v>954</v>
      </c>
      <c r="F8263" t="s">
        <v>35</v>
      </c>
      <c r="G8263" t="s">
        <v>35</v>
      </c>
      <c r="H8263" t="s">
        <v>35</v>
      </c>
      <c r="J8263" t="s">
        <v>6850</v>
      </c>
      <c r="K8263" t="s">
        <v>1092</v>
      </c>
      <c r="M8263">
        <v>0.5</v>
      </c>
      <c r="N8263">
        <v>10</v>
      </c>
      <c r="O8263" t="s">
        <v>46</v>
      </c>
      <c r="Q8263" t="s">
        <v>1302</v>
      </c>
      <c r="R8263" t="s">
        <v>6762</v>
      </c>
      <c r="S8263" t="s">
        <v>992</v>
      </c>
      <c r="T8263" t="s">
        <v>993</v>
      </c>
    </row>
    <row r="8264" spans="1:20" x14ac:dyDescent="0.25">
      <c r="A8264" t="s">
        <v>44</v>
      </c>
      <c r="B8264" t="s">
        <v>3</v>
      </c>
      <c r="C8264" t="s">
        <v>32</v>
      </c>
      <c r="D8264" t="s">
        <v>953</v>
      </c>
      <c r="E8264" t="s">
        <v>954</v>
      </c>
      <c r="F8264" t="s">
        <v>35</v>
      </c>
      <c r="G8264" t="s">
        <v>35</v>
      </c>
      <c r="H8264" t="s">
        <v>35</v>
      </c>
      <c r="J8264" t="s">
        <v>6850</v>
      </c>
      <c r="K8264" t="s">
        <v>1092</v>
      </c>
      <c r="M8264">
        <v>0.5</v>
      </c>
      <c r="N8264">
        <v>10</v>
      </c>
      <c r="O8264" t="s">
        <v>46</v>
      </c>
      <c r="Q8264" t="s">
        <v>1302</v>
      </c>
      <c r="R8264" t="s">
        <v>6762</v>
      </c>
      <c r="S8264" t="s">
        <v>992</v>
      </c>
      <c r="T8264" t="s">
        <v>993</v>
      </c>
    </row>
    <row r="8265" spans="1:20" x14ac:dyDescent="0.25">
      <c r="A8265" t="s">
        <v>59</v>
      </c>
      <c r="B8265" t="s">
        <v>31</v>
      </c>
      <c r="C8265" t="s">
        <v>32</v>
      </c>
      <c r="D8265" t="s">
        <v>953</v>
      </c>
      <c r="E8265" t="s">
        <v>954</v>
      </c>
      <c r="F8265" t="s">
        <v>35</v>
      </c>
      <c r="G8265" t="s">
        <v>35</v>
      </c>
      <c r="H8265" t="s">
        <v>35</v>
      </c>
      <c r="J8265" t="s">
        <v>6850</v>
      </c>
      <c r="K8265" t="s">
        <v>1092</v>
      </c>
      <c r="M8265">
        <v>0.9</v>
      </c>
      <c r="N8265">
        <v>10</v>
      </c>
      <c r="O8265" t="s">
        <v>46</v>
      </c>
      <c r="Q8265" t="s">
        <v>1302</v>
      </c>
      <c r="R8265" t="s">
        <v>6762</v>
      </c>
      <c r="S8265" t="s">
        <v>992</v>
      </c>
      <c r="T8265" t="s">
        <v>993</v>
      </c>
    </row>
    <row r="8266" spans="1:20" x14ac:dyDescent="0.25">
      <c r="A8266" t="s">
        <v>59</v>
      </c>
      <c r="B8266" t="s">
        <v>31</v>
      </c>
      <c r="C8266" t="s">
        <v>32</v>
      </c>
      <c r="D8266" t="s">
        <v>953</v>
      </c>
      <c r="E8266" t="s">
        <v>954</v>
      </c>
      <c r="F8266" t="s">
        <v>35</v>
      </c>
      <c r="G8266" t="s">
        <v>35</v>
      </c>
      <c r="H8266" t="s">
        <v>35</v>
      </c>
      <c r="J8266" t="s">
        <v>6850</v>
      </c>
      <c r="K8266" t="s">
        <v>1092</v>
      </c>
      <c r="M8266">
        <v>0.57999999999999996</v>
      </c>
      <c r="N8266">
        <v>273</v>
      </c>
      <c r="O8266" t="s">
        <v>5</v>
      </c>
      <c r="Q8266" t="s">
        <v>4595</v>
      </c>
      <c r="R8266" t="s">
        <v>6762</v>
      </c>
      <c r="S8266" t="s">
        <v>992</v>
      </c>
      <c r="T8266" t="s">
        <v>993</v>
      </c>
    </row>
    <row r="8267" spans="1:20" x14ac:dyDescent="0.25">
      <c r="A8267" t="s">
        <v>44</v>
      </c>
      <c r="B8267" t="s">
        <v>3</v>
      </c>
      <c r="C8267" t="s">
        <v>32</v>
      </c>
      <c r="D8267" t="s">
        <v>953</v>
      </c>
      <c r="E8267" t="s">
        <v>7179</v>
      </c>
      <c r="F8267" t="s">
        <v>35</v>
      </c>
      <c r="G8267" t="s">
        <v>35</v>
      </c>
      <c r="H8267" t="s">
        <v>35</v>
      </c>
      <c r="J8267" t="s">
        <v>7181</v>
      </c>
      <c r="K8267" t="s">
        <v>1092</v>
      </c>
      <c r="M8267">
        <v>0.89400000000000002</v>
      </c>
      <c r="N8267">
        <v>47</v>
      </c>
      <c r="O8267" t="s">
        <v>52</v>
      </c>
      <c r="Q8267" t="s">
        <v>1207</v>
      </c>
      <c r="R8267" t="s">
        <v>6762</v>
      </c>
      <c r="S8267" t="s">
        <v>992</v>
      </c>
      <c r="T8267" t="s">
        <v>993</v>
      </c>
    </row>
    <row r="8268" spans="1:20" x14ac:dyDescent="0.25">
      <c r="A8268" t="s">
        <v>44</v>
      </c>
      <c r="B8268" t="s">
        <v>3</v>
      </c>
      <c r="C8268" t="s">
        <v>32</v>
      </c>
      <c r="D8268" t="s">
        <v>953</v>
      </c>
      <c r="E8268" t="s">
        <v>7179</v>
      </c>
      <c r="F8268" t="s">
        <v>35</v>
      </c>
      <c r="G8268" t="s">
        <v>35</v>
      </c>
      <c r="H8268" t="s">
        <v>35</v>
      </c>
      <c r="J8268" t="s">
        <v>7181</v>
      </c>
      <c r="K8268" t="s">
        <v>1092</v>
      </c>
      <c r="M8268">
        <v>1</v>
      </c>
      <c r="N8268">
        <v>8</v>
      </c>
      <c r="O8268" t="s">
        <v>46</v>
      </c>
      <c r="Q8268" t="s">
        <v>1944</v>
      </c>
      <c r="R8268" t="s">
        <v>6762</v>
      </c>
      <c r="S8268" t="s">
        <v>992</v>
      </c>
      <c r="T8268" t="s">
        <v>993</v>
      </c>
    </row>
    <row r="8269" spans="1:20" x14ac:dyDescent="0.25">
      <c r="A8269" t="s">
        <v>59</v>
      </c>
      <c r="B8269" t="s">
        <v>60</v>
      </c>
      <c r="C8269" t="s">
        <v>32</v>
      </c>
      <c r="D8269" t="s">
        <v>953</v>
      </c>
      <c r="E8269" t="s">
        <v>7179</v>
      </c>
      <c r="F8269" t="s">
        <v>35</v>
      </c>
      <c r="G8269" t="s">
        <v>35</v>
      </c>
      <c r="H8269" t="s">
        <v>35</v>
      </c>
      <c r="J8269" t="s">
        <v>7181</v>
      </c>
      <c r="K8269" t="s">
        <v>1092</v>
      </c>
      <c r="M8269">
        <v>0.13400000000000001</v>
      </c>
      <c r="N8269">
        <v>173</v>
      </c>
      <c r="O8269" t="s">
        <v>38</v>
      </c>
      <c r="Q8269" t="s">
        <v>2138</v>
      </c>
      <c r="R8269" t="s">
        <v>6762</v>
      </c>
      <c r="S8269" t="s">
        <v>992</v>
      </c>
      <c r="T8269" t="s">
        <v>993</v>
      </c>
    </row>
    <row r="8270" spans="1:20" x14ac:dyDescent="0.25">
      <c r="A8270" t="s">
        <v>30</v>
      </c>
      <c r="B8270" t="s">
        <v>31</v>
      </c>
      <c r="C8270" t="s">
        <v>32</v>
      </c>
      <c r="D8270" t="s">
        <v>953</v>
      </c>
      <c r="E8270" t="s">
        <v>7179</v>
      </c>
      <c r="F8270" t="s">
        <v>35</v>
      </c>
      <c r="G8270" t="s">
        <v>35</v>
      </c>
      <c r="H8270" t="s">
        <v>35</v>
      </c>
      <c r="J8270" t="s">
        <v>7181</v>
      </c>
      <c r="K8270" t="s">
        <v>1092</v>
      </c>
      <c r="M8270">
        <v>0.91500000000000004</v>
      </c>
      <c r="N8270">
        <v>8</v>
      </c>
      <c r="O8270" t="s">
        <v>46</v>
      </c>
      <c r="Q8270" t="s">
        <v>1944</v>
      </c>
      <c r="R8270" t="s">
        <v>6762</v>
      </c>
      <c r="S8270" t="s">
        <v>992</v>
      </c>
      <c r="T8270" t="s">
        <v>993</v>
      </c>
    </row>
    <row r="8271" spans="1:20" x14ac:dyDescent="0.25">
      <c r="A8271" t="s">
        <v>59</v>
      </c>
      <c r="B8271" t="s">
        <v>31</v>
      </c>
      <c r="C8271" t="s">
        <v>32</v>
      </c>
      <c r="D8271" t="s">
        <v>953</v>
      </c>
      <c r="E8271" t="s">
        <v>7179</v>
      </c>
      <c r="F8271" t="s">
        <v>35</v>
      </c>
      <c r="G8271" t="s">
        <v>35</v>
      </c>
      <c r="H8271" t="s">
        <v>35</v>
      </c>
      <c r="J8271" t="s">
        <v>7181</v>
      </c>
      <c r="K8271" t="s">
        <v>1092</v>
      </c>
      <c r="M8271">
        <v>1.7150000000000001</v>
      </c>
      <c r="N8271">
        <v>47</v>
      </c>
      <c r="O8271" t="s">
        <v>52</v>
      </c>
      <c r="Q8271" t="s">
        <v>1207</v>
      </c>
      <c r="R8271" t="s">
        <v>6762</v>
      </c>
      <c r="S8271" t="s">
        <v>992</v>
      </c>
      <c r="T8271" t="s">
        <v>993</v>
      </c>
    </row>
    <row r="8272" spans="1:20" x14ac:dyDescent="0.25">
      <c r="A8272" t="s">
        <v>44</v>
      </c>
      <c r="B8272" t="s">
        <v>51</v>
      </c>
      <c r="C8272" t="s">
        <v>32</v>
      </c>
      <c r="D8272" t="s">
        <v>953</v>
      </c>
      <c r="E8272" t="s">
        <v>7179</v>
      </c>
      <c r="F8272" t="s">
        <v>35</v>
      </c>
      <c r="G8272" t="s">
        <v>35</v>
      </c>
      <c r="H8272" t="s">
        <v>35</v>
      </c>
      <c r="J8272" t="s">
        <v>7181</v>
      </c>
      <c r="K8272" t="s">
        <v>1092</v>
      </c>
      <c r="M8272">
        <v>1</v>
      </c>
      <c r="N8272">
        <v>8</v>
      </c>
      <c r="O8272" t="s">
        <v>46</v>
      </c>
      <c r="Q8272" t="s">
        <v>1944</v>
      </c>
      <c r="R8272" t="s">
        <v>6762</v>
      </c>
      <c r="S8272" t="s">
        <v>992</v>
      </c>
      <c r="T8272" t="s">
        <v>993</v>
      </c>
    </row>
    <row r="8273" spans="1:20" x14ac:dyDescent="0.25">
      <c r="A8273" t="s">
        <v>44</v>
      </c>
      <c r="B8273" t="s">
        <v>51</v>
      </c>
      <c r="C8273" t="s">
        <v>32</v>
      </c>
      <c r="D8273" t="s">
        <v>953</v>
      </c>
      <c r="E8273" t="s">
        <v>7179</v>
      </c>
      <c r="F8273" t="s">
        <v>35</v>
      </c>
      <c r="G8273" t="s">
        <v>35</v>
      </c>
      <c r="H8273" t="s">
        <v>35</v>
      </c>
      <c r="J8273" t="s">
        <v>7181</v>
      </c>
      <c r="K8273" t="s">
        <v>1092</v>
      </c>
      <c r="M8273">
        <v>0.72799999999999998</v>
      </c>
      <c r="N8273">
        <v>47</v>
      </c>
      <c r="O8273" t="s">
        <v>52</v>
      </c>
      <c r="Q8273" t="s">
        <v>1207</v>
      </c>
      <c r="R8273" t="s">
        <v>6762</v>
      </c>
      <c r="S8273" t="s">
        <v>992</v>
      </c>
      <c r="T8273" t="s">
        <v>993</v>
      </c>
    </row>
    <row r="8274" spans="1:20" x14ac:dyDescent="0.25">
      <c r="A8274" t="s">
        <v>59</v>
      </c>
      <c r="B8274" t="s">
        <v>31</v>
      </c>
      <c r="C8274" t="s">
        <v>32</v>
      </c>
      <c r="D8274" t="s">
        <v>953</v>
      </c>
      <c r="E8274" t="s">
        <v>980</v>
      </c>
      <c r="F8274" t="s">
        <v>35</v>
      </c>
      <c r="G8274" t="s">
        <v>35</v>
      </c>
      <c r="H8274" t="s">
        <v>35</v>
      </c>
      <c r="J8274" t="s">
        <v>7157</v>
      </c>
      <c r="K8274" t="s">
        <v>1092</v>
      </c>
      <c r="M8274">
        <v>1.4999999999999999E-2</v>
      </c>
      <c r="N8274">
        <v>621</v>
      </c>
      <c r="O8274" t="s">
        <v>575</v>
      </c>
      <c r="Q8274" t="s">
        <v>2423</v>
      </c>
      <c r="R8274" t="s">
        <v>6762</v>
      </c>
      <c r="S8274" t="s">
        <v>992</v>
      </c>
      <c r="T8274" t="s">
        <v>993</v>
      </c>
    </row>
    <row r="8275" spans="1:20" x14ac:dyDescent="0.25">
      <c r="A8275" t="s">
        <v>59</v>
      </c>
      <c r="B8275" t="s">
        <v>31</v>
      </c>
      <c r="C8275" t="s">
        <v>32</v>
      </c>
      <c r="D8275" t="s">
        <v>953</v>
      </c>
      <c r="E8275" t="s">
        <v>980</v>
      </c>
      <c r="F8275" t="s">
        <v>35</v>
      </c>
      <c r="G8275" t="s">
        <v>35</v>
      </c>
      <c r="H8275" t="s">
        <v>35</v>
      </c>
      <c r="J8275" t="s">
        <v>7133</v>
      </c>
      <c r="K8275" t="s">
        <v>1092</v>
      </c>
      <c r="M8275">
        <v>1.8</v>
      </c>
      <c r="N8275">
        <v>85</v>
      </c>
      <c r="O8275" t="s">
        <v>61</v>
      </c>
      <c r="Q8275" t="s">
        <v>1100</v>
      </c>
      <c r="R8275" t="s">
        <v>6762</v>
      </c>
      <c r="S8275" t="s">
        <v>992</v>
      </c>
      <c r="T8275" t="s">
        <v>993</v>
      </c>
    </row>
    <row r="8276" spans="1:20" x14ac:dyDescent="0.25">
      <c r="A8276" t="s">
        <v>59</v>
      </c>
      <c r="B8276" t="s">
        <v>31</v>
      </c>
      <c r="C8276" t="s">
        <v>32</v>
      </c>
      <c r="D8276" t="s">
        <v>953</v>
      </c>
      <c r="E8276" t="s">
        <v>980</v>
      </c>
      <c r="F8276" t="s">
        <v>35</v>
      </c>
      <c r="G8276" t="s">
        <v>35</v>
      </c>
      <c r="H8276" t="s">
        <v>35</v>
      </c>
      <c r="J8276" t="s">
        <v>7133</v>
      </c>
      <c r="K8276" t="s">
        <v>1092</v>
      </c>
      <c r="M8276">
        <v>1</v>
      </c>
      <c r="N8276">
        <v>47</v>
      </c>
      <c r="O8276" t="s">
        <v>52</v>
      </c>
      <c r="Q8276" t="s">
        <v>1207</v>
      </c>
      <c r="R8276" t="s">
        <v>6762</v>
      </c>
      <c r="S8276" t="s">
        <v>992</v>
      </c>
      <c r="T8276" t="s">
        <v>993</v>
      </c>
    </row>
    <row r="8277" spans="1:20" x14ac:dyDescent="0.25">
      <c r="A8277" t="s">
        <v>44</v>
      </c>
      <c r="B8277" t="s">
        <v>3</v>
      </c>
      <c r="C8277" t="s">
        <v>32</v>
      </c>
      <c r="D8277" t="s">
        <v>953</v>
      </c>
      <c r="E8277" t="s">
        <v>980</v>
      </c>
      <c r="F8277" t="s">
        <v>35</v>
      </c>
      <c r="G8277" t="s">
        <v>35</v>
      </c>
      <c r="H8277" t="s">
        <v>35</v>
      </c>
      <c r="J8277" t="s">
        <v>7133</v>
      </c>
      <c r="K8277" t="s">
        <v>1092</v>
      </c>
      <c r="M8277">
        <v>1</v>
      </c>
      <c r="N8277">
        <v>47</v>
      </c>
      <c r="O8277" t="s">
        <v>52</v>
      </c>
      <c r="Q8277" t="s">
        <v>1207</v>
      </c>
      <c r="R8277" t="s">
        <v>6762</v>
      </c>
      <c r="S8277" t="s">
        <v>992</v>
      </c>
      <c r="T8277" t="s">
        <v>993</v>
      </c>
    </row>
    <row r="8278" spans="1:20" x14ac:dyDescent="0.25">
      <c r="A8278" t="s">
        <v>44</v>
      </c>
      <c r="B8278" t="s">
        <v>51</v>
      </c>
      <c r="C8278" t="s">
        <v>32</v>
      </c>
      <c r="D8278" t="s">
        <v>953</v>
      </c>
      <c r="E8278" t="s">
        <v>980</v>
      </c>
      <c r="F8278" t="s">
        <v>35</v>
      </c>
      <c r="G8278" t="s">
        <v>35</v>
      </c>
      <c r="H8278" t="s">
        <v>35</v>
      </c>
      <c r="J8278" t="s">
        <v>7133</v>
      </c>
      <c r="K8278" t="s">
        <v>1092</v>
      </c>
      <c r="M8278">
        <v>1</v>
      </c>
      <c r="N8278">
        <v>47</v>
      </c>
      <c r="O8278" t="s">
        <v>52</v>
      </c>
      <c r="Q8278" t="s">
        <v>1207</v>
      </c>
      <c r="R8278" t="s">
        <v>6762</v>
      </c>
      <c r="S8278" t="s">
        <v>992</v>
      </c>
      <c r="T8278" t="s">
        <v>993</v>
      </c>
    </row>
    <row r="8279" spans="1:20" x14ac:dyDescent="0.25">
      <c r="A8279" t="s">
        <v>59</v>
      </c>
      <c r="B8279" t="s">
        <v>31</v>
      </c>
      <c r="C8279" t="s">
        <v>32</v>
      </c>
      <c r="D8279" t="s">
        <v>953</v>
      </c>
      <c r="E8279" t="s">
        <v>7558</v>
      </c>
      <c r="F8279" t="s">
        <v>35</v>
      </c>
      <c r="G8279" t="s">
        <v>35</v>
      </c>
      <c r="H8279" t="s">
        <v>35</v>
      </c>
      <c r="J8279" t="s">
        <v>7573</v>
      </c>
      <c r="K8279" t="s">
        <v>1092</v>
      </c>
      <c r="M8279">
        <v>3.7650000000000001</v>
      </c>
      <c r="N8279">
        <v>1454</v>
      </c>
      <c r="O8279" t="s">
        <v>575</v>
      </c>
      <c r="Q8279" t="s">
        <v>7574</v>
      </c>
      <c r="R8279" t="s">
        <v>6762</v>
      </c>
      <c r="S8279" t="s">
        <v>992</v>
      </c>
      <c r="T8279" t="s">
        <v>993</v>
      </c>
    </row>
    <row r="8280" spans="1:20" x14ac:dyDescent="0.25">
      <c r="A8280" t="s">
        <v>59</v>
      </c>
      <c r="B8280" t="s">
        <v>60</v>
      </c>
      <c r="C8280" t="s">
        <v>32</v>
      </c>
      <c r="D8280" t="s">
        <v>953</v>
      </c>
      <c r="E8280" t="s">
        <v>7558</v>
      </c>
      <c r="F8280" t="s">
        <v>35</v>
      </c>
      <c r="G8280" t="s">
        <v>35</v>
      </c>
      <c r="H8280" t="s">
        <v>35</v>
      </c>
      <c r="J8280" t="s">
        <v>7573</v>
      </c>
      <c r="K8280" t="s">
        <v>1092</v>
      </c>
      <c r="M8280">
        <v>0.1</v>
      </c>
      <c r="N8280">
        <v>1519</v>
      </c>
      <c r="O8280" t="s">
        <v>575</v>
      </c>
      <c r="Q8280" t="s">
        <v>7575</v>
      </c>
      <c r="R8280" t="s">
        <v>6762</v>
      </c>
      <c r="S8280" t="s">
        <v>992</v>
      </c>
      <c r="T8280" t="s">
        <v>993</v>
      </c>
    </row>
    <row r="8281" spans="1:20" x14ac:dyDescent="0.25">
      <c r="A8281" t="s">
        <v>44</v>
      </c>
      <c r="B8281" t="s">
        <v>3</v>
      </c>
      <c r="C8281" t="s">
        <v>32</v>
      </c>
      <c r="D8281" t="s">
        <v>953</v>
      </c>
      <c r="E8281" t="s">
        <v>980</v>
      </c>
      <c r="F8281" t="s">
        <v>35</v>
      </c>
      <c r="G8281" t="s">
        <v>35</v>
      </c>
      <c r="H8281" t="s">
        <v>35</v>
      </c>
      <c r="J8281" t="s">
        <v>7108</v>
      </c>
      <c r="K8281" t="s">
        <v>1092</v>
      </c>
      <c r="M8281">
        <v>0.05</v>
      </c>
      <c r="N8281">
        <v>47</v>
      </c>
      <c r="O8281" t="s">
        <v>52</v>
      </c>
      <c r="Q8281" t="s">
        <v>1207</v>
      </c>
      <c r="R8281" t="s">
        <v>6762</v>
      </c>
      <c r="S8281" t="s">
        <v>992</v>
      </c>
      <c r="T8281" t="s">
        <v>993</v>
      </c>
    </row>
    <row r="8282" spans="1:20" x14ac:dyDescent="0.25">
      <c r="A8282" t="s">
        <v>59</v>
      </c>
      <c r="B8282" t="s">
        <v>31</v>
      </c>
      <c r="C8282" t="s">
        <v>32</v>
      </c>
      <c r="D8282" t="s">
        <v>953</v>
      </c>
      <c r="E8282" t="s">
        <v>980</v>
      </c>
      <c r="F8282" t="s">
        <v>35</v>
      </c>
      <c r="G8282" t="s">
        <v>35</v>
      </c>
      <c r="H8282" t="s">
        <v>35</v>
      </c>
      <c r="J8282" t="s">
        <v>7108</v>
      </c>
      <c r="K8282" t="s">
        <v>1092</v>
      </c>
      <c r="M8282">
        <v>1.175</v>
      </c>
      <c r="N8282">
        <v>47</v>
      </c>
      <c r="O8282" t="s">
        <v>52</v>
      </c>
      <c r="Q8282" t="s">
        <v>1207</v>
      </c>
      <c r="R8282" t="s">
        <v>6762</v>
      </c>
      <c r="S8282" t="s">
        <v>992</v>
      </c>
      <c r="T8282" t="s">
        <v>993</v>
      </c>
    </row>
    <row r="8283" spans="1:20" x14ac:dyDescent="0.25">
      <c r="A8283" t="s">
        <v>59</v>
      </c>
      <c r="B8283" t="s">
        <v>31</v>
      </c>
      <c r="C8283" t="s">
        <v>32</v>
      </c>
      <c r="D8283" t="s">
        <v>953</v>
      </c>
      <c r="E8283" t="s">
        <v>980</v>
      </c>
      <c r="F8283" t="s">
        <v>35</v>
      </c>
      <c r="G8283" t="s">
        <v>35</v>
      </c>
      <c r="H8283" t="s">
        <v>35</v>
      </c>
      <c r="J8283" t="s">
        <v>7163</v>
      </c>
      <c r="K8283" t="s">
        <v>1092</v>
      </c>
      <c r="M8283">
        <v>8.5000000000000006E-2</v>
      </c>
      <c r="N8283">
        <v>134</v>
      </c>
      <c r="O8283" t="s">
        <v>38</v>
      </c>
      <c r="Q8283" t="s">
        <v>1822</v>
      </c>
      <c r="R8283" t="s">
        <v>6762</v>
      </c>
      <c r="S8283" t="s">
        <v>992</v>
      </c>
      <c r="T8283" t="s">
        <v>993</v>
      </c>
    </row>
    <row r="8284" spans="1:20" x14ac:dyDescent="0.25">
      <c r="A8284" t="s">
        <v>59</v>
      </c>
      <c r="B8284" t="s">
        <v>31</v>
      </c>
      <c r="C8284" t="s">
        <v>32</v>
      </c>
      <c r="D8284" t="s">
        <v>953</v>
      </c>
      <c r="E8284" t="s">
        <v>954</v>
      </c>
      <c r="F8284" t="s">
        <v>35</v>
      </c>
      <c r="G8284" t="s">
        <v>35</v>
      </c>
      <c r="H8284" t="s">
        <v>35</v>
      </c>
      <c r="J8284" t="s">
        <v>6760</v>
      </c>
      <c r="K8284" t="s">
        <v>1092</v>
      </c>
      <c r="M8284">
        <v>3.3000000000000002E-2</v>
      </c>
      <c r="N8284">
        <v>537</v>
      </c>
      <c r="O8284" t="s">
        <v>294</v>
      </c>
      <c r="Q8284" t="s">
        <v>6761</v>
      </c>
      <c r="R8284" t="s">
        <v>6762</v>
      </c>
      <c r="S8284" t="s">
        <v>992</v>
      </c>
      <c r="T8284" t="s">
        <v>993</v>
      </c>
    </row>
    <row r="8285" spans="1:20" x14ac:dyDescent="0.25">
      <c r="A8285" t="s">
        <v>59</v>
      </c>
      <c r="B8285" t="s">
        <v>31</v>
      </c>
      <c r="C8285" t="s">
        <v>32</v>
      </c>
      <c r="D8285" t="s">
        <v>953</v>
      </c>
      <c r="F8285" t="s">
        <v>35</v>
      </c>
      <c r="G8285" t="s">
        <v>35</v>
      </c>
      <c r="H8285" t="s">
        <v>35</v>
      </c>
      <c r="J8285" t="s">
        <v>7932</v>
      </c>
      <c r="K8285" t="s">
        <v>1092</v>
      </c>
      <c r="M8285">
        <v>0.45</v>
      </c>
      <c r="N8285">
        <v>450</v>
      </c>
      <c r="O8285" t="s">
        <v>294</v>
      </c>
      <c r="Q8285" t="s">
        <v>2104</v>
      </c>
      <c r="R8285" t="s">
        <v>6762</v>
      </c>
      <c r="S8285" t="s">
        <v>992</v>
      </c>
      <c r="T8285" t="s">
        <v>993</v>
      </c>
    </row>
    <row r="8286" spans="1:20" x14ac:dyDescent="0.25">
      <c r="A8286" t="s">
        <v>59</v>
      </c>
      <c r="B8286" t="s">
        <v>31</v>
      </c>
      <c r="C8286" t="s">
        <v>32</v>
      </c>
      <c r="D8286" t="s">
        <v>953</v>
      </c>
      <c r="E8286" t="s">
        <v>980</v>
      </c>
      <c r="F8286" t="s">
        <v>35</v>
      </c>
      <c r="G8286" t="s">
        <v>35</v>
      </c>
      <c r="H8286" t="s">
        <v>35</v>
      </c>
      <c r="J8286" t="s">
        <v>7113</v>
      </c>
      <c r="K8286" t="s">
        <v>1092</v>
      </c>
      <c r="M8286">
        <v>0.08</v>
      </c>
      <c r="N8286">
        <v>174</v>
      </c>
      <c r="O8286" t="s">
        <v>38</v>
      </c>
      <c r="Q8286" t="s">
        <v>1684</v>
      </c>
      <c r="R8286" t="s">
        <v>6762</v>
      </c>
      <c r="S8286" t="s">
        <v>992</v>
      </c>
      <c r="T8286" t="s">
        <v>993</v>
      </c>
    </row>
    <row r="8287" spans="1:20" x14ac:dyDescent="0.25">
      <c r="A8287" t="s">
        <v>44</v>
      </c>
      <c r="B8287" t="s">
        <v>3</v>
      </c>
      <c r="C8287" t="s">
        <v>32</v>
      </c>
      <c r="D8287" t="s">
        <v>953</v>
      </c>
      <c r="E8287" t="s">
        <v>7494</v>
      </c>
      <c r="F8287" t="s">
        <v>35</v>
      </c>
      <c r="G8287" t="s">
        <v>35</v>
      </c>
      <c r="H8287" t="s">
        <v>35</v>
      </c>
      <c r="J8287" t="s">
        <v>7496</v>
      </c>
      <c r="K8287" t="s">
        <v>1092</v>
      </c>
      <c r="M8287">
        <v>0.875</v>
      </c>
      <c r="N8287">
        <v>42</v>
      </c>
      <c r="O8287" t="s">
        <v>52</v>
      </c>
      <c r="Q8287" t="s">
        <v>219</v>
      </c>
      <c r="R8287" t="s">
        <v>6762</v>
      </c>
      <c r="S8287" t="s">
        <v>992</v>
      </c>
      <c r="T8287" t="s">
        <v>993</v>
      </c>
    </row>
    <row r="8288" spans="1:20" x14ac:dyDescent="0.25">
      <c r="A8288" t="s">
        <v>59</v>
      </c>
      <c r="B8288" t="s">
        <v>31</v>
      </c>
      <c r="C8288" t="s">
        <v>32</v>
      </c>
      <c r="D8288" t="s">
        <v>953</v>
      </c>
      <c r="E8288" t="s">
        <v>7494</v>
      </c>
      <c r="F8288" t="s">
        <v>35</v>
      </c>
      <c r="G8288" t="s">
        <v>35</v>
      </c>
      <c r="H8288" t="s">
        <v>35</v>
      </c>
      <c r="J8288" t="s">
        <v>7496</v>
      </c>
      <c r="K8288" t="s">
        <v>1092</v>
      </c>
      <c r="M8288">
        <v>1.6850000000000001</v>
      </c>
      <c r="N8288">
        <v>42</v>
      </c>
      <c r="O8288" t="s">
        <v>52</v>
      </c>
      <c r="Q8288" t="s">
        <v>219</v>
      </c>
      <c r="R8288" t="s">
        <v>6762</v>
      </c>
      <c r="S8288" t="s">
        <v>992</v>
      </c>
      <c r="T8288" t="s">
        <v>993</v>
      </c>
    </row>
    <row r="8289" spans="1:20" x14ac:dyDescent="0.25">
      <c r="A8289" t="s">
        <v>44</v>
      </c>
      <c r="B8289" t="s">
        <v>51</v>
      </c>
      <c r="C8289" t="s">
        <v>32</v>
      </c>
      <c r="D8289" t="s">
        <v>953</v>
      </c>
      <c r="E8289" t="s">
        <v>7494</v>
      </c>
      <c r="F8289" t="s">
        <v>35</v>
      </c>
      <c r="G8289" t="s">
        <v>35</v>
      </c>
      <c r="H8289" t="s">
        <v>35</v>
      </c>
      <c r="J8289" t="s">
        <v>7496</v>
      </c>
      <c r="K8289" t="s">
        <v>1092</v>
      </c>
      <c r="M8289">
        <v>0.37</v>
      </c>
      <c r="N8289">
        <v>42</v>
      </c>
      <c r="O8289" t="s">
        <v>52</v>
      </c>
      <c r="Q8289" t="s">
        <v>219</v>
      </c>
      <c r="R8289" t="s">
        <v>6762</v>
      </c>
      <c r="S8289" t="s">
        <v>992</v>
      </c>
      <c r="T8289" t="s">
        <v>993</v>
      </c>
    </row>
    <row r="8290" spans="1:20" x14ac:dyDescent="0.25">
      <c r="A8290" t="s">
        <v>44</v>
      </c>
      <c r="B8290" t="s">
        <v>51</v>
      </c>
      <c r="C8290" t="s">
        <v>32</v>
      </c>
      <c r="D8290" t="s">
        <v>953</v>
      </c>
      <c r="E8290" t="s">
        <v>7494</v>
      </c>
      <c r="F8290" t="s">
        <v>35</v>
      </c>
      <c r="G8290" t="s">
        <v>35</v>
      </c>
      <c r="H8290" t="s">
        <v>35</v>
      </c>
      <c r="J8290" t="s">
        <v>7496</v>
      </c>
      <c r="K8290" t="s">
        <v>1092</v>
      </c>
      <c r="M8290">
        <v>1</v>
      </c>
      <c r="N8290">
        <v>14</v>
      </c>
      <c r="O8290" t="s">
        <v>46</v>
      </c>
      <c r="Q8290" t="s">
        <v>1874</v>
      </c>
      <c r="R8290" t="s">
        <v>6762</v>
      </c>
      <c r="S8290" t="s">
        <v>992</v>
      </c>
      <c r="T8290" t="s">
        <v>993</v>
      </c>
    </row>
    <row r="8291" spans="1:20" x14ac:dyDescent="0.25">
      <c r="A8291" t="s">
        <v>59</v>
      </c>
      <c r="B8291" t="s">
        <v>60</v>
      </c>
      <c r="C8291" t="s">
        <v>32</v>
      </c>
      <c r="D8291" t="s">
        <v>953</v>
      </c>
      <c r="E8291" t="s">
        <v>954</v>
      </c>
      <c r="F8291" t="s">
        <v>35</v>
      </c>
      <c r="G8291" t="s">
        <v>35</v>
      </c>
      <c r="H8291" t="s">
        <v>35</v>
      </c>
      <c r="J8291" t="s">
        <v>6833</v>
      </c>
      <c r="K8291" t="s">
        <v>1092</v>
      </c>
      <c r="M8291">
        <v>4.9800000000000004</v>
      </c>
      <c r="N8291">
        <v>47</v>
      </c>
      <c r="O8291" t="s">
        <v>52</v>
      </c>
      <c r="Q8291" t="s">
        <v>1207</v>
      </c>
      <c r="R8291" t="s">
        <v>6762</v>
      </c>
      <c r="S8291" t="s">
        <v>992</v>
      </c>
      <c r="T8291" t="s">
        <v>993</v>
      </c>
    </row>
    <row r="8292" spans="1:20" x14ac:dyDescent="0.25">
      <c r="A8292" t="s">
        <v>44</v>
      </c>
      <c r="B8292" t="s">
        <v>3</v>
      </c>
      <c r="C8292" t="s">
        <v>32</v>
      </c>
      <c r="D8292" t="s">
        <v>953</v>
      </c>
      <c r="E8292" t="s">
        <v>7467</v>
      </c>
      <c r="F8292" t="s">
        <v>35</v>
      </c>
      <c r="G8292" t="s">
        <v>35</v>
      </c>
      <c r="H8292" t="s">
        <v>35</v>
      </c>
      <c r="J8292" t="s">
        <v>7482</v>
      </c>
      <c r="K8292" t="s">
        <v>1092</v>
      </c>
      <c r="M8292">
        <v>5</v>
      </c>
      <c r="N8292">
        <v>58</v>
      </c>
      <c r="O8292" t="s">
        <v>52</v>
      </c>
      <c r="Q8292" t="s">
        <v>128</v>
      </c>
      <c r="R8292" t="s">
        <v>6742</v>
      </c>
      <c r="S8292" t="s">
        <v>1016</v>
      </c>
      <c r="T8292" t="s">
        <v>1017</v>
      </c>
    </row>
    <row r="8293" spans="1:20" x14ac:dyDescent="0.25">
      <c r="A8293" t="s">
        <v>59</v>
      </c>
      <c r="B8293" t="s">
        <v>60</v>
      </c>
      <c r="C8293" t="s">
        <v>32</v>
      </c>
      <c r="D8293" t="s">
        <v>953</v>
      </c>
      <c r="E8293" t="s">
        <v>968</v>
      </c>
      <c r="F8293" t="s">
        <v>35</v>
      </c>
      <c r="G8293" t="s">
        <v>35</v>
      </c>
      <c r="H8293" t="s">
        <v>35</v>
      </c>
      <c r="J8293" t="s">
        <v>6979</v>
      </c>
      <c r="K8293" t="s">
        <v>1092</v>
      </c>
      <c r="M8293">
        <v>3.75</v>
      </c>
      <c r="N8293">
        <v>103</v>
      </c>
      <c r="O8293" t="s">
        <v>106</v>
      </c>
      <c r="Q8293" t="s">
        <v>1494</v>
      </c>
      <c r="R8293" t="s">
        <v>6742</v>
      </c>
      <c r="S8293" t="s">
        <v>1016</v>
      </c>
      <c r="T8293" t="s">
        <v>1017</v>
      </c>
    </row>
    <row r="8294" spans="1:20" x14ac:dyDescent="0.25">
      <c r="A8294" t="s">
        <v>59</v>
      </c>
      <c r="B8294" t="s">
        <v>31</v>
      </c>
      <c r="C8294" t="s">
        <v>32</v>
      </c>
      <c r="D8294" t="s">
        <v>953</v>
      </c>
      <c r="E8294" t="s">
        <v>1072</v>
      </c>
      <c r="F8294" t="s">
        <v>35</v>
      </c>
      <c r="G8294" t="s">
        <v>35</v>
      </c>
      <c r="H8294" t="s">
        <v>35</v>
      </c>
      <c r="J8294" t="s">
        <v>7537</v>
      </c>
      <c r="K8294" t="s">
        <v>1092</v>
      </c>
      <c r="M8294">
        <v>2.25</v>
      </c>
      <c r="N8294">
        <v>55</v>
      </c>
      <c r="O8294" t="s">
        <v>52</v>
      </c>
      <c r="Q8294" t="s">
        <v>90</v>
      </c>
      <c r="R8294" t="s">
        <v>6742</v>
      </c>
      <c r="S8294" t="s">
        <v>1016</v>
      </c>
      <c r="T8294" t="s">
        <v>1017</v>
      </c>
    </row>
    <row r="8295" spans="1:20" x14ac:dyDescent="0.25">
      <c r="A8295" t="s">
        <v>59</v>
      </c>
      <c r="B8295" t="s">
        <v>31</v>
      </c>
      <c r="C8295" t="s">
        <v>32</v>
      </c>
      <c r="D8295" t="s">
        <v>953</v>
      </c>
      <c r="E8295" t="s">
        <v>1072</v>
      </c>
      <c r="F8295" t="s">
        <v>35</v>
      </c>
      <c r="G8295" t="s">
        <v>35</v>
      </c>
      <c r="H8295" t="s">
        <v>35</v>
      </c>
      <c r="J8295" t="s">
        <v>7532</v>
      </c>
      <c r="K8295" t="s">
        <v>1092</v>
      </c>
      <c r="M8295">
        <v>0.40500000000000003</v>
      </c>
      <c r="N8295">
        <v>233</v>
      </c>
      <c r="O8295" t="s">
        <v>5</v>
      </c>
      <c r="Q8295" t="s">
        <v>2516</v>
      </c>
      <c r="R8295" t="s">
        <v>6742</v>
      </c>
      <c r="S8295" t="s">
        <v>1016</v>
      </c>
      <c r="T8295" t="s">
        <v>1017</v>
      </c>
    </row>
    <row r="8296" spans="1:20" x14ac:dyDescent="0.25">
      <c r="A8296" t="s">
        <v>59</v>
      </c>
      <c r="B8296" t="s">
        <v>31</v>
      </c>
      <c r="C8296" t="s">
        <v>32</v>
      </c>
      <c r="D8296" t="s">
        <v>953</v>
      </c>
      <c r="E8296" t="s">
        <v>1072</v>
      </c>
      <c r="F8296" t="s">
        <v>35</v>
      </c>
      <c r="G8296" t="s">
        <v>35</v>
      </c>
      <c r="H8296" t="s">
        <v>35</v>
      </c>
      <c r="J8296" t="s">
        <v>7532</v>
      </c>
      <c r="K8296" t="s">
        <v>1092</v>
      </c>
      <c r="M8296">
        <v>2.7450000000000001</v>
      </c>
      <c r="N8296">
        <v>55</v>
      </c>
      <c r="O8296" t="s">
        <v>52</v>
      </c>
      <c r="Q8296" t="s">
        <v>90</v>
      </c>
      <c r="R8296" t="s">
        <v>6742</v>
      </c>
      <c r="S8296" t="s">
        <v>1016</v>
      </c>
      <c r="T8296" t="s">
        <v>1017</v>
      </c>
    </row>
    <row r="8297" spans="1:20" x14ac:dyDescent="0.25">
      <c r="A8297" t="s">
        <v>44</v>
      </c>
      <c r="B8297" t="s">
        <v>3</v>
      </c>
      <c r="C8297" t="s">
        <v>32</v>
      </c>
      <c r="D8297" t="s">
        <v>953</v>
      </c>
      <c r="E8297" t="s">
        <v>1072</v>
      </c>
      <c r="F8297" t="s">
        <v>35</v>
      </c>
      <c r="G8297" t="s">
        <v>35</v>
      </c>
      <c r="H8297" t="s">
        <v>35</v>
      </c>
      <c r="J8297" t="s">
        <v>7536</v>
      </c>
      <c r="K8297" t="s">
        <v>1092</v>
      </c>
      <c r="M8297">
        <v>5</v>
      </c>
      <c r="N8297">
        <v>41</v>
      </c>
      <c r="O8297" t="s">
        <v>52</v>
      </c>
      <c r="Q8297" t="s">
        <v>496</v>
      </c>
      <c r="R8297" t="s">
        <v>6742</v>
      </c>
      <c r="S8297" t="s">
        <v>1016</v>
      </c>
      <c r="T8297" t="s">
        <v>1017</v>
      </c>
    </row>
    <row r="8298" spans="1:20" x14ac:dyDescent="0.25">
      <c r="A8298" t="s">
        <v>30</v>
      </c>
      <c r="B8298" t="s">
        <v>31</v>
      </c>
      <c r="C8298" t="s">
        <v>32</v>
      </c>
      <c r="D8298" t="s">
        <v>953</v>
      </c>
      <c r="E8298" t="s">
        <v>1077</v>
      </c>
      <c r="F8298" t="s">
        <v>35</v>
      </c>
      <c r="G8298" t="s">
        <v>35</v>
      </c>
      <c r="H8298" t="s">
        <v>35</v>
      </c>
      <c r="J8298" t="s">
        <v>7620</v>
      </c>
      <c r="K8298" t="s">
        <v>1092</v>
      </c>
      <c r="M8298">
        <v>9.27</v>
      </c>
      <c r="N8298">
        <v>16</v>
      </c>
      <c r="O8298" t="s">
        <v>46</v>
      </c>
      <c r="Q8298" t="s">
        <v>1819</v>
      </c>
      <c r="R8298" t="s">
        <v>6742</v>
      </c>
      <c r="S8298" t="s">
        <v>1016</v>
      </c>
      <c r="T8298" t="s">
        <v>1017</v>
      </c>
    </row>
    <row r="8299" spans="1:20" x14ac:dyDescent="0.25">
      <c r="A8299" t="s">
        <v>44</v>
      </c>
      <c r="B8299" t="s">
        <v>3</v>
      </c>
      <c r="C8299" t="s">
        <v>32</v>
      </c>
      <c r="D8299" t="s">
        <v>953</v>
      </c>
      <c r="E8299" t="s">
        <v>1077</v>
      </c>
      <c r="F8299" t="s">
        <v>35</v>
      </c>
      <c r="G8299" t="s">
        <v>35</v>
      </c>
      <c r="H8299" t="s">
        <v>35</v>
      </c>
      <c r="J8299" t="s">
        <v>7620</v>
      </c>
      <c r="K8299" t="s">
        <v>1092</v>
      </c>
      <c r="M8299">
        <v>7.1</v>
      </c>
      <c r="N8299">
        <v>55</v>
      </c>
      <c r="O8299" t="s">
        <v>52</v>
      </c>
      <c r="Q8299" t="s">
        <v>90</v>
      </c>
      <c r="R8299" t="s">
        <v>6742</v>
      </c>
      <c r="S8299" t="s">
        <v>1016</v>
      </c>
      <c r="T8299" t="s">
        <v>1017</v>
      </c>
    </row>
    <row r="8300" spans="1:20" x14ac:dyDescent="0.25">
      <c r="A8300" t="s">
        <v>59</v>
      </c>
      <c r="B8300" t="s">
        <v>60</v>
      </c>
      <c r="C8300" t="s">
        <v>32</v>
      </c>
      <c r="D8300" t="s">
        <v>953</v>
      </c>
      <c r="E8300" t="s">
        <v>1077</v>
      </c>
      <c r="F8300" t="s">
        <v>35</v>
      </c>
      <c r="G8300" t="s">
        <v>35</v>
      </c>
      <c r="H8300" t="s">
        <v>35</v>
      </c>
      <c r="J8300" t="s">
        <v>7620</v>
      </c>
      <c r="K8300" t="s">
        <v>1092</v>
      </c>
      <c r="M8300">
        <v>2.1</v>
      </c>
      <c r="N8300">
        <v>58</v>
      </c>
      <c r="O8300" t="s">
        <v>52</v>
      </c>
      <c r="Q8300" t="s">
        <v>128</v>
      </c>
      <c r="R8300" t="s">
        <v>6742</v>
      </c>
      <c r="S8300" t="s">
        <v>1016</v>
      </c>
      <c r="T8300" t="s">
        <v>1017</v>
      </c>
    </row>
    <row r="8301" spans="1:20" x14ac:dyDescent="0.25">
      <c r="A8301" t="s">
        <v>59</v>
      </c>
      <c r="B8301" t="s">
        <v>60</v>
      </c>
      <c r="C8301" t="s">
        <v>32</v>
      </c>
      <c r="D8301" t="s">
        <v>953</v>
      </c>
      <c r="E8301" t="s">
        <v>1015</v>
      </c>
      <c r="F8301" t="s">
        <v>35</v>
      </c>
      <c r="G8301" t="s">
        <v>35</v>
      </c>
      <c r="H8301" t="s">
        <v>35</v>
      </c>
      <c r="J8301" t="s">
        <v>6391</v>
      </c>
      <c r="K8301" t="s">
        <v>1092</v>
      </c>
      <c r="M8301">
        <v>6.45</v>
      </c>
      <c r="N8301">
        <v>55</v>
      </c>
      <c r="O8301" t="s">
        <v>52</v>
      </c>
      <c r="Q8301" t="s">
        <v>90</v>
      </c>
      <c r="R8301" t="s">
        <v>6742</v>
      </c>
      <c r="S8301" t="s">
        <v>1016</v>
      </c>
      <c r="T8301" t="s">
        <v>1017</v>
      </c>
    </row>
    <row r="8302" spans="1:20" x14ac:dyDescent="0.25">
      <c r="A8302" t="s">
        <v>59</v>
      </c>
      <c r="B8302" t="s">
        <v>60</v>
      </c>
      <c r="C8302" t="s">
        <v>32</v>
      </c>
      <c r="D8302" t="s">
        <v>953</v>
      </c>
      <c r="E8302" t="s">
        <v>1072</v>
      </c>
      <c r="F8302" t="s">
        <v>35</v>
      </c>
      <c r="G8302" t="s">
        <v>35</v>
      </c>
      <c r="H8302" t="s">
        <v>35</v>
      </c>
      <c r="J8302" t="s">
        <v>7534</v>
      </c>
      <c r="K8302" t="s">
        <v>1092</v>
      </c>
      <c r="M8302">
        <v>1</v>
      </c>
      <c r="N8302">
        <v>41</v>
      </c>
      <c r="O8302" t="s">
        <v>52</v>
      </c>
      <c r="Q8302" t="s">
        <v>496</v>
      </c>
      <c r="R8302" t="s">
        <v>6742</v>
      </c>
      <c r="S8302" t="s">
        <v>1016</v>
      </c>
      <c r="T8302" t="s">
        <v>1017</v>
      </c>
    </row>
    <row r="8303" spans="1:20" x14ac:dyDescent="0.25">
      <c r="A8303" t="s">
        <v>59</v>
      </c>
      <c r="B8303" t="s">
        <v>31</v>
      </c>
      <c r="C8303" t="s">
        <v>32</v>
      </c>
      <c r="D8303" t="s">
        <v>953</v>
      </c>
      <c r="E8303" t="s">
        <v>968</v>
      </c>
      <c r="F8303" t="s">
        <v>35</v>
      </c>
      <c r="G8303" t="s">
        <v>35</v>
      </c>
      <c r="H8303" t="s">
        <v>35</v>
      </c>
      <c r="J8303" t="s">
        <v>7032</v>
      </c>
      <c r="K8303" t="s">
        <v>1092</v>
      </c>
      <c r="M8303">
        <v>3.4649999999999999</v>
      </c>
      <c r="N8303">
        <v>237</v>
      </c>
      <c r="O8303" t="s">
        <v>5</v>
      </c>
      <c r="Q8303" t="s">
        <v>1242</v>
      </c>
      <c r="R8303" t="s">
        <v>6742</v>
      </c>
      <c r="S8303" t="s">
        <v>1016</v>
      </c>
      <c r="T8303" t="s">
        <v>1017</v>
      </c>
    </row>
    <row r="8304" spans="1:20" x14ac:dyDescent="0.25">
      <c r="A8304" t="s">
        <v>59</v>
      </c>
      <c r="B8304" t="s">
        <v>60</v>
      </c>
      <c r="C8304" t="s">
        <v>32</v>
      </c>
      <c r="D8304" t="s">
        <v>953</v>
      </c>
      <c r="E8304" t="s">
        <v>6878</v>
      </c>
      <c r="F8304" t="s">
        <v>35</v>
      </c>
      <c r="G8304" t="s">
        <v>35</v>
      </c>
      <c r="H8304" t="s">
        <v>35</v>
      </c>
      <c r="J8304" t="s">
        <v>628</v>
      </c>
      <c r="K8304" t="s">
        <v>1092</v>
      </c>
      <c r="M8304">
        <v>1.9</v>
      </c>
      <c r="N8304">
        <v>174</v>
      </c>
      <c r="O8304" t="s">
        <v>38</v>
      </c>
      <c r="Q8304" t="s">
        <v>1684</v>
      </c>
      <c r="R8304" t="s">
        <v>6742</v>
      </c>
      <c r="S8304" t="s">
        <v>1016</v>
      </c>
      <c r="T8304" t="s">
        <v>1017</v>
      </c>
    </row>
    <row r="8305" spans="1:20" x14ac:dyDescent="0.25">
      <c r="A8305" t="s">
        <v>44</v>
      </c>
      <c r="B8305" t="s">
        <v>51</v>
      </c>
      <c r="C8305" t="s">
        <v>32</v>
      </c>
      <c r="D8305" t="s">
        <v>953</v>
      </c>
      <c r="E8305" t="s">
        <v>6878</v>
      </c>
      <c r="F8305" t="s">
        <v>35</v>
      </c>
      <c r="G8305" t="s">
        <v>35</v>
      </c>
      <c r="H8305" t="s">
        <v>35</v>
      </c>
      <c r="J8305" t="s">
        <v>628</v>
      </c>
      <c r="K8305" t="s">
        <v>1092</v>
      </c>
      <c r="M8305">
        <v>4.7</v>
      </c>
      <c r="N8305">
        <v>20</v>
      </c>
      <c r="O8305" t="s">
        <v>46</v>
      </c>
      <c r="Q8305" t="s">
        <v>1011</v>
      </c>
      <c r="R8305" t="s">
        <v>6742</v>
      </c>
      <c r="S8305" t="s">
        <v>1016</v>
      </c>
      <c r="T8305" t="s">
        <v>1017</v>
      </c>
    </row>
    <row r="8306" spans="1:20" x14ac:dyDescent="0.25">
      <c r="A8306" t="s">
        <v>59</v>
      </c>
      <c r="B8306" t="s">
        <v>60</v>
      </c>
      <c r="C8306" t="s">
        <v>32</v>
      </c>
      <c r="D8306" t="s">
        <v>953</v>
      </c>
      <c r="E8306" t="s">
        <v>6878</v>
      </c>
      <c r="F8306" t="s">
        <v>35</v>
      </c>
      <c r="G8306" t="s">
        <v>35</v>
      </c>
      <c r="H8306" t="s">
        <v>35</v>
      </c>
      <c r="J8306" t="s">
        <v>628</v>
      </c>
      <c r="K8306" t="s">
        <v>1092</v>
      </c>
      <c r="M8306">
        <v>1.1000000000000001</v>
      </c>
      <c r="N8306">
        <v>174</v>
      </c>
      <c r="O8306" t="s">
        <v>38</v>
      </c>
      <c r="Q8306" t="s">
        <v>1684</v>
      </c>
      <c r="R8306" t="s">
        <v>6742</v>
      </c>
      <c r="S8306" t="s">
        <v>1016</v>
      </c>
      <c r="T8306" t="s">
        <v>1017</v>
      </c>
    </row>
    <row r="8307" spans="1:20" x14ac:dyDescent="0.25">
      <c r="A8307" t="s">
        <v>59</v>
      </c>
      <c r="B8307" t="s">
        <v>60</v>
      </c>
      <c r="C8307" t="s">
        <v>32</v>
      </c>
      <c r="D8307" t="s">
        <v>953</v>
      </c>
      <c r="E8307" t="s">
        <v>6878</v>
      </c>
      <c r="F8307" t="s">
        <v>35</v>
      </c>
      <c r="G8307" t="s">
        <v>35</v>
      </c>
      <c r="H8307" t="s">
        <v>35</v>
      </c>
      <c r="J8307" t="s">
        <v>1675</v>
      </c>
      <c r="K8307" t="s">
        <v>1092</v>
      </c>
      <c r="M8307">
        <v>3.75</v>
      </c>
      <c r="N8307">
        <v>86</v>
      </c>
      <c r="O8307" t="s">
        <v>61</v>
      </c>
      <c r="Q8307" t="s">
        <v>941</v>
      </c>
      <c r="R8307" t="s">
        <v>6742</v>
      </c>
      <c r="S8307" t="s">
        <v>1016</v>
      </c>
      <c r="T8307" t="s">
        <v>1017</v>
      </c>
    </row>
    <row r="8308" spans="1:20" x14ac:dyDescent="0.25">
      <c r="A8308" t="s">
        <v>59</v>
      </c>
      <c r="B8308" t="s">
        <v>60</v>
      </c>
      <c r="C8308" t="s">
        <v>32</v>
      </c>
      <c r="D8308" t="s">
        <v>953</v>
      </c>
      <c r="E8308" t="s">
        <v>7740</v>
      </c>
      <c r="F8308" t="s">
        <v>35</v>
      </c>
      <c r="G8308" t="s">
        <v>35</v>
      </c>
      <c r="H8308" t="s">
        <v>35</v>
      </c>
      <c r="J8308" t="s">
        <v>7747</v>
      </c>
      <c r="K8308" t="s">
        <v>1092</v>
      </c>
      <c r="M8308">
        <v>0.1</v>
      </c>
      <c r="N8308">
        <v>394</v>
      </c>
      <c r="O8308" t="s">
        <v>294</v>
      </c>
      <c r="Q8308" t="s">
        <v>1434</v>
      </c>
      <c r="R8308" t="s">
        <v>6742</v>
      </c>
      <c r="S8308" t="s">
        <v>1016</v>
      </c>
      <c r="T8308" t="s">
        <v>1017</v>
      </c>
    </row>
    <row r="8309" spans="1:20" x14ac:dyDescent="0.25">
      <c r="A8309" t="s">
        <v>59</v>
      </c>
      <c r="B8309" t="s">
        <v>60</v>
      </c>
      <c r="C8309" t="s">
        <v>32</v>
      </c>
      <c r="D8309" t="s">
        <v>953</v>
      </c>
      <c r="E8309" t="s">
        <v>7558</v>
      </c>
      <c r="F8309" t="s">
        <v>35</v>
      </c>
      <c r="G8309" t="s">
        <v>35</v>
      </c>
      <c r="H8309" t="s">
        <v>35</v>
      </c>
      <c r="J8309" t="s">
        <v>6412</v>
      </c>
      <c r="K8309" t="s">
        <v>1092</v>
      </c>
      <c r="M8309">
        <v>6.5</v>
      </c>
      <c r="N8309">
        <v>58</v>
      </c>
      <c r="O8309" t="s">
        <v>52</v>
      </c>
      <c r="Q8309" t="s">
        <v>128</v>
      </c>
      <c r="R8309" t="s">
        <v>6742</v>
      </c>
      <c r="S8309" t="s">
        <v>1016</v>
      </c>
      <c r="T8309" t="s">
        <v>1017</v>
      </c>
    </row>
    <row r="8310" spans="1:20" x14ac:dyDescent="0.25">
      <c r="A8310" t="s">
        <v>59</v>
      </c>
      <c r="B8310" t="s">
        <v>60</v>
      </c>
      <c r="C8310" t="s">
        <v>32</v>
      </c>
      <c r="D8310" t="s">
        <v>953</v>
      </c>
      <c r="E8310" t="s">
        <v>6878</v>
      </c>
      <c r="F8310" t="s">
        <v>35</v>
      </c>
      <c r="G8310" t="s">
        <v>35</v>
      </c>
      <c r="H8310" t="s">
        <v>35</v>
      </c>
      <c r="J8310" t="s">
        <v>6925</v>
      </c>
      <c r="K8310" t="s">
        <v>1092</v>
      </c>
      <c r="M8310">
        <v>5</v>
      </c>
      <c r="N8310">
        <v>58</v>
      </c>
      <c r="O8310" t="s">
        <v>52</v>
      </c>
      <c r="Q8310" t="s">
        <v>128</v>
      </c>
      <c r="R8310" t="s">
        <v>6742</v>
      </c>
      <c r="S8310" t="s">
        <v>1016</v>
      </c>
      <c r="T8310" t="s">
        <v>1017</v>
      </c>
    </row>
    <row r="8311" spans="1:20" x14ac:dyDescent="0.25">
      <c r="A8311" t="s">
        <v>30</v>
      </c>
      <c r="B8311" t="s">
        <v>31</v>
      </c>
      <c r="C8311" t="s">
        <v>32</v>
      </c>
      <c r="D8311" t="s">
        <v>953</v>
      </c>
      <c r="E8311" t="s">
        <v>1077</v>
      </c>
      <c r="F8311" t="s">
        <v>35</v>
      </c>
      <c r="G8311" t="s">
        <v>35</v>
      </c>
      <c r="H8311" t="s">
        <v>35</v>
      </c>
      <c r="J8311" t="s">
        <v>7627</v>
      </c>
      <c r="K8311" t="s">
        <v>1092</v>
      </c>
      <c r="M8311">
        <v>3.6</v>
      </c>
      <c r="N8311">
        <v>20</v>
      </c>
      <c r="O8311" t="s">
        <v>46</v>
      </c>
      <c r="Q8311" t="s">
        <v>1011</v>
      </c>
      <c r="R8311" t="s">
        <v>6742</v>
      </c>
      <c r="S8311" t="s">
        <v>1016</v>
      </c>
      <c r="T8311" t="s">
        <v>1017</v>
      </c>
    </row>
    <row r="8312" spans="1:20" x14ac:dyDescent="0.25">
      <c r="A8312" t="s">
        <v>59</v>
      </c>
      <c r="B8312" t="s">
        <v>60</v>
      </c>
      <c r="C8312" t="s">
        <v>32</v>
      </c>
      <c r="D8312" t="s">
        <v>953</v>
      </c>
      <c r="F8312" t="s">
        <v>35</v>
      </c>
      <c r="G8312" t="s">
        <v>35</v>
      </c>
      <c r="H8312" t="s">
        <v>35</v>
      </c>
      <c r="J8312" t="s">
        <v>8021</v>
      </c>
      <c r="K8312" t="s">
        <v>1092</v>
      </c>
      <c r="M8312">
        <v>1</v>
      </c>
      <c r="N8312">
        <v>1714</v>
      </c>
      <c r="O8312" t="s">
        <v>575</v>
      </c>
      <c r="Q8312" t="s">
        <v>7964</v>
      </c>
      <c r="R8312" t="s">
        <v>6742</v>
      </c>
      <c r="S8312" t="s">
        <v>1016</v>
      </c>
      <c r="T8312" t="s">
        <v>1017</v>
      </c>
    </row>
    <row r="8313" spans="1:20" x14ac:dyDescent="0.25">
      <c r="A8313" t="s">
        <v>59</v>
      </c>
      <c r="B8313" t="s">
        <v>31</v>
      </c>
      <c r="C8313" t="s">
        <v>32</v>
      </c>
      <c r="D8313" t="s">
        <v>953</v>
      </c>
      <c r="E8313" t="s">
        <v>7164</v>
      </c>
      <c r="F8313" t="s">
        <v>35</v>
      </c>
      <c r="G8313" t="s">
        <v>35</v>
      </c>
      <c r="H8313" t="s">
        <v>35</v>
      </c>
      <c r="J8313" t="s">
        <v>7174</v>
      </c>
      <c r="K8313" t="s">
        <v>1092</v>
      </c>
      <c r="M8313">
        <v>9.99</v>
      </c>
      <c r="N8313">
        <v>58</v>
      </c>
      <c r="O8313" t="s">
        <v>52</v>
      </c>
      <c r="Q8313" t="s">
        <v>128</v>
      </c>
      <c r="R8313" t="s">
        <v>6742</v>
      </c>
      <c r="S8313" t="s">
        <v>1016</v>
      </c>
      <c r="T8313" t="s">
        <v>1017</v>
      </c>
    </row>
    <row r="8314" spans="1:20" x14ac:dyDescent="0.25">
      <c r="A8314" t="s">
        <v>30</v>
      </c>
      <c r="B8314" t="s">
        <v>31</v>
      </c>
      <c r="C8314" t="s">
        <v>32</v>
      </c>
      <c r="D8314" t="s">
        <v>953</v>
      </c>
      <c r="E8314" t="s">
        <v>1072</v>
      </c>
      <c r="F8314" t="s">
        <v>35</v>
      </c>
      <c r="G8314" t="s">
        <v>35</v>
      </c>
      <c r="H8314" t="s">
        <v>35</v>
      </c>
      <c r="J8314" t="s">
        <v>7533</v>
      </c>
      <c r="K8314" t="s">
        <v>1092</v>
      </c>
      <c r="M8314">
        <v>9.99</v>
      </c>
      <c r="N8314">
        <v>16</v>
      </c>
      <c r="O8314" t="s">
        <v>46</v>
      </c>
      <c r="Q8314" t="s">
        <v>1819</v>
      </c>
      <c r="R8314" t="s">
        <v>6742</v>
      </c>
      <c r="S8314" t="s">
        <v>1016</v>
      </c>
      <c r="T8314" t="s">
        <v>1017</v>
      </c>
    </row>
    <row r="8315" spans="1:20" x14ac:dyDescent="0.25">
      <c r="A8315" t="s">
        <v>59</v>
      </c>
      <c r="B8315" t="s">
        <v>60</v>
      </c>
      <c r="C8315" t="s">
        <v>32</v>
      </c>
      <c r="D8315" t="s">
        <v>953</v>
      </c>
      <c r="E8315" t="s">
        <v>1077</v>
      </c>
      <c r="F8315" t="s">
        <v>35</v>
      </c>
      <c r="G8315" t="s">
        <v>35</v>
      </c>
      <c r="H8315" t="s">
        <v>35</v>
      </c>
      <c r="J8315" t="s">
        <v>7734</v>
      </c>
      <c r="K8315" t="s">
        <v>1092</v>
      </c>
      <c r="M8315">
        <v>0.35</v>
      </c>
      <c r="N8315">
        <v>244</v>
      </c>
      <c r="O8315" t="s">
        <v>5</v>
      </c>
      <c r="Q8315" t="s">
        <v>1688</v>
      </c>
      <c r="R8315" t="s">
        <v>6742</v>
      </c>
      <c r="S8315" t="s">
        <v>1016</v>
      </c>
      <c r="T8315" t="s">
        <v>1017</v>
      </c>
    </row>
    <row r="8316" spans="1:20" x14ac:dyDescent="0.25">
      <c r="A8316" t="s">
        <v>44</v>
      </c>
      <c r="B8316" t="s">
        <v>3</v>
      </c>
      <c r="C8316" t="s">
        <v>32</v>
      </c>
      <c r="D8316" t="s">
        <v>953</v>
      </c>
      <c r="E8316" t="s">
        <v>1072</v>
      </c>
      <c r="F8316" t="s">
        <v>35</v>
      </c>
      <c r="G8316" t="s">
        <v>35</v>
      </c>
      <c r="H8316" t="s">
        <v>35</v>
      </c>
      <c r="J8316" t="s">
        <v>7547</v>
      </c>
      <c r="K8316" t="s">
        <v>1092</v>
      </c>
      <c r="M8316">
        <v>1.5</v>
      </c>
      <c r="N8316">
        <v>41</v>
      </c>
      <c r="O8316" t="s">
        <v>52</v>
      </c>
      <c r="Q8316" t="s">
        <v>496</v>
      </c>
      <c r="R8316" t="s">
        <v>6742</v>
      </c>
      <c r="S8316" t="s">
        <v>1016</v>
      </c>
      <c r="T8316" t="s">
        <v>1017</v>
      </c>
    </row>
    <row r="8317" spans="1:20" x14ac:dyDescent="0.25">
      <c r="A8317" t="s">
        <v>44</v>
      </c>
      <c r="B8317" t="s">
        <v>3</v>
      </c>
      <c r="C8317" t="s">
        <v>32</v>
      </c>
      <c r="D8317" t="s">
        <v>953</v>
      </c>
      <c r="E8317" t="s">
        <v>968</v>
      </c>
      <c r="F8317" t="s">
        <v>35</v>
      </c>
      <c r="G8317" t="s">
        <v>35</v>
      </c>
      <c r="H8317" t="s">
        <v>35</v>
      </c>
      <c r="J8317" t="s">
        <v>6989</v>
      </c>
      <c r="K8317" t="s">
        <v>1092</v>
      </c>
      <c r="M8317">
        <v>5</v>
      </c>
      <c r="N8317">
        <v>58</v>
      </c>
      <c r="O8317" t="s">
        <v>52</v>
      </c>
      <c r="Q8317" t="s">
        <v>128</v>
      </c>
      <c r="R8317" t="s">
        <v>6742</v>
      </c>
      <c r="S8317" t="s">
        <v>1016</v>
      </c>
      <c r="T8317" t="s">
        <v>1017</v>
      </c>
    </row>
    <row r="8318" spans="1:20" x14ac:dyDescent="0.25">
      <c r="A8318" t="s">
        <v>59</v>
      </c>
      <c r="B8318" t="s">
        <v>60</v>
      </c>
      <c r="C8318" t="s">
        <v>32</v>
      </c>
      <c r="D8318" t="s">
        <v>953</v>
      </c>
      <c r="E8318" t="s">
        <v>968</v>
      </c>
      <c r="F8318" t="s">
        <v>35</v>
      </c>
      <c r="G8318" t="s">
        <v>35</v>
      </c>
      <c r="H8318" t="s">
        <v>35</v>
      </c>
      <c r="J8318" t="s">
        <v>6989</v>
      </c>
      <c r="K8318" t="s">
        <v>1092</v>
      </c>
      <c r="M8318">
        <v>5</v>
      </c>
      <c r="N8318">
        <v>86</v>
      </c>
      <c r="O8318" t="s">
        <v>61</v>
      </c>
      <c r="Q8318" t="s">
        <v>941</v>
      </c>
      <c r="R8318" t="s">
        <v>6742</v>
      </c>
      <c r="S8318" t="s">
        <v>1016</v>
      </c>
      <c r="T8318" t="s">
        <v>1017</v>
      </c>
    </row>
    <row r="8319" spans="1:20" x14ac:dyDescent="0.25">
      <c r="A8319" t="s">
        <v>30</v>
      </c>
      <c r="B8319" t="s">
        <v>31</v>
      </c>
      <c r="C8319" t="s">
        <v>32</v>
      </c>
      <c r="D8319" t="s">
        <v>953</v>
      </c>
      <c r="E8319" t="s">
        <v>1007</v>
      </c>
      <c r="F8319" t="s">
        <v>35</v>
      </c>
      <c r="G8319" t="s">
        <v>35</v>
      </c>
      <c r="H8319" t="s">
        <v>35</v>
      </c>
      <c r="J8319" t="s">
        <v>7328</v>
      </c>
      <c r="K8319" t="s">
        <v>1092</v>
      </c>
      <c r="M8319">
        <v>4.9950000000000001</v>
      </c>
      <c r="N8319">
        <v>16</v>
      </c>
      <c r="O8319" t="s">
        <v>46</v>
      </c>
      <c r="Q8319" t="s">
        <v>1819</v>
      </c>
      <c r="R8319" t="s">
        <v>6742</v>
      </c>
      <c r="S8319" t="s">
        <v>1016</v>
      </c>
      <c r="T8319" t="s">
        <v>1017</v>
      </c>
    </row>
    <row r="8320" spans="1:20" x14ac:dyDescent="0.25">
      <c r="A8320" t="s">
        <v>59</v>
      </c>
      <c r="B8320" t="s">
        <v>60</v>
      </c>
      <c r="C8320" t="s">
        <v>32</v>
      </c>
      <c r="D8320" t="s">
        <v>953</v>
      </c>
      <c r="E8320" t="s">
        <v>1077</v>
      </c>
      <c r="F8320" t="s">
        <v>35</v>
      </c>
      <c r="G8320" t="s">
        <v>35</v>
      </c>
      <c r="H8320" t="s">
        <v>35</v>
      </c>
      <c r="J8320" t="s">
        <v>7728</v>
      </c>
      <c r="K8320" t="s">
        <v>1092</v>
      </c>
      <c r="M8320">
        <v>3.75</v>
      </c>
      <c r="N8320">
        <v>83</v>
      </c>
      <c r="O8320" t="s">
        <v>61</v>
      </c>
      <c r="Q8320" t="s">
        <v>897</v>
      </c>
      <c r="R8320" t="s">
        <v>6742</v>
      </c>
      <c r="S8320" t="s">
        <v>1016</v>
      </c>
      <c r="T8320" t="s">
        <v>1017</v>
      </c>
    </row>
    <row r="8321" spans="1:20" x14ac:dyDescent="0.25">
      <c r="A8321" t="s">
        <v>30</v>
      </c>
      <c r="B8321" t="s">
        <v>31</v>
      </c>
      <c r="C8321" t="s">
        <v>32</v>
      </c>
      <c r="D8321" t="s">
        <v>953</v>
      </c>
      <c r="F8321" t="s">
        <v>35</v>
      </c>
      <c r="G8321" t="s">
        <v>35</v>
      </c>
      <c r="H8321" t="s">
        <v>35</v>
      </c>
      <c r="J8321" t="s">
        <v>8098</v>
      </c>
      <c r="K8321" t="s">
        <v>1092</v>
      </c>
      <c r="M8321">
        <v>2.4750000000000001</v>
      </c>
      <c r="N8321">
        <v>41</v>
      </c>
      <c r="O8321" t="s">
        <v>52</v>
      </c>
      <c r="Q8321" t="s">
        <v>496</v>
      </c>
      <c r="R8321" t="s">
        <v>6742</v>
      </c>
      <c r="S8321" t="s">
        <v>1016</v>
      </c>
      <c r="T8321" t="s">
        <v>1017</v>
      </c>
    </row>
    <row r="8322" spans="1:20" x14ac:dyDescent="0.25">
      <c r="A8322" t="s">
        <v>30</v>
      </c>
      <c r="B8322" t="s">
        <v>31</v>
      </c>
      <c r="C8322" t="s">
        <v>32</v>
      </c>
      <c r="D8322" t="s">
        <v>953</v>
      </c>
      <c r="E8322" t="s">
        <v>954</v>
      </c>
      <c r="F8322" t="s">
        <v>35</v>
      </c>
      <c r="G8322" t="s">
        <v>35</v>
      </c>
      <c r="H8322" t="s">
        <v>35</v>
      </c>
      <c r="J8322" t="s">
        <v>6740</v>
      </c>
      <c r="K8322" t="s">
        <v>1092</v>
      </c>
      <c r="M8322">
        <v>4.3650000000000002</v>
      </c>
      <c r="N8322">
        <v>37</v>
      </c>
      <c r="O8322" t="s">
        <v>52</v>
      </c>
      <c r="Q8322" t="s">
        <v>192</v>
      </c>
      <c r="R8322" t="s">
        <v>6742</v>
      </c>
      <c r="S8322" t="s">
        <v>1016</v>
      </c>
      <c r="T8322" t="s">
        <v>1017</v>
      </c>
    </row>
    <row r="8323" spans="1:20" x14ac:dyDescent="0.25">
      <c r="A8323" t="s">
        <v>59</v>
      </c>
      <c r="B8323" t="s">
        <v>60</v>
      </c>
      <c r="C8323" t="s">
        <v>32</v>
      </c>
      <c r="D8323" t="s">
        <v>953</v>
      </c>
      <c r="E8323" t="s">
        <v>7740</v>
      </c>
      <c r="F8323" t="s">
        <v>35</v>
      </c>
      <c r="G8323" t="s">
        <v>35</v>
      </c>
      <c r="H8323" t="s">
        <v>35</v>
      </c>
      <c r="J8323" t="s">
        <v>7748</v>
      </c>
      <c r="K8323" t="s">
        <v>1092</v>
      </c>
      <c r="M8323">
        <v>1.64</v>
      </c>
      <c r="N8323">
        <v>86</v>
      </c>
      <c r="O8323" t="s">
        <v>61</v>
      </c>
      <c r="Q8323" t="s">
        <v>941</v>
      </c>
      <c r="R8323" t="s">
        <v>6742</v>
      </c>
      <c r="S8323" t="s">
        <v>1016</v>
      </c>
      <c r="T8323" t="s">
        <v>1017</v>
      </c>
    </row>
    <row r="8324" spans="1:20" x14ac:dyDescent="0.25">
      <c r="A8324" t="s">
        <v>59</v>
      </c>
      <c r="B8324" t="s">
        <v>60</v>
      </c>
      <c r="C8324" t="s">
        <v>32</v>
      </c>
      <c r="D8324" t="s">
        <v>953</v>
      </c>
      <c r="E8324" t="s">
        <v>7740</v>
      </c>
      <c r="F8324" t="s">
        <v>35</v>
      </c>
      <c r="G8324" t="s">
        <v>35</v>
      </c>
      <c r="H8324" t="s">
        <v>35</v>
      </c>
      <c r="J8324" t="s">
        <v>7763</v>
      </c>
      <c r="K8324" t="s">
        <v>1092</v>
      </c>
      <c r="M8324">
        <v>5</v>
      </c>
      <c r="N8324">
        <v>83</v>
      </c>
      <c r="O8324" t="s">
        <v>61</v>
      </c>
      <c r="Q8324" t="s">
        <v>897</v>
      </c>
      <c r="R8324" t="s">
        <v>6742</v>
      </c>
      <c r="S8324" t="s">
        <v>1016</v>
      </c>
      <c r="T8324" t="s">
        <v>1017</v>
      </c>
    </row>
    <row r="8325" spans="1:20" x14ac:dyDescent="0.25">
      <c r="A8325" t="s">
        <v>44</v>
      </c>
      <c r="B8325" t="s">
        <v>3</v>
      </c>
      <c r="C8325" t="s">
        <v>32</v>
      </c>
      <c r="D8325" t="s">
        <v>953</v>
      </c>
      <c r="E8325" t="s">
        <v>1072</v>
      </c>
      <c r="F8325" t="s">
        <v>35</v>
      </c>
      <c r="G8325" t="s">
        <v>35</v>
      </c>
      <c r="H8325" t="s">
        <v>35</v>
      </c>
      <c r="J8325" t="s">
        <v>7521</v>
      </c>
      <c r="K8325" t="s">
        <v>1092</v>
      </c>
      <c r="M8325">
        <v>1.8</v>
      </c>
      <c r="N8325">
        <v>58</v>
      </c>
      <c r="O8325" t="s">
        <v>52</v>
      </c>
      <c r="Q8325" t="s">
        <v>128</v>
      </c>
      <c r="R8325" t="s">
        <v>6742</v>
      </c>
      <c r="S8325" t="s">
        <v>1016</v>
      </c>
      <c r="T8325" t="s">
        <v>1017</v>
      </c>
    </row>
    <row r="8326" spans="1:20" x14ac:dyDescent="0.25">
      <c r="A8326" t="s">
        <v>59</v>
      </c>
      <c r="B8326" t="s">
        <v>60</v>
      </c>
      <c r="C8326" t="s">
        <v>32</v>
      </c>
      <c r="D8326" t="s">
        <v>953</v>
      </c>
      <c r="E8326" t="s">
        <v>1072</v>
      </c>
      <c r="F8326" t="s">
        <v>35</v>
      </c>
      <c r="G8326" t="s">
        <v>35</v>
      </c>
      <c r="H8326" t="s">
        <v>35</v>
      </c>
      <c r="J8326" t="s">
        <v>7521</v>
      </c>
      <c r="K8326" t="s">
        <v>1092</v>
      </c>
      <c r="M8326">
        <v>5</v>
      </c>
      <c r="N8326">
        <v>58</v>
      </c>
      <c r="O8326" t="s">
        <v>52</v>
      </c>
      <c r="Q8326" t="s">
        <v>128</v>
      </c>
      <c r="R8326" t="s">
        <v>6742</v>
      </c>
      <c r="S8326" t="s">
        <v>1016</v>
      </c>
      <c r="T8326" t="s">
        <v>1017</v>
      </c>
    </row>
    <row r="8327" spans="1:20" x14ac:dyDescent="0.25">
      <c r="A8327" t="s">
        <v>59</v>
      </c>
      <c r="B8327" t="s">
        <v>31</v>
      </c>
      <c r="C8327" t="s">
        <v>32</v>
      </c>
      <c r="D8327" t="s">
        <v>953</v>
      </c>
      <c r="E8327" t="s">
        <v>7467</v>
      </c>
      <c r="F8327" t="s">
        <v>35</v>
      </c>
      <c r="G8327" t="s">
        <v>35</v>
      </c>
      <c r="H8327" t="s">
        <v>35</v>
      </c>
      <c r="J8327" t="s">
        <v>2419</v>
      </c>
      <c r="K8327" t="s">
        <v>1092</v>
      </c>
      <c r="M8327">
        <v>0.76500000000000001</v>
      </c>
      <c r="N8327">
        <v>503</v>
      </c>
      <c r="O8327" t="s">
        <v>294</v>
      </c>
      <c r="Q8327" t="s">
        <v>4279</v>
      </c>
      <c r="R8327" t="s">
        <v>6742</v>
      </c>
      <c r="S8327" t="s">
        <v>1016</v>
      </c>
      <c r="T8327" t="s">
        <v>1017</v>
      </c>
    </row>
    <row r="8328" spans="1:20" x14ac:dyDescent="0.25">
      <c r="A8328" t="s">
        <v>59</v>
      </c>
      <c r="B8328" t="s">
        <v>31</v>
      </c>
      <c r="C8328" t="s">
        <v>32</v>
      </c>
      <c r="D8328" t="s">
        <v>953</v>
      </c>
      <c r="E8328" t="s">
        <v>6878</v>
      </c>
      <c r="F8328" t="s">
        <v>35</v>
      </c>
      <c r="G8328" t="s">
        <v>35</v>
      </c>
      <c r="H8328" t="s">
        <v>35</v>
      </c>
      <c r="J8328" t="s">
        <v>6907</v>
      </c>
      <c r="K8328" t="s">
        <v>1092</v>
      </c>
      <c r="M8328">
        <v>1.62</v>
      </c>
      <c r="N8328">
        <v>86</v>
      </c>
      <c r="O8328" t="s">
        <v>61</v>
      </c>
      <c r="Q8328" t="s">
        <v>941</v>
      </c>
      <c r="R8328" t="s">
        <v>6742</v>
      </c>
      <c r="S8328" t="s">
        <v>1016</v>
      </c>
      <c r="T8328" t="s">
        <v>1017</v>
      </c>
    </row>
    <row r="8329" spans="1:20" x14ac:dyDescent="0.25">
      <c r="A8329" t="s">
        <v>59</v>
      </c>
      <c r="B8329" t="s">
        <v>60</v>
      </c>
      <c r="C8329" t="s">
        <v>32</v>
      </c>
      <c r="D8329" t="s">
        <v>953</v>
      </c>
      <c r="E8329" t="s">
        <v>1015</v>
      </c>
      <c r="F8329" t="s">
        <v>35</v>
      </c>
      <c r="G8329" t="s">
        <v>35</v>
      </c>
      <c r="H8329" t="s">
        <v>35</v>
      </c>
      <c r="J8329" t="s">
        <v>3285</v>
      </c>
      <c r="K8329" t="s">
        <v>1092</v>
      </c>
      <c r="M8329">
        <v>3</v>
      </c>
      <c r="N8329">
        <v>55</v>
      </c>
      <c r="O8329" t="s">
        <v>52</v>
      </c>
      <c r="Q8329" t="s">
        <v>90</v>
      </c>
      <c r="R8329" t="s">
        <v>6742</v>
      </c>
      <c r="S8329" t="s">
        <v>1016</v>
      </c>
      <c r="T8329" t="s">
        <v>1017</v>
      </c>
    </row>
    <row r="8330" spans="1:20" x14ac:dyDescent="0.25">
      <c r="A8330" t="s">
        <v>30</v>
      </c>
      <c r="B8330" t="s">
        <v>31</v>
      </c>
      <c r="C8330" t="s">
        <v>32</v>
      </c>
      <c r="D8330" t="s">
        <v>953</v>
      </c>
      <c r="E8330" t="s">
        <v>1077</v>
      </c>
      <c r="F8330" t="s">
        <v>35</v>
      </c>
      <c r="G8330" t="s">
        <v>35</v>
      </c>
      <c r="H8330" t="s">
        <v>35</v>
      </c>
      <c r="J8330" t="s">
        <v>7730</v>
      </c>
      <c r="K8330" t="s">
        <v>1092</v>
      </c>
      <c r="M8330">
        <v>3.32</v>
      </c>
      <c r="N8330">
        <v>41</v>
      </c>
      <c r="O8330" t="s">
        <v>52</v>
      </c>
      <c r="Q8330" t="s">
        <v>496</v>
      </c>
      <c r="R8330" t="s">
        <v>6742</v>
      </c>
      <c r="S8330" t="s">
        <v>1016</v>
      </c>
      <c r="T8330" t="s">
        <v>1017</v>
      </c>
    </row>
    <row r="8331" spans="1:20" x14ac:dyDescent="0.25">
      <c r="A8331" t="s">
        <v>44</v>
      </c>
      <c r="B8331" t="s">
        <v>3</v>
      </c>
      <c r="C8331" t="s">
        <v>32</v>
      </c>
      <c r="D8331" t="s">
        <v>953</v>
      </c>
      <c r="E8331" t="s">
        <v>1072</v>
      </c>
      <c r="F8331" t="s">
        <v>35</v>
      </c>
      <c r="G8331" t="s">
        <v>35</v>
      </c>
      <c r="H8331" t="s">
        <v>35</v>
      </c>
      <c r="J8331" t="s">
        <v>7517</v>
      </c>
      <c r="K8331" t="s">
        <v>1092</v>
      </c>
      <c r="M8331">
        <v>1.5</v>
      </c>
      <c r="N8331">
        <v>41</v>
      </c>
      <c r="O8331" t="s">
        <v>52</v>
      </c>
      <c r="Q8331" t="s">
        <v>496</v>
      </c>
      <c r="R8331" t="s">
        <v>6742</v>
      </c>
      <c r="S8331" t="s">
        <v>1016</v>
      </c>
      <c r="T8331" t="s">
        <v>1017</v>
      </c>
    </row>
    <row r="8332" spans="1:20" x14ac:dyDescent="0.25">
      <c r="A8332" t="s">
        <v>30</v>
      </c>
      <c r="B8332" t="s">
        <v>31</v>
      </c>
      <c r="C8332" t="s">
        <v>32</v>
      </c>
      <c r="D8332" t="s">
        <v>953</v>
      </c>
      <c r="F8332" t="s">
        <v>35</v>
      </c>
      <c r="G8332" t="s">
        <v>35</v>
      </c>
      <c r="H8332" t="s">
        <v>35</v>
      </c>
      <c r="J8332" t="s">
        <v>7949</v>
      </c>
      <c r="K8332" t="s">
        <v>1092</v>
      </c>
      <c r="M8332">
        <v>10.98</v>
      </c>
      <c r="N8332">
        <v>41</v>
      </c>
      <c r="O8332" t="s">
        <v>52</v>
      </c>
      <c r="Q8332" t="s">
        <v>496</v>
      </c>
      <c r="R8332" t="s">
        <v>6742</v>
      </c>
      <c r="S8332" t="s">
        <v>1016</v>
      </c>
      <c r="T8332" t="s">
        <v>1017</v>
      </c>
    </row>
    <row r="8333" spans="1:20" x14ac:dyDescent="0.25">
      <c r="A8333" t="s">
        <v>30</v>
      </c>
      <c r="B8333" t="s">
        <v>31</v>
      </c>
      <c r="C8333" t="s">
        <v>32</v>
      </c>
      <c r="D8333" t="s">
        <v>953</v>
      </c>
      <c r="E8333" t="s">
        <v>1077</v>
      </c>
      <c r="F8333" t="s">
        <v>35</v>
      </c>
      <c r="G8333" t="s">
        <v>35</v>
      </c>
      <c r="H8333" t="s">
        <v>35</v>
      </c>
      <c r="J8333" t="s">
        <v>7636</v>
      </c>
      <c r="K8333" t="s">
        <v>1092</v>
      </c>
      <c r="M8333">
        <v>6.84</v>
      </c>
      <c r="N8333">
        <v>16</v>
      </c>
      <c r="O8333" t="s">
        <v>46</v>
      </c>
      <c r="Q8333" t="s">
        <v>1819</v>
      </c>
      <c r="R8333" t="s">
        <v>6742</v>
      </c>
      <c r="S8333" t="s">
        <v>1016</v>
      </c>
      <c r="T8333" t="s">
        <v>1017</v>
      </c>
    </row>
    <row r="8334" spans="1:20" x14ac:dyDescent="0.25">
      <c r="A8334" t="s">
        <v>59</v>
      </c>
      <c r="B8334" t="s">
        <v>31</v>
      </c>
      <c r="C8334" t="s">
        <v>32</v>
      </c>
      <c r="D8334" t="s">
        <v>953</v>
      </c>
      <c r="F8334" t="s">
        <v>35</v>
      </c>
      <c r="G8334" t="s">
        <v>35</v>
      </c>
      <c r="H8334" t="s">
        <v>35</v>
      </c>
      <c r="J8334" t="s">
        <v>8044</v>
      </c>
      <c r="K8334" t="s">
        <v>1092</v>
      </c>
      <c r="M8334">
        <v>1.665</v>
      </c>
      <c r="N8334">
        <v>1171</v>
      </c>
      <c r="O8334" t="s">
        <v>575</v>
      </c>
      <c r="Q8334" t="s">
        <v>2326</v>
      </c>
      <c r="R8334" t="s">
        <v>6742</v>
      </c>
      <c r="S8334" t="s">
        <v>1016</v>
      </c>
      <c r="T8334" t="s">
        <v>1017</v>
      </c>
    </row>
    <row r="8335" spans="1:20" x14ac:dyDescent="0.25">
      <c r="A8335" t="s">
        <v>30</v>
      </c>
      <c r="B8335" t="s">
        <v>31</v>
      </c>
      <c r="C8335" t="s">
        <v>32</v>
      </c>
      <c r="D8335" t="s">
        <v>953</v>
      </c>
      <c r="E8335" t="s">
        <v>6878</v>
      </c>
      <c r="F8335" t="s">
        <v>35</v>
      </c>
      <c r="G8335" t="s">
        <v>35</v>
      </c>
      <c r="H8335" t="s">
        <v>35</v>
      </c>
      <c r="J8335" t="s">
        <v>6879</v>
      </c>
      <c r="K8335" t="s">
        <v>1092</v>
      </c>
      <c r="M8335">
        <v>9.8000000000000007</v>
      </c>
      <c r="N8335">
        <v>16</v>
      </c>
      <c r="O8335" t="s">
        <v>46</v>
      </c>
      <c r="Q8335" t="s">
        <v>1819</v>
      </c>
      <c r="R8335" t="s">
        <v>6742</v>
      </c>
      <c r="S8335" t="s">
        <v>1016</v>
      </c>
      <c r="T8335" t="s">
        <v>1017</v>
      </c>
    </row>
    <row r="8336" spans="1:20" x14ac:dyDescent="0.25">
      <c r="A8336" t="s">
        <v>59</v>
      </c>
      <c r="B8336" t="s">
        <v>31</v>
      </c>
      <c r="C8336" t="s">
        <v>32</v>
      </c>
      <c r="D8336" t="s">
        <v>953</v>
      </c>
      <c r="E8336" t="s">
        <v>968</v>
      </c>
      <c r="F8336" t="s">
        <v>35</v>
      </c>
      <c r="G8336" t="s">
        <v>35</v>
      </c>
      <c r="H8336" t="s">
        <v>35</v>
      </c>
      <c r="J8336" t="s">
        <v>7028</v>
      </c>
      <c r="K8336" t="s">
        <v>1092</v>
      </c>
      <c r="M8336">
        <v>4.9950000000000001</v>
      </c>
      <c r="N8336">
        <v>142</v>
      </c>
      <c r="O8336" t="s">
        <v>38</v>
      </c>
      <c r="Q8336" t="s">
        <v>73</v>
      </c>
      <c r="R8336" t="s">
        <v>6742</v>
      </c>
      <c r="S8336" t="s">
        <v>1016</v>
      </c>
      <c r="T8336" t="s">
        <v>1017</v>
      </c>
    </row>
    <row r="8337" spans="1:20" x14ac:dyDescent="0.25">
      <c r="A8337" t="s">
        <v>59</v>
      </c>
      <c r="B8337" t="s">
        <v>31</v>
      </c>
      <c r="C8337" t="s">
        <v>32</v>
      </c>
      <c r="D8337" t="s">
        <v>953</v>
      </c>
      <c r="F8337" t="s">
        <v>35</v>
      </c>
      <c r="G8337" t="s">
        <v>35</v>
      </c>
      <c r="H8337" t="s">
        <v>35</v>
      </c>
      <c r="J8337" t="s">
        <v>7935</v>
      </c>
      <c r="K8337" t="s">
        <v>1092</v>
      </c>
      <c r="M8337">
        <v>4.0949999999999998</v>
      </c>
      <c r="N8337">
        <v>55</v>
      </c>
      <c r="O8337" t="s">
        <v>52</v>
      </c>
      <c r="Q8337" t="s">
        <v>90</v>
      </c>
      <c r="R8337" t="s">
        <v>6742</v>
      </c>
      <c r="S8337" t="s">
        <v>1016</v>
      </c>
      <c r="T8337" t="s">
        <v>1017</v>
      </c>
    </row>
    <row r="8338" spans="1:20" x14ac:dyDescent="0.25">
      <c r="A8338" t="s">
        <v>44</v>
      </c>
      <c r="B8338" t="s">
        <v>3</v>
      </c>
      <c r="C8338" t="s">
        <v>32</v>
      </c>
      <c r="D8338" t="s">
        <v>953</v>
      </c>
      <c r="E8338" t="s">
        <v>968</v>
      </c>
      <c r="F8338" t="s">
        <v>35</v>
      </c>
      <c r="G8338" t="s">
        <v>35</v>
      </c>
      <c r="H8338" t="s">
        <v>35</v>
      </c>
      <c r="J8338" t="s">
        <v>7040</v>
      </c>
      <c r="K8338" t="s">
        <v>1092</v>
      </c>
      <c r="M8338">
        <v>5.6</v>
      </c>
      <c r="N8338">
        <v>62</v>
      </c>
      <c r="O8338" t="s">
        <v>61</v>
      </c>
      <c r="Q8338" t="s">
        <v>139</v>
      </c>
      <c r="R8338" t="s">
        <v>6742</v>
      </c>
      <c r="S8338" t="s">
        <v>1016</v>
      </c>
      <c r="T8338" t="s">
        <v>1017</v>
      </c>
    </row>
    <row r="8339" spans="1:20" x14ac:dyDescent="0.25">
      <c r="A8339" t="s">
        <v>59</v>
      </c>
      <c r="B8339" t="s">
        <v>60</v>
      </c>
      <c r="C8339" t="s">
        <v>32</v>
      </c>
      <c r="D8339" t="s">
        <v>953</v>
      </c>
      <c r="E8339" t="s">
        <v>968</v>
      </c>
      <c r="F8339" t="s">
        <v>35</v>
      </c>
      <c r="G8339" t="s">
        <v>35</v>
      </c>
      <c r="H8339" t="s">
        <v>35</v>
      </c>
      <c r="J8339" t="s">
        <v>7040</v>
      </c>
      <c r="K8339" t="s">
        <v>1092</v>
      </c>
      <c r="M8339">
        <v>2.6</v>
      </c>
      <c r="N8339">
        <v>58</v>
      </c>
      <c r="O8339" t="s">
        <v>52</v>
      </c>
      <c r="Q8339" t="s">
        <v>128</v>
      </c>
      <c r="R8339" t="s">
        <v>6742</v>
      </c>
      <c r="S8339" t="s">
        <v>1016</v>
      </c>
      <c r="T8339" t="s">
        <v>1017</v>
      </c>
    </row>
    <row r="8340" spans="1:20" x14ac:dyDescent="0.25">
      <c r="A8340" t="s">
        <v>59</v>
      </c>
      <c r="B8340" t="s">
        <v>60</v>
      </c>
      <c r="C8340" t="s">
        <v>32</v>
      </c>
      <c r="D8340" t="s">
        <v>953</v>
      </c>
      <c r="E8340" t="s">
        <v>1077</v>
      </c>
      <c r="F8340" t="s">
        <v>35</v>
      </c>
      <c r="G8340" t="s">
        <v>35</v>
      </c>
      <c r="H8340" t="s">
        <v>35</v>
      </c>
      <c r="J8340" t="s">
        <v>7643</v>
      </c>
      <c r="K8340" t="s">
        <v>1092</v>
      </c>
      <c r="M8340">
        <v>0.72</v>
      </c>
      <c r="N8340">
        <v>86</v>
      </c>
      <c r="O8340" t="s">
        <v>61</v>
      </c>
      <c r="Q8340" t="s">
        <v>941</v>
      </c>
      <c r="R8340" t="s">
        <v>6742</v>
      </c>
      <c r="S8340" t="s">
        <v>1016</v>
      </c>
      <c r="T8340" t="s">
        <v>1017</v>
      </c>
    </row>
    <row r="8341" spans="1:20" x14ac:dyDescent="0.25">
      <c r="A8341" t="s">
        <v>59</v>
      </c>
      <c r="B8341" t="s">
        <v>60</v>
      </c>
      <c r="C8341" t="s">
        <v>32</v>
      </c>
      <c r="D8341" t="s">
        <v>953</v>
      </c>
      <c r="E8341" t="s">
        <v>1072</v>
      </c>
      <c r="F8341" t="s">
        <v>35</v>
      </c>
      <c r="G8341" t="s">
        <v>35</v>
      </c>
      <c r="H8341" t="s">
        <v>35</v>
      </c>
      <c r="J8341" t="s">
        <v>7530</v>
      </c>
      <c r="K8341" t="s">
        <v>1092</v>
      </c>
      <c r="M8341">
        <v>0.3</v>
      </c>
      <c r="N8341">
        <v>41</v>
      </c>
      <c r="O8341" t="s">
        <v>52</v>
      </c>
      <c r="Q8341" t="s">
        <v>496</v>
      </c>
      <c r="R8341" t="s">
        <v>6742</v>
      </c>
      <c r="S8341" t="s">
        <v>1016</v>
      </c>
      <c r="T8341" t="s">
        <v>1017</v>
      </c>
    </row>
    <row r="8342" spans="1:20" x14ac:dyDescent="0.25">
      <c r="A8342" t="s">
        <v>44</v>
      </c>
      <c r="B8342" t="s">
        <v>3</v>
      </c>
      <c r="C8342" t="s">
        <v>32</v>
      </c>
      <c r="D8342" t="s">
        <v>953</v>
      </c>
      <c r="E8342" t="s">
        <v>1072</v>
      </c>
      <c r="F8342" t="s">
        <v>35</v>
      </c>
      <c r="G8342" t="s">
        <v>35</v>
      </c>
      <c r="H8342" t="s">
        <v>35</v>
      </c>
      <c r="J8342" t="s">
        <v>7538</v>
      </c>
      <c r="K8342" t="s">
        <v>1092</v>
      </c>
      <c r="M8342">
        <v>0.7</v>
      </c>
      <c r="N8342">
        <v>41</v>
      </c>
      <c r="O8342" t="s">
        <v>52</v>
      </c>
      <c r="Q8342" t="s">
        <v>496</v>
      </c>
      <c r="R8342" t="s">
        <v>6742</v>
      </c>
      <c r="S8342" t="s">
        <v>1016</v>
      </c>
      <c r="T8342" t="s">
        <v>1017</v>
      </c>
    </row>
    <row r="8343" spans="1:20" x14ac:dyDescent="0.25">
      <c r="A8343" t="s">
        <v>59</v>
      </c>
      <c r="B8343" t="s">
        <v>60</v>
      </c>
      <c r="C8343" t="s">
        <v>32</v>
      </c>
      <c r="D8343" t="s">
        <v>953</v>
      </c>
      <c r="E8343" t="s">
        <v>6878</v>
      </c>
      <c r="F8343" t="s">
        <v>35</v>
      </c>
      <c r="G8343" t="s">
        <v>35</v>
      </c>
      <c r="H8343" t="s">
        <v>35</v>
      </c>
      <c r="J8343" t="s">
        <v>6950</v>
      </c>
      <c r="K8343" t="s">
        <v>1092</v>
      </c>
      <c r="M8343">
        <v>4.9000000000000004</v>
      </c>
      <c r="N8343">
        <v>86</v>
      </c>
      <c r="O8343" t="s">
        <v>61</v>
      </c>
      <c r="Q8343" t="s">
        <v>941</v>
      </c>
      <c r="R8343" t="s">
        <v>6742</v>
      </c>
      <c r="S8343" t="s">
        <v>1016</v>
      </c>
      <c r="T8343" t="s">
        <v>1017</v>
      </c>
    </row>
    <row r="8344" spans="1:20" x14ac:dyDescent="0.25">
      <c r="A8344" t="s">
        <v>59</v>
      </c>
      <c r="B8344" t="s">
        <v>60</v>
      </c>
      <c r="C8344" t="s">
        <v>32</v>
      </c>
      <c r="D8344" t="s">
        <v>953</v>
      </c>
      <c r="E8344" t="s">
        <v>1072</v>
      </c>
      <c r="F8344" t="s">
        <v>35</v>
      </c>
      <c r="G8344" t="s">
        <v>35</v>
      </c>
      <c r="H8344" t="s">
        <v>35</v>
      </c>
      <c r="J8344" t="s">
        <v>7556</v>
      </c>
      <c r="K8344" t="s">
        <v>404</v>
      </c>
      <c r="M8344">
        <v>1.55</v>
      </c>
      <c r="N8344">
        <v>233</v>
      </c>
      <c r="O8344" t="s">
        <v>5</v>
      </c>
      <c r="Q8344" t="s">
        <v>2516</v>
      </c>
      <c r="R8344" t="s">
        <v>6742</v>
      </c>
      <c r="S8344" t="s">
        <v>1016</v>
      </c>
      <c r="T8344" t="s">
        <v>1017</v>
      </c>
    </row>
    <row r="8345" spans="1:20" x14ac:dyDescent="0.25">
      <c r="A8345" t="s">
        <v>59</v>
      </c>
      <c r="B8345" t="s">
        <v>60</v>
      </c>
      <c r="C8345" t="s">
        <v>32</v>
      </c>
      <c r="D8345" t="s">
        <v>953</v>
      </c>
      <c r="E8345" t="s">
        <v>968</v>
      </c>
      <c r="F8345" t="s">
        <v>35</v>
      </c>
      <c r="G8345" t="s">
        <v>35</v>
      </c>
      <c r="H8345" t="s">
        <v>35</v>
      </c>
      <c r="J8345" t="s">
        <v>7015</v>
      </c>
      <c r="K8345" t="s">
        <v>1092</v>
      </c>
      <c r="M8345">
        <v>3.9</v>
      </c>
      <c r="N8345">
        <v>58</v>
      </c>
      <c r="O8345" t="s">
        <v>52</v>
      </c>
      <c r="Q8345" t="s">
        <v>128</v>
      </c>
      <c r="R8345" t="s">
        <v>6742</v>
      </c>
      <c r="S8345" t="s">
        <v>1016</v>
      </c>
      <c r="T8345" t="s">
        <v>1017</v>
      </c>
    </row>
    <row r="8346" spans="1:20" x14ac:dyDescent="0.25">
      <c r="A8346" t="s">
        <v>59</v>
      </c>
      <c r="B8346" t="s">
        <v>31</v>
      </c>
      <c r="C8346" t="s">
        <v>32</v>
      </c>
      <c r="D8346" t="s">
        <v>953</v>
      </c>
      <c r="E8346" t="s">
        <v>968</v>
      </c>
      <c r="F8346" t="s">
        <v>35</v>
      </c>
      <c r="G8346" t="s">
        <v>35</v>
      </c>
      <c r="H8346" t="s">
        <v>35</v>
      </c>
      <c r="J8346" t="s">
        <v>7015</v>
      </c>
      <c r="K8346" t="s">
        <v>1092</v>
      </c>
      <c r="M8346">
        <v>2.52</v>
      </c>
      <c r="N8346">
        <v>58</v>
      </c>
      <c r="O8346" t="s">
        <v>52</v>
      </c>
      <c r="Q8346" t="s">
        <v>128</v>
      </c>
      <c r="R8346" t="s">
        <v>6742</v>
      </c>
      <c r="S8346" t="s">
        <v>1016</v>
      </c>
      <c r="T8346" t="s">
        <v>1017</v>
      </c>
    </row>
    <row r="8347" spans="1:20" x14ac:dyDescent="0.25">
      <c r="A8347" t="s">
        <v>30</v>
      </c>
      <c r="B8347" t="s">
        <v>31</v>
      </c>
      <c r="C8347" t="s">
        <v>32</v>
      </c>
      <c r="D8347" t="s">
        <v>953</v>
      </c>
      <c r="E8347" t="s">
        <v>968</v>
      </c>
      <c r="F8347" t="s">
        <v>35</v>
      </c>
      <c r="G8347" t="s">
        <v>35</v>
      </c>
      <c r="H8347" t="s">
        <v>35</v>
      </c>
      <c r="J8347" t="s">
        <v>7015</v>
      </c>
      <c r="K8347" t="s">
        <v>1092</v>
      </c>
      <c r="M8347">
        <v>9.99</v>
      </c>
      <c r="N8347">
        <v>16</v>
      </c>
      <c r="O8347" t="s">
        <v>46</v>
      </c>
      <c r="Q8347" t="s">
        <v>1819</v>
      </c>
      <c r="R8347" t="s">
        <v>6742</v>
      </c>
      <c r="S8347" t="s">
        <v>1016</v>
      </c>
      <c r="T8347" t="s">
        <v>1017</v>
      </c>
    </row>
    <row r="8348" spans="1:20" x14ac:dyDescent="0.25">
      <c r="A8348" t="s">
        <v>44</v>
      </c>
      <c r="B8348" t="s">
        <v>3</v>
      </c>
      <c r="C8348" t="s">
        <v>32</v>
      </c>
      <c r="D8348" t="s">
        <v>953</v>
      </c>
      <c r="E8348" t="s">
        <v>968</v>
      </c>
      <c r="F8348" t="s">
        <v>35</v>
      </c>
      <c r="G8348" t="s">
        <v>35</v>
      </c>
      <c r="H8348" t="s">
        <v>35</v>
      </c>
      <c r="J8348" t="s">
        <v>7015</v>
      </c>
      <c r="K8348" t="s">
        <v>1092</v>
      </c>
      <c r="M8348">
        <v>3.9</v>
      </c>
      <c r="N8348">
        <v>62</v>
      </c>
      <c r="O8348" t="s">
        <v>61</v>
      </c>
      <c r="Q8348" t="s">
        <v>139</v>
      </c>
      <c r="R8348" t="s">
        <v>6742</v>
      </c>
      <c r="S8348" t="s">
        <v>1016</v>
      </c>
      <c r="T8348" t="s">
        <v>1017</v>
      </c>
    </row>
    <row r="8349" spans="1:20" x14ac:dyDescent="0.25">
      <c r="A8349" t="s">
        <v>59</v>
      </c>
      <c r="B8349" t="s">
        <v>31</v>
      </c>
      <c r="C8349" t="s">
        <v>32</v>
      </c>
      <c r="D8349" t="s">
        <v>953</v>
      </c>
      <c r="E8349" t="s">
        <v>7467</v>
      </c>
      <c r="F8349" t="s">
        <v>35</v>
      </c>
      <c r="G8349" t="s">
        <v>35</v>
      </c>
      <c r="H8349" t="s">
        <v>35</v>
      </c>
      <c r="J8349" t="s">
        <v>7489</v>
      </c>
      <c r="K8349" t="s">
        <v>1092</v>
      </c>
      <c r="M8349">
        <v>4.4999999999999998E-2</v>
      </c>
      <c r="N8349">
        <v>86</v>
      </c>
      <c r="O8349" t="s">
        <v>61</v>
      </c>
      <c r="Q8349" t="s">
        <v>941</v>
      </c>
      <c r="R8349" t="s">
        <v>6742</v>
      </c>
      <c r="S8349" t="s">
        <v>1016</v>
      </c>
      <c r="T8349" t="s">
        <v>1017</v>
      </c>
    </row>
    <row r="8350" spans="1:20" x14ac:dyDescent="0.25">
      <c r="A8350" t="s">
        <v>30</v>
      </c>
      <c r="B8350" t="s">
        <v>31</v>
      </c>
      <c r="C8350" t="s">
        <v>32</v>
      </c>
      <c r="D8350" t="s">
        <v>953</v>
      </c>
      <c r="E8350" t="s">
        <v>1015</v>
      </c>
      <c r="F8350" t="s">
        <v>35</v>
      </c>
      <c r="G8350" t="s">
        <v>35</v>
      </c>
      <c r="H8350" t="s">
        <v>35</v>
      </c>
      <c r="J8350" t="s">
        <v>7368</v>
      </c>
      <c r="K8350" t="s">
        <v>1092</v>
      </c>
      <c r="M8350">
        <v>1.08</v>
      </c>
      <c r="N8350">
        <v>41</v>
      </c>
      <c r="O8350" t="s">
        <v>52</v>
      </c>
      <c r="Q8350" t="s">
        <v>496</v>
      </c>
      <c r="R8350" t="s">
        <v>6742</v>
      </c>
      <c r="S8350" t="s">
        <v>1016</v>
      </c>
      <c r="T8350" t="s">
        <v>1017</v>
      </c>
    </row>
    <row r="8351" spans="1:20" x14ac:dyDescent="0.25">
      <c r="A8351" t="s">
        <v>59</v>
      </c>
      <c r="B8351" t="s">
        <v>60</v>
      </c>
      <c r="C8351" t="s">
        <v>32</v>
      </c>
      <c r="D8351" t="s">
        <v>953</v>
      </c>
      <c r="E8351" t="s">
        <v>1072</v>
      </c>
      <c r="F8351" t="s">
        <v>35</v>
      </c>
      <c r="G8351" t="s">
        <v>35</v>
      </c>
      <c r="H8351" t="s">
        <v>35</v>
      </c>
      <c r="J8351" t="s">
        <v>7519</v>
      </c>
      <c r="K8351" t="s">
        <v>1092</v>
      </c>
      <c r="M8351">
        <v>2.25</v>
      </c>
      <c r="N8351">
        <v>41</v>
      </c>
      <c r="O8351" t="s">
        <v>52</v>
      </c>
      <c r="Q8351" t="s">
        <v>496</v>
      </c>
      <c r="R8351" t="s">
        <v>6742</v>
      </c>
      <c r="S8351" t="s">
        <v>1016</v>
      </c>
      <c r="T8351" t="s">
        <v>1017</v>
      </c>
    </row>
    <row r="8352" spans="1:20" x14ac:dyDescent="0.25">
      <c r="A8352" t="s">
        <v>30</v>
      </c>
      <c r="B8352" t="s">
        <v>31</v>
      </c>
      <c r="C8352" t="s">
        <v>32</v>
      </c>
      <c r="D8352" t="s">
        <v>953</v>
      </c>
      <c r="E8352" t="s">
        <v>1072</v>
      </c>
      <c r="F8352" t="s">
        <v>35</v>
      </c>
      <c r="G8352" t="s">
        <v>35</v>
      </c>
      <c r="H8352" t="s">
        <v>35</v>
      </c>
      <c r="J8352" t="s">
        <v>7519</v>
      </c>
      <c r="K8352" t="s">
        <v>1092</v>
      </c>
      <c r="M8352">
        <v>4.9950000000000001</v>
      </c>
      <c r="N8352">
        <v>9</v>
      </c>
      <c r="O8352" t="s">
        <v>46</v>
      </c>
      <c r="Q8352" t="s">
        <v>323</v>
      </c>
      <c r="R8352" t="s">
        <v>6742</v>
      </c>
      <c r="S8352" t="s">
        <v>1016</v>
      </c>
      <c r="T8352" t="s">
        <v>1017</v>
      </c>
    </row>
    <row r="8353" spans="1:20" x14ac:dyDescent="0.25">
      <c r="A8353" t="s">
        <v>59</v>
      </c>
      <c r="B8353" t="s">
        <v>31</v>
      </c>
      <c r="C8353" t="s">
        <v>32</v>
      </c>
      <c r="D8353" t="s">
        <v>953</v>
      </c>
      <c r="F8353" t="s">
        <v>35</v>
      </c>
      <c r="G8353" t="s">
        <v>35</v>
      </c>
      <c r="H8353" t="s">
        <v>35</v>
      </c>
      <c r="J8353" t="s">
        <v>7951</v>
      </c>
      <c r="K8353" t="s">
        <v>1092</v>
      </c>
      <c r="M8353">
        <v>0.315</v>
      </c>
      <c r="N8353">
        <v>1238</v>
      </c>
      <c r="O8353" t="s">
        <v>575</v>
      </c>
      <c r="Q8353" t="s">
        <v>7952</v>
      </c>
      <c r="R8353" t="s">
        <v>6742</v>
      </c>
      <c r="S8353" t="s">
        <v>1016</v>
      </c>
      <c r="T8353" t="s">
        <v>1017</v>
      </c>
    </row>
    <row r="8354" spans="1:20" x14ac:dyDescent="0.25">
      <c r="A8354" t="s">
        <v>59</v>
      </c>
      <c r="B8354" t="s">
        <v>31</v>
      </c>
      <c r="C8354" t="s">
        <v>32</v>
      </c>
      <c r="D8354" t="s">
        <v>953</v>
      </c>
      <c r="E8354" t="s">
        <v>6878</v>
      </c>
      <c r="F8354" t="s">
        <v>35</v>
      </c>
      <c r="G8354" t="s">
        <v>35</v>
      </c>
      <c r="H8354" t="s">
        <v>35</v>
      </c>
      <c r="J8354" t="s">
        <v>6896</v>
      </c>
      <c r="K8354" t="s">
        <v>1092</v>
      </c>
      <c r="M8354">
        <v>1.3049999999999999</v>
      </c>
      <c r="N8354">
        <v>83</v>
      </c>
      <c r="O8354" t="s">
        <v>61</v>
      </c>
      <c r="Q8354" t="s">
        <v>897</v>
      </c>
      <c r="R8354" t="s">
        <v>6742</v>
      </c>
      <c r="S8354" t="s">
        <v>1016</v>
      </c>
      <c r="T8354" t="s">
        <v>1017</v>
      </c>
    </row>
    <row r="8355" spans="1:20" x14ac:dyDescent="0.25">
      <c r="A8355" t="s">
        <v>30</v>
      </c>
      <c r="B8355" t="s">
        <v>31</v>
      </c>
      <c r="C8355" t="s">
        <v>32</v>
      </c>
      <c r="D8355" t="s">
        <v>953</v>
      </c>
      <c r="E8355" t="s">
        <v>1084</v>
      </c>
      <c r="F8355" t="s">
        <v>35</v>
      </c>
      <c r="G8355" t="s">
        <v>35</v>
      </c>
      <c r="H8355" t="s">
        <v>35</v>
      </c>
      <c r="J8355" t="s">
        <v>7185</v>
      </c>
      <c r="K8355" t="s">
        <v>1092</v>
      </c>
      <c r="M8355">
        <v>0.9</v>
      </c>
      <c r="N8355">
        <v>12</v>
      </c>
      <c r="O8355" t="s">
        <v>46</v>
      </c>
      <c r="Q8355" t="s">
        <v>1192</v>
      </c>
      <c r="R8355" t="s">
        <v>6891</v>
      </c>
      <c r="S8355" t="s">
        <v>1085</v>
      </c>
      <c r="T8355" t="s">
        <v>1086</v>
      </c>
    </row>
    <row r="8356" spans="1:20" x14ac:dyDescent="0.25">
      <c r="A8356" t="s">
        <v>59</v>
      </c>
      <c r="B8356" t="s">
        <v>60</v>
      </c>
      <c r="C8356" t="s">
        <v>32</v>
      </c>
      <c r="D8356" t="s">
        <v>953</v>
      </c>
      <c r="E8356" t="s">
        <v>1084</v>
      </c>
      <c r="F8356" t="s">
        <v>35</v>
      </c>
      <c r="G8356" t="s">
        <v>35</v>
      </c>
      <c r="H8356" t="s">
        <v>35</v>
      </c>
      <c r="J8356" t="s">
        <v>7185</v>
      </c>
      <c r="K8356" t="s">
        <v>1092</v>
      </c>
      <c r="M8356">
        <v>0.9</v>
      </c>
      <c r="N8356">
        <v>12</v>
      </c>
      <c r="O8356" t="s">
        <v>46</v>
      </c>
      <c r="Q8356" t="s">
        <v>1192</v>
      </c>
      <c r="R8356" t="s">
        <v>6891</v>
      </c>
      <c r="S8356" t="s">
        <v>1085</v>
      </c>
      <c r="T8356" t="s">
        <v>1086</v>
      </c>
    </row>
    <row r="8357" spans="1:20" x14ac:dyDescent="0.25">
      <c r="A8357" t="s">
        <v>59</v>
      </c>
      <c r="B8357" t="s">
        <v>60</v>
      </c>
      <c r="C8357" t="s">
        <v>32</v>
      </c>
      <c r="D8357" t="s">
        <v>953</v>
      </c>
      <c r="F8357" t="s">
        <v>35</v>
      </c>
      <c r="G8357" t="s">
        <v>35</v>
      </c>
      <c r="H8357" t="s">
        <v>35</v>
      </c>
      <c r="J8357" t="s">
        <v>8065</v>
      </c>
      <c r="K8357" t="s">
        <v>1092</v>
      </c>
      <c r="M8357">
        <v>0.25</v>
      </c>
      <c r="N8357">
        <v>2206</v>
      </c>
      <c r="O8357" t="s">
        <v>575</v>
      </c>
      <c r="Q8357" t="s">
        <v>8071</v>
      </c>
      <c r="R8357" t="s">
        <v>6891</v>
      </c>
      <c r="S8357" t="s">
        <v>1085</v>
      </c>
      <c r="T8357" t="s">
        <v>1086</v>
      </c>
    </row>
    <row r="8358" spans="1:20" x14ac:dyDescent="0.25">
      <c r="A8358" t="s">
        <v>44</v>
      </c>
      <c r="B8358" t="s">
        <v>51</v>
      </c>
      <c r="C8358" t="s">
        <v>32</v>
      </c>
      <c r="D8358" t="s">
        <v>953</v>
      </c>
      <c r="E8358" t="s">
        <v>998</v>
      </c>
      <c r="F8358" t="s">
        <v>35</v>
      </c>
      <c r="G8358" t="s">
        <v>35</v>
      </c>
      <c r="H8358" t="s">
        <v>35</v>
      </c>
      <c r="J8358" t="s">
        <v>7265</v>
      </c>
      <c r="K8358" t="s">
        <v>1092</v>
      </c>
      <c r="M8358">
        <v>0.5</v>
      </c>
      <c r="N8358">
        <v>237</v>
      </c>
      <c r="O8358" t="s">
        <v>5</v>
      </c>
      <c r="Q8358" t="s">
        <v>1242</v>
      </c>
      <c r="R8358" t="s">
        <v>6891</v>
      </c>
      <c r="S8358" t="s">
        <v>1085</v>
      </c>
      <c r="T8358" t="s">
        <v>1086</v>
      </c>
    </row>
    <row r="8359" spans="1:20" x14ac:dyDescent="0.25">
      <c r="A8359" t="s">
        <v>59</v>
      </c>
      <c r="B8359" t="s">
        <v>60</v>
      </c>
      <c r="C8359" t="s">
        <v>32</v>
      </c>
      <c r="D8359" t="s">
        <v>953</v>
      </c>
      <c r="E8359" t="s">
        <v>998</v>
      </c>
      <c r="F8359" t="s">
        <v>35</v>
      </c>
      <c r="G8359" t="s">
        <v>35</v>
      </c>
      <c r="H8359" t="s">
        <v>35</v>
      </c>
      <c r="J8359" t="s">
        <v>7265</v>
      </c>
      <c r="K8359" t="s">
        <v>1092</v>
      </c>
      <c r="M8359">
        <v>0.5</v>
      </c>
      <c r="N8359">
        <v>244</v>
      </c>
      <c r="O8359" t="s">
        <v>5</v>
      </c>
      <c r="Q8359" t="s">
        <v>1688</v>
      </c>
      <c r="R8359" t="s">
        <v>6891</v>
      </c>
      <c r="S8359" t="s">
        <v>1085</v>
      </c>
      <c r="T8359" t="s">
        <v>1086</v>
      </c>
    </row>
    <row r="8360" spans="1:20" x14ac:dyDescent="0.25">
      <c r="A8360" t="s">
        <v>59</v>
      </c>
      <c r="B8360" t="s">
        <v>31</v>
      </c>
      <c r="C8360" t="s">
        <v>32</v>
      </c>
      <c r="D8360" t="s">
        <v>953</v>
      </c>
      <c r="E8360" t="s">
        <v>998</v>
      </c>
      <c r="F8360" t="s">
        <v>35</v>
      </c>
      <c r="G8360" t="s">
        <v>35</v>
      </c>
      <c r="H8360" t="s">
        <v>35</v>
      </c>
      <c r="J8360" t="s">
        <v>7269</v>
      </c>
      <c r="K8360" t="s">
        <v>1092</v>
      </c>
      <c r="M8360">
        <v>0.13500000000000001</v>
      </c>
      <c r="N8360">
        <v>169</v>
      </c>
      <c r="O8360" t="s">
        <v>38</v>
      </c>
      <c r="Q8360" t="s">
        <v>4838</v>
      </c>
      <c r="R8360" t="s">
        <v>6891</v>
      </c>
      <c r="S8360" t="s">
        <v>1085</v>
      </c>
      <c r="T8360" t="s">
        <v>1086</v>
      </c>
    </row>
    <row r="8361" spans="1:20" x14ac:dyDescent="0.25">
      <c r="A8361" t="s">
        <v>30</v>
      </c>
      <c r="B8361" t="s">
        <v>31</v>
      </c>
      <c r="C8361" t="s">
        <v>32</v>
      </c>
      <c r="D8361" t="s">
        <v>953</v>
      </c>
      <c r="E8361" t="s">
        <v>7842</v>
      </c>
      <c r="F8361" t="s">
        <v>35</v>
      </c>
      <c r="G8361" t="s">
        <v>35</v>
      </c>
      <c r="H8361" t="s">
        <v>35</v>
      </c>
      <c r="J8361" t="s">
        <v>7865</v>
      </c>
      <c r="K8361" t="s">
        <v>1092</v>
      </c>
      <c r="M8361">
        <v>0.58499999999999996</v>
      </c>
      <c r="N8361">
        <v>32</v>
      </c>
      <c r="O8361" t="s">
        <v>52</v>
      </c>
      <c r="Q8361" t="s">
        <v>816</v>
      </c>
      <c r="R8361" t="s">
        <v>6891</v>
      </c>
      <c r="S8361" t="s">
        <v>1085</v>
      </c>
      <c r="T8361" t="s">
        <v>1086</v>
      </c>
    </row>
    <row r="8362" spans="1:20" x14ac:dyDescent="0.25">
      <c r="A8362" t="s">
        <v>59</v>
      </c>
      <c r="B8362" t="s">
        <v>60</v>
      </c>
      <c r="C8362" t="s">
        <v>32</v>
      </c>
      <c r="D8362" t="s">
        <v>953</v>
      </c>
      <c r="E8362" t="s">
        <v>7842</v>
      </c>
      <c r="F8362" t="s">
        <v>35</v>
      </c>
      <c r="G8362" t="s">
        <v>35</v>
      </c>
      <c r="H8362" t="s">
        <v>35</v>
      </c>
      <c r="J8362" t="s">
        <v>7865</v>
      </c>
      <c r="K8362" t="s">
        <v>1092</v>
      </c>
      <c r="M8362">
        <v>0.3</v>
      </c>
      <c r="N8362">
        <v>32</v>
      </c>
      <c r="O8362" t="s">
        <v>52</v>
      </c>
      <c r="Q8362" t="s">
        <v>816</v>
      </c>
      <c r="R8362" t="s">
        <v>6891</v>
      </c>
      <c r="S8362" t="s">
        <v>1085</v>
      </c>
      <c r="T8362" t="s">
        <v>1086</v>
      </c>
    </row>
    <row r="8363" spans="1:20" x14ac:dyDescent="0.25">
      <c r="A8363" t="s">
        <v>59</v>
      </c>
      <c r="B8363" t="s">
        <v>60</v>
      </c>
      <c r="C8363" t="s">
        <v>32</v>
      </c>
      <c r="D8363" t="s">
        <v>953</v>
      </c>
      <c r="E8363" t="s">
        <v>998</v>
      </c>
      <c r="F8363" t="s">
        <v>35</v>
      </c>
      <c r="G8363" t="s">
        <v>35</v>
      </c>
      <c r="H8363" t="s">
        <v>35</v>
      </c>
      <c r="J8363" t="s">
        <v>7249</v>
      </c>
      <c r="K8363" t="s">
        <v>1092</v>
      </c>
      <c r="M8363">
        <v>0.2</v>
      </c>
      <c r="N8363">
        <v>321</v>
      </c>
      <c r="O8363" t="s">
        <v>5</v>
      </c>
      <c r="Q8363" t="s">
        <v>2520</v>
      </c>
      <c r="R8363" t="s">
        <v>6891</v>
      </c>
      <c r="S8363" t="s">
        <v>1085</v>
      </c>
      <c r="T8363" t="s">
        <v>1086</v>
      </c>
    </row>
    <row r="8364" spans="1:20" x14ac:dyDescent="0.25">
      <c r="A8364" t="s">
        <v>59</v>
      </c>
      <c r="B8364" t="s">
        <v>60</v>
      </c>
      <c r="C8364" t="s">
        <v>32</v>
      </c>
      <c r="D8364" t="s">
        <v>953</v>
      </c>
      <c r="E8364" t="s">
        <v>998</v>
      </c>
      <c r="F8364" t="s">
        <v>35</v>
      </c>
      <c r="G8364" t="s">
        <v>35</v>
      </c>
      <c r="H8364" t="s">
        <v>35</v>
      </c>
      <c r="J8364" t="s">
        <v>7249</v>
      </c>
      <c r="K8364" t="s">
        <v>1092</v>
      </c>
      <c r="M8364">
        <v>0.5</v>
      </c>
      <c r="N8364">
        <v>127</v>
      </c>
      <c r="O8364" t="s">
        <v>38</v>
      </c>
      <c r="Q8364" t="s">
        <v>3640</v>
      </c>
      <c r="R8364" t="s">
        <v>6891</v>
      </c>
      <c r="S8364" t="s">
        <v>1085</v>
      </c>
      <c r="T8364" t="s">
        <v>1086</v>
      </c>
    </row>
    <row r="8365" spans="1:20" x14ac:dyDescent="0.25">
      <c r="A8365" t="s">
        <v>59</v>
      </c>
      <c r="B8365" t="s">
        <v>31</v>
      </c>
      <c r="C8365" t="s">
        <v>32</v>
      </c>
      <c r="D8365" t="s">
        <v>953</v>
      </c>
      <c r="E8365" t="s">
        <v>998</v>
      </c>
      <c r="F8365" t="s">
        <v>35</v>
      </c>
      <c r="G8365" t="s">
        <v>35</v>
      </c>
      <c r="H8365" t="s">
        <v>35</v>
      </c>
      <c r="J8365" t="s">
        <v>7249</v>
      </c>
      <c r="K8365" t="s">
        <v>1092</v>
      </c>
      <c r="M8365">
        <v>0.315</v>
      </c>
      <c r="N8365">
        <v>166</v>
      </c>
      <c r="O8365" t="s">
        <v>38</v>
      </c>
      <c r="Q8365" t="s">
        <v>1345</v>
      </c>
      <c r="R8365" t="s">
        <v>6891</v>
      </c>
      <c r="S8365" t="s">
        <v>1085</v>
      </c>
      <c r="T8365" t="s">
        <v>1086</v>
      </c>
    </row>
    <row r="8366" spans="1:20" x14ac:dyDescent="0.25">
      <c r="A8366" t="s">
        <v>59</v>
      </c>
      <c r="B8366" t="s">
        <v>60</v>
      </c>
      <c r="C8366" t="s">
        <v>32</v>
      </c>
      <c r="D8366" t="s">
        <v>953</v>
      </c>
      <c r="E8366" t="s">
        <v>998</v>
      </c>
      <c r="F8366" t="s">
        <v>35</v>
      </c>
      <c r="G8366" t="s">
        <v>35</v>
      </c>
      <c r="H8366" t="s">
        <v>35</v>
      </c>
      <c r="J8366" t="s">
        <v>7244</v>
      </c>
      <c r="K8366" t="s">
        <v>1092</v>
      </c>
      <c r="M8366">
        <v>0.35</v>
      </c>
      <c r="N8366">
        <v>211</v>
      </c>
      <c r="O8366" t="s">
        <v>5</v>
      </c>
      <c r="Q8366" t="s">
        <v>1504</v>
      </c>
      <c r="R8366" t="s">
        <v>6891</v>
      </c>
      <c r="S8366" t="s">
        <v>1085</v>
      </c>
      <c r="T8366" t="s">
        <v>1086</v>
      </c>
    </row>
    <row r="8367" spans="1:20" x14ac:dyDescent="0.25">
      <c r="A8367" t="s">
        <v>59</v>
      </c>
      <c r="B8367" t="s">
        <v>60</v>
      </c>
      <c r="C8367" t="s">
        <v>32</v>
      </c>
      <c r="D8367" t="s">
        <v>953</v>
      </c>
      <c r="E8367" t="s">
        <v>998</v>
      </c>
      <c r="F8367" t="s">
        <v>35</v>
      </c>
      <c r="G8367" t="s">
        <v>35</v>
      </c>
      <c r="H8367" t="s">
        <v>35</v>
      </c>
      <c r="J8367" t="s">
        <v>7277</v>
      </c>
      <c r="K8367" t="s">
        <v>1092</v>
      </c>
      <c r="M8367">
        <v>1</v>
      </c>
      <c r="N8367">
        <v>702</v>
      </c>
      <c r="O8367" t="s">
        <v>575</v>
      </c>
      <c r="Q8367" t="s">
        <v>7188</v>
      </c>
      <c r="R8367" t="s">
        <v>6891</v>
      </c>
      <c r="S8367" t="s">
        <v>1085</v>
      </c>
      <c r="T8367" t="s">
        <v>1086</v>
      </c>
    </row>
    <row r="8368" spans="1:20" x14ac:dyDescent="0.25">
      <c r="A8368" t="s">
        <v>59</v>
      </c>
      <c r="B8368" t="s">
        <v>31</v>
      </c>
      <c r="C8368" t="s">
        <v>32</v>
      </c>
      <c r="D8368" t="s">
        <v>953</v>
      </c>
      <c r="E8368" t="s">
        <v>998</v>
      </c>
      <c r="F8368" t="s">
        <v>35</v>
      </c>
      <c r="G8368" t="s">
        <v>35</v>
      </c>
      <c r="H8368" t="s">
        <v>35</v>
      </c>
      <c r="J8368" t="s">
        <v>7299</v>
      </c>
      <c r="K8368" t="s">
        <v>1092</v>
      </c>
      <c r="M8368">
        <v>0.9</v>
      </c>
      <c r="N8368">
        <v>80</v>
      </c>
      <c r="O8368" t="s">
        <v>61</v>
      </c>
      <c r="Q8368" t="s">
        <v>1639</v>
      </c>
      <c r="R8368" t="s">
        <v>6891</v>
      </c>
      <c r="S8368" t="s">
        <v>1085</v>
      </c>
      <c r="T8368" t="s">
        <v>1086</v>
      </c>
    </row>
    <row r="8369" spans="1:20" x14ac:dyDescent="0.25">
      <c r="A8369" t="s">
        <v>30</v>
      </c>
      <c r="B8369" t="s">
        <v>31</v>
      </c>
      <c r="C8369" t="s">
        <v>32</v>
      </c>
      <c r="D8369" t="s">
        <v>953</v>
      </c>
      <c r="E8369" t="s">
        <v>998</v>
      </c>
      <c r="F8369" t="s">
        <v>35</v>
      </c>
      <c r="G8369" t="s">
        <v>35</v>
      </c>
      <c r="H8369" t="s">
        <v>35</v>
      </c>
      <c r="J8369" t="s">
        <v>7299</v>
      </c>
      <c r="K8369" t="s">
        <v>1092</v>
      </c>
      <c r="M8369">
        <v>0.495</v>
      </c>
      <c r="N8369">
        <v>180</v>
      </c>
      <c r="O8369" t="s">
        <v>38</v>
      </c>
      <c r="Q8369" t="s">
        <v>1798</v>
      </c>
      <c r="R8369" t="s">
        <v>6891</v>
      </c>
      <c r="S8369" t="s">
        <v>1085</v>
      </c>
      <c r="T8369" t="s">
        <v>1086</v>
      </c>
    </row>
    <row r="8370" spans="1:20" x14ac:dyDescent="0.25">
      <c r="A8370" t="s">
        <v>59</v>
      </c>
      <c r="B8370" t="s">
        <v>60</v>
      </c>
      <c r="C8370" t="s">
        <v>32</v>
      </c>
      <c r="D8370" t="s">
        <v>953</v>
      </c>
      <c r="E8370" t="s">
        <v>1084</v>
      </c>
      <c r="F8370" t="s">
        <v>35</v>
      </c>
      <c r="G8370" t="s">
        <v>35</v>
      </c>
      <c r="H8370" t="s">
        <v>35</v>
      </c>
      <c r="J8370" t="s">
        <v>7795</v>
      </c>
      <c r="K8370" t="s">
        <v>1092</v>
      </c>
      <c r="M8370">
        <v>0.4</v>
      </c>
      <c r="N8370">
        <v>32</v>
      </c>
      <c r="O8370" t="s">
        <v>52</v>
      </c>
      <c r="Q8370" t="s">
        <v>816</v>
      </c>
      <c r="R8370" t="s">
        <v>6891</v>
      </c>
      <c r="S8370" t="s">
        <v>1085</v>
      </c>
      <c r="T8370" t="s">
        <v>1086</v>
      </c>
    </row>
    <row r="8371" spans="1:20" x14ac:dyDescent="0.25">
      <c r="A8371" t="s">
        <v>59</v>
      </c>
      <c r="B8371" t="s">
        <v>60</v>
      </c>
      <c r="C8371" t="s">
        <v>32</v>
      </c>
      <c r="D8371" t="s">
        <v>953</v>
      </c>
      <c r="E8371" t="s">
        <v>998</v>
      </c>
      <c r="F8371" t="s">
        <v>35</v>
      </c>
      <c r="G8371" t="s">
        <v>35</v>
      </c>
      <c r="H8371" t="s">
        <v>35</v>
      </c>
      <c r="J8371" t="s">
        <v>7245</v>
      </c>
      <c r="K8371" t="s">
        <v>1092</v>
      </c>
      <c r="M8371">
        <v>0.2</v>
      </c>
      <c r="N8371">
        <v>1635</v>
      </c>
      <c r="O8371" t="s">
        <v>575</v>
      </c>
      <c r="Q8371" t="s">
        <v>7246</v>
      </c>
      <c r="R8371" t="s">
        <v>6891</v>
      </c>
      <c r="S8371" t="s">
        <v>1085</v>
      </c>
      <c r="T8371" t="s">
        <v>1086</v>
      </c>
    </row>
    <row r="8372" spans="1:20" x14ac:dyDescent="0.25">
      <c r="A8372" t="s">
        <v>59</v>
      </c>
      <c r="B8372" t="s">
        <v>60</v>
      </c>
      <c r="C8372" t="s">
        <v>32</v>
      </c>
      <c r="D8372" t="s">
        <v>953</v>
      </c>
      <c r="E8372" t="s">
        <v>1084</v>
      </c>
      <c r="F8372" t="s">
        <v>35</v>
      </c>
      <c r="G8372" t="s">
        <v>35</v>
      </c>
      <c r="H8372" t="s">
        <v>35</v>
      </c>
      <c r="J8372" t="s">
        <v>7826</v>
      </c>
      <c r="K8372" t="s">
        <v>1092</v>
      </c>
      <c r="M8372">
        <v>0.05</v>
      </c>
      <c r="N8372">
        <v>114</v>
      </c>
      <c r="O8372" t="s">
        <v>106</v>
      </c>
      <c r="Q8372" t="s">
        <v>2895</v>
      </c>
      <c r="R8372" t="s">
        <v>6891</v>
      </c>
      <c r="S8372" t="s">
        <v>1085</v>
      </c>
      <c r="T8372" t="s">
        <v>1086</v>
      </c>
    </row>
    <row r="8373" spans="1:20" x14ac:dyDescent="0.25">
      <c r="A8373" t="s">
        <v>59</v>
      </c>
      <c r="B8373" t="s">
        <v>60</v>
      </c>
      <c r="C8373" t="s">
        <v>32</v>
      </c>
      <c r="D8373" t="s">
        <v>953</v>
      </c>
      <c r="E8373" t="s">
        <v>998</v>
      </c>
      <c r="F8373" t="s">
        <v>35</v>
      </c>
      <c r="G8373" t="s">
        <v>35</v>
      </c>
      <c r="H8373" t="s">
        <v>35</v>
      </c>
      <c r="J8373" t="s">
        <v>7258</v>
      </c>
      <c r="K8373" t="s">
        <v>1092</v>
      </c>
      <c r="M8373">
        <v>0.5</v>
      </c>
      <c r="N8373">
        <v>32</v>
      </c>
      <c r="O8373" t="s">
        <v>52</v>
      </c>
      <c r="Q8373" t="s">
        <v>816</v>
      </c>
      <c r="R8373" t="s">
        <v>6891</v>
      </c>
      <c r="S8373" t="s">
        <v>1085</v>
      </c>
      <c r="T8373" t="s">
        <v>1086</v>
      </c>
    </row>
    <row r="8374" spans="1:20" x14ac:dyDescent="0.25">
      <c r="A8374" t="s">
        <v>59</v>
      </c>
      <c r="B8374" t="s">
        <v>60</v>
      </c>
      <c r="C8374" t="s">
        <v>32</v>
      </c>
      <c r="D8374" t="s">
        <v>953</v>
      </c>
      <c r="E8374" t="s">
        <v>1084</v>
      </c>
      <c r="F8374" t="s">
        <v>35</v>
      </c>
      <c r="G8374" t="s">
        <v>35</v>
      </c>
      <c r="H8374" t="s">
        <v>35</v>
      </c>
      <c r="J8374" t="s">
        <v>7800</v>
      </c>
      <c r="K8374" t="s">
        <v>1092</v>
      </c>
      <c r="M8374">
        <v>3</v>
      </c>
      <c r="N8374">
        <v>40</v>
      </c>
      <c r="O8374" t="s">
        <v>52</v>
      </c>
      <c r="Q8374" t="s">
        <v>132</v>
      </c>
      <c r="R8374" t="s">
        <v>6891</v>
      </c>
      <c r="S8374" t="s">
        <v>1085</v>
      </c>
      <c r="T8374" t="s">
        <v>1086</v>
      </c>
    </row>
    <row r="8375" spans="1:20" x14ac:dyDescent="0.25">
      <c r="A8375" t="s">
        <v>30</v>
      </c>
      <c r="B8375" t="s">
        <v>31</v>
      </c>
      <c r="C8375" t="s">
        <v>32</v>
      </c>
      <c r="D8375" t="s">
        <v>953</v>
      </c>
      <c r="E8375" t="s">
        <v>1084</v>
      </c>
      <c r="F8375" t="s">
        <v>35</v>
      </c>
      <c r="G8375" t="s">
        <v>35</v>
      </c>
      <c r="H8375" t="s">
        <v>35</v>
      </c>
      <c r="J8375" t="s">
        <v>7807</v>
      </c>
      <c r="K8375" t="s">
        <v>1092</v>
      </c>
      <c r="M8375">
        <v>1.35</v>
      </c>
      <c r="N8375">
        <v>29</v>
      </c>
      <c r="O8375" t="s">
        <v>46</v>
      </c>
      <c r="Q8375" t="s">
        <v>2005</v>
      </c>
      <c r="R8375" t="s">
        <v>6891</v>
      </c>
      <c r="S8375" t="s">
        <v>1085</v>
      </c>
      <c r="T8375" t="s">
        <v>1086</v>
      </c>
    </row>
    <row r="8376" spans="1:20" x14ac:dyDescent="0.25">
      <c r="A8376" t="s">
        <v>44</v>
      </c>
      <c r="B8376" t="s">
        <v>3</v>
      </c>
      <c r="C8376" t="s">
        <v>32</v>
      </c>
      <c r="D8376" t="s">
        <v>953</v>
      </c>
      <c r="E8376" t="s">
        <v>1084</v>
      </c>
      <c r="F8376" t="s">
        <v>35</v>
      </c>
      <c r="G8376" t="s">
        <v>35</v>
      </c>
      <c r="H8376" t="s">
        <v>35</v>
      </c>
      <c r="J8376" t="s">
        <v>7807</v>
      </c>
      <c r="K8376" t="s">
        <v>1092</v>
      </c>
      <c r="M8376">
        <v>0.5</v>
      </c>
      <c r="N8376">
        <v>219</v>
      </c>
      <c r="O8376" t="s">
        <v>5</v>
      </c>
      <c r="Q8376" t="s">
        <v>3300</v>
      </c>
      <c r="R8376" t="s">
        <v>6891</v>
      </c>
      <c r="S8376" t="s">
        <v>1085</v>
      </c>
      <c r="T8376" t="s">
        <v>1086</v>
      </c>
    </row>
    <row r="8377" spans="1:20" x14ac:dyDescent="0.25">
      <c r="A8377" t="s">
        <v>44</v>
      </c>
      <c r="B8377" t="s">
        <v>3</v>
      </c>
      <c r="C8377" t="s">
        <v>32</v>
      </c>
      <c r="D8377" t="s">
        <v>953</v>
      </c>
      <c r="E8377" t="s">
        <v>1084</v>
      </c>
      <c r="F8377" t="s">
        <v>35</v>
      </c>
      <c r="G8377" t="s">
        <v>35</v>
      </c>
      <c r="H8377" t="s">
        <v>35</v>
      </c>
      <c r="J8377" t="s">
        <v>7807</v>
      </c>
      <c r="K8377" t="s">
        <v>1092</v>
      </c>
      <c r="M8377">
        <v>0.5</v>
      </c>
      <c r="N8377">
        <v>211</v>
      </c>
      <c r="O8377" t="s">
        <v>5</v>
      </c>
      <c r="Q8377" t="s">
        <v>1504</v>
      </c>
      <c r="R8377" t="s">
        <v>6891</v>
      </c>
      <c r="S8377" t="s">
        <v>1085</v>
      </c>
      <c r="T8377" t="s">
        <v>1086</v>
      </c>
    </row>
    <row r="8378" spans="1:20" x14ac:dyDescent="0.25">
      <c r="A8378" t="s">
        <v>30</v>
      </c>
      <c r="B8378" t="s">
        <v>31</v>
      </c>
      <c r="C8378" t="s">
        <v>32</v>
      </c>
      <c r="D8378" t="s">
        <v>953</v>
      </c>
      <c r="E8378" t="s">
        <v>1084</v>
      </c>
      <c r="F8378" t="s">
        <v>35</v>
      </c>
      <c r="G8378" t="s">
        <v>35</v>
      </c>
      <c r="H8378" t="s">
        <v>35</v>
      </c>
      <c r="J8378" t="s">
        <v>7807</v>
      </c>
      <c r="K8378" t="s">
        <v>1092</v>
      </c>
      <c r="M8378">
        <v>0.9</v>
      </c>
      <c r="N8378">
        <v>36</v>
      </c>
      <c r="O8378" t="s">
        <v>52</v>
      </c>
      <c r="Q8378" t="s">
        <v>892</v>
      </c>
      <c r="R8378" t="s">
        <v>6891</v>
      </c>
      <c r="S8378" t="s">
        <v>1085</v>
      </c>
      <c r="T8378" t="s">
        <v>1086</v>
      </c>
    </row>
    <row r="8379" spans="1:20" x14ac:dyDescent="0.25">
      <c r="A8379" t="s">
        <v>30</v>
      </c>
      <c r="B8379" t="s">
        <v>31</v>
      </c>
      <c r="C8379" t="s">
        <v>32</v>
      </c>
      <c r="D8379" t="s">
        <v>953</v>
      </c>
      <c r="E8379" t="s">
        <v>1084</v>
      </c>
      <c r="F8379" t="s">
        <v>35</v>
      </c>
      <c r="G8379" t="s">
        <v>35</v>
      </c>
      <c r="H8379" t="s">
        <v>35</v>
      </c>
      <c r="J8379" t="s">
        <v>7835</v>
      </c>
      <c r="K8379" t="s">
        <v>1092</v>
      </c>
      <c r="M8379">
        <v>0.495</v>
      </c>
      <c r="N8379">
        <v>438</v>
      </c>
      <c r="O8379" t="s">
        <v>294</v>
      </c>
      <c r="Q8379" t="s">
        <v>2532</v>
      </c>
      <c r="R8379" t="s">
        <v>6891</v>
      </c>
      <c r="S8379" t="s">
        <v>1085</v>
      </c>
      <c r="T8379" t="s">
        <v>1086</v>
      </c>
    </row>
    <row r="8380" spans="1:20" x14ac:dyDescent="0.25">
      <c r="A8380" t="s">
        <v>59</v>
      </c>
      <c r="B8380" t="s">
        <v>60</v>
      </c>
      <c r="C8380" t="s">
        <v>32</v>
      </c>
      <c r="D8380" t="s">
        <v>953</v>
      </c>
      <c r="E8380" t="s">
        <v>1084</v>
      </c>
      <c r="F8380" t="s">
        <v>35</v>
      </c>
      <c r="G8380" t="s">
        <v>35</v>
      </c>
      <c r="H8380" t="s">
        <v>35</v>
      </c>
      <c r="J8380" t="s">
        <v>7827</v>
      </c>
      <c r="K8380" t="s">
        <v>1092</v>
      </c>
      <c r="M8380">
        <v>3.5</v>
      </c>
      <c r="N8380">
        <v>32</v>
      </c>
      <c r="O8380" t="s">
        <v>52</v>
      </c>
      <c r="Q8380" t="s">
        <v>816</v>
      </c>
      <c r="R8380" t="s">
        <v>6891</v>
      </c>
      <c r="S8380" t="s">
        <v>1085</v>
      </c>
      <c r="T8380" t="s">
        <v>1086</v>
      </c>
    </row>
    <row r="8381" spans="1:20" x14ac:dyDescent="0.25">
      <c r="A8381" t="s">
        <v>59</v>
      </c>
      <c r="B8381" t="s">
        <v>60</v>
      </c>
      <c r="C8381" t="s">
        <v>32</v>
      </c>
      <c r="D8381" t="s">
        <v>953</v>
      </c>
      <c r="E8381" t="s">
        <v>1084</v>
      </c>
      <c r="F8381" t="s">
        <v>35</v>
      </c>
      <c r="G8381" t="s">
        <v>35</v>
      </c>
      <c r="H8381" t="s">
        <v>35</v>
      </c>
      <c r="J8381" t="s">
        <v>7827</v>
      </c>
      <c r="K8381" t="s">
        <v>1092</v>
      </c>
      <c r="M8381">
        <v>0.5</v>
      </c>
      <c r="N8381">
        <v>29</v>
      </c>
      <c r="O8381" t="s">
        <v>46</v>
      </c>
      <c r="Q8381" t="s">
        <v>2005</v>
      </c>
      <c r="R8381" t="s">
        <v>6891</v>
      </c>
      <c r="S8381" t="s">
        <v>1085</v>
      </c>
      <c r="T8381" t="s">
        <v>1086</v>
      </c>
    </row>
    <row r="8382" spans="1:20" x14ac:dyDescent="0.25">
      <c r="A8382" t="s">
        <v>30</v>
      </c>
      <c r="B8382" t="s">
        <v>31</v>
      </c>
      <c r="C8382" t="s">
        <v>32</v>
      </c>
      <c r="D8382" t="s">
        <v>953</v>
      </c>
      <c r="E8382" t="s">
        <v>1084</v>
      </c>
      <c r="F8382" t="s">
        <v>35</v>
      </c>
      <c r="G8382" t="s">
        <v>35</v>
      </c>
      <c r="H8382" t="s">
        <v>35</v>
      </c>
      <c r="J8382" t="s">
        <v>7830</v>
      </c>
      <c r="K8382" t="s">
        <v>1092</v>
      </c>
      <c r="M8382">
        <v>4.4999999999999998E-2</v>
      </c>
      <c r="N8382">
        <v>443</v>
      </c>
      <c r="O8382" t="s">
        <v>294</v>
      </c>
      <c r="Q8382" t="s">
        <v>4616</v>
      </c>
      <c r="R8382" t="s">
        <v>6891</v>
      </c>
      <c r="S8382" t="s">
        <v>1085</v>
      </c>
      <c r="T8382" t="s">
        <v>1086</v>
      </c>
    </row>
    <row r="8383" spans="1:20" x14ac:dyDescent="0.25">
      <c r="A8383" t="s">
        <v>30</v>
      </c>
      <c r="B8383" t="s">
        <v>31</v>
      </c>
      <c r="C8383" t="s">
        <v>32</v>
      </c>
      <c r="D8383" t="s">
        <v>953</v>
      </c>
      <c r="E8383" t="s">
        <v>1084</v>
      </c>
      <c r="F8383" t="s">
        <v>35</v>
      </c>
      <c r="G8383" t="s">
        <v>35</v>
      </c>
      <c r="H8383" t="s">
        <v>35</v>
      </c>
      <c r="J8383" t="s">
        <v>7830</v>
      </c>
      <c r="K8383" t="s">
        <v>1092</v>
      </c>
      <c r="M8383">
        <v>0.9</v>
      </c>
      <c r="N8383">
        <v>259</v>
      </c>
      <c r="O8383" t="s">
        <v>5</v>
      </c>
      <c r="Q8383" t="s">
        <v>117</v>
      </c>
      <c r="R8383" t="s">
        <v>6891</v>
      </c>
      <c r="S8383" t="s">
        <v>1085</v>
      </c>
      <c r="T8383" t="s">
        <v>1086</v>
      </c>
    </row>
    <row r="8384" spans="1:20" x14ac:dyDescent="0.25">
      <c r="A8384" t="s">
        <v>59</v>
      </c>
      <c r="B8384" t="s">
        <v>31</v>
      </c>
      <c r="C8384" t="s">
        <v>32</v>
      </c>
      <c r="D8384" t="s">
        <v>953</v>
      </c>
      <c r="E8384" t="s">
        <v>1084</v>
      </c>
      <c r="F8384" t="s">
        <v>35</v>
      </c>
      <c r="G8384" t="s">
        <v>35</v>
      </c>
      <c r="H8384" t="s">
        <v>35</v>
      </c>
      <c r="J8384" t="s">
        <v>7830</v>
      </c>
      <c r="K8384" t="s">
        <v>1092</v>
      </c>
      <c r="M8384">
        <v>0.27</v>
      </c>
      <c r="N8384">
        <v>608</v>
      </c>
      <c r="O8384" t="s">
        <v>575</v>
      </c>
      <c r="Q8384" t="s">
        <v>7831</v>
      </c>
      <c r="R8384" t="s">
        <v>6891</v>
      </c>
      <c r="S8384" t="s">
        <v>1085</v>
      </c>
      <c r="T8384" t="s">
        <v>1086</v>
      </c>
    </row>
    <row r="8385" spans="1:20" x14ac:dyDescent="0.25">
      <c r="A8385" t="s">
        <v>30</v>
      </c>
      <c r="B8385" t="s">
        <v>31</v>
      </c>
      <c r="C8385" t="s">
        <v>32</v>
      </c>
      <c r="D8385" t="s">
        <v>953</v>
      </c>
      <c r="E8385" t="s">
        <v>1084</v>
      </c>
      <c r="F8385" t="s">
        <v>35</v>
      </c>
      <c r="G8385" t="s">
        <v>35</v>
      </c>
      <c r="H8385" t="s">
        <v>35</v>
      </c>
      <c r="J8385" t="s">
        <v>7829</v>
      </c>
      <c r="K8385" t="s">
        <v>1092</v>
      </c>
      <c r="M8385">
        <v>0.01</v>
      </c>
      <c r="N8385">
        <v>259</v>
      </c>
      <c r="O8385" t="s">
        <v>5</v>
      </c>
      <c r="Q8385" t="s">
        <v>117</v>
      </c>
      <c r="R8385" t="s">
        <v>6891</v>
      </c>
      <c r="S8385" t="s">
        <v>1085</v>
      </c>
      <c r="T8385" t="s">
        <v>1086</v>
      </c>
    </row>
    <row r="8386" spans="1:20" x14ac:dyDescent="0.25">
      <c r="A8386" t="s">
        <v>59</v>
      </c>
      <c r="B8386" t="s">
        <v>60</v>
      </c>
      <c r="C8386" t="s">
        <v>32</v>
      </c>
      <c r="D8386" t="s">
        <v>953</v>
      </c>
      <c r="E8386" t="s">
        <v>1084</v>
      </c>
      <c r="F8386" t="s">
        <v>35</v>
      </c>
      <c r="G8386" t="s">
        <v>35</v>
      </c>
      <c r="H8386" t="s">
        <v>35</v>
      </c>
      <c r="J8386" t="s">
        <v>7828</v>
      </c>
      <c r="K8386" t="s">
        <v>1092</v>
      </c>
      <c r="M8386">
        <v>0.82499999999999996</v>
      </c>
      <c r="N8386">
        <v>175</v>
      </c>
      <c r="O8386" t="s">
        <v>38</v>
      </c>
      <c r="Q8386" t="s">
        <v>1764</v>
      </c>
      <c r="R8386" t="s">
        <v>6891</v>
      </c>
      <c r="S8386" t="s">
        <v>1085</v>
      </c>
      <c r="T8386" t="s">
        <v>1086</v>
      </c>
    </row>
    <row r="8387" spans="1:20" x14ac:dyDescent="0.25">
      <c r="A8387" t="s">
        <v>59</v>
      </c>
      <c r="B8387" t="s">
        <v>60</v>
      </c>
      <c r="C8387" t="s">
        <v>32</v>
      </c>
      <c r="D8387" t="s">
        <v>953</v>
      </c>
      <c r="E8387" t="s">
        <v>7842</v>
      </c>
      <c r="F8387" t="s">
        <v>35</v>
      </c>
      <c r="G8387" t="s">
        <v>35</v>
      </c>
      <c r="H8387" t="s">
        <v>35</v>
      </c>
      <c r="J8387" t="s">
        <v>7676</v>
      </c>
      <c r="K8387" t="s">
        <v>1092</v>
      </c>
      <c r="M8387">
        <v>1.5</v>
      </c>
      <c r="N8387">
        <v>353</v>
      </c>
      <c r="O8387" t="s">
        <v>5</v>
      </c>
      <c r="Q8387" t="s">
        <v>1435</v>
      </c>
      <c r="R8387" t="s">
        <v>6891</v>
      </c>
      <c r="S8387" t="s">
        <v>1085</v>
      </c>
      <c r="T8387" t="s">
        <v>1086</v>
      </c>
    </row>
    <row r="8388" spans="1:20" x14ac:dyDescent="0.25">
      <c r="A8388" t="s">
        <v>59</v>
      </c>
      <c r="B8388" t="s">
        <v>31</v>
      </c>
      <c r="C8388" t="s">
        <v>32</v>
      </c>
      <c r="D8388" t="s">
        <v>953</v>
      </c>
      <c r="E8388" t="s">
        <v>1084</v>
      </c>
      <c r="F8388" t="s">
        <v>35</v>
      </c>
      <c r="G8388" t="s">
        <v>35</v>
      </c>
      <c r="H8388" t="s">
        <v>35</v>
      </c>
      <c r="J8388" t="s">
        <v>628</v>
      </c>
      <c r="K8388" t="s">
        <v>1092</v>
      </c>
      <c r="M8388">
        <v>2.3E-2</v>
      </c>
      <c r="N8388">
        <v>52</v>
      </c>
      <c r="O8388" t="s">
        <v>52</v>
      </c>
      <c r="Q8388" t="s">
        <v>84</v>
      </c>
      <c r="R8388" t="s">
        <v>6891</v>
      </c>
      <c r="S8388" t="s">
        <v>1085</v>
      </c>
      <c r="T8388" t="s">
        <v>1086</v>
      </c>
    </row>
    <row r="8389" spans="1:20" x14ac:dyDescent="0.25">
      <c r="A8389" t="s">
        <v>30</v>
      </c>
      <c r="B8389" t="s">
        <v>31</v>
      </c>
      <c r="C8389" t="s">
        <v>32</v>
      </c>
      <c r="D8389" t="s">
        <v>953</v>
      </c>
      <c r="E8389" t="s">
        <v>1084</v>
      </c>
      <c r="F8389" t="s">
        <v>35</v>
      </c>
      <c r="G8389" t="s">
        <v>35</v>
      </c>
      <c r="H8389" t="s">
        <v>35</v>
      </c>
      <c r="J8389" t="s">
        <v>628</v>
      </c>
      <c r="K8389" t="s">
        <v>1092</v>
      </c>
      <c r="M8389">
        <v>0.40500000000000003</v>
      </c>
      <c r="N8389">
        <v>13</v>
      </c>
      <c r="O8389" t="s">
        <v>46</v>
      </c>
      <c r="Q8389" t="s">
        <v>1004</v>
      </c>
      <c r="R8389" t="s">
        <v>6891</v>
      </c>
      <c r="S8389" t="s">
        <v>1085</v>
      </c>
      <c r="T8389" t="s">
        <v>1086</v>
      </c>
    </row>
    <row r="8390" spans="1:20" x14ac:dyDescent="0.25">
      <c r="A8390" t="s">
        <v>44</v>
      </c>
      <c r="B8390" t="s">
        <v>3</v>
      </c>
      <c r="C8390" t="s">
        <v>32</v>
      </c>
      <c r="D8390" t="s">
        <v>953</v>
      </c>
      <c r="E8390" t="s">
        <v>7842</v>
      </c>
      <c r="F8390" t="s">
        <v>35</v>
      </c>
      <c r="G8390" t="s">
        <v>35</v>
      </c>
      <c r="H8390" t="s">
        <v>35</v>
      </c>
      <c r="J8390" t="s">
        <v>1675</v>
      </c>
      <c r="K8390" t="s">
        <v>1092</v>
      </c>
      <c r="M8390">
        <v>0.25</v>
      </c>
      <c r="N8390">
        <v>193</v>
      </c>
      <c r="O8390" t="s">
        <v>5</v>
      </c>
      <c r="Q8390" t="s">
        <v>3691</v>
      </c>
      <c r="R8390" t="s">
        <v>6891</v>
      </c>
      <c r="S8390" t="s">
        <v>1085</v>
      </c>
      <c r="T8390" t="s">
        <v>1086</v>
      </c>
    </row>
    <row r="8391" spans="1:20" x14ac:dyDescent="0.25">
      <c r="A8391" t="s">
        <v>59</v>
      </c>
      <c r="B8391" t="s">
        <v>31</v>
      </c>
      <c r="C8391" t="s">
        <v>32</v>
      </c>
      <c r="D8391" t="s">
        <v>953</v>
      </c>
      <c r="F8391" t="s">
        <v>35</v>
      </c>
      <c r="G8391" t="s">
        <v>35</v>
      </c>
      <c r="H8391" t="s">
        <v>35</v>
      </c>
      <c r="J8391" t="s">
        <v>628</v>
      </c>
      <c r="K8391" t="s">
        <v>1092</v>
      </c>
      <c r="M8391">
        <v>0.72</v>
      </c>
      <c r="N8391">
        <v>1747</v>
      </c>
      <c r="O8391" t="s">
        <v>575</v>
      </c>
      <c r="Q8391" t="s">
        <v>8094</v>
      </c>
      <c r="R8391" t="s">
        <v>6891</v>
      </c>
      <c r="S8391" t="s">
        <v>1085</v>
      </c>
      <c r="T8391" t="s">
        <v>1086</v>
      </c>
    </row>
    <row r="8392" spans="1:20" x14ac:dyDescent="0.25">
      <c r="A8392" t="s">
        <v>59</v>
      </c>
      <c r="B8392" t="s">
        <v>31</v>
      </c>
      <c r="C8392" t="s">
        <v>32</v>
      </c>
      <c r="D8392" t="s">
        <v>953</v>
      </c>
      <c r="E8392" t="s">
        <v>1084</v>
      </c>
      <c r="F8392" t="s">
        <v>35</v>
      </c>
      <c r="G8392" t="s">
        <v>35</v>
      </c>
      <c r="H8392" t="s">
        <v>35</v>
      </c>
      <c r="J8392" t="s">
        <v>7402</v>
      </c>
      <c r="K8392" t="s">
        <v>1092</v>
      </c>
      <c r="M8392">
        <v>5.5E-2</v>
      </c>
      <c r="N8392">
        <v>365</v>
      </c>
      <c r="O8392" t="s">
        <v>5</v>
      </c>
      <c r="Q8392" t="s">
        <v>7783</v>
      </c>
      <c r="R8392" t="s">
        <v>6891</v>
      </c>
      <c r="S8392" t="s">
        <v>1085</v>
      </c>
      <c r="T8392" t="s">
        <v>1086</v>
      </c>
    </row>
    <row r="8393" spans="1:20" x14ac:dyDescent="0.25">
      <c r="A8393" t="s">
        <v>59</v>
      </c>
      <c r="B8393" t="s">
        <v>31</v>
      </c>
      <c r="C8393" t="s">
        <v>32</v>
      </c>
      <c r="D8393" t="s">
        <v>953</v>
      </c>
      <c r="E8393" t="s">
        <v>1084</v>
      </c>
      <c r="F8393" t="s">
        <v>35</v>
      </c>
      <c r="G8393" t="s">
        <v>35</v>
      </c>
      <c r="H8393" t="s">
        <v>35</v>
      </c>
      <c r="J8393" t="s">
        <v>7402</v>
      </c>
      <c r="K8393" t="s">
        <v>1092</v>
      </c>
      <c r="M8393">
        <v>0.9</v>
      </c>
      <c r="N8393">
        <v>240</v>
      </c>
      <c r="O8393" t="s">
        <v>5</v>
      </c>
      <c r="Q8393" t="s">
        <v>574</v>
      </c>
      <c r="R8393" t="s">
        <v>6891</v>
      </c>
      <c r="S8393" t="s">
        <v>1085</v>
      </c>
      <c r="T8393" t="s">
        <v>1086</v>
      </c>
    </row>
    <row r="8394" spans="1:20" x14ac:dyDescent="0.25">
      <c r="A8394" t="s">
        <v>30</v>
      </c>
      <c r="B8394" t="s">
        <v>31</v>
      </c>
      <c r="C8394" t="s">
        <v>32</v>
      </c>
      <c r="D8394" t="s">
        <v>953</v>
      </c>
      <c r="E8394" t="s">
        <v>1084</v>
      </c>
      <c r="F8394" t="s">
        <v>35</v>
      </c>
      <c r="G8394" t="s">
        <v>35</v>
      </c>
      <c r="H8394" t="s">
        <v>35</v>
      </c>
      <c r="J8394" t="s">
        <v>7402</v>
      </c>
      <c r="K8394" t="s">
        <v>1092</v>
      </c>
      <c r="M8394">
        <v>0.54</v>
      </c>
      <c r="N8394">
        <v>264</v>
      </c>
      <c r="O8394" t="s">
        <v>5</v>
      </c>
      <c r="Q8394" t="s">
        <v>1881</v>
      </c>
      <c r="R8394" t="s">
        <v>6891</v>
      </c>
      <c r="S8394" t="s">
        <v>1085</v>
      </c>
      <c r="T8394" t="s">
        <v>1086</v>
      </c>
    </row>
    <row r="8395" spans="1:20" x14ac:dyDescent="0.25">
      <c r="A8395" t="s">
        <v>30</v>
      </c>
      <c r="B8395" t="s">
        <v>31</v>
      </c>
      <c r="C8395" t="s">
        <v>32</v>
      </c>
      <c r="D8395" t="s">
        <v>953</v>
      </c>
      <c r="E8395" t="s">
        <v>998</v>
      </c>
      <c r="F8395" t="s">
        <v>35</v>
      </c>
      <c r="G8395" t="s">
        <v>35</v>
      </c>
      <c r="H8395" t="s">
        <v>35</v>
      </c>
      <c r="J8395" t="s">
        <v>7294</v>
      </c>
      <c r="K8395" t="s">
        <v>1092</v>
      </c>
      <c r="M8395">
        <v>0.45</v>
      </c>
      <c r="N8395">
        <v>248</v>
      </c>
      <c r="O8395" t="s">
        <v>5</v>
      </c>
      <c r="Q8395" t="s">
        <v>1747</v>
      </c>
      <c r="R8395" t="s">
        <v>6891</v>
      </c>
      <c r="S8395" t="s">
        <v>1085</v>
      </c>
      <c r="T8395" t="s">
        <v>1086</v>
      </c>
    </row>
    <row r="8396" spans="1:20" x14ac:dyDescent="0.25">
      <c r="A8396" t="s">
        <v>59</v>
      </c>
      <c r="B8396" t="s">
        <v>31</v>
      </c>
      <c r="C8396" t="s">
        <v>32</v>
      </c>
      <c r="D8396" t="s">
        <v>953</v>
      </c>
      <c r="E8396" t="s">
        <v>998</v>
      </c>
      <c r="F8396" t="s">
        <v>35</v>
      </c>
      <c r="G8396" t="s">
        <v>35</v>
      </c>
      <c r="H8396" t="s">
        <v>35</v>
      </c>
      <c r="J8396" t="s">
        <v>7253</v>
      </c>
      <c r="K8396" t="s">
        <v>1092</v>
      </c>
      <c r="M8396">
        <v>0.45</v>
      </c>
      <c r="N8396">
        <v>892</v>
      </c>
      <c r="O8396" t="s">
        <v>575</v>
      </c>
      <c r="Q8396" t="s">
        <v>5800</v>
      </c>
      <c r="R8396" t="s">
        <v>6891</v>
      </c>
      <c r="S8396" t="s">
        <v>1085</v>
      </c>
      <c r="T8396" t="s">
        <v>1086</v>
      </c>
    </row>
    <row r="8397" spans="1:20" x14ac:dyDescent="0.25">
      <c r="A8397" t="s">
        <v>59</v>
      </c>
      <c r="B8397" t="s">
        <v>60</v>
      </c>
      <c r="C8397" t="s">
        <v>32</v>
      </c>
      <c r="D8397" t="s">
        <v>953</v>
      </c>
      <c r="E8397" t="s">
        <v>998</v>
      </c>
      <c r="F8397" t="s">
        <v>35</v>
      </c>
      <c r="G8397" t="s">
        <v>35</v>
      </c>
      <c r="H8397" t="s">
        <v>35</v>
      </c>
      <c r="J8397" t="s">
        <v>7272</v>
      </c>
      <c r="K8397" t="s">
        <v>1092</v>
      </c>
      <c r="M8397">
        <v>0.1</v>
      </c>
      <c r="N8397">
        <v>595</v>
      </c>
      <c r="O8397" t="s">
        <v>575</v>
      </c>
      <c r="Q8397" t="s">
        <v>7273</v>
      </c>
      <c r="R8397" t="s">
        <v>6891</v>
      </c>
      <c r="S8397" t="s">
        <v>1085</v>
      </c>
      <c r="T8397" t="s">
        <v>1086</v>
      </c>
    </row>
    <row r="8398" spans="1:20" x14ac:dyDescent="0.25">
      <c r="A8398" t="s">
        <v>59</v>
      </c>
      <c r="B8398" t="s">
        <v>60</v>
      </c>
      <c r="C8398" t="s">
        <v>32</v>
      </c>
      <c r="D8398" t="s">
        <v>953</v>
      </c>
      <c r="E8398" t="s">
        <v>1084</v>
      </c>
      <c r="F8398" t="s">
        <v>35</v>
      </c>
      <c r="G8398" t="s">
        <v>35</v>
      </c>
      <c r="H8398" t="s">
        <v>35</v>
      </c>
      <c r="J8398" t="s">
        <v>7825</v>
      </c>
      <c r="K8398" t="s">
        <v>1092</v>
      </c>
      <c r="M8398">
        <v>0.25</v>
      </c>
      <c r="N8398">
        <v>61</v>
      </c>
      <c r="O8398" t="s">
        <v>61</v>
      </c>
      <c r="Q8398" t="s">
        <v>146</v>
      </c>
      <c r="R8398" t="s">
        <v>6891</v>
      </c>
      <c r="S8398" t="s">
        <v>1085</v>
      </c>
      <c r="T8398" t="s">
        <v>1086</v>
      </c>
    </row>
    <row r="8399" spans="1:20" x14ac:dyDescent="0.25">
      <c r="A8399" t="s">
        <v>59</v>
      </c>
      <c r="B8399" t="s">
        <v>31</v>
      </c>
      <c r="C8399" t="s">
        <v>32</v>
      </c>
      <c r="D8399" t="s">
        <v>953</v>
      </c>
      <c r="F8399" t="s">
        <v>35</v>
      </c>
      <c r="G8399" t="s">
        <v>35</v>
      </c>
      <c r="H8399" t="s">
        <v>35</v>
      </c>
      <c r="J8399" t="s">
        <v>7973</v>
      </c>
      <c r="K8399" t="s">
        <v>1092</v>
      </c>
      <c r="M8399">
        <v>1.125</v>
      </c>
      <c r="N8399">
        <v>1308</v>
      </c>
      <c r="O8399" t="s">
        <v>575</v>
      </c>
      <c r="Q8399" t="s">
        <v>5366</v>
      </c>
      <c r="R8399" t="s">
        <v>6891</v>
      </c>
      <c r="S8399" t="s">
        <v>1085</v>
      </c>
      <c r="T8399" t="s">
        <v>1086</v>
      </c>
    </row>
    <row r="8400" spans="1:20" x14ac:dyDescent="0.25">
      <c r="A8400" t="s">
        <v>30</v>
      </c>
      <c r="B8400" t="s">
        <v>31</v>
      </c>
      <c r="C8400" t="s">
        <v>32</v>
      </c>
      <c r="D8400" t="s">
        <v>953</v>
      </c>
      <c r="E8400" t="s">
        <v>1084</v>
      </c>
      <c r="F8400" t="s">
        <v>35</v>
      </c>
      <c r="G8400" t="s">
        <v>35</v>
      </c>
      <c r="H8400" t="s">
        <v>35</v>
      </c>
      <c r="J8400" t="s">
        <v>7806</v>
      </c>
      <c r="K8400" t="s">
        <v>1092</v>
      </c>
      <c r="M8400">
        <v>0.36</v>
      </c>
      <c r="N8400">
        <v>177</v>
      </c>
      <c r="O8400" t="s">
        <v>38</v>
      </c>
      <c r="Q8400" t="s">
        <v>4625</v>
      </c>
      <c r="R8400" t="s">
        <v>6891</v>
      </c>
      <c r="S8400" t="s">
        <v>1085</v>
      </c>
      <c r="T8400" t="s">
        <v>1086</v>
      </c>
    </row>
    <row r="8401" spans="1:20" x14ac:dyDescent="0.25">
      <c r="A8401" t="s">
        <v>59</v>
      </c>
      <c r="B8401" t="s">
        <v>60</v>
      </c>
      <c r="C8401" t="s">
        <v>32</v>
      </c>
      <c r="D8401" t="s">
        <v>953</v>
      </c>
      <c r="E8401" t="s">
        <v>1084</v>
      </c>
      <c r="F8401" t="s">
        <v>35</v>
      </c>
      <c r="G8401" t="s">
        <v>35</v>
      </c>
      <c r="H8401" t="s">
        <v>35</v>
      </c>
      <c r="J8401" t="s">
        <v>7806</v>
      </c>
      <c r="K8401" t="s">
        <v>1092</v>
      </c>
      <c r="M8401">
        <v>0.75</v>
      </c>
      <c r="N8401">
        <v>177</v>
      </c>
      <c r="O8401" t="s">
        <v>38</v>
      </c>
      <c r="Q8401" t="s">
        <v>4625</v>
      </c>
      <c r="R8401" t="s">
        <v>6891</v>
      </c>
      <c r="S8401" t="s">
        <v>1085</v>
      </c>
      <c r="T8401" t="s">
        <v>1086</v>
      </c>
    </row>
    <row r="8402" spans="1:20" x14ac:dyDescent="0.25">
      <c r="A8402" t="s">
        <v>59</v>
      </c>
      <c r="B8402" t="s">
        <v>31</v>
      </c>
      <c r="C8402" t="s">
        <v>32</v>
      </c>
      <c r="D8402" t="s">
        <v>953</v>
      </c>
      <c r="E8402" t="s">
        <v>1084</v>
      </c>
      <c r="F8402" t="s">
        <v>35</v>
      </c>
      <c r="G8402" t="s">
        <v>35</v>
      </c>
      <c r="H8402" t="s">
        <v>35</v>
      </c>
      <c r="J8402" t="s">
        <v>7806</v>
      </c>
      <c r="K8402" t="s">
        <v>1092</v>
      </c>
      <c r="M8402">
        <v>0.09</v>
      </c>
      <c r="N8402">
        <v>211</v>
      </c>
      <c r="O8402" t="s">
        <v>5</v>
      </c>
      <c r="Q8402" t="s">
        <v>1504</v>
      </c>
      <c r="R8402" t="s">
        <v>6891</v>
      </c>
      <c r="S8402" t="s">
        <v>1085</v>
      </c>
      <c r="T8402" t="s">
        <v>1086</v>
      </c>
    </row>
    <row r="8403" spans="1:20" x14ac:dyDescent="0.25">
      <c r="A8403" t="s">
        <v>59</v>
      </c>
      <c r="B8403" t="s">
        <v>60</v>
      </c>
      <c r="C8403" t="s">
        <v>32</v>
      </c>
      <c r="D8403" t="s">
        <v>953</v>
      </c>
      <c r="E8403" t="s">
        <v>1084</v>
      </c>
      <c r="F8403" t="s">
        <v>35</v>
      </c>
      <c r="G8403" t="s">
        <v>35</v>
      </c>
      <c r="H8403" t="s">
        <v>35</v>
      </c>
      <c r="J8403" t="s">
        <v>7817</v>
      </c>
      <c r="K8403" t="s">
        <v>1092</v>
      </c>
      <c r="M8403">
        <v>0.75</v>
      </c>
      <c r="N8403">
        <v>626</v>
      </c>
      <c r="O8403" t="s">
        <v>575</v>
      </c>
      <c r="Q8403" t="s">
        <v>7818</v>
      </c>
      <c r="R8403" t="s">
        <v>6891</v>
      </c>
      <c r="S8403" t="s">
        <v>1085</v>
      </c>
      <c r="T8403" t="s">
        <v>1086</v>
      </c>
    </row>
    <row r="8404" spans="1:20" x14ac:dyDescent="0.25">
      <c r="A8404" t="s">
        <v>30</v>
      </c>
      <c r="B8404" t="s">
        <v>31</v>
      </c>
      <c r="C8404" t="s">
        <v>32</v>
      </c>
      <c r="D8404" t="s">
        <v>953</v>
      </c>
      <c r="E8404" t="s">
        <v>1084</v>
      </c>
      <c r="F8404" t="s">
        <v>35</v>
      </c>
      <c r="G8404" t="s">
        <v>35</v>
      </c>
      <c r="H8404" t="s">
        <v>35</v>
      </c>
      <c r="J8404" t="s">
        <v>7789</v>
      </c>
      <c r="K8404" t="s">
        <v>1092</v>
      </c>
      <c r="M8404">
        <v>1.35</v>
      </c>
      <c r="N8404">
        <v>23</v>
      </c>
      <c r="O8404" t="s">
        <v>46</v>
      </c>
      <c r="Q8404" t="s">
        <v>793</v>
      </c>
      <c r="R8404" t="s">
        <v>6891</v>
      </c>
      <c r="S8404" t="s">
        <v>1085</v>
      </c>
      <c r="T8404" t="s">
        <v>1086</v>
      </c>
    </row>
    <row r="8405" spans="1:20" x14ac:dyDescent="0.25">
      <c r="A8405" t="s">
        <v>59</v>
      </c>
      <c r="B8405" t="s">
        <v>60</v>
      </c>
      <c r="C8405" t="s">
        <v>32</v>
      </c>
      <c r="D8405" t="s">
        <v>953</v>
      </c>
      <c r="E8405" t="s">
        <v>1084</v>
      </c>
      <c r="F8405" t="s">
        <v>35</v>
      </c>
      <c r="G8405" t="s">
        <v>35</v>
      </c>
      <c r="H8405" t="s">
        <v>35</v>
      </c>
      <c r="J8405" t="s">
        <v>7789</v>
      </c>
      <c r="K8405" t="s">
        <v>1092</v>
      </c>
      <c r="M8405">
        <v>1</v>
      </c>
      <c r="N8405">
        <v>23</v>
      </c>
      <c r="O8405" t="s">
        <v>46</v>
      </c>
      <c r="Q8405" t="s">
        <v>793</v>
      </c>
      <c r="R8405" t="s">
        <v>6891</v>
      </c>
      <c r="S8405" t="s">
        <v>1085</v>
      </c>
      <c r="T8405" t="s">
        <v>1086</v>
      </c>
    </row>
    <row r="8406" spans="1:20" x14ac:dyDescent="0.25">
      <c r="A8406" t="s">
        <v>30</v>
      </c>
      <c r="B8406" t="s">
        <v>31</v>
      </c>
      <c r="C8406" t="s">
        <v>32</v>
      </c>
      <c r="D8406" t="s">
        <v>953</v>
      </c>
      <c r="E8406" t="s">
        <v>1084</v>
      </c>
      <c r="F8406" t="s">
        <v>35</v>
      </c>
      <c r="G8406" t="s">
        <v>35</v>
      </c>
      <c r="H8406" t="s">
        <v>35</v>
      </c>
      <c r="J8406" t="s">
        <v>7789</v>
      </c>
      <c r="K8406" t="s">
        <v>1092</v>
      </c>
      <c r="M8406">
        <v>0.58499999999999996</v>
      </c>
      <c r="N8406">
        <v>265</v>
      </c>
      <c r="O8406" t="s">
        <v>5</v>
      </c>
      <c r="Q8406" t="s">
        <v>1264</v>
      </c>
      <c r="R8406" t="s">
        <v>6891</v>
      </c>
      <c r="S8406" t="s">
        <v>1085</v>
      </c>
      <c r="T8406" t="s">
        <v>1086</v>
      </c>
    </row>
    <row r="8407" spans="1:20" x14ac:dyDescent="0.25">
      <c r="A8407" t="s">
        <v>30</v>
      </c>
      <c r="B8407" t="s">
        <v>31</v>
      </c>
      <c r="C8407" t="s">
        <v>32</v>
      </c>
      <c r="D8407" t="s">
        <v>953</v>
      </c>
      <c r="E8407" t="s">
        <v>1084</v>
      </c>
      <c r="F8407" t="s">
        <v>35</v>
      </c>
      <c r="G8407" t="s">
        <v>35</v>
      </c>
      <c r="H8407" t="s">
        <v>35</v>
      </c>
      <c r="J8407" t="s">
        <v>7773</v>
      </c>
      <c r="K8407" t="s">
        <v>1092</v>
      </c>
      <c r="M8407">
        <v>1.35</v>
      </c>
      <c r="N8407">
        <v>11</v>
      </c>
      <c r="O8407" t="s">
        <v>46</v>
      </c>
      <c r="Q8407" t="s">
        <v>1476</v>
      </c>
      <c r="R8407" t="s">
        <v>6891</v>
      </c>
      <c r="S8407" t="s">
        <v>1085</v>
      </c>
      <c r="T8407" t="s">
        <v>1086</v>
      </c>
    </row>
    <row r="8408" spans="1:20" x14ac:dyDescent="0.25">
      <c r="A8408" t="s">
        <v>59</v>
      </c>
      <c r="B8408" t="s">
        <v>31</v>
      </c>
      <c r="C8408" t="s">
        <v>32</v>
      </c>
      <c r="D8408" t="s">
        <v>953</v>
      </c>
      <c r="E8408" t="s">
        <v>1084</v>
      </c>
      <c r="F8408" t="s">
        <v>35</v>
      </c>
      <c r="G8408" t="s">
        <v>35</v>
      </c>
      <c r="H8408" t="s">
        <v>35</v>
      </c>
      <c r="J8408" t="s">
        <v>7785</v>
      </c>
      <c r="K8408" t="s">
        <v>1092</v>
      </c>
      <c r="M8408">
        <v>0.22500000000000001</v>
      </c>
      <c r="N8408">
        <v>40</v>
      </c>
      <c r="O8408" t="s">
        <v>52</v>
      </c>
      <c r="Q8408" t="s">
        <v>132</v>
      </c>
      <c r="R8408" t="s">
        <v>6891</v>
      </c>
      <c r="S8408" t="s">
        <v>1085</v>
      </c>
      <c r="T8408" t="s">
        <v>1086</v>
      </c>
    </row>
    <row r="8409" spans="1:20" x14ac:dyDescent="0.25">
      <c r="A8409" t="s">
        <v>59</v>
      </c>
      <c r="B8409" t="s">
        <v>31</v>
      </c>
      <c r="C8409" t="s">
        <v>32</v>
      </c>
      <c r="D8409" t="s">
        <v>953</v>
      </c>
      <c r="E8409" t="s">
        <v>1084</v>
      </c>
      <c r="F8409" t="s">
        <v>35</v>
      </c>
      <c r="G8409" t="s">
        <v>35</v>
      </c>
      <c r="H8409" t="s">
        <v>35</v>
      </c>
      <c r="J8409" t="s">
        <v>7781</v>
      </c>
      <c r="K8409" t="s">
        <v>1092</v>
      </c>
      <c r="M8409">
        <v>0.09</v>
      </c>
      <c r="N8409">
        <v>56</v>
      </c>
      <c r="O8409" t="s">
        <v>52</v>
      </c>
      <c r="Q8409" t="s">
        <v>423</v>
      </c>
      <c r="R8409" t="s">
        <v>6891</v>
      </c>
      <c r="S8409" t="s">
        <v>1085</v>
      </c>
      <c r="T8409" t="s">
        <v>1086</v>
      </c>
    </row>
    <row r="8410" spans="1:20" x14ac:dyDescent="0.25">
      <c r="A8410" t="s">
        <v>59</v>
      </c>
      <c r="B8410" t="s">
        <v>60</v>
      </c>
      <c r="C8410" t="s">
        <v>32</v>
      </c>
      <c r="D8410" t="s">
        <v>953</v>
      </c>
      <c r="E8410" t="s">
        <v>1084</v>
      </c>
      <c r="F8410" t="s">
        <v>35</v>
      </c>
      <c r="G8410" t="s">
        <v>35</v>
      </c>
      <c r="H8410" t="s">
        <v>35</v>
      </c>
      <c r="J8410" t="s">
        <v>7781</v>
      </c>
      <c r="K8410" t="s">
        <v>1092</v>
      </c>
      <c r="M8410">
        <v>1.4</v>
      </c>
      <c r="N8410">
        <v>56</v>
      </c>
      <c r="O8410" t="s">
        <v>52</v>
      </c>
      <c r="Q8410" t="s">
        <v>423</v>
      </c>
      <c r="R8410" t="s">
        <v>6891</v>
      </c>
      <c r="S8410" t="s">
        <v>1085</v>
      </c>
      <c r="T8410" t="s">
        <v>1086</v>
      </c>
    </row>
    <row r="8411" spans="1:20" x14ac:dyDescent="0.25">
      <c r="A8411" t="s">
        <v>59</v>
      </c>
      <c r="B8411" t="s">
        <v>60</v>
      </c>
      <c r="C8411" t="s">
        <v>32</v>
      </c>
      <c r="D8411" t="s">
        <v>953</v>
      </c>
      <c r="E8411" t="s">
        <v>1084</v>
      </c>
      <c r="F8411" t="s">
        <v>35</v>
      </c>
      <c r="G8411" t="s">
        <v>35</v>
      </c>
      <c r="H8411" t="s">
        <v>35</v>
      </c>
      <c r="J8411" t="s">
        <v>7794</v>
      </c>
      <c r="K8411" t="s">
        <v>1092</v>
      </c>
      <c r="M8411">
        <v>0.3</v>
      </c>
      <c r="N8411">
        <v>73</v>
      </c>
      <c r="O8411" t="s">
        <v>61</v>
      </c>
      <c r="Q8411" t="s">
        <v>477</v>
      </c>
      <c r="R8411" t="s">
        <v>6891</v>
      </c>
      <c r="S8411" t="s">
        <v>1085</v>
      </c>
      <c r="T8411" t="s">
        <v>1086</v>
      </c>
    </row>
    <row r="8412" spans="1:20" x14ac:dyDescent="0.25">
      <c r="A8412" t="s">
        <v>59</v>
      </c>
      <c r="B8412" t="s">
        <v>31</v>
      </c>
      <c r="C8412" t="s">
        <v>32</v>
      </c>
      <c r="D8412" t="s">
        <v>953</v>
      </c>
      <c r="E8412" t="s">
        <v>1084</v>
      </c>
      <c r="F8412" t="s">
        <v>35</v>
      </c>
      <c r="G8412" t="s">
        <v>35</v>
      </c>
      <c r="H8412" t="s">
        <v>35</v>
      </c>
      <c r="J8412" t="s">
        <v>7794</v>
      </c>
      <c r="K8412" t="s">
        <v>1092</v>
      </c>
      <c r="M8412">
        <v>0.22500000000000001</v>
      </c>
      <c r="N8412">
        <v>54</v>
      </c>
      <c r="O8412" t="s">
        <v>52</v>
      </c>
      <c r="Q8412" t="s">
        <v>671</v>
      </c>
      <c r="R8412" t="s">
        <v>6891</v>
      </c>
      <c r="S8412" t="s">
        <v>1085</v>
      </c>
      <c r="T8412" t="s">
        <v>1086</v>
      </c>
    </row>
    <row r="8413" spans="1:20" x14ac:dyDescent="0.25">
      <c r="A8413" t="s">
        <v>59</v>
      </c>
      <c r="B8413" t="s">
        <v>60</v>
      </c>
      <c r="C8413" t="s">
        <v>32</v>
      </c>
      <c r="D8413" t="s">
        <v>953</v>
      </c>
      <c r="E8413" t="s">
        <v>1084</v>
      </c>
      <c r="F8413" t="s">
        <v>35</v>
      </c>
      <c r="G8413" t="s">
        <v>35</v>
      </c>
      <c r="H8413" t="s">
        <v>35</v>
      </c>
      <c r="J8413" t="s">
        <v>7794</v>
      </c>
      <c r="K8413" t="s">
        <v>1092</v>
      </c>
      <c r="M8413">
        <v>0.5</v>
      </c>
      <c r="N8413">
        <v>54</v>
      </c>
      <c r="O8413" t="s">
        <v>52</v>
      </c>
      <c r="Q8413" t="s">
        <v>671</v>
      </c>
      <c r="R8413" t="s">
        <v>6891</v>
      </c>
      <c r="S8413" t="s">
        <v>1085</v>
      </c>
      <c r="T8413" t="s">
        <v>1086</v>
      </c>
    </row>
    <row r="8414" spans="1:20" x14ac:dyDescent="0.25">
      <c r="A8414" t="s">
        <v>30</v>
      </c>
      <c r="B8414" t="s">
        <v>31</v>
      </c>
      <c r="C8414" t="s">
        <v>32</v>
      </c>
      <c r="D8414" t="s">
        <v>953</v>
      </c>
      <c r="E8414" t="s">
        <v>1084</v>
      </c>
      <c r="F8414" t="s">
        <v>35</v>
      </c>
      <c r="G8414" t="s">
        <v>35</v>
      </c>
      <c r="H8414" t="s">
        <v>35</v>
      </c>
      <c r="J8414" t="s">
        <v>7780</v>
      </c>
      <c r="K8414" t="s">
        <v>1092</v>
      </c>
      <c r="M8414">
        <v>0.9</v>
      </c>
      <c r="N8414">
        <v>40</v>
      </c>
      <c r="O8414" t="s">
        <v>52</v>
      </c>
      <c r="Q8414" t="s">
        <v>132</v>
      </c>
      <c r="R8414" t="s">
        <v>6891</v>
      </c>
      <c r="S8414" t="s">
        <v>1085</v>
      </c>
      <c r="T8414" t="s">
        <v>1086</v>
      </c>
    </row>
    <row r="8415" spans="1:20" x14ac:dyDescent="0.25">
      <c r="A8415" t="s">
        <v>44</v>
      </c>
      <c r="B8415" t="s">
        <v>51</v>
      </c>
      <c r="C8415" t="s">
        <v>32</v>
      </c>
      <c r="D8415" t="s">
        <v>953</v>
      </c>
      <c r="E8415" t="s">
        <v>6878</v>
      </c>
      <c r="F8415" t="s">
        <v>35</v>
      </c>
      <c r="G8415" t="s">
        <v>35</v>
      </c>
      <c r="H8415" t="s">
        <v>35</v>
      </c>
      <c r="J8415" t="s">
        <v>3798</v>
      </c>
      <c r="K8415" t="s">
        <v>1092</v>
      </c>
      <c r="M8415">
        <v>1</v>
      </c>
      <c r="N8415">
        <v>229</v>
      </c>
      <c r="O8415" t="s">
        <v>5</v>
      </c>
      <c r="Q8415" t="s">
        <v>1140</v>
      </c>
      <c r="R8415" t="s">
        <v>6891</v>
      </c>
      <c r="S8415" t="s">
        <v>1085</v>
      </c>
      <c r="T8415" t="s">
        <v>1086</v>
      </c>
    </row>
    <row r="8416" spans="1:20" x14ac:dyDescent="0.25">
      <c r="A8416" t="s">
        <v>59</v>
      </c>
      <c r="B8416" t="s">
        <v>60</v>
      </c>
      <c r="C8416" t="s">
        <v>32</v>
      </c>
      <c r="D8416" t="s">
        <v>953</v>
      </c>
      <c r="E8416" t="s">
        <v>1007</v>
      </c>
      <c r="F8416" t="s">
        <v>35</v>
      </c>
      <c r="G8416" t="s">
        <v>35</v>
      </c>
      <c r="H8416" t="s">
        <v>35</v>
      </c>
      <c r="J8416" t="s">
        <v>7335</v>
      </c>
      <c r="K8416" t="s">
        <v>1092</v>
      </c>
      <c r="M8416">
        <v>0.05</v>
      </c>
      <c r="N8416">
        <v>1309</v>
      </c>
      <c r="O8416" t="s">
        <v>575</v>
      </c>
      <c r="Q8416" t="s">
        <v>7336</v>
      </c>
      <c r="R8416" t="s">
        <v>6891</v>
      </c>
      <c r="S8416" t="s">
        <v>1085</v>
      </c>
      <c r="T8416" t="s">
        <v>1086</v>
      </c>
    </row>
    <row r="8417" spans="1:20" x14ac:dyDescent="0.25">
      <c r="A8417" t="s">
        <v>59</v>
      </c>
      <c r="B8417" t="s">
        <v>60</v>
      </c>
      <c r="C8417" t="s">
        <v>32</v>
      </c>
      <c r="D8417" t="s">
        <v>953</v>
      </c>
      <c r="E8417" t="s">
        <v>7842</v>
      </c>
      <c r="F8417" t="s">
        <v>35</v>
      </c>
      <c r="G8417" t="s">
        <v>35</v>
      </c>
      <c r="H8417" t="s">
        <v>35</v>
      </c>
      <c r="J8417" t="s">
        <v>7845</v>
      </c>
      <c r="K8417" t="s">
        <v>1092</v>
      </c>
      <c r="M8417">
        <v>0.5</v>
      </c>
      <c r="N8417">
        <v>43</v>
      </c>
      <c r="O8417" t="s">
        <v>52</v>
      </c>
      <c r="Q8417" t="s">
        <v>425</v>
      </c>
      <c r="R8417" t="s">
        <v>6891</v>
      </c>
      <c r="S8417" t="s">
        <v>1085</v>
      </c>
      <c r="T8417" t="s">
        <v>1086</v>
      </c>
    </row>
    <row r="8418" spans="1:20" x14ac:dyDescent="0.25">
      <c r="A8418" t="s">
        <v>59</v>
      </c>
      <c r="B8418" t="s">
        <v>60</v>
      </c>
      <c r="C8418" t="s">
        <v>32</v>
      </c>
      <c r="D8418" t="s">
        <v>953</v>
      </c>
      <c r="E8418" t="s">
        <v>7842</v>
      </c>
      <c r="F8418" t="s">
        <v>35</v>
      </c>
      <c r="G8418" t="s">
        <v>35</v>
      </c>
      <c r="H8418" t="s">
        <v>35</v>
      </c>
      <c r="J8418" t="s">
        <v>7845</v>
      </c>
      <c r="K8418" t="s">
        <v>1092</v>
      </c>
      <c r="M8418">
        <v>0.35</v>
      </c>
      <c r="N8418">
        <v>45</v>
      </c>
      <c r="O8418" t="s">
        <v>52</v>
      </c>
      <c r="Q8418" t="s">
        <v>1230</v>
      </c>
      <c r="R8418" t="s">
        <v>6891</v>
      </c>
      <c r="S8418" t="s">
        <v>1085</v>
      </c>
      <c r="T8418" t="s">
        <v>1086</v>
      </c>
    </row>
    <row r="8419" spans="1:20" x14ac:dyDescent="0.25">
      <c r="A8419" t="s">
        <v>30</v>
      </c>
      <c r="B8419" t="s">
        <v>31</v>
      </c>
      <c r="C8419" t="s">
        <v>32</v>
      </c>
      <c r="D8419" t="s">
        <v>953</v>
      </c>
      <c r="E8419" t="s">
        <v>7842</v>
      </c>
      <c r="F8419" t="s">
        <v>35</v>
      </c>
      <c r="G8419" t="s">
        <v>35</v>
      </c>
      <c r="H8419" t="s">
        <v>35</v>
      </c>
      <c r="J8419" t="s">
        <v>7855</v>
      </c>
      <c r="K8419" t="s">
        <v>1092</v>
      </c>
      <c r="M8419">
        <v>0.36</v>
      </c>
      <c r="N8419">
        <v>32</v>
      </c>
      <c r="O8419" t="s">
        <v>52</v>
      </c>
      <c r="Q8419" t="s">
        <v>816</v>
      </c>
      <c r="R8419" t="s">
        <v>6891</v>
      </c>
      <c r="S8419" t="s">
        <v>1085</v>
      </c>
      <c r="T8419" t="s">
        <v>1086</v>
      </c>
    </row>
    <row r="8420" spans="1:20" x14ac:dyDescent="0.25">
      <c r="A8420" t="s">
        <v>59</v>
      </c>
      <c r="B8420" t="s">
        <v>60</v>
      </c>
      <c r="C8420" t="s">
        <v>32</v>
      </c>
      <c r="D8420" t="s">
        <v>953</v>
      </c>
      <c r="E8420" t="s">
        <v>7842</v>
      </c>
      <c r="F8420" t="s">
        <v>35</v>
      </c>
      <c r="G8420" t="s">
        <v>35</v>
      </c>
      <c r="H8420" t="s">
        <v>35</v>
      </c>
      <c r="J8420" t="s">
        <v>7853</v>
      </c>
      <c r="K8420" t="s">
        <v>1092</v>
      </c>
      <c r="M8420">
        <v>0.35</v>
      </c>
      <c r="N8420">
        <v>621</v>
      </c>
      <c r="O8420" t="s">
        <v>575</v>
      </c>
      <c r="Q8420" t="s">
        <v>2423</v>
      </c>
      <c r="R8420" t="s">
        <v>6891</v>
      </c>
      <c r="S8420" t="s">
        <v>1085</v>
      </c>
      <c r="T8420" t="s">
        <v>1086</v>
      </c>
    </row>
    <row r="8421" spans="1:20" x14ac:dyDescent="0.25">
      <c r="A8421" t="s">
        <v>59</v>
      </c>
      <c r="B8421" t="s">
        <v>60</v>
      </c>
      <c r="C8421" t="s">
        <v>32</v>
      </c>
      <c r="D8421" t="s">
        <v>953</v>
      </c>
      <c r="E8421" t="s">
        <v>7842</v>
      </c>
      <c r="F8421" t="s">
        <v>35</v>
      </c>
      <c r="G8421" t="s">
        <v>35</v>
      </c>
      <c r="H8421" t="s">
        <v>35</v>
      </c>
      <c r="J8421" t="s">
        <v>7864</v>
      </c>
      <c r="K8421" t="s">
        <v>1092</v>
      </c>
      <c r="M8421">
        <v>0.2</v>
      </c>
      <c r="N8421">
        <v>238</v>
      </c>
      <c r="O8421" t="s">
        <v>5</v>
      </c>
      <c r="Q8421" t="s">
        <v>111</v>
      </c>
      <c r="R8421" t="s">
        <v>6891</v>
      </c>
      <c r="S8421" t="s">
        <v>1085</v>
      </c>
      <c r="T8421" t="s">
        <v>1086</v>
      </c>
    </row>
    <row r="8422" spans="1:20" x14ac:dyDescent="0.25">
      <c r="A8422" t="s">
        <v>44</v>
      </c>
      <c r="B8422" t="s">
        <v>3</v>
      </c>
      <c r="C8422" t="s">
        <v>32</v>
      </c>
      <c r="D8422" t="s">
        <v>953</v>
      </c>
      <c r="E8422" t="s">
        <v>6878</v>
      </c>
      <c r="F8422" t="s">
        <v>35</v>
      </c>
      <c r="G8422" t="s">
        <v>35</v>
      </c>
      <c r="H8422" t="s">
        <v>35</v>
      </c>
      <c r="J8422" t="s">
        <v>6929</v>
      </c>
      <c r="K8422" t="s">
        <v>1092</v>
      </c>
      <c r="M8422">
        <v>0.5</v>
      </c>
      <c r="N8422">
        <v>238</v>
      </c>
      <c r="O8422" t="s">
        <v>5</v>
      </c>
      <c r="Q8422" t="s">
        <v>111</v>
      </c>
      <c r="R8422" t="s">
        <v>6891</v>
      </c>
      <c r="S8422" t="s">
        <v>1085</v>
      </c>
      <c r="T8422" t="s">
        <v>1086</v>
      </c>
    </row>
    <row r="8423" spans="1:20" x14ac:dyDescent="0.25">
      <c r="A8423" t="s">
        <v>59</v>
      </c>
      <c r="B8423" t="s">
        <v>31</v>
      </c>
      <c r="C8423" t="s">
        <v>32</v>
      </c>
      <c r="D8423" t="s">
        <v>953</v>
      </c>
      <c r="E8423" t="s">
        <v>998</v>
      </c>
      <c r="F8423" t="s">
        <v>35</v>
      </c>
      <c r="G8423" t="s">
        <v>35</v>
      </c>
      <c r="H8423" t="s">
        <v>35</v>
      </c>
      <c r="J8423" t="s">
        <v>7295</v>
      </c>
      <c r="K8423" t="s">
        <v>1092</v>
      </c>
      <c r="M8423">
        <v>0.72</v>
      </c>
      <c r="N8423">
        <v>84</v>
      </c>
      <c r="O8423" t="s">
        <v>61</v>
      </c>
      <c r="Q8423" t="s">
        <v>1147</v>
      </c>
      <c r="R8423" t="s">
        <v>6891</v>
      </c>
      <c r="S8423" t="s">
        <v>1085</v>
      </c>
      <c r="T8423" t="s">
        <v>1086</v>
      </c>
    </row>
    <row r="8424" spans="1:20" x14ac:dyDescent="0.25">
      <c r="A8424" t="s">
        <v>59</v>
      </c>
      <c r="B8424" t="s">
        <v>31</v>
      </c>
      <c r="C8424" t="s">
        <v>32</v>
      </c>
      <c r="D8424" t="s">
        <v>953</v>
      </c>
      <c r="E8424" t="s">
        <v>1084</v>
      </c>
      <c r="F8424" t="s">
        <v>35</v>
      </c>
      <c r="G8424" t="s">
        <v>35</v>
      </c>
      <c r="H8424" t="s">
        <v>35</v>
      </c>
      <c r="J8424" t="s">
        <v>7838</v>
      </c>
      <c r="K8424" t="s">
        <v>1092</v>
      </c>
      <c r="M8424">
        <v>4.5</v>
      </c>
      <c r="N8424">
        <v>154</v>
      </c>
      <c r="O8424" t="s">
        <v>38</v>
      </c>
      <c r="Q8424" t="s">
        <v>2639</v>
      </c>
      <c r="R8424" t="s">
        <v>6891</v>
      </c>
      <c r="S8424" t="s">
        <v>1085</v>
      </c>
      <c r="T8424" t="s">
        <v>1086</v>
      </c>
    </row>
    <row r="8425" spans="1:20" x14ac:dyDescent="0.25">
      <c r="A8425" t="s">
        <v>59</v>
      </c>
      <c r="B8425" t="s">
        <v>31</v>
      </c>
      <c r="C8425" t="s">
        <v>32</v>
      </c>
      <c r="D8425" t="s">
        <v>953</v>
      </c>
      <c r="E8425" t="s">
        <v>7842</v>
      </c>
      <c r="F8425" t="s">
        <v>35</v>
      </c>
      <c r="G8425" t="s">
        <v>35</v>
      </c>
      <c r="H8425" t="s">
        <v>35</v>
      </c>
      <c r="J8425" t="s">
        <v>2661</v>
      </c>
      <c r="K8425" t="s">
        <v>1092</v>
      </c>
      <c r="M8425">
        <v>1.35</v>
      </c>
      <c r="N8425">
        <v>58</v>
      </c>
      <c r="O8425" t="s">
        <v>52</v>
      </c>
      <c r="Q8425" t="s">
        <v>128</v>
      </c>
      <c r="R8425" t="s">
        <v>6891</v>
      </c>
      <c r="S8425" t="s">
        <v>1085</v>
      </c>
      <c r="T8425" t="s">
        <v>1086</v>
      </c>
    </row>
    <row r="8426" spans="1:20" x14ac:dyDescent="0.25">
      <c r="A8426" t="s">
        <v>59</v>
      </c>
      <c r="B8426" t="s">
        <v>31</v>
      </c>
      <c r="C8426" t="s">
        <v>32</v>
      </c>
      <c r="D8426" t="s">
        <v>953</v>
      </c>
      <c r="E8426" t="s">
        <v>7842</v>
      </c>
      <c r="F8426" t="s">
        <v>35</v>
      </c>
      <c r="G8426" t="s">
        <v>35</v>
      </c>
      <c r="H8426" t="s">
        <v>35</v>
      </c>
      <c r="J8426" t="s">
        <v>2661</v>
      </c>
      <c r="K8426" t="s">
        <v>1092</v>
      </c>
      <c r="M8426">
        <v>1.35</v>
      </c>
      <c r="N8426">
        <v>54</v>
      </c>
      <c r="O8426" t="s">
        <v>52</v>
      </c>
      <c r="Q8426" t="s">
        <v>671</v>
      </c>
      <c r="R8426" t="s">
        <v>6891</v>
      </c>
      <c r="S8426" t="s">
        <v>1085</v>
      </c>
      <c r="T8426" t="s">
        <v>1086</v>
      </c>
    </row>
    <row r="8427" spans="1:20" x14ac:dyDescent="0.25">
      <c r="A8427" t="s">
        <v>59</v>
      </c>
      <c r="B8427" t="s">
        <v>60</v>
      </c>
      <c r="C8427" t="s">
        <v>32</v>
      </c>
      <c r="D8427" t="s">
        <v>953</v>
      </c>
      <c r="E8427" t="s">
        <v>998</v>
      </c>
      <c r="F8427" t="s">
        <v>35</v>
      </c>
      <c r="G8427" t="s">
        <v>35</v>
      </c>
      <c r="H8427" t="s">
        <v>35</v>
      </c>
      <c r="J8427" t="s">
        <v>7298</v>
      </c>
      <c r="K8427" t="s">
        <v>1092</v>
      </c>
      <c r="M8427">
        <v>0.4</v>
      </c>
      <c r="N8427">
        <v>235</v>
      </c>
      <c r="O8427" t="s">
        <v>5</v>
      </c>
      <c r="Q8427" t="s">
        <v>2904</v>
      </c>
      <c r="R8427" t="s">
        <v>6891</v>
      </c>
      <c r="S8427" t="s">
        <v>1085</v>
      </c>
      <c r="T8427" t="s">
        <v>1086</v>
      </c>
    </row>
    <row r="8428" spans="1:20" x14ac:dyDescent="0.25">
      <c r="A8428" t="s">
        <v>44</v>
      </c>
      <c r="B8428" t="s">
        <v>51</v>
      </c>
      <c r="C8428" t="s">
        <v>32</v>
      </c>
      <c r="D8428" t="s">
        <v>953</v>
      </c>
      <c r="E8428" t="s">
        <v>7842</v>
      </c>
      <c r="F8428" t="s">
        <v>35</v>
      </c>
      <c r="G8428" t="s">
        <v>35</v>
      </c>
      <c r="H8428" t="s">
        <v>35</v>
      </c>
      <c r="J8428" t="s">
        <v>7869</v>
      </c>
      <c r="K8428" t="s">
        <v>1092</v>
      </c>
      <c r="M8428">
        <v>1</v>
      </c>
      <c r="N8428">
        <v>491</v>
      </c>
      <c r="O8428" t="s">
        <v>294</v>
      </c>
      <c r="Q8428" t="s">
        <v>2487</v>
      </c>
      <c r="R8428" t="s">
        <v>6891</v>
      </c>
      <c r="S8428" t="s">
        <v>1085</v>
      </c>
      <c r="T8428" t="s">
        <v>1086</v>
      </c>
    </row>
    <row r="8429" spans="1:20" x14ac:dyDescent="0.25">
      <c r="A8429" t="s">
        <v>59</v>
      </c>
      <c r="B8429" t="s">
        <v>60</v>
      </c>
      <c r="C8429" t="s">
        <v>32</v>
      </c>
      <c r="D8429" t="s">
        <v>953</v>
      </c>
      <c r="E8429" t="s">
        <v>7842</v>
      </c>
      <c r="F8429" t="s">
        <v>35</v>
      </c>
      <c r="G8429" t="s">
        <v>35</v>
      </c>
      <c r="H8429" t="s">
        <v>35</v>
      </c>
      <c r="J8429" t="s">
        <v>7876</v>
      </c>
      <c r="K8429" t="s">
        <v>1092</v>
      </c>
      <c r="M8429">
        <v>0.28999999999999998</v>
      </c>
      <c r="N8429">
        <v>240</v>
      </c>
      <c r="O8429" t="s">
        <v>5</v>
      </c>
      <c r="Q8429" t="s">
        <v>574</v>
      </c>
      <c r="R8429" t="s">
        <v>6891</v>
      </c>
      <c r="S8429" t="s">
        <v>1085</v>
      </c>
      <c r="T8429" t="s">
        <v>1086</v>
      </c>
    </row>
    <row r="8430" spans="1:20" x14ac:dyDescent="0.25">
      <c r="A8430" t="s">
        <v>59</v>
      </c>
      <c r="B8430" t="s">
        <v>60</v>
      </c>
      <c r="C8430" t="s">
        <v>32</v>
      </c>
      <c r="D8430" t="s">
        <v>953</v>
      </c>
      <c r="E8430" t="s">
        <v>7842</v>
      </c>
      <c r="F8430" t="s">
        <v>35</v>
      </c>
      <c r="G8430" t="s">
        <v>35</v>
      </c>
      <c r="H8430" t="s">
        <v>35</v>
      </c>
      <c r="J8430" t="s">
        <v>7843</v>
      </c>
      <c r="K8430" t="s">
        <v>1092</v>
      </c>
      <c r="M8430">
        <v>0.5</v>
      </c>
      <c r="N8430">
        <v>166</v>
      </c>
      <c r="O8430" t="s">
        <v>38</v>
      </c>
      <c r="Q8430" t="s">
        <v>1345</v>
      </c>
      <c r="R8430" t="s">
        <v>6891</v>
      </c>
      <c r="S8430" t="s">
        <v>1085</v>
      </c>
      <c r="T8430" t="s">
        <v>1086</v>
      </c>
    </row>
    <row r="8431" spans="1:20" x14ac:dyDescent="0.25">
      <c r="A8431" t="s">
        <v>59</v>
      </c>
      <c r="B8431" t="s">
        <v>60</v>
      </c>
      <c r="C8431" t="s">
        <v>32</v>
      </c>
      <c r="D8431" t="s">
        <v>953</v>
      </c>
      <c r="E8431" t="s">
        <v>7842</v>
      </c>
      <c r="F8431" t="s">
        <v>35</v>
      </c>
      <c r="G8431" t="s">
        <v>35</v>
      </c>
      <c r="H8431" t="s">
        <v>35</v>
      </c>
      <c r="J8431" t="s">
        <v>7843</v>
      </c>
      <c r="K8431" t="s">
        <v>1092</v>
      </c>
      <c r="M8431">
        <v>0.5</v>
      </c>
      <c r="N8431">
        <v>216</v>
      </c>
      <c r="O8431" t="s">
        <v>5</v>
      </c>
      <c r="Q8431" t="s">
        <v>3310</v>
      </c>
      <c r="R8431" t="s">
        <v>6891</v>
      </c>
      <c r="S8431" t="s">
        <v>1085</v>
      </c>
      <c r="T8431" t="s">
        <v>1086</v>
      </c>
    </row>
    <row r="8432" spans="1:20" x14ac:dyDescent="0.25">
      <c r="A8432" t="s">
        <v>59</v>
      </c>
      <c r="B8432" t="s">
        <v>31</v>
      </c>
      <c r="C8432" t="s">
        <v>32</v>
      </c>
      <c r="D8432" t="s">
        <v>953</v>
      </c>
      <c r="E8432" t="s">
        <v>7842</v>
      </c>
      <c r="F8432" t="s">
        <v>35</v>
      </c>
      <c r="G8432" t="s">
        <v>35</v>
      </c>
      <c r="H8432" t="s">
        <v>35</v>
      </c>
      <c r="J8432" t="s">
        <v>7843</v>
      </c>
      <c r="K8432" t="s">
        <v>1092</v>
      </c>
      <c r="M8432">
        <v>0.9</v>
      </c>
      <c r="N8432">
        <v>56</v>
      </c>
      <c r="O8432" t="s">
        <v>52</v>
      </c>
      <c r="Q8432" t="s">
        <v>423</v>
      </c>
      <c r="R8432" t="s">
        <v>6891</v>
      </c>
      <c r="S8432" t="s">
        <v>1085</v>
      </c>
      <c r="T8432" t="s">
        <v>1086</v>
      </c>
    </row>
    <row r="8433" spans="1:20" x14ac:dyDescent="0.25">
      <c r="A8433" t="s">
        <v>59</v>
      </c>
      <c r="B8433" t="s">
        <v>31</v>
      </c>
      <c r="C8433" t="s">
        <v>32</v>
      </c>
      <c r="D8433" t="s">
        <v>953</v>
      </c>
      <c r="E8433" t="s">
        <v>1084</v>
      </c>
      <c r="F8433" t="s">
        <v>35</v>
      </c>
      <c r="G8433" t="s">
        <v>35</v>
      </c>
      <c r="H8433" t="s">
        <v>35</v>
      </c>
      <c r="J8433" t="s">
        <v>7777</v>
      </c>
      <c r="K8433" t="s">
        <v>1092</v>
      </c>
      <c r="M8433">
        <v>4.4999999999999998E-2</v>
      </c>
      <c r="N8433">
        <v>86</v>
      </c>
      <c r="O8433" t="s">
        <v>61</v>
      </c>
      <c r="Q8433" t="s">
        <v>941</v>
      </c>
      <c r="R8433" t="s">
        <v>6891</v>
      </c>
      <c r="S8433" t="s">
        <v>1085</v>
      </c>
      <c r="T8433" t="s">
        <v>1086</v>
      </c>
    </row>
    <row r="8434" spans="1:20" x14ac:dyDescent="0.25">
      <c r="A8434" t="s">
        <v>59</v>
      </c>
      <c r="B8434" t="s">
        <v>60</v>
      </c>
      <c r="C8434" t="s">
        <v>32</v>
      </c>
      <c r="D8434" t="s">
        <v>953</v>
      </c>
      <c r="E8434" t="s">
        <v>1084</v>
      </c>
      <c r="F8434" t="s">
        <v>35</v>
      </c>
      <c r="G8434" t="s">
        <v>35</v>
      </c>
      <c r="H8434" t="s">
        <v>35</v>
      </c>
      <c r="J8434" t="s">
        <v>7777</v>
      </c>
      <c r="K8434" t="s">
        <v>1092</v>
      </c>
      <c r="M8434">
        <v>0.5</v>
      </c>
      <c r="N8434">
        <v>32</v>
      </c>
      <c r="O8434" t="s">
        <v>52</v>
      </c>
      <c r="Q8434" t="s">
        <v>816</v>
      </c>
      <c r="R8434" t="s">
        <v>6891</v>
      </c>
      <c r="S8434" t="s">
        <v>1085</v>
      </c>
      <c r="T8434" t="s">
        <v>1086</v>
      </c>
    </row>
    <row r="8435" spans="1:20" x14ac:dyDescent="0.25">
      <c r="A8435" t="s">
        <v>59</v>
      </c>
      <c r="B8435" t="s">
        <v>31</v>
      </c>
      <c r="C8435" t="s">
        <v>32</v>
      </c>
      <c r="D8435" t="s">
        <v>953</v>
      </c>
      <c r="E8435" t="s">
        <v>1084</v>
      </c>
      <c r="F8435" t="s">
        <v>35</v>
      </c>
      <c r="G8435" t="s">
        <v>35</v>
      </c>
      <c r="H8435" t="s">
        <v>35</v>
      </c>
      <c r="J8435" t="s">
        <v>7777</v>
      </c>
      <c r="K8435" t="s">
        <v>1092</v>
      </c>
      <c r="M8435">
        <v>0.9</v>
      </c>
      <c r="N8435">
        <v>56</v>
      </c>
      <c r="O8435" t="s">
        <v>52</v>
      </c>
      <c r="Q8435" t="s">
        <v>423</v>
      </c>
      <c r="R8435" t="s">
        <v>6891</v>
      </c>
      <c r="S8435" t="s">
        <v>1085</v>
      </c>
      <c r="T8435" t="s">
        <v>1086</v>
      </c>
    </row>
    <row r="8436" spans="1:20" x14ac:dyDescent="0.25">
      <c r="A8436" t="s">
        <v>59</v>
      </c>
      <c r="B8436" t="s">
        <v>60</v>
      </c>
      <c r="C8436" t="s">
        <v>32</v>
      </c>
      <c r="D8436" t="s">
        <v>953</v>
      </c>
      <c r="E8436" t="s">
        <v>1084</v>
      </c>
      <c r="F8436" t="s">
        <v>35</v>
      </c>
      <c r="G8436" t="s">
        <v>35</v>
      </c>
      <c r="H8436" t="s">
        <v>35</v>
      </c>
      <c r="J8436" t="s">
        <v>7777</v>
      </c>
      <c r="K8436" t="s">
        <v>1092</v>
      </c>
      <c r="M8436">
        <v>0.22500000000000001</v>
      </c>
      <c r="N8436">
        <v>135</v>
      </c>
      <c r="O8436" t="s">
        <v>38</v>
      </c>
      <c r="Q8436" t="s">
        <v>2067</v>
      </c>
      <c r="R8436" t="s">
        <v>6891</v>
      </c>
      <c r="S8436" t="s">
        <v>1085</v>
      </c>
      <c r="T8436" t="s">
        <v>1086</v>
      </c>
    </row>
    <row r="8437" spans="1:20" x14ac:dyDescent="0.25">
      <c r="A8437" t="s">
        <v>59</v>
      </c>
      <c r="B8437" t="s">
        <v>60</v>
      </c>
      <c r="C8437" t="s">
        <v>32</v>
      </c>
      <c r="D8437" t="s">
        <v>953</v>
      </c>
      <c r="F8437" t="s">
        <v>35</v>
      </c>
      <c r="G8437" t="s">
        <v>35</v>
      </c>
      <c r="H8437" t="s">
        <v>35</v>
      </c>
      <c r="J8437" t="s">
        <v>7909</v>
      </c>
      <c r="K8437" t="s">
        <v>1092</v>
      </c>
      <c r="M8437">
        <v>2</v>
      </c>
      <c r="N8437">
        <v>231</v>
      </c>
      <c r="O8437" t="s">
        <v>5</v>
      </c>
      <c r="Q8437" t="s">
        <v>933</v>
      </c>
      <c r="R8437" t="s">
        <v>6891</v>
      </c>
      <c r="S8437" t="s">
        <v>1085</v>
      </c>
      <c r="T8437" t="s">
        <v>1086</v>
      </c>
    </row>
    <row r="8438" spans="1:20" x14ac:dyDescent="0.25">
      <c r="A8438" t="s">
        <v>30</v>
      </c>
      <c r="B8438" t="s">
        <v>31</v>
      </c>
      <c r="C8438" t="s">
        <v>32</v>
      </c>
      <c r="D8438" t="s">
        <v>953</v>
      </c>
      <c r="F8438" t="s">
        <v>35</v>
      </c>
      <c r="G8438" t="s">
        <v>35</v>
      </c>
      <c r="H8438" t="s">
        <v>35</v>
      </c>
      <c r="J8438" t="s">
        <v>7909</v>
      </c>
      <c r="K8438" t="s">
        <v>1092</v>
      </c>
      <c r="M8438">
        <v>4.4999999999999998E-2</v>
      </c>
      <c r="N8438">
        <v>179</v>
      </c>
      <c r="O8438" t="s">
        <v>38</v>
      </c>
      <c r="Q8438" t="s">
        <v>1363</v>
      </c>
      <c r="R8438" t="s">
        <v>6891</v>
      </c>
      <c r="S8438" t="s">
        <v>1085</v>
      </c>
      <c r="T8438" t="s">
        <v>1086</v>
      </c>
    </row>
    <row r="8439" spans="1:20" x14ac:dyDescent="0.25">
      <c r="A8439" t="s">
        <v>59</v>
      </c>
      <c r="B8439" t="s">
        <v>31</v>
      </c>
      <c r="C8439" t="s">
        <v>32</v>
      </c>
      <c r="D8439" t="s">
        <v>953</v>
      </c>
      <c r="F8439" t="s">
        <v>35</v>
      </c>
      <c r="G8439" t="s">
        <v>35</v>
      </c>
      <c r="H8439" t="s">
        <v>35</v>
      </c>
      <c r="J8439" t="s">
        <v>7909</v>
      </c>
      <c r="K8439" t="s">
        <v>1092</v>
      </c>
      <c r="M8439">
        <v>2.7</v>
      </c>
      <c r="N8439">
        <v>52</v>
      </c>
      <c r="O8439" t="s">
        <v>52</v>
      </c>
      <c r="Q8439" t="s">
        <v>84</v>
      </c>
      <c r="R8439" t="s">
        <v>6891</v>
      </c>
      <c r="S8439" t="s">
        <v>1085</v>
      </c>
      <c r="T8439" t="s">
        <v>1086</v>
      </c>
    </row>
    <row r="8440" spans="1:20" x14ac:dyDescent="0.25">
      <c r="A8440" t="s">
        <v>59</v>
      </c>
      <c r="B8440" t="s">
        <v>60</v>
      </c>
      <c r="C8440" t="s">
        <v>32</v>
      </c>
      <c r="D8440" t="s">
        <v>953</v>
      </c>
      <c r="E8440" t="s">
        <v>998</v>
      </c>
      <c r="F8440" t="s">
        <v>35</v>
      </c>
      <c r="G8440" t="s">
        <v>35</v>
      </c>
      <c r="H8440" t="s">
        <v>35</v>
      </c>
      <c r="J8440" t="s">
        <v>7284</v>
      </c>
      <c r="K8440" t="s">
        <v>1092</v>
      </c>
      <c r="M8440">
        <v>0.45</v>
      </c>
      <c r="N8440">
        <v>630</v>
      </c>
      <c r="O8440" t="s">
        <v>575</v>
      </c>
      <c r="Q8440" t="s">
        <v>4788</v>
      </c>
      <c r="R8440" t="s">
        <v>6891</v>
      </c>
      <c r="S8440" t="s">
        <v>1085</v>
      </c>
      <c r="T8440" t="s">
        <v>1086</v>
      </c>
    </row>
    <row r="8441" spans="1:20" x14ac:dyDescent="0.25">
      <c r="A8441" t="s">
        <v>59</v>
      </c>
      <c r="B8441" t="s">
        <v>60</v>
      </c>
      <c r="C8441" t="s">
        <v>32</v>
      </c>
      <c r="D8441" t="s">
        <v>953</v>
      </c>
      <c r="E8441" t="s">
        <v>998</v>
      </c>
      <c r="F8441" t="s">
        <v>35</v>
      </c>
      <c r="G8441" t="s">
        <v>35</v>
      </c>
      <c r="H8441" t="s">
        <v>35</v>
      </c>
      <c r="J8441" t="s">
        <v>7284</v>
      </c>
      <c r="K8441" t="s">
        <v>1092</v>
      </c>
      <c r="M8441">
        <v>0.25</v>
      </c>
      <c r="N8441">
        <v>886</v>
      </c>
      <c r="O8441" t="s">
        <v>575</v>
      </c>
      <c r="Q8441" t="s">
        <v>2390</v>
      </c>
      <c r="R8441" t="s">
        <v>6891</v>
      </c>
      <c r="S8441" t="s">
        <v>1085</v>
      </c>
      <c r="T8441" t="s">
        <v>1086</v>
      </c>
    </row>
    <row r="8442" spans="1:20" x14ac:dyDescent="0.25">
      <c r="A8442" t="s">
        <v>59</v>
      </c>
      <c r="B8442" t="s">
        <v>31</v>
      </c>
      <c r="C8442" t="s">
        <v>32</v>
      </c>
      <c r="D8442" t="s">
        <v>953</v>
      </c>
      <c r="E8442" t="s">
        <v>6878</v>
      </c>
      <c r="F8442" t="s">
        <v>35</v>
      </c>
      <c r="G8442" t="s">
        <v>35</v>
      </c>
      <c r="H8442" t="s">
        <v>35</v>
      </c>
      <c r="J8442" t="s">
        <v>2384</v>
      </c>
      <c r="K8442" t="s">
        <v>1092</v>
      </c>
      <c r="M8442">
        <v>1.44</v>
      </c>
      <c r="N8442">
        <v>233</v>
      </c>
      <c r="O8442" t="s">
        <v>5</v>
      </c>
      <c r="Q8442" t="s">
        <v>2516</v>
      </c>
      <c r="R8442" t="s">
        <v>6891</v>
      </c>
      <c r="S8442" t="s">
        <v>1085</v>
      </c>
      <c r="T8442" t="s">
        <v>1086</v>
      </c>
    </row>
    <row r="8443" spans="1:20" x14ac:dyDescent="0.25">
      <c r="A8443" t="s">
        <v>44</v>
      </c>
      <c r="B8443" t="s">
        <v>3</v>
      </c>
      <c r="C8443" t="s">
        <v>32</v>
      </c>
      <c r="D8443" t="s">
        <v>953</v>
      </c>
      <c r="F8443" t="s">
        <v>35</v>
      </c>
      <c r="G8443" t="s">
        <v>35</v>
      </c>
      <c r="H8443" t="s">
        <v>35</v>
      </c>
      <c r="J8443" t="s">
        <v>7946</v>
      </c>
      <c r="K8443" t="s">
        <v>1092</v>
      </c>
      <c r="M8443">
        <v>0.35</v>
      </c>
      <c r="N8443">
        <v>450</v>
      </c>
      <c r="O8443" t="s">
        <v>294</v>
      </c>
      <c r="Q8443" t="s">
        <v>2104</v>
      </c>
      <c r="R8443" t="s">
        <v>6891</v>
      </c>
      <c r="S8443" t="s">
        <v>1085</v>
      </c>
      <c r="T8443" t="s">
        <v>1086</v>
      </c>
    </row>
    <row r="8444" spans="1:20" x14ac:dyDescent="0.25">
      <c r="A8444" t="s">
        <v>59</v>
      </c>
      <c r="B8444" t="s">
        <v>31</v>
      </c>
      <c r="C8444" t="s">
        <v>32</v>
      </c>
      <c r="D8444" t="s">
        <v>953</v>
      </c>
      <c r="F8444" t="s">
        <v>35</v>
      </c>
      <c r="G8444" t="s">
        <v>35</v>
      </c>
      <c r="H8444" t="s">
        <v>35</v>
      </c>
      <c r="J8444" t="s">
        <v>7946</v>
      </c>
      <c r="K8444" t="s">
        <v>1092</v>
      </c>
      <c r="M8444">
        <v>7.0000000000000007E-2</v>
      </c>
      <c r="N8444">
        <v>450</v>
      </c>
      <c r="O8444" t="s">
        <v>294</v>
      </c>
      <c r="Q8444" t="s">
        <v>2104</v>
      </c>
      <c r="R8444" t="s">
        <v>6891</v>
      </c>
      <c r="S8444" t="s">
        <v>1085</v>
      </c>
      <c r="T8444" t="s">
        <v>1086</v>
      </c>
    </row>
    <row r="8445" spans="1:20" x14ac:dyDescent="0.25">
      <c r="A8445" t="s">
        <v>30</v>
      </c>
      <c r="B8445" t="s">
        <v>31</v>
      </c>
      <c r="C8445" t="s">
        <v>32</v>
      </c>
      <c r="D8445" t="s">
        <v>953</v>
      </c>
      <c r="F8445" t="s">
        <v>35</v>
      </c>
      <c r="G8445" t="s">
        <v>35</v>
      </c>
      <c r="H8445" t="s">
        <v>35</v>
      </c>
      <c r="J8445" t="s">
        <v>7947</v>
      </c>
      <c r="K8445" t="s">
        <v>1092</v>
      </c>
      <c r="M8445">
        <v>0.9</v>
      </c>
      <c r="N8445">
        <v>11</v>
      </c>
      <c r="O8445" t="s">
        <v>46</v>
      </c>
      <c r="Q8445" t="s">
        <v>1476</v>
      </c>
      <c r="R8445" t="s">
        <v>6891</v>
      </c>
      <c r="S8445" t="s">
        <v>1085</v>
      </c>
      <c r="T8445" t="s">
        <v>1086</v>
      </c>
    </row>
    <row r="8446" spans="1:20" x14ac:dyDescent="0.25">
      <c r="A8446" t="s">
        <v>59</v>
      </c>
      <c r="B8446" t="s">
        <v>60</v>
      </c>
      <c r="C8446" t="s">
        <v>32</v>
      </c>
      <c r="D8446" t="s">
        <v>953</v>
      </c>
      <c r="F8446" t="s">
        <v>35</v>
      </c>
      <c r="G8446" t="s">
        <v>35</v>
      </c>
      <c r="H8446" t="s">
        <v>35</v>
      </c>
      <c r="J8446" t="s">
        <v>7947</v>
      </c>
      <c r="K8446" t="s">
        <v>1092</v>
      </c>
      <c r="M8446">
        <v>1</v>
      </c>
      <c r="N8446">
        <v>84</v>
      </c>
      <c r="O8446" t="s">
        <v>61</v>
      </c>
      <c r="Q8446" t="s">
        <v>1147</v>
      </c>
      <c r="R8446" t="s">
        <v>6891</v>
      </c>
      <c r="S8446" t="s">
        <v>1085</v>
      </c>
      <c r="T8446" t="s">
        <v>1086</v>
      </c>
    </row>
    <row r="8447" spans="1:20" x14ac:dyDescent="0.25">
      <c r="A8447" t="s">
        <v>59</v>
      </c>
      <c r="B8447" t="s">
        <v>60</v>
      </c>
      <c r="C8447" t="s">
        <v>32</v>
      </c>
      <c r="D8447" t="s">
        <v>953</v>
      </c>
      <c r="F8447" t="s">
        <v>35</v>
      </c>
      <c r="G8447" t="s">
        <v>35</v>
      </c>
      <c r="H8447" t="s">
        <v>35</v>
      </c>
      <c r="J8447" t="s">
        <v>7947</v>
      </c>
      <c r="K8447" t="s">
        <v>1092</v>
      </c>
      <c r="M8447">
        <v>0.75</v>
      </c>
      <c r="N8447">
        <v>71</v>
      </c>
      <c r="O8447" t="s">
        <v>61</v>
      </c>
      <c r="Q8447" t="s">
        <v>4851</v>
      </c>
      <c r="R8447" t="s">
        <v>6891</v>
      </c>
      <c r="S8447" t="s">
        <v>1085</v>
      </c>
      <c r="T8447" t="s">
        <v>1086</v>
      </c>
    </row>
    <row r="8448" spans="1:20" x14ac:dyDescent="0.25">
      <c r="A8448" t="s">
        <v>59</v>
      </c>
      <c r="B8448" t="s">
        <v>60</v>
      </c>
      <c r="C8448" t="s">
        <v>32</v>
      </c>
      <c r="D8448" t="s">
        <v>953</v>
      </c>
      <c r="F8448" t="s">
        <v>35</v>
      </c>
      <c r="G8448" t="s">
        <v>35</v>
      </c>
      <c r="H8448" t="s">
        <v>35</v>
      </c>
      <c r="J8448" t="s">
        <v>7947</v>
      </c>
      <c r="K8448" t="s">
        <v>1092</v>
      </c>
      <c r="M8448">
        <v>0.5</v>
      </c>
      <c r="N8448">
        <v>45</v>
      </c>
      <c r="O8448" t="s">
        <v>52</v>
      </c>
      <c r="Q8448" t="s">
        <v>1230</v>
      </c>
      <c r="R8448" t="s">
        <v>6891</v>
      </c>
      <c r="S8448" t="s">
        <v>1085</v>
      </c>
      <c r="T8448" t="s">
        <v>1086</v>
      </c>
    </row>
    <row r="8449" spans="1:20" x14ac:dyDescent="0.25">
      <c r="A8449" t="s">
        <v>59</v>
      </c>
      <c r="B8449" t="s">
        <v>60</v>
      </c>
      <c r="C8449" t="s">
        <v>32</v>
      </c>
      <c r="D8449" t="s">
        <v>953</v>
      </c>
      <c r="F8449" t="s">
        <v>35</v>
      </c>
      <c r="G8449" t="s">
        <v>35</v>
      </c>
      <c r="H8449" t="s">
        <v>35</v>
      </c>
      <c r="J8449" t="s">
        <v>7947</v>
      </c>
      <c r="K8449" t="s">
        <v>1092</v>
      </c>
      <c r="M8449">
        <v>0.25</v>
      </c>
      <c r="N8449">
        <v>56</v>
      </c>
      <c r="O8449" t="s">
        <v>52</v>
      </c>
      <c r="Q8449" t="s">
        <v>423</v>
      </c>
      <c r="R8449" t="s">
        <v>6891</v>
      </c>
      <c r="S8449" t="s">
        <v>1085</v>
      </c>
      <c r="T8449" t="s">
        <v>1086</v>
      </c>
    </row>
    <row r="8450" spans="1:20" x14ac:dyDescent="0.25">
      <c r="A8450" t="s">
        <v>44</v>
      </c>
      <c r="B8450" t="s">
        <v>3</v>
      </c>
      <c r="C8450" t="s">
        <v>32</v>
      </c>
      <c r="D8450" t="s">
        <v>953</v>
      </c>
      <c r="E8450" t="s">
        <v>1084</v>
      </c>
      <c r="F8450" t="s">
        <v>35</v>
      </c>
      <c r="G8450" t="s">
        <v>35</v>
      </c>
      <c r="H8450" t="s">
        <v>35</v>
      </c>
      <c r="J8450" t="s">
        <v>7769</v>
      </c>
      <c r="K8450" t="s">
        <v>1092</v>
      </c>
      <c r="M8450">
        <v>9.0500000000000007</v>
      </c>
      <c r="N8450">
        <v>154</v>
      </c>
      <c r="O8450" t="s">
        <v>38</v>
      </c>
      <c r="Q8450" t="s">
        <v>2639</v>
      </c>
      <c r="R8450" t="s">
        <v>6891</v>
      </c>
      <c r="S8450" t="s">
        <v>1085</v>
      </c>
      <c r="T8450" t="s">
        <v>1086</v>
      </c>
    </row>
    <row r="8451" spans="1:20" x14ac:dyDescent="0.25">
      <c r="A8451" t="s">
        <v>44</v>
      </c>
      <c r="B8451" t="s">
        <v>51</v>
      </c>
      <c r="C8451" t="s">
        <v>32</v>
      </c>
      <c r="D8451" t="s">
        <v>953</v>
      </c>
      <c r="E8451" t="s">
        <v>1084</v>
      </c>
      <c r="F8451" t="s">
        <v>35</v>
      </c>
      <c r="G8451" t="s">
        <v>35</v>
      </c>
      <c r="H8451" t="s">
        <v>35</v>
      </c>
      <c r="J8451" t="s">
        <v>7769</v>
      </c>
      <c r="K8451" t="s">
        <v>1092</v>
      </c>
      <c r="M8451">
        <v>11.75</v>
      </c>
      <c r="N8451">
        <v>154</v>
      </c>
      <c r="O8451" t="s">
        <v>38</v>
      </c>
      <c r="Q8451" t="s">
        <v>2639</v>
      </c>
      <c r="R8451" t="s">
        <v>6891</v>
      </c>
      <c r="S8451" t="s">
        <v>1085</v>
      </c>
      <c r="T8451" t="s">
        <v>1086</v>
      </c>
    </row>
    <row r="8452" spans="1:20" x14ac:dyDescent="0.25">
      <c r="A8452" t="s">
        <v>59</v>
      </c>
      <c r="B8452" t="s">
        <v>60</v>
      </c>
      <c r="C8452" t="s">
        <v>32</v>
      </c>
      <c r="D8452" t="s">
        <v>953</v>
      </c>
      <c r="F8452" t="s">
        <v>35</v>
      </c>
      <c r="G8452" t="s">
        <v>35</v>
      </c>
      <c r="H8452" t="s">
        <v>35</v>
      </c>
      <c r="J8452" t="s">
        <v>7911</v>
      </c>
      <c r="K8452" t="s">
        <v>1092</v>
      </c>
      <c r="M8452">
        <v>0.5</v>
      </c>
      <c r="N8452">
        <v>111</v>
      </c>
      <c r="O8452" t="s">
        <v>106</v>
      </c>
      <c r="Q8452" t="s">
        <v>1469</v>
      </c>
      <c r="R8452" t="s">
        <v>6891</v>
      </c>
      <c r="S8452" t="s">
        <v>1085</v>
      </c>
      <c r="T8452" t="s">
        <v>1086</v>
      </c>
    </row>
    <row r="8453" spans="1:20" x14ac:dyDescent="0.25">
      <c r="A8453" t="s">
        <v>30</v>
      </c>
      <c r="B8453" t="s">
        <v>31</v>
      </c>
      <c r="C8453" t="s">
        <v>32</v>
      </c>
      <c r="D8453" t="s">
        <v>953</v>
      </c>
      <c r="E8453" t="s">
        <v>1084</v>
      </c>
      <c r="F8453" t="s">
        <v>35</v>
      </c>
      <c r="G8453" t="s">
        <v>35</v>
      </c>
      <c r="H8453" t="s">
        <v>35</v>
      </c>
      <c r="J8453" t="s">
        <v>7775</v>
      </c>
      <c r="K8453" t="s">
        <v>1092</v>
      </c>
      <c r="M8453">
        <v>0.9</v>
      </c>
      <c r="N8453">
        <v>10</v>
      </c>
      <c r="O8453" t="s">
        <v>46</v>
      </c>
      <c r="Q8453" t="s">
        <v>1302</v>
      </c>
      <c r="R8453" t="s">
        <v>6891</v>
      </c>
      <c r="S8453" t="s">
        <v>1085</v>
      </c>
      <c r="T8453" t="s">
        <v>1086</v>
      </c>
    </row>
    <row r="8454" spans="1:20" x14ac:dyDescent="0.25">
      <c r="A8454" t="s">
        <v>59</v>
      </c>
      <c r="B8454" t="s">
        <v>31</v>
      </c>
      <c r="C8454" t="s">
        <v>32</v>
      </c>
      <c r="D8454" t="s">
        <v>953</v>
      </c>
      <c r="E8454" t="s">
        <v>1084</v>
      </c>
      <c r="F8454" t="s">
        <v>35</v>
      </c>
      <c r="G8454" t="s">
        <v>35</v>
      </c>
      <c r="H8454" t="s">
        <v>35</v>
      </c>
      <c r="J8454" t="s">
        <v>7775</v>
      </c>
      <c r="K8454" t="s">
        <v>1092</v>
      </c>
      <c r="M8454">
        <v>0.18</v>
      </c>
      <c r="N8454">
        <v>82</v>
      </c>
      <c r="O8454" t="s">
        <v>61</v>
      </c>
      <c r="Q8454" t="s">
        <v>299</v>
      </c>
      <c r="R8454" t="s">
        <v>6891</v>
      </c>
      <c r="S8454" t="s">
        <v>1085</v>
      </c>
      <c r="T8454" t="s">
        <v>1086</v>
      </c>
    </row>
    <row r="8455" spans="1:20" x14ac:dyDescent="0.25">
      <c r="A8455" t="s">
        <v>44</v>
      </c>
      <c r="B8455" t="s">
        <v>51</v>
      </c>
      <c r="C8455" t="s">
        <v>32</v>
      </c>
      <c r="D8455" t="s">
        <v>953</v>
      </c>
      <c r="E8455" t="s">
        <v>1084</v>
      </c>
      <c r="F8455" t="s">
        <v>35</v>
      </c>
      <c r="G8455" t="s">
        <v>35</v>
      </c>
      <c r="H8455" t="s">
        <v>35</v>
      </c>
      <c r="J8455" t="s">
        <v>7775</v>
      </c>
      <c r="K8455" t="s">
        <v>1092</v>
      </c>
      <c r="M8455">
        <v>0.3</v>
      </c>
      <c r="N8455">
        <v>216</v>
      </c>
      <c r="O8455" t="s">
        <v>5</v>
      </c>
      <c r="Q8455" t="s">
        <v>3310</v>
      </c>
      <c r="R8455" t="s">
        <v>6891</v>
      </c>
      <c r="S8455" t="s">
        <v>1085</v>
      </c>
      <c r="T8455" t="s">
        <v>1086</v>
      </c>
    </row>
    <row r="8456" spans="1:20" x14ac:dyDescent="0.25">
      <c r="A8456" t="s">
        <v>59</v>
      </c>
      <c r="B8456" t="s">
        <v>60</v>
      </c>
      <c r="C8456" t="s">
        <v>32</v>
      </c>
      <c r="D8456" t="s">
        <v>953</v>
      </c>
      <c r="E8456" t="s">
        <v>1084</v>
      </c>
      <c r="F8456" t="s">
        <v>35</v>
      </c>
      <c r="G8456" t="s">
        <v>35</v>
      </c>
      <c r="H8456" t="s">
        <v>35</v>
      </c>
      <c r="J8456" t="s">
        <v>7775</v>
      </c>
      <c r="K8456" t="s">
        <v>1092</v>
      </c>
      <c r="M8456">
        <v>0.5</v>
      </c>
      <c r="N8456">
        <v>32</v>
      </c>
      <c r="O8456" t="s">
        <v>52</v>
      </c>
      <c r="Q8456" t="s">
        <v>816</v>
      </c>
      <c r="R8456" t="s">
        <v>6891</v>
      </c>
      <c r="S8456" t="s">
        <v>1085</v>
      </c>
      <c r="T8456" t="s">
        <v>1086</v>
      </c>
    </row>
    <row r="8457" spans="1:20" x14ac:dyDescent="0.25">
      <c r="A8457" t="s">
        <v>59</v>
      </c>
      <c r="B8457" t="s">
        <v>60</v>
      </c>
      <c r="C8457" t="s">
        <v>32</v>
      </c>
      <c r="D8457" t="s">
        <v>953</v>
      </c>
      <c r="E8457" t="s">
        <v>1084</v>
      </c>
      <c r="F8457" t="s">
        <v>35</v>
      </c>
      <c r="G8457" t="s">
        <v>35</v>
      </c>
      <c r="H8457" t="s">
        <v>35</v>
      </c>
      <c r="J8457" t="s">
        <v>7808</v>
      </c>
      <c r="K8457" t="s">
        <v>1092</v>
      </c>
      <c r="M8457">
        <v>0.5</v>
      </c>
      <c r="N8457">
        <v>127</v>
      </c>
      <c r="O8457" t="s">
        <v>38</v>
      </c>
      <c r="Q8457" t="s">
        <v>3640</v>
      </c>
      <c r="R8457" t="s">
        <v>6891</v>
      </c>
      <c r="S8457" t="s">
        <v>1085</v>
      </c>
      <c r="T8457" t="s">
        <v>1086</v>
      </c>
    </row>
    <row r="8458" spans="1:20" x14ac:dyDescent="0.25">
      <c r="A8458" t="s">
        <v>59</v>
      </c>
      <c r="B8458" t="s">
        <v>60</v>
      </c>
      <c r="C8458" t="s">
        <v>32</v>
      </c>
      <c r="D8458" t="s">
        <v>953</v>
      </c>
      <c r="E8458" t="s">
        <v>1084</v>
      </c>
      <c r="F8458" t="s">
        <v>35</v>
      </c>
      <c r="G8458" t="s">
        <v>35</v>
      </c>
      <c r="H8458" t="s">
        <v>35</v>
      </c>
      <c r="J8458" t="s">
        <v>7808</v>
      </c>
      <c r="K8458" t="s">
        <v>1092</v>
      </c>
      <c r="M8458">
        <v>0.5</v>
      </c>
      <c r="N8458">
        <v>121</v>
      </c>
      <c r="O8458" t="s">
        <v>38</v>
      </c>
      <c r="Q8458" t="s">
        <v>1170</v>
      </c>
      <c r="R8458" t="s">
        <v>6891</v>
      </c>
      <c r="S8458" t="s">
        <v>1085</v>
      </c>
      <c r="T8458" t="s">
        <v>1086</v>
      </c>
    </row>
    <row r="8459" spans="1:20" x14ac:dyDescent="0.25">
      <c r="A8459" t="s">
        <v>59</v>
      </c>
      <c r="B8459" t="s">
        <v>31</v>
      </c>
      <c r="C8459" t="s">
        <v>32</v>
      </c>
      <c r="D8459" t="s">
        <v>953</v>
      </c>
      <c r="E8459" t="s">
        <v>1084</v>
      </c>
      <c r="F8459" t="s">
        <v>35</v>
      </c>
      <c r="G8459" t="s">
        <v>35</v>
      </c>
      <c r="H8459" t="s">
        <v>35</v>
      </c>
      <c r="J8459" t="s">
        <v>2748</v>
      </c>
      <c r="K8459" t="s">
        <v>1092</v>
      </c>
      <c r="M8459">
        <v>0.36</v>
      </c>
      <c r="N8459">
        <v>226</v>
      </c>
      <c r="O8459" t="s">
        <v>5</v>
      </c>
      <c r="Q8459" t="s">
        <v>2002</v>
      </c>
      <c r="R8459" t="s">
        <v>6891</v>
      </c>
      <c r="S8459" t="s">
        <v>1085</v>
      </c>
      <c r="T8459" t="s">
        <v>1086</v>
      </c>
    </row>
    <row r="8460" spans="1:20" x14ac:dyDescent="0.25">
      <c r="A8460" t="s">
        <v>59</v>
      </c>
      <c r="B8460" t="s">
        <v>60</v>
      </c>
      <c r="C8460" t="s">
        <v>32</v>
      </c>
      <c r="D8460" t="s">
        <v>953</v>
      </c>
      <c r="E8460" t="s">
        <v>1084</v>
      </c>
      <c r="F8460" t="s">
        <v>35</v>
      </c>
      <c r="G8460" t="s">
        <v>35</v>
      </c>
      <c r="H8460" t="s">
        <v>35</v>
      </c>
      <c r="J8460" t="s">
        <v>1885</v>
      </c>
      <c r="K8460" t="s">
        <v>1092</v>
      </c>
      <c r="M8460">
        <v>0.4</v>
      </c>
      <c r="N8460">
        <v>12</v>
      </c>
      <c r="O8460" t="s">
        <v>46</v>
      </c>
      <c r="Q8460" t="s">
        <v>1192</v>
      </c>
      <c r="R8460" t="s">
        <v>6891</v>
      </c>
      <c r="S8460" t="s">
        <v>1085</v>
      </c>
      <c r="T8460" t="s">
        <v>1086</v>
      </c>
    </row>
    <row r="8461" spans="1:20" x14ac:dyDescent="0.25">
      <c r="A8461" t="s">
        <v>30</v>
      </c>
      <c r="B8461" t="s">
        <v>31</v>
      </c>
      <c r="C8461" t="s">
        <v>32</v>
      </c>
      <c r="D8461" t="s">
        <v>953</v>
      </c>
      <c r="E8461" t="s">
        <v>1084</v>
      </c>
      <c r="F8461" t="s">
        <v>35</v>
      </c>
      <c r="G8461" t="s">
        <v>35</v>
      </c>
      <c r="H8461" t="s">
        <v>35</v>
      </c>
      <c r="J8461" t="s">
        <v>1885</v>
      </c>
      <c r="K8461" t="s">
        <v>1092</v>
      </c>
      <c r="M8461">
        <v>0.54</v>
      </c>
      <c r="N8461">
        <v>12</v>
      </c>
      <c r="O8461" t="s">
        <v>46</v>
      </c>
      <c r="Q8461" t="s">
        <v>1192</v>
      </c>
      <c r="R8461" t="s">
        <v>6891</v>
      </c>
      <c r="S8461" t="s">
        <v>1085</v>
      </c>
      <c r="T8461" t="s">
        <v>1086</v>
      </c>
    </row>
    <row r="8462" spans="1:20" x14ac:dyDescent="0.25">
      <c r="A8462" t="s">
        <v>59</v>
      </c>
      <c r="B8462" t="s">
        <v>31</v>
      </c>
      <c r="C8462" t="s">
        <v>32</v>
      </c>
      <c r="D8462" t="s">
        <v>953</v>
      </c>
      <c r="F8462" t="s">
        <v>35</v>
      </c>
      <c r="G8462" t="s">
        <v>35</v>
      </c>
      <c r="H8462" t="s">
        <v>35</v>
      </c>
      <c r="J8462" t="s">
        <v>7885</v>
      </c>
      <c r="K8462" t="s">
        <v>1092</v>
      </c>
      <c r="M8462">
        <v>0.76</v>
      </c>
      <c r="N8462">
        <v>1239</v>
      </c>
      <c r="O8462" t="s">
        <v>575</v>
      </c>
      <c r="Q8462" t="s">
        <v>3026</v>
      </c>
      <c r="R8462" t="s">
        <v>6891</v>
      </c>
      <c r="S8462" t="s">
        <v>1085</v>
      </c>
      <c r="T8462" t="s">
        <v>1086</v>
      </c>
    </row>
    <row r="8463" spans="1:20" x14ac:dyDescent="0.25">
      <c r="A8463" t="s">
        <v>59</v>
      </c>
      <c r="B8463" t="s">
        <v>60</v>
      </c>
      <c r="C8463" t="s">
        <v>32</v>
      </c>
      <c r="D8463" t="s">
        <v>953</v>
      </c>
      <c r="F8463" t="s">
        <v>35</v>
      </c>
      <c r="G8463" t="s">
        <v>35</v>
      </c>
      <c r="H8463" t="s">
        <v>35</v>
      </c>
      <c r="J8463" t="s">
        <v>7885</v>
      </c>
      <c r="K8463" t="s">
        <v>1092</v>
      </c>
      <c r="M8463">
        <v>0.27</v>
      </c>
      <c r="N8463">
        <v>1355</v>
      </c>
      <c r="O8463" t="s">
        <v>575</v>
      </c>
      <c r="Q8463" t="s">
        <v>7886</v>
      </c>
      <c r="R8463" t="s">
        <v>6891</v>
      </c>
      <c r="S8463" t="s">
        <v>1085</v>
      </c>
      <c r="T8463" t="s">
        <v>1086</v>
      </c>
    </row>
    <row r="8464" spans="1:20" x14ac:dyDescent="0.25">
      <c r="A8464" t="s">
        <v>59</v>
      </c>
      <c r="B8464" t="s">
        <v>31</v>
      </c>
      <c r="C8464" t="s">
        <v>32</v>
      </c>
      <c r="D8464" t="s">
        <v>953</v>
      </c>
      <c r="F8464" t="s">
        <v>35</v>
      </c>
      <c r="G8464" t="s">
        <v>35</v>
      </c>
      <c r="H8464" t="s">
        <v>35</v>
      </c>
      <c r="J8464" t="s">
        <v>7885</v>
      </c>
      <c r="K8464" t="s">
        <v>1092</v>
      </c>
      <c r="M8464">
        <v>1.8</v>
      </c>
      <c r="N8464">
        <v>1198</v>
      </c>
      <c r="O8464" t="s">
        <v>575</v>
      </c>
      <c r="Q8464" t="s">
        <v>7887</v>
      </c>
      <c r="R8464" t="s">
        <v>6891</v>
      </c>
      <c r="S8464" t="s">
        <v>1085</v>
      </c>
      <c r="T8464" t="s">
        <v>1086</v>
      </c>
    </row>
    <row r="8465" spans="1:20" x14ac:dyDescent="0.25">
      <c r="A8465" t="s">
        <v>59</v>
      </c>
      <c r="B8465" t="s">
        <v>31</v>
      </c>
      <c r="C8465" t="s">
        <v>32</v>
      </c>
      <c r="D8465" t="s">
        <v>953</v>
      </c>
      <c r="E8465" t="s">
        <v>7842</v>
      </c>
      <c r="F8465" t="s">
        <v>35</v>
      </c>
      <c r="G8465" t="s">
        <v>35</v>
      </c>
      <c r="H8465" t="s">
        <v>35</v>
      </c>
      <c r="J8465" t="s">
        <v>823</v>
      </c>
      <c r="K8465" t="s">
        <v>1092</v>
      </c>
      <c r="M8465">
        <v>0.13500000000000001</v>
      </c>
      <c r="N8465">
        <v>40</v>
      </c>
      <c r="O8465" t="s">
        <v>52</v>
      </c>
      <c r="Q8465" t="s">
        <v>132</v>
      </c>
      <c r="R8465" t="s">
        <v>6891</v>
      </c>
      <c r="S8465" t="s">
        <v>1085</v>
      </c>
      <c r="T8465" t="s">
        <v>1086</v>
      </c>
    </row>
    <row r="8466" spans="1:20" x14ac:dyDescent="0.25">
      <c r="A8466" t="s">
        <v>59</v>
      </c>
      <c r="B8466" t="s">
        <v>60</v>
      </c>
      <c r="C8466" t="s">
        <v>32</v>
      </c>
      <c r="D8466" t="s">
        <v>953</v>
      </c>
      <c r="E8466" t="s">
        <v>998</v>
      </c>
      <c r="F8466" t="s">
        <v>35</v>
      </c>
      <c r="G8466" t="s">
        <v>35</v>
      </c>
      <c r="H8466" t="s">
        <v>35</v>
      </c>
      <c r="J8466" t="s">
        <v>7297</v>
      </c>
      <c r="K8466" t="s">
        <v>1092</v>
      </c>
      <c r="M8466">
        <v>0.65</v>
      </c>
      <c r="N8466">
        <v>145</v>
      </c>
      <c r="O8466" t="s">
        <v>38</v>
      </c>
      <c r="Q8466" t="s">
        <v>408</v>
      </c>
      <c r="R8466" t="s">
        <v>6891</v>
      </c>
      <c r="S8466" t="s">
        <v>1085</v>
      </c>
      <c r="T8466" t="s">
        <v>1086</v>
      </c>
    </row>
    <row r="8467" spans="1:20" x14ac:dyDescent="0.25">
      <c r="A8467" t="s">
        <v>59</v>
      </c>
      <c r="B8467" t="s">
        <v>60</v>
      </c>
      <c r="C8467" t="s">
        <v>32</v>
      </c>
      <c r="D8467" t="s">
        <v>953</v>
      </c>
      <c r="E8467" t="s">
        <v>1084</v>
      </c>
      <c r="F8467" t="s">
        <v>35</v>
      </c>
      <c r="G8467" t="s">
        <v>35</v>
      </c>
      <c r="H8467" t="s">
        <v>35</v>
      </c>
      <c r="J8467" t="s">
        <v>7793</v>
      </c>
      <c r="K8467" t="s">
        <v>1092</v>
      </c>
      <c r="M8467">
        <v>0.5</v>
      </c>
      <c r="N8467">
        <v>280</v>
      </c>
      <c r="O8467" t="s">
        <v>5</v>
      </c>
      <c r="Q8467" t="s">
        <v>3688</v>
      </c>
      <c r="R8467" t="s">
        <v>6891</v>
      </c>
      <c r="S8467" t="s">
        <v>1085</v>
      </c>
      <c r="T8467" t="s">
        <v>1086</v>
      </c>
    </row>
    <row r="8468" spans="1:20" x14ac:dyDescent="0.25">
      <c r="A8468" t="s">
        <v>59</v>
      </c>
      <c r="B8468" t="s">
        <v>60</v>
      </c>
      <c r="C8468" t="s">
        <v>32</v>
      </c>
      <c r="D8468" t="s">
        <v>953</v>
      </c>
      <c r="E8468" t="s">
        <v>1084</v>
      </c>
      <c r="F8468" t="s">
        <v>35</v>
      </c>
      <c r="G8468" t="s">
        <v>35</v>
      </c>
      <c r="H8468" t="s">
        <v>35</v>
      </c>
      <c r="J8468" t="s">
        <v>7793</v>
      </c>
      <c r="K8468" t="s">
        <v>1092</v>
      </c>
      <c r="M8468">
        <v>0.5</v>
      </c>
      <c r="N8468">
        <v>306</v>
      </c>
      <c r="O8468" t="s">
        <v>5</v>
      </c>
      <c r="Q8468" t="s">
        <v>6056</v>
      </c>
      <c r="R8468" t="s">
        <v>6891</v>
      </c>
      <c r="S8468" t="s">
        <v>1085</v>
      </c>
      <c r="T8468" t="s">
        <v>1086</v>
      </c>
    </row>
    <row r="8469" spans="1:20" x14ac:dyDescent="0.25">
      <c r="A8469" t="s">
        <v>59</v>
      </c>
      <c r="B8469" t="s">
        <v>60</v>
      </c>
      <c r="C8469" t="s">
        <v>32</v>
      </c>
      <c r="D8469" t="s">
        <v>953</v>
      </c>
      <c r="E8469" t="s">
        <v>1084</v>
      </c>
      <c r="F8469" t="s">
        <v>35</v>
      </c>
      <c r="G8469" t="s">
        <v>35</v>
      </c>
      <c r="H8469" t="s">
        <v>35</v>
      </c>
      <c r="J8469" t="s">
        <v>7793</v>
      </c>
      <c r="K8469" t="s">
        <v>1092</v>
      </c>
      <c r="M8469">
        <v>0.5</v>
      </c>
      <c r="N8469">
        <v>47</v>
      </c>
      <c r="O8469" t="s">
        <v>52</v>
      </c>
      <c r="Q8469" t="s">
        <v>1207</v>
      </c>
      <c r="R8469" t="s">
        <v>6891</v>
      </c>
      <c r="S8469" t="s">
        <v>1085</v>
      </c>
      <c r="T8469" t="s">
        <v>1086</v>
      </c>
    </row>
    <row r="8470" spans="1:20" x14ac:dyDescent="0.25">
      <c r="A8470" t="s">
        <v>59</v>
      </c>
      <c r="B8470" t="s">
        <v>60</v>
      </c>
      <c r="C8470" t="s">
        <v>32</v>
      </c>
      <c r="D8470" t="s">
        <v>953</v>
      </c>
      <c r="E8470" t="s">
        <v>1084</v>
      </c>
      <c r="F8470" t="s">
        <v>35</v>
      </c>
      <c r="G8470" t="s">
        <v>35</v>
      </c>
      <c r="H8470" t="s">
        <v>35</v>
      </c>
      <c r="J8470" t="s">
        <v>7793</v>
      </c>
      <c r="K8470" t="s">
        <v>1092</v>
      </c>
      <c r="M8470">
        <v>0.3</v>
      </c>
      <c r="N8470">
        <v>335</v>
      </c>
      <c r="O8470" t="s">
        <v>5</v>
      </c>
      <c r="Q8470" t="s">
        <v>3213</v>
      </c>
      <c r="R8470" t="s">
        <v>6891</v>
      </c>
      <c r="S8470" t="s">
        <v>1085</v>
      </c>
      <c r="T8470" t="s">
        <v>1086</v>
      </c>
    </row>
    <row r="8471" spans="1:20" x14ac:dyDescent="0.25">
      <c r="A8471" t="s">
        <v>44</v>
      </c>
      <c r="B8471" t="s">
        <v>3</v>
      </c>
      <c r="C8471" t="s">
        <v>32</v>
      </c>
      <c r="D8471" t="s">
        <v>953</v>
      </c>
      <c r="E8471" t="s">
        <v>7842</v>
      </c>
      <c r="F8471" t="s">
        <v>35</v>
      </c>
      <c r="G8471" t="s">
        <v>35</v>
      </c>
      <c r="H8471" t="s">
        <v>35</v>
      </c>
      <c r="J8471" t="s">
        <v>7847</v>
      </c>
      <c r="K8471" t="s">
        <v>1092</v>
      </c>
      <c r="M8471">
        <v>0.5</v>
      </c>
      <c r="N8471">
        <v>225</v>
      </c>
      <c r="O8471" t="s">
        <v>5</v>
      </c>
      <c r="Q8471" t="s">
        <v>6223</v>
      </c>
      <c r="R8471" t="s">
        <v>6891</v>
      </c>
      <c r="S8471" t="s">
        <v>1085</v>
      </c>
      <c r="T8471" t="s">
        <v>1086</v>
      </c>
    </row>
    <row r="8472" spans="1:20" x14ac:dyDescent="0.25">
      <c r="A8472" t="s">
        <v>44</v>
      </c>
      <c r="B8472" t="s">
        <v>51</v>
      </c>
      <c r="C8472" t="s">
        <v>32</v>
      </c>
      <c r="D8472" t="s">
        <v>953</v>
      </c>
      <c r="E8472" t="s">
        <v>7842</v>
      </c>
      <c r="F8472" t="s">
        <v>35</v>
      </c>
      <c r="G8472" t="s">
        <v>35</v>
      </c>
      <c r="H8472" t="s">
        <v>35</v>
      </c>
      <c r="J8472" t="s">
        <v>7847</v>
      </c>
      <c r="K8472" t="s">
        <v>1092</v>
      </c>
      <c r="M8472">
        <v>0.5</v>
      </c>
      <c r="N8472">
        <v>233</v>
      </c>
      <c r="O8472" t="s">
        <v>5</v>
      </c>
      <c r="Q8472" t="s">
        <v>2516</v>
      </c>
      <c r="R8472" t="s">
        <v>6891</v>
      </c>
      <c r="S8472" t="s">
        <v>1085</v>
      </c>
      <c r="T8472" t="s">
        <v>1086</v>
      </c>
    </row>
    <row r="8473" spans="1:20" x14ac:dyDescent="0.25">
      <c r="A8473" t="s">
        <v>30</v>
      </c>
      <c r="B8473" t="s">
        <v>31</v>
      </c>
      <c r="C8473" t="s">
        <v>32</v>
      </c>
      <c r="D8473" t="s">
        <v>953</v>
      </c>
      <c r="E8473" t="s">
        <v>1084</v>
      </c>
      <c r="F8473" t="s">
        <v>35</v>
      </c>
      <c r="G8473" t="s">
        <v>35</v>
      </c>
      <c r="H8473" t="s">
        <v>35</v>
      </c>
      <c r="J8473" t="s">
        <v>7791</v>
      </c>
      <c r="K8473" t="s">
        <v>1092</v>
      </c>
      <c r="M8473">
        <v>0.45</v>
      </c>
      <c r="N8473">
        <v>10</v>
      </c>
      <c r="O8473" t="s">
        <v>46</v>
      </c>
      <c r="Q8473" t="s">
        <v>1302</v>
      </c>
      <c r="R8473" t="s">
        <v>6891</v>
      </c>
      <c r="S8473" t="s">
        <v>1085</v>
      </c>
      <c r="T8473" t="s">
        <v>1086</v>
      </c>
    </row>
    <row r="8474" spans="1:20" x14ac:dyDescent="0.25">
      <c r="A8474" t="s">
        <v>30</v>
      </c>
      <c r="B8474" t="s">
        <v>31</v>
      </c>
      <c r="C8474" t="s">
        <v>32</v>
      </c>
      <c r="D8474" t="s">
        <v>953</v>
      </c>
      <c r="E8474" t="s">
        <v>7842</v>
      </c>
      <c r="F8474" t="s">
        <v>35</v>
      </c>
      <c r="G8474" t="s">
        <v>35</v>
      </c>
      <c r="H8474" t="s">
        <v>35</v>
      </c>
      <c r="J8474" t="s">
        <v>7868</v>
      </c>
      <c r="K8474" t="s">
        <v>1092</v>
      </c>
      <c r="M8474">
        <v>0.9</v>
      </c>
      <c r="N8474">
        <v>29</v>
      </c>
      <c r="O8474" t="s">
        <v>46</v>
      </c>
      <c r="Q8474" t="s">
        <v>2005</v>
      </c>
      <c r="R8474" t="s">
        <v>6891</v>
      </c>
      <c r="S8474" t="s">
        <v>1085</v>
      </c>
      <c r="T8474" t="s">
        <v>1086</v>
      </c>
    </row>
    <row r="8475" spans="1:20" x14ac:dyDescent="0.25">
      <c r="A8475" t="s">
        <v>30</v>
      </c>
      <c r="B8475" t="s">
        <v>31</v>
      </c>
      <c r="C8475" t="s">
        <v>32</v>
      </c>
      <c r="D8475" t="s">
        <v>953</v>
      </c>
      <c r="E8475" t="s">
        <v>7842</v>
      </c>
      <c r="F8475" t="s">
        <v>35</v>
      </c>
      <c r="G8475" t="s">
        <v>35</v>
      </c>
      <c r="H8475" t="s">
        <v>35</v>
      </c>
      <c r="J8475" t="s">
        <v>7868</v>
      </c>
      <c r="K8475" t="s">
        <v>1092</v>
      </c>
      <c r="M8475">
        <v>1.35</v>
      </c>
      <c r="N8475">
        <v>11</v>
      </c>
      <c r="O8475" t="s">
        <v>46</v>
      </c>
      <c r="Q8475" t="s">
        <v>1476</v>
      </c>
      <c r="R8475" t="s">
        <v>6891</v>
      </c>
      <c r="S8475" t="s">
        <v>1085</v>
      </c>
      <c r="T8475" t="s">
        <v>1086</v>
      </c>
    </row>
    <row r="8476" spans="1:20" x14ac:dyDescent="0.25">
      <c r="A8476" t="s">
        <v>30</v>
      </c>
      <c r="B8476" t="s">
        <v>31</v>
      </c>
      <c r="C8476" t="s">
        <v>32</v>
      </c>
      <c r="D8476" t="s">
        <v>953</v>
      </c>
      <c r="E8476" t="s">
        <v>7842</v>
      </c>
      <c r="F8476" t="s">
        <v>35</v>
      </c>
      <c r="G8476" t="s">
        <v>35</v>
      </c>
      <c r="H8476" t="s">
        <v>35</v>
      </c>
      <c r="J8476" t="s">
        <v>7846</v>
      </c>
      <c r="K8476" t="s">
        <v>1092</v>
      </c>
      <c r="M8476">
        <v>3.6</v>
      </c>
      <c r="N8476">
        <v>11</v>
      </c>
      <c r="O8476" t="s">
        <v>46</v>
      </c>
      <c r="Q8476" t="s">
        <v>1476</v>
      </c>
      <c r="R8476" t="s">
        <v>6891</v>
      </c>
      <c r="S8476" t="s">
        <v>1085</v>
      </c>
      <c r="T8476" t="s">
        <v>1086</v>
      </c>
    </row>
    <row r="8477" spans="1:20" x14ac:dyDescent="0.25">
      <c r="A8477" t="s">
        <v>59</v>
      </c>
      <c r="B8477" t="s">
        <v>31</v>
      </c>
      <c r="C8477" t="s">
        <v>32</v>
      </c>
      <c r="D8477" t="s">
        <v>953</v>
      </c>
      <c r="E8477" t="s">
        <v>7842</v>
      </c>
      <c r="F8477" t="s">
        <v>35</v>
      </c>
      <c r="G8477" t="s">
        <v>35</v>
      </c>
      <c r="H8477" t="s">
        <v>35</v>
      </c>
      <c r="J8477" t="s">
        <v>7846</v>
      </c>
      <c r="K8477" t="s">
        <v>1092</v>
      </c>
      <c r="M8477">
        <v>0.45</v>
      </c>
      <c r="N8477">
        <v>40</v>
      </c>
      <c r="O8477" t="s">
        <v>52</v>
      </c>
      <c r="Q8477" t="s">
        <v>132</v>
      </c>
      <c r="R8477" t="s">
        <v>6891</v>
      </c>
      <c r="S8477" t="s">
        <v>1085</v>
      </c>
      <c r="T8477" t="s">
        <v>1086</v>
      </c>
    </row>
    <row r="8478" spans="1:20" x14ac:dyDescent="0.25">
      <c r="A8478" t="s">
        <v>59</v>
      </c>
      <c r="B8478" t="s">
        <v>60</v>
      </c>
      <c r="C8478" t="s">
        <v>32</v>
      </c>
      <c r="D8478" t="s">
        <v>953</v>
      </c>
      <c r="E8478" t="s">
        <v>7842</v>
      </c>
      <c r="F8478" t="s">
        <v>35</v>
      </c>
      <c r="G8478" t="s">
        <v>35</v>
      </c>
      <c r="H8478" t="s">
        <v>35</v>
      </c>
      <c r="J8478" t="s">
        <v>7846</v>
      </c>
      <c r="K8478" t="s">
        <v>1092</v>
      </c>
      <c r="M8478">
        <v>0.25</v>
      </c>
      <c r="N8478">
        <v>29</v>
      </c>
      <c r="O8478" t="s">
        <v>46</v>
      </c>
      <c r="Q8478" t="s">
        <v>2005</v>
      </c>
      <c r="R8478" t="s">
        <v>6891</v>
      </c>
      <c r="S8478" t="s">
        <v>1085</v>
      </c>
      <c r="T8478" t="s">
        <v>1086</v>
      </c>
    </row>
    <row r="8479" spans="1:20" x14ac:dyDescent="0.25">
      <c r="A8479" t="s">
        <v>30</v>
      </c>
      <c r="B8479" t="s">
        <v>31</v>
      </c>
      <c r="C8479" t="s">
        <v>32</v>
      </c>
      <c r="D8479" t="s">
        <v>953</v>
      </c>
      <c r="E8479" t="s">
        <v>998</v>
      </c>
      <c r="F8479" t="s">
        <v>35</v>
      </c>
      <c r="G8479" t="s">
        <v>35</v>
      </c>
      <c r="H8479" t="s">
        <v>35</v>
      </c>
      <c r="J8479" t="s">
        <v>7286</v>
      </c>
      <c r="K8479" t="s">
        <v>1092</v>
      </c>
      <c r="M8479">
        <v>1.08</v>
      </c>
      <c r="N8479">
        <v>11</v>
      </c>
      <c r="O8479" t="s">
        <v>46</v>
      </c>
      <c r="Q8479" t="s">
        <v>1476</v>
      </c>
      <c r="R8479" t="s">
        <v>6891</v>
      </c>
      <c r="S8479" t="s">
        <v>1085</v>
      </c>
      <c r="T8479" t="s">
        <v>1086</v>
      </c>
    </row>
    <row r="8480" spans="1:20" x14ac:dyDescent="0.25">
      <c r="A8480" t="s">
        <v>59</v>
      </c>
      <c r="B8480" t="s">
        <v>31</v>
      </c>
      <c r="C8480" t="s">
        <v>32</v>
      </c>
      <c r="D8480" t="s">
        <v>953</v>
      </c>
      <c r="E8480" t="s">
        <v>1084</v>
      </c>
      <c r="F8480" t="s">
        <v>35</v>
      </c>
      <c r="G8480" t="s">
        <v>35</v>
      </c>
      <c r="H8480" t="s">
        <v>35</v>
      </c>
      <c r="J8480" t="s">
        <v>7836</v>
      </c>
      <c r="K8480" t="s">
        <v>1092</v>
      </c>
      <c r="M8480">
        <v>0.45</v>
      </c>
      <c r="N8480">
        <v>139</v>
      </c>
      <c r="O8480" t="s">
        <v>38</v>
      </c>
      <c r="Q8480" t="s">
        <v>1335</v>
      </c>
      <c r="R8480" t="s">
        <v>6891</v>
      </c>
      <c r="S8480" t="s">
        <v>1085</v>
      </c>
      <c r="T8480" t="s">
        <v>1086</v>
      </c>
    </row>
    <row r="8481" spans="1:20" x14ac:dyDescent="0.25">
      <c r="A8481" t="s">
        <v>59</v>
      </c>
      <c r="B8481" t="s">
        <v>31</v>
      </c>
      <c r="C8481" t="s">
        <v>32</v>
      </c>
      <c r="D8481" t="s">
        <v>953</v>
      </c>
      <c r="E8481" t="s">
        <v>1084</v>
      </c>
      <c r="F8481" t="s">
        <v>35</v>
      </c>
      <c r="G8481" t="s">
        <v>35</v>
      </c>
      <c r="H8481" t="s">
        <v>35</v>
      </c>
      <c r="J8481" t="s">
        <v>7836</v>
      </c>
      <c r="K8481" t="s">
        <v>1092</v>
      </c>
      <c r="M8481">
        <v>0.54</v>
      </c>
      <c r="N8481">
        <v>491</v>
      </c>
      <c r="O8481" t="s">
        <v>294</v>
      </c>
      <c r="Q8481" t="s">
        <v>2487</v>
      </c>
      <c r="R8481" t="s">
        <v>6891</v>
      </c>
      <c r="S8481" t="s">
        <v>1085</v>
      </c>
      <c r="T8481" t="s">
        <v>1086</v>
      </c>
    </row>
    <row r="8482" spans="1:20" x14ac:dyDescent="0.25">
      <c r="A8482" t="s">
        <v>59</v>
      </c>
      <c r="B8482" t="s">
        <v>60</v>
      </c>
      <c r="C8482" t="s">
        <v>32</v>
      </c>
      <c r="D8482" t="s">
        <v>953</v>
      </c>
      <c r="E8482" t="s">
        <v>1084</v>
      </c>
      <c r="F8482" t="s">
        <v>35</v>
      </c>
      <c r="G8482" t="s">
        <v>35</v>
      </c>
      <c r="H8482" t="s">
        <v>35</v>
      </c>
      <c r="J8482" t="s">
        <v>7790</v>
      </c>
      <c r="K8482" t="s">
        <v>1092</v>
      </c>
      <c r="M8482">
        <v>0.5</v>
      </c>
      <c r="N8482">
        <v>43</v>
      </c>
      <c r="O8482" t="s">
        <v>52</v>
      </c>
      <c r="Q8482" t="s">
        <v>425</v>
      </c>
      <c r="R8482" t="s">
        <v>6891</v>
      </c>
      <c r="S8482" t="s">
        <v>1085</v>
      </c>
      <c r="T8482" t="s">
        <v>1086</v>
      </c>
    </row>
    <row r="8483" spans="1:20" x14ac:dyDescent="0.25">
      <c r="A8483" t="s">
        <v>59</v>
      </c>
      <c r="B8483" t="s">
        <v>60</v>
      </c>
      <c r="C8483" t="s">
        <v>32</v>
      </c>
      <c r="D8483" t="s">
        <v>953</v>
      </c>
      <c r="E8483" t="s">
        <v>1084</v>
      </c>
      <c r="F8483" t="s">
        <v>35</v>
      </c>
      <c r="G8483" t="s">
        <v>35</v>
      </c>
      <c r="H8483" t="s">
        <v>35</v>
      </c>
      <c r="J8483" t="s">
        <v>7790</v>
      </c>
      <c r="K8483" t="s">
        <v>1092</v>
      </c>
      <c r="M8483">
        <v>0.5</v>
      </c>
      <c r="N8483">
        <v>58</v>
      </c>
      <c r="O8483" t="s">
        <v>52</v>
      </c>
      <c r="Q8483" t="s">
        <v>128</v>
      </c>
      <c r="R8483" t="s">
        <v>6891</v>
      </c>
      <c r="S8483" t="s">
        <v>1085</v>
      </c>
      <c r="T8483" t="s">
        <v>1086</v>
      </c>
    </row>
    <row r="8484" spans="1:20" x14ac:dyDescent="0.25">
      <c r="A8484" t="s">
        <v>59</v>
      </c>
      <c r="B8484" t="s">
        <v>60</v>
      </c>
      <c r="C8484" t="s">
        <v>32</v>
      </c>
      <c r="D8484" t="s">
        <v>953</v>
      </c>
      <c r="E8484" t="s">
        <v>1084</v>
      </c>
      <c r="F8484" t="s">
        <v>35</v>
      </c>
      <c r="G8484" t="s">
        <v>35</v>
      </c>
      <c r="H8484" t="s">
        <v>35</v>
      </c>
      <c r="J8484" t="s">
        <v>7790</v>
      </c>
      <c r="K8484" t="s">
        <v>1092</v>
      </c>
      <c r="M8484">
        <v>0.5</v>
      </c>
      <c r="N8484">
        <v>80</v>
      </c>
      <c r="O8484" t="s">
        <v>61</v>
      </c>
      <c r="Q8484" t="s">
        <v>1639</v>
      </c>
      <c r="R8484" t="s">
        <v>6891</v>
      </c>
      <c r="S8484" t="s">
        <v>1085</v>
      </c>
      <c r="T8484" t="s">
        <v>1086</v>
      </c>
    </row>
    <row r="8485" spans="1:20" x14ac:dyDescent="0.25">
      <c r="A8485" t="s">
        <v>30</v>
      </c>
      <c r="B8485" t="s">
        <v>31</v>
      </c>
      <c r="C8485" t="s">
        <v>32</v>
      </c>
      <c r="D8485" t="s">
        <v>953</v>
      </c>
      <c r="E8485" t="s">
        <v>998</v>
      </c>
      <c r="F8485" t="s">
        <v>35</v>
      </c>
      <c r="G8485" t="s">
        <v>35</v>
      </c>
      <c r="H8485" t="s">
        <v>35</v>
      </c>
      <c r="J8485" t="s">
        <v>7250</v>
      </c>
      <c r="K8485" t="s">
        <v>1092</v>
      </c>
      <c r="M8485">
        <v>1.8</v>
      </c>
      <c r="N8485">
        <v>450</v>
      </c>
      <c r="O8485" t="s">
        <v>294</v>
      </c>
      <c r="Q8485" t="s">
        <v>2104</v>
      </c>
      <c r="R8485" t="s">
        <v>6891</v>
      </c>
      <c r="S8485" t="s">
        <v>1085</v>
      </c>
      <c r="T8485" t="s">
        <v>1086</v>
      </c>
    </row>
    <row r="8486" spans="1:20" x14ac:dyDescent="0.25">
      <c r="A8486" t="s">
        <v>59</v>
      </c>
      <c r="B8486" t="s">
        <v>60</v>
      </c>
      <c r="C8486" t="s">
        <v>32</v>
      </c>
      <c r="D8486" t="s">
        <v>953</v>
      </c>
      <c r="E8486" t="s">
        <v>7184</v>
      </c>
      <c r="F8486" t="s">
        <v>35</v>
      </c>
      <c r="G8486" t="s">
        <v>35</v>
      </c>
      <c r="H8486" t="s">
        <v>35</v>
      </c>
      <c r="J8486" t="s">
        <v>7221</v>
      </c>
      <c r="K8486" t="s">
        <v>1092</v>
      </c>
      <c r="M8486">
        <v>0.05</v>
      </c>
      <c r="N8486">
        <v>438</v>
      </c>
      <c r="O8486" t="s">
        <v>294</v>
      </c>
      <c r="Q8486" t="s">
        <v>2532</v>
      </c>
      <c r="R8486" t="s">
        <v>6891</v>
      </c>
      <c r="S8486" t="s">
        <v>1085</v>
      </c>
      <c r="T8486" t="s">
        <v>1086</v>
      </c>
    </row>
    <row r="8487" spans="1:20" x14ac:dyDescent="0.25">
      <c r="A8487" t="s">
        <v>59</v>
      </c>
      <c r="B8487" t="s">
        <v>60</v>
      </c>
      <c r="C8487" t="s">
        <v>32</v>
      </c>
      <c r="D8487" t="s">
        <v>953</v>
      </c>
      <c r="E8487" t="s">
        <v>7184</v>
      </c>
      <c r="F8487" t="s">
        <v>35</v>
      </c>
      <c r="G8487" t="s">
        <v>35</v>
      </c>
      <c r="H8487" t="s">
        <v>35</v>
      </c>
      <c r="J8487" t="s">
        <v>7221</v>
      </c>
      <c r="K8487" t="s">
        <v>1092</v>
      </c>
      <c r="M8487">
        <v>0.5</v>
      </c>
      <c r="N8487">
        <v>244</v>
      </c>
      <c r="O8487" t="s">
        <v>5</v>
      </c>
      <c r="Q8487" t="s">
        <v>1688</v>
      </c>
      <c r="R8487" t="s">
        <v>6891</v>
      </c>
      <c r="S8487" t="s">
        <v>1085</v>
      </c>
      <c r="T8487" t="s">
        <v>1086</v>
      </c>
    </row>
    <row r="8488" spans="1:20" x14ac:dyDescent="0.25">
      <c r="A8488" t="s">
        <v>59</v>
      </c>
      <c r="B8488" t="s">
        <v>60</v>
      </c>
      <c r="C8488" t="s">
        <v>32</v>
      </c>
      <c r="D8488" t="s">
        <v>953</v>
      </c>
      <c r="E8488" t="s">
        <v>1084</v>
      </c>
      <c r="F8488" t="s">
        <v>35</v>
      </c>
      <c r="G8488" t="s">
        <v>35</v>
      </c>
      <c r="H8488" t="s">
        <v>35</v>
      </c>
      <c r="J8488" t="s">
        <v>7803</v>
      </c>
      <c r="K8488" t="s">
        <v>1092</v>
      </c>
      <c r="M8488">
        <v>0.2</v>
      </c>
      <c r="N8488">
        <v>73</v>
      </c>
      <c r="O8488" t="s">
        <v>61</v>
      </c>
      <c r="Q8488" t="s">
        <v>477</v>
      </c>
      <c r="R8488" t="s">
        <v>6891</v>
      </c>
      <c r="S8488" t="s">
        <v>1085</v>
      </c>
      <c r="T8488" t="s">
        <v>1086</v>
      </c>
    </row>
    <row r="8489" spans="1:20" x14ac:dyDescent="0.25">
      <c r="A8489" t="s">
        <v>59</v>
      </c>
      <c r="B8489" t="s">
        <v>60</v>
      </c>
      <c r="C8489" t="s">
        <v>32</v>
      </c>
      <c r="D8489" t="s">
        <v>953</v>
      </c>
      <c r="E8489" t="s">
        <v>1084</v>
      </c>
      <c r="F8489" t="s">
        <v>35</v>
      </c>
      <c r="G8489" t="s">
        <v>35</v>
      </c>
      <c r="H8489" t="s">
        <v>35</v>
      </c>
      <c r="J8489" t="s">
        <v>3684</v>
      </c>
      <c r="K8489" t="s">
        <v>1092</v>
      </c>
      <c r="M8489">
        <v>0.1</v>
      </c>
      <c r="N8489">
        <v>49</v>
      </c>
      <c r="O8489" t="s">
        <v>52</v>
      </c>
      <c r="Q8489" t="s">
        <v>453</v>
      </c>
      <c r="R8489" t="s">
        <v>6891</v>
      </c>
      <c r="S8489" t="s">
        <v>1085</v>
      </c>
      <c r="T8489" t="s">
        <v>1086</v>
      </c>
    </row>
    <row r="8490" spans="1:20" x14ac:dyDescent="0.25">
      <c r="A8490" t="s">
        <v>59</v>
      </c>
      <c r="B8490" t="s">
        <v>31</v>
      </c>
      <c r="C8490" t="s">
        <v>32</v>
      </c>
      <c r="D8490" t="s">
        <v>953</v>
      </c>
      <c r="E8490" t="s">
        <v>1084</v>
      </c>
      <c r="F8490" t="s">
        <v>35</v>
      </c>
      <c r="G8490" t="s">
        <v>35</v>
      </c>
      <c r="H8490" t="s">
        <v>35</v>
      </c>
      <c r="J8490" t="s">
        <v>6803</v>
      </c>
      <c r="K8490" t="s">
        <v>1092</v>
      </c>
      <c r="M8490">
        <v>0.09</v>
      </c>
      <c r="N8490">
        <v>142</v>
      </c>
      <c r="O8490" t="s">
        <v>38</v>
      </c>
      <c r="Q8490" t="s">
        <v>73</v>
      </c>
      <c r="R8490" t="s">
        <v>6891</v>
      </c>
      <c r="S8490" t="s">
        <v>1085</v>
      </c>
      <c r="T8490" t="s">
        <v>1086</v>
      </c>
    </row>
    <row r="8491" spans="1:20" x14ac:dyDescent="0.25">
      <c r="A8491" t="s">
        <v>44</v>
      </c>
      <c r="B8491" t="s">
        <v>51</v>
      </c>
      <c r="C8491" t="s">
        <v>32</v>
      </c>
      <c r="D8491" t="s">
        <v>953</v>
      </c>
      <c r="E8491" t="s">
        <v>1084</v>
      </c>
      <c r="F8491" t="s">
        <v>35</v>
      </c>
      <c r="G8491" t="s">
        <v>35</v>
      </c>
      <c r="H8491" t="s">
        <v>35</v>
      </c>
      <c r="J8491" t="s">
        <v>6803</v>
      </c>
      <c r="K8491" t="s">
        <v>1092</v>
      </c>
      <c r="M8491">
        <v>0.05</v>
      </c>
      <c r="N8491">
        <v>219</v>
      </c>
      <c r="O8491" t="s">
        <v>5</v>
      </c>
      <c r="Q8491" t="s">
        <v>3300</v>
      </c>
      <c r="R8491" t="s">
        <v>6891</v>
      </c>
      <c r="S8491" t="s">
        <v>1085</v>
      </c>
      <c r="T8491" t="s">
        <v>1086</v>
      </c>
    </row>
    <row r="8492" spans="1:20" x14ac:dyDescent="0.25">
      <c r="A8492" t="s">
        <v>59</v>
      </c>
      <c r="B8492" t="s">
        <v>60</v>
      </c>
      <c r="C8492" t="s">
        <v>32</v>
      </c>
      <c r="D8492" t="s">
        <v>953</v>
      </c>
      <c r="F8492" t="s">
        <v>35</v>
      </c>
      <c r="G8492" t="s">
        <v>35</v>
      </c>
      <c r="H8492" t="s">
        <v>35</v>
      </c>
      <c r="J8492" t="s">
        <v>7562</v>
      </c>
      <c r="K8492" t="s">
        <v>1092</v>
      </c>
      <c r="M8492">
        <v>0.4</v>
      </c>
      <c r="N8492">
        <v>2507</v>
      </c>
      <c r="O8492" t="s">
        <v>575</v>
      </c>
      <c r="Q8492" t="s">
        <v>1132</v>
      </c>
      <c r="R8492" t="s">
        <v>6891</v>
      </c>
      <c r="S8492" t="s">
        <v>1085</v>
      </c>
      <c r="T8492" t="s">
        <v>1086</v>
      </c>
    </row>
    <row r="8493" spans="1:20" x14ac:dyDescent="0.25">
      <c r="A8493" t="s">
        <v>59</v>
      </c>
      <c r="B8493" t="s">
        <v>31</v>
      </c>
      <c r="C8493" t="s">
        <v>32</v>
      </c>
      <c r="D8493" t="s">
        <v>953</v>
      </c>
      <c r="F8493" t="s">
        <v>35</v>
      </c>
      <c r="G8493" t="s">
        <v>35</v>
      </c>
      <c r="H8493" t="s">
        <v>35</v>
      </c>
      <c r="J8493" t="s">
        <v>7562</v>
      </c>
      <c r="K8493" t="s">
        <v>1092</v>
      </c>
      <c r="M8493">
        <v>0.45</v>
      </c>
      <c r="N8493">
        <v>2479</v>
      </c>
      <c r="O8493" t="s">
        <v>575</v>
      </c>
      <c r="Q8493" t="s">
        <v>7959</v>
      </c>
      <c r="R8493" t="s">
        <v>6891</v>
      </c>
      <c r="S8493" t="s">
        <v>1085</v>
      </c>
      <c r="T8493" t="s">
        <v>1086</v>
      </c>
    </row>
    <row r="8494" spans="1:20" x14ac:dyDescent="0.25">
      <c r="A8494" t="s">
        <v>59</v>
      </c>
      <c r="B8494" t="s">
        <v>60</v>
      </c>
      <c r="C8494" t="s">
        <v>32</v>
      </c>
      <c r="D8494" t="s">
        <v>953</v>
      </c>
      <c r="E8494" t="s">
        <v>998</v>
      </c>
      <c r="F8494" t="s">
        <v>35</v>
      </c>
      <c r="G8494" t="s">
        <v>35</v>
      </c>
      <c r="H8494" t="s">
        <v>35</v>
      </c>
      <c r="J8494" t="s">
        <v>4210</v>
      </c>
      <c r="K8494" t="s">
        <v>1092</v>
      </c>
      <c r="M8494">
        <v>2.5</v>
      </c>
      <c r="N8494">
        <v>217</v>
      </c>
      <c r="O8494" t="s">
        <v>5</v>
      </c>
      <c r="Q8494" t="s">
        <v>1150</v>
      </c>
      <c r="R8494" t="s">
        <v>6891</v>
      </c>
      <c r="S8494" t="s">
        <v>1085</v>
      </c>
      <c r="T8494" t="s">
        <v>1086</v>
      </c>
    </row>
    <row r="8495" spans="1:20" x14ac:dyDescent="0.25">
      <c r="A8495" t="s">
        <v>59</v>
      </c>
      <c r="B8495" t="s">
        <v>60</v>
      </c>
      <c r="C8495" t="s">
        <v>32</v>
      </c>
      <c r="D8495" t="s">
        <v>953</v>
      </c>
      <c r="E8495" t="s">
        <v>998</v>
      </c>
      <c r="F8495" t="s">
        <v>35</v>
      </c>
      <c r="G8495" t="s">
        <v>35</v>
      </c>
      <c r="H8495" t="s">
        <v>35</v>
      </c>
      <c r="J8495" t="s">
        <v>4210</v>
      </c>
      <c r="K8495" t="s">
        <v>1092</v>
      </c>
      <c r="M8495">
        <v>0.5</v>
      </c>
      <c r="N8495">
        <v>165</v>
      </c>
      <c r="O8495" t="s">
        <v>38</v>
      </c>
      <c r="Q8495" t="s">
        <v>1124</v>
      </c>
      <c r="R8495" t="s">
        <v>6891</v>
      </c>
      <c r="S8495" t="s">
        <v>1085</v>
      </c>
      <c r="T8495" t="s">
        <v>1086</v>
      </c>
    </row>
    <row r="8496" spans="1:20" x14ac:dyDescent="0.25">
      <c r="A8496" t="s">
        <v>30</v>
      </c>
      <c r="B8496" t="s">
        <v>31</v>
      </c>
      <c r="C8496" t="s">
        <v>32</v>
      </c>
      <c r="D8496" t="s">
        <v>953</v>
      </c>
      <c r="E8496" t="s">
        <v>7842</v>
      </c>
      <c r="F8496" t="s">
        <v>35</v>
      </c>
      <c r="G8496" t="s">
        <v>35</v>
      </c>
      <c r="H8496" t="s">
        <v>35</v>
      </c>
      <c r="J8496" t="s">
        <v>7871</v>
      </c>
      <c r="K8496" t="s">
        <v>1092</v>
      </c>
      <c r="M8496">
        <v>0.45</v>
      </c>
      <c r="N8496">
        <v>8</v>
      </c>
      <c r="O8496" t="s">
        <v>46</v>
      </c>
      <c r="Q8496" t="s">
        <v>1944</v>
      </c>
      <c r="R8496" t="s">
        <v>6891</v>
      </c>
      <c r="S8496" t="s">
        <v>1085</v>
      </c>
      <c r="T8496" t="s">
        <v>1086</v>
      </c>
    </row>
    <row r="8497" spans="1:20" x14ac:dyDescent="0.25">
      <c r="A8497" t="s">
        <v>59</v>
      </c>
      <c r="B8497" t="s">
        <v>60</v>
      </c>
      <c r="C8497" t="s">
        <v>32</v>
      </c>
      <c r="D8497" t="s">
        <v>953</v>
      </c>
      <c r="E8497" t="s">
        <v>7842</v>
      </c>
      <c r="F8497" t="s">
        <v>35</v>
      </c>
      <c r="G8497" t="s">
        <v>35</v>
      </c>
      <c r="H8497" t="s">
        <v>35</v>
      </c>
      <c r="J8497" t="s">
        <v>7871</v>
      </c>
      <c r="K8497" t="s">
        <v>1092</v>
      </c>
      <c r="M8497">
        <v>0.15</v>
      </c>
      <c r="N8497">
        <v>71</v>
      </c>
      <c r="O8497" t="s">
        <v>61</v>
      </c>
      <c r="Q8497" t="s">
        <v>4851</v>
      </c>
      <c r="R8497" t="s">
        <v>6891</v>
      </c>
      <c r="S8497" t="s">
        <v>1085</v>
      </c>
      <c r="T8497" t="s">
        <v>1086</v>
      </c>
    </row>
    <row r="8498" spans="1:20" x14ac:dyDescent="0.25">
      <c r="A8498" t="s">
        <v>30</v>
      </c>
      <c r="B8498" t="s">
        <v>31</v>
      </c>
      <c r="C8498" t="s">
        <v>32</v>
      </c>
      <c r="D8498" t="s">
        <v>953</v>
      </c>
      <c r="E8498" t="s">
        <v>1084</v>
      </c>
      <c r="F8498" t="s">
        <v>35</v>
      </c>
      <c r="G8498" t="s">
        <v>35</v>
      </c>
      <c r="H8498" t="s">
        <v>35</v>
      </c>
      <c r="J8498" t="s">
        <v>7840</v>
      </c>
      <c r="K8498" t="s">
        <v>1092</v>
      </c>
      <c r="M8498">
        <v>2.16</v>
      </c>
      <c r="N8498">
        <v>8</v>
      </c>
      <c r="O8498" t="s">
        <v>46</v>
      </c>
      <c r="Q8498" t="s">
        <v>1944</v>
      </c>
      <c r="R8498" t="s">
        <v>6891</v>
      </c>
      <c r="S8498" t="s">
        <v>1085</v>
      </c>
      <c r="T8498" t="s">
        <v>1086</v>
      </c>
    </row>
    <row r="8499" spans="1:20" x14ac:dyDescent="0.25">
      <c r="A8499" t="s">
        <v>59</v>
      </c>
      <c r="B8499" t="s">
        <v>31</v>
      </c>
      <c r="C8499" t="s">
        <v>32</v>
      </c>
      <c r="D8499" t="s">
        <v>953</v>
      </c>
      <c r="E8499" t="s">
        <v>7184</v>
      </c>
      <c r="F8499" t="s">
        <v>35</v>
      </c>
      <c r="G8499" t="s">
        <v>35</v>
      </c>
      <c r="H8499" t="s">
        <v>35</v>
      </c>
      <c r="J8499" t="s">
        <v>7202</v>
      </c>
      <c r="K8499" t="s">
        <v>1092</v>
      </c>
      <c r="M8499">
        <v>0.22500000000000001</v>
      </c>
      <c r="N8499">
        <v>29</v>
      </c>
      <c r="O8499" t="s">
        <v>46</v>
      </c>
      <c r="Q8499" t="s">
        <v>2005</v>
      </c>
      <c r="R8499" t="s">
        <v>6891</v>
      </c>
      <c r="S8499" t="s">
        <v>1085</v>
      </c>
      <c r="T8499" t="s">
        <v>1086</v>
      </c>
    </row>
    <row r="8500" spans="1:20" x14ac:dyDescent="0.25">
      <c r="A8500" t="s">
        <v>30</v>
      </c>
      <c r="B8500" t="s">
        <v>31</v>
      </c>
      <c r="C8500" t="s">
        <v>32</v>
      </c>
      <c r="D8500" t="s">
        <v>953</v>
      </c>
      <c r="E8500" t="s">
        <v>7184</v>
      </c>
      <c r="F8500" t="s">
        <v>35</v>
      </c>
      <c r="G8500" t="s">
        <v>35</v>
      </c>
      <c r="H8500" t="s">
        <v>35</v>
      </c>
      <c r="J8500" t="s">
        <v>7202</v>
      </c>
      <c r="K8500" t="s">
        <v>1092</v>
      </c>
      <c r="M8500">
        <v>0.9</v>
      </c>
      <c r="N8500">
        <v>11</v>
      </c>
      <c r="O8500" t="s">
        <v>46</v>
      </c>
      <c r="Q8500" t="s">
        <v>1476</v>
      </c>
      <c r="R8500" t="s">
        <v>6891</v>
      </c>
      <c r="S8500" t="s">
        <v>1085</v>
      </c>
      <c r="T8500" t="s">
        <v>1086</v>
      </c>
    </row>
    <row r="8501" spans="1:20" x14ac:dyDescent="0.25">
      <c r="A8501" t="s">
        <v>59</v>
      </c>
      <c r="B8501" t="s">
        <v>60</v>
      </c>
      <c r="C8501" t="s">
        <v>32</v>
      </c>
      <c r="D8501" t="s">
        <v>953</v>
      </c>
      <c r="E8501" t="s">
        <v>7184</v>
      </c>
      <c r="F8501" t="s">
        <v>35</v>
      </c>
      <c r="G8501" t="s">
        <v>35</v>
      </c>
      <c r="H8501" t="s">
        <v>35</v>
      </c>
      <c r="J8501" t="s">
        <v>7202</v>
      </c>
      <c r="K8501" t="s">
        <v>1092</v>
      </c>
      <c r="M8501">
        <v>1</v>
      </c>
      <c r="N8501">
        <v>61</v>
      </c>
      <c r="O8501" t="s">
        <v>61</v>
      </c>
      <c r="Q8501" t="s">
        <v>146</v>
      </c>
      <c r="R8501" t="s">
        <v>6891</v>
      </c>
      <c r="S8501" t="s">
        <v>1085</v>
      </c>
      <c r="T8501" t="s">
        <v>1086</v>
      </c>
    </row>
    <row r="8502" spans="1:20" x14ac:dyDescent="0.25">
      <c r="A8502" t="s">
        <v>59</v>
      </c>
      <c r="B8502" t="s">
        <v>60</v>
      </c>
      <c r="C8502" t="s">
        <v>32</v>
      </c>
      <c r="D8502" t="s">
        <v>953</v>
      </c>
      <c r="E8502" t="s">
        <v>7842</v>
      </c>
      <c r="F8502" t="s">
        <v>35</v>
      </c>
      <c r="G8502" t="s">
        <v>35</v>
      </c>
      <c r="H8502" t="s">
        <v>35</v>
      </c>
      <c r="J8502" t="s">
        <v>7844</v>
      </c>
      <c r="K8502" t="s">
        <v>1092</v>
      </c>
      <c r="M8502">
        <v>0.1</v>
      </c>
      <c r="N8502">
        <v>127</v>
      </c>
      <c r="O8502" t="s">
        <v>38</v>
      </c>
      <c r="Q8502" t="s">
        <v>3640</v>
      </c>
      <c r="R8502" t="s">
        <v>6891</v>
      </c>
      <c r="S8502" t="s">
        <v>1085</v>
      </c>
      <c r="T8502" t="s">
        <v>1086</v>
      </c>
    </row>
    <row r="8503" spans="1:20" x14ac:dyDescent="0.25">
      <c r="A8503" t="s">
        <v>59</v>
      </c>
      <c r="B8503" t="s">
        <v>60</v>
      </c>
      <c r="C8503" t="s">
        <v>32</v>
      </c>
      <c r="D8503" t="s">
        <v>953</v>
      </c>
      <c r="E8503" t="s">
        <v>998</v>
      </c>
      <c r="F8503" t="s">
        <v>35</v>
      </c>
      <c r="G8503" t="s">
        <v>35</v>
      </c>
      <c r="H8503" t="s">
        <v>35</v>
      </c>
      <c r="J8503" t="s">
        <v>7287</v>
      </c>
      <c r="K8503" t="s">
        <v>1092</v>
      </c>
      <c r="M8503">
        <v>0.4</v>
      </c>
      <c r="N8503">
        <v>731</v>
      </c>
      <c r="O8503" t="s">
        <v>575</v>
      </c>
      <c r="Q8503" t="s">
        <v>1778</v>
      </c>
      <c r="R8503" t="s">
        <v>6891</v>
      </c>
      <c r="S8503" t="s">
        <v>1085</v>
      </c>
      <c r="T8503" t="s">
        <v>1086</v>
      </c>
    </row>
    <row r="8504" spans="1:20" x14ac:dyDescent="0.25">
      <c r="A8504" t="s">
        <v>59</v>
      </c>
      <c r="B8504" t="s">
        <v>60</v>
      </c>
      <c r="C8504" t="s">
        <v>32</v>
      </c>
      <c r="D8504" t="s">
        <v>953</v>
      </c>
      <c r="E8504" t="s">
        <v>1084</v>
      </c>
      <c r="F8504" t="s">
        <v>35</v>
      </c>
      <c r="G8504" t="s">
        <v>35</v>
      </c>
      <c r="H8504" t="s">
        <v>35</v>
      </c>
      <c r="J8504" t="s">
        <v>7782</v>
      </c>
      <c r="K8504" t="s">
        <v>1092</v>
      </c>
      <c r="M8504">
        <v>1</v>
      </c>
      <c r="N8504">
        <v>29</v>
      </c>
      <c r="O8504" t="s">
        <v>46</v>
      </c>
      <c r="Q8504" t="s">
        <v>2005</v>
      </c>
      <c r="R8504" t="s">
        <v>6891</v>
      </c>
      <c r="S8504" t="s">
        <v>1085</v>
      </c>
      <c r="T8504" t="s">
        <v>1086</v>
      </c>
    </row>
    <row r="8505" spans="1:20" x14ac:dyDescent="0.25">
      <c r="A8505" t="s">
        <v>59</v>
      </c>
      <c r="B8505" t="s">
        <v>60</v>
      </c>
      <c r="C8505" t="s">
        <v>32</v>
      </c>
      <c r="D8505" t="s">
        <v>953</v>
      </c>
      <c r="E8505" t="s">
        <v>1084</v>
      </c>
      <c r="F8505" t="s">
        <v>35</v>
      </c>
      <c r="G8505" t="s">
        <v>35</v>
      </c>
      <c r="H8505" t="s">
        <v>35</v>
      </c>
      <c r="J8505" t="s">
        <v>7782</v>
      </c>
      <c r="K8505" t="s">
        <v>1092</v>
      </c>
      <c r="M8505">
        <v>1</v>
      </c>
      <c r="N8505">
        <v>49</v>
      </c>
      <c r="O8505" t="s">
        <v>52</v>
      </c>
      <c r="Q8505" t="s">
        <v>453</v>
      </c>
      <c r="R8505" t="s">
        <v>6891</v>
      </c>
      <c r="S8505" t="s">
        <v>1085</v>
      </c>
      <c r="T8505" t="s">
        <v>1086</v>
      </c>
    </row>
    <row r="8506" spans="1:20" x14ac:dyDescent="0.25">
      <c r="A8506" t="s">
        <v>59</v>
      </c>
      <c r="B8506" t="s">
        <v>31</v>
      </c>
      <c r="C8506" t="s">
        <v>32</v>
      </c>
      <c r="D8506" t="s">
        <v>953</v>
      </c>
      <c r="E8506" t="s">
        <v>1084</v>
      </c>
      <c r="F8506" t="s">
        <v>35</v>
      </c>
      <c r="G8506" t="s">
        <v>35</v>
      </c>
      <c r="H8506" t="s">
        <v>35</v>
      </c>
      <c r="J8506" t="s">
        <v>7782</v>
      </c>
      <c r="K8506" t="s">
        <v>1092</v>
      </c>
      <c r="M8506">
        <v>0.45</v>
      </c>
      <c r="N8506">
        <v>45</v>
      </c>
      <c r="O8506" t="s">
        <v>52</v>
      </c>
      <c r="Q8506" t="s">
        <v>1230</v>
      </c>
      <c r="R8506" t="s">
        <v>6891</v>
      </c>
      <c r="S8506" t="s">
        <v>1085</v>
      </c>
      <c r="T8506" t="s">
        <v>1086</v>
      </c>
    </row>
    <row r="8507" spans="1:20" x14ac:dyDescent="0.25">
      <c r="A8507" t="s">
        <v>59</v>
      </c>
      <c r="B8507" t="s">
        <v>31</v>
      </c>
      <c r="C8507" t="s">
        <v>32</v>
      </c>
      <c r="D8507" t="s">
        <v>953</v>
      </c>
      <c r="E8507" t="s">
        <v>1084</v>
      </c>
      <c r="F8507" t="s">
        <v>35</v>
      </c>
      <c r="G8507" t="s">
        <v>35</v>
      </c>
      <c r="H8507" t="s">
        <v>35</v>
      </c>
      <c r="J8507" t="s">
        <v>7782</v>
      </c>
      <c r="K8507" t="s">
        <v>1092</v>
      </c>
      <c r="M8507">
        <v>0.22500000000000001</v>
      </c>
      <c r="N8507">
        <v>54</v>
      </c>
      <c r="O8507" t="s">
        <v>52</v>
      </c>
      <c r="Q8507" t="s">
        <v>671</v>
      </c>
      <c r="R8507" t="s">
        <v>6891</v>
      </c>
      <c r="S8507" t="s">
        <v>1085</v>
      </c>
      <c r="T8507" t="s">
        <v>1086</v>
      </c>
    </row>
    <row r="8508" spans="1:20" x14ac:dyDescent="0.25">
      <c r="A8508" t="s">
        <v>59</v>
      </c>
      <c r="B8508" t="s">
        <v>60</v>
      </c>
      <c r="C8508" t="s">
        <v>32</v>
      </c>
      <c r="D8508" t="s">
        <v>953</v>
      </c>
      <c r="E8508" t="s">
        <v>1084</v>
      </c>
      <c r="F8508" t="s">
        <v>35</v>
      </c>
      <c r="G8508" t="s">
        <v>35</v>
      </c>
      <c r="H8508" t="s">
        <v>35</v>
      </c>
      <c r="J8508" t="s">
        <v>7782</v>
      </c>
      <c r="K8508" t="s">
        <v>1092</v>
      </c>
      <c r="M8508">
        <v>1.5</v>
      </c>
      <c r="N8508">
        <v>32</v>
      </c>
      <c r="O8508" t="s">
        <v>52</v>
      </c>
      <c r="Q8508" t="s">
        <v>816</v>
      </c>
      <c r="R8508" t="s">
        <v>6891</v>
      </c>
      <c r="S8508" t="s">
        <v>1085</v>
      </c>
      <c r="T8508" t="s">
        <v>1086</v>
      </c>
    </row>
    <row r="8509" spans="1:20" x14ac:dyDescent="0.25">
      <c r="A8509" t="s">
        <v>59</v>
      </c>
      <c r="B8509" t="s">
        <v>60</v>
      </c>
      <c r="C8509" t="s">
        <v>32</v>
      </c>
      <c r="D8509" t="s">
        <v>953</v>
      </c>
      <c r="E8509" t="s">
        <v>1084</v>
      </c>
      <c r="F8509" t="s">
        <v>35</v>
      </c>
      <c r="G8509" t="s">
        <v>35</v>
      </c>
      <c r="H8509" t="s">
        <v>35</v>
      </c>
      <c r="J8509" t="s">
        <v>7782</v>
      </c>
      <c r="K8509" t="s">
        <v>1092</v>
      </c>
      <c r="M8509">
        <v>1.5</v>
      </c>
      <c r="N8509">
        <v>58</v>
      </c>
      <c r="O8509" t="s">
        <v>52</v>
      </c>
      <c r="Q8509" t="s">
        <v>128</v>
      </c>
      <c r="R8509" t="s">
        <v>6891</v>
      </c>
      <c r="S8509" t="s">
        <v>1085</v>
      </c>
      <c r="T8509" t="s">
        <v>1086</v>
      </c>
    </row>
    <row r="8510" spans="1:20" x14ac:dyDescent="0.25">
      <c r="A8510" t="s">
        <v>59</v>
      </c>
      <c r="B8510" t="s">
        <v>60</v>
      </c>
      <c r="C8510" t="s">
        <v>32</v>
      </c>
      <c r="D8510" t="s">
        <v>953</v>
      </c>
      <c r="E8510" t="s">
        <v>7842</v>
      </c>
      <c r="F8510" t="s">
        <v>35</v>
      </c>
      <c r="G8510" t="s">
        <v>35</v>
      </c>
      <c r="H8510" t="s">
        <v>35</v>
      </c>
      <c r="J8510" t="s">
        <v>7856</v>
      </c>
      <c r="K8510" t="s">
        <v>1092</v>
      </c>
      <c r="M8510">
        <v>0.1</v>
      </c>
      <c r="N8510">
        <v>608</v>
      </c>
      <c r="O8510" t="s">
        <v>575</v>
      </c>
      <c r="Q8510" t="s">
        <v>7831</v>
      </c>
      <c r="R8510" t="s">
        <v>6891</v>
      </c>
      <c r="S8510" t="s">
        <v>1085</v>
      </c>
      <c r="T8510" t="s">
        <v>1086</v>
      </c>
    </row>
    <row r="8511" spans="1:20" x14ac:dyDescent="0.25">
      <c r="A8511" t="s">
        <v>44</v>
      </c>
      <c r="B8511" t="s">
        <v>3</v>
      </c>
      <c r="C8511" t="s">
        <v>32</v>
      </c>
      <c r="D8511" t="s">
        <v>953</v>
      </c>
      <c r="E8511" t="s">
        <v>7164</v>
      </c>
      <c r="F8511" t="s">
        <v>35</v>
      </c>
      <c r="G8511" t="s">
        <v>35</v>
      </c>
      <c r="H8511" t="s">
        <v>35</v>
      </c>
      <c r="J8511" t="s">
        <v>6094</v>
      </c>
      <c r="K8511" t="s">
        <v>1092</v>
      </c>
      <c r="M8511">
        <v>1.5</v>
      </c>
      <c r="N8511">
        <v>240</v>
      </c>
      <c r="O8511" t="s">
        <v>5</v>
      </c>
      <c r="Q8511" t="s">
        <v>574</v>
      </c>
      <c r="R8511" t="s">
        <v>6891</v>
      </c>
      <c r="S8511" t="s">
        <v>1085</v>
      </c>
      <c r="T8511" t="s">
        <v>1086</v>
      </c>
    </row>
    <row r="8512" spans="1:20" x14ac:dyDescent="0.25">
      <c r="A8512" t="s">
        <v>59</v>
      </c>
      <c r="B8512" t="s">
        <v>60</v>
      </c>
      <c r="C8512" t="s">
        <v>32</v>
      </c>
      <c r="D8512" t="s">
        <v>953</v>
      </c>
      <c r="E8512" t="s">
        <v>1084</v>
      </c>
      <c r="F8512" t="s">
        <v>35</v>
      </c>
      <c r="G8512" t="s">
        <v>35</v>
      </c>
      <c r="H8512" t="s">
        <v>35</v>
      </c>
      <c r="J8512" t="s">
        <v>7819</v>
      </c>
      <c r="K8512" t="s">
        <v>1092</v>
      </c>
      <c r="M8512">
        <v>0.3</v>
      </c>
      <c r="N8512">
        <v>306</v>
      </c>
      <c r="O8512" t="s">
        <v>5</v>
      </c>
      <c r="Q8512" t="s">
        <v>6056</v>
      </c>
      <c r="R8512" t="s">
        <v>6891</v>
      </c>
      <c r="S8512" t="s">
        <v>1085</v>
      </c>
      <c r="T8512" t="s">
        <v>1086</v>
      </c>
    </row>
    <row r="8513" spans="1:20" x14ac:dyDescent="0.25">
      <c r="A8513" t="s">
        <v>59</v>
      </c>
      <c r="B8513" t="s">
        <v>60</v>
      </c>
      <c r="C8513" t="s">
        <v>32</v>
      </c>
      <c r="D8513" t="s">
        <v>953</v>
      </c>
      <c r="E8513" t="s">
        <v>1084</v>
      </c>
      <c r="F8513" t="s">
        <v>35</v>
      </c>
      <c r="G8513" t="s">
        <v>35</v>
      </c>
      <c r="H8513" t="s">
        <v>35</v>
      </c>
      <c r="J8513" t="s">
        <v>7819</v>
      </c>
      <c r="K8513" t="s">
        <v>1092</v>
      </c>
      <c r="M8513">
        <v>0.75</v>
      </c>
      <c r="N8513">
        <v>80</v>
      </c>
      <c r="O8513" t="s">
        <v>61</v>
      </c>
      <c r="Q8513" t="s">
        <v>1639</v>
      </c>
      <c r="R8513" t="s">
        <v>6891</v>
      </c>
      <c r="S8513" t="s">
        <v>1085</v>
      </c>
      <c r="T8513" t="s">
        <v>1086</v>
      </c>
    </row>
    <row r="8514" spans="1:20" x14ac:dyDescent="0.25">
      <c r="A8514" t="s">
        <v>59</v>
      </c>
      <c r="B8514" t="s">
        <v>60</v>
      </c>
      <c r="C8514" t="s">
        <v>32</v>
      </c>
      <c r="D8514" t="s">
        <v>953</v>
      </c>
      <c r="E8514" t="s">
        <v>1084</v>
      </c>
      <c r="F8514" t="s">
        <v>35</v>
      </c>
      <c r="G8514" t="s">
        <v>35</v>
      </c>
      <c r="H8514" t="s">
        <v>35</v>
      </c>
      <c r="J8514" t="s">
        <v>7819</v>
      </c>
      <c r="K8514" t="s">
        <v>1092</v>
      </c>
      <c r="M8514">
        <v>0.5</v>
      </c>
      <c r="N8514">
        <v>224</v>
      </c>
      <c r="O8514" t="s">
        <v>5</v>
      </c>
      <c r="Q8514" t="s">
        <v>402</v>
      </c>
      <c r="R8514" t="s">
        <v>6891</v>
      </c>
      <c r="S8514" t="s">
        <v>1085</v>
      </c>
      <c r="T8514" t="s">
        <v>1086</v>
      </c>
    </row>
    <row r="8515" spans="1:20" x14ac:dyDescent="0.25">
      <c r="A8515" t="s">
        <v>30</v>
      </c>
      <c r="B8515" t="s">
        <v>31</v>
      </c>
      <c r="C8515" t="s">
        <v>32</v>
      </c>
      <c r="D8515" t="s">
        <v>953</v>
      </c>
      <c r="E8515" t="s">
        <v>1084</v>
      </c>
      <c r="F8515" t="s">
        <v>35</v>
      </c>
      <c r="G8515" t="s">
        <v>35</v>
      </c>
      <c r="H8515" t="s">
        <v>35</v>
      </c>
      <c r="J8515" t="s">
        <v>7819</v>
      </c>
      <c r="K8515" t="s">
        <v>1092</v>
      </c>
      <c r="M8515">
        <v>0.9</v>
      </c>
      <c r="N8515">
        <v>25</v>
      </c>
      <c r="O8515" t="s">
        <v>46</v>
      </c>
      <c r="Q8515" t="s">
        <v>547</v>
      </c>
      <c r="R8515" t="s">
        <v>6891</v>
      </c>
      <c r="S8515" t="s">
        <v>1085</v>
      </c>
      <c r="T8515" t="s">
        <v>1086</v>
      </c>
    </row>
    <row r="8516" spans="1:20" x14ac:dyDescent="0.25">
      <c r="A8516" t="s">
        <v>30</v>
      </c>
      <c r="B8516" t="s">
        <v>31</v>
      </c>
      <c r="C8516" t="s">
        <v>32</v>
      </c>
      <c r="D8516" t="s">
        <v>953</v>
      </c>
      <c r="E8516" t="s">
        <v>998</v>
      </c>
      <c r="F8516" t="s">
        <v>35</v>
      </c>
      <c r="G8516" t="s">
        <v>35</v>
      </c>
      <c r="H8516" t="s">
        <v>35</v>
      </c>
      <c r="J8516" t="s">
        <v>7274</v>
      </c>
      <c r="K8516" t="s">
        <v>1092</v>
      </c>
      <c r="M8516">
        <v>0.85499999999999998</v>
      </c>
      <c r="N8516">
        <v>32</v>
      </c>
      <c r="O8516" t="s">
        <v>52</v>
      </c>
      <c r="Q8516" t="s">
        <v>816</v>
      </c>
      <c r="R8516" t="s">
        <v>6891</v>
      </c>
      <c r="S8516" t="s">
        <v>1085</v>
      </c>
      <c r="T8516" t="s">
        <v>1086</v>
      </c>
    </row>
    <row r="8517" spans="1:20" x14ac:dyDescent="0.25">
      <c r="A8517" t="s">
        <v>59</v>
      </c>
      <c r="B8517" t="s">
        <v>60</v>
      </c>
      <c r="C8517" t="s">
        <v>32</v>
      </c>
      <c r="D8517" t="s">
        <v>953</v>
      </c>
      <c r="E8517" t="s">
        <v>998</v>
      </c>
      <c r="F8517" t="s">
        <v>35</v>
      </c>
      <c r="G8517" t="s">
        <v>35</v>
      </c>
      <c r="H8517" t="s">
        <v>35</v>
      </c>
      <c r="J8517" t="s">
        <v>7274</v>
      </c>
      <c r="K8517" t="s">
        <v>1092</v>
      </c>
      <c r="M8517">
        <v>0.5</v>
      </c>
      <c r="N8517">
        <v>32</v>
      </c>
      <c r="O8517" t="s">
        <v>52</v>
      </c>
      <c r="Q8517" t="s">
        <v>816</v>
      </c>
      <c r="R8517" t="s">
        <v>6891</v>
      </c>
      <c r="S8517" t="s">
        <v>1085</v>
      </c>
      <c r="T8517" t="s">
        <v>1086</v>
      </c>
    </row>
    <row r="8518" spans="1:20" x14ac:dyDescent="0.25">
      <c r="A8518" t="s">
        <v>59</v>
      </c>
      <c r="B8518" t="s">
        <v>31</v>
      </c>
      <c r="C8518" t="s">
        <v>32</v>
      </c>
      <c r="D8518" t="s">
        <v>953</v>
      </c>
      <c r="E8518" t="s">
        <v>998</v>
      </c>
      <c r="F8518" t="s">
        <v>35</v>
      </c>
      <c r="G8518" t="s">
        <v>35</v>
      </c>
      <c r="H8518" t="s">
        <v>35</v>
      </c>
      <c r="J8518" t="s">
        <v>7274</v>
      </c>
      <c r="K8518" t="s">
        <v>1092</v>
      </c>
      <c r="M8518">
        <v>0.67500000000000004</v>
      </c>
      <c r="N8518">
        <v>84</v>
      </c>
      <c r="O8518" t="s">
        <v>61</v>
      </c>
      <c r="Q8518" t="s">
        <v>1147</v>
      </c>
      <c r="R8518" t="s">
        <v>6891</v>
      </c>
      <c r="S8518" t="s">
        <v>1085</v>
      </c>
      <c r="T8518" t="s">
        <v>1086</v>
      </c>
    </row>
    <row r="8519" spans="1:20" x14ac:dyDescent="0.25">
      <c r="A8519" t="s">
        <v>59</v>
      </c>
      <c r="B8519" t="s">
        <v>60</v>
      </c>
      <c r="C8519" t="s">
        <v>32</v>
      </c>
      <c r="D8519" t="s">
        <v>953</v>
      </c>
      <c r="E8519" t="s">
        <v>1084</v>
      </c>
      <c r="F8519" t="s">
        <v>35</v>
      </c>
      <c r="G8519" t="s">
        <v>35</v>
      </c>
      <c r="H8519" t="s">
        <v>35</v>
      </c>
      <c r="J8519" t="s">
        <v>7839</v>
      </c>
      <c r="K8519" t="s">
        <v>1092</v>
      </c>
      <c r="M8519">
        <v>0.5</v>
      </c>
      <c r="N8519">
        <v>25</v>
      </c>
      <c r="O8519" t="s">
        <v>46</v>
      </c>
      <c r="Q8519" t="s">
        <v>547</v>
      </c>
      <c r="R8519" t="s">
        <v>6891</v>
      </c>
      <c r="S8519" t="s">
        <v>1085</v>
      </c>
      <c r="T8519" t="s">
        <v>1086</v>
      </c>
    </row>
    <row r="8520" spans="1:20" x14ac:dyDescent="0.25">
      <c r="A8520" t="s">
        <v>59</v>
      </c>
      <c r="B8520" t="s">
        <v>31</v>
      </c>
      <c r="C8520" t="s">
        <v>32</v>
      </c>
      <c r="D8520" t="s">
        <v>953</v>
      </c>
      <c r="E8520" t="s">
        <v>1084</v>
      </c>
      <c r="F8520" t="s">
        <v>35</v>
      </c>
      <c r="G8520" t="s">
        <v>35</v>
      </c>
      <c r="H8520" t="s">
        <v>35</v>
      </c>
      <c r="J8520" t="s">
        <v>7799</v>
      </c>
      <c r="K8520" t="s">
        <v>1092</v>
      </c>
      <c r="M8520">
        <v>0.27</v>
      </c>
      <c r="N8520">
        <v>54</v>
      </c>
      <c r="O8520" t="s">
        <v>52</v>
      </c>
      <c r="Q8520" t="s">
        <v>671</v>
      </c>
      <c r="R8520" t="s">
        <v>6891</v>
      </c>
      <c r="S8520" t="s">
        <v>1085</v>
      </c>
      <c r="T8520" t="s">
        <v>1086</v>
      </c>
    </row>
    <row r="8521" spans="1:20" x14ac:dyDescent="0.25">
      <c r="A8521" t="s">
        <v>59</v>
      </c>
      <c r="B8521" t="s">
        <v>60</v>
      </c>
      <c r="C8521" t="s">
        <v>32</v>
      </c>
      <c r="D8521" t="s">
        <v>953</v>
      </c>
      <c r="E8521" t="s">
        <v>1084</v>
      </c>
      <c r="F8521" t="s">
        <v>35</v>
      </c>
      <c r="G8521" t="s">
        <v>35</v>
      </c>
      <c r="H8521" t="s">
        <v>35</v>
      </c>
      <c r="J8521" t="s">
        <v>7799</v>
      </c>
      <c r="K8521" t="s">
        <v>1092</v>
      </c>
      <c r="M8521">
        <v>0.65</v>
      </c>
      <c r="N8521">
        <v>40</v>
      </c>
      <c r="O8521" t="s">
        <v>52</v>
      </c>
      <c r="Q8521" t="s">
        <v>132</v>
      </c>
      <c r="R8521" t="s">
        <v>6891</v>
      </c>
      <c r="S8521" t="s">
        <v>1085</v>
      </c>
      <c r="T8521" t="s">
        <v>1086</v>
      </c>
    </row>
    <row r="8522" spans="1:20" x14ac:dyDescent="0.25">
      <c r="A8522" t="s">
        <v>59</v>
      </c>
      <c r="B8522" t="s">
        <v>60</v>
      </c>
      <c r="C8522" t="s">
        <v>32</v>
      </c>
      <c r="D8522" t="s">
        <v>953</v>
      </c>
      <c r="E8522" t="s">
        <v>998</v>
      </c>
      <c r="F8522" t="s">
        <v>35</v>
      </c>
      <c r="G8522" t="s">
        <v>35</v>
      </c>
      <c r="H8522" t="s">
        <v>35</v>
      </c>
      <c r="J8522" t="s">
        <v>7251</v>
      </c>
      <c r="K8522" t="s">
        <v>1092</v>
      </c>
      <c r="M8522">
        <v>0.1</v>
      </c>
      <c r="N8522">
        <v>298</v>
      </c>
      <c r="O8522" t="s">
        <v>5</v>
      </c>
      <c r="Q8522" t="s">
        <v>4947</v>
      </c>
      <c r="R8522" t="s">
        <v>6891</v>
      </c>
      <c r="S8522" t="s">
        <v>1085</v>
      </c>
      <c r="T8522" t="s">
        <v>1086</v>
      </c>
    </row>
    <row r="8523" spans="1:20" x14ac:dyDescent="0.25">
      <c r="A8523" t="s">
        <v>59</v>
      </c>
      <c r="B8523" t="s">
        <v>31</v>
      </c>
      <c r="C8523" t="s">
        <v>32</v>
      </c>
      <c r="D8523" t="s">
        <v>953</v>
      </c>
      <c r="E8523" t="s">
        <v>998</v>
      </c>
      <c r="F8523" t="s">
        <v>35</v>
      </c>
      <c r="G8523" t="s">
        <v>35</v>
      </c>
      <c r="H8523" t="s">
        <v>35</v>
      </c>
      <c r="J8523" t="s">
        <v>7251</v>
      </c>
      <c r="K8523" t="s">
        <v>1092</v>
      </c>
      <c r="M8523">
        <v>1.395</v>
      </c>
      <c r="N8523">
        <v>82</v>
      </c>
      <c r="O8523" t="s">
        <v>61</v>
      </c>
      <c r="Q8523" t="s">
        <v>299</v>
      </c>
      <c r="R8523" t="s">
        <v>6891</v>
      </c>
      <c r="S8523" t="s">
        <v>1085</v>
      </c>
      <c r="T8523" t="s">
        <v>1086</v>
      </c>
    </row>
    <row r="8524" spans="1:20" x14ac:dyDescent="0.25">
      <c r="A8524" t="s">
        <v>59</v>
      </c>
      <c r="B8524" t="s">
        <v>60</v>
      </c>
      <c r="C8524" t="s">
        <v>32</v>
      </c>
      <c r="D8524" t="s">
        <v>953</v>
      </c>
      <c r="E8524" t="s">
        <v>998</v>
      </c>
      <c r="F8524" t="s">
        <v>35</v>
      </c>
      <c r="G8524" t="s">
        <v>35</v>
      </c>
      <c r="H8524" t="s">
        <v>35</v>
      </c>
      <c r="J8524" t="s">
        <v>7251</v>
      </c>
      <c r="K8524" t="s">
        <v>1092</v>
      </c>
      <c r="M8524">
        <v>1</v>
      </c>
      <c r="N8524">
        <v>82</v>
      </c>
      <c r="O8524" t="s">
        <v>61</v>
      </c>
      <c r="Q8524" t="s">
        <v>299</v>
      </c>
      <c r="R8524" t="s">
        <v>6891</v>
      </c>
      <c r="S8524" t="s">
        <v>1085</v>
      </c>
      <c r="T8524" t="s">
        <v>1086</v>
      </c>
    </row>
    <row r="8525" spans="1:20" x14ac:dyDescent="0.25">
      <c r="A8525" t="s">
        <v>59</v>
      </c>
      <c r="B8525" t="s">
        <v>60</v>
      </c>
      <c r="C8525" t="s">
        <v>32</v>
      </c>
      <c r="D8525" t="s">
        <v>953</v>
      </c>
      <c r="E8525" t="s">
        <v>998</v>
      </c>
      <c r="F8525" t="s">
        <v>35</v>
      </c>
      <c r="G8525" t="s">
        <v>35</v>
      </c>
      <c r="H8525" t="s">
        <v>35</v>
      </c>
      <c r="J8525" t="s">
        <v>7251</v>
      </c>
      <c r="K8525" t="s">
        <v>1092</v>
      </c>
      <c r="M8525">
        <v>0.5</v>
      </c>
      <c r="N8525">
        <v>253</v>
      </c>
      <c r="O8525" t="s">
        <v>5</v>
      </c>
      <c r="Q8525" t="s">
        <v>5106</v>
      </c>
      <c r="R8525" t="s">
        <v>6891</v>
      </c>
      <c r="S8525" t="s">
        <v>1085</v>
      </c>
      <c r="T8525" t="s">
        <v>1086</v>
      </c>
    </row>
    <row r="8526" spans="1:20" x14ac:dyDescent="0.25">
      <c r="A8526" t="s">
        <v>59</v>
      </c>
      <c r="B8526" t="s">
        <v>60</v>
      </c>
      <c r="C8526" t="s">
        <v>32</v>
      </c>
      <c r="D8526" t="s">
        <v>953</v>
      </c>
      <c r="E8526" t="s">
        <v>998</v>
      </c>
      <c r="F8526" t="s">
        <v>35</v>
      </c>
      <c r="G8526" t="s">
        <v>35</v>
      </c>
      <c r="H8526" t="s">
        <v>35</v>
      </c>
      <c r="J8526" t="s">
        <v>7251</v>
      </c>
      <c r="K8526" t="s">
        <v>1092</v>
      </c>
      <c r="M8526">
        <v>1</v>
      </c>
      <c r="N8526">
        <v>234</v>
      </c>
      <c r="O8526" t="s">
        <v>5</v>
      </c>
      <c r="Q8526" t="s">
        <v>3415</v>
      </c>
      <c r="R8526" t="s">
        <v>6891</v>
      </c>
      <c r="S8526" t="s">
        <v>1085</v>
      </c>
      <c r="T8526" t="s">
        <v>1086</v>
      </c>
    </row>
    <row r="8527" spans="1:20" x14ac:dyDescent="0.25">
      <c r="A8527" t="s">
        <v>59</v>
      </c>
      <c r="B8527" t="s">
        <v>60</v>
      </c>
      <c r="C8527" t="s">
        <v>32</v>
      </c>
      <c r="D8527" t="s">
        <v>953</v>
      </c>
      <c r="E8527" t="s">
        <v>998</v>
      </c>
      <c r="F8527" t="s">
        <v>35</v>
      </c>
      <c r="G8527" t="s">
        <v>35</v>
      </c>
      <c r="H8527" t="s">
        <v>35</v>
      </c>
      <c r="J8527" t="s">
        <v>7251</v>
      </c>
      <c r="K8527" t="s">
        <v>1092</v>
      </c>
      <c r="M8527">
        <v>1</v>
      </c>
      <c r="N8527">
        <v>175</v>
      </c>
      <c r="O8527" t="s">
        <v>38</v>
      </c>
      <c r="Q8527" t="s">
        <v>1764</v>
      </c>
      <c r="R8527" t="s">
        <v>6891</v>
      </c>
      <c r="S8527" t="s">
        <v>1085</v>
      </c>
      <c r="T8527" t="s">
        <v>1086</v>
      </c>
    </row>
    <row r="8528" spans="1:20" x14ac:dyDescent="0.25">
      <c r="A8528" t="s">
        <v>59</v>
      </c>
      <c r="B8528" t="s">
        <v>60</v>
      </c>
      <c r="C8528" t="s">
        <v>32</v>
      </c>
      <c r="D8528" t="s">
        <v>953</v>
      </c>
      <c r="E8528" t="s">
        <v>998</v>
      </c>
      <c r="F8528" t="s">
        <v>35</v>
      </c>
      <c r="G8528" t="s">
        <v>35</v>
      </c>
      <c r="H8528" t="s">
        <v>35</v>
      </c>
      <c r="J8528" t="s">
        <v>7252</v>
      </c>
      <c r="K8528" t="s">
        <v>1092</v>
      </c>
      <c r="M8528">
        <v>1.5</v>
      </c>
      <c r="N8528">
        <v>47</v>
      </c>
      <c r="O8528" t="s">
        <v>52</v>
      </c>
      <c r="Q8528" t="s">
        <v>1207</v>
      </c>
      <c r="R8528" t="s">
        <v>6891</v>
      </c>
      <c r="S8528" t="s">
        <v>1085</v>
      </c>
      <c r="T8528" t="s">
        <v>1086</v>
      </c>
    </row>
    <row r="8529" spans="1:20" x14ac:dyDescent="0.25">
      <c r="A8529" t="s">
        <v>59</v>
      </c>
      <c r="B8529" t="s">
        <v>60</v>
      </c>
      <c r="C8529" t="s">
        <v>32</v>
      </c>
      <c r="D8529" t="s">
        <v>953</v>
      </c>
      <c r="E8529" t="s">
        <v>1084</v>
      </c>
      <c r="F8529" t="s">
        <v>35</v>
      </c>
      <c r="G8529" t="s">
        <v>35</v>
      </c>
      <c r="H8529" t="s">
        <v>35</v>
      </c>
      <c r="J8529" t="s">
        <v>7252</v>
      </c>
      <c r="K8529" t="s">
        <v>1092</v>
      </c>
      <c r="M8529">
        <v>0.5</v>
      </c>
      <c r="N8529">
        <v>71</v>
      </c>
      <c r="O8529" t="s">
        <v>61</v>
      </c>
      <c r="Q8529" t="s">
        <v>4851</v>
      </c>
      <c r="R8529" t="s">
        <v>6891</v>
      </c>
      <c r="S8529" t="s">
        <v>1085</v>
      </c>
      <c r="T8529" t="s">
        <v>1086</v>
      </c>
    </row>
    <row r="8530" spans="1:20" x14ac:dyDescent="0.25">
      <c r="A8530" t="s">
        <v>59</v>
      </c>
      <c r="B8530" t="s">
        <v>60</v>
      </c>
      <c r="C8530" t="s">
        <v>32</v>
      </c>
      <c r="D8530" t="s">
        <v>953</v>
      </c>
      <c r="E8530" t="s">
        <v>1084</v>
      </c>
      <c r="F8530" t="s">
        <v>35</v>
      </c>
      <c r="G8530" t="s">
        <v>35</v>
      </c>
      <c r="H8530" t="s">
        <v>35</v>
      </c>
      <c r="J8530" t="s">
        <v>7252</v>
      </c>
      <c r="K8530" t="s">
        <v>1092</v>
      </c>
      <c r="M8530">
        <v>1</v>
      </c>
      <c r="N8530">
        <v>7</v>
      </c>
      <c r="O8530" t="s">
        <v>46</v>
      </c>
      <c r="Q8530" t="s">
        <v>2440</v>
      </c>
      <c r="R8530" t="s">
        <v>6891</v>
      </c>
      <c r="S8530" t="s">
        <v>1085</v>
      </c>
      <c r="T8530" t="s">
        <v>1086</v>
      </c>
    </row>
    <row r="8531" spans="1:20" x14ac:dyDescent="0.25">
      <c r="A8531" t="s">
        <v>59</v>
      </c>
      <c r="B8531" t="s">
        <v>60</v>
      </c>
      <c r="C8531" t="s">
        <v>32</v>
      </c>
      <c r="D8531" t="s">
        <v>953</v>
      </c>
      <c r="E8531" t="s">
        <v>1084</v>
      </c>
      <c r="F8531" t="s">
        <v>35</v>
      </c>
      <c r="G8531" t="s">
        <v>35</v>
      </c>
      <c r="H8531" t="s">
        <v>35</v>
      </c>
      <c r="J8531" t="s">
        <v>7798</v>
      </c>
      <c r="K8531" t="s">
        <v>1092</v>
      </c>
      <c r="M8531">
        <v>0.312</v>
      </c>
      <c r="N8531">
        <v>227</v>
      </c>
      <c r="O8531" t="s">
        <v>5</v>
      </c>
      <c r="Q8531" t="s">
        <v>1780</v>
      </c>
      <c r="R8531" t="s">
        <v>6891</v>
      </c>
      <c r="S8531" t="s">
        <v>1085</v>
      </c>
      <c r="T8531" t="s">
        <v>1086</v>
      </c>
    </row>
    <row r="8532" spans="1:20" x14ac:dyDescent="0.25">
      <c r="A8532" t="s">
        <v>30</v>
      </c>
      <c r="B8532" t="s">
        <v>31</v>
      </c>
      <c r="C8532" t="s">
        <v>32</v>
      </c>
      <c r="D8532" t="s">
        <v>953</v>
      </c>
      <c r="E8532" t="s">
        <v>1084</v>
      </c>
      <c r="F8532" t="s">
        <v>35</v>
      </c>
      <c r="G8532" t="s">
        <v>35</v>
      </c>
      <c r="H8532" t="s">
        <v>35</v>
      </c>
      <c r="J8532" t="s">
        <v>7798</v>
      </c>
      <c r="K8532" t="s">
        <v>1092</v>
      </c>
      <c r="M8532">
        <v>0.9</v>
      </c>
      <c r="N8532">
        <v>23</v>
      </c>
      <c r="O8532" t="s">
        <v>46</v>
      </c>
      <c r="Q8532" t="s">
        <v>793</v>
      </c>
      <c r="R8532" t="s">
        <v>6891</v>
      </c>
      <c r="S8532" t="s">
        <v>1085</v>
      </c>
      <c r="T8532" t="s">
        <v>1086</v>
      </c>
    </row>
    <row r="8533" spans="1:20" x14ac:dyDescent="0.25">
      <c r="A8533" t="s">
        <v>44</v>
      </c>
      <c r="B8533" t="s">
        <v>3</v>
      </c>
      <c r="C8533" t="s">
        <v>32</v>
      </c>
      <c r="D8533" t="s">
        <v>953</v>
      </c>
      <c r="E8533" t="s">
        <v>1084</v>
      </c>
      <c r="F8533" t="s">
        <v>35</v>
      </c>
      <c r="G8533" t="s">
        <v>35</v>
      </c>
      <c r="H8533" t="s">
        <v>35</v>
      </c>
      <c r="J8533" t="s">
        <v>7798</v>
      </c>
      <c r="K8533" t="s">
        <v>1092</v>
      </c>
      <c r="M8533">
        <v>0.2</v>
      </c>
      <c r="N8533">
        <v>227</v>
      </c>
      <c r="O8533" t="s">
        <v>5</v>
      </c>
      <c r="Q8533" t="s">
        <v>1780</v>
      </c>
      <c r="R8533" t="s">
        <v>6891</v>
      </c>
      <c r="S8533" t="s">
        <v>1085</v>
      </c>
      <c r="T8533" t="s">
        <v>1086</v>
      </c>
    </row>
    <row r="8534" spans="1:20" x14ac:dyDescent="0.25">
      <c r="A8534" t="s">
        <v>59</v>
      </c>
      <c r="B8534" t="s">
        <v>31</v>
      </c>
      <c r="C8534" t="s">
        <v>32</v>
      </c>
      <c r="D8534" t="s">
        <v>953</v>
      </c>
      <c r="E8534" t="s">
        <v>1084</v>
      </c>
      <c r="F8534" t="s">
        <v>35</v>
      </c>
      <c r="G8534" t="s">
        <v>35</v>
      </c>
      <c r="H8534" t="s">
        <v>35</v>
      </c>
      <c r="J8534" t="s">
        <v>7811</v>
      </c>
      <c r="K8534" t="s">
        <v>1092</v>
      </c>
      <c r="M8534">
        <v>9.5000000000000001E-2</v>
      </c>
      <c r="N8534">
        <v>209</v>
      </c>
      <c r="O8534" t="s">
        <v>5</v>
      </c>
      <c r="Q8534" t="s">
        <v>1492</v>
      </c>
      <c r="R8534" t="s">
        <v>6891</v>
      </c>
      <c r="S8534" t="s">
        <v>1085</v>
      </c>
      <c r="T8534" t="s">
        <v>1086</v>
      </c>
    </row>
    <row r="8535" spans="1:20" x14ac:dyDescent="0.25">
      <c r="A8535" t="s">
        <v>30</v>
      </c>
      <c r="B8535" t="s">
        <v>31</v>
      </c>
      <c r="C8535" t="s">
        <v>32</v>
      </c>
      <c r="D8535" t="s">
        <v>953</v>
      </c>
      <c r="E8535" t="s">
        <v>1084</v>
      </c>
      <c r="F8535" t="s">
        <v>35</v>
      </c>
      <c r="G8535" t="s">
        <v>35</v>
      </c>
      <c r="H8535" t="s">
        <v>35</v>
      </c>
      <c r="J8535" t="s">
        <v>7811</v>
      </c>
      <c r="K8535" t="s">
        <v>1092</v>
      </c>
      <c r="M8535">
        <v>0.22500000000000001</v>
      </c>
      <c r="N8535">
        <v>23</v>
      </c>
      <c r="O8535" t="s">
        <v>46</v>
      </c>
      <c r="Q8535" t="s">
        <v>793</v>
      </c>
      <c r="R8535" t="s">
        <v>6891</v>
      </c>
      <c r="S8535" t="s">
        <v>1085</v>
      </c>
      <c r="T8535" t="s">
        <v>1086</v>
      </c>
    </row>
    <row r="8536" spans="1:20" x14ac:dyDescent="0.25">
      <c r="A8536" t="s">
        <v>59</v>
      </c>
      <c r="B8536" t="s">
        <v>60</v>
      </c>
      <c r="C8536" t="s">
        <v>32</v>
      </c>
      <c r="D8536" t="s">
        <v>953</v>
      </c>
      <c r="E8536" t="s">
        <v>1084</v>
      </c>
      <c r="F8536" t="s">
        <v>35</v>
      </c>
      <c r="G8536" t="s">
        <v>35</v>
      </c>
      <c r="H8536" t="s">
        <v>35</v>
      </c>
      <c r="J8536" t="s">
        <v>7816</v>
      </c>
      <c r="K8536" t="s">
        <v>1092</v>
      </c>
      <c r="M8536">
        <v>0.03</v>
      </c>
      <c r="N8536">
        <v>257</v>
      </c>
      <c r="O8536" t="s">
        <v>5</v>
      </c>
      <c r="Q8536" t="s">
        <v>1721</v>
      </c>
      <c r="R8536" t="s">
        <v>6891</v>
      </c>
      <c r="S8536" t="s">
        <v>1085</v>
      </c>
      <c r="T8536" t="s">
        <v>1086</v>
      </c>
    </row>
    <row r="8537" spans="1:20" x14ac:dyDescent="0.25">
      <c r="A8537" t="s">
        <v>59</v>
      </c>
      <c r="B8537" t="s">
        <v>60</v>
      </c>
      <c r="C8537" t="s">
        <v>32</v>
      </c>
      <c r="D8537" t="s">
        <v>953</v>
      </c>
      <c r="E8537" t="s">
        <v>998</v>
      </c>
      <c r="F8537" t="s">
        <v>35</v>
      </c>
      <c r="G8537" t="s">
        <v>35</v>
      </c>
      <c r="H8537" t="s">
        <v>35</v>
      </c>
      <c r="J8537" t="s">
        <v>7259</v>
      </c>
      <c r="K8537" t="s">
        <v>1092</v>
      </c>
      <c r="M8537">
        <v>0.4</v>
      </c>
      <c r="N8537">
        <v>1085</v>
      </c>
      <c r="O8537" t="s">
        <v>575</v>
      </c>
      <c r="Q8537" t="s">
        <v>7260</v>
      </c>
      <c r="R8537" t="s">
        <v>6891</v>
      </c>
      <c r="S8537" t="s">
        <v>1085</v>
      </c>
      <c r="T8537" t="s">
        <v>1086</v>
      </c>
    </row>
    <row r="8538" spans="1:20" x14ac:dyDescent="0.25">
      <c r="A8538" t="s">
        <v>30</v>
      </c>
      <c r="B8538" t="s">
        <v>31</v>
      </c>
      <c r="C8538" t="s">
        <v>32</v>
      </c>
      <c r="D8538" t="s">
        <v>953</v>
      </c>
      <c r="E8538" t="s">
        <v>1084</v>
      </c>
      <c r="F8538" t="s">
        <v>35</v>
      </c>
      <c r="G8538" t="s">
        <v>35</v>
      </c>
      <c r="H8538" t="s">
        <v>35</v>
      </c>
      <c r="J8538" t="s">
        <v>7809</v>
      </c>
      <c r="K8538" t="s">
        <v>1092</v>
      </c>
      <c r="M8538">
        <v>0.40500000000000003</v>
      </c>
      <c r="N8538">
        <v>23</v>
      </c>
      <c r="O8538" t="s">
        <v>46</v>
      </c>
      <c r="Q8538" t="s">
        <v>793</v>
      </c>
      <c r="R8538" t="s">
        <v>6891</v>
      </c>
      <c r="S8538" t="s">
        <v>1085</v>
      </c>
      <c r="T8538" t="s">
        <v>1086</v>
      </c>
    </row>
    <row r="8539" spans="1:20" x14ac:dyDescent="0.25">
      <c r="A8539" t="s">
        <v>59</v>
      </c>
      <c r="B8539" t="s">
        <v>60</v>
      </c>
      <c r="C8539" t="s">
        <v>32</v>
      </c>
      <c r="D8539" t="s">
        <v>953</v>
      </c>
      <c r="E8539" t="s">
        <v>1084</v>
      </c>
      <c r="F8539" t="s">
        <v>35</v>
      </c>
      <c r="G8539" t="s">
        <v>35</v>
      </c>
      <c r="H8539" t="s">
        <v>35</v>
      </c>
      <c r="J8539" t="s">
        <v>7774</v>
      </c>
      <c r="K8539" t="s">
        <v>1092</v>
      </c>
      <c r="M8539">
        <v>0.7</v>
      </c>
      <c r="N8539">
        <v>61</v>
      </c>
      <c r="O8539" t="s">
        <v>61</v>
      </c>
      <c r="Q8539" t="s">
        <v>146</v>
      </c>
      <c r="R8539" t="s">
        <v>6891</v>
      </c>
      <c r="S8539" t="s">
        <v>1085</v>
      </c>
      <c r="T8539" t="s">
        <v>1086</v>
      </c>
    </row>
    <row r="8540" spans="1:20" x14ac:dyDescent="0.25">
      <c r="A8540" t="s">
        <v>59</v>
      </c>
      <c r="B8540" t="s">
        <v>60</v>
      </c>
      <c r="C8540" t="s">
        <v>32</v>
      </c>
      <c r="D8540" t="s">
        <v>953</v>
      </c>
      <c r="E8540" t="s">
        <v>1084</v>
      </c>
      <c r="F8540" t="s">
        <v>35</v>
      </c>
      <c r="G8540" t="s">
        <v>35</v>
      </c>
      <c r="H8540" t="s">
        <v>35</v>
      </c>
      <c r="J8540" t="s">
        <v>7774</v>
      </c>
      <c r="K8540" t="s">
        <v>1092</v>
      </c>
      <c r="M8540">
        <v>0.5</v>
      </c>
      <c r="N8540">
        <v>49</v>
      </c>
      <c r="O8540" t="s">
        <v>52</v>
      </c>
      <c r="Q8540" t="s">
        <v>453</v>
      </c>
      <c r="R8540" t="s">
        <v>6891</v>
      </c>
      <c r="S8540" t="s">
        <v>1085</v>
      </c>
      <c r="T8540" t="s">
        <v>1086</v>
      </c>
    </row>
    <row r="8541" spans="1:20" x14ac:dyDescent="0.25">
      <c r="A8541" t="s">
        <v>59</v>
      </c>
      <c r="B8541" t="s">
        <v>60</v>
      </c>
      <c r="C8541" t="s">
        <v>32</v>
      </c>
      <c r="D8541" t="s">
        <v>953</v>
      </c>
      <c r="E8541" t="s">
        <v>7842</v>
      </c>
      <c r="F8541" t="s">
        <v>35</v>
      </c>
      <c r="G8541" t="s">
        <v>35</v>
      </c>
      <c r="H8541" t="s">
        <v>35</v>
      </c>
      <c r="J8541" t="s">
        <v>7848</v>
      </c>
      <c r="K8541" t="s">
        <v>1092</v>
      </c>
      <c r="M8541">
        <v>0.3</v>
      </c>
      <c r="N8541">
        <v>174</v>
      </c>
      <c r="O8541" t="s">
        <v>38</v>
      </c>
      <c r="Q8541" t="s">
        <v>1684</v>
      </c>
      <c r="R8541" t="s">
        <v>6891</v>
      </c>
      <c r="S8541" t="s">
        <v>1085</v>
      </c>
      <c r="T8541" t="s">
        <v>1086</v>
      </c>
    </row>
    <row r="8542" spans="1:20" x14ac:dyDescent="0.25">
      <c r="A8542" t="s">
        <v>59</v>
      </c>
      <c r="B8542" t="s">
        <v>60</v>
      </c>
      <c r="C8542" t="s">
        <v>32</v>
      </c>
      <c r="D8542" t="s">
        <v>953</v>
      </c>
      <c r="E8542" t="s">
        <v>7842</v>
      </c>
      <c r="F8542" t="s">
        <v>35</v>
      </c>
      <c r="G8542" t="s">
        <v>35</v>
      </c>
      <c r="H8542" t="s">
        <v>35</v>
      </c>
      <c r="J8542" t="s">
        <v>7848</v>
      </c>
      <c r="K8542" t="s">
        <v>1092</v>
      </c>
      <c r="M8542">
        <v>0.5</v>
      </c>
      <c r="N8542">
        <v>142</v>
      </c>
      <c r="O8542" t="s">
        <v>38</v>
      </c>
      <c r="Q8542" t="s">
        <v>73</v>
      </c>
      <c r="R8542" t="s">
        <v>6891</v>
      </c>
      <c r="S8542" t="s">
        <v>1085</v>
      </c>
      <c r="T8542" t="s">
        <v>1086</v>
      </c>
    </row>
    <row r="8543" spans="1:20" x14ac:dyDescent="0.25">
      <c r="A8543" t="s">
        <v>59</v>
      </c>
      <c r="B8543" t="s">
        <v>60</v>
      </c>
      <c r="C8543" t="s">
        <v>32</v>
      </c>
      <c r="D8543" t="s">
        <v>953</v>
      </c>
      <c r="E8543" t="s">
        <v>7842</v>
      </c>
      <c r="F8543" t="s">
        <v>35</v>
      </c>
      <c r="G8543" t="s">
        <v>35</v>
      </c>
      <c r="H8543" t="s">
        <v>35</v>
      </c>
      <c r="J8543" t="s">
        <v>7848</v>
      </c>
      <c r="K8543" t="s">
        <v>1092</v>
      </c>
      <c r="M8543">
        <v>0.5</v>
      </c>
      <c r="N8543">
        <v>133</v>
      </c>
      <c r="O8543" t="s">
        <v>38</v>
      </c>
      <c r="Q8543" t="s">
        <v>609</v>
      </c>
      <c r="R8543" t="s">
        <v>6891</v>
      </c>
      <c r="S8543" t="s">
        <v>1085</v>
      </c>
      <c r="T8543" t="s">
        <v>1086</v>
      </c>
    </row>
    <row r="8544" spans="1:20" x14ac:dyDescent="0.25">
      <c r="A8544" t="s">
        <v>59</v>
      </c>
      <c r="B8544" t="s">
        <v>60</v>
      </c>
      <c r="C8544" t="s">
        <v>32</v>
      </c>
      <c r="D8544" t="s">
        <v>953</v>
      </c>
      <c r="E8544" t="s">
        <v>7842</v>
      </c>
      <c r="F8544" t="s">
        <v>35</v>
      </c>
      <c r="G8544" t="s">
        <v>35</v>
      </c>
      <c r="H8544" t="s">
        <v>35</v>
      </c>
      <c r="J8544" t="s">
        <v>7848</v>
      </c>
      <c r="K8544" t="s">
        <v>1092</v>
      </c>
      <c r="M8544">
        <v>1</v>
      </c>
      <c r="N8544">
        <v>32</v>
      </c>
      <c r="O8544" t="s">
        <v>52</v>
      </c>
      <c r="Q8544" t="s">
        <v>816</v>
      </c>
      <c r="R8544" t="s">
        <v>6891</v>
      </c>
      <c r="S8544" t="s">
        <v>1085</v>
      </c>
      <c r="T8544" t="s">
        <v>1086</v>
      </c>
    </row>
    <row r="8545" spans="1:20" x14ac:dyDescent="0.25">
      <c r="A8545" t="s">
        <v>59</v>
      </c>
      <c r="B8545" t="s">
        <v>60</v>
      </c>
      <c r="C8545" t="s">
        <v>32</v>
      </c>
      <c r="D8545" t="s">
        <v>953</v>
      </c>
      <c r="E8545" t="s">
        <v>7842</v>
      </c>
      <c r="F8545" t="s">
        <v>35</v>
      </c>
      <c r="G8545" t="s">
        <v>35</v>
      </c>
      <c r="H8545" t="s">
        <v>35</v>
      </c>
      <c r="J8545" t="s">
        <v>7870</v>
      </c>
      <c r="K8545" t="s">
        <v>1092</v>
      </c>
      <c r="M8545">
        <v>2.25</v>
      </c>
      <c r="N8545">
        <v>32</v>
      </c>
      <c r="O8545" t="s">
        <v>52</v>
      </c>
      <c r="Q8545" t="s">
        <v>816</v>
      </c>
      <c r="R8545" t="s">
        <v>6891</v>
      </c>
      <c r="S8545" t="s">
        <v>1085</v>
      </c>
      <c r="T8545" t="s">
        <v>1086</v>
      </c>
    </row>
    <row r="8546" spans="1:20" x14ac:dyDescent="0.25">
      <c r="A8546" t="s">
        <v>59</v>
      </c>
      <c r="B8546" t="s">
        <v>31</v>
      </c>
      <c r="C8546" t="s">
        <v>32</v>
      </c>
      <c r="D8546" t="s">
        <v>953</v>
      </c>
      <c r="E8546" t="s">
        <v>7842</v>
      </c>
      <c r="F8546" t="s">
        <v>35</v>
      </c>
      <c r="G8546" t="s">
        <v>35</v>
      </c>
      <c r="H8546" t="s">
        <v>35</v>
      </c>
      <c r="J8546" t="s">
        <v>7870</v>
      </c>
      <c r="K8546" t="s">
        <v>1092</v>
      </c>
      <c r="M8546">
        <v>4.4999999999999998E-2</v>
      </c>
      <c r="N8546">
        <v>82</v>
      </c>
      <c r="O8546" t="s">
        <v>61</v>
      </c>
      <c r="Q8546" t="s">
        <v>299</v>
      </c>
      <c r="R8546" t="s">
        <v>6891</v>
      </c>
      <c r="S8546" t="s">
        <v>1085</v>
      </c>
      <c r="T8546" t="s">
        <v>1086</v>
      </c>
    </row>
    <row r="8547" spans="1:20" x14ac:dyDescent="0.25">
      <c r="A8547" t="s">
        <v>30</v>
      </c>
      <c r="B8547" t="s">
        <v>31</v>
      </c>
      <c r="C8547" t="s">
        <v>32</v>
      </c>
      <c r="D8547" t="s">
        <v>953</v>
      </c>
      <c r="E8547" t="s">
        <v>7842</v>
      </c>
      <c r="F8547" t="s">
        <v>35</v>
      </c>
      <c r="G8547" t="s">
        <v>35</v>
      </c>
      <c r="H8547" t="s">
        <v>35</v>
      </c>
      <c r="J8547" t="s">
        <v>7870</v>
      </c>
      <c r="K8547" t="s">
        <v>1092</v>
      </c>
      <c r="M8547">
        <v>0.81</v>
      </c>
      <c r="N8547">
        <v>32</v>
      </c>
      <c r="O8547" t="s">
        <v>52</v>
      </c>
      <c r="Q8547" t="s">
        <v>816</v>
      </c>
      <c r="R8547" t="s">
        <v>6891</v>
      </c>
      <c r="S8547" t="s">
        <v>1085</v>
      </c>
      <c r="T8547" t="s">
        <v>1086</v>
      </c>
    </row>
    <row r="8548" spans="1:20" x14ac:dyDescent="0.25">
      <c r="A8548" t="s">
        <v>30</v>
      </c>
      <c r="B8548" t="s">
        <v>31</v>
      </c>
      <c r="C8548" t="s">
        <v>32</v>
      </c>
      <c r="D8548" t="s">
        <v>953</v>
      </c>
      <c r="E8548" t="s">
        <v>7842</v>
      </c>
      <c r="F8548" t="s">
        <v>35</v>
      </c>
      <c r="G8548" t="s">
        <v>35</v>
      </c>
      <c r="H8548" t="s">
        <v>35</v>
      </c>
      <c r="J8548" t="s">
        <v>7870</v>
      </c>
      <c r="K8548" t="s">
        <v>1092</v>
      </c>
      <c r="M8548">
        <v>1.35</v>
      </c>
      <c r="N8548">
        <v>23</v>
      </c>
      <c r="O8548" t="s">
        <v>46</v>
      </c>
      <c r="Q8548" t="s">
        <v>793</v>
      </c>
      <c r="R8548" t="s">
        <v>6891</v>
      </c>
      <c r="S8548" t="s">
        <v>1085</v>
      </c>
      <c r="T8548" t="s">
        <v>1086</v>
      </c>
    </row>
    <row r="8549" spans="1:20" x14ac:dyDescent="0.25">
      <c r="A8549" t="s">
        <v>59</v>
      </c>
      <c r="B8549" t="s">
        <v>60</v>
      </c>
      <c r="C8549" t="s">
        <v>32</v>
      </c>
      <c r="D8549" t="s">
        <v>953</v>
      </c>
      <c r="E8549" t="s">
        <v>1084</v>
      </c>
      <c r="F8549" t="s">
        <v>35</v>
      </c>
      <c r="G8549" t="s">
        <v>35</v>
      </c>
      <c r="H8549" t="s">
        <v>35</v>
      </c>
      <c r="J8549" t="s">
        <v>7802</v>
      </c>
      <c r="K8549" t="s">
        <v>1092</v>
      </c>
      <c r="M8549">
        <v>1.5</v>
      </c>
      <c r="N8549">
        <v>43</v>
      </c>
      <c r="O8549" t="s">
        <v>52</v>
      </c>
      <c r="Q8549" t="s">
        <v>425</v>
      </c>
      <c r="R8549" t="s">
        <v>6891</v>
      </c>
      <c r="S8549" t="s">
        <v>1085</v>
      </c>
      <c r="T8549" t="s">
        <v>1086</v>
      </c>
    </row>
    <row r="8550" spans="1:20" x14ac:dyDescent="0.25">
      <c r="A8550" t="s">
        <v>59</v>
      </c>
      <c r="B8550" t="s">
        <v>60</v>
      </c>
      <c r="C8550" t="s">
        <v>32</v>
      </c>
      <c r="D8550" t="s">
        <v>953</v>
      </c>
      <c r="E8550" t="s">
        <v>1084</v>
      </c>
      <c r="F8550" t="s">
        <v>35</v>
      </c>
      <c r="G8550" t="s">
        <v>35</v>
      </c>
      <c r="H8550" t="s">
        <v>35</v>
      </c>
      <c r="J8550" t="s">
        <v>7802</v>
      </c>
      <c r="K8550" t="s">
        <v>1092</v>
      </c>
      <c r="M8550">
        <v>0.82</v>
      </c>
      <c r="N8550">
        <v>61</v>
      </c>
      <c r="O8550" t="s">
        <v>61</v>
      </c>
      <c r="Q8550" t="s">
        <v>146</v>
      </c>
      <c r="R8550" t="s">
        <v>6891</v>
      </c>
      <c r="S8550" t="s">
        <v>1085</v>
      </c>
      <c r="T8550" t="s">
        <v>1086</v>
      </c>
    </row>
    <row r="8551" spans="1:20" x14ac:dyDescent="0.25">
      <c r="A8551" t="s">
        <v>59</v>
      </c>
      <c r="B8551" t="s">
        <v>60</v>
      </c>
      <c r="C8551" t="s">
        <v>32</v>
      </c>
      <c r="D8551" t="s">
        <v>953</v>
      </c>
      <c r="E8551" t="s">
        <v>1084</v>
      </c>
      <c r="F8551" t="s">
        <v>35</v>
      </c>
      <c r="G8551" t="s">
        <v>35</v>
      </c>
      <c r="H8551" t="s">
        <v>35</v>
      </c>
      <c r="J8551" t="s">
        <v>7832</v>
      </c>
      <c r="K8551" t="s">
        <v>1092</v>
      </c>
      <c r="M8551">
        <v>0.25</v>
      </c>
      <c r="N8551">
        <v>861</v>
      </c>
      <c r="O8551" t="s">
        <v>575</v>
      </c>
      <c r="Q8551" t="s">
        <v>5042</v>
      </c>
      <c r="R8551" t="s">
        <v>6891</v>
      </c>
      <c r="S8551" t="s">
        <v>1085</v>
      </c>
      <c r="T8551" t="s">
        <v>1086</v>
      </c>
    </row>
    <row r="8552" spans="1:20" x14ac:dyDescent="0.25">
      <c r="A8552" t="s">
        <v>59</v>
      </c>
      <c r="B8552" t="s">
        <v>60</v>
      </c>
      <c r="C8552" t="s">
        <v>32</v>
      </c>
      <c r="D8552" t="s">
        <v>953</v>
      </c>
      <c r="E8552" t="s">
        <v>1084</v>
      </c>
      <c r="F8552" t="s">
        <v>35</v>
      </c>
      <c r="G8552" t="s">
        <v>35</v>
      </c>
      <c r="H8552" t="s">
        <v>35</v>
      </c>
      <c r="J8552" t="s">
        <v>7832</v>
      </c>
      <c r="K8552" t="s">
        <v>1092</v>
      </c>
      <c r="M8552">
        <v>0.5</v>
      </c>
      <c r="N8552">
        <v>807</v>
      </c>
      <c r="O8552" t="s">
        <v>575</v>
      </c>
      <c r="Q8552" t="s">
        <v>2539</v>
      </c>
      <c r="R8552" t="s">
        <v>6891</v>
      </c>
      <c r="S8552" t="s">
        <v>1085</v>
      </c>
      <c r="T8552" t="s">
        <v>1086</v>
      </c>
    </row>
    <row r="8553" spans="1:20" x14ac:dyDescent="0.25">
      <c r="A8553" t="s">
        <v>59</v>
      </c>
      <c r="B8553" t="s">
        <v>60</v>
      </c>
      <c r="C8553" t="s">
        <v>32</v>
      </c>
      <c r="D8553" t="s">
        <v>953</v>
      </c>
      <c r="E8553" t="s">
        <v>998</v>
      </c>
      <c r="F8553" t="s">
        <v>35</v>
      </c>
      <c r="G8553" t="s">
        <v>35</v>
      </c>
      <c r="H8553" t="s">
        <v>35</v>
      </c>
      <c r="J8553" t="s">
        <v>7288</v>
      </c>
      <c r="K8553" t="s">
        <v>1092</v>
      </c>
      <c r="M8553">
        <v>0.5</v>
      </c>
      <c r="N8553">
        <v>32</v>
      </c>
      <c r="O8553" t="s">
        <v>52</v>
      </c>
      <c r="Q8553" t="s">
        <v>816</v>
      </c>
      <c r="R8553" t="s">
        <v>6891</v>
      </c>
      <c r="S8553" t="s">
        <v>1085</v>
      </c>
      <c r="T8553" t="s">
        <v>1086</v>
      </c>
    </row>
    <row r="8554" spans="1:20" x14ac:dyDescent="0.25">
      <c r="A8554" t="s">
        <v>59</v>
      </c>
      <c r="B8554" t="s">
        <v>60</v>
      </c>
      <c r="C8554" t="s">
        <v>32</v>
      </c>
      <c r="D8554" t="s">
        <v>953</v>
      </c>
      <c r="E8554" t="s">
        <v>998</v>
      </c>
      <c r="F8554" t="s">
        <v>35</v>
      </c>
      <c r="G8554" t="s">
        <v>35</v>
      </c>
      <c r="H8554" t="s">
        <v>35</v>
      </c>
      <c r="J8554" t="s">
        <v>7288</v>
      </c>
      <c r="K8554" t="s">
        <v>1092</v>
      </c>
      <c r="M8554">
        <v>0.25</v>
      </c>
      <c r="N8554">
        <v>220</v>
      </c>
      <c r="O8554" t="s">
        <v>5</v>
      </c>
      <c r="Q8554" t="s">
        <v>2236</v>
      </c>
      <c r="R8554" t="s">
        <v>6891</v>
      </c>
      <c r="S8554" t="s">
        <v>1085</v>
      </c>
      <c r="T8554" t="s">
        <v>1086</v>
      </c>
    </row>
    <row r="8555" spans="1:20" x14ac:dyDescent="0.25">
      <c r="A8555" t="s">
        <v>59</v>
      </c>
      <c r="B8555" t="s">
        <v>60</v>
      </c>
      <c r="C8555" t="s">
        <v>32</v>
      </c>
      <c r="D8555" t="s">
        <v>953</v>
      </c>
      <c r="E8555" t="s">
        <v>998</v>
      </c>
      <c r="F8555" t="s">
        <v>35</v>
      </c>
      <c r="G8555" t="s">
        <v>35</v>
      </c>
      <c r="H8555" t="s">
        <v>35</v>
      </c>
      <c r="J8555" t="s">
        <v>7288</v>
      </c>
      <c r="K8555" t="s">
        <v>1092</v>
      </c>
      <c r="M8555">
        <v>0.2</v>
      </c>
      <c r="N8555">
        <v>252</v>
      </c>
      <c r="O8555" t="s">
        <v>5</v>
      </c>
      <c r="Q8555" t="s">
        <v>1425</v>
      </c>
      <c r="R8555" t="s">
        <v>6891</v>
      </c>
      <c r="S8555" t="s">
        <v>1085</v>
      </c>
      <c r="T8555" t="s">
        <v>1086</v>
      </c>
    </row>
    <row r="8556" spans="1:20" x14ac:dyDescent="0.25">
      <c r="A8556" t="s">
        <v>59</v>
      </c>
      <c r="B8556" t="s">
        <v>60</v>
      </c>
      <c r="C8556" t="s">
        <v>32</v>
      </c>
      <c r="D8556" t="s">
        <v>953</v>
      </c>
      <c r="E8556" t="s">
        <v>998</v>
      </c>
      <c r="F8556" t="s">
        <v>35</v>
      </c>
      <c r="G8556" t="s">
        <v>35</v>
      </c>
      <c r="H8556" t="s">
        <v>35</v>
      </c>
      <c r="J8556" t="s">
        <v>7247</v>
      </c>
      <c r="K8556" t="s">
        <v>1092</v>
      </c>
      <c r="M8556">
        <v>2</v>
      </c>
      <c r="N8556">
        <v>56</v>
      </c>
      <c r="O8556" t="s">
        <v>52</v>
      </c>
      <c r="Q8556" t="s">
        <v>423</v>
      </c>
      <c r="R8556" t="s">
        <v>6891</v>
      </c>
      <c r="S8556" t="s">
        <v>1085</v>
      </c>
      <c r="T8556" t="s">
        <v>1086</v>
      </c>
    </row>
    <row r="8557" spans="1:20" x14ac:dyDescent="0.25">
      <c r="A8557" t="s">
        <v>59</v>
      </c>
      <c r="B8557" t="s">
        <v>60</v>
      </c>
      <c r="C8557" t="s">
        <v>32</v>
      </c>
      <c r="D8557" t="s">
        <v>953</v>
      </c>
      <c r="E8557" t="s">
        <v>998</v>
      </c>
      <c r="F8557" t="s">
        <v>35</v>
      </c>
      <c r="G8557" t="s">
        <v>35</v>
      </c>
      <c r="H8557" t="s">
        <v>35</v>
      </c>
      <c r="J8557" t="s">
        <v>7247</v>
      </c>
      <c r="K8557" t="s">
        <v>1092</v>
      </c>
      <c r="M8557">
        <v>1.5</v>
      </c>
      <c r="N8557">
        <v>32</v>
      </c>
      <c r="O8557" t="s">
        <v>52</v>
      </c>
      <c r="Q8557" t="s">
        <v>816</v>
      </c>
      <c r="R8557" t="s">
        <v>6891</v>
      </c>
      <c r="S8557" t="s">
        <v>1085</v>
      </c>
      <c r="T8557" t="s">
        <v>1086</v>
      </c>
    </row>
    <row r="8558" spans="1:20" x14ac:dyDescent="0.25">
      <c r="A8558" t="s">
        <v>30</v>
      </c>
      <c r="B8558" t="s">
        <v>31</v>
      </c>
      <c r="C8558" t="s">
        <v>32</v>
      </c>
      <c r="D8558" t="s">
        <v>953</v>
      </c>
      <c r="E8558" t="s">
        <v>1084</v>
      </c>
      <c r="F8558" t="s">
        <v>35</v>
      </c>
      <c r="G8558" t="s">
        <v>35</v>
      </c>
      <c r="H8558" t="s">
        <v>35</v>
      </c>
      <c r="J8558" t="s">
        <v>7801</v>
      </c>
      <c r="K8558" t="s">
        <v>1092</v>
      </c>
      <c r="M8558">
        <v>0.45</v>
      </c>
      <c r="N8558">
        <v>250</v>
      </c>
      <c r="O8558" t="s">
        <v>5</v>
      </c>
      <c r="Q8558" t="s">
        <v>1286</v>
      </c>
      <c r="R8558" t="s">
        <v>6891</v>
      </c>
      <c r="S8558" t="s">
        <v>1085</v>
      </c>
      <c r="T8558" t="s">
        <v>1086</v>
      </c>
    </row>
    <row r="8559" spans="1:20" x14ac:dyDescent="0.25">
      <c r="A8559" t="s">
        <v>59</v>
      </c>
      <c r="B8559" t="s">
        <v>31</v>
      </c>
      <c r="C8559" t="s">
        <v>32</v>
      </c>
      <c r="D8559" t="s">
        <v>953</v>
      </c>
      <c r="E8559" t="s">
        <v>1084</v>
      </c>
      <c r="F8559" t="s">
        <v>35</v>
      </c>
      <c r="G8559" t="s">
        <v>35</v>
      </c>
      <c r="H8559" t="s">
        <v>35</v>
      </c>
      <c r="J8559" t="s">
        <v>7801</v>
      </c>
      <c r="K8559" t="s">
        <v>1092</v>
      </c>
      <c r="M8559">
        <v>0.45</v>
      </c>
      <c r="N8559">
        <v>239</v>
      </c>
      <c r="O8559" t="s">
        <v>5</v>
      </c>
      <c r="Q8559" t="s">
        <v>1903</v>
      </c>
      <c r="R8559" t="s">
        <v>6891</v>
      </c>
      <c r="S8559" t="s">
        <v>1085</v>
      </c>
      <c r="T8559" t="s">
        <v>1086</v>
      </c>
    </row>
    <row r="8560" spans="1:20" x14ac:dyDescent="0.25">
      <c r="A8560" t="s">
        <v>59</v>
      </c>
      <c r="B8560" t="s">
        <v>31</v>
      </c>
      <c r="C8560" t="s">
        <v>32</v>
      </c>
      <c r="D8560" t="s">
        <v>953</v>
      </c>
      <c r="E8560" t="s">
        <v>1084</v>
      </c>
      <c r="F8560" t="s">
        <v>35</v>
      </c>
      <c r="G8560" t="s">
        <v>35</v>
      </c>
      <c r="H8560" t="s">
        <v>35</v>
      </c>
      <c r="J8560" t="s">
        <v>7801</v>
      </c>
      <c r="K8560" t="s">
        <v>1092</v>
      </c>
      <c r="M8560">
        <v>0.9</v>
      </c>
      <c r="N8560">
        <v>52</v>
      </c>
      <c r="O8560" t="s">
        <v>52</v>
      </c>
      <c r="Q8560" t="s">
        <v>84</v>
      </c>
      <c r="R8560" t="s">
        <v>6891</v>
      </c>
      <c r="S8560" t="s">
        <v>1085</v>
      </c>
      <c r="T8560" t="s">
        <v>1086</v>
      </c>
    </row>
    <row r="8561" spans="1:20" x14ac:dyDescent="0.25">
      <c r="A8561" t="s">
        <v>44</v>
      </c>
      <c r="B8561" t="s">
        <v>3</v>
      </c>
      <c r="C8561" t="s">
        <v>32</v>
      </c>
      <c r="D8561" t="s">
        <v>953</v>
      </c>
      <c r="E8561" t="s">
        <v>1084</v>
      </c>
      <c r="F8561" t="s">
        <v>35</v>
      </c>
      <c r="G8561" t="s">
        <v>35</v>
      </c>
      <c r="H8561" t="s">
        <v>35</v>
      </c>
      <c r="J8561" t="s">
        <v>7801</v>
      </c>
      <c r="K8561" t="s">
        <v>1092</v>
      </c>
      <c r="M8561">
        <v>0.25</v>
      </c>
      <c r="N8561">
        <v>448</v>
      </c>
      <c r="O8561" t="s">
        <v>294</v>
      </c>
      <c r="Q8561" t="s">
        <v>1760</v>
      </c>
      <c r="R8561" t="s">
        <v>6891</v>
      </c>
      <c r="S8561" t="s">
        <v>1085</v>
      </c>
      <c r="T8561" t="s">
        <v>1086</v>
      </c>
    </row>
    <row r="8562" spans="1:20" x14ac:dyDescent="0.25">
      <c r="A8562" t="s">
        <v>59</v>
      </c>
      <c r="B8562" t="s">
        <v>60</v>
      </c>
      <c r="C8562" t="s">
        <v>32</v>
      </c>
      <c r="D8562" t="s">
        <v>953</v>
      </c>
      <c r="E8562" t="s">
        <v>1084</v>
      </c>
      <c r="F8562" t="s">
        <v>35</v>
      </c>
      <c r="G8562" t="s">
        <v>35</v>
      </c>
      <c r="H8562" t="s">
        <v>35</v>
      </c>
      <c r="J8562" t="s">
        <v>7801</v>
      </c>
      <c r="K8562" t="s">
        <v>1092</v>
      </c>
      <c r="M8562">
        <v>0.1</v>
      </c>
      <c r="N8562">
        <v>301</v>
      </c>
      <c r="O8562" t="s">
        <v>5</v>
      </c>
      <c r="Q8562" t="s">
        <v>1567</v>
      </c>
      <c r="R8562" t="s">
        <v>6891</v>
      </c>
      <c r="S8562" t="s">
        <v>1085</v>
      </c>
      <c r="T8562" t="s">
        <v>1086</v>
      </c>
    </row>
    <row r="8563" spans="1:20" x14ac:dyDescent="0.25">
      <c r="A8563" t="s">
        <v>59</v>
      </c>
      <c r="B8563" t="s">
        <v>60</v>
      </c>
      <c r="C8563" t="s">
        <v>32</v>
      </c>
      <c r="D8563" t="s">
        <v>953</v>
      </c>
      <c r="E8563" t="s">
        <v>1084</v>
      </c>
      <c r="F8563" t="s">
        <v>35</v>
      </c>
      <c r="G8563" t="s">
        <v>35</v>
      </c>
      <c r="H8563" t="s">
        <v>35</v>
      </c>
      <c r="J8563" t="s">
        <v>7801</v>
      </c>
      <c r="K8563" t="s">
        <v>1092</v>
      </c>
      <c r="M8563">
        <v>0.5</v>
      </c>
      <c r="N8563">
        <v>280</v>
      </c>
      <c r="O8563" t="s">
        <v>5</v>
      </c>
      <c r="Q8563" t="s">
        <v>3688</v>
      </c>
      <c r="R8563" t="s">
        <v>6891</v>
      </c>
      <c r="S8563" t="s">
        <v>1085</v>
      </c>
      <c r="T8563" t="s">
        <v>1086</v>
      </c>
    </row>
    <row r="8564" spans="1:20" x14ac:dyDescent="0.25">
      <c r="A8564" t="s">
        <v>59</v>
      </c>
      <c r="B8564" t="s">
        <v>60</v>
      </c>
      <c r="C8564" t="s">
        <v>32</v>
      </c>
      <c r="D8564" t="s">
        <v>953</v>
      </c>
      <c r="E8564" t="s">
        <v>1084</v>
      </c>
      <c r="F8564" t="s">
        <v>35</v>
      </c>
      <c r="G8564" t="s">
        <v>35</v>
      </c>
      <c r="H8564" t="s">
        <v>35</v>
      </c>
      <c r="J8564" t="s">
        <v>7801</v>
      </c>
      <c r="K8564" t="s">
        <v>1092</v>
      </c>
      <c r="M8564">
        <v>0.25</v>
      </c>
      <c r="N8564">
        <v>275</v>
      </c>
      <c r="O8564" t="s">
        <v>5</v>
      </c>
      <c r="Q8564" t="s">
        <v>1225</v>
      </c>
      <c r="R8564" t="s">
        <v>6891</v>
      </c>
      <c r="S8564" t="s">
        <v>1085</v>
      </c>
      <c r="T8564" t="s">
        <v>1086</v>
      </c>
    </row>
    <row r="8565" spans="1:20" x14ac:dyDescent="0.25">
      <c r="A8565" t="s">
        <v>30</v>
      </c>
      <c r="B8565" t="s">
        <v>31</v>
      </c>
      <c r="C8565" t="s">
        <v>32</v>
      </c>
      <c r="D8565" t="s">
        <v>953</v>
      </c>
      <c r="E8565" t="s">
        <v>1084</v>
      </c>
      <c r="F8565" t="s">
        <v>35</v>
      </c>
      <c r="G8565" t="s">
        <v>35</v>
      </c>
      <c r="H8565" t="s">
        <v>35</v>
      </c>
      <c r="J8565" t="s">
        <v>7801</v>
      </c>
      <c r="K8565" t="s">
        <v>1092</v>
      </c>
      <c r="M8565">
        <v>4.4999999999999998E-2</v>
      </c>
      <c r="N8565">
        <v>253</v>
      </c>
      <c r="O8565" t="s">
        <v>5</v>
      </c>
      <c r="Q8565" t="s">
        <v>5106</v>
      </c>
      <c r="R8565" t="s">
        <v>6891</v>
      </c>
      <c r="S8565" t="s">
        <v>1085</v>
      </c>
      <c r="T8565" t="s">
        <v>1086</v>
      </c>
    </row>
    <row r="8566" spans="1:20" x14ac:dyDescent="0.25">
      <c r="A8566" t="s">
        <v>59</v>
      </c>
      <c r="B8566" t="s">
        <v>31</v>
      </c>
      <c r="C8566" t="s">
        <v>32</v>
      </c>
      <c r="D8566" t="s">
        <v>953</v>
      </c>
      <c r="E8566" t="s">
        <v>1084</v>
      </c>
      <c r="F8566" t="s">
        <v>35</v>
      </c>
      <c r="G8566" t="s">
        <v>35</v>
      </c>
      <c r="H8566" t="s">
        <v>35</v>
      </c>
      <c r="J8566" t="s">
        <v>7801</v>
      </c>
      <c r="K8566" t="s">
        <v>1092</v>
      </c>
      <c r="M8566">
        <v>0.45</v>
      </c>
      <c r="N8566">
        <v>86</v>
      </c>
      <c r="O8566" t="s">
        <v>61</v>
      </c>
      <c r="Q8566" t="s">
        <v>941</v>
      </c>
      <c r="R8566" t="s">
        <v>6891</v>
      </c>
      <c r="S8566" t="s">
        <v>1085</v>
      </c>
      <c r="T8566" t="s">
        <v>1086</v>
      </c>
    </row>
    <row r="8567" spans="1:20" x14ac:dyDescent="0.25">
      <c r="A8567" t="s">
        <v>30</v>
      </c>
      <c r="B8567" t="s">
        <v>31</v>
      </c>
      <c r="C8567" t="s">
        <v>32</v>
      </c>
      <c r="D8567" t="s">
        <v>953</v>
      </c>
      <c r="F8567" t="s">
        <v>35</v>
      </c>
      <c r="G8567" t="s">
        <v>35</v>
      </c>
      <c r="H8567" t="s">
        <v>35</v>
      </c>
      <c r="J8567" t="s">
        <v>8084</v>
      </c>
      <c r="K8567" t="s">
        <v>1092</v>
      </c>
      <c r="M8567">
        <v>0.40500000000000003</v>
      </c>
      <c r="N8567">
        <v>2182</v>
      </c>
      <c r="O8567" t="s">
        <v>575</v>
      </c>
      <c r="Q8567" t="s">
        <v>8066</v>
      </c>
      <c r="R8567" t="s">
        <v>8085</v>
      </c>
      <c r="S8567" t="s">
        <v>8086</v>
      </c>
      <c r="T8567" t="s">
        <v>8087</v>
      </c>
    </row>
    <row r="8568" spans="1:20" x14ac:dyDescent="0.25">
      <c r="A8568" t="s">
        <v>59</v>
      </c>
      <c r="B8568" t="s">
        <v>60</v>
      </c>
      <c r="C8568" t="s">
        <v>32</v>
      </c>
      <c r="D8568" t="s">
        <v>953</v>
      </c>
      <c r="F8568" t="s">
        <v>35</v>
      </c>
      <c r="G8568" t="s">
        <v>35</v>
      </c>
      <c r="H8568" t="s">
        <v>35</v>
      </c>
      <c r="J8568" t="s">
        <v>8084</v>
      </c>
      <c r="K8568" t="s">
        <v>1092</v>
      </c>
      <c r="M8568">
        <v>1.5</v>
      </c>
      <c r="N8568">
        <v>2182</v>
      </c>
      <c r="O8568" t="s">
        <v>575</v>
      </c>
      <c r="Q8568" t="s">
        <v>8066</v>
      </c>
      <c r="R8568" t="s">
        <v>8085</v>
      </c>
      <c r="S8568" t="s">
        <v>8086</v>
      </c>
      <c r="T8568" t="s">
        <v>8087</v>
      </c>
    </row>
    <row r="8569" spans="1:20" x14ac:dyDescent="0.25">
      <c r="A8569" t="s">
        <v>30</v>
      </c>
      <c r="B8569" t="s">
        <v>31</v>
      </c>
      <c r="C8569" t="s">
        <v>32</v>
      </c>
      <c r="D8569" t="s">
        <v>953</v>
      </c>
      <c r="E8569" t="s">
        <v>1015</v>
      </c>
      <c r="F8569" t="s">
        <v>35</v>
      </c>
      <c r="G8569" t="s">
        <v>35</v>
      </c>
      <c r="H8569" t="s">
        <v>35</v>
      </c>
      <c r="J8569" t="s">
        <v>134</v>
      </c>
      <c r="K8569" t="s">
        <v>37</v>
      </c>
      <c r="M8569">
        <v>9.99</v>
      </c>
      <c r="N8569">
        <v>9</v>
      </c>
      <c r="O8569" t="s">
        <v>46</v>
      </c>
      <c r="P8569" t="s">
        <v>1051</v>
      </c>
      <c r="Q8569" t="s">
        <v>323</v>
      </c>
      <c r="R8569" t="s">
        <v>169</v>
      </c>
      <c r="S8569" t="s">
        <v>123</v>
      </c>
      <c r="T8569" t="s">
        <v>124</v>
      </c>
    </row>
    <row r="8570" spans="1:20" x14ac:dyDescent="0.25">
      <c r="A8570" t="s">
        <v>30</v>
      </c>
      <c r="B8570" t="s">
        <v>31</v>
      </c>
      <c r="C8570" t="s">
        <v>32</v>
      </c>
      <c r="D8570" t="s">
        <v>953</v>
      </c>
      <c r="E8570" t="s">
        <v>1015</v>
      </c>
      <c r="F8570" t="s">
        <v>35</v>
      </c>
      <c r="G8570" t="s">
        <v>35</v>
      </c>
      <c r="H8570" t="s">
        <v>35</v>
      </c>
      <c r="J8570" t="s">
        <v>134</v>
      </c>
      <c r="K8570" t="s">
        <v>37</v>
      </c>
      <c r="M8570">
        <v>21.15</v>
      </c>
      <c r="N8570">
        <v>4</v>
      </c>
      <c r="O8570" t="s">
        <v>46</v>
      </c>
      <c r="P8570" t="s">
        <v>1052</v>
      </c>
      <c r="Q8570" t="s">
        <v>1053</v>
      </c>
      <c r="R8570" t="s">
        <v>169</v>
      </c>
      <c r="S8570" t="s">
        <v>123</v>
      </c>
      <c r="T8570" t="s">
        <v>124</v>
      </c>
    </row>
    <row r="8571" spans="1:20" x14ac:dyDescent="0.25">
      <c r="A8571" t="s">
        <v>44</v>
      </c>
      <c r="B8571" t="s">
        <v>51</v>
      </c>
      <c r="C8571" t="s">
        <v>32</v>
      </c>
      <c r="D8571" t="s">
        <v>953</v>
      </c>
      <c r="E8571" t="s">
        <v>1015</v>
      </c>
      <c r="F8571" t="s">
        <v>35</v>
      </c>
      <c r="G8571" t="s">
        <v>35</v>
      </c>
      <c r="H8571" t="s">
        <v>35</v>
      </c>
      <c r="J8571" t="s">
        <v>134</v>
      </c>
      <c r="K8571" t="s">
        <v>37</v>
      </c>
      <c r="M8571">
        <v>10</v>
      </c>
      <c r="N8571">
        <v>6</v>
      </c>
      <c r="O8571" t="s">
        <v>46</v>
      </c>
      <c r="P8571" t="s">
        <v>1058</v>
      </c>
      <c r="Q8571" t="s">
        <v>310</v>
      </c>
      <c r="R8571" t="s">
        <v>169</v>
      </c>
      <c r="S8571" t="s">
        <v>123</v>
      </c>
      <c r="T8571" t="s">
        <v>124</v>
      </c>
    </row>
    <row r="8572" spans="1:20" x14ac:dyDescent="0.25">
      <c r="A8572" t="s">
        <v>44</v>
      </c>
      <c r="B8572" t="s">
        <v>51</v>
      </c>
      <c r="C8572" t="s">
        <v>32</v>
      </c>
      <c r="D8572" t="s">
        <v>953</v>
      </c>
      <c r="E8572" t="s">
        <v>1015</v>
      </c>
      <c r="F8572" t="s">
        <v>35</v>
      </c>
      <c r="G8572" t="s">
        <v>35</v>
      </c>
      <c r="H8572" t="s">
        <v>35</v>
      </c>
      <c r="J8572" t="s">
        <v>134</v>
      </c>
      <c r="K8572" t="s">
        <v>37</v>
      </c>
      <c r="M8572">
        <v>0.3</v>
      </c>
      <c r="N8572">
        <v>44</v>
      </c>
      <c r="O8572" t="s">
        <v>52</v>
      </c>
      <c r="P8572" t="s">
        <v>1058</v>
      </c>
      <c r="Q8572" t="s">
        <v>54</v>
      </c>
      <c r="R8572" t="s">
        <v>169</v>
      </c>
      <c r="S8572" t="s">
        <v>123</v>
      </c>
      <c r="T8572" t="s">
        <v>124</v>
      </c>
    </row>
    <row r="8573" spans="1:20" x14ac:dyDescent="0.25">
      <c r="A8573" t="s">
        <v>59</v>
      </c>
      <c r="B8573" t="s">
        <v>60</v>
      </c>
      <c r="C8573" t="s">
        <v>32</v>
      </c>
      <c r="D8573" t="s">
        <v>953</v>
      </c>
      <c r="E8573" t="s">
        <v>1015</v>
      </c>
      <c r="F8573" t="s">
        <v>35</v>
      </c>
      <c r="G8573" t="s">
        <v>35</v>
      </c>
      <c r="H8573" t="s">
        <v>35</v>
      </c>
      <c r="J8573" t="s">
        <v>134</v>
      </c>
      <c r="K8573" t="s">
        <v>37</v>
      </c>
      <c r="M8573">
        <v>3.72</v>
      </c>
      <c r="N8573">
        <v>52</v>
      </c>
      <c r="O8573" t="s">
        <v>52</v>
      </c>
      <c r="P8573" t="s">
        <v>1061</v>
      </c>
      <c r="Q8573" t="s">
        <v>84</v>
      </c>
      <c r="R8573" t="s">
        <v>169</v>
      </c>
      <c r="S8573" t="s">
        <v>123</v>
      </c>
      <c r="T8573" t="s">
        <v>124</v>
      </c>
    </row>
    <row r="8574" spans="1:20" x14ac:dyDescent="0.25">
      <c r="A8574" t="s">
        <v>59</v>
      </c>
      <c r="B8574" t="s">
        <v>31</v>
      </c>
      <c r="C8574" t="s">
        <v>32</v>
      </c>
      <c r="D8574" t="s">
        <v>953</v>
      </c>
      <c r="F8574" t="s">
        <v>35</v>
      </c>
      <c r="G8574" t="s">
        <v>35</v>
      </c>
      <c r="H8574" t="s">
        <v>35</v>
      </c>
      <c r="J8574" t="s">
        <v>8047</v>
      </c>
      <c r="K8574" t="s">
        <v>1092</v>
      </c>
      <c r="M8574">
        <v>1.35</v>
      </c>
      <c r="N8574">
        <v>2550</v>
      </c>
      <c r="O8574" t="s">
        <v>575</v>
      </c>
      <c r="Q8574" t="s">
        <v>8052</v>
      </c>
      <c r="R8574" t="s">
        <v>8053</v>
      </c>
      <c r="S8574" t="s">
        <v>8054</v>
      </c>
      <c r="T8574" t="s">
        <v>8055</v>
      </c>
    </row>
    <row r="8575" spans="1:20" x14ac:dyDescent="0.25">
      <c r="A8575" t="s">
        <v>30</v>
      </c>
      <c r="B8575" t="s">
        <v>31</v>
      </c>
      <c r="C8575" t="s">
        <v>32</v>
      </c>
      <c r="D8575" t="s">
        <v>953</v>
      </c>
      <c r="F8575" t="s">
        <v>35</v>
      </c>
      <c r="G8575" t="s">
        <v>35</v>
      </c>
      <c r="H8575" t="s">
        <v>35</v>
      </c>
      <c r="J8575" t="s">
        <v>7953</v>
      </c>
      <c r="K8575" t="s">
        <v>1092</v>
      </c>
      <c r="M8575">
        <v>2.3849999999999998</v>
      </c>
      <c r="N8575">
        <v>2065</v>
      </c>
      <c r="O8575" t="s">
        <v>575</v>
      </c>
      <c r="Q8575" t="s">
        <v>7954</v>
      </c>
      <c r="R8575" t="s">
        <v>7955</v>
      </c>
      <c r="S8575" t="s">
        <v>7956</v>
      </c>
      <c r="T8575" t="s">
        <v>7540</v>
      </c>
    </row>
    <row r="8576" spans="1:20" x14ac:dyDescent="0.25">
      <c r="A8576" t="s">
        <v>59</v>
      </c>
      <c r="B8576" t="s">
        <v>60</v>
      </c>
      <c r="C8576" t="s">
        <v>32</v>
      </c>
      <c r="D8576" t="s">
        <v>953</v>
      </c>
      <c r="E8576" t="s">
        <v>7467</v>
      </c>
      <c r="F8576" t="s">
        <v>35</v>
      </c>
      <c r="G8576" t="s">
        <v>35</v>
      </c>
      <c r="H8576" t="s">
        <v>35</v>
      </c>
      <c r="J8576" t="s">
        <v>7475</v>
      </c>
      <c r="K8576" t="s">
        <v>1092</v>
      </c>
      <c r="M8576">
        <v>0.15</v>
      </c>
      <c r="N8576">
        <v>462</v>
      </c>
      <c r="O8576" t="s">
        <v>294</v>
      </c>
      <c r="Q8576" t="s">
        <v>3662</v>
      </c>
      <c r="R8576" t="s">
        <v>7476</v>
      </c>
      <c r="S8576" t="s">
        <v>7477</v>
      </c>
      <c r="T8576" t="s">
        <v>7478</v>
      </c>
    </row>
    <row r="8577" spans="1:20" x14ac:dyDescent="0.25">
      <c r="A8577" t="s">
        <v>59</v>
      </c>
      <c r="B8577" t="s">
        <v>60</v>
      </c>
      <c r="C8577" t="s">
        <v>32</v>
      </c>
      <c r="D8577" t="s">
        <v>953</v>
      </c>
      <c r="F8577" t="s">
        <v>35</v>
      </c>
      <c r="G8577" t="s">
        <v>35</v>
      </c>
      <c r="H8577" t="s">
        <v>35</v>
      </c>
      <c r="J8577" t="s">
        <v>7905</v>
      </c>
      <c r="K8577" t="s">
        <v>1092</v>
      </c>
      <c r="M8577">
        <v>1.0649999999999999</v>
      </c>
      <c r="N8577">
        <v>548</v>
      </c>
      <c r="O8577" t="s">
        <v>575</v>
      </c>
      <c r="Q8577" t="s">
        <v>4974</v>
      </c>
      <c r="R8577" t="s">
        <v>7476</v>
      </c>
      <c r="S8577" t="s">
        <v>7477</v>
      </c>
      <c r="T8577" t="s">
        <v>7478</v>
      </c>
    </row>
    <row r="8578" spans="1:20" x14ac:dyDescent="0.25">
      <c r="A8578" t="s">
        <v>59</v>
      </c>
      <c r="B8578" t="s">
        <v>60</v>
      </c>
      <c r="C8578" t="s">
        <v>32</v>
      </c>
      <c r="D8578" t="s">
        <v>953</v>
      </c>
      <c r="F8578" t="s">
        <v>35</v>
      </c>
      <c r="G8578" t="s">
        <v>35</v>
      </c>
      <c r="H8578" t="s">
        <v>35</v>
      </c>
      <c r="J8578" t="s">
        <v>7996</v>
      </c>
      <c r="K8578" t="s">
        <v>1092</v>
      </c>
      <c r="M8578">
        <v>0.01</v>
      </c>
      <c r="N8578">
        <v>1871</v>
      </c>
      <c r="O8578" t="s">
        <v>575</v>
      </c>
      <c r="Q8578" t="s">
        <v>2763</v>
      </c>
      <c r="R8578" t="s">
        <v>7476</v>
      </c>
      <c r="S8578" t="s">
        <v>7477</v>
      </c>
      <c r="T8578" t="s">
        <v>7478</v>
      </c>
    </row>
    <row r="8579" spans="1:20" x14ac:dyDescent="0.25">
      <c r="A8579" t="s">
        <v>59</v>
      </c>
      <c r="B8579" t="s">
        <v>31</v>
      </c>
      <c r="C8579" t="s">
        <v>32</v>
      </c>
      <c r="D8579" t="s">
        <v>953</v>
      </c>
      <c r="F8579" t="s">
        <v>35</v>
      </c>
      <c r="G8579" t="s">
        <v>35</v>
      </c>
      <c r="H8579" t="s">
        <v>35</v>
      </c>
      <c r="J8579" t="s">
        <v>7996</v>
      </c>
      <c r="K8579" t="s">
        <v>1092</v>
      </c>
      <c r="M8579">
        <v>0.28999999999999998</v>
      </c>
      <c r="N8579">
        <v>1857</v>
      </c>
      <c r="O8579" t="s">
        <v>575</v>
      </c>
      <c r="Q8579" t="s">
        <v>5934</v>
      </c>
      <c r="R8579" t="s">
        <v>7476</v>
      </c>
      <c r="S8579" t="s">
        <v>7477</v>
      </c>
      <c r="T8579" t="s">
        <v>7478</v>
      </c>
    </row>
    <row r="8580" spans="1:20" x14ac:dyDescent="0.25">
      <c r="A8580" t="s">
        <v>59</v>
      </c>
      <c r="B8580" t="s">
        <v>60</v>
      </c>
      <c r="C8580" t="s">
        <v>32</v>
      </c>
      <c r="D8580" t="s">
        <v>953</v>
      </c>
      <c r="E8580" t="s">
        <v>1077</v>
      </c>
      <c r="F8580" t="s">
        <v>35</v>
      </c>
      <c r="G8580" t="s">
        <v>35</v>
      </c>
      <c r="H8580" t="s">
        <v>35</v>
      </c>
      <c r="J8580" t="s">
        <v>7181</v>
      </c>
      <c r="K8580" t="s">
        <v>1092</v>
      </c>
      <c r="M8580">
        <v>0.115</v>
      </c>
      <c r="N8580">
        <v>1813</v>
      </c>
      <c r="O8580" t="s">
        <v>575</v>
      </c>
      <c r="Q8580" t="s">
        <v>7679</v>
      </c>
      <c r="R8580" t="s">
        <v>7680</v>
      </c>
      <c r="S8580" t="s">
        <v>7681</v>
      </c>
      <c r="T8580" t="s">
        <v>7682</v>
      </c>
    </row>
    <row r="8581" spans="1:20" x14ac:dyDescent="0.25">
      <c r="A8581" t="s">
        <v>59</v>
      </c>
      <c r="B8581" t="s">
        <v>60</v>
      </c>
      <c r="C8581" t="s">
        <v>32</v>
      </c>
      <c r="D8581" t="s">
        <v>953</v>
      </c>
      <c r="E8581" t="s">
        <v>998</v>
      </c>
      <c r="F8581" t="s">
        <v>35</v>
      </c>
      <c r="G8581" t="s">
        <v>35</v>
      </c>
      <c r="H8581" t="s">
        <v>35</v>
      </c>
      <c r="J8581" t="s">
        <v>7254</v>
      </c>
      <c r="K8581" t="s">
        <v>1092</v>
      </c>
      <c r="M8581">
        <v>0.1</v>
      </c>
      <c r="N8581">
        <v>1908</v>
      </c>
      <c r="O8581" t="s">
        <v>575</v>
      </c>
      <c r="Q8581" t="s">
        <v>2088</v>
      </c>
      <c r="R8581" t="s">
        <v>7255</v>
      </c>
      <c r="S8581" t="s">
        <v>7256</v>
      </c>
      <c r="T8581" t="s">
        <v>7257</v>
      </c>
    </row>
    <row r="8582" spans="1:20" x14ac:dyDescent="0.25">
      <c r="A8582" t="s">
        <v>59</v>
      </c>
      <c r="B8582" t="s">
        <v>31</v>
      </c>
      <c r="C8582" t="s">
        <v>32</v>
      </c>
      <c r="D8582" t="s">
        <v>953</v>
      </c>
      <c r="F8582" t="s">
        <v>35</v>
      </c>
      <c r="G8582" t="s">
        <v>35</v>
      </c>
      <c r="H8582" t="s">
        <v>35</v>
      </c>
      <c r="J8582" t="s">
        <v>8045</v>
      </c>
      <c r="K8582" t="s">
        <v>1092</v>
      </c>
      <c r="M8582">
        <v>0.125</v>
      </c>
      <c r="N8582">
        <v>2165</v>
      </c>
      <c r="O8582" t="s">
        <v>575</v>
      </c>
      <c r="Q8582" t="s">
        <v>8046</v>
      </c>
      <c r="R8582" t="s">
        <v>7255</v>
      </c>
      <c r="S8582" t="s">
        <v>7256</v>
      </c>
      <c r="T8582" t="s">
        <v>7257</v>
      </c>
    </row>
    <row r="8583" spans="1:20" x14ac:dyDescent="0.25">
      <c r="A8583" t="s">
        <v>30</v>
      </c>
      <c r="B8583" t="s">
        <v>31</v>
      </c>
      <c r="C8583" t="s">
        <v>32</v>
      </c>
      <c r="D8583" t="s">
        <v>953</v>
      </c>
      <c r="E8583" t="s">
        <v>1084</v>
      </c>
      <c r="F8583" t="s">
        <v>35</v>
      </c>
      <c r="G8583" t="s">
        <v>35</v>
      </c>
      <c r="H8583" t="s">
        <v>35</v>
      </c>
      <c r="J8583" t="s">
        <v>7772</v>
      </c>
      <c r="K8583" t="s">
        <v>1092</v>
      </c>
      <c r="M8583">
        <v>0.18</v>
      </c>
      <c r="N8583">
        <v>287</v>
      </c>
      <c r="O8583" t="s">
        <v>5</v>
      </c>
      <c r="Q8583" t="s">
        <v>1418</v>
      </c>
      <c r="R8583" t="s">
        <v>7613</v>
      </c>
      <c r="S8583" t="s">
        <v>7614</v>
      </c>
      <c r="T8583" t="s">
        <v>7599</v>
      </c>
    </row>
    <row r="8584" spans="1:20" x14ac:dyDescent="0.25">
      <c r="A8584" t="s">
        <v>30</v>
      </c>
      <c r="B8584" t="s">
        <v>31</v>
      </c>
      <c r="C8584" t="s">
        <v>32</v>
      </c>
      <c r="D8584" t="s">
        <v>953</v>
      </c>
      <c r="E8584" t="s">
        <v>1077</v>
      </c>
      <c r="F8584" t="s">
        <v>35</v>
      </c>
      <c r="G8584" t="s">
        <v>35</v>
      </c>
      <c r="H8584" t="s">
        <v>35</v>
      </c>
      <c r="J8584" t="s">
        <v>7731</v>
      </c>
      <c r="K8584" t="s">
        <v>1092</v>
      </c>
      <c r="M8584">
        <v>0.54</v>
      </c>
      <c r="N8584">
        <v>283</v>
      </c>
      <c r="O8584" t="s">
        <v>5</v>
      </c>
      <c r="Q8584" t="s">
        <v>4463</v>
      </c>
      <c r="R8584" t="s">
        <v>7613</v>
      </c>
      <c r="S8584" t="s">
        <v>7614</v>
      </c>
      <c r="T8584" t="s">
        <v>7599</v>
      </c>
    </row>
    <row r="8585" spans="1:20" x14ac:dyDescent="0.25">
      <c r="A8585" t="s">
        <v>30</v>
      </c>
      <c r="B8585" t="s">
        <v>31</v>
      </c>
      <c r="C8585" t="s">
        <v>32</v>
      </c>
      <c r="D8585" t="s">
        <v>953</v>
      </c>
      <c r="E8585" t="s">
        <v>7558</v>
      </c>
      <c r="F8585" t="s">
        <v>35</v>
      </c>
      <c r="G8585" t="s">
        <v>35</v>
      </c>
      <c r="H8585" t="s">
        <v>35</v>
      </c>
      <c r="J8585" t="s">
        <v>7612</v>
      </c>
      <c r="K8585" t="s">
        <v>1092</v>
      </c>
      <c r="M8585">
        <v>0.58499999999999996</v>
      </c>
      <c r="N8585">
        <v>264</v>
      </c>
      <c r="O8585" t="s">
        <v>5</v>
      </c>
      <c r="Q8585" t="s">
        <v>1881</v>
      </c>
      <c r="R8585" t="s">
        <v>7613</v>
      </c>
      <c r="S8585" t="s">
        <v>7614</v>
      </c>
      <c r="T8585" t="s">
        <v>7599</v>
      </c>
    </row>
    <row r="8586" spans="1:20" x14ac:dyDescent="0.25">
      <c r="A8586" t="s">
        <v>30</v>
      </c>
      <c r="B8586" t="s">
        <v>31</v>
      </c>
      <c r="C8586" t="s">
        <v>32</v>
      </c>
      <c r="D8586" t="s">
        <v>953</v>
      </c>
      <c r="E8586" t="s">
        <v>7558</v>
      </c>
      <c r="F8586" t="s">
        <v>35</v>
      </c>
      <c r="G8586" t="s">
        <v>35</v>
      </c>
      <c r="H8586" t="s">
        <v>35</v>
      </c>
      <c r="J8586" t="s">
        <v>7615</v>
      </c>
      <c r="K8586" t="s">
        <v>1092</v>
      </c>
      <c r="M8586">
        <v>0.18</v>
      </c>
      <c r="N8586">
        <v>298</v>
      </c>
      <c r="O8586" t="s">
        <v>5</v>
      </c>
      <c r="Q8586" t="s">
        <v>4947</v>
      </c>
      <c r="R8586" t="s">
        <v>7613</v>
      </c>
      <c r="S8586" t="s">
        <v>7614</v>
      </c>
      <c r="T8586" t="s">
        <v>7599</v>
      </c>
    </row>
    <row r="8587" spans="1:20" x14ac:dyDescent="0.25">
      <c r="A8587" t="s">
        <v>59</v>
      </c>
      <c r="B8587" t="s">
        <v>60</v>
      </c>
      <c r="C8587" t="s">
        <v>32</v>
      </c>
      <c r="D8587" t="s">
        <v>953</v>
      </c>
      <c r="E8587" t="s">
        <v>998</v>
      </c>
      <c r="F8587" t="s">
        <v>35</v>
      </c>
      <c r="G8587" t="s">
        <v>35</v>
      </c>
      <c r="H8587" t="s">
        <v>35</v>
      </c>
      <c r="J8587" t="s">
        <v>999</v>
      </c>
      <c r="K8587" t="s">
        <v>37</v>
      </c>
      <c r="M8587">
        <v>10</v>
      </c>
      <c r="N8587">
        <v>37</v>
      </c>
      <c r="O8587" t="s">
        <v>52</v>
      </c>
      <c r="P8587" t="s">
        <v>1001</v>
      </c>
      <c r="Q8587" t="s">
        <v>192</v>
      </c>
      <c r="R8587" t="s">
        <v>436</v>
      </c>
      <c r="S8587" t="s">
        <v>437</v>
      </c>
      <c r="T8587" t="s">
        <v>438</v>
      </c>
    </row>
    <row r="8588" spans="1:20" x14ac:dyDescent="0.25">
      <c r="A8588" t="s">
        <v>59</v>
      </c>
      <c r="B8588" t="s">
        <v>60</v>
      </c>
      <c r="C8588" t="s">
        <v>32</v>
      </c>
      <c r="D8588" t="s">
        <v>953</v>
      </c>
      <c r="E8588" t="s">
        <v>1077</v>
      </c>
      <c r="F8588" t="s">
        <v>35</v>
      </c>
      <c r="G8588" t="s">
        <v>35</v>
      </c>
      <c r="H8588" t="s">
        <v>35</v>
      </c>
      <c r="J8588" t="s">
        <v>7716</v>
      </c>
      <c r="K8588" t="s">
        <v>1092</v>
      </c>
      <c r="M8588">
        <v>1</v>
      </c>
      <c r="N8588">
        <v>674</v>
      </c>
      <c r="O8588" t="s">
        <v>575</v>
      </c>
      <c r="Q8588" t="s">
        <v>7717</v>
      </c>
      <c r="R8588" t="s">
        <v>7581</v>
      </c>
      <c r="S8588" t="s">
        <v>7562</v>
      </c>
      <c r="T8588" t="s">
        <v>7563</v>
      </c>
    </row>
    <row r="8589" spans="1:20" x14ac:dyDescent="0.25">
      <c r="A8589" t="s">
        <v>59</v>
      </c>
      <c r="B8589" t="s">
        <v>60</v>
      </c>
      <c r="C8589" t="s">
        <v>32</v>
      </c>
      <c r="D8589" t="s">
        <v>953</v>
      </c>
      <c r="E8589" t="s">
        <v>1077</v>
      </c>
      <c r="F8589" t="s">
        <v>35</v>
      </c>
      <c r="G8589" t="s">
        <v>35</v>
      </c>
      <c r="H8589" t="s">
        <v>35</v>
      </c>
      <c r="J8589" t="s">
        <v>7716</v>
      </c>
      <c r="K8589" t="s">
        <v>1092</v>
      </c>
      <c r="M8589">
        <v>0.05</v>
      </c>
      <c r="N8589">
        <v>686</v>
      </c>
      <c r="O8589" t="s">
        <v>575</v>
      </c>
      <c r="Q8589" t="s">
        <v>7283</v>
      </c>
      <c r="R8589" t="s">
        <v>7581</v>
      </c>
      <c r="S8589" t="s">
        <v>7562</v>
      </c>
      <c r="T8589" t="s">
        <v>7563</v>
      </c>
    </row>
    <row r="8590" spans="1:20" x14ac:dyDescent="0.25">
      <c r="A8590" t="s">
        <v>59</v>
      </c>
      <c r="B8590" t="s">
        <v>60</v>
      </c>
      <c r="C8590" t="s">
        <v>32</v>
      </c>
      <c r="D8590" t="s">
        <v>953</v>
      </c>
      <c r="F8590" t="s">
        <v>35</v>
      </c>
      <c r="G8590" t="s">
        <v>35</v>
      </c>
      <c r="H8590" t="s">
        <v>35</v>
      </c>
      <c r="J8590" t="s">
        <v>1314</v>
      </c>
      <c r="K8590" t="s">
        <v>1092</v>
      </c>
      <c r="M8590">
        <v>0.25</v>
      </c>
      <c r="N8590">
        <v>751</v>
      </c>
      <c r="O8590" t="s">
        <v>575</v>
      </c>
      <c r="Q8590" t="s">
        <v>7906</v>
      </c>
      <c r="R8590" t="s">
        <v>7581</v>
      </c>
      <c r="S8590" t="s">
        <v>7562</v>
      </c>
      <c r="T8590" t="s">
        <v>7563</v>
      </c>
    </row>
    <row r="8591" spans="1:20" x14ac:dyDescent="0.25">
      <c r="A8591" t="s">
        <v>59</v>
      </c>
      <c r="B8591" t="s">
        <v>60</v>
      </c>
      <c r="C8591" t="s">
        <v>32</v>
      </c>
      <c r="D8591" t="s">
        <v>953</v>
      </c>
      <c r="F8591" t="s">
        <v>35</v>
      </c>
      <c r="G8591" t="s">
        <v>35</v>
      </c>
      <c r="H8591" t="s">
        <v>35</v>
      </c>
      <c r="J8591" t="s">
        <v>1314</v>
      </c>
      <c r="K8591" t="s">
        <v>1092</v>
      </c>
      <c r="M8591">
        <v>0.4</v>
      </c>
      <c r="N8591">
        <v>743</v>
      </c>
      <c r="O8591" t="s">
        <v>575</v>
      </c>
      <c r="Q8591" t="s">
        <v>7907</v>
      </c>
      <c r="R8591" t="s">
        <v>7581</v>
      </c>
      <c r="S8591" t="s">
        <v>7562</v>
      </c>
      <c r="T8591" t="s">
        <v>7563</v>
      </c>
    </row>
    <row r="8592" spans="1:20" x14ac:dyDescent="0.25">
      <c r="A8592" t="s">
        <v>59</v>
      </c>
      <c r="B8592" t="s">
        <v>60</v>
      </c>
      <c r="C8592" t="s">
        <v>32</v>
      </c>
      <c r="D8592" t="s">
        <v>953</v>
      </c>
      <c r="E8592" t="s">
        <v>7558</v>
      </c>
      <c r="F8592" t="s">
        <v>35</v>
      </c>
      <c r="G8592" t="s">
        <v>35</v>
      </c>
      <c r="H8592" t="s">
        <v>35</v>
      </c>
      <c r="J8592" t="s">
        <v>7578</v>
      </c>
      <c r="K8592" t="s">
        <v>1092</v>
      </c>
      <c r="M8592">
        <v>0.5</v>
      </c>
      <c r="N8592">
        <v>700</v>
      </c>
      <c r="O8592" t="s">
        <v>575</v>
      </c>
      <c r="Q8592" t="s">
        <v>7580</v>
      </c>
      <c r="R8592" t="s">
        <v>7581</v>
      </c>
      <c r="S8592" t="s">
        <v>7562</v>
      </c>
      <c r="T8592" t="s">
        <v>7563</v>
      </c>
    </row>
    <row r="8593" spans="1:19" x14ac:dyDescent="0.25">
      <c r="A8593" t="s">
        <v>44</v>
      </c>
      <c r="B8593" t="s">
        <v>3</v>
      </c>
      <c r="C8593" t="s">
        <v>32</v>
      </c>
      <c r="D8593" t="s">
        <v>953</v>
      </c>
      <c r="E8593" t="s">
        <v>1077</v>
      </c>
      <c r="F8593" t="s">
        <v>35</v>
      </c>
      <c r="G8593" t="s">
        <v>35</v>
      </c>
      <c r="H8593" t="s">
        <v>35</v>
      </c>
      <c r="J8593" t="s">
        <v>1078</v>
      </c>
      <c r="K8593" t="s">
        <v>37</v>
      </c>
      <c r="M8593">
        <v>4.4000000000000004</v>
      </c>
      <c r="N8593">
        <v>62</v>
      </c>
      <c r="O8593" t="s">
        <v>61</v>
      </c>
      <c r="P8593" t="s">
        <v>1080</v>
      </c>
      <c r="Q8593" t="s">
        <v>139</v>
      </c>
      <c r="R8593" t="s">
        <v>91</v>
      </c>
      <c r="S8593" t="s">
        <v>92</v>
      </c>
    </row>
    <row r="8594" spans="1:19" x14ac:dyDescent="0.25">
      <c r="A8594" t="s">
        <v>30</v>
      </c>
      <c r="B8594" t="s">
        <v>31</v>
      </c>
      <c r="C8594" t="s">
        <v>32</v>
      </c>
      <c r="D8594" t="s">
        <v>953</v>
      </c>
      <c r="E8594" t="s">
        <v>1077</v>
      </c>
      <c r="F8594" t="s">
        <v>35</v>
      </c>
      <c r="G8594" t="s">
        <v>35</v>
      </c>
      <c r="H8594" t="s">
        <v>35</v>
      </c>
      <c r="J8594" t="s">
        <v>1078</v>
      </c>
      <c r="K8594" t="s">
        <v>37</v>
      </c>
      <c r="M8594">
        <v>6.39</v>
      </c>
      <c r="N8594">
        <v>42</v>
      </c>
      <c r="O8594" t="s">
        <v>52</v>
      </c>
      <c r="P8594" t="s">
        <v>1081</v>
      </c>
      <c r="Q8594" t="s">
        <v>219</v>
      </c>
      <c r="R8594" t="s">
        <v>91</v>
      </c>
      <c r="S8594" t="s">
        <v>92</v>
      </c>
    </row>
    <row r="8595" spans="1:19" x14ac:dyDescent="0.25">
      <c r="A8595" t="s">
        <v>44</v>
      </c>
      <c r="B8595" t="s">
        <v>51</v>
      </c>
      <c r="C8595" t="s">
        <v>32</v>
      </c>
      <c r="D8595" t="s">
        <v>953</v>
      </c>
      <c r="E8595" t="s">
        <v>1077</v>
      </c>
      <c r="F8595" t="s">
        <v>35</v>
      </c>
      <c r="G8595" t="s">
        <v>35</v>
      </c>
      <c r="H8595" t="s">
        <v>35</v>
      </c>
      <c r="J8595" t="s">
        <v>1078</v>
      </c>
      <c r="K8595" t="s">
        <v>37</v>
      </c>
      <c r="M8595">
        <v>0.15</v>
      </c>
      <c r="N8595">
        <v>55</v>
      </c>
      <c r="O8595" t="s">
        <v>52</v>
      </c>
      <c r="P8595" t="s">
        <v>1082</v>
      </c>
      <c r="Q8595" t="s">
        <v>90</v>
      </c>
      <c r="R8595" t="s">
        <v>91</v>
      </c>
      <c r="S8595" t="s">
        <v>92</v>
      </c>
    </row>
    <row r="8596" spans="1:19" x14ac:dyDescent="0.25">
      <c r="A8596" t="s">
        <v>30</v>
      </c>
      <c r="B8596" t="s">
        <v>31</v>
      </c>
      <c r="C8596" t="s">
        <v>32</v>
      </c>
      <c r="D8596" t="s">
        <v>953</v>
      </c>
      <c r="E8596" t="s">
        <v>1077</v>
      </c>
      <c r="F8596" t="s">
        <v>35</v>
      </c>
      <c r="G8596" t="s">
        <v>35</v>
      </c>
      <c r="H8596" t="s">
        <v>35</v>
      </c>
      <c r="J8596" t="s">
        <v>1078</v>
      </c>
      <c r="K8596" t="s">
        <v>37</v>
      </c>
      <c r="M8596">
        <v>39.96</v>
      </c>
      <c r="N8596">
        <v>19</v>
      </c>
      <c r="O8596" t="s">
        <v>46</v>
      </c>
      <c r="P8596" t="s">
        <v>1083</v>
      </c>
      <c r="Q8596" t="s">
        <v>94</v>
      </c>
      <c r="R8596" t="s">
        <v>91</v>
      </c>
      <c r="S8596" t="s">
        <v>92</v>
      </c>
    </row>
    <row r="8597" spans="1:19" x14ac:dyDescent="0.25">
      <c r="A8597" t="s">
        <v>59</v>
      </c>
      <c r="B8597" t="s">
        <v>31</v>
      </c>
      <c r="C8597" t="s">
        <v>32</v>
      </c>
      <c r="D8597" t="s">
        <v>953</v>
      </c>
      <c r="E8597" t="s">
        <v>1015</v>
      </c>
      <c r="F8597" t="s">
        <v>35</v>
      </c>
      <c r="G8597" t="s">
        <v>35</v>
      </c>
      <c r="H8597" t="s">
        <v>35</v>
      </c>
      <c r="J8597" t="s">
        <v>974</v>
      </c>
      <c r="K8597" t="s">
        <v>37</v>
      </c>
      <c r="M8597">
        <v>4.32</v>
      </c>
      <c r="N8597">
        <v>58</v>
      </c>
      <c r="O8597" t="s">
        <v>52</v>
      </c>
      <c r="P8597" t="s">
        <v>1046</v>
      </c>
      <c r="Q8597" t="s">
        <v>128</v>
      </c>
      <c r="R8597" t="s">
        <v>91</v>
      </c>
      <c r="S8597" t="s">
        <v>92</v>
      </c>
    </row>
    <row r="8598" spans="1:19" x14ac:dyDescent="0.25">
      <c r="A8598" t="s">
        <v>59</v>
      </c>
      <c r="B8598" t="s">
        <v>60</v>
      </c>
      <c r="C8598" t="s">
        <v>32</v>
      </c>
      <c r="D8598" t="s">
        <v>953</v>
      </c>
      <c r="E8598" t="s">
        <v>1015</v>
      </c>
      <c r="F8598" t="s">
        <v>35</v>
      </c>
      <c r="G8598" t="s">
        <v>35</v>
      </c>
      <c r="H8598" t="s">
        <v>35</v>
      </c>
      <c r="J8598" t="s">
        <v>974</v>
      </c>
      <c r="K8598" t="s">
        <v>37</v>
      </c>
      <c r="M8598">
        <v>1</v>
      </c>
      <c r="N8598">
        <v>87</v>
      </c>
      <c r="O8598" t="s">
        <v>61</v>
      </c>
      <c r="P8598" t="s">
        <v>1047</v>
      </c>
      <c r="Q8598" t="s">
        <v>394</v>
      </c>
      <c r="R8598" t="s">
        <v>91</v>
      </c>
      <c r="S8598" t="s">
        <v>92</v>
      </c>
    </row>
    <row r="8599" spans="1:19" x14ac:dyDescent="0.25">
      <c r="A8599" t="s">
        <v>59</v>
      </c>
      <c r="B8599" t="s">
        <v>60</v>
      </c>
      <c r="C8599" t="s">
        <v>32</v>
      </c>
      <c r="D8599" t="s">
        <v>953</v>
      </c>
      <c r="E8599" t="s">
        <v>1015</v>
      </c>
      <c r="F8599" t="s">
        <v>35</v>
      </c>
      <c r="G8599" t="s">
        <v>35</v>
      </c>
      <c r="H8599" t="s">
        <v>35</v>
      </c>
      <c r="J8599" t="s">
        <v>974</v>
      </c>
      <c r="K8599" t="s">
        <v>37</v>
      </c>
      <c r="M8599">
        <v>20</v>
      </c>
      <c r="N8599">
        <v>58</v>
      </c>
      <c r="O8599" t="s">
        <v>52</v>
      </c>
      <c r="P8599" t="s">
        <v>1048</v>
      </c>
      <c r="Q8599" t="s">
        <v>128</v>
      </c>
      <c r="R8599" t="s">
        <v>91</v>
      </c>
      <c r="S8599" t="s">
        <v>92</v>
      </c>
    </row>
    <row r="8600" spans="1:19" x14ac:dyDescent="0.25">
      <c r="A8600" t="s">
        <v>44</v>
      </c>
      <c r="B8600" t="s">
        <v>51</v>
      </c>
      <c r="C8600" t="s">
        <v>32</v>
      </c>
      <c r="D8600" t="s">
        <v>953</v>
      </c>
      <c r="E8600" t="s">
        <v>954</v>
      </c>
      <c r="F8600" t="s">
        <v>35</v>
      </c>
      <c r="G8600" t="s">
        <v>35</v>
      </c>
      <c r="H8600" t="s">
        <v>35</v>
      </c>
      <c r="J8600" t="s">
        <v>961</v>
      </c>
      <c r="K8600" t="s">
        <v>37</v>
      </c>
      <c r="M8600">
        <v>36.950000000000003</v>
      </c>
      <c r="N8600">
        <v>55</v>
      </c>
      <c r="O8600" t="s">
        <v>52</v>
      </c>
      <c r="P8600" t="s">
        <v>963</v>
      </c>
      <c r="Q8600" t="s">
        <v>90</v>
      </c>
      <c r="R8600" t="s">
        <v>91</v>
      </c>
      <c r="S8600" t="s">
        <v>92</v>
      </c>
    </row>
    <row r="8601" spans="1:19" x14ac:dyDescent="0.25">
      <c r="A8601" t="s">
        <v>30</v>
      </c>
      <c r="B8601" t="s">
        <v>31</v>
      </c>
      <c r="C8601" t="s">
        <v>32</v>
      </c>
      <c r="D8601" t="s">
        <v>953</v>
      </c>
      <c r="E8601" t="s">
        <v>954</v>
      </c>
      <c r="F8601" t="s">
        <v>35</v>
      </c>
      <c r="G8601" t="s">
        <v>35</v>
      </c>
      <c r="H8601" t="s">
        <v>35</v>
      </c>
      <c r="J8601" t="s">
        <v>961</v>
      </c>
      <c r="K8601" t="s">
        <v>37</v>
      </c>
      <c r="M8601">
        <v>3.8250000000000002</v>
      </c>
      <c r="N8601">
        <v>19</v>
      </c>
      <c r="O8601" t="s">
        <v>46</v>
      </c>
      <c r="P8601" t="s">
        <v>964</v>
      </c>
      <c r="Q8601" t="s">
        <v>94</v>
      </c>
      <c r="R8601" t="s">
        <v>91</v>
      </c>
      <c r="S8601" t="s">
        <v>92</v>
      </c>
    </row>
    <row r="8602" spans="1:19" x14ac:dyDescent="0.25">
      <c r="A8602" t="s">
        <v>44</v>
      </c>
      <c r="B8602" t="s">
        <v>3</v>
      </c>
      <c r="C8602" t="s">
        <v>32</v>
      </c>
      <c r="D8602" t="s">
        <v>953</v>
      </c>
      <c r="E8602" t="s">
        <v>954</v>
      </c>
      <c r="F8602" t="s">
        <v>35</v>
      </c>
      <c r="G8602" t="s">
        <v>35</v>
      </c>
      <c r="H8602" t="s">
        <v>35</v>
      </c>
      <c r="J8602" t="s">
        <v>961</v>
      </c>
      <c r="K8602" t="s">
        <v>37</v>
      </c>
      <c r="M8602">
        <v>11.05</v>
      </c>
      <c r="N8602">
        <v>62</v>
      </c>
      <c r="O8602" t="s">
        <v>61</v>
      </c>
      <c r="P8602" t="s">
        <v>965</v>
      </c>
      <c r="Q8602" t="s">
        <v>139</v>
      </c>
      <c r="R8602" t="s">
        <v>91</v>
      </c>
      <c r="S8602" t="s">
        <v>92</v>
      </c>
    </row>
    <row r="8603" spans="1:19" x14ac:dyDescent="0.25">
      <c r="A8603" t="s">
        <v>59</v>
      </c>
      <c r="B8603" t="s">
        <v>31</v>
      </c>
      <c r="C8603" t="s">
        <v>32</v>
      </c>
      <c r="D8603" t="s">
        <v>953</v>
      </c>
      <c r="E8603" t="s">
        <v>954</v>
      </c>
      <c r="F8603" t="s">
        <v>35</v>
      </c>
      <c r="G8603" t="s">
        <v>35</v>
      </c>
      <c r="H8603" t="s">
        <v>35</v>
      </c>
      <c r="J8603" t="s">
        <v>961</v>
      </c>
      <c r="K8603" t="s">
        <v>37</v>
      </c>
      <c r="M8603">
        <v>0.36</v>
      </c>
      <c r="N8603">
        <v>58</v>
      </c>
      <c r="O8603" t="s">
        <v>52</v>
      </c>
      <c r="P8603" t="s">
        <v>966</v>
      </c>
      <c r="Q8603" t="s">
        <v>128</v>
      </c>
      <c r="R8603" t="s">
        <v>91</v>
      </c>
      <c r="S8603" t="s">
        <v>92</v>
      </c>
    </row>
    <row r="8604" spans="1:19" x14ac:dyDescent="0.25">
      <c r="A8604" t="s">
        <v>44</v>
      </c>
      <c r="B8604" t="s">
        <v>3</v>
      </c>
      <c r="C8604" t="s">
        <v>32</v>
      </c>
      <c r="D8604" t="s">
        <v>953</v>
      </c>
      <c r="E8604" t="s">
        <v>954</v>
      </c>
      <c r="F8604" t="s">
        <v>35</v>
      </c>
      <c r="G8604" t="s">
        <v>35</v>
      </c>
      <c r="H8604" t="s">
        <v>35</v>
      </c>
      <c r="J8604" t="s">
        <v>961</v>
      </c>
      <c r="K8604" t="s">
        <v>37</v>
      </c>
      <c r="M8604">
        <v>10</v>
      </c>
      <c r="N8604">
        <v>62</v>
      </c>
      <c r="O8604" t="s">
        <v>61</v>
      </c>
      <c r="P8604" t="s">
        <v>967</v>
      </c>
      <c r="Q8604" t="s">
        <v>139</v>
      </c>
      <c r="R8604" t="s">
        <v>91</v>
      </c>
      <c r="S8604" t="s">
        <v>92</v>
      </c>
    </row>
    <row r="8605" spans="1:19" x14ac:dyDescent="0.25">
      <c r="A8605" t="s">
        <v>44</v>
      </c>
      <c r="B8605" t="s">
        <v>3</v>
      </c>
      <c r="C8605" t="s">
        <v>32</v>
      </c>
      <c r="D8605" t="s">
        <v>953</v>
      </c>
      <c r="E8605" t="s">
        <v>1015</v>
      </c>
      <c r="F8605" t="s">
        <v>35</v>
      </c>
      <c r="G8605" t="s">
        <v>35</v>
      </c>
      <c r="H8605" t="s">
        <v>35</v>
      </c>
      <c r="J8605" t="s">
        <v>988</v>
      </c>
      <c r="K8605" t="s">
        <v>37</v>
      </c>
      <c r="M8605">
        <v>15</v>
      </c>
      <c r="N8605">
        <v>62</v>
      </c>
      <c r="O8605" t="s">
        <v>61</v>
      </c>
      <c r="P8605" t="s">
        <v>1049</v>
      </c>
      <c r="Q8605" t="s">
        <v>139</v>
      </c>
      <c r="R8605" t="s">
        <v>91</v>
      </c>
      <c r="S8605" t="s">
        <v>92</v>
      </c>
    </row>
    <row r="8606" spans="1:19" x14ac:dyDescent="0.25">
      <c r="A8606" t="s">
        <v>44</v>
      </c>
      <c r="B8606" t="s">
        <v>3</v>
      </c>
      <c r="C8606" t="s">
        <v>32</v>
      </c>
      <c r="D8606" t="s">
        <v>953</v>
      </c>
      <c r="E8606" t="s">
        <v>1015</v>
      </c>
      <c r="F8606" t="s">
        <v>35</v>
      </c>
      <c r="G8606" t="s">
        <v>35</v>
      </c>
      <c r="H8606" t="s">
        <v>35</v>
      </c>
      <c r="J8606" t="s">
        <v>988</v>
      </c>
      <c r="K8606" t="s">
        <v>37</v>
      </c>
      <c r="M8606">
        <v>30</v>
      </c>
      <c r="N8606">
        <v>61</v>
      </c>
      <c r="O8606" t="s">
        <v>61</v>
      </c>
      <c r="P8606" t="s">
        <v>1050</v>
      </c>
      <c r="Q8606" t="s">
        <v>146</v>
      </c>
      <c r="R8606" t="s">
        <v>91</v>
      </c>
      <c r="S8606" t="s">
        <v>92</v>
      </c>
    </row>
    <row r="8607" spans="1:19" x14ac:dyDescent="0.25">
      <c r="A8607" t="s">
        <v>30</v>
      </c>
      <c r="B8607" t="s">
        <v>31</v>
      </c>
      <c r="C8607" t="s">
        <v>32</v>
      </c>
      <c r="D8607" t="s">
        <v>953</v>
      </c>
      <c r="E8607" t="s">
        <v>954</v>
      </c>
      <c r="F8607" t="s">
        <v>35</v>
      </c>
      <c r="G8607" t="s">
        <v>35</v>
      </c>
      <c r="H8607" t="s">
        <v>35</v>
      </c>
      <c r="J8607" t="s">
        <v>955</v>
      </c>
      <c r="K8607" t="s">
        <v>37</v>
      </c>
      <c r="M8607">
        <v>14.31</v>
      </c>
      <c r="N8607">
        <v>19</v>
      </c>
      <c r="O8607" t="s">
        <v>46</v>
      </c>
      <c r="P8607" t="s">
        <v>957</v>
      </c>
      <c r="Q8607" t="s">
        <v>94</v>
      </c>
      <c r="R8607" t="s">
        <v>91</v>
      </c>
      <c r="S8607" t="s">
        <v>92</v>
      </c>
    </row>
    <row r="8608" spans="1:19" x14ac:dyDescent="0.25">
      <c r="A8608" t="s">
        <v>30</v>
      </c>
      <c r="B8608" t="s">
        <v>31</v>
      </c>
      <c r="C8608" t="s">
        <v>32</v>
      </c>
      <c r="D8608" t="s">
        <v>953</v>
      </c>
      <c r="E8608" t="s">
        <v>954</v>
      </c>
      <c r="F8608" t="s">
        <v>35</v>
      </c>
      <c r="G8608" t="s">
        <v>35</v>
      </c>
      <c r="H8608" t="s">
        <v>35</v>
      </c>
      <c r="J8608" t="s">
        <v>955</v>
      </c>
      <c r="K8608" t="s">
        <v>37</v>
      </c>
      <c r="M8608">
        <v>15.93</v>
      </c>
      <c r="N8608">
        <v>19</v>
      </c>
      <c r="O8608" t="s">
        <v>46</v>
      </c>
      <c r="P8608" t="s">
        <v>958</v>
      </c>
      <c r="Q8608" t="s">
        <v>94</v>
      </c>
      <c r="R8608" t="s">
        <v>91</v>
      </c>
      <c r="S8608" t="s">
        <v>92</v>
      </c>
    </row>
    <row r="8609" spans="1:19" x14ac:dyDescent="0.25">
      <c r="A8609" t="s">
        <v>44</v>
      </c>
      <c r="B8609" t="s">
        <v>3</v>
      </c>
      <c r="C8609" t="s">
        <v>32</v>
      </c>
      <c r="D8609" t="s">
        <v>953</v>
      </c>
      <c r="E8609" t="s">
        <v>954</v>
      </c>
      <c r="F8609" t="s">
        <v>35</v>
      </c>
      <c r="G8609" t="s">
        <v>35</v>
      </c>
      <c r="H8609" t="s">
        <v>35</v>
      </c>
      <c r="J8609" t="s">
        <v>955</v>
      </c>
      <c r="K8609" t="s">
        <v>37</v>
      </c>
      <c r="M8609">
        <v>50</v>
      </c>
      <c r="N8609">
        <v>62</v>
      </c>
      <c r="O8609" t="s">
        <v>61</v>
      </c>
      <c r="P8609" t="s">
        <v>959</v>
      </c>
      <c r="Q8609" t="s">
        <v>139</v>
      </c>
      <c r="R8609" t="s">
        <v>91</v>
      </c>
      <c r="S8609" t="s">
        <v>92</v>
      </c>
    </row>
    <row r="8610" spans="1:19" x14ac:dyDescent="0.25">
      <c r="A8610" t="s">
        <v>44</v>
      </c>
      <c r="B8610" t="s">
        <v>51</v>
      </c>
      <c r="C8610" t="s">
        <v>32</v>
      </c>
      <c r="D8610" t="s">
        <v>953</v>
      </c>
      <c r="E8610" t="s">
        <v>954</v>
      </c>
      <c r="F8610" t="s">
        <v>35</v>
      </c>
      <c r="G8610" t="s">
        <v>35</v>
      </c>
      <c r="H8610" t="s">
        <v>35</v>
      </c>
      <c r="J8610" t="s">
        <v>955</v>
      </c>
      <c r="K8610" t="s">
        <v>37</v>
      </c>
      <c r="M8610">
        <v>24.05</v>
      </c>
      <c r="N8610">
        <v>55</v>
      </c>
      <c r="O8610" t="s">
        <v>52</v>
      </c>
      <c r="P8610" t="s">
        <v>960</v>
      </c>
      <c r="Q8610" t="s">
        <v>90</v>
      </c>
      <c r="R8610" t="s">
        <v>91</v>
      </c>
      <c r="S8610" t="s">
        <v>92</v>
      </c>
    </row>
    <row r="8611" spans="1:19" x14ac:dyDescent="0.25">
      <c r="A8611" t="s">
        <v>44</v>
      </c>
      <c r="B8611" t="s">
        <v>3</v>
      </c>
      <c r="C8611" t="s">
        <v>32</v>
      </c>
      <c r="D8611" t="s">
        <v>953</v>
      </c>
      <c r="E8611" t="s">
        <v>1015</v>
      </c>
      <c r="F8611" t="s">
        <v>35</v>
      </c>
      <c r="G8611" t="s">
        <v>35</v>
      </c>
      <c r="H8611" t="s">
        <v>35</v>
      </c>
      <c r="J8611" t="s">
        <v>134</v>
      </c>
      <c r="K8611" t="s">
        <v>37</v>
      </c>
      <c r="M8611">
        <v>55</v>
      </c>
      <c r="N8611">
        <v>37</v>
      </c>
      <c r="O8611" t="s">
        <v>52</v>
      </c>
      <c r="P8611" t="s">
        <v>1054</v>
      </c>
      <c r="Q8611" t="s">
        <v>192</v>
      </c>
      <c r="R8611" t="s">
        <v>91</v>
      </c>
      <c r="S8611" t="s">
        <v>92</v>
      </c>
    </row>
    <row r="8612" spans="1:19" x14ac:dyDescent="0.25">
      <c r="A8612" t="s">
        <v>59</v>
      </c>
      <c r="B8612" t="s">
        <v>31</v>
      </c>
      <c r="C8612" t="s">
        <v>32</v>
      </c>
      <c r="D8612" t="s">
        <v>953</v>
      </c>
      <c r="E8612" t="s">
        <v>1015</v>
      </c>
      <c r="F8612" t="s">
        <v>35</v>
      </c>
      <c r="G8612" t="s">
        <v>35</v>
      </c>
      <c r="H8612" t="s">
        <v>35</v>
      </c>
      <c r="J8612" t="s">
        <v>134</v>
      </c>
      <c r="K8612" t="s">
        <v>37</v>
      </c>
      <c r="M8612">
        <v>0.09</v>
      </c>
      <c r="N8612">
        <v>58</v>
      </c>
      <c r="O8612" t="s">
        <v>52</v>
      </c>
      <c r="P8612" t="s">
        <v>1055</v>
      </c>
      <c r="Q8612" t="s">
        <v>128</v>
      </c>
      <c r="R8612" t="s">
        <v>91</v>
      </c>
      <c r="S8612" t="s">
        <v>92</v>
      </c>
    </row>
    <row r="8613" spans="1:19" x14ac:dyDescent="0.25">
      <c r="A8613" t="s">
        <v>44</v>
      </c>
      <c r="B8613" t="s">
        <v>3</v>
      </c>
      <c r="C8613" t="s">
        <v>32</v>
      </c>
      <c r="D8613" t="s">
        <v>953</v>
      </c>
      <c r="E8613" t="s">
        <v>1015</v>
      </c>
      <c r="F8613" t="s">
        <v>35</v>
      </c>
      <c r="G8613" t="s">
        <v>35</v>
      </c>
      <c r="H8613" t="s">
        <v>35</v>
      </c>
      <c r="J8613" t="s">
        <v>134</v>
      </c>
      <c r="K8613" t="s">
        <v>37</v>
      </c>
      <c r="M8613">
        <v>35</v>
      </c>
      <c r="N8613">
        <v>31</v>
      </c>
      <c r="O8613" t="s">
        <v>52</v>
      </c>
      <c r="P8613" t="s">
        <v>1056</v>
      </c>
      <c r="Q8613" t="s">
        <v>748</v>
      </c>
      <c r="R8613" t="s">
        <v>91</v>
      </c>
      <c r="S8613" t="s">
        <v>92</v>
      </c>
    </row>
    <row r="8614" spans="1:19" x14ac:dyDescent="0.25">
      <c r="A8614" t="s">
        <v>30</v>
      </c>
      <c r="B8614" t="s">
        <v>31</v>
      </c>
      <c r="C8614" t="s">
        <v>32</v>
      </c>
      <c r="D8614" t="s">
        <v>953</v>
      </c>
      <c r="E8614" t="s">
        <v>1015</v>
      </c>
      <c r="F8614" t="s">
        <v>35</v>
      </c>
      <c r="G8614" t="s">
        <v>35</v>
      </c>
      <c r="H8614" t="s">
        <v>35</v>
      </c>
      <c r="J8614" t="s">
        <v>134</v>
      </c>
      <c r="K8614" t="s">
        <v>37</v>
      </c>
      <c r="M8614">
        <v>45.945</v>
      </c>
      <c r="N8614">
        <v>19</v>
      </c>
      <c r="O8614" t="s">
        <v>46</v>
      </c>
      <c r="P8614" t="s">
        <v>1057</v>
      </c>
      <c r="Q8614" t="s">
        <v>94</v>
      </c>
      <c r="R8614" t="s">
        <v>91</v>
      </c>
      <c r="S8614" t="s">
        <v>92</v>
      </c>
    </row>
    <row r="8615" spans="1:19" x14ac:dyDescent="0.25">
      <c r="A8615" t="s">
        <v>44</v>
      </c>
      <c r="B8615" t="s">
        <v>3</v>
      </c>
      <c r="C8615" t="s">
        <v>32</v>
      </c>
      <c r="D8615" t="s">
        <v>953</v>
      </c>
      <c r="E8615" t="s">
        <v>1015</v>
      </c>
      <c r="F8615" t="s">
        <v>35</v>
      </c>
      <c r="G8615" t="s">
        <v>35</v>
      </c>
      <c r="H8615" t="s">
        <v>35</v>
      </c>
      <c r="J8615" t="s">
        <v>134</v>
      </c>
      <c r="K8615" t="s">
        <v>37</v>
      </c>
      <c r="M8615">
        <v>0.9</v>
      </c>
      <c r="N8615">
        <v>33</v>
      </c>
      <c r="O8615" t="s">
        <v>52</v>
      </c>
      <c r="P8615" t="s">
        <v>1059</v>
      </c>
      <c r="Q8615" t="s">
        <v>130</v>
      </c>
      <c r="R8615" t="s">
        <v>91</v>
      </c>
      <c r="S8615" t="s">
        <v>92</v>
      </c>
    </row>
    <row r="8616" spans="1:19" x14ac:dyDescent="0.25">
      <c r="A8616" t="s">
        <v>44</v>
      </c>
      <c r="B8616" t="s">
        <v>3</v>
      </c>
      <c r="C8616" t="s">
        <v>32</v>
      </c>
      <c r="D8616" t="s">
        <v>953</v>
      </c>
      <c r="E8616" t="s">
        <v>1015</v>
      </c>
      <c r="F8616" t="s">
        <v>35</v>
      </c>
      <c r="G8616" t="s">
        <v>35</v>
      </c>
      <c r="H8616" t="s">
        <v>35</v>
      </c>
      <c r="J8616" t="s">
        <v>134</v>
      </c>
      <c r="K8616" t="s">
        <v>37</v>
      </c>
      <c r="M8616">
        <v>25.9</v>
      </c>
      <c r="N8616">
        <v>37</v>
      </c>
      <c r="O8616" t="s">
        <v>52</v>
      </c>
      <c r="P8616" t="s">
        <v>1060</v>
      </c>
      <c r="Q8616" t="s">
        <v>192</v>
      </c>
      <c r="R8616" t="s">
        <v>91</v>
      </c>
      <c r="S8616" t="s">
        <v>92</v>
      </c>
    </row>
    <row r="8617" spans="1:19" x14ac:dyDescent="0.25">
      <c r="A8617" t="s">
        <v>44</v>
      </c>
      <c r="B8617" t="s">
        <v>3</v>
      </c>
      <c r="C8617" t="s">
        <v>32</v>
      </c>
      <c r="D8617" t="s">
        <v>953</v>
      </c>
      <c r="E8617" t="s">
        <v>1015</v>
      </c>
      <c r="F8617" t="s">
        <v>35</v>
      </c>
      <c r="G8617" t="s">
        <v>35</v>
      </c>
      <c r="H8617" t="s">
        <v>35</v>
      </c>
      <c r="J8617" t="s">
        <v>1034</v>
      </c>
      <c r="K8617" t="s">
        <v>37</v>
      </c>
      <c r="M8617">
        <v>25.75</v>
      </c>
      <c r="N8617">
        <v>62</v>
      </c>
      <c r="O8617" t="s">
        <v>61</v>
      </c>
      <c r="P8617" t="s">
        <v>1036</v>
      </c>
      <c r="Q8617" t="s">
        <v>139</v>
      </c>
      <c r="R8617" t="s">
        <v>91</v>
      </c>
      <c r="S8617" t="s">
        <v>92</v>
      </c>
    </row>
    <row r="8618" spans="1:19" x14ac:dyDescent="0.25">
      <c r="A8618" t="s">
        <v>59</v>
      </c>
      <c r="B8618" t="s">
        <v>60</v>
      </c>
      <c r="C8618" t="s">
        <v>32</v>
      </c>
      <c r="D8618" t="s">
        <v>953</v>
      </c>
      <c r="E8618" t="s">
        <v>1015</v>
      </c>
      <c r="F8618" t="s">
        <v>35</v>
      </c>
      <c r="G8618" t="s">
        <v>35</v>
      </c>
      <c r="H8618" t="s">
        <v>35</v>
      </c>
      <c r="J8618" t="s">
        <v>1034</v>
      </c>
      <c r="K8618" t="s">
        <v>37</v>
      </c>
      <c r="M8618">
        <v>50</v>
      </c>
      <c r="N8618">
        <v>58</v>
      </c>
      <c r="O8618" t="s">
        <v>52</v>
      </c>
      <c r="P8618" t="s">
        <v>1037</v>
      </c>
      <c r="Q8618" t="s">
        <v>128</v>
      </c>
      <c r="R8618" t="s">
        <v>91</v>
      </c>
      <c r="S8618" t="s">
        <v>92</v>
      </c>
    </row>
    <row r="8619" spans="1:19" x14ac:dyDescent="0.25">
      <c r="A8619" t="s">
        <v>30</v>
      </c>
      <c r="B8619" t="s">
        <v>31</v>
      </c>
      <c r="C8619" t="s">
        <v>32</v>
      </c>
      <c r="D8619" t="s">
        <v>953</v>
      </c>
      <c r="E8619" t="s">
        <v>1015</v>
      </c>
      <c r="F8619" t="s">
        <v>35</v>
      </c>
      <c r="G8619" t="s">
        <v>35</v>
      </c>
      <c r="H8619" t="s">
        <v>35</v>
      </c>
      <c r="J8619" t="s">
        <v>1034</v>
      </c>
      <c r="K8619" t="s">
        <v>37</v>
      </c>
      <c r="M8619">
        <v>27.72</v>
      </c>
      <c r="N8619">
        <v>19</v>
      </c>
      <c r="O8619" t="s">
        <v>46</v>
      </c>
      <c r="P8619" t="s">
        <v>1038</v>
      </c>
      <c r="Q8619" t="s">
        <v>94</v>
      </c>
      <c r="R8619" t="s">
        <v>91</v>
      </c>
      <c r="S8619" t="s">
        <v>92</v>
      </c>
    </row>
    <row r="8620" spans="1:19" x14ac:dyDescent="0.25">
      <c r="A8620" t="s">
        <v>59</v>
      </c>
      <c r="B8620" t="s">
        <v>60</v>
      </c>
      <c r="C8620" t="s">
        <v>32</v>
      </c>
      <c r="D8620" t="s">
        <v>953</v>
      </c>
      <c r="E8620" t="s">
        <v>1015</v>
      </c>
      <c r="F8620" t="s">
        <v>35</v>
      </c>
      <c r="G8620" t="s">
        <v>35</v>
      </c>
      <c r="H8620" t="s">
        <v>35</v>
      </c>
      <c r="J8620" t="s">
        <v>1034</v>
      </c>
      <c r="K8620" t="s">
        <v>37</v>
      </c>
      <c r="M8620">
        <v>6.75</v>
      </c>
      <c r="N8620">
        <v>58</v>
      </c>
      <c r="O8620" t="s">
        <v>52</v>
      </c>
      <c r="P8620" t="s">
        <v>1039</v>
      </c>
      <c r="Q8620" t="s">
        <v>128</v>
      </c>
      <c r="R8620" t="s">
        <v>91</v>
      </c>
      <c r="S8620" t="s">
        <v>92</v>
      </c>
    </row>
    <row r="8621" spans="1:19" x14ac:dyDescent="0.25">
      <c r="A8621" t="s">
        <v>59</v>
      </c>
      <c r="B8621" t="s">
        <v>31</v>
      </c>
      <c r="C8621" t="s">
        <v>32</v>
      </c>
      <c r="D8621" t="s">
        <v>953</v>
      </c>
      <c r="E8621" t="s">
        <v>1015</v>
      </c>
      <c r="F8621" t="s">
        <v>35</v>
      </c>
      <c r="G8621" t="s">
        <v>35</v>
      </c>
      <c r="H8621" t="s">
        <v>35</v>
      </c>
      <c r="J8621" t="s">
        <v>1034</v>
      </c>
      <c r="K8621" t="s">
        <v>37</v>
      </c>
      <c r="M8621">
        <v>3.6949999999999998</v>
      </c>
      <c r="N8621">
        <v>58</v>
      </c>
      <c r="O8621" t="s">
        <v>52</v>
      </c>
      <c r="P8621" t="s">
        <v>1040</v>
      </c>
      <c r="Q8621" t="s">
        <v>128</v>
      </c>
      <c r="R8621" t="s">
        <v>91</v>
      </c>
      <c r="S8621" t="s">
        <v>92</v>
      </c>
    </row>
    <row r="8622" spans="1:19" x14ac:dyDescent="0.25">
      <c r="A8622" t="s">
        <v>30</v>
      </c>
      <c r="B8622" t="s">
        <v>31</v>
      </c>
      <c r="C8622" t="s">
        <v>32</v>
      </c>
      <c r="D8622" t="s">
        <v>953</v>
      </c>
      <c r="E8622" t="s">
        <v>980</v>
      </c>
      <c r="F8622" t="s">
        <v>35</v>
      </c>
      <c r="G8622" t="s">
        <v>35</v>
      </c>
      <c r="H8622" t="s">
        <v>35</v>
      </c>
      <c r="J8622" t="s">
        <v>981</v>
      </c>
      <c r="K8622" t="s">
        <v>37</v>
      </c>
      <c r="M8622">
        <v>19.98</v>
      </c>
      <c r="N8622">
        <v>19</v>
      </c>
      <c r="O8622" t="s">
        <v>46</v>
      </c>
      <c r="P8622" t="s">
        <v>983</v>
      </c>
      <c r="Q8622" t="s">
        <v>94</v>
      </c>
      <c r="R8622" t="s">
        <v>91</v>
      </c>
      <c r="S8622" t="s">
        <v>92</v>
      </c>
    </row>
    <row r="8623" spans="1:19" x14ac:dyDescent="0.25">
      <c r="A8623" t="s">
        <v>44</v>
      </c>
      <c r="B8623" t="s">
        <v>3</v>
      </c>
      <c r="C8623" t="s">
        <v>32</v>
      </c>
      <c r="D8623" t="s">
        <v>953</v>
      </c>
      <c r="E8623" t="s">
        <v>980</v>
      </c>
      <c r="F8623" t="s">
        <v>35</v>
      </c>
      <c r="G8623" t="s">
        <v>35</v>
      </c>
      <c r="H8623" t="s">
        <v>35</v>
      </c>
      <c r="J8623" t="s">
        <v>992</v>
      </c>
      <c r="K8623" t="s">
        <v>37</v>
      </c>
      <c r="M8623">
        <v>1.5</v>
      </c>
      <c r="N8623">
        <v>62</v>
      </c>
      <c r="O8623" t="s">
        <v>61</v>
      </c>
      <c r="P8623" t="s">
        <v>994</v>
      </c>
      <c r="Q8623" t="s">
        <v>139</v>
      </c>
      <c r="R8623" t="s">
        <v>91</v>
      </c>
      <c r="S8623" t="s">
        <v>92</v>
      </c>
    </row>
    <row r="8624" spans="1:19" x14ac:dyDescent="0.25">
      <c r="A8624" t="s">
        <v>44</v>
      </c>
      <c r="B8624" t="s">
        <v>51</v>
      </c>
      <c r="C8624" t="s">
        <v>32</v>
      </c>
      <c r="D8624" t="s">
        <v>953</v>
      </c>
      <c r="E8624" t="s">
        <v>980</v>
      </c>
      <c r="F8624" t="s">
        <v>35</v>
      </c>
      <c r="G8624" t="s">
        <v>35</v>
      </c>
      <c r="H8624" t="s">
        <v>35</v>
      </c>
      <c r="J8624" t="s">
        <v>992</v>
      </c>
      <c r="K8624" t="s">
        <v>37</v>
      </c>
      <c r="M8624">
        <v>2</v>
      </c>
      <c r="N8624">
        <v>55</v>
      </c>
      <c r="O8624" t="s">
        <v>52</v>
      </c>
      <c r="P8624" t="s">
        <v>995</v>
      </c>
      <c r="Q8624" t="s">
        <v>90</v>
      </c>
      <c r="R8624" t="s">
        <v>91</v>
      </c>
      <c r="S8624" t="s">
        <v>92</v>
      </c>
    </row>
    <row r="8625" spans="1:19" x14ac:dyDescent="0.25">
      <c r="A8625" t="s">
        <v>30</v>
      </c>
      <c r="B8625" t="s">
        <v>31</v>
      </c>
      <c r="C8625" t="s">
        <v>32</v>
      </c>
      <c r="D8625" t="s">
        <v>953</v>
      </c>
      <c r="E8625" t="s">
        <v>980</v>
      </c>
      <c r="F8625" t="s">
        <v>35</v>
      </c>
      <c r="G8625" t="s">
        <v>35</v>
      </c>
      <c r="H8625" t="s">
        <v>35</v>
      </c>
      <c r="J8625" t="s">
        <v>992</v>
      </c>
      <c r="K8625" t="s">
        <v>37</v>
      </c>
      <c r="M8625">
        <v>9.98</v>
      </c>
      <c r="N8625">
        <v>42</v>
      </c>
      <c r="O8625" t="s">
        <v>52</v>
      </c>
      <c r="P8625" t="s">
        <v>996</v>
      </c>
      <c r="Q8625" t="s">
        <v>219</v>
      </c>
      <c r="R8625" t="s">
        <v>91</v>
      </c>
      <c r="S8625" t="s">
        <v>92</v>
      </c>
    </row>
    <row r="8626" spans="1:19" x14ac:dyDescent="0.25">
      <c r="A8626" t="s">
        <v>59</v>
      </c>
      <c r="B8626" t="s">
        <v>31</v>
      </c>
      <c r="C8626" t="s">
        <v>32</v>
      </c>
      <c r="D8626" t="s">
        <v>953</v>
      </c>
      <c r="E8626" t="s">
        <v>980</v>
      </c>
      <c r="F8626" t="s">
        <v>35</v>
      </c>
      <c r="G8626" t="s">
        <v>35</v>
      </c>
      <c r="H8626" t="s">
        <v>35</v>
      </c>
      <c r="J8626" t="s">
        <v>992</v>
      </c>
      <c r="K8626" t="s">
        <v>37</v>
      </c>
      <c r="M8626">
        <v>3.5000000000000003E-2</v>
      </c>
      <c r="N8626">
        <v>58</v>
      </c>
      <c r="O8626" t="s">
        <v>52</v>
      </c>
      <c r="P8626" t="s">
        <v>997</v>
      </c>
      <c r="Q8626" t="s">
        <v>128</v>
      </c>
      <c r="R8626" t="s">
        <v>91</v>
      </c>
      <c r="S8626" t="s">
        <v>92</v>
      </c>
    </row>
    <row r="8627" spans="1:19" x14ac:dyDescent="0.25">
      <c r="A8627" t="s">
        <v>44</v>
      </c>
      <c r="B8627" t="s">
        <v>51</v>
      </c>
      <c r="C8627" t="s">
        <v>32</v>
      </c>
      <c r="D8627" t="s">
        <v>953</v>
      </c>
      <c r="E8627" t="s">
        <v>1015</v>
      </c>
      <c r="F8627" t="s">
        <v>35</v>
      </c>
      <c r="G8627" t="s">
        <v>35</v>
      </c>
      <c r="H8627" t="s">
        <v>35</v>
      </c>
      <c r="J8627" t="s">
        <v>1016</v>
      </c>
      <c r="K8627" t="s">
        <v>37</v>
      </c>
      <c r="M8627">
        <v>2</v>
      </c>
      <c r="N8627">
        <v>54</v>
      </c>
      <c r="O8627" t="s">
        <v>52</v>
      </c>
      <c r="P8627" t="s">
        <v>1018</v>
      </c>
      <c r="Q8627" t="s">
        <v>671</v>
      </c>
      <c r="R8627" t="s">
        <v>91</v>
      </c>
      <c r="S8627" t="s">
        <v>92</v>
      </c>
    </row>
    <row r="8628" spans="1:19" x14ac:dyDescent="0.25">
      <c r="A8628" t="s">
        <v>44</v>
      </c>
      <c r="B8628" t="s">
        <v>51</v>
      </c>
      <c r="C8628" t="s">
        <v>32</v>
      </c>
      <c r="D8628" t="s">
        <v>953</v>
      </c>
      <c r="E8628" t="s">
        <v>1015</v>
      </c>
      <c r="F8628" t="s">
        <v>35</v>
      </c>
      <c r="G8628" t="s">
        <v>35</v>
      </c>
      <c r="H8628" t="s">
        <v>35</v>
      </c>
      <c r="J8628" t="s">
        <v>1016</v>
      </c>
      <c r="K8628" t="s">
        <v>37</v>
      </c>
      <c r="M8628">
        <v>45</v>
      </c>
      <c r="N8628">
        <v>55</v>
      </c>
      <c r="O8628" t="s">
        <v>52</v>
      </c>
      <c r="P8628" t="s">
        <v>1019</v>
      </c>
      <c r="Q8628" t="s">
        <v>90</v>
      </c>
      <c r="R8628" t="s">
        <v>91</v>
      </c>
      <c r="S8628" t="s">
        <v>92</v>
      </c>
    </row>
    <row r="8629" spans="1:19" x14ac:dyDescent="0.25">
      <c r="A8629" t="s">
        <v>44</v>
      </c>
      <c r="B8629" t="s">
        <v>51</v>
      </c>
      <c r="C8629" t="s">
        <v>32</v>
      </c>
      <c r="D8629" t="s">
        <v>953</v>
      </c>
      <c r="E8629" t="s">
        <v>1015</v>
      </c>
      <c r="F8629" t="s">
        <v>35</v>
      </c>
      <c r="G8629" t="s">
        <v>35</v>
      </c>
      <c r="H8629" t="s">
        <v>35</v>
      </c>
      <c r="J8629" t="s">
        <v>1016</v>
      </c>
      <c r="K8629" t="s">
        <v>37</v>
      </c>
      <c r="M8629">
        <v>14</v>
      </c>
      <c r="N8629">
        <v>55</v>
      </c>
      <c r="O8629" t="s">
        <v>52</v>
      </c>
      <c r="P8629" t="s">
        <v>1020</v>
      </c>
      <c r="Q8629" t="s">
        <v>90</v>
      </c>
      <c r="R8629" t="s">
        <v>91</v>
      </c>
      <c r="S8629" t="s">
        <v>92</v>
      </c>
    </row>
    <row r="8630" spans="1:19" x14ac:dyDescent="0.25">
      <c r="A8630" t="s">
        <v>44</v>
      </c>
      <c r="B8630" t="s">
        <v>3</v>
      </c>
      <c r="C8630" t="s">
        <v>32</v>
      </c>
      <c r="D8630" t="s">
        <v>953</v>
      </c>
      <c r="E8630" t="s">
        <v>1015</v>
      </c>
      <c r="F8630" t="s">
        <v>35</v>
      </c>
      <c r="G8630" t="s">
        <v>35</v>
      </c>
      <c r="H8630" t="s">
        <v>35</v>
      </c>
      <c r="J8630" t="s">
        <v>1016</v>
      </c>
      <c r="K8630" t="s">
        <v>37</v>
      </c>
      <c r="M8630">
        <v>10</v>
      </c>
      <c r="N8630">
        <v>62</v>
      </c>
      <c r="O8630" t="s">
        <v>61</v>
      </c>
      <c r="P8630" t="s">
        <v>1021</v>
      </c>
      <c r="Q8630" t="s">
        <v>139</v>
      </c>
      <c r="R8630" t="s">
        <v>91</v>
      </c>
      <c r="S8630" t="s">
        <v>92</v>
      </c>
    </row>
    <row r="8631" spans="1:19" x14ac:dyDescent="0.25">
      <c r="A8631" t="s">
        <v>30</v>
      </c>
      <c r="B8631" t="s">
        <v>31</v>
      </c>
      <c r="C8631" t="s">
        <v>32</v>
      </c>
      <c r="D8631" t="s">
        <v>953</v>
      </c>
      <c r="E8631" t="s">
        <v>1084</v>
      </c>
      <c r="F8631" t="s">
        <v>35</v>
      </c>
      <c r="G8631" t="s">
        <v>35</v>
      </c>
      <c r="H8631" t="s">
        <v>35</v>
      </c>
      <c r="J8631" t="s">
        <v>1085</v>
      </c>
      <c r="K8631" t="s">
        <v>37</v>
      </c>
      <c r="M8631">
        <v>8.73</v>
      </c>
      <c r="N8631">
        <v>19</v>
      </c>
      <c r="O8631" t="s">
        <v>46</v>
      </c>
      <c r="P8631" t="s">
        <v>1087</v>
      </c>
      <c r="Q8631" t="s">
        <v>94</v>
      </c>
      <c r="R8631" t="s">
        <v>91</v>
      </c>
      <c r="S8631" t="s">
        <v>92</v>
      </c>
    </row>
    <row r="8632" spans="1:19" x14ac:dyDescent="0.25">
      <c r="A8632" t="s">
        <v>59</v>
      </c>
      <c r="B8632" t="s">
        <v>60</v>
      </c>
      <c r="C8632" t="s">
        <v>32</v>
      </c>
      <c r="D8632" t="s">
        <v>953</v>
      </c>
      <c r="E8632" t="s">
        <v>1084</v>
      </c>
      <c r="F8632" t="s">
        <v>35</v>
      </c>
      <c r="G8632" t="s">
        <v>35</v>
      </c>
      <c r="H8632" t="s">
        <v>35</v>
      </c>
      <c r="J8632" t="s">
        <v>1085</v>
      </c>
      <c r="K8632" t="s">
        <v>37</v>
      </c>
      <c r="M8632">
        <v>0.8</v>
      </c>
      <c r="N8632">
        <v>58</v>
      </c>
      <c r="O8632" t="s">
        <v>52</v>
      </c>
      <c r="P8632" t="s">
        <v>1088</v>
      </c>
      <c r="Q8632" t="s">
        <v>128</v>
      </c>
      <c r="R8632" t="s">
        <v>91</v>
      </c>
      <c r="S8632" t="s">
        <v>92</v>
      </c>
    </row>
    <row r="8633" spans="1:19" x14ac:dyDescent="0.25">
      <c r="A8633" t="s">
        <v>59</v>
      </c>
      <c r="B8633" t="s">
        <v>31</v>
      </c>
      <c r="C8633" t="s">
        <v>32</v>
      </c>
      <c r="D8633" t="s">
        <v>953</v>
      </c>
      <c r="E8633" t="s">
        <v>1084</v>
      </c>
      <c r="F8633" t="s">
        <v>35</v>
      </c>
      <c r="G8633" t="s">
        <v>35</v>
      </c>
      <c r="H8633" t="s">
        <v>35</v>
      </c>
      <c r="J8633" t="s">
        <v>1085</v>
      </c>
      <c r="K8633" t="s">
        <v>37</v>
      </c>
      <c r="M8633">
        <v>0.23499999999999999</v>
      </c>
      <c r="N8633">
        <v>58</v>
      </c>
      <c r="O8633" t="s">
        <v>52</v>
      </c>
      <c r="P8633" t="s">
        <v>1089</v>
      </c>
      <c r="Q8633" t="s">
        <v>128</v>
      </c>
      <c r="R8633" t="s">
        <v>91</v>
      </c>
      <c r="S8633" t="s">
        <v>92</v>
      </c>
    </row>
    <row r="8634" spans="1:19" x14ac:dyDescent="0.25">
      <c r="A8634" t="s">
        <v>44</v>
      </c>
      <c r="B8634" t="s">
        <v>3</v>
      </c>
      <c r="C8634" t="s">
        <v>32</v>
      </c>
      <c r="D8634" t="s">
        <v>953</v>
      </c>
      <c r="E8634" t="s">
        <v>1084</v>
      </c>
      <c r="F8634" t="s">
        <v>35</v>
      </c>
      <c r="G8634" t="s">
        <v>35</v>
      </c>
      <c r="H8634" t="s">
        <v>35</v>
      </c>
      <c r="J8634" t="s">
        <v>1085</v>
      </c>
      <c r="K8634" t="s">
        <v>37</v>
      </c>
      <c r="M8634">
        <v>39.5</v>
      </c>
      <c r="N8634">
        <v>62</v>
      </c>
      <c r="O8634" t="s">
        <v>61</v>
      </c>
      <c r="P8634" t="s">
        <v>1090</v>
      </c>
      <c r="Q8634" t="s">
        <v>139</v>
      </c>
      <c r="R8634" t="s">
        <v>91</v>
      </c>
      <c r="S8634" t="s">
        <v>92</v>
      </c>
    </row>
    <row r="8635" spans="1:19" x14ac:dyDescent="0.25">
      <c r="A8635" t="s">
        <v>30</v>
      </c>
      <c r="B8635" t="s">
        <v>31</v>
      </c>
      <c r="C8635" t="s">
        <v>32</v>
      </c>
      <c r="D8635" t="s">
        <v>953</v>
      </c>
      <c r="E8635" t="s">
        <v>1015</v>
      </c>
      <c r="F8635" t="s">
        <v>35</v>
      </c>
      <c r="G8635" t="s">
        <v>35</v>
      </c>
      <c r="H8635" t="s">
        <v>35</v>
      </c>
      <c r="J8635" t="s">
        <v>1022</v>
      </c>
      <c r="K8635" t="s">
        <v>37</v>
      </c>
      <c r="M8635">
        <v>39.69</v>
      </c>
      <c r="N8635">
        <v>19</v>
      </c>
      <c r="O8635" t="s">
        <v>46</v>
      </c>
      <c r="P8635" t="s">
        <v>1024</v>
      </c>
      <c r="Q8635" t="s">
        <v>94</v>
      </c>
      <c r="R8635" t="s">
        <v>91</v>
      </c>
      <c r="S8635" t="s">
        <v>92</v>
      </c>
    </row>
    <row r="8636" spans="1:19" x14ac:dyDescent="0.25">
      <c r="A8636" t="s">
        <v>44</v>
      </c>
      <c r="B8636" t="s">
        <v>51</v>
      </c>
      <c r="C8636" t="s">
        <v>32</v>
      </c>
      <c r="D8636" t="s">
        <v>953</v>
      </c>
      <c r="E8636" t="s">
        <v>1015</v>
      </c>
      <c r="F8636" t="s">
        <v>35</v>
      </c>
      <c r="G8636" t="s">
        <v>35</v>
      </c>
      <c r="H8636" t="s">
        <v>35</v>
      </c>
      <c r="J8636" t="s">
        <v>1022</v>
      </c>
      <c r="K8636" t="s">
        <v>37</v>
      </c>
      <c r="M8636">
        <v>44</v>
      </c>
      <c r="N8636">
        <v>33</v>
      </c>
      <c r="O8636" t="s">
        <v>52</v>
      </c>
      <c r="P8636" t="s">
        <v>1025</v>
      </c>
      <c r="Q8636" t="s">
        <v>130</v>
      </c>
      <c r="R8636" t="s">
        <v>91</v>
      </c>
      <c r="S8636" t="s">
        <v>92</v>
      </c>
    </row>
    <row r="8637" spans="1:19" x14ac:dyDescent="0.25">
      <c r="A8637" t="s">
        <v>44</v>
      </c>
      <c r="B8637" t="s">
        <v>51</v>
      </c>
      <c r="C8637" t="s">
        <v>32</v>
      </c>
      <c r="D8637" t="s">
        <v>953</v>
      </c>
      <c r="E8637" t="s">
        <v>1015</v>
      </c>
      <c r="F8637" t="s">
        <v>35</v>
      </c>
      <c r="G8637" t="s">
        <v>35</v>
      </c>
      <c r="H8637" t="s">
        <v>35</v>
      </c>
      <c r="J8637" t="s">
        <v>1022</v>
      </c>
      <c r="K8637" t="s">
        <v>37</v>
      </c>
      <c r="M8637">
        <v>54</v>
      </c>
      <c r="N8637">
        <v>33</v>
      </c>
      <c r="O8637" t="s">
        <v>52</v>
      </c>
      <c r="P8637" t="s">
        <v>1026</v>
      </c>
      <c r="Q8637" t="s">
        <v>130</v>
      </c>
      <c r="R8637" t="s">
        <v>91</v>
      </c>
      <c r="S8637" t="s">
        <v>92</v>
      </c>
    </row>
    <row r="8638" spans="1:19" x14ac:dyDescent="0.25">
      <c r="A8638" t="s">
        <v>59</v>
      </c>
      <c r="B8638" t="s">
        <v>60</v>
      </c>
      <c r="C8638" t="s">
        <v>32</v>
      </c>
      <c r="D8638" t="s">
        <v>953</v>
      </c>
      <c r="E8638" t="s">
        <v>1015</v>
      </c>
      <c r="F8638" t="s">
        <v>35</v>
      </c>
      <c r="G8638" t="s">
        <v>35</v>
      </c>
      <c r="H8638" t="s">
        <v>35</v>
      </c>
      <c r="J8638" t="s">
        <v>1022</v>
      </c>
      <c r="K8638" t="s">
        <v>37</v>
      </c>
      <c r="M8638">
        <v>23.6</v>
      </c>
      <c r="N8638">
        <v>57</v>
      </c>
      <c r="O8638" t="s">
        <v>52</v>
      </c>
      <c r="P8638" t="s">
        <v>1027</v>
      </c>
      <c r="Q8638" t="s">
        <v>381</v>
      </c>
      <c r="R8638" t="s">
        <v>91</v>
      </c>
      <c r="S8638" t="s">
        <v>92</v>
      </c>
    </row>
    <row r="8639" spans="1:19" x14ac:dyDescent="0.25">
      <c r="A8639" t="s">
        <v>44</v>
      </c>
      <c r="B8639" t="s">
        <v>3</v>
      </c>
      <c r="C8639" t="s">
        <v>32</v>
      </c>
      <c r="D8639" t="s">
        <v>953</v>
      </c>
      <c r="E8639" t="s">
        <v>1015</v>
      </c>
      <c r="F8639" t="s">
        <v>35</v>
      </c>
      <c r="G8639" t="s">
        <v>35</v>
      </c>
      <c r="H8639" t="s">
        <v>35</v>
      </c>
      <c r="J8639" t="s">
        <v>1022</v>
      </c>
      <c r="K8639" t="s">
        <v>37</v>
      </c>
      <c r="M8639">
        <v>44.5</v>
      </c>
      <c r="N8639">
        <v>62</v>
      </c>
      <c r="O8639" t="s">
        <v>61</v>
      </c>
      <c r="P8639" t="s">
        <v>1028</v>
      </c>
      <c r="Q8639" t="s">
        <v>139</v>
      </c>
      <c r="R8639" t="s">
        <v>91</v>
      </c>
      <c r="S8639" t="s">
        <v>92</v>
      </c>
    </row>
    <row r="8640" spans="1:19" x14ac:dyDescent="0.25">
      <c r="A8640" t="s">
        <v>30</v>
      </c>
      <c r="B8640" t="s">
        <v>31</v>
      </c>
      <c r="C8640" t="s">
        <v>32</v>
      </c>
      <c r="D8640" t="s">
        <v>953</v>
      </c>
      <c r="E8640" t="s">
        <v>1015</v>
      </c>
      <c r="F8640" t="s">
        <v>35</v>
      </c>
      <c r="G8640" t="s">
        <v>35</v>
      </c>
      <c r="H8640" t="s">
        <v>35</v>
      </c>
      <c r="J8640" t="s">
        <v>1022</v>
      </c>
      <c r="K8640" t="s">
        <v>37</v>
      </c>
      <c r="M8640">
        <v>54</v>
      </c>
      <c r="N8640">
        <v>19</v>
      </c>
      <c r="O8640" t="s">
        <v>46</v>
      </c>
      <c r="P8640" t="s">
        <v>1029</v>
      </c>
      <c r="Q8640" t="s">
        <v>94</v>
      </c>
      <c r="R8640" t="s">
        <v>91</v>
      </c>
      <c r="S8640" t="s">
        <v>92</v>
      </c>
    </row>
    <row r="8641" spans="1:20" x14ac:dyDescent="0.25">
      <c r="A8641" t="s">
        <v>30</v>
      </c>
      <c r="B8641" t="s">
        <v>31</v>
      </c>
      <c r="C8641" t="s">
        <v>32</v>
      </c>
      <c r="D8641" t="s">
        <v>953</v>
      </c>
      <c r="E8641" t="s">
        <v>1015</v>
      </c>
      <c r="F8641" t="s">
        <v>35</v>
      </c>
      <c r="G8641" t="s">
        <v>35</v>
      </c>
      <c r="H8641" t="s">
        <v>35</v>
      </c>
      <c r="J8641" t="s">
        <v>1022</v>
      </c>
      <c r="K8641" t="s">
        <v>37</v>
      </c>
      <c r="M8641">
        <v>54</v>
      </c>
      <c r="N8641">
        <v>19</v>
      </c>
      <c r="O8641" t="s">
        <v>46</v>
      </c>
      <c r="P8641" t="s">
        <v>1030</v>
      </c>
      <c r="Q8641" t="s">
        <v>94</v>
      </c>
      <c r="R8641" t="s">
        <v>91</v>
      </c>
      <c r="S8641" t="s">
        <v>92</v>
      </c>
    </row>
    <row r="8642" spans="1:20" x14ac:dyDescent="0.25">
      <c r="A8642" t="s">
        <v>30</v>
      </c>
      <c r="B8642" t="s">
        <v>31</v>
      </c>
      <c r="C8642" t="s">
        <v>32</v>
      </c>
      <c r="D8642" t="s">
        <v>953</v>
      </c>
      <c r="E8642" t="s">
        <v>1015</v>
      </c>
      <c r="F8642" t="s">
        <v>35</v>
      </c>
      <c r="G8642" t="s">
        <v>35</v>
      </c>
      <c r="H8642" t="s">
        <v>35</v>
      </c>
      <c r="J8642" t="s">
        <v>1022</v>
      </c>
      <c r="K8642" t="s">
        <v>37</v>
      </c>
      <c r="M8642">
        <v>54</v>
      </c>
      <c r="N8642">
        <v>19</v>
      </c>
      <c r="O8642" t="s">
        <v>46</v>
      </c>
      <c r="P8642" t="s">
        <v>1031</v>
      </c>
      <c r="Q8642" t="s">
        <v>94</v>
      </c>
      <c r="R8642" t="s">
        <v>91</v>
      </c>
      <c r="S8642" t="s">
        <v>92</v>
      </c>
    </row>
    <row r="8643" spans="1:20" x14ac:dyDescent="0.25">
      <c r="A8643" t="s">
        <v>30</v>
      </c>
      <c r="B8643" t="s">
        <v>31</v>
      </c>
      <c r="C8643" t="s">
        <v>32</v>
      </c>
      <c r="D8643" t="s">
        <v>953</v>
      </c>
      <c r="E8643" t="s">
        <v>1015</v>
      </c>
      <c r="F8643" t="s">
        <v>35</v>
      </c>
      <c r="G8643" t="s">
        <v>35</v>
      </c>
      <c r="H8643" t="s">
        <v>35</v>
      </c>
      <c r="J8643" t="s">
        <v>1022</v>
      </c>
      <c r="K8643" t="s">
        <v>37</v>
      </c>
      <c r="M8643">
        <v>12.555</v>
      </c>
      <c r="N8643">
        <v>19</v>
      </c>
      <c r="O8643" t="s">
        <v>46</v>
      </c>
      <c r="P8643" t="s">
        <v>1032</v>
      </c>
      <c r="Q8643" t="s">
        <v>94</v>
      </c>
      <c r="R8643" t="s">
        <v>91</v>
      </c>
      <c r="S8643" t="s">
        <v>92</v>
      </c>
    </row>
    <row r="8644" spans="1:20" x14ac:dyDescent="0.25">
      <c r="A8644" t="s">
        <v>30</v>
      </c>
      <c r="B8644" t="s">
        <v>31</v>
      </c>
      <c r="C8644" t="s">
        <v>32</v>
      </c>
      <c r="D8644" t="s">
        <v>953</v>
      </c>
      <c r="E8644" t="s">
        <v>1015</v>
      </c>
      <c r="F8644" t="s">
        <v>35</v>
      </c>
      <c r="G8644" t="s">
        <v>35</v>
      </c>
      <c r="H8644" t="s">
        <v>35</v>
      </c>
      <c r="J8644" t="s">
        <v>1022</v>
      </c>
      <c r="K8644" t="s">
        <v>37</v>
      </c>
      <c r="M8644">
        <v>54</v>
      </c>
      <c r="N8644">
        <v>19</v>
      </c>
      <c r="O8644" t="s">
        <v>46</v>
      </c>
      <c r="P8644" t="s">
        <v>1033</v>
      </c>
      <c r="Q8644" t="s">
        <v>94</v>
      </c>
      <c r="R8644" t="s">
        <v>91</v>
      </c>
      <c r="S8644" t="s">
        <v>92</v>
      </c>
    </row>
    <row r="8645" spans="1:20" x14ac:dyDescent="0.25">
      <c r="A8645" t="s">
        <v>44</v>
      </c>
      <c r="B8645" t="s">
        <v>3</v>
      </c>
      <c r="C8645" t="s">
        <v>32</v>
      </c>
      <c r="D8645" t="s">
        <v>953</v>
      </c>
      <c r="E8645" t="s">
        <v>1015</v>
      </c>
      <c r="F8645" t="s">
        <v>35</v>
      </c>
      <c r="G8645" t="s">
        <v>35</v>
      </c>
      <c r="H8645" t="s">
        <v>35</v>
      </c>
      <c r="J8645" t="s">
        <v>1041</v>
      </c>
      <c r="K8645" t="s">
        <v>37</v>
      </c>
      <c r="M8645">
        <v>5</v>
      </c>
      <c r="N8645">
        <v>62</v>
      </c>
      <c r="O8645" t="s">
        <v>61</v>
      </c>
      <c r="P8645" t="s">
        <v>1043</v>
      </c>
      <c r="Q8645" t="s">
        <v>139</v>
      </c>
      <c r="R8645" t="s">
        <v>91</v>
      </c>
      <c r="S8645" t="s">
        <v>92</v>
      </c>
    </row>
    <row r="8646" spans="1:20" x14ac:dyDescent="0.25">
      <c r="A8646" t="s">
        <v>44</v>
      </c>
      <c r="B8646" t="s">
        <v>3</v>
      </c>
      <c r="C8646" t="s">
        <v>32</v>
      </c>
      <c r="D8646" t="s">
        <v>953</v>
      </c>
      <c r="E8646" t="s">
        <v>1015</v>
      </c>
      <c r="F8646" t="s">
        <v>35</v>
      </c>
      <c r="G8646" t="s">
        <v>35</v>
      </c>
      <c r="H8646" t="s">
        <v>35</v>
      </c>
      <c r="J8646" t="s">
        <v>1041</v>
      </c>
      <c r="K8646" t="s">
        <v>37</v>
      </c>
      <c r="M8646">
        <v>10</v>
      </c>
      <c r="N8646">
        <v>62</v>
      </c>
      <c r="O8646" t="s">
        <v>61</v>
      </c>
      <c r="P8646" t="s">
        <v>1044</v>
      </c>
      <c r="Q8646" t="s">
        <v>139</v>
      </c>
      <c r="R8646" t="s">
        <v>91</v>
      </c>
      <c r="S8646" t="s">
        <v>92</v>
      </c>
    </row>
    <row r="8647" spans="1:20" x14ac:dyDescent="0.25">
      <c r="A8647" t="s">
        <v>44</v>
      </c>
      <c r="B8647" t="s">
        <v>51</v>
      </c>
      <c r="C8647" t="s">
        <v>32</v>
      </c>
      <c r="D8647" t="s">
        <v>953</v>
      </c>
      <c r="E8647" t="s">
        <v>1015</v>
      </c>
      <c r="F8647" t="s">
        <v>35</v>
      </c>
      <c r="G8647" t="s">
        <v>35</v>
      </c>
      <c r="H8647" t="s">
        <v>35</v>
      </c>
      <c r="J8647" t="s">
        <v>1041</v>
      </c>
      <c r="K8647" t="s">
        <v>37</v>
      </c>
      <c r="M8647">
        <v>11</v>
      </c>
      <c r="N8647">
        <v>55</v>
      </c>
      <c r="O8647" t="s">
        <v>52</v>
      </c>
      <c r="P8647" t="s">
        <v>1045</v>
      </c>
      <c r="Q8647" t="s">
        <v>90</v>
      </c>
      <c r="R8647" t="s">
        <v>91</v>
      </c>
      <c r="S8647" t="s">
        <v>92</v>
      </c>
    </row>
    <row r="8648" spans="1:20" x14ac:dyDescent="0.25">
      <c r="A8648" t="s">
        <v>59</v>
      </c>
      <c r="B8648" t="s">
        <v>60</v>
      </c>
      <c r="C8648" t="s">
        <v>32</v>
      </c>
      <c r="D8648" t="s">
        <v>953</v>
      </c>
      <c r="E8648" t="s">
        <v>968</v>
      </c>
      <c r="F8648" t="s">
        <v>35</v>
      </c>
      <c r="G8648" t="s">
        <v>35</v>
      </c>
      <c r="H8648" t="s">
        <v>35</v>
      </c>
      <c r="J8648" t="s">
        <v>6978</v>
      </c>
      <c r="K8648" t="s">
        <v>1092</v>
      </c>
      <c r="M8648">
        <v>3.3</v>
      </c>
      <c r="N8648">
        <v>170</v>
      </c>
      <c r="O8648" t="s">
        <v>38</v>
      </c>
      <c r="Q8648" t="s">
        <v>4657</v>
      </c>
      <c r="R8648" t="s">
        <v>6897</v>
      </c>
      <c r="S8648" t="s">
        <v>1062</v>
      </c>
      <c r="T8648" t="s">
        <v>1063</v>
      </c>
    </row>
    <row r="8649" spans="1:20" x14ac:dyDescent="0.25">
      <c r="A8649" t="s">
        <v>59</v>
      </c>
      <c r="B8649" t="s">
        <v>60</v>
      </c>
      <c r="C8649" t="s">
        <v>32</v>
      </c>
      <c r="D8649" t="s">
        <v>953</v>
      </c>
      <c r="E8649" t="s">
        <v>7740</v>
      </c>
      <c r="F8649" t="s">
        <v>35</v>
      </c>
      <c r="G8649" t="s">
        <v>35</v>
      </c>
      <c r="H8649" t="s">
        <v>35</v>
      </c>
      <c r="J8649" t="s">
        <v>7743</v>
      </c>
      <c r="K8649" t="s">
        <v>1092</v>
      </c>
      <c r="M8649">
        <v>0.1</v>
      </c>
      <c r="N8649">
        <v>54</v>
      </c>
      <c r="O8649" t="s">
        <v>52</v>
      </c>
      <c r="Q8649" t="s">
        <v>671</v>
      </c>
      <c r="R8649" t="s">
        <v>6897</v>
      </c>
      <c r="S8649" t="s">
        <v>1062</v>
      </c>
      <c r="T8649" t="s">
        <v>1063</v>
      </c>
    </row>
    <row r="8650" spans="1:20" x14ac:dyDescent="0.25">
      <c r="A8650" t="s">
        <v>30</v>
      </c>
      <c r="B8650" t="s">
        <v>31</v>
      </c>
      <c r="C8650" t="s">
        <v>32</v>
      </c>
      <c r="D8650" t="s">
        <v>953</v>
      </c>
      <c r="E8650" t="s">
        <v>1072</v>
      </c>
      <c r="F8650" t="s">
        <v>35</v>
      </c>
      <c r="G8650" t="s">
        <v>35</v>
      </c>
      <c r="H8650" t="s">
        <v>35</v>
      </c>
      <c r="J8650" t="s">
        <v>7529</v>
      </c>
      <c r="K8650" t="s">
        <v>1092</v>
      </c>
      <c r="M8650">
        <v>9.99</v>
      </c>
      <c r="N8650">
        <v>17</v>
      </c>
      <c r="O8650" t="s">
        <v>46</v>
      </c>
      <c r="Q8650" t="s">
        <v>255</v>
      </c>
      <c r="R8650" t="s">
        <v>6897</v>
      </c>
      <c r="S8650" t="s">
        <v>1062</v>
      </c>
      <c r="T8650" t="s">
        <v>1063</v>
      </c>
    </row>
    <row r="8651" spans="1:20" x14ac:dyDescent="0.25">
      <c r="A8651" t="s">
        <v>59</v>
      </c>
      <c r="B8651" t="s">
        <v>60</v>
      </c>
      <c r="C8651" t="s">
        <v>32</v>
      </c>
      <c r="D8651" t="s">
        <v>953</v>
      </c>
      <c r="E8651" t="s">
        <v>7558</v>
      </c>
      <c r="F8651" t="s">
        <v>35</v>
      </c>
      <c r="G8651" t="s">
        <v>35</v>
      </c>
      <c r="H8651" t="s">
        <v>35</v>
      </c>
      <c r="J8651" t="s">
        <v>7566</v>
      </c>
      <c r="K8651" t="s">
        <v>1092</v>
      </c>
      <c r="M8651">
        <v>5</v>
      </c>
      <c r="N8651">
        <v>54</v>
      </c>
      <c r="O8651" t="s">
        <v>52</v>
      </c>
      <c r="Q8651" t="s">
        <v>671</v>
      </c>
      <c r="R8651" t="s">
        <v>6897</v>
      </c>
      <c r="S8651" t="s">
        <v>1062</v>
      </c>
      <c r="T8651" t="s">
        <v>1063</v>
      </c>
    </row>
    <row r="8652" spans="1:20" x14ac:dyDescent="0.25">
      <c r="A8652" t="s">
        <v>59</v>
      </c>
      <c r="B8652" t="s">
        <v>60</v>
      </c>
      <c r="C8652" t="s">
        <v>32</v>
      </c>
      <c r="D8652" t="s">
        <v>953</v>
      </c>
      <c r="E8652" t="s">
        <v>1015</v>
      </c>
      <c r="F8652" t="s">
        <v>35</v>
      </c>
      <c r="G8652" t="s">
        <v>35</v>
      </c>
      <c r="H8652" t="s">
        <v>35</v>
      </c>
      <c r="J8652" t="s">
        <v>7402</v>
      </c>
      <c r="K8652" t="s">
        <v>1092</v>
      </c>
      <c r="M8652">
        <v>6</v>
      </c>
      <c r="N8652">
        <v>144</v>
      </c>
      <c r="O8652" t="s">
        <v>38</v>
      </c>
      <c r="Q8652" t="s">
        <v>1269</v>
      </c>
      <c r="R8652" t="s">
        <v>6885</v>
      </c>
      <c r="S8652" t="s">
        <v>6886</v>
      </c>
      <c r="T8652" t="s">
        <v>6887</v>
      </c>
    </row>
    <row r="8653" spans="1:20" x14ac:dyDescent="0.25">
      <c r="A8653" t="s">
        <v>59</v>
      </c>
      <c r="B8653" t="s">
        <v>60</v>
      </c>
      <c r="C8653" t="s">
        <v>32</v>
      </c>
      <c r="D8653" t="s">
        <v>953</v>
      </c>
      <c r="E8653" t="s">
        <v>1015</v>
      </c>
      <c r="F8653" t="s">
        <v>35</v>
      </c>
      <c r="G8653" t="s">
        <v>35</v>
      </c>
      <c r="H8653" t="s">
        <v>35</v>
      </c>
      <c r="J8653" t="s">
        <v>7402</v>
      </c>
      <c r="K8653" t="s">
        <v>1092</v>
      </c>
      <c r="M8653">
        <v>2.25</v>
      </c>
      <c r="N8653">
        <v>185</v>
      </c>
      <c r="O8653" t="s">
        <v>5</v>
      </c>
      <c r="Q8653" t="s">
        <v>2046</v>
      </c>
      <c r="R8653" t="s">
        <v>6885</v>
      </c>
      <c r="S8653" t="s">
        <v>6886</v>
      </c>
      <c r="T8653" t="s">
        <v>6887</v>
      </c>
    </row>
    <row r="8654" spans="1:20" x14ac:dyDescent="0.25">
      <c r="A8654" t="s">
        <v>59</v>
      </c>
      <c r="B8654" t="s">
        <v>60</v>
      </c>
      <c r="C8654" t="s">
        <v>32</v>
      </c>
      <c r="D8654" t="s">
        <v>953</v>
      </c>
      <c r="E8654" t="s">
        <v>6878</v>
      </c>
      <c r="F8654" t="s">
        <v>35</v>
      </c>
      <c r="G8654" t="s">
        <v>35</v>
      </c>
      <c r="H8654" t="s">
        <v>35</v>
      </c>
      <c r="J8654" t="s">
        <v>6884</v>
      </c>
      <c r="K8654" t="s">
        <v>1092</v>
      </c>
      <c r="M8654">
        <v>0.28000000000000003</v>
      </c>
      <c r="N8654">
        <v>159</v>
      </c>
      <c r="O8654" t="s">
        <v>38</v>
      </c>
      <c r="Q8654" t="s">
        <v>2316</v>
      </c>
      <c r="R8654" t="s">
        <v>6885</v>
      </c>
      <c r="S8654" t="s">
        <v>6886</v>
      </c>
      <c r="T8654" t="s">
        <v>6887</v>
      </c>
    </row>
    <row r="8655" spans="1:20" x14ac:dyDescent="0.25">
      <c r="A8655" t="s">
        <v>59</v>
      </c>
      <c r="B8655" t="s">
        <v>31</v>
      </c>
      <c r="C8655" t="s">
        <v>32</v>
      </c>
      <c r="D8655" t="s">
        <v>953</v>
      </c>
      <c r="E8655" t="s">
        <v>968</v>
      </c>
      <c r="F8655" t="s">
        <v>35</v>
      </c>
      <c r="G8655" t="s">
        <v>35</v>
      </c>
      <c r="H8655" t="s">
        <v>35</v>
      </c>
      <c r="J8655" t="s">
        <v>7025</v>
      </c>
      <c r="K8655" t="s">
        <v>1092</v>
      </c>
      <c r="M8655">
        <v>9.5399999999999991</v>
      </c>
      <c r="N8655">
        <v>58</v>
      </c>
      <c r="O8655" t="s">
        <v>52</v>
      </c>
      <c r="Q8655" t="s">
        <v>128</v>
      </c>
      <c r="R8655" t="s">
        <v>6897</v>
      </c>
      <c r="S8655" t="s">
        <v>1062</v>
      </c>
      <c r="T8655" t="s">
        <v>1063</v>
      </c>
    </row>
    <row r="8656" spans="1:20" x14ac:dyDescent="0.25">
      <c r="A8656" t="s">
        <v>59</v>
      </c>
      <c r="B8656" t="s">
        <v>60</v>
      </c>
      <c r="C8656" t="s">
        <v>32</v>
      </c>
      <c r="D8656" t="s">
        <v>953</v>
      </c>
      <c r="F8656" t="s">
        <v>35</v>
      </c>
      <c r="G8656" t="s">
        <v>35</v>
      </c>
      <c r="H8656" t="s">
        <v>35</v>
      </c>
      <c r="J8656" t="s">
        <v>7904</v>
      </c>
      <c r="K8656" t="s">
        <v>1092</v>
      </c>
      <c r="M8656">
        <v>3.15</v>
      </c>
      <c r="N8656">
        <v>132</v>
      </c>
      <c r="O8656" t="s">
        <v>38</v>
      </c>
      <c r="Q8656" t="s">
        <v>1696</v>
      </c>
      <c r="R8656" t="s">
        <v>6885</v>
      </c>
      <c r="S8656" t="s">
        <v>6886</v>
      </c>
      <c r="T8656" t="s">
        <v>6887</v>
      </c>
    </row>
    <row r="8657" spans="1:20" x14ac:dyDescent="0.25">
      <c r="A8657" t="s">
        <v>44</v>
      </c>
      <c r="B8657" t="s">
        <v>3</v>
      </c>
      <c r="C8657" t="s">
        <v>32</v>
      </c>
      <c r="D8657" t="s">
        <v>953</v>
      </c>
      <c r="E8657" t="s">
        <v>1077</v>
      </c>
      <c r="F8657" t="s">
        <v>35</v>
      </c>
      <c r="G8657" t="s">
        <v>35</v>
      </c>
      <c r="H8657" t="s">
        <v>35</v>
      </c>
      <c r="J8657" t="s">
        <v>7627</v>
      </c>
      <c r="K8657" t="s">
        <v>1092</v>
      </c>
      <c r="M8657">
        <v>5</v>
      </c>
      <c r="N8657">
        <v>51</v>
      </c>
      <c r="O8657" t="s">
        <v>52</v>
      </c>
      <c r="Q8657" t="s">
        <v>58</v>
      </c>
      <c r="R8657" t="s">
        <v>6885</v>
      </c>
      <c r="S8657" t="s">
        <v>6886</v>
      </c>
      <c r="T8657" t="s">
        <v>6887</v>
      </c>
    </row>
    <row r="8658" spans="1:20" x14ac:dyDescent="0.25">
      <c r="A8658" t="s">
        <v>59</v>
      </c>
      <c r="B8658" t="s">
        <v>60</v>
      </c>
      <c r="C8658" t="s">
        <v>32</v>
      </c>
      <c r="D8658" t="s">
        <v>953</v>
      </c>
      <c r="E8658" t="s">
        <v>1077</v>
      </c>
      <c r="F8658" t="s">
        <v>35</v>
      </c>
      <c r="G8658" t="s">
        <v>35</v>
      </c>
      <c r="H8658" t="s">
        <v>35</v>
      </c>
      <c r="J8658" t="s">
        <v>7627</v>
      </c>
      <c r="K8658" t="s">
        <v>1092</v>
      </c>
      <c r="M8658">
        <v>12.75</v>
      </c>
      <c r="N8658">
        <v>67</v>
      </c>
      <c r="O8658" t="s">
        <v>61</v>
      </c>
      <c r="Q8658" t="s">
        <v>488</v>
      </c>
      <c r="R8658" t="s">
        <v>6885</v>
      </c>
      <c r="S8658" t="s">
        <v>6886</v>
      </c>
      <c r="T8658" t="s">
        <v>6887</v>
      </c>
    </row>
    <row r="8659" spans="1:20" x14ac:dyDescent="0.25">
      <c r="A8659" t="s">
        <v>59</v>
      </c>
      <c r="B8659" t="s">
        <v>60</v>
      </c>
      <c r="C8659" t="s">
        <v>32</v>
      </c>
      <c r="D8659" t="s">
        <v>953</v>
      </c>
      <c r="E8659" t="s">
        <v>7558</v>
      </c>
      <c r="F8659" t="s">
        <v>35</v>
      </c>
      <c r="G8659" t="s">
        <v>35</v>
      </c>
      <c r="H8659" t="s">
        <v>35</v>
      </c>
      <c r="J8659" t="s">
        <v>7559</v>
      </c>
      <c r="K8659" t="s">
        <v>404</v>
      </c>
      <c r="M8659">
        <v>9.1</v>
      </c>
      <c r="N8659">
        <v>144</v>
      </c>
      <c r="O8659" t="s">
        <v>38</v>
      </c>
      <c r="Q8659" t="s">
        <v>1269</v>
      </c>
      <c r="R8659" t="s">
        <v>6885</v>
      </c>
      <c r="S8659" t="s">
        <v>6886</v>
      </c>
      <c r="T8659" t="s">
        <v>6887</v>
      </c>
    </row>
    <row r="8660" spans="1:20" x14ac:dyDescent="0.25">
      <c r="A8660" t="s">
        <v>59</v>
      </c>
      <c r="B8660" t="s">
        <v>31</v>
      </c>
      <c r="C8660" t="s">
        <v>32</v>
      </c>
      <c r="D8660" t="s">
        <v>953</v>
      </c>
      <c r="E8660" t="s">
        <v>7164</v>
      </c>
      <c r="F8660" t="s">
        <v>35</v>
      </c>
      <c r="G8660" t="s">
        <v>35</v>
      </c>
      <c r="H8660" t="s">
        <v>35</v>
      </c>
      <c r="J8660" t="s">
        <v>7174</v>
      </c>
      <c r="K8660" t="s">
        <v>1092</v>
      </c>
      <c r="M8660">
        <v>9.99</v>
      </c>
      <c r="N8660">
        <v>77</v>
      </c>
      <c r="O8660" t="s">
        <v>61</v>
      </c>
      <c r="Q8660" t="s">
        <v>778</v>
      </c>
      <c r="R8660" t="s">
        <v>6897</v>
      </c>
      <c r="S8660" t="s">
        <v>1062</v>
      </c>
      <c r="T8660" t="s">
        <v>1063</v>
      </c>
    </row>
    <row r="8661" spans="1:20" x14ac:dyDescent="0.25">
      <c r="A8661" t="s">
        <v>59</v>
      </c>
      <c r="B8661" t="s">
        <v>60</v>
      </c>
      <c r="C8661" t="s">
        <v>32</v>
      </c>
      <c r="D8661" t="s">
        <v>953</v>
      </c>
      <c r="E8661" t="s">
        <v>1077</v>
      </c>
      <c r="F8661" t="s">
        <v>35</v>
      </c>
      <c r="G8661" t="s">
        <v>35</v>
      </c>
      <c r="H8661" t="s">
        <v>35</v>
      </c>
      <c r="J8661" t="s">
        <v>7719</v>
      </c>
      <c r="K8661" t="s">
        <v>404</v>
      </c>
      <c r="M8661">
        <v>11</v>
      </c>
      <c r="N8661">
        <v>72</v>
      </c>
      <c r="O8661" t="s">
        <v>61</v>
      </c>
      <c r="Q8661" t="s">
        <v>1156</v>
      </c>
      <c r="R8661" t="s">
        <v>6885</v>
      </c>
      <c r="S8661" t="s">
        <v>6886</v>
      </c>
      <c r="T8661" t="s">
        <v>6887</v>
      </c>
    </row>
    <row r="8662" spans="1:20" x14ac:dyDescent="0.25">
      <c r="A8662" t="s">
        <v>59</v>
      </c>
      <c r="B8662" t="s">
        <v>31</v>
      </c>
      <c r="C8662" t="s">
        <v>32</v>
      </c>
      <c r="D8662" t="s">
        <v>953</v>
      </c>
      <c r="E8662" t="s">
        <v>1077</v>
      </c>
      <c r="F8662" t="s">
        <v>35</v>
      </c>
      <c r="G8662" t="s">
        <v>35</v>
      </c>
      <c r="H8662" t="s">
        <v>35</v>
      </c>
      <c r="J8662" t="s">
        <v>7629</v>
      </c>
      <c r="K8662" t="s">
        <v>1092</v>
      </c>
      <c r="M8662">
        <v>0.27</v>
      </c>
      <c r="N8662">
        <v>2147</v>
      </c>
      <c r="O8662" t="s">
        <v>575</v>
      </c>
      <c r="Q8662" t="s">
        <v>7630</v>
      </c>
      <c r="R8662" t="s">
        <v>6897</v>
      </c>
      <c r="S8662" t="s">
        <v>1062</v>
      </c>
      <c r="T8662" t="s">
        <v>1063</v>
      </c>
    </row>
    <row r="8663" spans="1:20" x14ac:dyDescent="0.25">
      <c r="A8663" t="s">
        <v>30</v>
      </c>
      <c r="B8663" t="s">
        <v>31</v>
      </c>
      <c r="C8663" t="s">
        <v>32</v>
      </c>
      <c r="D8663" t="s">
        <v>953</v>
      </c>
      <c r="E8663" t="s">
        <v>998</v>
      </c>
      <c r="F8663" t="s">
        <v>35</v>
      </c>
      <c r="G8663" t="s">
        <v>35</v>
      </c>
      <c r="H8663" t="s">
        <v>35</v>
      </c>
      <c r="J8663" t="s">
        <v>7236</v>
      </c>
      <c r="K8663" t="s">
        <v>1092</v>
      </c>
      <c r="M8663">
        <v>3.78</v>
      </c>
      <c r="N8663">
        <v>17</v>
      </c>
      <c r="O8663" t="s">
        <v>46</v>
      </c>
      <c r="Q8663" t="s">
        <v>255</v>
      </c>
      <c r="R8663" t="s">
        <v>6897</v>
      </c>
      <c r="S8663" t="s">
        <v>1062</v>
      </c>
      <c r="T8663" t="s">
        <v>1063</v>
      </c>
    </row>
    <row r="8664" spans="1:20" x14ac:dyDescent="0.25">
      <c r="A8664" t="s">
        <v>44</v>
      </c>
      <c r="B8664" t="s">
        <v>3</v>
      </c>
      <c r="C8664" t="s">
        <v>32</v>
      </c>
      <c r="D8664" t="s">
        <v>953</v>
      </c>
      <c r="E8664" t="s">
        <v>1007</v>
      </c>
      <c r="F8664" t="s">
        <v>35</v>
      </c>
      <c r="G8664" t="s">
        <v>35</v>
      </c>
      <c r="H8664" t="s">
        <v>35</v>
      </c>
      <c r="J8664" t="s">
        <v>7328</v>
      </c>
      <c r="K8664" t="s">
        <v>1092</v>
      </c>
      <c r="M8664">
        <v>5</v>
      </c>
      <c r="N8664">
        <v>51</v>
      </c>
      <c r="O8664" t="s">
        <v>52</v>
      </c>
      <c r="Q8664" t="s">
        <v>58</v>
      </c>
      <c r="R8664" t="s">
        <v>6885</v>
      </c>
      <c r="S8664" t="s">
        <v>6886</v>
      </c>
      <c r="T8664" t="s">
        <v>6887</v>
      </c>
    </row>
    <row r="8665" spans="1:20" x14ac:dyDescent="0.25">
      <c r="A8665" t="s">
        <v>59</v>
      </c>
      <c r="B8665" t="s">
        <v>60</v>
      </c>
      <c r="C8665" t="s">
        <v>32</v>
      </c>
      <c r="D8665" t="s">
        <v>953</v>
      </c>
      <c r="E8665" t="s">
        <v>968</v>
      </c>
      <c r="F8665" t="s">
        <v>35</v>
      </c>
      <c r="G8665" t="s">
        <v>35</v>
      </c>
      <c r="H8665" t="s">
        <v>35</v>
      </c>
      <c r="J8665" t="s">
        <v>7035</v>
      </c>
      <c r="K8665" t="s">
        <v>1092</v>
      </c>
      <c r="M8665">
        <v>10</v>
      </c>
      <c r="N8665">
        <v>126</v>
      </c>
      <c r="O8665" t="s">
        <v>38</v>
      </c>
      <c r="Q8665" t="s">
        <v>68</v>
      </c>
      <c r="R8665" t="s">
        <v>6897</v>
      </c>
      <c r="S8665" t="s">
        <v>1062</v>
      </c>
      <c r="T8665" t="s">
        <v>1063</v>
      </c>
    </row>
    <row r="8666" spans="1:20" x14ac:dyDescent="0.25">
      <c r="A8666" t="s">
        <v>44</v>
      </c>
      <c r="B8666" t="s">
        <v>3</v>
      </c>
      <c r="C8666" t="s">
        <v>32</v>
      </c>
      <c r="D8666" t="s">
        <v>953</v>
      </c>
      <c r="E8666" t="s">
        <v>7558</v>
      </c>
      <c r="F8666" t="s">
        <v>35</v>
      </c>
      <c r="G8666" t="s">
        <v>35</v>
      </c>
      <c r="H8666" t="s">
        <v>35</v>
      </c>
      <c r="J8666" t="s">
        <v>7582</v>
      </c>
      <c r="K8666" t="s">
        <v>1092</v>
      </c>
      <c r="M8666">
        <v>2</v>
      </c>
      <c r="N8666">
        <v>51</v>
      </c>
      <c r="O8666" t="s">
        <v>52</v>
      </c>
      <c r="Q8666" t="s">
        <v>58</v>
      </c>
      <c r="R8666" t="s">
        <v>6885</v>
      </c>
      <c r="S8666" t="s">
        <v>6886</v>
      </c>
      <c r="T8666" t="s">
        <v>6887</v>
      </c>
    </row>
    <row r="8667" spans="1:20" x14ac:dyDescent="0.25">
      <c r="A8667" t="s">
        <v>59</v>
      </c>
      <c r="B8667" t="s">
        <v>60</v>
      </c>
      <c r="C8667" t="s">
        <v>32</v>
      </c>
      <c r="D8667" t="s">
        <v>953</v>
      </c>
      <c r="E8667" t="s">
        <v>7558</v>
      </c>
      <c r="F8667" t="s">
        <v>35</v>
      </c>
      <c r="G8667" t="s">
        <v>35</v>
      </c>
      <c r="H8667" t="s">
        <v>35</v>
      </c>
      <c r="J8667" t="s">
        <v>7582</v>
      </c>
      <c r="K8667" t="s">
        <v>1092</v>
      </c>
      <c r="M8667">
        <v>7</v>
      </c>
      <c r="N8667">
        <v>32</v>
      </c>
      <c r="O8667" t="s">
        <v>52</v>
      </c>
      <c r="Q8667" t="s">
        <v>816</v>
      </c>
      <c r="R8667" t="s">
        <v>6885</v>
      </c>
      <c r="S8667" t="s">
        <v>6886</v>
      </c>
      <c r="T8667" t="s">
        <v>6887</v>
      </c>
    </row>
    <row r="8668" spans="1:20" x14ac:dyDescent="0.25">
      <c r="A8668" t="s">
        <v>44</v>
      </c>
      <c r="B8668" t="s">
        <v>3</v>
      </c>
      <c r="C8668" t="s">
        <v>32</v>
      </c>
      <c r="D8668" t="s">
        <v>953</v>
      </c>
      <c r="E8668" t="s">
        <v>7558</v>
      </c>
      <c r="F8668" t="s">
        <v>35</v>
      </c>
      <c r="G8668" t="s">
        <v>35</v>
      </c>
      <c r="H8668" t="s">
        <v>35</v>
      </c>
      <c r="J8668" t="s">
        <v>7561</v>
      </c>
      <c r="K8668" t="s">
        <v>1092</v>
      </c>
      <c r="M8668">
        <v>1.65</v>
      </c>
      <c r="N8668">
        <v>51</v>
      </c>
      <c r="O8668" t="s">
        <v>52</v>
      </c>
      <c r="Q8668" t="s">
        <v>58</v>
      </c>
      <c r="R8668" t="s">
        <v>6885</v>
      </c>
      <c r="S8668" t="s">
        <v>6886</v>
      </c>
      <c r="T8668" t="s">
        <v>6887</v>
      </c>
    </row>
    <row r="8669" spans="1:20" x14ac:dyDescent="0.25">
      <c r="A8669" t="s">
        <v>59</v>
      </c>
      <c r="B8669" t="s">
        <v>60</v>
      </c>
      <c r="C8669" t="s">
        <v>32</v>
      </c>
      <c r="D8669" t="s">
        <v>953</v>
      </c>
      <c r="E8669" t="s">
        <v>7467</v>
      </c>
      <c r="F8669" t="s">
        <v>35</v>
      </c>
      <c r="G8669" t="s">
        <v>35</v>
      </c>
      <c r="H8669" t="s">
        <v>35</v>
      </c>
      <c r="J8669" t="s">
        <v>7469</v>
      </c>
      <c r="K8669" t="s">
        <v>1092</v>
      </c>
      <c r="M8669">
        <v>0.25</v>
      </c>
      <c r="N8669">
        <v>67</v>
      </c>
      <c r="O8669" t="s">
        <v>61</v>
      </c>
      <c r="Q8669" t="s">
        <v>488</v>
      </c>
      <c r="R8669" t="s">
        <v>6885</v>
      </c>
      <c r="S8669" t="s">
        <v>6886</v>
      </c>
      <c r="T8669" t="s">
        <v>6887</v>
      </c>
    </row>
    <row r="8670" spans="1:20" x14ac:dyDescent="0.25">
      <c r="A8670" t="s">
        <v>44</v>
      </c>
      <c r="B8670" t="s">
        <v>3</v>
      </c>
      <c r="C8670" t="s">
        <v>32</v>
      </c>
      <c r="D8670" t="s">
        <v>953</v>
      </c>
      <c r="E8670" t="s">
        <v>1072</v>
      </c>
      <c r="F8670" t="s">
        <v>35</v>
      </c>
      <c r="G8670" t="s">
        <v>35</v>
      </c>
      <c r="H8670" t="s">
        <v>35</v>
      </c>
      <c r="J8670" t="s">
        <v>7522</v>
      </c>
      <c r="K8670" t="s">
        <v>1092</v>
      </c>
      <c r="M8670">
        <v>5</v>
      </c>
      <c r="N8670">
        <v>51</v>
      </c>
      <c r="O8670" t="s">
        <v>52</v>
      </c>
      <c r="Q8670" t="s">
        <v>58</v>
      </c>
      <c r="R8670" t="s">
        <v>6885</v>
      </c>
      <c r="S8670" t="s">
        <v>6886</v>
      </c>
      <c r="T8670" t="s">
        <v>6887</v>
      </c>
    </row>
    <row r="8671" spans="1:20" x14ac:dyDescent="0.25">
      <c r="A8671" t="s">
        <v>44</v>
      </c>
      <c r="B8671" t="s">
        <v>3</v>
      </c>
      <c r="C8671" t="s">
        <v>32</v>
      </c>
      <c r="D8671" t="s">
        <v>953</v>
      </c>
      <c r="E8671" t="s">
        <v>1015</v>
      </c>
      <c r="F8671" t="s">
        <v>35</v>
      </c>
      <c r="G8671" t="s">
        <v>35</v>
      </c>
      <c r="H8671" t="s">
        <v>35</v>
      </c>
      <c r="J8671" t="s">
        <v>7466</v>
      </c>
      <c r="K8671" t="s">
        <v>1092</v>
      </c>
      <c r="M8671">
        <v>1</v>
      </c>
      <c r="N8671">
        <v>47</v>
      </c>
      <c r="O8671" t="s">
        <v>52</v>
      </c>
      <c r="Q8671" t="s">
        <v>1207</v>
      </c>
      <c r="R8671" t="s">
        <v>6897</v>
      </c>
      <c r="S8671" t="s">
        <v>1062</v>
      </c>
      <c r="T8671" t="s">
        <v>1063</v>
      </c>
    </row>
    <row r="8672" spans="1:20" x14ac:dyDescent="0.25">
      <c r="A8672" t="s">
        <v>59</v>
      </c>
      <c r="B8672" t="s">
        <v>60</v>
      </c>
      <c r="C8672" t="s">
        <v>32</v>
      </c>
      <c r="D8672" t="s">
        <v>953</v>
      </c>
      <c r="F8672" t="s">
        <v>35</v>
      </c>
      <c r="G8672" t="s">
        <v>35</v>
      </c>
      <c r="H8672" t="s">
        <v>35</v>
      </c>
      <c r="J8672" t="s">
        <v>7919</v>
      </c>
      <c r="K8672" t="s">
        <v>1092</v>
      </c>
      <c r="M8672">
        <v>5.1999999999999998E-2</v>
      </c>
      <c r="N8672">
        <v>777</v>
      </c>
      <c r="O8672" t="s">
        <v>575</v>
      </c>
      <c r="Q8672" t="s">
        <v>7920</v>
      </c>
      <c r="R8672" t="s">
        <v>6897</v>
      </c>
      <c r="S8672" t="s">
        <v>1062</v>
      </c>
      <c r="T8672" t="s">
        <v>1063</v>
      </c>
    </row>
    <row r="8673" spans="1:20" x14ac:dyDescent="0.25">
      <c r="A8673" t="s">
        <v>44</v>
      </c>
      <c r="B8673" t="s">
        <v>3</v>
      </c>
      <c r="C8673" t="s">
        <v>32</v>
      </c>
      <c r="D8673" t="s">
        <v>953</v>
      </c>
      <c r="F8673" t="s">
        <v>35</v>
      </c>
      <c r="G8673" t="s">
        <v>35</v>
      </c>
      <c r="H8673" t="s">
        <v>35</v>
      </c>
      <c r="J8673" t="s">
        <v>7919</v>
      </c>
      <c r="K8673" t="s">
        <v>1092</v>
      </c>
      <c r="M8673">
        <v>2.5</v>
      </c>
      <c r="N8673">
        <v>11</v>
      </c>
      <c r="O8673" t="s">
        <v>46</v>
      </c>
      <c r="Q8673" t="s">
        <v>1476</v>
      </c>
      <c r="R8673" t="s">
        <v>6897</v>
      </c>
      <c r="S8673" t="s">
        <v>1062</v>
      </c>
      <c r="T8673" t="s">
        <v>1063</v>
      </c>
    </row>
    <row r="8674" spans="1:20" x14ac:dyDescent="0.25">
      <c r="A8674" t="s">
        <v>59</v>
      </c>
      <c r="B8674" t="s">
        <v>60</v>
      </c>
      <c r="C8674" t="s">
        <v>32</v>
      </c>
      <c r="D8674" t="s">
        <v>953</v>
      </c>
      <c r="F8674" t="s">
        <v>35</v>
      </c>
      <c r="G8674" t="s">
        <v>35</v>
      </c>
      <c r="H8674" t="s">
        <v>35</v>
      </c>
      <c r="J8674" t="s">
        <v>7919</v>
      </c>
      <c r="K8674" t="s">
        <v>1092</v>
      </c>
      <c r="M8674">
        <v>2.5</v>
      </c>
      <c r="N8674">
        <v>11</v>
      </c>
      <c r="O8674" t="s">
        <v>46</v>
      </c>
      <c r="Q8674" t="s">
        <v>1476</v>
      </c>
      <c r="R8674" t="s">
        <v>6897</v>
      </c>
      <c r="S8674" t="s">
        <v>1062</v>
      </c>
      <c r="T8674" t="s">
        <v>1063</v>
      </c>
    </row>
    <row r="8675" spans="1:20" x14ac:dyDescent="0.25">
      <c r="A8675" t="s">
        <v>30</v>
      </c>
      <c r="B8675" t="s">
        <v>31</v>
      </c>
      <c r="C8675" t="s">
        <v>32</v>
      </c>
      <c r="D8675" t="s">
        <v>953</v>
      </c>
      <c r="F8675" t="s">
        <v>35</v>
      </c>
      <c r="G8675" t="s">
        <v>35</v>
      </c>
      <c r="H8675" t="s">
        <v>35</v>
      </c>
      <c r="J8675" t="s">
        <v>7919</v>
      </c>
      <c r="K8675" t="s">
        <v>1092</v>
      </c>
      <c r="M8675">
        <v>0.29499999999999998</v>
      </c>
      <c r="N8675">
        <v>273</v>
      </c>
      <c r="O8675" t="s">
        <v>5</v>
      </c>
      <c r="Q8675" t="s">
        <v>4595</v>
      </c>
      <c r="R8675" t="s">
        <v>6897</v>
      </c>
      <c r="S8675" t="s">
        <v>1062</v>
      </c>
      <c r="T8675" t="s">
        <v>1063</v>
      </c>
    </row>
    <row r="8676" spans="1:20" x14ac:dyDescent="0.25">
      <c r="A8676" t="s">
        <v>44</v>
      </c>
      <c r="B8676" t="s">
        <v>3</v>
      </c>
      <c r="C8676" t="s">
        <v>32</v>
      </c>
      <c r="D8676" t="s">
        <v>953</v>
      </c>
      <c r="E8676" t="s">
        <v>7467</v>
      </c>
      <c r="F8676" t="s">
        <v>35</v>
      </c>
      <c r="G8676" t="s">
        <v>35</v>
      </c>
      <c r="H8676" t="s">
        <v>35</v>
      </c>
      <c r="J8676" t="s">
        <v>2419</v>
      </c>
      <c r="K8676" t="s">
        <v>1092</v>
      </c>
      <c r="M8676">
        <v>0.4</v>
      </c>
      <c r="N8676">
        <v>478</v>
      </c>
      <c r="O8676" t="s">
        <v>294</v>
      </c>
      <c r="Q8676" t="s">
        <v>7488</v>
      </c>
      <c r="R8676" t="s">
        <v>6897</v>
      </c>
      <c r="S8676" t="s">
        <v>1062</v>
      </c>
      <c r="T8676" t="s">
        <v>1063</v>
      </c>
    </row>
    <row r="8677" spans="1:20" x14ac:dyDescent="0.25">
      <c r="A8677" t="s">
        <v>59</v>
      </c>
      <c r="B8677" t="s">
        <v>60</v>
      </c>
      <c r="C8677" t="s">
        <v>32</v>
      </c>
      <c r="D8677" t="s">
        <v>953</v>
      </c>
      <c r="E8677" t="s">
        <v>6878</v>
      </c>
      <c r="F8677" t="s">
        <v>35</v>
      </c>
      <c r="G8677" t="s">
        <v>35</v>
      </c>
      <c r="H8677" t="s">
        <v>35</v>
      </c>
      <c r="J8677" t="s">
        <v>6883</v>
      </c>
      <c r="K8677" t="s">
        <v>1092</v>
      </c>
      <c r="M8677">
        <v>2.5499999999999998</v>
      </c>
      <c r="N8677">
        <v>143</v>
      </c>
      <c r="O8677" t="s">
        <v>38</v>
      </c>
      <c r="Q8677" t="s">
        <v>1612</v>
      </c>
      <c r="R8677" t="s">
        <v>6897</v>
      </c>
      <c r="S8677" t="s">
        <v>1062</v>
      </c>
      <c r="T8677" t="s">
        <v>1063</v>
      </c>
    </row>
    <row r="8678" spans="1:20" x14ac:dyDescent="0.25">
      <c r="A8678" t="s">
        <v>59</v>
      </c>
      <c r="B8678" t="s">
        <v>60</v>
      </c>
      <c r="C8678" t="s">
        <v>32</v>
      </c>
      <c r="D8678" t="s">
        <v>953</v>
      </c>
      <c r="E8678" t="s">
        <v>1077</v>
      </c>
      <c r="F8678" t="s">
        <v>35</v>
      </c>
      <c r="G8678" t="s">
        <v>35</v>
      </c>
      <c r="H8678" t="s">
        <v>35</v>
      </c>
      <c r="J8678" t="s">
        <v>7636</v>
      </c>
      <c r="K8678" t="s">
        <v>1092</v>
      </c>
      <c r="M8678">
        <v>4.25</v>
      </c>
      <c r="N8678">
        <v>58</v>
      </c>
      <c r="O8678" t="s">
        <v>52</v>
      </c>
      <c r="Q8678" t="s">
        <v>128</v>
      </c>
      <c r="R8678" t="s">
        <v>6897</v>
      </c>
      <c r="S8678" t="s">
        <v>1062</v>
      </c>
      <c r="T8678" t="s">
        <v>1063</v>
      </c>
    </row>
    <row r="8679" spans="1:20" x14ac:dyDescent="0.25">
      <c r="A8679" t="s">
        <v>59</v>
      </c>
      <c r="B8679" t="s">
        <v>31</v>
      </c>
      <c r="C8679" t="s">
        <v>32</v>
      </c>
      <c r="D8679" t="s">
        <v>953</v>
      </c>
      <c r="E8679" t="s">
        <v>7467</v>
      </c>
      <c r="F8679" t="s">
        <v>35</v>
      </c>
      <c r="G8679" t="s">
        <v>35</v>
      </c>
      <c r="H8679" t="s">
        <v>35</v>
      </c>
      <c r="J8679" t="s">
        <v>7479</v>
      </c>
      <c r="K8679" t="s">
        <v>1092</v>
      </c>
      <c r="M8679">
        <v>2.2949999999999999</v>
      </c>
      <c r="N8679">
        <v>105</v>
      </c>
      <c r="O8679" t="s">
        <v>106</v>
      </c>
      <c r="Q8679" t="s">
        <v>171</v>
      </c>
      <c r="R8679" t="s">
        <v>6897</v>
      </c>
      <c r="S8679" t="s">
        <v>1062</v>
      </c>
      <c r="T8679" t="s">
        <v>1063</v>
      </c>
    </row>
    <row r="8680" spans="1:20" x14ac:dyDescent="0.25">
      <c r="A8680" t="s">
        <v>59</v>
      </c>
      <c r="B8680" t="s">
        <v>60</v>
      </c>
      <c r="C8680" t="s">
        <v>32</v>
      </c>
      <c r="D8680" t="s">
        <v>953</v>
      </c>
      <c r="E8680" t="s">
        <v>7558</v>
      </c>
      <c r="F8680" t="s">
        <v>35</v>
      </c>
      <c r="G8680" t="s">
        <v>35</v>
      </c>
      <c r="H8680" t="s">
        <v>35</v>
      </c>
      <c r="J8680" t="s">
        <v>7606</v>
      </c>
      <c r="K8680" t="s">
        <v>1092</v>
      </c>
      <c r="M8680">
        <v>1.2999999999999999E-2</v>
      </c>
      <c r="N8680">
        <v>529</v>
      </c>
      <c r="O8680" t="s">
        <v>294</v>
      </c>
      <c r="Q8680" t="s">
        <v>7607</v>
      </c>
      <c r="R8680" t="s">
        <v>6897</v>
      </c>
      <c r="S8680" t="s">
        <v>1062</v>
      </c>
      <c r="T8680" t="s">
        <v>1063</v>
      </c>
    </row>
    <row r="8681" spans="1:20" x14ac:dyDescent="0.25">
      <c r="A8681" t="s">
        <v>59</v>
      </c>
      <c r="B8681" t="s">
        <v>60</v>
      </c>
      <c r="C8681" t="s">
        <v>32</v>
      </c>
      <c r="D8681" t="s">
        <v>953</v>
      </c>
      <c r="E8681" t="s">
        <v>1015</v>
      </c>
      <c r="F8681" t="s">
        <v>35</v>
      </c>
      <c r="G8681" t="s">
        <v>35</v>
      </c>
      <c r="H8681" t="s">
        <v>35</v>
      </c>
      <c r="J8681" t="s">
        <v>7342</v>
      </c>
      <c r="K8681" t="s">
        <v>1092</v>
      </c>
      <c r="M8681">
        <v>5</v>
      </c>
      <c r="N8681">
        <v>72</v>
      </c>
      <c r="O8681" t="s">
        <v>61</v>
      </c>
      <c r="Q8681" t="s">
        <v>1156</v>
      </c>
      <c r="R8681" t="s">
        <v>6885</v>
      </c>
      <c r="S8681" t="s">
        <v>6886</v>
      </c>
      <c r="T8681" t="s">
        <v>6887</v>
      </c>
    </row>
    <row r="8682" spans="1:20" x14ac:dyDescent="0.25">
      <c r="A8682" t="s">
        <v>44</v>
      </c>
      <c r="B8682" t="s">
        <v>3</v>
      </c>
      <c r="C8682" t="s">
        <v>32</v>
      </c>
      <c r="D8682" t="s">
        <v>953</v>
      </c>
      <c r="E8682" t="s">
        <v>968</v>
      </c>
      <c r="F8682" t="s">
        <v>35</v>
      </c>
      <c r="G8682" t="s">
        <v>35</v>
      </c>
      <c r="H8682" t="s">
        <v>35</v>
      </c>
      <c r="J8682" t="s">
        <v>7002</v>
      </c>
      <c r="K8682" t="s">
        <v>1092</v>
      </c>
      <c r="M8682">
        <v>3</v>
      </c>
      <c r="N8682">
        <v>27</v>
      </c>
      <c r="O8682" t="s">
        <v>46</v>
      </c>
      <c r="Q8682" t="s">
        <v>809</v>
      </c>
      <c r="R8682" t="s">
        <v>6897</v>
      </c>
      <c r="S8682" t="s">
        <v>1062</v>
      </c>
      <c r="T8682" t="s">
        <v>1063</v>
      </c>
    </row>
    <row r="8683" spans="1:20" x14ac:dyDescent="0.25">
      <c r="A8683" t="s">
        <v>44</v>
      </c>
      <c r="B8683" t="s">
        <v>3</v>
      </c>
      <c r="C8683" t="s">
        <v>32</v>
      </c>
      <c r="D8683" t="s">
        <v>953</v>
      </c>
      <c r="E8683" t="s">
        <v>1072</v>
      </c>
      <c r="F8683" t="s">
        <v>35</v>
      </c>
      <c r="G8683" t="s">
        <v>35</v>
      </c>
      <c r="H8683" t="s">
        <v>35</v>
      </c>
      <c r="J8683" t="s">
        <v>7513</v>
      </c>
      <c r="K8683" t="s">
        <v>1092</v>
      </c>
      <c r="M8683">
        <v>5</v>
      </c>
      <c r="N8683">
        <v>51</v>
      </c>
      <c r="O8683" t="s">
        <v>52</v>
      </c>
      <c r="Q8683" t="s">
        <v>58</v>
      </c>
      <c r="R8683" t="s">
        <v>6885</v>
      </c>
      <c r="S8683" t="s">
        <v>6886</v>
      </c>
      <c r="T8683" t="s">
        <v>6887</v>
      </c>
    </row>
    <row r="8684" spans="1:20" x14ac:dyDescent="0.25">
      <c r="A8684" t="s">
        <v>59</v>
      </c>
      <c r="B8684" t="s">
        <v>60</v>
      </c>
      <c r="C8684" t="s">
        <v>32</v>
      </c>
      <c r="D8684" t="s">
        <v>953</v>
      </c>
      <c r="E8684" t="s">
        <v>1015</v>
      </c>
      <c r="F8684" t="s">
        <v>35</v>
      </c>
      <c r="G8684" t="s">
        <v>35</v>
      </c>
      <c r="H8684" t="s">
        <v>35</v>
      </c>
      <c r="J8684" t="s">
        <v>7382</v>
      </c>
      <c r="K8684" t="s">
        <v>1092</v>
      </c>
      <c r="M8684">
        <v>1.95</v>
      </c>
      <c r="N8684">
        <v>98</v>
      </c>
      <c r="O8684" t="s">
        <v>106</v>
      </c>
      <c r="Q8684" t="s">
        <v>4971</v>
      </c>
      <c r="R8684" t="s">
        <v>6885</v>
      </c>
      <c r="S8684" t="s">
        <v>6886</v>
      </c>
      <c r="T8684" t="s">
        <v>6887</v>
      </c>
    </row>
    <row r="8685" spans="1:20" x14ac:dyDescent="0.25">
      <c r="A8685" t="s">
        <v>59</v>
      </c>
      <c r="B8685" t="s">
        <v>60</v>
      </c>
      <c r="C8685" t="s">
        <v>32</v>
      </c>
      <c r="D8685" t="s">
        <v>953</v>
      </c>
      <c r="E8685" t="s">
        <v>968</v>
      </c>
      <c r="F8685" t="s">
        <v>35</v>
      </c>
      <c r="G8685" t="s">
        <v>35</v>
      </c>
      <c r="H8685" t="s">
        <v>35</v>
      </c>
      <c r="J8685" t="s">
        <v>7024</v>
      </c>
      <c r="K8685" t="s">
        <v>1092</v>
      </c>
      <c r="M8685">
        <v>2.2999999999999998</v>
      </c>
      <c r="N8685">
        <v>73</v>
      </c>
      <c r="O8685" t="s">
        <v>61</v>
      </c>
      <c r="Q8685" t="s">
        <v>477</v>
      </c>
      <c r="R8685" t="s">
        <v>6897</v>
      </c>
      <c r="S8685" t="s">
        <v>1062</v>
      </c>
      <c r="T8685" t="s">
        <v>1063</v>
      </c>
    </row>
    <row r="8686" spans="1:20" x14ac:dyDescent="0.25">
      <c r="A8686" t="s">
        <v>44</v>
      </c>
      <c r="B8686" t="s">
        <v>3</v>
      </c>
      <c r="C8686" t="s">
        <v>32</v>
      </c>
      <c r="D8686" t="s">
        <v>953</v>
      </c>
      <c r="E8686" t="s">
        <v>1015</v>
      </c>
      <c r="F8686" t="s">
        <v>35</v>
      </c>
      <c r="G8686" t="s">
        <v>35</v>
      </c>
      <c r="H8686" t="s">
        <v>35</v>
      </c>
      <c r="J8686" t="s">
        <v>7368</v>
      </c>
      <c r="K8686" t="s">
        <v>1092</v>
      </c>
      <c r="M8686">
        <v>1</v>
      </c>
      <c r="N8686">
        <v>47</v>
      </c>
      <c r="O8686" t="s">
        <v>52</v>
      </c>
      <c r="Q8686" t="s">
        <v>1207</v>
      </c>
      <c r="R8686" t="s">
        <v>6897</v>
      </c>
      <c r="S8686" t="s">
        <v>1062</v>
      </c>
      <c r="T8686" t="s">
        <v>1063</v>
      </c>
    </row>
    <row r="8687" spans="1:20" x14ac:dyDescent="0.25">
      <c r="A8687" t="s">
        <v>59</v>
      </c>
      <c r="B8687" t="s">
        <v>31</v>
      </c>
      <c r="C8687" t="s">
        <v>32</v>
      </c>
      <c r="D8687" t="s">
        <v>953</v>
      </c>
      <c r="E8687" t="s">
        <v>1015</v>
      </c>
      <c r="F8687" t="s">
        <v>35</v>
      </c>
      <c r="G8687" t="s">
        <v>35</v>
      </c>
      <c r="H8687" t="s">
        <v>35</v>
      </c>
      <c r="J8687" t="s">
        <v>7412</v>
      </c>
      <c r="K8687" t="s">
        <v>1092</v>
      </c>
      <c r="M8687">
        <v>0.54</v>
      </c>
      <c r="N8687">
        <v>245</v>
      </c>
      <c r="O8687" t="s">
        <v>5</v>
      </c>
      <c r="Q8687" t="s">
        <v>1222</v>
      </c>
      <c r="R8687" t="s">
        <v>6897</v>
      </c>
      <c r="S8687" t="s">
        <v>1062</v>
      </c>
      <c r="T8687" t="s">
        <v>1063</v>
      </c>
    </row>
    <row r="8688" spans="1:20" x14ac:dyDescent="0.25">
      <c r="A8688" t="s">
        <v>30</v>
      </c>
      <c r="B8688" t="s">
        <v>31</v>
      </c>
      <c r="C8688" t="s">
        <v>32</v>
      </c>
      <c r="D8688" t="s">
        <v>953</v>
      </c>
      <c r="F8688" t="s">
        <v>35</v>
      </c>
      <c r="G8688" t="s">
        <v>35</v>
      </c>
      <c r="H8688" t="s">
        <v>35</v>
      </c>
      <c r="J8688" t="s">
        <v>7895</v>
      </c>
      <c r="K8688" t="s">
        <v>1092</v>
      </c>
      <c r="M8688">
        <v>0.01</v>
      </c>
      <c r="N8688">
        <v>2147</v>
      </c>
      <c r="O8688" t="s">
        <v>575</v>
      </c>
      <c r="Q8688" t="s">
        <v>7630</v>
      </c>
      <c r="R8688" t="s">
        <v>6897</v>
      </c>
      <c r="S8688" t="s">
        <v>1062</v>
      </c>
      <c r="T8688" t="s">
        <v>1063</v>
      </c>
    </row>
    <row r="8689" spans="1:20" x14ac:dyDescent="0.25">
      <c r="A8689" t="s">
        <v>59</v>
      </c>
      <c r="B8689" t="s">
        <v>60</v>
      </c>
      <c r="C8689" t="s">
        <v>32</v>
      </c>
      <c r="D8689" t="s">
        <v>953</v>
      </c>
      <c r="E8689" t="s">
        <v>6878</v>
      </c>
      <c r="F8689" t="s">
        <v>35</v>
      </c>
      <c r="G8689" t="s">
        <v>35</v>
      </c>
      <c r="H8689" t="s">
        <v>35</v>
      </c>
      <c r="J8689" t="s">
        <v>6896</v>
      </c>
      <c r="K8689" t="s">
        <v>1092</v>
      </c>
      <c r="M8689">
        <v>0.75</v>
      </c>
      <c r="N8689">
        <v>213</v>
      </c>
      <c r="O8689" t="s">
        <v>5</v>
      </c>
      <c r="Q8689" t="s">
        <v>6828</v>
      </c>
      <c r="R8689" t="s">
        <v>6897</v>
      </c>
      <c r="S8689" t="s">
        <v>1062</v>
      </c>
      <c r="T8689" t="s">
        <v>1063</v>
      </c>
    </row>
    <row r="8690" spans="1:20" x14ac:dyDescent="0.25">
      <c r="A8690" t="s">
        <v>44</v>
      </c>
      <c r="B8690" t="s">
        <v>3</v>
      </c>
      <c r="C8690" t="s">
        <v>32</v>
      </c>
      <c r="D8690" t="s">
        <v>953</v>
      </c>
      <c r="E8690" t="s">
        <v>1077</v>
      </c>
      <c r="F8690" t="s">
        <v>35</v>
      </c>
      <c r="G8690" t="s">
        <v>35</v>
      </c>
      <c r="H8690" t="s">
        <v>35</v>
      </c>
      <c r="J8690" t="s">
        <v>7644</v>
      </c>
      <c r="K8690" t="s">
        <v>1092</v>
      </c>
      <c r="M8690">
        <v>3.05</v>
      </c>
      <c r="N8690">
        <v>51</v>
      </c>
      <c r="O8690" t="s">
        <v>52</v>
      </c>
      <c r="Q8690" t="s">
        <v>58</v>
      </c>
      <c r="R8690" t="s">
        <v>6885</v>
      </c>
      <c r="S8690" t="s">
        <v>6886</v>
      </c>
      <c r="T8690" t="s">
        <v>6887</v>
      </c>
    </row>
    <row r="8691" spans="1:20" x14ac:dyDescent="0.25">
      <c r="A8691" t="s">
        <v>59</v>
      </c>
      <c r="B8691" t="s">
        <v>60</v>
      </c>
      <c r="C8691" t="s">
        <v>32</v>
      </c>
      <c r="D8691" t="s">
        <v>953</v>
      </c>
      <c r="E8691" t="s">
        <v>1077</v>
      </c>
      <c r="F8691" t="s">
        <v>35</v>
      </c>
      <c r="G8691" t="s">
        <v>35</v>
      </c>
      <c r="H8691" t="s">
        <v>35</v>
      </c>
      <c r="J8691" t="s">
        <v>7644</v>
      </c>
      <c r="K8691" t="s">
        <v>1092</v>
      </c>
      <c r="M8691">
        <v>7.45</v>
      </c>
      <c r="N8691">
        <v>67</v>
      </c>
      <c r="O8691" t="s">
        <v>61</v>
      </c>
      <c r="Q8691" t="s">
        <v>488</v>
      </c>
      <c r="R8691" t="s">
        <v>6885</v>
      </c>
      <c r="S8691" t="s">
        <v>6886</v>
      </c>
      <c r="T8691" t="s">
        <v>6887</v>
      </c>
    </row>
    <row r="8692" spans="1:20" x14ac:dyDescent="0.25">
      <c r="A8692" t="s">
        <v>30</v>
      </c>
      <c r="B8692" t="s">
        <v>31</v>
      </c>
      <c r="C8692" t="s">
        <v>32</v>
      </c>
      <c r="D8692" t="s">
        <v>953</v>
      </c>
      <c r="E8692" t="s">
        <v>7842</v>
      </c>
      <c r="F8692" t="s">
        <v>35</v>
      </c>
      <c r="G8692" t="s">
        <v>35</v>
      </c>
      <c r="H8692" t="s">
        <v>35</v>
      </c>
      <c r="J8692" t="s">
        <v>7862</v>
      </c>
      <c r="K8692" t="s">
        <v>1092</v>
      </c>
      <c r="M8692">
        <v>0.04</v>
      </c>
      <c r="N8692">
        <v>1921</v>
      </c>
      <c r="O8692" t="s">
        <v>575</v>
      </c>
      <c r="Q8692" t="s">
        <v>7863</v>
      </c>
      <c r="R8692" t="s">
        <v>6897</v>
      </c>
      <c r="S8692" t="s">
        <v>1062</v>
      </c>
      <c r="T8692" t="s">
        <v>1063</v>
      </c>
    </row>
    <row r="8693" spans="1:20" x14ac:dyDescent="0.25">
      <c r="A8693" t="s">
        <v>44</v>
      </c>
      <c r="B8693" t="s">
        <v>3</v>
      </c>
      <c r="C8693" t="s">
        <v>32</v>
      </c>
      <c r="D8693" t="s">
        <v>953</v>
      </c>
      <c r="E8693" t="s">
        <v>1077</v>
      </c>
      <c r="F8693" t="s">
        <v>35</v>
      </c>
      <c r="G8693" t="s">
        <v>35</v>
      </c>
      <c r="H8693" t="s">
        <v>35</v>
      </c>
      <c r="J8693" t="s">
        <v>7653</v>
      </c>
      <c r="K8693" t="s">
        <v>1092</v>
      </c>
      <c r="M8693">
        <v>0.2</v>
      </c>
      <c r="N8693">
        <v>479</v>
      </c>
      <c r="O8693" t="s">
        <v>294</v>
      </c>
      <c r="Q8693" t="s">
        <v>4765</v>
      </c>
      <c r="R8693" t="s">
        <v>6897</v>
      </c>
      <c r="S8693" t="s">
        <v>1062</v>
      </c>
      <c r="T8693" t="s">
        <v>1063</v>
      </c>
    </row>
    <row r="8694" spans="1:20" x14ac:dyDescent="0.25">
      <c r="A8694" t="s">
        <v>30</v>
      </c>
      <c r="B8694" t="s">
        <v>31</v>
      </c>
      <c r="C8694" t="s">
        <v>32</v>
      </c>
      <c r="D8694" t="s">
        <v>953</v>
      </c>
      <c r="E8694" t="s">
        <v>6878</v>
      </c>
      <c r="F8694" t="s">
        <v>35</v>
      </c>
      <c r="G8694" t="s">
        <v>35</v>
      </c>
      <c r="H8694" t="s">
        <v>35</v>
      </c>
      <c r="J8694" t="s">
        <v>6914</v>
      </c>
      <c r="K8694" t="s">
        <v>1092</v>
      </c>
      <c r="M8694">
        <v>5.1749999999999998</v>
      </c>
      <c r="N8694">
        <v>13</v>
      </c>
      <c r="O8694" t="s">
        <v>46</v>
      </c>
      <c r="Q8694" t="s">
        <v>1004</v>
      </c>
      <c r="R8694" t="s">
        <v>6723</v>
      </c>
      <c r="S8694" t="s">
        <v>6724</v>
      </c>
      <c r="T8694" t="s">
        <v>6725</v>
      </c>
    </row>
    <row r="8695" spans="1:20" x14ac:dyDescent="0.25">
      <c r="A8695" t="s">
        <v>30</v>
      </c>
      <c r="B8695" t="s">
        <v>31</v>
      </c>
      <c r="C8695" t="s">
        <v>32</v>
      </c>
      <c r="D8695" t="s">
        <v>953</v>
      </c>
      <c r="E8695" t="s">
        <v>954</v>
      </c>
      <c r="F8695" t="s">
        <v>35</v>
      </c>
      <c r="G8695" t="s">
        <v>35</v>
      </c>
      <c r="H8695" t="s">
        <v>35</v>
      </c>
      <c r="J8695" t="s">
        <v>6722</v>
      </c>
      <c r="K8695" t="s">
        <v>1092</v>
      </c>
      <c r="M8695">
        <v>3.8250000000000002</v>
      </c>
      <c r="N8695">
        <v>36</v>
      </c>
      <c r="O8695" t="s">
        <v>52</v>
      </c>
      <c r="Q8695" t="s">
        <v>892</v>
      </c>
      <c r="R8695" t="s">
        <v>6723</v>
      </c>
      <c r="S8695" t="s">
        <v>6724</v>
      </c>
      <c r="T8695" t="s">
        <v>6725</v>
      </c>
    </row>
    <row r="8696" spans="1:20" x14ac:dyDescent="0.25">
      <c r="A8696" t="s">
        <v>59</v>
      </c>
      <c r="B8696" t="s">
        <v>60</v>
      </c>
      <c r="C8696" t="s">
        <v>32</v>
      </c>
      <c r="D8696" t="s">
        <v>953</v>
      </c>
      <c r="F8696" t="s">
        <v>35</v>
      </c>
      <c r="G8696" t="s">
        <v>35</v>
      </c>
      <c r="H8696" t="s">
        <v>35</v>
      </c>
      <c r="J8696" t="s">
        <v>7897</v>
      </c>
      <c r="K8696" t="s">
        <v>1092</v>
      </c>
      <c r="M8696">
        <v>0.35</v>
      </c>
      <c r="N8696">
        <v>285</v>
      </c>
      <c r="O8696" t="s">
        <v>5</v>
      </c>
      <c r="Q8696" t="s">
        <v>1234</v>
      </c>
      <c r="R8696" t="s">
        <v>6723</v>
      </c>
      <c r="S8696" t="s">
        <v>6724</v>
      </c>
      <c r="T8696" t="s">
        <v>6725</v>
      </c>
    </row>
    <row r="8697" spans="1:20" x14ac:dyDescent="0.25">
      <c r="A8697" t="s">
        <v>30</v>
      </c>
      <c r="B8697" t="s">
        <v>31</v>
      </c>
      <c r="C8697" t="s">
        <v>32</v>
      </c>
      <c r="D8697" t="s">
        <v>953</v>
      </c>
      <c r="E8697" t="s">
        <v>1015</v>
      </c>
      <c r="F8697" t="s">
        <v>35</v>
      </c>
      <c r="G8697" t="s">
        <v>35</v>
      </c>
      <c r="H8697" t="s">
        <v>35</v>
      </c>
      <c r="J8697" t="s">
        <v>7372</v>
      </c>
      <c r="K8697" t="s">
        <v>1092</v>
      </c>
      <c r="M8697">
        <v>4.9950000000000001</v>
      </c>
      <c r="N8697">
        <v>8</v>
      </c>
      <c r="O8697" t="s">
        <v>46</v>
      </c>
      <c r="Q8697" t="s">
        <v>1944</v>
      </c>
      <c r="R8697" t="s">
        <v>6723</v>
      </c>
      <c r="S8697" t="s">
        <v>6724</v>
      </c>
      <c r="T8697" t="s">
        <v>6725</v>
      </c>
    </row>
    <row r="8698" spans="1:20" x14ac:dyDescent="0.25">
      <c r="A8698" t="s">
        <v>44</v>
      </c>
      <c r="B8698" t="s">
        <v>3</v>
      </c>
      <c r="C8698" t="s">
        <v>32</v>
      </c>
      <c r="D8698" t="s">
        <v>953</v>
      </c>
      <c r="E8698" t="s">
        <v>1015</v>
      </c>
      <c r="F8698" t="s">
        <v>35</v>
      </c>
      <c r="G8698" t="s">
        <v>35</v>
      </c>
      <c r="H8698" t="s">
        <v>35</v>
      </c>
      <c r="J8698" t="s">
        <v>7372</v>
      </c>
      <c r="K8698" t="s">
        <v>1092</v>
      </c>
      <c r="M8698">
        <v>0.4</v>
      </c>
      <c r="N8698">
        <v>62</v>
      </c>
      <c r="O8698" t="s">
        <v>61</v>
      </c>
      <c r="Q8698" t="s">
        <v>139</v>
      </c>
      <c r="R8698" t="s">
        <v>6723</v>
      </c>
      <c r="S8698" t="s">
        <v>6724</v>
      </c>
      <c r="T8698" t="s">
        <v>6725</v>
      </c>
    </row>
    <row r="8699" spans="1:20" x14ac:dyDescent="0.25">
      <c r="A8699" t="s">
        <v>44</v>
      </c>
      <c r="B8699" t="s">
        <v>51</v>
      </c>
      <c r="C8699" t="s">
        <v>32</v>
      </c>
      <c r="D8699" t="s">
        <v>953</v>
      </c>
      <c r="E8699" t="s">
        <v>1015</v>
      </c>
      <c r="F8699" t="s">
        <v>35</v>
      </c>
      <c r="G8699" t="s">
        <v>35</v>
      </c>
      <c r="H8699" t="s">
        <v>35</v>
      </c>
      <c r="J8699" t="s">
        <v>7372</v>
      </c>
      <c r="K8699" t="s">
        <v>1092</v>
      </c>
      <c r="M8699">
        <v>1.25</v>
      </c>
      <c r="N8699">
        <v>14</v>
      </c>
      <c r="O8699" t="s">
        <v>46</v>
      </c>
      <c r="Q8699" t="s">
        <v>1874</v>
      </c>
      <c r="R8699" t="s">
        <v>6723</v>
      </c>
      <c r="S8699" t="s">
        <v>6724</v>
      </c>
      <c r="T8699" t="s">
        <v>6725</v>
      </c>
    </row>
    <row r="8700" spans="1:20" x14ac:dyDescent="0.25">
      <c r="A8700" t="s">
        <v>30</v>
      </c>
      <c r="B8700" t="s">
        <v>31</v>
      </c>
      <c r="C8700" t="s">
        <v>32</v>
      </c>
      <c r="D8700" t="s">
        <v>953</v>
      </c>
      <c r="E8700" t="s">
        <v>1015</v>
      </c>
      <c r="F8700" t="s">
        <v>35</v>
      </c>
      <c r="G8700" t="s">
        <v>35</v>
      </c>
      <c r="H8700" t="s">
        <v>35</v>
      </c>
      <c r="J8700" t="s">
        <v>7372</v>
      </c>
      <c r="K8700" t="s">
        <v>1092</v>
      </c>
      <c r="M8700">
        <v>3.87</v>
      </c>
      <c r="N8700">
        <v>15</v>
      </c>
      <c r="O8700" t="s">
        <v>46</v>
      </c>
      <c r="Q8700" t="s">
        <v>979</v>
      </c>
      <c r="R8700" t="s">
        <v>6723</v>
      </c>
      <c r="S8700" t="s">
        <v>6724</v>
      </c>
      <c r="T8700" t="s">
        <v>6725</v>
      </c>
    </row>
    <row r="8701" spans="1:20" x14ac:dyDescent="0.25">
      <c r="A8701" t="s">
        <v>30</v>
      </c>
      <c r="B8701" t="s">
        <v>31</v>
      </c>
      <c r="C8701" t="s">
        <v>32</v>
      </c>
      <c r="D8701" t="s">
        <v>953</v>
      </c>
      <c r="E8701" t="s">
        <v>1072</v>
      </c>
      <c r="F8701" t="s">
        <v>35</v>
      </c>
      <c r="G8701" t="s">
        <v>35</v>
      </c>
      <c r="H8701" t="s">
        <v>35</v>
      </c>
      <c r="J8701" t="s">
        <v>7548</v>
      </c>
      <c r="K8701" t="s">
        <v>1092</v>
      </c>
      <c r="M8701">
        <v>9.99</v>
      </c>
      <c r="N8701">
        <v>11</v>
      </c>
      <c r="O8701" t="s">
        <v>46</v>
      </c>
      <c r="Q8701" t="s">
        <v>1476</v>
      </c>
      <c r="R8701" t="s">
        <v>6723</v>
      </c>
      <c r="S8701" t="s">
        <v>6724</v>
      </c>
      <c r="T8701" t="s">
        <v>6725</v>
      </c>
    </row>
    <row r="8702" spans="1:20" x14ac:dyDescent="0.25">
      <c r="A8702" t="s">
        <v>59</v>
      </c>
      <c r="B8702" t="s">
        <v>60</v>
      </c>
      <c r="C8702" t="s">
        <v>32</v>
      </c>
      <c r="D8702" t="s">
        <v>953</v>
      </c>
      <c r="E8702" t="s">
        <v>7184</v>
      </c>
      <c r="F8702" t="s">
        <v>35</v>
      </c>
      <c r="G8702" t="s">
        <v>35</v>
      </c>
      <c r="H8702" t="s">
        <v>35</v>
      </c>
      <c r="J8702" t="s">
        <v>7198</v>
      </c>
      <c r="K8702" t="s">
        <v>1092</v>
      </c>
      <c r="M8702">
        <v>1</v>
      </c>
      <c r="N8702">
        <v>862</v>
      </c>
      <c r="O8702" t="s">
        <v>575</v>
      </c>
      <c r="Q8702" t="s">
        <v>7200</v>
      </c>
      <c r="R8702" t="s">
        <v>6723</v>
      </c>
      <c r="S8702" t="s">
        <v>6724</v>
      </c>
      <c r="T8702" t="s">
        <v>6725</v>
      </c>
    </row>
    <row r="8703" spans="1:20" x14ac:dyDescent="0.25">
      <c r="A8703" t="s">
        <v>59</v>
      </c>
      <c r="B8703" t="s">
        <v>31</v>
      </c>
      <c r="C8703" t="s">
        <v>32</v>
      </c>
      <c r="D8703" t="s">
        <v>953</v>
      </c>
      <c r="E8703" t="s">
        <v>7164</v>
      </c>
      <c r="F8703" t="s">
        <v>35</v>
      </c>
      <c r="G8703" t="s">
        <v>35</v>
      </c>
      <c r="H8703" t="s">
        <v>35</v>
      </c>
      <c r="J8703" t="s">
        <v>7176</v>
      </c>
      <c r="K8703" t="s">
        <v>1092</v>
      </c>
      <c r="M8703">
        <v>0.13500000000000001</v>
      </c>
      <c r="N8703">
        <v>524</v>
      </c>
      <c r="O8703" t="s">
        <v>294</v>
      </c>
      <c r="Q8703" t="s">
        <v>1619</v>
      </c>
      <c r="R8703" t="s">
        <v>6723</v>
      </c>
      <c r="S8703" t="s">
        <v>6724</v>
      </c>
      <c r="T8703" t="s">
        <v>6725</v>
      </c>
    </row>
    <row r="8704" spans="1:20" x14ac:dyDescent="0.25">
      <c r="A8704" t="s">
        <v>30</v>
      </c>
      <c r="B8704" t="s">
        <v>31</v>
      </c>
      <c r="C8704" t="s">
        <v>32</v>
      </c>
      <c r="D8704" t="s">
        <v>953</v>
      </c>
      <c r="E8704" t="s">
        <v>1015</v>
      </c>
      <c r="F8704" t="s">
        <v>35</v>
      </c>
      <c r="G8704" t="s">
        <v>35</v>
      </c>
      <c r="H8704" t="s">
        <v>35</v>
      </c>
      <c r="J8704" t="s">
        <v>7352</v>
      </c>
      <c r="K8704" t="s">
        <v>1092</v>
      </c>
      <c r="M8704">
        <v>7.83</v>
      </c>
      <c r="N8704">
        <v>15</v>
      </c>
      <c r="O8704" t="s">
        <v>46</v>
      </c>
      <c r="Q8704" t="s">
        <v>979</v>
      </c>
      <c r="R8704" t="s">
        <v>6723</v>
      </c>
      <c r="S8704" t="s">
        <v>6724</v>
      </c>
      <c r="T8704" t="s">
        <v>6725</v>
      </c>
    </row>
    <row r="8705" spans="1:20" x14ac:dyDescent="0.25">
      <c r="A8705" t="s">
        <v>44</v>
      </c>
      <c r="B8705" t="s">
        <v>3</v>
      </c>
      <c r="C8705" t="s">
        <v>32</v>
      </c>
      <c r="D8705" t="s">
        <v>953</v>
      </c>
      <c r="E8705" t="s">
        <v>1015</v>
      </c>
      <c r="F8705" t="s">
        <v>35</v>
      </c>
      <c r="G8705" t="s">
        <v>35</v>
      </c>
      <c r="H8705" t="s">
        <v>35</v>
      </c>
      <c r="J8705" t="s">
        <v>7414</v>
      </c>
      <c r="K8705" t="s">
        <v>1092</v>
      </c>
      <c r="M8705">
        <v>0.2</v>
      </c>
      <c r="N8705">
        <v>46</v>
      </c>
      <c r="O8705" t="s">
        <v>52</v>
      </c>
      <c r="Q8705" t="s">
        <v>332</v>
      </c>
      <c r="R8705" t="s">
        <v>6723</v>
      </c>
      <c r="S8705" t="s">
        <v>6724</v>
      </c>
      <c r="T8705" t="s">
        <v>6725</v>
      </c>
    </row>
    <row r="8706" spans="1:20" x14ac:dyDescent="0.25">
      <c r="A8706" t="s">
        <v>30</v>
      </c>
      <c r="B8706" t="s">
        <v>31</v>
      </c>
      <c r="C8706" t="s">
        <v>32</v>
      </c>
      <c r="D8706" t="s">
        <v>953</v>
      </c>
      <c r="E8706" t="s">
        <v>1015</v>
      </c>
      <c r="F8706" t="s">
        <v>35</v>
      </c>
      <c r="G8706" t="s">
        <v>35</v>
      </c>
      <c r="H8706" t="s">
        <v>35</v>
      </c>
      <c r="J8706" t="s">
        <v>7414</v>
      </c>
      <c r="K8706" t="s">
        <v>1092</v>
      </c>
      <c r="M8706">
        <v>1.08</v>
      </c>
      <c r="N8706">
        <v>40</v>
      </c>
      <c r="O8706" t="s">
        <v>52</v>
      </c>
      <c r="Q8706" t="s">
        <v>132</v>
      </c>
      <c r="R8706" t="s">
        <v>6723</v>
      </c>
      <c r="S8706" t="s">
        <v>6724</v>
      </c>
      <c r="T8706" t="s">
        <v>6725</v>
      </c>
    </row>
    <row r="8707" spans="1:20" x14ac:dyDescent="0.25">
      <c r="A8707" t="s">
        <v>59</v>
      </c>
      <c r="B8707" t="s">
        <v>31</v>
      </c>
      <c r="C8707" t="s">
        <v>32</v>
      </c>
      <c r="D8707" t="s">
        <v>953</v>
      </c>
      <c r="E8707" t="s">
        <v>1077</v>
      </c>
      <c r="F8707" t="s">
        <v>35</v>
      </c>
      <c r="G8707" t="s">
        <v>35</v>
      </c>
      <c r="H8707" t="s">
        <v>35</v>
      </c>
      <c r="J8707" t="s">
        <v>7704</v>
      </c>
      <c r="K8707" t="s">
        <v>404</v>
      </c>
      <c r="M8707">
        <v>1.35</v>
      </c>
      <c r="N8707">
        <v>66</v>
      </c>
      <c r="O8707" t="s">
        <v>61</v>
      </c>
      <c r="Q8707" t="s">
        <v>552</v>
      </c>
      <c r="R8707" t="s">
        <v>6723</v>
      </c>
      <c r="S8707" t="s">
        <v>6724</v>
      </c>
      <c r="T8707" t="s">
        <v>6725</v>
      </c>
    </row>
    <row r="8708" spans="1:20" x14ac:dyDescent="0.25">
      <c r="A8708" t="s">
        <v>59</v>
      </c>
      <c r="B8708" t="s">
        <v>60</v>
      </c>
      <c r="C8708" t="s">
        <v>32</v>
      </c>
      <c r="D8708" t="s">
        <v>953</v>
      </c>
      <c r="E8708" t="s">
        <v>1007</v>
      </c>
      <c r="F8708" t="s">
        <v>35</v>
      </c>
      <c r="G8708" t="s">
        <v>35</v>
      </c>
      <c r="H8708" t="s">
        <v>35</v>
      </c>
      <c r="J8708" t="s">
        <v>7341</v>
      </c>
      <c r="K8708" t="s">
        <v>1092</v>
      </c>
      <c r="M8708">
        <v>1.1000000000000001</v>
      </c>
      <c r="N8708">
        <v>74</v>
      </c>
      <c r="O8708" t="s">
        <v>61</v>
      </c>
      <c r="Q8708" t="s">
        <v>527</v>
      </c>
      <c r="R8708" t="s">
        <v>6723</v>
      </c>
      <c r="S8708" t="s">
        <v>6724</v>
      </c>
      <c r="T8708" t="s">
        <v>6725</v>
      </c>
    </row>
    <row r="8709" spans="1:20" x14ac:dyDescent="0.25">
      <c r="A8709" t="s">
        <v>59</v>
      </c>
      <c r="B8709" t="s">
        <v>31</v>
      </c>
      <c r="C8709" t="s">
        <v>32</v>
      </c>
      <c r="D8709" t="s">
        <v>953</v>
      </c>
      <c r="E8709" t="s">
        <v>954</v>
      </c>
      <c r="F8709" t="s">
        <v>35</v>
      </c>
      <c r="G8709" t="s">
        <v>35</v>
      </c>
      <c r="H8709" t="s">
        <v>35</v>
      </c>
      <c r="J8709" t="s">
        <v>6740</v>
      </c>
      <c r="K8709" t="s">
        <v>1092</v>
      </c>
      <c r="M8709">
        <v>8.91</v>
      </c>
      <c r="N8709">
        <v>51</v>
      </c>
      <c r="O8709" t="s">
        <v>52</v>
      </c>
      <c r="Q8709" t="s">
        <v>58</v>
      </c>
      <c r="R8709" t="s">
        <v>6723</v>
      </c>
      <c r="S8709" t="s">
        <v>6724</v>
      </c>
      <c r="T8709" t="s">
        <v>6725</v>
      </c>
    </row>
    <row r="8710" spans="1:20" x14ac:dyDescent="0.25">
      <c r="A8710" t="s">
        <v>30</v>
      </c>
      <c r="B8710" t="s">
        <v>31</v>
      </c>
      <c r="C8710" t="s">
        <v>32</v>
      </c>
      <c r="D8710" t="s">
        <v>953</v>
      </c>
      <c r="E8710" t="s">
        <v>6878</v>
      </c>
      <c r="F8710" t="s">
        <v>35</v>
      </c>
      <c r="G8710" t="s">
        <v>35</v>
      </c>
      <c r="H8710" t="s">
        <v>35</v>
      </c>
      <c r="J8710" t="s">
        <v>6949</v>
      </c>
      <c r="K8710" t="s">
        <v>1092</v>
      </c>
      <c r="M8710">
        <v>2.4750000000000001</v>
      </c>
      <c r="N8710">
        <v>13</v>
      </c>
      <c r="O8710" t="s">
        <v>46</v>
      </c>
      <c r="Q8710" t="s">
        <v>1004</v>
      </c>
      <c r="R8710" t="s">
        <v>6723</v>
      </c>
      <c r="S8710" t="s">
        <v>6724</v>
      </c>
      <c r="T8710" t="s">
        <v>6725</v>
      </c>
    </row>
    <row r="8711" spans="1:20" x14ac:dyDescent="0.25">
      <c r="A8711" t="s">
        <v>44</v>
      </c>
      <c r="B8711" t="s">
        <v>51</v>
      </c>
      <c r="C8711" t="s">
        <v>32</v>
      </c>
      <c r="D8711" t="s">
        <v>953</v>
      </c>
      <c r="E8711" t="s">
        <v>6878</v>
      </c>
      <c r="F8711" t="s">
        <v>35</v>
      </c>
      <c r="G8711" t="s">
        <v>35</v>
      </c>
      <c r="H8711" t="s">
        <v>35</v>
      </c>
      <c r="J8711" t="s">
        <v>6892</v>
      </c>
      <c r="K8711" t="s">
        <v>1092</v>
      </c>
      <c r="M8711">
        <v>1.1499999999999999</v>
      </c>
      <c r="N8711">
        <v>46</v>
      </c>
      <c r="O8711" t="s">
        <v>52</v>
      </c>
      <c r="Q8711" t="s">
        <v>332</v>
      </c>
      <c r="R8711" t="s">
        <v>6723</v>
      </c>
      <c r="S8711" t="s">
        <v>6724</v>
      </c>
      <c r="T8711" t="s">
        <v>6725</v>
      </c>
    </row>
    <row r="8712" spans="1:20" x14ac:dyDescent="0.25">
      <c r="A8712" t="s">
        <v>59</v>
      </c>
      <c r="B8712" t="s">
        <v>60</v>
      </c>
      <c r="C8712" t="s">
        <v>32</v>
      </c>
      <c r="D8712" t="s">
        <v>953</v>
      </c>
      <c r="E8712" t="s">
        <v>6878</v>
      </c>
      <c r="F8712" t="s">
        <v>35</v>
      </c>
      <c r="G8712" t="s">
        <v>35</v>
      </c>
      <c r="H8712" t="s">
        <v>35</v>
      </c>
      <c r="J8712" t="s">
        <v>6892</v>
      </c>
      <c r="K8712" t="s">
        <v>1092</v>
      </c>
      <c r="M8712">
        <v>0.8</v>
      </c>
      <c r="N8712">
        <v>56</v>
      </c>
      <c r="O8712" t="s">
        <v>52</v>
      </c>
      <c r="Q8712" t="s">
        <v>423</v>
      </c>
      <c r="R8712" t="s">
        <v>6723</v>
      </c>
      <c r="S8712" t="s">
        <v>6724</v>
      </c>
      <c r="T8712" t="s">
        <v>6725</v>
      </c>
    </row>
    <row r="8713" spans="1:20" x14ac:dyDescent="0.25">
      <c r="A8713" t="s">
        <v>44</v>
      </c>
      <c r="B8713" t="s">
        <v>3</v>
      </c>
      <c r="C8713" t="s">
        <v>32</v>
      </c>
      <c r="D8713" t="s">
        <v>953</v>
      </c>
      <c r="E8713" t="s">
        <v>6878</v>
      </c>
      <c r="F8713" t="s">
        <v>35</v>
      </c>
      <c r="G8713" t="s">
        <v>35</v>
      </c>
      <c r="H8713" t="s">
        <v>35</v>
      </c>
      <c r="J8713" t="s">
        <v>6892</v>
      </c>
      <c r="K8713" t="s">
        <v>1092</v>
      </c>
      <c r="M8713">
        <v>4.6500000000000004</v>
      </c>
      <c r="N8713">
        <v>62</v>
      </c>
      <c r="O8713" t="s">
        <v>61</v>
      </c>
      <c r="Q8713" t="s">
        <v>139</v>
      </c>
      <c r="R8713" t="s">
        <v>6723</v>
      </c>
      <c r="S8713" t="s">
        <v>6724</v>
      </c>
      <c r="T8713" t="s">
        <v>6725</v>
      </c>
    </row>
    <row r="8714" spans="1:20" x14ac:dyDescent="0.25">
      <c r="A8714" t="s">
        <v>59</v>
      </c>
      <c r="B8714" t="s">
        <v>31</v>
      </c>
      <c r="C8714" t="s">
        <v>32</v>
      </c>
      <c r="D8714" t="s">
        <v>953</v>
      </c>
      <c r="E8714" t="s">
        <v>1072</v>
      </c>
      <c r="F8714" t="s">
        <v>35</v>
      </c>
      <c r="G8714" t="s">
        <v>35</v>
      </c>
      <c r="H8714" t="s">
        <v>35</v>
      </c>
      <c r="J8714" t="s">
        <v>7523</v>
      </c>
      <c r="K8714" t="s">
        <v>1092</v>
      </c>
      <c r="M8714">
        <v>1.125</v>
      </c>
      <c r="N8714">
        <v>143</v>
      </c>
      <c r="O8714" t="s">
        <v>38</v>
      </c>
      <c r="Q8714" t="s">
        <v>1612</v>
      </c>
      <c r="R8714" t="s">
        <v>6723</v>
      </c>
      <c r="S8714" t="s">
        <v>6724</v>
      </c>
      <c r="T8714" t="s">
        <v>6725</v>
      </c>
    </row>
    <row r="8715" spans="1:20" x14ac:dyDescent="0.25">
      <c r="A8715" t="s">
        <v>30</v>
      </c>
      <c r="B8715" t="s">
        <v>31</v>
      </c>
      <c r="C8715" t="s">
        <v>32</v>
      </c>
      <c r="D8715" t="s">
        <v>953</v>
      </c>
      <c r="E8715" t="s">
        <v>6878</v>
      </c>
      <c r="F8715" t="s">
        <v>35</v>
      </c>
      <c r="G8715" t="s">
        <v>35</v>
      </c>
      <c r="H8715" t="s">
        <v>35</v>
      </c>
      <c r="J8715" t="s">
        <v>1885</v>
      </c>
      <c r="K8715" t="s">
        <v>1092</v>
      </c>
      <c r="M8715">
        <v>4.7249999999999996</v>
      </c>
      <c r="N8715">
        <v>13</v>
      </c>
      <c r="O8715" t="s">
        <v>46</v>
      </c>
      <c r="Q8715" t="s">
        <v>1004</v>
      </c>
      <c r="R8715" t="s">
        <v>6723</v>
      </c>
      <c r="S8715" t="s">
        <v>6724</v>
      </c>
      <c r="T8715" t="s">
        <v>6725</v>
      </c>
    </row>
    <row r="8716" spans="1:20" x14ac:dyDescent="0.25">
      <c r="A8716" t="s">
        <v>59</v>
      </c>
      <c r="B8716" t="s">
        <v>60</v>
      </c>
      <c r="C8716" t="s">
        <v>32</v>
      </c>
      <c r="D8716" t="s">
        <v>953</v>
      </c>
      <c r="E8716" t="s">
        <v>6878</v>
      </c>
      <c r="F8716" t="s">
        <v>35</v>
      </c>
      <c r="G8716" t="s">
        <v>35</v>
      </c>
      <c r="H8716" t="s">
        <v>35</v>
      </c>
      <c r="J8716" t="s">
        <v>1885</v>
      </c>
      <c r="K8716" t="s">
        <v>1092</v>
      </c>
      <c r="M8716">
        <v>0.35</v>
      </c>
      <c r="N8716">
        <v>235</v>
      </c>
      <c r="O8716" t="s">
        <v>5</v>
      </c>
      <c r="Q8716" t="s">
        <v>2904</v>
      </c>
      <c r="R8716" t="s">
        <v>6723</v>
      </c>
      <c r="S8716" t="s">
        <v>6724</v>
      </c>
      <c r="T8716" t="s">
        <v>6725</v>
      </c>
    </row>
    <row r="8717" spans="1:20" x14ac:dyDescent="0.25">
      <c r="A8717" t="s">
        <v>59</v>
      </c>
      <c r="B8717" t="s">
        <v>60</v>
      </c>
      <c r="C8717" t="s">
        <v>32</v>
      </c>
      <c r="D8717" t="s">
        <v>953</v>
      </c>
      <c r="E8717" t="s">
        <v>6878</v>
      </c>
      <c r="F8717" t="s">
        <v>35</v>
      </c>
      <c r="G8717" t="s">
        <v>35</v>
      </c>
      <c r="H8717" t="s">
        <v>35</v>
      </c>
      <c r="J8717" t="s">
        <v>6961</v>
      </c>
      <c r="K8717" t="s">
        <v>1092</v>
      </c>
      <c r="M8717">
        <v>0.25</v>
      </c>
      <c r="N8717">
        <v>1165</v>
      </c>
      <c r="O8717" t="s">
        <v>575</v>
      </c>
      <c r="Q8717" t="s">
        <v>6962</v>
      </c>
      <c r="R8717" t="s">
        <v>6723</v>
      </c>
      <c r="S8717" t="s">
        <v>6724</v>
      </c>
      <c r="T8717" t="s">
        <v>6725</v>
      </c>
    </row>
    <row r="8718" spans="1:20" x14ac:dyDescent="0.25">
      <c r="A8718" t="s">
        <v>44</v>
      </c>
      <c r="B8718" t="s">
        <v>3</v>
      </c>
      <c r="C8718" t="s">
        <v>32</v>
      </c>
      <c r="D8718" t="s">
        <v>953</v>
      </c>
      <c r="E8718" t="s">
        <v>968</v>
      </c>
      <c r="F8718" t="s">
        <v>35</v>
      </c>
      <c r="G8718" t="s">
        <v>35</v>
      </c>
      <c r="H8718" t="s">
        <v>35</v>
      </c>
      <c r="J8718" t="s">
        <v>7046</v>
      </c>
      <c r="K8718" t="s">
        <v>1092</v>
      </c>
      <c r="M8718">
        <v>0.2</v>
      </c>
      <c r="N8718">
        <v>56</v>
      </c>
      <c r="O8718" t="s">
        <v>52</v>
      </c>
      <c r="Q8718" t="s">
        <v>423</v>
      </c>
      <c r="R8718" t="s">
        <v>6723</v>
      </c>
      <c r="S8718" t="s">
        <v>6724</v>
      </c>
      <c r="T8718" t="s">
        <v>6725</v>
      </c>
    </row>
    <row r="8719" spans="1:20" x14ac:dyDescent="0.25">
      <c r="A8719" t="s">
        <v>44</v>
      </c>
      <c r="B8719" t="s">
        <v>3</v>
      </c>
      <c r="C8719" t="s">
        <v>32</v>
      </c>
      <c r="D8719" t="s">
        <v>953</v>
      </c>
      <c r="E8719" t="s">
        <v>968</v>
      </c>
      <c r="F8719" t="s">
        <v>35</v>
      </c>
      <c r="G8719" t="s">
        <v>35</v>
      </c>
      <c r="H8719" t="s">
        <v>35</v>
      </c>
      <c r="J8719" t="s">
        <v>7046</v>
      </c>
      <c r="K8719" t="s">
        <v>1092</v>
      </c>
      <c r="M8719">
        <v>4</v>
      </c>
      <c r="N8719">
        <v>46</v>
      </c>
      <c r="O8719" t="s">
        <v>52</v>
      </c>
      <c r="Q8719" t="s">
        <v>332</v>
      </c>
      <c r="R8719" t="s">
        <v>6723</v>
      </c>
      <c r="S8719" t="s">
        <v>6724</v>
      </c>
      <c r="T8719" t="s">
        <v>6725</v>
      </c>
    </row>
    <row r="8720" spans="1:20" x14ac:dyDescent="0.25">
      <c r="A8720" t="s">
        <v>30</v>
      </c>
      <c r="B8720" t="s">
        <v>31</v>
      </c>
      <c r="C8720" t="s">
        <v>32</v>
      </c>
      <c r="D8720" t="s">
        <v>953</v>
      </c>
      <c r="E8720" t="s">
        <v>968</v>
      </c>
      <c r="F8720" t="s">
        <v>35</v>
      </c>
      <c r="G8720" t="s">
        <v>35</v>
      </c>
      <c r="H8720" t="s">
        <v>35</v>
      </c>
      <c r="J8720" t="s">
        <v>7046</v>
      </c>
      <c r="K8720" t="s">
        <v>1092</v>
      </c>
      <c r="M8720">
        <v>6.3</v>
      </c>
      <c r="N8720">
        <v>37</v>
      </c>
      <c r="O8720" t="s">
        <v>52</v>
      </c>
      <c r="Q8720" t="s">
        <v>192</v>
      </c>
      <c r="R8720" t="s">
        <v>6723</v>
      </c>
      <c r="S8720" t="s">
        <v>6724</v>
      </c>
      <c r="T8720" t="s">
        <v>6725</v>
      </c>
    </row>
    <row r="8721" spans="1:20" x14ac:dyDescent="0.25">
      <c r="A8721" t="s">
        <v>59</v>
      </c>
      <c r="B8721" t="s">
        <v>60</v>
      </c>
      <c r="C8721" t="s">
        <v>32</v>
      </c>
      <c r="D8721" t="s">
        <v>953</v>
      </c>
      <c r="E8721" t="s">
        <v>1007</v>
      </c>
      <c r="F8721" t="s">
        <v>35</v>
      </c>
      <c r="G8721" t="s">
        <v>35</v>
      </c>
      <c r="H8721" t="s">
        <v>35</v>
      </c>
      <c r="J8721" t="s">
        <v>7318</v>
      </c>
      <c r="K8721" t="s">
        <v>1092</v>
      </c>
      <c r="M8721">
        <v>2.2000000000000002</v>
      </c>
      <c r="N8721">
        <v>56</v>
      </c>
      <c r="O8721" t="s">
        <v>52</v>
      </c>
      <c r="Q8721" t="s">
        <v>423</v>
      </c>
      <c r="R8721" t="s">
        <v>6723</v>
      </c>
      <c r="S8721" t="s">
        <v>6724</v>
      </c>
      <c r="T8721" t="s">
        <v>6725</v>
      </c>
    </row>
    <row r="8722" spans="1:20" x14ac:dyDescent="0.25">
      <c r="A8722" t="s">
        <v>30</v>
      </c>
      <c r="B8722" t="s">
        <v>31</v>
      </c>
      <c r="C8722" t="s">
        <v>32</v>
      </c>
      <c r="D8722" t="s">
        <v>953</v>
      </c>
      <c r="E8722" t="s">
        <v>1007</v>
      </c>
      <c r="F8722" t="s">
        <v>35</v>
      </c>
      <c r="G8722" t="s">
        <v>35</v>
      </c>
      <c r="H8722" t="s">
        <v>35</v>
      </c>
      <c r="J8722" t="s">
        <v>7318</v>
      </c>
      <c r="K8722" t="s">
        <v>1092</v>
      </c>
      <c r="M8722">
        <v>5.49</v>
      </c>
      <c r="N8722">
        <v>39</v>
      </c>
      <c r="O8722" t="s">
        <v>52</v>
      </c>
      <c r="Q8722" t="s">
        <v>493</v>
      </c>
      <c r="R8722" t="s">
        <v>6723</v>
      </c>
      <c r="S8722" t="s">
        <v>6724</v>
      </c>
      <c r="T8722" t="s">
        <v>6725</v>
      </c>
    </row>
    <row r="8723" spans="1:20" x14ac:dyDescent="0.25">
      <c r="A8723" t="s">
        <v>59</v>
      </c>
      <c r="B8723" t="s">
        <v>60</v>
      </c>
      <c r="C8723" t="s">
        <v>32</v>
      </c>
      <c r="D8723" t="s">
        <v>953</v>
      </c>
      <c r="E8723" t="s">
        <v>1007</v>
      </c>
      <c r="F8723" t="s">
        <v>35</v>
      </c>
      <c r="G8723" t="s">
        <v>35</v>
      </c>
      <c r="H8723" t="s">
        <v>35</v>
      </c>
      <c r="J8723" t="s">
        <v>7340</v>
      </c>
      <c r="K8723" t="s">
        <v>1092</v>
      </c>
      <c r="M8723">
        <v>2.2400000000000002</v>
      </c>
      <c r="N8723">
        <v>84</v>
      </c>
      <c r="O8723" t="s">
        <v>61</v>
      </c>
      <c r="Q8723" t="s">
        <v>1147</v>
      </c>
      <c r="R8723" t="s">
        <v>6723</v>
      </c>
      <c r="S8723" t="s">
        <v>6724</v>
      </c>
      <c r="T8723" t="s">
        <v>6725</v>
      </c>
    </row>
    <row r="8724" spans="1:20" x14ac:dyDescent="0.25">
      <c r="A8724" t="s">
        <v>30</v>
      </c>
      <c r="B8724" t="s">
        <v>31</v>
      </c>
      <c r="C8724" t="s">
        <v>32</v>
      </c>
      <c r="D8724" t="s">
        <v>953</v>
      </c>
      <c r="E8724" t="s">
        <v>1007</v>
      </c>
      <c r="F8724" t="s">
        <v>35</v>
      </c>
      <c r="G8724" t="s">
        <v>35</v>
      </c>
      <c r="H8724" t="s">
        <v>35</v>
      </c>
      <c r="J8724" t="s">
        <v>7307</v>
      </c>
      <c r="K8724" t="s">
        <v>1092</v>
      </c>
      <c r="M8724">
        <v>0.63</v>
      </c>
      <c r="N8724">
        <v>39</v>
      </c>
      <c r="O8724" t="s">
        <v>52</v>
      </c>
      <c r="Q8724" t="s">
        <v>493</v>
      </c>
      <c r="R8724" t="s">
        <v>6723</v>
      </c>
      <c r="S8724" t="s">
        <v>6724</v>
      </c>
      <c r="T8724" t="s">
        <v>6725</v>
      </c>
    </row>
    <row r="8725" spans="1:20" x14ac:dyDescent="0.25">
      <c r="A8725" t="s">
        <v>44</v>
      </c>
      <c r="B8725" t="s">
        <v>3</v>
      </c>
      <c r="C8725" t="s">
        <v>32</v>
      </c>
      <c r="D8725" t="s">
        <v>953</v>
      </c>
      <c r="E8725" t="s">
        <v>1015</v>
      </c>
      <c r="F8725" t="s">
        <v>35</v>
      </c>
      <c r="G8725" t="s">
        <v>35</v>
      </c>
      <c r="H8725" t="s">
        <v>35</v>
      </c>
      <c r="J8725" t="s">
        <v>7397</v>
      </c>
      <c r="K8725" t="s">
        <v>1092</v>
      </c>
      <c r="M8725">
        <v>5</v>
      </c>
      <c r="N8725">
        <v>34</v>
      </c>
      <c r="O8725" t="s">
        <v>52</v>
      </c>
      <c r="Q8725" t="s">
        <v>249</v>
      </c>
      <c r="R8725" t="s">
        <v>6723</v>
      </c>
      <c r="S8725" t="s">
        <v>6724</v>
      </c>
      <c r="T8725" t="s">
        <v>6725</v>
      </c>
    </row>
    <row r="8726" spans="1:20" x14ac:dyDescent="0.25">
      <c r="A8726" t="s">
        <v>59</v>
      </c>
      <c r="B8726" t="s">
        <v>60</v>
      </c>
      <c r="C8726" t="s">
        <v>32</v>
      </c>
      <c r="D8726" t="s">
        <v>953</v>
      </c>
      <c r="E8726" t="s">
        <v>1007</v>
      </c>
      <c r="F8726" t="s">
        <v>35</v>
      </c>
      <c r="G8726" t="s">
        <v>35</v>
      </c>
      <c r="H8726" t="s">
        <v>35</v>
      </c>
      <c r="J8726" t="s">
        <v>7329</v>
      </c>
      <c r="K8726" t="s">
        <v>1092</v>
      </c>
      <c r="M8726">
        <v>0.1</v>
      </c>
      <c r="N8726">
        <v>803</v>
      </c>
      <c r="O8726" t="s">
        <v>575</v>
      </c>
      <c r="Q8726" t="s">
        <v>2939</v>
      </c>
      <c r="R8726" t="s">
        <v>6723</v>
      </c>
      <c r="S8726" t="s">
        <v>6724</v>
      </c>
      <c r="T8726" t="s">
        <v>6725</v>
      </c>
    </row>
    <row r="8727" spans="1:20" x14ac:dyDescent="0.25">
      <c r="A8727" t="s">
        <v>44</v>
      </c>
      <c r="B8727" t="s">
        <v>3</v>
      </c>
      <c r="C8727" t="s">
        <v>32</v>
      </c>
      <c r="D8727" t="s">
        <v>953</v>
      </c>
      <c r="E8727" t="s">
        <v>1015</v>
      </c>
      <c r="F8727" t="s">
        <v>35</v>
      </c>
      <c r="G8727" t="s">
        <v>35</v>
      </c>
      <c r="H8727" t="s">
        <v>35</v>
      </c>
      <c r="J8727" t="s">
        <v>7364</v>
      </c>
      <c r="K8727" t="s">
        <v>1092</v>
      </c>
      <c r="M8727">
        <v>1.25</v>
      </c>
      <c r="N8727">
        <v>15</v>
      </c>
      <c r="O8727" t="s">
        <v>46</v>
      </c>
      <c r="Q8727" t="s">
        <v>979</v>
      </c>
      <c r="R8727" t="s">
        <v>6723</v>
      </c>
      <c r="S8727" t="s">
        <v>6724</v>
      </c>
      <c r="T8727" t="s">
        <v>6725</v>
      </c>
    </row>
    <row r="8728" spans="1:20" x14ac:dyDescent="0.25">
      <c r="A8728" t="s">
        <v>59</v>
      </c>
      <c r="B8728" t="s">
        <v>60</v>
      </c>
      <c r="C8728" t="s">
        <v>32</v>
      </c>
      <c r="D8728" t="s">
        <v>953</v>
      </c>
      <c r="E8728" t="s">
        <v>954</v>
      </c>
      <c r="F8728" t="s">
        <v>35</v>
      </c>
      <c r="G8728" t="s">
        <v>35</v>
      </c>
      <c r="H8728" t="s">
        <v>35</v>
      </c>
      <c r="J8728" t="s">
        <v>6825</v>
      </c>
      <c r="K8728" t="s">
        <v>1092</v>
      </c>
      <c r="M8728">
        <v>0.23</v>
      </c>
      <c r="N8728">
        <v>598</v>
      </c>
      <c r="O8728" t="s">
        <v>575</v>
      </c>
      <c r="Q8728" t="s">
        <v>6826</v>
      </c>
      <c r="R8728" t="s">
        <v>6723</v>
      </c>
      <c r="S8728" t="s">
        <v>6724</v>
      </c>
      <c r="T8728" t="s">
        <v>6725</v>
      </c>
    </row>
    <row r="8729" spans="1:20" x14ac:dyDescent="0.25">
      <c r="A8729" t="s">
        <v>44</v>
      </c>
      <c r="B8729" t="s">
        <v>51</v>
      </c>
      <c r="C8729" t="s">
        <v>32</v>
      </c>
      <c r="D8729" t="s">
        <v>953</v>
      </c>
      <c r="E8729" t="s">
        <v>1015</v>
      </c>
      <c r="F8729" t="s">
        <v>35</v>
      </c>
      <c r="G8729" t="s">
        <v>35</v>
      </c>
      <c r="H8729" t="s">
        <v>35</v>
      </c>
      <c r="J8729" t="s">
        <v>3127</v>
      </c>
      <c r="K8729" t="s">
        <v>1092</v>
      </c>
      <c r="M8729">
        <v>2.5</v>
      </c>
      <c r="N8729">
        <v>2</v>
      </c>
      <c r="O8729" t="s">
        <v>46</v>
      </c>
      <c r="Q8729" t="s">
        <v>2009</v>
      </c>
      <c r="R8729" t="s">
        <v>6723</v>
      </c>
      <c r="S8729" t="s">
        <v>6724</v>
      </c>
      <c r="T8729" t="s">
        <v>6725</v>
      </c>
    </row>
    <row r="8730" spans="1:20" x14ac:dyDescent="0.25">
      <c r="A8730" t="s">
        <v>30</v>
      </c>
      <c r="B8730" t="s">
        <v>31</v>
      </c>
      <c r="C8730" t="s">
        <v>32</v>
      </c>
      <c r="D8730" t="s">
        <v>953</v>
      </c>
      <c r="E8730" t="s">
        <v>6878</v>
      </c>
      <c r="F8730" t="s">
        <v>35</v>
      </c>
      <c r="G8730" t="s">
        <v>35</v>
      </c>
      <c r="H8730" t="s">
        <v>35</v>
      </c>
      <c r="J8730" t="s">
        <v>6893</v>
      </c>
      <c r="K8730" t="s">
        <v>1092</v>
      </c>
      <c r="M8730">
        <v>2.2949999999999999</v>
      </c>
      <c r="N8730">
        <v>13</v>
      </c>
      <c r="O8730" t="s">
        <v>46</v>
      </c>
      <c r="Q8730" t="s">
        <v>1004</v>
      </c>
      <c r="R8730" t="s">
        <v>6723</v>
      </c>
      <c r="S8730" t="s">
        <v>6724</v>
      </c>
      <c r="T8730" t="s">
        <v>6725</v>
      </c>
    </row>
    <row r="8731" spans="1:20" x14ac:dyDescent="0.25">
      <c r="A8731" t="s">
        <v>59</v>
      </c>
      <c r="B8731" t="s">
        <v>60</v>
      </c>
      <c r="C8731" t="s">
        <v>32</v>
      </c>
      <c r="D8731" t="s">
        <v>953</v>
      </c>
      <c r="E8731" t="s">
        <v>1015</v>
      </c>
      <c r="F8731" t="s">
        <v>35</v>
      </c>
      <c r="G8731" t="s">
        <v>35</v>
      </c>
      <c r="H8731" t="s">
        <v>35</v>
      </c>
      <c r="J8731" t="s">
        <v>7450</v>
      </c>
      <c r="K8731" t="s">
        <v>1092</v>
      </c>
      <c r="M8731">
        <v>0.1</v>
      </c>
      <c r="N8731">
        <v>1268</v>
      </c>
      <c r="O8731" t="s">
        <v>575</v>
      </c>
      <c r="Q8731" t="s">
        <v>7451</v>
      </c>
      <c r="R8731" t="s">
        <v>6723</v>
      </c>
      <c r="S8731" t="s">
        <v>6724</v>
      </c>
      <c r="T8731" t="s">
        <v>6725</v>
      </c>
    </row>
    <row r="8732" spans="1:20" x14ac:dyDescent="0.25">
      <c r="A8732" t="s">
        <v>30</v>
      </c>
      <c r="B8732" t="s">
        <v>31</v>
      </c>
      <c r="C8732" t="s">
        <v>32</v>
      </c>
      <c r="D8732" t="s">
        <v>953</v>
      </c>
      <c r="E8732" t="s">
        <v>1015</v>
      </c>
      <c r="F8732" t="s">
        <v>35</v>
      </c>
      <c r="G8732" t="s">
        <v>35</v>
      </c>
      <c r="H8732" t="s">
        <v>35</v>
      </c>
      <c r="J8732" t="s">
        <v>7450</v>
      </c>
      <c r="K8732" t="s">
        <v>1092</v>
      </c>
      <c r="M8732">
        <v>2.6549999999999998</v>
      </c>
      <c r="N8732">
        <v>1195</v>
      </c>
      <c r="O8732" t="s">
        <v>575</v>
      </c>
      <c r="Q8732" t="s">
        <v>3758</v>
      </c>
      <c r="R8732" t="s">
        <v>6723</v>
      </c>
      <c r="S8732" t="s">
        <v>6724</v>
      </c>
      <c r="T8732" t="s">
        <v>6725</v>
      </c>
    </row>
    <row r="8733" spans="1:20" x14ac:dyDescent="0.25">
      <c r="A8733" t="s">
        <v>59</v>
      </c>
      <c r="B8733" t="s">
        <v>60</v>
      </c>
      <c r="C8733" t="s">
        <v>32</v>
      </c>
      <c r="D8733" t="s">
        <v>953</v>
      </c>
      <c r="E8733" t="s">
        <v>1015</v>
      </c>
      <c r="F8733" t="s">
        <v>35</v>
      </c>
      <c r="G8733" t="s">
        <v>35</v>
      </c>
      <c r="H8733" t="s">
        <v>35</v>
      </c>
      <c r="J8733" t="s">
        <v>7450</v>
      </c>
      <c r="K8733" t="s">
        <v>1092</v>
      </c>
      <c r="M8733">
        <v>0.5</v>
      </c>
      <c r="N8733">
        <v>1249</v>
      </c>
      <c r="O8733" t="s">
        <v>575</v>
      </c>
      <c r="Q8733" t="s">
        <v>7453</v>
      </c>
      <c r="R8733" t="s">
        <v>6723</v>
      </c>
      <c r="S8733" t="s">
        <v>6724</v>
      </c>
      <c r="T8733" t="s">
        <v>6725</v>
      </c>
    </row>
    <row r="8734" spans="1:20" x14ac:dyDescent="0.25">
      <c r="A8734" t="s">
        <v>30</v>
      </c>
      <c r="B8734" t="s">
        <v>31</v>
      </c>
      <c r="C8734" t="s">
        <v>32</v>
      </c>
      <c r="D8734" t="s">
        <v>953</v>
      </c>
      <c r="E8734" t="s">
        <v>7467</v>
      </c>
      <c r="F8734" t="s">
        <v>35</v>
      </c>
      <c r="G8734" t="s">
        <v>35</v>
      </c>
      <c r="H8734" t="s">
        <v>35</v>
      </c>
      <c r="J8734" t="s">
        <v>7484</v>
      </c>
      <c r="K8734" t="s">
        <v>1092</v>
      </c>
      <c r="M8734">
        <v>9.99</v>
      </c>
      <c r="N8734">
        <v>15</v>
      </c>
      <c r="O8734" t="s">
        <v>46</v>
      </c>
      <c r="Q8734" t="s">
        <v>979</v>
      </c>
      <c r="R8734" t="s">
        <v>6723</v>
      </c>
      <c r="S8734" t="s">
        <v>6724</v>
      </c>
      <c r="T8734" t="s">
        <v>6725</v>
      </c>
    </row>
    <row r="8735" spans="1:20" x14ac:dyDescent="0.25">
      <c r="A8735" t="s">
        <v>59</v>
      </c>
      <c r="B8735" t="s">
        <v>31</v>
      </c>
      <c r="C8735" t="s">
        <v>32</v>
      </c>
      <c r="D8735" t="s">
        <v>953</v>
      </c>
      <c r="E8735" t="s">
        <v>1015</v>
      </c>
      <c r="F8735" t="s">
        <v>35</v>
      </c>
      <c r="G8735" t="s">
        <v>35</v>
      </c>
      <c r="H8735" t="s">
        <v>35</v>
      </c>
      <c r="J8735" t="s">
        <v>7412</v>
      </c>
      <c r="K8735" t="s">
        <v>1092</v>
      </c>
      <c r="M8735">
        <v>2.7</v>
      </c>
      <c r="N8735">
        <v>56</v>
      </c>
      <c r="O8735" t="s">
        <v>52</v>
      </c>
      <c r="Q8735" t="s">
        <v>423</v>
      </c>
      <c r="R8735" t="s">
        <v>6723</v>
      </c>
      <c r="S8735" t="s">
        <v>6724</v>
      </c>
      <c r="T8735" t="s">
        <v>6725</v>
      </c>
    </row>
    <row r="8736" spans="1:20" x14ac:dyDescent="0.25">
      <c r="A8736" t="s">
        <v>59</v>
      </c>
      <c r="B8736" t="s">
        <v>31</v>
      </c>
      <c r="C8736" t="s">
        <v>32</v>
      </c>
      <c r="D8736" t="s">
        <v>953</v>
      </c>
      <c r="E8736" t="s">
        <v>1072</v>
      </c>
      <c r="F8736" t="s">
        <v>35</v>
      </c>
      <c r="G8736" t="s">
        <v>35</v>
      </c>
      <c r="H8736" t="s">
        <v>35</v>
      </c>
      <c r="J8736" t="s">
        <v>7552</v>
      </c>
      <c r="K8736" t="s">
        <v>1092</v>
      </c>
      <c r="M8736">
        <v>4.4999999999999998E-2</v>
      </c>
      <c r="N8736">
        <v>428</v>
      </c>
      <c r="O8736" t="s">
        <v>294</v>
      </c>
      <c r="Q8736" t="s">
        <v>1350</v>
      </c>
      <c r="R8736" t="s">
        <v>6723</v>
      </c>
      <c r="S8736" t="s">
        <v>6724</v>
      </c>
      <c r="T8736" t="s">
        <v>6725</v>
      </c>
    </row>
    <row r="8737" spans="1:20" x14ac:dyDescent="0.25">
      <c r="A8737" t="s">
        <v>44</v>
      </c>
      <c r="B8737" t="s">
        <v>51</v>
      </c>
      <c r="C8737" t="s">
        <v>32</v>
      </c>
      <c r="D8737" t="s">
        <v>953</v>
      </c>
      <c r="E8737" t="s">
        <v>954</v>
      </c>
      <c r="F8737" t="s">
        <v>35</v>
      </c>
      <c r="G8737" t="s">
        <v>35</v>
      </c>
      <c r="H8737" t="s">
        <v>35</v>
      </c>
      <c r="J8737" t="s">
        <v>6834</v>
      </c>
      <c r="K8737" t="s">
        <v>1092</v>
      </c>
      <c r="M8737">
        <v>0.25</v>
      </c>
      <c r="N8737">
        <v>309</v>
      </c>
      <c r="O8737" t="s">
        <v>5</v>
      </c>
      <c r="Q8737" t="s">
        <v>6835</v>
      </c>
      <c r="R8737" t="s">
        <v>6746</v>
      </c>
      <c r="S8737" t="s">
        <v>6747</v>
      </c>
      <c r="T8737" t="s">
        <v>6748</v>
      </c>
    </row>
    <row r="8738" spans="1:20" x14ac:dyDescent="0.25">
      <c r="A8738" t="s">
        <v>59</v>
      </c>
      <c r="B8738" t="s">
        <v>60</v>
      </c>
      <c r="C8738" t="s">
        <v>32</v>
      </c>
      <c r="D8738" t="s">
        <v>953</v>
      </c>
      <c r="E8738" t="s">
        <v>1077</v>
      </c>
      <c r="F8738" t="s">
        <v>35</v>
      </c>
      <c r="G8738" t="s">
        <v>35</v>
      </c>
      <c r="H8738" t="s">
        <v>35</v>
      </c>
      <c r="J8738" t="s">
        <v>7656</v>
      </c>
      <c r="K8738" t="s">
        <v>1092</v>
      </c>
      <c r="M8738">
        <v>0.75</v>
      </c>
      <c r="N8738">
        <v>123</v>
      </c>
      <c r="O8738" t="s">
        <v>38</v>
      </c>
      <c r="Q8738" t="s">
        <v>1656</v>
      </c>
      <c r="R8738" t="s">
        <v>6746</v>
      </c>
      <c r="S8738" t="s">
        <v>6747</v>
      </c>
      <c r="T8738" t="s">
        <v>6748</v>
      </c>
    </row>
    <row r="8739" spans="1:20" x14ac:dyDescent="0.25">
      <c r="A8739" t="s">
        <v>59</v>
      </c>
      <c r="B8739" t="s">
        <v>60</v>
      </c>
      <c r="C8739" t="s">
        <v>32</v>
      </c>
      <c r="D8739" t="s">
        <v>953</v>
      </c>
      <c r="E8739" t="s">
        <v>1077</v>
      </c>
      <c r="F8739" t="s">
        <v>35</v>
      </c>
      <c r="G8739" t="s">
        <v>35</v>
      </c>
      <c r="H8739" t="s">
        <v>35</v>
      </c>
      <c r="J8739" t="s">
        <v>7656</v>
      </c>
      <c r="K8739" t="s">
        <v>1092</v>
      </c>
      <c r="M8739">
        <v>0.25</v>
      </c>
      <c r="N8739">
        <v>217</v>
      </c>
      <c r="O8739" t="s">
        <v>5</v>
      </c>
      <c r="Q8739" t="s">
        <v>1150</v>
      </c>
      <c r="R8739" t="s">
        <v>6746</v>
      </c>
      <c r="S8739" t="s">
        <v>6747</v>
      </c>
      <c r="T8739" t="s">
        <v>6748</v>
      </c>
    </row>
    <row r="8740" spans="1:20" x14ac:dyDescent="0.25">
      <c r="A8740" t="s">
        <v>59</v>
      </c>
      <c r="B8740" t="s">
        <v>60</v>
      </c>
      <c r="C8740" t="s">
        <v>32</v>
      </c>
      <c r="D8740" t="s">
        <v>953</v>
      </c>
      <c r="E8740" t="s">
        <v>954</v>
      </c>
      <c r="F8740" t="s">
        <v>35</v>
      </c>
      <c r="G8740" t="s">
        <v>35</v>
      </c>
      <c r="H8740" t="s">
        <v>35</v>
      </c>
      <c r="J8740" t="s">
        <v>6745</v>
      </c>
      <c r="K8740" t="s">
        <v>1092</v>
      </c>
      <c r="M8740">
        <v>0.1</v>
      </c>
      <c r="N8740">
        <v>95</v>
      </c>
      <c r="O8740" t="s">
        <v>106</v>
      </c>
      <c r="Q8740" t="s">
        <v>2747</v>
      </c>
      <c r="R8740" t="s">
        <v>6746</v>
      </c>
      <c r="S8740" t="s">
        <v>6747</v>
      </c>
      <c r="T8740" t="s">
        <v>6748</v>
      </c>
    </row>
    <row r="8741" spans="1:20" x14ac:dyDescent="0.25">
      <c r="A8741" t="s">
        <v>59</v>
      </c>
      <c r="B8741" t="s">
        <v>60</v>
      </c>
      <c r="C8741" t="s">
        <v>32</v>
      </c>
      <c r="D8741" t="s">
        <v>953</v>
      </c>
      <c r="E8741" t="s">
        <v>954</v>
      </c>
      <c r="F8741" t="s">
        <v>35</v>
      </c>
      <c r="G8741" t="s">
        <v>35</v>
      </c>
      <c r="H8741" t="s">
        <v>35</v>
      </c>
      <c r="J8741" t="s">
        <v>6745</v>
      </c>
      <c r="K8741" t="s">
        <v>1092</v>
      </c>
      <c r="M8741">
        <v>0.15</v>
      </c>
      <c r="N8741">
        <v>123</v>
      </c>
      <c r="O8741" t="s">
        <v>38</v>
      </c>
      <c r="Q8741" t="s">
        <v>1656</v>
      </c>
      <c r="R8741" t="s">
        <v>6746</v>
      </c>
      <c r="S8741" t="s">
        <v>6747</v>
      </c>
      <c r="T8741" t="s">
        <v>6748</v>
      </c>
    </row>
    <row r="8742" spans="1:20" x14ac:dyDescent="0.25">
      <c r="A8742" t="s">
        <v>59</v>
      </c>
      <c r="B8742" t="s">
        <v>60</v>
      </c>
      <c r="C8742" t="s">
        <v>32</v>
      </c>
      <c r="D8742" t="s">
        <v>953</v>
      </c>
      <c r="E8742" t="s">
        <v>954</v>
      </c>
      <c r="F8742" t="s">
        <v>35</v>
      </c>
      <c r="G8742" t="s">
        <v>35</v>
      </c>
      <c r="H8742" t="s">
        <v>35</v>
      </c>
      <c r="J8742" t="s">
        <v>6790</v>
      </c>
      <c r="K8742" t="s">
        <v>1092</v>
      </c>
      <c r="M8742">
        <v>0.08</v>
      </c>
      <c r="N8742">
        <v>429</v>
      </c>
      <c r="O8742" t="s">
        <v>294</v>
      </c>
      <c r="Q8742" t="s">
        <v>1787</v>
      </c>
      <c r="R8742" t="s">
        <v>6746</v>
      </c>
      <c r="S8742" t="s">
        <v>6747</v>
      </c>
      <c r="T8742" t="s">
        <v>6748</v>
      </c>
    </row>
    <row r="8743" spans="1:20" x14ac:dyDescent="0.25">
      <c r="A8743" t="s">
        <v>59</v>
      </c>
      <c r="B8743" t="s">
        <v>60</v>
      </c>
      <c r="C8743" t="s">
        <v>32</v>
      </c>
      <c r="D8743" t="s">
        <v>953</v>
      </c>
      <c r="E8743" t="s">
        <v>954</v>
      </c>
      <c r="F8743" t="s">
        <v>35</v>
      </c>
      <c r="G8743" t="s">
        <v>35</v>
      </c>
      <c r="H8743" t="s">
        <v>35</v>
      </c>
      <c r="J8743" t="s">
        <v>6856</v>
      </c>
      <c r="K8743" t="s">
        <v>1092</v>
      </c>
      <c r="M8743">
        <v>2.1440000000000001</v>
      </c>
      <c r="N8743">
        <v>101</v>
      </c>
      <c r="O8743" t="s">
        <v>106</v>
      </c>
      <c r="Q8743" t="s">
        <v>1450</v>
      </c>
      <c r="R8743" t="s">
        <v>6746</v>
      </c>
      <c r="S8743" t="s">
        <v>6747</v>
      </c>
      <c r="T8743" t="s">
        <v>6748</v>
      </c>
    </row>
    <row r="8744" spans="1:20" x14ac:dyDescent="0.25">
      <c r="A8744" t="s">
        <v>44</v>
      </c>
      <c r="B8744" t="s">
        <v>51</v>
      </c>
      <c r="C8744" t="s">
        <v>32</v>
      </c>
      <c r="D8744" t="s">
        <v>953</v>
      </c>
      <c r="E8744" t="s">
        <v>1077</v>
      </c>
      <c r="F8744" t="s">
        <v>35</v>
      </c>
      <c r="G8744" t="s">
        <v>35</v>
      </c>
      <c r="H8744" t="s">
        <v>35</v>
      </c>
      <c r="J8744" t="s">
        <v>7738</v>
      </c>
      <c r="K8744" t="s">
        <v>1092</v>
      </c>
      <c r="M8744">
        <v>0.2</v>
      </c>
      <c r="N8744">
        <v>264</v>
      </c>
      <c r="O8744" t="s">
        <v>5</v>
      </c>
      <c r="Q8744" t="s">
        <v>1881</v>
      </c>
      <c r="R8744" t="s">
        <v>6746</v>
      </c>
      <c r="S8744" t="s">
        <v>6747</v>
      </c>
      <c r="T8744" t="s">
        <v>6748</v>
      </c>
    </row>
    <row r="8745" spans="1:20" x14ac:dyDescent="0.25">
      <c r="A8745" t="s">
        <v>59</v>
      </c>
      <c r="B8745" t="s">
        <v>60</v>
      </c>
      <c r="C8745" t="s">
        <v>32</v>
      </c>
      <c r="D8745" t="s">
        <v>953</v>
      </c>
      <c r="E8745" t="s">
        <v>1077</v>
      </c>
      <c r="F8745" t="s">
        <v>35</v>
      </c>
      <c r="G8745" t="s">
        <v>35</v>
      </c>
      <c r="H8745" t="s">
        <v>35</v>
      </c>
      <c r="J8745" t="s">
        <v>7738</v>
      </c>
      <c r="K8745" t="s">
        <v>1092</v>
      </c>
      <c r="M8745">
        <v>0.25</v>
      </c>
      <c r="N8745">
        <v>217</v>
      </c>
      <c r="O8745" t="s">
        <v>5</v>
      </c>
      <c r="Q8745" t="s">
        <v>1150</v>
      </c>
      <c r="R8745" t="s">
        <v>6746</v>
      </c>
      <c r="S8745" t="s">
        <v>6747</v>
      </c>
      <c r="T8745" t="s">
        <v>6748</v>
      </c>
    </row>
    <row r="8746" spans="1:20" x14ac:dyDescent="0.25">
      <c r="A8746" t="s">
        <v>59</v>
      </c>
      <c r="B8746" t="s">
        <v>60</v>
      </c>
      <c r="C8746" t="s">
        <v>32</v>
      </c>
      <c r="D8746" t="s">
        <v>953</v>
      </c>
      <c r="E8746" t="s">
        <v>998</v>
      </c>
      <c r="F8746" t="s">
        <v>35</v>
      </c>
      <c r="G8746" t="s">
        <v>35</v>
      </c>
      <c r="H8746" t="s">
        <v>35</v>
      </c>
      <c r="J8746" t="s">
        <v>7290</v>
      </c>
      <c r="K8746" t="s">
        <v>1092</v>
      </c>
      <c r="M8746">
        <v>3.2</v>
      </c>
      <c r="N8746">
        <v>1554</v>
      </c>
      <c r="O8746" t="s">
        <v>575</v>
      </c>
      <c r="Q8746" t="s">
        <v>2812</v>
      </c>
      <c r="R8746" t="s">
        <v>7291</v>
      </c>
      <c r="S8746" t="s">
        <v>7292</v>
      </c>
      <c r="T8746" t="s">
        <v>7293</v>
      </c>
    </row>
    <row r="8747" spans="1:20" x14ac:dyDescent="0.25">
      <c r="A8747" t="s">
        <v>59</v>
      </c>
      <c r="B8747" t="s">
        <v>60</v>
      </c>
      <c r="C8747" t="s">
        <v>32</v>
      </c>
      <c r="D8747" t="s">
        <v>953</v>
      </c>
      <c r="E8747" t="s">
        <v>1007</v>
      </c>
      <c r="F8747" t="s">
        <v>35</v>
      </c>
      <c r="G8747" t="s">
        <v>35</v>
      </c>
      <c r="H8747" t="s">
        <v>35</v>
      </c>
      <c r="J8747" t="s">
        <v>1417</v>
      </c>
      <c r="K8747" t="s">
        <v>1092</v>
      </c>
      <c r="M8747">
        <v>0.1</v>
      </c>
      <c r="N8747">
        <v>332</v>
      </c>
      <c r="O8747" t="s">
        <v>5</v>
      </c>
      <c r="Q8747" t="s">
        <v>5298</v>
      </c>
      <c r="R8747" t="s">
        <v>7057</v>
      </c>
      <c r="S8747" t="s">
        <v>1008</v>
      </c>
      <c r="T8747" t="s">
        <v>1009</v>
      </c>
    </row>
    <row r="8748" spans="1:20" x14ac:dyDescent="0.25">
      <c r="A8748" t="s">
        <v>44</v>
      </c>
      <c r="B8748" t="s">
        <v>3</v>
      </c>
      <c r="C8748" t="s">
        <v>32</v>
      </c>
      <c r="D8748" t="s">
        <v>953</v>
      </c>
      <c r="E8748" t="s">
        <v>968</v>
      </c>
      <c r="F8748" t="s">
        <v>35</v>
      </c>
      <c r="G8748" t="s">
        <v>35</v>
      </c>
      <c r="H8748" t="s">
        <v>35</v>
      </c>
      <c r="J8748" t="s">
        <v>628</v>
      </c>
      <c r="K8748" t="s">
        <v>1092</v>
      </c>
      <c r="M8748">
        <v>5</v>
      </c>
      <c r="N8748">
        <v>17</v>
      </c>
      <c r="O8748" t="s">
        <v>46</v>
      </c>
      <c r="Q8748" t="s">
        <v>255</v>
      </c>
      <c r="R8748" t="s">
        <v>7057</v>
      </c>
      <c r="S8748" t="s">
        <v>1008</v>
      </c>
      <c r="T8748" t="s">
        <v>1009</v>
      </c>
    </row>
    <row r="8749" spans="1:20" x14ac:dyDescent="0.25">
      <c r="A8749" t="s">
        <v>59</v>
      </c>
      <c r="B8749" t="s">
        <v>60</v>
      </c>
      <c r="C8749" t="s">
        <v>32</v>
      </c>
      <c r="D8749" t="s">
        <v>953</v>
      </c>
      <c r="E8749" t="s">
        <v>1007</v>
      </c>
      <c r="F8749" t="s">
        <v>35</v>
      </c>
      <c r="G8749" t="s">
        <v>35</v>
      </c>
      <c r="H8749" t="s">
        <v>35</v>
      </c>
      <c r="J8749" t="s">
        <v>7334</v>
      </c>
      <c r="K8749" t="s">
        <v>1092</v>
      </c>
      <c r="M8749">
        <v>0.2</v>
      </c>
      <c r="N8749">
        <v>337</v>
      </c>
      <c r="O8749" t="s">
        <v>5</v>
      </c>
      <c r="Q8749" t="s">
        <v>1859</v>
      </c>
      <c r="R8749" t="s">
        <v>7057</v>
      </c>
      <c r="S8749" t="s">
        <v>1008</v>
      </c>
      <c r="T8749" t="s">
        <v>1009</v>
      </c>
    </row>
    <row r="8750" spans="1:20" x14ac:dyDescent="0.25">
      <c r="A8750" t="s">
        <v>44</v>
      </c>
      <c r="B8750" t="s">
        <v>3</v>
      </c>
      <c r="C8750" t="s">
        <v>32</v>
      </c>
      <c r="D8750" t="s">
        <v>953</v>
      </c>
      <c r="E8750" t="s">
        <v>1007</v>
      </c>
      <c r="F8750" t="s">
        <v>35</v>
      </c>
      <c r="G8750" t="s">
        <v>35</v>
      </c>
      <c r="H8750" t="s">
        <v>35</v>
      </c>
      <c r="J8750" t="s">
        <v>7337</v>
      </c>
      <c r="K8750" t="s">
        <v>1092</v>
      </c>
      <c r="M8750">
        <v>0.25</v>
      </c>
      <c r="N8750">
        <v>9</v>
      </c>
      <c r="O8750" t="s">
        <v>46</v>
      </c>
      <c r="Q8750" t="s">
        <v>323</v>
      </c>
      <c r="R8750" t="s">
        <v>7057</v>
      </c>
      <c r="S8750" t="s">
        <v>1008</v>
      </c>
      <c r="T8750" t="s">
        <v>1009</v>
      </c>
    </row>
    <row r="8751" spans="1:20" x14ac:dyDescent="0.25">
      <c r="A8751" t="s">
        <v>59</v>
      </c>
      <c r="B8751" t="s">
        <v>31</v>
      </c>
      <c r="C8751" t="s">
        <v>32</v>
      </c>
      <c r="D8751" t="s">
        <v>953</v>
      </c>
      <c r="E8751" t="s">
        <v>1007</v>
      </c>
      <c r="F8751" t="s">
        <v>35</v>
      </c>
      <c r="G8751" t="s">
        <v>35</v>
      </c>
      <c r="H8751" t="s">
        <v>35</v>
      </c>
      <c r="J8751" t="s">
        <v>7338</v>
      </c>
      <c r="K8751" t="s">
        <v>1092</v>
      </c>
      <c r="M8751">
        <v>4.4999999999999998E-2</v>
      </c>
      <c r="N8751">
        <v>548</v>
      </c>
      <c r="O8751" t="s">
        <v>575</v>
      </c>
      <c r="Q8751" t="s">
        <v>4974</v>
      </c>
      <c r="R8751" t="s">
        <v>7057</v>
      </c>
      <c r="S8751" t="s">
        <v>1008</v>
      </c>
      <c r="T8751" t="s">
        <v>1009</v>
      </c>
    </row>
    <row r="8752" spans="1:20" x14ac:dyDescent="0.25">
      <c r="A8752" t="s">
        <v>59</v>
      </c>
      <c r="B8752" t="s">
        <v>60</v>
      </c>
      <c r="C8752" t="s">
        <v>32</v>
      </c>
      <c r="D8752" t="s">
        <v>953</v>
      </c>
      <c r="E8752" t="s">
        <v>1007</v>
      </c>
      <c r="F8752" t="s">
        <v>35</v>
      </c>
      <c r="G8752" t="s">
        <v>35</v>
      </c>
      <c r="H8752" t="s">
        <v>35</v>
      </c>
      <c r="J8752" t="s">
        <v>7338</v>
      </c>
      <c r="K8752" t="s">
        <v>1092</v>
      </c>
      <c r="M8752">
        <v>0.2</v>
      </c>
      <c r="N8752">
        <v>337</v>
      </c>
      <c r="O8752" t="s">
        <v>5</v>
      </c>
      <c r="Q8752" t="s">
        <v>1859</v>
      </c>
      <c r="R8752" t="s">
        <v>7057</v>
      </c>
      <c r="S8752" t="s">
        <v>1008</v>
      </c>
      <c r="T8752" t="s">
        <v>1009</v>
      </c>
    </row>
    <row r="8753" spans="1:20" x14ac:dyDescent="0.25">
      <c r="A8753" t="s">
        <v>59</v>
      </c>
      <c r="B8753" t="s">
        <v>60</v>
      </c>
      <c r="C8753" t="s">
        <v>32</v>
      </c>
      <c r="D8753" t="s">
        <v>953</v>
      </c>
      <c r="E8753" t="s">
        <v>1007</v>
      </c>
      <c r="F8753" t="s">
        <v>35</v>
      </c>
      <c r="G8753" t="s">
        <v>35</v>
      </c>
      <c r="H8753" t="s">
        <v>35</v>
      </c>
      <c r="J8753" t="s">
        <v>7338</v>
      </c>
      <c r="K8753" t="s">
        <v>1092</v>
      </c>
      <c r="M8753">
        <v>0.15</v>
      </c>
      <c r="N8753">
        <v>561</v>
      </c>
      <c r="O8753" t="s">
        <v>575</v>
      </c>
      <c r="Q8753" t="s">
        <v>7339</v>
      </c>
      <c r="R8753" t="s">
        <v>7057</v>
      </c>
      <c r="S8753" t="s">
        <v>1008</v>
      </c>
      <c r="T8753" t="s">
        <v>1009</v>
      </c>
    </row>
    <row r="8754" spans="1:20" x14ac:dyDescent="0.25">
      <c r="A8754" t="s">
        <v>59</v>
      </c>
      <c r="B8754" t="s">
        <v>60</v>
      </c>
      <c r="C8754" t="s">
        <v>32</v>
      </c>
      <c r="D8754" t="s">
        <v>953</v>
      </c>
      <c r="E8754" t="s">
        <v>1007</v>
      </c>
      <c r="F8754" t="s">
        <v>35</v>
      </c>
      <c r="G8754" t="s">
        <v>35</v>
      </c>
      <c r="H8754" t="s">
        <v>35</v>
      </c>
      <c r="J8754" t="s">
        <v>7315</v>
      </c>
      <c r="K8754" t="s">
        <v>1092</v>
      </c>
      <c r="M8754">
        <v>0.35</v>
      </c>
      <c r="N8754">
        <v>345</v>
      </c>
      <c r="O8754" t="s">
        <v>5</v>
      </c>
      <c r="Q8754" t="s">
        <v>1190</v>
      </c>
      <c r="R8754" t="s">
        <v>7057</v>
      </c>
      <c r="S8754" t="s">
        <v>1008</v>
      </c>
      <c r="T8754" t="s">
        <v>1009</v>
      </c>
    </row>
    <row r="8755" spans="1:20" x14ac:dyDescent="0.25">
      <c r="A8755" t="s">
        <v>44</v>
      </c>
      <c r="B8755" t="s">
        <v>3</v>
      </c>
      <c r="C8755" t="s">
        <v>32</v>
      </c>
      <c r="D8755" t="s">
        <v>953</v>
      </c>
      <c r="E8755" t="s">
        <v>1007</v>
      </c>
      <c r="F8755" t="s">
        <v>35</v>
      </c>
      <c r="G8755" t="s">
        <v>35</v>
      </c>
      <c r="H8755" t="s">
        <v>35</v>
      </c>
      <c r="J8755" t="s">
        <v>7315</v>
      </c>
      <c r="K8755" t="s">
        <v>1092</v>
      </c>
      <c r="M8755">
        <v>0.25</v>
      </c>
      <c r="N8755">
        <v>12</v>
      </c>
      <c r="O8755" t="s">
        <v>46</v>
      </c>
      <c r="Q8755" t="s">
        <v>1192</v>
      </c>
      <c r="R8755" t="s">
        <v>7057</v>
      </c>
      <c r="S8755" t="s">
        <v>1008</v>
      </c>
      <c r="T8755" t="s">
        <v>1009</v>
      </c>
    </row>
    <row r="8756" spans="1:20" x14ac:dyDescent="0.25">
      <c r="A8756" t="s">
        <v>30</v>
      </c>
      <c r="B8756" t="s">
        <v>31</v>
      </c>
      <c r="C8756" t="s">
        <v>32</v>
      </c>
      <c r="D8756" t="s">
        <v>953</v>
      </c>
      <c r="E8756" t="s">
        <v>6878</v>
      </c>
      <c r="F8756" t="s">
        <v>35</v>
      </c>
      <c r="G8756" t="s">
        <v>35</v>
      </c>
      <c r="H8756" t="s">
        <v>35</v>
      </c>
      <c r="J8756" t="s">
        <v>6914</v>
      </c>
      <c r="K8756" t="s">
        <v>1092</v>
      </c>
      <c r="M8756">
        <v>2.25</v>
      </c>
      <c r="N8756">
        <v>11</v>
      </c>
      <c r="O8756" t="s">
        <v>46</v>
      </c>
      <c r="Q8756" t="s">
        <v>1476</v>
      </c>
      <c r="R8756" t="s">
        <v>6709</v>
      </c>
      <c r="S8756" t="s">
        <v>1022</v>
      </c>
      <c r="T8756" t="s">
        <v>1023</v>
      </c>
    </row>
    <row r="8757" spans="1:20" x14ac:dyDescent="0.25">
      <c r="A8757" t="s">
        <v>59</v>
      </c>
      <c r="B8757" t="s">
        <v>60</v>
      </c>
      <c r="C8757" t="s">
        <v>32</v>
      </c>
      <c r="D8757" t="s">
        <v>953</v>
      </c>
      <c r="E8757" t="s">
        <v>954</v>
      </c>
      <c r="F8757" t="s">
        <v>35</v>
      </c>
      <c r="G8757" t="s">
        <v>35</v>
      </c>
      <c r="H8757" t="s">
        <v>35</v>
      </c>
      <c r="J8757" t="s">
        <v>6708</v>
      </c>
      <c r="K8757" t="s">
        <v>1092</v>
      </c>
      <c r="M8757">
        <v>0.5</v>
      </c>
      <c r="N8757">
        <v>53</v>
      </c>
      <c r="O8757" t="s">
        <v>52</v>
      </c>
      <c r="Q8757" t="s">
        <v>1734</v>
      </c>
      <c r="R8757" t="s">
        <v>6709</v>
      </c>
      <c r="S8757" t="s">
        <v>1022</v>
      </c>
      <c r="T8757" t="s">
        <v>1023</v>
      </c>
    </row>
    <row r="8758" spans="1:20" x14ac:dyDescent="0.25">
      <c r="A8758" t="s">
        <v>44</v>
      </c>
      <c r="B8758" t="s">
        <v>3</v>
      </c>
      <c r="C8758" t="s">
        <v>32</v>
      </c>
      <c r="D8758" t="s">
        <v>953</v>
      </c>
      <c r="E8758" t="s">
        <v>954</v>
      </c>
      <c r="F8758" t="s">
        <v>35</v>
      </c>
      <c r="G8758" t="s">
        <v>35</v>
      </c>
      <c r="H8758" t="s">
        <v>35</v>
      </c>
      <c r="J8758" t="s">
        <v>6708</v>
      </c>
      <c r="K8758" t="s">
        <v>1092</v>
      </c>
      <c r="M8758">
        <v>5</v>
      </c>
      <c r="N8758">
        <v>21</v>
      </c>
      <c r="O8758" t="s">
        <v>46</v>
      </c>
      <c r="Q8758" t="s">
        <v>176</v>
      </c>
      <c r="R8758" t="s">
        <v>6709</v>
      </c>
      <c r="S8758" t="s">
        <v>1022</v>
      </c>
      <c r="T8758" t="s">
        <v>1023</v>
      </c>
    </row>
    <row r="8759" spans="1:20" x14ac:dyDescent="0.25">
      <c r="A8759" t="s">
        <v>30</v>
      </c>
      <c r="B8759" t="s">
        <v>31</v>
      </c>
      <c r="C8759" t="s">
        <v>32</v>
      </c>
      <c r="D8759" t="s">
        <v>953</v>
      </c>
      <c r="E8759" t="s">
        <v>954</v>
      </c>
      <c r="F8759" t="s">
        <v>35</v>
      </c>
      <c r="G8759" t="s">
        <v>35</v>
      </c>
      <c r="H8759" t="s">
        <v>35</v>
      </c>
      <c r="J8759" t="s">
        <v>6708</v>
      </c>
      <c r="K8759" t="s">
        <v>1092</v>
      </c>
      <c r="M8759">
        <v>9.98</v>
      </c>
      <c r="N8759">
        <v>38</v>
      </c>
      <c r="O8759" t="s">
        <v>52</v>
      </c>
      <c r="Q8759" t="s">
        <v>716</v>
      </c>
      <c r="R8759" t="s">
        <v>6709</v>
      </c>
      <c r="S8759" t="s">
        <v>1022</v>
      </c>
      <c r="T8759" t="s">
        <v>1023</v>
      </c>
    </row>
    <row r="8760" spans="1:20" x14ac:dyDescent="0.25">
      <c r="A8760" t="s">
        <v>44</v>
      </c>
      <c r="B8760" t="s">
        <v>3</v>
      </c>
      <c r="C8760" t="s">
        <v>32</v>
      </c>
      <c r="D8760" t="s">
        <v>953</v>
      </c>
      <c r="E8760" t="s">
        <v>954</v>
      </c>
      <c r="F8760" t="s">
        <v>35</v>
      </c>
      <c r="G8760" t="s">
        <v>35</v>
      </c>
      <c r="H8760" t="s">
        <v>35</v>
      </c>
      <c r="J8760" t="s">
        <v>6708</v>
      </c>
      <c r="K8760" t="s">
        <v>1092</v>
      </c>
      <c r="M8760">
        <v>3.2</v>
      </c>
      <c r="N8760">
        <v>55</v>
      </c>
      <c r="O8760" t="s">
        <v>52</v>
      </c>
      <c r="Q8760" t="s">
        <v>90</v>
      </c>
      <c r="R8760" t="s">
        <v>6709</v>
      </c>
      <c r="S8760" t="s">
        <v>1022</v>
      </c>
      <c r="T8760" t="s">
        <v>1023</v>
      </c>
    </row>
    <row r="8761" spans="1:20" x14ac:dyDescent="0.25">
      <c r="A8761" t="s">
        <v>59</v>
      </c>
      <c r="B8761" t="s">
        <v>60</v>
      </c>
      <c r="C8761" t="s">
        <v>32</v>
      </c>
      <c r="D8761" t="s">
        <v>953</v>
      </c>
      <c r="E8761" t="s">
        <v>980</v>
      </c>
      <c r="F8761" t="s">
        <v>35</v>
      </c>
      <c r="G8761" t="s">
        <v>35</v>
      </c>
      <c r="H8761" t="s">
        <v>35</v>
      </c>
      <c r="J8761" t="s">
        <v>7070</v>
      </c>
      <c r="K8761" t="s">
        <v>1092</v>
      </c>
      <c r="M8761">
        <v>9.65</v>
      </c>
      <c r="N8761">
        <v>52</v>
      </c>
      <c r="O8761" t="s">
        <v>52</v>
      </c>
      <c r="Q8761" t="s">
        <v>84</v>
      </c>
      <c r="R8761" t="s">
        <v>6709</v>
      </c>
      <c r="S8761" t="s">
        <v>1022</v>
      </c>
      <c r="T8761" t="s">
        <v>1023</v>
      </c>
    </row>
    <row r="8762" spans="1:20" x14ac:dyDescent="0.25">
      <c r="A8762" t="s">
        <v>30</v>
      </c>
      <c r="B8762" t="s">
        <v>31</v>
      </c>
      <c r="C8762" t="s">
        <v>32</v>
      </c>
      <c r="D8762" t="s">
        <v>953</v>
      </c>
      <c r="E8762" t="s">
        <v>980</v>
      </c>
      <c r="F8762" t="s">
        <v>35</v>
      </c>
      <c r="G8762" t="s">
        <v>35</v>
      </c>
      <c r="H8762" t="s">
        <v>35</v>
      </c>
      <c r="J8762" t="s">
        <v>7070</v>
      </c>
      <c r="K8762" t="s">
        <v>1092</v>
      </c>
      <c r="M8762">
        <v>9.7200000000000006</v>
      </c>
      <c r="N8762">
        <v>14</v>
      </c>
      <c r="O8762" t="s">
        <v>46</v>
      </c>
      <c r="Q8762" t="s">
        <v>1874</v>
      </c>
      <c r="R8762" t="s">
        <v>6709</v>
      </c>
      <c r="S8762" t="s">
        <v>1022</v>
      </c>
      <c r="T8762" t="s">
        <v>1023</v>
      </c>
    </row>
    <row r="8763" spans="1:20" x14ac:dyDescent="0.25">
      <c r="A8763" t="s">
        <v>59</v>
      </c>
      <c r="B8763" t="s">
        <v>31</v>
      </c>
      <c r="C8763" t="s">
        <v>32</v>
      </c>
      <c r="D8763" t="s">
        <v>953</v>
      </c>
      <c r="E8763" t="s">
        <v>1084</v>
      </c>
      <c r="F8763" t="s">
        <v>35</v>
      </c>
      <c r="G8763" t="s">
        <v>35</v>
      </c>
      <c r="H8763" t="s">
        <v>35</v>
      </c>
      <c r="J8763" t="s">
        <v>7779</v>
      </c>
      <c r="K8763" t="s">
        <v>1092</v>
      </c>
      <c r="M8763">
        <v>4.7249999999999996</v>
      </c>
      <c r="N8763">
        <v>530</v>
      </c>
      <c r="O8763" t="s">
        <v>294</v>
      </c>
      <c r="Q8763" t="s">
        <v>1388</v>
      </c>
      <c r="R8763" t="s">
        <v>6709</v>
      </c>
      <c r="S8763" t="s">
        <v>1022</v>
      </c>
      <c r="T8763" t="s">
        <v>1023</v>
      </c>
    </row>
    <row r="8764" spans="1:20" x14ac:dyDescent="0.25">
      <c r="A8764" t="s">
        <v>59</v>
      </c>
      <c r="B8764" t="s">
        <v>60</v>
      </c>
      <c r="C8764" t="s">
        <v>32</v>
      </c>
      <c r="D8764" t="s">
        <v>953</v>
      </c>
      <c r="E8764" t="s">
        <v>7467</v>
      </c>
      <c r="F8764" t="s">
        <v>35</v>
      </c>
      <c r="G8764" t="s">
        <v>35</v>
      </c>
      <c r="H8764" t="s">
        <v>35</v>
      </c>
      <c r="J8764" t="s">
        <v>7482</v>
      </c>
      <c r="K8764" t="s">
        <v>1092</v>
      </c>
      <c r="M8764">
        <v>9.8000000000000007</v>
      </c>
      <c r="N8764">
        <v>84</v>
      </c>
      <c r="O8764" t="s">
        <v>61</v>
      </c>
      <c r="Q8764" t="s">
        <v>1147</v>
      </c>
      <c r="R8764" t="s">
        <v>6709</v>
      </c>
      <c r="S8764" t="s">
        <v>1022</v>
      </c>
      <c r="T8764" t="s">
        <v>1023</v>
      </c>
    </row>
    <row r="8765" spans="1:20" x14ac:dyDescent="0.25">
      <c r="A8765" t="s">
        <v>59</v>
      </c>
      <c r="B8765" t="s">
        <v>31</v>
      </c>
      <c r="C8765" t="s">
        <v>32</v>
      </c>
      <c r="D8765" t="s">
        <v>953</v>
      </c>
      <c r="E8765" t="s">
        <v>7467</v>
      </c>
      <c r="F8765" t="s">
        <v>35</v>
      </c>
      <c r="G8765" t="s">
        <v>35</v>
      </c>
      <c r="H8765" t="s">
        <v>35</v>
      </c>
      <c r="J8765" t="s">
        <v>7482</v>
      </c>
      <c r="K8765" t="s">
        <v>1092</v>
      </c>
      <c r="M8765">
        <v>1.7549999999999999</v>
      </c>
      <c r="N8765">
        <v>84</v>
      </c>
      <c r="O8765" t="s">
        <v>61</v>
      </c>
      <c r="Q8765" t="s">
        <v>1147</v>
      </c>
      <c r="R8765" t="s">
        <v>6709</v>
      </c>
      <c r="S8765" t="s">
        <v>1022</v>
      </c>
      <c r="T8765" t="s">
        <v>1023</v>
      </c>
    </row>
    <row r="8766" spans="1:20" x14ac:dyDescent="0.25">
      <c r="A8766" t="s">
        <v>44</v>
      </c>
      <c r="B8766" t="s">
        <v>3</v>
      </c>
      <c r="C8766" t="s">
        <v>32</v>
      </c>
      <c r="D8766" t="s">
        <v>953</v>
      </c>
      <c r="E8766" t="s">
        <v>1015</v>
      </c>
      <c r="F8766" t="s">
        <v>35</v>
      </c>
      <c r="G8766" t="s">
        <v>35</v>
      </c>
      <c r="H8766" t="s">
        <v>35</v>
      </c>
      <c r="J8766" t="s">
        <v>7385</v>
      </c>
      <c r="K8766" t="s">
        <v>1092</v>
      </c>
      <c r="M8766">
        <v>2.75</v>
      </c>
      <c r="N8766">
        <v>55</v>
      </c>
      <c r="O8766" t="s">
        <v>52</v>
      </c>
      <c r="Q8766" t="s">
        <v>90</v>
      </c>
      <c r="R8766" t="s">
        <v>6709</v>
      </c>
      <c r="S8766" t="s">
        <v>1022</v>
      </c>
      <c r="T8766" t="s">
        <v>1023</v>
      </c>
    </row>
    <row r="8767" spans="1:20" x14ac:dyDescent="0.25">
      <c r="A8767" t="s">
        <v>59</v>
      </c>
      <c r="B8767" t="s">
        <v>60</v>
      </c>
      <c r="C8767" t="s">
        <v>32</v>
      </c>
      <c r="D8767" t="s">
        <v>953</v>
      </c>
      <c r="E8767" t="s">
        <v>968</v>
      </c>
      <c r="F8767" t="s">
        <v>35</v>
      </c>
      <c r="G8767" t="s">
        <v>35</v>
      </c>
      <c r="H8767" t="s">
        <v>35</v>
      </c>
      <c r="J8767" t="s">
        <v>7047</v>
      </c>
      <c r="K8767" t="s">
        <v>1092</v>
      </c>
      <c r="M8767">
        <v>1.6</v>
      </c>
      <c r="N8767">
        <v>52</v>
      </c>
      <c r="O8767" t="s">
        <v>52</v>
      </c>
      <c r="Q8767" t="s">
        <v>84</v>
      </c>
      <c r="R8767" t="s">
        <v>6709</v>
      </c>
      <c r="S8767" t="s">
        <v>1022</v>
      </c>
      <c r="T8767" t="s">
        <v>1023</v>
      </c>
    </row>
    <row r="8768" spans="1:20" x14ac:dyDescent="0.25">
      <c r="A8768" t="s">
        <v>44</v>
      </c>
      <c r="B8768" t="s">
        <v>3</v>
      </c>
      <c r="C8768" t="s">
        <v>32</v>
      </c>
      <c r="D8768" t="s">
        <v>953</v>
      </c>
      <c r="E8768" t="s">
        <v>954</v>
      </c>
      <c r="F8768" t="s">
        <v>35</v>
      </c>
      <c r="G8768" t="s">
        <v>35</v>
      </c>
      <c r="H8768" t="s">
        <v>35</v>
      </c>
      <c r="J8768" t="s">
        <v>6868</v>
      </c>
      <c r="K8768" t="s">
        <v>1092</v>
      </c>
      <c r="M8768">
        <v>4.8499999999999996</v>
      </c>
      <c r="N8768">
        <v>55</v>
      </c>
      <c r="O8768" t="s">
        <v>52</v>
      </c>
      <c r="Q8768" t="s">
        <v>90</v>
      </c>
      <c r="R8768" t="s">
        <v>6709</v>
      </c>
      <c r="S8768" t="s">
        <v>1022</v>
      </c>
      <c r="T8768" t="s">
        <v>1023</v>
      </c>
    </row>
    <row r="8769" spans="1:20" x14ac:dyDescent="0.25">
      <c r="A8769" t="s">
        <v>59</v>
      </c>
      <c r="B8769" t="s">
        <v>60</v>
      </c>
      <c r="C8769" t="s">
        <v>32</v>
      </c>
      <c r="D8769" t="s">
        <v>953</v>
      </c>
      <c r="E8769" t="s">
        <v>954</v>
      </c>
      <c r="F8769" t="s">
        <v>35</v>
      </c>
      <c r="G8769" t="s">
        <v>35</v>
      </c>
      <c r="H8769" t="s">
        <v>35</v>
      </c>
      <c r="J8769" t="s">
        <v>6868</v>
      </c>
      <c r="K8769" t="s">
        <v>1092</v>
      </c>
      <c r="M8769">
        <v>4.4000000000000004</v>
      </c>
      <c r="N8769">
        <v>53</v>
      </c>
      <c r="O8769" t="s">
        <v>52</v>
      </c>
      <c r="Q8769" t="s">
        <v>1734</v>
      </c>
      <c r="R8769" t="s">
        <v>6709</v>
      </c>
      <c r="S8769" t="s">
        <v>1022</v>
      </c>
      <c r="T8769" t="s">
        <v>1023</v>
      </c>
    </row>
    <row r="8770" spans="1:20" x14ac:dyDescent="0.25">
      <c r="A8770" t="s">
        <v>59</v>
      </c>
      <c r="B8770" t="s">
        <v>31</v>
      </c>
      <c r="C8770" t="s">
        <v>32</v>
      </c>
      <c r="D8770" t="s">
        <v>953</v>
      </c>
      <c r="E8770" t="s">
        <v>954</v>
      </c>
      <c r="F8770" t="s">
        <v>35</v>
      </c>
      <c r="G8770" t="s">
        <v>35</v>
      </c>
      <c r="H8770" t="s">
        <v>35</v>
      </c>
      <c r="J8770" t="s">
        <v>6868</v>
      </c>
      <c r="K8770" t="s">
        <v>1092</v>
      </c>
      <c r="M8770">
        <v>0.40500000000000003</v>
      </c>
      <c r="N8770">
        <v>53</v>
      </c>
      <c r="O8770" t="s">
        <v>52</v>
      </c>
      <c r="Q8770" t="s">
        <v>1734</v>
      </c>
      <c r="R8770" t="s">
        <v>6709</v>
      </c>
      <c r="S8770" t="s">
        <v>1022</v>
      </c>
      <c r="T8770" t="s">
        <v>1023</v>
      </c>
    </row>
    <row r="8771" spans="1:20" x14ac:dyDescent="0.25">
      <c r="A8771" t="s">
        <v>59</v>
      </c>
      <c r="B8771" t="s">
        <v>60</v>
      </c>
      <c r="C8771" t="s">
        <v>32</v>
      </c>
      <c r="D8771" t="s">
        <v>953</v>
      </c>
      <c r="E8771" t="s">
        <v>1015</v>
      </c>
      <c r="F8771" t="s">
        <v>35</v>
      </c>
      <c r="G8771" t="s">
        <v>35</v>
      </c>
      <c r="H8771" t="s">
        <v>35</v>
      </c>
      <c r="J8771" t="s">
        <v>7360</v>
      </c>
      <c r="K8771" t="s">
        <v>1092</v>
      </c>
      <c r="M8771">
        <v>1</v>
      </c>
      <c r="N8771">
        <v>70</v>
      </c>
      <c r="O8771" t="s">
        <v>61</v>
      </c>
      <c r="Q8771" t="s">
        <v>305</v>
      </c>
      <c r="R8771" t="s">
        <v>6709</v>
      </c>
      <c r="S8771" t="s">
        <v>1022</v>
      </c>
      <c r="T8771" t="s">
        <v>1023</v>
      </c>
    </row>
    <row r="8772" spans="1:20" x14ac:dyDescent="0.25">
      <c r="A8772" t="s">
        <v>59</v>
      </c>
      <c r="B8772" t="s">
        <v>60</v>
      </c>
      <c r="C8772" t="s">
        <v>32</v>
      </c>
      <c r="D8772" t="s">
        <v>953</v>
      </c>
      <c r="E8772" t="s">
        <v>1072</v>
      </c>
      <c r="F8772" t="s">
        <v>35</v>
      </c>
      <c r="G8772" t="s">
        <v>35</v>
      </c>
      <c r="H8772" t="s">
        <v>35</v>
      </c>
      <c r="J8772" t="s">
        <v>7537</v>
      </c>
      <c r="K8772" t="s">
        <v>1092</v>
      </c>
      <c r="M8772">
        <v>5</v>
      </c>
      <c r="N8772">
        <v>83</v>
      </c>
      <c r="O8772" t="s">
        <v>61</v>
      </c>
      <c r="Q8772" t="s">
        <v>897</v>
      </c>
      <c r="R8772" t="s">
        <v>6709</v>
      </c>
      <c r="S8772" t="s">
        <v>1022</v>
      </c>
      <c r="T8772" t="s">
        <v>1023</v>
      </c>
    </row>
    <row r="8773" spans="1:20" x14ac:dyDescent="0.25">
      <c r="A8773" t="s">
        <v>59</v>
      </c>
      <c r="B8773" t="s">
        <v>31</v>
      </c>
      <c r="C8773" t="s">
        <v>32</v>
      </c>
      <c r="D8773" t="s">
        <v>953</v>
      </c>
      <c r="E8773" t="s">
        <v>1015</v>
      </c>
      <c r="F8773" t="s">
        <v>35</v>
      </c>
      <c r="G8773" t="s">
        <v>35</v>
      </c>
      <c r="H8773" t="s">
        <v>35</v>
      </c>
      <c r="J8773" t="s">
        <v>7386</v>
      </c>
      <c r="K8773" t="s">
        <v>1092</v>
      </c>
      <c r="M8773">
        <v>0.9</v>
      </c>
      <c r="N8773">
        <v>163</v>
      </c>
      <c r="O8773" t="s">
        <v>38</v>
      </c>
      <c r="Q8773" t="s">
        <v>2780</v>
      </c>
      <c r="R8773" t="s">
        <v>6709</v>
      </c>
      <c r="S8773" t="s">
        <v>1022</v>
      </c>
      <c r="T8773" t="s">
        <v>1023</v>
      </c>
    </row>
    <row r="8774" spans="1:20" x14ac:dyDescent="0.25">
      <c r="A8774" t="s">
        <v>59</v>
      </c>
      <c r="B8774" t="s">
        <v>31</v>
      </c>
      <c r="C8774" t="s">
        <v>32</v>
      </c>
      <c r="D8774" t="s">
        <v>953</v>
      </c>
      <c r="E8774" t="s">
        <v>6878</v>
      </c>
      <c r="F8774" t="s">
        <v>35</v>
      </c>
      <c r="G8774" t="s">
        <v>35</v>
      </c>
      <c r="H8774" t="s">
        <v>35</v>
      </c>
      <c r="J8774" t="s">
        <v>6941</v>
      </c>
      <c r="K8774" t="s">
        <v>1092</v>
      </c>
      <c r="M8774">
        <v>2.0150000000000001</v>
      </c>
      <c r="N8774">
        <v>199</v>
      </c>
      <c r="O8774" t="s">
        <v>5</v>
      </c>
      <c r="Q8774" t="s">
        <v>1328</v>
      </c>
      <c r="R8774" t="s">
        <v>6709</v>
      </c>
      <c r="S8774" t="s">
        <v>1022</v>
      </c>
      <c r="T8774" t="s">
        <v>1023</v>
      </c>
    </row>
    <row r="8775" spans="1:20" x14ac:dyDescent="0.25">
      <c r="A8775" t="s">
        <v>59</v>
      </c>
      <c r="B8775" t="s">
        <v>31</v>
      </c>
      <c r="C8775" t="s">
        <v>32</v>
      </c>
      <c r="D8775" t="s">
        <v>953</v>
      </c>
      <c r="E8775" t="s">
        <v>1077</v>
      </c>
      <c r="F8775" t="s">
        <v>35</v>
      </c>
      <c r="G8775" t="s">
        <v>35</v>
      </c>
      <c r="H8775" t="s">
        <v>35</v>
      </c>
      <c r="J8775" t="s">
        <v>7667</v>
      </c>
      <c r="K8775" t="s">
        <v>1092</v>
      </c>
      <c r="M8775">
        <v>0.99</v>
      </c>
      <c r="N8775">
        <v>170</v>
      </c>
      <c r="O8775" t="s">
        <v>38</v>
      </c>
      <c r="Q8775" t="s">
        <v>4657</v>
      </c>
      <c r="R8775" t="s">
        <v>6709</v>
      </c>
      <c r="S8775" t="s">
        <v>1022</v>
      </c>
      <c r="T8775" t="s">
        <v>1023</v>
      </c>
    </row>
    <row r="8776" spans="1:20" x14ac:dyDescent="0.25">
      <c r="A8776" t="s">
        <v>59</v>
      </c>
      <c r="B8776" t="s">
        <v>60</v>
      </c>
      <c r="C8776" t="s">
        <v>32</v>
      </c>
      <c r="D8776" t="s">
        <v>953</v>
      </c>
      <c r="E8776" t="s">
        <v>1077</v>
      </c>
      <c r="F8776" t="s">
        <v>35</v>
      </c>
      <c r="G8776" t="s">
        <v>35</v>
      </c>
      <c r="H8776" t="s">
        <v>35</v>
      </c>
      <c r="J8776" t="s">
        <v>7667</v>
      </c>
      <c r="K8776" t="s">
        <v>1092</v>
      </c>
      <c r="M8776">
        <v>1.55</v>
      </c>
      <c r="N8776">
        <v>170</v>
      </c>
      <c r="O8776" t="s">
        <v>38</v>
      </c>
      <c r="Q8776" t="s">
        <v>4657</v>
      </c>
      <c r="R8776" t="s">
        <v>6709</v>
      </c>
      <c r="S8776" t="s">
        <v>1022</v>
      </c>
      <c r="T8776" t="s">
        <v>1023</v>
      </c>
    </row>
    <row r="8777" spans="1:20" x14ac:dyDescent="0.25">
      <c r="A8777" t="s">
        <v>59</v>
      </c>
      <c r="B8777" t="s">
        <v>31</v>
      </c>
      <c r="C8777" t="s">
        <v>32</v>
      </c>
      <c r="D8777" t="s">
        <v>953</v>
      </c>
      <c r="E8777" t="s">
        <v>968</v>
      </c>
      <c r="F8777" t="s">
        <v>35</v>
      </c>
      <c r="G8777" t="s">
        <v>35</v>
      </c>
      <c r="H8777" t="s">
        <v>35</v>
      </c>
      <c r="J8777" t="s">
        <v>7042</v>
      </c>
      <c r="K8777" t="s">
        <v>1092</v>
      </c>
      <c r="M8777">
        <v>4.5449999999999999</v>
      </c>
      <c r="N8777">
        <v>237</v>
      </c>
      <c r="O8777" t="s">
        <v>5</v>
      </c>
      <c r="Q8777" t="s">
        <v>1242</v>
      </c>
      <c r="R8777" t="s">
        <v>6709</v>
      </c>
      <c r="S8777" t="s">
        <v>1022</v>
      </c>
      <c r="T8777" t="s">
        <v>1023</v>
      </c>
    </row>
    <row r="8778" spans="1:20" x14ac:dyDescent="0.25">
      <c r="A8778" t="s">
        <v>59</v>
      </c>
      <c r="B8778" t="s">
        <v>60</v>
      </c>
      <c r="C8778" t="s">
        <v>32</v>
      </c>
      <c r="D8778" t="s">
        <v>953</v>
      </c>
      <c r="E8778" t="s">
        <v>968</v>
      </c>
      <c r="F8778" t="s">
        <v>35</v>
      </c>
      <c r="G8778" t="s">
        <v>35</v>
      </c>
      <c r="H8778" t="s">
        <v>35</v>
      </c>
      <c r="J8778" t="s">
        <v>7042</v>
      </c>
      <c r="K8778" t="s">
        <v>1092</v>
      </c>
      <c r="M8778">
        <v>2.5</v>
      </c>
      <c r="N8778">
        <v>237</v>
      </c>
      <c r="O8778" t="s">
        <v>5</v>
      </c>
      <c r="Q8778" t="s">
        <v>1242</v>
      </c>
      <c r="R8778" t="s">
        <v>6709</v>
      </c>
      <c r="S8778" t="s">
        <v>1022</v>
      </c>
      <c r="T8778" t="s">
        <v>1023</v>
      </c>
    </row>
    <row r="8779" spans="1:20" x14ac:dyDescent="0.25">
      <c r="A8779" t="s">
        <v>30</v>
      </c>
      <c r="B8779" t="s">
        <v>31</v>
      </c>
      <c r="C8779" t="s">
        <v>32</v>
      </c>
      <c r="D8779" t="s">
        <v>953</v>
      </c>
      <c r="E8779" t="s">
        <v>1077</v>
      </c>
      <c r="F8779" t="s">
        <v>35</v>
      </c>
      <c r="G8779" t="s">
        <v>35</v>
      </c>
      <c r="H8779" t="s">
        <v>35</v>
      </c>
      <c r="J8779" t="s">
        <v>7623</v>
      </c>
      <c r="K8779" t="s">
        <v>1092</v>
      </c>
      <c r="M8779">
        <v>10.8</v>
      </c>
      <c r="N8779">
        <v>38</v>
      </c>
      <c r="O8779" t="s">
        <v>52</v>
      </c>
      <c r="Q8779" t="s">
        <v>716</v>
      </c>
      <c r="R8779" t="s">
        <v>6709</v>
      </c>
      <c r="S8779" t="s">
        <v>1022</v>
      </c>
      <c r="T8779" t="s">
        <v>1023</v>
      </c>
    </row>
    <row r="8780" spans="1:20" x14ac:dyDescent="0.25">
      <c r="A8780" t="s">
        <v>44</v>
      </c>
      <c r="B8780" t="s">
        <v>3</v>
      </c>
      <c r="C8780" t="s">
        <v>32</v>
      </c>
      <c r="D8780" t="s">
        <v>953</v>
      </c>
      <c r="E8780" t="s">
        <v>1077</v>
      </c>
      <c r="F8780" t="s">
        <v>35</v>
      </c>
      <c r="G8780" t="s">
        <v>35</v>
      </c>
      <c r="H8780" t="s">
        <v>35</v>
      </c>
      <c r="J8780" t="s">
        <v>7623</v>
      </c>
      <c r="K8780" t="s">
        <v>1092</v>
      </c>
      <c r="M8780">
        <v>3.2</v>
      </c>
      <c r="N8780">
        <v>55</v>
      </c>
      <c r="O8780" t="s">
        <v>52</v>
      </c>
      <c r="Q8780" t="s">
        <v>90</v>
      </c>
      <c r="R8780" t="s">
        <v>6709</v>
      </c>
      <c r="S8780" t="s">
        <v>1022</v>
      </c>
      <c r="T8780" t="s">
        <v>1023</v>
      </c>
    </row>
    <row r="8781" spans="1:20" x14ac:dyDescent="0.25">
      <c r="A8781" t="s">
        <v>59</v>
      </c>
      <c r="B8781" t="s">
        <v>60</v>
      </c>
      <c r="C8781" t="s">
        <v>32</v>
      </c>
      <c r="D8781" t="s">
        <v>953</v>
      </c>
      <c r="E8781" t="s">
        <v>1077</v>
      </c>
      <c r="F8781" t="s">
        <v>35</v>
      </c>
      <c r="G8781" t="s">
        <v>35</v>
      </c>
      <c r="H8781" t="s">
        <v>35</v>
      </c>
      <c r="J8781" t="s">
        <v>7692</v>
      </c>
      <c r="K8781" t="s">
        <v>1092</v>
      </c>
      <c r="M8781">
        <v>0.02</v>
      </c>
      <c r="N8781">
        <v>585</v>
      </c>
      <c r="O8781" t="s">
        <v>575</v>
      </c>
      <c r="Q8781" t="s">
        <v>4004</v>
      </c>
      <c r="R8781" t="s">
        <v>6709</v>
      </c>
      <c r="S8781" t="s">
        <v>1022</v>
      </c>
      <c r="T8781" t="s">
        <v>1023</v>
      </c>
    </row>
    <row r="8782" spans="1:20" x14ac:dyDescent="0.25">
      <c r="A8782" t="s">
        <v>30</v>
      </c>
      <c r="B8782" t="s">
        <v>31</v>
      </c>
      <c r="C8782" t="s">
        <v>32</v>
      </c>
      <c r="D8782" t="s">
        <v>953</v>
      </c>
      <c r="E8782" t="s">
        <v>1015</v>
      </c>
      <c r="F8782" t="s">
        <v>35</v>
      </c>
      <c r="G8782" t="s">
        <v>35</v>
      </c>
      <c r="H8782" t="s">
        <v>35</v>
      </c>
      <c r="J8782" t="s">
        <v>7390</v>
      </c>
      <c r="K8782" t="s">
        <v>1092</v>
      </c>
      <c r="M8782">
        <v>4.7249999999999996</v>
      </c>
      <c r="N8782">
        <v>14</v>
      </c>
      <c r="O8782" t="s">
        <v>46</v>
      </c>
      <c r="Q8782" t="s">
        <v>1874</v>
      </c>
      <c r="R8782" t="s">
        <v>6709</v>
      </c>
      <c r="S8782" t="s">
        <v>1022</v>
      </c>
      <c r="T8782" t="s">
        <v>1023</v>
      </c>
    </row>
    <row r="8783" spans="1:20" x14ac:dyDescent="0.25">
      <c r="A8783" t="s">
        <v>59</v>
      </c>
      <c r="B8783" t="s">
        <v>60</v>
      </c>
      <c r="C8783" t="s">
        <v>32</v>
      </c>
      <c r="D8783" t="s">
        <v>953</v>
      </c>
      <c r="E8783" t="s">
        <v>968</v>
      </c>
      <c r="F8783" t="s">
        <v>35</v>
      </c>
      <c r="G8783" t="s">
        <v>35</v>
      </c>
      <c r="H8783" t="s">
        <v>35</v>
      </c>
      <c r="J8783" t="s">
        <v>6980</v>
      </c>
      <c r="K8783" t="s">
        <v>1092</v>
      </c>
      <c r="M8783">
        <v>0.85299999999999998</v>
      </c>
      <c r="N8783">
        <v>84</v>
      </c>
      <c r="O8783" t="s">
        <v>61</v>
      </c>
      <c r="Q8783" t="s">
        <v>1147</v>
      </c>
      <c r="R8783" t="s">
        <v>6709</v>
      </c>
      <c r="S8783" t="s">
        <v>1022</v>
      </c>
      <c r="T8783" t="s">
        <v>1023</v>
      </c>
    </row>
    <row r="8784" spans="1:20" x14ac:dyDescent="0.25">
      <c r="A8784" t="s">
        <v>59</v>
      </c>
      <c r="B8784" t="s">
        <v>31</v>
      </c>
      <c r="C8784" t="s">
        <v>32</v>
      </c>
      <c r="D8784" t="s">
        <v>953</v>
      </c>
      <c r="E8784" t="s">
        <v>968</v>
      </c>
      <c r="F8784" t="s">
        <v>35</v>
      </c>
      <c r="G8784" t="s">
        <v>35</v>
      </c>
      <c r="H8784" t="s">
        <v>35</v>
      </c>
      <c r="J8784" t="s">
        <v>6980</v>
      </c>
      <c r="K8784" t="s">
        <v>1092</v>
      </c>
      <c r="M8784">
        <v>1.28</v>
      </c>
      <c r="N8784">
        <v>84</v>
      </c>
      <c r="O8784" t="s">
        <v>61</v>
      </c>
      <c r="Q8784" t="s">
        <v>1147</v>
      </c>
      <c r="R8784" t="s">
        <v>6709</v>
      </c>
      <c r="S8784" t="s">
        <v>1022</v>
      </c>
      <c r="T8784" t="s">
        <v>1023</v>
      </c>
    </row>
    <row r="8785" spans="1:20" x14ac:dyDescent="0.25">
      <c r="A8785" t="s">
        <v>59</v>
      </c>
      <c r="B8785" t="s">
        <v>60</v>
      </c>
      <c r="C8785" t="s">
        <v>32</v>
      </c>
      <c r="D8785" t="s">
        <v>953</v>
      </c>
      <c r="E8785" t="s">
        <v>980</v>
      </c>
      <c r="F8785" t="s">
        <v>35</v>
      </c>
      <c r="G8785" t="s">
        <v>35</v>
      </c>
      <c r="H8785" t="s">
        <v>35</v>
      </c>
      <c r="J8785" t="s">
        <v>7139</v>
      </c>
      <c r="K8785" t="s">
        <v>1092</v>
      </c>
      <c r="M8785">
        <v>0.745</v>
      </c>
      <c r="N8785">
        <v>503</v>
      </c>
      <c r="O8785" t="s">
        <v>294</v>
      </c>
      <c r="Q8785" t="s">
        <v>4279</v>
      </c>
      <c r="R8785" t="s">
        <v>6709</v>
      </c>
      <c r="S8785" t="s">
        <v>1022</v>
      </c>
      <c r="T8785" t="s">
        <v>1023</v>
      </c>
    </row>
    <row r="8786" spans="1:20" x14ac:dyDescent="0.25">
      <c r="A8786" t="s">
        <v>30</v>
      </c>
      <c r="B8786" t="s">
        <v>31</v>
      </c>
      <c r="C8786" t="s">
        <v>32</v>
      </c>
      <c r="D8786" t="s">
        <v>953</v>
      </c>
      <c r="E8786" t="s">
        <v>1072</v>
      </c>
      <c r="F8786" t="s">
        <v>35</v>
      </c>
      <c r="G8786" t="s">
        <v>35</v>
      </c>
      <c r="H8786" t="s">
        <v>35</v>
      </c>
      <c r="J8786" t="s">
        <v>7546</v>
      </c>
      <c r="K8786" t="s">
        <v>1092</v>
      </c>
      <c r="M8786">
        <v>2.4750000000000001</v>
      </c>
      <c r="N8786">
        <v>270</v>
      </c>
      <c r="O8786" t="s">
        <v>5</v>
      </c>
      <c r="Q8786" t="s">
        <v>5812</v>
      </c>
      <c r="R8786" t="s">
        <v>6709</v>
      </c>
      <c r="S8786" t="s">
        <v>1022</v>
      </c>
      <c r="T8786" t="s">
        <v>1023</v>
      </c>
    </row>
    <row r="8787" spans="1:20" x14ac:dyDescent="0.25">
      <c r="A8787" t="s">
        <v>59</v>
      </c>
      <c r="B8787" t="s">
        <v>60</v>
      </c>
      <c r="C8787" t="s">
        <v>32</v>
      </c>
      <c r="D8787" t="s">
        <v>953</v>
      </c>
      <c r="F8787" t="s">
        <v>35</v>
      </c>
      <c r="G8787" t="s">
        <v>35</v>
      </c>
      <c r="H8787" t="s">
        <v>35</v>
      </c>
      <c r="J8787" t="s">
        <v>7902</v>
      </c>
      <c r="K8787" t="s">
        <v>1092</v>
      </c>
      <c r="M8787">
        <v>2</v>
      </c>
      <c r="N8787">
        <v>84</v>
      </c>
      <c r="O8787" t="s">
        <v>61</v>
      </c>
      <c r="Q8787" t="s">
        <v>1147</v>
      </c>
      <c r="R8787" t="s">
        <v>6709</v>
      </c>
      <c r="S8787" t="s">
        <v>1022</v>
      </c>
      <c r="T8787" t="s">
        <v>1023</v>
      </c>
    </row>
    <row r="8788" spans="1:20" x14ac:dyDescent="0.25">
      <c r="A8788" t="s">
        <v>59</v>
      </c>
      <c r="B8788" t="s">
        <v>60</v>
      </c>
      <c r="C8788" t="s">
        <v>32</v>
      </c>
      <c r="D8788" t="s">
        <v>953</v>
      </c>
      <c r="E8788" t="s">
        <v>968</v>
      </c>
      <c r="F8788" t="s">
        <v>35</v>
      </c>
      <c r="G8788" t="s">
        <v>35</v>
      </c>
      <c r="H8788" t="s">
        <v>35</v>
      </c>
      <c r="J8788" t="s">
        <v>6976</v>
      </c>
      <c r="K8788" t="s">
        <v>1092</v>
      </c>
      <c r="M8788">
        <v>0.625</v>
      </c>
      <c r="N8788">
        <v>52</v>
      </c>
      <c r="O8788" t="s">
        <v>52</v>
      </c>
      <c r="Q8788" t="s">
        <v>84</v>
      </c>
      <c r="R8788" t="s">
        <v>6709</v>
      </c>
      <c r="S8788" t="s">
        <v>1022</v>
      </c>
      <c r="T8788" t="s">
        <v>1023</v>
      </c>
    </row>
    <row r="8789" spans="1:20" x14ac:dyDescent="0.25">
      <c r="A8789" t="s">
        <v>59</v>
      </c>
      <c r="B8789" t="s">
        <v>31</v>
      </c>
      <c r="C8789" t="s">
        <v>32</v>
      </c>
      <c r="D8789" t="s">
        <v>953</v>
      </c>
      <c r="E8789" t="s">
        <v>968</v>
      </c>
      <c r="F8789" t="s">
        <v>35</v>
      </c>
      <c r="G8789" t="s">
        <v>35</v>
      </c>
      <c r="H8789" t="s">
        <v>35</v>
      </c>
      <c r="J8789" t="s">
        <v>6976</v>
      </c>
      <c r="K8789" t="s">
        <v>1092</v>
      </c>
      <c r="M8789">
        <v>0.13500000000000001</v>
      </c>
      <c r="N8789">
        <v>237</v>
      </c>
      <c r="O8789" t="s">
        <v>5</v>
      </c>
      <c r="Q8789" t="s">
        <v>1242</v>
      </c>
      <c r="R8789" t="s">
        <v>6709</v>
      </c>
      <c r="S8789" t="s">
        <v>1022</v>
      </c>
      <c r="T8789" t="s">
        <v>1023</v>
      </c>
    </row>
    <row r="8790" spans="1:20" x14ac:dyDescent="0.25">
      <c r="A8790" t="s">
        <v>59</v>
      </c>
      <c r="B8790" t="s">
        <v>31</v>
      </c>
      <c r="C8790" t="s">
        <v>32</v>
      </c>
      <c r="D8790" t="s">
        <v>953</v>
      </c>
      <c r="E8790" t="s">
        <v>968</v>
      </c>
      <c r="F8790" t="s">
        <v>35</v>
      </c>
      <c r="G8790" t="s">
        <v>35</v>
      </c>
      <c r="H8790" t="s">
        <v>35</v>
      </c>
      <c r="J8790" t="s">
        <v>6976</v>
      </c>
      <c r="K8790" t="s">
        <v>1092</v>
      </c>
      <c r="M8790">
        <v>1.4850000000000001</v>
      </c>
      <c r="N8790">
        <v>227</v>
      </c>
      <c r="O8790" t="s">
        <v>5</v>
      </c>
      <c r="Q8790" t="s">
        <v>1780</v>
      </c>
      <c r="R8790" t="s">
        <v>6709</v>
      </c>
      <c r="S8790" t="s">
        <v>1022</v>
      </c>
      <c r="T8790" t="s">
        <v>1023</v>
      </c>
    </row>
    <row r="8791" spans="1:20" x14ac:dyDescent="0.25">
      <c r="A8791" t="s">
        <v>44</v>
      </c>
      <c r="B8791" t="s">
        <v>3</v>
      </c>
      <c r="C8791" t="s">
        <v>32</v>
      </c>
      <c r="D8791" t="s">
        <v>953</v>
      </c>
      <c r="E8791" t="s">
        <v>968</v>
      </c>
      <c r="F8791" t="s">
        <v>35</v>
      </c>
      <c r="G8791" t="s">
        <v>35</v>
      </c>
      <c r="H8791" t="s">
        <v>35</v>
      </c>
      <c r="J8791" t="s">
        <v>6976</v>
      </c>
      <c r="K8791" t="s">
        <v>1092</v>
      </c>
      <c r="M8791">
        <v>2.5</v>
      </c>
      <c r="N8791">
        <v>55</v>
      </c>
      <c r="O8791" t="s">
        <v>52</v>
      </c>
      <c r="Q8791" t="s">
        <v>90</v>
      </c>
      <c r="R8791" t="s">
        <v>6709</v>
      </c>
      <c r="S8791" t="s">
        <v>1022</v>
      </c>
      <c r="T8791" t="s">
        <v>1023</v>
      </c>
    </row>
    <row r="8792" spans="1:20" x14ac:dyDescent="0.25">
      <c r="A8792" t="s">
        <v>59</v>
      </c>
      <c r="B8792" t="s">
        <v>60</v>
      </c>
      <c r="C8792" t="s">
        <v>32</v>
      </c>
      <c r="D8792" t="s">
        <v>953</v>
      </c>
      <c r="E8792" t="s">
        <v>1077</v>
      </c>
      <c r="F8792" t="s">
        <v>35</v>
      </c>
      <c r="G8792" t="s">
        <v>35</v>
      </c>
      <c r="H8792" t="s">
        <v>35</v>
      </c>
      <c r="J8792" t="s">
        <v>7712</v>
      </c>
      <c r="K8792" t="s">
        <v>1092</v>
      </c>
      <c r="M8792">
        <v>1.65</v>
      </c>
      <c r="N8792">
        <v>481</v>
      </c>
      <c r="O8792" t="s">
        <v>294</v>
      </c>
      <c r="Q8792" t="s">
        <v>7713</v>
      </c>
      <c r="R8792" t="s">
        <v>6709</v>
      </c>
      <c r="S8792" t="s">
        <v>1022</v>
      </c>
      <c r="T8792" t="s">
        <v>1023</v>
      </c>
    </row>
    <row r="8793" spans="1:20" x14ac:dyDescent="0.25">
      <c r="A8793" t="s">
        <v>59</v>
      </c>
      <c r="B8793" t="s">
        <v>60</v>
      </c>
      <c r="C8793" t="s">
        <v>32</v>
      </c>
      <c r="D8793" t="s">
        <v>953</v>
      </c>
      <c r="E8793" t="s">
        <v>7558</v>
      </c>
      <c r="F8793" t="s">
        <v>35</v>
      </c>
      <c r="G8793" t="s">
        <v>35</v>
      </c>
      <c r="H8793" t="s">
        <v>35</v>
      </c>
      <c r="J8793" t="s">
        <v>7566</v>
      </c>
      <c r="K8793" t="s">
        <v>1092</v>
      </c>
      <c r="M8793">
        <v>2.6</v>
      </c>
      <c r="N8793">
        <v>84</v>
      </c>
      <c r="O8793" t="s">
        <v>61</v>
      </c>
      <c r="Q8793" t="s">
        <v>1147</v>
      </c>
      <c r="R8793" t="s">
        <v>6709</v>
      </c>
      <c r="S8793" t="s">
        <v>1022</v>
      </c>
      <c r="T8793" t="s">
        <v>1023</v>
      </c>
    </row>
    <row r="8794" spans="1:20" x14ac:dyDescent="0.25">
      <c r="A8794" t="s">
        <v>30</v>
      </c>
      <c r="B8794" t="s">
        <v>31</v>
      </c>
      <c r="C8794" t="s">
        <v>32</v>
      </c>
      <c r="D8794" t="s">
        <v>953</v>
      </c>
      <c r="E8794" t="s">
        <v>6878</v>
      </c>
      <c r="F8794" t="s">
        <v>35</v>
      </c>
      <c r="G8794" t="s">
        <v>35</v>
      </c>
      <c r="H8794" t="s">
        <v>35</v>
      </c>
      <c r="J8794" t="s">
        <v>6955</v>
      </c>
      <c r="K8794" t="s">
        <v>1092</v>
      </c>
      <c r="M8794">
        <v>0.122</v>
      </c>
      <c r="N8794">
        <v>199</v>
      </c>
      <c r="O8794" t="s">
        <v>5</v>
      </c>
      <c r="Q8794" t="s">
        <v>1328</v>
      </c>
      <c r="R8794" t="s">
        <v>6709</v>
      </c>
      <c r="S8794" t="s">
        <v>1022</v>
      </c>
      <c r="T8794" t="s">
        <v>1023</v>
      </c>
    </row>
    <row r="8795" spans="1:20" x14ac:dyDescent="0.25">
      <c r="A8795" t="s">
        <v>30</v>
      </c>
      <c r="B8795" t="s">
        <v>31</v>
      </c>
      <c r="C8795" t="s">
        <v>32</v>
      </c>
      <c r="D8795" t="s">
        <v>953</v>
      </c>
      <c r="E8795" t="s">
        <v>6878</v>
      </c>
      <c r="F8795" t="s">
        <v>35</v>
      </c>
      <c r="G8795" t="s">
        <v>35</v>
      </c>
      <c r="H8795" t="s">
        <v>35</v>
      </c>
      <c r="J8795" t="s">
        <v>6947</v>
      </c>
      <c r="K8795" t="s">
        <v>1092</v>
      </c>
      <c r="M8795">
        <v>0.81</v>
      </c>
      <c r="N8795">
        <v>199</v>
      </c>
      <c r="O8795" t="s">
        <v>5</v>
      </c>
      <c r="Q8795" t="s">
        <v>1328</v>
      </c>
      <c r="R8795" t="s">
        <v>6709</v>
      </c>
      <c r="S8795" t="s">
        <v>1022</v>
      </c>
      <c r="T8795" t="s">
        <v>1023</v>
      </c>
    </row>
    <row r="8796" spans="1:20" x14ac:dyDescent="0.25">
      <c r="A8796" t="s">
        <v>30</v>
      </c>
      <c r="B8796" t="s">
        <v>31</v>
      </c>
      <c r="C8796" t="s">
        <v>32</v>
      </c>
      <c r="D8796" t="s">
        <v>953</v>
      </c>
      <c r="E8796" t="s">
        <v>6878</v>
      </c>
      <c r="F8796" t="s">
        <v>35</v>
      </c>
      <c r="G8796" t="s">
        <v>35</v>
      </c>
      <c r="H8796" t="s">
        <v>35</v>
      </c>
      <c r="J8796" t="s">
        <v>6880</v>
      </c>
      <c r="K8796" t="s">
        <v>1092</v>
      </c>
      <c r="M8796">
        <v>2.25</v>
      </c>
      <c r="N8796">
        <v>11</v>
      </c>
      <c r="O8796" t="s">
        <v>46</v>
      </c>
      <c r="Q8796" t="s">
        <v>1476</v>
      </c>
      <c r="R8796" t="s">
        <v>6709</v>
      </c>
      <c r="S8796" t="s">
        <v>1022</v>
      </c>
      <c r="T8796" t="s">
        <v>1023</v>
      </c>
    </row>
    <row r="8797" spans="1:20" x14ac:dyDescent="0.25">
      <c r="A8797" t="s">
        <v>59</v>
      </c>
      <c r="B8797" t="s">
        <v>60</v>
      </c>
      <c r="C8797" t="s">
        <v>32</v>
      </c>
      <c r="D8797" t="s">
        <v>953</v>
      </c>
      <c r="E8797" t="s">
        <v>6878</v>
      </c>
      <c r="F8797" t="s">
        <v>35</v>
      </c>
      <c r="G8797" t="s">
        <v>35</v>
      </c>
      <c r="H8797" t="s">
        <v>35</v>
      </c>
      <c r="J8797" t="s">
        <v>6880</v>
      </c>
      <c r="K8797" t="s">
        <v>1092</v>
      </c>
      <c r="M8797">
        <v>0.3</v>
      </c>
      <c r="N8797">
        <v>139</v>
      </c>
      <c r="O8797" t="s">
        <v>38</v>
      </c>
      <c r="Q8797" t="s">
        <v>1335</v>
      </c>
      <c r="R8797" t="s">
        <v>6709</v>
      </c>
      <c r="S8797" t="s">
        <v>1022</v>
      </c>
      <c r="T8797" t="s">
        <v>1023</v>
      </c>
    </row>
    <row r="8798" spans="1:20" x14ac:dyDescent="0.25">
      <c r="A8798" t="s">
        <v>30</v>
      </c>
      <c r="B8798" t="s">
        <v>31</v>
      </c>
      <c r="C8798" t="s">
        <v>32</v>
      </c>
      <c r="D8798" t="s">
        <v>953</v>
      </c>
      <c r="E8798" t="s">
        <v>980</v>
      </c>
      <c r="F8798" t="s">
        <v>35</v>
      </c>
      <c r="G8798" t="s">
        <v>35</v>
      </c>
      <c r="H8798" t="s">
        <v>35</v>
      </c>
      <c r="J8798" t="s">
        <v>7084</v>
      </c>
      <c r="K8798" t="s">
        <v>1092</v>
      </c>
      <c r="M8798">
        <v>5.49</v>
      </c>
      <c r="N8798">
        <v>38</v>
      </c>
      <c r="O8798" t="s">
        <v>52</v>
      </c>
      <c r="Q8798" t="s">
        <v>716</v>
      </c>
      <c r="R8798" t="s">
        <v>6709</v>
      </c>
      <c r="S8798" t="s">
        <v>1022</v>
      </c>
      <c r="T8798" t="s">
        <v>1023</v>
      </c>
    </row>
    <row r="8799" spans="1:20" x14ac:dyDescent="0.25">
      <c r="A8799" t="s">
        <v>59</v>
      </c>
      <c r="B8799" t="s">
        <v>60</v>
      </c>
      <c r="C8799" t="s">
        <v>32</v>
      </c>
      <c r="D8799" t="s">
        <v>953</v>
      </c>
      <c r="E8799" t="s">
        <v>980</v>
      </c>
      <c r="F8799" t="s">
        <v>35</v>
      </c>
      <c r="G8799" t="s">
        <v>35</v>
      </c>
      <c r="H8799" t="s">
        <v>35</v>
      </c>
      <c r="J8799" t="s">
        <v>7084</v>
      </c>
      <c r="K8799" t="s">
        <v>1092</v>
      </c>
      <c r="M8799">
        <v>0.85</v>
      </c>
      <c r="N8799">
        <v>53</v>
      </c>
      <c r="O8799" t="s">
        <v>52</v>
      </c>
      <c r="Q8799" t="s">
        <v>1734</v>
      </c>
      <c r="R8799" t="s">
        <v>6709</v>
      </c>
      <c r="S8799" t="s">
        <v>1022</v>
      </c>
      <c r="T8799" t="s">
        <v>1023</v>
      </c>
    </row>
    <row r="8800" spans="1:20" x14ac:dyDescent="0.25">
      <c r="A8800" t="s">
        <v>44</v>
      </c>
      <c r="B8800" t="s">
        <v>3</v>
      </c>
      <c r="C8800" t="s">
        <v>32</v>
      </c>
      <c r="D8800" t="s">
        <v>953</v>
      </c>
      <c r="E8800" t="s">
        <v>980</v>
      </c>
      <c r="F8800" t="s">
        <v>35</v>
      </c>
      <c r="G8800" t="s">
        <v>35</v>
      </c>
      <c r="H8800" t="s">
        <v>35</v>
      </c>
      <c r="J8800" t="s">
        <v>7084</v>
      </c>
      <c r="K8800" t="s">
        <v>1092</v>
      </c>
      <c r="M8800">
        <v>4.5</v>
      </c>
      <c r="N8800">
        <v>55</v>
      </c>
      <c r="O8800" t="s">
        <v>52</v>
      </c>
      <c r="Q8800" t="s">
        <v>90</v>
      </c>
      <c r="R8800" t="s">
        <v>6709</v>
      </c>
      <c r="S8800" t="s">
        <v>1022</v>
      </c>
      <c r="T8800" t="s">
        <v>1023</v>
      </c>
    </row>
    <row r="8801" spans="1:20" x14ac:dyDescent="0.25">
      <c r="A8801" t="s">
        <v>30</v>
      </c>
      <c r="B8801" t="s">
        <v>31</v>
      </c>
      <c r="C8801" t="s">
        <v>32</v>
      </c>
      <c r="D8801" t="s">
        <v>953</v>
      </c>
      <c r="E8801" t="s">
        <v>1015</v>
      </c>
      <c r="F8801" t="s">
        <v>35</v>
      </c>
      <c r="G8801" t="s">
        <v>35</v>
      </c>
      <c r="H8801" t="s">
        <v>35</v>
      </c>
      <c r="J8801" t="s">
        <v>7389</v>
      </c>
      <c r="K8801" t="s">
        <v>1092</v>
      </c>
      <c r="M8801">
        <v>2.97</v>
      </c>
      <c r="N8801">
        <v>14</v>
      </c>
      <c r="O8801" t="s">
        <v>46</v>
      </c>
      <c r="Q8801" t="s">
        <v>1874</v>
      </c>
      <c r="R8801" t="s">
        <v>6709</v>
      </c>
      <c r="S8801" t="s">
        <v>1022</v>
      </c>
      <c r="T8801" t="s">
        <v>1023</v>
      </c>
    </row>
    <row r="8802" spans="1:20" x14ac:dyDescent="0.25">
      <c r="A8802" t="s">
        <v>59</v>
      </c>
      <c r="B8802" t="s">
        <v>60</v>
      </c>
      <c r="C8802" t="s">
        <v>32</v>
      </c>
      <c r="D8802" t="s">
        <v>953</v>
      </c>
      <c r="E8802" t="s">
        <v>1015</v>
      </c>
      <c r="F8802" t="s">
        <v>35</v>
      </c>
      <c r="G8802" t="s">
        <v>35</v>
      </c>
      <c r="H8802" t="s">
        <v>35</v>
      </c>
      <c r="J8802" t="s">
        <v>7389</v>
      </c>
      <c r="K8802" t="s">
        <v>1092</v>
      </c>
      <c r="M8802">
        <v>0.25</v>
      </c>
      <c r="N8802">
        <v>55</v>
      </c>
      <c r="O8802" t="s">
        <v>52</v>
      </c>
      <c r="Q8802" t="s">
        <v>90</v>
      </c>
      <c r="R8802" t="s">
        <v>6709</v>
      </c>
      <c r="S8802" t="s">
        <v>1022</v>
      </c>
      <c r="T8802" t="s">
        <v>1023</v>
      </c>
    </row>
    <row r="8803" spans="1:20" x14ac:dyDescent="0.25">
      <c r="A8803" t="s">
        <v>44</v>
      </c>
      <c r="B8803" t="s">
        <v>3</v>
      </c>
      <c r="C8803" t="s">
        <v>32</v>
      </c>
      <c r="D8803" t="s">
        <v>953</v>
      </c>
      <c r="E8803" t="s">
        <v>1015</v>
      </c>
      <c r="F8803" t="s">
        <v>35</v>
      </c>
      <c r="G8803" t="s">
        <v>35</v>
      </c>
      <c r="H8803" t="s">
        <v>35</v>
      </c>
      <c r="J8803" t="s">
        <v>7389</v>
      </c>
      <c r="K8803" t="s">
        <v>1092</v>
      </c>
      <c r="M8803">
        <v>1</v>
      </c>
      <c r="N8803">
        <v>55</v>
      </c>
      <c r="O8803" t="s">
        <v>52</v>
      </c>
      <c r="Q8803" t="s">
        <v>90</v>
      </c>
      <c r="R8803" t="s">
        <v>6709</v>
      </c>
      <c r="S8803" t="s">
        <v>1022</v>
      </c>
      <c r="T8803" t="s">
        <v>1023</v>
      </c>
    </row>
    <row r="8804" spans="1:20" x14ac:dyDescent="0.25">
      <c r="A8804" t="s">
        <v>59</v>
      </c>
      <c r="B8804" t="s">
        <v>31</v>
      </c>
      <c r="C8804" t="s">
        <v>32</v>
      </c>
      <c r="D8804" t="s">
        <v>953</v>
      </c>
      <c r="E8804" t="s">
        <v>1015</v>
      </c>
      <c r="F8804" t="s">
        <v>35</v>
      </c>
      <c r="G8804" t="s">
        <v>35</v>
      </c>
      <c r="H8804" t="s">
        <v>35</v>
      </c>
      <c r="J8804" t="s">
        <v>7389</v>
      </c>
      <c r="K8804" t="s">
        <v>1092</v>
      </c>
      <c r="M8804">
        <v>0.08</v>
      </c>
      <c r="N8804">
        <v>55</v>
      </c>
      <c r="O8804" t="s">
        <v>52</v>
      </c>
      <c r="Q8804" t="s">
        <v>90</v>
      </c>
      <c r="R8804" t="s">
        <v>6709</v>
      </c>
      <c r="S8804" t="s">
        <v>1022</v>
      </c>
      <c r="T8804" t="s">
        <v>1023</v>
      </c>
    </row>
    <row r="8805" spans="1:20" x14ac:dyDescent="0.25">
      <c r="A8805" t="s">
        <v>59</v>
      </c>
      <c r="B8805" t="s">
        <v>60</v>
      </c>
      <c r="C8805" t="s">
        <v>32</v>
      </c>
      <c r="D8805" t="s">
        <v>953</v>
      </c>
      <c r="E8805" t="s">
        <v>954</v>
      </c>
      <c r="F8805" t="s">
        <v>35</v>
      </c>
      <c r="G8805" t="s">
        <v>35</v>
      </c>
      <c r="H8805" t="s">
        <v>35</v>
      </c>
      <c r="J8805" t="s">
        <v>6733</v>
      </c>
      <c r="K8805" t="s">
        <v>1092</v>
      </c>
      <c r="M8805">
        <v>0.4</v>
      </c>
      <c r="N8805">
        <v>419</v>
      </c>
      <c r="O8805" t="s">
        <v>294</v>
      </c>
      <c r="Q8805" t="s">
        <v>1550</v>
      </c>
      <c r="R8805" t="s">
        <v>6709</v>
      </c>
      <c r="S8805" t="s">
        <v>1022</v>
      </c>
      <c r="T8805" t="s">
        <v>1023</v>
      </c>
    </row>
    <row r="8806" spans="1:20" x14ac:dyDescent="0.25">
      <c r="A8806" t="s">
        <v>30</v>
      </c>
      <c r="B8806" t="s">
        <v>31</v>
      </c>
      <c r="C8806" t="s">
        <v>32</v>
      </c>
      <c r="D8806" t="s">
        <v>953</v>
      </c>
      <c r="E8806" t="s">
        <v>980</v>
      </c>
      <c r="F8806" t="s">
        <v>35</v>
      </c>
      <c r="G8806" t="s">
        <v>35</v>
      </c>
      <c r="H8806" t="s">
        <v>35</v>
      </c>
      <c r="J8806" t="s">
        <v>7063</v>
      </c>
      <c r="K8806" t="s">
        <v>1092</v>
      </c>
      <c r="M8806">
        <v>5.49</v>
      </c>
      <c r="N8806">
        <v>35</v>
      </c>
      <c r="O8806" t="s">
        <v>52</v>
      </c>
      <c r="Q8806" t="s">
        <v>991</v>
      </c>
      <c r="R8806" t="s">
        <v>6709</v>
      </c>
      <c r="S8806" t="s">
        <v>1022</v>
      </c>
      <c r="T8806" t="s">
        <v>1023</v>
      </c>
    </row>
    <row r="8807" spans="1:20" x14ac:dyDescent="0.25">
      <c r="A8807" t="s">
        <v>44</v>
      </c>
      <c r="B8807" t="s">
        <v>3</v>
      </c>
      <c r="C8807" t="s">
        <v>32</v>
      </c>
      <c r="D8807" t="s">
        <v>953</v>
      </c>
      <c r="E8807" t="s">
        <v>1007</v>
      </c>
      <c r="F8807" t="s">
        <v>35</v>
      </c>
      <c r="G8807" t="s">
        <v>35</v>
      </c>
      <c r="H8807" t="s">
        <v>35</v>
      </c>
      <c r="J8807" t="s">
        <v>7331</v>
      </c>
      <c r="K8807" t="s">
        <v>1092</v>
      </c>
      <c r="M8807">
        <v>5</v>
      </c>
      <c r="N8807">
        <v>51</v>
      </c>
      <c r="O8807" t="s">
        <v>52</v>
      </c>
      <c r="Q8807" t="s">
        <v>58</v>
      </c>
      <c r="R8807" t="s">
        <v>6709</v>
      </c>
      <c r="S8807" t="s">
        <v>1022</v>
      </c>
      <c r="T8807" t="s">
        <v>1023</v>
      </c>
    </row>
    <row r="8808" spans="1:20" x14ac:dyDescent="0.25">
      <c r="A8808" t="s">
        <v>59</v>
      </c>
      <c r="B8808" t="s">
        <v>60</v>
      </c>
      <c r="C8808" t="s">
        <v>32</v>
      </c>
      <c r="D8808" t="s">
        <v>953</v>
      </c>
      <c r="E8808" t="s">
        <v>1015</v>
      </c>
      <c r="F8808" t="s">
        <v>35</v>
      </c>
      <c r="G8808" t="s">
        <v>35</v>
      </c>
      <c r="H8808" t="s">
        <v>35</v>
      </c>
      <c r="J8808" t="s">
        <v>7355</v>
      </c>
      <c r="K8808" t="s">
        <v>1092</v>
      </c>
      <c r="M8808">
        <v>2.4049999999999998</v>
      </c>
      <c r="N8808">
        <v>173</v>
      </c>
      <c r="O8808" t="s">
        <v>38</v>
      </c>
      <c r="Q8808" t="s">
        <v>2138</v>
      </c>
      <c r="R8808" t="s">
        <v>6709</v>
      </c>
      <c r="S8808" t="s">
        <v>1022</v>
      </c>
      <c r="T8808" t="s">
        <v>1023</v>
      </c>
    </row>
    <row r="8809" spans="1:20" x14ac:dyDescent="0.25">
      <c r="A8809" t="s">
        <v>59</v>
      </c>
      <c r="B8809" t="s">
        <v>60</v>
      </c>
      <c r="C8809" t="s">
        <v>32</v>
      </c>
      <c r="D8809" t="s">
        <v>953</v>
      </c>
      <c r="E8809" t="s">
        <v>1015</v>
      </c>
      <c r="F8809" t="s">
        <v>35</v>
      </c>
      <c r="G8809" t="s">
        <v>35</v>
      </c>
      <c r="H8809" t="s">
        <v>35</v>
      </c>
      <c r="J8809" t="s">
        <v>628</v>
      </c>
      <c r="K8809" t="s">
        <v>1092</v>
      </c>
      <c r="M8809">
        <v>0.45</v>
      </c>
      <c r="N8809">
        <v>392</v>
      </c>
      <c r="O8809" t="s">
        <v>294</v>
      </c>
      <c r="Q8809" t="s">
        <v>1707</v>
      </c>
      <c r="R8809" t="s">
        <v>6709</v>
      </c>
      <c r="S8809" t="s">
        <v>1022</v>
      </c>
      <c r="T8809" t="s">
        <v>1023</v>
      </c>
    </row>
    <row r="8810" spans="1:20" x14ac:dyDescent="0.25">
      <c r="A8810" t="s">
        <v>59</v>
      </c>
      <c r="B8810" t="s">
        <v>31</v>
      </c>
      <c r="C8810" t="s">
        <v>32</v>
      </c>
      <c r="D8810" t="s">
        <v>953</v>
      </c>
      <c r="E8810" t="s">
        <v>1015</v>
      </c>
      <c r="F8810" t="s">
        <v>35</v>
      </c>
      <c r="G8810" t="s">
        <v>35</v>
      </c>
      <c r="H8810" t="s">
        <v>35</v>
      </c>
      <c r="J8810" t="s">
        <v>7387</v>
      </c>
      <c r="K8810" t="s">
        <v>1092</v>
      </c>
      <c r="M8810">
        <v>9.99</v>
      </c>
      <c r="N8810">
        <v>52</v>
      </c>
      <c r="O8810" t="s">
        <v>52</v>
      </c>
      <c r="Q8810" t="s">
        <v>84</v>
      </c>
      <c r="R8810" t="s">
        <v>6709</v>
      </c>
      <c r="S8810" t="s">
        <v>1022</v>
      </c>
      <c r="T8810" t="s">
        <v>1023</v>
      </c>
    </row>
    <row r="8811" spans="1:20" x14ac:dyDescent="0.25">
      <c r="A8811" t="s">
        <v>59</v>
      </c>
      <c r="B8811" t="s">
        <v>60</v>
      </c>
      <c r="C8811" t="s">
        <v>32</v>
      </c>
      <c r="D8811" t="s">
        <v>953</v>
      </c>
      <c r="E8811" t="s">
        <v>1015</v>
      </c>
      <c r="F8811" t="s">
        <v>35</v>
      </c>
      <c r="G8811" t="s">
        <v>35</v>
      </c>
      <c r="H8811" t="s">
        <v>35</v>
      </c>
      <c r="J8811" t="s">
        <v>7387</v>
      </c>
      <c r="K8811" t="s">
        <v>1092</v>
      </c>
      <c r="M8811">
        <v>4.8769999999999998</v>
      </c>
      <c r="N8811">
        <v>61</v>
      </c>
      <c r="O8811" t="s">
        <v>61</v>
      </c>
      <c r="Q8811" t="s">
        <v>146</v>
      </c>
      <c r="R8811" t="s">
        <v>6709</v>
      </c>
      <c r="S8811" t="s">
        <v>1022</v>
      </c>
      <c r="T8811" t="s">
        <v>1023</v>
      </c>
    </row>
    <row r="8812" spans="1:20" x14ac:dyDescent="0.25">
      <c r="A8812" t="s">
        <v>59</v>
      </c>
      <c r="B8812" t="s">
        <v>31</v>
      </c>
      <c r="C8812" t="s">
        <v>32</v>
      </c>
      <c r="D8812" t="s">
        <v>953</v>
      </c>
      <c r="E8812" t="s">
        <v>1015</v>
      </c>
      <c r="F8812" t="s">
        <v>35</v>
      </c>
      <c r="G8812" t="s">
        <v>35</v>
      </c>
      <c r="H8812" t="s">
        <v>35</v>
      </c>
      <c r="J8812" t="s">
        <v>7387</v>
      </c>
      <c r="K8812" t="s">
        <v>1092</v>
      </c>
      <c r="M8812">
        <v>2.34</v>
      </c>
      <c r="N8812">
        <v>61</v>
      </c>
      <c r="O8812" t="s">
        <v>61</v>
      </c>
      <c r="Q8812" t="s">
        <v>146</v>
      </c>
      <c r="R8812" t="s">
        <v>6709</v>
      </c>
      <c r="S8812" t="s">
        <v>1022</v>
      </c>
      <c r="T8812" t="s">
        <v>1023</v>
      </c>
    </row>
    <row r="8813" spans="1:20" x14ac:dyDescent="0.25">
      <c r="A8813" t="s">
        <v>59</v>
      </c>
      <c r="B8813" t="s">
        <v>60</v>
      </c>
      <c r="C8813" t="s">
        <v>32</v>
      </c>
      <c r="D8813" t="s">
        <v>953</v>
      </c>
      <c r="E8813" t="s">
        <v>6878</v>
      </c>
      <c r="F8813" t="s">
        <v>35</v>
      </c>
      <c r="G8813" t="s">
        <v>35</v>
      </c>
      <c r="H8813" t="s">
        <v>35</v>
      </c>
      <c r="J8813" t="s">
        <v>6884</v>
      </c>
      <c r="K8813" t="s">
        <v>1092</v>
      </c>
      <c r="M8813">
        <v>2</v>
      </c>
      <c r="N8813">
        <v>58</v>
      </c>
      <c r="O8813" t="s">
        <v>52</v>
      </c>
      <c r="Q8813" t="s">
        <v>128</v>
      </c>
      <c r="R8813" t="s">
        <v>6709</v>
      </c>
      <c r="S8813" t="s">
        <v>1022</v>
      </c>
      <c r="T8813" t="s">
        <v>1023</v>
      </c>
    </row>
    <row r="8814" spans="1:20" x14ac:dyDescent="0.25">
      <c r="A8814" t="s">
        <v>59</v>
      </c>
      <c r="B8814" t="s">
        <v>31</v>
      </c>
      <c r="C8814" t="s">
        <v>32</v>
      </c>
      <c r="D8814" t="s">
        <v>953</v>
      </c>
      <c r="E8814" t="s">
        <v>954</v>
      </c>
      <c r="F8814" t="s">
        <v>35</v>
      </c>
      <c r="G8814" t="s">
        <v>35</v>
      </c>
      <c r="H8814" t="s">
        <v>35</v>
      </c>
      <c r="J8814" t="s">
        <v>6849</v>
      </c>
      <c r="K8814" t="s">
        <v>1092</v>
      </c>
      <c r="M8814">
        <v>10.574999999999999</v>
      </c>
      <c r="N8814">
        <v>38</v>
      </c>
      <c r="O8814" t="s">
        <v>52</v>
      </c>
      <c r="Q8814" t="s">
        <v>716</v>
      </c>
      <c r="R8814" t="s">
        <v>6709</v>
      </c>
      <c r="S8814" t="s">
        <v>1022</v>
      </c>
      <c r="T8814" t="s">
        <v>1023</v>
      </c>
    </row>
    <row r="8815" spans="1:20" x14ac:dyDescent="0.25">
      <c r="A8815" t="s">
        <v>59</v>
      </c>
      <c r="B8815" t="s">
        <v>60</v>
      </c>
      <c r="C8815" t="s">
        <v>32</v>
      </c>
      <c r="D8815" t="s">
        <v>953</v>
      </c>
      <c r="E8815" t="s">
        <v>1015</v>
      </c>
      <c r="F8815" t="s">
        <v>35</v>
      </c>
      <c r="G8815" t="s">
        <v>35</v>
      </c>
      <c r="H8815" t="s">
        <v>35</v>
      </c>
      <c r="J8815" t="s">
        <v>7399</v>
      </c>
      <c r="K8815" t="s">
        <v>1092</v>
      </c>
      <c r="M8815">
        <v>3.1</v>
      </c>
      <c r="N8815">
        <v>84</v>
      </c>
      <c r="O8815" t="s">
        <v>61</v>
      </c>
      <c r="Q8815" t="s">
        <v>1147</v>
      </c>
      <c r="R8815" t="s">
        <v>6709</v>
      </c>
      <c r="S8815" t="s">
        <v>1022</v>
      </c>
      <c r="T8815" t="s">
        <v>1023</v>
      </c>
    </row>
    <row r="8816" spans="1:20" x14ac:dyDescent="0.25">
      <c r="A8816" t="s">
        <v>59</v>
      </c>
      <c r="B8816" t="s">
        <v>31</v>
      </c>
      <c r="C8816" t="s">
        <v>32</v>
      </c>
      <c r="D8816" t="s">
        <v>953</v>
      </c>
      <c r="E8816" t="s">
        <v>1015</v>
      </c>
      <c r="F8816" t="s">
        <v>35</v>
      </c>
      <c r="G8816" t="s">
        <v>35</v>
      </c>
      <c r="H8816" t="s">
        <v>35</v>
      </c>
      <c r="J8816" t="s">
        <v>7399</v>
      </c>
      <c r="K8816" t="s">
        <v>1092</v>
      </c>
      <c r="M8816">
        <v>0.98099999999999998</v>
      </c>
      <c r="N8816">
        <v>84</v>
      </c>
      <c r="O8816" t="s">
        <v>61</v>
      </c>
      <c r="Q8816" t="s">
        <v>1147</v>
      </c>
      <c r="R8816" t="s">
        <v>6709</v>
      </c>
      <c r="S8816" t="s">
        <v>1022</v>
      </c>
      <c r="T8816" t="s">
        <v>1023</v>
      </c>
    </row>
    <row r="8817" spans="1:20" x14ac:dyDescent="0.25">
      <c r="A8817" t="s">
        <v>30</v>
      </c>
      <c r="B8817" t="s">
        <v>31</v>
      </c>
      <c r="C8817" t="s">
        <v>32</v>
      </c>
      <c r="D8817" t="s">
        <v>953</v>
      </c>
      <c r="E8817" t="s">
        <v>968</v>
      </c>
      <c r="F8817" t="s">
        <v>35</v>
      </c>
      <c r="G8817" t="s">
        <v>35</v>
      </c>
      <c r="H8817" t="s">
        <v>35</v>
      </c>
      <c r="J8817" t="s">
        <v>7034</v>
      </c>
      <c r="K8817" t="s">
        <v>3132</v>
      </c>
      <c r="M8817">
        <v>16.38</v>
      </c>
      <c r="N8817">
        <v>270</v>
      </c>
      <c r="O8817" t="s">
        <v>5</v>
      </c>
      <c r="Q8817" t="s">
        <v>5812</v>
      </c>
      <c r="R8817" t="s">
        <v>6709</v>
      </c>
      <c r="S8817" t="s">
        <v>1022</v>
      </c>
      <c r="T8817" t="s">
        <v>1023</v>
      </c>
    </row>
    <row r="8818" spans="1:20" x14ac:dyDescent="0.25">
      <c r="A8818" t="s">
        <v>44</v>
      </c>
      <c r="B8818" t="s">
        <v>3</v>
      </c>
      <c r="C8818" t="s">
        <v>32</v>
      </c>
      <c r="D8818" t="s">
        <v>953</v>
      </c>
      <c r="E8818" t="s">
        <v>1077</v>
      </c>
      <c r="F8818" t="s">
        <v>35</v>
      </c>
      <c r="G8818" t="s">
        <v>35</v>
      </c>
      <c r="H8818" t="s">
        <v>35</v>
      </c>
      <c r="J8818" t="s">
        <v>2787</v>
      </c>
      <c r="K8818" t="s">
        <v>1092</v>
      </c>
      <c r="M8818">
        <v>5</v>
      </c>
      <c r="N8818">
        <v>55</v>
      </c>
      <c r="O8818" t="s">
        <v>52</v>
      </c>
      <c r="Q8818" t="s">
        <v>90</v>
      </c>
      <c r="R8818" t="s">
        <v>6709</v>
      </c>
      <c r="S8818" t="s">
        <v>1022</v>
      </c>
      <c r="T8818" t="s">
        <v>1023</v>
      </c>
    </row>
    <row r="8819" spans="1:20" x14ac:dyDescent="0.25">
      <c r="A8819" t="s">
        <v>59</v>
      </c>
      <c r="B8819" t="s">
        <v>31</v>
      </c>
      <c r="C8819" t="s">
        <v>32</v>
      </c>
      <c r="D8819" t="s">
        <v>953</v>
      </c>
      <c r="E8819" t="s">
        <v>980</v>
      </c>
      <c r="F8819" t="s">
        <v>35</v>
      </c>
      <c r="G8819" t="s">
        <v>35</v>
      </c>
      <c r="H8819" t="s">
        <v>35</v>
      </c>
      <c r="J8819" t="s">
        <v>7147</v>
      </c>
      <c r="K8819" t="s">
        <v>1092</v>
      </c>
      <c r="M8819">
        <v>3.78</v>
      </c>
      <c r="N8819">
        <v>83</v>
      </c>
      <c r="O8819" t="s">
        <v>61</v>
      </c>
      <c r="Q8819" t="s">
        <v>897</v>
      </c>
      <c r="R8819" t="s">
        <v>6709</v>
      </c>
      <c r="S8819" t="s">
        <v>1022</v>
      </c>
      <c r="T8819" t="s">
        <v>1023</v>
      </c>
    </row>
    <row r="8820" spans="1:20" x14ac:dyDescent="0.25">
      <c r="A8820" t="s">
        <v>59</v>
      </c>
      <c r="B8820" t="s">
        <v>31</v>
      </c>
      <c r="C8820" t="s">
        <v>32</v>
      </c>
      <c r="D8820" t="s">
        <v>953</v>
      </c>
      <c r="E8820" t="s">
        <v>1077</v>
      </c>
      <c r="F8820" t="s">
        <v>35</v>
      </c>
      <c r="G8820" t="s">
        <v>35</v>
      </c>
      <c r="H8820" t="s">
        <v>35</v>
      </c>
      <c r="J8820" t="s">
        <v>7705</v>
      </c>
      <c r="K8820" t="s">
        <v>1092</v>
      </c>
      <c r="M8820">
        <v>0.85499999999999998</v>
      </c>
      <c r="N8820">
        <v>1116</v>
      </c>
      <c r="O8820" t="s">
        <v>575</v>
      </c>
      <c r="Q8820" t="s">
        <v>5478</v>
      </c>
      <c r="R8820" t="s">
        <v>6709</v>
      </c>
      <c r="S8820" t="s">
        <v>1022</v>
      </c>
      <c r="T8820" t="s">
        <v>1023</v>
      </c>
    </row>
    <row r="8821" spans="1:20" x14ac:dyDescent="0.25">
      <c r="A8821" t="s">
        <v>30</v>
      </c>
      <c r="B8821" t="s">
        <v>31</v>
      </c>
      <c r="C8821" t="s">
        <v>32</v>
      </c>
      <c r="D8821" t="s">
        <v>953</v>
      </c>
      <c r="E8821" t="s">
        <v>954</v>
      </c>
      <c r="F8821" t="s">
        <v>35</v>
      </c>
      <c r="G8821" t="s">
        <v>35</v>
      </c>
      <c r="H8821" t="s">
        <v>35</v>
      </c>
      <c r="J8821" t="s">
        <v>6735</v>
      </c>
      <c r="K8821" t="s">
        <v>1092</v>
      </c>
      <c r="M8821">
        <v>2.4300000000000002</v>
      </c>
      <c r="N8821">
        <v>14</v>
      </c>
      <c r="O8821" t="s">
        <v>46</v>
      </c>
      <c r="Q8821" t="s">
        <v>1874</v>
      </c>
      <c r="R8821" t="s">
        <v>6709</v>
      </c>
      <c r="S8821" t="s">
        <v>1022</v>
      </c>
      <c r="T8821" t="s">
        <v>1023</v>
      </c>
    </row>
    <row r="8822" spans="1:20" x14ac:dyDescent="0.25">
      <c r="A8822" t="s">
        <v>59</v>
      </c>
      <c r="B8822" t="s">
        <v>60</v>
      </c>
      <c r="C8822" t="s">
        <v>32</v>
      </c>
      <c r="D8822" t="s">
        <v>953</v>
      </c>
      <c r="E8822" t="s">
        <v>7184</v>
      </c>
      <c r="F8822" t="s">
        <v>35</v>
      </c>
      <c r="G8822" t="s">
        <v>35</v>
      </c>
      <c r="H8822" t="s">
        <v>35</v>
      </c>
      <c r="J8822" t="s">
        <v>7198</v>
      </c>
      <c r="K8822" t="s">
        <v>1092</v>
      </c>
      <c r="M8822">
        <v>4.8499999999999996</v>
      </c>
      <c r="N8822">
        <v>905</v>
      </c>
      <c r="O8822" t="s">
        <v>575</v>
      </c>
      <c r="Q8822" t="s">
        <v>5310</v>
      </c>
      <c r="R8822" t="s">
        <v>6709</v>
      </c>
      <c r="S8822" t="s">
        <v>1022</v>
      </c>
      <c r="T8822" t="s">
        <v>1023</v>
      </c>
    </row>
    <row r="8823" spans="1:20" x14ac:dyDescent="0.25">
      <c r="A8823" t="s">
        <v>30</v>
      </c>
      <c r="B8823" t="s">
        <v>31</v>
      </c>
      <c r="C8823" t="s">
        <v>32</v>
      </c>
      <c r="D8823" t="s">
        <v>953</v>
      </c>
      <c r="E8823" t="s">
        <v>7164</v>
      </c>
      <c r="F8823" t="s">
        <v>35</v>
      </c>
      <c r="G8823" t="s">
        <v>35</v>
      </c>
      <c r="H8823" t="s">
        <v>35</v>
      </c>
      <c r="J8823" t="s">
        <v>7176</v>
      </c>
      <c r="K8823" t="s">
        <v>1092</v>
      </c>
      <c r="M8823">
        <v>3.5999999999999997E-2</v>
      </c>
      <c r="N8823">
        <v>1180</v>
      </c>
      <c r="O8823" t="s">
        <v>575</v>
      </c>
      <c r="Q8823" t="s">
        <v>7177</v>
      </c>
      <c r="R8823" t="s">
        <v>6709</v>
      </c>
      <c r="S8823" t="s">
        <v>1022</v>
      </c>
      <c r="T8823" t="s">
        <v>1023</v>
      </c>
    </row>
    <row r="8824" spans="1:20" x14ac:dyDescent="0.25">
      <c r="A8824" t="s">
        <v>59</v>
      </c>
      <c r="B8824" t="s">
        <v>60</v>
      </c>
      <c r="C8824" t="s">
        <v>32</v>
      </c>
      <c r="D8824" t="s">
        <v>953</v>
      </c>
      <c r="E8824" t="s">
        <v>6878</v>
      </c>
      <c r="F8824" t="s">
        <v>35</v>
      </c>
      <c r="G8824" t="s">
        <v>35</v>
      </c>
      <c r="H8824" t="s">
        <v>35</v>
      </c>
      <c r="J8824" t="s">
        <v>6906</v>
      </c>
      <c r="K8824" t="s">
        <v>1092</v>
      </c>
      <c r="M8824">
        <v>5</v>
      </c>
      <c r="N8824">
        <v>52</v>
      </c>
      <c r="O8824" t="s">
        <v>52</v>
      </c>
      <c r="Q8824" t="s">
        <v>84</v>
      </c>
      <c r="R8824" t="s">
        <v>6709</v>
      </c>
      <c r="S8824" t="s">
        <v>1022</v>
      </c>
      <c r="T8824" t="s">
        <v>1023</v>
      </c>
    </row>
    <row r="8825" spans="1:20" x14ac:dyDescent="0.25">
      <c r="A8825" t="s">
        <v>44</v>
      </c>
      <c r="B8825" t="s">
        <v>3</v>
      </c>
      <c r="C8825" t="s">
        <v>32</v>
      </c>
      <c r="D8825" t="s">
        <v>953</v>
      </c>
      <c r="E8825" t="s">
        <v>6878</v>
      </c>
      <c r="F8825" t="s">
        <v>35</v>
      </c>
      <c r="G8825" t="s">
        <v>35</v>
      </c>
      <c r="H8825" t="s">
        <v>35</v>
      </c>
      <c r="J8825" t="s">
        <v>6906</v>
      </c>
      <c r="K8825" t="s">
        <v>1092</v>
      </c>
      <c r="M8825">
        <v>2.4</v>
      </c>
      <c r="N8825">
        <v>55</v>
      </c>
      <c r="O8825" t="s">
        <v>52</v>
      </c>
      <c r="Q8825" t="s">
        <v>90</v>
      </c>
      <c r="R8825" t="s">
        <v>6709</v>
      </c>
      <c r="S8825" t="s">
        <v>1022</v>
      </c>
      <c r="T8825" t="s">
        <v>1023</v>
      </c>
    </row>
    <row r="8826" spans="1:20" x14ac:dyDescent="0.25">
      <c r="A8826" t="s">
        <v>59</v>
      </c>
      <c r="B8826" t="s">
        <v>60</v>
      </c>
      <c r="C8826" t="s">
        <v>32</v>
      </c>
      <c r="D8826" t="s">
        <v>953</v>
      </c>
      <c r="E8826" t="s">
        <v>6878</v>
      </c>
      <c r="F8826" t="s">
        <v>35</v>
      </c>
      <c r="G8826" t="s">
        <v>35</v>
      </c>
      <c r="H8826" t="s">
        <v>35</v>
      </c>
      <c r="J8826" t="s">
        <v>6906</v>
      </c>
      <c r="K8826" t="s">
        <v>1092</v>
      </c>
      <c r="M8826">
        <v>0.37</v>
      </c>
      <c r="N8826">
        <v>84</v>
      </c>
      <c r="O8826" t="s">
        <v>61</v>
      </c>
      <c r="Q8826" t="s">
        <v>1147</v>
      </c>
      <c r="R8826" t="s">
        <v>6709</v>
      </c>
      <c r="S8826" t="s">
        <v>1022</v>
      </c>
      <c r="T8826" t="s">
        <v>1023</v>
      </c>
    </row>
    <row r="8827" spans="1:20" x14ac:dyDescent="0.25">
      <c r="A8827" t="s">
        <v>59</v>
      </c>
      <c r="B8827" t="s">
        <v>60</v>
      </c>
      <c r="C8827" t="s">
        <v>32</v>
      </c>
      <c r="D8827" t="s">
        <v>953</v>
      </c>
      <c r="E8827" t="s">
        <v>1007</v>
      </c>
      <c r="F8827" t="s">
        <v>35</v>
      </c>
      <c r="G8827" t="s">
        <v>35</v>
      </c>
      <c r="H8827" t="s">
        <v>35</v>
      </c>
      <c r="J8827" t="s">
        <v>7301</v>
      </c>
      <c r="K8827" t="s">
        <v>404</v>
      </c>
      <c r="M8827">
        <v>10</v>
      </c>
      <c r="N8827">
        <v>352</v>
      </c>
      <c r="O8827" t="s">
        <v>5</v>
      </c>
      <c r="Q8827" t="s">
        <v>7302</v>
      </c>
      <c r="R8827" t="s">
        <v>6709</v>
      </c>
      <c r="S8827" t="s">
        <v>1022</v>
      </c>
      <c r="T8827" t="s">
        <v>1023</v>
      </c>
    </row>
    <row r="8828" spans="1:20" x14ac:dyDescent="0.25">
      <c r="A8828" t="s">
        <v>59</v>
      </c>
      <c r="B8828" t="s">
        <v>31</v>
      </c>
      <c r="C8828" t="s">
        <v>32</v>
      </c>
      <c r="D8828" t="s">
        <v>953</v>
      </c>
      <c r="E8828" t="s">
        <v>6878</v>
      </c>
      <c r="F8828" t="s">
        <v>35</v>
      </c>
      <c r="G8828" t="s">
        <v>35</v>
      </c>
      <c r="H8828" t="s">
        <v>35</v>
      </c>
      <c r="J8828" t="s">
        <v>625</v>
      </c>
      <c r="K8828" t="s">
        <v>1092</v>
      </c>
      <c r="M8828">
        <v>0.13500000000000001</v>
      </c>
      <c r="N8828">
        <v>58</v>
      </c>
      <c r="O8828" t="s">
        <v>52</v>
      </c>
      <c r="Q8828" t="s">
        <v>128</v>
      </c>
      <c r="R8828" t="s">
        <v>6709</v>
      </c>
      <c r="S8828" t="s">
        <v>1022</v>
      </c>
      <c r="T8828" t="s">
        <v>1023</v>
      </c>
    </row>
    <row r="8829" spans="1:20" x14ac:dyDescent="0.25">
      <c r="A8829" t="s">
        <v>59</v>
      </c>
      <c r="B8829" t="s">
        <v>31</v>
      </c>
      <c r="C8829" t="s">
        <v>32</v>
      </c>
      <c r="D8829" t="s">
        <v>953</v>
      </c>
      <c r="E8829" t="s">
        <v>7467</v>
      </c>
      <c r="F8829" t="s">
        <v>35</v>
      </c>
      <c r="G8829" t="s">
        <v>35</v>
      </c>
      <c r="H8829" t="s">
        <v>35</v>
      </c>
      <c r="J8829" t="s">
        <v>3952</v>
      </c>
      <c r="K8829" t="s">
        <v>1092</v>
      </c>
      <c r="M8829">
        <v>4.9950000000000001</v>
      </c>
      <c r="N8829">
        <v>84</v>
      </c>
      <c r="O8829" t="s">
        <v>61</v>
      </c>
      <c r="Q8829" t="s">
        <v>1147</v>
      </c>
      <c r="R8829" t="s">
        <v>6709</v>
      </c>
      <c r="S8829" t="s">
        <v>1022</v>
      </c>
      <c r="T8829" t="s">
        <v>1023</v>
      </c>
    </row>
    <row r="8830" spans="1:20" x14ac:dyDescent="0.25">
      <c r="A8830" t="s">
        <v>59</v>
      </c>
      <c r="B8830" t="s">
        <v>60</v>
      </c>
      <c r="C8830" t="s">
        <v>32</v>
      </c>
      <c r="D8830" t="s">
        <v>953</v>
      </c>
      <c r="E8830" t="s">
        <v>7467</v>
      </c>
      <c r="F8830" t="s">
        <v>35</v>
      </c>
      <c r="G8830" t="s">
        <v>35</v>
      </c>
      <c r="H8830" t="s">
        <v>35</v>
      </c>
      <c r="J8830" t="s">
        <v>3952</v>
      </c>
      <c r="K8830" t="s">
        <v>1092</v>
      </c>
      <c r="M8830">
        <v>5</v>
      </c>
      <c r="N8830">
        <v>84</v>
      </c>
      <c r="O8830" t="s">
        <v>61</v>
      </c>
      <c r="Q8830" t="s">
        <v>1147</v>
      </c>
      <c r="R8830" t="s">
        <v>6709</v>
      </c>
      <c r="S8830" t="s">
        <v>1022</v>
      </c>
      <c r="T8830" t="s">
        <v>1023</v>
      </c>
    </row>
    <row r="8831" spans="1:20" x14ac:dyDescent="0.25">
      <c r="A8831" t="s">
        <v>59</v>
      </c>
      <c r="B8831" t="s">
        <v>60</v>
      </c>
      <c r="C8831" t="s">
        <v>32</v>
      </c>
      <c r="D8831" t="s">
        <v>953</v>
      </c>
      <c r="E8831" t="s">
        <v>1015</v>
      </c>
      <c r="F8831" t="s">
        <v>35</v>
      </c>
      <c r="G8831" t="s">
        <v>35</v>
      </c>
      <c r="H8831" t="s">
        <v>35</v>
      </c>
      <c r="J8831" t="s">
        <v>1353</v>
      </c>
      <c r="K8831" t="s">
        <v>1092</v>
      </c>
      <c r="M8831">
        <v>0.2</v>
      </c>
      <c r="N8831">
        <v>45</v>
      </c>
      <c r="O8831" t="s">
        <v>52</v>
      </c>
      <c r="Q8831" t="s">
        <v>1230</v>
      </c>
      <c r="R8831" t="s">
        <v>6709</v>
      </c>
      <c r="S8831" t="s">
        <v>1022</v>
      </c>
      <c r="T8831" t="s">
        <v>1023</v>
      </c>
    </row>
    <row r="8832" spans="1:20" x14ac:dyDescent="0.25">
      <c r="A8832" t="s">
        <v>59</v>
      </c>
      <c r="B8832" t="s">
        <v>31</v>
      </c>
      <c r="C8832" t="s">
        <v>32</v>
      </c>
      <c r="D8832" t="s">
        <v>953</v>
      </c>
      <c r="E8832" t="s">
        <v>1077</v>
      </c>
      <c r="F8832" t="s">
        <v>35</v>
      </c>
      <c r="G8832" t="s">
        <v>35</v>
      </c>
      <c r="H8832" t="s">
        <v>35</v>
      </c>
      <c r="J8832" t="s">
        <v>7627</v>
      </c>
      <c r="K8832" t="s">
        <v>1092</v>
      </c>
      <c r="M8832">
        <v>2.97</v>
      </c>
      <c r="N8832">
        <v>139</v>
      </c>
      <c r="O8832" t="s">
        <v>38</v>
      </c>
      <c r="Q8832" t="s">
        <v>1335</v>
      </c>
      <c r="R8832" t="s">
        <v>6709</v>
      </c>
      <c r="S8832" t="s">
        <v>1022</v>
      </c>
      <c r="T8832" t="s">
        <v>1023</v>
      </c>
    </row>
    <row r="8833" spans="1:20" x14ac:dyDescent="0.25">
      <c r="A8833" t="s">
        <v>30</v>
      </c>
      <c r="B8833" t="s">
        <v>31</v>
      </c>
      <c r="C8833" t="s">
        <v>32</v>
      </c>
      <c r="D8833" t="s">
        <v>953</v>
      </c>
      <c r="E8833" t="s">
        <v>1077</v>
      </c>
      <c r="F8833" t="s">
        <v>35</v>
      </c>
      <c r="G8833" t="s">
        <v>35</v>
      </c>
      <c r="H8833" t="s">
        <v>35</v>
      </c>
      <c r="J8833" t="s">
        <v>7627</v>
      </c>
      <c r="K8833" t="s">
        <v>1092</v>
      </c>
      <c r="M8833">
        <v>10.98</v>
      </c>
      <c r="N8833">
        <v>38</v>
      </c>
      <c r="O8833" t="s">
        <v>52</v>
      </c>
      <c r="Q8833" t="s">
        <v>716</v>
      </c>
      <c r="R8833" t="s">
        <v>6709</v>
      </c>
      <c r="S8833" t="s">
        <v>1022</v>
      </c>
      <c r="T8833" t="s">
        <v>1023</v>
      </c>
    </row>
    <row r="8834" spans="1:20" x14ac:dyDescent="0.25">
      <c r="A8834" t="s">
        <v>44</v>
      </c>
      <c r="B8834" t="s">
        <v>3</v>
      </c>
      <c r="C8834" t="s">
        <v>32</v>
      </c>
      <c r="D8834" t="s">
        <v>953</v>
      </c>
      <c r="E8834" t="s">
        <v>1077</v>
      </c>
      <c r="F8834" t="s">
        <v>35</v>
      </c>
      <c r="G8834" t="s">
        <v>35</v>
      </c>
      <c r="H8834" t="s">
        <v>35</v>
      </c>
      <c r="J8834" t="s">
        <v>7627</v>
      </c>
      <c r="K8834" t="s">
        <v>1092</v>
      </c>
      <c r="M8834">
        <v>1.45</v>
      </c>
      <c r="N8834">
        <v>55</v>
      </c>
      <c r="O8834" t="s">
        <v>52</v>
      </c>
      <c r="Q8834" t="s">
        <v>90</v>
      </c>
      <c r="R8834" t="s">
        <v>6709</v>
      </c>
      <c r="S8834" t="s">
        <v>1022</v>
      </c>
      <c r="T8834" t="s">
        <v>1023</v>
      </c>
    </row>
    <row r="8835" spans="1:20" x14ac:dyDescent="0.25">
      <c r="A8835" t="s">
        <v>59</v>
      </c>
      <c r="B8835" t="s">
        <v>60</v>
      </c>
      <c r="C8835" t="s">
        <v>32</v>
      </c>
      <c r="D8835" t="s">
        <v>953</v>
      </c>
      <c r="E8835" t="s">
        <v>1077</v>
      </c>
      <c r="F8835" t="s">
        <v>35</v>
      </c>
      <c r="G8835" t="s">
        <v>35</v>
      </c>
      <c r="H8835" t="s">
        <v>35</v>
      </c>
      <c r="J8835" t="s">
        <v>7627</v>
      </c>
      <c r="K8835" t="s">
        <v>1092</v>
      </c>
      <c r="M8835">
        <v>5</v>
      </c>
      <c r="N8835">
        <v>52</v>
      </c>
      <c r="O8835" t="s">
        <v>52</v>
      </c>
      <c r="Q8835" t="s">
        <v>84</v>
      </c>
      <c r="R8835" t="s">
        <v>6709</v>
      </c>
      <c r="S8835" t="s">
        <v>1022</v>
      </c>
      <c r="T8835" t="s">
        <v>1023</v>
      </c>
    </row>
    <row r="8836" spans="1:20" x14ac:dyDescent="0.25">
      <c r="A8836" t="s">
        <v>59</v>
      </c>
      <c r="B8836" t="s">
        <v>60</v>
      </c>
      <c r="C8836" t="s">
        <v>32</v>
      </c>
      <c r="D8836" t="s">
        <v>953</v>
      </c>
      <c r="F8836" t="s">
        <v>35</v>
      </c>
      <c r="G8836" t="s">
        <v>35</v>
      </c>
      <c r="H8836" t="s">
        <v>35</v>
      </c>
      <c r="J8836" t="s">
        <v>7905</v>
      </c>
      <c r="K8836" t="s">
        <v>1092</v>
      </c>
      <c r="M8836">
        <v>2.5</v>
      </c>
      <c r="N8836">
        <v>227</v>
      </c>
      <c r="O8836" t="s">
        <v>5</v>
      </c>
      <c r="Q8836" t="s">
        <v>1780</v>
      </c>
      <c r="R8836" t="s">
        <v>6709</v>
      </c>
      <c r="S8836" t="s">
        <v>1022</v>
      </c>
      <c r="T8836" t="s">
        <v>1023</v>
      </c>
    </row>
    <row r="8837" spans="1:20" x14ac:dyDescent="0.25">
      <c r="A8837" t="s">
        <v>59</v>
      </c>
      <c r="B8837" t="s">
        <v>60</v>
      </c>
      <c r="C8837" t="s">
        <v>32</v>
      </c>
      <c r="D8837" t="s">
        <v>953</v>
      </c>
      <c r="E8837" t="s">
        <v>1015</v>
      </c>
      <c r="F8837" t="s">
        <v>35</v>
      </c>
      <c r="G8837" t="s">
        <v>35</v>
      </c>
      <c r="H8837" t="s">
        <v>35</v>
      </c>
      <c r="J8837" t="s">
        <v>7370</v>
      </c>
      <c r="K8837" t="s">
        <v>1092</v>
      </c>
      <c r="M8837">
        <v>0.4</v>
      </c>
      <c r="N8837">
        <v>450</v>
      </c>
      <c r="O8837" t="s">
        <v>294</v>
      </c>
      <c r="Q8837" t="s">
        <v>2104</v>
      </c>
      <c r="R8837" t="s">
        <v>6709</v>
      </c>
      <c r="S8837" t="s">
        <v>1022</v>
      </c>
      <c r="T8837" t="s">
        <v>1023</v>
      </c>
    </row>
    <row r="8838" spans="1:20" x14ac:dyDescent="0.25">
      <c r="A8838" t="s">
        <v>59</v>
      </c>
      <c r="B8838" t="s">
        <v>60</v>
      </c>
      <c r="C8838" t="s">
        <v>32</v>
      </c>
      <c r="D8838" t="s">
        <v>953</v>
      </c>
      <c r="E8838" t="s">
        <v>968</v>
      </c>
      <c r="F8838" t="s">
        <v>35</v>
      </c>
      <c r="G8838" t="s">
        <v>35</v>
      </c>
      <c r="H8838" t="s">
        <v>35</v>
      </c>
      <c r="J8838" t="s">
        <v>7026</v>
      </c>
      <c r="K8838" t="s">
        <v>1092</v>
      </c>
      <c r="M8838">
        <v>4.9000000000000004</v>
      </c>
      <c r="N8838">
        <v>53</v>
      </c>
      <c r="O8838" t="s">
        <v>52</v>
      </c>
      <c r="Q8838" t="s">
        <v>1734</v>
      </c>
      <c r="R8838" t="s">
        <v>6709</v>
      </c>
      <c r="S8838" t="s">
        <v>1022</v>
      </c>
      <c r="T8838" t="s">
        <v>1023</v>
      </c>
    </row>
    <row r="8839" spans="1:20" x14ac:dyDescent="0.25">
      <c r="A8839" t="s">
        <v>30</v>
      </c>
      <c r="B8839" t="s">
        <v>31</v>
      </c>
      <c r="C8839" t="s">
        <v>32</v>
      </c>
      <c r="D8839" t="s">
        <v>953</v>
      </c>
      <c r="E8839" t="s">
        <v>968</v>
      </c>
      <c r="F8839" t="s">
        <v>35</v>
      </c>
      <c r="G8839" t="s">
        <v>35</v>
      </c>
      <c r="H8839" t="s">
        <v>35</v>
      </c>
      <c r="J8839" t="s">
        <v>7038</v>
      </c>
      <c r="K8839" t="s">
        <v>1092</v>
      </c>
      <c r="M8839">
        <v>4.4550000000000001</v>
      </c>
      <c r="N8839">
        <v>194</v>
      </c>
      <c r="O8839" t="s">
        <v>5</v>
      </c>
      <c r="Q8839" t="s">
        <v>1428</v>
      </c>
      <c r="R8839" t="s">
        <v>6709</v>
      </c>
      <c r="S8839" t="s">
        <v>1022</v>
      </c>
      <c r="T8839" t="s">
        <v>1023</v>
      </c>
    </row>
    <row r="8840" spans="1:20" x14ac:dyDescent="0.25">
      <c r="A8840" t="s">
        <v>44</v>
      </c>
      <c r="B8840" t="s">
        <v>3</v>
      </c>
      <c r="C8840" t="s">
        <v>32</v>
      </c>
      <c r="D8840" t="s">
        <v>953</v>
      </c>
      <c r="E8840" t="s">
        <v>1015</v>
      </c>
      <c r="F8840" t="s">
        <v>35</v>
      </c>
      <c r="G8840" t="s">
        <v>35</v>
      </c>
      <c r="H8840" t="s">
        <v>35</v>
      </c>
      <c r="J8840" t="s">
        <v>7400</v>
      </c>
      <c r="K8840" t="s">
        <v>1092</v>
      </c>
      <c r="M8840">
        <v>5</v>
      </c>
      <c r="N8840">
        <v>55</v>
      </c>
      <c r="O8840" t="s">
        <v>52</v>
      </c>
      <c r="Q8840" t="s">
        <v>90</v>
      </c>
      <c r="R8840" t="s">
        <v>6709</v>
      </c>
      <c r="S8840" t="s">
        <v>1022</v>
      </c>
      <c r="T8840" t="s">
        <v>1023</v>
      </c>
    </row>
    <row r="8841" spans="1:20" x14ac:dyDescent="0.25">
      <c r="A8841" t="s">
        <v>59</v>
      </c>
      <c r="B8841" t="s">
        <v>60</v>
      </c>
      <c r="C8841" t="s">
        <v>32</v>
      </c>
      <c r="D8841" t="s">
        <v>953</v>
      </c>
      <c r="F8841" t="s">
        <v>35</v>
      </c>
      <c r="G8841" t="s">
        <v>35</v>
      </c>
      <c r="H8841" t="s">
        <v>35</v>
      </c>
      <c r="J8841" t="s">
        <v>7883</v>
      </c>
      <c r="K8841" t="s">
        <v>1092</v>
      </c>
      <c r="M8841">
        <v>1E-3</v>
      </c>
      <c r="N8841">
        <v>620</v>
      </c>
      <c r="O8841" t="s">
        <v>575</v>
      </c>
      <c r="Q8841" t="s">
        <v>7884</v>
      </c>
      <c r="R8841" t="s">
        <v>6709</v>
      </c>
      <c r="S8841" t="s">
        <v>1022</v>
      </c>
      <c r="T8841" t="s">
        <v>1023</v>
      </c>
    </row>
    <row r="8842" spans="1:20" x14ac:dyDescent="0.25">
      <c r="A8842" t="s">
        <v>44</v>
      </c>
      <c r="B8842" t="s">
        <v>3</v>
      </c>
      <c r="C8842" t="s">
        <v>32</v>
      </c>
      <c r="D8842" t="s">
        <v>953</v>
      </c>
      <c r="E8842" t="s">
        <v>7740</v>
      </c>
      <c r="F8842" t="s">
        <v>35</v>
      </c>
      <c r="G8842" t="s">
        <v>35</v>
      </c>
      <c r="H8842" t="s">
        <v>35</v>
      </c>
      <c r="J8842" t="s">
        <v>7742</v>
      </c>
      <c r="K8842" t="s">
        <v>1092</v>
      </c>
      <c r="M8842">
        <v>0.95</v>
      </c>
      <c r="N8842">
        <v>46</v>
      </c>
      <c r="O8842" t="s">
        <v>52</v>
      </c>
      <c r="Q8842" t="s">
        <v>332</v>
      </c>
      <c r="R8842" t="s">
        <v>6709</v>
      </c>
      <c r="S8842" t="s">
        <v>1022</v>
      </c>
      <c r="T8842" t="s">
        <v>1023</v>
      </c>
    </row>
    <row r="8843" spans="1:20" x14ac:dyDescent="0.25">
      <c r="A8843" t="s">
        <v>30</v>
      </c>
      <c r="B8843" t="s">
        <v>31</v>
      </c>
      <c r="C8843" t="s">
        <v>32</v>
      </c>
      <c r="D8843" t="s">
        <v>953</v>
      </c>
      <c r="E8843" t="s">
        <v>7740</v>
      </c>
      <c r="F8843" t="s">
        <v>35</v>
      </c>
      <c r="G8843" t="s">
        <v>35</v>
      </c>
      <c r="H8843" t="s">
        <v>35</v>
      </c>
      <c r="J8843" t="s">
        <v>7742</v>
      </c>
      <c r="K8843" t="s">
        <v>1092</v>
      </c>
      <c r="M8843">
        <v>8.6850000000000005</v>
      </c>
      <c r="N8843">
        <v>14</v>
      </c>
      <c r="O8843" t="s">
        <v>46</v>
      </c>
      <c r="Q8843" t="s">
        <v>1874</v>
      </c>
      <c r="R8843" t="s">
        <v>6709</v>
      </c>
      <c r="S8843" t="s">
        <v>1022</v>
      </c>
      <c r="T8843" t="s">
        <v>1023</v>
      </c>
    </row>
    <row r="8844" spans="1:20" x14ac:dyDescent="0.25">
      <c r="A8844" t="s">
        <v>59</v>
      </c>
      <c r="B8844" t="s">
        <v>60</v>
      </c>
      <c r="C8844" t="s">
        <v>32</v>
      </c>
      <c r="D8844" t="s">
        <v>953</v>
      </c>
      <c r="E8844" t="s">
        <v>7558</v>
      </c>
      <c r="F8844" t="s">
        <v>35</v>
      </c>
      <c r="G8844" t="s">
        <v>35</v>
      </c>
      <c r="H8844" t="s">
        <v>35</v>
      </c>
      <c r="J8844" t="s">
        <v>7583</v>
      </c>
      <c r="K8844" t="s">
        <v>1092</v>
      </c>
      <c r="M8844">
        <v>5</v>
      </c>
      <c r="N8844">
        <v>52</v>
      </c>
      <c r="O8844" t="s">
        <v>52</v>
      </c>
      <c r="Q8844" t="s">
        <v>84</v>
      </c>
      <c r="R8844" t="s">
        <v>6709</v>
      </c>
      <c r="S8844" t="s">
        <v>1022</v>
      </c>
      <c r="T8844" t="s">
        <v>1023</v>
      </c>
    </row>
    <row r="8845" spans="1:20" x14ac:dyDescent="0.25">
      <c r="A8845" t="s">
        <v>44</v>
      </c>
      <c r="B8845" t="s">
        <v>3</v>
      </c>
      <c r="C8845" t="s">
        <v>32</v>
      </c>
      <c r="D8845" t="s">
        <v>953</v>
      </c>
      <c r="E8845" t="s">
        <v>7558</v>
      </c>
      <c r="F8845" t="s">
        <v>35</v>
      </c>
      <c r="G8845" t="s">
        <v>35</v>
      </c>
      <c r="H8845" t="s">
        <v>35</v>
      </c>
      <c r="J8845" t="s">
        <v>7583</v>
      </c>
      <c r="K8845" t="s">
        <v>1092</v>
      </c>
      <c r="M8845">
        <v>2.5499999999999998</v>
      </c>
      <c r="N8845">
        <v>55</v>
      </c>
      <c r="O8845" t="s">
        <v>52</v>
      </c>
      <c r="Q8845" t="s">
        <v>90</v>
      </c>
      <c r="R8845" t="s">
        <v>6709</v>
      </c>
      <c r="S8845" t="s">
        <v>1022</v>
      </c>
      <c r="T8845" t="s">
        <v>1023</v>
      </c>
    </row>
    <row r="8846" spans="1:20" x14ac:dyDescent="0.25">
      <c r="A8846" t="s">
        <v>59</v>
      </c>
      <c r="B8846" t="s">
        <v>60</v>
      </c>
      <c r="C8846" t="s">
        <v>32</v>
      </c>
      <c r="D8846" t="s">
        <v>953</v>
      </c>
      <c r="E8846" t="s">
        <v>980</v>
      </c>
      <c r="F8846" t="s">
        <v>35</v>
      </c>
      <c r="G8846" t="s">
        <v>35</v>
      </c>
      <c r="H8846" t="s">
        <v>35</v>
      </c>
      <c r="J8846" t="s">
        <v>7093</v>
      </c>
      <c r="K8846" t="s">
        <v>1092</v>
      </c>
      <c r="M8846">
        <v>0.65</v>
      </c>
      <c r="N8846">
        <v>769</v>
      </c>
      <c r="O8846" t="s">
        <v>575</v>
      </c>
      <c r="Q8846" t="s">
        <v>7094</v>
      </c>
      <c r="R8846" t="s">
        <v>6709</v>
      </c>
      <c r="S8846" t="s">
        <v>1022</v>
      </c>
      <c r="T8846" t="s">
        <v>1023</v>
      </c>
    </row>
    <row r="8847" spans="1:20" x14ac:dyDescent="0.25">
      <c r="A8847" t="s">
        <v>59</v>
      </c>
      <c r="B8847" t="s">
        <v>31</v>
      </c>
      <c r="C8847" t="s">
        <v>32</v>
      </c>
      <c r="D8847" t="s">
        <v>953</v>
      </c>
      <c r="E8847" t="s">
        <v>1077</v>
      </c>
      <c r="F8847" t="s">
        <v>35</v>
      </c>
      <c r="G8847" t="s">
        <v>35</v>
      </c>
      <c r="H8847" t="s">
        <v>35</v>
      </c>
      <c r="J8847" t="s">
        <v>7710</v>
      </c>
      <c r="K8847" t="s">
        <v>1092</v>
      </c>
      <c r="M8847">
        <v>0.04</v>
      </c>
      <c r="N8847">
        <v>1105</v>
      </c>
      <c r="O8847" t="s">
        <v>575</v>
      </c>
      <c r="Q8847" t="s">
        <v>7711</v>
      </c>
      <c r="R8847" t="s">
        <v>6709</v>
      </c>
      <c r="S8847" t="s">
        <v>1022</v>
      </c>
      <c r="T8847" t="s">
        <v>1023</v>
      </c>
    </row>
    <row r="8848" spans="1:20" x14ac:dyDescent="0.25">
      <c r="A8848" t="s">
        <v>59</v>
      </c>
      <c r="B8848" t="s">
        <v>60</v>
      </c>
      <c r="C8848" t="s">
        <v>32</v>
      </c>
      <c r="D8848" t="s">
        <v>953</v>
      </c>
      <c r="F8848" t="s">
        <v>35</v>
      </c>
      <c r="G8848" t="s">
        <v>35</v>
      </c>
      <c r="H8848" t="s">
        <v>35</v>
      </c>
      <c r="J8848" t="s">
        <v>7891</v>
      </c>
      <c r="K8848" t="s">
        <v>1092</v>
      </c>
      <c r="M8848">
        <v>0.8</v>
      </c>
      <c r="N8848">
        <v>139</v>
      </c>
      <c r="O8848" t="s">
        <v>38</v>
      </c>
      <c r="Q8848" t="s">
        <v>1335</v>
      </c>
      <c r="R8848" t="s">
        <v>6709</v>
      </c>
      <c r="S8848" t="s">
        <v>1022</v>
      </c>
      <c r="T8848" t="s">
        <v>1023</v>
      </c>
    </row>
    <row r="8849" spans="1:20" x14ac:dyDescent="0.25">
      <c r="A8849" t="s">
        <v>44</v>
      </c>
      <c r="B8849" t="s">
        <v>3</v>
      </c>
      <c r="C8849" t="s">
        <v>32</v>
      </c>
      <c r="D8849" t="s">
        <v>953</v>
      </c>
      <c r="F8849" t="s">
        <v>35</v>
      </c>
      <c r="G8849" t="s">
        <v>35</v>
      </c>
      <c r="H8849" t="s">
        <v>35</v>
      </c>
      <c r="J8849" t="s">
        <v>7891</v>
      </c>
      <c r="K8849" t="s">
        <v>1092</v>
      </c>
      <c r="M8849">
        <v>2.5</v>
      </c>
      <c r="N8849">
        <v>55</v>
      </c>
      <c r="O8849" t="s">
        <v>52</v>
      </c>
      <c r="Q8849" t="s">
        <v>90</v>
      </c>
      <c r="R8849" t="s">
        <v>6709</v>
      </c>
      <c r="S8849" t="s">
        <v>1022</v>
      </c>
      <c r="T8849" t="s">
        <v>1023</v>
      </c>
    </row>
    <row r="8850" spans="1:20" x14ac:dyDescent="0.25">
      <c r="A8850" t="s">
        <v>59</v>
      </c>
      <c r="B8850" t="s">
        <v>60</v>
      </c>
      <c r="C8850" t="s">
        <v>32</v>
      </c>
      <c r="D8850" t="s">
        <v>953</v>
      </c>
      <c r="F8850" t="s">
        <v>35</v>
      </c>
      <c r="G8850" t="s">
        <v>35</v>
      </c>
      <c r="H8850" t="s">
        <v>35</v>
      </c>
      <c r="J8850" t="s">
        <v>7891</v>
      </c>
      <c r="K8850" t="s">
        <v>1092</v>
      </c>
      <c r="M8850">
        <v>2.5</v>
      </c>
      <c r="N8850">
        <v>84</v>
      </c>
      <c r="O8850" t="s">
        <v>61</v>
      </c>
      <c r="Q8850" t="s">
        <v>1147</v>
      </c>
      <c r="R8850" t="s">
        <v>6709</v>
      </c>
      <c r="S8850" t="s">
        <v>1022</v>
      </c>
      <c r="T8850" t="s">
        <v>1023</v>
      </c>
    </row>
    <row r="8851" spans="1:20" x14ac:dyDescent="0.25">
      <c r="A8851" t="s">
        <v>59</v>
      </c>
      <c r="B8851" t="s">
        <v>31</v>
      </c>
      <c r="C8851" t="s">
        <v>32</v>
      </c>
      <c r="D8851" t="s">
        <v>953</v>
      </c>
      <c r="F8851" t="s">
        <v>35</v>
      </c>
      <c r="G8851" t="s">
        <v>35</v>
      </c>
      <c r="H8851" t="s">
        <v>35</v>
      </c>
      <c r="J8851" t="s">
        <v>7945</v>
      </c>
      <c r="K8851" t="s">
        <v>1092</v>
      </c>
      <c r="M8851">
        <v>1.89</v>
      </c>
      <c r="N8851">
        <v>395</v>
      </c>
      <c r="O8851" t="s">
        <v>294</v>
      </c>
      <c r="Q8851" t="s">
        <v>1369</v>
      </c>
      <c r="R8851" t="s">
        <v>6709</v>
      </c>
      <c r="S8851" t="s">
        <v>1022</v>
      </c>
      <c r="T8851" t="s">
        <v>1023</v>
      </c>
    </row>
    <row r="8852" spans="1:20" x14ac:dyDescent="0.25">
      <c r="A8852" t="s">
        <v>59</v>
      </c>
      <c r="B8852" t="s">
        <v>31</v>
      </c>
      <c r="C8852" t="s">
        <v>32</v>
      </c>
      <c r="D8852" t="s">
        <v>953</v>
      </c>
      <c r="F8852" t="s">
        <v>35</v>
      </c>
      <c r="G8852" t="s">
        <v>35</v>
      </c>
      <c r="H8852" t="s">
        <v>35</v>
      </c>
      <c r="J8852" t="s">
        <v>7945</v>
      </c>
      <c r="K8852" t="s">
        <v>1092</v>
      </c>
      <c r="M8852">
        <v>4.9950000000000001</v>
      </c>
      <c r="N8852">
        <v>168</v>
      </c>
      <c r="O8852" t="s">
        <v>38</v>
      </c>
      <c r="Q8852" t="s">
        <v>1692</v>
      </c>
      <c r="R8852" t="s">
        <v>6709</v>
      </c>
      <c r="S8852" t="s">
        <v>1022</v>
      </c>
      <c r="T8852" t="s">
        <v>1023</v>
      </c>
    </row>
    <row r="8853" spans="1:20" x14ac:dyDescent="0.25">
      <c r="A8853" t="s">
        <v>59</v>
      </c>
      <c r="B8853" t="s">
        <v>31</v>
      </c>
      <c r="C8853" t="s">
        <v>32</v>
      </c>
      <c r="D8853" t="s">
        <v>953</v>
      </c>
      <c r="F8853" t="s">
        <v>35</v>
      </c>
      <c r="G8853" t="s">
        <v>35</v>
      </c>
      <c r="H8853" t="s">
        <v>35</v>
      </c>
      <c r="J8853" t="s">
        <v>7945</v>
      </c>
      <c r="K8853" t="s">
        <v>1092</v>
      </c>
      <c r="M8853">
        <v>2.52</v>
      </c>
      <c r="N8853">
        <v>139</v>
      </c>
      <c r="O8853" t="s">
        <v>38</v>
      </c>
      <c r="Q8853" t="s">
        <v>1335</v>
      </c>
      <c r="R8853" t="s">
        <v>6709</v>
      </c>
      <c r="S8853" t="s">
        <v>1022</v>
      </c>
      <c r="T8853" t="s">
        <v>1023</v>
      </c>
    </row>
    <row r="8854" spans="1:20" x14ac:dyDescent="0.25">
      <c r="A8854" t="s">
        <v>59</v>
      </c>
      <c r="B8854" t="s">
        <v>60</v>
      </c>
      <c r="C8854" t="s">
        <v>32</v>
      </c>
      <c r="D8854" t="s">
        <v>953</v>
      </c>
      <c r="F8854" t="s">
        <v>35</v>
      </c>
      <c r="G8854" t="s">
        <v>35</v>
      </c>
      <c r="H8854" t="s">
        <v>35</v>
      </c>
      <c r="J8854" t="s">
        <v>7945</v>
      </c>
      <c r="K8854" t="s">
        <v>1092</v>
      </c>
      <c r="M8854">
        <v>0.1</v>
      </c>
      <c r="N8854">
        <v>84</v>
      </c>
      <c r="O8854" t="s">
        <v>61</v>
      </c>
      <c r="Q8854" t="s">
        <v>1147</v>
      </c>
      <c r="R8854" t="s">
        <v>6709</v>
      </c>
      <c r="S8854" t="s">
        <v>1022</v>
      </c>
      <c r="T8854" t="s">
        <v>1023</v>
      </c>
    </row>
    <row r="8855" spans="1:20" x14ac:dyDescent="0.25">
      <c r="A8855" t="s">
        <v>59</v>
      </c>
      <c r="B8855" t="s">
        <v>60</v>
      </c>
      <c r="C8855" t="s">
        <v>32</v>
      </c>
      <c r="D8855" t="s">
        <v>953</v>
      </c>
      <c r="F8855" t="s">
        <v>35</v>
      </c>
      <c r="G8855" t="s">
        <v>35</v>
      </c>
      <c r="H8855" t="s">
        <v>35</v>
      </c>
      <c r="J8855" t="s">
        <v>7945</v>
      </c>
      <c r="K8855" t="s">
        <v>1092</v>
      </c>
      <c r="M8855">
        <v>2.5</v>
      </c>
      <c r="N8855">
        <v>52</v>
      </c>
      <c r="O8855" t="s">
        <v>52</v>
      </c>
      <c r="Q8855" t="s">
        <v>84</v>
      </c>
      <c r="R8855" t="s">
        <v>6709</v>
      </c>
      <c r="S8855" t="s">
        <v>1022</v>
      </c>
      <c r="T8855" t="s">
        <v>1023</v>
      </c>
    </row>
    <row r="8856" spans="1:20" x14ac:dyDescent="0.25">
      <c r="A8856" t="s">
        <v>44</v>
      </c>
      <c r="B8856" t="s">
        <v>3</v>
      </c>
      <c r="C8856" t="s">
        <v>32</v>
      </c>
      <c r="D8856" t="s">
        <v>953</v>
      </c>
      <c r="F8856" t="s">
        <v>35</v>
      </c>
      <c r="G8856" t="s">
        <v>35</v>
      </c>
      <c r="H8856" t="s">
        <v>35</v>
      </c>
      <c r="J8856" t="s">
        <v>7945</v>
      </c>
      <c r="K8856" t="s">
        <v>1092</v>
      </c>
      <c r="M8856">
        <v>2.5</v>
      </c>
      <c r="N8856">
        <v>55</v>
      </c>
      <c r="O8856" t="s">
        <v>52</v>
      </c>
      <c r="Q8856" t="s">
        <v>90</v>
      </c>
      <c r="R8856" t="s">
        <v>6709</v>
      </c>
      <c r="S8856" t="s">
        <v>1022</v>
      </c>
      <c r="T8856" t="s">
        <v>1023</v>
      </c>
    </row>
    <row r="8857" spans="1:20" x14ac:dyDescent="0.25">
      <c r="A8857" t="s">
        <v>30</v>
      </c>
      <c r="B8857" t="s">
        <v>31</v>
      </c>
      <c r="C8857" t="s">
        <v>32</v>
      </c>
      <c r="D8857" t="s">
        <v>953</v>
      </c>
      <c r="F8857" t="s">
        <v>35</v>
      </c>
      <c r="G8857" t="s">
        <v>35</v>
      </c>
      <c r="H8857" t="s">
        <v>35</v>
      </c>
      <c r="J8857" t="s">
        <v>7945</v>
      </c>
      <c r="K8857" t="s">
        <v>1092</v>
      </c>
      <c r="M8857">
        <v>0.13500000000000001</v>
      </c>
      <c r="N8857">
        <v>270</v>
      </c>
      <c r="O8857" t="s">
        <v>5</v>
      </c>
      <c r="Q8857" t="s">
        <v>5812</v>
      </c>
      <c r="R8857" t="s">
        <v>6709</v>
      </c>
      <c r="S8857" t="s">
        <v>1022</v>
      </c>
      <c r="T8857" t="s">
        <v>1023</v>
      </c>
    </row>
    <row r="8858" spans="1:20" x14ac:dyDescent="0.25">
      <c r="A8858" t="s">
        <v>59</v>
      </c>
      <c r="B8858" t="s">
        <v>60</v>
      </c>
      <c r="C8858" t="s">
        <v>32</v>
      </c>
      <c r="D8858" t="s">
        <v>953</v>
      </c>
      <c r="E8858" t="s">
        <v>968</v>
      </c>
      <c r="F8858" t="s">
        <v>35</v>
      </c>
      <c r="G8858" t="s">
        <v>35</v>
      </c>
      <c r="H8858" t="s">
        <v>35</v>
      </c>
      <c r="J8858" t="s">
        <v>6991</v>
      </c>
      <c r="K8858" t="s">
        <v>1092</v>
      </c>
      <c r="M8858">
        <v>2</v>
      </c>
      <c r="N8858">
        <v>72</v>
      </c>
      <c r="O8858" t="s">
        <v>61</v>
      </c>
      <c r="Q8858" t="s">
        <v>1156</v>
      </c>
      <c r="R8858" t="s">
        <v>6709</v>
      </c>
      <c r="S8858" t="s">
        <v>1022</v>
      </c>
      <c r="T8858" t="s">
        <v>1023</v>
      </c>
    </row>
    <row r="8859" spans="1:20" x14ac:dyDescent="0.25">
      <c r="A8859" t="s">
        <v>59</v>
      </c>
      <c r="B8859" t="s">
        <v>60</v>
      </c>
      <c r="C8859" t="s">
        <v>32</v>
      </c>
      <c r="D8859" t="s">
        <v>953</v>
      </c>
      <c r="E8859" t="s">
        <v>968</v>
      </c>
      <c r="F8859" t="s">
        <v>35</v>
      </c>
      <c r="G8859" t="s">
        <v>35</v>
      </c>
      <c r="H8859" t="s">
        <v>35</v>
      </c>
      <c r="J8859" t="s">
        <v>6991</v>
      </c>
      <c r="K8859" t="s">
        <v>1092</v>
      </c>
      <c r="M8859">
        <v>5</v>
      </c>
      <c r="N8859">
        <v>53</v>
      </c>
      <c r="O8859" t="s">
        <v>52</v>
      </c>
      <c r="Q8859" t="s">
        <v>1734</v>
      </c>
      <c r="R8859" t="s">
        <v>6709</v>
      </c>
      <c r="S8859" t="s">
        <v>1022</v>
      </c>
      <c r="T8859" t="s">
        <v>1023</v>
      </c>
    </row>
    <row r="8860" spans="1:20" x14ac:dyDescent="0.25">
      <c r="A8860" t="s">
        <v>59</v>
      </c>
      <c r="B8860" t="s">
        <v>31</v>
      </c>
      <c r="C8860" t="s">
        <v>32</v>
      </c>
      <c r="D8860" t="s">
        <v>953</v>
      </c>
      <c r="E8860" t="s">
        <v>968</v>
      </c>
      <c r="F8860" t="s">
        <v>35</v>
      </c>
      <c r="G8860" t="s">
        <v>35</v>
      </c>
      <c r="H8860" t="s">
        <v>35</v>
      </c>
      <c r="J8860" t="s">
        <v>6991</v>
      </c>
      <c r="K8860" t="s">
        <v>1092</v>
      </c>
      <c r="M8860">
        <v>2.4750000000000001</v>
      </c>
      <c r="N8860">
        <v>53</v>
      </c>
      <c r="O8860" t="s">
        <v>52</v>
      </c>
      <c r="Q8860" t="s">
        <v>1734</v>
      </c>
      <c r="R8860" t="s">
        <v>6709</v>
      </c>
      <c r="S8860" t="s">
        <v>1022</v>
      </c>
      <c r="T8860" t="s">
        <v>1023</v>
      </c>
    </row>
    <row r="8861" spans="1:20" x14ac:dyDescent="0.25">
      <c r="A8861" t="s">
        <v>44</v>
      </c>
      <c r="B8861" t="s">
        <v>3</v>
      </c>
      <c r="C8861" t="s">
        <v>32</v>
      </c>
      <c r="D8861" t="s">
        <v>953</v>
      </c>
      <c r="E8861" t="s">
        <v>968</v>
      </c>
      <c r="F8861" t="s">
        <v>35</v>
      </c>
      <c r="G8861" t="s">
        <v>35</v>
      </c>
      <c r="H8861" t="s">
        <v>35</v>
      </c>
      <c r="J8861" t="s">
        <v>6991</v>
      </c>
      <c r="K8861" t="s">
        <v>1092</v>
      </c>
      <c r="M8861">
        <v>5</v>
      </c>
      <c r="N8861">
        <v>55</v>
      </c>
      <c r="O8861" t="s">
        <v>52</v>
      </c>
      <c r="Q8861" t="s">
        <v>90</v>
      </c>
      <c r="R8861" t="s">
        <v>6709</v>
      </c>
      <c r="S8861" t="s">
        <v>1022</v>
      </c>
      <c r="T8861" t="s">
        <v>1023</v>
      </c>
    </row>
    <row r="8862" spans="1:20" x14ac:dyDescent="0.25">
      <c r="A8862" t="s">
        <v>59</v>
      </c>
      <c r="B8862" t="s">
        <v>60</v>
      </c>
      <c r="C8862" t="s">
        <v>32</v>
      </c>
      <c r="D8862" t="s">
        <v>953</v>
      </c>
      <c r="E8862" t="s">
        <v>968</v>
      </c>
      <c r="F8862" t="s">
        <v>35</v>
      </c>
      <c r="G8862" t="s">
        <v>35</v>
      </c>
      <c r="H8862" t="s">
        <v>35</v>
      </c>
      <c r="J8862" t="s">
        <v>6991</v>
      </c>
      <c r="K8862" t="s">
        <v>1092</v>
      </c>
      <c r="M8862">
        <v>1</v>
      </c>
      <c r="N8862">
        <v>47</v>
      </c>
      <c r="O8862" t="s">
        <v>52</v>
      </c>
      <c r="Q8862" t="s">
        <v>1207</v>
      </c>
      <c r="R8862" t="s">
        <v>6709</v>
      </c>
      <c r="S8862" t="s">
        <v>1022</v>
      </c>
      <c r="T8862" t="s">
        <v>1023</v>
      </c>
    </row>
    <row r="8863" spans="1:20" x14ac:dyDescent="0.25">
      <c r="A8863" t="s">
        <v>59</v>
      </c>
      <c r="B8863" t="s">
        <v>60</v>
      </c>
      <c r="C8863" t="s">
        <v>32</v>
      </c>
      <c r="D8863" t="s">
        <v>953</v>
      </c>
      <c r="E8863" t="s">
        <v>1007</v>
      </c>
      <c r="F8863" t="s">
        <v>35</v>
      </c>
      <c r="G8863" t="s">
        <v>35</v>
      </c>
      <c r="H8863" t="s">
        <v>35</v>
      </c>
      <c r="J8863" t="s">
        <v>7325</v>
      </c>
      <c r="K8863" t="s">
        <v>1092</v>
      </c>
      <c r="M8863">
        <v>0.8</v>
      </c>
      <c r="N8863">
        <v>133</v>
      </c>
      <c r="O8863" t="s">
        <v>38</v>
      </c>
      <c r="Q8863" t="s">
        <v>609</v>
      </c>
      <c r="R8863" t="s">
        <v>6709</v>
      </c>
      <c r="S8863" t="s">
        <v>1022</v>
      </c>
      <c r="T8863" t="s">
        <v>1023</v>
      </c>
    </row>
    <row r="8864" spans="1:20" x14ac:dyDescent="0.25">
      <c r="A8864" t="s">
        <v>59</v>
      </c>
      <c r="B8864" t="s">
        <v>60</v>
      </c>
      <c r="C8864" t="s">
        <v>32</v>
      </c>
      <c r="D8864" t="s">
        <v>953</v>
      </c>
      <c r="E8864" t="s">
        <v>1077</v>
      </c>
      <c r="F8864" t="s">
        <v>35</v>
      </c>
      <c r="G8864" t="s">
        <v>35</v>
      </c>
      <c r="H8864" t="s">
        <v>35</v>
      </c>
      <c r="J8864" t="s">
        <v>7685</v>
      </c>
      <c r="K8864" t="s">
        <v>1092</v>
      </c>
      <c r="M8864">
        <v>0.85</v>
      </c>
      <c r="N8864">
        <v>766</v>
      </c>
      <c r="O8864" t="s">
        <v>575</v>
      </c>
      <c r="Q8864" t="s">
        <v>7686</v>
      </c>
      <c r="R8864" t="s">
        <v>6709</v>
      </c>
      <c r="S8864" t="s">
        <v>1022</v>
      </c>
      <c r="T8864" t="s">
        <v>1023</v>
      </c>
    </row>
    <row r="8865" spans="1:20" x14ac:dyDescent="0.25">
      <c r="A8865" t="s">
        <v>30</v>
      </c>
      <c r="B8865" t="s">
        <v>31</v>
      </c>
      <c r="C8865" t="s">
        <v>32</v>
      </c>
      <c r="D8865" t="s">
        <v>953</v>
      </c>
      <c r="E8865" t="s">
        <v>968</v>
      </c>
      <c r="F8865" t="s">
        <v>35</v>
      </c>
      <c r="G8865" t="s">
        <v>35</v>
      </c>
      <c r="H8865" t="s">
        <v>35</v>
      </c>
      <c r="J8865" t="s">
        <v>7033</v>
      </c>
      <c r="K8865" t="s">
        <v>1092</v>
      </c>
      <c r="M8865">
        <v>9.99</v>
      </c>
      <c r="N8865">
        <v>12</v>
      </c>
      <c r="O8865" t="s">
        <v>46</v>
      </c>
      <c r="Q8865" t="s">
        <v>1192</v>
      </c>
      <c r="R8865" t="s">
        <v>6709</v>
      </c>
      <c r="S8865" t="s">
        <v>1022</v>
      </c>
      <c r="T8865" t="s">
        <v>1023</v>
      </c>
    </row>
    <row r="8866" spans="1:20" x14ac:dyDescent="0.25">
      <c r="A8866" t="s">
        <v>59</v>
      </c>
      <c r="B8866" t="s">
        <v>31</v>
      </c>
      <c r="C8866" t="s">
        <v>32</v>
      </c>
      <c r="D8866" t="s">
        <v>953</v>
      </c>
      <c r="F8866" t="s">
        <v>35</v>
      </c>
      <c r="G8866" t="s">
        <v>35</v>
      </c>
      <c r="H8866" t="s">
        <v>35</v>
      </c>
      <c r="J8866" t="s">
        <v>7888</v>
      </c>
      <c r="K8866" t="s">
        <v>1092</v>
      </c>
      <c r="M8866">
        <v>5.94</v>
      </c>
      <c r="N8866">
        <v>1231</v>
      </c>
      <c r="O8866" t="s">
        <v>575</v>
      </c>
      <c r="Q8866" t="s">
        <v>4116</v>
      </c>
      <c r="R8866" t="s">
        <v>6709</v>
      </c>
      <c r="S8866" t="s">
        <v>1022</v>
      </c>
      <c r="T8866" t="s">
        <v>1023</v>
      </c>
    </row>
    <row r="8867" spans="1:20" x14ac:dyDescent="0.25">
      <c r="A8867" t="s">
        <v>59</v>
      </c>
      <c r="B8867" t="s">
        <v>31</v>
      </c>
      <c r="C8867" t="s">
        <v>32</v>
      </c>
      <c r="D8867" t="s">
        <v>953</v>
      </c>
      <c r="E8867" t="s">
        <v>980</v>
      </c>
      <c r="F8867" t="s">
        <v>35</v>
      </c>
      <c r="G8867" t="s">
        <v>35</v>
      </c>
      <c r="H8867" t="s">
        <v>35</v>
      </c>
      <c r="J8867" t="s">
        <v>7095</v>
      </c>
      <c r="K8867" t="s">
        <v>1092</v>
      </c>
      <c r="M8867">
        <v>1.44</v>
      </c>
      <c r="N8867">
        <v>100</v>
      </c>
      <c r="O8867" t="s">
        <v>106</v>
      </c>
      <c r="Q8867" t="s">
        <v>1621</v>
      </c>
      <c r="R8867" t="s">
        <v>6709</v>
      </c>
      <c r="S8867" t="s">
        <v>1022</v>
      </c>
      <c r="T8867" t="s">
        <v>1023</v>
      </c>
    </row>
    <row r="8868" spans="1:20" x14ac:dyDescent="0.25">
      <c r="A8868" t="s">
        <v>30</v>
      </c>
      <c r="B8868" t="s">
        <v>31</v>
      </c>
      <c r="C8868" t="s">
        <v>32</v>
      </c>
      <c r="D8868" t="s">
        <v>953</v>
      </c>
      <c r="E8868" t="s">
        <v>1077</v>
      </c>
      <c r="F8868" t="s">
        <v>35</v>
      </c>
      <c r="G8868" t="s">
        <v>35</v>
      </c>
      <c r="H8868" t="s">
        <v>35</v>
      </c>
      <c r="J8868" t="s">
        <v>7726</v>
      </c>
      <c r="K8868" t="s">
        <v>1092</v>
      </c>
      <c r="M8868">
        <v>7.6950000000000003</v>
      </c>
      <c r="N8868">
        <v>38</v>
      </c>
      <c r="O8868" t="s">
        <v>52</v>
      </c>
      <c r="Q8868" t="s">
        <v>716</v>
      </c>
      <c r="R8868" t="s">
        <v>6709</v>
      </c>
      <c r="S8868" t="s">
        <v>1022</v>
      </c>
      <c r="T8868" t="s">
        <v>1023</v>
      </c>
    </row>
    <row r="8869" spans="1:20" x14ac:dyDescent="0.25">
      <c r="A8869" t="s">
        <v>44</v>
      </c>
      <c r="B8869" t="s">
        <v>3</v>
      </c>
      <c r="C8869" t="s">
        <v>32</v>
      </c>
      <c r="D8869" t="s">
        <v>953</v>
      </c>
      <c r="E8869" t="s">
        <v>1077</v>
      </c>
      <c r="F8869" t="s">
        <v>35</v>
      </c>
      <c r="G8869" t="s">
        <v>35</v>
      </c>
      <c r="H8869" t="s">
        <v>35</v>
      </c>
      <c r="J8869" t="s">
        <v>7726</v>
      </c>
      <c r="K8869" t="s">
        <v>1092</v>
      </c>
      <c r="M8869">
        <v>1.6</v>
      </c>
      <c r="N8869">
        <v>55</v>
      </c>
      <c r="O8869" t="s">
        <v>52</v>
      </c>
      <c r="Q8869" t="s">
        <v>90</v>
      </c>
      <c r="R8869" t="s">
        <v>6709</v>
      </c>
      <c r="S8869" t="s">
        <v>1022</v>
      </c>
      <c r="T8869" t="s">
        <v>1023</v>
      </c>
    </row>
    <row r="8870" spans="1:20" x14ac:dyDescent="0.25">
      <c r="A8870" t="s">
        <v>59</v>
      </c>
      <c r="B8870" t="s">
        <v>31</v>
      </c>
      <c r="C8870" t="s">
        <v>32</v>
      </c>
      <c r="D8870" t="s">
        <v>953</v>
      </c>
      <c r="E8870" t="s">
        <v>7467</v>
      </c>
      <c r="F8870" t="s">
        <v>35</v>
      </c>
      <c r="G8870" t="s">
        <v>35</v>
      </c>
      <c r="H8870" t="s">
        <v>35</v>
      </c>
      <c r="J8870" t="s">
        <v>7473</v>
      </c>
      <c r="K8870" t="s">
        <v>1092</v>
      </c>
      <c r="M8870">
        <v>0.99</v>
      </c>
      <c r="N8870">
        <v>47</v>
      </c>
      <c r="O8870" t="s">
        <v>52</v>
      </c>
      <c r="Q8870" t="s">
        <v>1207</v>
      </c>
      <c r="R8870" t="s">
        <v>6709</v>
      </c>
      <c r="S8870" t="s">
        <v>1022</v>
      </c>
      <c r="T8870" t="s">
        <v>1023</v>
      </c>
    </row>
    <row r="8871" spans="1:20" x14ac:dyDescent="0.25">
      <c r="A8871" t="s">
        <v>59</v>
      </c>
      <c r="B8871" t="s">
        <v>60</v>
      </c>
      <c r="C8871" t="s">
        <v>32</v>
      </c>
      <c r="D8871" t="s">
        <v>953</v>
      </c>
      <c r="E8871" t="s">
        <v>954</v>
      </c>
      <c r="F8871" t="s">
        <v>35</v>
      </c>
      <c r="G8871" t="s">
        <v>35</v>
      </c>
      <c r="H8871" t="s">
        <v>35</v>
      </c>
      <c r="J8871" t="s">
        <v>6710</v>
      </c>
      <c r="K8871" t="s">
        <v>1092</v>
      </c>
      <c r="M8871">
        <v>0.1</v>
      </c>
      <c r="N8871">
        <v>245</v>
      </c>
      <c r="O8871" t="s">
        <v>5</v>
      </c>
      <c r="Q8871" t="s">
        <v>1222</v>
      </c>
      <c r="R8871" t="s">
        <v>6709</v>
      </c>
      <c r="S8871" t="s">
        <v>1022</v>
      </c>
      <c r="T8871" t="s">
        <v>1023</v>
      </c>
    </row>
    <row r="8872" spans="1:20" x14ac:dyDescent="0.25">
      <c r="A8872" t="s">
        <v>30</v>
      </c>
      <c r="B8872" t="s">
        <v>31</v>
      </c>
      <c r="C8872" t="s">
        <v>32</v>
      </c>
      <c r="D8872" t="s">
        <v>953</v>
      </c>
      <c r="E8872" t="s">
        <v>980</v>
      </c>
      <c r="F8872" t="s">
        <v>35</v>
      </c>
      <c r="G8872" t="s">
        <v>35</v>
      </c>
      <c r="H8872" t="s">
        <v>35</v>
      </c>
      <c r="J8872" t="s">
        <v>7134</v>
      </c>
      <c r="K8872" t="s">
        <v>1092</v>
      </c>
      <c r="M8872">
        <v>5.49</v>
      </c>
      <c r="N8872">
        <v>35</v>
      </c>
      <c r="O8872" t="s">
        <v>52</v>
      </c>
      <c r="Q8872" t="s">
        <v>991</v>
      </c>
      <c r="R8872" t="s">
        <v>6709</v>
      </c>
      <c r="S8872" t="s">
        <v>1022</v>
      </c>
      <c r="T8872" t="s">
        <v>1023</v>
      </c>
    </row>
    <row r="8873" spans="1:20" x14ac:dyDescent="0.25">
      <c r="A8873" t="s">
        <v>44</v>
      </c>
      <c r="B8873" t="s">
        <v>3</v>
      </c>
      <c r="C8873" t="s">
        <v>32</v>
      </c>
      <c r="D8873" t="s">
        <v>953</v>
      </c>
      <c r="E8873" t="s">
        <v>1015</v>
      </c>
      <c r="F8873" t="s">
        <v>35</v>
      </c>
      <c r="G8873" t="s">
        <v>35</v>
      </c>
      <c r="H8873" t="s">
        <v>35</v>
      </c>
      <c r="J8873" t="s">
        <v>7396</v>
      </c>
      <c r="K8873" t="s">
        <v>1092</v>
      </c>
      <c r="M8873">
        <v>0.8</v>
      </c>
      <c r="N8873">
        <v>52</v>
      </c>
      <c r="O8873" t="s">
        <v>52</v>
      </c>
      <c r="Q8873" t="s">
        <v>84</v>
      </c>
      <c r="R8873" t="s">
        <v>6709</v>
      </c>
      <c r="S8873" t="s">
        <v>1022</v>
      </c>
      <c r="T8873" t="s">
        <v>1023</v>
      </c>
    </row>
    <row r="8874" spans="1:20" x14ac:dyDescent="0.25">
      <c r="A8874" t="s">
        <v>59</v>
      </c>
      <c r="B8874" t="s">
        <v>60</v>
      </c>
      <c r="C8874" t="s">
        <v>32</v>
      </c>
      <c r="D8874" t="s">
        <v>953</v>
      </c>
      <c r="E8874" t="s">
        <v>7558</v>
      </c>
      <c r="F8874" t="s">
        <v>35</v>
      </c>
      <c r="G8874" t="s">
        <v>35</v>
      </c>
      <c r="H8874" t="s">
        <v>35</v>
      </c>
      <c r="J8874" t="s">
        <v>7616</v>
      </c>
      <c r="K8874" t="s">
        <v>1092</v>
      </c>
      <c r="M8874">
        <v>2.5</v>
      </c>
      <c r="N8874">
        <v>75</v>
      </c>
      <c r="O8874" t="s">
        <v>61</v>
      </c>
      <c r="Q8874" t="s">
        <v>447</v>
      </c>
      <c r="R8874" t="s">
        <v>6709</v>
      </c>
      <c r="S8874" t="s">
        <v>1022</v>
      </c>
      <c r="T8874" t="s">
        <v>1023</v>
      </c>
    </row>
    <row r="8875" spans="1:20" x14ac:dyDescent="0.25">
      <c r="A8875" t="s">
        <v>59</v>
      </c>
      <c r="B8875" t="s">
        <v>31</v>
      </c>
      <c r="C8875" t="s">
        <v>32</v>
      </c>
      <c r="D8875" t="s">
        <v>953</v>
      </c>
      <c r="E8875" t="s">
        <v>7558</v>
      </c>
      <c r="F8875" t="s">
        <v>35</v>
      </c>
      <c r="G8875" t="s">
        <v>35</v>
      </c>
      <c r="H8875" t="s">
        <v>35</v>
      </c>
      <c r="J8875" t="s">
        <v>7616</v>
      </c>
      <c r="K8875" t="s">
        <v>1092</v>
      </c>
      <c r="M8875">
        <v>4.32</v>
      </c>
      <c r="N8875">
        <v>75</v>
      </c>
      <c r="O8875" t="s">
        <v>61</v>
      </c>
      <c r="Q8875" t="s">
        <v>447</v>
      </c>
      <c r="R8875" t="s">
        <v>6709</v>
      </c>
      <c r="S8875" t="s">
        <v>1022</v>
      </c>
      <c r="T8875" t="s">
        <v>1023</v>
      </c>
    </row>
    <row r="8876" spans="1:20" x14ac:dyDescent="0.25">
      <c r="A8876" t="s">
        <v>44</v>
      </c>
      <c r="B8876" t="s">
        <v>3</v>
      </c>
      <c r="C8876" t="s">
        <v>32</v>
      </c>
      <c r="D8876" t="s">
        <v>953</v>
      </c>
      <c r="E8876" t="s">
        <v>1015</v>
      </c>
      <c r="F8876" t="s">
        <v>35</v>
      </c>
      <c r="G8876" t="s">
        <v>35</v>
      </c>
      <c r="H8876" t="s">
        <v>35</v>
      </c>
      <c r="J8876" t="s">
        <v>7458</v>
      </c>
      <c r="K8876" t="s">
        <v>1092</v>
      </c>
      <c r="M8876">
        <v>5</v>
      </c>
      <c r="N8876">
        <v>51</v>
      </c>
      <c r="O8876" t="s">
        <v>52</v>
      </c>
      <c r="Q8876" t="s">
        <v>58</v>
      </c>
      <c r="R8876" t="s">
        <v>6709</v>
      </c>
      <c r="S8876" t="s">
        <v>1022</v>
      </c>
      <c r="T8876" t="s">
        <v>1023</v>
      </c>
    </row>
    <row r="8877" spans="1:20" x14ac:dyDescent="0.25">
      <c r="A8877" t="s">
        <v>59</v>
      </c>
      <c r="B8877" t="s">
        <v>60</v>
      </c>
      <c r="C8877" t="s">
        <v>32</v>
      </c>
      <c r="D8877" t="s">
        <v>953</v>
      </c>
      <c r="E8877" t="s">
        <v>1077</v>
      </c>
      <c r="F8877" t="s">
        <v>35</v>
      </c>
      <c r="G8877" t="s">
        <v>35</v>
      </c>
      <c r="H8877" t="s">
        <v>35</v>
      </c>
      <c r="J8877" t="s">
        <v>7645</v>
      </c>
      <c r="K8877" t="s">
        <v>1092</v>
      </c>
      <c r="M8877">
        <v>2</v>
      </c>
      <c r="N8877">
        <v>249</v>
      </c>
      <c r="O8877" t="s">
        <v>5</v>
      </c>
      <c r="Q8877" t="s">
        <v>4299</v>
      </c>
      <c r="R8877" t="s">
        <v>6709</v>
      </c>
      <c r="S8877" t="s">
        <v>1022</v>
      </c>
      <c r="T8877" t="s">
        <v>1023</v>
      </c>
    </row>
    <row r="8878" spans="1:20" x14ac:dyDescent="0.25">
      <c r="A8878" t="s">
        <v>59</v>
      </c>
      <c r="B8878" t="s">
        <v>60</v>
      </c>
      <c r="C8878" t="s">
        <v>32</v>
      </c>
      <c r="D8878" t="s">
        <v>953</v>
      </c>
      <c r="E8878" t="s">
        <v>1015</v>
      </c>
      <c r="F8878" t="s">
        <v>35</v>
      </c>
      <c r="G8878" t="s">
        <v>35</v>
      </c>
      <c r="H8878" t="s">
        <v>35</v>
      </c>
      <c r="J8878" t="s">
        <v>7464</v>
      </c>
      <c r="K8878" t="s">
        <v>1092</v>
      </c>
      <c r="M8878">
        <v>2</v>
      </c>
      <c r="N8878">
        <v>84</v>
      </c>
      <c r="O8878" t="s">
        <v>61</v>
      </c>
      <c r="Q8878" t="s">
        <v>1147</v>
      </c>
      <c r="R8878" t="s">
        <v>6709</v>
      </c>
      <c r="S8878" t="s">
        <v>1022</v>
      </c>
      <c r="T8878" t="s">
        <v>1023</v>
      </c>
    </row>
    <row r="8879" spans="1:20" x14ac:dyDescent="0.25">
      <c r="A8879" t="s">
        <v>59</v>
      </c>
      <c r="B8879" t="s">
        <v>31</v>
      </c>
      <c r="C8879" t="s">
        <v>32</v>
      </c>
      <c r="D8879" t="s">
        <v>953</v>
      </c>
      <c r="E8879" t="s">
        <v>954</v>
      </c>
      <c r="F8879" t="s">
        <v>35</v>
      </c>
      <c r="G8879" t="s">
        <v>35</v>
      </c>
      <c r="H8879" t="s">
        <v>35</v>
      </c>
      <c r="J8879" t="s">
        <v>6872</v>
      </c>
      <c r="K8879" t="s">
        <v>1092</v>
      </c>
      <c r="M8879">
        <v>7.47</v>
      </c>
      <c r="N8879">
        <v>38</v>
      </c>
      <c r="O8879" t="s">
        <v>52</v>
      </c>
      <c r="Q8879" t="s">
        <v>716</v>
      </c>
      <c r="R8879" t="s">
        <v>6709</v>
      </c>
      <c r="S8879" t="s">
        <v>1022</v>
      </c>
      <c r="T8879" t="s">
        <v>1023</v>
      </c>
    </row>
    <row r="8880" spans="1:20" x14ac:dyDescent="0.25">
      <c r="A8880" t="s">
        <v>59</v>
      </c>
      <c r="B8880" t="s">
        <v>60</v>
      </c>
      <c r="C8880" t="s">
        <v>32</v>
      </c>
      <c r="D8880" t="s">
        <v>953</v>
      </c>
      <c r="E8880" t="s">
        <v>1077</v>
      </c>
      <c r="F8880" t="s">
        <v>35</v>
      </c>
      <c r="G8880" t="s">
        <v>35</v>
      </c>
      <c r="H8880" t="s">
        <v>35</v>
      </c>
      <c r="J8880" t="s">
        <v>7733</v>
      </c>
      <c r="K8880" t="s">
        <v>1092</v>
      </c>
      <c r="M8880">
        <v>2.5499999999999998</v>
      </c>
      <c r="N8880">
        <v>75</v>
      </c>
      <c r="O8880" t="s">
        <v>61</v>
      </c>
      <c r="Q8880" t="s">
        <v>447</v>
      </c>
      <c r="R8880" t="s">
        <v>6709</v>
      </c>
      <c r="S8880" t="s">
        <v>1022</v>
      </c>
      <c r="T8880" t="s">
        <v>1023</v>
      </c>
    </row>
    <row r="8881" spans="1:20" x14ac:dyDescent="0.25">
      <c r="A8881" t="s">
        <v>59</v>
      </c>
      <c r="B8881" t="s">
        <v>60</v>
      </c>
      <c r="C8881" t="s">
        <v>32</v>
      </c>
      <c r="D8881" t="s">
        <v>953</v>
      </c>
      <c r="E8881" t="s">
        <v>6878</v>
      </c>
      <c r="F8881" t="s">
        <v>35</v>
      </c>
      <c r="G8881" t="s">
        <v>35</v>
      </c>
      <c r="H8881" t="s">
        <v>35</v>
      </c>
      <c r="J8881" t="s">
        <v>6937</v>
      </c>
      <c r="K8881" t="s">
        <v>1092</v>
      </c>
      <c r="M8881">
        <v>7.55</v>
      </c>
      <c r="N8881">
        <v>131</v>
      </c>
      <c r="O8881" t="s">
        <v>38</v>
      </c>
      <c r="Q8881" t="s">
        <v>542</v>
      </c>
      <c r="R8881" t="s">
        <v>6709</v>
      </c>
      <c r="S8881" t="s">
        <v>1022</v>
      </c>
      <c r="T8881" t="s">
        <v>1023</v>
      </c>
    </row>
    <row r="8882" spans="1:20" x14ac:dyDescent="0.25">
      <c r="A8882" t="s">
        <v>59</v>
      </c>
      <c r="B8882" t="s">
        <v>60</v>
      </c>
      <c r="C8882" t="s">
        <v>32</v>
      </c>
      <c r="D8882" t="s">
        <v>953</v>
      </c>
      <c r="E8882" t="s">
        <v>968</v>
      </c>
      <c r="F8882" t="s">
        <v>35</v>
      </c>
      <c r="G8882" t="s">
        <v>35</v>
      </c>
      <c r="H8882" t="s">
        <v>35</v>
      </c>
      <c r="J8882" t="s">
        <v>7016</v>
      </c>
      <c r="K8882" t="s">
        <v>1092</v>
      </c>
      <c r="M8882">
        <v>0.5</v>
      </c>
      <c r="N8882">
        <v>84</v>
      </c>
      <c r="O8882" t="s">
        <v>61</v>
      </c>
      <c r="Q8882" t="s">
        <v>1147</v>
      </c>
      <c r="R8882" t="s">
        <v>6709</v>
      </c>
      <c r="S8882" t="s">
        <v>1022</v>
      </c>
      <c r="T8882" t="s">
        <v>1023</v>
      </c>
    </row>
    <row r="8883" spans="1:20" x14ac:dyDescent="0.25">
      <c r="A8883" t="s">
        <v>59</v>
      </c>
      <c r="B8883" t="s">
        <v>60</v>
      </c>
      <c r="C8883" t="s">
        <v>32</v>
      </c>
      <c r="D8883" t="s">
        <v>953</v>
      </c>
      <c r="E8883" t="s">
        <v>968</v>
      </c>
      <c r="F8883" t="s">
        <v>35</v>
      </c>
      <c r="G8883" t="s">
        <v>35</v>
      </c>
      <c r="H8883" t="s">
        <v>35</v>
      </c>
      <c r="J8883" t="s">
        <v>7016</v>
      </c>
      <c r="K8883" t="s">
        <v>1092</v>
      </c>
      <c r="M8883">
        <v>1.5</v>
      </c>
      <c r="N8883">
        <v>72</v>
      </c>
      <c r="O8883" t="s">
        <v>61</v>
      </c>
      <c r="Q8883" t="s">
        <v>1156</v>
      </c>
      <c r="R8883" t="s">
        <v>6709</v>
      </c>
      <c r="S8883" t="s">
        <v>1022</v>
      </c>
      <c r="T8883" t="s">
        <v>1023</v>
      </c>
    </row>
    <row r="8884" spans="1:20" x14ac:dyDescent="0.25">
      <c r="A8884" t="s">
        <v>44</v>
      </c>
      <c r="B8884" t="s">
        <v>3</v>
      </c>
      <c r="C8884" t="s">
        <v>32</v>
      </c>
      <c r="D8884" t="s">
        <v>953</v>
      </c>
      <c r="E8884" t="s">
        <v>968</v>
      </c>
      <c r="F8884" t="s">
        <v>35</v>
      </c>
      <c r="G8884" t="s">
        <v>35</v>
      </c>
      <c r="H8884" t="s">
        <v>35</v>
      </c>
      <c r="J8884" t="s">
        <v>7016</v>
      </c>
      <c r="K8884" t="s">
        <v>1092</v>
      </c>
      <c r="M8884">
        <v>5</v>
      </c>
      <c r="N8884">
        <v>55</v>
      </c>
      <c r="O8884" t="s">
        <v>52</v>
      </c>
      <c r="Q8884" t="s">
        <v>90</v>
      </c>
      <c r="R8884" t="s">
        <v>6709</v>
      </c>
      <c r="S8884" t="s">
        <v>1022</v>
      </c>
      <c r="T8884" t="s">
        <v>1023</v>
      </c>
    </row>
    <row r="8885" spans="1:20" x14ac:dyDescent="0.25">
      <c r="A8885" t="s">
        <v>59</v>
      </c>
      <c r="B8885" t="s">
        <v>60</v>
      </c>
      <c r="C8885" t="s">
        <v>32</v>
      </c>
      <c r="D8885" t="s">
        <v>953</v>
      </c>
      <c r="E8885" t="s">
        <v>1077</v>
      </c>
      <c r="F8885" t="s">
        <v>35</v>
      </c>
      <c r="G8885" t="s">
        <v>35</v>
      </c>
      <c r="H8885" t="s">
        <v>35</v>
      </c>
      <c r="J8885" t="s">
        <v>7650</v>
      </c>
      <c r="K8885" t="s">
        <v>1092</v>
      </c>
      <c r="M8885">
        <v>1.2509999999999999</v>
      </c>
      <c r="N8885">
        <v>322</v>
      </c>
      <c r="O8885" t="s">
        <v>5</v>
      </c>
      <c r="Q8885" t="s">
        <v>7651</v>
      </c>
      <c r="R8885" t="s">
        <v>6709</v>
      </c>
      <c r="S8885" t="s">
        <v>1022</v>
      </c>
      <c r="T8885" t="s">
        <v>1023</v>
      </c>
    </row>
    <row r="8886" spans="1:20" x14ac:dyDescent="0.25">
      <c r="A8886" t="s">
        <v>59</v>
      </c>
      <c r="B8886" t="s">
        <v>60</v>
      </c>
      <c r="C8886" t="s">
        <v>32</v>
      </c>
      <c r="D8886" t="s">
        <v>953</v>
      </c>
      <c r="E8886" t="s">
        <v>1015</v>
      </c>
      <c r="F8886" t="s">
        <v>35</v>
      </c>
      <c r="G8886" t="s">
        <v>35</v>
      </c>
      <c r="H8886" t="s">
        <v>35</v>
      </c>
      <c r="J8886" t="s">
        <v>7377</v>
      </c>
      <c r="K8886" t="s">
        <v>1092</v>
      </c>
      <c r="M8886">
        <v>1.25</v>
      </c>
      <c r="N8886">
        <v>45</v>
      </c>
      <c r="O8886" t="s">
        <v>52</v>
      </c>
      <c r="Q8886" t="s">
        <v>1230</v>
      </c>
      <c r="R8886" t="s">
        <v>6709</v>
      </c>
      <c r="S8886" t="s">
        <v>1022</v>
      </c>
      <c r="T8886" t="s">
        <v>1023</v>
      </c>
    </row>
    <row r="8887" spans="1:20" x14ac:dyDescent="0.25">
      <c r="A8887" t="s">
        <v>59</v>
      </c>
      <c r="B8887" t="s">
        <v>60</v>
      </c>
      <c r="C8887" t="s">
        <v>32</v>
      </c>
      <c r="D8887" t="s">
        <v>953</v>
      </c>
      <c r="E8887" t="s">
        <v>6878</v>
      </c>
      <c r="F8887" t="s">
        <v>35</v>
      </c>
      <c r="G8887" t="s">
        <v>35</v>
      </c>
      <c r="H8887" t="s">
        <v>35</v>
      </c>
      <c r="J8887" t="s">
        <v>6912</v>
      </c>
      <c r="K8887" t="s">
        <v>1092</v>
      </c>
      <c r="M8887">
        <v>0.8</v>
      </c>
      <c r="N8887">
        <v>163</v>
      </c>
      <c r="O8887" t="s">
        <v>38</v>
      </c>
      <c r="Q8887" t="s">
        <v>2780</v>
      </c>
      <c r="R8887" t="s">
        <v>6709</v>
      </c>
      <c r="S8887" t="s">
        <v>1022</v>
      </c>
      <c r="T8887" t="s">
        <v>1023</v>
      </c>
    </row>
    <row r="8888" spans="1:20" x14ac:dyDescent="0.25">
      <c r="A8888" t="s">
        <v>30</v>
      </c>
      <c r="B8888" t="s">
        <v>31</v>
      </c>
      <c r="C8888" t="s">
        <v>32</v>
      </c>
      <c r="D8888" t="s">
        <v>953</v>
      </c>
      <c r="E8888" t="s">
        <v>7184</v>
      </c>
      <c r="F8888" t="s">
        <v>35</v>
      </c>
      <c r="G8888" t="s">
        <v>35</v>
      </c>
      <c r="H8888" t="s">
        <v>35</v>
      </c>
      <c r="J8888" t="s">
        <v>7228</v>
      </c>
      <c r="K8888" t="s">
        <v>1092</v>
      </c>
      <c r="M8888">
        <v>0.09</v>
      </c>
      <c r="N8888">
        <v>1242</v>
      </c>
      <c r="O8888" t="s">
        <v>575</v>
      </c>
      <c r="Q8888" t="s">
        <v>3627</v>
      </c>
      <c r="R8888" t="s">
        <v>6709</v>
      </c>
      <c r="S8888" t="s">
        <v>1022</v>
      </c>
      <c r="T8888" t="s">
        <v>1023</v>
      </c>
    </row>
    <row r="8889" spans="1:20" x14ac:dyDescent="0.25">
      <c r="A8889" t="s">
        <v>30</v>
      </c>
      <c r="B8889" t="s">
        <v>31</v>
      </c>
      <c r="C8889" t="s">
        <v>32</v>
      </c>
      <c r="D8889" t="s">
        <v>953</v>
      </c>
      <c r="E8889" t="s">
        <v>7467</v>
      </c>
      <c r="F8889" t="s">
        <v>35</v>
      </c>
      <c r="G8889" t="s">
        <v>35</v>
      </c>
      <c r="H8889" t="s">
        <v>35</v>
      </c>
      <c r="J8889" t="s">
        <v>7469</v>
      </c>
      <c r="K8889" t="s">
        <v>1092</v>
      </c>
      <c r="M8889">
        <v>0.67500000000000004</v>
      </c>
      <c r="N8889">
        <v>270</v>
      </c>
      <c r="O8889" t="s">
        <v>5</v>
      </c>
      <c r="Q8889" t="s">
        <v>5812</v>
      </c>
      <c r="R8889" t="s">
        <v>6709</v>
      </c>
      <c r="S8889" t="s">
        <v>1022</v>
      </c>
      <c r="T8889" t="s">
        <v>1023</v>
      </c>
    </row>
    <row r="8890" spans="1:20" x14ac:dyDescent="0.25">
      <c r="A8890" t="s">
        <v>30</v>
      </c>
      <c r="B8890" t="s">
        <v>31</v>
      </c>
      <c r="C8890" t="s">
        <v>32</v>
      </c>
      <c r="D8890" t="s">
        <v>953</v>
      </c>
      <c r="E8890" t="s">
        <v>7184</v>
      </c>
      <c r="F8890" t="s">
        <v>35</v>
      </c>
      <c r="G8890" t="s">
        <v>35</v>
      </c>
      <c r="H8890" t="s">
        <v>35</v>
      </c>
      <c r="J8890" t="s">
        <v>7217</v>
      </c>
      <c r="K8890" t="s">
        <v>1092</v>
      </c>
      <c r="M8890">
        <v>8.8650000000000002</v>
      </c>
      <c r="N8890">
        <v>271</v>
      </c>
      <c r="O8890" t="s">
        <v>5</v>
      </c>
      <c r="Q8890" t="s">
        <v>1724</v>
      </c>
      <c r="R8890" t="s">
        <v>6709</v>
      </c>
      <c r="S8890" t="s">
        <v>1022</v>
      </c>
      <c r="T8890" t="s">
        <v>1023</v>
      </c>
    </row>
    <row r="8891" spans="1:20" x14ac:dyDescent="0.25">
      <c r="A8891" t="s">
        <v>59</v>
      </c>
      <c r="B8891" t="s">
        <v>31</v>
      </c>
      <c r="C8891" t="s">
        <v>32</v>
      </c>
      <c r="D8891" t="s">
        <v>953</v>
      </c>
      <c r="F8891" t="s">
        <v>35</v>
      </c>
      <c r="G8891" t="s">
        <v>35</v>
      </c>
      <c r="H8891" t="s">
        <v>35</v>
      </c>
      <c r="J8891" t="s">
        <v>7958</v>
      </c>
      <c r="K8891" t="s">
        <v>1092</v>
      </c>
      <c r="M8891">
        <v>3.69</v>
      </c>
      <c r="N8891">
        <v>53</v>
      </c>
      <c r="O8891" t="s">
        <v>52</v>
      </c>
      <c r="Q8891" t="s">
        <v>1734</v>
      </c>
      <c r="R8891" t="s">
        <v>6709</v>
      </c>
      <c r="S8891" t="s">
        <v>1022</v>
      </c>
      <c r="T8891" t="s">
        <v>1023</v>
      </c>
    </row>
    <row r="8892" spans="1:20" x14ac:dyDescent="0.25">
      <c r="A8892" t="s">
        <v>30</v>
      </c>
      <c r="B8892" t="s">
        <v>31</v>
      </c>
      <c r="C8892" t="s">
        <v>32</v>
      </c>
      <c r="D8892" t="s">
        <v>953</v>
      </c>
      <c r="F8892" t="s">
        <v>35</v>
      </c>
      <c r="G8892" t="s">
        <v>35</v>
      </c>
      <c r="H8892" t="s">
        <v>35</v>
      </c>
      <c r="J8892" t="s">
        <v>7890</v>
      </c>
      <c r="K8892" t="s">
        <v>1144</v>
      </c>
      <c r="M8892">
        <v>9.99</v>
      </c>
      <c r="N8892">
        <v>14</v>
      </c>
      <c r="O8892" t="s">
        <v>46</v>
      </c>
      <c r="Q8892" t="s">
        <v>1874</v>
      </c>
      <c r="R8892" t="s">
        <v>6709</v>
      </c>
      <c r="S8892" t="s">
        <v>1022</v>
      </c>
      <c r="T8892" t="s">
        <v>1023</v>
      </c>
    </row>
    <row r="8893" spans="1:20" x14ac:dyDescent="0.25">
      <c r="A8893" t="s">
        <v>59</v>
      </c>
      <c r="B8893" t="s">
        <v>31</v>
      </c>
      <c r="C8893" t="s">
        <v>32</v>
      </c>
      <c r="D8893" t="s">
        <v>953</v>
      </c>
      <c r="E8893" t="s">
        <v>7164</v>
      </c>
      <c r="F8893" t="s">
        <v>35</v>
      </c>
      <c r="G8893" t="s">
        <v>35</v>
      </c>
      <c r="H8893" t="s">
        <v>35</v>
      </c>
      <c r="J8893" t="s">
        <v>7169</v>
      </c>
      <c r="K8893" t="s">
        <v>1092</v>
      </c>
      <c r="M8893">
        <v>2.5649999999999999</v>
      </c>
      <c r="N8893">
        <v>279</v>
      </c>
      <c r="O8893" t="s">
        <v>5</v>
      </c>
      <c r="Q8893" t="s">
        <v>3945</v>
      </c>
      <c r="R8893" t="s">
        <v>6709</v>
      </c>
      <c r="S8893" t="s">
        <v>1022</v>
      </c>
      <c r="T8893" t="s">
        <v>1023</v>
      </c>
    </row>
    <row r="8894" spans="1:20" x14ac:dyDescent="0.25">
      <c r="A8894" t="s">
        <v>30</v>
      </c>
      <c r="B8894" t="s">
        <v>31</v>
      </c>
      <c r="C8894" t="s">
        <v>32</v>
      </c>
      <c r="D8894" t="s">
        <v>953</v>
      </c>
      <c r="E8894" t="s">
        <v>1072</v>
      </c>
      <c r="F8894" t="s">
        <v>35</v>
      </c>
      <c r="G8894" t="s">
        <v>35</v>
      </c>
      <c r="H8894" t="s">
        <v>35</v>
      </c>
      <c r="J8894" t="s">
        <v>7518</v>
      </c>
      <c r="K8894" t="s">
        <v>1092</v>
      </c>
      <c r="M8894">
        <v>2.2949999999999999</v>
      </c>
      <c r="N8894">
        <v>269</v>
      </c>
      <c r="O8894" t="s">
        <v>5</v>
      </c>
      <c r="Q8894" t="s">
        <v>1952</v>
      </c>
      <c r="R8894" t="s">
        <v>6709</v>
      </c>
      <c r="S8894" t="s">
        <v>1022</v>
      </c>
      <c r="T8894" t="s">
        <v>1023</v>
      </c>
    </row>
    <row r="8895" spans="1:20" x14ac:dyDescent="0.25">
      <c r="A8895" t="s">
        <v>30</v>
      </c>
      <c r="B8895" t="s">
        <v>31</v>
      </c>
      <c r="C8895" t="s">
        <v>32</v>
      </c>
      <c r="D8895" t="s">
        <v>953</v>
      </c>
      <c r="E8895" t="s">
        <v>6878</v>
      </c>
      <c r="F8895" t="s">
        <v>35</v>
      </c>
      <c r="G8895" t="s">
        <v>35</v>
      </c>
      <c r="H8895" t="s">
        <v>35</v>
      </c>
      <c r="J8895" t="s">
        <v>6956</v>
      </c>
      <c r="K8895" t="s">
        <v>1092</v>
      </c>
      <c r="M8895">
        <v>0.18</v>
      </c>
      <c r="N8895">
        <v>195</v>
      </c>
      <c r="O8895" t="s">
        <v>5</v>
      </c>
      <c r="Q8895" t="s">
        <v>1299</v>
      </c>
      <c r="R8895" t="s">
        <v>6709</v>
      </c>
      <c r="S8895" t="s">
        <v>1022</v>
      </c>
      <c r="T8895" t="s">
        <v>1023</v>
      </c>
    </row>
    <row r="8896" spans="1:20" x14ac:dyDescent="0.25">
      <c r="A8896" t="s">
        <v>59</v>
      </c>
      <c r="B8896" t="s">
        <v>60</v>
      </c>
      <c r="C8896" t="s">
        <v>32</v>
      </c>
      <c r="D8896" t="s">
        <v>953</v>
      </c>
      <c r="F8896" t="s">
        <v>35</v>
      </c>
      <c r="G8896" t="s">
        <v>35</v>
      </c>
      <c r="H8896" t="s">
        <v>35</v>
      </c>
      <c r="J8896" t="s">
        <v>7978</v>
      </c>
      <c r="K8896" t="s">
        <v>1092</v>
      </c>
      <c r="M8896">
        <v>5</v>
      </c>
      <c r="N8896">
        <v>2581</v>
      </c>
      <c r="O8896" t="s">
        <v>575</v>
      </c>
      <c r="Q8896" t="s">
        <v>7979</v>
      </c>
      <c r="R8896" t="s">
        <v>6709</v>
      </c>
      <c r="S8896" t="s">
        <v>1022</v>
      </c>
      <c r="T8896" t="s">
        <v>1023</v>
      </c>
    </row>
    <row r="8897" spans="1:20" x14ac:dyDescent="0.25">
      <c r="A8897" t="s">
        <v>59</v>
      </c>
      <c r="B8897" t="s">
        <v>31</v>
      </c>
      <c r="C8897" t="s">
        <v>32</v>
      </c>
      <c r="D8897" t="s">
        <v>953</v>
      </c>
      <c r="E8897" t="s">
        <v>6878</v>
      </c>
      <c r="F8897" t="s">
        <v>35</v>
      </c>
      <c r="G8897" t="s">
        <v>35</v>
      </c>
      <c r="H8897" t="s">
        <v>35</v>
      </c>
      <c r="J8897" t="s">
        <v>1613</v>
      </c>
      <c r="K8897" t="s">
        <v>1092</v>
      </c>
      <c r="M8897">
        <v>1.2849999999999999</v>
      </c>
      <c r="N8897">
        <v>465</v>
      </c>
      <c r="O8897" t="s">
        <v>294</v>
      </c>
      <c r="Q8897" t="s">
        <v>5151</v>
      </c>
      <c r="R8897" t="s">
        <v>6709</v>
      </c>
      <c r="S8897" t="s">
        <v>1022</v>
      </c>
      <c r="T8897" t="s">
        <v>1023</v>
      </c>
    </row>
    <row r="8898" spans="1:20" x14ac:dyDescent="0.25">
      <c r="A8898" t="s">
        <v>59</v>
      </c>
      <c r="B8898" t="s">
        <v>60</v>
      </c>
      <c r="C8898" t="s">
        <v>32</v>
      </c>
      <c r="D8898" t="s">
        <v>953</v>
      </c>
      <c r="E8898" t="s">
        <v>6878</v>
      </c>
      <c r="F8898" t="s">
        <v>35</v>
      </c>
      <c r="G8898" t="s">
        <v>35</v>
      </c>
      <c r="H8898" t="s">
        <v>35</v>
      </c>
      <c r="J8898" t="s">
        <v>1885</v>
      </c>
      <c r="K8898" t="s">
        <v>1092</v>
      </c>
      <c r="M8898">
        <v>1.25</v>
      </c>
      <c r="N8898">
        <v>52</v>
      </c>
      <c r="O8898" t="s">
        <v>52</v>
      </c>
      <c r="Q8898" t="s">
        <v>84</v>
      </c>
      <c r="R8898" t="s">
        <v>6709</v>
      </c>
      <c r="S8898" t="s">
        <v>1022</v>
      </c>
      <c r="T8898" t="s">
        <v>1023</v>
      </c>
    </row>
    <row r="8899" spans="1:20" x14ac:dyDescent="0.25">
      <c r="A8899" t="s">
        <v>30</v>
      </c>
      <c r="B8899" t="s">
        <v>31</v>
      </c>
      <c r="C8899" t="s">
        <v>32</v>
      </c>
      <c r="D8899" t="s">
        <v>953</v>
      </c>
      <c r="E8899" t="s">
        <v>7494</v>
      </c>
      <c r="F8899" t="s">
        <v>35</v>
      </c>
      <c r="G8899" t="s">
        <v>35</v>
      </c>
      <c r="H8899" t="s">
        <v>35</v>
      </c>
      <c r="J8899" t="s">
        <v>1885</v>
      </c>
      <c r="K8899" t="s">
        <v>1092</v>
      </c>
      <c r="M8899">
        <v>0.81</v>
      </c>
      <c r="N8899">
        <v>186</v>
      </c>
      <c r="O8899" t="s">
        <v>5</v>
      </c>
      <c r="Q8899" t="s">
        <v>1894</v>
      </c>
      <c r="R8899" t="s">
        <v>6709</v>
      </c>
      <c r="S8899" t="s">
        <v>1022</v>
      </c>
      <c r="T8899" t="s">
        <v>1023</v>
      </c>
    </row>
    <row r="8900" spans="1:20" x14ac:dyDescent="0.25">
      <c r="A8900" t="s">
        <v>30</v>
      </c>
      <c r="B8900" t="s">
        <v>31</v>
      </c>
      <c r="C8900" t="s">
        <v>32</v>
      </c>
      <c r="D8900" t="s">
        <v>953</v>
      </c>
      <c r="E8900" t="s">
        <v>6878</v>
      </c>
      <c r="F8900" t="s">
        <v>35</v>
      </c>
      <c r="G8900" t="s">
        <v>35</v>
      </c>
      <c r="H8900" t="s">
        <v>35</v>
      </c>
      <c r="J8900" t="s">
        <v>6917</v>
      </c>
      <c r="K8900" t="s">
        <v>1092</v>
      </c>
      <c r="M8900">
        <v>2.25</v>
      </c>
      <c r="N8900">
        <v>11</v>
      </c>
      <c r="O8900" t="s">
        <v>46</v>
      </c>
      <c r="Q8900" t="s">
        <v>1476</v>
      </c>
      <c r="R8900" t="s">
        <v>6709</v>
      </c>
      <c r="S8900" t="s">
        <v>1022</v>
      </c>
      <c r="T8900" t="s">
        <v>1023</v>
      </c>
    </row>
    <row r="8901" spans="1:20" x14ac:dyDescent="0.25">
      <c r="A8901" t="s">
        <v>59</v>
      </c>
      <c r="B8901" t="s">
        <v>60</v>
      </c>
      <c r="C8901" t="s">
        <v>32</v>
      </c>
      <c r="D8901" t="s">
        <v>953</v>
      </c>
      <c r="E8901" t="s">
        <v>7164</v>
      </c>
      <c r="F8901" t="s">
        <v>35</v>
      </c>
      <c r="G8901" t="s">
        <v>35</v>
      </c>
      <c r="H8901" t="s">
        <v>35</v>
      </c>
      <c r="J8901" t="s">
        <v>7175</v>
      </c>
      <c r="K8901" t="s">
        <v>1092</v>
      </c>
      <c r="M8901">
        <v>1</v>
      </c>
      <c r="N8901">
        <v>187</v>
      </c>
      <c r="O8901" t="s">
        <v>5</v>
      </c>
      <c r="Q8901" t="s">
        <v>2315</v>
      </c>
      <c r="R8901" t="s">
        <v>6709</v>
      </c>
      <c r="S8901" t="s">
        <v>1022</v>
      </c>
      <c r="T8901" t="s">
        <v>1023</v>
      </c>
    </row>
    <row r="8902" spans="1:20" x14ac:dyDescent="0.25">
      <c r="A8902" t="s">
        <v>44</v>
      </c>
      <c r="B8902" t="s">
        <v>3</v>
      </c>
      <c r="C8902" t="s">
        <v>32</v>
      </c>
      <c r="D8902" t="s">
        <v>953</v>
      </c>
      <c r="E8902" t="s">
        <v>968</v>
      </c>
      <c r="F8902" t="s">
        <v>35</v>
      </c>
      <c r="G8902" t="s">
        <v>35</v>
      </c>
      <c r="H8902" t="s">
        <v>35</v>
      </c>
      <c r="J8902" t="s">
        <v>6975</v>
      </c>
      <c r="K8902" t="s">
        <v>1092</v>
      </c>
      <c r="M8902">
        <v>2.5</v>
      </c>
      <c r="N8902">
        <v>55</v>
      </c>
      <c r="O8902" t="s">
        <v>52</v>
      </c>
      <c r="Q8902" t="s">
        <v>90</v>
      </c>
      <c r="R8902" t="s">
        <v>6709</v>
      </c>
      <c r="S8902" t="s">
        <v>1022</v>
      </c>
      <c r="T8902" t="s">
        <v>1023</v>
      </c>
    </row>
    <row r="8903" spans="1:20" x14ac:dyDescent="0.25">
      <c r="A8903" t="s">
        <v>59</v>
      </c>
      <c r="B8903" t="s">
        <v>60</v>
      </c>
      <c r="C8903" t="s">
        <v>32</v>
      </c>
      <c r="D8903" t="s">
        <v>953</v>
      </c>
      <c r="E8903" t="s">
        <v>968</v>
      </c>
      <c r="F8903" t="s">
        <v>35</v>
      </c>
      <c r="G8903" t="s">
        <v>35</v>
      </c>
      <c r="H8903" t="s">
        <v>35</v>
      </c>
      <c r="J8903" t="s">
        <v>6975</v>
      </c>
      <c r="K8903" t="s">
        <v>1092</v>
      </c>
      <c r="M8903">
        <v>2.5</v>
      </c>
      <c r="N8903">
        <v>52</v>
      </c>
      <c r="O8903" t="s">
        <v>52</v>
      </c>
      <c r="Q8903" t="s">
        <v>84</v>
      </c>
      <c r="R8903" t="s">
        <v>6709</v>
      </c>
      <c r="S8903" t="s">
        <v>1022</v>
      </c>
      <c r="T8903" t="s">
        <v>1023</v>
      </c>
    </row>
    <row r="8904" spans="1:20" x14ac:dyDescent="0.25">
      <c r="A8904" t="s">
        <v>59</v>
      </c>
      <c r="B8904" t="s">
        <v>31</v>
      </c>
      <c r="C8904" t="s">
        <v>32</v>
      </c>
      <c r="D8904" t="s">
        <v>953</v>
      </c>
      <c r="E8904" t="s">
        <v>968</v>
      </c>
      <c r="F8904" t="s">
        <v>35</v>
      </c>
      <c r="G8904" t="s">
        <v>35</v>
      </c>
      <c r="H8904" t="s">
        <v>35</v>
      </c>
      <c r="J8904" t="s">
        <v>6975</v>
      </c>
      <c r="K8904" t="s">
        <v>1092</v>
      </c>
      <c r="M8904">
        <v>4.3999999999999997E-2</v>
      </c>
      <c r="N8904">
        <v>227</v>
      </c>
      <c r="O8904" t="s">
        <v>5</v>
      </c>
      <c r="Q8904" t="s">
        <v>1780</v>
      </c>
      <c r="R8904" t="s">
        <v>6709</v>
      </c>
      <c r="S8904" t="s">
        <v>1022</v>
      </c>
      <c r="T8904" t="s">
        <v>1023</v>
      </c>
    </row>
    <row r="8905" spans="1:20" x14ac:dyDescent="0.25">
      <c r="A8905" t="s">
        <v>59</v>
      </c>
      <c r="B8905" t="s">
        <v>60</v>
      </c>
      <c r="C8905" t="s">
        <v>32</v>
      </c>
      <c r="D8905" t="s">
        <v>953</v>
      </c>
      <c r="E8905" t="s">
        <v>968</v>
      </c>
      <c r="F8905" t="s">
        <v>35</v>
      </c>
      <c r="G8905" t="s">
        <v>35</v>
      </c>
      <c r="H8905" t="s">
        <v>35</v>
      </c>
      <c r="J8905" t="s">
        <v>6975</v>
      </c>
      <c r="K8905" t="s">
        <v>1092</v>
      </c>
      <c r="M8905">
        <v>2</v>
      </c>
      <c r="N8905">
        <v>84</v>
      </c>
      <c r="O8905" t="s">
        <v>61</v>
      </c>
      <c r="Q8905" t="s">
        <v>1147</v>
      </c>
      <c r="R8905" t="s">
        <v>6709</v>
      </c>
      <c r="S8905" t="s">
        <v>1022</v>
      </c>
      <c r="T8905" t="s">
        <v>1023</v>
      </c>
    </row>
    <row r="8906" spans="1:20" x14ac:dyDescent="0.25">
      <c r="A8906" t="s">
        <v>59</v>
      </c>
      <c r="B8906" t="s">
        <v>31</v>
      </c>
      <c r="C8906" t="s">
        <v>32</v>
      </c>
      <c r="D8906" t="s">
        <v>953</v>
      </c>
      <c r="E8906" t="s">
        <v>6878</v>
      </c>
      <c r="F8906" t="s">
        <v>35</v>
      </c>
      <c r="G8906" t="s">
        <v>35</v>
      </c>
      <c r="H8906" t="s">
        <v>35</v>
      </c>
      <c r="J8906" t="s">
        <v>6909</v>
      </c>
      <c r="K8906" t="s">
        <v>1092</v>
      </c>
      <c r="M8906">
        <v>1.26</v>
      </c>
      <c r="N8906">
        <v>237</v>
      </c>
      <c r="O8906" t="s">
        <v>5</v>
      </c>
      <c r="Q8906" t="s">
        <v>1242</v>
      </c>
      <c r="R8906" t="s">
        <v>6709</v>
      </c>
      <c r="S8906" t="s">
        <v>1022</v>
      </c>
      <c r="T8906" t="s">
        <v>1023</v>
      </c>
    </row>
    <row r="8907" spans="1:20" x14ac:dyDescent="0.25">
      <c r="A8907" t="s">
        <v>59</v>
      </c>
      <c r="B8907" t="s">
        <v>60</v>
      </c>
      <c r="C8907" t="s">
        <v>32</v>
      </c>
      <c r="D8907" t="s">
        <v>953</v>
      </c>
      <c r="E8907" t="s">
        <v>1077</v>
      </c>
      <c r="F8907" t="s">
        <v>35</v>
      </c>
      <c r="G8907" t="s">
        <v>35</v>
      </c>
      <c r="H8907" t="s">
        <v>35</v>
      </c>
      <c r="J8907" t="s">
        <v>7730</v>
      </c>
      <c r="K8907" t="s">
        <v>1092</v>
      </c>
      <c r="M8907">
        <v>1.35</v>
      </c>
      <c r="N8907">
        <v>245</v>
      </c>
      <c r="O8907" t="s">
        <v>5</v>
      </c>
      <c r="Q8907" t="s">
        <v>1222</v>
      </c>
      <c r="R8907" t="s">
        <v>6709</v>
      </c>
      <c r="S8907" t="s">
        <v>1022</v>
      </c>
      <c r="T8907" t="s">
        <v>1023</v>
      </c>
    </row>
    <row r="8908" spans="1:20" x14ac:dyDescent="0.25">
      <c r="A8908" t="s">
        <v>59</v>
      </c>
      <c r="B8908" t="s">
        <v>31</v>
      </c>
      <c r="C8908" t="s">
        <v>32</v>
      </c>
      <c r="D8908" t="s">
        <v>953</v>
      </c>
      <c r="E8908" t="s">
        <v>6878</v>
      </c>
      <c r="F8908" t="s">
        <v>35</v>
      </c>
      <c r="G8908" t="s">
        <v>35</v>
      </c>
      <c r="H8908" t="s">
        <v>35</v>
      </c>
      <c r="J8908" t="s">
        <v>823</v>
      </c>
      <c r="K8908" t="s">
        <v>1092</v>
      </c>
      <c r="M8908">
        <v>0.27</v>
      </c>
      <c r="N8908">
        <v>58</v>
      </c>
      <c r="O8908" t="s">
        <v>52</v>
      </c>
      <c r="Q8908" t="s">
        <v>128</v>
      </c>
      <c r="R8908" t="s">
        <v>6709</v>
      </c>
      <c r="S8908" t="s">
        <v>1022</v>
      </c>
      <c r="T8908" t="s">
        <v>1023</v>
      </c>
    </row>
    <row r="8909" spans="1:20" x14ac:dyDescent="0.25">
      <c r="A8909" t="s">
        <v>59</v>
      </c>
      <c r="B8909" t="s">
        <v>60</v>
      </c>
      <c r="C8909" t="s">
        <v>32</v>
      </c>
      <c r="D8909" t="s">
        <v>953</v>
      </c>
      <c r="E8909" t="s">
        <v>6878</v>
      </c>
      <c r="F8909" t="s">
        <v>35</v>
      </c>
      <c r="G8909" t="s">
        <v>35</v>
      </c>
      <c r="H8909" t="s">
        <v>35</v>
      </c>
      <c r="J8909" t="s">
        <v>823</v>
      </c>
      <c r="K8909" t="s">
        <v>1092</v>
      </c>
      <c r="M8909">
        <v>1.5</v>
      </c>
      <c r="N8909">
        <v>58</v>
      </c>
      <c r="O8909" t="s">
        <v>52</v>
      </c>
      <c r="Q8909" t="s">
        <v>128</v>
      </c>
      <c r="R8909" t="s">
        <v>6709</v>
      </c>
      <c r="S8909" t="s">
        <v>1022</v>
      </c>
      <c r="T8909" t="s">
        <v>1023</v>
      </c>
    </row>
    <row r="8910" spans="1:20" x14ac:dyDescent="0.25">
      <c r="A8910" t="s">
        <v>59</v>
      </c>
      <c r="B8910" t="s">
        <v>60</v>
      </c>
      <c r="C8910" t="s">
        <v>32</v>
      </c>
      <c r="D8910" t="s">
        <v>953</v>
      </c>
      <c r="E8910" t="s">
        <v>6878</v>
      </c>
      <c r="F8910" t="s">
        <v>35</v>
      </c>
      <c r="G8910" t="s">
        <v>35</v>
      </c>
      <c r="H8910" t="s">
        <v>35</v>
      </c>
      <c r="J8910" t="s">
        <v>823</v>
      </c>
      <c r="K8910" t="s">
        <v>1092</v>
      </c>
      <c r="M8910">
        <v>0.45</v>
      </c>
      <c r="N8910">
        <v>171</v>
      </c>
      <c r="O8910" t="s">
        <v>38</v>
      </c>
      <c r="Q8910" t="s">
        <v>2827</v>
      </c>
      <c r="R8910" t="s">
        <v>6709</v>
      </c>
      <c r="S8910" t="s">
        <v>1022</v>
      </c>
      <c r="T8910" t="s">
        <v>1023</v>
      </c>
    </row>
    <row r="8911" spans="1:20" x14ac:dyDescent="0.25">
      <c r="A8911" t="s">
        <v>59</v>
      </c>
      <c r="B8911" t="s">
        <v>60</v>
      </c>
      <c r="C8911" t="s">
        <v>32</v>
      </c>
      <c r="D8911" t="s">
        <v>953</v>
      </c>
      <c r="E8911" t="s">
        <v>6878</v>
      </c>
      <c r="F8911" t="s">
        <v>35</v>
      </c>
      <c r="G8911" t="s">
        <v>35</v>
      </c>
      <c r="H8911" t="s">
        <v>35</v>
      </c>
      <c r="J8911" t="s">
        <v>6920</v>
      </c>
      <c r="K8911" t="s">
        <v>1092</v>
      </c>
      <c r="M8911">
        <v>5</v>
      </c>
      <c r="N8911">
        <v>52</v>
      </c>
      <c r="O8911" t="s">
        <v>52</v>
      </c>
      <c r="Q8911" t="s">
        <v>84</v>
      </c>
      <c r="R8911" t="s">
        <v>6709</v>
      </c>
      <c r="S8911" t="s">
        <v>1022</v>
      </c>
      <c r="T8911" t="s">
        <v>1023</v>
      </c>
    </row>
    <row r="8912" spans="1:20" x14ac:dyDescent="0.25">
      <c r="A8912" t="s">
        <v>59</v>
      </c>
      <c r="B8912" t="s">
        <v>31</v>
      </c>
      <c r="C8912" t="s">
        <v>32</v>
      </c>
      <c r="D8912" t="s">
        <v>953</v>
      </c>
      <c r="E8912" t="s">
        <v>6878</v>
      </c>
      <c r="F8912" t="s">
        <v>35</v>
      </c>
      <c r="G8912" t="s">
        <v>35</v>
      </c>
      <c r="H8912" t="s">
        <v>35</v>
      </c>
      <c r="J8912" t="s">
        <v>6911</v>
      </c>
      <c r="K8912" t="s">
        <v>1092</v>
      </c>
      <c r="M8912">
        <v>4.9950000000000001</v>
      </c>
      <c r="N8912">
        <v>53</v>
      </c>
      <c r="O8912" t="s">
        <v>52</v>
      </c>
      <c r="Q8912" t="s">
        <v>1734</v>
      </c>
      <c r="R8912" t="s">
        <v>6709</v>
      </c>
      <c r="S8912" t="s">
        <v>1022</v>
      </c>
      <c r="T8912" t="s">
        <v>1023</v>
      </c>
    </row>
    <row r="8913" spans="1:20" x14ac:dyDescent="0.25">
      <c r="A8913" t="s">
        <v>44</v>
      </c>
      <c r="B8913" t="s">
        <v>3</v>
      </c>
      <c r="C8913" t="s">
        <v>32</v>
      </c>
      <c r="D8913" t="s">
        <v>953</v>
      </c>
      <c r="E8913" t="s">
        <v>6878</v>
      </c>
      <c r="F8913" t="s">
        <v>35</v>
      </c>
      <c r="G8913" t="s">
        <v>35</v>
      </c>
      <c r="H8913" t="s">
        <v>35</v>
      </c>
      <c r="J8913" t="s">
        <v>6911</v>
      </c>
      <c r="K8913" t="s">
        <v>1092</v>
      </c>
      <c r="M8913">
        <v>4.75</v>
      </c>
      <c r="N8913">
        <v>55</v>
      </c>
      <c r="O8913" t="s">
        <v>52</v>
      </c>
      <c r="Q8913" t="s">
        <v>90</v>
      </c>
      <c r="R8913" t="s">
        <v>6709</v>
      </c>
      <c r="S8913" t="s">
        <v>1022</v>
      </c>
      <c r="T8913" t="s">
        <v>1023</v>
      </c>
    </row>
    <row r="8914" spans="1:20" x14ac:dyDescent="0.25">
      <c r="A8914" t="s">
        <v>59</v>
      </c>
      <c r="B8914" t="s">
        <v>60</v>
      </c>
      <c r="C8914" t="s">
        <v>32</v>
      </c>
      <c r="D8914" t="s">
        <v>953</v>
      </c>
      <c r="E8914" t="s">
        <v>6878</v>
      </c>
      <c r="F8914" t="s">
        <v>35</v>
      </c>
      <c r="G8914" t="s">
        <v>35</v>
      </c>
      <c r="H8914" t="s">
        <v>35</v>
      </c>
      <c r="J8914" t="s">
        <v>6911</v>
      </c>
      <c r="K8914" t="s">
        <v>1092</v>
      </c>
      <c r="M8914">
        <v>3.15</v>
      </c>
      <c r="N8914">
        <v>53</v>
      </c>
      <c r="O8914" t="s">
        <v>52</v>
      </c>
      <c r="Q8914" t="s">
        <v>1734</v>
      </c>
      <c r="R8914" t="s">
        <v>6709</v>
      </c>
      <c r="S8914" t="s">
        <v>1022</v>
      </c>
      <c r="T8914" t="s">
        <v>1023</v>
      </c>
    </row>
    <row r="8915" spans="1:20" x14ac:dyDescent="0.25">
      <c r="A8915" t="s">
        <v>59</v>
      </c>
      <c r="B8915" t="s">
        <v>60</v>
      </c>
      <c r="C8915" t="s">
        <v>32</v>
      </c>
      <c r="D8915" t="s">
        <v>953</v>
      </c>
      <c r="E8915" t="s">
        <v>6878</v>
      </c>
      <c r="F8915" t="s">
        <v>35</v>
      </c>
      <c r="G8915" t="s">
        <v>35</v>
      </c>
      <c r="H8915" t="s">
        <v>35</v>
      </c>
      <c r="J8915" t="s">
        <v>6958</v>
      </c>
      <c r="K8915" t="s">
        <v>1092</v>
      </c>
      <c r="M8915">
        <v>0.1</v>
      </c>
      <c r="N8915">
        <v>132</v>
      </c>
      <c r="O8915" t="s">
        <v>38</v>
      </c>
      <c r="Q8915" t="s">
        <v>1696</v>
      </c>
      <c r="R8915" t="s">
        <v>6709</v>
      </c>
      <c r="S8915" t="s">
        <v>1022</v>
      </c>
      <c r="T8915" t="s">
        <v>1023</v>
      </c>
    </row>
    <row r="8916" spans="1:20" x14ac:dyDescent="0.25">
      <c r="A8916" t="s">
        <v>59</v>
      </c>
      <c r="B8916" t="s">
        <v>60</v>
      </c>
      <c r="C8916" t="s">
        <v>32</v>
      </c>
      <c r="D8916" t="s">
        <v>953</v>
      </c>
      <c r="E8916" t="s">
        <v>968</v>
      </c>
      <c r="F8916" t="s">
        <v>35</v>
      </c>
      <c r="G8916" t="s">
        <v>35</v>
      </c>
      <c r="H8916" t="s">
        <v>35</v>
      </c>
      <c r="J8916" t="s">
        <v>6990</v>
      </c>
      <c r="K8916" t="s">
        <v>1092</v>
      </c>
      <c r="M8916">
        <v>4.8</v>
      </c>
      <c r="N8916">
        <v>84</v>
      </c>
      <c r="O8916" t="s">
        <v>61</v>
      </c>
      <c r="Q8916" t="s">
        <v>1147</v>
      </c>
      <c r="R8916" t="s">
        <v>6709</v>
      </c>
      <c r="S8916" t="s">
        <v>1022</v>
      </c>
      <c r="T8916" t="s">
        <v>1023</v>
      </c>
    </row>
    <row r="8917" spans="1:20" x14ac:dyDescent="0.25">
      <c r="A8917" t="s">
        <v>59</v>
      </c>
      <c r="B8917" t="s">
        <v>31</v>
      </c>
      <c r="C8917" t="s">
        <v>32</v>
      </c>
      <c r="D8917" t="s">
        <v>953</v>
      </c>
      <c r="E8917" t="s">
        <v>968</v>
      </c>
      <c r="F8917" t="s">
        <v>35</v>
      </c>
      <c r="G8917" t="s">
        <v>35</v>
      </c>
      <c r="H8917" t="s">
        <v>35</v>
      </c>
      <c r="J8917" t="s">
        <v>6990</v>
      </c>
      <c r="K8917" t="s">
        <v>1092</v>
      </c>
      <c r="M8917">
        <v>3.915</v>
      </c>
      <c r="N8917">
        <v>54</v>
      </c>
      <c r="O8917" t="s">
        <v>52</v>
      </c>
      <c r="Q8917" t="s">
        <v>671</v>
      </c>
      <c r="R8917" t="s">
        <v>6709</v>
      </c>
      <c r="S8917" t="s">
        <v>1022</v>
      </c>
      <c r="T8917" t="s">
        <v>1023</v>
      </c>
    </row>
    <row r="8918" spans="1:20" x14ac:dyDescent="0.25">
      <c r="A8918" t="s">
        <v>59</v>
      </c>
      <c r="B8918" t="s">
        <v>60</v>
      </c>
      <c r="C8918" t="s">
        <v>32</v>
      </c>
      <c r="D8918" t="s">
        <v>953</v>
      </c>
      <c r="E8918" t="s">
        <v>968</v>
      </c>
      <c r="F8918" t="s">
        <v>35</v>
      </c>
      <c r="G8918" t="s">
        <v>35</v>
      </c>
      <c r="H8918" t="s">
        <v>35</v>
      </c>
      <c r="J8918" t="s">
        <v>6990</v>
      </c>
      <c r="K8918" t="s">
        <v>1092</v>
      </c>
      <c r="M8918">
        <v>5</v>
      </c>
      <c r="N8918">
        <v>54</v>
      </c>
      <c r="O8918" t="s">
        <v>52</v>
      </c>
      <c r="Q8918" t="s">
        <v>671</v>
      </c>
      <c r="R8918" t="s">
        <v>6709</v>
      </c>
      <c r="S8918" t="s">
        <v>1022</v>
      </c>
      <c r="T8918" t="s">
        <v>1023</v>
      </c>
    </row>
    <row r="8919" spans="1:20" x14ac:dyDescent="0.25">
      <c r="A8919" t="s">
        <v>44</v>
      </c>
      <c r="B8919" t="s">
        <v>3</v>
      </c>
      <c r="C8919" t="s">
        <v>32</v>
      </c>
      <c r="D8919" t="s">
        <v>953</v>
      </c>
      <c r="E8919" t="s">
        <v>968</v>
      </c>
      <c r="F8919" t="s">
        <v>35</v>
      </c>
      <c r="G8919" t="s">
        <v>35</v>
      </c>
      <c r="H8919" t="s">
        <v>35</v>
      </c>
      <c r="J8919" t="s">
        <v>6990</v>
      </c>
      <c r="K8919" t="s">
        <v>1092</v>
      </c>
      <c r="M8919">
        <v>5</v>
      </c>
      <c r="N8919">
        <v>55</v>
      </c>
      <c r="O8919" t="s">
        <v>52</v>
      </c>
      <c r="Q8919" t="s">
        <v>90</v>
      </c>
      <c r="R8919" t="s">
        <v>6709</v>
      </c>
      <c r="S8919" t="s">
        <v>1022</v>
      </c>
      <c r="T8919" t="s">
        <v>1023</v>
      </c>
    </row>
    <row r="8920" spans="1:20" x14ac:dyDescent="0.25">
      <c r="A8920" t="s">
        <v>59</v>
      </c>
      <c r="B8920" t="s">
        <v>60</v>
      </c>
      <c r="C8920" t="s">
        <v>32</v>
      </c>
      <c r="D8920" t="s">
        <v>953</v>
      </c>
      <c r="E8920" t="s">
        <v>968</v>
      </c>
      <c r="F8920" t="s">
        <v>35</v>
      </c>
      <c r="G8920" t="s">
        <v>35</v>
      </c>
      <c r="H8920" t="s">
        <v>35</v>
      </c>
      <c r="J8920" t="s">
        <v>7037</v>
      </c>
      <c r="K8920" t="s">
        <v>1092</v>
      </c>
      <c r="M8920">
        <v>2.5</v>
      </c>
      <c r="N8920">
        <v>45</v>
      </c>
      <c r="O8920" t="s">
        <v>52</v>
      </c>
      <c r="Q8920" t="s">
        <v>1230</v>
      </c>
      <c r="R8920" t="s">
        <v>6709</v>
      </c>
      <c r="S8920" t="s">
        <v>1022</v>
      </c>
      <c r="T8920" t="s">
        <v>1023</v>
      </c>
    </row>
    <row r="8921" spans="1:20" x14ac:dyDescent="0.25">
      <c r="A8921" t="s">
        <v>30</v>
      </c>
      <c r="B8921" t="s">
        <v>31</v>
      </c>
      <c r="C8921" t="s">
        <v>32</v>
      </c>
      <c r="D8921" t="s">
        <v>953</v>
      </c>
      <c r="E8921" t="s">
        <v>968</v>
      </c>
      <c r="F8921" t="s">
        <v>35</v>
      </c>
      <c r="G8921" t="s">
        <v>35</v>
      </c>
      <c r="H8921" t="s">
        <v>35</v>
      </c>
      <c r="J8921" t="s">
        <v>7037</v>
      </c>
      <c r="K8921" t="s">
        <v>1092</v>
      </c>
      <c r="M8921">
        <v>0.58499999999999996</v>
      </c>
      <c r="N8921">
        <v>270</v>
      </c>
      <c r="O8921" t="s">
        <v>5</v>
      </c>
      <c r="Q8921" t="s">
        <v>5812</v>
      </c>
      <c r="R8921" t="s">
        <v>6709</v>
      </c>
      <c r="S8921" t="s">
        <v>1022</v>
      </c>
      <c r="T8921" t="s">
        <v>1023</v>
      </c>
    </row>
    <row r="8922" spans="1:20" x14ac:dyDescent="0.25">
      <c r="A8922" t="s">
        <v>44</v>
      </c>
      <c r="B8922" t="s">
        <v>3</v>
      </c>
      <c r="C8922" t="s">
        <v>32</v>
      </c>
      <c r="D8922" t="s">
        <v>953</v>
      </c>
      <c r="E8922" t="s">
        <v>968</v>
      </c>
      <c r="F8922" t="s">
        <v>35</v>
      </c>
      <c r="G8922" t="s">
        <v>35</v>
      </c>
      <c r="H8922" t="s">
        <v>35</v>
      </c>
      <c r="J8922" t="s">
        <v>6994</v>
      </c>
      <c r="K8922" t="s">
        <v>1092</v>
      </c>
      <c r="M8922">
        <v>5</v>
      </c>
      <c r="N8922">
        <v>55</v>
      </c>
      <c r="O8922" t="s">
        <v>52</v>
      </c>
      <c r="Q8922" t="s">
        <v>90</v>
      </c>
      <c r="R8922" t="s">
        <v>6709</v>
      </c>
      <c r="S8922" t="s">
        <v>1022</v>
      </c>
      <c r="T8922" t="s">
        <v>1023</v>
      </c>
    </row>
    <row r="8923" spans="1:20" x14ac:dyDescent="0.25">
      <c r="A8923" t="s">
        <v>30</v>
      </c>
      <c r="B8923" t="s">
        <v>31</v>
      </c>
      <c r="C8923" t="s">
        <v>32</v>
      </c>
      <c r="D8923" t="s">
        <v>953</v>
      </c>
      <c r="E8923" t="s">
        <v>7842</v>
      </c>
      <c r="F8923" t="s">
        <v>35</v>
      </c>
      <c r="G8923" t="s">
        <v>35</v>
      </c>
      <c r="H8923" t="s">
        <v>35</v>
      </c>
      <c r="J8923" t="s">
        <v>7851</v>
      </c>
      <c r="K8923" t="s">
        <v>1092</v>
      </c>
      <c r="M8923">
        <v>4.4999999999999998E-2</v>
      </c>
      <c r="N8923">
        <v>450</v>
      </c>
      <c r="O8923" t="s">
        <v>294</v>
      </c>
      <c r="Q8923" t="s">
        <v>2104</v>
      </c>
      <c r="R8923" t="s">
        <v>6709</v>
      </c>
      <c r="S8923" t="s">
        <v>1022</v>
      </c>
      <c r="T8923" t="s">
        <v>1023</v>
      </c>
    </row>
    <row r="8924" spans="1:20" x14ac:dyDescent="0.25">
      <c r="A8924" t="s">
        <v>59</v>
      </c>
      <c r="B8924" t="s">
        <v>31</v>
      </c>
      <c r="C8924" t="s">
        <v>32</v>
      </c>
      <c r="D8924" t="s">
        <v>953</v>
      </c>
      <c r="E8924" t="s">
        <v>6878</v>
      </c>
      <c r="F8924" t="s">
        <v>35</v>
      </c>
      <c r="G8924" t="s">
        <v>35</v>
      </c>
      <c r="H8924" t="s">
        <v>35</v>
      </c>
      <c r="J8924" t="s">
        <v>6948</v>
      </c>
      <c r="K8924" t="s">
        <v>1092</v>
      </c>
      <c r="M8924">
        <v>2.25</v>
      </c>
      <c r="N8924">
        <v>47</v>
      </c>
      <c r="O8924" t="s">
        <v>52</v>
      </c>
      <c r="Q8924" t="s">
        <v>1207</v>
      </c>
      <c r="R8924" t="s">
        <v>6709</v>
      </c>
      <c r="S8924" t="s">
        <v>1022</v>
      </c>
      <c r="T8924" t="s">
        <v>1023</v>
      </c>
    </row>
    <row r="8925" spans="1:20" x14ac:dyDescent="0.25">
      <c r="A8925" t="s">
        <v>59</v>
      </c>
      <c r="B8925" t="s">
        <v>60</v>
      </c>
      <c r="C8925" t="s">
        <v>32</v>
      </c>
      <c r="D8925" t="s">
        <v>953</v>
      </c>
      <c r="E8925" t="s">
        <v>968</v>
      </c>
      <c r="F8925" t="s">
        <v>35</v>
      </c>
      <c r="G8925" t="s">
        <v>35</v>
      </c>
      <c r="H8925" t="s">
        <v>35</v>
      </c>
      <c r="J8925" t="s">
        <v>7021</v>
      </c>
      <c r="K8925" t="s">
        <v>1092</v>
      </c>
      <c r="M8925">
        <v>2</v>
      </c>
      <c r="N8925">
        <v>170</v>
      </c>
      <c r="O8925" t="s">
        <v>38</v>
      </c>
      <c r="Q8925" t="s">
        <v>4657</v>
      </c>
      <c r="R8925" t="s">
        <v>6709</v>
      </c>
      <c r="S8925" t="s">
        <v>1022</v>
      </c>
      <c r="T8925" t="s">
        <v>1023</v>
      </c>
    </row>
    <row r="8926" spans="1:20" x14ac:dyDescent="0.25">
      <c r="A8926" t="s">
        <v>59</v>
      </c>
      <c r="B8926" t="s">
        <v>31</v>
      </c>
      <c r="C8926" t="s">
        <v>32</v>
      </c>
      <c r="D8926" t="s">
        <v>953</v>
      </c>
      <c r="E8926" t="s">
        <v>1015</v>
      </c>
      <c r="F8926" t="s">
        <v>35</v>
      </c>
      <c r="G8926" t="s">
        <v>35</v>
      </c>
      <c r="H8926" t="s">
        <v>35</v>
      </c>
      <c r="J8926" t="s">
        <v>7347</v>
      </c>
      <c r="K8926" t="s">
        <v>1092</v>
      </c>
      <c r="M8926">
        <v>1.35</v>
      </c>
      <c r="N8926">
        <v>47</v>
      </c>
      <c r="O8926" t="s">
        <v>52</v>
      </c>
      <c r="Q8926" t="s">
        <v>1207</v>
      </c>
      <c r="R8926" t="s">
        <v>6709</v>
      </c>
      <c r="S8926" t="s">
        <v>1022</v>
      </c>
      <c r="T8926" t="s">
        <v>1023</v>
      </c>
    </row>
    <row r="8927" spans="1:20" x14ac:dyDescent="0.25">
      <c r="A8927" t="s">
        <v>59</v>
      </c>
      <c r="B8927" t="s">
        <v>31</v>
      </c>
      <c r="C8927" t="s">
        <v>32</v>
      </c>
      <c r="D8927" t="s">
        <v>953</v>
      </c>
      <c r="E8927" t="s">
        <v>954</v>
      </c>
      <c r="F8927" t="s">
        <v>35</v>
      </c>
      <c r="G8927" t="s">
        <v>35</v>
      </c>
      <c r="H8927" t="s">
        <v>35</v>
      </c>
      <c r="J8927" t="s">
        <v>6790</v>
      </c>
      <c r="K8927" t="s">
        <v>1092</v>
      </c>
      <c r="M8927">
        <v>0.95</v>
      </c>
      <c r="N8927">
        <v>139</v>
      </c>
      <c r="O8927" t="s">
        <v>38</v>
      </c>
      <c r="Q8927" t="s">
        <v>1335</v>
      </c>
      <c r="R8927" t="s">
        <v>6709</v>
      </c>
      <c r="S8927" t="s">
        <v>1022</v>
      </c>
      <c r="T8927" t="s">
        <v>1023</v>
      </c>
    </row>
    <row r="8928" spans="1:20" x14ac:dyDescent="0.25">
      <c r="A8928" t="s">
        <v>59</v>
      </c>
      <c r="B8928" t="s">
        <v>60</v>
      </c>
      <c r="C8928" t="s">
        <v>32</v>
      </c>
      <c r="D8928" t="s">
        <v>953</v>
      </c>
      <c r="E8928" t="s">
        <v>998</v>
      </c>
      <c r="F8928" t="s">
        <v>35</v>
      </c>
      <c r="G8928" t="s">
        <v>35</v>
      </c>
      <c r="H8928" t="s">
        <v>35</v>
      </c>
      <c r="J8928" t="s">
        <v>7231</v>
      </c>
      <c r="K8928" t="s">
        <v>1092</v>
      </c>
      <c r="M8928">
        <v>0.9</v>
      </c>
      <c r="N8928">
        <v>187</v>
      </c>
      <c r="O8928" t="s">
        <v>5</v>
      </c>
      <c r="Q8928" t="s">
        <v>2315</v>
      </c>
      <c r="R8928" t="s">
        <v>6709</v>
      </c>
      <c r="S8928" t="s">
        <v>1022</v>
      </c>
      <c r="T8928" t="s">
        <v>1023</v>
      </c>
    </row>
    <row r="8929" spans="1:20" x14ac:dyDescent="0.25">
      <c r="A8929" t="s">
        <v>59</v>
      </c>
      <c r="B8929" t="s">
        <v>60</v>
      </c>
      <c r="C8929" t="s">
        <v>32</v>
      </c>
      <c r="D8929" t="s">
        <v>953</v>
      </c>
      <c r="E8929" t="s">
        <v>968</v>
      </c>
      <c r="F8929" t="s">
        <v>35</v>
      </c>
      <c r="G8929" t="s">
        <v>35</v>
      </c>
      <c r="H8929" t="s">
        <v>35</v>
      </c>
      <c r="J8929" t="s">
        <v>6997</v>
      </c>
      <c r="K8929" t="s">
        <v>1092</v>
      </c>
      <c r="M8929">
        <v>2.75</v>
      </c>
      <c r="N8929">
        <v>84</v>
      </c>
      <c r="O8929" t="s">
        <v>61</v>
      </c>
      <c r="Q8929" t="s">
        <v>1147</v>
      </c>
      <c r="R8929" t="s">
        <v>6709</v>
      </c>
      <c r="S8929" t="s">
        <v>1022</v>
      </c>
      <c r="T8929" t="s">
        <v>1023</v>
      </c>
    </row>
    <row r="8930" spans="1:20" x14ac:dyDescent="0.25">
      <c r="A8930" t="s">
        <v>59</v>
      </c>
      <c r="B8930" t="s">
        <v>31</v>
      </c>
      <c r="C8930" t="s">
        <v>32</v>
      </c>
      <c r="D8930" t="s">
        <v>953</v>
      </c>
      <c r="E8930" t="s">
        <v>968</v>
      </c>
      <c r="F8930" t="s">
        <v>35</v>
      </c>
      <c r="G8930" t="s">
        <v>35</v>
      </c>
      <c r="H8930" t="s">
        <v>35</v>
      </c>
      <c r="J8930" t="s">
        <v>6997</v>
      </c>
      <c r="K8930" t="s">
        <v>1092</v>
      </c>
      <c r="M8930">
        <v>0.18</v>
      </c>
      <c r="N8930">
        <v>84</v>
      </c>
      <c r="O8930" t="s">
        <v>61</v>
      </c>
      <c r="Q8930" t="s">
        <v>1147</v>
      </c>
      <c r="R8930" t="s">
        <v>6709</v>
      </c>
      <c r="S8930" t="s">
        <v>1022</v>
      </c>
      <c r="T8930" t="s">
        <v>1023</v>
      </c>
    </row>
    <row r="8931" spans="1:20" x14ac:dyDescent="0.25">
      <c r="A8931" t="s">
        <v>59</v>
      </c>
      <c r="B8931" t="s">
        <v>60</v>
      </c>
      <c r="C8931" t="s">
        <v>32</v>
      </c>
      <c r="D8931" t="s">
        <v>953</v>
      </c>
      <c r="E8931" t="s">
        <v>6878</v>
      </c>
      <c r="F8931" t="s">
        <v>35</v>
      </c>
      <c r="G8931" t="s">
        <v>35</v>
      </c>
      <c r="H8931" t="s">
        <v>35</v>
      </c>
      <c r="J8931" t="s">
        <v>6882</v>
      </c>
      <c r="K8931" t="s">
        <v>1092</v>
      </c>
      <c r="M8931">
        <v>1.5</v>
      </c>
      <c r="N8931">
        <v>58</v>
      </c>
      <c r="O8931" t="s">
        <v>52</v>
      </c>
      <c r="Q8931" t="s">
        <v>128</v>
      </c>
      <c r="R8931" t="s">
        <v>6709</v>
      </c>
      <c r="S8931" t="s">
        <v>1022</v>
      </c>
      <c r="T8931" t="s">
        <v>1023</v>
      </c>
    </row>
    <row r="8932" spans="1:20" x14ac:dyDescent="0.25">
      <c r="A8932" t="s">
        <v>59</v>
      </c>
      <c r="B8932" t="s">
        <v>60</v>
      </c>
      <c r="C8932" t="s">
        <v>32</v>
      </c>
      <c r="D8932" t="s">
        <v>953</v>
      </c>
      <c r="E8932" t="s">
        <v>6878</v>
      </c>
      <c r="F8932" t="s">
        <v>35</v>
      </c>
      <c r="G8932" t="s">
        <v>35</v>
      </c>
      <c r="H8932" t="s">
        <v>35</v>
      </c>
      <c r="J8932" t="s">
        <v>6882</v>
      </c>
      <c r="K8932" t="s">
        <v>1092</v>
      </c>
      <c r="M8932">
        <v>0.15</v>
      </c>
      <c r="N8932">
        <v>171</v>
      </c>
      <c r="O8932" t="s">
        <v>38</v>
      </c>
      <c r="Q8932" t="s">
        <v>2827</v>
      </c>
      <c r="R8932" t="s">
        <v>6709</v>
      </c>
      <c r="S8932" t="s">
        <v>1022</v>
      </c>
      <c r="T8932" t="s">
        <v>1023</v>
      </c>
    </row>
    <row r="8933" spans="1:20" x14ac:dyDescent="0.25">
      <c r="A8933" t="s">
        <v>30</v>
      </c>
      <c r="B8933" t="s">
        <v>31</v>
      </c>
      <c r="C8933" t="s">
        <v>32</v>
      </c>
      <c r="D8933" t="s">
        <v>953</v>
      </c>
      <c r="E8933" t="s">
        <v>7164</v>
      </c>
      <c r="F8933" t="s">
        <v>35</v>
      </c>
      <c r="G8933" t="s">
        <v>35</v>
      </c>
      <c r="H8933" t="s">
        <v>35</v>
      </c>
      <c r="J8933" t="s">
        <v>7165</v>
      </c>
      <c r="K8933" t="s">
        <v>1092</v>
      </c>
      <c r="M8933">
        <v>9.99</v>
      </c>
      <c r="N8933">
        <v>153</v>
      </c>
      <c r="O8933" t="s">
        <v>38</v>
      </c>
      <c r="Q8933" t="s">
        <v>260</v>
      </c>
      <c r="R8933" t="s">
        <v>6709</v>
      </c>
      <c r="S8933" t="s">
        <v>1022</v>
      </c>
      <c r="T8933" t="s">
        <v>1023</v>
      </c>
    </row>
    <row r="8934" spans="1:20" x14ac:dyDescent="0.25">
      <c r="A8934" t="s">
        <v>30</v>
      </c>
      <c r="B8934" t="s">
        <v>31</v>
      </c>
      <c r="C8934" t="s">
        <v>32</v>
      </c>
      <c r="D8934" t="s">
        <v>953</v>
      </c>
      <c r="E8934" t="s">
        <v>7164</v>
      </c>
      <c r="F8934" t="s">
        <v>35</v>
      </c>
      <c r="G8934" t="s">
        <v>35</v>
      </c>
      <c r="H8934" t="s">
        <v>35</v>
      </c>
      <c r="J8934" t="s">
        <v>7165</v>
      </c>
      <c r="K8934" t="s">
        <v>1092</v>
      </c>
      <c r="M8934">
        <v>0.40500000000000003</v>
      </c>
      <c r="N8934">
        <v>447</v>
      </c>
      <c r="O8934" t="s">
        <v>294</v>
      </c>
      <c r="Q8934" t="s">
        <v>1413</v>
      </c>
      <c r="R8934" t="s">
        <v>6709</v>
      </c>
      <c r="S8934" t="s">
        <v>1022</v>
      </c>
      <c r="T8934" t="s">
        <v>1023</v>
      </c>
    </row>
    <row r="8935" spans="1:20" x14ac:dyDescent="0.25">
      <c r="A8935" t="s">
        <v>30</v>
      </c>
      <c r="B8935" t="s">
        <v>31</v>
      </c>
      <c r="C8935" t="s">
        <v>32</v>
      </c>
      <c r="D8935" t="s">
        <v>953</v>
      </c>
      <c r="E8935" t="s">
        <v>7467</v>
      </c>
      <c r="F8935" t="s">
        <v>35</v>
      </c>
      <c r="G8935" t="s">
        <v>35</v>
      </c>
      <c r="H8935" t="s">
        <v>35</v>
      </c>
      <c r="J8935" t="s">
        <v>7479</v>
      </c>
      <c r="K8935" t="s">
        <v>1092</v>
      </c>
      <c r="M8935">
        <v>4.05</v>
      </c>
      <c r="N8935">
        <v>146</v>
      </c>
      <c r="O8935" t="s">
        <v>38</v>
      </c>
      <c r="Q8935" t="s">
        <v>569</v>
      </c>
      <c r="R8935" t="s">
        <v>6709</v>
      </c>
      <c r="S8935" t="s">
        <v>1022</v>
      </c>
      <c r="T8935" t="s">
        <v>1023</v>
      </c>
    </row>
    <row r="8936" spans="1:20" x14ac:dyDescent="0.25">
      <c r="A8936" t="s">
        <v>59</v>
      </c>
      <c r="B8936" t="s">
        <v>60</v>
      </c>
      <c r="C8936" t="s">
        <v>32</v>
      </c>
      <c r="D8936" t="s">
        <v>953</v>
      </c>
      <c r="E8936" t="s">
        <v>7558</v>
      </c>
      <c r="F8936" t="s">
        <v>35</v>
      </c>
      <c r="G8936" t="s">
        <v>35</v>
      </c>
      <c r="H8936" t="s">
        <v>35</v>
      </c>
      <c r="J8936" t="s">
        <v>7618</v>
      </c>
      <c r="K8936" t="s">
        <v>1092</v>
      </c>
      <c r="M8936">
        <v>0.7</v>
      </c>
      <c r="N8936">
        <v>75</v>
      </c>
      <c r="O8936" t="s">
        <v>61</v>
      </c>
      <c r="Q8936" t="s">
        <v>447</v>
      </c>
      <c r="R8936" t="s">
        <v>6709</v>
      </c>
      <c r="S8936" t="s">
        <v>1022</v>
      </c>
      <c r="T8936" t="s">
        <v>1023</v>
      </c>
    </row>
    <row r="8937" spans="1:20" x14ac:dyDescent="0.25">
      <c r="A8937" t="s">
        <v>59</v>
      </c>
      <c r="B8937" t="s">
        <v>60</v>
      </c>
      <c r="C8937" t="s">
        <v>32</v>
      </c>
      <c r="D8937" t="s">
        <v>953</v>
      </c>
      <c r="E8937" t="s">
        <v>954</v>
      </c>
      <c r="F8937" t="s">
        <v>35</v>
      </c>
      <c r="G8937" t="s">
        <v>35</v>
      </c>
      <c r="H8937" t="s">
        <v>35</v>
      </c>
      <c r="J8937" t="s">
        <v>6797</v>
      </c>
      <c r="K8937" t="s">
        <v>1092</v>
      </c>
      <c r="M8937">
        <v>0.02</v>
      </c>
      <c r="N8937">
        <v>353</v>
      </c>
      <c r="O8937" t="s">
        <v>5</v>
      </c>
      <c r="Q8937" t="s">
        <v>1435</v>
      </c>
      <c r="R8937" t="s">
        <v>6709</v>
      </c>
      <c r="S8937" t="s">
        <v>1022</v>
      </c>
      <c r="T8937" t="s">
        <v>1023</v>
      </c>
    </row>
    <row r="8938" spans="1:20" x14ac:dyDescent="0.25">
      <c r="A8938" t="s">
        <v>30</v>
      </c>
      <c r="B8938" t="s">
        <v>31</v>
      </c>
      <c r="C8938" t="s">
        <v>32</v>
      </c>
      <c r="D8938" t="s">
        <v>953</v>
      </c>
      <c r="F8938" t="s">
        <v>35</v>
      </c>
      <c r="G8938" t="s">
        <v>35</v>
      </c>
      <c r="H8938" t="s">
        <v>35</v>
      </c>
      <c r="J8938" t="s">
        <v>7977</v>
      </c>
      <c r="K8938" t="s">
        <v>1092</v>
      </c>
      <c r="M8938">
        <v>2.0699999999999998</v>
      </c>
      <c r="N8938">
        <v>269</v>
      </c>
      <c r="O8938" t="s">
        <v>5</v>
      </c>
      <c r="Q8938" t="s">
        <v>1952</v>
      </c>
      <c r="R8938" t="s">
        <v>6709</v>
      </c>
      <c r="S8938" t="s">
        <v>1022</v>
      </c>
      <c r="T8938" t="s">
        <v>1023</v>
      </c>
    </row>
    <row r="8939" spans="1:20" x14ac:dyDescent="0.25">
      <c r="A8939" t="s">
        <v>59</v>
      </c>
      <c r="B8939" t="s">
        <v>60</v>
      </c>
      <c r="C8939" t="s">
        <v>32</v>
      </c>
      <c r="D8939" t="s">
        <v>953</v>
      </c>
      <c r="F8939" t="s">
        <v>35</v>
      </c>
      <c r="G8939" t="s">
        <v>35</v>
      </c>
      <c r="H8939" t="s">
        <v>35</v>
      </c>
      <c r="J8939" t="s">
        <v>7933</v>
      </c>
      <c r="K8939" t="s">
        <v>1092</v>
      </c>
      <c r="M8939">
        <v>1</v>
      </c>
      <c r="N8939">
        <v>45</v>
      </c>
      <c r="O8939" t="s">
        <v>52</v>
      </c>
      <c r="Q8939" t="s">
        <v>1230</v>
      </c>
      <c r="R8939" t="s">
        <v>6709</v>
      </c>
      <c r="S8939" t="s">
        <v>1022</v>
      </c>
      <c r="T8939" t="s">
        <v>1023</v>
      </c>
    </row>
    <row r="8940" spans="1:20" x14ac:dyDescent="0.25">
      <c r="A8940" t="s">
        <v>59</v>
      </c>
      <c r="B8940" t="s">
        <v>60</v>
      </c>
      <c r="C8940" t="s">
        <v>32</v>
      </c>
      <c r="D8940" t="s">
        <v>953</v>
      </c>
      <c r="E8940" t="s">
        <v>968</v>
      </c>
      <c r="F8940" t="s">
        <v>35</v>
      </c>
      <c r="G8940" t="s">
        <v>35</v>
      </c>
      <c r="H8940" t="s">
        <v>35</v>
      </c>
      <c r="J8940" t="s">
        <v>6974</v>
      </c>
      <c r="K8940" t="s">
        <v>1092</v>
      </c>
      <c r="M8940">
        <v>0.05</v>
      </c>
      <c r="N8940">
        <v>52</v>
      </c>
      <c r="O8940" t="s">
        <v>52</v>
      </c>
      <c r="Q8940" t="s">
        <v>84</v>
      </c>
      <c r="R8940" t="s">
        <v>6709</v>
      </c>
      <c r="S8940" t="s">
        <v>1022</v>
      </c>
      <c r="T8940" t="s">
        <v>1023</v>
      </c>
    </row>
    <row r="8941" spans="1:20" x14ac:dyDescent="0.25">
      <c r="A8941" t="s">
        <v>44</v>
      </c>
      <c r="B8941" t="s">
        <v>3</v>
      </c>
      <c r="C8941" t="s">
        <v>32</v>
      </c>
      <c r="D8941" t="s">
        <v>953</v>
      </c>
      <c r="E8941" t="s">
        <v>968</v>
      </c>
      <c r="F8941" t="s">
        <v>35</v>
      </c>
      <c r="G8941" t="s">
        <v>35</v>
      </c>
      <c r="H8941" t="s">
        <v>35</v>
      </c>
      <c r="J8941" t="s">
        <v>6974</v>
      </c>
      <c r="K8941" t="s">
        <v>1092</v>
      </c>
      <c r="M8941">
        <v>0.75</v>
      </c>
      <c r="N8941">
        <v>168</v>
      </c>
      <c r="O8941" t="s">
        <v>38</v>
      </c>
      <c r="Q8941" t="s">
        <v>1692</v>
      </c>
      <c r="R8941" t="s">
        <v>6709</v>
      </c>
      <c r="S8941" t="s">
        <v>1022</v>
      </c>
      <c r="T8941" t="s">
        <v>1023</v>
      </c>
    </row>
    <row r="8942" spans="1:20" x14ac:dyDescent="0.25">
      <c r="A8942" t="s">
        <v>44</v>
      </c>
      <c r="B8942" t="s">
        <v>3</v>
      </c>
      <c r="C8942" t="s">
        <v>32</v>
      </c>
      <c r="D8942" t="s">
        <v>953</v>
      </c>
      <c r="E8942" t="s">
        <v>968</v>
      </c>
      <c r="F8942" t="s">
        <v>35</v>
      </c>
      <c r="G8942" t="s">
        <v>35</v>
      </c>
      <c r="H8942" t="s">
        <v>35</v>
      </c>
      <c r="J8942" t="s">
        <v>6974</v>
      </c>
      <c r="K8942" t="s">
        <v>1092</v>
      </c>
      <c r="M8942">
        <v>2.5</v>
      </c>
      <c r="N8942">
        <v>55</v>
      </c>
      <c r="O8942" t="s">
        <v>52</v>
      </c>
      <c r="Q8942" t="s">
        <v>90</v>
      </c>
      <c r="R8942" t="s">
        <v>6709</v>
      </c>
      <c r="S8942" t="s">
        <v>1022</v>
      </c>
      <c r="T8942" t="s">
        <v>1023</v>
      </c>
    </row>
    <row r="8943" spans="1:20" x14ac:dyDescent="0.25">
      <c r="A8943" t="s">
        <v>59</v>
      </c>
      <c r="B8943" t="s">
        <v>31</v>
      </c>
      <c r="C8943" t="s">
        <v>32</v>
      </c>
      <c r="D8943" t="s">
        <v>953</v>
      </c>
      <c r="E8943" t="s">
        <v>968</v>
      </c>
      <c r="F8943" t="s">
        <v>35</v>
      </c>
      <c r="G8943" t="s">
        <v>35</v>
      </c>
      <c r="H8943" t="s">
        <v>35</v>
      </c>
      <c r="J8943" t="s">
        <v>7028</v>
      </c>
      <c r="K8943" t="s">
        <v>1092</v>
      </c>
      <c r="M8943">
        <v>3.8250000000000002</v>
      </c>
      <c r="N8943">
        <v>173</v>
      </c>
      <c r="O8943" t="s">
        <v>38</v>
      </c>
      <c r="Q8943" t="s">
        <v>2138</v>
      </c>
      <c r="R8943" t="s">
        <v>6709</v>
      </c>
      <c r="S8943" t="s">
        <v>1022</v>
      </c>
      <c r="T8943" t="s">
        <v>1023</v>
      </c>
    </row>
    <row r="8944" spans="1:20" x14ac:dyDescent="0.25">
      <c r="A8944" t="s">
        <v>30</v>
      </c>
      <c r="B8944" t="s">
        <v>31</v>
      </c>
      <c r="C8944" t="s">
        <v>32</v>
      </c>
      <c r="D8944" t="s">
        <v>953</v>
      </c>
      <c r="E8944" t="s">
        <v>954</v>
      </c>
      <c r="F8944" t="s">
        <v>35</v>
      </c>
      <c r="G8944" t="s">
        <v>35</v>
      </c>
      <c r="H8944" t="s">
        <v>35</v>
      </c>
      <c r="J8944" t="s">
        <v>6765</v>
      </c>
      <c r="K8944" t="s">
        <v>1092</v>
      </c>
      <c r="M8944">
        <v>6.75</v>
      </c>
      <c r="N8944">
        <v>14</v>
      </c>
      <c r="O8944" t="s">
        <v>46</v>
      </c>
      <c r="Q8944" t="s">
        <v>1874</v>
      </c>
      <c r="R8944" t="s">
        <v>6709</v>
      </c>
      <c r="S8944" t="s">
        <v>1022</v>
      </c>
      <c r="T8944" t="s">
        <v>1023</v>
      </c>
    </row>
    <row r="8945" spans="1:20" x14ac:dyDescent="0.25">
      <c r="A8945" t="s">
        <v>59</v>
      </c>
      <c r="B8945" t="s">
        <v>60</v>
      </c>
      <c r="C8945" t="s">
        <v>32</v>
      </c>
      <c r="D8945" t="s">
        <v>953</v>
      </c>
      <c r="F8945" t="s">
        <v>35</v>
      </c>
      <c r="G8945" t="s">
        <v>35</v>
      </c>
      <c r="H8945" t="s">
        <v>35</v>
      </c>
      <c r="J8945" t="s">
        <v>7892</v>
      </c>
      <c r="K8945" t="s">
        <v>1092</v>
      </c>
      <c r="M8945">
        <v>4.3</v>
      </c>
      <c r="N8945">
        <v>84</v>
      </c>
      <c r="O8945" t="s">
        <v>61</v>
      </c>
      <c r="Q8945" t="s">
        <v>1147</v>
      </c>
      <c r="R8945" t="s">
        <v>6709</v>
      </c>
      <c r="S8945" t="s">
        <v>1022</v>
      </c>
      <c r="T8945" t="s">
        <v>1023</v>
      </c>
    </row>
    <row r="8946" spans="1:20" x14ac:dyDescent="0.25">
      <c r="A8946" t="s">
        <v>59</v>
      </c>
      <c r="B8946" t="s">
        <v>60</v>
      </c>
      <c r="C8946" t="s">
        <v>32</v>
      </c>
      <c r="D8946" t="s">
        <v>953</v>
      </c>
      <c r="E8946" t="s">
        <v>1007</v>
      </c>
      <c r="F8946" t="s">
        <v>35</v>
      </c>
      <c r="G8946" t="s">
        <v>35</v>
      </c>
      <c r="H8946" t="s">
        <v>35</v>
      </c>
      <c r="J8946" t="s">
        <v>7307</v>
      </c>
      <c r="K8946" t="s">
        <v>1092</v>
      </c>
      <c r="M8946">
        <v>10</v>
      </c>
      <c r="N8946">
        <v>74</v>
      </c>
      <c r="O8946" t="s">
        <v>61</v>
      </c>
      <c r="Q8946" t="s">
        <v>527</v>
      </c>
      <c r="R8946" t="s">
        <v>6709</v>
      </c>
      <c r="S8946" t="s">
        <v>1022</v>
      </c>
      <c r="T8946" t="s">
        <v>1023</v>
      </c>
    </row>
    <row r="8947" spans="1:20" x14ac:dyDescent="0.25">
      <c r="A8947" t="s">
        <v>59</v>
      </c>
      <c r="B8947" t="s">
        <v>60</v>
      </c>
      <c r="C8947" t="s">
        <v>32</v>
      </c>
      <c r="D8947" t="s">
        <v>953</v>
      </c>
      <c r="E8947" t="s">
        <v>968</v>
      </c>
      <c r="F8947" t="s">
        <v>35</v>
      </c>
      <c r="G8947" t="s">
        <v>35</v>
      </c>
      <c r="H8947" t="s">
        <v>35</v>
      </c>
      <c r="J8947" t="s">
        <v>7000</v>
      </c>
      <c r="K8947" t="s">
        <v>1092</v>
      </c>
      <c r="M8947">
        <v>2.9</v>
      </c>
      <c r="N8947">
        <v>52</v>
      </c>
      <c r="O8947" t="s">
        <v>52</v>
      </c>
      <c r="Q8947" t="s">
        <v>84</v>
      </c>
      <c r="R8947" t="s">
        <v>6709</v>
      </c>
      <c r="S8947" t="s">
        <v>1022</v>
      </c>
      <c r="T8947" t="s">
        <v>1023</v>
      </c>
    </row>
    <row r="8948" spans="1:20" x14ac:dyDescent="0.25">
      <c r="A8948" t="s">
        <v>44</v>
      </c>
      <c r="B8948" t="s">
        <v>3</v>
      </c>
      <c r="C8948" t="s">
        <v>32</v>
      </c>
      <c r="D8948" t="s">
        <v>953</v>
      </c>
      <c r="E8948" t="s">
        <v>968</v>
      </c>
      <c r="F8948" t="s">
        <v>35</v>
      </c>
      <c r="G8948" t="s">
        <v>35</v>
      </c>
      <c r="H8948" t="s">
        <v>35</v>
      </c>
      <c r="J8948" t="s">
        <v>7000</v>
      </c>
      <c r="K8948" t="s">
        <v>1092</v>
      </c>
      <c r="M8948">
        <v>4.8</v>
      </c>
      <c r="N8948">
        <v>55</v>
      </c>
      <c r="O8948" t="s">
        <v>52</v>
      </c>
      <c r="Q8948" t="s">
        <v>90</v>
      </c>
      <c r="R8948" t="s">
        <v>6709</v>
      </c>
      <c r="S8948" t="s">
        <v>1022</v>
      </c>
      <c r="T8948" t="s">
        <v>1023</v>
      </c>
    </row>
    <row r="8949" spans="1:20" x14ac:dyDescent="0.25">
      <c r="A8949" t="s">
        <v>44</v>
      </c>
      <c r="B8949" t="s">
        <v>3</v>
      </c>
      <c r="C8949" t="s">
        <v>32</v>
      </c>
      <c r="D8949" t="s">
        <v>953</v>
      </c>
      <c r="E8949" t="s">
        <v>968</v>
      </c>
      <c r="F8949" t="s">
        <v>35</v>
      </c>
      <c r="G8949" t="s">
        <v>35</v>
      </c>
      <c r="H8949" t="s">
        <v>35</v>
      </c>
      <c r="J8949" t="s">
        <v>6999</v>
      </c>
      <c r="K8949" t="s">
        <v>1092</v>
      </c>
      <c r="M8949">
        <v>5</v>
      </c>
      <c r="N8949">
        <v>55</v>
      </c>
      <c r="O8949" t="s">
        <v>52</v>
      </c>
      <c r="Q8949" t="s">
        <v>90</v>
      </c>
      <c r="R8949" t="s">
        <v>6709</v>
      </c>
      <c r="S8949" t="s">
        <v>1022</v>
      </c>
      <c r="T8949" t="s">
        <v>1023</v>
      </c>
    </row>
    <row r="8950" spans="1:20" x14ac:dyDescent="0.25">
      <c r="A8950" t="s">
        <v>59</v>
      </c>
      <c r="B8950" t="s">
        <v>60</v>
      </c>
      <c r="C8950" t="s">
        <v>32</v>
      </c>
      <c r="D8950" t="s">
        <v>953</v>
      </c>
      <c r="E8950" t="s">
        <v>968</v>
      </c>
      <c r="F8950" t="s">
        <v>35</v>
      </c>
      <c r="G8950" t="s">
        <v>35</v>
      </c>
      <c r="H8950" t="s">
        <v>35</v>
      </c>
      <c r="J8950" t="s">
        <v>7001</v>
      </c>
      <c r="K8950" t="s">
        <v>1092</v>
      </c>
      <c r="M8950">
        <v>1.048</v>
      </c>
      <c r="N8950">
        <v>237</v>
      </c>
      <c r="O8950" t="s">
        <v>5</v>
      </c>
      <c r="Q8950" t="s">
        <v>1242</v>
      </c>
      <c r="R8950" t="s">
        <v>6709</v>
      </c>
      <c r="S8950" t="s">
        <v>1022</v>
      </c>
      <c r="T8950" t="s">
        <v>1023</v>
      </c>
    </row>
    <row r="8951" spans="1:20" x14ac:dyDescent="0.25">
      <c r="A8951" t="s">
        <v>59</v>
      </c>
      <c r="B8951" t="s">
        <v>60</v>
      </c>
      <c r="C8951" t="s">
        <v>32</v>
      </c>
      <c r="D8951" t="s">
        <v>953</v>
      </c>
      <c r="E8951" t="s">
        <v>998</v>
      </c>
      <c r="F8951" t="s">
        <v>35</v>
      </c>
      <c r="G8951" t="s">
        <v>35</v>
      </c>
      <c r="H8951" t="s">
        <v>35</v>
      </c>
      <c r="J8951" t="s">
        <v>7238</v>
      </c>
      <c r="K8951" t="s">
        <v>1092</v>
      </c>
      <c r="M8951">
        <v>1.3</v>
      </c>
      <c r="N8951">
        <v>250</v>
      </c>
      <c r="O8951" t="s">
        <v>5</v>
      </c>
      <c r="Q8951" t="s">
        <v>1286</v>
      </c>
      <c r="R8951" t="s">
        <v>6709</v>
      </c>
      <c r="S8951" t="s">
        <v>1022</v>
      </c>
      <c r="T8951" t="s">
        <v>1023</v>
      </c>
    </row>
    <row r="8952" spans="1:20" x14ac:dyDescent="0.25">
      <c r="A8952" t="s">
        <v>59</v>
      </c>
      <c r="B8952" t="s">
        <v>60</v>
      </c>
      <c r="C8952" t="s">
        <v>32</v>
      </c>
      <c r="D8952" t="s">
        <v>953</v>
      </c>
      <c r="E8952" t="s">
        <v>1077</v>
      </c>
      <c r="F8952" t="s">
        <v>35</v>
      </c>
      <c r="G8952" t="s">
        <v>35</v>
      </c>
      <c r="H8952" t="s">
        <v>35</v>
      </c>
      <c r="J8952" t="s">
        <v>7637</v>
      </c>
      <c r="K8952" t="s">
        <v>1092</v>
      </c>
      <c r="M8952">
        <v>5</v>
      </c>
      <c r="N8952">
        <v>52</v>
      </c>
      <c r="O8952" t="s">
        <v>52</v>
      </c>
      <c r="Q8952" t="s">
        <v>84</v>
      </c>
      <c r="R8952" t="s">
        <v>6709</v>
      </c>
      <c r="S8952" t="s">
        <v>1022</v>
      </c>
      <c r="T8952" t="s">
        <v>1023</v>
      </c>
    </row>
    <row r="8953" spans="1:20" x14ac:dyDescent="0.25">
      <c r="A8953" t="s">
        <v>59</v>
      </c>
      <c r="B8953" t="s">
        <v>31</v>
      </c>
      <c r="C8953" t="s">
        <v>32</v>
      </c>
      <c r="D8953" t="s">
        <v>953</v>
      </c>
      <c r="E8953" t="s">
        <v>1077</v>
      </c>
      <c r="F8953" t="s">
        <v>35</v>
      </c>
      <c r="G8953" t="s">
        <v>35</v>
      </c>
      <c r="H8953" t="s">
        <v>35</v>
      </c>
      <c r="J8953" t="s">
        <v>7637</v>
      </c>
      <c r="K8953" t="s">
        <v>1092</v>
      </c>
      <c r="M8953">
        <v>4.2300000000000004</v>
      </c>
      <c r="N8953">
        <v>52</v>
      </c>
      <c r="O8953" t="s">
        <v>52</v>
      </c>
      <c r="Q8953" t="s">
        <v>84</v>
      </c>
      <c r="R8953" t="s">
        <v>6709</v>
      </c>
      <c r="S8953" t="s">
        <v>1022</v>
      </c>
      <c r="T8953" t="s">
        <v>1023</v>
      </c>
    </row>
    <row r="8954" spans="1:20" x14ac:dyDescent="0.25">
      <c r="A8954" t="s">
        <v>44</v>
      </c>
      <c r="B8954" t="s">
        <v>3</v>
      </c>
      <c r="C8954" t="s">
        <v>32</v>
      </c>
      <c r="D8954" t="s">
        <v>953</v>
      </c>
      <c r="E8954" t="s">
        <v>1015</v>
      </c>
      <c r="F8954" t="s">
        <v>35</v>
      </c>
      <c r="G8954" t="s">
        <v>35</v>
      </c>
      <c r="H8954" t="s">
        <v>35</v>
      </c>
      <c r="J8954" t="s">
        <v>7397</v>
      </c>
      <c r="K8954" t="s">
        <v>1092</v>
      </c>
      <c r="M8954">
        <v>4.9000000000000004</v>
      </c>
      <c r="N8954">
        <v>55</v>
      </c>
      <c r="O8954" t="s">
        <v>52</v>
      </c>
      <c r="Q8954" t="s">
        <v>90</v>
      </c>
      <c r="R8954" t="s">
        <v>6709</v>
      </c>
      <c r="S8954" t="s">
        <v>1022</v>
      </c>
      <c r="T8954" t="s">
        <v>1023</v>
      </c>
    </row>
    <row r="8955" spans="1:20" x14ac:dyDescent="0.25">
      <c r="A8955" t="s">
        <v>59</v>
      </c>
      <c r="B8955" t="s">
        <v>31</v>
      </c>
      <c r="C8955" t="s">
        <v>32</v>
      </c>
      <c r="D8955" t="s">
        <v>953</v>
      </c>
      <c r="E8955" t="s">
        <v>6878</v>
      </c>
      <c r="F8955" t="s">
        <v>35</v>
      </c>
      <c r="G8955" t="s">
        <v>35</v>
      </c>
      <c r="H8955" t="s">
        <v>35</v>
      </c>
      <c r="J8955" t="s">
        <v>6916</v>
      </c>
      <c r="K8955" t="s">
        <v>1092</v>
      </c>
      <c r="M8955">
        <v>0.22500000000000001</v>
      </c>
      <c r="N8955">
        <v>139</v>
      </c>
      <c r="O8955" t="s">
        <v>38</v>
      </c>
      <c r="Q8955" t="s">
        <v>1335</v>
      </c>
      <c r="R8955" t="s">
        <v>6709</v>
      </c>
      <c r="S8955" t="s">
        <v>1022</v>
      </c>
      <c r="T8955" t="s">
        <v>1023</v>
      </c>
    </row>
    <row r="8956" spans="1:20" x14ac:dyDescent="0.25">
      <c r="A8956" t="s">
        <v>59</v>
      </c>
      <c r="B8956" t="s">
        <v>31</v>
      </c>
      <c r="C8956" t="s">
        <v>32</v>
      </c>
      <c r="D8956" t="s">
        <v>953</v>
      </c>
      <c r="E8956" t="s">
        <v>1007</v>
      </c>
      <c r="F8956" t="s">
        <v>35</v>
      </c>
      <c r="G8956" t="s">
        <v>35</v>
      </c>
      <c r="H8956" t="s">
        <v>35</v>
      </c>
      <c r="J8956" t="s">
        <v>7304</v>
      </c>
      <c r="K8956" t="s">
        <v>1092</v>
      </c>
      <c r="M8956">
        <v>4.7699999999999996</v>
      </c>
      <c r="N8956">
        <v>53</v>
      </c>
      <c r="O8956" t="s">
        <v>52</v>
      </c>
      <c r="Q8956" t="s">
        <v>1734</v>
      </c>
      <c r="R8956" t="s">
        <v>6709</v>
      </c>
      <c r="S8956" t="s">
        <v>1022</v>
      </c>
      <c r="T8956" t="s">
        <v>1023</v>
      </c>
    </row>
    <row r="8957" spans="1:20" x14ac:dyDescent="0.25">
      <c r="A8957" t="s">
        <v>44</v>
      </c>
      <c r="B8957" t="s">
        <v>3</v>
      </c>
      <c r="C8957" t="s">
        <v>32</v>
      </c>
      <c r="D8957" t="s">
        <v>953</v>
      </c>
      <c r="E8957" t="s">
        <v>1007</v>
      </c>
      <c r="F8957" t="s">
        <v>35</v>
      </c>
      <c r="G8957" t="s">
        <v>35</v>
      </c>
      <c r="H8957" t="s">
        <v>35</v>
      </c>
      <c r="J8957" t="s">
        <v>7304</v>
      </c>
      <c r="K8957" t="s">
        <v>1092</v>
      </c>
      <c r="M8957">
        <v>10</v>
      </c>
      <c r="N8957">
        <v>60</v>
      </c>
      <c r="O8957" t="s">
        <v>52</v>
      </c>
      <c r="Q8957" t="s">
        <v>1311</v>
      </c>
      <c r="R8957" t="s">
        <v>6709</v>
      </c>
      <c r="S8957" t="s">
        <v>1022</v>
      </c>
      <c r="T8957" t="s">
        <v>1023</v>
      </c>
    </row>
    <row r="8958" spans="1:20" x14ac:dyDescent="0.25">
      <c r="A8958" t="s">
        <v>30</v>
      </c>
      <c r="B8958" t="s">
        <v>31</v>
      </c>
      <c r="C8958" t="s">
        <v>32</v>
      </c>
      <c r="D8958" t="s">
        <v>953</v>
      </c>
      <c r="E8958" t="s">
        <v>7558</v>
      </c>
      <c r="F8958" t="s">
        <v>35</v>
      </c>
      <c r="G8958" t="s">
        <v>35</v>
      </c>
      <c r="H8958" t="s">
        <v>35</v>
      </c>
      <c r="J8958" t="s">
        <v>7600</v>
      </c>
      <c r="K8958" t="s">
        <v>1092</v>
      </c>
      <c r="M8958">
        <v>0.495</v>
      </c>
      <c r="N8958">
        <v>270</v>
      </c>
      <c r="O8958" t="s">
        <v>5</v>
      </c>
      <c r="Q8958" t="s">
        <v>5812</v>
      </c>
      <c r="R8958" t="s">
        <v>6709</v>
      </c>
      <c r="S8958" t="s">
        <v>1022</v>
      </c>
      <c r="T8958" t="s">
        <v>1023</v>
      </c>
    </row>
    <row r="8959" spans="1:20" x14ac:dyDescent="0.25">
      <c r="A8959" t="s">
        <v>59</v>
      </c>
      <c r="B8959" t="s">
        <v>31</v>
      </c>
      <c r="C8959" t="s">
        <v>32</v>
      </c>
      <c r="D8959" t="s">
        <v>953</v>
      </c>
      <c r="E8959" t="s">
        <v>1077</v>
      </c>
      <c r="F8959" t="s">
        <v>35</v>
      </c>
      <c r="G8959" t="s">
        <v>35</v>
      </c>
      <c r="H8959" t="s">
        <v>35</v>
      </c>
      <c r="J8959" t="s">
        <v>7642</v>
      </c>
      <c r="K8959" t="s">
        <v>1092</v>
      </c>
      <c r="M8959">
        <v>4.9950000000000001</v>
      </c>
      <c r="N8959">
        <v>52</v>
      </c>
      <c r="O8959" t="s">
        <v>52</v>
      </c>
      <c r="Q8959" t="s">
        <v>84</v>
      </c>
      <c r="R8959" t="s">
        <v>6709</v>
      </c>
      <c r="S8959" t="s">
        <v>1022</v>
      </c>
      <c r="T8959" t="s">
        <v>1023</v>
      </c>
    </row>
    <row r="8960" spans="1:20" x14ac:dyDescent="0.25">
      <c r="A8960" t="s">
        <v>30</v>
      </c>
      <c r="B8960" t="s">
        <v>31</v>
      </c>
      <c r="C8960" t="s">
        <v>32</v>
      </c>
      <c r="D8960" t="s">
        <v>953</v>
      </c>
      <c r="E8960" t="s">
        <v>1077</v>
      </c>
      <c r="F8960" t="s">
        <v>35</v>
      </c>
      <c r="G8960" t="s">
        <v>35</v>
      </c>
      <c r="H8960" t="s">
        <v>35</v>
      </c>
      <c r="J8960" t="s">
        <v>7642</v>
      </c>
      <c r="K8960" t="s">
        <v>1092</v>
      </c>
      <c r="M8960">
        <v>10.98</v>
      </c>
      <c r="N8960">
        <v>38</v>
      </c>
      <c r="O8960" t="s">
        <v>52</v>
      </c>
      <c r="Q8960" t="s">
        <v>716</v>
      </c>
      <c r="R8960" t="s">
        <v>6709</v>
      </c>
      <c r="S8960" t="s">
        <v>1022</v>
      </c>
      <c r="T8960" t="s">
        <v>1023</v>
      </c>
    </row>
    <row r="8961" spans="1:20" x14ac:dyDescent="0.25">
      <c r="A8961" t="s">
        <v>44</v>
      </c>
      <c r="B8961" t="s">
        <v>3</v>
      </c>
      <c r="C8961" t="s">
        <v>32</v>
      </c>
      <c r="D8961" t="s">
        <v>953</v>
      </c>
      <c r="E8961" t="s">
        <v>1077</v>
      </c>
      <c r="F8961" t="s">
        <v>35</v>
      </c>
      <c r="G8961" t="s">
        <v>35</v>
      </c>
      <c r="H8961" t="s">
        <v>35</v>
      </c>
      <c r="J8961" t="s">
        <v>7642</v>
      </c>
      <c r="K8961" t="s">
        <v>1092</v>
      </c>
      <c r="M8961">
        <v>10</v>
      </c>
      <c r="N8961">
        <v>55</v>
      </c>
      <c r="O8961" t="s">
        <v>52</v>
      </c>
      <c r="Q8961" t="s">
        <v>90</v>
      </c>
      <c r="R8961" t="s">
        <v>6709</v>
      </c>
      <c r="S8961" t="s">
        <v>1022</v>
      </c>
      <c r="T8961" t="s">
        <v>1023</v>
      </c>
    </row>
    <row r="8962" spans="1:20" x14ac:dyDescent="0.25">
      <c r="A8962" t="s">
        <v>59</v>
      </c>
      <c r="B8962" t="s">
        <v>60</v>
      </c>
      <c r="C8962" t="s">
        <v>32</v>
      </c>
      <c r="D8962" t="s">
        <v>953</v>
      </c>
      <c r="E8962" t="s">
        <v>1077</v>
      </c>
      <c r="F8962" t="s">
        <v>35</v>
      </c>
      <c r="G8962" t="s">
        <v>35</v>
      </c>
      <c r="H8962" t="s">
        <v>35</v>
      </c>
      <c r="J8962" t="s">
        <v>7701</v>
      </c>
      <c r="K8962" t="s">
        <v>1092</v>
      </c>
      <c r="M8962">
        <v>3.5630000000000002</v>
      </c>
      <c r="N8962">
        <v>270</v>
      </c>
      <c r="O8962" t="s">
        <v>5</v>
      </c>
      <c r="Q8962" t="s">
        <v>5812</v>
      </c>
      <c r="R8962" t="s">
        <v>6709</v>
      </c>
      <c r="S8962" t="s">
        <v>1022</v>
      </c>
      <c r="T8962" t="s">
        <v>1023</v>
      </c>
    </row>
    <row r="8963" spans="1:20" x14ac:dyDescent="0.25">
      <c r="A8963" t="s">
        <v>30</v>
      </c>
      <c r="B8963" t="s">
        <v>31</v>
      </c>
      <c r="C8963" t="s">
        <v>32</v>
      </c>
      <c r="D8963" t="s">
        <v>953</v>
      </c>
      <c r="E8963" t="s">
        <v>7494</v>
      </c>
      <c r="F8963" t="s">
        <v>35</v>
      </c>
      <c r="G8963" t="s">
        <v>35</v>
      </c>
      <c r="H8963" t="s">
        <v>35</v>
      </c>
      <c r="J8963" t="s">
        <v>7505</v>
      </c>
      <c r="K8963" t="s">
        <v>1092</v>
      </c>
      <c r="M8963">
        <v>0.67500000000000004</v>
      </c>
      <c r="N8963">
        <v>186</v>
      </c>
      <c r="O8963" t="s">
        <v>5</v>
      </c>
      <c r="Q8963" t="s">
        <v>1894</v>
      </c>
      <c r="R8963" t="s">
        <v>6709</v>
      </c>
      <c r="S8963" t="s">
        <v>1022</v>
      </c>
      <c r="T8963" t="s">
        <v>1023</v>
      </c>
    </row>
    <row r="8964" spans="1:20" x14ac:dyDescent="0.25">
      <c r="A8964" t="s">
        <v>44</v>
      </c>
      <c r="B8964" t="s">
        <v>3</v>
      </c>
      <c r="C8964" t="s">
        <v>32</v>
      </c>
      <c r="D8964" t="s">
        <v>953</v>
      </c>
      <c r="E8964" t="s">
        <v>968</v>
      </c>
      <c r="F8964" t="s">
        <v>35</v>
      </c>
      <c r="G8964" t="s">
        <v>35</v>
      </c>
      <c r="H8964" t="s">
        <v>35</v>
      </c>
      <c r="J8964" t="s">
        <v>7018</v>
      </c>
      <c r="K8964" t="s">
        <v>1092</v>
      </c>
      <c r="M8964">
        <v>10</v>
      </c>
      <c r="N8964">
        <v>52</v>
      </c>
      <c r="O8964" t="s">
        <v>52</v>
      </c>
      <c r="Q8964" t="s">
        <v>84</v>
      </c>
      <c r="R8964" t="s">
        <v>6709</v>
      </c>
      <c r="S8964" t="s">
        <v>1022</v>
      </c>
      <c r="T8964" t="s">
        <v>1023</v>
      </c>
    </row>
    <row r="8965" spans="1:20" x14ac:dyDescent="0.25">
      <c r="A8965" t="s">
        <v>59</v>
      </c>
      <c r="B8965" t="s">
        <v>60</v>
      </c>
      <c r="C8965" t="s">
        <v>32</v>
      </c>
      <c r="D8965" t="s">
        <v>953</v>
      </c>
      <c r="E8965" t="s">
        <v>968</v>
      </c>
      <c r="F8965" t="s">
        <v>35</v>
      </c>
      <c r="G8965" t="s">
        <v>35</v>
      </c>
      <c r="H8965" t="s">
        <v>35</v>
      </c>
      <c r="J8965" t="s">
        <v>7018</v>
      </c>
      <c r="K8965" t="s">
        <v>1092</v>
      </c>
      <c r="M8965">
        <v>3.6</v>
      </c>
      <c r="N8965">
        <v>52</v>
      </c>
      <c r="O8965" t="s">
        <v>52</v>
      </c>
      <c r="Q8965" t="s">
        <v>84</v>
      </c>
      <c r="R8965" t="s">
        <v>6709</v>
      </c>
      <c r="S8965" t="s">
        <v>1022</v>
      </c>
      <c r="T8965" t="s">
        <v>1023</v>
      </c>
    </row>
    <row r="8966" spans="1:20" x14ac:dyDescent="0.25">
      <c r="A8966" t="s">
        <v>44</v>
      </c>
      <c r="B8966" t="s">
        <v>3</v>
      </c>
      <c r="C8966" t="s">
        <v>32</v>
      </c>
      <c r="D8966" t="s">
        <v>953</v>
      </c>
      <c r="E8966" t="s">
        <v>968</v>
      </c>
      <c r="F8966" t="s">
        <v>35</v>
      </c>
      <c r="G8966" t="s">
        <v>35</v>
      </c>
      <c r="H8966" t="s">
        <v>35</v>
      </c>
      <c r="J8966" t="s">
        <v>7008</v>
      </c>
      <c r="K8966" t="s">
        <v>1092</v>
      </c>
      <c r="M8966">
        <v>5</v>
      </c>
      <c r="N8966">
        <v>55</v>
      </c>
      <c r="O8966" t="s">
        <v>52</v>
      </c>
      <c r="Q8966" t="s">
        <v>90</v>
      </c>
      <c r="R8966" t="s">
        <v>6709</v>
      </c>
      <c r="S8966" t="s">
        <v>1022</v>
      </c>
      <c r="T8966" t="s">
        <v>1023</v>
      </c>
    </row>
    <row r="8967" spans="1:20" x14ac:dyDescent="0.25">
      <c r="A8967" t="s">
        <v>59</v>
      </c>
      <c r="B8967" t="s">
        <v>31</v>
      </c>
      <c r="C8967" t="s">
        <v>32</v>
      </c>
      <c r="D8967" t="s">
        <v>953</v>
      </c>
      <c r="E8967" t="s">
        <v>968</v>
      </c>
      <c r="F8967" t="s">
        <v>35</v>
      </c>
      <c r="G8967" t="s">
        <v>35</v>
      </c>
      <c r="H8967" t="s">
        <v>35</v>
      </c>
      <c r="J8967" t="s">
        <v>7008</v>
      </c>
      <c r="K8967" t="s">
        <v>1092</v>
      </c>
      <c r="M8967">
        <v>1.8</v>
      </c>
      <c r="N8967">
        <v>52</v>
      </c>
      <c r="O8967" t="s">
        <v>52</v>
      </c>
      <c r="Q8967" t="s">
        <v>84</v>
      </c>
      <c r="R8967" t="s">
        <v>6709</v>
      </c>
      <c r="S8967" t="s">
        <v>1022</v>
      </c>
      <c r="T8967" t="s">
        <v>1023</v>
      </c>
    </row>
    <row r="8968" spans="1:20" x14ac:dyDescent="0.25">
      <c r="A8968" t="s">
        <v>59</v>
      </c>
      <c r="B8968" t="s">
        <v>60</v>
      </c>
      <c r="C8968" t="s">
        <v>32</v>
      </c>
      <c r="D8968" t="s">
        <v>953</v>
      </c>
      <c r="E8968" t="s">
        <v>1015</v>
      </c>
      <c r="F8968" t="s">
        <v>35</v>
      </c>
      <c r="G8968" t="s">
        <v>35</v>
      </c>
      <c r="H8968" t="s">
        <v>35</v>
      </c>
      <c r="J8968" t="s">
        <v>7343</v>
      </c>
      <c r="K8968" t="s">
        <v>1092</v>
      </c>
      <c r="M8968">
        <v>2.4</v>
      </c>
      <c r="N8968">
        <v>61</v>
      </c>
      <c r="O8968" t="s">
        <v>61</v>
      </c>
      <c r="Q8968" t="s">
        <v>146</v>
      </c>
      <c r="R8968" t="s">
        <v>6709</v>
      </c>
      <c r="S8968" t="s">
        <v>1022</v>
      </c>
      <c r="T8968" t="s">
        <v>1023</v>
      </c>
    </row>
    <row r="8969" spans="1:20" x14ac:dyDescent="0.25">
      <c r="A8969" t="s">
        <v>30</v>
      </c>
      <c r="B8969" t="s">
        <v>31</v>
      </c>
      <c r="C8969" t="s">
        <v>32</v>
      </c>
      <c r="D8969" t="s">
        <v>953</v>
      </c>
      <c r="E8969" t="s">
        <v>980</v>
      </c>
      <c r="F8969" t="s">
        <v>35</v>
      </c>
      <c r="G8969" t="s">
        <v>35</v>
      </c>
      <c r="H8969" t="s">
        <v>35</v>
      </c>
      <c r="J8969" t="s">
        <v>7119</v>
      </c>
      <c r="K8969" t="s">
        <v>1092</v>
      </c>
      <c r="M8969">
        <v>4.8150000000000004</v>
      </c>
      <c r="N8969">
        <v>38</v>
      </c>
      <c r="O8969" t="s">
        <v>52</v>
      </c>
      <c r="Q8969" t="s">
        <v>716</v>
      </c>
      <c r="R8969" t="s">
        <v>6709</v>
      </c>
      <c r="S8969" t="s">
        <v>1022</v>
      </c>
      <c r="T8969" t="s">
        <v>1023</v>
      </c>
    </row>
    <row r="8970" spans="1:20" x14ac:dyDescent="0.25">
      <c r="A8970" t="s">
        <v>59</v>
      </c>
      <c r="B8970" t="s">
        <v>31</v>
      </c>
      <c r="C8970" t="s">
        <v>32</v>
      </c>
      <c r="D8970" t="s">
        <v>953</v>
      </c>
      <c r="F8970" t="s">
        <v>35</v>
      </c>
      <c r="G8970" t="s">
        <v>35</v>
      </c>
      <c r="H8970" t="s">
        <v>35</v>
      </c>
      <c r="J8970" t="s">
        <v>8031</v>
      </c>
      <c r="K8970" t="s">
        <v>1092</v>
      </c>
      <c r="M8970">
        <v>6.6150000000000002</v>
      </c>
      <c r="N8970">
        <v>1168</v>
      </c>
      <c r="O8970" t="s">
        <v>575</v>
      </c>
      <c r="Q8970" t="s">
        <v>7941</v>
      </c>
      <c r="R8970" t="s">
        <v>6709</v>
      </c>
      <c r="S8970" t="s">
        <v>1022</v>
      </c>
      <c r="T8970" t="s">
        <v>1023</v>
      </c>
    </row>
    <row r="8971" spans="1:20" x14ac:dyDescent="0.25">
      <c r="A8971" t="s">
        <v>59</v>
      </c>
      <c r="B8971" t="s">
        <v>31</v>
      </c>
      <c r="C8971" t="s">
        <v>32</v>
      </c>
      <c r="D8971" t="s">
        <v>953</v>
      </c>
      <c r="F8971" t="s">
        <v>35</v>
      </c>
      <c r="G8971" t="s">
        <v>35</v>
      </c>
      <c r="H8971" t="s">
        <v>35</v>
      </c>
      <c r="J8971" t="s">
        <v>8031</v>
      </c>
      <c r="K8971" t="s">
        <v>1092</v>
      </c>
      <c r="M8971">
        <v>1.89</v>
      </c>
      <c r="N8971">
        <v>1235</v>
      </c>
      <c r="O8971" t="s">
        <v>575</v>
      </c>
      <c r="Q8971" t="s">
        <v>4887</v>
      </c>
      <c r="R8971" t="s">
        <v>6709</v>
      </c>
      <c r="S8971" t="s">
        <v>1022</v>
      </c>
      <c r="T8971" t="s">
        <v>1023</v>
      </c>
    </row>
    <row r="8972" spans="1:20" x14ac:dyDescent="0.25">
      <c r="A8972" t="s">
        <v>59</v>
      </c>
      <c r="B8972" t="s">
        <v>60</v>
      </c>
      <c r="C8972" t="s">
        <v>32</v>
      </c>
      <c r="D8972" t="s">
        <v>953</v>
      </c>
      <c r="E8972" t="s">
        <v>1077</v>
      </c>
      <c r="F8972" t="s">
        <v>35</v>
      </c>
      <c r="G8972" t="s">
        <v>35</v>
      </c>
      <c r="H8972" t="s">
        <v>35</v>
      </c>
      <c r="J8972" t="s">
        <v>7732</v>
      </c>
      <c r="K8972" t="s">
        <v>1092</v>
      </c>
      <c r="M8972">
        <v>1.6</v>
      </c>
      <c r="N8972">
        <v>128</v>
      </c>
      <c r="O8972" t="s">
        <v>38</v>
      </c>
      <c r="Q8972" t="s">
        <v>98</v>
      </c>
      <c r="R8972" t="s">
        <v>6709</v>
      </c>
      <c r="S8972" t="s">
        <v>1022</v>
      </c>
      <c r="T8972" t="s">
        <v>1023</v>
      </c>
    </row>
    <row r="8973" spans="1:20" x14ac:dyDescent="0.25">
      <c r="A8973" t="s">
        <v>59</v>
      </c>
      <c r="B8973" t="s">
        <v>60</v>
      </c>
      <c r="C8973" t="s">
        <v>32</v>
      </c>
      <c r="D8973" t="s">
        <v>953</v>
      </c>
      <c r="E8973" t="s">
        <v>1077</v>
      </c>
      <c r="F8973" t="s">
        <v>35</v>
      </c>
      <c r="G8973" t="s">
        <v>35</v>
      </c>
      <c r="H8973" t="s">
        <v>35</v>
      </c>
      <c r="J8973" t="s">
        <v>7708</v>
      </c>
      <c r="K8973" t="s">
        <v>1092</v>
      </c>
      <c r="M8973">
        <v>0.5</v>
      </c>
      <c r="N8973">
        <v>1032</v>
      </c>
      <c r="O8973" t="s">
        <v>575</v>
      </c>
      <c r="Q8973" t="s">
        <v>7709</v>
      </c>
      <c r="R8973" t="s">
        <v>6709</v>
      </c>
      <c r="S8973" t="s">
        <v>1022</v>
      </c>
      <c r="T8973" t="s">
        <v>1023</v>
      </c>
    </row>
    <row r="8974" spans="1:20" x14ac:dyDescent="0.25">
      <c r="A8974" t="s">
        <v>30</v>
      </c>
      <c r="B8974" t="s">
        <v>31</v>
      </c>
      <c r="C8974" t="s">
        <v>32</v>
      </c>
      <c r="D8974" t="s">
        <v>953</v>
      </c>
      <c r="E8974" t="s">
        <v>6878</v>
      </c>
      <c r="F8974" t="s">
        <v>35</v>
      </c>
      <c r="G8974" t="s">
        <v>35</v>
      </c>
      <c r="H8974" t="s">
        <v>35</v>
      </c>
      <c r="J8974" t="s">
        <v>6959</v>
      </c>
      <c r="K8974" t="s">
        <v>1092</v>
      </c>
      <c r="M8974">
        <v>0.13500000000000001</v>
      </c>
      <c r="N8974">
        <v>196</v>
      </c>
      <c r="O8974" t="s">
        <v>5</v>
      </c>
      <c r="Q8974" t="s">
        <v>6960</v>
      </c>
      <c r="R8974" t="s">
        <v>6709</v>
      </c>
      <c r="S8974" t="s">
        <v>1022</v>
      </c>
      <c r="T8974" t="s">
        <v>1023</v>
      </c>
    </row>
    <row r="8975" spans="1:20" x14ac:dyDescent="0.25">
      <c r="A8975" t="s">
        <v>30</v>
      </c>
      <c r="B8975" t="s">
        <v>31</v>
      </c>
      <c r="C8975" t="s">
        <v>32</v>
      </c>
      <c r="D8975" t="s">
        <v>953</v>
      </c>
      <c r="F8975" t="s">
        <v>35</v>
      </c>
      <c r="G8975" t="s">
        <v>35</v>
      </c>
      <c r="H8975" t="s">
        <v>35</v>
      </c>
      <c r="J8975" t="s">
        <v>7984</v>
      </c>
      <c r="K8975" t="s">
        <v>1092</v>
      </c>
      <c r="M8975">
        <v>2.2949999999999999</v>
      </c>
      <c r="N8975">
        <v>452</v>
      </c>
      <c r="O8975" t="s">
        <v>294</v>
      </c>
      <c r="Q8975" t="s">
        <v>1199</v>
      </c>
      <c r="R8975" t="s">
        <v>6709</v>
      </c>
      <c r="S8975" t="s">
        <v>1022</v>
      </c>
      <c r="T8975" t="s">
        <v>1023</v>
      </c>
    </row>
    <row r="8976" spans="1:20" x14ac:dyDescent="0.25">
      <c r="A8976" t="s">
        <v>30</v>
      </c>
      <c r="B8976" t="s">
        <v>31</v>
      </c>
      <c r="C8976" t="s">
        <v>32</v>
      </c>
      <c r="D8976" t="s">
        <v>953</v>
      </c>
      <c r="E8976" t="s">
        <v>1007</v>
      </c>
      <c r="F8976" t="s">
        <v>35</v>
      </c>
      <c r="G8976" t="s">
        <v>35</v>
      </c>
      <c r="H8976" t="s">
        <v>35</v>
      </c>
      <c r="J8976" t="s">
        <v>7327</v>
      </c>
      <c r="K8976" t="s">
        <v>1092</v>
      </c>
      <c r="M8976">
        <v>0.13500000000000001</v>
      </c>
      <c r="N8976">
        <v>247</v>
      </c>
      <c r="O8976" t="s">
        <v>5</v>
      </c>
      <c r="Q8976" t="s">
        <v>367</v>
      </c>
      <c r="R8976" t="s">
        <v>6709</v>
      </c>
      <c r="S8976" t="s">
        <v>1022</v>
      </c>
      <c r="T8976" t="s">
        <v>1023</v>
      </c>
    </row>
    <row r="8977" spans="1:20" x14ac:dyDescent="0.25">
      <c r="A8977" t="s">
        <v>59</v>
      </c>
      <c r="B8977" t="s">
        <v>60</v>
      </c>
      <c r="C8977" t="s">
        <v>32</v>
      </c>
      <c r="D8977" t="s">
        <v>953</v>
      </c>
      <c r="E8977" t="s">
        <v>6878</v>
      </c>
      <c r="F8977" t="s">
        <v>35</v>
      </c>
      <c r="G8977" t="s">
        <v>35</v>
      </c>
      <c r="H8977" t="s">
        <v>35</v>
      </c>
      <c r="J8977" t="s">
        <v>6944</v>
      </c>
      <c r="K8977" t="s">
        <v>1092</v>
      </c>
      <c r="M8977">
        <v>0.05</v>
      </c>
      <c r="N8977">
        <v>518</v>
      </c>
      <c r="O8977" t="s">
        <v>294</v>
      </c>
      <c r="Q8977" t="s">
        <v>3776</v>
      </c>
      <c r="R8977" t="s">
        <v>6709</v>
      </c>
      <c r="S8977" t="s">
        <v>1022</v>
      </c>
      <c r="T8977" t="s">
        <v>1023</v>
      </c>
    </row>
    <row r="8978" spans="1:20" x14ac:dyDescent="0.25">
      <c r="A8978" t="s">
        <v>59</v>
      </c>
      <c r="B8978" t="s">
        <v>60</v>
      </c>
      <c r="C8978" t="s">
        <v>32</v>
      </c>
      <c r="D8978" t="s">
        <v>953</v>
      </c>
      <c r="E8978" t="s">
        <v>6878</v>
      </c>
      <c r="F8978" t="s">
        <v>35</v>
      </c>
      <c r="G8978" t="s">
        <v>35</v>
      </c>
      <c r="H8978" t="s">
        <v>35</v>
      </c>
      <c r="J8978" t="s">
        <v>6903</v>
      </c>
      <c r="K8978" t="s">
        <v>1092</v>
      </c>
      <c r="M8978">
        <v>2.5499999999999998</v>
      </c>
      <c r="N8978">
        <v>52</v>
      </c>
      <c r="O8978" t="s">
        <v>52</v>
      </c>
      <c r="Q8978" t="s">
        <v>84</v>
      </c>
      <c r="R8978" t="s">
        <v>6709</v>
      </c>
      <c r="S8978" t="s">
        <v>1022</v>
      </c>
      <c r="T8978" t="s">
        <v>1023</v>
      </c>
    </row>
    <row r="8979" spans="1:20" x14ac:dyDescent="0.25">
      <c r="A8979" t="s">
        <v>44</v>
      </c>
      <c r="B8979" t="s">
        <v>3</v>
      </c>
      <c r="C8979" t="s">
        <v>32</v>
      </c>
      <c r="D8979" t="s">
        <v>953</v>
      </c>
      <c r="E8979" t="s">
        <v>968</v>
      </c>
      <c r="F8979" t="s">
        <v>35</v>
      </c>
      <c r="G8979" t="s">
        <v>35</v>
      </c>
      <c r="H8979" t="s">
        <v>35</v>
      </c>
      <c r="J8979" t="s">
        <v>6977</v>
      </c>
      <c r="K8979" t="s">
        <v>1092</v>
      </c>
      <c r="M8979">
        <v>4.6500000000000004</v>
      </c>
      <c r="N8979">
        <v>55</v>
      </c>
      <c r="O8979" t="s">
        <v>52</v>
      </c>
      <c r="Q8979" t="s">
        <v>90</v>
      </c>
      <c r="R8979" t="s">
        <v>6709</v>
      </c>
      <c r="S8979" t="s">
        <v>1022</v>
      </c>
      <c r="T8979" t="s">
        <v>1023</v>
      </c>
    </row>
    <row r="8980" spans="1:20" x14ac:dyDescent="0.25">
      <c r="A8980" t="s">
        <v>59</v>
      </c>
      <c r="B8980" t="s">
        <v>31</v>
      </c>
      <c r="C8980" t="s">
        <v>32</v>
      </c>
      <c r="D8980" t="s">
        <v>953</v>
      </c>
      <c r="E8980" t="s">
        <v>968</v>
      </c>
      <c r="F8980" t="s">
        <v>35</v>
      </c>
      <c r="G8980" t="s">
        <v>35</v>
      </c>
      <c r="H8980" t="s">
        <v>35</v>
      </c>
      <c r="J8980" t="s">
        <v>6977</v>
      </c>
      <c r="K8980" t="s">
        <v>1092</v>
      </c>
      <c r="M8980">
        <v>2.52</v>
      </c>
      <c r="N8980">
        <v>53</v>
      </c>
      <c r="O8980" t="s">
        <v>52</v>
      </c>
      <c r="Q8980" t="s">
        <v>1734</v>
      </c>
      <c r="R8980" t="s">
        <v>6709</v>
      </c>
      <c r="S8980" t="s">
        <v>1022</v>
      </c>
      <c r="T8980" t="s">
        <v>1023</v>
      </c>
    </row>
    <row r="8981" spans="1:20" x14ac:dyDescent="0.25">
      <c r="A8981" t="s">
        <v>30</v>
      </c>
      <c r="B8981" t="s">
        <v>31</v>
      </c>
      <c r="C8981" t="s">
        <v>32</v>
      </c>
      <c r="D8981" t="s">
        <v>953</v>
      </c>
      <c r="F8981" t="s">
        <v>35</v>
      </c>
      <c r="G8981" t="s">
        <v>35</v>
      </c>
      <c r="H8981" t="s">
        <v>35</v>
      </c>
      <c r="J8981" t="s">
        <v>7894</v>
      </c>
      <c r="K8981" t="s">
        <v>1092</v>
      </c>
      <c r="M8981">
        <v>2.2949999999999999</v>
      </c>
      <c r="N8981">
        <v>269</v>
      </c>
      <c r="O8981" t="s">
        <v>5</v>
      </c>
      <c r="Q8981" t="s">
        <v>1952</v>
      </c>
      <c r="R8981" t="s">
        <v>6709</v>
      </c>
      <c r="S8981" t="s">
        <v>1022</v>
      </c>
      <c r="T8981" t="s">
        <v>1023</v>
      </c>
    </row>
    <row r="8982" spans="1:20" x14ac:dyDescent="0.25">
      <c r="A8982" t="s">
        <v>59</v>
      </c>
      <c r="B8982" t="s">
        <v>31</v>
      </c>
      <c r="C8982" t="s">
        <v>32</v>
      </c>
      <c r="D8982" t="s">
        <v>953</v>
      </c>
      <c r="E8982" t="s">
        <v>1015</v>
      </c>
      <c r="F8982" t="s">
        <v>35</v>
      </c>
      <c r="G8982" t="s">
        <v>35</v>
      </c>
      <c r="H8982" t="s">
        <v>35</v>
      </c>
      <c r="J8982" t="s">
        <v>7344</v>
      </c>
      <c r="K8982" t="s">
        <v>1092</v>
      </c>
      <c r="M8982">
        <v>2.88</v>
      </c>
      <c r="N8982">
        <v>61</v>
      </c>
      <c r="O8982" t="s">
        <v>61</v>
      </c>
      <c r="Q8982" t="s">
        <v>146</v>
      </c>
      <c r="R8982" t="s">
        <v>6709</v>
      </c>
      <c r="S8982" t="s">
        <v>1022</v>
      </c>
      <c r="T8982" t="s">
        <v>1023</v>
      </c>
    </row>
    <row r="8983" spans="1:20" x14ac:dyDescent="0.25">
      <c r="A8983" t="s">
        <v>59</v>
      </c>
      <c r="B8983" t="s">
        <v>60</v>
      </c>
      <c r="C8983" t="s">
        <v>32</v>
      </c>
      <c r="D8983" t="s">
        <v>953</v>
      </c>
      <c r="E8983" t="s">
        <v>1077</v>
      </c>
      <c r="F8983" t="s">
        <v>35</v>
      </c>
      <c r="G8983" t="s">
        <v>35</v>
      </c>
      <c r="H8983" t="s">
        <v>35</v>
      </c>
      <c r="J8983" t="s">
        <v>7666</v>
      </c>
      <c r="K8983" t="s">
        <v>1092</v>
      </c>
      <c r="M8983">
        <v>0.32600000000000001</v>
      </c>
      <c r="N8983">
        <v>480</v>
      </c>
      <c r="O8983" t="s">
        <v>294</v>
      </c>
      <c r="Q8983" t="s">
        <v>6492</v>
      </c>
      <c r="R8983" t="s">
        <v>6709</v>
      </c>
      <c r="S8983" t="s">
        <v>1022</v>
      </c>
      <c r="T8983" t="s">
        <v>1023</v>
      </c>
    </row>
    <row r="8984" spans="1:20" x14ac:dyDescent="0.25">
      <c r="A8984" t="s">
        <v>59</v>
      </c>
      <c r="B8984" t="s">
        <v>31</v>
      </c>
      <c r="C8984" t="s">
        <v>32</v>
      </c>
      <c r="D8984" t="s">
        <v>953</v>
      </c>
      <c r="E8984" t="s">
        <v>968</v>
      </c>
      <c r="F8984" t="s">
        <v>35</v>
      </c>
      <c r="G8984" t="s">
        <v>35</v>
      </c>
      <c r="H8984" t="s">
        <v>35</v>
      </c>
      <c r="J8984" t="s">
        <v>7059</v>
      </c>
      <c r="K8984" t="s">
        <v>1092</v>
      </c>
      <c r="M8984">
        <v>4.2750000000000004</v>
      </c>
      <c r="N8984">
        <v>52</v>
      </c>
      <c r="O8984" t="s">
        <v>52</v>
      </c>
      <c r="Q8984" t="s">
        <v>84</v>
      </c>
      <c r="R8984" t="s">
        <v>6709</v>
      </c>
      <c r="S8984" t="s">
        <v>1022</v>
      </c>
      <c r="T8984" t="s">
        <v>1023</v>
      </c>
    </row>
    <row r="8985" spans="1:20" x14ac:dyDescent="0.25">
      <c r="A8985" t="s">
        <v>59</v>
      </c>
      <c r="B8985" t="s">
        <v>60</v>
      </c>
      <c r="C8985" t="s">
        <v>32</v>
      </c>
      <c r="D8985" t="s">
        <v>953</v>
      </c>
      <c r="E8985" t="s">
        <v>968</v>
      </c>
      <c r="F8985" t="s">
        <v>35</v>
      </c>
      <c r="G8985" t="s">
        <v>35</v>
      </c>
      <c r="H8985" t="s">
        <v>35</v>
      </c>
      <c r="J8985" t="s">
        <v>7059</v>
      </c>
      <c r="K8985" t="s">
        <v>1092</v>
      </c>
      <c r="M8985">
        <v>9.1999999999999993</v>
      </c>
      <c r="N8985">
        <v>52</v>
      </c>
      <c r="O8985" t="s">
        <v>52</v>
      </c>
      <c r="Q8985" t="s">
        <v>84</v>
      </c>
      <c r="R8985" t="s">
        <v>6709</v>
      </c>
      <c r="S8985" t="s">
        <v>1022</v>
      </c>
      <c r="T8985" t="s">
        <v>1023</v>
      </c>
    </row>
    <row r="8986" spans="1:20" x14ac:dyDescent="0.25">
      <c r="A8986" t="s">
        <v>59</v>
      </c>
      <c r="B8986" t="s">
        <v>60</v>
      </c>
      <c r="C8986" t="s">
        <v>32</v>
      </c>
      <c r="D8986" t="s">
        <v>953</v>
      </c>
      <c r="E8986" t="s">
        <v>6878</v>
      </c>
      <c r="F8986" t="s">
        <v>35</v>
      </c>
      <c r="G8986" t="s">
        <v>35</v>
      </c>
      <c r="H8986" t="s">
        <v>35</v>
      </c>
      <c r="J8986" t="s">
        <v>6913</v>
      </c>
      <c r="K8986" t="s">
        <v>1092</v>
      </c>
      <c r="M8986">
        <v>7.0000000000000007E-2</v>
      </c>
      <c r="N8986">
        <v>238</v>
      </c>
      <c r="O8986" t="s">
        <v>5</v>
      </c>
      <c r="Q8986" t="s">
        <v>111</v>
      </c>
      <c r="R8986" t="s">
        <v>6709</v>
      </c>
      <c r="S8986" t="s">
        <v>1022</v>
      </c>
      <c r="T8986" t="s">
        <v>1023</v>
      </c>
    </row>
    <row r="8987" spans="1:20" x14ac:dyDescent="0.25">
      <c r="A8987" t="s">
        <v>30</v>
      </c>
      <c r="B8987" t="s">
        <v>31</v>
      </c>
      <c r="C8987" t="s">
        <v>32</v>
      </c>
      <c r="D8987" t="s">
        <v>953</v>
      </c>
      <c r="F8987" t="s">
        <v>35</v>
      </c>
      <c r="G8987" t="s">
        <v>35</v>
      </c>
      <c r="H8987" t="s">
        <v>35</v>
      </c>
      <c r="J8987" t="s">
        <v>8096</v>
      </c>
      <c r="K8987" t="s">
        <v>1092</v>
      </c>
      <c r="M8987">
        <v>1.89</v>
      </c>
      <c r="N8987">
        <v>38</v>
      </c>
      <c r="O8987" t="s">
        <v>52</v>
      </c>
      <c r="Q8987" t="s">
        <v>716</v>
      </c>
      <c r="R8987" t="s">
        <v>6709</v>
      </c>
      <c r="S8987" t="s">
        <v>1022</v>
      </c>
      <c r="T8987" t="s">
        <v>1023</v>
      </c>
    </row>
    <row r="8988" spans="1:20" x14ac:dyDescent="0.25">
      <c r="A8988" t="s">
        <v>59</v>
      </c>
      <c r="B8988" t="s">
        <v>31</v>
      </c>
      <c r="C8988" t="s">
        <v>32</v>
      </c>
      <c r="D8988" t="s">
        <v>953</v>
      </c>
      <c r="E8988" t="s">
        <v>954</v>
      </c>
      <c r="F8988" t="s">
        <v>35</v>
      </c>
      <c r="G8988" t="s">
        <v>35</v>
      </c>
      <c r="H8988" t="s">
        <v>35</v>
      </c>
      <c r="J8988" t="s">
        <v>6856</v>
      </c>
      <c r="K8988" t="s">
        <v>1092</v>
      </c>
      <c r="M8988">
        <v>4.5</v>
      </c>
      <c r="N8988">
        <v>139</v>
      </c>
      <c r="O8988" t="s">
        <v>38</v>
      </c>
      <c r="Q8988" t="s">
        <v>1335</v>
      </c>
      <c r="R8988" t="s">
        <v>6709</v>
      </c>
      <c r="S8988" t="s">
        <v>1022</v>
      </c>
      <c r="T8988" t="s">
        <v>1023</v>
      </c>
    </row>
    <row r="8989" spans="1:20" x14ac:dyDescent="0.25">
      <c r="A8989" t="s">
        <v>44</v>
      </c>
      <c r="B8989" t="s">
        <v>3</v>
      </c>
      <c r="C8989" t="s">
        <v>32</v>
      </c>
      <c r="D8989" t="s">
        <v>953</v>
      </c>
      <c r="E8989" t="s">
        <v>1007</v>
      </c>
      <c r="F8989" t="s">
        <v>35</v>
      </c>
      <c r="G8989" t="s">
        <v>35</v>
      </c>
      <c r="H8989" t="s">
        <v>35</v>
      </c>
      <c r="J8989" t="s">
        <v>7303</v>
      </c>
      <c r="K8989" t="s">
        <v>1144</v>
      </c>
      <c r="M8989">
        <v>5</v>
      </c>
      <c r="N8989">
        <v>52</v>
      </c>
      <c r="O8989" t="s">
        <v>52</v>
      </c>
      <c r="Q8989" t="s">
        <v>84</v>
      </c>
      <c r="R8989" t="s">
        <v>6709</v>
      </c>
      <c r="S8989" t="s">
        <v>1022</v>
      </c>
      <c r="T8989" t="s">
        <v>1023</v>
      </c>
    </row>
    <row r="8990" spans="1:20" x14ac:dyDescent="0.25">
      <c r="A8990" t="s">
        <v>59</v>
      </c>
      <c r="B8990" t="s">
        <v>60</v>
      </c>
      <c r="C8990" t="s">
        <v>32</v>
      </c>
      <c r="D8990" t="s">
        <v>953</v>
      </c>
      <c r="E8990" t="s">
        <v>1007</v>
      </c>
      <c r="F8990" t="s">
        <v>35</v>
      </c>
      <c r="G8990" t="s">
        <v>35</v>
      </c>
      <c r="H8990" t="s">
        <v>35</v>
      </c>
      <c r="J8990" t="s">
        <v>7303</v>
      </c>
      <c r="K8990" t="s">
        <v>1144</v>
      </c>
      <c r="M8990">
        <v>5</v>
      </c>
      <c r="N8990">
        <v>84</v>
      </c>
      <c r="O8990" t="s">
        <v>61</v>
      </c>
      <c r="Q8990" t="s">
        <v>1147</v>
      </c>
      <c r="R8990" t="s">
        <v>6709</v>
      </c>
      <c r="S8990" t="s">
        <v>1022</v>
      </c>
      <c r="T8990" t="s">
        <v>1023</v>
      </c>
    </row>
    <row r="8991" spans="1:20" x14ac:dyDescent="0.25">
      <c r="A8991" t="s">
        <v>59</v>
      </c>
      <c r="B8991" t="s">
        <v>60</v>
      </c>
      <c r="C8991" t="s">
        <v>32</v>
      </c>
      <c r="D8991" t="s">
        <v>953</v>
      </c>
      <c r="E8991" t="s">
        <v>1007</v>
      </c>
      <c r="F8991" t="s">
        <v>35</v>
      </c>
      <c r="G8991" t="s">
        <v>35</v>
      </c>
      <c r="H8991" t="s">
        <v>35</v>
      </c>
      <c r="J8991" t="s">
        <v>7303</v>
      </c>
      <c r="K8991" t="s">
        <v>1144</v>
      </c>
      <c r="M8991">
        <v>10</v>
      </c>
      <c r="N8991">
        <v>52</v>
      </c>
      <c r="O8991" t="s">
        <v>52</v>
      </c>
      <c r="Q8991" t="s">
        <v>84</v>
      </c>
      <c r="R8991" t="s">
        <v>6709</v>
      </c>
      <c r="S8991" t="s">
        <v>1022</v>
      </c>
      <c r="T8991" t="s">
        <v>1023</v>
      </c>
    </row>
    <row r="8992" spans="1:20" x14ac:dyDescent="0.25">
      <c r="A8992" t="s">
        <v>30</v>
      </c>
      <c r="B8992" t="s">
        <v>31</v>
      </c>
      <c r="C8992" t="s">
        <v>32</v>
      </c>
      <c r="D8992" t="s">
        <v>953</v>
      </c>
      <c r="E8992" t="s">
        <v>1007</v>
      </c>
      <c r="F8992" t="s">
        <v>35</v>
      </c>
      <c r="G8992" t="s">
        <v>35</v>
      </c>
      <c r="H8992" t="s">
        <v>35</v>
      </c>
      <c r="J8992" t="s">
        <v>7317</v>
      </c>
      <c r="K8992" t="s">
        <v>1092</v>
      </c>
      <c r="M8992">
        <v>27.405000000000001</v>
      </c>
      <c r="N8992">
        <v>154</v>
      </c>
      <c r="O8992" t="s">
        <v>38</v>
      </c>
      <c r="Q8992" t="s">
        <v>2639</v>
      </c>
      <c r="R8992" t="s">
        <v>6709</v>
      </c>
      <c r="S8992" t="s">
        <v>1022</v>
      </c>
      <c r="T8992" t="s">
        <v>1023</v>
      </c>
    </row>
    <row r="8993" spans="1:20" x14ac:dyDescent="0.25">
      <c r="A8993" t="s">
        <v>30</v>
      </c>
      <c r="B8993" t="s">
        <v>31</v>
      </c>
      <c r="C8993" t="s">
        <v>32</v>
      </c>
      <c r="D8993" t="s">
        <v>953</v>
      </c>
      <c r="F8993" t="s">
        <v>35</v>
      </c>
      <c r="G8993" t="s">
        <v>35</v>
      </c>
      <c r="H8993" t="s">
        <v>35</v>
      </c>
      <c r="J8993" t="s">
        <v>8036</v>
      </c>
      <c r="K8993" t="s">
        <v>1092</v>
      </c>
      <c r="M8993">
        <v>8.7999999999999995E-2</v>
      </c>
      <c r="N8993">
        <v>2443</v>
      </c>
      <c r="O8993" t="s">
        <v>575</v>
      </c>
      <c r="Q8993" t="s">
        <v>8037</v>
      </c>
      <c r="R8993" t="s">
        <v>6709</v>
      </c>
      <c r="S8993" t="s">
        <v>1022</v>
      </c>
      <c r="T8993" t="s">
        <v>1023</v>
      </c>
    </row>
    <row r="8994" spans="1:20" x14ac:dyDescent="0.25">
      <c r="A8994" t="s">
        <v>59</v>
      </c>
      <c r="B8994" t="s">
        <v>60</v>
      </c>
      <c r="C8994" t="s">
        <v>32</v>
      </c>
      <c r="D8994" t="s">
        <v>953</v>
      </c>
      <c r="F8994" t="s">
        <v>35</v>
      </c>
      <c r="G8994" t="s">
        <v>35</v>
      </c>
      <c r="H8994" t="s">
        <v>35</v>
      </c>
      <c r="J8994" t="s">
        <v>8036</v>
      </c>
      <c r="K8994" t="s">
        <v>1092</v>
      </c>
      <c r="M8994">
        <v>1.7649999999999999</v>
      </c>
      <c r="N8994">
        <v>2443</v>
      </c>
      <c r="O8994" t="s">
        <v>575</v>
      </c>
      <c r="Q8994" t="s">
        <v>8037</v>
      </c>
      <c r="R8994" t="s">
        <v>6709</v>
      </c>
      <c r="S8994" t="s">
        <v>1022</v>
      </c>
      <c r="T8994" t="s">
        <v>1023</v>
      </c>
    </row>
    <row r="8995" spans="1:20" x14ac:dyDescent="0.25">
      <c r="A8995" t="s">
        <v>59</v>
      </c>
      <c r="B8995" t="s">
        <v>31</v>
      </c>
      <c r="C8995" t="s">
        <v>32</v>
      </c>
      <c r="D8995" t="s">
        <v>953</v>
      </c>
      <c r="E8995" t="s">
        <v>1007</v>
      </c>
      <c r="F8995" t="s">
        <v>35</v>
      </c>
      <c r="G8995" t="s">
        <v>35</v>
      </c>
      <c r="H8995" t="s">
        <v>35</v>
      </c>
      <c r="J8995" t="s">
        <v>7316</v>
      </c>
      <c r="K8995" t="s">
        <v>1092</v>
      </c>
      <c r="M8995">
        <v>2.7</v>
      </c>
      <c r="N8995">
        <v>52</v>
      </c>
      <c r="O8995" t="s">
        <v>52</v>
      </c>
      <c r="Q8995" t="s">
        <v>84</v>
      </c>
      <c r="R8995" t="s">
        <v>6709</v>
      </c>
      <c r="S8995" t="s">
        <v>1022</v>
      </c>
      <c r="T8995" t="s">
        <v>1023</v>
      </c>
    </row>
    <row r="8996" spans="1:20" x14ac:dyDescent="0.25">
      <c r="A8996" t="s">
        <v>59</v>
      </c>
      <c r="B8996" t="s">
        <v>60</v>
      </c>
      <c r="C8996" t="s">
        <v>32</v>
      </c>
      <c r="D8996" t="s">
        <v>953</v>
      </c>
      <c r="E8996" t="s">
        <v>1007</v>
      </c>
      <c r="F8996" t="s">
        <v>35</v>
      </c>
      <c r="G8996" t="s">
        <v>35</v>
      </c>
      <c r="H8996" t="s">
        <v>35</v>
      </c>
      <c r="J8996" t="s">
        <v>7316</v>
      </c>
      <c r="K8996" t="s">
        <v>1092</v>
      </c>
      <c r="M8996">
        <v>4.25</v>
      </c>
      <c r="N8996">
        <v>52</v>
      </c>
      <c r="O8996" t="s">
        <v>52</v>
      </c>
      <c r="Q8996" t="s">
        <v>84</v>
      </c>
      <c r="R8996" t="s">
        <v>6709</v>
      </c>
      <c r="S8996" t="s">
        <v>1022</v>
      </c>
      <c r="T8996" t="s">
        <v>1023</v>
      </c>
    </row>
    <row r="8997" spans="1:20" x14ac:dyDescent="0.25">
      <c r="A8997" t="s">
        <v>44</v>
      </c>
      <c r="B8997" t="s">
        <v>3</v>
      </c>
      <c r="C8997" t="s">
        <v>32</v>
      </c>
      <c r="D8997" t="s">
        <v>953</v>
      </c>
      <c r="E8997" t="s">
        <v>1007</v>
      </c>
      <c r="F8997" t="s">
        <v>35</v>
      </c>
      <c r="G8997" t="s">
        <v>35</v>
      </c>
      <c r="H8997" t="s">
        <v>35</v>
      </c>
      <c r="J8997" t="s">
        <v>7316</v>
      </c>
      <c r="K8997" t="s">
        <v>1092</v>
      </c>
      <c r="M8997">
        <v>2</v>
      </c>
      <c r="N8997">
        <v>52</v>
      </c>
      <c r="O8997" t="s">
        <v>52</v>
      </c>
      <c r="Q8997" t="s">
        <v>84</v>
      </c>
      <c r="R8997" t="s">
        <v>6709</v>
      </c>
      <c r="S8997" t="s">
        <v>1022</v>
      </c>
      <c r="T8997" t="s">
        <v>1023</v>
      </c>
    </row>
    <row r="8998" spans="1:20" x14ac:dyDescent="0.25">
      <c r="A8998" t="s">
        <v>30</v>
      </c>
      <c r="B8998" t="s">
        <v>31</v>
      </c>
      <c r="C8998" t="s">
        <v>32</v>
      </c>
      <c r="D8998" t="s">
        <v>953</v>
      </c>
      <c r="E8998" t="s">
        <v>7842</v>
      </c>
      <c r="F8998" t="s">
        <v>35</v>
      </c>
      <c r="G8998" t="s">
        <v>35</v>
      </c>
      <c r="H8998" t="s">
        <v>35</v>
      </c>
      <c r="J8998" t="s">
        <v>7862</v>
      </c>
      <c r="K8998" t="s">
        <v>1092</v>
      </c>
      <c r="M8998">
        <v>0.45</v>
      </c>
      <c r="N8998">
        <v>446</v>
      </c>
      <c r="O8998" t="s">
        <v>294</v>
      </c>
      <c r="Q8998" t="s">
        <v>6465</v>
      </c>
      <c r="R8998" t="s">
        <v>6709</v>
      </c>
      <c r="S8998" t="s">
        <v>1022</v>
      </c>
      <c r="T8998" t="s">
        <v>1023</v>
      </c>
    </row>
    <row r="8999" spans="1:20" x14ac:dyDescent="0.25">
      <c r="A8999" t="s">
        <v>59</v>
      </c>
      <c r="B8999" t="s">
        <v>60</v>
      </c>
      <c r="C8999" t="s">
        <v>32</v>
      </c>
      <c r="D8999" t="s">
        <v>953</v>
      </c>
      <c r="E8999" t="s">
        <v>6878</v>
      </c>
      <c r="F8999" t="s">
        <v>35</v>
      </c>
      <c r="G8999" t="s">
        <v>35</v>
      </c>
      <c r="H8999" t="s">
        <v>35</v>
      </c>
      <c r="J8999" t="s">
        <v>6931</v>
      </c>
      <c r="K8999" t="s">
        <v>1092</v>
      </c>
      <c r="M8999">
        <v>0.05</v>
      </c>
      <c r="N8999">
        <v>2522</v>
      </c>
      <c r="O8999" t="s">
        <v>575</v>
      </c>
      <c r="Q8999" t="s">
        <v>6932</v>
      </c>
      <c r="R8999" t="s">
        <v>6933</v>
      </c>
      <c r="S8999" t="s">
        <v>6934</v>
      </c>
      <c r="T8999" t="s">
        <v>6935</v>
      </c>
    </row>
    <row r="9000" spans="1:20" x14ac:dyDescent="0.25">
      <c r="A9000" t="s">
        <v>59</v>
      </c>
      <c r="B9000" t="s">
        <v>60</v>
      </c>
      <c r="C9000" t="s">
        <v>32</v>
      </c>
      <c r="D9000" t="s">
        <v>953</v>
      </c>
      <c r="F9000" t="s">
        <v>35</v>
      </c>
      <c r="G9000" t="s">
        <v>35</v>
      </c>
      <c r="H9000" t="s">
        <v>35</v>
      </c>
      <c r="J9000" t="s">
        <v>2419</v>
      </c>
      <c r="K9000" t="s">
        <v>1092</v>
      </c>
      <c r="M9000">
        <v>1</v>
      </c>
      <c r="N9000">
        <v>2037</v>
      </c>
      <c r="O9000" t="s">
        <v>575</v>
      </c>
      <c r="Q9000" t="s">
        <v>2229</v>
      </c>
      <c r="R9000" t="s">
        <v>6933</v>
      </c>
      <c r="S9000" t="s">
        <v>6934</v>
      </c>
      <c r="T9000" t="s">
        <v>6935</v>
      </c>
    </row>
    <row r="9001" spans="1:20" x14ac:dyDescent="0.25">
      <c r="A9001" t="s">
        <v>59</v>
      </c>
      <c r="B9001" t="s">
        <v>60</v>
      </c>
      <c r="C9001" t="s">
        <v>32</v>
      </c>
      <c r="D9001" t="s">
        <v>953</v>
      </c>
      <c r="E9001" t="s">
        <v>6878</v>
      </c>
      <c r="F9001" t="s">
        <v>35</v>
      </c>
      <c r="G9001" t="s">
        <v>35</v>
      </c>
      <c r="H9001" t="s">
        <v>35</v>
      </c>
      <c r="J9001" t="s">
        <v>6963</v>
      </c>
      <c r="K9001" t="s">
        <v>1092</v>
      </c>
      <c r="M9001">
        <v>2.95</v>
      </c>
      <c r="N9001">
        <v>58</v>
      </c>
      <c r="O9001" t="s">
        <v>52</v>
      </c>
      <c r="Q9001" t="s">
        <v>128</v>
      </c>
      <c r="R9001" t="s">
        <v>6964</v>
      </c>
      <c r="S9001" t="s">
        <v>6965</v>
      </c>
      <c r="T9001" t="s">
        <v>6966</v>
      </c>
    </row>
    <row r="9002" spans="1:20" x14ac:dyDescent="0.25">
      <c r="A9002" t="s">
        <v>59</v>
      </c>
      <c r="B9002" t="s">
        <v>60</v>
      </c>
      <c r="C9002" t="s">
        <v>32</v>
      </c>
      <c r="D9002" t="s">
        <v>953</v>
      </c>
      <c r="E9002" t="s">
        <v>7164</v>
      </c>
      <c r="F9002" t="s">
        <v>35</v>
      </c>
      <c r="G9002" t="s">
        <v>35</v>
      </c>
      <c r="H9002" t="s">
        <v>35</v>
      </c>
      <c r="J9002" t="s">
        <v>6094</v>
      </c>
      <c r="K9002" t="s">
        <v>1092</v>
      </c>
      <c r="M9002">
        <v>5</v>
      </c>
      <c r="N9002">
        <v>67</v>
      </c>
      <c r="O9002" t="s">
        <v>61</v>
      </c>
      <c r="Q9002" t="s">
        <v>488</v>
      </c>
      <c r="R9002" t="s">
        <v>6964</v>
      </c>
      <c r="S9002" t="s">
        <v>6965</v>
      </c>
      <c r="T9002" t="s">
        <v>6966</v>
      </c>
    </row>
    <row r="9003" spans="1:20" x14ac:dyDescent="0.25">
      <c r="A9003" t="s">
        <v>59</v>
      </c>
      <c r="B9003" t="s">
        <v>60</v>
      </c>
      <c r="C9003" t="s">
        <v>32</v>
      </c>
      <c r="D9003" t="s">
        <v>953</v>
      </c>
      <c r="E9003" t="s">
        <v>1072</v>
      </c>
      <c r="F9003" t="s">
        <v>35</v>
      </c>
      <c r="G9003" t="s">
        <v>35</v>
      </c>
      <c r="H9003" t="s">
        <v>35</v>
      </c>
      <c r="J9003" t="s">
        <v>7541</v>
      </c>
      <c r="K9003" t="s">
        <v>1092</v>
      </c>
      <c r="M9003">
        <v>9.25</v>
      </c>
      <c r="N9003">
        <v>815</v>
      </c>
      <c r="O9003" t="s">
        <v>575</v>
      </c>
      <c r="Q9003" t="s">
        <v>7542</v>
      </c>
      <c r="R9003" t="s">
        <v>7543</v>
      </c>
      <c r="S9003" t="s">
        <v>7544</v>
      </c>
      <c r="T9003" t="s">
        <v>7545</v>
      </c>
    </row>
    <row r="9004" spans="1:20" x14ac:dyDescent="0.25">
      <c r="A9004" t="s">
        <v>59</v>
      </c>
      <c r="B9004" t="s">
        <v>60</v>
      </c>
      <c r="C9004" t="s">
        <v>32</v>
      </c>
      <c r="D9004" t="s">
        <v>953</v>
      </c>
      <c r="E9004" t="s">
        <v>7184</v>
      </c>
      <c r="F9004" t="s">
        <v>35</v>
      </c>
      <c r="G9004" t="s">
        <v>35</v>
      </c>
      <c r="H9004" t="s">
        <v>35</v>
      </c>
      <c r="J9004" t="s">
        <v>7185</v>
      </c>
      <c r="K9004" t="s">
        <v>1092</v>
      </c>
      <c r="M9004">
        <v>0.5</v>
      </c>
      <c r="N9004">
        <v>143</v>
      </c>
      <c r="O9004" t="s">
        <v>38</v>
      </c>
      <c r="Q9004" t="s">
        <v>1612</v>
      </c>
      <c r="R9004" t="s">
        <v>6904</v>
      </c>
      <c r="S9004" t="s">
        <v>999</v>
      </c>
      <c r="T9004" t="s">
        <v>1000</v>
      </c>
    </row>
    <row r="9005" spans="1:20" x14ac:dyDescent="0.25">
      <c r="A9005" t="s">
        <v>59</v>
      </c>
      <c r="B9005" t="s">
        <v>60</v>
      </c>
      <c r="C9005" t="s">
        <v>32</v>
      </c>
      <c r="D9005" t="s">
        <v>953</v>
      </c>
      <c r="E9005" t="s">
        <v>7184</v>
      </c>
      <c r="F9005" t="s">
        <v>35</v>
      </c>
      <c r="G9005" t="s">
        <v>35</v>
      </c>
      <c r="H9005" t="s">
        <v>35</v>
      </c>
      <c r="J9005" t="s">
        <v>7216</v>
      </c>
      <c r="K9005" t="s">
        <v>1092</v>
      </c>
      <c r="M9005">
        <v>0.75</v>
      </c>
      <c r="N9005">
        <v>304</v>
      </c>
      <c r="O9005" t="s">
        <v>5</v>
      </c>
      <c r="Q9005" t="s">
        <v>4940</v>
      </c>
      <c r="R9005" t="s">
        <v>6904</v>
      </c>
      <c r="S9005" t="s">
        <v>999</v>
      </c>
      <c r="T9005" t="s">
        <v>1000</v>
      </c>
    </row>
    <row r="9006" spans="1:20" x14ac:dyDescent="0.25">
      <c r="A9006" t="s">
        <v>59</v>
      </c>
      <c r="B9006" t="s">
        <v>60</v>
      </c>
      <c r="C9006" t="s">
        <v>32</v>
      </c>
      <c r="D9006" t="s">
        <v>953</v>
      </c>
      <c r="E9006" t="s">
        <v>998</v>
      </c>
      <c r="F9006" t="s">
        <v>35</v>
      </c>
      <c r="G9006" t="s">
        <v>35</v>
      </c>
      <c r="H9006" t="s">
        <v>35</v>
      </c>
      <c r="J9006" t="s">
        <v>7267</v>
      </c>
      <c r="K9006" t="s">
        <v>1092</v>
      </c>
      <c r="M9006">
        <v>0.15</v>
      </c>
      <c r="N9006">
        <v>35</v>
      </c>
      <c r="O9006" t="s">
        <v>52</v>
      </c>
      <c r="Q9006" t="s">
        <v>991</v>
      </c>
      <c r="R9006" t="s">
        <v>6904</v>
      </c>
      <c r="S9006" t="s">
        <v>999</v>
      </c>
      <c r="T9006" t="s">
        <v>1000</v>
      </c>
    </row>
    <row r="9007" spans="1:20" x14ac:dyDescent="0.25">
      <c r="A9007" t="s">
        <v>59</v>
      </c>
      <c r="B9007" t="s">
        <v>60</v>
      </c>
      <c r="C9007" t="s">
        <v>32</v>
      </c>
      <c r="D9007" t="s">
        <v>953</v>
      </c>
      <c r="E9007" t="s">
        <v>998</v>
      </c>
      <c r="F9007" t="s">
        <v>35</v>
      </c>
      <c r="G9007" t="s">
        <v>35</v>
      </c>
      <c r="H9007" t="s">
        <v>35</v>
      </c>
      <c r="J9007" t="s">
        <v>7267</v>
      </c>
      <c r="K9007" t="s">
        <v>1092</v>
      </c>
      <c r="M9007">
        <v>0.5</v>
      </c>
      <c r="N9007">
        <v>26</v>
      </c>
      <c r="O9007" t="s">
        <v>46</v>
      </c>
      <c r="Q9007" t="s">
        <v>137</v>
      </c>
      <c r="R9007" t="s">
        <v>6904</v>
      </c>
      <c r="S9007" t="s">
        <v>999</v>
      </c>
      <c r="T9007" t="s">
        <v>1000</v>
      </c>
    </row>
    <row r="9008" spans="1:20" x14ac:dyDescent="0.25">
      <c r="A9008" t="s">
        <v>59</v>
      </c>
      <c r="B9008" t="s">
        <v>60</v>
      </c>
      <c r="C9008" t="s">
        <v>32</v>
      </c>
      <c r="D9008" t="s">
        <v>953</v>
      </c>
      <c r="E9008" t="s">
        <v>998</v>
      </c>
      <c r="F9008" t="s">
        <v>35</v>
      </c>
      <c r="G9008" t="s">
        <v>35</v>
      </c>
      <c r="H9008" t="s">
        <v>35</v>
      </c>
      <c r="J9008" t="s">
        <v>7234</v>
      </c>
      <c r="K9008" t="s">
        <v>1092</v>
      </c>
      <c r="M9008">
        <v>0.5</v>
      </c>
      <c r="N9008">
        <v>318</v>
      </c>
      <c r="O9008" t="s">
        <v>5</v>
      </c>
      <c r="Q9008" t="s">
        <v>1782</v>
      </c>
      <c r="R9008" t="s">
        <v>6904</v>
      </c>
      <c r="S9008" t="s">
        <v>999</v>
      </c>
      <c r="T9008" t="s">
        <v>1000</v>
      </c>
    </row>
    <row r="9009" spans="1:20" x14ac:dyDescent="0.25">
      <c r="A9009" t="s">
        <v>59</v>
      </c>
      <c r="B9009" t="s">
        <v>60</v>
      </c>
      <c r="C9009" t="s">
        <v>32</v>
      </c>
      <c r="D9009" t="s">
        <v>953</v>
      </c>
      <c r="E9009" t="s">
        <v>998</v>
      </c>
      <c r="F9009" t="s">
        <v>35</v>
      </c>
      <c r="G9009" t="s">
        <v>35</v>
      </c>
      <c r="H9009" t="s">
        <v>35</v>
      </c>
      <c r="J9009" t="s">
        <v>7234</v>
      </c>
      <c r="K9009" t="s">
        <v>1092</v>
      </c>
      <c r="M9009">
        <v>0.5</v>
      </c>
      <c r="N9009">
        <v>133</v>
      </c>
      <c r="O9009" t="s">
        <v>38</v>
      </c>
      <c r="Q9009" t="s">
        <v>609</v>
      </c>
      <c r="R9009" t="s">
        <v>6904</v>
      </c>
      <c r="S9009" t="s">
        <v>999</v>
      </c>
      <c r="T9009" t="s">
        <v>1000</v>
      </c>
    </row>
    <row r="9010" spans="1:20" x14ac:dyDescent="0.25">
      <c r="A9010" t="s">
        <v>59</v>
      </c>
      <c r="B9010" t="s">
        <v>60</v>
      </c>
      <c r="C9010" t="s">
        <v>32</v>
      </c>
      <c r="D9010" t="s">
        <v>953</v>
      </c>
      <c r="E9010" t="s">
        <v>7184</v>
      </c>
      <c r="F9010" t="s">
        <v>35</v>
      </c>
      <c r="G9010" t="s">
        <v>35</v>
      </c>
      <c r="H9010" t="s">
        <v>35</v>
      </c>
      <c r="J9010" t="s">
        <v>7226</v>
      </c>
      <c r="K9010" t="s">
        <v>1092</v>
      </c>
      <c r="M9010">
        <v>0.3</v>
      </c>
      <c r="N9010">
        <v>350</v>
      </c>
      <c r="O9010" t="s">
        <v>5</v>
      </c>
      <c r="Q9010" t="s">
        <v>6620</v>
      </c>
      <c r="R9010" t="s">
        <v>6904</v>
      </c>
      <c r="S9010" t="s">
        <v>999</v>
      </c>
      <c r="T9010" t="s">
        <v>1000</v>
      </c>
    </row>
    <row r="9011" spans="1:20" x14ac:dyDescent="0.25">
      <c r="A9011" t="s">
        <v>59</v>
      </c>
      <c r="B9011" t="s">
        <v>60</v>
      </c>
      <c r="C9011" t="s">
        <v>32</v>
      </c>
      <c r="D9011" t="s">
        <v>953</v>
      </c>
      <c r="E9011" t="s">
        <v>7184</v>
      </c>
      <c r="F9011" t="s">
        <v>35</v>
      </c>
      <c r="G9011" t="s">
        <v>35</v>
      </c>
      <c r="H9011" t="s">
        <v>35</v>
      </c>
      <c r="J9011" t="s">
        <v>7225</v>
      </c>
      <c r="K9011" t="s">
        <v>1092</v>
      </c>
      <c r="M9011">
        <v>0.5</v>
      </c>
      <c r="N9011">
        <v>37</v>
      </c>
      <c r="O9011" t="s">
        <v>52</v>
      </c>
      <c r="Q9011" t="s">
        <v>192</v>
      </c>
      <c r="R9011" t="s">
        <v>6904</v>
      </c>
      <c r="S9011" t="s">
        <v>999</v>
      </c>
      <c r="T9011" t="s">
        <v>1000</v>
      </c>
    </row>
    <row r="9012" spans="1:20" x14ac:dyDescent="0.25">
      <c r="A9012" t="s">
        <v>59</v>
      </c>
      <c r="B9012" t="s">
        <v>60</v>
      </c>
      <c r="C9012" t="s">
        <v>32</v>
      </c>
      <c r="D9012" t="s">
        <v>953</v>
      </c>
      <c r="E9012" t="s">
        <v>7184</v>
      </c>
      <c r="F9012" t="s">
        <v>35</v>
      </c>
      <c r="G9012" t="s">
        <v>35</v>
      </c>
      <c r="H9012" t="s">
        <v>35</v>
      </c>
      <c r="J9012" t="s">
        <v>7225</v>
      </c>
      <c r="K9012" t="s">
        <v>1092</v>
      </c>
      <c r="M9012">
        <v>0.4</v>
      </c>
      <c r="N9012">
        <v>144</v>
      </c>
      <c r="O9012" t="s">
        <v>38</v>
      </c>
      <c r="Q9012" t="s">
        <v>1269</v>
      </c>
      <c r="R9012" t="s">
        <v>6904</v>
      </c>
      <c r="S9012" t="s">
        <v>999</v>
      </c>
      <c r="T9012" t="s">
        <v>1000</v>
      </c>
    </row>
    <row r="9013" spans="1:20" x14ac:dyDescent="0.25">
      <c r="A9013" t="s">
        <v>59</v>
      </c>
      <c r="B9013" t="s">
        <v>60</v>
      </c>
      <c r="C9013" t="s">
        <v>32</v>
      </c>
      <c r="D9013" t="s">
        <v>953</v>
      </c>
      <c r="E9013" t="s">
        <v>7184</v>
      </c>
      <c r="F9013" t="s">
        <v>35</v>
      </c>
      <c r="G9013" t="s">
        <v>35</v>
      </c>
      <c r="H9013" t="s">
        <v>35</v>
      </c>
      <c r="J9013" t="s">
        <v>7225</v>
      </c>
      <c r="K9013" t="s">
        <v>1092</v>
      </c>
      <c r="M9013">
        <v>0.1</v>
      </c>
      <c r="N9013">
        <v>26</v>
      </c>
      <c r="O9013" t="s">
        <v>46</v>
      </c>
      <c r="Q9013" t="s">
        <v>137</v>
      </c>
      <c r="R9013" t="s">
        <v>6904</v>
      </c>
      <c r="S9013" t="s">
        <v>999</v>
      </c>
      <c r="T9013" t="s">
        <v>1000</v>
      </c>
    </row>
    <row r="9014" spans="1:20" x14ac:dyDescent="0.25">
      <c r="A9014" t="s">
        <v>59</v>
      </c>
      <c r="B9014" t="s">
        <v>60</v>
      </c>
      <c r="C9014" t="s">
        <v>32</v>
      </c>
      <c r="D9014" t="s">
        <v>953</v>
      </c>
      <c r="E9014" t="s">
        <v>998</v>
      </c>
      <c r="F9014" t="s">
        <v>35</v>
      </c>
      <c r="G9014" t="s">
        <v>35</v>
      </c>
      <c r="H9014" t="s">
        <v>35</v>
      </c>
      <c r="J9014" t="s">
        <v>7268</v>
      </c>
      <c r="K9014" t="s">
        <v>1092</v>
      </c>
      <c r="M9014">
        <v>0.15</v>
      </c>
      <c r="N9014">
        <v>35</v>
      </c>
      <c r="O9014" t="s">
        <v>52</v>
      </c>
      <c r="Q9014" t="s">
        <v>991</v>
      </c>
      <c r="R9014" t="s">
        <v>6904</v>
      </c>
      <c r="S9014" t="s">
        <v>999</v>
      </c>
      <c r="T9014" t="s">
        <v>1000</v>
      </c>
    </row>
    <row r="9015" spans="1:20" x14ac:dyDescent="0.25">
      <c r="A9015" t="s">
        <v>59</v>
      </c>
      <c r="B9015" t="s">
        <v>60</v>
      </c>
      <c r="C9015" t="s">
        <v>32</v>
      </c>
      <c r="D9015" t="s">
        <v>953</v>
      </c>
      <c r="E9015" t="s">
        <v>998</v>
      </c>
      <c r="F9015" t="s">
        <v>35</v>
      </c>
      <c r="G9015" t="s">
        <v>35</v>
      </c>
      <c r="H9015" t="s">
        <v>35</v>
      </c>
      <c r="J9015" t="s">
        <v>7268</v>
      </c>
      <c r="K9015" t="s">
        <v>1092</v>
      </c>
      <c r="M9015">
        <v>0.25</v>
      </c>
      <c r="N9015">
        <v>57</v>
      </c>
      <c r="O9015" t="s">
        <v>52</v>
      </c>
      <c r="Q9015" t="s">
        <v>381</v>
      </c>
      <c r="R9015" t="s">
        <v>6904</v>
      </c>
      <c r="S9015" t="s">
        <v>999</v>
      </c>
      <c r="T9015" t="s">
        <v>1000</v>
      </c>
    </row>
    <row r="9016" spans="1:20" x14ac:dyDescent="0.25">
      <c r="A9016" t="s">
        <v>59</v>
      </c>
      <c r="B9016" t="s">
        <v>60</v>
      </c>
      <c r="C9016" t="s">
        <v>32</v>
      </c>
      <c r="D9016" t="s">
        <v>953</v>
      </c>
      <c r="E9016" t="s">
        <v>998</v>
      </c>
      <c r="F9016" t="s">
        <v>35</v>
      </c>
      <c r="G9016" t="s">
        <v>35</v>
      </c>
      <c r="H9016" t="s">
        <v>35</v>
      </c>
      <c r="J9016" t="s">
        <v>7268</v>
      </c>
      <c r="K9016" t="s">
        <v>1092</v>
      </c>
      <c r="M9016">
        <v>0.25</v>
      </c>
      <c r="N9016">
        <v>37</v>
      </c>
      <c r="O9016" t="s">
        <v>52</v>
      </c>
      <c r="Q9016" t="s">
        <v>192</v>
      </c>
      <c r="R9016" t="s">
        <v>6904</v>
      </c>
      <c r="S9016" t="s">
        <v>999</v>
      </c>
      <c r="T9016" t="s">
        <v>1000</v>
      </c>
    </row>
    <row r="9017" spans="1:20" x14ac:dyDescent="0.25">
      <c r="A9017" t="s">
        <v>59</v>
      </c>
      <c r="B9017" t="s">
        <v>60</v>
      </c>
      <c r="C9017" t="s">
        <v>32</v>
      </c>
      <c r="D9017" t="s">
        <v>953</v>
      </c>
      <c r="E9017" t="s">
        <v>998</v>
      </c>
      <c r="F9017" t="s">
        <v>35</v>
      </c>
      <c r="G9017" t="s">
        <v>35</v>
      </c>
      <c r="H9017" t="s">
        <v>35</v>
      </c>
      <c r="J9017" t="s">
        <v>7241</v>
      </c>
      <c r="K9017" t="s">
        <v>1092</v>
      </c>
      <c r="M9017">
        <v>1.5</v>
      </c>
      <c r="N9017">
        <v>29</v>
      </c>
      <c r="O9017" t="s">
        <v>46</v>
      </c>
      <c r="Q9017" t="s">
        <v>2005</v>
      </c>
      <c r="R9017" t="s">
        <v>6904</v>
      </c>
      <c r="S9017" t="s">
        <v>999</v>
      </c>
      <c r="T9017" t="s">
        <v>1000</v>
      </c>
    </row>
    <row r="9018" spans="1:20" x14ac:dyDescent="0.25">
      <c r="A9018" t="s">
        <v>59</v>
      </c>
      <c r="B9018" t="s">
        <v>60</v>
      </c>
      <c r="C9018" t="s">
        <v>32</v>
      </c>
      <c r="D9018" t="s">
        <v>953</v>
      </c>
      <c r="E9018" t="s">
        <v>998</v>
      </c>
      <c r="F9018" t="s">
        <v>35</v>
      </c>
      <c r="G9018" t="s">
        <v>35</v>
      </c>
      <c r="H9018" t="s">
        <v>35</v>
      </c>
      <c r="J9018" t="s">
        <v>7241</v>
      </c>
      <c r="K9018" t="s">
        <v>1092</v>
      </c>
      <c r="M9018">
        <v>1.5</v>
      </c>
      <c r="N9018">
        <v>26</v>
      </c>
      <c r="O9018" t="s">
        <v>46</v>
      </c>
      <c r="Q9018" t="s">
        <v>137</v>
      </c>
      <c r="R9018" t="s">
        <v>6904</v>
      </c>
      <c r="S9018" t="s">
        <v>999</v>
      </c>
      <c r="T9018" t="s">
        <v>1000</v>
      </c>
    </row>
    <row r="9019" spans="1:20" x14ac:dyDescent="0.25">
      <c r="A9019" t="s">
        <v>59</v>
      </c>
      <c r="B9019" t="s">
        <v>60</v>
      </c>
      <c r="C9019" t="s">
        <v>32</v>
      </c>
      <c r="D9019" t="s">
        <v>953</v>
      </c>
      <c r="E9019" t="s">
        <v>998</v>
      </c>
      <c r="F9019" t="s">
        <v>35</v>
      </c>
      <c r="G9019" t="s">
        <v>35</v>
      </c>
      <c r="H9019" t="s">
        <v>35</v>
      </c>
      <c r="J9019" t="s">
        <v>7241</v>
      </c>
      <c r="K9019" t="s">
        <v>1092</v>
      </c>
      <c r="M9019">
        <v>1</v>
      </c>
      <c r="N9019">
        <v>45</v>
      </c>
      <c r="O9019" t="s">
        <v>52</v>
      </c>
      <c r="Q9019" t="s">
        <v>1230</v>
      </c>
      <c r="R9019" t="s">
        <v>6904</v>
      </c>
      <c r="S9019" t="s">
        <v>999</v>
      </c>
      <c r="T9019" t="s">
        <v>1000</v>
      </c>
    </row>
    <row r="9020" spans="1:20" x14ac:dyDescent="0.25">
      <c r="A9020" t="s">
        <v>59</v>
      </c>
      <c r="B9020" t="s">
        <v>60</v>
      </c>
      <c r="C9020" t="s">
        <v>32</v>
      </c>
      <c r="D9020" t="s">
        <v>953</v>
      </c>
      <c r="E9020" t="s">
        <v>998</v>
      </c>
      <c r="F9020" t="s">
        <v>35</v>
      </c>
      <c r="G9020" t="s">
        <v>35</v>
      </c>
      <c r="H9020" t="s">
        <v>35</v>
      </c>
      <c r="J9020" t="s">
        <v>7241</v>
      </c>
      <c r="K9020" t="s">
        <v>1092</v>
      </c>
      <c r="M9020">
        <v>0.8</v>
      </c>
      <c r="N9020">
        <v>67</v>
      </c>
      <c r="O9020" t="s">
        <v>61</v>
      </c>
      <c r="Q9020" t="s">
        <v>488</v>
      </c>
      <c r="R9020" t="s">
        <v>6904</v>
      </c>
      <c r="S9020" t="s">
        <v>999</v>
      </c>
      <c r="T9020" t="s">
        <v>1000</v>
      </c>
    </row>
    <row r="9021" spans="1:20" x14ac:dyDescent="0.25">
      <c r="A9021" t="s">
        <v>59</v>
      </c>
      <c r="B9021" t="s">
        <v>60</v>
      </c>
      <c r="C9021" t="s">
        <v>32</v>
      </c>
      <c r="D9021" t="s">
        <v>953</v>
      </c>
      <c r="E9021" t="s">
        <v>998</v>
      </c>
      <c r="F9021" t="s">
        <v>35</v>
      </c>
      <c r="G9021" t="s">
        <v>35</v>
      </c>
      <c r="H9021" t="s">
        <v>35</v>
      </c>
      <c r="J9021" t="s">
        <v>7241</v>
      </c>
      <c r="K9021" t="s">
        <v>1092</v>
      </c>
      <c r="M9021">
        <v>0.75</v>
      </c>
      <c r="N9021">
        <v>57</v>
      </c>
      <c r="O9021" t="s">
        <v>52</v>
      </c>
      <c r="Q9021" t="s">
        <v>381</v>
      </c>
      <c r="R9021" t="s">
        <v>6904</v>
      </c>
      <c r="S9021" t="s">
        <v>999</v>
      </c>
      <c r="T9021" t="s">
        <v>1000</v>
      </c>
    </row>
    <row r="9022" spans="1:20" x14ac:dyDescent="0.25">
      <c r="A9022" t="s">
        <v>59</v>
      </c>
      <c r="B9022" t="s">
        <v>60</v>
      </c>
      <c r="C9022" t="s">
        <v>32</v>
      </c>
      <c r="D9022" t="s">
        <v>953</v>
      </c>
      <c r="E9022" t="s">
        <v>998</v>
      </c>
      <c r="F9022" t="s">
        <v>35</v>
      </c>
      <c r="G9022" t="s">
        <v>35</v>
      </c>
      <c r="H9022" t="s">
        <v>35</v>
      </c>
      <c r="J9022" t="s">
        <v>7241</v>
      </c>
      <c r="K9022" t="s">
        <v>1092</v>
      </c>
      <c r="M9022">
        <v>2</v>
      </c>
      <c r="N9022">
        <v>53</v>
      </c>
      <c r="O9022" t="s">
        <v>52</v>
      </c>
      <c r="Q9022" t="s">
        <v>1734</v>
      </c>
      <c r="R9022" t="s">
        <v>6904</v>
      </c>
      <c r="S9022" t="s">
        <v>999</v>
      </c>
      <c r="T9022" t="s">
        <v>1000</v>
      </c>
    </row>
    <row r="9023" spans="1:20" x14ac:dyDescent="0.25">
      <c r="A9023" t="s">
        <v>59</v>
      </c>
      <c r="B9023" t="s">
        <v>60</v>
      </c>
      <c r="C9023" t="s">
        <v>32</v>
      </c>
      <c r="D9023" t="s">
        <v>953</v>
      </c>
      <c r="E9023" t="s">
        <v>998</v>
      </c>
      <c r="F9023" t="s">
        <v>35</v>
      </c>
      <c r="G9023" t="s">
        <v>35</v>
      </c>
      <c r="H9023" t="s">
        <v>35</v>
      </c>
      <c r="J9023" t="s">
        <v>7271</v>
      </c>
      <c r="K9023" t="s">
        <v>1092</v>
      </c>
      <c r="M9023">
        <v>1</v>
      </c>
      <c r="N9023">
        <v>122</v>
      </c>
      <c r="O9023" t="s">
        <v>38</v>
      </c>
      <c r="Q9023" t="s">
        <v>1449</v>
      </c>
      <c r="R9023" t="s">
        <v>6904</v>
      </c>
      <c r="S9023" t="s">
        <v>999</v>
      </c>
      <c r="T9023" t="s">
        <v>1000</v>
      </c>
    </row>
    <row r="9024" spans="1:20" x14ac:dyDescent="0.25">
      <c r="A9024" t="s">
        <v>59</v>
      </c>
      <c r="B9024" t="s">
        <v>60</v>
      </c>
      <c r="C9024" t="s">
        <v>32</v>
      </c>
      <c r="D9024" t="s">
        <v>953</v>
      </c>
      <c r="E9024" t="s">
        <v>998</v>
      </c>
      <c r="F9024" t="s">
        <v>35</v>
      </c>
      <c r="G9024" t="s">
        <v>35</v>
      </c>
      <c r="H9024" t="s">
        <v>35</v>
      </c>
      <c r="J9024" t="s">
        <v>7271</v>
      </c>
      <c r="K9024" t="s">
        <v>1092</v>
      </c>
      <c r="M9024">
        <v>0.4</v>
      </c>
      <c r="N9024">
        <v>350</v>
      </c>
      <c r="O9024" t="s">
        <v>5</v>
      </c>
      <c r="Q9024" t="s">
        <v>6620</v>
      </c>
      <c r="R9024" t="s">
        <v>6904</v>
      </c>
      <c r="S9024" t="s">
        <v>999</v>
      </c>
      <c r="T9024" t="s">
        <v>1000</v>
      </c>
    </row>
    <row r="9025" spans="1:20" x14ac:dyDescent="0.25">
      <c r="A9025" t="s">
        <v>59</v>
      </c>
      <c r="B9025" t="s">
        <v>60</v>
      </c>
      <c r="C9025" t="s">
        <v>32</v>
      </c>
      <c r="D9025" t="s">
        <v>953</v>
      </c>
      <c r="E9025" t="s">
        <v>998</v>
      </c>
      <c r="F9025" t="s">
        <v>35</v>
      </c>
      <c r="G9025" t="s">
        <v>35</v>
      </c>
      <c r="H9025" t="s">
        <v>35</v>
      </c>
      <c r="J9025" t="s">
        <v>7271</v>
      </c>
      <c r="K9025" t="s">
        <v>1092</v>
      </c>
      <c r="M9025">
        <v>1</v>
      </c>
      <c r="N9025">
        <v>67</v>
      </c>
      <c r="O9025" t="s">
        <v>61</v>
      </c>
      <c r="Q9025" t="s">
        <v>488</v>
      </c>
      <c r="R9025" t="s">
        <v>6904</v>
      </c>
      <c r="S9025" t="s">
        <v>999</v>
      </c>
      <c r="T9025" t="s">
        <v>1000</v>
      </c>
    </row>
    <row r="9026" spans="1:20" x14ac:dyDescent="0.25">
      <c r="A9026" t="s">
        <v>59</v>
      </c>
      <c r="B9026" t="s">
        <v>60</v>
      </c>
      <c r="C9026" t="s">
        <v>32</v>
      </c>
      <c r="D9026" t="s">
        <v>953</v>
      </c>
      <c r="E9026" t="s">
        <v>998</v>
      </c>
      <c r="F9026" t="s">
        <v>35</v>
      </c>
      <c r="G9026" t="s">
        <v>35</v>
      </c>
      <c r="H9026" t="s">
        <v>35</v>
      </c>
      <c r="J9026" t="s">
        <v>7271</v>
      </c>
      <c r="K9026" t="s">
        <v>1092</v>
      </c>
      <c r="M9026">
        <v>0.5</v>
      </c>
      <c r="N9026">
        <v>144</v>
      </c>
      <c r="O9026" t="s">
        <v>38</v>
      </c>
      <c r="Q9026" t="s">
        <v>1269</v>
      </c>
      <c r="R9026" t="s">
        <v>6904</v>
      </c>
      <c r="S9026" t="s">
        <v>999</v>
      </c>
      <c r="T9026" t="s">
        <v>1000</v>
      </c>
    </row>
    <row r="9027" spans="1:20" x14ac:dyDescent="0.25">
      <c r="A9027" t="s">
        <v>59</v>
      </c>
      <c r="B9027" t="s">
        <v>60</v>
      </c>
      <c r="C9027" t="s">
        <v>32</v>
      </c>
      <c r="D9027" t="s">
        <v>953</v>
      </c>
      <c r="E9027" t="s">
        <v>998</v>
      </c>
      <c r="F9027" t="s">
        <v>35</v>
      </c>
      <c r="G9027" t="s">
        <v>35</v>
      </c>
      <c r="H9027" t="s">
        <v>35</v>
      </c>
      <c r="J9027" t="s">
        <v>7266</v>
      </c>
      <c r="K9027" t="s">
        <v>1092</v>
      </c>
      <c r="M9027">
        <v>0.1</v>
      </c>
      <c r="N9027">
        <v>349</v>
      </c>
      <c r="O9027" t="s">
        <v>5</v>
      </c>
      <c r="Q9027" t="s">
        <v>4728</v>
      </c>
      <c r="R9027" t="s">
        <v>6904</v>
      </c>
      <c r="S9027" t="s">
        <v>999</v>
      </c>
      <c r="T9027" t="s">
        <v>1000</v>
      </c>
    </row>
    <row r="9028" spans="1:20" x14ac:dyDescent="0.25">
      <c r="A9028" t="s">
        <v>59</v>
      </c>
      <c r="B9028" t="s">
        <v>60</v>
      </c>
      <c r="C9028" t="s">
        <v>32</v>
      </c>
      <c r="D9028" t="s">
        <v>953</v>
      </c>
      <c r="E9028" t="s">
        <v>998</v>
      </c>
      <c r="F9028" t="s">
        <v>35</v>
      </c>
      <c r="G9028" t="s">
        <v>35</v>
      </c>
      <c r="H9028" t="s">
        <v>35</v>
      </c>
      <c r="J9028" t="s">
        <v>7235</v>
      </c>
      <c r="K9028" t="s">
        <v>1092</v>
      </c>
      <c r="M9028">
        <v>0.1</v>
      </c>
      <c r="N9028">
        <v>133</v>
      </c>
      <c r="O9028" t="s">
        <v>38</v>
      </c>
      <c r="Q9028" t="s">
        <v>609</v>
      </c>
      <c r="R9028" t="s">
        <v>6904</v>
      </c>
      <c r="S9028" t="s">
        <v>999</v>
      </c>
      <c r="T9028" t="s">
        <v>1000</v>
      </c>
    </row>
    <row r="9029" spans="1:20" x14ac:dyDescent="0.25">
      <c r="A9029" t="s">
        <v>59</v>
      </c>
      <c r="B9029" t="s">
        <v>60</v>
      </c>
      <c r="C9029" t="s">
        <v>32</v>
      </c>
      <c r="D9029" t="s">
        <v>953</v>
      </c>
      <c r="E9029" t="s">
        <v>998</v>
      </c>
      <c r="F9029" t="s">
        <v>35</v>
      </c>
      <c r="G9029" t="s">
        <v>35</v>
      </c>
      <c r="H9029" t="s">
        <v>35</v>
      </c>
      <c r="J9029" t="s">
        <v>7262</v>
      </c>
      <c r="K9029" t="s">
        <v>1092</v>
      </c>
      <c r="M9029">
        <v>0.5</v>
      </c>
      <c r="N9029">
        <v>350</v>
      </c>
      <c r="O9029" t="s">
        <v>5</v>
      </c>
      <c r="Q9029" t="s">
        <v>6620</v>
      </c>
      <c r="R9029" t="s">
        <v>6904</v>
      </c>
      <c r="S9029" t="s">
        <v>999</v>
      </c>
      <c r="T9029" t="s">
        <v>1000</v>
      </c>
    </row>
    <row r="9030" spans="1:20" x14ac:dyDescent="0.25">
      <c r="A9030" t="s">
        <v>30</v>
      </c>
      <c r="B9030" t="s">
        <v>31</v>
      </c>
      <c r="C9030" t="s">
        <v>32</v>
      </c>
      <c r="D9030" t="s">
        <v>953</v>
      </c>
      <c r="E9030" t="s">
        <v>998</v>
      </c>
      <c r="F9030" t="s">
        <v>35</v>
      </c>
      <c r="G9030" t="s">
        <v>35</v>
      </c>
      <c r="H9030" t="s">
        <v>35</v>
      </c>
      <c r="J9030" t="s">
        <v>7262</v>
      </c>
      <c r="K9030" t="s">
        <v>1092</v>
      </c>
      <c r="M9030">
        <v>0.09</v>
      </c>
      <c r="N9030">
        <v>1710</v>
      </c>
      <c r="O9030" t="s">
        <v>575</v>
      </c>
      <c r="Q9030" t="s">
        <v>7263</v>
      </c>
      <c r="R9030" t="s">
        <v>6904</v>
      </c>
      <c r="S9030" t="s">
        <v>999</v>
      </c>
      <c r="T9030" t="s">
        <v>1000</v>
      </c>
    </row>
    <row r="9031" spans="1:20" x14ac:dyDescent="0.25">
      <c r="A9031" t="s">
        <v>59</v>
      </c>
      <c r="B9031" t="s">
        <v>60</v>
      </c>
      <c r="C9031" t="s">
        <v>32</v>
      </c>
      <c r="D9031" t="s">
        <v>953</v>
      </c>
      <c r="E9031" t="s">
        <v>998</v>
      </c>
      <c r="F9031" t="s">
        <v>35</v>
      </c>
      <c r="G9031" t="s">
        <v>35</v>
      </c>
      <c r="H9031" t="s">
        <v>35</v>
      </c>
      <c r="J9031" t="s">
        <v>7262</v>
      </c>
      <c r="K9031" t="s">
        <v>1092</v>
      </c>
      <c r="M9031">
        <v>0.25</v>
      </c>
      <c r="N9031">
        <v>757</v>
      </c>
      <c r="O9031" t="s">
        <v>575</v>
      </c>
      <c r="Q9031" t="s">
        <v>7264</v>
      </c>
      <c r="R9031" t="s">
        <v>6904</v>
      </c>
      <c r="S9031" t="s">
        <v>999</v>
      </c>
      <c r="T9031" t="s">
        <v>1000</v>
      </c>
    </row>
    <row r="9032" spans="1:20" x14ac:dyDescent="0.25">
      <c r="A9032" t="s">
        <v>59</v>
      </c>
      <c r="B9032" t="s">
        <v>60</v>
      </c>
      <c r="C9032" t="s">
        <v>32</v>
      </c>
      <c r="D9032" t="s">
        <v>953</v>
      </c>
      <c r="E9032" t="s">
        <v>998</v>
      </c>
      <c r="F9032" t="s">
        <v>35</v>
      </c>
      <c r="G9032" t="s">
        <v>35</v>
      </c>
      <c r="H9032" t="s">
        <v>35</v>
      </c>
      <c r="J9032" t="s">
        <v>7262</v>
      </c>
      <c r="K9032" t="s">
        <v>1092</v>
      </c>
      <c r="M9032">
        <v>0.75</v>
      </c>
      <c r="N9032">
        <v>304</v>
      </c>
      <c r="O9032" t="s">
        <v>5</v>
      </c>
      <c r="Q9032" t="s">
        <v>4940</v>
      </c>
      <c r="R9032" t="s">
        <v>6904</v>
      </c>
      <c r="S9032" t="s">
        <v>999</v>
      </c>
      <c r="T9032" t="s">
        <v>1000</v>
      </c>
    </row>
    <row r="9033" spans="1:20" x14ac:dyDescent="0.25">
      <c r="A9033" t="s">
        <v>59</v>
      </c>
      <c r="B9033" t="s">
        <v>60</v>
      </c>
      <c r="C9033" t="s">
        <v>32</v>
      </c>
      <c r="D9033" t="s">
        <v>953</v>
      </c>
      <c r="E9033" t="s">
        <v>998</v>
      </c>
      <c r="F9033" t="s">
        <v>35</v>
      </c>
      <c r="G9033" t="s">
        <v>35</v>
      </c>
      <c r="H9033" t="s">
        <v>35</v>
      </c>
      <c r="J9033" t="s">
        <v>7261</v>
      </c>
      <c r="K9033" t="s">
        <v>1092</v>
      </c>
      <c r="M9033">
        <v>0.5</v>
      </c>
      <c r="N9033">
        <v>53</v>
      </c>
      <c r="O9033" t="s">
        <v>52</v>
      </c>
      <c r="Q9033" t="s">
        <v>1734</v>
      </c>
      <c r="R9033" t="s">
        <v>6904</v>
      </c>
      <c r="S9033" t="s">
        <v>999</v>
      </c>
      <c r="T9033" t="s">
        <v>1000</v>
      </c>
    </row>
    <row r="9034" spans="1:20" x14ac:dyDescent="0.25">
      <c r="A9034" t="s">
        <v>59</v>
      </c>
      <c r="B9034" t="s">
        <v>60</v>
      </c>
      <c r="C9034" t="s">
        <v>32</v>
      </c>
      <c r="D9034" t="s">
        <v>953</v>
      </c>
      <c r="E9034" t="s">
        <v>7184</v>
      </c>
      <c r="F9034" t="s">
        <v>35</v>
      </c>
      <c r="G9034" t="s">
        <v>35</v>
      </c>
      <c r="H9034" t="s">
        <v>35</v>
      </c>
      <c r="J9034" t="s">
        <v>7201</v>
      </c>
      <c r="K9034" t="s">
        <v>1092</v>
      </c>
      <c r="M9034">
        <v>1.5</v>
      </c>
      <c r="N9034">
        <v>148</v>
      </c>
      <c r="O9034" t="s">
        <v>38</v>
      </c>
      <c r="Q9034" t="s">
        <v>3942</v>
      </c>
      <c r="R9034" t="s">
        <v>6904</v>
      </c>
      <c r="S9034" t="s">
        <v>999</v>
      </c>
      <c r="T9034" t="s">
        <v>1000</v>
      </c>
    </row>
    <row r="9035" spans="1:20" x14ac:dyDescent="0.25">
      <c r="A9035" t="s">
        <v>59</v>
      </c>
      <c r="B9035" t="s">
        <v>60</v>
      </c>
      <c r="C9035" t="s">
        <v>32</v>
      </c>
      <c r="D9035" t="s">
        <v>953</v>
      </c>
      <c r="E9035" t="s">
        <v>7184</v>
      </c>
      <c r="F9035" t="s">
        <v>35</v>
      </c>
      <c r="G9035" t="s">
        <v>35</v>
      </c>
      <c r="H9035" t="s">
        <v>35</v>
      </c>
      <c r="J9035" t="s">
        <v>7190</v>
      </c>
      <c r="K9035" t="s">
        <v>1092</v>
      </c>
      <c r="M9035">
        <v>1.75</v>
      </c>
      <c r="N9035">
        <v>38</v>
      </c>
      <c r="O9035" t="s">
        <v>52</v>
      </c>
      <c r="Q9035" t="s">
        <v>716</v>
      </c>
      <c r="R9035" t="s">
        <v>6904</v>
      </c>
      <c r="S9035" t="s">
        <v>999</v>
      </c>
      <c r="T9035" t="s">
        <v>1000</v>
      </c>
    </row>
    <row r="9036" spans="1:20" x14ac:dyDescent="0.25">
      <c r="A9036" t="s">
        <v>59</v>
      </c>
      <c r="B9036" t="s">
        <v>60</v>
      </c>
      <c r="C9036" t="s">
        <v>32</v>
      </c>
      <c r="D9036" t="s">
        <v>953</v>
      </c>
      <c r="E9036" t="s">
        <v>7184</v>
      </c>
      <c r="F9036" t="s">
        <v>35</v>
      </c>
      <c r="G9036" t="s">
        <v>35</v>
      </c>
      <c r="H9036" t="s">
        <v>35</v>
      </c>
      <c r="J9036" t="s">
        <v>7190</v>
      </c>
      <c r="K9036" t="s">
        <v>1092</v>
      </c>
      <c r="M9036">
        <v>0.05</v>
      </c>
      <c r="N9036">
        <v>143</v>
      </c>
      <c r="O9036" t="s">
        <v>38</v>
      </c>
      <c r="Q9036" t="s">
        <v>1612</v>
      </c>
      <c r="R9036" t="s">
        <v>6904</v>
      </c>
      <c r="S9036" t="s">
        <v>999</v>
      </c>
      <c r="T9036" t="s">
        <v>1000</v>
      </c>
    </row>
    <row r="9037" spans="1:20" x14ac:dyDescent="0.25">
      <c r="A9037" t="s">
        <v>59</v>
      </c>
      <c r="B9037" t="s">
        <v>60</v>
      </c>
      <c r="C9037" t="s">
        <v>32</v>
      </c>
      <c r="D9037" t="s">
        <v>953</v>
      </c>
      <c r="E9037" t="s">
        <v>998</v>
      </c>
      <c r="F9037" t="s">
        <v>35</v>
      </c>
      <c r="G9037" t="s">
        <v>35</v>
      </c>
      <c r="H9037" t="s">
        <v>35</v>
      </c>
      <c r="J9037" t="s">
        <v>7236</v>
      </c>
      <c r="K9037" t="s">
        <v>1092</v>
      </c>
      <c r="M9037">
        <v>1.55</v>
      </c>
      <c r="N9037">
        <v>61</v>
      </c>
      <c r="O9037" t="s">
        <v>61</v>
      </c>
      <c r="Q9037" t="s">
        <v>146</v>
      </c>
      <c r="R9037" t="s">
        <v>6904</v>
      </c>
      <c r="S9037" t="s">
        <v>999</v>
      </c>
      <c r="T9037" t="s">
        <v>1000</v>
      </c>
    </row>
    <row r="9038" spans="1:20" x14ac:dyDescent="0.25">
      <c r="A9038" t="s">
        <v>59</v>
      </c>
      <c r="B9038" t="s">
        <v>60</v>
      </c>
      <c r="C9038" t="s">
        <v>32</v>
      </c>
      <c r="D9038" t="s">
        <v>953</v>
      </c>
      <c r="E9038" t="s">
        <v>998</v>
      </c>
      <c r="F9038" t="s">
        <v>35</v>
      </c>
      <c r="G9038" t="s">
        <v>35</v>
      </c>
      <c r="H9038" t="s">
        <v>35</v>
      </c>
      <c r="J9038" t="s">
        <v>7296</v>
      </c>
      <c r="K9038" t="s">
        <v>1092</v>
      </c>
      <c r="M9038">
        <v>0.15</v>
      </c>
      <c r="N9038">
        <v>58</v>
      </c>
      <c r="O9038" t="s">
        <v>52</v>
      </c>
      <c r="Q9038" t="s">
        <v>128</v>
      </c>
      <c r="R9038" t="s">
        <v>6904</v>
      </c>
      <c r="S9038" t="s">
        <v>999</v>
      </c>
      <c r="T9038" t="s">
        <v>1000</v>
      </c>
    </row>
    <row r="9039" spans="1:20" x14ac:dyDescent="0.25">
      <c r="A9039" t="s">
        <v>59</v>
      </c>
      <c r="B9039" t="s">
        <v>60</v>
      </c>
      <c r="C9039" t="s">
        <v>32</v>
      </c>
      <c r="D9039" t="s">
        <v>953</v>
      </c>
      <c r="E9039" t="s">
        <v>998</v>
      </c>
      <c r="F9039" t="s">
        <v>35</v>
      </c>
      <c r="G9039" t="s">
        <v>35</v>
      </c>
      <c r="H9039" t="s">
        <v>35</v>
      </c>
      <c r="J9039" t="s">
        <v>7296</v>
      </c>
      <c r="K9039" t="s">
        <v>1092</v>
      </c>
      <c r="M9039">
        <v>0.05</v>
      </c>
      <c r="N9039">
        <v>350</v>
      </c>
      <c r="O9039" t="s">
        <v>5</v>
      </c>
      <c r="Q9039" t="s">
        <v>6620</v>
      </c>
      <c r="R9039" t="s">
        <v>6904</v>
      </c>
      <c r="S9039" t="s">
        <v>999</v>
      </c>
      <c r="T9039" t="s">
        <v>1000</v>
      </c>
    </row>
    <row r="9040" spans="1:20" x14ac:dyDescent="0.25">
      <c r="A9040" t="s">
        <v>59</v>
      </c>
      <c r="B9040" t="s">
        <v>60</v>
      </c>
      <c r="C9040" t="s">
        <v>32</v>
      </c>
      <c r="D9040" t="s">
        <v>953</v>
      </c>
      <c r="E9040" t="s">
        <v>998</v>
      </c>
      <c r="F9040" t="s">
        <v>35</v>
      </c>
      <c r="G9040" t="s">
        <v>35</v>
      </c>
      <c r="H9040" t="s">
        <v>35</v>
      </c>
      <c r="J9040" t="s">
        <v>7242</v>
      </c>
      <c r="K9040" t="s">
        <v>1092</v>
      </c>
      <c r="M9040">
        <v>8.85</v>
      </c>
      <c r="N9040">
        <v>114</v>
      </c>
      <c r="O9040" t="s">
        <v>106</v>
      </c>
      <c r="Q9040" t="s">
        <v>2895</v>
      </c>
      <c r="R9040" t="s">
        <v>6904</v>
      </c>
      <c r="S9040" t="s">
        <v>999</v>
      </c>
      <c r="T9040" t="s">
        <v>1000</v>
      </c>
    </row>
    <row r="9041" spans="1:20" x14ac:dyDescent="0.25">
      <c r="A9041" t="s">
        <v>59</v>
      </c>
      <c r="B9041" t="s">
        <v>60</v>
      </c>
      <c r="C9041" t="s">
        <v>32</v>
      </c>
      <c r="D9041" t="s">
        <v>953</v>
      </c>
      <c r="E9041" t="s">
        <v>998</v>
      </c>
      <c r="F9041" t="s">
        <v>35</v>
      </c>
      <c r="G9041" t="s">
        <v>35</v>
      </c>
      <c r="H9041" t="s">
        <v>35</v>
      </c>
      <c r="J9041" t="s">
        <v>7242</v>
      </c>
      <c r="K9041" t="s">
        <v>1092</v>
      </c>
      <c r="M9041">
        <v>1.6</v>
      </c>
      <c r="N9041">
        <v>148</v>
      </c>
      <c r="O9041" t="s">
        <v>38</v>
      </c>
      <c r="Q9041" t="s">
        <v>3942</v>
      </c>
      <c r="R9041" t="s">
        <v>6904</v>
      </c>
      <c r="S9041" t="s">
        <v>999</v>
      </c>
      <c r="T9041" t="s">
        <v>1000</v>
      </c>
    </row>
    <row r="9042" spans="1:20" x14ac:dyDescent="0.25">
      <c r="A9042" t="s">
        <v>59</v>
      </c>
      <c r="B9042" t="s">
        <v>60</v>
      </c>
      <c r="C9042" t="s">
        <v>32</v>
      </c>
      <c r="D9042" t="s">
        <v>953</v>
      </c>
      <c r="E9042" t="s">
        <v>7184</v>
      </c>
      <c r="F9042" t="s">
        <v>35</v>
      </c>
      <c r="G9042" t="s">
        <v>35</v>
      </c>
      <c r="H9042" t="s">
        <v>35</v>
      </c>
      <c r="J9042" t="s">
        <v>7195</v>
      </c>
      <c r="K9042" t="s">
        <v>1092</v>
      </c>
      <c r="M9042">
        <v>0.25</v>
      </c>
      <c r="N9042">
        <v>144</v>
      </c>
      <c r="O9042" t="s">
        <v>38</v>
      </c>
      <c r="Q9042" t="s">
        <v>1269</v>
      </c>
      <c r="R9042" t="s">
        <v>6904</v>
      </c>
      <c r="S9042" t="s">
        <v>999</v>
      </c>
      <c r="T9042" t="s">
        <v>1000</v>
      </c>
    </row>
    <row r="9043" spans="1:20" x14ac:dyDescent="0.25">
      <c r="A9043" t="s">
        <v>59</v>
      </c>
      <c r="B9043" t="s">
        <v>60</v>
      </c>
      <c r="C9043" t="s">
        <v>32</v>
      </c>
      <c r="D9043" t="s">
        <v>953</v>
      </c>
      <c r="E9043" t="s">
        <v>998</v>
      </c>
      <c r="F9043" t="s">
        <v>35</v>
      </c>
      <c r="G9043" t="s">
        <v>35</v>
      </c>
      <c r="H9043" t="s">
        <v>35</v>
      </c>
      <c r="J9043" t="s">
        <v>7237</v>
      </c>
      <c r="K9043" t="s">
        <v>1092</v>
      </c>
      <c r="M9043">
        <v>0.5</v>
      </c>
      <c r="N9043">
        <v>123</v>
      </c>
      <c r="O9043" t="s">
        <v>38</v>
      </c>
      <c r="Q9043" t="s">
        <v>1656</v>
      </c>
      <c r="R9043" t="s">
        <v>6904</v>
      </c>
      <c r="S9043" t="s">
        <v>999</v>
      </c>
      <c r="T9043" t="s">
        <v>1000</v>
      </c>
    </row>
    <row r="9044" spans="1:20" x14ac:dyDescent="0.25">
      <c r="A9044" t="s">
        <v>59</v>
      </c>
      <c r="B9044" t="s">
        <v>60</v>
      </c>
      <c r="C9044" t="s">
        <v>32</v>
      </c>
      <c r="D9044" t="s">
        <v>953</v>
      </c>
      <c r="E9044" t="s">
        <v>998</v>
      </c>
      <c r="F9044" t="s">
        <v>35</v>
      </c>
      <c r="G9044" t="s">
        <v>35</v>
      </c>
      <c r="H9044" t="s">
        <v>35</v>
      </c>
      <c r="J9044" t="s">
        <v>7237</v>
      </c>
      <c r="K9044" t="s">
        <v>1092</v>
      </c>
      <c r="M9044">
        <v>0.85</v>
      </c>
      <c r="N9044">
        <v>133</v>
      </c>
      <c r="O9044" t="s">
        <v>38</v>
      </c>
      <c r="Q9044" t="s">
        <v>609</v>
      </c>
      <c r="R9044" t="s">
        <v>6904</v>
      </c>
      <c r="S9044" t="s">
        <v>999</v>
      </c>
      <c r="T9044" t="s">
        <v>1000</v>
      </c>
    </row>
    <row r="9045" spans="1:20" x14ac:dyDescent="0.25">
      <c r="A9045" t="s">
        <v>59</v>
      </c>
      <c r="B9045" t="s">
        <v>60</v>
      </c>
      <c r="C9045" t="s">
        <v>32</v>
      </c>
      <c r="D9045" t="s">
        <v>953</v>
      </c>
      <c r="E9045" t="s">
        <v>6878</v>
      </c>
      <c r="F9045" t="s">
        <v>35</v>
      </c>
      <c r="G9045" t="s">
        <v>35</v>
      </c>
      <c r="H9045" t="s">
        <v>35</v>
      </c>
      <c r="J9045" t="s">
        <v>6883</v>
      </c>
      <c r="K9045" t="s">
        <v>1092</v>
      </c>
      <c r="M9045">
        <v>5</v>
      </c>
      <c r="N9045">
        <v>42</v>
      </c>
      <c r="O9045" t="s">
        <v>52</v>
      </c>
      <c r="Q9045" t="s">
        <v>219</v>
      </c>
      <c r="R9045" t="s">
        <v>6904</v>
      </c>
      <c r="S9045" t="s">
        <v>999</v>
      </c>
      <c r="T9045" t="s">
        <v>1000</v>
      </c>
    </row>
    <row r="9046" spans="1:20" x14ac:dyDescent="0.25">
      <c r="A9046" t="s">
        <v>59</v>
      </c>
      <c r="B9046" t="s">
        <v>60</v>
      </c>
      <c r="C9046" t="s">
        <v>32</v>
      </c>
      <c r="D9046" t="s">
        <v>953</v>
      </c>
      <c r="E9046" t="s">
        <v>998</v>
      </c>
      <c r="F9046" t="s">
        <v>35</v>
      </c>
      <c r="G9046" t="s">
        <v>35</v>
      </c>
      <c r="H9046" t="s">
        <v>35</v>
      </c>
      <c r="J9046" t="s">
        <v>7239</v>
      </c>
      <c r="K9046" t="s">
        <v>1092</v>
      </c>
      <c r="M9046">
        <v>0.5</v>
      </c>
      <c r="N9046">
        <v>57</v>
      </c>
      <c r="O9046" t="s">
        <v>52</v>
      </c>
      <c r="Q9046" t="s">
        <v>381</v>
      </c>
      <c r="R9046" t="s">
        <v>6904</v>
      </c>
      <c r="S9046" t="s">
        <v>999</v>
      </c>
      <c r="T9046" t="s">
        <v>1000</v>
      </c>
    </row>
    <row r="9047" spans="1:20" x14ac:dyDescent="0.25">
      <c r="A9047" t="s">
        <v>59</v>
      </c>
      <c r="B9047" t="s">
        <v>60</v>
      </c>
      <c r="C9047" t="s">
        <v>32</v>
      </c>
      <c r="D9047" t="s">
        <v>953</v>
      </c>
      <c r="E9047" t="s">
        <v>998</v>
      </c>
      <c r="F9047" t="s">
        <v>35</v>
      </c>
      <c r="G9047" t="s">
        <v>35</v>
      </c>
      <c r="H9047" t="s">
        <v>35</v>
      </c>
      <c r="J9047" t="s">
        <v>7279</v>
      </c>
      <c r="K9047" t="s">
        <v>1092</v>
      </c>
      <c r="M9047">
        <v>0.5</v>
      </c>
      <c r="N9047">
        <v>960</v>
      </c>
      <c r="O9047" t="s">
        <v>575</v>
      </c>
      <c r="Q9047" t="s">
        <v>7280</v>
      </c>
      <c r="R9047" t="s">
        <v>6904</v>
      </c>
      <c r="S9047" t="s">
        <v>999</v>
      </c>
      <c r="T9047" t="s">
        <v>1000</v>
      </c>
    </row>
    <row r="9048" spans="1:20" x14ac:dyDescent="0.25">
      <c r="A9048" t="s">
        <v>59</v>
      </c>
      <c r="B9048" t="s">
        <v>60</v>
      </c>
      <c r="C9048" t="s">
        <v>32</v>
      </c>
      <c r="D9048" t="s">
        <v>953</v>
      </c>
      <c r="E9048" t="s">
        <v>998</v>
      </c>
      <c r="F9048" t="s">
        <v>35</v>
      </c>
      <c r="G9048" t="s">
        <v>35</v>
      </c>
      <c r="H9048" t="s">
        <v>35</v>
      </c>
      <c r="J9048" t="s">
        <v>7270</v>
      </c>
      <c r="K9048" t="s">
        <v>1092</v>
      </c>
      <c r="M9048">
        <v>0.05</v>
      </c>
      <c r="N9048">
        <v>37</v>
      </c>
      <c r="O9048" t="s">
        <v>52</v>
      </c>
      <c r="Q9048" t="s">
        <v>192</v>
      </c>
      <c r="R9048" t="s">
        <v>6904</v>
      </c>
      <c r="S9048" t="s">
        <v>999</v>
      </c>
      <c r="T9048" t="s">
        <v>1000</v>
      </c>
    </row>
    <row r="9049" spans="1:20" x14ac:dyDescent="0.25">
      <c r="A9049" t="s">
        <v>59</v>
      </c>
      <c r="B9049" t="s">
        <v>60</v>
      </c>
      <c r="C9049" t="s">
        <v>32</v>
      </c>
      <c r="D9049" t="s">
        <v>953</v>
      </c>
      <c r="F9049" t="s">
        <v>35</v>
      </c>
      <c r="G9049" t="s">
        <v>35</v>
      </c>
      <c r="H9049" t="s">
        <v>35</v>
      </c>
      <c r="J9049" t="s">
        <v>6366</v>
      </c>
      <c r="K9049" t="s">
        <v>1092</v>
      </c>
      <c r="M9049">
        <v>2</v>
      </c>
      <c r="N9049">
        <v>934</v>
      </c>
      <c r="O9049" t="s">
        <v>575</v>
      </c>
      <c r="Q9049" t="s">
        <v>1526</v>
      </c>
      <c r="R9049" t="s">
        <v>6904</v>
      </c>
      <c r="S9049" t="s">
        <v>999</v>
      </c>
      <c r="T9049" t="s">
        <v>1000</v>
      </c>
    </row>
    <row r="9050" spans="1:20" x14ac:dyDescent="0.25">
      <c r="A9050" t="s">
        <v>59</v>
      </c>
      <c r="B9050" t="s">
        <v>31</v>
      </c>
      <c r="C9050" t="s">
        <v>32</v>
      </c>
      <c r="D9050" t="s">
        <v>953</v>
      </c>
      <c r="E9050" t="s">
        <v>998</v>
      </c>
      <c r="F9050" t="s">
        <v>35</v>
      </c>
      <c r="G9050" t="s">
        <v>35</v>
      </c>
      <c r="H9050" t="s">
        <v>35</v>
      </c>
      <c r="J9050" t="s">
        <v>7285</v>
      </c>
      <c r="K9050" t="s">
        <v>1092</v>
      </c>
      <c r="M9050">
        <v>3.1949999999999998</v>
      </c>
      <c r="N9050">
        <v>861</v>
      </c>
      <c r="O9050" t="s">
        <v>575</v>
      </c>
      <c r="Q9050" t="s">
        <v>5042</v>
      </c>
      <c r="R9050" t="s">
        <v>6904</v>
      </c>
      <c r="S9050" t="s">
        <v>999</v>
      </c>
      <c r="T9050" t="s">
        <v>1000</v>
      </c>
    </row>
    <row r="9051" spans="1:20" x14ac:dyDescent="0.25">
      <c r="A9051" t="s">
        <v>59</v>
      </c>
      <c r="B9051" t="s">
        <v>60</v>
      </c>
      <c r="C9051" t="s">
        <v>32</v>
      </c>
      <c r="D9051" t="s">
        <v>953</v>
      </c>
      <c r="E9051" t="s">
        <v>7184</v>
      </c>
      <c r="F9051" t="s">
        <v>35</v>
      </c>
      <c r="G9051" t="s">
        <v>35</v>
      </c>
      <c r="H9051" t="s">
        <v>35</v>
      </c>
      <c r="J9051" t="s">
        <v>7230</v>
      </c>
      <c r="K9051" t="s">
        <v>1092</v>
      </c>
      <c r="M9051">
        <v>0.75</v>
      </c>
      <c r="N9051">
        <v>67</v>
      </c>
      <c r="O9051" t="s">
        <v>61</v>
      </c>
      <c r="Q9051" t="s">
        <v>488</v>
      </c>
      <c r="R9051" t="s">
        <v>6904</v>
      </c>
      <c r="S9051" t="s">
        <v>999</v>
      </c>
      <c r="T9051" t="s">
        <v>1000</v>
      </c>
    </row>
    <row r="9052" spans="1:20" x14ac:dyDescent="0.25">
      <c r="A9052" t="s">
        <v>59</v>
      </c>
      <c r="B9052" t="s">
        <v>60</v>
      </c>
      <c r="C9052" t="s">
        <v>32</v>
      </c>
      <c r="D9052" t="s">
        <v>953</v>
      </c>
      <c r="E9052" t="s">
        <v>7184</v>
      </c>
      <c r="F9052" t="s">
        <v>35</v>
      </c>
      <c r="G9052" t="s">
        <v>35</v>
      </c>
      <c r="H9052" t="s">
        <v>35</v>
      </c>
      <c r="J9052" t="s">
        <v>7230</v>
      </c>
      <c r="K9052" t="s">
        <v>1092</v>
      </c>
      <c r="M9052">
        <v>0.5</v>
      </c>
      <c r="N9052">
        <v>26</v>
      </c>
      <c r="O9052" t="s">
        <v>46</v>
      </c>
      <c r="Q9052" t="s">
        <v>137</v>
      </c>
      <c r="R9052" t="s">
        <v>6904</v>
      </c>
      <c r="S9052" t="s">
        <v>999</v>
      </c>
      <c r="T9052" t="s">
        <v>1000</v>
      </c>
    </row>
    <row r="9053" spans="1:20" x14ac:dyDescent="0.25">
      <c r="A9053" t="s">
        <v>59</v>
      </c>
      <c r="B9053" t="s">
        <v>60</v>
      </c>
      <c r="C9053" t="s">
        <v>32</v>
      </c>
      <c r="D9053" t="s">
        <v>953</v>
      </c>
      <c r="E9053" t="s">
        <v>7184</v>
      </c>
      <c r="F9053" t="s">
        <v>35</v>
      </c>
      <c r="G9053" t="s">
        <v>35</v>
      </c>
      <c r="H9053" t="s">
        <v>35</v>
      </c>
      <c r="J9053" t="s">
        <v>7230</v>
      </c>
      <c r="K9053" t="s">
        <v>1092</v>
      </c>
      <c r="M9053">
        <v>0.5</v>
      </c>
      <c r="N9053">
        <v>57</v>
      </c>
      <c r="O9053" t="s">
        <v>52</v>
      </c>
      <c r="Q9053" t="s">
        <v>381</v>
      </c>
      <c r="R9053" t="s">
        <v>6904</v>
      </c>
      <c r="S9053" t="s">
        <v>999</v>
      </c>
      <c r="T9053" t="s">
        <v>1000</v>
      </c>
    </row>
    <row r="9054" spans="1:20" x14ac:dyDescent="0.25">
      <c r="A9054" t="s">
        <v>59</v>
      </c>
      <c r="B9054" t="s">
        <v>60</v>
      </c>
      <c r="C9054" t="s">
        <v>32</v>
      </c>
      <c r="D9054" t="s">
        <v>953</v>
      </c>
      <c r="E9054" t="s">
        <v>1084</v>
      </c>
      <c r="F9054" t="s">
        <v>35</v>
      </c>
      <c r="G9054" t="s">
        <v>35</v>
      </c>
      <c r="H9054" t="s">
        <v>35</v>
      </c>
      <c r="J9054" t="s">
        <v>7778</v>
      </c>
      <c r="K9054" t="s">
        <v>1092</v>
      </c>
      <c r="M9054">
        <v>2.15</v>
      </c>
      <c r="N9054">
        <v>148</v>
      </c>
      <c r="O9054" t="s">
        <v>38</v>
      </c>
      <c r="Q9054" t="s">
        <v>3942</v>
      </c>
      <c r="R9054" t="s">
        <v>6904</v>
      </c>
      <c r="S9054" t="s">
        <v>999</v>
      </c>
      <c r="T9054" t="s">
        <v>1000</v>
      </c>
    </row>
    <row r="9055" spans="1:20" x14ac:dyDescent="0.25">
      <c r="A9055" t="s">
        <v>30</v>
      </c>
      <c r="B9055" t="s">
        <v>31</v>
      </c>
      <c r="C9055" t="s">
        <v>32</v>
      </c>
      <c r="D9055" t="s">
        <v>953</v>
      </c>
      <c r="F9055" t="s">
        <v>35</v>
      </c>
      <c r="G9055" t="s">
        <v>35</v>
      </c>
      <c r="H9055" t="s">
        <v>35</v>
      </c>
      <c r="J9055" t="s">
        <v>8004</v>
      </c>
      <c r="K9055" t="s">
        <v>1092</v>
      </c>
      <c r="M9055">
        <v>0.36</v>
      </c>
      <c r="N9055">
        <v>2231</v>
      </c>
      <c r="O9055" t="s">
        <v>575</v>
      </c>
      <c r="Q9055" t="s">
        <v>8005</v>
      </c>
      <c r="R9055" t="s">
        <v>8006</v>
      </c>
      <c r="S9055" t="s">
        <v>8007</v>
      </c>
      <c r="T9055" t="s">
        <v>8008</v>
      </c>
    </row>
    <row r="9056" spans="1:20" x14ac:dyDescent="0.25">
      <c r="A9056" t="s">
        <v>59</v>
      </c>
      <c r="B9056" t="s">
        <v>60</v>
      </c>
      <c r="C9056" t="s">
        <v>32</v>
      </c>
      <c r="D9056" t="s">
        <v>953</v>
      </c>
      <c r="E9056" t="s">
        <v>7558</v>
      </c>
      <c r="F9056" t="s">
        <v>35</v>
      </c>
      <c r="G9056" t="s">
        <v>35</v>
      </c>
      <c r="H9056" t="s">
        <v>35</v>
      </c>
      <c r="J9056" t="s">
        <v>7593</v>
      </c>
      <c r="K9056" t="s">
        <v>1092</v>
      </c>
      <c r="M9056">
        <v>1.05</v>
      </c>
      <c r="N9056">
        <v>473</v>
      </c>
      <c r="O9056" t="s">
        <v>294</v>
      </c>
      <c r="Q9056" t="s">
        <v>1405</v>
      </c>
      <c r="R9056" t="s">
        <v>7594</v>
      </c>
      <c r="S9056" t="s">
        <v>7595</v>
      </c>
      <c r="T9056" t="s">
        <v>7055</v>
      </c>
    </row>
    <row r="9057" spans="1:20" x14ac:dyDescent="0.25">
      <c r="A9057" t="s">
        <v>59</v>
      </c>
      <c r="B9057" t="s">
        <v>60</v>
      </c>
      <c r="C9057" t="s">
        <v>32</v>
      </c>
      <c r="D9057" t="s">
        <v>953</v>
      </c>
      <c r="F9057" t="s">
        <v>35</v>
      </c>
      <c r="G9057" t="s">
        <v>35</v>
      </c>
      <c r="H9057" t="s">
        <v>35</v>
      </c>
      <c r="J9057" t="s">
        <v>8047</v>
      </c>
      <c r="K9057" t="s">
        <v>1092</v>
      </c>
      <c r="M9057">
        <v>0.15</v>
      </c>
      <c r="N9057">
        <v>2360</v>
      </c>
      <c r="O9057" t="s">
        <v>575</v>
      </c>
      <c r="Q9057" t="s">
        <v>8048</v>
      </c>
      <c r="R9057" t="s">
        <v>8049</v>
      </c>
      <c r="S9057" t="s">
        <v>8050</v>
      </c>
      <c r="T9057" t="s">
        <v>8051</v>
      </c>
    </row>
    <row r="9058" spans="1:20" x14ac:dyDescent="0.25">
      <c r="A9058" t="s">
        <v>59</v>
      </c>
      <c r="B9058" t="s">
        <v>31</v>
      </c>
      <c r="C9058" t="s">
        <v>32</v>
      </c>
      <c r="D9058" t="s">
        <v>953</v>
      </c>
      <c r="F9058" t="s">
        <v>35</v>
      </c>
      <c r="G9058" t="s">
        <v>35</v>
      </c>
      <c r="H9058" t="s">
        <v>35</v>
      </c>
      <c r="J9058" t="s">
        <v>8058</v>
      </c>
      <c r="K9058" t="s">
        <v>1092</v>
      </c>
      <c r="M9058">
        <v>0.45</v>
      </c>
      <c r="N9058">
        <v>2234</v>
      </c>
      <c r="O9058" t="s">
        <v>575</v>
      </c>
      <c r="Q9058" t="s">
        <v>8059</v>
      </c>
      <c r="R9058" t="s">
        <v>8049</v>
      </c>
      <c r="S9058" t="s">
        <v>8050</v>
      </c>
      <c r="T9058" t="s">
        <v>8051</v>
      </c>
    </row>
    <row r="9059" spans="1:20" x14ac:dyDescent="0.25">
      <c r="A9059" t="s">
        <v>59</v>
      </c>
      <c r="B9059" t="s">
        <v>60</v>
      </c>
      <c r="C9059" t="s">
        <v>32</v>
      </c>
      <c r="D9059" t="s">
        <v>953</v>
      </c>
      <c r="F9059" t="s">
        <v>35</v>
      </c>
      <c r="G9059" t="s">
        <v>35</v>
      </c>
      <c r="H9059" t="s">
        <v>35</v>
      </c>
      <c r="J9059" t="s">
        <v>8058</v>
      </c>
      <c r="K9059" t="s">
        <v>1092</v>
      </c>
      <c r="M9059">
        <v>0.75</v>
      </c>
      <c r="N9059">
        <v>2270</v>
      </c>
      <c r="O9059" t="s">
        <v>575</v>
      </c>
      <c r="Q9059" t="s">
        <v>2320</v>
      </c>
      <c r="R9059" t="s">
        <v>8049</v>
      </c>
      <c r="S9059" t="s">
        <v>8050</v>
      </c>
      <c r="T9059" t="s">
        <v>8051</v>
      </c>
    </row>
    <row r="9060" spans="1:20" x14ac:dyDescent="0.25">
      <c r="A9060" t="s">
        <v>59</v>
      </c>
      <c r="B9060" t="s">
        <v>60</v>
      </c>
      <c r="C9060" t="s">
        <v>32</v>
      </c>
      <c r="D9060" t="s">
        <v>953</v>
      </c>
      <c r="F9060" t="s">
        <v>35</v>
      </c>
      <c r="G9060" t="s">
        <v>35</v>
      </c>
      <c r="H9060" t="s">
        <v>35</v>
      </c>
      <c r="J9060" t="s">
        <v>8060</v>
      </c>
      <c r="K9060" t="s">
        <v>1092</v>
      </c>
      <c r="M9060">
        <v>0.05</v>
      </c>
      <c r="N9060">
        <v>2184</v>
      </c>
      <c r="O9060" t="s">
        <v>575</v>
      </c>
      <c r="Q9060" t="s">
        <v>8061</v>
      </c>
      <c r="R9060" t="s">
        <v>8049</v>
      </c>
      <c r="S9060" t="s">
        <v>8050</v>
      </c>
      <c r="T9060" t="s">
        <v>8051</v>
      </c>
    </row>
    <row r="9061" spans="1:20" x14ac:dyDescent="0.25">
      <c r="A9061" t="s">
        <v>59</v>
      </c>
      <c r="B9061" t="s">
        <v>60</v>
      </c>
      <c r="C9061" t="s">
        <v>32</v>
      </c>
      <c r="D9061" t="s">
        <v>953</v>
      </c>
      <c r="F9061" t="s">
        <v>35</v>
      </c>
      <c r="G9061" t="s">
        <v>35</v>
      </c>
      <c r="H9061" t="s">
        <v>35</v>
      </c>
      <c r="J9061" t="s">
        <v>8060</v>
      </c>
      <c r="K9061" t="s">
        <v>1092</v>
      </c>
      <c r="M9061">
        <v>0.25</v>
      </c>
      <c r="N9061">
        <v>2072</v>
      </c>
      <c r="O9061" t="s">
        <v>575</v>
      </c>
      <c r="Q9061" t="s">
        <v>7721</v>
      </c>
      <c r="R9061" t="s">
        <v>8049</v>
      </c>
      <c r="S9061" t="s">
        <v>8050</v>
      </c>
      <c r="T9061" t="s">
        <v>8051</v>
      </c>
    </row>
    <row r="9062" spans="1:20" x14ac:dyDescent="0.25">
      <c r="A9062" t="s">
        <v>59</v>
      </c>
      <c r="B9062" t="s">
        <v>60</v>
      </c>
      <c r="C9062" t="s">
        <v>32</v>
      </c>
      <c r="D9062" t="s">
        <v>953</v>
      </c>
      <c r="F9062" t="s">
        <v>35</v>
      </c>
      <c r="G9062" t="s">
        <v>35</v>
      </c>
      <c r="H9062" t="s">
        <v>35</v>
      </c>
      <c r="J9062" t="s">
        <v>8062</v>
      </c>
      <c r="K9062" t="s">
        <v>1092</v>
      </c>
      <c r="M9062">
        <v>0.1</v>
      </c>
      <c r="N9062">
        <v>2538</v>
      </c>
      <c r="O9062" t="s">
        <v>575</v>
      </c>
      <c r="Q9062" t="s">
        <v>8063</v>
      </c>
      <c r="R9062" t="s">
        <v>8049</v>
      </c>
      <c r="S9062" t="s">
        <v>8050</v>
      </c>
      <c r="T9062" t="s">
        <v>8051</v>
      </c>
    </row>
    <row r="9063" spans="1:20" x14ac:dyDescent="0.25">
      <c r="A9063" t="s">
        <v>59</v>
      </c>
      <c r="B9063" t="s">
        <v>60</v>
      </c>
      <c r="C9063" t="s">
        <v>32</v>
      </c>
      <c r="D9063" t="s">
        <v>953</v>
      </c>
      <c r="F9063" t="s">
        <v>35</v>
      </c>
      <c r="G9063" t="s">
        <v>35</v>
      </c>
      <c r="H9063" t="s">
        <v>35</v>
      </c>
      <c r="J9063" t="s">
        <v>7914</v>
      </c>
      <c r="K9063" t="s">
        <v>1092</v>
      </c>
      <c r="M9063">
        <v>0.1</v>
      </c>
      <c r="N9063">
        <v>2187</v>
      </c>
      <c r="O9063" t="s">
        <v>575</v>
      </c>
      <c r="Q9063" t="s">
        <v>7915</v>
      </c>
      <c r="R9063" t="s">
        <v>7916</v>
      </c>
      <c r="S9063" t="s">
        <v>7917</v>
      </c>
      <c r="T9063" t="s">
        <v>7918</v>
      </c>
    </row>
    <row r="9064" spans="1:20" x14ac:dyDescent="0.25">
      <c r="A9064" t="s">
        <v>59</v>
      </c>
      <c r="B9064" t="s">
        <v>60</v>
      </c>
      <c r="C9064" t="s">
        <v>32</v>
      </c>
      <c r="D9064" t="s">
        <v>953</v>
      </c>
      <c r="E9064" t="s">
        <v>7494</v>
      </c>
      <c r="F9064" t="s">
        <v>35</v>
      </c>
      <c r="G9064" t="s">
        <v>35</v>
      </c>
      <c r="H9064" t="s">
        <v>35</v>
      </c>
      <c r="J9064" t="s">
        <v>1885</v>
      </c>
      <c r="K9064" t="s">
        <v>1092</v>
      </c>
      <c r="M9064">
        <v>0.1</v>
      </c>
      <c r="N9064">
        <v>175</v>
      </c>
      <c r="O9064" t="s">
        <v>38</v>
      </c>
      <c r="Q9064" t="s">
        <v>1764</v>
      </c>
      <c r="R9064" t="s">
        <v>7421</v>
      </c>
      <c r="S9064" t="s">
        <v>7422</v>
      </c>
      <c r="T9064" t="s">
        <v>7351</v>
      </c>
    </row>
    <row r="9065" spans="1:20" x14ac:dyDescent="0.25">
      <c r="A9065" t="s">
        <v>59</v>
      </c>
      <c r="B9065" t="s">
        <v>60</v>
      </c>
      <c r="C9065" t="s">
        <v>32</v>
      </c>
      <c r="D9065" t="s">
        <v>953</v>
      </c>
      <c r="F9065" t="s">
        <v>35</v>
      </c>
      <c r="G9065" t="s">
        <v>35</v>
      </c>
      <c r="H9065" t="s">
        <v>35</v>
      </c>
      <c r="J9065" t="s">
        <v>8015</v>
      </c>
      <c r="K9065" t="s">
        <v>1092</v>
      </c>
      <c r="M9065">
        <v>0.1</v>
      </c>
      <c r="N9065">
        <v>2579</v>
      </c>
      <c r="O9065" t="s">
        <v>575</v>
      </c>
      <c r="Q9065" t="s">
        <v>6690</v>
      </c>
      <c r="R9065" t="s">
        <v>7421</v>
      </c>
      <c r="S9065" t="s">
        <v>7422</v>
      </c>
      <c r="T9065" t="s">
        <v>7351</v>
      </c>
    </row>
    <row r="9066" spans="1:20" x14ac:dyDescent="0.25">
      <c r="A9066" t="s">
        <v>59</v>
      </c>
      <c r="B9066" t="s">
        <v>60</v>
      </c>
      <c r="C9066" t="s">
        <v>32</v>
      </c>
      <c r="D9066" t="s">
        <v>953</v>
      </c>
      <c r="E9066" t="s">
        <v>1015</v>
      </c>
      <c r="F9066" t="s">
        <v>35</v>
      </c>
      <c r="G9066" t="s">
        <v>35</v>
      </c>
      <c r="H9066" t="s">
        <v>35</v>
      </c>
      <c r="J9066" t="s">
        <v>7419</v>
      </c>
      <c r="K9066" t="s">
        <v>1092</v>
      </c>
      <c r="M9066">
        <v>0.02</v>
      </c>
      <c r="N9066">
        <v>1830</v>
      </c>
      <c r="O9066" t="s">
        <v>575</v>
      </c>
      <c r="Q9066" t="s">
        <v>7420</v>
      </c>
      <c r="R9066" t="s">
        <v>7421</v>
      </c>
      <c r="S9066" t="s">
        <v>7422</v>
      </c>
      <c r="T9066" t="s">
        <v>7351</v>
      </c>
    </row>
    <row r="9067" spans="1:20" x14ac:dyDescent="0.25">
      <c r="A9067" t="s">
        <v>30</v>
      </c>
      <c r="B9067" t="s">
        <v>31</v>
      </c>
      <c r="C9067" t="s">
        <v>32</v>
      </c>
      <c r="D9067" t="s">
        <v>953</v>
      </c>
      <c r="E9067" t="s">
        <v>1084</v>
      </c>
      <c r="F9067" t="s">
        <v>35</v>
      </c>
      <c r="G9067" t="s">
        <v>35</v>
      </c>
      <c r="H9067" t="s">
        <v>35</v>
      </c>
      <c r="J9067" t="s">
        <v>7823</v>
      </c>
      <c r="K9067" t="s">
        <v>1092</v>
      </c>
      <c r="M9067">
        <v>4.9950000000000001</v>
      </c>
      <c r="N9067">
        <v>17</v>
      </c>
      <c r="O9067" t="s">
        <v>46</v>
      </c>
      <c r="Q9067" t="s">
        <v>255</v>
      </c>
      <c r="R9067" t="s">
        <v>6877</v>
      </c>
      <c r="S9067" t="s">
        <v>1041</v>
      </c>
      <c r="T9067" t="s">
        <v>1042</v>
      </c>
    </row>
    <row r="9068" spans="1:20" x14ac:dyDescent="0.25">
      <c r="A9068" t="s">
        <v>30</v>
      </c>
      <c r="B9068" t="s">
        <v>31</v>
      </c>
      <c r="C9068" t="s">
        <v>32</v>
      </c>
      <c r="D9068" t="s">
        <v>953</v>
      </c>
      <c r="E9068" t="s">
        <v>1084</v>
      </c>
      <c r="F9068" t="s">
        <v>35</v>
      </c>
      <c r="G9068" t="s">
        <v>35</v>
      </c>
      <c r="H9068" t="s">
        <v>35</v>
      </c>
      <c r="J9068" t="s">
        <v>7821</v>
      </c>
      <c r="K9068" t="s">
        <v>1092</v>
      </c>
      <c r="M9068">
        <v>4.8150000000000004</v>
      </c>
      <c r="N9068">
        <v>17</v>
      </c>
      <c r="O9068" t="s">
        <v>46</v>
      </c>
      <c r="Q9068" t="s">
        <v>255</v>
      </c>
      <c r="R9068" t="s">
        <v>6877</v>
      </c>
      <c r="S9068" t="s">
        <v>1041</v>
      </c>
      <c r="T9068" t="s">
        <v>1042</v>
      </c>
    </row>
    <row r="9069" spans="1:20" x14ac:dyDescent="0.25">
      <c r="A9069" t="s">
        <v>59</v>
      </c>
      <c r="B9069" t="s">
        <v>31</v>
      </c>
      <c r="C9069" t="s">
        <v>32</v>
      </c>
      <c r="D9069" t="s">
        <v>953</v>
      </c>
      <c r="E9069" t="s">
        <v>1084</v>
      </c>
      <c r="F9069" t="s">
        <v>35</v>
      </c>
      <c r="G9069" t="s">
        <v>35</v>
      </c>
      <c r="H9069" t="s">
        <v>35</v>
      </c>
      <c r="J9069" t="s">
        <v>7792</v>
      </c>
      <c r="K9069" t="s">
        <v>1092</v>
      </c>
      <c r="M9069">
        <v>3.5550000000000002</v>
      </c>
      <c r="N9069">
        <v>135</v>
      </c>
      <c r="O9069" t="s">
        <v>38</v>
      </c>
      <c r="Q9069" t="s">
        <v>2067</v>
      </c>
      <c r="R9069" t="s">
        <v>6877</v>
      </c>
      <c r="S9069" t="s">
        <v>1041</v>
      </c>
      <c r="T9069" t="s">
        <v>1042</v>
      </c>
    </row>
    <row r="9070" spans="1:20" x14ac:dyDescent="0.25">
      <c r="A9070" t="s">
        <v>59</v>
      </c>
      <c r="B9070" t="s">
        <v>31</v>
      </c>
      <c r="C9070" t="s">
        <v>32</v>
      </c>
      <c r="D9070" t="s">
        <v>953</v>
      </c>
      <c r="E9070" t="s">
        <v>968</v>
      </c>
      <c r="F9070" t="s">
        <v>35</v>
      </c>
      <c r="G9070" t="s">
        <v>35</v>
      </c>
      <c r="H9070" t="s">
        <v>35</v>
      </c>
      <c r="J9070" t="s">
        <v>6982</v>
      </c>
      <c r="K9070" t="s">
        <v>1092</v>
      </c>
      <c r="M9070">
        <v>4.9950000000000001</v>
      </c>
      <c r="N9070">
        <v>56</v>
      </c>
      <c r="O9070" t="s">
        <v>52</v>
      </c>
      <c r="Q9070" t="s">
        <v>423</v>
      </c>
      <c r="R9070" t="s">
        <v>6877</v>
      </c>
      <c r="S9070" t="s">
        <v>1041</v>
      </c>
      <c r="T9070" t="s">
        <v>1042</v>
      </c>
    </row>
    <row r="9071" spans="1:20" x14ac:dyDescent="0.25">
      <c r="A9071" t="s">
        <v>59</v>
      </c>
      <c r="B9071" t="s">
        <v>60</v>
      </c>
      <c r="C9071" t="s">
        <v>32</v>
      </c>
      <c r="D9071" t="s">
        <v>953</v>
      </c>
      <c r="E9071" t="s">
        <v>968</v>
      </c>
      <c r="F9071" t="s">
        <v>35</v>
      </c>
      <c r="G9071" t="s">
        <v>35</v>
      </c>
      <c r="H9071" t="s">
        <v>35</v>
      </c>
      <c r="J9071" t="s">
        <v>6982</v>
      </c>
      <c r="K9071" t="s">
        <v>1092</v>
      </c>
      <c r="M9071">
        <v>5</v>
      </c>
      <c r="N9071">
        <v>56</v>
      </c>
      <c r="O9071" t="s">
        <v>52</v>
      </c>
      <c r="Q9071" t="s">
        <v>423</v>
      </c>
      <c r="R9071" t="s">
        <v>6877</v>
      </c>
      <c r="S9071" t="s">
        <v>1041</v>
      </c>
      <c r="T9071" t="s">
        <v>1042</v>
      </c>
    </row>
    <row r="9072" spans="1:20" x14ac:dyDescent="0.25">
      <c r="A9072" t="s">
        <v>30</v>
      </c>
      <c r="B9072" t="s">
        <v>31</v>
      </c>
      <c r="C9072" t="s">
        <v>32</v>
      </c>
      <c r="D9072" t="s">
        <v>953</v>
      </c>
      <c r="E9072" t="s">
        <v>1015</v>
      </c>
      <c r="F9072" t="s">
        <v>35</v>
      </c>
      <c r="G9072" t="s">
        <v>35</v>
      </c>
      <c r="H9072" t="s">
        <v>35</v>
      </c>
      <c r="J9072" t="s">
        <v>7367</v>
      </c>
      <c r="K9072" t="s">
        <v>1092</v>
      </c>
      <c r="M9072">
        <v>4.5449999999999999</v>
      </c>
      <c r="N9072">
        <v>17</v>
      </c>
      <c r="O9072" t="s">
        <v>46</v>
      </c>
      <c r="Q9072" t="s">
        <v>255</v>
      </c>
      <c r="R9072" t="s">
        <v>6877</v>
      </c>
      <c r="S9072" t="s">
        <v>1041</v>
      </c>
      <c r="T9072" t="s">
        <v>1042</v>
      </c>
    </row>
    <row r="9073" spans="1:20" x14ac:dyDescent="0.25">
      <c r="A9073" t="s">
        <v>30</v>
      </c>
      <c r="B9073" t="s">
        <v>31</v>
      </c>
      <c r="C9073" t="s">
        <v>32</v>
      </c>
      <c r="D9073" t="s">
        <v>953</v>
      </c>
      <c r="E9073" t="s">
        <v>1015</v>
      </c>
      <c r="F9073" t="s">
        <v>35</v>
      </c>
      <c r="G9073" t="s">
        <v>35</v>
      </c>
      <c r="H9073" t="s">
        <v>35</v>
      </c>
      <c r="J9073" t="s">
        <v>7367</v>
      </c>
      <c r="K9073" t="s">
        <v>1092</v>
      </c>
      <c r="M9073">
        <v>4.9950000000000001</v>
      </c>
      <c r="N9073">
        <v>16</v>
      </c>
      <c r="O9073" t="s">
        <v>46</v>
      </c>
      <c r="Q9073" t="s">
        <v>1819</v>
      </c>
      <c r="R9073" t="s">
        <v>6877</v>
      </c>
      <c r="S9073" t="s">
        <v>1041</v>
      </c>
      <c r="T9073" t="s">
        <v>1042</v>
      </c>
    </row>
    <row r="9074" spans="1:20" x14ac:dyDescent="0.25">
      <c r="A9074" t="s">
        <v>59</v>
      </c>
      <c r="B9074" t="s">
        <v>60</v>
      </c>
      <c r="C9074" t="s">
        <v>32</v>
      </c>
      <c r="D9074" t="s">
        <v>953</v>
      </c>
      <c r="E9074" t="s">
        <v>1015</v>
      </c>
      <c r="F9074" t="s">
        <v>35</v>
      </c>
      <c r="G9074" t="s">
        <v>35</v>
      </c>
      <c r="H9074" t="s">
        <v>35</v>
      </c>
      <c r="J9074" t="s">
        <v>7457</v>
      </c>
      <c r="K9074" t="s">
        <v>1092</v>
      </c>
      <c r="M9074">
        <v>1</v>
      </c>
      <c r="N9074">
        <v>35</v>
      </c>
      <c r="O9074" t="s">
        <v>52</v>
      </c>
      <c r="Q9074" t="s">
        <v>991</v>
      </c>
      <c r="R9074" t="s">
        <v>6877</v>
      </c>
      <c r="S9074" t="s">
        <v>1041</v>
      </c>
      <c r="T9074" t="s">
        <v>1042</v>
      </c>
    </row>
    <row r="9075" spans="1:20" x14ac:dyDescent="0.25">
      <c r="A9075" t="s">
        <v>59</v>
      </c>
      <c r="B9075" t="s">
        <v>60</v>
      </c>
      <c r="C9075" t="s">
        <v>32</v>
      </c>
      <c r="D9075" t="s">
        <v>953</v>
      </c>
      <c r="E9075" t="s">
        <v>1077</v>
      </c>
      <c r="F9075" t="s">
        <v>35</v>
      </c>
      <c r="G9075" t="s">
        <v>35</v>
      </c>
      <c r="H9075" t="s">
        <v>35</v>
      </c>
      <c r="J9075" t="s">
        <v>7627</v>
      </c>
      <c r="K9075" t="s">
        <v>1092</v>
      </c>
      <c r="M9075">
        <v>10</v>
      </c>
      <c r="N9075">
        <v>56</v>
      </c>
      <c r="O9075" t="s">
        <v>52</v>
      </c>
      <c r="Q9075" t="s">
        <v>423</v>
      </c>
      <c r="R9075" t="s">
        <v>6877</v>
      </c>
      <c r="S9075" t="s">
        <v>1041</v>
      </c>
      <c r="T9075" t="s">
        <v>1042</v>
      </c>
    </row>
    <row r="9076" spans="1:20" x14ac:dyDescent="0.25">
      <c r="A9076" t="s">
        <v>59</v>
      </c>
      <c r="B9076" t="s">
        <v>31</v>
      </c>
      <c r="C9076" t="s">
        <v>32</v>
      </c>
      <c r="D9076" t="s">
        <v>953</v>
      </c>
      <c r="E9076" t="s">
        <v>1077</v>
      </c>
      <c r="F9076" t="s">
        <v>35</v>
      </c>
      <c r="G9076" t="s">
        <v>35</v>
      </c>
      <c r="H9076" t="s">
        <v>35</v>
      </c>
      <c r="J9076" t="s">
        <v>7627</v>
      </c>
      <c r="K9076" t="s">
        <v>1092</v>
      </c>
      <c r="M9076">
        <v>4.9950000000000001</v>
      </c>
      <c r="N9076">
        <v>56</v>
      </c>
      <c r="O9076" t="s">
        <v>52</v>
      </c>
      <c r="Q9076" t="s">
        <v>423</v>
      </c>
      <c r="R9076" t="s">
        <v>6877</v>
      </c>
      <c r="S9076" t="s">
        <v>1041</v>
      </c>
      <c r="T9076" t="s">
        <v>1042</v>
      </c>
    </row>
    <row r="9077" spans="1:20" x14ac:dyDescent="0.25">
      <c r="A9077" t="s">
        <v>30</v>
      </c>
      <c r="B9077" t="s">
        <v>31</v>
      </c>
      <c r="C9077" t="s">
        <v>32</v>
      </c>
      <c r="D9077" t="s">
        <v>953</v>
      </c>
      <c r="E9077" t="s">
        <v>1077</v>
      </c>
      <c r="F9077" t="s">
        <v>35</v>
      </c>
      <c r="G9077" t="s">
        <v>35</v>
      </c>
      <c r="H9077" t="s">
        <v>35</v>
      </c>
      <c r="J9077" t="s">
        <v>7627</v>
      </c>
      <c r="K9077" t="s">
        <v>1092</v>
      </c>
      <c r="M9077">
        <v>10.98</v>
      </c>
      <c r="N9077">
        <v>34</v>
      </c>
      <c r="O9077" t="s">
        <v>52</v>
      </c>
      <c r="Q9077" t="s">
        <v>249</v>
      </c>
      <c r="R9077" t="s">
        <v>6877</v>
      </c>
      <c r="S9077" t="s">
        <v>1041</v>
      </c>
      <c r="T9077" t="s">
        <v>1042</v>
      </c>
    </row>
    <row r="9078" spans="1:20" x14ac:dyDescent="0.25">
      <c r="A9078" t="s">
        <v>59</v>
      </c>
      <c r="B9078" t="s">
        <v>60</v>
      </c>
      <c r="C9078" t="s">
        <v>32</v>
      </c>
      <c r="D9078" t="s">
        <v>953</v>
      </c>
      <c r="F9078" t="s">
        <v>35</v>
      </c>
      <c r="G9078" t="s">
        <v>35</v>
      </c>
      <c r="H9078" t="s">
        <v>35</v>
      </c>
      <c r="J9078" t="s">
        <v>8021</v>
      </c>
      <c r="K9078" t="s">
        <v>1092</v>
      </c>
      <c r="M9078">
        <v>3</v>
      </c>
      <c r="N9078">
        <v>1209</v>
      </c>
      <c r="O9078" t="s">
        <v>575</v>
      </c>
      <c r="Q9078" t="s">
        <v>8022</v>
      </c>
      <c r="R9078" t="s">
        <v>6877</v>
      </c>
      <c r="S9078" t="s">
        <v>1041</v>
      </c>
      <c r="T9078" t="s">
        <v>1042</v>
      </c>
    </row>
    <row r="9079" spans="1:20" x14ac:dyDescent="0.25">
      <c r="A9079" t="s">
        <v>59</v>
      </c>
      <c r="B9079" t="s">
        <v>31</v>
      </c>
      <c r="C9079" t="s">
        <v>32</v>
      </c>
      <c r="D9079" t="s">
        <v>953</v>
      </c>
      <c r="E9079" t="s">
        <v>1072</v>
      </c>
      <c r="F9079" t="s">
        <v>35</v>
      </c>
      <c r="G9079" t="s">
        <v>35</v>
      </c>
      <c r="H9079" t="s">
        <v>35</v>
      </c>
      <c r="J9079" t="s">
        <v>7555</v>
      </c>
      <c r="K9079" t="s">
        <v>1092</v>
      </c>
      <c r="M9079">
        <v>2.34</v>
      </c>
      <c r="N9079">
        <v>1239</v>
      </c>
      <c r="O9079" t="s">
        <v>575</v>
      </c>
      <c r="Q9079" t="s">
        <v>3026</v>
      </c>
      <c r="R9079" t="s">
        <v>6877</v>
      </c>
      <c r="S9079" t="s">
        <v>1041</v>
      </c>
      <c r="T9079" t="s">
        <v>1042</v>
      </c>
    </row>
    <row r="9080" spans="1:20" x14ac:dyDescent="0.25">
      <c r="A9080" t="s">
        <v>59</v>
      </c>
      <c r="B9080" t="s">
        <v>31</v>
      </c>
      <c r="C9080" t="s">
        <v>32</v>
      </c>
      <c r="D9080" t="s">
        <v>953</v>
      </c>
      <c r="E9080" t="s">
        <v>998</v>
      </c>
      <c r="F9080" t="s">
        <v>35</v>
      </c>
      <c r="G9080" t="s">
        <v>35</v>
      </c>
      <c r="H9080" t="s">
        <v>35</v>
      </c>
      <c r="J9080" t="s">
        <v>7248</v>
      </c>
      <c r="K9080" t="s">
        <v>1092</v>
      </c>
      <c r="M9080">
        <v>9.99</v>
      </c>
      <c r="N9080">
        <v>70</v>
      </c>
      <c r="O9080" t="s">
        <v>61</v>
      </c>
      <c r="Q9080" t="s">
        <v>305</v>
      </c>
      <c r="R9080" t="s">
        <v>6877</v>
      </c>
      <c r="S9080" t="s">
        <v>1041</v>
      </c>
      <c r="T9080" t="s">
        <v>1042</v>
      </c>
    </row>
    <row r="9081" spans="1:20" x14ac:dyDescent="0.25">
      <c r="A9081" t="s">
        <v>59</v>
      </c>
      <c r="B9081" t="s">
        <v>60</v>
      </c>
      <c r="C9081" t="s">
        <v>32</v>
      </c>
      <c r="D9081" t="s">
        <v>953</v>
      </c>
      <c r="E9081" t="s">
        <v>1084</v>
      </c>
      <c r="F9081" t="s">
        <v>35</v>
      </c>
      <c r="G9081" t="s">
        <v>35</v>
      </c>
      <c r="H9081" t="s">
        <v>35</v>
      </c>
      <c r="J9081" t="s">
        <v>7841</v>
      </c>
      <c r="K9081" t="s">
        <v>1092</v>
      </c>
      <c r="M9081">
        <v>0.55000000000000004</v>
      </c>
      <c r="N9081">
        <v>166</v>
      </c>
      <c r="O9081" t="s">
        <v>38</v>
      </c>
      <c r="Q9081" t="s">
        <v>1345</v>
      </c>
      <c r="R9081" t="s">
        <v>6877</v>
      </c>
      <c r="S9081" t="s">
        <v>1041</v>
      </c>
      <c r="T9081" t="s">
        <v>1042</v>
      </c>
    </row>
    <row r="9082" spans="1:20" x14ac:dyDescent="0.25">
      <c r="A9082" t="s">
        <v>44</v>
      </c>
      <c r="B9082" t="s">
        <v>51</v>
      </c>
      <c r="C9082" t="s">
        <v>32</v>
      </c>
      <c r="D9082" t="s">
        <v>953</v>
      </c>
      <c r="E9082" t="s">
        <v>1084</v>
      </c>
      <c r="F9082" t="s">
        <v>35</v>
      </c>
      <c r="G9082" t="s">
        <v>35</v>
      </c>
      <c r="H9082" t="s">
        <v>35</v>
      </c>
      <c r="J9082" t="s">
        <v>7784</v>
      </c>
      <c r="K9082" t="s">
        <v>1092</v>
      </c>
      <c r="M9082">
        <v>0.4</v>
      </c>
      <c r="N9082">
        <v>487</v>
      </c>
      <c r="O9082" t="s">
        <v>294</v>
      </c>
      <c r="Q9082" t="s">
        <v>3564</v>
      </c>
      <c r="R9082" t="s">
        <v>6877</v>
      </c>
      <c r="S9082" t="s">
        <v>1041</v>
      </c>
      <c r="T9082" t="s">
        <v>1042</v>
      </c>
    </row>
    <row r="9083" spans="1:20" x14ac:dyDescent="0.25">
      <c r="A9083" t="s">
        <v>59</v>
      </c>
      <c r="B9083" t="s">
        <v>60</v>
      </c>
      <c r="C9083" t="s">
        <v>32</v>
      </c>
      <c r="D9083" t="s">
        <v>953</v>
      </c>
      <c r="E9083" t="s">
        <v>1084</v>
      </c>
      <c r="F9083" t="s">
        <v>35</v>
      </c>
      <c r="G9083" t="s">
        <v>35</v>
      </c>
      <c r="H9083" t="s">
        <v>35</v>
      </c>
      <c r="J9083" t="s">
        <v>7784</v>
      </c>
      <c r="K9083" t="s">
        <v>1092</v>
      </c>
      <c r="M9083">
        <v>1.85</v>
      </c>
      <c r="N9083">
        <v>275</v>
      </c>
      <c r="O9083" t="s">
        <v>5</v>
      </c>
      <c r="Q9083" t="s">
        <v>1225</v>
      </c>
      <c r="R9083" t="s">
        <v>6877</v>
      </c>
      <c r="S9083" t="s">
        <v>1041</v>
      </c>
      <c r="T9083" t="s">
        <v>1042</v>
      </c>
    </row>
    <row r="9084" spans="1:20" x14ac:dyDescent="0.25">
      <c r="A9084" t="s">
        <v>44</v>
      </c>
      <c r="B9084" t="s">
        <v>3</v>
      </c>
      <c r="C9084" t="s">
        <v>32</v>
      </c>
      <c r="D9084" t="s">
        <v>953</v>
      </c>
      <c r="E9084" t="s">
        <v>1084</v>
      </c>
      <c r="F9084" t="s">
        <v>35</v>
      </c>
      <c r="G9084" t="s">
        <v>35</v>
      </c>
      <c r="H9084" t="s">
        <v>35</v>
      </c>
      <c r="J9084" t="s">
        <v>7784</v>
      </c>
      <c r="K9084" t="s">
        <v>1092</v>
      </c>
      <c r="M9084">
        <v>1.2</v>
      </c>
      <c r="N9084">
        <v>487</v>
      </c>
      <c r="O9084" t="s">
        <v>294</v>
      </c>
      <c r="Q9084" t="s">
        <v>3564</v>
      </c>
      <c r="R9084" t="s">
        <v>6877</v>
      </c>
      <c r="S9084" t="s">
        <v>1041</v>
      </c>
      <c r="T9084" t="s">
        <v>1042</v>
      </c>
    </row>
    <row r="9085" spans="1:20" x14ac:dyDescent="0.25">
      <c r="A9085" t="s">
        <v>59</v>
      </c>
      <c r="B9085" t="s">
        <v>60</v>
      </c>
      <c r="C9085" t="s">
        <v>32</v>
      </c>
      <c r="D9085" t="s">
        <v>953</v>
      </c>
      <c r="E9085" t="s">
        <v>1007</v>
      </c>
      <c r="F9085" t="s">
        <v>35</v>
      </c>
      <c r="G9085" t="s">
        <v>35</v>
      </c>
      <c r="H9085" t="s">
        <v>35</v>
      </c>
      <c r="J9085" t="s">
        <v>7328</v>
      </c>
      <c r="K9085" t="s">
        <v>1092</v>
      </c>
      <c r="M9085">
        <v>2.4500000000000002</v>
      </c>
      <c r="N9085">
        <v>136</v>
      </c>
      <c r="O9085" t="s">
        <v>38</v>
      </c>
      <c r="Q9085" t="s">
        <v>2121</v>
      </c>
      <c r="R9085" t="s">
        <v>6877</v>
      </c>
      <c r="S9085" t="s">
        <v>1041</v>
      </c>
      <c r="T9085" t="s">
        <v>1042</v>
      </c>
    </row>
    <row r="9086" spans="1:20" x14ac:dyDescent="0.25">
      <c r="A9086" t="s">
        <v>44</v>
      </c>
      <c r="B9086" t="s">
        <v>3</v>
      </c>
      <c r="C9086" t="s">
        <v>32</v>
      </c>
      <c r="D9086" t="s">
        <v>953</v>
      </c>
      <c r="E9086" t="s">
        <v>1015</v>
      </c>
      <c r="F9086" t="s">
        <v>35</v>
      </c>
      <c r="G9086" t="s">
        <v>35</v>
      </c>
      <c r="H9086" t="s">
        <v>35</v>
      </c>
      <c r="J9086" t="s">
        <v>7398</v>
      </c>
      <c r="K9086" t="s">
        <v>1092</v>
      </c>
      <c r="M9086">
        <v>1.6</v>
      </c>
      <c r="N9086">
        <v>56</v>
      </c>
      <c r="O9086" t="s">
        <v>52</v>
      </c>
      <c r="Q9086" t="s">
        <v>423</v>
      </c>
      <c r="R9086" t="s">
        <v>6877</v>
      </c>
      <c r="S9086" t="s">
        <v>1041</v>
      </c>
      <c r="T9086" t="s">
        <v>1042</v>
      </c>
    </row>
    <row r="9087" spans="1:20" x14ac:dyDescent="0.25">
      <c r="A9087" t="s">
        <v>59</v>
      </c>
      <c r="B9087" t="s">
        <v>60</v>
      </c>
      <c r="C9087" t="s">
        <v>32</v>
      </c>
      <c r="D9087" t="s">
        <v>953</v>
      </c>
      <c r="E9087" t="s">
        <v>1015</v>
      </c>
      <c r="F9087" t="s">
        <v>35</v>
      </c>
      <c r="G9087" t="s">
        <v>35</v>
      </c>
      <c r="H9087" t="s">
        <v>35</v>
      </c>
      <c r="J9087" t="s">
        <v>7462</v>
      </c>
      <c r="K9087" t="s">
        <v>1092</v>
      </c>
      <c r="M9087">
        <v>3</v>
      </c>
      <c r="N9087">
        <v>55</v>
      </c>
      <c r="O9087" t="s">
        <v>52</v>
      </c>
      <c r="Q9087" t="s">
        <v>90</v>
      </c>
      <c r="R9087" t="s">
        <v>6877</v>
      </c>
      <c r="S9087" t="s">
        <v>1041</v>
      </c>
      <c r="T9087" t="s">
        <v>1042</v>
      </c>
    </row>
    <row r="9088" spans="1:20" x14ac:dyDescent="0.25">
      <c r="A9088" t="s">
        <v>59</v>
      </c>
      <c r="B9088" t="s">
        <v>60</v>
      </c>
      <c r="C9088" t="s">
        <v>32</v>
      </c>
      <c r="D9088" t="s">
        <v>953</v>
      </c>
      <c r="E9088" t="s">
        <v>1015</v>
      </c>
      <c r="F9088" t="s">
        <v>35</v>
      </c>
      <c r="G9088" t="s">
        <v>35</v>
      </c>
      <c r="H9088" t="s">
        <v>35</v>
      </c>
      <c r="J9088" t="s">
        <v>7462</v>
      </c>
      <c r="K9088" t="s">
        <v>1092</v>
      </c>
      <c r="M9088">
        <v>1.4</v>
      </c>
      <c r="N9088">
        <v>83</v>
      </c>
      <c r="O9088" t="s">
        <v>61</v>
      </c>
      <c r="Q9088" t="s">
        <v>897</v>
      </c>
      <c r="R9088" t="s">
        <v>6877</v>
      </c>
      <c r="S9088" t="s">
        <v>1041</v>
      </c>
      <c r="T9088" t="s">
        <v>1042</v>
      </c>
    </row>
    <row r="9089" spans="1:20" x14ac:dyDescent="0.25">
      <c r="A9089" t="s">
        <v>59</v>
      </c>
      <c r="B9089" t="s">
        <v>60</v>
      </c>
      <c r="C9089" t="s">
        <v>32</v>
      </c>
      <c r="D9089" t="s">
        <v>953</v>
      </c>
      <c r="E9089" t="s">
        <v>1015</v>
      </c>
      <c r="F9089" t="s">
        <v>35</v>
      </c>
      <c r="G9089" t="s">
        <v>35</v>
      </c>
      <c r="H9089" t="s">
        <v>35</v>
      </c>
      <c r="J9089" t="s">
        <v>6339</v>
      </c>
      <c r="K9089" t="s">
        <v>1092</v>
      </c>
      <c r="M9089">
        <v>1.95</v>
      </c>
      <c r="N9089">
        <v>83</v>
      </c>
      <c r="O9089" t="s">
        <v>61</v>
      </c>
      <c r="Q9089" t="s">
        <v>897</v>
      </c>
      <c r="R9089" t="s">
        <v>6877</v>
      </c>
      <c r="S9089" t="s">
        <v>1041</v>
      </c>
      <c r="T9089" t="s">
        <v>1042</v>
      </c>
    </row>
    <row r="9090" spans="1:20" x14ac:dyDescent="0.25">
      <c r="A9090" t="s">
        <v>30</v>
      </c>
      <c r="B9090" t="s">
        <v>31</v>
      </c>
      <c r="C9090" t="s">
        <v>32</v>
      </c>
      <c r="D9090" t="s">
        <v>953</v>
      </c>
      <c r="E9090" t="s">
        <v>1072</v>
      </c>
      <c r="F9090" t="s">
        <v>35</v>
      </c>
      <c r="G9090" t="s">
        <v>35</v>
      </c>
      <c r="H9090" t="s">
        <v>35</v>
      </c>
      <c r="J9090" t="s">
        <v>7539</v>
      </c>
      <c r="K9090" t="s">
        <v>1092</v>
      </c>
      <c r="M9090">
        <v>9.99</v>
      </c>
      <c r="N9090">
        <v>16</v>
      </c>
      <c r="O9090" t="s">
        <v>46</v>
      </c>
      <c r="Q9090" t="s">
        <v>1819</v>
      </c>
      <c r="R9090" t="s">
        <v>6877</v>
      </c>
      <c r="S9090" t="s">
        <v>1041</v>
      </c>
      <c r="T9090" t="s">
        <v>1042</v>
      </c>
    </row>
    <row r="9091" spans="1:20" x14ac:dyDescent="0.25">
      <c r="A9091" t="s">
        <v>30</v>
      </c>
      <c r="B9091" t="s">
        <v>31</v>
      </c>
      <c r="C9091" t="s">
        <v>32</v>
      </c>
      <c r="D9091" t="s">
        <v>953</v>
      </c>
      <c r="E9091" t="s">
        <v>954</v>
      </c>
      <c r="F9091" t="s">
        <v>35</v>
      </c>
      <c r="G9091" t="s">
        <v>35</v>
      </c>
      <c r="H9091" t="s">
        <v>35</v>
      </c>
      <c r="J9091" t="s">
        <v>6876</v>
      </c>
      <c r="K9091" t="s">
        <v>1092</v>
      </c>
      <c r="M9091">
        <v>10.98</v>
      </c>
      <c r="N9091">
        <v>34</v>
      </c>
      <c r="O9091" t="s">
        <v>52</v>
      </c>
      <c r="Q9091" t="s">
        <v>249</v>
      </c>
      <c r="R9091" t="s">
        <v>6877</v>
      </c>
      <c r="S9091" t="s">
        <v>1041</v>
      </c>
      <c r="T9091" t="s">
        <v>1042</v>
      </c>
    </row>
    <row r="9092" spans="1:20" x14ac:dyDescent="0.25">
      <c r="A9092" t="s">
        <v>59</v>
      </c>
      <c r="B9092" t="s">
        <v>60</v>
      </c>
      <c r="C9092" t="s">
        <v>32</v>
      </c>
      <c r="D9092" t="s">
        <v>953</v>
      </c>
      <c r="E9092" t="s">
        <v>7842</v>
      </c>
      <c r="F9092" t="s">
        <v>35</v>
      </c>
      <c r="G9092" t="s">
        <v>35</v>
      </c>
      <c r="H9092" t="s">
        <v>35</v>
      </c>
      <c r="J9092" t="s">
        <v>7850</v>
      </c>
      <c r="K9092" t="s">
        <v>1092</v>
      </c>
      <c r="M9092">
        <v>1.25</v>
      </c>
      <c r="N9092">
        <v>227</v>
      </c>
      <c r="O9092" t="s">
        <v>5</v>
      </c>
      <c r="Q9092" t="s">
        <v>1780</v>
      </c>
      <c r="R9092" t="s">
        <v>6877</v>
      </c>
      <c r="S9092" t="s">
        <v>1041</v>
      </c>
      <c r="T9092" t="s">
        <v>1042</v>
      </c>
    </row>
    <row r="9093" spans="1:20" x14ac:dyDescent="0.25">
      <c r="A9093" t="s">
        <v>59</v>
      </c>
      <c r="B9093" t="s">
        <v>60</v>
      </c>
      <c r="C9093" t="s">
        <v>32</v>
      </c>
      <c r="D9093" t="s">
        <v>953</v>
      </c>
      <c r="E9093" t="s">
        <v>7740</v>
      </c>
      <c r="F9093" t="s">
        <v>35</v>
      </c>
      <c r="G9093" t="s">
        <v>35</v>
      </c>
      <c r="H9093" t="s">
        <v>35</v>
      </c>
      <c r="J9093" t="s">
        <v>7750</v>
      </c>
      <c r="K9093" t="s">
        <v>1092</v>
      </c>
      <c r="M9093">
        <v>3</v>
      </c>
      <c r="N9093">
        <v>84</v>
      </c>
      <c r="O9093" t="s">
        <v>61</v>
      </c>
      <c r="Q9093" t="s">
        <v>1147</v>
      </c>
      <c r="R9093" t="s">
        <v>6877</v>
      </c>
      <c r="S9093" t="s">
        <v>1041</v>
      </c>
      <c r="T9093" t="s">
        <v>1042</v>
      </c>
    </row>
    <row r="9094" spans="1:20" x14ac:dyDescent="0.25">
      <c r="A9094" t="s">
        <v>59</v>
      </c>
      <c r="B9094" t="s">
        <v>60</v>
      </c>
      <c r="C9094" t="s">
        <v>32</v>
      </c>
      <c r="D9094" t="s">
        <v>953</v>
      </c>
      <c r="E9094" t="s">
        <v>7740</v>
      </c>
      <c r="F9094" t="s">
        <v>35</v>
      </c>
      <c r="G9094" t="s">
        <v>35</v>
      </c>
      <c r="H9094" t="s">
        <v>35</v>
      </c>
      <c r="J9094" t="s">
        <v>7750</v>
      </c>
      <c r="K9094" t="s">
        <v>1092</v>
      </c>
      <c r="M9094">
        <v>2</v>
      </c>
      <c r="N9094">
        <v>56</v>
      </c>
      <c r="O9094" t="s">
        <v>52</v>
      </c>
      <c r="Q9094" t="s">
        <v>423</v>
      </c>
      <c r="R9094" t="s">
        <v>6877</v>
      </c>
      <c r="S9094" t="s">
        <v>1041</v>
      </c>
      <c r="T9094" t="s">
        <v>1042</v>
      </c>
    </row>
    <row r="9095" spans="1:20" x14ac:dyDescent="0.25">
      <c r="A9095" t="s">
        <v>59</v>
      </c>
      <c r="B9095" t="s">
        <v>31</v>
      </c>
      <c r="C9095" t="s">
        <v>32</v>
      </c>
      <c r="D9095" t="s">
        <v>953</v>
      </c>
      <c r="E9095" t="s">
        <v>1015</v>
      </c>
      <c r="F9095" t="s">
        <v>35</v>
      </c>
      <c r="G9095" t="s">
        <v>35</v>
      </c>
      <c r="H9095" t="s">
        <v>35</v>
      </c>
      <c r="J9095" t="s">
        <v>7426</v>
      </c>
      <c r="K9095" t="s">
        <v>1092</v>
      </c>
      <c r="M9095">
        <v>2.25</v>
      </c>
      <c r="N9095">
        <v>83</v>
      </c>
      <c r="O9095" t="s">
        <v>61</v>
      </c>
      <c r="Q9095" t="s">
        <v>897</v>
      </c>
      <c r="R9095" t="s">
        <v>6877</v>
      </c>
      <c r="S9095" t="s">
        <v>1041</v>
      </c>
      <c r="T9095" t="s">
        <v>1042</v>
      </c>
    </row>
    <row r="9096" spans="1:20" x14ac:dyDescent="0.25">
      <c r="A9096" t="s">
        <v>59</v>
      </c>
      <c r="B9096" t="s">
        <v>60</v>
      </c>
      <c r="C9096" t="s">
        <v>32</v>
      </c>
      <c r="D9096" t="s">
        <v>953</v>
      </c>
      <c r="E9096" t="s">
        <v>1015</v>
      </c>
      <c r="F9096" t="s">
        <v>35</v>
      </c>
      <c r="G9096" t="s">
        <v>35</v>
      </c>
      <c r="H9096" t="s">
        <v>35</v>
      </c>
      <c r="J9096" t="s">
        <v>7426</v>
      </c>
      <c r="K9096" t="s">
        <v>1092</v>
      </c>
      <c r="M9096">
        <v>2.5</v>
      </c>
      <c r="N9096">
        <v>83</v>
      </c>
      <c r="O9096" t="s">
        <v>61</v>
      </c>
      <c r="Q9096" t="s">
        <v>897</v>
      </c>
      <c r="R9096" t="s">
        <v>6877</v>
      </c>
      <c r="S9096" t="s">
        <v>1041</v>
      </c>
      <c r="T9096" t="s">
        <v>1042</v>
      </c>
    </row>
    <row r="9097" spans="1:20" x14ac:dyDescent="0.25">
      <c r="A9097" t="s">
        <v>59</v>
      </c>
      <c r="B9097" t="s">
        <v>31</v>
      </c>
      <c r="C9097" t="s">
        <v>32</v>
      </c>
      <c r="D9097" t="s">
        <v>953</v>
      </c>
      <c r="E9097" t="s">
        <v>1015</v>
      </c>
      <c r="F9097" t="s">
        <v>35</v>
      </c>
      <c r="G9097" t="s">
        <v>35</v>
      </c>
      <c r="H9097" t="s">
        <v>35</v>
      </c>
      <c r="J9097" t="s">
        <v>7444</v>
      </c>
      <c r="K9097" t="s">
        <v>1092</v>
      </c>
      <c r="M9097">
        <v>1.0349999999999999</v>
      </c>
      <c r="N9097">
        <v>352</v>
      </c>
      <c r="O9097" t="s">
        <v>5</v>
      </c>
      <c r="Q9097" t="s">
        <v>7302</v>
      </c>
      <c r="R9097" t="s">
        <v>6877</v>
      </c>
      <c r="S9097" t="s">
        <v>1041</v>
      </c>
      <c r="T9097" t="s">
        <v>1042</v>
      </c>
    </row>
    <row r="9098" spans="1:20" x14ac:dyDescent="0.25">
      <c r="A9098" t="s">
        <v>59</v>
      </c>
      <c r="B9098" t="s">
        <v>60</v>
      </c>
      <c r="C9098" t="s">
        <v>32</v>
      </c>
      <c r="D9098" t="s">
        <v>953</v>
      </c>
      <c r="E9098" t="s">
        <v>6878</v>
      </c>
      <c r="F9098" t="s">
        <v>35</v>
      </c>
      <c r="G9098" t="s">
        <v>35</v>
      </c>
      <c r="H9098" t="s">
        <v>35</v>
      </c>
      <c r="J9098" t="s">
        <v>6949</v>
      </c>
      <c r="K9098" t="s">
        <v>1092</v>
      </c>
      <c r="M9098">
        <v>1.5</v>
      </c>
      <c r="N9098">
        <v>83</v>
      </c>
      <c r="O9098" t="s">
        <v>61</v>
      </c>
      <c r="Q9098" t="s">
        <v>897</v>
      </c>
      <c r="R9098" t="s">
        <v>6877</v>
      </c>
      <c r="S9098" t="s">
        <v>1041</v>
      </c>
      <c r="T9098" t="s">
        <v>1042</v>
      </c>
    </row>
    <row r="9099" spans="1:20" x14ac:dyDescent="0.25">
      <c r="A9099" t="s">
        <v>30</v>
      </c>
      <c r="B9099" t="s">
        <v>31</v>
      </c>
      <c r="C9099" t="s">
        <v>32</v>
      </c>
      <c r="D9099" t="s">
        <v>953</v>
      </c>
      <c r="E9099" t="s">
        <v>1084</v>
      </c>
      <c r="F9099" t="s">
        <v>35</v>
      </c>
      <c r="G9099" t="s">
        <v>35</v>
      </c>
      <c r="H9099" t="s">
        <v>35</v>
      </c>
      <c r="J9099" t="s">
        <v>7810</v>
      </c>
      <c r="K9099" t="s">
        <v>1092</v>
      </c>
      <c r="M9099">
        <v>1.62</v>
      </c>
      <c r="N9099">
        <v>189</v>
      </c>
      <c r="O9099" t="s">
        <v>5</v>
      </c>
      <c r="Q9099" t="s">
        <v>5616</v>
      </c>
      <c r="R9099" t="s">
        <v>6877</v>
      </c>
      <c r="S9099" t="s">
        <v>1041</v>
      </c>
      <c r="T9099" t="s">
        <v>1042</v>
      </c>
    </row>
    <row r="9100" spans="1:20" x14ac:dyDescent="0.25">
      <c r="A9100" t="s">
        <v>59</v>
      </c>
      <c r="B9100" t="s">
        <v>31</v>
      </c>
      <c r="C9100" t="s">
        <v>32</v>
      </c>
      <c r="D9100" t="s">
        <v>953</v>
      </c>
      <c r="E9100" t="s">
        <v>1084</v>
      </c>
      <c r="F9100" t="s">
        <v>35</v>
      </c>
      <c r="G9100" t="s">
        <v>35</v>
      </c>
      <c r="H9100" t="s">
        <v>35</v>
      </c>
      <c r="J9100" t="s">
        <v>7810</v>
      </c>
      <c r="K9100" t="s">
        <v>1092</v>
      </c>
      <c r="M9100">
        <v>0.995</v>
      </c>
      <c r="N9100">
        <v>166</v>
      </c>
      <c r="O9100" t="s">
        <v>38</v>
      </c>
      <c r="Q9100" t="s">
        <v>1345</v>
      </c>
      <c r="R9100" t="s">
        <v>6877</v>
      </c>
      <c r="S9100" t="s">
        <v>1041</v>
      </c>
      <c r="T9100" t="s">
        <v>1042</v>
      </c>
    </row>
    <row r="9101" spans="1:20" x14ac:dyDescent="0.25">
      <c r="A9101" t="s">
        <v>44</v>
      </c>
      <c r="B9101" t="s">
        <v>3</v>
      </c>
      <c r="C9101" t="s">
        <v>32</v>
      </c>
      <c r="D9101" t="s">
        <v>953</v>
      </c>
      <c r="E9101" t="s">
        <v>1084</v>
      </c>
      <c r="F9101" t="s">
        <v>35</v>
      </c>
      <c r="G9101" t="s">
        <v>35</v>
      </c>
      <c r="H9101" t="s">
        <v>35</v>
      </c>
      <c r="J9101" t="s">
        <v>7810</v>
      </c>
      <c r="K9101" t="s">
        <v>1092</v>
      </c>
      <c r="M9101">
        <v>0.25</v>
      </c>
      <c r="N9101">
        <v>478</v>
      </c>
      <c r="O9101" t="s">
        <v>294</v>
      </c>
      <c r="Q9101" t="s">
        <v>7488</v>
      </c>
      <c r="R9101" t="s">
        <v>6877</v>
      </c>
      <c r="S9101" t="s">
        <v>1041</v>
      </c>
      <c r="T9101" t="s">
        <v>1042</v>
      </c>
    </row>
    <row r="9102" spans="1:20" x14ac:dyDescent="0.25">
      <c r="A9102" t="s">
        <v>59</v>
      </c>
      <c r="B9102" t="s">
        <v>31</v>
      </c>
      <c r="C9102" t="s">
        <v>32</v>
      </c>
      <c r="D9102" t="s">
        <v>953</v>
      </c>
      <c r="E9102" t="s">
        <v>7467</v>
      </c>
      <c r="F9102" t="s">
        <v>35</v>
      </c>
      <c r="G9102" t="s">
        <v>35</v>
      </c>
      <c r="H9102" t="s">
        <v>35</v>
      </c>
      <c r="J9102" t="s">
        <v>7469</v>
      </c>
      <c r="K9102" t="s">
        <v>1092</v>
      </c>
      <c r="M9102">
        <v>0.315</v>
      </c>
      <c r="N9102">
        <v>167</v>
      </c>
      <c r="O9102" t="s">
        <v>38</v>
      </c>
      <c r="Q9102" t="s">
        <v>1565</v>
      </c>
      <c r="R9102" t="s">
        <v>6877</v>
      </c>
      <c r="S9102" t="s">
        <v>1041</v>
      </c>
      <c r="T9102" t="s">
        <v>1042</v>
      </c>
    </row>
    <row r="9103" spans="1:20" x14ac:dyDescent="0.25">
      <c r="A9103" t="s">
        <v>44</v>
      </c>
      <c r="B9103" t="s">
        <v>51</v>
      </c>
      <c r="C9103" t="s">
        <v>32</v>
      </c>
      <c r="D9103" t="s">
        <v>953</v>
      </c>
      <c r="E9103" t="s">
        <v>7467</v>
      </c>
      <c r="F9103" t="s">
        <v>35</v>
      </c>
      <c r="G9103" t="s">
        <v>35</v>
      </c>
      <c r="H9103" t="s">
        <v>35</v>
      </c>
      <c r="J9103" t="s">
        <v>7469</v>
      </c>
      <c r="K9103" t="s">
        <v>1092</v>
      </c>
      <c r="M9103">
        <v>2</v>
      </c>
      <c r="N9103">
        <v>338</v>
      </c>
      <c r="O9103" t="s">
        <v>5</v>
      </c>
      <c r="Q9103" t="s">
        <v>3421</v>
      </c>
      <c r="R9103" t="s">
        <v>6877</v>
      </c>
      <c r="S9103" t="s">
        <v>1041</v>
      </c>
      <c r="T9103" t="s">
        <v>1042</v>
      </c>
    </row>
    <row r="9104" spans="1:20" x14ac:dyDescent="0.25">
      <c r="A9104" t="s">
        <v>59</v>
      </c>
      <c r="B9104" t="s">
        <v>60</v>
      </c>
      <c r="C9104" t="s">
        <v>32</v>
      </c>
      <c r="D9104" t="s">
        <v>953</v>
      </c>
      <c r="E9104" t="s">
        <v>1007</v>
      </c>
      <c r="F9104" t="s">
        <v>35</v>
      </c>
      <c r="G9104" t="s">
        <v>35</v>
      </c>
      <c r="H9104" t="s">
        <v>35</v>
      </c>
      <c r="J9104" t="s">
        <v>7337</v>
      </c>
      <c r="K9104" t="s">
        <v>1092</v>
      </c>
      <c r="M9104">
        <v>0.25</v>
      </c>
      <c r="N9104">
        <v>136</v>
      </c>
      <c r="O9104" t="s">
        <v>38</v>
      </c>
      <c r="Q9104" t="s">
        <v>2121</v>
      </c>
      <c r="R9104" t="s">
        <v>6877</v>
      </c>
      <c r="S9104" t="s">
        <v>1041</v>
      </c>
      <c r="T9104" t="s">
        <v>1042</v>
      </c>
    </row>
    <row r="9105" spans="1:20" x14ac:dyDescent="0.25">
      <c r="A9105" t="s">
        <v>59</v>
      </c>
      <c r="B9105" t="s">
        <v>31</v>
      </c>
      <c r="C9105" t="s">
        <v>32</v>
      </c>
      <c r="D9105" t="s">
        <v>953</v>
      </c>
      <c r="E9105" t="s">
        <v>7467</v>
      </c>
      <c r="F9105" t="s">
        <v>35</v>
      </c>
      <c r="G9105" t="s">
        <v>35</v>
      </c>
      <c r="H9105" t="s">
        <v>35</v>
      </c>
      <c r="J9105" t="s">
        <v>1613</v>
      </c>
      <c r="K9105" t="s">
        <v>1092</v>
      </c>
      <c r="M9105">
        <v>0.22500000000000001</v>
      </c>
      <c r="N9105">
        <v>83</v>
      </c>
      <c r="O9105" t="s">
        <v>61</v>
      </c>
      <c r="Q9105" t="s">
        <v>897</v>
      </c>
      <c r="R9105" t="s">
        <v>6877</v>
      </c>
      <c r="S9105" t="s">
        <v>1041</v>
      </c>
      <c r="T9105" t="s">
        <v>1042</v>
      </c>
    </row>
    <row r="9106" spans="1:20" x14ac:dyDescent="0.25">
      <c r="A9106" t="s">
        <v>59</v>
      </c>
      <c r="B9106" t="s">
        <v>60</v>
      </c>
      <c r="C9106" t="s">
        <v>32</v>
      </c>
      <c r="D9106" t="s">
        <v>953</v>
      </c>
      <c r="E9106" t="s">
        <v>6878</v>
      </c>
      <c r="F9106" t="s">
        <v>35</v>
      </c>
      <c r="G9106" t="s">
        <v>35</v>
      </c>
      <c r="H9106" t="s">
        <v>35</v>
      </c>
      <c r="J9106" t="s">
        <v>6905</v>
      </c>
      <c r="K9106" t="s">
        <v>1092</v>
      </c>
      <c r="M9106">
        <v>2.35</v>
      </c>
      <c r="N9106">
        <v>83</v>
      </c>
      <c r="O9106" t="s">
        <v>61</v>
      </c>
      <c r="Q9106" t="s">
        <v>897</v>
      </c>
      <c r="R9106" t="s">
        <v>6877</v>
      </c>
      <c r="S9106" t="s">
        <v>1041</v>
      </c>
      <c r="T9106" t="s">
        <v>1042</v>
      </c>
    </row>
    <row r="9107" spans="1:20" x14ac:dyDescent="0.25">
      <c r="A9107" t="s">
        <v>59</v>
      </c>
      <c r="B9107" t="s">
        <v>60</v>
      </c>
      <c r="C9107" t="s">
        <v>32</v>
      </c>
      <c r="D9107" t="s">
        <v>953</v>
      </c>
      <c r="E9107" t="s">
        <v>1015</v>
      </c>
      <c r="F9107" t="s">
        <v>35</v>
      </c>
      <c r="G9107" t="s">
        <v>35</v>
      </c>
      <c r="H9107" t="s">
        <v>35</v>
      </c>
      <c r="J9107" t="s">
        <v>7391</v>
      </c>
      <c r="K9107" t="s">
        <v>1092</v>
      </c>
      <c r="M9107">
        <v>0.5</v>
      </c>
      <c r="N9107">
        <v>353</v>
      </c>
      <c r="O9107" t="s">
        <v>5</v>
      </c>
      <c r="Q9107" t="s">
        <v>1435</v>
      </c>
      <c r="R9107" t="s">
        <v>6877</v>
      </c>
      <c r="S9107" t="s">
        <v>1041</v>
      </c>
      <c r="T9107" t="s">
        <v>1042</v>
      </c>
    </row>
    <row r="9108" spans="1:20" x14ac:dyDescent="0.25">
      <c r="A9108" t="s">
        <v>30</v>
      </c>
      <c r="B9108" t="s">
        <v>31</v>
      </c>
      <c r="C9108" t="s">
        <v>32</v>
      </c>
      <c r="D9108" t="s">
        <v>953</v>
      </c>
      <c r="E9108" t="s">
        <v>1015</v>
      </c>
      <c r="F9108" t="s">
        <v>35</v>
      </c>
      <c r="G9108" t="s">
        <v>35</v>
      </c>
      <c r="H9108" t="s">
        <v>35</v>
      </c>
      <c r="J9108" t="s">
        <v>7391</v>
      </c>
      <c r="K9108" t="s">
        <v>1092</v>
      </c>
      <c r="M9108">
        <v>0.54</v>
      </c>
      <c r="N9108">
        <v>450</v>
      </c>
      <c r="O9108" t="s">
        <v>294</v>
      </c>
      <c r="Q9108" t="s">
        <v>2104</v>
      </c>
      <c r="R9108" t="s">
        <v>6877</v>
      </c>
      <c r="S9108" t="s">
        <v>1041</v>
      </c>
      <c r="T9108" t="s">
        <v>1042</v>
      </c>
    </row>
    <row r="9109" spans="1:20" x14ac:dyDescent="0.25">
      <c r="A9109" t="s">
        <v>59</v>
      </c>
      <c r="B9109" t="s">
        <v>60</v>
      </c>
      <c r="C9109" t="s">
        <v>32</v>
      </c>
      <c r="D9109" t="s">
        <v>953</v>
      </c>
      <c r="E9109" t="s">
        <v>968</v>
      </c>
      <c r="F9109" t="s">
        <v>35</v>
      </c>
      <c r="G9109" t="s">
        <v>35</v>
      </c>
      <c r="H9109" t="s">
        <v>35</v>
      </c>
      <c r="J9109" t="s">
        <v>7044</v>
      </c>
      <c r="K9109" t="s">
        <v>1092</v>
      </c>
      <c r="M9109">
        <v>1</v>
      </c>
      <c r="N9109">
        <v>167</v>
      </c>
      <c r="O9109" t="s">
        <v>38</v>
      </c>
      <c r="Q9109" t="s">
        <v>1565</v>
      </c>
      <c r="R9109" t="s">
        <v>6877</v>
      </c>
      <c r="S9109" t="s">
        <v>1041</v>
      </c>
      <c r="T9109" t="s">
        <v>1042</v>
      </c>
    </row>
    <row r="9110" spans="1:20" x14ac:dyDescent="0.25">
      <c r="A9110" t="s">
        <v>59</v>
      </c>
      <c r="B9110" t="s">
        <v>31</v>
      </c>
      <c r="C9110" t="s">
        <v>32</v>
      </c>
      <c r="D9110" t="s">
        <v>953</v>
      </c>
      <c r="F9110" t="s">
        <v>35</v>
      </c>
      <c r="G9110" t="s">
        <v>35</v>
      </c>
      <c r="H9110" t="s">
        <v>35</v>
      </c>
      <c r="J9110" t="s">
        <v>8040</v>
      </c>
      <c r="K9110" t="s">
        <v>1092</v>
      </c>
      <c r="M9110">
        <v>1.9350000000000001</v>
      </c>
      <c r="N9110">
        <v>1423</v>
      </c>
      <c r="O9110" t="s">
        <v>575</v>
      </c>
      <c r="Q9110" t="s">
        <v>2273</v>
      </c>
      <c r="R9110" t="s">
        <v>6877</v>
      </c>
      <c r="S9110" t="s">
        <v>1041</v>
      </c>
      <c r="T9110" t="s">
        <v>1042</v>
      </c>
    </row>
    <row r="9111" spans="1:20" x14ac:dyDescent="0.25">
      <c r="A9111" t="s">
        <v>30</v>
      </c>
      <c r="B9111" t="s">
        <v>31</v>
      </c>
      <c r="C9111" t="s">
        <v>32</v>
      </c>
      <c r="D9111" t="s">
        <v>953</v>
      </c>
      <c r="F9111" t="s">
        <v>35</v>
      </c>
      <c r="G9111" t="s">
        <v>35</v>
      </c>
      <c r="H9111" t="s">
        <v>35</v>
      </c>
      <c r="J9111" t="s">
        <v>1897</v>
      </c>
      <c r="K9111" t="s">
        <v>1092</v>
      </c>
      <c r="M9111">
        <v>7.0000000000000007E-2</v>
      </c>
      <c r="N9111">
        <v>1565</v>
      </c>
      <c r="O9111" t="s">
        <v>575</v>
      </c>
      <c r="Q9111" t="s">
        <v>8093</v>
      </c>
      <c r="R9111" t="s">
        <v>6877</v>
      </c>
      <c r="S9111" t="s">
        <v>1041</v>
      </c>
      <c r="T9111" t="s">
        <v>1042</v>
      </c>
    </row>
    <row r="9112" spans="1:20" x14ac:dyDescent="0.25">
      <c r="A9112" t="s">
        <v>30</v>
      </c>
      <c r="B9112" t="s">
        <v>31</v>
      </c>
      <c r="C9112" t="s">
        <v>32</v>
      </c>
      <c r="D9112" t="s">
        <v>953</v>
      </c>
      <c r="E9112" t="s">
        <v>7184</v>
      </c>
      <c r="F9112" t="s">
        <v>35</v>
      </c>
      <c r="G9112" t="s">
        <v>35</v>
      </c>
      <c r="H9112" t="s">
        <v>35</v>
      </c>
      <c r="J9112" t="s">
        <v>7194</v>
      </c>
      <c r="K9112" t="s">
        <v>1092</v>
      </c>
      <c r="M9112">
        <v>8.91</v>
      </c>
      <c r="N9112">
        <v>16</v>
      </c>
      <c r="O9112" t="s">
        <v>46</v>
      </c>
      <c r="Q9112" t="s">
        <v>1819</v>
      </c>
      <c r="R9112" t="s">
        <v>6877</v>
      </c>
      <c r="S9112" t="s">
        <v>1041</v>
      </c>
      <c r="T9112" t="s">
        <v>1042</v>
      </c>
    </row>
    <row r="9113" spans="1:20" x14ac:dyDescent="0.25">
      <c r="A9113" t="s">
        <v>44</v>
      </c>
      <c r="B9113" t="s">
        <v>3</v>
      </c>
      <c r="C9113" t="s">
        <v>32</v>
      </c>
      <c r="D9113" t="s">
        <v>953</v>
      </c>
      <c r="E9113" t="s">
        <v>968</v>
      </c>
      <c r="F9113" t="s">
        <v>35</v>
      </c>
      <c r="G9113" t="s">
        <v>35</v>
      </c>
      <c r="H9113" t="s">
        <v>35</v>
      </c>
      <c r="J9113" t="s">
        <v>7036</v>
      </c>
      <c r="K9113" t="s">
        <v>1092</v>
      </c>
      <c r="M9113">
        <v>5</v>
      </c>
      <c r="N9113">
        <v>59</v>
      </c>
      <c r="O9113" t="s">
        <v>52</v>
      </c>
      <c r="Q9113" t="s">
        <v>203</v>
      </c>
      <c r="R9113" t="s">
        <v>6877</v>
      </c>
      <c r="S9113" t="s">
        <v>1041</v>
      </c>
      <c r="T9113" t="s">
        <v>1042</v>
      </c>
    </row>
    <row r="9114" spans="1:20" x14ac:dyDescent="0.25">
      <c r="A9114" t="s">
        <v>59</v>
      </c>
      <c r="B9114" t="s">
        <v>60</v>
      </c>
      <c r="C9114" t="s">
        <v>32</v>
      </c>
      <c r="D9114" t="s">
        <v>953</v>
      </c>
      <c r="E9114" t="s">
        <v>1007</v>
      </c>
      <c r="F9114" t="s">
        <v>35</v>
      </c>
      <c r="G9114" t="s">
        <v>35</v>
      </c>
      <c r="H9114" t="s">
        <v>35</v>
      </c>
      <c r="J9114" t="s">
        <v>7326</v>
      </c>
      <c r="K9114" t="s">
        <v>1092</v>
      </c>
      <c r="M9114">
        <v>0.7</v>
      </c>
      <c r="N9114">
        <v>136</v>
      </c>
      <c r="O9114" t="s">
        <v>38</v>
      </c>
      <c r="Q9114" t="s">
        <v>2121</v>
      </c>
      <c r="R9114" t="s">
        <v>6877</v>
      </c>
      <c r="S9114" t="s">
        <v>1041</v>
      </c>
      <c r="T9114" t="s">
        <v>1042</v>
      </c>
    </row>
    <row r="9115" spans="1:20" x14ac:dyDescent="0.25">
      <c r="A9115" t="s">
        <v>59</v>
      </c>
      <c r="B9115" t="s">
        <v>31</v>
      </c>
      <c r="C9115" t="s">
        <v>32</v>
      </c>
      <c r="D9115" t="s">
        <v>953</v>
      </c>
      <c r="F9115" t="s">
        <v>35</v>
      </c>
      <c r="G9115" t="s">
        <v>35</v>
      </c>
      <c r="H9115" t="s">
        <v>35</v>
      </c>
      <c r="J9115" t="s">
        <v>7937</v>
      </c>
      <c r="K9115" t="s">
        <v>1092</v>
      </c>
      <c r="M9115">
        <v>4.41</v>
      </c>
      <c r="N9115">
        <v>1146</v>
      </c>
      <c r="O9115" t="s">
        <v>575</v>
      </c>
      <c r="Q9115" t="s">
        <v>7923</v>
      </c>
      <c r="R9115" t="s">
        <v>6877</v>
      </c>
      <c r="S9115" t="s">
        <v>1041</v>
      </c>
      <c r="T9115" t="s">
        <v>1042</v>
      </c>
    </row>
    <row r="9116" spans="1:20" x14ac:dyDescent="0.25">
      <c r="A9116" t="s">
        <v>59</v>
      </c>
      <c r="B9116" t="s">
        <v>31</v>
      </c>
      <c r="C9116" t="s">
        <v>32</v>
      </c>
      <c r="D9116" t="s">
        <v>953</v>
      </c>
      <c r="E9116" t="s">
        <v>968</v>
      </c>
      <c r="F9116" t="s">
        <v>35</v>
      </c>
      <c r="G9116" t="s">
        <v>35</v>
      </c>
      <c r="H9116" t="s">
        <v>35</v>
      </c>
      <c r="J9116" t="s">
        <v>7043</v>
      </c>
      <c r="K9116" t="s">
        <v>1092</v>
      </c>
      <c r="M9116">
        <v>0.09</v>
      </c>
      <c r="N9116">
        <v>353</v>
      </c>
      <c r="O9116" t="s">
        <v>5</v>
      </c>
      <c r="Q9116" t="s">
        <v>1435</v>
      </c>
      <c r="R9116" t="s">
        <v>6877</v>
      </c>
      <c r="S9116" t="s">
        <v>1041</v>
      </c>
      <c r="T9116" t="s">
        <v>1042</v>
      </c>
    </row>
    <row r="9117" spans="1:20" x14ac:dyDescent="0.25">
      <c r="A9117" t="s">
        <v>59</v>
      </c>
      <c r="B9117" t="s">
        <v>60</v>
      </c>
      <c r="C9117" t="s">
        <v>32</v>
      </c>
      <c r="D9117" t="s">
        <v>953</v>
      </c>
      <c r="E9117" t="s">
        <v>1015</v>
      </c>
      <c r="F9117" t="s">
        <v>35</v>
      </c>
      <c r="G9117" t="s">
        <v>35</v>
      </c>
      <c r="H9117" t="s">
        <v>35</v>
      </c>
      <c r="J9117" t="s">
        <v>7427</v>
      </c>
      <c r="K9117" t="s">
        <v>1092</v>
      </c>
      <c r="M9117">
        <v>2</v>
      </c>
      <c r="N9117">
        <v>265</v>
      </c>
      <c r="O9117" t="s">
        <v>5</v>
      </c>
      <c r="Q9117" t="s">
        <v>1264</v>
      </c>
      <c r="R9117" t="s">
        <v>6877</v>
      </c>
      <c r="S9117" t="s">
        <v>1041</v>
      </c>
      <c r="T9117" t="s">
        <v>1042</v>
      </c>
    </row>
    <row r="9118" spans="1:20" x14ac:dyDescent="0.25">
      <c r="A9118" t="s">
        <v>59</v>
      </c>
      <c r="B9118" t="s">
        <v>60</v>
      </c>
      <c r="C9118" t="s">
        <v>32</v>
      </c>
      <c r="D9118" t="s">
        <v>953</v>
      </c>
      <c r="E9118" t="s">
        <v>1015</v>
      </c>
      <c r="F9118" t="s">
        <v>35</v>
      </c>
      <c r="G9118" t="s">
        <v>35</v>
      </c>
      <c r="H9118" t="s">
        <v>35</v>
      </c>
      <c r="J9118" t="s">
        <v>7427</v>
      </c>
      <c r="K9118" t="s">
        <v>1092</v>
      </c>
      <c r="M9118">
        <v>1.2</v>
      </c>
      <c r="N9118">
        <v>307</v>
      </c>
      <c r="O9118" t="s">
        <v>5</v>
      </c>
      <c r="Q9118" t="s">
        <v>6168</v>
      </c>
      <c r="R9118" t="s">
        <v>6877</v>
      </c>
      <c r="S9118" t="s">
        <v>1041</v>
      </c>
      <c r="T9118" t="s">
        <v>1042</v>
      </c>
    </row>
    <row r="9119" spans="1:20" x14ac:dyDescent="0.25">
      <c r="A9119" t="s">
        <v>59</v>
      </c>
      <c r="B9119" t="s">
        <v>60</v>
      </c>
      <c r="C9119" t="s">
        <v>32</v>
      </c>
      <c r="D9119" t="s">
        <v>953</v>
      </c>
      <c r="E9119" t="s">
        <v>998</v>
      </c>
      <c r="F9119" t="s">
        <v>35</v>
      </c>
      <c r="G9119" t="s">
        <v>35</v>
      </c>
      <c r="H9119" t="s">
        <v>35</v>
      </c>
      <c r="J9119" t="s">
        <v>7281</v>
      </c>
      <c r="K9119" t="s">
        <v>1092</v>
      </c>
      <c r="M9119">
        <v>1.5</v>
      </c>
      <c r="N9119">
        <v>686</v>
      </c>
      <c r="O9119" t="s">
        <v>575</v>
      </c>
      <c r="Q9119" t="s">
        <v>7283</v>
      </c>
      <c r="R9119" t="s">
        <v>6877</v>
      </c>
      <c r="S9119" t="s">
        <v>1041</v>
      </c>
      <c r="T9119" t="s">
        <v>1042</v>
      </c>
    </row>
    <row r="9120" spans="1:20" x14ac:dyDescent="0.25">
      <c r="A9120" t="s">
        <v>59</v>
      </c>
      <c r="B9120" t="s">
        <v>60</v>
      </c>
      <c r="C9120" t="s">
        <v>32</v>
      </c>
      <c r="D9120" t="s">
        <v>953</v>
      </c>
      <c r="E9120" t="s">
        <v>7494</v>
      </c>
      <c r="F9120" t="s">
        <v>35</v>
      </c>
      <c r="G9120" t="s">
        <v>35</v>
      </c>
      <c r="H9120" t="s">
        <v>35</v>
      </c>
      <c r="J9120" t="s">
        <v>7507</v>
      </c>
      <c r="K9120" t="s">
        <v>1092</v>
      </c>
      <c r="M9120">
        <v>4.55</v>
      </c>
      <c r="N9120">
        <v>706</v>
      </c>
      <c r="O9120" t="s">
        <v>575</v>
      </c>
      <c r="Q9120" t="s">
        <v>7508</v>
      </c>
      <c r="R9120" t="s">
        <v>6877</v>
      </c>
      <c r="S9120" t="s">
        <v>1041</v>
      </c>
      <c r="T9120" t="s">
        <v>1042</v>
      </c>
    </row>
    <row r="9121" spans="1:20" x14ac:dyDescent="0.25">
      <c r="A9121" t="s">
        <v>59</v>
      </c>
      <c r="B9121" t="s">
        <v>31</v>
      </c>
      <c r="C9121" t="s">
        <v>32</v>
      </c>
      <c r="D9121" t="s">
        <v>953</v>
      </c>
      <c r="E9121" t="s">
        <v>1015</v>
      </c>
      <c r="F9121" t="s">
        <v>35</v>
      </c>
      <c r="G9121" t="s">
        <v>35</v>
      </c>
      <c r="H9121" t="s">
        <v>35</v>
      </c>
      <c r="J9121" t="s">
        <v>7437</v>
      </c>
      <c r="K9121" t="s">
        <v>1092</v>
      </c>
      <c r="M9121">
        <v>0.58499999999999996</v>
      </c>
      <c r="N9121">
        <v>241</v>
      </c>
      <c r="O9121" t="s">
        <v>5</v>
      </c>
      <c r="Q9121" t="s">
        <v>1154</v>
      </c>
      <c r="R9121" t="s">
        <v>6877</v>
      </c>
      <c r="S9121" t="s">
        <v>1041</v>
      </c>
      <c r="T9121" t="s">
        <v>1042</v>
      </c>
    </row>
    <row r="9122" spans="1:20" x14ac:dyDescent="0.25">
      <c r="A9122" t="s">
        <v>59</v>
      </c>
      <c r="B9122" t="s">
        <v>60</v>
      </c>
      <c r="C9122" t="s">
        <v>32</v>
      </c>
      <c r="D9122" t="s">
        <v>953</v>
      </c>
      <c r="E9122" t="s">
        <v>1015</v>
      </c>
      <c r="F9122" t="s">
        <v>35</v>
      </c>
      <c r="G9122" t="s">
        <v>35</v>
      </c>
      <c r="H9122" t="s">
        <v>35</v>
      </c>
      <c r="J9122" t="s">
        <v>7437</v>
      </c>
      <c r="K9122" t="s">
        <v>1092</v>
      </c>
      <c r="M9122">
        <v>4.4999999999999998E-2</v>
      </c>
      <c r="N9122">
        <v>241</v>
      </c>
      <c r="O9122" t="s">
        <v>5</v>
      </c>
      <c r="Q9122" t="s">
        <v>1154</v>
      </c>
      <c r="R9122" t="s">
        <v>6877</v>
      </c>
      <c r="S9122" t="s">
        <v>1041</v>
      </c>
      <c r="T9122" t="s">
        <v>1042</v>
      </c>
    </row>
    <row r="9123" spans="1:20" x14ac:dyDescent="0.25">
      <c r="A9123" t="s">
        <v>59</v>
      </c>
      <c r="B9123" t="s">
        <v>31</v>
      </c>
      <c r="C9123" t="s">
        <v>32</v>
      </c>
      <c r="D9123" t="s">
        <v>953</v>
      </c>
      <c r="E9123" t="s">
        <v>1084</v>
      </c>
      <c r="F9123" t="s">
        <v>35</v>
      </c>
      <c r="G9123" t="s">
        <v>35</v>
      </c>
      <c r="H9123" t="s">
        <v>35</v>
      </c>
      <c r="J9123" t="s">
        <v>7820</v>
      </c>
      <c r="K9123" t="s">
        <v>1092</v>
      </c>
      <c r="M9123">
        <v>1.71</v>
      </c>
      <c r="N9123">
        <v>448</v>
      </c>
      <c r="O9123" t="s">
        <v>294</v>
      </c>
      <c r="Q9123" t="s">
        <v>1760</v>
      </c>
      <c r="R9123" t="s">
        <v>6877</v>
      </c>
      <c r="S9123" t="s">
        <v>1041</v>
      </c>
      <c r="T9123" t="s">
        <v>1042</v>
      </c>
    </row>
    <row r="9124" spans="1:20" x14ac:dyDescent="0.25">
      <c r="A9124" t="s">
        <v>59</v>
      </c>
      <c r="B9124" t="s">
        <v>60</v>
      </c>
      <c r="C9124" t="s">
        <v>32</v>
      </c>
      <c r="D9124" t="s">
        <v>953</v>
      </c>
      <c r="E9124" t="s">
        <v>7494</v>
      </c>
      <c r="F9124" t="s">
        <v>35</v>
      </c>
      <c r="G9124" t="s">
        <v>35</v>
      </c>
      <c r="H9124" t="s">
        <v>35</v>
      </c>
      <c r="J9124" t="s">
        <v>7502</v>
      </c>
      <c r="K9124" t="s">
        <v>1092</v>
      </c>
      <c r="M9124">
        <v>2.5</v>
      </c>
      <c r="N9124">
        <v>83</v>
      </c>
      <c r="O9124" t="s">
        <v>61</v>
      </c>
      <c r="Q9124" t="s">
        <v>897</v>
      </c>
      <c r="R9124" t="s">
        <v>6877</v>
      </c>
      <c r="S9124" t="s">
        <v>1041</v>
      </c>
      <c r="T9124" t="s">
        <v>1042</v>
      </c>
    </row>
    <row r="9125" spans="1:20" x14ac:dyDescent="0.25">
      <c r="A9125" t="s">
        <v>59</v>
      </c>
      <c r="B9125" t="s">
        <v>31</v>
      </c>
      <c r="C9125" t="s">
        <v>32</v>
      </c>
      <c r="D9125" t="s">
        <v>953</v>
      </c>
      <c r="E9125" t="s">
        <v>7494</v>
      </c>
      <c r="F9125" t="s">
        <v>35</v>
      </c>
      <c r="G9125" t="s">
        <v>35</v>
      </c>
      <c r="H9125" t="s">
        <v>35</v>
      </c>
      <c r="J9125" t="s">
        <v>7502</v>
      </c>
      <c r="K9125" t="s">
        <v>1092</v>
      </c>
      <c r="M9125">
        <v>0.72</v>
      </c>
      <c r="N9125">
        <v>83</v>
      </c>
      <c r="O9125" t="s">
        <v>61</v>
      </c>
      <c r="Q9125" t="s">
        <v>897</v>
      </c>
      <c r="R9125" t="s">
        <v>6877</v>
      </c>
      <c r="S9125" t="s">
        <v>1041</v>
      </c>
      <c r="T9125" t="s">
        <v>1042</v>
      </c>
    </row>
    <row r="9126" spans="1:20" x14ac:dyDescent="0.25">
      <c r="A9126" t="s">
        <v>44</v>
      </c>
      <c r="B9126" t="s">
        <v>51</v>
      </c>
      <c r="C9126" t="s">
        <v>32</v>
      </c>
      <c r="D9126" t="s">
        <v>953</v>
      </c>
      <c r="E9126" t="s">
        <v>968</v>
      </c>
      <c r="F9126" t="s">
        <v>35</v>
      </c>
      <c r="G9126" t="s">
        <v>35</v>
      </c>
      <c r="H9126" t="s">
        <v>35</v>
      </c>
      <c r="J9126" t="s">
        <v>6977</v>
      </c>
      <c r="K9126" t="s">
        <v>1092</v>
      </c>
      <c r="M9126">
        <v>0.95</v>
      </c>
      <c r="N9126">
        <v>338</v>
      </c>
      <c r="O9126" t="s">
        <v>5</v>
      </c>
      <c r="Q9126" t="s">
        <v>3421</v>
      </c>
      <c r="R9126" t="s">
        <v>6877</v>
      </c>
      <c r="S9126" t="s">
        <v>1041</v>
      </c>
      <c r="T9126" t="s">
        <v>1042</v>
      </c>
    </row>
    <row r="9127" spans="1:20" x14ac:dyDescent="0.25">
      <c r="A9127" t="s">
        <v>59</v>
      </c>
      <c r="B9127" t="s">
        <v>31</v>
      </c>
      <c r="C9127" t="s">
        <v>32</v>
      </c>
      <c r="D9127" t="s">
        <v>953</v>
      </c>
      <c r="E9127" t="s">
        <v>1015</v>
      </c>
      <c r="F9127" t="s">
        <v>35</v>
      </c>
      <c r="G9127" t="s">
        <v>35</v>
      </c>
      <c r="H9127" t="s">
        <v>35</v>
      </c>
      <c r="J9127" t="s">
        <v>7434</v>
      </c>
      <c r="K9127" t="s">
        <v>1092</v>
      </c>
      <c r="M9127">
        <v>1.125</v>
      </c>
      <c r="N9127">
        <v>55</v>
      </c>
      <c r="O9127" t="s">
        <v>52</v>
      </c>
      <c r="Q9127" t="s">
        <v>90</v>
      </c>
      <c r="R9127" t="s">
        <v>6877</v>
      </c>
      <c r="S9127" t="s">
        <v>1041</v>
      </c>
      <c r="T9127" t="s">
        <v>1042</v>
      </c>
    </row>
    <row r="9128" spans="1:20" x14ac:dyDescent="0.25">
      <c r="A9128" t="s">
        <v>44</v>
      </c>
      <c r="B9128" t="s">
        <v>3005</v>
      </c>
      <c r="C9128" t="s">
        <v>32</v>
      </c>
      <c r="D9128" t="s">
        <v>953</v>
      </c>
      <c r="E9128" t="s">
        <v>7558</v>
      </c>
      <c r="F9128" t="s">
        <v>35</v>
      </c>
      <c r="G9128" t="s">
        <v>35</v>
      </c>
      <c r="H9128" t="s">
        <v>35</v>
      </c>
      <c r="J9128" t="s">
        <v>7590</v>
      </c>
      <c r="K9128" t="s">
        <v>1092</v>
      </c>
      <c r="M9128">
        <v>0.25</v>
      </c>
      <c r="N9128">
        <v>2666</v>
      </c>
      <c r="O9128" t="s">
        <v>575</v>
      </c>
      <c r="Q9128" t="s">
        <v>1486</v>
      </c>
      <c r="R9128" t="s">
        <v>1487</v>
      </c>
      <c r="S9128" t="s">
        <v>1488</v>
      </c>
    </row>
    <row r="9129" spans="1:20" x14ac:dyDescent="0.25">
      <c r="A9129" t="s">
        <v>59</v>
      </c>
      <c r="B9129" t="s">
        <v>60</v>
      </c>
      <c r="C9129" t="s">
        <v>32</v>
      </c>
      <c r="D9129" t="s">
        <v>953</v>
      </c>
      <c r="E9129" t="s">
        <v>7558</v>
      </c>
      <c r="F9129" t="s">
        <v>35</v>
      </c>
      <c r="G9129" t="s">
        <v>35</v>
      </c>
      <c r="H9129" t="s">
        <v>35</v>
      </c>
      <c r="J9129" t="s">
        <v>7590</v>
      </c>
      <c r="K9129" t="s">
        <v>1092</v>
      </c>
      <c r="M9129">
        <v>0.25</v>
      </c>
      <c r="N9129">
        <v>2666</v>
      </c>
      <c r="O9129" t="s">
        <v>575</v>
      </c>
      <c r="Q9129" t="s">
        <v>1486</v>
      </c>
      <c r="R9129" t="s">
        <v>1487</v>
      </c>
      <c r="S9129" t="s">
        <v>1488</v>
      </c>
    </row>
    <row r="9130" spans="1:20" x14ac:dyDescent="0.25">
      <c r="A9130" t="s">
        <v>59</v>
      </c>
      <c r="B9130" t="s">
        <v>31</v>
      </c>
      <c r="C9130" t="s">
        <v>32</v>
      </c>
      <c r="D9130" t="s">
        <v>953</v>
      </c>
      <c r="F9130" t="s">
        <v>35</v>
      </c>
      <c r="G9130" t="s">
        <v>35</v>
      </c>
      <c r="H9130" t="s">
        <v>35</v>
      </c>
      <c r="J9130" t="s">
        <v>8014</v>
      </c>
      <c r="K9130" t="s">
        <v>1092</v>
      </c>
      <c r="M9130">
        <v>0.76500000000000001</v>
      </c>
      <c r="N9130">
        <v>2666</v>
      </c>
      <c r="O9130" t="s">
        <v>575</v>
      </c>
      <c r="Q9130" t="s">
        <v>1486</v>
      </c>
      <c r="R9130" t="s">
        <v>1487</v>
      </c>
      <c r="S9130" t="s">
        <v>1488</v>
      </c>
    </row>
    <row r="9131" spans="1:20" x14ac:dyDescent="0.25">
      <c r="A9131" t="s">
        <v>59</v>
      </c>
      <c r="B9131" t="s">
        <v>60</v>
      </c>
      <c r="C9131" t="s">
        <v>32</v>
      </c>
      <c r="D9131" t="s">
        <v>953</v>
      </c>
      <c r="F9131" t="s">
        <v>35</v>
      </c>
      <c r="G9131" t="s">
        <v>35</v>
      </c>
      <c r="H9131" t="s">
        <v>35</v>
      </c>
      <c r="J9131" t="s">
        <v>8014</v>
      </c>
      <c r="K9131" t="s">
        <v>1092</v>
      </c>
      <c r="M9131">
        <v>1.25</v>
      </c>
      <c r="N9131">
        <v>2666</v>
      </c>
      <c r="O9131" t="s">
        <v>575</v>
      </c>
      <c r="Q9131" t="s">
        <v>1486</v>
      </c>
      <c r="R9131" t="s">
        <v>1487</v>
      </c>
      <c r="S9131" t="s">
        <v>1488</v>
      </c>
    </row>
    <row r="9132" spans="1:20" x14ac:dyDescent="0.25">
      <c r="A9132" t="s">
        <v>59</v>
      </c>
      <c r="B9132" t="s">
        <v>60</v>
      </c>
      <c r="C9132" t="s">
        <v>32</v>
      </c>
      <c r="D9132" t="s">
        <v>953</v>
      </c>
      <c r="E9132" t="s">
        <v>968</v>
      </c>
      <c r="F9132" t="s">
        <v>35</v>
      </c>
      <c r="G9132" t="s">
        <v>35</v>
      </c>
      <c r="H9132" t="s">
        <v>35</v>
      </c>
      <c r="J9132" t="s">
        <v>6988</v>
      </c>
      <c r="K9132" t="s">
        <v>1092</v>
      </c>
      <c r="M9132">
        <v>0.16</v>
      </c>
      <c r="N9132">
        <v>2666</v>
      </c>
      <c r="O9132" t="s">
        <v>575</v>
      </c>
      <c r="Q9132" t="s">
        <v>1486</v>
      </c>
      <c r="R9132" t="s">
        <v>1487</v>
      </c>
      <c r="S9132" t="s">
        <v>1488</v>
      </c>
    </row>
    <row r="9133" spans="1:20" x14ac:dyDescent="0.25">
      <c r="A9133" t="s">
        <v>30</v>
      </c>
      <c r="B9133" t="s">
        <v>31</v>
      </c>
      <c r="C9133" t="s">
        <v>32</v>
      </c>
      <c r="D9133" t="s">
        <v>953</v>
      </c>
      <c r="E9133" t="s">
        <v>968</v>
      </c>
      <c r="F9133" t="s">
        <v>35</v>
      </c>
      <c r="G9133" t="s">
        <v>35</v>
      </c>
      <c r="H9133" t="s">
        <v>35</v>
      </c>
      <c r="J9133" t="s">
        <v>6988</v>
      </c>
      <c r="K9133" t="s">
        <v>1092</v>
      </c>
      <c r="M9133">
        <v>2.25</v>
      </c>
      <c r="N9133">
        <v>2666</v>
      </c>
      <c r="O9133" t="s">
        <v>575</v>
      </c>
      <c r="Q9133" t="s">
        <v>1486</v>
      </c>
      <c r="R9133" t="s">
        <v>1487</v>
      </c>
      <c r="S9133" t="s">
        <v>1488</v>
      </c>
    </row>
    <row r="9134" spans="1:20" x14ac:dyDescent="0.25">
      <c r="A9134" t="s">
        <v>59</v>
      </c>
      <c r="B9134" t="s">
        <v>60</v>
      </c>
      <c r="C9134" t="s">
        <v>32</v>
      </c>
      <c r="D9134" t="s">
        <v>953</v>
      </c>
      <c r="F9134" t="s">
        <v>35</v>
      </c>
      <c r="G9134" t="s">
        <v>35</v>
      </c>
      <c r="H9134" t="s">
        <v>35</v>
      </c>
      <c r="J9134" t="s">
        <v>7726</v>
      </c>
      <c r="K9134" t="s">
        <v>1092</v>
      </c>
      <c r="M9134">
        <v>5.15</v>
      </c>
      <c r="N9134">
        <v>2666</v>
      </c>
      <c r="O9134" t="s">
        <v>575</v>
      </c>
      <c r="Q9134" t="s">
        <v>1486</v>
      </c>
      <c r="R9134" t="s">
        <v>1487</v>
      </c>
      <c r="S9134" t="s">
        <v>1488</v>
      </c>
    </row>
    <row r="9135" spans="1:20" x14ac:dyDescent="0.25">
      <c r="A9135" t="s">
        <v>59</v>
      </c>
      <c r="B9135" t="s">
        <v>31</v>
      </c>
      <c r="C9135" t="s">
        <v>32</v>
      </c>
      <c r="D9135" t="s">
        <v>953</v>
      </c>
      <c r="E9135" t="s">
        <v>980</v>
      </c>
      <c r="F9135" t="s">
        <v>35</v>
      </c>
      <c r="G9135" t="s">
        <v>35</v>
      </c>
      <c r="H9135" t="s">
        <v>35</v>
      </c>
      <c r="J9135" t="s">
        <v>7150</v>
      </c>
      <c r="K9135" t="s">
        <v>1092</v>
      </c>
      <c r="M9135">
        <v>0.03</v>
      </c>
      <c r="N9135">
        <v>2666</v>
      </c>
      <c r="O9135" t="s">
        <v>575</v>
      </c>
      <c r="Q9135" t="s">
        <v>1486</v>
      </c>
      <c r="R9135" t="s">
        <v>1487</v>
      </c>
      <c r="S9135" t="s">
        <v>1488</v>
      </c>
    </row>
    <row r="9136" spans="1:20" x14ac:dyDescent="0.25">
      <c r="A9136" t="s">
        <v>59</v>
      </c>
      <c r="B9136" t="s">
        <v>60</v>
      </c>
      <c r="C9136" t="s">
        <v>32</v>
      </c>
      <c r="D9136" t="s">
        <v>953</v>
      </c>
      <c r="F9136" t="s">
        <v>35</v>
      </c>
      <c r="G9136" t="s">
        <v>35</v>
      </c>
      <c r="H9136" t="s">
        <v>35</v>
      </c>
      <c r="J9136" t="s">
        <v>2661</v>
      </c>
      <c r="K9136" t="s">
        <v>1092</v>
      </c>
      <c r="M9136">
        <v>0.35</v>
      </c>
      <c r="N9136">
        <v>2666</v>
      </c>
      <c r="O9136" t="s">
        <v>575</v>
      </c>
      <c r="Q9136" t="s">
        <v>1486</v>
      </c>
      <c r="R9136" t="s">
        <v>1487</v>
      </c>
      <c r="S9136" t="s">
        <v>1488</v>
      </c>
    </row>
    <row r="9137" spans="1:20" x14ac:dyDescent="0.25">
      <c r="A9137" t="s">
        <v>59</v>
      </c>
      <c r="B9137" t="s">
        <v>60</v>
      </c>
      <c r="C9137" t="s">
        <v>32</v>
      </c>
      <c r="D9137" t="s">
        <v>953</v>
      </c>
      <c r="F9137" t="s">
        <v>35</v>
      </c>
      <c r="G9137" t="s">
        <v>35</v>
      </c>
      <c r="H9137" t="s">
        <v>35</v>
      </c>
      <c r="J9137" t="s">
        <v>7997</v>
      </c>
      <c r="K9137" t="s">
        <v>1092</v>
      </c>
      <c r="M9137">
        <v>0.3</v>
      </c>
      <c r="N9137">
        <v>2666</v>
      </c>
      <c r="O9137" t="s">
        <v>575</v>
      </c>
      <c r="Q9137" t="s">
        <v>1486</v>
      </c>
      <c r="R9137" t="s">
        <v>1487</v>
      </c>
      <c r="S9137" t="s">
        <v>1488</v>
      </c>
    </row>
    <row r="9138" spans="1:20" x14ac:dyDescent="0.25">
      <c r="A9138" t="s">
        <v>59</v>
      </c>
      <c r="B9138" t="s">
        <v>60</v>
      </c>
      <c r="C9138" t="s">
        <v>32</v>
      </c>
      <c r="D9138" t="s">
        <v>953</v>
      </c>
      <c r="F9138" t="s">
        <v>35</v>
      </c>
      <c r="G9138" t="s">
        <v>35</v>
      </c>
      <c r="H9138" t="s">
        <v>35</v>
      </c>
      <c r="J9138" t="s">
        <v>7978</v>
      </c>
      <c r="K9138" t="s">
        <v>1092</v>
      </c>
      <c r="M9138">
        <v>2.25</v>
      </c>
      <c r="N9138">
        <v>2666</v>
      </c>
      <c r="O9138" t="s">
        <v>575</v>
      </c>
      <c r="Q9138" t="s">
        <v>1486</v>
      </c>
      <c r="R9138" t="s">
        <v>1487</v>
      </c>
      <c r="S9138" t="s">
        <v>1488</v>
      </c>
    </row>
    <row r="9139" spans="1:20" x14ac:dyDescent="0.25">
      <c r="A9139" t="s">
        <v>59</v>
      </c>
      <c r="B9139" t="s">
        <v>31</v>
      </c>
      <c r="C9139" t="s">
        <v>32</v>
      </c>
      <c r="D9139" t="s">
        <v>953</v>
      </c>
      <c r="F9139" t="s">
        <v>35</v>
      </c>
      <c r="G9139" t="s">
        <v>35</v>
      </c>
      <c r="H9139" t="s">
        <v>35</v>
      </c>
      <c r="J9139" t="s">
        <v>7978</v>
      </c>
      <c r="K9139" t="s">
        <v>1092</v>
      </c>
      <c r="M9139">
        <v>3.5000000000000003E-2</v>
      </c>
      <c r="N9139">
        <v>2666</v>
      </c>
      <c r="O9139" t="s">
        <v>575</v>
      </c>
      <c r="Q9139" t="s">
        <v>1486</v>
      </c>
      <c r="R9139" t="s">
        <v>1487</v>
      </c>
      <c r="S9139" t="s">
        <v>1488</v>
      </c>
    </row>
    <row r="9140" spans="1:20" x14ac:dyDescent="0.25">
      <c r="A9140" t="s">
        <v>59</v>
      </c>
      <c r="B9140" t="s">
        <v>31</v>
      </c>
      <c r="C9140" t="s">
        <v>32</v>
      </c>
      <c r="D9140" t="s">
        <v>953</v>
      </c>
      <c r="F9140" t="s">
        <v>35</v>
      </c>
      <c r="G9140" t="s">
        <v>35</v>
      </c>
      <c r="H9140" t="s">
        <v>35</v>
      </c>
      <c r="J9140" t="s">
        <v>8013</v>
      </c>
      <c r="K9140" t="s">
        <v>1092</v>
      </c>
      <c r="M9140">
        <v>0.3</v>
      </c>
      <c r="N9140">
        <v>2666</v>
      </c>
      <c r="O9140" t="s">
        <v>575</v>
      </c>
      <c r="Q9140" t="s">
        <v>1486</v>
      </c>
      <c r="R9140" t="s">
        <v>1487</v>
      </c>
      <c r="S9140" t="s">
        <v>1488</v>
      </c>
    </row>
    <row r="9141" spans="1:20" x14ac:dyDescent="0.25">
      <c r="A9141" t="s">
        <v>59</v>
      </c>
      <c r="B9141" t="s">
        <v>60</v>
      </c>
      <c r="C9141" t="s">
        <v>32</v>
      </c>
      <c r="D9141" t="s">
        <v>953</v>
      </c>
      <c r="F9141" t="s">
        <v>35</v>
      </c>
      <c r="G9141" t="s">
        <v>35</v>
      </c>
      <c r="H9141" t="s">
        <v>35</v>
      </c>
      <c r="J9141" t="s">
        <v>7995</v>
      </c>
      <c r="K9141" t="s">
        <v>1092</v>
      </c>
      <c r="M9141">
        <v>0.29899999999999999</v>
      </c>
      <c r="N9141">
        <v>2666</v>
      </c>
      <c r="O9141" t="s">
        <v>575</v>
      </c>
      <c r="Q9141" t="s">
        <v>1486</v>
      </c>
      <c r="R9141" t="s">
        <v>1487</v>
      </c>
      <c r="S9141" t="s">
        <v>1488</v>
      </c>
    </row>
    <row r="9142" spans="1:20" x14ac:dyDescent="0.25">
      <c r="A9142" t="s">
        <v>59</v>
      </c>
      <c r="B9142" t="s">
        <v>31</v>
      </c>
      <c r="C9142" t="s">
        <v>32</v>
      </c>
      <c r="D9142" t="s">
        <v>953</v>
      </c>
      <c r="F9142" t="s">
        <v>35</v>
      </c>
      <c r="G9142" t="s">
        <v>35</v>
      </c>
      <c r="H9142" t="s">
        <v>35</v>
      </c>
      <c r="J9142" t="s">
        <v>7985</v>
      </c>
      <c r="K9142" t="s">
        <v>1092</v>
      </c>
      <c r="M9142">
        <v>0.76500000000000001</v>
      </c>
      <c r="N9142">
        <v>2666</v>
      </c>
      <c r="O9142" t="s">
        <v>575</v>
      </c>
      <c r="Q9142" t="s">
        <v>1486</v>
      </c>
      <c r="R9142" t="s">
        <v>1487</v>
      </c>
      <c r="S9142" t="s">
        <v>1488</v>
      </c>
    </row>
    <row r="9143" spans="1:20" x14ac:dyDescent="0.25">
      <c r="A9143" t="s">
        <v>59</v>
      </c>
      <c r="B9143" t="s">
        <v>60</v>
      </c>
      <c r="C9143" t="s">
        <v>32</v>
      </c>
      <c r="D9143" t="s">
        <v>953</v>
      </c>
      <c r="F9143" t="s">
        <v>35</v>
      </c>
      <c r="G9143" t="s">
        <v>35</v>
      </c>
      <c r="H9143" t="s">
        <v>35</v>
      </c>
      <c r="J9143" t="s">
        <v>8029</v>
      </c>
      <c r="K9143" t="s">
        <v>1092</v>
      </c>
      <c r="M9143">
        <v>0.08</v>
      </c>
      <c r="N9143">
        <v>2666</v>
      </c>
      <c r="O9143" t="s">
        <v>575</v>
      </c>
      <c r="Q9143" t="s">
        <v>1486</v>
      </c>
      <c r="R9143" t="s">
        <v>1487</v>
      </c>
      <c r="S9143" t="s">
        <v>1488</v>
      </c>
    </row>
    <row r="9144" spans="1:20" x14ac:dyDescent="0.25">
      <c r="A9144" t="s">
        <v>30</v>
      </c>
      <c r="B9144" t="s">
        <v>31</v>
      </c>
      <c r="C9144" t="s">
        <v>32</v>
      </c>
      <c r="D9144" t="s">
        <v>953</v>
      </c>
      <c r="F9144" t="s">
        <v>35</v>
      </c>
      <c r="G9144" t="s">
        <v>35</v>
      </c>
      <c r="H9144" t="s">
        <v>35</v>
      </c>
      <c r="J9144" t="s">
        <v>8016</v>
      </c>
      <c r="K9144" t="s">
        <v>1092</v>
      </c>
      <c r="M9144">
        <v>0.495</v>
      </c>
      <c r="N9144">
        <v>2605</v>
      </c>
      <c r="O9144" t="s">
        <v>575</v>
      </c>
      <c r="Q9144" t="s">
        <v>8017</v>
      </c>
      <c r="R9144" t="s">
        <v>8018</v>
      </c>
      <c r="S9144" t="s">
        <v>8019</v>
      </c>
      <c r="T9144" t="s">
        <v>8020</v>
      </c>
    </row>
    <row r="9145" spans="1:20" x14ac:dyDescent="0.25">
      <c r="A9145" t="s">
        <v>59</v>
      </c>
      <c r="B9145" t="s">
        <v>60</v>
      </c>
      <c r="C9145" t="s">
        <v>32</v>
      </c>
      <c r="D9145" t="s">
        <v>953</v>
      </c>
      <c r="E9145" t="s">
        <v>954</v>
      </c>
      <c r="F9145" t="s">
        <v>35</v>
      </c>
      <c r="G9145" t="s">
        <v>35</v>
      </c>
      <c r="H9145" t="s">
        <v>35</v>
      </c>
      <c r="J9145" t="s">
        <v>6715</v>
      </c>
      <c r="K9145" t="s">
        <v>1092</v>
      </c>
      <c r="M9145">
        <v>0.65</v>
      </c>
      <c r="N9145">
        <v>81</v>
      </c>
      <c r="O9145" t="s">
        <v>61</v>
      </c>
      <c r="Q9145" t="s">
        <v>858</v>
      </c>
      <c r="R9145" t="s">
        <v>6716</v>
      </c>
      <c r="S9145" t="s">
        <v>6717</v>
      </c>
      <c r="T9145" t="s">
        <v>6718</v>
      </c>
    </row>
    <row r="9146" spans="1:20" x14ac:dyDescent="0.25">
      <c r="A9146" t="s">
        <v>30</v>
      </c>
      <c r="B9146" t="s">
        <v>31</v>
      </c>
      <c r="C9146" t="s">
        <v>32</v>
      </c>
      <c r="D9146" t="s">
        <v>953</v>
      </c>
      <c r="E9146" t="s">
        <v>954</v>
      </c>
      <c r="F9146" t="s">
        <v>35</v>
      </c>
      <c r="G9146" t="s">
        <v>35</v>
      </c>
      <c r="H9146" t="s">
        <v>35</v>
      </c>
      <c r="J9146" t="s">
        <v>6857</v>
      </c>
      <c r="K9146" t="s">
        <v>1092</v>
      </c>
      <c r="M9146">
        <v>6.39</v>
      </c>
      <c r="N9146">
        <v>15</v>
      </c>
      <c r="O9146" t="s">
        <v>46</v>
      </c>
      <c r="Q9146" t="s">
        <v>979</v>
      </c>
      <c r="R9146" t="s">
        <v>6716</v>
      </c>
      <c r="S9146" t="s">
        <v>6717</v>
      </c>
      <c r="T9146" t="s">
        <v>6718</v>
      </c>
    </row>
    <row r="9147" spans="1:20" x14ac:dyDescent="0.25">
      <c r="A9147" t="s">
        <v>30</v>
      </c>
      <c r="B9147" t="s">
        <v>31</v>
      </c>
      <c r="C9147" t="s">
        <v>32</v>
      </c>
      <c r="D9147" t="s">
        <v>953</v>
      </c>
      <c r="E9147" t="s">
        <v>1077</v>
      </c>
      <c r="F9147" t="s">
        <v>35</v>
      </c>
      <c r="G9147" t="s">
        <v>35</v>
      </c>
      <c r="H9147" t="s">
        <v>35</v>
      </c>
      <c r="J9147" t="s">
        <v>7736</v>
      </c>
      <c r="K9147" t="s">
        <v>1092</v>
      </c>
      <c r="M9147">
        <v>0.9</v>
      </c>
      <c r="N9147">
        <v>15</v>
      </c>
      <c r="O9147" t="s">
        <v>46</v>
      </c>
      <c r="Q9147" t="s">
        <v>979</v>
      </c>
      <c r="R9147" t="s">
        <v>6716</v>
      </c>
      <c r="S9147" t="s">
        <v>6717</v>
      </c>
      <c r="T9147" t="s">
        <v>6718</v>
      </c>
    </row>
    <row r="9148" spans="1:20" x14ac:dyDescent="0.25">
      <c r="A9148" t="s">
        <v>44</v>
      </c>
      <c r="B9148" t="s">
        <v>3</v>
      </c>
      <c r="C9148" t="s">
        <v>32</v>
      </c>
      <c r="D9148" t="s">
        <v>953</v>
      </c>
      <c r="E9148" t="s">
        <v>1077</v>
      </c>
      <c r="F9148" t="s">
        <v>35</v>
      </c>
      <c r="G9148" t="s">
        <v>35</v>
      </c>
      <c r="H9148" t="s">
        <v>35</v>
      </c>
      <c r="J9148" t="s">
        <v>7736</v>
      </c>
      <c r="K9148" t="s">
        <v>1092</v>
      </c>
      <c r="M9148">
        <v>0.5</v>
      </c>
      <c r="N9148">
        <v>15</v>
      </c>
      <c r="O9148" t="s">
        <v>46</v>
      </c>
      <c r="Q9148" t="s">
        <v>979</v>
      </c>
      <c r="R9148" t="s">
        <v>6716</v>
      </c>
      <c r="S9148" t="s">
        <v>6717</v>
      </c>
      <c r="T9148" t="s">
        <v>6718</v>
      </c>
    </row>
    <row r="9149" spans="1:20" x14ac:dyDescent="0.25">
      <c r="A9149" t="s">
        <v>59</v>
      </c>
      <c r="B9149" t="s">
        <v>60</v>
      </c>
      <c r="C9149" t="s">
        <v>32</v>
      </c>
      <c r="D9149" t="s">
        <v>953</v>
      </c>
      <c r="E9149" t="s">
        <v>1077</v>
      </c>
      <c r="F9149" t="s">
        <v>35</v>
      </c>
      <c r="G9149" t="s">
        <v>35</v>
      </c>
      <c r="H9149" t="s">
        <v>35</v>
      </c>
      <c r="J9149" t="s">
        <v>7736</v>
      </c>
      <c r="K9149" t="s">
        <v>1092</v>
      </c>
      <c r="M9149">
        <v>0.08</v>
      </c>
      <c r="N9149">
        <v>24</v>
      </c>
      <c r="O9149" t="s">
        <v>46</v>
      </c>
      <c r="Q9149" t="s">
        <v>972</v>
      </c>
      <c r="R9149" t="s">
        <v>6716</v>
      </c>
      <c r="S9149" t="s">
        <v>6717</v>
      </c>
      <c r="T9149" t="s">
        <v>6718</v>
      </c>
    </row>
    <row r="9150" spans="1:20" x14ac:dyDescent="0.25">
      <c r="A9150" t="s">
        <v>44</v>
      </c>
      <c r="B9150" t="s">
        <v>51</v>
      </c>
      <c r="C9150" t="s">
        <v>32</v>
      </c>
      <c r="D9150" t="s">
        <v>953</v>
      </c>
      <c r="E9150" t="s">
        <v>1077</v>
      </c>
      <c r="F9150" t="s">
        <v>35</v>
      </c>
      <c r="G9150" t="s">
        <v>35</v>
      </c>
      <c r="H9150" t="s">
        <v>35</v>
      </c>
      <c r="J9150" t="s">
        <v>7736</v>
      </c>
      <c r="K9150" t="s">
        <v>1092</v>
      </c>
      <c r="M9150">
        <v>0.5</v>
      </c>
      <c r="N9150">
        <v>15</v>
      </c>
      <c r="O9150" t="s">
        <v>46</v>
      </c>
      <c r="Q9150" t="s">
        <v>979</v>
      </c>
      <c r="R9150" t="s">
        <v>6716</v>
      </c>
      <c r="S9150" t="s">
        <v>6717</v>
      </c>
      <c r="T9150" t="s">
        <v>6718</v>
      </c>
    </row>
    <row r="9151" spans="1:20" x14ac:dyDescent="0.25">
      <c r="A9151" t="s">
        <v>44</v>
      </c>
      <c r="B9151" t="s">
        <v>3</v>
      </c>
      <c r="C9151" t="s">
        <v>32</v>
      </c>
      <c r="D9151" t="s">
        <v>953</v>
      </c>
      <c r="E9151" t="s">
        <v>1077</v>
      </c>
      <c r="F9151" t="s">
        <v>35</v>
      </c>
      <c r="G9151" t="s">
        <v>35</v>
      </c>
      <c r="H9151" t="s">
        <v>35</v>
      </c>
      <c r="J9151" t="s">
        <v>7736</v>
      </c>
      <c r="K9151" t="s">
        <v>1092</v>
      </c>
      <c r="M9151">
        <v>0.8</v>
      </c>
      <c r="N9151">
        <v>24</v>
      </c>
      <c r="O9151" t="s">
        <v>46</v>
      </c>
      <c r="Q9151" t="s">
        <v>972</v>
      </c>
      <c r="R9151" t="s">
        <v>6716</v>
      </c>
      <c r="S9151" t="s">
        <v>6717</v>
      </c>
      <c r="T9151" t="s">
        <v>6718</v>
      </c>
    </row>
    <row r="9152" spans="1:20" x14ac:dyDescent="0.25">
      <c r="A9152" t="s">
        <v>59</v>
      </c>
      <c r="B9152" t="s">
        <v>60</v>
      </c>
      <c r="C9152" t="s">
        <v>32</v>
      </c>
      <c r="D9152" t="s">
        <v>953</v>
      </c>
      <c r="E9152" t="s">
        <v>1077</v>
      </c>
      <c r="F9152" t="s">
        <v>35</v>
      </c>
      <c r="G9152" t="s">
        <v>35</v>
      </c>
      <c r="H9152" t="s">
        <v>35</v>
      </c>
      <c r="J9152" t="s">
        <v>1392</v>
      </c>
      <c r="K9152" t="s">
        <v>1092</v>
      </c>
      <c r="M9152">
        <v>1.4</v>
      </c>
      <c r="N9152">
        <v>81</v>
      </c>
      <c r="O9152" t="s">
        <v>61</v>
      </c>
      <c r="Q9152" t="s">
        <v>858</v>
      </c>
      <c r="R9152" t="s">
        <v>6716</v>
      </c>
      <c r="S9152" t="s">
        <v>6717</v>
      </c>
      <c r="T9152" t="s">
        <v>6718</v>
      </c>
    </row>
    <row r="9153" spans="1:20" x14ac:dyDescent="0.25">
      <c r="A9153" t="s">
        <v>44</v>
      </c>
      <c r="B9153" t="s">
        <v>3</v>
      </c>
      <c r="C9153" t="s">
        <v>32</v>
      </c>
      <c r="D9153" t="s">
        <v>953</v>
      </c>
      <c r="E9153" t="s">
        <v>1077</v>
      </c>
      <c r="F9153" t="s">
        <v>35</v>
      </c>
      <c r="G9153" t="s">
        <v>35</v>
      </c>
      <c r="H9153" t="s">
        <v>35</v>
      </c>
      <c r="J9153" t="s">
        <v>1392</v>
      </c>
      <c r="K9153" t="s">
        <v>1092</v>
      </c>
      <c r="M9153">
        <v>0.23799999999999999</v>
      </c>
      <c r="N9153">
        <v>469</v>
      </c>
      <c r="O9153" t="s">
        <v>294</v>
      </c>
      <c r="Q9153" t="s">
        <v>3520</v>
      </c>
      <c r="R9153" t="s">
        <v>6716</v>
      </c>
      <c r="S9153" t="s">
        <v>6717</v>
      </c>
      <c r="T9153" t="s">
        <v>6718</v>
      </c>
    </row>
    <row r="9154" spans="1:20" x14ac:dyDescent="0.25">
      <c r="A9154" t="s">
        <v>59</v>
      </c>
      <c r="B9154" t="s">
        <v>60</v>
      </c>
      <c r="C9154" t="s">
        <v>32</v>
      </c>
      <c r="D9154" t="s">
        <v>953</v>
      </c>
      <c r="E9154" t="s">
        <v>954</v>
      </c>
      <c r="F9154" t="s">
        <v>35</v>
      </c>
      <c r="G9154" t="s">
        <v>35</v>
      </c>
      <c r="H9154" t="s">
        <v>35</v>
      </c>
      <c r="J9154" t="s">
        <v>6848</v>
      </c>
      <c r="K9154" t="s">
        <v>1092</v>
      </c>
      <c r="M9154">
        <v>1.048</v>
      </c>
      <c r="N9154">
        <v>81</v>
      </c>
      <c r="O9154" t="s">
        <v>61</v>
      </c>
      <c r="Q9154" t="s">
        <v>858</v>
      </c>
      <c r="R9154" t="s">
        <v>6716</v>
      </c>
      <c r="S9154" t="s">
        <v>6717</v>
      </c>
      <c r="T9154" t="s">
        <v>6718</v>
      </c>
    </row>
    <row r="9155" spans="1:20" x14ac:dyDescent="0.25">
      <c r="A9155" t="s">
        <v>59</v>
      </c>
      <c r="B9155" t="s">
        <v>31</v>
      </c>
      <c r="C9155" t="s">
        <v>32</v>
      </c>
      <c r="D9155" t="s">
        <v>953</v>
      </c>
      <c r="E9155" t="s">
        <v>954</v>
      </c>
      <c r="F9155" t="s">
        <v>35</v>
      </c>
      <c r="G9155" t="s">
        <v>35</v>
      </c>
      <c r="H9155" t="s">
        <v>35</v>
      </c>
      <c r="J9155" t="s">
        <v>6848</v>
      </c>
      <c r="K9155" t="s">
        <v>1092</v>
      </c>
      <c r="M9155">
        <v>4.4999999999999998E-2</v>
      </c>
      <c r="N9155">
        <v>161</v>
      </c>
      <c r="O9155" t="s">
        <v>38</v>
      </c>
      <c r="Q9155" t="s">
        <v>2431</v>
      </c>
      <c r="R9155" t="s">
        <v>6716</v>
      </c>
      <c r="S9155" t="s">
        <v>6717</v>
      </c>
      <c r="T9155" t="s">
        <v>6718</v>
      </c>
    </row>
    <row r="9156" spans="1:20" x14ac:dyDescent="0.25">
      <c r="A9156" t="s">
        <v>59</v>
      </c>
      <c r="B9156" t="s">
        <v>60</v>
      </c>
      <c r="C9156" t="s">
        <v>32</v>
      </c>
      <c r="D9156" t="s">
        <v>953</v>
      </c>
      <c r="E9156" t="s">
        <v>954</v>
      </c>
      <c r="F9156" t="s">
        <v>35</v>
      </c>
      <c r="G9156" t="s">
        <v>35</v>
      </c>
      <c r="H9156" t="s">
        <v>35</v>
      </c>
      <c r="J9156" t="s">
        <v>6802</v>
      </c>
      <c r="K9156" t="s">
        <v>1092</v>
      </c>
      <c r="M9156">
        <v>1</v>
      </c>
      <c r="N9156">
        <v>239</v>
      </c>
      <c r="O9156" t="s">
        <v>5</v>
      </c>
      <c r="Q9156" t="s">
        <v>1903</v>
      </c>
      <c r="R9156" t="s">
        <v>6716</v>
      </c>
      <c r="S9156" t="s">
        <v>6717</v>
      </c>
      <c r="T9156" t="s">
        <v>6718</v>
      </c>
    </row>
    <row r="9157" spans="1:20" x14ac:dyDescent="0.25">
      <c r="A9157" t="s">
        <v>59</v>
      </c>
      <c r="B9157" t="s">
        <v>31</v>
      </c>
      <c r="C9157" t="s">
        <v>32</v>
      </c>
      <c r="D9157" t="s">
        <v>953</v>
      </c>
      <c r="E9157" t="s">
        <v>1077</v>
      </c>
      <c r="F9157" t="s">
        <v>35</v>
      </c>
      <c r="G9157" t="s">
        <v>35</v>
      </c>
      <c r="H9157" t="s">
        <v>35</v>
      </c>
      <c r="J9157" t="s">
        <v>7669</v>
      </c>
      <c r="K9157" t="s">
        <v>1092</v>
      </c>
      <c r="M9157">
        <v>4.9950000000000001</v>
      </c>
      <c r="N9157">
        <v>49</v>
      </c>
      <c r="O9157" t="s">
        <v>52</v>
      </c>
      <c r="Q9157" t="s">
        <v>453</v>
      </c>
      <c r="R9157" t="s">
        <v>6716</v>
      </c>
      <c r="S9157" t="s">
        <v>6717</v>
      </c>
      <c r="T9157" t="s">
        <v>6718</v>
      </c>
    </row>
    <row r="9158" spans="1:20" x14ac:dyDescent="0.25">
      <c r="A9158" t="s">
        <v>44</v>
      </c>
      <c r="B9158" t="s">
        <v>3</v>
      </c>
      <c r="C9158" t="s">
        <v>32</v>
      </c>
      <c r="D9158" t="s">
        <v>953</v>
      </c>
      <c r="E9158" t="s">
        <v>1077</v>
      </c>
      <c r="F9158" t="s">
        <v>35</v>
      </c>
      <c r="G9158" t="s">
        <v>35</v>
      </c>
      <c r="H9158" t="s">
        <v>35</v>
      </c>
      <c r="J9158" t="s">
        <v>7669</v>
      </c>
      <c r="K9158" t="s">
        <v>1092</v>
      </c>
      <c r="M9158">
        <v>0.5</v>
      </c>
      <c r="N9158">
        <v>49</v>
      </c>
      <c r="O9158" t="s">
        <v>52</v>
      </c>
      <c r="Q9158" t="s">
        <v>453</v>
      </c>
      <c r="R9158" t="s">
        <v>6716</v>
      </c>
      <c r="S9158" t="s">
        <v>6717</v>
      </c>
      <c r="T9158" t="s">
        <v>6718</v>
      </c>
    </row>
    <row r="9159" spans="1:20" x14ac:dyDescent="0.25">
      <c r="A9159" t="s">
        <v>44</v>
      </c>
      <c r="B9159" t="s">
        <v>51</v>
      </c>
      <c r="C9159" t="s">
        <v>32</v>
      </c>
      <c r="D9159" t="s">
        <v>953</v>
      </c>
      <c r="E9159" t="s">
        <v>1077</v>
      </c>
      <c r="F9159" t="s">
        <v>35</v>
      </c>
      <c r="G9159" t="s">
        <v>35</v>
      </c>
      <c r="H9159" t="s">
        <v>35</v>
      </c>
      <c r="J9159" t="s">
        <v>7669</v>
      </c>
      <c r="K9159" t="s">
        <v>1092</v>
      </c>
      <c r="M9159">
        <v>0.5</v>
      </c>
      <c r="N9159">
        <v>49</v>
      </c>
      <c r="O9159" t="s">
        <v>52</v>
      </c>
      <c r="Q9159" t="s">
        <v>453</v>
      </c>
      <c r="R9159" t="s">
        <v>6716</v>
      </c>
      <c r="S9159" t="s">
        <v>6717</v>
      </c>
      <c r="T9159" t="s">
        <v>6718</v>
      </c>
    </row>
    <row r="9160" spans="1:20" x14ac:dyDescent="0.25">
      <c r="A9160" t="s">
        <v>59</v>
      </c>
      <c r="B9160" t="s">
        <v>60</v>
      </c>
      <c r="C9160" t="s">
        <v>32</v>
      </c>
      <c r="D9160" t="s">
        <v>953</v>
      </c>
      <c r="E9160" t="s">
        <v>1077</v>
      </c>
      <c r="F9160" t="s">
        <v>35</v>
      </c>
      <c r="G9160" t="s">
        <v>35</v>
      </c>
      <c r="H9160" t="s">
        <v>35</v>
      </c>
      <c r="J9160" t="s">
        <v>7669</v>
      </c>
      <c r="K9160" t="s">
        <v>1092</v>
      </c>
      <c r="M9160">
        <v>1</v>
      </c>
      <c r="N9160">
        <v>49</v>
      </c>
      <c r="O9160" t="s">
        <v>52</v>
      </c>
      <c r="Q9160" t="s">
        <v>453</v>
      </c>
      <c r="R9160" t="s">
        <v>6716</v>
      </c>
      <c r="S9160" t="s">
        <v>6717</v>
      </c>
      <c r="T9160" t="s">
        <v>6718</v>
      </c>
    </row>
    <row r="9161" spans="1:20" x14ac:dyDescent="0.25">
      <c r="A9161" t="s">
        <v>30</v>
      </c>
      <c r="B9161" t="s">
        <v>31</v>
      </c>
      <c r="C9161" t="s">
        <v>32</v>
      </c>
      <c r="D9161" t="s">
        <v>953</v>
      </c>
      <c r="E9161" t="s">
        <v>7558</v>
      </c>
      <c r="F9161" t="s">
        <v>35</v>
      </c>
      <c r="G9161" t="s">
        <v>35</v>
      </c>
      <c r="H9161" t="s">
        <v>35</v>
      </c>
      <c r="J9161" t="s">
        <v>7601</v>
      </c>
      <c r="K9161" t="s">
        <v>1092</v>
      </c>
      <c r="M9161">
        <v>9.9450000000000003</v>
      </c>
      <c r="N9161">
        <v>195</v>
      </c>
      <c r="O9161" t="s">
        <v>5</v>
      </c>
      <c r="Q9161" t="s">
        <v>1299</v>
      </c>
      <c r="R9161" t="s">
        <v>6716</v>
      </c>
      <c r="S9161" t="s">
        <v>6717</v>
      </c>
      <c r="T9161" t="s">
        <v>6718</v>
      </c>
    </row>
    <row r="9162" spans="1:20" x14ac:dyDescent="0.25">
      <c r="A9162" t="s">
        <v>44</v>
      </c>
      <c r="B9162" t="s">
        <v>51</v>
      </c>
      <c r="C9162" t="s">
        <v>32</v>
      </c>
      <c r="D9162" t="s">
        <v>953</v>
      </c>
      <c r="E9162" t="s">
        <v>7558</v>
      </c>
      <c r="F9162" t="s">
        <v>35</v>
      </c>
      <c r="G9162" t="s">
        <v>35</v>
      </c>
      <c r="H9162" t="s">
        <v>35</v>
      </c>
      <c r="J9162" t="s">
        <v>7601</v>
      </c>
      <c r="K9162" t="s">
        <v>1092</v>
      </c>
      <c r="M9162">
        <v>0.4</v>
      </c>
      <c r="N9162">
        <v>326</v>
      </c>
      <c r="O9162" t="s">
        <v>5</v>
      </c>
      <c r="Q9162" t="s">
        <v>1600</v>
      </c>
      <c r="R9162" t="s">
        <v>6716</v>
      </c>
      <c r="S9162" t="s">
        <v>6717</v>
      </c>
      <c r="T9162" t="s">
        <v>6718</v>
      </c>
    </row>
    <row r="9163" spans="1:20" x14ac:dyDescent="0.25">
      <c r="A9163" t="s">
        <v>30</v>
      </c>
      <c r="B9163" t="s">
        <v>31</v>
      </c>
      <c r="C9163" t="s">
        <v>32</v>
      </c>
      <c r="D9163" t="s">
        <v>953</v>
      </c>
      <c r="E9163" t="s">
        <v>7558</v>
      </c>
      <c r="F9163" t="s">
        <v>35</v>
      </c>
      <c r="G9163" t="s">
        <v>35</v>
      </c>
      <c r="H9163" t="s">
        <v>35</v>
      </c>
      <c r="J9163" t="s">
        <v>7601</v>
      </c>
      <c r="K9163" t="s">
        <v>1092</v>
      </c>
      <c r="M9163">
        <v>3.1949999999999998</v>
      </c>
      <c r="N9163">
        <v>174</v>
      </c>
      <c r="O9163" t="s">
        <v>38</v>
      </c>
      <c r="Q9163" t="s">
        <v>1684</v>
      </c>
      <c r="R9163" t="s">
        <v>6716</v>
      </c>
      <c r="S9163" t="s">
        <v>6717</v>
      </c>
      <c r="T9163" t="s">
        <v>6718</v>
      </c>
    </row>
    <row r="9164" spans="1:20" x14ac:dyDescent="0.25">
      <c r="A9164" t="s">
        <v>59</v>
      </c>
      <c r="B9164" t="s">
        <v>31</v>
      </c>
      <c r="C9164" t="s">
        <v>32</v>
      </c>
      <c r="D9164" t="s">
        <v>953</v>
      </c>
      <c r="E9164" t="s">
        <v>954</v>
      </c>
      <c r="F9164" t="s">
        <v>35</v>
      </c>
      <c r="G9164" t="s">
        <v>35</v>
      </c>
      <c r="H9164" t="s">
        <v>35</v>
      </c>
      <c r="J9164" t="s">
        <v>6870</v>
      </c>
      <c r="K9164" t="s">
        <v>1092</v>
      </c>
      <c r="M9164">
        <v>1.17</v>
      </c>
      <c r="N9164">
        <v>215</v>
      </c>
      <c r="O9164" t="s">
        <v>5</v>
      </c>
      <c r="Q9164" t="s">
        <v>1746</v>
      </c>
      <c r="R9164" t="s">
        <v>6716</v>
      </c>
      <c r="S9164" t="s">
        <v>6717</v>
      </c>
      <c r="T9164" t="s">
        <v>6718</v>
      </c>
    </row>
    <row r="9165" spans="1:20" x14ac:dyDescent="0.25">
      <c r="A9165" t="s">
        <v>59</v>
      </c>
      <c r="B9165" t="s">
        <v>60</v>
      </c>
      <c r="C9165" t="s">
        <v>32</v>
      </c>
      <c r="D9165" t="s">
        <v>953</v>
      </c>
      <c r="E9165" t="s">
        <v>954</v>
      </c>
      <c r="F9165" t="s">
        <v>35</v>
      </c>
      <c r="G9165" t="s">
        <v>35</v>
      </c>
      <c r="H9165" t="s">
        <v>35</v>
      </c>
      <c r="J9165" t="s">
        <v>6870</v>
      </c>
      <c r="K9165" t="s">
        <v>1092</v>
      </c>
      <c r="M9165">
        <v>0.8</v>
      </c>
      <c r="N9165">
        <v>215</v>
      </c>
      <c r="O9165" t="s">
        <v>5</v>
      </c>
      <c r="Q9165" t="s">
        <v>1746</v>
      </c>
      <c r="R9165" t="s">
        <v>6716</v>
      </c>
      <c r="S9165" t="s">
        <v>6717</v>
      </c>
      <c r="T9165" t="s">
        <v>6718</v>
      </c>
    </row>
    <row r="9166" spans="1:20" x14ac:dyDescent="0.25">
      <c r="A9166" t="s">
        <v>44</v>
      </c>
      <c r="B9166" t="s">
        <v>3</v>
      </c>
      <c r="C9166" t="s">
        <v>32</v>
      </c>
      <c r="D9166" t="s">
        <v>953</v>
      </c>
      <c r="E9166" t="s">
        <v>954</v>
      </c>
      <c r="F9166" t="s">
        <v>35</v>
      </c>
      <c r="G9166" t="s">
        <v>35</v>
      </c>
      <c r="H9166" t="s">
        <v>35</v>
      </c>
      <c r="J9166" t="s">
        <v>6819</v>
      </c>
      <c r="K9166" t="s">
        <v>1092</v>
      </c>
      <c r="M9166">
        <v>1.5</v>
      </c>
      <c r="N9166">
        <v>53</v>
      </c>
      <c r="O9166" t="s">
        <v>52</v>
      </c>
      <c r="Q9166" t="s">
        <v>1734</v>
      </c>
      <c r="R9166" t="s">
        <v>6716</v>
      </c>
      <c r="S9166" t="s">
        <v>6717</v>
      </c>
      <c r="T9166" t="s">
        <v>6718</v>
      </c>
    </row>
    <row r="9167" spans="1:20" x14ac:dyDescent="0.25">
      <c r="A9167" t="s">
        <v>59</v>
      </c>
      <c r="B9167" t="s">
        <v>31</v>
      </c>
      <c r="C9167" t="s">
        <v>32</v>
      </c>
      <c r="D9167" t="s">
        <v>953</v>
      </c>
      <c r="E9167" t="s">
        <v>954</v>
      </c>
      <c r="F9167" t="s">
        <v>35</v>
      </c>
      <c r="G9167" t="s">
        <v>35</v>
      </c>
      <c r="H9167" t="s">
        <v>35</v>
      </c>
      <c r="J9167" t="s">
        <v>6819</v>
      </c>
      <c r="K9167" t="s">
        <v>1092</v>
      </c>
      <c r="M9167">
        <v>1.89</v>
      </c>
      <c r="N9167">
        <v>53</v>
      </c>
      <c r="O9167" t="s">
        <v>52</v>
      </c>
      <c r="Q9167" t="s">
        <v>1734</v>
      </c>
      <c r="R9167" t="s">
        <v>6716</v>
      </c>
      <c r="S9167" t="s">
        <v>6717</v>
      </c>
      <c r="T9167" t="s">
        <v>6718</v>
      </c>
    </row>
    <row r="9168" spans="1:20" x14ac:dyDescent="0.25">
      <c r="A9168" t="s">
        <v>44</v>
      </c>
      <c r="B9168" t="s">
        <v>51</v>
      </c>
      <c r="C9168" t="s">
        <v>32</v>
      </c>
      <c r="D9168" t="s">
        <v>953</v>
      </c>
      <c r="E9168" t="s">
        <v>954</v>
      </c>
      <c r="F9168" t="s">
        <v>35</v>
      </c>
      <c r="G9168" t="s">
        <v>35</v>
      </c>
      <c r="H9168" t="s">
        <v>35</v>
      </c>
      <c r="J9168" t="s">
        <v>6819</v>
      </c>
      <c r="K9168" t="s">
        <v>1092</v>
      </c>
      <c r="M9168">
        <v>1.25</v>
      </c>
      <c r="N9168">
        <v>49</v>
      </c>
      <c r="O9168" t="s">
        <v>52</v>
      </c>
      <c r="Q9168" t="s">
        <v>453</v>
      </c>
      <c r="R9168" t="s">
        <v>6716</v>
      </c>
      <c r="S9168" t="s">
        <v>6717</v>
      </c>
      <c r="T9168" t="s">
        <v>6718</v>
      </c>
    </row>
    <row r="9169" spans="1:20" x14ac:dyDescent="0.25">
      <c r="A9169" t="s">
        <v>59</v>
      </c>
      <c r="B9169" t="s">
        <v>60</v>
      </c>
      <c r="C9169" t="s">
        <v>32</v>
      </c>
      <c r="D9169" t="s">
        <v>953</v>
      </c>
      <c r="E9169" t="s">
        <v>954</v>
      </c>
      <c r="F9169" t="s">
        <v>35</v>
      </c>
      <c r="G9169" t="s">
        <v>35</v>
      </c>
      <c r="H9169" t="s">
        <v>35</v>
      </c>
      <c r="J9169" t="s">
        <v>6819</v>
      </c>
      <c r="K9169" t="s">
        <v>1092</v>
      </c>
      <c r="M9169">
        <v>5.6950000000000003</v>
      </c>
      <c r="N9169">
        <v>53</v>
      </c>
      <c r="O9169" t="s">
        <v>52</v>
      </c>
      <c r="Q9169" t="s">
        <v>1734</v>
      </c>
      <c r="R9169" t="s">
        <v>6716</v>
      </c>
      <c r="S9169" t="s">
        <v>6717</v>
      </c>
      <c r="T9169" t="s">
        <v>6718</v>
      </c>
    </row>
    <row r="9170" spans="1:20" x14ac:dyDescent="0.25">
      <c r="A9170" t="s">
        <v>59</v>
      </c>
      <c r="B9170" t="s">
        <v>31</v>
      </c>
      <c r="C9170" t="s">
        <v>32</v>
      </c>
      <c r="D9170" t="s">
        <v>953</v>
      </c>
      <c r="E9170" t="s">
        <v>954</v>
      </c>
      <c r="F9170" t="s">
        <v>35</v>
      </c>
      <c r="G9170" t="s">
        <v>35</v>
      </c>
      <c r="H9170" t="s">
        <v>35</v>
      </c>
      <c r="J9170" t="s">
        <v>6819</v>
      </c>
      <c r="K9170" t="s">
        <v>1092</v>
      </c>
      <c r="M9170">
        <v>0.81</v>
      </c>
      <c r="N9170">
        <v>81</v>
      </c>
      <c r="O9170" t="s">
        <v>61</v>
      </c>
      <c r="Q9170" t="s">
        <v>858</v>
      </c>
      <c r="R9170" t="s">
        <v>6716</v>
      </c>
      <c r="S9170" t="s">
        <v>6717</v>
      </c>
      <c r="T9170" t="s">
        <v>6718</v>
      </c>
    </row>
    <row r="9171" spans="1:20" x14ac:dyDescent="0.25">
      <c r="A9171" t="s">
        <v>59</v>
      </c>
      <c r="B9171" t="s">
        <v>60</v>
      </c>
      <c r="C9171" t="s">
        <v>32</v>
      </c>
      <c r="D9171" t="s">
        <v>953</v>
      </c>
      <c r="E9171" t="s">
        <v>954</v>
      </c>
      <c r="F9171" t="s">
        <v>35</v>
      </c>
      <c r="G9171" t="s">
        <v>35</v>
      </c>
      <c r="H9171" t="s">
        <v>35</v>
      </c>
      <c r="J9171" t="s">
        <v>6793</v>
      </c>
      <c r="K9171" t="s">
        <v>1092</v>
      </c>
      <c r="M9171">
        <v>0.35</v>
      </c>
      <c r="N9171">
        <v>161</v>
      </c>
      <c r="O9171" t="s">
        <v>38</v>
      </c>
      <c r="Q9171" t="s">
        <v>2431</v>
      </c>
      <c r="R9171" t="s">
        <v>6716</v>
      </c>
      <c r="S9171" t="s">
        <v>6717</v>
      </c>
      <c r="T9171" t="s">
        <v>6718</v>
      </c>
    </row>
    <row r="9172" spans="1:20" x14ac:dyDescent="0.25">
      <c r="A9172" t="s">
        <v>59</v>
      </c>
      <c r="B9172" t="s">
        <v>60</v>
      </c>
      <c r="C9172" t="s">
        <v>32</v>
      </c>
      <c r="D9172" t="s">
        <v>953</v>
      </c>
      <c r="E9172" t="s">
        <v>1077</v>
      </c>
      <c r="F9172" t="s">
        <v>35</v>
      </c>
      <c r="G9172" t="s">
        <v>35</v>
      </c>
      <c r="H9172" t="s">
        <v>35</v>
      </c>
      <c r="J9172" t="s">
        <v>7656</v>
      </c>
      <c r="K9172" t="s">
        <v>1092</v>
      </c>
      <c r="M9172">
        <v>1</v>
      </c>
      <c r="N9172">
        <v>216</v>
      </c>
      <c r="O9172" t="s">
        <v>5</v>
      </c>
      <c r="Q9172" t="s">
        <v>3310</v>
      </c>
      <c r="R9172" t="s">
        <v>6716</v>
      </c>
      <c r="S9172" t="s">
        <v>6717</v>
      </c>
      <c r="T9172" t="s">
        <v>6718</v>
      </c>
    </row>
    <row r="9173" spans="1:20" x14ac:dyDescent="0.25">
      <c r="A9173" t="s">
        <v>59</v>
      </c>
      <c r="B9173" t="s">
        <v>60</v>
      </c>
      <c r="C9173" t="s">
        <v>32</v>
      </c>
      <c r="D9173" t="s">
        <v>953</v>
      </c>
      <c r="E9173" t="s">
        <v>1077</v>
      </c>
      <c r="F9173" t="s">
        <v>35</v>
      </c>
      <c r="G9173" t="s">
        <v>35</v>
      </c>
      <c r="H9173" t="s">
        <v>35</v>
      </c>
      <c r="J9173" t="s">
        <v>7656</v>
      </c>
      <c r="K9173" t="s">
        <v>1092</v>
      </c>
      <c r="M9173">
        <v>1.5</v>
      </c>
      <c r="N9173">
        <v>81</v>
      </c>
      <c r="O9173" t="s">
        <v>61</v>
      </c>
      <c r="Q9173" t="s">
        <v>858</v>
      </c>
      <c r="R9173" t="s">
        <v>6716</v>
      </c>
      <c r="S9173" t="s">
        <v>6717</v>
      </c>
      <c r="T9173" t="s">
        <v>6718</v>
      </c>
    </row>
    <row r="9174" spans="1:20" x14ac:dyDescent="0.25">
      <c r="A9174" t="s">
        <v>30</v>
      </c>
      <c r="B9174" t="s">
        <v>31</v>
      </c>
      <c r="C9174" t="s">
        <v>32</v>
      </c>
      <c r="D9174" t="s">
        <v>953</v>
      </c>
      <c r="E9174" t="s">
        <v>954</v>
      </c>
      <c r="F9174" t="s">
        <v>35</v>
      </c>
      <c r="G9174" t="s">
        <v>35</v>
      </c>
      <c r="H9174" t="s">
        <v>35</v>
      </c>
      <c r="J9174" t="s">
        <v>6863</v>
      </c>
      <c r="K9174" t="s">
        <v>1092</v>
      </c>
      <c r="M9174">
        <v>1.8</v>
      </c>
      <c r="N9174">
        <v>20</v>
      </c>
      <c r="O9174" t="s">
        <v>46</v>
      </c>
      <c r="Q9174" t="s">
        <v>1011</v>
      </c>
      <c r="R9174" t="s">
        <v>6716</v>
      </c>
      <c r="S9174" t="s">
        <v>6717</v>
      </c>
      <c r="T9174" t="s">
        <v>6718</v>
      </c>
    </row>
    <row r="9175" spans="1:20" x14ac:dyDescent="0.25">
      <c r="A9175" t="s">
        <v>30</v>
      </c>
      <c r="B9175" t="s">
        <v>31</v>
      </c>
      <c r="C9175" t="s">
        <v>32</v>
      </c>
      <c r="D9175" t="s">
        <v>953</v>
      </c>
      <c r="F9175" t="s">
        <v>35</v>
      </c>
      <c r="G9175" t="s">
        <v>35</v>
      </c>
      <c r="H9175" t="s">
        <v>35</v>
      </c>
      <c r="J9175" t="s">
        <v>7910</v>
      </c>
      <c r="K9175" t="s">
        <v>1092</v>
      </c>
      <c r="M9175">
        <v>4.9950000000000001</v>
      </c>
      <c r="N9175">
        <v>24</v>
      </c>
      <c r="O9175" t="s">
        <v>46</v>
      </c>
      <c r="Q9175" t="s">
        <v>972</v>
      </c>
      <c r="R9175" t="s">
        <v>6716</v>
      </c>
      <c r="S9175" t="s">
        <v>6717</v>
      </c>
      <c r="T9175" t="s">
        <v>6718</v>
      </c>
    </row>
    <row r="9176" spans="1:20" x14ac:dyDescent="0.25">
      <c r="A9176" t="s">
        <v>59</v>
      </c>
      <c r="B9176" t="s">
        <v>60</v>
      </c>
      <c r="C9176" t="s">
        <v>32</v>
      </c>
      <c r="D9176" t="s">
        <v>953</v>
      </c>
      <c r="F9176" t="s">
        <v>35</v>
      </c>
      <c r="G9176" t="s">
        <v>35</v>
      </c>
      <c r="H9176" t="s">
        <v>35</v>
      </c>
      <c r="J9176" t="s">
        <v>7910</v>
      </c>
      <c r="K9176" t="s">
        <v>1092</v>
      </c>
      <c r="M9176">
        <v>2</v>
      </c>
      <c r="N9176">
        <v>24</v>
      </c>
      <c r="O9176" t="s">
        <v>46</v>
      </c>
      <c r="Q9176" t="s">
        <v>972</v>
      </c>
      <c r="R9176" t="s">
        <v>6716</v>
      </c>
      <c r="S9176" t="s">
        <v>6717</v>
      </c>
      <c r="T9176" t="s">
        <v>6718</v>
      </c>
    </row>
    <row r="9177" spans="1:20" x14ac:dyDescent="0.25">
      <c r="A9177" t="s">
        <v>44</v>
      </c>
      <c r="B9177" t="s">
        <v>51</v>
      </c>
      <c r="C9177" t="s">
        <v>32</v>
      </c>
      <c r="D9177" t="s">
        <v>953</v>
      </c>
      <c r="F9177" t="s">
        <v>35</v>
      </c>
      <c r="G9177" t="s">
        <v>35</v>
      </c>
      <c r="H9177" t="s">
        <v>35</v>
      </c>
      <c r="J9177" t="s">
        <v>7910</v>
      </c>
      <c r="K9177" t="s">
        <v>1092</v>
      </c>
      <c r="M9177">
        <v>2</v>
      </c>
      <c r="N9177">
        <v>24</v>
      </c>
      <c r="O9177" t="s">
        <v>46</v>
      </c>
      <c r="Q9177" t="s">
        <v>972</v>
      </c>
      <c r="R9177" t="s">
        <v>6716</v>
      </c>
      <c r="S9177" t="s">
        <v>6717</v>
      </c>
      <c r="T9177" t="s">
        <v>6718</v>
      </c>
    </row>
    <row r="9178" spans="1:20" x14ac:dyDescent="0.25">
      <c r="A9178" t="s">
        <v>44</v>
      </c>
      <c r="B9178" t="s">
        <v>3</v>
      </c>
      <c r="C9178" t="s">
        <v>32</v>
      </c>
      <c r="D9178" t="s">
        <v>953</v>
      </c>
      <c r="F9178" t="s">
        <v>35</v>
      </c>
      <c r="G9178" t="s">
        <v>35</v>
      </c>
      <c r="H9178" t="s">
        <v>35</v>
      </c>
      <c r="J9178" t="s">
        <v>7910</v>
      </c>
      <c r="K9178" t="s">
        <v>1092</v>
      </c>
      <c r="M9178">
        <v>2</v>
      </c>
      <c r="N9178">
        <v>24</v>
      </c>
      <c r="O9178" t="s">
        <v>46</v>
      </c>
      <c r="Q9178" t="s">
        <v>972</v>
      </c>
      <c r="R9178" t="s">
        <v>6716</v>
      </c>
      <c r="S9178" t="s">
        <v>6717</v>
      </c>
      <c r="T9178" t="s">
        <v>6718</v>
      </c>
    </row>
    <row r="9179" spans="1:20" x14ac:dyDescent="0.25">
      <c r="A9179" t="s">
        <v>59</v>
      </c>
      <c r="B9179" t="s">
        <v>60</v>
      </c>
      <c r="C9179" t="s">
        <v>32</v>
      </c>
      <c r="D9179" t="s">
        <v>953</v>
      </c>
      <c r="E9179" t="s">
        <v>954</v>
      </c>
      <c r="F9179" t="s">
        <v>35</v>
      </c>
      <c r="G9179" t="s">
        <v>35</v>
      </c>
      <c r="H9179" t="s">
        <v>35</v>
      </c>
      <c r="J9179" t="s">
        <v>6803</v>
      </c>
      <c r="K9179" t="s">
        <v>1092</v>
      </c>
      <c r="M9179">
        <v>0.2</v>
      </c>
      <c r="N9179">
        <v>931</v>
      </c>
      <c r="O9179" t="s">
        <v>575</v>
      </c>
      <c r="Q9179" t="s">
        <v>2580</v>
      </c>
      <c r="R9179" t="s">
        <v>6716</v>
      </c>
      <c r="S9179" t="s">
        <v>6717</v>
      </c>
      <c r="T9179" t="s">
        <v>6718</v>
      </c>
    </row>
    <row r="9180" spans="1:20" x14ac:dyDescent="0.25">
      <c r="A9180" t="s">
        <v>59</v>
      </c>
      <c r="B9180" t="s">
        <v>31</v>
      </c>
      <c r="C9180" t="s">
        <v>32</v>
      </c>
      <c r="D9180" t="s">
        <v>953</v>
      </c>
      <c r="F9180" t="s">
        <v>35</v>
      </c>
      <c r="G9180" t="s">
        <v>35</v>
      </c>
      <c r="H9180" t="s">
        <v>35</v>
      </c>
      <c r="J9180" t="s">
        <v>7940</v>
      </c>
      <c r="K9180" t="s">
        <v>1092</v>
      </c>
      <c r="M9180">
        <v>3.1949999999999998</v>
      </c>
      <c r="N9180">
        <v>1168</v>
      </c>
      <c r="O9180" t="s">
        <v>575</v>
      </c>
      <c r="Q9180" t="s">
        <v>7941</v>
      </c>
      <c r="R9180" t="s">
        <v>6716</v>
      </c>
      <c r="S9180" t="s">
        <v>6717</v>
      </c>
      <c r="T9180" t="s">
        <v>6718</v>
      </c>
    </row>
    <row r="9181" spans="1:20" x14ac:dyDescent="0.25">
      <c r="A9181" t="s">
        <v>59</v>
      </c>
      <c r="B9181" t="s">
        <v>60</v>
      </c>
      <c r="C9181" t="s">
        <v>32</v>
      </c>
      <c r="D9181" t="s">
        <v>953</v>
      </c>
      <c r="F9181" t="s">
        <v>35</v>
      </c>
      <c r="G9181" t="s">
        <v>35</v>
      </c>
      <c r="H9181" t="s">
        <v>35</v>
      </c>
      <c r="J9181" t="s">
        <v>7940</v>
      </c>
      <c r="K9181" t="s">
        <v>1092</v>
      </c>
      <c r="M9181">
        <v>0.1</v>
      </c>
      <c r="N9181">
        <v>1203</v>
      </c>
      <c r="O9181" t="s">
        <v>575</v>
      </c>
      <c r="Q9181" t="s">
        <v>2291</v>
      </c>
      <c r="R9181" t="s">
        <v>6716</v>
      </c>
      <c r="S9181" t="s">
        <v>6717</v>
      </c>
      <c r="T9181" t="s">
        <v>6718</v>
      </c>
    </row>
    <row r="9182" spans="1:20" x14ac:dyDescent="0.25">
      <c r="A9182" t="s">
        <v>44</v>
      </c>
      <c r="B9182" t="s">
        <v>3</v>
      </c>
      <c r="C9182" t="s">
        <v>32</v>
      </c>
      <c r="D9182" t="s">
        <v>953</v>
      </c>
      <c r="E9182" t="s">
        <v>954</v>
      </c>
      <c r="F9182" t="s">
        <v>35</v>
      </c>
      <c r="G9182" t="s">
        <v>35</v>
      </c>
      <c r="H9182" t="s">
        <v>35</v>
      </c>
      <c r="J9182" t="s">
        <v>6772</v>
      </c>
      <c r="K9182" t="s">
        <v>1092</v>
      </c>
      <c r="M9182">
        <v>1</v>
      </c>
      <c r="N9182">
        <v>49</v>
      </c>
      <c r="O9182" t="s">
        <v>52</v>
      </c>
      <c r="Q9182" t="s">
        <v>453</v>
      </c>
      <c r="R9182" t="s">
        <v>6716</v>
      </c>
      <c r="S9182" t="s">
        <v>6717</v>
      </c>
      <c r="T9182" t="s">
        <v>6718</v>
      </c>
    </row>
    <row r="9183" spans="1:20" x14ac:dyDescent="0.25">
      <c r="A9183" t="s">
        <v>59</v>
      </c>
      <c r="B9183" t="s">
        <v>31</v>
      </c>
      <c r="C9183" t="s">
        <v>32</v>
      </c>
      <c r="D9183" t="s">
        <v>953</v>
      </c>
      <c r="E9183" t="s">
        <v>954</v>
      </c>
      <c r="F9183" t="s">
        <v>35</v>
      </c>
      <c r="G9183" t="s">
        <v>35</v>
      </c>
      <c r="H9183" t="s">
        <v>35</v>
      </c>
      <c r="J9183" t="s">
        <v>6772</v>
      </c>
      <c r="K9183" t="s">
        <v>1092</v>
      </c>
      <c r="M9183">
        <v>2.25</v>
      </c>
      <c r="N9183">
        <v>49</v>
      </c>
      <c r="O9183" t="s">
        <v>52</v>
      </c>
      <c r="Q9183" t="s">
        <v>453</v>
      </c>
      <c r="R9183" t="s">
        <v>6716</v>
      </c>
      <c r="S9183" t="s">
        <v>6717</v>
      </c>
      <c r="T9183" t="s">
        <v>6718</v>
      </c>
    </row>
    <row r="9184" spans="1:20" x14ac:dyDescent="0.25">
      <c r="A9184" t="s">
        <v>59</v>
      </c>
      <c r="B9184" t="s">
        <v>60</v>
      </c>
      <c r="C9184" t="s">
        <v>32</v>
      </c>
      <c r="D9184" t="s">
        <v>953</v>
      </c>
      <c r="E9184" t="s">
        <v>954</v>
      </c>
      <c r="F9184" t="s">
        <v>35</v>
      </c>
      <c r="G9184" t="s">
        <v>35</v>
      </c>
      <c r="H9184" t="s">
        <v>35</v>
      </c>
      <c r="J9184" t="s">
        <v>6772</v>
      </c>
      <c r="K9184" t="s">
        <v>1092</v>
      </c>
      <c r="M9184">
        <v>0.5</v>
      </c>
      <c r="N9184">
        <v>49</v>
      </c>
      <c r="O9184" t="s">
        <v>52</v>
      </c>
      <c r="Q9184" t="s">
        <v>453</v>
      </c>
      <c r="R9184" t="s">
        <v>6716</v>
      </c>
      <c r="S9184" t="s">
        <v>6717</v>
      </c>
      <c r="T9184" t="s">
        <v>6718</v>
      </c>
    </row>
    <row r="9185" spans="1:20" x14ac:dyDescent="0.25">
      <c r="A9185" t="s">
        <v>59</v>
      </c>
      <c r="B9185" t="s">
        <v>31</v>
      </c>
      <c r="C9185" t="s">
        <v>32</v>
      </c>
      <c r="D9185" t="s">
        <v>953</v>
      </c>
      <c r="E9185" t="s">
        <v>1077</v>
      </c>
      <c r="F9185" t="s">
        <v>35</v>
      </c>
      <c r="G9185" t="s">
        <v>35</v>
      </c>
      <c r="H9185" t="s">
        <v>35</v>
      </c>
      <c r="J9185" t="s">
        <v>7732</v>
      </c>
      <c r="K9185" t="s">
        <v>1092</v>
      </c>
      <c r="M9185">
        <v>0.40500000000000003</v>
      </c>
      <c r="N9185">
        <v>125</v>
      </c>
      <c r="O9185" t="s">
        <v>38</v>
      </c>
      <c r="Q9185" t="s">
        <v>2901</v>
      </c>
      <c r="R9185" t="s">
        <v>6716</v>
      </c>
      <c r="S9185" t="s">
        <v>6717</v>
      </c>
      <c r="T9185" t="s">
        <v>6718</v>
      </c>
    </row>
    <row r="9186" spans="1:20" x14ac:dyDescent="0.25">
      <c r="A9186" t="s">
        <v>44</v>
      </c>
      <c r="B9186" t="s">
        <v>51</v>
      </c>
      <c r="C9186" t="s">
        <v>32</v>
      </c>
      <c r="D9186" t="s">
        <v>953</v>
      </c>
      <c r="E9186" t="s">
        <v>954</v>
      </c>
      <c r="F9186" t="s">
        <v>35</v>
      </c>
      <c r="G9186" t="s">
        <v>35</v>
      </c>
      <c r="H9186" t="s">
        <v>35</v>
      </c>
      <c r="J9186" t="s">
        <v>6782</v>
      </c>
      <c r="K9186" t="s">
        <v>1092</v>
      </c>
      <c r="M9186">
        <v>0.6</v>
      </c>
      <c r="N9186">
        <v>49</v>
      </c>
      <c r="O9186" t="s">
        <v>52</v>
      </c>
      <c r="Q9186" t="s">
        <v>453</v>
      </c>
      <c r="R9186" t="s">
        <v>6716</v>
      </c>
      <c r="S9186" t="s">
        <v>6717</v>
      </c>
      <c r="T9186" t="s">
        <v>6718</v>
      </c>
    </row>
    <row r="9187" spans="1:20" x14ac:dyDescent="0.25">
      <c r="A9187" t="s">
        <v>44</v>
      </c>
      <c r="B9187" t="s">
        <v>3</v>
      </c>
      <c r="C9187" t="s">
        <v>32</v>
      </c>
      <c r="D9187" t="s">
        <v>953</v>
      </c>
      <c r="E9187" t="s">
        <v>954</v>
      </c>
      <c r="F9187" t="s">
        <v>35</v>
      </c>
      <c r="G9187" t="s">
        <v>35</v>
      </c>
      <c r="H9187" t="s">
        <v>35</v>
      </c>
      <c r="J9187" t="s">
        <v>6782</v>
      </c>
      <c r="K9187" t="s">
        <v>1092</v>
      </c>
      <c r="M9187">
        <v>1</v>
      </c>
      <c r="N9187">
        <v>49</v>
      </c>
      <c r="O9187" t="s">
        <v>52</v>
      </c>
      <c r="Q9187" t="s">
        <v>453</v>
      </c>
      <c r="R9187" t="s">
        <v>6716</v>
      </c>
      <c r="S9187" t="s">
        <v>6717</v>
      </c>
      <c r="T9187" t="s">
        <v>6718</v>
      </c>
    </row>
    <row r="9188" spans="1:20" x14ac:dyDescent="0.25">
      <c r="A9188" t="s">
        <v>59</v>
      </c>
      <c r="B9188" t="s">
        <v>60</v>
      </c>
      <c r="C9188" t="s">
        <v>32</v>
      </c>
      <c r="D9188" t="s">
        <v>953</v>
      </c>
      <c r="E9188" t="s">
        <v>954</v>
      </c>
      <c r="F9188" t="s">
        <v>35</v>
      </c>
      <c r="G9188" t="s">
        <v>35</v>
      </c>
      <c r="H9188" t="s">
        <v>35</v>
      </c>
      <c r="J9188" t="s">
        <v>6782</v>
      </c>
      <c r="K9188" t="s">
        <v>1092</v>
      </c>
      <c r="M9188">
        <v>2.2999999999999998</v>
      </c>
      <c r="N9188">
        <v>49</v>
      </c>
      <c r="O9188" t="s">
        <v>52</v>
      </c>
      <c r="Q9188" t="s">
        <v>453</v>
      </c>
      <c r="R9188" t="s">
        <v>6716</v>
      </c>
      <c r="S9188" t="s">
        <v>6717</v>
      </c>
      <c r="T9188" t="s">
        <v>6718</v>
      </c>
    </row>
    <row r="9189" spans="1:20" x14ac:dyDescent="0.25">
      <c r="A9189" t="s">
        <v>59</v>
      </c>
      <c r="B9189" t="s">
        <v>31</v>
      </c>
      <c r="C9189" t="s">
        <v>32</v>
      </c>
      <c r="D9189" t="s">
        <v>953</v>
      </c>
      <c r="E9189" t="s">
        <v>954</v>
      </c>
      <c r="F9189" t="s">
        <v>35</v>
      </c>
      <c r="G9189" t="s">
        <v>35</v>
      </c>
      <c r="H9189" t="s">
        <v>35</v>
      </c>
      <c r="J9189" t="s">
        <v>6871</v>
      </c>
      <c r="K9189" t="s">
        <v>1092</v>
      </c>
      <c r="M9189">
        <v>0.09</v>
      </c>
      <c r="N9189">
        <v>247</v>
      </c>
      <c r="O9189" t="s">
        <v>5</v>
      </c>
      <c r="Q9189" t="s">
        <v>367</v>
      </c>
      <c r="R9189" t="s">
        <v>6716</v>
      </c>
      <c r="S9189" t="s">
        <v>6717</v>
      </c>
      <c r="T9189" t="s">
        <v>6718</v>
      </c>
    </row>
    <row r="9190" spans="1:20" x14ac:dyDescent="0.25">
      <c r="A9190" t="s">
        <v>59</v>
      </c>
      <c r="B9190" t="s">
        <v>60</v>
      </c>
      <c r="C9190" t="s">
        <v>32</v>
      </c>
      <c r="D9190" t="s">
        <v>953</v>
      </c>
      <c r="E9190" t="s">
        <v>954</v>
      </c>
      <c r="F9190" t="s">
        <v>35</v>
      </c>
      <c r="G9190" t="s">
        <v>35</v>
      </c>
      <c r="H9190" t="s">
        <v>35</v>
      </c>
      <c r="J9190" t="s">
        <v>6871</v>
      </c>
      <c r="K9190" t="s">
        <v>1092</v>
      </c>
      <c r="M9190">
        <v>1</v>
      </c>
      <c r="N9190">
        <v>247</v>
      </c>
      <c r="O9190" t="s">
        <v>5</v>
      </c>
      <c r="Q9190" t="s">
        <v>367</v>
      </c>
      <c r="R9190" t="s">
        <v>6716</v>
      </c>
      <c r="S9190" t="s">
        <v>6717</v>
      </c>
      <c r="T9190" t="s">
        <v>6718</v>
      </c>
    </row>
    <row r="9191" spans="1:20" x14ac:dyDescent="0.25">
      <c r="A9191" t="s">
        <v>59</v>
      </c>
      <c r="B9191" t="s">
        <v>31</v>
      </c>
      <c r="C9191" t="s">
        <v>32</v>
      </c>
      <c r="D9191" t="s">
        <v>953</v>
      </c>
      <c r="E9191" t="s">
        <v>954</v>
      </c>
      <c r="F9191" t="s">
        <v>35</v>
      </c>
      <c r="G9191" t="s">
        <v>35</v>
      </c>
      <c r="H9191" t="s">
        <v>35</v>
      </c>
      <c r="J9191" t="s">
        <v>6856</v>
      </c>
      <c r="K9191" t="s">
        <v>1092</v>
      </c>
      <c r="M9191">
        <v>4.5</v>
      </c>
      <c r="N9191">
        <v>61</v>
      </c>
      <c r="O9191" t="s">
        <v>61</v>
      </c>
      <c r="Q9191" t="s">
        <v>146</v>
      </c>
      <c r="R9191" t="s">
        <v>6716</v>
      </c>
      <c r="S9191" t="s">
        <v>6717</v>
      </c>
      <c r="T9191" t="s">
        <v>6718</v>
      </c>
    </row>
    <row r="9192" spans="1:20" x14ac:dyDescent="0.25">
      <c r="A9192" t="s">
        <v>59</v>
      </c>
      <c r="B9192" t="s">
        <v>60</v>
      </c>
      <c r="C9192" t="s">
        <v>32</v>
      </c>
      <c r="D9192" t="s">
        <v>953</v>
      </c>
      <c r="E9192" t="s">
        <v>1077</v>
      </c>
      <c r="F9192" t="s">
        <v>35</v>
      </c>
      <c r="G9192" t="s">
        <v>35</v>
      </c>
      <c r="H9192" t="s">
        <v>35</v>
      </c>
      <c r="J9192" t="s">
        <v>7738</v>
      </c>
      <c r="K9192" t="s">
        <v>1092</v>
      </c>
      <c r="M9192">
        <v>0.2</v>
      </c>
      <c r="N9192">
        <v>260</v>
      </c>
      <c r="O9192" t="s">
        <v>5</v>
      </c>
      <c r="Q9192" t="s">
        <v>2559</v>
      </c>
      <c r="R9192" t="s">
        <v>6716</v>
      </c>
      <c r="S9192" t="s">
        <v>6717</v>
      </c>
      <c r="T9192" t="s">
        <v>6718</v>
      </c>
    </row>
    <row r="9193" spans="1:20" x14ac:dyDescent="0.25">
      <c r="A9193" t="s">
        <v>30</v>
      </c>
      <c r="B9193" t="s">
        <v>31</v>
      </c>
      <c r="C9193" t="s">
        <v>32</v>
      </c>
      <c r="D9193" t="s">
        <v>953</v>
      </c>
      <c r="E9193" t="s">
        <v>954</v>
      </c>
      <c r="F9193" t="s">
        <v>35</v>
      </c>
      <c r="G9193" t="s">
        <v>35</v>
      </c>
      <c r="H9193" t="s">
        <v>35</v>
      </c>
      <c r="J9193" t="s">
        <v>6808</v>
      </c>
      <c r="K9193" t="s">
        <v>1092</v>
      </c>
      <c r="M9193">
        <v>0.18</v>
      </c>
      <c r="N9193">
        <v>22</v>
      </c>
      <c r="O9193" t="s">
        <v>46</v>
      </c>
      <c r="Q9193" t="s">
        <v>1645</v>
      </c>
      <c r="R9193" t="s">
        <v>6716</v>
      </c>
      <c r="S9193" t="s">
        <v>6717</v>
      </c>
      <c r="T9193" t="s">
        <v>6718</v>
      </c>
    </row>
    <row r="9194" spans="1:20" x14ac:dyDescent="0.25">
      <c r="A9194" t="s">
        <v>59</v>
      </c>
      <c r="B9194" t="s">
        <v>60</v>
      </c>
      <c r="C9194" t="s">
        <v>32</v>
      </c>
      <c r="D9194" t="s">
        <v>953</v>
      </c>
      <c r="E9194" t="s">
        <v>954</v>
      </c>
      <c r="F9194" t="s">
        <v>35</v>
      </c>
      <c r="G9194" t="s">
        <v>35</v>
      </c>
      <c r="H9194" t="s">
        <v>35</v>
      </c>
      <c r="J9194" t="s">
        <v>6808</v>
      </c>
      <c r="K9194" t="s">
        <v>1092</v>
      </c>
      <c r="M9194">
        <v>0.8</v>
      </c>
      <c r="N9194">
        <v>21</v>
      </c>
      <c r="O9194" t="s">
        <v>46</v>
      </c>
      <c r="Q9194" t="s">
        <v>176</v>
      </c>
      <c r="R9194" t="s">
        <v>6716</v>
      </c>
      <c r="S9194" t="s">
        <v>6717</v>
      </c>
      <c r="T9194" t="s">
        <v>6718</v>
      </c>
    </row>
    <row r="9195" spans="1:20" x14ac:dyDescent="0.25">
      <c r="A9195" t="s">
        <v>59</v>
      </c>
      <c r="B9195" t="s">
        <v>60</v>
      </c>
      <c r="C9195" t="s">
        <v>32</v>
      </c>
      <c r="D9195" t="s">
        <v>953</v>
      </c>
      <c r="E9195" t="s">
        <v>998</v>
      </c>
      <c r="F9195" t="s">
        <v>35</v>
      </c>
      <c r="G9195" t="s">
        <v>35</v>
      </c>
      <c r="H9195" t="s">
        <v>35</v>
      </c>
      <c r="J9195" t="s">
        <v>999</v>
      </c>
      <c r="K9195" t="s">
        <v>37</v>
      </c>
      <c r="M9195">
        <v>5.9</v>
      </c>
      <c r="N9195">
        <v>67</v>
      </c>
      <c r="O9195" t="s">
        <v>61</v>
      </c>
      <c r="P9195" t="s">
        <v>1002</v>
      </c>
      <c r="Q9195" t="s">
        <v>488</v>
      </c>
      <c r="R9195" t="s">
        <v>489</v>
      </c>
      <c r="S9195" t="s">
        <v>490</v>
      </c>
      <c r="T9195" t="s">
        <v>491</v>
      </c>
    </row>
    <row r="9196" spans="1:20" x14ac:dyDescent="0.25">
      <c r="A9196" t="s">
        <v>59</v>
      </c>
      <c r="B9196" t="s">
        <v>60</v>
      </c>
      <c r="C9196" t="s">
        <v>32</v>
      </c>
      <c r="D9196" t="s">
        <v>8102</v>
      </c>
      <c r="F9196" t="s">
        <v>35</v>
      </c>
      <c r="G9196" t="s">
        <v>35</v>
      </c>
      <c r="H9196" t="s">
        <v>35</v>
      </c>
      <c r="J9196" t="s">
        <v>8112</v>
      </c>
      <c r="K9196" t="s">
        <v>1092</v>
      </c>
      <c r="M9196">
        <v>1.5</v>
      </c>
      <c r="N9196">
        <v>226</v>
      </c>
      <c r="O9196" t="s">
        <v>5</v>
      </c>
      <c r="Q9196" t="s">
        <v>2002</v>
      </c>
      <c r="R9196" t="s">
        <v>8105</v>
      </c>
      <c r="S9196" t="s">
        <v>8106</v>
      </c>
      <c r="T9196" t="s">
        <v>3276</v>
      </c>
    </row>
    <row r="9197" spans="1:20" x14ac:dyDescent="0.25">
      <c r="A9197" t="s">
        <v>30</v>
      </c>
      <c r="B9197" t="s">
        <v>31</v>
      </c>
      <c r="C9197" t="s">
        <v>32</v>
      </c>
      <c r="D9197" t="s">
        <v>8102</v>
      </c>
      <c r="F9197" t="s">
        <v>35</v>
      </c>
      <c r="G9197" t="s">
        <v>35</v>
      </c>
      <c r="H9197" t="s">
        <v>35</v>
      </c>
      <c r="J9197" t="s">
        <v>8112</v>
      </c>
      <c r="K9197" t="s">
        <v>1092</v>
      </c>
      <c r="M9197">
        <v>0.18</v>
      </c>
      <c r="N9197">
        <v>170</v>
      </c>
      <c r="O9197" t="s">
        <v>38</v>
      </c>
      <c r="Q9197" t="s">
        <v>4657</v>
      </c>
      <c r="R9197" t="s">
        <v>8105</v>
      </c>
      <c r="S9197" t="s">
        <v>8106</v>
      </c>
      <c r="T9197" t="s">
        <v>3276</v>
      </c>
    </row>
    <row r="9198" spans="1:20" x14ac:dyDescent="0.25">
      <c r="A9198" t="s">
        <v>30</v>
      </c>
      <c r="B9198" t="s">
        <v>31</v>
      </c>
      <c r="C9198" t="s">
        <v>32</v>
      </c>
      <c r="D9198" t="s">
        <v>8102</v>
      </c>
      <c r="E9198" t="s">
        <v>8109</v>
      </c>
      <c r="F9198" t="s">
        <v>35</v>
      </c>
      <c r="G9198" t="s">
        <v>35</v>
      </c>
      <c r="H9198" t="s">
        <v>35</v>
      </c>
      <c r="J9198" t="s">
        <v>8110</v>
      </c>
      <c r="K9198" t="s">
        <v>1092</v>
      </c>
      <c r="M9198">
        <v>0.22500000000000001</v>
      </c>
      <c r="N9198">
        <v>129</v>
      </c>
      <c r="O9198" t="s">
        <v>38</v>
      </c>
      <c r="Q9198" t="s">
        <v>157</v>
      </c>
      <c r="R9198" t="s">
        <v>8105</v>
      </c>
      <c r="S9198" t="s">
        <v>8106</v>
      </c>
      <c r="T9198" t="s">
        <v>3276</v>
      </c>
    </row>
    <row r="9199" spans="1:20" x14ac:dyDescent="0.25">
      <c r="A9199" t="s">
        <v>59</v>
      </c>
      <c r="B9199" t="s">
        <v>60</v>
      </c>
      <c r="C9199" t="s">
        <v>32</v>
      </c>
      <c r="D9199" t="s">
        <v>8102</v>
      </c>
      <c r="E9199" t="s">
        <v>8109</v>
      </c>
      <c r="F9199" t="s">
        <v>35</v>
      </c>
      <c r="G9199" t="s">
        <v>35</v>
      </c>
      <c r="H9199" t="s">
        <v>35</v>
      </c>
      <c r="J9199" t="s">
        <v>8110</v>
      </c>
      <c r="K9199" t="s">
        <v>1092</v>
      </c>
      <c r="M9199">
        <v>0.25</v>
      </c>
      <c r="N9199">
        <v>129</v>
      </c>
      <c r="O9199" t="s">
        <v>38</v>
      </c>
      <c r="Q9199" t="s">
        <v>157</v>
      </c>
      <c r="R9199" t="s">
        <v>8105</v>
      </c>
      <c r="S9199" t="s">
        <v>8106</v>
      </c>
      <c r="T9199" t="s">
        <v>3276</v>
      </c>
    </row>
    <row r="9200" spans="1:20" x14ac:dyDescent="0.25">
      <c r="A9200" t="s">
        <v>59</v>
      </c>
      <c r="B9200" t="s">
        <v>60</v>
      </c>
      <c r="C9200" t="s">
        <v>32</v>
      </c>
      <c r="D9200" t="s">
        <v>8102</v>
      </c>
      <c r="E9200" t="s">
        <v>8107</v>
      </c>
      <c r="F9200" t="s">
        <v>35</v>
      </c>
      <c r="G9200" t="s">
        <v>35</v>
      </c>
      <c r="H9200" t="s">
        <v>35</v>
      </c>
      <c r="J9200" t="s">
        <v>1219</v>
      </c>
      <c r="K9200" t="s">
        <v>1092</v>
      </c>
      <c r="M9200">
        <v>0.5</v>
      </c>
      <c r="N9200">
        <v>63</v>
      </c>
      <c r="O9200" t="s">
        <v>61</v>
      </c>
      <c r="Q9200" t="s">
        <v>126</v>
      </c>
      <c r="R9200" t="s">
        <v>8105</v>
      </c>
      <c r="S9200" t="s">
        <v>8106</v>
      </c>
      <c r="T9200" t="s">
        <v>3276</v>
      </c>
    </row>
    <row r="9201" spans="1:20" x14ac:dyDescent="0.25">
      <c r="A9201" t="s">
        <v>59</v>
      </c>
      <c r="B9201" t="s">
        <v>60</v>
      </c>
      <c r="C9201" t="s">
        <v>32</v>
      </c>
      <c r="D9201" t="s">
        <v>8102</v>
      </c>
      <c r="E9201" t="s">
        <v>8107</v>
      </c>
      <c r="F9201" t="s">
        <v>35</v>
      </c>
      <c r="G9201" t="s">
        <v>35</v>
      </c>
      <c r="H9201" t="s">
        <v>35</v>
      </c>
      <c r="J9201" t="s">
        <v>1219</v>
      </c>
      <c r="K9201" t="s">
        <v>1092</v>
      </c>
      <c r="M9201">
        <v>1.1000000000000001</v>
      </c>
      <c r="N9201">
        <v>170</v>
      </c>
      <c r="O9201" t="s">
        <v>38</v>
      </c>
      <c r="Q9201" t="s">
        <v>4657</v>
      </c>
      <c r="R9201" t="s">
        <v>8105</v>
      </c>
      <c r="S9201" t="s">
        <v>8106</v>
      </c>
      <c r="T9201" t="s">
        <v>3276</v>
      </c>
    </row>
    <row r="9202" spans="1:20" x14ac:dyDescent="0.25">
      <c r="A9202" t="s">
        <v>59</v>
      </c>
      <c r="B9202" t="s">
        <v>60</v>
      </c>
      <c r="C9202" t="s">
        <v>32</v>
      </c>
      <c r="D9202" t="s">
        <v>8102</v>
      </c>
      <c r="E9202" t="s">
        <v>8107</v>
      </c>
      <c r="F9202" t="s">
        <v>35</v>
      </c>
      <c r="G9202" t="s">
        <v>35</v>
      </c>
      <c r="H9202" t="s">
        <v>35</v>
      </c>
      <c r="J9202" t="s">
        <v>1219</v>
      </c>
      <c r="K9202" t="s">
        <v>1092</v>
      </c>
      <c r="M9202">
        <v>0.5</v>
      </c>
      <c r="N9202">
        <v>129</v>
      </c>
      <c r="O9202" t="s">
        <v>38</v>
      </c>
      <c r="Q9202" t="s">
        <v>157</v>
      </c>
      <c r="R9202" t="s">
        <v>8105</v>
      </c>
      <c r="S9202" t="s">
        <v>8106</v>
      </c>
      <c r="T9202" t="s">
        <v>3276</v>
      </c>
    </row>
    <row r="9203" spans="1:20" x14ac:dyDescent="0.25">
      <c r="A9203" t="s">
        <v>59</v>
      </c>
      <c r="B9203" t="s">
        <v>31</v>
      </c>
      <c r="C9203" t="s">
        <v>32</v>
      </c>
      <c r="D9203" t="s">
        <v>8102</v>
      </c>
      <c r="F9203" t="s">
        <v>35</v>
      </c>
      <c r="G9203" t="s">
        <v>35</v>
      </c>
      <c r="H9203" t="s">
        <v>35</v>
      </c>
      <c r="J9203" t="s">
        <v>866</v>
      </c>
      <c r="K9203" t="s">
        <v>1092</v>
      </c>
      <c r="M9203">
        <v>3.4649999999999999</v>
      </c>
      <c r="N9203">
        <v>47</v>
      </c>
      <c r="O9203" t="s">
        <v>52</v>
      </c>
      <c r="Q9203" t="s">
        <v>1207</v>
      </c>
      <c r="R9203" t="s">
        <v>8105</v>
      </c>
      <c r="S9203" t="s">
        <v>8106</v>
      </c>
      <c r="T9203" t="s">
        <v>3276</v>
      </c>
    </row>
    <row r="9204" spans="1:20" x14ac:dyDescent="0.25">
      <c r="A9204" t="s">
        <v>59</v>
      </c>
      <c r="B9204" t="s">
        <v>60</v>
      </c>
      <c r="C9204" t="s">
        <v>32</v>
      </c>
      <c r="D9204" t="s">
        <v>8102</v>
      </c>
      <c r="E9204" t="s">
        <v>8107</v>
      </c>
      <c r="F9204" t="s">
        <v>35</v>
      </c>
      <c r="G9204" t="s">
        <v>35</v>
      </c>
      <c r="H9204" t="s">
        <v>35</v>
      </c>
      <c r="J9204" t="s">
        <v>8108</v>
      </c>
      <c r="K9204" t="s">
        <v>1092</v>
      </c>
      <c r="M9204">
        <v>2.5</v>
      </c>
      <c r="N9204">
        <v>104</v>
      </c>
      <c r="O9204" t="s">
        <v>106</v>
      </c>
      <c r="Q9204" t="s">
        <v>4219</v>
      </c>
      <c r="R9204" t="s">
        <v>8105</v>
      </c>
      <c r="S9204" t="s">
        <v>8106</v>
      </c>
      <c r="T9204" t="s">
        <v>3276</v>
      </c>
    </row>
    <row r="9205" spans="1:20" x14ac:dyDescent="0.25">
      <c r="A9205" t="s">
        <v>59</v>
      </c>
      <c r="B9205" t="s">
        <v>60</v>
      </c>
      <c r="C9205" t="s">
        <v>32</v>
      </c>
      <c r="D9205" t="s">
        <v>8102</v>
      </c>
      <c r="E9205" t="s">
        <v>8107</v>
      </c>
      <c r="F9205" t="s">
        <v>35</v>
      </c>
      <c r="G9205" t="s">
        <v>35</v>
      </c>
      <c r="H9205" t="s">
        <v>35</v>
      </c>
      <c r="J9205" t="s">
        <v>8108</v>
      </c>
      <c r="K9205" t="s">
        <v>1092</v>
      </c>
      <c r="M9205">
        <v>1.05</v>
      </c>
      <c r="N9205">
        <v>139</v>
      </c>
      <c r="O9205" t="s">
        <v>38</v>
      </c>
      <c r="Q9205" t="s">
        <v>1335</v>
      </c>
      <c r="R9205" t="s">
        <v>8105</v>
      </c>
      <c r="S9205" t="s">
        <v>8106</v>
      </c>
      <c r="T9205" t="s">
        <v>3276</v>
      </c>
    </row>
    <row r="9206" spans="1:20" x14ac:dyDescent="0.25">
      <c r="A9206" t="s">
        <v>30</v>
      </c>
      <c r="B9206" t="s">
        <v>31</v>
      </c>
      <c r="C9206" t="s">
        <v>32</v>
      </c>
      <c r="D9206" t="s">
        <v>8102</v>
      </c>
      <c r="E9206" t="s">
        <v>8109</v>
      </c>
      <c r="F9206" t="s">
        <v>35</v>
      </c>
      <c r="G9206" t="s">
        <v>35</v>
      </c>
      <c r="H9206" t="s">
        <v>35</v>
      </c>
      <c r="J9206" t="s">
        <v>8111</v>
      </c>
      <c r="K9206" t="s">
        <v>1092</v>
      </c>
      <c r="M9206">
        <v>3.06</v>
      </c>
      <c r="N9206">
        <v>237</v>
      </c>
      <c r="O9206" t="s">
        <v>5</v>
      </c>
      <c r="Q9206" t="s">
        <v>1242</v>
      </c>
      <c r="R9206" t="s">
        <v>8105</v>
      </c>
      <c r="S9206" t="s">
        <v>8106</v>
      </c>
      <c r="T9206" t="s">
        <v>3276</v>
      </c>
    </row>
    <row r="9207" spans="1:20" x14ac:dyDescent="0.25">
      <c r="A9207" t="s">
        <v>30</v>
      </c>
      <c r="B9207" t="s">
        <v>31</v>
      </c>
      <c r="C9207" t="s">
        <v>32</v>
      </c>
      <c r="D9207" t="s">
        <v>8102</v>
      </c>
      <c r="E9207" t="s">
        <v>8103</v>
      </c>
      <c r="F9207" t="s">
        <v>35</v>
      </c>
      <c r="G9207" t="s">
        <v>35</v>
      </c>
      <c r="H9207" t="s">
        <v>35</v>
      </c>
      <c r="J9207" t="s">
        <v>8104</v>
      </c>
      <c r="K9207" t="s">
        <v>1092</v>
      </c>
      <c r="M9207">
        <v>0.315</v>
      </c>
      <c r="N9207">
        <v>129</v>
      </c>
      <c r="O9207" t="s">
        <v>38</v>
      </c>
      <c r="Q9207" t="s">
        <v>157</v>
      </c>
      <c r="R9207" t="s">
        <v>8105</v>
      </c>
      <c r="S9207" t="s">
        <v>8106</v>
      </c>
      <c r="T9207" t="s">
        <v>3276</v>
      </c>
    </row>
  </sheetData>
  <autoFilter ref="A1:T9207" xr:uid="{B008EE28-1D96-4E34-85D9-4125411369E0}"/>
  <sortState xmlns:xlrd2="http://schemas.microsoft.com/office/spreadsheetml/2017/richdata2" ref="A2:T9292">
    <sortCondition ref="D2:D9292"/>
    <sortCondition ref="S2:S9292"/>
    <sortCondition ref="J2:J9292"/>
  </sortState>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49F4-CD6D-4530-92D5-3AD9B6F30BDA}">
  <dimension ref="A1:T9106"/>
  <sheetViews>
    <sheetView tabSelected="1" workbookViewId="0">
      <selection activeCell="I2" sqref="I2:I9106"/>
    </sheetView>
  </sheetViews>
  <sheetFormatPr defaultRowHeight="15" x14ac:dyDescent="0.25"/>
  <cols>
    <col min="9" max="9" width="6.85546875" customWidth="1"/>
    <col min="10" max="10" width="17.7109375" customWidth="1"/>
    <col min="19" max="19" width="34" customWidth="1"/>
  </cols>
  <sheetData>
    <row r="1" spans="1:20" x14ac:dyDescent="0.25">
      <c r="A1" t="s">
        <v>10</v>
      </c>
      <c r="B1" t="s">
        <v>11</v>
      </c>
      <c r="C1" t="s">
        <v>12</v>
      </c>
      <c r="D1" t="s">
        <v>13</v>
      </c>
      <c r="E1" t="s">
        <v>14</v>
      </c>
      <c r="F1" t="s">
        <v>15</v>
      </c>
      <c r="G1" t="s">
        <v>16</v>
      </c>
      <c r="H1" t="s">
        <v>17</v>
      </c>
      <c r="I1" t="s">
        <v>18</v>
      </c>
      <c r="J1" t="s">
        <v>19</v>
      </c>
      <c r="K1" t="s">
        <v>20</v>
      </c>
      <c r="L1" t="s">
        <v>21</v>
      </c>
      <c r="M1" t="s">
        <v>22</v>
      </c>
      <c r="N1" t="s">
        <v>23</v>
      </c>
      <c r="O1" t="s">
        <v>8151</v>
      </c>
      <c r="P1" t="s">
        <v>25</v>
      </c>
      <c r="Q1" t="s">
        <v>26</v>
      </c>
      <c r="R1" t="s">
        <v>27</v>
      </c>
      <c r="S1" t="s">
        <v>28</v>
      </c>
      <c r="T1" t="s">
        <v>29</v>
      </c>
    </row>
    <row r="2" spans="1:20" x14ac:dyDescent="0.25">
      <c r="A2" t="s">
        <v>30</v>
      </c>
      <c r="B2" t="s">
        <v>31</v>
      </c>
      <c r="C2" t="s">
        <v>32</v>
      </c>
      <c r="D2" t="s">
        <v>33</v>
      </c>
      <c r="E2" t="s">
        <v>34</v>
      </c>
      <c r="F2" t="s">
        <v>35</v>
      </c>
      <c r="G2" t="s">
        <v>35</v>
      </c>
      <c r="H2" t="s">
        <v>35</v>
      </c>
      <c r="J2" t="s">
        <v>36</v>
      </c>
      <c r="K2" t="s">
        <v>37</v>
      </c>
      <c r="M2">
        <v>2.7</v>
      </c>
      <c r="N2">
        <v>159</v>
      </c>
      <c r="O2" t="s">
        <v>38</v>
      </c>
      <c r="P2" t="s">
        <v>39</v>
      </c>
      <c r="Q2" t="s">
        <v>40</v>
      </c>
      <c r="R2" t="s">
        <v>41</v>
      </c>
      <c r="S2" t="s">
        <v>42</v>
      </c>
    </row>
    <row r="3" spans="1:20" x14ac:dyDescent="0.25">
      <c r="A3" t="s">
        <v>44</v>
      </c>
      <c r="B3" t="s">
        <v>3</v>
      </c>
      <c r="C3" t="s">
        <v>32</v>
      </c>
      <c r="D3" t="s">
        <v>33</v>
      </c>
      <c r="E3" t="s">
        <v>34</v>
      </c>
      <c r="F3" t="s">
        <v>35</v>
      </c>
      <c r="G3" t="s">
        <v>35</v>
      </c>
      <c r="H3" t="s">
        <v>35</v>
      </c>
      <c r="J3" t="s">
        <v>45</v>
      </c>
      <c r="K3" t="s">
        <v>37</v>
      </c>
      <c r="M3">
        <v>19</v>
      </c>
      <c r="N3">
        <v>35</v>
      </c>
      <c r="O3" t="s">
        <v>52</v>
      </c>
      <c r="P3" t="s">
        <v>47</v>
      </c>
      <c r="Q3" t="s">
        <v>48</v>
      </c>
      <c r="R3" t="s">
        <v>49</v>
      </c>
      <c r="S3" t="s">
        <v>50</v>
      </c>
    </row>
    <row r="4" spans="1:20" x14ac:dyDescent="0.25">
      <c r="A4" t="s">
        <v>59</v>
      </c>
      <c r="B4" t="s">
        <v>60</v>
      </c>
      <c r="C4" t="s">
        <v>32</v>
      </c>
      <c r="D4" t="s">
        <v>33</v>
      </c>
      <c r="E4" t="s">
        <v>34</v>
      </c>
      <c r="F4" t="s">
        <v>35</v>
      </c>
      <c r="G4" t="s">
        <v>35</v>
      </c>
      <c r="H4" t="s">
        <v>35</v>
      </c>
      <c r="J4" t="s">
        <v>50</v>
      </c>
      <c r="K4" t="s">
        <v>37</v>
      </c>
      <c r="M4">
        <v>0.5</v>
      </c>
      <c r="N4">
        <v>72</v>
      </c>
      <c r="O4" t="s">
        <v>61</v>
      </c>
      <c r="P4" t="s">
        <v>62</v>
      </c>
      <c r="Q4" t="s">
        <v>63</v>
      </c>
      <c r="R4" t="s">
        <v>55</v>
      </c>
      <c r="S4" t="s">
        <v>56</v>
      </c>
    </row>
    <row r="5" spans="1:20" x14ac:dyDescent="0.25">
      <c r="A5" t="s">
        <v>44</v>
      </c>
      <c r="B5" t="s">
        <v>3</v>
      </c>
      <c r="C5" t="s">
        <v>32</v>
      </c>
      <c r="D5" t="s">
        <v>33</v>
      </c>
      <c r="E5" t="s">
        <v>34</v>
      </c>
      <c r="F5" t="s">
        <v>35</v>
      </c>
      <c r="G5" t="s">
        <v>35</v>
      </c>
      <c r="H5" t="s">
        <v>35</v>
      </c>
      <c r="J5" t="s">
        <v>50</v>
      </c>
      <c r="K5" t="s">
        <v>37</v>
      </c>
      <c r="M5">
        <v>3</v>
      </c>
      <c r="N5">
        <v>58</v>
      </c>
      <c r="O5" t="s">
        <v>52</v>
      </c>
      <c r="P5" t="s">
        <v>57</v>
      </c>
      <c r="Q5" t="s">
        <v>58</v>
      </c>
      <c r="R5" t="s">
        <v>55</v>
      </c>
      <c r="S5" t="s">
        <v>56</v>
      </c>
    </row>
    <row r="6" spans="1:20" x14ac:dyDescent="0.25">
      <c r="A6" t="s">
        <v>44</v>
      </c>
      <c r="B6" t="s">
        <v>51</v>
      </c>
      <c r="C6" t="s">
        <v>32</v>
      </c>
      <c r="D6" t="s">
        <v>33</v>
      </c>
      <c r="E6" t="s">
        <v>34</v>
      </c>
      <c r="F6" t="s">
        <v>35</v>
      </c>
      <c r="G6" t="s">
        <v>35</v>
      </c>
      <c r="H6" t="s">
        <v>35</v>
      </c>
      <c r="J6" t="s">
        <v>50</v>
      </c>
      <c r="K6" t="s">
        <v>37</v>
      </c>
      <c r="M6">
        <v>22</v>
      </c>
      <c r="N6">
        <v>51</v>
      </c>
      <c r="O6" t="s">
        <v>52</v>
      </c>
      <c r="P6" t="s">
        <v>53</v>
      </c>
      <c r="Q6" t="s">
        <v>54</v>
      </c>
      <c r="R6" t="s">
        <v>55</v>
      </c>
      <c r="S6" t="s">
        <v>56</v>
      </c>
    </row>
    <row r="7" spans="1:20" x14ac:dyDescent="0.25">
      <c r="A7" t="s">
        <v>30</v>
      </c>
      <c r="B7" t="s">
        <v>31</v>
      </c>
      <c r="C7" t="s">
        <v>32</v>
      </c>
      <c r="D7" t="s">
        <v>33</v>
      </c>
      <c r="E7" t="s">
        <v>64</v>
      </c>
      <c r="F7" t="s">
        <v>35</v>
      </c>
      <c r="G7" t="s">
        <v>35</v>
      </c>
      <c r="H7" t="s">
        <v>35</v>
      </c>
      <c r="J7" t="s">
        <v>65</v>
      </c>
      <c r="K7" t="s">
        <v>37</v>
      </c>
      <c r="M7">
        <v>3.645</v>
      </c>
      <c r="N7">
        <v>149</v>
      </c>
      <c r="O7" t="s">
        <v>38</v>
      </c>
      <c r="P7" t="s">
        <v>72</v>
      </c>
      <c r="Q7" t="s">
        <v>73</v>
      </c>
      <c r="R7" t="s">
        <v>69</v>
      </c>
      <c r="S7" t="s">
        <v>70</v>
      </c>
    </row>
    <row r="8" spans="1:20" x14ac:dyDescent="0.25">
      <c r="A8" t="s">
        <v>59</v>
      </c>
      <c r="B8" t="s">
        <v>60</v>
      </c>
      <c r="C8" t="s">
        <v>32</v>
      </c>
      <c r="D8" t="s">
        <v>33</v>
      </c>
      <c r="E8" t="s">
        <v>64</v>
      </c>
      <c r="F8" t="s">
        <v>35</v>
      </c>
      <c r="G8" t="s">
        <v>35</v>
      </c>
      <c r="H8" t="s">
        <v>35</v>
      </c>
      <c r="J8" t="s">
        <v>65</v>
      </c>
      <c r="K8" t="s">
        <v>37</v>
      </c>
      <c r="M8">
        <v>10.4</v>
      </c>
      <c r="N8">
        <v>133</v>
      </c>
      <c r="O8" t="s">
        <v>38</v>
      </c>
      <c r="P8" t="s">
        <v>67</v>
      </c>
      <c r="Q8" t="s">
        <v>68</v>
      </c>
      <c r="R8" t="s">
        <v>69</v>
      </c>
      <c r="S8" t="s">
        <v>70</v>
      </c>
    </row>
    <row r="9" spans="1:20" x14ac:dyDescent="0.25">
      <c r="A9" t="s">
        <v>59</v>
      </c>
      <c r="B9" t="s">
        <v>31</v>
      </c>
      <c r="C9" t="s">
        <v>32</v>
      </c>
      <c r="D9" t="s">
        <v>33</v>
      </c>
      <c r="E9" t="s">
        <v>64</v>
      </c>
      <c r="F9" t="s">
        <v>35</v>
      </c>
      <c r="G9" t="s">
        <v>35</v>
      </c>
      <c r="H9" t="s">
        <v>35</v>
      </c>
      <c r="J9" t="s">
        <v>65</v>
      </c>
      <c r="K9" t="s">
        <v>37</v>
      </c>
      <c r="M9">
        <v>0.23</v>
      </c>
      <c r="N9">
        <v>221</v>
      </c>
      <c r="O9" t="s">
        <v>5</v>
      </c>
      <c r="P9" t="s">
        <v>78</v>
      </c>
      <c r="Q9" t="s">
        <v>79</v>
      </c>
      <c r="R9" t="s">
        <v>69</v>
      </c>
      <c r="S9" t="s">
        <v>70</v>
      </c>
    </row>
    <row r="10" spans="1:20" x14ac:dyDescent="0.25">
      <c r="A10" t="s">
        <v>44</v>
      </c>
      <c r="B10" t="s">
        <v>3</v>
      </c>
      <c r="C10" t="s">
        <v>32</v>
      </c>
      <c r="D10" t="s">
        <v>33</v>
      </c>
      <c r="E10" t="s">
        <v>64</v>
      </c>
      <c r="F10" t="s">
        <v>35</v>
      </c>
      <c r="G10" t="s">
        <v>35</v>
      </c>
      <c r="H10" t="s">
        <v>35</v>
      </c>
      <c r="J10" t="s">
        <v>81</v>
      </c>
      <c r="K10" t="s">
        <v>37</v>
      </c>
      <c r="M10">
        <v>3.3</v>
      </c>
      <c r="N10">
        <v>59</v>
      </c>
      <c r="O10" t="s">
        <v>52</v>
      </c>
      <c r="P10" t="s">
        <v>83</v>
      </c>
      <c r="Q10" t="s">
        <v>84</v>
      </c>
      <c r="R10" t="s">
        <v>85</v>
      </c>
      <c r="S10" t="s">
        <v>86</v>
      </c>
    </row>
    <row r="11" spans="1:20" x14ac:dyDescent="0.25">
      <c r="A11" t="s">
        <v>44</v>
      </c>
      <c r="B11" t="s">
        <v>51</v>
      </c>
      <c r="C11" t="s">
        <v>32</v>
      </c>
      <c r="D11" t="s">
        <v>33</v>
      </c>
      <c r="E11" t="s">
        <v>87</v>
      </c>
      <c r="F11" t="s">
        <v>35</v>
      </c>
      <c r="G11" t="s">
        <v>35</v>
      </c>
      <c r="H11" t="s">
        <v>35</v>
      </c>
      <c r="J11" t="s">
        <v>88</v>
      </c>
      <c r="K11" t="s">
        <v>37</v>
      </c>
      <c r="M11">
        <v>3.25</v>
      </c>
      <c r="N11">
        <v>62</v>
      </c>
      <c r="O11" t="s">
        <v>61</v>
      </c>
      <c r="P11" t="s">
        <v>89</v>
      </c>
      <c r="Q11" t="s">
        <v>90</v>
      </c>
      <c r="R11" t="s">
        <v>91</v>
      </c>
      <c r="S11" t="s">
        <v>92</v>
      </c>
    </row>
    <row r="12" spans="1:20" x14ac:dyDescent="0.25">
      <c r="A12" t="s">
        <v>30</v>
      </c>
      <c r="B12" t="s">
        <v>31</v>
      </c>
      <c r="C12" t="s">
        <v>32</v>
      </c>
      <c r="D12" t="s">
        <v>33</v>
      </c>
      <c r="E12" t="s">
        <v>87</v>
      </c>
      <c r="F12" t="s">
        <v>35</v>
      </c>
      <c r="G12" t="s">
        <v>35</v>
      </c>
      <c r="H12" t="s">
        <v>35</v>
      </c>
      <c r="J12" t="s">
        <v>88</v>
      </c>
      <c r="K12" t="s">
        <v>37</v>
      </c>
      <c r="M12">
        <v>0.315</v>
      </c>
      <c r="N12">
        <v>26</v>
      </c>
      <c r="O12" t="s">
        <v>46</v>
      </c>
      <c r="P12" t="s">
        <v>93</v>
      </c>
      <c r="Q12" t="s">
        <v>94</v>
      </c>
      <c r="R12" t="s">
        <v>91</v>
      </c>
      <c r="S12" t="s">
        <v>92</v>
      </c>
    </row>
    <row r="13" spans="1:20" x14ac:dyDescent="0.25">
      <c r="A13" t="s">
        <v>59</v>
      </c>
      <c r="B13" t="s">
        <v>60</v>
      </c>
      <c r="C13" t="s">
        <v>32</v>
      </c>
      <c r="D13" t="s">
        <v>33</v>
      </c>
      <c r="E13" t="s">
        <v>87</v>
      </c>
      <c r="F13" t="s">
        <v>35</v>
      </c>
      <c r="G13" t="s">
        <v>35</v>
      </c>
      <c r="H13" t="s">
        <v>35</v>
      </c>
      <c r="J13" t="s">
        <v>95</v>
      </c>
      <c r="K13" t="s">
        <v>37</v>
      </c>
      <c r="M13">
        <v>11</v>
      </c>
      <c r="N13">
        <v>71</v>
      </c>
      <c r="O13" t="s">
        <v>61</v>
      </c>
      <c r="P13" t="s">
        <v>101</v>
      </c>
      <c r="Q13" t="s">
        <v>102</v>
      </c>
      <c r="R13" t="s">
        <v>103</v>
      </c>
      <c r="S13" t="s">
        <v>104</v>
      </c>
    </row>
    <row r="14" spans="1:20" x14ac:dyDescent="0.25">
      <c r="A14" t="s">
        <v>59</v>
      </c>
      <c r="B14" t="s">
        <v>60</v>
      </c>
      <c r="C14" t="s">
        <v>32</v>
      </c>
      <c r="D14" t="s">
        <v>33</v>
      </c>
      <c r="E14" t="s">
        <v>87</v>
      </c>
      <c r="F14" t="s">
        <v>35</v>
      </c>
      <c r="G14" t="s">
        <v>35</v>
      </c>
      <c r="H14" t="s">
        <v>35</v>
      </c>
      <c r="J14" t="s">
        <v>95</v>
      </c>
      <c r="K14" t="s">
        <v>37</v>
      </c>
      <c r="M14">
        <v>0.2</v>
      </c>
      <c r="N14">
        <v>135</v>
      </c>
      <c r="O14" t="s">
        <v>38</v>
      </c>
      <c r="P14" t="s">
        <v>97</v>
      </c>
      <c r="Q14" t="s">
        <v>98</v>
      </c>
      <c r="R14" t="s">
        <v>99</v>
      </c>
      <c r="S14" t="s">
        <v>100</v>
      </c>
    </row>
    <row r="15" spans="1:20" x14ac:dyDescent="0.25">
      <c r="A15" t="s">
        <v>59</v>
      </c>
      <c r="B15" t="s">
        <v>60</v>
      </c>
      <c r="C15" t="s">
        <v>32</v>
      </c>
      <c r="D15" t="s">
        <v>33</v>
      </c>
      <c r="E15" t="s">
        <v>87</v>
      </c>
      <c r="F15" t="s">
        <v>35</v>
      </c>
      <c r="G15" t="s">
        <v>35</v>
      </c>
      <c r="H15" t="s">
        <v>35</v>
      </c>
      <c r="J15" t="s">
        <v>109</v>
      </c>
      <c r="K15" t="s">
        <v>37</v>
      </c>
      <c r="M15">
        <v>3.5</v>
      </c>
      <c r="N15">
        <v>245</v>
      </c>
      <c r="O15" t="s">
        <v>5</v>
      </c>
      <c r="P15" t="s">
        <v>110</v>
      </c>
      <c r="Q15" t="s">
        <v>111</v>
      </c>
      <c r="R15" t="s">
        <v>112</v>
      </c>
      <c r="S15" t="s">
        <v>113</v>
      </c>
    </row>
    <row r="16" spans="1:20" x14ac:dyDescent="0.25">
      <c r="A16" t="s">
        <v>30</v>
      </c>
      <c r="B16" t="s">
        <v>31</v>
      </c>
      <c r="C16" t="s">
        <v>32</v>
      </c>
      <c r="D16" t="s">
        <v>33</v>
      </c>
      <c r="E16" t="s">
        <v>114</v>
      </c>
      <c r="F16" t="s">
        <v>35</v>
      </c>
      <c r="G16" t="s">
        <v>35</v>
      </c>
      <c r="H16" t="s">
        <v>35</v>
      </c>
      <c r="J16" t="s">
        <v>115</v>
      </c>
      <c r="K16" t="s">
        <v>37</v>
      </c>
      <c r="M16">
        <v>10.08</v>
      </c>
      <c r="N16">
        <v>266</v>
      </c>
      <c r="O16" t="s">
        <v>5</v>
      </c>
      <c r="P16" t="s">
        <v>116</v>
      </c>
      <c r="Q16" t="s">
        <v>117</v>
      </c>
      <c r="R16" t="s">
        <v>118</v>
      </c>
      <c r="S16" t="s">
        <v>65</v>
      </c>
    </row>
    <row r="17" spans="1:19" x14ac:dyDescent="0.25">
      <c r="A17" t="s">
        <v>44</v>
      </c>
      <c r="B17" t="s">
        <v>3</v>
      </c>
      <c r="C17" t="s">
        <v>32</v>
      </c>
      <c r="D17" t="s">
        <v>33</v>
      </c>
      <c r="E17" t="s">
        <v>119</v>
      </c>
      <c r="F17" t="s">
        <v>35</v>
      </c>
      <c r="G17" t="s">
        <v>35</v>
      </c>
      <c r="H17" t="s">
        <v>35</v>
      </c>
      <c r="J17" t="s">
        <v>120</v>
      </c>
      <c r="K17" t="s">
        <v>37</v>
      </c>
      <c r="M17">
        <v>8</v>
      </c>
      <c r="N17">
        <v>59</v>
      </c>
      <c r="O17" t="s">
        <v>52</v>
      </c>
      <c r="P17" t="s">
        <v>121</v>
      </c>
      <c r="Q17" t="s">
        <v>84</v>
      </c>
      <c r="R17" t="s">
        <v>85</v>
      </c>
      <c r="S17" t="s">
        <v>86</v>
      </c>
    </row>
    <row r="18" spans="1:19" x14ac:dyDescent="0.25">
      <c r="A18" t="s">
        <v>44</v>
      </c>
      <c r="B18" t="s">
        <v>51</v>
      </c>
      <c r="C18" t="s">
        <v>32</v>
      </c>
      <c r="D18" t="s">
        <v>33</v>
      </c>
      <c r="E18" t="s">
        <v>122</v>
      </c>
      <c r="F18" t="s">
        <v>35</v>
      </c>
      <c r="G18" t="s">
        <v>35</v>
      </c>
      <c r="H18" t="s">
        <v>35</v>
      </c>
      <c r="J18" t="s">
        <v>123</v>
      </c>
      <c r="K18" t="s">
        <v>37</v>
      </c>
      <c r="M18">
        <v>41.5</v>
      </c>
      <c r="N18">
        <v>40</v>
      </c>
      <c r="O18" t="s">
        <v>52</v>
      </c>
      <c r="P18" t="s">
        <v>140</v>
      </c>
      <c r="Q18" t="s">
        <v>130</v>
      </c>
      <c r="R18" t="s">
        <v>91</v>
      </c>
      <c r="S18" t="s">
        <v>92</v>
      </c>
    </row>
    <row r="19" spans="1:19" x14ac:dyDescent="0.25">
      <c r="A19" t="s">
        <v>44</v>
      </c>
      <c r="B19" t="s">
        <v>51</v>
      </c>
      <c r="C19" t="s">
        <v>32</v>
      </c>
      <c r="D19" t="s">
        <v>33</v>
      </c>
      <c r="E19" t="s">
        <v>122</v>
      </c>
      <c r="F19" t="s">
        <v>35</v>
      </c>
      <c r="G19" t="s">
        <v>35</v>
      </c>
      <c r="H19" t="s">
        <v>35</v>
      </c>
      <c r="J19" t="s">
        <v>123</v>
      </c>
      <c r="K19" t="s">
        <v>37</v>
      </c>
      <c r="M19">
        <v>2.4</v>
      </c>
      <c r="N19">
        <v>40</v>
      </c>
      <c r="O19" t="s">
        <v>52</v>
      </c>
      <c r="P19" t="s">
        <v>129</v>
      </c>
      <c r="Q19" t="s">
        <v>130</v>
      </c>
      <c r="R19" t="s">
        <v>91</v>
      </c>
      <c r="S19" t="s">
        <v>92</v>
      </c>
    </row>
    <row r="20" spans="1:19" x14ac:dyDescent="0.25">
      <c r="A20" t="s">
        <v>44</v>
      </c>
      <c r="B20" t="s">
        <v>3</v>
      </c>
      <c r="C20" t="s">
        <v>32</v>
      </c>
      <c r="D20" t="s">
        <v>33</v>
      </c>
      <c r="E20" t="s">
        <v>122</v>
      </c>
      <c r="F20" t="s">
        <v>35</v>
      </c>
      <c r="G20" t="s">
        <v>35</v>
      </c>
      <c r="H20" t="s">
        <v>35</v>
      </c>
      <c r="J20" t="s">
        <v>123</v>
      </c>
      <c r="K20" t="s">
        <v>37</v>
      </c>
      <c r="M20">
        <v>17</v>
      </c>
      <c r="N20">
        <v>69</v>
      </c>
      <c r="O20" t="s">
        <v>61</v>
      </c>
      <c r="P20" t="s">
        <v>138</v>
      </c>
      <c r="Q20" t="s">
        <v>139</v>
      </c>
      <c r="R20" t="s">
        <v>91</v>
      </c>
      <c r="S20" t="s">
        <v>92</v>
      </c>
    </row>
    <row r="21" spans="1:19" x14ac:dyDescent="0.25">
      <c r="A21" t="s">
        <v>30</v>
      </c>
      <c r="B21" t="s">
        <v>31</v>
      </c>
      <c r="C21" t="s">
        <v>32</v>
      </c>
      <c r="D21" t="s">
        <v>33</v>
      </c>
      <c r="E21" t="s">
        <v>122</v>
      </c>
      <c r="F21" t="s">
        <v>35</v>
      </c>
      <c r="G21" t="s">
        <v>35</v>
      </c>
      <c r="H21" t="s">
        <v>35</v>
      </c>
      <c r="J21" t="s">
        <v>123</v>
      </c>
      <c r="K21" t="s">
        <v>37</v>
      </c>
      <c r="M21">
        <v>3</v>
      </c>
      <c r="N21">
        <v>3</v>
      </c>
      <c r="O21" t="s">
        <v>46</v>
      </c>
      <c r="P21" t="s">
        <v>8152</v>
      </c>
      <c r="Q21" t="s">
        <v>8153</v>
      </c>
      <c r="R21" t="s">
        <v>133</v>
      </c>
      <c r="S21" t="s">
        <v>134</v>
      </c>
    </row>
    <row r="22" spans="1:19" x14ac:dyDescent="0.25">
      <c r="A22" t="s">
        <v>44</v>
      </c>
      <c r="B22" t="s">
        <v>51</v>
      </c>
      <c r="C22" t="s">
        <v>32</v>
      </c>
      <c r="D22" t="s">
        <v>33</v>
      </c>
      <c r="E22" t="s">
        <v>122</v>
      </c>
      <c r="F22" t="s">
        <v>35</v>
      </c>
      <c r="G22" t="s">
        <v>35</v>
      </c>
      <c r="H22" t="s">
        <v>35</v>
      </c>
      <c r="J22" t="s">
        <v>123</v>
      </c>
      <c r="K22" t="s">
        <v>37</v>
      </c>
      <c r="M22">
        <v>35</v>
      </c>
      <c r="N22">
        <v>33</v>
      </c>
      <c r="O22" t="s">
        <v>52</v>
      </c>
      <c r="P22" t="s">
        <v>136</v>
      </c>
      <c r="Q22" t="s">
        <v>137</v>
      </c>
      <c r="R22" t="s">
        <v>91</v>
      </c>
      <c r="S22" t="s">
        <v>92</v>
      </c>
    </row>
    <row r="23" spans="1:19" x14ac:dyDescent="0.25">
      <c r="A23" t="s">
        <v>44</v>
      </c>
      <c r="B23" t="s">
        <v>3</v>
      </c>
      <c r="C23" t="s">
        <v>32</v>
      </c>
      <c r="D23" t="s">
        <v>33</v>
      </c>
      <c r="E23" t="s">
        <v>122</v>
      </c>
      <c r="F23" t="s">
        <v>35</v>
      </c>
      <c r="G23" t="s">
        <v>35</v>
      </c>
      <c r="H23" t="s">
        <v>35</v>
      </c>
      <c r="J23" t="s">
        <v>123</v>
      </c>
      <c r="K23" t="s">
        <v>37</v>
      </c>
      <c r="M23">
        <v>3.85</v>
      </c>
      <c r="N23">
        <v>70</v>
      </c>
      <c r="O23" t="s">
        <v>61</v>
      </c>
      <c r="P23" t="s">
        <v>125</v>
      </c>
      <c r="Q23" t="s">
        <v>126</v>
      </c>
      <c r="R23" t="s">
        <v>91</v>
      </c>
      <c r="S23" t="s">
        <v>92</v>
      </c>
    </row>
    <row r="24" spans="1:19" x14ac:dyDescent="0.25">
      <c r="A24" t="s">
        <v>44</v>
      </c>
      <c r="B24" t="s">
        <v>3</v>
      </c>
      <c r="C24" t="s">
        <v>32</v>
      </c>
      <c r="D24" t="s">
        <v>33</v>
      </c>
      <c r="E24" t="s">
        <v>122</v>
      </c>
      <c r="F24" t="s">
        <v>35</v>
      </c>
      <c r="G24" t="s">
        <v>35</v>
      </c>
      <c r="H24" t="s">
        <v>35</v>
      </c>
      <c r="J24" t="s">
        <v>141</v>
      </c>
      <c r="K24" t="s">
        <v>37</v>
      </c>
      <c r="M24">
        <v>2</v>
      </c>
      <c r="N24">
        <v>59</v>
      </c>
      <c r="O24" t="s">
        <v>52</v>
      </c>
      <c r="P24" t="s">
        <v>142</v>
      </c>
      <c r="Q24" t="s">
        <v>84</v>
      </c>
      <c r="R24" t="s">
        <v>85</v>
      </c>
      <c r="S24" t="s">
        <v>86</v>
      </c>
    </row>
    <row r="25" spans="1:19" x14ac:dyDescent="0.25">
      <c r="A25" t="s">
        <v>44</v>
      </c>
      <c r="B25" t="s">
        <v>3</v>
      </c>
      <c r="C25" t="s">
        <v>32</v>
      </c>
      <c r="D25" t="s">
        <v>33</v>
      </c>
      <c r="E25" t="s">
        <v>122</v>
      </c>
      <c r="F25" t="s">
        <v>35</v>
      </c>
      <c r="G25" t="s">
        <v>35</v>
      </c>
      <c r="H25" t="s">
        <v>35</v>
      </c>
      <c r="J25" t="s">
        <v>143</v>
      </c>
      <c r="K25" t="s">
        <v>37</v>
      </c>
      <c r="M25">
        <v>5</v>
      </c>
      <c r="N25">
        <v>59</v>
      </c>
      <c r="O25" t="s">
        <v>52</v>
      </c>
      <c r="P25" t="s">
        <v>144</v>
      </c>
      <c r="Q25" t="s">
        <v>84</v>
      </c>
      <c r="R25" t="s">
        <v>85</v>
      </c>
      <c r="S25" t="s">
        <v>86</v>
      </c>
    </row>
    <row r="26" spans="1:19" x14ac:dyDescent="0.25">
      <c r="A26" t="s">
        <v>44</v>
      </c>
      <c r="B26" t="s">
        <v>3</v>
      </c>
      <c r="C26" t="s">
        <v>32</v>
      </c>
      <c r="D26" t="s">
        <v>33</v>
      </c>
      <c r="E26" t="s">
        <v>122</v>
      </c>
      <c r="F26" t="s">
        <v>35</v>
      </c>
      <c r="G26" t="s">
        <v>35</v>
      </c>
      <c r="H26" t="s">
        <v>35</v>
      </c>
      <c r="J26" t="s">
        <v>143</v>
      </c>
      <c r="K26" t="s">
        <v>37</v>
      </c>
      <c r="M26">
        <v>5.5</v>
      </c>
      <c r="N26">
        <v>68</v>
      </c>
      <c r="O26" t="s">
        <v>61</v>
      </c>
      <c r="P26" t="s">
        <v>145</v>
      </c>
      <c r="Q26" t="s">
        <v>146</v>
      </c>
      <c r="R26" t="s">
        <v>147</v>
      </c>
      <c r="S26" t="s">
        <v>148</v>
      </c>
    </row>
    <row r="27" spans="1:19" x14ac:dyDescent="0.25">
      <c r="A27" t="s">
        <v>44</v>
      </c>
      <c r="B27" t="s">
        <v>3</v>
      </c>
      <c r="C27" t="s">
        <v>32</v>
      </c>
      <c r="D27" t="s">
        <v>33</v>
      </c>
      <c r="E27" t="s">
        <v>122</v>
      </c>
      <c r="F27" t="s">
        <v>35</v>
      </c>
      <c r="G27" t="s">
        <v>35</v>
      </c>
      <c r="H27" t="s">
        <v>35</v>
      </c>
      <c r="J27" t="s">
        <v>149</v>
      </c>
      <c r="K27" t="s">
        <v>37</v>
      </c>
      <c r="M27">
        <v>10</v>
      </c>
      <c r="N27">
        <v>59</v>
      </c>
      <c r="O27" t="s">
        <v>52</v>
      </c>
      <c r="P27" t="s">
        <v>151</v>
      </c>
      <c r="Q27" t="s">
        <v>84</v>
      </c>
      <c r="R27" t="s">
        <v>85</v>
      </c>
      <c r="S27" t="s">
        <v>86</v>
      </c>
    </row>
    <row r="28" spans="1:19" x14ac:dyDescent="0.25">
      <c r="A28" t="s">
        <v>44</v>
      </c>
      <c r="B28" t="s">
        <v>3</v>
      </c>
      <c r="C28" t="s">
        <v>32</v>
      </c>
      <c r="D28" t="s">
        <v>33</v>
      </c>
      <c r="E28" t="s">
        <v>122</v>
      </c>
      <c r="F28" t="s">
        <v>35</v>
      </c>
      <c r="G28" t="s">
        <v>35</v>
      </c>
      <c r="H28" t="s">
        <v>35</v>
      </c>
      <c r="J28" t="s">
        <v>154</v>
      </c>
      <c r="K28" t="s">
        <v>37</v>
      </c>
      <c r="M28">
        <v>10</v>
      </c>
      <c r="N28">
        <v>59</v>
      </c>
      <c r="O28" t="s">
        <v>52</v>
      </c>
      <c r="P28" t="s">
        <v>155</v>
      </c>
      <c r="Q28" t="s">
        <v>84</v>
      </c>
      <c r="R28" t="s">
        <v>85</v>
      </c>
      <c r="S28" t="s">
        <v>86</v>
      </c>
    </row>
    <row r="29" spans="1:19" x14ac:dyDescent="0.25">
      <c r="A29" t="s">
        <v>44</v>
      </c>
      <c r="B29" t="s">
        <v>3</v>
      </c>
      <c r="C29" t="s">
        <v>32</v>
      </c>
      <c r="D29" t="s">
        <v>33</v>
      </c>
      <c r="E29" t="s">
        <v>122</v>
      </c>
      <c r="F29" t="s">
        <v>35</v>
      </c>
      <c r="G29" t="s">
        <v>35</v>
      </c>
      <c r="H29" t="s">
        <v>35</v>
      </c>
      <c r="J29" t="s">
        <v>154</v>
      </c>
      <c r="K29" t="s">
        <v>37</v>
      </c>
      <c r="M29">
        <v>10</v>
      </c>
      <c r="N29">
        <v>59</v>
      </c>
      <c r="O29" t="s">
        <v>52</v>
      </c>
      <c r="P29" t="s">
        <v>161</v>
      </c>
      <c r="Q29" t="s">
        <v>84</v>
      </c>
      <c r="R29" t="s">
        <v>85</v>
      </c>
      <c r="S29" t="s">
        <v>86</v>
      </c>
    </row>
    <row r="30" spans="1:19" x14ac:dyDescent="0.25">
      <c r="A30" t="s">
        <v>59</v>
      </c>
      <c r="B30" t="s">
        <v>60</v>
      </c>
      <c r="C30" t="s">
        <v>32</v>
      </c>
      <c r="D30" t="s">
        <v>33</v>
      </c>
      <c r="E30" t="s">
        <v>122</v>
      </c>
      <c r="F30" t="s">
        <v>35</v>
      </c>
      <c r="G30" t="s">
        <v>35</v>
      </c>
      <c r="H30" t="s">
        <v>35</v>
      </c>
      <c r="J30" t="s">
        <v>154</v>
      </c>
      <c r="K30" t="s">
        <v>37</v>
      </c>
      <c r="M30">
        <v>7</v>
      </c>
      <c r="N30">
        <v>136</v>
      </c>
      <c r="O30" t="s">
        <v>38</v>
      </c>
      <c r="P30" t="s">
        <v>156</v>
      </c>
      <c r="Q30" t="s">
        <v>157</v>
      </c>
      <c r="R30" t="s">
        <v>158</v>
      </c>
      <c r="S30" t="s">
        <v>159</v>
      </c>
    </row>
    <row r="31" spans="1:19" x14ac:dyDescent="0.25">
      <c r="A31" t="s">
        <v>59</v>
      </c>
      <c r="B31" t="s">
        <v>31</v>
      </c>
      <c r="C31" t="s">
        <v>32</v>
      </c>
      <c r="D31" t="s">
        <v>33</v>
      </c>
      <c r="E31" t="s">
        <v>162</v>
      </c>
      <c r="F31" t="s">
        <v>35</v>
      </c>
      <c r="G31" t="s">
        <v>35</v>
      </c>
      <c r="H31" t="s">
        <v>35</v>
      </c>
      <c r="J31" t="s">
        <v>163</v>
      </c>
      <c r="K31" t="s">
        <v>37</v>
      </c>
      <c r="M31">
        <v>2.99</v>
      </c>
      <c r="N31">
        <v>65</v>
      </c>
      <c r="O31" t="s">
        <v>61</v>
      </c>
      <c r="P31" t="s">
        <v>164</v>
      </c>
      <c r="Q31" t="s">
        <v>128</v>
      </c>
      <c r="R31" t="s">
        <v>91</v>
      </c>
      <c r="S31" t="s">
        <v>92</v>
      </c>
    </row>
    <row r="32" spans="1:19" x14ac:dyDescent="0.25">
      <c r="A32" t="s">
        <v>30</v>
      </c>
      <c r="B32" t="s">
        <v>31</v>
      </c>
      <c r="C32" t="s">
        <v>32</v>
      </c>
      <c r="D32" t="s">
        <v>33</v>
      </c>
      <c r="E32" t="s">
        <v>162</v>
      </c>
      <c r="F32" t="s">
        <v>35</v>
      </c>
      <c r="G32" t="s">
        <v>35</v>
      </c>
      <c r="H32" t="s">
        <v>35</v>
      </c>
      <c r="J32" t="s">
        <v>163</v>
      </c>
      <c r="K32" t="s">
        <v>37</v>
      </c>
      <c r="M32">
        <v>28.98</v>
      </c>
      <c r="N32">
        <v>26</v>
      </c>
      <c r="O32" t="s">
        <v>46</v>
      </c>
      <c r="P32" t="s">
        <v>165</v>
      </c>
      <c r="Q32" t="s">
        <v>94</v>
      </c>
      <c r="R32" t="s">
        <v>91</v>
      </c>
      <c r="S32" t="s">
        <v>92</v>
      </c>
    </row>
    <row r="33" spans="1:19" x14ac:dyDescent="0.25">
      <c r="A33" t="s">
        <v>59</v>
      </c>
      <c r="B33" t="s">
        <v>60</v>
      </c>
      <c r="C33" t="s">
        <v>32</v>
      </c>
      <c r="D33" t="s">
        <v>33</v>
      </c>
      <c r="E33" t="s">
        <v>162</v>
      </c>
      <c r="F33" t="s">
        <v>35</v>
      </c>
      <c r="G33" t="s">
        <v>35</v>
      </c>
      <c r="H33" t="s">
        <v>35</v>
      </c>
      <c r="J33" t="s">
        <v>166</v>
      </c>
      <c r="K33" t="s">
        <v>37</v>
      </c>
      <c r="M33">
        <v>6.7</v>
      </c>
      <c r="N33">
        <v>310</v>
      </c>
      <c r="O33" t="s">
        <v>5</v>
      </c>
      <c r="P33" t="s">
        <v>167</v>
      </c>
      <c r="Q33" t="s">
        <v>168</v>
      </c>
      <c r="R33" t="s">
        <v>169</v>
      </c>
      <c r="S33" t="s">
        <v>123</v>
      </c>
    </row>
    <row r="34" spans="1:19" x14ac:dyDescent="0.25">
      <c r="A34" t="s">
        <v>30</v>
      </c>
      <c r="B34" t="s">
        <v>31</v>
      </c>
      <c r="C34" t="s">
        <v>32</v>
      </c>
      <c r="D34" t="s">
        <v>33</v>
      </c>
      <c r="E34" t="s">
        <v>162</v>
      </c>
      <c r="F34" t="s">
        <v>35</v>
      </c>
      <c r="G34" t="s">
        <v>35</v>
      </c>
      <c r="H34" t="s">
        <v>35</v>
      </c>
      <c r="J34" t="s">
        <v>166</v>
      </c>
      <c r="K34" t="s">
        <v>37</v>
      </c>
      <c r="M34">
        <v>10.98</v>
      </c>
      <c r="N34">
        <v>112</v>
      </c>
      <c r="O34" t="s">
        <v>106</v>
      </c>
      <c r="P34" t="s">
        <v>170</v>
      </c>
      <c r="Q34" t="s">
        <v>171</v>
      </c>
      <c r="R34" t="s">
        <v>118</v>
      </c>
      <c r="S34" t="s">
        <v>65</v>
      </c>
    </row>
    <row r="35" spans="1:19" x14ac:dyDescent="0.25">
      <c r="A35" t="s">
        <v>30</v>
      </c>
      <c r="B35" t="s">
        <v>31</v>
      </c>
      <c r="C35" t="s">
        <v>32</v>
      </c>
      <c r="D35" t="s">
        <v>33</v>
      </c>
      <c r="E35" t="s">
        <v>172</v>
      </c>
      <c r="F35" t="s">
        <v>35</v>
      </c>
      <c r="G35" t="s">
        <v>35</v>
      </c>
      <c r="H35" t="s">
        <v>35</v>
      </c>
      <c r="J35" t="s">
        <v>148</v>
      </c>
      <c r="K35" t="s">
        <v>37</v>
      </c>
      <c r="M35">
        <v>4.4550000000000001</v>
      </c>
      <c r="N35">
        <v>47</v>
      </c>
      <c r="O35" t="s">
        <v>52</v>
      </c>
      <c r="P35" t="s">
        <v>173</v>
      </c>
      <c r="Q35" t="s">
        <v>132</v>
      </c>
      <c r="R35" t="s">
        <v>69</v>
      </c>
      <c r="S35" t="s">
        <v>70</v>
      </c>
    </row>
    <row r="36" spans="1:19" x14ac:dyDescent="0.25">
      <c r="A36" t="s">
        <v>44</v>
      </c>
      <c r="B36" t="s">
        <v>51</v>
      </c>
      <c r="C36" t="s">
        <v>32</v>
      </c>
      <c r="D36" t="s">
        <v>33</v>
      </c>
      <c r="E36" t="s">
        <v>172</v>
      </c>
      <c r="F36" t="s">
        <v>35</v>
      </c>
      <c r="G36" t="s">
        <v>35</v>
      </c>
      <c r="H36" t="s">
        <v>35</v>
      </c>
      <c r="J36" t="s">
        <v>174</v>
      </c>
      <c r="K36" t="s">
        <v>37</v>
      </c>
      <c r="M36">
        <v>1</v>
      </c>
      <c r="N36">
        <v>28</v>
      </c>
      <c r="O36" t="s">
        <v>46</v>
      </c>
      <c r="P36" t="s">
        <v>175</v>
      </c>
      <c r="Q36" t="s">
        <v>176</v>
      </c>
      <c r="R36" t="s">
        <v>85</v>
      </c>
      <c r="S36" t="s">
        <v>86</v>
      </c>
    </row>
    <row r="37" spans="1:19" x14ac:dyDescent="0.25">
      <c r="A37" t="s">
        <v>30</v>
      </c>
      <c r="B37" t="s">
        <v>31</v>
      </c>
      <c r="C37" t="s">
        <v>32</v>
      </c>
      <c r="D37" t="s">
        <v>33</v>
      </c>
      <c r="E37" t="s">
        <v>177</v>
      </c>
      <c r="F37" t="s">
        <v>35</v>
      </c>
      <c r="G37" t="s">
        <v>35</v>
      </c>
      <c r="H37" t="s">
        <v>35</v>
      </c>
      <c r="J37" t="s">
        <v>104</v>
      </c>
      <c r="K37" t="s">
        <v>37</v>
      </c>
      <c r="M37">
        <v>9.99</v>
      </c>
      <c r="N37">
        <v>26</v>
      </c>
      <c r="O37" t="s">
        <v>46</v>
      </c>
      <c r="P37" t="s">
        <v>178</v>
      </c>
      <c r="Q37" t="s">
        <v>94</v>
      </c>
      <c r="R37" t="s">
        <v>91</v>
      </c>
      <c r="S37" t="s">
        <v>92</v>
      </c>
    </row>
    <row r="38" spans="1:19" x14ac:dyDescent="0.25">
      <c r="A38" t="s">
        <v>44</v>
      </c>
      <c r="B38" t="s">
        <v>3</v>
      </c>
      <c r="C38" t="s">
        <v>32</v>
      </c>
      <c r="D38" t="s">
        <v>33</v>
      </c>
      <c r="E38" t="s">
        <v>177</v>
      </c>
      <c r="F38" t="s">
        <v>35</v>
      </c>
      <c r="G38" t="s">
        <v>35</v>
      </c>
      <c r="H38" t="s">
        <v>35</v>
      </c>
      <c r="J38" t="s">
        <v>181</v>
      </c>
      <c r="K38" t="s">
        <v>37</v>
      </c>
      <c r="M38">
        <v>8</v>
      </c>
      <c r="N38">
        <v>70</v>
      </c>
      <c r="O38" t="s">
        <v>61</v>
      </c>
      <c r="P38" t="s">
        <v>186</v>
      </c>
      <c r="Q38" t="s">
        <v>126</v>
      </c>
      <c r="R38" t="s">
        <v>91</v>
      </c>
      <c r="S38" t="s">
        <v>92</v>
      </c>
    </row>
    <row r="39" spans="1:19" x14ac:dyDescent="0.25">
      <c r="A39" t="s">
        <v>59</v>
      </c>
      <c r="B39" t="s">
        <v>60</v>
      </c>
      <c r="C39" t="s">
        <v>32</v>
      </c>
      <c r="D39" t="s">
        <v>33</v>
      </c>
      <c r="E39" t="s">
        <v>177</v>
      </c>
      <c r="F39" t="s">
        <v>35</v>
      </c>
      <c r="G39" t="s">
        <v>35</v>
      </c>
      <c r="H39" t="s">
        <v>35</v>
      </c>
      <c r="J39" t="s">
        <v>181</v>
      </c>
      <c r="K39" t="s">
        <v>37</v>
      </c>
      <c r="M39">
        <v>15.515000000000001</v>
      </c>
      <c r="N39">
        <v>65</v>
      </c>
      <c r="O39" t="s">
        <v>61</v>
      </c>
      <c r="P39" t="s">
        <v>182</v>
      </c>
      <c r="Q39" t="s">
        <v>128</v>
      </c>
      <c r="R39" t="s">
        <v>91</v>
      </c>
      <c r="S39" t="s">
        <v>92</v>
      </c>
    </row>
    <row r="40" spans="1:19" x14ac:dyDescent="0.25">
      <c r="A40" t="s">
        <v>44</v>
      </c>
      <c r="B40" t="s">
        <v>3</v>
      </c>
      <c r="C40" t="s">
        <v>32</v>
      </c>
      <c r="D40" t="s">
        <v>33</v>
      </c>
      <c r="E40" t="s">
        <v>177</v>
      </c>
      <c r="F40" t="s">
        <v>35</v>
      </c>
      <c r="G40" t="s">
        <v>35</v>
      </c>
      <c r="H40" t="s">
        <v>35</v>
      </c>
      <c r="J40" t="s">
        <v>181</v>
      </c>
      <c r="K40" t="s">
        <v>37</v>
      </c>
      <c r="M40">
        <v>18.7</v>
      </c>
      <c r="N40">
        <v>70</v>
      </c>
      <c r="O40" t="s">
        <v>61</v>
      </c>
      <c r="P40" t="s">
        <v>185</v>
      </c>
      <c r="Q40" t="s">
        <v>126</v>
      </c>
      <c r="R40" t="s">
        <v>91</v>
      </c>
      <c r="S40" t="s">
        <v>92</v>
      </c>
    </row>
    <row r="41" spans="1:19" x14ac:dyDescent="0.25">
      <c r="A41" t="s">
        <v>59</v>
      </c>
      <c r="B41" t="s">
        <v>31</v>
      </c>
      <c r="C41" t="s">
        <v>32</v>
      </c>
      <c r="D41" t="s">
        <v>33</v>
      </c>
      <c r="E41" t="s">
        <v>177</v>
      </c>
      <c r="F41" t="s">
        <v>35</v>
      </c>
      <c r="G41" t="s">
        <v>35</v>
      </c>
      <c r="H41" t="s">
        <v>35</v>
      </c>
      <c r="J41" t="s">
        <v>181</v>
      </c>
      <c r="K41" t="s">
        <v>37</v>
      </c>
      <c r="M41">
        <v>7.8650000000000002</v>
      </c>
      <c r="N41">
        <v>65</v>
      </c>
      <c r="O41" t="s">
        <v>61</v>
      </c>
      <c r="P41" t="s">
        <v>184</v>
      </c>
      <c r="Q41" t="s">
        <v>128</v>
      </c>
      <c r="R41" t="s">
        <v>91</v>
      </c>
      <c r="S41" t="s">
        <v>92</v>
      </c>
    </row>
    <row r="42" spans="1:19" x14ac:dyDescent="0.25">
      <c r="A42" t="s">
        <v>30</v>
      </c>
      <c r="B42" t="s">
        <v>31</v>
      </c>
      <c r="C42" t="s">
        <v>32</v>
      </c>
      <c r="D42" t="s">
        <v>33</v>
      </c>
      <c r="E42" t="s">
        <v>177</v>
      </c>
      <c r="F42" t="s">
        <v>35</v>
      </c>
      <c r="G42" t="s">
        <v>35</v>
      </c>
      <c r="H42" t="s">
        <v>35</v>
      </c>
      <c r="J42" t="s">
        <v>181</v>
      </c>
      <c r="K42" t="s">
        <v>37</v>
      </c>
      <c r="M42">
        <v>54.945</v>
      </c>
      <c r="N42">
        <v>26</v>
      </c>
      <c r="O42" t="s">
        <v>46</v>
      </c>
      <c r="P42" t="s">
        <v>187</v>
      </c>
      <c r="Q42" t="s">
        <v>94</v>
      </c>
      <c r="R42" t="s">
        <v>91</v>
      </c>
      <c r="S42" t="s">
        <v>92</v>
      </c>
    </row>
    <row r="43" spans="1:19" x14ac:dyDescent="0.25">
      <c r="A43" t="s">
        <v>30</v>
      </c>
      <c r="B43" t="s">
        <v>31</v>
      </c>
      <c r="C43" t="s">
        <v>32</v>
      </c>
      <c r="D43" t="s">
        <v>33</v>
      </c>
      <c r="E43" t="s">
        <v>177</v>
      </c>
      <c r="F43" t="s">
        <v>35</v>
      </c>
      <c r="G43" t="s">
        <v>35</v>
      </c>
      <c r="H43" t="s">
        <v>35</v>
      </c>
      <c r="J43" t="s">
        <v>181</v>
      </c>
      <c r="K43" t="s">
        <v>37</v>
      </c>
      <c r="M43">
        <v>5.27</v>
      </c>
      <c r="N43">
        <v>26</v>
      </c>
      <c r="O43" t="s">
        <v>46</v>
      </c>
      <c r="P43" t="s">
        <v>188</v>
      </c>
      <c r="Q43" t="s">
        <v>94</v>
      </c>
      <c r="R43" t="s">
        <v>91</v>
      </c>
      <c r="S43" t="s">
        <v>92</v>
      </c>
    </row>
    <row r="44" spans="1:19" x14ac:dyDescent="0.25">
      <c r="A44" t="s">
        <v>44</v>
      </c>
      <c r="B44" t="s">
        <v>51</v>
      </c>
      <c r="C44" t="s">
        <v>32</v>
      </c>
      <c r="D44" t="s">
        <v>33</v>
      </c>
      <c r="E44" t="s">
        <v>177</v>
      </c>
      <c r="F44" t="s">
        <v>35</v>
      </c>
      <c r="G44" t="s">
        <v>35</v>
      </c>
      <c r="H44" t="s">
        <v>35</v>
      </c>
      <c r="J44" t="s">
        <v>181</v>
      </c>
      <c r="K44" t="s">
        <v>37</v>
      </c>
      <c r="M44">
        <v>5</v>
      </c>
      <c r="N44">
        <v>62</v>
      </c>
      <c r="O44" t="s">
        <v>61</v>
      </c>
      <c r="P44" t="s">
        <v>183</v>
      </c>
      <c r="Q44" t="s">
        <v>90</v>
      </c>
      <c r="R44" t="s">
        <v>91</v>
      </c>
      <c r="S44" t="s">
        <v>92</v>
      </c>
    </row>
    <row r="45" spans="1:19" x14ac:dyDescent="0.25">
      <c r="A45" t="s">
        <v>44</v>
      </c>
      <c r="B45" t="s">
        <v>3</v>
      </c>
      <c r="C45" t="s">
        <v>32</v>
      </c>
      <c r="D45" t="s">
        <v>33</v>
      </c>
      <c r="E45" t="s">
        <v>177</v>
      </c>
      <c r="F45" t="s">
        <v>35</v>
      </c>
      <c r="G45" t="s">
        <v>35</v>
      </c>
      <c r="H45" t="s">
        <v>35</v>
      </c>
      <c r="J45" t="s">
        <v>189</v>
      </c>
      <c r="K45" t="s">
        <v>37</v>
      </c>
      <c r="M45">
        <v>4.2</v>
      </c>
      <c r="N45">
        <v>44</v>
      </c>
      <c r="O45" t="s">
        <v>52</v>
      </c>
      <c r="P45" t="s">
        <v>191</v>
      </c>
      <c r="Q45" t="s">
        <v>192</v>
      </c>
      <c r="R45" t="s">
        <v>193</v>
      </c>
      <c r="S45" t="s">
        <v>181</v>
      </c>
    </row>
    <row r="46" spans="1:19" x14ac:dyDescent="0.25">
      <c r="A46" t="s">
        <v>30</v>
      </c>
      <c r="B46" t="s">
        <v>31</v>
      </c>
      <c r="C46" t="s">
        <v>32</v>
      </c>
      <c r="D46" t="s">
        <v>33</v>
      </c>
      <c r="E46" t="s">
        <v>177</v>
      </c>
      <c r="F46" t="s">
        <v>35</v>
      </c>
      <c r="G46" t="s">
        <v>35</v>
      </c>
      <c r="H46" t="s">
        <v>35</v>
      </c>
      <c r="J46" t="s">
        <v>194</v>
      </c>
      <c r="K46" t="s">
        <v>37</v>
      </c>
      <c r="M46">
        <v>5.49</v>
      </c>
      <c r="N46">
        <v>26</v>
      </c>
      <c r="O46" t="s">
        <v>46</v>
      </c>
      <c r="P46" t="s">
        <v>195</v>
      </c>
      <c r="Q46" t="s">
        <v>94</v>
      </c>
      <c r="R46" t="s">
        <v>91</v>
      </c>
      <c r="S46" t="s">
        <v>92</v>
      </c>
    </row>
    <row r="47" spans="1:19" x14ac:dyDescent="0.25">
      <c r="A47" t="s">
        <v>59</v>
      </c>
      <c r="B47" t="s">
        <v>60</v>
      </c>
      <c r="C47" t="s">
        <v>32</v>
      </c>
      <c r="D47" t="s">
        <v>33</v>
      </c>
      <c r="E47" t="s">
        <v>196</v>
      </c>
      <c r="F47" t="s">
        <v>35</v>
      </c>
      <c r="G47" t="s">
        <v>35</v>
      </c>
      <c r="H47" t="s">
        <v>35</v>
      </c>
      <c r="J47" t="s">
        <v>197</v>
      </c>
      <c r="K47" t="s">
        <v>37</v>
      </c>
      <c r="M47">
        <v>3</v>
      </c>
      <c r="N47">
        <v>66</v>
      </c>
      <c r="O47" t="s">
        <v>61</v>
      </c>
      <c r="P47" t="s">
        <v>202</v>
      </c>
      <c r="Q47" t="s">
        <v>203</v>
      </c>
      <c r="R47" t="s">
        <v>103</v>
      </c>
      <c r="S47" t="s">
        <v>104</v>
      </c>
    </row>
    <row r="48" spans="1:19" x14ac:dyDescent="0.25">
      <c r="A48" t="s">
        <v>44</v>
      </c>
      <c r="B48" t="s">
        <v>3</v>
      </c>
      <c r="C48" t="s">
        <v>32</v>
      </c>
      <c r="D48" t="s">
        <v>33</v>
      </c>
      <c r="E48" t="s">
        <v>196</v>
      </c>
      <c r="F48" t="s">
        <v>35</v>
      </c>
      <c r="G48" t="s">
        <v>35</v>
      </c>
      <c r="H48" t="s">
        <v>35</v>
      </c>
      <c r="J48" t="s">
        <v>197</v>
      </c>
      <c r="K48" t="s">
        <v>37</v>
      </c>
      <c r="M48">
        <v>3.7</v>
      </c>
      <c r="N48">
        <v>68</v>
      </c>
      <c r="O48" t="s">
        <v>61</v>
      </c>
      <c r="P48" t="s">
        <v>198</v>
      </c>
      <c r="Q48" t="s">
        <v>146</v>
      </c>
      <c r="R48" t="s">
        <v>199</v>
      </c>
      <c r="S48" t="s">
        <v>200</v>
      </c>
    </row>
    <row r="49" spans="1:19" x14ac:dyDescent="0.25">
      <c r="A49" t="s">
        <v>44</v>
      </c>
      <c r="B49" t="s">
        <v>3</v>
      </c>
      <c r="C49" t="s">
        <v>32</v>
      </c>
      <c r="D49" t="s">
        <v>33</v>
      </c>
      <c r="E49" t="s">
        <v>204</v>
      </c>
      <c r="F49" t="s">
        <v>35</v>
      </c>
      <c r="G49" t="s">
        <v>35</v>
      </c>
      <c r="H49" t="s">
        <v>35</v>
      </c>
      <c r="J49" t="s">
        <v>205</v>
      </c>
      <c r="K49" t="s">
        <v>37</v>
      </c>
      <c r="M49">
        <v>11</v>
      </c>
      <c r="N49">
        <v>59</v>
      </c>
      <c r="O49" t="s">
        <v>52</v>
      </c>
      <c r="P49" t="s">
        <v>206</v>
      </c>
      <c r="Q49" t="s">
        <v>84</v>
      </c>
      <c r="R49" t="s">
        <v>85</v>
      </c>
      <c r="S49" t="s">
        <v>86</v>
      </c>
    </row>
    <row r="50" spans="1:19" x14ac:dyDescent="0.25">
      <c r="A50" t="s">
        <v>44</v>
      </c>
      <c r="B50" t="s">
        <v>3</v>
      </c>
      <c r="C50" t="s">
        <v>32</v>
      </c>
      <c r="D50" t="s">
        <v>33</v>
      </c>
      <c r="E50" t="s">
        <v>204</v>
      </c>
      <c r="F50" t="s">
        <v>35</v>
      </c>
      <c r="G50" t="s">
        <v>35</v>
      </c>
      <c r="H50" t="s">
        <v>35</v>
      </c>
      <c r="J50" t="s">
        <v>207</v>
      </c>
      <c r="K50" t="s">
        <v>37</v>
      </c>
      <c r="M50">
        <v>11</v>
      </c>
      <c r="N50">
        <v>59</v>
      </c>
      <c r="O50" t="s">
        <v>52</v>
      </c>
      <c r="P50" t="s">
        <v>208</v>
      </c>
      <c r="Q50" t="s">
        <v>84</v>
      </c>
      <c r="R50" t="s">
        <v>85</v>
      </c>
      <c r="S50" t="s">
        <v>86</v>
      </c>
    </row>
    <row r="51" spans="1:19" x14ac:dyDescent="0.25">
      <c r="A51" t="s">
        <v>44</v>
      </c>
      <c r="B51" t="s">
        <v>3</v>
      </c>
      <c r="C51" t="s">
        <v>32</v>
      </c>
      <c r="D51" t="s">
        <v>33</v>
      </c>
      <c r="E51" t="s">
        <v>204</v>
      </c>
      <c r="F51" t="s">
        <v>35</v>
      </c>
      <c r="G51" t="s">
        <v>35</v>
      </c>
      <c r="H51" t="s">
        <v>35</v>
      </c>
      <c r="J51" t="s">
        <v>209</v>
      </c>
      <c r="K51" t="s">
        <v>37</v>
      </c>
      <c r="M51">
        <v>11</v>
      </c>
      <c r="N51">
        <v>59</v>
      </c>
      <c r="O51" t="s">
        <v>52</v>
      </c>
      <c r="P51" t="s">
        <v>211</v>
      </c>
      <c r="Q51" t="s">
        <v>84</v>
      </c>
      <c r="R51" t="s">
        <v>85</v>
      </c>
      <c r="S51" t="s">
        <v>86</v>
      </c>
    </row>
    <row r="52" spans="1:19" x14ac:dyDescent="0.25">
      <c r="A52" t="s">
        <v>44</v>
      </c>
      <c r="B52" t="s">
        <v>3</v>
      </c>
      <c r="C52" t="s">
        <v>32</v>
      </c>
      <c r="D52" t="s">
        <v>33</v>
      </c>
      <c r="E52" t="s">
        <v>204</v>
      </c>
      <c r="F52" t="s">
        <v>35</v>
      </c>
      <c r="G52" t="s">
        <v>35</v>
      </c>
      <c r="H52" t="s">
        <v>35</v>
      </c>
      <c r="J52" t="s">
        <v>209</v>
      </c>
      <c r="K52" t="s">
        <v>37</v>
      </c>
      <c r="M52">
        <v>8</v>
      </c>
      <c r="N52">
        <v>59</v>
      </c>
      <c r="O52" t="s">
        <v>52</v>
      </c>
      <c r="P52" t="s">
        <v>212</v>
      </c>
      <c r="Q52" t="s">
        <v>84</v>
      </c>
      <c r="R52" t="s">
        <v>85</v>
      </c>
      <c r="S52" t="s">
        <v>86</v>
      </c>
    </row>
    <row r="53" spans="1:19" x14ac:dyDescent="0.25">
      <c r="A53" t="s">
        <v>44</v>
      </c>
      <c r="B53" t="s">
        <v>3</v>
      </c>
      <c r="C53" t="s">
        <v>32</v>
      </c>
      <c r="D53" t="s">
        <v>33</v>
      </c>
      <c r="E53" t="s">
        <v>204</v>
      </c>
      <c r="F53" t="s">
        <v>35</v>
      </c>
      <c r="G53" t="s">
        <v>35</v>
      </c>
      <c r="H53" t="s">
        <v>35</v>
      </c>
      <c r="J53" t="s">
        <v>213</v>
      </c>
      <c r="K53" t="s">
        <v>37</v>
      </c>
      <c r="M53">
        <v>11</v>
      </c>
      <c r="N53">
        <v>59</v>
      </c>
      <c r="O53" t="s">
        <v>52</v>
      </c>
      <c r="P53" t="s">
        <v>214</v>
      </c>
      <c r="Q53" t="s">
        <v>84</v>
      </c>
      <c r="R53" t="s">
        <v>85</v>
      </c>
      <c r="S53" t="s">
        <v>86</v>
      </c>
    </row>
    <row r="54" spans="1:19" x14ac:dyDescent="0.25">
      <c r="A54" t="s">
        <v>59</v>
      </c>
      <c r="B54" t="s">
        <v>31</v>
      </c>
      <c r="C54" t="s">
        <v>32</v>
      </c>
      <c r="D54" t="s">
        <v>33</v>
      </c>
      <c r="F54" t="s">
        <v>35</v>
      </c>
      <c r="G54" t="s">
        <v>35</v>
      </c>
      <c r="H54" t="s">
        <v>35</v>
      </c>
      <c r="J54" t="s">
        <v>215</v>
      </c>
      <c r="K54" t="s">
        <v>37</v>
      </c>
      <c r="M54">
        <v>5.49</v>
      </c>
      <c r="N54">
        <v>65</v>
      </c>
      <c r="O54" t="s">
        <v>61</v>
      </c>
      <c r="P54" t="s">
        <v>221</v>
      </c>
      <c r="Q54" t="s">
        <v>128</v>
      </c>
      <c r="R54" t="s">
        <v>91</v>
      </c>
      <c r="S54" t="s">
        <v>92</v>
      </c>
    </row>
    <row r="55" spans="1:19" x14ac:dyDescent="0.25">
      <c r="A55" t="s">
        <v>59</v>
      </c>
      <c r="B55" t="s">
        <v>60</v>
      </c>
      <c r="C55" t="s">
        <v>32</v>
      </c>
      <c r="D55" t="s">
        <v>33</v>
      </c>
      <c r="F55" t="s">
        <v>35</v>
      </c>
      <c r="G55" t="s">
        <v>35</v>
      </c>
      <c r="H55" t="s">
        <v>35</v>
      </c>
      <c r="J55" t="s">
        <v>215</v>
      </c>
      <c r="K55" t="s">
        <v>37</v>
      </c>
      <c r="M55">
        <v>1</v>
      </c>
      <c r="N55">
        <v>65</v>
      </c>
      <c r="O55" t="s">
        <v>61</v>
      </c>
      <c r="P55" t="s">
        <v>217</v>
      </c>
      <c r="Q55" t="s">
        <v>128</v>
      </c>
      <c r="R55" t="s">
        <v>91</v>
      </c>
      <c r="S55" t="s">
        <v>92</v>
      </c>
    </row>
    <row r="56" spans="1:19" x14ac:dyDescent="0.25">
      <c r="A56" t="s">
        <v>44</v>
      </c>
      <c r="B56" t="s">
        <v>3</v>
      </c>
      <c r="C56" t="s">
        <v>32</v>
      </c>
      <c r="D56" t="s">
        <v>33</v>
      </c>
      <c r="F56" t="s">
        <v>35</v>
      </c>
      <c r="G56" t="s">
        <v>35</v>
      </c>
      <c r="H56" t="s">
        <v>35</v>
      </c>
      <c r="J56" t="s">
        <v>215</v>
      </c>
      <c r="K56" t="s">
        <v>37</v>
      </c>
      <c r="M56">
        <v>9</v>
      </c>
      <c r="N56">
        <v>70</v>
      </c>
      <c r="O56" t="s">
        <v>61</v>
      </c>
      <c r="P56" t="s">
        <v>220</v>
      </c>
      <c r="Q56" t="s">
        <v>126</v>
      </c>
      <c r="R56" t="s">
        <v>91</v>
      </c>
      <c r="S56" t="s">
        <v>92</v>
      </c>
    </row>
    <row r="57" spans="1:19" x14ac:dyDescent="0.25">
      <c r="A57" t="s">
        <v>30</v>
      </c>
      <c r="B57" t="s">
        <v>31</v>
      </c>
      <c r="C57" t="s">
        <v>32</v>
      </c>
      <c r="D57" t="s">
        <v>33</v>
      </c>
      <c r="F57" t="s">
        <v>35</v>
      </c>
      <c r="G57" t="s">
        <v>35</v>
      </c>
      <c r="H57" t="s">
        <v>35</v>
      </c>
      <c r="J57" t="s">
        <v>215</v>
      </c>
      <c r="K57" t="s">
        <v>37</v>
      </c>
      <c r="M57">
        <v>16.47</v>
      </c>
      <c r="N57">
        <v>49</v>
      </c>
      <c r="O57" t="s">
        <v>52</v>
      </c>
      <c r="P57" t="s">
        <v>218</v>
      </c>
      <c r="Q57" t="s">
        <v>219</v>
      </c>
      <c r="R57" t="s">
        <v>91</v>
      </c>
      <c r="S57" t="s">
        <v>92</v>
      </c>
    </row>
    <row r="58" spans="1:19" x14ac:dyDescent="0.25">
      <c r="A58" t="s">
        <v>59</v>
      </c>
      <c r="B58" t="s">
        <v>31</v>
      </c>
      <c r="C58" t="s">
        <v>32</v>
      </c>
      <c r="D58" t="s">
        <v>33</v>
      </c>
      <c r="F58" t="s">
        <v>35</v>
      </c>
      <c r="G58" t="s">
        <v>35</v>
      </c>
      <c r="H58" t="s">
        <v>35</v>
      </c>
      <c r="J58" t="s">
        <v>222</v>
      </c>
      <c r="K58" t="s">
        <v>37</v>
      </c>
      <c r="M58">
        <v>1.8</v>
      </c>
      <c r="N58">
        <v>65</v>
      </c>
      <c r="O58" t="s">
        <v>61</v>
      </c>
      <c r="P58" t="s">
        <v>223</v>
      </c>
      <c r="Q58" t="s">
        <v>128</v>
      </c>
      <c r="R58" t="s">
        <v>91</v>
      </c>
      <c r="S58" t="s">
        <v>92</v>
      </c>
    </row>
    <row r="59" spans="1:19" x14ac:dyDescent="0.25">
      <c r="A59" t="s">
        <v>44</v>
      </c>
      <c r="B59" t="s">
        <v>51</v>
      </c>
      <c r="C59" t="s">
        <v>32</v>
      </c>
      <c r="D59" t="s">
        <v>33</v>
      </c>
      <c r="F59" t="s">
        <v>35</v>
      </c>
      <c r="G59" t="s">
        <v>35</v>
      </c>
      <c r="H59" t="s">
        <v>35</v>
      </c>
      <c r="J59" t="s">
        <v>222</v>
      </c>
      <c r="K59" t="s">
        <v>37</v>
      </c>
      <c r="M59">
        <v>3.5</v>
      </c>
      <c r="N59">
        <v>62</v>
      </c>
      <c r="O59" t="s">
        <v>61</v>
      </c>
      <c r="P59" t="s">
        <v>224</v>
      </c>
      <c r="Q59" t="s">
        <v>90</v>
      </c>
      <c r="R59" t="s">
        <v>91</v>
      </c>
      <c r="S59" t="s">
        <v>92</v>
      </c>
    </row>
    <row r="60" spans="1:19" x14ac:dyDescent="0.25">
      <c r="A60" t="s">
        <v>59</v>
      </c>
      <c r="B60" t="s">
        <v>60</v>
      </c>
      <c r="C60" t="s">
        <v>32</v>
      </c>
      <c r="D60" t="s">
        <v>33</v>
      </c>
      <c r="F60" t="s">
        <v>35</v>
      </c>
      <c r="G60" t="s">
        <v>35</v>
      </c>
      <c r="H60" t="s">
        <v>35</v>
      </c>
      <c r="J60" t="s">
        <v>222</v>
      </c>
      <c r="K60" t="s">
        <v>37</v>
      </c>
      <c r="M60">
        <v>1</v>
      </c>
      <c r="N60">
        <v>65</v>
      </c>
      <c r="O60" t="s">
        <v>61</v>
      </c>
      <c r="P60" t="s">
        <v>225</v>
      </c>
      <c r="Q60" t="s">
        <v>128</v>
      </c>
      <c r="R60" t="s">
        <v>91</v>
      </c>
      <c r="S60" t="s">
        <v>92</v>
      </c>
    </row>
    <row r="61" spans="1:19" x14ac:dyDescent="0.25">
      <c r="A61" t="s">
        <v>30</v>
      </c>
      <c r="B61" t="s">
        <v>31</v>
      </c>
      <c r="C61" t="s">
        <v>32</v>
      </c>
      <c r="D61" t="s">
        <v>33</v>
      </c>
      <c r="F61" t="s">
        <v>35</v>
      </c>
      <c r="G61" t="s">
        <v>35</v>
      </c>
      <c r="H61" t="s">
        <v>35</v>
      </c>
      <c r="J61" t="s">
        <v>222</v>
      </c>
      <c r="K61" t="s">
        <v>37</v>
      </c>
      <c r="M61">
        <v>5.49</v>
      </c>
      <c r="N61">
        <v>49</v>
      </c>
      <c r="O61" t="s">
        <v>52</v>
      </c>
      <c r="P61" t="s">
        <v>226</v>
      </c>
      <c r="Q61" t="s">
        <v>219</v>
      </c>
      <c r="R61" t="s">
        <v>91</v>
      </c>
      <c r="S61" t="s">
        <v>92</v>
      </c>
    </row>
    <row r="62" spans="1:19" x14ac:dyDescent="0.25">
      <c r="A62" t="s">
        <v>44</v>
      </c>
      <c r="B62" t="s">
        <v>3</v>
      </c>
      <c r="C62" t="s">
        <v>32</v>
      </c>
      <c r="D62" t="s">
        <v>227</v>
      </c>
      <c r="E62" t="s">
        <v>228</v>
      </c>
      <c r="F62" t="s">
        <v>35</v>
      </c>
      <c r="G62" t="s">
        <v>35</v>
      </c>
      <c r="H62" t="s">
        <v>35</v>
      </c>
      <c r="J62" t="s">
        <v>229</v>
      </c>
      <c r="K62" t="s">
        <v>37</v>
      </c>
      <c r="M62">
        <v>11</v>
      </c>
      <c r="N62">
        <v>70</v>
      </c>
      <c r="O62" t="s">
        <v>61</v>
      </c>
      <c r="P62" t="s">
        <v>232</v>
      </c>
      <c r="Q62" t="s">
        <v>126</v>
      </c>
      <c r="R62" t="s">
        <v>91</v>
      </c>
      <c r="S62" t="s">
        <v>92</v>
      </c>
    </row>
    <row r="63" spans="1:19" x14ac:dyDescent="0.25">
      <c r="A63" t="s">
        <v>44</v>
      </c>
      <c r="B63" t="s">
        <v>51</v>
      </c>
      <c r="C63" t="s">
        <v>32</v>
      </c>
      <c r="D63" t="s">
        <v>227</v>
      </c>
      <c r="E63" t="s">
        <v>228</v>
      </c>
      <c r="F63" t="s">
        <v>35</v>
      </c>
      <c r="G63" t="s">
        <v>35</v>
      </c>
      <c r="H63" t="s">
        <v>35</v>
      </c>
      <c r="J63" t="s">
        <v>229</v>
      </c>
      <c r="K63" t="s">
        <v>37</v>
      </c>
      <c r="M63">
        <v>8</v>
      </c>
      <c r="N63">
        <v>65</v>
      </c>
      <c r="O63" t="s">
        <v>61</v>
      </c>
      <c r="P63" t="s">
        <v>231</v>
      </c>
      <c r="Q63" t="s">
        <v>128</v>
      </c>
      <c r="R63" t="s">
        <v>91</v>
      </c>
      <c r="S63" t="s">
        <v>92</v>
      </c>
    </row>
    <row r="64" spans="1:19" x14ac:dyDescent="0.25">
      <c r="A64" t="s">
        <v>59</v>
      </c>
      <c r="B64" t="s">
        <v>60</v>
      </c>
      <c r="C64" t="s">
        <v>32</v>
      </c>
      <c r="D64" t="s">
        <v>227</v>
      </c>
      <c r="E64" t="s">
        <v>228</v>
      </c>
      <c r="F64" t="s">
        <v>35</v>
      </c>
      <c r="G64" t="s">
        <v>35</v>
      </c>
      <c r="H64" t="s">
        <v>35</v>
      </c>
      <c r="J64" t="s">
        <v>229</v>
      </c>
      <c r="K64" t="s">
        <v>37</v>
      </c>
      <c r="M64">
        <v>2.5</v>
      </c>
      <c r="N64">
        <v>76</v>
      </c>
      <c r="O64" t="s">
        <v>61</v>
      </c>
      <c r="P64" t="s">
        <v>233</v>
      </c>
      <c r="Q64" t="s">
        <v>234</v>
      </c>
      <c r="R64" t="s">
        <v>91</v>
      </c>
      <c r="S64" t="s">
        <v>92</v>
      </c>
    </row>
    <row r="65" spans="1:19" x14ac:dyDescent="0.25">
      <c r="A65" t="s">
        <v>44</v>
      </c>
      <c r="B65" t="s">
        <v>51</v>
      </c>
      <c r="C65" t="s">
        <v>32</v>
      </c>
      <c r="D65" t="s">
        <v>227</v>
      </c>
      <c r="E65" t="s">
        <v>235</v>
      </c>
      <c r="F65" t="s">
        <v>35</v>
      </c>
      <c r="G65" t="s">
        <v>35</v>
      </c>
      <c r="H65" t="s">
        <v>35</v>
      </c>
      <c r="J65" t="s">
        <v>236</v>
      </c>
      <c r="K65" t="s">
        <v>37</v>
      </c>
      <c r="M65">
        <v>8.75</v>
      </c>
      <c r="N65">
        <v>62</v>
      </c>
      <c r="O65" t="s">
        <v>61</v>
      </c>
      <c r="P65" t="s">
        <v>238</v>
      </c>
      <c r="Q65" t="s">
        <v>90</v>
      </c>
      <c r="R65" t="s">
        <v>91</v>
      </c>
      <c r="S65" t="s">
        <v>92</v>
      </c>
    </row>
    <row r="66" spans="1:19" x14ac:dyDescent="0.25">
      <c r="A66" t="s">
        <v>44</v>
      </c>
      <c r="B66" t="s">
        <v>3</v>
      </c>
      <c r="C66" t="s">
        <v>32</v>
      </c>
      <c r="D66" t="s">
        <v>227</v>
      </c>
      <c r="E66" t="s">
        <v>235</v>
      </c>
      <c r="F66" t="s">
        <v>35</v>
      </c>
      <c r="G66" t="s">
        <v>35</v>
      </c>
      <c r="H66" t="s">
        <v>35</v>
      </c>
      <c r="J66" t="s">
        <v>236</v>
      </c>
      <c r="K66" t="s">
        <v>37</v>
      </c>
      <c r="M66">
        <v>11.85</v>
      </c>
      <c r="N66">
        <v>70</v>
      </c>
      <c r="O66" t="s">
        <v>61</v>
      </c>
      <c r="P66" t="s">
        <v>239</v>
      </c>
      <c r="Q66" t="s">
        <v>126</v>
      </c>
      <c r="R66" t="s">
        <v>91</v>
      </c>
      <c r="S66" t="s">
        <v>92</v>
      </c>
    </row>
    <row r="67" spans="1:19" x14ac:dyDescent="0.25">
      <c r="A67" t="s">
        <v>30</v>
      </c>
      <c r="B67" t="s">
        <v>31</v>
      </c>
      <c r="C67" t="s">
        <v>32</v>
      </c>
      <c r="D67" t="s">
        <v>227</v>
      </c>
      <c r="E67" t="s">
        <v>241</v>
      </c>
      <c r="F67" t="s">
        <v>35</v>
      </c>
      <c r="G67" t="s">
        <v>35</v>
      </c>
      <c r="H67" t="s">
        <v>35</v>
      </c>
      <c r="J67" t="s">
        <v>242</v>
      </c>
      <c r="K67" t="s">
        <v>37</v>
      </c>
      <c r="M67">
        <v>32.94</v>
      </c>
      <c r="N67">
        <v>2</v>
      </c>
      <c r="O67" t="s">
        <v>46</v>
      </c>
      <c r="P67" t="s">
        <v>8154</v>
      </c>
      <c r="Q67" t="s">
        <v>8155</v>
      </c>
      <c r="R67" t="s">
        <v>91</v>
      </c>
      <c r="S67" t="s">
        <v>92</v>
      </c>
    </row>
    <row r="68" spans="1:19" x14ac:dyDescent="0.25">
      <c r="A68" t="s">
        <v>44</v>
      </c>
      <c r="B68" t="s">
        <v>3</v>
      </c>
      <c r="C68" t="s">
        <v>32</v>
      </c>
      <c r="D68" t="s">
        <v>227</v>
      </c>
      <c r="E68" t="s">
        <v>241</v>
      </c>
      <c r="F68" t="s">
        <v>35</v>
      </c>
      <c r="G68" t="s">
        <v>35</v>
      </c>
      <c r="H68" t="s">
        <v>35</v>
      </c>
      <c r="J68" t="s">
        <v>242</v>
      </c>
      <c r="K68" t="s">
        <v>37</v>
      </c>
      <c r="M68">
        <v>22</v>
      </c>
      <c r="N68">
        <v>70</v>
      </c>
      <c r="O68" t="s">
        <v>61</v>
      </c>
      <c r="P68" t="s">
        <v>245</v>
      </c>
      <c r="Q68" t="s">
        <v>126</v>
      </c>
      <c r="R68" t="s">
        <v>91</v>
      </c>
      <c r="S68" t="s">
        <v>92</v>
      </c>
    </row>
    <row r="69" spans="1:19" x14ac:dyDescent="0.25">
      <c r="A69" t="s">
        <v>30</v>
      </c>
      <c r="B69" t="s">
        <v>31</v>
      </c>
      <c r="C69" t="s">
        <v>32</v>
      </c>
      <c r="D69" t="s">
        <v>227</v>
      </c>
      <c r="E69" t="s">
        <v>241</v>
      </c>
      <c r="F69" t="s">
        <v>35</v>
      </c>
      <c r="G69" t="s">
        <v>35</v>
      </c>
      <c r="H69" t="s">
        <v>35</v>
      </c>
      <c r="J69" t="s">
        <v>242</v>
      </c>
      <c r="K69" t="s">
        <v>37</v>
      </c>
      <c r="M69">
        <v>3.7949999999999999</v>
      </c>
      <c r="N69">
        <v>49</v>
      </c>
      <c r="O69" t="s">
        <v>52</v>
      </c>
      <c r="P69" t="s">
        <v>244</v>
      </c>
      <c r="Q69" t="s">
        <v>219</v>
      </c>
      <c r="R69" t="s">
        <v>91</v>
      </c>
      <c r="S69" t="s">
        <v>92</v>
      </c>
    </row>
    <row r="70" spans="1:19" x14ac:dyDescent="0.25">
      <c r="A70" t="s">
        <v>44</v>
      </c>
      <c r="B70" t="s">
        <v>51</v>
      </c>
      <c r="C70" t="s">
        <v>32</v>
      </c>
      <c r="D70" t="s">
        <v>227</v>
      </c>
      <c r="E70" t="s">
        <v>241</v>
      </c>
      <c r="F70" t="s">
        <v>35</v>
      </c>
      <c r="G70" t="s">
        <v>35</v>
      </c>
      <c r="H70" t="s">
        <v>35</v>
      </c>
      <c r="J70" t="s">
        <v>246</v>
      </c>
      <c r="K70" t="s">
        <v>37</v>
      </c>
      <c r="M70">
        <v>3</v>
      </c>
      <c r="N70">
        <v>41</v>
      </c>
      <c r="O70" t="s">
        <v>52</v>
      </c>
      <c r="P70" t="s">
        <v>248</v>
      </c>
      <c r="Q70" t="s">
        <v>249</v>
      </c>
      <c r="R70" t="s">
        <v>250</v>
      </c>
      <c r="S70" t="s">
        <v>242</v>
      </c>
    </row>
    <row r="71" spans="1:19" x14ac:dyDescent="0.25">
      <c r="A71" t="s">
        <v>30</v>
      </c>
      <c r="B71" t="s">
        <v>31</v>
      </c>
      <c r="C71" t="s">
        <v>32</v>
      </c>
      <c r="D71" t="s">
        <v>227</v>
      </c>
      <c r="E71" t="s">
        <v>2641</v>
      </c>
      <c r="F71" t="s">
        <v>35</v>
      </c>
      <c r="G71" t="s">
        <v>35</v>
      </c>
      <c r="H71" t="s">
        <v>35</v>
      </c>
      <c r="J71" t="s">
        <v>257</v>
      </c>
      <c r="K71" t="s">
        <v>37</v>
      </c>
      <c r="M71">
        <v>54</v>
      </c>
      <c r="N71">
        <v>2</v>
      </c>
      <c r="O71" t="s">
        <v>46</v>
      </c>
      <c r="P71" t="s">
        <v>8156</v>
      </c>
      <c r="Q71" t="s">
        <v>8155</v>
      </c>
      <c r="R71" t="s">
        <v>91</v>
      </c>
      <c r="S71" t="s">
        <v>92</v>
      </c>
    </row>
    <row r="72" spans="1:19" x14ac:dyDescent="0.25">
      <c r="A72" t="s">
        <v>30</v>
      </c>
      <c r="B72" t="s">
        <v>31</v>
      </c>
      <c r="C72" t="s">
        <v>32</v>
      </c>
      <c r="D72" t="s">
        <v>227</v>
      </c>
      <c r="E72" t="s">
        <v>2641</v>
      </c>
      <c r="F72" t="s">
        <v>35</v>
      </c>
      <c r="G72" t="s">
        <v>35</v>
      </c>
      <c r="H72" t="s">
        <v>35</v>
      </c>
      <c r="J72" t="s">
        <v>257</v>
      </c>
      <c r="K72" t="s">
        <v>37</v>
      </c>
      <c r="M72">
        <v>33.840000000000003</v>
      </c>
      <c r="N72">
        <v>2</v>
      </c>
      <c r="O72" t="s">
        <v>46</v>
      </c>
      <c r="P72" t="s">
        <v>8157</v>
      </c>
      <c r="Q72" t="s">
        <v>8155</v>
      </c>
      <c r="R72" t="s">
        <v>91</v>
      </c>
      <c r="S72" t="s">
        <v>92</v>
      </c>
    </row>
    <row r="73" spans="1:19" x14ac:dyDescent="0.25">
      <c r="A73" t="s">
        <v>59</v>
      </c>
      <c r="B73" t="s">
        <v>60</v>
      </c>
      <c r="C73" t="s">
        <v>32</v>
      </c>
      <c r="D73" t="s">
        <v>227</v>
      </c>
      <c r="E73" t="s">
        <v>251</v>
      </c>
      <c r="F73" t="s">
        <v>35</v>
      </c>
      <c r="G73" t="s">
        <v>35</v>
      </c>
      <c r="H73" t="s">
        <v>35</v>
      </c>
      <c r="J73" t="s">
        <v>252</v>
      </c>
      <c r="K73" t="s">
        <v>37</v>
      </c>
      <c r="M73">
        <v>11</v>
      </c>
      <c r="N73">
        <v>24</v>
      </c>
      <c r="O73" t="s">
        <v>46</v>
      </c>
      <c r="P73" t="s">
        <v>254</v>
      </c>
      <c r="Q73" t="s">
        <v>255</v>
      </c>
      <c r="R73" t="s">
        <v>256</v>
      </c>
      <c r="S73" t="s">
        <v>257</v>
      </c>
    </row>
    <row r="74" spans="1:19" x14ac:dyDescent="0.25">
      <c r="A74" t="s">
        <v>59</v>
      </c>
      <c r="B74" t="s">
        <v>60</v>
      </c>
      <c r="C74" t="s">
        <v>32</v>
      </c>
      <c r="D74" t="s">
        <v>227</v>
      </c>
      <c r="E74" t="s">
        <v>251</v>
      </c>
      <c r="F74" t="s">
        <v>35</v>
      </c>
      <c r="G74" t="s">
        <v>35</v>
      </c>
      <c r="H74" t="s">
        <v>35</v>
      </c>
      <c r="J74" t="s">
        <v>252</v>
      </c>
      <c r="K74" t="s">
        <v>37</v>
      </c>
      <c r="M74">
        <v>6.2</v>
      </c>
      <c r="N74">
        <v>160</v>
      </c>
      <c r="O74" t="s">
        <v>38</v>
      </c>
      <c r="P74" t="s">
        <v>259</v>
      </c>
      <c r="Q74" t="s">
        <v>260</v>
      </c>
      <c r="R74" t="s">
        <v>256</v>
      </c>
      <c r="S74" t="s">
        <v>257</v>
      </c>
    </row>
    <row r="75" spans="1:19" x14ac:dyDescent="0.25">
      <c r="A75" t="s">
        <v>59</v>
      </c>
      <c r="B75" t="s">
        <v>60</v>
      </c>
      <c r="C75" t="s">
        <v>32</v>
      </c>
      <c r="D75" t="s">
        <v>227</v>
      </c>
      <c r="E75" t="s">
        <v>251</v>
      </c>
      <c r="F75" t="s">
        <v>35</v>
      </c>
      <c r="G75" t="s">
        <v>35</v>
      </c>
      <c r="H75" t="s">
        <v>35</v>
      </c>
      <c r="J75" t="s">
        <v>261</v>
      </c>
      <c r="K75" t="s">
        <v>37</v>
      </c>
      <c r="M75">
        <v>11</v>
      </c>
      <c r="N75">
        <v>262</v>
      </c>
      <c r="O75" t="s">
        <v>5</v>
      </c>
      <c r="P75" t="s">
        <v>263</v>
      </c>
      <c r="Q75" t="s">
        <v>264</v>
      </c>
      <c r="R75" t="s">
        <v>256</v>
      </c>
      <c r="S75" t="s">
        <v>257</v>
      </c>
    </row>
    <row r="76" spans="1:19" x14ac:dyDescent="0.25">
      <c r="A76" t="s">
        <v>44</v>
      </c>
      <c r="B76" t="s">
        <v>51</v>
      </c>
      <c r="C76" t="s">
        <v>32</v>
      </c>
      <c r="D76" t="s">
        <v>227</v>
      </c>
      <c r="E76" t="s">
        <v>265</v>
      </c>
      <c r="F76" t="s">
        <v>35</v>
      </c>
      <c r="G76" t="s">
        <v>35</v>
      </c>
      <c r="H76" t="s">
        <v>35</v>
      </c>
      <c r="J76" t="s">
        <v>266</v>
      </c>
      <c r="K76" t="s">
        <v>37</v>
      </c>
      <c r="M76">
        <v>4.5</v>
      </c>
      <c r="N76">
        <v>65</v>
      </c>
      <c r="O76" t="s">
        <v>61</v>
      </c>
      <c r="P76" t="s">
        <v>268</v>
      </c>
      <c r="Q76" t="s">
        <v>128</v>
      </c>
      <c r="R76" t="s">
        <v>91</v>
      </c>
      <c r="S76" t="s">
        <v>92</v>
      </c>
    </row>
    <row r="77" spans="1:19" x14ac:dyDescent="0.25">
      <c r="A77" t="s">
        <v>44</v>
      </c>
      <c r="B77" t="s">
        <v>3</v>
      </c>
      <c r="C77" t="s">
        <v>32</v>
      </c>
      <c r="D77" t="s">
        <v>227</v>
      </c>
      <c r="E77" t="s">
        <v>265</v>
      </c>
      <c r="F77" t="s">
        <v>35</v>
      </c>
      <c r="G77" t="s">
        <v>35</v>
      </c>
      <c r="H77" t="s">
        <v>35</v>
      </c>
      <c r="J77" t="s">
        <v>266</v>
      </c>
      <c r="K77" t="s">
        <v>37</v>
      </c>
      <c r="M77">
        <v>11</v>
      </c>
      <c r="N77">
        <v>70</v>
      </c>
      <c r="O77" t="s">
        <v>61</v>
      </c>
      <c r="P77" t="s">
        <v>269</v>
      </c>
      <c r="Q77" t="s">
        <v>126</v>
      </c>
      <c r="R77" t="s">
        <v>91</v>
      </c>
      <c r="S77" t="s">
        <v>92</v>
      </c>
    </row>
    <row r="78" spans="1:19" x14ac:dyDescent="0.25">
      <c r="A78" t="s">
        <v>30</v>
      </c>
      <c r="B78" t="s">
        <v>31</v>
      </c>
      <c r="C78" t="s">
        <v>32</v>
      </c>
      <c r="D78" t="s">
        <v>227</v>
      </c>
      <c r="E78" t="s">
        <v>276</v>
      </c>
      <c r="F78" t="s">
        <v>35</v>
      </c>
      <c r="G78" t="s">
        <v>35</v>
      </c>
      <c r="H78" t="s">
        <v>35</v>
      </c>
      <c r="J78" t="s">
        <v>277</v>
      </c>
      <c r="K78" t="s">
        <v>37</v>
      </c>
      <c r="M78">
        <v>21.96</v>
      </c>
      <c r="N78">
        <v>2</v>
      </c>
      <c r="O78" t="s">
        <v>46</v>
      </c>
      <c r="P78" t="s">
        <v>8158</v>
      </c>
      <c r="Q78" t="s">
        <v>8155</v>
      </c>
      <c r="R78" t="s">
        <v>91</v>
      </c>
      <c r="S78" t="s">
        <v>92</v>
      </c>
    </row>
    <row r="79" spans="1:19" x14ac:dyDescent="0.25">
      <c r="A79" t="s">
        <v>44</v>
      </c>
      <c r="B79" t="s">
        <v>51</v>
      </c>
      <c r="C79" t="s">
        <v>32</v>
      </c>
      <c r="D79" t="s">
        <v>227</v>
      </c>
      <c r="E79" t="s">
        <v>276</v>
      </c>
      <c r="F79" t="s">
        <v>35</v>
      </c>
      <c r="G79" t="s">
        <v>35</v>
      </c>
      <c r="H79" t="s">
        <v>35</v>
      </c>
      <c r="J79" t="s">
        <v>277</v>
      </c>
      <c r="K79" t="s">
        <v>37</v>
      </c>
      <c r="M79">
        <v>11</v>
      </c>
      <c r="N79">
        <v>62</v>
      </c>
      <c r="O79" t="s">
        <v>61</v>
      </c>
      <c r="P79" t="s">
        <v>279</v>
      </c>
      <c r="Q79" t="s">
        <v>90</v>
      </c>
      <c r="R79" t="s">
        <v>91</v>
      </c>
      <c r="S79" t="s">
        <v>92</v>
      </c>
    </row>
    <row r="80" spans="1:19" x14ac:dyDescent="0.25">
      <c r="A80" t="s">
        <v>44</v>
      </c>
      <c r="B80" t="s">
        <v>3</v>
      </c>
      <c r="C80" t="s">
        <v>32</v>
      </c>
      <c r="D80" t="s">
        <v>227</v>
      </c>
      <c r="E80" t="s">
        <v>276</v>
      </c>
      <c r="F80" t="s">
        <v>35</v>
      </c>
      <c r="G80" t="s">
        <v>35</v>
      </c>
      <c r="H80" t="s">
        <v>35</v>
      </c>
      <c r="J80" t="s">
        <v>281</v>
      </c>
      <c r="K80" t="s">
        <v>37</v>
      </c>
      <c r="M80">
        <v>4.5</v>
      </c>
      <c r="N80">
        <v>68</v>
      </c>
      <c r="O80" t="s">
        <v>61</v>
      </c>
      <c r="P80" t="s">
        <v>283</v>
      </c>
      <c r="Q80" t="s">
        <v>146</v>
      </c>
      <c r="R80" t="s">
        <v>199</v>
      </c>
      <c r="S80" t="s">
        <v>200</v>
      </c>
    </row>
    <row r="81" spans="1:19" x14ac:dyDescent="0.25">
      <c r="A81" t="s">
        <v>59</v>
      </c>
      <c r="B81" t="s">
        <v>60</v>
      </c>
      <c r="C81" t="s">
        <v>32</v>
      </c>
      <c r="D81" t="s">
        <v>227</v>
      </c>
      <c r="F81" t="s">
        <v>35</v>
      </c>
      <c r="G81" t="s">
        <v>35</v>
      </c>
      <c r="H81" t="s">
        <v>35</v>
      </c>
      <c r="J81" t="s">
        <v>284</v>
      </c>
      <c r="K81" t="s">
        <v>285</v>
      </c>
      <c r="M81">
        <v>3</v>
      </c>
      <c r="N81">
        <v>114</v>
      </c>
      <c r="O81" t="s">
        <v>106</v>
      </c>
      <c r="P81" t="s">
        <v>289</v>
      </c>
      <c r="Q81" t="s">
        <v>288</v>
      </c>
      <c r="R81" t="s">
        <v>250</v>
      </c>
      <c r="S81" t="s">
        <v>242</v>
      </c>
    </row>
    <row r="82" spans="1:19" x14ac:dyDescent="0.25">
      <c r="A82" t="s">
        <v>59</v>
      </c>
      <c r="B82" t="s">
        <v>60</v>
      </c>
      <c r="C82" t="s">
        <v>32</v>
      </c>
      <c r="D82" t="s">
        <v>227</v>
      </c>
      <c r="F82" t="s">
        <v>35</v>
      </c>
      <c r="G82" t="s">
        <v>35</v>
      </c>
      <c r="H82" t="s">
        <v>35</v>
      </c>
      <c r="J82" t="s">
        <v>284</v>
      </c>
      <c r="K82" t="s">
        <v>285</v>
      </c>
      <c r="M82">
        <v>1.5</v>
      </c>
      <c r="N82">
        <v>114</v>
      </c>
      <c r="O82" t="s">
        <v>106</v>
      </c>
      <c r="P82" t="s">
        <v>287</v>
      </c>
      <c r="Q82" t="s">
        <v>288</v>
      </c>
      <c r="R82" t="s">
        <v>250</v>
      </c>
      <c r="S82" t="s">
        <v>242</v>
      </c>
    </row>
    <row r="83" spans="1:19" x14ac:dyDescent="0.25">
      <c r="A83" t="s">
        <v>44</v>
      </c>
      <c r="B83" t="s">
        <v>3</v>
      </c>
      <c r="C83" t="s">
        <v>32</v>
      </c>
      <c r="D83" t="s">
        <v>227</v>
      </c>
      <c r="F83" t="s">
        <v>35</v>
      </c>
      <c r="G83" t="s">
        <v>35</v>
      </c>
      <c r="H83" t="s">
        <v>35</v>
      </c>
      <c r="J83" t="s">
        <v>290</v>
      </c>
      <c r="K83" t="s">
        <v>37</v>
      </c>
      <c r="M83">
        <v>5.5</v>
      </c>
      <c r="N83">
        <v>68</v>
      </c>
      <c r="O83" t="s">
        <v>61</v>
      </c>
      <c r="P83" t="s">
        <v>292</v>
      </c>
      <c r="Q83" t="s">
        <v>146</v>
      </c>
      <c r="R83" t="s">
        <v>199</v>
      </c>
      <c r="S83" t="s">
        <v>200</v>
      </c>
    </row>
    <row r="84" spans="1:19" x14ac:dyDescent="0.25">
      <c r="A84" t="s">
        <v>59</v>
      </c>
      <c r="B84" t="s">
        <v>60</v>
      </c>
      <c r="C84" t="s">
        <v>32</v>
      </c>
      <c r="D84" t="s">
        <v>227</v>
      </c>
      <c r="F84" t="s">
        <v>35</v>
      </c>
      <c r="G84" t="s">
        <v>35</v>
      </c>
      <c r="H84" t="s">
        <v>35</v>
      </c>
      <c r="J84" t="s">
        <v>293</v>
      </c>
      <c r="K84" t="s">
        <v>37</v>
      </c>
      <c r="M84">
        <v>3</v>
      </c>
      <c r="N84">
        <v>509</v>
      </c>
      <c r="O84" t="s">
        <v>294</v>
      </c>
      <c r="P84" t="s">
        <v>295</v>
      </c>
      <c r="Q84" t="s">
        <v>296</v>
      </c>
      <c r="R84" t="s">
        <v>250</v>
      </c>
      <c r="S84" t="s">
        <v>242</v>
      </c>
    </row>
    <row r="85" spans="1:19" x14ac:dyDescent="0.25">
      <c r="A85" t="s">
        <v>59</v>
      </c>
      <c r="B85" t="s">
        <v>60</v>
      </c>
      <c r="C85" t="s">
        <v>32</v>
      </c>
      <c r="D85" t="s">
        <v>227</v>
      </c>
      <c r="F85" t="s">
        <v>35</v>
      </c>
      <c r="G85" t="s">
        <v>35</v>
      </c>
      <c r="H85" t="s">
        <v>35</v>
      </c>
      <c r="J85" t="s">
        <v>297</v>
      </c>
      <c r="K85" t="s">
        <v>37</v>
      </c>
      <c r="M85">
        <v>3.5</v>
      </c>
      <c r="N85">
        <v>89</v>
      </c>
      <c r="O85" t="s">
        <v>61</v>
      </c>
      <c r="P85" t="s">
        <v>298</v>
      </c>
      <c r="Q85" t="s">
        <v>299</v>
      </c>
      <c r="R85" t="s">
        <v>250</v>
      </c>
      <c r="S85" t="s">
        <v>242</v>
      </c>
    </row>
    <row r="86" spans="1:19" x14ac:dyDescent="0.25">
      <c r="A86" t="s">
        <v>59</v>
      </c>
      <c r="B86" t="s">
        <v>60</v>
      </c>
      <c r="C86" t="s">
        <v>32</v>
      </c>
      <c r="D86" t="s">
        <v>300</v>
      </c>
      <c r="E86" t="s">
        <v>301</v>
      </c>
      <c r="F86" t="s">
        <v>35</v>
      </c>
      <c r="G86" t="s">
        <v>35</v>
      </c>
      <c r="H86" t="s">
        <v>35</v>
      </c>
      <c r="J86" t="s">
        <v>302</v>
      </c>
      <c r="K86" t="s">
        <v>37</v>
      </c>
      <c r="M86">
        <v>12.3</v>
      </c>
      <c r="N86">
        <v>65</v>
      </c>
      <c r="O86" t="s">
        <v>61</v>
      </c>
      <c r="P86" t="s">
        <v>311</v>
      </c>
      <c r="Q86" t="s">
        <v>128</v>
      </c>
      <c r="R86" t="s">
        <v>306</v>
      </c>
      <c r="S86" t="s">
        <v>307</v>
      </c>
    </row>
    <row r="87" spans="1:19" x14ac:dyDescent="0.25">
      <c r="A87" t="s">
        <v>59</v>
      </c>
      <c r="B87" t="s">
        <v>60</v>
      </c>
      <c r="C87" t="s">
        <v>32</v>
      </c>
      <c r="D87" t="s">
        <v>300</v>
      </c>
      <c r="E87" t="s">
        <v>301</v>
      </c>
      <c r="F87" t="s">
        <v>35</v>
      </c>
      <c r="G87" t="s">
        <v>35</v>
      </c>
      <c r="H87" t="s">
        <v>35</v>
      </c>
      <c r="J87" t="s">
        <v>302</v>
      </c>
      <c r="K87" t="s">
        <v>37</v>
      </c>
      <c r="M87">
        <v>11</v>
      </c>
      <c r="N87">
        <v>13</v>
      </c>
      <c r="O87" t="s">
        <v>46</v>
      </c>
      <c r="P87" t="s">
        <v>309</v>
      </c>
      <c r="Q87" t="s">
        <v>310</v>
      </c>
      <c r="R87" t="s">
        <v>306</v>
      </c>
      <c r="S87" t="s">
        <v>307</v>
      </c>
    </row>
    <row r="88" spans="1:19" x14ac:dyDescent="0.25">
      <c r="A88" t="s">
        <v>59</v>
      </c>
      <c r="B88" t="s">
        <v>31</v>
      </c>
      <c r="C88" t="s">
        <v>32</v>
      </c>
      <c r="D88" t="s">
        <v>300</v>
      </c>
      <c r="E88" t="s">
        <v>301</v>
      </c>
      <c r="F88" t="s">
        <v>35</v>
      </c>
      <c r="G88" t="s">
        <v>35</v>
      </c>
      <c r="H88" t="s">
        <v>35</v>
      </c>
      <c r="J88" t="s">
        <v>302</v>
      </c>
      <c r="K88" t="s">
        <v>37</v>
      </c>
      <c r="M88">
        <v>0.155</v>
      </c>
      <c r="N88">
        <v>77</v>
      </c>
      <c r="O88" t="s">
        <v>61</v>
      </c>
      <c r="P88" t="s">
        <v>304</v>
      </c>
      <c r="Q88" t="s">
        <v>305</v>
      </c>
      <c r="R88" t="s">
        <v>306</v>
      </c>
      <c r="S88" t="s">
        <v>307</v>
      </c>
    </row>
    <row r="89" spans="1:19" x14ac:dyDescent="0.25">
      <c r="A89" t="s">
        <v>59</v>
      </c>
      <c r="B89" t="s">
        <v>60</v>
      </c>
      <c r="C89" t="s">
        <v>32</v>
      </c>
      <c r="D89" t="s">
        <v>300</v>
      </c>
      <c r="E89" t="s">
        <v>301</v>
      </c>
      <c r="F89" t="s">
        <v>35</v>
      </c>
      <c r="G89" t="s">
        <v>35</v>
      </c>
      <c r="H89" t="s">
        <v>35</v>
      </c>
      <c r="J89" t="s">
        <v>312</v>
      </c>
      <c r="K89" t="s">
        <v>37</v>
      </c>
      <c r="M89">
        <v>18.899999999999999</v>
      </c>
      <c r="N89">
        <v>72</v>
      </c>
      <c r="O89" t="s">
        <v>61</v>
      </c>
      <c r="P89" t="s">
        <v>314</v>
      </c>
      <c r="Q89" t="s">
        <v>63</v>
      </c>
      <c r="R89" t="s">
        <v>315</v>
      </c>
      <c r="S89" t="s">
        <v>316</v>
      </c>
    </row>
    <row r="90" spans="1:19" x14ac:dyDescent="0.25">
      <c r="A90" t="s">
        <v>59</v>
      </c>
      <c r="B90" t="s">
        <v>60</v>
      </c>
      <c r="C90" t="s">
        <v>32</v>
      </c>
      <c r="D90" t="s">
        <v>300</v>
      </c>
      <c r="E90" t="s">
        <v>301</v>
      </c>
      <c r="F90" t="s">
        <v>35</v>
      </c>
      <c r="G90" t="s">
        <v>35</v>
      </c>
      <c r="H90" t="s">
        <v>35</v>
      </c>
      <c r="J90" t="s">
        <v>312</v>
      </c>
      <c r="K90" t="s">
        <v>37</v>
      </c>
      <c r="M90">
        <v>25</v>
      </c>
      <c r="N90">
        <v>72</v>
      </c>
      <c r="O90" t="s">
        <v>61</v>
      </c>
      <c r="P90" t="s">
        <v>318</v>
      </c>
      <c r="Q90" t="s">
        <v>63</v>
      </c>
      <c r="R90" t="s">
        <v>315</v>
      </c>
      <c r="S90" t="s">
        <v>316</v>
      </c>
    </row>
    <row r="91" spans="1:19" x14ac:dyDescent="0.25">
      <c r="A91" t="s">
        <v>59</v>
      </c>
      <c r="B91" t="s">
        <v>60</v>
      </c>
      <c r="C91" t="s">
        <v>32</v>
      </c>
      <c r="D91" t="s">
        <v>300</v>
      </c>
      <c r="E91" t="s">
        <v>301</v>
      </c>
      <c r="F91" t="s">
        <v>35</v>
      </c>
      <c r="G91" t="s">
        <v>35</v>
      </c>
      <c r="H91" t="s">
        <v>35</v>
      </c>
      <c r="J91" t="s">
        <v>319</v>
      </c>
      <c r="K91" t="s">
        <v>37</v>
      </c>
      <c r="M91">
        <v>0.75</v>
      </c>
      <c r="N91">
        <v>16</v>
      </c>
      <c r="O91" t="s">
        <v>46</v>
      </c>
      <c r="P91" t="s">
        <v>322</v>
      </c>
      <c r="Q91" t="s">
        <v>323</v>
      </c>
      <c r="R91" t="s">
        <v>324</v>
      </c>
      <c r="S91" t="s">
        <v>325</v>
      </c>
    </row>
    <row r="92" spans="1:19" x14ac:dyDescent="0.25">
      <c r="A92" t="s">
        <v>59</v>
      </c>
      <c r="B92" t="s">
        <v>60</v>
      </c>
      <c r="C92" t="s">
        <v>32</v>
      </c>
      <c r="D92" t="s">
        <v>300</v>
      </c>
      <c r="E92" t="s">
        <v>301</v>
      </c>
      <c r="F92" t="s">
        <v>35</v>
      </c>
      <c r="G92" t="s">
        <v>35</v>
      </c>
      <c r="H92" t="s">
        <v>35</v>
      </c>
      <c r="J92" t="s">
        <v>319</v>
      </c>
      <c r="K92" t="s">
        <v>37</v>
      </c>
      <c r="M92">
        <v>11</v>
      </c>
      <c r="N92">
        <v>13</v>
      </c>
      <c r="O92" t="s">
        <v>46</v>
      </c>
      <c r="P92" t="s">
        <v>321</v>
      </c>
      <c r="Q92" t="s">
        <v>310</v>
      </c>
      <c r="R92" t="s">
        <v>306</v>
      </c>
      <c r="S92" t="s">
        <v>307</v>
      </c>
    </row>
    <row r="93" spans="1:19" x14ac:dyDescent="0.25">
      <c r="A93" t="s">
        <v>59</v>
      </c>
      <c r="B93" t="s">
        <v>60</v>
      </c>
      <c r="C93" t="s">
        <v>32</v>
      </c>
      <c r="D93" t="s">
        <v>300</v>
      </c>
      <c r="E93" t="s">
        <v>326</v>
      </c>
      <c r="F93" t="s">
        <v>35</v>
      </c>
      <c r="G93" t="s">
        <v>35</v>
      </c>
      <c r="H93" t="s">
        <v>35</v>
      </c>
      <c r="J93" t="s">
        <v>327</v>
      </c>
      <c r="K93" t="s">
        <v>37</v>
      </c>
      <c r="M93">
        <v>10</v>
      </c>
      <c r="N93">
        <v>26</v>
      </c>
      <c r="O93" t="s">
        <v>46</v>
      </c>
      <c r="P93" t="s">
        <v>328</v>
      </c>
      <c r="Q93" t="s">
        <v>94</v>
      </c>
      <c r="R93" t="s">
        <v>329</v>
      </c>
      <c r="S93" t="s">
        <v>312</v>
      </c>
    </row>
    <row r="94" spans="1:19" x14ac:dyDescent="0.25">
      <c r="A94" t="s">
        <v>30</v>
      </c>
      <c r="B94" t="s">
        <v>31</v>
      </c>
      <c r="C94" t="s">
        <v>32</v>
      </c>
      <c r="D94" t="s">
        <v>300</v>
      </c>
      <c r="E94" t="s">
        <v>326</v>
      </c>
      <c r="F94" t="s">
        <v>35</v>
      </c>
      <c r="G94" t="s">
        <v>35</v>
      </c>
      <c r="H94" t="s">
        <v>35</v>
      </c>
      <c r="J94" t="s">
        <v>330</v>
      </c>
      <c r="K94" t="s">
        <v>37</v>
      </c>
      <c r="M94">
        <v>11.025</v>
      </c>
      <c r="N94">
        <v>53</v>
      </c>
      <c r="O94" t="s">
        <v>52</v>
      </c>
      <c r="P94" t="s">
        <v>331</v>
      </c>
      <c r="Q94" t="s">
        <v>332</v>
      </c>
      <c r="R94" t="s">
        <v>333</v>
      </c>
      <c r="S94" t="s">
        <v>334</v>
      </c>
    </row>
    <row r="95" spans="1:19" x14ac:dyDescent="0.25">
      <c r="A95" t="s">
        <v>44</v>
      </c>
      <c r="B95" t="s">
        <v>51</v>
      </c>
      <c r="C95" t="s">
        <v>32</v>
      </c>
      <c r="D95" t="s">
        <v>336</v>
      </c>
      <c r="E95" t="s">
        <v>337</v>
      </c>
      <c r="F95" t="s">
        <v>35</v>
      </c>
      <c r="G95" t="s">
        <v>35</v>
      </c>
      <c r="H95" t="s">
        <v>35</v>
      </c>
      <c r="J95" t="s">
        <v>338</v>
      </c>
      <c r="K95" t="s">
        <v>37</v>
      </c>
      <c r="M95">
        <v>6</v>
      </c>
      <c r="N95">
        <v>65</v>
      </c>
      <c r="O95" t="s">
        <v>61</v>
      </c>
      <c r="P95" t="s">
        <v>340</v>
      </c>
      <c r="Q95" t="s">
        <v>128</v>
      </c>
      <c r="R95" t="s">
        <v>91</v>
      </c>
      <c r="S95" t="s">
        <v>92</v>
      </c>
    </row>
    <row r="96" spans="1:19" x14ac:dyDescent="0.25">
      <c r="A96" t="s">
        <v>30</v>
      </c>
      <c r="B96" t="s">
        <v>31</v>
      </c>
      <c r="C96" t="s">
        <v>32</v>
      </c>
      <c r="D96" t="s">
        <v>336</v>
      </c>
      <c r="E96" t="s">
        <v>337</v>
      </c>
      <c r="F96" t="s">
        <v>35</v>
      </c>
      <c r="G96" t="s">
        <v>35</v>
      </c>
      <c r="H96" t="s">
        <v>35</v>
      </c>
      <c r="J96" t="s">
        <v>338</v>
      </c>
      <c r="K96" t="s">
        <v>37</v>
      </c>
      <c r="M96">
        <v>54</v>
      </c>
      <c r="N96">
        <v>2</v>
      </c>
      <c r="O96" t="s">
        <v>46</v>
      </c>
      <c r="P96" t="s">
        <v>8159</v>
      </c>
      <c r="Q96" t="s">
        <v>8155</v>
      </c>
      <c r="R96" t="s">
        <v>91</v>
      </c>
      <c r="S96" t="s">
        <v>92</v>
      </c>
    </row>
    <row r="97" spans="1:19" x14ac:dyDescent="0.25">
      <c r="A97" t="s">
        <v>30</v>
      </c>
      <c r="B97" t="s">
        <v>31</v>
      </c>
      <c r="C97" t="s">
        <v>32</v>
      </c>
      <c r="D97" t="s">
        <v>336</v>
      </c>
      <c r="E97" t="s">
        <v>337</v>
      </c>
      <c r="F97" t="s">
        <v>35</v>
      </c>
      <c r="G97" t="s">
        <v>35</v>
      </c>
      <c r="H97" t="s">
        <v>35</v>
      </c>
      <c r="J97" t="s">
        <v>338</v>
      </c>
      <c r="K97" t="s">
        <v>37</v>
      </c>
      <c r="M97">
        <v>18</v>
      </c>
      <c r="N97">
        <v>2</v>
      </c>
      <c r="O97" t="s">
        <v>46</v>
      </c>
      <c r="P97" t="s">
        <v>8160</v>
      </c>
      <c r="Q97" t="s">
        <v>8155</v>
      </c>
      <c r="R97" t="s">
        <v>91</v>
      </c>
      <c r="S97" t="s">
        <v>92</v>
      </c>
    </row>
    <row r="98" spans="1:19" x14ac:dyDescent="0.25">
      <c r="A98" t="s">
        <v>30</v>
      </c>
      <c r="B98" t="s">
        <v>31</v>
      </c>
      <c r="C98" t="s">
        <v>32</v>
      </c>
      <c r="D98" t="s">
        <v>336</v>
      </c>
      <c r="E98" t="s">
        <v>337</v>
      </c>
      <c r="F98" t="s">
        <v>35</v>
      </c>
      <c r="G98" t="s">
        <v>35</v>
      </c>
      <c r="H98" t="s">
        <v>35</v>
      </c>
      <c r="J98" t="s">
        <v>338</v>
      </c>
      <c r="K98" t="s">
        <v>37</v>
      </c>
      <c r="M98">
        <v>54</v>
      </c>
      <c r="N98">
        <v>2</v>
      </c>
      <c r="O98" t="s">
        <v>46</v>
      </c>
      <c r="P98" t="s">
        <v>8161</v>
      </c>
      <c r="Q98" t="s">
        <v>8155</v>
      </c>
      <c r="R98" t="s">
        <v>91</v>
      </c>
      <c r="S98" t="s">
        <v>92</v>
      </c>
    </row>
    <row r="99" spans="1:19" x14ac:dyDescent="0.25">
      <c r="A99" t="s">
        <v>59</v>
      </c>
      <c r="B99" t="s">
        <v>31</v>
      </c>
      <c r="C99" t="s">
        <v>32</v>
      </c>
      <c r="D99" t="s">
        <v>341</v>
      </c>
      <c r="E99" t="s">
        <v>342</v>
      </c>
      <c r="F99" t="s">
        <v>35</v>
      </c>
      <c r="G99" t="s">
        <v>35</v>
      </c>
      <c r="H99" t="s">
        <v>35</v>
      </c>
      <c r="J99" t="s">
        <v>343</v>
      </c>
      <c r="K99" t="s">
        <v>37</v>
      </c>
      <c r="M99">
        <v>23.94</v>
      </c>
      <c r="N99">
        <v>179</v>
      </c>
      <c r="O99" t="s">
        <v>38</v>
      </c>
      <c r="P99" t="s">
        <v>350</v>
      </c>
      <c r="Q99" t="s">
        <v>346</v>
      </c>
      <c r="R99" t="s">
        <v>347</v>
      </c>
      <c r="S99" t="s">
        <v>348</v>
      </c>
    </row>
    <row r="100" spans="1:19" x14ac:dyDescent="0.25">
      <c r="A100" t="s">
        <v>59</v>
      </c>
      <c r="B100" t="s">
        <v>31</v>
      </c>
      <c r="C100" t="s">
        <v>32</v>
      </c>
      <c r="D100" t="s">
        <v>341</v>
      </c>
      <c r="E100" t="s">
        <v>342</v>
      </c>
      <c r="F100" t="s">
        <v>35</v>
      </c>
      <c r="G100" t="s">
        <v>35</v>
      </c>
      <c r="H100" t="s">
        <v>35</v>
      </c>
      <c r="J100" t="s">
        <v>343</v>
      </c>
      <c r="K100" t="s">
        <v>37</v>
      </c>
      <c r="M100">
        <v>11.97</v>
      </c>
      <c r="N100">
        <v>179</v>
      </c>
      <c r="O100" t="s">
        <v>38</v>
      </c>
      <c r="P100" t="s">
        <v>351</v>
      </c>
      <c r="Q100" t="s">
        <v>346</v>
      </c>
      <c r="R100" t="s">
        <v>347</v>
      </c>
      <c r="S100" t="s">
        <v>348</v>
      </c>
    </row>
    <row r="101" spans="1:19" x14ac:dyDescent="0.25">
      <c r="A101" t="s">
        <v>59</v>
      </c>
      <c r="B101" t="s">
        <v>31</v>
      </c>
      <c r="C101" t="s">
        <v>32</v>
      </c>
      <c r="D101" t="s">
        <v>341</v>
      </c>
      <c r="E101" t="s">
        <v>342</v>
      </c>
      <c r="F101" t="s">
        <v>35</v>
      </c>
      <c r="G101" t="s">
        <v>35</v>
      </c>
      <c r="H101" t="s">
        <v>35</v>
      </c>
      <c r="J101" t="s">
        <v>343</v>
      </c>
      <c r="K101" t="s">
        <v>37</v>
      </c>
      <c r="M101">
        <v>23.94</v>
      </c>
      <c r="N101">
        <v>179</v>
      </c>
      <c r="O101" t="s">
        <v>38</v>
      </c>
      <c r="P101" t="s">
        <v>345</v>
      </c>
      <c r="Q101" t="s">
        <v>346</v>
      </c>
      <c r="R101" t="s">
        <v>347</v>
      </c>
      <c r="S101" t="s">
        <v>348</v>
      </c>
    </row>
    <row r="102" spans="1:19" x14ac:dyDescent="0.25">
      <c r="A102" t="s">
        <v>59</v>
      </c>
      <c r="B102" t="s">
        <v>60</v>
      </c>
      <c r="C102" t="s">
        <v>32</v>
      </c>
      <c r="D102" t="s">
        <v>341</v>
      </c>
      <c r="E102" t="s">
        <v>352</v>
      </c>
      <c r="F102" t="s">
        <v>35</v>
      </c>
      <c r="G102" t="s">
        <v>35</v>
      </c>
      <c r="H102" t="s">
        <v>35</v>
      </c>
      <c r="J102" t="s">
        <v>353</v>
      </c>
      <c r="K102" t="s">
        <v>37</v>
      </c>
      <c r="M102">
        <v>0.7</v>
      </c>
      <c r="N102">
        <v>159</v>
      </c>
      <c r="O102" t="s">
        <v>38</v>
      </c>
      <c r="P102" t="s">
        <v>359</v>
      </c>
      <c r="Q102" t="s">
        <v>40</v>
      </c>
      <c r="R102" t="s">
        <v>360</v>
      </c>
      <c r="S102" t="s">
        <v>361</v>
      </c>
    </row>
    <row r="103" spans="1:19" x14ac:dyDescent="0.25">
      <c r="A103" t="s">
        <v>30</v>
      </c>
      <c r="B103" t="s">
        <v>31</v>
      </c>
      <c r="C103" t="s">
        <v>32</v>
      </c>
      <c r="D103" t="s">
        <v>341</v>
      </c>
      <c r="E103" t="s">
        <v>352</v>
      </c>
      <c r="F103" t="s">
        <v>35</v>
      </c>
      <c r="G103" t="s">
        <v>35</v>
      </c>
      <c r="H103" t="s">
        <v>35</v>
      </c>
      <c r="J103" t="s">
        <v>353</v>
      </c>
      <c r="K103" t="s">
        <v>37</v>
      </c>
      <c r="M103">
        <v>0.03</v>
      </c>
      <c r="N103">
        <v>76</v>
      </c>
      <c r="O103" t="s">
        <v>61</v>
      </c>
      <c r="P103" t="s">
        <v>355</v>
      </c>
      <c r="Q103" t="s">
        <v>234</v>
      </c>
      <c r="R103" t="s">
        <v>356</v>
      </c>
      <c r="S103" t="s">
        <v>357</v>
      </c>
    </row>
    <row r="104" spans="1:19" x14ac:dyDescent="0.25">
      <c r="A104" t="s">
        <v>59</v>
      </c>
      <c r="B104" t="s">
        <v>60</v>
      </c>
      <c r="C104" t="s">
        <v>32</v>
      </c>
      <c r="D104" t="s">
        <v>341</v>
      </c>
      <c r="E104" t="s">
        <v>368</v>
      </c>
      <c r="F104" t="s">
        <v>35</v>
      </c>
      <c r="G104" t="s">
        <v>35</v>
      </c>
      <c r="H104" t="s">
        <v>35</v>
      </c>
      <c r="J104" t="s">
        <v>369</v>
      </c>
      <c r="K104" t="s">
        <v>370</v>
      </c>
      <c r="M104">
        <v>10</v>
      </c>
      <c r="N104">
        <v>89</v>
      </c>
      <c r="O104" t="s">
        <v>61</v>
      </c>
      <c r="P104" t="s">
        <v>372</v>
      </c>
      <c r="Q104" t="s">
        <v>299</v>
      </c>
      <c r="R104" t="s">
        <v>373</v>
      </c>
      <c r="S104" t="s">
        <v>374</v>
      </c>
    </row>
    <row r="105" spans="1:19" x14ac:dyDescent="0.25">
      <c r="A105" t="s">
        <v>59</v>
      </c>
      <c r="B105" t="s">
        <v>60</v>
      </c>
      <c r="C105" t="s">
        <v>32</v>
      </c>
      <c r="D105" t="s">
        <v>341</v>
      </c>
      <c r="E105" t="s">
        <v>368</v>
      </c>
      <c r="F105" t="s">
        <v>35</v>
      </c>
      <c r="G105" t="s">
        <v>35</v>
      </c>
      <c r="H105" t="s">
        <v>35</v>
      </c>
      <c r="J105" t="s">
        <v>369</v>
      </c>
      <c r="K105" t="s">
        <v>370</v>
      </c>
      <c r="M105">
        <v>16</v>
      </c>
      <c r="N105">
        <v>89</v>
      </c>
      <c r="O105" t="s">
        <v>61</v>
      </c>
      <c r="P105" t="s">
        <v>376</v>
      </c>
      <c r="Q105" t="s">
        <v>299</v>
      </c>
      <c r="R105" t="s">
        <v>373</v>
      </c>
      <c r="S105" t="s">
        <v>374</v>
      </c>
    </row>
    <row r="106" spans="1:19" x14ac:dyDescent="0.25">
      <c r="A106" t="s">
        <v>44</v>
      </c>
      <c r="B106" t="s">
        <v>51</v>
      </c>
      <c r="C106" t="s">
        <v>32</v>
      </c>
      <c r="D106" t="s">
        <v>341</v>
      </c>
      <c r="E106" t="s">
        <v>377</v>
      </c>
      <c r="F106" t="s">
        <v>35</v>
      </c>
      <c r="G106" t="s">
        <v>35</v>
      </c>
      <c r="H106" t="s">
        <v>35</v>
      </c>
      <c r="J106" t="s">
        <v>348</v>
      </c>
      <c r="K106" t="s">
        <v>37</v>
      </c>
      <c r="M106">
        <v>50</v>
      </c>
      <c r="N106">
        <v>65</v>
      </c>
      <c r="O106" t="s">
        <v>61</v>
      </c>
      <c r="P106" t="s">
        <v>384</v>
      </c>
      <c r="Q106" t="s">
        <v>128</v>
      </c>
      <c r="R106" t="s">
        <v>91</v>
      </c>
      <c r="S106" t="s">
        <v>92</v>
      </c>
    </row>
    <row r="107" spans="1:19" x14ac:dyDescent="0.25">
      <c r="A107" t="s">
        <v>44</v>
      </c>
      <c r="B107" t="s">
        <v>51</v>
      </c>
      <c r="C107" t="s">
        <v>32</v>
      </c>
      <c r="D107" t="s">
        <v>341</v>
      </c>
      <c r="E107" t="s">
        <v>377</v>
      </c>
      <c r="F107" t="s">
        <v>35</v>
      </c>
      <c r="G107" t="s">
        <v>35</v>
      </c>
      <c r="H107" t="s">
        <v>35</v>
      </c>
      <c r="J107" t="s">
        <v>348</v>
      </c>
      <c r="K107" t="s">
        <v>37</v>
      </c>
      <c r="M107">
        <v>50</v>
      </c>
      <c r="N107">
        <v>65</v>
      </c>
      <c r="O107" t="s">
        <v>61</v>
      </c>
      <c r="P107" t="s">
        <v>382</v>
      </c>
      <c r="Q107" t="s">
        <v>128</v>
      </c>
      <c r="R107" t="s">
        <v>91</v>
      </c>
      <c r="S107" t="s">
        <v>92</v>
      </c>
    </row>
    <row r="108" spans="1:19" x14ac:dyDescent="0.25">
      <c r="A108" t="s">
        <v>30</v>
      </c>
      <c r="B108" t="s">
        <v>31</v>
      </c>
      <c r="C108" t="s">
        <v>32</v>
      </c>
      <c r="D108" t="s">
        <v>341</v>
      </c>
      <c r="E108" t="s">
        <v>377</v>
      </c>
      <c r="F108" t="s">
        <v>35</v>
      </c>
      <c r="G108" t="s">
        <v>35</v>
      </c>
      <c r="H108" t="s">
        <v>35</v>
      </c>
      <c r="J108" t="s">
        <v>348</v>
      </c>
      <c r="K108" t="s">
        <v>37</v>
      </c>
      <c r="M108">
        <v>54</v>
      </c>
      <c r="N108">
        <v>77</v>
      </c>
      <c r="O108" t="s">
        <v>61</v>
      </c>
      <c r="P108" t="s">
        <v>385</v>
      </c>
      <c r="Q108" t="s">
        <v>305</v>
      </c>
      <c r="R108" t="s">
        <v>91</v>
      </c>
      <c r="S108" t="s">
        <v>92</v>
      </c>
    </row>
    <row r="109" spans="1:19" x14ac:dyDescent="0.25">
      <c r="A109" t="s">
        <v>44</v>
      </c>
      <c r="B109" t="s">
        <v>51</v>
      </c>
      <c r="C109" t="s">
        <v>32</v>
      </c>
      <c r="D109" t="s">
        <v>341</v>
      </c>
      <c r="E109" t="s">
        <v>377</v>
      </c>
      <c r="F109" t="s">
        <v>35</v>
      </c>
      <c r="G109" t="s">
        <v>35</v>
      </c>
      <c r="H109" t="s">
        <v>35</v>
      </c>
      <c r="J109" t="s">
        <v>348</v>
      </c>
      <c r="K109" t="s">
        <v>37</v>
      </c>
      <c r="M109">
        <v>28</v>
      </c>
      <c r="N109">
        <v>65</v>
      </c>
      <c r="O109" t="s">
        <v>61</v>
      </c>
      <c r="P109" t="s">
        <v>386</v>
      </c>
      <c r="Q109" t="s">
        <v>128</v>
      </c>
      <c r="R109" t="s">
        <v>91</v>
      </c>
      <c r="S109" t="s">
        <v>92</v>
      </c>
    </row>
    <row r="110" spans="1:19" x14ac:dyDescent="0.25">
      <c r="A110" t="s">
        <v>44</v>
      </c>
      <c r="B110" t="s">
        <v>51</v>
      </c>
      <c r="C110" t="s">
        <v>32</v>
      </c>
      <c r="D110" t="s">
        <v>341</v>
      </c>
      <c r="E110" t="s">
        <v>377</v>
      </c>
      <c r="F110" t="s">
        <v>35</v>
      </c>
      <c r="G110" t="s">
        <v>35</v>
      </c>
      <c r="H110" t="s">
        <v>35</v>
      </c>
      <c r="J110" t="s">
        <v>348</v>
      </c>
      <c r="K110" t="s">
        <v>37</v>
      </c>
      <c r="M110">
        <v>10.8</v>
      </c>
      <c r="N110">
        <v>64</v>
      </c>
      <c r="O110" t="s">
        <v>61</v>
      </c>
      <c r="P110" t="s">
        <v>380</v>
      </c>
      <c r="Q110" t="s">
        <v>381</v>
      </c>
      <c r="R110" t="s">
        <v>91</v>
      </c>
      <c r="S110" t="s">
        <v>92</v>
      </c>
    </row>
    <row r="111" spans="1:19" x14ac:dyDescent="0.25">
      <c r="A111" t="s">
        <v>44</v>
      </c>
      <c r="B111" t="s">
        <v>51</v>
      </c>
      <c r="C111" t="s">
        <v>32</v>
      </c>
      <c r="D111" t="s">
        <v>341</v>
      </c>
      <c r="E111" t="s">
        <v>377</v>
      </c>
      <c r="F111" t="s">
        <v>35</v>
      </c>
      <c r="G111" t="s">
        <v>35</v>
      </c>
      <c r="H111" t="s">
        <v>35</v>
      </c>
      <c r="J111" t="s">
        <v>348</v>
      </c>
      <c r="K111" t="s">
        <v>37</v>
      </c>
      <c r="M111">
        <v>50</v>
      </c>
      <c r="N111">
        <v>65</v>
      </c>
      <c r="O111" t="s">
        <v>61</v>
      </c>
      <c r="P111" t="s">
        <v>379</v>
      </c>
      <c r="Q111" t="s">
        <v>128</v>
      </c>
      <c r="R111" t="s">
        <v>91</v>
      </c>
      <c r="S111" t="s">
        <v>92</v>
      </c>
    </row>
    <row r="112" spans="1:19" x14ac:dyDescent="0.25">
      <c r="A112" t="s">
        <v>30</v>
      </c>
      <c r="B112" t="s">
        <v>31</v>
      </c>
      <c r="C112" t="s">
        <v>32</v>
      </c>
      <c r="D112" t="s">
        <v>341</v>
      </c>
      <c r="E112" t="s">
        <v>377</v>
      </c>
      <c r="F112" t="s">
        <v>35</v>
      </c>
      <c r="G112" t="s">
        <v>35</v>
      </c>
      <c r="H112" t="s">
        <v>35</v>
      </c>
      <c r="J112" t="s">
        <v>348</v>
      </c>
      <c r="K112" t="s">
        <v>37</v>
      </c>
      <c r="M112">
        <v>0.63</v>
      </c>
      <c r="N112">
        <v>77</v>
      </c>
      <c r="O112" t="s">
        <v>61</v>
      </c>
      <c r="P112" t="s">
        <v>383</v>
      </c>
      <c r="Q112" t="s">
        <v>305</v>
      </c>
      <c r="R112" t="s">
        <v>91</v>
      </c>
      <c r="S112" t="s">
        <v>92</v>
      </c>
    </row>
    <row r="113" spans="1:19" x14ac:dyDescent="0.25">
      <c r="A113" t="s">
        <v>30</v>
      </c>
      <c r="B113" t="s">
        <v>31</v>
      </c>
      <c r="C113" t="s">
        <v>32</v>
      </c>
      <c r="D113" t="s">
        <v>341</v>
      </c>
      <c r="E113" t="s">
        <v>377</v>
      </c>
      <c r="F113" t="s">
        <v>35</v>
      </c>
      <c r="G113" t="s">
        <v>35</v>
      </c>
      <c r="H113" t="s">
        <v>35</v>
      </c>
      <c r="J113" t="s">
        <v>348</v>
      </c>
      <c r="K113" t="s">
        <v>37</v>
      </c>
      <c r="M113">
        <v>21.78</v>
      </c>
      <c r="N113">
        <v>77</v>
      </c>
      <c r="O113" t="s">
        <v>61</v>
      </c>
      <c r="P113" t="s">
        <v>378</v>
      </c>
      <c r="Q113" t="s">
        <v>305</v>
      </c>
      <c r="R113" t="s">
        <v>91</v>
      </c>
      <c r="S113" t="s">
        <v>92</v>
      </c>
    </row>
    <row r="114" spans="1:19" x14ac:dyDescent="0.25">
      <c r="A114" t="s">
        <v>30</v>
      </c>
      <c r="B114" t="s">
        <v>31</v>
      </c>
      <c r="C114" t="s">
        <v>32</v>
      </c>
      <c r="D114" t="s">
        <v>341</v>
      </c>
      <c r="E114" t="s">
        <v>377</v>
      </c>
      <c r="F114" t="s">
        <v>35</v>
      </c>
      <c r="G114" t="s">
        <v>35</v>
      </c>
      <c r="H114" t="s">
        <v>35</v>
      </c>
      <c r="J114" t="s">
        <v>387</v>
      </c>
      <c r="K114" t="s">
        <v>37</v>
      </c>
      <c r="M114">
        <v>16.204999999999998</v>
      </c>
      <c r="N114">
        <v>77</v>
      </c>
      <c r="O114" t="s">
        <v>61</v>
      </c>
      <c r="P114" t="s">
        <v>389</v>
      </c>
      <c r="Q114" t="s">
        <v>305</v>
      </c>
      <c r="R114" t="s">
        <v>91</v>
      </c>
      <c r="S114" t="s">
        <v>92</v>
      </c>
    </row>
    <row r="115" spans="1:19" x14ac:dyDescent="0.25">
      <c r="A115" t="s">
        <v>59</v>
      </c>
      <c r="B115" t="s">
        <v>60</v>
      </c>
      <c r="C115" t="s">
        <v>32</v>
      </c>
      <c r="D115" t="s">
        <v>341</v>
      </c>
      <c r="E115" t="s">
        <v>390</v>
      </c>
      <c r="F115" t="s">
        <v>35</v>
      </c>
      <c r="G115" t="s">
        <v>35</v>
      </c>
      <c r="H115" t="s">
        <v>35</v>
      </c>
      <c r="J115" t="s">
        <v>391</v>
      </c>
      <c r="K115" t="s">
        <v>37</v>
      </c>
      <c r="M115">
        <v>10</v>
      </c>
      <c r="N115">
        <v>94</v>
      </c>
      <c r="O115" t="s">
        <v>106</v>
      </c>
      <c r="P115" t="s">
        <v>393</v>
      </c>
      <c r="Q115" t="s">
        <v>394</v>
      </c>
      <c r="R115" t="s">
        <v>91</v>
      </c>
      <c r="S115" t="s">
        <v>92</v>
      </c>
    </row>
    <row r="116" spans="1:19" x14ac:dyDescent="0.25">
      <c r="A116" t="s">
        <v>59</v>
      </c>
      <c r="B116" t="s">
        <v>60</v>
      </c>
      <c r="C116" t="s">
        <v>32</v>
      </c>
      <c r="D116" t="s">
        <v>341</v>
      </c>
      <c r="E116" t="s">
        <v>390</v>
      </c>
      <c r="F116" t="s">
        <v>35</v>
      </c>
      <c r="G116" t="s">
        <v>35</v>
      </c>
      <c r="H116" t="s">
        <v>35</v>
      </c>
      <c r="J116" t="s">
        <v>391</v>
      </c>
      <c r="K116" t="s">
        <v>37</v>
      </c>
      <c r="M116">
        <v>8.5</v>
      </c>
      <c r="N116">
        <v>135</v>
      </c>
      <c r="O116" t="s">
        <v>38</v>
      </c>
      <c r="P116" t="s">
        <v>396</v>
      </c>
      <c r="Q116" t="s">
        <v>98</v>
      </c>
      <c r="R116" t="s">
        <v>91</v>
      </c>
      <c r="S116" t="s">
        <v>92</v>
      </c>
    </row>
    <row r="117" spans="1:19" x14ac:dyDescent="0.25">
      <c r="A117" t="s">
        <v>59</v>
      </c>
      <c r="B117" t="s">
        <v>60</v>
      </c>
      <c r="C117" t="s">
        <v>32</v>
      </c>
      <c r="D117" t="s">
        <v>341</v>
      </c>
      <c r="E117" t="s">
        <v>390</v>
      </c>
      <c r="F117" t="s">
        <v>35</v>
      </c>
      <c r="G117" t="s">
        <v>35</v>
      </c>
      <c r="H117" t="s">
        <v>35</v>
      </c>
      <c r="J117" t="s">
        <v>391</v>
      </c>
      <c r="K117" t="s">
        <v>37</v>
      </c>
      <c r="M117">
        <v>20</v>
      </c>
      <c r="N117">
        <v>65</v>
      </c>
      <c r="O117" t="s">
        <v>61</v>
      </c>
      <c r="P117" t="s">
        <v>395</v>
      </c>
      <c r="Q117" t="s">
        <v>128</v>
      </c>
      <c r="R117" t="s">
        <v>91</v>
      </c>
      <c r="S117" t="s">
        <v>92</v>
      </c>
    </row>
    <row r="118" spans="1:19" x14ac:dyDescent="0.25">
      <c r="A118" t="s">
        <v>30</v>
      </c>
      <c r="B118" t="s">
        <v>31</v>
      </c>
      <c r="C118" t="s">
        <v>32</v>
      </c>
      <c r="D118" t="s">
        <v>341</v>
      </c>
      <c r="E118" t="s">
        <v>390</v>
      </c>
      <c r="F118" t="s">
        <v>35</v>
      </c>
      <c r="G118" t="s">
        <v>35</v>
      </c>
      <c r="H118" t="s">
        <v>35</v>
      </c>
      <c r="J118" t="s">
        <v>391</v>
      </c>
      <c r="K118" t="s">
        <v>37</v>
      </c>
      <c r="M118">
        <v>12.015000000000001</v>
      </c>
      <c r="N118">
        <v>26</v>
      </c>
      <c r="O118" t="s">
        <v>46</v>
      </c>
      <c r="P118" t="s">
        <v>397</v>
      </c>
      <c r="Q118" t="s">
        <v>94</v>
      </c>
      <c r="R118" t="s">
        <v>91</v>
      </c>
      <c r="S118" t="s">
        <v>92</v>
      </c>
    </row>
    <row r="119" spans="1:19" x14ac:dyDescent="0.25">
      <c r="A119" t="s">
        <v>59</v>
      </c>
      <c r="B119" t="s">
        <v>60</v>
      </c>
      <c r="C119" t="s">
        <v>32</v>
      </c>
      <c r="D119" t="s">
        <v>341</v>
      </c>
      <c r="E119" t="s">
        <v>398</v>
      </c>
      <c r="F119" t="s">
        <v>35</v>
      </c>
      <c r="G119" t="s">
        <v>35</v>
      </c>
      <c r="H119" t="s">
        <v>35</v>
      </c>
      <c r="J119" t="s">
        <v>399</v>
      </c>
      <c r="K119" t="s">
        <v>37</v>
      </c>
      <c r="M119">
        <v>7</v>
      </c>
      <c r="N119">
        <v>231</v>
      </c>
      <c r="O119" t="s">
        <v>5</v>
      </c>
      <c r="P119" t="s">
        <v>401</v>
      </c>
      <c r="Q119" t="s">
        <v>402</v>
      </c>
      <c r="R119" t="s">
        <v>360</v>
      </c>
      <c r="S119" t="s">
        <v>361</v>
      </c>
    </row>
    <row r="120" spans="1:19" x14ac:dyDescent="0.25">
      <c r="A120" t="s">
        <v>30</v>
      </c>
      <c r="B120" t="s">
        <v>31</v>
      </c>
      <c r="C120" t="s">
        <v>32</v>
      </c>
      <c r="D120" t="s">
        <v>341</v>
      </c>
      <c r="E120" t="s">
        <v>403</v>
      </c>
      <c r="F120" t="s">
        <v>35</v>
      </c>
      <c r="G120" t="s">
        <v>35</v>
      </c>
      <c r="H120" t="s">
        <v>35</v>
      </c>
      <c r="J120" t="s">
        <v>361</v>
      </c>
      <c r="K120" t="s">
        <v>404</v>
      </c>
      <c r="M120">
        <v>29.925000000000001</v>
      </c>
      <c r="N120">
        <v>124</v>
      </c>
      <c r="O120" t="s">
        <v>38</v>
      </c>
      <c r="P120" t="s">
        <v>405</v>
      </c>
      <c r="Q120" t="s">
        <v>406</v>
      </c>
      <c r="R120" t="s">
        <v>347</v>
      </c>
      <c r="S120" t="s">
        <v>348</v>
      </c>
    </row>
    <row r="121" spans="1:19" x14ac:dyDescent="0.25">
      <c r="A121" t="s">
        <v>30</v>
      </c>
      <c r="B121" t="s">
        <v>31</v>
      </c>
      <c r="C121" t="s">
        <v>32</v>
      </c>
      <c r="D121" t="s">
        <v>341</v>
      </c>
      <c r="E121" t="s">
        <v>403</v>
      </c>
      <c r="F121" t="s">
        <v>35</v>
      </c>
      <c r="G121" t="s">
        <v>35</v>
      </c>
      <c r="H121" t="s">
        <v>35</v>
      </c>
      <c r="J121" t="s">
        <v>361</v>
      </c>
      <c r="K121" t="s">
        <v>404</v>
      </c>
      <c r="M121">
        <v>4.4999999999999998E-2</v>
      </c>
      <c r="N121">
        <v>152</v>
      </c>
      <c r="O121" t="s">
        <v>38</v>
      </c>
      <c r="P121" t="s">
        <v>407</v>
      </c>
      <c r="Q121" t="s">
        <v>408</v>
      </c>
      <c r="R121" t="s">
        <v>347</v>
      </c>
      <c r="S121" t="s">
        <v>348</v>
      </c>
    </row>
    <row r="122" spans="1:19" x14ac:dyDescent="0.25">
      <c r="A122" t="s">
        <v>44</v>
      </c>
      <c r="B122" t="s">
        <v>51</v>
      </c>
      <c r="C122" t="s">
        <v>32</v>
      </c>
      <c r="D122" t="s">
        <v>341</v>
      </c>
      <c r="E122" t="s">
        <v>409</v>
      </c>
      <c r="F122" t="s">
        <v>35</v>
      </c>
      <c r="G122" t="s">
        <v>35</v>
      </c>
      <c r="H122" t="s">
        <v>35</v>
      </c>
      <c r="J122" t="s">
        <v>357</v>
      </c>
      <c r="K122" t="s">
        <v>37</v>
      </c>
      <c r="M122">
        <v>30</v>
      </c>
      <c r="N122">
        <v>64</v>
      </c>
      <c r="O122" t="s">
        <v>61</v>
      </c>
      <c r="P122" t="s">
        <v>412</v>
      </c>
      <c r="Q122" t="s">
        <v>381</v>
      </c>
      <c r="R122" t="s">
        <v>91</v>
      </c>
      <c r="S122" t="s">
        <v>92</v>
      </c>
    </row>
    <row r="123" spans="1:19" x14ac:dyDescent="0.25">
      <c r="A123" t="s">
        <v>44</v>
      </c>
      <c r="B123" t="s">
        <v>51</v>
      </c>
      <c r="C123" t="s">
        <v>32</v>
      </c>
      <c r="D123" t="s">
        <v>341</v>
      </c>
      <c r="E123" t="s">
        <v>409</v>
      </c>
      <c r="F123" t="s">
        <v>35</v>
      </c>
      <c r="G123" t="s">
        <v>35</v>
      </c>
      <c r="H123" t="s">
        <v>35</v>
      </c>
      <c r="J123" t="s">
        <v>357</v>
      </c>
      <c r="K123" t="s">
        <v>37</v>
      </c>
      <c r="M123">
        <v>16</v>
      </c>
      <c r="N123">
        <v>64</v>
      </c>
      <c r="O123" t="s">
        <v>61</v>
      </c>
      <c r="P123" t="s">
        <v>410</v>
      </c>
      <c r="Q123" t="s">
        <v>381</v>
      </c>
      <c r="R123" t="s">
        <v>91</v>
      </c>
      <c r="S123" t="s">
        <v>92</v>
      </c>
    </row>
    <row r="124" spans="1:19" x14ac:dyDescent="0.25">
      <c r="A124" t="s">
        <v>44</v>
      </c>
      <c r="B124" t="s">
        <v>51</v>
      </c>
      <c r="C124" t="s">
        <v>32</v>
      </c>
      <c r="D124" t="s">
        <v>341</v>
      </c>
      <c r="E124" t="s">
        <v>409</v>
      </c>
      <c r="F124" t="s">
        <v>35</v>
      </c>
      <c r="G124" t="s">
        <v>35</v>
      </c>
      <c r="H124" t="s">
        <v>35</v>
      </c>
      <c r="J124" t="s">
        <v>357</v>
      </c>
      <c r="K124" t="s">
        <v>37</v>
      </c>
      <c r="M124">
        <v>38</v>
      </c>
      <c r="N124">
        <v>65</v>
      </c>
      <c r="O124" t="s">
        <v>61</v>
      </c>
      <c r="P124" t="s">
        <v>411</v>
      </c>
      <c r="Q124" t="s">
        <v>128</v>
      </c>
      <c r="R124" t="s">
        <v>91</v>
      </c>
      <c r="S124" t="s">
        <v>92</v>
      </c>
    </row>
    <row r="125" spans="1:19" x14ac:dyDescent="0.25">
      <c r="A125" t="s">
        <v>59</v>
      </c>
      <c r="B125" t="s">
        <v>60</v>
      </c>
      <c r="C125" t="s">
        <v>32</v>
      </c>
      <c r="D125" t="s">
        <v>341</v>
      </c>
      <c r="E125" t="s">
        <v>413</v>
      </c>
      <c r="F125" t="s">
        <v>35</v>
      </c>
      <c r="G125" t="s">
        <v>35</v>
      </c>
      <c r="H125" t="s">
        <v>35</v>
      </c>
      <c r="J125" t="s">
        <v>414</v>
      </c>
      <c r="K125" t="s">
        <v>37</v>
      </c>
      <c r="M125">
        <v>3</v>
      </c>
      <c r="N125">
        <v>245</v>
      </c>
      <c r="O125" t="s">
        <v>5</v>
      </c>
      <c r="P125" t="s">
        <v>416</v>
      </c>
      <c r="Q125" t="s">
        <v>111</v>
      </c>
      <c r="R125" t="s">
        <v>347</v>
      </c>
      <c r="S125" t="s">
        <v>348</v>
      </c>
    </row>
    <row r="126" spans="1:19" x14ac:dyDescent="0.25">
      <c r="A126" t="s">
        <v>59</v>
      </c>
      <c r="B126" t="s">
        <v>60</v>
      </c>
      <c r="C126" t="s">
        <v>32</v>
      </c>
      <c r="D126" t="s">
        <v>341</v>
      </c>
      <c r="E126" t="s">
        <v>413</v>
      </c>
      <c r="F126" t="s">
        <v>35</v>
      </c>
      <c r="G126" t="s">
        <v>35</v>
      </c>
      <c r="H126" t="s">
        <v>35</v>
      </c>
      <c r="J126" t="s">
        <v>414</v>
      </c>
      <c r="K126" t="s">
        <v>37</v>
      </c>
      <c r="M126">
        <v>3.75</v>
      </c>
      <c r="N126">
        <v>254</v>
      </c>
      <c r="O126" t="s">
        <v>5</v>
      </c>
      <c r="P126" t="s">
        <v>417</v>
      </c>
      <c r="Q126" t="s">
        <v>367</v>
      </c>
      <c r="R126" t="s">
        <v>347</v>
      </c>
      <c r="S126" t="s">
        <v>348</v>
      </c>
    </row>
    <row r="127" spans="1:19" x14ac:dyDescent="0.25">
      <c r="A127" t="s">
        <v>30</v>
      </c>
      <c r="B127" t="s">
        <v>31</v>
      </c>
      <c r="C127" t="s">
        <v>32</v>
      </c>
      <c r="D127" t="s">
        <v>418</v>
      </c>
      <c r="E127" t="s">
        <v>419</v>
      </c>
      <c r="F127" t="s">
        <v>35</v>
      </c>
      <c r="G127" t="s">
        <v>35</v>
      </c>
      <c r="H127" t="s">
        <v>35</v>
      </c>
      <c r="J127" t="s">
        <v>420</v>
      </c>
      <c r="K127" t="s">
        <v>37</v>
      </c>
      <c r="M127">
        <v>9.76</v>
      </c>
      <c r="N127">
        <v>50</v>
      </c>
      <c r="O127" t="s">
        <v>52</v>
      </c>
      <c r="P127" t="s">
        <v>424</v>
      </c>
      <c r="Q127" t="s">
        <v>425</v>
      </c>
      <c r="R127" t="s">
        <v>91</v>
      </c>
      <c r="S127" t="s">
        <v>92</v>
      </c>
    </row>
    <row r="128" spans="1:19" x14ac:dyDescent="0.25">
      <c r="A128" t="s">
        <v>30</v>
      </c>
      <c r="B128" t="s">
        <v>31</v>
      </c>
      <c r="C128" t="s">
        <v>32</v>
      </c>
      <c r="D128" t="s">
        <v>418</v>
      </c>
      <c r="E128" t="s">
        <v>419</v>
      </c>
      <c r="F128" t="s">
        <v>35</v>
      </c>
      <c r="G128" t="s">
        <v>35</v>
      </c>
      <c r="H128" t="s">
        <v>35</v>
      </c>
      <c r="J128" t="s">
        <v>420</v>
      </c>
      <c r="K128" t="s">
        <v>37</v>
      </c>
      <c r="M128">
        <v>54</v>
      </c>
      <c r="N128">
        <v>50</v>
      </c>
      <c r="O128" t="s">
        <v>52</v>
      </c>
      <c r="P128" t="s">
        <v>426</v>
      </c>
      <c r="Q128" t="s">
        <v>425</v>
      </c>
      <c r="R128" t="s">
        <v>91</v>
      </c>
      <c r="S128" t="s">
        <v>92</v>
      </c>
    </row>
    <row r="129" spans="1:19" x14ac:dyDescent="0.25">
      <c r="A129" t="s">
        <v>44</v>
      </c>
      <c r="B129" t="s">
        <v>51</v>
      </c>
      <c r="C129" t="s">
        <v>32</v>
      </c>
      <c r="D129" t="s">
        <v>418</v>
      </c>
      <c r="E129" t="s">
        <v>419</v>
      </c>
      <c r="F129" t="s">
        <v>35</v>
      </c>
      <c r="G129" t="s">
        <v>35</v>
      </c>
      <c r="H129" t="s">
        <v>35</v>
      </c>
      <c r="J129" t="s">
        <v>420</v>
      </c>
      <c r="K129" t="s">
        <v>37</v>
      </c>
      <c r="M129">
        <v>30</v>
      </c>
      <c r="N129">
        <v>63</v>
      </c>
      <c r="O129" t="s">
        <v>61</v>
      </c>
      <c r="P129" t="s">
        <v>422</v>
      </c>
      <c r="Q129" t="s">
        <v>423</v>
      </c>
      <c r="R129" t="s">
        <v>91</v>
      </c>
      <c r="S129" t="s">
        <v>92</v>
      </c>
    </row>
    <row r="130" spans="1:19" x14ac:dyDescent="0.25">
      <c r="A130" t="s">
        <v>44</v>
      </c>
      <c r="B130" t="s">
        <v>51</v>
      </c>
      <c r="C130" t="s">
        <v>32</v>
      </c>
      <c r="D130" t="s">
        <v>418</v>
      </c>
      <c r="E130" t="s">
        <v>419</v>
      </c>
      <c r="F130" t="s">
        <v>35</v>
      </c>
      <c r="G130" t="s">
        <v>35</v>
      </c>
      <c r="H130" t="s">
        <v>35</v>
      </c>
      <c r="J130" t="s">
        <v>427</v>
      </c>
      <c r="K130" t="s">
        <v>37</v>
      </c>
      <c r="M130">
        <v>10</v>
      </c>
      <c r="N130">
        <v>66</v>
      </c>
      <c r="O130" t="s">
        <v>61</v>
      </c>
      <c r="P130" t="s">
        <v>434</v>
      </c>
      <c r="Q130" t="s">
        <v>203</v>
      </c>
      <c r="R130" t="s">
        <v>91</v>
      </c>
      <c r="S130" t="s">
        <v>92</v>
      </c>
    </row>
    <row r="131" spans="1:19" x14ac:dyDescent="0.25">
      <c r="A131" t="s">
        <v>30</v>
      </c>
      <c r="B131" t="s">
        <v>31</v>
      </c>
      <c r="C131" t="s">
        <v>32</v>
      </c>
      <c r="D131" t="s">
        <v>418</v>
      </c>
      <c r="E131" t="s">
        <v>419</v>
      </c>
      <c r="F131" t="s">
        <v>35</v>
      </c>
      <c r="G131" t="s">
        <v>35</v>
      </c>
      <c r="H131" t="s">
        <v>35</v>
      </c>
      <c r="J131" t="s">
        <v>427</v>
      </c>
      <c r="K131" t="s">
        <v>37</v>
      </c>
      <c r="M131">
        <v>7.11</v>
      </c>
      <c r="N131">
        <v>50</v>
      </c>
      <c r="O131" t="s">
        <v>52</v>
      </c>
      <c r="P131" t="s">
        <v>440</v>
      </c>
      <c r="Q131" t="s">
        <v>425</v>
      </c>
      <c r="R131" t="s">
        <v>91</v>
      </c>
      <c r="S131" t="s">
        <v>92</v>
      </c>
    </row>
    <row r="132" spans="1:19" x14ac:dyDescent="0.25">
      <c r="A132" t="s">
        <v>59</v>
      </c>
      <c r="B132" t="s">
        <v>31</v>
      </c>
      <c r="C132" t="s">
        <v>32</v>
      </c>
      <c r="D132" t="s">
        <v>418</v>
      </c>
      <c r="E132" t="s">
        <v>419</v>
      </c>
      <c r="F132" t="s">
        <v>35</v>
      </c>
      <c r="G132" t="s">
        <v>35</v>
      </c>
      <c r="H132" t="s">
        <v>35</v>
      </c>
      <c r="J132" t="s">
        <v>427</v>
      </c>
      <c r="K132" t="s">
        <v>37</v>
      </c>
      <c r="M132">
        <v>2.6549999999999998</v>
      </c>
      <c r="N132">
        <v>44</v>
      </c>
      <c r="O132" t="s">
        <v>52</v>
      </c>
      <c r="P132" t="s">
        <v>435</v>
      </c>
      <c r="Q132" t="s">
        <v>192</v>
      </c>
      <c r="R132" t="s">
        <v>436</v>
      </c>
      <c r="S132" t="s">
        <v>437</v>
      </c>
    </row>
    <row r="133" spans="1:19" x14ac:dyDescent="0.25">
      <c r="A133" t="s">
        <v>44</v>
      </c>
      <c r="B133" t="s">
        <v>51</v>
      </c>
      <c r="C133" t="s">
        <v>32</v>
      </c>
      <c r="D133" t="s">
        <v>418</v>
      </c>
      <c r="E133" t="s">
        <v>441</v>
      </c>
      <c r="F133" t="s">
        <v>35</v>
      </c>
      <c r="G133" t="s">
        <v>35</v>
      </c>
      <c r="H133" t="s">
        <v>35</v>
      </c>
      <c r="J133" t="s">
        <v>77</v>
      </c>
      <c r="K133" t="s">
        <v>37</v>
      </c>
      <c r="M133">
        <v>7</v>
      </c>
      <c r="N133">
        <v>47</v>
      </c>
      <c r="O133" t="s">
        <v>52</v>
      </c>
      <c r="P133" t="s">
        <v>442</v>
      </c>
      <c r="Q133" t="s">
        <v>132</v>
      </c>
      <c r="R133" t="s">
        <v>443</v>
      </c>
      <c r="S133" t="s">
        <v>444</v>
      </c>
    </row>
    <row r="134" spans="1:19" x14ac:dyDescent="0.25">
      <c r="A134" t="s">
        <v>44</v>
      </c>
      <c r="B134" t="s">
        <v>51</v>
      </c>
      <c r="C134" t="s">
        <v>32</v>
      </c>
      <c r="D134" t="s">
        <v>418</v>
      </c>
      <c r="E134" t="s">
        <v>441</v>
      </c>
      <c r="F134" t="s">
        <v>35</v>
      </c>
      <c r="G134" t="s">
        <v>35</v>
      </c>
      <c r="H134" t="s">
        <v>35</v>
      </c>
      <c r="J134" t="s">
        <v>77</v>
      </c>
      <c r="K134" t="s">
        <v>37</v>
      </c>
      <c r="M134">
        <v>10</v>
      </c>
      <c r="N134">
        <v>82</v>
      </c>
      <c r="O134" t="s">
        <v>61</v>
      </c>
      <c r="P134" t="s">
        <v>446</v>
      </c>
      <c r="Q134" t="s">
        <v>447</v>
      </c>
      <c r="R134" t="s">
        <v>91</v>
      </c>
      <c r="S134" t="s">
        <v>92</v>
      </c>
    </row>
    <row r="135" spans="1:19" x14ac:dyDescent="0.25">
      <c r="A135" t="s">
        <v>30</v>
      </c>
      <c r="B135" t="s">
        <v>31</v>
      </c>
      <c r="C135" t="s">
        <v>32</v>
      </c>
      <c r="D135" t="s">
        <v>448</v>
      </c>
      <c r="E135" t="s">
        <v>449</v>
      </c>
      <c r="F135" t="s">
        <v>35</v>
      </c>
      <c r="G135" t="s">
        <v>35</v>
      </c>
      <c r="H135" t="s">
        <v>35</v>
      </c>
      <c r="J135" t="s">
        <v>450</v>
      </c>
      <c r="K135" t="s">
        <v>37</v>
      </c>
      <c r="M135">
        <v>3.0150000000000001</v>
      </c>
      <c r="N135">
        <v>56</v>
      </c>
      <c r="O135" t="s">
        <v>52</v>
      </c>
      <c r="P135" t="s">
        <v>452</v>
      </c>
      <c r="Q135" t="s">
        <v>453</v>
      </c>
      <c r="R135" t="s">
        <v>91</v>
      </c>
      <c r="S135" t="s">
        <v>92</v>
      </c>
    </row>
    <row r="136" spans="1:19" x14ac:dyDescent="0.25">
      <c r="A136" t="s">
        <v>59</v>
      </c>
      <c r="B136" t="s">
        <v>60</v>
      </c>
      <c r="C136" t="s">
        <v>32</v>
      </c>
      <c r="D136" t="s">
        <v>448</v>
      </c>
      <c r="E136" t="s">
        <v>449</v>
      </c>
      <c r="F136" t="s">
        <v>35</v>
      </c>
      <c r="G136" t="s">
        <v>35</v>
      </c>
      <c r="H136" t="s">
        <v>35</v>
      </c>
      <c r="J136" t="s">
        <v>450</v>
      </c>
      <c r="K136" t="s">
        <v>37</v>
      </c>
      <c r="M136">
        <v>9.15</v>
      </c>
      <c r="N136">
        <v>83</v>
      </c>
      <c r="O136" t="s">
        <v>61</v>
      </c>
      <c r="P136" t="s">
        <v>454</v>
      </c>
      <c r="Q136" t="s">
        <v>455</v>
      </c>
      <c r="R136" t="s">
        <v>91</v>
      </c>
      <c r="S136" t="s">
        <v>92</v>
      </c>
    </row>
    <row r="137" spans="1:19" x14ac:dyDescent="0.25">
      <c r="A137" t="s">
        <v>59</v>
      </c>
      <c r="B137" t="s">
        <v>60</v>
      </c>
      <c r="C137" t="s">
        <v>32</v>
      </c>
      <c r="D137" t="s">
        <v>448</v>
      </c>
      <c r="E137" t="s">
        <v>449</v>
      </c>
      <c r="F137" t="s">
        <v>35</v>
      </c>
      <c r="G137" t="s">
        <v>35</v>
      </c>
      <c r="H137" t="s">
        <v>35</v>
      </c>
      <c r="J137" t="s">
        <v>325</v>
      </c>
      <c r="K137" t="s">
        <v>37</v>
      </c>
      <c r="M137">
        <v>24.3</v>
      </c>
      <c r="N137">
        <v>13</v>
      </c>
      <c r="O137" t="s">
        <v>46</v>
      </c>
      <c r="P137" t="s">
        <v>458</v>
      </c>
      <c r="Q137" t="s">
        <v>310</v>
      </c>
      <c r="R137" t="s">
        <v>306</v>
      </c>
      <c r="S137" t="s">
        <v>307</v>
      </c>
    </row>
    <row r="138" spans="1:19" x14ac:dyDescent="0.25">
      <c r="A138" t="s">
        <v>30</v>
      </c>
      <c r="B138" t="s">
        <v>31</v>
      </c>
      <c r="C138" t="s">
        <v>32</v>
      </c>
      <c r="D138" t="s">
        <v>448</v>
      </c>
      <c r="E138" t="s">
        <v>449</v>
      </c>
      <c r="F138" t="s">
        <v>35</v>
      </c>
      <c r="G138" t="s">
        <v>35</v>
      </c>
      <c r="H138" t="s">
        <v>35</v>
      </c>
      <c r="J138" t="s">
        <v>325</v>
      </c>
      <c r="K138" t="s">
        <v>37</v>
      </c>
      <c r="M138">
        <v>4.9749999999999996</v>
      </c>
      <c r="N138">
        <v>40</v>
      </c>
      <c r="O138" t="s">
        <v>52</v>
      </c>
      <c r="P138" t="s">
        <v>457</v>
      </c>
      <c r="Q138" t="s">
        <v>130</v>
      </c>
      <c r="R138" t="s">
        <v>306</v>
      </c>
      <c r="S138" t="s">
        <v>307</v>
      </c>
    </row>
    <row r="139" spans="1:19" x14ac:dyDescent="0.25">
      <c r="A139" t="s">
        <v>59</v>
      </c>
      <c r="B139" t="s">
        <v>31</v>
      </c>
      <c r="C139" t="s">
        <v>32</v>
      </c>
      <c r="D139" t="s">
        <v>448</v>
      </c>
      <c r="E139" t="s">
        <v>449</v>
      </c>
      <c r="F139" t="s">
        <v>35</v>
      </c>
      <c r="G139" t="s">
        <v>35</v>
      </c>
      <c r="H139" t="s">
        <v>35</v>
      </c>
      <c r="J139" t="s">
        <v>325</v>
      </c>
      <c r="K139" t="s">
        <v>37</v>
      </c>
      <c r="M139">
        <v>0.56499999999999995</v>
      </c>
      <c r="N139">
        <v>77</v>
      </c>
      <c r="O139" t="s">
        <v>61</v>
      </c>
      <c r="P139" t="s">
        <v>456</v>
      </c>
      <c r="Q139" t="s">
        <v>305</v>
      </c>
      <c r="R139" t="s">
        <v>306</v>
      </c>
      <c r="S139" t="s">
        <v>307</v>
      </c>
    </row>
    <row r="140" spans="1:19" x14ac:dyDescent="0.25">
      <c r="A140" t="s">
        <v>30</v>
      </c>
      <c r="B140" t="s">
        <v>31</v>
      </c>
      <c r="C140" t="s">
        <v>32</v>
      </c>
      <c r="D140" t="s">
        <v>448</v>
      </c>
      <c r="E140" t="s">
        <v>459</v>
      </c>
      <c r="F140" t="s">
        <v>35</v>
      </c>
      <c r="G140" t="s">
        <v>35</v>
      </c>
      <c r="H140" t="s">
        <v>35</v>
      </c>
      <c r="J140" t="s">
        <v>460</v>
      </c>
      <c r="K140" t="s">
        <v>37</v>
      </c>
      <c r="M140">
        <v>19.170000000000002</v>
      </c>
      <c r="N140">
        <v>49</v>
      </c>
      <c r="O140" t="s">
        <v>52</v>
      </c>
      <c r="P140" t="s">
        <v>462</v>
      </c>
      <c r="Q140" t="s">
        <v>219</v>
      </c>
      <c r="R140" t="s">
        <v>463</v>
      </c>
      <c r="S140" t="s">
        <v>464</v>
      </c>
    </row>
    <row r="141" spans="1:19" x14ac:dyDescent="0.25">
      <c r="A141" t="s">
        <v>59</v>
      </c>
      <c r="B141" t="s">
        <v>60</v>
      </c>
      <c r="C141" t="s">
        <v>32</v>
      </c>
      <c r="D141" t="s">
        <v>448</v>
      </c>
      <c r="E141" t="s">
        <v>466</v>
      </c>
      <c r="F141" t="s">
        <v>35</v>
      </c>
      <c r="G141" t="s">
        <v>35</v>
      </c>
      <c r="H141" t="s">
        <v>35</v>
      </c>
      <c r="J141" t="s">
        <v>467</v>
      </c>
      <c r="K141" t="s">
        <v>37</v>
      </c>
      <c r="M141">
        <v>3.5</v>
      </c>
      <c r="N141">
        <v>24</v>
      </c>
      <c r="O141" t="s">
        <v>46</v>
      </c>
      <c r="P141" t="s">
        <v>469</v>
      </c>
      <c r="Q141" t="s">
        <v>255</v>
      </c>
      <c r="R141" t="s">
        <v>470</v>
      </c>
      <c r="S141" t="s">
        <v>471</v>
      </c>
    </row>
    <row r="142" spans="1:19" x14ac:dyDescent="0.25">
      <c r="A142" t="s">
        <v>59</v>
      </c>
      <c r="B142" t="s">
        <v>60</v>
      </c>
      <c r="C142" t="s">
        <v>32</v>
      </c>
      <c r="D142" t="s">
        <v>448</v>
      </c>
      <c r="E142" t="s">
        <v>466</v>
      </c>
      <c r="F142" t="s">
        <v>35</v>
      </c>
      <c r="G142" t="s">
        <v>35</v>
      </c>
      <c r="H142" t="s">
        <v>35</v>
      </c>
      <c r="J142" t="s">
        <v>467</v>
      </c>
      <c r="K142" t="s">
        <v>37</v>
      </c>
      <c r="M142">
        <v>3.5</v>
      </c>
      <c r="N142">
        <v>3</v>
      </c>
      <c r="O142" t="s">
        <v>46</v>
      </c>
      <c r="P142" t="s">
        <v>8162</v>
      </c>
      <c r="Q142" t="s">
        <v>8153</v>
      </c>
      <c r="R142" t="s">
        <v>470</v>
      </c>
      <c r="S142" t="s">
        <v>471</v>
      </c>
    </row>
    <row r="143" spans="1:19" x14ac:dyDescent="0.25">
      <c r="A143" t="s">
        <v>30</v>
      </c>
      <c r="B143" t="s">
        <v>31</v>
      </c>
      <c r="C143" t="s">
        <v>32</v>
      </c>
      <c r="D143" t="s">
        <v>448</v>
      </c>
      <c r="E143" t="s">
        <v>473</v>
      </c>
      <c r="F143" t="s">
        <v>35</v>
      </c>
      <c r="G143" t="s">
        <v>35</v>
      </c>
      <c r="H143" t="s">
        <v>35</v>
      </c>
      <c r="J143" t="s">
        <v>474</v>
      </c>
      <c r="K143" t="s">
        <v>37</v>
      </c>
      <c r="M143">
        <v>11.97</v>
      </c>
      <c r="N143">
        <v>49</v>
      </c>
      <c r="O143" t="s">
        <v>52</v>
      </c>
      <c r="P143" t="s">
        <v>483</v>
      </c>
      <c r="Q143" t="s">
        <v>219</v>
      </c>
      <c r="R143" t="s">
        <v>463</v>
      </c>
      <c r="S143" t="s">
        <v>464</v>
      </c>
    </row>
    <row r="144" spans="1:19" x14ac:dyDescent="0.25">
      <c r="A144" t="s">
        <v>59</v>
      </c>
      <c r="B144" t="s">
        <v>60</v>
      </c>
      <c r="C144" t="s">
        <v>32</v>
      </c>
      <c r="D144" t="s">
        <v>448</v>
      </c>
      <c r="E144" t="s">
        <v>473</v>
      </c>
      <c r="F144" t="s">
        <v>35</v>
      </c>
      <c r="G144" t="s">
        <v>35</v>
      </c>
      <c r="H144" t="s">
        <v>35</v>
      </c>
      <c r="J144" t="s">
        <v>474</v>
      </c>
      <c r="K144" t="s">
        <v>37</v>
      </c>
      <c r="M144">
        <v>4</v>
      </c>
      <c r="N144">
        <v>80</v>
      </c>
      <c r="O144" t="s">
        <v>61</v>
      </c>
      <c r="P144" t="s">
        <v>476</v>
      </c>
      <c r="Q144" t="s">
        <v>477</v>
      </c>
      <c r="R144" t="s">
        <v>478</v>
      </c>
      <c r="S144" t="s">
        <v>479</v>
      </c>
    </row>
    <row r="145" spans="1:19" x14ac:dyDescent="0.25">
      <c r="A145" t="s">
        <v>59</v>
      </c>
      <c r="B145" t="s">
        <v>60</v>
      </c>
      <c r="C145" t="s">
        <v>32</v>
      </c>
      <c r="D145" t="s">
        <v>448</v>
      </c>
      <c r="E145" t="s">
        <v>473</v>
      </c>
      <c r="F145" t="s">
        <v>35</v>
      </c>
      <c r="G145" t="s">
        <v>35</v>
      </c>
      <c r="H145" t="s">
        <v>35</v>
      </c>
      <c r="J145" t="s">
        <v>474</v>
      </c>
      <c r="K145" t="s">
        <v>37</v>
      </c>
      <c r="M145">
        <v>3.5</v>
      </c>
      <c r="N145">
        <v>80</v>
      </c>
      <c r="O145" t="s">
        <v>61</v>
      </c>
      <c r="P145" t="s">
        <v>481</v>
      </c>
      <c r="Q145" t="s">
        <v>477</v>
      </c>
      <c r="R145" t="s">
        <v>478</v>
      </c>
      <c r="S145" t="s">
        <v>479</v>
      </c>
    </row>
    <row r="146" spans="1:19" x14ac:dyDescent="0.25">
      <c r="A146" t="s">
        <v>59</v>
      </c>
      <c r="B146" t="s">
        <v>60</v>
      </c>
      <c r="C146" t="s">
        <v>32</v>
      </c>
      <c r="D146" t="s">
        <v>448</v>
      </c>
      <c r="E146" t="s">
        <v>473</v>
      </c>
      <c r="F146" t="s">
        <v>35</v>
      </c>
      <c r="G146" t="s">
        <v>35</v>
      </c>
      <c r="H146" t="s">
        <v>35</v>
      </c>
      <c r="J146" t="s">
        <v>474</v>
      </c>
      <c r="K146" t="s">
        <v>37</v>
      </c>
      <c r="M146">
        <v>0.5</v>
      </c>
      <c r="N146">
        <v>80</v>
      </c>
      <c r="O146" t="s">
        <v>61</v>
      </c>
      <c r="P146" t="s">
        <v>482</v>
      </c>
      <c r="Q146" t="s">
        <v>477</v>
      </c>
      <c r="R146" t="s">
        <v>478</v>
      </c>
      <c r="S146" t="s">
        <v>479</v>
      </c>
    </row>
    <row r="147" spans="1:19" x14ac:dyDescent="0.25">
      <c r="A147" t="s">
        <v>30</v>
      </c>
      <c r="B147" t="s">
        <v>31</v>
      </c>
      <c r="C147" t="s">
        <v>32</v>
      </c>
      <c r="D147" t="s">
        <v>448</v>
      </c>
      <c r="E147" t="s">
        <v>484</v>
      </c>
      <c r="F147" t="s">
        <v>35</v>
      </c>
      <c r="G147" t="s">
        <v>35</v>
      </c>
      <c r="H147" t="s">
        <v>35</v>
      </c>
      <c r="J147" t="s">
        <v>485</v>
      </c>
      <c r="K147" t="s">
        <v>37</v>
      </c>
      <c r="M147">
        <v>2.9249999999999998</v>
      </c>
      <c r="N147">
        <v>46</v>
      </c>
      <c r="O147" t="s">
        <v>52</v>
      </c>
      <c r="P147" t="s">
        <v>492</v>
      </c>
      <c r="Q147" t="s">
        <v>493</v>
      </c>
      <c r="R147" t="s">
        <v>489</v>
      </c>
      <c r="S147" t="s">
        <v>490</v>
      </c>
    </row>
    <row r="148" spans="1:19" x14ac:dyDescent="0.25">
      <c r="A148" t="s">
        <v>59</v>
      </c>
      <c r="B148" t="s">
        <v>60</v>
      </c>
      <c r="C148" t="s">
        <v>32</v>
      </c>
      <c r="D148" t="s">
        <v>448</v>
      </c>
      <c r="E148" t="s">
        <v>484</v>
      </c>
      <c r="F148" t="s">
        <v>35</v>
      </c>
      <c r="G148" t="s">
        <v>35</v>
      </c>
      <c r="H148" t="s">
        <v>35</v>
      </c>
      <c r="J148" t="s">
        <v>485</v>
      </c>
      <c r="K148" t="s">
        <v>37</v>
      </c>
      <c r="M148">
        <v>3.05</v>
      </c>
      <c r="N148">
        <v>74</v>
      </c>
      <c r="O148" t="s">
        <v>61</v>
      </c>
      <c r="P148" t="s">
        <v>487</v>
      </c>
      <c r="Q148" t="s">
        <v>488</v>
      </c>
      <c r="R148" t="s">
        <v>489</v>
      </c>
      <c r="S148" t="s">
        <v>490</v>
      </c>
    </row>
    <row r="149" spans="1:19" x14ac:dyDescent="0.25">
      <c r="A149" t="s">
        <v>30</v>
      </c>
      <c r="B149" t="s">
        <v>31</v>
      </c>
      <c r="C149" t="s">
        <v>32</v>
      </c>
      <c r="D149" t="s">
        <v>448</v>
      </c>
      <c r="E149" t="s">
        <v>484</v>
      </c>
      <c r="F149" t="s">
        <v>35</v>
      </c>
      <c r="G149" t="s">
        <v>35</v>
      </c>
      <c r="H149" t="s">
        <v>35</v>
      </c>
      <c r="J149" t="s">
        <v>494</v>
      </c>
      <c r="K149" t="s">
        <v>37</v>
      </c>
      <c r="M149">
        <v>25.065000000000001</v>
      </c>
      <c r="N149">
        <v>48</v>
      </c>
      <c r="O149" t="s">
        <v>52</v>
      </c>
      <c r="P149" t="s">
        <v>495</v>
      </c>
      <c r="Q149" t="s">
        <v>496</v>
      </c>
      <c r="R149" t="s">
        <v>324</v>
      </c>
      <c r="S149" t="s">
        <v>325</v>
      </c>
    </row>
    <row r="150" spans="1:19" x14ac:dyDescent="0.25">
      <c r="A150" t="s">
        <v>59</v>
      </c>
      <c r="B150" t="s">
        <v>60</v>
      </c>
      <c r="C150" t="s">
        <v>32</v>
      </c>
      <c r="D150" t="s">
        <v>448</v>
      </c>
      <c r="E150" t="s">
        <v>497</v>
      </c>
      <c r="F150" t="s">
        <v>35</v>
      </c>
      <c r="G150" t="s">
        <v>35</v>
      </c>
      <c r="H150" t="s">
        <v>35</v>
      </c>
      <c r="J150" t="s">
        <v>498</v>
      </c>
      <c r="K150" t="s">
        <v>37</v>
      </c>
      <c r="M150">
        <v>2.15</v>
      </c>
      <c r="N150">
        <v>135</v>
      </c>
      <c r="O150" t="s">
        <v>38</v>
      </c>
      <c r="P150" t="s">
        <v>500</v>
      </c>
      <c r="Q150" t="s">
        <v>98</v>
      </c>
      <c r="R150" t="s">
        <v>501</v>
      </c>
      <c r="S150" t="s">
        <v>502</v>
      </c>
    </row>
    <row r="151" spans="1:19" x14ac:dyDescent="0.25">
      <c r="A151" t="s">
        <v>30</v>
      </c>
      <c r="B151" t="s">
        <v>31</v>
      </c>
      <c r="C151" t="s">
        <v>32</v>
      </c>
      <c r="D151" t="s">
        <v>448</v>
      </c>
      <c r="E151" t="s">
        <v>497</v>
      </c>
      <c r="F151" t="s">
        <v>35</v>
      </c>
      <c r="G151" t="s">
        <v>35</v>
      </c>
      <c r="H151" t="s">
        <v>35</v>
      </c>
      <c r="J151" t="s">
        <v>504</v>
      </c>
      <c r="K151" t="s">
        <v>37</v>
      </c>
      <c r="M151">
        <v>24.975000000000001</v>
      </c>
      <c r="N151">
        <v>53</v>
      </c>
      <c r="O151" t="s">
        <v>52</v>
      </c>
      <c r="P151" t="s">
        <v>506</v>
      </c>
      <c r="Q151" t="s">
        <v>332</v>
      </c>
      <c r="R151" t="s">
        <v>507</v>
      </c>
      <c r="S151" t="s">
        <v>508</v>
      </c>
    </row>
    <row r="152" spans="1:19" x14ac:dyDescent="0.25">
      <c r="A152" t="s">
        <v>59</v>
      </c>
      <c r="B152" t="s">
        <v>60</v>
      </c>
      <c r="C152" t="s">
        <v>32</v>
      </c>
      <c r="D152" t="s">
        <v>448</v>
      </c>
      <c r="E152" t="s">
        <v>509</v>
      </c>
      <c r="F152" t="s">
        <v>35</v>
      </c>
      <c r="G152" t="s">
        <v>35</v>
      </c>
      <c r="H152" t="s">
        <v>35</v>
      </c>
      <c r="J152" t="s">
        <v>510</v>
      </c>
      <c r="K152" t="s">
        <v>37</v>
      </c>
      <c r="M152">
        <v>0.5</v>
      </c>
      <c r="N152">
        <v>55</v>
      </c>
      <c r="O152" t="s">
        <v>52</v>
      </c>
      <c r="P152" t="s">
        <v>517</v>
      </c>
      <c r="Q152" t="s">
        <v>518</v>
      </c>
      <c r="R152" t="s">
        <v>519</v>
      </c>
      <c r="S152" t="s">
        <v>485</v>
      </c>
    </row>
    <row r="153" spans="1:19" x14ac:dyDescent="0.25">
      <c r="A153" t="s">
        <v>59</v>
      </c>
      <c r="B153" t="s">
        <v>31</v>
      </c>
      <c r="C153" t="s">
        <v>32</v>
      </c>
      <c r="D153" t="s">
        <v>448</v>
      </c>
      <c r="E153" t="s">
        <v>509</v>
      </c>
      <c r="F153" t="s">
        <v>35</v>
      </c>
      <c r="G153" t="s">
        <v>35</v>
      </c>
      <c r="H153" t="s">
        <v>35</v>
      </c>
      <c r="J153" t="s">
        <v>510</v>
      </c>
      <c r="K153" t="s">
        <v>37</v>
      </c>
      <c r="M153">
        <v>0.09</v>
      </c>
      <c r="N153">
        <v>74</v>
      </c>
      <c r="O153" t="s">
        <v>61</v>
      </c>
      <c r="P153" t="s">
        <v>520</v>
      </c>
      <c r="Q153" t="s">
        <v>488</v>
      </c>
      <c r="R153" t="s">
        <v>519</v>
      </c>
      <c r="S153" t="s">
        <v>485</v>
      </c>
    </row>
    <row r="154" spans="1:19" x14ac:dyDescent="0.25">
      <c r="A154" t="s">
        <v>30</v>
      </c>
      <c r="B154" t="s">
        <v>31</v>
      </c>
      <c r="C154" t="s">
        <v>32</v>
      </c>
      <c r="D154" t="s">
        <v>448</v>
      </c>
      <c r="E154" t="s">
        <v>509</v>
      </c>
      <c r="F154" t="s">
        <v>35</v>
      </c>
      <c r="G154" t="s">
        <v>35</v>
      </c>
      <c r="H154" t="s">
        <v>35</v>
      </c>
      <c r="J154" t="s">
        <v>510</v>
      </c>
      <c r="K154" t="s">
        <v>37</v>
      </c>
      <c r="M154">
        <v>11.025</v>
      </c>
      <c r="N154">
        <v>47</v>
      </c>
      <c r="O154" t="s">
        <v>52</v>
      </c>
      <c r="P154" t="s">
        <v>521</v>
      </c>
      <c r="Q154" t="s">
        <v>132</v>
      </c>
      <c r="R154" t="s">
        <v>513</v>
      </c>
      <c r="S154" t="s">
        <v>514</v>
      </c>
    </row>
    <row r="155" spans="1:19" x14ac:dyDescent="0.25">
      <c r="A155" t="s">
        <v>30</v>
      </c>
      <c r="B155" t="s">
        <v>31</v>
      </c>
      <c r="C155" t="s">
        <v>32</v>
      </c>
      <c r="D155" t="s">
        <v>448</v>
      </c>
      <c r="E155" t="s">
        <v>509</v>
      </c>
      <c r="F155" t="s">
        <v>35</v>
      </c>
      <c r="G155" t="s">
        <v>35</v>
      </c>
      <c r="H155" t="s">
        <v>35</v>
      </c>
      <c r="J155" t="s">
        <v>510</v>
      </c>
      <c r="K155" t="s">
        <v>37</v>
      </c>
      <c r="M155">
        <v>11.025</v>
      </c>
      <c r="N155">
        <v>40</v>
      </c>
      <c r="O155" t="s">
        <v>52</v>
      </c>
      <c r="P155" t="s">
        <v>512</v>
      </c>
      <c r="Q155" t="s">
        <v>130</v>
      </c>
      <c r="R155" t="s">
        <v>513</v>
      </c>
      <c r="S155" t="s">
        <v>514</v>
      </c>
    </row>
    <row r="156" spans="1:19" x14ac:dyDescent="0.25">
      <c r="A156" t="s">
        <v>30</v>
      </c>
      <c r="B156" t="s">
        <v>31</v>
      </c>
      <c r="C156" t="s">
        <v>32</v>
      </c>
      <c r="D156" t="s">
        <v>448</v>
      </c>
      <c r="E156" t="s">
        <v>509</v>
      </c>
      <c r="F156" t="s">
        <v>35</v>
      </c>
      <c r="G156" t="s">
        <v>35</v>
      </c>
      <c r="H156" t="s">
        <v>35</v>
      </c>
      <c r="J156" t="s">
        <v>510</v>
      </c>
      <c r="K156" t="s">
        <v>37</v>
      </c>
      <c r="M156">
        <v>9.7650000000000006</v>
      </c>
      <c r="N156">
        <v>47</v>
      </c>
      <c r="O156" t="s">
        <v>52</v>
      </c>
      <c r="P156" t="s">
        <v>516</v>
      </c>
      <c r="Q156" t="s">
        <v>132</v>
      </c>
      <c r="R156" t="s">
        <v>513</v>
      </c>
      <c r="S156" t="s">
        <v>514</v>
      </c>
    </row>
    <row r="157" spans="1:19" x14ac:dyDescent="0.25">
      <c r="A157" t="s">
        <v>30</v>
      </c>
      <c r="B157" t="s">
        <v>31</v>
      </c>
      <c r="C157" t="s">
        <v>32</v>
      </c>
      <c r="D157" t="s">
        <v>522</v>
      </c>
      <c r="E157" t="s">
        <v>523</v>
      </c>
      <c r="F157" t="s">
        <v>35</v>
      </c>
      <c r="G157" t="s">
        <v>35</v>
      </c>
      <c r="H157" t="s">
        <v>35</v>
      </c>
      <c r="J157" t="s">
        <v>524</v>
      </c>
      <c r="K157" t="s">
        <v>37</v>
      </c>
      <c r="M157">
        <v>45</v>
      </c>
      <c r="N157">
        <v>49</v>
      </c>
      <c r="O157" t="s">
        <v>52</v>
      </c>
      <c r="P157" t="s">
        <v>529</v>
      </c>
      <c r="Q157" t="s">
        <v>219</v>
      </c>
      <c r="R157" t="s">
        <v>91</v>
      </c>
      <c r="S157" t="s">
        <v>92</v>
      </c>
    </row>
    <row r="158" spans="1:19" x14ac:dyDescent="0.25">
      <c r="A158" t="s">
        <v>44</v>
      </c>
      <c r="B158" t="s">
        <v>51</v>
      </c>
      <c r="C158" t="s">
        <v>32</v>
      </c>
      <c r="D158" t="s">
        <v>522</v>
      </c>
      <c r="E158" t="s">
        <v>523</v>
      </c>
      <c r="F158" t="s">
        <v>35</v>
      </c>
      <c r="G158" t="s">
        <v>35</v>
      </c>
      <c r="H158" t="s">
        <v>35</v>
      </c>
      <c r="J158" t="s">
        <v>524</v>
      </c>
      <c r="K158" t="s">
        <v>37</v>
      </c>
      <c r="M158">
        <v>3</v>
      </c>
      <c r="N158">
        <v>83</v>
      </c>
      <c r="O158" t="s">
        <v>61</v>
      </c>
      <c r="P158" t="s">
        <v>528</v>
      </c>
      <c r="Q158" t="s">
        <v>455</v>
      </c>
      <c r="R158" t="s">
        <v>91</v>
      </c>
      <c r="S158" t="s">
        <v>92</v>
      </c>
    </row>
    <row r="159" spans="1:19" x14ac:dyDescent="0.25">
      <c r="A159" t="s">
        <v>30</v>
      </c>
      <c r="B159" t="s">
        <v>31</v>
      </c>
      <c r="C159" t="s">
        <v>32</v>
      </c>
      <c r="D159" t="s">
        <v>522</v>
      </c>
      <c r="E159" t="s">
        <v>523</v>
      </c>
      <c r="F159" t="s">
        <v>35</v>
      </c>
      <c r="G159" t="s">
        <v>35</v>
      </c>
      <c r="H159" t="s">
        <v>35</v>
      </c>
      <c r="J159" t="s">
        <v>524</v>
      </c>
      <c r="K159" t="s">
        <v>37</v>
      </c>
      <c r="M159">
        <v>43.515000000000001</v>
      </c>
      <c r="N159">
        <v>49</v>
      </c>
      <c r="O159" t="s">
        <v>52</v>
      </c>
      <c r="P159" t="s">
        <v>532</v>
      </c>
      <c r="Q159" t="s">
        <v>219</v>
      </c>
      <c r="R159" t="s">
        <v>91</v>
      </c>
      <c r="S159" t="s">
        <v>92</v>
      </c>
    </row>
    <row r="160" spans="1:19" x14ac:dyDescent="0.25">
      <c r="A160" t="s">
        <v>30</v>
      </c>
      <c r="B160" t="s">
        <v>31</v>
      </c>
      <c r="C160" t="s">
        <v>32</v>
      </c>
      <c r="D160" t="s">
        <v>522</v>
      </c>
      <c r="E160" t="s">
        <v>523</v>
      </c>
      <c r="F160" t="s">
        <v>35</v>
      </c>
      <c r="G160" t="s">
        <v>35</v>
      </c>
      <c r="H160" t="s">
        <v>35</v>
      </c>
      <c r="J160" t="s">
        <v>524</v>
      </c>
      <c r="K160" t="s">
        <v>37</v>
      </c>
      <c r="M160">
        <v>45</v>
      </c>
      <c r="N160">
        <v>49</v>
      </c>
      <c r="O160" t="s">
        <v>52</v>
      </c>
      <c r="P160" t="s">
        <v>531</v>
      </c>
      <c r="Q160" t="s">
        <v>219</v>
      </c>
      <c r="R160" t="s">
        <v>91</v>
      </c>
      <c r="S160" t="s">
        <v>92</v>
      </c>
    </row>
    <row r="161" spans="1:19" x14ac:dyDescent="0.25">
      <c r="A161" t="s">
        <v>59</v>
      </c>
      <c r="B161" t="s">
        <v>60</v>
      </c>
      <c r="C161" t="s">
        <v>32</v>
      </c>
      <c r="D161" t="s">
        <v>522</v>
      </c>
      <c r="E161" t="s">
        <v>523</v>
      </c>
      <c r="F161" t="s">
        <v>35</v>
      </c>
      <c r="G161" t="s">
        <v>35</v>
      </c>
      <c r="H161" t="s">
        <v>35</v>
      </c>
      <c r="J161" t="s">
        <v>524</v>
      </c>
      <c r="K161" t="s">
        <v>37</v>
      </c>
      <c r="M161">
        <v>49.625</v>
      </c>
      <c r="N161">
        <v>7</v>
      </c>
      <c r="O161" t="s">
        <v>46</v>
      </c>
      <c r="P161" t="s">
        <v>8163</v>
      </c>
      <c r="Q161" t="s">
        <v>8164</v>
      </c>
      <c r="R161" t="s">
        <v>91</v>
      </c>
      <c r="S161" t="s">
        <v>92</v>
      </c>
    </row>
    <row r="162" spans="1:19" x14ac:dyDescent="0.25">
      <c r="A162" t="s">
        <v>59</v>
      </c>
      <c r="B162" t="s">
        <v>31</v>
      </c>
      <c r="C162" t="s">
        <v>32</v>
      </c>
      <c r="D162" t="s">
        <v>522</v>
      </c>
      <c r="E162" t="s">
        <v>523</v>
      </c>
      <c r="F162" t="s">
        <v>35</v>
      </c>
      <c r="G162" t="s">
        <v>35</v>
      </c>
      <c r="H162" t="s">
        <v>35</v>
      </c>
      <c r="J162" t="s">
        <v>524</v>
      </c>
      <c r="K162" t="s">
        <v>37</v>
      </c>
      <c r="M162">
        <v>17.55</v>
      </c>
      <c r="N162">
        <v>7</v>
      </c>
      <c r="O162" t="s">
        <v>46</v>
      </c>
      <c r="P162" t="s">
        <v>8165</v>
      </c>
      <c r="Q162" t="s">
        <v>8164</v>
      </c>
      <c r="R162" t="s">
        <v>91</v>
      </c>
      <c r="S162" t="s">
        <v>92</v>
      </c>
    </row>
    <row r="163" spans="1:19" x14ac:dyDescent="0.25">
      <c r="A163" t="s">
        <v>59</v>
      </c>
      <c r="B163" t="s">
        <v>60</v>
      </c>
      <c r="C163" t="s">
        <v>32</v>
      </c>
      <c r="D163" t="s">
        <v>522</v>
      </c>
      <c r="E163" t="s">
        <v>533</v>
      </c>
      <c r="F163" t="s">
        <v>35</v>
      </c>
      <c r="G163" t="s">
        <v>35</v>
      </c>
      <c r="H163" t="s">
        <v>35</v>
      </c>
      <c r="J163" t="s">
        <v>534</v>
      </c>
      <c r="K163" t="s">
        <v>37</v>
      </c>
      <c r="M163">
        <v>11</v>
      </c>
      <c r="N163">
        <v>138</v>
      </c>
      <c r="O163" t="s">
        <v>38</v>
      </c>
      <c r="P163" t="s">
        <v>541</v>
      </c>
      <c r="Q163" t="s">
        <v>542</v>
      </c>
      <c r="R163" t="s">
        <v>538</v>
      </c>
      <c r="S163" t="s">
        <v>539</v>
      </c>
    </row>
    <row r="164" spans="1:19" x14ac:dyDescent="0.25">
      <c r="A164" t="s">
        <v>59</v>
      </c>
      <c r="B164" t="s">
        <v>60</v>
      </c>
      <c r="C164" t="s">
        <v>32</v>
      </c>
      <c r="D164" t="s">
        <v>522</v>
      </c>
      <c r="E164" t="s">
        <v>533</v>
      </c>
      <c r="F164" t="s">
        <v>35</v>
      </c>
      <c r="G164" t="s">
        <v>35</v>
      </c>
      <c r="H164" t="s">
        <v>35</v>
      </c>
      <c r="J164" t="s">
        <v>534</v>
      </c>
      <c r="K164" t="s">
        <v>37</v>
      </c>
      <c r="M164">
        <v>1.625</v>
      </c>
      <c r="N164">
        <v>214</v>
      </c>
      <c r="O164" t="s">
        <v>5</v>
      </c>
      <c r="P164" t="s">
        <v>536</v>
      </c>
      <c r="Q164" t="s">
        <v>537</v>
      </c>
      <c r="R164" t="s">
        <v>538</v>
      </c>
      <c r="S164" t="s">
        <v>539</v>
      </c>
    </row>
    <row r="165" spans="1:19" x14ac:dyDescent="0.25">
      <c r="A165" t="s">
        <v>59</v>
      </c>
      <c r="B165" t="s">
        <v>60</v>
      </c>
      <c r="C165" t="s">
        <v>32</v>
      </c>
      <c r="D165" t="s">
        <v>522</v>
      </c>
      <c r="E165" t="s">
        <v>543</v>
      </c>
      <c r="F165" t="s">
        <v>35</v>
      </c>
      <c r="G165" t="s">
        <v>35</v>
      </c>
      <c r="H165" t="s">
        <v>35</v>
      </c>
      <c r="J165" t="s">
        <v>544</v>
      </c>
      <c r="K165" t="s">
        <v>37</v>
      </c>
      <c r="M165">
        <v>10</v>
      </c>
      <c r="N165">
        <v>32</v>
      </c>
      <c r="O165" t="s">
        <v>52</v>
      </c>
      <c r="P165" t="s">
        <v>546</v>
      </c>
      <c r="Q165" t="s">
        <v>547</v>
      </c>
      <c r="R165" t="s">
        <v>548</v>
      </c>
      <c r="S165" t="s">
        <v>524</v>
      </c>
    </row>
    <row r="166" spans="1:19" x14ac:dyDescent="0.25">
      <c r="A166" t="s">
        <v>44</v>
      </c>
      <c r="B166" t="s">
        <v>51</v>
      </c>
      <c r="C166" t="s">
        <v>32</v>
      </c>
      <c r="D166" t="s">
        <v>522</v>
      </c>
      <c r="E166" t="s">
        <v>543</v>
      </c>
      <c r="F166" t="s">
        <v>35</v>
      </c>
      <c r="G166" t="s">
        <v>35</v>
      </c>
      <c r="H166" t="s">
        <v>35</v>
      </c>
      <c r="J166" t="s">
        <v>549</v>
      </c>
      <c r="K166" t="s">
        <v>37</v>
      </c>
      <c r="M166">
        <v>3</v>
      </c>
      <c r="N166">
        <v>73</v>
      </c>
      <c r="O166" t="s">
        <v>61</v>
      </c>
      <c r="P166" t="s">
        <v>551</v>
      </c>
      <c r="Q166" t="s">
        <v>552</v>
      </c>
      <c r="R166" t="s">
        <v>538</v>
      </c>
      <c r="S166" t="s">
        <v>539</v>
      </c>
    </row>
    <row r="167" spans="1:19" x14ac:dyDescent="0.25">
      <c r="A167" t="s">
        <v>59</v>
      </c>
      <c r="B167" t="s">
        <v>60</v>
      </c>
      <c r="C167" t="s">
        <v>32</v>
      </c>
      <c r="D167" t="s">
        <v>522</v>
      </c>
      <c r="E167" t="s">
        <v>553</v>
      </c>
      <c r="F167" t="s">
        <v>35</v>
      </c>
      <c r="G167" t="s">
        <v>35</v>
      </c>
      <c r="H167" t="s">
        <v>35</v>
      </c>
      <c r="J167" t="s">
        <v>554</v>
      </c>
      <c r="K167" t="s">
        <v>37</v>
      </c>
      <c r="M167">
        <v>4.5</v>
      </c>
      <c r="N167">
        <v>97</v>
      </c>
      <c r="O167" t="s">
        <v>106</v>
      </c>
      <c r="P167" t="s">
        <v>556</v>
      </c>
      <c r="Q167" t="s">
        <v>557</v>
      </c>
      <c r="R167" t="s">
        <v>538</v>
      </c>
      <c r="S167" t="s">
        <v>539</v>
      </c>
    </row>
    <row r="168" spans="1:19" x14ac:dyDescent="0.25">
      <c r="A168" t="s">
        <v>59</v>
      </c>
      <c r="B168" t="s">
        <v>60</v>
      </c>
      <c r="C168" t="s">
        <v>32</v>
      </c>
      <c r="D168" t="s">
        <v>522</v>
      </c>
      <c r="E168" t="s">
        <v>553</v>
      </c>
      <c r="F168" t="s">
        <v>35</v>
      </c>
      <c r="G168" t="s">
        <v>35</v>
      </c>
      <c r="H168" t="s">
        <v>35</v>
      </c>
      <c r="J168" t="s">
        <v>100</v>
      </c>
      <c r="K168" t="s">
        <v>37</v>
      </c>
      <c r="M168">
        <v>20</v>
      </c>
      <c r="N168">
        <v>135</v>
      </c>
      <c r="O168" t="s">
        <v>38</v>
      </c>
      <c r="P168" t="s">
        <v>558</v>
      </c>
      <c r="Q168" t="s">
        <v>98</v>
      </c>
      <c r="R168" t="s">
        <v>559</v>
      </c>
      <c r="S168" t="s">
        <v>554</v>
      </c>
    </row>
    <row r="169" spans="1:19" x14ac:dyDescent="0.25">
      <c r="A169" t="s">
        <v>59</v>
      </c>
      <c r="B169" t="s">
        <v>60</v>
      </c>
      <c r="C169" t="s">
        <v>32</v>
      </c>
      <c r="D169" t="s">
        <v>522</v>
      </c>
      <c r="E169" t="s">
        <v>553</v>
      </c>
      <c r="F169" t="s">
        <v>35</v>
      </c>
      <c r="G169" t="s">
        <v>35</v>
      </c>
      <c r="H169" t="s">
        <v>35</v>
      </c>
      <c r="J169" t="s">
        <v>100</v>
      </c>
      <c r="K169" t="s">
        <v>37</v>
      </c>
      <c r="M169">
        <v>15</v>
      </c>
      <c r="N169">
        <v>135</v>
      </c>
      <c r="O169" t="s">
        <v>38</v>
      </c>
      <c r="P169" t="s">
        <v>560</v>
      </c>
      <c r="Q169" t="s">
        <v>98</v>
      </c>
      <c r="R169" t="s">
        <v>559</v>
      </c>
      <c r="S169" t="s">
        <v>554</v>
      </c>
    </row>
    <row r="170" spans="1:19" x14ac:dyDescent="0.25">
      <c r="A170" t="s">
        <v>59</v>
      </c>
      <c r="B170" t="s">
        <v>60</v>
      </c>
      <c r="C170" t="s">
        <v>32</v>
      </c>
      <c r="D170" t="s">
        <v>522</v>
      </c>
      <c r="E170" t="s">
        <v>553</v>
      </c>
      <c r="F170" t="s">
        <v>35</v>
      </c>
      <c r="G170" t="s">
        <v>35</v>
      </c>
      <c r="H170" t="s">
        <v>35</v>
      </c>
      <c r="J170" t="s">
        <v>8166</v>
      </c>
      <c r="K170" t="s">
        <v>37</v>
      </c>
      <c r="M170">
        <v>11</v>
      </c>
      <c r="N170">
        <v>6</v>
      </c>
      <c r="O170" t="s">
        <v>46</v>
      </c>
      <c r="P170" t="s">
        <v>8167</v>
      </c>
      <c r="Q170" t="s">
        <v>8168</v>
      </c>
      <c r="R170" t="s">
        <v>548</v>
      </c>
      <c r="S170" t="s">
        <v>524</v>
      </c>
    </row>
    <row r="171" spans="1:19" x14ac:dyDescent="0.25">
      <c r="A171" t="s">
        <v>59</v>
      </c>
      <c r="B171" t="s">
        <v>60</v>
      </c>
      <c r="C171" t="s">
        <v>32</v>
      </c>
      <c r="D171" t="s">
        <v>522</v>
      </c>
      <c r="E171" t="s">
        <v>553</v>
      </c>
      <c r="F171" t="s">
        <v>35</v>
      </c>
      <c r="G171" t="s">
        <v>35</v>
      </c>
      <c r="H171" t="s">
        <v>35</v>
      </c>
      <c r="J171" t="s">
        <v>8166</v>
      </c>
      <c r="K171" t="s">
        <v>37</v>
      </c>
      <c r="M171">
        <v>11</v>
      </c>
      <c r="N171">
        <v>6</v>
      </c>
      <c r="O171" t="s">
        <v>46</v>
      </c>
      <c r="P171" t="s">
        <v>8169</v>
      </c>
      <c r="Q171" t="s">
        <v>8168</v>
      </c>
      <c r="R171" t="s">
        <v>548</v>
      </c>
      <c r="S171" t="s">
        <v>524</v>
      </c>
    </row>
    <row r="172" spans="1:19" x14ac:dyDescent="0.25">
      <c r="A172" t="s">
        <v>59</v>
      </c>
      <c r="B172" t="s">
        <v>60</v>
      </c>
      <c r="C172" t="s">
        <v>32</v>
      </c>
      <c r="D172" t="s">
        <v>522</v>
      </c>
      <c r="E172" t="s">
        <v>553</v>
      </c>
      <c r="F172" t="s">
        <v>35</v>
      </c>
      <c r="G172" t="s">
        <v>35</v>
      </c>
      <c r="H172" t="s">
        <v>35</v>
      </c>
      <c r="J172" t="s">
        <v>8166</v>
      </c>
      <c r="K172" t="s">
        <v>37</v>
      </c>
      <c r="M172">
        <v>11</v>
      </c>
      <c r="N172">
        <v>6</v>
      </c>
      <c r="O172" t="s">
        <v>46</v>
      </c>
      <c r="P172" t="s">
        <v>8170</v>
      </c>
      <c r="Q172" t="s">
        <v>8168</v>
      </c>
      <c r="R172" t="s">
        <v>548</v>
      </c>
      <c r="S172" t="s">
        <v>524</v>
      </c>
    </row>
    <row r="173" spans="1:19" x14ac:dyDescent="0.25">
      <c r="A173" t="s">
        <v>59</v>
      </c>
      <c r="B173" t="s">
        <v>60</v>
      </c>
      <c r="C173" t="s">
        <v>32</v>
      </c>
      <c r="D173" t="s">
        <v>522</v>
      </c>
      <c r="E173" t="s">
        <v>553</v>
      </c>
      <c r="F173" t="s">
        <v>35</v>
      </c>
      <c r="G173" t="s">
        <v>35</v>
      </c>
      <c r="H173" t="s">
        <v>35</v>
      </c>
      <c r="J173" t="s">
        <v>8166</v>
      </c>
      <c r="K173" t="s">
        <v>37</v>
      </c>
      <c r="M173">
        <v>11</v>
      </c>
      <c r="N173">
        <v>6</v>
      </c>
      <c r="O173" t="s">
        <v>46</v>
      </c>
      <c r="P173" t="s">
        <v>8171</v>
      </c>
      <c r="Q173" t="s">
        <v>8168</v>
      </c>
      <c r="R173" t="s">
        <v>548</v>
      </c>
      <c r="S173" t="s">
        <v>524</v>
      </c>
    </row>
    <row r="174" spans="1:19" x14ac:dyDescent="0.25">
      <c r="A174" t="s">
        <v>59</v>
      </c>
      <c r="B174" t="s">
        <v>60</v>
      </c>
      <c r="C174" t="s">
        <v>32</v>
      </c>
      <c r="D174" t="s">
        <v>522</v>
      </c>
      <c r="E174" t="s">
        <v>553</v>
      </c>
      <c r="F174" t="s">
        <v>35</v>
      </c>
      <c r="G174" t="s">
        <v>35</v>
      </c>
      <c r="H174" t="s">
        <v>35</v>
      </c>
      <c r="J174" t="s">
        <v>8166</v>
      </c>
      <c r="K174" t="s">
        <v>37</v>
      </c>
      <c r="M174">
        <v>11</v>
      </c>
      <c r="N174">
        <v>6</v>
      </c>
      <c r="O174" t="s">
        <v>46</v>
      </c>
      <c r="P174" t="s">
        <v>8172</v>
      </c>
      <c r="Q174" t="s">
        <v>8168</v>
      </c>
      <c r="R174" t="s">
        <v>548</v>
      </c>
      <c r="S174" t="s">
        <v>524</v>
      </c>
    </row>
    <row r="175" spans="1:19" x14ac:dyDescent="0.25">
      <c r="A175" t="s">
        <v>59</v>
      </c>
      <c r="B175" t="s">
        <v>60</v>
      </c>
      <c r="C175" t="s">
        <v>32</v>
      </c>
      <c r="D175" t="s">
        <v>522</v>
      </c>
      <c r="E175" t="s">
        <v>4181</v>
      </c>
      <c r="F175" t="s">
        <v>35</v>
      </c>
      <c r="G175" t="s">
        <v>35</v>
      </c>
      <c r="H175" t="s">
        <v>35</v>
      </c>
      <c r="J175" t="s">
        <v>3932</v>
      </c>
      <c r="K175" t="s">
        <v>37</v>
      </c>
      <c r="M175">
        <v>37</v>
      </c>
      <c r="N175">
        <v>7</v>
      </c>
      <c r="O175" t="s">
        <v>46</v>
      </c>
      <c r="P175" t="s">
        <v>8173</v>
      </c>
      <c r="Q175" t="s">
        <v>8164</v>
      </c>
      <c r="R175" t="s">
        <v>91</v>
      </c>
      <c r="S175" t="s">
        <v>92</v>
      </c>
    </row>
    <row r="176" spans="1:19" x14ac:dyDescent="0.25">
      <c r="A176" t="s">
        <v>59</v>
      </c>
      <c r="B176" t="s">
        <v>31</v>
      </c>
      <c r="C176" t="s">
        <v>32</v>
      </c>
      <c r="D176" t="s">
        <v>522</v>
      </c>
      <c r="E176" t="s">
        <v>4181</v>
      </c>
      <c r="F176" t="s">
        <v>35</v>
      </c>
      <c r="G176" t="s">
        <v>35</v>
      </c>
      <c r="H176" t="s">
        <v>35</v>
      </c>
      <c r="J176" t="s">
        <v>3932</v>
      </c>
      <c r="K176" t="s">
        <v>37</v>
      </c>
      <c r="M176">
        <v>24.975000000000001</v>
      </c>
      <c r="N176">
        <v>7</v>
      </c>
      <c r="O176" t="s">
        <v>46</v>
      </c>
      <c r="P176" t="s">
        <v>8174</v>
      </c>
      <c r="Q176" t="s">
        <v>8164</v>
      </c>
      <c r="R176" t="s">
        <v>91</v>
      </c>
      <c r="S176" t="s">
        <v>92</v>
      </c>
    </row>
    <row r="177" spans="1:19" x14ac:dyDescent="0.25">
      <c r="A177" t="s">
        <v>59</v>
      </c>
      <c r="B177" t="s">
        <v>60</v>
      </c>
      <c r="C177" t="s">
        <v>32</v>
      </c>
      <c r="D177" t="s">
        <v>522</v>
      </c>
      <c r="E177" t="s">
        <v>561</v>
      </c>
      <c r="F177" t="s">
        <v>35</v>
      </c>
      <c r="G177" t="s">
        <v>35</v>
      </c>
      <c r="H177" t="s">
        <v>35</v>
      </c>
      <c r="J177" t="s">
        <v>562</v>
      </c>
      <c r="K177" t="s">
        <v>37</v>
      </c>
      <c r="M177">
        <v>9</v>
      </c>
      <c r="N177">
        <v>138</v>
      </c>
      <c r="O177" t="s">
        <v>38</v>
      </c>
      <c r="P177" t="s">
        <v>564</v>
      </c>
      <c r="Q177" t="s">
        <v>542</v>
      </c>
      <c r="R177" t="s">
        <v>538</v>
      </c>
      <c r="S177" t="s">
        <v>539</v>
      </c>
    </row>
    <row r="178" spans="1:19" x14ac:dyDescent="0.25">
      <c r="A178" t="s">
        <v>59</v>
      </c>
      <c r="B178" t="s">
        <v>60</v>
      </c>
      <c r="C178" t="s">
        <v>32</v>
      </c>
      <c r="D178" t="s">
        <v>522</v>
      </c>
      <c r="E178" t="s">
        <v>565</v>
      </c>
      <c r="F178" t="s">
        <v>35</v>
      </c>
      <c r="G178" t="s">
        <v>35</v>
      </c>
      <c r="H178" t="s">
        <v>35</v>
      </c>
      <c r="J178" t="s">
        <v>539</v>
      </c>
      <c r="K178" t="s">
        <v>37</v>
      </c>
      <c r="M178">
        <v>50</v>
      </c>
      <c r="N178">
        <v>7</v>
      </c>
      <c r="O178" t="s">
        <v>46</v>
      </c>
      <c r="P178" t="s">
        <v>8175</v>
      </c>
      <c r="Q178" t="s">
        <v>8164</v>
      </c>
      <c r="R178" t="s">
        <v>91</v>
      </c>
      <c r="S178" t="s">
        <v>92</v>
      </c>
    </row>
    <row r="179" spans="1:19" x14ac:dyDescent="0.25">
      <c r="A179" t="s">
        <v>59</v>
      </c>
      <c r="B179" t="s">
        <v>60</v>
      </c>
      <c r="C179" t="s">
        <v>32</v>
      </c>
      <c r="D179" t="s">
        <v>522</v>
      </c>
      <c r="E179" t="s">
        <v>565</v>
      </c>
      <c r="F179" t="s">
        <v>35</v>
      </c>
      <c r="G179" t="s">
        <v>35</v>
      </c>
      <c r="H179" t="s">
        <v>35</v>
      </c>
      <c r="J179" t="s">
        <v>539</v>
      </c>
      <c r="K179" t="s">
        <v>37</v>
      </c>
      <c r="M179">
        <v>50</v>
      </c>
      <c r="N179">
        <v>7</v>
      </c>
      <c r="O179" t="s">
        <v>46</v>
      </c>
      <c r="P179" t="s">
        <v>8176</v>
      </c>
      <c r="Q179" t="s">
        <v>8164</v>
      </c>
      <c r="R179" t="s">
        <v>91</v>
      </c>
      <c r="S179" t="s">
        <v>92</v>
      </c>
    </row>
    <row r="180" spans="1:19" x14ac:dyDescent="0.25">
      <c r="A180" t="s">
        <v>59</v>
      </c>
      <c r="B180" t="s">
        <v>60</v>
      </c>
      <c r="C180" t="s">
        <v>32</v>
      </c>
      <c r="D180" t="s">
        <v>522</v>
      </c>
      <c r="E180" t="s">
        <v>565</v>
      </c>
      <c r="F180" t="s">
        <v>35</v>
      </c>
      <c r="G180" t="s">
        <v>35</v>
      </c>
      <c r="H180" t="s">
        <v>35</v>
      </c>
      <c r="J180" t="s">
        <v>539</v>
      </c>
      <c r="K180" t="s">
        <v>37</v>
      </c>
      <c r="M180">
        <v>50</v>
      </c>
      <c r="N180">
        <v>7</v>
      </c>
      <c r="O180" t="s">
        <v>46</v>
      </c>
      <c r="P180" t="s">
        <v>8177</v>
      </c>
      <c r="Q180" t="s">
        <v>8164</v>
      </c>
      <c r="R180" t="s">
        <v>91</v>
      </c>
      <c r="S180" t="s">
        <v>92</v>
      </c>
    </row>
    <row r="181" spans="1:19" x14ac:dyDescent="0.25">
      <c r="A181" t="s">
        <v>59</v>
      </c>
      <c r="B181" t="s">
        <v>60</v>
      </c>
      <c r="C181" t="s">
        <v>32</v>
      </c>
      <c r="D181" t="s">
        <v>522</v>
      </c>
      <c r="E181" t="s">
        <v>565</v>
      </c>
      <c r="F181" t="s">
        <v>35</v>
      </c>
      <c r="G181" t="s">
        <v>35</v>
      </c>
      <c r="H181" t="s">
        <v>35</v>
      </c>
      <c r="J181" t="s">
        <v>539</v>
      </c>
      <c r="K181" t="s">
        <v>37</v>
      </c>
      <c r="M181">
        <v>50</v>
      </c>
      <c r="N181">
        <v>7</v>
      </c>
      <c r="O181" t="s">
        <v>46</v>
      </c>
      <c r="P181" t="s">
        <v>8178</v>
      </c>
      <c r="Q181" t="s">
        <v>8164</v>
      </c>
      <c r="R181" t="s">
        <v>91</v>
      </c>
      <c r="S181" t="s">
        <v>92</v>
      </c>
    </row>
    <row r="182" spans="1:19" x14ac:dyDescent="0.25">
      <c r="A182" t="s">
        <v>59</v>
      </c>
      <c r="B182" t="s">
        <v>60</v>
      </c>
      <c r="C182" t="s">
        <v>32</v>
      </c>
      <c r="D182" t="s">
        <v>522</v>
      </c>
      <c r="E182" t="s">
        <v>565</v>
      </c>
      <c r="F182" t="s">
        <v>35</v>
      </c>
      <c r="G182" t="s">
        <v>35</v>
      </c>
      <c r="H182" t="s">
        <v>35</v>
      </c>
      <c r="J182" t="s">
        <v>566</v>
      </c>
      <c r="K182" t="s">
        <v>37</v>
      </c>
      <c r="M182">
        <v>7</v>
      </c>
      <c r="N182">
        <v>247</v>
      </c>
      <c r="O182" t="s">
        <v>5</v>
      </c>
      <c r="P182" t="s">
        <v>573</v>
      </c>
      <c r="Q182" t="s">
        <v>574</v>
      </c>
      <c r="R182" t="s">
        <v>538</v>
      </c>
      <c r="S182" t="s">
        <v>539</v>
      </c>
    </row>
    <row r="183" spans="1:19" x14ac:dyDescent="0.25">
      <c r="A183" t="s">
        <v>30</v>
      </c>
      <c r="B183" t="s">
        <v>31</v>
      </c>
      <c r="C183" t="s">
        <v>32</v>
      </c>
      <c r="D183" t="s">
        <v>522</v>
      </c>
      <c r="E183" t="s">
        <v>565</v>
      </c>
      <c r="F183" t="s">
        <v>35</v>
      </c>
      <c r="G183" t="s">
        <v>35</v>
      </c>
      <c r="H183" t="s">
        <v>35</v>
      </c>
      <c r="J183" t="s">
        <v>566</v>
      </c>
      <c r="K183" t="s">
        <v>37</v>
      </c>
      <c r="M183">
        <v>0.29499999999999998</v>
      </c>
      <c r="N183">
        <v>153</v>
      </c>
      <c r="O183" t="s">
        <v>38</v>
      </c>
      <c r="P183" t="s">
        <v>568</v>
      </c>
      <c r="Q183" t="s">
        <v>569</v>
      </c>
      <c r="R183" t="s">
        <v>570</v>
      </c>
      <c r="S183" t="s">
        <v>571</v>
      </c>
    </row>
    <row r="184" spans="1:19" x14ac:dyDescent="0.25">
      <c r="A184" t="s">
        <v>30</v>
      </c>
      <c r="B184" t="s">
        <v>31</v>
      </c>
      <c r="C184" t="s">
        <v>32</v>
      </c>
      <c r="D184" t="s">
        <v>522</v>
      </c>
      <c r="E184" t="s">
        <v>565</v>
      </c>
      <c r="F184" t="s">
        <v>35</v>
      </c>
      <c r="G184" t="s">
        <v>35</v>
      </c>
      <c r="H184" t="s">
        <v>35</v>
      </c>
      <c r="J184" t="s">
        <v>566</v>
      </c>
      <c r="K184" t="s">
        <v>37</v>
      </c>
      <c r="M184">
        <v>11.475</v>
      </c>
      <c r="N184">
        <v>7</v>
      </c>
      <c r="O184" t="s">
        <v>46</v>
      </c>
      <c r="P184" t="s">
        <v>8179</v>
      </c>
      <c r="Q184" t="s">
        <v>8164</v>
      </c>
      <c r="R184" t="s">
        <v>5454</v>
      </c>
      <c r="S184" t="s">
        <v>756</v>
      </c>
    </row>
    <row r="185" spans="1:19" x14ac:dyDescent="0.25">
      <c r="A185" t="s">
        <v>59</v>
      </c>
      <c r="B185" t="s">
        <v>31</v>
      </c>
      <c r="C185" t="s">
        <v>32</v>
      </c>
      <c r="D185" t="s">
        <v>522</v>
      </c>
      <c r="E185" t="s">
        <v>565</v>
      </c>
      <c r="F185" t="s">
        <v>35</v>
      </c>
      <c r="G185" t="s">
        <v>35</v>
      </c>
      <c r="H185" t="s">
        <v>35</v>
      </c>
      <c r="J185" t="s">
        <v>566</v>
      </c>
      <c r="K185" t="s">
        <v>37</v>
      </c>
      <c r="M185">
        <v>0.2</v>
      </c>
      <c r="N185">
        <v>887</v>
      </c>
      <c r="O185" t="s">
        <v>575</v>
      </c>
      <c r="Q185" t="s">
        <v>576</v>
      </c>
      <c r="R185" t="s">
        <v>577</v>
      </c>
      <c r="S185" t="s">
        <v>578</v>
      </c>
    </row>
    <row r="186" spans="1:19" x14ac:dyDescent="0.25">
      <c r="A186" t="s">
        <v>59</v>
      </c>
      <c r="B186" t="s">
        <v>60</v>
      </c>
      <c r="C186" t="s">
        <v>32</v>
      </c>
      <c r="D186" t="s">
        <v>522</v>
      </c>
      <c r="E186" t="s">
        <v>565</v>
      </c>
      <c r="F186" t="s">
        <v>35</v>
      </c>
      <c r="G186" t="s">
        <v>35</v>
      </c>
      <c r="H186" t="s">
        <v>35</v>
      </c>
      <c r="J186" t="s">
        <v>566</v>
      </c>
      <c r="K186" t="s">
        <v>37</v>
      </c>
      <c r="M186">
        <v>11.5</v>
      </c>
      <c r="N186">
        <v>247</v>
      </c>
      <c r="O186" t="s">
        <v>5</v>
      </c>
      <c r="P186" t="s">
        <v>580</v>
      </c>
      <c r="Q186" t="s">
        <v>574</v>
      </c>
      <c r="R186" t="s">
        <v>538</v>
      </c>
      <c r="S186" t="s">
        <v>539</v>
      </c>
    </row>
    <row r="187" spans="1:19" x14ac:dyDescent="0.25">
      <c r="A187" t="s">
        <v>44</v>
      </c>
      <c r="B187" t="s">
        <v>51</v>
      </c>
      <c r="C187" t="s">
        <v>32</v>
      </c>
      <c r="D187" t="s">
        <v>522</v>
      </c>
      <c r="F187" t="s">
        <v>35</v>
      </c>
      <c r="G187" t="s">
        <v>35</v>
      </c>
      <c r="H187" t="s">
        <v>35</v>
      </c>
      <c r="J187" t="s">
        <v>581</v>
      </c>
      <c r="K187" t="s">
        <v>37</v>
      </c>
      <c r="M187">
        <v>10</v>
      </c>
      <c r="N187">
        <v>81</v>
      </c>
      <c r="O187" t="s">
        <v>61</v>
      </c>
      <c r="P187" t="s">
        <v>583</v>
      </c>
      <c r="Q187" t="s">
        <v>527</v>
      </c>
      <c r="R187" t="s">
        <v>538</v>
      </c>
      <c r="S187" t="s">
        <v>539</v>
      </c>
    </row>
    <row r="188" spans="1:19" x14ac:dyDescent="0.25">
      <c r="A188" t="s">
        <v>44</v>
      </c>
      <c r="B188" t="s">
        <v>51</v>
      </c>
      <c r="C188" t="s">
        <v>32</v>
      </c>
      <c r="D188" t="s">
        <v>584</v>
      </c>
      <c r="E188" t="s">
        <v>585</v>
      </c>
      <c r="F188" t="s">
        <v>35</v>
      </c>
      <c r="G188" t="s">
        <v>35</v>
      </c>
      <c r="H188" t="s">
        <v>35</v>
      </c>
      <c r="J188" t="s">
        <v>586</v>
      </c>
      <c r="K188" t="s">
        <v>37</v>
      </c>
      <c r="M188">
        <v>51.5</v>
      </c>
      <c r="N188">
        <v>24</v>
      </c>
      <c r="O188" t="s">
        <v>46</v>
      </c>
      <c r="P188" t="s">
        <v>588</v>
      </c>
      <c r="Q188" t="s">
        <v>255</v>
      </c>
      <c r="R188" t="s">
        <v>589</v>
      </c>
      <c r="S188" t="s">
        <v>590</v>
      </c>
    </row>
    <row r="189" spans="1:19" x14ac:dyDescent="0.25">
      <c r="A189" t="s">
        <v>59</v>
      </c>
      <c r="B189" t="s">
        <v>60</v>
      </c>
      <c r="C189" t="s">
        <v>32</v>
      </c>
      <c r="D189" t="s">
        <v>584</v>
      </c>
      <c r="E189" t="s">
        <v>592</v>
      </c>
      <c r="F189" t="s">
        <v>35</v>
      </c>
      <c r="G189" t="s">
        <v>35</v>
      </c>
      <c r="H189" t="s">
        <v>35</v>
      </c>
      <c r="J189" t="s">
        <v>593</v>
      </c>
      <c r="K189" t="s">
        <v>37</v>
      </c>
      <c r="M189">
        <v>5.75</v>
      </c>
      <c r="N189">
        <v>82</v>
      </c>
      <c r="O189" t="s">
        <v>61</v>
      </c>
      <c r="P189" t="s">
        <v>595</v>
      </c>
      <c r="Q189" t="s">
        <v>447</v>
      </c>
      <c r="R189" t="s">
        <v>91</v>
      </c>
      <c r="S189" t="s">
        <v>92</v>
      </c>
    </row>
    <row r="190" spans="1:19" x14ac:dyDescent="0.25">
      <c r="A190" t="s">
        <v>59</v>
      </c>
      <c r="B190" t="s">
        <v>60</v>
      </c>
      <c r="C190" t="s">
        <v>32</v>
      </c>
      <c r="D190" t="s">
        <v>584</v>
      </c>
      <c r="E190" t="s">
        <v>592</v>
      </c>
      <c r="F190" t="s">
        <v>35</v>
      </c>
      <c r="G190" t="s">
        <v>35</v>
      </c>
      <c r="H190" t="s">
        <v>35</v>
      </c>
      <c r="J190" t="s">
        <v>596</v>
      </c>
      <c r="K190" t="s">
        <v>37</v>
      </c>
      <c r="M190">
        <v>1</v>
      </c>
      <c r="N190">
        <v>44</v>
      </c>
      <c r="O190" t="s">
        <v>52</v>
      </c>
      <c r="P190" t="s">
        <v>598</v>
      </c>
      <c r="Q190" t="s">
        <v>192</v>
      </c>
      <c r="R190" t="s">
        <v>548</v>
      </c>
      <c r="S190" t="s">
        <v>524</v>
      </c>
    </row>
    <row r="191" spans="1:19" x14ac:dyDescent="0.25">
      <c r="A191" t="s">
        <v>44</v>
      </c>
      <c r="B191" t="s">
        <v>51</v>
      </c>
      <c r="C191" t="s">
        <v>32</v>
      </c>
      <c r="D191" t="s">
        <v>584</v>
      </c>
      <c r="E191" t="s">
        <v>599</v>
      </c>
      <c r="F191" t="s">
        <v>35</v>
      </c>
      <c r="G191" t="s">
        <v>35</v>
      </c>
      <c r="H191" t="s">
        <v>35</v>
      </c>
      <c r="J191" t="s">
        <v>600</v>
      </c>
      <c r="K191" t="s">
        <v>37</v>
      </c>
      <c r="M191">
        <v>12</v>
      </c>
      <c r="N191">
        <v>81</v>
      </c>
      <c r="O191" t="s">
        <v>61</v>
      </c>
      <c r="P191" t="s">
        <v>107</v>
      </c>
      <c r="Q191" t="s">
        <v>527</v>
      </c>
      <c r="R191" t="s">
        <v>570</v>
      </c>
      <c r="S191" t="s">
        <v>571</v>
      </c>
    </row>
    <row r="192" spans="1:19" x14ac:dyDescent="0.25">
      <c r="A192" t="s">
        <v>59</v>
      </c>
      <c r="B192" t="s">
        <v>60</v>
      </c>
      <c r="C192" t="s">
        <v>32</v>
      </c>
      <c r="D192" t="s">
        <v>584</v>
      </c>
      <c r="E192" t="s">
        <v>599</v>
      </c>
      <c r="F192" t="s">
        <v>35</v>
      </c>
      <c r="G192" t="s">
        <v>35</v>
      </c>
      <c r="H192" t="s">
        <v>35</v>
      </c>
      <c r="J192" t="s">
        <v>602</v>
      </c>
      <c r="K192" t="s">
        <v>37</v>
      </c>
      <c r="M192">
        <v>0.5</v>
      </c>
      <c r="N192">
        <v>51</v>
      </c>
      <c r="O192" t="s">
        <v>52</v>
      </c>
      <c r="P192" t="s">
        <v>604</v>
      </c>
      <c r="Q192" t="s">
        <v>54</v>
      </c>
      <c r="R192" t="s">
        <v>315</v>
      </c>
      <c r="S192" t="s">
        <v>316</v>
      </c>
    </row>
    <row r="193" spans="1:19" x14ac:dyDescent="0.25">
      <c r="A193" t="s">
        <v>59</v>
      </c>
      <c r="B193" t="s">
        <v>60</v>
      </c>
      <c r="C193" t="s">
        <v>32</v>
      </c>
      <c r="D193" t="s">
        <v>584</v>
      </c>
      <c r="E193" t="s">
        <v>599</v>
      </c>
      <c r="F193" t="s">
        <v>35</v>
      </c>
      <c r="G193" t="s">
        <v>35</v>
      </c>
      <c r="H193" t="s">
        <v>35</v>
      </c>
      <c r="J193" t="s">
        <v>602</v>
      </c>
      <c r="K193" t="s">
        <v>37</v>
      </c>
      <c r="M193">
        <v>25</v>
      </c>
      <c r="N193">
        <v>51</v>
      </c>
      <c r="O193" t="s">
        <v>52</v>
      </c>
      <c r="P193" t="s">
        <v>605</v>
      </c>
      <c r="Q193" t="s">
        <v>54</v>
      </c>
      <c r="R193" t="s">
        <v>315</v>
      </c>
      <c r="S193" t="s">
        <v>316</v>
      </c>
    </row>
    <row r="194" spans="1:19" x14ac:dyDescent="0.25">
      <c r="A194" t="s">
        <v>44</v>
      </c>
      <c r="B194" t="s">
        <v>51</v>
      </c>
      <c r="C194" t="s">
        <v>32</v>
      </c>
      <c r="D194" t="s">
        <v>584</v>
      </c>
      <c r="E194" t="s">
        <v>599</v>
      </c>
      <c r="F194" t="s">
        <v>35</v>
      </c>
      <c r="G194" t="s">
        <v>35</v>
      </c>
      <c r="H194" t="s">
        <v>35</v>
      </c>
      <c r="J194" t="s">
        <v>606</v>
      </c>
      <c r="K194" t="s">
        <v>37</v>
      </c>
      <c r="M194">
        <v>12</v>
      </c>
      <c r="N194">
        <v>58</v>
      </c>
      <c r="O194" t="s">
        <v>52</v>
      </c>
      <c r="P194" t="s">
        <v>613</v>
      </c>
      <c r="Q194" t="s">
        <v>58</v>
      </c>
      <c r="R194" t="s">
        <v>610</v>
      </c>
      <c r="S194" t="s">
        <v>539</v>
      </c>
    </row>
    <row r="195" spans="1:19" x14ac:dyDescent="0.25">
      <c r="A195" t="s">
        <v>59</v>
      </c>
      <c r="B195" t="s">
        <v>60</v>
      </c>
      <c r="C195" t="s">
        <v>32</v>
      </c>
      <c r="D195" t="s">
        <v>584</v>
      </c>
      <c r="E195" t="s">
        <v>599</v>
      </c>
      <c r="F195" t="s">
        <v>35</v>
      </c>
      <c r="G195" t="s">
        <v>35</v>
      </c>
      <c r="H195" t="s">
        <v>35</v>
      </c>
      <c r="J195" t="s">
        <v>606</v>
      </c>
      <c r="K195" t="s">
        <v>37</v>
      </c>
      <c r="M195">
        <v>1</v>
      </c>
      <c r="N195">
        <v>140</v>
      </c>
      <c r="O195" t="s">
        <v>38</v>
      </c>
      <c r="P195" t="s">
        <v>608</v>
      </c>
      <c r="Q195" t="s">
        <v>609</v>
      </c>
      <c r="R195" t="s">
        <v>610</v>
      </c>
      <c r="S195" t="s">
        <v>539</v>
      </c>
    </row>
    <row r="196" spans="1:19" x14ac:dyDescent="0.25">
      <c r="A196" t="s">
        <v>44</v>
      </c>
      <c r="B196" t="s">
        <v>51</v>
      </c>
      <c r="C196" t="s">
        <v>32</v>
      </c>
      <c r="D196" t="s">
        <v>584</v>
      </c>
      <c r="E196" t="s">
        <v>599</v>
      </c>
      <c r="F196" t="s">
        <v>35</v>
      </c>
      <c r="G196" t="s">
        <v>35</v>
      </c>
      <c r="H196" t="s">
        <v>35</v>
      </c>
      <c r="J196" t="s">
        <v>606</v>
      </c>
      <c r="K196" t="s">
        <v>37</v>
      </c>
      <c r="M196">
        <v>2</v>
      </c>
      <c r="N196">
        <v>81</v>
      </c>
      <c r="O196" t="s">
        <v>61</v>
      </c>
      <c r="P196" t="s">
        <v>612</v>
      </c>
      <c r="Q196" t="s">
        <v>527</v>
      </c>
      <c r="R196" t="s">
        <v>610</v>
      </c>
      <c r="S196" t="s">
        <v>539</v>
      </c>
    </row>
    <row r="197" spans="1:19" x14ac:dyDescent="0.25">
      <c r="A197" t="s">
        <v>59</v>
      </c>
      <c r="B197" t="s">
        <v>60</v>
      </c>
      <c r="C197" t="s">
        <v>32</v>
      </c>
      <c r="D197" t="s">
        <v>584</v>
      </c>
      <c r="E197" t="s">
        <v>599</v>
      </c>
      <c r="F197" t="s">
        <v>35</v>
      </c>
      <c r="G197" t="s">
        <v>35</v>
      </c>
      <c r="H197" t="s">
        <v>35</v>
      </c>
      <c r="J197" t="s">
        <v>590</v>
      </c>
      <c r="K197" t="s">
        <v>37</v>
      </c>
      <c r="M197">
        <v>13</v>
      </c>
      <c r="N197">
        <v>74</v>
      </c>
      <c r="O197" t="s">
        <v>61</v>
      </c>
      <c r="P197" t="s">
        <v>616</v>
      </c>
      <c r="Q197" t="s">
        <v>488</v>
      </c>
      <c r="R197" t="s">
        <v>617</v>
      </c>
      <c r="S197" t="s">
        <v>618</v>
      </c>
    </row>
    <row r="198" spans="1:19" x14ac:dyDescent="0.25">
      <c r="A198" t="s">
        <v>44</v>
      </c>
      <c r="B198" t="s">
        <v>51</v>
      </c>
      <c r="C198" t="s">
        <v>32</v>
      </c>
      <c r="D198" t="s">
        <v>584</v>
      </c>
      <c r="E198" t="s">
        <v>599</v>
      </c>
      <c r="F198" t="s">
        <v>35</v>
      </c>
      <c r="G198" t="s">
        <v>35</v>
      </c>
      <c r="H198" t="s">
        <v>35</v>
      </c>
      <c r="J198" t="s">
        <v>590</v>
      </c>
      <c r="K198" t="s">
        <v>37</v>
      </c>
      <c r="M198">
        <v>2</v>
      </c>
      <c r="N198">
        <v>81</v>
      </c>
      <c r="O198" t="s">
        <v>61</v>
      </c>
      <c r="P198" t="s">
        <v>615</v>
      </c>
      <c r="Q198" t="s">
        <v>527</v>
      </c>
      <c r="R198" t="s">
        <v>610</v>
      </c>
      <c r="S198" t="s">
        <v>539</v>
      </c>
    </row>
    <row r="199" spans="1:19" x14ac:dyDescent="0.25">
      <c r="A199" t="s">
        <v>44</v>
      </c>
      <c r="B199" t="s">
        <v>51</v>
      </c>
      <c r="C199" t="s">
        <v>32</v>
      </c>
      <c r="D199" t="s">
        <v>584</v>
      </c>
      <c r="E199" t="s">
        <v>599</v>
      </c>
      <c r="F199" t="s">
        <v>35</v>
      </c>
      <c r="G199" t="s">
        <v>35</v>
      </c>
      <c r="H199" t="s">
        <v>35</v>
      </c>
      <c r="J199" t="s">
        <v>590</v>
      </c>
      <c r="K199" t="s">
        <v>37</v>
      </c>
      <c r="M199">
        <v>11</v>
      </c>
      <c r="N199">
        <v>81</v>
      </c>
      <c r="O199" t="s">
        <v>61</v>
      </c>
      <c r="P199" t="s">
        <v>620</v>
      </c>
      <c r="Q199" t="s">
        <v>527</v>
      </c>
      <c r="R199" t="s">
        <v>610</v>
      </c>
      <c r="S199" t="s">
        <v>539</v>
      </c>
    </row>
    <row r="200" spans="1:19" x14ac:dyDescent="0.25">
      <c r="A200" t="s">
        <v>59</v>
      </c>
      <c r="B200" t="s">
        <v>60</v>
      </c>
      <c r="C200" t="s">
        <v>32</v>
      </c>
      <c r="D200" t="s">
        <v>584</v>
      </c>
      <c r="E200" t="s">
        <v>4769</v>
      </c>
      <c r="F200" t="s">
        <v>35</v>
      </c>
      <c r="G200" t="s">
        <v>35</v>
      </c>
      <c r="H200" t="s">
        <v>35</v>
      </c>
      <c r="J200" t="s">
        <v>539</v>
      </c>
      <c r="K200" t="s">
        <v>37</v>
      </c>
      <c r="M200">
        <v>50</v>
      </c>
      <c r="N200">
        <v>7</v>
      </c>
      <c r="O200" t="s">
        <v>46</v>
      </c>
      <c r="P200" t="s">
        <v>8180</v>
      </c>
      <c r="Q200" t="s">
        <v>8164</v>
      </c>
      <c r="R200" t="s">
        <v>91</v>
      </c>
      <c r="S200" t="s">
        <v>92</v>
      </c>
    </row>
    <row r="201" spans="1:19" x14ac:dyDescent="0.25">
      <c r="A201" t="s">
        <v>59</v>
      </c>
      <c r="B201" t="s">
        <v>60</v>
      </c>
      <c r="C201" t="s">
        <v>32</v>
      </c>
      <c r="D201" t="s">
        <v>584</v>
      </c>
      <c r="E201" t="s">
        <v>4769</v>
      </c>
      <c r="F201" t="s">
        <v>35</v>
      </c>
      <c r="G201" t="s">
        <v>35</v>
      </c>
      <c r="H201" t="s">
        <v>35</v>
      </c>
      <c r="J201" t="s">
        <v>539</v>
      </c>
      <c r="K201" t="s">
        <v>37</v>
      </c>
      <c r="M201">
        <v>50</v>
      </c>
      <c r="N201">
        <v>7</v>
      </c>
      <c r="O201" t="s">
        <v>46</v>
      </c>
      <c r="P201" t="s">
        <v>8181</v>
      </c>
      <c r="Q201" t="s">
        <v>8164</v>
      </c>
      <c r="R201" t="s">
        <v>91</v>
      </c>
      <c r="S201" t="s">
        <v>92</v>
      </c>
    </row>
    <row r="202" spans="1:19" x14ac:dyDescent="0.25">
      <c r="A202" t="s">
        <v>59</v>
      </c>
      <c r="B202" t="s">
        <v>60</v>
      </c>
      <c r="C202" t="s">
        <v>32</v>
      </c>
      <c r="D202" t="s">
        <v>584</v>
      </c>
      <c r="E202" t="s">
        <v>4769</v>
      </c>
      <c r="F202" t="s">
        <v>35</v>
      </c>
      <c r="G202" t="s">
        <v>35</v>
      </c>
      <c r="H202" t="s">
        <v>35</v>
      </c>
      <c r="J202" t="s">
        <v>539</v>
      </c>
      <c r="K202" t="s">
        <v>37</v>
      </c>
      <c r="M202">
        <v>50</v>
      </c>
      <c r="N202">
        <v>7</v>
      </c>
      <c r="O202" t="s">
        <v>46</v>
      </c>
      <c r="P202" t="s">
        <v>8182</v>
      </c>
      <c r="Q202" t="s">
        <v>8164</v>
      </c>
      <c r="R202" t="s">
        <v>91</v>
      </c>
      <c r="S202" t="s">
        <v>92</v>
      </c>
    </row>
    <row r="203" spans="1:19" x14ac:dyDescent="0.25">
      <c r="A203" t="s">
        <v>59</v>
      </c>
      <c r="B203" t="s">
        <v>60</v>
      </c>
      <c r="C203" t="s">
        <v>32</v>
      </c>
      <c r="D203" t="s">
        <v>584</v>
      </c>
      <c r="E203" t="s">
        <v>4769</v>
      </c>
      <c r="F203" t="s">
        <v>35</v>
      </c>
      <c r="G203" t="s">
        <v>35</v>
      </c>
      <c r="H203" t="s">
        <v>35</v>
      </c>
      <c r="J203" t="s">
        <v>539</v>
      </c>
      <c r="K203" t="s">
        <v>37</v>
      </c>
      <c r="M203">
        <v>50</v>
      </c>
      <c r="N203">
        <v>7</v>
      </c>
      <c r="O203" t="s">
        <v>46</v>
      </c>
      <c r="P203" t="s">
        <v>8183</v>
      </c>
      <c r="Q203" t="s">
        <v>8164</v>
      </c>
      <c r="R203" t="s">
        <v>91</v>
      </c>
      <c r="S203" t="s">
        <v>92</v>
      </c>
    </row>
    <row r="204" spans="1:19" x14ac:dyDescent="0.25">
      <c r="A204" t="s">
        <v>59</v>
      </c>
      <c r="B204" t="s">
        <v>60</v>
      </c>
      <c r="C204" t="s">
        <v>32</v>
      </c>
      <c r="D204" t="s">
        <v>584</v>
      </c>
      <c r="E204" t="s">
        <v>4769</v>
      </c>
      <c r="F204" t="s">
        <v>35</v>
      </c>
      <c r="G204" t="s">
        <v>35</v>
      </c>
      <c r="H204" t="s">
        <v>35</v>
      </c>
      <c r="J204" t="s">
        <v>539</v>
      </c>
      <c r="K204" t="s">
        <v>37</v>
      </c>
      <c r="M204">
        <v>50</v>
      </c>
      <c r="N204">
        <v>7</v>
      </c>
      <c r="O204" t="s">
        <v>46</v>
      </c>
      <c r="P204" t="s">
        <v>8184</v>
      </c>
      <c r="Q204" t="s">
        <v>8164</v>
      </c>
      <c r="R204" t="s">
        <v>91</v>
      </c>
      <c r="S204" t="s">
        <v>92</v>
      </c>
    </row>
    <row r="205" spans="1:19" x14ac:dyDescent="0.25">
      <c r="A205" t="s">
        <v>59</v>
      </c>
      <c r="B205" t="s">
        <v>60</v>
      </c>
      <c r="C205" t="s">
        <v>32</v>
      </c>
      <c r="D205" t="s">
        <v>584</v>
      </c>
      <c r="E205" t="s">
        <v>4769</v>
      </c>
      <c r="F205" t="s">
        <v>35</v>
      </c>
      <c r="G205" t="s">
        <v>35</v>
      </c>
      <c r="H205" t="s">
        <v>35</v>
      </c>
      <c r="J205" t="s">
        <v>539</v>
      </c>
      <c r="K205" t="s">
        <v>37</v>
      </c>
      <c r="M205">
        <v>16</v>
      </c>
      <c r="N205">
        <v>7</v>
      </c>
      <c r="O205" t="s">
        <v>46</v>
      </c>
      <c r="P205" t="s">
        <v>8185</v>
      </c>
      <c r="Q205" t="s">
        <v>8164</v>
      </c>
      <c r="R205" t="s">
        <v>91</v>
      </c>
      <c r="S205" t="s">
        <v>92</v>
      </c>
    </row>
    <row r="206" spans="1:19" x14ac:dyDescent="0.25">
      <c r="A206" t="s">
        <v>59</v>
      </c>
      <c r="B206" t="s">
        <v>60</v>
      </c>
      <c r="C206" t="s">
        <v>32</v>
      </c>
      <c r="D206" t="s">
        <v>584</v>
      </c>
      <c r="E206" t="s">
        <v>4769</v>
      </c>
      <c r="F206" t="s">
        <v>35</v>
      </c>
      <c r="G206" t="s">
        <v>35</v>
      </c>
      <c r="H206" t="s">
        <v>35</v>
      </c>
      <c r="J206" t="s">
        <v>539</v>
      </c>
      <c r="K206" t="s">
        <v>37</v>
      </c>
      <c r="M206">
        <v>34</v>
      </c>
      <c r="N206">
        <v>7</v>
      </c>
      <c r="O206" t="s">
        <v>46</v>
      </c>
      <c r="P206" t="s">
        <v>8186</v>
      </c>
      <c r="Q206" t="s">
        <v>8164</v>
      </c>
      <c r="R206" t="s">
        <v>91</v>
      </c>
      <c r="S206" t="s">
        <v>92</v>
      </c>
    </row>
    <row r="207" spans="1:19" x14ac:dyDescent="0.25">
      <c r="A207" t="s">
        <v>59</v>
      </c>
      <c r="B207" t="s">
        <v>60</v>
      </c>
      <c r="C207" t="s">
        <v>32</v>
      </c>
      <c r="D207" t="s">
        <v>584</v>
      </c>
      <c r="E207" t="s">
        <v>621</v>
      </c>
      <c r="F207" t="s">
        <v>35</v>
      </c>
      <c r="G207" t="s">
        <v>35</v>
      </c>
      <c r="H207" t="s">
        <v>35</v>
      </c>
      <c r="J207" t="s">
        <v>622</v>
      </c>
      <c r="K207" t="s">
        <v>37</v>
      </c>
      <c r="M207">
        <v>1</v>
      </c>
      <c r="N207">
        <v>590</v>
      </c>
      <c r="O207" t="s">
        <v>575</v>
      </c>
      <c r="Q207" t="s">
        <v>624</v>
      </c>
      <c r="R207" t="s">
        <v>610</v>
      </c>
      <c r="S207" t="s">
        <v>539</v>
      </c>
    </row>
    <row r="208" spans="1:19" x14ac:dyDescent="0.25">
      <c r="A208" t="s">
        <v>59</v>
      </c>
      <c r="B208" t="s">
        <v>31</v>
      </c>
      <c r="C208" t="s">
        <v>32</v>
      </c>
      <c r="D208" t="s">
        <v>584</v>
      </c>
      <c r="E208" t="s">
        <v>621</v>
      </c>
      <c r="F208" t="s">
        <v>35</v>
      </c>
      <c r="G208" t="s">
        <v>35</v>
      </c>
      <c r="H208" t="s">
        <v>35</v>
      </c>
      <c r="J208" t="s">
        <v>618</v>
      </c>
      <c r="K208" t="s">
        <v>37</v>
      </c>
      <c r="M208">
        <v>11.025</v>
      </c>
      <c r="N208">
        <v>7</v>
      </c>
      <c r="O208" t="s">
        <v>46</v>
      </c>
      <c r="P208" t="s">
        <v>8187</v>
      </c>
      <c r="Q208" t="s">
        <v>8164</v>
      </c>
      <c r="R208" t="s">
        <v>91</v>
      </c>
      <c r="S208" t="s">
        <v>92</v>
      </c>
    </row>
    <row r="209" spans="1:19" x14ac:dyDescent="0.25">
      <c r="A209" t="s">
        <v>59</v>
      </c>
      <c r="B209" t="s">
        <v>60</v>
      </c>
      <c r="C209" t="s">
        <v>32</v>
      </c>
      <c r="D209" t="s">
        <v>584</v>
      </c>
      <c r="E209" t="s">
        <v>621</v>
      </c>
      <c r="F209" t="s">
        <v>35</v>
      </c>
      <c r="G209" t="s">
        <v>35</v>
      </c>
      <c r="H209" t="s">
        <v>35</v>
      </c>
      <c r="J209" t="s">
        <v>618</v>
      </c>
      <c r="K209" t="s">
        <v>37</v>
      </c>
      <c r="M209">
        <v>11</v>
      </c>
      <c r="N209">
        <v>7</v>
      </c>
      <c r="O209" t="s">
        <v>46</v>
      </c>
      <c r="P209" t="s">
        <v>8188</v>
      </c>
      <c r="Q209" t="s">
        <v>8164</v>
      </c>
      <c r="R209" t="s">
        <v>91</v>
      </c>
      <c r="S209" t="s">
        <v>92</v>
      </c>
    </row>
    <row r="210" spans="1:19" x14ac:dyDescent="0.25">
      <c r="A210" t="s">
        <v>59</v>
      </c>
      <c r="B210" t="s">
        <v>60</v>
      </c>
      <c r="C210" t="s">
        <v>32</v>
      </c>
      <c r="D210" t="s">
        <v>584</v>
      </c>
      <c r="E210" t="s">
        <v>621</v>
      </c>
      <c r="F210" t="s">
        <v>35</v>
      </c>
      <c r="G210" t="s">
        <v>35</v>
      </c>
      <c r="H210" t="s">
        <v>35</v>
      </c>
      <c r="J210" t="s">
        <v>625</v>
      </c>
      <c r="K210" t="s">
        <v>37</v>
      </c>
      <c r="M210">
        <v>8.4</v>
      </c>
      <c r="N210">
        <v>214</v>
      </c>
      <c r="O210" t="s">
        <v>5</v>
      </c>
      <c r="P210" t="s">
        <v>627</v>
      </c>
      <c r="Q210" t="s">
        <v>537</v>
      </c>
      <c r="R210" t="s">
        <v>610</v>
      </c>
      <c r="S210" t="s">
        <v>539</v>
      </c>
    </row>
    <row r="211" spans="1:19" x14ac:dyDescent="0.25">
      <c r="A211" t="s">
        <v>59</v>
      </c>
      <c r="B211" t="s">
        <v>60</v>
      </c>
      <c r="C211" t="s">
        <v>32</v>
      </c>
      <c r="D211" t="s">
        <v>584</v>
      </c>
      <c r="E211" t="s">
        <v>621</v>
      </c>
      <c r="F211" t="s">
        <v>35</v>
      </c>
      <c r="G211" t="s">
        <v>35</v>
      </c>
      <c r="H211" t="s">
        <v>35</v>
      </c>
      <c r="J211" t="s">
        <v>628</v>
      </c>
      <c r="K211" t="s">
        <v>37</v>
      </c>
      <c r="M211">
        <v>6</v>
      </c>
      <c r="N211">
        <v>65</v>
      </c>
      <c r="O211" t="s">
        <v>61</v>
      </c>
      <c r="P211" t="s">
        <v>630</v>
      </c>
      <c r="Q211" t="s">
        <v>128</v>
      </c>
      <c r="R211" t="s">
        <v>631</v>
      </c>
      <c r="S211" t="s">
        <v>632</v>
      </c>
    </row>
    <row r="212" spans="1:19" x14ac:dyDescent="0.25">
      <c r="A212" t="s">
        <v>30</v>
      </c>
      <c r="B212" t="s">
        <v>31</v>
      </c>
      <c r="C212" t="s">
        <v>32</v>
      </c>
      <c r="D212" t="s">
        <v>639</v>
      </c>
      <c r="E212" t="s">
        <v>640</v>
      </c>
      <c r="F212" t="s">
        <v>35</v>
      </c>
      <c r="G212" t="s">
        <v>35</v>
      </c>
      <c r="H212" t="s">
        <v>35</v>
      </c>
      <c r="J212" t="s">
        <v>42</v>
      </c>
      <c r="K212" t="s">
        <v>37</v>
      </c>
      <c r="M212">
        <v>7.86</v>
      </c>
      <c r="N212">
        <v>76</v>
      </c>
      <c r="O212" t="s">
        <v>61</v>
      </c>
      <c r="P212" t="s">
        <v>641</v>
      </c>
      <c r="Q212" t="s">
        <v>234</v>
      </c>
      <c r="R212" t="s">
        <v>642</v>
      </c>
      <c r="S212" t="s">
        <v>643</v>
      </c>
    </row>
    <row r="213" spans="1:19" x14ac:dyDescent="0.25">
      <c r="A213" t="s">
        <v>59</v>
      </c>
      <c r="B213" t="s">
        <v>60</v>
      </c>
      <c r="C213" t="s">
        <v>32</v>
      </c>
      <c r="D213" t="s">
        <v>639</v>
      </c>
      <c r="E213" t="s">
        <v>640</v>
      </c>
      <c r="F213" t="s">
        <v>35</v>
      </c>
      <c r="G213" t="s">
        <v>35</v>
      </c>
      <c r="H213" t="s">
        <v>35</v>
      </c>
      <c r="J213" t="s">
        <v>42</v>
      </c>
      <c r="K213" t="s">
        <v>37</v>
      </c>
      <c r="M213">
        <v>8</v>
      </c>
      <c r="N213">
        <v>131</v>
      </c>
      <c r="O213" t="s">
        <v>38</v>
      </c>
      <c r="P213" t="s">
        <v>645</v>
      </c>
      <c r="Q213" t="s">
        <v>646</v>
      </c>
      <c r="R213" t="s">
        <v>642</v>
      </c>
      <c r="S213" t="s">
        <v>643</v>
      </c>
    </row>
    <row r="214" spans="1:19" x14ac:dyDescent="0.25">
      <c r="A214" t="s">
        <v>59</v>
      </c>
      <c r="B214" t="s">
        <v>60</v>
      </c>
      <c r="C214" t="s">
        <v>32</v>
      </c>
      <c r="D214" t="s">
        <v>639</v>
      </c>
      <c r="E214" t="s">
        <v>647</v>
      </c>
      <c r="F214" t="s">
        <v>35</v>
      </c>
      <c r="G214" t="s">
        <v>35</v>
      </c>
      <c r="H214" t="s">
        <v>35</v>
      </c>
      <c r="J214" t="s">
        <v>648</v>
      </c>
      <c r="K214" t="s">
        <v>37</v>
      </c>
      <c r="M214">
        <v>11.5</v>
      </c>
      <c r="N214">
        <v>131</v>
      </c>
      <c r="O214" t="s">
        <v>38</v>
      </c>
      <c r="P214" t="s">
        <v>560</v>
      </c>
      <c r="Q214" t="s">
        <v>646</v>
      </c>
      <c r="R214" t="s">
        <v>642</v>
      </c>
      <c r="S214" t="s">
        <v>643</v>
      </c>
    </row>
    <row r="215" spans="1:19" x14ac:dyDescent="0.25">
      <c r="A215" t="s">
        <v>59</v>
      </c>
      <c r="B215" t="s">
        <v>31</v>
      </c>
      <c r="C215" t="s">
        <v>32</v>
      </c>
      <c r="D215" t="s">
        <v>639</v>
      </c>
      <c r="E215" t="s">
        <v>647</v>
      </c>
      <c r="F215" t="s">
        <v>35</v>
      </c>
      <c r="G215" t="s">
        <v>35</v>
      </c>
      <c r="H215" t="s">
        <v>35</v>
      </c>
      <c r="J215" t="s">
        <v>648</v>
      </c>
      <c r="K215" t="s">
        <v>37</v>
      </c>
      <c r="M215">
        <v>1.0349999999999999</v>
      </c>
      <c r="N215">
        <v>131</v>
      </c>
      <c r="O215" t="s">
        <v>38</v>
      </c>
      <c r="P215" t="s">
        <v>651</v>
      </c>
      <c r="Q215" t="s">
        <v>646</v>
      </c>
      <c r="R215" t="s">
        <v>642</v>
      </c>
      <c r="S215" t="s">
        <v>643</v>
      </c>
    </row>
    <row r="216" spans="1:19" x14ac:dyDescent="0.25">
      <c r="A216" t="s">
        <v>30</v>
      </c>
      <c r="B216" t="s">
        <v>31</v>
      </c>
      <c r="C216" t="s">
        <v>32</v>
      </c>
      <c r="D216" t="s">
        <v>639</v>
      </c>
      <c r="E216" t="s">
        <v>647</v>
      </c>
      <c r="F216" t="s">
        <v>35</v>
      </c>
      <c r="G216" t="s">
        <v>35</v>
      </c>
      <c r="H216" t="s">
        <v>35</v>
      </c>
      <c r="J216" t="s">
        <v>648</v>
      </c>
      <c r="K216" t="s">
        <v>37</v>
      </c>
      <c r="M216">
        <v>1.17</v>
      </c>
      <c r="N216">
        <v>76</v>
      </c>
      <c r="O216" t="s">
        <v>61</v>
      </c>
      <c r="P216" t="s">
        <v>650</v>
      </c>
      <c r="Q216" t="s">
        <v>234</v>
      </c>
      <c r="R216" t="s">
        <v>642</v>
      </c>
      <c r="S216" t="s">
        <v>643</v>
      </c>
    </row>
    <row r="217" spans="1:19" x14ac:dyDescent="0.25">
      <c r="A217" t="s">
        <v>30</v>
      </c>
      <c r="B217" t="s">
        <v>31</v>
      </c>
      <c r="C217" t="s">
        <v>32</v>
      </c>
      <c r="D217" t="s">
        <v>639</v>
      </c>
      <c r="E217" t="s">
        <v>652</v>
      </c>
      <c r="F217" t="s">
        <v>35</v>
      </c>
      <c r="G217" t="s">
        <v>35</v>
      </c>
      <c r="H217" t="s">
        <v>35</v>
      </c>
      <c r="J217" t="s">
        <v>653</v>
      </c>
      <c r="K217" t="s">
        <v>37</v>
      </c>
      <c r="M217">
        <v>29.925000000000001</v>
      </c>
      <c r="N217">
        <v>76</v>
      </c>
      <c r="O217" t="s">
        <v>61</v>
      </c>
      <c r="P217" t="s">
        <v>657</v>
      </c>
      <c r="Q217" t="s">
        <v>234</v>
      </c>
      <c r="R217" t="s">
        <v>642</v>
      </c>
      <c r="S217" t="s">
        <v>643</v>
      </c>
    </row>
    <row r="218" spans="1:19" x14ac:dyDescent="0.25">
      <c r="A218" t="s">
        <v>59</v>
      </c>
      <c r="B218" t="s">
        <v>31</v>
      </c>
      <c r="C218" t="s">
        <v>32</v>
      </c>
      <c r="D218" t="s">
        <v>639</v>
      </c>
      <c r="E218" t="s">
        <v>652</v>
      </c>
      <c r="F218" t="s">
        <v>35</v>
      </c>
      <c r="G218" t="s">
        <v>35</v>
      </c>
      <c r="H218" t="s">
        <v>35</v>
      </c>
      <c r="J218" t="s">
        <v>653</v>
      </c>
      <c r="K218" t="s">
        <v>37</v>
      </c>
      <c r="M218">
        <v>17.93</v>
      </c>
      <c r="N218">
        <v>131</v>
      </c>
      <c r="O218" t="s">
        <v>38</v>
      </c>
      <c r="P218" t="s">
        <v>656</v>
      </c>
      <c r="Q218" t="s">
        <v>646</v>
      </c>
      <c r="R218" t="s">
        <v>642</v>
      </c>
      <c r="S218" t="s">
        <v>643</v>
      </c>
    </row>
    <row r="219" spans="1:19" x14ac:dyDescent="0.25">
      <c r="A219" t="s">
        <v>59</v>
      </c>
      <c r="B219" t="s">
        <v>60</v>
      </c>
      <c r="C219" t="s">
        <v>32</v>
      </c>
      <c r="D219" t="s">
        <v>639</v>
      </c>
      <c r="E219" t="s">
        <v>652</v>
      </c>
      <c r="F219" t="s">
        <v>35</v>
      </c>
      <c r="G219" t="s">
        <v>35</v>
      </c>
      <c r="H219" t="s">
        <v>35</v>
      </c>
      <c r="J219" t="s">
        <v>653</v>
      </c>
      <c r="K219" t="s">
        <v>37</v>
      </c>
      <c r="M219">
        <v>6</v>
      </c>
      <c r="N219">
        <v>131</v>
      </c>
      <c r="O219" t="s">
        <v>38</v>
      </c>
      <c r="P219" t="s">
        <v>655</v>
      </c>
      <c r="Q219" t="s">
        <v>646</v>
      </c>
      <c r="R219" t="s">
        <v>642</v>
      </c>
      <c r="S219" t="s">
        <v>643</v>
      </c>
    </row>
    <row r="220" spans="1:19" x14ac:dyDescent="0.25">
      <c r="A220" t="s">
        <v>30</v>
      </c>
      <c r="B220" t="s">
        <v>31</v>
      </c>
      <c r="C220" t="s">
        <v>32</v>
      </c>
      <c r="D220" t="s">
        <v>639</v>
      </c>
      <c r="E220" t="s">
        <v>652</v>
      </c>
      <c r="F220" t="s">
        <v>35</v>
      </c>
      <c r="G220" t="s">
        <v>35</v>
      </c>
      <c r="H220" t="s">
        <v>35</v>
      </c>
      <c r="J220" t="s">
        <v>653</v>
      </c>
      <c r="K220" t="s">
        <v>37</v>
      </c>
      <c r="M220">
        <v>2.2200000000000002</v>
      </c>
      <c r="N220">
        <v>76</v>
      </c>
      <c r="O220" t="s">
        <v>61</v>
      </c>
      <c r="P220" t="s">
        <v>658</v>
      </c>
      <c r="Q220" t="s">
        <v>234</v>
      </c>
      <c r="R220" t="s">
        <v>642</v>
      </c>
      <c r="S220" t="s">
        <v>643</v>
      </c>
    </row>
    <row r="221" spans="1:19" x14ac:dyDescent="0.25">
      <c r="A221" t="s">
        <v>44</v>
      </c>
      <c r="B221" t="s">
        <v>51</v>
      </c>
      <c r="C221" t="s">
        <v>32</v>
      </c>
      <c r="D221" t="s">
        <v>639</v>
      </c>
      <c r="E221" t="s">
        <v>652</v>
      </c>
      <c r="F221" t="s">
        <v>35</v>
      </c>
      <c r="G221" t="s">
        <v>35</v>
      </c>
      <c r="H221" t="s">
        <v>35</v>
      </c>
      <c r="J221" t="s">
        <v>653</v>
      </c>
      <c r="K221" t="s">
        <v>37</v>
      </c>
      <c r="M221">
        <v>6</v>
      </c>
      <c r="N221">
        <v>59</v>
      </c>
      <c r="O221" t="s">
        <v>52</v>
      </c>
      <c r="P221" t="s">
        <v>659</v>
      </c>
      <c r="Q221" t="s">
        <v>84</v>
      </c>
      <c r="R221" t="s">
        <v>199</v>
      </c>
      <c r="S221" t="s">
        <v>200</v>
      </c>
    </row>
    <row r="222" spans="1:19" x14ac:dyDescent="0.25">
      <c r="A222" t="s">
        <v>44</v>
      </c>
      <c r="B222" t="s">
        <v>51</v>
      </c>
      <c r="C222" t="s">
        <v>32</v>
      </c>
      <c r="D222" t="s">
        <v>660</v>
      </c>
      <c r="E222" t="s">
        <v>661</v>
      </c>
      <c r="F222" t="s">
        <v>35</v>
      </c>
      <c r="G222" t="s">
        <v>35</v>
      </c>
      <c r="H222" t="s">
        <v>35</v>
      </c>
      <c r="J222" t="s">
        <v>662</v>
      </c>
      <c r="K222" t="s">
        <v>37</v>
      </c>
      <c r="M222">
        <v>1.5</v>
      </c>
      <c r="N222">
        <v>57</v>
      </c>
      <c r="O222" t="s">
        <v>52</v>
      </c>
      <c r="P222" t="s">
        <v>664</v>
      </c>
      <c r="Q222" t="s">
        <v>665</v>
      </c>
      <c r="R222" t="s">
        <v>666</v>
      </c>
      <c r="S222" t="s">
        <v>667</v>
      </c>
    </row>
    <row r="223" spans="1:19" x14ac:dyDescent="0.25">
      <c r="A223" t="s">
        <v>30</v>
      </c>
      <c r="B223" t="s">
        <v>31</v>
      </c>
      <c r="C223" t="s">
        <v>32</v>
      </c>
      <c r="D223" t="s">
        <v>660</v>
      </c>
      <c r="E223" t="s">
        <v>5203</v>
      </c>
      <c r="F223" t="s">
        <v>35</v>
      </c>
      <c r="G223" t="s">
        <v>35</v>
      </c>
      <c r="H223" t="s">
        <v>35</v>
      </c>
      <c r="J223" t="s">
        <v>5075</v>
      </c>
      <c r="K223" t="s">
        <v>37</v>
      </c>
      <c r="M223">
        <v>10.98</v>
      </c>
      <c r="N223">
        <v>2</v>
      </c>
      <c r="O223" t="s">
        <v>46</v>
      </c>
      <c r="P223" t="s">
        <v>8189</v>
      </c>
      <c r="Q223" t="s">
        <v>8155</v>
      </c>
      <c r="R223" t="s">
        <v>55</v>
      </c>
      <c r="S223" t="s">
        <v>56</v>
      </c>
    </row>
    <row r="224" spans="1:19" x14ac:dyDescent="0.25">
      <c r="A224" t="s">
        <v>44</v>
      </c>
      <c r="B224" t="s">
        <v>51</v>
      </c>
      <c r="C224" t="s">
        <v>32</v>
      </c>
      <c r="D224" t="s">
        <v>660</v>
      </c>
      <c r="F224" t="s">
        <v>35</v>
      </c>
      <c r="G224" t="s">
        <v>35</v>
      </c>
      <c r="H224" t="s">
        <v>35</v>
      </c>
      <c r="J224" t="s">
        <v>669</v>
      </c>
      <c r="K224" t="s">
        <v>404</v>
      </c>
      <c r="M224">
        <v>5.5</v>
      </c>
      <c r="N224">
        <v>61</v>
      </c>
      <c r="O224" t="s">
        <v>61</v>
      </c>
      <c r="P224" t="s">
        <v>670</v>
      </c>
      <c r="Q224" t="s">
        <v>671</v>
      </c>
      <c r="R224" t="s">
        <v>672</v>
      </c>
      <c r="S224" t="s">
        <v>662</v>
      </c>
    </row>
    <row r="225" spans="1:19" x14ac:dyDescent="0.25">
      <c r="A225" t="s">
        <v>30</v>
      </c>
      <c r="B225" t="s">
        <v>31</v>
      </c>
      <c r="C225" t="s">
        <v>32</v>
      </c>
      <c r="D225" t="s">
        <v>673</v>
      </c>
      <c r="E225" t="s">
        <v>674</v>
      </c>
      <c r="F225" t="s">
        <v>35</v>
      </c>
      <c r="G225" t="s">
        <v>35</v>
      </c>
      <c r="H225" t="s">
        <v>35</v>
      </c>
      <c r="J225" t="s">
        <v>675</v>
      </c>
      <c r="K225" t="s">
        <v>37</v>
      </c>
      <c r="M225">
        <v>11.025</v>
      </c>
      <c r="N225">
        <v>53</v>
      </c>
      <c r="O225" t="s">
        <v>52</v>
      </c>
      <c r="P225" t="s">
        <v>677</v>
      </c>
      <c r="Q225" t="s">
        <v>332</v>
      </c>
      <c r="R225" t="s">
        <v>678</v>
      </c>
      <c r="S225" t="s">
        <v>679</v>
      </c>
    </row>
    <row r="226" spans="1:19" x14ac:dyDescent="0.25">
      <c r="A226" t="s">
        <v>30</v>
      </c>
      <c r="B226" t="s">
        <v>31</v>
      </c>
      <c r="C226" t="s">
        <v>32</v>
      </c>
      <c r="D226" t="s">
        <v>673</v>
      </c>
      <c r="E226" t="s">
        <v>674</v>
      </c>
      <c r="F226" t="s">
        <v>35</v>
      </c>
      <c r="G226" t="s">
        <v>35</v>
      </c>
      <c r="H226" t="s">
        <v>35</v>
      </c>
      <c r="J226" t="s">
        <v>680</v>
      </c>
      <c r="K226" t="s">
        <v>37</v>
      </c>
      <c r="M226">
        <v>11.025</v>
      </c>
      <c r="N226">
        <v>51</v>
      </c>
      <c r="O226" t="s">
        <v>52</v>
      </c>
      <c r="P226" t="s">
        <v>690</v>
      </c>
      <c r="Q226" t="s">
        <v>54</v>
      </c>
      <c r="R226" t="s">
        <v>489</v>
      </c>
      <c r="S226" t="s">
        <v>490</v>
      </c>
    </row>
    <row r="227" spans="1:19" x14ac:dyDescent="0.25">
      <c r="A227" t="s">
        <v>30</v>
      </c>
      <c r="B227" t="s">
        <v>31</v>
      </c>
      <c r="C227" t="s">
        <v>32</v>
      </c>
      <c r="D227" t="s">
        <v>673</v>
      </c>
      <c r="E227" t="s">
        <v>674</v>
      </c>
      <c r="F227" t="s">
        <v>35</v>
      </c>
      <c r="G227" t="s">
        <v>35</v>
      </c>
      <c r="H227" t="s">
        <v>35</v>
      </c>
      <c r="J227" t="s">
        <v>680</v>
      </c>
      <c r="K227" t="s">
        <v>37</v>
      </c>
      <c r="M227">
        <v>8.7750000000000004</v>
      </c>
      <c r="N227">
        <v>51</v>
      </c>
      <c r="O227" t="s">
        <v>52</v>
      </c>
      <c r="P227" t="s">
        <v>687</v>
      </c>
      <c r="Q227" t="s">
        <v>54</v>
      </c>
      <c r="R227" t="s">
        <v>489</v>
      </c>
      <c r="S227" t="s">
        <v>490</v>
      </c>
    </row>
    <row r="228" spans="1:19" x14ac:dyDescent="0.25">
      <c r="A228" t="s">
        <v>30</v>
      </c>
      <c r="B228" t="s">
        <v>31</v>
      </c>
      <c r="C228" t="s">
        <v>32</v>
      </c>
      <c r="D228" t="s">
        <v>673</v>
      </c>
      <c r="E228" t="s">
        <v>674</v>
      </c>
      <c r="F228" t="s">
        <v>35</v>
      </c>
      <c r="G228" t="s">
        <v>35</v>
      </c>
      <c r="H228" t="s">
        <v>35</v>
      </c>
      <c r="J228" t="s">
        <v>680</v>
      </c>
      <c r="K228" t="s">
        <v>37</v>
      </c>
      <c r="M228">
        <v>11.025</v>
      </c>
      <c r="N228">
        <v>51</v>
      </c>
      <c r="O228" t="s">
        <v>52</v>
      </c>
      <c r="P228" t="s">
        <v>682</v>
      </c>
      <c r="Q228" t="s">
        <v>54</v>
      </c>
      <c r="R228" t="s">
        <v>489</v>
      </c>
      <c r="S228" t="s">
        <v>490</v>
      </c>
    </row>
    <row r="229" spans="1:19" x14ac:dyDescent="0.25">
      <c r="A229" t="s">
        <v>30</v>
      </c>
      <c r="B229" t="s">
        <v>31</v>
      </c>
      <c r="C229" t="s">
        <v>32</v>
      </c>
      <c r="D229" t="s">
        <v>673</v>
      </c>
      <c r="E229" t="s">
        <v>674</v>
      </c>
      <c r="F229" t="s">
        <v>35</v>
      </c>
      <c r="G229" t="s">
        <v>35</v>
      </c>
      <c r="H229" t="s">
        <v>35</v>
      </c>
      <c r="J229" t="s">
        <v>680</v>
      </c>
      <c r="K229" t="s">
        <v>37</v>
      </c>
      <c r="M229">
        <v>11.025</v>
      </c>
      <c r="N229">
        <v>51</v>
      </c>
      <c r="O229" t="s">
        <v>52</v>
      </c>
      <c r="P229" t="s">
        <v>686</v>
      </c>
      <c r="Q229" t="s">
        <v>54</v>
      </c>
      <c r="R229" t="s">
        <v>489</v>
      </c>
      <c r="S229" t="s">
        <v>490</v>
      </c>
    </row>
    <row r="230" spans="1:19" x14ac:dyDescent="0.25">
      <c r="A230" t="s">
        <v>30</v>
      </c>
      <c r="B230" t="s">
        <v>31</v>
      </c>
      <c r="C230" t="s">
        <v>32</v>
      </c>
      <c r="D230" t="s">
        <v>673</v>
      </c>
      <c r="E230" t="s">
        <v>674</v>
      </c>
      <c r="F230" t="s">
        <v>35</v>
      </c>
      <c r="G230" t="s">
        <v>35</v>
      </c>
      <c r="H230" t="s">
        <v>35</v>
      </c>
      <c r="J230" t="s">
        <v>680</v>
      </c>
      <c r="K230" t="s">
        <v>37</v>
      </c>
      <c r="M230">
        <v>11.025</v>
      </c>
      <c r="N230">
        <v>51</v>
      </c>
      <c r="O230" t="s">
        <v>52</v>
      </c>
      <c r="P230" t="s">
        <v>683</v>
      </c>
      <c r="Q230" t="s">
        <v>54</v>
      </c>
      <c r="R230" t="s">
        <v>489</v>
      </c>
      <c r="S230" t="s">
        <v>490</v>
      </c>
    </row>
    <row r="231" spans="1:19" x14ac:dyDescent="0.25">
      <c r="A231" t="s">
        <v>30</v>
      </c>
      <c r="B231" t="s">
        <v>31</v>
      </c>
      <c r="C231" t="s">
        <v>32</v>
      </c>
      <c r="D231" t="s">
        <v>673</v>
      </c>
      <c r="E231" t="s">
        <v>674</v>
      </c>
      <c r="F231" t="s">
        <v>35</v>
      </c>
      <c r="G231" t="s">
        <v>35</v>
      </c>
      <c r="H231" t="s">
        <v>35</v>
      </c>
      <c r="J231" t="s">
        <v>680</v>
      </c>
      <c r="K231" t="s">
        <v>37</v>
      </c>
      <c r="M231">
        <v>11.025</v>
      </c>
      <c r="N231">
        <v>51</v>
      </c>
      <c r="O231" t="s">
        <v>52</v>
      </c>
      <c r="P231" t="s">
        <v>688</v>
      </c>
      <c r="Q231" t="s">
        <v>54</v>
      </c>
      <c r="R231" t="s">
        <v>489</v>
      </c>
      <c r="S231" t="s">
        <v>490</v>
      </c>
    </row>
    <row r="232" spans="1:19" x14ac:dyDescent="0.25">
      <c r="A232" t="s">
        <v>59</v>
      </c>
      <c r="B232" t="s">
        <v>60</v>
      </c>
      <c r="C232" t="s">
        <v>32</v>
      </c>
      <c r="D232" t="s">
        <v>673</v>
      </c>
      <c r="E232" t="s">
        <v>674</v>
      </c>
      <c r="F232" t="s">
        <v>35</v>
      </c>
      <c r="G232" t="s">
        <v>35</v>
      </c>
      <c r="H232" t="s">
        <v>35</v>
      </c>
      <c r="J232" t="s">
        <v>680</v>
      </c>
      <c r="K232" t="s">
        <v>37</v>
      </c>
      <c r="M232">
        <v>10.75</v>
      </c>
      <c r="N232">
        <v>82</v>
      </c>
      <c r="O232" t="s">
        <v>61</v>
      </c>
      <c r="P232" t="s">
        <v>685</v>
      </c>
      <c r="Q232" t="s">
        <v>447</v>
      </c>
      <c r="R232" t="s">
        <v>678</v>
      </c>
      <c r="S232" t="s">
        <v>679</v>
      </c>
    </row>
    <row r="233" spans="1:19" x14ac:dyDescent="0.25">
      <c r="A233" t="s">
        <v>30</v>
      </c>
      <c r="B233" t="s">
        <v>31</v>
      </c>
      <c r="C233" t="s">
        <v>32</v>
      </c>
      <c r="D233" t="s">
        <v>673</v>
      </c>
      <c r="E233" t="s">
        <v>674</v>
      </c>
      <c r="F233" t="s">
        <v>35</v>
      </c>
      <c r="G233" t="s">
        <v>35</v>
      </c>
      <c r="H233" t="s">
        <v>35</v>
      </c>
      <c r="J233" t="s">
        <v>680</v>
      </c>
      <c r="K233" t="s">
        <v>37</v>
      </c>
      <c r="M233">
        <v>11.025</v>
      </c>
      <c r="N233">
        <v>51</v>
      </c>
      <c r="O233" t="s">
        <v>52</v>
      </c>
      <c r="P233" t="s">
        <v>689</v>
      </c>
      <c r="Q233" t="s">
        <v>54</v>
      </c>
      <c r="R233" t="s">
        <v>489</v>
      </c>
      <c r="S233" t="s">
        <v>490</v>
      </c>
    </row>
    <row r="234" spans="1:19" x14ac:dyDescent="0.25">
      <c r="A234" t="s">
        <v>30</v>
      </c>
      <c r="B234" t="s">
        <v>31</v>
      </c>
      <c r="C234" t="s">
        <v>32</v>
      </c>
      <c r="D234" t="s">
        <v>673</v>
      </c>
      <c r="E234" t="s">
        <v>674</v>
      </c>
      <c r="F234" t="s">
        <v>35</v>
      </c>
      <c r="G234" t="s">
        <v>35</v>
      </c>
      <c r="H234" t="s">
        <v>35</v>
      </c>
      <c r="J234" t="s">
        <v>680</v>
      </c>
      <c r="K234" t="s">
        <v>37</v>
      </c>
      <c r="M234">
        <v>11.025</v>
      </c>
      <c r="N234">
        <v>51</v>
      </c>
      <c r="O234" t="s">
        <v>52</v>
      </c>
      <c r="P234" t="s">
        <v>684</v>
      </c>
      <c r="Q234" t="s">
        <v>54</v>
      </c>
      <c r="R234" t="s">
        <v>489</v>
      </c>
      <c r="S234" t="s">
        <v>490</v>
      </c>
    </row>
    <row r="235" spans="1:19" x14ac:dyDescent="0.25">
      <c r="A235" t="s">
        <v>59</v>
      </c>
      <c r="B235" t="s">
        <v>60</v>
      </c>
      <c r="C235" t="s">
        <v>32</v>
      </c>
      <c r="D235" t="s">
        <v>673</v>
      </c>
      <c r="E235" t="s">
        <v>691</v>
      </c>
      <c r="F235" t="s">
        <v>35</v>
      </c>
      <c r="G235" t="s">
        <v>35</v>
      </c>
      <c r="H235" t="s">
        <v>35</v>
      </c>
      <c r="J235" t="s">
        <v>692</v>
      </c>
      <c r="K235" t="s">
        <v>37</v>
      </c>
      <c r="M235">
        <v>11</v>
      </c>
      <c r="N235">
        <v>82</v>
      </c>
      <c r="O235" t="s">
        <v>61</v>
      </c>
      <c r="P235" t="s">
        <v>693</v>
      </c>
      <c r="Q235" t="s">
        <v>447</v>
      </c>
      <c r="R235" t="s">
        <v>306</v>
      </c>
      <c r="S235" t="s">
        <v>307</v>
      </c>
    </row>
    <row r="236" spans="1:19" x14ac:dyDescent="0.25">
      <c r="A236" t="s">
        <v>30</v>
      </c>
      <c r="B236" t="s">
        <v>31</v>
      </c>
      <c r="C236" t="s">
        <v>32</v>
      </c>
      <c r="D236" t="s">
        <v>673</v>
      </c>
      <c r="E236" t="s">
        <v>694</v>
      </c>
      <c r="F236" t="s">
        <v>35</v>
      </c>
      <c r="G236" t="s">
        <v>35</v>
      </c>
      <c r="H236" t="s">
        <v>35</v>
      </c>
      <c r="J236" t="s">
        <v>307</v>
      </c>
      <c r="K236" t="s">
        <v>37</v>
      </c>
      <c r="M236">
        <v>54</v>
      </c>
      <c r="N236">
        <v>56</v>
      </c>
      <c r="O236" t="s">
        <v>52</v>
      </c>
      <c r="P236" t="s">
        <v>701</v>
      </c>
      <c r="Q236" t="s">
        <v>453</v>
      </c>
      <c r="R236" t="s">
        <v>91</v>
      </c>
      <c r="S236" t="s">
        <v>92</v>
      </c>
    </row>
    <row r="237" spans="1:19" x14ac:dyDescent="0.25">
      <c r="A237" t="s">
        <v>30</v>
      </c>
      <c r="B237" t="s">
        <v>31</v>
      </c>
      <c r="C237" t="s">
        <v>32</v>
      </c>
      <c r="D237" t="s">
        <v>673</v>
      </c>
      <c r="E237" t="s">
        <v>694</v>
      </c>
      <c r="F237" t="s">
        <v>35</v>
      </c>
      <c r="G237" t="s">
        <v>35</v>
      </c>
      <c r="H237" t="s">
        <v>35</v>
      </c>
      <c r="J237" t="s">
        <v>307</v>
      </c>
      <c r="K237" t="s">
        <v>37</v>
      </c>
      <c r="M237">
        <v>54</v>
      </c>
      <c r="N237">
        <v>56</v>
      </c>
      <c r="O237" t="s">
        <v>52</v>
      </c>
      <c r="P237" t="s">
        <v>700</v>
      </c>
      <c r="Q237" t="s">
        <v>453</v>
      </c>
      <c r="R237" t="s">
        <v>91</v>
      </c>
      <c r="S237" t="s">
        <v>92</v>
      </c>
    </row>
    <row r="238" spans="1:19" x14ac:dyDescent="0.25">
      <c r="A238" t="s">
        <v>59</v>
      </c>
      <c r="B238" t="s">
        <v>60</v>
      </c>
      <c r="C238" t="s">
        <v>32</v>
      </c>
      <c r="D238" t="s">
        <v>673</v>
      </c>
      <c r="E238" t="s">
        <v>694</v>
      </c>
      <c r="F238" t="s">
        <v>35</v>
      </c>
      <c r="G238" t="s">
        <v>35</v>
      </c>
      <c r="H238" t="s">
        <v>35</v>
      </c>
      <c r="J238" t="s">
        <v>307</v>
      </c>
      <c r="K238" t="s">
        <v>37</v>
      </c>
      <c r="M238">
        <v>54</v>
      </c>
      <c r="N238">
        <v>82</v>
      </c>
      <c r="O238" t="s">
        <v>61</v>
      </c>
      <c r="P238" t="s">
        <v>8113</v>
      </c>
      <c r="Q238" t="s">
        <v>447</v>
      </c>
      <c r="R238" t="s">
        <v>91</v>
      </c>
      <c r="S238" t="s">
        <v>92</v>
      </c>
    </row>
    <row r="239" spans="1:19" x14ac:dyDescent="0.25">
      <c r="A239" t="s">
        <v>30</v>
      </c>
      <c r="B239" t="s">
        <v>31</v>
      </c>
      <c r="C239" t="s">
        <v>32</v>
      </c>
      <c r="D239" t="s">
        <v>673</v>
      </c>
      <c r="E239" t="s">
        <v>694</v>
      </c>
      <c r="F239" t="s">
        <v>35</v>
      </c>
      <c r="G239" t="s">
        <v>35</v>
      </c>
      <c r="H239" t="s">
        <v>35</v>
      </c>
      <c r="J239" t="s">
        <v>307</v>
      </c>
      <c r="K239" t="s">
        <v>37</v>
      </c>
      <c r="M239">
        <v>45</v>
      </c>
      <c r="N239">
        <v>56</v>
      </c>
      <c r="O239" t="s">
        <v>52</v>
      </c>
      <c r="P239" t="s">
        <v>699</v>
      </c>
      <c r="Q239" t="s">
        <v>453</v>
      </c>
      <c r="R239" t="s">
        <v>91</v>
      </c>
      <c r="S239" t="s">
        <v>92</v>
      </c>
    </row>
    <row r="240" spans="1:19" x14ac:dyDescent="0.25">
      <c r="A240" t="s">
        <v>59</v>
      </c>
      <c r="B240" t="s">
        <v>60</v>
      </c>
      <c r="C240" t="s">
        <v>32</v>
      </c>
      <c r="D240" t="s">
        <v>673</v>
      </c>
      <c r="E240" t="s">
        <v>694</v>
      </c>
      <c r="F240" t="s">
        <v>35</v>
      </c>
      <c r="G240" t="s">
        <v>35</v>
      </c>
      <c r="H240" t="s">
        <v>35</v>
      </c>
      <c r="J240" t="s">
        <v>307</v>
      </c>
      <c r="K240" t="s">
        <v>37</v>
      </c>
      <c r="M240">
        <v>54</v>
      </c>
      <c r="N240">
        <v>82</v>
      </c>
      <c r="O240" t="s">
        <v>61</v>
      </c>
      <c r="P240" t="s">
        <v>703</v>
      </c>
      <c r="Q240" t="s">
        <v>447</v>
      </c>
      <c r="R240" t="s">
        <v>91</v>
      </c>
      <c r="S240" t="s">
        <v>92</v>
      </c>
    </row>
    <row r="241" spans="1:19" x14ac:dyDescent="0.25">
      <c r="A241" t="s">
        <v>30</v>
      </c>
      <c r="B241" t="s">
        <v>31</v>
      </c>
      <c r="C241" t="s">
        <v>32</v>
      </c>
      <c r="D241" t="s">
        <v>673</v>
      </c>
      <c r="E241" t="s">
        <v>694</v>
      </c>
      <c r="F241" t="s">
        <v>35</v>
      </c>
      <c r="G241" t="s">
        <v>35</v>
      </c>
      <c r="H241" t="s">
        <v>35</v>
      </c>
      <c r="J241" t="s">
        <v>307</v>
      </c>
      <c r="K241" t="s">
        <v>37</v>
      </c>
      <c r="M241">
        <v>21.89</v>
      </c>
      <c r="N241">
        <v>56</v>
      </c>
      <c r="O241" t="s">
        <v>52</v>
      </c>
      <c r="P241" t="s">
        <v>698</v>
      </c>
      <c r="Q241" t="s">
        <v>453</v>
      </c>
      <c r="R241" t="s">
        <v>91</v>
      </c>
      <c r="S241" t="s">
        <v>92</v>
      </c>
    </row>
    <row r="242" spans="1:19" x14ac:dyDescent="0.25">
      <c r="A242" t="s">
        <v>59</v>
      </c>
      <c r="B242" t="s">
        <v>60</v>
      </c>
      <c r="C242" t="s">
        <v>32</v>
      </c>
      <c r="D242" t="s">
        <v>673</v>
      </c>
      <c r="E242" t="s">
        <v>694</v>
      </c>
      <c r="F242" t="s">
        <v>35</v>
      </c>
      <c r="G242" t="s">
        <v>35</v>
      </c>
      <c r="H242" t="s">
        <v>35</v>
      </c>
      <c r="J242" t="s">
        <v>307</v>
      </c>
      <c r="K242" t="s">
        <v>37</v>
      </c>
      <c r="M242">
        <v>46</v>
      </c>
      <c r="N242">
        <v>82</v>
      </c>
      <c r="O242" t="s">
        <v>61</v>
      </c>
      <c r="P242" t="s">
        <v>695</v>
      </c>
      <c r="Q242" t="s">
        <v>447</v>
      </c>
      <c r="R242" t="s">
        <v>91</v>
      </c>
      <c r="S242" t="s">
        <v>92</v>
      </c>
    </row>
    <row r="243" spans="1:19" x14ac:dyDescent="0.25">
      <c r="A243" t="s">
        <v>59</v>
      </c>
      <c r="B243" t="s">
        <v>60</v>
      </c>
      <c r="C243" t="s">
        <v>32</v>
      </c>
      <c r="D243" t="s">
        <v>673</v>
      </c>
      <c r="E243" t="s">
        <v>694</v>
      </c>
      <c r="F243" t="s">
        <v>35</v>
      </c>
      <c r="G243" t="s">
        <v>35</v>
      </c>
      <c r="H243" t="s">
        <v>35</v>
      </c>
      <c r="J243" t="s">
        <v>307</v>
      </c>
      <c r="K243" t="s">
        <v>37</v>
      </c>
      <c r="M243">
        <v>47.25</v>
      </c>
      <c r="N243">
        <v>82</v>
      </c>
      <c r="O243" t="s">
        <v>61</v>
      </c>
      <c r="P243" t="s">
        <v>702</v>
      </c>
      <c r="Q243" t="s">
        <v>447</v>
      </c>
      <c r="R243" t="s">
        <v>91</v>
      </c>
      <c r="S243" t="s">
        <v>92</v>
      </c>
    </row>
    <row r="244" spans="1:19" x14ac:dyDescent="0.25">
      <c r="A244" t="s">
        <v>30</v>
      </c>
      <c r="B244" t="s">
        <v>31</v>
      </c>
      <c r="C244" t="s">
        <v>32</v>
      </c>
      <c r="D244" t="s">
        <v>673</v>
      </c>
      <c r="E244" t="s">
        <v>694</v>
      </c>
      <c r="F244" t="s">
        <v>35</v>
      </c>
      <c r="G244" t="s">
        <v>35</v>
      </c>
      <c r="H244" t="s">
        <v>35</v>
      </c>
      <c r="J244" t="s">
        <v>307</v>
      </c>
      <c r="K244" t="s">
        <v>37</v>
      </c>
      <c r="M244">
        <v>54</v>
      </c>
      <c r="N244">
        <v>56</v>
      </c>
      <c r="O244" t="s">
        <v>52</v>
      </c>
      <c r="P244" t="s">
        <v>697</v>
      </c>
      <c r="Q244" t="s">
        <v>453</v>
      </c>
      <c r="R244" t="s">
        <v>91</v>
      </c>
      <c r="S244" t="s">
        <v>92</v>
      </c>
    </row>
    <row r="245" spans="1:19" x14ac:dyDescent="0.25">
      <c r="A245" t="s">
        <v>59</v>
      </c>
      <c r="B245" t="s">
        <v>60</v>
      </c>
      <c r="C245" t="s">
        <v>32</v>
      </c>
      <c r="D245" t="s">
        <v>673</v>
      </c>
      <c r="E245" t="s">
        <v>704</v>
      </c>
      <c r="F245" t="s">
        <v>35</v>
      </c>
      <c r="G245" t="s">
        <v>35</v>
      </c>
      <c r="H245" t="s">
        <v>35</v>
      </c>
      <c r="J245" t="s">
        <v>479</v>
      </c>
      <c r="K245" t="s">
        <v>37</v>
      </c>
      <c r="M245">
        <v>33.4</v>
      </c>
      <c r="N245">
        <v>81</v>
      </c>
      <c r="O245" t="s">
        <v>61</v>
      </c>
      <c r="P245" t="s">
        <v>705</v>
      </c>
      <c r="Q245" t="s">
        <v>527</v>
      </c>
      <c r="R245" t="s">
        <v>91</v>
      </c>
      <c r="S245" t="s">
        <v>92</v>
      </c>
    </row>
    <row r="246" spans="1:19" x14ac:dyDescent="0.25">
      <c r="A246" t="s">
        <v>59</v>
      </c>
      <c r="B246" t="s">
        <v>60</v>
      </c>
      <c r="C246" t="s">
        <v>32</v>
      </c>
      <c r="D246" t="s">
        <v>673</v>
      </c>
      <c r="E246" t="s">
        <v>704</v>
      </c>
      <c r="F246" t="s">
        <v>35</v>
      </c>
      <c r="G246" t="s">
        <v>35</v>
      </c>
      <c r="H246" t="s">
        <v>35</v>
      </c>
      <c r="J246" t="s">
        <v>471</v>
      </c>
      <c r="K246" t="s">
        <v>37</v>
      </c>
      <c r="M246">
        <v>2.65</v>
      </c>
      <c r="N246">
        <v>138</v>
      </c>
      <c r="O246" t="s">
        <v>38</v>
      </c>
      <c r="P246" t="s">
        <v>706</v>
      </c>
      <c r="Q246" t="s">
        <v>542</v>
      </c>
      <c r="R246" t="s">
        <v>501</v>
      </c>
      <c r="S246" t="s">
        <v>502</v>
      </c>
    </row>
    <row r="247" spans="1:19" x14ac:dyDescent="0.25">
      <c r="A247" t="s">
        <v>59</v>
      </c>
      <c r="B247" t="s">
        <v>60</v>
      </c>
      <c r="C247" t="s">
        <v>32</v>
      </c>
      <c r="D247" t="s">
        <v>673</v>
      </c>
      <c r="E247" t="s">
        <v>707</v>
      </c>
      <c r="F247" t="s">
        <v>35</v>
      </c>
      <c r="G247" t="s">
        <v>35</v>
      </c>
      <c r="H247" t="s">
        <v>35</v>
      </c>
      <c r="J247" t="s">
        <v>316</v>
      </c>
      <c r="K247" t="s">
        <v>37</v>
      </c>
      <c r="M247">
        <v>0.75</v>
      </c>
      <c r="N247">
        <v>81</v>
      </c>
      <c r="O247" t="s">
        <v>61</v>
      </c>
      <c r="P247" t="s">
        <v>708</v>
      </c>
      <c r="Q247" t="s">
        <v>527</v>
      </c>
      <c r="R247" t="s">
        <v>91</v>
      </c>
      <c r="S247" t="s">
        <v>92</v>
      </c>
    </row>
    <row r="248" spans="1:19" x14ac:dyDescent="0.25">
      <c r="A248" t="s">
        <v>59</v>
      </c>
      <c r="B248" t="s">
        <v>60</v>
      </c>
      <c r="C248" t="s">
        <v>32</v>
      </c>
      <c r="D248" t="s">
        <v>673</v>
      </c>
      <c r="E248" t="s">
        <v>707</v>
      </c>
      <c r="F248" t="s">
        <v>35</v>
      </c>
      <c r="G248" t="s">
        <v>35</v>
      </c>
      <c r="H248" t="s">
        <v>35</v>
      </c>
      <c r="J248" t="s">
        <v>709</v>
      </c>
      <c r="K248" t="s">
        <v>37</v>
      </c>
      <c r="M248">
        <v>15</v>
      </c>
      <c r="N248">
        <v>74</v>
      </c>
      <c r="O248" t="s">
        <v>61</v>
      </c>
      <c r="P248" t="s">
        <v>710</v>
      </c>
      <c r="Q248" t="s">
        <v>488</v>
      </c>
      <c r="R248" t="s">
        <v>519</v>
      </c>
      <c r="S248" t="s">
        <v>485</v>
      </c>
    </row>
    <row r="249" spans="1:19" x14ac:dyDescent="0.25">
      <c r="A249" t="s">
        <v>59</v>
      </c>
      <c r="B249" t="s">
        <v>60</v>
      </c>
      <c r="C249" t="s">
        <v>32</v>
      </c>
      <c r="D249" t="s">
        <v>673</v>
      </c>
      <c r="E249" t="s">
        <v>707</v>
      </c>
      <c r="F249" t="s">
        <v>35</v>
      </c>
      <c r="G249" t="s">
        <v>35</v>
      </c>
      <c r="H249" t="s">
        <v>35</v>
      </c>
      <c r="J249" t="s">
        <v>711</v>
      </c>
      <c r="K249" t="s">
        <v>37</v>
      </c>
      <c r="M249">
        <v>4.25</v>
      </c>
      <c r="N249">
        <v>74</v>
      </c>
      <c r="O249" t="s">
        <v>61</v>
      </c>
      <c r="P249" t="s">
        <v>713</v>
      </c>
      <c r="Q249" t="s">
        <v>488</v>
      </c>
      <c r="R249" t="s">
        <v>489</v>
      </c>
      <c r="S249" t="s">
        <v>490</v>
      </c>
    </row>
    <row r="250" spans="1:19" x14ac:dyDescent="0.25">
      <c r="A250" t="s">
        <v>30</v>
      </c>
      <c r="B250" t="s">
        <v>31</v>
      </c>
      <c r="C250" t="s">
        <v>32</v>
      </c>
      <c r="D250" t="s">
        <v>673</v>
      </c>
      <c r="E250" t="s">
        <v>707</v>
      </c>
      <c r="F250" t="s">
        <v>35</v>
      </c>
      <c r="G250" t="s">
        <v>35</v>
      </c>
      <c r="H250" t="s">
        <v>35</v>
      </c>
      <c r="J250" t="s">
        <v>711</v>
      </c>
      <c r="K250" t="s">
        <v>37</v>
      </c>
      <c r="M250">
        <v>2.3849999999999998</v>
      </c>
      <c r="N250">
        <v>51</v>
      </c>
      <c r="O250" t="s">
        <v>52</v>
      </c>
      <c r="P250" t="s">
        <v>714</v>
      </c>
      <c r="Q250" t="s">
        <v>54</v>
      </c>
      <c r="R250" t="s">
        <v>489</v>
      </c>
      <c r="S250" t="s">
        <v>490</v>
      </c>
    </row>
    <row r="251" spans="1:19" x14ac:dyDescent="0.25">
      <c r="A251" t="s">
        <v>30</v>
      </c>
      <c r="B251" t="s">
        <v>31</v>
      </c>
      <c r="C251" t="s">
        <v>32</v>
      </c>
      <c r="D251" t="s">
        <v>673</v>
      </c>
      <c r="E251" t="s">
        <v>707</v>
      </c>
      <c r="F251" t="s">
        <v>35</v>
      </c>
      <c r="G251" t="s">
        <v>35</v>
      </c>
      <c r="H251" t="s">
        <v>35</v>
      </c>
      <c r="J251" t="s">
        <v>711</v>
      </c>
      <c r="K251" t="s">
        <v>37</v>
      </c>
      <c r="M251">
        <v>6.4349999999999996</v>
      </c>
      <c r="N251">
        <v>45</v>
      </c>
      <c r="O251" t="s">
        <v>52</v>
      </c>
      <c r="P251" t="s">
        <v>715</v>
      </c>
      <c r="Q251" t="s">
        <v>716</v>
      </c>
      <c r="R251" t="s">
        <v>489</v>
      </c>
      <c r="S251" t="s">
        <v>490</v>
      </c>
    </row>
    <row r="252" spans="1:19" x14ac:dyDescent="0.25">
      <c r="A252" t="s">
        <v>59</v>
      </c>
      <c r="B252" t="s">
        <v>60</v>
      </c>
      <c r="C252" t="s">
        <v>32</v>
      </c>
      <c r="D252" t="s">
        <v>673</v>
      </c>
      <c r="E252" t="s">
        <v>717</v>
      </c>
      <c r="F252" t="s">
        <v>35</v>
      </c>
      <c r="G252" t="s">
        <v>35</v>
      </c>
      <c r="H252" t="s">
        <v>35</v>
      </c>
      <c r="J252" t="s">
        <v>679</v>
      </c>
      <c r="K252" t="s">
        <v>37</v>
      </c>
      <c r="M252">
        <v>39.25</v>
      </c>
      <c r="N252">
        <v>82</v>
      </c>
      <c r="O252" t="s">
        <v>61</v>
      </c>
      <c r="P252" t="s">
        <v>718</v>
      </c>
      <c r="Q252" t="s">
        <v>447</v>
      </c>
      <c r="R252" t="s">
        <v>91</v>
      </c>
      <c r="S252" t="s">
        <v>92</v>
      </c>
    </row>
    <row r="253" spans="1:19" x14ac:dyDescent="0.25">
      <c r="A253" t="s">
        <v>30</v>
      </c>
      <c r="B253" t="s">
        <v>31</v>
      </c>
      <c r="C253" t="s">
        <v>32</v>
      </c>
      <c r="D253" t="s">
        <v>719</v>
      </c>
      <c r="E253" t="s">
        <v>720</v>
      </c>
      <c r="F253" t="s">
        <v>35</v>
      </c>
      <c r="G253" t="s">
        <v>35</v>
      </c>
      <c r="H253" t="s">
        <v>35</v>
      </c>
      <c r="J253" t="s">
        <v>721</v>
      </c>
      <c r="K253" t="s">
        <v>37</v>
      </c>
      <c r="M253">
        <v>5.625</v>
      </c>
      <c r="N253">
        <v>95</v>
      </c>
      <c r="O253" t="s">
        <v>106</v>
      </c>
      <c r="P253" t="s">
        <v>723</v>
      </c>
      <c r="Q253" t="s">
        <v>724</v>
      </c>
      <c r="R253" t="s">
        <v>725</v>
      </c>
      <c r="S253" t="s">
        <v>726</v>
      </c>
    </row>
    <row r="254" spans="1:19" x14ac:dyDescent="0.25">
      <c r="A254" t="s">
        <v>59</v>
      </c>
      <c r="B254" t="s">
        <v>60</v>
      </c>
      <c r="C254" t="s">
        <v>32</v>
      </c>
      <c r="D254" t="s">
        <v>719</v>
      </c>
      <c r="E254" t="s">
        <v>720</v>
      </c>
      <c r="F254" t="s">
        <v>35</v>
      </c>
      <c r="G254" t="s">
        <v>35</v>
      </c>
      <c r="H254" t="s">
        <v>35</v>
      </c>
      <c r="J254" t="s">
        <v>728</v>
      </c>
      <c r="K254" t="s">
        <v>37</v>
      </c>
      <c r="M254">
        <v>7</v>
      </c>
      <c r="N254">
        <v>214</v>
      </c>
      <c r="O254" t="s">
        <v>5</v>
      </c>
      <c r="P254" t="s">
        <v>729</v>
      </c>
      <c r="Q254" t="s">
        <v>537</v>
      </c>
      <c r="R254" t="s">
        <v>730</v>
      </c>
      <c r="S254" t="s">
        <v>731</v>
      </c>
    </row>
    <row r="255" spans="1:19" x14ac:dyDescent="0.25">
      <c r="A255" t="s">
        <v>59</v>
      </c>
      <c r="B255" t="s">
        <v>31</v>
      </c>
      <c r="C255" t="s">
        <v>32</v>
      </c>
      <c r="D255" t="s">
        <v>719</v>
      </c>
      <c r="E255" t="s">
        <v>5459</v>
      </c>
      <c r="F255" t="s">
        <v>35</v>
      </c>
      <c r="G255" t="s">
        <v>35</v>
      </c>
      <c r="H255" t="s">
        <v>35</v>
      </c>
      <c r="J255" t="s">
        <v>479</v>
      </c>
      <c r="K255" t="s">
        <v>37</v>
      </c>
      <c r="M255">
        <v>32.4</v>
      </c>
      <c r="N255">
        <v>7</v>
      </c>
      <c r="O255" t="s">
        <v>46</v>
      </c>
      <c r="P255" t="s">
        <v>8190</v>
      </c>
      <c r="Q255" t="s">
        <v>8164</v>
      </c>
      <c r="R255" t="s">
        <v>91</v>
      </c>
      <c r="S255" t="s">
        <v>92</v>
      </c>
    </row>
    <row r="256" spans="1:19" x14ac:dyDescent="0.25">
      <c r="A256" t="s">
        <v>59</v>
      </c>
      <c r="B256" t="s">
        <v>60</v>
      </c>
      <c r="C256" t="s">
        <v>32</v>
      </c>
      <c r="D256" t="s">
        <v>719</v>
      </c>
      <c r="E256" t="s">
        <v>5459</v>
      </c>
      <c r="F256" t="s">
        <v>35</v>
      </c>
      <c r="G256" t="s">
        <v>35</v>
      </c>
      <c r="H256" t="s">
        <v>35</v>
      </c>
      <c r="J256" t="s">
        <v>479</v>
      </c>
      <c r="K256" t="s">
        <v>37</v>
      </c>
      <c r="M256">
        <v>49</v>
      </c>
      <c r="N256">
        <v>7</v>
      </c>
      <c r="O256" t="s">
        <v>46</v>
      </c>
      <c r="P256" t="s">
        <v>8191</v>
      </c>
      <c r="Q256" t="s">
        <v>8164</v>
      </c>
      <c r="R256" t="s">
        <v>91</v>
      </c>
      <c r="S256" t="s">
        <v>92</v>
      </c>
    </row>
    <row r="257" spans="1:19" x14ac:dyDescent="0.25">
      <c r="A257" t="s">
        <v>30</v>
      </c>
      <c r="B257" t="s">
        <v>31</v>
      </c>
      <c r="C257" t="s">
        <v>32</v>
      </c>
      <c r="D257" t="s">
        <v>719</v>
      </c>
      <c r="E257" t="s">
        <v>733</v>
      </c>
      <c r="F257" t="s">
        <v>35</v>
      </c>
      <c r="G257" t="s">
        <v>35</v>
      </c>
      <c r="H257" t="s">
        <v>35</v>
      </c>
      <c r="J257" t="s">
        <v>726</v>
      </c>
      <c r="K257" t="s">
        <v>37</v>
      </c>
      <c r="M257">
        <v>7.47</v>
      </c>
      <c r="N257">
        <v>47</v>
      </c>
      <c r="O257" t="s">
        <v>52</v>
      </c>
      <c r="P257" t="s">
        <v>734</v>
      </c>
      <c r="Q257" t="s">
        <v>132</v>
      </c>
      <c r="R257" t="s">
        <v>735</v>
      </c>
      <c r="S257" t="s">
        <v>736</v>
      </c>
    </row>
    <row r="258" spans="1:19" x14ac:dyDescent="0.25">
      <c r="A258" t="s">
        <v>59</v>
      </c>
      <c r="B258" t="s">
        <v>31</v>
      </c>
      <c r="C258" t="s">
        <v>32</v>
      </c>
      <c r="D258" t="s">
        <v>719</v>
      </c>
      <c r="E258" t="s">
        <v>733</v>
      </c>
      <c r="F258" t="s">
        <v>35</v>
      </c>
      <c r="G258" t="s">
        <v>35</v>
      </c>
      <c r="H258" t="s">
        <v>35</v>
      </c>
      <c r="J258" t="s">
        <v>726</v>
      </c>
      <c r="K258" t="s">
        <v>37</v>
      </c>
      <c r="M258">
        <v>9.4499999999999993</v>
      </c>
      <c r="N258">
        <v>7</v>
      </c>
      <c r="O258" t="s">
        <v>46</v>
      </c>
      <c r="P258" t="s">
        <v>8192</v>
      </c>
      <c r="Q258" t="s">
        <v>8164</v>
      </c>
      <c r="R258" t="s">
        <v>91</v>
      </c>
      <c r="S258" t="s">
        <v>92</v>
      </c>
    </row>
    <row r="259" spans="1:19" x14ac:dyDescent="0.25">
      <c r="A259" t="s">
        <v>30</v>
      </c>
      <c r="B259" t="s">
        <v>31</v>
      </c>
      <c r="C259" t="s">
        <v>32</v>
      </c>
      <c r="D259" t="s">
        <v>719</v>
      </c>
      <c r="E259" t="s">
        <v>738</v>
      </c>
      <c r="F259" t="s">
        <v>35</v>
      </c>
      <c r="G259" t="s">
        <v>35</v>
      </c>
      <c r="H259" t="s">
        <v>35</v>
      </c>
      <c r="J259" t="s">
        <v>739</v>
      </c>
      <c r="K259" t="s">
        <v>37</v>
      </c>
      <c r="M259">
        <v>8.0549999999999997</v>
      </c>
      <c r="N259">
        <v>47</v>
      </c>
      <c r="O259" t="s">
        <v>52</v>
      </c>
      <c r="P259" t="s">
        <v>741</v>
      </c>
      <c r="Q259" t="s">
        <v>132</v>
      </c>
      <c r="R259" t="s">
        <v>725</v>
      </c>
      <c r="S259" t="s">
        <v>726</v>
      </c>
    </row>
    <row r="260" spans="1:19" x14ac:dyDescent="0.25">
      <c r="A260" t="s">
        <v>59</v>
      </c>
      <c r="B260" t="s">
        <v>60</v>
      </c>
      <c r="C260" t="s">
        <v>32</v>
      </c>
      <c r="D260" t="s">
        <v>719</v>
      </c>
      <c r="E260" t="s">
        <v>738</v>
      </c>
      <c r="F260" t="s">
        <v>35</v>
      </c>
      <c r="G260" t="s">
        <v>35</v>
      </c>
      <c r="H260" t="s">
        <v>35</v>
      </c>
      <c r="J260" t="s">
        <v>590</v>
      </c>
      <c r="K260" t="s">
        <v>37</v>
      </c>
      <c r="M260">
        <v>20</v>
      </c>
      <c r="N260">
        <v>7</v>
      </c>
      <c r="O260" t="s">
        <v>46</v>
      </c>
      <c r="P260" t="s">
        <v>8193</v>
      </c>
      <c r="Q260" t="s">
        <v>8164</v>
      </c>
      <c r="R260" t="s">
        <v>725</v>
      </c>
      <c r="S260" t="s">
        <v>726</v>
      </c>
    </row>
    <row r="261" spans="1:19" x14ac:dyDescent="0.25">
      <c r="A261" t="s">
        <v>59</v>
      </c>
      <c r="B261" t="s">
        <v>60</v>
      </c>
      <c r="C261" t="s">
        <v>32</v>
      </c>
      <c r="D261" t="s">
        <v>719</v>
      </c>
      <c r="E261" t="s">
        <v>742</v>
      </c>
      <c r="F261" t="s">
        <v>35</v>
      </c>
      <c r="G261" t="s">
        <v>35</v>
      </c>
      <c r="H261" t="s">
        <v>35</v>
      </c>
      <c r="J261" t="s">
        <v>731</v>
      </c>
      <c r="K261" t="s">
        <v>37</v>
      </c>
      <c r="M261">
        <v>55</v>
      </c>
      <c r="N261">
        <v>7</v>
      </c>
      <c r="O261" t="s">
        <v>46</v>
      </c>
      <c r="P261" t="s">
        <v>8194</v>
      </c>
      <c r="Q261" t="s">
        <v>8164</v>
      </c>
      <c r="R261" t="s">
        <v>91</v>
      </c>
      <c r="S261" t="s">
        <v>92</v>
      </c>
    </row>
    <row r="262" spans="1:19" x14ac:dyDescent="0.25">
      <c r="A262" t="s">
        <v>44</v>
      </c>
      <c r="B262" t="s">
        <v>51</v>
      </c>
      <c r="C262" t="s">
        <v>32</v>
      </c>
      <c r="D262" t="s">
        <v>719</v>
      </c>
      <c r="E262" t="s">
        <v>742</v>
      </c>
      <c r="F262" t="s">
        <v>35</v>
      </c>
      <c r="G262" t="s">
        <v>35</v>
      </c>
      <c r="H262" t="s">
        <v>35</v>
      </c>
      <c r="J262" t="s">
        <v>731</v>
      </c>
      <c r="K262" t="s">
        <v>37</v>
      </c>
      <c r="M262">
        <v>50</v>
      </c>
      <c r="N262">
        <v>41</v>
      </c>
      <c r="O262" t="s">
        <v>52</v>
      </c>
      <c r="P262" t="s">
        <v>752</v>
      </c>
      <c r="Q262" t="s">
        <v>249</v>
      </c>
      <c r="R262" t="s">
        <v>91</v>
      </c>
      <c r="S262" t="s">
        <v>92</v>
      </c>
    </row>
    <row r="263" spans="1:19" x14ac:dyDescent="0.25">
      <c r="A263" t="s">
        <v>59</v>
      </c>
      <c r="B263" t="s">
        <v>60</v>
      </c>
      <c r="C263" t="s">
        <v>32</v>
      </c>
      <c r="D263" t="s">
        <v>719</v>
      </c>
      <c r="E263" t="s">
        <v>742</v>
      </c>
      <c r="F263" t="s">
        <v>35</v>
      </c>
      <c r="G263" t="s">
        <v>35</v>
      </c>
      <c r="H263" t="s">
        <v>35</v>
      </c>
      <c r="J263" t="s">
        <v>731</v>
      </c>
      <c r="K263" t="s">
        <v>37</v>
      </c>
      <c r="M263">
        <v>5</v>
      </c>
      <c r="N263">
        <v>7</v>
      </c>
      <c r="O263" t="s">
        <v>46</v>
      </c>
      <c r="P263" t="s">
        <v>8195</v>
      </c>
      <c r="Q263" t="s">
        <v>8164</v>
      </c>
      <c r="R263" t="s">
        <v>91</v>
      </c>
      <c r="S263" t="s">
        <v>92</v>
      </c>
    </row>
    <row r="264" spans="1:19" x14ac:dyDescent="0.25">
      <c r="A264" t="s">
        <v>44</v>
      </c>
      <c r="B264" t="s">
        <v>51</v>
      </c>
      <c r="C264" t="s">
        <v>32</v>
      </c>
      <c r="D264" t="s">
        <v>719</v>
      </c>
      <c r="E264" t="s">
        <v>742</v>
      </c>
      <c r="F264" t="s">
        <v>35</v>
      </c>
      <c r="G264" t="s">
        <v>35</v>
      </c>
      <c r="H264" t="s">
        <v>35</v>
      </c>
      <c r="J264" t="s">
        <v>731</v>
      </c>
      <c r="K264" t="s">
        <v>37</v>
      </c>
      <c r="M264">
        <v>45</v>
      </c>
      <c r="N264">
        <v>44</v>
      </c>
      <c r="O264" t="s">
        <v>52</v>
      </c>
      <c r="P264" t="s">
        <v>750</v>
      </c>
      <c r="Q264" t="s">
        <v>192</v>
      </c>
      <c r="R264" t="s">
        <v>91</v>
      </c>
      <c r="S264" t="s">
        <v>92</v>
      </c>
    </row>
    <row r="265" spans="1:19" x14ac:dyDescent="0.25">
      <c r="A265" t="s">
        <v>44</v>
      </c>
      <c r="B265" t="s">
        <v>51</v>
      </c>
      <c r="C265" t="s">
        <v>32</v>
      </c>
      <c r="D265" t="s">
        <v>719</v>
      </c>
      <c r="E265" t="s">
        <v>742</v>
      </c>
      <c r="F265" t="s">
        <v>35</v>
      </c>
      <c r="G265" t="s">
        <v>35</v>
      </c>
      <c r="H265" t="s">
        <v>35</v>
      </c>
      <c r="J265" t="s">
        <v>731</v>
      </c>
      <c r="K265" t="s">
        <v>37</v>
      </c>
      <c r="M265">
        <v>45</v>
      </c>
      <c r="N265">
        <v>41</v>
      </c>
      <c r="O265" t="s">
        <v>52</v>
      </c>
      <c r="P265" t="s">
        <v>749</v>
      </c>
      <c r="Q265" t="s">
        <v>249</v>
      </c>
      <c r="R265" t="s">
        <v>91</v>
      </c>
      <c r="S265" t="s">
        <v>92</v>
      </c>
    </row>
    <row r="266" spans="1:19" x14ac:dyDescent="0.25">
      <c r="A266" t="s">
        <v>59</v>
      </c>
      <c r="B266" t="s">
        <v>60</v>
      </c>
      <c r="C266" t="s">
        <v>32</v>
      </c>
      <c r="D266" t="s">
        <v>719</v>
      </c>
      <c r="E266" t="s">
        <v>742</v>
      </c>
      <c r="F266" t="s">
        <v>35</v>
      </c>
      <c r="G266" t="s">
        <v>35</v>
      </c>
      <c r="H266" t="s">
        <v>35</v>
      </c>
      <c r="J266" t="s">
        <v>731</v>
      </c>
      <c r="K266" t="s">
        <v>37</v>
      </c>
      <c r="M266">
        <v>55</v>
      </c>
      <c r="N266">
        <v>7</v>
      </c>
      <c r="O266" t="s">
        <v>46</v>
      </c>
      <c r="P266" t="s">
        <v>8196</v>
      </c>
      <c r="Q266" t="s">
        <v>8164</v>
      </c>
      <c r="R266" t="s">
        <v>91</v>
      </c>
      <c r="S266" t="s">
        <v>92</v>
      </c>
    </row>
    <row r="267" spans="1:19" x14ac:dyDescent="0.25">
      <c r="A267" t="s">
        <v>59</v>
      </c>
      <c r="B267" t="s">
        <v>60</v>
      </c>
      <c r="C267" t="s">
        <v>32</v>
      </c>
      <c r="D267" t="s">
        <v>719</v>
      </c>
      <c r="E267" t="s">
        <v>742</v>
      </c>
      <c r="F267" t="s">
        <v>35</v>
      </c>
      <c r="G267" t="s">
        <v>35</v>
      </c>
      <c r="H267" t="s">
        <v>35</v>
      </c>
      <c r="J267" t="s">
        <v>731</v>
      </c>
      <c r="K267" t="s">
        <v>37</v>
      </c>
      <c r="M267">
        <v>39.5</v>
      </c>
      <c r="N267">
        <v>7</v>
      </c>
      <c r="O267" t="s">
        <v>46</v>
      </c>
      <c r="P267" t="s">
        <v>8197</v>
      </c>
      <c r="Q267" t="s">
        <v>8164</v>
      </c>
      <c r="R267" t="s">
        <v>91</v>
      </c>
      <c r="S267" t="s">
        <v>92</v>
      </c>
    </row>
    <row r="268" spans="1:19" x14ac:dyDescent="0.25">
      <c r="A268" t="s">
        <v>44</v>
      </c>
      <c r="B268" t="s">
        <v>51</v>
      </c>
      <c r="C268" t="s">
        <v>32</v>
      </c>
      <c r="D268" t="s">
        <v>719</v>
      </c>
      <c r="E268" t="s">
        <v>742</v>
      </c>
      <c r="F268" t="s">
        <v>35</v>
      </c>
      <c r="G268" t="s">
        <v>35</v>
      </c>
      <c r="H268" t="s">
        <v>35</v>
      </c>
      <c r="J268" t="s">
        <v>731</v>
      </c>
      <c r="K268" t="s">
        <v>37</v>
      </c>
      <c r="M268">
        <v>50</v>
      </c>
      <c r="N268">
        <v>41</v>
      </c>
      <c r="O268" t="s">
        <v>52</v>
      </c>
      <c r="P268" t="s">
        <v>751</v>
      </c>
      <c r="Q268" t="s">
        <v>249</v>
      </c>
      <c r="R268" t="s">
        <v>91</v>
      </c>
      <c r="S268" t="s">
        <v>92</v>
      </c>
    </row>
    <row r="269" spans="1:19" x14ac:dyDescent="0.25">
      <c r="A269" t="s">
        <v>59</v>
      </c>
      <c r="B269" t="s">
        <v>60</v>
      </c>
      <c r="C269" t="s">
        <v>32</v>
      </c>
      <c r="D269" t="s">
        <v>719</v>
      </c>
      <c r="E269" t="s">
        <v>742</v>
      </c>
      <c r="F269" t="s">
        <v>35</v>
      </c>
      <c r="G269" t="s">
        <v>35</v>
      </c>
      <c r="H269" t="s">
        <v>35</v>
      </c>
      <c r="J269" t="s">
        <v>731</v>
      </c>
      <c r="K269" t="s">
        <v>37</v>
      </c>
      <c r="M269">
        <v>55</v>
      </c>
      <c r="N269">
        <v>7</v>
      </c>
      <c r="O269" t="s">
        <v>46</v>
      </c>
      <c r="P269" t="s">
        <v>8198</v>
      </c>
      <c r="Q269" t="s">
        <v>8164</v>
      </c>
      <c r="R269" t="s">
        <v>91</v>
      </c>
      <c r="S269" t="s">
        <v>92</v>
      </c>
    </row>
    <row r="270" spans="1:19" x14ac:dyDescent="0.25">
      <c r="A270" t="s">
        <v>44</v>
      </c>
      <c r="B270" t="s">
        <v>51</v>
      </c>
      <c r="C270" t="s">
        <v>32</v>
      </c>
      <c r="D270" t="s">
        <v>719</v>
      </c>
      <c r="E270" t="s">
        <v>742</v>
      </c>
      <c r="F270" t="s">
        <v>35</v>
      </c>
      <c r="G270" t="s">
        <v>35</v>
      </c>
      <c r="H270" t="s">
        <v>35</v>
      </c>
      <c r="J270" t="s">
        <v>731</v>
      </c>
      <c r="K270" t="s">
        <v>37</v>
      </c>
      <c r="M270">
        <v>39</v>
      </c>
      <c r="N270">
        <v>44</v>
      </c>
      <c r="O270" t="s">
        <v>52</v>
      </c>
      <c r="P270" t="s">
        <v>746</v>
      </c>
      <c r="Q270" t="s">
        <v>192</v>
      </c>
      <c r="R270" t="s">
        <v>91</v>
      </c>
      <c r="S270" t="s">
        <v>92</v>
      </c>
    </row>
    <row r="271" spans="1:19" x14ac:dyDescent="0.25">
      <c r="A271" t="s">
        <v>59</v>
      </c>
      <c r="B271" t="s">
        <v>60</v>
      </c>
      <c r="C271" t="s">
        <v>32</v>
      </c>
      <c r="D271" t="s">
        <v>719</v>
      </c>
      <c r="E271" t="s">
        <v>742</v>
      </c>
      <c r="F271" t="s">
        <v>35</v>
      </c>
      <c r="G271" t="s">
        <v>35</v>
      </c>
      <c r="H271" t="s">
        <v>35</v>
      </c>
      <c r="J271" t="s">
        <v>731</v>
      </c>
      <c r="K271" t="s">
        <v>37</v>
      </c>
      <c r="M271">
        <v>55</v>
      </c>
      <c r="N271">
        <v>7</v>
      </c>
      <c r="O271" t="s">
        <v>46</v>
      </c>
      <c r="P271" t="s">
        <v>8199</v>
      </c>
      <c r="Q271" t="s">
        <v>8164</v>
      </c>
      <c r="R271" t="s">
        <v>91</v>
      </c>
      <c r="S271" t="s">
        <v>92</v>
      </c>
    </row>
    <row r="272" spans="1:19" x14ac:dyDescent="0.25">
      <c r="A272" t="s">
        <v>44</v>
      </c>
      <c r="B272" t="s">
        <v>51</v>
      </c>
      <c r="C272" t="s">
        <v>32</v>
      </c>
      <c r="D272" t="s">
        <v>719</v>
      </c>
      <c r="E272" t="s">
        <v>742</v>
      </c>
      <c r="F272" t="s">
        <v>35</v>
      </c>
      <c r="G272" t="s">
        <v>35</v>
      </c>
      <c r="H272" t="s">
        <v>35</v>
      </c>
      <c r="J272" t="s">
        <v>731</v>
      </c>
      <c r="K272" t="s">
        <v>37</v>
      </c>
      <c r="M272">
        <v>50</v>
      </c>
      <c r="N272">
        <v>41</v>
      </c>
      <c r="O272" t="s">
        <v>52</v>
      </c>
      <c r="P272" t="s">
        <v>745</v>
      </c>
      <c r="Q272" t="s">
        <v>249</v>
      </c>
      <c r="R272" t="s">
        <v>91</v>
      </c>
      <c r="S272" t="s">
        <v>92</v>
      </c>
    </row>
    <row r="273" spans="1:19" x14ac:dyDescent="0.25">
      <c r="A273" t="s">
        <v>59</v>
      </c>
      <c r="B273" t="s">
        <v>60</v>
      </c>
      <c r="C273" t="s">
        <v>32</v>
      </c>
      <c r="D273" t="s">
        <v>719</v>
      </c>
      <c r="E273" t="s">
        <v>742</v>
      </c>
      <c r="F273" t="s">
        <v>35</v>
      </c>
      <c r="G273" t="s">
        <v>35</v>
      </c>
      <c r="H273" t="s">
        <v>35</v>
      </c>
      <c r="J273" t="s">
        <v>731</v>
      </c>
      <c r="K273" t="s">
        <v>37</v>
      </c>
      <c r="M273">
        <v>55</v>
      </c>
      <c r="N273">
        <v>7</v>
      </c>
      <c r="O273" t="s">
        <v>46</v>
      </c>
      <c r="P273" t="s">
        <v>8200</v>
      </c>
      <c r="Q273" t="s">
        <v>8164</v>
      </c>
      <c r="R273" t="s">
        <v>91</v>
      </c>
      <c r="S273" t="s">
        <v>92</v>
      </c>
    </row>
    <row r="274" spans="1:19" x14ac:dyDescent="0.25">
      <c r="A274" t="s">
        <v>44</v>
      </c>
      <c r="B274" t="s">
        <v>51</v>
      </c>
      <c r="C274" t="s">
        <v>32</v>
      </c>
      <c r="D274" t="s">
        <v>719</v>
      </c>
      <c r="E274" t="s">
        <v>742</v>
      </c>
      <c r="F274" t="s">
        <v>35</v>
      </c>
      <c r="G274" t="s">
        <v>35</v>
      </c>
      <c r="H274" t="s">
        <v>35</v>
      </c>
      <c r="J274" t="s">
        <v>731</v>
      </c>
      <c r="K274" t="s">
        <v>37</v>
      </c>
      <c r="M274">
        <v>54</v>
      </c>
      <c r="N274">
        <v>44</v>
      </c>
      <c r="O274" t="s">
        <v>52</v>
      </c>
      <c r="P274" t="s">
        <v>744</v>
      </c>
      <c r="Q274" t="s">
        <v>192</v>
      </c>
      <c r="R274" t="s">
        <v>91</v>
      </c>
      <c r="S274" t="s">
        <v>92</v>
      </c>
    </row>
    <row r="275" spans="1:19" x14ac:dyDescent="0.25">
      <c r="A275" t="s">
        <v>59</v>
      </c>
      <c r="B275" t="s">
        <v>60</v>
      </c>
      <c r="C275" t="s">
        <v>32</v>
      </c>
      <c r="D275" t="s">
        <v>719</v>
      </c>
      <c r="E275" t="s">
        <v>742</v>
      </c>
      <c r="F275" t="s">
        <v>35</v>
      </c>
      <c r="G275" t="s">
        <v>35</v>
      </c>
      <c r="H275" t="s">
        <v>35</v>
      </c>
      <c r="J275" t="s">
        <v>731</v>
      </c>
      <c r="K275" t="s">
        <v>37</v>
      </c>
      <c r="M275">
        <v>55</v>
      </c>
      <c r="N275">
        <v>7</v>
      </c>
      <c r="O275" t="s">
        <v>46</v>
      </c>
      <c r="P275" t="s">
        <v>8201</v>
      </c>
      <c r="Q275" t="s">
        <v>8164</v>
      </c>
      <c r="R275" t="s">
        <v>91</v>
      </c>
      <c r="S275" t="s">
        <v>92</v>
      </c>
    </row>
    <row r="276" spans="1:19" x14ac:dyDescent="0.25">
      <c r="A276" t="s">
        <v>59</v>
      </c>
      <c r="B276" t="s">
        <v>60</v>
      </c>
      <c r="C276" t="s">
        <v>32</v>
      </c>
      <c r="D276" t="s">
        <v>719</v>
      </c>
      <c r="E276" t="s">
        <v>742</v>
      </c>
      <c r="F276" t="s">
        <v>35</v>
      </c>
      <c r="G276" t="s">
        <v>35</v>
      </c>
      <c r="H276" t="s">
        <v>35</v>
      </c>
      <c r="J276" t="s">
        <v>731</v>
      </c>
      <c r="K276" t="s">
        <v>37</v>
      </c>
      <c r="M276">
        <v>55</v>
      </c>
      <c r="N276">
        <v>7</v>
      </c>
      <c r="O276" t="s">
        <v>46</v>
      </c>
      <c r="P276" t="s">
        <v>8202</v>
      </c>
      <c r="Q276" t="s">
        <v>8164</v>
      </c>
      <c r="R276" t="s">
        <v>91</v>
      </c>
      <c r="S276" t="s">
        <v>92</v>
      </c>
    </row>
    <row r="277" spans="1:19" x14ac:dyDescent="0.25">
      <c r="A277" t="s">
        <v>59</v>
      </c>
      <c r="B277" t="s">
        <v>60</v>
      </c>
      <c r="C277" t="s">
        <v>32</v>
      </c>
      <c r="D277" t="s">
        <v>719</v>
      </c>
      <c r="E277" t="s">
        <v>742</v>
      </c>
      <c r="F277" t="s">
        <v>35</v>
      </c>
      <c r="G277" t="s">
        <v>35</v>
      </c>
      <c r="H277" t="s">
        <v>35</v>
      </c>
      <c r="J277" t="s">
        <v>731</v>
      </c>
      <c r="K277" t="s">
        <v>37</v>
      </c>
      <c r="M277">
        <v>49.25</v>
      </c>
      <c r="N277">
        <v>7</v>
      </c>
      <c r="O277" t="s">
        <v>46</v>
      </c>
      <c r="P277" t="s">
        <v>8203</v>
      </c>
      <c r="Q277" t="s">
        <v>8164</v>
      </c>
      <c r="R277" t="s">
        <v>91</v>
      </c>
      <c r="S277" t="s">
        <v>92</v>
      </c>
    </row>
    <row r="278" spans="1:19" x14ac:dyDescent="0.25">
      <c r="A278" t="s">
        <v>44</v>
      </c>
      <c r="B278" t="s">
        <v>51</v>
      </c>
      <c r="C278" t="s">
        <v>32</v>
      </c>
      <c r="D278" t="s">
        <v>719</v>
      </c>
      <c r="E278" t="s">
        <v>742</v>
      </c>
      <c r="F278" t="s">
        <v>35</v>
      </c>
      <c r="G278" t="s">
        <v>35</v>
      </c>
      <c r="H278" t="s">
        <v>35</v>
      </c>
      <c r="J278" t="s">
        <v>731</v>
      </c>
      <c r="K278" t="s">
        <v>37</v>
      </c>
      <c r="M278">
        <v>50</v>
      </c>
      <c r="N278">
        <v>40</v>
      </c>
      <c r="O278" t="s">
        <v>52</v>
      </c>
      <c r="P278" t="s">
        <v>753</v>
      </c>
      <c r="Q278" t="s">
        <v>130</v>
      </c>
      <c r="R278" t="s">
        <v>91</v>
      </c>
      <c r="S278" t="s">
        <v>92</v>
      </c>
    </row>
    <row r="279" spans="1:19" x14ac:dyDescent="0.25">
      <c r="A279" t="s">
        <v>59</v>
      </c>
      <c r="B279" t="s">
        <v>60</v>
      </c>
      <c r="C279" t="s">
        <v>32</v>
      </c>
      <c r="D279" t="s">
        <v>719</v>
      </c>
      <c r="E279" t="s">
        <v>742</v>
      </c>
      <c r="F279" t="s">
        <v>35</v>
      </c>
      <c r="G279" t="s">
        <v>35</v>
      </c>
      <c r="H279" t="s">
        <v>35</v>
      </c>
      <c r="J279" t="s">
        <v>731</v>
      </c>
      <c r="K279" t="s">
        <v>37</v>
      </c>
      <c r="M279">
        <v>55</v>
      </c>
      <c r="N279">
        <v>7</v>
      </c>
      <c r="O279" t="s">
        <v>46</v>
      </c>
      <c r="P279" t="s">
        <v>8204</v>
      </c>
      <c r="Q279" t="s">
        <v>8164</v>
      </c>
      <c r="R279" t="s">
        <v>91</v>
      </c>
      <c r="S279" t="s">
        <v>92</v>
      </c>
    </row>
    <row r="280" spans="1:19" x14ac:dyDescent="0.25">
      <c r="A280" t="s">
        <v>59</v>
      </c>
      <c r="B280" t="s">
        <v>60</v>
      </c>
      <c r="C280" t="s">
        <v>32</v>
      </c>
      <c r="D280" t="s">
        <v>719</v>
      </c>
      <c r="E280" t="s">
        <v>742</v>
      </c>
      <c r="F280" t="s">
        <v>35</v>
      </c>
      <c r="G280" t="s">
        <v>35</v>
      </c>
      <c r="H280" t="s">
        <v>35</v>
      </c>
      <c r="J280" t="s">
        <v>731</v>
      </c>
      <c r="K280" t="s">
        <v>37</v>
      </c>
      <c r="M280">
        <v>55</v>
      </c>
      <c r="N280">
        <v>7</v>
      </c>
      <c r="O280" t="s">
        <v>46</v>
      </c>
      <c r="P280" t="s">
        <v>8205</v>
      </c>
      <c r="Q280" t="s">
        <v>8164</v>
      </c>
      <c r="R280" t="s">
        <v>91</v>
      </c>
      <c r="S280" t="s">
        <v>92</v>
      </c>
    </row>
    <row r="281" spans="1:19" x14ac:dyDescent="0.25">
      <c r="A281" t="s">
        <v>44</v>
      </c>
      <c r="B281" t="s">
        <v>51</v>
      </c>
      <c r="C281" t="s">
        <v>32</v>
      </c>
      <c r="D281" t="s">
        <v>719</v>
      </c>
      <c r="E281" t="s">
        <v>742</v>
      </c>
      <c r="F281" t="s">
        <v>35</v>
      </c>
      <c r="G281" t="s">
        <v>35</v>
      </c>
      <c r="H281" t="s">
        <v>35</v>
      </c>
      <c r="J281" t="s">
        <v>731</v>
      </c>
      <c r="K281" t="s">
        <v>37</v>
      </c>
      <c r="M281">
        <v>54</v>
      </c>
      <c r="N281">
        <v>44</v>
      </c>
      <c r="O281" t="s">
        <v>52</v>
      </c>
      <c r="P281" t="s">
        <v>754</v>
      </c>
      <c r="Q281" t="s">
        <v>192</v>
      </c>
      <c r="R281" t="s">
        <v>91</v>
      </c>
      <c r="S281" t="s">
        <v>92</v>
      </c>
    </row>
    <row r="282" spans="1:19" x14ac:dyDescent="0.25">
      <c r="A282" t="s">
        <v>59</v>
      </c>
      <c r="B282" t="s">
        <v>60</v>
      </c>
      <c r="C282" t="s">
        <v>32</v>
      </c>
      <c r="D282" t="s">
        <v>719</v>
      </c>
      <c r="E282" t="s">
        <v>742</v>
      </c>
      <c r="F282" t="s">
        <v>35</v>
      </c>
      <c r="G282" t="s">
        <v>35</v>
      </c>
      <c r="H282" t="s">
        <v>35</v>
      </c>
      <c r="J282" t="s">
        <v>731</v>
      </c>
      <c r="K282" t="s">
        <v>37</v>
      </c>
      <c r="M282">
        <v>15.5</v>
      </c>
      <c r="N282">
        <v>7</v>
      </c>
      <c r="O282" t="s">
        <v>46</v>
      </c>
      <c r="P282" t="s">
        <v>8206</v>
      </c>
      <c r="Q282" t="s">
        <v>8164</v>
      </c>
      <c r="R282" t="s">
        <v>91</v>
      </c>
      <c r="S282" t="s">
        <v>92</v>
      </c>
    </row>
    <row r="283" spans="1:19" x14ac:dyDescent="0.25">
      <c r="A283" t="s">
        <v>44</v>
      </c>
      <c r="B283" t="s">
        <v>51</v>
      </c>
      <c r="C283" t="s">
        <v>32</v>
      </c>
      <c r="D283" t="s">
        <v>719</v>
      </c>
      <c r="E283" t="s">
        <v>742</v>
      </c>
      <c r="F283" t="s">
        <v>35</v>
      </c>
      <c r="G283" t="s">
        <v>35</v>
      </c>
      <c r="H283" t="s">
        <v>35</v>
      </c>
      <c r="J283" t="s">
        <v>731</v>
      </c>
      <c r="K283" t="s">
        <v>37</v>
      </c>
      <c r="M283">
        <v>54</v>
      </c>
      <c r="N283">
        <v>44</v>
      </c>
      <c r="O283" t="s">
        <v>52</v>
      </c>
      <c r="P283" t="s">
        <v>743</v>
      </c>
      <c r="Q283" t="s">
        <v>192</v>
      </c>
      <c r="R283" t="s">
        <v>91</v>
      </c>
      <c r="S283" t="s">
        <v>92</v>
      </c>
    </row>
    <row r="284" spans="1:19" x14ac:dyDescent="0.25">
      <c r="A284" t="s">
        <v>59</v>
      </c>
      <c r="B284" t="s">
        <v>60</v>
      </c>
      <c r="C284" t="s">
        <v>32</v>
      </c>
      <c r="D284" t="s">
        <v>719</v>
      </c>
      <c r="E284" t="s">
        <v>742</v>
      </c>
      <c r="F284" t="s">
        <v>35</v>
      </c>
      <c r="G284" t="s">
        <v>35</v>
      </c>
      <c r="H284" t="s">
        <v>35</v>
      </c>
      <c r="J284" t="s">
        <v>731</v>
      </c>
      <c r="K284" t="s">
        <v>37</v>
      </c>
      <c r="M284">
        <v>55</v>
      </c>
      <c r="N284">
        <v>7</v>
      </c>
      <c r="O284" t="s">
        <v>46</v>
      </c>
      <c r="P284" t="s">
        <v>8207</v>
      </c>
      <c r="Q284" t="s">
        <v>8164</v>
      </c>
      <c r="R284" t="s">
        <v>91</v>
      </c>
      <c r="S284" t="s">
        <v>92</v>
      </c>
    </row>
    <row r="285" spans="1:19" x14ac:dyDescent="0.25">
      <c r="A285" t="s">
        <v>59</v>
      </c>
      <c r="B285" t="s">
        <v>60</v>
      </c>
      <c r="C285" t="s">
        <v>32</v>
      </c>
      <c r="D285" t="s">
        <v>719</v>
      </c>
      <c r="E285" t="s">
        <v>742</v>
      </c>
      <c r="F285" t="s">
        <v>35</v>
      </c>
      <c r="G285" t="s">
        <v>35</v>
      </c>
      <c r="H285" t="s">
        <v>35</v>
      </c>
      <c r="J285" t="s">
        <v>731</v>
      </c>
      <c r="K285" t="s">
        <v>37</v>
      </c>
      <c r="M285">
        <v>55</v>
      </c>
      <c r="N285">
        <v>7</v>
      </c>
      <c r="O285" t="s">
        <v>46</v>
      </c>
      <c r="P285" t="s">
        <v>8208</v>
      </c>
      <c r="Q285" t="s">
        <v>8164</v>
      </c>
      <c r="R285" t="s">
        <v>91</v>
      </c>
      <c r="S285" t="s">
        <v>92</v>
      </c>
    </row>
    <row r="286" spans="1:19" x14ac:dyDescent="0.25">
      <c r="A286" t="s">
        <v>44</v>
      </c>
      <c r="B286" t="s">
        <v>51</v>
      </c>
      <c r="C286" t="s">
        <v>32</v>
      </c>
      <c r="D286" t="s">
        <v>719</v>
      </c>
      <c r="E286" t="s">
        <v>742</v>
      </c>
      <c r="F286" t="s">
        <v>35</v>
      </c>
      <c r="G286" t="s">
        <v>35</v>
      </c>
      <c r="H286" t="s">
        <v>35</v>
      </c>
      <c r="J286" t="s">
        <v>731</v>
      </c>
      <c r="K286" t="s">
        <v>37</v>
      </c>
      <c r="M286">
        <v>5</v>
      </c>
      <c r="N286">
        <v>38</v>
      </c>
      <c r="O286" t="s">
        <v>52</v>
      </c>
      <c r="P286" t="s">
        <v>747</v>
      </c>
      <c r="Q286" t="s">
        <v>748</v>
      </c>
      <c r="R286" t="s">
        <v>91</v>
      </c>
      <c r="S286" t="s">
        <v>92</v>
      </c>
    </row>
    <row r="287" spans="1:19" x14ac:dyDescent="0.25">
      <c r="A287" t="s">
        <v>59</v>
      </c>
      <c r="B287" t="s">
        <v>31</v>
      </c>
      <c r="C287" t="s">
        <v>32</v>
      </c>
      <c r="D287" t="s">
        <v>719</v>
      </c>
      <c r="E287" t="s">
        <v>755</v>
      </c>
      <c r="F287" t="s">
        <v>35</v>
      </c>
      <c r="G287" t="s">
        <v>35</v>
      </c>
      <c r="H287" t="s">
        <v>35</v>
      </c>
      <c r="J287" t="s">
        <v>756</v>
      </c>
      <c r="K287" t="s">
        <v>37</v>
      </c>
      <c r="M287">
        <v>18</v>
      </c>
      <c r="N287">
        <v>7</v>
      </c>
      <c r="O287" t="s">
        <v>46</v>
      </c>
      <c r="P287" t="s">
        <v>8209</v>
      </c>
      <c r="Q287" t="s">
        <v>8164</v>
      </c>
      <c r="R287" t="s">
        <v>91</v>
      </c>
      <c r="S287" t="s">
        <v>92</v>
      </c>
    </row>
    <row r="288" spans="1:19" x14ac:dyDescent="0.25">
      <c r="A288" t="s">
        <v>59</v>
      </c>
      <c r="B288" t="s">
        <v>31</v>
      </c>
      <c r="C288" t="s">
        <v>32</v>
      </c>
      <c r="D288" t="s">
        <v>719</v>
      </c>
      <c r="E288" t="s">
        <v>755</v>
      </c>
      <c r="F288" t="s">
        <v>35</v>
      </c>
      <c r="G288" t="s">
        <v>35</v>
      </c>
      <c r="H288" t="s">
        <v>35</v>
      </c>
      <c r="J288" t="s">
        <v>756</v>
      </c>
      <c r="K288" t="s">
        <v>37</v>
      </c>
      <c r="M288">
        <v>18.585000000000001</v>
      </c>
      <c r="N288">
        <v>7</v>
      </c>
      <c r="O288" t="s">
        <v>46</v>
      </c>
      <c r="P288" t="s">
        <v>8210</v>
      </c>
      <c r="Q288" t="s">
        <v>8164</v>
      </c>
      <c r="R288" t="s">
        <v>91</v>
      </c>
      <c r="S288" t="s">
        <v>92</v>
      </c>
    </row>
    <row r="289" spans="1:19" x14ac:dyDescent="0.25">
      <c r="A289" t="s">
        <v>59</v>
      </c>
      <c r="B289" t="s">
        <v>60</v>
      </c>
      <c r="C289" t="s">
        <v>32</v>
      </c>
      <c r="D289" t="s">
        <v>719</v>
      </c>
      <c r="E289" t="s">
        <v>755</v>
      </c>
      <c r="F289" t="s">
        <v>35</v>
      </c>
      <c r="G289" t="s">
        <v>35</v>
      </c>
      <c r="H289" t="s">
        <v>35</v>
      </c>
      <c r="J289" t="s">
        <v>756</v>
      </c>
      <c r="K289" t="s">
        <v>37</v>
      </c>
      <c r="M289">
        <v>50</v>
      </c>
      <c r="N289">
        <v>7</v>
      </c>
      <c r="O289" t="s">
        <v>46</v>
      </c>
      <c r="P289" t="s">
        <v>8211</v>
      </c>
      <c r="Q289" t="s">
        <v>8164</v>
      </c>
      <c r="R289" t="s">
        <v>91</v>
      </c>
      <c r="S289" t="s">
        <v>92</v>
      </c>
    </row>
    <row r="290" spans="1:19" x14ac:dyDescent="0.25">
      <c r="A290" t="s">
        <v>59</v>
      </c>
      <c r="B290" t="s">
        <v>60</v>
      </c>
      <c r="C290" t="s">
        <v>32</v>
      </c>
      <c r="D290" t="s">
        <v>719</v>
      </c>
      <c r="E290" t="s">
        <v>755</v>
      </c>
      <c r="F290" t="s">
        <v>35</v>
      </c>
      <c r="G290" t="s">
        <v>35</v>
      </c>
      <c r="H290" t="s">
        <v>35</v>
      </c>
      <c r="J290" t="s">
        <v>756</v>
      </c>
      <c r="K290" t="s">
        <v>37</v>
      </c>
      <c r="M290">
        <v>30</v>
      </c>
      <c r="N290">
        <v>7</v>
      </c>
      <c r="O290" t="s">
        <v>46</v>
      </c>
      <c r="P290" t="s">
        <v>8212</v>
      </c>
      <c r="Q290" t="s">
        <v>8164</v>
      </c>
      <c r="R290" t="s">
        <v>91</v>
      </c>
      <c r="S290" t="s">
        <v>92</v>
      </c>
    </row>
    <row r="291" spans="1:19" x14ac:dyDescent="0.25">
      <c r="A291" t="s">
        <v>59</v>
      </c>
      <c r="B291" t="s">
        <v>31</v>
      </c>
      <c r="C291" t="s">
        <v>32</v>
      </c>
      <c r="D291" t="s">
        <v>719</v>
      </c>
      <c r="E291" t="s">
        <v>755</v>
      </c>
      <c r="F291" t="s">
        <v>35</v>
      </c>
      <c r="G291" t="s">
        <v>35</v>
      </c>
      <c r="H291" t="s">
        <v>35</v>
      </c>
      <c r="J291" t="s">
        <v>759</v>
      </c>
      <c r="K291" t="s">
        <v>37</v>
      </c>
      <c r="M291">
        <v>3.375</v>
      </c>
      <c r="N291">
        <v>7</v>
      </c>
      <c r="O291" t="s">
        <v>46</v>
      </c>
      <c r="P291" t="s">
        <v>8213</v>
      </c>
      <c r="Q291" t="s">
        <v>8164</v>
      </c>
      <c r="R291" t="s">
        <v>91</v>
      </c>
      <c r="S291" t="s">
        <v>92</v>
      </c>
    </row>
    <row r="292" spans="1:19" x14ac:dyDescent="0.25">
      <c r="A292" t="s">
        <v>59</v>
      </c>
      <c r="B292" t="s">
        <v>60</v>
      </c>
      <c r="C292" t="s">
        <v>32</v>
      </c>
      <c r="D292" t="s">
        <v>719</v>
      </c>
      <c r="E292" t="s">
        <v>755</v>
      </c>
      <c r="F292" t="s">
        <v>35</v>
      </c>
      <c r="G292" t="s">
        <v>35</v>
      </c>
      <c r="H292" t="s">
        <v>35</v>
      </c>
      <c r="J292" t="s">
        <v>759</v>
      </c>
      <c r="K292" t="s">
        <v>37</v>
      </c>
      <c r="M292">
        <v>47</v>
      </c>
      <c r="N292">
        <v>7</v>
      </c>
      <c r="O292" t="s">
        <v>46</v>
      </c>
      <c r="P292" t="s">
        <v>8214</v>
      </c>
      <c r="Q292" t="s">
        <v>8164</v>
      </c>
      <c r="R292" t="s">
        <v>91</v>
      </c>
      <c r="S292" t="s">
        <v>92</v>
      </c>
    </row>
    <row r="293" spans="1:19" x14ac:dyDescent="0.25">
      <c r="A293" t="s">
        <v>44</v>
      </c>
      <c r="B293" t="s">
        <v>51</v>
      </c>
      <c r="C293" t="s">
        <v>32</v>
      </c>
      <c r="D293" t="s">
        <v>719</v>
      </c>
      <c r="E293" t="s">
        <v>755</v>
      </c>
      <c r="F293" t="s">
        <v>35</v>
      </c>
      <c r="G293" t="s">
        <v>35</v>
      </c>
      <c r="H293" t="s">
        <v>35</v>
      </c>
      <c r="J293" t="s">
        <v>759</v>
      </c>
      <c r="K293" t="s">
        <v>37</v>
      </c>
      <c r="M293">
        <v>11</v>
      </c>
      <c r="N293">
        <v>83</v>
      </c>
      <c r="O293" t="s">
        <v>61</v>
      </c>
      <c r="P293" t="s">
        <v>762</v>
      </c>
      <c r="Q293" t="s">
        <v>455</v>
      </c>
      <c r="R293" t="s">
        <v>91</v>
      </c>
      <c r="S293" t="s">
        <v>92</v>
      </c>
    </row>
    <row r="294" spans="1:19" x14ac:dyDescent="0.25">
      <c r="A294" t="s">
        <v>30</v>
      </c>
      <c r="B294" t="s">
        <v>31</v>
      </c>
      <c r="C294" t="s">
        <v>32</v>
      </c>
      <c r="D294" t="s">
        <v>719</v>
      </c>
      <c r="E294" t="s">
        <v>755</v>
      </c>
      <c r="F294" t="s">
        <v>35</v>
      </c>
      <c r="G294" t="s">
        <v>35</v>
      </c>
      <c r="H294" t="s">
        <v>35</v>
      </c>
      <c r="J294" t="s">
        <v>759</v>
      </c>
      <c r="K294" t="s">
        <v>37</v>
      </c>
      <c r="M294">
        <v>1.08</v>
      </c>
      <c r="N294">
        <v>49</v>
      </c>
      <c r="O294" t="s">
        <v>52</v>
      </c>
      <c r="P294" t="s">
        <v>761</v>
      </c>
      <c r="Q294" t="s">
        <v>219</v>
      </c>
      <c r="R294" t="s">
        <v>91</v>
      </c>
      <c r="S294" t="s">
        <v>92</v>
      </c>
    </row>
    <row r="295" spans="1:19" x14ac:dyDescent="0.25">
      <c r="A295" t="s">
        <v>59</v>
      </c>
      <c r="B295" t="s">
        <v>31</v>
      </c>
      <c r="C295" t="s">
        <v>32</v>
      </c>
      <c r="D295" t="s">
        <v>719</v>
      </c>
      <c r="E295" t="s">
        <v>755</v>
      </c>
      <c r="F295" t="s">
        <v>35</v>
      </c>
      <c r="G295" t="s">
        <v>35</v>
      </c>
      <c r="H295" t="s">
        <v>35</v>
      </c>
      <c r="J295" t="s">
        <v>759</v>
      </c>
      <c r="K295" t="s">
        <v>37</v>
      </c>
      <c r="M295">
        <v>54</v>
      </c>
      <c r="N295">
        <v>7</v>
      </c>
      <c r="O295" t="s">
        <v>46</v>
      </c>
      <c r="P295" t="s">
        <v>8215</v>
      </c>
      <c r="Q295" t="s">
        <v>8164</v>
      </c>
      <c r="R295" t="s">
        <v>91</v>
      </c>
      <c r="S295" t="s">
        <v>92</v>
      </c>
    </row>
    <row r="296" spans="1:19" x14ac:dyDescent="0.25">
      <c r="A296" t="s">
        <v>59</v>
      </c>
      <c r="B296" t="s">
        <v>60</v>
      </c>
      <c r="C296" t="s">
        <v>32</v>
      </c>
      <c r="D296" t="s">
        <v>719</v>
      </c>
      <c r="E296" t="s">
        <v>755</v>
      </c>
      <c r="F296" t="s">
        <v>35</v>
      </c>
      <c r="G296" t="s">
        <v>35</v>
      </c>
      <c r="H296" t="s">
        <v>35</v>
      </c>
      <c r="J296" t="s">
        <v>759</v>
      </c>
      <c r="K296" t="s">
        <v>37</v>
      </c>
      <c r="M296">
        <v>50</v>
      </c>
      <c r="N296">
        <v>7</v>
      </c>
      <c r="O296" t="s">
        <v>46</v>
      </c>
      <c r="P296" t="s">
        <v>8216</v>
      </c>
      <c r="Q296" t="s">
        <v>8164</v>
      </c>
      <c r="R296" t="s">
        <v>91</v>
      </c>
      <c r="S296" t="s">
        <v>92</v>
      </c>
    </row>
    <row r="297" spans="1:19" x14ac:dyDescent="0.25">
      <c r="A297" t="s">
        <v>59</v>
      </c>
      <c r="B297" t="s">
        <v>60</v>
      </c>
      <c r="C297" t="s">
        <v>32</v>
      </c>
      <c r="D297" t="s">
        <v>719</v>
      </c>
      <c r="E297" t="s">
        <v>763</v>
      </c>
      <c r="F297" t="s">
        <v>35</v>
      </c>
      <c r="G297" t="s">
        <v>35</v>
      </c>
      <c r="H297" t="s">
        <v>35</v>
      </c>
      <c r="J297" t="s">
        <v>736</v>
      </c>
      <c r="K297" t="s">
        <v>37</v>
      </c>
      <c r="M297">
        <v>11</v>
      </c>
      <c r="N297">
        <v>7</v>
      </c>
      <c r="O297" t="s">
        <v>46</v>
      </c>
      <c r="P297" t="s">
        <v>8217</v>
      </c>
      <c r="Q297" t="s">
        <v>8164</v>
      </c>
      <c r="R297" t="s">
        <v>725</v>
      </c>
      <c r="S297" t="s">
        <v>726</v>
      </c>
    </row>
    <row r="298" spans="1:19" x14ac:dyDescent="0.25">
      <c r="A298" t="s">
        <v>59</v>
      </c>
      <c r="B298" t="s">
        <v>31</v>
      </c>
      <c r="C298" t="s">
        <v>32</v>
      </c>
      <c r="D298" t="s">
        <v>719</v>
      </c>
      <c r="E298" t="s">
        <v>763</v>
      </c>
      <c r="F298" t="s">
        <v>35</v>
      </c>
      <c r="G298" t="s">
        <v>35</v>
      </c>
      <c r="H298" t="s">
        <v>35</v>
      </c>
      <c r="J298" t="s">
        <v>736</v>
      </c>
      <c r="K298" t="s">
        <v>37</v>
      </c>
      <c r="M298">
        <v>36</v>
      </c>
      <c r="N298">
        <v>7</v>
      </c>
      <c r="O298" t="s">
        <v>46</v>
      </c>
      <c r="P298" t="s">
        <v>8218</v>
      </c>
      <c r="Q298" t="s">
        <v>8164</v>
      </c>
      <c r="R298" t="s">
        <v>91</v>
      </c>
      <c r="S298" t="s">
        <v>92</v>
      </c>
    </row>
    <row r="299" spans="1:19" x14ac:dyDescent="0.25">
      <c r="A299" t="s">
        <v>44</v>
      </c>
      <c r="B299" t="s">
        <v>51</v>
      </c>
      <c r="C299" t="s">
        <v>32</v>
      </c>
      <c r="D299" t="s">
        <v>719</v>
      </c>
      <c r="E299" t="s">
        <v>763</v>
      </c>
      <c r="F299" t="s">
        <v>35</v>
      </c>
      <c r="G299" t="s">
        <v>35</v>
      </c>
      <c r="H299" t="s">
        <v>35</v>
      </c>
      <c r="J299" t="s">
        <v>736</v>
      </c>
      <c r="K299" t="s">
        <v>37</v>
      </c>
      <c r="M299">
        <v>33</v>
      </c>
      <c r="N299">
        <v>83</v>
      </c>
      <c r="O299" t="s">
        <v>61</v>
      </c>
      <c r="P299" t="s">
        <v>764</v>
      </c>
      <c r="Q299" t="s">
        <v>455</v>
      </c>
      <c r="R299" t="s">
        <v>91</v>
      </c>
      <c r="S299" t="s">
        <v>92</v>
      </c>
    </row>
    <row r="300" spans="1:19" x14ac:dyDescent="0.25">
      <c r="A300" t="s">
        <v>59</v>
      </c>
      <c r="B300" t="s">
        <v>60</v>
      </c>
      <c r="C300" t="s">
        <v>32</v>
      </c>
      <c r="D300" t="s">
        <v>719</v>
      </c>
      <c r="E300" t="s">
        <v>763</v>
      </c>
      <c r="F300" t="s">
        <v>35</v>
      </c>
      <c r="G300" t="s">
        <v>35</v>
      </c>
      <c r="H300" t="s">
        <v>35</v>
      </c>
      <c r="J300" t="s">
        <v>736</v>
      </c>
      <c r="K300" t="s">
        <v>37</v>
      </c>
      <c r="M300">
        <v>38</v>
      </c>
      <c r="N300">
        <v>7</v>
      </c>
      <c r="O300" t="s">
        <v>46</v>
      </c>
      <c r="P300" t="s">
        <v>8219</v>
      </c>
      <c r="Q300" t="s">
        <v>8164</v>
      </c>
      <c r="R300" t="s">
        <v>91</v>
      </c>
      <c r="S300" t="s">
        <v>92</v>
      </c>
    </row>
    <row r="301" spans="1:19" x14ac:dyDescent="0.25">
      <c r="A301" t="s">
        <v>59</v>
      </c>
      <c r="B301" t="s">
        <v>60</v>
      </c>
      <c r="C301" t="s">
        <v>32</v>
      </c>
      <c r="D301" t="s">
        <v>719</v>
      </c>
      <c r="E301" t="s">
        <v>5756</v>
      </c>
      <c r="F301" t="s">
        <v>35</v>
      </c>
      <c r="G301" t="s">
        <v>35</v>
      </c>
      <c r="H301" t="s">
        <v>35</v>
      </c>
      <c r="J301" t="s">
        <v>502</v>
      </c>
      <c r="K301" t="s">
        <v>37</v>
      </c>
      <c r="M301">
        <v>25</v>
      </c>
      <c r="N301">
        <v>3</v>
      </c>
      <c r="O301" t="s">
        <v>46</v>
      </c>
      <c r="P301" t="s">
        <v>8220</v>
      </c>
      <c r="Q301" t="s">
        <v>8153</v>
      </c>
      <c r="R301" t="s">
        <v>730</v>
      </c>
      <c r="S301" t="s">
        <v>731</v>
      </c>
    </row>
    <row r="302" spans="1:19" x14ac:dyDescent="0.25">
      <c r="A302" t="s">
        <v>59</v>
      </c>
      <c r="B302" t="s">
        <v>60</v>
      </c>
      <c r="C302" t="s">
        <v>32</v>
      </c>
      <c r="D302" t="s">
        <v>719</v>
      </c>
      <c r="E302" t="s">
        <v>5756</v>
      </c>
      <c r="F302" t="s">
        <v>35</v>
      </c>
      <c r="G302" t="s">
        <v>35</v>
      </c>
      <c r="H302" t="s">
        <v>35</v>
      </c>
      <c r="J302" t="s">
        <v>502</v>
      </c>
      <c r="K302" t="s">
        <v>37</v>
      </c>
      <c r="M302">
        <v>25</v>
      </c>
      <c r="N302">
        <v>3</v>
      </c>
      <c r="O302" t="s">
        <v>46</v>
      </c>
      <c r="P302" t="s">
        <v>8221</v>
      </c>
      <c r="Q302" t="s">
        <v>8153</v>
      </c>
      <c r="R302" t="s">
        <v>730</v>
      </c>
      <c r="S302" t="s">
        <v>731</v>
      </c>
    </row>
    <row r="303" spans="1:19" x14ac:dyDescent="0.25">
      <c r="A303" t="s">
        <v>30</v>
      </c>
      <c r="B303" t="s">
        <v>31</v>
      </c>
      <c r="C303" t="s">
        <v>32</v>
      </c>
      <c r="D303" t="s">
        <v>765</v>
      </c>
      <c r="E303" t="s">
        <v>766</v>
      </c>
      <c r="F303" t="s">
        <v>35</v>
      </c>
      <c r="G303" t="s">
        <v>35</v>
      </c>
      <c r="H303" t="s">
        <v>35</v>
      </c>
      <c r="J303" t="s">
        <v>767</v>
      </c>
      <c r="K303" t="s">
        <v>37</v>
      </c>
      <c r="M303">
        <v>0.17</v>
      </c>
      <c r="N303">
        <v>77</v>
      </c>
      <c r="O303" t="s">
        <v>61</v>
      </c>
      <c r="P303" t="s">
        <v>770</v>
      </c>
      <c r="Q303" t="s">
        <v>305</v>
      </c>
      <c r="R303" t="s">
        <v>91</v>
      </c>
      <c r="S303" t="s">
        <v>92</v>
      </c>
    </row>
    <row r="304" spans="1:19" x14ac:dyDescent="0.25">
      <c r="A304" t="s">
        <v>44</v>
      </c>
      <c r="B304" t="s">
        <v>51</v>
      </c>
      <c r="C304" t="s">
        <v>32</v>
      </c>
      <c r="D304" t="s">
        <v>765</v>
      </c>
      <c r="E304" t="s">
        <v>766</v>
      </c>
      <c r="F304" t="s">
        <v>35</v>
      </c>
      <c r="G304" t="s">
        <v>35</v>
      </c>
      <c r="H304" t="s">
        <v>35</v>
      </c>
      <c r="J304" t="s">
        <v>767</v>
      </c>
      <c r="K304" t="s">
        <v>37</v>
      </c>
      <c r="M304">
        <v>36</v>
      </c>
      <c r="N304">
        <v>65</v>
      </c>
      <c r="O304" t="s">
        <v>61</v>
      </c>
      <c r="P304" t="s">
        <v>769</v>
      </c>
      <c r="Q304" t="s">
        <v>128</v>
      </c>
      <c r="R304" t="s">
        <v>91</v>
      </c>
      <c r="S304" t="s">
        <v>92</v>
      </c>
    </row>
    <row r="305" spans="1:19" x14ac:dyDescent="0.25">
      <c r="A305" t="s">
        <v>30</v>
      </c>
      <c r="B305" t="s">
        <v>31</v>
      </c>
      <c r="C305" t="s">
        <v>32</v>
      </c>
      <c r="D305" t="s">
        <v>771</v>
      </c>
      <c r="E305" t="s">
        <v>772</v>
      </c>
      <c r="F305" t="s">
        <v>35</v>
      </c>
      <c r="G305" t="s">
        <v>35</v>
      </c>
      <c r="H305" t="s">
        <v>35</v>
      </c>
      <c r="J305" t="s">
        <v>773</v>
      </c>
      <c r="K305" t="s">
        <v>37</v>
      </c>
      <c r="M305">
        <v>14.04</v>
      </c>
      <c r="N305">
        <v>47</v>
      </c>
      <c r="O305" t="s">
        <v>52</v>
      </c>
      <c r="P305" t="s">
        <v>775</v>
      </c>
      <c r="Q305" t="s">
        <v>132</v>
      </c>
      <c r="R305" t="s">
        <v>436</v>
      </c>
      <c r="S305" t="s">
        <v>437</v>
      </c>
    </row>
    <row r="306" spans="1:19" x14ac:dyDescent="0.25">
      <c r="A306" t="s">
        <v>59</v>
      </c>
      <c r="B306" t="s">
        <v>31</v>
      </c>
      <c r="C306" t="s">
        <v>32</v>
      </c>
      <c r="D306" t="s">
        <v>771</v>
      </c>
      <c r="E306" t="s">
        <v>772</v>
      </c>
      <c r="F306" t="s">
        <v>35</v>
      </c>
      <c r="G306" t="s">
        <v>35</v>
      </c>
      <c r="H306" t="s">
        <v>35</v>
      </c>
      <c r="J306" t="s">
        <v>8120</v>
      </c>
      <c r="K306" t="s">
        <v>37</v>
      </c>
      <c r="M306">
        <v>17.145</v>
      </c>
      <c r="N306">
        <v>6</v>
      </c>
      <c r="O306" t="s">
        <v>46</v>
      </c>
      <c r="P306" t="s">
        <v>8222</v>
      </c>
      <c r="Q306" t="s">
        <v>8168</v>
      </c>
      <c r="R306" t="s">
        <v>436</v>
      </c>
      <c r="S306" t="s">
        <v>437</v>
      </c>
    </row>
    <row r="307" spans="1:19" x14ac:dyDescent="0.25">
      <c r="A307" t="s">
        <v>59</v>
      </c>
      <c r="B307" t="s">
        <v>60</v>
      </c>
      <c r="C307" t="s">
        <v>32</v>
      </c>
      <c r="D307" t="s">
        <v>771</v>
      </c>
      <c r="E307" t="s">
        <v>772</v>
      </c>
      <c r="F307" t="s">
        <v>35</v>
      </c>
      <c r="G307" t="s">
        <v>35</v>
      </c>
      <c r="H307" t="s">
        <v>35</v>
      </c>
      <c r="J307" t="s">
        <v>776</v>
      </c>
      <c r="K307" t="s">
        <v>37</v>
      </c>
      <c r="M307">
        <v>10</v>
      </c>
      <c r="N307">
        <v>84</v>
      </c>
      <c r="O307" t="s">
        <v>61</v>
      </c>
      <c r="P307" t="s">
        <v>777</v>
      </c>
      <c r="Q307" t="s">
        <v>778</v>
      </c>
      <c r="R307" t="s">
        <v>436</v>
      </c>
      <c r="S307" t="s">
        <v>437</v>
      </c>
    </row>
    <row r="308" spans="1:19" x14ac:dyDescent="0.25">
      <c r="A308" t="s">
        <v>30</v>
      </c>
      <c r="B308" t="s">
        <v>31</v>
      </c>
      <c r="C308" t="s">
        <v>32</v>
      </c>
      <c r="D308" t="s">
        <v>771</v>
      </c>
      <c r="E308" t="s">
        <v>779</v>
      </c>
      <c r="F308" t="s">
        <v>35</v>
      </c>
      <c r="G308" t="s">
        <v>35</v>
      </c>
      <c r="H308" t="s">
        <v>35</v>
      </c>
      <c r="J308" t="s">
        <v>780</v>
      </c>
      <c r="K308" t="s">
        <v>37</v>
      </c>
      <c r="M308">
        <v>4.5</v>
      </c>
      <c r="N308">
        <v>47</v>
      </c>
      <c r="O308" t="s">
        <v>52</v>
      </c>
      <c r="P308" t="s">
        <v>782</v>
      </c>
      <c r="Q308" t="s">
        <v>132</v>
      </c>
      <c r="R308" t="s">
        <v>436</v>
      </c>
      <c r="S308" t="s">
        <v>437</v>
      </c>
    </row>
    <row r="309" spans="1:19" x14ac:dyDescent="0.25">
      <c r="A309" t="s">
        <v>59</v>
      </c>
      <c r="B309" t="s">
        <v>60</v>
      </c>
      <c r="C309" t="s">
        <v>32</v>
      </c>
      <c r="D309" t="s">
        <v>771</v>
      </c>
      <c r="E309" t="s">
        <v>783</v>
      </c>
      <c r="F309" t="s">
        <v>35</v>
      </c>
      <c r="G309" t="s">
        <v>35</v>
      </c>
      <c r="H309" t="s">
        <v>35</v>
      </c>
      <c r="J309" t="s">
        <v>784</v>
      </c>
      <c r="K309" t="s">
        <v>37</v>
      </c>
      <c r="M309">
        <v>8</v>
      </c>
      <c r="N309">
        <v>47</v>
      </c>
      <c r="O309" t="s">
        <v>52</v>
      </c>
      <c r="P309" t="s">
        <v>8223</v>
      </c>
      <c r="Q309" t="s">
        <v>132</v>
      </c>
      <c r="R309" t="s">
        <v>91</v>
      </c>
      <c r="S309" t="s">
        <v>92</v>
      </c>
    </row>
    <row r="310" spans="1:19" x14ac:dyDescent="0.25">
      <c r="A310" t="s">
        <v>44</v>
      </c>
      <c r="B310" t="s">
        <v>51</v>
      </c>
      <c r="C310" t="s">
        <v>32</v>
      </c>
      <c r="D310" t="s">
        <v>771</v>
      </c>
      <c r="E310" t="s">
        <v>783</v>
      </c>
      <c r="F310" t="s">
        <v>35</v>
      </c>
      <c r="G310" t="s">
        <v>35</v>
      </c>
      <c r="H310" t="s">
        <v>35</v>
      </c>
      <c r="J310" t="s">
        <v>784</v>
      </c>
      <c r="K310" t="s">
        <v>37</v>
      </c>
      <c r="M310">
        <v>37</v>
      </c>
      <c r="N310">
        <v>48</v>
      </c>
      <c r="O310" t="s">
        <v>52</v>
      </c>
      <c r="P310" t="s">
        <v>787</v>
      </c>
      <c r="Q310" t="s">
        <v>496</v>
      </c>
      <c r="R310" t="s">
        <v>91</v>
      </c>
      <c r="S310" t="s">
        <v>92</v>
      </c>
    </row>
    <row r="311" spans="1:19" x14ac:dyDescent="0.25">
      <c r="A311" t="s">
        <v>44</v>
      </c>
      <c r="B311" t="s">
        <v>51</v>
      </c>
      <c r="C311" t="s">
        <v>32</v>
      </c>
      <c r="D311" t="s">
        <v>771</v>
      </c>
      <c r="E311" t="s">
        <v>783</v>
      </c>
      <c r="F311" t="s">
        <v>35</v>
      </c>
      <c r="G311" t="s">
        <v>35</v>
      </c>
      <c r="H311" t="s">
        <v>35</v>
      </c>
      <c r="J311" t="s">
        <v>784</v>
      </c>
      <c r="K311" t="s">
        <v>37</v>
      </c>
      <c r="M311">
        <v>38.5</v>
      </c>
      <c r="N311">
        <v>48</v>
      </c>
      <c r="O311" t="s">
        <v>52</v>
      </c>
      <c r="P311" t="s">
        <v>788</v>
      </c>
      <c r="Q311" t="s">
        <v>496</v>
      </c>
      <c r="R311" t="s">
        <v>91</v>
      </c>
      <c r="S311" t="s">
        <v>92</v>
      </c>
    </row>
    <row r="312" spans="1:19" x14ac:dyDescent="0.25">
      <c r="A312" t="s">
        <v>59</v>
      </c>
      <c r="B312" t="s">
        <v>60</v>
      </c>
      <c r="C312" t="s">
        <v>32</v>
      </c>
      <c r="D312" t="s">
        <v>771</v>
      </c>
      <c r="E312" t="s">
        <v>783</v>
      </c>
      <c r="F312" t="s">
        <v>35</v>
      </c>
      <c r="G312" t="s">
        <v>35</v>
      </c>
      <c r="H312" t="s">
        <v>35</v>
      </c>
      <c r="J312" t="s">
        <v>784</v>
      </c>
      <c r="K312" t="s">
        <v>37</v>
      </c>
      <c r="M312">
        <v>50</v>
      </c>
      <c r="N312">
        <v>47</v>
      </c>
      <c r="O312" t="s">
        <v>52</v>
      </c>
      <c r="P312" t="s">
        <v>8224</v>
      </c>
      <c r="Q312" t="s">
        <v>132</v>
      </c>
      <c r="R312" t="s">
        <v>91</v>
      </c>
      <c r="S312" t="s">
        <v>92</v>
      </c>
    </row>
    <row r="313" spans="1:19" x14ac:dyDescent="0.25">
      <c r="A313" t="s">
        <v>59</v>
      </c>
      <c r="B313" t="s">
        <v>31</v>
      </c>
      <c r="C313" t="s">
        <v>32</v>
      </c>
      <c r="D313" t="s">
        <v>771</v>
      </c>
      <c r="E313" t="s">
        <v>783</v>
      </c>
      <c r="F313" t="s">
        <v>35</v>
      </c>
      <c r="G313" t="s">
        <v>35</v>
      </c>
      <c r="H313" t="s">
        <v>35</v>
      </c>
      <c r="J313" t="s">
        <v>784</v>
      </c>
      <c r="K313" t="s">
        <v>37</v>
      </c>
      <c r="M313">
        <v>8.2349999999999994</v>
      </c>
      <c r="N313">
        <v>47</v>
      </c>
      <c r="O313" t="s">
        <v>52</v>
      </c>
      <c r="P313" t="s">
        <v>791</v>
      </c>
      <c r="Q313" t="s">
        <v>132</v>
      </c>
      <c r="R313" t="s">
        <v>91</v>
      </c>
      <c r="S313" t="s">
        <v>92</v>
      </c>
    </row>
    <row r="314" spans="1:19" x14ac:dyDescent="0.25">
      <c r="A314" t="s">
        <v>44</v>
      </c>
      <c r="B314" t="s">
        <v>51</v>
      </c>
      <c r="C314" t="s">
        <v>32</v>
      </c>
      <c r="D314" t="s">
        <v>771</v>
      </c>
      <c r="E314" t="s">
        <v>783</v>
      </c>
      <c r="F314" t="s">
        <v>35</v>
      </c>
      <c r="G314" t="s">
        <v>35</v>
      </c>
      <c r="H314" t="s">
        <v>35</v>
      </c>
      <c r="J314" t="s">
        <v>437</v>
      </c>
      <c r="K314" t="s">
        <v>37</v>
      </c>
      <c r="M314">
        <v>29.7</v>
      </c>
      <c r="N314">
        <v>28</v>
      </c>
      <c r="O314" t="s">
        <v>46</v>
      </c>
      <c r="P314" t="s">
        <v>796</v>
      </c>
      <c r="Q314" t="s">
        <v>176</v>
      </c>
      <c r="R314" t="s">
        <v>91</v>
      </c>
      <c r="S314" t="s">
        <v>92</v>
      </c>
    </row>
    <row r="315" spans="1:19" x14ac:dyDescent="0.25">
      <c r="A315" t="s">
        <v>44</v>
      </c>
      <c r="B315" t="s">
        <v>51</v>
      </c>
      <c r="C315" t="s">
        <v>32</v>
      </c>
      <c r="D315" t="s">
        <v>771</v>
      </c>
      <c r="E315" t="s">
        <v>783</v>
      </c>
      <c r="F315" t="s">
        <v>35</v>
      </c>
      <c r="G315" t="s">
        <v>35</v>
      </c>
      <c r="H315" t="s">
        <v>35</v>
      </c>
      <c r="J315" t="s">
        <v>437</v>
      </c>
      <c r="K315" t="s">
        <v>37</v>
      </c>
      <c r="M315">
        <v>51</v>
      </c>
      <c r="N315">
        <v>38</v>
      </c>
      <c r="O315" t="s">
        <v>52</v>
      </c>
      <c r="P315" t="s">
        <v>797</v>
      </c>
      <c r="Q315" t="s">
        <v>748</v>
      </c>
      <c r="R315" t="s">
        <v>91</v>
      </c>
      <c r="S315" t="s">
        <v>92</v>
      </c>
    </row>
    <row r="316" spans="1:19" x14ac:dyDescent="0.25">
      <c r="A316" t="s">
        <v>44</v>
      </c>
      <c r="B316" t="s">
        <v>51</v>
      </c>
      <c r="C316" t="s">
        <v>32</v>
      </c>
      <c r="D316" t="s">
        <v>771</v>
      </c>
      <c r="E316" t="s">
        <v>783</v>
      </c>
      <c r="F316" t="s">
        <v>35</v>
      </c>
      <c r="G316" t="s">
        <v>35</v>
      </c>
      <c r="H316" t="s">
        <v>35</v>
      </c>
      <c r="J316" t="s">
        <v>437</v>
      </c>
      <c r="K316" t="s">
        <v>37</v>
      </c>
      <c r="M316">
        <v>51</v>
      </c>
      <c r="N316">
        <v>38</v>
      </c>
      <c r="O316" t="s">
        <v>52</v>
      </c>
      <c r="P316" t="s">
        <v>799</v>
      </c>
      <c r="Q316" t="s">
        <v>748</v>
      </c>
      <c r="R316" t="s">
        <v>91</v>
      </c>
      <c r="S316" t="s">
        <v>92</v>
      </c>
    </row>
    <row r="317" spans="1:19" x14ac:dyDescent="0.25">
      <c r="A317" t="s">
        <v>44</v>
      </c>
      <c r="B317" t="s">
        <v>51</v>
      </c>
      <c r="C317" t="s">
        <v>32</v>
      </c>
      <c r="D317" t="s">
        <v>771</v>
      </c>
      <c r="E317" t="s">
        <v>783</v>
      </c>
      <c r="F317" t="s">
        <v>35</v>
      </c>
      <c r="G317" t="s">
        <v>35</v>
      </c>
      <c r="H317" t="s">
        <v>35</v>
      </c>
      <c r="J317" t="s">
        <v>437</v>
      </c>
      <c r="K317" t="s">
        <v>37</v>
      </c>
      <c r="M317">
        <v>9</v>
      </c>
      <c r="N317">
        <v>62</v>
      </c>
      <c r="O317" t="s">
        <v>61</v>
      </c>
      <c r="P317" t="s">
        <v>798</v>
      </c>
      <c r="Q317" t="s">
        <v>90</v>
      </c>
      <c r="R317" t="s">
        <v>91</v>
      </c>
      <c r="S317" t="s">
        <v>92</v>
      </c>
    </row>
    <row r="318" spans="1:19" x14ac:dyDescent="0.25">
      <c r="A318" t="s">
        <v>44</v>
      </c>
      <c r="B318" t="s">
        <v>51</v>
      </c>
      <c r="C318" t="s">
        <v>32</v>
      </c>
      <c r="D318" t="s">
        <v>771</v>
      </c>
      <c r="E318" t="s">
        <v>783</v>
      </c>
      <c r="F318" t="s">
        <v>35</v>
      </c>
      <c r="G318" t="s">
        <v>35</v>
      </c>
      <c r="H318" t="s">
        <v>35</v>
      </c>
      <c r="J318" t="s">
        <v>437</v>
      </c>
      <c r="K318" t="s">
        <v>37</v>
      </c>
      <c r="M318">
        <v>55</v>
      </c>
      <c r="N318">
        <v>30</v>
      </c>
      <c r="O318" t="s">
        <v>46</v>
      </c>
      <c r="P318" t="s">
        <v>792</v>
      </c>
      <c r="Q318" t="s">
        <v>793</v>
      </c>
      <c r="R318" t="s">
        <v>91</v>
      </c>
      <c r="S318" t="s">
        <v>92</v>
      </c>
    </row>
    <row r="319" spans="1:19" x14ac:dyDescent="0.25">
      <c r="A319" t="s">
        <v>30</v>
      </c>
      <c r="B319" t="s">
        <v>31</v>
      </c>
      <c r="C319" t="s">
        <v>32</v>
      </c>
      <c r="D319" t="s">
        <v>771</v>
      </c>
      <c r="E319" t="s">
        <v>783</v>
      </c>
      <c r="F319" t="s">
        <v>35</v>
      </c>
      <c r="G319" t="s">
        <v>35</v>
      </c>
      <c r="H319" t="s">
        <v>35</v>
      </c>
      <c r="J319" t="s">
        <v>437</v>
      </c>
      <c r="K319" t="s">
        <v>37</v>
      </c>
      <c r="M319">
        <v>14.85</v>
      </c>
      <c r="N319">
        <v>49</v>
      </c>
      <c r="O319" t="s">
        <v>52</v>
      </c>
      <c r="P319" t="s">
        <v>795</v>
      </c>
      <c r="Q319" t="s">
        <v>219</v>
      </c>
      <c r="R319" t="s">
        <v>91</v>
      </c>
      <c r="S319" t="s">
        <v>92</v>
      </c>
    </row>
    <row r="320" spans="1:19" x14ac:dyDescent="0.25">
      <c r="A320" t="s">
        <v>59</v>
      </c>
      <c r="B320" t="s">
        <v>31</v>
      </c>
      <c r="C320" t="s">
        <v>32</v>
      </c>
      <c r="D320" t="s">
        <v>771</v>
      </c>
      <c r="E320" t="s">
        <v>783</v>
      </c>
      <c r="F320" t="s">
        <v>35</v>
      </c>
      <c r="G320" t="s">
        <v>35</v>
      </c>
      <c r="H320" t="s">
        <v>35</v>
      </c>
      <c r="J320" t="s">
        <v>437</v>
      </c>
      <c r="K320" t="s">
        <v>37</v>
      </c>
      <c r="M320">
        <v>12.824999999999999</v>
      </c>
      <c r="N320">
        <v>47</v>
      </c>
      <c r="O320" t="s">
        <v>52</v>
      </c>
      <c r="P320" t="s">
        <v>794</v>
      </c>
      <c r="Q320" t="s">
        <v>132</v>
      </c>
      <c r="R320" t="s">
        <v>91</v>
      </c>
      <c r="S320" t="s">
        <v>92</v>
      </c>
    </row>
    <row r="321" spans="1:19" x14ac:dyDescent="0.25">
      <c r="A321" t="s">
        <v>59</v>
      </c>
      <c r="B321" t="s">
        <v>31</v>
      </c>
      <c r="C321" t="s">
        <v>32</v>
      </c>
      <c r="D321" t="s">
        <v>771</v>
      </c>
      <c r="E321" t="s">
        <v>783</v>
      </c>
      <c r="F321" t="s">
        <v>35</v>
      </c>
      <c r="G321" t="s">
        <v>35</v>
      </c>
      <c r="H321" t="s">
        <v>35</v>
      </c>
      <c r="J321" t="s">
        <v>800</v>
      </c>
      <c r="K321" t="s">
        <v>37</v>
      </c>
      <c r="M321">
        <v>5.04</v>
      </c>
      <c r="N321">
        <v>44</v>
      </c>
      <c r="O321" t="s">
        <v>52</v>
      </c>
      <c r="P321" t="s">
        <v>803</v>
      </c>
      <c r="Q321" t="s">
        <v>192</v>
      </c>
      <c r="R321" t="s">
        <v>436</v>
      </c>
      <c r="S321" t="s">
        <v>437</v>
      </c>
    </row>
    <row r="322" spans="1:19" x14ac:dyDescent="0.25">
      <c r="A322" t="s">
        <v>44</v>
      </c>
      <c r="B322" t="s">
        <v>51</v>
      </c>
      <c r="C322" t="s">
        <v>32</v>
      </c>
      <c r="D322" t="s">
        <v>771</v>
      </c>
      <c r="E322" t="s">
        <v>783</v>
      </c>
      <c r="F322" t="s">
        <v>35</v>
      </c>
      <c r="G322" t="s">
        <v>35</v>
      </c>
      <c r="H322" t="s">
        <v>35</v>
      </c>
      <c r="J322" t="s">
        <v>800</v>
      </c>
      <c r="K322" t="s">
        <v>37</v>
      </c>
      <c r="M322">
        <v>1.75</v>
      </c>
      <c r="N322">
        <v>75</v>
      </c>
      <c r="O322" t="s">
        <v>61</v>
      </c>
      <c r="P322" t="s">
        <v>804</v>
      </c>
      <c r="Q322" t="s">
        <v>805</v>
      </c>
      <c r="R322" t="s">
        <v>436</v>
      </c>
      <c r="S322" t="s">
        <v>437</v>
      </c>
    </row>
    <row r="323" spans="1:19" x14ac:dyDescent="0.25">
      <c r="A323" t="s">
        <v>30</v>
      </c>
      <c r="B323" t="s">
        <v>31</v>
      </c>
      <c r="C323" t="s">
        <v>32</v>
      </c>
      <c r="D323" t="s">
        <v>771</v>
      </c>
      <c r="E323" t="s">
        <v>783</v>
      </c>
      <c r="F323" t="s">
        <v>35</v>
      </c>
      <c r="G323" t="s">
        <v>35</v>
      </c>
      <c r="H323" t="s">
        <v>35</v>
      </c>
      <c r="J323" t="s">
        <v>800</v>
      </c>
      <c r="K323" t="s">
        <v>37</v>
      </c>
      <c r="M323">
        <v>1.89</v>
      </c>
      <c r="N323">
        <v>47</v>
      </c>
      <c r="O323" t="s">
        <v>52</v>
      </c>
      <c r="P323" t="s">
        <v>802</v>
      </c>
      <c r="Q323" t="s">
        <v>132</v>
      </c>
      <c r="R323" t="s">
        <v>436</v>
      </c>
      <c r="S323" t="s">
        <v>437</v>
      </c>
    </row>
    <row r="324" spans="1:19" x14ac:dyDescent="0.25">
      <c r="A324" t="s">
        <v>30</v>
      </c>
      <c r="B324" t="s">
        <v>31</v>
      </c>
      <c r="C324" t="s">
        <v>32</v>
      </c>
      <c r="D324" t="s">
        <v>771</v>
      </c>
      <c r="E324" t="s">
        <v>783</v>
      </c>
      <c r="F324" t="s">
        <v>35</v>
      </c>
      <c r="G324" t="s">
        <v>35</v>
      </c>
      <c r="H324" t="s">
        <v>35</v>
      </c>
      <c r="J324" t="s">
        <v>806</v>
      </c>
      <c r="K324" t="s">
        <v>37</v>
      </c>
      <c r="M324">
        <v>54</v>
      </c>
      <c r="N324">
        <v>49</v>
      </c>
      <c r="O324" t="s">
        <v>52</v>
      </c>
      <c r="P324" t="s">
        <v>813</v>
      </c>
      <c r="Q324" t="s">
        <v>219</v>
      </c>
      <c r="R324" t="s">
        <v>91</v>
      </c>
      <c r="S324" t="s">
        <v>92</v>
      </c>
    </row>
    <row r="325" spans="1:19" x14ac:dyDescent="0.25">
      <c r="A325" t="s">
        <v>44</v>
      </c>
      <c r="B325" t="s">
        <v>51</v>
      </c>
      <c r="C325" t="s">
        <v>32</v>
      </c>
      <c r="D325" t="s">
        <v>771</v>
      </c>
      <c r="E325" t="s">
        <v>783</v>
      </c>
      <c r="F325" t="s">
        <v>35</v>
      </c>
      <c r="G325" t="s">
        <v>35</v>
      </c>
      <c r="H325" t="s">
        <v>35</v>
      </c>
      <c r="J325" t="s">
        <v>806</v>
      </c>
      <c r="K325" t="s">
        <v>37</v>
      </c>
      <c r="M325">
        <v>1.35</v>
      </c>
      <c r="N325">
        <v>59</v>
      </c>
      <c r="O325" t="s">
        <v>52</v>
      </c>
      <c r="P325" t="s">
        <v>810</v>
      </c>
      <c r="Q325" t="s">
        <v>84</v>
      </c>
      <c r="R325" t="s">
        <v>91</v>
      </c>
      <c r="S325" t="s">
        <v>92</v>
      </c>
    </row>
    <row r="326" spans="1:19" x14ac:dyDescent="0.25">
      <c r="A326" t="s">
        <v>30</v>
      </c>
      <c r="B326" t="s">
        <v>31</v>
      </c>
      <c r="C326" t="s">
        <v>32</v>
      </c>
      <c r="D326" t="s">
        <v>771</v>
      </c>
      <c r="E326" t="s">
        <v>783</v>
      </c>
      <c r="F326" t="s">
        <v>35</v>
      </c>
      <c r="G326" t="s">
        <v>35</v>
      </c>
      <c r="H326" t="s">
        <v>35</v>
      </c>
      <c r="J326" t="s">
        <v>806</v>
      </c>
      <c r="K326" t="s">
        <v>37</v>
      </c>
      <c r="M326">
        <v>16.245000000000001</v>
      </c>
      <c r="N326">
        <v>49</v>
      </c>
      <c r="O326" t="s">
        <v>52</v>
      </c>
      <c r="P326" t="s">
        <v>8115</v>
      </c>
      <c r="Q326" t="s">
        <v>219</v>
      </c>
      <c r="R326" t="s">
        <v>91</v>
      </c>
      <c r="S326" t="s">
        <v>92</v>
      </c>
    </row>
    <row r="327" spans="1:19" x14ac:dyDescent="0.25">
      <c r="A327" t="s">
        <v>44</v>
      </c>
      <c r="B327" t="s">
        <v>51</v>
      </c>
      <c r="C327" t="s">
        <v>32</v>
      </c>
      <c r="D327" t="s">
        <v>771</v>
      </c>
      <c r="E327" t="s">
        <v>783</v>
      </c>
      <c r="F327" t="s">
        <v>35</v>
      </c>
      <c r="G327" t="s">
        <v>35</v>
      </c>
      <c r="H327" t="s">
        <v>35</v>
      </c>
      <c r="J327" t="s">
        <v>806</v>
      </c>
      <c r="K327" t="s">
        <v>37</v>
      </c>
      <c r="M327">
        <v>16</v>
      </c>
      <c r="N327">
        <v>39</v>
      </c>
      <c r="O327" t="s">
        <v>52</v>
      </c>
      <c r="P327" t="s">
        <v>815</v>
      </c>
      <c r="Q327" t="s">
        <v>816</v>
      </c>
      <c r="R327" t="s">
        <v>91</v>
      </c>
      <c r="S327" t="s">
        <v>92</v>
      </c>
    </row>
    <row r="328" spans="1:19" x14ac:dyDescent="0.25">
      <c r="A328" t="s">
        <v>59</v>
      </c>
      <c r="B328" t="s">
        <v>31</v>
      </c>
      <c r="C328" t="s">
        <v>32</v>
      </c>
      <c r="D328" t="s">
        <v>771</v>
      </c>
      <c r="E328" t="s">
        <v>783</v>
      </c>
      <c r="F328" t="s">
        <v>35</v>
      </c>
      <c r="G328" t="s">
        <v>35</v>
      </c>
      <c r="H328" t="s">
        <v>35</v>
      </c>
      <c r="J328" t="s">
        <v>806</v>
      </c>
      <c r="K328" t="s">
        <v>37</v>
      </c>
      <c r="M328">
        <v>4.9950000000000001</v>
      </c>
      <c r="N328">
        <v>47</v>
      </c>
      <c r="O328" t="s">
        <v>52</v>
      </c>
      <c r="P328" t="s">
        <v>8114</v>
      </c>
      <c r="Q328" t="s">
        <v>132</v>
      </c>
      <c r="R328" t="s">
        <v>91</v>
      </c>
      <c r="S328" t="s">
        <v>92</v>
      </c>
    </row>
    <row r="329" spans="1:19" x14ac:dyDescent="0.25">
      <c r="A329" t="s">
        <v>44</v>
      </c>
      <c r="B329" t="s">
        <v>51</v>
      </c>
      <c r="C329" t="s">
        <v>32</v>
      </c>
      <c r="D329" t="s">
        <v>771</v>
      </c>
      <c r="E329" t="s">
        <v>783</v>
      </c>
      <c r="F329" t="s">
        <v>35</v>
      </c>
      <c r="G329" t="s">
        <v>35</v>
      </c>
      <c r="H329" t="s">
        <v>35</v>
      </c>
      <c r="J329" t="s">
        <v>806</v>
      </c>
      <c r="K329" t="s">
        <v>37</v>
      </c>
      <c r="M329">
        <v>16</v>
      </c>
      <c r="N329">
        <v>35</v>
      </c>
      <c r="O329" t="s">
        <v>52</v>
      </c>
      <c r="P329" t="s">
        <v>811</v>
      </c>
      <c r="Q329" t="s">
        <v>48</v>
      </c>
      <c r="R329" t="s">
        <v>91</v>
      </c>
      <c r="S329" t="s">
        <v>92</v>
      </c>
    </row>
    <row r="330" spans="1:19" x14ac:dyDescent="0.25">
      <c r="A330" t="s">
        <v>59</v>
      </c>
      <c r="B330" t="s">
        <v>60</v>
      </c>
      <c r="C330" t="s">
        <v>32</v>
      </c>
      <c r="D330" t="s">
        <v>771</v>
      </c>
      <c r="E330" t="s">
        <v>783</v>
      </c>
      <c r="F330" t="s">
        <v>35</v>
      </c>
      <c r="G330" t="s">
        <v>35</v>
      </c>
      <c r="H330" t="s">
        <v>35</v>
      </c>
      <c r="J330" t="s">
        <v>806</v>
      </c>
      <c r="K330" t="s">
        <v>37</v>
      </c>
      <c r="M330">
        <v>26</v>
      </c>
      <c r="N330">
        <v>16</v>
      </c>
      <c r="O330" t="s">
        <v>46</v>
      </c>
      <c r="P330" t="s">
        <v>812</v>
      </c>
      <c r="Q330" t="s">
        <v>323</v>
      </c>
      <c r="R330" t="s">
        <v>158</v>
      </c>
      <c r="S330" t="s">
        <v>159</v>
      </c>
    </row>
    <row r="331" spans="1:19" x14ac:dyDescent="0.25">
      <c r="A331" t="s">
        <v>44</v>
      </c>
      <c r="B331" t="s">
        <v>51</v>
      </c>
      <c r="C331" t="s">
        <v>32</v>
      </c>
      <c r="D331" t="s">
        <v>771</v>
      </c>
      <c r="E331" t="s">
        <v>783</v>
      </c>
      <c r="F331" t="s">
        <v>35</v>
      </c>
      <c r="G331" t="s">
        <v>35</v>
      </c>
      <c r="H331" t="s">
        <v>35</v>
      </c>
      <c r="J331" t="s">
        <v>806</v>
      </c>
      <c r="K331" t="s">
        <v>37</v>
      </c>
      <c r="M331">
        <v>10</v>
      </c>
      <c r="N331">
        <v>34</v>
      </c>
      <c r="O331" t="s">
        <v>52</v>
      </c>
      <c r="P331" t="s">
        <v>808</v>
      </c>
      <c r="Q331" t="s">
        <v>809</v>
      </c>
      <c r="R331" t="s">
        <v>91</v>
      </c>
      <c r="S331" t="s">
        <v>92</v>
      </c>
    </row>
    <row r="332" spans="1:19" x14ac:dyDescent="0.25">
      <c r="A332" t="s">
        <v>44</v>
      </c>
      <c r="B332" t="s">
        <v>51</v>
      </c>
      <c r="C332" t="s">
        <v>32</v>
      </c>
      <c r="D332" t="s">
        <v>771</v>
      </c>
      <c r="E332" t="s">
        <v>783</v>
      </c>
      <c r="F332" t="s">
        <v>35</v>
      </c>
      <c r="G332" t="s">
        <v>35</v>
      </c>
      <c r="H332" t="s">
        <v>35</v>
      </c>
      <c r="J332" t="s">
        <v>806</v>
      </c>
      <c r="K332" t="s">
        <v>37</v>
      </c>
      <c r="M332">
        <v>10</v>
      </c>
      <c r="N332">
        <v>53</v>
      </c>
      <c r="O332" t="s">
        <v>52</v>
      </c>
      <c r="P332" t="s">
        <v>814</v>
      </c>
      <c r="Q332" t="s">
        <v>332</v>
      </c>
      <c r="R332" t="s">
        <v>91</v>
      </c>
      <c r="S332" t="s">
        <v>92</v>
      </c>
    </row>
    <row r="333" spans="1:19" x14ac:dyDescent="0.25">
      <c r="A333" t="s">
        <v>59</v>
      </c>
      <c r="B333" t="s">
        <v>60</v>
      </c>
      <c r="C333" t="s">
        <v>32</v>
      </c>
      <c r="D333" t="s">
        <v>771</v>
      </c>
      <c r="E333" t="s">
        <v>783</v>
      </c>
      <c r="F333" t="s">
        <v>35</v>
      </c>
      <c r="G333" t="s">
        <v>35</v>
      </c>
      <c r="H333" t="s">
        <v>35</v>
      </c>
      <c r="J333" t="s">
        <v>817</v>
      </c>
      <c r="K333" t="s">
        <v>37</v>
      </c>
      <c r="M333">
        <v>20</v>
      </c>
      <c r="N333">
        <v>47</v>
      </c>
      <c r="O333" t="s">
        <v>52</v>
      </c>
      <c r="P333" t="s">
        <v>819</v>
      </c>
      <c r="Q333" t="s">
        <v>132</v>
      </c>
      <c r="R333" t="s">
        <v>91</v>
      </c>
      <c r="S333" t="s">
        <v>92</v>
      </c>
    </row>
    <row r="334" spans="1:19" x14ac:dyDescent="0.25">
      <c r="A334" t="s">
        <v>59</v>
      </c>
      <c r="B334" t="s">
        <v>60</v>
      </c>
      <c r="C334" t="s">
        <v>32</v>
      </c>
      <c r="D334" t="s">
        <v>771</v>
      </c>
      <c r="E334" t="s">
        <v>783</v>
      </c>
      <c r="F334" t="s">
        <v>35</v>
      </c>
      <c r="G334" t="s">
        <v>35</v>
      </c>
      <c r="H334" t="s">
        <v>35</v>
      </c>
      <c r="J334" t="s">
        <v>820</v>
      </c>
      <c r="K334" t="s">
        <v>37</v>
      </c>
      <c r="M334">
        <v>10.5</v>
      </c>
      <c r="N334">
        <v>44</v>
      </c>
      <c r="O334" t="s">
        <v>52</v>
      </c>
      <c r="P334" t="s">
        <v>822</v>
      </c>
      <c r="Q334" t="s">
        <v>192</v>
      </c>
      <c r="R334" t="s">
        <v>436</v>
      </c>
      <c r="S334" t="s">
        <v>437</v>
      </c>
    </row>
    <row r="335" spans="1:19" x14ac:dyDescent="0.25">
      <c r="A335" t="s">
        <v>59</v>
      </c>
      <c r="B335" t="s">
        <v>60</v>
      </c>
      <c r="C335" t="s">
        <v>32</v>
      </c>
      <c r="D335" t="s">
        <v>771</v>
      </c>
      <c r="E335" t="s">
        <v>783</v>
      </c>
      <c r="F335" t="s">
        <v>35</v>
      </c>
      <c r="G335" t="s">
        <v>35</v>
      </c>
      <c r="H335" t="s">
        <v>35</v>
      </c>
      <c r="J335" t="s">
        <v>823</v>
      </c>
      <c r="K335" t="s">
        <v>37</v>
      </c>
      <c r="M335">
        <v>5.9749999999999996</v>
      </c>
      <c r="N335">
        <v>84</v>
      </c>
      <c r="O335" t="s">
        <v>61</v>
      </c>
      <c r="P335" t="s">
        <v>825</v>
      </c>
      <c r="Q335" t="s">
        <v>778</v>
      </c>
      <c r="R335" t="s">
        <v>436</v>
      </c>
      <c r="S335" t="s">
        <v>437</v>
      </c>
    </row>
    <row r="336" spans="1:19" x14ac:dyDescent="0.25">
      <c r="A336" t="s">
        <v>59</v>
      </c>
      <c r="B336" t="s">
        <v>31</v>
      </c>
      <c r="C336" t="s">
        <v>32</v>
      </c>
      <c r="D336" t="s">
        <v>771</v>
      </c>
      <c r="E336" t="s">
        <v>783</v>
      </c>
      <c r="F336" t="s">
        <v>35</v>
      </c>
      <c r="G336" t="s">
        <v>35</v>
      </c>
      <c r="H336" t="s">
        <v>35</v>
      </c>
      <c r="J336" t="s">
        <v>823</v>
      </c>
      <c r="K336" t="s">
        <v>37</v>
      </c>
      <c r="M336">
        <v>2.97</v>
      </c>
      <c r="N336">
        <v>84</v>
      </c>
      <c r="O336" t="s">
        <v>61</v>
      </c>
      <c r="P336" t="s">
        <v>827</v>
      </c>
      <c r="Q336" t="s">
        <v>778</v>
      </c>
      <c r="R336" t="s">
        <v>436</v>
      </c>
      <c r="S336" t="s">
        <v>437</v>
      </c>
    </row>
    <row r="337" spans="1:19" x14ac:dyDescent="0.25">
      <c r="A337" t="s">
        <v>59</v>
      </c>
      <c r="B337" t="s">
        <v>60</v>
      </c>
      <c r="C337" t="s">
        <v>32</v>
      </c>
      <c r="D337" t="s">
        <v>771</v>
      </c>
      <c r="E337" t="s">
        <v>783</v>
      </c>
      <c r="F337" t="s">
        <v>35</v>
      </c>
      <c r="G337" t="s">
        <v>35</v>
      </c>
      <c r="H337" t="s">
        <v>35</v>
      </c>
      <c r="J337" t="s">
        <v>823</v>
      </c>
      <c r="K337" t="s">
        <v>37</v>
      </c>
      <c r="M337">
        <v>25</v>
      </c>
      <c r="N337">
        <v>25</v>
      </c>
      <c r="O337" t="s">
        <v>46</v>
      </c>
      <c r="P337" t="s">
        <v>830</v>
      </c>
      <c r="Q337" t="s">
        <v>831</v>
      </c>
      <c r="R337" t="s">
        <v>489</v>
      </c>
      <c r="S337" t="s">
        <v>490</v>
      </c>
    </row>
    <row r="338" spans="1:19" x14ac:dyDescent="0.25">
      <c r="A338" t="s">
        <v>59</v>
      </c>
      <c r="B338" t="s">
        <v>31</v>
      </c>
      <c r="C338" t="s">
        <v>32</v>
      </c>
      <c r="D338" t="s">
        <v>771</v>
      </c>
      <c r="E338" t="s">
        <v>783</v>
      </c>
      <c r="F338" t="s">
        <v>35</v>
      </c>
      <c r="G338" t="s">
        <v>35</v>
      </c>
      <c r="H338" t="s">
        <v>35</v>
      </c>
      <c r="J338" t="s">
        <v>823</v>
      </c>
      <c r="K338" t="s">
        <v>37</v>
      </c>
      <c r="M338">
        <v>9.99</v>
      </c>
      <c r="N338">
        <v>84</v>
      </c>
      <c r="O338" t="s">
        <v>61</v>
      </c>
      <c r="P338" t="s">
        <v>828</v>
      </c>
      <c r="Q338" t="s">
        <v>778</v>
      </c>
      <c r="R338" t="s">
        <v>436</v>
      </c>
      <c r="S338" t="s">
        <v>437</v>
      </c>
    </row>
    <row r="339" spans="1:19" x14ac:dyDescent="0.25">
      <c r="A339" t="s">
        <v>59</v>
      </c>
      <c r="B339" t="s">
        <v>60</v>
      </c>
      <c r="C339" t="s">
        <v>32</v>
      </c>
      <c r="D339" t="s">
        <v>771</v>
      </c>
      <c r="E339" t="s">
        <v>783</v>
      </c>
      <c r="F339" t="s">
        <v>35</v>
      </c>
      <c r="G339" t="s">
        <v>35</v>
      </c>
      <c r="H339" t="s">
        <v>35</v>
      </c>
      <c r="J339" t="s">
        <v>823</v>
      </c>
      <c r="K339" t="s">
        <v>37</v>
      </c>
      <c r="M339">
        <v>10</v>
      </c>
      <c r="N339">
        <v>84</v>
      </c>
      <c r="O339" t="s">
        <v>61</v>
      </c>
      <c r="P339" t="s">
        <v>829</v>
      </c>
      <c r="Q339" t="s">
        <v>778</v>
      </c>
      <c r="R339" t="s">
        <v>436</v>
      </c>
      <c r="S339" t="s">
        <v>437</v>
      </c>
    </row>
    <row r="340" spans="1:19" x14ac:dyDescent="0.25">
      <c r="A340" t="s">
        <v>59</v>
      </c>
      <c r="B340" t="s">
        <v>60</v>
      </c>
      <c r="C340" t="s">
        <v>32</v>
      </c>
      <c r="D340" t="s">
        <v>771</v>
      </c>
      <c r="E340" t="s">
        <v>783</v>
      </c>
      <c r="F340" t="s">
        <v>35</v>
      </c>
      <c r="G340" t="s">
        <v>35</v>
      </c>
      <c r="H340" t="s">
        <v>35</v>
      </c>
      <c r="J340" t="s">
        <v>823</v>
      </c>
      <c r="K340" t="s">
        <v>37</v>
      </c>
      <c r="M340">
        <v>21</v>
      </c>
      <c r="N340">
        <v>44</v>
      </c>
      <c r="O340" t="s">
        <v>52</v>
      </c>
      <c r="P340" t="s">
        <v>826</v>
      </c>
      <c r="Q340" t="s">
        <v>192</v>
      </c>
      <c r="R340" t="s">
        <v>436</v>
      </c>
      <c r="S340" t="s">
        <v>437</v>
      </c>
    </row>
    <row r="341" spans="1:19" x14ac:dyDescent="0.25">
      <c r="A341" t="s">
        <v>30</v>
      </c>
      <c r="B341" t="s">
        <v>31</v>
      </c>
      <c r="C341" t="s">
        <v>32</v>
      </c>
      <c r="D341" t="s">
        <v>771</v>
      </c>
      <c r="E341" t="s">
        <v>783</v>
      </c>
      <c r="F341" t="s">
        <v>35</v>
      </c>
      <c r="G341" t="s">
        <v>35</v>
      </c>
      <c r="H341" t="s">
        <v>35</v>
      </c>
      <c r="J341" t="s">
        <v>823</v>
      </c>
      <c r="K341" t="s">
        <v>37</v>
      </c>
      <c r="M341">
        <v>12.96</v>
      </c>
      <c r="N341">
        <v>47</v>
      </c>
      <c r="O341" t="s">
        <v>52</v>
      </c>
      <c r="P341" t="s">
        <v>832</v>
      </c>
      <c r="Q341" t="s">
        <v>132</v>
      </c>
      <c r="R341" t="s">
        <v>436</v>
      </c>
      <c r="S341" t="s">
        <v>437</v>
      </c>
    </row>
    <row r="342" spans="1:19" x14ac:dyDescent="0.25">
      <c r="A342" t="s">
        <v>30</v>
      </c>
      <c r="B342" t="s">
        <v>31</v>
      </c>
      <c r="C342" t="s">
        <v>32</v>
      </c>
      <c r="D342" t="s">
        <v>771</v>
      </c>
      <c r="E342" t="s">
        <v>783</v>
      </c>
      <c r="F342" t="s">
        <v>35</v>
      </c>
      <c r="G342" t="s">
        <v>35</v>
      </c>
      <c r="H342" t="s">
        <v>35</v>
      </c>
      <c r="J342" t="s">
        <v>833</v>
      </c>
      <c r="K342" t="s">
        <v>37</v>
      </c>
      <c r="M342">
        <v>2.52</v>
      </c>
      <c r="N342">
        <v>47</v>
      </c>
      <c r="O342" t="s">
        <v>52</v>
      </c>
      <c r="P342" t="s">
        <v>835</v>
      </c>
      <c r="Q342" t="s">
        <v>132</v>
      </c>
      <c r="R342" t="s">
        <v>436</v>
      </c>
      <c r="S342" t="s">
        <v>437</v>
      </c>
    </row>
    <row r="343" spans="1:19" x14ac:dyDescent="0.25">
      <c r="A343" t="s">
        <v>59</v>
      </c>
      <c r="B343" t="s">
        <v>60</v>
      </c>
      <c r="C343" t="s">
        <v>32</v>
      </c>
      <c r="D343" t="s">
        <v>771</v>
      </c>
      <c r="E343" t="s">
        <v>836</v>
      </c>
      <c r="F343" t="s">
        <v>35</v>
      </c>
      <c r="G343" t="s">
        <v>35</v>
      </c>
      <c r="H343" t="s">
        <v>35</v>
      </c>
      <c r="J343" t="s">
        <v>837</v>
      </c>
      <c r="K343" t="s">
        <v>37</v>
      </c>
      <c r="M343">
        <v>10</v>
      </c>
      <c r="N343">
        <v>44</v>
      </c>
      <c r="O343" t="s">
        <v>52</v>
      </c>
      <c r="P343" t="s">
        <v>839</v>
      </c>
      <c r="Q343" t="s">
        <v>192</v>
      </c>
      <c r="R343" t="s">
        <v>436</v>
      </c>
      <c r="S343" t="s">
        <v>437</v>
      </c>
    </row>
    <row r="344" spans="1:19" x14ac:dyDescent="0.25">
      <c r="A344" t="s">
        <v>44</v>
      </c>
      <c r="B344" t="s">
        <v>51</v>
      </c>
      <c r="C344" t="s">
        <v>32</v>
      </c>
      <c r="D344" t="s">
        <v>771</v>
      </c>
      <c r="E344" t="s">
        <v>840</v>
      </c>
      <c r="F344" t="s">
        <v>35</v>
      </c>
      <c r="G344" t="s">
        <v>35</v>
      </c>
      <c r="H344" t="s">
        <v>35</v>
      </c>
      <c r="J344" t="s">
        <v>841</v>
      </c>
      <c r="K344" t="s">
        <v>37</v>
      </c>
      <c r="M344">
        <v>7</v>
      </c>
      <c r="N344">
        <v>75</v>
      </c>
      <c r="O344" t="s">
        <v>61</v>
      </c>
      <c r="P344" t="s">
        <v>843</v>
      </c>
      <c r="Q344" t="s">
        <v>805</v>
      </c>
      <c r="R344" t="s">
        <v>844</v>
      </c>
      <c r="S344" t="s">
        <v>806</v>
      </c>
    </row>
    <row r="345" spans="1:19" x14ac:dyDescent="0.25">
      <c r="A345" t="s">
        <v>44</v>
      </c>
      <c r="B345" t="s">
        <v>51</v>
      </c>
      <c r="C345" t="s">
        <v>32</v>
      </c>
      <c r="D345" t="s">
        <v>771</v>
      </c>
      <c r="E345" t="s">
        <v>845</v>
      </c>
      <c r="F345" t="s">
        <v>35</v>
      </c>
      <c r="G345" t="s">
        <v>35</v>
      </c>
      <c r="H345" t="s">
        <v>35</v>
      </c>
      <c r="J345" t="s">
        <v>846</v>
      </c>
      <c r="K345" t="s">
        <v>37</v>
      </c>
      <c r="M345">
        <v>7</v>
      </c>
      <c r="N345">
        <v>74</v>
      </c>
      <c r="O345" t="s">
        <v>61</v>
      </c>
      <c r="P345" t="s">
        <v>852</v>
      </c>
      <c r="Q345" t="s">
        <v>488</v>
      </c>
      <c r="R345" t="s">
        <v>849</v>
      </c>
      <c r="S345" t="s">
        <v>850</v>
      </c>
    </row>
    <row r="346" spans="1:19" x14ac:dyDescent="0.25">
      <c r="A346" t="s">
        <v>59</v>
      </c>
      <c r="B346" t="s">
        <v>60</v>
      </c>
      <c r="C346" t="s">
        <v>32</v>
      </c>
      <c r="D346" t="s">
        <v>771</v>
      </c>
      <c r="E346" t="s">
        <v>845</v>
      </c>
      <c r="F346" t="s">
        <v>35</v>
      </c>
      <c r="G346" t="s">
        <v>35</v>
      </c>
      <c r="H346" t="s">
        <v>35</v>
      </c>
      <c r="J346" t="s">
        <v>846</v>
      </c>
      <c r="K346" t="s">
        <v>37</v>
      </c>
      <c r="M346">
        <v>7</v>
      </c>
      <c r="N346">
        <v>89</v>
      </c>
      <c r="O346" t="s">
        <v>61</v>
      </c>
      <c r="P346" t="s">
        <v>848</v>
      </c>
      <c r="Q346" t="s">
        <v>299</v>
      </c>
      <c r="R346" t="s">
        <v>849</v>
      </c>
      <c r="S346" t="s">
        <v>850</v>
      </c>
    </row>
    <row r="347" spans="1:19" x14ac:dyDescent="0.25">
      <c r="A347" t="s">
        <v>44</v>
      </c>
      <c r="B347" t="s">
        <v>51</v>
      </c>
      <c r="C347" t="s">
        <v>32</v>
      </c>
      <c r="D347" t="s">
        <v>771</v>
      </c>
      <c r="E347" t="s">
        <v>845</v>
      </c>
      <c r="F347" t="s">
        <v>35</v>
      </c>
      <c r="G347" t="s">
        <v>35</v>
      </c>
      <c r="H347" t="s">
        <v>35</v>
      </c>
      <c r="J347" t="s">
        <v>853</v>
      </c>
      <c r="K347" t="s">
        <v>37</v>
      </c>
      <c r="M347">
        <v>10</v>
      </c>
      <c r="N347">
        <v>75</v>
      </c>
      <c r="O347" t="s">
        <v>61</v>
      </c>
      <c r="P347" t="s">
        <v>855</v>
      </c>
      <c r="Q347" t="s">
        <v>805</v>
      </c>
      <c r="R347" t="s">
        <v>844</v>
      </c>
      <c r="S347" t="s">
        <v>806</v>
      </c>
    </row>
    <row r="348" spans="1:19" x14ac:dyDescent="0.25">
      <c r="A348" t="s">
        <v>30</v>
      </c>
      <c r="B348" t="s">
        <v>31</v>
      </c>
      <c r="C348" t="s">
        <v>32</v>
      </c>
      <c r="D348" t="s">
        <v>771</v>
      </c>
      <c r="E348" t="s">
        <v>845</v>
      </c>
      <c r="F348" t="s">
        <v>35</v>
      </c>
      <c r="G348" t="s">
        <v>35</v>
      </c>
      <c r="H348" t="s">
        <v>35</v>
      </c>
      <c r="J348" t="s">
        <v>853</v>
      </c>
      <c r="K348" t="s">
        <v>37</v>
      </c>
      <c r="M348">
        <v>14.13</v>
      </c>
      <c r="N348">
        <v>44</v>
      </c>
      <c r="O348" t="s">
        <v>52</v>
      </c>
      <c r="P348" t="s">
        <v>860</v>
      </c>
      <c r="Q348" t="s">
        <v>192</v>
      </c>
      <c r="R348" t="s">
        <v>844</v>
      </c>
      <c r="S348" t="s">
        <v>806</v>
      </c>
    </row>
    <row r="349" spans="1:19" x14ac:dyDescent="0.25">
      <c r="A349" t="s">
        <v>59</v>
      </c>
      <c r="B349" t="s">
        <v>60</v>
      </c>
      <c r="C349" t="s">
        <v>32</v>
      </c>
      <c r="D349" t="s">
        <v>771</v>
      </c>
      <c r="E349" t="s">
        <v>845</v>
      </c>
      <c r="F349" t="s">
        <v>35</v>
      </c>
      <c r="G349" t="s">
        <v>35</v>
      </c>
      <c r="H349" t="s">
        <v>35</v>
      </c>
      <c r="J349" t="s">
        <v>853</v>
      </c>
      <c r="K349" t="s">
        <v>37</v>
      </c>
      <c r="M349">
        <v>13</v>
      </c>
      <c r="N349">
        <v>44</v>
      </c>
      <c r="O349" t="s">
        <v>52</v>
      </c>
      <c r="P349" t="s">
        <v>859</v>
      </c>
      <c r="Q349" t="s">
        <v>192</v>
      </c>
      <c r="R349" t="s">
        <v>844</v>
      </c>
      <c r="S349" t="s">
        <v>806</v>
      </c>
    </row>
    <row r="350" spans="1:19" x14ac:dyDescent="0.25">
      <c r="A350" t="s">
        <v>59</v>
      </c>
      <c r="B350" t="s">
        <v>31</v>
      </c>
      <c r="C350" t="s">
        <v>32</v>
      </c>
      <c r="D350" t="s">
        <v>771</v>
      </c>
      <c r="E350" t="s">
        <v>845</v>
      </c>
      <c r="F350" t="s">
        <v>35</v>
      </c>
      <c r="G350" t="s">
        <v>35</v>
      </c>
      <c r="H350" t="s">
        <v>35</v>
      </c>
      <c r="J350" t="s">
        <v>853</v>
      </c>
      <c r="K350" t="s">
        <v>37</v>
      </c>
      <c r="M350">
        <v>1.89</v>
      </c>
      <c r="N350">
        <v>44</v>
      </c>
      <c r="O350" t="s">
        <v>52</v>
      </c>
      <c r="P350" t="s">
        <v>856</v>
      </c>
      <c r="Q350" t="s">
        <v>192</v>
      </c>
      <c r="R350" t="s">
        <v>844</v>
      </c>
      <c r="S350" t="s">
        <v>806</v>
      </c>
    </row>
    <row r="351" spans="1:19" x14ac:dyDescent="0.25">
      <c r="A351" t="s">
        <v>30</v>
      </c>
      <c r="B351" t="s">
        <v>31</v>
      </c>
      <c r="C351" t="s">
        <v>32</v>
      </c>
      <c r="D351" t="s">
        <v>771</v>
      </c>
      <c r="E351" t="s">
        <v>861</v>
      </c>
      <c r="F351" t="s">
        <v>35</v>
      </c>
      <c r="G351" t="s">
        <v>35</v>
      </c>
      <c r="H351" t="s">
        <v>35</v>
      </c>
      <c r="J351" t="s">
        <v>862</v>
      </c>
      <c r="K351" t="s">
        <v>37</v>
      </c>
      <c r="M351">
        <v>10.574999999999999</v>
      </c>
      <c r="N351">
        <v>47</v>
      </c>
      <c r="O351" t="s">
        <v>52</v>
      </c>
      <c r="P351" t="s">
        <v>864</v>
      </c>
      <c r="Q351" t="s">
        <v>132</v>
      </c>
      <c r="R351" t="s">
        <v>76</v>
      </c>
      <c r="S351" t="s">
        <v>77</v>
      </c>
    </row>
    <row r="352" spans="1:19" x14ac:dyDescent="0.25">
      <c r="A352" t="s">
        <v>30</v>
      </c>
      <c r="B352" t="s">
        <v>31</v>
      </c>
      <c r="C352" t="s">
        <v>32</v>
      </c>
      <c r="D352" t="s">
        <v>771</v>
      </c>
      <c r="E352" t="s">
        <v>865</v>
      </c>
      <c r="F352" t="s">
        <v>35</v>
      </c>
      <c r="G352" t="s">
        <v>35</v>
      </c>
      <c r="H352" t="s">
        <v>35</v>
      </c>
      <c r="J352" t="s">
        <v>866</v>
      </c>
      <c r="K352" t="s">
        <v>37</v>
      </c>
      <c r="M352">
        <v>9.99</v>
      </c>
      <c r="N352">
        <v>47</v>
      </c>
      <c r="O352" t="s">
        <v>52</v>
      </c>
      <c r="P352" t="s">
        <v>870</v>
      </c>
      <c r="Q352" t="s">
        <v>132</v>
      </c>
      <c r="R352" t="s">
        <v>436</v>
      </c>
      <c r="S352" t="s">
        <v>437</v>
      </c>
    </row>
    <row r="353" spans="1:19" x14ac:dyDescent="0.25">
      <c r="A353" t="s">
        <v>59</v>
      </c>
      <c r="B353" t="s">
        <v>31</v>
      </c>
      <c r="C353" t="s">
        <v>32</v>
      </c>
      <c r="D353" t="s">
        <v>771</v>
      </c>
      <c r="E353" t="s">
        <v>865</v>
      </c>
      <c r="F353" t="s">
        <v>35</v>
      </c>
      <c r="G353" t="s">
        <v>35</v>
      </c>
      <c r="H353" t="s">
        <v>35</v>
      </c>
      <c r="J353" t="s">
        <v>866</v>
      </c>
      <c r="K353" t="s">
        <v>37</v>
      </c>
      <c r="M353">
        <v>14.04</v>
      </c>
      <c r="N353">
        <v>84</v>
      </c>
      <c r="O353" t="s">
        <v>61</v>
      </c>
      <c r="P353" t="s">
        <v>869</v>
      </c>
      <c r="Q353" t="s">
        <v>778</v>
      </c>
      <c r="R353" t="s">
        <v>436</v>
      </c>
      <c r="S353" t="s">
        <v>437</v>
      </c>
    </row>
    <row r="354" spans="1:19" x14ac:dyDescent="0.25">
      <c r="A354" t="s">
        <v>30</v>
      </c>
      <c r="B354" t="s">
        <v>31</v>
      </c>
      <c r="C354" t="s">
        <v>32</v>
      </c>
      <c r="D354" t="s">
        <v>771</v>
      </c>
      <c r="E354" t="s">
        <v>865</v>
      </c>
      <c r="F354" t="s">
        <v>35</v>
      </c>
      <c r="G354" t="s">
        <v>35</v>
      </c>
      <c r="H354" t="s">
        <v>35</v>
      </c>
      <c r="J354" t="s">
        <v>866</v>
      </c>
      <c r="K354" t="s">
        <v>37</v>
      </c>
      <c r="M354">
        <v>7.02</v>
      </c>
      <c r="N354">
        <v>47</v>
      </c>
      <c r="O354" t="s">
        <v>52</v>
      </c>
      <c r="P354" t="s">
        <v>868</v>
      </c>
      <c r="Q354" t="s">
        <v>132</v>
      </c>
      <c r="R354" t="s">
        <v>436</v>
      </c>
      <c r="S354" t="s">
        <v>437</v>
      </c>
    </row>
    <row r="355" spans="1:19" x14ac:dyDescent="0.25">
      <c r="A355" t="s">
        <v>44</v>
      </c>
      <c r="B355" t="s">
        <v>51</v>
      </c>
      <c r="C355" t="s">
        <v>32</v>
      </c>
      <c r="D355" t="s">
        <v>771</v>
      </c>
      <c r="E355" t="s">
        <v>871</v>
      </c>
      <c r="F355" t="s">
        <v>35</v>
      </c>
      <c r="G355" t="s">
        <v>35</v>
      </c>
      <c r="H355" t="s">
        <v>35</v>
      </c>
      <c r="J355" t="s">
        <v>872</v>
      </c>
      <c r="K355" t="s">
        <v>37</v>
      </c>
      <c r="M355">
        <v>2.5</v>
      </c>
      <c r="N355">
        <v>84</v>
      </c>
      <c r="O355" t="s">
        <v>61</v>
      </c>
      <c r="P355" t="s">
        <v>874</v>
      </c>
      <c r="Q355" t="s">
        <v>778</v>
      </c>
      <c r="R355" t="s">
        <v>91</v>
      </c>
      <c r="S355" t="s">
        <v>92</v>
      </c>
    </row>
    <row r="356" spans="1:19" x14ac:dyDescent="0.25">
      <c r="A356" t="s">
        <v>59</v>
      </c>
      <c r="B356" t="s">
        <v>31</v>
      </c>
      <c r="C356" t="s">
        <v>32</v>
      </c>
      <c r="D356" t="s">
        <v>771</v>
      </c>
      <c r="E356" t="s">
        <v>875</v>
      </c>
      <c r="F356" t="s">
        <v>35</v>
      </c>
      <c r="G356" t="s">
        <v>35</v>
      </c>
      <c r="H356" t="s">
        <v>35</v>
      </c>
      <c r="J356" t="s">
        <v>850</v>
      </c>
      <c r="K356" t="s">
        <v>37</v>
      </c>
      <c r="M356">
        <v>6.6150000000000002</v>
      </c>
      <c r="N356">
        <v>47</v>
      </c>
      <c r="O356" t="s">
        <v>52</v>
      </c>
      <c r="P356" t="s">
        <v>879</v>
      </c>
      <c r="Q356" t="s">
        <v>132</v>
      </c>
      <c r="R356" t="s">
        <v>91</v>
      </c>
      <c r="S356" t="s">
        <v>92</v>
      </c>
    </row>
    <row r="357" spans="1:19" x14ac:dyDescent="0.25">
      <c r="A357" t="s">
        <v>44</v>
      </c>
      <c r="B357" t="s">
        <v>51</v>
      </c>
      <c r="C357" t="s">
        <v>32</v>
      </c>
      <c r="D357" t="s">
        <v>771</v>
      </c>
      <c r="E357" t="s">
        <v>875</v>
      </c>
      <c r="F357" t="s">
        <v>35</v>
      </c>
      <c r="G357" t="s">
        <v>35</v>
      </c>
      <c r="H357" t="s">
        <v>35</v>
      </c>
      <c r="J357" t="s">
        <v>850</v>
      </c>
      <c r="K357" t="s">
        <v>37</v>
      </c>
      <c r="M357">
        <v>46</v>
      </c>
      <c r="N357">
        <v>63</v>
      </c>
      <c r="O357" t="s">
        <v>61</v>
      </c>
      <c r="P357" t="s">
        <v>883</v>
      </c>
      <c r="Q357" t="s">
        <v>423</v>
      </c>
      <c r="R357" t="s">
        <v>91</v>
      </c>
      <c r="S357" t="s">
        <v>92</v>
      </c>
    </row>
    <row r="358" spans="1:19" x14ac:dyDescent="0.25">
      <c r="A358" t="s">
        <v>59</v>
      </c>
      <c r="B358" t="s">
        <v>60</v>
      </c>
      <c r="C358" t="s">
        <v>32</v>
      </c>
      <c r="D358" t="s">
        <v>771</v>
      </c>
      <c r="E358" t="s">
        <v>875</v>
      </c>
      <c r="F358" t="s">
        <v>35</v>
      </c>
      <c r="G358" t="s">
        <v>35</v>
      </c>
      <c r="H358" t="s">
        <v>35</v>
      </c>
      <c r="J358" t="s">
        <v>850</v>
      </c>
      <c r="K358" t="s">
        <v>37</v>
      </c>
      <c r="M358">
        <v>54</v>
      </c>
      <c r="N358">
        <v>47</v>
      </c>
      <c r="O358" t="s">
        <v>52</v>
      </c>
      <c r="P358" t="s">
        <v>878</v>
      </c>
      <c r="Q358" t="s">
        <v>132</v>
      </c>
      <c r="R358" t="s">
        <v>91</v>
      </c>
      <c r="S358" t="s">
        <v>92</v>
      </c>
    </row>
    <row r="359" spans="1:19" x14ac:dyDescent="0.25">
      <c r="A359" t="s">
        <v>44</v>
      </c>
      <c r="B359" t="s">
        <v>51</v>
      </c>
      <c r="C359" t="s">
        <v>32</v>
      </c>
      <c r="D359" t="s">
        <v>771</v>
      </c>
      <c r="E359" t="s">
        <v>875</v>
      </c>
      <c r="F359" t="s">
        <v>35</v>
      </c>
      <c r="G359" t="s">
        <v>35</v>
      </c>
      <c r="H359" t="s">
        <v>35</v>
      </c>
      <c r="J359" t="s">
        <v>850</v>
      </c>
      <c r="K359" t="s">
        <v>37</v>
      </c>
      <c r="M359">
        <v>50</v>
      </c>
      <c r="N359">
        <v>63</v>
      </c>
      <c r="O359" t="s">
        <v>61</v>
      </c>
      <c r="P359" t="s">
        <v>880</v>
      </c>
      <c r="Q359" t="s">
        <v>423</v>
      </c>
      <c r="R359" t="s">
        <v>91</v>
      </c>
      <c r="S359" t="s">
        <v>92</v>
      </c>
    </row>
    <row r="360" spans="1:19" x14ac:dyDescent="0.25">
      <c r="A360" t="s">
        <v>44</v>
      </c>
      <c r="B360" t="s">
        <v>51</v>
      </c>
      <c r="C360" t="s">
        <v>32</v>
      </c>
      <c r="D360" t="s">
        <v>771</v>
      </c>
      <c r="E360" t="s">
        <v>875</v>
      </c>
      <c r="F360" t="s">
        <v>35</v>
      </c>
      <c r="G360" t="s">
        <v>35</v>
      </c>
      <c r="H360" t="s">
        <v>35</v>
      </c>
      <c r="J360" t="s">
        <v>850</v>
      </c>
      <c r="K360" t="s">
        <v>37</v>
      </c>
      <c r="M360">
        <v>10</v>
      </c>
      <c r="N360">
        <v>38</v>
      </c>
      <c r="O360" t="s">
        <v>52</v>
      </c>
      <c r="P360" t="s">
        <v>877</v>
      </c>
      <c r="Q360" t="s">
        <v>748</v>
      </c>
      <c r="R360" t="s">
        <v>91</v>
      </c>
      <c r="S360" t="s">
        <v>92</v>
      </c>
    </row>
    <row r="361" spans="1:19" x14ac:dyDescent="0.25">
      <c r="A361" t="s">
        <v>59</v>
      </c>
      <c r="B361" t="s">
        <v>60</v>
      </c>
      <c r="C361" t="s">
        <v>32</v>
      </c>
      <c r="D361" t="s">
        <v>771</v>
      </c>
      <c r="E361" t="s">
        <v>875</v>
      </c>
      <c r="F361" t="s">
        <v>35</v>
      </c>
      <c r="G361" t="s">
        <v>35</v>
      </c>
      <c r="H361" t="s">
        <v>35</v>
      </c>
      <c r="J361" t="s">
        <v>850</v>
      </c>
      <c r="K361" t="s">
        <v>37</v>
      </c>
      <c r="M361">
        <v>43.25</v>
      </c>
      <c r="N361">
        <v>47</v>
      </c>
      <c r="O361" t="s">
        <v>52</v>
      </c>
      <c r="P361" t="s">
        <v>882</v>
      </c>
      <c r="Q361" t="s">
        <v>132</v>
      </c>
      <c r="R361" t="s">
        <v>91</v>
      </c>
      <c r="S361" t="s">
        <v>92</v>
      </c>
    </row>
    <row r="362" spans="1:19" x14ac:dyDescent="0.25">
      <c r="A362" t="s">
        <v>44</v>
      </c>
      <c r="B362" t="s">
        <v>51</v>
      </c>
      <c r="C362" t="s">
        <v>32</v>
      </c>
      <c r="D362" t="s">
        <v>771</v>
      </c>
      <c r="E362" t="s">
        <v>875</v>
      </c>
      <c r="F362" t="s">
        <v>35</v>
      </c>
      <c r="G362" t="s">
        <v>35</v>
      </c>
      <c r="H362" t="s">
        <v>35</v>
      </c>
      <c r="J362" t="s">
        <v>850</v>
      </c>
      <c r="K362" t="s">
        <v>37</v>
      </c>
      <c r="M362">
        <v>20</v>
      </c>
      <c r="N362">
        <v>63</v>
      </c>
      <c r="O362" t="s">
        <v>61</v>
      </c>
      <c r="P362" t="s">
        <v>876</v>
      </c>
      <c r="Q362" t="s">
        <v>423</v>
      </c>
      <c r="R362" t="s">
        <v>91</v>
      </c>
      <c r="S362" t="s">
        <v>92</v>
      </c>
    </row>
    <row r="363" spans="1:19" x14ac:dyDescent="0.25">
      <c r="A363" t="s">
        <v>30</v>
      </c>
      <c r="B363" t="s">
        <v>31</v>
      </c>
      <c r="C363" t="s">
        <v>32</v>
      </c>
      <c r="D363" t="s">
        <v>771</v>
      </c>
      <c r="E363" t="s">
        <v>875</v>
      </c>
      <c r="F363" t="s">
        <v>35</v>
      </c>
      <c r="G363" t="s">
        <v>35</v>
      </c>
      <c r="H363" t="s">
        <v>35</v>
      </c>
      <c r="J363" t="s">
        <v>884</v>
      </c>
      <c r="K363" t="s">
        <v>37</v>
      </c>
      <c r="M363">
        <v>15.21</v>
      </c>
      <c r="N363">
        <v>47</v>
      </c>
      <c r="O363" t="s">
        <v>52</v>
      </c>
      <c r="P363" t="s">
        <v>887</v>
      </c>
      <c r="Q363" t="s">
        <v>132</v>
      </c>
      <c r="R363" t="s">
        <v>436</v>
      </c>
      <c r="S363" t="s">
        <v>437</v>
      </c>
    </row>
    <row r="364" spans="1:19" x14ac:dyDescent="0.25">
      <c r="A364" t="s">
        <v>30</v>
      </c>
      <c r="B364" t="s">
        <v>31</v>
      </c>
      <c r="C364" t="s">
        <v>32</v>
      </c>
      <c r="D364" t="s">
        <v>771</v>
      </c>
      <c r="E364" t="s">
        <v>875</v>
      </c>
      <c r="F364" t="s">
        <v>35</v>
      </c>
      <c r="G364" t="s">
        <v>35</v>
      </c>
      <c r="H364" t="s">
        <v>35</v>
      </c>
      <c r="J364" t="s">
        <v>884</v>
      </c>
      <c r="K364" t="s">
        <v>37</v>
      </c>
      <c r="M364">
        <v>23.49</v>
      </c>
      <c r="N364">
        <v>44</v>
      </c>
      <c r="O364" t="s">
        <v>52</v>
      </c>
      <c r="P364" t="s">
        <v>886</v>
      </c>
      <c r="Q364" t="s">
        <v>192</v>
      </c>
      <c r="R364" t="s">
        <v>844</v>
      </c>
      <c r="S364" t="s">
        <v>806</v>
      </c>
    </row>
    <row r="365" spans="1:19" x14ac:dyDescent="0.25">
      <c r="A365" t="s">
        <v>59</v>
      </c>
      <c r="B365" t="s">
        <v>60</v>
      </c>
      <c r="C365" t="s">
        <v>32</v>
      </c>
      <c r="D365" t="s">
        <v>771</v>
      </c>
      <c r="E365" t="s">
        <v>898</v>
      </c>
      <c r="F365" t="s">
        <v>35</v>
      </c>
      <c r="G365" t="s">
        <v>35</v>
      </c>
      <c r="H365" t="s">
        <v>35</v>
      </c>
      <c r="J365" t="s">
        <v>899</v>
      </c>
      <c r="K365" t="s">
        <v>37</v>
      </c>
      <c r="M365">
        <v>2</v>
      </c>
      <c r="N365">
        <v>44</v>
      </c>
      <c r="O365" t="s">
        <v>52</v>
      </c>
      <c r="P365" t="s">
        <v>901</v>
      </c>
      <c r="Q365" t="s">
        <v>192</v>
      </c>
      <c r="R365" t="s">
        <v>844</v>
      </c>
      <c r="S365" t="s">
        <v>806</v>
      </c>
    </row>
    <row r="366" spans="1:19" x14ac:dyDescent="0.25">
      <c r="A366" t="s">
        <v>59</v>
      </c>
      <c r="B366" t="s">
        <v>31</v>
      </c>
      <c r="C366" t="s">
        <v>32</v>
      </c>
      <c r="D366" t="s">
        <v>771</v>
      </c>
      <c r="E366" t="s">
        <v>898</v>
      </c>
      <c r="F366" t="s">
        <v>35</v>
      </c>
      <c r="G366" t="s">
        <v>35</v>
      </c>
      <c r="H366" t="s">
        <v>35</v>
      </c>
      <c r="J366" t="s">
        <v>899</v>
      </c>
      <c r="K366" t="s">
        <v>37</v>
      </c>
      <c r="M366">
        <v>2.52</v>
      </c>
      <c r="N366">
        <v>44</v>
      </c>
      <c r="O366" t="s">
        <v>52</v>
      </c>
      <c r="P366" t="s">
        <v>902</v>
      </c>
      <c r="Q366" t="s">
        <v>192</v>
      </c>
      <c r="R366" t="s">
        <v>844</v>
      </c>
      <c r="S366" t="s">
        <v>806</v>
      </c>
    </row>
    <row r="367" spans="1:19" x14ac:dyDescent="0.25">
      <c r="A367" t="s">
        <v>30</v>
      </c>
      <c r="B367" t="s">
        <v>31</v>
      </c>
      <c r="C367" t="s">
        <v>32</v>
      </c>
      <c r="D367" t="s">
        <v>771</v>
      </c>
      <c r="E367" t="s">
        <v>903</v>
      </c>
      <c r="F367" t="s">
        <v>35</v>
      </c>
      <c r="G367" t="s">
        <v>35</v>
      </c>
      <c r="H367" t="s">
        <v>35</v>
      </c>
      <c r="J367" t="s">
        <v>904</v>
      </c>
      <c r="K367" t="s">
        <v>37</v>
      </c>
      <c r="M367">
        <v>17.010000000000002</v>
      </c>
      <c r="N367">
        <v>32</v>
      </c>
      <c r="O367" t="s">
        <v>52</v>
      </c>
      <c r="P367" t="s">
        <v>909</v>
      </c>
      <c r="Q367" t="s">
        <v>547</v>
      </c>
      <c r="R367" t="s">
        <v>436</v>
      </c>
      <c r="S367" t="s">
        <v>437</v>
      </c>
    </row>
    <row r="368" spans="1:19" x14ac:dyDescent="0.25">
      <c r="A368" t="s">
        <v>30</v>
      </c>
      <c r="B368" t="s">
        <v>31</v>
      </c>
      <c r="C368" t="s">
        <v>32</v>
      </c>
      <c r="D368" t="s">
        <v>771</v>
      </c>
      <c r="E368" t="s">
        <v>903</v>
      </c>
      <c r="F368" t="s">
        <v>35</v>
      </c>
      <c r="G368" t="s">
        <v>35</v>
      </c>
      <c r="H368" t="s">
        <v>35</v>
      </c>
      <c r="J368" t="s">
        <v>904</v>
      </c>
      <c r="K368" t="s">
        <v>37</v>
      </c>
      <c r="M368">
        <v>4.68</v>
      </c>
      <c r="N368">
        <v>32</v>
      </c>
      <c r="O368" t="s">
        <v>52</v>
      </c>
      <c r="P368" t="s">
        <v>906</v>
      </c>
      <c r="Q368" t="s">
        <v>547</v>
      </c>
      <c r="R368" t="s">
        <v>436</v>
      </c>
      <c r="S368" t="s">
        <v>437</v>
      </c>
    </row>
    <row r="369" spans="1:19" x14ac:dyDescent="0.25">
      <c r="A369" t="s">
        <v>59</v>
      </c>
      <c r="B369" t="s">
        <v>60</v>
      </c>
      <c r="C369" t="s">
        <v>32</v>
      </c>
      <c r="D369" t="s">
        <v>771</v>
      </c>
      <c r="E369" t="s">
        <v>903</v>
      </c>
      <c r="F369" t="s">
        <v>35</v>
      </c>
      <c r="G369" t="s">
        <v>35</v>
      </c>
      <c r="H369" t="s">
        <v>35</v>
      </c>
      <c r="J369" t="s">
        <v>904</v>
      </c>
      <c r="K369" t="s">
        <v>37</v>
      </c>
      <c r="M369">
        <v>43</v>
      </c>
      <c r="N369">
        <v>41</v>
      </c>
      <c r="O369" t="s">
        <v>52</v>
      </c>
      <c r="P369" t="s">
        <v>908</v>
      </c>
      <c r="Q369" t="s">
        <v>249</v>
      </c>
      <c r="R369" t="s">
        <v>849</v>
      </c>
      <c r="S369" t="s">
        <v>850</v>
      </c>
    </row>
    <row r="370" spans="1:19" x14ac:dyDescent="0.25">
      <c r="A370" t="s">
        <v>59</v>
      </c>
      <c r="B370" t="s">
        <v>31</v>
      </c>
      <c r="C370" t="s">
        <v>32</v>
      </c>
      <c r="D370" t="s">
        <v>771</v>
      </c>
      <c r="E370" t="s">
        <v>903</v>
      </c>
      <c r="F370" t="s">
        <v>35</v>
      </c>
      <c r="G370" t="s">
        <v>35</v>
      </c>
      <c r="H370" t="s">
        <v>35</v>
      </c>
      <c r="J370" t="s">
        <v>904</v>
      </c>
      <c r="K370" t="s">
        <v>37</v>
      </c>
      <c r="M370">
        <v>9.0449999999999999</v>
      </c>
      <c r="N370">
        <v>44</v>
      </c>
      <c r="O370" t="s">
        <v>52</v>
      </c>
      <c r="P370" t="s">
        <v>907</v>
      </c>
      <c r="Q370" t="s">
        <v>192</v>
      </c>
      <c r="R370" t="s">
        <v>436</v>
      </c>
      <c r="S370" t="s">
        <v>437</v>
      </c>
    </row>
    <row r="371" spans="1:19" x14ac:dyDescent="0.25">
      <c r="A371" t="s">
        <v>59</v>
      </c>
      <c r="B371" t="s">
        <v>60</v>
      </c>
      <c r="C371" t="s">
        <v>32</v>
      </c>
      <c r="D371" t="s">
        <v>771</v>
      </c>
      <c r="E371" t="s">
        <v>910</v>
      </c>
      <c r="F371" t="s">
        <v>35</v>
      </c>
      <c r="G371" t="s">
        <v>35</v>
      </c>
      <c r="H371" t="s">
        <v>35</v>
      </c>
      <c r="J371" t="s">
        <v>911</v>
      </c>
      <c r="K371" t="s">
        <v>37</v>
      </c>
      <c r="M371">
        <v>11.5</v>
      </c>
      <c r="N371">
        <v>47</v>
      </c>
      <c r="O371" t="s">
        <v>52</v>
      </c>
      <c r="P371" t="s">
        <v>917</v>
      </c>
      <c r="Q371" t="s">
        <v>132</v>
      </c>
      <c r="R371" t="s">
        <v>91</v>
      </c>
      <c r="S371" t="s">
        <v>92</v>
      </c>
    </row>
    <row r="372" spans="1:19" x14ac:dyDescent="0.25">
      <c r="A372" t="s">
        <v>59</v>
      </c>
      <c r="B372" t="s">
        <v>31</v>
      </c>
      <c r="C372" t="s">
        <v>32</v>
      </c>
      <c r="D372" t="s">
        <v>771</v>
      </c>
      <c r="E372" t="s">
        <v>910</v>
      </c>
      <c r="F372" t="s">
        <v>35</v>
      </c>
      <c r="G372" t="s">
        <v>35</v>
      </c>
      <c r="H372" t="s">
        <v>35</v>
      </c>
      <c r="J372" t="s">
        <v>911</v>
      </c>
      <c r="K372" t="s">
        <v>37</v>
      </c>
      <c r="M372">
        <v>12.33</v>
      </c>
      <c r="N372">
        <v>44</v>
      </c>
      <c r="O372" t="s">
        <v>52</v>
      </c>
      <c r="P372" t="s">
        <v>913</v>
      </c>
      <c r="Q372" t="s">
        <v>192</v>
      </c>
      <c r="R372" t="s">
        <v>436</v>
      </c>
      <c r="S372" t="s">
        <v>437</v>
      </c>
    </row>
    <row r="373" spans="1:19" x14ac:dyDescent="0.25">
      <c r="A373" t="s">
        <v>44</v>
      </c>
      <c r="B373" t="s">
        <v>51</v>
      </c>
      <c r="C373" t="s">
        <v>32</v>
      </c>
      <c r="D373" t="s">
        <v>771</v>
      </c>
      <c r="E373" t="s">
        <v>910</v>
      </c>
      <c r="F373" t="s">
        <v>35</v>
      </c>
      <c r="G373" t="s">
        <v>35</v>
      </c>
      <c r="H373" t="s">
        <v>35</v>
      </c>
      <c r="J373" t="s">
        <v>911</v>
      </c>
      <c r="K373" t="s">
        <v>37</v>
      </c>
      <c r="M373">
        <v>4</v>
      </c>
      <c r="N373">
        <v>84</v>
      </c>
      <c r="O373" t="s">
        <v>61</v>
      </c>
      <c r="P373" t="s">
        <v>916</v>
      </c>
      <c r="Q373" t="s">
        <v>778</v>
      </c>
      <c r="R373" t="s">
        <v>91</v>
      </c>
      <c r="S373" t="s">
        <v>92</v>
      </c>
    </row>
    <row r="374" spans="1:19" x14ac:dyDescent="0.25">
      <c r="A374" t="s">
        <v>59</v>
      </c>
      <c r="B374" t="s">
        <v>31</v>
      </c>
      <c r="C374" t="s">
        <v>32</v>
      </c>
      <c r="D374" t="s">
        <v>771</v>
      </c>
      <c r="E374" t="s">
        <v>910</v>
      </c>
      <c r="F374" t="s">
        <v>35</v>
      </c>
      <c r="G374" t="s">
        <v>35</v>
      </c>
      <c r="H374" t="s">
        <v>35</v>
      </c>
      <c r="J374" t="s">
        <v>911</v>
      </c>
      <c r="K374" t="s">
        <v>37</v>
      </c>
      <c r="M374">
        <v>12.33</v>
      </c>
      <c r="N374">
        <v>44</v>
      </c>
      <c r="O374" t="s">
        <v>52</v>
      </c>
      <c r="P374" t="s">
        <v>920</v>
      </c>
      <c r="Q374" t="s">
        <v>192</v>
      </c>
      <c r="R374" t="s">
        <v>436</v>
      </c>
      <c r="S374" t="s">
        <v>437</v>
      </c>
    </row>
    <row r="375" spans="1:19" x14ac:dyDescent="0.25">
      <c r="A375" t="s">
        <v>59</v>
      </c>
      <c r="B375" t="s">
        <v>31</v>
      </c>
      <c r="C375" t="s">
        <v>32</v>
      </c>
      <c r="D375" t="s">
        <v>771</v>
      </c>
      <c r="E375" t="s">
        <v>910</v>
      </c>
      <c r="F375" t="s">
        <v>35</v>
      </c>
      <c r="G375" t="s">
        <v>35</v>
      </c>
      <c r="H375" t="s">
        <v>35</v>
      </c>
      <c r="J375" t="s">
        <v>911</v>
      </c>
      <c r="K375" t="s">
        <v>37</v>
      </c>
      <c r="M375">
        <v>7.56</v>
      </c>
      <c r="N375">
        <v>44</v>
      </c>
      <c r="O375" t="s">
        <v>52</v>
      </c>
      <c r="P375" t="s">
        <v>914</v>
      </c>
      <c r="Q375" t="s">
        <v>192</v>
      </c>
      <c r="R375" t="s">
        <v>436</v>
      </c>
      <c r="S375" t="s">
        <v>437</v>
      </c>
    </row>
    <row r="376" spans="1:19" x14ac:dyDescent="0.25">
      <c r="A376" t="s">
        <v>44</v>
      </c>
      <c r="B376" t="s">
        <v>51</v>
      </c>
      <c r="C376" t="s">
        <v>32</v>
      </c>
      <c r="D376" t="s">
        <v>771</v>
      </c>
      <c r="E376" t="s">
        <v>910</v>
      </c>
      <c r="F376" t="s">
        <v>35</v>
      </c>
      <c r="G376" t="s">
        <v>35</v>
      </c>
      <c r="H376" t="s">
        <v>35</v>
      </c>
      <c r="J376" t="s">
        <v>911</v>
      </c>
      <c r="K376" t="s">
        <v>37</v>
      </c>
      <c r="M376">
        <v>9.5</v>
      </c>
      <c r="N376">
        <v>44</v>
      </c>
      <c r="O376" t="s">
        <v>52</v>
      </c>
      <c r="P376" t="s">
        <v>918</v>
      </c>
      <c r="Q376" t="s">
        <v>192</v>
      </c>
      <c r="R376" t="s">
        <v>919</v>
      </c>
      <c r="S376" t="s">
        <v>784</v>
      </c>
    </row>
    <row r="377" spans="1:19" x14ac:dyDescent="0.25">
      <c r="A377" t="s">
        <v>30</v>
      </c>
      <c r="B377" t="s">
        <v>31</v>
      </c>
      <c r="C377" t="s">
        <v>32</v>
      </c>
      <c r="D377" t="s">
        <v>771</v>
      </c>
      <c r="E377" t="s">
        <v>910</v>
      </c>
      <c r="F377" t="s">
        <v>35</v>
      </c>
      <c r="G377" t="s">
        <v>35</v>
      </c>
      <c r="H377" t="s">
        <v>35</v>
      </c>
      <c r="J377" t="s">
        <v>911</v>
      </c>
      <c r="K377" t="s">
        <v>37</v>
      </c>
      <c r="M377">
        <v>4.1399999999999997</v>
      </c>
      <c r="N377">
        <v>49</v>
      </c>
      <c r="O377" t="s">
        <v>52</v>
      </c>
      <c r="P377" t="s">
        <v>915</v>
      </c>
      <c r="Q377" t="s">
        <v>219</v>
      </c>
      <c r="R377" t="s">
        <v>91</v>
      </c>
      <c r="S377" t="s">
        <v>92</v>
      </c>
    </row>
    <row r="378" spans="1:19" x14ac:dyDescent="0.25">
      <c r="A378" t="s">
        <v>59</v>
      </c>
      <c r="B378" t="s">
        <v>60</v>
      </c>
      <c r="C378" t="s">
        <v>32</v>
      </c>
      <c r="D378" t="s">
        <v>771</v>
      </c>
      <c r="E378" t="s">
        <v>910</v>
      </c>
      <c r="F378" t="s">
        <v>35</v>
      </c>
      <c r="G378" t="s">
        <v>35</v>
      </c>
      <c r="H378" t="s">
        <v>35</v>
      </c>
      <c r="J378" t="s">
        <v>921</v>
      </c>
      <c r="K378" t="s">
        <v>37</v>
      </c>
      <c r="M378">
        <v>4.25</v>
      </c>
      <c r="N378">
        <v>43</v>
      </c>
      <c r="O378" t="s">
        <v>52</v>
      </c>
      <c r="P378" t="s">
        <v>923</v>
      </c>
      <c r="Q378" t="s">
        <v>892</v>
      </c>
      <c r="R378" t="s">
        <v>893</v>
      </c>
      <c r="S378" t="s">
        <v>894</v>
      </c>
    </row>
    <row r="379" spans="1:19" x14ac:dyDescent="0.25">
      <c r="A379" t="s">
        <v>59</v>
      </c>
      <c r="B379" t="s">
        <v>31</v>
      </c>
      <c r="C379" t="s">
        <v>32</v>
      </c>
      <c r="D379" t="s">
        <v>771</v>
      </c>
      <c r="E379" t="s">
        <v>910</v>
      </c>
      <c r="F379" t="s">
        <v>35</v>
      </c>
      <c r="G379" t="s">
        <v>35</v>
      </c>
      <c r="H379" t="s">
        <v>35</v>
      </c>
      <c r="J379" t="s">
        <v>924</v>
      </c>
      <c r="K379" t="s">
        <v>37</v>
      </c>
      <c r="M379">
        <v>9.99</v>
      </c>
      <c r="N379">
        <v>80</v>
      </c>
      <c r="O379" t="s">
        <v>61</v>
      </c>
      <c r="P379" t="s">
        <v>927</v>
      </c>
      <c r="Q379" t="s">
        <v>477</v>
      </c>
      <c r="R379" t="s">
        <v>926</v>
      </c>
      <c r="S379" t="s">
        <v>911</v>
      </c>
    </row>
    <row r="380" spans="1:19" x14ac:dyDescent="0.25">
      <c r="A380" t="s">
        <v>44</v>
      </c>
      <c r="B380" t="s">
        <v>51</v>
      </c>
      <c r="C380" t="s">
        <v>32</v>
      </c>
      <c r="D380" t="s">
        <v>771</v>
      </c>
      <c r="E380" t="s">
        <v>910</v>
      </c>
      <c r="F380" t="s">
        <v>35</v>
      </c>
      <c r="G380" t="s">
        <v>35</v>
      </c>
      <c r="H380" t="s">
        <v>35</v>
      </c>
      <c r="J380" t="s">
        <v>924</v>
      </c>
      <c r="K380" t="s">
        <v>37</v>
      </c>
      <c r="M380">
        <v>7</v>
      </c>
      <c r="N380">
        <v>84</v>
      </c>
      <c r="O380" t="s">
        <v>61</v>
      </c>
      <c r="P380" t="s">
        <v>925</v>
      </c>
      <c r="Q380" t="s">
        <v>778</v>
      </c>
      <c r="R380" t="s">
        <v>926</v>
      </c>
      <c r="S380" t="s">
        <v>911</v>
      </c>
    </row>
    <row r="381" spans="1:19" x14ac:dyDescent="0.25">
      <c r="A381" t="s">
        <v>59</v>
      </c>
      <c r="B381" t="s">
        <v>31</v>
      </c>
      <c r="C381" t="s">
        <v>32</v>
      </c>
      <c r="D381" t="s">
        <v>771</v>
      </c>
      <c r="E381" t="s">
        <v>910</v>
      </c>
      <c r="F381" t="s">
        <v>35</v>
      </c>
      <c r="G381" t="s">
        <v>35</v>
      </c>
      <c r="H381" t="s">
        <v>35</v>
      </c>
      <c r="J381" t="s">
        <v>924</v>
      </c>
      <c r="K381" t="s">
        <v>37</v>
      </c>
      <c r="M381">
        <v>7.02</v>
      </c>
      <c r="N381">
        <v>44</v>
      </c>
      <c r="O381" t="s">
        <v>52</v>
      </c>
      <c r="P381" t="s">
        <v>928</v>
      </c>
      <c r="Q381" t="s">
        <v>192</v>
      </c>
      <c r="R381" t="s">
        <v>926</v>
      </c>
      <c r="S381" t="s">
        <v>911</v>
      </c>
    </row>
    <row r="382" spans="1:19" x14ac:dyDescent="0.25">
      <c r="A382" t="s">
        <v>30</v>
      </c>
      <c r="B382" t="s">
        <v>31</v>
      </c>
      <c r="C382" t="s">
        <v>32</v>
      </c>
      <c r="D382" t="s">
        <v>771</v>
      </c>
      <c r="E382" t="s">
        <v>929</v>
      </c>
      <c r="F382" t="s">
        <v>35</v>
      </c>
      <c r="G382" t="s">
        <v>35</v>
      </c>
      <c r="H382" t="s">
        <v>35</v>
      </c>
      <c r="J382" t="s">
        <v>930</v>
      </c>
      <c r="K382" t="s">
        <v>37</v>
      </c>
      <c r="M382">
        <v>0.05</v>
      </c>
      <c r="N382">
        <v>238</v>
      </c>
      <c r="O382" t="s">
        <v>5</v>
      </c>
      <c r="P382" t="s">
        <v>932</v>
      </c>
      <c r="Q382" t="s">
        <v>933</v>
      </c>
      <c r="R382" t="s">
        <v>934</v>
      </c>
      <c r="S382" t="s">
        <v>935</v>
      </c>
    </row>
    <row r="383" spans="1:19" x14ac:dyDescent="0.25">
      <c r="A383" t="s">
        <v>59</v>
      </c>
      <c r="B383" t="s">
        <v>31</v>
      </c>
      <c r="C383" t="s">
        <v>32</v>
      </c>
      <c r="D383" t="s">
        <v>771</v>
      </c>
      <c r="F383" t="s">
        <v>35</v>
      </c>
      <c r="G383" t="s">
        <v>35</v>
      </c>
      <c r="H383" t="s">
        <v>35</v>
      </c>
      <c r="J383" t="s">
        <v>937</v>
      </c>
      <c r="K383" t="s">
        <v>37</v>
      </c>
      <c r="M383">
        <v>41.85</v>
      </c>
      <c r="N383">
        <v>93</v>
      </c>
      <c r="O383" t="s">
        <v>106</v>
      </c>
      <c r="P383" t="s">
        <v>940</v>
      </c>
      <c r="Q383" t="s">
        <v>941</v>
      </c>
      <c r="R383" t="s">
        <v>91</v>
      </c>
      <c r="S383" t="s">
        <v>92</v>
      </c>
    </row>
    <row r="384" spans="1:19" x14ac:dyDescent="0.25">
      <c r="A384" t="s">
        <v>30</v>
      </c>
      <c r="B384" t="s">
        <v>31</v>
      </c>
      <c r="C384" t="s">
        <v>32</v>
      </c>
      <c r="D384" t="s">
        <v>771</v>
      </c>
      <c r="F384" t="s">
        <v>35</v>
      </c>
      <c r="G384" t="s">
        <v>35</v>
      </c>
      <c r="H384" t="s">
        <v>35</v>
      </c>
      <c r="J384" t="s">
        <v>937</v>
      </c>
      <c r="K384" t="s">
        <v>37</v>
      </c>
      <c r="M384">
        <v>5.085</v>
      </c>
      <c r="N384">
        <v>49</v>
      </c>
      <c r="O384" t="s">
        <v>52</v>
      </c>
      <c r="P384" t="s">
        <v>939</v>
      </c>
      <c r="Q384" t="s">
        <v>219</v>
      </c>
      <c r="R384" t="s">
        <v>91</v>
      </c>
      <c r="S384" t="s">
        <v>92</v>
      </c>
    </row>
    <row r="385" spans="1:19" x14ac:dyDescent="0.25">
      <c r="A385" t="s">
        <v>59</v>
      </c>
      <c r="B385" t="s">
        <v>31</v>
      </c>
      <c r="C385" t="s">
        <v>32</v>
      </c>
      <c r="D385" t="s">
        <v>771</v>
      </c>
      <c r="F385" t="s">
        <v>35</v>
      </c>
      <c r="G385" t="s">
        <v>35</v>
      </c>
      <c r="H385" t="s">
        <v>35</v>
      </c>
      <c r="J385" t="s">
        <v>937</v>
      </c>
      <c r="K385" t="s">
        <v>37</v>
      </c>
      <c r="M385">
        <v>46.98</v>
      </c>
      <c r="N385">
        <v>47</v>
      </c>
      <c r="O385" t="s">
        <v>52</v>
      </c>
      <c r="P385" t="s">
        <v>942</v>
      </c>
      <c r="Q385" t="s">
        <v>132</v>
      </c>
      <c r="R385" t="s">
        <v>91</v>
      </c>
      <c r="S385" t="s">
        <v>92</v>
      </c>
    </row>
    <row r="386" spans="1:19" x14ac:dyDescent="0.25">
      <c r="A386" t="s">
        <v>44</v>
      </c>
      <c r="B386" t="s">
        <v>51</v>
      </c>
      <c r="C386" t="s">
        <v>32</v>
      </c>
      <c r="D386" t="s">
        <v>771</v>
      </c>
      <c r="F386" t="s">
        <v>35</v>
      </c>
      <c r="G386" t="s">
        <v>35</v>
      </c>
      <c r="H386" t="s">
        <v>35</v>
      </c>
      <c r="J386" t="s">
        <v>943</v>
      </c>
      <c r="K386" t="s">
        <v>37</v>
      </c>
      <c r="M386">
        <v>10</v>
      </c>
      <c r="N386">
        <v>75</v>
      </c>
      <c r="O386" t="s">
        <v>61</v>
      </c>
      <c r="P386" t="s">
        <v>945</v>
      </c>
      <c r="Q386" t="s">
        <v>805</v>
      </c>
      <c r="R386" t="s">
        <v>436</v>
      </c>
      <c r="S386" t="s">
        <v>437</v>
      </c>
    </row>
    <row r="387" spans="1:19" x14ac:dyDescent="0.25">
      <c r="A387" t="s">
        <v>44</v>
      </c>
      <c r="B387" t="s">
        <v>51</v>
      </c>
      <c r="C387" t="s">
        <v>32</v>
      </c>
      <c r="D387" t="s">
        <v>771</v>
      </c>
      <c r="F387" t="s">
        <v>35</v>
      </c>
      <c r="G387" t="s">
        <v>35</v>
      </c>
      <c r="H387" t="s">
        <v>35</v>
      </c>
      <c r="J387" t="s">
        <v>947</v>
      </c>
      <c r="K387" t="s">
        <v>37</v>
      </c>
      <c r="M387">
        <v>15</v>
      </c>
      <c r="N387">
        <v>84</v>
      </c>
      <c r="O387" t="s">
        <v>61</v>
      </c>
      <c r="P387" t="s">
        <v>949</v>
      </c>
      <c r="Q387" t="s">
        <v>778</v>
      </c>
      <c r="R387" t="s">
        <v>91</v>
      </c>
      <c r="S387" t="s">
        <v>92</v>
      </c>
    </row>
    <row r="388" spans="1:19" x14ac:dyDescent="0.25">
      <c r="A388" t="s">
        <v>59</v>
      </c>
      <c r="B388" t="s">
        <v>60</v>
      </c>
      <c r="C388" t="s">
        <v>32</v>
      </c>
      <c r="D388" t="s">
        <v>771</v>
      </c>
      <c r="F388" t="s">
        <v>35</v>
      </c>
      <c r="G388" t="s">
        <v>35</v>
      </c>
      <c r="H388" t="s">
        <v>35</v>
      </c>
      <c r="J388" t="s">
        <v>947</v>
      </c>
      <c r="K388" t="s">
        <v>37</v>
      </c>
      <c r="M388">
        <v>7</v>
      </c>
      <c r="N388">
        <v>47</v>
      </c>
      <c r="O388" t="s">
        <v>52</v>
      </c>
      <c r="P388" t="s">
        <v>950</v>
      </c>
      <c r="Q388" t="s">
        <v>132</v>
      </c>
      <c r="R388" t="s">
        <v>91</v>
      </c>
      <c r="S388" t="s">
        <v>92</v>
      </c>
    </row>
    <row r="389" spans="1:19" x14ac:dyDescent="0.25">
      <c r="A389" t="s">
        <v>30</v>
      </c>
      <c r="B389" t="s">
        <v>31</v>
      </c>
      <c r="C389" t="s">
        <v>32</v>
      </c>
      <c r="D389" t="s">
        <v>771</v>
      </c>
      <c r="F389" t="s">
        <v>35</v>
      </c>
      <c r="G389" t="s">
        <v>35</v>
      </c>
      <c r="H389" t="s">
        <v>35</v>
      </c>
      <c r="J389" t="s">
        <v>951</v>
      </c>
      <c r="K389" t="s">
        <v>37</v>
      </c>
      <c r="M389">
        <v>4.05</v>
      </c>
      <c r="N389">
        <v>47</v>
      </c>
      <c r="O389" t="s">
        <v>52</v>
      </c>
      <c r="P389" t="s">
        <v>952</v>
      </c>
      <c r="Q389" t="s">
        <v>132</v>
      </c>
      <c r="R389" t="s">
        <v>436</v>
      </c>
      <c r="S389" t="s">
        <v>437</v>
      </c>
    </row>
    <row r="390" spans="1:19" x14ac:dyDescent="0.25">
      <c r="A390" t="s">
        <v>44</v>
      </c>
      <c r="B390" t="s">
        <v>51</v>
      </c>
      <c r="C390" t="s">
        <v>32</v>
      </c>
      <c r="D390" t="s">
        <v>953</v>
      </c>
      <c r="E390" t="s">
        <v>954</v>
      </c>
      <c r="F390" t="s">
        <v>35</v>
      </c>
      <c r="G390" t="s">
        <v>35</v>
      </c>
      <c r="H390" t="s">
        <v>35</v>
      </c>
      <c r="J390" t="s">
        <v>955</v>
      </c>
      <c r="K390" t="s">
        <v>37</v>
      </c>
      <c r="M390">
        <v>24.05</v>
      </c>
      <c r="N390">
        <v>62</v>
      </c>
      <c r="O390" t="s">
        <v>61</v>
      </c>
      <c r="P390" t="s">
        <v>960</v>
      </c>
      <c r="Q390" t="s">
        <v>90</v>
      </c>
      <c r="R390" t="s">
        <v>91</v>
      </c>
      <c r="S390" t="s">
        <v>92</v>
      </c>
    </row>
    <row r="391" spans="1:19" x14ac:dyDescent="0.25">
      <c r="A391" t="s">
        <v>30</v>
      </c>
      <c r="B391" t="s">
        <v>31</v>
      </c>
      <c r="C391" t="s">
        <v>32</v>
      </c>
      <c r="D391" t="s">
        <v>953</v>
      </c>
      <c r="E391" t="s">
        <v>954</v>
      </c>
      <c r="F391" t="s">
        <v>35</v>
      </c>
      <c r="G391" t="s">
        <v>35</v>
      </c>
      <c r="H391" t="s">
        <v>35</v>
      </c>
      <c r="J391" t="s">
        <v>955</v>
      </c>
      <c r="K391" t="s">
        <v>37</v>
      </c>
      <c r="M391">
        <v>30.24</v>
      </c>
      <c r="N391">
        <v>26</v>
      </c>
      <c r="O391" t="s">
        <v>46</v>
      </c>
      <c r="P391" t="s">
        <v>957</v>
      </c>
      <c r="Q391" t="s">
        <v>94</v>
      </c>
      <c r="R391" t="s">
        <v>91</v>
      </c>
      <c r="S391" t="s">
        <v>92</v>
      </c>
    </row>
    <row r="392" spans="1:19" x14ac:dyDescent="0.25">
      <c r="A392" t="s">
        <v>44</v>
      </c>
      <c r="B392" t="s">
        <v>3</v>
      </c>
      <c r="C392" t="s">
        <v>32</v>
      </c>
      <c r="D392" t="s">
        <v>953</v>
      </c>
      <c r="E392" t="s">
        <v>954</v>
      </c>
      <c r="F392" t="s">
        <v>35</v>
      </c>
      <c r="G392" t="s">
        <v>35</v>
      </c>
      <c r="H392" t="s">
        <v>35</v>
      </c>
      <c r="J392" t="s">
        <v>955</v>
      </c>
      <c r="K392" t="s">
        <v>37</v>
      </c>
      <c r="M392">
        <v>50</v>
      </c>
      <c r="N392">
        <v>69</v>
      </c>
      <c r="O392" t="s">
        <v>61</v>
      </c>
      <c r="P392" t="s">
        <v>959</v>
      </c>
      <c r="Q392" t="s">
        <v>139</v>
      </c>
      <c r="R392" t="s">
        <v>91</v>
      </c>
      <c r="S392" t="s">
        <v>92</v>
      </c>
    </row>
    <row r="393" spans="1:19" x14ac:dyDescent="0.25">
      <c r="A393" t="s">
        <v>44</v>
      </c>
      <c r="B393" t="s">
        <v>3</v>
      </c>
      <c r="C393" t="s">
        <v>32</v>
      </c>
      <c r="D393" t="s">
        <v>953</v>
      </c>
      <c r="E393" t="s">
        <v>954</v>
      </c>
      <c r="F393" t="s">
        <v>35</v>
      </c>
      <c r="G393" t="s">
        <v>35</v>
      </c>
      <c r="H393" t="s">
        <v>35</v>
      </c>
      <c r="J393" t="s">
        <v>961</v>
      </c>
      <c r="K393" t="s">
        <v>37</v>
      </c>
      <c r="M393">
        <v>10.4</v>
      </c>
      <c r="N393">
        <v>69</v>
      </c>
      <c r="O393" t="s">
        <v>61</v>
      </c>
      <c r="P393" t="s">
        <v>965</v>
      </c>
      <c r="Q393" t="s">
        <v>139</v>
      </c>
      <c r="R393" t="s">
        <v>91</v>
      </c>
      <c r="S393" t="s">
        <v>92</v>
      </c>
    </row>
    <row r="394" spans="1:19" x14ac:dyDescent="0.25">
      <c r="A394" t="s">
        <v>59</v>
      </c>
      <c r="B394" t="s">
        <v>31</v>
      </c>
      <c r="C394" t="s">
        <v>32</v>
      </c>
      <c r="D394" t="s">
        <v>953</v>
      </c>
      <c r="E394" t="s">
        <v>954</v>
      </c>
      <c r="F394" t="s">
        <v>35</v>
      </c>
      <c r="G394" t="s">
        <v>35</v>
      </c>
      <c r="H394" t="s">
        <v>35</v>
      </c>
      <c r="J394" t="s">
        <v>961</v>
      </c>
      <c r="K394" t="s">
        <v>37</v>
      </c>
      <c r="M394">
        <v>0.36</v>
      </c>
      <c r="N394">
        <v>65</v>
      </c>
      <c r="O394" t="s">
        <v>61</v>
      </c>
      <c r="P394" t="s">
        <v>966</v>
      </c>
      <c r="Q394" t="s">
        <v>128</v>
      </c>
      <c r="R394" t="s">
        <v>91</v>
      </c>
      <c r="S394" t="s">
        <v>92</v>
      </c>
    </row>
    <row r="395" spans="1:19" x14ac:dyDescent="0.25">
      <c r="A395" t="s">
        <v>44</v>
      </c>
      <c r="B395" t="s">
        <v>51</v>
      </c>
      <c r="C395" t="s">
        <v>32</v>
      </c>
      <c r="D395" t="s">
        <v>953</v>
      </c>
      <c r="E395" t="s">
        <v>954</v>
      </c>
      <c r="F395" t="s">
        <v>35</v>
      </c>
      <c r="G395" t="s">
        <v>35</v>
      </c>
      <c r="H395" t="s">
        <v>35</v>
      </c>
      <c r="J395" t="s">
        <v>961</v>
      </c>
      <c r="K395" t="s">
        <v>37</v>
      </c>
      <c r="M395">
        <v>35.25</v>
      </c>
      <c r="N395">
        <v>62</v>
      </c>
      <c r="O395" t="s">
        <v>61</v>
      </c>
      <c r="P395" t="s">
        <v>963</v>
      </c>
      <c r="Q395" t="s">
        <v>90</v>
      </c>
      <c r="R395" t="s">
        <v>91</v>
      </c>
      <c r="S395" t="s">
        <v>92</v>
      </c>
    </row>
    <row r="396" spans="1:19" x14ac:dyDescent="0.25">
      <c r="A396" t="s">
        <v>44</v>
      </c>
      <c r="B396" t="s">
        <v>3</v>
      </c>
      <c r="C396" t="s">
        <v>32</v>
      </c>
      <c r="D396" t="s">
        <v>953</v>
      </c>
      <c r="E396" t="s">
        <v>954</v>
      </c>
      <c r="F396" t="s">
        <v>35</v>
      </c>
      <c r="G396" t="s">
        <v>35</v>
      </c>
      <c r="H396" t="s">
        <v>35</v>
      </c>
      <c r="J396" t="s">
        <v>961</v>
      </c>
      <c r="K396" t="s">
        <v>37</v>
      </c>
      <c r="M396">
        <v>10</v>
      </c>
      <c r="N396">
        <v>69</v>
      </c>
      <c r="O396" t="s">
        <v>61</v>
      </c>
      <c r="P396" t="s">
        <v>967</v>
      </c>
      <c r="Q396" t="s">
        <v>139</v>
      </c>
      <c r="R396" t="s">
        <v>91</v>
      </c>
      <c r="S396" t="s">
        <v>92</v>
      </c>
    </row>
    <row r="397" spans="1:19" x14ac:dyDescent="0.25">
      <c r="A397" t="s">
        <v>30</v>
      </c>
      <c r="B397" t="s">
        <v>31</v>
      </c>
      <c r="C397" t="s">
        <v>32</v>
      </c>
      <c r="D397" t="s">
        <v>953</v>
      </c>
      <c r="E397" t="s">
        <v>954</v>
      </c>
      <c r="F397" t="s">
        <v>35</v>
      </c>
      <c r="G397" t="s">
        <v>35</v>
      </c>
      <c r="H397" t="s">
        <v>35</v>
      </c>
      <c r="J397" t="s">
        <v>961</v>
      </c>
      <c r="K397" t="s">
        <v>37</v>
      </c>
      <c r="M397">
        <v>0.58499999999999996</v>
      </c>
      <c r="N397">
        <v>26</v>
      </c>
      <c r="O397" t="s">
        <v>46</v>
      </c>
      <c r="P397" t="s">
        <v>964</v>
      </c>
      <c r="Q397" t="s">
        <v>94</v>
      </c>
      <c r="R397" t="s">
        <v>91</v>
      </c>
      <c r="S397" t="s">
        <v>92</v>
      </c>
    </row>
    <row r="398" spans="1:19" x14ac:dyDescent="0.25">
      <c r="A398" t="s">
        <v>59</v>
      </c>
      <c r="B398" t="s">
        <v>31</v>
      </c>
      <c r="C398" t="s">
        <v>32</v>
      </c>
      <c r="D398" t="s">
        <v>953</v>
      </c>
      <c r="E398" t="s">
        <v>968</v>
      </c>
      <c r="F398" t="s">
        <v>35</v>
      </c>
      <c r="G398" t="s">
        <v>35</v>
      </c>
      <c r="H398" t="s">
        <v>35</v>
      </c>
      <c r="J398" t="s">
        <v>969</v>
      </c>
      <c r="K398" t="s">
        <v>37</v>
      </c>
      <c r="M398">
        <v>1.395</v>
      </c>
      <c r="N398">
        <v>62</v>
      </c>
      <c r="O398" t="s">
        <v>61</v>
      </c>
      <c r="P398" t="s">
        <v>976</v>
      </c>
      <c r="Q398" t="s">
        <v>90</v>
      </c>
      <c r="R398" t="s">
        <v>973</v>
      </c>
      <c r="S398" t="s">
        <v>974</v>
      </c>
    </row>
    <row r="399" spans="1:19" x14ac:dyDescent="0.25">
      <c r="A399" t="s">
        <v>30</v>
      </c>
      <c r="B399" t="s">
        <v>31</v>
      </c>
      <c r="C399" t="s">
        <v>32</v>
      </c>
      <c r="D399" t="s">
        <v>953</v>
      </c>
      <c r="E399" t="s">
        <v>968</v>
      </c>
      <c r="F399" t="s">
        <v>35</v>
      </c>
      <c r="G399" t="s">
        <v>35</v>
      </c>
      <c r="H399" t="s">
        <v>35</v>
      </c>
      <c r="J399" t="s">
        <v>969</v>
      </c>
      <c r="K399" t="s">
        <v>37</v>
      </c>
      <c r="M399">
        <v>15.885</v>
      </c>
      <c r="N399">
        <v>22</v>
      </c>
      <c r="O399" t="s">
        <v>46</v>
      </c>
      <c r="P399" t="s">
        <v>978</v>
      </c>
      <c r="Q399" t="s">
        <v>979</v>
      </c>
      <c r="R399" t="s">
        <v>973</v>
      </c>
      <c r="S399" t="s">
        <v>974</v>
      </c>
    </row>
    <row r="400" spans="1:19" x14ac:dyDescent="0.25">
      <c r="A400" t="s">
        <v>44</v>
      </c>
      <c r="B400" t="s">
        <v>51</v>
      </c>
      <c r="C400" t="s">
        <v>32</v>
      </c>
      <c r="D400" t="s">
        <v>953</v>
      </c>
      <c r="E400" t="s">
        <v>980</v>
      </c>
      <c r="F400" t="s">
        <v>35</v>
      </c>
      <c r="G400" t="s">
        <v>35</v>
      </c>
      <c r="H400" t="s">
        <v>35</v>
      </c>
      <c r="J400" t="s">
        <v>984</v>
      </c>
      <c r="K400" t="s">
        <v>37</v>
      </c>
      <c r="M400">
        <v>0.55000000000000004</v>
      </c>
      <c r="N400">
        <v>31</v>
      </c>
      <c r="O400" t="s">
        <v>52</v>
      </c>
      <c r="P400" t="s">
        <v>986</v>
      </c>
      <c r="Q400" t="s">
        <v>972</v>
      </c>
      <c r="R400" t="s">
        <v>987</v>
      </c>
      <c r="S400" t="s">
        <v>988</v>
      </c>
    </row>
    <row r="401" spans="1:19" x14ac:dyDescent="0.25">
      <c r="A401" t="s">
        <v>44</v>
      </c>
      <c r="B401" t="s">
        <v>51</v>
      </c>
      <c r="C401" t="s">
        <v>32</v>
      </c>
      <c r="D401" t="s">
        <v>953</v>
      </c>
      <c r="E401" t="s">
        <v>980</v>
      </c>
      <c r="F401" t="s">
        <v>35</v>
      </c>
      <c r="G401" t="s">
        <v>35</v>
      </c>
      <c r="H401" t="s">
        <v>35</v>
      </c>
      <c r="J401" t="s">
        <v>984</v>
      </c>
      <c r="K401" t="s">
        <v>37</v>
      </c>
      <c r="M401">
        <v>8.65</v>
      </c>
      <c r="N401">
        <v>42</v>
      </c>
      <c r="O401" t="s">
        <v>52</v>
      </c>
      <c r="P401" t="s">
        <v>990</v>
      </c>
      <c r="Q401" t="s">
        <v>991</v>
      </c>
      <c r="R401" t="s">
        <v>987</v>
      </c>
      <c r="S401" t="s">
        <v>988</v>
      </c>
    </row>
    <row r="402" spans="1:19" x14ac:dyDescent="0.25">
      <c r="A402" t="s">
        <v>44</v>
      </c>
      <c r="B402" t="s">
        <v>51</v>
      </c>
      <c r="C402" t="s">
        <v>32</v>
      </c>
      <c r="D402" t="s">
        <v>953</v>
      </c>
      <c r="E402" t="s">
        <v>980</v>
      </c>
      <c r="F402" t="s">
        <v>35</v>
      </c>
      <c r="G402" t="s">
        <v>35</v>
      </c>
      <c r="H402" t="s">
        <v>35</v>
      </c>
      <c r="J402" t="s">
        <v>984</v>
      </c>
      <c r="K402" t="s">
        <v>37</v>
      </c>
      <c r="M402">
        <v>10.45</v>
      </c>
      <c r="N402">
        <v>28</v>
      </c>
      <c r="O402" t="s">
        <v>46</v>
      </c>
      <c r="P402" t="s">
        <v>986</v>
      </c>
      <c r="Q402" t="s">
        <v>176</v>
      </c>
      <c r="R402" t="s">
        <v>987</v>
      </c>
      <c r="S402" t="s">
        <v>988</v>
      </c>
    </row>
    <row r="403" spans="1:19" x14ac:dyDescent="0.25">
      <c r="A403" t="s">
        <v>44</v>
      </c>
      <c r="B403" t="s">
        <v>51</v>
      </c>
      <c r="C403" t="s">
        <v>32</v>
      </c>
      <c r="D403" t="s">
        <v>953</v>
      </c>
      <c r="E403" t="s">
        <v>980</v>
      </c>
      <c r="F403" t="s">
        <v>35</v>
      </c>
      <c r="G403" t="s">
        <v>35</v>
      </c>
      <c r="H403" t="s">
        <v>35</v>
      </c>
      <c r="J403" t="s">
        <v>992</v>
      </c>
      <c r="K403" t="s">
        <v>37</v>
      </c>
      <c r="M403">
        <v>2</v>
      </c>
      <c r="N403">
        <v>62</v>
      </c>
      <c r="O403" t="s">
        <v>61</v>
      </c>
      <c r="P403" t="s">
        <v>995</v>
      </c>
      <c r="Q403" t="s">
        <v>90</v>
      </c>
      <c r="R403" t="s">
        <v>91</v>
      </c>
      <c r="S403" t="s">
        <v>92</v>
      </c>
    </row>
    <row r="404" spans="1:19" x14ac:dyDescent="0.25">
      <c r="A404" t="s">
        <v>59</v>
      </c>
      <c r="B404" t="s">
        <v>31</v>
      </c>
      <c r="C404" t="s">
        <v>32</v>
      </c>
      <c r="D404" t="s">
        <v>953</v>
      </c>
      <c r="E404" t="s">
        <v>980</v>
      </c>
      <c r="F404" t="s">
        <v>35</v>
      </c>
      <c r="G404" t="s">
        <v>35</v>
      </c>
      <c r="H404" t="s">
        <v>35</v>
      </c>
      <c r="J404" t="s">
        <v>992</v>
      </c>
      <c r="K404" t="s">
        <v>37</v>
      </c>
      <c r="M404">
        <v>3.5000000000000003E-2</v>
      </c>
      <c r="N404">
        <v>65</v>
      </c>
      <c r="O404" t="s">
        <v>61</v>
      </c>
      <c r="P404" t="s">
        <v>997</v>
      </c>
      <c r="Q404" t="s">
        <v>128</v>
      </c>
      <c r="R404" t="s">
        <v>91</v>
      </c>
      <c r="S404" t="s">
        <v>92</v>
      </c>
    </row>
    <row r="405" spans="1:19" x14ac:dyDescent="0.25">
      <c r="A405" t="s">
        <v>59</v>
      </c>
      <c r="B405" t="s">
        <v>60</v>
      </c>
      <c r="C405" t="s">
        <v>32</v>
      </c>
      <c r="D405" t="s">
        <v>953</v>
      </c>
      <c r="E405" t="s">
        <v>998</v>
      </c>
      <c r="F405" t="s">
        <v>35</v>
      </c>
      <c r="G405" t="s">
        <v>35</v>
      </c>
      <c r="H405" t="s">
        <v>35</v>
      </c>
      <c r="J405" t="s">
        <v>999</v>
      </c>
      <c r="K405" t="s">
        <v>37</v>
      </c>
      <c r="M405">
        <v>10</v>
      </c>
      <c r="N405">
        <v>44</v>
      </c>
      <c r="O405" t="s">
        <v>52</v>
      </c>
      <c r="P405" t="s">
        <v>1001</v>
      </c>
      <c r="Q405" t="s">
        <v>192</v>
      </c>
      <c r="R405" t="s">
        <v>436</v>
      </c>
      <c r="S405" t="s">
        <v>437</v>
      </c>
    </row>
    <row r="406" spans="1:19" x14ac:dyDescent="0.25">
      <c r="A406" t="s">
        <v>59</v>
      </c>
      <c r="B406" t="s">
        <v>60</v>
      </c>
      <c r="C406" t="s">
        <v>32</v>
      </c>
      <c r="D406" t="s">
        <v>953</v>
      </c>
      <c r="E406" t="s">
        <v>998</v>
      </c>
      <c r="F406" t="s">
        <v>35</v>
      </c>
      <c r="G406" t="s">
        <v>35</v>
      </c>
      <c r="H406" t="s">
        <v>35</v>
      </c>
      <c r="J406" t="s">
        <v>999</v>
      </c>
      <c r="K406" t="s">
        <v>37</v>
      </c>
      <c r="M406">
        <v>5.9</v>
      </c>
      <c r="N406">
        <v>74</v>
      </c>
      <c r="O406" t="s">
        <v>61</v>
      </c>
      <c r="P406" t="s">
        <v>1002</v>
      </c>
      <c r="Q406" t="s">
        <v>488</v>
      </c>
      <c r="R406" t="s">
        <v>489</v>
      </c>
      <c r="S406" t="s">
        <v>490</v>
      </c>
    </row>
    <row r="407" spans="1:19" x14ac:dyDescent="0.25">
      <c r="A407" t="s">
        <v>44</v>
      </c>
      <c r="B407" t="s">
        <v>51</v>
      </c>
      <c r="C407" t="s">
        <v>32</v>
      </c>
      <c r="D407" t="s">
        <v>953</v>
      </c>
      <c r="E407" t="s">
        <v>998</v>
      </c>
      <c r="F407" t="s">
        <v>35</v>
      </c>
      <c r="G407" t="s">
        <v>35</v>
      </c>
      <c r="H407" t="s">
        <v>35</v>
      </c>
      <c r="J407" t="s">
        <v>159</v>
      </c>
      <c r="K407" t="s">
        <v>37</v>
      </c>
      <c r="M407">
        <v>0.5</v>
      </c>
      <c r="N407">
        <v>62</v>
      </c>
      <c r="O407" t="s">
        <v>61</v>
      </c>
      <c r="P407" t="s">
        <v>1006</v>
      </c>
      <c r="Q407" t="s">
        <v>90</v>
      </c>
      <c r="R407" t="s">
        <v>844</v>
      </c>
      <c r="S407" t="s">
        <v>806</v>
      </c>
    </row>
    <row r="408" spans="1:19" x14ac:dyDescent="0.25">
      <c r="A408" t="s">
        <v>44</v>
      </c>
      <c r="B408" t="s">
        <v>51</v>
      </c>
      <c r="C408" t="s">
        <v>32</v>
      </c>
      <c r="D408" t="s">
        <v>953</v>
      </c>
      <c r="E408" t="s">
        <v>998</v>
      </c>
      <c r="F408" t="s">
        <v>35</v>
      </c>
      <c r="G408" t="s">
        <v>35</v>
      </c>
      <c r="H408" t="s">
        <v>35</v>
      </c>
      <c r="J408" t="s">
        <v>159</v>
      </c>
      <c r="K408" t="s">
        <v>37</v>
      </c>
      <c r="M408">
        <v>7</v>
      </c>
      <c r="N408">
        <v>20</v>
      </c>
      <c r="O408" t="s">
        <v>46</v>
      </c>
      <c r="P408" t="s">
        <v>1003</v>
      </c>
      <c r="Q408" t="s">
        <v>1004</v>
      </c>
      <c r="R408" t="s">
        <v>844</v>
      </c>
      <c r="S408" t="s">
        <v>806</v>
      </c>
    </row>
    <row r="409" spans="1:19" x14ac:dyDescent="0.25">
      <c r="A409" t="s">
        <v>44</v>
      </c>
      <c r="B409" t="s">
        <v>3</v>
      </c>
      <c r="C409" t="s">
        <v>32</v>
      </c>
      <c r="D409" t="s">
        <v>953</v>
      </c>
      <c r="E409" t="s">
        <v>1007</v>
      </c>
      <c r="F409" t="s">
        <v>35</v>
      </c>
      <c r="G409" t="s">
        <v>35</v>
      </c>
      <c r="H409" t="s">
        <v>35</v>
      </c>
      <c r="J409" t="s">
        <v>1008</v>
      </c>
      <c r="K409" t="s">
        <v>37</v>
      </c>
      <c r="M409">
        <v>10</v>
      </c>
      <c r="N409">
        <v>25</v>
      </c>
      <c r="O409" t="s">
        <v>46</v>
      </c>
      <c r="P409" t="s">
        <v>1012</v>
      </c>
      <c r="Q409" t="s">
        <v>831</v>
      </c>
      <c r="R409" t="s">
        <v>987</v>
      </c>
      <c r="S409" t="s">
        <v>988</v>
      </c>
    </row>
    <row r="410" spans="1:19" x14ac:dyDescent="0.25">
      <c r="A410" t="s">
        <v>44</v>
      </c>
      <c r="B410" t="s">
        <v>3</v>
      </c>
      <c r="C410" t="s">
        <v>32</v>
      </c>
      <c r="D410" t="s">
        <v>953</v>
      </c>
      <c r="E410" t="s">
        <v>1007</v>
      </c>
      <c r="F410" t="s">
        <v>35</v>
      </c>
      <c r="G410" t="s">
        <v>35</v>
      </c>
      <c r="H410" t="s">
        <v>35</v>
      </c>
      <c r="J410" t="s">
        <v>1008</v>
      </c>
      <c r="K410" t="s">
        <v>37</v>
      </c>
      <c r="M410">
        <v>10</v>
      </c>
      <c r="N410">
        <v>25</v>
      </c>
      <c r="O410" t="s">
        <v>46</v>
      </c>
      <c r="P410" t="s">
        <v>1014</v>
      </c>
      <c r="Q410" t="s">
        <v>831</v>
      </c>
      <c r="R410" t="s">
        <v>987</v>
      </c>
      <c r="S410" t="s">
        <v>988</v>
      </c>
    </row>
    <row r="411" spans="1:19" x14ac:dyDescent="0.25">
      <c r="A411" t="s">
        <v>44</v>
      </c>
      <c r="B411" t="s">
        <v>3</v>
      </c>
      <c r="C411" t="s">
        <v>32</v>
      </c>
      <c r="D411" t="s">
        <v>953</v>
      </c>
      <c r="E411" t="s">
        <v>1007</v>
      </c>
      <c r="F411" t="s">
        <v>35</v>
      </c>
      <c r="G411" t="s">
        <v>35</v>
      </c>
      <c r="H411" t="s">
        <v>35</v>
      </c>
      <c r="J411" t="s">
        <v>1008</v>
      </c>
      <c r="K411" t="s">
        <v>37</v>
      </c>
      <c r="M411">
        <v>10</v>
      </c>
      <c r="N411">
        <v>27</v>
      </c>
      <c r="O411" t="s">
        <v>46</v>
      </c>
      <c r="P411" t="s">
        <v>1013</v>
      </c>
      <c r="Q411" t="s">
        <v>1011</v>
      </c>
      <c r="R411" t="s">
        <v>987</v>
      </c>
      <c r="S411" t="s">
        <v>988</v>
      </c>
    </row>
    <row r="412" spans="1:19" x14ac:dyDescent="0.25">
      <c r="A412" t="s">
        <v>44</v>
      </c>
      <c r="B412" t="s">
        <v>3</v>
      </c>
      <c r="C412" t="s">
        <v>32</v>
      </c>
      <c r="D412" t="s">
        <v>953</v>
      </c>
      <c r="E412" t="s">
        <v>1007</v>
      </c>
      <c r="F412" t="s">
        <v>35</v>
      </c>
      <c r="G412" t="s">
        <v>35</v>
      </c>
      <c r="H412" t="s">
        <v>35</v>
      </c>
      <c r="J412" t="s">
        <v>1008</v>
      </c>
      <c r="K412" t="s">
        <v>37</v>
      </c>
      <c r="M412">
        <v>3.75</v>
      </c>
      <c r="N412">
        <v>27</v>
      </c>
      <c r="O412" t="s">
        <v>46</v>
      </c>
      <c r="P412" t="s">
        <v>1010</v>
      </c>
      <c r="Q412" t="s">
        <v>1011</v>
      </c>
      <c r="R412" t="s">
        <v>987</v>
      </c>
      <c r="S412" t="s">
        <v>988</v>
      </c>
    </row>
    <row r="413" spans="1:19" x14ac:dyDescent="0.25">
      <c r="A413" t="s">
        <v>44</v>
      </c>
      <c r="B413" t="s">
        <v>51</v>
      </c>
      <c r="C413" t="s">
        <v>32</v>
      </c>
      <c r="D413" t="s">
        <v>953</v>
      </c>
      <c r="E413" t="s">
        <v>1015</v>
      </c>
      <c r="F413" t="s">
        <v>35</v>
      </c>
      <c r="G413" t="s">
        <v>35</v>
      </c>
      <c r="H413" t="s">
        <v>35</v>
      </c>
      <c r="J413" t="s">
        <v>1016</v>
      </c>
      <c r="K413" t="s">
        <v>37</v>
      </c>
      <c r="M413">
        <v>14</v>
      </c>
      <c r="N413">
        <v>62</v>
      </c>
      <c r="O413" t="s">
        <v>61</v>
      </c>
      <c r="P413" t="s">
        <v>1020</v>
      </c>
      <c r="Q413" t="s">
        <v>90</v>
      </c>
      <c r="R413" t="s">
        <v>91</v>
      </c>
      <c r="S413" t="s">
        <v>92</v>
      </c>
    </row>
    <row r="414" spans="1:19" x14ac:dyDescent="0.25">
      <c r="A414" t="s">
        <v>44</v>
      </c>
      <c r="B414" t="s">
        <v>51</v>
      </c>
      <c r="C414" t="s">
        <v>32</v>
      </c>
      <c r="D414" t="s">
        <v>953</v>
      </c>
      <c r="E414" t="s">
        <v>1015</v>
      </c>
      <c r="F414" t="s">
        <v>35</v>
      </c>
      <c r="G414" t="s">
        <v>35</v>
      </c>
      <c r="H414" t="s">
        <v>35</v>
      </c>
      <c r="J414" t="s">
        <v>1016</v>
      </c>
      <c r="K414" t="s">
        <v>37</v>
      </c>
      <c r="M414">
        <v>45</v>
      </c>
      <c r="N414">
        <v>62</v>
      </c>
      <c r="O414" t="s">
        <v>61</v>
      </c>
      <c r="P414" t="s">
        <v>1019</v>
      </c>
      <c r="Q414" t="s">
        <v>90</v>
      </c>
      <c r="R414" t="s">
        <v>91</v>
      </c>
      <c r="S414" t="s">
        <v>92</v>
      </c>
    </row>
    <row r="415" spans="1:19" x14ac:dyDescent="0.25">
      <c r="A415" t="s">
        <v>44</v>
      </c>
      <c r="B415" t="s">
        <v>51</v>
      </c>
      <c r="C415" t="s">
        <v>32</v>
      </c>
      <c r="D415" t="s">
        <v>953</v>
      </c>
      <c r="E415" t="s">
        <v>1015</v>
      </c>
      <c r="F415" t="s">
        <v>35</v>
      </c>
      <c r="G415" t="s">
        <v>35</v>
      </c>
      <c r="H415" t="s">
        <v>35</v>
      </c>
      <c r="J415" t="s">
        <v>1016</v>
      </c>
      <c r="K415" t="s">
        <v>37</v>
      </c>
      <c r="M415">
        <v>2</v>
      </c>
      <c r="N415">
        <v>61</v>
      </c>
      <c r="O415" t="s">
        <v>61</v>
      </c>
      <c r="P415" t="s">
        <v>1018</v>
      </c>
      <c r="Q415" t="s">
        <v>671</v>
      </c>
      <c r="R415" t="s">
        <v>91</v>
      </c>
      <c r="S415" t="s">
        <v>92</v>
      </c>
    </row>
    <row r="416" spans="1:19" x14ac:dyDescent="0.25">
      <c r="A416" t="s">
        <v>44</v>
      </c>
      <c r="B416" t="s">
        <v>3</v>
      </c>
      <c r="C416" t="s">
        <v>32</v>
      </c>
      <c r="D416" t="s">
        <v>953</v>
      </c>
      <c r="E416" t="s">
        <v>1015</v>
      </c>
      <c r="F416" t="s">
        <v>35</v>
      </c>
      <c r="G416" t="s">
        <v>35</v>
      </c>
      <c r="H416" t="s">
        <v>35</v>
      </c>
      <c r="J416" t="s">
        <v>1016</v>
      </c>
      <c r="K416" t="s">
        <v>37</v>
      </c>
      <c r="M416">
        <v>10</v>
      </c>
      <c r="N416">
        <v>69</v>
      </c>
      <c r="O416" t="s">
        <v>61</v>
      </c>
      <c r="P416" t="s">
        <v>1021</v>
      </c>
      <c r="Q416" t="s">
        <v>139</v>
      </c>
      <c r="R416" t="s">
        <v>91</v>
      </c>
      <c r="S416" t="s">
        <v>92</v>
      </c>
    </row>
    <row r="417" spans="1:19" x14ac:dyDescent="0.25">
      <c r="A417" t="s">
        <v>30</v>
      </c>
      <c r="B417" t="s">
        <v>31</v>
      </c>
      <c r="C417" t="s">
        <v>32</v>
      </c>
      <c r="D417" t="s">
        <v>953</v>
      </c>
      <c r="E417" t="s">
        <v>1015</v>
      </c>
      <c r="F417" t="s">
        <v>35</v>
      </c>
      <c r="G417" t="s">
        <v>35</v>
      </c>
      <c r="H417" t="s">
        <v>35</v>
      </c>
      <c r="J417" t="s">
        <v>1022</v>
      </c>
      <c r="K417" t="s">
        <v>37</v>
      </c>
      <c r="M417">
        <v>1.62</v>
      </c>
      <c r="N417">
        <v>26</v>
      </c>
      <c r="O417" t="s">
        <v>46</v>
      </c>
      <c r="P417" t="s">
        <v>1032</v>
      </c>
      <c r="Q417" t="s">
        <v>94</v>
      </c>
      <c r="R417" t="s">
        <v>91</v>
      </c>
      <c r="S417" t="s">
        <v>92</v>
      </c>
    </row>
    <row r="418" spans="1:19" x14ac:dyDescent="0.25">
      <c r="A418" t="s">
        <v>30</v>
      </c>
      <c r="B418" t="s">
        <v>31</v>
      </c>
      <c r="C418" t="s">
        <v>32</v>
      </c>
      <c r="D418" t="s">
        <v>953</v>
      </c>
      <c r="E418" t="s">
        <v>1015</v>
      </c>
      <c r="F418" t="s">
        <v>35</v>
      </c>
      <c r="G418" t="s">
        <v>35</v>
      </c>
      <c r="H418" t="s">
        <v>35</v>
      </c>
      <c r="J418" t="s">
        <v>1022</v>
      </c>
      <c r="K418" t="s">
        <v>37</v>
      </c>
      <c r="M418">
        <v>39.69</v>
      </c>
      <c r="N418">
        <v>26</v>
      </c>
      <c r="O418" t="s">
        <v>46</v>
      </c>
      <c r="P418" t="s">
        <v>1024</v>
      </c>
      <c r="Q418" t="s">
        <v>94</v>
      </c>
      <c r="R418" t="s">
        <v>91</v>
      </c>
      <c r="S418" t="s">
        <v>92</v>
      </c>
    </row>
    <row r="419" spans="1:19" x14ac:dyDescent="0.25">
      <c r="A419" t="s">
        <v>44</v>
      </c>
      <c r="B419" t="s">
        <v>3</v>
      </c>
      <c r="C419" t="s">
        <v>32</v>
      </c>
      <c r="D419" t="s">
        <v>953</v>
      </c>
      <c r="E419" t="s">
        <v>1015</v>
      </c>
      <c r="F419" t="s">
        <v>35</v>
      </c>
      <c r="G419" t="s">
        <v>35</v>
      </c>
      <c r="H419" t="s">
        <v>35</v>
      </c>
      <c r="J419" t="s">
        <v>1022</v>
      </c>
      <c r="K419" t="s">
        <v>37</v>
      </c>
      <c r="M419">
        <v>44.5</v>
      </c>
      <c r="N419">
        <v>69</v>
      </c>
      <c r="O419" t="s">
        <v>61</v>
      </c>
      <c r="P419" t="s">
        <v>1028</v>
      </c>
      <c r="Q419" t="s">
        <v>139</v>
      </c>
      <c r="R419" t="s">
        <v>91</v>
      </c>
      <c r="S419" t="s">
        <v>92</v>
      </c>
    </row>
    <row r="420" spans="1:19" x14ac:dyDescent="0.25">
      <c r="A420" t="s">
        <v>30</v>
      </c>
      <c r="B420" t="s">
        <v>31</v>
      </c>
      <c r="C420" t="s">
        <v>32</v>
      </c>
      <c r="D420" t="s">
        <v>953</v>
      </c>
      <c r="E420" t="s">
        <v>1015</v>
      </c>
      <c r="F420" t="s">
        <v>35</v>
      </c>
      <c r="G420" t="s">
        <v>35</v>
      </c>
      <c r="H420" t="s">
        <v>35</v>
      </c>
      <c r="J420" t="s">
        <v>1022</v>
      </c>
      <c r="K420" t="s">
        <v>37</v>
      </c>
      <c r="M420">
        <v>54</v>
      </c>
      <c r="N420">
        <v>26</v>
      </c>
      <c r="O420" t="s">
        <v>46</v>
      </c>
      <c r="P420" t="s">
        <v>1029</v>
      </c>
      <c r="Q420" t="s">
        <v>94</v>
      </c>
      <c r="R420" t="s">
        <v>91</v>
      </c>
      <c r="S420" t="s">
        <v>92</v>
      </c>
    </row>
    <row r="421" spans="1:19" x14ac:dyDescent="0.25">
      <c r="A421" t="s">
        <v>30</v>
      </c>
      <c r="B421" t="s">
        <v>31</v>
      </c>
      <c r="C421" t="s">
        <v>32</v>
      </c>
      <c r="D421" t="s">
        <v>953</v>
      </c>
      <c r="E421" t="s">
        <v>1015</v>
      </c>
      <c r="F421" t="s">
        <v>35</v>
      </c>
      <c r="G421" t="s">
        <v>35</v>
      </c>
      <c r="H421" t="s">
        <v>35</v>
      </c>
      <c r="J421" t="s">
        <v>1022</v>
      </c>
      <c r="K421" t="s">
        <v>37</v>
      </c>
      <c r="M421">
        <v>54</v>
      </c>
      <c r="N421">
        <v>26</v>
      </c>
      <c r="O421" t="s">
        <v>46</v>
      </c>
      <c r="P421" t="s">
        <v>1031</v>
      </c>
      <c r="Q421" t="s">
        <v>94</v>
      </c>
      <c r="R421" t="s">
        <v>91</v>
      </c>
      <c r="S421" t="s">
        <v>92</v>
      </c>
    </row>
    <row r="422" spans="1:19" x14ac:dyDescent="0.25">
      <c r="A422" t="s">
        <v>30</v>
      </c>
      <c r="B422" t="s">
        <v>31</v>
      </c>
      <c r="C422" t="s">
        <v>32</v>
      </c>
      <c r="D422" t="s">
        <v>953</v>
      </c>
      <c r="E422" t="s">
        <v>1015</v>
      </c>
      <c r="F422" t="s">
        <v>35</v>
      </c>
      <c r="G422" t="s">
        <v>35</v>
      </c>
      <c r="H422" t="s">
        <v>35</v>
      </c>
      <c r="J422" t="s">
        <v>1022</v>
      </c>
      <c r="K422" t="s">
        <v>37</v>
      </c>
      <c r="M422">
        <v>54</v>
      </c>
      <c r="N422">
        <v>26</v>
      </c>
      <c r="O422" t="s">
        <v>46</v>
      </c>
      <c r="P422" t="s">
        <v>1033</v>
      </c>
      <c r="Q422" t="s">
        <v>94</v>
      </c>
      <c r="R422" t="s">
        <v>91</v>
      </c>
      <c r="S422" t="s">
        <v>92</v>
      </c>
    </row>
    <row r="423" spans="1:19" x14ac:dyDescent="0.25">
      <c r="A423" t="s">
        <v>59</v>
      </c>
      <c r="B423" t="s">
        <v>60</v>
      </c>
      <c r="C423" t="s">
        <v>32</v>
      </c>
      <c r="D423" t="s">
        <v>953</v>
      </c>
      <c r="E423" t="s">
        <v>1015</v>
      </c>
      <c r="F423" t="s">
        <v>35</v>
      </c>
      <c r="G423" t="s">
        <v>35</v>
      </c>
      <c r="H423" t="s">
        <v>35</v>
      </c>
      <c r="J423" t="s">
        <v>1022</v>
      </c>
      <c r="K423" t="s">
        <v>37</v>
      </c>
      <c r="M423">
        <v>23.6</v>
      </c>
      <c r="N423">
        <v>64</v>
      </c>
      <c r="O423" t="s">
        <v>61</v>
      </c>
      <c r="P423" t="s">
        <v>1027</v>
      </c>
      <c r="Q423" t="s">
        <v>381</v>
      </c>
      <c r="R423" t="s">
        <v>91</v>
      </c>
      <c r="S423" t="s">
        <v>92</v>
      </c>
    </row>
    <row r="424" spans="1:19" x14ac:dyDescent="0.25">
      <c r="A424" t="s">
        <v>44</v>
      </c>
      <c r="B424" t="s">
        <v>51</v>
      </c>
      <c r="C424" t="s">
        <v>32</v>
      </c>
      <c r="D424" t="s">
        <v>953</v>
      </c>
      <c r="E424" t="s">
        <v>1015</v>
      </c>
      <c r="F424" t="s">
        <v>35</v>
      </c>
      <c r="G424" t="s">
        <v>35</v>
      </c>
      <c r="H424" t="s">
        <v>35</v>
      </c>
      <c r="J424" t="s">
        <v>1022</v>
      </c>
      <c r="K424" t="s">
        <v>37</v>
      </c>
      <c r="M424">
        <v>54</v>
      </c>
      <c r="N424">
        <v>40</v>
      </c>
      <c r="O424" t="s">
        <v>52</v>
      </c>
      <c r="P424" t="s">
        <v>1026</v>
      </c>
      <c r="Q424" t="s">
        <v>130</v>
      </c>
      <c r="R424" t="s">
        <v>91</v>
      </c>
      <c r="S424" t="s">
        <v>92</v>
      </c>
    </row>
    <row r="425" spans="1:19" x14ac:dyDescent="0.25">
      <c r="A425" t="s">
        <v>44</v>
      </c>
      <c r="B425" t="s">
        <v>51</v>
      </c>
      <c r="C425" t="s">
        <v>32</v>
      </c>
      <c r="D425" t="s">
        <v>953</v>
      </c>
      <c r="E425" t="s">
        <v>1015</v>
      </c>
      <c r="F425" t="s">
        <v>35</v>
      </c>
      <c r="G425" t="s">
        <v>35</v>
      </c>
      <c r="H425" t="s">
        <v>35</v>
      </c>
      <c r="J425" t="s">
        <v>1022</v>
      </c>
      <c r="K425" t="s">
        <v>37</v>
      </c>
      <c r="M425">
        <v>44</v>
      </c>
      <c r="N425">
        <v>40</v>
      </c>
      <c r="O425" t="s">
        <v>52</v>
      </c>
      <c r="P425" t="s">
        <v>1025</v>
      </c>
      <c r="Q425" t="s">
        <v>130</v>
      </c>
      <c r="R425" t="s">
        <v>91</v>
      </c>
      <c r="S425" t="s">
        <v>92</v>
      </c>
    </row>
    <row r="426" spans="1:19" x14ac:dyDescent="0.25">
      <c r="A426" t="s">
        <v>59</v>
      </c>
      <c r="B426" t="s">
        <v>60</v>
      </c>
      <c r="C426" t="s">
        <v>32</v>
      </c>
      <c r="D426" t="s">
        <v>953</v>
      </c>
      <c r="E426" t="s">
        <v>1015</v>
      </c>
      <c r="F426" t="s">
        <v>35</v>
      </c>
      <c r="G426" t="s">
        <v>35</v>
      </c>
      <c r="H426" t="s">
        <v>35</v>
      </c>
      <c r="J426" t="s">
        <v>1034</v>
      </c>
      <c r="K426" t="s">
        <v>37</v>
      </c>
      <c r="M426">
        <v>6.75</v>
      </c>
      <c r="N426">
        <v>65</v>
      </c>
      <c r="O426" t="s">
        <v>61</v>
      </c>
      <c r="P426" t="s">
        <v>1039</v>
      </c>
      <c r="Q426" t="s">
        <v>128</v>
      </c>
      <c r="R426" t="s">
        <v>91</v>
      </c>
      <c r="S426" t="s">
        <v>92</v>
      </c>
    </row>
    <row r="427" spans="1:19" x14ac:dyDescent="0.25">
      <c r="A427" t="s">
        <v>59</v>
      </c>
      <c r="B427" t="s">
        <v>31</v>
      </c>
      <c r="C427" t="s">
        <v>32</v>
      </c>
      <c r="D427" t="s">
        <v>953</v>
      </c>
      <c r="E427" t="s">
        <v>1015</v>
      </c>
      <c r="F427" t="s">
        <v>35</v>
      </c>
      <c r="G427" t="s">
        <v>35</v>
      </c>
      <c r="H427" t="s">
        <v>35</v>
      </c>
      <c r="J427" t="s">
        <v>1034</v>
      </c>
      <c r="K427" t="s">
        <v>37</v>
      </c>
      <c r="M427">
        <v>3.6949999999999998</v>
      </c>
      <c r="N427">
        <v>65</v>
      </c>
      <c r="O427" t="s">
        <v>61</v>
      </c>
      <c r="P427" t="s">
        <v>8116</v>
      </c>
      <c r="Q427" t="s">
        <v>128</v>
      </c>
      <c r="R427" t="s">
        <v>91</v>
      </c>
      <c r="S427" t="s">
        <v>92</v>
      </c>
    </row>
    <row r="428" spans="1:19" x14ac:dyDescent="0.25">
      <c r="A428" t="s">
        <v>44</v>
      </c>
      <c r="B428" t="s">
        <v>3</v>
      </c>
      <c r="C428" t="s">
        <v>32</v>
      </c>
      <c r="D428" t="s">
        <v>953</v>
      </c>
      <c r="E428" t="s">
        <v>1015</v>
      </c>
      <c r="F428" t="s">
        <v>35</v>
      </c>
      <c r="G428" t="s">
        <v>35</v>
      </c>
      <c r="H428" t="s">
        <v>35</v>
      </c>
      <c r="J428" t="s">
        <v>1034</v>
      </c>
      <c r="K428" t="s">
        <v>37</v>
      </c>
      <c r="M428">
        <v>25.75</v>
      </c>
      <c r="N428">
        <v>69</v>
      </c>
      <c r="O428" t="s">
        <v>61</v>
      </c>
      <c r="P428" t="s">
        <v>1036</v>
      </c>
      <c r="Q428" t="s">
        <v>139</v>
      </c>
      <c r="R428" t="s">
        <v>91</v>
      </c>
      <c r="S428" t="s">
        <v>92</v>
      </c>
    </row>
    <row r="429" spans="1:19" x14ac:dyDescent="0.25">
      <c r="A429" t="s">
        <v>30</v>
      </c>
      <c r="B429" t="s">
        <v>31</v>
      </c>
      <c r="C429" t="s">
        <v>32</v>
      </c>
      <c r="D429" t="s">
        <v>953</v>
      </c>
      <c r="E429" t="s">
        <v>1015</v>
      </c>
      <c r="F429" t="s">
        <v>35</v>
      </c>
      <c r="G429" t="s">
        <v>35</v>
      </c>
      <c r="H429" t="s">
        <v>35</v>
      </c>
      <c r="J429" t="s">
        <v>1034</v>
      </c>
      <c r="K429" t="s">
        <v>37</v>
      </c>
      <c r="M429">
        <v>27.72</v>
      </c>
      <c r="N429">
        <v>26</v>
      </c>
      <c r="O429" t="s">
        <v>46</v>
      </c>
      <c r="P429" t="s">
        <v>8117</v>
      </c>
      <c r="Q429" t="s">
        <v>94</v>
      </c>
      <c r="R429" t="s">
        <v>91</v>
      </c>
      <c r="S429" t="s">
        <v>92</v>
      </c>
    </row>
    <row r="430" spans="1:19" x14ac:dyDescent="0.25">
      <c r="A430" t="s">
        <v>59</v>
      </c>
      <c r="B430" t="s">
        <v>60</v>
      </c>
      <c r="C430" t="s">
        <v>32</v>
      </c>
      <c r="D430" t="s">
        <v>953</v>
      </c>
      <c r="E430" t="s">
        <v>1015</v>
      </c>
      <c r="F430" t="s">
        <v>35</v>
      </c>
      <c r="G430" t="s">
        <v>35</v>
      </c>
      <c r="H430" t="s">
        <v>35</v>
      </c>
      <c r="J430" t="s">
        <v>1034</v>
      </c>
      <c r="K430" t="s">
        <v>37</v>
      </c>
      <c r="M430">
        <v>50</v>
      </c>
      <c r="N430">
        <v>65</v>
      </c>
      <c r="O430" t="s">
        <v>61</v>
      </c>
      <c r="P430" t="s">
        <v>1037</v>
      </c>
      <c r="Q430" t="s">
        <v>128</v>
      </c>
      <c r="R430" t="s">
        <v>91</v>
      </c>
      <c r="S430" t="s">
        <v>92</v>
      </c>
    </row>
    <row r="431" spans="1:19" x14ac:dyDescent="0.25">
      <c r="A431" t="s">
        <v>44</v>
      </c>
      <c r="B431" t="s">
        <v>3</v>
      </c>
      <c r="C431" t="s">
        <v>32</v>
      </c>
      <c r="D431" t="s">
        <v>953</v>
      </c>
      <c r="E431" t="s">
        <v>1015</v>
      </c>
      <c r="F431" t="s">
        <v>35</v>
      </c>
      <c r="G431" t="s">
        <v>35</v>
      </c>
      <c r="H431" t="s">
        <v>35</v>
      </c>
      <c r="J431" t="s">
        <v>1041</v>
      </c>
      <c r="K431" t="s">
        <v>37</v>
      </c>
      <c r="M431">
        <v>10</v>
      </c>
      <c r="N431">
        <v>69</v>
      </c>
      <c r="O431" t="s">
        <v>61</v>
      </c>
      <c r="P431" t="s">
        <v>1044</v>
      </c>
      <c r="Q431" t="s">
        <v>139</v>
      </c>
      <c r="R431" t="s">
        <v>91</v>
      </c>
      <c r="S431" t="s">
        <v>92</v>
      </c>
    </row>
    <row r="432" spans="1:19" x14ac:dyDescent="0.25">
      <c r="A432" t="s">
        <v>44</v>
      </c>
      <c r="B432" t="s">
        <v>51</v>
      </c>
      <c r="C432" t="s">
        <v>32</v>
      </c>
      <c r="D432" t="s">
        <v>953</v>
      </c>
      <c r="E432" t="s">
        <v>1015</v>
      </c>
      <c r="F432" t="s">
        <v>35</v>
      </c>
      <c r="G432" t="s">
        <v>35</v>
      </c>
      <c r="H432" t="s">
        <v>35</v>
      </c>
      <c r="J432" t="s">
        <v>1041</v>
      </c>
      <c r="K432" t="s">
        <v>37</v>
      </c>
      <c r="M432">
        <v>11</v>
      </c>
      <c r="N432">
        <v>62</v>
      </c>
      <c r="O432" t="s">
        <v>61</v>
      </c>
      <c r="P432" t="s">
        <v>1045</v>
      </c>
      <c r="Q432" t="s">
        <v>90</v>
      </c>
      <c r="R432" t="s">
        <v>91</v>
      </c>
      <c r="S432" t="s">
        <v>92</v>
      </c>
    </row>
    <row r="433" spans="1:19" x14ac:dyDescent="0.25">
      <c r="A433" t="s">
        <v>44</v>
      </c>
      <c r="B433" t="s">
        <v>3</v>
      </c>
      <c r="C433" t="s">
        <v>32</v>
      </c>
      <c r="D433" t="s">
        <v>953</v>
      </c>
      <c r="E433" t="s">
        <v>1015</v>
      </c>
      <c r="F433" t="s">
        <v>35</v>
      </c>
      <c r="G433" t="s">
        <v>35</v>
      </c>
      <c r="H433" t="s">
        <v>35</v>
      </c>
      <c r="J433" t="s">
        <v>1041</v>
      </c>
      <c r="K433" t="s">
        <v>37</v>
      </c>
      <c r="M433">
        <v>5</v>
      </c>
      <c r="N433">
        <v>69</v>
      </c>
      <c r="O433" t="s">
        <v>61</v>
      </c>
      <c r="P433" t="s">
        <v>1043</v>
      </c>
      <c r="Q433" t="s">
        <v>139</v>
      </c>
      <c r="R433" t="s">
        <v>91</v>
      </c>
      <c r="S433" t="s">
        <v>92</v>
      </c>
    </row>
    <row r="434" spans="1:19" x14ac:dyDescent="0.25">
      <c r="A434" t="s">
        <v>59</v>
      </c>
      <c r="B434" t="s">
        <v>60</v>
      </c>
      <c r="C434" t="s">
        <v>32</v>
      </c>
      <c r="D434" t="s">
        <v>953</v>
      </c>
      <c r="E434" t="s">
        <v>1015</v>
      </c>
      <c r="F434" t="s">
        <v>35</v>
      </c>
      <c r="G434" t="s">
        <v>35</v>
      </c>
      <c r="H434" t="s">
        <v>35</v>
      </c>
      <c r="J434" t="s">
        <v>974</v>
      </c>
      <c r="K434" t="s">
        <v>37</v>
      </c>
      <c r="M434">
        <v>1</v>
      </c>
      <c r="N434">
        <v>94</v>
      </c>
      <c r="O434" t="s">
        <v>106</v>
      </c>
      <c r="P434" t="s">
        <v>1047</v>
      </c>
      <c r="Q434" t="s">
        <v>394</v>
      </c>
      <c r="R434" t="s">
        <v>91</v>
      </c>
      <c r="S434" t="s">
        <v>92</v>
      </c>
    </row>
    <row r="435" spans="1:19" x14ac:dyDescent="0.25">
      <c r="A435" t="s">
        <v>59</v>
      </c>
      <c r="B435" t="s">
        <v>60</v>
      </c>
      <c r="C435" t="s">
        <v>32</v>
      </c>
      <c r="D435" t="s">
        <v>953</v>
      </c>
      <c r="E435" t="s">
        <v>1015</v>
      </c>
      <c r="F435" t="s">
        <v>35</v>
      </c>
      <c r="G435" t="s">
        <v>35</v>
      </c>
      <c r="H435" t="s">
        <v>35</v>
      </c>
      <c r="J435" t="s">
        <v>974</v>
      </c>
      <c r="K435" t="s">
        <v>37</v>
      </c>
      <c r="M435">
        <v>20</v>
      </c>
      <c r="N435">
        <v>65</v>
      </c>
      <c r="O435" t="s">
        <v>61</v>
      </c>
      <c r="P435" t="s">
        <v>1048</v>
      </c>
      <c r="Q435" t="s">
        <v>128</v>
      </c>
      <c r="R435" t="s">
        <v>91</v>
      </c>
      <c r="S435" t="s">
        <v>92</v>
      </c>
    </row>
    <row r="436" spans="1:19" x14ac:dyDescent="0.25">
      <c r="A436" t="s">
        <v>59</v>
      </c>
      <c r="B436" t="s">
        <v>31</v>
      </c>
      <c r="C436" t="s">
        <v>32</v>
      </c>
      <c r="D436" t="s">
        <v>953</v>
      </c>
      <c r="E436" t="s">
        <v>1015</v>
      </c>
      <c r="F436" t="s">
        <v>35</v>
      </c>
      <c r="G436" t="s">
        <v>35</v>
      </c>
      <c r="H436" t="s">
        <v>35</v>
      </c>
      <c r="J436" t="s">
        <v>974</v>
      </c>
      <c r="K436" t="s">
        <v>37</v>
      </c>
      <c r="M436">
        <v>4.32</v>
      </c>
      <c r="N436">
        <v>65</v>
      </c>
      <c r="O436" t="s">
        <v>61</v>
      </c>
      <c r="P436" t="s">
        <v>1046</v>
      </c>
      <c r="Q436" t="s">
        <v>128</v>
      </c>
      <c r="R436" t="s">
        <v>91</v>
      </c>
      <c r="S436" t="s">
        <v>92</v>
      </c>
    </row>
    <row r="437" spans="1:19" x14ac:dyDescent="0.25">
      <c r="A437" t="s">
        <v>44</v>
      </c>
      <c r="B437" t="s">
        <v>3</v>
      </c>
      <c r="C437" t="s">
        <v>32</v>
      </c>
      <c r="D437" t="s">
        <v>953</v>
      </c>
      <c r="E437" t="s">
        <v>1015</v>
      </c>
      <c r="F437" t="s">
        <v>35</v>
      </c>
      <c r="G437" t="s">
        <v>35</v>
      </c>
      <c r="H437" t="s">
        <v>35</v>
      </c>
      <c r="J437" t="s">
        <v>988</v>
      </c>
      <c r="K437" t="s">
        <v>37</v>
      </c>
      <c r="M437">
        <v>5</v>
      </c>
      <c r="N437">
        <v>69</v>
      </c>
      <c r="O437" t="s">
        <v>61</v>
      </c>
      <c r="P437" t="s">
        <v>1049</v>
      </c>
      <c r="Q437" t="s">
        <v>139</v>
      </c>
      <c r="R437" t="s">
        <v>91</v>
      </c>
      <c r="S437" t="s">
        <v>92</v>
      </c>
    </row>
    <row r="438" spans="1:19" x14ac:dyDescent="0.25">
      <c r="A438" t="s">
        <v>44</v>
      </c>
      <c r="B438" t="s">
        <v>3</v>
      </c>
      <c r="C438" t="s">
        <v>32</v>
      </c>
      <c r="D438" t="s">
        <v>953</v>
      </c>
      <c r="E438" t="s">
        <v>1015</v>
      </c>
      <c r="F438" t="s">
        <v>35</v>
      </c>
      <c r="G438" t="s">
        <v>35</v>
      </c>
      <c r="H438" t="s">
        <v>35</v>
      </c>
      <c r="J438" t="s">
        <v>988</v>
      </c>
      <c r="K438" t="s">
        <v>37</v>
      </c>
      <c r="M438">
        <v>30</v>
      </c>
      <c r="N438">
        <v>68</v>
      </c>
      <c r="O438" t="s">
        <v>61</v>
      </c>
      <c r="P438" t="s">
        <v>1050</v>
      </c>
      <c r="Q438" t="s">
        <v>146</v>
      </c>
      <c r="R438" t="s">
        <v>91</v>
      </c>
      <c r="S438" t="s">
        <v>92</v>
      </c>
    </row>
    <row r="439" spans="1:19" x14ac:dyDescent="0.25">
      <c r="A439" t="s">
        <v>44</v>
      </c>
      <c r="B439" t="s">
        <v>51</v>
      </c>
      <c r="C439" t="s">
        <v>32</v>
      </c>
      <c r="D439" t="s">
        <v>953</v>
      </c>
      <c r="E439" t="s">
        <v>1015</v>
      </c>
      <c r="F439" t="s">
        <v>35</v>
      </c>
      <c r="G439" t="s">
        <v>35</v>
      </c>
      <c r="H439" t="s">
        <v>35</v>
      </c>
      <c r="J439" t="s">
        <v>134</v>
      </c>
      <c r="K439" t="s">
        <v>37</v>
      </c>
      <c r="M439">
        <v>0.3</v>
      </c>
      <c r="N439">
        <v>51</v>
      </c>
      <c r="O439" t="s">
        <v>52</v>
      </c>
      <c r="P439" t="s">
        <v>1058</v>
      </c>
      <c r="Q439" t="s">
        <v>54</v>
      </c>
      <c r="R439" t="s">
        <v>169</v>
      </c>
      <c r="S439" t="s">
        <v>123</v>
      </c>
    </row>
    <row r="440" spans="1:19" x14ac:dyDescent="0.25">
      <c r="A440" t="s">
        <v>44</v>
      </c>
      <c r="B440" t="s">
        <v>51</v>
      </c>
      <c r="C440" t="s">
        <v>32</v>
      </c>
      <c r="D440" t="s">
        <v>953</v>
      </c>
      <c r="E440" t="s">
        <v>1015</v>
      </c>
      <c r="F440" t="s">
        <v>35</v>
      </c>
      <c r="G440" t="s">
        <v>35</v>
      </c>
      <c r="H440" t="s">
        <v>35</v>
      </c>
      <c r="J440" t="s">
        <v>134</v>
      </c>
      <c r="K440" t="s">
        <v>37</v>
      </c>
      <c r="M440">
        <v>10</v>
      </c>
      <c r="N440">
        <v>13</v>
      </c>
      <c r="O440" t="s">
        <v>46</v>
      </c>
      <c r="P440" t="s">
        <v>1058</v>
      </c>
      <c r="Q440" t="s">
        <v>310</v>
      </c>
      <c r="R440" t="s">
        <v>169</v>
      </c>
      <c r="S440" t="s">
        <v>123</v>
      </c>
    </row>
    <row r="441" spans="1:19" x14ac:dyDescent="0.25">
      <c r="A441" t="s">
        <v>44</v>
      </c>
      <c r="B441" t="s">
        <v>3</v>
      </c>
      <c r="C441" t="s">
        <v>32</v>
      </c>
      <c r="D441" t="s">
        <v>953</v>
      </c>
      <c r="E441" t="s">
        <v>1015</v>
      </c>
      <c r="F441" t="s">
        <v>35</v>
      </c>
      <c r="G441" t="s">
        <v>35</v>
      </c>
      <c r="H441" t="s">
        <v>35</v>
      </c>
      <c r="J441" t="s">
        <v>134</v>
      </c>
      <c r="K441" t="s">
        <v>37</v>
      </c>
      <c r="M441">
        <v>55</v>
      </c>
      <c r="N441">
        <v>44</v>
      </c>
      <c r="O441" t="s">
        <v>52</v>
      </c>
      <c r="P441" t="s">
        <v>1054</v>
      </c>
      <c r="Q441" t="s">
        <v>192</v>
      </c>
      <c r="R441" t="s">
        <v>91</v>
      </c>
      <c r="S441" t="s">
        <v>92</v>
      </c>
    </row>
    <row r="442" spans="1:19" x14ac:dyDescent="0.25">
      <c r="A442" t="s">
        <v>59</v>
      </c>
      <c r="B442" t="s">
        <v>31</v>
      </c>
      <c r="C442" t="s">
        <v>32</v>
      </c>
      <c r="D442" t="s">
        <v>953</v>
      </c>
      <c r="E442" t="s">
        <v>1015</v>
      </c>
      <c r="F442" t="s">
        <v>35</v>
      </c>
      <c r="G442" t="s">
        <v>35</v>
      </c>
      <c r="H442" t="s">
        <v>35</v>
      </c>
      <c r="J442" t="s">
        <v>134</v>
      </c>
      <c r="K442" t="s">
        <v>37</v>
      </c>
      <c r="M442">
        <v>0.09</v>
      </c>
      <c r="N442">
        <v>65</v>
      </c>
      <c r="O442" t="s">
        <v>61</v>
      </c>
      <c r="P442" t="s">
        <v>1055</v>
      </c>
      <c r="Q442" t="s">
        <v>128</v>
      </c>
      <c r="R442" t="s">
        <v>91</v>
      </c>
      <c r="S442" t="s">
        <v>92</v>
      </c>
    </row>
    <row r="443" spans="1:19" x14ac:dyDescent="0.25">
      <c r="A443" t="s">
        <v>44</v>
      </c>
      <c r="B443" t="s">
        <v>3</v>
      </c>
      <c r="C443" t="s">
        <v>32</v>
      </c>
      <c r="D443" t="s">
        <v>953</v>
      </c>
      <c r="E443" t="s">
        <v>1015</v>
      </c>
      <c r="F443" t="s">
        <v>35</v>
      </c>
      <c r="G443" t="s">
        <v>35</v>
      </c>
      <c r="H443" t="s">
        <v>35</v>
      </c>
      <c r="J443" t="s">
        <v>134</v>
      </c>
      <c r="K443" t="s">
        <v>37</v>
      </c>
      <c r="M443">
        <v>35</v>
      </c>
      <c r="N443">
        <v>38</v>
      </c>
      <c r="O443" t="s">
        <v>52</v>
      </c>
      <c r="P443" t="s">
        <v>1056</v>
      </c>
      <c r="Q443" t="s">
        <v>748</v>
      </c>
      <c r="R443" t="s">
        <v>91</v>
      </c>
      <c r="S443" t="s">
        <v>92</v>
      </c>
    </row>
    <row r="444" spans="1:19" x14ac:dyDescent="0.25">
      <c r="A444" t="s">
        <v>30</v>
      </c>
      <c r="B444" t="s">
        <v>31</v>
      </c>
      <c r="C444" t="s">
        <v>32</v>
      </c>
      <c r="D444" t="s">
        <v>953</v>
      </c>
      <c r="E444" t="s">
        <v>1015</v>
      </c>
      <c r="F444" t="s">
        <v>35</v>
      </c>
      <c r="G444" t="s">
        <v>35</v>
      </c>
      <c r="H444" t="s">
        <v>35</v>
      </c>
      <c r="J444" t="s">
        <v>134</v>
      </c>
      <c r="K444" t="s">
        <v>37</v>
      </c>
      <c r="M444">
        <v>7.56</v>
      </c>
      <c r="N444">
        <v>11</v>
      </c>
      <c r="O444" t="s">
        <v>46</v>
      </c>
      <c r="P444" t="s">
        <v>1052</v>
      </c>
      <c r="Q444" t="s">
        <v>1053</v>
      </c>
      <c r="R444" t="s">
        <v>169</v>
      </c>
      <c r="S444" t="s">
        <v>123</v>
      </c>
    </row>
    <row r="445" spans="1:19" x14ac:dyDescent="0.25">
      <c r="A445" t="s">
        <v>59</v>
      </c>
      <c r="B445" t="s">
        <v>60</v>
      </c>
      <c r="C445" t="s">
        <v>32</v>
      </c>
      <c r="D445" t="s">
        <v>953</v>
      </c>
      <c r="E445" t="s">
        <v>1015</v>
      </c>
      <c r="F445" t="s">
        <v>35</v>
      </c>
      <c r="G445" t="s">
        <v>35</v>
      </c>
      <c r="H445" t="s">
        <v>35</v>
      </c>
      <c r="J445" t="s">
        <v>134</v>
      </c>
      <c r="K445" t="s">
        <v>37</v>
      </c>
      <c r="M445">
        <v>5.22</v>
      </c>
      <c r="N445">
        <v>59</v>
      </c>
      <c r="O445" t="s">
        <v>52</v>
      </c>
      <c r="P445" t="s">
        <v>1061</v>
      </c>
      <c r="Q445" t="s">
        <v>84</v>
      </c>
      <c r="R445" t="s">
        <v>169</v>
      </c>
      <c r="S445" t="s">
        <v>123</v>
      </c>
    </row>
    <row r="446" spans="1:19" x14ac:dyDescent="0.25">
      <c r="A446" t="s">
        <v>44</v>
      </c>
      <c r="B446" t="s">
        <v>3</v>
      </c>
      <c r="C446" t="s">
        <v>32</v>
      </c>
      <c r="D446" t="s">
        <v>953</v>
      </c>
      <c r="E446" t="s">
        <v>1015</v>
      </c>
      <c r="F446" t="s">
        <v>35</v>
      </c>
      <c r="G446" t="s">
        <v>35</v>
      </c>
      <c r="H446" t="s">
        <v>35</v>
      </c>
      <c r="J446" t="s">
        <v>134</v>
      </c>
      <c r="K446" t="s">
        <v>37</v>
      </c>
      <c r="M446">
        <v>25.9</v>
      </c>
      <c r="N446">
        <v>44</v>
      </c>
      <c r="O446" t="s">
        <v>52</v>
      </c>
      <c r="P446" t="s">
        <v>1060</v>
      </c>
      <c r="Q446" t="s">
        <v>192</v>
      </c>
      <c r="R446" t="s">
        <v>91</v>
      </c>
      <c r="S446" t="s">
        <v>92</v>
      </c>
    </row>
    <row r="447" spans="1:19" x14ac:dyDescent="0.25">
      <c r="A447" t="s">
        <v>44</v>
      </c>
      <c r="B447" t="s">
        <v>3</v>
      </c>
      <c r="C447" t="s">
        <v>32</v>
      </c>
      <c r="D447" t="s">
        <v>953</v>
      </c>
      <c r="E447" t="s">
        <v>1015</v>
      </c>
      <c r="F447" t="s">
        <v>35</v>
      </c>
      <c r="G447" t="s">
        <v>35</v>
      </c>
      <c r="H447" t="s">
        <v>35</v>
      </c>
      <c r="J447" t="s">
        <v>134</v>
      </c>
      <c r="K447" t="s">
        <v>37</v>
      </c>
      <c r="M447">
        <v>0.9</v>
      </c>
      <c r="N447">
        <v>40</v>
      </c>
      <c r="O447" t="s">
        <v>52</v>
      </c>
      <c r="P447" t="s">
        <v>1059</v>
      </c>
      <c r="Q447" t="s">
        <v>130</v>
      </c>
      <c r="R447" t="s">
        <v>91</v>
      </c>
      <c r="S447" t="s">
        <v>92</v>
      </c>
    </row>
    <row r="448" spans="1:19" x14ac:dyDescent="0.25">
      <c r="A448" t="s">
        <v>59</v>
      </c>
      <c r="B448" t="s">
        <v>60</v>
      </c>
      <c r="C448" t="s">
        <v>32</v>
      </c>
      <c r="D448" t="s">
        <v>953</v>
      </c>
      <c r="E448" t="s">
        <v>1015</v>
      </c>
      <c r="F448" t="s">
        <v>35</v>
      </c>
      <c r="G448" t="s">
        <v>35</v>
      </c>
      <c r="H448" t="s">
        <v>35</v>
      </c>
      <c r="J448" t="s">
        <v>1062</v>
      </c>
      <c r="K448" t="s">
        <v>37</v>
      </c>
      <c r="M448">
        <v>2.5</v>
      </c>
      <c r="N448">
        <v>62</v>
      </c>
      <c r="O448" t="s">
        <v>61</v>
      </c>
      <c r="P448" t="s">
        <v>1064</v>
      </c>
      <c r="Q448" t="s">
        <v>90</v>
      </c>
      <c r="R448" t="s">
        <v>973</v>
      </c>
      <c r="S448" t="s">
        <v>974</v>
      </c>
    </row>
    <row r="449" spans="1:19" x14ac:dyDescent="0.25">
      <c r="A449" t="s">
        <v>44</v>
      </c>
      <c r="B449" t="s">
        <v>3</v>
      </c>
      <c r="C449" t="s">
        <v>32</v>
      </c>
      <c r="D449" t="s">
        <v>953</v>
      </c>
      <c r="E449" t="s">
        <v>1015</v>
      </c>
      <c r="F449" t="s">
        <v>35</v>
      </c>
      <c r="G449" t="s">
        <v>35</v>
      </c>
      <c r="H449" t="s">
        <v>35</v>
      </c>
      <c r="J449" t="s">
        <v>1062</v>
      </c>
      <c r="K449" t="s">
        <v>37</v>
      </c>
      <c r="M449">
        <v>1.25</v>
      </c>
      <c r="N449">
        <v>62</v>
      </c>
      <c r="O449" t="s">
        <v>61</v>
      </c>
      <c r="P449" t="s">
        <v>1065</v>
      </c>
      <c r="Q449" t="s">
        <v>90</v>
      </c>
      <c r="R449" t="s">
        <v>973</v>
      </c>
      <c r="S449" t="s">
        <v>974</v>
      </c>
    </row>
    <row r="450" spans="1:19" x14ac:dyDescent="0.25">
      <c r="A450" t="s">
        <v>44</v>
      </c>
      <c r="B450" t="s">
        <v>3</v>
      </c>
      <c r="C450" t="s">
        <v>32</v>
      </c>
      <c r="D450" t="s">
        <v>953</v>
      </c>
      <c r="E450" t="s">
        <v>1015</v>
      </c>
      <c r="F450" t="s">
        <v>35</v>
      </c>
      <c r="G450" t="s">
        <v>35</v>
      </c>
      <c r="H450" t="s">
        <v>35</v>
      </c>
      <c r="J450" t="s">
        <v>1066</v>
      </c>
      <c r="K450" t="s">
        <v>37</v>
      </c>
      <c r="M450">
        <v>1.4</v>
      </c>
      <c r="N450">
        <v>68</v>
      </c>
      <c r="O450" t="s">
        <v>61</v>
      </c>
      <c r="P450" t="s">
        <v>1068</v>
      </c>
      <c r="Q450" t="s">
        <v>146</v>
      </c>
      <c r="R450" t="s">
        <v>199</v>
      </c>
      <c r="S450" t="s">
        <v>200</v>
      </c>
    </row>
    <row r="451" spans="1:19" x14ac:dyDescent="0.25">
      <c r="A451" t="s">
        <v>59</v>
      </c>
      <c r="B451" t="s">
        <v>60</v>
      </c>
      <c r="C451" t="s">
        <v>32</v>
      </c>
      <c r="D451" t="s">
        <v>953</v>
      </c>
      <c r="E451" t="s">
        <v>1015</v>
      </c>
      <c r="F451" t="s">
        <v>35</v>
      </c>
      <c r="G451" t="s">
        <v>35</v>
      </c>
      <c r="H451" t="s">
        <v>35</v>
      </c>
      <c r="J451" t="s">
        <v>1069</v>
      </c>
      <c r="K451" t="s">
        <v>37</v>
      </c>
      <c r="M451">
        <v>5</v>
      </c>
      <c r="N451">
        <v>20</v>
      </c>
      <c r="O451" t="s">
        <v>46</v>
      </c>
      <c r="P451" t="s">
        <v>1071</v>
      </c>
      <c r="Q451" t="s">
        <v>1004</v>
      </c>
      <c r="R451" t="s">
        <v>158</v>
      </c>
      <c r="S451" t="s">
        <v>159</v>
      </c>
    </row>
    <row r="452" spans="1:19" x14ac:dyDescent="0.25">
      <c r="A452" t="s">
        <v>59</v>
      </c>
      <c r="B452" t="s">
        <v>60</v>
      </c>
      <c r="C452" t="s">
        <v>32</v>
      </c>
      <c r="D452" t="s">
        <v>953</v>
      </c>
      <c r="E452" t="s">
        <v>1072</v>
      </c>
      <c r="F452" t="s">
        <v>35</v>
      </c>
      <c r="G452" t="s">
        <v>35</v>
      </c>
      <c r="H452" t="s">
        <v>35</v>
      </c>
      <c r="J452" t="s">
        <v>1073</v>
      </c>
      <c r="K452" t="s">
        <v>37</v>
      </c>
      <c r="M452">
        <v>7</v>
      </c>
      <c r="N452">
        <v>86</v>
      </c>
      <c r="O452" t="s">
        <v>61</v>
      </c>
      <c r="P452" t="s">
        <v>1075</v>
      </c>
      <c r="Q452" t="s">
        <v>1076</v>
      </c>
      <c r="R452" t="s">
        <v>934</v>
      </c>
      <c r="S452" t="s">
        <v>935</v>
      </c>
    </row>
    <row r="453" spans="1:19" x14ac:dyDescent="0.25">
      <c r="A453" t="s">
        <v>44</v>
      </c>
      <c r="B453" t="s">
        <v>3</v>
      </c>
      <c r="C453" t="s">
        <v>32</v>
      </c>
      <c r="D453" t="s">
        <v>953</v>
      </c>
      <c r="E453" t="s">
        <v>1077</v>
      </c>
      <c r="F453" t="s">
        <v>35</v>
      </c>
      <c r="G453" t="s">
        <v>35</v>
      </c>
      <c r="H453" t="s">
        <v>35</v>
      </c>
      <c r="J453" t="s">
        <v>1078</v>
      </c>
      <c r="K453" t="s">
        <v>37</v>
      </c>
      <c r="M453">
        <v>4.4000000000000004</v>
      </c>
      <c r="N453">
        <v>69</v>
      </c>
      <c r="O453" t="s">
        <v>61</v>
      </c>
      <c r="P453" t="s">
        <v>1080</v>
      </c>
      <c r="Q453" t="s">
        <v>139</v>
      </c>
      <c r="R453" t="s">
        <v>91</v>
      </c>
      <c r="S453" t="s">
        <v>92</v>
      </c>
    </row>
    <row r="454" spans="1:19" x14ac:dyDescent="0.25">
      <c r="A454" t="s">
        <v>44</v>
      </c>
      <c r="B454" t="s">
        <v>51</v>
      </c>
      <c r="C454" t="s">
        <v>32</v>
      </c>
      <c r="D454" t="s">
        <v>953</v>
      </c>
      <c r="E454" t="s">
        <v>1077</v>
      </c>
      <c r="F454" t="s">
        <v>35</v>
      </c>
      <c r="G454" t="s">
        <v>35</v>
      </c>
      <c r="H454" t="s">
        <v>35</v>
      </c>
      <c r="J454" t="s">
        <v>1078</v>
      </c>
      <c r="K454" t="s">
        <v>37</v>
      </c>
      <c r="M454">
        <v>0.15</v>
      </c>
      <c r="N454">
        <v>62</v>
      </c>
      <c r="O454" t="s">
        <v>61</v>
      </c>
      <c r="P454" t="s">
        <v>1082</v>
      </c>
      <c r="Q454" t="s">
        <v>90</v>
      </c>
      <c r="R454" t="s">
        <v>91</v>
      </c>
      <c r="S454" t="s">
        <v>92</v>
      </c>
    </row>
    <row r="455" spans="1:19" x14ac:dyDescent="0.25">
      <c r="A455" t="s">
        <v>30</v>
      </c>
      <c r="B455" t="s">
        <v>31</v>
      </c>
      <c r="C455" t="s">
        <v>32</v>
      </c>
      <c r="D455" t="s">
        <v>953</v>
      </c>
      <c r="E455" t="s">
        <v>1077</v>
      </c>
      <c r="F455" t="s">
        <v>35</v>
      </c>
      <c r="G455" t="s">
        <v>35</v>
      </c>
      <c r="H455" t="s">
        <v>35</v>
      </c>
      <c r="J455" t="s">
        <v>1078</v>
      </c>
      <c r="K455" t="s">
        <v>37</v>
      </c>
      <c r="M455">
        <v>39.96</v>
      </c>
      <c r="N455">
        <v>26</v>
      </c>
      <c r="O455" t="s">
        <v>46</v>
      </c>
      <c r="P455" t="s">
        <v>1083</v>
      </c>
      <c r="Q455" t="s">
        <v>94</v>
      </c>
      <c r="R455" t="s">
        <v>91</v>
      </c>
      <c r="S455" t="s">
        <v>92</v>
      </c>
    </row>
    <row r="456" spans="1:19" x14ac:dyDescent="0.25">
      <c r="A456" t="s">
        <v>30</v>
      </c>
      <c r="B456" t="s">
        <v>31</v>
      </c>
      <c r="C456" t="s">
        <v>32</v>
      </c>
      <c r="D456" t="s">
        <v>953</v>
      </c>
      <c r="E456" t="s">
        <v>1077</v>
      </c>
      <c r="F456" t="s">
        <v>35</v>
      </c>
      <c r="G456" t="s">
        <v>35</v>
      </c>
      <c r="H456" t="s">
        <v>35</v>
      </c>
      <c r="J456" t="s">
        <v>1078</v>
      </c>
      <c r="K456" t="s">
        <v>37</v>
      </c>
      <c r="M456">
        <v>6.39</v>
      </c>
      <c r="N456">
        <v>49</v>
      </c>
      <c r="O456" t="s">
        <v>52</v>
      </c>
      <c r="P456" t="s">
        <v>1081</v>
      </c>
      <c r="Q456" t="s">
        <v>219</v>
      </c>
      <c r="R456" t="s">
        <v>91</v>
      </c>
      <c r="S456" t="s">
        <v>92</v>
      </c>
    </row>
    <row r="457" spans="1:19" x14ac:dyDescent="0.25">
      <c r="A457" t="s">
        <v>30</v>
      </c>
      <c r="B457" t="s">
        <v>31</v>
      </c>
      <c r="C457" t="s">
        <v>32</v>
      </c>
      <c r="D457" t="s">
        <v>953</v>
      </c>
      <c r="E457" t="s">
        <v>1084</v>
      </c>
      <c r="F457" t="s">
        <v>35</v>
      </c>
      <c r="G457" t="s">
        <v>35</v>
      </c>
      <c r="H457" t="s">
        <v>35</v>
      </c>
      <c r="J457" t="s">
        <v>1085</v>
      </c>
      <c r="K457" t="s">
        <v>37</v>
      </c>
      <c r="M457">
        <v>1.98</v>
      </c>
      <c r="N457">
        <v>26</v>
      </c>
      <c r="O457" t="s">
        <v>46</v>
      </c>
      <c r="P457" t="s">
        <v>1087</v>
      </c>
      <c r="Q457" t="s">
        <v>94</v>
      </c>
      <c r="R457" t="s">
        <v>91</v>
      </c>
      <c r="S457" t="s">
        <v>92</v>
      </c>
    </row>
    <row r="458" spans="1:19" x14ac:dyDescent="0.25">
      <c r="A458" t="s">
        <v>44</v>
      </c>
      <c r="B458" t="s">
        <v>3</v>
      </c>
      <c r="C458" t="s">
        <v>32</v>
      </c>
      <c r="D458" t="s">
        <v>953</v>
      </c>
      <c r="E458" t="s">
        <v>1084</v>
      </c>
      <c r="F458" t="s">
        <v>35</v>
      </c>
      <c r="G458" t="s">
        <v>35</v>
      </c>
      <c r="H458" t="s">
        <v>35</v>
      </c>
      <c r="J458" t="s">
        <v>1085</v>
      </c>
      <c r="K458" t="s">
        <v>37</v>
      </c>
      <c r="M458">
        <v>39.5</v>
      </c>
      <c r="N458">
        <v>69</v>
      </c>
      <c r="O458" t="s">
        <v>61</v>
      </c>
      <c r="P458" t="s">
        <v>1090</v>
      </c>
      <c r="Q458" t="s">
        <v>139</v>
      </c>
      <c r="R458" t="s">
        <v>91</v>
      </c>
      <c r="S458" t="s">
        <v>92</v>
      </c>
    </row>
    <row r="459" spans="1:19" x14ac:dyDescent="0.25">
      <c r="A459" t="s">
        <v>59</v>
      </c>
      <c r="B459" t="s">
        <v>31</v>
      </c>
      <c r="C459" t="s">
        <v>32</v>
      </c>
      <c r="D459" t="s">
        <v>953</v>
      </c>
      <c r="E459" t="s">
        <v>1084</v>
      </c>
      <c r="F459" t="s">
        <v>35</v>
      </c>
      <c r="G459" t="s">
        <v>35</v>
      </c>
      <c r="H459" t="s">
        <v>35</v>
      </c>
      <c r="J459" t="s">
        <v>1085</v>
      </c>
      <c r="K459" t="s">
        <v>37</v>
      </c>
      <c r="M459">
        <v>0.23499999999999999</v>
      </c>
      <c r="N459">
        <v>65</v>
      </c>
      <c r="O459" t="s">
        <v>61</v>
      </c>
      <c r="P459" t="s">
        <v>1089</v>
      </c>
      <c r="Q459" t="s">
        <v>128</v>
      </c>
      <c r="R459" t="s">
        <v>91</v>
      </c>
      <c r="S459" t="s">
        <v>92</v>
      </c>
    </row>
    <row r="460" spans="1:19" x14ac:dyDescent="0.25">
      <c r="A460" t="s">
        <v>44</v>
      </c>
      <c r="B460" t="s">
        <v>51</v>
      </c>
      <c r="C460" t="s">
        <v>32</v>
      </c>
      <c r="D460" t="s">
        <v>33</v>
      </c>
      <c r="E460" t="s">
        <v>34</v>
      </c>
      <c r="F460" t="s">
        <v>35</v>
      </c>
      <c r="G460" t="s">
        <v>35</v>
      </c>
      <c r="H460" t="s">
        <v>35</v>
      </c>
      <c r="J460" t="s">
        <v>1091</v>
      </c>
      <c r="K460" t="s">
        <v>1092</v>
      </c>
      <c r="M460">
        <v>4</v>
      </c>
      <c r="N460">
        <v>31</v>
      </c>
      <c r="O460" t="s">
        <v>52</v>
      </c>
      <c r="Q460" t="s">
        <v>972</v>
      </c>
      <c r="R460" t="s">
        <v>169</v>
      </c>
      <c r="S460" t="s">
        <v>123</v>
      </c>
    </row>
    <row r="461" spans="1:19" x14ac:dyDescent="0.25">
      <c r="A461" t="s">
        <v>30</v>
      </c>
      <c r="B461" t="s">
        <v>31</v>
      </c>
      <c r="C461" t="s">
        <v>32</v>
      </c>
      <c r="D461" t="s">
        <v>33</v>
      </c>
      <c r="E461" t="s">
        <v>34</v>
      </c>
      <c r="F461" t="s">
        <v>35</v>
      </c>
      <c r="G461" t="s">
        <v>35</v>
      </c>
      <c r="H461" t="s">
        <v>35</v>
      </c>
      <c r="J461" t="s">
        <v>1091</v>
      </c>
      <c r="K461" t="s">
        <v>1092</v>
      </c>
      <c r="M461">
        <v>5.7149999999999999</v>
      </c>
      <c r="N461">
        <v>46</v>
      </c>
      <c r="O461" t="s">
        <v>52</v>
      </c>
      <c r="Q461" t="s">
        <v>493</v>
      </c>
      <c r="R461" t="s">
        <v>85</v>
      </c>
      <c r="S461" t="s">
        <v>86</v>
      </c>
    </row>
    <row r="462" spans="1:19" x14ac:dyDescent="0.25">
      <c r="A462" t="s">
        <v>59</v>
      </c>
      <c r="B462" t="s">
        <v>31</v>
      </c>
      <c r="C462" t="s">
        <v>32</v>
      </c>
      <c r="D462" t="s">
        <v>33</v>
      </c>
      <c r="E462" t="s">
        <v>34</v>
      </c>
      <c r="F462" t="s">
        <v>35</v>
      </c>
      <c r="G462" t="s">
        <v>35</v>
      </c>
      <c r="H462" t="s">
        <v>35</v>
      </c>
      <c r="J462" t="s">
        <v>1093</v>
      </c>
      <c r="K462" t="s">
        <v>1092</v>
      </c>
      <c r="M462">
        <v>0.85499999999999998</v>
      </c>
      <c r="N462">
        <v>728</v>
      </c>
      <c r="O462" t="s">
        <v>575</v>
      </c>
      <c r="Q462" t="s">
        <v>1096</v>
      </c>
      <c r="R462" t="s">
        <v>1097</v>
      </c>
      <c r="S462" t="s">
        <v>1098</v>
      </c>
    </row>
    <row r="463" spans="1:19" x14ac:dyDescent="0.25">
      <c r="A463" t="s">
        <v>59</v>
      </c>
      <c r="B463" t="s">
        <v>60</v>
      </c>
      <c r="C463" t="s">
        <v>32</v>
      </c>
      <c r="D463" t="s">
        <v>33</v>
      </c>
      <c r="E463" t="s">
        <v>34</v>
      </c>
      <c r="F463" t="s">
        <v>35</v>
      </c>
      <c r="G463" t="s">
        <v>35</v>
      </c>
      <c r="H463" t="s">
        <v>35</v>
      </c>
      <c r="J463" t="s">
        <v>1093</v>
      </c>
      <c r="K463" t="s">
        <v>1092</v>
      </c>
      <c r="M463">
        <v>0.02</v>
      </c>
      <c r="N463">
        <v>1892</v>
      </c>
      <c r="O463" t="s">
        <v>575</v>
      </c>
      <c r="Q463" t="s">
        <v>1094</v>
      </c>
      <c r="R463" t="s">
        <v>1095</v>
      </c>
      <c r="S463" t="s">
        <v>36</v>
      </c>
    </row>
    <row r="464" spans="1:19" x14ac:dyDescent="0.25">
      <c r="A464" t="s">
        <v>59</v>
      </c>
      <c r="B464" t="s">
        <v>60</v>
      </c>
      <c r="C464" t="s">
        <v>32</v>
      </c>
      <c r="D464" t="s">
        <v>33</v>
      </c>
      <c r="E464" t="s">
        <v>34</v>
      </c>
      <c r="F464" t="s">
        <v>35</v>
      </c>
      <c r="G464" t="s">
        <v>35</v>
      </c>
      <c r="H464" t="s">
        <v>35</v>
      </c>
      <c r="J464" t="s">
        <v>1099</v>
      </c>
      <c r="K464" t="s">
        <v>1092</v>
      </c>
      <c r="M464">
        <v>3.45</v>
      </c>
      <c r="N464">
        <v>92</v>
      </c>
      <c r="O464" t="s">
        <v>106</v>
      </c>
      <c r="Q464" t="s">
        <v>1100</v>
      </c>
      <c r="R464" t="s">
        <v>49</v>
      </c>
      <c r="S464" t="s">
        <v>50</v>
      </c>
    </row>
    <row r="465" spans="1:19" x14ac:dyDescent="0.25">
      <c r="A465" t="s">
        <v>30</v>
      </c>
      <c r="B465" t="s">
        <v>31</v>
      </c>
      <c r="C465" t="s">
        <v>32</v>
      </c>
      <c r="D465" t="s">
        <v>33</v>
      </c>
      <c r="E465" t="s">
        <v>34</v>
      </c>
      <c r="F465" t="s">
        <v>35</v>
      </c>
      <c r="G465" t="s">
        <v>35</v>
      </c>
      <c r="H465" t="s">
        <v>35</v>
      </c>
      <c r="J465" t="s">
        <v>1101</v>
      </c>
      <c r="K465" t="s">
        <v>1092</v>
      </c>
      <c r="M465">
        <v>0.72</v>
      </c>
      <c r="N465">
        <v>238</v>
      </c>
      <c r="O465" t="s">
        <v>5</v>
      </c>
      <c r="Q465" t="s">
        <v>933</v>
      </c>
      <c r="R465" t="s">
        <v>169</v>
      </c>
      <c r="S465" t="s">
        <v>123</v>
      </c>
    </row>
    <row r="466" spans="1:19" x14ac:dyDescent="0.25">
      <c r="A466" t="s">
        <v>59</v>
      </c>
      <c r="B466" t="s">
        <v>60</v>
      </c>
      <c r="C466" t="s">
        <v>32</v>
      </c>
      <c r="D466" t="s">
        <v>33</v>
      </c>
      <c r="E466" t="s">
        <v>34</v>
      </c>
      <c r="F466" t="s">
        <v>35</v>
      </c>
      <c r="G466" t="s">
        <v>35</v>
      </c>
      <c r="H466" t="s">
        <v>35</v>
      </c>
      <c r="J466" t="s">
        <v>1101</v>
      </c>
      <c r="K466" t="s">
        <v>1092</v>
      </c>
      <c r="M466">
        <v>1</v>
      </c>
      <c r="N466">
        <v>44</v>
      </c>
      <c r="O466" t="s">
        <v>52</v>
      </c>
      <c r="Q466" t="s">
        <v>192</v>
      </c>
      <c r="R466" t="s">
        <v>1102</v>
      </c>
      <c r="S466" t="s">
        <v>105</v>
      </c>
    </row>
    <row r="467" spans="1:19" x14ac:dyDescent="0.25">
      <c r="A467" t="s">
        <v>59</v>
      </c>
      <c r="B467" t="s">
        <v>31</v>
      </c>
      <c r="C467" t="s">
        <v>32</v>
      </c>
      <c r="D467" t="s">
        <v>33</v>
      </c>
      <c r="E467" t="s">
        <v>34</v>
      </c>
      <c r="F467" t="s">
        <v>35</v>
      </c>
      <c r="G467" t="s">
        <v>35</v>
      </c>
      <c r="H467" t="s">
        <v>35</v>
      </c>
      <c r="J467" t="s">
        <v>1101</v>
      </c>
      <c r="K467" t="s">
        <v>1092</v>
      </c>
      <c r="M467">
        <v>6.3</v>
      </c>
      <c r="N467">
        <v>95</v>
      </c>
      <c r="O467" t="s">
        <v>106</v>
      </c>
      <c r="Q467" t="s">
        <v>724</v>
      </c>
      <c r="R467" t="s">
        <v>169</v>
      </c>
      <c r="S467" t="s">
        <v>123</v>
      </c>
    </row>
    <row r="468" spans="1:19" x14ac:dyDescent="0.25">
      <c r="A468" t="s">
        <v>44</v>
      </c>
      <c r="B468" t="s">
        <v>3</v>
      </c>
      <c r="C468" t="s">
        <v>32</v>
      </c>
      <c r="D468" t="s">
        <v>33</v>
      </c>
      <c r="E468" t="s">
        <v>34</v>
      </c>
      <c r="F468" t="s">
        <v>35</v>
      </c>
      <c r="G468" t="s">
        <v>35</v>
      </c>
      <c r="H468" t="s">
        <v>35</v>
      </c>
      <c r="J468" t="s">
        <v>1103</v>
      </c>
      <c r="K468" t="s">
        <v>1092</v>
      </c>
      <c r="M468">
        <v>0.75</v>
      </c>
      <c r="N468">
        <v>210</v>
      </c>
      <c r="O468" t="s">
        <v>5</v>
      </c>
      <c r="Q468" t="s">
        <v>1104</v>
      </c>
      <c r="R468" t="s">
        <v>49</v>
      </c>
      <c r="S468" t="s">
        <v>50</v>
      </c>
    </row>
    <row r="469" spans="1:19" x14ac:dyDescent="0.25">
      <c r="A469" t="s">
        <v>59</v>
      </c>
      <c r="B469" t="s">
        <v>60</v>
      </c>
      <c r="C469" t="s">
        <v>32</v>
      </c>
      <c r="D469" t="s">
        <v>33</v>
      </c>
      <c r="E469" t="s">
        <v>34</v>
      </c>
      <c r="F469" t="s">
        <v>35</v>
      </c>
      <c r="G469" t="s">
        <v>35</v>
      </c>
      <c r="H469" t="s">
        <v>35</v>
      </c>
      <c r="J469" t="s">
        <v>1105</v>
      </c>
      <c r="K469" t="s">
        <v>1092</v>
      </c>
      <c r="M469">
        <v>0.45</v>
      </c>
      <c r="N469">
        <v>72</v>
      </c>
      <c r="O469" t="s">
        <v>61</v>
      </c>
      <c r="Q469" t="s">
        <v>63</v>
      </c>
      <c r="R469" t="s">
        <v>169</v>
      </c>
      <c r="S469" t="s">
        <v>123</v>
      </c>
    </row>
    <row r="470" spans="1:19" x14ac:dyDescent="0.25">
      <c r="A470" t="s">
        <v>59</v>
      </c>
      <c r="B470" t="s">
        <v>31</v>
      </c>
      <c r="C470" t="s">
        <v>32</v>
      </c>
      <c r="D470" t="s">
        <v>33</v>
      </c>
      <c r="E470" t="s">
        <v>34</v>
      </c>
      <c r="F470" t="s">
        <v>35</v>
      </c>
      <c r="G470" t="s">
        <v>35</v>
      </c>
      <c r="H470" t="s">
        <v>35</v>
      </c>
      <c r="J470" t="s">
        <v>1105</v>
      </c>
      <c r="K470" t="s">
        <v>1092</v>
      </c>
      <c r="M470">
        <v>1.7549999999999999</v>
      </c>
      <c r="N470">
        <v>72</v>
      </c>
      <c r="O470" t="s">
        <v>61</v>
      </c>
      <c r="Q470" t="s">
        <v>63</v>
      </c>
      <c r="R470" t="s">
        <v>169</v>
      </c>
      <c r="S470" t="s">
        <v>123</v>
      </c>
    </row>
    <row r="471" spans="1:19" x14ac:dyDescent="0.25">
      <c r="A471" t="s">
        <v>44</v>
      </c>
      <c r="B471" t="s">
        <v>51</v>
      </c>
      <c r="C471" t="s">
        <v>32</v>
      </c>
      <c r="D471" t="s">
        <v>33</v>
      </c>
      <c r="E471" t="s">
        <v>34</v>
      </c>
      <c r="F471" t="s">
        <v>35</v>
      </c>
      <c r="G471" t="s">
        <v>35</v>
      </c>
      <c r="H471" t="s">
        <v>35</v>
      </c>
      <c r="J471" t="s">
        <v>1105</v>
      </c>
      <c r="K471" t="s">
        <v>1092</v>
      </c>
      <c r="M471">
        <v>0.45</v>
      </c>
      <c r="N471">
        <v>41</v>
      </c>
      <c r="O471" t="s">
        <v>52</v>
      </c>
      <c r="Q471" t="s">
        <v>249</v>
      </c>
      <c r="R471" t="s">
        <v>169</v>
      </c>
      <c r="S471" t="s">
        <v>123</v>
      </c>
    </row>
    <row r="472" spans="1:19" x14ac:dyDescent="0.25">
      <c r="A472" t="s">
        <v>59</v>
      </c>
      <c r="B472" t="s">
        <v>60</v>
      </c>
      <c r="C472" t="s">
        <v>32</v>
      </c>
      <c r="D472" t="s">
        <v>33</v>
      </c>
      <c r="E472" t="s">
        <v>34</v>
      </c>
      <c r="F472" t="s">
        <v>35</v>
      </c>
      <c r="G472" t="s">
        <v>35</v>
      </c>
      <c r="H472" t="s">
        <v>35</v>
      </c>
      <c r="J472" t="s">
        <v>1106</v>
      </c>
      <c r="K472" t="s">
        <v>1092</v>
      </c>
      <c r="M472">
        <v>0.04</v>
      </c>
      <c r="N472">
        <v>493</v>
      </c>
      <c r="O472" t="s">
        <v>294</v>
      </c>
      <c r="Q472" t="s">
        <v>1107</v>
      </c>
      <c r="R472" t="s">
        <v>49</v>
      </c>
      <c r="S472" t="s">
        <v>50</v>
      </c>
    </row>
    <row r="473" spans="1:19" x14ac:dyDescent="0.25">
      <c r="A473" t="s">
        <v>30</v>
      </c>
      <c r="B473" t="s">
        <v>31</v>
      </c>
      <c r="C473" t="s">
        <v>32</v>
      </c>
      <c r="D473" t="s">
        <v>33</v>
      </c>
      <c r="E473" t="s">
        <v>34</v>
      </c>
      <c r="F473" t="s">
        <v>35</v>
      </c>
      <c r="G473" t="s">
        <v>35</v>
      </c>
      <c r="H473" t="s">
        <v>35</v>
      </c>
      <c r="J473" t="s">
        <v>1108</v>
      </c>
      <c r="K473" t="s">
        <v>1092</v>
      </c>
      <c r="M473">
        <v>3.15</v>
      </c>
      <c r="N473">
        <v>75</v>
      </c>
      <c r="O473" t="s">
        <v>61</v>
      </c>
      <c r="Q473" t="s">
        <v>805</v>
      </c>
      <c r="R473" t="s">
        <v>193</v>
      </c>
      <c r="S473" t="s">
        <v>181</v>
      </c>
    </row>
    <row r="474" spans="1:19" x14ac:dyDescent="0.25">
      <c r="A474" t="s">
        <v>59</v>
      </c>
      <c r="B474" t="s">
        <v>60</v>
      </c>
      <c r="C474" t="s">
        <v>32</v>
      </c>
      <c r="D474" t="s">
        <v>33</v>
      </c>
      <c r="E474" t="s">
        <v>34</v>
      </c>
      <c r="F474" t="s">
        <v>35</v>
      </c>
      <c r="G474" t="s">
        <v>35</v>
      </c>
      <c r="H474" t="s">
        <v>35</v>
      </c>
      <c r="J474" t="s">
        <v>1109</v>
      </c>
      <c r="K474" t="s">
        <v>1092</v>
      </c>
      <c r="M474">
        <v>1</v>
      </c>
      <c r="N474">
        <v>523</v>
      </c>
      <c r="O474" t="s">
        <v>294</v>
      </c>
      <c r="Q474" t="s">
        <v>1110</v>
      </c>
      <c r="R474" t="s">
        <v>199</v>
      </c>
      <c r="S474" t="s">
        <v>200</v>
      </c>
    </row>
    <row r="475" spans="1:19" x14ac:dyDescent="0.25">
      <c r="A475" t="s">
        <v>59</v>
      </c>
      <c r="B475" t="s">
        <v>60</v>
      </c>
      <c r="C475" t="s">
        <v>32</v>
      </c>
      <c r="D475" t="s">
        <v>33</v>
      </c>
      <c r="E475" t="s">
        <v>34</v>
      </c>
      <c r="F475" t="s">
        <v>35</v>
      </c>
      <c r="G475" t="s">
        <v>35</v>
      </c>
      <c r="H475" t="s">
        <v>35</v>
      </c>
      <c r="J475" t="s">
        <v>1111</v>
      </c>
      <c r="K475" t="s">
        <v>1092</v>
      </c>
      <c r="M475">
        <v>0.28299999999999997</v>
      </c>
      <c r="N475">
        <v>100</v>
      </c>
      <c r="O475" t="s">
        <v>106</v>
      </c>
      <c r="Q475" t="s">
        <v>1112</v>
      </c>
      <c r="R475" t="s">
        <v>199</v>
      </c>
      <c r="S475" t="s">
        <v>200</v>
      </c>
    </row>
    <row r="476" spans="1:19" x14ac:dyDescent="0.25">
      <c r="A476" t="s">
        <v>59</v>
      </c>
      <c r="B476" t="s">
        <v>60</v>
      </c>
      <c r="C476" t="s">
        <v>32</v>
      </c>
      <c r="D476" t="s">
        <v>33</v>
      </c>
      <c r="E476" t="s">
        <v>34</v>
      </c>
      <c r="F476" t="s">
        <v>35</v>
      </c>
      <c r="G476" t="s">
        <v>35</v>
      </c>
      <c r="H476" t="s">
        <v>35</v>
      </c>
      <c r="J476" t="s">
        <v>1113</v>
      </c>
      <c r="K476" t="s">
        <v>1092</v>
      </c>
      <c r="M476">
        <v>1.1499999999999999</v>
      </c>
      <c r="N476">
        <v>466</v>
      </c>
      <c r="O476" t="s">
        <v>294</v>
      </c>
      <c r="Q476" t="s">
        <v>1114</v>
      </c>
      <c r="R476" t="s">
        <v>1115</v>
      </c>
      <c r="S476" t="s">
        <v>45</v>
      </c>
    </row>
    <row r="477" spans="1:19" x14ac:dyDescent="0.25">
      <c r="A477" t="s">
        <v>59</v>
      </c>
      <c r="B477" t="s">
        <v>60</v>
      </c>
      <c r="C477" t="s">
        <v>32</v>
      </c>
      <c r="D477" t="s">
        <v>33</v>
      </c>
      <c r="E477" t="s">
        <v>34</v>
      </c>
      <c r="F477" t="s">
        <v>35</v>
      </c>
      <c r="G477" t="s">
        <v>35</v>
      </c>
      <c r="H477" t="s">
        <v>35</v>
      </c>
      <c r="J477" t="s">
        <v>1116</v>
      </c>
      <c r="K477" t="s">
        <v>1092</v>
      </c>
      <c r="M477">
        <v>1.075</v>
      </c>
      <c r="N477">
        <v>58</v>
      </c>
      <c r="O477" t="s">
        <v>52</v>
      </c>
      <c r="Q477" t="s">
        <v>58</v>
      </c>
      <c r="R477" t="s">
        <v>193</v>
      </c>
      <c r="S477" t="s">
        <v>181</v>
      </c>
    </row>
    <row r="478" spans="1:19" x14ac:dyDescent="0.25">
      <c r="A478" t="s">
        <v>59</v>
      </c>
      <c r="B478" t="s">
        <v>31</v>
      </c>
      <c r="C478" t="s">
        <v>32</v>
      </c>
      <c r="D478" t="s">
        <v>33</v>
      </c>
      <c r="E478" t="s">
        <v>34</v>
      </c>
      <c r="F478" t="s">
        <v>35</v>
      </c>
      <c r="G478" t="s">
        <v>35</v>
      </c>
      <c r="H478" t="s">
        <v>35</v>
      </c>
      <c r="J478" t="s">
        <v>1117</v>
      </c>
      <c r="K478" t="s">
        <v>1092</v>
      </c>
      <c r="M478">
        <v>0.22500000000000001</v>
      </c>
      <c r="N478">
        <v>95</v>
      </c>
      <c r="O478" t="s">
        <v>106</v>
      </c>
      <c r="Q478" t="s">
        <v>724</v>
      </c>
      <c r="R478" t="s">
        <v>169</v>
      </c>
      <c r="S478" t="s">
        <v>123</v>
      </c>
    </row>
    <row r="479" spans="1:19" x14ac:dyDescent="0.25">
      <c r="A479" t="s">
        <v>59</v>
      </c>
      <c r="B479" t="s">
        <v>31</v>
      </c>
      <c r="C479" t="s">
        <v>32</v>
      </c>
      <c r="D479" t="s">
        <v>33</v>
      </c>
      <c r="E479" t="s">
        <v>34</v>
      </c>
      <c r="F479" t="s">
        <v>35</v>
      </c>
      <c r="G479" t="s">
        <v>35</v>
      </c>
      <c r="H479" t="s">
        <v>35</v>
      </c>
      <c r="J479" t="s">
        <v>1117</v>
      </c>
      <c r="K479" t="s">
        <v>1092</v>
      </c>
      <c r="M479">
        <v>5.49</v>
      </c>
      <c r="N479">
        <v>56</v>
      </c>
      <c r="O479" t="s">
        <v>52</v>
      </c>
      <c r="Q479" t="s">
        <v>453</v>
      </c>
      <c r="R479" t="s">
        <v>49</v>
      </c>
      <c r="S479" t="s">
        <v>50</v>
      </c>
    </row>
    <row r="480" spans="1:19" x14ac:dyDescent="0.25">
      <c r="A480" t="s">
        <v>44</v>
      </c>
      <c r="B480" t="s">
        <v>3</v>
      </c>
      <c r="C480" t="s">
        <v>32</v>
      </c>
      <c r="D480" t="s">
        <v>33</v>
      </c>
      <c r="E480" t="s">
        <v>34</v>
      </c>
      <c r="F480" t="s">
        <v>35</v>
      </c>
      <c r="G480" t="s">
        <v>35</v>
      </c>
      <c r="H480" t="s">
        <v>35</v>
      </c>
      <c r="J480" t="s">
        <v>1118</v>
      </c>
      <c r="K480" t="s">
        <v>1092</v>
      </c>
      <c r="M480">
        <v>5.5</v>
      </c>
      <c r="N480">
        <v>62</v>
      </c>
      <c r="O480" t="s">
        <v>61</v>
      </c>
      <c r="Q480" t="s">
        <v>90</v>
      </c>
      <c r="R480" t="s">
        <v>85</v>
      </c>
      <c r="S480" t="s">
        <v>86</v>
      </c>
    </row>
    <row r="481" spans="1:19" x14ac:dyDescent="0.25">
      <c r="A481" t="s">
        <v>59</v>
      </c>
      <c r="B481" t="s">
        <v>60</v>
      </c>
      <c r="C481" t="s">
        <v>32</v>
      </c>
      <c r="D481" t="s">
        <v>33</v>
      </c>
      <c r="E481" t="s">
        <v>34</v>
      </c>
      <c r="F481" t="s">
        <v>35</v>
      </c>
      <c r="G481" t="s">
        <v>35</v>
      </c>
      <c r="H481" t="s">
        <v>35</v>
      </c>
      <c r="J481" t="s">
        <v>1118</v>
      </c>
      <c r="K481" t="s">
        <v>1092</v>
      </c>
      <c r="M481">
        <v>5.55</v>
      </c>
      <c r="N481">
        <v>73</v>
      </c>
      <c r="O481" t="s">
        <v>61</v>
      </c>
      <c r="Q481" t="s">
        <v>552</v>
      </c>
      <c r="R481" t="s">
        <v>85</v>
      </c>
      <c r="S481" t="s">
        <v>86</v>
      </c>
    </row>
    <row r="482" spans="1:19" x14ac:dyDescent="0.25">
      <c r="A482" t="s">
        <v>30</v>
      </c>
      <c r="B482" t="s">
        <v>31</v>
      </c>
      <c r="C482" t="s">
        <v>32</v>
      </c>
      <c r="D482" t="s">
        <v>33</v>
      </c>
      <c r="E482" t="s">
        <v>34</v>
      </c>
      <c r="F482" t="s">
        <v>35</v>
      </c>
      <c r="G482" t="s">
        <v>35</v>
      </c>
      <c r="H482" t="s">
        <v>35</v>
      </c>
      <c r="J482" t="s">
        <v>1118</v>
      </c>
      <c r="K482" t="s">
        <v>1092</v>
      </c>
      <c r="M482">
        <v>3.69</v>
      </c>
      <c r="N482">
        <v>46</v>
      </c>
      <c r="O482" t="s">
        <v>52</v>
      </c>
      <c r="Q482" t="s">
        <v>493</v>
      </c>
      <c r="R482" t="s">
        <v>85</v>
      </c>
      <c r="S482" t="s">
        <v>86</v>
      </c>
    </row>
    <row r="483" spans="1:19" x14ac:dyDescent="0.25">
      <c r="A483" t="s">
        <v>59</v>
      </c>
      <c r="B483" t="s">
        <v>31</v>
      </c>
      <c r="C483" t="s">
        <v>32</v>
      </c>
      <c r="D483" t="s">
        <v>33</v>
      </c>
      <c r="E483" t="s">
        <v>34</v>
      </c>
      <c r="F483" t="s">
        <v>35</v>
      </c>
      <c r="G483" t="s">
        <v>35</v>
      </c>
      <c r="H483" t="s">
        <v>35</v>
      </c>
      <c r="J483" t="s">
        <v>1118</v>
      </c>
      <c r="K483" t="s">
        <v>1092</v>
      </c>
      <c r="M483">
        <v>5.31</v>
      </c>
      <c r="N483">
        <v>72</v>
      </c>
      <c r="O483" t="s">
        <v>61</v>
      </c>
      <c r="Q483" t="s">
        <v>63</v>
      </c>
      <c r="R483" t="s">
        <v>85</v>
      </c>
      <c r="S483" t="s">
        <v>86</v>
      </c>
    </row>
    <row r="484" spans="1:19" x14ac:dyDescent="0.25">
      <c r="A484" t="s">
        <v>59</v>
      </c>
      <c r="B484" t="s">
        <v>60</v>
      </c>
      <c r="C484" t="s">
        <v>32</v>
      </c>
      <c r="D484" t="s">
        <v>33</v>
      </c>
      <c r="E484" t="s">
        <v>34</v>
      </c>
      <c r="F484" t="s">
        <v>35</v>
      </c>
      <c r="G484" t="s">
        <v>35</v>
      </c>
      <c r="H484" t="s">
        <v>35</v>
      </c>
      <c r="J484" t="s">
        <v>1119</v>
      </c>
      <c r="K484" t="s">
        <v>1092</v>
      </c>
      <c r="M484">
        <v>1</v>
      </c>
      <c r="N484">
        <v>72</v>
      </c>
      <c r="O484" t="s">
        <v>61</v>
      </c>
      <c r="Q484" t="s">
        <v>63</v>
      </c>
      <c r="R484" t="s">
        <v>169</v>
      </c>
      <c r="S484" t="s">
        <v>123</v>
      </c>
    </row>
    <row r="485" spans="1:19" x14ac:dyDescent="0.25">
      <c r="A485" t="s">
        <v>59</v>
      </c>
      <c r="B485" t="s">
        <v>60</v>
      </c>
      <c r="C485" t="s">
        <v>32</v>
      </c>
      <c r="D485" t="s">
        <v>33</v>
      </c>
      <c r="E485" t="s">
        <v>34</v>
      </c>
      <c r="F485" t="s">
        <v>35</v>
      </c>
      <c r="G485" t="s">
        <v>35</v>
      </c>
      <c r="H485" t="s">
        <v>35</v>
      </c>
      <c r="J485" t="s">
        <v>1121</v>
      </c>
      <c r="K485" t="s">
        <v>1092</v>
      </c>
      <c r="M485">
        <v>0.95</v>
      </c>
      <c r="N485">
        <v>32</v>
      </c>
      <c r="O485" t="s">
        <v>52</v>
      </c>
      <c r="Q485" t="s">
        <v>547</v>
      </c>
      <c r="R485" t="s">
        <v>1122</v>
      </c>
      <c r="S485" t="s">
        <v>95</v>
      </c>
    </row>
    <row r="486" spans="1:19" x14ac:dyDescent="0.25">
      <c r="A486" t="s">
        <v>59</v>
      </c>
      <c r="B486" t="s">
        <v>60</v>
      </c>
      <c r="C486" t="s">
        <v>32</v>
      </c>
      <c r="D486" t="s">
        <v>33</v>
      </c>
      <c r="E486" t="s">
        <v>34</v>
      </c>
      <c r="F486" t="s">
        <v>35</v>
      </c>
      <c r="G486" t="s">
        <v>35</v>
      </c>
      <c r="H486" t="s">
        <v>35</v>
      </c>
      <c r="J486" t="s">
        <v>1121</v>
      </c>
      <c r="K486" t="s">
        <v>1092</v>
      </c>
      <c r="M486">
        <v>0.35</v>
      </c>
      <c r="N486">
        <v>49</v>
      </c>
      <c r="O486" t="s">
        <v>52</v>
      </c>
      <c r="Q486" t="s">
        <v>219</v>
      </c>
      <c r="R486" t="s">
        <v>1122</v>
      </c>
      <c r="S486" t="s">
        <v>95</v>
      </c>
    </row>
    <row r="487" spans="1:19" x14ac:dyDescent="0.25">
      <c r="A487" t="s">
        <v>30</v>
      </c>
      <c r="B487" t="s">
        <v>31</v>
      </c>
      <c r="C487" t="s">
        <v>32</v>
      </c>
      <c r="D487" t="s">
        <v>33</v>
      </c>
      <c r="E487" t="s">
        <v>34</v>
      </c>
      <c r="F487" t="s">
        <v>35</v>
      </c>
      <c r="G487" t="s">
        <v>35</v>
      </c>
      <c r="H487" t="s">
        <v>35</v>
      </c>
      <c r="J487" t="s">
        <v>1123</v>
      </c>
      <c r="K487" t="s">
        <v>1092</v>
      </c>
      <c r="M487">
        <v>4.5</v>
      </c>
      <c r="N487">
        <v>31</v>
      </c>
      <c r="O487" t="s">
        <v>52</v>
      </c>
      <c r="Q487" t="s">
        <v>972</v>
      </c>
      <c r="R487" t="s">
        <v>49</v>
      </c>
      <c r="S487" t="s">
        <v>50</v>
      </c>
    </row>
    <row r="488" spans="1:19" x14ac:dyDescent="0.25">
      <c r="A488" t="s">
        <v>59</v>
      </c>
      <c r="B488" t="s">
        <v>60</v>
      </c>
      <c r="C488" t="s">
        <v>32</v>
      </c>
      <c r="D488" t="s">
        <v>33</v>
      </c>
      <c r="E488" t="s">
        <v>34</v>
      </c>
      <c r="F488" t="s">
        <v>35</v>
      </c>
      <c r="G488" t="s">
        <v>35</v>
      </c>
      <c r="H488" t="s">
        <v>35</v>
      </c>
      <c r="J488" t="s">
        <v>1123</v>
      </c>
      <c r="K488" t="s">
        <v>1092</v>
      </c>
      <c r="M488">
        <v>0.05</v>
      </c>
      <c r="N488">
        <v>72</v>
      </c>
      <c r="O488" t="s">
        <v>61</v>
      </c>
      <c r="Q488" t="s">
        <v>63</v>
      </c>
      <c r="R488" t="s">
        <v>169</v>
      </c>
      <c r="S488" t="s">
        <v>123</v>
      </c>
    </row>
    <row r="489" spans="1:19" x14ac:dyDescent="0.25">
      <c r="A489" t="s">
        <v>59</v>
      </c>
      <c r="B489" t="s">
        <v>31</v>
      </c>
      <c r="C489" t="s">
        <v>32</v>
      </c>
      <c r="D489" t="s">
        <v>33</v>
      </c>
      <c r="E489" t="s">
        <v>34</v>
      </c>
      <c r="F489" t="s">
        <v>35</v>
      </c>
      <c r="G489" t="s">
        <v>35</v>
      </c>
      <c r="H489" t="s">
        <v>35</v>
      </c>
      <c r="J489" t="s">
        <v>1123</v>
      </c>
      <c r="K489" t="s">
        <v>1092</v>
      </c>
      <c r="M489">
        <v>0.495</v>
      </c>
      <c r="N489">
        <v>72</v>
      </c>
      <c r="O489" t="s">
        <v>61</v>
      </c>
      <c r="Q489" t="s">
        <v>63</v>
      </c>
      <c r="R489" t="s">
        <v>169</v>
      </c>
      <c r="S489" t="s">
        <v>123</v>
      </c>
    </row>
    <row r="490" spans="1:19" x14ac:dyDescent="0.25">
      <c r="A490" t="s">
        <v>44</v>
      </c>
      <c r="B490" t="s">
        <v>3</v>
      </c>
      <c r="C490" t="s">
        <v>32</v>
      </c>
      <c r="D490" t="s">
        <v>33</v>
      </c>
      <c r="E490" t="s">
        <v>34</v>
      </c>
      <c r="F490" t="s">
        <v>35</v>
      </c>
      <c r="G490" t="s">
        <v>35</v>
      </c>
      <c r="H490" t="s">
        <v>35</v>
      </c>
      <c r="J490" t="s">
        <v>1123</v>
      </c>
      <c r="K490" t="s">
        <v>1092</v>
      </c>
      <c r="M490">
        <v>0.5</v>
      </c>
      <c r="N490">
        <v>172</v>
      </c>
      <c r="O490" t="s">
        <v>38</v>
      </c>
      <c r="Q490" t="s">
        <v>1124</v>
      </c>
      <c r="R490" t="s">
        <v>49</v>
      </c>
      <c r="S490" t="s">
        <v>50</v>
      </c>
    </row>
    <row r="491" spans="1:19" x14ac:dyDescent="0.25">
      <c r="A491" t="s">
        <v>59</v>
      </c>
      <c r="B491" t="s">
        <v>60</v>
      </c>
      <c r="C491" t="s">
        <v>32</v>
      </c>
      <c r="D491" t="s">
        <v>33</v>
      </c>
      <c r="E491" t="s">
        <v>34</v>
      </c>
      <c r="F491" t="s">
        <v>35</v>
      </c>
      <c r="G491" t="s">
        <v>35</v>
      </c>
      <c r="H491" t="s">
        <v>35</v>
      </c>
      <c r="J491" t="s">
        <v>1125</v>
      </c>
      <c r="K491" t="s">
        <v>1092</v>
      </c>
      <c r="M491">
        <v>0.5</v>
      </c>
      <c r="N491">
        <v>353</v>
      </c>
      <c r="O491" t="s">
        <v>5</v>
      </c>
      <c r="Q491" t="s">
        <v>1126</v>
      </c>
      <c r="R491" t="s">
        <v>103</v>
      </c>
      <c r="S491" t="s">
        <v>104</v>
      </c>
    </row>
    <row r="492" spans="1:19" x14ac:dyDescent="0.25">
      <c r="A492" t="s">
        <v>44</v>
      </c>
      <c r="B492" t="s">
        <v>51</v>
      </c>
      <c r="C492" t="s">
        <v>32</v>
      </c>
      <c r="D492" t="s">
        <v>33</v>
      </c>
      <c r="E492" t="s">
        <v>34</v>
      </c>
      <c r="F492" t="s">
        <v>35</v>
      </c>
      <c r="G492" t="s">
        <v>35</v>
      </c>
      <c r="H492" t="s">
        <v>35</v>
      </c>
      <c r="J492" t="s">
        <v>1125</v>
      </c>
      <c r="K492" t="s">
        <v>1092</v>
      </c>
      <c r="M492">
        <v>4.8499999999999996</v>
      </c>
      <c r="N492">
        <v>62</v>
      </c>
      <c r="O492" t="s">
        <v>61</v>
      </c>
      <c r="Q492" t="s">
        <v>90</v>
      </c>
      <c r="R492" t="s">
        <v>103</v>
      </c>
      <c r="S492" t="s">
        <v>104</v>
      </c>
    </row>
    <row r="493" spans="1:19" x14ac:dyDescent="0.25">
      <c r="A493" t="s">
        <v>30</v>
      </c>
      <c r="B493" t="s">
        <v>31</v>
      </c>
      <c r="C493" t="s">
        <v>32</v>
      </c>
      <c r="D493" t="s">
        <v>33</v>
      </c>
      <c r="E493" t="s">
        <v>34</v>
      </c>
      <c r="F493" t="s">
        <v>35</v>
      </c>
      <c r="G493" t="s">
        <v>35</v>
      </c>
      <c r="H493" t="s">
        <v>35</v>
      </c>
      <c r="J493" t="s">
        <v>1127</v>
      </c>
      <c r="K493" t="s">
        <v>1092</v>
      </c>
      <c r="M493">
        <v>2.23</v>
      </c>
      <c r="N493">
        <v>30</v>
      </c>
      <c r="O493" t="s">
        <v>46</v>
      </c>
      <c r="Q493" t="s">
        <v>793</v>
      </c>
      <c r="R493" t="s">
        <v>49</v>
      </c>
      <c r="S493" t="s">
        <v>50</v>
      </c>
    </row>
    <row r="494" spans="1:19" x14ac:dyDescent="0.25">
      <c r="A494" t="s">
        <v>59</v>
      </c>
      <c r="B494" t="s">
        <v>60</v>
      </c>
      <c r="C494" t="s">
        <v>32</v>
      </c>
      <c r="D494" t="s">
        <v>33</v>
      </c>
      <c r="E494" t="s">
        <v>34</v>
      </c>
      <c r="F494" t="s">
        <v>35</v>
      </c>
      <c r="G494" t="s">
        <v>35</v>
      </c>
      <c r="H494" t="s">
        <v>35</v>
      </c>
      <c r="J494" t="s">
        <v>1128</v>
      </c>
      <c r="K494" t="s">
        <v>1092</v>
      </c>
      <c r="M494">
        <v>0.9</v>
      </c>
      <c r="N494">
        <v>31</v>
      </c>
      <c r="O494" t="s">
        <v>52</v>
      </c>
      <c r="Q494" t="s">
        <v>972</v>
      </c>
      <c r="R494" t="s">
        <v>1129</v>
      </c>
      <c r="S494" t="s">
        <v>1130</v>
      </c>
    </row>
    <row r="495" spans="1:19" x14ac:dyDescent="0.25">
      <c r="A495" t="s">
        <v>59</v>
      </c>
      <c r="B495" t="s">
        <v>60</v>
      </c>
      <c r="C495" t="s">
        <v>32</v>
      </c>
      <c r="D495" t="s">
        <v>33</v>
      </c>
      <c r="E495" t="s">
        <v>34</v>
      </c>
      <c r="F495" t="s">
        <v>35</v>
      </c>
      <c r="G495" t="s">
        <v>35</v>
      </c>
      <c r="H495" t="s">
        <v>35</v>
      </c>
      <c r="J495" t="s">
        <v>1131</v>
      </c>
      <c r="K495" t="s">
        <v>1092</v>
      </c>
      <c r="M495">
        <v>0.50900000000000001</v>
      </c>
      <c r="N495">
        <v>2514</v>
      </c>
      <c r="O495" t="s">
        <v>575</v>
      </c>
      <c r="Q495" t="s">
        <v>1132</v>
      </c>
      <c r="R495" t="s">
        <v>49</v>
      </c>
      <c r="S495" t="s">
        <v>50</v>
      </c>
    </row>
    <row r="496" spans="1:19" x14ac:dyDescent="0.25">
      <c r="A496" t="s">
        <v>59</v>
      </c>
      <c r="B496" t="s">
        <v>60</v>
      </c>
      <c r="C496" t="s">
        <v>32</v>
      </c>
      <c r="D496" t="s">
        <v>33</v>
      </c>
      <c r="E496" t="s">
        <v>34</v>
      </c>
      <c r="F496" t="s">
        <v>35</v>
      </c>
      <c r="G496" t="s">
        <v>35</v>
      </c>
      <c r="H496" t="s">
        <v>35</v>
      </c>
      <c r="J496" t="s">
        <v>1131</v>
      </c>
      <c r="K496" t="s">
        <v>1092</v>
      </c>
      <c r="M496">
        <v>3.45</v>
      </c>
      <c r="N496">
        <v>2078</v>
      </c>
      <c r="O496" t="s">
        <v>575</v>
      </c>
      <c r="Q496" t="s">
        <v>1133</v>
      </c>
      <c r="R496" t="s">
        <v>49</v>
      </c>
      <c r="S496" t="s">
        <v>50</v>
      </c>
    </row>
    <row r="497" spans="1:19" x14ac:dyDescent="0.25">
      <c r="A497" t="s">
        <v>30</v>
      </c>
      <c r="B497" t="s">
        <v>31</v>
      </c>
      <c r="C497" t="s">
        <v>32</v>
      </c>
      <c r="D497" t="s">
        <v>33</v>
      </c>
      <c r="E497" t="s">
        <v>34</v>
      </c>
      <c r="F497" t="s">
        <v>35</v>
      </c>
      <c r="G497" t="s">
        <v>35</v>
      </c>
      <c r="H497" t="s">
        <v>35</v>
      </c>
      <c r="J497" t="s">
        <v>1131</v>
      </c>
      <c r="K497" t="s">
        <v>1092</v>
      </c>
      <c r="M497">
        <v>0.4</v>
      </c>
      <c r="N497">
        <v>2514</v>
      </c>
      <c r="O497" t="s">
        <v>575</v>
      </c>
      <c r="Q497" t="s">
        <v>1132</v>
      </c>
      <c r="R497" t="s">
        <v>49</v>
      </c>
      <c r="S497" t="s">
        <v>50</v>
      </c>
    </row>
    <row r="498" spans="1:19" x14ac:dyDescent="0.25">
      <c r="A498" t="s">
        <v>59</v>
      </c>
      <c r="B498" t="s">
        <v>60</v>
      </c>
      <c r="C498" t="s">
        <v>32</v>
      </c>
      <c r="D498" t="s">
        <v>33</v>
      </c>
      <c r="E498" t="s">
        <v>34</v>
      </c>
      <c r="F498" t="s">
        <v>35</v>
      </c>
      <c r="G498" t="s">
        <v>35</v>
      </c>
      <c r="H498" t="s">
        <v>35</v>
      </c>
      <c r="J498" t="s">
        <v>1131</v>
      </c>
      <c r="K498" t="s">
        <v>1092</v>
      </c>
      <c r="M498">
        <v>0.5</v>
      </c>
      <c r="N498">
        <v>1993</v>
      </c>
      <c r="O498" t="s">
        <v>575</v>
      </c>
      <c r="Q498" t="s">
        <v>1136</v>
      </c>
      <c r="R498" t="s">
        <v>49</v>
      </c>
      <c r="S498" t="s">
        <v>50</v>
      </c>
    </row>
    <row r="499" spans="1:19" x14ac:dyDescent="0.25">
      <c r="A499" t="s">
        <v>59</v>
      </c>
      <c r="B499" t="s">
        <v>60</v>
      </c>
      <c r="C499" t="s">
        <v>32</v>
      </c>
      <c r="D499" t="s">
        <v>33</v>
      </c>
      <c r="E499" t="s">
        <v>34</v>
      </c>
      <c r="F499" t="s">
        <v>35</v>
      </c>
      <c r="G499" t="s">
        <v>35</v>
      </c>
      <c r="H499" t="s">
        <v>35</v>
      </c>
      <c r="J499" t="s">
        <v>1131</v>
      </c>
      <c r="K499" t="s">
        <v>1092</v>
      </c>
      <c r="M499">
        <v>0.25</v>
      </c>
      <c r="N499">
        <v>1981</v>
      </c>
      <c r="O499" t="s">
        <v>575</v>
      </c>
      <c r="Q499" t="s">
        <v>1137</v>
      </c>
      <c r="R499" t="s">
        <v>49</v>
      </c>
      <c r="S499" t="s">
        <v>50</v>
      </c>
    </row>
    <row r="500" spans="1:19" x14ac:dyDescent="0.25">
      <c r="A500" t="s">
        <v>59</v>
      </c>
      <c r="B500" t="s">
        <v>60</v>
      </c>
      <c r="C500" t="s">
        <v>32</v>
      </c>
      <c r="D500" t="s">
        <v>33</v>
      </c>
      <c r="E500" t="s">
        <v>34</v>
      </c>
      <c r="F500" t="s">
        <v>35</v>
      </c>
      <c r="G500" t="s">
        <v>35</v>
      </c>
      <c r="H500" t="s">
        <v>35</v>
      </c>
      <c r="J500" t="s">
        <v>1131</v>
      </c>
      <c r="K500" t="s">
        <v>1092</v>
      </c>
      <c r="M500">
        <v>0.15</v>
      </c>
      <c r="N500">
        <v>1974</v>
      </c>
      <c r="O500" t="s">
        <v>575</v>
      </c>
      <c r="Q500" t="s">
        <v>1135</v>
      </c>
      <c r="R500" t="s">
        <v>49</v>
      </c>
      <c r="S500" t="s">
        <v>50</v>
      </c>
    </row>
    <row r="501" spans="1:19" x14ac:dyDescent="0.25">
      <c r="A501" t="s">
        <v>59</v>
      </c>
      <c r="B501" t="s">
        <v>31</v>
      </c>
      <c r="C501" t="s">
        <v>32</v>
      </c>
      <c r="D501" t="s">
        <v>33</v>
      </c>
      <c r="E501" t="s">
        <v>34</v>
      </c>
      <c r="F501" t="s">
        <v>35</v>
      </c>
      <c r="G501" t="s">
        <v>35</v>
      </c>
      <c r="H501" t="s">
        <v>35</v>
      </c>
      <c r="J501" t="s">
        <v>1131</v>
      </c>
      <c r="K501" t="s">
        <v>1092</v>
      </c>
      <c r="M501">
        <v>1.8</v>
      </c>
      <c r="N501">
        <v>2078</v>
      </c>
      <c r="O501" t="s">
        <v>575</v>
      </c>
      <c r="Q501" t="s">
        <v>1133</v>
      </c>
      <c r="R501" t="s">
        <v>49</v>
      </c>
      <c r="S501" t="s">
        <v>50</v>
      </c>
    </row>
    <row r="502" spans="1:19" x14ac:dyDescent="0.25">
      <c r="A502" t="s">
        <v>59</v>
      </c>
      <c r="B502" t="s">
        <v>60</v>
      </c>
      <c r="C502" t="s">
        <v>32</v>
      </c>
      <c r="D502" t="s">
        <v>33</v>
      </c>
      <c r="E502" t="s">
        <v>34</v>
      </c>
      <c r="F502" t="s">
        <v>35</v>
      </c>
      <c r="G502" t="s">
        <v>35</v>
      </c>
      <c r="H502" t="s">
        <v>35</v>
      </c>
      <c r="J502" t="s">
        <v>1131</v>
      </c>
      <c r="K502" t="s">
        <v>1092</v>
      </c>
      <c r="M502">
        <v>0.5</v>
      </c>
      <c r="N502">
        <v>1972</v>
      </c>
      <c r="O502" t="s">
        <v>575</v>
      </c>
      <c r="Q502" t="s">
        <v>1134</v>
      </c>
      <c r="R502" t="s">
        <v>49</v>
      </c>
      <c r="S502" t="s">
        <v>50</v>
      </c>
    </row>
    <row r="503" spans="1:19" x14ac:dyDescent="0.25">
      <c r="A503" t="s">
        <v>59</v>
      </c>
      <c r="B503" t="s">
        <v>31</v>
      </c>
      <c r="C503" t="s">
        <v>32</v>
      </c>
      <c r="D503" t="s">
        <v>33</v>
      </c>
      <c r="E503" t="s">
        <v>34</v>
      </c>
      <c r="F503" t="s">
        <v>35</v>
      </c>
      <c r="G503" t="s">
        <v>35</v>
      </c>
      <c r="H503" t="s">
        <v>35</v>
      </c>
      <c r="J503" t="s">
        <v>1138</v>
      </c>
      <c r="K503" t="s">
        <v>1092</v>
      </c>
      <c r="M503">
        <v>10.484999999999999</v>
      </c>
      <c r="N503">
        <v>63</v>
      </c>
      <c r="O503" t="s">
        <v>61</v>
      </c>
      <c r="Q503" t="s">
        <v>423</v>
      </c>
      <c r="R503" t="s">
        <v>103</v>
      </c>
      <c r="S503" t="s">
        <v>104</v>
      </c>
    </row>
    <row r="504" spans="1:19" x14ac:dyDescent="0.25">
      <c r="A504" t="s">
        <v>44</v>
      </c>
      <c r="B504" t="s">
        <v>3</v>
      </c>
      <c r="C504" t="s">
        <v>32</v>
      </c>
      <c r="D504" t="s">
        <v>33</v>
      </c>
      <c r="E504" t="s">
        <v>34</v>
      </c>
      <c r="F504" t="s">
        <v>35</v>
      </c>
      <c r="G504" t="s">
        <v>35</v>
      </c>
      <c r="H504" t="s">
        <v>35</v>
      </c>
      <c r="J504" t="s">
        <v>1139</v>
      </c>
      <c r="K504" t="s">
        <v>1092</v>
      </c>
      <c r="M504">
        <v>0.2</v>
      </c>
      <c r="N504">
        <v>236</v>
      </c>
      <c r="O504" t="s">
        <v>5</v>
      </c>
      <c r="Q504" t="s">
        <v>1140</v>
      </c>
      <c r="R504" t="s">
        <v>49</v>
      </c>
      <c r="S504" t="s">
        <v>50</v>
      </c>
    </row>
    <row r="505" spans="1:19" x14ac:dyDescent="0.25">
      <c r="A505" t="s">
        <v>59</v>
      </c>
      <c r="B505" t="s">
        <v>60</v>
      </c>
      <c r="C505" t="s">
        <v>32</v>
      </c>
      <c r="D505" t="s">
        <v>33</v>
      </c>
      <c r="E505" t="s">
        <v>34</v>
      </c>
      <c r="F505" t="s">
        <v>35</v>
      </c>
      <c r="G505" t="s">
        <v>35</v>
      </c>
      <c r="H505" t="s">
        <v>35</v>
      </c>
      <c r="J505" t="s">
        <v>1139</v>
      </c>
      <c r="K505" t="s">
        <v>1092</v>
      </c>
      <c r="M505">
        <v>0.1</v>
      </c>
      <c r="N505">
        <v>236</v>
      </c>
      <c r="O505" t="s">
        <v>5</v>
      </c>
      <c r="Q505" t="s">
        <v>1140</v>
      </c>
      <c r="R505" t="s">
        <v>49</v>
      </c>
      <c r="S505" t="s">
        <v>50</v>
      </c>
    </row>
    <row r="506" spans="1:19" x14ac:dyDescent="0.25">
      <c r="A506" t="s">
        <v>59</v>
      </c>
      <c r="B506" t="s">
        <v>31</v>
      </c>
      <c r="C506" t="s">
        <v>32</v>
      </c>
      <c r="D506" t="s">
        <v>33</v>
      </c>
      <c r="E506" t="s">
        <v>34</v>
      </c>
      <c r="F506" t="s">
        <v>35</v>
      </c>
      <c r="G506" t="s">
        <v>35</v>
      </c>
      <c r="H506" t="s">
        <v>35</v>
      </c>
      <c r="J506" t="s">
        <v>1139</v>
      </c>
      <c r="K506" t="s">
        <v>1092</v>
      </c>
      <c r="M506">
        <v>0.09</v>
      </c>
      <c r="N506">
        <v>236</v>
      </c>
      <c r="O506" t="s">
        <v>5</v>
      </c>
      <c r="Q506" t="s">
        <v>1140</v>
      </c>
      <c r="R506" t="s">
        <v>49</v>
      </c>
      <c r="S506" t="s">
        <v>50</v>
      </c>
    </row>
    <row r="507" spans="1:19" x14ac:dyDescent="0.25">
      <c r="A507" t="s">
        <v>30</v>
      </c>
      <c r="B507" t="s">
        <v>31</v>
      </c>
      <c r="C507" t="s">
        <v>32</v>
      </c>
      <c r="D507" t="s">
        <v>33</v>
      </c>
      <c r="E507" t="s">
        <v>34</v>
      </c>
      <c r="F507" t="s">
        <v>35</v>
      </c>
      <c r="G507" t="s">
        <v>35</v>
      </c>
      <c r="H507" t="s">
        <v>35</v>
      </c>
      <c r="J507" t="s">
        <v>1141</v>
      </c>
      <c r="K507" t="s">
        <v>1092</v>
      </c>
      <c r="M507">
        <v>3.78</v>
      </c>
      <c r="N507">
        <v>25</v>
      </c>
      <c r="O507" t="s">
        <v>46</v>
      </c>
      <c r="Q507" t="s">
        <v>831</v>
      </c>
      <c r="R507" t="s">
        <v>1142</v>
      </c>
      <c r="S507" t="s">
        <v>88</v>
      </c>
    </row>
    <row r="508" spans="1:19" x14ac:dyDescent="0.25">
      <c r="A508" t="s">
        <v>59</v>
      </c>
      <c r="B508" t="s">
        <v>31</v>
      </c>
      <c r="C508" t="s">
        <v>32</v>
      </c>
      <c r="D508" t="s">
        <v>33</v>
      </c>
      <c r="E508" t="s">
        <v>34</v>
      </c>
      <c r="F508" t="s">
        <v>35</v>
      </c>
      <c r="G508" t="s">
        <v>35</v>
      </c>
      <c r="H508" t="s">
        <v>35</v>
      </c>
      <c r="J508" t="s">
        <v>1141</v>
      </c>
      <c r="K508" t="s">
        <v>1092</v>
      </c>
      <c r="M508">
        <v>0.13500000000000001</v>
      </c>
      <c r="N508">
        <v>62</v>
      </c>
      <c r="O508" t="s">
        <v>61</v>
      </c>
      <c r="Q508" t="s">
        <v>90</v>
      </c>
      <c r="R508" t="s">
        <v>1142</v>
      </c>
      <c r="S508" t="s">
        <v>88</v>
      </c>
    </row>
    <row r="509" spans="1:19" x14ac:dyDescent="0.25">
      <c r="A509" t="s">
        <v>59</v>
      </c>
      <c r="B509" t="s">
        <v>60</v>
      </c>
      <c r="C509" t="s">
        <v>32</v>
      </c>
      <c r="D509" t="s">
        <v>33</v>
      </c>
      <c r="E509" t="s">
        <v>34</v>
      </c>
      <c r="F509" t="s">
        <v>35</v>
      </c>
      <c r="G509" t="s">
        <v>35</v>
      </c>
      <c r="H509" t="s">
        <v>35</v>
      </c>
      <c r="J509" t="s">
        <v>1143</v>
      </c>
      <c r="K509" t="s">
        <v>1144</v>
      </c>
      <c r="M509">
        <v>5</v>
      </c>
      <c r="N509">
        <v>91</v>
      </c>
      <c r="O509" t="s">
        <v>106</v>
      </c>
      <c r="Q509" t="s">
        <v>1147</v>
      </c>
      <c r="R509" t="s">
        <v>193</v>
      </c>
      <c r="S509" t="s">
        <v>181</v>
      </c>
    </row>
    <row r="510" spans="1:19" x14ac:dyDescent="0.25">
      <c r="A510" t="s">
        <v>44</v>
      </c>
      <c r="B510" t="s">
        <v>3</v>
      </c>
      <c r="C510" t="s">
        <v>32</v>
      </c>
      <c r="D510" t="s">
        <v>33</v>
      </c>
      <c r="E510" t="s">
        <v>34</v>
      </c>
      <c r="F510" t="s">
        <v>35</v>
      </c>
      <c r="G510" t="s">
        <v>35</v>
      </c>
      <c r="H510" t="s">
        <v>35</v>
      </c>
      <c r="J510" t="s">
        <v>1143</v>
      </c>
      <c r="K510" t="s">
        <v>1144</v>
      </c>
      <c r="M510">
        <v>5.5</v>
      </c>
      <c r="N510">
        <v>56</v>
      </c>
      <c r="O510" t="s">
        <v>52</v>
      </c>
      <c r="Q510" t="s">
        <v>453</v>
      </c>
      <c r="R510" t="s">
        <v>193</v>
      </c>
      <c r="S510" t="s">
        <v>181</v>
      </c>
    </row>
    <row r="511" spans="1:19" x14ac:dyDescent="0.25">
      <c r="A511" t="s">
        <v>44</v>
      </c>
      <c r="B511" t="s">
        <v>3</v>
      </c>
      <c r="C511" t="s">
        <v>32</v>
      </c>
      <c r="D511" t="s">
        <v>33</v>
      </c>
      <c r="E511" t="s">
        <v>34</v>
      </c>
      <c r="F511" t="s">
        <v>35</v>
      </c>
      <c r="G511" t="s">
        <v>35</v>
      </c>
      <c r="H511" t="s">
        <v>35</v>
      </c>
      <c r="J511" t="s">
        <v>1143</v>
      </c>
      <c r="K511" t="s">
        <v>1144</v>
      </c>
      <c r="M511">
        <v>2.75</v>
      </c>
      <c r="N511">
        <v>172</v>
      </c>
      <c r="O511" t="s">
        <v>38</v>
      </c>
      <c r="Q511" t="s">
        <v>1124</v>
      </c>
      <c r="R511" t="s">
        <v>49</v>
      </c>
      <c r="S511" t="s">
        <v>50</v>
      </c>
    </row>
    <row r="512" spans="1:19" x14ac:dyDescent="0.25">
      <c r="A512" t="s">
        <v>44</v>
      </c>
      <c r="B512" t="s">
        <v>3</v>
      </c>
      <c r="C512" t="s">
        <v>32</v>
      </c>
      <c r="D512" t="s">
        <v>33</v>
      </c>
      <c r="E512" t="s">
        <v>34</v>
      </c>
      <c r="F512" t="s">
        <v>35</v>
      </c>
      <c r="G512" t="s">
        <v>35</v>
      </c>
      <c r="H512" t="s">
        <v>35</v>
      </c>
      <c r="J512" t="s">
        <v>1143</v>
      </c>
      <c r="K512" t="s">
        <v>1144</v>
      </c>
      <c r="M512">
        <v>3.25</v>
      </c>
      <c r="N512">
        <v>157</v>
      </c>
      <c r="O512" t="s">
        <v>38</v>
      </c>
      <c r="Q512" t="s">
        <v>1145</v>
      </c>
      <c r="R512" t="s">
        <v>49</v>
      </c>
      <c r="S512" t="s">
        <v>50</v>
      </c>
    </row>
    <row r="513" spans="1:19" x14ac:dyDescent="0.25">
      <c r="A513" t="s">
        <v>59</v>
      </c>
      <c r="B513" t="s">
        <v>31</v>
      </c>
      <c r="C513" t="s">
        <v>32</v>
      </c>
      <c r="D513" t="s">
        <v>33</v>
      </c>
      <c r="E513" t="s">
        <v>34</v>
      </c>
      <c r="F513" t="s">
        <v>35</v>
      </c>
      <c r="G513" t="s">
        <v>35</v>
      </c>
      <c r="H513" t="s">
        <v>35</v>
      </c>
      <c r="J513" t="s">
        <v>1143</v>
      </c>
      <c r="K513" t="s">
        <v>1144</v>
      </c>
      <c r="M513">
        <v>2.2949999999999999</v>
      </c>
      <c r="N513">
        <v>521</v>
      </c>
      <c r="O513" t="s">
        <v>294</v>
      </c>
      <c r="Q513" t="s">
        <v>1146</v>
      </c>
      <c r="R513" t="s">
        <v>193</v>
      </c>
      <c r="S513" t="s">
        <v>181</v>
      </c>
    </row>
    <row r="514" spans="1:19" x14ac:dyDescent="0.25">
      <c r="A514" t="s">
        <v>59</v>
      </c>
      <c r="B514" t="s">
        <v>60</v>
      </c>
      <c r="C514" t="s">
        <v>32</v>
      </c>
      <c r="D514" t="s">
        <v>33</v>
      </c>
      <c r="E514" t="s">
        <v>34</v>
      </c>
      <c r="F514" t="s">
        <v>35</v>
      </c>
      <c r="G514" t="s">
        <v>35</v>
      </c>
      <c r="H514" t="s">
        <v>35</v>
      </c>
      <c r="J514" t="s">
        <v>1143</v>
      </c>
      <c r="K514" t="s">
        <v>1144</v>
      </c>
      <c r="M514">
        <v>5.5</v>
      </c>
      <c r="N514">
        <v>71</v>
      </c>
      <c r="O514" t="s">
        <v>61</v>
      </c>
      <c r="Q514" t="s">
        <v>102</v>
      </c>
      <c r="R514" t="s">
        <v>49</v>
      </c>
      <c r="S514" t="s">
        <v>50</v>
      </c>
    </row>
    <row r="515" spans="1:19" x14ac:dyDescent="0.25">
      <c r="A515" t="s">
        <v>59</v>
      </c>
      <c r="B515" t="s">
        <v>60</v>
      </c>
      <c r="C515" t="s">
        <v>32</v>
      </c>
      <c r="D515" t="s">
        <v>33</v>
      </c>
      <c r="E515" t="s">
        <v>34</v>
      </c>
      <c r="F515" t="s">
        <v>35</v>
      </c>
      <c r="G515" t="s">
        <v>35</v>
      </c>
      <c r="H515" t="s">
        <v>35</v>
      </c>
      <c r="J515" t="s">
        <v>1148</v>
      </c>
      <c r="K515" t="s">
        <v>1092</v>
      </c>
      <c r="M515">
        <v>2.5</v>
      </c>
      <c r="N515">
        <v>72</v>
      </c>
      <c r="O515" t="s">
        <v>61</v>
      </c>
      <c r="Q515" t="s">
        <v>63</v>
      </c>
      <c r="R515" t="s">
        <v>169</v>
      </c>
      <c r="S515" t="s">
        <v>123</v>
      </c>
    </row>
    <row r="516" spans="1:19" x14ac:dyDescent="0.25">
      <c r="A516" t="s">
        <v>59</v>
      </c>
      <c r="B516" t="s">
        <v>60</v>
      </c>
      <c r="C516" t="s">
        <v>32</v>
      </c>
      <c r="D516" t="s">
        <v>33</v>
      </c>
      <c r="E516" t="s">
        <v>34</v>
      </c>
      <c r="F516" t="s">
        <v>35</v>
      </c>
      <c r="G516" t="s">
        <v>35</v>
      </c>
      <c r="H516" t="s">
        <v>35</v>
      </c>
      <c r="J516" t="s">
        <v>1148</v>
      </c>
      <c r="K516" t="s">
        <v>1092</v>
      </c>
      <c r="M516">
        <v>3.65</v>
      </c>
      <c r="N516">
        <v>72</v>
      </c>
      <c r="O516" t="s">
        <v>61</v>
      </c>
      <c r="Q516" t="s">
        <v>63</v>
      </c>
      <c r="R516" t="s">
        <v>193</v>
      </c>
      <c r="S516" t="s">
        <v>181</v>
      </c>
    </row>
    <row r="517" spans="1:19" x14ac:dyDescent="0.25">
      <c r="A517" t="s">
        <v>30</v>
      </c>
      <c r="B517" t="s">
        <v>31</v>
      </c>
      <c r="C517" t="s">
        <v>32</v>
      </c>
      <c r="D517" t="s">
        <v>33</v>
      </c>
      <c r="E517" t="s">
        <v>34</v>
      </c>
      <c r="F517" t="s">
        <v>35</v>
      </c>
      <c r="G517" t="s">
        <v>35</v>
      </c>
      <c r="H517" t="s">
        <v>35</v>
      </c>
      <c r="J517" t="s">
        <v>1148</v>
      </c>
      <c r="K517" t="s">
        <v>1092</v>
      </c>
      <c r="M517">
        <v>0.76500000000000001</v>
      </c>
      <c r="N517">
        <v>145</v>
      </c>
      <c r="O517" t="s">
        <v>38</v>
      </c>
      <c r="Q517" t="s">
        <v>1149</v>
      </c>
      <c r="R517" t="s">
        <v>169</v>
      </c>
      <c r="S517" t="s">
        <v>123</v>
      </c>
    </row>
    <row r="518" spans="1:19" x14ac:dyDescent="0.25">
      <c r="A518" t="s">
        <v>59</v>
      </c>
      <c r="B518" t="s">
        <v>60</v>
      </c>
      <c r="C518" t="s">
        <v>32</v>
      </c>
      <c r="D518" t="s">
        <v>33</v>
      </c>
      <c r="E518" t="s">
        <v>34</v>
      </c>
      <c r="F518" t="s">
        <v>35</v>
      </c>
      <c r="G518" t="s">
        <v>35</v>
      </c>
      <c r="H518" t="s">
        <v>35</v>
      </c>
      <c r="J518" t="s">
        <v>1121</v>
      </c>
      <c r="K518" t="s">
        <v>1092</v>
      </c>
      <c r="M518">
        <v>0.25</v>
      </c>
      <c r="N518">
        <v>224</v>
      </c>
      <c r="O518" t="s">
        <v>5</v>
      </c>
      <c r="Q518" t="s">
        <v>1150</v>
      </c>
      <c r="R518" t="s">
        <v>193</v>
      </c>
      <c r="S518" t="s">
        <v>181</v>
      </c>
    </row>
    <row r="519" spans="1:19" x14ac:dyDescent="0.25">
      <c r="A519" t="s">
        <v>59</v>
      </c>
      <c r="B519" t="s">
        <v>60</v>
      </c>
      <c r="C519" t="s">
        <v>32</v>
      </c>
      <c r="D519" t="s">
        <v>33</v>
      </c>
      <c r="E519" t="s">
        <v>34</v>
      </c>
      <c r="F519" t="s">
        <v>35</v>
      </c>
      <c r="G519" t="s">
        <v>35</v>
      </c>
      <c r="H519" t="s">
        <v>35</v>
      </c>
      <c r="J519" t="s">
        <v>1121</v>
      </c>
      <c r="K519" t="s">
        <v>1092</v>
      </c>
      <c r="M519">
        <v>0.25</v>
      </c>
      <c r="N519">
        <v>243</v>
      </c>
      <c r="O519" t="s">
        <v>5</v>
      </c>
      <c r="Q519" t="s">
        <v>1151</v>
      </c>
      <c r="R519" t="s">
        <v>193</v>
      </c>
      <c r="S519" t="s">
        <v>181</v>
      </c>
    </row>
    <row r="520" spans="1:19" x14ac:dyDescent="0.25">
      <c r="A520" t="s">
        <v>59</v>
      </c>
      <c r="B520" t="s">
        <v>31</v>
      </c>
      <c r="C520" t="s">
        <v>32</v>
      </c>
      <c r="D520" t="s">
        <v>33</v>
      </c>
      <c r="E520" t="s">
        <v>34</v>
      </c>
      <c r="F520" t="s">
        <v>35</v>
      </c>
      <c r="G520" t="s">
        <v>35</v>
      </c>
      <c r="H520" t="s">
        <v>35</v>
      </c>
      <c r="J520" t="s">
        <v>1121</v>
      </c>
      <c r="K520" t="s">
        <v>1092</v>
      </c>
      <c r="M520">
        <v>0.09</v>
      </c>
      <c r="N520">
        <v>72</v>
      </c>
      <c r="O520" t="s">
        <v>61</v>
      </c>
      <c r="Q520" t="s">
        <v>63</v>
      </c>
      <c r="R520" t="s">
        <v>169</v>
      </c>
      <c r="S520" t="s">
        <v>123</v>
      </c>
    </row>
    <row r="521" spans="1:19" x14ac:dyDescent="0.25">
      <c r="A521" t="s">
        <v>59</v>
      </c>
      <c r="B521" t="s">
        <v>60</v>
      </c>
      <c r="C521" t="s">
        <v>32</v>
      </c>
      <c r="D521" t="s">
        <v>33</v>
      </c>
      <c r="E521" t="s">
        <v>34</v>
      </c>
      <c r="F521" t="s">
        <v>35</v>
      </c>
      <c r="G521" t="s">
        <v>35</v>
      </c>
      <c r="H521" t="s">
        <v>35</v>
      </c>
      <c r="J521" t="s">
        <v>1152</v>
      </c>
      <c r="K521" t="s">
        <v>1092</v>
      </c>
      <c r="M521">
        <v>7.2</v>
      </c>
      <c r="N521">
        <v>100</v>
      </c>
      <c r="O521" t="s">
        <v>106</v>
      </c>
      <c r="Q521" t="s">
        <v>1112</v>
      </c>
      <c r="R521" t="s">
        <v>85</v>
      </c>
      <c r="S521" t="s">
        <v>86</v>
      </c>
    </row>
    <row r="522" spans="1:19" x14ac:dyDescent="0.25">
      <c r="A522" t="s">
        <v>59</v>
      </c>
      <c r="B522" t="s">
        <v>31</v>
      </c>
      <c r="C522" t="s">
        <v>32</v>
      </c>
      <c r="D522" t="s">
        <v>33</v>
      </c>
      <c r="E522" t="s">
        <v>34</v>
      </c>
      <c r="F522" t="s">
        <v>35</v>
      </c>
      <c r="G522" t="s">
        <v>35</v>
      </c>
      <c r="H522" t="s">
        <v>35</v>
      </c>
      <c r="J522" t="s">
        <v>1152</v>
      </c>
      <c r="K522" t="s">
        <v>1092</v>
      </c>
      <c r="M522">
        <v>0.27</v>
      </c>
      <c r="N522">
        <v>100</v>
      </c>
      <c r="O522" t="s">
        <v>106</v>
      </c>
      <c r="Q522" t="s">
        <v>1112</v>
      </c>
      <c r="R522" t="s">
        <v>85</v>
      </c>
      <c r="S522" t="s">
        <v>86</v>
      </c>
    </row>
    <row r="523" spans="1:19" x14ac:dyDescent="0.25">
      <c r="A523" t="s">
        <v>30</v>
      </c>
      <c r="B523" t="s">
        <v>31</v>
      </c>
      <c r="C523" t="s">
        <v>32</v>
      </c>
      <c r="D523" t="s">
        <v>33</v>
      </c>
      <c r="E523" t="s">
        <v>34</v>
      </c>
      <c r="F523" t="s">
        <v>35</v>
      </c>
      <c r="G523" t="s">
        <v>35</v>
      </c>
      <c r="H523" t="s">
        <v>35</v>
      </c>
      <c r="J523" t="s">
        <v>1152</v>
      </c>
      <c r="K523" t="s">
        <v>1092</v>
      </c>
      <c r="M523">
        <v>10.98</v>
      </c>
      <c r="N523">
        <v>46</v>
      </c>
      <c r="O523" t="s">
        <v>52</v>
      </c>
      <c r="Q523" t="s">
        <v>493</v>
      </c>
      <c r="R523" t="s">
        <v>85</v>
      </c>
      <c r="S523" t="s">
        <v>86</v>
      </c>
    </row>
    <row r="524" spans="1:19" x14ac:dyDescent="0.25">
      <c r="A524" t="s">
        <v>30</v>
      </c>
      <c r="B524" t="s">
        <v>31</v>
      </c>
      <c r="C524" t="s">
        <v>32</v>
      </c>
      <c r="D524" t="s">
        <v>33</v>
      </c>
      <c r="E524" t="s">
        <v>34</v>
      </c>
      <c r="F524" t="s">
        <v>35</v>
      </c>
      <c r="G524" t="s">
        <v>35</v>
      </c>
      <c r="H524" t="s">
        <v>35</v>
      </c>
      <c r="J524" t="s">
        <v>1153</v>
      </c>
      <c r="K524" t="s">
        <v>1092</v>
      </c>
      <c r="M524">
        <v>4.5</v>
      </c>
      <c r="N524">
        <v>30</v>
      </c>
      <c r="O524" t="s">
        <v>46</v>
      </c>
      <c r="Q524" t="s">
        <v>793</v>
      </c>
      <c r="R524" t="s">
        <v>49</v>
      </c>
      <c r="S524" t="s">
        <v>50</v>
      </c>
    </row>
    <row r="525" spans="1:19" x14ac:dyDescent="0.25">
      <c r="A525" t="s">
        <v>44</v>
      </c>
      <c r="B525" t="s">
        <v>3</v>
      </c>
      <c r="C525" t="s">
        <v>32</v>
      </c>
      <c r="D525" t="s">
        <v>33</v>
      </c>
      <c r="E525" t="s">
        <v>34</v>
      </c>
      <c r="F525" t="s">
        <v>35</v>
      </c>
      <c r="G525" t="s">
        <v>35</v>
      </c>
      <c r="H525" t="s">
        <v>35</v>
      </c>
      <c r="J525" t="s">
        <v>1155</v>
      </c>
      <c r="K525" t="s">
        <v>1092</v>
      </c>
      <c r="M525">
        <v>0.1</v>
      </c>
      <c r="N525">
        <v>172</v>
      </c>
      <c r="O525" t="s">
        <v>38</v>
      </c>
      <c r="Q525" t="s">
        <v>1124</v>
      </c>
      <c r="R525" t="s">
        <v>49</v>
      </c>
      <c r="S525" t="s">
        <v>50</v>
      </c>
    </row>
    <row r="526" spans="1:19" x14ac:dyDescent="0.25">
      <c r="A526" t="s">
        <v>30</v>
      </c>
      <c r="B526" t="s">
        <v>31</v>
      </c>
      <c r="C526" t="s">
        <v>32</v>
      </c>
      <c r="D526" t="s">
        <v>33</v>
      </c>
      <c r="E526" t="s">
        <v>34</v>
      </c>
      <c r="F526" t="s">
        <v>35</v>
      </c>
      <c r="G526" t="s">
        <v>35</v>
      </c>
      <c r="H526" t="s">
        <v>35</v>
      </c>
      <c r="J526" t="s">
        <v>1155</v>
      </c>
      <c r="K526" t="s">
        <v>1092</v>
      </c>
      <c r="M526">
        <v>3.105</v>
      </c>
      <c r="N526">
        <v>30</v>
      </c>
      <c r="O526" t="s">
        <v>46</v>
      </c>
      <c r="Q526" t="s">
        <v>793</v>
      </c>
      <c r="R526" t="s">
        <v>49</v>
      </c>
      <c r="S526" t="s">
        <v>50</v>
      </c>
    </row>
    <row r="527" spans="1:19" x14ac:dyDescent="0.25">
      <c r="A527" t="s">
        <v>59</v>
      </c>
      <c r="B527" t="s">
        <v>60</v>
      </c>
      <c r="C527" t="s">
        <v>32</v>
      </c>
      <c r="D527" t="s">
        <v>33</v>
      </c>
      <c r="E527" t="s">
        <v>34</v>
      </c>
      <c r="F527" t="s">
        <v>35</v>
      </c>
      <c r="G527" t="s">
        <v>35</v>
      </c>
      <c r="H527" t="s">
        <v>35</v>
      </c>
      <c r="J527" t="s">
        <v>1155</v>
      </c>
      <c r="K527" t="s">
        <v>1092</v>
      </c>
      <c r="M527">
        <v>3.55</v>
      </c>
      <c r="N527">
        <v>79</v>
      </c>
      <c r="O527" t="s">
        <v>61</v>
      </c>
      <c r="Q527" t="s">
        <v>1156</v>
      </c>
      <c r="R527" t="s">
        <v>49</v>
      </c>
      <c r="S527" t="s">
        <v>50</v>
      </c>
    </row>
    <row r="528" spans="1:19" x14ac:dyDescent="0.25">
      <c r="A528" t="s">
        <v>59</v>
      </c>
      <c r="B528" t="s">
        <v>60</v>
      </c>
      <c r="C528" t="s">
        <v>32</v>
      </c>
      <c r="D528" t="s">
        <v>33</v>
      </c>
      <c r="E528" t="s">
        <v>34</v>
      </c>
      <c r="F528" t="s">
        <v>35</v>
      </c>
      <c r="G528" t="s">
        <v>35</v>
      </c>
      <c r="H528" t="s">
        <v>35</v>
      </c>
      <c r="J528" t="s">
        <v>1157</v>
      </c>
      <c r="K528" t="s">
        <v>1092</v>
      </c>
      <c r="M528">
        <v>11.5</v>
      </c>
      <c r="N528">
        <v>72</v>
      </c>
      <c r="O528" t="s">
        <v>61</v>
      </c>
      <c r="Q528" t="s">
        <v>63</v>
      </c>
      <c r="R528" t="s">
        <v>169</v>
      </c>
      <c r="S528" t="s">
        <v>123</v>
      </c>
    </row>
    <row r="529" spans="1:19" x14ac:dyDescent="0.25">
      <c r="A529" t="s">
        <v>59</v>
      </c>
      <c r="B529" t="s">
        <v>60</v>
      </c>
      <c r="C529" t="s">
        <v>32</v>
      </c>
      <c r="D529" t="s">
        <v>33</v>
      </c>
      <c r="E529" t="s">
        <v>34</v>
      </c>
      <c r="F529" t="s">
        <v>35</v>
      </c>
      <c r="G529" t="s">
        <v>35</v>
      </c>
      <c r="H529" t="s">
        <v>35</v>
      </c>
      <c r="J529" t="s">
        <v>1157</v>
      </c>
      <c r="K529" t="s">
        <v>1092</v>
      </c>
      <c r="M529">
        <v>4</v>
      </c>
      <c r="N529">
        <v>94</v>
      </c>
      <c r="O529" t="s">
        <v>106</v>
      </c>
      <c r="Q529" t="s">
        <v>394</v>
      </c>
      <c r="R529" t="s">
        <v>199</v>
      </c>
      <c r="S529" t="s">
        <v>200</v>
      </c>
    </row>
    <row r="530" spans="1:19" x14ac:dyDescent="0.25">
      <c r="A530" t="s">
        <v>59</v>
      </c>
      <c r="B530" t="s">
        <v>31</v>
      </c>
      <c r="C530" t="s">
        <v>32</v>
      </c>
      <c r="D530" t="s">
        <v>33</v>
      </c>
      <c r="E530" t="s">
        <v>34</v>
      </c>
      <c r="F530" t="s">
        <v>35</v>
      </c>
      <c r="G530" t="s">
        <v>35</v>
      </c>
      <c r="H530" t="s">
        <v>35</v>
      </c>
      <c r="J530" t="s">
        <v>1158</v>
      </c>
      <c r="K530" t="s">
        <v>1092</v>
      </c>
      <c r="M530">
        <v>0.09</v>
      </c>
      <c r="N530">
        <v>217</v>
      </c>
      <c r="O530" t="s">
        <v>5</v>
      </c>
      <c r="Q530" t="s">
        <v>1159</v>
      </c>
      <c r="R530" t="s">
        <v>169</v>
      </c>
      <c r="S530" t="s">
        <v>123</v>
      </c>
    </row>
    <row r="531" spans="1:19" x14ac:dyDescent="0.25">
      <c r="A531" t="s">
        <v>30</v>
      </c>
      <c r="B531" t="s">
        <v>31</v>
      </c>
      <c r="C531" t="s">
        <v>32</v>
      </c>
      <c r="D531" t="s">
        <v>33</v>
      </c>
      <c r="E531" t="s">
        <v>34</v>
      </c>
      <c r="F531" t="s">
        <v>35</v>
      </c>
      <c r="G531" t="s">
        <v>35</v>
      </c>
      <c r="H531" t="s">
        <v>35</v>
      </c>
      <c r="J531" t="s">
        <v>1158</v>
      </c>
      <c r="K531" t="s">
        <v>1092</v>
      </c>
      <c r="M531">
        <v>0.94499999999999995</v>
      </c>
      <c r="N531">
        <v>145</v>
      </c>
      <c r="O531" t="s">
        <v>38</v>
      </c>
      <c r="Q531" t="s">
        <v>1149</v>
      </c>
      <c r="R531" t="s">
        <v>169</v>
      </c>
      <c r="S531" t="s">
        <v>123</v>
      </c>
    </row>
    <row r="532" spans="1:19" x14ac:dyDescent="0.25">
      <c r="A532" t="s">
        <v>59</v>
      </c>
      <c r="B532" t="s">
        <v>60</v>
      </c>
      <c r="C532" t="s">
        <v>32</v>
      </c>
      <c r="D532" t="s">
        <v>33</v>
      </c>
      <c r="E532" t="s">
        <v>34</v>
      </c>
      <c r="F532" t="s">
        <v>35</v>
      </c>
      <c r="G532" t="s">
        <v>35</v>
      </c>
      <c r="H532" t="s">
        <v>35</v>
      </c>
      <c r="J532" t="s">
        <v>1160</v>
      </c>
      <c r="K532" t="s">
        <v>1092</v>
      </c>
      <c r="M532">
        <v>0.79600000000000004</v>
      </c>
      <c r="N532">
        <v>167</v>
      </c>
      <c r="O532" t="s">
        <v>38</v>
      </c>
      <c r="Q532" t="s">
        <v>1120</v>
      </c>
      <c r="R532" t="s">
        <v>193</v>
      </c>
      <c r="S532" t="s">
        <v>181</v>
      </c>
    </row>
    <row r="533" spans="1:19" x14ac:dyDescent="0.25">
      <c r="A533" t="s">
        <v>59</v>
      </c>
      <c r="B533" t="s">
        <v>60</v>
      </c>
      <c r="C533" t="s">
        <v>32</v>
      </c>
      <c r="D533" t="s">
        <v>33</v>
      </c>
      <c r="E533" t="s">
        <v>34</v>
      </c>
      <c r="F533" t="s">
        <v>35</v>
      </c>
      <c r="G533" t="s">
        <v>35</v>
      </c>
      <c r="H533" t="s">
        <v>35</v>
      </c>
      <c r="J533" t="s">
        <v>1161</v>
      </c>
      <c r="K533" t="s">
        <v>1092</v>
      </c>
      <c r="M533">
        <v>0.05</v>
      </c>
      <c r="N533">
        <v>94</v>
      </c>
      <c r="O533" t="s">
        <v>106</v>
      </c>
      <c r="Q533" t="s">
        <v>394</v>
      </c>
      <c r="R533" t="s">
        <v>199</v>
      </c>
      <c r="S533" t="s">
        <v>200</v>
      </c>
    </row>
    <row r="534" spans="1:19" x14ac:dyDescent="0.25">
      <c r="A534" t="s">
        <v>59</v>
      </c>
      <c r="B534" t="s">
        <v>60</v>
      </c>
      <c r="C534" t="s">
        <v>32</v>
      </c>
      <c r="D534" t="s">
        <v>33</v>
      </c>
      <c r="E534" t="s">
        <v>34</v>
      </c>
      <c r="F534" t="s">
        <v>35</v>
      </c>
      <c r="G534" t="s">
        <v>35</v>
      </c>
      <c r="H534" t="s">
        <v>35</v>
      </c>
      <c r="J534" t="s">
        <v>1162</v>
      </c>
      <c r="K534" t="s">
        <v>1092</v>
      </c>
      <c r="M534">
        <v>3.4</v>
      </c>
      <c r="N534">
        <v>73</v>
      </c>
      <c r="O534" t="s">
        <v>61</v>
      </c>
      <c r="Q534" t="s">
        <v>552</v>
      </c>
      <c r="R534" t="s">
        <v>85</v>
      </c>
      <c r="S534" t="s">
        <v>86</v>
      </c>
    </row>
    <row r="535" spans="1:19" x14ac:dyDescent="0.25">
      <c r="A535" t="s">
        <v>59</v>
      </c>
      <c r="B535" t="s">
        <v>60</v>
      </c>
      <c r="C535" t="s">
        <v>32</v>
      </c>
      <c r="D535" t="s">
        <v>33</v>
      </c>
      <c r="E535" t="s">
        <v>34</v>
      </c>
      <c r="F535" t="s">
        <v>35</v>
      </c>
      <c r="G535" t="s">
        <v>35</v>
      </c>
      <c r="H535" t="s">
        <v>35</v>
      </c>
      <c r="J535" t="s">
        <v>1163</v>
      </c>
      <c r="K535" t="s">
        <v>1092</v>
      </c>
      <c r="M535">
        <v>5.5</v>
      </c>
      <c r="N535">
        <v>95</v>
      </c>
      <c r="O535" t="s">
        <v>106</v>
      </c>
      <c r="Q535" t="s">
        <v>724</v>
      </c>
      <c r="R535" t="s">
        <v>169</v>
      </c>
      <c r="S535" t="s">
        <v>123</v>
      </c>
    </row>
    <row r="536" spans="1:19" x14ac:dyDescent="0.25">
      <c r="A536" t="s">
        <v>59</v>
      </c>
      <c r="B536" t="s">
        <v>60</v>
      </c>
      <c r="C536" t="s">
        <v>32</v>
      </c>
      <c r="D536" t="s">
        <v>33</v>
      </c>
      <c r="E536" t="s">
        <v>34</v>
      </c>
      <c r="F536" t="s">
        <v>35</v>
      </c>
      <c r="G536" t="s">
        <v>35</v>
      </c>
      <c r="H536" t="s">
        <v>35</v>
      </c>
      <c r="J536" t="s">
        <v>1163</v>
      </c>
      <c r="K536" t="s">
        <v>1092</v>
      </c>
      <c r="M536">
        <v>0.6</v>
      </c>
      <c r="N536">
        <v>140</v>
      </c>
      <c r="O536" t="s">
        <v>38</v>
      </c>
      <c r="Q536" t="s">
        <v>609</v>
      </c>
      <c r="R536" t="s">
        <v>169</v>
      </c>
      <c r="S536" t="s">
        <v>123</v>
      </c>
    </row>
    <row r="537" spans="1:19" x14ac:dyDescent="0.25">
      <c r="A537" t="s">
        <v>30</v>
      </c>
      <c r="B537" t="s">
        <v>31</v>
      </c>
      <c r="C537" t="s">
        <v>32</v>
      </c>
      <c r="D537" t="s">
        <v>33</v>
      </c>
      <c r="E537" t="s">
        <v>34</v>
      </c>
      <c r="F537" t="s">
        <v>35</v>
      </c>
      <c r="G537" t="s">
        <v>35</v>
      </c>
      <c r="H537" t="s">
        <v>35</v>
      </c>
      <c r="J537" t="s">
        <v>1163</v>
      </c>
      <c r="K537" t="s">
        <v>1092</v>
      </c>
      <c r="M537">
        <v>2.2050000000000001</v>
      </c>
      <c r="N537">
        <v>101</v>
      </c>
      <c r="O537" t="s">
        <v>106</v>
      </c>
      <c r="Q537" t="s">
        <v>1164</v>
      </c>
      <c r="R537" t="s">
        <v>169</v>
      </c>
      <c r="S537" t="s">
        <v>123</v>
      </c>
    </row>
    <row r="538" spans="1:19" x14ac:dyDescent="0.25">
      <c r="A538" t="s">
        <v>59</v>
      </c>
      <c r="B538" t="s">
        <v>60</v>
      </c>
      <c r="C538" t="s">
        <v>32</v>
      </c>
      <c r="D538" t="s">
        <v>33</v>
      </c>
      <c r="E538" t="s">
        <v>34</v>
      </c>
      <c r="F538" t="s">
        <v>35</v>
      </c>
      <c r="G538" t="s">
        <v>35</v>
      </c>
      <c r="H538" t="s">
        <v>35</v>
      </c>
      <c r="J538" t="s">
        <v>1165</v>
      </c>
      <c r="K538" t="s">
        <v>1092</v>
      </c>
      <c r="M538">
        <v>5</v>
      </c>
      <c r="N538">
        <v>72</v>
      </c>
      <c r="O538" t="s">
        <v>61</v>
      </c>
      <c r="Q538" t="s">
        <v>63</v>
      </c>
      <c r="R538" t="s">
        <v>85</v>
      </c>
      <c r="S538" t="s">
        <v>86</v>
      </c>
    </row>
    <row r="539" spans="1:19" x14ac:dyDescent="0.25">
      <c r="A539" t="s">
        <v>30</v>
      </c>
      <c r="B539" t="s">
        <v>31</v>
      </c>
      <c r="C539" t="s">
        <v>32</v>
      </c>
      <c r="D539" t="s">
        <v>33</v>
      </c>
      <c r="E539" t="s">
        <v>34</v>
      </c>
      <c r="F539" t="s">
        <v>35</v>
      </c>
      <c r="G539" t="s">
        <v>35</v>
      </c>
      <c r="H539" t="s">
        <v>35</v>
      </c>
      <c r="J539" t="s">
        <v>1165</v>
      </c>
      <c r="K539" t="s">
        <v>1092</v>
      </c>
      <c r="M539">
        <v>8.9550000000000001</v>
      </c>
      <c r="N539">
        <v>46</v>
      </c>
      <c r="O539" t="s">
        <v>52</v>
      </c>
      <c r="Q539" t="s">
        <v>493</v>
      </c>
      <c r="R539" t="s">
        <v>85</v>
      </c>
      <c r="S539" t="s">
        <v>86</v>
      </c>
    </row>
    <row r="540" spans="1:19" x14ac:dyDescent="0.25">
      <c r="A540" t="s">
        <v>44</v>
      </c>
      <c r="B540" t="s">
        <v>51</v>
      </c>
      <c r="C540" t="s">
        <v>32</v>
      </c>
      <c r="D540" t="s">
        <v>33</v>
      </c>
      <c r="E540" t="s">
        <v>34</v>
      </c>
      <c r="F540" t="s">
        <v>35</v>
      </c>
      <c r="G540" t="s">
        <v>35</v>
      </c>
      <c r="H540" t="s">
        <v>35</v>
      </c>
      <c r="J540" t="s">
        <v>1165</v>
      </c>
      <c r="K540" t="s">
        <v>1092</v>
      </c>
      <c r="M540">
        <v>5</v>
      </c>
      <c r="N540">
        <v>28</v>
      </c>
      <c r="O540" t="s">
        <v>46</v>
      </c>
      <c r="Q540" t="s">
        <v>176</v>
      </c>
      <c r="R540" t="s">
        <v>85</v>
      </c>
      <c r="S540" t="s">
        <v>86</v>
      </c>
    </row>
    <row r="541" spans="1:19" x14ac:dyDescent="0.25">
      <c r="A541" t="s">
        <v>44</v>
      </c>
      <c r="B541" t="s">
        <v>3</v>
      </c>
      <c r="C541" t="s">
        <v>32</v>
      </c>
      <c r="D541" t="s">
        <v>33</v>
      </c>
      <c r="E541" t="s">
        <v>34</v>
      </c>
      <c r="F541" t="s">
        <v>35</v>
      </c>
      <c r="G541" t="s">
        <v>35</v>
      </c>
      <c r="H541" t="s">
        <v>35</v>
      </c>
      <c r="J541" t="s">
        <v>1165</v>
      </c>
      <c r="K541" t="s">
        <v>1092</v>
      </c>
      <c r="M541">
        <v>4.5</v>
      </c>
      <c r="N541">
        <v>59</v>
      </c>
      <c r="O541" t="s">
        <v>52</v>
      </c>
      <c r="Q541" t="s">
        <v>84</v>
      </c>
      <c r="R541" t="s">
        <v>85</v>
      </c>
      <c r="S541" t="s">
        <v>86</v>
      </c>
    </row>
    <row r="542" spans="1:19" x14ac:dyDescent="0.25">
      <c r="A542" t="s">
        <v>59</v>
      </c>
      <c r="B542" t="s">
        <v>31</v>
      </c>
      <c r="C542" t="s">
        <v>32</v>
      </c>
      <c r="D542" t="s">
        <v>33</v>
      </c>
      <c r="E542" t="s">
        <v>34</v>
      </c>
      <c r="F542" t="s">
        <v>35</v>
      </c>
      <c r="G542" t="s">
        <v>35</v>
      </c>
      <c r="H542" t="s">
        <v>35</v>
      </c>
      <c r="J542" t="s">
        <v>1166</v>
      </c>
      <c r="K542" t="s">
        <v>1092</v>
      </c>
      <c r="M542">
        <v>2.88</v>
      </c>
      <c r="N542">
        <v>72</v>
      </c>
      <c r="O542" t="s">
        <v>61</v>
      </c>
      <c r="Q542" t="s">
        <v>63</v>
      </c>
      <c r="R542" t="s">
        <v>169</v>
      </c>
      <c r="S542" t="s">
        <v>123</v>
      </c>
    </row>
    <row r="543" spans="1:19" x14ac:dyDescent="0.25">
      <c r="A543" t="s">
        <v>59</v>
      </c>
      <c r="B543" t="s">
        <v>60</v>
      </c>
      <c r="C543" t="s">
        <v>32</v>
      </c>
      <c r="D543" t="s">
        <v>33</v>
      </c>
      <c r="E543" t="s">
        <v>34</v>
      </c>
      <c r="F543" t="s">
        <v>35</v>
      </c>
      <c r="G543" t="s">
        <v>35</v>
      </c>
      <c r="H543" t="s">
        <v>35</v>
      </c>
      <c r="J543" t="s">
        <v>1167</v>
      </c>
      <c r="K543" t="s">
        <v>1092</v>
      </c>
      <c r="M543">
        <v>11</v>
      </c>
      <c r="N543">
        <v>100</v>
      </c>
      <c r="O543" t="s">
        <v>106</v>
      </c>
      <c r="Q543" t="s">
        <v>1112</v>
      </c>
      <c r="R543" t="s">
        <v>193</v>
      </c>
      <c r="S543" t="s">
        <v>181</v>
      </c>
    </row>
    <row r="544" spans="1:19" x14ac:dyDescent="0.25">
      <c r="A544" t="s">
        <v>30</v>
      </c>
      <c r="B544" t="s">
        <v>31</v>
      </c>
      <c r="C544" t="s">
        <v>32</v>
      </c>
      <c r="D544" t="s">
        <v>33</v>
      </c>
      <c r="E544" t="s">
        <v>34</v>
      </c>
      <c r="F544" t="s">
        <v>35</v>
      </c>
      <c r="G544" t="s">
        <v>35</v>
      </c>
      <c r="H544" t="s">
        <v>35</v>
      </c>
      <c r="J544" t="s">
        <v>1167</v>
      </c>
      <c r="K544" t="s">
        <v>1092</v>
      </c>
      <c r="M544">
        <v>2.25</v>
      </c>
      <c r="N544">
        <v>31</v>
      </c>
      <c r="O544" t="s">
        <v>52</v>
      </c>
      <c r="Q544" t="s">
        <v>972</v>
      </c>
      <c r="R544" t="s">
        <v>49</v>
      </c>
      <c r="S544" t="s">
        <v>50</v>
      </c>
    </row>
    <row r="545" spans="1:19" x14ac:dyDescent="0.25">
      <c r="A545" t="s">
        <v>59</v>
      </c>
      <c r="B545" t="s">
        <v>31</v>
      </c>
      <c r="C545" t="s">
        <v>32</v>
      </c>
      <c r="D545" t="s">
        <v>33</v>
      </c>
      <c r="E545" t="s">
        <v>34</v>
      </c>
      <c r="F545" t="s">
        <v>35</v>
      </c>
      <c r="G545" t="s">
        <v>35</v>
      </c>
      <c r="H545" t="s">
        <v>35</v>
      </c>
      <c r="J545" t="s">
        <v>1167</v>
      </c>
      <c r="K545" t="s">
        <v>1092</v>
      </c>
      <c r="M545">
        <v>5.49</v>
      </c>
      <c r="N545">
        <v>72</v>
      </c>
      <c r="O545" t="s">
        <v>61</v>
      </c>
      <c r="Q545" t="s">
        <v>63</v>
      </c>
      <c r="R545" t="s">
        <v>193</v>
      </c>
      <c r="S545" t="s">
        <v>181</v>
      </c>
    </row>
    <row r="546" spans="1:19" x14ac:dyDescent="0.25">
      <c r="A546" t="s">
        <v>59</v>
      </c>
      <c r="B546" t="s">
        <v>60</v>
      </c>
      <c r="C546" t="s">
        <v>32</v>
      </c>
      <c r="D546" t="s">
        <v>33</v>
      </c>
      <c r="E546" t="s">
        <v>34</v>
      </c>
      <c r="F546" t="s">
        <v>35</v>
      </c>
      <c r="G546" t="s">
        <v>35</v>
      </c>
      <c r="H546" t="s">
        <v>35</v>
      </c>
      <c r="J546" t="s">
        <v>1167</v>
      </c>
      <c r="K546" t="s">
        <v>1092</v>
      </c>
      <c r="M546">
        <v>5.5</v>
      </c>
      <c r="N546">
        <v>72</v>
      </c>
      <c r="O546" t="s">
        <v>61</v>
      </c>
      <c r="Q546" t="s">
        <v>63</v>
      </c>
      <c r="R546" t="s">
        <v>193</v>
      </c>
      <c r="S546" t="s">
        <v>181</v>
      </c>
    </row>
    <row r="547" spans="1:19" x14ac:dyDescent="0.25">
      <c r="A547" t="s">
        <v>59</v>
      </c>
      <c r="B547" t="s">
        <v>31</v>
      </c>
      <c r="C547" t="s">
        <v>32</v>
      </c>
      <c r="D547" t="s">
        <v>33</v>
      </c>
      <c r="E547" t="s">
        <v>34</v>
      </c>
      <c r="F547" t="s">
        <v>35</v>
      </c>
      <c r="G547" t="s">
        <v>35</v>
      </c>
      <c r="H547" t="s">
        <v>35</v>
      </c>
      <c r="J547" t="s">
        <v>1167</v>
      </c>
      <c r="K547" t="s">
        <v>1092</v>
      </c>
      <c r="M547">
        <v>5.49</v>
      </c>
      <c r="N547">
        <v>100</v>
      </c>
      <c r="O547" t="s">
        <v>106</v>
      </c>
      <c r="Q547" t="s">
        <v>1112</v>
      </c>
      <c r="R547" t="s">
        <v>193</v>
      </c>
      <c r="S547" t="s">
        <v>181</v>
      </c>
    </row>
    <row r="548" spans="1:19" x14ac:dyDescent="0.25">
      <c r="A548" t="s">
        <v>59</v>
      </c>
      <c r="B548" t="s">
        <v>31</v>
      </c>
      <c r="C548" t="s">
        <v>32</v>
      </c>
      <c r="D548" t="s">
        <v>33</v>
      </c>
      <c r="E548" t="s">
        <v>34</v>
      </c>
      <c r="F548" t="s">
        <v>35</v>
      </c>
      <c r="G548" t="s">
        <v>35</v>
      </c>
      <c r="H548" t="s">
        <v>35</v>
      </c>
      <c r="J548" t="s">
        <v>1167</v>
      </c>
      <c r="K548" t="s">
        <v>1092</v>
      </c>
      <c r="M548">
        <v>4.319</v>
      </c>
      <c r="N548">
        <v>148</v>
      </c>
      <c r="O548" t="s">
        <v>38</v>
      </c>
      <c r="Q548" t="s">
        <v>1168</v>
      </c>
      <c r="R548" t="s">
        <v>193</v>
      </c>
      <c r="S548" t="s">
        <v>181</v>
      </c>
    </row>
    <row r="549" spans="1:19" x14ac:dyDescent="0.25">
      <c r="A549" t="s">
        <v>59</v>
      </c>
      <c r="B549" t="s">
        <v>60</v>
      </c>
      <c r="C549" t="s">
        <v>32</v>
      </c>
      <c r="D549" t="s">
        <v>33</v>
      </c>
      <c r="E549" t="s">
        <v>34</v>
      </c>
      <c r="F549" t="s">
        <v>35</v>
      </c>
      <c r="G549" t="s">
        <v>35</v>
      </c>
      <c r="H549" t="s">
        <v>35</v>
      </c>
      <c r="J549" t="s">
        <v>1167</v>
      </c>
      <c r="K549" t="s">
        <v>1092</v>
      </c>
      <c r="M549">
        <v>2.694</v>
      </c>
      <c r="N549">
        <v>148</v>
      </c>
      <c r="O549" t="s">
        <v>38</v>
      </c>
      <c r="Q549" t="s">
        <v>1168</v>
      </c>
      <c r="R549" t="s">
        <v>193</v>
      </c>
      <c r="S549" t="s">
        <v>181</v>
      </c>
    </row>
    <row r="550" spans="1:19" x14ac:dyDescent="0.25">
      <c r="A550" t="s">
        <v>59</v>
      </c>
      <c r="B550" t="s">
        <v>60</v>
      </c>
      <c r="C550" t="s">
        <v>32</v>
      </c>
      <c r="D550" t="s">
        <v>33</v>
      </c>
      <c r="E550" t="s">
        <v>34</v>
      </c>
      <c r="F550" t="s">
        <v>35</v>
      </c>
      <c r="G550" t="s">
        <v>35</v>
      </c>
      <c r="H550" t="s">
        <v>35</v>
      </c>
      <c r="J550" t="s">
        <v>1167</v>
      </c>
      <c r="K550" t="s">
        <v>1092</v>
      </c>
      <c r="M550">
        <v>5.5</v>
      </c>
      <c r="N550">
        <v>131</v>
      </c>
      <c r="O550" t="s">
        <v>38</v>
      </c>
      <c r="Q550" t="s">
        <v>646</v>
      </c>
      <c r="R550" t="s">
        <v>193</v>
      </c>
      <c r="S550" t="s">
        <v>181</v>
      </c>
    </row>
    <row r="551" spans="1:19" x14ac:dyDescent="0.25">
      <c r="A551" t="s">
        <v>30</v>
      </c>
      <c r="B551" t="s">
        <v>31</v>
      </c>
      <c r="C551" t="s">
        <v>32</v>
      </c>
      <c r="D551" t="s">
        <v>33</v>
      </c>
      <c r="E551" t="s">
        <v>34</v>
      </c>
      <c r="F551" t="s">
        <v>35</v>
      </c>
      <c r="G551" t="s">
        <v>35</v>
      </c>
      <c r="H551" t="s">
        <v>35</v>
      </c>
      <c r="J551" t="s">
        <v>1169</v>
      </c>
      <c r="K551" t="s">
        <v>1092</v>
      </c>
      <c r="M551">
        <v>0.99</v>
      </c>
      <c r="N551">
        <v>128</v>
      </c>
      <c r="O551" t="s">
        <v>38</v>
      </c>
      <c r="Q551" t="s">
        <v>1170</v>
      </c>
      <c r="R551" t="s">
        <v>193</v>
      </c>
      <c r="S551" t="s">
        <v>181</v>
      </c>
    </row>
    <row r="552" spans="1:19" x14ac:dyDescent="0.25">
      <c r="A552" t="s">
        <v>59</v>
      </c>
      <c r="B552" t="s">
        <v>60</v>
      </c>
      <c r="C552" t="s">
        <v>32</v>
      </c>
      <c r="D552" t="s">
        <v>33</v>
      </c>
      <c r="E552" t="s">
        <v>34</v>
      </c>
      <c r="F552" t="s">
        <v>35</v>
      </c>
      <c r="G552" t="s">
        <v>35</v>
      </c>
      <c r="H552" t="s">
        <v>35</v>
      </c>
      <c r="J552" t="s">
        <v>1171</v>
      </c>
      <c r="K552" t="s">
        <v>1092</v>
      </c>
      <c r="M552">
        <v>5.5</v>
      </c>
      <c r="N552">
        <v>101</v>
      </c>
      <c r="O552" t="s">
        <v>106</v>
      </c>
      <c r="Q552" t="s">
        <v>1164</v>
      </c>
      <c r="R552" t="s">
        <v>169</v>
      </c>
      <c r="S552" t="s">
        <v>123</v>
      </c>
    </row>
    <row r="553" spans="1:19" x14ac:dyDescent="0.25">
      <c r="A553" t="s">
        <v>59</v>
      </c>
      <c r="B553" t="s">
        <v>60</v>
      </c>
      <c r="C553" t="s">
        <v>32</v>
      </c>
      <c r="D553" t="s">
        <v>33</v>
      </c>
      <c r="E553" t="s">
        <v>34</v>
      </c>
      <c r="F553" t="s">
        <v>35</v>
      </c>
      <c r="G553" t="s">
        <v>35</v>
      </c>
      <c r="H553" t="s">
        <v>35</v>
      </c>
      <c r="J553" t="s">
        <v>1171</v>
      </c>
      <c r="K553" t="s">
        <v>1092</v>
      </c>
      <c r="M553">
        <v>4.5999999999999996</v>
      </c>
      <c r="N553">
        <v>289</v>
      </c>
      <c r="O553" t="s">
        <v>5</v>
      </c>
      <c r="Q553" t="s">
        <v>1172</v>
      </c>
      <c r="R553" t="s">
        <v>1173</v>
      </c>
      <c r="S553" t="s">
        <v>222</v>
      </c>
    </row>
    <row r="554" spans="1:19" x14ac:dyDescent="0.25">
      <c r="A554" t="s">
        <v>59</v>
      </c>
      <c r="B554" t="s">
        <v>60</v>
      </c>
      <c r="C554" t="s">
        <v>32</v>
      </c>
      <c r="D554" t="s">
        <v>33</v>
      </c>
      <c r="E554" t="s">
        <v>34</v>
      </c>
      <c r="F554" t="s">
        <v>35</v>
      </c>
      <c r="G554" t="s">
        <v>35</v>
      </c>
      <c r="H554" t="s">
        <v>35</v>
      </c>
      <c r="J554" t="s">
        <v>1174</v>
      </c>
      <c r="K554" t="s">
        <v>1092</v>
      </c>
      <c r="M554">
        <v>0.05</v>
      </c>
      <c r="N554">
        <v>546</v>
      </c>
      <c r="O554" t="s">
        <v>294</v>
      </c>
      <c r="Q554" t="s">
        <v>1175</v>
      </c>
      <c r="R554" t="s">
        <v>1115</v>
      </c>
      <c r="S554" t="s">
        <v>45</v>
      </c>
    </row>
    <row r="555" spans="1:19" x14ac:dyDescent="0.25">
      <c r="A555" t="s">
        <v>59</v>
      </c>
      <c r="B555" t="s">
        <v>60</v>
      </c>
      <c r="C555" t="s">
        <v>32</v>
      </c>
      <c r="D555" t="s">
        <v>33</v>
      </c>
      <c r="E555" t="s">
        <v>34</v>
      </c>
      <c r="F555" t="s">
        <v>35</v>
      </c>
      <c r="G555" t="s">
        <v>35</v>
      </c>
      <c r="H555" t="s">
        <v>35</v>
      </c>
      <c r="J555" t="s">
        <v>1176</v>
      </c>
      <c r="K555" t="s">
        <v>1092</v>
      </c>
      <c r="M555">
        <v>1</v>
      </c>
      <c r="N555">
        <v>72</v>
      </c>
      <c r="O555" t="s">
        <v>61</v>
      </c>
      <c r="Q555" t="s">
        <v>63</v>
      </c>
      <c r="R555" t="s">
        <v>169</v>
      </c>
      <c r="S555" t="s">
        <v>123</v>
      </c>
    </row>
    <row r="556" spans="1:19" x14ac:dyDescent="0.25">
      <c r="A556" t="s">
        <v>30</v>
      </c>
      <c r="B556" t="s">
        <v>31</v>
      </c>
      <c r="C556" t="s">
        <v>32</v>
      </c>
      <c r="D556" t="s">
        <v>33</v>
      </c>
      <c r="E556" t="s">
        <v>34</v>
      </c>
      <c r="F556" t="s">
        <v>35</v>
      </c>
      <c r="G556" t="s">
        <v>35</v>
      </c>
      <c r="H556" t="s">
        <v>35</v>
      </c>
      <c r="J556" t="s">
        <v>1177</v>
      </c>
      <c r="K556" t="s">
        <v>1092</v>
      </c>
      <c r="M556">
        <v>0.495</v>
      </c>
      <c r="N556">
        <v>1482</v>
      </c>
      <c r="O556" t="s">
        <v>575</v>
      </c>
      <c r="Q556" t="s">
        <v>1178</v>
      </c>
      <c r="R556" t="s">
        <v>193</v>
      </c>
      <c r="S556" t="s">
        <v>181</v>
      </c>
    </row>
    <row r="557" spans="1:19" x14ac:dyDescent="0.25">
      <c r="A557" t="s">
        <v>59</v>
      </c>
      <c r="B557" t="s">
        <v>60</v>
      </c>
      <c r="C557" t="s">
        <v>32</v>
      </c>
      <c r="D557" t="s">
        <v>33</v>
      </c>
      <c r="E557" t="s">
        <v>34</v>
      </c>
      <c r="F557" t="s">
        <v>35</v>
      </c>
      <c r="G557" t="s">
        <v>35</v>
      </c>
      <c r="H557" t="s">
        <v>35</v>
      </c>
      <c r="J557" t="s">
        <v>1179</v>
      </c>
      <c r="K557" t="s">
        <v>1092</v>
      </c>
      <c r="M557">
        <v>0.2</v>
      </c>
      <c r="N557">
        <v>95</v>
      </c>
      <c r="O557" t="s">
        <v>106</v>
      </c>
      <c r="Q557" t="s">
        <v>724</v>
      </c>
      <c r="R557" t="s">
        <v>169</v>
      </c>
      <c r="S557" t="s">
        <v>123</v>
      </c>
    </row>
    <row r="558" spans="1:19" x14ac:dyDescent="0.25">
      <c r="A558" t="s">
        <v>59</v>
      </c>
      <c r="B558" t="s">
        <v>60</v>
      </c>
      <c r="C558" t="s">
        <v>32</v>
      </c>
      <c r="D558" t="s">
        <v>33</v>
      </c>
      <c r="E558" t="s">
        <v>34</v>
      </c>
      <c r="F558" t="s">
        <v>35</v>
      </c>
      <c r="G558" t="s">
        <v>35</v>
      </c>
      <c r="H558" t="s">
        <v>35</v>
      </c>
      <c r="J558" t="s">
        <v>1179</v>
      </c>
      <c r="K558" t="s">
        <v>1092</v>
      </c>
      <c r="M558">
        <v>11</v>
      </c>
      <c r="N558">
        <v>72</v>
      </c>
      <c r="O558" t="s">
        <v>61</v>
      </c>
      <c r="Q558" t="s">
        <v>63</v>
      </c>
      <c r="R558" t="s">
        <v>169</v>
      </c>
      <c r="S558" t="s">
        <v>123</v>
      </c>
    </row>
    <row r="559" spans="1:19" x14ac:dyDescent="0.25">
      <c r="A559" t="s">
        <v>59</v>
      </c>
      <c r="B559" t="s">
        <v>60</v>
      </c>
      <c r="C559" t="s">
        <v>32</v>
      </c>
      <c r="D559" t="s">
        <v>33</v>
      </c>
      <c r="E559" t="s">
        <v>34</v>
      </c>
      <c r="F559" t="s">
        <v>35</v>
      </c>
      <c r="G559" t="s">
        <v>35</v>
      </c>
      <c r="H559" t="s">
        <v>35</v>
      </c>
      <c r="J559" t="s">
        <v>1180</v>
      </c>
      <c r="K559" t="s">
        <v>1092</v>
      </c>
      <c r="M559">
        <v>0.13</v>
      </c>
      <c r="N559">
        <v>502</v>
      </c>
      <c r="O559" t="s">
        <v>294</v>
      </c>
      <c r="Q559" t="s">
        <v>1181</v>
      </c>
      <c r="R559" t="s">
        <v>1182</v>
      </c>
      <c r="S559" t="s">
        <v>1183</v>
      </c>
    </row>
    <row r="560" spans="1:19" x14ac:dyDescent="0.25">
      <c r="A560" t="s">
        <v>30</v>
      </c>
      <c r="B560" t="s">
        <v>31</v>
      </c>
      <c r="C560" t="s">
        <v>32</v>
      </c>
      <c r="D560" t="s">
        <v>33</v>
      </c>
      <c r="E560" t="s">
        <v>34</v>
      </c>
      <c r="F560" t="s">
        <v>35</v>
      </c>
      <c r="G560" t="s">
        <v>35</v>
      </c>
      <c r="H560" t="s">
        <v>35</v>
      </c>
      <c r="J560" t="s">
        <v>1184</v>
      </c>
      <c r="K560" t="s">
        <v>1092</v>
      </c>
      <c r="M560">
        <v>2.2050000000000001</v>
      </c>
      <c r="N560">
        <v>31</v>
      </c>
      <c r="O560" t="s">
        <v>52</v>
      </c>
      <c r="Q560" t="s">
        <v>972</v>
      </c>
      <c r="R560" t="s">
        <v>49</v>
      </c>
      <c r="S560" t="s">
        <v>50</v>
      </c>
    </row>
    <row r="561" spans="1:19" x14ac:dyDescent="0.25">
      <c r="A561" t="s">
        <v>30</v>
      </c>
      <c r="B561" t="s">
        <v>31</v>
      </c>
      <c r="C561" t="s">
        <v>32</v>
      </c>
      <c r="D561" t="s">
        <v>33</v>
      </c>
      <c r="E561" t="s">
        <v>34</v>
      </c>
      <c r="F561" t="s">
        <v>35</v>
      </c>
      <c r="G561" t="s">
        <v>35</v>
      </c>
      <c r="H561" t="s">
        <v>35</v>
      </c>
      <c r="J561" t="s">
        <v>1185</v>
      </c>
      <c r="K561" t="s">
        <v>1092</v>
      </c>
      <c r="M561">
        <v>0.22500000000000001</v>
      </c>
      <c r="N561">
        <v>492</v>
      </c>
      <c r="O561" t="s">
        <v>294</v>
      </c>
      <c r="Q561" t="s">
        <v>1186</v>
      </c>
      <c r="R561" t="s">
        <v>1182</v>
      </c>
      <c r="S561" t="s">
        <v>1183</v>
      </c>
    </row>
    <row r="562" spans="1:19" x14ac:dyDescent="0.25">
      <c r="A562" t="s">
        <v>59</v>
      </c>
      <c r="B562" t="s">
        <v>60</v>
      </c>
      <c r="C562" t="s">
        <v>32</v>
      </c>
      <c r="D562" t="s">
        <v>33</v>
      </c>
      <c r="E562" t="s">
        <v>34</v>
      </c>
      <c r="F562" t="s">
        <v>35</v>
      </c>
      <c r="G562" t="s">
        <v>35</v>
      </c>
      <c r="H562" t="s">
        <v>35</v>
      </c>
      <c r="J562" t="s">
        <v>1185</v>
      </c>
      <c r="K562" t="s">
        <v>1092</v>
      </c>
      <c r="M562">
        <v>0.1</v>
      </c>
      <c r="N562">
        <v>473</v>
      </c>
      <c r="O562" t="s">
        <v>294</v>
      </c>
      <c r="Q562" t="s">
        <v>1187</v>
      </c>
      <c r="R562" t="s">
        <v>1182</v>
      </c>
      <c r="S562" t="s">
        <v>1183</v>
      </c>
    </row>
    <row r="563" spans="1:19" x14ac:dyDescent="0.25">
      <c r="A563" t="s">
        <v>59</v>
      </c>
      <c r="B563" t="s">
        <v>60</v>
      </c>
      <c r="C563" t="s">
        <v>32</v>
      </c>
      <c r="D563" t="s">
        <v>33</v>
      </c>
      <c r="E563" t="s">
        <v>34</v>
      </c>
      <c r="F563" t="s">
        <v>35</v>
      </c>
      <c r="G563" t="s">
        <v>35</v>
      </c>
      <c r="H563" t="s">
        <v>35</v>
      </c>
      <c r="J563" t="s">
        <v>1188</v>
      </c>
      <c r="K563" t="s">
        <v>1092</v>
      </c>
      <c r="M563">
        <v>0.05</v>
      </c>
      <c r="N563">
        <v>352</v>
      </c>
      <c r="O563" t="s">
        <v>5</v>
      </c>
      <c r="Q563" t="s">
        <v>1190</v>
      </c>
      <c r="R563" t="s">
        <v>193</v>
      </c>
      <c r="S563" t="s">
        <v>181</v>
      </c>
    </row>
    <row r="564" spans="1:19" x14ac:dyDescent="0.25">
      <c r="A564" t="s">
        <v>59</v>
      </c>
      <c r="B564" t="s">
        <v>60</v>
      </c>
      <c r="C564" t="s">
        <v>32</v>
      </c>
      <c r="D564" t="s">
        <v>33</v>
      </c>
      <c r="E564" t="s">
        <v>34</v>
      </c>
      <c r="F564" t="s">
        <v>35</v>
      </c>
      <c r="G564" t="s">
        <v>35</v>
      </c>
      <c r="H564" t="s">
        <v>35</v>
      </c>
      <c r="J564" t="s">
        <v>1188</v>
      </c>
      <c r="K564" t="s">
        <v>1092</v>
      </c>
      <c r="M564">
        <v>1</v>
      </c>
      <c r="N564">
        <v>153</v>
      </c>
      <c r="O564" t="s">
        <v>38</v>
      </c>
      <c r="Q564" t="s">
        <v>569</v>
      </c>
      <c r="R564" t="s">
        <v>193</v>
      </c>
      <c r="S564" t="s">
        <v>181</v>
      </c>
    </row>
    <row r="565" spans="1:19" x14ac:dyDescent="0.25">
      <c r="A565" t="s">
        <v>59</v>
      </c>
      <c r="B565" t="s">
        <v>60</v>
      </c>
      <c r="C565" t="s">
        <v>32</v>
      </c>
      <c r="D565" t="s">
        <v>33</v>
      </c>
      <c r="E565" t="s">
        <v>34</v>
      </c>
      <c r="F565" t="s">
        <v>35</v>
      </c>
      <c r="G565" t="s">
        <v>35</v>
      </c>
      <c r="H565" t="s">
        <v>35</v>
      </c>
      <c r="J565" t="s">
        <v>1188</v>
      </c>
      <c r="K565" t="s">
        <v>1092</v>
      </c>
      <c r="M565">
        <v>1</v>
      </c>
      <c r="N565">
        <v>169</v>
      </c>
      <c r="O565" t="s">
        <v>38</v>
      </c>
      <c r="Q565" t="s">
        <v>1189</v>
      </c>
      <c r="R565" t="s">
        <v>193</v>
      </c>
      <c r="S565" t="s">
        <v>181</v>
      </c>
    </row>
    <row r="566" spans="1:19" x14ac:dyDescent="0.25">
      <c r="A566" t="s">
        <v>44</v>
      </c>
      <c r="B566" t="s">
        <v>51</v>
      </c>
      <c r="C566" t="s">
        <v>32</v>
      </c>
      <c r="D566" t="s">
        <v>33</v>
      </c>
      <c r="E566" t="s">
        <v>34</v>
      </c>
      <c r="F566" t="s">
        <v>35</v>
      </c>
      <c r="G566" t="s">
        <v>35</v>
      </c>
      <c r="H566" t="s">
        <v>35</v>
      </c>
      <c r="J566" t="s">
        <v>1191</v>
      </c>
      <c r="K566" t="s">
        <v>1092</v>
      </c>
      <c r="M566">
        <v>3</v>
      </c>
      <c r="N566">
        <v>56</v>
      </c>
      <c r="O566" t="s">
        <v>52</v>
      </c>
      <c r="Q566" t="s">
        <v>453</v>
      </c>
      <c r="R566" t="s">
        <v>193</v>
      </c>
      <c r="S566" t="s">
        <v>181</v>
      </c>
    </row>
    <row r="567" spans="1:19" x14ac:dyDescent="0.25">
      <c r="A567" t="s">
        <v>30</v>
      </c>
      <c r="B567" t="s">
        <v>31</v>
      </c>
      <c r="C567" t="s">
        <v>32</v>
      </c>
      <c r="D567" t="s">
        <v>33</v>
      </c>
      <c r="E567" t="s">
        <v>34</v>
      </c>
      <c r="F567" t="s">
        <v>35</v>
      </c>
      <c r="G567" t="s">
        <v>35</v>
      </c>
      <c r="H567" t="s">
        <v>35</v>
      </c>
      <c r="J567" t="s">
        <v>1191</v>
      </c>
      <c r="K567" t="s">
        <v>1092</v>
      </c>
      <c r="M567">
        <v>9.4049999999999994</v>
      </c>
      <c r="N567">
        <v>19</v>
      </c>
      <c r="O567" t="s">
        <v>46</v>
      </c>
      <c r="Q567" t="s">
        <v>1192</v>
      </c>
      <c r="R567" t="s">
        <v>193</v>
      </c>
      <c r="S567" t="s">
        <v>181</v>
      </c>
    </row>
    <row r="568" spans="1:19" x14ac:dyDescent="0.25">
      <c r="A568" t="s">
        <v>59</v>
      </c>
      <c r="B568" t="s">
        <v>60</v>
      </c>
      <c r="C568" t="s">
        <v>32</v>
      </c>
      <c r="D568" t="s">
        <v>33</v>
      </c>
      <c r="E568" t="s">
        <v>34</v>
      </c>
      <c r="F568" t="s">
        <v>35</v>
      </c>
      <c r="G568" t="s">
        <v>35</v>
      </c>
      <c r="H568" t="s">
        <v>35</v>
      </c>
      <c r="J568" t="s">
        <v>1191</v>
      </c>
      <c r="K568" t="s">
        <v>1092</v>
      </c>
      <c r="M568">
        <v>2.75</v>
      </c>
      <c r="N568">
        <v>72</v>
      </c>
      <c r="O568" t="s">
        <v>61</v>
      </c>
      <c r="Q568" t="s">
        <v>63</v>
      </c>
      <c r="R568" t="s">
        <v>193</v>
      </c>
      <c r="S568" t="s">
        <v>181</v>
      </c>
    </row>
    <row r="569" spans="1:19" x14ac:dyDescent="0.25">
      <c r="A569" t="s">
        <v>59</v>
      </c>
      <c r="B569" t="s">
        <v>31</v>
      </c>
      <c r="C569" t="s">
        <v>32</v>
      </c>
      <c r="D569" t="s">
        <v>33</v>
      </c>
      <c r="E569" t="s">
        <v>34</v>
      </c>
      <c r="F569" t="s">
        <v>35</v>
      </c>
      <c r="G569" t="s">
        <v>35</v>
      </c>
      <c r="H569" t="s">
        <v>35</v>
      </c>
      <c r="J569" t="s">
        <v>1193</v>
      </c>
      <c r="K569" t="s">
        <v>1092</v>
      </c>
      <c r="M569">
        <v>8.5050000000000008</v>
      </c>
      <c r="N569">
        <v>95</v>
      </c>
      <c r="O569" t="s">
        <v>106</v>
      </c>
      <c r="Q569" t="s">
        <v>724</v>
      </c>
      <c r="R569" t="s">
        <v>169</v>
      </c>
      <c r="S569" t="s">
        <v>123</v>
      </c>
    </row>
    <row r="570" spans="1:19" x14ac:dyDescent="0.25">
      <c r="A570" t="s">
        <v>59</v>
      </c>
      <c r="B570" t="s">
        <v>60</v>
      </c>
      <c r="C570" t="s">
        <v>32</v>
      </c>
      <c r="D570" t="s">
        <v>33</v>
      </c>
      <c r="E570" t="s">
        <v>34</v>
      </c>
      <c r="F570" t="s">
        <v>35</v>
      </c>
      <c r="G570" t="s">
        <v>35</v>
      </c>
      <c r="H570" t="s">
        <v>35</v>
      </c>
      <c r="J570" t="s">
        <v>1193</v>
      </c>
      <c r="K570" t="s">
        <v>1092</v>
      </c>
      <c r="M570">
        <v>4.05</v>
      </c>
      <c r="N570">
        <v>91</v>
      </c>
      <c r="O570" t="s">
        <v>106</v>
      </c>
      <c r="Q570" t="s">
        <v>1147</v>
      </c>
      <c r="R570" t="s">
        <v>193</v>
      </c>
      <c r="S570" t="s">
        <v>181</v>
      </c>
    </row>
    <row r="571" spans="1:19" x14ac:dyDescent="0.25">
      <c r="A571" t="s">
        <v>59</v>
      </c>
      <c r="B571" t="s">
        <v>60</v>
      </c>
      <c r="C571" t="s">
        <v>32</v>
      </c>
      <c r="D571" t="s">
        <v>33</v>
      </c>
      <c r="E571" t="s">
        <v>34</v>
      </c>
      <c r="F571" t="s">
        <v>35</v>
      </c>
      <c r="G571" t="s">
        <v>35</v>
      </c>
      <c r="H571" t="s">
        <v>35</v>
      </c>
      <c r="J571" t="s">
        <v>1194</v>
      </c>
      <c r="K571" t="s">
        <v>1092</v>
      </c>
      <c r="M571">
        <v>1.5</v>
      </c>
      <c r="N571">
        <v>115</v>
      </c>
      <c r="O571" t="s">
        <v>106</v>
      </c>
      <c r="Q571" t="s">
        <v>1195</v>
      </c>
      <c r="R571" t="s">
        <v>1196</v>
      </c>
      <c r="S571" t="s">
        <v>1197</v>
      </c>
    </row>
    <row r="572" spans="1:19" x14ac:dyDescent="0.25">
      <c r="A572" t="s">
        <v>59</v>
      </c>
      <c r="B572" t="s">
        <v>60</v>
      </c>
      <c r="C572" t="s">
        <v>32</v>
      </c>
      <c r="D572" t="s">
        <v>33</v>
      </c>
      <c r="E572" t="s">
        <v>34</v>
      </c>
      <c r="F572" t="s">
        <v>35</v>
      </c>
      <c r="G572" t="s">
        <v>35</v>
      </c>
      <c r="H572" t="s">
        <v>35</v>
      </c>
      <c r="J572" t="s">
        <v>1198</v>
      </c>
      <c r="K572" t="s">
        <v>1092</v>
      </c>
      <c r="M572">
        <v>1.1000000000000001</v>
      </c>
      <c r="N572">
        <v>459</v>
      </c>
      <c r="O572" t="s">
        <v>294</v>
      </c>
      <c r="Q572" t="s">
        <v>1199</v>
      </c>
      <c r="R572" t="s">
        <v>49</v>
      </c>
      <c r="S572" t="s">
        <v>50</v>
      </c>
    </row>
    <row r="573" spans="1:19" x14ac:dyDescent="0.25">
      <c r="A573" t="s">
        <v>30</v>
      </c>
      <c r="B573" t="s">
        <v>31</v>
      </c>
      <c r="C573" t="s">
        <v>32</v>
      </c>
      <c r="D573" t="s">
        <v>33</v>
      </c>
      <c r="E573" t="s">
        <v>34</v>
      </c>
      <c r="F573" t="s">
        <v>35</v>
      </c>
      <c r="G573" t="s">
        <v>35</v>
      </c>
      <c r="H573" t="s">
        <v>35</v>
      </c>
      <c r="J573" t="s">
        <v>1198</v>
      </c>
      <c r="K573" t="s">
        <v>1092</v>
      </c>
      <c r="M573">
        <v>2.0249999999999999</v>
      </c>
      <c r="N573">
        <v>31</v>
      </c>
      <c r="O573" t="s">
        <v>52</v>
      </c>
      <c r="Q573" t="s">
        <v>972</v>
      </c>
      <c r="R573" t="s">
        <v>49</v>
      </c>
      <c r="S573" t="s">
        <v>50</v>
      </c>
    </row>
    <row r="574" spans="1:19" x14ac:dyDescent="0.25">
      <c r="A574" t="s">
        <v>30</v>
      </c>
      <c r="B574" t="s">
        <v>31</v>
      </c>
      <c r="C574" t="s">
        <v>32</v>
      </c>
      <c r="D574" t="s">
        <v>33</v>
      </c>
      <c r="E574" t="s">
        <v>34</v>
      </c>
      <c r="F574" t="s">
        <v>35</v>
      </c>
      <c r="G574" t="s">
        <v>35</v>
      </c>
      <c r="H574" t="s">
        <v>35</v>
      </c>
      <c r="J574" t="s">
        <v>1198</v>
      </c>
      <c r="K574" t="s">
        <v>1092</v>
      </c>
      <c r="M574">
        <v>0.05</v>
      </c>
      <c r="N574">
        <v>248</v>
      </c>
      <c r="O574" t="s">
        <v>5</v>
      </c>
      <c r="Q574" t="s">
        <v>1154</v>
      </c>
      <c r="R574" t="s">
        <v>193</v>
      </c>
      <c r="S574" t="s">
        <v>181</v>
      </c>
    </row>
    <row r="575" spans="1:19" x14ac:dyDescent="0.25">
      <c r="A575" t="s">
        <v>59</v>
      </c>
      <c r="B575" t="s">
        <v>60</v>
      </c>
      <c r="C575" t="s">
        <v>32</v>
      </c>
      <c r="D575" t="s">
        <v>33</v>
      </c>
      <c r="E575" t="s">
        <v>34</v>
      </c>
      <c r="F575" t="s">
        <v>35</v>
      </c>
      <c r="G575" t="s">
        <v>35</v>
      </c>
      <c r="H575" t="s">
        <v>35</v>
      </c>
      <c r="J575" t="s">
        <v>1198</v>
      </c>
      <c r="K575" t="s">
        <v>1092</v>
      </c>
      <c r="M575">
        <v>0.85</v>
      </c>
      <c r="N575">
        <v>516</v>
      </c>
      <c r="O575" t="s">
        <v>294</v>
      </c>
      <c r="Q575" t="s">
        <v>1200</v>
      </c>
      <c r="R575" t="s">
        <v>49</v>
      </c>
      <c r="S575" t="s">
        <v>50</v>
      </c>
    </row>
    <row r="576" spans="1:19" x14ac:dyDescent="0.25">
      <c r="A576" t="s">
        <v>30</v>
      </c>
      <c r="B576" t="s">
        <v>31</v>
      </c>
      <c r="C576" t="s">
        <v>32</v>
      </c>
      <c r="D576" t="s">
        <v>33</v>
      </c>
      <c r="E576" t="s">
        <v>34</v>
      </c>
      <c r="F576" t="s">
        <v>35</v>
      </c>
      <c r="G576" t="s">
        <v>35</v>
      </c>
      <c r="H576" t="s">
        <v>35</v>
      </c>
      <c r="J576" t="s">
        <v>1197</v>
      </c>
      <c r="K576" t="s">
        <v>1092</v>
      </c>
      <c r="M576">
        <v>0.40500000000000003</v>
      </c>
      <c r="N576">
        <v>16</v>
      </c>
      <c r="O576" t="s">
        <v>46</v>
      </c>
      <c r="Q576" t="s">
        <v>323</v>
      </c>
      <c r="R576" t="s">
        <v>193</v>
      </c>
      <c r="S576" t="s">
        <v>181</v>
      </c>
    </row>
    <row r="577" spans="1:19" x14ac:dyDescent="0.25">
      <c r="A577" t="s">
        <v>59</v>
      </c>
      <c r="B577" t="s">
        <v>60</v>
      </c>
      <c r="C577" t="s">
        <v>32</v>
      </c>
      <c r="D577" t="s">
        <v>33</v>
      </c>
      <c r="E577" t="s">
        <v>34</v>
      </c>
      <c r="F577" t="s">
        <v>35</v>
      </c>
      <c r="G577" t="s">
        <v>35</v>
      </c>
      <c r="H577" t="s">
        <v>35</v>
      </c>
      <c r="J577" t="s">
        <v>1201</v>
      </c>
      <c r="K577" t="s">
        <v>1092</v>
      </c>
      <c r="M577">
        <v>1.7</v>
      </c>
      <c r="N577">
        <v>148</v>
      </c>
      <c r="O577" t="s">
        <v>38</v>
      </c>
      <c r="Q577" t="s">
        <v>1168</v>
      </c>
      <c r="R577" t="s">
        <v>193</v>
      </c>
      <c r="S577" t="s">
        <v>181</v>
      </c>
    </row>
    <row r="578" spans="1:19" x14ac:dyDescent="0.25">
      <c r="A578" t="s">
        <v>59</v>
      </c>
      <c r="B578" t="s">
        <v>60</v>
      </c>
      <c r="C578" t="s">
        <v>32</v>
      </c>
      <c r="D578" t="s">
        <v>33</v>
      </c>
      <c r="E578" t="s">
        <v>34</v>
      </c>
      <c r="F578" t="s">
        <v>35</v>
      </c>
      <c r="G578" t="s">
        <v>35</v>
      </c>
      <c r="H578" t="s">
        <v>35</v>
      </c>
      <c r="J578" t="s">
        <v>1197</v>
      </c>
      <c r="K578" t="s">
        <v>1092</v>
      </c>
      <c r="M578">
        <v>0.05</v>
      </c>
      <c r="N578">
        <v>85</v>
      </c>
      <c r="O578" t="s">
        <v>61</v>
      </c>
      <c r="Q578" t="s">
        <v>1202</v>
      </c>
      <c r="R578" t="s">
        <v>1196</v>
      </c>
      <c r="S578" t="s">
        <v>1197</v>
      </c>
    </row>
    <row r="579" spans="1:19" x14ac:dyDescent="0.25">
      <c r="A579" t="s">
        <v>59</v>
      </c>
      <c r="B579" t="s">
        <v>60</v>
      </c>
      <c r="C579" t="s">
        <v>32</v>
      </c>
      <c r="D579" t="s">
        <v>33</v>
      </c>
      <c r="E579" t="s">
        <v>64</v>
      </c>
      <c r="F579" t="s">
        <v>35</v>
      </c>
      <c r="G579" t="s">
        <v>35</v>
      </c>
      <c r="H579" t="s">
        <v>35</v>
      </c>
      <c r="J579" t="s">
        <v>1203</v>
      </c>
      <c r="K579" t="s">
        <v>1092</v>
      </c>
      <c r="M579">
        <v>3.55</v>
      </c>
      <c r="N579">
        <v>68</v>
      </c>
      <c r="O579" t="s">
        <v>61</v>
      </c>
      <c r="Q579" t="s">
        <v>146</v>
      </c>
      <c r="R579" t="s">
        <v>169</v>
      </c>
      <c r="S579" t="s">
        <v>123</v>
      </c>
    </row>
    <row r="580" spans="1:19" x14ac:dyDescent="0.25">
      <c r="A580" t="s">
        <v>59</v>
      </c>
      <c r="B580" t="s">
        <v>60</v>
      </c>
      <c r="C580" t="s">
        <v>32</v>
      </c>
      <c r="D580" t="s">
        <v>33</v>
      </c>
      <c r="E580" t="s">
        <v>64</v>
      </c>
      <c r="F580" t="s">
        <v>35</v>
      </c>
      <c r="G580" t="s">
        <v>35</v>
      </c>
      <c r="H580" t="s">
        <v>35</v>
      </c>
      <c r="J580" t="s">
        <v>1204</v>
      </c>
      <c r="K580" t="s">
        <v>1092</v>
      </c>
      <c r="M580">
        <v>6.7</v>
      </c>
      <c r="N580">
        <v>51</v>
      </c>
      <c r="O580" t="s">
        <v>52</v>
      </c>
      <c r="Q580" t="s">
        <v>54</v>
      </c>
      <c r="R580" t="s">
        <v>193</v>
      </c>
      <c r="S580" t="s">
        <v>181</v>
      </c>
    </row>
    <row r="581" spans="1:19" x14ac:dyDescent="0.25">
      <c r="A581" t="s">
        <v>30</v>
      </c>
      <c r="B581" t="s">
        <v>31</v>
      </c>
      <c r="C581" t="s">
        <v>32</v>
      </c>
      <c r="D581" t="s">
        <v>33</v>
      </c>
      <c r="E581" t="s">
        <v>64</v>
      </c>
      <c r="F581" t="s">
        <v>35</v>
      </c>
      <c r="G581" t="s">
        <v>35</v>
      </c>
      <c r="H581" t="s">
        <v>35</v>
      </c>
      <c r="J581" t="s">
        <v>1205</v>
      </c>
      <c r="K581" t="s">
        <v>1092</v>
      </c>
      <c r="M581">
        <v>2.6549999999999998</v>
      </c>
      <c r="N581">
        <v>46</v>
      </c>
      <c r="O581" t="s">
        <v>52</v>
      </c>
      <c r="Q581" t="s">
        <v>493</v>
      </c>
      <c r="R581" t="s">
        <v>85</v>
      </c>
      <c r="S581" t="s">
        <v>86</v>
      </c>
    </row>
    <row r="582" spans="1:19" x14ac:dyDescent="0.25">
      <c r="A582" t="s">
        <v>44</v>
      </c>
      <c r="B582" t="s">
        <v>51</v>
      </c>
      <c r="C582" t="s">
        <v>32</v>
      </c>
      <c r="D582" t="s">
        <v>33</v>
      </c>
      <c r="E582" t="s">
        <v>64</v>
      </c>
      <c r="F582" t="s">
        <v>35</v>
      </c>
      <c r="G582" t="s">
        <v>35</v>
      </c>
      <c r="H582" t="s">
        <v>35</v>
      </c>
      <c r="J582" t="s">
        <v>1205</v>
      </c>
      <c r="K582" t="s">
        <v>1092</v>
      </c>
      <c r="M582">
        <v>11</v>
      </c>
      <c r="N582">
        <v>28</v>
      </c>
      <c r="O582" t="s">
        <v>46</v>
      </c>
      <c r="Q582" t="s">
        <v>176</v>
      </c>
      <c r="R582" t="s">
        <v>85</v>
      </c>
      <c r="S582" t="s">
        <v>86</v>
      </c>
    </row>
    <row r="583" spans="1:19" x14ac:dyDescent="0.25">
      <c r="A583" t="s">
        <v>44</v>
      </c>
      <c r="B583" t="s">
        <v>3</v>
      </c>
      <c r="C583" t="s">
        <v>32</v>
      </c>
      <c r="D583" t="s">
        <v>33</v>
      </c>
      <c r="E583" t="s">
        <v>64</v>
      </c>
      <c r="F583" t="s">
        <v>35</v>
      </c>
      <c r="G583" t="s">
        <v>35</v>
      </c>
      <c r="H583" t="s">
        <v>35</v>
      </c>
      <c r="J583" t="s">
        <v>1205</v>
      </c>
      <c r="K583" t="s">
        <v>1092</v>
      </c>
      <c r="M583">
        <v>11</v>
      </c>
      <c r="N583">
        <v>62</v>
      </c>
      <c r="O583" t="s">
        <v>61</v>
      </c>
      <c r="Q583" t="s">
        <v>90</v>
      </c>
      <c r="R583" t="s">
        <v>85</v>
      </c>
      <c r="S583" t="s">
        <v>86</v>
      </c>
    </row>
    <row r="584" spans="1:19" x14ac:dyDescent="0.25">
      <c r="A584" t="s">
        <v>59</v>
      </c>
      <c r="B584" t="s">
        <v>60</v>
      </c>
      <c r="C584" t="s">
        <v>32</v>
      </c>
      <c r="D584" t="s">
        <v>33</v>
      </c>
      <c r="E584" t="s">
        <v>64</v>
      </c>
      <c r="F584" t="s">
        <v>35</v>
      </c>
      <c r="G584" t="s">
        <v>35</v>
      </c>
      <c r="H584" t="s">
        <v>35</v>
      </c>
      <c r="J584" t="s">
        <v>1205</v>
      </c>
      <c r="K584" t="s">
        <v>1092</v>
      </c>
      <c r="M584">
        <v>2.75</v>
      </c>
      <c r="N584">
        <v>100</v>
      </c>
      <c r="O584" t="s">
        <v>106</v>
      </c>
      <c r="Q584" t="s">
        <v>1112</v>
      </c>
      <c r="R584" t="s">
        <v>85</v>
      </c>
      <c r="S584" t="s">
        <v>86</v>
      </c>
    </row>
    <row r="585" spans="1:19" x14ac:dyDescent="0.25">
      <c r="A585" t="s">
        <v>44</v>
      </c>
      <c r="B585" t="s">
        <v>3</v>
      </c>
      <c r="C585" t="s">
        <v>32</v>
      </c>
      <c r="D585" t="s">
        <v>33</v>
      </c>
      <c r="E585" t="s">
        <v>64</v>
      </c>
      <c r="F585" t="s">
        <v>35</v>
      </c>
      <c r="G585" t="s">
        <v>35</v>
      </c>
      <c r="H585" t="s">
        <v>35</v>
      </c>
      <c r="J585" t="s">
        <v>1206</v>
      </c>
      <c r="K585" t="s">
        <v>1092</v>
      </c>
      <c r="M585">
        <v>0.5</v>
      </c>
      <c r="N585">
        <v>54</v>
      </c>
      <c r="O585" t="s">
        <v>52</v>
      </c>
      <c r="Q585" t="s">
        <v>1207</v>
      </c>
      <c r="R585" t="s">
        <v>1208</v>
      </c>
      <c r="S585" t="s">
        <v>1209</v>
      </c>
    </row>
    <row r="586" spans="1:19" x14ac:dyDescent="0.25">
      <c r="A586" t="s">
        <v>30</v>
      </c>
      <c r="B586" t="s">
        <v>31</v>
      </c>
      <c r="C586" t="s">
        <v>32</v>
      </c>
      <c r="D586" t="s">
        <v>33</v>
      </c>
      <c r="E586" t="s">
        <v>64</v>
      </c>
      <c r="F586" t="s">
        <v>35</v>
      </c>
      <c r="G586" t="s">
        <v>35</v>
      </c>
      <c r="H586" t="s">
        <v>35</v>
      </c>
      <c r="J586" t="s">
        <v>1210</v>
      </c>
      <c r="K586" t="s">
        <v>1092</v>
      </c>
      <c r="M586">
        <v>2.9249999999999998</v>
      </c>
      <c r="N586">
        <v>210</v>
      </c>
      <c r="O586" t="s">
        <v>5</v>
      </c>
      <c r="Q586" t="s">
        <v>1104</v>
      </c>
      <c r="R586" t="s">
        <v>1211</v>
      </c>
      <c r="S586" t="s">
        <v>1212</v>
      </c>
    </row>
    <row r="587" spans="1:19" x14ac:dyDescent="0.25">
      <c r="A587" t="s">
        <v>59</v>
      </c>
      <c r="B587" t="s">
        <v>60</v>
      </c>
      <c r="C587" t="s">
        <v>32</v>
      </c>
      <c r="D587" t="s">
        <v>33</v>
      </c>
      <c r="E587" t="s">
        <v>64</v>
      </c>
      <c r="F587" t="s">
        <v>35</v>
      </c>
      <c r="G587" t="s">
        <v>35</v>
      </c>
      <c r="H587" t="s">
        <v>35</v>
      </c>
      <c r="J587" t="s">
        <v>1210</v>
      </c>
      <c r="K587" t="s">
        <v>1092</v>
      </c>
      <c r="M587">
        <v>0.45</v>
      </c>
      <c r="N587">
        <v>69</v>
      </c>
      <c r="O587" t="s">
        <v>61</v>
      </c>
      <c r="Q587" t="s">
        <v>139</v>
      </c>
      <c r="R587" t="s">
        <v>193</v>
      </c>
      <c r="S587" t="s">
        <v>181</v>
      </c>
    </row>
    <row r="588" spans="1:19" x14ac:dyDescent="0.25">
      <c r="A588" t="s">
        <v>59</v>
      </c>
      <c r="B588" t="s">
        <v>60</v>
      </c>
      <c r="C588" t="s">
        <v>32</v>
      </c>
      <c r="D588" t="s">
        <v>33</v>
      </c>
      <c r="E588" t="s">
        <v>64</v>
      </c>
      <c r="F588" t="s">
        <v>35</v>
      </c>
      <c r="G588" t="s">
        <v>35</v>
      </c>
      <c r="H588" t="s">
        <v>35</v>
      </c>
      <c r="J588" t="s">
        <v>1213</v>
      </c>
      <c r="K588" t="s">
        <v>1092</v>
      </c>
      <c r="M588">
        <v>0.01</v>
      </c>
      <c r="N588">
        <v>1083</v>
      </c>
      <c r="O588" t="s">
        <v>575</v>
      </c>
      <c r="Q588" t="s">
        <v>1214</v>
      </c>
      <c r="R588" t="s">
        <v>118</v>
      </c>
      <c r="S588" t="s">
        <v>65</v>
      </c>
    </row>
    <row r="589" spans="1:19" x14ac:dyDescent="0.25">
      <c r="A589" t="s">
        <v>59</v>
      </c>
      <c r="B589" t="s">
        <v>31</v>
      </c>
      <c r="C589" t="s">
        <v>32</v>
      </c>
      <c r="D589" t="s">
        <v>33</v>
      </c>
      <c r="E589" t="s">
        <v>64</v>
      </c>
      <c r="F589" t="s">
        <v>35</v>
      </c>
      <c r="G589" t="s">
        <v>35</v>
      </c>
      <c r="H589" t="s">
        <v>35</v>
      </c>
      <c r="J589" t="s">
        <v>1215</v>
      </c>
      <c r="K589" t="s">
        <v>1092</v>
      </c>
      <c r="M589">
        <v>0.09</v>
      </c>
      <c r="N589">
        <v>99</v>
      </c>
      <c r="O589" t="s">
        <v>106</v>
      </c>
      <c r="Q589" t="s">
        <v>1216</v>
      </c>
      <c r="R589" t="s">
        <v>1208</v>
      </c>
      <c r="S589" t="s">
        <v>1209</v>
      </c>
    </row>
    <row r="590" spans="1:19" x14ac:dyDescent="0.25">
      <c r="A590" t="s">
        <v>59</v>
      </c>
      <c r="B590" t="s">
        <v>60</v>
      </c>
      <c r="C590" t="s">
        <v>32</v>
      </c>
      <c r="D590" t="s">
        <v>33</v>
      </c>
      <c r="E590" t="s">
        <v>64</v>
      </c>
      <c r="F590" t="s">
        <v>35</v>
      </c>
      <c r="G590" t="s">
        <v>35</v>
      </c>
      <c r="H590" t="s">
        <v>35</v>
      </c>
      <c r="J590" t="s">
        <v>1217</v>
      </c>
      <c r="K590" t="s">
        <v>1092</v>
      </c>
      <c r="M590">
        <v>5.5</v>
      </c>
      <c r="N590">
        <v>73</v>
      </c>
      <c r="O590" t="s">
        <v>61</v>
      </c>
      <c r="Q590" t="s">
        <v>552</v>
      </c>
      <c r="R590" t="s">
        <v>85</v>
      </c>
      <c r="S590" t="s">
        <v>86</v>
      </c>
    </row>
    <row r="591" spans="1:19" x14ac:dyDescent="0.25">
      <c r="A591" t="s">
        <v>59</v>
      </c>
      <c r="B591" t="s">
        <v>60</v>
      </c>
      <c r="C591" t="s">
        <v>32</v>
      </c>
      <c r="D591" t="s">
        <v>33</v>
      </c>
      <c r="E591" t="s">
        <v>64</v>
      </c>
      <c r="F591" t="s">
        <v>35</v>
      </c>
      <c r="G591" t="s">
        <v>35</v>
      </c>
      <c r="H591" t="s">
        <v>35</v>
      </c>
      <c r="J591" t="s">
        <v>1217</v>
      </c>
      <c r="K591" t="s">
        <v>1092</v>
      </c>
      <c r="M591">
        <v>0.64</v>
      </c>
      <c r="N591">
        <v>100</v>
      </c>
      <c r="O591" t="s">
        <v>106</v>
      </c>
      <c r="Q591" t="s">
        <v>1112</v>
      </c>
      <c r="R591" t="s">
        <v>85</v>
      </c>
      <c r="S591" t="s">
        <v>86</v>
      </c>
    </row>
    <row r="592" spans="1:19" x14ac:dyDescent="0.25">
      <c r="A592" t="s">
        <v>44</v>
      </c>
      <c r="B592" t="s">
        <v>3</v>
      </c>
      <c r="C592" t="s">
        <v>32</v>
      </c>
      <c r="D592" t="s">
        <v>33</v>
      </c>
      <c r="E592" t="s">
        <v>64</v>
      </c>
      <c r="F592" t="s">
        <v>35</v>
      </c>
      <c r="G592" t="s">
        <v>35</v>
      </c>
      <c r="H592" t="s">
        <v>35</v>
      </c>
      <c r="J592" t="s">
        <v>1217</v>
      </c>
      <c r="K592" t="s">
        <v>1092</v>
      </c>
      <c r="M592">
        <v>3.61</v>
      </c>
      <c r="N592">
        <v>62</v>
      </c>
      <c r="O592" t="s">
        <v>61</v>
      </c>
      <c r="Q592" t="s">
        <v>90</v>
      </c>
      <c r="R592" t="s">
        <v>85</v>
      </c>
      <c r="S592" t="s">
        <v>86</v>
      </c>
    </row>
    <row r="593" spans="1:19" x14ac:dyDescent="0.25">
      <c r="A593" t="s">
        <v>59</v>
      </c>
      <c r="B593" t="s">
        <v>31</v>
      </c>
      <c r="C593" t="s">
        <v>32</v>
      </c>
      <c r="D593" t="s">
        <v>33</v>
      </c>
      <c r="E593" t="s">
        <v>64</v>
      </c>
      <c r="F593" t="s">
        <v>35</v>
      </c>
      <c r="G593" t="s">
        <v>35</v>
      </c>
      <c r="H593" t="s">
        <v>35</v>
      </c>
      <c r="J593" t="s">
        <v>1217</v>
      </c>
      <c r="K593" t="s">
        <v>1092</v>
      </c>
      <c r="M593">
        <v>5.04</v>
      </c>
      <c r="N593">
        <v>72</v>
      </c>
      <c r="O593" t="s">
        <v>61</v>
      </c>
      <c r="Q593" t="s">
        <v>63</v>
      </c>
      <c r="R593" t="s">
        <v>85</v>
      </c>
      <c r="S593" t="s">
        <v>86</v>
      </c>
    </row>
    <row r="594" spans="1:19" x14ac:dyDescent="0.25">
      <c r="A594" t="s">
        <v>59</v>
      </c>
      <c r="B594" t="s">
        <v>60</v>
      </c>
      <c r="C594" t="s">
        <v>32</v>
      </c>
      <c r="D594" t="s">
        <v>33</v>
      </c>
      <c r="E594" t="s">
        <v>64</v>
      </c>
      <c r="F594" t="s">
        <v>35</v>
      </c>
      <c r="G594" t="s">
        <v>35</v>
      </c>
      <c r="H594" t="s">
        <v>35</v>
      </c>
      <c r="J594" t="s">
        <v>1219</v>
      </c>
      <c r="K594" t="s">
        <v>1092</v>
      </c>
      <c r="M594">
        <v>0.05</v>
      </c>
      <c r="N594">
        <v>284</v>
      </c>
      <c r="O594" t="s">
        <v>5</v>
      </c>
      <c r="Q594" t="s">
        <v>1220</v>
      </c>
      <c r="R594" t="s">
        <v>169</v>
      </c>
      <c r="S594" t="s">
        <v>123</v>
      </c>
    </row>
    <row r="595" spans="1:19" x14ac:dyDescent="0.25">
      <c r="A595" t="s">
        <v>59</v>
      </c>
      <c r="B595" t="s">
        <v>60</v>
      </c>
      <c r="C595" t="s">
        <v>32</v>
      </c>
      <c r="D595" t="s">
        <v>33</v>
      </c>
      <c r="E595" t="s">
        <v>64</v>
      </c>
      <c r="F595" t="s">
        <v>35</v>
      </c>
      <c r="G595" t="s">
        <v>35</v>
      </c>
      <c r="H595" t="s">
        <v>35</v>
      </c>
      <c r="J595" t="s">
        <v>1219</v>
      </c>
      <c r="K595" t="s">
        <v>1092</v>
      </c>
      <c r="M595">
        <v>5.5</v>
      </c>
      <c r="N595">
        <v>88</v>
      </c>
      <c r="O595" t="s">
        <v>61</v>
      </c>
      <c r="Q595" t="s">
        <v>858</v>
      </c>
      <c r="R595" t="s">
        <v>169</v>
      </c>
      <c r="S595" t="s">
        <v>123</v>
      </c>
    </row>
    <row r="596" spans="1:19" x14ac:dyDescent="0.25">
      <c r="A596" t="s">
        <v>59</v>
      </c>
      <c r="B596" t="s">
        <v>31</v>
      </c>
      <c r="C596" t="s">
        <v>32</v>
      </c>
      <c r="D596" t="s">
        <v>33</v>
      </c>
      <c r="E596" t="s">
        <v>64</v>
      </c>
      <c r="F596" t="s">
        <v>35</v>
      </c>
      <c r="G596" t="s">
        <v>35</v>
      </c>
      <c r="H596" t="s">
        <v>35</v>
      </c>
      <c r="J596" t="s">
        <v>1219</v>
      </c>
      <c r="K596" t="s">
        <v>1092</v>
      </c>
      <c r="M596">
        <v>5.49</v>
      </c>
      <c r="N596">
        <v>88</v>
      </c>
      <c r="O596" t="s">
        <v>61</v>
      </c>
      <c r="Q596" t="s">
        <v>858</v>
      </c>
      <c r="R596" t="s">
        <v>169</v>
      </c>
      <c r="S596" t="s">
        <v>123</v>
      </c>
    </row>
    <row r="597" spans="1:19" x14ac:dyDescent="0.25">
      <c r="A597" t="s">
        <v>59</v>
      </c>
      <c r="B597" t="s">
        <v>60</v>
      </c>
      <c r="C597" t="s">
        <v>32</v>
      </c>
      <c r="D597" t="s">
        <v>33</v>
      </c>
      <c r="E597" t="s">
        <v>64</v>
      </c>
      <c r="F597" t="s">
        <v>35</v>
      </c>
      <c r="G597" t="s">
        <v>35</v>
      </c>
      <c r="H597" t="s">
        <v>35</v>
      </c>
      <c r="J597" t="s">
        <v>1221</v>
      </c>
      <c r="K597" t="s">
        <v>1092</v>
      </c>
      <c r="M597">
        <v>0.19700000000000001</v>
      </c>
      <c r="N597">
        <v>300</v>
      </c>
      <c r="O597" t="s">
        <v>5</v>
      </c>
      <c r="Q597" t="s">
        <v>1223</v>
      </c>
      <c r="R597" t="s">
        <v>1142</v>
      </c>
      <c r="S597" t="s">
        <v>88</v>
      </c>
    </row>
    <row r="598" spans="1:19" x14ac:dyDescent="0.25">
      <c r="A598" t="s">
        <v>30</v>
      </c>
      <c r="B598" t="s">
        <v>31</v>
      </c>
      <c r="C598" t="s">
        <v>32</v>
      </c>
      <c r="D598" t="s">
        <v>33</v>
      </c>
      <c r="E598" t="s">
        <v>64</v>
      </c>
      <c r="F598" t="s">
        <v>35</v>
      </c>
      <c r="G598" t="s">
        <v>35</v>
      </c>
      <c r="H598" t="s">
        <v>35</v>
      </c>
      <c r="J598" t="s">
        <v>1221</v>
      </c>
      <c r="K598" t="s">
        <v>1092</v>
      </c>
      <c r="M598">
        <v>0.56499999999999995</v>
      </c>
      <c r="N598">
        <v>252</v>
      </c>
      <c r="O598" t="s">
        <v>5</v>
      </c>
      <c r="Q598" t="s">
        <v>1222</v>
      </c>
      <c r="R598" t="s">
        <v>103</v>
      </c>
      <c r="S598" t="s">
        <v>104</v>
      </c>
    </row>
    <row r="599" spans="1:19" x14ac:dyDescent="0.25">
      <c r="A599" t="s">
        <v>30</v>
      </c>
      <c r="B599" t="s">
        <v>31</v>
      </c>
      <c r="C599" t="s">
        <v>32</v>
      </c>
      <c r="D599" t="s">
        <v>33</v>
      </c>
      <c r="E599" t="s">
        <v>64</v>
      </c>
      <c r="F599" t="s">
        <v>35</v>
      </c>
      <c r="G599" t="s">
        <v>35</v>
      </c>
      <c r="H599" t="s">
        <v>35</v>
      </c>
      <c r="J599" t="s">
        <v>1224</v>
      </c>
      <c r="K599" t="s">
        <v>1092</v>
      </c>
      <c r="M599">
        <v>0.9</v>
      </c>
      <c r="N599">
        <v>282</v>
      </c>
      <c r="O599" t="s">
        <v>5</v>
      </c>
      <c r="Q599" t="s">
        <v>1225</v>
      </c>
      <c r="R599" t="s">
        <v>103</v>
      </c>
      <c r="S599" t="s">
        <v>104</v>
      </c>
    </row>
    <row r="600" spans="1:19" x14ac:dyDescent="0.25">
      <c r="A600" t="s">
        <v>59</v>
      </c>
      <c r="B600" t="s">
        <v>60</v>
      </c>
      <c r="C600" t="s">
        <v>32</v>
      </c>
      <c r="D600" t="s">
        <v>33</v>
      </c>
      <c r="E600" t="s">
        <v>64</v>
      </c>
      <c r="F600" t="s">
        <v>35</v>
      </c>
      <c r="G600" t="s">
        <v>35</v>
      </c>
      <c r="H600" t="s">
        <v>35</v>
      </c>
      <c r="J600" t="s">
        <v>1224</v>
      </c>
      <c r="K600" t="s">
        <v>1092</v>
      </c>
      <c r="M600">
        <v>1.05</v>
      </c>
      <c r="N600">
        <v>281</v>
      </c>
      <c r="O600" t="s">
        <v>5</v>
      </c>
      <c r="Q600" t="s">
        <v>1226</v>
      </c>
      <c r="R600" t="s">
        <v>1129</v>
      </c>
      <c r="S600" t="s">
        <v>1130</v>
      </c>
    </row>
    <row r="601" spans="1:19" x14ac:dyDescent="0.25">
      <c r="A601" t="s">
        <v>44</v>
      </c>
      <c r="B601" t="s">
        <v>3</v>
      </c>
      <c r="C601" t="s">
        <v>32</v>
      </c>
      <c r="D601" t="s">
        <v>33</v>
      </c>
      <c r="E601" t="s">
        <v>64</v>
      </c>
      <c r="F601" t="s">
        <v>35</v>
      </c>
      <c r="G601" t="s">
        <v>35</v>
      </c>
      <c r="H601" t="s">
        <v>35</v>
      </c>
      <c r="J601" t="s">
        <v>1227</v>
      </c>
      <c r="K601" t="s">
        <v>1092</v>
      </c>
      <c r="M601">
        <v>0.5</v>
      </c>
      <c r="N601">
        <v>28</v>
      </c>
      <c r="O601" t="s">
        <v>46</v>
      </c>
      <c r="Q601" t="s">
        <v>176</v>
      </c>
      <c r="R601" t="s">
        <v>1208</v>
      </c>
      <c r="S601" t="s">
        <v>1209</v>
      </c>
    </row>
    <row r="602" spans="1:19" x14ac:dyDescent="0.25">
      <c r="A602" t="s">
        <v>59</v>
      </c>
      <c r="B602" t="s">
        <v>60</v>
      </c>
      <c r="C602" t="s">
        <v>32</v>
      </c>
      <c r="D602" t="s">
        <v>33</v>
      </c>
      <c r="E602" t="s">
        <v>64</v>
      </c>
      <c r="F602" t="s">
        <v>35</v>
      </c>
      <c r="G602" t="s">
        <v>35</v>
      </c>
      <c r="H602" t="s">
        <v>35</v>
      </c>
      <c r="J602" t="s">
        <v>1228</v>
      </c>
      <c r="K602" t="s">
        <v>1092</v>
      </c>
      <c r="M602">
        <v>0.45</v>
      </c>
      <c r="N602">
        <v>147</v>
      </c>
      <c r="O602" t="s">
        <v>38</v>
      </c>
      <c r="Q602" t="s">
        <v>1229</v>
      </c>
      <c r="R602" t="s">
        <v>103</v>
      </c>
      <c r="S602" t="s">
        <v>104</v>
      </c>
    </row>
    <row r="603" spans="1:19" x14ac:dyDescent="0.25">
      <c r="A603" t="s">
        <v>44</v>
      </c>
      <c r="B603" t="s">
        <v>3</v>
      </c>
      <c r="C603" t="s">
        <v>32</v>
      </c>
      <c r="D603" t="s">
        <v>33</v>
      </c>
      <c r="E603" t="s">
        <v>64</v>
      </c>
      <c r="F603" t="s">
        <v>35</v>
      </c>
      <c r="G603" t="s">
        <v>35</v>
      </c>
      <c r="H603" t="s">
        <v>35</v>
      </c>
      <c r="J603" t="s">
        <v>1228</v>
      </c>
      <c r="K603" t="s">
        <v>1092</v>
      </c>
      <c r="M603">
        <v>1</v>
      </c>
      <c r="N603">
        <v>52</v>
      </c>
      <c r="O603" t="s">
        <v>52</v>
      </c>
      <c r="Q603" t="s">
        <v>1230</v>
      </c>
      <c r="R603" t="s">
        <v>1208</v>
      </c>
      <c r="S603" t="s">
        <v>1209</v>
      </c>
    </row>
    <row r="604" spans="1:19" x14ac:dyDescent="0.25">
      <c r="A604" t="s">
        <v>30</v>
      </c>
      <c r="B604" t="s">
        <v>31</v>
      </c>
      <c r="C604" t="s">
        <v>32</v>
      </c>
      <c r="D604" t="s">
        <v>33</v>
      </c>
      <c r="E604" t="s">
        <v>64</v>
      </c>
      <c r="F604" t="s">
        <v>35</v>
      </c>
      <c r="G604" t="s">
        <v>35</v>
      </c>
      <c r="H604" t="s">
        <v>35</v>
      </c>
      <c r="J604" t="s">
        <v>1231</v>
      </c>
      <c r="K604" t="s">
        <v>1092</v>
      </c>
      <c r="M604">
        <v>4.41</v>
      </c>
      <c r="N604">
        <v>38</v>
      </c>
      <c r="O604" t="s">
        <v>52</v>
      </c>
      <c r="Q604" t="s">
        <v>748</v>
      </c>
      <c r="R604" t="s">
        <v>85</v>
      </c>
      <c r="S604" t="s">
        <v>86</v>
      </c>
    </row>
    <row r="605" spans="1:19" x14ac:dyDescent="0.25">
      <c r="A605" t="s">
        <v>59</v>
      </c>
      <c r="B605" t="s">
        <v>60</v>
      </c>
      <c r="C605" t="s">
        <v>32</v>
      </c>
      <c r="D605" t="s">
        <v>33</v>
      </c>
      <c r="E605" t="s">
        <v>64</v>
      </c>
      <c r="F605" t="s">
        <v>35</v>
      </c>
      <c r="G605" t="s">
        <v>35</v>
      </c>
      <c r="H605" t="s">
        <v>35</v>
      </c>
      <c r="J605" t="s">
        <v>1232</v>
      </c>
      <c r="K605" t="s">
        <v>1092</v>
      </c>
      <c r="M605">
        <v>0.35</v>
      </c>
      <c r="N605">
        <v>69</v>
      </c>
      <c r="O605" t="s">
        <v>61</v>
      </c>
      <c r="Q605" t="s">
        <v>139</v>
      </c>
      <c r="R605" t="s">
        <v>1208</v>
      </c>
      <c r="S605" t="s">
        <v>1209</v>
      </c>
    </row>
    <row r="606" spans="1:19" x14ac:dyDescent="0.25">
      <c r="A606" t="s">
        <v>59</v>
      </c>
      <c r="B606" t="s">
        <v>60</v>
      </c>
      <c r="C606" t="s">
        <v>32</v>
      </c>
      <c r="D606" t="s">
        <v>33</v>
      </c>
      <c r="E606" t="s">
        <v>64</v>
      </c>
      <c r="F606" t="s">
        <v>35</v>
      </c>
      <c r="G606" t="s">
        <v>35</v>
      </c>
      <c r="H606" t="s">
        <v>35</v>
      </c>
      <c r="J606" t="s">
        <v>1233</v>
      </c>
      <c r="K606" t="s">
        <v>1092</v>
      </c>
      <c r="M606">
        <v>1.35</v>
      </c>
      <c r="N606">
        <v>292</v>
      </c>
      <c r="O606" t="s">
        <v>5</v>
      </c>
      <c r="Q606" t="s">
        <v>1234</v>
      </c>
      <c r="R606" t="s">
        <v>103</v>
      </c>
      <c r="S606" t="s">
        <v>104</v>
      </c>
    </row>
    <row r="607" spans="1:19" x14ac:dyDescent="0.25">
      <c r="A607" t="s">
        <v>59</v>
      </c>
      <c r="B607" t="s">
        <v>60</v>
      </c>
      <c r="C607" t="s">
        <v>32</v>
      </c>
      <c r="D607" t="s">
        <v>33</v>
      </c>
      <c r="E607" t="s">
        <v>64</v>
      </c>
      <c r="F607" t="s">
        <v>35</v>
      </c>
      <c r="G607" t="s">
        <v>35</v>
      </c>
      <c r="H607" t="s">
        <v>35</v>
      </c>
      <c r="J607" t="s">
        <v>1235</v>
      </c>
      <c r="K607" t="s">
        <v>1092</v>
      </c>
      <c r="M607">
        <v>0.2</v>
      </c>
      <c r="N607">
        <v>672</v>
      </c>
      <c r="O607" t="s">
        <v>575</v>
      </c>
      <c r="Q607" t="s">
        <v>1236</v>
      </c>
      <c r="R607" t="s">
        <v>118</v>
      </c>
      <c r="S607" t="s">
        <v>65</v>
      </c>
    </row>
    <row r="608" spans="1:19" x14ac:dyDescent="0.25">
      <c r="A608" t="s">
        <v>59</v>
      </c>
      <c r="B608" t="s">
        <v>60</v>
      </c>
      <c r="C608" t="s">
        <v>32</v>
      </c>
      <c r="D608" t="s">
        <v>33</v>
      </c>
      <c r="E608" t="s">
        <v>64</v>
      </c>
      <c r="F608" t="s">
        <v>35</v>
      </c>
      <c r="G608" t="s">
        <v>35</v>
      </c>
      <c r="H608" t="s">
        <v>35</v>
      </c>
      <c r="J608" t="s">
        <v>1237</v>
      </c>
      <c r="K608" t="s">
        <v>1092</v>
      </c>
      <c r="M608">
        <v>0.2</v>
      </c>
      <c r="N608">
        <v>376</v>
      </c>
      <c r="O608" t="s">
        <v>294</v>
      </c>
      <c r="Q608" t="s">
        <v>1238</v>
      </c>
      <c r="R608" t="s">
        <v>1129</v>
      </c>
      <c r="S608" t="s">
        <v>1130</v>
      </c>
    </row>
    <row r="609" spans="1:19" x14ac:dyDescent="0.25">
      <c r="A609" t="s">
        <v>59</v>
      </c>
      <c r="B609" t="s">
        <v>60</v>
      </c>
      <c r="C609" t="s">
        <v>32</v>
      </c>
      <c r="D609" t="s">
        <v>33</v>
      </c>
      <c r="E609" t="s">
        <v>64</v>
      </c>
      <c r="F609" t="s">
        <v>35</v>
      </c>
      <c r="G609" t="s">
        <v>35</v>
      </c>
      <c r="H609" t="s">
        <v>35</v>
      </c>
      <c r="J609" t="s">
        <v>1239</v>
      </c>
      <c r="K609" t="s">
        <v>1092</v>
      </c>
      <c r="M609">
        <v>0.3</v>
      </c>
      <c r="N609">
        <v>31</v>
      </c>
      <c r="O609" t="s">
        <v>52</v>
      </c>
      <c r="Q609" t="s">
        <v>972</v>
      </c>
      <c r="R609" t="s">
        <v>1129</v>
      </c>
      <c r="S609" t="s">
        <v>1130</v>
      </c>
    </row>
    <row r="610" spans="1:19" x14ac:dyDescent="0.25">
      <c r="A610" t="s">
        <v>44</v>
      </c>
      <c r="B610" t="s">
        <v>3</v>
      </c>
      <c r="C610" t="s">
        <v>32</v>
      </c>
      <c r="D610" t="s">
        <v>33</v>
      </c>
      <c r="E610" t="s">
        <v>64</v>
      </c>
      <c r="F610" t="s">
        <v>35</v>
      </c>
      <c r="G610" t="s">
        <v>35</v>
      </c>
      <c r="H610" t="s">
        <v>35</v>
      </c>
      <c r="J610" t="s">
        <v>1240</v>
      </c>
      <c r="K610" t="s">
        <v>1092</v>
      </c>
      <c r="M610">
        <v>5.5</v>
      </c>
      <c r="N610">
        <v>68</v>
      </c>
      <c r="O610" t="s">
        <v>61</v>
      </c>
      <c r="Q610" t="s">
        <v>146</v>
      </c>
      <c r="R610" t="s">
        <v>193</v>
      </c>
      <c r="S610" t="s">
        <v>181</v>
      </c>
    </row>
    <row r="611" spans="1:19" x14ac:dyDescent="0.25">
      <c r="A611" t="s">
        <v>59</v>
      </c>
      <c r="B611" t="s">
        <v>60</v>
      </c>
      <c r="C611" t="s">
        <v>32</v>
      </c>
      <c r="D611" t="s">
        <v>33</v>
      </c>
      <c r="E611" t="s">
        <v>64</v>
      </c>
      <c r="F611" t="s">
        <v>35</v>
      </c>
      <c r="G611" t="s">
        <v>35</v>
      </c>
      <c r="H611" t="s">
        <v>35</v>
      </c>
      <c r="J611" t="s">
        <v>1240</v>
      </c>
      <c r="K611" t="s">
        <v>1092</v>
      </c>
      <c r="M611">
        <v>5.5</v>
      </c>
      <c r="N611">
        <v>98</v>
      </c>
      <c r="O611" t="s">
        <v>106</v>
      </c>
      <c r="Q611" t="s">
        <v>108</v>
      </c>
      <c r="R611" t="s">
        <v>193</v>
      </c>
      <c r="S611" t="s">
        <v>181</v>
      </c>
    </row>
    <row r="612" spans="1:19" x14ac:dyDescent="0.25">
      <c r="A612" t="s">
        <v>59</v>
      </c>
      <c r="B612" t="s">
        <v>60</v>
      </c>
      <c r="C612" t="s">
        <v>32</v>
      </c>
      <c r="D612" t="s">
        <v>33</v>
      </c>
      <c r="E612" t="s">
        <v>64</v>
      </c>
      <c r="F612" t="s">
        <v>35</v>
      </c>
      <c r="G612" t="s">
        <v>35</v>
      </c>
      <c r="H612" t="s">
        <v>35</v>
      </c>
      <c r="J612" t="s">
        <v>1240</v>
      </c>
      <c r="K612" t="s">
        <v>1092</v>
      </c>
      <c r="M612">
        <v>5.5</v>
      </c>
      <c r="N612">
        <v>72</v>
      </c>
      <c r="O612" t="s">
        <v>61</v>
      </c>
      <c r="Q612" t="s">
        <v>63</v>
      </c>
      <c r="R612" t="s">
        <v>193</v>
      </c>
      <c r="S612" t="s">
        <v>181</v>
      </c>
    </row>
    <row r="613" spans="1:19" x14ac:dyDescent="0.25">
      <c r="A613" t="s">
        <v>59</v>
      </c>
      <c r="B613" t="s">
        <v>31</v>
      </c>
      <c r="C613" t="s">
        <v>32</v>
      </c>
      <c r="D613" t="s">
        <v>33</v>
      </c>
      <c r="E613" t="s">
        <v>64</v>
      </c>
      <c r="F613" t="s">
        <v>35</v>
      </c>
      <c r="G613" t="s">
        <v>35</v>
      </c>
      <c r="H613" t="s">
        <v>35</v>
      </c>
      <c r="J613" t="s">
        <v>1241</v>
      </c>
      <c r="K613" t="s">
        <v>1092</v>
      </c>
      <c r="M613">
        <v>0.63</v>
      </c>
      <c r="N613">
        <v>244</v>
      </c>
      <c r="O613" t="s">
        <v>5</v>
      </c>
      <c r="Q613" t="s">
        <v>1242</v>
      </c>
      <c r="R613" t="s">
        <v>103</v>
      </c>
      <c r="S613" t="s">
        <v>104</v>
      </c>
    </row>
    <row r="614" spans="1:19" x14ac:dyDescent="0.25">
      <c r="A614" t="s">
        <v>44</v>
      </c>
      <c r="B614" t="s">
        <v>51</v>
      </c>
      <c r="C614" t="s">
        <v>32</v>
      </c>
      <c r="D614" t="s">
        <v>33</v>
      </c>
      <c r="E614" t="s">
        <v>64</v>
      </c>
      <c r="F614" t="s">
        <v>35</v>
      </c>
      <c r="G614" t="s">
        <v>35</v>
      </c>
      <c r="H614" t="s">
        <v>35</v>
      </c>
      <c r="J614" t="s">
        <v>1243</v>
      </c>
      <c r="K614" t="s">
        <v>1092</v>
      </c>
      <c r="M614">
        <v>0.05</v>
      </c>
      <c r="N614">
        <v>819</v>
      </c>
      <c r="O614" t="s">
        <v>575</v>
      </c>
      <c r="Q614" t="s">
        <v>1244</v>
      </c>
      <c r="R614" t="s">
        <v>1208</v>
      </c>
      <c r="S614" t="s">
        <v>1209</v>
      </c>
    </row>
    <row r="615" spans="1:19" x14ac:dyDescent="0.25">
      <c r="A615" t="s">
        <v>59</v>
      </c>
      <c r="B615" t="s">
        <v>31</v>
      </c>
      <c r="C615" t="s">
        <v>32</v>
      </c>
      <c r="D615" t="s">
        <v>33</v>
      </c>
      <c r="E615" t="s">
        <v>64</v>
      </c>
      <c r="F615" t="s">
        <v>35</v>
      </c>
      <c r="G615" t="s">
        <v>35</v>
      </c>
      <c r="H615" t="s">
        <v>35</v>
      </c>
      <c r="J615" t="s">
        <v>1243</v>
      </c>
      <c r="K615" t="s">
        <v>1092</v>
      </c>
      <c r="M615">
        <v>2.74</v>
      </c>
      <c r="N615">
        <v>1252</v>
      </c>
      <c r="O615" t="s">
        <v>575</v>
      </c>
      <c r="Q615" t="s">
        <v>1245</v>
      </c>
      <c r="R615" t="s">
        <v>169</v>
      </c>
      <c r="S615" t="s">
        <v>123</v>
      </c>
    </row>
    <row r="616" spans="1:19" x14ac:dyDescent="0.25">
      <c r="A616" t="s">
        <v>59</v>
      </c>
      <c r="B616" t="s">
        <v>60</v>
      </c>
      <c r="C616" t="s">
        <v>32</v>
      </c>
      <c r="D616" t="s">
        <v>33</v>
      </c>
      <c r="E616" t="s">
        <v>64</v>
      </c>
      <c r="F616" t="s">
        <v>35</v>
      </c>
      <c r="G616" t="s">
        <v>35</v>
      </c>
      <c r="H616" t="s">
        <v>35</v>
      </c>
      <c r="J616" t="s">
        <v>1246</v>
      </c>
      <c r="K616" t="s">
        <v>1092</v>
      </c>
      <c r="M616">
        <v>0.8</v>
      </c>
      <c r="N616">
        <v>68</v>
      </c>
      <c r="O616" t="s">
        <v>61</v>
      </c>
      <c r="Q616" t="s">
        <v>146</v>
      </c>
      <c r="R616" t="s">
        <v>169</v>
      </c>
      <c r="S616" t="s">
        <v>123</v>
      </c>
    </row>
    <row r="617" spans="1:19" x14ac:dyDescent="0.25">
      <c r="A617" t="s">
        <v>44</v>
      </c>
      <c r="B617" t="s">
        <v>3</v>
      </c>
      <c r="C617" t="s">
        <v>32</v>
      </c>
      <c r="D617" t="s">
        <v>33</v>
      </c>
      <c r="E617" t="s">
        <v>64</v>
      </c>
      <c r="F617" t="s">
        <v>35</v>
      </c>
      <c r="G617" t="s">
        <v>35</v>
      </c>
      <c r="H617" t="s">
        <v>35</v>
      </c>
      <c r="J617" t="s">
        <v>1247</v>
      </c>
      <c r="K617" t="s">
        <v>1092</v>
      </c>
      <c r="M617">
        <v>2.1</v>
      </c>
      <c r="N617">
        <v>68</v>
      </c>
      <c r="O617" t="s">
        <v>61</v>
      </c>
      <c r="Q617" t="s">
        <v>146</v>
      </c>
      <c r="R617" t="s">
        <v>103</v>
      </c>
      <c r="S617" t="s">
        <v>104</v>
      </c>
    </row>
    <row r="618" spans="1:19" x14ac:dyDescent="0.25">
      <c r="A618" t="s">
        <v>44</v>
      </c>
      <c r="B618" t="s">
        <v>51</v>
      </c>
      <c r="C618" t="s">
        <v>32</v>
      </c>
      <c r="D618" t="s">
        <v>33</v>
      </c>
      <c r="E618" t="s">
        <v>64</v>
      </c>
      <c r="F618" t="s">
        <v>35</v>
      </c>
      <c r="G618" t="s">
        <v>35</v>
      </c>
      <c r="H618" t="s">
        <v>35</v>
      </c>
      <c r="J618" t="s">
        <v>1247</v>
      </c>
      <c r="K618" t="s">
        <v>1092</v>
      </c>
      <c r="M618">
        <v>1.5</v>
      </c>
      <c r="N618">
        <v>62</v>
      </c>
      <c r="O618" t="s">
        <v>61</v>
      </c>
      <c r="Q618" t="s">
        <v>90</v>
      </c>
      <c r="R618" t="s">
        <v>103</v>
      </c>
      <c r="S618" t="s">
        <v>104</v>
      </c>
    </row>
    <row r="619" spans="1:19" x14ac:dyDescent="0.25">
      <c r="A619" t="s">
        <v>59</v>
      </c>
      <c r="B619" t="s">
        <v>60</v>
      </c>
      <c r="C619" t="s">
        <v>32</v>
      </c>
      <c r="D619" t="s">
        <v>33</v>
      </c>
      <c r="E619" t="s">
        <v>64</v>
      </c>
      <c r="F619" t="s">
        <v>35</v>
      </c>
      <c r="G619" t="s">
        <v>35</v>
      </c>
      <c r="H619" t="s">
        <v>35</v>
      </c>
      <c r="J619" t="s">
        <v>1248</v>
      </c>
      <c r="K619" t="s">
        <v>1092</v>
      </c>
      <c r="M619">
        <v>5</v>
      </c>
      <c r="N619">
        <v>148</v>
      </c>
      <c r="O619" t="s">
        <v>38</v>
      </c>
      <c r="Q619" t="s">
        <v>1168</v>
      </c>
      <c r="R619" t="s">
        <v>193</v>
      </c>
      <c r="S619" t="s">
        <v>181</v>
      </c>
    </row>
    <row r="620" spans="1:19" x14ac:dyDescent="0.25">
      <c r="A620" t="s">
        <v>30</v>
      </c>
      <c r="B620" t="s">
        <v>31</v>
      </c>
      <c r="C620" t="s">
        <v>32</v>
      </c>
      <c r="D620" t="s">
        <v>33</v>
      </c>
      <c r="E620" t="s">
        <v>64</v>
      </c>
      <c r="F620" t="s">
        <v>35</v>
      </c>
      <c r="G620" t="s">
        <v>35</v>
      </c>
      <c r="H620" t="s">
        <v>35</v>
      </c>
      <c r="J620" t="s">
        <v>1248</v>
      </c>
      <c r="K620" t="s">
        <v>1092</v>
      </c>
      <c r="M620">
        <v>2.34</v>
      </c>
      <c r="N620">
        <v>20</v>
      </c>
      <c r="O620" t="s">
        <v>46</v>
      </c>
      <c r="Q620" t="s">
        <v>1004</v>
      </c>
      <c r="R620" t="s">
        <v>169</v>
      </c>
      <c r="S620" t="s">
        <v>123</v>
      </c>
    </row>
    <row r="621" spans="1:19" x14ac:dyDescent="0.25">
      <c r="A621" t="s">
        <v>59</v>
      </c>
      <c r="B621" t="s">
        <v>60</v>
      </c>
      <c r="C621" t="s">
        <v>32</v>
      </c>
      <c r="D621" t="s">
        <v>33</v>
      </c>
      <c r="E621" t="s">
        <v>64</v>
      </c>
      <c r="F621" t="s">
        <v>35</v>
      </c>
      <c r="G621" t="s">
        <v>35</v>
      </c>
      <c r="H621" t="s">
        <v>35</v>
      </c>
      <c r="J621" t="s">
        <v>1250</v>
      </c>
      <c r="K621" t="s">
        <v>1092</v>
      </c>
      <c r="M621">
        <v>2.15</v>
      </c>
      <c r="N621">
        <v>91</v>
      </c>
      <c r="O621" t="s">
        <v>106</v>
      </c>
      <c r="Q621" t="s">
        <v>1147</v>
      </c>
      <c r="R621" t="s">
        <v>169</v>
      </c>
      <c r="S621" t="s">
        <v>123</v>
      </c>
    </row>
    <row r="622" spans="1:19" x14ac:dyDescent="0.25">
      <c r="A622" t="s">
        <v>44</v>
      </c>
      <c r="B622" t="s">
        <v>3</v>
      </c>
      <c r="C622" t="s">
        <v>32</v>
      </c>
      <c r="D622" t="s">
        <v>33</v>
      </c>
      <c r="E622" t="s">
        <v>64</v>
      </c>
      <c r="F622" t="s">
        <v>35</v>
      </c>
      <c r="G622" t="s">
        <v>35</v>
      </c>
      <c r="H622" t="s">
        <v>35</v>
      </c>
      <c r="J622" t="s">
        <v>1251</v>
      </c>
      <c r="K622" t="s">
        <v>1092</v>
      </c>
      <c r="M622">
        <v>0.2</v>
      </c>
      <c r="N622">
        <v>40</v>
      </c>
      <c r="O622" t="s">
        <v>52</v>
      </c>
      <c r="Q622" t="s">
        <v>130</v>
      </c>
      <c r="R622" t="s">
        <v>1252</v>
      </c>
      <c r="S622" t="s">
        <v>81</v>
      </c>
    </row>
    <row r="623" spans="1:19" x14ac:dyDescent="0.25">
      <c r="A623" t="s">
        <v>30</v>
      </c>
      <c r="B623" t="s">
        <v>31</v>
      </c>
      <c r="C623" t="s">
        <v>32</v>
      </c>
      <c r="D623" t="s">
        <v>33</v>
      </c>
      <c r="E623" t="s">
        <v>64</v>
      </c>
      <c r="F623" t="s">
        <v>35</v>
      </c>
      <c r="G623" t="s">
        <v>35</v>
      </c>
      <c r="H623" t="s">
        <v>35</v>
      </c>
      <c r="J623" t="s">
        <v>1254</v>
      </c>
      <c r="K623" t="s">
        <v>1092</v>
      </c>
      <c r="M623">
        <v>0.94499999999999995</v>
      </c>
      <c r="N623">
        <v>47</v>
      </c>
      <c r="O623" t="s">
        <v>52</v>
      </c>
      <c r="Q623" t="s">
        <v>132</v>
      </c>
      <c r="R623" t="s">
        <v>1208</v>
      </c>
      <c r="S623" t="s">
        <v>1209</v>
      </c>
    </row>
    <row r="624" spans="1:19" x14ac:dyDescent="0.25">
      <c r="A624" t="s">
        <v>59</v>
      </c>
      <c r="B624" t="s">
        <v>31</v>
      </c>
      <c r="C624" t="s">
        <v>32</v>
      </c>
      <c r="D624" t="s">
        <v>33</v>
      </c>
      <c r="E624" t="s">
        <v>64</v>
      </c>
      <c r="F624" t="s">
        <v>35</v>
      </c>
      <c r="G624" t="s">
        <v>35</v>
      </c>
      <c r="H624" t="s">
        <v>35</v>
      </c>
      <c r="J624" t="s">
        <v>1255</v>
      </c>
      <c r="K624" t="s">
        <v>1092</v>
      </c>
      <c r="M624">
        <v>3.51</v>
      </c>
      <c r="N624">
        <v>95</v>
      </c>
      <c r="O624" t="s">
        <v>106</v>
      </c>
      <c r="Q624" t="s">
        <v>724</v>
      </c>
      <c r="R624" t="s">
        <v>69</v>
      </c>
      <c r="S624" t="s">
        <v>70</v>
      </c>
    </row>
    <row r="625" spans="1:19" x14ac:dyDescent="0.25">
      <c r="A625" t="s">
        <v>59</v>
      </c>
      <c r="B625" t="s">
        <v>60</v>
      </c>
      <c r="C625" t="s">
        <v>32</v>
      </c>
      <c r="D625" t="s">
        <v>33</v>
      </c>
      <c r="E625" t="s">
        <v>64</v>
      </c>
      <c r="F625" t="s">
        <v>35</v>
      </c>
      <c r="G625" t="s">
        <v>35</v>
      </c>
      <c r="H625" t="s">
        <v>35</v>
      </c>
      <c r="J625" t="s">
        <v>1255</v>
      </c>
      <c r="K625" t="s">
        <v>1092</v>
      </c>
      <c r="M625">
        <v>2.5</v>
      </c>
      <c r="N625">
        <v>116</v>
      </c>
      <c r="O625" t="s">
        <v>106</v>
      </c>
      <c r="Q625" t="s">
        <v>1256</v>
      </c>
      <c r="R625" t="s">
        <v>169</v>
      </c>
      <c r="S625" t="s">
        <v>123</v>
      </c>
    </row>
    <row r="626" spans="1:19" x14ac:dyDescent="0.25">
      <c r="A626" t="s">
        <v>59</v>
      </c>
      <c r="B626" t="s">
        <v>60</v>
      </c>
      <c r="C626" t="s">
        <v>32</v>
      </c>
      <c r="D626" t="s">
        <v>33</v>
      </c>
      <c r="E626" t="s">
        <v>64</v>
      </c>
      <c r="F626" t="s">
        <v>35</v>
      </c>
      <c r="G626" t="s">
        <v>35</v>
      </c>
      <c r="H626" t="s">
        <v>35</v>
      </c>
      <c r="J626" t="s">
        <v>1257</v>
      </c>
      <c r="K626" t="s">
        <v>1092</v>
      </c>
      <c r="M626">
        <v>0.5</v>
      </c>
      <c r="N626">
        <v>92</v>
      </c>
      <c r="O626" t="s">
        <v>106</v>
      </c>
      <c r="Q626" t="s">
        <v>1100</v>
      </c>
      <c r="R626" t="s">
        <v>1258</v>
      </c>
      <c r="S626" t="s">
        <v>194</v>
      </c>
    </row>
    <row r="627" spans="1:19" x14ac:dyDescent="0.25">
      <c r="A627" t="s">
        <v>59</v>
      </c>
      <c r="B627" t="s">
        <v>31</v>
      </c>
      <c r="C627" t="s">
        <v>32</v>
      </c>
      <c r="D627" t="s">
        <v>33</v>
      </c>
      <c r="E627" t="s">
        <v>64</v>
      </c>
      <c r="F627" t="s">
        <v>35</v>
      </c>
      <c r="G627" t="s">
        <v>35</v>
      </c>
      <c r="H627" t="s">
        <v>35</v>
      </c>
      <c r="J627" t="s">
        <v>1259</v>
      </c>
      <c r="K627" t="s">
        <v>1092</v>
      </c>
      <c r="M627">
        <v>0.09</v>
      </c>
      <c r="N627">
        <v>225</v>
      </c>
      <c r="O627" t="s">
        <v>5</v>
      </c>
      <c r="Q627" t="s">
        <v>1260</v>
      </c>
      <c r="R627" t="s">
        <v>1129</v>
      </c>
      <c r="S627" t="s">
        <v>1130</v>
      </c>
    </row>
    <row r="628" spans="1:19" x14ac:dyDescent="0.25">
      <c r="A628" t="s">
        <v>30</v>
      </c>
      <c r="B628" t="s">
        <v>31</v>
      </c>
      <c r="C628" t="s">
        <v>32</v>
      </c>
      <c r="D628" t="s">
        <v>33</v>
      </c>
      <c r="E628" t="s">
        <v>64</v>
      </c>
      <c r="F628" t="s">
        <v>35</v>
      </c>
      <c r="G628" t="s">
        <v>35</v>
      </c>
      <c r="H628" t="s">
        <v>35</v>
      </c>
      <c r="J628" t="s">
        <v>1261</v>
      </c>
      <c r="K628" t="s">
        <v>1092</v>
      </c>
      <c r="M628">
        <v>4.8600000000000003</v>
      </c>
      <c r="N628">
        <v>16</v>
      </c>
      <c r="O628" t="s">
        <v>46</v>
      </c>
      <c r="Q628" t="s">
        <v>323</v>
      </c>
      <c r="R628" t="s">
        <v>103</v>
      </c>
      <c r="S628" t="s">
        <v>104</v>
      </c>
    </row>
    <row r="629" spans="1:19" x14ac:dyDescent="0.25">
      <c r="A629" t="s">
        <v>59</v>
      </c>
      <c r="B629" t="s">
        <v>60</v>
      </c>
      <c r="C629" t="s">
        <v>32</v>
      </c>
      <c r="D629" t="s">
        <v>33</v>
      </c>
      <c r="E629" t="s">
        <v>64</v>
      </c>
      <c r="F629" t="s">
        <v>35</v>
      </c>
      <c r="G629" t="s">
        <v>35</v>
      </c>
      <c r="H629" t="s">
        <v>35</v>
      </c>
      <c r="J629" t="s">
        <v>1262</v>
      </c>
      <c r="K629" t="s">
        <v>1092</v>
      </c>
      <c r="M629">
        <v>4.5</v>
      </c>
      <c r="N629">
        <v>100</v>
      </c>
      <c r="O629" t="s">
        <v>106</v>
      </c>
      <c r="Q629" t="s">
        <v>1112</v>
      </c>
      <c r="R629" t="s">
        <v>85</v>
      </c>
      <c r="S629" t="s">
        <v>86</v>
      </c>
    </row>
    <row r="630" spans="1:19" x14ac:dyDescent="0.25">
      <c r="A630" t="s">
        <v>30</v>
      </c>
      <c r="B630" t="s">
        <v>31</v>
      </c>
      <c r="C630" t="s">
        <v>32</v>
      </c>
      <c r="D630" t="s">
        <v>33</v>
      </c>
      <c r="E630" t="s">
        <v>64</v>
      </c>
      <c r="F630" t="s">
        <v>35</v>
      </c>
      <c r="G630" t="s">
        <v>35</v>
      </c>
      <c r="H630" t="s">
        <v>35</v>
      </c>
      <c r="J630" t="s">
        <v>1262</v>
      </c>
      <c r="K630" t="s">
        <v>1092</v>
      </c>
      <c r="M630">
        <v>9.6300000000000008</v>
      </c>
      <c r="N630">
        <v>46</v>
      </c>
      <c r="O630" t="s">
        <v>52</v>
      </c>
      <c r="Q630" t="s">
        <v>493</v>
      </c>
      <c r="R630" t="s">
        <v>85</v>
      </c>
      <c r="S630" t="s">
        <v>86</v>
      </c>
    </row>
    <row r="631" spans="1:19" x14ac:dyDescent="0.25">
      <c r="A631" t="s">
        <v>59</v>
      </c>
      <c r="B631" t="s">
        <v>60</v>
      </c>
      <c r="C631" t="s">
        <v>32</v>
      </c>
      <c r="D631" t="s">
        <v>33</v>
      </c>
      <c r="E631" t="s">
        <v>64</v>
      </c>
      <c r="F631" t="s">
        <v>35</v>
      </c>
      <c r="G631" t="s">
        <v>35</v>
      </c>
      <c r="H631" t="s">
        <v>35</v>
      </c>
      <c r="J631" t="s">
        <v>1263</v>
      </c>
      <c r="K631" t="s">
        <v>1092</v>
      </c>
      <c r="M631">
        <v>0.75</v>
      </c>
      <c r="N631">
        <v>135</v>
      </c>
      <c r="O631" t="s">
        <v>38</v>
      </c>
      <c r="Q631" t="s">
        <v>98</v>
      </c>
      <c r="R631" t="s">
        <v>118</v>
      </c>
      <c r="S631" t="s">
        <v>65</v>
      </c>
    </row>
    <row r="632" spans="1:19" x14ac:dyDescent="0.25">
      <c r="A632" t="s">
        <v>59</v>
      </c>
      <c r="B632" t="s">
        <v>60</v>
      </c>
      <c r="C632" t="s">
        <v>32</v>
      </c>
      <c r="D632" t="s">
        <v>33</v>
      </c>
      <c r="E632" t="s">
        <v>64</v>
      </c>
      <c r="F632" t="s">
        <v>35</v>
      </c>
      <c r="G632" t="s">
        <v>35</v>
      </c>
      <c r="H632" t="s">
        <v>35</v>
      </c>
      <c r="J632" t="s">
        <v>1263</v>
      </c>
      <c r="K632" t="s">
        <v>1092</v>
      </c>
      <c r="M632">
        <v>0.5</v>
      </c>
      <c r="N632">
        <v>160</v>
      </c>
      <c r="O632" t="s">
        <v>38</v>
      </c>
      <c r="Q632" t="s">
        <v>260</v>
      </c>
      <c r="R632" t="s">
        <v>193</v>
      </c>
      <c r="S632" t="s">
        <v>181</v>
      </c>
    </row>
    <row r="633" spans="1:19" x14ac:dyDescent="0.25">
      <c r="A633" t="s">
        <v>59</v>
      </c>
      <c r="B633" t="s">
        <v>60</v>
      </c>
      <c r="C633" t="s">
        <v>32</v>
      </c>
      <c r="D633" t="s">
        <v>33</v>
      </c>
      <c r="E633" t="s">
        <v>64</v>
      </c>
      <c r="F633" t="s">
        <v>35</v>
      </c>
      <c r="G633" t="s">
        <v>35</v>
      </c>
      <c r="H633" t="s">
        <v>35</v>
      </c>
      <c r="J633" t="s">
        <v>1263</v>
      </c>
      <c r="K633" t="s">
        <v>1092</v>
      </c>
      <c r="M633">
        <v>0.5</v>
      </c>
      <c r="N633">
        <v>79</v>
      </c>
      <c r="O633" t="s">
        <v>61</v>
      </c>
      <c r="Q633" t="s">
        <v>1156</v>
      </c>
      <c r="R633" t="s">
        <v>193</v>
      </c>
      <c r="S633" t="s">
        <v>181</v>
      </c>
    </row>
    <row r="634" spans="1:19" x14ac:dyDescent="0.25">
      <c r="A634" t="s">
        <v>59</v>
      </c>
      <c r="B634" t="s">
        <v>60</v>
      </c>
      <c r="C634" t="s">
        <v>32</v>
      </c>
      <c r="D634" t="s">
        <v>33</v>
      </c>
      <c r="E634" t="s">
        <v>64</v>
      </c>
      <c r="F634" t="s">
        <v>35</v>
      </c>
      <c r="G634" t="s">
        <v>35</v>
      </c>
      <c r="H634" t="s">
        <v>35</v>
      </c>
      <c r="J634" t="s">
        <v>1263</v>
      </c>
      <c r="K634" t="s">
        <v>1092</v>
      </c>
      <c r="M634">
        <v>0.3</v>
      </c>
      <c r="N634">
        <v>272</v>
      </c>
      <c r="O634" t="s">
        <v>5</v>
      </c>
      <c r="Q634" t="s">
        <v>1264</v>
      </c>
      <c r="R634" t="s">
        <v>118</v>
      </c>
      <c r="S634" t="s">
        <v>65</v>
      </c>
    </row>
    <row r="635" spans="1:19" x14ac:dyDescent="0.25">
      <c r="A635" t="s">
        <v>59</v>
      </c>
      <c r="B635" t="s">
        <v>60</v>
      </c>
      <c r="C635" t="s">
        <v>32</v>
      </c>
      <c r="D635" t="s">
        <v>33</v>
      </c>
      <c r="E635" t="s">
        <v>64</v>
      </c>
      <c r="F635" t="s">
        <v>35</v>
      </c>
      <c r="G635" t="s">
        <v>35</v>
      </c>
      <c r="H635" t="s">
        <v>35</v>
      </c>
      <c r="J635" t="s">
        <v>1265</v>
      </c>
      <c r="K635" t="s">
        <v>1092</v>
      </c>
      <c r="M635">
        <v>5.5</v>
      </c>
      <c r="N635">
        <v>99</v>
      </c>
      <c r="O635" t="s">
        <v>106</v>
      </c>
      <c r="Q635" t="s">
        <v>1216</v>
      </c>
      <c r="R635" t="s">
        <v>1208</v>
      </c>
      <c r="S635" t="s">
        <v>1209</v>
      </c>
    </row>
    <row r="636" spans="1:19" x14ac:dyDescent="0.25">
      <c r="A636" t="s">
        <v>59</v>
      </c>
      <c r="B636" t="s">
        <v>60</v>
      </c>
      <c r="C636" t="s">
        <v>32</v>
      </c>
      <c r="D636" t="s">
        <v>33</v>
      </c>
      <c r="E636" t="s">
        <v>64</v>
      </c>
      <c r="F636" t="s">
        <v>35</v>
      </c>
      <c r="G636" t="s">
        <v>35</v>
      </c>
      <c r="H636" t="s">
        <v>35</v>
      </c>
      <c r="J636" t="s">
        <v>1265</v>
      </c>
      <c r="K636" t="s">
        <v>1092</v>
      </c>
      <c r="M636">
        <v>0.8</v>
      </c>
      <c r="N636">
        <v>147</v>
      </c>
      <c r="O636" t="s">
        <v>38</v>
      </c>
      <c r="Q636" t="s">
        <v>1229</v>
      </c>
      <c r="R636" t="s">
        <v>103</v>
      </c>
      <c r="S636" t="s">
        <v>104</v>
      </c>
    </row>
    <row r="637" spans="1:19" x14ac:dyDescent="0.25">
      <c r="A637" t="s">
        <v>59</v>
      </c>
      <c r="B637" t="s">
        <v>60</v>
      </c>
      <c r="C637" t="s">
        <v>32</v>
      </c>
      <c r="D637" t="s">
        <v>33</v>
      </c>
      <c r="E637" t="s">
        <v>64</v>
      </c>
      <c r="F637" t="s">
        <v>35</v>
      </c>
      <c r="G637" t="s">
        <v>35</v>
      </c>
      <c r="H637" t="s">
        <v>35</v>
      </c>
      <c r="J637" t="s">
        <v>1266</v>
      </c>
      <c r="K637" t="s">
        <v>1092</v>
      </c>
      <c r="M637">
        <v>13</v>
      </c>
      <c r="N637">
        <v>7</v>
      </c>
      <c r="O637" t="s">
        <v>46</v>
      </c>
      <c r="Q637" t="s">
        <v>8164</v>
      </c>
      <c r="R637" t="s">
        <v>118</v>
      </c>
      <c r="S637" t="s">
        <v>65</v>
      </c>
    </row>
    <row r="638" spans="1:19" x14ac:dyDescent="0.25">
      <c r="A638" t="s">
        <v>30</v>
      </c>
      <c r="B638" t="s">
        <v>31</v>
      </c>
      <c r="C638" t="s">
        <v>32</v>
      </c>
      <c r="D638" t="s">
        <v>33</v>
      </c>
      <c r="E638" t="s">
        <v>64</v>
      </c>
      <c r="F638" t="s">
        <v>35</v>
      </c>
      <c r="G638" t="s">
        <v>35</v>
      </c>
      <c r="H638" t="s">
        <v>35</v>
      </c>
      <c r="J638" t="s">
        <v>1266</v>
      </c>
      <c r="K638" t="s">
        <v>1092</v>
      </c>
      <c r="M638">
        <v>21.6</v>
      </c>
      <c r="N638">
        <v>20</v>
      </c>
      <c r="O638" t="s">
        <v>46</v>
      </c>
      <c r="Q638" t="s">
        <v>1004</v>
      </c>
      <c r="R638" t="s">
        <v>169</v>
      </c>
      <c r="S638" t="s">
        <v>123</v>
      </c>
    </row>
    <row r="639" spans="1:19" x14ac:dyDescent="0.25">
      <c r="A639" t="s">
        <v>59</v>
      </c>
      <c r="B639" t="s">
        <v>60</v>
      </c>
      <c r="C639" t="s">
        <v>32</v>
      </c>
      <c r="D639" t="s">
        <v>33</v>
      </c>
      <c r="E639" t="s">
        <v>64</v>
      </c>
      <c r="F639" t="s">
        <v>35</v>
      </c>
      <c r="G639" t="s">
        <v>35</v>
      </c>
      <c r="H639" t="s">
        <v>35</v>
      </c>
      <c r="J639" t="s">
        <v>1266</v>
      </c>
      <c r="K639" t="s">
        <v>1092</v>
      </c>
      <c r="M639">
        <v>4.75</v>
      </c>
      <c r="N639">
        <v>116</v>
      </c>
      <c r="O639" t="s">
        <v>106</v>
      </c>
      <c r="Q639" t="s">
        <v>1256</v>
      </c>
      <c r="R639" t="s">
        <v>169</v>
      </c>
      <c r="S639" t="s">
        <v>123</v>
      </c>
    </row>
    <row r="640" spans="1:19" x14ac:dyDescent="0.25">
      <c r="A640" t="s">
        <v>59</v>
      </c>
      <c r="B640" t="s">
        <v>60</v>
      </c>
      <c r="C640" t="s">
        <v>32</v>
      </c>
      <c r="D640" t="s">
        <v>33</v>
      </c>
      <c r="E640" t="s">
        <v>64</v>
      </c>
      <c r="F640" t="s">
        <v>35</v>
      </c>
      <c r="G640" t="s">
        <v>35</v>
      </c>
      <c r="H640" t="s">
        <v>35</v>
      </c>
      <c r="J640" t="s">
        <v>1268</v>
      </c>
      <c r="K640" t="s">
        <v>1092</v>
      </c>
      <c r="M640">
        <v>5.2</v>
      </c>
      <c r="N640">
        <v>98</v>
      </c>
      <c r="O640" t="s">
        <v>106</v>
      </c>
      <c r="Q640" t="s">
        <v>108</v>
      </c>
      <c r="R640" t="s">
        <v>193</v>
      </c>
      <c r="S640" t="s">
        <v>181</v>
      </c>
    </row>
    <row r="641" spans="1:19" x14ac:dyDescent="0.25">
      <c r="A641" t="s">
        <v>30</v>
      </c>
      <c r="B641" t="s">
        <v>31</v>
      </c>
      <c r="C641" t="s">
        <v>32</v>
      </c>
      <c r="D641" t="s">
        <v>33</v>
      </c>
      <c r="E641" t="s">
        <v>64</v>
      </c>
      <c r="F641" t="s">
        <v>35</v>
      </c>
      <c r="G641" t="s">
        <v>35</v>
      </c>
      <c r="H641" t="s">
        <v>35</v>
      </c>
      <c r="J641" t="s">
        <v>1268</v>
      </c>
      <c r="K641" t="s">
        <v>1092</v>
      </c>
      <c r="M641">
        <v>0.22500000000000001</v>
      </c>
      <c r="N641">
        <v>151</v>
      </c>
      <c r="O641" t="s">
        <v>38</v>
      </c>
      <c r="Q641" t="s">
        <v>1269</v>
      </c>
      <c r="R641" t="s">
        <v>85</v>
      </c>
      <c r="S641" t="s">
        <v>86</v>
      </c>
    </row>
    <row r="642" spans="1:19" x14ac:dyDescent="0.25">
      <c r="A642" t="s">
        <v>44</v>
      </c>
      <c r="B642" t="s">
        <v>3</v>
      </c>
      <c r="C642" t="s">
        <v>32</v>
      </c>
      <c r="D642" t="s">
        <v>33</v>
      </c>
      <c r="E642" t="s">
        <v>64</v>
      </c>
      <c r="F642" t="s">
        <v>35</v>
      </c>
      <c r="G642" t="s">
        <v>35</v>
      </c>
      <c r="H642" t="s">
        <v>35</v>
      </c>
      <c r="J642" t="s">
        <v>1270</v>
      </c>
      <c r="K642" t="s">
        <v>1092</v>
      </c>
      <c r="M642">
        <v>0.45</v>
      </c>
      <c r="N642">
        <v>432</v>
      </c>
      <c r="O642" t="s">
        <v>294</v>
      </c>
      <c r="Q642" t="s">
        <v>1271</v>
      </c>
      <c r="R642" t="s">
        <v>1208</v>
      </c>
      <c r="S642" t="s">
        <v>1209</v>
      </c>
    </row>
    <row r="643" spans="1:19" x14ac:dyDescent="0.25">
      <c r="A643" t="s">
        <v>30</v>
      </c>
      <c r="B643" t="s">
        <v>31</v>
      </c>
      <c r="C643" t="s">
        <v>32</v>
      </c>
      <c r="D643" t="s">
        <v>33</v>
      </c>
      <c r="E643" t="s">
        <v>64</v>
      </c>
      <c r="F643" t="s">
        <v>35</v>
      </c>
      <c r="G643" t="s">
        <v>35</v>
      </c>
      <c r="H643" t="s">
        <v>35</v>
      </c>
      <c r="J643" t="s">
        <v>1272</v>
      </c>
      <c r="K643" t="s">
        <v>1092</v>
      </c>
      <c r="M643">
        <v>4.9950000000000001</v>
      </c>
      <c r="N643">
        <v>16</v>
      </c>
      <c r="O643" t="s">
        <v>46</v>
      </c>
      <c r="Q643" t="s">
        <v>323</v>
      </c>
      <c r="R643" t="s">
        <v>103</v>
      </c>
      <c r="S643" t="s">
        <v>104</v>
      </c>
    </row>
    <row r="644" spans="1:19" x14ac:dyDescent="0.25">
      <c r="A644" t="s">
        <v>44</v>
      </c>
      <c r="B644" t="s">
        <v>3</v>
      </c>
      <c r="C644" t="s">
        <v>32</v>
      </c>
      <c r="D644" t="s">
        <v>33</v>
      </c>
      <c r="E644" t="s">
        <v>64</v>
      </c>
      <c r="F644" t="s">
        <v>35</v>
      </c>
      <c r="G644" t="s">
        <v>35</v>
      </c>
      <c r="H644" t="s">
        <v>35</v>
      </c>
      <c r="J644" t="s">
        <v>1272</v>
      </c>
      <c r="K644" t="s">
        <v>1092</v>
      </c>
      <c r="M644">
        <v>1.1000000000000001</v>
      </c>
      <c r="N644">
        <v>65</v>
      </c>
      <c r="O644" t="s">
        <v>61</v>
      </c>
      <c r="Q644" t="s">
        <v>128</v>
      </c>
      <c r="R644" t="s">
        <v>103</v>
      </c>
      <c r="S644" t="s">
        <v>104</v>
      </c>
    </row>
    <row r="645" spans="1:19" x14ac:dyDescent="0.25">
      <c r="A645" t="s">
        <v>44</v>
      </c>
      <c r="B645" t="s">
        <v>51</v>
      </c>
      <c r="C645" t="s">
        <v>32</v>
      </c>
      <c r="D645" t="s">
        <v>33</v>
      </c>
      <c r="E645" t="s">
        <v>64</v>
      </c>
      <c r="F645" t="s">
        <v>35</v>
      </c>
      <c r="G645" t="s">
        <v>35</v>
      </c>
      <c r="H645" t="s">
        <v>35</v>
      </c>
      <c r="J645" t="s">
        <v>1272</v>
      </c>
      <c r="K645" t="s">
        <v>1092</v>
      </c>
      <c r="M645">
        <v>1.75</v>
      </c>
      <c r="N645">
        <v>62</v>
      </c>
      <c r="O645" t="s">
        <v>61</v>
      </c>
      <c r="Q645" t="s">
        <v>90</v>
      </c>
      <c r="R645" t="s">
        <v>103</v>
      </c>
      <c r="S645" t="s">
        <v>104</v>
      </c>
    </row>
    <row r="646" spans="1:19" x14ac:dyDescent="0.25">
      <c r="A646" t="s">
        <v>44</v>
      </c>
      <c r="B646" t="s">
        <v>51</v>
      </c>
      <c r="C646" t="s">
        <v>32</v>
      </c>
      <c r="D646" t="s">
        <v>33</v>
      </c>
      <c r="E646" t="s">
        <v>64</v>
      </c>
      <c r="F646" t="s">
        <v>35</v>
      </c>
      <c r="G646" t="s">
        <v>35</v>
      </c>
      <c r="H646" t="s">
        <v>35</v>
      </c>
      <c r="J646" t="s">
        <v>1273</v>
      </c>
      <c r="K646" t="s">
        <v>1092</v>
      </c>
      <c r="M646">
        <v>5.5</v>
      </c>
      <c r="N646">
        <v>28</v>
      </c>
      <c r="O646" t="s">
        <v>46</v>
      </c>
      <c r="Q646" t="s">
        <v>176</v>
      </c>
      <c r="R646" t="s">
        <v>85</v>
      </c>
      <c r="S646" t="s">
        <v>86</v>
      </c>
    </row>
    <row r="647" spans="1:19" x14ac:dyDescent="0.25">
      <c r="A647" t="s">
        <v>30</v>
      </c>
      <c r="B647" t="s">
        <v>31</v>
      </c>
      <c r="C647" t="s">
        <v>32</v>
      </c>
      <c r="D647" t="s">
        <v>33</v>
      </c>
      <c r="E647" t="s">
        <v>64</v>
      </c>
      <c r="F647" t="s">
        <v>35</v>
      </c>
      <c r="G647" t="s">
        <v>35</v>
      </c>
      <c r="H647" t="s">
        <v>35</v>
      </c>
      <c r="J647" t="s">
        <v>1273</v>
      </c>
      <c r="K647" t="s">
        <v>1092</v>
      </c>
      <c r="M647">
        <v>9.5399999999999991</v>
      </c>
      <c r="N647">
        <v>76</v>
      </c>
      <c r="O647" t="s">
        <v>61</v>
      </c>
      <c r="Q647" t="s">
        <v>234</v>
      </c>
      <c r="R647" t="s">
        <v>85</v>
      </c>
      <c r="S647" t="s">
        <v>86</v>
      </c>
    </row>
    <row r="648" spans="1:19" x14ac:dyDescent="0.25">
      <c r="A648" t="s">
        <v>59</v>
      </c>
      <c r="B648" t="s">
        <v>60</v>
      </c>
      <c r="C648" t="s">
        <v>32</v>
      </c>
      <c r="D648" t="s">
        <v>33</v>
      </c>
      <c r="E648" t="s">
        <v>64</v>
      </c>
      <c r="F648" t="s">
        <v>35</v>
      </c>
      <c r="G648" t="s">
        <v>35</v>
      </c>
      <c r="H648" t="s">
        <v>35</v>
      </c>
      <c r="J648" t="s">
        <v>1273</v>
      </c>
      <c r="K648" t="s">
        <v>1092</v>
      </c>
      <c r="M648">
        <v>3.4</v>
      </c>
      <c r="N648">
        <v>100</v>
      </c>
      <c r="O648" t="s">
        <v>106</v>
      </c>
      <c r="Q648" t="s">
        <v>1112</v>
      </c>
      <c r="R648" t="s">
        <v>85</v>
      </c>
      <c r="S648" t="s">
        <v>86</v>
      </c>
    </row>
    <row r="649" spans="1:19" x14ac:dyDescent="0.25">
      <c r="A649" t="s">
        <v>59</v>
      </c>
      <c r="B649" t="s">
        <v>31</v>
      </c>
      <c r="C649" t="s">
        <v>32</v>
      </c>
      <c r="D649" t="s">
        <v>33</v>
      </c>
      <c r="E649" t="s">
        <v>64</v>
      </c>
      <c r="F649" t="s">
        <v>35</v>
      </c>
      <c r="G649" t="s">
        <v>35</v>
      </c>
      <c r="H649" t="s">
        <v>35</v>
      </c>
      <c r="J649" t="s">
        <v>1273</v>
      </c>
      <c r="K649" t="s">
        <v>1092</v>
      </c>
      <c r="M649">
        <v>5.1749999999999998</v>
      </c>
      <c r="N649">
        <v>100</v>
      </c>
      <c r="O649" t="s">
        <v>106</v>
      </c>
      <c r="Q649" t="s">
        <v>1112</v>
      </c>
      <c r="R649" t="s">
        <v>85</v>
      </c>
      <c r="S649" t="s">
        <v>86</v>
      </c>
    </row>
    <row r="650" spans="1:19" x14ac:dyDescent="0.25">
      <c r="A650" t="s">
        <v>59</v>
      </c>
      <c r="B650" t="s">
        <v>60</v>
      </c>
      <c r="C650" t="s">
        <v>32</v>
      </c>
      <c r="D650" t="s">
        <v>33</v>
      </c>
      <c r="E650" t="s">
        <v>64</v>
      </c>
      <c r="F650" t="s">
        <v>35</v>
      </c>
      <c r="G650" t="s">
        <v>35</v>
      </c>
      <c r="H650" t="s">
        <v>35</v>
      </c>
      <c r="J650" t="s">
        <v>1274</v>
      </c>
      <c r="K650" t="s">
        <v>1092</v>
      </c>
      <c r="M650">
        <v>0.35</v>
      </c>
      <c r="N650">
        <v>97</v>
      </c>
      <c r="O650" t="s">
        <v>106</v>
      </c>
      <c r="Q650" t="s">
        <v>557</v>
      </c>
      <c r="R650" t="s">
        <v>193</v>
      </c>
      <c r="S650" t="s">
        <v>181</v>
      </c>
    </row>
    <row r="651" spans="1:19" x14ac:dyDescent="0.25">
      <c r="A651" t="s">
        <v>59</v>
      </c>
      <c r="B651" t="s">
        <v>60</v>
      </c>
      <c r="C651" t="s">
        <v>32</v>
      </c>
      <c r="D651" t="s">
        <v>33</v>
      </c>
      <c r="E651" t="s">
        <v>64</v>
      </c>
      <c r="F651" t="s">
        <v>35</v>
      </c>
      <c r="G651" t="s">
        <v>35</v>
      </c>
      <c r="H651" t="s">
        <v>35</v>
      </c>
      <c r="J651" t="s">
        <v>1274</v>
      </c>
      <c r="K651" t="s">
        <v>1092</v>
      </c>
      <c r="M651">
        <v>0.15</v>
      </c>
      <c r="N651">
        <v>169</v>
      </c>
      <c r="O651" t="s">
        <v>38</v>
      </c>
      <c r="Q651" t="s">
        <v>1189</v>
      </c>
      <c r="R651" t="s">
        <v>193</v>
      </c>
      <c r="S651" t="s">
        <v>181</v>
      </c>
    </row>
    <row r="652" spans="1:19" x14ac:dyDescent="0.25">
      <c r="A652" t="s">
        <v>59</v>
      </c>
      <c r="B652" t="s">
        <v>60</v>
      </c>
      <c r="C652" t="s">
        <v>32</v>
      </c>
      <c r="D652" t="s">
        <v>33</v>
      </c>
      <c r="E652" t="s">
        <v>64</v>
      </c>
      <c r="F652" t="s">
        <v>35</v>
      </c>
      <c r="G652" t="s">
        <v>35</v>
      </c>
      <c r="H652" t="s">
        <v>35</v>
      </c>
      <c r="J652" t="s">
        <v>1274</v>
      </c>
      <c r="K652" t="s">
        <v>1092</v>
      </c>
      <c r="M652">
        <v>0.5</v>
      </c>
      <c r="N652">
        <v>30</v>
      </c>
      <c r="O652" t="s">
        <v>46</v>
      </c>
      <c r="Q652" t="s">
        <v>793</v>
      </c>
      <c r="R652" t="s">
        <v>193</v>
      </c>
      <c r="S652" t="s">
        <v>181</v>
      </c>
    </row>
    <row r="653" spans="1:19" x14ac:dyDescent="0.25">
      <c r="A653" t="s">
        <v>30</v>
      </c>
      <c r="B653" t="s">
        <v>31</v>
      </c>
      <c r="C653" t="s">
        <v>32</v>
      </c>
      <c r="D653" t="s">
        <v>33</v>
      </c>
      <c r="E653" t="s">
        <v>64</v>
      </c>
      <c r="F653" t="s">
        <v>35</v>
      </c>
      <c r="G653" t="s">
        <v>35</v>
      </c>
      <c r="H653" t="s">
        <v>35</v>
      </c>
      <c r="J653" t="s">
        <v>1275</v>
      </c>
      <c r="K653" t="s">
        <v>1092</v>
      </c>
      <c r="M653">
        <v>0.45</v>
      </c>
      <c r="N653">
        <v>45</v>
      </c>
      <c r="O653" t="s">
        <v>52</v>
      </c>
      <c r="Q653" t="s">
        <v>716</v>
      </c>
      <c r="R653" t="s">
        <v>1129</v>
      </c>
      <c r="S653" t="s">
        <v>1130</v>
      </c>
    </row>
    <row r="654" spans="1:19" x14ac:dyDescent="0.25">
      <c r="A654" t="s">
        <v>59</v>
      </c>
      <c r="B654" t="s">
        <v>60</v>
      </c>
      <c r="C654" t="s">
        <v>32</v>
      </c>
      <c r="D654" t="s">
        <v>33</v>
      </c>
      <c r="E654" t="s">
        <v>64</v>
      </c>
      <c r="F654" t="s">
        <v>35</v>
      </c>
      <c r="G654" t="s">
        <v>35</v>
      </c>
      <c r="H654" t="s">
        <v>35</v>
      </c>
      <c r="J654" t="s">
        <v>1276</v>
      </c>
      <c r="K654" t="s">
        <v>1092</v>
      </c>
      <c r="M654">
        <v>3.5000000000000003E-2</v>
      </c>
      <c r="N654">
        <v>188</v>
      </c>
      <c r="O654" t="s">
        <v>5</v>
      </c>
      <c r="Q654" t="s">
        <v>1277</v>
      </c>
      <c r="R654" t="s">
        <v>1208</v>
      </c>
      <c r="S654" t="s">
        <v>1209</v>
      </c>
    </row>
    <row r="655" spans="1:19" x14ac:dyDescent="0.25">
      <c r="A655" t="s">
        <v>44</v>
      </c>
      <c r="B655" t="s">
        <v>3</v>
      </c>
      <c r="C655" t="s">
        <v>32</v>
      </c>
      <c r="D655" t="s">
        <v>33</v>
      </c>
      <c r="E655" t="s">
        <v>64</v>
      </c>
      <c r="F655" t="s">
        <v>35</v>
      </c>
      <c r="G655" t="s">
        <v>35</v>
      </c>
      <c r="H655" t="s">
        <v>35</v>
      </c>
      <c r="J655" t="s">
        <v>1276</v>
      </c>
      <c r="K655" t="s">
        <v>1092</v>
      </c>
      <c r="M655">
        <v>1</v>
      </c>
      <c r="N655">
        <v>52</v>
      </c>
      <c r="O655" t="s">
        <v>52</v>
      </c>
      <c r="Q655" t="s">
        <v>1230</v>
      </c>
      <c r="R655" t="s">
        <v>1208</v>
      </c>
      <c r="S655" t="s">
        <v>1209</v>
      </c>
    </row>
    <row r="656" spans="1:19" x14ac:dyDescent="0.25">
      <c r="A656" t="s">
        <v>59</v>
      </c>
      <c r="B656" t="s">
        <v>60</v>
      </c>
      <c r="C656" t="s">
        <v>32</v>
      </c>
      <c r="D656" t="s">
        <v>33</v>
      </c>
      <c r="E656" t="s">
        <v>64</v>
      </c>
      <c r="F656" t="s">
        <v>35</v>
      </c>
      <c r="G656" t="s">
        <v>35</v>
      </c>
      <c r="H656" t="s">
        <v>35</v>
      </c>
      <c r="J656" t="s">
        <v>1278</v>
      </c>
      <c r="K656" t="s">
        <v>1092</v>
      </c>
      <c r="M656">
        <v>3.05</v>
      </c>
      <c r="N656">
        <v>93</v>
      </c>
      <c r="O656" t="s">
        <v>106</v>
      </c>
      <c r="Q656" t="s">
        <v>941</v>
      </c>
      <c r="R656" t="s">
        <v>1279</v>
      </c>
      <c r="S656" t="s">
        <v>163</v>
      </c>
    </row>
    <row r="657" spans="1:19" x14ac:dyDescent="0.25">
      <c r="A657" t="s">
        <v>59</v>
      </c>
      <c r="B657" t="s">
        <v>60</v>
      </c>
      <c r="C657" t="s">
        <v>32</v>
      </c>
      <c r="D657" t="s">
        <v>33</v>
      </c>
      <c r="E657" t="s">
        <v>64</v>
      </c>
      <c r="F657" t="s">
        <v>35</v>
      </c>
      <c r="G657" t="s">
        <v>35</v>
      </c>
      <c r="H657" t="s">
        <v>35</v>
      </c>
      <c r="J657" t="s">
        <v>1280</v>
      </c>
      <c r="K657" t="s">
        <v>1092</v>
      </c>
      <c r="M657">
        <v>0.42499999999999999</v>
      </c>
      <c r="N657">
        <v>69</v>
      </c>
      <c r="O657" t="s">
        <v>61</v>
      </c>
      <c r="Q657" t="s">
        <v>139</v>
      </c>
      <c r="R657" t="s">
        <v>193</v>
      </c>
      <c r="S657" t="s">
        <v>181</v>
      </c>
    </row>
    <row r="658" spans="1:19" x14ac:dyDescent="0.25">
      <c r="A658" t="s">
        <v>44</v>
      </c>
      <c r="B658" t="s">
        <v>3</v>
      </c>
      <c r="C658" t="s">
        <v>32</v>
      </c>
      <c r="D658" t="s">
        <v>33</v>
      </c>
      <c r="E658" t="s">
        <v>64</v>
      </c>
      <c r="F658" t="s">
        <v>35</v>
      </c>
      <c r="G658" t="s">
        <v>35</v>
      </c>
      <c r="H658" t="s">
        <v>35</v>
      </c>
      <c r="J658" t="s">
        <v>1280</v>
      </c>
      <c r="K658" t="s">
        <v>1092</v>
      </c>
      <c r="M658">
        <v>0.65</v>
      </c>
      <c r="N658">
        <v>61</v>
      </c>
      <c r="O658" t="s">
        <v>61</v>
      </c>
      <c r="Q658" t="s">
        <v>671</v>
      </c>
      <c r="R658" t="s">
        <v>193</v>
      </c>
      <c r="S658" t="s">
        <v>181</v>
      </c>
    </row>
    <row r="659" spans="1:19" x14ac:dyDescent="0.25">
      <c r="A659" t="s">
        <v>59</v>
      </c>
      <c r="B659" t="s">
        <v>60</v>
      </c>
      <c r="C659" t="s">
        <v>32</v>
      </c>
      <c r="D659" t="s">
        <v>33</v>
      </c>
      <c r="E659" t="s">
        <v>64</v>
      </c>
      <c r="F659" t="s">
        <v>35</v>
      </c>
      <c r="G659" t="s">
        <v>35</v>
      </c>
      <c r="H659" t="s">
        <v>35</v>
      </c>
      <c r="J659" t="s">
        <v>1281</v>
      </c>
      <c r="K659" t="s">
        <v>1092</v>
      </c>
      <c r="M659">
        <v>4.05</v>
      </c>
      <c r="N659">
        <v>98</v>
      </c>
      <c r="O659" t="s">
        <v>106</v>
      </c>
      <c r="Q659" t="s">
        <v>108</v>
      </c>
      <c r="R659" t="s">
        <v>193</v>
      </c>
      <c r="S659" t="s">
        <v>181</v>
      </c>
    </row>
    <row r="660" spans="1:19" x14ac:dyDescent="0.25">
      <c r="A660" t="s">
        <v>59</v>
      </c>
      <c r="B660" t="s">
        <v>31</v>
      </c>
      <c r="C660" t="s">
        <v>32</v>
      </c>
      <c r="D660" t="s">
        <v>33</v>
      </c>
      <c r="E660" t="s">
        <v>64</v>
      </c>
      <c r="F660" t="s">
        <v>35</v>
      </c>
      <c r="G660" t="s">
        <v>35</v>
      </c>
      <c r="H660" t="s">
        <v>35</v>
      </c>
      <c r="J660" t="s">
        <v>1281</v>
      </c>
      <c r="K660" t="s">
        <v>1092</v>
      </c>
      <c r="M660">
        <v>5.1749999999999998</v>
      </c>
      <c r="N660">
        <v>98</v>
      </c>
      <c r="O660" t="s">
        <v>106</v>
      </c>
      <c r="Q660" t="s">
        <v>108</v>
      </c>
      <c r="R660" t="s">
        <v>193</v>
      </c>
      <c r="S660" t="s">
        <v>181</v>
      </c>
    </row>
    <row r="661" spans="1:19" x14ac:dyDescent="0.25">
      <c r="A661" t="s">
        <v>59</v>
      </c>
      <c r="B661" t="s">
        <v>60</v>
      </c>
      <c r="C661" t="s">
        <v>32</v>
      </c>
      <c r="D661" t="s">
        <v>33</v>
      </c>
      <c r="E661" t="s">
        <v>64</v>
      </c>
      <c r="F661" t="s">
        <v>35</v>
      </c>
      <c r="G661" t="s">
        <v>35</v>
      </c>
      <c r="H661" t="s">
        <v>35</v>
      </c>
      <c r="J661" t="s">
        <v>1282</v>
      </c>
      <c r="K661" t="s">
        <v>1092</v>
      </c>
      <c r="M661">
        <v>0.42</v>
      </c>
      <c r="N661">
        <v>2142</v>
      </c>
      <c r="O661" t="s">
        <v>575</v>
      </c>
      <c r="Q661" t="s">
        <v>1283</v>
      </c>
      <c r="R661" t="s">
        <v>1284</v>
      </c>
      <c r="S661" t="s">
        <v>166</v>
      </c>
    </row>
    <row r="662" spans="1:19" x14ac:dyDescent="0.25">
      <c r="A662" t="s">
        <v>59</v>
      </c>
      <c r="B662" t="s">
        <v>60</v>
      </c>
      <c r="C662" t="s">
        <v>32</v>
      </c>
      <c r="D662" t="s">
        <v>33</v>
      </c>
      <c r="E662" t="s">
        <v>64</v>
      </c>
      <c r="F662" t="s">
        <v>35</v>
      </c>
      <c r="G662" t="s">
        <v>35</v>
      </c>
      <c r="H662" t="s">
        <v>35</v>
      </c>
      <c r="J662" t="s">
        <v>1285</v>
      </c>
      <c r="K662" t="s">
        <v>1092</v>
      </c>
      <c r="M662">
        <v>0.25</v>
      </c>
      <c r="N662">
        <v>257</v>
      </c>
      <c r="O662" t="s">
        <v>5</v>
      </c>
      <c r="Q662" t="s">
        <v>1286</v>
      </c>
      <c r="R662" t="s">
        <v>1287</v>
      </c>
      <c r="S662" t="s">
        <v>189</v>
      </c>
    </row>
    <row r="663" spans="1:19" x14ac:dyDescent="0.25">
      <c r="A663" t="s">
        <v>44</v>
      </c>
      <c r="B663" t="s">
        <v>3</v>
      </c>
      <c r="C663" t="s">
        <v>32</v>
      </c>
      <c r="D663" t="s">
        <v>33</v>
      </c>
      <c r="E663" t="s">
        <v>64</v>
      </c>
      <c r="F663" t="s">
        <v>35</v>
      </c>
      <c r="G663" t="s">
        <v>35</v>
      </c>
      <c r="H663" t="s">
        <v>35</v>
      </c>
      <c r="J663" t="s">
        <v>1288</v>
      </c>
      <c r="K663" t="s">
        <v>1092</v>
      </c>
      <c r="M663">
        <v>0.25</v>
      </c>
      <c r="N663">
        <v>9</v>
      </c>
      <c r="O663" t="s">
        <v>46</v>
      </c>
      <c r="Q663" t="s">
        <v>2009</v>
      </c>
      <c r="R663" t="s">
        <v>1287</v>
      </c>
      <c r="S663" t="s">
        <v>189</v>
      </c>
    </row>
    <row r="664" spans="1:19" x14ac:dyDescent="0.25">
      <c r="A664" t="s">
        <v>44</v>
      </c>
      <c r="B664" t="s">
        <v>3</v>
      </c>
      <c r="C664" t="s">
        <v>32</v>
      </c>
      <c r="D664" t="s">
        <v>33</v>
      </c>
      <c r="E664" t="s">
        <v>64</v>
      </c>
      <c r="F664" t="s">
        <v>35</v>
      </c>
      <c r="G664" t="s">
        <v>35</v>
      </c>
      <c r="H664" t="s">
        <v>35</v>
      </c>
      <c r="J664" t="s">
        <v>1288</v>
      </c>
      <c r="K664" t="s">
        <v>1092</v>
      </c>
      <c r="M664">
        <v>0.5</v>
      </c>
      <c r="N664">
        <v>53</v>
      </c>
      <c r="O664" t="s">
        <v>52</v>
      </c>
      <c r="Q664" t="s">
        <v>332</v>
      </c>
      <c r="R664" t="s">
        <v>1287</v>
      </c>
      <c r="S664" t="s">
        <v>189</v>
      </c>
    </row>
    <row r="665" spans="1:19" x14ac:dyDescent="0.25">
      <c r="A665" t="s">
        <v>44</v>
      </c>
      <c r="B665" t="s">
        <v>3</v>
      </c>
      <c r="C665" t="s">
        <v>32</v>
      </c>
      <c r="D665" t="s">
        <v>33</v>
      </c>
      <c r="E665" t="s">
        <v>64</v>
      </c>
      <c r="F665" t="s">
        <v>35</v>
      </c>
      <c r="G665" t="s">
        <v>35</v>
      </c>
      <c r="H665" t="s">
        <v>35</v>
      </c>
      <c r="J665" t="s">
        <v>1288</v>
      </c>
      <c r="K665" t="s">
        <v>1092</v>
      </c>
      <c r="M665">
        <v>0.3</v>
      </c>
      <c r="N665">
        <v>28</v>
      </c>
      <c r="O665" t="s">
        <v>46</v>
      </c>
      <c r="Q665" t="s">
        <v>176</v>
      </c>
      <c r="R665" t="s">
        <v>1287</v>
      </c>
      <c r="S665" t="s">
        <v>189</v>
      </c>
    </row>
    <row r="666" spans="1:19" x14ac:dyDescent="0.25">
      <c r="A666" t="s">
        <v>59</v>
      </c>
      <c r="B666" t="s">
        <v>60</v>
      </c>
      <c r="C666" t="s">
        <v>32</v>
      </c>
      <c r="D666" t="s">
        <v>33</v>
      </c>
      <c r="E666" t="s">
        <v>64</v>
      </c>
      <c r="F666" t="s">
        <v>35</v>
      </c>
      <c r="G666" t="s">
        <v>35</v>
      </c>
      <c r="H666" t="s">
        <v>35</v>
      </c>
      <c r="J666" t="s">
        <v>1288</v>
      </c>
      <c r="K666" t="s">
        <v>1092</v>
      </c>
      <c r="M666">
        <v>0.379</v>
      </c>
      <c r="N666">
        <v>147</v>
      </c>
      <c r="O666" t="s">
        <v>38</v>
      </c>
      <c r="Q666" t="s">
        <v>1229</v>
      </c>
      <c r="R666" t="s">
        <v>103</v>
      </c>
      <c r="S666" t="s">
        <v>104</v>
      </c>
    </row>
    <row r="667" spans="1:19" x14ac:dyDescent="0.25">
      <c r="A667" t="s">
        <v>59</v>
      </c>
      <c r="B667" t="s">
        <v>31</v>
      </c>
      <c r="C667" t="s">
        <v>32</v>
      </c>
      <c r="D667" t="s">
        <v>33</v>
      </c>
      <c r="E667" t="s">
        <v>64</v>
      </c>
      <c r="F667" t="s">
        <v>35</v>
      </c>
      <c r="G667" t="s">
        <v>35</v>
      </c>
      <c r="H667" t="s">
        <v>35</v>
      </c>
      <c r="J667" t="s">
        <v>1288</v>
      </c>
      <c r="K667" t="s">
        <v>1092</v>
      </c>
      <c r="M667">
        <v>0.125</v>
      </c>
      <c r="N667">
        <v>147</v>
      </c>
      <c r="O667" t="s">
        <v>38</v>
      </c>
      <c r="Q667" t="s">
        <v>1229</v>
      </c>
      <c r="R667" t="s">
        <v>103</v>
      </c>
      <c r="S667" t="s">
        <v>104</v>
      </c>
    </row>
    <row r="668" spans="1:19" x14ac:dyDescent="0.25">
      <c r="A668" t="s">
        <v>59</v>
      </c>
      <c r="B668" t="s">
        <v>60</v>
      </c>
      <c r="C668" t="s">
        <v>32</v>
      </c>
      <c r="D668" t="s">
        <v>33</v>
      </c>
      <c r="E668" t="s">
        <v>64</v>
      </c>
      <c r="F668" t="s">
        <v>35</v>
      </c>
      <c r="G668" t="s">
        <v>35</v>
      </c>
      <c r="H668" t="s">
        <v>35</v>
      </c>
      <c r="J668" t="s">
        <v>1289</v>
      </c>
      <c r="K668" t="s">
        <v>1092</v>
      </c>
      <c r="M668">
        <v>5.4</v>
      </c>
      <c r="N668">
        <v>73</v>
      </c>
      <c r="O668" t="s">
        <v>61</v>
      </c>
      <c r="Q668" t="s">
        <v>552</v>
      </c>
      <c r="R668" t="s">
        <v>85</v>
      </c>
      <c r="S668" t="s">
        <v>86</v>
      </c>
    </row>
    <row r="669" spans="1:19" x14ac:dyDescent="0.25">
      <c r="A669" t="s">
        <v>44</v>
      </c>
      <c r="B669" t="s">
        <v>51</v>
      </c>
      <c r="C669" t="s">
        <v>32</v>
      </c>
      <c r="D669" t="s">
        <v>33</v>
      </c>
      <c r="E669" t="s">
        <v>64</v>
      </c>
      <c r="F669" t="s">
        <v>35</v>
      </c>
      <c r="G669" t="s">
        <v>35</v>
      </c>
      <c r="H669" t="s">
        <v>35</v>
      </c>
      <c r="J669" t="s">
        <v>1290</v>
      </c>
      <c r="K669" t="s">
        <v>1092</v>
      </c>
      <c r="M669">
        <v>0.2</v>
      </c>
      <c r="N669">
        <v>244</v>
      </c>
      <c r="O669" t="s">
        <v>5</v>
      </c>
      <c r="Q669" t="s">
        <v>1242</v>
      </c>
      <c r="R669" t="s">
        <v>85</v>
      </c>
      <c r="S669" t="s">
        <v>86</v>
      </c>
    </row>
    <row r="670" spans="1:19" x14ac:dyDescent="0.25">
      <c r="A670" t="s">
        <v>59</v>
      </c>
      <c r="B670" t="s">
        <v>31</v>
      </c>
      <c r="C670" t="s">
        <v>32</v>
      </c>
      <c r="D670" t="s">
        <v>33</v>
      </c>
      <c r="E670" t="s">
        <v>64</v>
      </c>
      <c r="F670" t="s">
        <v>35</v>
      </c>
      <c r="G670" t="s">
        <v>35</v>
      </c>
      <c r="H670" t="s">
        <v>35</v>
      </c>
      <c r="J670" t="s">
        <v>1290</v>
      </c>
      <c r="K670" t="s">
        <v>1092</v>
      </c>
      <c r="M670">
        <v>2.2050000000000001</v>
      </c>
      <c r="N670">
        <v>72</v>
      </c>
      <c r="O670" t="s">
        <v>61</v>
      </c>
      <c r="Q670" t="s">
        <v>63</v>
      </c>
      <c r="R670" t="s">
        <v>85</v>
      </c>
      <c r="S670" t="s">
        <v>86</v>
      </c>
    </row>
    <row r="671" spans="1:19" x14ac:dyDescent="0.25">
      <c r="A671" t="s">
        <v>30</v>
      </c>
      <c r="B671" t="s">
        <v>31</v>
      </c>
      <c r="C671" t="s">
        <v>32</v>
      </c>
      <c r="D671" t="s">
        <v>33</v>
      </c>
      <c r="E671" t="s">
        <v>64</v>
      </c>
      <c r="F671" t="s">
        <v>35</v>
      </c>
      <c r="G671" t="s">
        <v>35</v>
      </c>
      <c r="H671" t="s">
        <v>35</v>
      </c>
      <c r="J671" t="s">
        <v>1290</v>
      </c>
      <c r="K671" t="s">
        <v>1092</v>
      </c>
      <c r="M671">
        <v>10.8</v>
      </c>
      <c r="N671">
        <v>46</v>
      </c>
      <c r="O671" t="s">
        <v>52</v>
      </c>
      <c r="Q671" t="s">
        <v>493</v>
      </c>
      <c r="R671" t="s">
        <v>85</v>
      </c>
      <c r="S671" t="s">
        <v>86</v>
      </c>
    </row>
    <row r="672" spans="1:19" x14ac:dyDescent="0.25">
      <c r="A672" t="s">
        <v>44</v>
      </c>
      <c r="B672" t="s">
        <v>51</v>
      </c>
      <c r="C672" t="s">
        <v>32</v>
      </c>
      <c r="D672" t="s">
        <v>33</v>
      </c>
      <c r="E672" t="s">
        <v>64</v>
      </c>
      <c r="F672" t="s">
        <v>35</v>
      </c>
      <c r="G672" t="s">
        <v>35</v>
      </c>
      <c r="H672" t="s">
        <v>35</v>
      </c>
      <c r="J672" t="s">
        <v>1290</v>
      </c>
      <c r="K672" t="s">
        <v>1092</v>
      </c>
      <c r="M672">
        <v>5.5</v>
      </c>
      <c r="N672">
        <v>28</v>
      </c>
      <c r="O672" t="s">
        <v>46</v>
      </c>
      <c r="Q672" t="s">
        <v>176</v>
      </c>
      <c r="R672" t="s">
        <v>85</v>
      </c>
      <c r="S672" t="s">
        <v>86</v>
      </c>
    </row>
    <row r="673" spans="1:19" x14ac:dyDescent="0.25">
      <c r="A673" t="s">
        <v>44</v>
      </c>
      <c r="B673" t="s">
        <v>3</v>
      </c>
      <c r="C673" t="s">
        <v>32</v>
      </c>
      <c r="D673" t="s">
        <v>33</v>
      </c>
      <c r="E673" t="s">
        <v>64</v>
      </c>
      <c r="F673" t="s">
        <v>35</v>
      </c>
      <c r="G673" t="s">
        <v>35</v>
      </c>
      <c r="H673" t="s">
        <v>35</v>
      </c>
      <c r="J673" t="s">
        <v>1290</v>
      </c>
      <c r="K673" t="s">
        <v>1092</v>
      </c>
      <c r="M673">
        <v>5.5</v>
      </c>
      <c r="N673">
        <v>62</v>
      </c>
      <c r="O673" t="s">
        <v>61</v>
      </c>
      <c r="Q673" t="s">
        <v>90</v>
      </c>
      <c r="R673" t="s">
        <v>85</v>
      </c>
      <c r="S673" t="s">
        <v>86</v>
      </c>
    </row>
    <row r="674" spans="1:19" x14ac:dyDescent="0.25">
      <c r="A674" t="s">
        <v>59</v>
      </c>
      <c r="B674" t="s">
        <v>60</v>
      </c>
      <c r="C674" t="s">
        <v>32</v>
      </c>
      <c r="D674" t="s">
        <v>33</v>
      </c>
      <c r="E674" t="s">
        <v>64</v>
      </c>
      <c r="F674" t="s">
        <v>35</v>
      </c>
      <c r="G674" t="s">
        <v>35</v>
      </c>
      <c r="H674" t="s">
        <v>35</v>
      </c>
      <c r="J674" t="s">
        <v>1290</v>
      </c>
      <c r="K674" t="s">
        <v>1092</v>
      </c>
      <c r="M674">
        <v>2.75</v>
      </c>
      <c r="N674">
        <v>72</v>
      </c>
      <c r="O674" t="s">
        <v>61</v>
      </c>
      <c r="Q674" t="s">
        <v>63</v>
      </c>
      <c r="R674" t="s">
        <v>85</v>
      </c>
      <c r="S674" t="s">
        <v>86</v>
      </c>
    </row>
    <row r="675" spans="1:19" x14ac:dyDescent="0.25">
      <c r="A675" t="s">
        <v>44</v>
      </c>
      <c r="B675" t="s">
        <v>3</v>
      </c>
      <c r="C675" t="s">
        <v>32</v>
      </c>
      <c r="D675" t="s">
        <v>33</v>
      </c>
      <c r="E675" t="s">
        <v>64</v>
      </c>
      <c r="F675" t="s">
        <v>35</v>
      </c>
      <c r="G675" t="s">
        <v>35</v>
      </c>
      <c r="H675" t="s">
        <v>35</v>
      </c>
      <c r="J675" t="s">
        <v>1291</v>
      </c>
      <c r="K675" t="s">
        <v>1092</v>
      </c>
      <c r="M675">
        <v>0.15</v>
      </c>
      <c r="N675">
        <v>54</v>
      </c>
      <c r="O675" t="s">
        <v>52</v>
      </c>
      <c r="Q675" t="s">
        <v>1207</v>
      </c>
      <c r="R675" t="s">
        <v>1208</v>
      </c>
      <c r="S675" t="s">
        <v>1209</v>
      </c>
    </row>
    <row r="676" spans="1:19" x14ac:dyDescent="0.25">
      <c r="A676" t="s">
        <v>30</v>
      </c>
      <c r="B676" t="s">
        <v>31</v>
      </c>
      <c r="C676" t="s">
        <v>32</v>
      </c>
      <c r="D676" t="s">
        <v>33</v>
      </c>
      <c r="E676" t="s">
        <v>1292</v>
      </c>
      <c r="F676" t="s">
        <v>35</v>
      </c>
      <c r="G676" t="s">
        <v>35</v>
      </c>
      <c r="H676" t="s">
        <v>35</v>
      </c>
      <c r="J676" t="s">
        <v>1293</v>
      </c>
      <c r="K676" t="s">
        <v>1092</v>
      </c>
      <c r="M676">
        <v>9.99</v>
      </c>
      <c r="N676">
        <v>20</v>
      </c>
      <c r="O676" t="s">
        <v>46</v>
      </c>
      <c r="Q676" t="s">
        <v>1004</v>
      </c>
      <c r="R676" t="s">
        <v>85</v>
      </c>
      <c r="S676" t="s">
        <v>86</v>
      </c>
    </row>
    <row r="677" spans="1:19" x14ac:dyDescent="0.25">
      <c r="A677" t="s">
        <v>44</v>
      </c>
      <c r="B677" t="s">
        <v>3</v>
      </c>
      <c r="C677" t="s">
        <v>32</v>
      </c>
      <c r="D677" t="s">
        <v>33</v>
      </c>
      <c r="E677" t="s">
        <v>1292</v>
      </c>
      <c r="F677" t="s">
        <v>35</v>
      </c>
      <c r="G677" t="s">
        <v>35</v>
      </c>
      <c r="H677" t="s">
        <v>35</v>
      </c>
      <c r="J677" t="s">
        <v>1294</v>
      </c>
      <c r="K677" t="s">
        <v>1092</v>
      </c>
      <c r="M677">
        <v>0.25</v>
      </c>
      <c r="N677">
        <v>31</v>
      </c>
      <c r="O677" t="s">
        <v>52</v>
      </c>
      <c r="Q677" t="s">
        <v>972</v>
      </c>
      <c r="R677" t="s">
        <v>1296</v>
      </c>
      <c r="S677" t="s">
        <v>1294</v>
      </c>
    </row>
    <row r="678" spans="1:19" x14ac:dyDescent="0.25">
      <c r="A678" t="s">
        <v>30</v>
      </c>
      <c r="B678" t="s">
        <v>31</v>
      </c>
      <c r="C678" t="s">
        <v>32</v>
      </c>
      <c r="D678" t="s">
        <v>33</v>
      </c>
      <c r="E678" t="s">
        <v>1292</v>
      </c>
      <c r="F678" t="s">
        <v>35</v>
      </c>
      <c r="G678" t="s">
        <v>35</v>
      </c>
      <c r="H678" t="s">
        <v>35</v>
      </c>
      <c r="J678" t="s">
        <v>1294</v>
      </c>
      <c r="K678" t="s">
        <v>1092</v>
      </c>
      <c r="M678">
        <v>12.6</v>
      </c>
      <c r="N678">
        <v>20</v>
      </c>
      <c r="O678" t="s">
        <v>46</v>
      </c>
      <c r="Q678" t="s">
        <v>1004</v>
      </c>
      <c r="R678" t="s">
        <v>85</v>
      </c>
      <c r="S678" t="s">
        <v>86</v>
      </c>
    </row>
    <row r="679" spans="1:19" x14ac:dyDescent="0.25">
      <c r="A679" t="s">
        <v>59</v>
      </c>
      <c r="B679" t="s">
        <v>31</v>
      </c>
      <c r="C679" t="s">
        <v>32</v>
      </c>
      <c r="D679" t="s">
        <v>33</v>
      </c>
      <c r="E679" t="s">
        <v>1292</v>
      </c>
      <c r="F679" t="s">
        <v>35</v>
      </c>
      <c r="G679" t="s">
        <v>35</v>
      </c>
      <c r="H679" t="s">
        <v>35</v>
      </c>
      <c r="J679" t="s">
        <v>1297</v>
      </c>
      <c r="K679" t="s">
        <v>1092</v>
      </c>
      <c r="M679">
        <v>3.33</v>
      </c>
      <c r="N679">
        <v>202</v>
      </c>
      <c r="O679" t="s">
        <v>5</v>
      </c>
      <c r="Q679" t="s">
        <v>1299</v>
      </c>
      <c r="R679" t="s">
        <v>169</v>
      </c>
      <c r="S679" t="s">
        <v>123</v>
      </c>
    </row>
    <row r="680" spans="1:19" x14ac:dyDescent="0.25">
      <c r="A680" t="s">
        <v>44</v>
      </c>
      <c r="B680" t="s">
        <v>51</v>
      </c>
      <c r="C680" t="s">
        <v>32</v>
      </c>
      <c r="D680" t="s">
        <v>33</v>
      </c>
      <c r="E680" t="s">
        <v>1292</v>
      </c>
      <c r="F680" t="s">
        <v>35</v>
      </c>
      <c r="G680" t="s">
        <v>35</v>
      </c>
      <c r="H680" t="s">
        <v>35</v>
      </c>
      <c r="J680" t="s">
        <v>1297</v>
      </c>
      <c r="K680" t="s">
        <v>1092</v>
      </c>
      <c r="M680">
        <v>2.6659999999999999</v>
      </c>
      <c r="N680">
        <v>62</v>
      </c>
      <c r="O680" t="s">
        <v>61</v>
      </c>
      <c r="Q680" t="s">
        <v>90</v>
      </c>
      <c r="R680" t="s">
        <v>103</v>
      </c>
      <c r="S680" t="s">
        <v>104</v>
      </c>
    </row>
    <row r="681" spans="1:19" x14ac:dyDescent="0.25">
      <c r="A681" t="s">
        <v>30</v>
      </c>
      <c r="B681" t="s">
        <v>31</v>
      </c>
      <c r="C681" t="s">
        <v>32</v>
      </c>
      <c r="D681" t="s">
        <v>33</v>
      </c>
      <c r="E681" t="s">
        <v>1292</v>
      </c>
      <c r="F681" t="s">
        <v>35</v>
      </c>
      <c r="G681" t="s">
        <v>35</v>
      </c>
      <c r="H681" t="s">
        <v>35</v>
      </c>
      <c r="J681" t="s">
        <v>1297</v>
      </c>
      <c r="K681" t="s">
        <v>1092</v>
      </c>
      <c r="M681">
        <v>1.575</v>
      </c>
      <c r="N681">
        <v>213</v>
      </c>
      <c r="O681" t="s">
        <v>5</v>
      </c>
      <c r="Q681" t="s">
        <v>1298</v>
      </c>
      <c r="R681" t="s">
        <v>69</v>
      </c>
      <c r="S681" t="s">
        <v>70</v>
      </c>
    </row>
    <row r="682" spans="1:19" x14ac:dyDescent="0.25">
      <c r="A682" t="s">
        <v>44</v>
      </c>
      <c r="B682" t="s">
        <v>3</v>
      </c>
      <c r="C682" t="s">
        <v>32</v>
      </c>
      <c r="D682" t="s">
        <v>33</v>
      </c>
      <c r="E682" t="s">
        <v>1292</v>
      </c>
      <c r="F682" t="s">
        <v>35</v>
      </c>
      <c r="G682" t="s">
        <v>35</v>
      </c>
      <c r="H682" t="s">
        <v>35</v>
      </c>
      <c r="J682" t="s">
        <v>1300</v>
      </c>
      <c r="K682" t="s">
        <v>1092</v>
      </c>
      <c r="M682">
        <v>0.25</v>
      </c>
      <c r="N682">
        <v>39</v>
      </c>
      <c r="O682" t="s">
        <v>52</v>
      </c>
      <c r="Q682" t="s">
        <v>816</v>
      </c>
      <c r="R682" t="s">
        <v>1296</v>
      </c>
      <c r="S682" t="s">
        <v>1294</v>
      </c>
    </row>
    <row r="683" spans="1:19" x14ac:dyDescent="0.25">
      <c r="A683" t="s">
        <v>44</v>
      </c>
      <c r="B683" t="s">
        <v>3</v>
      </c>
      <c r="C683" t="s">
        <v>32</v>
      </c>
      <c r="D683" t="s">
        <v>33</v>
      </c>
      <c r="E683" t="s">
        <v>1292</v>
      </c>
      <c r="F683" t="s">
        <v>35</v>
      </c>
      <c r="G683" t="s">
        <v>35</v>
      </c>
      <c r="H683" t="s">
        <v>35</v>
      </c>
      <c r="J683" t="s">
        <v>1300</v>
      </c>
      <c r="K683" t="s">
        <v>1092</v>
      </c>
      <c r="M683">
        <v>0.25</v>
      </c>
      <c r="N683">
        <v>57</v>
      </c>
      <c r="O683" t="s">
        <v>52</v>
      </c>
      <c r="Q683" t="s">
        <v>665</v>
      </c>
      <c r="R683" t="s">
        <v>1296</v>
      </c>
      <c r="S683" t="s">
        <v>1294</v>
      </c>
    </row>
    <row r="684" spans="1:19" x14ac:dyDescent="0.25">
      <c r="A684" t="s">
        <v>44</v>
      </c>
      <c r="B684" t="s">
        <v>3</v>
      </c>
      <c r="C684" t="s">
        <v>32</v>
      </c>
      <c r="D684" t="s">
        <v>33</v>
      </c>
      <c r="E684" t="s">
        <v>1292</v>
      </c>
      <c r="F684" t="s">
        <v>35</v>
      </c>
      <c r="G684" t="s">
        <v>35</v>
      </c>
      <c r="H684" t="s">
        <v>35</v>
      </c>
      <c r="J684" t="s">
        <v>1300</v>
      </c>
      <c r="K684" t="s">
        <v>1092</v>
      </c>
      <c r="M684">
        <v>0.2</v>
      </c>
      <c r="N684">
        <v>46</v>
      </c>
      <c r="O684" t="s">
        <v>52</v>
      </c>
      <c r="Q684" t="s">
        <v>493</v>
      </c>
      <c r="R684" t="s">
        <v>1296</v>
      </c>
      <c r="S684" t="s">
        <v>1294</v>
      </c>
    </row>
    <row r="685" spans="1:19" x14ac:dyDescent="0.25">
      <c r="A685" t="s">
        <v>59</v>
      </c>
      <c r="B685" t="s">
        <v>31</v>
      </c>
      <c r="C685" t="s">
        <v>32</v>
      </c>
      <c r="D685" t="s">
        <v>33</v>
      </c>
      <c r="E685" t="s">
        <v>1292</v>
      </c>
      <c r="F685" t="s">
        <v>35</v>
      </c>
      <c r="G685" t="s">
        <v>35</v>
      </c>
      <c r="H685" t="s">
        <v>35</v>
      </c>
      <c r="J685" t="s">
        <v>1301</v>
      </c>
      <c r="K685" t="s">
        <v>1092</v>
      </c>
      <c r="M685">
        <v>1.71</v>
      </c>
      <c r="N685">
        <v>75</v>
      </c>
      <c r="O685" t="s">
        <v>61</v>
      </c>
      <c r="Q685" t="s">
        <v>805</v>
      </c>
      <c r="R685" t="s">
        <v>1279</v>
      </c>
      <c r="S685" t="s">
        <v>163</v>
      </c>
    </row>
    <row r="686" spans="1:19" x14ac:dyDescent="0.25">
      <c r="A686" t="s">
        <v>44</v>
      </c>
      <c r="B686" t="s">
        <v>51</v>
      </c>
      <c r="C686" t="s">
        <v>32</v>
      </c>
      <c r="D686" t="s">
        <v>33</v>
      </c>
      <c r="E686" t="s">
        <v>1292</v>
      </c>
      <c r="F686" t="s">
        <v>35</v>
      </c>
      <c r="G686" t="s">
        <v>35</v>
      </c>
      <c r="H686" t="s">
        <v>35</v>
      </c>
      <c r="J686" t="s">
        <v>1301</v>
      </c>
      <c r="K686" t="s">
        <v>1092</v>
      </c>
      <c r="M686">
        <v>3</v>
      </c>
      <c r="N686">
        <v>56</v>
      </c>
      <c r="O686" t="s">
        <v>52</v>
      </c>
      <c r="Q686" t="s">
        <v>453</v>
      </c>
      <c r="R686" t="s">
        <v>1279</v>
      </c>
      <c r="S686" t="s">
        <v>163</v>
      </c>
    </row>
    <row r="687" spans="1:19" x14ac:dyDescent="0.25">
      <c r="A687" t="s">
        <v>30</v>
      </c>
      <c r="B687" t="s">
        <v>31</v>
      </c>
      <c r="C687" t="s">
        <v>32</v>
      </c>
      <c r="D687" t="s">
        <v>33</v>
      </c>
      <c r="E687" t="s">
        <v>1292</v>
      </c>
      <c r="F687" t="s">
        <v>35</v>
      </c>
      <c r="G687" t="s">
        <v>35</v>
      </c>
      <c r="H687" t="s">
        <v>35</v>
      </c>
      <c r="J687" t="s">
        <v>1301</v>
      </c>
      <c r="K687" t="s">
        <v>1092</v>
      </c>
      <c r="M687">
        <v>9.18</v>
      </c>
      <c r="N687">
        <v>17</v>
      </c>
      <c r="O687" t="s">
        <v>46</v>
      </c>
      <c r="Q687" t="s">
        <v>1302</v>
      </c>
      <c r="R687" t="s">
        <v>85</v>
      </c>
      <c r="S687" t="s">
        <v>86</v>
      </c>
    </row>
    <row r="688" spans="1:19" x14ac:dyDescent="0.25">
      <c r="A688" t="s">
        <v>59</v>
      </c>
      <c r="B688" t="s">
        <v>60</v>
      </c>
      <c r="C688" t="s">
        <v>32</v>
      </c>
      <c r="D688" t="s">
        <v>33</v>
      </c>
      <c r="E688" t="s">
        <v>1292</v>
      </c>
      <c r="F688" t="s">
        <v>35</v>
      </c>
      <c r="G688" t="s">
        <v>35</v>
      </c>
      <c r="H688" t="s">
        <v>35</v>
      </c>
      <c r="J688" t="s">
        <v>1301</v>
      </c>
      <c r="K688" t="s">
        <v>1092</v>
      </c>
      <c r="M688">
        <v>0.75</v>
      </c>
      <c r="N688">
        <v>56</v>
      </c>
      <c r="O688" t="s">
        <v>52</v>
      </c>
      <c r="Q688" t="s">
        <v>453</v>
      </c>
      <c r="R688" t="s">
        <v>1279</v>
      </c>
      <c r="S688" t="s">
        <v>163</v>
      </c>
    </row>
    <row r="689" spans="1:19" x14ac:dyDescent="0.25">
      <c r="A689" t="s">
        <v>30</v>
      </c>
      <c r="B689" t="s">
        <v>31</v>
      </c>
      <c r="C689" t="s">
        <v>32</v>
      </c>
      <c r="D689" t="s">
        <v>33</v>
      </c>
      <c r="E689" t="s">
        <v>1292</v>
      </c>
      <c r="F689" t="s">
        <v>35</v>
      </c>
      <c r="G689" t="s">
        <v>35</v>
      </c>
      <c r="H689" t="s">
        <v>35</v>
      </c>
      <c r="J689" t="s">
        <v>1301</v>
      </c>
      <c r="K689" t="s">
        <v>1092</v>
      </c>
      <c r="M689">
        <v>4.9950000000000001</v>
      </c>
      <c r="N689">
        <v>8</v>
      </c>
      <c r="O689" t="s">
        <v>46</v>
      </c>
      <c r="Q689" t="s">
        <v>8225</v>
      </c>
      <c r="R689" t="s">
        <v>103</v>
      </c>
      <c r="S689" t="s">
        <v>104</v>
      </c>
    </row>
    <row r="690" spans="1:19" x14ac:dyDescent="0.25">
      <c r="A690" t="s">
        <v>59</v>
      </c>
      <c r="B690" t="s">
        <v>60</v>
      </c>
      <c r="C690" t="s">
        <v>32</v>
      </c>
      <c r="D690" t="s">
        <v>33</v>
      </c>
      <c r="E690" t="s">
        <v>1292</v>
      </c>
      <c r="F690" t="s">
        <v>35</v>
      </c>
      <c r="G690" t="s">
        <v>35</v>
      </c>
      <c r="H690" t="s">
        <v>35</v>
      </c>
      <c r="J690" t="s">
        <v>1303</v>
      </c>
      <c r="K690" t="s">
        <v>1092</v>
      </c>
      <c r="M690">
        <v>2.2999999999999998</v>
      </c>
      <c r="N690">
        <v>65</v>
      </c>
      <c r="O690" t="s">
        <v>61</v>
      </c>
      <c r="Q690" t="s">
        <v>128</v>
      </c>
      <c r="R690" t="s">
        <v>199</v>
      </c>
      <c r="S690" t="s">
        <v>200</v>
      </c>
    </row>
    <row r="691" spans="1:19" x14ac:dyDescent="0.25">
      <c r="A691" t="s">
        <v>59</v>
      </c>
      <c r="B691" t="s">
        <v>60</v>
      </c>
      <c r="C691" t="s">
        <v>32</v>
      </c>
      <c r="D691" t="s">
        <v>33</v>
      </c>
      <c r="E691" t="s">
        <v>1292</v>
      </c>
      <c r="F691" t="s">
        <v>35</v>
      </c>
      <c r="G691" t="s">
        <v>35</v>
      </c>
      <c r="H691" t="s">
        <v>35</v>
      </c>
      <c r="J691" t="s">
        <v>1304</v>
      </c>
      <c r="K691" t="s">
        <v>1092</v>
      </c>
      <c r="M691">
        <v>0.53</v>
      </c>
      <c r="N691">
        <v>63</v>
      </c>
      <c r="O691" t="s">
        <v>61</v>
      </c>
      <c r="Q691" t="s">
        <v>423</v>
      </c>
      <c r="R691" t="s">
        <v>103</v>
      </c>
      <c r="S691" t="s">
        <v>104</v>
      </c>
    </row>
    <row r="692" spans="1:19" x14ac:dyDescent="0.25">
      <c r="A692" t="s">
        <v>59</v>
      </c>
      <c r="B692" t="s">
        <v>60</v>
      </c>
      <c r="C692" t="s">
        <v>32</v>
      </c>
      <c r="D692" t="s">
        <v>33</v>
      </c>
      <c r="E692" t="s">
        <v>1292</v>
      </c>
      <c r="F692" t="s">
        <v>35</v>
      </c>
      <c r="G692" t="s">
        <v>35</v>
      </c>
      <c r="H692" t="s">
        <v>35</v>
      </c>
      <c r="J692" t="s">
        <v>1305</v>
      </c>
      <c r="K692" t="s">
        <v>1092</v>
      </c>
      <c r="M692">
        <v>0.5</v>
      </c>
      <c r="N692">
        <v>335</v>
      </c>
      <c r="O692" t="s">
        <v>5</v>
      </c>
      <c r="Q692" t="s">
        <v>1306</v>
      </c>
      <c r="R692" t="s">
        <v>1173</v>
      </c>
      <c r="S692" t="s">
        <v>222</v>
      </c>
    </row>
    <row r="693" spans="1:19" x14ac:dyDescent="0.25">
      <c r="A693" t="s">
        <v>30</v>
      </c>
      <c r="B693" t="s">
        <v>31</v>
      </c>
      <c r="C693" t="s">
        <v>32</v>
      </c>
      <c r="D693" t="s">
        <v>33</v>
      </c>
      <c r="E693" t="s">
        <v>1292</v>
      </c>
      <c r="F693" t="s">
        <v>35</v>
      </c>
      <c r="G693" t="s">
        <v>35</v>
      </c>
      <c r="H693" t="s">
        <v>35</v>
      </c>
      <c r="J693" t="s">
        <v>1307</v>
      </c>
      <c r="K693" t="s">
        <v>1092</v>
      </c>
      <c r="M693">
        <v>3.6</v>
      </c>
      <c r="N693">
        <v>46</v>
      </c>
      <c r="O693" t="s">
        <v>52</v>
      </c>
      <c r="Q693" t="s">
        <v>493</v>
      </c>
      <c r="R693" t="s">
        <v>199</v>
      </c>
      <c r="S693" t="s">
        <v>200</v>
      </c>
    </row>
    <row r="694" spans="1:19" x14ac:dyDescent="0.25">
      <c r="A694" t="s">
        <v>44</v>
      </c>
      <c r="B694" t="s">
        <v>51</v>
      </c>
      <c r="C694" t="s">
        <v>32</v>
      </c>
      <c r="D694" t="s">
        <v>33</v>
      </c>
      <c r="E694" t="s">
        <v>1292</v>
      </c>
      <c r="F694" t="s">
        <v>35</v>
      </c>
      <c r="G694" t="s">
        <v>35</v>
      </c>
      <c r="H694" t="s">
        <v>35</v>
      </c>
      <c r="J694" t="s">
        <v>1307</v>
      </c>
      <c r="K694" t="s">
        <v>1092</v>
      </c>
      <c r="M694">
        <v>1.6</v>
      </c>
      <c r="N694">
        <v>27</v>
      </c>
      <c r="O694" t="s">
        <v>46</v>
      </c>
      <c r="Q694" t="s">
        <v>1011</v>
      </c>
      <c r="R694" t="s">
        <v>147</v>
      </c>
      <c r="S694" t="s">
        <v>148</v>
      </c>
    </row>
    <row r="695" spans="1:19" x14ac:dyDescent="0.25">
      <c r="A695" t="s">
        <v>44</v>
      </c>
      <c r="B695" t="s">
        <v>3</v>
      </c>
      <c r="C695" t="s">
        <v>32</v>
      </c>
      <c r="D695" t="s">
        <v>33</v>
      </c>
      <c r="E695" t="s">
        <v>1292</v>
      </c>
      <c r="F695" t="s">
        <v>35</v>
      </c>
      <c r="G695" t="s">
        <v>35</v>
      </c>
      <c r="H695" t="s">
        <v>35</v>
      </c>
      <c r="J695" t="s">
        <v>1308</v>
      </c>
      <c r="K695" t="s">
        <v>1092</v>
      </c>
      <c r="M695">
        <v>0.25</v>
      </c>
      <c r="N695">
        <v>57</v>
      </c>
      <c r="O695" t="s">
        <v>52</v>
      </c>
      <c r="Q695" t="s">
        <v>665</v>
      </c>
      <c r="R695" t="s">
        <v>1296</v>
      </c>
      <c r="S695" t="s">
        <v>1294</v>
      </c>
    </row>
    <row r="696" spans="1:19" x14ac:dyDescent="0.25">
      <c r="A696" t="s">
        <v>59</v>
      </c>
      <c r="B696" t="s">
        <v>60</v>
      </c>
      <c r="C696" t="s">
        <v>32</v>
      </c>
      <c r="D696" t="s">
        <v>33</v>
      </c>
      <c r="E696" t="s">
        <v>1292</v>
      </c>
      <c r="F696" t="s">
        <v>35</v>
      </c>
      <c r="G696" t="s">
        <v>35</v>
      </c>
      <c r="H696" t="s">
        <v>35</v>
      </c>
      <c r="J696" t="s">
        <v>1309</v>
      </c>
      <c r="K696" t="s">
        <v>404</v>
      </c>
      <c r="M696">
        <v>1.1000000000000001</v>
      </c>
      <c r="N696">
        <v>70</v>
      </c>
      <c r="O696" t="s">
        <v>61</v>
      </c>
      <c r="Q696" t="s">
        <v>126</v>
      </c>
      <c r="R696" t="s">
        <v>1173</v>
      </c>
      <c r="S696" t="s">
        <v>222</v>
      </c>
    </row>
    <row r="697" spans="1:19" x14ac:dyDescent="0.25">
      <c r="A697" t="s">
        <v>59</v>
      </c>
      <c r="B697" t="s">
        <v>31</v>
      </c>
      <c r="C697" t="s">
        <v>32</v>
      </c>
      <c r="D697" t="s">
        <v>33</v>
      </c>
      <c r="E697" t="s">
        <v>1292</v>
      </c>
      <c r="F697" t="s">
        <v>35</v>
      </c>
      <c r="G697" t="s">
        <v>35</v>
      </c>
      <c r="H697" t="s">
        <v>35</v>
      </c>
      <c r="J697" t="s">
        <v>1309</v>
      </c>
      <c r="K697" t="s">
        <v>404</v>
      </c>
      <c r="M697">
        <v>1.4950000000000001</v>
      </c>
      <c r="N697">
        <v>70</v>
      </c>
      <c r="O697" t="s">
        <v>61</v>
      </c>
      <c r="Q697" t="s">
        <v>126</v>
      </c>
      <c r="R697" t="s">
        <v>1173</v>
      </c>
      <c r="S697" t="s">
        <v>222</v>
      </c>
    </row>
    <row r="698" spans="1:19" x14ac:dyDescent="0.25">
      <c r="A698" t="s">
        <v>44</v>
      </c>
      <c r="B698" t="s">
        <v>3</v>
      </c>
      <c r="C698" t="s">
        <v>32</v>
      </c>
      <c r="D698" t="s">
        <v>33</v>
      </c>
      <c r="E698" t="s">
        <v>1292</v>
      </c>
      <c r="F698" t="s">
        <v>35</v>
      </c>
      <c r="G698" t="s">
        <v>35</v>
      </c>
      <c r="H698" t="s">
        <v>35</v>
      </c>
      <c r="J698" t="s">
        <v>1309</v>
      </c>
      <c r="K698" t="s">
        <v>404</v>
      </c>
      <c r="M698">
        <v>5.3</v>
      </c>
      <c r="N698">
        <v>69</v>
      </c>
      <c r="O698" t="s">
        <v>61</v>
      </c>
      <c r="Q698" t="s">
        <v>139</v>
      </c>
      <c r="R698" t="s">
        <v>1173</v>
      </c>
      <c r="S698" t="s">
        <v>222</v>
      </c>
    </row>
    <row r="699" spans="1:19" x14ac:dyDescent="0.25">
      <c r="A699" t="s">
        <v>59</v>
      </c>
      <c r="B699" t="s">
        <v>60</v>
      </c>
      <c r="C699" t="s">
        <v>32</v>
      </c>
      <c r="D699" t="s">
        <v>33</v>
      </c>
      <c r="E699" t="s">
        <v>1292</v>
      </c>
      <c r="F699" t="s">
        <v>35</v>
      </c>
      <c r="G699" t="s">
        <v>35</v>
      </c>
      <c r="H699" t="s">
        <v>35</v>
      </c>
      <c r="J699" t="s">
        <v>1310</v>
      </c>
      <c r="K699" t="s">
        <v>1092</v>
      </c>
      <c r="M699">
        <v>8</v>
      </c>
      <c r="N699">
        <v>72</v>
      </c>
      <c r="O699" t="s">
        <v>61</v>
      </c>
      <c r="Q699" t="s">
        <v>63</v>
      </c>
      <c r="R699" t="s">
        <v>169</v>
      </c>
      <c r="S699" t="s">
        <v>123</v>
      </c>
    </row>
    <row r="700" spans="1:19" x14ac:dyDescent="0.25">
      <c r="A700" t="s">
        <v>44</v>
      </c>
      <c r="B700" t="s">
        <v>3</v>
      </c>
      <c r="C700" t="s">
        <v>32</v>
      </c>
      <c r="D700" t="s">
        <v>33</v>
      </c>
      <c r="E700" t="s">
        <v>1292</v>
      </c>
      <c r="F700" t="s">
        <v>35</v>
      </c>
      <c r="G700" t="s">
        <v>35</v>
      </c>
      <c r="H700" t="s">
        <v>35</v>
      </c>
      <c r="J700" t="s">
        <v>1310</v>
      </c>
      <c r="K700" t="s">
        <v>1092</v>
      </c>
      <c r="M700">
        <v>10</v>
      </c>
      <c r="N700">
        <v>59</v>
      </c>
      <c r="O700" t="s">
        <v>52</v>
      </c>
      <c r="Q700" t="s">
        <v>84</v>
      </c>
      <c r="R700" t="s">
        <v>169</v>
      </c>
      <c r="S700" t="s">
        <v>123</v>
      </c>
    </row>
    <row r="701" spans="1:19" x14ac:dyDescent="0.25">
      <c r="A701" t="s">
        <v>59</v>
      </c>
      <c r="B701" t="s">
        <v>31</v>
      </c>
      <c r="C701" t="s">
        <v>32</v>
      </c>
      <c r="D701" t="s">
        <v>33</v>
      </c>
      <c r="E701" t="s">
        <v>1292</v>
      </c>
      <c r="F701" t="s">
        <v>35</v>
      </c>
      <c r="G701" t="s">
        <v>35</v>
      </c>
      <c r="H701" t="s">
        <v>35</v>
      </c>
      <c r="J701" t="s">
        <v>1310</v>
      </c>
      <c r="K701" t="s">
        <v>1092</v>
      </c>
      <c r="M701">
        <v>5.4450000000000003</v>
      </c>
      <c r="N701">
        <v>72</v>
      </c>
      <c r="O701" t="s">
        <v>61</v>
      </c>
      <c r="Q701" t="s">
        <v>63</v>
      </c>
      <c r="R701" t="s">
        <v>169</v>
      </c>
      <c r="S701" t="s">
        <v>123</v>
      </c>
    </row>
    <row r="702" spans="1:19" x14ac:dyDescent="0.25">
      <c r="A702" t="s">
        <v>59</v>
      </c>
      <c r="B702" t="s">
        <v>60</v>
      </c>
      <c r="C702" t="s">
        <v>32</v>
      </c>
      <c r="D702" t="s">
        <v>33</v>
      </c>
      <c r="E702" t="s">
        <v>1292</v>
      </c>
      <c r="F702" t="s">
        <v>35</v>
      </c>
      <c r="G702" t="s">
        <v>35</v>
      </c>
      <c r="H702" t="s">
        <v>35</v>
      </c>
      <c r="J702" t="s">
        <v>1310</v>
      </c>
      <c r="K702" t="s">
        <v>1092</v>
      </c>
      <c r="M702">
        <v>11</v>
      </c>
      <c r="N702">
        <v>67</v>
      </c>
      <c r="O702" t="s">
        <v>61</v>
      </c>
      <c r="Q702" t="s">
        <v>1311</v>
      </c>
      <c r="R702" t="s">
        <v>169</v>
      </c>
      <c r="S702" t="s">
        <v>123</v>
      </c>
    </row>
    <row r="703" spans="1:19" x14ac:dyDescent="0.25">
      <c r="A703" t="s">
        <v>59</v>
      </c>
      <c r="B703" t="s">
        <v>60</v>
      </c>
      <c r="C703" t="s">
        <v>32</v>
      </c>
      <c r="D703" t="s">
        <v>33</v>
      </c>
      <c r="E703" t="s">
        <v>1292</v>
      </c>
      <c r="F703" t="s">
        <v>35</v>
      </c>
      <c r="G703" t="s">
        <v>35</v>
      </c>
      <c r="H703" t="s">
        <v>35</v>
      </c>
      <c r="J703" t="s">
        <v>1312</v>
      </c>
      <c r="K703" t="s">
        <v>1092</v>
      </c>
      <c r="M703">
        <v>10</v>
      </c>
      <c r="N703">
        <v>62</v>
      </c>
      <c r="O703" t="s">
        <v>61</v>
      </c>
      <c r="Q703" t="s">
        <v>90</v>
      </c>
      <c r="R703" t="s">
        <v>85</v>
      </c>
      <c r="S703" t="s">
        <v>86</v>
      </c>
    </row>
    <row r="704" spans="1:19" x14ac:dyDescent="0.25">
      <c r="A704" t="s">
        <v>44</v>
      </c>
      <c r="B704" t="s">
        <v>3</v>
      </c>
      <c r="C704" t="s">
        <v>32</v>
      </c>
      <c r="D704" t="s">
        <v>33</v>
      </c>
      <c r="E704" t="s">
        <v>1292</v>
      </c>
      <c r="F704" t="s">
        <v>35</v>
      </c>
      <c r="G704" t="s">
        <v>35</v>
      </c>
      <c r="H704" t="s">
        <v>35</v>
      </c>
      <c r="J704" t="s">
        <v>1312</v>
      </c>
      <c r="K704" t="s">
        <v>1092</v>
      </c>
      <c r="M704">
        <v>4.2</v>
      </c>
      <c r="N704">
        <v>59</v>
      </c>
      <c r="O704" t="s">
        <v>52</v>
      </c>
      <c r="Q704" t="s">
        <v>84</v>
      </c>
      <c r="R704" t="s">
        <v>85</v>
      </c>
      <c r="S704" t="s">
        <v>86</v>
      </c>
    </row>
    <row r="705" spans="1:19" x14ac:dyDescent="0.25">
      <c r="A705" t="s">
        <v>59</v>
      </c>
      <c r="B705" t="s">
        <v>60</v>
      </c>
      <c r="C705" t="s">
        <v>32</v>
      </c>
      <c r="D705" t="s">
        <v>33</v>
      </c>
      <c r="E705" t="s">
        <v>1292</v>
      </c>
      <c r="F705" t="s">
        <v>35</v>
      </c>
      <c r="G705" t="s">
        <v>35</v>
      </c>
      <c r="H705" t="s">
        <v>35</v>
      </c>
      <c r="J705" t="s">
        <v>1312</v>
      </c>
      <c r="K705" t="s">
        <v>1092</v>
      </c>
      <c r="M705">
        <v>3.4</v>
      </c>
      <c r="N705">
        <v>93</v>
      </c>
      <c r="O705" t="s">
        <v>106</v>
      </c>
      <c r="Q705" t="s">
        <v>941</v>
      </c>
      <c r="R705" t="s">
        <v>85</v>
      </c>
      <c r="S705" t="s">
        <v>86</v>
      </c>
    </row>
    <row r="706" spans="1:19" x14ac:dyDescent="0.25">
      <c r="A706" t="s">
        <v>30</v>
      </c>
      <c r="B706" t="s">
        <v>31</v>
      </c>
      <c r="C706" t="s">
        <v>32</v>
      </c>
      <c r="D706" t="s">
        <v>33</v>
      </c>
      <c r="E706" t="s">
        <v>1292</v>
      </c>
      <c r="F706" t="s">
        <v>35</v>
      </c>
      <c r="G706" t="s">
        <v>35</v>
      </c>
      <c r="H706" t="s">
        <v>35</v>
      </c>
      <c r="J706" t="s">
        <v>1312</v>
      </c>
      <c r="K706" t="s">
        <v>1092</v>
      </c>
      <c r="M706">
        <v>18.225000000000001</v>
      </c>
      <c r="N706">
        <v>20</v>
      </c>
      <c r="O706" t="s">
        <v>46</v>
      </c>
      <c r="Q706" t="s">
        <v>1004</v>
      </c>
      <c r="R706" t="s">
        <v>85</v>
      </c>
      <c r="S706" t="s">
        <v>86</v>
      </c>
    </row>
    <row r="707" spans="1:19" x14ac:dyDescent="0.25">
      <c r="A707" t="s">
        <v>44</v>
      </c>
      <c r="B707" t="s">
        <v>3</v>
      </c>
      <c r="C707" t="s">
        <v>32</v>
      </c>
      <c r="D707" t="s">
        <v>33</v>
      </c>
      <c r="E707" t="s">
        <v>1292</v>
      </c>
      <c r="F707" t="s">
        <v>35</v>
      </c>
      <c r="G707" t="s">
        <v>35</v>
      </c>
      <c r="H707" t="s">
        <v>35</v>
      </c>
      <c r="J707" t="s">
        <v>1313</v>
      </c>
      <c r="K707" t="s">
        <v>1092</v>
      </c>
      <c r="M707">
        <v>0.2</v>
      </c>
      <c r="N707">
        <v>31</v>
      </c>
      <c r="O707" t="s">
        <v>52</v>
      </c>
      <c r="Q707" t="s">
        <v>972</v>
      </c>
      <c r="R707" t="s">
        <v>1296</v>
      </c>
      <c r="S707" t="s">
        <v>1294</v>
      </c>
    </row>
    <row r="708" spans="1:19" x14ac:dyDescent="0.25">
      <c r="A708" t="s">
        <v>59</v>
      </c>
      <c r="B708" t="s">
        <v>31</v>
      </c>
      <c r="C708" t="s">
        <v>32</v>
      </c>
      <c r="D708" t="s">
        <v>33</v>
      </c>
      <c r="E708" t="s">
        <v>1292</v>
      </c>
      <c r="F708" t="s">
        <v>35</v>
      </c>
      <c r="G708" t="s">
        <v>35</v>
      </c>
      <c r="H708" t="s">
        <v>35</v>
      </c>
      <c r="J708" t="s">
        <v>1314</v>
      </c>
      <c r="K708" t="s">
        <v>1092</v>
      </c>
      <c r="M708">
        <v>7.4999999999999997E-2</v>
      </c>
      <c r="N708">
        <v>207</v>
      </c>
      <c r="O708" t="s">
        <v>5</v>
      </c>
      <c r="Q708" t="s">
        <v>1315</v>
      </c>
      <c r="R708" t="s">
        <v>1316</v>
      </c>
      <c r="S708" t="s">
        <v>1317</v>
      </c>
    </row>
    <row r="709" spans="1:19" x14ac:dyDescent="0.25">
      <c r="A709" t="s">
        <v>59</v>
      </c>
      <c r="B709" t="s">
        <v>60</v>
      </c>
      <c r="C709" t="s">
        <v>32</v>
      </c>
      <c r="D709" t="s">
        <v>33</v>
      </c>
      <c r="E709" t="s">
        <v>1292</v>
      </c>
      <c r="F709" t="s">
        <v>35</v>
      </c>
      <c r="G709" t="s">
        <v>35</v>
      </c>
      <c r="H709" t="s">
        <v>35</v>
      </c>
      <c r="J709" t="s">
        <v>1318</v>
      </c>
      <c r="K709" t="s">
        <v>1092</v>
      </c>
      <c r="M709">
        <v>2.2000000000000002</v>
      </c>
      <c r="N709">
        <v>91</v>
      </c>
      <c r="O709" t="s">
        <v>106</v>
      </c>
      <c r="Q709" t="s">
        <v>1147</v>
      </c>
      <c r="R709" t="s">
        <v>85</v>
      </c>
      <c r="S709" t="s">
        <v>86</v>
      </c>
    </row>
    <row r="710" spans="1:19" x14ac:dyDescent="0.25">
      <c r="A710" t="s">
        <v>59</v>
      </c>
      <c r="B710" t="s">
        <v>31</v>
      </c>
      <c r="C710" t="s">
        <v>32</v>
      </c>
      <c r="D710" t="s">
        <v>33</v>
      </c>
      <c r="E710" t="s">
        <v>1292</v>
      </c>
      <c r="F710" t="s">
        <v>35</v>
      </c>
      <c r="G710" t="s">
        <v>35</v>
      </c>
      <c r="H710" t="s">
        <v>35</v>
      </c>
      <c r="J710" t="s">
        <v>1318</v>
      </c>
      <c r="K710" t="s">
        <v>1092</v>
      </c>
      <c r="M710">
        <v>0.22500000000000001</v>
      </c>
      <c r="N710">
        <v>91</v>
      </c>
      <c r="O710" t="s">
        <v>106</v>
      </c>
      <c r="Q710" t="s">
        <v>1147</v>
      </c>
      <c r="R710" t="s">
        <v>85</v>
      </c>
      <c r="S710" t="s">
        <v>86</v>
      </c>
    </row>
    <row r="711" spans="1:19" x14ac:dyDescent="0.25">
      <c r="A711" t="s">
        <v>44</v>
      </c>
      <c r="B711" t="s">
        <v>3</v>
      </c>
      <c r="C711" t="s">
        <v>32</v>
      </c>
      <c r="D711" t="s">
        <v>33</v>
      </c>
      <c r="E711" t="s">
        <v>1292</v>
      </c>
      <c r="F711" t="s">
        <v>35</v>
      </c>
      <c r="G711" t="s">
        <v>35</v>
      </c>
      <c r="H711" t="s">
        <v>35</v>
      </c>
      <c r="J711" t="s">
        <v>1319</v>
      </c>
      <c r="K711" t="s">
        <v>1092</v>
      </c>
      <c r="M711">
        <v>0.12</v>
      </c>
      <c r="N711">
        <v>31</v>
      </c>
      <c r="O711" t="s">
        <v>52</v>
      </c>
      <c r="Q711" t="s">
        <v>972</v>
      </c>
      <c r="R711" t="s">
        <v>1296</v>
      </c>
      <c r="S711" t="s">
        <v>1294</v>
      </c>
    </row>
    <row r="712" spans="1:19" x14ac:dyDescent="0.25">
      <c r="A712" t="s">
        <v>59</v>
      </c>
      <c r="B712" t="s">
        <v>31</v>
      </c>
      <c r="C712" t="s">
        <v>32</v>
      </c>
      <c r="D712" t="s">
        <v>33</v>
      </c>
      <c r="E712" t="s">
        <v>1292</v>
      </c>
      <c r="F712" t="s">
        <v>35</v>
      </c>
      <c r="G712" t="s">
        <v>35</v>
      </c>
      <c r="H712" t="s">
        <v>35</v>
      </c>
      <c r="J712" t="s">
        <v>1320</v>
      </c>
      <c r="K712" t="s">
        <v>1092</v>
      </c>
      <c r="M712">
        <v>7.0000000000000007E-2</v>
      </c>
      <c r="N712">
        <v>594</v>
      </c>
      <c r="O712" t="s">
        <v>575</v>
      </c>
      <c r="Q712" t="s">
        <v>1321</v>
      </c>
      <c r="R712" t="s">
        <v>1322</v>
      </c>
      <c r="S712" t="s">
        <v>628</v>
      </c>
    </row>
    <row r="713" spans="1:19" x14ac:dyDescent="0.25">
      <c r="A713" t="s">
        <v>59</v>
      </c>
      <c r="B713" t="s">
        <v>60</v>
      </c>
      <c r="C713" t="s">
        <v>32</v>
      </c>
      <c r="D713" t="s">
        <v>33</v>
      </c>
      <c r="E713" t="s">
        <v>1292</v>
      </c>
      <c r="F713" t="s">
        <v>35</v>
      </c>
      <c r="G713" t="s">
        <v>35</v>
      </c>
      <c r="H713" t="s">
        <v>35</v>
      </c>
      <c r="J713" t="s">
        <v>1323</v>
      </c>
      <c r="K713" t="s">
        <v>1092</v>
      </c>
      <c r="M713">
        <v>4</v>
      </c>
      <c r="N713">
        <v>63</v>
      </c>
      <c r="O713" t="s">
        <v>61</v>
      </c>
      <c r="Q713" t="s">
        <v>423</v>
      </c>
      <c r="R713" t="s">
        <v>103</v>
      </c>
      <c r="S713" t="s">
        <v>104</v>
      </c>
    </row>
    <row r="714" spans="1:19" x14ac:dyDescent="0.25">
      <c r="A714" t="s">
        <v>44</v>
      </c>
      <c r="B714" t="s">
        <v>51</v>
      </c>
      <c r="C714" t="s">
        <v>32</v>
      </c>
      <c r="D714" t="s">
        <v>33</v>
      </c>
      <c r="E714" t="s">
        <v>1292</v>
      </c>
      <c r="F714" t="s">
        <v>35</v>
      </c>
      <c r="G714" t="s">
        <v>35</v>
      </c>
      <c r="H714" t="s">
        <v>35</v>
      </c>
      <c r="J714" t="s">
        <v>1323</v>
      </c>
      <c r="K714" t="s">
        <v>1092</v>
      </c>
      <c r="M714">
        <v>5.5</v>
      </c>
      <c r="N714">
        <v>31</v>
      </c>
      <c r="O714" t="s">
        <v>52</v>
      </c>
      <c r="Q714" t="s">
        <v>972</v>
      </c>
      <c r="R714" t="s">
        <v>103</v>
      </c>
      <c r="S714" t="s">
        <v>104</v>
      </c>
    </row>
    <row r="715" spans="1:19" x14ac:dyDescent="0.25">
      <c r="A715" t="s">
        <v>59</v>
      </c>
      <c r="B715" t="s">
        <v>60</v>
      </c>
      <c r="C715" t="s">
        <v>32</v>
      </c>
      <c r="D715" t="s">
        <v>33</v>
      </c>
      <c r="E715" t="s">
        <v>1292</v>
      </c>
      <c r="F715" t="s">
        <v>35</v>
      </c>
      <c r="G715" t="s">
        <v>35</v>
      </c>
      <c r="H715" t="s">
        <v>35</v>
      </c>
      <c r="J715" t="s">
        <v>1323</v>
      </c>
      <c r="K715" t="s">
        <v>1092</v>
      </c>
      <c r="M715">
        <v>2.7</v>
      </c>
      <c r="N715">
        <v>133</v>
      </c>
      <c r="O715" t="s">
        <v>38</v>
      </c>
      <c r="Q715" t="s">
        <v>68</v>
      </c>
      <c r="R715" t="s">
        <v>199</v>
      </c>
      <c r="S715" t="s">
        <v>200</v>
      </c>
    </row>
    <row r="716" spans="1:19" x14ac:dyDescent="0.25">
      <c r="A716" t="s">
        <v>30</v>
      </c>
      <c r="B716" t="s">
        <v>31</v>
      </c>
      <c r="C716" t="s">
        <v>32</v>
      </c>
      <c r="D716" t="s">
        <v>33</v>
      </c>
      <c r="E716" t="s">
        <v>1292</v>
      </c>
      <c r="F716" t="s">
        <v>35</v>
      </c>
      <c r="G716" t="s">
        <v>35</v>
      </c>
      <c r="H716" t="s">
        <v>35</v>
      </c>
      <c r="J716" t="s">
        <v>1324</v>
      </c>
      <c r="K716" t="s">
        <v>1092</v>
      </c>
      <c r="M716">
        <v>4.4999999999999998E-2</v>
      </c>
      <c r="N716">
        <v>428</v>
      </c>
      <c r="O716" t="s">
        <v>294</v>
      </c>
      <c r="Q716" t="s">
        <v>1325</v>
      </c>
      <c r="R716" t="s">
        <v>199</v>
      </c>
      <c r="S716" t="s">
        <v>200</v>
      </c>
    </row>
    <row r="717" spans="1:19" x14ac:dyDescent="0.25">
      <c r="A717" t="s">
        <v>44</v>
      </c>
      <c r="B717" t="s">
        <v>3</v>
      </c>
      <c r="C717" t="s">
        <v>32</v>
      </c>
      <c r="D717" t="s">
        <v>33</v>
      </c>
      <c r="E717" t="s">
        <v>1292</v>
      </c>
      <c r="F717" t="s">
        <v>35</v>
      </c>
      <c r="G717" t="s">
        <v>35</v>
      </c>
      <c r="H717" t="s">
        <v>35</v>
      </c>
      <c r="J717" t="s">
        <v>1326</v>
      </c>
      <c r="K717" t="s">
        <v>1092</v>
      </c>
      <c r="M717">
        <v>2</v>
      </c>
      <c r="N717">
        <v>207</v>
      </c>
      <c r="O717" t="s">
        <v>5</v>
      </c>
      <c r="Q717" t="s">
        <v>1315</v>
      </c>
      <c r="R717" t="s">
        <v>1316</v>
      </c>
      <c r="S717" t="s">
        <v>1317</v>
      </c>
    </row>
    <row r="718" spans="1:19" x14ac:dyDescent="0.25">
      <c r="A718" t="s">
        <v>59</v>
      </c>
      <c r="B718" t="s">
        <v>31</v>
      </c>
      <c r="C718" t="s">
        <v>32</v>
      </c>
      <c r="D718" t="s">
        <v>33</v>
      </c>
      <c r="E718" t="s">
        <v>1292</v>
      </c>
      <c r="F718" t="s">
        <v>35</v>
      </c>
      <c r="G718" t="s">
        <v>35</v>
      </c>
      <c r="H718" t="s">
        <v>35</v>
      </c>
      <c r="J718" t="s">
        <v>1326</v>
      </c>
      <c r="K718" t="s">
        <v>1092</v>
      </c>
      <c r="M718">
        <v>0.85499999999999998</v>
      </c>
      <c r="N718">
        <v>207</v>
      </c>
      <c r="O718" t="s">
        <v>5</v>
      </c>
      <c r="Q718" t="s">
        <v>1315</v>
      </c>
      <c r="R718" t="s">
        <v>1316</v>
      </c>
      <c r="S718" t="s">
        <v>1317</v>
      </c>
    </row>
    <row r="719" spans="1:19" x14ac:dyDescent="0.25">
      <c r="A719" t="s">
        <v>59</v>
      </c>
      <c r="B719" t="s">
        <v>60</v>
      </c>
      <c r="C719" t="s">
        <v>32</v>
      </c>
      <c r="D719" t="s">
        <v>33</v>
      </c>
      <c r="E719" t="s">
        <v>1292</v>
      </c>
      <c r="F719" t="s">
        <v>35</v>
      </c>
      <c r="G719" t="s">
        <v>35</v>
      </c>
      <c r="H719" t="s">
        <v>35</v>
      </c>
      <c r="J719" t="s">
        <v>1326</v>
      </c>
      <c r="K719" t="s">
        <v>1092</v>
      </c>
      <c r="M719">
        <v>1.5</v>
      </c>
      <c r="N719">
        <v>206</v>
      </c>
      <c r="O719" t="s">
        <v>5</v>
      </c>
      <c r="Q719" t="s">
        <v>1328</v>
      </c>
      <c r="R719" t="s">
        <v>1316</v>
      </c>
      <c r="S719" t="s">
        <v>1317</v>
      </c>
    </row>
    <row r="720" spans="1:19" x14ac:dyDescent="0.25">
      <c r="A720" t="s">
        <v>44</v>
      </c>
      <c r="B720" t="s">
        <v>3</v>
      </c>
      <c r="C720" t="s">
        <v>32</v>
      </c>
      <c r="D720" t="s">
        <v>33</v>
      </c>
      <c r="E720" t="s">
        <v>1292</v>
      </c>
      <c r="F720" t="s">
        <v>35</v>
      </c>
      <c r="G720" t="s">
        <v>35</v>
      </c>
      <c r="H720" t="s">
        <v>35</v>
      </c>
      <c r="J720" t="s">
        <v>1326</v>
      </c>
      <c r="K720" t="s">
        <v>1092</v>
      </c>
      <c r="M720">
        <v>1.25</v>
      </c>
      <c r="N720">
        <v>470</v>
      </c>
      <c r="O720" t="s">
        <v>294</v>
      </c>
      <c r="Q720" t="s">
        <v>1327</v>
      </c>
      <c r="R720" t="s">
        <v>1316</v>
      </c>
      <c r="S720" t="s">
        <v>1317</v>
      </c>
    </row>
    <row r="721" spans="1:19" x14ac:dyDescent="0.25">
      <c r="A721" t="s">
        <v>44</v>
      </c>
      <c r="B721" t="s">
        <v>51</v>
      </c>
      <c r="C721" t="s">
        <v>32</v>
      </c>
      <c r="D721" t="s">
        <v>33</v>
      </c>
      <c r="E721" t="s">
        <v>1292</v>
      </c>
      <c r="F721" t="s">
        <v>35</v>
      </c>
      <c r="G721" t="s">
        <v>35</v>
      </c>
      <c r="H721" t="s">
        <v>35</v>
      </c>
      <c r="J721" t="s">
        <v>1326</v>
      </c>
      <c r="K721" t="s">
        <v>1092</v>
      </c>
      <c r="M721">
        <v>1.75</v>
      </c>
      <c r="N721">
        <v>470</v>
      </c>
      <c r="O721" t="s">
        <v>294</v>
      </c>
      <c r="Q721" t="s">
        <v>1327</v>
      </c>
      <c r="R721" t="s">
        <v>1316</v>
      </c>
      <c r="S721" t="s">
        <v>1317</v>
      </c>
    </row>
    <row r="722" spans="1:19" x14ac:dyDescent="0.25">
      <c r="A722" t="s">
        <v>59</v>
      </c>
      <c r="B722" t="s">
        <v>31</v>
      </c>
      <c r="C722" t="s">
        <v>32</v>
      </c>
      <c r="D722" t="s">
        <v>33</v>
      </c>
      <c r="E722" t="s">
        <v>1292</v>
      </c>
      <c r="F722" t="s">
        <v>35</v>
      </c>
      <c r="G722" t="s">
        <v>35</v>
      </c>
      <c r="H722" t="s">
        <v>35</v>
      </c>
      <c r="J722" t="s">
        <v>1329</v>
      </c>
      <c r="K722" t="s">
        <v>1092</v>
      </c>
      <c r="M722">
        <v>2.2050000000000001</v>
      </c>
      <c r="N722">
        <v>90</v>
      </c>
      <c r="O722" t="s">
        <v>61</v>
      </c>
      <c r="Q722" t="s">
        <v>897</v>
      </c>
      <c r="R722" t="s">
        <v>147</v>
      </c>
      <c r="S722" t="s">
        <v>148</v>
      </c>
    </row>
    <row r="723" spans="1:19" x14ac:dyDescent="0.25">
      <c r="A723" t="s">
        <v>59</v>
      </c>
      <c r="B723" t="s">
        <v>60</v>
      </c>
      <c r="C723" t="s">
        <v>32</v>
      </c>
      <c r="D723" t="s">
        <v>33</v>
      </c>
      <c r="E723" t="s">
        <v>1292</v>
      </c>
      <c r="F723" t="s">
        <v>35</v>
      </c>
      <c r="G723" t="s">
        <v>35</v>
      </c>
      <c r="H723" t="s">
        <v>35</v>
      </c>
      <c r="J723" t="s">
        <v>1329</v>
      </c>
      <c r="K723" t="s">
        <v>1092</v>
      </c>
      <c r="M723">
        <v>1.9</v>
      </c>
      <c r="N723">
        <v>90</v>
      </c>
      <c r="O723" t="s">
        <v>61</v>
      </c>
      <c r="Q723" t="s">
        <v>897</v>
      </c>
      <c r="R723" t="s">
        <v>147</v>
      </c>
      <c r="S723" t="s">
        <v>148</v>
      </c>
    </row>
    <row r="724" spans="1:19" x14ac:dyDescent="0.25">
      <c r="A724" t="s">
        <v>59</v>
      </c>
      <c r="B724" t="s">
        <v>60</v>
      </c>
      <c r="C724" t="s">
        <v>32</v>
      </c>
      <c r="D724" t="s">
        <v>33</v>
      </c>
      <c r="E724" t="s">
        <v>1292</v>
      </c>
      <c r="F724" t="s">
        <v>35</v>
      </c>
      <c r="G724" t="s">
        <v>35</v>
      </c>
      <c r="H724" t="s">
        <v>35</v>
      </c>
      <c r="J724" t="s">
        <v>1330</v>
      </c>
      <c r="K724" t="s">
        <v>1092</v>
      </c>
      <c r="M724">
        <v>5.0999999999999996</v>
      </c>
      <c r="N724">
        <v>63</v>
      </c>
      <c r="O724" t="s">
        <v>61</v>
      </c>
      <c r="Q724" t="s">
        <v>423</v>
      </c>
      <c r="R724" t="s">
        <v>1331</v>
      </c>
      <c r="S724" t="s">
        <v>1332</v>
      </c>
    </row>
    <row r="725" spans="1:19" x14ac:dyDescent="0.25">
      <c r="A725" t="s">
        <v>44</v>
      </c>
      <c r="B725" t="s">
        <v>3</v>
      </c>
      <c r="C725" t="s">
        <v>32</v>
      </c>
      <c r="D725" t="s">
        <v>33</v>
      </c>
      <c r="E725" t="s">
        <v>1292</v>
      </c>
      <c r="F725" t="s">
        <v>35</v>
      </c>
      <c r="G725" t="s">
        <v>35</v>
      </c>
      <c r="H725" t="s">
        <v>35</v>
      </c>
      <c r="J725" t="s">
        <v>1330</v>
      </c>
      <c r="K725" t="s">
        <v>1092</v>
      </c>
      <c r="M725">
        <v>0.5</v>
      </c>
      <c r="N725">
        <v>40</v>
      </c>
      <c r="O725" t="s">
        <v>52</v>
      </c>
      <c r="Q725" t="s">
        <v>130</v>
      </c>
      <c r="R725" t="s">
        <v>1296</v>
      </c>
      <c r="S725" t="s">
        <v>1294</v>
      </c>
    </row>
    <row r="726" spans="1:19" x14ac:dyDescent="0.25">
      <c r="A726" t="s">
        <v>59</v>
      </c>
      <c r="B726" t="s">
        <v>60</v>
      </c>
      <c r="C726" t="s">
        <v>32</v>
      </c>
      <c r="D726" t="s">
        <v>33</v>
      </c>
      <c r="E726" t="s">
        <v>1292</v>
      </c>
      <c r="F726" t="s">
        <v>35</v>
      </c>
      <c r="G726" t="s">
        <v>35</v>
      </c>
      <c r="H726" t="s">
        <v>35</v>
      </c>
      <c r="J726" t="s">
        <v>1334</v>
      </c>
      <c r="K726" t="s">
        <v>1092</v>
      </c>
      <c r="M726">
        <v>2.1</v>
      </c>
      <c r="N726">
        <v>146</v>
      </c>
      <c r="O726" t="s">
        <v>38</v>
      </c>
      <c r="Q726" t="s">
        <v>1335</v>
      </c>
      <c r="R726" t="s">
        <v>1173</v>
      </c>
      <c r="S726" t="s">
        <v>222</v>
      </c>
    </row>
    <row r="727" spans="1:19" x14ac:dyDescent="0.25">
      <c r="A727" t="s">
        <v>59</v>
      </c>
      <c r="B727" t="s">
        <v>31</v>
      </c>
      <c r="C727" t="s">
        <v>32</v>
      </c>
      <c r="D727" t="s">
        <v>33</v>
      </c>
      <c r="E727" t="s">
        <v>1292</v>
      </c>
      <c r="F727" t="s">
        <v>35</v>
      </c>
      <c r="G727" t="s">
        <v>35</v>
      </c>
      <c r="H727" t="s">
        <v>35</v>
      </c>
      <c r="J727" t="s">
        <v>1336</v>
      </c>
      <c r="K727" t="s">
        <v>1092</v>
      </c>
      <c r="M727">
        <v>2.6549999999999998</v>
      </c>
      <c r="N727">
        <v>70</v>
      </c>
      <c r="O727" t="s">
        <v>61</v>
      </c>
      <c r="Q727" t="s">
        <v>126</v>
      </c>
      <c r="R727" t="s">
        <v>85</v>
      </c>
      <c r="S727" t="s">
        <v>86</v>
      </c>
    </row>
    <row r="728" spans="1:19" x14ac:dyDescent="0.25">
      <c r="A728" t="s">
        <v>30</v>
      </c>
      <c r="B728" t="s">
        <v>31</v>
      </c>
      <c r="C728" t="s">
        <v>32</v>
      </c>
      <c r="D728" t="s">
        <v>33</v>
      </c>
      <c r="E728" t="s">
        <v>1292</v>
      </c>
      <c r="F728" t="s">
        <v>35</v>
      </c>
      <c r="G728" t="s">
        <v>35</v>
      </c>
      <c r="H728" t="s">
        <v>35</v>
      </c>
      <c r="J728" t="s">
        <v>1337</v>
      </c>
      <c r="K728" t="s">
        <v>1092</v>
      </c>
      <c r="M728">
        <v>9.99</v>
      </c>
      <c r="N728">
        <v>20</v>
      </c>
      <c r="O728" t="s">
        <v>46</v>
      </c>
      <c r="Q728" t="s">
        <v>1004</v>
      </c>
      <c r="R728" t="s">
        <v>85</v>
      </c>
      <c r="S728" t="s">
        <v>86</v>
      </c>
    </row>
    <row r="729" spans="1:19" x14ac:dyDescent="0.25">
      <c r="A729" t="s">
        <v>30</v>
      </c>
      <c r="B729" t="s">
        <v>31</v>
      </c>
      <c r="C729" t="s">
        <v>32</v>
      </c>
      <c r="D729" t="s">
        <v>33</v>
      </c>
      <c r="E729" t="s">
        <v>1292</v>
      </c>
      <c r="F729" t="s">
        <v>35</v>
      </c>
      <c r="G729" t="s">
        <v>35</v>
      </c>
      <c r="H729" t="s">
        <v>35</v>
      </c>
      <c r="J729" t="s">
        <v>1337</v>
      </c>
      <c r="K729" t="s">
        <v>1092</v>
      </c>
      <c r="M729">
        <v>2.88</v>
      </c>
      <c r="N729">
        <v>76</v>
      </c>
      <c r="O729" t="s">
        <v>61</v>
      </c>
      <c r="Q729" t="s">
        <v>234</v>
      </c>
      <c r="R729" t="s">
        <v>103</v>
      </c>
      <c r="S729" t="s">
        <v>104</v>
      </c>
    </row>
    <row r="730" spans="1:19" x14ac:dyDescent="0.25">
      <c r="A730" t="s">
        <v>44</v>
      </c>
      <c r="B730" t="s">
        <v>51</v>
      </c>
      <c r="C730" t="s">
        <v>32</v>
      </c>
      <c r="D730" t="s">
        <v>33</v>
      </c>
      <c r="E730" t="s">
        <v>1292</v>
      </c>
      <c r="F730" t="s">
        <v>35</v>
      </c>
      <c r="G730" t="s">
        <v>35</v>
      </c>
      <c r="H730" t="s">
        <v>35</v>
      </c>
      <c r="J730" t="s">
        <v>1338</v>
      </c>
      <c r="K730" t="s">
        <v>1092</v>
      </c>
      <c r="M730">
        <v>2.75</v>
      </c>
      <c r="N730">
        <v>62</v>
      </c>
      <c r="O730" t="s">
        <v>61</v>
      </c>
      <c r="Q730" t="s">
        <v>90</v>
      </c>
      <c r="R730" t="s">
        <v>103</v>
      </c>
      <c r="S730" t="s">
        <v>104</v>
      </c>
    </row>
    <row r="731" spans="1:19" x14ac:dyDescent="0.25">
      <c r="A731" t="s">
        <v>44</v>
      </c>
      <c r="B731" t="s">
        <v>3</v>
      </c>
      <c r="C731" t="s">
        <v>32</v>
      </c>
      <c r="D731" t="s">
        <v>33</v>
      </c>
      <c r="E731" t="s">
        <v>1292</v>
      </c>
      <c r="F731" t="s">
        <v>35</v>
      </c>
      <c r="G731" t="s">
        <v>35</v>
      </c>
      <c r="H731" t="s">
        <v>35</v>
      </c>
      <c r="J731" t="s">
        <v>1338</v>
      </c>
      <c r="K731" t="s">
        <v>1092</v>
      </c>
      <c r="M731">
        <v>1.4</v>
      </c>
      <c r="N731">
        <v>40</v>
      </c>
      <c r="O731" t="s">
        <v>52</v>
      </c>
      <c r="Q731" t="s">
        <v>130</v>
      </c>
      <c r="R731" t="s">
        <v>1316</v>
      </c>
      <c r="S731" t="s">
        <v>1317</v>
      </c>
    </row>
    <row r="732" spans="1:19" x14ac:dyDescent="0.25">
      <c r="A732" t="s">
        <v>59</v>
      </c>
      <c r="B732" t="s">
        <v>60</v>
      </c>
      <c r="C732" t="s">
        <v>32</v>
      </c>
      <c r="D732" t="s">
        <v>33</v>
      </c>
      <c r="E732" t="s">
        <v>1292</v>
      </c>
      <c r="F732" t="s">
        <v>35</v>
      </c>
      <c r="G732" t="s">
        <v>35</v>
      </c>
      <c r="H732" t="s">
        <v>35</v>
      </c>
      <c r="J732" t="s">
        <v>1338</v>
      </c>
      <c r="K732" t="s">
        <v>1092</v>
      </c>
      <c r="M732">
        <v>0.2</v>
      </c>
      <c r="N732">
        <v>63</v>
      </c>
      <c r="O732" t="s">
        <v>61</v>
      </c>
      <c r="Q732" t="s">
        <v>423</v>
      </c>
      <c r="R732" t="s">
        <v>103</v>
      </c>
      <c r="S732" t="s">
        <v>104</v>
      </c>
    </row>
    <row r="733" spans="1:19" x14ac:dyDescent="0.25">
      <c r="A733" t="s">
        <v>30</v>
      </c>
      <c r="B733" t="s">
        <v>31</v>
      </c>
      <c r="C733" t="s">
        <v>32</v>
      </c>
      <c r="D733" t="s">
        <v>33</v>
      </c>
      <c r="E733" t="s">
        <v>1292</v>
      </c>
      <c r="F733" t="s">
        <v>35</v>
      </c>
      <c r="G733" t="s">
        <v>35</v>
      </c>
      <c r="H733" t="s">
        <v>35</v>
      </c>
      <c r="J733" t="s">
        <v>1338</v>
      </c>
      <c r="K733" t="s">
        <v>1092</v>
      </c>
      <c r="M733">
        <v>4.9950000000000001</v>
      </c>
      <c r="N733">
        <v>16</v>
      </c>
      <c r="O733" t="s">
        <v>46</v>
      </c>
      <c r="Q733" t="s">
        <v>323</v>
      </c>
      <c r="R733" t="s">
        <v>103</v>
      </c>
      <c r="S733" t="s">
        <v>104</v>
      </c>
    </row>
    <row r="734" spans="1:19" x14ac:dyDescent="0.25">
      <c r="A734" t="s">
        <v>44</v>
      </c>
      <c r="B734" t="s">
        <v>3</v>
      </c>
      <c r="C734" t="s">
        <v>32</v>
      </c>
      <c r="D734" t="s">
        <v>33</v>
      </c>
      <c r="E734" t="s">
        <v>1292</v>
      </c>
      <c r="F734" t="s">
        <v>35</v>
      </c>
      <c r="G734" t="s">
        <v>35</v>
      </c>
      <c r="H734" t="s">
        <v>35</v>
      </c>
      <c r="J734" t="s">
        <v>1338</v>
      </c>
      <c r="K734" t="s">
        <v>1092</v>
      </c>
      <c r="M734">
        <v>1.5</v>
      </c>
      <c r="N734">
        <v>30</v>
      </c>
      <c r="O734" t="s">
        <v>46</v>
      </c>
      <c r="Q734" t="s">
        <v>793</v>
      </c>
      <c r="R734" t="s">
        <v>1316</v>
      </c>
      <c r="S734" t="s">
        <v>1317</v>
      </c>
    </row>
    <row r="735" spans="1:19" x14ac:dyDescent="0.25">
      <c r="A735" t="s">
        <v>44</v>
      </c>
      <c r="B735" t="s">
        <v>3</v>
      </c>
      <c r="C735" t="s">
        <v>32</v>
      </c>
      <c r="D735" t="s">
        <v>33</v>
      </c>
      <c r="E735" t="s">
        <v>1292</v>
      </c>
      <c r="F735" t="s">
        <v>35</v>
      </c>
      <c r="G735" t="s">
        <v>35</v>
      </c>
      <c r="H735" t="s">
        <v>35</v>
      </c>
      <c r="J735" t="s">
        <v>1339</v>
      </c>
      <c r="K735" t="s">
        <v>1092</v>
      </c>
      <c r="M735">
        <v>0.1</v>
      </c>
      <c r="N735">
        <v>46</v>
      </c>
      <c r="O735" t="s">
        <v>52</v>
      </c>
      <c r="Q735" t="s">
        <v>493</v>
      </c>
      <c r="R735" t="s">
        <v>1296</v>
      </c>
      <c r="S735" t="s">
        <v>1294</v>
      </c>
    </row>
    <row r="736" spans="1:19" x14ac:dyDescent="0.25">
      <c r="A736" t="s">
        <v>44</v>
      </c>
      <c r="B736" t="s">
        <v>3</v>
      </c>
      <c r="C736" t="s">
        <v>32</v>
      </c>
      <c r="D736" t="s">
        <v>33</v>
      </c>
      <c r="E736" t="s">
        <v>1292</v>
      </c>
      <c r="F736" t="s">
        <v>35</v>
      </c>
      <c r="G736" t="s">
        <v>35</v>
      </c>
      <c r="H736" t="s">
        <v>35</v>
      </c>
      <c r="J736" t="s">
        <v>1339</v>
      </c>
      <c r="K736" t="s">
        <v>1092</v>
      </c>
      <c r="M736">
        <v>0.25</v>
      </c>
      <c r="N736">
        <v>39</v>
      </c>
      <c r="O736" t="s">
        <v>52</v>
      </c>
      <c r="Q736" t="s">
        <v>816</v>
      </c>
      <c r="R736" t="s">
        <v>1296</v>
      </c>
      <c r="S736" t="s">
        <v>1294</v>
      </c>
    </row>
    <row r="737" spans="1:19" x14ac:dyDescent="0.25">
      <c r="A737" t="s">
        <v>59</v>
      </c>
      <c r="B737" t="s">
        <v>60</v>
      </c>
      <c r="C737" t="s">
        <v>32</v>
      </c>
      <c r="D737" t="s">
        <v>33</v>
      </c>
      <c r="E737" t="s">
        <v>1292</v>
      </c>
      <c r="F737" t="s">
        <v>35</v>
      </c>
      <c r="G737" t="s">
        <v>35</v>
      </c>
      <c r="H737" t="s">
        <v>35</v>
      </c>
      <c r="J737" t="s">
        <v>1340</v>
      </c>
      <c r="K737" t="s">
        <v>1092</v>
      </c>
      <c r="M737">
        <v>3.25</v>
      </c>
      <c r="N737">
        <v>64</v>
      </c>
      <c r="O737" t="s">
        <v>61</v>
      </c>
      <c r="Q737" t="s">
        <v>381</v>
      </c>
      <c r="R737" t="s">
        <v>1341</v>
      </c>
      <c r="S737" t="s">
        <v>1342</v>
      </c>
    </row>
    <row r="738" spans="1:19" x14ac:dyDescent="0.25">
      <c r="A738" t="s">
        <v>30</v>
      </c>
      <c r="B738" t="s">
        <v>31</v>
      </c>
      <c r="C738" t="s">
        <v>32</v>
      </c>
      <c r="D738" t="s">
        <v>33</v>
      </c>
      <c r="E738" t="s">
        <v>1292</v>
      </c>
      <c r="F738" t="s">
        <v>35</v>
      </c>
      <c r="G738" t="s">
        <v>35</v>
      </c>
      <c r="H738" t="s">
        <v>35</v>
      </c>
      <c r="J738" t="s">
        <v>1343</v>
      </c>
      <c r="K738" t="s">
        <v>1092</v>
      </c>
      <c r="M738">
        <v>4.9950000000000001</v>
      </c>
      <c r="N738">
        <v>24</v>
      </c>
      <c r="O738" t="s">
        <v>46</v>
      </c>
      <c r="Q738" t="s">
        <v>255</v>
      </c>
      <c r="R738" t="s">
        <v>199</v>
      </c>
      <c r="S738" t="s">
        <v>200</v>
      </c>
    </row>
    <row r="739" spans="1:19" x14ac:dyDescent="0.25">
      <c r="A739" t="s">
        <v>59</v>
      </c>
      <c r="B739" t="s">
        <v>60</v>
      </c>
      <c r="C739" t="s">
        <v>32</v>
      </c>
      <c r="D739" t="s">
        <v>33</v>
      </c>
      <c r="E739" t="s">
        <v>1292</v>
      </c>
      <c r="F739" t="s">
        <v>35</v>
      </c>
      <c r="G739" t="s">
        <v>35</v>
      </c>
      <c r="H739" t="s">
        <v>35</v>
      </c>
      <c r="J739" t="s">
        <v>1344</v>
      </c>
      <c r="K739" t="s">
        <v>1092</v>
      </c>
      <c r="M739">
        <v>0.75</v>
      </c>
      <c r="N739">
        <v>173</v>
      </c>
      <c r="O739" t="s">
        <v>38</v>
      </c>
      <c r="Q739" t="s">
        <v>1345</v>
      </c>
      <c r="R739" t="s">
        <v>1346</v>
      </c>
      <c r="S739" t="s">
        <v>1347</v>
      </c>
    </row>
    <row r="740" spans="1:19" x14ac:dyDescent="0.25">
      <c r="A740" t="s">
        <v>30</v>
      </c>
      <c r="B740" t="s">
        <v>31</v>
      </c>
      <c r="C740" t="s">
        <v>32</v>
      </c>
      <c r="D740" t="s">
        <v>33</v>
      </c>
      <c r="E740" t="s">
        <v>1292</v>
      </c>
      <c r="F740" t="s">
        <v>35</v>
      </c>
      <c r="G740" t="s">
        <v>35</v>
      </c>
      <c r="H740" t="s">
        <v>35</v>
      </c>
      <c r="J740" t="s">
        <v>1348</v>
      </c>
      <c r="K740" t="s">
        <v>1092</v>
      </c>
      <c r="M740">
        <v>9.5399999999999991</v>
      </c>
      <c r="N740">
        <v>20</v>
      </c>
      <c r="O740" t="s">
        <v>46</v>
      </c>
      <c r="Q740" t="s">
        <v>1004</v>
      </c>
      <c r="R740" t="s">
        <v>85</v>
      </c>
      <c r="S740" t="s">
        <v>86</v>
      </c>
    </row>
    <row r="741" spans="1:19" x14ac:dyDescent="0.25">
      <c r="A741" t="s">
        <v>59</v>
      </c>
      <c r="B741" t="s">
        <v>31</v>
      </c>
      <c r="C741" t="s">
        <v>32</v>
      </c>
      <c r="D741" t="s">
        <v>33</v>
      </c>
      <c r="E741" t="s">
        <v>1292</v>
      </c>
      <c r="F741" t="s">
        <v>35</v>
      </c>
      <c r="G741" t="s">
        <v>35</v>
      </c>
      <c r="H741" t="s">
        <v>35</v>
      </c>
      <c r="J741" t="s">
        <v>1348</v>
      </c>
      <c r="K741" t="s">
        <v>1092</v>
      </c>
      <c r="M741">
        <v>5.49</v>
      </c>
      <c r="N741">
        <v>62</v>
      </c>
      <c r="O741" t="s">
        <v>61</v>
      </c>
      <c r="Q741" t="s">
        <v>90</v>
      </c>
      <c r="R741" t="s">
        <v>85</v>
      </c>
      <c r="S741" t="s">
        <v>86</v>
      </c>
    </row>
    <row r="742" spans="1:19" x14ac:dyDescent="0.25">
      <c r="A742" t="s">
        <v>59</v>
      </c>
      <c r="B742" t="s">
        <v>60</v>
      </c>
      <c r="C742" t="s">
        <v>32</v>
      </c>
      <c r="D742" t="s">
        <v>33</v>
      </c>
      <c r="E742" t="s">
        <v>1292</v>
      </c>
      <c r="F742" t="s">
        <v>35</v>
      </c>
      <c r="G742" t="s">
        <v>35</v>
      </c>
      <c r="H742" t="s">
        <v>35</v>
      </c>
      <c r="J742" t="s">
        <v>1348</v>
      </c>
      <c r="K742" t="s">
        <v>1092</v>
      </c>
      <c r="M742">
        <v>4.25</v>
      </c>
      <c r="N742">
        <v>93</v>
      </c>
      <c r="O742" t="s">
        <v>106</v>
      </c>
      <c r="Q742" t="s">
        <v>941</v>
      </c>
      <c r="R742" t="s">
        <v>85</v>
      </c>
      <c r="S742" t="s">
        <v>86</v>
      </c>
    </row>
    <row r="743" spans="1:19" x14ac:dyDescent="0.25">
      <c r="A743" t="s">
        <v>59</v>
      </c>
      <c r="B743" t="s">
        <v>31</v>
      </c>
      <c r="C743" t="s">
        <v>32</v>
      </c>
      <c r="D743" t="s">
        <v>33</v>
      </c>
      <c r="E743" t="s">
        <v>1292</v>
      </c>
      <c r="F743" t="s">
        <v>35</v>
      </c>
      <c r="G743" t="s">
        <v>35</v>
      </c>
      <c r="H743" t="s">
        <v>35</v>
      </c>
      <c r="J743" t="s">
        <v>1349</v>
      </c>
      <c r="K743" t="s">
        <v>1092</v>
      </c>
      <c r="M743">
        <v>0.36</v>
      </c>
      <c r="N743">
        <v>435</v>
      </c>
      <c r="O743" t="s">
        <v>294</v>
      </c>
      <c r="Q743" t="s">
        <v>1350</v>
      </c>
      <c r="R743" t="s">
        <v>1316</v>
      </c>
      <c r="S743" t="s">
        <v>1317</v>
      </c>
    </row>
    <row r="744" spans="1:19" x14ac:dyDescent="0.25">
      <c r="A744" t="s">
        <v>44</v>
      </c>
      <c r="B744" t="s">
        <v>3</v>
      </c>
      <c r="C744" t="s">
        <v>32</v>
      </c>
      <c r="D744" t="s">
        <v>33</v>
      </c>
      <c r="E744" t="s">
        <v>1292</v>
      </c>
      <c r="F744" t="s">
        <v>35</v>
      </c>
      <c r="G744" t="s">
        <v>35</v>
      </c>
      <c r="H744" t="s">
        <v>35</v>
      </c>
      <c r="J744" t="s">
        <v>1351</v>
      </c>
      <c r="K744" t="s">
        <v>1092</v>
      </c>
      <c r="M744">
        <v>0.75</v>
      </c>
      <c r="N744">
        <v>26</v>
      </c>
      <c r="O744" t="s">
        <v>46</v>
      </c>
      <c r="Q744" t="s">
        <v>94</v>
      </c>
      <c r="R744" t="s">
        <v>1352</v>
      </c>
      <c r="S744" t="s">
        <v>141</v>
      </c>
    </row>
    <row r="745" spans="1:19" x14ac:dyDescent="0.25">
      <c r="A745" t="s">
        <v>44</v>
      </c>
      <c r="B745" t="s">
        <v>3</v>
      </c>
      <c r="C745" t="s">
        <v>32</v>
      </c>
      <c r="D745" t="s">
        <v>33</v>
      </c>
      <c r="E745" t="s">
        <v>1292</v>
      </c>
      <c r="F745" t="s">
        <v>35</v>
      </c>
      <c r="G745" t="s">
        <v>35</v>
      </c>
      <c r="H745" t="s">
        <v>35</v>
      </c>
      <c r="J745" t="s">
        <v>1353</v>
      </c>
      <c r="K745" t="s">
        <v>1092</v>
      </c>
      <c r="M745">
        <v>0.5</v>
      </c>
      <c r="N745">
        <v>56</v>
      </c>
      <c r="O745" t="s">
        <v>52</v>
      </c>
      <c r="Q745" t="s">
        <v>453</v>
      </c>
      <c r="R745" t="s">
        <v>1296</v>
      </c>
      <c r="S745" t="s">
        <v>1294</v>
      </c>
    </row>
    <row r="746" spans="1:19" x14ac:dyDescent="0.25">
      <c r="A746" t="s">
        <v>59</v>
      </c>
      <c r="B746" t="s">
        <v>60</v>
      </c>
      <c r="C746" t="s">
        <v>32</v>
      </c>
      <c r="D746" t="s">
        <v>33</v>
      </c>
      <c r="E746" t="s">
        <v>1292</v>
      </c>
      <c r="F746" t="s">
        <v>35</v>
      </c>
      <c r="G746" t="s">
        <v>35</v>
      </c>
      <c r="H746" t="s">
        <v>35</v>
      </c>
      <c r="J746" t="s">
        <v>1354</v>
      </c>
      <c r="K746" t="s">
        <v>1092</v>
      </c>
      <c r="M746">
        <v>0.6</v>
      </c>
      <c r="N746">
        <v>458</v>
      </c>
      <c r="O746" t="s">
        <v>294</v>
      </c>
      <c r="Q746" t="s">
        <v>1355</v>
      </c>
      <c r="R746" t="s">
        <v>1331</v>
      </c>
      <c r="S746" t="s">
        <v>1332</v>
      </c>
    </row>
    <row r="747" spans="1:19" x14ac:dyDescent="0.25">
      <c r="A747" t="s">
        <v>59</v>
      </c>
      <c r="B747" t="s">
        <v>31</v>
      </c>
      <c r="C747" t="s">
        <v>32</v>
      </c>
      <c r="D747" t="s">
        <v>33</v>
      </c>
      <c r="E747" t="s">
        <v>1292</v>
      </c>
      <c r="F747" t="s">
        <v>35</v>
      </c>
      <c r="G747" t="s">
        <v>35</v>
      </c>
      <c r="H747" t="s">
        <v>35</v>
      </c>
      <c r="J747" t="s">
        <v>1357</v>
      </c>
      <c r="K747" t="s">
        <v>1092</v>
      </c>
      <c r="M747">
        <v>4.9950000000000001</v>
      </c>
      <c r="N747">
        <v>63</v>
      </c>
      <c r="O747" t="s">
        <v>61</v>
      </c>
      <c r="Q747" t="s">
        <v>423</v>
      </c>
      <c r="R747" t="s">
        <v>1331</v>
      </c>
      <c r="S747" t="s">
        <v>1332</v>
      </c>
    </row>
    <row r="748" spans="1:19" x14ac:dyDescent="0.25">
      <c r="A748" t="s">
        <v>59</v>
      </c>
      <c r="B748" t="s">
        <v>60</v>
      </c>
      <c r="C748" t="s">
        <v>32</v>
      </c>
      <c r="D748" t="s">
        <v>33</v>
      </c>
      <c r="E748" t="s">
        <v>1292</v>
      </c>
      <c r="F748" t="s">
        <v>35</v>
      </c>
      <c r="G748" t="s">
        <v>35</v>
      </c>
      <c r="H748" t="s">
        <v>35</v>
      </c>
      <c r="J748" t="s">
        <v>1357</v>
      </c>
      <c r="K748" t="s">
        <v>1092</v>
      </c>
      <c r="M748">
        <v>4</v>
      </c>
      <c r="N748">
        <v>63</v>
      </c>
      <c r="O748" t="s">
        <v>61</v>
      </c>
      <c r="Q748" t="s">
        <v>423</v>
      </c>
      <c r="R748" t="s">
        <v>1331</v>
      </c>
      <c r="S748" t="s">
        <v>1332</v>
      </c>
    </row>
    <row r="749" spans="1:19" x14ac:dyDescent="0.25">
      <c r="A749" t="s">
        <v>30</v>
      </c>
      <c r="B749" t="s">
        <v>31</v>
      </c>
      <c r="C749" t="s">
        <v>32</v>
      </c>
      <c r="D749" t="s">
        <v>33</v>
      </c>
      <c r="E749" t="s">
        <v>1292</v>
      </c>
      <c r="F749" t="s">
        <v>35</v>
      </c>
      <c r="G749" t="s">
        <v>35</v>
      </c>
      <c r="H749" t="s">
        <v>35</v>
      </c>
      <c r="J749" t="s">
        <v>1358</v>
      </c>
      <c r="K749" t="s">
        <v>1092</v>
      </c>
      <c r="M749">
        <v>9.18</v>
      </c>
      <c r="N749">
        <v>17</v>
      </c>
      <c r="O749" t="s">
        <v>46</v>
      </c>
      <c r="Q749" t="s">
        <v>1302</v>
      </c>
      <c r="R749" t="s">
        <v>85</v>
      </c>
      <c r="S749" t="s">
        <v>86</v>
      </c>
    </row>
    <row r="750" spans="1:19" x14ac:dyDescent="0.25">
      <c r="A750" t="s">
        <v>59</v>
      </c>
      <c r="B750" t="s">
        <v>60</v>
      </c>
      <c r="C750" t="s">
        <v>32</v>
      </c>
      <c r="D750" t="s">
        <v>33</v>
      </c>
      <c r="E750" t="s">
        <v>1292</v>
      </c>
      <c r="F750" t="s">
        <v>35</v>
      </c>
      <c r="G750" t="s">
        <v>35</v>
      </c>
      <c r="H750" t="s">
        <v>35</v>
      </c>
      <c r="J750" t="s">
        <v>1359</v>
      </c>
      <c r="K750" t="s">
        <v>1092</v>
      </c>
      <c r="M750">
        <v>0.85</v>
      </c>
      <c r="N750">
        <v>309</v>
      </c>
      <c r="O750" t="s">
        <v>5</v>
      </c>
      <c r="Q750" t="s">
        <v>1360</v>
      </c>
      <c r="R750" t="s">
        <v>1341</v>
      </c>
      <c r="S750" t="s">
        <v>1342</v>
      </c>
    </row>
    <row r="751" spans="1:19" x14ac:dyDescent="0.25">
      <c r="A751" t="s">
        <v>59</v>
      </c>
      <c r="B751" t="s">
        <v>60</v>
      </c>
      <c r="C751" t="s">
        <v>32</v>
      </c>
      <c r="D751" t="s">
        <v>33</v>
      </c>
      <c r="E751" t="s">
        <v>1292</v>
      </c>
      <c r="F751" t="s">
        <v>35</v>
      </c>
      <c r="G751" t="s">
        <v>35</v>
      </c>
      <c r="H751" t="s">
        <v>35</v>
      </c>
      <c r="J751" t="s">
        <v>1359</v>
      </c>
      <c r="K751" t="s">
        <v>1092</v>
      </c>
      <c r="M751">
        <v>5</v>
      </c>
      <c r="N751">
        <v>65</v>
      </c>
      <c r="O751" t="s">
        <v>61</v>
      </c>
      <c r="Q751" t="s">
        <v>128</v>
      </c>
      <c r="R751" t="s">
        <v>199</v>
      </c>
      <c r="S751" t="s">
        <v>200</v>
      </c>
    </row>
    <row r="752" spans="1:19" x14ac:dyDescent="0.25">
      <c r="A752" t="s">
        <v>59</v>
      </c>
      <c r="B752" t="s">
        <v>31</v>
      </c>
      <c r="C752" t="s">
        <v>32</v>
      </c>
      <c r="D752" t="s">
        <v>33</v>
      </c>
      <c r="E752" t="s">
        <v>1292</v>
      </c>
      <c r="F752" t="s">
        <v>35</v>
      </c>
      <c r="G752" t="s">
        <v>35</v>
      </c>
      <c r="H752" t="s">
        <v>35</v>
      </c>
      <c r="J752" t="s">
        <v>1361</v>
      </c>
      <c r="K752" t="s">
        <v>1092</v>
      </c>
      <c r="M752">
        <v>0.9</v>
      </c>
      <c r="N752">
        <v>62</v>
      </c>
      <c r="O752" t="s">
        <v>61</v>
      </c>
      <c r="Q752" t="s">
        <v>90</v>
      </c>
      <c r="R752" t="s">
        <v>85</v>
      </c>
      <c r="S752" t="s">
        <v>86</v>
      </c>
    </row>
    <row r="753" spans="1:19" x14ac:dyDescent="0.25">
      <c r="A753" t="s">
        <v>59</v>
      </c>
      <c r="B753" t="s">
        <v>60</v>
      </c>
      <c r="C753" t="s">
        <v>32</v>
      </c>
      <c r="D753" t="s">
        <v>33</v>
      </c>
      <c r="E753" t="s">
        <v>1292</v>
      </c>
      <c r="F753" t="s">
        <v>35</v>
      </c>
      <c r="G753" t="s">
        <v>35</v>
      </c>
      <c r="H753" t="s">
        <v>35</v>
      </c>
      <c r="J753" t="s">
        <v>1361</v>
      </c>
      <c r="K753" t="s">
        <v>1092</v>
      </c>
      <c r="M753">
        <v>0.85</v>
      </c>
      <c r="N753">
        <v>93</v>
      </c>
      <c r="O753" t="s">
        <v>106</v>
      </c>
      <c r="Q753" t="s">
        <v>941</v>
      </c>
      <c r="R753" t="s">
        <v>85</v>
      </c>
      <c r="S753" t="s">
        <v>86</v>
      </c>
    </row>
    <row r="754" spans="1:19" x14ac:dyDescent="0.25">
      <c r="A754" t="s">
        <v>30</v>
      </c>
      <c r="B754" t="s">
        <v>31</v>
      </c>
      <c r="C754" t="s">
        <v>32</v>
      </c>
      <c r="D754" t="s">
        <v>33</v>
      </c>
      <c r="E754" t="s">
        <v>1292</v>
      </c>
      <c r="F754" t="s">
        <v>35</v>
      </c>
      <c r="G754" t="s">
        <v>35</v>
      </c>
      <c r="H754" t="s">
        <v>35</v>
      </c>
      <c r="J754" t="s">
        <v>1361</v>
      </c>
      <c r="K754" t="s">
        <v>1092</v>
      </c>
      <c r="M754">
        <v>9.7650000000000006</v>
      </c>
      <c r="N754">
        <v>20</v>
      </c>
      <c r="O754" t="s">
        <v>46</v>
      </c>
      <c r="Q754" t="s">
        <v>1004</v>
      </c>
      <c r="R754" t="s">
        <v>85</v>
      </c>
      <c r="S754" t="s">
        <v>86</v>
      </c>
    </row>
    <row r="755" spans="1:19" x14ac:dyDescent="0.25">
      <c r="A755" t="s">
        <v>44</v>
      </c>
      <c r="B755" t="s">
        <v>3</v>
      </c>
      <c r="C755" t="s">
        <v>32</v>
      </c>
      <c r="D755" t="s">
        <v>33</v>
      </c>
      <c r="E755" t="s">
        <v>1292</v>
      </c>
      <c r="F755" t="s">
        <v>35</v>
      </c>
      <c r="G755" t="s">
        <v>35</v>
      </c>
      <c r="H755" t="s">
        <v>35</v>
      </c>
      <c r="J755" t="s">
        <v>1361</v>
      </c>
      <c r="K755" t="s">
        <v>1092</v>
      </c>
      <c r="M755">
        <v>1.8</v>
      </c>
      <c r="N755">
        <v>59</v>
      </c>
      <c r="O755" t="s">
        <v>52</v>
      </c>
      <c r="Q755" t="s">
        <v>84</v>
      </c>
      <c r="R755" t="s">
        <v>85</v>
      </c>
      <c r="S755" t="s">
        <v>86</v>
      </c>
    </row>
    <row r="756" spans="1:19" x14ac:dyDescent="0.25">
      <c r="A756" t="s">
        <v>59</v>
      </c>
      <c r="B756" t="s">
        <v>31</v>
      </c>
      <c r="C756" t="s">
        <v>32</v>
      </c>
      <c r="D756" t="s">
        <v>33</v>
      </c>
      <c r="E756" t="s">
        <v>1292</v>
      </c>
      <c r="F756" t="s">
        <v>35</v>
      </c>
      <c r="G756" t="s">
        <v>35</v>
      </c>
      <c r="H756" t="s">
        <v>35</v>
      </c>
      <c r="J756" t="s">
        <v>1362</v>
      </c>
      <c r="K756" t="s">
        <v>1092</v>
      </c>
      <c r="M756">
        <v>0.18</v>
      </c>
      <c r="N756">
        <v>186</v>
      </c>
      <c r="O756" t="s">
        <v>5</v>
      </c>
      <c r="Q756" t="s">
        <v>1363</v>
      </c>
      <c r="R756" t="s">
        <v>1173</v>
      </c>
      <c r="S756" t="s">
        <v>222</v>
      </c>
    </row>
    <row r="757" spans="1:19" x14ac:dyDescent="0.25">
      <c r="A757" t="s">
        <v>59</v>
      </c>
      <c r="B757" t="s">
        <v>31</v>
      </c>
      <c r="C757" t="s">
        <v>32</v>
      </c>
      <c r="D757" t="s">
        <v>33</v>
      </c>
      <c r="E757" t="s">
        <v>1292</v>
      </c>
      <c r="F757" t="s">
        <v>35</v>
      </c>
      <c r="G757" t="s">
        <v>35</v>
      </c>
      <c r="H757" t="s">
        <v>35</v>
      </c>
      <c r="J757" t="s">
        <v>1364</v>
      </c>
      <c r="K757" t="s">
        <v>1092</v>
      </c>
      <c r="M757">
        <v>5.4450000000000003</v>
      </c>
      <c r="N757">
        <v>70</v>
      </c>
      <c r="O757" t="s">
        <v>61</v>
      </c>
      <c r="Q757" t="s">
        <v>126</v>
      </c>
      <c r="R757" t="s">
        <v>85</v>
      </c>
      <c r="S757" t="s">
        <v>86</v>
      </c>
    </row>
    <row r="758" spans="1:19" x14ac:dyDescent="0.25">
      <c r="A758" t="s">
        <v>30</v>
      </c>
      <c r="B758" t="s">
        <v>31</v>
      </c>
      <c r="C758" t="s">
        <v>32</v>
      </c>
      <c r="D758" t="s">
        <v>33</v>
      </c>
      <c r="E758" t="s">
        <v>1292</v>
      </c>
      <c r="F758" t="s">
        <v>35</v>
      </c>
      <c r="G758" t="s">
        <v>35</v>
      </c>
      <c r="H758" t="s">
        <v>35</v>
      </c>
      <c r="J758" t="s">
        <v>1364</v>
      </c>
      <c r="K758" t="s">
        <v>1092</v>
      </c>
      <c r="M758">
        <v>2.6549999999999998</v>
      </c>
      <c r="N758">
        <v>45</v>
      </c>
      <c r="O758" t="s">
        <v>52</v>
      </c>
      <c r="Q758" t="s">
        <v>716</v>
      </c>
      <c r="R758" t="s">
        <v>85</v>
      </c>
      <c r="S758" t="s">
        <v>86</v>
      </c>
    </row>
    <row r="759" spans="1:19" x14ac:dyDescent="0.25">
      <c r="A759" t="s">
        <v>59</v>
      </c>
      <c r="B759" t="s">
        <v>60</v>
      </c>
      <c r="C759" t="s">
        <v>32</v>
      </c>
      <c r="D759" t="s">
        <v>33</v>
      </c>
      <c r="E759" t="s">
        <v>1292</v>
      </c>
      <c r="F759" t="s">
        <v>35</v>
      </c>
      <c r="G759" t="s">
        <v>35</v>
      </c>
      <c r="H759" t="s">
        <v>35</v>
      </c>
      <c r="J759" t="s">
        <v>1365</v>
      </c>
      <c r="K759" t="s">
        <v>1092</v>
      </c>
      <c r="M759">
        <v>4.6500000000000004</v>
      </c>
      <c r="N759">
        <v>62</v>
      </c>
      <c r="O759" t="s">
        <v>61</v>
      </c>
      <c r="Q759" t="s">
        <v>90</v>
      </c>
      <c r="R759" t="s">
        <v>85</v>
      </c>
      <c r="S759" t="s">
        <v>86</v>
      </c>
    </row>
    <row r="760" spans="1:19" x14ac:dyDescent="0.25">
      <c r="A760" t="s">
        <v>44</v>
      </c>
      <c r="B760" t="s">
        <v>3</v>
      </c>
      <c r="C760" t="s">
        <v>32</v>
      </c>
      <c r="D760" t="s">
        <v>33</v>
      </c>
      <c r="E760" t="s">
        <v>1292</v>
      </c>
      <c r="F760" t="s">
        <v>35</v>
      </c>
      <c r="G760" t="s">
        <v>35</v>
      </c>
      <c r="H760" t="s">
        <v>35</v>
      </c>
      <c r="J760" t="s">
        <v>1366</v>
      </c>
      <c r="K760" t="s">
        <v>1092</v>
      </c>
      <c r="M760">
        <v>0.25</v>
      </c>
      <c r="N760">
        <v>47</v>
      </c>
      <c r="O760" t="s">
        <v>52</v>
      </c>
      <c r="Q760" t="s">
        <v>132</v>
      </c>
      <c r="R760" t="s">
        <v>1296</v>
      </c>
      <c r="S760" t="s">
        <v>1294</v>
      </c>
    </row>
    <row r="761" spans="1:19" x14ac:dyDescent="0.25">
      <c r="A761" t="s">
        <v>59</v>
      </c>
      <c r="B761" t="s">
        <v>60</v>
      </c>
      <c r="C761" t="s">
        <v>32</v>
      </c>
      <c r="D761" t="s">
        <v>33</v>
      </c>
      <c r="E761" t="s">
        <v>1292</v>
      </c>
      <c r="F761" t="s">
        <v>35</v>
      </c>
      <c r="G761" t="s">
        <v>35</v>
      </c>
      <c r="H761" t="s">
        <v>35</v>
      </c>
      <c r="J761" t="s">
        <v>1367</v>
      </c>
      <c r="K761" t="s">
        <v>1092</v>
      </c>
      <c r="M761">
        <v>0.2</v>
      </c>
      <c r="N761">
        <v>173</v>
      </c>
      <c r="O761" t="s">
        <v>38</v>
      </c>
      <c r="Q761" t="s">
        <v>1345</v>
      </c>
      <c r="R761" t="s">
        <v>1346</v>
      </c>
      <c r="S761" t="s">
        <v>1347</v>
      </c>
    </row>
    <row r="762" spans="1:19" x14ac:dyDescent="0.25">
      <c r="A762" t="s">
        <v>30</v>
      </c>
      <c r="B762" t="s">
        <v>31</v>
      </c>
      <c r="C762" t="s">
        <v>32</v>
      </c>
      <c r="D762" t="s">
        <v>33</v>
      </c>
      <c r="E762" t="s">
        <v>1292</v>
      </c>
      <c r="F762" t="s">
        <v>35</v>
      </c>
      <c r="G762" t="s">
        <v>35</v>
      </c>
      <c r="H762" t="s">
        <v>35</v>
      </c>
      <c r="J762" t="s">
        <v>1368</v>
      </c>
      <c r="K762" t="s">
        <v>1092</v>
      </c>
      <c r="M762">
        <v>0.81</v>
      </c>
      <c r="N762">
        <v>402</v>
      </c>
      <c r="O762" t="s">
        <v>294</v>
      </c>
      <c r="Q762" t="s">
        <v>1369</v>
      </c>
      <c r="R762" t="s">
        <v>103</v>
      </c>
      <c r="S762" t="s">
        <v>104</v>
      </c>
    </row>
    <row r="763" spans="1:19" x14ac:dyDescent="0.25">
      <c r="A763" t="s">
        <v>44</v>
      </c>
      <c r="B763" t="s">
        <v>3</v>
      </c>
      <c r="C763" t="s">
        <v>32</v>
      </c>
      <c r="D763" t="s">
        <v>33</v>
      </c>
      <c r="E763" t="s">
        <v>1292</v>
      </c>
      <c r="F763" t="s">
        <v>35</v>
      </c>
      <c r="G763" t="s">
        <v>35</v>
      </c>
      <c r="H763" t="s">
        <v>35</v>
      </c>
      <c r="J763" t="s">
        <v>1368</v>
      </c>
      <c r="K763" t="s">
        <v>1092</v>
      </c>
      <c r="M763">
        <v>0.5</v>
      </c>
      <c r="N763">
        <v>434</v>
      </c>
      <c r="O763" t="s">
        <v>294</v>
      </c>
      <c r="Q763" t="s">
        <v>1370</v>
      </c>
      <c r="R763" t="s">
        <v>103</v>
      </c>
      <c r="S763" t="s">
        <v>104</v>
      </c>
    </row>
    <row r="764" spans="1:19" x14ac:dyDescent="0.25">
      <c r="A764" t="s">
        <v>59</v>
      </c>
      <c r="B764" t="s">
        <v>60</v>
      </c>
      <c r="C764" t="s">
        <v>32</v>
      </c>
      <c r="D764" t="s">
        <v>33</v>
      </c>
      <c r="E764" t="s">
        <v>1292</v>
      </c>
      <c r="F764" t="s">
        <v>35</v>
      </c>
      <c r="G764" t="s">
        <v>35</v>
      </c>
      <c r="H764" t="s">
        <v>35</v>
      </c>
      <c r="J764" t="s">
        <v>1371</v>
      </c>
      <c r="K764" t="s">
        <v>1092</v>
      </c>
      <c r="M764">
        <v>5.48</v>
      </c>
      <c r="N764">
        <v>1492</v>
      </c>
      <c r="O764" t="s">
        <v>575</v>
      </c>
      <c r="Q764" t="s">
        <v>1372</v>
      </c>
      <c r="R764" t="s">
        <v>199</v>
      </c>
      <c r="S764" t="s">
        <v>200</v>
      </c>
    </row>
    <row r="765" spans="1:19" x14ac:dyDescent="0.25">
      <c r="A765" t="s">
        <v>30</v>
      </c>
      <c r="B765" t="s">
        <v>31</v>
      </c>
      <c r="C765" t="s">
        <v>32</v>
      </c>
      <c r="D765" t="s">
        <v>33</v>
      </c>
      <c r="E765" t="s">
        <v>1292</v>
      </c>
      <c r="F765" t="s">
        <v>35</v>
      </c>
      <c r="G765" t="s">
        <v>35</v>
      </c>
      <c r="H765" t="s">
        <v>35</v>
      </c>
      <c r="J765" t="s">
        <v>1373</v>
      </c>
      <c r="K765" t="s">
        <v>1092</v>
      </c>
      <c r="M765">
        <v>5.9850000000000003</v>
      </c>
      <c r="N765">
        <v>19</v>
      </c>
      <c r="O765" t="s">
        <v>46</v>
      </c>
      <c r="Q765" t="s">
        <v>1192</v>
      </c>
      <c r="R765" t="s">
        <v>169</v>
      </c>
      <c r="S765" t="s">
        <v>123</v>
      </c>
    </row>
    <row r="766" spans="1:19" x14ac:dyDescent="0.25">
      <c r="A766" t="s">
        <v>44</v>
      </c>
      <c r="B766" t="s">
        <v>3</v>
      </c>
      <c r="C766" t="s">
        <v>32</v>
      </c>
      <c r="D766" t="s">
        <v>33</v>
      </c>
      <c r="E766" t="s">
        <v>1292</v>
      </c>
      <c r="F766" t="s">
        <v>35</v>
      </c>
      <c r="G766" t="s">
        <v>35</v>
      </c>
      <c r="H766" t="s">
        <v>35</v>
      </c>
      <c r="J766" t="s">
        <v>1374</v>
      </c>
      <c r="K766" t="s">
        <v>1092</v>
      </c>
      <c r="M766">
        <v>1.7000000000000001E-2</v>
      </c>
      <c r="N766">
        <v>351</v>
      </c>
      <c r="O766" t="s">
        <v>5</v>
      </c>
      <c r="Q766" t="s">
        <v>1375</v>
      </c>
      <c r="R766" t="s">
        <v>1376</v>
      </c>
      <c r="S766" t="s">
        <v>154</v>
      </c>
    </row>
    <row r="767" spans="1:19" x14ac:dyDescent="0.25">
      <c r="A767" t="s">
        <v>59</v>
      </c>
      <c r="B767" t="s">
        <v>31</v>
      </c>
      <c r="C767" t="s">
        <v>32</v>
      </c>
      <c r="D767" t="s">
        <v>33</v>
      </c>
      <c r="E767" t="s">
        <v>1292</v>
      </c>
      <c r="F767" t="s">
        <v>35</v>
      </c>
      <c r="G767" t="s">
        <v>35</v>
      </c>
      <c r="H767" t="s">
        <v>35</v>
      </c>
      <c r="J767" t="s">
        <v>1377</v>
      </c>
      <c r="K767" t="s">
        <v>1092</v>
      </c>
      <c r="M767">
        <v>1.35</v>
      </c>
      <c r="N767">
        <v>207</v>
      </c>
      <c r="O767" t="s">
        <v>5</v>
      </c>
      <c r="Q767" t="s">
        <v>1315</v>
      </c>
      <c r="R767" t="s">
        <v>1316</v>
      </c>
      <c r="S767" t="s">
        <v>1317</v>
      </c>
    </row>
    <row r="768" spans="1:19" x14ac:dyDescent="0.25">
      <c r="A768" t="s">
        <v>30</v>
      </c>
      <c r="B768" t="s">
        <v>31</v>
      </c>
      <c r="C768" t="s">
        <v>32</v>
      </c>
      <c r="D768" t="s">
        <v>33</v>
      </c>
      <c r="E768" t="s">
        <v>1292</v>
      </c>
      <c r="F768" t="s">
        <v>35</v>
      </c>
      <c r="G768" t="s">
        <v>35</v>
      </c>
      <c r="H768" t="s">
        <v>35</v>
      </c>
      <c r="J768" t="s">
        <v>1377</v>
      </c>
      <c r="K768" t="s">
        <v>1092</v>
      </c>
      <c r="M768">
        <v>5.2649999999999997</v>
      </c>
      <c r="N768">
        <v>43</v>
      </c>
      <c r="O768" t="s">
        <v>52</v>
      </c>
      <c r="Q768" t="s">
        <v>892</v>
      </c>
      <c r="R768" t="s">
        <v>103</v>
      </c>
      <c r="S768" t="s">
        <v>104</v>
      </c>
    </row>
    <row r="769" spans="1:19" x14ac:dyDescent="0.25">
      <c r="A769" t="s">
        <v>59</v>
      </c>
      <c r="B769" t="s">
        <v>60</v>
      </c>
      <c r="C769" t="s">
        <v>32</v>
      </c>
      <c r="D769" t="s">
        <v>33</v>
      </c>
      <c r="E769" t="s">
        <v>1292</v>
      </c>
      <c r="F769" t="s">
        <v>35</v>
      </c>
      <c r="G769" t="s">
        <v>35</v>
      </c>
      <c r="H769" t="s">
        <v>35</v>
      </c>
      <c r="J769" t="s">
        <v>1377</v>
      </c>
      <c r="K769" t="s">
        <v>1092</v>
      </c>
      <c r="M769">
        <v>1</v>
      </c>
      <c r="N769">
        <v>248</v>
      </c>
      <c r="O769" t="s">
        <v>5</v>
      </c>
      <c r="Q769" t="s">
        <v>1154</v>
      </c>
      <c r="R769" t="s">
        <v>1316</v>
      </c>
      <c r="S769" t="s">
        <v>1317</v>
      </c>
    </row>
    <row r="770" spans="1:19" x14ac:dyDescent="0.25">
      <c r="A770" t="s">
        <v>44</v>
      </c>
      <c r="B770" t="s">
        <v>3</v>
      </c>
      <c r="C770" t="s">
        <v>32</v>
      </c>
      <c r="D770" t="s">
        <v>33</v>
      </c>
      <c r="E770" t="s">
        <v>1292</v>
      </c>
      <c r="F770" t="s">
        <v>35</v>
      </c>
      <c r="G770" t="s">
        <v>35</v>
      </c>
      <c r="H770" t="s">
        <v>35</v>
      </c>
      <c r="J770" t="s">
        <v>1378</v>
      </c>
      <c r="K770" t="s">
        <v>1092</v>
      </c>
      <c r="M770">
        <v>0.25</v>
      </c>
      <c r="N770">
        <v>48</v>
      </c>
      <c r="O770" t="s">
        <v>52</v>
      </c>
      <c r="Q770" t="s">
        <v>496</v>
      </c>
      <c r="R770" t="s">
        <v>1296</v>
      </c>
      <c r="S770" t="s">
        <v>1294</v>
      </c>
    </row>
    <row r="771" spans="1:19" x14ac:dyDescent="0.25">
      <c r="A771" t="s">
        <v>59</v>
      </c>
      <c r="B771" t="s">
        <v>60</v>
      </c>
      <c r="C771" t="s">
        <v>32</v>
      </c>
      <c r="D771" t="s">
        <v>33</v>
      </c>
      <c r="E771" t="s">
        <v>1292</v>
      </c>
      <c r="F771" t="s">
        <v>35</v>
      </c>
      <c r="G771" t="s">
        <v>35</v>
      </c>
      <c r="H771" t="s">
        <v>35</v>
      </c>
      <c r="J771" t="s">
        <v>1379</v>
      </c>
      <c r="K771" t="s">
        <v>1092</v>
      </c>
      <c r="M771">
        <v>0.25</v>
      </c>
      <c r="N771">
        <v>247</v>
      </c>
      <c r="O771" t="s">
        <v>5</v>
      </c>
      <c r="Q771" t="s">
        <v>574</v>
      </c>
      <c r="R771" t="s">
        <v>1316</v>
      </c>
      <c r="S771" t="s">
        <v>1317</v>
      </c>
    </row>
    <row r="772" spans="1:19" x14ac:dyDescent="0.25">
      <c r="A772" t="s">
        <v>59</v>
      </c>
      <c r="B772" t="s">
        <v>60</v>
      </c>
      <c r="C772" t="s">
        <v>32</v>
      </c>
      <c r="D772" t="s">
        <v>33</v>
      </c>
      <c r="E772" t="s">
        <v>1292</v>
      </c>
      <c r="F772" t="s">
        <v>35</v>
      </c>
      <c r="G772" t="s">
        <v>35</v>
      </c>
      <c r="H772" t="s">
        <v>35</v>
      </c>
      <c r="J772" t="s">
        <v>1380</v>
      </c>
      <c r="K772" t="s">
        <v>1092</v>
      </c>
      <c r="M772">
        <v>3.6</v>
      </c>
      <c r="N772">
        <v>63</v>
      </c>
      <c r="O772" t="s">
        <v>61</v>
      </c>
      <c r="Q772" t="s">
        <v>423</v>
      </c>
      <c r="R772" t="s">
        <v>103</v>
      </c>
      <c r="S772" t="s">
        <v>104</v>
      </c>
    </row>
    <row r="773" spans="1:19" x14ac:dyDescent="0.25">
      <c r="A773" t="s">
        <v>59</v>
      </c>
      <c r="B773" t="s">
        <v>31</v>
      </c>
      <c r="C773" t="s">
        <v>32</v>
      </c>
      <c r="D773" t="s">
        <v>33</v>
      </c>
      <c r="E773" t="s">
        <v>1292</v>
      </c>
      <c r="F773" t="s">
        <v>35</v>
      </c>
      <c r="G773" t="s">
        <v>35</v>
      </c>
      <c r="H773" t="s">
        <v>35</v>
      </c>
      <c r="J773" t="s">
        <v>1380</v>
      </c>
      <c r="K773" t="s">
        <v>1092</v>
      </c>
      <c r="M773">
        <v>1.71</v>
      </c>
      <c r="N773">
        <v>63</v>
      </c>
      <c r="O773" t="s">
        <v>61</v>
      </c>
      <c r="Q773" t="s">
        <v>423</v>
      </c>
      <c r="R773" t="s">
        <v>103</v>
      </c>
      <c r="S773" t="s">
        <v>104</v>
      </c>
    </row>
    <row r="774" spans="1:19" x14ac:dyDescent="0.25">
      <c r="A774" t="s">
        <v>59</v>
      </c>
      <c r="B774" t="s">
        <v>31</v>
      </c>
      <c r="C774" t="s">
        <v>32</v>
      </c>
      <c r="D774" t="s">
        <v>33</v>
      </c>
      <c r="E774" t="s">
        <v>1292</v>
      </c>
      <c r="F774" t="s">
        <v>35</v>
      </c>
      <c r="G774" t="s">
        <v>35</v>
      </c>
      <c r="H774" t="s">
        <v>35</v>
      </c>
      <c r="J774" t="s">
        <v>1380</v>
      </c>
      <c r="K774" t="s">
        <v>1092</v>
      </c>
      <c r="M774">
        <v>4.9950000000000001</v>
      </c>
      <c r="N774">
        <v>59</v>
      </c>
      <c r="O774" t="s">
        <v>52</v>
      </c>
      <c r="Q774" t="s">
        <v>84</v>
      </c>
      <c r="R774" t="s">
        <v>169</v>
      </c>
      <c r="S774" t="s">
        <v>123</v>
      </c>
    </row>
    <row r="775" spans="1:19" x14ac:dyDescent="0.25">
      <c r="A775" t="s">
        <v>30</v>
      </c>
      <c r="B775" t="s">
        <v>31</v>
      </c>
      <c r="C775" t="s">
        <v>32</v>
      </c>
      <c r="D775" t="s">
        <v>33</v>
      </c>
      <c r="E775" t="s">
        <v>1292</v>
      </c>
      <c r="F775" t="s">
        <v>35</v>
      </c>
      <c r="G775" t="s">
        <v>35</v>
      </c>
      <c r="H775" t="s">
        <v>35</v>
      </c>
      <c r="J775" t="s">
        <v>1381</v>
      </c>
      <c r="K775" t="s">
        <v>1092</v>
      </c>
      <c r="M775">
        <v>3.42</v>
      </c>
      <c r="N775">
        <v>43</v>
      </c>
      <c r="O775" t="s">
        <v>52</v>
      </c>
      <c r="Q775" t="s">
        <v>892</v>
      </c>
      <c r="R775" t="s">
        <v>103</v>
      </c>
      <c r="S775" t="s">
        <v>104</v>
      </c>
    </row>
    <row r="776" spans="1:19" x14ac:dyDescent="0.25">
      <c r="A776" t="s">
        <v>30</v>
      </c>
      <c r="B776" t="s">
        <v>31</v>
      </c>
      <c r="C776" t="s">
        <v>32</v>
      </c>
      <c r="D776" t="s">
        <v>33</v>
      </c>
      <c r="E776" t="s">
        <v>1292</v>
      </c>
      <c r="F776" t="s">
        <v>35</v>
      </c>
      <c r="G776" t="s">
        <v>35</v>
      </c>
      <c r="H776" t="s">
        <v>35</v>
      </c>
      <c r="J776" t="s">
        <v>1381</v>
      </c>
      <c r="K776" t="s">
        <v>1092</v>
      </c>
      <c r="M776">
        <v>14.984999999999999</v>
      </c>
      <c r="N776">
        <v>16</v>
      </c>
      <c r="O776" t="s">
        <v>46</v>
      </c>
      <c r="Q776" t="s">
        <v>323</v>
      </c>
      <c r="R776" t="s">
        <v>103</v>
      </c>
      <c r="S776" t="s">
        <v>104</v>
      </c>
    </row>
    <row r="777" spans="1:19" x14ac:dyDescent="0.25">
      <c r="A777" t="s">
        <v>30</v>
      </c>
      <c r="B777" t="s">
        <v>31</v>
      </c>
      <c r="C777" t="s">
        <v>32</v>
      </c>
      <c r="D777" t="s">
        <v>33</v>
      </c>
      <c r="E777" t="s">
        <v>1292</v>
      </c>
      <c r="F777" t="s">
        <v>35</v>
      </c>
      <c r="G777" t="s">
        <v>35</v>
      </c>
      <c r="H777" t="s">
        <v>35</v>
      </c>
      <c r="J777" t="s">
        <v>1381</v>
      </c>
      <c r="K777" t="s">
        <v>1092</v>
      </c>
      <c r="M777">
        <v>9.99</v>
      </c>
      <c r="N777">
        <v>17</v>
      </c>
      <c r="O777" t="s">
        <v>46</v>
      </c>
      <c r="Q777" t="s">
        <v>1302</v>
      </c>
      <c r="R777" t="s">
        <v>85</v>
      </c>
      <c r="S777" t="s">
        <v>86</v>
      </c>
    </row>
    <row r="778" spans="1:19" x14ac:dyDescent="0.25">
      <c r="A778" t="s">
        <v>44</v>
      </c>
      <c r="B778" t="s">
        <v>51</v>
      </c>
      <c r="C778" t="s">
        <v>32</v>
      </c>
      <c r="D778" t="s">
        <v>33</v>
      </c>
      <c r="E778" t="s">
        <v>1292</v>
      </c>
      <c r="F778" t="s">
        <v>35</v>
      </c>
      <c r="G778" t="s">
        <v>35</v>
      </c>
      <c r="H778" t="s">
        <v>35</v>
      </c>
      <c r="J778" t="s">
        <v>1381</v>
      </c>
      <c r="K778" t="s">
        <v>1092</v>
      </c>
      <c r="M778">
        <v>5.25</v>
      </c>
      <c r="N778">
        <v>56</v>
      </c>
      <c r="O778" t="s">
        <v>52</v>
      </c>
      <c r="Q778" t="s">
        <v>453</v>
      </c>
      <c r="R778" t="s">
        <v>1279</v>
      </c>
      <c r="S778" t="s">
        <v>163</v>
      </c>
    </row>
    <row r="779" spans="1:19" x14ac:dyDescent="0.25">
      <c r="A779" t="s">
        <v>59</v>
      </c>
      <c r="B779" t="s">
        <v>60</v>
      </c>
      <c r="C779" t="s">
        <v>32</v>
      </c>
      <c r="D779" t="s">
        <v>33</v>
      </c>
      <c r="E779" t="s">
        <v>1292</v>
      </c>
      <c r="F779" t="s">
        <v>35</v>
      </c>
      <c r="G779" t="s">
        <v>35</v>
      </c>
      <c r="H779" t="s">
        <v>35</v>
      </c>
      <c r="J779" t="s">
        <v>1381</v>
      </c>
      <c r="K779" t="s">
        <v>1092</v>
      </c>
      <c r="M779">
        <v>0.45</v>
      </c>
      <c r="N779">
        <v>56</v>
      </c>
      <c r="O779" t="s">
        <v>52</v>
      </c>
      <c r="Q779" t="s">
        <v>453</v>
      </c>
      <c r="R779" t="s">
        <v>1279</v>
      </c>
      <c r="S779" t="s">
        <v>163</v>
      </c>
    </row>
    <row r="780" spans="1:19" x14ac:dyDescent="0.25">
      <c r="A780" t="s">
        <v>30</v>
      </c>
      <c r="B780" t="s">
        <v>31</v>
      </c>
      <c r="C780" t="s">
        <v>32</v>
      </c>
      <c r="D780" t="s">
        <v>33</v>
      </c>
      <c r="E780" t="s">
        <v>1292</v>
      </c>
      <c r="F780" t="s">
        <v>35</v>
      </c>
      <c r="G780" t="s">
        <v>35</v>
      </c>
      <c r="H780" t="s">
        <v>35</v>
      </c>
      <c r="J780" t="s">
        <v>1382</v>
      </c>
      <c r="K780" t="s">
        <v>1092</v>
      </c>
      <c r="M780">
        <v>6.75</v>
      </c>
      <c r="N780">
        <v>45</v>
      </c>
      <c r="O780" t="s">
        <v>52</v>
      </c>
      <c r="Q780" t="s">
        <v>716</v>
      </c>
      <c r="R780" t="s">
        <v>85</v>
      </c>
      <c r="S780" t="s">
        <v>86</v>
      </c>
    </row>
    <row r="781" spans="1:19" x14ac:dyDescent="0.25">
      <c r="A781" t="s">
        <v>30</v>
      </c>
      <c r="B781" t="s">
        <v>31</v>
      </c>
      <c r="C781" t="s">
        <v>32</v>
      </c>
      <c r="D781" t="s">
        <v>33</v>
      </c>
      <c r="E781" t="s">
        <v>1292</v>
      </c>
      <c r="F781" t="s">
        <v>35</v>
      </c>
      <c r="G781" t="s">
        <v>35</v>
      </c>
      <c r="H781" t="s">
        <v>35</v>
      </c>
      <c r="J781" t="s">
        <v>1382</v>
      </c>
      <c r="K781" t="s">
        <v>1092</v>
      </c>
      <c r="M781">
        <v>5.2649999999999997</v>
      </c>
      <c r="N781">
        <v>47</v>
      </c>
      <c r="O781" t="s">
        <v>52</v>
      </c>
      <c r="Q781" t="s">
        <v>132</v>
      </c>
      <c r="R781" t="s">
        <v>199</v>
      </c>
      <c r="S781" t="s">
        <v>200</v>
      </c>
    </row>
    <row r="782" spans="1:19" x14ac:dyDescent="0.25">
      <c r="A782" t="s">
        <v>59</v>
      </c>
      <c r="B782" t="s">
        <v>31</v>
      </c>
      <c r="C782" t="s">
        <v>32</v>
      </c>
      <c r="D782" t="s">
        <v>33</v>
      </c>
      <c r="E782" t="s">
        <v>1292</v>
      </c>
      <c r="F782" t="s">
        <v>35</v>
      </c>
      <c r="G782" t="s">
        <v>35</v>
      </c>
      <c r="H782" t="s">
        <v>35</v>
      </c>
      <c r="J782" t="s">
        <v>1383</v>
      </c>
      <c r="K782" t="s">
        <v>1092</v>
      </c>
      <c r="M782">
        <v>0.81</v>
      </c>
      <c r="N782">
        <v>90</v>
      </c>
      <c r="O782" t="s">
        <v>61</v>
      </c>
      <c r="Q782" t="s">
        <v>897</v>
      </c>
      <c r="R782" t="s">
        <v>147</v>
      </c>
      <c r="S782" t="s">
        <v>148</v>
      </c>
    </row>
    <row r="783" spans="1:19" x14ac:dyDescent="0.25">
      <c r="A783" t="s">
        <v>59</v>
      </c>
      <c r="B783" t="s">
        <v>60</v>
      </c>
      <c r="C783" t="s">
        <v>32</v>
      </c>
      <c r="D783" t="s">
        <v>33</v>
      </c>
      <c r="E783" t="s">
        <v>1292</v>
      </c>
      <c r="F783" t="s">
        <v>35</v>
      </c>
      <c r="G783" t="s">
        <v>35</v>
      </c>
      <c r="H783" t="s">
        <v>35</v>
      </c>
      <c r="J783" t="s">
        <v>1383</v>
      </c>
      <c r="K783" t="s">
        <v>1092</v>
      </c>
      <c r="M783">
        <v>0.9</v>
      </c>
      <c r="N783">
        <v>90</v>
      </c>
      <c r="O783" t="s">
        <v>61</v>
      </c>
      <c r="Q783" t="s">
        <v>897</v>
      </c>
      <c r="R783" t="s">
        <v>147</v>
      </c>
      <c r="S783" t="s">
        <v>148</v>
      </c>
    </row>
    <row r="784" spans="1:19" x14ac:dyDescent="0.25">
      <c r="A784" t="s">
        <v>59</v>
      </c>
      <c r="B784" t="s">
        <v>31</v>
      </c>
      <c r="C784" t="s">
        <v>32</v>
      </c>
      <c r="D784" t="s">
        <v>33</v>
      </c>
      <c r="E784" t="s">
        <v>1292</v>
      </c>
      <c r="F784" t="s">
        <v>35</v>
      </c>
      <c r="G784" t="s">
        <v>35</v>
      </c>
      <c r="H784" t="s">
        <v>35</v>
      </c>
      <c r="J784" t="s">
        <v>1384</v>
      </c>
      <c r="K784" t="s">
        <v>1092</v>
      </c>
      <c r="M784">
        <v>4.4999999999999998E-2</v>
      </c>
      <c r="N784">
        <v>202</v>
      </c>
      <c r="O784" t="s">
        <v>5</v>
      </c>
      <c r="Q784" t="s">
        <v>1299</v>
      </c>
      <c r="R784" t="s">
        <v>169</v>
      </c>
      <c r="S784" t="s">
        <v>123</v>
      </c>
    </row>
    <row r="785" spans="1:19" x14ac:dyDescent="0.25">
      <c r="A785" t="s">
        <v>44</v>
      </c>
      <c r="B785" t="s">
        <v>3</v>
      </c>
      <c r="C785" t="s">
        <v>32</v>
      </c>
      <c r="D785" t="s">
        <v>33</v>
      </c>
      <c r="E785" t="s">
        <v>1292</v>
      </c>
      <c r="F785" t="s">
        <v>35</v>
      </c>
      <c r="G785" t="s">
        <v>35</v>
      </c>
      <c r="H785" t="s">
        <v>35</v>
      </c>
      <c r="J785" t="s">
        <v>1385</v>
      </c>
      <c r="K785" t="s">
        <v>1092</v>
      </c>
      <c r="M785">
        <v>3.4000000000000002E-2</v>
      </c>
      <c r="N785">
        <v>428</v>
      </c>
      <c r="O785" t="s">
        <v>294</v>
      </c>
      <c r="Q785" t="s">
        <v>1325</v>
      </c>
      <c r="R785" t="s">
        <v>199</v>
      </c>
      <c r="S785" t="s">
        <v>200</v>
      </c>
    </row>
    <row r="786" spans="1:19" x14ac:dyDescent="0.25">
      <c r="A786" t="s">
        <v>30</v>
      </c>
      <c r="B786" t="s">
        <v>31</v>
      </c>
      <c r="C786" t="s">
        <v>32</v>
      </c>
      <c r="D786" t="s">
        <v>33</v>
      </c>
      <c r="E786" t="s">
        <v>1292</v>
      </c>
      <c r="F786" t="s">
        <v>35</v>
      </c>
      <c r="G786" t="s">
        <v>35</v>
      </c>
      <c r="H786" t="s">
        <v>35</v>
      </c>
      <c r="J786" t="s">
        <v>1385</v>
      </c>
      <c r="K786" t="s">
        <v>1092</v>
      </c>
      <c r="M786">
        <v>0.36</v>
      </c>
      <c r="N786">
        <v>428</v>
      </c>
      <c r="O786" t="s">
        <v>294</v>
      </c>
      <c r="Q786" t="s">
        <v>1325</v>
      </c>
      <c r="R786" t="s">
        <v>199</v>
      </c>
      <c r="S786" t="s">
        <v>200</v>
      </c>
    </row>
    <row r="787" spans="1:19" x14ac:dyDescent="0.25">
      <c r="A787" t="s">
        <v>59</v>
      </c>
      <c r="B787" t="s">
        <v>60</v>
      </c>
      <c r="C787" t="s">
        <v>32</v>
      </c>
      <c r="D787" t="s">
        <v>33</v>
      </c>
      <c r="E787" t="s">
        <v>1292</v>
      </c>
      <c r="F787" t="s">
        <v>35</v>
      </c>
      <c r="G787" t="s">
        <v>35</v>
      </c>
      <c r="H787" t="s">
        <v>35</v>
      </c>
      <c r="J787" t="s">
        <v>1386</v>
      </c>
      <c r="K787" t="s">
        <v>1092</v>
      </c>
      <c r="M787">
        <v>1.3979999999999999</v>
      </c>
      <c r="N787">
        <v>64</v>
      </c>
      <c r="O787" t="s">
        <v>61</v>
      </c>
      <c r="Q787" t="s">
        <v>381</v>
      </c>
      <c r="R787" t="s">
        <v>1341</v>
      </c>
      <c r="S787" t="s">
        <v>1342</v>
      </c>
    </row>
    <row r="788" spans="1:19" x14ac:dyDescent="0.25">
      <c r="A788" t="s">
        <v>59</v>
      </c>
      <c r="B788" t="s">
        <v>60</v>
      </c>
      <c r="C788" t="s">
        <v>32</v>
      </c>
      <c r="D788" t="s">
        <v>33</v>
      </c>
      <c r="E788" t="s">
        <v>1292</v>
      </c>
      <c r="F788" t="s">
        <v>35</v>
      </c>
      <c r="G788" t="s">
        <v>35</v>
      </c>
      <c r="H788" t="s">
        <v>35</v>
      </c>
      <c r="J788" t="s">
        <v>1387</v>
      </c>
      <c r="K788" t="s">
        <v>1092</v>
      </c>
      <c r="M788">
        <v>4.4999999999999998E-2</v>
      </c>
      <c r="N788">
        <v>537</v>
      </c>
      <c r="O788" t="s">
        <v>294</v>
      </c>
      <c r="Q788" t="s">
        <v>1388</v>
      </c>
      <c r="R788" t="s">
        <v>1322</v>
      </c>
      <c r="S788" t="s">
        <v>628</v>
      </c>
    </row>
    <row r="789" spans="1:19" x14ac:dyDescent="0.25">
      <c r="A789" t="s">
        <v>59</v>
      </c>
      <c r="B789" t="s">
        <v>60</v>
      </c>
      <c r="C789" t="s">
        <v>32</v>
      </c>
      <c r="D789" t="s">
        <v>33</v>
      </c>
      <c r="E789" t="s">
        <v>1292</v>
      </c>
      <c r="F789" t="s">
        <v>35</v>
      </c>
      <c r="G789" t="s">
        <v>35</v>
      </c>
      <c r="H789" t="s">
        <v>35</v>
      </c>
      <c r="J789" t="s">
        <v>1389</v>
      </c>
      <c r="K789" t="s">
        <v>1092</v>
      </c>
      <c r="M789">
        <v>1.4999999999999999E-2</v>
      </c>
      <c r="N789">
        <v>2444</v>
      </c>
      <c r="O789" t="s">
        <v>575</v>
      </c>
      <c r="Q789" t="s">
        <v>1390</v>
      </c>
      <c r="R789" t="s">
        <v>1391</v>
      </c>
      <c r="S789" t="s">
        <v>1392</v>
      </c>
    </row>
    <row r="790" spans="1:19" x14ac:dyDescent="0.25">
      <c r="A790" t="s">
        <v>59</v>
      </c>
      <c r="B790" t="s">
        <v>60</v>
      </c>
      <c r="C790" t="s">
        <v>32</v>
      </c>
      <c r="D790" t="s">
        <v>33</v>
      </c>
      <c r="E790" t="s">
        <v>1292</v>
      </c>
      <c r="F790" t="s">
        <v>35</v>
      </c>
      <c r="G790" t="s">
        <v>35</v>
      </c>
      <c r="H790" t="s">
        <v>35</v>
      </c>
      <c r="J790" t="s">
        <v>1393</v>
      </c>
      <c r="K790" t="s">
        <v>1092</v>
      </c>
      <c r="M790">
        <v>1.95</v>
      </c>
      <c r="N790">
        <v>146</v>
      </c>
      <c r="O790" t="s">
        <v>38</v>
      </c>
      <c r="Q790" t="s">
        <v>1335</v>
      </c>
      <c r="R790" t="s">
        <v>1173</v>
      </c>
      <c r="S790" t="s">
        <v>222</v>
      </c>
    </row>
    <row r="791" spans="1:19" x14ac:dyDescent="0.25">
      <c r="A791" t="s">
        <v>59</v>
      </c>
      <c r="B791" t="s">
        <v>31</v>
      </c>
      <c r="C791" t="s">
        <v>32</v>
      </c>
      <c r="D791" t="s">
        <v>33</v>
      </c>
      <c r="E791" t="s">
        <v>1292</v>
      </c>
      <c r="F791" t="s">
        <v>35</v>
      </c>
      <c r="G791" t="s">
        <v>35</v>
      </c>
      <c r="H791" t="s">
        <v>35</v>
      </c>
      <c r="J791" t="s">
        <v>1393</v>
      </c>
      <c r="K791" t="s">
        <v>1092</v>
      </c>
      <c r="M791">
        <v>2.7</v>
      </c>
      <c r="N791">
        <v>10</v>
      </c>
      <c r="O791" t="s">
        <v>46</v>
      </c>
      <c r="Q791" t="s">
        <v>1676</v>
      </c>
      <c r="R791" t="s">
        <v>1173</v>
      </c>
      <c r="S791" t="s">
        <v>222</v>
      </c>
    </row>
    <row r="792" spans="1:19" x14ac:dyDescent="0.25">
      <c r="A792" t="s">
        <v>44</v>
      </c>
      <c r="B792" t="s">
        <v>51</v>
      </c>
      <c r="C792" t="s">
        <v>32</v>
      </c>
      <c r="D792" t="s">
        <v>33</v>
      </c>
      <c r="E792" t="s">
        <v>1292</v>
      </c>
      <c r="F792" t="s">
        <v>35</v>
      </c>
      <c r="G792" t="s">
        <v>35</v>
      </c>
      <c r="H792" t="s">
        <v>35</v>
      </c>
      <c r="J792" t="s">
        <v>1393</v>
      </c>
      <c r="K792" t="s">
        <v>1092</v>
      </c>
      <c r="M792">
        <v>3</v>
      </c>
      <c r="N792">
        <v>10</v>
      </c>
      <c r="O792" t="s">
        <v>46</v>
      </c>
      <c r="Q792" t="s">
        <v>1676</v>
      </c>
      <c r="R792" t="s">
        <v>1173</v>
      </c>
      <c r="S792" t="s">
        <v>222</v>
      </c>
    </row>
    <row r="793" spans="1:19" x14ac:dyDescent="0.25">
      <c r="A793" t="s">
        <v>30</v>
      </c>
      <c r="B793" t="s">
        <v>31</v>
      </c>
      <c r="C793" t="s">
        <v>32</v>
      </c>
      <c r="D793" t="s">
        <v>33</v>
      </c>
      <c r="E793" t="s">
        <v>1292</v>
      </c>
      <c r="F793" t="s">
        <v>35</v>
      </c>
      <c r="G793" t="s">
        <v>35</v>
      </c>
      <c r="H793" t="s">
        <v>35</v>
      </c>
      <c r="J793" t="s">
        <v>1393</v>
      </c>
      <c r="K793" t="s">
        <v>1092</v>
      </c>
      <c r="M793">
        <v>0.94499999999999995</v>
      </c>
      <c r="N793">
        <v>70</v>
      </c>
      <c r="O793" t="s">
        <v>61</v>
      </c>
      <c r="Q793" t="s">
        <v>126</v>
      </c>
      <c r="R793" t="s">
        <v>1173</v>
      </c>
      <c r="S793" t="s">
        <v>222</v>
      </c>
    </row>
    <row r="794" spans="1:19" x14ac:dyDescent="0.25">
      <c r="A794" t="s">
        <v>59</v>
      </c>
      <c r="B794" t="s">
        <v>60</v>
      </c>
      <c r="C794" t="s">
        <v>32</v>
      </c>
      <c r="D794" t="s">
        <v>33</v>
      </c>
      <c r="E794" t="s">
        <v>1292</v>
      </c>
      <c r="F794" t="s">
        <v>35</v>
      </c>
      <c r="G794" t="s">
        <v>35</v>
      </c>
      <c r="H794" t="s">
        <v>35</v>
      </c>
      <c r="J794" t="s">
        <v>1394</v>
      </c>
      <c r="K794" t="s">
        <v>1092</v>
      </c>
      <c r="M794">
        <v>0.06</v>
      </c>
      <c r="N794">
        <v>231</v>
      </c>
      <c r="O794" t="s">
        <v>5</v>
      </c>
      <c r="Q794" t="s">
        <v>402</v>
      </c>
      <c r="R794" t="s">
        <v>1395</v>
      </c>
      <c r="S794" t="s">
        <v>1396</v>
      </c>
    </row>
    <row r="795" spans="1:19" x14ac:dyDescent="0.25">
      <c r="A795" t="s">
        <v>44</v>
      </c>
      <c r="B795" t="s">
        <v>3</v>
      </c>
      <c r="C795" t="s">
        <v>32</v>
      </c>
      <c r="D795" t="s">
        <v>33</v>
      </c>
      <c r="E795" t="s">
        <v>1292</v>
      </c>
      <c r="F795" t="s">
        <v>35</v>
      </c>
      <c r="G795" t="s">
        <v>35</v>
      </c>
      <c r="H795" t="s">
        <v>35</v>
      </c>
      <c r="J795" t="s">
        <v>1397</v>
      </c>
      <c r="K795" t="s">
        <v>1092</v>
      </c>
      <c r="M795">
        <v>0.2</v>
      </c>
      <c r="N795">
        <v>45</v>
      </c>
      <c r="O795" t="s">
        <v>52</v>
      </c>
      <c r="Q795" t="s">
        <v>716</v>
      </c>
      <c r="R795" t="s">
        <v>1296</v>
      </c>
      <c r="S795" t="s">
        <v>1294</v>
      </c>
    </row>
    <row r="796" spans="1:19" x14ac:dyDescent="0.25">
      <c r="A796" t="s">
        <v>30</v>
      </c>
      <c r="B796" t="s">
        <v>31</v>
      </c>
      <c r="C796" t="s">
        <v>32</v>
      </c>
      <c r="D796" t="s">
        <v>33</v>
      </c>
      <c r="E796" t="s">
        <v>1292</v>
      </c>
      <c r="F796" t="s">
        <v>35</v>
      </c>
      <c r="G796" t="s">
        <v>35</v>
      </c>
      <c r="H796" t="s">
        <v>35</v>
      </c>
      <c r="J796" t="s">
        <v>1397</v>
      </c>
      <c r="K796" t="s">
        <v>1092</v>
      </c>
      <c r="M796">
        <v>5.9850000000000003</v>
      </c>
      <c r="N796">
        <v>19</v>
      </c>
      <c r="O796" t="s">
        <v>46</v>
      </c>
      <c r="Q796" t="s">
        <v>1192</v>
      </c>
      <c r="R796" t="s">
        <v>169</v>
      </c>
      <c r="S796" t="s">
        <v>123</v>
      </c>
    </row>
    <row r="797" spans="1:19" x14ac:dyDescent="0.25">
      <c r="A797" t="s">
        <v>30</v>
      </c>
      <c r="B797" t="s">
        <v>31</v>
      </c>
      <c r="C797" t="s">
        <v>32</v>
      </c>
      <c r="D797" t="s">
        <v>33</v>
      </c>
      <c r="E797" t="s">
        <v>1292</v>
      </c>
      <c r="F797" t="s">
        <v>35</v>
      </c>
      <c r="G797" t="s">
        <v>35</v>
      </c>
      <c r="H797" t="s">
        <v>35</v>
      </c>
      <c r="J797" t="s">
        <v>1398</v>
      </c>
      <c r="K797" t="s">
        <v>1092</v>
      </c>
      <c r="M797">
        <v>1.0349999999999999</v>
      </c>
      <c r="N797">
        <v>73</v>
      </c>
      <c r="O797" t="s">
        <v>61</v>
      </c>
      <c r="Q797" t="s">
        <v>552</v>
      </c>
      <c r="R797" t="s">
        <v>85</v>
      </c>
      <c r="S797" t="s">
        <v>86</v>
      </c>
    </row>
    <row r="798" spans="1:19" x14ac:dyDescent="0.25">
      <c r="A798" t="s">
        <v>59</v>
      </c>
      <c r="B798" t="s">
        <v>31</v>
      </c>
      <c r="C798" t="s">
        <v>32</v>
      </c>
      <c r="D798" t="s">
        <v>33</v>
      </c>
      <c r="E798" t="s">
        <v>1292</v>
      </c>
      <c r="F798" t="s">
        <v>35</v>
      </c>
      <c r="G798" t="s">
        <v>35</v>
      </c>
      <c r="H798" t="s">
        <v>35</v>
      </c>
      <c r="J798" t="s">
        <v>1399</v>
      </c>
      <c r="K798" t="s">
        <v>1092</v>
      </c>
      <c r="M798">
        <v>4.9950000000000001</v>
      </c>
      <c r="N798">
        <v>133</v>
      </c>
      <c r="O798" t="s">
        <v>38</v>
      </c>
      <c r="Q798" t="s">
        <v>68</v>
      </c>
      <c r="R798" t="s">
        <v>199</v>
      </c>
      <c r="S798" t="s">
        <v>200</v>
      </c>
    </row>
    <row r="799" spans="1:19" x14ac:dyDescent="0.25">
      <c r="A799" t="s">
        <v>59</v>
      </c>
      <c r="B799" t="s">
        <v>60</v>
      </c>
      <c r="C799" t="s">
        <v>32</v>
      </c>
      <c r="D799" t="s">
        <v>33</v>
      </c>
      <c r="E799" t="s">
        <v>1292</v>
      </c>
      <c r="F799" t="s">
        <v>35</v>
      </c>
      <c r="G799" t="s">
        <v>35</v>
      </c>
      <c r="H799" t="s">
        <v>35</v>
      </c>
      <c r="J799" t="s">
        <v>1400</v>
      </c>
      <c r="K799" t="s">
        <v>1092</v>
      </c>
      <c r="M799">
        <v>2.5000000000000001E-2</v>
      </c>
      <c r="N799">
        <v>569</v>
      </c>
      <c r="O799" t="s">
        <v>575</v>
      </c>
      <c r="Q799" t="s">
        <v>1401</v>
      </c>
      <c r="R799" t="s">
        <v>1402</v>
      </c>
      <c r="S799" t="s">
        <v>1403</v>
      </c>
    </row>
    <row r="800" spans="1:19" x14ac:dyDescent="0.25">
      <c r="A800" t="s">
        <v>30</v>
      </c>
      <c r="B800" t="s">
        <v>31</v>
      </c>
      <c r="C800" t="s">
        <v>32</v>
      </c>
      <c r="D800" t="s">
        <v>33</v>
      </c>
      <c r="E800" t="s">
        <v>1292</v>
      </c>
      <c r="F800" t="s">
        <v>35</v>
      </c>
      <c r="G800" t="s">
        <v>35</v>
      </c>
      <c r="H800" t="s">
        <v>35</v>
      </c>
      <c r="J800" t="s">
        <v>1400</v>
      </c>
      <c r="K800" t="s">
        <v>1092</v>
      </c>
      <c r="M800">
        <v>4.4999999999999998E-2</v>
      </c>
      <c r="N800">
        <v>569</v>
      </c>
      <c r="O800" t="s">
        <v>575</v>
      </c>
      <c r="Q800" t="s">
        <v>1401</v>
      </c>
      <c r="R800" t="s">
        <v>1402</v>
      </c>
      <c r="S800" t="s">
        <v>1403</v>
      </c>
    </row>
    <row r="801" spans="1:19" x14ac:dyDescent="0.25">
      <c r="A801" t="s">
        <v>59</v>
      </c>
      <c r="B801" t="s">
        <v>31</v>
      </c>
      <c r="C801" t="s">
        <v>32</v>
      </c>
      <c r="D801" t="s">
        <v>33</v>
      </c>
      <c r="E801" t="s">
        <v>1292</v>
      </c>
      <c r="F801" t="s">
        <v>35</v>
      </c>
      <c r="G801" t="s">
        <v>35</v>
      </c>
      <c r="H801" t="s">
        <v>35</v>
      </c>
      <c r="J801" t="s">
        <v>1404</v>
      </c>
      <c r="K801" t="s">
        <v>1092</v>
      </c>
      <c r="M801">
        <v>1.89</v>
      </c>
      <c r="N801">
        <v>70</v>
      </c>
      <c r="O801" t="s">
        <v>61</v>
      </c>
      <c r="Q801" t="s">
        <v>126</v>
      </c>
      <c r="R801" t="s">
        <v>85</v>
      </c>
      <c r="S801" t="s">
        <v>86</v>
      </c>
    </row>
    <row r="802" spans="1:19" x14ac:dyDescent="0.25">
      <c r="A802" t="s">
        <v>44</v>
      </c>
      <c r="B802" t="s">
        <v>3</v>
      </c>
      <c r="C802" t="s">
        <v>32</v>
      </c>
      <c r="D802" t="s">
        <v>33</v>
      </c>
      <c r="E802" t="s">
        <v>1292</v>
      </c>
      <c r="F802" t="s">
        <v>35</v>
      </c>
      <c r="G802" t="s">
        <v>35</v>
      </c>
      <c r="H802" t="s">
        <v>35</v>
      </c>
      <c r="J802" t="s">
        <v>1404</v>
      </c>
      <c r="K802" t="s">
        <v>1092</v>
      </c>
      <c r="M802">
        <v>0.5</v>
      </c>
      <c r="N802">
        <v>207</v>
      </c>
      <c r="O802" t="s">
        <v>5</v>
      </c>
      <c r="Q802" t="s">
        <v>1315</v>
      </c>
      <c r="R802" t="s">
        <v>1316</v>
      </c>
      <c r="S802" t="s">
        <v>1317</v>
      </c>
    </row>
    <row r="803" spans="1:19" x14ac:dyDescent="0.25">
      <c r="A803" t="s">
        <v>59</v>
      </c>
      <c r="B803" t="s">
        <v>60</v>
      </c>
      <c r="C803" t="s">
        <v>32</v>
      </c>
      <c r="D803" t="s">
        <v>33</v>
      </c>
      <c r="E803" t="s">
        <v>1292</v>
      </c>
      <c r="F803" t="s">
        <v>35</v>
      </c>
      <c r="G803" t="s">
        <v>35</v>
      </c>
      <c r="H803" t="s">
        <v>35</v>
      </c>
      <c r="J803" t="s">
        <v>1404</v>
      </c>
      <c r="K803" t="s">
        <v>1092</v>
      </c>
      <c r="M803">
        <v>0.95</v>
      </c>
      <c r="N803">
        <v>480</v>
      </c>
      <c r="O803" t="s">
        <v>294</v>
      </c>
      <c r="Q803" t="s">
        <v>1405</v>
      </c>
      <c r="R803" t="s">
        <v>1316</v>
      </c>
      <c r="S803" t="s">
        <v>1317</v>
      </c>
    </row>
    <row r="804" spans="1:19" x14ac:dyDescent="0.25">
      <c r="A804" t="s">
        <v>30</v>
      </c>
      <c r="B804" t="s">
        <v>31</v>
      </c>
      <c r="C804" t="s">
        <v>32</v>
      </c>
      <c r="D804" t="s">
        <v>33</v>
      </c>
      <c r="E804" t="s">
        <v>1292</v>
      </c>
      <c r="F804" t="s">
        <v>35</v>
      </c>
      <c r="G804" t="s">
        <v>35</v>
      </c>
      <c r="H804" t="s">
        <v>35</v>
      </c>
      <c r="J804" t="s">
        <v>1406</v>
      </c>
      <c r="K804" t="s">
        <v>1092</v>
      </c>
      <c r="M804">
        <v>1.8</v>
      </c>
      <c r="N804">
        <v>1067</v>
      </c>
      <c r="O804" t="s">
        <v>575</v>
      </c>
      <c r="Q804" t="s">
        <v>1407</v>
      </c>
      <c r="R804" t="s">
        <v>199</v>
      </c>
      <c r="S804" t="s">
        <v>200</v>
      </c>
    </row>
    <row r="805" spans="1:19" x14ac:dyDescent="0.25">
      <c r="A805" t="s">
        <v>59</v>
      </c>
      <c r="B805" t="s">
        <v>31</v>
      </c>
      <c r="C805" t="s">
        <v>32</v>
      </c>
      <c r="D805" t="s">
        <v>33</v>
      </c>
      <c r="E805" t="s">
        <v>1292</v>
      </c>
      <c r="F805" t="s">
        <v>35</v>
      </c>
      <c r="G805" t="s">
        <v>35</v>
      </c>
      <c r="H805" t="s">
        <v>35</v>
      </c>
      <c r="J805" t="s">
        <v>1406</v>
      </c>
      <c r="K805" t="s">
        <v>1092</v>
      </c>
      <c r="M805">
        <v>0.315</v>
      </c>
      <c r="N805">
        <v>1093</v>
      </c>
      <c r="O805" t="s">
        <v>575</v>
      </c>
      <c r="Q805" t="s">
        <v>1408</v>
      </c>
      <c r="R805" t="s">
        <v>199</v>
      </c>
      <c r="S805" t="s">
        <v>200</v>
      </c>
    </row>
    <row r="806" spans="1:19" x14ac:dyDescent="0.25">
      <c r="A806" t="s">
        <v>30</v>
      </c>
      <c r="B806" t="s">
        <v>31</v>
      </c>
      <c r="C806" t="s">
        <v>32</v>
      </c>
      <c r="D806" t="s">
        <v>33</v>
      </c>
      <c r="E806" t="s">
        <v>1292</v>
      </c>
      <c r="F806" t="s">
        <v>35</v>
      </c>
      <c r="G806" t="s">
        <v>35</v>
      </c>
      <c r="H806" t="s">
        <v>35</v>
      </c>
      <c r="J806" t="s">
        <v>1409</v>
      </c>
      <c r="K806" t="s">
        <v>1092</v>
      </c>
      <c r="M806">
        <v>0.01</v>
      </c>
      <c r="N806">
        <v>458</v>
      </c>
      <c r="O806" t="s">
        <v>294</v>
      </c>
      <c r="Q806" t="s">
        <v>1355</v>
      </c>
      <c r="R806" t="s">
        <v>1331</v>
      </c>
      <c r="S806" t="s">
        <v>1332</v>
      </c>
    </row>
    <row r="807" spans="1:19" x14ac:dyDescent="0.25">
      <c r="A807" t="s">
        <v>59</v>
      </c>
      <c r="B807" t="s">
        <v>60</v>
      </c>
      <c r="C807" t="s">
        <v>32</v>
      </c>
      <c r="D807" t="s">
        <v>33</v>
      </c>
      <c r="E807" t="s">
        <v>1292</v>
      </c>
      <c r="F807" t="s">
        <v>35</v>
      </c>
      <c r="G807" t="s">
        <v>35</v>
      </c>
      <c r="H807" t="s">
        <v>35</v>
      </c>
      <c r="J807" t="s">
        <v>1409</v>
      </c>
      <c r="K807" t="s">
        <v>1092</v>
      </c>
      <c r="M807">
        <v>0.95</v>
      </c>
      <c r="N807">
        <v>394</v>
      </c>
      <c r="O807" t="s">
        <v>294</v>
      </c>
      <c r="Q807" t="s">
        <v>1410</v>
      </c>
      <c r="R807" t="s">
        <v>169</v>
      </c>
      <c r="S807" t="s">
        <v>123</v>
      </c>
    </row>
    <row r="808" spans="1:19" x14ac:dyDescent="0.25">
      <c r="A808" t="s">
        <v>30</v>
      </c>
      <c r="B808" t="s">
        <v>31</v>
      </c>
      <c r="C808" t="s">
        <v>32</v>
      </c>
      <c r="D808" t="s">
        <v>33</v>
      </c>
      <c r="E808" t="s">
        <v>1292</v>
      </c>
      <c r="F808" t="s">
        <v>35</v>
      </c>
      <c r="G808" t="s">
        <v>35</v>
      </c>
      <c r="H808" t="s">
        <v>35</v>
      </c>
      <c r="J808" t="s">
        <v>1411</v>
      </c>
      <c r="K808" t="s">
        <v>1092</v>
      </c>
      <c r="M808">
        <v>8.8650000000000002</v>
      </c>
      <c r="N808">
        <v>46</v>
      </c>
      <c r="O808" t="s">
        <v>52</v>
      </c>
      <c r="Q808" t="s">
        <v>493</v>
      </c>
      <c r="R808" t="s">
        <v>85</v>
      </c>
      <c r="S808" t="s">
        <v>86</v>
      </c>
    </row>
    <row r="809" spans="1:19" x14ac:dyDescent="0.25">
      <c r="A809" t="s">
        <v>30</v>
      </c>
      <c r="B809" t="s">
        <v>31</v>
      </c>
      <c r="C809" t="s">
        <v>32</v>
      </c>
      <c r="D809" t="s">
        <v>33</v>
      </c>
      <c r="E809" t="s">
        <v>1292</v>
      </c>
      <c r="F809" t="s">
        <v>35</v>
      </c>
      <c r="G809" t="s">
        <v>35</v>
      </c>
      <c r="H809" t="s">
        <v>35</v>
      </c>
      <c r="J809" t="s">
        <v>1412</v>
      </c>
      <c r="K809" t="s">
        <v>1092</v>
      </c>
      <c r="M809">
        <v>0.36</v>
      </c>
      <c r="N809">
        <v>454</v>
      </c>
      <c r="O809" t="s">
        <v>294</v>
      </c>
      <c r="Q809" t="s">
        <v>1413</v>
      </c>
      <c r="R809" t="s">
        <v>85</v>
      </c>
      <c r="S809" t="s">
        <v>86</v>
      </c>
    </row>
    <row r="810" spans="1:19" x14ac:dyDescent="0.25">
      <c r="A810" t="s">
        <v>59</v>
      </c>
      <c r="B810" t="s">
        <v>31</v>
      </c>
      <c r="C810" t="s">
        <v>32</v>
      </c>
      <c r="D810" t="s">
        <v>33</v>
      </c>
      <c r="E810" t="s">
        <v>1292</v>
      </c>
      <c r="F810" t="s">
        <v>35</v>
      </c>
      <c r="G810" t="s">
        <v>35</v>
      </c>
      <c r="H810" t="s">
        <v>35</v>
      </c>
      <c r="J810" t="s">
        <v>1414</v>
      </c>
      <c r="K810" t="s">
        <v>1092</v>
      </c>
      <c r="M810">
        <v>6.5000000000000002E-2</v>
      </c>
      <c r="N810">
        <v>585</v>
      </c>
      <c r="O810" t="s">
        <v>575</v>
      </c>
      <c r="Q810" t="s">
        <v>1416</v>
      </c>
      <c r="R810" t="s">
        <v>1322</v>
      </c>
      <c r="S810" t="s">
        <v>628</v>
      </c>
    </row>
    <row r="811" spans="1:19" x14ac:dyDescent="0.25">
      <c r="A811" t="s">
        <v>59</v>
      </c>
      <c r="B811" t="s">
        <v>60</v>
      </c>
      <c r="C811" t="s">
        <v>32</v>
      </c>
      <c r="D811" t="s">
        <v>33</v>
      </c>
      <c r="E811" t="s">
        <v>1292</v>
      </c>
      <c r="F811" t="s">
        <v>35</v>
      </c>
      <c r="G811" t="s">
        <v>35</v>
      </c>
      <c r="H811" t="s">
        <v>35</v>
      </c>
      <c r="J811" t="s">
        <v>1414</v>
      </c>
      <c r="K811" t="s">
        <v>1092</v>
      </c>
      <c r="M811">
        <v>0.8</v>
      </c>
      <c r="N811">
        <v>363</v>
      </c>
      <c r="O811" t="s">
        <v>5</v>
      </c>
      <c r="Q811" t="s">
        <v>1415</v>
      </c>
      <c r="R811" t="s">
        <v>199</v>
      </c>
      <c r="S811" t="s">
        <v>200</v>
      </c>
    </row>
    <row r="812" spans="1:19" x14ac:dyDescent="0.25">
      <c r="A812" t="s">
        <v>59</v>
      </c>
      <c r="B812" t="s">
        <v>60</v>
      </c>
      <c r="C812" t="s">
        <v>32</v>
      </c>
      <c r="D812" t="s">
        <v>33</v>
      </c>
      <c r="E812" t="s">
        <v>1292</v>
      </c>
      <c r="F812" t="s">
        <v>35</v>
      </c>
      <c r="G812" t="s">
        <v>35</v>
      </c>
      <c r="H812" t="s">
        <v>35</v>
      </c>
      <c r="J812" t="s">
        <v>1417</v>
      </c>
      <c r="K812" t="s">
        <v>1092</v>
      </c>
      <c r="M812">
        <v>2.95</v>
      </c>
      <c r="N812">
        <v>294</v>
      </c>
      <c r="O812" t="s">
        <v>5</v>
      </c>
      <c r="Q812" t="s">
        <v>1418</v>
      </c>
      <c r="R812" t="s">
        <v>1341</v>
      </c>
      <c r="S812" t="s">
        <v>1342</v>
      </c>
    </row>
    <row r="813" spans="1:19" x14ac:dyDescent="0.25">
      <c r="A813" t="s">
        <v>59</v>
      </c>
      <c r="B813" t="s">
        <v>31</v>
      </c>
      <c r="C813" t="s">
        <v>32</v>
      </c>
      <c r="D813" t="s">
        <v>33</v>
      </c>
      <c r="E813" t="s">
        <v>1292</v>
      </c>
      <c r="F813" t="s">
        <v>35</v>
      </c>
      <c r="G813" t="s">
        <v>35</v>
      </c>
      <c r="H813" t="s">
        <v>35</v>
      </c>
      <c r="J813" t="s">
        <v>1419</v>
      </c>
      <c r="K813" t="s">
        <v>1092</v>
      </c>
      <c r="M813">
        <v>0.13500000000000001</v>
      </c>
      <c r="N813">
        <v>133</v>
      </c>
      <c r="O813" t="s">
        <v>38</v>
      </c>
      <c r="Q813" t="s">
        <v>68</v>
      </c>
      <c r="R813" t="s">
        <v>199</v>
      </c>
      <c r="S813" t="s">
        <v>200</v>
      </c>
    </row>
    <row r="814" spans="1:19" x14ac:dyDescent="0.25">
      <c r="A814" t="s">
        <v>59</v>
      </c>
      <c r="B814" t="s">
        <v>60</v>
      </c>
      <c r="C814" t="s">
        <v>32</v>
      </c>
      <c r="D814" t="s">
        <v>33</v>
      </c>
      <c r="E814" t="s">
        <v>1292</v>
      </c>
      <c r="F814" t="s">
        <v>35</v>
      </c>
      <c r="G814" t="s">
        <v>35</v>
      </c>
      <c r="H814" t="s">
        <v>35</v>
      </c>
      <c r="J814" t="s">
        <v>1420</v>
      </c>
      <c r="K814" t="s">
        <v>1092</v>
      </c>
      <c r="M814">
        <v>0.65</v>
      </c>
      <c r="N814">
        <v>288</v>
      </c>
      <c r="O814" t="s">
        <v>5</v>
      </c>
      <c r="Q814" t="s">
        <v>1421</v>
      </c>
      <c r="R814" t="s">
        <v>1395</v>
      </c>
      <c r="S814" t="s">
        <v>1396</v>
      </c>
    </row>
    <row r="815" spans="1:19" x14ac:dyDescent="0.25">
      <c r="A815" t="s">
        <v>30</v>
      </c>
      <c r="B815" t="s">
        <v>31</v>
      </c>
      <c r="C815" t="s">
        <v>32</v>
      </c>
      <c r="D815" t="s">
        <v>33</v>
      </c>
      <c r="E815" t="s">
        <v>1292</v>
      </c>
      <c r="F815" t="s">
        <v>35</v>
      </c>
      <c r="G815" t="s">
        <v>35</v>
      </c>
      <c r="H815" t="s">
        <v>35</v>
      </c>
      <c r="J815" t="s">
        <v>1422</v>
      </c>
      <c r="K815" t="s">
        <v>1092</v>
      </c>
      <c r="M815">
        <v>9.85</v>
      </c>
      <c r="N815">
        <v>45</v>
      </c>
      <c r="O815" t="s">
        <v>52</v>
      </c>
      <c r="Q815" t="s">
        <v>716</v>
      </c>
      <c r="R815" t="s">
        <v>85</v>
      </c>
      <c r="S815" t="s">
        <v>86</v>
      </c>
    </row>
    <row r="816" spans="1:19" x14ac:dyDescent="0.25">
      <c r="A816" t="s">
        <v>59</v>
      </c>
      <c r="B816" t="s">
        <v>60</v>
      </c>
      <c r="C816" t="s">
        <v>32</v>
      </c>
      <c r="D816" t="s">
        <v>33</v>
      </c>
      <c r="E816" t="s">
        <v>1292</v>
      </c>
      <c r="F816" t="s">
        <v>35</v>
      </c>
      <c r="G816" t="s">
        <v>35</v>
      </c>
      <c r="H816" t="s">
        <v>35</v>
      </c>
      <c r="J816" t="s">
        <v>1423</v>
      </c>
      <c r="K816" t="s">
        <v>1092</v>
      </c>
      <c r="M816">
        <v>2</v>
      </c>
      <c r="N816">
        <v>62</v>
      </c>
      <c r="O816" t="s">
        <v>61</v>
      </c>
      <c r="Q816" t="s">
        <v>90</v>
      </c>
      <c r="R816" t="s">
        <v>85</v>
      </c>
      <c r="S816" t="s">
        <v>86</v>
      </c>
    </row>
    <row r="817" spans="1:19" x14ac:dyDescent="0.25">
      <c r="A817" t="s">
        <v>30</v>
      </c>
      <c r="B817" t="s">
        <v>31</v>
      </c>
      <c r="C817" t="s">
        <v>32</v>
      </c>
      <c r="D817" t="s">
        <v>33</v>
      </c>
      <c r="E817" t="s">
        <v>1292</v>
      </c>
      <c r="F817" t="s">
        <v>35</v>
      </c>
      <c r="G817" t="s">
        <v>35</v>
      </c>
      <c r="H817" t="s">
        <v>35</v>
      </c>
      <c r="J817" t="s">
        <v>1423</v>
      </c>
      <c r="K817" t="s">
        <v>1092</v>
      </c>
      <c r="M817">
        <v>9.18</v>
      </c>
      <c r="N817">
        <v>20</v>
      </c>
      <c r="O817" t="s">
        <v>46</v>
      </c>
      <c r="Q817" t="s">
        <v>1004</v>
      </c>
      <c r="R817" t="s">
        <v>85</v>
      </c>
      <c r="S817" t="s">
        <v>86</v>
      </c>
    </row>
    <row r="818" spans="1:19" x14ac:dyDescent="0.25">
      <c r="A818" t="s">
        <v>44</v>
      </c>
      <c r="B818" t="s">
        <v>51</v>
      </c>
      <c r="C818" t="s">
        <v>32</v>
      </c>
      <c r="D818" t="s">
        <v>33</v>
      </c>
      <c r="E818" t="s">
        <v>1292</v>
      </c>
      <c r="F818" t="s">
        <v>35</v>
      </c>
      <c r="G818" t="s">
        <v>35</v>
      </c>
      <c r="H818" t="s">
        <v>35</v>
      </c>
      <c r="J818" t="s">
        <v>1423</v>
      </c>
      <c r="K818" t="s">
        <v>1092</v>
      </c>
      <c r="M818">
        <v>5.5</v>
      </c>
      <c r="N818">
        <v>28</v>
      </c>
      <c r="O818" t="s">
        <v>46</v>
      </c>
      <c r="Q818" t="s">
        <v>176</v>
      </c>
      <c r="R818" t="s">
        <v>85</v>
      </c>
      <c r="S818" t="s">
        <v>86</v>
      </c>
    </row>
    <row r="819" spans="1:19" x14ac:dyDescent="0.25">
      <c r="A819" t="s">
        <v>44</v>
      </c>
      <c r="B819" t="s">
        <v>3</v>
      </c>
      <c r="C819" t="s">
        <v>32</v>
      </c>
      <c r="D819" t="s">
        <v>33</v>
      </c>
      <c r="E819" t="s">
        <v>1292</v>
      </c>
      <c r="F819" t="s">
        <v>35</v>
      </c>
      <c r="G819" t="s">
        <v>35</v>
      </c>
      <c r="H819" t="s">
        <v>35</v>
      </c>
      <c r="J819" t="s">
        <v>1423</v>
      </c>
      <c r="K819" t="s">
        <v>1092</v>
      </c>
      <c r="M819">
        <v>2</v>
      </c>
      <c r="N819">
        <v>59</v>
      </c>
      <c r="O819" t="s">
        <v>52</v>
      </c>
      <c r="Q819" t="s">
        <v>84</v>
      </c>
      <c r="R819" t="s">
        <v>85</v>
      </c>
      <c r="S819" t="s">
        <v>86</v>
      </c>
    </row>
    <row r="820" spans="1:19" x14ac:dyDescent="0.25">
      <c r="A820" t="s">
        <v>59</v>
      </c>
      <c r="B820" t="s">
        <v>60</v>
      </c>
      <c r="C820" t="s">
        <v>32</v>
      </c>
      <c r="D820" t="s">
        <v>33</v>
      </c>
      <c r="E820" t="s">
        <v>1292</v>
      </c>
      <c r="F820" t="s">
        <v>35</v>
      </c>
      <c r="G820" t="s">
        <v>35</v>
      </c>
      <c r="H820" t="s">
        <v>35</v>
      </c>
      <c r="J820" t="s">
        <v>1424</v>
      </c>
      <c r="K820" t="s">
        <v>1092</v>
      </c>
      <c r="M820">
        <v>0.75</v>
      </c>
      <c r="N820">
        <v>259</v>
      </c>
      <c r="O820" t="s">
        <v>5</v>
      </c>
      <c r="Q820" t="s">
        <v>1425</v>
      </c>
      <c r="R820" t="s">
        <v>1395</v>
      </c>
      <c r="S820" t="s">
        <v>1396</v>
      </c>
    </row>
    <row r="821" spans="1:19" x14ac:dyDescent="0.25">
      <c r="A821" t="s">
        <v>30</v>
      </c>
      <c r="B821" t="s">
        <v>31</v>
      </c>
      <c r="C821" t="s">
        <v>32</v>
      </c>
      <c r="D821" t="s">
        <v>33</v>
      </c>
      <c r="E821" t="s">
        <v>1292</v>
      </c>
      <c r="F821" t="s">
        <v>35</v>
      </c>
      <c r="G821" t="s">
        <v>35</v>
      </c>
      <c r="H821" t="s">
        <v>35</v>
      </c>
      <c r="J821" t="s">
        <v>1426</v>
      </c>
      <c r="K821" t="s">
        <v>1092</v>
      </c>
      <c r="M821">
        <v>9.99</v>
      </c>
      <c r="N821">
        <v>16</v>
      </c>
      <c r="O821" t="s">
        <v>46</v>
      </c>
      <c r="Q821" t="s">
        <v>323</v>
      </c>
      <c r="R821" t="s">
        <v>103</v>
      </c>
      <c r="S821" t="s">
        <v>104</v>
      </c>
    </row>
    <row r="822" spans="1:19" x14ac:dyDescent="0.25">
      <c r="A822" t="s">
        <v>30</v>
      </c>
      <c r="B822" t="s">
        <v>31</v>
      </c>
      <c r="C822" t="s">
        <v>32</v>
      </c>
      <c r="D822" t="s">
        <v>33</v>
      </c>
      <c r="E822" t="s">
        <v>1292</v>
      </c>
      <c r="F822" t="s">
        <v>35</v>
      </c>
      <c r="G822" t="s">
        <v>35</v>
      </c>
      <c r="H822" t="s">
        <v>35</v>
      </c>
      <c r="J822" t="s">
        <v>1426</v>
      </c>
      <c r="K822" t="s">
        <v>1092</v>
      </c>
      <c r="M822">
        <v>7.47</v>
      </c>
      <c r="N822">
        <v>19</v>
      </c>
      <c r="O822" t="s">
        <v>46</v>
      </c>
      <c r="Q822" t="s">
        <v>1192</v>
      </c>
      <c r="R822" t="s">
        <v>169</v>
      </c>
      <c r="S822" t="s">
        <v>123</v>
      </c>
    </row>
    <row r="823" spans="1:19" x14ac:dyDescent="0.25">
      <c r="A823" t="s">
        <v>59</v>
      </c>
      <c r="B823" t="s">
        <v>31</v>
      </c>
      <c r="C823" t="s">
        <v>32</v>
      </c>
      <c r="D823" t="s">
        <v>33</v>
      </c>
      <c r="E823" t="s">
        <v>1292</v>
      </c>
      <c r="F823" t="s">
        <v>35</v>
      </c>
      <c r="G823" t="s">
        <v>35</v>
      </c>
      <c r="H823" t="s">
        <v>35</v>
      </c>
      <c r="J823" t="s">
        <v>1427</v>
      </c>
      <c r="K823" t="s">
        <v>1092</v>
      </c>
      <c r="M823">
        <v>0.18</v>
      </c>
      <c r="N823">
        <v>201</v>
      </c>
      <c r="O823" t="s">
        <v>5</v>
      </c>
      <c r="Q823" t="s">
        <v>1428</v>
      </c>
      <c r="R823" t="s">
        <v>1316</v>
      </c>
      <c r="S823" t="s">
        <v>1317</v>
      </c>
    </row>
    <row r="824" spans="1:19" x14ac:dyDescent="0.25">
      <c r="A824" t="s">
        <v>59</v>
      </c>
      <c r="B824" t="s">
        <v>31</v>
      </c>
      <c r="C824" t="s">
        <v>32</v>
      </c>
      <c r="D824" t="s">
        <v>33</v>
      </c>
      <c r="E824" t="s">
        <v>1292</v>
      </c>
      <c r="F824" t="s">
        <v>35</v>
      </c>
      <c r="G824" t="s">
        <v>35</v>
      </c>
      <c r="H824" t="s">
        <v>35</v>
      </c>
      <c r="J824" t="s">
        <v>1429</v>
      </c>
      <c r="K824" t="s">
        <v>1092</v>
      </c>
      <c r="M824">
        <v>0.99</v>
      </c>
      <c r="N824">
        <v>65</v>
      </c>
      <c r="O824" t="s">
        <v>61</v>
      </c>
      <c r="Q824" t="s">
        <v>128</v>
      </c>
      <c r="R824" t="s">
        <v>199</v>
      </c>
      <c r="S824" t="s">
        <v>200</v>
      </c>
    </row>
    <row r="825" spans="1:19" x14ac:dyDescent="0.25">
      <c r="A825" t="s">
        <v>59</v>
      </c>
      <c r="B825" t="s">
        <v>60</v>
      </c>
      <c r="C825" t="s">
        <v>32</v>
      </c>
      <c r="D825" t="s">
        <v>33</v>
      </c>
      <c r="E825" t="s">
        <v>1292</v>
      </c>
      <c r="F825" t="s">
        <v>35</v>
      </c>
      <c r="G825" t="s">
        <v>35</v>
      </c>
      <c r="H825" t="s">
        <v>35</v>
      </c>
      <c r="J825" t="s">
        <v>1429</v>
      </c>
      <c r="K825" t="s">
        <v>1092</v>
      </c>
      <c r="M825">
        <v>7</v>
      </c>
      <c r="N825">
        <v>65</v>
      </c>
      <c r="O825" t="s">
        <v>61</v>
      </c>
      <c r="Q825" t="s">
        <v>128</v>
      </c>
      <c r="R825" t="s">
        <v>199</v>
      </c>
      <c r="S825" t="s">
        <v>200</v>
      </c>
    </row>
    <row r="826" spans="1:19" x14ac:dyDescent="0.25">
      <c r="A826" t="s">
        <v>44</v>
      </c>
      <c r="B826" t="s">
        <v>3</v>
      </c>
      <c r="C826" t="s">
        <v>32</v>
      </c>
      <c r="D826" t="s">
        <v>33</v>
      </c>
      <c r="E826" t="s">
        <v>1292</v>
      </c>
      <c r="F826" t="s">
        <v>35</v>
      </c>
      <c r="G826" t="s">
        <v>35</v>
      </c>
      <c r="H826" t="s">
        <v>35</v>
      </c>
      <c r="J826" t="s">
        <v>1429</v>
      </c>
      <c r="K826" t="s">
        <v>1092</v>
      </c>
      <c r="M826">
        <v>4.95</v>
      </c>
      <c r="N826">
        <v>68</v>
      </c>
      <c r="O826" t="s">
        <v>61</v>
      </c>
      <c r="Q826" t="s">
        <v>146</v>
      </c>
      <c r="R826" t="s">
        <v>199</v>
      </c>
      <c r="S826" t="s">
        <v>200</v>
      </c>
    </row>
    <row r="827" spans="1:19" x14ac:dyDescent="0.25">
      <c r="A827" t="s">
        <v>59</v>
      </c>
      <c r="B827" t="s">
        <v>60</v>
      </c>
      <c r="C827" t="s">
        <v>32</v>
      </c>
      <c r="D827" t="s">
        <v>33</v>
      </c>
      <c r="E827" t="s">
        <v>1292</v>
      </c>
      <c r="F827" t="s">
        <v>35</v>
      </c>
      <c r="G827" t="s">
        <v>35</v>
      </c>
      <c r="H827" t="s">
        <v>35</v>
      </c>
      <c r="J827" t="s">
        <v>1429</v>
      </c>
      <c r="K827" t="s">
        <v>1092</v>
      </c>
      <c r="M827">
        <v>2.65</v>
      </c>
      <c r="N827">
        <v>133</v>
      </c>
      <c r="O827" t="s">
        <v>38</v>
      </c>
      <c r="Q827" t="s">
        <v>68</v>
      </c>
      <c r="R827" t="s">
        <v>199</v>
      </c>
      <c r="S827" t="s">
        <v>200</v>
      </c>
    </row>
    <row r="828" spans="1:19" x14ac:dyDescent="0.25">
      <c r="A828" t="s">
        <v>59</v>
      </c>
      <c r="B828" t="s">
        <v>60</v>
      </c>
      <c r="C828" t="s">
        <v>32</v>
      </c>
      <c r="D828" t="s">
        <v>33</v>
      </c>
      <c r="E828" t="s">
        <v>87</v>
      </c>
      <c r="F828" t="s">
        <v>35</v>
      </c>
      <c r="G828" t="s">
        <v>35</v>
      </c>
      <c r="H828" t="s">
        <v>35</v>
      </c>
      <c r="J828" t="s">
        <v>1430</v>
      </c>
      <c r="K828" t="s">
        <v>1092</v>
      </c>
      <c r="M828">
        <v>0.75</v>
      </c>
      <c r="N828">
        <v>100</v>
      </c>
      <c r="O828" t="s">
        <v>106</v>
      </c>
      <c r="Q828" t="s">
        <v>1112</v>
      </c>
      <c r="R828" t="s">
        <v>199</v>
      </c>
      <c r="S828" t="s">
        <v>200</v>
      </c>
    </row>
    <row r="829" spans="1:19" x14ac:dyDescent="0.25">
      <c r="A829" t="s">
        <v>59</v>
      </c>
      <c r="B829" t="s">
        <v>60</v>
      </c>
      <c r="C829" t="s">
        <v>32</v>
      </c>
      <c r="D829" t="s">
        <v>33</v>
      </c>
      <c r="E829" t="s">
        <v>87</v>
      </c>
      <c r="F829" t="s">
        <v>35</v>
      </c>
      <c r="G829" t="s">
        <v>35</v>
      </c>
      <c r="H829" t="s">
        <v>35</v>
      </c>
      <c r="J829" t="s">
        <v>1431</v>
      </c>
      <c r="K829" t="s">
        <v>1092</v>
      </c>
      <c r="M829">
        <v>0.7</v>
      </c>
      <c r="N829">
        <v>67</v>
      </c>
      <c r="O829" t="s">
        <v>61</v>
      </c>
      <c r="Q829" t="s">
        <v>1311</v>
      </c>
      <c r="R829" t="s">
        <v>1102</v>
      </c>
      <c r="S829" t="s">
        <v>105</v>
      </c>
    </row>
    <row r="830" spans="1:19" x14ac:dyDescent="0.25">
      <c r="A830" t="s">
        <v>59</v>
      </c>
      <c r="B830" t="s">
        <v>60</v>
      </c>
      <c r="C830" t="s">
        <v>32</v>
      </c>
      <c r="D830" t="s">
        <v>33</v>
      </c>
      <c r="E830" t="s">
        <v>87</v>
      </c>
      <c r="F830" t="s">
        <v>35</v>
      </c>
      <c r="G830" t="s">
        <v>35</v>
      </c>
      <c r="H830" t="s">
        <v>35</v>
      </c>
      <c r="J830" t="s">
        <v>1432</v>
      </c>
      <c r="K830" t="s">
        <v>1092</v>
      </c>
      <c r="M830">
        <v>0.998</v>
      </c>
      <c r="N830">
        <v>401</v>
      </c>
      <c r="O830" t="s">
        <v>294</v>
      </c>
      <c r="Q830" t="s">
        <v>1434</v>
      </c>
      <c r="R830" t="s">
        <v>1142</v>
      </c>
      <c r="S830" t="s">
        <v>88</v>
      </c>
    </row>
    <row r="831" spans="1:19" x14ac:dyDescent="0.25">
      <c r="A831" t="s">
        <v>59</v>
      </c>
      <c r="B831" t="s">
        <v>60</v>
      </c>
      <c r="C831" t="s">
        <v>32</v>
      </c>
      <c r="D831" t="s">
        <v>33</v>
      </c>
      <c r="E831" t="s">
        <v>87</v>
      </c>
      <c r="F831" t="s">
        <v>35</v>
      </c>
      <c r="G831" t="s">
        <v>35</v>
      </c>
      <c r="H831" t="s">
        <v>35</v>
      </c>
      <c r="J831" t="s">
        <v>1432</v>
      </c>
      <c r="K831" t="s">
        <v>1092</v>
      </c>
      <c r="M831">
        <v>0.5</v>
      </c>
      <c r="N831">
        <v>360</v>
      </c>
      <c r="O831" t="s">
        <v>5</v>
      </c>
      <c r="Q831" t="s">
        <v>1435</v>
      </c>
      <c r="R831" t="s">
        <v>1142</v>
      </c>
      <c r="S831" t="s">
        <v>88</v>
      </c>
    </row>
    <row r="832" spans="1:19" x14ac:dyDescent="0.25">
      <c r="A832" t="s">
        <v>30</v>
      </c>
      <c r="B832" t="s">
        <v>31</v>
      </c>
      <c r="C832" t="s">
        <v>32</v>
      </c>
      <c r="D832" t="s">
        <v>33</v>
      </c>
      <c r="E832" t="s">
        <v>87</v>
      </c>
      <c r="F832" t="s">
        <v>35</v>
      </c>
      <c r="G832" t="s">
        <v>35</v>
      </c>
      <c r="H832" t="s">
        <v>35</v>
      </c>
      <c r="J832" t="s">
        <v>1432</v>
      </c>
      <c r="K832" t="s">
        <v>1092</v>
      </c>
      <c r="M832">
        <v>0.76500000000000001</v>
      </c>
      <c r="N832">
        <v>388</v>
      </c>
      <c r="O832" t="s">
        <v>294</v>
      </c>
      <c r="Q832" t="s">
        <v>1433</v>
      </c>
      <c r="R832" t="s">
        <v>1142</v>
      </c>
      <c r="S832" t="s">
        <v>88</v>
      </c>
    </row>
    <row r="833" spans="1:19" x14ac:dyDescent="0.25">
      <c r="A833" t="s">
        <v>59</v>
      </c>
      <c r="B833" t="s">
        <v>31</v>
      </c>
      <c r="C833" t="s">
        <v>32</v>
      </c>
      <c r="D833" t="s">
        <v>33</v>
      </c>
      <c r="E833" t="s">
        <v>87</v>
      </c>
      <c r="F833" t="s">
        <v>35</v>
      </c>
      <c r="G833" t="s">
        <v>35</v>
      </c>
      <c r="H833" t="s">
        <v>35</v>
      </c>
      <c r="J833" t="s">
        <v>1436</v>
      </c>
      <c r="K833" t="s">
        <v>1092</v>
      </c>
      <c r="M833">
        <v>2.6549999999999998</v>
      </c>
      <c r="N833">
        <v>95</v>
      </c>
      <c r="O833" t="s">
        <v>106</v>
      </c>
      <c r="Q833" t="s">
        <v>724</v>
      </c>
      <c r="R833" t="s">
        <v>1279</v>
      </c>
      <c r="S833" t="s">
        <v>163</v>
      </c>
    </row>
    <row r="834" spans="1:19" x14ac:dyDescent="0.25">
      <c r="A834" t="s">
        <v>59</v>
      </c>
      <c r="B834" t="s">
        <v>60</v>
      </c>
      <c r="C834" t="s">
        <v>32</v>
      </c>
      <c r="D834" t="s">
        <v>33</v>
      </c>
      <c r="E834" t="s">
        <v>87</v>
      </c>
      <c r="F834" t="s">
        <v>35</v>
      </c>
      <c r="G834" t="s">
        <v>35</v>
      </c>
      <c r="H834" t="s">
        <v>35</v>
      </c>
      <c r="J834" t="s">
        <v>1436</v>
      </c>
      <c r="K834" t="s">
        <v>1092</v>
      </c>
      <c r="M834">
        <v>7.45</v>
      </c>
      <c r="N834">
        <v>75</v>
      </c>
      <c r="O834" t="s">
        <v>61</v>
      </c>
      <c r="Q834" t="s">
        <v>805</v>
      </c>
      <c r="R834" t="s">
        <v>1279</v>
      </c>
      <c r="S834" t="s">
        <v>163</v>
      </c>
    </row>
    <row r="835" spans="1:19" x14ac:dyDescent="0.25">
      <c r="A835" t="s">
        <v>30</v>
      </c>
      <c r="B835" t="s">
        <v>31</v>
      </c>
      <c r="C835" t="s">
        <v>32</v>
      </c>
      <c r="D835" t="s">
        <v>33</v>
      </c>
      <c r="E835" t="s">
        <v>87</v>
      </c>
      <c r="F835" t="s">
        <v>35</v>
      </c>
      <c r="G835" t="s">
        <v>35</v>
      </c>
      <c r="H835" t="s">
        <v>35</v>
      </c>
      <c r="J835" t="s">
        <v>1437</v>
      </c>
      <c r="K835" t="s">
        <v>1092</v>
      </c>
      <c r="M835">
        <v>4.1399999999999997</v>
      </c>
      <c r="N835">
        <v>45</v>
      </c>
      <c r="O835" t="s">
        <v>52</v>
      </c>
      <c r="Q835" t="s">
        <v>716</v>
      </c>
      <c r="R835" t="s">
        <v>1129</v>
      </c>
      <c r="S835" t="s">
        <v>1130</v>
      </c>
    </row>
    <row r="836" spans="1:19" x14ac:dyDescent="0.25">
      <c r="A836" t="s">
        <v>59</v>
      </c>
      <c r="B836" t="s">
        <v>60</v>
      </c>
      <c r="C836" t="s">
        <v>32</v>
      </c>
      <c r="D836" t="s">
        <v>33</v>
      </c>
      <c r="E836" t="s">
        <v>87</v>
      </c>
      <c r="F836" t="s">
        <v>35</v>
      </c>
      <c r="G836" t="s">
        <v>35</v>
      </c>
      <c r="H836" t="s">
        <v>35</v>
      </c>
      <c r="J836" t="s">
        <v>1438</v>
      </c>
      <c r="K836" t="s">
        <v>1092</v>
      </c>
      <c r="M836">
        <v>1.8</v>
      </c>
      <c r="N836">
        <v>98</v>
      </c>
      <c r="O836" t="s">
        <v>106</v>
      </c>
      <c r="Q836" t="s">
        <v>108</v>
      </c>
      <c r="R836" t="s">
        <v>193</v>
      </c>
      <c r="S836" t="s">
        <v>181</v>
      </c>
    </row>
    <row r="837" spans="1:19" x14ac:dyDescent="0.25">
      <c r="A837" t="s">
        <v>30</v>
      </c>
      <c r="B837" t="s">
        <v>31</v>
      </c>
      <c r="C837" t="s">
        <v>32</v>
      </c>
      <c r="D837" t="s">
        <v>33</v>
      </c>
      <c r="E837" t="s">
        <v>87</v>
      </c>
      <c r="F837" t="s">
        <v>35</v>
      </c>
      <c r="G837" t="s">
        <v>35</v>
      </c>
      <c r="H837" t="s">
        <v>35</v>
      </c>
      <c r="J837" t="s">
        <v>1353</v>
      </c>
      <c r="K837" t="s">
        <v>1092</v>
      </c>
      <c r="M837">
        <v>10.08</v>
      </c>
      <c r="N837">
        <v>47</v>
      </c>
      <c r="O837" t="s">
        <v>52</v>
      </c>
      <c r="Q837" t="s">
        <v>132</v>
      </c>
      <c r="R837" t="s">
        <v>199</v>
      </c>
      <c r="S837" t="s">
        <v>200</v>
      </c>
    </row>
    <row r="838" spans="1:19" x14ac:dyDescent="0.25">
      <c r="A838" t="s">
        <v>59</v>
      </c>
      <c r="B838" t="s">
        <v>60</v>
      </c>
      <c r="C838" t="s">
        <v>32</v>
      </c>
      <c r="D838" t="s">
        <v>33</v>
      </c>
      <c r="E838" t="s">
        <v>87</v>
      </c>
      <c r="F838" t="s">
        <v>35</v>
      </c>
      <c r="G838" t="s">
        <v>35</v>
      </c>
      <c r="H838" t="s">
        <v>35</v>
      </c>
      <c r="J838" t="s">
        <v>1353</v>
      </c>
      <c r="K838" t="s">
        <v>1092</v>
      </c>
      <c r="M838">
        <v>11</v>
      </c>
      <c r="N838">
        <v>75</v>
      </c>
      <c r="O838" t="s">
        <v>61</v>
      </c>
      <c r="Q838" t="s">
        <v>805</v>
      </c>
      <c r="R838" t="s">
        <v>199</v>
      </c>
      <c r="S838" t="s">
        <v>200</v>
      </c>
    </row>
    <row r="839" spans="1:19" x14ac:dyDescent="0.25">
      <c r="A839" t="s">
        <v>44</v>
      </c>
      <c r="B839" t="s">
        <v>51</v>
      </c>
      <c r="C839" t="s">
        <v>32</v>
      </c>
      <c r="D839" t="s">
        <v>33</v>
      </c>
      <c r="E839" t="s">
        <v>87</v>
      </c>
      <c r="F839" t="s">
        <v>35</v>
      </c>
      <c r="G839" t="s">
        <v>35</v>
      </c>
      <c r="H839" t="s">
        <v>35</v>
      </c>
      <c r="J839" t="s">
        <v>1353</v>
      </c>
      <c r="K839" t="s">
        <v>1092</v>
      </c>
      <c r="M839">
        <v>2.4500000000000002</v>
      </c>
      <c r="N839">
        <v>62</v>
      </c>
      <c r="O839" t="s">
        <v>61</v>
      </c>
      <c r="Q839" t="s">
        <v>90</v>
      </c>
      <c r="R839" t="s">
        <v>199</v>
      </c>
      <c r="S839" t="s">
        <v>200</v>
      </c>
    </row>
    <row r="840" spans="1:19" x14ac:dyDescent="0.25">
      <c r="A840" t="s">
        <v>44</v>
      </c>
      <c r="B840" t="s">
        <v>3</v>
      </c>
      <c r="C840" t="s">
        <v>32</v>
      </c>
      <c r="D840" t="s">
        <v>33</v>
      </c>
      <c r="E840" t="s">
        <v>87</v>
      </c>
      <c r="F840" t="s">
        <v>35</v>
      </c>
      <c r="G840" t="s">
        <v>35</v>
      </c>
      <c r="H840" t="s">
        <v>35</v>
      </c>
      <c r="J840" t="s">
        <v>1353</v>
      </c>
      <c r="K840" t="s">
        <v>1092</v>
      </c>
      <c r="M840">
        <v>5.5</v>
      </c>
      <c r="N840">
        <v>68</v>
      </c>
      <c r="O840" t="s">
        <v>61</v>
      </c>
      <c r="Q840" t="s">
        <v>146</v>
      </c>
      <c r="R840" t="s">
        <v>199</v>
      </c>
      <c r="S840" t="s">
        <v>200</v>
      </c>
    </row>
    <row r="841" spans="1:19" x14ac:dyDescent="0.25">
      <c r="A841" t="s">
        <v>59</v>
      </c>
      <c r="B841" t="s">
        <v>31</v>
      </c>
      <c r="C841" t="s">
        <v>32</v>
      </c>
      <c r="D841" t="s">
        <v>33</v>
      </c>
      <c r="E841" t="s">
        <v>87</v>
      </c>
      <c r="F841" t="s">
        <v>35</v>
      </c>
      <c r="G841" t="s">
        <v>35</v>
      </c>
      <c r="H841" t="s">
        <v>35</v>
      </c>
      <c r="J841" t="s">
        <v>1353</v>
      </c>
      <c r="K841" t="s">
        <v>1092</v>
      </c>
      <c r="M841">
        <v>4.8150000000000004</v>
      </c>
      <c r="N841">
        <v>75</v>
      </c>
      <c r="O841" t="s">
        <v>61</v>
      </c>
      <c r="Q841" t="s">
        <v>805</v>
      </c>
      <c r="R841" t="s">
        <v>199</v>
      </c>
      <c r="S841" t="s">
        <v>200</v>
      </c>
    </row>
    <row r="842" spans="1:19" x14ac:dyDescent="0.25">
      <c r="A842" t="s">
        <v>59</v>
      </c>
      <c r="B842" t="s">
        <v>60</v>
      </c>
      <c r="C842" t="s">
        <v>32</v>
      </c>
      <c r="D842" t="s">
        <v>33</v>
      </c>
      <c r="E842" t="s">
        <v>87</v>
      </c>
      <c r="F842" t="s">
        <v>35</v>
      </c>
      <c r="G842" t="s">
        <v>35</v>
      </c>
      <c r="H842" t="s">
        <v>35</v>
      </c>
      <c r="J842" t="s">
        <v>1353</v>
      </c>
      <c r="K842" t="s">
        <v>1092</v>
      </c>
      <c r="M842">
        <v>4.5490000000000004</v>
      </c>
      <c r="N842">
        <v>100</v>
      </c>
      <c r="O842" t="s">
        <v>106</v>
      </c>
      <c r="Q842" t="s">
        <v>1112</v>
      </c>
      <c r="R842" t="s">
        <v>199</v>
      </c>
      <c r="S842" t="s">
        <v>200</v>
      </c>
    </row>
    <row r="843" spans="1:19" x14ac:dyDescent="0.25">
      <c r="A843" t="s">
        <v>59</v>
      </c>
      <c r="B843" t="s">
        <v>31</v>
      </c>
      <c r="C843" t="s">
        <v>32</v>
      </c>
      <c r="D843" t="s">
        <v>33</v>
      </c>
      <c r="E843" t="s">
        <v>87</v>
      </c>
      <c r="F843" t="s">
        <v>35</v>
      </c>
      <c r="G843" t="s">
        <v>35</v>
      </c>
      <c r="H843" t="s">
        <v>35</v>
      </c>
      <c r="J843" t="s">
        <v>1441</v>
      </c>
      <c r="K843" t="s">
        <v>1092</v>
      </c>
      <c r="M843">
        <v>2.0699999999999998</v>
      </c>
      <c r="N843">
        <v>93</v>
      </c>
      <c r="O843" t="s">
        <v>106</v>
      </c>
      <c r="Q843" t="s">
        <v>941</v>
      </c>
      <c r="R843" t="s">
        <v>1279</v>
      </c>
      <c r="S843" t="s">
        <v>163</v>
      </c>
    </row>
    <row r="844" spans="1:19" x14ac:dyDescent="0.25">
      <c r="A844" t="s">
        <v>1439</v>
      </c>
      <c r="B844" t="s">
        <v>1440</v>
      </c>
      <c r="C844" t="s">
        <v>32</v>
      </c>
      <c r="D844" t="s">
        <v>33</v>
      </c>
      <c r="E844" t="s">
        <v>87</v>
      </c>
      <c r="F844" t="s">
        <v>35</v>
      </c>
      <c r="G844" t="s">
        <v>35</v>
      </c>
      <c r="H844" t="s">
        <v>35</v>
      </c>
      <c r="J844" t="s">
        <v>1441</v>
      </c>
      <c r="K844" t="s">
        <v>1092</v>
      </c>
      <c r="M844">
        <v>0.28000000000000003</v>
      </c>
      <c r="N844">
        <v>93</v>
      </c>
      <c r="O844" t="s">
        <v>106</v>
      </c>
      <c r="Q844" t="s">
        <v>941</v>
      </c>
      <c r="R844" t="s">
        <v>1279</v>
      </c>
      <c r="S844" t="s">
        <v>163</v>
      </c>
    </row>
    <row r="845" spans="1:19" x14ac:dyDescent="0.25">
      <c r="A845" t="s">
        <v>59</v>
      </c>
      <c r="B845" t="s">
        <v>31</v>
      </c>
      <c r="C845" t="s">
        <v>32</v>
      </c>
      <c r="D845" t="s">
        <v>33</v>
      </c>
      <c r="E845" t="s">
        <v>87</v>
      </c>
      <c r="F845" t="s">
        <v>35</v>
      </c>
      <c r="G845" t="s">
        <v>35</v>
      </c>
      <c r="H845" t="s">
        <v>35</v>
      </c>
      <c r="J845" t="s">
        <v>1442</v>
      </c>
      <c r="K845" t="s">
        <v>1092</v>
      </c>
      <c r="M845">
        <v>1.1000000000000001</v>
      </c>
      <c r="N845">
        <v>83</v>
      </c>
      <c r="O845" t="s">
        <v>61</v>
      </c>
      <c r="Q845" t="s">
        <v>455</v>
      </c>
      <c r="R845" t="s">
        <v>1142</v>
      </c>
      <c r="S845" t="s">
        <v>88</v>
      </c>
    </row>
    <row r="846" spans="1:19" x14ac:dyDescent="0.25">
      <c r="A846" t="s">
        <v>59</v>
      </c>
      <c r="B846" t="s">
        <v>60</v>
      </c>
      <c r="C846" t="s">
        <v>32</v>
      </c>
      <c r="D846" t="s">
        <v>33</v>
      </c>
      <c r="E846" t="s">
        <v>87</v>
      </c>
      <c r="F846" t="s">
        <v>35</v>
      </c>
      <c r="G846" t="s">
        <v>35</v>
      </c>
      <c r="H846" t="s">
        <v>35</v>
      </c>
      <c r="J846" t="s">
        <v>1442</v>
      </c>
      <c r="K846" t="s">
        <v>1092</v>
      </c>
      <c r="M846">
        <v>0.25</v>
      </c>
      <c r="N846">
        <v>83</v>
      </c>
      <c r="O846" t="s">
        <v>61</v>
      </c>
      <c r="Q846" t="s">
        <v>455</v>
      </c>
      <c r="R846" t="s">
        <v>1142</v>
      </c>
      <c r="S846" t="s">
        <v>88</v>
      </c>
    </row>
    <row r="847" spans="1:19" x14ac:dyDescent="0.25">
      <c r="A847" t="s">
        <v>30</v>
      </c>
      <c r="B847" t="s">
        <v>31</v>
      </c>
      <c r="C847" t="s">
        <v>32</v>
      </c>
      <c r="D847" t="s">
        <v>33</v>
      </c>
      <c r="E847" t="s">
        <v>87</v>
      </c>
      <c r="F847" t="s">
        <v>35</v>
      </c>
      <c r="G847" t="s">
        <v>35</v>
      </c>
      <c r="H847" t="s">
        <v>35</v>
      </c>
      <c r="J847" t="s">
        <v>1442</v>
      </c>
      <c r="K847" t="s">
        <v>1092</v>
      </c>
      <c r="M847">
        <v>0.315</v>
      </c>
      <c r="N847">
        <v>48</v>
      </c>
      <c r="O847" t="s">
        <v>52</v>
      </c>
      <c r="Q847" t="s">
        <v>496</v>
      </c>
      <c r="R847" t="s">
        <v>1142</v>
      </c>
      <c r="S847" t="s">
        <v>88</v>
      </c>
    </row>
    <row r="848" spans="1:19" x14ac:dyDescent="0.25">
      <c r="A848" t="s">
        <v>59</v>
      </c>
      <c r="B848" t="s">
        <v>31</v>
      </c>
      <c r="C848" t="s">
        <v>32</v>
      </c>
      <c r="D848" t="s">
        <v>33</v>
      </c>
      <c r="E848" t="s">
        <v>87</v>
      </c>
      <c r="F848" t="s">
        <v>35</v>
      </c>
      <c r="G848" t="s">
        <v>35</v>
      </c>
      <c r="H848" t="s">
        <v>35</v>
      </c>
      <c r="J848" t="s">
        <v>1442</v>
      </c>
      <c r="K848" t="s">
        <v>1092</v>
      </c>
      <c r="M848">
        <v>0.18</v>
      </c>
      <c r="N848">
        <v>54</v>
      </c>
      <c r="O848" t="s">
        <v>52</v>
      </c>
      <c r="Q848" t="s">
        <v>1207</v>
      </c>
      <c r="R848" t="s">
        <v>1142</v>
      </c>
      <c r="S848" t="s">
        <v>88</v>
      </c>
    </row>
    <row r="849" spans="1:19" x14ac:dyDescent="0.25">
      <c r="A849" t="s">
        <v>44</v>
      </c>
      <c r="B849" t="s">
        <v>51</v>
      </c>
      <c r="C849" t="s">
        <v>32</v>
      </c>
      <c r="D849" t="s">
        <v>33</v>
      </c>
      <c r="E849" t="s">
        <v>87</v>
      </c>
      <c r="F849" t="s">
        <v>35</v>
      </c>
      <c r="G849" t="s">
        <v>35</v>
      </c>
      <c r="H849" t="s">
        <v>35</v>
      </c>
      <c r="J849" t="s">
        <v>1442</v>
      </c>
      <c r="K849" t="s">
        <v>1092</v>
      </c>
      <c r="M849">
        <v>0.35</v>
      </c>
      <c r="N849">
        <v>48</v>
      </c>
      <c r="O849" t="s">
        <v>52</v>
      </c>
      <c r="Q849" t="s">
        <v>496</v>
      </c>
      <c r="R849" t="s">
        <v>1142</v>
      </c>
      <c r="S849" t="s">
        <v>88</v>
      </c>
    </row>
    <row r="850" spans="1:19" x14ac:dyDescent="0.25">
      <c r="A850" t="s">
        <v>59</v>
      </c>
      <c r="B850" t="s">
        <v>60</v>
      </c>
      <c r="C850" t="s">
        <v>32</v>
      </c>
      <c r="D850" t="s">
        <v>33</v>
      </c>
      <c r="E850" t="s">
        <v>87</v>
      </c>
      <c r="F850" t="s">
        <v>35</v>
      </c>
      <c r="G850" t="s">
        <v>35</v>
      </c>
      <c r="H850" t="s">
        <v>35</v>
      </c>
      <c r="J850" t="s">
        <v>1442</v>
      </c>
      <c r="K850" t="s">
        <v>1092</v>
      </c>
      <c r="M850">
        <v>0.25</v>
      </c>
      <c r="N850">
        <v>54</v>
      </c>
      <c r="O850" t="s">
        <v>52</v>
      </c>
      <c r="Q850" t="s">
        <v>1207</v>
      </c>
      <c r="R850" t="s">
        <v>1142</v>
      </c>
      <c r="S850" t="s">
        <v>88</v>
      </c>
    </row>
    <row r="851" spans="1:19" x14ac:dyDescent="0.25">
      <c r="A851" t="s">
        <v>59</v>
      </c>
      <c r="B851" t="s">
        <v>60</v>
      </c>
      <c r="C851" t="s">
        <v>32</v>
      </c>
      <c r="D851" t="s">
        <v>33</v>
      </c>
      <c r="E851" t="s">
        <v>87</v>
      </c>
      <c r="F851" t="s">
        <v>35</v>
      </c>
      <c r="G851" t="s">
        <v>35</v>
      </c>
      <c r="H851" t="s">
        <v>35</v>
      </c>
      <c r="J851" t="s">
        <v>1443</v>
      </c>
      <c r="K851" t="s">
        <v>1092</v>
      </c>
      <c r="M851">
        <v>0.25</v>
      </c>
      <c r="N851">
        <v>100</v>
      </c>
      <c r="O851" t="s">
        <v>106</v>
      </c>
      <c r="Q851" t="s">
        <v>1112</v>
      </c>
      <c r="R851" t="s">
        <v>199</v>
      </c>
      <c r="S851" t="s">
        <v>200</v>
      </c>
    </row>
    <row r="852" spans="1:19" x14ac:dyDescent="0.25">
      <c r="A852" t="s">
        <v>44</v>
      </c>
      <c r="B852" t="s">
        <v>3</v>
      </c>
      <c r="C852" t="s">
        <v>32</v>
      </c>
      <c r="D852" t="s">
        <v>33</v>
      </c>
      <c r="E852" t="s">
        <v>87</v>
      </c>
      <c r="F852" t="s">
        <v>35</v>
      </c>
      <c r="G852" t="s">
        <v>35</v>
      </c>
      <c r="H852" t="s">
        <v>35</v>
      </c>
      <c r="J852" t="s">
        <v>1443</v>
      </c>
      <c r="K852" t="s">
        <v>1092</v>
      </c>
      <c r="M852">
        <v>0.7</v>
      </c>
      <c r="N852">
        <v>28</v>
      </c>
      <c r="O852" t="s">
        <v>46</v>
      </c>
      <c r="Q852" t="s">
        <v>176</v>
      </c>
      <c r="R852" t="s">
        <v>1287</v>
      </c>
      <c r="S852" t="s">
        <v>189</v>
      </c>
    </row>
    <row r="853" spans="1:19" x14ac:dyDescent="0.25">
      <c r="A853" t="s">
        <v>59</v>
      </c>
      <c r="B853" t="s">
        <v>31</v>
      </c>
      <c r="C853" t="s">
        <v>32</v>
      </c>
      <c r="D853" t="s">
        <v>33</v>
      </c>
      <c r="E853" t="s">
        <v>87</v>
      </c>
      <c r="F853" t="s">
        <v>35</v>
      </c>
      <c r="G853" t="s">
        <v>35</v>
      </c>
      <c r="H853" t="s">
        <v>35</v>
      </c>
      <c r="J853" t="s">
        <v>1445</v>
      </c>
      <c r="K853" t="s">
        <v>1092</v>
      </c>
      <c r="M853">
        <v>3.78</v>
      </c>
      <c r="N853">
        <v>26</v>
      </c>
      <c r="O853" t="s">
        <v>46</v>
      </c>
      <c r="Q853" t="s">
        <v>94</v>
      </c>
      <c r="R853" t="s">
        <v>1279</v>
      </c>
      <c r="S853" t="s">
        <v>163</v>
      </c>
    </row>
    <row r="854" spans="1:19" x14ac:dyDescent="0.25">
      <c r="A854" t="s">
        <v>59</v>
      </c>
      <c r="B854" t="s">
        <v>60</v>
      </c>
      <c r="C854" t="s">
        <v>32</v>
      </c>
      <c r="D854" t="s">
        <v>33</v>
      </c>
      <c r="E854" t="s">
        <v>87</v>
      </c>
      <c r="F854" t="s">
        <v>35</v>
      </c>
      <c r="G854" t="s">
        <v>35</v>
      </c>
      <c r="H854" t="s">
        <v>35</v>
      </c>
      <c r="J854" t="s">
        <v>1446</v>
      </c>
      <c r="K854" t="s">
        <v>1092</v>
      </c>
      <c r="M854">
        <v>0.21</v>
      </c>
      <c r="N854">
        <v>201</v>
      </c>
      <c r="O854" t="s">
        <v>5</v>
      </c>
      <c r="Q854" t="s">
        <v>1428</v>
      </c>
      <c r="R854" t="s">
        <v>1447</v>
      </c>
      <c r="S854" t="s">
        <v>109</v>
      </c>
    </row>
    <row r="855" spans="1:19" x14ac:dyDescent="0.25">
      <c r="A855" t="s">
        <v>59</v>
      </c>
      <c r="B855" t="s">
        <v>60</v>
      </c>
      <c r="C855" t="s">
        <v>32</v>
      </c>
      <c r="D855" t="s">
        <v>33</v>
      </c>
      <c r="E855" t="s">
        <v>87</v>
      </c>
      <c r="F855" t="s">
        <v>35</v>
      </c>
      <c r="G855" t="s">
        <v>35</v>
      </c>
      <c r="H855" t="s">
        <v>35</v>
      </c>
      <c r="J855" t="s">
        <v>1448</v>
      </c>
      <c r="K855" t="s">
        <v>1092</v>
      </c>
      <c r="M855">
        <v>1</v>
      </c>
      <c r="N855">
        <v>108</v>
      </c>
      <c r="O855" t="s">
        <v>106</v>
      </c>
      <c r="Q855" t="s">
        <v>1450</v>
      </c>
      <c r="R855" t="s">
        <v>1122</v>
      </c>
      <c r="S855" t="s">
        <v>95</v>
      </c>
    </row>
    <row r="856" spans="1:19" x14ac:dyDescent="0.25">
      <c r="A856" t="s">
        <v>59</v>
      </c>
      <c r="B856" t="s">
        <v>60</v>
      </c>
      <c r="C856" t="s">
        <v>32</v>
      </c>
      <c r="D856" t="s">
        <v>33</v>
      </c>
      <c r="E856" t="s">
        <v>87</v>
      </c>
      <c r="F856" t="s">
        <v>35</v>
      </c>
      <c r="G856" t="s">
        <v>35</v>
      </c>
      <c r="H856" t="s">
        <v>35</v>
      </c>
      <c r="J856" t="s">
        <v>1448</v>
      </c>
      <c r="K856" t="s">
        <v>1092</v>
      </c>
      <c r="M856">
        <v>1.85</v>
      </c>
      <c r="N856">
        <v>129</v>
      </c>
      <c r="O856" t="s">
        <v>38</v>
      </c>
      <c r="Q856" t="s">
        <v>1449</v>
      </c>
      <c r="R856" t="s">
        <v>1122</v>
      </c>
      <c r="S856" t="s">
        <v>95</v>
      </c>
    </row>
    <row r="857" spans="1:19" x14ac:dyDescent="0.25">
      <c r="A857" t="s">
        <v>59</v>
      </c>
      <c r="B857" t="s">
        <v>60</v>
      </c>
      <c r="C857" t="s">
        <v>32</v>
      </c>
      <c r="D857" t="s">
        <v>33</v>
      </c>
      <c r="E857" t="s">
        <v>87</v>
      </c>
      <c r="F857" t="s">
        <v>35</v>
      </c>
      <c r="G857" t="s">
        <v>35</v>
      </c>
      <c r="H857" t="s">
        <v>35</v>
      </c>
      <c r="J857" t="s">
        <v>1451</v>
      </c>
      <c r="K857" t="s">
        <v>1092</v>
      </c>
      <c r="M857">
        <v>1</v>
      </c>
      <c r="N857">
        <v>62</v>
      </c>
      <c r="O857" t="s">
        <v>61</v>
      </c>
      <c r="Q857" t="s">
        <v>90</v>
      </c>
      <c r="R857" t="s">
        <v>1122</v>
      </c>
      <c r="S857" t="s">
        <v>95</v>
      </c>
    </row>
    <row r="858" spans="1:19" x14ac:dyDescent="0.25">
      <c r="A858" t="s">
        <v>59</v>
      </c>
      <c r="B858" t="s">
        <v>31</v>
      </c>
      <c r="C858" t="s">
        <v>32</v>
      </c>
      <c r="D858" t="s">
        <v>33</v>
      </c>
      <c r="E858" t="s">
        <v>87</v>
      </c>
      <c r="F858" t="s">
        <v>35</v>
      </c>
      <c r="G858" t="s">
        <v>35</v>
      </c>
      <c r="H858" t="s">
        <v>35</v>
      </c>
      <c r="J858" t="s">
        <v>1452</v>
      </c>
      <c r="K858" t="s">
        <v>1092</v>
      </c>
      <c r="M858">
        <v>0.45</v>
      </c>
      <c r="N858">
        <v>1584</v>
      </c>
      <c r="O858" t="s">
        <v>575</v>
      </c>
      <c r="Q858" t="s">
        <v>1453</v>
      </c>
      <c r="R858" t="s">
        <v>1454</v>
      </c>
      <c r="S858" t="s">
        <v>1455</v>
      </c>
    </row>
    <row r="859" spans="1:19" x14ac:dyDescent="0.25">
      <c r="A859" t="s">
        <v>59</v>
      </c>
      <c r="B859" t="s">
        <v>60</v>
      </c>
      <c r="C859" t="s">
        <v>32</v>
      </c>
      <c r="D859" t="s">
        <v>33</v>
      </c>
      <c r="E859" t="s">
        <v>87</v>
      </c>
      <c r="F859" t="s">
        <v>35</v>
      </c>
      <c r="G859" t="s">
        <v>35</v>
      </c>
      <c r="H859" t="s">
        <v>35</v>
      </c>
      <c r="J859" t="s">
        <v>1452</v>
      </c>
      <c r="K859" t="s">
        <v>1092</v>
      </c>
      <c r="M859">
        <v>0.05</v>
      </c>
      <c r="N859">
        <v>1627</v>
      </c>
      <c r="O859" t="s">
        <v>575</v>
      </c>
      <c r="Q859" t="s">
        <v>1457</v>
      </c>
      <c r="R859" t="s">
        <v>1454</v>
      </c>
      <c r="S859" t="s">
        <v>1455</v>
      </c>
    </row>
    <row r="860" spans="1:19" x14ac:dyDescent="0.25">
      <c r="A860" t="s">
        <v>30</v>
      </c>
      <c r="B860" t="s">
        <v>31</v>
      </c>
      <c r="C860" t="s">
        <v>32</v>
      </c>
      <c r="D860" t="s">
        <v>33</v>
      </c>
      <c r="E860" t="s">
        <v>87</v>
      </c>
      <c r="F860" t="s">
        <v>35</v>
      </c>
      <c r="G860" t="s">
        <v>35</v>
      </c>
      <c r="H860" t="s">
        <v>35</v>
      </c>
      <c r="J860" t="s">
        <v>1452</v>
      </c>
      <c r="K860" t="s">
        <v>1092</v>
      </c>
      <c r="M860">
        <v>0.22500000000000001</v>
      </c>
      <c r="N860">
        <v>1536</v>
      </c>
      <c r="O860" t="s">
        <v>575</v>
      </c>
      <c r="Q860" t="s">
        <v>1458</v>
      </c>
      <c r="R860" t="s">
        <v>193</v>
      </c>
      <c r="S860" t="s">
        <v>181</v>
      </c>
    </row>
    <row r="861" spans="1:19" x14ac:dyDescent="0.25">
      <c r="A861" t="s">
        <v>44</v>
      </c>
      <c r="B861" t="s">
        <v>51</v>
      </c>
      <c r="C861" t="s">
        <v>32</v>
      </c>
      <c r="D861" t="s">
        <v>33</v>
      </c>
      <c r="E861" t="s">
        <v>87</v>
      </c>
      <c r="F861" t="s">
        <v>35</v>
      </c>
      <c r="G861" t="s">
        <v>35</v>
      </c>
      <c r="H861" t="s">
        <v>35</v>
      </c>
      <c r="J861" t="s">
        <v>1459</v>
      </c>
      <c r="K861" t="s">
        <v>1092</v>
      </c>
      <c r="M861">
        <v>2</v>
      </c>
      <c r="N861">
        <v>31</v>
      </c>
      <c r="O861" t="s">
        <v>52</v>
      </c>
      <c r="Q861" t="s">
        <v>972</v>
      </c>
      <c r="R861" t="s">
        <v>1142</v>
      </c>
      <c r="S861" t="s">
        <v>88</v>
      </c>
    </row>
    <row r="862" spans="1:19" x14ac:dyDescent="0.25">
      <c r="A862" t="s">
        <v>59</v>
      </c>
      <c r="B862" t="s">
        <v>60</v>
      </c>
      <c r="C862" t="s">
        <v>32</v>
      </c>
      <c r="D862" t="s">
        <v>33</v>
      </c>
      <c r="E862" t="s">
        <v>87</v>
      </c>
      <c r="F862" t="s">
        <v>35</v>
      </c>
      <c r="G862" t="s">
        <v>35</v>
      </c>
      <c r="H862" t="s">
        <v>35</v>
      </c>
      <c r="J862" t="s">
        <v>1460</v>
      </c>
      <c r="K862" t="s">
        <v>1092</v>
      </c>
      <c r="M862">
        <v>3.95</v>
      </c>
      <c r="N862">
        <v>92</v>
      </c>
      <c r="O862" t="s">
        <v>106</v>
      </c>
      <c r="Q862" t="s">
        <v>1100</v>
      </c>
      <c r="R862" t="s">
        <v>49</v>
      </c>
      <c r="S862" t="s">
        <v>50</v>
      </c>
    </row>
    <row r="863" spans="1:19" x14ac:dyDescent="0.25">
      <c r="A863" t="s">
        <v>30</v>
      </c>
      <c r="B863" t="s">
        <v>31</v>
      </c>
      <c r="C863" t="s">
        <v>32</v>
      </c>
      <c r="D863" t="s">
        <v>33</v>
      </c>
      <c r="E863" t="s">
        <v>87</v>
      </c>
      <c r="F863" t="s">
        <v>35</v>
      </c>
      <c r="G863" t="s">
        <v>35</v>
      </c>
      <c r="H863" t="s">
        <v>35</v>
      </c>
      <c r="J863" t="s">
        <v>1460</v>
      </c>
      <c r="K863" t="s">
        <v>1092</v>
      </c>
      <c r="M863">
        <v>6.75</v>
      </c>
      <c r="N863">
        <v>16</v>
      </c>
      <c r="O863" t="s">
        <v>46</v>
      </c>
      <c r="Q863" t="s">
        <v>323</v>
      </c>
      <c r="R863" t="s">
        <v>193</v>
      </c>
      <c r="S863" t="s">
        <v>181</v>
      </c>
    </row>
    <row r="864" spans="1:19" x14ac:dyDescent="0.25">
      <c r="A864" t="s">
        <v>59</v>
      </c>
      <c r="B864" t="s">
        <v>31</v>
      </c>
      <c r="C864" t="s">
        <v>32</v>
      </c>
      <c r="D864" t="s">
        <v>33</v>
      </c>
      <c r="E864" t="s">
        <v>87</v>
      </c>
      <c r="F864" t="s">
        <v>35</v>
      </c>
      <c r="G864" t="s">
        <v>35</v>
      </c>
      <c r="H864" t="s">
        <v>35</v>
      </c>
      <c r="J864" t="s">
        <v>1460</v>
      </c>
      <c r="K864" t="s">
        <v>1092</v>
      </c>
      <c r="M864">
        <v>4.83</v>
      </c>
      <c r="N864">
        <v>92</v>
      </c>
      <c r="O864" t="s">
        <v>106</v>
      </c>
      <c r="Q864" t="s">
        <v>1100</v>
      </c>
      <c r="R864" t="s">
        <v>49</v>
      </c>
      <c r="S864" t="s">
        <v>50</v>
      </c>
    </row>
    <row r="865" spans="1:19" x14ac:dyDescent="0.25">
      <c r="A865" t="s">
        <v>59</v>
      </c>
      <c r="B865" t="s">
        <v>60</v>
      </c>
      <c r="C865" t="s">
        <v>32</v>
      </c>
      <c r="D865" t="s">
        <v>33</v>
      </c>
      <c r="E865" t="s">
        <v>87</v>
      </c>
      <c r="F865" t="s">
        <v>35</v>
      </c>
      <c r="G865" t="s">
        <v>35</v>
      </c>
      <c r="H865" t="s">
        <v>35</v>
      </c>
      <c r="J865" t="s">
        <v>1460</v>
      </c>
      <c r="K865" t="s">
        <v>1092</v>
      </c>
      <c r="M865">
        <v>5.5</v>
      </c>
      <c r="N865">
        <v>71</v>
      </c>
      <c r="O865" t="s">
        <v>61</v>
      </c>
      <c r="Q865" t="s">
        <v>102</v>
      </c>
      <c r="R865" t="s">
        <v>49</v>
      </c>
      <c r="S865" t="s">
        <v>50</v>
      </c>
    </row>
    <row r="866" spans="1:19" x14ac:dyDescent="0.25">
      <c r="A866" t="s">
        <v>59</v>
      </c>
      <c r="B866" t="s">
        <v>60</v>
      </c>
      <c r="C866" t="s">
        <v>32</v>
      </c>
      <c r="D866" t="s">
        <v>33</v>
      </c>
      <c r="E866" t="s">
        <v>87</v>
      </c>
      <c r="F866" t="s">
        <v>35</v>
      </c>
      <c r="G866" t="s">
        <v>35</v>
      </c>
      <c r="H866" t="s">
        <v>35</v>
      </c>
      <c r="J866" t="s">
        <v>1461</v>
      </c>
      <c r="K866" t="s">
        <v>1092</v>
      </c>
      <c r="M866">
        <v>0.2</v>
      </c>
      <c r="N866">
        <v>55</v>
      </c>
      <c r="O866" t="s">
        <v>52</v>
      </c>
      <c r="Q866" t="s">
        <v>518</v>
      </c>
      <c r="R866" t="s">
        <v>1102</v>
      </c>
      <c r="S866" t="s">
        <v>105</v>
      </c>
    </row>
    <row r="867" spans="1:19" x14ac:dyDescent="0.25">
      <c r="A867" t="s">
        <v>30</v>
      </c>
      <c r="B867" t="s">
        <v>31</v>
      </c>
      <c r="C867" t="s">
        <v>32</v>
      </c>
      <c r="D867" t="s">
        <v>33</v>
      </c>
      <c r="E867" t="s">
        <v>87</v>
      </c>
      <c r="F867" t="s">
        <v>35</v>
      </c>
      <c r="G867" t="s">
        <v>35</v>
      </c>
      <c r="H867" t="s">
        <v>35</v>
      </c>
      <c r="J867" t="s">
        <v>1462</v>
      </c>
      <c r="K867" t="s">
        <v>1092</v>
      </c>
      <c r="M867">
        <v>0.61</v>
      </c>
      <c r="N867">
        <v>427</v>
      </c>
      <c r="O867" t="s">
        <v>294</v>
      </c>
      <c r="Q867" t="s">
        <v>1463</v>
      </c>
      <c r="R867" t="s">
        <v>199</v>
      </c>
      <c r="S867" t="s">
        <v>200</v>
      </c>
    </row>
    <row r="868" spans="1:19" x14ac:dyDescent="0.25">
      <c r="A868" t="s">
        <v>59</v>
      </c>
      <c r="B868" t="s">
        <v>60</v>
      </c>
      <c r="C868" t="s">
        <v>32</v>
      </c>
      <c r="D868" t="s">
        <v>33</v>
      </c>
      <c r="E868" t="s">
        <v>87</v>
      </c>
      <c r="F868" t="s">
        <v>35</v>
      </c>
      <c r="G868" t="s">
        <v>35</v>
      </c>
      <c r="H868" t="s">
        <v>35</v>
      </c>
      <c r="J868" t="s">
        <v>1462</v>
      </c>
      <c r="K868" t="s">
        <v>1092</v>
      </c>
      <c r="M868">
        <v>8.5000000000000006E-2</v>
      </c>
      <c r="N868">
        <v>860</v>
      </c>
      <c r="O868" t="s">
        <v>575</v>
      </c>
      <c r="Q868" t="s">
        <v>1464</v>
      </c>
      <c r="R868" t="s">
        <v>1115</v>
      </c>
      <c r="S868" t="s">
        <v>45</v>
      </c>
    </row>
    <row r="869" spans="1:19" x14ac:dyDescent="0.25">
      <c r="A869" t="s">
        <v>59</v>
      </c>
      <c r="B869" t="s">
        <v>60</v>
      </c>
      <c r="C869" t="s">
        <v>32</v>
      </c>
      <c r="D869" t="s">
        <v>33</v>
      </c>
      <c r="E869" t="s">
        <v>87</v>
      </c>
      <c r="F869" t="s">
        <v>35</v>
      </c>
      <c r="G869" t="s">
        <v>35</v>
      </c>
      <c r="H869" t="s">
        <v>35</v>
      </c>
      <c r="J869" t="s">
        <v>1465</v>
      </c>
      <c r="K869" t="s">
        <v>1092</v>
      </c>
      <c r="M869">
        <v>0.5</v>
      </c>
      <c r="N869">
        <v>97</v>
      </c>
      <c r="O869" t="s">
        <v>106</v>
      </c>
      <c r="Q869" t="s">
        <v>557</v>
      </c>
      <c r="R869" t="s">
        <v>1102</v>
      </c>
      <c r="S869" t="s">
        <v>105</v>
      </c>
    </row>
    <row r="870" spans="1:19" x14ac:dyDescent="0.25">
      <c r="A870" t="s">
        <v>59</v>
      </c>
      <c r="B870" t="s">
        <v>60</v>
      </c>
      <c r="C870" t="s">
        <v>32</v>
      </c>
      <c r="D870" t="s">
        <v>33</v>
      </c>
      <c r="E870" t="s">
        <v>87</v>
      </c>
      <c r="F870" t="s">
        <v>35</v>
      </c>
      <c r="G870" t="s">
        <v>35</v>
      </c>
      <c r="H870" t="s">
        <v>35</v>
      </c>
      <c r="J870" t="s">
        <v>1465</v>
      </c>
      <c r="K870" t="s">
        <v>1092</v>
      </c>
      <c r="M870">
        <v>0.4</v>
      </c>
      <c r="N870">
        <v>149</v>
      </c>
      <c r="O870" t="s">
        <v>38</v>
      </c>
      <c r="Q870" t="s">
        <v>73</v>
      </c>
      <c r="R870" t="s">
        <v>199</v>
      </c>
      <c r="S870" t="s">
        <v>200</v>
      </c>
    </row>
    <row r="871" spans="1:19" x14ac:dyDescent="0.25">
      <c r="A871" t="s">
        <v>44</v>
      </c>
      <c r="B871" t="s">
        <v>51</v>
      </c>
      <c r="C871" t="s">
        <v>32</v>
      </c>
      <c r="D871" t="s">
        <v>33</v>
      </c>
      <c r="E871" t="s">
        <v>87</v>
      </c>
      <c r="F871" t="s">
        <v>35</v>
      </c>
      <c r="G871" t="s">
        <v>35</v>
      </c>
      <c r="H871" t="s">
        <v>35</v>
      </c>
      <c r="J871" t="s">
        <v>1466</v>
      </c>
      <c r="K871" t="s">
        <v>1092</v>
      </c>
      <c r="M871">
        <v>0.45</v>
      </c>
      <c r="N871">
        <v>621</v>
      </c>
      <c r="O871" t="s">
        <v>575</v>
      </c>
      <c r="Q871" t="s">
        <v>1470</v>
      </c>
      <c r="R871" t="s">
        <v>1467</v>
      </c>
      <c r="S871" t="s">
        <v>1468</v>
      </c>
    </row>
    <row r="872" spans="1:19" x14ac:dyDescent="0.25">
      <c r="A872" t="s">
        <v>59</v>
      </c>
      <c r="B872" t="s">
        <v>60</v>
      </c>
      <c r="C872" t="s">
        <v>32</v>
      </c>
      <c r="D872" t="s">
        <v>33</v>
      </c>
      <c r="E872" t="s">
        <v>87</v>
      </c>
      <c r="F872" t="s">
        <v>35</v>
      </c>
      <c r="G872" t="s">
        <v>35</v>
      </c>
      <c r="H872" t="s">
        <v>35</v>
      </c>
      <c r="J872" t="s">
        <v>1466</v>
      </c>
      <c r="K872" t="s">
        <v>1092</v>
      </c>
      <c r="M872">
        <v>0.05</v>
      </c>
      <c r="N872">
        <v>118</v>
      </c>
      <c r="O872" t="s">
        <v>106</v>
      </c>
      <c r="Q872" t="s">
        <v>1469</v>
      </c>
      <c r="R872" t="s">
        <v>1467</v>
      </c>
      <c r="S872" t="s">
        <v>1468</v>
      </c>
    </row>
    <row r="873" spans="1:19" x14ac:dyDescent="0.25">
      <c r="A873" t="s">
        <v>30</v>
      </c>
      <c r="B873" t="s">
        <v>31</v>
      </c>
      <c r="C873" t="s">
        <v>32</v>
      </c>
      <c r="D873" t="s">
        <v>33</v>
      </c>
      <c r="E873" t="s">
        <v>87</v>
      </c>
      <c r="F873" t="s">
        <v>35</v>
      </c>
      <c r="G873" t="s">
        <v>35</v>
      </c>
      <c r="H873" t="s">
        <v>35</v>
      </c>
      <c r="J873" t="s">
        <v>1466</v>
      </c>
      <c r="K873" t="s">
        <v>1092</v>
      </c>
      <c r="M873">
        <v>0.02</v>
      </c>
      <c r="N873">
        <v>239</v>
      </c>
      <c r="O873" t="s">
        <v>5</v>
      </c>
      <c r="Q873" t="s">
        <v>1471</v>
      </c>
      <c r="R873" t="s">
        <v>1467</v>
      </c>
      <c r="S873" t="s">
        <v>1468</v>
      </c>
    </row>
    <row r="874" spans="1:19" x14ac:dyDescent="0.25">
      <c r="A874" t="s">
        <v>44</v>
      </c>
      <c r="B874" t="s">
        <v>3</v>
      </c>
      <c r="C874" t="s">
        <v>32</v>
      </c>
      <c r="D874" t="s">
        <v>33</v>
      </c>
      <c r="E874" t="s">
        <v>87</v>
      </c>
      <c r="F874" t="s">
        <v>35</v>
      </c>
      <c r="G874" t="s">
        <v>35</v>
      </c>
      <c r="H874" t="s">
        <v>35</v>
      </c>
      <c r="J874" t="s">
        <v>1466</v>
      </c>
      <c r="K874" t="s">
        <v>1092</v>
      </c>
      <c r="M874">
        <v>0.5</v>
      </c>
      <c r="N874">
        <v>67</v>
      </c>
      <c r="O874" t="s">
        <v>61</v>
      </c>
      <c r="Q874" t="s">
        <v>1311</v>
      </c>
      <c r="R874" t="s">
        <v>1467</v>
      </c>
      <c r="S874" t="s">
        <v>1468</v>
      </c>
    </row>
    <row r="875" spans="1:19" x14ac:dyDescent="0.25">
      <c r="A875" t="s">
        <v>59</v>
      </c>
      <c r="B875" t="s">
        <v>31</v>
      </c>
      <c r="C875" t="s">
        <v>32</v>
      </c>
      <c r="D875" t="s">
        <v>33</v>
      </c>
      <c r="E875" t="s">
        <v>87</v>
      </c>
      <c r="F875" t="s">
        <v>35</v>
      </c>
      <c r="G875" t="s">
        <v>35</v>
      </c>
      <c r="H875" t="s">
        <v>35</v>
      </c>
      <c r="J875" t="s">
        <v>625</v>
      </c>
      <c r="K875" t="s">
        <v>1092</v>
      </c>
      <c r="M875">
        <v>5.2649999999999997</v>
      </c>
      <c r="N875">
        <v>94</v>
      </c>
      <c r="O875" t="s">
        <v>106</v>
      </c>
      <c r="Q875" t="s">
        <v>394</v>
      </c>
      <c r="R875" t="s">
        <v>199</v>
      </c>
      <c r="S875" t="s">
        <v>200</v>
      </c>
    </row>
    <row r="876" spans="1:19" x14ac:dyDescent="0.25">
      <c r="A876" t="s">
        <v>59</v>
      </c>
      <c r="B876" t="s">
        <v>60</v>
      </c>
      <c r="C876" t="s">
        <v>32</v>
      </c>
      <c r="D876" t="s">
        <v>33</v>
      </c>
      <c r="E876" t="s">
        <v>87</v>
      </c>
      <c r="F876" t="s">
        <v>35</v>
      </c>
      <c r="G876" t="s">
        <v>35</v>
      </c>
      <c r="H876" t="s">
        <v>35</v>
      </c>
      <c r="J876" t="s">
        <v>625</v>
      </c>
      <c r="K876" t="s">
        <v>1092</v>
      </c>
      <c r="M876">
        <v>0.15</v>
      </c>
      <c r="N876">
        <v>545</v>
      </c>
      <c r="O876" t="s">
        <v>294</v>
      </c>
      <c r="Q876" t="s">
        <v>1472</v>
      </c>
      <c r="R876" t="s">
        <v>1473</v>
      </c>
      <c r="S876" t="s">
        <v>1474</v>
      </c>
    </row>
    <row r="877" spans="1:19" x14ac:dyDescent="0.25">
      <c r="A877" t="s">
        <v>59</v>
      </c>
      <c r="B877" t="s">
        <v>60</v>
      </c>
      <c r="C877" t="s">
        <v>32</v>
      </c>
      <c r="D877" t="s">
        <v>33</v>
      </c>
      <c r="E877" t="s">
        <v>87</v>
      </c>
      <c r="F877" t="s">
        <v>35</v>
      </c>
      <c r="G877" t="s">
        <v>35</v>
      </c>
      <c r="H877" t="s">
        <v>35</v>
      </c>
      <c r="J877" t="s">
        <v>625</v>
      </c>
      <c r="K877" t="s">
        <v>1092</v>
      </c>
      <c r="M877">
        <v>5.5</v>
      </c>
      <c r="N877">
        <v>47</v>
      </c>
      <c r="O877" t="s">
        <v>52</v>
      </c>
      <c r="Q877" t="s">
        <v>132</v>
      </c>
      <c r="R877" t="s">
        <v>169</v>
      </c>
      <c r="S877" t="s">
        <v>123</v>
      </c>
    </row>
    <row r="878" spans="1:19" x14ac:dyDescent="0.25">
      <c r="A878" t="s">
        <v>59</v>
      </c>
      <c r="B878" t="s">
        <v>60</v>
      </c>
      <c r="C878" t="s">
        <v>32</v>
      </c>
      <c r="D878" t="s">
        <v>33</v>
      </c>
      <c r="E878" t="s">
        <v>87</v>
      </c>
      <c r="F878" t="s">
        <v>35</v>
      </c>
      <c r="G878" t="s">
        <v>35</v>
      </c>
      <c r="H878" t="s">
        <v>35</v>
      </c>
      <c r="J878" t="s">
        <v>1475</v>
      </c>
      <c r="K878" t="s">
        <v>1092</v>
      </c>
      <c r="M878">
        <v>1</v>
      </c>
      <c r="N878">
        <v>68</v>
      </c>
      <c r="O878" t="s">
        <v>61</v>
      </c>
      <c r="Q878" t="s">
        <v>146</v>
      </c>
      <c r="R878" t="s">
        <v>1102</v>
      </c>
      <c r="S878" t="s">
        <v>105</v>
      </c>
    </row>
    <row r="879" spans="1:19" x14ac:dyDescent="0.25">
      <c r="A879" t="s">
        <v>44</v>
      </c>
      <c r="B879" t="s">
        <v>3</v>
      </c>
      <c r="C879" t="s">
        <v>32</v>
      </c>
      <c r="D879" t="s">
        <v>33</v>
      </c>
      <c r="E879" t="s">
        <v>87</v>
      </c>
      <c r="F879" t="s">
        <v>35</v>
      </c>
      <c r="G879" t="s">
        <v>35</v>
      </c>
      <c r="H879" t="s">
        <v>35</v>
      </c>
      <c r="J879" t="s">
        <v>1475</v>
      </c>
      <c r="K879" t="s">
        <v>1092</v>
      </c>
      <c r="M879">
        <v>0.5</v>
      </c>
      <c r="N879">
        <v>18</v>
      </c>
      <c r="O879" t="s">
        <v>46</v>
      </c>
      <c r="Q879" t="s">
        <v>1476</v>
      </c>
      <c r="R879" t="s">
        <v>1467</v>
      </c>
      <c r="S879" t="s">
        <v>1468</v>
      </c>
    </row>
    <row r="880" spans="1:19" x14ac:dyDescent="0.25">
      <c r="A880" t="s">
        <v>59</v>
      </c>
      <c r="B880" t="s">
        <v>31</v>
      </c>
      <c r="C880" t="s">
        <v>32</v>
      </c>
      <c r="D880" t="s">
        <v>33</v>
      </c>
      <c r="E880" t="s">
        <v>87</v>
      </c>
      <c r="F880" t="s">
        <v>35</v>
      </c>
      <c r="G880" t="s">
        <v>35</v>
      </c>
      <c r="H880" t="s">
        <v>35</v>
      </c>
      <c r="J880" t="s">
        <v>1477</v>
      </c>
      <c r="K880" t="s">
        <v>1092</v>
      </c>
      <c r="M880">
        <v>1.89</v>
      </c>
      <c r="N880">
        <v>217</v>
      </c>
      <c r="O880" t="s">
        <v>5</v>
      </c>
      <c r="Q880" t="s">
        <v>1159</v>
      </c>
      <c r="R880" t="s">
        <v>169</v>
      </c>
      <c r="S880" t="s">
        <v>123</v>
      </c>
    </row>
    <row r="881" spans="1:19" x14ac:dyDescent="0.25">
      <c r="A881" t="s">
        <v>59</v>
      </c>
      <c r="B881" t="s">
        <v>60</v>
      </c>
      <c r="C881" t="s">
        <v>32</v>
      </c>
      <c r="D881" t="s">
        <v>33</v>
      </c>
      <c r="E881" t="s">
        <v>87</v>
      </c>
      <c r="F881" t="s">
        <v>35</v>
      </c>
      <c r="G881" t="s">
        <v>35</v>
      </c>
      <c r="H881" t="s">
        <v>35</v>
      </c>
      <c r="J881" t="s">
        <v>1477</v>
      </c>
      <c r="K881" t="s">
        <v>1092</v>
      </c>
      <c r="M881">
        <v>0.91500000000000004</v>
      </c>
      <c r="N881">
        <v>217</v>
      </c>
      <c r="O881" t="s">
        <v>5</v>
      </c>
      <c r="Q881" t="s">
        <v>1159</v>
      </c>
      <c r="R881" t="s">
        <v>169</v>
      </c>
      <c r="S881" t="s">
        <v>123</v>
      </c>
    </row>
    <row r="882" spans="1:19" x14ac:dyDescent="0.25">
      <c r="A882" t="s">
        <v>44</v>
      </c>
      <c r="B882" t="s">
        <v>51</v>
      </c>
      <c r="C882" t="s">
        <v>32</v>
      </c>
      <c r="D882" t="s">
        <v>33</v>
      </c>
      <c r="E882" t="s">
        <v>87</v>
      </c>
      <c r="F882" t="s">
        <v>35</v>
      </c>
      <c r="G882" t="s">
        <v>35</v>
      </c>
      <c r="H882" t="s">
        <v>35</v>
      </c>
      <c r="J882" t="s">
        <v>1478</v>
      </c>
      <c r="K882" t="s">
        <v>1092</v>
      </c>
      <c r="M882">
        <v>5.5</v>
      </c>
      <c r="N882">
        <v>62</v>
      </c>
      <c r="O882" t="s">
        <v>61</v>
      </c>
      <c r="Q882" t="s">
        <v>90</v>
      </c>
      <c r="R882" t="s">
        <v>199</v>
      </c>
      <c r="S882" t="s">
        <v>200</v>
      </c>
    </row>
    <row r="883" spans="1:19" x14ac:dyDescent="0.25">
      <c r="A883" t="s">
        <v>59</v>
      </c>
      <c r="B883" t="s">
        <v>60</v>
      </c>
      <c r="C883" t="s">
        <v>32</v>
      </c>
      <c r="D883" t="s">
        <v>33</v>
      </c>
      <c r="E883" t="s">
        <v>87</v>
      </c>
      <c r="F883" t="s">
        <v>35</v>
      </c>
      <c r="G883" t="s">
        <v>35</v>
      </c>
      <c r="H883" t="s">
        <v>35</v>
      </c>
      <c r="J883" t="s">
        <v>1479</v>
      </c>
      <c r="K883" t="s">
        <v>1092</v>
      </c>
      <c r="M883">
        <v>0.5</v>
      </c>
      <c r="N883">
        <v>484</v>
      </c>
      <c r="O883" t="s">
        <v>294</v>
      </c>
      <c r="Q883" t="s">
        <v>1480</v>
      </c>
      <c r="R883" t="s">
        <v>1481</v>
      </c>
      <c r="S883" t="s">
        <v>1482</v>
      </c>
    </row>
    <row r="884" spans="1:19" x14ac:dyDescent="0.25">
      <c r="A884" t="s">
        <v>59</v>
      </c>
      <c r="B884" t="s">
        <v>60</v>
      </c>
      <c r="C884" t="s">
        <v>32</v>
      </c>
      <c r="D884" t="s">
        <v>33</v>
      </c>
      <c r="E884" t="s">
        <v>87</v>
      </c>
      <c r="F884" t="s">
        <v>35</v>
      </c>
      <c r="G884" t="s">
        <v>35</v>
      </c>
      <c r="H884" t="s">
        <v>35</v>
      </c>
      <c r="J884" t="s">
        <v>1484</v>
      </c>
      <c r="K884" t="s">
        <v>1092</v>
      </c>
      <c r="M884">
        <v>0.2</v>
      </c>
      <c r="N884">
        <v>2665</v>
      </c>
      <c r="O884" t="s">
        <v>575</v>
      </c>
      <c r="Q884" t="s">
        <v>1485</v>
      </c>
      <c r="R884" t="s">
        <v>1142</v>
      </c>
      <c r="S884" t="s">
        <v>88</v>
      </c>
    </row>
    <row r="885" spans="1:19" x14ac:dyDescent="0.25">
      <c r="A885" t="s">
        <v>59</v>
      </c>
      <c r="B885" t="s">
        <v>60</v>
      </c>
      <c r="C885" t="s">
        <v>32</v>
      </c>
      <c r="D885" t="s">
        <v>33</v>
      </c>
      <c r="E885" t="s">
        <v>87</v>
      </c>
      <c r="F885" t="s">
        <v>35</v>
      </c>
      <c r="G885" t="s">
        <v>35</v>
      </c>
      <c r="H885" t="s">
        <v>35</v>
      </c>
      <c r="J885" t="s">
        <v>1484</v>
      </c>
      <c r="K885" t="s">
        <v>1092</v>
      </c>
      <c r="M885">
        <v>0.01</v>
      </c>
      <c r="N885">
        <v>2673</v>
      </c>
      <c r="O885" t="s">
        <v>575</v>
      </c>
      <c r="Q885" t="s">
        <v>1486</v>
      </c>
      <c r="R885" t="s">
        <v>1487</v>
      </c>
      <c r="S885" t="s">
        <v>1488</v>
      </c>
    </row>
    <row r="886" spans="1:19" x14ac:dyDescent="0.25">
      <c r="A886" t="s">
        <v>59</v>
      </c>
      <c r="B886" t="s">
        <v>60</v>
      </c>
      <c r="C886" t="s">
        <v>32</v>
      </c>
      <c r="D886" t="s">
        <v>33</v>
      </c>
      <c r="E886" t="s">
        <v>87</v>
      </c>
      <c r="F886" t="s">
        <v>35</v>
      </c>
      <c r="G886" t="s">
        <v>35</v>
      </c>
      <c r="H886" t="s">
        <v>35</v>
      </c>
      <c r="J886" t="s">
        <v>1489</v>
      </c>
      <c r="K886" t="s">
        <v>1092</v>
      </c>
      <c r="M886">
        <v>2.4510000000000001</v>
      </c>
      <c r="N886">
        <v>245</v>
      </c>
      <c r="O886" t="s">
        <v>5</v>
      </c>
      <c r="Q886" t="s">
        <v>111</v>
      </c>
      <c r="R886" t="s">
        <v>1331</v>
      </c>
      <c r="S886" t="s">
        <v>1332</v>
      </c>
    </row>
    <row r="887" spans="1:19" x14ac:dyDescent="0.25">
      <c r="A887" t="s">
        <v>59</v>
      </c>
      <c r="B887" t="s">
        <v>60</v>
      </c>
      <c r="C887" t="s">
        <v>32</v>
      </c>
      <c r="D887" t="s">
        <v>33</v>
      </c>
      <c r="E887" t="s">
        <v>87</v>
      </c>
      <c r="F887" t="s">
        <v>35</v>
      </c>
      <c r="G887" t="s">
        <v>35</v>
      </c>
      <c r="H887" t="s">
        <v>35</v>
      </c>
      <c r="J887" t="s">
        <v>1490</v>
      </c>
      <c r="K887" t="s">
        <v>1092</v>
      </c>
      <c r="M887">
        <v>0.45</v>
      </c>
      <c r="N887">
        <v>67</v>
      </c>
      <c r="O887" t="s">
        <v>61</v>
      </c>
      <c r="Q887" t="s">
        <v>1311</v>
      </c>
      <c r="R887" t="s">
        <v>1102</v>
      </c>
      <c r="S887" t="s">
        <v>105</v>
      </c>
    </row>
    <row r="888" spans="1:19" x14ac:dyDescent="0.25">
      <c r="A888" t="s">
        <v>30</v>
      </c>
      <c r="B888" t="s">
        <v>31</v>
      </c>
      <c r="C888" t="s">
        <v>32</v>
      </c>
      <c r="D888" t="s">
        <v>33</v>
      </c>
      <c r="E888" t="s">
        <v>87</v>
      </c>
      <c r="F888" t="s">
        <v>35</v>
      </c>
      <c r="G888" t="s">
        <v>35</v>
      </c>
      <c r="H888" t="s">
        <v>35</v>
      </c>
      <c r="J888" t="s">
        <v>1491</v>
      </c>
      <c r="K888" t="s">
        <v>1092</v>
      </c>
      <c r="M888">
        <v>2.6549999999999998</v>
      </c>
      <c r="N888">
        <v>44</v>
      </c>
      <c r="O888" t="s">
        <v>52</v>
      </c>
      <c r="Q888" t="s">
        <v>192</v>
      </c>
      <c r="R888" t="s">
        <v>193</v>
      </c>
      <c r="S888" t="s">
        <v>181</v>
      </c>
    </row>
    <row r="889" spans="1:19" x14ac:dyDescent="0.25">
      <c r="A889" t="s">
        <v>59</v>
      </c>
      <c r="B889" t="s">
        <v>60</v>
      </c>
      <c r="C889" t="s">
        <v>32</v>
      </c>
      <c r="D889" t="s">
        <v>33</v>
      </c>
      <c r="E889" t="s">
        <v>87</v>
      </c>
      <c r="F889" t="s">
        <v>35</v>
      </c>
      <c r="G889" t="s">
        <v>35</v>
      </c>
      <c r="H889" t="s">
        <v>35</v>
      </c>
      <c r="J889" t="s">
        <v>1491</v>
      </c>
      <c r="K889" t="s">
        <v>1092</v>
      </c>
      <c r="M889">
        <v>4.45</v>
      </c>
      <c r="N889">
        <v>98</v>
      </c>
      <c r="O889" t="s">
        <v>106</v>
      </c>
      <c r="Q889" t="s">
        <v>108</v>
      </c>
      <c r="R889" t="s">
        <v>193</v>
      </c>
      <c r="S889" t="s">
        <v>181</v>
      </c>
    </row>
    <row r="890" spans="1:19" x14ac:dyDescent="0.25">
      <c r="A890" t="s">
        <v>59</v>
      </c>
      <c r="B890" t="s">
        <v>60</v>
      </c>
      <c r="C890" t="s">
        <v>32</v>
      </c>
      <c r="D890" t="s">
        <v>33</v>
      </c>
      <c r="E890" t="s">
        <v>87</v>
      </c>
      <c r="F890" t="s">
        <v>35</v>
      </c>
      <c r="G890" t="s">
        <v>35</v>
      </c>
      <c r="H890" t="s">
        <v>35</v>
      </c>
      <c r="J890" t="s">
        <v>1495</v>
      </c>
      <c r="K890" t="s">
        <v>1092</v>
      </c>
      <c r="M890">
        <v>1</v>
      </c>
      <c r="N890">
        <v>474</v>
      </c>
      <c r="O890" t="s">
        <v>294</v>
      </c>
      <c r="Q890" t="s">
        <v>1498</v>
      </c>
      <c r="R890" t="s">
        <v>1182</v>
      </c>
      <c r="S890" t="s">
        <v>1183</v>
      </c>
    </row>
    <row r="891" spans="1:19" x14ac:dyDescent="0.25">
      <c r="A891" t="s">
        <v>59</v>
      </c>
      <c r="B891" t="s">
        <v>31</v>
      </c>
      <c r="C891" t="s">
        <v>32</v>
      </c>
      <c r="D891" t="s">
        <v>33</v>
      </c>
      <c r="E891" t="s">
        <v>87</v>
      </c>
      <c r="F891" t="s">
        <v>35</v>
      </c>
      <c r="G891" t="s">
        <v>35</v>
      </c>
      <c r="H891" t="s">
        <v>35</v>
      </c>
      <c r="J891" t="s">
        <v>1495</v>
      </c>
      <c r="K891" t="s">
        <v>1092</v>
      </c>
      <c r="M891">
        <v>5.49</v>
      </c>
      <c r="N891">
        <v>148</v>
      </c>
      <c r="O891" t="s">
        <v>38</v>
      </c>
      <c r="Q891" t="s">
        <v>1168</v>
      </c>
      <c r="R891" t="s">
        <v>193</v>
      </c>
      <c r="S891" t="s">
        <v>181</v>
      </c>
    </row>
    <row r="892" spans="1:19" x14ac:dyDescent="0.25">
      <c r="A892" t="s">
        <v>59</v>
      </c>
      <c r="B892" t="s">
        <v>60</v>
      </c>
      <c r="C892" t="s">
        <v>32</v>
      </c>
      <c r="D892" t="s">
        <v>33</v>
      </c>
      <c r="E892" t="s">
        <v>87</v>
      </c>
      <c r="F892" t="s">
        <v>35</v>
      </c>
      <c r="G892" t="s">
        <v>35</v>
      </c>
      <c r="H892" t="s">
        <v>35</v>
      </c>
      <c r="J892" t="s">
        <v>1495</v>
      </c>
      <c r="K892" t="s">
        <v>1092</v>
      </c>
      <c r="M892">
        <v>0.5</v>
      </c>
      <c r="N892">
        <v>534</v>
      </c>
      <c r="O892" t="s">
        <v>294</v>
      </c>
      <c r="Q892" t="s">
        <v>1496</v>
      </c>
      <c r="R892" t="s">
        <v>1182</v>
      </c>
      <c r="S892" t="s">
        <v>1183</v>
      </c>
    </row>
    <row r="893" spans="1:19" x14ac:dyDescent="0.25">
      <c r="A893" t="s">
        <v>59</v>
      </c>
      <c r="B893" t="s">
        <v>31</v>
      </c>
      <c r="C893" t="s">
        <v>32</v>
      </c>
      <c r="D893" t="s">
        <v>33</v>
      </c>
      <c r="E893" t="s">
        <v>87</v>
      </c>
      <c r="F893" t="s">
        <v>35</v>
      </c>
      <c r="G893" t="s">
        <v>35</v>
      </c>
      <c r="H893" t="s">
        <v>35</v>
      </c>
      <c r="J893" t="s">
        <v>1495</v>
      </c>
      <c r="K893" t="s">
        <v>1092</v>
      </c>
      <c r="M893">
        <v>0.01</v>
      </c>
      <c r="N893">
        <v>1148</v>
      </c>
      <c r="O893" t="s">
        <v>575</v>
      </c>
      <c r="Q893" t="s">
        <v>1497</v>
      </c>
      <c r="R893" t="s">
        <v>199</v>
      </c>
      <c r="S893" t="s">
        <v>200</v>
      </c>
    </row>
    <row r="894" spans="1:19" x14ac:dyDescent="0.25">
      <c r="A894" t="s">
        <v>59</v>
      </c>
      <c r="B894" t="s">
        <v>31</v>
      </c>
      <c r="C894" t="s">
        <v>32</v>
      </c>
      <c r="D894" t="s">
        <v>33</v>
      </c>
      <c r="E894" t="s">
        <v>87</v>
      </c>
      <c r="F894" t="s">
        <v>35</v>
      </c>
      <c r="G894" t="s">
        <v>35</v>
      </c>
      <c r="H894" t="s">
        <v>35</v>
      </c>
      <c r="J894" t="s">
        <v>1499</v>
      </c>
      <c r="K894" t="s">
        <v>1092</v>
      </c>
      <c r="M894">
        <v>0.45</v>
      </c>
      <c r="N894">
        <v>1328</v>
      </c>
      <c r="O894" t="s">
        <v>575</v>
      </c>
      <c r="Q894" t="s">
        <v>1500</v>
      </c>
      <c r="R894" t="s">
        <v>193</v>
      </c>
      <c r="S894" t="s">
        <v>181</v>
      </c>
    </row>
    <row r="895" spans="1:19" x14ac:dyDescent="0.25">
      <c r="A895" t="s">
        <v>59</v>
      </c>
      <c r="B895" t="s">
        <v>60</v>
      </c>
      <c r="C895" t="s">
        <v>32</v>
      </c>
      <c r="D895" t="s">
        <v>33</v>
      </c>
      <c r="E895" t="s">
        <v>87</v>
      </c>
      <c r="F895" t="s">
        <v>35</v>
      </c>
      <c r="G895" t="s">
        <v>35</v>
      </c>
      <c r="H895" t="s">
        <v>35</v>
      </c>
      <c r="J895" t="s">
        <v>1501</v>
      </c>
      <c r="K895" t="s">
        <v>1092</v>
      </c>
      <c r="M895">
        <v>1.4999999999999999E-2</v>
      </c>
      <c r="N895">
        <v>499</v>
      </c>
      <c r="O895" t="s">
        <v>294</v>
      </c>
      <c r="Q895" t="s">
        <v>1503</v>
      </c>
      <c r="R895" t="s">
        <v>193</v>
      </c>
      <c r="S895" t="s">
        <v>181</v>
      </c>
    </row>
    <row r="896" spans="1:19" x14ac:dyDescent="0.25">
      <c r="A896" t="s">
        <v>59</v>
      </c>
      <c r="B896" t="s">
        <v>60</v>
      </c>
      <c r="C896" t="s">
        <v>32</v>
      </c>
      <c r="D896" t="s">
        <v>33</v>
      </c>
      <c r="E896" t="s">
        <v>87</v>
      </c>
      <c r="F896" t="s">
        <v>35</v>
      </c>
      <c r="G896" t="s">
        <v>35</v>
      </c>
      <c r="H896" t="s">
        <v>35</v>
      </c>
      <c r="J896" t="s">
        <v>1501</v>
      </c>
      <c r="K896" t="s">
        <v>1092</v>
      </c>
      <c r="M896">
        <v>0.05</v>
      </c>
      <c r="N896">
        <v>218</v>
      </c>
      <c r="O896" t="s">
        <v>5</v>
      </c>
      <c r="Q896" t="s">
        <v>1504</v>
      </c>
      <c r="R896" t="s">
        <v>193</v>
      </c>
      <c r="S896" t="s">
        <v>181</v>
      </c>
    </row>
    <row r="897" spans="1:19" x14ac:dyDescent="0.25">
      <c r="A897" t="s">
        <v>30</v>
      </c>
      <c r="B897" t="s">
        <v>31</v>
      </c>
      <c r="C897" t="s">
        <v>32</v>
      </c>
      <c r="D897" t="s">
        <v>33</v>
      </c>
      <c r="E897" t="s">
        <v>87</v>
      </c>
      <c r="F897" t="s">
        <v>35</v>
      </c>
      <c r="G897" t="s">
        <v>35</v>
      </c>
      <c r="H897" t="s">
        <v>35</v>
      </c>
      <c r="J897" t="s">
        <v>1501</v>
      </c>
      <c r="K897" t="s">
        <v>1092</v>
      </c>
      <c r="M897">
        <v>2.3E-2</v>
      </c>
      <c r="N897">
        <v>253</v>
      </c>
      <c r="O897" t="s">
        <v>5</v>
      </c>
      <c r="Q897" t="s">
        <v>1502</v>
      </c>
      <c r="R897" t="s">
        <v>193</v>
      </c>
      <c r="S897" t="s">
        <v>181</v>
      </c>
    </row>
    <row r="898" spans="1:19" x14ac:dyDescent="0.25">
      <c r="A898" t="s">
        <v>59</v>
      </c>
      <c r="B898" t="s">
        <v>60</v>
      </c>
      <c r="C898" t="s">
        <v>32</v>
      </c>
      <c r="D898" t="s">
        <v>33</v>
      </c>
      <c r="E898" t="s">
        <v>87</v>
      </c>
      <c r="F898" t="s">
        <v>35</v>
      </c>
      <c r="G898" t="s">
        <v>35</v>
      </c>
      <c r="H898" t="s">
        <v>35</v>
      </c>
      <c r="J898" t="s">
        <v>1505</v>
      </c>
      <c r="K898" t="s">
        <v>1092</v>
      </c>
      <c r="M898">
        <v>3.5</v>
      </c>
      <c r="N898">
        <v>61</v>
      </c>
      <c r="O898" t="s">
        <v>61</v>
      </c>
      <c r="Q898" t="s">
        <v>671</v>
      </c>
      <c r="R898" t="s">
        <v>103</v>
      </c>
      <c r="S898" t="s">
        <v>104</v>
      </c>
    </row>
    <row r="899" spans="1:19" x14ac:dyDescent="0.25">
      <c r="A899" t="s">
        <v>59</v>
      </c>
      <c r="B899" t="s">
        <v>60</v>
      </c>
      <c r="C899" t="s">
        <v>32</v>
      </c>
      <c r="D899" t="s">
        <v>33</v>
      </c>
      <c r="E899" t="s">
        <v>87</v>
      </c>
      <c r="F899" t="s">
        <v>35</v>
      </c>
      <c r="G899" t="s">
        <v>35</v>
      </c>
      <c r="H899" t="s">
        <v>35</v>
      </c>
      <c r="J899" t="s">
        <v>1506</v>
      </c>
      <c r="K899" t="s">
        <v>1092</v>
      </c>
      <c r="M899">
        <v>0.25</v>
      </c>
      <c r="N899">
        <v>30</v>
      </c>
      <c r="O899" t="s">
        <v>46</v>
      </c>
      <c r="Q899" t="s">
        <v>793</v>
      </c>
      <c r="R899" t="s">
        <v>193</v>
      </c>
      <c r="S899" t="s">
        <v>181</v>
      </c>
    </row>
    <row r="900" spans="1:19" x14ac:dyDescent="0.25">
      <c r="A900" t="s">
        <v>59</v>
      </c>
      <c r="B900" t="s">
        <v>60</v>
      </c>
      <c r="C900" t="s">
        <v>32</v>
      </c>
      <c r="D900" t="s">
        <v>33</v>
      </c>
      <c r="E900" t="s">
        <v>87</v>
      </c>
      <c r="F900" t="s">
        <v>35</v>
      </c>
      <c r="G900" t="s">
        <v>35</v>
      </c>
      <c r="H900" t="s">
        <v>35</v>
      </c>
      <c r="J900" t="s">
        <v>1506</v>
      </c>
      <c r="K900" t="s">
        <v>1092</v>
      </c>
      <c r="M900">
        <v>0.2</v>
      </c>
      <c r="N900">
        <v>42</v>
      </c>
      <c r="O900" t="s">
        <v>52</v>
      </c>
      <c r="Q900" t="s">
        <v>991</v>
      </c>
      <c r="R900" t="s">
        <v>193</v>
      </c>
      <c r="S900" t="s">
        <v>181</v>
      </c>
    </row>
    <row r="901" spans="1:19" x14ac:dyDescent="0.25">
      <c r="A901" t="s">
        <v>59</v>
      </c>
      <c r="B901" t="s">
        <v>60</v>
      </c>
      <c r="C901" t="s">
        <v>32</v>
      </c>
      <c r="D901" t="s">
        <v>33</v>
      </c>
      <c r="E901" t="s">
        <v>87</v>
      </c>
      <c r="F901" t="s">
        <v>35</v>
      </c>
      <c r="G901" t="s">
        <v>35</v>
      </c>
      <c r="H901" t="s">
        <v>35</v>
      </c>
      <c r="J901" t="s">
        <v>1507</v>
      </c>
      <c r="K901" t="s">
        <v>1092</v>
      </c>
      <c r="M901">
        <v>2.25</v>
      </c>
      <c r="N901">
        <v>39</v>
      </c>
      <c r="O901" t="s">
        <v>52</v>
      </c>
      <c r="Q901" t="s">
        <v>816</v>
      </c>
      <c r="R901" t="s">
        <v>1173</v>
      </c>
      <c r="S901" t="s">
        <v>222</v>
      </c>
    </row>
    <row r="902" spans="1:19" x14ac:dyDescent="0.25">
      <c r="A902" t="s">
        <v>59</v>
      </c>
      <c r="B902" t="s">
        <v>60</v>
      </c>
      <c r="C902" t="s">
        <v>32</v>
      </c>
      <c r="D902" t="s">
        <v>33</v>
      </c>
      <c r="E902" t="s">
        <v>87</v>
      </c>
      <c r="F902" t="s">
        <v>35</v>
      </c>
      <c r="G902" t="s">
        <v>35</v>
      </c>
      <c r="H902" t="s">
        <v>35</v>
      </c>
      <c r="J902" t="s">
        <v>1508</v>
      </c>
      <c r="K902" t="s">
        <v>1092</v>
      </c>
      <c r="M902">
        <v>0.95</v>
      </c>
      <c r="N902">
        <v>461</v>
      </c>
      <c r="O902" t="s">
        <v>294</v>
      </c>
      <c r="Q902" t="s">
        <v>1509</v>
      </c>
      <c r="R902" t="s">
        <v>1510</v>
      </c>
      <c r="S902" t="s">
        <v>1511</v>
      </c>
    </row>
    <row r="903" spans="1:19" x14ac:dyDescent="0.25">
      <c r="A903" t="s">
        <v>59</v>
      </c>
      <c r="B903" t="s">
        <v>60</v>
      </c>
      <c r="C903" t="s">
        <v>32</v>
      </c>
      <c r="D903" t="s">
        <v>33</v>
      </c>
      <c r="E903" t="s">
        <v>87</v>
      </c>
      <c r="F903" t="s">
        <v>35</v>
      </c>
      <c r="G903" t="s">
        <v>35</v>
      </c>
      <c r="H903" t="s">
        <v>35</v>
      </c>
      <c r="J903" t="s">
        <v>1513</v>
      </c>
      <c r="K903" t="s">
        <v>1092</v>
      </c>
      <c r="M903">
        <v>0.65</v>
      </c>
      <c r="N903">
        <v>98</v>
      </c>
      <c r="O903" t="s">
        <v>106</v>
      </c>
      <c r="Q903" t="s">
        <v>108</v>
      </c>
      <c r="R903" t="s">
        <v>193</v>
      </c>
      <c r="S903" t="s">
        <v>181</v>
      </c>
    </row>
    <row r="904" spans="1:19" x14ac:dyDescent="0.25">
      <c r="A904" t="s">
        <v>44</v>
      </c>
      <c r="B904" t="s">
        <v>51</v>
      </c>
      <c r="C904" t="s">
        <v>32</v>
      </c>
      <c r="D904" t="s">
        <v>33</v>
      </c>
      <c r="E904" t="s">
        <v>87</v>
      </c>
      <c r="F904" t="s">
        <v>35</v>
      </c>
      <c r="G904" t="s">
        <v>35</v>
      </c>
      <c r="H904" t="s">
        <v>35</v>
      </c>
      <c r="J904" t="s">
        <v>1514</v>
      </c>
      <c r="K904" t="s">
        <v>1092</v>
      </c>
      <c r="M904">
        <v>2.5</v>
      </c>
      <c r="N904">
        <v>61</v>
      </c>
      <c r="O904" t="s">
        <v>61</v>
      </c>
      <c r="Q904" t="s">
        <v>671</v>
      </c>
      <c r="R904" t="s">
        <v>1331</v>
      </c>
      <c r="S904" t="s">
        <v>1332</v>
      </c>
    </row>
    <row r="905" spans="1:19" x14ac:dyDescent="0.25">
      <c r="A905" t="s">
        <v>44</v>
      </c>
      <c r="B905" t="s">
        <v>3</v>
      </c>
      <c r="C905" t="s">
        <v>32</v>
      </c>
      <c r="D905" t="s">
        <v>33</v>
      </c>
      <c r="E905" t="s">
        <v>87</v>
      </c>
      <c r="F905" t="s">
        <v>35</v>
      </c>
      <c r="G905" t="s">
        <v>35</v>
      </c>
      <c r="H905" t="s">
        <v>35</v>
      </c>
      <c r="J905" t="s">
        <v>1514</v>
      </c>
      <c r="K905" t="s">
        <v>1092</v>
      </c>
      <c r="M905">
        <v>5.25</v>
      </c>
      <c r="N905">
        <v>67</v>
      </c>
      <c r="O905" t="s">
        <v>61</v>
      </c>
      <c r="Q905" t="s">
        <v>1311</v>
      </c>
      <c r="R905" t="s">
        <v>1331</v>
      </c>
      <c r="S905" t="s">
        <v>1332</v>
      </c>
    </row>
    <row r="906" spans="1:19" x14ac:dyDescent="0.25">
      <c r="A906" t="s">
        <v>30</v>
      </c>
      <c r="B906" t="s">
        <v>31</v>
      </c>
      <c r="C906" t="s">
        <v>32</v>
      </c>
      <c r="D906" t="s">
        <v>33</v>
      </c>
      <c r="E906" t="s">
        <v>87</v>
      </c>
      <c r="F906" t="s">
        <v>35</v>
      </c>
      <c r="G906" t="s">
        <v>35</v>
      </c>
      <c r="H906" t="s">
        <v>35</v>
      </c>
      <c r="J906" t="s">
        <v>1514</v>
      </c>
      <c r="K906" t="s">
        <v>1092</v>
      </c>
      <c r="M906">
        <v>4.68</v>
      </c>
      <c r="N906">
        <v>47</v>
      </c>
      <c r="O906" t="s">
        <v>52</v>
      </c>
      <c r="Q906" t="s">
        <v>132</v>
      </c>
      <c r="R906" t="s">
        <v>1331</v>
      </c>
      <c r="S906" t="s">
        <v>1332</v>
      </c>
    </row>
    <row r="907" spans="1:19" x14ac:dyDescent="0.25">
      <c r="A907" t="s">
        <v>59</v>
      </c>
      <c r="B907" t="s">
        <v>60</v>
      </c>
      <c r="C907" t="s">
        <v>32</v>
      </c>
      <c r="D907" t="s">
        <v>33</v>
      </c>
      <c r="E907" t="s">
        <v>87</v>
      </c>
      <c r="F907" t="s">
        <v>35</v>
      </c>
      <c r="G907" t="s">
        <v>35</v>
      </c>
      <c r="H907" t="s">
        <v>35</v>
      </c>
      <c r="J907" t="s">
        <v>1514</v>
      </c>
      <c r="K907" t="s">
        <v>1092</v>
      </c>
      <c r="M907">
        <v>0.75</v>
      </c>
      <c r="N907">
        <v>32</v>
      </c>
      <c r="O907" t="s">
        <v>52</v>
      </c>
      <c r="Q907" t="s">
        <v>547</v>
      </c>
      <c r="R907" t="s">
        <v>1122</v>
      </c>
      <c r="S907" t="s">
        <v>95</v>
      </c>
    </row>
    <row r="908" spans="1:19" x14ac:dyDescent="0.25">
      <c r="A908" t="s">
        <v>59</v>
      </c>
      <c r="B908" t="s">
        <v>60</v>
      </c>
      <c r="C908" t="s">
        <v>32</v>
      </c>
      <c r="D908" t="s">
        <v>33</v>
      </c>
      <c r="E908" t="s">
        <v>87</v>
      </c>
      <c r="F908" t="s">
        <v>35</v>
      </c>
      <c r="G908" t="s">
        <v>35</v>
      </c>
      <c r="H908" t="s">
        <v>35</v>
      </c>
      <c r="J908" t="s">
        <v>1515</v>
      </c>
      <c r="K908" t="s">
        <v>1092</v>
      </c>
      <c r="M908">
        <v>0.45</v>
      </c>
      <c r="N908">
        <v>473</v>
      </c>
      <c r="O908" t="s">
        <v>294</v>
      </c>
      <c r="Q908" t="s">
        <v>1187</v>
      </c>
      <c r="R908" t="s">
        <v>1182</v>
      </c>
      <c r="S908" t="s">
        <v>1183</v>
      </c>
    </row>
    <row r="909" spans="1:19" x14ac:dyDescent="0.25">
      <c r="A909" t="s">
        <v>59</v>
      </c>
      <c r="B909" t="s">
        <v>60</v>
      </c>
      <c r="C909" t="s">
        <v>32</v>
      </c>
      <c r="D909" t="s">
        <v>33</v>
      </c>
      <c r="E909" t="s">
        <v>87</v>
      </c>
      <c r="F909" t="s">
        <v>35</v>
      </c>
      <c r="G909" t="s">
        <v>35</v>
      </c>
      <c r="H909" t="s">
        <v>35</v>
      </c>
      <c r="J909" t="s">
        <v>1515</v>
      </c>
      <c r="K909" t="s">
        <v>1092</v>
      </c>
      <c r="M909">
        <v>0.9</v>
      </c>
      <c r="N909">
        <v>468</v>
      </c>
      <c r="O909" t="s">
        <v>294</v>
      </c>
      <c r="Q909" t="s">
        <v>1516</v>
      </c>
      <c r="R909" t="s">
        <v>1182</v>
      </c>
      <c r="S909" t="s">
        <v>1183</v>
      </c>
    </row>
    <row r="910" spans="1:19" x14ac:dyDescent="0.25">
      <c r="A910" t="s">
        <v>59</v>
      </c>
      <c r="B910" t="s">
        <v>60</v>
      </c>
      <c r="C910" t="s">
        <v>32</v>
      </c>
      <c r="D910" t="s">
        <v>33</v>
      </c>
      <c r="E910" t="s">
        <v>87</v>
      </c>
      <c r="F910" t="s">
        <v>35</v>
      </c>
      <c r="G910" t="s">
        <v>35</v>
      </c>
      <c r="H910" t="s">
        <v>35</v>
      </c>
      <c r="J910" t="s">
        <v>1517</v>
      </c>
      <c r="K910" t="s">
        <v>1092</v>
      </c>
      <c r="M910">
        <v>4.9000000000000002E-2</v>
      </c>
      <c r="N910">
        <v>667</v>
      </c>
      <c r="O910" t="s">
        <v>575</v>
      </c>
      <c r="Q910" t="s">
        <v>1518</v>
      </c>
      <c r="R910" t="s">
        <v>1122</v>
      </c>
      <c r="S910" t="s">
        <v>95</v>
      </c>
    </row>
    <row r="911" spans="1:19" x14ac:dyDescent="0.25">
      <c r="A911" t="s">
        <v>59</v>
      </c>
      <c r="B911" t="s">
        <v>31</v>
      </c>
      <c r="C911" t="s">
        <v>32</v>
      </c>
      <c r="D911" t="s">
        <v>33</v>
      </c>
      <c r="E911" t="s">
        <v>87</v>
      </c>
      <c r="F911" t="s">
        <v>35</v>
      </c>
      <c r="G911" t="s">
        <v>35</v>
      </c>
      <c r="H911" t="s">
        <v>35</v>
      </c>
      <c r="J911" t="s">
        <v>1517</v>
      </c>
      <c r="K911" t="s">
        <v>1092</v>
      </c>
      <c r="M911">
        <v>2.4300000000000002</v>
      </c>
      <c r="N911">
        <v>63</v>
      </c>
      <c r="O911" t="s">
        <v>61</v>
      </c>
      <c r="Q911" t="s">
        <v>423</v>
      </c>
      <c r="R911" t="s">
        <v>1142</v>
      </c>
      <c r="S911" t="s">
        <v>88</v>
      </c>
    </row>
    <row r="912" spans="1:19" x14ac:dyDescent="0.25">
      <c r="A912" t="s">
        <v>59</v>
      </c>
      <c r="B912" t="s">
        <v>31</v>
      </c>
      <c r="C912" t="s">
        <v>32</v>
      </c>
      <c r="D912" t="s">
        <v>33</v>
      </c>
      <c r="E912" t="s">
        <v>87</v>
      </c>
      <c r="F912" t="s">
        <v>35</v>
      </c>
      <c r="G912" t="s">
        <v>35</v>
      </c>
      <c r="H912" t="s">
        <v>35</v>
      </c>
      <c r="J912" t="s">
        <v>1519</v>
      </c>
      <c r="K912" t="s">
        <v>1092</v>
      </c>
      <c r="M912">
        <v>0.99</v>
      </c>
      <c r="N912">
        <v>202</v>
      </c>
      <c r="O912" t="s">
        <v>5</v>
      </c>
      <c r="Q912" t="s">
        <v>1299</v>
      </c>
      <c r="R912" t="s">
        <v>169</v>
      </c>
      <c r="S912" t="s">
        <v>123</v>
      </c>
    </row>
    <row r="913" spans="1:19" x14ac:dyDescent="0.25">
      <c r="A913" t="s">
        <v>59</v>
      </c>
      <c r="B913" t="s">
        <v>60</v>
      </c>
      <c r="C913" t="s">
        <v>32</v>
      </c>
      <c r="D913" t="s">
        <v>33</v>
      </c>
      <c r="E913" t="s">
        <v>87</v>
      </c>
      <c r="F913" t="s">
        <v>35</v>
      </c>
      <c r="G913" t="s">
        <v>35</v>
      </c>
      <c r="H913" t="s">
        <v>35</v>
      </c>
      <c r="J913" t="s">
        <v>1519</v>
      </c>
      <c r="K913" t="s">
        <v>1092</v>
      </c>
      <c r="M913">
        <v>4.0999999999999996</v>
      </c>
      <c r="N913">
        <v>202</v>
      </c>
      <c r="O913" t="s">
        <v>5</v>
      </c>
      <c r="Q913" t="s">
        <v>1299</v>
      </c>
      <c r="R913" t="s">
        <v>169</v>
      </c>
      <c r="S913" t="s">
        <v>123</v>
      </c>
    </row>
    <row r="914" spans="1:19" x14ac:dyDescent="0.25">
      <c r="A914" t="s">
        <v>44</v>
      </c>
      <c r="B914" t="s">
        <v>3</v>
      </c>
      <c r="C914" t="s">
        <v>32</v>
      </c>
      <c r="D914" t="s">
        <v>33</v>
      </c>
      <c r="E914" t="s">
        <v>1520</v>
      </c>
      <c r="F914" t="s">
        <v>35</v>
      </c>
      <c r="G914" t="s">
        <v>35</v>
      </c>
      <c r="H914" t="s">
        <v>35</v>
      </c>
      <c r="J914" t="s">
        <v>1521</v>
      </c>
      <c r="K914" t="s">
        <v>1092</v>
      </c>
      <c r="M914">
        <v>11</v>
      </c>
      <c r="N914">
        <v>41</v>
      </c>
      <c r="O914" t="s">
        <v>52</v>
      </c>
      <c r="Q914" t="s">
        <v>249</v>
      </c>
      <c r="R914" t="s">
        <v>69</v>
      </c>
      <c r="S914" t="s">
        <v>70</v>
      </c>
    </row>
    <row r="915" spans="1:19" x14ac:dyDescent="0.25">
      <c r="A915" t="s">
        <v>30</v>
      </c>
      <c r="B915" t="s">
        <v>31</v>
      </c>
      <c r="C915" t="s">
        <v>32</v>
      </c>
      <c r="D915" t="s">
        <v>33</v>
      </c>
      <c r="E915" t="s">
        <v>1520</v>
      </c>
      <c r="F915" t="s">
        <v>35</v>
      </c>
      <c r="G915" t="s">
        <v>35</v>
      </c>
      <c r="H915" t="s">
        <v>35</v>
      </c>
      <c r="J915" t="s">
        <v>1521</v>
      </c>
      <c r="K915" t="s">
        <v>1092</v>
      </c>
      <c r="M915">
        <v>5.9219999999999997</v>
      </c>
      <c r="N915">
        <v>41</v>
      </c>
      <c r="O915" t="s">
        <v>52</v>
      </c>
      <c r="Q915" t="s">
        <v>249</v>
      </c>
      <c r="R915" t="s">
        <v>69</v>
      </c>
      <c r="S915" t="s">
        <v>70</v>
      </c>
    </row>
    <row r="916" spans="1:19" x14ac:dyDescent="0.25">
      <c r="A916" t="s">
        <v>59</v>
      </c>
      <c r="B916" t="s">
        <v>60</v>
      </c>
      <c r="C916" t="s">
        <v>32</v>
      </c>
      <c r="D916" t="s">
        <v>33</v>
      </c>
      <c r="E916" t="s">
        <v>1520</v>
      </c>
      <c r="F916" t="s">
        <v>35</v>
      </c>
      <c r="G916" t="s">
        <v>35</v>
      </c>
      <c r="H916" t="s">
        <v>35</v>
      </c>
      <c r="J916" t="s">
        <v>1522</v>
      </c>
      <c r="K916" t="s">
        <v>1092</v>
      </c>
      <c r="M916">
        <v>1.75</v>
      </c>
      <c r="N916">
        <v>47</v>
      </c>
      <c r="O916" t="s">
        <v>52</v>
      </c>
      <c r="Q916" t="s">
        <v>132</v>
      </c>
      <c r="R916" t="s">
        <v>169</v>
      </c>
      <c r="S916" t="s">
        <v>123</v>
      </c>
    </row>
    <row r="917" spans="1:19" x14ac:dyDescent="0.25">
      <c r="A917" t="s">
        <v>59</v>
      </c>
      <c r="B917" t="s">
        <v>60</v>
      </c>
      <c r="C917" t="s">
        <v>32</v>
      </c>
      <c r="D917" t="s">
        <v>33</v>
      </c>
      <c r="E917" t="s">
        <v>1520</v>
      </c>
      <c r="F917" t="s">
        <v>35</v>
      </c>
      <c r="G917" t="s">
        <v>35</v>
      </c>
      <c r="H917" t="s">
        <v>35</v>
      </c>
      <c r="J917" t="s">
        <v>1523</v>
      </c>
      <c r="K917" t="s">
        <v>1092</v>
      </c>
      <c r="M917">
        <v>1.5</v>
      </c>
      <c r="N917">
        <v>75</v>
      </c>
      <c r="O917" t="s">
        <v>61</v>
      </c>
      <c r="Q917" t="s">
        <v>805</v>
      </c>
      <c r="R917" t="s">
        <v>1331</v>
      </c>
      <c r="S917" t="s">
        <v>1332</v>
      </c>
    </row>
    <row r="918" spans="1:19" x14ac:dyDescent="0.25">
      <c r="A918" t="s">
        <v>30</v>
      </c>
      <c r="B918" t="s">
        <v>31</v>
      </c>
      <c r="C918" t="s">
        <v>32</v>
      </c>
      <c r="D918" t="s">
        <v>33</v>
      </c>
      <c r="E918" t="s">
        <v>1520</v>
      </c>
      <c r="F918" t="s">
        <v>35</v>
      </c>
      <c r="G918" t="s">
        <v>35</v>
      </c>
      <c r="H918" t="s">
        <v>35</v>
      </c>
      <c r="J918" t="s">
        <v>1524</v>
      </c>
      <c r="K918" t="s">
        <v>1092</v>
      </c>
      <c r="M918">
        <v>1.99</v>
      </c>
      <c r="N918">
        <v>1220</v>
      </c>
      <c r="O918" t="s">
        <v>575</v>
      </c>
      <c r="Q918" t="s">
        <v>1525</v>
      </c>
      <c r="R918" t="s">
        <v>169</v>
      </c>
      <c r="S918" t="s">
        <v>123</v>
      </c>
    </row>
    <row r="919" spans="1:19" x14ac:dyDescent="0.25">
      <c r="A919" t="s">
        <v>59</v>
      </c>
      <c r="B919" t="s">
        <v>31</v>
      </c>
      <c r="C919" t="s">
        <v>32</v>
      </c>
      <c r="D919" t="s">
        <v>33</v>
      </c>
      <c r="E919" t="s">
        <v>1520</v>
      </c>
      <c r="F919" t="s">
        <v>35</v>
      </c>
      <c r="G919" t="s">
        <v>35</v>
      </c>
      <c r="H919" t="s">
        <v>35</v>
      </c>
      <c r="J919" t="s">
        <v>1524</v>
      </c>
      <c r="K919" t="s">
        <v>1092</v>
      </c>
      <c r="M919">
        <v>4.8150000000000004</v>
      </c>
      <c r="N919">
        <v>941</v>
      </c>
      <c r="O919" t="s">
        <v>575</v>
      </c>
      <c r="Q919" t="s">
        <v>1526</v>
      </c>
      <c r="R919" t="s">
        <v>85</v>
      </c>
      <c r="S919" t="s">
        <v>86</v>
      </c>
    </row>
    <row r="920" spans="1:19" x14ac:dyDescent="0.25">
      <c r="A920" t="s">
        <v>44</v>
      </c>
      <c r="B920" t="s">
        <v>51</v>
      </c>
      <c r="C920" t="s">
        <v>32</v>
      </c>
      <c r="D920" t="s">
        <v>33</v>
      </c>
      <c r="E920" t="s">
        <v>1520</v>
      </c>
      <c r="F920" t="s">
        <v>35</v>
      </c>
      <c r="G920" t="s">
        <v>35</v>
      </c>
      <c r="H920" t="s">
        <v>35</v>
      </c>
      <c r="J920" t="s">
        <v>1527</v>
      </c>
      <c r="K920" t="s">
        <v>1092</v>
      </c>
      <c r="M920">
        <v>0.6</v>
      </c>
      <c r="N920">
        <v>31</v>
      </c>
      <c r="O920" t="s">
        <v>52</v>
      </c>
      <c r="Q920" t="s">
        <v>972</v>
      </c>
      <c r="R920" t="s">
        <v>1142</v>
      </c>
      <c r="S920" t="s">
        <v>88</v>
      </c>
    </row>
    <row r="921" spans="1:19" x14ac:dyDescent="0.25">
      <c r="A921" t="s">
        <v>59</v>
      </c>
      <c r="B921" t="s">
        <v>60</v>
      </c>
      <c r="C921" t="s">
        <v>32</v>
      </c>
      <c r="D921" t="s">
        <v>33</v>
      </c>
      <c r="E921" t="s">
        <v>1520</v>
      </c>
      <c r="F921" t="s">
        <v>35</v>
      </c>
      <c r="G921" t="s">
        <v>35</v>
      </c>
      <c r="H921" t="s">
        <v>35</v>
      </c>
      <c r="J921" t="s">
        <v>1528</v>
      </c>
      <c r="K921" t="s">
        <v>1092</v>
      </c>
      <c r="M921">
        <v>1.45</v>
      </c>
      <c r="N921">
        <v>70</v>
      </c>
      <c r="O921" t="s">
        <v>61</v>
      </c>
      <c r="Q921" t="s">
        <v>126</v>
      </c>
      <c r="R921" t="s">
        <v>1529</v>
      </c>
      <c r="S921" t="s">
        <v>215</v>
      </c>
    </row>
    <row r="922" spans="1:19" x14ac:dyDescent="0.25">
      <c r="A922" t="s">
        <v>44</v>
      </c>
      <c r="B922" t="s">
        <v>3</v>
      </c>
      <c r="C922" t="s">
        <v>32</v>
      </c>
      <c r="D922" t="s">
        <v>33</v>
      </c>
      <c r="E922" t="s">
        <v>1520</v>
      </c>
      <c r="F922" t="s">
        <v>35</v>
      </c>
      <c r="G922" t="s">
        <v>35</v>
      </c>
      <c r="H922" t="s">
        <v>35</v>
      </c>
      <c r="J922" t="s">
        <v>1528</v>
      </c>
      <c r="K922" t="s">
        <v>1092</v>
      </c>
      <c r="M922">
        <v>1.4</v>
      </c>
      <c r="N922">
        <v>67</v>
      </c>
      <c r="O922" t="s">
        <v>61</v>
      </c>
      <c r="Q922" t="s">
        <v>1311</v>
      </c>
      <c r="R922" t="s">
        <v>1529</v>
      </c>
      <c r="S922" t="s">
        <v>215</v>
      </c>
    </row>
    <row r="923" spans="1:19" x14ac:dyDescent="0.25">
      <c r="A923" t="s">
        <v>59</v>
      </c>
      <c r="B923" t="s">
        <v>60</v>
      </c>
      <c r="C923" t="s">
        <v>32</v>
      </c>
      <c r="D923" t="s">
        <v>33</v>
      </c>
      <c r="E923" t="s">
        <v>1520</v>
      </c>
      <c r="F923" t="s">
        <v>35</v>
      </c>
      <c r="G923" t="s">
        <v>35</v>
      </c>
      <c r="H923" t="s">
        <v>35</v>
      </c>
      <c r="J923" t="s">
        <v>1528</v>
      </c>
      <c r="K923" t="s">
        <v>1092</v>
      </c>
      <c r="M923">
        <v>2</v>
      </c>
      <c r="N923">
        <v>27</v>
      </c>
      <c r="O923" t="s">
        <v>46</v>
      </c>
      <c r="Q923" t="s">
        <v>1011</v>
      </c>
      <c r="R923" t="s">
        <v>1529</v>
      </c>
      <c r="S923" t="s">
        <v>215</v>
      </c>
    </row>
    <row r="924" spans="1:19" x14ac:dyDescent="0.25">
      <c r="A924" t="s">
        <v>59</v>
      </c>
      <c r="B924" t="s">
        <v>31</v>
      </c>
      <c r="C924" t="s">
        <v>32</v>
      </c>
      <c r="D924" t="s">
        <v>33</v>
      </c>
      <c r="E924" t="s">
        <v>1520</v>
      </c>
      <c r="F924" t="s">
        <v>35</v>
      </c>
      <c r="G924" t="s">
        <v>35</v>
      </c>
      <c r="H924" t="s">
        <v>35</v>
      </c>
      <c r="J924" t="s">
        <v>1530</v>
      </c>
      <c r="K924" t="s">
        <v>1092</v>
      </c>
      <c r="M924">
        <v>0.04</v>
      </c>
      <c r="N924">
        <v>880</v>
      </c>
      <c r="O924" t="s">
        <v>575</v>
      </c>
      <c r="Q924" t="s">
        <v>1531</v>
      </c>
      <c r="R924" t="s">
        <v>169</v>
      </c>
      <c r="S924" t="s">
        <v>123</v>
      </c>
    </row>
    <row r="925" spans="1:19" x14ac:dyDescent="0.25">
      <c r="A925" t="s">
        <v>59</v>
      </c>
      <c r="B925" t="s">
        <v>60</v>
      </c>
      <c r="C925" t="s">
        <v>32</v>
      </c>
      <c r="D925" t="s">
        <v>33</v>
      </c>
      <c r="E925" t="s">
        <v>1520</v>
      </c>
      <c r="F925" t="s">
        <v>35</v>
      </c>
      <c r="G925" t="s">
        <v>35</v>
      </c>
      <c r="H925" t="s">
        <v>35</v>
      </c>
      <c r="J925" t="s">
        <v>1533</v>
      </c>
      <c r="K925" t="s">
        <v>1092</v>
      </c>
      <c r="M925">
        <v>3.3</v>
      </c>
      <c r="N925">
        <v>75</v>
      </c>
      <c r="O925" t="s">
        <v>61</v>
      </c>
      <c r="Q925" t="s">
        <v>805</v>
      </c>
      <c r="R925" t="s">
        <v>1529</v>
      </c>
      <c r="S925" t="s">
        <v>215</v>
      </c>
    </row>
    <row r="926" spans="1:19" x14ac:dyDescent="0.25">
      <c r="A926" t="s">
        <v>59</v>
      </c>
      <c r="B926" t="s">
        <v>60</v>
      </c>
      <c r="C926" t="s">
        <v>32</v>
      </c>
      <c r="D926" t="s">
        <v>33</v>
      </c>
      <c r="E926" t="s">
        <v>1520</v>
      </c>
      <c r="F926" t="s">
        <v>35</v>
      </c>
      <c r="G926" t="s">
        <v>35</v>
      </c>
      <c r="H926" t="s">
        <v>35</v>
      </c>
      <c r="J926" t="s">
        <v>1533</v>
      </c>
      <c r="K926" t="s">
        <v>1092</v>
      </c>
      <c r="M926">
        <v>0.25</v>
      </c>
      <c r="N926">
        <v>65</v>
      </c>
      <c r="O926" t="s">
        <v>61</v>
      </c>
      <c r="Q926" t="s">
        <v>128</v>
      </c>
      <c r="R926" t="s">
        <v>1529</v>
      </c>
      <c r="S926" t="s">
        <v>215</v>
      </c>
    </row>
    <row r="927" spans="1:19" x14ac:dyDescent="0.25">
      <c r="A927" t="s">
        <v>59</v>
      </c>
      <c r="B927" t="s">
        <v>60</v>
      </c>
      <c r="C927" t="s">
        <v>32</v>
      </c>
      <c r="D927" t="s">
        <v>33</v>
      </c>
      <c r="E927" t="s">
        <v>1520</v>
      </c>
      <c r="F927" t="s">
        <v>35</v>
      </c>
      <c r="G927" t="s">
        <v>35</v>
      </c>
      <c r="H927" t="s">
        <v>35</v>
      </c>
      <c r="J927" t="s">
        <v>1534</v>
      </c>
      <c r="K927" t="s">
        <v>1092</v>
      </c>
      <c r="M927">
        <v>0.16</v>
      </c>
      <c r="N927">
        <v>70</v>
      </c>
      <c r="O927" t="s">
        <v>61</v>
      </c>
      <c r="Q927" t="s">
        <v>126</v>
      </c>
      <c r="R927" t="s">
        <v>1142</v>
      </c>
      <c r="S927" t="s">
        <v>88</v>
      </c>
    </row>
    <row r="928" spans="1:19" x14ac:dyDescent="0.25">
      <c r="A928" t="s">
        <v>30</v>
      </c>
      <c r="B928" t="s">
        <v>31</v>
      </c>
      <c r="C928" t="s">
        <v>32</v>
      </c>
      <c r="D928" t="s">
        <v>33</v>
      </c>
      <c r="E928" t="s">
        <v>1520</v>
      </c>
      <c r="F928" t="s">
        <v>35</v>
      </c>
      <c r="G928" t="s">
        <v>35</v>
      </c>
      <c r="H928" t="s">
        <v>35</v>
      </c>
      <c r="J928" t="s">
        <v>1534</v>
      </c>
      <c r="K928" t="s">
        <v>1092</v>
      </c>
      <c r="M928">
        <v>0.46500000000000002</v>
      </c>
      <c r="N928">
        <v>19</v>
      </c>
      <c r="O928" t="s">
        <v>46</v>
      </c>
      <c r="Q928" t="s">
        <v>1192</v>
      </c>
      <c r="R928" t="s">
        <v>1142</v>
      </c>
      <c r="S928" t="s">
        <v>88</v>
      </c>
    </row>
    <row r="929" spans="1:19" x14ac:dyDescent="0.25">
      <c r="A929" t="s">
        <v>44</v>
      </c>
      <c r="B929" t="s">
        <v>51</v>
      </c>
      <c r="C929" t="s">
        <v>32</v>
      </c>
      <c r="D929" t="s">
        <v>33</v>
      </c>
      <c r="E929" t="s">
        <v>1520</v>
      </c>
      <c r="F929" t="s">
        <v>35</v>
      </c>
      <c r="G929" t="s">
        <v>35</v>
      </c>
      <c r="H929" t="s">
        <v>35</v>
      </c>
      <c r="J929" t="s">
        <v>1534</v>
      </c>
      <c r="K929" t="s">
        <v>1092</v>
      </c>
      <c r="M929">
        <v>0.69</v>
      </c>
      <c r="N929">
        <v>19</v>
      </c>
      <c r="O929" t="s">
        <v>46</v>
      </c>
      <c r="Q929" t="s">
        <v>1192</v>
      </c>
      <c r="R929" t="s">
        <v>1142</v>
      </c>
      <c r="S929" t="s">
        <v>88</v>
      </c>
    </row>
    <row r="930" spans="1:19" x14ac:dyDescent="0.25">
      <c r="A930" t="s">
        <v>59</v>
      </c>
      <c r="B930" t="s">
        <v>31</v>
      </c>
      <c r="C930" t="s">
        <v>32</v>
      </c>
      <c r="D930" t="s">
        <v>33</v>
      </c>
      <c r="E930" t="s">
        <v>1520</v>
      </c>
      <c r="F930" t="s">
        <v>35</v>
      </c>
      <c r="G930" t="s">
        <v>35</v>
      </c>
      <c r="H930" t="s">
        <v>35</v>
      </c>
      <c r="J930" t="s">
        <v>1535</v>
      </c>
      <c r="K930" t="s">
        <v>1092</v>
      </c>
      <c r="M930">
        <v>0.63</v>
      </c>
      <c r="N930">
        <v>73</v>
      </c>
      <c r="O930" t="s">
        <v>61</v>
      </c>
      <c r="Q930" t="s">
        <v>552</v>
      </c>
      <c r="R930" t="s">
        <v>199</v>
      </c>
      <c r="S930" t="s">
        <v>200</v>
      </c>
    </row>
    <row r="931" spans="1:19" x14ac:dyDescent="0.25">
      <c r="A931" t="s">
        <v>59</v>
      </c>
      <c r="B931" t="s">
        <v>31</v>
      </c>
      <c r="C931" t="s">
        <v>32</v>
      </c>
      <c r="D931" t="s">
        <v>33</v>
      </c>
      <c r="E931" t="s">
        <v>1520</v>
      </c>
      <c r="F931" t="s">
        <v>35</v>
      </c>
      <c r="G931" t="s">
        <v>35</v>
      </c>
      <c r="H931" t="s">
        <v>35</v>
      </c>
      <c r="J931" t="s">
        <v>1536</v>
      </c>
      <c r="K931" t="s">
        <v>1092</v>
      </c>
      <c r="M931">
        <v>1.4999999999999999E-2</v>
      </c>
      <c r="N931">
        <v>352</v>
      </c>
      <c r="O931" t="s">
        <v>5</v>
      </c>
      <c r="Q931" t="s">
        <v>1190</v>
      </c>
      <c r="R931" t="s">
        <v>1529</v>
      </c>
      <c r="S931" t="s">
        <v>215</v>
      </c>
    </row>
    <row r="932" spans="1:19" x14ac:dyDescent="0.25">
      <c r="A932" t="s">
        <v>59</v>
      </c>
      <c r="B932" t="s">
        <v>31</v>
      </c>
      <c r="C932" t="s">
        <v>32</v>
      </c>
      <c r="D932" t="s">
        <v>33</v>
      </c>
      <c r="E932" t="s">
        <v>1520</v>
      </c>
      <c r="F932" t="s">
        <v>35</v>
      </c>
      <c r="G932" t="s">
        <v>35</v>
      </c>
      <c r="H932" t="s">
        <v>35</v>
      </c>
      <c r="J932" t="s">
        <v>1537</v>
      </c>
      <c r="K932" t="s">
        <v>1092</v>
      </c>
      <c r="M932">
        <v>0.45</v>
      </c>
      <c r="N932">
        <v>100</v>
      </c>
      <c r="O932" t="s">
        <v>106</v>
      </c>
      <c r="Q932" t="s">
        <v>1112</v>
      </c>
      <c r="R932" t="s">
        <v>1529</v>
      </c>
      <c r="S932" t="s">
        <v>215</v>
      </c>
    </row>
    <row r="933" spans="1:19" x14ac:dyDescent="0.25">
      <c r="A933" t="s">
        <v>59</v>
      </c>
      <c r="B933" t="s">
        <v>60</v>
      </c>
      <c r="C933" t="s">
        <v>32</v>
      </c>
      <c r="D933" t="s">
        <v>33</v>
      </c>
      <c r="E933" t="s">
        <v>1520</v>
      </c>
      <c r="F933" t="s">
        <v>35</v>
      </c>
      <c r="G933" t="s">
        <v>35</v>
      </c>
      <c r="H933" t="s">
        <v>35</v>
      </c>
      <c r="J933" t="s">
        <v>1537</v>
      </c>
      <c r="K933" t="s">
        <v>1092</v>
      </c>
      <c r="M933">
        <v>1</v>
      </c>
      <c r="N933">
        <v>100</v>
      </c>
      <c r="O933" t="s">
        <v>106</v>
      </c>
      <c r="Q933" t="s">
        <v>1112</v>
      </c>
      <c r="R933" t="s">
        <v>1529</v>
      </c>
      <c r="S933" t="s">
        <v>215</v>
      </c>
    </row>
    <row r="934" spans="1:19" x14ac:dyDescent="0.25">
      <c r="A934" t="s">
        <v>59</v>
      </c>
      <c r="B934" t="s">
        <v>60</v>
      </c>
      <c r="C934" t="s">
        <v>32</v>
      </c>
      <c r="D934" t="s">
        <v>33</v>
      </c>
      <c r="E934" t="s">
        <v>1520</v>
      </c>
      <c r="F934" t="s">
        <v>35</v>
      </c>
      <c r="G934" t="s">
        <v>35</v>
      </c>
      <c r="H934" t="s">
        <v>35</v>
      </c>
      <c r="J934" t="s">
        <v>1537</v>
      </c>
      <c r="K934" t="s">
        <v>1092</v>
      </c>
      <c r="M934">
        <v>0.5</v>
      </c>
      <c r="N934">
        <v>91</v>
      </c>
      <c r="O934" t="s">
        <v>106</v>
      </c>
      <c r="Q934" t="s">
        <v>1147</v>
      </c>
      <c r="R934" t="s">
        <v>1529</v>
      </c>
      <c r="S934" t="s">
        <v>215</v>
      </c>
    </row>
    <row r="935" spans="1:19" x14ac:dyDescent="0.25">
      <c r="A935" t="s">
        <v>44</v>
      </c>
      <c r="B935" t="s">
        <v>51</v>
      </c>
      <c r="C935" t="s">
        <v>32</v>
      </c>
      <c r="D935" t="s">
        <v>33</v>
      </c>
      <c r="E935" t="s">
        <v>1520</v>
      </c>
      <c r="F935" t="s">
        <v>35</v>
      </c>
      <c r="G935" t="s">
        <v>35</v>
      </c>
      <c r="H935" t="s">
        <v>35</v>
      </c>
      <c r="J935" t="s">
        <v>1538</v>
      </c>
      <c r="K935" t="s">
        <v>1092</v>
      </c>
      <c r="M935">
        <v>7.2</v>
      </c>
      <c r="N935">
        <v>28</v>
      </c>
      <c r="O935" t="s">
        <v>46</v>
      </c>
      <c r="Q935" t="s">
        <v>176</v>
      </c>
      <c r="R935" t="s">
        <v>85</v>
      </c>
      <c r="S935" t="s">
        <v>86</v>
      </c>
    </row>
    <row r="936" spans="1:19" x14ac:dyDescent="0.25">
      <c r="A936" t="s">
        <v>59</v>
      </c>
      <c r="B936" t="s">
        <v>60</v>
      </c>
      <c r="C936" t="s">
        <v>32</v>
      </c>
      <c r="D936" t="s">
        <v>33</v>
      </c>
      <c r="E936" t="s">
        <v>1520</v>
      </c>
      <c r="F936" t="s">
        <v>35</v>
      </c>
      <c r="G936" t="s">
        <v>35</v>
      </c>
      <c r="H936" t="s">
        <v>35</v>
      </c>
      <c r="J936" t="s">
        <v>1538</v>
      </c>
      <c r="K936" t="s">
        <v>1092</v>
      </c>
      <c r="M936">
        <v>1.1000000000000001</v>
      </c>
      <c r="N936">
        <v>72</v>
      </c>
      <c r="O936" t="s">
        <v>61</v>
      </c>
      <c r="Q936" t="s">
        <v>63</v>
      </c>
      <c r="R936" t="s">
        <v>85</v>
      </c>
      <c r="S936" t="s">
        <v>86</v>
      </c>
    </row>
    <row r="937" spans="1:19" x14ac:dyDescent="0.25">
      <c r="A937" t="s">
        <v>30</v>
      </c>
      <c r="B937" t="s">
        <v>31</v>
      </c>
      <c r="C937" t="s">
        <v>32</v>
      </c>
      <c r="D937" t="s">
        <v>33</v>
      </c>
      <c r="E937" t="s">
        <v>1520</v>
      </c>
      <c r="F937" t="s">
        <v>35</v>
      </c>
      <c r="G937" t="s">
        <v>35</v>
      </c>
      <c r="H937" t="s">
        <v>35</v>
      </c>
      <c r="J937" t="s">
        <v>1538</v>
      </c>
      <c r="K937" t="s">
        <v>1092</v>
      </c>
      <c r="M937">
        <v>4.5</v>
      </c>
      <c r="N937">
        <v>46</v>
      </c>
      <c r="O937" t="s">
        <v>52</v>
      </c>
      <c r="Q937" t="s">
        <v>493</v>
      </c>
      <c r="R937" t="s">
        <v>85</v>
      </c>
      <c r="S937" t="s">
        <v>86</v>
      </c>
    </row>
    <row r="938" spans="1:19" x14ac:dyDescent="0.25">
      <c r="A938" t="s">
        <v>59</v>
      </c>
      <c r="B938" t="s">
        <v>31</v>
      </c>
      <c r="C938" t="s">
        <v>32</v>
      </c>
      <c r="D938" t="s">
        <v>33</v>
      </c>
      <c r="E938" t="s">
        <v>1520</v>
      </c>
      <c r="F938" t="s">
        <v>35</v>
      </c>
      <c r="G938" t="s">
        <v>35</v>
      </c>
      <c r="H938" t="s">
        <v>35</v>
      </c>
      <c r="J938" t="s">
        <v>1539</v>
      </c>
      <c r="K938" t="s">
        <v>1092</v>
      </c>
      <c r="M938">
        <v>2.0249999999999999</v>
      </c>
      <c r="N938">
        <v>70</v>
      </c>
      <c r="O938" t="s">
        <v>61</v>
      </c>
      <c r="Q938" t="s">
        <v>126</v>
      </c>
      <c r="R938" t="s">
        <v>1142</v>
      </c>
      <c r="S938" t="s">
        <v>88</v>
      </c>
    </row>
    <row r="939" spans="1:19" x14ac:dyDescent="0.25">
      <c r="A939" t="s">
        <v>30</v>
      </c>
      <c r="B939" t="s">
        <v>31</v>
      </c>
      <c r="C939" t="s">
        <v>32</v>
      </c>
      <c r="D939" t="s">
        <v>33</v>
      </c>
      <c r="E939" t="s">
        <v>1520</v>
      </c>
      <c r="F939" t="s">
        <v>35</v>
      </c>
      <c r="G939" t="s">
        <v>35</v>
      </c>
      <c r="H939" t="s">
        <v>35</v>
      </c>
      <c r="J939" t="s">
        <v>1539</v>
      </c>
      <c r="K939" t="s">
        <v>1092</v>
      </c>
      <c r="M939">
        <v>5.4450000000000003</v>
      </c>
      <c r="N939">
        <v>145</v>
      </c>
      <c r="O939" t="s">
        <v>38</v>
      </c>
      <c r="Q939" t="s">
        <v>1149</v>
      </c>
      <c r="R939" t="s">
        <v>1211</v>
      </c>
      <c r="S939" t="s">
        <v>1212</v>
      </c>
    </row>
    <row r="940" spans="1:19" x14ac:dyDescent="0.25">
      <c r="A940" t="s">
        <v>59</v>
      </c>
      <c r="B940" t="s">
        <v>31</v>
      </c>
      <c r="C940" t="s">
        <v>32</v>
      </c>
      <c r="D940" t="s">
        <v>33</v>
      </c>
      <c r="E940" t="s">
        <v>1520</v>
      </c>
      <c r="F940" t="s">
        <v>35</v>
      </c>
      <c r="G940" t="s">
        <v>35</v>
      </c>
      <c r="H940" t="s">
        <v>35</v>
      </c>
      <c r="J940" t="s">
        <v>1539</v>
      </c>
      <c r="K940" t="s">
        <v>1092</v>
      </c>
      <c r="M940">
        <v>0.94499999999999995</v>
      </c>
      <c r="N940">
        <v>95</v>
      </c>
      <c r="O940" t="s">
        <v>106</v>
      </c>
      <c r="Q940" t="s">
        <v>724</v>
      </c>
      <c r="R940" t="s">
        <v>147</v>
      </c>
      <c r="S940" t="s">
        <v>148</v>
      </c>
    </row>
    <row r="941" spans="1:19" x14ac:dyDescent="0.25">
      <c r="A941" t="s">
        <v>59</v>
      </c>
      <c r="B941" t="s">
        <v>60</v>
      </c>
      <c r="C941" t="s">
        <v>32</v>
      </c>
      <c r="D941" t="s">
        <v>33</v>
      </c>
      <c r="E941" t="s">
        <v>1520</v>
      </c>
      <c r="F941" t="s">
        <v>35</v>
      </c>
      <c r="G941" t="s">
        <v>35</v>
      </c>
      <c r="H941" t="s">
        <v>35</v>
      </c>
      <c r="J941" t="s">
        <v>1540</v>
      </c>
      <c r="K941" t="s">
        <v>1092</v>
      </c>
      <c r="M941">
        <v>0.5</v>
      </c>
      <c r="N941">
        <v>82</v>
      </c>
      <c r="O941" t="s">
        <v>61</v>
      </c>
      <c r="Q941" t="s">
        <v>447</v>
      </c>
      <c r="R941" t="s">
        <v>1122</v>
      </c>
      <c r="S941" t="s">
        <v>95</v>
      </c>
    </row>
    <row r="942" spans="1:19" x14ac:dyDescent="0.25">
      <c r="A942" t="s">
        <v>59</v>
      </c>
      <c r="B942" t="s">
        <v>60</v>
      </c>
      <c r="C942" t="s">
        <v>32</v>
      </c>
      <c r="D942" t="s">
        <v>33</v>
      </c>
      <c r="E942" t="s">
        <v>1520</v>
      </c>
      <c r="F942" t="s">
        <v>35</v>
      </c>
      <c r="G942" t="s">
        <v>35</v>
      </c>
      <c r="H942" t="s">
        <v>35</v>
      </c>
      <c r="J942" t="s">
        <v>1541</v>
      </c>
      <c r="K942" t="s">
        <v>1092</v>
      </c>
      <c r="M942">
        <v>0.5</v>
      </c>
      <c r="N942">
        <v>67</v>
      </c>
      <c r="O942" t="s">
        <v>61</v>
      </c>
      <c r="Q942" t="s">
        <v>1311</v>
      </c>
      <c r="R942" t="s">
        <v>1102</v>
      </c>
      <c r="S942" t="s">
        <v>105</v>
      </c>
    </row>
    <row r="943" spans="1:19" x14ac:dyDescent="0.25">
      <c r="A943" t="s">
        <v>59</v>
      </c>
      <c r="B943" t="s">
        <v>60</v>
      </c>
      <c r="C943" t="s">
        <v>32</v>
      </c>
      <c r="D943" t="s">
        <v>33</v>
      </c>
      <c r="E943" t="s">
        <v>1520</v>
      </c>
      <c r="F943" t="s">
        <v>35</v>
      </c>
      <c r="G943" t="s">
        <v>35</v>
      </c>
      <c r="H943" t="s">
        <v>35</v>
      </c>
      <c r="J943" t="s">
        <v>1542</v>
      </c>
      <c r="K943" t="s">
        <v>1092</v>
      </c>
      <c r="M943">
        <v>0.68600000000000005</v>
      </c>
      <c r="N943">
        <v>114</v>
      </c>
      <c r="O943" t="s">
        <v>106</v>
      </c>
      <c r="Q943" t="s">
        <v>288</v>
      </c>
      <c r="R943" t="s">
        <v>1142</v>
      </c>
      <c r="S943" t="s">
        <v>88</v>
      </c>
    </row>
    <row r="944" spans="1:19" x14ac:dyDescent="0.25">
      <c r="A944" t="s">
        <v>44</v>
      </c>
      <c r="B944" t="s">
        <v>51</v>
      </c>
      <c r="C944" t="s">
        <v>32</v>
      </c>
      <c r="D944" t="s">
        <v>33</v>
      </c>
      <c r="E944" t="s">
        <v>1520</v>
      </c>
      <c r="F944" t="s">
        <v>35</v>
      </c>
      <c r="G944" t="s">
        <v>35</v>
      </c>
      <c r="H944" t="s">
        <v>35</v>
      </c>
      <c r="J944" t="s">
        <v>1542</v>
      </c>
      <c r="K944" t="s">
        <v>1092</v>
      </c>
      <c r="M944">
        <v>1.895</v>
      </c>
      <c r="N944">
        <v>19</v>
      </c>
      <c r="O944" t="s">
        <v>46</v>
      </c>
      <c r="Q944" t="s">
        <v>1192</v>
      </c>
      <c r="R944" t="s">
        <v>1142</v>
      </c>
      <c r="S944" t="s">
        <v>88</v>
      </c>
    </row>
    <row r="945" spans="1:19" x14ac:dyDescent="0.25">
      <c r="A945" t="s">
        <v>30</v>
      </c>
      <c r="B945" t="s">
        <v>31</v>
      </c>
      <c r="C945" t="s">
        <v>32</v>
      </c>
      <c r="D945" t="s">
        <v>33</v>
      </c>
      <c r="E945" t="s">
        <v>1520</v>
      </c>
      <c r="F945" t="s">
        <v>35</v>
      </c>
      <c r="G945" t="s">
        <v>35</v>
      </c>
      <c r="H945" t="s">
        <v>35</v>
      </c>
      <c r="J945" t="s">
        <v>1543</v>
      </c>
      <c r="K945" t="s">
        <v>1092</v>
      </c>
      <c r="M945">
        <v>2.56</v>
      </c>
      <c r="N945">
        <v>230</v>
      </c>
      <c r="O945" t="s">
        <v>5</v>
      </c>
      <c r="Q945" t="s">
        <v>1544</v>
      </c>
      <c r="R945" t="s">
        <v>1258</v>
      </c>
      <c r="S945" t="s">
        <v>194</v>
      </c>
    </row>
    <row r="946" spans="1:19" x14ac:dyDescent="0.25">
      <c r="A946" t="s">
        <v>59</v>
      </c>
      <c r="B946" t="s">
        <v>60</v>
      </c>
      <c r="C946" t="s">
        <v>32</v>
      </c>
      <c r="D946" t="s">
        <v>33</v>
      </c>
      <c r="E946" t="s">
        <v>1520</v>
      </c>
      <c r="F946" t="s">
        <v>35</v>
      </c>
      <c r="G946" t="s">
        <v>35</v>
      </c>
      <c r="H946" t="s">
        <v>35</v>
      </c>
      <c r="J946" t="s">
        <v>1543</v>
      </c>
      <c r="K946" t="s">
        <v>1092</v>
      </c>
      <c r="M946">
        <v>0.95</v>
      </c>
      <c r="N946">
        <v>257</v>
      </c>
      <c r="O946" t="s">
        <v>5</v>
      </c>
      <c r="Q946" t="s">
        <v>1286</v>
      </c>
      <c r="R946" t="s">
        <v>1258</v>
      </c>
      <c r="S946" t="s">
        <v>194</v>
      </c>
    </row>
    <row r="947" spans="1:19" x14ac:dyDescent="0.25">
      <c r="A947" t="s">
        <v>30</v>
      </c>
      <c r="B947" t="s">
        <v>31</v>
      </c>
      <c r="C947" t="s">
        <v>32</v>
      </c>
      <c r="D947" t="s">
        <v>33</v>
      </c>
      <c r="E947" t="s">
        <v>1520</v>
      </c>
      <c r="F947" t="s">
        <v>35</v>
      </c>
      <c r="G947" t="s">
        <v>35</v>
      </c>
      <c r="H947" t="s">
        <v>35</v>
      </c>
      <c r="J947" t="s">
        <v>1543</v>
      </c>
      <c r="K947" t="s">
        <v>1092</v>
      </c>
      <c r="M947">
        <v>5.49</v>
      </c>
      <c r="N947">
        <v>45</v>
      </c>
      <c r="O947" t="s">
        <v>52</v>
      </c>
      <c r="Q947" t="s">
        <v>716</v>
      </c>
      <c r="R947" t="s">
        <v>85</v>
      </c>
      <c r="S947" t="s">
        <v>86</v>
      </c>
    </row>
    <row r="948" spans="1:19" x14ac:dyDescent="0.25">
      <c r="A948" t="s">
        <v>59</v>
      </c>
      <c r="B948" t="s">
        <v>31</v>
      </c>
      <c r="C948" t="s">
        <v>32</v>
      </c>
      <c r="D948" t="s">
        <v>33</v>
      </c>
      <c r="E948" t="s">
        <v>1520</v>
      </c>
      <c r="F948" t="s">
        <v>35</v>
      </c>
      <c r="G948" t="s">
        <v>35</v>
      </c>
      <c r="H948" t="s">
        <v>35</v>
      </c>
      <c r="J948" t="s">
        <v>1545</v>
      </c>
      <c r="K948" t="s">
        <v>1092</v>
      </c>
      <c r="M948">
        <v>1.44</v>
      </c>
      <c r="N948">
        <v>56</v>
      </c>
      <c r="O948" t="s">
        <v>52</v>
      </c>
      <c r="Q948" t="s">
        <v>453</v>
      </c>
      <c r="R948" t="s">
        <v>1142</v>
      </c>
      <c r="S948" t="s">
        <v>88</v>
      </c>
    </row>
    <row r="949" spans="1:19" x14ac:dyDescent="0.25">
      <c r="A949" t="s">
        <v>59</v>
      </c>
      <c r="B949" t="s">
        <v>60</v>
      </c>
      <c r="C949" t="s">
        <v>32</v>
      </c>
      <c r="D949" t="s">
        <v>33</v>
      </c>
      <c r="E949" t="s">
        <v>1520</v>
      </c>
      <c r="F949" t="s">
        <v>35</v>
      </c>
      <c r="G949" t="s">
        <v>35</v>
      </c>
      <c r="H949" t="s">
        <v>35</v>
      </c>
      <c r="J949" t="s">
        <v>1545</v>
      </c>
      <c r="K949" t="s">
        <v>1092</v>
      </c>
      <c r="M949">
        <v>2</v>
      </c>
      <c r="N949">
        <v>56</v>
      </c>
      <c r="O949" t="s">
        <v>52</v>
      </c>
      <c r="Q949" t="s">
        <v>453</v>
      </c>
      <c r="R949" t="s">
        <v>1142</v>
      </c>
      <c r="S949" t="s">
        <v>88</v>
      </c>
    </row>
    <row r="950" spans="1:19" x14ac:dyDescent="0.25">
      <c r="A950" t="s">
        <v>44</v>
      </c>
      <c r="B950" t="s">
        <v>51</v>
      </c>
      <c r="C950" t="s">
        <v>32</v>
      </c>
      <c r="D950" t="s">
        <v>33</v>
      </c>
      <c r="E950" t="s">
        <v>1520</v>
      </c>
      <c r="F950" t="s">
        <v>35</v>
      </c>
      <c r="G950" t="s">
        <v>35</v>
      </c>
      <c r="H950" t="s">
        <v>35</v>
      </c>
      <c r="J950" t="s">
        <v>1546</v>
      </c>
      <c r="K950" t="s">
        <v>1092</v>
      </c>
      <c r="M950">
        <v>4.4000000000000004</v>
      </c>
      <c r="N950">
        <v>61</v>
      </c>
      <c r="O950" t="s">
        <v>61</v>
      </c>
      <c r="Q950" t="s">
        <v>671</v>
      </c>
      <c r="R950" t="s">
        <v>1529</v>
      </c>
      <c r="S950" t="s">
        <v>215</v>
      </c>
    </row>
    <row r="951" spans="1:19" x14ac:dyDescent="0.25">
      <c r="A951" t="s">
        <v>59</v>
      </c>
      <c r="B951" t="s">
        <v>60</v>
      </c>
      <c r="C951" t="s">
        <v>32</v>
      </c>
      <c r="D951" t="s">
        <v>33</v>
      </c>
      <c r="E951" t="s">
        <v>1520</v>
      </c>
      <c r="F951" t="s">
        <v>35</v>
      </c>
      <c r="G951" t="s">
        <v>35</v>
      </c>
      <c r="H951" t="s">
        <v>35</v>
      </c>
      <c r="J951" t="s">
        <v>1546</v>
      </c>
      <c r="K951" t="s">
        <v>1092</v>
      </c>
      <c r="M951">
        <v>0.3</v>
      </c>
      <c r="N951">
        <v>75</v>
      </c>
      <c r="O951" t="s">
        <v>61</v>
      </c>
      <c r="Q951" t="s">
        <v>805</v>
      </c>
      <c r="R951" t="s">
        <v>1529</v>
      </c>
      <c r="S951" t="s">
        <v>215</v>
      </c>
    </row>
    <row r="952" spans="1:19" x14ac:dyDescent="0.25">
      <c r="A952" t="s">
        <v>59</v>
      </c>
      <c r="B952" t="s">
        <v>31</v>
      </c>
      <c r="C952" t="s">
        <v>32</v>
      </c>
      <c r="D952" t="s">
        <v>33</v>
      </c>
      <c r="E952" t="s">
        <v>1520</v>
      </c>
      <c r="F952" t="s">
        <v>35</v>
      </c>
      <c r="G952" t="s">
        <v>35</v>
      </c>
      <c r="H952" t="s">
        <v>35</v>
      </c>
      <c r="J952" t="s">
        <v>1546</v>
      </c>
      <c r="K952" t="s">
        <v>1092</v>
      </c>
      <c r="M952">
        <v>2.52</v>
      </c>
      <c r="N952">
        <v>75</v>
      </c>
      <c r="O952" t="s">
        <v>61</v>
      </c>
      <c r="Q952" t="s">
        <v>805</v>
      </c>
      <c r="R952" t="s">
        <v>1529</v>
      </c>
      <c r="S952" t="s">
        <v>215</v>
      </c>
    </row>
    <row r="953" spans="1:19" x14ac:dyDescent="0.25">
      <c r="A953" t="s">
        <v>59</v>
      </c>
      <c r="B953" t="s">
        <v>31</v>
      </c>
      <c r="C953" t="s">
        <v>32</v>
      </c>
      <c r="D953" t="s">
        <v>33</v>
      </c>
      <c r="E953" t="s">
        <v>1520</v>
      </c>
      <c r="F953" t="s">
        <v>35</v>
      </c>
      <c r="G953" t="s">
        <v>35</v>
      </c>
      <c r="H953" t="s">
        <v>35</v>
      </c>
      <c r="J953" t="s">
        <v>1547</v>
      </c>
      <c r="K953" t="s">
        <v>1092</v>
      </c>
      <c r="M953">
        <v>1.163</v>
      </c>
      <c r="N953">
        <v>165</v>
      </c>
      <c r="O953" t="s">
        <v>38</v>
      </c>
      <c r="Q953" t="s">
        <v>1548</v>
      </c>
      <c r="R953" t="s">
        <v>118</v>
      </c>
      <c r="S953" t="s">
        <v>65</v>
      </c>
    </row>
    <row r="954" spans="1:19" x14ac:dyDescent="0.25">
      <c r="A954" t="s">
        <v>59</v>
      </c>
      <c r="B954" t="s">
        <v>60</v>
      </c>
      <c r="C954" t="s">
        <v>32</v>
      </c>
      <c r="D954" t="s">
        <v>33</v>
      </c>
      <c r="E954" t="s">
        <v>1520</v>
      </c>
      <c r="F954" t="s">
        <v>35</v>
      </c>
      <c r="G954" t="s">
        <v>35</v>
      </c>
      <c r="H954" t="s">
        <v>35</v>
      </c>
      <c r="J954" t="s">
        <v>1549</v>
      </c>
      <c r="K954" t="s">
        <v>1092</v>
      </c>
      <c r="M954">
        <v>2.5499999999999998</v>
      </c>
      <c r="N954">
        <v>74</v>
      </c>
      <c r="O954" t="s">
        <v>61</v>
      </c>
      <c r="Q954" t="s">
        <v>488</v>
      </c>
      <c r="R954" t="s">
        <v>199</v>
      </c>
      <c r="S954" t="s">
        <v>200</v>
      </c>
    </row>
    <row r="955" spans="1:19" x14ac:dyDescent="0.25">
      <c r="A955" t="s">
        <v>30</v>
      </c>
      <c r="B955" t="s">
        <v>31</v>
      </c>
      <c r="C955" t="s">
        <v>32</v>
      </c>
      <c r="D955" t="s">
        <v>33</v>
      </c>
      <c r="E955" t="s">
        <v>1520</v>
      </c>
      <c r="F955" t="s">
        <v>35</v>
      </c>
      <c r="G955" t="s">
        <v>35</v>
      </c>
      <c r="H955" t="s">
        <v>35</v>
      </c>
      <c r="J955" t="s">
        <v>1549</v>
      </c>
      <c r="K955" t="s">
        <v>1092</v>
      </c>
      <c r="M955">
        <v>1.415</v>
      </c>
      <c r="N955">
        <v>426</v>
      </c>
      <c r="O955" t="s">
        <v>294</v>
      </c>
      <c r="Q955" t="s">
        <v>1550</v>
      </c>
      <c r="R955" t="s">
        <v>1331</v>
      </c>
      <c r="S955" t="s">
        <v>1332</v>
      </c>
    </row>
    <row r="956" spans="1:19" x14ac:dyDescent="0.25">
      <c r="A956" t="s">
        <v>44</v>
      </c>
      <c r="B956" t="s">
        <v>51</v>
      </c>
      <c r="C956" t="s">
        <v>32</v>
      </c>
      <c r="D956" t="s">
        <v>33</v>
      </c>
      <c r="E956" t="s">
        <v>1520</v>
      </c>
      <c r="F956" t="s">
        <v>35</v>
      </c>
      <c r="G956" t="s">
        <v>35</v>
      </c>
      <c r="H956" t="s">
        <v>35</v>
      </c>
      <c r="J956" t="s">
        <v>1551</v>
      </c>
      <c r="K956" t="s">
        <v>1092</v>
      </c>
      <c r="M956">
        <v>0.7</v>
      </c>
      <c r="N956">
        <v>61</v>
      </c>
      <c r="O956" t="s">
        <v>61</v>
      </c>
      <c r="Q956" t="s">
        <v>671</v>
      </c>
      <c r="R956" t="s">
        <v>1529</v>
      </c>
      <c r="S956" t="s">
        <v>215</v>
      </c>
    </row>
    <row r="957" spans="1:19" x14ac:dyDescent="0.25">
      <c r="A957" t="s">
        <v>30</v>
      </c>
      <c r="B957" t="s">
        <v>31</v>
      </c>
      <c r="C957" t="s">
        <v>32</v>
      </c>
      <c r="D957" t="s">
        <v>33</v>
      </c>
      <c r="E957" t="s">
        <v>1520</v>
      </c>
      <c r="F957" t="s">
        <v>35</v>
      </c>
      <c r="G957" t="s">
        <v>35</v>
      </c>
      <c r="H957" t="s">
        <v>35</v>
      </c>
      <c r="J957" t="s">
        <v>1551</v>
      </c>
      <c r="K957" t="s">
        <v>1092</v>
      </c>
      <c r="M957">
        <v>2.5649999999999999</v>
      </c>
      <c r="N957">
        <v>40</v>
      </c>
      <c r="O957" t="s">
        <v>52</v>
      </c>
      <c r="Q957" t="s">
        <v>130</v>
      </c>
      <c r="R957" t="s">
        <v>1529</v>
      </c>
      <c r="S957" t="s">
        <v>215</v>
      </c>
    </row>
    <row r="958" spans="1:19" x14ac:dyDescent="0.25">
      <c r="A958" t="s">
        <v>59</v>
      </c>
      <c r="B958" t="s">
        <v>60</v>
      </c>
      <c r="C958" t="s">
        <v>32</v>
      </c>
      <c r="D958" t="s">
        <v>33</v>
      </c>
      <c r="E958" t="s">
        <v>1520</v>
      </c>
      <c r="F958" t="s">
        <v>35</v>
      </c>
      <c r="G958" t="s">
        <v>35</v>
      </c>
      <c r="H958" t="s">
        <v>35</v>
      </c>
      <c r="J958" t="s">
        <v>1552</v>
      </c>
      <c r="K958" t="s">
        <v>1092</v>
      </c>
      <c r="M958">
        <v>1.65</v>
      </c>
      <c r="N958">
        <v>146</v>
      </c>
      <c r="O958" t="s">
        <v>38</v>
      </c>
      <c r="Q958" t="s">
        <v>1335</v>
      </c>
      <c r="R958" t="s">
        <v>1481</v>
      </c>
      <c r="S958" t="s">
        <v>1482</v>
      </c>
    </row>
    <row r="959" spans="1:19" x14ac:dyDescent="0.25">
      <c r="A959" t="s">
        <v>59</v>
      </c>
      <c r="B959" t="s">
        <v>60</v>
      </c>
      <c r="C959" t="s">
        <v>32</v>
      </c>
      <c r="D959" t="s">
        <v>33</v>
      </c>
      <c r="E959" t="s">
        <v>1520</v>
      </c>
      <c r="F959" t="s">
        <v>35</v>
      </c>
      <c r="G959" t="s">
        <v>35</v>
      </c>
      <c r="H959" t="s">
        <v>35</v>
      </c>
      <c r="J959" t="s">
        <v>1553</v>
      </c>
      <c r="K959" t="s">
        <v>1092</v>
      </c>
      <c r="M959">
        <v>0.625</v>
      </c>
      <c r="N959">
        <v>80</v>
      </c>
      <c r="O959" t="s">
        <v>61</v>
      </c>
      <c r="Q959" t="s">
        <v>477</v>
      </c>
      <c r="R959" t="s">
        <v>1481</v>
      </c>
      <c r="S959" t="s">
        <v>1482</v>
      </c>
    </row>
    <row r="960" spans="1:19" x14ac:dyDescent="0.25">
      <c r="A960" t="s">
        <v>59</v>
      </c>
      <c r="B960" t="s">
        <v>60</v>
      </c>
      <c r="C960" t="s">
        <v>32</v>
      </c>
      <c r="D960" t="s">
        <v>33</v>
      </c>
      <c r="E960" t="s">
        <v>1520</v>
      </c>
      <c r="F960" t="s">
        <v>35</v>
      </c>
      <c r="G960" t="s">
        <v>35</v>
      </c>
      <c r="H960" t="s">
        <v>35</v>
      </c>
      <c r="J960" t="s">
        <v>1554</v>
      </c>
      <c r="K960" t="s">
        <v>1092</v>
      </c>
      <c r="M960">
        <v>0.05</v>
      </c>
      <c r="N960">
        <v>224</v>
      </c>
      <c r="O960" t="s">
        <v>5</v>
      </c>
      <c r="Q960" t="s">
        <v>1150</v>
      </c>
      <c r="R960" t="s">
        <v>1555</v>
      </c>
      <c r="S960" t="s">
        <v>1556</v>
      </c>
    </row>
    <row r="961" spans="1:19" x14ac:dyDescent="0.25">
      <c r="A961" t="s">
        <v>59</v>
      </c>
      <c r="B961" t="s">
        <v>60</v>
      </c>
      <c r="C961" t="s">
        <v>32</v>
      </c>
      <c r="D961" t="s">
        <v>33</v>
      </c>
      <c r="E961" t="s">
        <v>1520</v>
      </c>
      <c r="F961" t="s">
        <v>35</v>
      </c>
      <c r="G961" t="s">
        <v>35</v>
      </c>
      <c r="H961" t="s">
        <v>35</v>
      </c>
      <c r="J961" t="s">
        <v>1557</v>
      </c>
      <c r="K961" t="s">
        <v>1092</v>
      </c>
      <c r="M961">
        <v>1.85</v>
      </c>
      <c r="N961">
        <v>70</v>
      </c>
      <c r="O961" t="s">
        <v>61</v>
      </c>
      <c r="Q961" t="s">
        <v>126</v>
      </c>
      <c r="R961" t="s">
        <v>1142</v>
      </c>
      <c r="S961" t="s">
        <v>88</v>
      </c>
    </row>
    <row r="962" spans="1:19" x14ac:dyDescent="0.25">
      <c r="A962" t="s">
        <v>30</v>
      </c>
      <c r="B962" t="s">
        <v>31</v>
      </c>
      <c r="C962" t="s">
        <v>32</v>
      </c>
      <c r="D962" t="s">
        <v>33</v>
      </c>
      <c r="E962" t="s">
        <v>1520</v>
      </c>
      <c r="F962" t="s">
        <v>35</v>
      </c>
      <c r="G962" t="s">
        <v>35</v>
      </c>
      <c r="H962" t="s">
        <v>35</v>
      </c>
      <c r="J962" t="s">
        <v>1557</v>
      </c>
      <c r="K962" t="s">
        <v>1092</v>
      </c>
      <c r="M962">
        <v>1.8</v>
      </c>
      <c r="N962">
        <v>70</v>
      </c>
      <c r="O962" t="s">
        <v>61</v>
      </c>
      <c r="Q962" t="s">
        <v>126</v>
      </c>
      <c r="R962" t="s">
        <v>1142</v>
      </c>
      <c r="S962" t="s">
        <v>88</v>
      </c>
    </row>
    <row r="963" spans="1:19" x14ac:dyDescent="0.25">
      <c r="A963" t="s">
        <v>44</v>
      </c>
      <c r="B963" t="s">
        <v>51</v>
      </c>
      <c r="C963" t="s">
        <v>32</v>
      </c>
      <c r="D963" t="s">
        <v>33</v>
      </c>
      <c r="E963" t="s">
        <v>1520</v>
      </c>
      <c r="F963" t="s">
        <v>35</v>
      </c>
      <c r="G963" t="s">
        <v>35</v>
      </c>
      <c r="H963" t="s">
        <v>35</v>
      </c>
      <c r="J963" t="s">
        <v>1558</v>
      </c>
      <c r="K963" t="s">
        <v>1092</v>
      </c>
      <c r="M963">
        <v>0.5</v>
      </c>
      <c r="N963">
        <v>147</v>
      </c>
      <c r="O963" t="s">
        <v>38</v>
      </c>
      <c r="Q963" t="s">
        <v>1229</v>
      </c>
      <c r="R963" t="s">
        <v>1142</v>
      </c>
      <c r="S963" t="s">
        <v>88</v>
      </c>
    </row>
    <row r="964" spans="1:19" x14ac:dyDescent="0.25">
      <c r="A964" t="s">
        <v>59</v>
      </c>
      <c r="B964" t="s">
        <v>60</v>
      </c>
      <c r="C964" t="s">
        <v>32</v>
      </c>
      <c r="D964" t="s">
        <v>33</v>
      </c>
      <c r="E964" t="s">
        <v>1520</v>
      </c>
      <c r="F964" t="s">
        <v>35</v>
      </c>
      <c r="G964" t="s">
        <v>35</v>
      </c>
      <c r="H964" t="s">
        <v>35</v>
      </c>
      <c r="J964" t="s">
        <v>1558</v>
      </c>
      <c r="K964" t="s">
        <v>1092</v>
      </c>
      <c r="M964">
        <v>0.5</v>
      </c>
      <c r="N964">
        <v>147</v>
      </c>
      <c r="O964" t="s">
        <v>38</v>
      </c>
      <c r="Q964" t="s">
        <v>1229</v>
      </c>
      <c r="R964" t="s">
        <v>1142</v>
      </c>
      <c r="S964" t="s">
        <v>88</v>
      </c>
    </row>
    <row r="965" spans="1:19" x14ac:dyDescent="0.25">
      <c r="A965" t="s">
        <v>59</v>
      </c>
      <c r="B965" t="s">
        <v>31</v>
      </c>
      <c r="C965" t="s">
        <v>32</v>
      </c>
      <c r="D965" t="s">
        <v>33</v>
      </c>
      <c r="E965" t="s">
        <v>1520</v>
      </c>
      <c r="F965" t="s">
        <v>35</v>
      </c>
      <c r="G965" t="s">
        <v>35</v>
      </c>
      <c r="H965" t="s">
        <v>35</v>
      </c>
      <c r="J965" t="s">
        <v>1558</v>
      </c>
      <c r="K965" t="s">
        <v>1092</v>
      </c>
      <c r="M965">
        <v>2.2599999999999998</v>
      </c>
      <c r="N965">
        <v>147</v>
      </c>
      <c r="O965" t="s">
        <v>38</v>
      </c>
      <c r="Q965" t="s">
        <v>1229</v>
      </c>
      <c r="R965" t="s">
        <v>1142</v>
      </c>
      <c r="S965" t="s">
        <v>88</v>
      </c>
    </row>
    <row r="966" spans="1:19" x14ac:dyDescent="0.25">
      <c r="A966" t="s">
        <v>30</v>
      </c>
      <c r="B966" t="s">
        <v>31</v>
      </c>
      <c r="C966" t="s">
        <v>32</v>
      </c>
      <c r="D966" t="s">
        <v>33</v>
      </c>
      <c r="E966" t="s">
        <v>1520</v>
      </c>
      <c r="F966" t="s">
        <v>35</v>
      </c>
      <c r="G966" t="s">
        <v>35</v>
      </c>
      <c r="H966" t="s">
        <v>35</v>
      </c>
      <c r="J966" t="s">
        <v>1559</v>
      </c>
      <c r="K966" t="s">
        <v>1092</v>
      </c>
      <c r="M966">
        <v>0.26500000000000001</v>
      </c>
      <c r="N966">
        <v>245</v>
      </c>
      <c r="O966" t="s">
        <v>5</v>
      </c>
      <c r="Q966" t="s">
        <v>111</v>
      </c>
      <c r="R966" t="s">
        <v>1560</v>
      </c>
      <c r="S966" t="s">
        <v>115</v>
      </c>
    </row>
    <row r="967" spans="1:19" x14ac:dyDescent="0.25">
      <c r="A967" t="s">
        <v>59</v>
      </c>
      <c r="B967" t="s">
        <v>31</v>
      </c>
      <c r="C967" t="s">
        <v>32</v>
      </c>
      <c r="D967" t="s">
        <v>33</v>
      </c>
      <c r="E967" t="s">
        <v>1520</v>
      </c>
      <c r="F967" t="s">
        <v>35</v>
      </c>
      <c r="G967" t="s">
        <v>35</v>
      </c>
      <c r="H967" t="s">
        <v>35</v>
      </c>
      <c r="J967" t="s">
        <v>1561</v>
      </c>
      <c r="K967" t="s">
        <v>1092</v>
      </c>
      <c r="M967">
        <v>1.4550000000000001</v>
      </c>
      <c r="N967">
        <v>229</v>
      </c>
      <c r="O967" t="s">
        <v>5</v>
      </c>
      <c r="Q967" t="s">
        <v>1562</v>
      </c>
      <c r="R967" t="s">
        <v>1529</v>
      </c>
      <c r="S967" t="s">
        <v>215</v>
      </c>
    </row>
    <row r="968" spans="1:19" x14ac:dyDescent="0.25">
      <c r="A968" t="s">
        <v>30</v>
      </c>
      <c r="B968" t="s">
        <v>31</v>
      </c>
      <c r="C968" t="s">
        <v>32</v>
      </c>
      <c r="D968" t="s">
        <v>33</v>
      </c>
      <c r="E968" t="s">
        <v>1520</v>
      </c>
      <c r="F968" t="s">
        <v>35</v>
      </c>
      <c r="G968" t="s">
        <v>35</v>
      </c>
      <c r="H968" t="s">
        <v>35</v>
      </c>
      <c r="J968" t="s">
        <v>1561</v>
      </c>
      <c r="K968" t="s">
        <v>1092</v>
      </c>
      <c r="M968">
        <v>0.60499999999999998</v>
      </c>
      <c r="N968">
        <v>245</v>
      </c>
      <c r="O968" t="s">
        <v>5</v>
      </c>
      <c r="Q968" t="s">
        <v>111</v>
      </c>
      <c r="R968" t="s">
        <v>199</v>
      </c>
      <c r="S968" t="s">
        <v>200</v>
      </c>
    </row>
    <row r="969" spans="1:19" x14ac:dyDescent="0.25">
      <c r="A969" t="s">
        <v>30</v>
      </c>
      <c r="B969" t="s">
        <v>31</v>
      </c>
      <c r="C969" t="s">
        <v>32</v>
      </c>
      <c r="D969" t="s">
        <v>33</v>
      </c>
      <c r="E969" t="s">
        <v>1520</v>
      </c>
      <c r="F969" t="s">
        <v>35</v>
      </c>
      <c r="G969" t="s">
        <v>35</v>
      </c>
      <c r="H969" t="s">
        <v>35</v>
      </c>
      <c r="J969" t="s">
        <v>1564</v>
      </c>
      <c r="K969" t="s">
        <v>1092</v>
      </c>
      <c r="M969">
        <v>3.6</v>
      </c>
      <c r="N969">
        <v>174</v>
      </c>
      <c r="O969" t="s">
        <v>38</v>
      </c>
      <c r="Q969" t="s">
        <v>1565</v>
      </c>
      <c r="R969" t="s">
        <v>1211</v>
      </c>
      <c r="S969" t="s">
        <v>1212</v>
      </c>
    </row>
    <row r="970" spans="1:19" x14ac:dyDescent="0.25">
      <c r="A970" t="s">
        <v>59</v>
      </c>
      <c r="B970" t="s">
        <v>31</v>
      </c>
      <c r="C970" t="s">
        <v>32</v>
      </c>
      <c r="D970" t="s">
        <v>33</v>
      </c>
      <c r="E970" t="s">
        <v>1520</v>
      </c>
      <c r="F970" t="s">
        <v>35</v>
      </c>
      <c r="G970" t="s">
        <v>35</v>
      </c>
      <c r="H970" t="s">
        <v>35</v>
      </c>
      <c r="J970" t="s">
        <v>1564</v>
      </c>
      <c r="K970" t="s">
        <v>1092</v>
      </c>
      <c r="M970">
        <v>3.4649999999999999</v>
      </c>
      <c r="N970">
        <v>75</v>
      </c>
      <c r="O970" t="s">
        <v>61</v>
      </c>
      <c r="Q970" t="s">
        <v>805</v>
      </c>
      <c r="R970" t="s">
        <v>1331</v>
      </c>
      <c r="S970" t="s">
        <v>1332</v>
      </c>
    </row>
    <row r="971" spans="1:19" x14ac:dyDescent="0.25">
      <c r="A971" t="s">
        <v>59</v>
      </c>
      <c r="B971" t="s">
        <v>31</v>
      </c>
      <c r="C971" t="s">
        <v>32</v>
      </c>
      <c r="D971" t="s">
        <v>33</v>
      </c>
      <c r="E971" t="s">
        <v>1520</v>
      </c>
      <c r="F971" t="s">
        <v>35</v>
      </c>
      <c r="G971" t="s">
        <v>35</v>
      </c>
      <c r="H971" t="s">
        <v>35</v>
      </c>
      <c r="J971" t="s">
        <v>1568</v>
      </c>
      <c r="K971" t="s">
        <v>1092</v>
      </c>
      <c r="M971">
        <v>5.04</v>
      </c>
      <c r="N971">
        <v>191</v>
      </c>
      <c r="O971" t="s">
        <v>5</v>
      </c>
      <c r="Q971" t="s">
        <v>1569</v>
      </c>
      <c r="R971" t="s">
        <v>1570</v>
      </c>
      <c r="S971" t="s">
        <v>1571</v>
      </c>
    </row>
    <row r="972" spans="1:19" x14ac:dyDescent="0.25">
      <c r="A972" t="s">
        <v>59</v>
      </c>
      <c r="B972" t="s">
        <v>60</v>
      </c>
      <c r="C972" t="s">
        <v>32</v>
      </c>
      <c r="D972" t="s">
        <v>33</v>
      </c>
      <c r="E972" t="s">
        <v>1572</v>
      </c>
      <c r="F972" t="s">
        <v>35</v>
      </c>
      <c r="G972" t="s">
        <v>35</v>
      </c>
      <c r="H972" t="s">
        <v>35</v>
      </c>
      <c r="J972" t="s">
        <v>1573</v>
      </c>
      <c r="K972" t="s">
        <v>1092</v>
      </c>
      <c r="M972">
        <v>1.95</v>
      </c>
      <c r="N972">
        <v>82</v>
      </c>
      <c r="O972" t="s">
        <v>61</v>
      </c>
      <c r="Q972" t="s">
        <v>447</v>
      </c>
      <c r="R972" t="s">
        <v>1122</v>
      </c>
      <c r="S972" t="s">
        <v>95</v>
      </c>
    </row>
    <row r="973" spans="1:19" x14ac:dyDescent="0.25">
      <c r="A973" t="s">
        <v>59</v>
      </c>
      <c r="B973" t="s">
        <v>60</v>
      </c>
      <c r="C973" t="s">
        <v>32</v>
      </c>
      <c r="D973" t="s">
        <v>33</v>
      </c>
      <c r="E973" t="s">
        <v>1572</v>
      </c>
      <c r="F973" t="s">
        <v>35</v>
      </c>
      <c r="G973" t="s">
        <v>35</v>
      </c>
      <c r="H973" t="s">
        <v>35</v>
      </c>
      <c r="J973" t="s">
        <v>1574</v>
      </c>
      <c r="K973" t="s">
        <v>1092</v>
      </c>
      <c r="M973">
        <v>1.948</v>
      </c>
      <c r="N973">
        <v>100</v>
      </c>
      <c r="O973" t="s">
        <v>106</v>
      </c>
      <c r="Q973" t="s">
        <v>1112</v>
      </c>
      <c r="R973" t="s">
        <v>85</v>
      </c>
      <c r="S973" t="s">
        <v>86</v>
      </c>
    </row>
    <row r="974" spans="1:19" x14ac:dyDescent="0.25">
      <c r="A974" t="s">
        <v>44</v>
      </c>
      <c r="B974" t="s">
        <v>51</v>
      </c>
      <c r="C974" t="s">
        <v>32</v>
      </c>
      <c r="D974" t="s">
        <v>33</v>
      </c>
      <c r="E974" t="s">
        <v>1572</v>
      </c>
      <c r="F974" t="s">
        <v>35</v>
      </c>
      <c r="G974" t="s">
        <v>35</v>
      </c>
      <c r="H974" t="s">
        <v>35</v>
      </c>
      <c r="J974" t="s">
        <v>1574</v>
      </c>
      <c r="K974" t="s">
        <v>1092</v>
      </c>
      <c r="M974">
        <v>4.5</v>
      </c>
      <c r="N974">
        <v>28</v>
      </c>
      <c r="O974" t="s">
        <v>46</v>
      </c>
      <c r="Q974" t="s">
        <v>176</v>
      </c>
      <c r="R974" t="s">
        <v>85</v>
      </c>
      <c r="S974" t="s">
        <v>86</v>
      </c>
    </row>
    <row r="975" spans="1:19" x14ac:dyDescent="0.25">
      <c r="A975" t="s">
        <v>44</v>
      </c>
      <c r="B975" t="s">
        <v>3</v>
      </c>
      <c r="C975" t="s">
        <v>32</v>
      </c>
      <c r="D975" t="s">
        <v>33</v>
      </c>
      <c r="E975" t="s">
        <v>1572</v>
      </c>
      <c r="F975" t="s">
        <v>35</v>
      </c>
      <c r="G975" t="s">
        <v>35</v>
      </c>
      <c r="H975" t="s">
        <v>35</v>
      </c>
      <c r="J975" t="s">
        <v>1574</v>
      </c>
      <c r="K975" t="s">
        <v>1092</v>
      </c>
      <c r="M975">
        <v>5.35</v>
      </c>
      <c r="N975">
        <v>59</v>
      </c>
      <c r="O975" t="s">
        <v>52</v>
      </c>
      <c r="Q975" t="s">
        <v>84</v>
      </c>
      <c r="R975" t="s">
        <v>85</v>
      </c>
      <c r="S975" t="s">
        <v>86</v>
      </c>
    </row>
    <row r="976" spans="1:19" x14ac:dyDescent="0.25">
      <c r="A976" t="s">
        <v>44</v>
      </c>
      <c r="B976" t="s">
        <v>51</v>
      </c>
      <c r="C976" t="s">
        <v>32</v>
      </c>
      <c r="D976" t="s">
        <v>33</v>
      </c>
      <c r="E976" t="s">
        <v>1572</v>
      </c>
      <c r="F976" t="s">
        <v>35</v>
      </c>
      <c r="G976" t="s">
        <v>35</v>
      </c>
      <c r="H976" t="s">
        <v>35</v>
      </c>
      <c r="J976" t="s">
        <v>1575</v>
      </c>
      <c r="K976" t="s">
        <v>1092</v>
      </c>
      <c r="M976">
        <v>4.7</v>
      </c>
      <c r="N976">
        <v>28</v>
      </c>
      <c r="O976" t="s">
        <v>46</v>
      </c>
      <c r="Q976" t="s">
        <v>176</v>
      </c>
      <c r="R976" t="s">
        <v>85</v>
      </c>
      <c r="S976" t="s">
        <v>86</v>
      </c>
    </row>
    <row r="977" spans="1:19" x14ac:dyDescent="0.25">
      <c r="A977" t="s">
        <v>30</v>
      </c>
      <c r="B977" t="s">
        <v>31</v>
      </c>
      <c r="C977" t="s">
        <v>32</v>
      </c>
      <c r="D977" t="s">
        <v>33</v>
      </c>
      <c r="E977" t="s">
        <v>1572</v>
      </c>
      <c r="F977" t="s">
        <v>35</v>
      </c>
      <c r="G977" t="s">
        <v>35</v>
      </c>
      <c r="H977" t="s">
        <v>35</v>
      </c>
      <c r="J977" t="s">
        <v>1575</v>
      </c>
      <c r="K977" t="s">
        <v>1092</v>
      </c>
      <c r="M977">
        <v>6.66</v>
      </c>
      <c r="N977">
        <v>46</v>
      </c>
      <c r="O977" t="s">
        <v>52</v>
      </c>
      <c r="Q977" t="s">
        <v>493</v>
      </c>
      <c r="R977" t="s">
        <v>85</v>
      </c>
      <c r="S977" t="s">
        <v>86</v>
      </c>
    </row>
    <row r="978" spans="1:19" x14ac:dyDescent="0.25">
      <c r="A978" t="s">
        <v>59</v>
      </c>
      <c r="B978" t="s">
        <v>60</v>
      </c>
      <c r="C978" t="s">
        <v>32</v>
      </c>
      <c r="D978" t="s">
        <v>33</v>
      </c>
      <c r="E978" t="s">
        <v>1572</v>
      </c>
      <c r="F978" t="s">
        <v>35</v>
      </c>
      <c r="G978" t="s">
        <v>35</v>
      </c>
      <c r="H978" t="s">
        <v>35</v>
      </c>
      <c r="J978" t="s">
        <v>1575</v>
      </c>
      <c r="K978" t="s">
        <v>1092</v>
      </c>
      <c r="M978">
        <v>2.15</v>
      </c>
      <c r="N978">
        <v>72</v>
      </c>
      <c r="O978" t="s">
        <v>61</v>
      </c>
      <c r="Q978" t="s">
        <v>63</v>
      </c>
      <c r="R978" t="s">
        <v>85</v>
      </c>
      <c r="S978" t="s">
        <v>86</v>
      </c>
    </row>
    <row r="979" spans="1:19" x14ac:dyDescent="0.25">
      <c r="A979" t="s">
        <v>44</v>
      </c>
      <c r="B979" t="s">
        <v>3</v>
      </c>
      <c r="C979" t="s">
        <v>32</v>
      </c>
      <c r="D979" t="s">
        <v>33</v>
      </c>
      <c r="E979" t="s">
        <v>1572</v>
      </c>
      <c r="F979" t="s">
        <v>35</v>
      </c>
      <c r="G979" t="s">
        <v>35</v>
      </c>
      <c r="H979" t="s">
        <v>35</v>
      </c>
      <c r="J979" t="s">
        <v>1575</v>
      </c>
      <c r="K979" t="s">
        <v>1092</v>
      </c>
      <c r="M979">
        <v>4.2</v>
      </c>
      <c r="N979">
        <v>59</v>
      </c>
      <c r="O979" t="s">
        <v>52</v>
      </c>
      <c r="Q979" t="s">
        <v>84</v>
      </c>
      <c r="R979" t="s">
        <v>85</v>
      </c>
      <c r="S979" t="s">
        <v>86</v>
      </c>
    </row>
    <row r="980" spans="1:19" x14ac:dyDescent="0.25">
      <c r="A980" t="s">
        <v>44</v>
      </c>
      <c r="B980" t="s">
        <v>3</v>
      </c>
      <c r="C980" t="s">
        <v>32</v>
      </c>
      <c r="D980" t="s">
        <v>33</v>
      </c>
      <c r="E980" t="s">
        <v>1572</v>
      </c>
      <c r="F980" t="s">
        <v>35</v>
      </c>
      <c r="G980" t="s">
        <v>35</v>
      </c>
      <c r="H980" t="s">
        <v>35</v>
      </c>
      <c r="J980" t="s">
        <v>1576</v>
      </c>
      <c r="K980" t="s">
        <v>1092</v>
      </c>
      <c r="M980">
        <v>0.25</v>
      </c>
      <c r="N980">
        <v>44</v>
      </c>
      <c r="O980" t="s">
        <v>52</v>
      </c>
      <c r="Q980" t="s">
        <v>192</v>
      </c>
      <c r="R980" t="s">
        <v>193</v>
      </c>
      <c r="S980" t="s">
        <v>181</v>
      </c>
    </row>
    <row r="981" spans="1:19" x14ac:dyDescent="0.25">
      <c r="A981" t="s">
        <v>59</v>
      </c>
      <c r="B981" t="s">
        <v>60</v>
      </c>
      <c r="C981" t="s">
        <v>32</v>
      </c>
      <c r="D981" t="s">
        <v>33</v>
      </c>
      <c r="E981" t="s">
        <v>1572</v>
      </c>
      <c r="F981" t="s">
        <v>35</v>
      </c>
      <c r="G981" t="s">
        <v>35</v>
      </c>
      <c r="H981" t="s">
        <v>35</v>
      </c>
      <c r="J981" t="s">
        <v>1576</v>
      </c>
      <c r="K981" t="s">
        <v>1092</v>
      </c>
      <c r="M981">
        <v>3.05</v>
      </c>
      <c r="N981">
        <v>72</v>
      </c>
      <c r="O981" t="s">
        <v>61</v>
      </c>
      <c r="Q981" t="s">
        <v>63</v>
      </c>
      <c r="R981" t="s">
        <v>193</v>
      </c>
      <c r="S981" t="s">
        <v>181</v>
      </c>
    </row>
    <row r="982" spans="1:19" x14ac:dyDescent="0.25">
      <c r="A982" t="s">
        <v>30</v>
      </c>
      <c r="B982" t="s">
        <v>31</v>
      </c>
      <c r="C982" t="s">
        <v>32</v>
      </c>
      <c r="D982" t="s">
        <v>33</v>
      </c>
      <c r="E982" t="s">
        <v>1572</v>
      </c>
      <c r="F982" t="s">
        <v>35</v>
      </c>
      <c r="G982" t="s">
        <v>35</v>
      </c>
      <c r="H982" t="s">
        <v>35</v>
      </c>
      <c r="J982" t="s">
        <v>1576</v>
      </c>
      <c r="K982" t="s">
        <v>1092</v>
      </c>
      <c r="M982">
        <v>0.63</v>
      </c>
      <c r="N982">
        <v>72</v>
      </c>
      <c r="O982" t="s">
        <v>61</v>
      </c>
      <c r="Q982" t="s">
        <v>63</v>
      </c>
      <c r="R982" t="s">
        <v>193</v>
      </c>
      <c r="S982" t="s">
        <v>181</v>
      </c>
    </row>
    <row r="983" spans="1:19" x14ac:dyDescent="0.25">
      <c r="A983" t="s">
        <v>30</v>
      </c>
      <c r="B983" t="s">
        <v>31</v>
      </c>
      <c r="C983" t="s">
        <v>32</v>
      </c>
      <c r="D983" t="s">
        <v>33</v>
      </c>
      <c r="E983" t="s">
        <v>1572</v>
      </c>
      <c r="F983" t="s">
        <v>35</v>
      </c>
      <c r="G983" t="s">
        <v>35</v>
      </c>
      <c r="H983" t="s">
        <v>35</v>
      </c>
      <c r="J983" t="s">
        <v>1577</v>
      </c>
      <c r="K983" t="s">
        <v>1092</v>
      </c>
      <c r="M983">
        <v>5.51</v>
      </c>
      <c r="N983">
        <v>42</v>
      </c>
      <c r="O983" t="s">
        <v>52</v>
      </c>
      <c r="Q983" t="s">
        <v>991</v>
      </c>
      <c r="R983" t="s">
        <v>49</v>
      </c>
      <c r="S983" t="s">
        <v>50</v>
      </c>
    </row>
    <row r="984" spans="1:19" x14ac:dyDescent="0.25">
      <c r="A984" t="s">
        <v>59</v>
      </c>
      <c r="B984" t="s">
        <v>31</v>
      </c>
      <c r="C984" t="s">
        <v>32</v>
      </c>
      <c r="D984" t="s">
        <v>33</v>
      </c>
      <c r="E984" t="s">
        <v>1572</v>
      </c>
      <c r="F984" t="s">
        <v>35</v>
      </c>
      <c r="G984" t="s">
        <v>35</v>
      </c>
      <c r="H984" t="s">
        <v>35</v>
      </c>
      <c r="J984" t="s">
        <v>1577</v>
      </c>
      <c r="K984" t="s">
        <v>1092</v>
      </c>
      <c r="M984">
        <v>5.49</v>
      </c>
      <c r="N984">
        <v>56</v>
      </c>
      <c r="O984" t="s">
        <v>52</v>
      </c>
      <c r="Q984" t="s">
        <v>453</v>
      </c>
      <c r="R984" t="s">
        <v>49</v>
      </c>
      <c r="S984" t="s">
        <v>50</v>
      </c>
    </row>
    <row r="985" spans="1:19" x14ac:dyDescent="0.25">
      <c r="A985" t="s">
        <v>59</v>
      </c>
      <c r="B985" t="s">
        <v>31</v>
      </c>
      <c r="C985" t="s">
        <v>32</v>
      </c>
      <c r="D985" t="s">
        <v>33</v>
      </c>
      <c r="E985" t="s">
        <v>1572</v>
      </c>
      <c r="F985" t="s">
        <v>35</v>
      </c>
      <c r="G985" t="s">
        <v>35</v>
      </c>
      <c r="H985" t="s">
        <v>35</v>
      </c>
      <c r="J985" t="s">
        <v>1577</v>
      </c>
      <c r="K985" t="s">
        <v>1092</v>
      </c>
      <c r="M985">
        <v>4.9800000000000004</v>
      </c>
      <c r="N985">
        <v>79</v>
      </c>
      <c r="O985" t="s">
        <v>61</v>
      </c>
      <c r="Q985" t="s">
        <v>1156</v>
      </c>
      <c r="R985" t="s">
        <v>49</v>
      </c>
      <c r="S985" t="s">
        <v>50</v>
      </c>
    </row>
    <row r="986" spans="1:19" x14ac:dyDescent="0.25">
      <c r="A986" t="s">
        <v>59</v>
      </c>
      <c r="B986" t="s">
        <v>31</v>
      </c>
      <c r="C986" t="s">
        <v>32</v>
      </c>
      <c r="D986" t="s">
        <v>33</v>
      </c>
      <c r="E986" t="s">
        <v>1572</v>
      </c>
      <c r="F986" t="s">
        <v>35</v>
      </c>
      <c r="G986" t="s">
        <v>35</v>
      </c>
      <c r="H986" t="s">
        <v>35</v>
      </c>
      <c r="J986" t="s">
        <v>1577</v>
      </c>
      <c r="K986" t="s">
        <v>1092</v>
      </c>
      <c r="M986">
        <v>3.65</v>
      </c>
      <c r="N986">
        <v>219</v>
      </c>
      <c r="O986" t="s">
        <v>5</v>
      </c>
      <c r="Q986" t="s">
        <v>1578</v>
      </c>
      <c r="R986" t="s">
        <v>49</v>
      </c>
      <c r="S986" t="s">
        <v>50</v>
      </c>
    </row>
    <row r="987" spans="1:19" x14ac:dyDescent="0.25">
      <c r="A987" t="s">
        <v>59</v>
      </c>
      <c r="B987" t="s">
        <v>60</v>
      </c>
      <c r="C987" t="s">
        <v>32</v>
      </c>
      <c r="D987" t="s">
        <v>33</v>
      </c>
      <c r="E987" t="s">
        <v>1572</v>
      </c>
      <c r="F987" t="s">
        <v>35</v>
      </c>
      <c r="G987" t="s">
        <v>35</v>
      </c>
      <c r="H987" t="s">
        <v>35</v>
      </c>
      <c r="J987" t="s">
        <v>1577</v>
      </c>
      <c r="K987" t="s">
        <v>1092</v>
      </c>
      <c r="M987">
        <v>0.5</v>
      </c>
      <c r="N987">
        <v>219</v>
      </c>
      <c r="O987" t="s">
        <v>5</v>
      </c>
      <c r="Q987" t="s">
        <v>1578</v>
      </c>
      <c r="R987" t="s">
        <v>49</v>
      </c>
      <c r="S987" t="s">
        <v>50</v>
      </c>
    </row>
    <row r="988" spans="1:19" x14ac:dyDescent="0.25">
      <c r="A988" t="s">
        <v>59</v>
      </c>
      <c r="B988" t="s">
        <v>60</v>
      </c>
      <c r="C988" t="s">
        <v>32</v>
      </c>
      <c r="D988" t="s">
        <v>33</v>
      </c>
      <c r="E988" t="s">
        <v>1572</v>
      </c>
      <c r="F988" t="s">
        <v>35</v>
      </c>
      <c r="G988" t="s">
        <v>35</v>
      </c>
      <c r="H988" t="s">
        <v>35</v>
      </c>
      <c r="J988" t="s">
        <v>1579</v>
      </c>
      <c r="K988" t="s">
        <v>1092</v>
      </c>
      <c r="M988">
        <v>0.9</v>
      </c>
      <c r="N988">
        <v>98</v>
      </c>
      <c r="O988" t="s">
        <v>106</v>
      </c>
      <c r="Q988" t="s">
        <v>108</v>
      </c>
      <c r="R988" t="s">
        <v>193</v>
      </c>
      <c r="S988" t="s">
        <v>181</v>
      </c>
    </row>
    <row r="989" spans="1:19" x14ac:dyDescent="0.25">
      <c r="A989" t="s">
        <v>44</v>
      </c>
      <c r="B989" t="s">
        <v>3</v>
      </c>
      <c r="C989" t="s">
        <v>32</v>
      </c>
      <c r="D989" t="s">
        <v>33</v>
      </c>
      <c r="E989" t="s">
        <v>1572</v>
      </c>
      <c r="F989" t="s">
        <v>35</v>
      </c>
      <c r="G989" t="s">
        <v>35</v>
      </c>
      <c r="H989" t="s">
        <v>35</v>
      </c>
      <c r="J989" t="s">
        <v>1579</v>
      </c>
      <c r="K989" t="s">
        <v>1092</v>
      </c>
      <c r="M989">
        <v>0.25</v>
      </c>
      <c r="N989">
        <v>44</v>
      </c>
      <c r="O989" t="s">
        <v>52</v>
      </c>
      <c r="Q989" t="s">
        <v>192</v>
      </c>
      <c r="R989" t="s">
        <v>193</v>
      </c>
      <c r="S989" t="s">
        <v>181</v>
      </c>
    </row>
    <row r="990" spans="1:19" x14ac:dyDescent="0.25">
      <c r="A990" t="s">
        <v>44</v>
      </c>
      <c r="B990" t="s">
        <v>3</v>
      </c>
      <c r="C990" t="s">
        <v>32</v>
      </c>
      <c r="D990" t="s">
        <v>33</v>
      </c>
      <c r="E990" t="s">
        <v>1572</v>
      </c>
      <c r="F990" t="s">
        <v>35</v>
      </c>
      <c r="G990" t="s">
        <v>35</v>
      </c>
      <c r="H990" t="s">
        <v>35</v>
      </c>
      <c r="J990" t="s">
        <v>1580</v>
      </c>
      <c r="K990" t="s">
        <v>1092</v>
      </c>
      <c r="M990">
        <v>5.05</v>
      </c>
      <c r="N990">
        <v>68</v>
      </c>
      <c r="O990" t="s">
        <v>61</v>
      </c>
      <c r="Q990" t="s">
        <v>146</v>
      </c>
      <c r="R990" t="s">
        <v>103</v>
      </c>
      <c r="S990" t="s">
        <v>104</v>
      </c>
    </row>
    <row r="991" spans="1:19" x14ac:dyDescent="0.25">
      <c r="A991" t="s">
        <v>1439</v>
      </c>
      <c r="B991" t="s">
        <v>1440</v>
      </c>
      <c r="C991" t="s">
        <v>32</v>
      </c>
      <c r="D991" t="s">
        <v>33</v>
      </c>
      <c r="E991" t="s">
        <v>1572</v>
      </c>
      <c r="F991" t="s">
        <v>35</v>
      </c>
      <c r="G991" t="s">
        <v>35</v>
      </c>
      <c r="H991" t="s">
        <v>35</v>
      </c>
      <c r="J991" t="s">
        <v>1580</v>
      </c>
      <c r="K991" t="s">
        <v>1092</v>
      </c>
      <c r="M991">
        <v>1.28</v>
      </c>
      <c r="N991">
        <v>100</v>
      </c>
      <c r="O991" t="s">
        <v>106</v>
      </c>
      <c r="Q991" t="s">
        <v>1112</v>
      </c>
      <c r="R991" t="s">
        <v>199</v>
      </c>
      <c r="S991" t="s">
        <v>200</v>
      </c>
    </row>
    <row r="992" spans="1:19" x14ac:dyDescent="0.25">
      <c r="A992" t="s">
        <v>59</v>
      </c>
      <c r="B992" t="s">
        <v>60</v>
      </c>
      <c r="C992" t="s">
        <v>32</v>
      </c>
      <c r="D992" t="s">
        <v>33</v>
      </c>
      <c r="E992" t="s">
        <v>1572</v>
      </c>
      <c r="F992" t="s">
        <v>35</v>
      </c>
      <c r="G992" t="s">
        <v>35</v>
      </c>
      <c r="H992" t="s">
        <v>35</v>
      </c>
      <c r="J992" t="s">
        <v>1580</v>
      </c>
      <c r="K992" t="s">
        <v>1092</v>
      </c>
      <c r="M992">
        <v>2.95</v>
      </c>
      <c r="N992">
        <v>99</v>
      </c>
      <c r="O992" t="s">
        <v>106</v>
      </c>
      <c r="Q992" t="s">
        <v>1216</v>
      </c>
      <c r="R992" t="s">
        <v>103</v>
      </c>
      <c r="S992" t="s">
        <v>104</v>
      </c>
    </row>
    <row r="993" spans="1:19" x14ac:dyDescent="0.25">
      <c r="A993" t="s">
        <v>59</v>
      </c>
      <c r="B993" t="s">
        <v>60</v>
      </c>
      <c r="C993" t="s">
        <v>32</v>
      </c>
      <c r="D993" t="s">
        <v>33</v>
      </c>
      <c r="E993" t="s">
        <v>1572</v>
      </c>
      <c r="F993" t="s">
        <v>35</v>
      </c>
      <c r="G993" t="s">
        <v>35</v>
      </c>
      <c r="H993" t="s">
        <v>35</v>
      </c>
      <c r="J993" t="s">
        <v>1581</v>
      </c>
      <c r="K993" t="s">
        <v>1092</v>
      </c>
      <c r="M993">
        <v>0.56000000000000005</v>
      </c>
      <c r="N993">
        <v>490</v>
      </c>
      <c r="O993" t="s">
        <v>294</v>
      </c>
      <c r="Q993" t="s">
        <v>1582</v>
      </c>
      <c r="R993" t="s">
        <v>1182</v>
      </c>
      <c r="S993" t="s">
        <v>1183</v>
      </c>
    </row>
    <row r="994" spans="1:19" x14ac:dyDescent="0.25">
      <c r="A994" t="s">
        <v>44</v>
      </c>
      <c r="B994" t="s">
        <v>51</v>
      </c>
      <c r="C994" t="s">
        <v>32</v>
      </c>
      <c r="D994" t="s">
        <v>33</v>
      </c>
      <c r="E994" t="s">
        <v>1583</v>
      </c>
      <c r="F994" t="s">
        <v>35</v>
      </c>
      <c r="G994" t="s">
        <v>35</v>
      </c>
      <c r="H994" t="s">
        <v>35</v>
      </c>
      <c r="J994" t="s">
        <v>1584</v>
      </c>
      <c r="K994" t="s">
        <v>1092</v>
      </c>
      <c r="M994">
        <v>1.1000000000000001</v>
      </c>
      <c r="N994">
        <v>62</v>
      </c>
      <c r="O994" t="s">
        <v>61</v>
      </c>
      <c r="Q994" t="s">
        <v>90</v>
      </c>
      <c r="R994" t="s">
        <v>103</v>
      </c>
      <c r="S994" t="s">
        <v>104</v>
      </c>
    </row>
    <row r="995" spans="1:19" x14ac:dyDescent="0.25">
      <c r="A995" t="s">
        <v>59</v>
      </c>
      <c r="B995" t="s">
        <v>31</v>
      </c>
      <c r="C995" t="s">
        <v>32</v>
      </c>
      <c r="D995" t="s">
        <v>33</v>
      </c>
      <c r="E995" t="s">
        <v>114</v>
      </c>
      <c r="F995" t="s">
        <v>35</v>
      </c>
      <c r="G995" t="s">
        <v>35</v>
      </c>
      <c r="H995" t="s">
        <v>35</v>
      </c>
      <c r="J995" t="s">
        <v>1585</v>
      </c>
      <c r="K995" t="s">
        <v>1092</v>
      </c>
      <c r="M995">
        <v>0.76500000000000001</v>
      </c>
      <c r="N995">
        <v>89</v>
      </c>
      <c r="O995" t="s">
        <v>61</v>
      </c>
      <c r="Q995" t="s">
        <v>299</v>
      </c>
      <c r="R995" t="s">
        <v>147</v>
      </c>
      <c r="S995" t="s">
        <v>148</v>
      </c>
    </row>
    <row r="996" spans="1:19" x14ac:dyDescent="0.25">
      <c r="A996" t="s">
        <v>59</v>
      </c>
      <c r="B996" t="s">
        <v>60</v>
      </c>
      <c r="C996" t="s">
        <v>32</v>
      </c>
      <c r="D996" t="s">
        <v>33</v>
      </c>
      <c r="E996" t="s">
        <v>114</v>
      </c>
      <c r="F996" t="s">
        <v>35</v>
      </c>
      <c r="G996" t="s">
        <v>35</v>
      </c>
      <c r="H996" t="s">
        <v>35</v>
      </c>
      <c r="J996" t="s">
        <v>1586</v>
      </c>
      <c r="K996" t="s">
        <v>1092</v>
      </c>
      <c r="M996">
        <v>0.44</v>
      </c>
      <c r="N996">
        <v>164</v>
      </c>
      <c r="O996" t="s">
        <v>38</v>
      </c>
      <c r="Q996" t="s">
        <v>1587</v>
      </c>
      <c r="R996" t="s">
        <v>1142</v>
      </c>
      <c r="S996" t="s">
        <v>88</v>
      </c>
    </row>
    <row r="997" spans="1:19" x14ac:dyDescent="0.25">
      <c r="A997" t="s">
        <v>44</v>
      </c>
      <c r="B997" t="s">
        <v>51</v>
      </c>
      <c r="C997" t="s">
        <v>32</v>
      </c>
      <c r="D997" t="s">
        <v>33</v>
      </c>
      <c r="E997" t="s">
        <v>114</v>
      </c>
      <c r="F997" t="s">
        <v>35</v>
      </c>
      <c r="G997" t="s">
        <v>35</v>
      </c>
      <c r="H997" t="s">
        <v>35</v>
      </c>
      <c r="J997" t="s">
        <v>1586</v>
      </c>
      <c r="K997" t="s">
        <v>1092</v>
      </c>
      <c r="M997">
        <v>2E-3</v>
      </c>
      <c r="N997">
        <v>164</v>
      </c>
      <c r="O997" t="s">
        <v>38</v>
      </c>
      <c r="Q997" t="s">
        <v>1587</v>
      </c>
      <c r="R997" t="s">
        <v>1142</v>
      </c>
      <c r="S997" t="s">
        <v>88</v>
      </c>
    </row>
    <row r="998" spans="1:19" x14ac:dyDescent="0.25">
      <c r="A998" t="s">
        <v>59</v>
      </c>
      <c r="B998" t="s">
        <v>60</v>
      </c>
      <c r="C998" t="s">
        <v>32</v>
      </c>
      <c r="D998" t="s">
        <v>33</v>
      </c>
      <c r="E998" t="s">
        <v>114</v>
      </c>
      <c r="F998" t="s">
        <v>35</v>
      </c>
      <c r="G998" t="s">
        <v>35</v>
      </c>
      <c r="H998" t="s">
        <v>35</v>
      </c>
      <c r="J998" t="s">
        <v>1588</v>
      </c>
      <c r="K998" t="s">
        <v>1092</v>
      </c>
      <c r="M998">
        <v>0.5</v>
      </c>
      <c r="N998">
        <v>403</v>
      </c>
      <c r="O998" t="s">
        <v>294</v>
      </c>
      <c r="Q998" t="s">
        <v>1589</v>
      </c>
      <c r="R998" t="s">
        <v>1590</v>
      </c>
      <c r="S998" t="s">
        <v>1591</v>
      </c>
    </row>
    <row r="999" spans="1:19" x14ac:dyDescent="0.25">
      <c r="A999" t="s">
        <v>59</v>
      </c>
      <c r="B999" t="s">
        <v>31</v>
      </c>
      <c r="C999" t="s">
        <v>32</v>
      </c>
      <c r="D999" t="s">
        <v>33</v>
      </c>
      <c r="E999" t="s">
        <v>114</v>
      </c>
      <c r="F999" t="s">
        <v>35</v>
      </c>
      <c r="G999" t="s">
        <v>35</v>
      </c>
      <c r="H999" t="s">
        <v>35</v>
      </c>
      <c r="J999" t="s">
        <v>1592</v>
      </c>
      <c r="K999" t="s">
        <v>1092</v>
      </c>
      <c r="M999">
        <v>0.09</v>
      </c>
      <c r="N999">
        <v>158</v>
      </c>
      <c r="O999" t="s">
        <v>38</v>
      </c>
      <c r="Q999" t="s">
        <v>1593</v>
      </c>
      <c r="R999" t="s">
        <v>1594</v>
      </c>
      <c r="S999" t="s">
        <v>1595</v>
      </c>
    </row>
    <row r="1000" spans="1:19" x14ac:dyDescent="0.25">
      <c r="A1000" t="s">
        <v>59</v>
      </c>
      <c r="B1000" t="s">
        <v>31</v>
      </c>
      <c r="C1000" t="s">
        <v>32</v>
      </c>
      <c r="D1000" t="s">
        <v>33</v>
      </c>
      <c r="E1000" t="s">
        <v>114</v>
      </c>
      <c r="F1000" t="s">
        <v>35</v>
      </c>
      <c r="G1000" t="s">
        <v>35</v>
      </c>
      <c r="H1000" t="s">
        <v>35</v>
      </c>
      <c r="J1000" t="s">
        <v>1597</v>
      </c>
      <c r="K1000" t="s">
        <v>1092</v>
      </c>
      <c r="M1000">
        <v>0.01</v>
      </c>
      <c r="N1000">
        <v>72</v>
      </c>
      <c r="O1000" t="s">
        <v>61</v>
      </c>
      <c r="Q1000" t="s">
        <v>63</v>
      </c>
      <c r="R1000" t="s">
        <v>193</v>
      </c>
      <c r="S1000" t="s">
        <v>181</v>
      </c>
    </row>
    <row r="1001" spans="1:19" x14ac:dyDescent="0.25">
      <c r="A1001" t="s">
        <v>59</v>
      </c>
      <c r="B1001" t="s">
        <v>60</v>
      </c>
      <c r="C1001" t="s">
        <v>32</v>
      </c>
      <c r="D1001" t="s">
        <v>33</v>
      </c>
      <c r="E1001" t="s">
        <v>114</v>
      </c>
      <c r="F1001" t="s">
        <v>35</v>
      </c>
      <c r="G1001" t="s">
        <v>35</v>
      </c>
      <c r="H1001" t="s">
        <v>35</v>
      </c>
      <c r="J1001" t="s">
        <v>1597</v>
      </c>
      <c r="K1001" t="s">
        <v>1092</v>
      </c>
      <c r="M1001">
        <v>5.5</v>
      </c>
      <c r="N1001">
        <v>49</v>
      </c>
      <c r="O1001" t="s">
        <v>52</v>
      </c>
      <c r="Q1001" t="s">
        <v>219</v>
      </c>
      <c r="R1001" t="s">
        <v>193</v>
      </c>
      <c r="S1001" t="s">
        <v>181</v>
      </c>
    </row>
    <row r="1002" spans="1:19" x14ac:dyDescent="0.25">
      <c r="A1002" t="s">
        <v>30</v>
      </c>
      <c r="B1002" t="s">
        <v>31</v>
      </c>
      <c r="C1002" t="s">
        <v>32</v>
      </c>
      <c r="D1002" t="s">
        <v>33</v>
      </c>
      <c r="E1002" t="s">
        <v>114</v>
      </c>
      <c r="F1002" t="s">
        <v>35</v>
      </c>
      <c r="G1002" t="s">
        <v>35</v>
      </c>
      <c r="H1002" t="s">
        <v>35</v>
      </c>
      <c r="J1002" t="s">
        <v>1597</v>
      </c>
      <c r="K1002" t="s">
        <v>1092</v>
      </c>
      <c r="M1002">
        <v>5.085</v>
      </c>
      <c r="N1002">
        <v>76</v>
      </c>
      <c r="O1002" t="s">
        <v>61</v>
      </c>
      <c r="Q1002" t="s">
        <v>234</v>
      </c>
      <c r="R1002" t="s">
        <v>103</v>
      </c>
      <c r="S1002" t="s">
        <v>104</v>
      </c>
    </row>
    <row r="1003" spans="1:19" x14ac:dyDescent="0.25">
      <c r="A1003" t="s">
        <v>59</v>
      </c>
      <c r="B1003" t="s">
        <v>60</v>
      </c>
      <c r="C1003" t="s">
        <v>32</v>
      </c>
      <c r="D1003" t="s">
        <v>33</v>
      </c>
      <c r="E1003" t="s">
        <v>114</v>
      </c>
      <c r="F1003" t="s">
        <v>35</v>
      </c>
      <c r="G1003" t="s">
        <v>35</v>
      </c>
      <c r="H1003" t="s">
        <v>35</v>
      </c>
      <c r="J1003" t="s">
        <v>1597</v>
      </c>
      <c r="K1003" t="s">
        <v>1092</v>
      </c>
      <c r="M1003">
        <v>0.75</v>
      </c>
      <c r="N1003">
        <v>98</v>
      </c>
      <c r="O1003" t="s">
        <v>106</v>
      </c>
      <c r="Q1003" t="s">
        <v>108</v>
      </c>
      <c r="R1003" t="s">
        <v>193</v>
      </c>
      <c r="S1003" t="s">
        <v>181</v>
      </c>
    </row>
    <row r="1004" spans="1:19" x14ac:dyDescent="0.25">
      <c r="A1004" t="s">
        <v>44</v>
      </c>
      <c r="B1004" t="s">
        <v>3</v>
      </c>
      <c r="C1004" t="s">
        <v>32</v>
      </c>
      <c r="D1004" t="s">
        <v>33</v>
      </c>
      <c r="E1004" t="s">
        <v>114</v>
      </c>
      <c r="F1004" t="s">
        <v>35</v>
      </c>
      <c r="G1004" t="s">
        <v>35</v>
      </c>
      <c r="H1004" t="s">
        <v>35</v>
      </c>
      <c r="J1004" t="s">
        <v>1598</v>
      </c>
      <c r="K1004" t="s">
        <v>1092</v>
      </c>
      <c r="M1004">
        <v>0.35</v>
      </c>
      <c r="N1004">
        <v>68</v>
      </c>
      <c r="O1004" t="s">
        <v>61</v>
      </c>
      <c r="Q1004" t="s">
        <v>146</v>
      </c>
      <c r="R1004" t="s">
        <v>103</v>
      </c>
      <c r="S1004" t="s">
        <v>104</v>
      </c>
    </row>
    <row r="1005" spans="1:19" x14ac:dyDescent="0.25">
      <c r="A1005" t="s">
        <v>59</v>
      </c>
      <c r="B1005" t="s">
        <v>60</v>
      </c>
      <c r="C1005" t="s">
        <v>32</v>
      </c>
      <c r="D1005" t="s">
        <v>33</v>
      </c>
      <c r="E1005" t="s">
        <v>114</v>
      </c>
      <c r="F1005" t="s">
        <v>35</v>
      </c>
      <c r="G1005" t="s">
        <v>35</v>
      </c>
      <c r="H1005" t="s">
        <v>35</v>
      </c>
      <c r="J1005" t="s">
        <v>1599</v>
      </c>
      <c r="K1005" t="s">
        <v>1092</v>
      </c>
      <c r="M1005">
        <v>5.4989999999999997</v>
      </c>
      <c r="N1005">
        <v>61</v>
      </c>
      <c r="O1005" t="s">
        <v>61</v>
      </c>
      <c r="Q1005" t="s">
        <v>671</v>
      </c>
      <c r="R1005" t="s">
        <v>193</v>
      </c>
      <c r="S1005" t="s">
        <v>181</v>
      </c>
    </row>
    <row r="1006" spans="1:19" x14ac:dyDescent="0.25">
      <c r="A1006" t="s">
        <v>59</v>
      </c>
      <c r="B1006" t="s">
        <v>31</v>
      </c>
      <c r="C1006" t="s">
        <v>32</v>
      </c>
      <c r="D1006" t="s">
        <v>33</v>
      </c>
      <c r="E1006" t="s">
        <v>114</v>
      </c>
      <c r="F1006" t="s">
        <v>35</v>
      </c>
      <c r="G1006" t="s">
        <v>35</v>
      </c>
      <c r="H1006" t="s">
        <v>35</v>
      </c>
      <c r="J1006" t="s">
        <v>1601</v>
      </c>
      <c r="K1006" t="s">
        <v>1092</v>
      </c>
      <c r="M1006">
        <v>0.155</v>
      </c>
      <c r="N1006">
        <v>50</v>
      </c>
      <c r="O1006" t="s">
        <v>52</v>
      </c>
      <c r="Q1006" t="s">
        <v>425</v>
      </c>
      <c r="R1006" t="s">
        <v>1258</v>
      </c>
      <c r="S1006" t="s">
        <v>194</v>
      </c>
    </row>
    <row r="1007" spans="1:19" x14ac:dyDescent="0.25">
      <c r="A1007" t="s">
        <v>30</v>
      </c>
      <c r="B1007" t="s">
        <v>31</v>
      </c>
      <c r="C1007" t="s">
        <v>32</v>
      </c>
      <c r="D1007" t="s">
        <v>33</v>
      </c>
      <c r="E1007" t="s">
        <v>114</v>
      </c>
      <c r="F1007" t="s">
        <v>35</v>
      </c>
      <c r="G1007" t="s">
        <v>35</v>
      </c>
      <c r="H1007" t="s">
        <v>35</v>
      </c>
      <c r="J1007" t="s">
        <v>1601</v>
      </c>
      <c r="K1007" t="s">
        <v>1092</v>
      </c>
      <c r="M1007">
        <v>5.0000000000000001E-3</v>
      </c>
      <c r="N1007">
        <v>137</v>
      </c>
      <c r="O1007" t="s">
        <v>38</v>
      </c>
      <c r="Q1007" t="s">
        <v>1602</v>
      </c>
      <c r="R1007" t="s">
        <v>1258</v>
      </c>
      <c r="S1007" t="s">
        <v>194</v>
      </c>
    </row>
    <row r="1008" spans="1:19" x14ac:dyDescent="0.25">
      <c r="A1008" t="s">
        <v>44</v>
      </c>
      <c r="B1008" t="s">
        <v>51</v>
      </c>
      <c r="C1008" t="s">
        <v>32</v>
      </c>
      <c r="D1008" t="s">
        <v>33</v>
      </c>
      <c r="E1008" t="s">
        <v>114</v>
      </c>
      <c r="F1008" t="s">
        <v>35</v>
      </c>
      <c r="G1008" t="s">
        <v>35</v>
      </c>
      <c r="H1008" t="s">
        <v>35</v>
      </c>
      <c r="J1008" t="s">
        <v>1601</v>
      </c>
      <c r="K1008" t="s">
        <v>1092</v>
      </c>
      <c r="M1008">
        <v>2.85</v>
      </c>
      <c r="N1008">
        <v>18</v>
      </c>
      <c r="O1008" t="s">
        <v>46</v>
      </c>
      <c r="Q1008" t="s">
        <v>1476</v>
      </c>
      <c r="R1008" t="s">
        <v>1258</v>
      </c>
      <c r="S1008" t="s">
        <v>194</v>
      </c>
    </row>
    <row r="1009" spans="1:19" x14ac:dyDescent="0.25">
      <c r="A1009" t="s">
        <v>59</v>
      </c>
      <c r="B1009" t="s">
        <v>60</v>
      </c>
      <c r="C1009" t="s">
        <v>32</v>
      </c>
      <c r="D1009" t="s">
        <v>33</v>
      </c>
      <c r="E1009" t="s">
        <v>114</v>
      </c>
      <c r="F1009" t="s">
        <v>35</v>
      </c>
      <c r="G1009" t="s">
        <v>35</v>
      </c>
      <c r="H1009" t="s">
        <v>35</v>
      </c>
      <c r="J1009" t="s">
        <v>1601</v>
      </c>
      <c r="K1009" t="s">
        <v>1092</v>
      </c>
      <c r="M1009">
        <v>3</v>
      </c>
      <c r="N1009">
        <v>18</v>
      </c>
      <c r="O1009" t="s">
        <v>46</v>
      </c>
      <c r="Q1009" t="s">
        <v>1476</v>
      </c>
      <c r="R1009" t="s">
        <v>1258</v>
      </c>
      <c r="S1009" t="s">
        <v>194</v>
      </c>
    </row>
    <row r="1010" spans="1:19" x14ac:dyDescent="0.25">
      <c r="A1010" t="s">
        <v>44</v>
      </c>
      <c r="B1010" t="s">
        <v>3</v>
      </c>
      <c r="C1010" t="s">
        <v>32</v>
      </c>
      <c r="D1010" t="s">
        <v>33</v>
      </c>
      <c r="E1010" t="s">
        <v>114</v>
      </c>
      <c r="F1010" t="s">
        <v>35</v>
      </c>
      <c r="G1010" t="s">
        <v>35</v>
      </c>
      <c r="H1010" t="s">
        <v>35</v>
      </c>
      <c r="J1010" t="s">
        <v>1601</v>
      </c>
      <c r="K1010" t="s">
        <v>1092</v>
      </c>
      <c r="M1010">
        <v>1</v>
      </c>
      <c r="N1010">
        <v>50</v>
      </c>
      <c r="O1010" t="s">
        <v>52</v>
      </c>
      <c r="Q1010" t="s">
        <v>425</v>
      </c>
      <c r="R1010" t="s">
        <v>1258</v>
      </c>
      <c r="S1010" t="s">
        <v>194</v>
      </c>
    </row>
    <row r="1011" spans="1:19" x14ac:dyDescent="0.25">
      <c r="A1011" t="s">
        <v>59</v>
      </c>
      <c r="B1011" t="s">
        <v>60</v>
      </c>
      <c r="C1011" t="s">
        <v>32</v>
      </c>
      <c r="D1011" t="s">
        <v>33</v>
      </c>
      <c r="E1011" t="s">
        <v>114</v>
      </c>
      <c r="F1011" t="s">
        <v>35</v>
      </c>
      <c r="G1011" t="s">
        <v>35</v>
      </c>
      <c r="H1011" t="s">
        <v>35</v>
      </c>
      <c r="J1011" t="s">
        <v>1601</v>
      </c>
      <c r="K1011" t="s">
        <v>1092</v>
      </c>
      <c r="M1011">
        <v>0.65</v>
      </c>
      <c r="N1011">
        <v>50</v>
      </c>
      <c r="O1011" t="s">
        <v>52</v>
      </c>
      <c r="Q1011" t="s">
        <v>425</v>
      </c>
      <c r="R1011" t="s">
        <v>1258</v>
      </c>
      <c r="S1011" t="s">
        <v>194</v>
      </c>
    </row>
    <row r="1012" spans="1:19" x14ac:dyDescent="0.25">
      <c r="A1012" t="s">
        <v>44</v>
      </c>
      <c r="B1012" t="s">
        <v>3</v>
      </c>
      <c r="C1012" t="s">
        <v>32</v>
      </c>
      <c r="D1012" t="s">
        <v>33</v>
      </c>
      <c r="E1012" t="s">
        <v>114</v>
      </c>
      <c r="F1012" t="s">
        <v>35</v>
      </c>
      <c r="G1012" t="s">
        <v>35</v>
      </c>
      <c r="H1012" t="s">
        <v>35</v>
      </c>
      <c r="J1012" t="s">
        <v>1601</v>
      </c>
      <c r="K1012" t="s">
        <v>1092</v>
      </c>
      <c r="M1012">
        <v>1.35</v>
      </c>
      <c r="N1012">
        <v>68</v>
      </c>
      <c r="O1012" t="s">
        <v>61</v>
      </c>
      <c r="Q1012" t="s">
        <v>146</v>
      </c>
      <c r="R1012" t="s">
        <v>1258</v>
      </c>
      <c r="S1012" t="s">
        <v>194</v>
      </c>
    </row>
    <row r="1013" spans="1:19" x14ac:dyDescent="0.25">
      <c r="A1013" t="s">
        <v>30</v>
      </c>
      <c r="B1013" t="s">
        <v>31</v>
      </c>
      <c r="C1013" t="s">
        <v>32</v>
      </c>
      <c r="D1013" t="s">
        <v>33</v>
      </c>
      <c r="E1013" t="s">
        <v>114</v>
      </c>
      <c r="F1013" t="s">
        <v>35</v>
      </c>
      <c r="G1013" t="s">
        <v>35</v>
      </c>
      <c r="H1013" t="s">
        <v>35</v>
      </c>
      <c r="J1013" t="s">
        <v>1603</v>
      </c>
      <c r="K1013" t="s">
        <v>1092</v>
      </c>
      <c r="M1013">
        <v>4.7249999999999996</v>
      </c>
      <c r="N1013">
        <v>47</v>
      </c>
      <c r="O1013" t="s">
        <v>52</v>
      </c>
      <c r="Q1013" t="s">
        <v>132</v>
      </c>
      <c r="R1013" t="s">
        <v>103</v>
      </c>
      <c r="S1013" t="s">
        <v>104</v>
      </c>
    </row>
    <row r="1014" spans="1:19" x14ac:dyDescent="0.25">
      <c r="A1014" t="s">
        <v>59</v>
      </c>
      <c r="B1014" t="s">
        <v>31</v>
      </c>
      <c r="C1014" t="s">
        <v>32</v>
      </c>
      <c r="D1014" t="s">
        <v>33</v>
      </c>
      <c r="E1014" t="s">
        <v>114</v>
      </c>
      <c r="F1014" t="s">
        <v>35</v>
      </c>
      <c r="G1014" t="s">
        <v>35</v>
      </c>
      <c r="H1014" t="s">
        <v>35</v>
      </c>
      <c r="J1014" t="s">
        <v>1603</v>
      </c>
      <c r="K1014" t="s">
        <v>1092</v>
      </c>
      <c r="M1014">
        <v>0.45</v>
      </c>
      <c r="N1014">
        <v>89</v>
      </c>
      <c r="O1014" t="s">
        <v>61</v>
      </c>
      <c r="Q1014" t="s">
        <v>299</v>
      </c>
      <c r="R1014" t="s">
        <v>147</v>
      </c>
      <c r="S1014" t="s">
        <v>148</v>
      </c>
    </row>
    <row r="1015" spans="1:19" x14ac:dyDescent="0.25">
      <c r="A1015" t="s">
        <v>44</v>
      </c>
      <c r="B1015" t="s">
        <v>3</v>
      </c>
      <c r="C1015" t="s">
        <v>32</v>
      </c>
      <c r="D1015" t="s">
        <v>33</v>
      </c>
      <c r="E1015" t="s">
        <v>114</v>
      </c>
      <c r="F1015" t="s">
        <v>35</v>
      </c>
      <c r="G1015" t="s">
        <v>35</v>
      </c>
      <c r="H1015" t="s">
        <v>35</v>
      </c>
      <c r="J1015" t="s">
        <v>1603</v>
      </c>
      <c r="K1015" t="s">
        <v>1092</v>
      </c>
      <c r="M1015">
        <v>2.25</v>
      </c>
      <c r="N1015">
        <v>68</v>
      </c>
      <c r="O1015" t="s">
        <v>61</v>
      </c>
      <c r="Q1015" t="s">
        <v>146</v>
      </c>
      <c r="R1015" t="s">
        <v>103</v>
      </c>
      <c r="S1015" t="s">
        <v>104</v>
      </c>
    </row>
    <row r="1016" spans="1:19" x14ac:dyDescent="0.25">
      <c r="A1016" t="s">
        <v>44</v>
      </c>
      <c r="B1016" t="s">
        <v>3</v>
      </c>
      <c r="C1016" t="s">
        <v>32</v>
      </c>
      <c r="D1016" t="s">
        <v>33</v>
      </c>
      <c r="E1016" t="s">
        <v>114</v>
      </c>
      <c r="F1016" t="s">
        <v>35</v>
      </c>
      <c r="G1016" t="s">
        <v>35</v>
      </c>
      <c r="H1016" t="s">
        <v>35</v>
      </c>
      <c r="J1016" t="s">
        <v>1604</v>
      </c>
      <c r="K1016" t="s">
        <v>1092</v>
      </c>
      <c r="M1016">
        <v>3</v>
      </c>
      <c r="N1016">
        <v>30</v>
      </c>
      <c r="O1016" t="s">
        <v>46</v>
      </c>
      <c r="Q1016" t="s">
        <v>793</v>
      </c>
      <c r="R1016" t="s">
        <v>1605</v>
      </c>
      <c r="S1016" t="s">
        <v>120</v>
      </c>
    </row>
    <row r="1017" spans="1:19" x14ac:dyDescent="0.25">
      <c r="A1017" t="s">
        <v>30</v>
      </c>
      <c r="B1017" t="s">
        <v>31</v>
      </c>
      <c r="C1017" t="s">
        <v>32</v>
      </c>
      <c r="D1017" t="s">
        <v>33</v>
      </c>
      <c r="E1017" t="s">
        <v>114</v>
      </c>
      <c r="F1017" t="s">
        <v>35</v>
      </c>
      <c r="G1017" t="s">
        <v>35</v>
      </c>
      <c r="H1017" t="s">
        <v>35</v>
      </c>
      <c r="J1017" t="s">
        <v>1606</v>
      </c>
      <c r="K1017" t="s">
        <v>1092</v>
      </c>
      <c r="M1017">
        <v>0.40500000000000003</v>
      </c>
      <c r="N1017">
        <v>423</v>
      </c>
      <c r="O1017" t="s">
        <v>294</v>
      </c>
      <c r="Q1017" t="s">
        <v>1607</v>
      </c>
      <c r="R1017" t="s">
        <v>193</v>
      </c>
      <c r="S1017" t="s">
        <v>181</v>
      </c>
    </row>
    <row r="1018" spans="1:19" x14ac:dyDescent="0.25">
      <c r="A1018" t="s">
        <v>59</v>
      </c>
      <c r="B1018" t="s">
        <v>60</v>
      </c>
      <c r="C1018" t="s">
        <v>32</v>
      </c>
      <c r="D1018" t="s">
        <v>33</v>
      </c>
      <c r="E1018" t="s">
        <v>114</v>
      </c>
      <c r="F1018" t="s">
        <v>35</v>
      </c>
      <c r="G1018" t="s">
        <v>35</v>
      </c>
      <c r="H1018" t="s">
        <v>35</v>
      </c>
      <c r="J1018" t="s">
        <v>1608</v>
      </c>
      <c r="K1018" t="s">
        <v>1092</v>
      </c>
      <c r="M1018">
        <v>0.35</v>
      </c>
      <c r="N1018">
        <v>62</v>
      </c>
      <c r="O1018" t="s">
        <v>61</v>
      </c>
      <c r="Q1018" t="s">
        <v>90</v>
      </c>
      <c r="R1018" t="s">
        <v>1208</v>
      </c>
      <c r="S1018" t="s">
        <v>1209</v>
      </c>
    </row>
    <row r="1019" spans="1:19" x14ac:dyDescent="0.25">
      <c r="A1019" t="s">
        <v>30</v>
      </c>
      <c r="B1019" t="s">
        <v>31</v>
      </c>
      <c r="C1019" t="s">
        <v>32</v>
      </c>
      <c r="D1019" t="s">
        <v>33</v>
      </c>
      <c r="E1019" t="s">
        <v>114</v>
      </c>
      <c r="F1019" t="s">
        <v>35</v>
      </c>
      <c r="G1019" t="s">
        <v>35</v>
      </c>
      <c r="H1019" t="s">
        <v>35</v>
      </c>
      <c r="J1019" t="s">
        <v>1608</v>
      </c>
      <c r="K1019" t="s">
        <v>1092</v>
      </c>
      <c r="M1019">
        <v>1.35</v>
      </c>
      <c r="N1019">
        <v>40</v>
      </c>
      <c r="O1019" t="s">
        <v>52</v>
      </c>
      <c r="Q1019" t="s">
        <v>130</v>
      </c>
      <c r="R1019" t="s">
        <v>1208</v>
      </c>
      <c r="S1019" t="s">
        <v>1209</v>
      </c>
    </row>
    <row r="1020" spans="1:19" x14ac:dyDescent="0.25">
      <c r="A1020" t="s">
        <v>59</v>
      </c>
      <c r="B1020" t="s">
        <v>31</v>
      </c>
      <c r="C1020" t="s">
        <v>32</v>
      </c>
      <c r="D1020" t="s">
        <v>33</v>
      </c>
      <c r="E1020" t="s">
        <v>114</v>
      </c>
      <c r="F1020" t="s">
        <v>35</v>
      </c>
      <c r="G1020" t="s">
        <v>35</v>
      </c>
      <c r="H1020" t="s">
        <v>35</v>
      </c>
      <c r="J1020" t="s">
        <v>1609</v>
      </c>
      <c r="K1020" t="s">
        <v>1092</v>
      </c>
      <c r="M1020">
        <v>5.49</v>
      </c>
      <c r="N1020">
        <v>73</v>
      </c>
      <c r="O1020" t="s">
        <v>61</v>
      </c>
      <c r="Q1020" t="s">
        <v>552</v>
      </c>
      <c r="R1020" t="s">
        <v>85</v>
      </c>
      <c r="S1020" t="s">
        <v>86</v>
      </c>
    </row>
    <row r="1021" spans="1:19" x14ac:dyDescent="0.25">
      <c r="A1021" t="s">
        <v>59</v>
      </c>
      <c r="B1021" t="s">
        <v>31</v>
      </c>
      <c r="C1021" t="s">
        <v>32</v>
      </c>
      <c r="D1021" t="s">
        <v>33</v>
      </c>
      <c r="E1021" t="s">
        <v>114</v>
      </c>
      <c r="F1021" t="s">
        <v>35</v>
      </c>
      <c r="G1021" t="s">
        <v>35</v>
      </c>
      <c r="H1021" t="s">
        <v>35</v>
      </c>
      <c r="J1021" t="s">
        <v>1610</v>
      </c>
      <c r="K1021" t="s">
        <v>1092</v>
      </c>
      <c r="M1021">
        <v>2.25</v>
      </c>
      <c r="N1021">
        <v>73</v>
      </c>
      <c r="O1021" t="s">
        <v>61</v>
      </c>
      <c r="Q1021" t="s">
        <v>552</v>
      </c>
      <c r="R1021" t="s">
        <v>85</v>
      </c>
      <c r="S1021" t="s">
        <v>86</v>
      </c>
    </row>
    <row r="1022" spans="1:19" x14ac:dyDescent="0.25">
      <c r="A1022" t="s">
        <v>59</v>
      </c>
      <c r="B1022" t="s">
        <v>60</v>
      </c>
      <c r="C1022" t="s">
        <v>32</v>
      </c>
      <c r="D1022" t="s">
        <v>33</v>
      </c>
      <c r="E1022" t="s">
        <v>114</v>
      </c>
      <c r="F1022" t="s">
        <v>35</v>
      </c>
      <c r="G1022" t="s">
        <v>35</v>
      </c>
      <c r="H1022" t="s">
        <v>35</v>
      </c>
      <c r="J1022" t="s">
        <v>1611</v>
      </c>
      <c r="K1022" t="s">
        <v>1092</v>
      </c>
      <c r="M1022">
        <v>2.5</v>
      </c>
      <c r="N1022">
        <v>75</v>
      </c>
      <c r="O1022" t="s">
        <v>61</v>
      </c>
      <c r="Q1022" t="s">
        <v>805</v>
      </c>
      <c r="R1022" t="s">
        <v>1279</v>
      </c>
      <c r="S1022" t="s">
        <v>163</v>
      </c>
    </row>
    <row r="1023" spans="1:19" x14ac:dyDescent="0.25">
      <c r="A1023" t="s">
        <v>30</v>
      </c>
      <c r="B1023" t="s">
        <v>31</v>
      </c>
      <c r="C1023" t="s">
        <v>32</v>
      </c>
      <c r="D1023" t="s">
        <v>33</v>
      </c>
      <c r="E1023" t="s">
        <v>119</v>
      </c>
      <c r="F1023" t="s">
        <v>35</v>
      </c>
      <c r="G1023" t="s">
        <v>35</v>
      </c>
      <c r="H1023" t="s">
        <v>35</v>
      </c>
      <c r="J1023" t="s">
        <v>1204</v>
      </c>
      <c r="K1023" t="s">
        <v>1092</v>
      </c>
      <c r="M1023">
        <v>0.315</v>
      </c>
      <c r="N1023">
        <v>150</v>
      </c>
      <c r="O1023" t="s">
        <v>38</v>
      </c>
      <c r="Q1023" t="s">
        <v>1612</v>
      </c>
      <c r="R1023" t="s">
        <v>103</v>
      </c>
      <c r="S1023" t="s">
        <v>104</v>
      </c>
    </row>
    <row r="1024" spans="1:19" x14ac:dyDescent="0.25">
      <c r="A1024" t="s">
        <v>59</v>
      </c>
      <c r="B1024" t="s">
        <v>60</v>
      </c>
      <c r="C1024" t="s">
        <v>32</v>
      </c>
      <c r="D1024" t="s">
        <v>33</v>
      </c>
      <c r="E1024" t="s">
        <v>119</v>
      </c>
      <c r="F1024" t="s">
        <v>35</v>
      </c>
      <c r="G1024" t="s">
        <v>35</v>
      </c>
      <c r="H1024" t="s">
        <v>35</v>
      </c>
      <c r="J1024" t="s">
        <v>1613</v>
      </c>
      <c r="K1024" t="s">
        <v>1092</v>
      </c>
      <c r="M1024">
        <v>0.8</v>
      </c>
      <c r="N1024">
        <v>504</v>
      </c>
      <c r="O1024" t="s">
        <v>294</v>
      </c>
      <c r="Q1024" t="s">
        <v>1614</v>
      </c>
      <c r="R1024" t="s">
        <v>1615</v>
      </c>
      <c r="S1024" t="s">
        <v>1616</v>
      </c>
    </row>
    <row r="1025" spans="1:19" x14ac:dyDescent="0.25">
      <c r="A1025" t="s">
        <v>30</v>
      </c>
      <c r="B1025" t="s">
        <v>31</v>
      </c>
      <c r="C1025" t="s">
        <v>32</v>
      </c>
      <c r="D1025" t="s">
        <v>33</v>
      </c>
      <c r="E1025" t="s">
        <v>119</v>
      </c>
      <c r="F1025" t="s">
        <v>35</v>
      </c>
      <c r="G1025" t="s">
        <v>35</v>
      </c>
      <c r="H1025" t="s">
        <v>35</v>
      </c>
      <c r="J1025" t="s">
        <v>1618</v>
      </c>
      <c r="K1025" t="s">
        <v>1092</v>
      </c>
      <c r="M1025">
        <v>0.99</v>
      </c>
      <c r="N1025">
        <v>423</v>
      </c>
      <c r="O1025" t="s">
        <v>294</v>
      </c>
      <c r="Q1025" t="s">
        <v>1607</v>
      </c>
      <c r="R1025" t="s">
        <v>193</v>
      </c>
      <c r="S1025" t="s">
        <v>181</v>
      </c>
    </row>
    <row r="1026" spans="1:19" x14ac:dyDescent="0.25">
      <c r="A1026" t="s">
        <v>30</v>
      </c>
      <c r="B1026" t="s">
        <v>31</v>
      </c>
      <c r="C1026" t="s">
        <v>32</v>
      </c>
      <c r="D1026" t="s">
        <v>33</v>
      </c>
      <c r="E1026" t="s">
        <v>119</v>
      </c>
      <c r="F1026" t="s">
        <v>35</v>
      </c>
      <c r="G1026" t="s">
        <v>35</v>
      </c>
      <c r="H1026" t="s">
        <v>35</v>
      </c>
      <c r="J1026" t="s">
        <v>1618</v>
      </c>
      <c r="K1026" t="s">
        <v>1092</v>
      </c>
      <c r="M1026">
        <v>0.32500000000000001</v>
      </c>
      <c r="N1026">
        <v>531</v>
      </c>
      <c r="O1026" t="s">
        <v>294</v>
      </c>
      <c r="Q1026" t="s">
        <v>1619</v>
      </c>
      <c r="R1026" t="s">
        <v>1560</v>
      </c>
      <c r="S1026" t="s">
        <v>115</v>
      </c>
    </row>
    <row r="1027" spans="1:19" x14ac:dyDescent="0.25">
      <c r="A1027" t="s">
        <v>59</v>
      </c>
      <c r="B1027" t="s">
        <v>31</v>
      </c>
      <c r="C1027" t="s">
        <v>32</v>
      </c>
      <c r="D1027" t="s">
        <v>33</v>
      </c>
      <c r="E1027" t="s">
        <v>119</v>
      </c>
      <c r="F1027" t="s">
        <v>35</v>
      </c>
      <c r="G1027" t="s">
        <v>35</v>
      </c>
      <c r="H1027" t="s">
        <v>35</v>
      </c>
      <c r="J1027" t="s">
        <v>1620</v>
      </c>
      <c r="K1027" t="s">
        <v>1092</v>
      </c>
      <c r="M1027">
        <v>3.0150000000000001</v>
      </c>
      <c r="N1027">
        <v>107</v>
      </c>
      <c r="O1027" t="s">
        <v>106</v>
      </c>
      <c r="Q1027" t="s">
        <v>1621</v>
      </c>
      <c r="R1027" t="s">
        <v>103</v>
      </c>
      <c r="S1027" t="s">
        <v>104</v>
      </c>
    </row>
    <row r="1028" spans="1:19" x14ac:dyDescent="0.25">
      <c r="A1028" t="s">
        <v>59</v>
      </c>
      <c r="B1028" t="s">
        <v>60</v>
      </c>
      <c r="C1028" t="s">
        <v>32</v>
      </c>
      <c r="D1028" t="s">
        <v>33</v>
      </c>
      <c r="E1028" t="s">
        <v>119</v>
      </c>
      <c r="F1028" t="s">
        <v>35</v>
      </c>
      <c r="G1028" t="s">
        <v>35</v>
      </c>
      <c r="H1028" t="s">
        <v>35</v>
      </c>
      <c r="J1028" t="s">
        <v>1622</v>
      </c>
      <c r="K1028" t="s">
        <v>1092</v>
      </c>
      <c r="M1028">
        <v>6.8</v>
      </c>
      <c r="N1028">
        <v>98</v>
      </c>
      <c r="O1028" t="s">
        <v>106</v>
      </c>
      <c r="Q1028" t="s">
        <v>108</v>
      </c>
      <c r="R1028" t="s">
        <v>169</v>
      </c>
      <c r="S1028" t="s">
        <v>123</v>
      </c>
    </row>
    <row r="1029" spans="1:19" x14ac:dyDescent="0.25">
      <c r="A1029" t="s">
        <v>30</v>
      </c>
      <c r="B1029" t="s">
        <v>31</v>
      </c>
      <c r="C1029" t="s">
        <v>32</v>
      </c>
      <c r="D1029" t="s">
        <v>33</v>
      </c>
      <c r="E1029" t="s">
        <v>119</v>
      </c>
      <c r="F1029" t="s">
        <v>35</v>
      </c>
      <c r="G1029" t="s">
        <v>35</v>
      </c>
      <c r="H1029" t="s">
        <v>35</v>
      </c>
      <c r="J1029" t="s">
        <v>1622</v>
      </c>
      <c r="K1029" t="s">
        <v>1092</v>
      </c>
      <c r="M1029">
        <v>12.15</v>
      </c>
      <c r="N1029">
        <v>98</v>
      </c>
      <c r="O1029" t="s">
        <v>106</v>
      </c>
      <c r="Q1029" t="s">
        <v>108</v>
      </c>
      <c r="R1029" t="s">
        <v>169</v>
      </c>
      <c r="S1029" t="s">
        <v>123</v>
      </c>
    </row>
    <row r="1030" spans="1:19" x14ac:dyDescent="0.25">
      <c r="A1030" t="s">
        <v>59</v>
      </c>
      <c r="B1030" t="s">
        <v>60</v>
      </c>
      <c r="C1030" t="s">
        <v>32</v>
      </c>
      <c r="D1030" t="s">
        <v>33</v>
      </c>
      <c r="E1030" t="s">
        <v>119</v>
      </c>
      <c r="F1030" t="s">
        <v>35</v>
      </c>
      <c r="G1030" t="s">
        <v>35</v>
      </c>
      <c r="H1030" t="s">
        <v>35</v>
      </c>
      <c r="J1030" t="s">
        <v>1623</v>
      </c>
      <c r="K1030" t="s">
        <v>1092</v>
      </c>
      <c r="M1030">
        <v>0.155</v>
      </c>
      <c r="N1030">
        <v>545</v>
      </c>
      <c r="O1030" t="s">
        <v>294</v>
      </c>
      <c r="Q1030" t="s">
        <v>1472</v>
      </c>
      <c r="R1030" t="s">
        <v>1615</v>
      </c>
      <c r="S1030" t="s">
        <v>1616</v>
      </c>
    </row>
    <row r="1031" spans="1:19" x14ac:dyDescent="0.25">
      <c r="A1031" t="s">
        <v>59</v>
      </c>
      <c r="B1031" t="s">
        <v>60</v>
      </c>
      <c r="C1031" t="s">
        <v>32</v>
      </c>
      <c r="D1031" t="s">
        <v>33</v>
      </c>
      <c r="E1031" t="s">
        <v>119</v>
      </c>
      <c r="F1031" t="s">
        <v>35</v>
      </c>
      <c r="G1031" t="s">
        <v>35</v>
      </c>
      <c r="H1031" t="s">
        <v>35</v>
      </c>
      <c r="J1031" t="s">
        <v>1624</v>
      </c>
      <c r="K1031" t="s">
        <v>1092</v>
      </c>
      <c r="M1031">
        <v>0.05</v>
      </c>
      <c r="N1031">
        <v>828</v>
      </c>
      <c r="O1031" t="s">
        <v>575</v>
      </c>
      <c r="Q1031" t="s">
        <v>1625</v>
      </c>
      <c r="R1031" t="s">
        <v>118</v>
      </c>
      <c r="S1031" t="s">
        <v>65</v>
      </c>
    </row>
    <row r="1032" spans="1:19" x14ac:dyDescent="0.25">
      <c r="A1032" t="s">
        <v>30</v>
      </c>
      <c r="B1032" t="s">
        <v>31</v>
      </c>
      <c r="C1032" t="s">
        <v>32</v>
      </c>
      <c r="D1032" t="s">
        <v>33</v>
      </c>
      <c r="E1032" t="s">
        <v>119</v>
      </c>
      <c r="F1032" t="s">
        <v>35</v>
      </c>
      <c r="G1032" t="s">
        <v>35</v>
      </c>
      <c r="H1032" t="s">
        <v>35</v>
      </c>
      <c r="J1032" t="s">
        <v>1626</v>
      </c>
      <c r="K1032" t="s">
        <v>1092</v>
      </c>
      <c r="M1032">
        <v>5.49</v>
      </c>
      <c r="N1032">
        <v>45</v>
      </c>
      <c r="O1032" t="s">
        <v>52</v>
      </c>
      <c r="Q1032" t="s">
        <v>716</v>
      </c>
      <c r="R1032" t="s">
        <v>1129</v>
      </c>
      <c r="S1032" t="s">
        <v>1130</v>
      </c>
    </row>
    <row r="1033" spans="1:19" x14ac:dyDescent="0.25">
      <c r="A1033" t="s">
        <v>30</v>
      </c>
      <c r="B1033" t="s">
        <v>31</v>
      </c>
      <c r="C1033" t="s">
        <v>32</v>
      </c>
      <c r="D1033" t="s">
        <v>33</v>
      </c>
      <c r="E1033" t="s">
        <v>119</v>
      </c>
      <c r="F1033" t="s">
        <v>35</v>
      </c>
      <c r="G1033" t="s">
        <v>35</v>
      </c>
      <c r="H1033" t="s">
        <v>35</v>
      </c>
      <c r="J1033" t="s">
        <v>1627</v>
      </c>
      <c r="K1033" t="s">
        <v>1092</v>
      </c>
      <c r="M1033">
        <v>10.98</v>
      </c>
      <c r="N1033">
        <v>39</v>
      </c>
      <c r="O1033" t="s">
        <v>52</v>
      </c>
      <c r="Q1033" t="s">
        <v>816</v>
      </c>
      <c r="R1033" t="s">
        <v>169</v>
      </c>
      <c r="S1033" t="s">
        <v>123</v>
      </c>
    </row>
    <row r="1034" spans="1:19" x14ac:dyDescent="0.25">
      <c r="A1034" t="s">
        <v>30</v>
      </c>
      <c r="B1034" t="s">
        <v>31</v>
      </c>
      <c r="C1034" t="s">
        <v>32</v>
      </c>
      <c r="D1034" t="s">
        <v>33</v>
      </c>
      <c r="E1034" t="s">
        <v>119</v>
      </c>
      <c r="F1034" t="s">
        <v>35</v>
      </c>
      <c r="G1034" t="s">
        <v>35</v>
      </c>
      <c r="H1034" t="s">
        <v>35</v>
      </c>
      <c r="J1034" t="s">
        <v>1627</v>
      </c>
      <c r="K1034" t="s">
        <v>1092</v>
      </c>
      <c r="M1034">
        <v>5.04</v>
      </c>
      <c r="N1034">
        <v>68</v>
      </c>
      <c r="O1034" t="s">
        <v>61</v>
      </c>
      <c r="Q1034" t="s">
        <v>146</v>
      </c>
      <c r="R1034" t="s">
        <v>169</v>
      </c>
      <c r="S1034" t="s">
        <v>123</v>
      </c>
    </row>
    <row r="1035" spans="1:19" x14ac:dyDescent="0.25">
      <c r="A1035" t="s">
        <v>59</v>
      </c>
      <c r="B1035" t="s">
        <v>60</v>
      </c>
      <c r="C1035" t="s">
        <v>32</v>
      </c>
      <c r="D1035" t="s">
        <v>33</v>
      </c>
      <c r="E1035" t="s">
        <v>119</v>
      </c>
      <c r="F1035" t="s">
        <v>35</v>
      </c>
      <c r="G1035" t="s">
        <v>35</v>
      </c>
      <c r="H1035" t="s">
        <v>35</v>
      </c>
      <c r="J1035" t="s">
        <v>1627</v>
      </c>
      <c r="K1035" t="s">
        <v>1092</v>
      </c>
      <c r="M1035">
        <v>4.05</v>
      </c>
      <c r="N1035">
        <v>68</v>
      </c>
      <c r="O1035" t="s">
        <v>61</v>
      </c>
      <c r="Q1035" t="s">
        <v>146</v>
      </c>
      <c r="R1035" t="s">
        <v>169</v>
      </c>
      <c r="S1035" t="s">
        <v>123</v>
      </c>
    </row>
    <row r="1036" spans="1:19" x14ac:dyDescent="0.25">
      <c r="A1036" t="s">
        <v>59</v>
      </c>
      <c r="B1036" t="s">
        <v>31</v>
      </c>
      <c r="C1036" t="s">
        <v>32</v>
      </c>
      <c r="D1036" t="s">
        <v>33</v>
      </c>
      <c r="E1036" t="s">
        <v>119</v>
      </c>
      <c r="F1036" t="s">
        <v>35</v>
      </c>
      <c r="G1036" t="s">
        <v>35</v>
      </c>
      <c r="H1036" t="s">
        <v>35</v>
      </c>
      <c r="J1036" t="s">
        <v>1628</v>
      </c>
      <c r="K1036" t="s">
        <v>1092</v>
      </c>
      <c r="M1036">
        <v>5.49</v>
      </c>
      <c r="N1036">
        <v>31</v>
      </c>
      <c r="O1036" t="s">
        <v>52</v>
      </c>
      <c r="Q1036" t="s">
        <v>972</v>
      </c>
      <c r="R1036" t="s">
        <v>1331</v>
      </c>
      <c r="S1036" t="s">
        <v>1332</v>
      </c>
    </row>
    <row r="1037" spans="1:19" x14ac:dyDescent="0.25">
      <c r="A1037" t="s">
        <v>59</v>
      </c>
      <c r="B1037" t="s">
        <v>31</v>
      </c>
      <c r="C1037" t="s">
        <v>32</v>
      </c>
      <c r="D1037" t="s">
        <v>33</v>
      </c>
      <c r="E1037" t="s">
        <v>119</v>
      </c>
      <c r="F1037" t="s">
        <v>35</v>
      </c>
      <c r="G1037" t="s">
        <v>35</v>
      </c>
      <c r="H1037" t="s">
        <v>35</v>
      </c>
      <c r="J1037" t="s">
        <v>1629</v>
      </c>
      <c r="K1037" t="s">
        <v>1092</v>
      </c>
      <c r="M1037">
        <v>0.54</v>
      </c>
      <c r="N1037">
        <v>95</v>
      </c>
      <c r="O1037" t="s">
        <v>106</v>
      </c>
      <c r="Q1037" t="s">
        <v>724</v>
      </c>
      <c r="R1037" t="s">
        <v>69</v>
      </c>
      <c r="S1037" t="s">
        <v>70</v>
      </c>
    </row>
    <row r="1038" spans="1:19" x14ac:dyDescent="0.25">
      <c r="A1038" t="s">
        <v>44</v>
      </c>
      <c r="B1038" t="s">
        <v>51</v>
      </c>
      <c r="C1038" t="s">
        <v>32</v>
      </c>
      <c r="D1038" t="s">
        <v>33</v>
      </c>
      <c r="E1038" t="s">
        <v>119</v>
      </c>
      <c r="F1038" t="s">
        <v>35</v>
      </c>
      <c r="G1038" t="s">
        <v>35</v>
      </c>
      <c r="H1038" t="s">
        <v>35</v>
      </c>
      <c r="J1038" t="s">
        <v>1630</v>
      </c>
      <c r="K1038" t="s">
        <v>1092</v>
      </c>
      <c r="M1038">
        <v>5.5</v>
      </c>
      <c r="N1038">
        <v>56</v>
      </c>
      <c r="O1038" t="s">
        <v>52</v>
      </c>
      <c r="Q1038" t="s">
        <v>453</v>
      </c>
      <c r="R1038" t="s">
        <v>193</v>
      </c>
      <c r="S1038" t="s">
        <v>181</v>
      </c>
    </row>
    <row r="1039" spans="1:19" x14ac:dyDescent="0.25">
      <c r="A1039" t="s">
        <v>59</v>
      </c>
      <c r="B1039" t="s">
        <v>60</v>
      </c>
      <c r="C1039" t="s">
        <v>32</v>
      </c>
      <c r="D1039" t="s">
        <v>33</v>
      </c>
      <c r="E1039" t="s">
        <v>119</v>
      </c>
      <c r="F1039" t="s">
        <v>35</v>
      </c>
      <c r="G1039" t="s">
        <v>35</v>
      </c>
      <c r="H1039" t="s">
        <v>35</v>
      </c>
      <c r="J1039" t="s">
        <v>1631</v>
      </c>
      <c r="K1039" t="s">
        <v>1092</v>
      </c>
      <c r="M1039">
        <v>1</v>
      </c>
      <c r="N1039">
        <v>163</v>
      </c>
      <c r="O1039" t="s">
        <v>38</v>
      </c>
      <c r="Q1039" t="s">
        <v>1632</v>
      </c>
      <c r="R1039" t="s">
        <v>103</v>
      </c>
      <c r="S1039" t="s">
        <v>104</v>
      </c>
    </row>
    <row r="1040" spans="1:19" x14ac:dyDescent="0.25">
      <c r="A1040" t="s">
        <v>59</v>
      </c>
      <c r="B1040" t="s">
        <v>60</v>
      </c>
      <c r="C1040" t="s">
        <v>32</v>
      </c>
      <c r="D1040" t="s">
        <v>33</v>
      </c>
      <c r="E1040" t="s">
        <v>122</v>
      </c>
      <c r="F1040" t="s">
        <v>35</v>
      </c>
      <c r="G1040" t="s">
        <v>35</v>
      </c>
      <c r="H1040" t="s">
        <v>35</v>
      </c>
      <c r="J1040" t="s">
        <v>1633</v>
      </c>
      <c r="K1040" t="s">
        <v>1092</v>
      </c>
      <c r="M1040">
        <v>1.75</v>
      </c>
      <c r="N1040">
        <v>62</v>
      </c>
      <c r="O1040" t="s">
        <v>61</v>
      </c>
      <c r="Q1040" t="s">
        <v>90</v>
      </c>
      <c r="R1040" t="s">
        <v>85</v>
      </c>
      <c r="S1040" t="s">
        <v>86</v>
      </c>
    </row>
    <row r="1041" spans="1:19" x14ac:dyDescent="0.25">
      <c r="A1041" t="s">
        <v>44</v>
      </c>
      <c r="B1041" t="s">
        <v>51</v>
      </c>
      <c r="C1041" t="s">
        <v>32</v>
      </c>
      <c r="D1041" t="s">
        <v>33</v>
      </c>
      <c r="E1041" t="s">
        <v>122</v>
      </c>
      <c r="F1041" t="s">
        <v>35</v>
      </c>
      <c r="G1041" t="s">
        <v>35</v>
      </c>
      <c r="H1041" t="s">
        <v>35</v>
      </c>
      <c r="J1041" t="s">
        <v>1633</v>
      </c>
      <c r="K1041" t="s">
        <v>1092</v>
      </c>
      <c r="M1041">
        <v>0.95</v>
      </c>
      <c r="N1041">
        <v>152</v>
      </c>
      <c r="O1041" t="s">
        <v>38</v>
      </c>
      <c r="Q1041" t="s">
        <v>408</v>
      </c>
      <c r="R1041" t="s">
        <v>1635</v>
      </c>
      <c r="S1041" t="s">
        <v>1636</v>
      </c>
    </row>
    <row r="1042" spans="1:19" x14ac:dyDescent="0.25">
      <c r="A1042" t="s">
        <v>30</v>
      </c>
      <c r="B1042" t="s">
        <v>31</v>
      </c>
      <c r="C1042" t="s">
        <v>32</v>
      </c>
      <c r="D1042" t="s">
        <v>33</v>
      </c>
      <c r="E1042" t="s">
        <v>122</v>
      </c>
      <c r="F1042" t="s">
        <v>35</v>
      </c>
      <c r="G1042" t="s">
        <v>35</v>
      </c>
      <c r="H1042" t="s">
        <v>35</v>
      </c>
      <c r="J1042" t="s">
        <v>1633</v>
      </c>
      <c r="K1042" t="s">
        <v>1092</v>
      </c>
      <c r="M1042">
        <v>9.99</v>
      </c>
      <c r="N1042">
        <v>20</v>
      </c>
      <c r="O1042" t="s">
        <v>46</v>
      </c>
      <c r="Q1042" t="s">
        <v>1004</v>
      </c>
      <c r="R1042" t="s">
        <v>85</v>
      </c>
      <c r="S1042" t="s">
        <v>86</v>
      </c>
    </row>
    <row r="1043" spans="1:19" x14ac:dyDescent="0.25">
      <c r="A1043" t="s">
        <v>30</v>
      </c>
      <c r="B1043" t="s">
        <v>31</v>
      </c>
      <c r="C1043" t="s">
        <v>32</v>
      </c>
      <c r="D1043" t="s">
        <v>33</v>
      </c>
      <c r="E1043" t="s">
        <v>122</v>
      </c>
      <c r="F1043" t="s">
        <v>35</v>
      </c>
      <c r="G1043" t="s">
        <v>35</v>
      </c>
      <c r="H1043" t="s">
        <v>35</v>
      </c>
      <c r="J1043" t="s">
        <v>1633</v>
      </c>
      <c r="K1043" t="s">
        <v>1092</v>
      </c>
      <c r="M1043">
        <v>7.47</v>
      </c>
      <c r="N1043">
        <v>46</v>
      </c>
      <c r="O1043" t="s">
        <v>52</v>
      </c>
      <c r="Q1043" t="s">
        <v>493</v>
      </c>
      <c r="R1043" t="s">
        <v>85</v>
      </c>
      <c r="S1043" t="s">
        <v>86</v>
      </c>
    </row>
    <row r="1044" spans="1:19" x14ac:dyDescent="0.25">
      <c r="A1044" t="s">
        <v>44</v>
      </c>
      <c r="B1044" t="s">
        <v>51</v>
      </c>
      <c r="C1044" t="s">
        <v>32</v>
      </c>
      <c r="D1044" t="s">
        <v>33</v>
      </c>
      <c r="E1044" t="s">
        <v>122</v>
      </c>
      <c r="F1044" t="s">
        <v>35</v>
      </c>
      <c r="G1044" t="s">
        <v>35</v>
      </c>
      <c r="H1044" t="s">
        <v>35</v>
      </c>
      <c r="J1044" t="s">
        <v>1633</v>
      </c>
      <c r="K1044" t="s">
        <v>1092</v>
      </c>
      <c r="M1044">
        <v>11</v>
      </c>
      <c r="N1044">
        <v>28</v>
      </c>
      <c r="O1044" t="s">
        <v>46</v>
      </c>
      <c r="Q1044" t="s">
        <v>176</v>
      </c>
      <c r="R1044" t="s">
        <v>85</v>
      </c>
      <c r="S1044" t="s">
        <v>86</v>
      </c>
    </row>
    <row r="1045" spans="1:19" x14ac:dyDescent="0.25">
      <c r="A1045" t="s">
        <v>44</v>
      </c>
      <c r="B1045" t="s">
        <v>3</v>
      </c>
      <c r="C1045" t="s">
        <v>32</v>
      </c>
      <c r="D1045" t="s">
        <v>33</v>
      </c>
      <c r="E1045" t="s">
        <v>122</v>
      </c>
      <c r="F1045" t="s">
        <v>35</v>
      </c>
      <c r="G1045" t="s">
        <v>35</v>
      </c>
      <c r="H1045" t="s">
        <v>35</v>
      </c>
      <c r="J1045" t="s">
        <v>1637</v>
      </c>
      <c r="K1045" t="s">
        <v>404</v>
      </c>
      <c r="M1045">
        <v>4.5999999999999996</v>
      </c>
      <c r="N1045">
        <v>68</v>
      </c>
      <c r="O1045" t="s">
        <v>61</v>
      </c>
      <c r="Q1045" t="s">
        <v>146</v>
      </c>
      <c r="R1045" t="s">
        <v>193</v>
      </c>
      <c r="S1045" t="s">
        <v>181</v>
      </c>
    </row>
    <row r="1046" spans="1:19" x14ac:dyDescent="0.25">
      <c r="A1046" t="s">
        <v>59</v>
      </c>
      <c r="B1046" t="s">
        <v>60</v>
      </c>
      <c r="C1046" t="s">
        <v>32</v>
      </c>
      <c r="D1046" t="s">
        <v>33</v>
      </c>
      <c r="E1046" t="s">
        <v>122</v>
      </c>
      <c r="F1046" t="s">
        <v>35</v>
      </c>
      <c r="G1046" t="s">
        <v>35</v>
      </c>
      <c r="H1046" t="s">
        <v>35</v>
      </c>
      <c r="J1046" t="s">
        <v>1638</v>
      </c>
      <c r="K1046" t="s">
        <v>404</v>
      </c>
      <c r="M1046">
        <v>5.0000000000000001E-3</v>
      </c>
      <c r="N1046">
        <v>87</v>
      </c>
      <c r="O1046" t="s">
        <v>61</v>
      </c>
      <c r="Q1046" t="s">
        <v>1639</v>
      </c>
      <c r="R1046" t="s">
        <v>1102</v>
      </c>
      <c r="S1046" t="s">
        <v>105</v>
      </c>
    </row>
    <row r="1047" spans="1:19" x14ac:dyDescent="0.25">
      <c r="A1047" t="s">
        <v>44</v>
      </c>
      <c r="B1047" t="s">
        <v>3</v>
      </c>
      <c r="C1047" t="s">
        <v>32</v>
      </c>
      <c r="D1047" t="s">
        <v>33</v>
      </c>
      <c r="E1047" t="s">
        <v>122</v>
      </c>
      <c r="F1047" t="s">
        <v>35</v>
      </c>
      <c r="G1047" t="s">
        <v>35</v>
      </c>
      <c r="H1047" t="s">
        <v>35</v>
      </c>
      <c r="J1047" t="s">
        <v>1343</v>
      </c>
      <c r="K1047" t="s">
        <v>1092</v>
      </c>
      <c r="M1047">
        <v>0.25</v>
      </c>
      <c r="N1047">
        <v>371</v>
      </c>
      <c r="O1047" t="s">
        <v>294</v>
      </c>
      <c r="Q1047" t="s">
        <v>1640</v>
      </c>
      <c r="R1047" t="s">
        <v>1641</v>
      </c>
      <c r="S1047" t="s">
        <v>1642</v>
      </c>
    </row>
    <row r="1048" spans="1:19" x14ac:dyDescent="0.25">
      <c r="A1048" t="s">
        <v>44</v>
      </c>
      <c r="B1048" t="s">
        <v>3</v>
      </c>
      <c r="C1048" t="s">
        <v>32</v>
      </c>
      <c r="D1048" t="s">
        <v>33</v>
      </c>
      <c r="E1048" t="s">
        <v>122</v>
      </c>
      <c r="F1048" t="s">
        <v>35</v>
      </c>
      <c r="G1048" t="s">
        <v>35</v>
      </c>
      <c r="H1048" t="s">
        <v>35</v>
      </c>
      <c r="J1048" t="s">
        <v>1343</v>
      </c>
      <c r="K1048" t="s">
        <v>1092</v>
      </c>
      <c r="M1048">
        <v>0.25</v>
      </c>
      <c r="N1048">
        <v>420</v>
      </c>
      <c r="O1048" t="s">
        <v>294</v>
      </c>
      <c r="Q1048" t="s">
        <v>1643</v>
      </c>
      <c r="R1048" t="s">
        <v>1352</v>
      </c>
      <c r="S1048" t="s">
        <v>141</v>
      </c>
    </row>
    <row r="1049" spans="1:19" x14ac:dyDescent="0.25">
      <c r="A1049" t="s">
        <v>30</v>
      </c>
      <c r="B1049" t="s">
        <v>31</v>
      </c>
      <c r="C1049" t="s">
        <v>32</v>
      </c>
      <c r="D1049" t="s">
        <v>33</v>
      </c>
      <c r="E1049" t="s">
        <v>122</v>
      </c>
      <c r="F1049" t="s">
        <v>35</v>
      </c>
      <c r="G1049" t="s">
        <v>35</v>
      </c>
      <c r="H1049" t="s">
        <v>35</v>
      </c>
      <c r="J1049" t="s">
        <v>1644</v>
      </c>
      <c r="K1049" t="s">
        <v>1092</v>
      </c>
      <c r="M1049">
        <v>0.02</v>
      </c>
      <c r="N1049">
        <v>70</v>
      </c>
      <c r="O1049" t="s">
        <v>61</v>
      </c>
      <c r="Q1049" t="s">
        <v>126</v>
      </c>
      <c r="R1049" t="s">
        <v>1173</v>
      </c>
      <c r="S1049" t="s">
        <v>222</v>
      </c>
    </row>
    <row r="1050" spans="1:19" x14ac:dyDescent="0.25">
      <c r="A1050" t="s">
        <v>59</v>
      </c>
      <c r="B1050" t="s">
        <v>31</v>
      </c>
      <c r="C1050" t="s">
        <v>32</v>
      </c>
      <c r="D1050" t="s">
        <v>33</v>
      </c>
      <c r="E1050" t="s">
        <v>122</v>
      </c>
      <c r="F1050" t="s">
        <v>35</v>
      </c>
      <c r="G1050" t="s">
        <v>35</v>
      </c>
      <c r="H1050" t="s">
        <v>35</v>
      </c>
      <c r="J1050" t="s">
        <v>1644</v>
      </c>
      <c r="K1050" t="s">
        <v>1092</v>
      </c>
      <c r="M1050">
        <v>0.315</v>
      </c>
      <c r="N1050">
        <v>56</v>
      </c>
      <c r="O1050" t="s">
        <v>52</v>
      </c>
      <c r="Q1050" t="s">
        <v>453</v>
      </c>
      <c r="R1050" t="s">
        <v>1279</v>
      </c>
      <c r="S1050" t="s">
        <v>163</v>
      </c>
    </row>
    <row r="1051" spans="1:19" x14ac:dyDescent="0.25">
      <c r="A1051" t="s">
        <v>59</v>
      </c>
      <c r="B1051" t="s">
        <v>60</v>
      </c>
      <c r="C1051" t="s">
        <v>32</v>
      </c>
      <c r="D1051" t="s">
        <v>33</v>
      </c>
      <c r="E1051" t="s">
        <v>122</v>
      </c>
      <c r="F1051" t="s">
        <v>35</v>
      </c>
      <c r="G1051" t="s">
        <v>35</v>
      </c>
      <c r="H1051" t="s">
        <v>35</v>
      </c>
      <c r="J1051" t="s">
        <v>1644</v>
      </c>
      <c r="K1051" t="s">
        <v>1092</v>
      </c>
      <c r="M1051">
        <v>0.02</v>
      </c>
      <c r="N1051">
        <v>70</v>
      </c>
      <c r="O1051" t="s">
        <v>61</v>
      </c>
      <c r="Q1051" t="s">
        <v>126</v>
      </c>
      <c r="R1051" t="s">
        <v>1173</v>
      </c>
      <c r="S1051" t="s">
        <v>222</v>
      </c>
    </row>
    <row r="1052" spans="1:19" x14ac:dyDescent="0.25">
      <c r="A1052" t="s">
        <v>30</v>
      </c>
      <c r="B1052" t="s">
        <v>31</v>
      </c>
      <c r="C1052" t="s">
        <v>32</v>
      </c>
      <c r="D1052" t="s">
        <v>33</v>
      </c>
      <c r="E1052" t="s">
        <v>122</v>
      </c>
      <c r="F1052" t="s">
        <v>35</v>
      </c>
      <c r="G1052" t="s">
        <v>35</v>
      </c>
      <c r="H1052" t="s">
        <v>35</v>
      </c>
      <c r="J1052" t="s">
        <v>1644</v>
      </c>
      <c r="K1052" t="s">
        <v>1092</v>
      </c>
      <c r="M1052">
        <v>5.49</v>
      </c>
      <c r="N1052">
        <v>29</v>
      </c>
      <c r="O1052" t="s">
        <v>46</v>
      </c>
      <c r="Q1052" t="s">
        <v>1645</v>
      </c>
      <c r="R1052" t="s">
        <v>1279</v>
      </c>
      <c r="S1052" t="s">
        <v>163</v>
      </c>
    </row>
    <row r="1053" spans="1:19" x14ac:dyDescent="0.25">
      <c r="A1053" t="s">
        <v>44</v>
      </c>
      <c r="B1053" t="s">
        <v>3</v>
      </c>
      <c r="C1053" t="s">
        <v>32</v>
      </c>
      <c r="D1053" t="s">
        <v>33</v>
      </c>
      <c r="E1053" t="s">
        <v>122</v>
      </c>
      <c r="F1053" t="s">
        <v>35</v>
      </c>
      <c r="G1053" t="s">
        <v>35</v>
      </c>
      <c r="H1053" t="s">
        <v>35</v>
      </c>
      <c r="J1053" t="s">
        <v>1644</v>
      </c>
      <c r="K1053" t="s">
        <v>1092</v>
      </c>
      <c r="M1053">
        <v>3.05</v>
      </c>
      <c r="N1053">
        <v>69</v>
      </c>
      <c r="O1053" t="s">
        <v>61</v>
      </c>
      <c r="Q1053" t="s">
        <v>139</v>
      </c>
      <c r="R1053" t="s">
        <v>1173</v>
      </c>
      <c r="S1053" t="s">
        <v>222</v>
      </c>
    </row>
    <row r="1054" spans="1:19" x14ac:dyDescent="0.25">
      <c r="A1054" t="s">
        <v>44</v>
      </c>
      <c r="B1054" t="s">
        <v>51</v>
      </c>
      <c r="C1054" t="s">
        <v>32</v>
      </c>
      <c r="D1054" t="s">
        <v>33</v>
      </c>
      <c r="E1054" t="s">
        <v>122</v>
      </c>
      <c r="F1054" t="s">
        <v>35</v>
      </c>
      <c r="G1054" t="s">
        <v>35</v>
      </c>
      <c r="H1054" t="s">
        <v>35</v>
      </c>
      <c r="J1054" t="s">
        <v>1646</v>
      </c>
      <c r="K1054" t="s">
        <v>1092</v>
      </c>
      <c r="M1054">
        <v>5.5</v>
      </c>
      <c r="N1054">
        <v>28</v>
      </c>
      <c r="O1054" t="s">
        <v>46</v>
      </c>
      <c r="Q1054" t="s">
        <v>176</v>
      </c>
      <c r="R1054" t="s">
        <v>85</v>
      </c>
      <c r="S1054" t="s">
        <v>86</v>
      </c>
    </row>
    <row r="1055" spans="1:19" x14ac:dyDescent="0.25">
      <c r="A1055" t="s">
        <v>59</v>
      </c>
      <c r="B1055" t="s">
        <v>60</v>
      </c>
      <c r="C1055" t="s">
        <v>32</v>
      </c>
      <c r="D1055" t="s">
        <v>33</v>
      </c>
      <c r="E1055" t="s">
        <v>122</v>
      </c>
      <c r="F1055" t="s">
        <v>35</v>
      </c>
      <c r="G1055" t="s">
        <v>35</v>
      </c>
      <c r="H1055" t="s">
        <v>35</v>
      </c>
      <c r="J1055" t="s">
        <v>1646</v>
      </c>
      <c r="K1055" t="s">
        <v>1092</v>
      </c>
      <c r="M1055">
        <v>5</v>
      </c>
      <c r="N1055">
        <v>62</v>
      </c>
      <c r="O1055" t="s">
        <v>61</v>
      </c>
      <c r="Q1055" t="s">
        <v>90</v>
      </c>
      <c r="R1055" t="s">
        <v>85</v>
      </c>
      <c r="S1055" t="s">
        <v>86</v>
      </c>
    </row>
    <row r="1056" spans="1:19" x14ac:dyDescent="0.25">
      <c r="A1056" t="s">
        <v>59</v>
      </c>
      <c r="B1056" t="s">
        <v>31</v>
      </c>
      <c r="C1056" t="s">
        <v>32</v>
      </c>
      <c r="D1056" t="s">
        <v>33</v>
      </c>
      <c r="E1056" t="s">
        <v>122</v>
      </c>
      <c r="F1056" t="s">
        <v>35</v>
      </c>
      <c r="G1056" t="s">
        <v>35</v>
      </c>
      <c r="H1056" t="s">
        <v>35</v>
      </c>
      <c r="J1056" t="s">
        <v>1646</v>
      </c>
      <c r="K1056" t="s">
        <v>1092</v>
      </c>
      <c r="M1056">
        <v>8.19</v>
      </c>
      <c r="N1056">
        <v>62</v>
      </c>
      <c r="O1056" t="s">
        <v>61</v>
      </c>
      <c r="Q1056" t="s">
        <v>90</v>
      </c>
      <c r="R1056" t="s">
        <v>85</v>
      </c>
      <c r="S1056" t="s">
        <v>86</v>
      </c>
    </row>
    <row r="1057" spans="1:19" x14ac:dyDescent="0.25">
      <c r="A1057" t="s">
        <v>59</v>
      </c>
      <c r="B1057" t="s">
        <v>60</v>
      </c>
      <c r="C1057" t="s">
        <v>32</v>
      </c>
      <c r="D1057" t="s">
        <v>33</v>
      </c>
      <c r="E1057" t="s">
        <v>122</v>
      </c>
      <c r="F1057" t="s">
        <v>35</v>
      </c>
      <c r="G1057" t="s">
        <v>35</v>
      </c>
      <c r="H1057" t="s">
        <v>35</v>
      </c>
      <c r="J1057" t="s">
        <v>1646</v>
      </c>
      <c r="K1057" t="s">
        <v>1092</v>
      </c>
      <c r="M1057">
        <v>0.3</v>
      </c>
      <c r="N1057">
        <v>70</v>
      </c>
      <c r="O1057" t="s">
        <v>61</v>
      </c>
      <c r="Q1057" t="s">
        <v>126</v>
      </c>
      <c r="R1057" t="s">
        <v>1173</v>
      </c>
      <c r="S1057" t="s">
        <v>222</v>
      </c>
    </row>
    <row r="1058" spans="1:19" x14ac:dyDescent="0.25">
      <c r="A1058" t="s">
        <v>30</v>
      </c>
      <c r="B1058" t="s">
        <v>31</v>
      </c>
      <c r="C1058" t="s">
        <v>32</v>
      </c>
      <c r="D1058" t="s">
        <v>33</v>
      </c>
      <c r="E1058" t="s">
        <v>122</v>
      </c>
      <c r="F1058" t="s">
        <v>35</v>
      </c>
      <c r="G1058" t="s">
        <v>35</v>
      </c>
      <c r="H1058" t="s">
        <v>35</v>
      </c>
      <c r="J1058" t="s">
        <v>1646</v>
      </c>
      <c r="K1058" t="s">
        <v>1092</v>
      </c>
      <c r="M1058">
        <v>9.99</v>
      </c>
      <c r="N1058">
        <v>20</v>
      </c>
      <c r="O1058" t="s">
        <v>46</v>
      </c>
      <c r="Q1058" t="s">
        <v>1004</v>
      </c>
      <c r="R1058" t="s">
        <v>85</v>
      </c>
      <c r="S1058" t="s">
        <v>86</v>
      </c>
    </row>
    <row r="1059" spans="1:19" x14ac:dyDescent="0.25">
      <c r="A1059" t="s">
        <v>44</v>
      </c>
      <c r="B1059" t="s">
        <v>3</v>
      </c>
      <c r="C1059" t="s">
        <v>32</v>
      </c>
      <c r="D1059" t="s">
        <v>33</v>
      </c>
      <c r="E1059" t="s">
        <v>122</v>
      </c>
      <c r="F1059" t="s">
        <v>35</v>
      </c>
      <c r="G1059" t="s">
        <v>35</v>
      </c>
      <c r="H1059" t="s">
        <v>35</v>
      </c>
      <c r="J1059" t="s">
        <v>1646</v>
      </c>
      <c r="K1059" t="s">
        <v>1092</v>
      </c>
      <c r="M1059">
        <v>3.95</v>
      </c>
      <c r="N1059">
        <v>59</v>
      </c>
      <c r="O1059" t="s">
        <v>52</v>
      </c>
      <c r="Q1059" t="s">
        <v>84</v>
      </c>
      <c r="R1059" t="s">
        <v>85</v>
      </c>
      <c r="S1059" t="s">
        <v>86</v>
      </c>
    </row>
    <row r="1060" spans="1:19" x14ac:dyDescent="0.25">
      <c r="A1060" t="s">
        <v>44</v>
      </c>
      <c r="B1060" t="s">
        <v>3</v>
      </c>
      <c r="C1060" t="s">
        <v>32</v>
      </c>
      <c r="D1060" t="s">
        <v>33</v>
      </c>
      <c r="E1060" t="s">
        <v>122</v>
      </c>
      <c r="F1060" t="s">
        <v>35</v>
      </c>
      <c r="G1060" t="s">
        <v>35</v>
      </c>
      <c r="H1060" t="s">
        <v>35</v>
      </c>
      <c r="J1060" t="s">
        <v>1647</v>
      </c>
      <c r="K1060" t="s">
        <v>1092</v>
      </c>
      <c r="M1060">
        <v>1.85</v>
      </c>
      <c r="N1060">
        <v>435</v>
      </c>
      <c r="O1060" t="s">
        <v>294</v>
      </c>
      <c r="Q1060" t="s">
        <v>1350</v>
      </c>
      <c r="R1060" t="s">
        <v>193</v>
      </c>
      <c r="S1060" t="s">
        <v>181</v>
      </c>
    </row>
    <row r="1061" spans="1:19" x14ac:dyDescent="0.25">
      <c r="A1061" t="s">
        <v>59</v>
      </c>
      <c r="B1061" t="s">
        <v>60</v>
      </c>
      <c r="C1061" t="s">
        <v>32</v>
      </c>
      <c r="D1061" t="s">
        <v>33</v>
      </c>
      <c r="E1061" t="s">
        <v>122</v>
      </c>
      <c r="F1061" t="s">
        <v>35</v>
      </c>
      <c r="G1061" t="s">
        <v>35</v>
      </c>
      <c r="H1061" t="s">
        <v>35</v>
      </c>
      <c r="J1061" t="s">
        <v>1647</v>
      </c>
      <c r="K1061" t="s">
        <v>1092</v>
      </c>
      <c r="M1061">
        <v>0.45</v>
      </c>
      <c r="N1061">
        <v>363</v>
      </c>
      <c r="O1061" t="s">
        <v>5</v>
      </c>
      <c r="Q1061" t="s">
        <v>1415</v>
      </c>
      <c r="R1061" t="s">
        <v>193</v>
      </c>
      <c r="S1061" t="s">
        <v>181</v>
      </c>
    </row>
    <row r="1062" spans="1:19" x14ac:dyDescent="0.25">
      <c r="A1062" t="s">
        <v>59</v>
      </c>
      <c r="B1062" t="s">
        <v>60</v>
      </c>
      <c r="C1062" t="s">
        <v>32</v>
      </c>
      <c r="D1062" t="s">
        <v>33</v>
      </c>
      <c r="E1062" t="s">
        <v>122</v>
      </c>
      <c r="F1062" t="s">
        <v>35</v>
      </c>
      <c r="G1062" t="s">
        <v>35</v>
      </c>
      <c r="H1062" t="s">
        <v>35</v>
      </c>
      <c r="J1062" t="s">
        <v>1648</v>
      </c>
      <c r="K1062" t="s">
        <v>1092</v>
      </c>
      <c r="M1062">
        <v>0.7</v>
      </c>
      <c r="N1062">
        <v>70</v>
      </c>
      <c r="O1062" t="s">
        <v>61</v>
      </c>
      <c r="Q1062" t="s">
        <v>126</v>
      </c>
      <c r="R1062" t="s">
        <v>85</v>
      </c>
      <c r="S1062" t="s">
        <v>86</v>
      </c>
    </row>
    <row r="1063" spans="1:19" x14ac:dyDescent="0.25">
      <c r="A1063" t="s">
        <v>30</v>
      </c>
      <c r="B1063" t="s">
        <v>31</v>
      </c>
      <c r="C1063" t="s">
        <v>32</v>
      </c>
      <c r="D1063" t="s">
        <v>33</v>
      </c>
      <c r="E1063" t="s">
        <v>122</v>
      </c>
      <c r="F1063" t="s">
        <v>35</v>
      </c>
      <c r="G1063" t="s">
        <v>35</v>
      </c>
      <c r="H1063" t="s">
        <v>35</v>
      </c>
      <c r="J1063" t="s">
        <v>1648</v>
      </c>
      <c r="K1063" t="s">
        <v>1092</v>
      </c>
      <c r="M1063">
        <v>6.2549999999999999</v>
      </c>
      <c r="N1063">
        <v>73</v>
      </c>
      <c r="O1063" t="s">
        <v>61</v>
      </c>
      <c r="Q1063" t="s">
        <v>552</v>
      </c>
      <c r="R1063" t="s">
        <v>85</v>
      </c>
      <c r="S1063" t="s">
        <v>86</v>
      </c>
    </row>
    <row r="1064" spans="1:19" x14ac:dyDescent="0.25">
      <c r="A1064" t="s">
        <v>30</v>
      </c>
      <c r="B1064" t="s">
        <v>31</v>
      </c>
      <c r="C1064" t="s">
        <v>32</v>
      </c>
      <c r="D1064" t="s">
        <v>33</v>
      </c>
      <c r="E1064" t="s">
        <v>122</v>
      </c>
      <c r="F1064" t="s">
        <v>35</v>
      </c>
      <c r="G1064" t="s">
        <v>35</v>
      </c>
      <c r="H1064" t="s">
        <v>35</v>
      </c>
      <c r="J1064" t="s">
        <v>1648</v>
      </c>
      <c r="K1064" t="s">
        <v>1092</v>
      </c>
      <c r="M1064">
        <v>6.75</v>
      </c>
      <c r="N1064">
        <v>1</v>
      </c>
      <c r="O1064" t="s">
        <v>46</v>
      </c>
      <c r="Q1064" t="s">
        <v>8226</v>
      </c>
      <c r="R1064" t="s">
        <v>85</v>
      </c>
      <c r="S1064" t="s">
        <v>86</v>
      </c>
    </row>
    <row r="1065" spans="1:19" x14ac:dyDescent="0.25">
      <c r="A1065" t="s">
        <v>30</v>
      </c>
      <c r="B1065" t="s">
        <v>31</v>
      </c>
      <c r="C1065" t="s">
        <v>32</v>
      </c>
      <c r="D1065" t="s">
        <v>33</v>
      </c>
      <c r="E1065" t="s">
        <v>122</v>
      </c>
      <c r="F1065" t="s">
        <v>35</v>
      </c>
      <c r="G1065" t="s">
        <v>35</v>
      </c>
      <c r="H1065" t="s">
        <v>35</v>
      </c>
      <c r="J1065" t="s">
        <v>1649</v>
      </c>
      <c r="K1065" t="s">
        <v>1092</v>
      </c>
      <c r="M1065">
        <v>4.0049999999999999</v>
      </c>
      <c r="N1065">
        <v>24</v>
      </c>
      <c r="O1065" t="s">
        <v>46</v>
      </c>
      <c r="Q1065" t="s">
        <v>255</v>
      </c>
      <c r="R1065" t="s">
        <v>1331</v>
      </c>
      <c r="S1065" t="s">
        <v>1332</v>
      </c>
    </row>
    <row r="1066" spans="1:19" x14ac:dyDescent="0.25">
      <c r="A1066" t="s">
        <v>59</v>
      </c>
      <c r="B1066" t="s">
        <v>60</v>
      </c>
      <c r="C1066" t="s">
        <v>32</v>
      </c>
      <c r="D1066" t="s">
        <v>33</v>
      </c>
      <c r="E1066" t="s">
        <v>122</v>
      </c>
      <c r="F1066" t="s">
        <v>35</v>
      </c>
      <c r="G1066" t="s">
        <v>35</v>
      </c>
      <c r="H1066" t="s">
        <v>35</v>
      </c>
      <c r="J1066" t="s">
        <v>1650</v>
      </c>
      <c r="K1066" t="s">
        <v>1092</v>
      </c>
      <c r="M1066">
        <v>0.25</v>
      </c>
      <c r="N1066">
        <v>656</v>
      </c>
      <c r="O1066" t="s">
        <v>575</v>
      </c>
      <c r="Q1066" t="s">
        <v>1652</v>
      </c>
      <c r="R1066" t="s">
        <v>1653</v>
      </c>
      <c r="S1066" t="s">
        <v>1654</v>
      </c>
    </row>
    <row r="1067" spans="1:19" x14ac:dyDescent="0.25">
      <c r="A1067" t="s">
        <v>59</v>
      </c>
      <c r="B1067" t="s">
        <v>31</v>
      </c>
      <c r="C1067" t="s">
        <v>32</v>
      </c>
      <c r="D1067" t="s">
        <v>33</v>
      </c>
      <c r="E1067" t="s">
        <v>122</v>
      </c>
      <c r="F1067" t="s">
        <v>35</v>
      </c>
      <c r="G1067" t="s">
        <v>35</v>
      </c>
      <c r="H1067" t="s">
        <v>35</v>
      </c>
      <c r="J1067" t="s">
        <v>1650</v>
      </c>
      <c r="K1067" t="s">
        <v>1092</v>
      </c>
      <c r="M1067">
        <v>0.04</v>
      </c>
      <c r="N1067">
        <v>513</v>
      </c>
      <c r="O1067" t="s">
        <v>294</v>
      </c>
      <c r="Q1067" t="s">
        <v>1651</v>
      </c>
      <c r="R1067" t="s">
        <v>1402</v>
      </c>
      <c r="S1067" t="s">
        <v>1403</v>
      </c>
    </row>
    <row r="1068" spans="1:19" x14ac:dyDescent="0.25">
      <c r="A1068" t="s">
        <v>30</v>
      </c>
      <c r="B1068" t="s">
        <v>31</v>
      </c>
      <c r="C1068" t="s">
        <v>32</v>
      </c>
      <c r="D1068" t="s">
        <v>33</v>
      </c>
      <c r="E1068" t="s">
        <v>122</v>
      </c>
      <c r="F1068" t="s">
        <v>35</v>
      </c>
      <c r="G1068" t="s">
        <v>35</v>
      </c>
      <c r="H1068" t="s">
        <v>35</v>
      </c>
      <c r="J1068" t="s">
        <v>1655</v>
      </c>
      <c r="K1068" t="s">
        <v>1092</v>
      </c>
      <c r="M1068">
        <v>2.5649999999999999</v>
      </c>
      <c r="N1068">
        <v>45</v>
      </c>
      <c r="O1068" t="s">
        <v>52</v>
      </c>
      <c r="Q1068" t="s">
        <v>716</v>
      </c>
      <c r="R1068" t="s">
        <v>85</v>
      </c>
      <c r="S1068" t="s">
        <v>86</v>
      </c>
    </row>
    <row r="1069" spans="1:19" x14ac:dyDescent="0.25">
      <c r="A1069" t="s">
        <v>59</v>
      </c>
      <c r="B1069" t="s">
        <v>60</v>
      </c>
      <c r="C1069" t="s">
        <v>32</v>
      </c>
      <c r="D1069" t="s">
        <v>33</v>
      </c>
      <c r="E1069" t="s">
        <v>122</v>
      </c>
      <c r="F1069" t="s">
        <v>35</v>
      </c>
      <c r="G1069" t="s">
        <v>35</v>
      </c>
      <c r="H1069" t="s">
        <v>35</v>
      </c>
      <c r="J1069" t="s">
        <v>1655</v>
      </c>
      <c r="K1069" t="s">
        <v>1092</v>
      </c>
      <c r="M1069">
        <v>0.45</v>
      </c>
      <c r="N1069">
        <v>130</v>
      </c>
      <c r="O1069" t="s">
        <v>38</v>
      </c>
      <c r="Q1069" t="s">
        <v>1656</v>
      </c>
      <c r="R1069" t="s">
        <v>1376</v>
      </c>
      <c r="S1069" t="s">
        <v>154</v>
      </c>
    </row>
    <row r="1070" spans="1:19" x14ac:dyDescent="0.25">
      <c r="A1070" t="s">
        <v>59</v>
      </c>
      <c r="B1070" t="s">
        <v>31</v>
      </c>
      <c r="C1070" t="s">
        <v>32</v>
      </c>
      <c r="D1070" t="s">
        <v>33</v>
      </c>
      <c r="E1070" t="s">
        <v>122</v>
      </c>
      <c r="F1070" t="s">
        <v>35</v>
      </c>
      <c r="G1070" t="s">
        <v>35</v>
      </c>
      <c r="H1070" t="s">
        <v>35</v>
      </c>
      <c r="J1070" t="s">
        <v>1655</v>
      </c>
      <c r="K1070" t="s">
        <v>1092</v>
      </c>
      <c r="M1070">
        <v>2.0249999999999999</v>
      </c>
      <c r="N1070">
        <v>70</v>
      </c>
      <c r="O1070" t="s">
        <v>61</v>
      </c>
      <c r="Q1070" t="s">
        <v>126</v>
      </c>
      <c r="R1070" t="s">
        <v>85</v>
      </c>
      <c r="S1070" t="s">
        <v>86</v>
      </c>
    </row>
    <row r="1071" spans="1:19" x14ac:dyDescent="0.25">
      <c r="A1071" t="s">
        <v>30</v>
      </c>
      <c r="B1071" t="s">
        <v>31</v>
      </c>
      <c r="C1071" t="s">
        <v>32</v>
      </c>
      <c r="D1071" t="s">
        <v>33</v>
      </c>
      <c r="E1071" t="s">
        <v>122</v>
      </c>
      <c r="F1071" t="s">
        <v>35</v>
      </c>
      <c r="G1071" t="s">
        <v>35</v>
      </c>
      <c r="H1071" t="s">
        <v>35</v>
      </c>
      <c r="J1071" t="s">
        <v>1657</v>
      </c>
      <c r="K1071" t="s">
        <v>1092</v>
      </c>
      <c r="M1071">
        <v>0.36</v>
      </c>
      <c r="N1071">
        <v>75</v>
      </c>
      <c r="O1071" t="s">
        <v>61</v>
      </c>
      <c r="Q1071" t="s">
        <v>805</v>
      </c>
      <c r="R1071" t="s">
        <v>1331</v>
      </c>
      <c r="S1071" t="s">
        <v>1332</v>
      </c>
    </row>
    <row r="1072" spans="1:19" x14ac:dyDescent="0.25">
      <c r="A1072" t="s">
        <v>30</v>
      </c>
      <c r="B1072" t="s">
        <v>31</v>
      </c>
      <c r="C1072" t="s">
        <v>32</v>
      </c>
      <c r="D1072" t="s">
        <v>33</v>
      </c>
      <c r="E1072" t="s">
        <v>122</v>
      </c>
      <c r="F1072" t="s">
        <v>35</v>
      </c>
      <c r="G1072" t="s">
        <v>35</v>
      </c>
      <c r="H1072" t="s">
        <v>35</v>
      </c>
      <c r="J1072" t="s">
        <v>1657</v>
      </c>
      <c r="K1072" t="s">
        <v>1092</v>
      </c>
      <c r="M1072">
        <v>19.98</v>
      </c>
      <c r="N1072">
        <v>20</v>
      </c>
      <c r="O1072" t="s">
        <v>46</v>
      </c>
      <c r="Q1072" t="s">
        <v>1004</v>
      </c>
      <c r="R1072" t="s">
        <v>85</v>
      </c>
      <c r="S1072" t="s">
        <v>86</v>
      </c>
    </row>
    <row r="1073" spans="1:19" x14ac:dyDescent="0.25">
      <c r="A1073" t="s">
        <v>44</v>
      </c>
      <c r="B1073" t="s">
        <v>51</v>
      </c>
      <c r="C1073" t="s">
        <v>32</v>
      </c>
      <c r="D1073" t="s">
        <v>33</v>
      </c>
      <c r="E1073" t="s">
        <v>122</v>
      </c>
      <c r="F1073" t="s">
        <v>35</v>
      </c>
      <c r="G1073" t="s">
        <v>35</v>
      </c>
      <c r="H1073" t="s">
        <v>35</v>
      </c>
      <c r="J1073" t="s">
        <v>1657</v>
      </c>
      <c r="K1073" t="s">
        <v>1092</v>
      </c>
      <c r="M1073">
        <v>4.7</v>
      </c>
      <c r="N1073">
        <v>53</v>
      </c>
      <c r="O1073" t="s">
        <v>52</v>
      </c>
      <c r="Q1073" t="s">
        <v>332</v>
      </c>
      <c r="R1073" t="s">
        <v>1658</v>
      </c>
      <c r="S1073" t="s">
        <v>1659</v>
      </c>
    </row>
    <row r="1074" spans="1:19" x14ac:dyDescent="0.25">
      <c r="A1074" t="s">
        <v>44</v>
      </c>
      <c r="B1074" t="s">
        <v>3</v>
      </c>
      <c r="C1074" t="s">
        <v>32</v>
      </c>
      <c r="D1074" t="s">
        <v>33</v>
      </c>
      <c r="E1074" t="s">
        <v>122</v>
      </c>
      <c r="F1074" t="s">
        <v>35</v>
      </c>
      <c r="G1074" t="s">
        <v>35</v>
      </c>
      <c r="H1074" t="s">
        <v>35</v>
      </c>
      <c r="J1074" t="s">
        <v>1657</v>
      </c>
      <c r="K1074" t="s">
        <v>1092</v>
      </c>
      <c r="M1074">
        <v>3.05</v>
      </c>
      <c r="N1074">
        <v>57</v>
      </c>
      <c r="O1074" t="s">
        <v>52</v>
      </c>
      <c r="Q1074" t="s">
        <v>665</v>
      </c>
      <c r="R1074" t="s">
        <v>1341</v>
      </c>
      <c r="S1074" t="s">
        <v>1342</v>
      </c>
    </row>
    <row r="1075" spans="1:19" x14ac:dyDescent="0.25">
      <c r="A1075" t="s">
        <v>44</v>
      </c>
      <c r="B1075" t="s">
        <v>3</v>
      </c>
      <c r="C1075" t="s">
        <v>32</v>
      </c>
      <c r="D1075" t="s">
        <v>33</v>
      </c>
      <c r="E1075" t="s">
        <v>122</v>
      </c>
      <c r="F1075" t="s">
        <v>35</v>
      </c>
      <c r="G1075" t="s">
        <v>35</v>
      </c>
      <c r="H1075" t="s">
        <v>35</v>
      </c>
      <c r="J1075" t="s">
        <v>1660</v>
      </c>
      <c r="K1075" t="s">
        <v>1092</v>
      </c>
      <c r="M1075">
        <v>0.38</v>
      </c>
      <c r="N1075">
        <v>423</v>
      </c>
      <c r="O1075" t="s">
        <v>294</v>
      </c>
      <c r="Q1075" t="s">
        <v>1607</v>
      </c>
      <c r="R1075" t="s">
        <v>1661</v>
      </c>
      <c r="S1075" t="s">
        <v>1662</v>
      </c>
    </row>
    <row r="1076" spans="1:19" x14ac:dyDescent="0.25">
      <c r="A1076" t="s">
        <v>59</v>
      </c>
      <c r="B1076" t="s">
        <v>60</v>
      </c>
      <c r="C1076" t="s">
        <v>32</v>
      </c>
      <c r="D1076" t="s">
        <v>33</v>
      </c>
      <c r="E1076" t="s">
        <v>122</v>
      </c>
      <c r="F1076" t="s">
        <v>35</v>
      </c>
      <c r="G1076" t="s">
        <v>35</v>
      </c>
      <c r="H1076" t="s">
        <v>35</v>
      </c>
      <c r="J1076" t="s">
        <v>1660</v>
      </c>
      <c r="K1076" t="s">
        <v>1092</v>
      </c>
      <c r="M1076">
        <v>0.41</v>
      </c>
      <c r="N1076">
        <v>438</v>
      </c>
      <c r="O1076" t="s">
        <v>294</v>
      </c>
      <c r="Q1076" t="s">
        <v>1663</v>
      </c>
      <c r="R1076" t="s">
        <v>1664</v>
      </c>
      <c r="S1076" t="s">
        <v>1665</v>
      </c>
    </row>
    <row r="1077" spans="1:19" x14ac:dyDescent="0.25">
      <c r="A1077" t="s">
        <v>30</v>
      </c>
      <c r="B1077" t="s">
        <v>31</v>
      </c>
      <c r="C1077" t="s">
        <v>32</v>
      </c>
      <c r="D1077" t="s">
        <v>33</v>
      </c>
      <c r="E1077" t="s">
        <v>122</v>
      </c>
      <c r="F1077" t="s">
        <v>35</v>
      </c>
      <c r="G1077" t="s">
        <v>35</v>
      </c>
      <c r="H1077" t="s">
        <v>35</v>
      </c>
      <c r="J1077" t="s">
        <v>1667</v>
      </c>
      <c r="K1077" t="s">
        <v>1092</v>
      </c>
      <c r="M1077">
        <v>5.2649999999999997</v>
      </c>
      <c r="N1077">
        <v>46</v>
      </c>
      <c r="O1077" t="s">
        <v>52</v>
      </c>
      <c r="Q1077" t="s">
        <v>493</v>
      </c>
      <c r="R1077" t="s">
        <v>85</v>
      </c>
      <c r="S1077" t="s">
        <v>86</v>
      </c>
    </row>
    <row r="1078" spans="1:19" x14ac:dyDescent="0.25">
      <c r="A1078" t="s">
        <v>59</v>
      </c>
      <c r="B1078" t="s">
        <v>60</v>
      </c>
      <c r="C1078" t="s">
        <v>32</v>
      </c>
      <c r="D1078" t="s">
        <v>33</v>
      </c>
      <c r="E1078" t="s">
        <v>122</v>
      </c>
      <c r="F1078" t="s">
        <v>35</v>
      </c>
      <c r="G1078" t="s">
        <v>35</v>
      </c>
      <c r="H1078" t="s">
        <v>35</v>
      </c>
      <c r="J1078" t="s">
        <v>1668</v>
      </c>
      <c r="K1078" t="s">
        <v>1092</v>
      </c>
      <c r="M1078">
        <v>0.55000000000000004</v>
      </c>
      <c r="N1078">
        <v>394</v>
      </c>
      <c r="O1078" t="s">
        <v>294</v>
      </c>
      <c r="Q1078" t="s">
        <v>1410</v>
      </c>
      <c r="R1078" t="s">
        <v>169</v>
      </c>
      <c r="S1078" t="s">
        <v>123</v>
      </c>
    </row>
    <row r="1079" spans="1:19" x14ac:dyDescent="0.25">
      <c r="A1079" t="s">
        <v>30</v>
      </c>
      <c r="B1079" t="s">
        <v>31</v>
      </c>
      <c r="C1079" t="s">
        <v>32</v>
      </c>
      <c r="D1079" t="s">
        <v>33</v>
      </c>
      <c r="E1079" t="s">
        <v>122</v>
      </c>
      <c r="F1079" t="s">
        <v>35</v>
      </c>
      <c r="G1079" t="s">
        <v>35</v>
      </c>
      <c r="H1079" t="s">
        <v>35</v>
      </c>
      <c r="J1079" t="s">
        <v>1669</v>
      </c>
      <c r="K1079" t="s">
        <v>1092</v>
      </c>
      <c r="M1079">
        <v>0.27</v>
      </c>
      <c r="N1079">
        <v>45</v>
      </c>
      <c r="O1079" t="s">
        <v>52</v>
      </c>
      <c r="Q1079" t="s">
        <v>716</v>
      </c>
      <c r="R1079" t="s">
        <v>1258</v>
      </c>
      <c r="S1079" t="s">
        <v>194</v>
      </c>
    </row>
    <row r="1080" spans="1:19" x14ac:dyDescent="0.25">
      <c r="A1080" t="s">
        <v>59</v>
      </c>
      <c r="B1080" t="s">
        <v>31</v>
      </c>
      <c r="C1080" t="s">
        <v>32</v>
      </c>
      <c r="D1080" t="s">
        <v>33</v>
      </c>
      <c r="E1080" t="s">
        <v>122</v>
      </c>
      <c r="F1080" t="s">
        <v>35</v>
      </c>
      <c r="G1080" t="s">
        <v>35</v>
      </c>
      <c r="H1080" t="s">
        <v>35</v>
      </c>
      <c r="J1080" t="s">
        <v>1669</v>
      </c>
      <c r="K1080" t="s">
        <v>1092</v>
      </c>
      <c r="M1080">
        <v>0.02</v>
      </c>
      <c r="N1080">
        <v>76</v>
      </c>
      <c r="O1080" t="s">
        <v>61</v>
      </c>
      <c r="Q1080" t="s">
        <v>234</v>
      </c>
      <c r="R1080" t="s">
        <v>1258</v>
      </c>
      <c r="S1080" t="s">
        <v>194</v>
      </c>
    </row>
    <row r="1081" spans="1:19" x14ac:dyDescent="0.25">
      <c r="A1081" t="s">
        <v>30</v>
      </c>
      <c r="B1081" t="s">
        <v>31</v>
      </c>
      <c r="C1081" t="s">
        <v>32</v>
      </c>
      <c r="D1081" t="s">
        <v>33</v>
      </c>
      <c r="E1081" t="s">
        <v>122</v>
      </c>
      <c r="F1081" t="s">
        <v>35</v>
      </c>
      <c r="G1081" t="s">
        <v>35</v>
      </c>
      <c r="H1081" t="s">
        <v>35</v>
      </c>
      <c r="J1081" t="s">
        <v>1670</v>
      </c>
      <c r="K1081" t="s">
        <v>1092</v>
      </c>
      <c r="M1081">
        <v>5.0000000000000001E-3</v>
      </c>
      <c r="N1081">
        <v>2021</v>
      </c>
      <c r="O1081" t="s">
        <v>575</v>
      </c>
      <c r="Q1081" t="s">
        <v>1671</v>
      </c>
      <c r="R1081" t="s">
        <v>1672</v>
      </c>
      <c r="S1081" t="s">
        <v>1673</v>
      </c>
    </row>
    <row r="1082" spans="1:19" x14ac:dyDescent="0.25">
      <c r="A1082" t="s">
        <v>59</v>
      </c>
      <c r="B1082" t="s">
        <v>60</v>
      </c>
      <c r="C1082" t="s">
        <v>32</v>
      </c>
      <c r="D1082" t="s">
        <v>33</v>
      </c>
      <c r="E1082" t="s">
        <v>122</v>
      </c>
      <c r="F1082" t="s">
        <v>35</v>
      </c>
      <c r="G1082" t="s">
        <v>35</v>
      </c>
      <c r="H1082" t="s">
        <v>35</v>
      </c>
      <c r="J1082" t="s">
        <v>1670</v>
      </c>
      <c r="K1082" t="s">
        <v>1092</v>
      </c>
      <c r="M1082">
        <v>2.2000000000000002</v>
      </c>
      <c r="N1082">
        <v>1230</v>
      </c>
      <c r="O1082" t="s">
        <v>575</v>
      </c>
      <c r="Q1082" t="s">
        <v>1674</v>
      </c>
      <c r="R1082" t="s">
        <v>169</v>
      </c>
      <c r="S1082" t="s">
        <v>123</v>
      </c>
    </row>
    <row r="1083" spans="1:19" x14ac:dyDescent="0.25">
      <c r="A1083" t="s">
        <v>59</v>
      </c>
      <c r="B1083" t="s">
        <v>60</v>
      </c>
      <c r="C1083" t="s">
        <v>32</v>
      </c>
      <c r="D1083" t="s">
        <v>33</v>
      </c>
      <c r="E1083" t="s">
        <v>122</v>
      </c>
      <c r="F1083" t="s">
        <v>35</v>
      </c>
      <c r="G1083" t="s">
        <v>35</v>
      </c>
      <c r="H1083" t="s">
        <v>35</v>
      </c>
      <c r="J1083" t="s">
        <v>1675</v>
      </c>
      <c r="K1083" t="s">
        <v>1092</v>
      </c>
      <c r="M1083">
        <v>0.2</v>
      </c>
      <c r="N1083">
        <v>219</v>
      </c>
      <c r="O1083" t="s">
        <v>5</v>
      </c>
      <c r="Q1083" t="s">
        <v>1578</v>
      </c>
      <c r="R1083" t="s">
        <v>1173</v>
      </c>
      <c r="S1083" t="s">
        <v>222</v>
      </c>
    </row>
    <row r="1084" spans="1:19" x14ac:dyDescent="0.25">
      <c r="A1084" t="s">
        <v>44</v>
      </c>
      <c r="B1084" t="s">
        <v>51</v>
      </c>
      <c r="C1084" t="s">
        <v>32</v>
      </c>
      <c r="D1084" t="s">
        <v>33</v>
      </c>
      <c r="E1084" t="s">
        <v>122</v>
      </c>
      <c r="F1084" t="s">
        <v>35</v>
      </c>
      <c r="G1084" t="s">
        <v>35</v>
      </c>
      <c r="H1084" t="s">
        <v>35</v>
      </c>
      <c r="J1084" t="s">
        <v>1675</v>
      </c>
      <c r="K1084" t="s">
        <v>1092</v>
      </c>
      <c r="M1084">
        <v>4.5</v>
      </c>
      <c r="N1084">
        <v>10</v>
      </c>
      <c r="O1084" t="s">
        <v>46</v>
      </c>
      <c r="Q1084" t="s">
        <v>1676</v>
      </c>
      <c r="R1084" t="s">
        <v>1173</v>
      </c>
      <c r="S1084" t="s">
        <v>222</v>
      </c>
    </row>
    <row r="1085" spans="1:19" x14ac:dyDescent="0.25">
      <c r="A1085" t="s">
        <v>59</v>
      </c>
      <c r="B1085" t="s">
        <v>60</v>
      </c>
      <c r="C1085" t="s">
        <v>32</v>
      </c>
      <c r="D1085" t="s">
        <v>33</v>
      </c>
      <c r="E1085" t="s">
        <v>122</v>
      </c>
      <c r="F1085" t="s">
        <v>35</v>
      </c>
      <c r="G1085" t="s">
        <v>35</v>
      </c>
      <c r="H1085" t="s">
        <v>35</v>
      </c>
      <c r="J1085" t="s">
        <v>1675</v>
      </c>
      <c r="K1085" t="s">
        <v>1092</v>
      </c>
      <c r="M1085">
        <v>3</v>
      </c>
      <c r="N1085">
        <v>146</v>
      </c>
      <c r="O1085" t="s">
        <v>38</v>
      </c>
      <c r="Q1085" t="s">
        <v>1335</v>
      </c>
      <c r="R1085" t="s">
        <v>1173</v>
      </c>
      <c r="S1085" t="s">
        <v>222</v>
      </c>
    </row>
    <row r="1086" spans="1:19" x14ac:dyDescent="0.25">
      <c r="A1086" t="s">
        <v>59</v>
      </c>
      <c r="B1086" t="s">
        <v>60</v>
      </c>
      <c r="C1086" t="s">
        <v>32</v>
      </c>
      <c r="D1086" t="s">
        <v>33</v>
      </c>
      <c r="E1086" t="s">
        <v>122</v>
      </c>
      <c r="F1086" t="s">
        <v>35</v>
      </c>
      <c r="G1086" t="s">
        <v>35</v>
      </c>
      <c r="H1086" t="s">
        <v>35</v>
      </c>
      <c r="J1086" t="s">
        <v>1677</v>
      </c>
      <c r="K1086" t="s">
        <v>1092</v>
      </c>
      <c r="M1086">
        <v>10</v>
      </c>
      <c r="N1086">
        <v>63</v>
      </c>
      <c r="O1086" t="s">
        <v>61</v>
      </c>
      <c r="Q1086" t="s">
        <v>423</v>
      </c>
      <c r="R1086" t="s">
        <v>103</v>
      </c>
      <c r="S1086" t="s">
        <v>104</v>
      </c>
    </row>
    <row r="1087" spans="1:19" x14ac:dyDescent="0.25">
      <c r="A1087" t="s">
        <v>59</v>
      </c>
      <c r="B1087" t="s">
        <v>60</v>
      </c>
      <c r="C1087" t="s">
        <v>32</v>
      </c>
      <c r="D1087" t="s">
        <v>33</v>
      </c>
      <c r="E1087" t="s">
        <v>122</v>
      </c>
      <c r="F1087" t="s">
        <v>35</v>
      </c>
      <c r="G1087" t="s">
        <v>35</v>
      </c>
      <c r="H1087" t="s">
        <v>35</v>
      </c>
      <c r="J1087" t="s">
        <v>1677</v>
      </c>
      <c r="K1087" t="s">
        <v>1092</v>
      </c>
      <c r="M1087">
        <v>5.7</v>
      </c>
      <c r="N1087">
        <v>71</v>
      </c>
      <c r="O1087" t="s">
        <v>61</v>
      </c>
      <c r="Q1087" t="s">
        <v>102</v>
      </c>
      <c r="R1087" t="s">
        <v>103</v>
      </c>
      <c r="S1087" t="s">
        <v>104</v>
      </c>
    </row>
    <row r="1088" spans="1:19" x14ac:dyDescent="0.25">
      <c r="A1088" t="s">
        <v>59</v>
      </c>
      <c r="B1088" t="s">
        <v>31</v>
      </c>
      <c r="C1088" t="s">
        <v>32</v>
      </c>
      <c r="D1088" t="s">
        <v>33</v>
      </c>
      <c r="E1088" t="s">
        <v>122</v>
      </c>
      <c r="F1088" t="s">
        <v>35</v>
      </c>
      <c r="G1088" t="s">
        <v>35</v>
      </c>
      <c r="H1088" t="s">
        <v>35</v>
      </c>
      <c r="J1088" t="s">
        <v>1677</v>
      </c>
      <c r="K1088" t="s">
        <v>1092</v>
      </c>
      <c r="M1088">
        <v>1.17</v>
      </c>
      <c r="N1088">
        <v>71</v>
      </c>
      <c r="O1088" t="s">
        <v>61</v>
      </c>
      <c r="Q1088" t="s">
        <v>102</v>
      </c>
      <c r="R1088" t="s">
        <v>103</v>
      </c>
      <c r="S1088" t="s">
        <v>104</v>
      </c>
    </row>
    <row r="1089" spans="1:19" x14ac:dyDescent="0.25">
      <c r="A1089" t="s">
        <v>44</v>
      </c>
      <c r="B1089" t="s">
        <v>51</v>
      </c>
      <c r="C1089" t="s">
        <v>32</v>
      </c>
      <c r="D1089" t="s">
        <v>33</v>
      </c>
      <c r="E1089" t="s">
        <v>122</v>
      </c>
      <c r="F1089" t="s">
        <v>35</v>
      </c>
      <c r="G1089" t="s">
        <v>35</v>
      </c>
      <c r="H1089" t="s">
        <v>35</v>
      </c>
      <c r="J1089" t="s">
        <v>1677</v>
      </c>
      <c r="K1089" t="s">
        <v>1092</v>
      </c>
      <c r="M1089">
        <v>3.25</v>
      </c>
      <c r="N1089">
        <v>61</v>
      </c>
      <c r="O1089" t="s">
        <v>61</v>
      </c>
      <c r="Q1089" t="s">
        <v>671</v>
      </c>
      <c r="R1089" t="s">
        <v>103</v>
      </c>
      <c r="S1089" t="s">
        <v>104</v>
      </c>
    </row>
    <row r="1090" spans="1:19" x14ac:dyDescent="0.25">
      <c r="A1090" t="s">
        <v>30</v>
      </c>
      <c r="B1090" t="s">
        <v>31</v>
      </c>
      <c r="C1090" t="s">
        <v>32</v>
      </c>
      <c r="D1090" t="s">
        <v>33</v>
      </c>
      <c r="E1090" t="s">
        <v>122</v>
      </c>
      <c r="F1090" t="s">
        <v>35</v>
      </c>
      <c r="G1090" t="s">
        <v>35</v>
      </c>
      <c r="H1090" t="s">
        <v>35</v>
      </c>
      <c r="J1090" t="s">
        <v>1678</v>
      </c>
      <c r="K1090" t="s">
        <v>1092</v>
      </c>
      <c r="M1090">
        <v>4.5</v>
      </c>
      <c r="N1090">
        <v>46</v>
      </c>
      <c r="O1090" t="s">
        <v>52</v>
      </c>
      <c r="Q1090" t="s">
        <v>493</v>
      </c>
      <c r="R1090" t="s">
        <v>85</v>
      </c>
      <c r="S1090" t="s">
        <v>86</v>
      </c>
    </row>
    <row r="1091" spans="1:19" x14ac:dyDescent="0.25">
      <c r="A1091" t="s">
        <v>59</v>
      </c>
      <c r="B1091" t="s">
        <v>60</v>
      </c>
      <c r="C1091" t="s">
        <v>32</v>
      </c>
      <c r="D1091" t="s">
        <v>33</v>
      </c>
      <c r="E1091" t="s">
        <v>122</v>
      </c>
      <c r="F1091" t="s">
        <v>35</v>
      </c>
      <c r="G1091" t="s">
        <v>35</v>
      </c>
      <c r="H1091" t="s">
        <v>35</v>
      </c>
      <c r="J1091" t="s">
        <v>1679</v>
      </c>
      <c r="K1091" t="s">
        <v>1092</v>
      </c>
      <c r="M1091">
        <v>4.75</v>
      </c>
      <c r="N1091">
        <v>62</v>
      </c>
      <c r="O1091" t="s">
        <v>61</v>
      </c>
      <c r="Q1091" t="s">
        <v>90</v>
      </c>
      <c r="R1091" t="s">
        <v>1341</v>
      </c>
      <c r="S1091" t="s">
        <v>1342</v>
      </c>
    </row>
    <row r="1092" spans="1:19" x14ac:dyDescent="0.25">
      <c r="A1092" t="s">
        <v>59</v>
      </c>
      <c r="B1092" t="s">
        <v>31</v>
      </c>
      <c r="C1092" t="s">
        <v>32</v>
      </c>
      <c r="D1092" t="s">
        <v>33</v>
      </c>
      <c r="E1092" t="s">
        <v>122</v>
      </c>
      <c r="F1092" t="s">
        <v>35</v>
      </c>
      <c r="G1092" t="s">
        <v>35</v>
      </c>
      <c r="H1092" t="s">
        <v>35</v>
      </c>
      <c r="J1092" t="s">
        <v>1680</v>
      </c>
      <c r="K1092" t="s">
        <v>1092</v>
      </c>
      <c r="M1092">
        <v>1.1100000000000001</v>
      </c>
      <c r="N1092">
        <v>76</v>
      </c>
      <c r="O1092" t="s">
        <v>61</v>
      </c>
      <c r="Q1092" t="s">
        <v>234</v>
      </c>
      <c r="R1092" t="s">
        <v>1258</v>
      </c>
      <c r="S1092" t="s">
        <v>194</v>
      </c>
    </row>
    <row r="1093" spans="1:19" x14ac:dyDescent="0.25">
      <c r="A1093" t="s">
        <v>59</v>
      </c>
      <c r="B1093" t="s">
        <v>60</v>
      </c>
      <c r="C1093" t="s">
        <v>32</v>
      </c>
      <c r="D1093" t="s">
        <v>33</v>
      </c>
      <c r="E1093" t="s">
        <v>122</v>
      </c>
      <c r="F1093" t="s">
        <v>35</v>
      </c>
      <c r="G1093" t="s">
        <v>35</v>
      </c>
      <c r="H1093" t="s">
        <v>35</v>
      </c>
      <c r="J1093" t="s">
        <v>1680</v>
      </c>
      <c r="K1093" t="s">
        <v>1092</v>
      </c>
      <c r="M1093">
        <v>1.5</v>
      </c>
      <c r="N1093">
        <v>76</v>
      </c>
      <c r="O1093" t="s">
        <v>61</v>
      </c>
      <c r="Q1093" t="s">
        <v>234</v>
      </c>
      <c r="R1093" t="s">
        <v>1258</v>
      </c>
      <c r="S1093" t="s">
        <v>194</v>
      </c>
    </row>
    <row r="1094" spans="1:19" x14ac:dyDescent="0.25">
      <c r="A1094" t="s">
        <v>30</v>
      </c>
      <c r="B1094" t="s">
        <v>31</v>
      </c>
      <c r="C1094" t="s">
        <v>32</v>
      </c>
      <c r="D1094" t="s">
        <v>33</v>
      </c>
      <c r="E1094" t="s">
        <v>122</v>
      </c>
      <c r="F1094" t="s">
        <v>35</v>
      </c>
      <c r="G1094" t="s">
        <v>35</v>
      </c>
      <c r="H1094" t="s">
        <v>35</v>
      </c>
      <c r="J1094" t="s">
        <v>1680</v>
      </c>
      <c r="K1094" t="s">
        <v>1092</v>
      </c>
      <c r="M1094">
        <v>0.01</v>
      </c>
      <c r="N1094">
        <v>282</v>
      </c>
      <c r="O1094" t="s">
        <v>5</v>
      </c>
      <c r="Q1094" t="s">
        <v>1225</v>
      </c>
      <c r="R1094" t="s">
        <v>1258</v>
      </c>
      <c r="S1094" t="s">
        <v>194</v>
      </c>
    </row>
    <row r="1095" spans="1:19" x14ac:dyDescent="0.25">
      <c r="A1095" t="s">
        <v>59</v>
      </c>
      <c r="B1095" t="s">
        <v>60</v>
      </c>
      <c r="C1095" t="s">
        <v>32</v>
      </c>
      <c r="D1095" t="s">
        <v>33</v>
      </c>
      <c r="E1095" t="s">
        <v>122</v>
      </c>
      <c r="F1095" t="s">
        <v>35</v>
      </c>
      <c r="G1095" t="s">
        <v>35</v>
      </c>
      <c r="H1095" t="s">
        <v>35</v>
      </c>
      <c r="J1095" t="s">
        <v>1681</v>
      </c>
      <c r="K1095" t="s">
        <v>1092</v>
      </c>
      <c r="M1095">
        <v>1</v>
      </c>
      <c r="N1095">
        <v>481</v>
      </c>
      <c r="O1095" t="s">
        <v>294</v>
      </c>
      <c r="Q1095" t="s">
        <v>1682</v>
      </c>
      <c r="R1095" t="s">
        <v>193</v>
      </c>
      <c r="S1095" t="s">
        <v>181</v>
      </c>
    </row>
    <row r="1096" spans="1:19" x14ac:dyDescent="0.25">
      <c r="A1096" t="s">
        <v>59</v>
      </c>
      <c r="B1096" t="s">
        <v>60</v>
      </c>
      <c r="C1096" t="s">
        <v>32</v>
      </c>
      <c r="D1096" t="s">
        <v>33</v>
      </c>
      <c r="E1096" t="s">
        <v>122</v>
      </c>
      <c r="F1096" t="s">
        <v>35</v>
      </c>
      <c r="G1096" t="s">
        <v>35</v>
      </c>
      <c r="H1096" t="s">
        <v>35</v>
      </c>
      <c r="J1096" t="s">
        <v>1683</v>
      </c>
      <c r="K1096" t="s">
        <v>1092</v>
      </c>
      <c r="M1096">
        <v>0.75</v>
      </c>
      <c r="N1096">
        <v>361</v>
      </c>
      <c r="O1096" t="s">
        <v>5</v>
      </c>
      <c r="Q1096" t="s">
        <v>1685</v>
      </c>
      <c r="R1096" t="s">
        <v>1331</v>
      </c>
      <c r="S1096" t="s">
        <v>1332</v>
      </c>
    </row>
    <row r="1097" spans="1:19" x14ac:dyDescent="0.25">
      <c r="A1097" t="s">
        <v>59</v>
      </c>
      <c r="B1097" t="s">
        <v>31</v>
      </c>
      <c r="C1097" t="s">
        <v>32</v>
      </c>
      <c r="D1097" t="s">
        <v>33</v>
      </c>
      <c r="E1097" t="s">
        <v>122</v>
      </c>
      <c r="F1097" t="s">
        <v>35</v>
      </c>
      <c r="G1097" t="s">
        <v>35</v>
      </c>
      <c r="H1097" t="s">
        <v>35</v>
      </c>
      <c r="J1097" t="s">
        <v>1683</v>
      </c>
      <c r="K1097" t="s">
        <v>1092</v>
      </c>
      <c r="M1097">
        <v>3.375</v>
      </c>
      <c r="N1097">
        <v>181</v>
      </c>
      <c r="O1097" t="s">
        <v>5</v>
      </c>
      <c r="Q1097" t="s">
        <v>1684</v>
      </c>
      <c r="R1097" t="s">
        <v>103</v>
      </c>
      <c r="S1097" t="s">
        <v>104</v>
      </c>
    </row>
    <row r="1098" spans="1:19" x14ac:dyDescent="0.25">
      <c r="A1098" t="s">
        <v>44</v>
      </c>
      <c r="B1098" t="s">
        <v>51</v>
      </c>
      <c r="C1098" t="s">
        <v>32</v>
      </c>
      <c r="D1098" t="s">
        <v>33</v>
      </c>
      <c r="E1098" t="s">
        <v>122</v>
      </c>
      <c r="F1098" t="s">
        <v>35</v>
      </c>
      <c r="G1098" t="s">
        <v>35</v>
      </c>
      <c r="H1098" t="s">
        <v>35</v>
      </c>
      <c r="J1098" t="s">
        <v>1683</v>
      </c>
      <c r="K1098" t="s">
        <v>1092</v>
      </c>
      <c r="M1098">
        <v>5.5</v>
      </c>
      <c r="N1098">
        <v>61</v>
      </c>
      <c r="O1098" t="s">
        <v>61</v>
      </c>
      <c r="Q1098" t="s">
        <v>671</v>
      </c>
      <c r="R1098" t="s">
        <v>103</v>
      </c>
      <c r="S1098" t="s">
        <v>104</v>
      </c>
    </row>
    <row r="1099" spans="1:19" x14ac:dyDescent="0.25">
      <c r="A1099" t="s">
        <v>30</v>
      </c>
      <c r="B1099" t="s">
        <v>31</v>
      </c>
      <c r="C1099" t="s">
        <v>32</v>
      </c>
      <c r="D1099" t="s">
        <v>33</v>
      </c>
      <c r="E1099" t="s">
        <v>122</v>
      </c>
      <c r="F1099" t="s">
        <v>35</v>
      </c>
      <c r="G1099" t="s">
        <v>35</v>
      </c>
      <c r="H1099" t="s">
        <v>35</v>
      </c>
      <c r="J1099" t="s">
        <v>1686</v>
      </c>
      <c r="K1099" t="s">
        <v>1092</v>
      </c>
      <c r="M1099">
        <v>4.4999999999999998E-2</v>
      </c>
      <c r="N1099">
        <v>251</v>
      </c>
      <c r="O1099" t="s">
        <v>5</v>
      </c>
      <c r="Q1099" t="s">
        <v>1688</v>
      </c>
      <c r="R1099" t="s">
        <v>193</v>
      </c>
      <c r="S1099" t="s">
        <v>181</v>
      </c>
    </row>
    <row r="1100" spans="1:19" x14ac:dyDescent="0.25">
      <c r="A1100" t="s">
        <v>59</v>
      </c>
      <c r="B1100" t="s">
        <v>60</v>
      </c>
      <c r="C1100" t="s">
        <v>32</v>
      </c>
      <c r="D1100" t="s">
        <v>33</v>
      </c>
      <c r="E1100" t="s">
        <v>122</v>
      </c>
      <c r="F1100" t="s">
        <v>35</v>
      </c>
      <c r="G1100" t="s">
        <v>35</v>
      </c>
      <c r="H1100" t="s">
        <v>35</v>
      </c>
      <c r="J1100" t="s">
        <v>1686</v>
      </c>
      <c r="K1100" t="s">
        <v>1092</v>
      </c>
      <c r="M1100">
        <v>0.65</v>
      </c>
      <c r="N1100">
        <v>285</v>
      </c>
      <c r="O1100" t="s">
        <v>5</v>
      </c>
      <c r="Q1100" t="s">
        <v>1687</v>
      </c>
      <c r="R1100" t="s">
        <v>193</v>
      </c>
      <c r="S1100" t="s">
        <v>181</v>
      </c>
    </row>
    <row r="1101" spans="1:19" x14ac:dyDescent="0.25">
      <c r="A1101" t="s">
        <v>30</v>
      </c>
      <c r="B1101" t="s">
        <v>31</v>
      </c>
      <c r="C1101" t="s">
        <v>32</v>
      </c>
      <c r="D1101" t="s">
        <v>33</v>
      </c>
      <c r="E1101" t="s">
        <v>122</v>
      </c>
      <c r="F1101" t="s">
        <v>35</v>
      </c>
      <c r="G1101" t="s">
        <v>35</v>
      </c>
      <c r="H1101" t="s">
        <v>35</v>
      </c>
      <c r="J1101" t="s">
        <v>1686</v>
      </c>
      <c r="K1101" t="s">
        <v>1092</v>
      </c>
      <c r="M1101">
        <v>2.7450000000000001</v>
      </c>
      <c r="N1101">
        <v>72</v>
      </c>
      <c r="O1101" t="s">
        <v>61</v>
      </c>
      <c r="Q1101" t="s">
        <v>63</v>
      </c>
      <c r="R1101" t="s">
        <v>193</v>
      </c>
      <c r="S1101" t="s">
        <v>181</v>
      </c>
    </row>
    <row r="1102" spans="1:19" x14ac:dyDescent="0.25">
      <c r="A1102" t="s">
        <v>59</v>
      </c>
      <c r="B1102" t="s">
        <v>60</v>
      </c>
      <c r="C1102" t="s">
        <v>32</v>
      </c>
      <c r="D1102" t="s">
        <v>33</v>
      </c>
      <c r="E1102" t="s">
        <v>122</v>
      </c>
      <c r="F1102" t="s">
        <v>35</v>
      </c>
      <c r="G1102" t="s">
        <v>35</v>
      </c>
      <c r="H1102" t="s">
        <v>35</v>
      </c>
      <c r="J1102" t="s">
        <v>1689</v>
      </c>
      <c r="K1102" t="s">
        <v>1092</v>
      </c>
      <c r="M1102">
        <v>5</v>
      </c>
      <c r="N1102">
        <v>75</v>
      </c>
      <c r="O1102" t="s">
        <v>61</v>
      </c>
      <c r="Q1102" t="s">
        <v>805</v>
      </c>
      <c r="R1102" t="s">
        <v>199</v>
      </c>
      <c r="S1102" t="s">
        <v>200</v>
      </c>
    </row>
    <row r="1103" spans="1:19" x14ac:dyDescent="0.25">
      <c r="A1103" t="s">
        <v>30</v>
      </c>
      <c r="B1103" t="s">
        <v>31</v>
      </c>
      <c r="C1103" t="s">
        <v>32</v>
      </c>
      <c r="D1103" t="s">
        <v>33</v>
      </c>
      <c r="E1103" t="s">
        <v>122</v>
      </c>
      <c r="F1103" t="s">
        <v>35</v>
      </c>
      <c r="G1103" t="s">
        <v>35</v>
      </c>
      <c r="H1103" t="s">
        <v>35</v>
      </c>
      <c r="J1103" t="s">
        <v>1689</v>
      </c>
      <c r="K1103" t="s">
        <v>1092</v>
      </c>
      <c r="M1103">
        <v>4.55</v>
      </c>
      <c r="N1103">
        <v>29</v>
      </c>
      <c r="O1103" t="s">
        <v>46</v>
      </c>
      <c r="Q1103" t="s">
        <v>1645</v>
      </c>
      <c r="R1103" t="s">
        <v>1279</v>
      </c>
      <c r="S1103" t="s">
        <v>163</v>
      </c>
    </row>
    <row r="1104" spans="1:19" x14ac:dyDescent="0.25">
      <c r="A1104" t="s">
        <v>59</v>
      </c>
      <c r="B1104" t="s">
        <v>31</v>
      </c>
      <c r="C1104" t="s">
        <v>32</v>
      </c>
      <c r="D1104" t="s">
        <v>33</v>
      </c>
      <c r="E1104" t="s">
        <v>122</v>
      </c>
      <c r="F1104" t="s">
        <v>35</v>
      </c>
      <c r="G1104" t="s">
        <v>35</v>
      </c>
      <c r="H1104" t="s">
        <v>35</v>
      </c>
      <c r="J1104" t="s">
        <v>1690</v>
      </c>
      <c r="K1104" t="s">
        <v>1092</v>
      </c>
      <c r="M1104">
        <v>3.15</v>
      </c>
      <c r="N1104">
        <v>92</v>
      </c>
      <c r="O1104" t="s">
        <v>106</v>
      </c>
      <c r="Q1104" t="s">
        <v>1100</v>
      </c>
      <c r="R1104" t="s">
        <v>1258</v>
      </c>
      <c r="S1104" t="s">
        <v>194</v>
      </c>
    </row>
    <row r="1105" spans="1:19" x14ac:dyDescent="0.25">
      <c r="A1105" t="s">
        <v>44</v>
      </c>
      <c r="B1105" t="s">
        <v>3</v>
      </c>
      <c r="C1105" t="s">
        <v>32</v>
      </c>
      <c r="D1105" t="s">
        <v>33</v>
      </c>
      <c r="E1105" t="s">
        <v>122</v>
      </c>
      <c r="F1105" t="s">
        <v>35</v>
      </c>
      <c r="G1105" t="s">
        <v>35</v>
      </c>
      <c r="H1105" t="s">
        <v>35</v>
      </c>
      <c r="J1105" t="s">
        <v>1690</v>
      </c>
      <c r="K1105" t="s">
        <v>1092</v>
      </c>
      <c r="M1105">
        <v>1</v>
      </c>
      <c r="N1105">
        <v>25</v>
      </c>
      <c r="O1105" t="s">
        <v>46</v>
      </c>
      <c r="Q1105" t="s">
        <v>831</v>
      </c>
      <c r="R1105" t="s">
        <v>1352</v>
      </c>
      <c r="S1105" t="s">
        <v>141</v>
      </c>
    </row>
    <row r="1106" spans="1:19" x14ac:dyDescent="0.25">
      <c r="A1106" t="s">
        <v>59</v>
      </c>
      <c r="B1106" t="s">
        <v>31</v>
      </c>
      <c r="C1106" t="s">
        <v>32</v>
      </c>
      <c r="D1106" t="s">
        <v>33</v>
      </c>
      <c r="E1106" t="s">
        <v>122</v>
      </c>
      <c r="F1106" t="s">
        <v>35</v>
      </c>
      <c r="G1106" t="s">
        <v>35</v>
      </c>
      <c r="H1106" t="s">
        <v>35</v>
      </c>
      <c r="J1106" t="s">
        <v>1690</v>
      </c>
      <c r="K1106" t="s">
        <v>1092</v>
      </c>
      <c r="M1106">
        <v>4.68</v>
      </c>
      <c r="N1106">
        <v>76</v>
      </c>
      <c r="O1106" t="s">
        <v>61</v>
      </c>
      <c r="Q1106" t="s">
        <v>234</v>
      </c>
      <c r="R1106" t="s">
        <v>1258</v>
      </c>
      <c r="S1106" t="s">
        <v>194</v>
      </c>
    </row>
    <row r="1107" spans="1:19" x14ac:dyDescent="0.25">
      <c r="A1107" t="s">
        <v>59</v>
      </c>
      <c r="B1107" t="s">
        <v>60</v>
      </c>
      <c r="C1107" t="s">
        <v>32</v>
      </c>
      <c r="D1107" t="s">
        <v>33</v>
      </c>
      <c r="E1107" t="s">
        <v>122</v>
      </c>
      <c r="F1107" t="s">
        <v>35</v>
      </c>
      <c r="G1107" t="s">
        <v>35</v>
      </c>
      <c r="H1107" t="s">
        <v>35</v>
      </c>
      <c r="J1107" t="s">
        <v>1690</v>
      </c>
      <c r="K1107" t="s">
        <v>1092</v>
      </c>
      <c r="M1107">
        <v>3.5</v>
      </c>
      <c r="N1107">
        <v>92</v>
      </c>
      <c r="O1107" t="s">
        <v>106</v>
      </c>
      <c r="Q1107" t="s">
        <v>1100</v>
      </c>
      <c r="R1107" t="s">
        <v>1258</v>
      </c>
      <c r="S1107" t="s">
        <v>194</v>
      </c>
    </row>
    <row r="1108" spans="1:19" x14ac:dyDescent="0.25">
      <c r="A1108" t="s">
        <v>59</v>
      </c>
      <c r="B1108" t="s">
        <v>60</v>
      </c>
      <c r="C1108" t="s">
        <v>32</v>
      </c>
      <c r="D1108" t="s">
        <v>33</v>
      </c>
      <c r="E1108" t="s">
        <v>122</v>
      </c>
      <c r="F1108" t="s">
        <v>35</v>
      </c>
      <c r="G1108" t="s">
        <v>35</v>
      </c>
      <c r="H1108" t="s">
        <v>35</v>
      </c>
      <c r="J1108" t="s">
        <v>1691</v>
      </c>
      <c r="K1108" t="s">
        <v>1092</v>
      </c>
      <c r="M1108">
        <v>0.5</v>
      </c>
      <c r="N1108">
        <v>175</v>
      </c>
      <c r="O1108" t="s">
        <v>38</v>
      </c>
      <c r="Q1108" t="s">
        <v>1692</v>
      </c>
      <c r="R1108" t="s">
        <v>193</v>
      </c>
      <c r="S1108" t="s">
        <v>181</v>
      </c>
    </row>
    <row r="1109" spans="1:19" x14ac:dyDescent="0.25">
      <c r="A1109" t="s">
        <v>59</v>
      </c>
      <c r="B1109" t="s">
        <v>60</v>
      </c>
      <c r="C1109" t="s">
        <v>32</v>
      </c>
      <c r="D1109" t="s">
        <v>33</v>
      </c>
      <c r="E1109" t="s">
        <v>122</v>
      </c>
      <c r="F1109" t="s">
        <v>35</v>
      </c>
      <c r="G1109" t="s">
        <v>35</v>
      </c>
      <c r="H1109" t="s">
        <v>35</v>
      </c>
      <c r="J1109" t="s">
        <v>1693</v>
      </c>
      <c r="K1109" t="s">
        <v>404</v>
      </c>
      <c r="M1109">
        <v>5.5</v>
      </c>
      <c r="N1109">
        <v>73</v>
      </c>
      <c r="O1109" t="s">
        <v>61</v>
      </c>
      <c r="Q1109" t="s">
        <v>552</v>
      </c>
      <c r="R1109" t="s">
        <v>85</v>
      </c>
      <c r="S1109" t="s">
        <v>86</v>
      </c>
    </row>
    <row r="1110" spans="1:19" x14ac:dyDescent="0.25">
      <c r="A1110" t="s">
        <v>59</v>
      </c>
      <c r="B1110" t="s">
        <v>60</v>
      </c>
      <c r="C1110" t="s">
        <v>32</v>
      </c>
      <c r="D1110" t="s">
        <v>33</v>
      </c>
      <c r="E1110" t="s">
        <v>122</v>
      </c>
      <c r="F1110" t="s">
        <v>35</v>
      </c>
      <c r="G1110" t="s">
        <v>35</v>
      </c>
      <c r="H1110" t="s">
        <v>35</v>
      </c>
      <c r="J1110" t="s">
        <v>1694</v>
      </c>
      <c r="K1110" t="s">
        <v>1092</v>
      </c>
      <c r="M1110">
        <v>3</v>
      </c>
      <c r="N1110">
        <v>173</v>
      </c>
      <c r="O1110" t="s">
        <v>38</v>
      </c>
      <c r="Q1110" t="s">
        <v>1345</v>
      </c>
      <c r="R1110" t="s">
        <v>1346</v>
      </c>
      <c r="S1110" t="s">
        <v>1347</v>
      </c>
    </row>
    <row r="1111" spans="1:19" x14ac:dyDescent="0.25">
      <c r="A1111" t="s">
        <v>59</v>
      </c>
      <c r="B1111" t="s">
        <v>31</v>
      </c>
      <c r="C1111" t="s">
        <v>32</v>
      </c>
      <c r="D1111" t="s">
        <v>33</v>
      </c>
      <c r="E1111" t="s">
        <v>122</v>
      </c>
      <c r="F1111" t="s">
        <v>35</v>
      </c>
      <c r="G1111" t="s">
        <v>35</v>
      </c>
      <c r="H1111" t="s">
        <v>35</v>
      </c>
      <c r="J1111" t="s">
        <v>1695</v>
      </c>
      <c r="K1111" t="s">
        <v>1092</v>
      </c>
      <c r="M1111">
        <v>0.58499999999999996</v>
      </c>
      <c r="N1111">
        <v>139</v>
      </c>
      <c r="O1111" t="s">
        <v>38</v>
      </c>
      <c r="Q1111" t="s">
        <v>1696</v>
      </c>
      <c r="R1111" t="s">
        <v>169</v>
      </c>
      <c r="S1111" t="s">
        <v>123</v>
      </c>
    </row>
    <row r="1112" spans="1:19" x14ac:dyDescent="0.25">
      <c r="A1112" t="s">
        <v>59</v>
      </c>
      <c r="B1112" t="s">
        <v>60</v>
      </c>
      <c r="C1112" t="s">
        <v>32</v>
      </c>
      <c r="D1112" t="s">
        <v>33</v>
      </c>
      <c r="E1112" t="s">
        <v>122</v>
      </c>
      <c r="F1112" t="s">
        <v>35</v>
      </c>
      <c r="G1112" t="s">
        <v>35</v>
      </c>
      <c r="H1112" t="s">
        <v>35</v>
      </c>
      <c r="J1112" t="s">
        <v>1697</v>
      </c>
      <c r="K1112" t="s">
        <v>1092</v>
      </c>
      <c r="M1112">
        <v>0.2</v>
      </c>
      <c r="N1112">
        <v>403</v>
      </c>
      <c r="O1112" t="s">
        <v>294</v>
      </c>
      <c r="Q1112" t="s">
        <v>1589</v>
      </c>
      <c r="R1112" t="s">
        <v>1664</v>
      </c>
      <c r="S1112" t="s">
        <v>1665</v>
      </c>
    </row>
    <row r="1113" spans="1:19" x14ac:dyDescent="0.25">
      <c r="A1113" t="s">
        <v>44</v>
      </c>
      <c r="B1113" t="s">
        <v>3</v>
      </c>
      <c r="C1113" t="s">
        <v>32</v>
      </c>
      <c r="D1113" t="s">
        <v>33</v>
      </c>
      <c r="E1113" t="s">
        <v>122</v>
      </c>
      <c r="F1113" t="s">
        <v>35</v>
      </c>
      <c r="G1113" t="s">
        <v>35</v>
      </c>
      <c r="H1113" t="s">
        <v>35</v>
      </c>
      <c r="J1113" t="s">
        <v>1698</v>
      </c>
      <c r="K1113" t="s">
        <v>1092</v>
      </c>
      <c r="M1113">
        <v>3.05</v>
      </c>
      <c r="N1113">
        <v>68</v>
      </c>
      <c r="O1113" t="s">
        <v>61</v>
      </c>
      <c r="Q1113" t="s">
        <v>146</v>
      </c>
      <c r="R1113" t="s">
        <v>103</v>
      </c>
      <c r="S1113" t="s">
        <v>104</v>
      </c>
    </row>
    <row r="1114" spans="1:19" x14ac:dyDescent="0.25">
      <c r="A1114" t="s">
        <v>30</v>
      </c>
      <c r="B1114" t="s">
        <v>31</v>
      </c>
      <c r="C1114" t="s">
        <v>32</v>
      </c>
      <c r="D1114" t="s">
        <v>33</v>
      </c>
      <c r="E1114" t="s">
        <v>122</v>
      </c>
      <c r="F1114" t="s">
        <v>35</v>
      </c>
      <c r="G1114" t="s">
        <v>35</v>
      </c>
      <c r="H1114" t="s">
        <v>35</v>
      </c>
      <c r="J1114" t="s">
        <v>1698</v>
      </c>
      <c r="K1114" t="s">
        <v>1092</v>
      </c>
      <c r="M1114">
        <v>9.99</v>
      </c>
      <c r="N1114">
        <v>16</v>
      </c>
      <c r="O1114" t="s">
        <v>46</v>
      </c>
      <c r="Q1114" t="s">
        <v>323</v>
      </c>
      <c r="R1114" t="s">
        <v>103</v>
      </c>
      <c r="S1114" t="s">
        <v>104</v>
      </c>
    </row>
    <row r="1115" spans="1:19" x14ac:dyDescent="0.25">
      <c r="A1115" t="s">
        <v>30</v>
      </c>
      <c r="B1115" t="s">
        <v>31</v>
      </c>
      <c r="C1115" t="s">
        <v>32</v>
      </c>
      <c r="D1115" t="s">
        <v>33</v>
      </c>
      <c r="E1115" t="s">
        <v>122</v>
      </c>
      <c r="F1115" t="s">
        <v>35</v>
      </c>
      <c r="G1115" t="s">
        <v>35</v>
      </c>
      <c r="H1115" t="s">
        <v>35</v>
      </c>
      <c r="J1115" t="s">
        <v>1698</v>
      </c>
      <c r="K1115" t="s">
        <v>1092</v>
      </c>
      <c r="M1115">
        <v>2.3849999999999998</v>
      </c>
      <c r="N1115">
        <v>19</v>
      </c>
      <c r="O1115" t="s">
        <v>46</v>
      </c>
      <c r="Q1115" t="s">
        <v>1192</v>
      </c>
      <c r="R1115" t="s">
        <v>193</v>
      </c>
      <c r="S1115" t="s">
        <v>181</v>
      </c>
    </row>
    <row r="1116" spans="1:19" x14ac:dyDescent="0.25">
      <c r="A1116" t="s">
        <v>44</v>
      </c>
      <c r="B1116" t="s">
        <v>3</v>
      </c>
      <c r="C1116" t="s">
        <v>32</v>
      </c>
      <c r="D1116" t="s">
        <v>33</v>
      </c>
      <c r="E1116" t="s">
        <v>122</v>
      </c>
      <c r="F1116" t="s">
        <v>35</v>
      </c>
      <c r="G1116" t="s">
        <v>35</v>
      </c>
      <c r="H1116" t="s">
        <v>35</v>
      </c>
      <c r="J1116" t="s">
        <v>1699</v>
      </c>
      <c r="K1116" t="s">
        <v>1092</v>
      </c>
      <c r="M1116">
        <v>2</v>
      </c>
      <c r="N1116">
        <v>59</v>
      </c>
      <c r="O1116" t="s">
        <v>52</v>
      </c>
      <c r="Q1116" t="s">
        <v>84</v>
      </c>
      <c r="R1116" t="s">
        <v>1700</v>
      </c>
      <c r="S1116" t="s">
        <v>174</v>
      </c>
    </row>
    <row r="1117" spans="1:19" x14ac:dyDescent="0.25">
      <c r="A1117" t="s">
        <v>44</v>
      </c>
      <c r="B1117" t="s">
        <v>51</v>
      </c>
      <c r="C1117" t="s">
        <v>32</v>
      </c>
      <c r="D1117" t="s">
        <v>33</v>
      </c>
      <c r="E1117" t="s">
        <v>122</v>
      </c>
      <c r="F1117" t="s">
        <v>35</v>
      </c>
      <c r="G1117" t="s">
        <v>35</v>
      </c>
      <c r="H1117" t="s">
        <v>35</v>
      </c>
      <c r="J1117" t="s">
        <v>1701</v>
      </c>
      <c r="K1117" t="s">
        <v>1092</v>
      </c>
      <c r="M1117">
        <v>5</v>
      </c>
      <c r="N1117">
        <v>28</v>
      </c>
      <c r="O1117" t="s">
        <v>46</v>
      </c>
      <c r="Q1117" t="s">
        <v>176</v>
      </c>
      <c r="R1117" t="s">
        <v>85</v>
      </c>
      <c r="S1117" t="s">
        <v>86</v>
      </c>
    </row>
    <row r="1118" spans="1:19" x14ac:dyDescent="0.25">
      <c r="A1118" t="s">
        <v>30</v>
      </c>
      <c r="B1118" t="s">
        <v>31</v>
      </c>
      <c r="C1118" t="s">
        <v>32</v>
      </c>
      <c r="D1118" t="s">
        <v>33</v>
      </c>
      <c r="E1118" t="s">
        <v>122</v>
      </c>
      <c r="F1118" t="s">
        <v>35</v>
      </c>
      <c r="G1118" t="s">
        <v>35</v>
      </c>
      <c r="H1118" t="s">
        <v>35</v>
      </c>
      <c r="J1118" t="s">
        <v>1702</v>
      </c>
      <c r="K1118" t="s">
        <v>1092</v>
      </c>
      <c r="M1118">
        <v>4.9950000000000001</v>
      </c>
      <c r="N1118">
        <v>17</v>
      </c>
      <c r="O1118" t="s">
        <v>46</v>
      </c>
      <c r="Q1118" t="s">
        <v>1302</v>
      </c>
      <c r="R1118" t="s">
        <v>85</v>
      </c>
      <c r="S1118" t="s">
        <v>86</v>
      </c>
    </row>
    <row r="1119" spans="1:19" x14ac:dyDescent="0.25">
      <c r="A1119" t="s">
        <v>30</v>
      </c>
      <c r="B1119" t="s">
        <v>31</v>
      </c>
      <c r="C1119" t="s">
        <v>32</v>
      </c>
      <c r="D1119" t="s">
        <v>33</v>
      </c>
      <c r="E1119" t="s">
        <v>122</v>
      </c>
      <c r="F1119" t="s">
        <v>35</v>
      </c>
      <c r="G1119" t="s">
        <v>35</v>
      </c>
      <c r="H1119" t="s">
        <v>35</v>
      </c>
      <c r="J1119" t="s">
        <v>1703</v>
      </c>
      <c r="K1119" t="s">
        <v>1092</v>
      </c>
      <c r="M1119">
        <v>5.49</v>
      </c>
      <c r="N1119">
        <v>46</v>
      </c>
      <c r="O1119" t="s">
        <v>52</v>
      </c>
      <c r="Q1119" t="s">
        <v>493</v>
      </c>
      <c r="R1119" t="s">
        <v>85</v>
      </c>
      <c r="S1119" t="s">
        <v>86</v>
      </c>
    </row>
    <row r="1120" spans="1:19" x14ac:dyDescent="0.25">
      <c r="A1120" t="s">
        <v>30</v>
      </c>
      <c r="B1120" t="s">
        <v>31</v>
      </c>
      <c r="C1120" t="s">
        <v>32</v>
      </c>
      <c r="D1120" t="s">
        <v>33</v>
      </c>
      <c r="E1120" t="s">
        <v>122</v>
      </c>
      <c r="F1120" t="s">
        <v>35</v>
      </c>
      <c r="G1120" t="s">
        <v>35</v>
      </c>
      <c r="H1120" t="s">
        <v>35</v>
      </c>
      <c r="J1120" t="s">
        <v>1704</v>
      </c>
      <c r="K1120" t="s">
        <v>1092</v>
      </c>
      <c r="M1120">
        <v>4.41</v>
      </c>
      <c r="N1120">
        <v>46</v>
      </c>
      <c r="O1120" t="s">
        <v>52</v>
      </c>
      <c r="Q1120" t="s">
        <v>493</v>
      </c>
      <c r="R1120" t="s">
        <v>85</v>
      </c>
      <c r="S1120" t="s">
        <v>86</v>
      </c>
    </row>
    <row r="1121" spans="1:19" x14ac:dyDescent="0.25">
      <c r="A1121" t="s">
        <v>59</v>
      </c>
      <c r="B1121" t="s">
        <v>31</v>
      </c>
      <c r="C1121" t="s">
        <v>32</v>
      </c>
      <c r="D1121" t="s">
        <v>33</v>
      </c>
      <c r="E1121" t="s">
        <v>122</v>
      </c>
      <c r="F1121" t="s">
        <v>35</v>
      </c>
      <c r="G1121" t="s">
        <v>35</v>
      </c>
      <c r="H1121" t="s">
        <v>35</v>
      </c>
      <c r="J1121" t="s">
        <v>1705</v>
      </c>
      <c r="K1121" t="s">
        <v>1092</v>
      </c>
      <c r="M1121">
        <v>5.085</v>
      </c>
      <c r="N1121">
        <v>100</v>
      </c>
      <c r="O1121" t="s">
        <v>106</v>
      </c>
      <c r="Q1121" t="s">
        <v>1112</v>
      </c>
      <c r="R1121" t="s">
        <v>1331</v>
      </c>
      <c r="S1121" t="s">
        <v>1332</v>
      </c>
    </row>
    <row r="1122" spans="1:19" x14ac:dyDescent="0.25">
      <c r="A1122" t="s">
        <v>59</v>
      </c>
      <c r="B1122" t="s">
        <v>60</v>
      </c>
      <c r="C1122" t="s">
        <v>32</v>
      </c>
      <c r="D1122" t="s">
        <v>33</v>
      </c>
      <c r="E1122" t="s">
        <v>122</v>
      </c>
      <c r="F1122" t="s">
        <v>35</v>
      </c>
      <c r="G1122" t="s">
        <v>35</v>
      </c>
      <c r="H1122" t="s">
        <v>35</v>
      </c>
      <c r="J1122" t="s">
        <v>1705</v>
      </c>
      <c r="K1122" t="s">
        <v>1092</v>
      </c>
      <c r="M1122">
        <v>11</v>
      </c>
      <c r="N1122">
        <v>100</v>
      </c>
      <c r="O1122" t="s">
        <v>106</v>
      </c>
      <c r="Q1122" t="s">
        <v>1112</v>
      </c>
      <c r="R1122" t="s">
        <v>1331</v>
      </c>
      <c r="S1122" t="s">
        <v>1332</v>
      </c>
    </row>
    <row r="1123" spans="1:19" x14ac:dyDescent="0.25">
      <c r="A1123" t="s">
        <v>59</v>
      </c>
      <c r="B1123" t="s">
        <v>31</v>
      </c>
      <c r="C1123" t="s">
        <v>32</v>
      </c>
      <c r="D1123" t="s">
        <v>33</v>
      </c>
      <c r="E1123" t="s">
        <v>122</v>
      </c>
      <c r="F1123" t="s">
        <v>35</v>
      </c>
      <c r="G1123" t="s">
        <v>35</v>
      </c>
      <c r="H1123" t="s">
        <v>35</v>
      </c>
      <c r="J1123" t="s">
        <v>1705</v>
      </c>
      <c r="K1123" t="s">
        <v>1092</v>
      </c>
      <c r="M1123">
        <v>4.9950000000000001</v>
      </c>
      <c r="N1123">
        <v>61</v>
      </c>
      <c r="O1123" t="s">
        <v>61</v>
      </c>
      <c r="Q1123" t="s">
        <v>671</v>
      </c>
      <c r="R1123" t="s">
        <v>1331</v>
      </c>
      <c r="S1123" t="s">
        <v>1332</v>
      </c>
    </row>
    <row r="1124" spans="1:19" x14ac:dyDescent="0.25">
      <c r="A1124" t="s">
        <v>44</v>
      </c>
      <c r="B1124" t="s">
        <v>3</v>
      </c>
      <c r="C1124" t="s">
        <v>32</v>
      </c>
      <c r="D1124" t="s">
        <v>33</v>
      </c>
      <c r="E1124" t="s">
        <v>122</v>
      </c>
      <c r="F1124" t="s">
        <v>35</v>
      </c>
      <c r="G1124" t="s">
        <v>35</v>
      </c>
      <c r="H1124" t="s">
        <v>35</v>
      </c>
      <c r="J1124" t="s">
        <v>1705</v>
      </c>
      <c r="K1124" t="s">
        <v>1092</v>
      </c>
      <c r="M1124">
        <v>4.2</v>
      </c>
      <c r="N1124">
        <v>68</v>
      </c>
      <c r="O1124" t="s">
        <v>61</v>
      </c>
      <c r="Q1124" t="s">
        <v>146</v>
      </c>
      <c r="R1124" t="s">
        <v>199</v>
      </c>
      <c r="S1124" t="s">
        <v>200</v>
      </c>
    </row>
    <row r="1125" spans="1:19" x14ac:dyDescent="0.25">
      <c r="A1125" t="s">
        <v>59</v>
      </c>
      <c r="B1125" t="s">
        <v>60</v>
      </c>
      <c r="C1125" t="s">
        <v>32</v>
      </c>
      <c r="D1125" t="s">
        <v>33</v>
      </c>
      <c r="E1125" t="s">
        <v>122</v>
      </c>
      <c r="F1125" t="s">
        <v>35</v>
      </c>
      <c r="G1125" t="s">
        <v>35</v>
      </c>
      <c r="H1125" t="s">
        <v>35</v>
      </c>
      <c r="J1125" t="s">
        <v>1705</v>
      </c>
      <c r="K1125" t="s">
        <v>1092</v>
      </c>
      <c r="M1125">
        <v>22</v>
      </c>
      <c r="N1125">
        <v>88</v>
      </c>
      <c r="O1125" t="s">
        <v>61</v>
      </c>
      <c r="Q1125" t="s">
        <v>858</v>
      </c>
      <c r="R1125" t="s">
        <v>169</v>
      </c>
      <c r="S1125" t="s">
        <v>123</v>
      </c>
    </row>
    <row r="1126" spans="1:19" x14ac:dyDescent="0.25">
      <c r="A1126" t="s">
        <v>59</v>
      </c>
      <c r="B1126" t="s">
        <v>60</v>
      </c>
      <c r="C1126" t="s">
        <v>32</v>
      </c>
      <c r="D1126" t="s">
        <v>33</v>
      </c>
      <c r="E1126" t="s">
        <v>122</v>
      </c>
      <c r="F1126" t="s">
        <v>35</v>
      </c>
      <c r="G1126" t="s">
        <v>35</v>
      </c>
      <c r="H1126" t="s">
        <v>35</v>
      </c>
      <c r="J1126" t="s">
        <v>1705</v>
      </c>
      <c r="K1126" t="s">
        <v>1092</v>
      </c>
      <c r="M1126">
        <v>8</v>
      </c>
      <c r="N1126">
        <v>174</v>
      </c>
      <c r="O1126" t="s">
        <v>38</v>
      </c>
      <c r="Q1126" t="s">
        <v>1565</v>
      </c>
      <c r="R1126" t="s">
        <v>169</v>
      </c>
      <c r="S1126" t="s">
        <v>123</v>
      </c>
    </row>
    <row r="1127" spans="1:19" x14ac:dyDescent="0.25">
      <c r="A1127" t="s">
        <v>30</v>
      </c>
      <c r="B1127" t="s">
        <v>31</v>
      </c>
      <c r="C1127" t="s">
        <v>32</v>
      </c>
      <c r="D1127" t="s">
        <v>33</v>
      </c>
      <c r="E1127" t="s">
        <v>122</v>
      </c>
      <c r="F1127" t="s">
        <v>35</v>
      </c>
      <c r="G1127" t="s">
        <v>35</v>
      </c>
      <c r="H1127" t="s">
        <v>35</v>
      </c>
      <c r="J1127" t="s">
        <v>1705</v>
      </c>
      <c r="K1127" t="s">
        <v>1092</v>
      </c>
      <c r="M1127">
        <v>32.94</v>
      </c>
      <c r="N1127">
        <v>47</v>
      </c>
      <c r="O1127" t="s">
        <v>52</v>
      </c>
      <c r="Q1127" t="s">
        <v>132</v>
      </c>
      <c r="R1127" t="s">
        <v>199</v>
      </c>
      <c r="S1127" t="s">
        <v>200</v>
      </c>
    </row>
    <row r="1128" spans="1:19" x14ac:dyDescent="0.25">
      <c r="A1128" t="s">
        <v>59</v>
      </c>
      <c r="B1128" t="s">
        <v>60</v>
      </c>
      <c r="C1128" t="s">
        <v>32</v>
      </c>
      <c r="D1128" t="s">
        <v>33</v>
      </c>
      <c r="E1128" t="s">
        <v>122</v>
      </c>
      <c r="F1128" t="s">
        <v>35</v>
      </c>
      <c r="G1128" t="s">
        <v>35</v>
      </c>
      <c r="H1128" t="s">
        <v>35</v>
      </c>
      <c r="J1128" t="s">
        <v>1705</v>
      </c>
      <c r="K1128" t="s">
        <v>1092</v>
      </c>
      <c r="M1128">
        <v>38.5</v>
      </c>
      <c r="N1128">
        <v>73</v>
      </c>
      <c r="O1128" t="s">
        <v>61</v>
      </c>
      <c r="Q1128" t="s">
        <v>552</v>
      </c>
      <c r="R1128" t="s">
        <v>199</v>
      </c>
      <c r="S1128" t="s">
        <v>200</v>
      </c>
    </row>
    <row r="1129" spans="1:19" x14ac:dyDescent="0.25">
      <c r="A1129" t="s">
        <v>59</v>
      </c>
      <c r="B1129" t="s">
        <v>60</v>
      </c>
      <c r="C1129" t="s">
        <v>32</v>
      </c>
      <c r="D1129" t="s">
        <v>33</v>
      </c>
      <c r="E1129" t="s">
        <v>122</v>
      </c>
      <c r="F1129" t="s">
        <v>35</v>
      </c>
      <c r="G1129" t="s">
        <v>35</v>
      </c>
      <c r="H1129" t="s">
        <v>35</v>
      </c>
      <c r="J1129" t="s">
        <v>1706</v>
      </c>
      <c r="K1129" t="s">
        <v>1092</v>
      </c>
      <c r="M1129">
        <v>0.85</v>
      </c>
      <c r="N1129">
        <v>399</v>
      </c>
      <c r="O1129" t="s">
        <v>294</v>
      </c>
      <c r="Q1129" t="s">
        <v>1707</v>
      </c>
      <c r="R1129" t="s">
        <v>193</v>
      </c>
      <c r="S1129" t="s">
        <v>181</v>
      </c>
    </row>
    <row r="1130" spans="1:19" x14ac:dyDescent="0.25">
      <c r="A1130" t="s">
        <v>59</v>
      </c>
      <c r="B1130" t="s">
        <v>31</v>
      </c>
      <c r="C1130" t="s">
        <v>32</v>
      </c>
      <c r="D1130" t="s">
        <v>33</v>
      </c>
      <c r="E1130" t="s">
        <v>122</v>
      </c>
      <c r="F1130" t="s">
        <v>35</v>
      </c>
      <c r="G1130" t="s">
        <v>35</v>
      </c>
      <c r="H1130" t="s">
        <v>35</v>
      </c>
      <c r="J1130" t="s">
        <v>1706</v>
      </c>
      <c r="K1130" t="s">
        <v>1092</v>
      </c>
      <c r="M1130">
        <v>3.78</v>
      </c>
      <c r="N1130">
        <v>72</v>
      </c>
      <c r="O1130" t="s">
        <v>61</v>
      </c>
      <c r="Q1130" t="s">
        <v>63</v>
      </c>
      <c r="R1130" t="s">
        <v>193</v>
      </c>
      <c r="S1130" t="s">
        <v>181</v>
      </c>
    </row>
    <row r="1131" spans="1:19" x14ac:dyDescent="0.25">
      <c r="A1131" t="s">
        <v>30</v>
      </c>
      <c r="B1131" t="s">
        <v>31</v>
      </c>
      <c r="C1131" t="s">
        <v>32</v>
      </c>
      <c r="D1131" t="s">
        <v>33</v>
      </c>
      <c r="E1131" t="s">
        <v>122</v>
      </c>
      <c r="F1131" t="s">
        <v>35</v>
      </c>
      <c r="G1131" t="s">
        <v>35</v>
      </c>
      <c r="H1131" t="s">
        <v>35</v>
      </c>
      <c r="J1131" t="s">
        <v>1706</v>
      </c>
      <c r="K1131" t="s">
        <v>1092</v>
      </c>
      <c r="M1131">
        <v>9.99</v>
      </c>
      <c r="N1131">
        <v>19</v>
      </c>
      <c r="O1131" t="s">
        <v>46</v>
      </c>
      <c r="Q1131" t="s">
        <v>1192</v>
      </c>
      <c r="R1131" t="s">
        <v>193</v>
      </c>
      <c r="S1131" t="s">
        <v>181</v>
      </c>
    </row>
    <row r="1132" spans="1:19" x14ac:dyDescent="0.25">
      <c r="A1132" t="s">
        <v>44</v>
      </c>
      <c r="B1132" t="s">
        <v>51</v>
      </c>
      <c r="C1132" t="s">
        <v>32</v>
      </c>
      <c r="D1132" t="s">
        <v>33</v>
      </c>
      <c r="E1132" t="s">
        <v>122</v>
      </c>
      <c r="F1132" t="s">
        <v>35</v>
      </c>
      <c r="G1132" t="s">
        <v>35</v>
      </c>
      <c r="H1132" t="s">
        <v>35</v>
      </c>
      <c r="J1132" t="s">
        <v>1708</v>
      </c>
      <c r="K1132" t="s">
        <v>1092</v>
      </c>
      <c r="M1132">
        <v>2.38</v>
      </c>
      <c r="N1132">
        <v>2</v>
      </c>
      <c r="O1132" t="s">
        <v>46</v>
      </c>
      <c r="Q1132" t="s">
        <v>8155</v>
      </c>
      <c r="R1132" t="s">
        <v>1341</v>
      </c>
      <c r="S1132" t="s">
        <v>1342</v>
      </c>
    </row>
    <row r="1133" spans="1:19" x14ac:dyDescent="0.25">
      <c r="A1133" t="s">
        <v>59</v>
      </c>
      <c r="B1133" t="s">
        <v>60</v>
      </c>
      <c r="C1133" t="s">
        <v>32</v>
      </c>
      <c r="D1133" t="s">
        <v>33</v>
      </c>
      <c r="E1133" t="s">
        <v>122</v>
      </c>
      <c r="F1133" t="s">
        <v>35</v>
      </c>
      <c r="G1133" t="s">
        <v>35</v>
      </c>
      <c r="H1133" t="s">
        <v>35</v>
      </c>
      <c r="J1133" t="s">
        <v>1708</v>
      </c>
      <c r="K1133" t="s">
        <v>1092</v>
      </c>
      <c r="M1133">
        <v>1.9550000000000001</v>
      </c>
      <c r="N1133">
        <v>75</v>
      </c>
      <c r="O1133" t="s">
        <v>61</v>
      </c>
      <c r="Q1133" t="s">
        <v>805</v>
      </c>
      <c r="R1133" t="s">
        <v>199</v>
      </c>
      <c r="S1133" t="s">
        <v>200</v>
      </c>
    </row>
    <row r="1134" spans="1:19" x14ac:dyDescent="0.25">
      <c r="A1134" t="s">
        <v>30</v>
      </c>
      <c r="B1134" t="s">
        <v>31</v>
      </c>
      <c r="C1134" t="s">
        <v>32</v>
      </c>
      <c r="D1134" t="s">
        <v>33</v>
      </c>
      <c r="E1134" t="s">
        <v>122</v>
      </c>
      <c r="F1134" t="s">
        <v>35</v>
      </c>
      <c r="G1134" t="s">
        <v>35</v>
      </c>
      <c r="H1134" t="s">
        <v>35</v>
      </c>
      <c r="J1134" t="s">
        <v>1709</v>
      </c>
      <c r="K1134" t="s">
        <v>1092</v>
      </c>
      <c r="M1134">
        <v>5.49</v>
      </c>
      <c r="N1134">
        <v>76</v>
      </c>
      <c r="O1134" t="s">
        <v>61</v>
      </c>
      <c r="Q1134" t="s">
        <v>234</v>
      </c>
      <c r="R1134" t="s">
        <v>103</v>
      </c>
      <c r="S1134" t="s">
        <v>104</v>
      </c>
    </row>
    <row r="1135" spans="1:19" x14ac:dyDescent="0.25">
      <c r="A1135" t="s">
        <v>30</v>
      </c>
      <c r="B1135" t="s">
        <v>31</v>
      </c>
      <c r="C1135" t="s">
        <v>32</v>
      </c>
      <c r="D1135" t="s">
        <v>33</v>
      </c>
      <c r="E1135" t="s">
        <v>122</v>
      </c>
      <c r="F1135" t="s">
        <v>35</v>
      </c>
      <c r="G1135" t="s">
        <v>35</v>
      </c>
      <c r="H1135" t="s">
        <v>35</v>
      </c>
      <c r="J1135" t="s">
        <v>1662</v>
      </c>
      <c r="K1135" t="s">
        <v>1092</v>
      </c>
      <c r="M1135">
        <v>0.22500000000000001</v>
      </c>
      <c r="N1135">
        <v>251</v>
      </c>
      <c r="O1135" t="s">
        <v>5</v>
      </c>
      <c r="Q1135" t="s">
        <v>1688</v>
      </c>
      <c r="R1135" t="s">
        <v>193</v>
      </c>
      <c r="S1135" t="s">
        <v>181</v>
      </c>
    </row>
    <row r="1136" spans="1:19" x14ac:dyDescent="0.25">
      <c r="A1136" t="s">
        <v>59</v>
      </c>
      <c r="B1136" t="s">
        <v>60</v>
      </c>
      <c r="C1136" t="s">
        <v>32</v>
      </c>
      <c r="D1136" t="s">
        <v>33</v>
      </c>
      <c r="E1136" t="s">
        <v>122</v>
      </c>
      <c r="F1136" t="s">
        <v>35</v>
      </c>
      <c r="G1136" t="s">
        <v>35</v>
      </c>
      <c r="H1136" t="s">
        <v>35</v>
      </c>
      <c r="J1136" t="s">
        <v>1662</v>
      </c>
      <c r="K1136" t="s">
        <v>1092</v>
      </c>
      <c r="M1136">
        <v>1</v>
      </c>
      <c r="N1136">
        <v>285</v>
      </c>
      <c r="O1136" t="s">
        <v>5</v>
      </c>
      <c r="Q1136" t="s">
        <v>1687</v>
      </c>
      <c r="R1136" t="s">
        <v>193</v>
      </c>
      <c r="S1136" t="s">
        <v>181</v>
      </c>
    </row>
    <row r="1137" spans="1:19" x14ac:dyDescent="0.25">
      <c r="A1137" t="s">
        <v>59</v>
      </c>
      <c r="B1137" t="s">
        <v>60</v>
      </c>
      <c r="C1137" t="s">
        <v>32</v>
      </c>
      <c r="D1137" t="s">
        <v>33</v>
      </c>
      <c r="E1137" t="s">
        <v>122</v>
      </c>
      <c r="F1137" t="s">
        <v>35</v>
      </c>
      <c r="G1137" t="s">
        <v>35</v>
      </c>
      <c r="H1137" t="s">
        <v>35</v>
      </c>
      <c r="J1137" t="s">
        <v>1710</v>
      </c>
      <c r="K1137" t="s">
        <v>1092</v>
      </c>
      <c r="M1137">
        <v>0.1</v>
      </c>
      <c r="N1137">
        <v>395</v>
      </c>
      <c r="O1137" t="s">
        <v>294</v>
      </c>
      <c r="Q1137" t="s">
        <v>1713</v>
      </c>
      <c r="R1137" t="s">
        <v>193</v>
      </c>
      <c r="S1137" t="s">
        <v>181</v>
      </c>
    </row>
    <row r="1138" spans="1:19" x14ac:dyDescent="0.25">
      <c r="A1138" t="s">
        <v>59</v>
      </c>
      <c r="B1138" t="s">
        <v>60</v>
      </c>
      <c r="C1138" t="s">
        <v>32</v>
      </c>
      <c r="D1138" t="s">
        <v>33</v>
      </c>
      <c r="E1138" t="s">
        <v>122</v>
      </c>
      <c r="F1138" t="s">
        <v>35</v>
      </c>
      <c r="G1138" t="s">
        <v>35</v>
      </c>
      <c r="H1138" t="s">
        <v>35</v>
      </c>
      <c r="J1138" t="s">
        <v>1710</v>
      </c>
      <c r="K1138" t="s">
        <v>1092</v>
      </c>
      <c r="M1138">
        <v>1.5</v>
      </c>
      <c r="N1138">
        <v>245</v>
      </c>
      <c r="O1138" t="s">
        <v>5</v>
      </c>
      <c r="Q1138" t="s">
        <v>111</v>
      </c>
      <c r="R1138" t="s">
        <v>193</v>
      </c>
      <c r="S1138" t="s">
        <v>181</v>
      </c>
    </row>
    <row r="1139" spans="1:19" x14ac:dyDescent="0.25">
      <c r="A1139" t="s">
        <v>59</v>
      </c>
      <c r="B1139" t="s">
        <v>60</v>
      </c>
      <c r="C1139" t="s">
        <v>32</v>
      </c>
      <c r="D1139" t="s">
        <v>33</v>
      </c>
      <c r="E1139" t="s">
        <v>122</v>
      </c>
      <c r="F1139" t="s">
        <v>35</v>
      </c>
      <c r="G1139" t="s">
        <v>35</v>
      </c>
      <c r="H1139" t="s">
        <v>35</v>
      </c>
      <c r="J1139" t="s">
        <v>1710</v>
      </c>
      <c r="K1139" t="s">
        <v>1092</v>
      </c>
      <c r="M1139">
        <v>1.75</v>
      </c>
      <c r="N1139">
        <v>175</v>
      </c>
      <c r="O1139" t="s">
        <v>38</v>
      </c>
      <c r="Q1139" t="s">
        <v>1692</v>
      </c>
      <c r="R1139" t="s">
        <v>193</v>
      </c>
      <c r="S1139" t="s">
        <v>181</v>
      </c>
    </row>
    <row r="1140" spans="1:19" x14ac:dyDescent="0.25">
      <c r="A1140" t="s">
        <v>59</v>
      </c>
      <c r="B1140" t="s">
        <v>60</v>
      </c>
      <c r="C1140" t="s">
        <v>32</v>
      </c>
      <c r="D1140" t="s">
        <v>33</v>
      </c>
      <c r="E1140" t="s">
        <v>122</v>
      </c>
      <c r="F1140" t="s">
        <v>35</v>
      </c>
      <c r="G1140" t="s">
        <v>35</v>
      </c>
      <c r="H1140" t="s">
        <v>35</v>
      </c>
      <c r="J1140" t="s">
        <v>1710</v>
      </c>
      <c r="K1140" t="s">
        <v>1092</v>
      </c>
      <c r="M1140">
        <v>3</v>
      </c>
      <c r="N1140">
        <v>212</v>
      </c>
      <c r="O1140" t="s">
        <v>5</v>
      </c>
      <c r="Q1140" t="s">
        <v>1711</v>
      </c>
      <c r="R1140" t="s">
        <v>103</v>
      </c>
      <c r="S1140" t="s">
        <v>104</v>
      </c>
    </row>
    <row r="1141" spans="1:19" x14ac:dyDescent="0.25">
      <c r="A1141" t="s">
        <v>30</v>
      </c>
      <c r="B1141" t="s">
        <v>31</v>
      </c>
      <c r="C1141" t="s">
        <v>32</v>
      </c>
      <c r="D1141" t="s">
        <v>33</v>
      </c>
      <c r="E1141" t="s">
        <v>122</v>
      </c>
      <c r="F1141" t="s">
        <v>35</v>
      </c>
      <c r="G1141" t="s">
        <v>35</v>
      </c>
      <c r="H1141" t="s">
        <v>35</v>
      </c>
      <c r="J1141" t="s">
        <v>1710</v>
      </c>
      <c r="K1141" t="s">
        <v>1092</v>
      </c>
      <c r="M1141">
        <v>0.26100000000000001</v>
      </c>
      <c r="N1141">
        <v>149</v>
      </c>
      <c r="O1141" t="s">
        <v>38</v>
      </c>
      <c r="Q1141" t="s">
        <v>73</v>
      </c>
      <c r="R1141" t="s">
        <v>199</v>
      </c>
      <c r="S1141" t="s">
        <v>200</v>
      </c>
    </row>
    <row r="1142" spans="1:19" x14ac:dyDescent="0.25">
      <c r="A1142" t="s">
        <v>59</v>
      </c>
      <c r="B1142" t="s">
        <v>31</v>
      </c>
      <c r="C1142" t="s">
        <v>32</v>
      </c>
      <c r="D1142" t="s">
        <v>33</v>
      </c>
      <c r="E1142" t="s">
        <v>122</v>
      </c>
      <c r="F1142" t="s">
        <v>35</v>
      </c>
      <c r="G1142" t="s">
        <v>35</v>
      </c>
      <c r="H1142" t="s">
        <v>35</v>
      </c>
      <c r="J1142" t="s">
        <v>1710</v>
      </c>
      <c r="K1142" t="s">
        <v>1092</v>
      </c>
      <c r="M1142">
        <v>0.09</v>
      </c>
      <c r="N1142">
        <v>430</v>
      </c>
      <c r="O1142" t="s">
        <v>294</v>
      </c>
      <c r="Q1142" t="s">
        <v>1712</v>
      </c>
      <c r="R1142" t="s">
        <v>193</v>
      </c>
      <c r="S1142" t="s">
        <v>181</v>
      </c>
    </row>
    <row r="1143" spans="1:19" x14ac:dyDescent="0.25">
      <c r="A1143" t="s">
        <v>30</v>
      </c>
      <c r="B1143" t="s">
        <v>31</v>
      </c>
      <c r="C1143" t="s">
        <v>32</v>
      </c>
      <c r="D1143" t="s">
        <v>33</v>
      </c>
      <c r="E1143" t="s">
        <v>122</v>
      </c>
      <c r="F1143" t="s">
        <v>35</v>
      </c>
      <c r="G1143" t="s">
        <v>35</v>
      </c>
      <c r="H1143" t="s">
        <v>35</v>
      </c>
      <c r="J1143" t="s">
        <v>1714</v>
      </c>
      <c r="K1143" t="s">
        <v>1092</v>
      </c>
      <c r="M1143">
        <v>1.35</v>
      </c>
      <c r="N1143">
        <v>18</v>
      </c>
      <c r="O1143" t="s">
        <v>46</v>
      </c>
      <c r="Q1143" t="s">
        <v>1476</v>
      </c>
      <c r="R1143" t="s">
        <v>147</v>
      </c>
      <c r="S1143" t="s">
        <v>148</v>
      </c>
    </row>
    <row r="1144" spans="1:19" x14ac:dyDescent="0.25">
      <c r="A1144" t="s">
        <v>44</v>
      </c>
      <c r="B1144" t="s">
        <v>3</v>
      </c>
      <c r="C1144" t="s">
        <v>32</v>
      </c>
      <c r="D1144" t="s">
        <v>33</v>
      </c>
      <c r="E1144" t="s">
        <v>122</v>
      </c>
      <c r="F1144" t="s">
        <v>35</v>
      </c>
      <c r="G1144" t="s">
        <v>35</v>
      </c>
      <c r="H1144" t="s">
        <v>35</v>
      </c>
      <c r="J1144" t="s">
        <v>1714</v>
      </c>
      <c r="K1144" t="s">
        <v>1092</v>
      </c>
      <c r="M1144">
        <v>0.15</v>
      </c>
      <c r="N1144">
        <v>66</v>
      </c>
      <c r="O1144" t="s">
        <v>61</v>
      </c>
      <c r="Q1144" t="s">
        <v>203</v>
      </c>
      <c r="R1144" t="s">
        <v>147</v>
      </c>
      <c r="S1144" t="s">
        <v>148</v>
      </c>
    </row>
    <row r="1145" spans="1:19" x14ac:dyDescent="0.25">
      <c r="A1145" t="s">
        <v>59</v>
      </c>
      <c r="B1145" t="s">
        <v>60</v>
      </c>
      <c r="C1145" t="s">
        <v>32</v>
      </c>
      <c r="D1145" t="s">
        <v>33</v>
      </c>
      <c r="E1145" t="s">
        <v>122</v>
      </c>
      <c r="F1145" t="s">
        <v>35</v>
      </c>
      <c r="G1145" t="s">
        <v>35</v>
      </c>
      <c r="H1145" t="s">
        <v>35</v>
      </c>
      <c r="J1145" t="s">
        <v>1715</v>
      </c>
      <c r="K1145" t="s">
        <v>285</v>
      </c>
      <c r="M1145">
        <v>4.3</v>
      </c>
      <c r="N1145">
        <v>100</v>
      </c>
      <c r="O1145" t="s">
        <v>106</v>
      </c>
      <c r="Q1145" t="s">
        <v>1112</v>
      </c>
      <c r="R1145" t="s">
        <v>199</v>
      </c>
      <c r="S1145" t="s">
        <v>200</v>
      </c>
    </row>
    <row r="1146" spans="1:19" x14ac:dyDescent="0.25">
      <c r="A1146" t="s">
        <v>59</v>
      </c>
      <c r="B1146" t="s">
        <v>31</v>
      </c>
      <c r="C1146" t="s">
        <v>32</v>
      </c>
      <c r="D1146" t="s">
        <v>33</v>
      </c>
      <c r="E1146" t="s">
        <v>122</v>
      </c>
      <c r="F1146" t="s">
        <v>35</v>
      </c>
      <c r="G1146" t="s">
        <v>35</v>
      </c>
      <c r="H1146" t="s">
        <v>35</v>
      </c>
      <c r="J1146" t="s">
        <v>1715</v>
      </c>
      <c r="K1146" t="s">
        <v>285</v>
      </c>
      <c r="M1146">
        <v>3.42</v>
      </c>
      <c r="N1146">
        <v>100</v>
      </c>
      <c r="O1146" t="s">
        <v>106</v>
      </c>
      <c r="Q1146" t="s">
        <v>1112</v>
      </c>
      <c r="R1146" t="s">
        <v>199</v>
      </c>
      <c r="S1146" t="s">
        <v>200</v>
      </c>
    </row>
    <row r="1147" spans="1:19" x14ac:dyDescent="0.25">
      <c r="A1147" t="s">
        <v>59</v>
      </c>
      <c r="B1147" t="s">
        <v>60</v>
      </c>
      <c r="C1147" t="s">
        <v>32</v>
      </c>
      <c r="D1147" t="s">
        <v>33</v>
      </c>
      <c r="E1147" t="s">
        <v>122</v>
      </c>
      <c r="F1147" t="s">
        <v>35</v>
      </c>
      <c r="G1147" t="s">
        <v>35</v>
      </c>
      <c r="H1147" t="s">
        <v>35</v>
      </c>
      <c r="J1147" t="s">
        <v>1715</v>
      </c>
      <c r="K1147" t="s">
        <v>285</v>
      </c>
      <c r="M1147">
        <v>11</v>
      </c>
      <c r="N1147">
        <v>75</v>
      </c>
      <c r="O1147" t="s">
        <v>61</v>
      </c>
      <c r="Q1147" t="s">
        <v>805</v>
      </c>
      <c r="R1147" t="s">
        <v>199</v>
      </c>
      <c r="S1147" t="s">
        <v>200</v>
      </c>
    </row>
    <row r="1148" spans="1:19" x14ac:dyDescent="0.25">
      <c r="A1148" t="s">
        <v>44</v>
      </c>
      <c r="B1148" t="s">
        <v>51</v>
      </c>
      <c r="C1148" t="s">
        <v>32</v>
      </c>
      <c r="D1148" t="s">
        <v>33</v>
      </c>
      <c r="E1148" t="s">
        <v>122</v>
      </c>
      <c r="F1148" t="s">
        <v>35</v>
      </c>
      <c r="G1148" t="s">
        <v>35</v>
      </c>
      <c r="H1148" t="s">
        <v>35</v>
      </c>
      <c r="J1148" t="s">
        <v>1716</v>
      </c>
      <c r="K1148" t="s">
        <v>1092</v>
      </c>
      <c r="M1148">
        <v>2.5000000000000001E-2</v>
      </c>
      <c r="N1148">
        <v>279</v>
      </c>
      <c r="O1148" t="s">
        <v>5</v>
      </c>
      <c r="Q1148" t="s">
        <v>1717</v>
      </c>
      <c r="R1148" t="s">
        <v>1718</v>
      </c>
      <c r="S1148" t="s">
        <v>1719</v>
      </c>
    </row>
    <row r="1149" spans="1:19" x14ac:dyDescent="0.25">
      <c r="A1149" t="s">
        <v>59</v>
      </c>
      <c r="B1149" t="s">
        <v>60</v>
      </c>
      <c r="C1149" t="s">
        <v>32</v>
      </c>
      <c r="D1149" t="s">
        <v>33</v>
      </c>
      <c r="E1149" t="s">
        <v>122</v>
      </c>
      <c r="F1149" t="s">
        <v>35</v>
      </c>
      <c r="G1149" t="s">
        <v>35</v>
      </c>
      <c r="H1149" t="s">
        <v>35</v>
      </c>
      <c r="J1149" t="s">
        <v>1716</v>
      </c>
      <c r="K1149" t="s">
        <v>1092</v>
      </c>
      <c r="M1149">
        <v>0.5</v>
      </c>
      <c r="N1149">
        <v>279</v>
      </c>
      <c r="O1149" t="s">
        <v>5</v>
      </c>
      <c r="Q1149" t="s">
        <v>1717</v>
      </c>
      <c r="R1149" t="s">
        <v>1718</v>
      </c>
      <c r="S1149" t="s">
        <v>1719</v>
      </c>
    </row>
    <row r="1150" spans="1:19" x14ac:dyDescent="0.25">
      <c r="A1150" t="s">
        <v>30</v>
      </c>
      <c r="B1150" t="s">
        <v>31</v>
      </c>
      <c r="C1150" t="s">
        <v>32</v>
      </c>
      <c r="D1150" t="s">
        <v>33</v>
      </c>
      <c r="E1150" t="s">
        <v>122</v>
      </c>
      <c r="F1150" t="s">
        <v>35</v>
      </c>
      <c r="G1150" t="s">
        <v>35</v>
      </c>
      <c r="H1150" t="s">
        <v>35</v>
      </c>
      <c r="J1150" t="s">
        <v>1716</v>
      </c>
      <c r="K1150" t="s">
        <v>1092</v>
      </c>
      <c r="M1150">
        <v>9.99</v>
      </c>
      <c r="N1150">
        <v>199</v>
      </c>
      <c r="O1150" t="s">
        <v>5</v>
      </c>
      <c r="Q1150" t="s">
        <v>1720</v>
      </c>
      <c r="R1150" t="s">
        <v>169</v>
      </c>
      <c r="S1150" t="s">
        <v>123</v>
      </c>
    </row>
    <row r="1151" spans="1:19" x14ac:dyDescent="0.25">
      <c r="A1151" t="s">
        <v>59</v>
      </c>
      <c r="B1151" t="s">
        <v>31</v>
      </c>
      <c r="C1151" t="s">
        <v>32</v>
      </c>
      <c r="D1151" t="s">
        <v>33</v>
      </c>
      <c r="E1151" t="s">
        <v>122</v>
      </c>
      <c r="F1151" t="s">
        <v>35</v>
      </c>
      <c r="G1151" t="s">
        <v>35</v>
      </c>
      <c r="H1151" t="s">
        <v>35</v>
      </c>
      <c r="J1151" t="s">
        <v>1716</v>
      </c>
      <c r="K1151" t="s">
        <v>1092</v>
      </c>
      <c r="M1151">
        <v>3.4649999999999999</v>
      </c>
      <c r="N1151">
        <v>264</v>
      </c>
      <c r="O1151" t="s">
        <v>5</v>
      </c>
      <c r="Q1151" t="s">
        <v>1721</v>
      </c>
      <c r="R1151" t="s">
        <v>1718</v>
      </c>
      <c r="S1151" t="s">
        <v>1719</v>
      </c>
    </row>
    <row r="1152" spans="1:19" x14ac:dyDescent="0.25">
      <c r="A1152" t="s">
        <v>44</v>
      </c>
      <c r="B1152" t="s">
        <v>3</v>
      </c>
      <c r="C1152" t="s">
        <v>32</v>
      </c>
      <c r="D1152" t="s">
        <v>33</v>
      </c>
      <c r="E1152" t="s">
        <v>122</v>
      </c>
      <c r="F1152" t="s">
        <v>35</v>
      </c>
      <c r="G1152" t="s">
        <v>35</v>
      </c>
      <c r="H1152" t="s">
        <v>35</v>
      </c>
      <c r="J1152" t="s">
        <v>1722</v>
      </c>
      <c r="K1152" t="s">
        <v>1092</v>
      </c>
      <c r="M1152">
        <v>1.5</v>
      </c>
      <c r="N1152">
        <v>25</v>
      </c>
      <c r="O1152" t="s">
        <v>46</v>
      </c>
      <c r="Q1152" t="s">
        <v>831</v>
      </c>
      <c r="R1152" t="s">
        <v>1352</v>
      </c>
      <c r="S1152" t="s">
        <v>141</v>
      </c>
    </row>
    <row r="1153" spans="1:19" x14ac:dyDescent="0.25">
      <c r="A1153" t="s">
        <v>30</v>
      </c>
      <c r="B1153" t="s">
        <v>31</v>
      </c>
      <c r="C1153" t="s">
        <v>32</v>
      </c>
      <c r="D1153" t="s">
        <v>33</v>
      </c>
      <c r="E1153" t="s">
        <v>122</v>
      </c>
      <c r="F1153" t="s">
        <v>35</v>
      </c>
      <c r="G1153" t="s">
        <v>35</v>
      </c>
      <c r="H1153" t="s">
        <v>35</v>
      </c>
      <c r="J1153" t="s">
        <v>1722</v>
      </c>
      <c r="K1153" t="s">
        <v>1092</v>
      </c>
      <c r="M1153">
        <v>4.05</v>
      </c>
      <c r="N1153">
        <v>46</v>
      </c>
      <c r="O1153" t="s">
        <v>52</v>
      </c>
      <c r="Q1153" t="s">
        <v>493</v>
      </c>
      <c r="R1153" t="s">
        <v>85</v>
      </c>
      <c r="S1153" t="s">
        <v>86</v>
      </c>
    </row>
    <row r="1154" spans="1:19" x14ac:dyDescent="0.25">
      <c r="A1154" t="s">
        <v>30</v>
      </c>
      <c r="B1154" t="s">
        <v>31</v>
      </c>
      <c r="C1154" t="s">
        <v>32</v>
      </c>
      <c r="D1154" t="s">
        <v>33</v>
      </c>
      <c r="E1154" t="s">
        <v>122</v>
      </c>
      <c r="F1154" t="s">
        <v>35</v>
      </c>
      <c r="G1154" t="s">
        <v>35</v>
      </c>
      <c r="H1154" t="s">
        <v>35</v>
      </c>
      <c r="J1154" t="s">
        <v>1722</v>
      </c>
      <c r="K1154" t="s">
        <v>1092</v>
      </c>
      <c r="M1154">
        <v>9.99</v>
      </c>
      <c r="N1154">
        <v>25</v>
      </c>
      <c r="O1154" t="s">
        <v>46</v>
      </c>
      <c r="Q1154" t="s">
        <v>831</v>
      </c>
      <c r="R1154" t="s">
        <v>199</v>
      </c>
      <c r="S1154" t="s">
        <v>200</v>
      </c>
    </row>
    <row r="1155" spans="1:19" x14ac:dyDescent="0.25">
      <c r="A1155" t="s">
        <v>30</v>
      </c>
      <c r="B1155" t="s">
        <v>31</v>
      </c>
      <c r="C1155" t="s">
        <v>32</v>
      </c>
      <c r="D1155" t="s">
        <v>33</v>
      </c>
      <c r="E1155" t="s">
        <v>122</v>
      </c>
      <c r="F1155" t="s">
        <v>35</v>
      </c>
      <c r="G1155" t="s">
        <v>35</v>
      </c>
      <c r="H1155" t="s">
        <v>35</v>
      </c>
      <c r="J1155" t="s">
        <v>1723</v>
      </c>
      <c r="K1155" t="s">
        <v>1092</v>
      </c>
      <c r="M1155">
        <v>1.1850000000000001</v>
      </c>
      <c r="N1155">
        <v>278</v>
      </c>
      <c r="O1155" t="s">
        <v>5</v>
      </c>
      <c r="Q1155" t="s">
        <v>1724</v>
      </c>
      <c r="R1155" t="s">
        <v>85</v>
      </c>
      <c r="S1155" t="s">
        <v>86</v>
      </c>
    </row>
    <row r="1156" spans="1:19" x14ac:dyDescent="0.25">
      <c r="A1156" t="s">
        <v>59</v>
      </c>
      <c r="B1156" t="s">
        <v>31</v>
      </c>
      <c r="C1156" t="s">
        <v>32</v>
      </c>
      <c r="D1156" t="s">
        <v>33</v>
      </c>
      <c r="E1156" t="s">
        <v>122</v>
      </c>
      <c r="F1156" t="s">
        <v>35</v>
      </c>
      <c r="G1156" t="s">
        <v>35</v>
      </c>
      <c r="H1156" t="s">
        <v>35</v>
      </c>
      <c r="J1156" t="s">
        <v>1723</v>
      </c>
      <c r="K1156" t="s">
        <v>1092</v>
      </c>
      <c r="M1156">
        <v>2.7</v>
      </c>
      <c r="N1156">
        <v>70</v>
      </c>
      <c r="O1156" t="s">
        <v>61</v>
      </c>
      <c r="Q1156" t="s">
        <v>126</v>
      </c>
      <c r="R1156" t="s">
        <v>85</v>
      </c>
      <c r="S1156" t="s">
        <v>86</v>
      </c>
    </row>
    <row r="1157" spans="1:19" x14ac:dyDescent="0.25">
      <c r="A1157" t="s">
        <v>59</v>
      </c>
      <c r="B1157" t="s">
        <v>31</v>
      </c>
      <c r="C1157" t="s">
        <v>32</v>
      </c>
      <c r="D1157" t="s">
        <v>33</v>
      </c>
      <c r="E1157" t="s">
        <v>122</v>
      </c>
      <c r="F1157" t="s">
        <v>35</v>
      </c>
      <c r="G1157" t="s">
        <v>35</v>
      </c>
      <c r="H1157" t="s">
        <v>35</v>
      </c>
      <c r="J1157" t="s">
        <v>1725</v>
      </c>
      <c r="K1157" t="s">
        <v>1092</v>
      </c>
      <c r="M1157">
        <v>6.22</v>
      </c>
      <c r="N1157">
        <v>75</v>
      </c>
      <c r="O1157" t="s">
        <v>61</v>
      </c>
      <c r="Q1157" t="s">
        <v>805</v>
      </c>
      <c r="R1157" t="s">
        <v>1726</v>
      </c>
      <c r="S1157" t="s">
        <v>149</v>
      </c>
    </row>
    <row r="1158" spans="1:19" x14ac:dyDescent="0.25">
      <c r="A1158" t="s">
        <v>44</v>
      </c>
      <c r="B1158" t="s">
        <v>51</v>
      </c>
      <c r="C1158" t="s">
        <v>32</v>
      </c>
      <c r="D1158" t="s">
        <v>33</v>
      </c>
      <c r="E1158" t="s">
        <v>122</v>
      </c>
      <c r="F1158" t="s">
        <v>35</v>
      </c>
      <c r="G1158" t="s">
        <v>35</v>
      </c>
      <c r="H1158" t="s">
        <v>35</v>
      </c>
      <c r="J1158" t="s">
        <v>1727</v>
      </c>
      <c r="K1158" t="s">
        <v>1092</v>
      </c>
      <c r="M1158">
        <v>8.5</v>
      </c>
      <c r="N1158">
        <v>30</v>
      </c>
      <c r="O1158" t="s">
        <v>46</v>
      </c>
      <c r="Q1158" t="s">
        <v>793</v>
      </c>
      <c r="R1158" t="s">
        <v>1726</v>
      </c>
      <c r="S1158" t="s">
        <v>149</v>
      </c>
    </row>
    <row r="1159" spans="1:19" x14ac:dyDescent="0.25">
      <c r="A1159" t="s">
        <v>59</v>
      </c>
      <c r="B1159" t="s">
        <v>31</v>
      </c>
      <c r="C1159" t="s">
        <v>32</v>
      </c>
      <c r="D1159" t="s">
        <v>33</v>
      </c>
      <c r="E1159" t="s">
        <v>122</v>
      </c>
      <c r="F1159" t="s">
        <v>35</v>
      </c>
      <c r="G1159" t="s">
        <v>35</v>
      </c>
      <c r="H1159" t="s">
        <v>35</v>
      </c>
      <c r="J1159" t="s">
        <v>1727</v>
      </c>
      <c r="K1159" t="s">
        <v>1092</v>
      </c>
      <c r="M1159">
        <v>4.4999999999999998E-2</v>
      </c>
      <c r="N1159">
        <v>93</v>
      </c>
      <c r="O1159" t="s">
        <v>106</v>
      </c>
      <c r="Q1159" t="s">
        <v>941</v>
      </c>
      <c r="R1159" t="s">
        <v>85</v>
      </c>
      <c r="S1159" t="s">
        <v>86</v>
      </c>
    </row>
    <row r="1160" spans="1:19" x14ac:dyDescent="0.25">
      <c r="A1160" t="s">
        <v>30</v>
      </c>
      <c r="B1160" t="s">
        <v>31</v>
      </c>
      <c r="C1160" t="s">
        <v>32</v>
      </c>
      <c r="D1160" t="s">
        <v>33</v>
      </c>
      <c r="E1160" t="s">
        <v>122</v>
      </c>
      <c r="F1160" t="s">
        <v>35</v>
      </c>
      <c r="G1160" t="s">
        <v>35</v>
      </c>
      <c r="H1160" t="s">
        <v>35</v>
      </c>
      <c r="J1160" t="s">
        <v>1727</v>
      </c>
      <c r="K1160" t="s">
        <v>1092</v>
      </c>
      <c r="M1160">
        <v>5.13</v>
      </c>
      <c r="N1160">
        <v>73</v>
      </c>
      <c r="O1160" t="s">
        <v>61</v>
      </c>
      <c r="Q1160" t="s">
        <v>552</v>
      </c>
      <c r="R1160" t="s">
        <v>85</v>
      </c>
      <c r="S1160" t="s">
        <v>86</v>
      </c>
    </row>
    <row r="1161" spans="1:19" x14ac:dyDescent="0.25">
      <c r="A1161" t="s">
        <v>59</v>
      </c>
      <c r="B1161" t="s">
        <v>31</v>
      </c>
      <c r="C1161" t="s">
        <v>32</v>
      </c>
      <c r="D1161" t="s">
        <v>33</v>
      </c>
      <c r="E1161" t="s">
        <v>122</v>
      </c>
      <c r="F1161" t="s">
        <v>35</v>
      </c>
      <c r="G1161" t="s">
        <v>35</v>
      </c>
      <c r="H1161" t="s">
        <v>35</v>
      </c>
      <c r="J1161" t="s">
        <v>1727</v>
      </c>
      <c r="K1161" t="s">
        <v>1092</v>
      </c>
      <c r="M1161">
        <v>5.49</v>
      </c>
      <c r="N1161">
        <v>73</v>
      </c>
      <c r="O1161" t="s">
        <v>61</v>
      </c>
      <c r="Q1161" t="s">
        <v>552</v>
      </c>
      <c r="R1161" t="s">
        <v>85</v>
      </c>
      <c r="S1161" t="s">
        <v>86</v>
      </c>
    </row>
    <row r="1162" spans="1:19" x14ac:dyDescent="0.25">
      <c r="A1162" t="s">
        <v>59</v>
      </c>
      <c r="B1162" t="s">
        <v>60</v>
      </c>
      <c r="C1162" t="s">
        <v>32</v>
      </c>
      <c r="D1162" t="s">
        <v>33</v>
      </c>
      <c r="E1162" t="s">
        <v>122</v>
      </c>
      <c r="F1162" t="s">
        <v>35</v>
      </c>
      <c r="G1162" t="s">
        <v>35</v>
      </c>
      <c r="H1162" t="s">
        <v>35</v>
      </c>
      <c r="J1162" t="s">
        <v>1728</v>
      </c>
      <c r="K1162" t="s">
        <v>1092</v>
      </c>
      <c r="M1162">
        <v>3.25</v>
      </c>
      <c r="N1162">
        <v>93</v>
      </c>
      <c r="O1162" t="s">
        <v>106</v>
      </c>
      <c r="Q1162" t="s">
        <v>941</v>
      </c>
      <c r="R1162" t="s">
        <v>85</v>
      </c>
      <c r="S1162" t="s">
        <v>86</v>
      </c>
    </row>
    <row r="1163" spans="1:19" x14ac:dyDescent="0.25">
      <c r="A1163" t="s">
        <v>30</v>
      </c>
      <c r="B1163" t="s">
        <v>31</v>
      </c>
      <c r="C1163" t="s">
        <v>32</v>
      </c>
      <c r="D1163" t="s">
        <v>33</v>
      </c>
      <c r="E1163" t="s">
        <v>122</v>
      </c>
      <c r="F1163" t="s">
        <v>35</v>
      </c>
      <c r="G1163" t="s">
        <v>35</v>
      </c>
      <c r="H1163" t="s">
        <v>35</v>
      </c>
      <c r="J1163" t="s">
        <v>1728</v>
      </c>
      <c r="K1163" t="s">
        <v>1092</v>
      </c>
      <c r="M1163">
        <v>9.99</v>
      </c>
      <c r="N1163">
        <v>20</v>
      </c>
      <c r="O1163" t="s">
        <v>46</v>
      </c>
      <c r="Q1163" t="s">
        <v>1004</v>
      </c>
      <c r="R1163" t="s">
        <v>85</v>
      </c>
      <c r="S1163" t="s">
        <v>86</v>
      </c>
    </row>
    <row r="1164" spans="1:19" x14ac:dyDescent="0.25">
      <c r="A1164" t="s">
        <v>44</v>
      </c>
      <c r="B1164" t="s">
        <v>3</v>
      </c>
      <c r="C1164" t="s">
        <v>32</v>
      </c>
      <c r="D1164" t="s">
        <v>33</v>
      </c>
      <c r="E1164" t="s">
        <v>122</v>
      </c>
      <c r="F1164" t="s">
        <v>35</v>
      </c>
      <c r="G1164" t="s">
        <v>35</v>
      </c>
      <c r="H1164" t="s">
        <v>35</v>
      </c>
      <c r="J1164" t="s">
        <v>1729</v>
      </c>
      <c r="K1164" t="s">
        <v>1092</v>
      </c>
      <c r="M1164">
        <v>0.5</v>
      </c>
      <c r="N1164">
        <v>25</v>
      </c>
      <c r="O1164" t="s">
        <v>46</v>
      </c>
      <c r="Q1164" t="s">
        <v>831</v>
      </c>
      <c r="R1164" t="s">
        <v>1352</v>
      </c>
      <c r="S1164" t="s">
        <v>141</v>
      </c>
    </row>
    <row r="1165" spans="1:19" x14ac:dyDescent="0.25">
      <c r="A1165" t="s">
        <v>59</v>
      </c>
      <c r="B1165" t="s">
        <v>60</v>
      </c>
      <c r="C1165" t="s">
        <v>32</v>
      </c>
      <c r="D1165" t="s">
        <v>33</v>
      </c>
      <c r="E1165" t="s">
        <v>122</v>
      </c>
      <c r="F1165" t="s">
        <v>35</v>
      </c>
      <c r="G1165" t="s">
        <v>35</v>
      </c>
      <c r="H1165" t="s">
        <v>35</v>
      </c>
      <c r="J1165" t="s">
        <v>1729</v>
      </c>
      <c r="K1165" t="s">
        <v>1092</v>
      </c>
      <c r="M1165">
        <v>0.85</v>
      </c>
      <c r="N1165">
        <v>279</v>
      </c>
      <c r="O1165" t="s">
        <v>5</v>
      </c>
      <c r="Q1165" t="s">
        <v>1717</v>
      </c>
      <c r="R1165" t="s">
        <v>1718</v>
      </c>
      <c r="S1165" t="s">
        <v>1719</v>
      </c>
    </row>
    <row r="1166" spans="1:19" x14ac:dyDescent="0.25">
      <c r="A1166" t="s">
        <v>44</v>
      </c>
      <c r="B1166" t="s">
        <v>51</v>
      </c>
      <c r="C1166" t="s">
        <v>32</v>
      </c>
      <c r="D1166" t="s">
        <v>33</v>
      </c>
      <c r="E1166" t="s">
        <v>122</v>
      </c>
      <c r="F1166" t="s">
        <v>35</v>
      </c>
      <c r="G1166" t="s">
        <v>35</v>
      </c>
      <c r="H1166" t="s">
        <v>35</v>
      </c>
      <c r="J1166" t="s">
        <v>1729</v>
      </c>
      <c r="K1166" t="s">
        <v>1092</v>
      </c>
      <c r="M1166">
        <v>0.75</v>
      </c>
      <c r="N1166">
        <v>204</v>
      </c>
      <c r="O1166" t="s">
        <v>5</v>
      </c>
      <c r="Q1166" t="s">
        <v>1730</v>
      </c>
      <c r="R1166" t="s">
        <v>1718</v>
      </c>
      <c r="S1166" t="s">
        <v>1719</v>
      </c>
    </row>
    <row r="1167" spans="1:19" x14ac:dyDescent="0.25">
      <c r="A1167" t="s">
        <v>30</v>
      </c>
      <c r="B1167" t="s">
        <v>31</v>
      </c>
      <c r="C1167" t="s">
        <v>32</v>
      </c>
      <c r="D1167" t="s">
        <v>33</v>
      </c>
      <c r="E1167" t="s">
        <v>122</v>
      </c>
      <c r="F1167" t="s">
        <v>35</v>
      </c>
      <c r="G1167" t="s">
        <v>35</v>
      </c>
      <c r="H1167" t="s">
        <v>35</v>
      </c>
      <c r="J1167" t="s">
        <v>1731</v>
      </c>
      <c r="K1167" t="s">
        <v>1092</v>
      </c>
      <c r="M1167">
        <v>0.46</v>
      </c>
      <c r="N1167">
        <v>401</v>
      </c>
      <c r="O1167" t="s">
        <v>294</v>
      </c>
      <c r="Q1167" t="s">
        <v>1434</v>
      </c>
      <c r="R1167" t="s">
        <v>1641</v>
      </c>
      <c r="S1167" t="s">
        <v>1642</v>
      </c>
    </row>
    <row r="1168" spans="1:19" x14ac:dyDescent="0.25">
      <c r="A1168" t="s">
        <v>30</v>
      </c>
      <c r="B1168" t="s">
        <v>31</v>
      </c>
      <c r="C1168" t="s">
        <v>32</v>
      </c>
      <c r="D1168" t="s">
        <v>33</v>
      </c>
      <c r="E1168" t="s">
        <v>122</v>
      </c>
      <c r="F1168" t="s">
        <v>35</v>
      </c>
      <c r="G1168" t="s">
        <v>35</v>
      </c>
      <c r="H1168" t="s">
        <v>35</v>
      </c>
      <c r="J1168" t="s">
        <v>1731</v>
      </c>
      <c r="K1168" t="s">
        <v>1092</v>
      </c>
      <c r="M1168">
        <v>1.35</v>
      </c>
      <c r="N1168">
        <v>375</v>
      </c>
      <c r="O1168" t="s">
        <v>294</v>
      </c>
      <c r="Q1168" t="s">
        <v>1732</v>
      </c>
      <c r="R1168" t="s">
        <v>1641</v>
      </c>
      <c r="S1168" t="s">
        <v>1642</v>
      </c>
    </row>
    <row r="1169" spans="1:19" x14ac:dyDescent="0.25">
      <c r="A1169" t="s">
        <v>30</v>
      </c>
      <c r="B1169" t="s">
        <v>31</v>
      </c>
      <c r="C1169" t="s">
        <v>32</v>
      </c>
      <c r="D1169" t="s">
        <v>33</v>
      </c>
      <c r="E1169" t="s">
        <v>122</v>
      </c>
      <c r="F1169" t="s">
        <v>35</v>
      </c>
      <c r="G1169" t="s">
        <v>35</v>
      </c>
      <c r="H1169" t="s">
        <v>35</v>
      </c>
      <c r="J1169" t="s">
        <v>1731</v>
      </c>
      <c r="K1169" t="s">
        <v>1092</v>
      </c>
      <c r="M1169">
        <v>1</v>
      </c>
      <c r="N1169">
        <v>188</v>
      </c>
      <c r="O1169" t="s">
        <v>5</v>
      </c>
      <c r="Q1169" t="s">
        <v>1277</v>
      </c>
      <c r="R1169" t="s">
        <v>1641</v>
      </c>
      <c r="S1169" t="s">
        <v>1642</v>
      </c>
    </row>
    <row r="1170" spans="1:19" x14ac:dyDescent="0.25">
      <c r="A1170" t="s">
        <v>59</v>
      </c>
      <c r="B1170" t="s">
        <v>60</v>
      </c>
      <c r="C1170" t="s">
        <v>32</v>
      </c>
      <c r="D1170" t="s">
        <v>33</v>
      </c>
      <c r="E1170" t="s">
        <v>122</v>
      </c>
      <c r="F1170" t="s">
        <v>35</v>
      </c>
      <c r="G1170" t="s">
        <v>35</v>
      </c>
      <c r="H1170" t="s">
        <v>35</v>
      </c>
      <c r="J1170" t="s">
        <v>1733</v>
      </c>
      <c r="K1170" t="s">
        <v>1092</v>
      </c>
      <c r="M1170">
        <v>5.5</v>
      </c>
      <c r="N1170">
        <v>60</v>
      </c>
      <c r="O1170" t="s">
        <v>52</v>
      </c>
      <c r="Q1170" t="s">
        <v>1734</v>
      </c>
      <c r="R1170" t="s">
        <v>199</v>
      </c>
      <c r="S1170" t="s">
        <v>200</v>
      </c>
    </row>
    <row r="1171" spans="1:19" x14ac:dyDescent="0.25">
      <c r="A1171" t="s">
        <v>30</v>
      </c>
      <c r="B1171" t="s">
        <v>31</v>
      </c>
      <c r="C1171" t="s">
        <v>32</v>
      </c>
      <c r="D1171" t="s">
        <v>33</v>
      </c>
      <c r="E1171" t="s">
        <v>122</v>
      </c>
      <c r="F1171" t="s">
        <v>35</v>
      </c>
      <c r="G1171" t="s">
        <v>35</v>
      </c>
      <c r="H1171" t="s">
        <v>35</v>
      </c>
      <c r="J1171" t="s">
        <v>1733</v>
      </c>
      <c r="K1171" t="s">
        <v>1092</v>
      </c>
      <c r="M1171">
        <v>5.49</v>
      </c>
      <c r="N1171">
        <v>42</v>
      </c>
      <c r="O1171" t="s">
        <v>52</v>
      </c>
      <c r="Q1171" t="s">
        <v>991</v>
      </c>
      <c r="R1171" t="s">
        <v>169</v>
      </c>
      <c r="S1171" t="s">
        <v>123</v>
      </c>
    </row>
    <row r="1172" spans="1:19" x14ac:dyDescent="0.25">
      <c r="A1172" t="s">
        <v>59</v>
      </c>
      <c r="B1172" t="s">
        <v>60</v>
      </c>
      <c r="C1172" t="s">
        <v>32</v>
      </c>
      <c r="D1172" t="s">
        <v>33</v>
      </c>
      <c r="E1172" t="s">
        <v>122</v>
      </c>
      <c r="F1172" t="s">
        <v>35</v>
      </c>
      <c r="G1172" t="s">
        <v>35</v>
      </c>
      <c r="H1172" t="s">
        <v>35</v>
      </c>
      <c r="J1172" t="s">
        <v>1733</v>
      </c>
      <c r="K1172" t="s">
        <v>1092</v>
      </c>
      <c r="M1172">
        <v>0.4</v>
      </c>
      <c r="N1172">
        <v>75</v>
      </c>
      <c r="O1172" t="s">
        <v>61</v>
      </c>
      <c r="Q1172" t="s">
        <v>805</v>
      </c>
      <c r="R1172" t="s">
        <v>199</v>
      </c>
      <c r="S1172" t="s">
        <v>200</v>
      </c>
    </row>
    <row r="1173" spans="1:19" x14ac:dyDescent="0.25">
      <c r="A1173" t="s">
        <v>30</v>
      </c>
      <c r="B1173" t="s">
        <v>31</v>
      </c>
      <c r="C1173" t="s">
        <v>32</v>
      </c>
      <c r="D1173" t="s">
        <v>33</v>
      </c>
      <c r="E1173" t="s">
        <v>122</v>
      </c>
      <c r="F1173" t="s">
        <v>35</v>
      </c>
      <c r="G1173" t="s">
        <v>35</v>
      </c>
      <c r="H1173" t="s">
        <v>35</v>
      </c>
      <c r="J1173" t="s">
        <v>1736</v>
      </c>
      <c r="K1173" t="s">
        <v>1092</v>
      </c>
      <c r="M1173">
        <v>3.33</v>
      </c>
      <c r="N1173">
        <v>46</v>
      </c>
      <c r="O1173" t="s">
        <v>52</v>
      </c>
      <c r="Q1173" t="s">
        <v>493</v>
      </c>
      <c r="R1173" t="s">
        <v>85</v>
      </c>
      <c r="S1173" t="s">
        <v>86</v>
      </c>
    </row>
    <row r="1174" spans="1:19" x14ac:dyDescent="0.25">
      <c r="A1174" t="s">
        <v>59</v>
      </c>
      <c r="B1174" t="s">
        <v>60</v>
      </c>
      <c r="C1174" t="s">
        <v>32</v>
      </c>
      <c r="D1174" t="s">
        <v>33</v>
      </c>
      <c r="E1174" t="s">
        <v>122</v>
      </c>
      <c r="F1174" t="s">
        <v>35</v>
      </c>
      <c r="G1174" t="s">
        <v>35</v>
      </c>
      <c r="H1174" t="s">
        <v>35</v>
      </c>
      <c r="J1174" t="s">
        <v>1737</v>
      </c>
      <c r="K1174" t="s">
        <v>1092</v>
      </c>
      <c r="M1174">
        <v>2.5</v>
      </c>
      <c r="N1174">
        <v>83</v>
      </c>
      <c r="O1174" t="s">
        <v>61</v>
      </c>
      <c r="Q1174" t="s">
        <v>455</v>
      </c>
      <c r="R1174" t="s">
        <v>169</v>
      </c>
      <c r="S1174" t="s">
        <v>123</v>
      </c>
    </row>
    <row r="1175" spans="1:19" x14ac:dyDescent="0.25">
      <c r="A1175" t="s">
        <v>30</v>
      </c>
      <c r="B1175" t="s">
        <v>31</v>
      </c>
      <c r="C1175" t="s">
        <v>32</v>
      </c>
      <c r="D1175" t="s">
        <v>33</v>
      </c>
      <c r="E1175" t="s">
        <v>122</v>
      </c>
      <c r="F1175" t="s">
        <v>35</v>
      </c>
      <c r="G1175" t="s">
        <v>35</v>
      </c>
      <c r="H1175" t="s">
        <v>35</v>
      </c>
      <c r="J1175" t="s">
        <v>1738</v>
      </c>
      <c r="K1175" t="s">
        <v>1092</v>
      </c>
      <c r="M1175">
        <v>6.75</v>
      </c>
      <c r="N1175">
        <v>1</v>
      </c>
      <c r="O1175" t="s">
        <v>46</v>
      </c>
      <c r="Q1175" t="s">
        <v>8226</v>
      </c>
      <c r="R1175" t="s">
        <v>85</v>
      </c>
      <c r="S1175" t="s">
        <v>86</v>
      </c>
    </row>
    <row r="1176" spans="1:19" x14ac:dyDescent="0.25">
      <c r="A1176" t="s">
        <v>44</v>
      </c>
      <c r="B1176" t="s">
        <v>3</v>
      </c>
      <c r="C1176" t="s">
        <v>32</v>
      </c>
      <c r="D1176" t="s">
        <v>33</v>
      </c>
      <c r="E1176" t="s">
        <v>122</v>
      </c>
      <c r="F1176" t="s">
        <v>35</v>
      </c>
      <c r="G1176" t="s">
        <v>35</v>
      </c>
      <c r="H1176" t="s">
        <v>35</v>
      </c>
      <c r="J1176" t="s">
        <v>1738</v>
      </c>
      <c r="K1176" t="s">
        <v>1092</v>
      </c>
      <c r="M1176">
        <v>0.8</v>
      </c>
      <c r="N1176">
        <v>464</v>
      </c>
      <c r="O1176" t="s">
        <v>294</v>
      </c>
      <c r="Q1176" t="s">
        <v>1739</v>
      </c>
      <c r="R1176" t="s">
        <v>1661</v>
      </c>
      <c r="S1176" t="s">
        <v>1662</v>
      </c>
    </row>
    <row r="1177" spans="1:19" x14ac:dyDescent="0.25">
      <c r="A1177" t="s">
        <v>59</v>
      </c>
      <c r="B1177" t="s">
        <v>31</v>
      </c>
      <c r="C1177" t="s">
        <v>32</v>
      </c>
      <c r="D1177" t="s">
        <v>33</v>
      </c>
      <c r="E1177" t="s">
        <v>122</v>
      </c>
      <c r="F1177" t="s">
        <v>35</v>
      </c>
      <c r="G1177" t="s">
        <v>35</v>
      </c>
      <c r="H1177" t="s">
        <v>35</v>
      </c>
      <c r="J1177" t="s">
        <v>1740</v>
      </c>
      <c r="K1177" t="s">
        <v>1092</v>
      </c>
      <c r="M1177">
        <v>0.09</v>
      </c>
      <c r="N1177">
        <v>139</v>
      </c>
      <c r="O1177" t="s">
        <v>38</v>
      </c>
      <c r="Q1177" t="s">
        <v>1696</v>
      </c>
      <c r="R1177" t="s">
        <v>169</v>
      </c>
      <c r="S1177" t="s">
        <v>123</v>
      </c>
    </row>
    <row r="1178" spans="1:19" x14ac:dyDescent="0.25">
      <c r="A1178" t="s">
        <v>59</v>
      </c>
      <c r="B1178" t="s">
        <v>60</v>
      </c>
      <c r="C1178" t="s">
        <v>32</v>
      </c>
      <c r="D1178" t="s">
        <v>33</v>
      </c>
      <c r="E1178" t="s">
        <v>122</v>
      </c>
      <c r="F1178" t="s">
        <v>35</v>
      </c>
      <c r="G1178" t="s">
        <v>35</v>
      </c>
      <c r="H1178" t="s">
        <v>35</v>
      </c>
      <c r="J1178" t="s">
        <v>1741</v>
      </c>
      <c r="K1178" t="s">
        <v>1092</v>
      </c>
      <c r="M1178">
        <v>5.5</v>
      </c>
      <c r="N1178">
        <v>100</v>
      </c>
      <c r="O1178" t="s">
        <v>106</v>
      </c>
      <c r="Q1178" t="s">
        <v>1112</v>
      </c>
      <c r="R1178" t="s">
        <v>199</v>
      </c>
      <c r="S1178" t="s">
        <v>200</v>
      </c>
    </row>
    <row r="1179" spans="1:19" x14ac:dyDescent="0.25">
      <c r="A1179" t="s">
        <v>59</v>
      </c>
      <c r="B1179" t="s">
        <v>60</v>
      </c>
      <c r="C1179" t="s">
        <v>32</v>
      </c>
      <c r="D1179" t="s">
        <v>33</v>
      </c>
      <c r="E1179" t="s">
        <v>122</v>
      </c>
      <c r="F1179" t="s">
        <v>35</v>
      </c>
      <c r="G1179" t="s">
        <v>35</v>
      </c>
      <c r="H1179" t="s">
        <v>35</v>
      </c>
      <c r="J1179" t="s">
        <v>1741</v>
      </c>
      <c r="K1179" t="s">
        <v>1092</v>
      </c>
      <c r="M1179">
        <v>1.35</v>
      </c>
      <c r="N1179">
        <v>364</v>
      </c>
      <c r="O1179" t="s">
        <v>5</v>
      </c>
      <c r="Q1179" t="s">
        <v>1742</v>
      </c>
      <c r="R1179" t="s">
        <v>199</v>
      </c>
      <c r="S1179" t="s">
        <v>200</v>
      </c>
    </row>
    <row r="1180" spans="1:19" x14ac:dyDescent="0.25">
      <c r="A1180" t="s">
        <v>59</v>
      </c>
      <c r="B1180" t="s">
        <v>60</v>
      </c>
      <c r="C1180" t="s">
        <v>32</v>
      </c>
      <c r="D1180" t="s">
        <v>33</v>
      </c>
      <c r="E1180" t="s">
        <v>122</v>
      </c>
      <c r="F1180" t="s">
        <v>35</v>
      </c>
      <c r="G1180" t="s">
        <v>35</v>
      </c>
      <c r="H1180" t="s">
        <v>35</v>
      </c>
      <c r="J1180" t="s">
        <v>1743</v>
      </c>
      <c r="K1180" t="s">
        <v>1092</v>
      </c>
      <c r="M1180">
        <v>1.57</v>
      </c>
      <c r="N1180">
        <v>480</v>
      </c>
      <c r="O1180" t="s">
        <v>294</v>
      </c>
      <c r="Q1180" t="s">
        <v>1405</v>
      </c>
      <c r="R1180" t="s">
        <v>1331</v>
      </c>
      <c r="S1180" t="s">
        <v>1332</v>
      </c>
    </row>
    <row r="1181" spans="1:19" x14ac:dyDescent="0.25">
      <c r="A1181" t="s">
        <v>59</v>
      </c>
      <c r="B1181" t="s">
        <v>31</v>
      </c>
      <c r="C1181" t="s">
        <v>32</v>
      </c>
      <c r="D1181" t="s">
        <v>33</v>
      </c>
      <c r="E1181" t="s">
        <v>122</v>
      </c>
      <c r="F1181" t="s">
        <v>35</v>
      </c>
      <c r="G1181" t="s">
        <v>35</v>
      </c>
      <c r="H1181" t="s">
        <v>35</v>
      </c>
      <c r="J1181" t="s">
        <v>1744</v>
      </c>
      <c r="K1181" t="s">
        <v>1092</v>
      </c>
      <c r="M1181">
        <v>4.7300000000000004</v>
      </c>
      <c r="N1181">
        <v>56</v>
      </c>
      <c r="O1181" t="s">
        <v>52</v>
      </c>
      <c r="Q1181" t="s">
        <v>453</v>
      </c>
      <c r="R1181" t="s">
        <v>1726</v>
      </c>
      <c r="S1181" t="s">
        <v>149</v>
      </c>
    </row>
    <row r="1182" spans="1:19" x14ac:dyDescent="0.25">
      <c r="A1182" t="s">
        <v>59</v>
      </c>
      <c r="B1182" t="s">
        <v>31</v>
      </c>
      <c r="C1182" t="s">
        <v>32</v>
      </c>
      <c r="D1182" t="s">
        <v>33</v>
      </c>
      <c r="E1182" t="s">
        <v>122</v>
      </c>
      <c r="F1182" t="s">
        <v>35</v>
      </c>
      <c r="G1182" t="s">
        <v>35</v>
      </c>
      <c r="H1182" t="s">
        <v>35</v>
      </c>
      <c r="J1182" t="s">
        <v>1745</v>
      </c>
      <c r="K1182" t="s">
        <v>1092</v>
      </c>
      <c r="M1182">
        <v>3.15</v>
      </c>
      <c r="N1182">
        <v>92</v>
      </c>
      <c r="O1182" t="s">
        <v>106</v>
      </c>
      <c r="Q1182" t="s">
        <v>1100</v>
      </c>
      <c r="R1182" t="s">
        <v>1258</v>
      </c>
      <c r="S1182" t="s">
        <v>194</v>
      </c>
    </row>
    <row r="1183" spans="1:19" x14ac:dyDescent="0.25">
      <c r="A1183" t="s">
        <v>59</v>
      </c>
      <c r="B1183" t="s">
        <v>31</v>
      </c>
      <c r="C1183" t="s">
        <v>32</v>
      </c>
      <c r="D1183" t="s">
        <v>33</v>
      </c>
      <c r="E1183" t="s">
        <v>122</v>
      </c>
      <c r="F1183" t="s">
        <v>35</v>
      </c>
      <c r="G1183" t="s">
        <v>35</v>
      </c>
      <c r="H1183" t="s">
        <v>35</v>
      </c>
      <c r="J1183" t="s">
        <v>1745</v>
      </c>
      <c r="K1183" t="s">
        <v>1092</v>
      </c>
      <c r="M1183">
        <v>4.4999999999999998E-2</v>
      </c>
      <c r="N1183">
        <v>222</v>
      </c>
      <c r="O1183" t="s">
        <v>5</v>
      </c>
      <c r="Q1183" t="s">
        <v>1746</v>
      </c>
      <c r="R1183" t="s">
        <v>1258</v>
      </c>
      <c r="S1183" t="s">
        <v>194</v>
      </c>
    </row>
    <row r="1184" spans="1:19" x14ac:dyDescent="0.25">
      <c r="A1184" t="s">
        <v>59</v>
      </c>
      <c r="B1184" t="s">
        <v>60</v>
      </c>
      <c r="C1184" t="s">
        <v>32</v>
      </c>
      <c r="D1184" t="s">
        <v>33</v>
      </c>
      <c r="E1184" t="s">
        <v>122</v>
      </c>
      <c r="F1184" t="s">
        <v>35</v>
      </c>
      <c r="G1184" t="s">
        <v>35</v>
      </c>
      <c r="H1184" t="s">
        <v>35</v>
      </c>
      <c r="J1184" t="s">
        <v>1745</v>
      </c>
      <c r="K1184" t="s">
        <v>1092</v>
      </c>
      <c r="M1184">
        <v>0.95</v>
      </c>
      <c r="N1184">
        <v>255</v>
      </c>
      <c r="O1184" t="s">
        <v>5</v>
      </c>
      <c r="Q1184" t="s">
        <v>1747</v>
      </c>
      <c r="R1184" t="s">
        <v>1258</v>
      </c>
      <c r="S1184" t="s">
        <v>194</v>
      </c>
    </row>
    <row r="1185" spans="1:19" x14ac:dyDescent="0.25">
      <c r="A1185" t="s">
        <v>59</v>
      </c>
      <c r="B1185" t="s">
        <v>60</v>
      </c>
      <c r="C1185" t="s">
        <v>32</v>
      </c>
      <c r="D1185" t="s">
        <v>33</v>
      </c>
      <c r="E1185" t="s">
        <v>122</v>
      </c>
      <c r="F1185" t="s">
        <v>35</v>
      </c>
      <c r="G1185" t="s">
        <v>35</v>
      </c>
      <c r="H1185" t="s">
        <v>35</v>
      </c>
      <c r="J1185" t="s">
        <v>1745</v>
      </c>
      <c r="K1185" t="s">
        <v>1092</v>
      </c>
      <c r="M1185">
        <v>3</v>
      </c>
      <c r="N1185">
        <v>92</v>
      </c>
      <c r="O1185" t="s">
        <v>106</v>
      </c>
      <c r="Q1185" t="s">
        <v>1100</v>
      </c>
      <c r="R1185" t="s">
        <v>1258</v>
      </c>
      <c r="S1185" t="s">
        <v>194</v>
      </c>
    </row>
    <row r="1186" spans="1:19" x14ac:dyDescent="0.25">
      <c r="A1186" t="s">
        <v>30</v>
      </c>
      <c r="B1186" t="s">
        <v>31</v>
      </c>
      <c r="C1186" t="s">
        <v>32</v>
      </c>
      <c r="D1186" t="s">
        <v>33</v>
      </c>
      <c r="E1186" t="s">
        <v>122</v>
      </c>
      <c r="F1186" t="s">
        <v>35</v>
      </c>
      <c r="G1186" t="s">
        <v>35</v>
      </c>
      <c r="H1186" t="s">
        <v>35</v>
      </c>
      <c r="J1186" t="s">
        <v>1745</v>
      </c>
      <c r="K1186" t="s">
        <v>1092</v>
      </c>
      <c r="M1186">
        <v>2.7450000000000001</v>
      </c>
      <c r="N1186">
        <v>45</v>
      </c>
      <c r="O1186" t="s">
        <v>52</v>
      </c>
      <c r="Q1186" t="s">
        <v>716</v>
      </c>
      <c r="R1186" t="s">
        <v>1258</v>
      </c>
      <c r="S1186" t="s">
        <v>194</v>
      </c>
    </row>
    <row r="1187" spans="1:19" x14ac:dyDescent="0.25">
      <c r="A1187" t="s">
        <v>59</v>
      </c>
      <c r="B1187" t="s">
        <v>31</v>
      </c>
      <c r="C1187" t="s">
        <v>32</v>
      </c>
      <c r="D1187" t="s">
        <v>33</v>
      </c>
      <c r="E1187" t="s">
        <v>122</v>
      </c>
      <c r="F1187" t="s">
        <v>35</v>
      </c>
      <c r="G1187" t="s">
        <v>35</v>
      </c>
      <c r="H1187" t="s">
        <v>35</v>
      </c>
      <c r="J1187" t="s">
        <v>1745</v>
      </c>
      <c r="K1187" t="s">
        <v>1092</v>
      </c>
      <c r="M1187">
        <v>3.15</v>
      </c>
      <c r="N1187">
        <v>76</v>
      </c>
      <c r="O1187" t="s">
        <v>61</v>
      </c>
      <c r="Q1187" t="s">
        <v>234</v>
      </c>
      <c r="R1187" t="s">
        <v>1258</v>
      </c>
      <c r="S1187" t="s">
        <v>194</v>
      </c>
    </row>
    <row r="1188" spans="1:19" x14ac:dyDescent="0.25">
      <c r="A1188" t="s">
        <v>44</v>
      </c>
      <c r="B1188" t="s">
        <v>51</v>
      </c>
      <c r="C1188" t="s">
        <v>32</v>
      </c>
      <c r="D1188" t="s">
        <v>33</v>
      </c>
      <c r="E1188" t="s">
        <v>122</v>
      </c>
      <c r="F1188" t="s">
        <v>35</v>
      </c>
      <c r="G1188" t="s">
        <v>35</v>
      </c>
      <c r="H1188" t="s">
        <v>35</v>
      </c>
      <c r="J1188" t="s">
        <v>1748</v>
      </c>
      <c r="K1188" t="s">
        <v>1092</v>
      </c>
      <c r="M1188">
        <v>0.5</v>
      </c>
      <c r="N1188">
        <v>308</v>
      </c>
      <c r="O1188" t="s">
        <v>5</v>
      </c>
      <c r="Q1188" t="s">
        <v>1567</v>
      </c>
      <c r="R1188" t="s">
        <v>1352</v>
      </c>
      <c r="S1188" t="s">
        <v>141</v>
      </c>
    </row>
    <row r="1189" spans="1:19" x14ac:dyDescent="0.25">
      <c r="A1189" t="s">
        <v>44</v>
      </c>
      <c r="B1189" t="s">
        <v>3</v>
      </c>
      <c r="C1189" t="s">
        <v>32</v>
      </c>
      <c r="D1189" t="s">
        <v>33</v>
      </c>
      <c r="E1189" t="s">
        <v>122</v>
      </c>
      <c r="F1189" t="s">
        <v>35</v>
      </c>
      <c r="G1189" t="s">
        <v>35</v>
      </c>
      <c r="H1189" t="s">
        <v>35</v>
      </c>
      <c r="J1189" t="s">
        <v>1748</v>
      </c>
      <c r="K1189" t="s">
        <v>1092</v>
      </c>
      <c r="M1189">
        <v>0.5</v>
      </c>
      <c r="N1189">
        <v>424</v>
      </c>
      <c r="O1189" t="s">
        <v>294</v>
      </c>
      <c r="Q1189" t="s">
        <v>1749</v>
      </c>
      <c r="R1189" t="s">
        <v>1352</v>
      </c>
      <c r="S1189" t="s">
        <v>141</v>
      </c>
    </row>
    <row r="1190" spans="1:19" x14ac:dyDescent="0.25">
      <c r="A1190" t="s">
        <v>59</v>
      </c>
      <c r="B1190" t="s">
        <v>60</v>
      </c>
      <c r="C1190" t="s">
        <v>32</v>
      </c>
      <c r="D1190" t="s">
        <v>33</v>
      </c>
      <c r="E1190" t="s">
        <v>122</v>
      </c>
      <c r="F1190" t="s">
        <v>35</v>
      </c>
      <c r="G1190" t="s">
        <v>35</v>
      </c>
      <c r="H1190" t="s">
        <v>35</v>
      </c>
      <c r="J1190" t="s">
        <v>1750</v>
      </c>
      <c r="K1190" t="s">
        <v>1092</v>
      </c>
      <c r="M1190">
        <v>1</v>
      </c>
      <c r="N1190">
        <v>40</v>
      </c>
      <c r="O1190" t="s">
        <v>52</v>
      </c>
      <c r="Q1190" t="s">
        <v>130</v>
      </c>
      <c r="R1190" t="s">
        <v>193</v>
      </c>
      <c r="S1190" t="s">
        <v>181</v>
      </c>
    </row>
    <row r="1191" spans="1:19" x14ac:dyDescent="0.25">
      <c r="A1191" t="s">
        <v>30</v>
      </c>
      <c r="B1191" t="s">
        <v>31</v>
      </c>
      <c r="C1191" t="s">
        <v>32</v>
      </c>
      <c r="D1191" t="s">
        <v>33</v>
      </c>
      <c r="E1191" t="s">
        <v>122</v>
      </c>
      <c r="F1191" t="s">
        <v>35</v>
      </c>
      <c r="G1191" t="s">
        <v>35</v>
      </c>
      <c r="H1191" t="s">
        <v>35</v>
      </c>
      <c r="J1191" t="s">
        <v>1751</v>
      </c>
      <c r="K1191" t="s">
        <v>1092</v>
      </c>
      <c r="M1191">
        <v>4.9950000000000001</v>
      </c>
      <c r="N1191">
        <v>17</v>
      </c>
      <c r="O1191" t="s">
        <v>46</v>
      </c>
      <c r="Q1191" t="s">
        <v>1302</v>
      </c>
      <c r="R1191" t="s">
        <v>85</v>
      </c>
      <c r="S1191" t="s">
        <v>86</v>
      </c>
    </row>
    <row r="1192" spans="1:19" x14ac:dyDescent="0.25">
      <c r="A1192" t="s">
        <v>44</v>
      </c>
      <c r="B1192" t="s">
        <v>3</v>
      </c>
      <c r="C1192" t="s">
        <v>32</v>
      </c>
      <c r="D1192" t="s">
        <v>33</v>
      </c>
      <c r="E1192" t="s">
        <v>122</v>
      </c>
      <c r="F1192" t="s">
        <v>35</v>
      </c>
      <c r="G1192" t="s">
        <v>35</v>
      </c>
      <c r="H1192" t="s">
        <v>35</v>
      </c>
      <c r="J1192" t="s">
        <v>1752</v>
      </c>
      <c r="K1192" t="s">
        <v>1092</v>
      </c>
      <c r="M1192">
        <v>8.4499999999999993</v>
      </c>
      <c r="N1192">
        <v>63</v>
      </c>
      <c r="O1192" t="s">
        <v>61</v>
      </c>
      <c r="Q1192" t="s">
        <v>423</v>
      </c>
      <c r="R1192" t="s">
        <v>169</v>
      </c>
      <c r="S1192" t="s">
        <v>123</v>
      </c>
    </row>
    <row r="1193" spans="1:19" x14ac:dyDescent="0.25">
      <c r="A1193" t="s">
        <v>59</v>
      </c>
      <c r="B1193" t="s">
        <v>31</v>
      </c>
      <c r="C1193" t="s">
        <v>32</v>
      </c>
      <c r="D1193" t="s">
        <v>33</v>
      </c>
      <c r="E1193" t="s">
        <v>122</v>
      </c>
      <c r="F1193" t="s">
        <v>35</v>
      </c>
      <c r="G1193" t="s">
        <v>35</v>
      </c>
      <c r="H1193" t="s">
        <v>35</v>
      </c>
      <c r="J1193" t="s">
        <v>1752</v>
      </c>
      <c r="K1193" t="s">
        <v>1092</v>
      </c>
      <c r="M1193">
        <v>2.4750000000000001</v>
      </c>
      <c r="N1193">
        <v>86</v>
      </c>
      <c r="O1193" t="s">
        <v>61</v>
      </c>
      <c r="Q1193" t="s">
        <v>1076</v>
      </c>
      <c r="R1193" t="s">
        <v>169</v>
      </c>
      <c r="S1193" t="s">
        <v>123</v>
      </c>
    </row>
    <row r="1194" spans="1:19" x14ac:dyDescent="0.25">
      <c r="A1194" t="s">
        <v>30</v>
      </c>
      <c r="B1194" t="s">
        <v>31</v>
      </c>
      <c r="C1194" t="s">
        <v>32</v>
      </c>
      <c r="D1194" t="s">
        <v>33</v>
      </c>
      <c r="E1194" t="s">
        <v>122</v>
      </c>
      <c r="F1194" t="s">
        <v>35</v>
      </c>
      <c r="G1194" t="s">
        <v>35</v>
      </c>
      <c r="H1194" t="s">
        <v>35</v>
      </c>
      <c r="J1194" t="s">
        <v>1752</v>
      </c>
      <c r="K1194" t="s">
        <v>1092</v>
      </c>
      <c r="M1194">
        <v>1.7549999999999999</v>
      </c>
      <c r="N1194">
        <v>76</v>
      </c>
      <c r="O1194" t="s">
        <v>61</v>
      </c>
      <c r="Q1194" t="s">
        <v>234</v>
      </c>
      <c r="R1194" t="s">
        <v>85</v>
      </c>
      <c r="S1194" t="s">
        <v>86</v>
      </c>
    </row>
    <row r="1195" spans="1:19" x14ac:dyDescent="0.25">
      <c r="A1195" t="s">
        <v>59</v>
      </c>
      <c r="B1195" t="s">
        <v>31</v>
      </c>
      <c r="C1195" t="s">
        <v>32</v>
      </c>
      <c r="D1195" t="s">
        <v>33</v>
      </c>
      <c r="E1195" t="s">
        <v>122</v>
      </c>
      <c r="F1195" t="s">
        <v>35</v>
      </c>
      <c r="G1195" t="s">
        <v>35</v>
      </c>
      <c r="H1195" t="s">
        <v>35</v>
      </c>
      <c r="J1195" t="s">
        <v>1752</v>
      </c>
      <c r="K1195" t="s">
        <v>1092</v>
      </c>
      <c r="M1195">
        <v>10.98</v>
      </c>
      <c r="N1195">
        <v>73</v>
      </c>
      <c r="O1195" t="s">
        <v>61</v>
      </c>
      <c r="Q1195" t="s">
        <v>552</v>
      </c>
      <c r="R1195" t="s">
        <v>85</v>
      </c>
      <c r="S1195" t="s">
        <v>86</v>
      </c>
    </row>
    <row r="1196" spans="1:19" x14ac:dyDescent="0.25">
      <c r="A1196" t="s">
        <v>30</v>
      </c>
      <c r="B1196" t="s">
        <v>31</v>
      </c>
      <c r="C1196" t="s">
        <v>32</v>
      </c>
      <c r="D1196" t="s">
        <v>33</v>
      </c>
      <c r="E1196" t="s">
        <v>122</v>
      </c>
      <c r="F1196" t="s">
        <v>35</v>
      </c>
      <c r="G1196" t="s">
        <v>35</v>
      </c>
      <c r="H1196" t="s">
        <v>35</v>
      </c>
      <c r="J1196" t="s">
        <v>1752</v>
      </c>
      <c r="K1196" t="s">
        <v>1092</v>
      </c>
      <c r="M1196">
        <v>9.99</v>
      </c>
      <c r="N1196">
        <v>17</v>
      </c>
      <c r="O1196" t="s">
        <v>46</v>
      </c>
      <c r="Q1196" t="s">
        <v>1302</v>
      </c>
      <c r="R1196" t="s">
        <v>85</v>
      </c>
      <c r="S1196" t="s">
        <v>86</v>
      </c>
    </row>
    <row r="1197" spans="1:19" x14ac:dyDescent="0.25">
      <c r="A1197" t="s">
        <v>59</v>
      </c>
      <c r="B1197" t="s">
        <v>60</v>
      </c>
      <c r="C1197" t="s">
        <v>32</v>
      </c>
      <c r="D1197" t="s">
        <v>33</v>
      </c>
      <c r="E1197" t="s">
        <v>122</v>
      </c>
      <c r="F1197" t="s">
        <v>35</v>
      </c>
      <c r="G1197" t="s">
        <v>35</v>
      </c>
      <c r="H1197" t="s">
        <v>35</v>
      </c>
      <c r="J1197" t="s">
        <v>1753</v>
      </c>
      <c r="K1197" t="s">
        <v>1092</v>
      </c>
      <c r="M1197">
        <v>0.1</v>
      </c>
      <c r="N1197">
        <v>99</v>
      </c>
      <c r="O1197" t="s">
        <v>106</v>
      </c>
      <c r="Q1197" t="s">
        <v>1216</v>
      </c>
      <c r="R1197" t="s">
        <v>85</v>
      </c>
      <c r="S1197" t="s">
        <v>86</v>
      </c>
    </row>
    <row r="1198" spans="1:19" x14ac:dyDescent="0.25">
      <c r="A1198" t="s">
        <v>44</v>
      </c>
      <c r="B1198" t="s">
        <v>51</v>
      </c>
      <c r="C1198" t="s">
        <v>32</v>
      </c>
      <c r="D1198" t="s">
        <v>33</v>
      </c>
      <c r="E1198" t="s">
        <v>122</v>
      </c>
      <c r="F1198" t="s">
        <v>35</v>
      </c>
      <c r="G1198" t="s">
        <v>35</v>
      </c>
      <c r="H1198" t="s">
        <v>35</v>
      </c>
      <c r="J1198" t="s">
        <v>1753</v>
      </c>
      <c r="K1198" t="s">
        <v>1092</v>
      </c>
      <c r="M1198">
        <v>0.1</v>
      </c>
      <c r="N1198">
        <v>265</v>
      </c>
      <c r="O1198" t="s">
        <v>5</v>
      </c>
      <c r="Q1198" t="s">
        <v>1754</v>
      </c>
      <c r="R1198" t="s">
        <v>1641</v>
      </c>
      <c r="S1198" t="s">
        <v>1642</v>
      </c>
    </row>
    <row r="1199" spans="1:19" x14ac:dyDescent="0.25">
      <c r="A1199" t="s">
        <v>30</v>
      </c>
      <c r="B1199" t="s">
        <v>31</v>
      </c>
      <c r="C1199" t="s">
        <v>32</v>
      </c>
      <c r="D1199" t="s">
        <v>33</v>
      </c>
      <c r="E1199" t="s">
        <v>122</v>
      </c>
      <c r="F1199" t="s">
        <v>35</v>
      </c>
      <c r="G1199" t="s">
        <v>35</v>
      </c>
      <c r="H1199" t="s">
        <v>35</v>
      </c>
      <c r="J1199" t="s">
        <v>1753</v>
      </c>
      <c r="K1199" t="s">
        <v>1092</v>
      </c>
      <c r="M1199">
        <v>4.1849999999999996</v>
      </c>
      <c r="N1199">
        <v>47</v>
      </c>
      <c r="O1199" t="s">
        <v>52</v>
      </c>
      <c r="Q1199" t="s">
        <v>132</v>
      </c>
      <c r="R1199" t="s">
        <v>199</v>
      </c>
      <c r="S1199" t="s">
        <v>200</v>
      </c>
    </row>
    <row r="1200" spans="1:19" x14ac:dyDescent="0.25">
      <c r="A1200" t="s">
        <v>59</v>
      </c>
      <c r="B1200" t="s">
        <v>60</v>
      </c>
      <c r="C1200" t="s">
        <v>32</v>
      </c>
      <c r="D1200" t="s">
        <v>33</v>
      </c>
      <c r="E1200" t="s">
        <v>122</v>
      </c>
      <c r="F1200" t="s">
        <v>35</v>
      </c>
      <c r="G1200" t="s">
        <v>35</v>
      </c>
      <c r="H1200" t="s">
        <v>35</v>
      </c>
      <c r="J1200" t="s">
        <v>1753</v>
      </c>
      <c r="K1200" t="s">
        <v>1092</v>
      </c>
      <c r="M1200">
        <v>5</v>
      </c>
      <c r="N1200">
        <v>65</v>
      </c>
      <c r="O1200" t="s">
        <v>61</v>
      </c>
      <c r="Q1200" t="s">
        <v>128</v>
      </c>
      <c r="R1200" t="s">
        <v>199</v>
      </c>
      <c r="S1200" t="s">
        <v>200</v>
      </c>
    </row>
    <row r="1201" spans="1:19" x14ac:dyDescent="0.25">
      <c r="A1201" t="s">
        <v>59</v>
      </c>
      <c r="B1201" t="s">
        <v>31</v>
      </c>
      <c r="C1201" t="s">
        <v>32</v>
      </c>
      <c r="D1201" t="s">
        <v>33</v>
      </c>
      <c r="E1201" t="s">
        <v>122</v>
      </c>
      <c r="F1201" t="s">
        <v>35</v>
      </c>
      <c r="G1201" t="s">
        <v>35</v>
      </c>
      <c r="H1201" t="s">
        <v>35</v>
      </c>
      <c r="J1201" t="s">
        <v>1755</v>
      </c>
      <c r="K1201" t="s">
        <v>1092</v>
      </c>
      <c r="M1201">
        <v>1.89</v>
      </c>
      <c r="N1201">
        <v>1182</v>
      </c>
      <c r="O1201" t="s">
        <v>575</v>
      </c>
      <c r="Q1201" t="s">
        <v>1756</v>
      </c>
      <c r="R1201" t="s">
        <v>85</v>
      </c>
      <c r="S1201" t="s">
        <v>86</v>
      </c>
    </row>
    <row r="1202" spans="1:19" x14ac:dyDescent="0.25">
      <c r="A1202" t="s">
        <v>59</v>
      </c>
      <c r="B1202" t="s">
        <v>31</v>
      </c>
      <c r="C1202" t="s">
        <v>32</v>
      </c>
      <c r="D1202" t="s">
        <v>33</v>
      </c>
      <c r="E1202" t="s">
        <v>122</v>
      </c>
      <c r="F1202" t="s">
        <v>35</v>
      </c>
      <c r="G1202" t="s">
        <v>35</v>
      </c>
      <c r="H1202" t="s">
        <v>35</v>
      </c>
      <c r="J1202" t="s">
        <v>1757</v>
      </c>
      <c r="K1202" t="s">
        <v>1092</v>
      </c>
      <c r="M1202">
        <v>7.58</v>
      </c>
      <c r="N1202">
        <v>58</v>
      </c>
      <c r="O1202" t="s">
        <v>52</v>
      </c>
      <c r="Q1202" t="s">
        <v>58</v>
      </c>
      <c r="R1202" t="s">
        <v>199</v>
      </c>
      <c r="S1202" t="s">
        <v>200</v>
      </c>
    </row>
    <row r="1203" spans="1:19" x14ac:dyDescent="0.25">
      <c r="A1203" t="s">
        <v>59</v>
      </c>
      <c r="B1203" t="s">
        <v>60</v>
      </c>
      <c r="C1203" t="s">
        <v>32</v>
      </c>
      <c r="D1203" t="s">
        <v>33</v>
      </c>
      <c r="E1203" t="s">
        <v>122</v>
      </c>
      <c r="F1203" t="s">
        <v>35</v>
      </c>
      <c r="G1203" t="s">
        <v>35</v>
      </c>
      <c r="H1203" t="s">
        <v>35</v>
      </c>
      <c r="J1203" t="s">
        <v>1758</v>
      </c>
      <c r="K1203" t="s">
        <v>1092</v>
      </c>
      <c r="M1203">
        <v>1.5</v>
      </c>
      <c r="N1203">
        <v>100</v>
      </c>
      <c r="O1203" t="s">
        <v>106</v>
      </c>
      <c r="Q1203" t="s">
        <v>1112</v>
      </c>
      <c r="R1203" t="s">
        <v>199</v>
      </c>
      <c r="S1203" t="s">
        <v>200</v>
      </c>
    </row>
    <row r="1204" spans="1:19" x14ac:dyDescent="0.25">
      <c r="A1204" t="s">
        <v>30</v>
      </c>
      <c r="B1204" t="s">
        <v>31</v>
      </c>
      <c r="C1204" t="s">
        <v>32</v>
      </c>
      <c r="D1204" t="s">
        <v>33</v>
      </c>
      <c r="E1204" t="s">
        <v>122</v>
      </c>
      <c r="F1204" t="s">
        <v>35</v>
      </c>
      <c r="G1204" t="s">
        <v>35</v>
      </c>
      <c r="H1204" t="s">
        <v>35</v>
      </c>
      <c r="J1204" t="s">
        <v>1758</v>
      </c>
      <c r="K1204" t="s">
        <v>1092</v>
      </c>
      <c r="M1204">
        <v>4.9950000000000001</v>
      </c>
      <c r="N1204">
        <v>17</v>
      </c>
      <c r="O1204" t="s">
        <v>46</v>
      </c>
      <c r="Q1204" t="s">
        <v>1302</v>
      </c>
      <c r="R1204" t="s">
        <v>85</v>
      </c>
      <c r="S1204" t="s">
        <v>86</v>
      </c>
    </row>
    <row r="1205" spans="1:19" x14ac:dyDescent="0.25">
      <c r="A1205" t="s">
        <v>44</v>
      </c>
      <c r="B1205" t="s">
        <v>51</v>
      </c>
      <c r="C1205" t="s">
        <v>32</v>
      </c>
      <c r="D1205" t="s">
        <v>33</v>
      </c>
      <c r="E1205" t="s">
        <v>122</v>
      </c>
      <c r="F1205" t="s">
        <v>35</v>
      </c>
      <c r="G1205" t="s">
        <v>35</v>
      </c>
      <c r="H1205" t="s">
        <v>35</v>
      </c>
      <c r="J1205" t="s">
        <v>1759</v>
      </c>
      <c r="K1205" t="s">
        <v>1092</v>
      </c>
      <c r="M1205">
        <v>0.435</v>
      </c>
      <c r="N1205">
        <v>455</v>
      </c>
      <c r="O1205" t="s">
        <v>294</v>
      </c>
      <c r="Q1205" t="s">
        <v>1760</v>
      </c>
      <c r="R1205" t="s">
        <v>1641</v>
      </c>
      <c r="S1205" t="s">
        <v>1642</v>
      </c>
    </row>
    <row r="1206" spans="1:19" x14ac:dyDescent="0.25">
      <c r="A1206" t="s">
        <v>44</v>
      </c>
      <c r="B1206" t="s">
        <v>51</v>
      </c>
      <c r="C1206" t="s">
        <v>32</v>
      </c>
      <c r="D1206" t="s">
        <v>33</v>
      </c>
      <c r="E1206" t="s">
        <v>122</v>
      </c>
      <c r="F1206" t="s">
        <v>35</v>
      </c>
      <c r="G1206" t="s">
        <v>35</v>
      </c>
      <c r="H1206" t="s">
        <v>35</v>
      </c>
      <c r="J1206" t="s">
        <v>1761</v>
      </c>
      <c r="K1206" t="s">
        <v>1092</v>
      </c>
      <c r="M1206">
        <v>5.5</v>
      </c>
      <c r="N1206">
        <v>60</v>
      </c>
      <c r="O1206" t="s">
        <v>52</v>
      </c>
      <c r="Q1206" t="s">
        <v>1734</v>
      </c>
      <c r="R1206" t="s">
        <v>199</v>
      </c>
      <c r="S1206" t="s">
        <v>200</v>
      </c>
    </row>
    <row r="1207" spans="1:19" x14ac:dyDescent="0.25">
      <c r="A1207" t="s">
        <v>30</v>
      </c>
      <c r="B1207" t="s">
        <v>31</v>
      </c>
      <c r="C1207" t="s">
        <v>32</v>
      </c>
      <c r="D1207" t="s">
        <v>33</v>
      </c>
      <c r="E1207" t="s">
        <v>122</v>
      </c>
      <c r="F1207" t="s">
        <v>35</v>
      </c>
      <c r="G1207" t="s">
        <v>35</v>
      </c>
      <c r="H1207" t="s">
        <v>35</v>
      </c>
      <c r="J1207" t="s">
        <v>1761</v>
      </c>
      <c r="K1207" t="s">
        <v>1092</v>
      </c>
      <c r="M1207">
        <v>9.99</v>
      </c>
      <c r="N1207">
        <v>25</v>
      </c>
      <c r="O1207" t="s">
        <v>46</v>
      </c>
      <c r="Q1207" t="s">
        <v>831</v>
      </c>
      <c r="R1207" t="s">
        <v>199</v>
      </c>
      <c r="S1207" t="s">
        <v>200</v>
      </c>
    </row>
    <row r="1208" spans="1:19" x14ac:dyDescent="0.25">
      <c r="A1208" t="s">
        <v>59</v>
      </c>
      <c r="B1208" t="s">
        <v>60</v>
      </c>
      <c r="C1208" t="s">
        <v>32</v>
      </c>
      <c r="D1208" t="s">
        <v>33</v>
      </c>
      <c r="E1208" t="s">
        <v>122</v>
      </c>
      <c r="F1208" t="s">
        <v>35</v>
      </c>
      <c r="G1208" t="s">
        <v>35</v>
      </c>
      <c r="H1208" t="s">
        <v>35</v>
      </c>
      <c r="J1208" t="s">
        <v>1762</v>
      </c>
      <c r="K1208" t="s">
        <v>1092</v>
      </c>
      <c r="M1208">
        <v>5.25</v>
      </c>
      <c r="N1208">
        <v>71</v>
      </c>
      <c r="O1208" t="s">
        <v>61</v>
      </c>
      <c r="Q1208" t="s">
        <v>102</v>
      </c>
      <c r="R1208" t="s">
        <v>103</v>
      </c>
      <c r="S1208" t="s">
        <v>104</v>
      </c>
    </row>
    <row r="1209" spans="1:19" x14ac:dyDescent="0.25">
      <c r="A1209" t="s">
        <v>30</v>
      </c>
      <c r="B1209" t="s">
        <v>31</v>
      </c>
      <c r="C1209" t="s">
        <v>32</v>
      </c>
      <c r="D1209" t="s">
        <v>33</v>
      </c>
      <c r="E1209" t="s">
        <v>122</v>
      </c>
      <c r="F1209" t="s">
        <v>35</v>
      </c>
      <c r="G1209" t="s">
        <v>35</v>
      </c>
      <c r="H1209" t="s">
        <v>35</v>
      </c>
      <c r="J1209" t="s">
        <v>1762</v>
      </c>
      <c r="K1209" t="s">
        <v>1092</v>
      </c>
      <c r="M1209">
        <v>5.04</v>
      </c>
      <c r="N1209">
        <v>202</v>
      </c>
      <c r="O1209" t="s">
        <v>5</v>
      </c>
      <c r="Q1209" t="s">
        <v>1299</v>
      </c>
      <c r="R1209" t="s">
        <v>169</v>
      </c>
      <c r="S1209" t="s">
        <v>123</v>
      </c>
    </row>
    <row r="1210" spans="1:19" x14ac:dyDescent="0.25">
      <c r="A1210" t="s">
        <v>30</v>
      </c>
      <c r="B1210" t="s">
        <v>31</v>
      </c>
      <c r="C1210" t="s">
        <v>32</v>
      </c>
      <c r="D1210" t="s">
        <v>33</v>
      </c>
      <c r="E1210" t="s">
        <v>122</v>
      </c>
      <c r="F1210" t="s">
        <v>35</v>
      </c>
      <c r="G1210" t="s">
        <v>35</v>
      </c>
      <c r="H1210" t="s">
        <v>35</v>
      </c>
      <c r="J1210" t="s">
        <v>1762</v>
      </c>
      <c r="K1210" t="s">
        <v>1092</v>
      </c>
      <c r="M1210">
        <v>10.845000000000001</v>
      </c>
      <c r="N1210">
        <v>181</v>
      </c>
      <c r="O1210" t="s">
        <v>5</v>
      </c>
      <c r="Q1210" t="s">
        <v>1684</v>
      </c>
      <c r="R1210" t="s">
        <v>69</v>
      </c>
      <c r="S1210" t="s">
        <v>70</v>
      </c>
    </row>
    <row r="1211" spans="1:19" x14ac:dyDescent="0.25">
      <c r="A1211" t="s">
        <v>59</v>
      </c>
      <c r="B1211" t="s">
        <v>31</v>
      </c>
      <c r="C1211" t="s">
        <v>32</v>
      </c>
      <c r="D1211" t="s">
        <v>33</v>
      </c>
      <c r="E1211" t="s">
        <v>122</v>
      </c>
      <c r="F1211" t="s">
        <v>35</v>
      </c>
      <c r="G1211" t="s">
        <v>35</v>
      </c>
      <c r="H1211" t="s">
        <v>35</v>
      </c>
      <c r="J1211" t="s">
        <v>1762</v>
      </c>
      <c r="K1211" t="s">
        <v>1092</v>
      </c>
      <c r="M1211">
        <v>5.49</v>
      </c>
      <c r="N1211">
        <v>71</v>
      </c>
      <c r="O1211" t="s">
        <v>61</v>
      </c>
      <c r="Q1211" t="s">
        <v>102</v>
      </c>
      <c r="R1211" t="s">
        <v>103</v>
      </c>
      <c r="S1211" t="s">
        <v>104</v>
      </c>
    </row>
    <row r="1212" spans="1:19" x14ac:dyDescent="0.25">
      <c r="A1212" t="s">
        <v>59</v>
      </c>
      <c r="B1212" t="s">
        <v>31</v>
      </c>
      <c r="C1212" t="s">
        <v>32</v>
      </c>
      <c r="D1212" t="s">
        <v>33</v>
      </c>
      <c r="E1212" t="s">
        <v>122</v>
      </c>
      <c r="F1212" t="s">
        <v>35</v>
      </c>
      <c r="G1212" t="s">
        <v>35</v>
      </c>
      <c r="H1212" t="s">
        <v>35</v>
      </c>
      <c r="J1212" t="s">
        <v>1763</v>
      </c>
      <c r="K1212" t="s">
        <v>1092</v>
      </c>
      <c r="M1212">
        <v>4.5449999999999999</v>
      </c>
      <c r="N1212">
        <v>537</v>
      </c>
      <c r="O1212" t="s">
        <v>294</v>
      </c>
      <c r="Q1212" t="s">
        <v>1388</v>
      </c>
      <c r="R1212" t="s">
        <v>1395</v>
      </c>
      <c r="S1212" t="s">
        <v>1396</v>
      </c>
    </row>
    <row r="1213" spans="1:19" x14ac:dyDescent="0.25">
      <c r="A1213" t="s">
        <v>59</v>
      </c>
      <c r="B1213" t="s">
        <v>60</v>
      </c>
      <c r="C1213" t="s">
        <v>32</v>
      </c>
      <c r="D1213" t="s">
        <v>33</v>
      </c>
      <c r="E1213" t="s">
        <v>122</v>
      </c>
      <c r="F1213" t="s">
        <v>35</v>
      </c>
      <c r="G1213" t="s">
        <v>35</v>
      </c>
      <c r="H1213" t="s">
        <v>35</v>
      </c>
      <c r="J1213" t="s">
        <v>1763</v>
      </c>
      <c r="K1213" t="s">
        <v>1092</v>
      </c>
      <c r="M1213">
        <v>5.3</v>
      </c>
      <c r="N1213">
        <v>182</v>
      </c>
      <c r="O1213" t="s">
        <v>5</v>
      </c>
      <c r="Q1213" t="s">
        <v>1764</v>
      </c>
      <c r="R1213" t="s">
        <v>199</v>
      </c>
      <c r="S1213" t="s">
        <v>200</v>
      </c>
    </row>
    <row r="1214" spans="1:19" x14ac:dyDescent="0.25">
      <c r="A1214" t="s">
        <v>59</v>
      </c>
      <c r="B1214" t="s">
        <v>60</v>
      </c>
      <c r="C1214" t="s">
        <v>32</v>
      </c>
      <c r="D1214" t="s">
        <v>33</v>
      </c>
      <c r="E1214" t="s">
        <v>122</v>
      </c>
      <c r="F1214" t="s">
        <v>35</v>
      </c>
      <c r="G1214" t="s">
        <v>35</v>
      </c>
      <c r="H1214" t="s">
        <v>35</v>
      </c>
      <c r="J1214" t="s">
        <v>1763</v>
      </c>
      <c r="K1214" t="s">
        <v>1092</v>
      </c>
      <c r="M1214">
        <v>1.25</v>
      </c>
      <c r="N1214">
        <v>136</v>
      </c>
      <c r="O1214" t="s">
        <v>38</v>
      </c>
      <c r="Q1214" t="s">
        <v>157</v>
      </c>
      <c r="R1214" t="s">
        <v>1395</v>
      </c>
      <c r="S1214" t="s">
        <v>1396</v>
      </c>
    </row>
    <row r="1215" spans="1:19" x14ac:dyDescent="0.25">
      <c r="A1215" t="s">
        <v>59</v>
      </c>
      <c r="B1215" t="s">
        <v>60</v>
      </c>
      <c r="C1215" t="s">
        <v>32</v>
      </c>
      <c r="D1215" t="s">
        <v>33</v>
      </c>
      <c r="E1215" t="s">
        <v>122</v>
      </c>
      <c r="F1215" t="s">
        <v>35</v>
      </c>
      <c r="G1215" t="s">
        <v>35</v>
      </c>
      <c r="H1215" t="s">
        <v>35</v>
      </c>
      <c r="J1215" t="s">
        <v>1765</v>
      </c>
      <c r="K1215" t="s">
        <v>1092</v>
      </c>
      <c r="M1215">
        <v>5.5</v>
      </c>
      <c r="N1215">
        <v>99</v>
      </c>
      <c r="O1215" t="s">
        <v>106</v>
      </c>
      <c r="Q1215" t="s">
        <v>1216</v>
      </c>
      <c r="R1215" t="s">
        <v>103</v>
      </c>
      <c r="S1215" t="s">
        <v>104</v>
      </c>
    </row>
    <row r="1216" spans="1:19" x14ac:dyDescent="0.25">
      <c r="A1216" t="s">
        <v>44</v>
      </c>
      <c r="B1216" t="s">
        <v>51</v>
      </c>
      <c r="C1216" t="s">
        <v>32</v>
      </c>
      <c r="D1216" t="s">
        <v>33</v>
      </c>
      <c r="E1216" t="s">
        <v>122</v>
      </c>
      <c r="F1216" t="s">
        <v>35</v>
      </c>
      <c r="G1216" t="s">
        <v>35</v>
      </c>
      <c r="H1216" t="s">
        <v>35</v>
      </c>
      <c r="J1216" t="s">
        <v>1766</v>
      </c>
      <c r="K1216" t="s">
        <v>1092</v>
      </c>
      <c r="M1216">
        <v>9</v>
      </c>
      <c r="N1216">
        <v>2</v>
      </c>
      <c r="O1216" t="s">
        <v>46</v>
      </c>
      <c r="Q1216" t="s">
        <v>8155</v>
      </c>
      <c r="R1216" t="s">
        <v>1341</v>
      </c>
      <c r="S1216" t="s">
        <v>1342</v>
      </c>
    </row>
    <row r="1217" spans="1:19" x14ac:dyDescent="0.25">
      <c r="A1217" t="s">
        <v>59</v>
      </c>
      <c r="B1217" t="s">
        <v>31</v>
      </c>
      <c r="C1217" t="s">
        <v>32</v>
      </c>
      <c r="D1217" t="s">
        <v>33</v>
      </c>
      <c r="E1217" t="s">
        <v>122</v>
      </c>
      <c r="F1217" t="s">
        <v>35</v>
      </c>
      <c r="G1217" t="s">
        <v>35</v>
      </c>
      <c r="H1217" t="s">
        <v>35</v>
      </c>
      <c r="J1217" t="s">
        <v>1766</v>
      </c>
      <c r="K1217" t="s">
        <v>1092</v>
      </c>
      <c r="M1217">
        <v>5.1749999999999998</v>
      </c>
      <c r="N1217">
        <v>62</v>
      </c>
      <c r="O1217" t="s">
        <v>61</v>
      </c>
      <c r="Q1217" t="s">
        <v>90</v>
      </c>
      <c r="R1217" t="s">
        <v>85</v>
      </c>
      <c r="S1217" t="s">
        <v>86</v>
      </c>
    </row>
    <row r="1218" spans="1:19" x14ac:dyDescent="0.25">
      <c r="A1218" t="s">
        <v>44</v>
      </c>
      <c r="B1218" t="s">
        <v>3</v>
      </c>
      <c r="C1218" t="s">
        <v>32</v>
      </c>
      <c r="D1218" t="s">
        <v>33</v>
      </c>
      <c r="E1218" t="s">
        <v>122</v>
      </c>
      <c r="F1218" t="s">
        <v>35</v>
      </c>
      <c r="G1218" t="s">
        <v>35</v>
      </c>
      <c r="H1218" t="s">
        <v>35</v>
      </c>
      <c r="J1218" t="s">
        <v>1766</v>
      </c>
      <c r="K1218" t="s">
        <v>1092</v>
      </c>
      <c r="M1218">
        <v>4</v>
      </c>
      <c r="N1218">
        <v>7</v>
      </c>
      <c r="O1218" t="s">
        <v>46</v>
      </c>
      <c r="Q1218" t="s">
        <v>8164</v>
      </c>
      <c r="R1218" t="s">
        <v>8227</v>
      </c>
      <c r="S1218" t="s">
        <v>152</v>
      </c>
    </row>
    <row r="1219" spans="1:19" x14ac:dyDescent="0.25">
      <c r="A1219" t="s">
        <v>44</v>
      </c>
      <c r="B1219" t="s">
        <v>3</v>
      </c>
      <c r="C1219" t="s">
        <v>32</v>
      </c>
      <c r="D1219" t="s">
        <v>33</v>
      </c>
      <c r="E1219" t="s">
        <v>122</v>
      </c>
      <c r="F1219" t="s">
        <v>35</v>
      </c>
      <c r="G1219" t="s">
        <v>35</v>
      </c>
      <c r="H1219" t="s">
        <v>35</v>
      </c>
      <c r="J1219" t="s">
        <v>1766</v>
      </c>
      <c r="K1219" t="s">
        <v>1092</v>
      </c>
      <c r="M1219">
        <v>1</v>
      </c>
      <c r="N1219">
        <v>8</v>
      </c>
      <c r="O1219" t="s">
        <v>46</v>
      </c>
      <c r="Q1219" t="s">
        <v>8225</v>
      </c>
      <c r="R1219" t="s">
        <v>8227</v>
      </c>
      <c r="S1219" t="s">
        <v>152</v>
      </c>
    </row>
    <row r="1220" spans="1:19" x14ac:dyDescent="0.25">
      <c r="A1220" t="s">
        <v>30</v>
      </c>
      <c r="B1220" t="s">
        <v>31</v>
      </c>
      <c r="C1220" t="s">
        <v>32</v>
      </c>
      <c r="D1220" t="s">
        <v>33</v>
      </c>
      <c r="E1220" t="s">
        <v>122</v>
      </c>
      <c r="F1220" t="s">
        <v>35</v>
      </c>
      <c r="G1220" t="s">
        <v>35</v>
      </c>
      <c r="H1220" t="s">
        <v>35</v>
      </c>
      <c r="J1220" t="s">
        <v>1766</v>
      </c>
      <c r="K1220" t="s">
        <v>1092</v>
      </c>
      <c r="M1220">
        <v>19.71</v>
      </c>
      <c r="N1220">
        <v>20</v>
      </c>
      <c r="O1220" t="s">
        <v>46</v>
      </c>
      <c r="Q1220" t="s">
        <v>1004</v>
      </c>
      <c r="R1220" t="s">
        <v>85</v>
      </c>
      <c r="S1220" t="s">
        <v>86</v>
      </c>
    </row>
    <row r="1221" spans="1:19" x14ac:dyDescent="0.25">
      <c r="A1221" t="s">
        <v>30</v>
      </c>
      <c r="B1221" t="s">
        <v>31</v>
      </c>
      <c r="C1221" t="s">
        <v>32</v>
      </c>
      <c r="D1221" t="s">
        <v>33</v>
      </c>
      <c r="E1221" t="s">
        <v>122</v>
      </c>
      <c r="F1221" t="s">
        <v>35</v>
      </c>
      <c r="G1221" t="s">
        <v>35</v>
      </c>
      <c r="H1221" t="s">
        <v>35</v>
      </c>
      <c r="J1221" t="s">
        <v>1767</v>
      </c>
      <c r="K1221" t="s">
        <v>1092</v>
      </c>
      <c r="M1221">
        <v>9.99</v>
      </c>
      <c r="N1221">
        <v>24</v>
      </c>
      <c r="O1221" t="s">
        <v>46</v>
      </c>
      <c r="Q1221" t="s">
        <v>255</v>
      </c>
      <c r="R1221" t="s">
        <v>1331</v>
      </c>
      <c r="S1221" t="s">
        <v>1332</v>
      </c>
    </row>
    <row r="1222" spans="1:19" x14ac:dyDescent="0.25">
      <c r="A1222" t="s">
        <v>59</v>
      </c>
      <c r="B1222" t="s">
        <v>60</v>
      </c>
      <c r="C1222" t="s">
        <v>32</v>
      </c>
      <c r="D1222" t="s">
        <v>33</v>
      </c>
      <c r="E1222" t="s">
        <v>122</v>
      </c>
      <c r="F1222" t="s">
        <v>35</v>
      </c>
      <c r="G1222" t="s">
        <v>35</v>
      </c>
      <c r="H1222" t="s">
        <v>35</v>
      </c>
      <c r="J1222" t="s">
        <v>1768</v>
      </c>
      <c r="K1222" t="s">
        <v>1092</v>
      </c>
      <c r="M1222">
        <v>1.8</v>
      </c>
      <c r="N1222">
        <v>74</v>
      </c>
      <c r="O1222" t="s">
        <v>61</v>
      </c>
      <c r="Q1222" t="s">
        <v>488</v>
      </c>
      <c r="R1222" t="s">
        <v>199</v>
      </c>
      <c r="S1222" t="s">
        <v>200</v>
      </c>
    </row>
    <row r="1223" spans="1:19" x14ac:dyDescent="0.25">
      <c r="A1223" t="s">
        <v>30</v>
      </c>
      <c r="B1223" t="s">
        <v>31</v>
      </c>
      <c r="C1223" t="s">
        <v>32</v>
      </c>
      <c r="D1223" t="s">
        <v>33</v>
      </c>
      <c r="E1223" t="s">
        <v>122</v>
      </c>
      <c r="F1223" t="s">
        <v>35</v>
      </c>
      <c r="G1223" t="s">
        <v>35</v>
      </c>
      <c r="H1223" t="s">
        <v>35</v>
      </c>
      <c r="J1223" t="s">
        <v>1768</v>
      </c>
      <c r="K1223" t="s">
        <v>1092</v>
      </c>
      <c r="M1223">
        <v>6.5750000000000002</v>
      </c>
      <c r="N1223">
        <v>45</v>
      </c>
      <c r="O1223" t="s">
        <v>52</v>
      </c>
      <c r="Q1223" t="s">
        <v>716</v>
      </c>
      <c r="R1223" t="s">
        <v>85</v>
      </c>
      <c r="S1223" t="s">
        <v>86</v>
      </c>
    </row>
    <row r="1224" spans="1:19" x14ac:dyDescent="0.25">
      <c r="A1224" t="s">
        <v>30</v>
      </c>
      <c r="B1224" t="s">
        <v>31</v>
      </c>
      <c r="C1224" t="s">
        <v>32</v>
      </c>
      <c r="D1224" t="s">
        <v>33</v>
      </c>
      <c r="E1224" t="s">
        <v>122</v>
      </c>
      <c r="F1224" t="s">
        <v>35</v>
      </c>
      <c r="G1224" t="s">
        <v>35</v>
      </c>
      <c r="H1224" t="s">
        <v>35</v>
      </c>
      <c r="J1224" t="s">
        <v>1769</v>
      </c>
      <c r="K1224" t="s">
        <v>1092</v>
      </c>
      <c r="M1224">
        <v>4.4999999999999998E-2</v>
      </c>
      <c r="N1224">
        <v>73</v>
      </c>
      <c r="O1224" t="s">
        <v>61</v>
      </c>
      <c r="Q1224" t="s">
        <v>552</v>
      </c>
      <c r="R1224" t="s">
        <v>85</v>
      </c>
      <c r="S1224" t="s">
        <v>86</v>
      </c>
    </row>
    <row r="1225" spans="1:19" x14ac:dyDescent="0.25">
      <c r="A1225" t="s">
        <v>30</v>
      </c>
      <c r="B1225" t="s">
        <v>31</v>
      </c>
      <c r="C1225" t="s">
        <v>32</v>
      </c>
      <c r="D1225" t="s">
        <v>33</v>
      </c>
      <c r="E1225" t="s">
        <v>122</v>
      </c>
      <c r="F1225" t="s">
        <v>35</v>
      </c>
      <c r="G1225" t="s">
        <v>35</v>
      </c>
      <c r="H1225" t="s">
        <v>35</v>
      </c>
      <c r="J1225" t="s">
        <v>1770</v>
      </c>
      <c r="K1225" t="s">
        <v>1092</v>
      </c>
      <c r="M1225">
        <v>5.49</v>
      </c>
      <c r="N1225">
        <v>46</v>
      </c>
      <c r="O1225" t="s">
        <v>52</v>
      </c>
      <c r="Q1225" t="s">
        <v>493</v>
      </c>
      <c r="R1225" t="s">
        <v>85</v>
      </c>
      <c r="S1225" t="s">
        <v>86</v>
      </c>
    </row>
    <row r="1226" spans="1:19" x14ac:dyDescent="0.25">
      <c r="A1226" t="s">
        <v>59</v>
      </c>
      <c r="B1226" t="s">
        <v>31</v>
      </c>
      <c r="C1226" t="s">
        <v>32</v>
      </c>
      <c r="D1226" t="s">
        <v>33</v>
      </c>
      <c r="E1226" t="s">
        <v>122</v>
      </c>
      <c r="F1226" t="s">
        <v>35</v>
      </c>
      <c r="G1226" t="s">
        <v>35</v>
      </c>
      <c r="H1226" t="s">
        <v>35</v>
      </c>
      <c r="J1226" t="s">
        <v>1770</v>
      </c>
      <c r="K1226" t="s">
        <v>1092</v>
      </c>
      <c r="M1226">
        <v>3.6</v>
      </c>
      <c r="N1226">
        <v>283</v>
      </c>
      <c r="O1226" t="s">
        <v>5</v>
      </c>
      <c r="Q1226" t="s">
        <v>1771</v>
      </c>
      <c r="R1226" t="s">
        <v>169</v>
      </c>
      <c r="S1226" t="s">
        <v>123</v>
      </c>
    </row>
    <row r="1227" spans="1:19" x14ac:dyDescent="0.25">
      <c r="A1227" t="s">
        <v>44</v>
      </c>
      <c r="B1227" t="s">
        <v>3</v>
      </c>
      <c r="C1227" t="s">
        <v>32</v>
      </c>
      <c r="D1227" t="s">
        <v>33</v>
      </c>
      <c r="E1227" t="s">
        <v>122</v>
      </c>
      <c r="F1227" t="s">
        <v>35</v>
      </c>
      <c r="G1227" t="s">
        <v>35</v>
      </c>
      <c r="H1227" t="s">
        <v>35</v>
      </c>
      <c r="J1227" t="s">
        <v>1770</v>
      </c>
      <c r="K1227" t="s">
        <v>1092</v>
      </c>
      <c r="M1227">
        <v>1</v>
      </c>
      <c r="N1227">
        <v>25</v>
      </c>
      <c r="O1227" t="s">
        <v>46</v>
      </c>
      <c r="Q1227" t="s">
        <v>831</v>
      </c>
      <c r="R1227" t="s">
        <v>1352</v>
      </c>
      <c r="S1227" t="s">
        <v>141</v>
      </c>
    </row>
    <row r="1228" spans="1:19" x14ac:dyDescent="0.25">
      <c r="A1228" t="s">
        <v>59</v>
      </c>
      <c r="B1228" t="s">
        <v>31</v>
      </c>
      <c r="C1228" t="s">
        <v>32</v>
      </c>
      <c r="D1228" t="s">
        <v>33</v>
      </c>
      <c r="E1228" t="s">
        <v>122</v>
      </c>
      <c r="F1228" t="s">
        <v>35</v>
      </c>
      <c r="G1228" t="s">
        <v>35</v>
      </c>
      <c r="H1228" t="s">
        <v>35</v>
      </c>
      <c r="J1228" t="s">
        <v>1772</v>
      </c>
      <c r="K1228" t="s">
        <v>1092</v>
      </c>
      <c r="M1228">
        <v>7.02</v>
      </c>
      <c r="N1228">
        <v>90</v>
      </c>
      <c r="O1228" t="s">
        <v>61</v>
      </c>
      <c r="Q1228" t="s">
        <v>897</v>
      </c>
      <c r="R1228" t="s">
        <v>1331</v>
      </c>
      <c r="S1228" t="s">
        <v>1332</v>
      </c>
    </row>
    <row r="1229" spans="1:19" x14ac:dyDescent="0.25">
      <c r="A1229" t="s">
        <v>59</v>
      </c>
      <c r="B1229" t="s">
        <v>60</v>
      </c>
      <c r="C1229" t="s">
        <v>32</v>
      </c>
      <c r="D1229" t="s">
        <v>33</v>
      </c>
      <c r="E1229" t="s">
        <v>122</v>
      </c>
      <c r="F1229" t="s">
        <v>35</v>
      </c>
      <c r="G1229" t="s">
        <v>35</v>
      </c>
      <c r="H1229" t="s">
        <v>35</v>
      </c>
      <c r="J1229" t="s">
        <v>1772</v>
      </c>
      <c r="K1229" t="s">
        <v>1092</v>
      </c>
      <c r="M1229">
        <v>2</v>
      </c>
      <c r="N1229">
        <v>90</v>
      </c>
      <c r="O1229" t="s">
        <v>61</v>
      </c>
      <c r="Q1229" t="s">
        <v>897</v>
      </c>
      <c r="R1229" t="s">
        <v>1331</v>
      </c>
      <c r="S1229" t="s">
        <v>1332</v>
      </c>
    </row>
    <row r="1230" spans="1:19" x14ac:dyDescent="0.25">
      <c r="A1230" t="s">
        <v>59</v>
      </c>
      <c r="B1230" t="s">
        <v>60</v>
      </c>
      <c r="C1230" t="s">
        <v>32</v>
      </c>
      <c r="D1230" t="s">
        <v>33</v>
      </c>
      <c r="E1230" t="s">
        <v>122</v>
      </c>
      <c r="F1230" t="s">
        <v>35</v>
      </c>
      <c r="G1230" t="s">
        <v>35</v>
      </c>
      <c r="H1230" t="s">
        <v>35</v>
      </c>
      <c r="J1230" t="s">
        <v>1773</v>
      </c>
      <c r="K1230" t="s">
        <v>1092</v>
      </c>
      <c r="M1230">
        <v>3</v>
      </c>
      <c r="N1230">
        <v>73</v>
      </c>
      <c r="O1230" t="s">
        <v>61</v>
      </c>
      <c r="Q1230" t="s">
        <v>552</v>
      </c>
      <c r="R1230" t="s">
        <v>85</v>
      </c>
      <c r="S1230" t="s">
        <v>86</v>
      </c>
    </row>
    <row r="1231" spans="1:19" x14ac:dyDescent="0.25">
      <c r="A1231" t="s">
        <v>59</v>
      </c>
      <c r="B1231" t="s">
        <v>31</v>
      </c>
      <c r="C1231" t="s">
        <v>32</v>
      </c>
      <c r="D1231" t="s">
        <v>33</v>
      </c>
      <c r="E1231" t="s">
        <v>122</v>
      </c>
      <c r="F1231" t="s">
        <v>35</v>
      </c>
      <c r="G1231" t="s">
        <v>35</v>
      </c>
      <c r="H1231" t="s">
        <v>35</v>
      </c>
      <c r="J1231" t="s">
        <v>1773</v>
      </c>
      <c r="K1231" t="s">
        <v>1092</v>
      </c>
      <c r="M1231">
        <v>0.79500000000000004</v>
      </c>
      <c r="N1231">
        <v>247</v>
      </c>
      <c r="O1231" t="s">
        <v>5</v>
      </c>
      <c r="Q1231" t="s">
        <v>574</v>
      </c>
      <c r="R1231" t="s">
        <v>85</v>
      </c>
      <c r="S1231" t="s">
        <v>86</v>
      </c>
    </row>
    <row r="1232" spans="1:19" x14ac:dyDescent="0.25">
      <c r="A1232" t="s">
        <v>59</v>
      </c>
      <c r="B1232" t="s">
        <v>60</v>
      </c>
      <c r="C1232" t="s">
        <v>32</v>
      </c>
      <c r="D1232" t="s">
        <v>33</v>
      </c>
      <c r="E1232" t="s">
        <v>122</v>
      </c>
      <c r="F1232" t="s">
        <v>35</v>
      </c>
      <c r="G1232" t="s">
        <v>35</v>
      </c>
      <c r="H1232" t="s">
        <v>35</v>
      </c>
      <c r="J1232" t="s">
        <v>1774</v>
      </c>
      <c r="K1232" t="s">
        <v>1092</v>
      </c>
      <c r="M1232">
        <v>0.38</v>
      </c>
      <c r="N1232">
        <v>573</v>
      </c>
      <c r="O1232" t="s">
        <v>575</v>
      </c>
      <c r="Q1232" t="s">
        <v>1775</v>
      </c>
      <c r="R1232" t="s">
        <v>193</v>
      </c>
      <c r="S1232" t="s">
        <v>181</v>
      </c>
    </row>
    <row r="1233" spans="1:19" x14ac:dyDescent="0.25">
      <c r="A1233" t="s">
        <v>59</v>
      </c>
      <c r="B1233" t="s">
        <v>60</v>
      </c>
      <c r="C1233" t="s">
        <v>32</v>
      </c>
      <c r="D1233" t="s">
        <v>33</v>
      </c>
      <c r="E1233" t="s">
        <v>122</v>
      </c>
      <c r="F1233" t="s">
        <v>35</v>
      </c>
      <c r="G1233" t="s">
        <v>35</v>
      </c>
      <c r="H1233" t="s">
        <v>35</v>
      </c>
      <c r="J1233" t="s">
        <v>1776</v>
      </c>
      <c r="K1233" t="s">
        <v>1092</v>
      </c>
      <c r="M1233">
        <v>3.8</v>
      </c>
      <c r="N1233">
        <v>213</v>
      </c>
      <c r="O1233" t="s">
        <v>5</v>
      </c>
      <c r="Q1233" t="s">
        <v>1298</v>
      </c>
      <c r="R1233" t="s">
        <v>1395</v>
      </c>
      <c r="S1233" t="s">
        <v>1396</v>
      </c>
    </row>
    <row r="1234" spans="1:19" x14ac:dyDescent="0.25">
      <c r="A1234" t="s">
        <v>30</v>
      </c>
      <c r="B1234" t="s">
        <v>31</v>
      </c>
      <c r="C1234" t="s">
        <v>32</v>
      </c>
      <c r="D1234" t="s">
        <v>33</v>
      </c>
      <c r="E1234" t="s">
        <v>122</v>
      </c>
      <c r="F1234" t="s">
        <v>35</v>
      </c>
      <c r="G1234" t="s">
        <v>35</v>
      </c>
      <c r="H1234" t="s">
        <v>35</v>
      </c>
      <c r="J1234" t="s">
        <v>1777</v>
      </c>
      <c r="K1234" t="s">
        <v>1092</v>
      </c>
      <c r="M1234">
        <v>0.45</v>
      </c>
      <c r="N1234">
        <v>738</v>
      </c>
      <c r="O1234" t="s">
        <v>575</v>
      </c>
      <c r="Q1234" t="s">
        <v>1778</v>
      </c>
      <c r="R1234" t="s">
        <v>1641</v>
      </c>
      <c r="S1234" t="s">
        <v>1642</v>
      </c>
    </row>
    <row r="1235" spans="1:19" x14ac:dyDescent="0.25">
      <c r="A1235" t="s">
        <v>44</v>
      </c>
      <c r="B1235" t="s">
        <v>51</v>
      </c>
      <c r="C1235" t="s">
        <v>32</v>
      </c>
      <c r="D1235" t="s">
        <v>33</v>
      </c>
      <c r="E1235" t="s">
        <v>122</v>
      </c>
      <c r="F1235" t="s">
        <v>35</v>
      </c>
      <c r="G1235" t="s">
        <v>35</v>
      </c>
      <c r="H1235" t="s">
        <v>35</v>
      </c>
      <c r="J1235" t="s">
        <v>1779</v>
      </c>
      <c r="K1235" t="s">
        <v>1092</v>
      </c>
      <c r="M1235">
        <v>0.55000000000000004</v>
      </c>
      <c r="N1235">
        <v>234</v>
      </c>
      <c r="O1235" t="s">
        <v>5</v>
      </c>
      <c r="Q1235" t="s">
        <v>1780</v>
      </c>
      <c r="R1235" t="s">
        <v>1641</v>
      </c>
      <c r="S1235" t="s">
        <v>1642</v>
      </c>
    </row>
    <row r="1236" spans="1:19" x14ac:dyDescent="0.25">
      <c r="A1236" t="s">
        <v>44</v>
      </c>
      <c r="B1236" t="s">
        <v>51</v>
      </c>
      <c r="C1236" t="s">
        <v>32</v>
      </c>
      <c r="D1236" t="s">
        <v>33</v>
      </c>
      <c r="E1236" t="s">
        <v>122</v>
      </c>
      <c r="F1236" t="s">
        <v>35</v>
      </c>
      <c r="G1236" t="s">
        <v>35</v>
      </c>
      <c r="H1236" t="s">
        <v>35</v>
      </c>
      <c r="J1236" t="s">
        <v>1781</v>
      </c>
      <c r="K1236" t="s">
        <v>1092</v>
      </c>
      <c r="M1236">
        <v>0.5</v>
      </c>
      <c r="N1236">
        <v>325</v>
      </c>
      <c r="O1236" t="s">
        <v>5</v>
      </c>
      <c r="Q1236" t="s">
        <v>1782</v>
      </c>
      <c r="R1236" t="s">
        <v>1352</v>
      </c>
      <c r="S1236" t="s">
        <v>141</v>
      </c>
    </row>
    <row r="1237" spans="1:19" x14ac:dyDescent="0.25">
      <c r="A1237" t="s">
        <v>44</v>
      </c>
      <c r="B1237" t="s">
        <v>3</v>
      </c>
      <c r="C1237" t="s">
        <v>32</v>
      </c>
      <c r="D1237" t="s">
        <v>33</v>
      </c>
      <c r="E1237" t="s">
        <v>122</v>
      </c>
      <c r="F1237" t="s">
        <v>35</v>
      </c>
      <c r="G1237" t="s">
        <v>35</v>
      </c>
      <c r="H1237" t="s">
        <v>35</v>
      </c>
      <c r="J1237" t="s">
        <v>1783</v>
      </c>
      <c r="K1237" t="s">
        <v>1092</v>
      </c>
      <c r="M1237">
        <v>2.5</v>
      </c>
      <c r="N1237">
        <v>59</v>
      </c>
      <c r="O1237" t="s">
        <v>52</v>
      </c>
      <c r="Q1237" t="s">
        <v>84</v>
      </c>
      <c r="R1237" t="s">
        <v>169</v>
      </c>
      <c r="S1237" t="s">
        <v>123</v>
      </c>
    </row>
    <row r="1238" spans="1:19" x14ac:dyDescent="0.25">
      <c r="A1238" t="s">
        <v>30</v>
      </c>
      <c r="B1238" t="s">
        <v>31</v>
      </c>
      <c r="C1238" t="s">
        <v>32</v>
      </c>
      <c r="D1238" t="s">
        <v>33</v>
      </c>
      <c r="E1238" t="s">
        <v>122</v>
      </c>
      <c r="F1238" t="s">
        <v>35</v>
      </c>
      <c r="G1238" t="s">
        <v>35</v>
      </c>
      <c r="H1238" t="s">
        <v>35</v>
      </c>
      <c r="J1238" t="s">
        <v>1783</v>
      </c>
      <c r="K1238" t="s">
        <v>1092</v>
      </c>
      <c r="M1238">
        <v>2.61</v>
      </c>
      <c r="N1238">
        <v>47</v>
      </c>
      <c r="O1238" t="s">
        <v>52</v>
      </c>
      <c r="Q1238" t="s">
        <v>132</v>
      </c>
      <c r="R1238" t="s">
        <v>103</v>
      </c>
      <c r="S1238" t="s">
        <v>104</v>
      </c>
    </row>
    <row r="1239" spans="1:19" x14ac:dyDescent="0.25">
      <c r="A1239" t="s">
        <v>59</v>
      </c>
      <c r="B1239" t="s">
        <v>31</v>
      </c>
      <c r="C1239" t="s">
        <v>32</v>
      </c>
      <c r="D1239" t="s">
        <v>33</v>
      </c>
      <c r="E1239" t="s">
        <v>122</v>
      </c>
      <c r="F1239" t="s">
        <v>35</v>
      </c>
      <c r="G1239" t="s">
        <v>35</v>
      </c>
      <c r="H1239" t="s">
        <v>35</v>
      </c>
      <c r="J1239" t="s">
        <v>1784</v>
      </c>
      <c r="K1239" t="s">
        <v>1092</v>
      </c>
      <c r="M1239">
        <v>5</v>
      </c>
      <c r="N1239">
        <v>56</v>
      </c>
      <c r="O1239" t="s">
        <v>52</v>
      </c>
      <c r="Q1239" t="s">
        <v>453</v>
      </c>
      <c r="R1239" t="s">
        <v>1726</v>
      </c>
      <c r="S1239" t="s">
        <v>149</v>
      </c>
    </row>
    <row r="1240" spans="1:19" x14ac:dyDescent="0.25">
      <c r="A1240" t="s">
        <v>59</v>
      </c>
      <c r="B1240" t="s">
        <v>31</v>
      </c>
      <c r="C1240" t="s">
        <v>32</v>
      </c>
      <c r="D1240" t="s">
        <v>33</v>
      </c>
      <c r="E1240" t="s">
        <v>122</v>
      </c>
      <c r="F1240" t="s">
        <v>35</v>
      </c>
      <c r="G1240" t="s">
        <v>35</v>
      </c>
      <c r="H1240" t="s">
        <v>35</v>
      </c>
      <c r="J1240" t="s">
        <v>1784</v>
      </c>
      <c r="K1240" t="s">
        <v>1092</v>
      </c>
      <c r="M1240">
        <v>8.91</v>
      </c>
      <c r="N1240">
        <v>174</v>
      </c>
      <c r="O1240" t="s">
        <v>38</v>
      </c>
      <c r="Q1240" t="s">
        <v>1565</v>
      </c>
      <c r="R1240" t="s">
        <v>169</v>
      </c>
      <c r="S1240" t="s">
        <v>123</v>
      </c>
    </row>
    <row r="1241" spans="1:19" x14ac:dyDescent="0.25">
      <c r="A1241" t="s">
        <v>44</v>
      </c>
      <c r="B1241" t="s">
        <v>3</v>
      </c>
      <c r="C1241" t="s">
        <v>32</v>
      </c>
      <c r="D1241" t="s">
        <v>33</v>
      </c>
      <c r="E1241" t="s">
        <v>122</v>
      </c>
      <c r="F1241" t="s">
        <v>35</v>
      </c>
      <c r="G1241" t="s">
        <v>35</v>
      </c>
      <c r="H1241" t="s">
        <v>35</v>
      </c>
      <c r="J1241" t="s">
        <v>1785</v>
      </c>
      <c r="K1241" t="s">
        <v>1092</v>
      </c>
      <c r="M1241">
        <v>1</v>
      </c>
      <c r="N1241">
        <v>25</v>
      </c>
      <c r="O1241" t="s">
        <v>46</v>
      </c>
      <c r="Q1241" t="s">
        <v>831</v>
      </c>
      <c r="R1241" t="s">
        <v>1352</v>
      </c>
      <c r="S1241" t="s">
        <v>141</v>
      </c>
    </row>
    <row r="1242" spans="1:19" x14ac:dyDescent="0.25">
      <c r="A1242" t="s">
        <v>59</v>
      </c>
      <c r="B1242" t="s">
        <v>60</v>
      </c>
      <c r="C1242" t="s">
        <v>32</v>
      </c>
      <c r="D1242" t="s">
        <v>33</v>
      </c>
      <c r="E1242" t="s">
        <v>122</v>
      </c>
      <c r="F1242" t="s">
        <v>35</v>
      </c>
      <c r="G1242" t="s">
        <v>35</v>
      </c>
      <c r="H1242" t="s">
        <v>35</v>
      </c>
      <c r="J1242" t="s">
        <v>1785</v>
      </c>
      <c r="K1242" t="s">
        <v>1092</v>
      </c>
      <c r="M1242">
        <v>1.75</v>
      </c>
      <c r="N1242">
        <v>157</v>
      </c>
      <c r="O1242" t="s">
        <v>38</v>
      </c>
      <c r="Q1242" t="s">
        <v>1145</v>
      </c>
      <c r="R1242" t="s">
        <v>193</v>
      </c>
      <c r="S1242" t="s">
        <v>181</v>
      </c>
    </row>
    <row r="1243" spans="1:19" x14ac:dyDescent="0.25">
      <c r="A1243" t="s">
        <v>30</v>
      </c>
      <c r="B1243" t="s">
        <v>31</v>
      </c>
      <c r="C1243" t="s">
        <v>32</v>
      </c>
      <c r="D1243" t="s">
        <v>33</v>
      </c>
      <c r="E1243" t="s">
        <v>122</v>
      </c>
      <c r="F1243" t="s">
        <v>35</v>
      </c>
      <c r="G1243" t="s">
        <v>35</v>
      </c>
      <c r="H1243" t="s">
        <v>35</v>
      </c>
      <c r="J1243" t="s">
        <v>1785</v>
      </c>
      <c r="K1243" t="s">
        <v>1092</v>
      </c>
      <c r="M1243">
        <v>1.665</v>
      </c>
      <c r="N1243">
        <v>49</v>
      </c>
      <c r="O1243" t="s">
        <v>52</v>
      </c>
      <c r="Q1243" t="s">
        <v>219</v>
      </c>
      <c r="R1243" t="s">
        <v>193</v>
      </c>
      <c r="S1243" t="s">
        <v>181</v>
      </c>
    </row>
    <row r="1244" spans="1:19" x14ac:dyDescent="0.25">
      <c r="A1244" t="s">
        <v>44</v>
      </c>
      <c r="B1244" t="s">
        <v>3</v>
      </c>
      <c r="C1244" t="s">
        <v>32</v>
      </c>
      <c r="D1244" t="s">
        <v>33</v>
      </c>
      <c r="E1244" t="s">
        <v>122</v>
      </c>
      <c r="F1244" t="s">
        <v>35</v>
      </c>
      <c r="G1244" t="s">
        <v>35</v>
      </c>
      <c r="H1244" t="s">
        <v>35</v>
      </c>
      <c r="J1244" t="s">
        <v>1785</v>
      </c>
      <c r="K1244" t="s">
        <v>1092</v>
      </c>
      <c r="M1244">
        <v>0.5</v>
      </c>
      <c r="N1244">
        <v>11</v>
      </c>
      <c r="O1244" t="s">
        <v>46</v>
      </c>
      <c r="Q1244" t="s">
        <v>1053</v>
      </c>
      <c r="R1244" t="s">
        <v>1352</v>
      </c>
      <c r="S1244" t="s">
        <v>141</v>
      </c>
    </row>
    <row r="1245" spans="1:19" x14ac:dyDescent="0.25">
      <c r="A1245" t="s">
        <v>59</v>
      </c>
      <c r="B1245" t="s">
        <v>60</v>
      </c>
      <c r="C1245" t="s">
        <v>32</v>
      </c>
      <c r="D1245" t="s">
        <v>33</v>
      </c>
      <c r="E1245" t="s">
        <v>122</v>
      </c>
      <c r="F1245" t="s">
        <v>35</v>
      </c>
      <c r="G1245" t="s">
        <v>35</v>
      </c>
      <c r="H1245" t="s">
        <v>35</v>
      </c>
      <c r="J1245" t="s">
        <v>1785</v>
      </c>
      <c r="K1245" t="s">
        <v>1092</v>
      </c>
      <c r="M1245">
        <v>0.76700000000000002</v>
      </c>
      <c r="N1245">
        <v>212</v>
      </c>
      <c r="O1245" t="s">
        <v>5</v>
      </c>
      <c r="Q1245" t="s">
        <v>1711</v>
      </c>
      <c r="R1245" t="s">
        <v>103</v>
      </c>
      <c r="S1245" t="s">
        <v>104</v>
      </c>
    </row>
    <row r="1246" spans="1:19" x14ac:dyDescent="0.25">
      <c r="A1246" t="s">
        <v>59</v>
      </c>
      <c r="B1246" t="s">
        <v>60</v>
      </c>
      <c r="C1246" t="s">
        <v>32</v>
      </c>
      <c r="D1246" t="s">
        <v>33</v>
      </c>
      <c r="E1246" t="s">
        <v>122</v>
      </c>
      <c r="F1246" t="s">
        <v>35</v>
      </c>
      <c r="G1246" t="s">
        <v>35</v>
      </c>
      <c r="H1246" t="s">
        <v>35</v>
      </c>
      <c r="J1246" t="s">
        <v>1786</v>
      </c>
      <c r="K1246" t="s">
        <v>1092</v>
      </c>
      <c r="M1246">
        <v>2.95</v>
      </c>
      <c r="N1246">
        <v>63</v>
      </c>
      <c r="O1246" t="s">
        <v>61</v>
      </c>
      <c r="Q1246" t="s">
        <v>423</v>
      </c>
      <c r="R1246" t="s">
        <v>103</v>
      </c>
      <c r="S1246" t="s">
        <v>104</v>
      </c>
    </row>
    <row r="1247" spans="1:19" x14ac:dyDescent="0.25">
      <c r="A1247" t="s">
        <v>44</v>
      </c>
      <c r="B1247" t="s">
        <v>3</v>
      </c>
      <c r="C1247" t="s">
        <v>32</v>
      </c>
      <c r="D1247" t="s">
        <v>33</v>
      </c>
      <c r="E1247" t="s">
        <v>122</v>
      </c>
      <c r="F1247" t="s">
        <v>35</v>
      </c>
      <c r="G1247" t="s">
        <v>35</v>
      </c>
      <c r="H1247" t="s">
        <v>35</v>
      </c>
      <c r="J1247" t="s">
        <v>1786</v>
      </c>
      <c r="K1247" t="s">
        <v>1092</v>
      </c>
      <c r="M1247">
        <v>0.1</v>
      </c>
      <c r="N1247">
        <v>436</v>
      </c>
      <c r="O1247" t="s">
        <v>294</v>
      </c>
      <c r="Q1247" t="s">
        <v>1787</v>
      </c>
      <c r="R1247" t="s">
        <v>103</v>
      </c>
      <c r="S1247" t="s">
        <v>104</v>
      </c>
    </row>
    <row r="1248" spans="1:19" x14ac:dyDescent="0.25">
      <c r="A1248" t="s">
        <v>59</v>
      </c>
      <c r="B1248" t="s">
        <v>60</v>
      </c>
      <c r="C1248" t="s">
        <v>32</v>
      </c>
      <c r="D1248" t="s">
        <v>33</v>
      </c>
      <c r="E1248" t="s">
        <v>122</v>
      </c>
      <c r="F1248" t="s">
        <v>35</v>
      </c>
      <c r="G1248" t="s">
        <v>35</v>
      </c>
      <c r="H1248" t="s">
        <v>35</v>
      </c>
      <c r="J1248" t="s">
        <v>1788</v>
      </c>
      <c r="K1248" t="s">
        <v>1092</v>
      </c>
      <c r="M1248">
        <v>2.2999999999999998</v>
      </c>
      <c r="N1248">
        <v>75</v>
      </c>
      <c r="O1248" t="s">
        <v>61</v>
      </c>
      <c r="Q1248" t="s">
        <v>805</v>
      </c>
      <c r="R1248" t="s">
        <v>199</v>
      </c>
      <c r="S1248" t="s">
        <v>200</v>
      </c>
    </row>
    <row r="1249" spans="1:19" x14ac:dyDescent="0.25">
      <c r="A1249" t="s">
        <v>59</v>
      </c>
      <c r="B1249" t="s">
        <v>60</v>
      </c>
      <c r="C1249" t="s">
        <v>32</v>
      </c>
      <c r="D1249" t="s">
        <v>33</v>
      </c>
      <c r="E1249" t="s">
        <v>122</v>
      </c>
      <c r="F1249" t="s">
        <v>35</v>
      </c>
      <c r="G1249" t="s">
        <v>35</v>
      </c>
      <c r="H1249" t="s">
        <v>35</v>
      </c>
      <c r="J1249" t="s">
        <v>1788</v>
      </c>
      <c r="K1249" t="s">
        <v>1092</v>
      </c>
      <c r="M1249">
        <v>6</v>
      </c>
      <c r="N1249">
        <v>62</v>
      </c>
      <c r="O1249" t="s">
        <v>61</v>
      </c>
      <c r="Q1249" t="s">
        <v>90</v>
      </c>
      <c r="R1249" t="s">
        <v>1341</v>
      </c>
      <c r="S1249" t="s">
        <v>1342</v>
      </c>
    </row>
    <row r="1250" spans="1:19" x14ac:dyDescent="0.25">
      <c r="A1250" t="s">
        <v>59</v>
      </c>
      <c r="B1250" t="s">
        <v>60</v>
      </c>
      <c r="C1250" t="s">
        <v>32</v>
      </c>
      <c r="D1250" t="s">
        <v>33</v>
      </c>
      <c r="E1250" t="s">
        <v>122</v>
      </c>
      <c r="F1250" t="s">
        <v>35</v>
      </c>
      <c r="G1250" t="s">
        <v>35</v>
      </c>
      <c r="H1250" t="s">
        <v>35</v>
      </c>
      <c r="J1250" t="s">
        <v>1788</v>
      </c>
      <c r="K1250" t="s">
        <v>1092</v>
      </c>
      <c r="M1250">
        <v>5</v>
      </c>
      <c r="N1250">
        <v>39</v>
      </c>
      <c r="O1250" t="s">
        <v>52</v>
      </c>
      <c r="Q1250" t="s">
        <v>816</v>
      </c>
      <c r="R1250" t="s">
        <v>1173</v>
      </c>
      <c r="S1250" t="s">
        <v>222</v>
      </c>
    </row>
    <row r="1251" spans="1:19" x14ac:dyDescent="0.25">
      <c r="A1251" t="s">
        <v>59</v>
      </c>
      <c r="B1251" t="s">
        <v>31</v>
      </c>
      <c r="C1251" t="s">
        <v>32</v>
      </c>
      <c r="D1251" t="s">
        <v>33</v>
      </c>
      <c r="E1251" t="s">
        <v>122</v>
      </c>
      <c r="F1251" t="s">
        <v>35</v>
      </c>
      <c r="G1251" t="s">
        <v>35</v>
      </c>
      <c r="H1251" t="s">
        <v>35</v>
      </c>
      <c r="J1251" t="s">
        <v>1788</v>
      </c>
      <c r="K1251" t="s">
        <v>1092</v>
      </c>
      <c r="M1251">
        <v>5.49</v>
      </c>
      <c r="N1251">
        <v>39</v>
      </c>
      <c r="O1251" t="s">
        <v>52</v>
      </c>
      <c r="Q1251" t="s">
        <v>816</v>
      </c>
      <c r="R1251" t="s">
        <v>1173</v>
      </c>
      <c r="S1251" t="s">
        <v>222</v>
      </c>
    </row>
    <row r="1252" spans="1:19" x14ac:dyDescent="0.25">
      <c r="A1252" t="s">
        <v>44</v>
      </c>
      <c r="B1252" t="s">
        <v>51</v>
      </c>
      <c r="C1252" t="s">
        <v>32</v>
      </c>
      <c r="D1252" t="s">
        <v>33</v>
      </c>
      <c r="E1252" t="s">
        <v>122</v>
      </c>
      <c r="F1252" t="s">
        <v>35</v>
      </c>
      <c r="G1252" t="s">
        <v>35</v>
      </c>
      <c r="H1252" t="s">
        <v>35</v>
      </c>
      <c r="J1252" t="s">
        <v>1788</v>
      </c>
      <c r="K1252" t="s">
        <v>1092</v>
      </c>
      <c r="M1252">
        <v>3.5</v>
      </c>
      <c r="N1252">
        <v>2</v>
      </c>
      <c r="O1252" t="s">
        <v>46</v>
      </c>
      <c r="Q1252" t="s">
        <v>8155</v>
      </c>
      <c r="R1252" t="s">
        <v>1341</v>
      </c>
      <c r="S1252" t="s">
        <v>1342</v>
      </c>
    </row>
    <row r="1253" spans="1:19" x14ac:dyDescent="0.25">
      <c r="A1253" t="s">
        <v>59</v>
      </c>
      <c r="B1253" t="s">
        <v>31</v>
      </c>
      <c r="C1253" t="s">
        <v>32</v>
      </c>
      <c r="D1253" t="s">
        <v>33</v>
      </c>
      <c r="E1253" t="s">
        <v>122</v>
      </c>
      <c r="F1253" t="s">
        <v>35</v>
      </c>
      <c r="G1253" t="s">
        <v>35</v>
      </c>
      <c r="H1253" t="s">
        <v>35</v>
      </c>
      <c r="J1253" t="s">
        <v>1789</v>
      </c>
      <c r="K1253" t="s">
        <v>1092</v>
      </c>
      <c r="M1253">
        <v>2.44</v>
      </c>
      <c r="N1253">
        <v>75</v>
      </c>
      <c r="O1253" t="s">
        <v>61</v>
      </c>
      <c r="Q1253" t="s">
        <v>805</v>
      </c>
      <c r="R1253" t="s">
        <v>1726</v>
      </c>
      <c r="S1253" t="s">
        <v>149</v>
      </c>
    </row>
    <row r="1254" spans="1:19" x14ac:dyDescent="0.25">
      <c r="A1254" t="s">
        <v>44</v>
      </c>
      <c r="B1254" t="s">
        <v>3</v>
      </c>
      <c r="C1254" t="s">
        <v>32</v>
      </c>
      <c r="D1254" t="s">
        <v>33</v>
      </c>
      <c r="E1254" t="s">
        <v>122</v>
      </c>
      <c r="F1254" t="s">
        <v>35</v>
      </c>
      <c r="G1254" t="s">
        <v>35</v>
      </c>
      <c r="H1254" t="s">
        <v>35</v>
      </c>
      <c r="J1254" t="s">
        <v>1790</v>
      </c>
      <c r="K1254" t="s">
        <v>1092</v>
      </c>
      <c r="M1254">
        <v>0.25</v>
      </c>
      <c r="N1254">
        <v>25</v>
      </c>
      <c r="O1254" t="s">
        <v>46</v>
      </c>
      <c r="Q1254" t="s">
        <v>831</v>
      </c>
      <c r="R1254" t="s">
        <v>1352</v>
      </c>
      <c r="S1254" t="s">
        <v>141</v>
      </c>
    </row>
    <row r="1255" spans="1:19" x14ac:dyDescent="0.25">
      <c r="A1255" t="s">
        <v>59</v>
      </c>
      <c r="B1255" t="s">
        <v>60</v>
      </c>
      <c r="C1255" t="s">
        <v>32</v>
      </c>
      <c r="D1255" t="s">
        <v>33</v>
      </c>
      <c r="E1255" t="s">
        <v>122</v>
      </c>
      <c r="F1255" t="s">
        <v>35</v>
      </c>
      <c r="G1255" t="s">
        <v>35</v>
      </c>
      <c r="H1255" t="s">
        <v>35</v>
      </c>
      <c r="J1255" t="s">
        <v>1791</v>
      </c>
      <c r="K1255" t="s">
        <v>1092</v>
      </c>
      <c r="M1255">
        <v>10</v>
      </c>
      <c r="N1255">
        <v>62</v>
      </c>
      <c r="O1255" t="s">
        <v>61</v>
      </c>
      <c r="Q1255" t="s">
        <v>90</v>
      </c>
      <c r="R1255" t="s">
        <v>85</v>
      </c>
      <c r="S1255" t="s">
        <v>86</v>
      </c>
    </row>
    <row r="1256" spans="1:19" x14ac:dyDescent="0.25">
      <c r="A1256" t="s">
        <v>59</v>
      </c>
      <c r="B1256" t="s">
        <v>60</v>
      </c>
      <c r="C1256" t="s">
        <v>32</v>
      </c>
      <c r="D1256" t="s">
        <v>33</v>
      </c>
      <c r="E1256" t="s">
        <v>122</v>
      </c>
      <c r="F1256" t="s">
        <v>35</v>
      </c>
      <c r="G1256" t="s">
        <v>35</v>
      </c>
      <c r="H1256" t="s">
        <v>35</v>
      </c>
      <c r="J1256" t="s">
        <v>1791</v>
      </c>
      <c r="K1256" t="s">
        <v>1092</v>
      </c>
      <c r="M1256">
        <v>6.5</v>
      </c>
      <c r="N1256">
        <v>181</v>
      </c>
      <c r="O1256" t="s">
        <v>5</v>
      </c>
      <c r="Q1256" t="s">
        <v>1684</v>
      </c>
      <c r="R1256" t="s">
        <v>85</v>
      </c>
      <c r="S1256" t="s">
        <v>86</v>
      </c>
    </row>
    <row r="1257" spans="1:19" x14ac:dyDescent="0.25">
      <c r="A1257" t="s">
        <v>59</v>
      </c>
      <c r="B1257" t="s">
        <v>31</v>
      </c>
      <c r="C1257" t="s">
        <v>32</v>
      </c>
      <c r="D1257" t="s">
        <v>33</v>
      </c>
      <c r="E1257" t="s">
        <v>122</v>
      </c>
      <c r="F1257" t="s">
        <v>35</v>
      </c>
      <c r="G1257" t="s">
        <v>35</v>
      </c>
      <c r="H1257" t="s">
        <v>35</v>
      </c>
      <c r="J1257" t="s">
        <v>1791</v>
      </c>
      <c r="K1257" t="s">
        <v>1092</v>
      </c>
      <c r="M1257">
        <v>7.7850000000000001</v>
      </c>
      <c r="N1257">
        <v>181</v>
      </c>
      <c r="O1257" t="s">
        <v>5</v>
      </c>
      <c r="Q1257" t="s">
        <v>1684</v>
      </c>
      <c r="R1257" t="s">
        <v>85</v>
      </c>
      <c r="S1257" t="s">
        <v>86</v>
      </c>
    </row>
    <row r="1258" spans="1:19" x14ac:dyDescent="0.25">
      <c r="A1258" t="s">
        <v>30</v>
      </c>
      <c r="B1258" t="s">
        <v>31</v>
      </c>
      <c r="C1258" t="s">
        <v>32</v>
      </c>
      <c r="D1258" t="s">
        <v>33</v>
      </c>
      <c r="E1258" t="s">
        <v>122</v>
      </c>
      <c r="F1258" t="s">
        <v>35</v>
      </c>
      <c r="G1258" t="s">
        <v>35</v>
      </c>
      <c r="H1258" t="s">
        <v>35</v>
      </c>
      <c r="J1258" t="s">
        <v>1792</v>
      </c>
      <c r="K1258" t="s">
        <v>1092</v>
      </c>
      <c r="M1258">
        <v>4.68</v>
      </c>
      <c r="N1258">
        <v>47</v>
      </c>
      <c r="O1258" t="s">
        <v>52</v>
      </c>
      <c r="Q1258" t="s">
        <v>132</v>
      </c>
      <c r="R1258" t="s">
        <v>199</v>
      </c>
      <c r="S1258" t="s">
        <v>200</v>
      </c>
    </row>
    <row r="1259" spans="1:19" x14ac:dyDescent="0.25">
      <c r="A1259" t="s">
        <v>30</v>
      </c>
      <c r="B1259" t="s">
        <v>31</v>
      </c>
      <c r="C1259" t="s">
        <v>32</v>
      </c>
      <c r="D1259" t="s">
        <v>33</v>
      </c>
      <c r="E1259" t="s">
        <v>122</v>
      </c>
      <c r="F1259" t="s">
        <v>35</v>
      </c>
      <c r="G1259" t="s">
        <v>35</v>
      </c>
      <c r="H1259" t="s">
        <v>35</v>
      </c>
      <c r="J1259" t="s">
        <v>1793</v>
      </c>
      <c r="K1259" t="s">
        <v>1092</v>
      </c>
      <c r="M1259">
        <v>1.4999999999999999E-2</v>
      </c>
      <c r="N1259">
        <v>391</v>
      </c>
      <c r="O1259" t="s">
        <v>294</v>
      </c>
      <c r="Q1259" t="s">
        <v>1794</v>
      </c>
      <c r="R1259" t="s">
        <v>1664</v>
      </c>
      <c r="S1259" t="s">
        <v>1665</v>
      </c>
    </row>
    <row r="1260" spans="1:19" x14ac:dyDescent="0.25">
      <c r="A1260" t="s">
        <v>30</v>
      </c>
      <c r="B1260" t="s">
        <v>31</v>
      </c>
      <c r="C1260" t="s">
        <v>32</v>
      </c>
      <c r="D1260" t="s">
        <v>33</v>
      </c>
      <c r="E1260" t="s">
        <v>122</v>
      </c>
      <c r="F1260" t="s">
        <v>35</v>
      </c>
      <c r="G1260" t="s">
        <v>35</v>
      </c>
      <c r="H1260" t="s">
        <v>35</v>
      </c>
      <c r="J1260" t="s">
        <v>1795</v>
      </c>
      <c r="K1260" t="s">
        <v>1092</v>
      </c>
      <c r="M1260">
        <v>8.4600000000000009</v>
      </c>
      <c r="N1260">
        <v>45</v>
      </c>
      <c r="O1260" t="s">
        <v>52</v>
      </c>
      <c r="Q1260" t="s">
        <v>716</v>
      </c>
      <c r="R1260" t="s">
        <v>193</v>
      </c>
      <c r="S1260" t="s">
        <v>181</v>
      </c>
    </row>
    <row r="1261" spans="1:19" x14ac:dyDescent="0.25">
      <c r="A1261" t="s">
        <v>30</v>
      </c>
      <c r="B1261" t="s">
        <v>31</v>
      </c>
      <c r="C1261" t="s">
        <v>32</v>
      </c>
      <c r="D1261" t="s">
        <v>33</v>
      </c>
      <c r="E1261" t="s">
        <v>122</v>
      </c>
      <c r="F1261" t="s">
        <v>35</v>
      </c>
      <c r="G1261" t="s">
        <v>35</v>
      </c>
      <c r="H1261" t="s">
        <v>35</v>
      </c>
      <c r="J1261" t="s">
        <v>1795</v>
      </c>
      <c r="K1261" t="s">
        <v>1092</v>
      </c>
      <c r="M1261">
        <v>9.99</v>
      </c>
      <c r="N1261">
        <v>19</v>
      </c>
      <c r="O1261" t="s">
        <v>46</v>
      </c>
      <c r="Q1261" t="s">
        <v>1192</v>
      </c>
      <c r="R1261" t="s">
        <v>193</v>
      </c>
      <c r="S1261" t="s">
        <v>181</v>
      </c>
    </row>
    <row r="1262" spans="1:19" x14ac:dyDescent="0.25">
      <c r="A1262" t="s">
        <v>44</v>
      </c>
      <c r="B1262" t="s">
        <v>51</v>
      </c>
      <c r="C1262" t="s">
        <v>32</v>
      </c>
      <c r="D1262" t="s">
        <v>33</v>
      </c>
      <c r="E1262" t="s">
        <v>122</v>
      </c>
      <c r="F1262" t="s">
        <v>35</v>
      </c>
      <c r="G1262" t="s">
        <v>35</v>
      </c>
      <c r="H1262" t="s">
        <v>35</v>
      </c>
      <c r="J1262" t="s">
        <v>1795</v>
      </c>
      <c r="K1262" t="s">
        <v>1092</v>
      </c>
      <c r="M1262">
        <v>10.6</v>
      </c>
      <c r="N1262">
        <v>61</v>
      </c>
      <c r="O1262" t="s">
        <v>61</v>
      </c>
      <c r="Q1262" t="s">
        <v>671</v>
      </c>
      <c r="R1262" t="s">
        <v>193</v>
      </c>
      <c r="S1262" t="s">
        <v>181</v>
      </c>
    </row>
    <row r="1263" spans="1:19" x14ac:dyDescent="0.25">
      <c r="A1263" t="s">
        <v>59</v>
      </c>
      <c r="B1263" t="s">
        <v>31</v>
      </c>
      <c r="C1263" t="s">
        <v>32</v>
      </c>
      <c r="D1263" t="s">
        <v>33</v>
      </c>
      <c r="E1263" t="s">
        <v>122</v>
      </c>
      <c r="F1263" t="s">
        <v>35</v>
      </c>
      <c r="G1263" t="s">
        <v>35</v>
      </c>
      <c r="H1263" t="s">
        <v>35</v>
      </c>
      <c r="J1263" t="s">
        <v>1796</v>
      </c>
      <c r="K1263" t="s">
        <v>1092</v>
      </c>
      <c r="M1263">
        <v>7.6050000000000004</v>
      </c>
      <c r="N1263">
        <v>74</v>
      </c>
      <c r="O1263" t="s">
        <v>61</v>
      </c>
      <c r="Q1263" t="s">
        <v>488</v>
      </c>
      <c r="R1263" t="s">
        <v>147</v>
      </c>
      <c r="S1263" t="s">
        <v>148</v>
      </c>
    </row>
    <row r="1264" spans="1:19" x14ac:dyDescent="0.25">
      <c r="A1264" t="s">
        <v>30</v>
      </c>
      <c r="B1264" t="s">
        <v>31</v>
      </c>
      <c r="C1264" t="s">
        <v>32</v>
      </c>
      <c r="D1264" t="s">
        <v>33</v>
      </c>
      <c r="E1264" t="s">
        <v>122</v>
      </c>
      <c r="F1264" t="s">
        <v>35</v>
      </c>
      <c r="G1264" t="s">
        <v>35</v>
      </c>
      <c r="H1264" t="s">
        <v>35</v>
      </c>
      <c r="J1264" t="s">
        <v>1797</v>
      </c>
      <c r="K1264" t="s">
        <v>1092</v>
      </c>
      <c r="M1264">
        <v>5.49</v>
      </c>
      <c r="N1264">
        <v>187</v>
      </c>
      <c r="O1264" t="s">
        <v>5</v>
      </c>
      <c r="Q1264" t="s">
        <v>1798</v>
      </c>
      <c r="R1264" t="s">
        <v>1718</v>
      </c>
      <c r="S1264" t="s">
        <v>1719</v>
      </c>
    </row>
    <row r="1265" spans="1:19" x14ac:dyDescent="0.25">
      <c r="A1265" t="s">
        <v>59</v>
      </c>
      <c r="B1265" t="s">
        <v>60</v>
      </c>
      <c r="C1265" t="s">
        <v>32</v>
      </c>
      <c r="D1265" t="s">
        <v>33</v>
      </c>
      <c r="E1265" t="s">
        <v>122</v>
      </c>
      <c r="F1265" t="s">
        <v>35</v>
      </c>
      <c r="G1265" t="s">
        <v>35</v>
      </c>
      <c r="H1265" t="s">
        <v>35</v>
      </c>
      <c r="J1265" t="s">
        <v>1799</v>
      </c>
      <c r="K1265" t="s">
        <v>1092</v>
      </c>
      <c r="M1265">
        <v>1E-3</v>
      </c>
      <c r="N1265">
        <v>1882</v>
      </c>
      <c r="O1265" t="s">
        <v>575</v>
      </c>
      <c r="Q1265" t="s">
        <v>1800</v>
      </c>
      <c r="R1265" t="s">
        <v>1352</v>
      </c>
      <c r="S1265" t="s">
        <v>141</v>
      </c>
    </row>
    <row r="1266" spans="1:19" x14ac:dyDescent="0.25">
      <c r="A1266" t="s">
        <v>44</v>
      </c>
      <c r="B1266" t="s">
        <v>3</v>
      </c>
      <c r="C1266" t="s">
        <v>32</v>
      </c>
      <c r="D1266" t="s">
        <v>33</v>
      </c>
      <c r="E1266" t="s">
        <v>122</v>
      </c>
      <c r="F1266" t="s">
        <v>35</v>
      </c>
      <c r="G1266" t="s">
        <v>35</v>
      </c>
      <c r="H1266" t="s">
        <v>35</v>
      </c>
      <c r="J1266" t="s">
        <v>1801</v>
      </c>
      <c r="K1266" t="s">
        <v>1092</v>
      </c>
      <c r="M1266">
        <v>0.16500000000000001</v>
      </c>
      <c r="N1266">
        <v>420</v>
      </c>
      <c r="O1266" t="s">
        <v>294</v>
      </c>
      <c r="Q1266" t="s">
        <v>1643</v>
      </c>
      <c r="R1266" t="s">
        <v>1352</v>
      </c>
      <c r="S1266" t="s">
        <v>141</v>
      </c>
    </row>
    <row r="1267" spans="1:19" x14ac:dyDescent="0.25">
      <c r="A1267" t="s">
        <v>30</v>
      </c>
      <c r="B1267" t="s">
        <v>31</v>
      </c>
      <c r="C1267" t="s">
        <v>32</v>
      </c>
      <c r="D1267" t="s">
        <v>33</v>
      </c>
      <c r="E1267" t="s">
        <v>122</v>
      </c>
      <c r="F1267" t="s">
        <v>35</v>
      </c>
      <c r="G1267" t="s">
        <v>35</v>
      </c>
      <c r="H1267" t="s">
        <v>35</v>
      </c>
      <c r="J1267" t="s">
        <v>1801</v>
      </c>
      <c r="K1267" t="s">
        <v>1092</v>
      </c>
      <c r="M1267">
        <v>3.22</v>
      </c>
      <c r="N1267">
        <v>46</v>
      </c>
      <c r="O1267" t="s">
        <v>52</v>
      </c>
      <c r="Q1267" t="s">
        <v>493</v>
      </c>
      <c r="R1267" t="s">
        <v>85</v>
      </c>
      <c r="S1267" t="s">
        <v>86</v>
      </c>
    </row>
    <row r="1268" spans="1:19" x14ac:dyDescent="0.25">
      <c r="A1268" t="s">
        <v>59</v>
      </c>
      <c r="B1268" t="s">
        <v>60</v>
      </c>
      <c r="C1268" t="s">
        <v>32</v>
      </c>
      <c r="D1268" t="s">
        <v>33</v>
      </c>
      <c r="E1268" t="s">
        <v>122</v>
      </c>
      <c r="F1268" t="s">
        <v>35</v>
      </c>
      <c r="G1268" t="s">
        <v>35</v>
      </c>
      <c r="H1268" t="s">
        <v>35</v>
      </c>
      <c r="J1268" t="s">
        <v>1802</v>
      </c>
      <c r="K1268" t="s">
        <v>1092</v>
      </c>
      <c r="M1268">
        <v>4.7</v>
      </c>
      <c r="N1268">
        <v>90</v>
      </c>
      <c r="O1268" t="s">
        <v>61</v>
      </c>
      <c r="Q1268" t="s">
        <v>897</v>
      </c>
      <c r="R1268" t="s">
        <v>1331</v>
      </c>
      <c r="S1268" t="s">
        <v>1332</v>
      </c>
    </row>
    <row r="1269" spans="1:19" x14ac:dyDescent="0.25">
      <c r="A1269" t="s">
        <v>30</v>
      </c>
      <c r="B1269" t="s">
        <v>31</v>
      </c>
      <c r="C1269" t="s">
        <v>32</v>
      </c>
      <c r="D1269" t="s">
        <v>33</v>
      </c>
      <c r="E1269" t="s">
        <v>122</v>
      </c>
      <c r="F1269" t="s">
        <v>35</v>
      </c>
      <c r="G1269" t="s">
        <v>35</v>
      </c>
      <c r="H1269" t="s">
        <v>35</v>
      </c>
      <c r="J1269" t="s">
        <v>1803</v>
      </c>
      <c r="K1269" t="s">
        <v>1092</v>
      </c>
      <c r="M1269">
        <v>2.3849999999999998</v>
      </c>
      <c r="N1269">
        <v>151</v>
      </c>
      <c r="O1269" t="s">
        <v>38</v>
      </c>
      <c r="Q1269" t="s">
        <v>1269</v>
      </c>
      <c r="R1269" t="s">
        <v>85</v>
      </c>
      <c r="S1269" t="s">
        <v>86</v>
      </c>
    </row>
    <row r="1270" spans="1:19" x14ac:dyDescent="0.25">
      <c r="A1270" t="s">
        <v>44</v>
      </c>
      <c r="B1270" t="s">
        <v>51</v>
      </c>
      <c r="C1270" t="s">
        <v>32</v>
      </c>
      <c r="D1270" t="s">
        <v>33</v>
      </c>
      <c r="E1270" t="s">
        <v>122</v>
      </c>
      <c r="F1270" t="s">
        <v>35</v>
      </c>
      <c r="G1270" t="s">
        <v>35</v>
      </c>
      <c r="H1270" t="s">
        <v>35</v>
      </c>
      <c r="J1270" t="s">
        <v>1803</v>
      </c>
      <c r="K1270" t="s">
        <v>1092</v>
      </c>
      <c r="M1270">
        <v>9.1999999999999993</v>
      </c>
      <c r="N1270">
        <v>28</v>
      </c>
      <c r="O1270" t="s">
        <v>46</v>
      </c>
      <c r="Q1270" t="s">
        <v>176</v>
      </c>
      <c r="R1270" t="s">
        <v>85</v>
      </c>
      <c r="S1270" t="s">
        <v>86</v>
      </c>
    </row>
    <row r="1271" spans="1:19" x14ac:dyDescent="0.25">
      <c r="A1271" t="s">
        <v>59</v>
      </c>
      <c r="B1271" t="s">
        <v>60</v>
      </c>
      <c r="C1271" t="s">
        <v>32</v>
      </c>
      <c r="D1271" t="s">
        <v>33</v>
      </c>
      <c r="E1271" t="s">
        <v>122</v>
      </c>
      <c r="F1271" t="s">
        <v>35</v>
      </c>
      <c r="G1271" t="s">
        <v>35</v>
      </c>
      <c r="H1271" t="s">
        <v>35</v>
      </c>
      <c r="J1271" t="s">
        <v>1803</v>
      </c>
      <c r="K1271" t="s">
        <v>1092</v>
      </c>
      <c r="M1271">
        <v>8.35</v>
      </c>
      <c r="N1271">
        <v>62</v>
      </c>
      <c r="O1271" t="s">
        <v>61</v>
      </c>
      <c r="Q1271" t="s">
        <v>90</v>
      </c>
      <c r="R1271" t="s">
        <v>85</v>
      </c>
      <c r="S1271" t="s">
        <v>86</v>
      </c>
    </row>
    <row r="1272" spans="1:19" x14ac:dyDescent="0.25">
      <c r="A1272" t="s">
        <v>30</v>
      </c>
      <c r="B1272" t="s">
        <v>31</v>
      </c>
      <c r="C1272" t="s">
        <v>32</v>
      </c>
      <c r="D1272" t="s">
        <v>33</v>
      </c>
      <c r="E1272" t="s">
        <v>122</v>
      </c>
      <c r="F1272" t="s">
        <v>35</v>
      </c>
      <c r="G1272" t="s">
        <v>35</v>
      </c>
      <c r="H1272" t="s">
        <v>35</v>
      </c>
      <c r="J1272" t="s">
        <v>1803</v>
      </c>
      <c r="K1272" t="s">
        <v>1092</v>
      </c>
      <c r="M1272">
        <v>6.21</v>
      </c>
      <c r="N1272">
        <v>45</v>
      </c>
      <c r="O1272" t="s">
        <v>52</v>
      </c>
      <c r="Q1272" t="s">
        <v>716</v>
      </c>
      <c r="R1272" t="s">
        <v>85</v>
      </c>
      <c r="S1272" t="s">
        <v>86</v>
      </c>
    </row>
    <row r="1273" spans="1:19" x14ac:dyDescent="0.25">
      <c r="A1273" t="s">
        <v>30</v>
      </c>
      <c r="B1273" t="s">
        <v>31</v>
      </c>
      <c r="C1273" t="s">
        <v>32</v>
      </c>
      <c r="D1273" t="s">
        <v>33</v>
      </c>
      <c r="E1273" t="s">
        <v>122</v>
      </c>
      <c r="F1273" t="s">
        <v>35</v>
      </c>
      <c r="G1273" t="s">
        <v>35</v>
      </c>
      <c r="H1273" t="s">
        <v>35</v>
      </c>
      <c r="J1273" t="s">
        <v>1803</v>
      </c>
      <c r="K1273" t="s">
        <v>1092</v>
      </c>
      <c r="M1273">
        <v>15.21</v>
      </c>
      <c r="N1273">
        <v>1</v>
      </c>
      <c r="O1273" t="s">
        <v>46</v>
      </c>
      <c r="Q1273" t="s">
        <v>8226</v>
      </c>
      <c r="R1273" t="s">
        <v>85</v>
      </c>
      <c r="S1273" t="s">
        <v>86</v>
      </c>
    </row>
    <row r="1274" spans="1:19" x14ac:dyDescent="0.25">
      <c r="A1274" t="s">
        <v>44</v>
      </c>
      <c r="B1274" t="s">
        <v>3</v>
      </c>
      <c r="C1274" t="s">
        <v>32</v>
      </c>
      <c r="D1274" t="s">
        <v>33</v>
      </c>
      <c r="E1274" t="s">
        <v>122</v>
      </c>
      <c r="F1274" t="s">
        <v>35</v>
      </c>
      <c r="G1274" t="s">
        <v>35</v>
      </c>
      <c r="H1274" t="s">
        <v>35</v>
      </c>
      <c r="J1274" t="s">
        <v>1803</v>
      </c>
      <c r="K1274" t="s">
        <v>1092</v>
      </c>
      <c r="M1274">
        <v>5.35</v>
      </c>
      <c r="N1274">
        <v>68</v>
      </c>
      <c r="O1274" t="s">
        <v>61</v>
      </c>
      <c r="Q1274" t="s">
        <v>146</v>
      </c>
      <c r="R1274" t="s">
        <v>199</v>
      </c>
      <c r="S1274" t="s">
        <v>200</v>
      </c>
    </row>
    <row r="1275" spans="1:19" x14ac:dyDescent="0.25">
      <c r="A1275" t="s">
        <v>30</v>
      </c>
      <c r="B1275" t="s">
        <v>31</v>
      </c>
      <c r="C1275" t="s">
        <v>32</v>
      </c>
      <c r="D1275" t="s">
        <v>33</v>
      </c>
      <c r="E1275" t="s">
        <v>122</v>
      </c>
      <c r="F1275" t="s">
        <v>35</v>
      </c>
      <c r="G1275" t="s">
        <v>35</v>
      </c>
      <c r="H1275" t="s">
        <v>35</v>
      </c>
      <c r="J1275" t="s">
        <v>8228</v>
      </c>
      <c r="K1275" t="s">
        <v>1092</v>
      </c>
      <c r="M1275">
        <v>9.99</v>
      </c>
      <c r="N1275">
        <v>20</v>
      </c>
      <c r="O1275" t="s">
        <v>46</v>
      </c>
      <c r="Q1275" t="s">
        <v>1004</v>
      </c>
      <c r="R1275" t="s">
        <v>85</v>
      </c>
      <c r="S1275" t="s">
        <v>86</v>
      </c>
    </row>
    <row r="1276" spans="1:19" x14ac:dyDescent="0.25">
      <c r="A1276" t="s">
        <v>30</v>
      </c>
      <c r="B1276" t="s">
        <v>31</v>
      </c>
      <c r="C1276" t="s">
        <v>32</v>
      </c>
      <c r="D1276" t="s">
        <v>33</v>
      </c>
      <c r="E1276" t="s">
        <v>122</v>
      </c>
      <c r="F1276" t="s">
        <v>35</v>
      </c>
      <c r="G1276" t="s">
        <v>35</v>
      </c>
      <c r="H1276" t="s">
        <v>35</v>
      </c>
      <c r="J1276" t="s">
        <v>1804</v>
      </c>
      <c r="K1276" t="s">
        <v>1092</v>
      </c>
      <c r="M1276">
        <v>0.99</v>
      </c>
      <c r="N1276">
        <v>199</v>
      </c>
      <c r="O1276" t="s">
        <v>5</v>
      </c>
      <c r="Q1276" t="s">
        <v>1720</v>
      </c>
      <c r="R1276" t="s">
        <v>169</v>
      </c>
      <c r="S1276" t="s">
        <v>123</v>
      </c>
    </row>
    <row r="1277" spans="1:19" x14ac:dyDescent="0.25">
      <c r="A1277" t="s">
        <v>30</v>
      </c>
      <c r="B1277" t="s">
        <v>31</v>
      </c>
      <c r="C1277" t="s">
        <v>32</v>
      </c>
      <c r="D1277" t="s">
        <v>33</v>
      </c>
      <c r="E1277" t="s">
        <v>122</v>
      </c>
      <c r="F1277" t="s">
        <v>35</v>
      </c>
      <c r="G1277" t="s">
        <v>35</v>
      </c>
      <c r="H1277" t="s">
        <v>35</v>
      </c>
      <c r="J1277" t="s">
        <v>1805</v>
      </c>
      <c r="K1277" t="s">
        <v>1092</v>
      </c>
      <c r="M1277">
        <v>4.2300000000000004</v>
      </c>
      <c r="N1277">
        <v>199</v>
      </c>
      <c r="O1277" t="s">
        <v>5</v>
      </c>
      <c r="Q1277" t="s">
        <v>1720</v>
      </c>
      <c r="R1277" t="s">
        <v>169</v>
      </c>
      <c r="S1277" t="s">
        <v>123</v>
      </c>
    </row>
    <row r="1278" spans="1:19" x14ac:dyDescent="0.25">
      <c r="A1278" t="s">
        <v>30</v>
      </c>
      <c r="B1278" t="s">
        <v>31</v>
      </c>
      <c r="C1278" t="s">
        <v>32</v>
      </c>
      <c r="D1278" t="s">
        <v>33</v>
      </c>
      <c r="E1278" t="s">
        <v>122</v>
      </c>
      <c r="F1278" t="s">
        <v>35</v>
      </c>
      <c r="G1278" t="s">
        <v>35</v>
      </c>
      <c r="H1278" t="s">
        <v>35</v>
      </c>
      <c r="J1278" t="s">
        <v>1806</v>
      </c>
      <c r="K1278" t="s">
        <v>1092</v>
      </c>
      <c r="M1278">
        <v>4.9950000000000001</v>
      </c>
      <c r="N1278">
        <v>24</v>
      </c>
      <c r="O1278" t="s">
        <v>46</v>
      </c>
      <c r="Q1278" t="s">
        <v>255</v>
      </c>
      <c r="R1278" t="s">
        <v>1331</v>
      </c>
      <c r="S1278" t="s">
        <v>1332</v>
      </c>
    </row>
    <row r="1279" spans="1:19" x14ac:dyDescent="0.25">
      <c r="A1279" t="s">
        <v>44</v>
      </c>
      <c r="B1279" t="s">
        <v>51</v>
      </c>
      <c r="C1279" t="s">
        <v>32</v>
      </c>
      <c r="D1279" t="s">
        <v>33</v>
      </c>
      <c r="E1279" t="s">
        <v>122</v>
      </c>
      <c r="F1279" t="s">
        <v>35</v>
      </c>
      <c r="G1279" t="s">
        <v>35</v>
      </c>
      <c r="H1279" t="s">
        <v>35</v>
      </c>
      <c r="J1279" t="s">
        <v>1807</v>
      </c>
      <c r="K1279" t="s">
        <v>1092</v>
      </c>
      <c r="M1279">
        <v>0.25</v>
      </c>
      <c r="N1279">
        <v>153</v>
      </c>
      <c r="O1279" t="s">
        <v>38</v>
      </c>
      <c r="Q1279" t="s">
        <v>569</v>
      </c>
      <c r="R1279" t="s">
        <v>1718</v>
      </c>
      <c r="S1279" t="s">
        <v>1719</v>
      </c>
    </row>
    <row r="1280" spans="1:19" x14ac:dyDescent="0.25">
      <c r="A1280" t="s">
        <v>44</v>
      </c>
      <c r="B1280" t="s">
        <v>3</v>
      </c>
      <c r="C1280" t="s">
        <v>32</v>
      </c>
      <c r="D1280" t="s">
        <v>33</v>
      </c>
      <c r="E1280" t="s">
        <v>122</v>
      </c>
      <c r="F1280" t="s">
        <v>35</v>
      </c>
      <c r="G1280" t="s">
        <v>35</v>
      </c>
      <c r="H1280" t="s">
        <v>35</v>
      </c>
      <c r="J1280" t="s">
        <v>1807</v>
      </c>
      <c r="K1280" t="s">
        <v>1092</v>
      </c>
      <c r="M1280">
        <v>1</v>
      </c>
      <c r="N1280">
        <v>397</v>
      </c>
      <c r="O1280" t="s">
        <v>294</v>
      </c>
      <c r="Q1280" t="s">
        <v>1808</v>
      </c>
      <c r="R1280" t="s">
        <v>1726</v>
      </c>
      <c r="S1280" t="s">
        <v>149</v>
      </c>
    </row>
    <row r="1281" spans="1:19" x14ac:dyDescent="0.25">
      <c r="A1281" t="s">
        <v>30</v>
      </c>
      <c r="B1281" t="s">
        <v>31</v>
      </c>
      <c r="C1281" t="s">
        <v>32</v>
      </c>
      <c r="D1281" t="s">
        <v>33</v>
      </c>
      <c r="E1281" t="s">
        <v>122</v>
      </c>
      <c r="F1281" t="s">
        <v>35</v>
      </c>
      <c r="G1281" t="s">
        <v>35</v>
      </c>
      <c r="H1281" t="s">
        <v>35</v>
      </c>
      <c r="J1281" t="s">
        <v>1809</v>
      </c>
      <c r="K1281" t="s">
        <v>1092</v>
      </c>
      <c r="M1281">
        <v>0.09</v>
      </c>
      <c r="N1281">
        <v>209</v>
      </c>
      <c r="O1281" t="s">
        <v>5</v>
      </c>
      <c r="Q1281" t="s">
        <v>1810</v>
      </c>
      <c r="R1281" t="s">
        <v>1641</v>
      </c>
      <c r="S1281" t="s">
        <v>1642</v>
      </c>
    </row>
    <row r="1282" spans="1:19" x14ac:dyDescent="0.25">
      <c r="A1282" t="s">
        <v>59</v>
      </c>
      <c r="B1282" t="s">
        <v>60</v>
      </c>
      <c r="C1282" t="s">
        <v>32</v>
      </c>
      <c r="D1282" t="s">
        <v>33</v>
      </c>
      <c r="E1282" t="s">
        <v>122</v>
      </c>
      <c r="F1282" t="s">
        <v>35</v>
      </c>
      <c r="G1282" t="s">
        <v>35</v>
      </c>
      <c r="H1282" t="s">
        <v>35</v>
      </c>
      <c r="J1282" t="s">
        <v>1811</v>
      </c>
      <c r="K1282" t="s">
        <v>1092</v>
      </c>
      <c r="M1282">
        <v>2.5</v>
      </c>
      <c r="N1282">
        <v>99</v>
      </c>
      <c r="O1282" t="s">
        <v>106</v>
      </c>
      <c r="Q1282" t="s">
        <v>1216</v>
      </c>
      <c r="R1282" t="s">
        <v>85</v>
      </c>
      <c r="S1282" t="s">
        <v>86</v>
      </c>
    </row>
    <row r="1283" spans="1:19" x14ac:dyDescent="0.25">
      <c r="A1283" t="s">
        <v>59</v>
      </c>
      <c r="B1283" t="s">
        <v>31</v>
      </c>
      <c r="C1283" t="s">
        <v>32</v>
      </c>
      <c r="D1283" t="s">
        <v>33</v>
      </c>
      <c r="E1283" t="s">
        <v>122</v>
      </c>
      <c r="F1283" t="s">
        <v>35</v>
      </c>
      <c r="G1283" t="s">
        <v>35</v>
      </c>
      <c r="H1283" t="s">
        <v>35</v>
      </c>
      <c r="J1283" t="s">
        <v>1812</v>
      </c>
      <c r="K1283" t="s">
        <v>1092</v>
      </c>
      <c r="M1283">
        <v>5.73</v>
      </c>
      <c r="N1283">
        <v>75</v>
      </c>
      <c r="O1283" t="s">
        <v>61</v>
      </c>
      <c r="Q1283" t="s">
        <v>805</v>
      </c>
      <c r="R1283" t="s">
        <v>1726</v>
      </c>
      <c r="S1283" t="s">
        <v>149</v>
      </c>
    </row>
    <row r="1284" spans="1:19" x14ac:dyDescent="0.25">
      <c r="A1284" t="s">
        <v>30</v>
      </c>
      <c r="B1284" t="s">
        <v>31</v>
      </c>
      <c r="C1284" t="s">
        <v>32</v>
      </c>
      <c r="D1284" t="s">
        <v>33</v>
      </c>
      <c r="E1284" t="s">
        <v>122</v>
      </c>
      <c r="F1284" t="s">
        <v>35</v>
      </c>
      <c r="G1284" t="s">
        <v>35</v>
      </c>
      <c r="H1284" t="s">
        <v>35</v>
      </c>
      <c r="J1284" t="s">
        <v>1812</v>
      </c>
      <c r="K1284" t="s">
        <v>1092</v>
      </c>
      <c r="M1284">
        <v>3.96</v>
      </c>
      <c r="N1284">
        <v>42</v>
      </c>
      <c r="O1284" t="s">
        <v>52</v>
      </c>
      <c r="Q1284" t="s">
        <v>991</v>
      </c>
      <c r="R1284" t="s">
        <v>169</v>
      </c>
      <c r="S1284" t="s">
        <v>123</v>
      </c>
    </row>
    <row r="1285" spans="1:19" x14ac:dyDescent="0.25">
      <c r="A1285" t="s">
        <v>59</v>
      </c>
      <c r="B1285" t="s">
        <v>60</v>
      </c>
      <c r="C1285" t="s">
        <v>32</v>
      </c>
      <c r="D1285" t="s">
        <v>33</v>
      </c>
      <c r="E1285" t="s">
        <v>122</v>
      </c>
      <c r="F1285" t="s">
        <v>35</v>
      </c>
      <c r="G1285" t="s">
        <v>35</v>
      </c>
      <c r="H1285" t="s">
        <v>35</v>
      </c>
      <c r="J1285" t="s">
        <v>1519</v>
      </c>
      <c r="K1285" t="s">
        <v>1092</v>
      </c>
      <c r="M1285">
        <v>0.2</v>
      </c>
      <c r="N1285">
        <v>245</v>
      </c>
      <c r="O1285" t="s">
        <v>5</v>
      </c>
      <c r="Q1285" t="s">
        <v>111</v>
      </c>
      <c r="R1285" t="s">
        <v>193</v>
      </c>
      <c r="S1285" t="s">
        <v>181</v>
      </c>
    </row>
    <row r="1286" spans="1:19" x14ac:dyDescent="0.25">
      <c r="A1286" t="s">
        <v>44</v>
      </c>
      <c r="B1286" t="s">
        <v>3</v>
      </c>
      <c r="C1286" t="s">
        <v>32</v>
      </c>
      <c r="D1286" t="s">
        <v>33</v>
      </c>
      <c r="E1286" t="s">
        <v>122</v>
      </c>
      <c r="F1286" t="s">
        <v>35</v>
      </c>
      <c r="G1286" t="s">
        <v>35</v>
      </c>
      <c r="H1286" t="s">
        <v>35</v>
      </c>
      <c r="J1286" t="s">
        <v>1814</v>
      </c>
      <c r="K1286" t="s">
        <v>1092</v>
      </c>
      <c r="M1286">
        <v>1.55</v>
      </c>
      <c r="N1286">
        <v>68</v>
      </c>
      <c r="O1286" t="s">
        <v>61</v>
      </c>
      <c r="Q1286" t="s">
        <v>146</v>
      </c>
      <c r="R1286" t="s">
        <v>147</v>
      </c>
      <c r="S1286" t="s">
        <v>148</v>
      </c>
    </row>
    <row r="1287" spans="1:19" x14ac:dyDescent="0.25">
      <c r="A1287" t="s">
        <v>30</v>
      </c>
      <c r="B1287" t="s">
        <v>31</v>
      </c>
      <c r="C1287" t="s">
        <v>32</v>
      </c>
      <c r="D1287" t="s">
        <v>33</v>
      </c>
      <c r="E1287" t="s">
        <v>122</v>
      </c>
      <c r="F1287" t="s">
        <v>35</v>
      </c>
      <c r="G1287" t="s">
        <v>35</v>
      </c>
      <c r="H1287" t="s">
        <v>35</v>
      </c>
      <c r="J1287" t="s">
        <v>1814</v>
      </c>
      <c r="K1287" t="s">
        <v>1092</v>
      </c>
      <c r="M1287">
        <v>6.48</v>
      </c>
      <c r="N1287">
        <v>24</v>
      </c>
      <c r="O1287" t="s">
        <v>46</v>
      </c>
      <c r="Q1287" t="s">
        <v>255</v>
      </c>
      <c r="R1287" t="s">
        <v>1331</v>
      </c>
      <c r="S1287" t="s">
        <v>1332</v>
      </c>
    </row>
    <row r="1288" spans="1:19" x14ac:dyDescent="0.25">
      <c r="A1288" t="s">
        <v>44</v>
      </c>
      <c r="B1288" t="s">
        <v>3</v>
      </c>
      <c r="C1288" t="s">
        <v>32</v>
      </c>
      <c r="D1288" t="s">
        <v>33</v>
      </c>
      <c r="E1288" t="s">
        <v>122</v>
      </c>
      <c r="F1288" t="s">
        <v>35</v>
      </c>
      <c r="G1288" t="s">
        <v>35</v>
      </c>
      <c r="H1288" t="s">
        <v>35</v>
      </c>
      <c r="J1288" t="s">
        <v>1815</v>
      </c>
      <c r="K1288" t="s">
        <v>1092</v>
      </c>
      <c r="M1288">
        <v>4</v>
      </c>
      <c r="N1288">
        <v>68</v>
      </c>
      <c r="O1288" t="s">
        <v>61</v>
      </c>
      <c r="Q1288" t="s">
        <v>146</v>
      </c>
      <c r="R1288" t="s">
        <v>147</v>
      </c>
      <c r="S1288" t="s">
        <v>148</v>
      </c>
    </row>
    <row r="1289" spans="1:19" x14ac:dyDescent="0.25">
      <c r="A1289" t="s">
        <v>59</v>
      </c>
      <c r="B1289" t="s">
        <v>31</v>
      </c>
      <c r="C1289" t="s">
        <v>32</v>
      </c>
      <c r="D1289" t="s">
        <v>33</v>
      </c>
      <c r="E1289" t="s">
        <v>122</v>
      </c>
      <c r="F1289" t="s">
        <v>35</v>
      </c>
      <c r="G1289" t="s">
        <v>35</v>
      </c>
      <c r="H1289" t="s">
        <v>35</v>
      </c>
      <c r="J1289" t="s">
        <v>1815</v>
      </c>
      <c r="K1289" t="s">
        <v>1092</v>
      </c>
      <c r="M1289">
        <v>5.49</v>
      </c>
      <c r="N1289">
        <v>75</v>
      </c>
      <c r="O1289" t="s">
        <v>61</v>
      </c>
      <c r="Q1289" t="s">
        <v>805</v>
      </c>
      <c r="R1289" t="s">
        <v>147</v>
      </c>
      <c r="S1289" t="s">
        <v>148</v>
      </c>
    </row>
    <row r="1290" spans="1:19" x14ac:dyDescent="0.25">
      <c r="A1290" t="s">
        <v>30</v>
      </c>
      <c r="B1290" t="s">
        <v>31</v>
      </c>
      <c r="C1290" t="s">
        <v>32</v>
      </c>
      <c r="D1290" t="s">
        <v>33</v>
      </c>
      <c r="E1290" t="s">
        <v>122</v>
      </c>
      <c r="F1290" t="s">
        <v>35</v>
      </c>
      <c r="G1290" t="s">
        <v>35</v>
      </c>
      <c r="H1290" t="s">
        <v>35</v>
      </c>
      <c r="J1290" t="s">
        <v>1816</v>
      </c>
      <c r="K1290" t="s">
        <v>1092</v>
      </c>
      <c r="M1290">
        <v>4.5449999999999999</v>
      </c>
      <c r="N1290">
        <v>16</v>
      </c>
      <c r="O1290" t="s">
        <v>46</v>
      </c>
      <c r="Q1290" t="s">
        <v>323</v>
      </c>
      <c r="R1290" t="s">
        <v>103</v>
      </c>
      <c r="S1290" t="s">
        <v>104</v>
      </c>
    </row>
    <row r="1291" spans="1:19" x14ac:dyDescent="0.25">
      <c r="A1291" t="s">
        <v>30</v>
      </c>
      <c r="B1291" t="s">
        <v>31</v>
      </c>
      <c r="C1291" t="s">
        <v>32</v>
      </c>
      <c r="D1291" t="s">
        <v>33</v>
      </c>
      <c r="E1291" t="s">
        <v>122</v>
      </c>
      <c r="F1291" t="s">
        <v>35</v>
      </c>
      <c r="G1291" t="s">
        <v>35</v>
      </c>
      <c r="H1291" t="s">
        <v>35</v>
      </c>
      <c r="J1291" t="s">
        <v>1817</v>
      </c>
      <c r="K1291" t="s">
        <v>1092</v>
      </c>
      <c r="M1291">
        <v>4.9950000000000001</v>
      </c>
      <c r="N1291">
        <v>17</v>
      </c>
      <c r="O1291" t="s">
        <v>46</v>
      </c>
      <c r="Q1291" t="s">
        <v>1302</v>
      </c>
      <c r="R1291" t="s">
        <v>85</v>
      </c>
      <c r="S1291" t="s">
        <v>86</v>
      </c>
    </row>
    <row r="1292" spans="1:19" x14ac:dyDescent="0.25">
      <c r="A1292" t="s">
        <v>59</v>
      </c>
      <c r="B1292" t="s">
        <v>60</v>
      </c>
      <c r="C1292" t="s">
        <v>32</v>
      </c>
      <c r="D1292" t="s">
        <v>33</v>
      </c>
      <c r="E1292" t="s">
        <v>122</v>
      </c>
      <c r="F1292" t="s">
        <v>35</v>
      </c>
      <c r="G1292" t="s">
        <v>35</v>
      </c>
      <c r="H1292" t="s">
        <v>35</v>
      </c>
      <c r="J1292" t="s">
        <v>1818</v>
      </c>
      <c r="K1292" t="s">
        <v>1092</v>
      </c>
      <c r="M1292">
        <v>8.9009999999999998</v>
      </c>
      <c r="N1292">
        <v>61</v>
      </c>
      <c r="O1292" t="s">
        <v>61</v>
      </c>
      <c r="Q1292" t="s">
        <v>671</v>
      </c>
      <c r="R1292" t="s">
        <v>193</v>
      </c>
      <c r="S1292" t="s">
        <v>181</v>
      </c>
    </row>
    <row r="1293" spans="1:19" x14ac:dyDescent="0.25">
      <c r="A1293" t="s">
        <v>59</v>
      </c>
      <c r="B1293" t="s">
        <v>31</v>
      </c>
      <c r="C1293" t="s">
        <v>32</v>
      </c>
      <c r="D1293" t="s">
        <v>33</v>
      </c>
      <c r="E1293" t="s">
        <v>122</v>
      </c>
      <c r="F1293" t="s">
        <v>35</v>
      </c>
      <c r="G1293" t="s">
        <v>35</v>
      </c>
      <c r="H1293" t="s">
        <v>35</v>
      </c>
      <c r="J1293" t="s">
        <v>1818</v>
      </c>
      <c r="K1293" t="s">
        <v>1092</v>
      </c>
      <c r="M1293">
        <v>3.625</v>
      </c>
      <c r="N1293">
        <v>61</v>
      </c>
      <c r="O1293" t="s">
        <v>61</v>
      </c>
      <c r="Q1293" t="s">
        <v>671</v>
      </c>
      <c r="R1293" t="s">
        <v>193</v>
      </c>
      <c r="S1293" t="s">
        <v>181</v>
      </c>
    </row>
    <row r="1294" spans="1:19" x14ac:dyDescent="0.25">
      <c r="A1294" t="s">
        <v>44</v>
      </c>
      <c r="B1294" t="s">
        <v>51</v>
      </c>
      <c r="C1294" t="s">
        <v>32</v>
      </c>
      <c r="D1294" t="s">
        <v>33</v>
      </c>
      <c r="E1294" t="s">
        <v>122</v>
      </c>
      <c r="F1294" t="s">
        <v>35</v>
      </c>
      <c r="G1294" t="s">
        <v>35</v>
      </c>
      <c r="H1294" t="s">
        <v>35</v>
      </c>
      <c r="J1294" t="s">
        <v>1818</v>
      </c>
      <c r="K1294" t="s">
        <v>1092</v>
      </c>
      <c r="M1294">
        <v>2.48</v>
      </c>
      <c r="N1294">
        <v>23</v>
      </c>
      <c r="O1294" t="s">
        <v>46</v>
      </c>
      <c r="Q1294" t="s">
        <v>1819</v>
      </c>
      <c r="R1294" t="s">
        <v>1700</v>
      </c>
      <c r="S1294" t="s">
        <v>174</v>
      </c>
    </row>
    <row r="1295" spans="1:19" x14ac:dyDescent="0.25">
      <c r="A1295" t="s">
        <v>59</v>
      </c>
      <c r="B1295" t="s">
        <v>60</v>
      </c>
      <c r="C1295" t="s">
        <v>32</v>
      </c>
      <c r="D1295" t="s">
        <v>33</v>
      </c>
      <c r="E1295" t="s">
        <v>122</v>
      </c>
      <c r="F1295" t="s">
        <v>35</v>
      </c>
      <c r="G1295" t="s">
        <v>35</v>
      </c>
      <c r="H1295" t="s">
        <v>35</v>
      </c>
      <c r="J1295" t="s">
        <v>1820</v>
      </c>
      <c r="K1295" t="s">
        <v>1092</v>
      </c>
      <c r="M1295">
        <v>0.5</v>
      </c>
      <c r="N1295">
        <v>74</v>
      </c>
      <c r="O1295" t="s">
        <v>61</v>
      </c>
      <c r="Q1295" t="s">
        <v>488</v>
      </c>
      <c r="R1295" t="s">
        <v>199</v>
      </c>
      <c r="S1295" t="s">
        <v>200</v>
      </c>
    </row>
    <row r="1296" spans="1:19" x14ac:dyDescent="0.25">
      <c r="A1296" t="s">
        <v>59</v>
      </c>
      <c r="B1296" t="s">
        <v>60</v>
      </c>
      <c r="C1296" t="s">
        <v>32</v>
      </c>
      <c r="D1296" t="s">
        <v>33</v>
      </c>
      <c r="E1296" t="s">
        <v>122</v>
      </c>
      <c r="F1296" t="s">
        <v>35</v>
      </c>
      <c r="G1296" t="s">
        <v>35</v>
      </c>
      <c r="H1296" t="s">
        <v>35</v>
      </c>
      <c r="J1296" t="s">
        <v>1821</v>
      </c>
      <c r="K1296" t="s">
        <v>1092</v>
      </c>
      <c r="M1296">
        <v>4.3499999999999996</v>
      </c>
      <c r="N1296">
        <v>83</v>
      </c>
      <c r="O1296" t="s">
        <v>61</v>
      </c>
      <c r="Q1296" t="s">
        <v>455</v>
      </c>
      <c r="R1296" t="s">
        <v>169</v>
      </c>
      <c r="S1296" t="s">
        <v>123</v>
      </c>
    </row>
    <row r="1297" spans="1:19" x14ac:dyDescent="0.25">
      <c r="A1297" t="s">
        <v>30</v>
      </c>
      <c r="B1297" t="s">
        <v>31</v>
      </c>
      <c r="C1297" t="s">
        <v>32</v>
      </c>
      <c r="D1297" t="s">
        <v>33</v>
      </c>
      <c r="E1297" t="s">
        <v>122</v>
      </c>
      <c r="F1297" t="s">
        <v>35</v>
      </c>
      <c r="G1297" t="s">
        <v>35</v>
      </c>
      <c r="H1297" t="s">
        <v>35</v>
      </c>
      <c r="J1297" t="s">
        <v>1821</v>
      </c>
      <c r="K1297" t="s">
        <v>1092</v>
      </c>
      <c r="M1297">
        <v>0.99</v>
      </c>
      <c r="N1297">
        <v>141</v>
      </c>
      <c r="O1297" t="s">
        <v>38</v>
      </c>
      <c r="Q1297" t="s">
        <v>1822</v>
      </c>
      <c r="R1297" t="s">
        <v>103</v>
      </c>
      <c r="S1297" t="s">
        <v>104</v>
      </c>
    </row>
    <row r="1298" spans="1:19" x14ac:dyDescent="0.25">
      <c r="A1298" t="s">
        <v>59</v>
      </c>
      <c r="B1298" t="s">
        <v>31</v>
      </c>
      <c r="C1298" t="s">
        <v>32</v>
      </c>
      <c r="D1298" t="s">
        <v>33</v>
      </c>
      <c r="E1298" t="s">
        <v>122</v>
      </c>
      <c r="F1298" t="s">
        <v>35</v>
      </c>
      <c r="G1298" t="s">
        <v>35</v>
      </c>
      <c r="H1298" t="s">
        <v>35</v>
      </c>
      <c r="J1298" t="s">
        <v>1491</v>
      </c>
      <c r="K1298" t="s">
        <v>1092</v>
      </c>
      <c r="M1298">
        <v>0.09</v>
      </c>
      <c r="N1298">
        <v>174</v>
      </c>
      <c r="O1298" t="s">
        <v>38</v>
      </c>
      <c r="Q1298" t="s">
        <v>1565</v>
      </c>
      <c r="R1298" t="s">
        <v>169</v>
      </c>
      <c r="S1298" t="s">
        <v>123</v>
      </c>
    </row>
    <row r="1299" spans="1:19" x14ac:dyDescent="0.25">
      <c r="A1299" t="s">
        <v>44</v>
      </c>
      <c r="B1299" t="s">
        <v>51</v>
      </c>
      <c r="C1299" t="s">
        <v>32</v>
      </c>
      <c r="D1299" t="s">
        <v>33</v>
      </c>
      <c r="E1299" t="s">
        <v>122</v>
      </c>
      <c r="F1299" t="s">
        <v>35</v>
      </c>
      <c r="G1299" t="s">
        <v>35</v>
      </c>
      <c r="H1299" t="s">
        <v>35</v>
      </c>
      <c r="J1299" t="s">
        <v>1823</v>
      </c>
      <c r="K1299" t="s">
        <v>1092</v>
      </c>
      <c r="M1299">
        <v>0.1</v>
      </c>
      <c r="N1299">
        <v>187</v>
      </c>
      <c r="O1299" t="s">
        <v>5</v>
      </c>
      <c r="Q1299" t="s">
        <v>1798</v>
      </c>
      <c r="R1299" t="s">
        <v>1718</v>
      </c>
      <c r="S1299" t="s">
        <v>1719</v>
      </c>
    </row>
    <row r="1300" spans="1:19" x14ac:dyDescent="0.25">
      <c r="A1300" t="s">
        <v>59</v>
      </c>
      <c r="B1300" t="s">
        <v>60</v>
      </c>
      <c r="C1300" t="s">
        <v>32</v>
      </c>
      <c r="D1300" t="s">
        <v>33</v>
      </c>
      <c r="E1300" t="s">
        <v>122</v>
      </c>
      <c r="F1300" t="s">
        <v>35</v>
      </c>
      <c r="G1300" t="s">
        <v>35</v>
      </c>
      <c r="H1300" t="s">
        <v>35</v>
      </c>
      <c r="J1300" t="s">
        <v>1823</v>
      </c>
      <c r="K1300" t="s">
        <v>1092</v>
      </c>
      <c r="M1300">
        <v>0.4</v>
      </c>
      <c r="N1300">
        <v>279</v>
      </c>
      <c r="O1300" t="s">
        <v>5</v>
      </c>
      <c r="Q1300" t="s">
        <v>1717</v>
      </c>
      <c r="R1300" t="s">
        <v>1718</v>
      </c>
      <c r="S1300" t="s">
        <v>1719</v>
      </c>
    </row>
    <row r="1301" spans="1:19" x14ac:dyDescent="0.25">
      <c r="A1301" t="s">
        <v>44</v>
      </c>
      <c r="B1301" t="s">
        <v>3</v>
      </c>
      <c r="C1301" t="s">
        <v>32</v>
      </c>
      <c r="D1301" t="s">
        <v>33</v>
      </c>
      <c r="E1301" t="s">
        <v>122</v>
      </c>
      <c r="F1301" t="s">
        <v>35</v>
      </c>
      <c r="G1301" t="s">
        <v>35</v>
      </c>
      <c r="H1301" t="s">
        <v>35</v>
      </c>
      <c r="J1301" t="s">
        <v>1823</v>
      </c>
      <c r="K1301" t="s">
        <v>1092</v>
      </c>
      <c r="M1301">
        <v>0.5</v>
      </c>
      <c r="N1301">
        <v>25</v>
      </c>
      <c r="O1301" t="s">
        <v>46</v>
      </c>
      <c r="Q1301" t="s">
        <v>831</v>
      </c>
      <c r="R1301" t="s">
        <v>1352</v>
      </c>
      <c r="S1301" t="s">
        <v>141</v>
      </c>
    </row>
    <row r="1302" spans="1:19" x14ac:dyDescent="0.25">
      <c r="A1302" t="s">
        <v>59</v>
      </c>
      <c r="B1302" t="s">
        <v>31</v>
      </c>
      <c r="C1302" t="s">
        <v>32</v>
      </c>
      <c r="D1302" t="s">
        <v>33</v>
      </c>
      <c r="E1302" t="s">
        <v>122</v>
      </c>
      <c r="F1302" t="s">
        <v>35</v>
      </c>
      <c r="G1302" t="s">
        <v>35</v>
      </c>
      <c r="H1302" t="s">
        <v>35</v>
      </c>
      <c r="J1302" t="s">
        <v>1823</v>
      </c>
      <c r="K1302" t="s">
        <v>1092</v>
      </c>
      <c r="M1302">
        <v>0.315</v>
      </c>
      <c r="N1302">
        <v>139</v>
      </c>
      <c r="O1302" t="s">
        <v>38</v>
      </c>
      <c r="Q1302" t="s">
        <v>1696</v>
      </c>
      <c r="R1302" t="s">
        <v>169</v>
      </c>
      <c r="S1302" t="s">
        <v>123</v>
      </c>
    </row>
    <row r="1303" spans="1:19" x14ac:dyDescent="0.25">
      <c r="A1303" t="s">
        <v>44</v>
      </c>
      <c r="B1303" t="s">
        <v>51</v>
      </c>
      <c r="C1303" t="s">
        <v>32</v>
      </c>
      <c r="D1303" t="s">
        <v>33</v>
      </c>
      <c r="E1303" t="s">
        <v>122</v>
      </c>
      <c r="F1303" t="s">
        <v>35</v>
      </c>
      <c r="G1303" t="s">
        <v>35</v>
      </c>
      <c r="H1303" t="s">
        <v>35</v>
      </c>
      <c r="J1303" t="s">
        <v>50</v>
      </c>
      <c r="K1303" t="s">
        <v>1092</v>
      </c>
      <c r="M1303">
        <v>0.5</v>
      </c>
      <c r="N1303">
        <v>337</v>
      </c>
      <c r="O1303" t="s">
        <v>5</v>
      </c>
      <c r="Q1303" t="s">
        <v>1825</v>
      </c>
      <c r="R1303" t="s">
        <v>1352</v>
      </c>
      <c r="S1303" t="s">
        <v>141</v>
      </c>
    </row>
    <row r="1304" spans="1:19" x14ac:dyDescent="0.25">
      <c r="A1304" t="s">
        <v>44</v>
      </c>
      <c r="B1304" t="s">
        <v>51</v>
      </c>
      <c r="C1304" t="s">
        <v>32</v>
      </c>
      <c r="D1304" t="s">
        <v>33</v>
      </c>
      <c r="E1304" t="s">
        <v>122</v>
      </c>
      <c r="F1304" t="s">
        <v>35</v>
      </c>
      <c r="G1304" t="s">
        <v>35</v>
      </c>
      <c r="H1304" t="s">
        <v>35</v>
      </c>
      <c r="J1304" t="s">
        <v>50</v>
      </c>
      <c r="K1304" t="s">
        <v>1092</v>
      </c>
      <c r="M1304">
        <v>0.25</v>
      </c>
      <c r="N1304">
        <v>321</v>
      </c>
      <c r="O1304" t="s">
        <v>5</v>
      </c>
      <c r="Q1304" t="s">
        <v>1824</v>
      </c>
      <c r="R1304" t="s">
        <v>1352</v>
      </c>
      <c r="S1304" t="s">
        <v>141</v>
      </c>
    </row>
    <row r="1305" spans="1:19" x14ac:dyDescent="0.25">
      <c r="A1305" t="s">
        <v>59</v>
      </c>
      <c r="B1305" t="s">
        <v>60</v>
      </c>
      <c r="C1305" t="s">
        <v>32</v>
      </c>
      <c r="D1305" t="s">
        <v>33</v>
      </c>
      <c r="E1305" t="s">
        <v>162</v>
      </c>
      <c r="F1305" t="s">
        <v>35</v>
      </c>
      <c r="G1305" t="s">
        <v>35</v>
      </c>
      <c r="H1305" t="s">
        <v>35</v>
      </c>
      <c r="J1305" t="s">
        <v>1826</v>
      </c>
      <c r="K1305" t="s">
        <v>1092</v>
      </c>
      <c r="M1305">
        <v>3</v>
      </c>
      <c r="N1305">
        <v>70</v>
      </c>
      <c r="O1305" t="s">
        <v>61</v>
      </c>
      <c r="Q1305" t="s">
        <v>126</v>
      </c>
      <c r="R1305" t="s">
        <v>169</v>
      </c>
      <c r="S1305" t="s">
        <v>123</v>
      </c>
    </row>
    <row r="1306" spans="1:19" x14ac:dyDescent="0.25">
      <c r="A1306" t="s">
        <v>44</v>
      </c>
      <c r="B1306" t="s">
        <v>51</v>
      </c>
      <c r="C1306" t="s">
        <v>32</v>
      </c>
      <c r="D1306" t="s">
        <v>33</v>
      </c>
      <c r="E1306" t="s">
        <v>162</v>
      </c>
      <c r="F1306" t="s">
        <v>35</v>
      </c>
      <c r="G1306" t="s">
        <v>35</v>
      </c>
      <c r="H1306" t="s">
        <v>35</v>
      </c>
      <c r="J1306" t="s">
        <v>1826</v>
      </c>
      <c r="K1306" t="s">
        <v>1092</v>
      </c>
      <c r="M1306">
        <v>5.5</v>
      </c>
      <c r="N1306">
        <v>247</v>
      </c>
      <c r="O1306" t="s">
        <v>5</v>
      </c>
      <c r="Q1306" t="s">
        <v>574</v>
      </c>
      <c r="R1306" t="s">
        <v>103</v>
      </c>
      <c r="S1306" t="s">
        <v>104</v>
      </c>
    </row>
    <row r="1307" spans="1:19" x14ac:dyDescent="0.25">
      <c r="A1307" t="s">
        <v>59</v>
      </c>
      <c r="B1307" t="s">
        <v>60</v>
      </c>
      <c r="C1307" t="s">
        <v>32</v>
      </c>
      <c r="D1307" t="s">
        <v>33</v>
      </c>
      <c r="E1307" t="s">
        <v>162</v>
      </c>
      <c r="F1307" t="s">
        <v>35</v>
      </c>
      <c r="G1307" t="s">
        <v>35</v>
      </c>
      <c r="H1307" t="s">
        <v>35</v>
      </c>
      <c r="J1307" t="s">
        <v>1826</v>
      </c>
      <c r="K1307" t="s">
        <v>1092</v>
      </c>
      <c r="M1307">
        <v>11</v>
      </c>
      <c r="N1307">
        <v>99</v>
      </c>
      <c r="O1307" t="s">
        <v>106</v>
      </c>
      <c r="Q1307" t="s">
        <v>1216</v>
      </c>
      <c r="R1307" t="s">
        <v>103</v>
      </c>
      <c r="S1307" t="s">
        <v>104</v>
      </c>
    </row>
    <row r="1308" spans="1:19" x14ac:dyDescent="0.25">
      <c r="A1308" t="s">
        <v>59</v>
      </c>
      <c r="B1308" t="s">
        <v>60</v>
      </c>
      <c r="C1308" t="s">
        <v>32</v>
      </c>
      <c r="D1308" t="s">
        <v>33</v>
      </c>
      <c r="E1308" t="s">
        <v>162</v>
      </c>
      <c r="F1308" t="s">
        <v>35</v>
      </c>
      <c r="G1308" t="s">
        <v>35</v>
      </c>
      <c r="H1308" t="s">
        <v>35</v>
      </c>
      <c r="J1308" t="s">
        <v>1827</v>
      </c>
      <c r="K1308" t="s">
        <v>1092</v>
      </c>
      <c r="M1308">
        <v>5.5</v>
      </c>
      <c r="N1308">
        <v>68</v>
      </c>
      <c r="O1308" t="s">
        <v>61</v>
      </c>
      <c r="Q1308" t="s">
        <v>146</v>
      </c>
      <c r="R1308" t="s">
        <v>169</v>
      </c>
      <c r="S1308" t="s">
        <v>123</v>
      </c>
    </row>
    <row r="1309" spans="1:19" x14ac:dyDescent="0.25">
      <c r="A1309" t="s">
        <v>59</v>
      </c>
      <c r="B1309" t="s">
        <v>60</v>
      </c>
      <c r="C1309" t="s">
        <v>32</v>
      </c>
      <c r="D1309" t="s">
        <v>33</v>
      </c>
      <c r="E1309" t="s">
        <v>162</v>
      </c>
      <c r="F1309" t="s">
        <v>35</v>
      </c>
      <c r="G1309" t="s">
        <v>35</v>
      </c>
      <c r="H1309" t="s">
        <v>35</v>
      </c>
      <c r="J1309" t="s">
        <v>1827</v>
      </c>
      <c r="K1309" t="s">
        <v>1092</v>
      </c>
      <c r="M1309">
        <v>2.25</v>
      </c>
      <c r="N1309">
        <v>91</v>
      </c>
      <c r="O1309" t="s">
        <v>106</v>
      </c>
      <c r="Q1309" t="s">
        <v>1147</v>
      </c>
      <c r="R1309" t="s">
        <v>169</v>
      </c>
      <c r="S1309" t="s">
        <v>123</v>
      </c>
    </row>
    <row r="1310" spans="1:19" x14ac:dyDescent="0.25">
      <c r="A1310" t="s">
        <v>30</v>
      </c>
      <c r="B1310" t="s">
        <v>31</v>
      </c>
      <c r="C1310" t="s">
        <v>32</v>
      </c>
      <c r="D1310" t="s">
        <v>33</v>
      </c>
      <c r="E1310" t="s">
        <v>162</v>
      </c>
      <c r="F1310" t="s">
        <v>35</v>
      </c>
      <c r="G1310" t="s">
        <v>35</v>
      </c>
      <c r="H1310" t="s">
        <v>35</v>
      </c>
      <c r="J1310" t="s">
        <v>1827</v>
      </c>
      <c r="K1310" t="s">
        <v>1092</v>
      </c>
      <c r="M1310">
        <v>4.7699999999999996</v>
      </c>
      <c r="N1310">
        <v>68</v>
      </c>
      <c r="O1310" t="s">
        <v>61</v>
      </c>
      <c r="Q1310" t="s">
        <v>146</v>
      </c>
      <c r="R1310" t="s">
        <v>169</v>
      </c>
      <c r="S1310" t="s">
        <v>123</v>
      </c>
    </row>
    <row r="1311" spans="1:19" x14ac:dyDescent="0.25">
      <c r="A1311" t="s">
        <v>44</v>
      </c>
      <c r="B1311" t="s">
        <v>51</v>
      </c>
      <c r="C1311" t="s">
        <v>32</v>
      </c>
      <c r="D1311" t="s">
        <v>33</v>
      </c>
      <c r="E1311" t="s">
        <v>162</v>
      </c>
      <c r="F1311" t="s">
        <v>35</v>
      </c>
      <c r="G1311" t="s">
        <v>35</v>
      </c>
      <c r="H1311" t="s">
        <v>35</v>
      </c>
      <c r="J1311" t="s">
        <v>1828</v>
      </c>
      <c r="K1311" t="s">
        <v>1092</v>
      </c>
      <c r="M1311">
        <v>5.4</v>
      </c>
      <c r="N1311">
        <v>28</v>
      </c>
      <c r="O1311" t="s">
        <v>46</v>
      </c>
      <c r="Q1311" t="s">
        <v>176</v>
      </c>
      <c r="R1311" t="s">
        <v>85</v>
      </c>
      <c r="S1311" t="s">
        <v>86</v>
      </c>
    </row>
    <row r="1312" spans="1:19" x14ac:dyDescent="0.25">
      <c r="A1312" t="s">
        <v>44</v>
      </c>
      <c r="B1312" t="s">
        <v>3</v>
      </c>
      <c r="C1312" t="s">
        <v>32</v>
      </c>
      <c r="D1312" t="s">
        <v>33</v>
      </c>
      <c r="E1312" t="s">
        <v>162</v>
      </c>
      <c r="F1312" t="s">
        <v>35</v>
      </c>
      <c r="G1312" t="s">
        <v>35</v>
      </c>
      <c r="H1312" t="s">
        <v>35</v>
      </c>
      <c r="J1312" t="s">
        <v>1829</v>
      </c>
      <c r="K1312" t="s">
        <v>1092</v>
      </c>
      <c r="M1312">
        <v>2.1</v>
      </c>
      <c r="N1312">
        <v>68</v>
      </c>
      <c r="O1312" t="s">
        <v>61</v>
      </c>
      <c r="Q1312" t="s">
        <v>146</v>
      </c>
      <c r="R1312" t="s">
        <v>193</v>
      </c>
      <c r="S1312" t="s">
        <v>181</v>
      </c>
    </row>
    <row r="1313" spans="1:19" x14ac:dyDescent="0.25">
      <c r="A1313" t="s">
        <v>59</v>
      </c>
      <c r="B1313" t="s">
        <v>31</v>
      </c>
      <c r="C1313" t="s">
        <v>32</v>
      </c>
      <c r="D1313" t="s">
        <v>33</v>
      </c>
      <c r="E1313" t="s">
        <v>162</v>
      </c>
      <c r="F1313" t="s">
        <v>35</v>
      </c>
      <c r="G1313" t="s">
        <v>35</v>
      </c>
      <c r="H1313" t="s">
        <v>35</v>
      </c>
      <c r="J1313" t="s">
        <v>1829</v>
      </c>
      <c r="K1313" t="s">
        <v>1092</v>
      </c>
      <c r="M1313">
        <v>2.7</v>
      </c>
      <c r="N1313">
        <v>68</v>
      </c>
      <c r="O1313" t="s">
        <v>61</v>
      </c>
      <c r="Q1313" t="s">
        <v>146</v>
      </c>
      <c r="R1313" t="s">
        <v>193</v>
      </c>
      <c r="S1313" t="s">
        <v>181</v>
      </c>
    </row>
    <row r="1314" spans="1:19" x14ac:dyDescent="0.25">
      <c r="A1314" t="s">
        <v>30</v>
      </c>
      <c r="B1314" t="s">
        <v>31</v>
      </c>
      <c r="C1314" t="s">
        <v>32</v>
      </c>
      <c r="D1314" t="s">
        <v>33</v>
      </c>
      <c r="E1314" t="s">
        <v>162</v>
      </c>
      <c r="F1314" t="s">
        <v>35</v>
      </c>
      <c r="G1314" t="s">
        <v>35</v>
      </c>
      <c r="H1314" t="s">
        <v>35</v>
      </c>
      <c r="J1314" t="s">
        <v>1830</v>
      </c>
      <c r="K1314" t="s">
        <v>1092</v>
      </c>
      <c r="M1314">
        <v>3.78</v>
      </c>
      <c r="N1314">
        <v>46</v>
      </c>
      <c r="O1314" t="s">
        <v>52</v>
      </c>
      <c r="Q1314" t="s">
        <v>493</v>
      </c>
      <c r="R1314" t="s">
        <v>85</v>
      </c>
      <c r="S1314" t="s">
        <v>86</v>
      </c>
    </row>
    <row r="1315" spans="1:19" x14ac:dyDescent="0.25">
      <c r="A1315" t="s">
        <v>44</v>
      </c>
      <c r="B1315" t="s">
        <v>3</v>
      </c>
      <c r="C1315" t="s">
        <v>32</v>
      </c>
      <c r="D1315" t="s">
        <v>33</v>
      </c>
      <c r="E1315" t="s">
        <v>162</v>
      </c>
      <c r="F1315" t="s">
        <v>35</v>
      </c>
      <c r="G1315" t="s">
        <v>35</v>
      </c>
      <c r="H1315" t="s">
        <v>35</v>
      </c>
      <c r="J1315" t="s">
        <v>1830</v>
      </c>
      <c r="K1315" t="s">
        <v>1092</v>
      </c>
      <c r="M1315">
        <v>1.55</v>
      </c>
      <c r="N1315">
        <v>62</v>
      </c>
      <c r="O1315" t="s">
        <v>61</v>
      </c>
      <c r="Q1315" t="s">
        <v>90</v>
      </c>
      <c r="R1315" t="s">
        <v>85</v>
      </c>
      <c r="S1315" t="s">
        <v>86</v>
      </c>
    </row>
    <row r="1316" spans="1:19" x14ac:dyDescent="0.25">
      <c r="A1316" t="s">
        <v>30</v>
      </c>
      <c r="B1316" t="s">
        <v>31</v>
      </c>
      <c r="C1316" t="s">
        <v>32</v>
      </c>
      <c r="D1316" t="s">
        <v>33</v>
      </c>
      <c r="E1316" t="s">
        <v>162</v>
      </c>
      <c r="F1316" t="s">
        <v>35</v>
      </c>
      <c r="G1316" t="s">
        <v>35</v>
      </c>
      <c r="H1316" t="s">
        <v>35</v>
      </c>
      <c r="J1316" t="s">
        <v>1831</v>
      </c>
      <c r="K1316" t="s">
        <v>1092</v>
      </c>
      <c r="M1316">
        <v>3.6</v>
      </c>
      <c r="N1316">
        <v>44</v>
      </c>
      <c r="O1316" t="s">
        <v>52</v>
      </c>
      <c r="Q1316" t="s">
        <v>192</v>
      </c>
      <c r="R1316" t="s">
        <v>193</v>
      </c>
      <c r="S1316" t="s">
        <v>181</v>
      </c>
    </row>
    <row r="1317" spans="1:19" x14ac:dyDescent="0.25">
      <c r="A1317" t="s">
        <v>44</v>
      </c>
      <c r="B1317" t="s">
        <v>51</v>
      </c>
      <c r="C1317" t="s">
        <v>32</v>
      </c>
      <c r="D1317" t="s">
        <v>33</v>
      </c>
      <c r="E1317" t="s">
        <v>162</v>
      </c>
      <c r="F1317" t="s">
        <v>35</v>
      </c>
      <c r="G1317" t="s">
        <v>35</v>
      </c>
      <c r="H1317" t="s">
        <v>35</v>
      </c>
      <c r="J1317" t="s">
        <v>1832</v>
      </c>
      <c r="K1317" t="s">
        <v>1092</v>
      </c>
      <c r="M1317">
        <v>2.4500000000000002</v>
      </c>
      <c r="N1317">
        <v>56</v>
      </c>
      <c r="O1317" t="s">
        <v>52</v>
      </c>
      <c r="Q1317" t="s">
        <v>453</v>
      </c>
      <c r="R1317" t="s">
        <v>193</v>
      </c>
      <c r="S1317" t="s">
        <v>181</v>
      </c>
    </row>
    <row r="1318" spans="1:19" x14ac:dyDescent="0.25">
      <c r="A1318" t="s">
        <v>30</v>
      </c>
      <c r="B1318" t="s">
        <v>31</v>
      </c>
      <c r="C1318" t="s">
        <v>32</v>
      </c>
      <c r="D1318" t="s">
        <v>33</v>
      </c>
      <c r="E1318" t="s">
        <v>162</v>
      </c>
      <c r="F1318" t="s">
        <v>35</v>
      </c>
      <c r="G1318" t="s">
        <v>35</v>
      </c>
      <c r="H1318" t="s">
        <v>35</v>
      </c>
      <c r="J1318" t="s">
        <v>1832</v>
      </c>
      <c r="K1318" t="s">
        <v>1092</v>
      </c>
      <c r="M1318">
        <v>5.49</v>
      </c>
      <c r="N1318">
        <v>44</v>
      </c>
      <c r="O1318" t="s">
        <v>52</v>
      </c>
      <c r="Q1318" t="s">
        <v>192</v>
      </c>
      <c r="R1318" t="s">
        <v>193</v>
      </c>
      <c r="S1318" t="s">
        <v>181</v>
      </c>
    </row>
    <row r="1319" spans="1:19" x14ac:dyDescent="0.25">
      <c r="A1319" t="s">
        <v>59</v>
      </c>
      <c r="B1319" t="s">
        <v>31</v>
      </c>
      <c r="C1319" t="s">
        <v>32</v>
      </c>
      <c r="D1319" t="s">
        <v>33</v>
      </c>
      <c r="E1319" t="s">
        <v>162</v>
      </c>
      <c r="F1319" t="s">
        <v>35</v>
      </c>
      <c r="G1319" t="s">
        <v>35</v>
      </c>
      <c r="H1319" t="s">
        <v>35</v>
      </c>
      <c r="J1319" t="s">
        <v>1832</v>
      </c>
      <c r="K1319" t="s">
        <v>1092</v>
      </c>
      <c r="M1319">
        <v>5.49</v>
      </c>
      <c r="N1319">
        <v>114</v>
      </c>
      <c r="O1319" t="s">
        <v>106</v>
      </c>
      <c r="Q1319" t="s">
        <v>288</v>
      </c>
      <c r="R1319" t="s">
        <v>193</v>
      </c>
      <c r="S1319" t="s">
        <v>181</v>
      </c>
    </row>
    <row r="1320" spans="1:19" x14ac:dyDescent="0.25">
      <c r="A1320" t="s">
        <v>59</v>
      </c>
      <c r="B1320" t="s">
        <v>31</v>
      </c>
      <c r="C1320" t="s">
        <v>32</v>
      </c>
      <c r="D1320" t="s">
        <v>33</v>
      </c>
      <c r="E1320" t="s">
        <v>162</v>
      </c>
      <c r="F1320" t="s">
        <v>35</v>
      </c>
      <c r="G1320" t="s">
        <v>35</v>
      </c>
      <c r="H1320" t="s">
        <v>35</v>
      </c>
      <c r="J1320" t="s">
        <v>1832</v>
      </c>
      <c r="K1320" t="s">
        <v>1092</v>
      </c>
      <c r="M1320">
        <v>4.8150000000000004</v>
      </c>
      <c r="N1320">
        <v>160</v>
      </c>
      <c r="O1320" t="s">
        <v>38</v>
      </c>
      <c r="Q1320" t="s">
        <v>260</v>
      </c>
      <c r="R1320" t="s">
        <v>193</v>
      </c>
      <c r="S1320" t="s">
        <v>181</v>
      </c>
    </row>
    <row r="1321" spans="1:19" x14ac:dyDescent="0.25">
      <c r="A1321" t="s">
        <v>30</v>
      </c>
      <c r="B1321" t="s">
        <v>31</v>
      </c>
      <c r="C1321" t="s">
        <v>32</v>
      </c>
      <c r="D1321" t="s">
        <v>33</v>
      </c>
      <c r="E1321" t="s">
        <v>162</v>
      </c>
      <c r="F1321" t="s">
        <v>35</v>
      </c>
      <c r="G1321" t="s">
        <v>35</v>
      </c>
      <c r="H1321" t="s">
        <v>35</v>
      </c>
      <c r="J1321" t="s">
        <v>1832</v>
      </c>
      <c r="K1321" t="s">
        <v>1092</v>
      </c>
      <c r="M1321">
        <v>4.6349999999999998</v>
      </c>
      <c r="N1321">
        <v>75</v>
      </c>
      <c r="O1321" t="s">
        <v>61</v>
      </c>
      <c r="Q1321" t="s">
        <v>805</v>
      </c>
      <c r="R1321" t="s">
        <v>193</v>
      </c>
      <c r="S1321" t="s">
        <v>181</v>
      </c>
    </row>
    <row r="1322" spans="1:19" x14ac:dyDescent="0.25">
      <c r="A1322" t="s">
        <v>30</v>
      </c>
      <c r="B1322" t="s">
        <v>31</v>
      </c>
      <c r="C1322" t="s">
        <v>32</v>
      </c>
      <c r="D1322" t="s">
        <v>33</v>
      </c>
      <c r="E1322" t="s">
        <v>162</v>
      </c>
      <c r="F1322" t="s">
        <v>35</v>
      </c>
      <c r="G1322" t="s">
        <v>35</v>
      </c>
      <c r="H1322" t="s">
        <v>35</v>
      </c>
      <c r="J1322" t="s">
        <v>1833</v>
      </c>
      <c r="K1322" t="s">
        <v>1092</v>
      </c>
      <c r="M1322">
        <v>10.98</v>
      </c>
      <c r="N1322">
        <v>47</v>
      </c>
      <c r="O1322" t="s">
        <v>52</v>
      </c>
      <c r="Q1322" t="s">
        <v>132</v>
      </c>
      <c r="R1322" t="s">
        <v>103</v>
      </c>
      <c r="S1322" t="s">
        <v>104</v>
      </c>
    </row>
    <row r="1323" spans="1:19" x14ac:dyDescent="0.25">
      <c r="A1323" t="s">
        <v>30</v>
      </c>
      <c r="B1323" t="s">
        <v>31</v>
      </c>
      <c r="C1323" t="s">
        <v>32</v>
      </c>
      <c r="D1323" t="s">
        <v>33</v>
      </c>
      <c r="E1323" t="s">
        <v>162</v>
      </c>
      <c r="F1323" t="s">
        <v>35</v>
      </c>
      <c r="G1323" t="s">
        <v>35</v>
      </c>
      <c r="H1323" t="s">
        <v>35</v>
      </c>
      <c r="J1323" t="s">
        <v>1833</v>
      </c>
      <c r="K1323" t="s">
        <v>1092</v>
      </c>
      <c r="M1323">
        <v>6.21</v>
      </c>
      <c r="N1323">
        <v>145</v>
      </c>
      <c r="O1323" t="s">
        <v>38</v>
      </c>
      <c r="Q1323" t="s">
        <v>1149</v>
      </c>
      <c r="R1323" t="s">
        <v>169</v>
      </c>
      <c r="S1323" t="s">
        <v>123</v>
      </c>
    </row>
    <row r="1324" spans="1:19" x14ac:dyDescent="0.25">
      <c r="A1324" t="s">
        <v>59</v>
      </c>
      <c r="B1324" t="s">
        <v>31</v>
      </c>
      <c r="C1324" t="s">
        <v>32</v>
      </c>
      <c r="D1324" t="s">
        <v>33</v>
      </c>
      <c r="E1324" t="s">
        <v>162</v>
      </c>
      <c r="F1324" t="s">
        <v>35</v>
      </c>
      <c r="G1324" t="s">
        <v>35</v>
      </c>
      <c r="H1324" t="s">
        <v>35</v>
      </c>
      <c r="J1324" t="s">
        <v>1834</v>
      </c>
      <c r="K1324" t="s">
        <v>1092</v>
      </c>
      <c r="M1324">
        <v>5.58</v>
      </c>
      <c r="N1324">
        <v>948</v>
      </c>
      <c r="O1324" t="s">
        <v>575</v>
      </c>
      <c r="Q1324" t="s">
        <v>1835</v>
      </c>
      <c r="R1324" t="s">
        <v>1211</v>
      </c>
      <c r="S1324" t="s">
        <v>1212</v>
      </c>
    </row>
    <row r="1325" spans="1:19" x14ac:dyDescent="0.25">
      <c r="A1325" t="s">
        <v>44</v>
      </c>
      <c r="B1325" t="s">
        <v>3</v>
      </c>
      <c r="C1325" t="s">
        <v>32</v>
      </c>
      <c r="D1325" t="s">
        <v>33</v>
      </c>
      <c r="E1325" t="s">
        <v>162</v>
      </c>
      <c r="F1325" t="s">
        <v>35</v>
      </c>
      <c r="G1325" t="s">
        <v>35</v>
      </c>
      <c r="H1325" t="s">
        <v>35</v>
      </c>
      <c r="J1325" t="s">
        <v>1836</v>
      </c>
      <c r="K1325" t="s">
        <v>1092</v>
      </c>
      <c r="M1325">
        <v>0.4</v>
      </c>
      <c r="N1325">
        <v>53</v>
      </c>
      <c r="O1325" t="s">
        <v>52</v>
      </c>
      <c r="Q1325" t="s">
        <v>332</v>
      </c>
      <c r="R1325" t="s">
        <v>1287</v>
      </c>
      <c r="S1325" t="s">
        <v>189</v>
      </c>
    </row>
    <row r="1326" spans="1:19" x14ac:dyDescent="0.25">
      <c r="A1326" t="s">
        <v>59</v>
      </c>
      <c r="B1326" t="s">
        <v>60</v>
      </c>
      <c r="C1326" t="s">
        <v>32</v>
      </c>
      <c r="D1326" t="s">
        <v>33</v>
      </c>
      <c r="E1326" t="s">
        <v>162</v>
      </c>
      <c r="F1326" t="s">
        <v>35</v>
      </c>
      <c r="G1326" t="s">
        <v>35</v>
      </c>
      <c r="H1326" t="s">
        <v>35</v>
      </c>
      <c r="J1326" t="s">
        <v>1836</v>
      </c>
      <c r="K1326" t="s">
        <v>1092</v>
      </c>
      <c r="M1326">
        <v>2.75</v>
      </c>
      <c r="N1326">
        <v>75</v>
      </c>
      <c r="O1326" t="s">
        <v>61</v>
      </c>
      <c r="Q1326" t="s">
        <v>805</v>
      </c>
      <c r="R1326" t="s">
        <v>199</v>
      </c>
      <c r="S1326" t="s">
        <v>200</v>
      </c>
    </row>
    <row r="1327" spans="1:19" x14ac:dyDescent="0.25">
      <c r="A1327" t="s">
        <v>59</v>
      </c>
      <c r="B1327" t="s">
        <v>60</v>
      </c>
      <c r="C1327" t="s">
        <v>32</v>
      </c>
      <c r="D1327" t="s">
        <v>33</v>
      </c>
      <c r="E1327" t="s">
        <v>162</v>
      </c>
      <c r="F1327" t="s">
        <v>35</v>
      </c>
      <c r="G1327" t="s">
        <v>35</v>
      </c>
      <c r="H1327" t="s">
        <v>35</v>
      </c>
      <c r="J1327" t="s">
        <v>1837</v>
      </c>
      <c r="K1327" t="s">
        <v>1092</v>
      </c>
      <c r="M1327">
        <v>0.1</v>
      </c>
      <c r="N1327">
        <v>128</v>
      </c>
      <c r="O1327" t="s">
        <v>38</v>
      </c>
      <c r="Q1327" t="s">
        <v>1170</v>
      </c>
      <c r="R1327" t="s">
        <v>1467</v>
      </c>
      <c r="S1327" t="s">
        <v>1468</v>
      </c>
    </row>
    <row r="1328" spans="1:19" x14ac:dyDescent="0.25">
      <c r="A1328" t="s">
        <v>30</v>
      </c>
      <c r="B1328" t="s">
        <v>31</v>
      </c>
      <c r="C1328" t="s">
        <v>32</v>
      </c>
      <c r="D1328" t="s">
        <v>33</v>
      </c>
      <c r="E1328" t="s">
        <v>162</v>
      </c>
      <c r="F1328" t="s">
        <v>35</v>
      </c>
      <c r="G1328" t="s">
        <v>35</v>
      </c>
      <c r="H1328" t="s">
        <v>35</v>
      </c>
      <c r="J1328" t="s">
        <v>1838</v>
      </c>
      <c r="K1328" t="s">
        <v>1092</v>
      </c>
      <c r="M1328">
        <v>5.49</v>
      </c>
      <c r="N1328">
        <v>73</v>
      </c>
      <c r="O1328" t="s">
        <v>61</v>
      </c>
      <c r="Q1328" t="s">
        <v>552</v>
      </c>
      <c r="R1328" t="s">
        <v>199</v>
      </c>
      <c r="S1328" t="s">
        <v>200</v>
      </c>
    </row>
    <row r="1329" spans="1:19" x14ac:dyDescent="0.25">
      <c r="A1329" t="s">
        <v>59</v>
      </c>
      <c r="B1329" t="s">
        <v>60</v>
      </c>
      <c r="C1329" t="s">
        <v>32</v>
      </c>
      <c r="D1329" t="s">
        <v>33</v>
      </c>
      <c r="E1329" t="s">
        <v>162</v>
      </c>
      <c r="F1329" t="s">
        <v>35</v>
      </c>
      <c r="G1329" t="s">
        <v>35</v>
      </c>
      <c r="H1329" t="s">
        <v>35</v>
      </c>
      <c r="J1329" t="s">
        <v>1839</v>
      </c>
      <c r="K1329" t="s">
        <v>1092</v>
      </c>
      <c r="M1329">
        <v>5.0000000000000001E-3</v>
      </c>
      <c r="N1329">
        <v>2073</v>
      </c>
      <c r="O1329" t="s">
        <v>575</v>
      </c>
      <c r="Q1329" t="s">
        <v>1840</v>
      </c>
      <c r="R1329" t="s">
        <v>1841</v>
      </c>
      <c r="S1329" t="s">
        <v>1842</v>
      </c>
    </row>
    <row r="1330" spans="1:19" x14ac:dyDescent="0.25">
      <c r="A1330" t="s">
        <v>59</v>
      </c>
      <c r="B1330" t="s">
        <v>31</v>
      </c>
      <c r="C1330" t="s">
        <v>32</v>
      </c>
      <c r="D1330" t="s">
        <v>33</v>
      </c>
      <c r="E1330" t="s">
        <v>162</v>
      </c>
      <c r="F1330" t="s">
        <v>35</v>
      </c>
      <c r="G1330" t="s">
        <v>35</v>
      </c>
      <c r="H1330" t="s">
        <v>35</v>
      </c>
      <c r="J1330" t="s">
        <v>1843</v>
      </c>
      <c r="K1330" t="s">
        <v>1092</v>
      </c>
      <c r="M1330">
        <v>2.88</v>
      </c>
      <c r="N1330">
        <v>964</v>
      </c>
      <c r="O1330" t="s">
        <v>575</v>
      </c>
      <c r="Q1330" t="s">
        <v>1844</v>
      </c>
      <c r="R1330" t="s">
        <v>1845</v>
      </c>
      <c r="S1330" t="s">
        <v>1846</v>
      </c>
    </row>
    <row r="1331" spans="1:19" x14ac:dyDescent="0.25">
      <c r="A1331" t="s">
        <v>59</v>
      </c>
      <c r="B1331" t="s">
        <v>60</v>
      </c>
      <c r="C1331" t="s">
        <v>32</v>
      </c>
      <c r="D1331" t="s">
        <v>33</v>
      </c>
      <c r="E1331" t="s">
        <v>162</v>
      </c>
      <c r="F1331" t="s">
        <v>35</v>
      </c>
      <c r="G1331" t="s">
        <v>35</v>
      </c>
      <c r="H1331" t="s">
        <v>35</v>
      </c>
      <c r="J1331" t="s">
        <v>1848</v>
      </c>
      <c r="K1331" t="s">
        <v>1092</v>
      </c>
      <c r="M1331">
        <v>0.4</v>
      </c>
      <c r="N1331">
        <v>616</v>
      </c>
      <c r="O1331" t="s">
        <v>575</v>
      </c>
      <c r="Q1331" t="s">
        <v>1849</v>
      </c>
      <c r="R1331" t="s">
        <v>1287</v>
      </c>
      <c r="S1331" t="s">
        <v>189</v>
      </c>
    </row>
    <row r="1332" spans="1:19" x14ac:dyDescent="0.25">
      <c r="A1332" t="s">
        <v>59</v>
      </c>
      <c r="B1332" t="s">
        <v>60</v>
      </c>
      <c r="C1332" t="s">
        <v>32</v>
      </c>
      <c r="D1332" t="s">
        <v>33</v>
      </c>
      <c r="E1332" t="s">
        <v>162</v>
      </c>
      <c r="F1332" t="s">
        <v>35</v>
      </c>
      <c r="G1332" t="s">
        <v>35</v>
      </c>
      <c r="H1332" t="s">
        <v>35</v>
      </c>
      <c r="J1332" t="s">
        <v>1848</v>
      </c>
      <c r="K1332" t="s">
        <v>1092</v>
      </c>
      <c r="M1332">
        <v>0.6</v>
      </c>
      <c r="N1332">
        <v>655</v>
      </c>
      <c r="O1332" t="s">
        <v>575</v>
      </c>
      <c r="Q1332" t="s">
        <v>1851</v>
      </c>
      <c r="R1332" t="s">
        <v>1287</v>
      </c>
      <c r="S1332" t="s">
        <v>189</v>
      </c>
    </row>
    <row r="1333" spans="1:19" x14ac:dyDescent="0.25">
      <c r="A1333" t="s">
        <v>59</v>
      </c>
      <c r="B1333" t="s">
        <v>60</v>
      </c>
      <c r="C1333" t="s">
        <v>32</v>
      </c>
      <c r="D1333" t="s">
        <v>33</v>
      </c>
      <c r="E1333" t="s">
        <v>162</v>
      </c>
      <c r="F1333" t="s">
        <v>35</v>
      </c>
      <c r="G1333" t="s">
        <v>35</v>
      </c>
      <c r="H1333" t="s">
        <v>35</v>
      </c>
      <c r="J1333" t="s">
        <v>1848</v>
      </c>
      <c r="K1333" t="s">
        <v>1092</v>
      </c>
      <c r="M1333">
        <v>3</v>
      </c>
      <c r="N1333">
        <v>697</v>
      </c>
      <c r="O1333" t="s">
        <v>575</v>
      </c>
      <c r="Q1333" t="s">
        <v>1855</v>
      </c>
      <c r="R1333" t="s">
        <v>1287</v>
      </c>
      <c r="S1333" t="s">
        <v>189</v>
      </c>
    </row>
    <row r="1334" spans="1:19" x14ac:dyDescent="0.25">
      <c r="A1334" t="s">
        <v>59</v>
      </c>
      <c r="B1334" t="s">
        <v>60</v>
      </c>
      <c r="C1334" t="s">
        <v>32</v>
      </c>
      <c r="D1334" t="s">
        <v>33</v>
      </c>
      <c r="E1334" t="s">
        <v>162</v>
      </c>
      <c r="F1334" t="s">
        <v>35</v>
      </c>
      <c r="G1334" t="s">
        <v>35</v>
      </c>
      <c r="H1334" t="s">
        <v>35</v>
      </c>
      <c r="J1334" t="s">
        <v>1848</v>
      </c>
      <c r="K1334" t="s">
        <v>1092</v>
      </c>
      <c r="M1334">
        <v>1.5</v>
      </c>
      <c r="N1334">
        <v>704</v>
      </c>
      <c r="O1334" t="s">
        <v>575</v>
      </c>
      <c r="Q1334" t="s">
        <v>1852</v>
      </c>
      <c r="R1334" t="s">
        <v>1287</v>
      </c>
      <c r="S1334" t="s">
        <v>189</v>
      </c>
    </row>
    <row r="1335" spans="1:19" x14ac:dyDescent="0.25">
      <c r="A1335" t="s">
        <v>59</v>
      </c>
      <c r="B1335" t="s">
        <v>60</v>
      </c>
      <c r="C1335" t="s">
        <v>32</v>
      </c>
      <c r="D1335" t="s">
        <v>33</v>
      </c>
      <c r="E1335" t="s">
        <v>162</v>
      </c>
      <c r="F1335" t="s">
        <v>35</v>
      </c>
      <c r="G1335" t="s">
        <v>35</v>
      </c>
      <c r="H1335" t="s">
        <v>35</v>
      </c>
      <c r="J1335" t="s">
        <v>1848</v>
      </c>
      <c r="K1335" t="s">
        <v>1092</v>
      </c>
      <c r="M1335">
        <v>0.7</v>
      </c>
      <c r="N1335">
        <v>711</v>
      </c>
      <c r="O1335" t="s">
        <v>575</v>
      </c>
      <c r="Q1335" t="s">
        <v>1853</v>
      </c>
      <c r="R1335" t="s">
        <v>1287</v>
      </c>
      <c r="S1335" t="s">
        <v>189</v>
      </c>
    </row>
    <row r="1336" spans="1:19" x14ac:dyDescent="0.25">
      <c r="A1336" t="s">
        <v>30</v>
      </c>
      <c r="B1336" t="s">
        <v>31</v>
      </c>
      <c r="C1336" t="s">
        <v>32</v>
      </c>
      <c r="D1336" t="s">
        <v>33</v>
      </c>
      <c r="E1336" t="s">
        <v>162</v>
      </c>
      <c r="F1336" t="s">
        <v>35</v>
      </c>
      <c r="G1336" t="s">
        <v>35</v>
      </c>
      <c r="H1336" t="s">
        <v>35</v>
      </c>
      <c r="J1336" t="s">
        <v>1848</v>
      </c>
      <c r="K1336" t="s">
        <v>1092</v>
      </c>
      <c r="M1336">
        <v>2.25</v>
      </c>
      <c r="N1336">
        <v>711</v>
      </c>
      <c r="O1336" t="s">
        <v>575</v>
      </c>
      <c r="Q1336" t="s">
        <v>1853</v>
      </c>
      <c r="R1336" t="s">
        <v>1287</v>
      </c>
      <c r="S1336" t="s">
        <v>189</v>
      </c>
    </row>
    <row r="1337" spans="1:19" x14ac:dyDescent="0.25">
      <c r="A1337" t="s">
        <v>59</v>
      </c>
      <c r="B1337" t="s">
        <v>60</v>
      </c>
      <c r="C1337" t="s">
        <v>32</v>
      </c>
      <c r="D1337" t="s">
        <v>33</v>
      </c>
      <c r="E1337" t="s">
        <v>162</v>
      </c>
      <c r="F1337" t="s">
        <v>35</v>
      </c>
      <c r="G1337" t="s">
        <v>35</v>
      </c>
      <c r="H1337" t="s">
        <v>35</v>
      </c>
      <c r="J1337" t="s">
        <v>1848</v>
      </c>
      <c r="K1337" t="s">
        <v>1092</v>
      </c>
      <c r="M1337">
        <v>0.3</v>
      </c>
      <c r="N1337">
        <v>604</v>
      </c>
      <c r="O1337" t="s">
        <v>575</v>
      </c>
      <c r="Q1337" t="s">
        <v>1854</v>
      </c>
      <c r="R1337" t="s">
        <v>1287</v>
      </c>
      <c r="S1337" t="s">
        <v>189</v>
      </c>
    </row>
    <row r="1338" spans="1:19" x14ac:dyDescent="0.25">
      <c r="A1338" t="s">
        <v>59</v>
      </c>
      <c r="B1338" t="s">
        <v>60</v>
      </c>
      <c r="C1338" t="s">
        <v>32</v>
      </c>
      <c r="D1338" t="s">
        <v>33</v>
      </c>
      <c r="E1338" t="s">
        <v>162</v>
      </c>
      <c r="F1338" t="s">
        <v>35</v>
      </c>
      <c r="G1338" t="s">
        <v>35</v>
      </c>
      <c r="H1338" t="s">
        <v>35</v>
      </c>
      <c r="J1338" t="s">
        <v>1848</v>
      </c>
      <c r="K1338" t="s">
        <v>1092</v>
      </c>
      <c r="M1338">
        <v>0.4</v>
      </c>
      <c r="N1338">
        <v>621</v>
      </c>
      <c r="O1338" t="s">
        <v>575</v>
      </c>
      <c r="Q1338" t="s">
        <v>1470</v>
      </c>
      <c r="R1338" t="s">
        <v>1287</v>
      </c>
      <c r="S1338" t="s">
        <v>189</v>
      </c>
    </row>
    <row r="1339" spans="1:19" x14ac:dyDescent="0.25">
      <c r="A1339" t="s">
        <v>59</v>
      </c>
      <c r="B1339" t="s">
        <v>60</v>
      </c>
      <c r="C1339" t="s">
        <v>32</v>
      </c>
      <c r="D1339" t="s">
        <v>33</v>
      </c>
      <c r="E1339" t="s">
        <v>162</v>
      </c>
      <c r="F1339" t="s">
        <v>35</v>
      </c>
      <c r="G1339" t="s">
        <v>35</v>
      </c>
      <c r="H1339" t="s">
        <v>35</v>
      </c>
      <c r="J1339" t="s">
        <v>1848</v>
      </c>
      <c r="K1339" t="s">
        <v>1092</v>
      </c>
      <c r="M1339">
        <v>0.5</v>
      </c>
      <c r="N1339">
        <v>650</v>
      </c>
      <c r="O1339" t="s">
        <v>575</v>
      </c>
      <c r="Q1339" t="s">
        <v>1850</v>
      </c>
      <c r="R1339" t="s">
        <v>1287</v>
      </c>
      <c r="S1339" t="s">
        <v>189</v>
      </c>
    </row>
    <row r="1340" spans="1:19" x14ac:dyDescent="0.25">
      <c r="A1340" t="s">
        <v>44</v>
      </c>
      <c r="B1340" t="s">
        <v>51</v>
      </c>
      <c r="C1340" t="s">
        <v>32</v>
      </c>
      <c r="D1340" t="s">
        <v>33</v>
      </c>
      <c r="E1340" t="s">
        <v>162</v>
      </c>
      <c r="F1340" t="s">
        <v>35</v>
      </c>
      <c r="G1340" t="s">
        <v>35</v>
      </c>
      <c r="H1340" t="s">
        <v>35</v>
      </c>
      <c r="J1340" t="s">
        <v>1856</v>
      </c>
      <c r="K1340" t="s">
        <v>1092</v>
      </c>
      <c r="M1340">
        <v>5.5</v>
      </c>
      <c r="N1340">
        <v>62</v>
      </c>
      <c r="O1340" t="s">
        <v>61</v>
      </c>
      <c r="Q1340" t="s">
        <v>90</v>
      </c>
      <c r="R1340" t="s">
        <v>103</v>
      </c>
      <c r="S1340" t="s">
        <v>104</v>
      </c>
    </row>
    <row r="1341" spans="1:19" x14ac:dyDescent="0.25">
      <c r="A1341" t="s">
        <v>44</v>
      </c>
      <c r="B1341" t="s">
        <v>51</v>
      </c>
      <c r="C1341" t="s">
        <v>32</v>
      </c>
      <c r="D1341" t="s">
        <v>33</v>
      </c>
      <c r="E1341" t="s">
        <v>162</v>
      </c>
      <c r="F1341" t="s">
        <v>35</v>
      </c>
      <c r="G1341" t="s">
        <v>35</v>
      </c>
      <c r="H1341" t="s">
        <v>35</v>
      </c>
      <c r="J1341" t="s">
        <v>1857</v>
      </c>
      <c r="K1341" t="s">
        <v>1092</v>
      </c>
      <c r="M1341">
        <v>3.95</v>
      </c>
      <c r="N1341">
        <v>61</v>
      </c>
      <c r="O1341" t="s">
        <v>61</v>
      </c>
      <c r="Q1341" t="s">
        <v>671</v>
      </c>
      <c r="R1341" t="s">
        <v>1529</v>
      </c>
      <c r="S1341" t="s">
        <v>215</v>
      </c>
    </row>
    <row r="1342" spans="1:19" x14ac:dyDescent="0.25">
      <c r="A1342" t="s">
        <v>59</v>
      </c>
      <c r="B1342" t="s">
        <v>31</v>
      </c>
      <c r="C1342" t="s">
        <v>32</v>
      </c>
      <c r="D1342" t="s">
        <v>33</v>
      </c>
      <c r="E1342" t="s">
        <v>162</v>
      </c>
      <c r="F1342" t="s">
        <v>35</v>
      </c>
      <c r="G1342" t="s">
        <v>35</v>
      </c>
      <c r="H1342" t="s">
        <v>35</v>
      </c>
      <c r="J1342" t="s">
        <v>1857</v>
      </c>
      <c r="K1342" t="s">
        <v>1092</v>
      </c>
      <c r="M1342">
        <v>2.9249999999999998</v>
      </c>
      <c r="N1342">
        <v>75</v>
      </c>
      <c r="O1342" t="s">
        <v>61</v>
      </c>
      <c r="Q1342" t="s">
        <v>805</v>
      </c>
      <c r="R1342" t="s">
        <v>1529</v>
      </c>
      <c r="S1342" t="s">
        <v>215</v>
      </c>
    </row>
    <row r="1343" spans="1:19" x14ac:dyDescent="0.25">
      <c r="A1343" t="s">
        <v>59</v>
      </c>
      <c r="B1343" t="s">
        <v>60</v>
      </c>
      <c r="C1343" t="s">
        <v>32</v>
      </c>
      <c r="D1343" t="s">
        <v>33</v>
      </c>
      <c r="E1343" t="s">
        <v>162</v>
      </c>
      <c r="F1343" t="s">
        <v>35</v>
      </c>
      <c r="G1343" t="s">
        <v>35</v>
      </c>
      <c r="H1343" t="s">
        <v>35</v>
      </c>
      <c r="J1343" t="s">
        <v>1858</v>
      </c>
      <c r="K1343" t="s">
        <v>1092</v>
      </c>
      <c r="M1343">
        <v>1</v>
      </c>
      <c r="N1343">
        <v>239</v>
      </c>
      <c r="O1343" t="s">
        <v>5</v>
      </c>
      <c r="Q1343" t="s">
        <v>1471</v>
      </c>
      <c r="R1343" t="s">
        <v>1467</v>
      </c>
      <c r="S1343" t="s">
        <v>1468</v>
      </c>
    </row>
    <row r="1344" spans="1:19" x14ac:dyDescent="0.25">
      <c r="A1344" t="s">
        <v>30</v>
      </c>
      <c r="B1344" t="s">
        <v>31</v>
      </c>
      <c r="C1344" t="s">
        <v>32</v>
      </c>
      <c r="D1344" t="s">
        <v>33</v>
      </c>
      <c r="E1344" t="s">
        <v>162</v>
      </c>
      <c r="F1344" t="s">
        <v>35</v>
      </c>
      <c r="G1344" t="s">
        <v>35</v>
      </c>
      <c r="H1344" t="s">
        <v>35</v>
      </c>
      <c r="J1344" t="s">
        <v>1858</v>
      </c>
      <c r="K1344" t="s">
        <v>1092</v>
      </c>
      <c r="M1344">
        <v>1.2150000000000001</v>
      </c>
      <c r="N1344">
        <v>255</v>
      </c>
      <c r="O1344" t="s">
        <v>5</v>
      </c>
      <c r="Q1344" t="s">
        <v>1747</v>
      </c>
      <c r="R1344" t="s">
        <v>199</v>
      </c>
      <c r="S1344" t="s">
        <v>200</v>
      </c>
    </row>
    <row r="1345" spans="1:19" x14ac:dyDescent="0.25">
      <c r="A1345" t="s">
        <v>44</v>
      </c>
      <c r="B1345" t="s">
        <v>3</v>
      </c>
      <c r="C1345" t="s">
        <v>32</v>
      </c>
      <c r="D1345" t="s">
        <v>33</v>
      </c>
      <c r="E1345" t="s">
        <v>162</v>
      </c>
      <c r="F1345" t="s">
        <v>35</v>
      </c>
      <c r="G1345" t="s">
        <v>35</v>
      </c>
      <c r="H1345" t="s">
        <v>35</v>
      </c>
      <c r="J1345" t="s">
        <v>1858</v>
      </c>
      <c r="K1345" t="s">
        <v>1092</v>
      </c>
      <c r="M1345">
        <v>0.5</v>
      </c>
      <c r="N1345">
        <v>344</v>
      </c>
      <c r="O1345" t="s">
        <v>5</v>
      </c>
      <c r="Q1345" t="s">
        <v>1859</v>
      </c>
      <c r="R1345" t="s">
        <v>1467</v>
      </c>
      <c r="S1345" t="s">
        <v>1468</v>
      </c>
    </row>
    <row r="1346" spans="1:19" x14ac:dyDescent="0.25">
      <c r="A1346" t="s">
        <v>59</v>
      </c>
      <c r="B1346" t="s">
        <v>60</v>
      </c>
      <c r="C1346" t="s">
        <v>32</v>
      </c>
      <c r="D1346" t="s">
        <v>33</v>
      </c>
      <c r="E1346" t="s">
        <v>162</v>
      </c>
      <c r="F1346" t="s">
        <v>35</v>
      </c>
      <c r="G1346" t="s">
        <v>35</v>
      </c>
      <c r="H1346" t="s">
        <v>35</v>
      </c>
      <c r="J1346" t="s">
        <v>1860</v>
      </c>
      <c r="K1346" t="s">
        <v>1092</v>
      </c>
      <c r="M1346">
        <v>1.9</v>
      </c>
      <c r="N1346">
        <v>116</v>
      </c>
      <c r="O1346" t="s">
        <v>106</v>
      </c>
      <c r="Q1346" t="s">
        <v>1256</v>
      </c>
      <c r="R1346" t="s">
        <v>169</v>
      </c>
      <c r="S1346" t="s">
        <v>123</v>
      </c>
    </row>
    <row r="1347" spans="1:19" x14ac:dyDescent="0.25">
      <c r="A1347" t="s">
        <v>59</v>
      </c>
      <c r="B1347" t="s">
        <v>60</v>
      </c>
      <c r="C1347" t="s">
        <v>32</v>
      </c>
      <c r="D1347" t="s">
        <v>33</v>
      </c>
      <c r="E1347" t="s">
        <v>162</v>
      </c>
      <c r="F1347" t="s">
        <v>35</v>
      </c>
      <c r="G1347" t="s">
        <v>35</v>
      </c>
      <c r="H1347" t="s">
        <v>35</v>
      </c>
      <c r="J1347" t="s">
        <v>1861</v>
      </c>
      <c r="K1347" t="s">
        <v>1144</v>
      </c>
      <c r="M1347">
        <v>3.9980000000000002</v>
      </c>
      <c r="N1347">
        <v>70</v>
      </c>
      <c r="O1347" t="s">
        <v>61</v>
      </c>
      <c r="Q1347" t="s">
        <v>126</v>
      </c>
      <c r="R1347" t="s">
        <v>103</v>
      </c>
      <c r="S1347" t="s">
        <v>104</v>
      </c>
    </row>
    <row r="1348" spans="1:19" x14ac:dyDescent="0.25">
      <c r="A1348" t="s">
        <v>30</v>
      </c>
      <c r="B1348" t="s">
        <v>31</v>
      </c>
      <c r="C1348" t="s">
        <v>32</v>
      </c>
      <c r="D1348" t="s">
        <v>33</v>
      </c>
      <c r="E1348" t="s">
        <v>162</v>
      </c>
      <c r="F1348" t="s">
        <v>35</v>
      </c>
      <c r="G1348" t="s">
        <v>35</v>
      </c>
      <c r="H1348" t="s">
        <v>35</v>
      </c>
      <c r="J1348" t="s">
        <v>1862</v>
      </c>
      <c r="K1348" t="s">
        <v>1092</v>
      </c>
      <c r="M1348">
        <v>3.915</v>
      </c>
      <c r="N1348">
        <v>46</v>
      </c>
      <c r="O1348" t="s">
        <v>52</v>
      </c>
      <c r="Q1348" t="s">
        <v>493</v>
      </c>
      <c r="R1348" t="s">
        <v>199</v>
      </c>
      <c r="S1348" t="s">
        <v>200</v>
      </c>
    </row>
    <row r="1349" spans="1:19" x14ac:dyDescent="0.25">
      <c r="A1349" t="s">
        <v>59</v>
      </c>
      <c r="B1349" t="s">
        <v>60</v>
      </c>
      <c r="C1349" t="s">
        <v>32</v>
      </c>
      <c r="D1349" t="s">
        <v>33</v>
      </c>
      <c r="E1349" t="s">
        <v>162</v>
      </c>
      <c r="F1349" t="s">
        <v>35</v>
      </c>
      <c r="G1349" t="s">
        <v>35</v>
      </c>
      <c r="H1349" t="s">
        <v>35</v>
      </c>
      <c r="J1349" t="s">
        <v>1863</v>
      </c>
      <c r="K1349" t="s">
        <v>1092</v>
      </c>
      <c r="M1349">
        <v>0.35</v>
      </c>
      <c r="N1349">
        <v>55</v>
      </c>
      <c r="O1349" t="s">
        <v>52</v>
      </c>
      <c r="Q1349" t="s">
        <v>518</v>
      </c>
      <c r="R1349" t="s">
        <v>1102</v>
      </c>
      <c r="S1349" t="s">
        <v>105</v>
      </c>
    </row>
    <row r="1350" spans="1:19" x14ac:dyDescent="0.25">
      <c r="A1350" t="s">
        <v>44</v>
      </c>
      <c r="B1350" t="s">
        <v>3</v>
      </c>
      <c r="C1350" t="s">
        <v>32</v>
      </c>
      <c r="D1350" t="s">
        <v>33</v>
      </c>
      <c r="E1350" t="s">
        <v>162</v>
      </c>
      <c r="F1350" t="s">
        <v>35</v>
      </c>
      <c r="G1350" t="s">
        <v>35</v>
      </c>
      <c r="H1350" t="s">
        <v>35</v>
      </c>
      <c r="J1350" t="s">
        <v>1864</v>
      </c>
      <c r="K1350" t="s">
        <v>1092</v>
      </c>
      <c r="M1350">
        <v>0.4</v>
      </c>
      <c r="N1350">
        <v>20</v>
      </c>
      <c r="O1350" t="s">
        <v>46</v>
      </c>
      <c r="Q1350" t="s">
        <v>1004</v>
      </c>
      <c r="R1350" t="s">
        <v>1529</v>
      </c>
      <c r="S1350" t="s">
        <v>215</v>
      </c>
    </row>
    <row r="1351" spans="1:19" x14ac:dyDescent="0.25">
      <c r="A1351" t="s">
        <v>30</v>
      </c>
      <c r="B1351" t="s">
        <v>31</v>
      </c>
      <c r="C1351" t="s">
        <v>32</v>
      </c>
      <c r="D1351" t="s">
        <v>33</v>
      </c>
      <c r="E1351" t="s">
        <v>162</v>
      </c>
      <c r="F1351" t="s">
        <v>35</v>
      </c>
      <c r="G1351" t="s">
        <v>35</v>
      </c>
      <c r="H1351" t="s">
        <v>35</v>
      </c>
      <c r="J1351" t="s">
        <v>1866</v>
      </c>
      <c r="K1351" t="s">
        <v>1092</v>
      </c>
      <c r="M1351">
        <v>0.4</v>
      </c>
      <c r="N1351">
        <v>248</v>
      </c>
      <c r="O1351" t="s">
        <v>5</v>
      </c>
      <c r="Q1351" t="s">
        <v>1154</v>
      </c>
      <c r="R1351" t="s">
        <v>193</v>
      </c>
      <c r="S1351" t="s">
        <v>181</v>
      </c>
    </row>
    <row r="1352" spans="1:19" x14ac:dyDescent="0.25">
      <c r="A1352" t="s">
        <v>44</v>
      </c>
      <c r="B1352" t="s">
        <v>3</v>
      </c>
      <c r="C1352" t="s">
        <v>32</v>
      </c>
      <c r="D1352" t="s">
        <v>33</v>
      </c>
      <c r="E1352" t="s">
        <v>162</v>
      </c>
      <c r="F1352" t="s">
        <v>35</v>
      </c>
      <c r="G1352" t="s">
        <v>35</v>
      </c>
      <c r="H1352" t="s">
        <v>35</v>
      </c>
      <c r="J1352" t="s">
        <v>1867</v>
      </c>
      <c r="K1352" t="s">
        <v>1092</v>
      </c>
      <c r="M1352">
        <v>0.25</v>
      </c>
      <c r="N1352">
        <v>42</v>
      </c>
      <c r="O1352" t="s">
        <v>52</v>
      </c>
      <c r="Q1352" t="s">
        <v>991</v>
      </c>
      <c r="R1352" t="s">
        <v>1287</v>
      </c>
      <c r="S1352" t="s">
        <v>189</v>
      </c>
    </row>
    <row r="1353" spans="1:19" x14ac:dyDescent="0.25">
      <c r="A1353" t="s">
        <v>59</v>
      </c>
      <c r="B1353" t="s">
        <v>60</v>
      </c>
      <c r="C1353" t="s">
        <v>32</v>
      </c>
      <c r="D1353" t="s">
        <v>33</v>
      </c>
      <c r="E1353" t="s">
        <v>162</v>
      </c>
      <c r="F1353" t="s">
        <v>35</v>
      </c>
      <c r="G1353" t="s">
        <v>35</v>
      </c>
      <c r="H1353" t="s">
        <v>35</v>
      </c>
      <c r="J1353" t="s">
        <v>1868</v>
      </c>
      <c r="K1353" t="s">
        <v>1092</v>
      </c>
      <c r="M1353">
        <v>0.2</v>
      </c>
      <c r="N1353">
        <v>247</v>
      </c>
      <c r="O1353" t="s">
        <v>5</v>
      </c>
      <c r="Q1353" t="s">
        <v>574</v>
      </c>
      <c r="R1353" t="s">
        <v>1467</v>
      </c>
      <c r="S1353" t="s">
        <v>1468</v>
      </c>
    </row>
    <row r="1354" spans="1:19" x14ac:dyDescent="0.25">
      <c r="A1354" t="s">
        <v>30</v>
      </c>
      <c r="B1354" t="s">
        <v>31</v>
      </c>
      <c r="C1354" t="s">
        <v>32</v>
      </c>
      <c r="D1354" t="s">
        <v>33</v>
      </c>
      <c r="E1354" t="s">
        <v>162</v>
      </c>
      <c r="F1354" t="s">
        <v>35</v>
      </c>
      <c r="G1354" t="s">
        <v>35</v>
      </c>
      <c r="H1354" t="s">
        <v>35</v>
      </c>
      <c r="J1354" t="s">
        <v>1868</v>
      </c>
      <c r="K1354" t="s">
        <v>1092</v>
      </c>
      <c r="M1354">
        <v>0.04</v>
      </c>
      <c r="N1354">
        <v>190</v>
      </c>
      <c r="O1354" t="s">
        <v>5</v>
      </c>
      <c r="Q1354" t="s">
        <v>1869</v>
      </c>
      <c r="R1354" t="s">
        <v>1467</v>
      </c>
      <c r="S1354" t="s">
        <v>1468</v>
      </c>
    </row>
    <row r="1355" spans="1:19" x14ac:dyDescent="0.25">
      <c r="A1355" t="s">
        <v>44</v>
      </c>
      <c r="B1355" t="s">
        <v>3</v>
      </c>
      <c r="C1355" t="s">
        <v>32</v>
      </c>
      <c r="D1355" t="s">
        <v>33</v>
      </c>
      <c r="E1355" t="s">
        <v>162</v>
      </c>
      <c r="F1355" t="s">
        <v>35</v>
      </c>
      <c r="G1355" t="s">
        <v>35</v>
      </c>
      <c r="H1355" t="s">
        <v>35</v>
      </c>
      <c r="J1355" t="s">
        <v>1868</v>
      </c>
      <c r="K1355" t="s">
        <v>1092</v>
      </c>
      <c r="M1355">
        <v>0.05</v>
      </c>
      <c r="N1355">
        <v>386</v>
      </c>
      <c r="O1355" t="s">
        <v>294</v>
      </c>
      <c r="Q1355" t="s">
        <v>1870</v>
      </c>
      <c r="R1355" t="s">
        <v>1467</v>
      </c>
      <c r="S1355" t="s">
        <v>1468</v>
      </c>
    </row>
    <row r="1356" spans="1:19" x14ac:dyDescent="0.25">
      <c r="A1356" t="s">
        <v>30</v>
      </c>
      <c r="B1356" t="s">
        <v>31</v>
      </c>
      <c r="C1356" t="s">
        <v>32</v>
      </c>
      <c r="D1356" t="s">
        <v>33</v>
      </c>
      <c r="E1356" t="s">
        <v>162</v>
      </c>
      <c r="F1356" t="s">
        <v>35</v>
      </c>
      <c r="G1356" t="s">
        <v>35</v>
      </c>
      <c r="H1356" t="s">
        <v>35</v>
      </c>
      <c r="J1356" t="s">
        <v>1868</v>
      </c>
      <c r="K1356" t="s">
        <v>1092</v>
      </c>
      <c r="M1356">
        <v>5.49</v>
      </c>
      <c r="N1356">
        <v>39</v>
      </c>
      <c r="O1356" t="s">
        <v>52</v>
      </c>
      <c r="Q1356" t="s">
        <v>816</v>
      </c>
      <c r="R1356" t="s">
        <v>169</v>
      </c>
      <c r="S1356" t="s">
        <v>123</v>
      </c>
    </row>
    <row r="1357" spans="1:19" x14ac:dyDescent="0.25">
      <c r="A1357" t="s">
        <v>59</v>
      </c>
      <c r="B1357" t="s">
        <v>60</v>
      </c>
      <c r="C1357" t="s">
        <v>32</v>
      </c>
      <c r="D1357" t="s">
        <v>33</v>
      </c>
      <c r="E1357" t="s">
        <v>162</v>
      </c>
      <c r="F1357" t="s">
        <v>35</v>
      </c>
      <c r="G1357" t="s">
        <v>35</v>
      </c>
      <c r="H1357" t="s">
        <v>35</v>
      </c>
      <c r="J1357" t="s">
        <v>1868</v>
      </c>
      <c r="K1357" t="s">
        <v>1092</v>
      </c>
      <c r="M1357">
        <v>0.25</v>
      </c>
      <c r="N1357">
        <v>190</v>
      </c>
      <c r="O1357" t="s">
        <v>5</v>
      </c>
      <c r="Q1357" t="s">
        <v>1869</v>
      </c>
      <c r="R1357" t="s">
        <v>1467</v>
      </c>
      <c r="S1357" t="s">
        <v>1468</v>
      </c>
    </row>
    <row r="1358" spans="1:19" x14ac:dyDescent="0.25">
      <c r="A1358" t="s">
        <v>59</v>
      </c>
      <c r="B1358" t="s">
        <v>31</v>
      </c>
      <c r="C1358" t="s">
        <v>32</v>
      </c>
      <c r="D1358" t="s">
        <v>33</v>
      </c>
      <c r="E1358" t="s">
        <v>162</v>
      </c>
      <c r="F1358" t="s">
        <v>35</v>
      </c>
      <c r="G1358" t="s">
        <v>35</v>
      </c>
      <c r="H1358" t="s">
        <v>35</v>
      </c>
      <c r="J1358" t="s">
        <v>1868</v>
      </c>
      <c r="K1358" t="s">
        <v>1092</v>
      </c>
      <c r="M1358">
        <v>0.01</v>
      </c>
      <c r="N1358">
        <v>341</v>
      </c>
      <c r="O1358" t="s">
        <v>5</v>
      </c>
      <c r="Q1358" t="s">
        <v>1871</v>
      </c>
      <c r="R1358" t="s">
        <v>193</v>
      </c>
      <c r="S1358" t="s">
        <v>181</v>
      </c>
    </row>
    <row r="1359" spans="1:19" x14ac:dyDescent="0.25">
      <c r="A1359" t="s">
        <v>59</v>
      </c>
      <c r="B1359" t="s">
        <v>60</v>
      </c>
      <c r="C1359" t="s">
        <v>32</v>
      </c>
      <c r="D1359" t="s">
        <v>33</v>
      </c>
      <c r="E1359" t="s">
        <v>162</v>
      </c>
      <c r="F1359" t="s">
        <v>35</v>
      </c>
      <c r="G1359" t="s">
        <v>35</v>
      </c>
      <c r="H1359" t="s">
        <v>35</v>
      </c>
      <c r="J1359" t="s">
        <v>1163</v>
      </c>
      <c r="K1359" t="s">
        <v>1092</v>
      </c>
      <c r="M1359">
        <v>4.6500000000000004</v>
      </c>
      <c r="N1359">
        <v>75</v>
      </c>
      <c r="O1359" t="s">
        <v>61</v>
      </c>
      <c r="Q1359" t="s">
        <v>805</v>
      </c>
      <c r="R1359" t="s">
        <v>1529</v>
      </c>
      <c r="S1359" t="s">
        <v>215</v>
      </c>
    </row>
    <row r="1360" spans="1:19" x14ac:dyDescent="0.25">
      <c r="A1360" t="s">
        <v>44</v>
      </c>
      <c r="B1360" t="s">
        <v>51</v>
      </c>
      <c r="C1360" t="s">
        <v>32</v>
      </c>
      <c r="D1360" t="s">
        <v>33</v>
      </c>
      <c r="E1360" t="s">
        <v>162</v>
      </c>
      <c r="F1360" t="s">
        <v>35</v>
      </c>
      <c r="G1360" t="s">
        <v>35</v>
      </c>
      <c r="H1360" t="s">
        <v>35</v>
      </c>
      <c r="J1360" t="s">
        <v>1872</v>
      </c>
      <c r="K1360" t="s">
        <v>1092</v>
      </c>
      <c r="M1360">
        <v>0.20499999999999999</v>
      </c>
      <c r="N1360">
        <v>243</v>
      </c>
      <c r="O1360" t="s">
        <v>5</v>
      </c>
      <c r="Q1360" t="s">
        <v>1151</v>
      </c>
      <c r="R1360" t="s">
        <v>193</v>
      </c>
      <c r="S1360" t="s">
        <v>181</v>
      </c>
    </row>
    <row r="1361" spans="1:19" x14ac:dyDescent="0.25">
      <c r="A1361" t="s">
        <v>30</v>
      </c>
      <c r="B1361" t="s">
        <v>31</v>
      </c>
      <c r="C1361" t="s">
        <v>32</v>
      </c>
      <c r="D1361" t="s">
        <v>33</v>
      </c>
      <c r="E1361" t="s">
        <v>162</v>
      </c>
      <c r="F1361" t="s">
        <v>35</v>
      </c>
      <c r="G1361" t="s">
        <v>35</v>
      </c>
      <c r="H1361" t="s">
        <v>35</v>
      </c>
      <c r="J1361" t="s">
        <v>1873</v>
      </c>
      <c r="K1361" t="s">
        <v>1092</v>
      </c>
      <c r="M1361">
        <v>9.99</v>
      </c>
      <c r="N1361">
        <v>21</v>
      </c>
      <c r="O1361" t="s">
        <v>46</v>
      </c>
      <c r="Q1361" t="s">
        <v>1874</v>
      </c>
      <c r="R1361" t="s">
        <v>103</v>
      </c>
      <c r="S1361" t="s">
        <v>104</v>
      </c>
    </row>
    <row r="1362" spans="1:19" x14ac:dyDescent="0.25">
      <c r="A1362" t="s">
        <v>30</v>
      </c>
      <c r="B1362" t="s">
        <v>31</v>
      </c>
      <c r="C1362" t="s">
        <v>32</v>
      </c>
      <c r="D1362" t="s">
        <v>33</v>
      </c>
      <c r="E1362" t="s">
        <v>162</v>
      </c>
      <c r="F1362" t="s">
        <v>35</v>
      </c>
      <c r="G1362" t="s">
        <v>35</v>
      </c>
      <c r="H1362" t="s">
        <v>35</v>
      </c>
      <c r="J1362" t="s">
        <v>1875</v>
      </c>
      <c r="K1362" t="s">
        <v>1092</v>
      </c>
      <c r="M1362">
        <v>0.9</v>
      </c>
      <c r="N1362">
        <v>190</v>
      </c>
      <c r="O1362" t="s">
        <v>5</v>
      </c>
      <c r="Q1362" t="s">
        <v>1869</v>
      </c>
      <c r="R1362" t="s">
        <v>1467</v>
      </c>
      <c r="S1362" t="s">
        <v>1468</v>
      </c>
    </row>
    <row r="1363" spans="1:19" x14ac:dyDescent="0.25">
      <c r="A1363" t="s">
        <v>44</v>
      </c>
      <c r="B1363" t="s">
        <v>51</v>
      </c>
      <c r="C1363" t="s">
        <v>32</v>
      </c>
      <c r="D1363" t="s">
        <v>33</v>
      </c>
      <c r="E1363" t="s">
        <v>162</v>
      </c>
      <c r="F1363" t="s">
        <v>35</v>
      </c>
      <c r="G1363" t="s">
        <v>35</v>
      </c>
      <c r="H1363" t="s">
        <v>35</v>
      </c>
      <c r="J1363" t="s">
        <v>1876</v>
      </c>
      <c r="K1363" t="s">
        <v>1092</v>
      </c>
      <c r="M1363">
        <v>0.4</v>
      </c>
      <c r="N1363">
        <v>61</v>
      </c>
      <c r="O1363" t="s">
        <v>61</v>
      </c>
      <c r="Q1363" t="s">
        <v>671</v>
      </c>
      <c r="R1363" t="s">
        <v>1529</v>
      </c>
      <c r="S1363" t="s">
        <v>215</v>
      </c>
    </row>
    <row r="1364" spans="1:19" x14ac:dyDescent="0.25">
      <c r="A1364" t="s">
        <v>59</v>
      </c>
      <c r="B1364" t="s">
        <v>31</v>
      </c>
      <c r="C1364" t="s">
        <v>32</v>
      </c>
      <c r="D1364" t="s">
        <v>33</v>
      </c>
      <c r="E1364" t="s">
        <v>162</v>
      </c>
      <c r="F1364" t="s">
        <v>35</v>
      </c>
      <c r="G1364" t="s">
        <v>35</v>
      </c>
      <c r="H1364" t="s">
        <v>35</v>
      </c>
      <c r="J1364" t="s">
        <v>1876</v>
      </c>
      <c r="K1364" t="s">
        <v>1092</v>
      </c>
      <c r="M1364">
        <v>5.085</v>
      </c>
      <c r="N1364">
        <v>75</v>
      </c>
      <c r="O1364" t="s">
        <v>61</v>
      </c>
      <c r="Q1364" t="s">
        <v>805</v>
      </c>
      <c r="R1364" t="s">
        <v>1529</v>
      </c>
      <c r="S1364" t="s">
        <v>215</v>
      </c>
    </row>
    <row r="1365" spans="1:19" x14ac:dyDescent="0.25">
      <c r="A1365" t="s">
        <v>59</v>
      </c>
      <c r="B1365" t="s">
        <v>60</v>
      </c>
      <c r="C1365" t="s">
        <v>32</v>
      </c>
      <c r="D1365" t="s">
        <v>33</v>
      </c>
      <c r="E1365" t="s">
        <v>162</v>
      </c>
      <c r="F1365" t="s">
        <v>35</v>
      </c>
      <c r="G1365" t="s">
        <v>35</v>
      </c>
      <c r="H1365" t="s">
        <v>35</v>
      </c>
      <c r="J1365" t="s">
        <v>1877</v>
      </c>
      <c r="K1365" t="s">
        <v>1092</v>
      </c>
      <c r="M1365">
        <v>0.9</v>
      </c>
      <c r="N1365">
        <v>90</v>
      </c>
      <c r="O1365" t="s">
        <v>61</v>
      </c>
      <c r="Q1365" t="s">
        <v>897</v>
      </c>
      <c r="R1365" t="s">
        <v>1529</v>
      </c>
      <c r="S1365" t="s">
        <v>215</v>
      </c>
    </row>
    <row r="1366" spans="1:19" x14ac:dyDescent="0.25">
      <c r="A1366" t="s">
        <v>44</v>
      </c>
      <c r="B1366" t="s">
        <v>3</v>
      </c>
      <c r="C1366" t="s">
        <v>32</v>
      </c>
      <c r="D1366" t="s">
        <v>33</v>
      </c>
      <c r="E1366" t="s">
        <v>162</v>
      </c>
      <c r="F1366" t="s">
        <v>35</v>
      </c>
      <c r="G1366" t="s">
        <v>35</v>
      </c>
      <c r="H1366" t="s">
        <v>35</v>
      </c>
      <c r="J1366" t="s">
        <v>1878</v>
      </c>
      <c r="K1366" t="s">
        <v>1092</v>
      </c>
      <c r="M1366">
        <v>2.6</v>
      </c>
      <c r="N1366">
        <v>62</v>
      </c>
      <c r="O1366" t="s">
        <v>61</v>
      </c>
      <c r="Q1366" t="s">
        <v>90</v>
      </c>
      <c r="R1366" t="s">
        <v>85</v>
      </c>
      <c r="S1366" t="s">
        <v>86</v>
      </c>
    </row>
    <row r="1367" spans="1:19" x14ac:dyDescent="0.25">
      <c r="A1367" t="s">
        <v>59</v>
      </c>
      <c r="B1367" t="s">
        <v>60</v>
      </c>
      <c r="C1367" t="s">
        <v>32</v>
      </c>
      <c r="D1367" t="s">
        <v>33</v>
      </c>
      <c r="E1367" t="s">
        <v>162</v>
      </c>
      <c r="F1367" t="s">
        <v>35</v>
      </c>
      <c r="G1367" t="s">
        <v>35</v>
      </c>
      <c r="H1367" t="s">
        <v>35</v>
      </c>
      <c r="J1367" t="s">
        <v>1878</v>
      </c>
      <c r="K1367" t="s">
        <v>1092</v>
      </c>
      <c r="M1367">
        <v>1</v>
      </c>
      <c r="N1367">
        <v>72</v>
      </c>
      <c r="O1367" t="s">
        <v>61</v>
      </c>
      <c r="Q1367" t="s">
        <v>63</v>
      </c>
      <c r="R1367" t="s">
        <v>85</v>
      </c>
      <c r="S1367" t="s">
        <v>86</v>
      </c>
    </row>
    <row r="1368" spans="1:19" x14ac:dyDescent="0.25">
      <c r="A1368" t="s">
        <v>44</v>
      </c>
      <c r="B1368" t="s">
        <v>3</v>
      </c>
      <c r="C1368" t="s">
        <v>32</v>
      </c>
      <c r="D1368" t="s">
        <v>33</v>
      </c>
      <c r="E1368" t="s">
        <v>162</v>
      </c>
      <c r="F1368" t="s">
        <v>35</v>
      </c>
      <c r="G1368" t="s">
        <v>35</v>
      </c>
      <c r="H1368" t="s">
        <v>35</v>
      </c>
      <c r="J1368" t="s">
        <v>1879</v>
      </c>
      <c r="K1368" t="s">
        <v>1092</v>
      </c>
      <c r="M1368">
        <v>2</v>
      </c>
      <c r="N1368">
        <v>48</v>
      </c>
      <c r="O1368" t="s">
        <v>52</v>
      </c>
      <c r="Q1368" t="s">
        <v>496</v>
      </c>
      <c r="R1368" t="s">
        <v>1279</v>
      </c>
      <c r="S1368" t="s">
        <v>163</v>
      </c>
    </row>
    <row r="1369" spans="1:19" x14ac:dyDescent="0.25">
      <c r="A1369" t="s">
        <v>44</v>
      </c>
      <c r="B1369" t="s">
        <v>51</v>
      </c>
      <c r="C1369" t="s">
        <v>32</v>
      </c>
      <c r="D1369" t="s">
        <v>33</v>
      </c>
      <c r="E1369" t="s">
        <v>162</v>
      </c>
      <c r="F1369" t="s">
        <v>35</v>
      </c>
      <c r="G1369" t="s">
        <v>35</v>
      </c>
      <c r="H1369" t="s">
        <v>35</v>
      </c>
      <c r="J1369" t="s">
        <v>1880</v>
      </c>
      <c r="K1369" t="s">
        <v>1092</v>
      </c>
      <c r="M1369">
        <v>2.5</v>
      </c>
      <c r="N1369">
        <v>33</v>
      </c>
      <c r="O1369" t="s">
        <v>52</v>
      </c>
      <c r="Q1369" t="s">
        <v>137</v>
      </c>
      <c r="R1369" t="s">
        <v>193</v>
      </c>
      <c r="S1369" t="s">
        <v>181</v>
      </c>
    </row>
    <row r="1370" spans="1:19" x14ac:dyDescent="0.25">
      <c r="A1370" t="s">
        <v>30</v>
      </c>
      <c r="B1370" t="s">
        <v>31</v>
      </c>
      <c r="C1370" t="s">
        <v>32</v>
      </c>
      <c r="D1370" t="s">
        <v>33</v>
      </c>
      <c r="E1370" t="s">
        <v>162</v>
      </c>
      <c r="F1370" t="s">
        <v>35</v>
      </c>
      <c r="G1370" t="s">
        <v>35</v>
      </c>
      <c r="H1370" t="s">
        <v>35</v>
      </c>
      <c r="J1370" t="s">
        <v>1880</v>
      </c>
      <c r="K1370" t="s">
        <v>1092</v>
      </c>
      <c r="M1370">
        <v>0.01</v>
      </c>
      <c r="N1370">
        <v>271</v>
      </c>
      <c r="O1370" t="s">
        <v>5</v>
      </c>
      <c r="Q1370" t="s">
        <v>1881</v>
      </c>
      <c r="R1370" t="s">
        <v>193</v>
      </c>
      <c r="S1370" t="s">
        <v>181</v>
      </c>
    </row>
    <row r="1371" spans="1:19" x14ac:dyDescent="0.25">
      <c r="A1371" t="s">
        <v>30</v>
      </c>
      <c r="B1371" t="s">
        <v>31</v>
      </c>
      <c r="C1371" t="s">
        <v>32</v>
      </c>
      <c r="D1371" t="s">
        <v>33</v>
      </c>
      <c r="E1371" t="s">
        <v>162</v>
      </c>
      <c r="F1371" t="s">
        <v>35</v>
      </c>
      <c r="G1371" t="s">
        <v>35</v>
      </c>
      <c r="H1371" t="s">
        <v>35</v>
      </c>
      <c r="J1371" t="s">
        <v>1882</v>
      </c>
      <c r="K1371" t="s">
        <v>1092</v>
      </c>
      <c r="M1371">
        <v>5.49</v>
      </c>
      <c r="N1371">
        <v>34</v>
      </c>
      <c r="O1371" t="s">
        <v>52</v>
      </c>
      <c r="Q1371" t="s">
        <v>809</v>
      </c>
      <c r="R1371" t="s">
        <v>169</v>
      </c>
      <c r="S1371" t="s">
        <v>123</v>
      </c>
    </row>
    <row r="1372" spans="1:19" x14ac:dyDescent="0.25">
      <c r="A1372" t="s">
        <v>59</v>
      </c>
      <c r="B1372" t="s">
        <v>31</v>
      </c>
      <c r="C1372" t="s">
        <v>32</v>
      </c>
      <c r="D1372" t="s">
        <v>33</v>
      </c>
      <c r="E1372" t="s">
        <v>162</v>
      </c>
      <c r="F1372" t="s">
        <v>35</v>
      </c>
      <c r="G1372" t="s">
        <v>35</v>
      </c>
      <c r="H1372" t="s">
        <v>35</v>
      </c>
      <c r="J1372" t="s">
        <v>1882</v>
      </c>
      <c r="K1372" t="s">
        <v>1092</v>
      </c>
      <c r="M1372">
        <v>2.34</v>
      </c>
      <c r="N1372">
        <v>95</v>
      </c>
      <c r="O1372" t="s">
        <v>106</v>
      </c>
      <c r="Q1372" t="s">
        <v>724</v>
      </c>
      <c r="R1372" t="s">
        <v>147</v>
      </c>
      <c r="S1372" t="s">
        <v>148</v>
      </c>
    </row>
    <row r="1373" spans="1:19" x14ac:dyDescent="0.25">
      <c r="A1373" t="s">
        <v>44</v>
      </c>
      <c r="B1373" t="s">
        <v>51</v>
      </c>
      <c r="C1373" t="s">
        <v>32</v>
      </c>
      <c r="D1373" t="s">
        <v>33</v>
      </c>
      <c r="E1373" t="s">
        <v>162</v>
      </c>
      <c r="F1373" t="s">
        <v>35</v>
      </c>
      <c r="G1373" t="s">
        <v>35</v>
      </c>
      <c r="H1373" t="s">
        <v>35</v>
      </c>
      <c r="J1373" t="s">
        <v>1883</v>
      </c>
      <c r="K1373" t="s">
        <v>1092</v>
      </c>
      <c r="M1373">
        <v>1.85</v>
      </c>
      <c r="N1373">
        <v>33</v>
      </c>
      <c r="O1373" t="s">
        <v>52</v>
      </c>
      <c r="Q1373" t="s">
        <v>137</v>
      </c>
      <c r="R1373" t="s">
        <v>193</v>
      </c>
      <c r="S1373" t="s">
        <v>181</v>
      </c>
    </row>
    <row r="1374" spans="1:19" x14ac:dyDescent="0.25">
      <c r="A1374" t="s">
        <v>59</v>
      </c>
      <c r="B1374" t="s">
        <v>60</v>
      </c>
      <c r="C1374" t="s">
        <v>32</v>
      </c>
      <c r="D1374" t="s">
        <v>33</v>
      </c>
      <c r="E1374" t="s">
        <v>162</v>
      </c>
      <c r="F1374" t="s">
        <v>35</v>
      </c>
      <c r="G1374" t="s">
        <v>35</v>
      </c>
      <c r="H1374" t="s">
        <v>35</v>
      </c>
      <c r="J1374" t="s">
        <v>1884</v>
      </c>
      <c r="K1374" t="s">
        <v>1092</v>
      </c>
      <c r="M1374">
        <v>0.72</v>
      </c>
      <c r="N1374">
        <v>70</v>
      </c>
      <c r="O1374" t="s">
        <v>61</v>
      </c>
      <c r="Q1374" t="s">
        <v>126</v>
      </c>
      <c r="R1374" t="s">
        <v>1529</v>
      </c>
      <c r="S1374" t="s">
        <v>215</v>
      </c>
    </row>
    <row r="1375" spans="1:19" x14ac:dyDescent="0.25">
      <c r="A1375" t="s">
        <v>30</v>
      </c>
      <c r="B1375" t="s">
        <v>31</v>
      </c>
      <c r="C1375" t="s">
        <v>32</v>
      </c>
      <c r="D1375" t="s">
        <v>33</v>
      </c>
      <c r="E1375" t="s">
        <v>162</v>
      </c>
      <c r="F1375" t="s">
        <v>35</v>
      </c>
      <c r="G1375" t="s">
        <v>35</v>
      </c>
      <c r="H1375" t="s">
        <v>35</v>
      </c>
      <c r="J1375" t="s">
        <v>1424</v>
      </c>
      <c r="K1375" t="s">
        <v>1092</v>
      </c>
      <c r="M1375">
        <v>21.39</v>
      </c>
      <c r="N1375">
        <v>18</v>
      </c>
      <c r="O1375" t="s">
        <v>46</v>
      </c>
      <c r="Q1375" t="s">
        <v>1476</v>
      </c>
      <c r="R1375" t="s">
        <v>169</v>
      </c>
      <c r="S1375" t="s">
        <v>123</v>
      </c>
    </row>
    <row r="1376" spans="1:19" x14ac:dyDescent="0.25">
      <c r="A1376" t="s">
        <v>44</v>
      </c>
      <c r="B1376" t="s">
        <v>51</v>
      </c>
      <c r="C1376" t="s">
        <v>32</v>
      </c>
      <c r="D1376" t="s">
        <v>33</v>
      </c>
      <c r="E1376" t="s">
        <v>162</v>
      </c>
      <c r="F1376" t="s">
        <v>35</v>
      </c>
      <c r="G1376" t="s">
        <v>35</v>
      </c>
      <c r="H1376" t="s">
        <v>35</v>
      </c>
      <c r="J1376" t="s">
        <v>1424</v>
      </c>
      <c r="K1376" t="s">
        <v>1092</v>
      </c>
      <c r="M1376">
        <v>10</v>
      </c>
      <c r="N1376">
        <v>13</v>
      </c>
      <c r="O1376" t="s">
        <v>46</v>
      </c>
      <c r="Q1376" t="s">
        <v>310</v>
      </c>
      <c r="R1376" t="s">
        <v>169</v>
      </c>
      <c r="S1376" t="s">
        <v>123</v>
      </c>
    </row>
    <row r="1377" spans="1:19" x14ac:dyDescent="0.25">
      <c r="A1377" t="s">
        <v>44</v>
      </c>
      <c r="B1377" t="s">
        <v>51</v>
      </c>
      <c r="C1377" t="s">
        <v>32</v>
      </c>
      <c r="D1377" t="s">
        <v>33</v>
      </c>
      <c r="E1377" t="s">
        <v>162</v>
      </c>
      <c r="F1377" t="s">
        <v>35</v>
      </c>
      <c r="G1377" t="s">
        <v>35</v>
      </c>
      <c r="H1377" t="s">
        <v>35</v>
      </c>
      <c r="J1377" t="s">
        <v>1885</v>
      </c>
      <c r="K1377" t="s">
        <v>1092</v>
      </c>
      <c r="M1377">
        <v>2.6</v>
      </c>
      <c r="N1377">
        <v>56</v>
      </c>
      <c r="O1377" t="s">
        <v>52</v>
      </c>
      <c r="Q1377" t="s">
        <v>453</v>
      </c>
      <c r="R1377" t="s">
        <v>1279</v>
      </c>
      <c r="S1377" t="s">
        <v>163</v>
      </c>
    </row>
    <row r="1378" spans="1:19" x14ac:dyDescent="0.25">
      <c r="A1378" t="s">
        <v>44</v>
      </c>
      <c r="B1378" t="s">
        <v>3</v>
      </c>
      <c r="C1378" t="s">
        <v>32</v>
      </c>
      <c r="D1378" t="s">
        <v>33</v>
      </c>
      <c r="E1378" t="s">
        <v>162</v>
      </c>
      <c r="F1378" t="s">
        <v>35</v>
      </c>
      <c r="G1378" t="s">
        <v>35</v>
      </c>
      <c r="H1378" t="s">
        <v>35</v>
      </c>
      <c r="J1378" t="s">
        <v>1885</v>
      </c>
      <c r="K1378" t="s">
        <v>1092</v>
      </c>
      <c r="M1378">
        <v>1.6</v>
      </c>
      <c r="N1378">
        <v>56</v>
      </c>
      <c r="O1378" t="s">
        <v>52</v>
      </c>
      <c r="Q1378" t="s">
        <v>453</v>
      </c>
      <c r="R1378" t="s">
        <v>1279</v>
      </c>
      <c r="S1378" t="s">
        <v>163</v>
      </c>
    </row>
    <row r="1379" spans="1:19" x14ac:dyDescent="0.25">
      <c r="A1379" t="s">
        <v>44</v>
      </c>
      <c r="B1379" t="s">
        <v>3</v>
      </c>
      <c r="C1379" t="s">
        <v>32</v>
      </c>
      <c r="D1379" t="s">
        <v>33</v>
      </c>
      <c r="E1379" t="s">
        <v>162</v>
      </c>
      <c r="F1379" t="s">
        <v>35</v>
      </c>
      <c r="G1379" t="s">
        <v>35</v>
      </c>
      <c r="H1379" t="s">
        <v>35</v>
      </c>
      <c r="J1379" t="s">
        <v>1886</v>
      </c>
      <c r="K1379" t="s">
        <v>1092</v>
      </c>
      <c r="M1379">
        <v>0.69899999999999995</v>
      </c>
      <c r="N1379">
        <v>421</v>
      </c>
      <c r="O1379" t="s">
        <v>294</v>
      </c>
      <c r="Q1379" t="s">
        <v>1887</v>
      </c>
      <c r="R1379" t="s">
        <v>1467</v>
      </c>
      <c r="S1379" t="s">
        <v>1468</v>
      </c>
    </row>
    <row r="1380" spans="1:19" x14ac:dyDescent="0.25">
      <c r="A1380" t="s">
        <v>59</v>
      </c>
      <c r="B1380" t="s">
        <v>60</v>
      </c>
      <c r="C1380" t="s">
        <v>32</v>
      </c>
      <c r="D1380" t="s">
        <v>33</v>
      </c>
      <c r="E1380" t="s">
        <v>162</v>
      </c>
      <c r="F1380" t="s">
        <v>35</v>
      </c>
      <c r="G1380" t="s">
        <v>35</v>
      </c>
      <c r="H1380" t="s">
        <v>35</v>
      </c>
      <c r="J1380" t="s">
        <v>1886</v>
      </c>
      <c r="K1380" t="s">
        <v>1092</v>
      </c>
      <c r="M1380">
        <v>2.29</v>
      </c>
      <c r="N1380">
        <v>441</v>
      </c>
      <c r="O1380" t="s">
        <v>294</v>
      </c>
      <c r="Q1380" t="s">
        <v>1888</v>
      </c>
      <c r="R1380" t="s">
        <v>1510</v>
      </c>
      <c r="S1380" t="s">
        <v>1511</v>
      </c>
    </row>
    <row r="1381" spans="1:19" x14ac:dyDescent="0.25">
      <c r="A1381" t="s">
        <v>59</v>
      </c>
      <c r="B1381" t="s">
        <v>60</v>
      </c>
      <c r="C1381" t="s">
        <v>32</v>
      </c>
      <c r="D1381" t="s">
        <v>33</v>
      </c>
      <c r="E1381" t="s">
        <v>162</v>
      </c>
      <c r="F1381" t="s">
        <v>35</v>
      </c>
      <c r="G1381" t="s">
        <v>35</v>
      </c>
      <c r="H1381" t="s">
        <v>35</v>
      </c>
      <c r="J1381" t="s">
        <v>1889</v>
      </c>
      <c r="K1381" t="s">
        <v>1092</v>
      </c>
      <c r="M1381">
        <v>4.25</v>
      </c>
      <c r="N1381">
        <v>100</v>
      </c>
      <c r="O1381" t="s">
        <v>106</v>
      </c>
      <c r="Q1381" t="s">
        <v>1112</v>
      </c>
      <c r="R1381" t="s">
        <v>193</v>
      </c>
      <c r="S1381" t="s">
        <v>181</v>
      </c>
    </row>
    <row r="1382" spans="1:19" x14ac:dyDescent="0.25">
      <c r="A1382" t="s">
        <v>59</v>
      </c>
      <c r="B1382" t="s">
        <v>60</v>
      </c>
      <c r="C1382" t="s">
        <v>32</v>
      </c>
      <c r="D1382" t="s">
        <v>33</v>
      </c>
      <c r="E1382" t="s">
        <v>162</v>
      </c>
      <c r="F1382" t="s">
        <v>35</v>
      </c>
      <c r="G1382" t="s">
        <v>35</v>
      </c>
      <c r="H1382" t="s">
        <v>35</v>
      </c>
      <c r="J1382" t="s">
        <v>1890</v>
      </c>
      <c r="K1382" t="s">
        <v>1092</v>
      </c>
      <c r="M1382">
        <v>3.85</v>
      </c>
      <c r="N1382">
        <v>101</v>
      </c>
      <c r="O1382" t="s">
        <v>106</v>
      </c>
      <c r="Q1382" t="s">
        <v>1164</v>
      </c>
      <c r="R1382" t="s">
        <v>1529</v>
      </c>
      <c r="S1382" t="s">
        <v>215</v>
      </c>
    </row>
    <row r="1383" spans="1:19" x14ac:dyDescent="0.25">
      <c r="A1383" t="s">
        <v>59</v>
      </c>
      <c r="B1383" t="s">
        <v>60</v>
      </c>
      <c r="C1383" t="s">
        <v>32</v>
      </c>
      <c r="D1383" t="s">
        <v>33</v>
      </c>
      <c r="E1383" t="s">
        <v>162</v>
      </c>
      <c r="F1383" t="s">
        <v>35</v>
      </c>
      <c r="G1383" t="s">
        <v>35</v>
      </c>
      <c r="H1383" t="s">
        <v>35</v>
      </c>
      <c r="J1383" t="s">
        <v>1891</v>
      </c>
      <c r="K1383" t="s">
        <v>1092</v>
      </c>
      <c r="M1383">
        <v>3.1</v>
      </c>
      <c r="N1383">
        <v>94</v>
      </c>
      <c r="O1383" t="s">
        <v>106</v>
      </c>
      <c r="Q1383" t="s">
        <v>394</v>
      </c>
      <c r="R1383" t="s">
        <v>193</v>
      </c>
      <c r="S1383" t="s">
        <v>181</v>
      </c>
    </row>
    <row r="1384" spans="1:19" x14ac:dyDescent="0.25">
      <c r="A1384" t="s">
        <v>44</v>
      </c>
      <c r="B1384" t="s">
        <v>3</v>
      </c>
      <c r="C1384" t="s">
        <v>32</v>
      </c>
      <c r="D1384" t="s">
        <v>33</v>
      </c>
      <c r="E1384" t="s">
        <v>162</v>
      </c>
      <c r="F1384" t="s">
        <v>35</v>
      </c>
      <c r="G1384" t="s">
        <v>35</v>
      </c>
      <c r="H1384" t="s">
        <v>35</v>
      </c>
      <c r="J1384" t="s">
        <v>1891</v>
      </c>
      <c r="K1384" t="s">
        <v>1092</v>
      </c>
      <c r="M1384">
        <v>4.75</v>
      </c>
      <c r="N1384">
        <v>68</v>
      </c>
      <c r="O1384" t="s">
        <v>61</v>
      </c>
      <c r="Q1384" t="s">
        <v>146</v>
      </c>
      <c r="R1384" t="s">
        <v>193</v>
      </c>
      <c r="S1384" t="s">
        <v>181</v>
      </c>
    </row>
    <row r="1385" spans="1:19" x14ac:dyDescent="0.25">
      <c r="A1385" t="s">
        <v>44</v>
      </c>
      <c r="B1385" t="s">
        <v>3</v>
      </c>
      <c r="C1385" t="s">
        <v>32</v>
      </c>
      <c r="D1385" t="s">
        <v>33</v>
      </c>
      <c r="E1385" t="s">
        <v>162</v>
      </c>
      <c r="F1385" t="s">
        <v>35</v>
      </c>
      <c r="G1385" t="s">
        <v>35</v>
      </c>
      <c r="H1385" t="s">
        <v>35</v>
      </c>
      <c r="J1385" t="s">
        <v>1613</v>
      </c>
      <c r="K1385" t="s">
        <v>1092</v>
      </c>
      <c r="M1385">
        <v>0.5</v>
      </c>
      <c r="N1385">
        <v>48</v>
      </c>
      <c r="O1385" t="s">
        <v>52</v>
      </c>
      <c r="Q1385" t="s">
        <v>496</v>
      </c>
      <c r="R1385" t="s">
        <v>1467</v>
      </c>
      <c r="S1385" t="s">
        <v>1468</v>
      </c>
    </row>
    <row r="1386" spans="1:19" x14ac:dyDescent="0.25">
      <c r="A1386" t="s">
        <v>59</v>
      </c>
      <c r="B1386" t="s">
        <v>60</v>
      </c>
      <c r="C1386" t="s">
        <v>32</v>
      </c>
      <c r="D1386" t="s">
        <v>33</v>
      </c>
      <c r="E1386" t="s">
        <v>162</v>
      </c>
      <c r="F1386" t="s">
        <v>35</v>
      </c>
      <c r="G1386" t="s">
        <v>35</v>
      </c>
      <c r="H1386" t="s">
        <v>35</v>
      </c>
      <c r="J1386" t="s">
        <v>1892</v>
      </c>
      <c r="K1386" t="s">
        <v>1092</v>
      </c>
      <c r="M1386">
        <v>0.15</v>
      </c>
      <c r="N1386">
        <v>229</v>
      </c>
      <c r="O1386" t="s">
        <v>5</v>
      </c>
      <c r="Q1386" t="s">
        <v>1562</v>
      </c>
      <c r="R1386" t="s">
        <v>1467</v>
      </c>
      <c r="S1386" t="s">
        <v>1468</v>
      </c>
    </row>
    <row r="1387" spans="1:19" x14ac:dyDescent="0.25">
      <c r="A1387" t="s">
        <v>44</v>
      </c>
      <c r="B1387" t="s">
        <v>3</v>
      </c>
      <c r="C1387" t="s">
        <v>32</v>
      </c>
      <c r="D1387" t="s">
        <v>33</v>
      </c>
      <c r="E1387" t="s">
        <v>162</v>
      </c>
      <c r="F1387" t="s">
        <v>35</v>
      </c>
      <c r="G1387" t="s">
        <v>35</v>
      </c>
      <c r="H1387" t="s">
        <v>35</v>
      </c>
      <c r="J1387" t="s">
        <v>1892</v>
      </c>
      <c r="K1387" t="s">
        <v>1092</v>
      </c>
      <c r="M1387">
        <v>0.5</v>
      </c>
      <c r="N1387">
        <v>247</v>
      </c>
      <c r="O1387" t="s">
        <v>5</v>
      </c>
      <c r="Q1387" t="s">
        <v>574</v>
      </c>
      <c r="R1387" t="s">
        <v>1467</v>
      </c>
      <c r="S1387" t="s">
        <v>1468</v>
      </c>
    </row>
    <row r="1388" spans="1:19" x14ac:dyDescent="0.25">
      <c r="A1388" t="s">
        <v>44</v>
      </c>
      <c r="B1388" t="s">
        <v>3</v>
      </c>
      <c r="C1388" t="s">
        <v>32</v>
      </c>
      <c r="D1388" t="s">
        <v>33</v>
      </c>
      <c r="E1388" t="s">
        <v>162</v>
      </c>
      <c r="F1388" t="s">
        <v>35</v>
      </c>
      <c r="G1388" t="s">
        <v>35</v>
      </c>
      <c r="H1388" t="s">
        <v>35</v>
      </c>
      <c r="J1388" t="s">
        <v>1893</v>
      </c>
      <c r="K1388" t="s">
        <v>1092</v>
      </c>
      <c r="M1388">
        <v>0.5</v>
      </c>
      <c r="N1388">
        <v>64</v>
      </c>
      <c r="O1388" t="s">
        <v>61</v>
      </c>
      <c r="Q1388" t="s">
        <v>381</v>
      </c>
      <c r="R1388" t="s">
        <v>1467</v>
      </c>
      <c r="S1388" t="s">
        <v>1468</v>
      </c>
    </row>
    <row r="1389" spans="1:19" x14ac:dyDescent="0.25">
      <c r="A1389" t="s">
        <v>59</v>
      </c>
      <c r="B1389" t="s">
        <v>60</v>
      </c>
      <c r="C1389" t="s">
        <v>32</v>
      </c>
      <c r="D1389" t="s">
        <v>33</v>
      </c>
      <c r="E1389" t="s">
        <v>162</v>
      </c>
      <c r="F1389" t="s">
        <v>35</v>
      </c>
      <c r="G1389" t="s">
        <v>35</v>
      </c>
      <c r="H1389" t="s">
        <v>35</v>
      </c>
      <c r="J1389" t="s">
        <v>1893</v>
      </c>
      <c r="K1389" t="s">
        <v>1092</v>
      </c>
      <c r="M1389">
        <v>0.45</v>
      </c>
      <c r="N1389">
        <v>193</v>
      </c>
      <c r="O1389" t="s">
        <v>5</v>
      </c>
      <c r="Q1389" t="s">
        <v>1894</v>
      </c>
      <c r="R1389" t="s">
        <v>1467</v>
      </c>
      <c r="S1389" t="s">
        <v>1468</v>
      </c>
    </row>
    <row r="1390" spans="1:19" x14ac:dyDescent="0.25">
      <c r="A1390" t="s">
        <v>30</v>
      </c>
      <c r="B1390" t="s">
        <v>31</v>
      </c>
      <c r="C1390" t="s">
        <v>32</v>
      </c>
      <c r="D1390" t="s">
        <v>33</v>
      </c>
      <c r="E1390" t="s">
        <v>162</v>
      </c>
      <c r="F1390" t="s">
        <v>35</v>
      </c>
      <c r="G1390" t="s">
        <v>35</v>
      </c>
      <c r="H1390" t="s">
        <v>35</v>
      </c>
      <c r="J1390" t="s">
        <v>1895</v>
      </c>
      <c r="K1390" t="s">
        <v>1092</v>
      </c>
      <c r="M1390">
        <v>0.18</v>
      </c>
      <c r="N1390">
        <v>193</v>
      </c>
      <c r="O1390" t="s">
        <v>5</v>
      </c>
      <c r="Q1390" t="s">
        <v>1894</v>
      </c>
      <c r="R1390" t="s">
        <v>199</v>
      </c>
      <c r="S1390" t="s">
        <v>200</v>
      </c>
    </row>
    <row r="1391" spans="1:19" x14ac:dyDescent="0.25">
      <c r="A1391" t="s">
        <v>44</v>
      </c>
      <c r="B1391" t="s">
        <v>3</v>
      </c>
      <c r="C1391" t="s">
        <v>32</v>
      </c>
      <c r="D1391" t="s">
        <v>33</v>
      </c>
      <c r="E1391" t="s">
        <v>162</v>
      </c>
      <c r="F1391" t="s">
        <v>35</v>
      </c>
      <c r="G1391" t="s">
        <v>35</v>
      </c>
      <c r="H1391" t="s">
        <v>35</v>
      </c>
      <c r="J1391" t="s">
        <v>1897</v>
      </c>
      <c r="K1391" t="s">
        <v>1092</v>
      </c>
      <c r="M1391">
        <v>4.25</v>
      </c>
      <c r="N1391">
        <v>68</v>
      </c>
      <c r="O1391" t="s">
        <v>61</v>
      </c>
      <c r="Q1391" t="s">
        <v>146</v>
      </c>
      <c r="R1391" t="s">
        <v>199</v>
      </c>
      <c r="S1391" t="s">
        <v>200</v>
      </c>
    </row>
    <row r="1392" spans="1:19" x14ac:dyDescent="0.25">
      <c r="A1392" t="s">
        <v>59</v>
      </c>
      <c r="B1392" t="s">
        <v>60</v>
      </c>
      <c r="C1392" t="s">
        <v>32</v>
      </c>
      <c r="D1392" t="s">
        <v>33</v>
      </c>
      <c r="E1392" t="s">
        <v>162</v>
      </c>
      <c r="F1392" t="s">
        <v>35</v>
      </c>
      <c r="G1392" t="s">
        <v>35</v>
      </c>
      <c r="H1392" t="s">
        <v>35</v>
      </c>
      <c r="J1392" t="s">
        <v>1897</v>
      </c>
      <c r="K1392" t="s">
        <v>1092</v>
      </c>
      <c r="M1392">
        <v>2.85</v>
      </c>
      <c r="N1392">
        <v>75</v>
      </c>
      <c r="O1392" t="s">
        <v>61</v>
      </c>
      <c r="Q1392" t="s">
        <v>805</v>
      </c>
      <c r="R1392" t="s">
        <v>199</v>
      </c>
      <c r="S1392" t="s">
        <v>200</v>
      </c>
    </row>
    <row r="1393" spans="1:19" x14ac:dyDescent="0.25">
      <c r="A1393" t="s">
        <v>59</v>
      </c>
      <c r="B1393" t="s">
        <v>31</v>
      </c>
      <c r="C1393" t="s">
        <v>32</v>
      </c>
      <c r="D1393" t="s">
        <v>33</v>
      </c>
      <c r="E1393" t="s">
        <v>162</v>
      </c>
      <c r="F1393" t="s">
        <v>35</v>
      </c>
      <c r="G1393" t="s">
        <v>35</v>
      </c>
      <c r="H1393" t="s">
        <v>35</v>
      </c>
      <c r="J1393" t="s">
        <v>1897</v>
      </c>
      <c r="K1393" t="s">
        <v>1092</v>
      </c>
      <c r="M1393">
        <v>0.76500000000000001</v>
      </c>
      <c r="N1393">
        <v>147</v>
      </c>
      <c r="O1393" t="s">
        <v>38</v>
      </c>
      <c r="Q1393" t="s">
        <v>1229</v>
      </c>
      <c r="R1393" t="s">
        <v>103</v>
      </c>
      <c r="S1393" t="s">
        <v>104</v>
      </c>
    </row>
    <row r="1394" spans="1:19" x14ac:dyDescent="0.25">
      <c r="A1394" t="s">
        <v>30</v>
      </c>
      <c r="B1394" t="s">
        <v>31</v>
      </c>
      <c r="C1394" t="s">
        <v>32</v>
      </c>
      <c r="D1394" t="s">
        <v>33</v>
      </c>
      <c r="E1394" t="s">
        <v>162</v>
      </c>
      <c r="F1394" t="s">
        <v>35</v>
      </c>
      <c r="G1394" t="s">
        <v>35</v>
      </c>
      <c r="H1394" t="s">
        <v>35</v>
      </c>
      <c r="J1394" t="s">
        <v>1898</v>
      </c>
      <c r="K1394" t="s">
        <v>1092</v>
      </c>
      <c r="M1394">
        <v>0.94499999999999995</v>
      </c>
      <c r="N1394">
        <v>448</v>
      </c>
      <c r="O1394" t="s">
        <v>294</v>
      </c>
      <c r="Q1394" t="s">
        <v>1899</v>
      </c>
      <c r="R1394" t="s">
        <v>169</v>
      </c>
      <c r="S1394" t="s">
        <v>123</v>
      </c>
    </row>
    <row r="1395" spans="1:19" x14ac:dyDescent="0.25">
      <c r="A1395" t="s">
        <v>59</v>
      </c>
      <c r="B1395" t="s">
        <v>31</v>
      </c>
      <c r="C1395" t="s">
        <v>32</v>
      </c>
      <c r="D1395" t="s">
        <v>33</v>
      </c>
      <c r="E1395" t="s">
        <v>162</v>
      </c>
      <c r="F1395" t="s">
        <v>35</v>
      </c>
      <c r="G1395" t="s">
        <v>35</v>
      </c>
      <c r="H1395" t="s">
        <v>35</v>
      </c>
      <c r="J1395" t="s">
        <v>1900</v>
      </c>
      <c r="K1395" t="s">
        <v>1092</v>
      </c>
      <c r="M1395">
        <v>0.81</v>
      </c>
      <c r="N1395">
        <v>95</v>
      </c>
      <c r="O1395" t="s">
        <v>106</v>
      </c>
      <c r="Q1395" t="s">
        <v>724</v>
      </c>
      <c r="R1395" t="s">
        <v>1279</v>
      </c>
      <c r="S1395" t="s">
        <v>163</v>
      </c>
    </row>
    <row r="1396" spans="1:19" x14ac:dyDescent="0.25">
      <c r="A1396" t="s">
        <v>1439</v>
      </c>
      <c r="B1396" t="s">
        <v>1440</v>
      </c>
      <c r="C1396" t="s">
        <v>32</v>
      </c>
      <c r="D1396" t="s">
        <v>33</v>
      </c>
      <c r="E1396" t="s">
        <v>162</v>
      </c>
      <c r="F1396" t="s">
        <v>35</v>
      </c>
      <c r="G1396" t="s">
        <v>35</v>
      </c>
      <c r="H1396" t="s">
        <v>35</v>
      </c>
      <c r="J1396" t="s">
        <v>1900</v>
      </c>
      <c r="K1396" t="s">
        <v>1092</v>
      </c>
      <c r="M1396">
        <v>1.84</v>
      </c>
      <c r="N1396">
        <v>95</v>
      </c>
      <c r="O1396" t="s">
        <v>106</v>
      </c>
      <c r="Q1396" t="s">
        <v>724</v>
      </c>
      <c r="R1396" t="s">
        <v>1279</v>
      </c>
      <c r="S1396" t="s">
        <v>163</v>
      </c>
    </row>
    <row r="1397" spans="1:19" x14ac:dyDescent="0.25">
      <c r="A1397" t="s">
        <v>59</v>
      </c>
      <c r="B1397" t="s">
        <v>60</v>
      </c>
      <c r="C1397" t="s">
        <v>32</v>
      </c>
      <c r="D1397" t="s">
        <v>33</v>
      </c>
      <c r="E1397" t="s">
        <v>162</v>
      </c>
      <c r="F1397" t="s">
        <v>35</v>
      </c>
      <c r="G1397" t="s">
        <v>35</v>
      </c>
      <c r="H1397" t="s">
        <v>35</v>
      </c>
      <c r="J1397" t="s">
        <v>1901</v>
      </c>
      <c r="K1397" t="s">
        <v>1092</v>
      </c>
      <c r="M1397">
        <v>2.5</v>
      </c>
      <c r="N1397">
        <v>98</v>
      </c>
      <c r="O1397" t="s">
        <v>106</v>
      </c>
      <c r="Q1397" t="s">
        <v>108</v>
      </c>
      <c r="R1397" t="s">
        <v>169</v>
      </c>
      <c r="S1397" t="s">
        <v>123</v>
      </c>
    </row>
    <row r="1398" spans="1:19" x14ac:dyDescent="0.25">
      <c r="A1398" t="s">
        <v>59</v>
      </c>
      <c r="B1398" t="s">
        <v>60</v>
      </c>
      <c r="C1398" t="s">
        <v>32</v>
      </c>
      <c r="D1398" t="s">
        <v>33</v>
      </c>
      <c r="E1398" t="s">
        <v>162</v>
      </c>
      <c r="F1398" t="s">
        <v>35</v>
      </c>
      <c r="G1398" t="s">
        <v>35</v>
      </c>
      <c r="H1398" t="s">
        <v>35</v>
      </c>
      <c r="J1398" t="s">
        <v>1901</v>
      </c>
      <c r="K1398" t="s">
        <v>1092</v>
      </c>
      <c r="M1398">
        <v>2</v>
      </c>
      <c r="N1398">
        <v>98</v>
      </c>
      <c r="O1398" t="s">
        <v>106</v>
      </c>
      <c r="Q1398" t="s">
        <v>108</v>
      </c>
      <c r="R1398" t="s">
        <v>193</v>
      </c>
      <c r="S1398" t="s">
        <v>181</v>
      </c>
    </row>
    <row r="1399" spans="1:19" x14ac:dyDescent="0.25">
      <c r="A1399" t="s">
        <v>59</v>
      </c>
      <c r="B1399" t="s">
        <v>60</v>
      </c>
      <c r="C1399" t="s">
        <v>32</v>
      </c>
      <c r="D1399" t="s">
        <v>33</v>
      </c>
      <c r="E1399" t="s">
        <v>162</v>
      </c>
      <c r="F1399" t="s">
        <v>35</v>
      </c>
      <c r="G1399" t="s">
        <v>35</v>
      </c>
      <c r="H1399" t="s">
        <v>35</v>
      </c>
      <c r="J1399" t="s">
        <v>1902</v>
      </c>
      <c r="K1399" t="s">
        <v>1092</v>
      </c>
      <c r="M1399">
        <v>2.5000000000000001E-2</v>
      </c>
      <c r="N1399">
        <v>246</v>
      </c>
      <c r="O1399" t="s">
        <v>5</v>
      </c>
      <c r="Q1399" t="s">
        <v>1903</v>
      </c>
      <c r="R1399" t="s">
        <v>1287</v>
      </c>
      <c r="S1399" t="s">
        <v>189</v>
      </c>
    </row>
    <row r="1400" spans="1:19" x14ac:dyDescent="0.25">
      <c r="A1400" t="s">
        <v>44</v>
      </c>
      <c r="B1400" t="s">
        <v>3</v>
      </c>
      <c r="C1400" t="s">
        <v>32</v>
      </c>
      <c r="D1400" t="s">
        <v>33</v>
      </c>
      <c r="E1400" t="s">
        <v>172</v>
      </c>
      <c r="F1400" t="s">
        <v>35</v>
      </c>
      <c r="G1400" t="s">
        <v>35</v>
      </c>
      <c r="H1400" t="s">
        <v>35</v>
      </c>
      <c r="J1400" t="s">
        <v>1905</v>
      </c>
      <c r="K1400" t="s">
        <v>1144</v>
      </c>
      <c r="M1400">
        <v>1.18</v>
      </c>
      <c r="N1400">
        <v>52</v>
      </c>
      <c r="O1400" t="s">
        <v>52</v>
      </c>
      <c r="Q1400" t="s">
        <v>1230</v>
      </c>
      <c r="R1400" t="s">
        <v>147</v>
      </c>
      <c r="S1400" t="s">
        <v>148</v>
      </c>
    </row>
    <row r="1401" spans="1:19" x14ac:dyDescent="0.25">
      <c r="A1401" t="s">
        <v>59</v>
      </c>
      <c r="B1401" t="s">
        <v>60</v>
      </c>
      <c r="C1401" t="s">
        <v>32</v>
      </c>
      <c r="D1401" t="s">
        <v>33</v>
      </c>
      <c r="E1401" t="s">
        <v>172</v>
      </c>
      <c r="F1401" t="s">
        <v>35</v>
      </c>
      <c r="G1401" t="s">
        <v>35</v>
      </c>
      <c r="H1401" t="s">
        <v>35</v>
      </c>
      <c r="J1401" t="s">
        <v>1905</v>
      </c>
      <c r="K1401" t="s">
        <v>1144</v>
      </c>
      <c r="M1401">
        <v>9.25</v>
      </c>
      <c r="N1401">
        <v>100</v>
      </c>
      <c r="O1401" t="s">
        <v>106</v>
      </c>
      <c r="Q1401" t="s">
        <v>1112</v>
      </c>
      <c r="R1401" t="s">
        <v>1331</v>
      </c>
      <c r="S1401" t="s">
        <v>1332</v>
      </c>
    </row>
    <row r="1402" spans="1:19" x14ac:dyDescent="0.25">
      <c r="A1402" t="s">
        <v>59</v>
      </c>
      <c r="B1402" t="s">
        <v>60</v>
      </c>
      <c r="C1402" t="s">
        <v>32</v>
      </c>
      <c r="D1402" t="s">
        <v>33</v>
      </c>
      <c r="E1402" t="s">
        <v>172</v>
      </c>
      <c r="F1402" t="s">
        <v>35</v>
      </c>
      <c r="G1402" t="s">
        <v>35</v>
      </c>
      <c r="H1402" t="s">
        <v>35</v>
      </c>
      <c r="J1402" t="s">
        <v>1906</v>
      </c>
      <c r="K1402" t="s">
        <v>404</v>
      </c>
      <c r="M1402">
        <v>7.1130000000000004</v>
      </c>
      <c r="N1402">
        <v>95</v>
      </c>
      <c r="O1402" t="s">
        <v>106</v>
      </c>
      <c r="Q1402" t="s">
        <v>724</v>
      </c>
      <c r="R1402" t="s">
        <v>147</v>
      </c>
      <c r="S1402" t="s">
        <v>148</v>
      </c>
    </row>
    <row r="1403" spans="1:19" x14ac:dyDescent="0.25">
      <c r="A1403" t="s">
        <v>59</v>
      </c>
      <c r="B1403" t="s">
        <v>31</v>
      </c>
      <c r="C1403" t="s">
        <v>32</v>
      </c>
      <c r="D1403" t="s">
        <v>33</v>
      </c>
      <c r="E1403" t="s">
        <v>172</v>
      </c>
      <c r="F1403" t="s">
        <v>35</v>
      </c>
      <c r="G1403" t="s">
        <v>35</v>
      </c>
      <c r="H1403" t="s">
        <v>35</v>
      </c>
      <c r="J1403" t="s">
        <v>1907</v>
      </c>
      <c r="K1403" t="s">
        <v>1092</v>
      </c>
      <c r="M1403">
        <v>2.88</v>
      </c>
      <c r="N1403">
        <v>75</v>
      </c>
      <c r="O1403" t="s">
        <v>61</v>
      </c>
      <c r="Q1403" t="s">
        <v>805</v>
      </c>
      <c r="R1403" t="s">
        <v>199</v>
      </c>
      <c r="S1403" t="s">
        <v>200</v>
      </c>
    </row>
    <row r="1404" spans="1:19" x14ac:dyDescent="0.25">
      <c r="A1404" t="s">
        <v>59</v>
      </c>
      <c r="B1404" t="s">
        <v>60</v>
      </c>
      <c r="C1404" t="s">
        <v>32</v>
      </c>
      <c r="D1404" t="s">
        <v>33</v>
      </c>
      <c r="E1404" t="s">
        <v>172</v>
      </c>
      <c r="F1404" t="s">
        <v>35</v>
      </c>
      <c r="G1404" t="s">
        <v>35</v>
      </c>
      <c r="H1404" t="s">
        <v>35</v>
      </c>
      <c r="J1404" t="s">
        <v>1907</v>
      </c>
      <c r="K1404" t="s">
        <v>1092</v>
      </c>
      <c r="M1404">
        <v>9.3000000000000007</v>
      </c>
      <c r="N1404">
        <v>95</v>
      </c>
      <c r="O1404" t="s">
        <v>106</v>
      </c>
      <c r="Q1404" t="s">
        <v>724</v>
      </c>
      <c r="R1404" t="s">
        <v>147</v>
      </c>
      <c r="S1404" t="s">
        <v>148</v>
      </c>
    </row>
    <row r="1405" spans="1:19" x14ac:dyDescent="0.25">
      <c r="A1405" t="s">
        <v>59</v>
      </c>
      <c r="B1405" t="s">
        <v>60</v>
      </c>
      <c r="C1405" t="s">
        <v>32</v>
      </c>
      <c r="D1405" t="s">
        <v>33</v>
      </c>
      <c r="E1405" t="s">
        <v>172</v>
      </c>
      <c r="F1405" t="s">
        <v>35</v>
      </c>
      <c r="G1405" t="s">
        <v>35</v>
      </c>
      <c r="H1405" t="s">
        <v>35</v>
      </c>
      <c r="J1405" t="s">
        <v>1908</v>
      </c>
      <c r="K1405" t="s">
        <v>285</v>
      </c>
      <c r="M1405">
        <v>3.45</v>
      </c>
      <c r="N1405">
        <v>75</v>
      </c>
      <c r="O1405" t="s">
        <v>61</v>
      </c>
      <c r="Q1405" t="s">
        <v>805</v>
      </c>
      <c r="R1405" t="s">
        <v>147</v>
      </c>
      <c r="S1405" t="s">
        <v>148</v>
      </c>
    </row>
    <row r="1406" spans="1:19" x14ac:dyDescent="0.25">
      <c r="A1406" t="s">
        <v>44</v>
      </c>
      <c r="B1406" t="s">
        <v>3</v>
      </c>
      <c r="C1406" t="s">
        <v>32</v>
      </c>
      <c r="D1406" t="s">
        <v>33</v>
      </c>
      <c r="E1406" t="s">
        <v>172</v>
      </c>
      <c r="F1406" t="s">
        <v>35</v>
      </c>
      <c r="G1406" t="s">
        <v>35</v>
      </c>
      <c r="H1406" t="s">
        <v>35</v>
      </c>
      <c r="J1406" t="s">
        <v>1909</v>
      </c>
      <c r="K1406" t="s">
        <v>1092</v>
      </c>
      <c r="M1406">
        <v>0.15</v>
      </c>
      <c r="N1406">
        <v>68</v>
      </c>
      <c r="O1406" t="s">
        <v>61</v>
      </c>
      <c r="Q1406" t="s">
        <v>146</v>
      </c>
      <c r="R1406" t="s">
        <v>1258</v>
      </c>
      <c r="S1406" t="s">
        <v>194</v>
      </c>
    </row>
    <row r="1407" spans="1:19" x14ac:dyDescent="0.25">
      <c r="A1407" t="s">
        <v>59</v>
      </c>
      <c r="B1407" t="s">
        <v>60</v>
      </c>
      <c r="C1407" t="s">
        <v>32</v>
      </c>
      <c r="D1407" t="s">
        <v>33</v>
      </c>
      <c r="E1407" t="s">
        <v>172</v>
      </c>
      <c r="F1407" t="s">
        <v>35</v>
      </c>
      <c r="G1407" t="s">
        <v>35</v>
      </c>
      <c r="H1407" t="s">
        <v>35</v>
      </c>
      <c r="J1407" t="s">
        <v>1910</v>
      </c>
      <c r="K1407" t="s">
        <v>404</v>
      </c>
      <c r="M1407">
        <v>7.5750000000000002</v>
      </c>
      <c r="N1407">
        <v>75</v>
      </c>
      <c r="O1407" t="s">
        <v>61</v>
      </c>
      <c r="Q1407" t="s">
        <v>805</v>
      </c>
      <c r="R1407" t="s">
        <v>1331</v>
      </c>
      <c r="S1407" t="s">
        <v>1332</v>
      </c>
    </row>
    <row r="1408" spans="1:19" x14ac:dyDescent="0.25">
      <c r="A1408" t="s">
        <v>59</v>
      </c>
      <c r="B1408" t="s">
        <v>60</v>
      </c>
      <c r="C1408" t="s">
        <v>32</v>
      </c>
      <c r="D1408" t="s">
        <v>33</v>
      </c>
      <c r="E1408" t="s">
        <v>172</v>
      </c>
      <c r="F1408" t="s">
        <v>35</v>
      </c>
      <c r="G1408" t="s">
        <v>35</v>
      </c>
      <c r="H1408" t="s">
        <v>35</v>
      </c>
      <c r="J1408" t="s">
        <v>1910</v>
      </c>
      <c r="K1408" t="s">
        <v>404</v>
      </c>
      <c r="M1408">
        <v>11</v>
      </c>
      <c r="N1408">
        <v>72</v>
      </c>
      <c r="O1408" t="s">
        <v>61</v>
      </c>
      <c r="Q1408" t="s">
        <v>63</v>
      </c>
      <c r="R1408" t="s">
        <v>85</v>
      </c>
      <c r="S1408" t="s">
        <v>86</v>
      </c>
    </row>
    <row r="1409" spans="1:19" x14ac:dyDescent="0.25">
      <c r="A1409" t="s">
        <v>44</v>
      </c>
      <c r="B1409" t="s">
        <v>3</v>
      </c>
      <c r="C1409" t="s">
        <v>32</v>
      </c>
      <c r="D1409" t="s">
        <v>33</v>
      </c>
      <c r="E1409" t="s">
        <v>172</v>
      </c>
      <c r="F1409" t="s">
        <v>35</v>
      </c>
      <c r="G1409" t="s">
        <v>35</v>
      </c>
      <c r="H1409" t="s">
        <v>35</v>
      </c>
      <c r="J1409" t="s">
        <v>1911</v>
      </c>
      <c r="K1409" t="s">
        <v>1092</v>
      </c>
      <c r="M1409">
        <v>1</v>
      </c>
      <c r="N1409">
        <v>46</v>
      </c>
      <c r="O1409" t="s">
        <v>52</v>
      </c>
      <c r="Q1409" t="s">
        <v>493</v>
      </c>
      <c r="R1409" t="s">
        <v>1700</v>
      </c>
      <c r="S1409" t="s">
        <v>174</v>
      </c>
    </row>
    <row r="1410" spans="1:19" x14ac:dyDescent="0.25">
      <c r="A1410" t="s">
        <v>59</v>
      </c>
      <c r="B1410" t="s">
        <v>31</v>
      </c>
      <c r="C1410" t="s">
        <v>32</v>
      </c>
      <c r="D1410" t="s">
        <v>33</v>
      </c>
      <c r="E1410" t="s">
        <v>172</v>
      </c>
      <c r="F1410" t="s">
        <v>35</v>
      </c>
      <c r="G1410" t="s">
        <v>35</v>
      </c>
      <c r="H1410" t="s">
        <v>35</v>
      </c>
      <c r="J1410" t="s">
        <v>1911</v>
      </c>
      <c r="K1410" t="s">
        <v>1092</v>
      </c>
      <c r="M1410">
        <v>0.09</v>
      </c>
      <c r="N1410">
        <v>75</v>
      </c>
      <c r="O1410" t="s">
        <v>61</v>
      </c>
      <c r="Q1410" t="s">
        <v>805</v>
      </c>
      <c r="R1410" t="s">
        <v>199</v>
      </c>
      <c r="S1410" t="s">
        <v>200</v>
      </c>
    </row>
    <row r="1411" spans="1:19" x14ac:dyDescent="0.25">
      <c r="A1411" t="s">
        <v>59</v>
      </c>
      <c r="B1411" t="s">
        <v>60</v>
      </c>
      <c r="C1411" t="s">
        <v>32</v>
      </c>
      <c r="D1411" t="s">
        <v>33</v>
      </c>
      <c r="E1411" t="s">
        <v>172</v>
      </c>
      <c r="F1411" t="s">
        <v>35</v>
      </c>
      <c r="G1411" t="s">
        <v>35</v>
      </c>
      <c r="H1411" t="s">
        <v>35</v>
      </c>
      <c r="J1411" t="s">
        <v>1912</v>
      </c>
      <c r="K1411" t="s">
        <v>1092</v>
      </c>
      <c r="M1411">
        <v>0.45</v>
      </c>
      <c r="N1411">
        <v>99</v>
      </c>
      <c r="O1411" t="s">
        <v>106</v>
      </c>
      <c r="Q1411" t="s">
        <v>1216</v>
      </c>
      <c r="R1411" t="s">
        <v>103</v>
      </c>
      <c r="S1411" t="s">
        <v>104</v>
      </c>
    </row>
    <row r="1412" spans="1:19" x14ac:dyDescent="0.25">
      <c r="A1412" t="s">
        <v>30</v>
      </c>
      <c r="B1412" t="s">
        <v>31</v>
      </c>
      <c r="C1412" t="s">
        <v>32</v>
      </c>
      <c r="D1412" t="s">
        <v>33</v>
      </c>
      <c r="E1412" t="s">
        <v>172</v>
      </c>
      <c r="F1412" t="s">
        <v>35</v>
      </c>
      <c r="G1412" t="s">
        <v>35</v>
      </c>
      <c r="H1412" t="s">
        <v>35</v>
      </c>
      <c r="J1412" t="s">
        <v>1912</v>
      </c>
      <c r="K1412" t="s">
        <v>1092</v>
      </c>
      <c r="M1412">
        <v>1.575</v>
      </c>
      <c r="N1412">
        <v>47</v>
      </c>
      <c r="O1412" t="s">
        <v>52</v>
      </c>
      <c r="Q1412" t="s">
        <v>132</v>
      </c>
      <c r="R1412" t="s">
        <v>103</v>
      </c>
      <c r="S1412" t="s">
        <v>104</v>
      </c>
    </row>
    <row r="1413" spans="1:19" x14ac:dyDescent="0.25">
      <c r="A1413" t="s">
        <v>59</v>
      </c>
      <c r="B1413" t="s">
        <v>60</v>
      </c>
      <c r="C1413" t="s">
        <v>32</v>
      </c>
      <c r="D1413" t="s">
        <v>33</v>
      </c>
      <c r="E1413" t="s">
        <v>172</v>
      </c>
      <c r="F1413" t="s">
        <v>35</v>
      </c>
      <c r="G1413" t="s">
        <v>35</v>
      </c>
      <c r="H1413" t="s">
        <v>35</v>
      </c>
      <c r="J1413" t="s">
        <v>1913</v>
      </c>
      <c r="K1413" t="s">
        <v>1092</v>
      </c>
      <c r="M1413">
        <v>2.2000000000000002</v>
      </c>
      <c r="N1413">
        <v>757</v>
      </c>
      <c r="O1413" t="s">
        <v>575</v>
      </c>
      <c r="Q1413" t="s">
        <v>1914</v>
      </c>
      <c r="R1413" t="s">
        <v>193</v>
      </c>
      <c r="S1413" t="s">
        <v>181</v>
      </c>
    </row>
    <row r="1414" spans="1:19" x14ac:dyDescent="0.25">
      <c r="A1414" t="s">
        <v>30</v>
      </c>
      <c r="B1414" t="s">
        <v>31</v>
      </c>
      <c r="C1414" t="s">
        <v>32</v>
      </c>
      <c r="D1414" t="s">
        <v>33</v>
      </c>
      <c r="E1414" t="s">
        <v>172</v>
      </c>
      <c r="F1414" t="s">
        <v>35</v>
      </c>
      <c r="G1414" t="s">
        <v>35</v>
      </c>
      <c r="H1414" t="s">
        <v>35</v>
      </c>
      <c r="J1414" t="s">
        <v>1915</v>
      </c>
      <c r="K1414" t="s">
        <v>1092</v>
      </c>
      <c r="M1414">
        <v>9.99</v>
      </c>
      <c r="N1414">
        <v>17</v>
      </c>
      <c r="O1414" t="s">
        <v>46</v>
      </c>
      <c r="Q1414" t="s">
        <v>1302</v>
      </c>
      <c r="R1414" t="s">
        <v>169</v>
      </c>
      <c r="S1414" t="s">
        <v>123</v>
      </c>
    </row>
    <row r="1415" spans="1:19" x14ac:dyDescent="0.25">
      <c r="A1415" t="s">
        <v>30</v>
      </c>
      <c r="B1415" t="s">
        <v>31</v>
      </c>
      <c r="C1415" t="s">
        <v>32</v>
      </c>
      <c r="D1415" t="s">
        <v>33</v>
      </c>
      <c r="E1415" t="s">
        <v>172</v>
      </c>
      <c r="F1415" t="s">
        <v>35</v>
      </c>
      <c r="G1415" t="s">
        <v>35</v>
      </c>
      <c r="H1415" t="s">
        <v>35</v>
      </c>
      <c r="J1415" t="s">
        <v>1915</v>
      </c>
      <c r="K1415" t="s">
        <v>1092</v>
      </c>
      <c r="M1415">
        <v>9.99</v>
      </c>
      <c r="N1415">
        <v>18</v>
      </c>
      <c r="O1415" t="s">
        <v>46</v>
      </c>
      <c r="Q1415" t="s">
        <v>1476</v>
      </c>
      <c r="R1415" t="s">
        <v>169</v>
      </c>
      <c r="S1415" t="s">
        <v>123</v>
      </c>
    </row>
    <row r="1416" spans="1:19" x14ac:dyDescent="0.25">
      <c r="A1416" t="s">
        <v>44</v>
      </c>
      <c r="B1416" t="s">
        <v>51</v>
      </c>
      <c r="C1416" t="s">
        <v>32</v>
      </c>
      <c r="D1416" t="s">
        <v>33</v>
      </c>
      <c r="E1416" t="s">
        <v>172</v>
      </c>
      <c r="F1416" t="s">
        <v>35</v>
      </c>
      <c r="G1416" t="s">
        <v>35</v>
      </c>
      <c r="H1416" t="s">
        <v>35</v>
      </c>
      <c r="J1416" t="s">
        <v>1915</v>
      </c>
      <c r="K1416" t="s">
        <v>1092</v>
      </c>
      <c r="M1416">
        <v>5.9</v>
      </c>
      <c r="N1416">
        <v>6</v>
      </c>
      <c r="O1416" t="s">
        <v>46</v>
      </c>
      <c r="Q1416" t="s">
        <v>8168</v>
      </c>
      <c r="R1416" t="s">
        <v>169</v>
      </c>
      <c r="S1416" t="s">
        <v>123</v>
      </c>
    </row>
    <row r="1417" spans="1:19" x14ac:dyDescent="0.25">
      <c r="A1417" t="s">
        <v>30</v>
      </c>
      <c r="B1417" t="s">
        <v>31</v>
      </c>
      <c r="C1417" t="s">
        <v>32</v>
      </c>
      <c r="D1417" t="s">
        <v>33</v>
      </c>
      <c r="E1417" t="s">
        <v>172</v>
      </c>
      <c r="F1417" t="s">
        <v>35</v>
      </c>
      <c r="G1417" t="s">
        <v>35</v>
      </c>
      <c r="H1417" t="s">
        <v>35</v>
      </c>
      <c r="J1417" t="s">
        <v>1915</v>
      </c>
      <c r="K1417" t="s">
        <v>1092</v>
      </c>
      <c r="M1417">
        <v>1.08</v>
      </c>
      <c r="N1417">
        <v>25</v>
      </c>
      <c r="O1417" t="s">
        <v>46</v>
      </c>
      <c r="Q1417" t="s">
        <v>831</v>
      </c>
      <c r="R1417" t="s">
        <v>199</v>
      </c>
      <c r="S1417" t="s">
        <v>200</v>
      </c>
    </row>
    <row r="1418" spans="1:19" x14ac:dyDescent="0.25">
      <c r="A1418" t="s">
        <v>59</v>
      </c>
      <c r="B1418" t="s">
        <v>60</v>
      </c>
      <c r="C1418" t="s">
        <v>32</v>
      </c>
      <c r="D1418" t="s">
        <v>33</v>
      </c>
      <c r="E1418" t="s">
        <v>172</v>
      </c>
      <c r="F1418" t="s">
        <v>35</v>
      </c>
      <c r="G1418" t="s">
        <v>35</v>
      </c>
      <c r="H1418" t="s">
        <v>35</v>
      </c>
      <c r="J1418" t="s">
        <v>1916</v>
      </c>
      <c r="K1418" t="s">
        <v>1092</v>
      </c>
      <c r="M1418">
        <v>2</v>
      </c>
      <c r="N1418">
        <v>16</v>
      </c>
      <c r="O1418" t="s">
        <v>46</v>
      </c>
      <c r="Q1418" t="s">
        <v>323</v>
      </c>
      <c r="R1418" t="s">
        <v>193</v>
      </c>
      <c r="S1418" t="s">
        <v>181</v>
      </c>
    </row>
    <row r="1419" spans="1:19" x14ac:dyDescent="0.25">
      <c r="A1419" t="s">
        <v>59</v>
      </c>
      <c r="B1419" t="s">
        <v>60</v>
      </c>
      <c r="C1419" t="s">
        <v>32</v>
      </c>
      <c r="D1419" t="s">
        <v>33</v>
      </c>
      <c r="E1419" t="s">
        <v>172</v>
      </c>
      <c r="F1419" t="s">
        <v>35</v>
      </c>
      <c r="G1419" t="s">
        <v>35</v>
      </c>
      <c r="H1419" t="s">
        <v>35</v>
      </c>
      <c r="J1419" t="s">
        <v>1916</v>
      </c>
      <c r="K1419" t="s">
        <v>1092</v>
      </c>
      <c r="M1419">
        <v>1.75</v>
      </c>
      <c r="N1419">
        <v>45</v>
      </c>
      <c r="O1419" t="s">
        <v>52</v>
      </c>
      <c r="Q1419" t="s">
        <v>716</v>
      </c>
      <c r="R1419" t="s">
        <v>193</v>
      </c>
      <c r="S1419" t="s">
        <v>181</v>
      </c>
    </row>
    <row r="1420" spans="1:19" x14ac:dyDescent="0.25">
      <c r="A1420" t="s">
        <v>44</v>
      </c>
      <c r="B1420" t="s">
        <v>3</v>
      </c>
      <c r="C1420" t="s">
        <v>32</v>
      </c>
      <c r="D1420" t="s">
        <v>33</v>
      </c>
      <c r="E1420" t="s">
        <v>172</v>
      </c>
      <c r="F1420" t="s">
        <v>35</v>
      </c>
      <c r="G1420" t="s">
        <v>35</v>
      </c>
      <c r="H1420" t="s">
        <v>35</v>
      </c>
      <c r="J1420" t="s">
        <v>1916</v>
      </c>
      <c r="K1420" t="s">
        <v>1092</v>
      </c>
      <c r="M1420">
        <v>5.5</v>
      </c>
      <c r="N1420">
        <v>68</v>
      </c>
      <c r="O1420" t="s">
        <v>61</v>
      </c>
      <c r="Q1420" t="s">
        <v>146</v>
      </c>
      <c r="R1420" t="s">
        <v>193</v>
      </c>
      <c r="S1420" t="s">
        <v>181</v>
      </c>
    </row>
    <row r="1421" spans="1:19" x14ac:dyDescent="0.25">
      <c r="A1421" t="s">
        <v>44</v>
      </c>
      <c r="B1421" t="s">
        <v>3</v>
      </c>
      <c r="C1421" t="s">
        <v>32</v>
      </c>
      <c r="D1421" t="s">
        <v>33</v>
      </c>
      <c r="E1421" t="s">
        <v>172</v>
      </c>
      <c r="F1421" t="s">
        <v>35</v>
      </c>
      <c r="G1421" t="s">
        <v>35</v>
      </c>
      <c r="H1421" t="s">
        <v>35</v>
      </c>
      <c r="J1421" t="s">
        <v>1304</v>
      </c>
      <c r="K1421" t="s">
        <v>1092</v>
      </c>
      <c r="M1421">
        <v>1.75</v>
      </c>
      <c r="N1421">
        <v>62</v>
      </c>
      <c r="O1421" t="s">
        <v>61</v>
      </c>
      <c r="Q1421" t="s">
        <v>90</v>
      </c>
      <c r="R1421" t="s">
        <v>103</v>
      </c>
      <c r="S1421" t="s">
        <v>104</v>
      </c>
    </row>
    <row r="1422" spans="1:19" x14ac:dyDescent="0.25">
      <c r="A1422" t="s">
        <v>59</v>
      </c>
      <c r="B1422" t="s">
        <v>60</v>
      </c>
      <c r="C1422" t="s">
        <v>32</v>
      </c>
      <c r="D1422" t="s">
        <v>33</v>
      </c>
      <c r="E1422" t="s">
        <v>172</v>
      </c>
      <c r="F1422" t="s">
        <v>35</v>
      </c>
      <c r="G1422" t="s">
        <v>35</v>
      </c>
      <c r="H1422" t="s">
        <v>35</v>
      </c>
      <c r="J1422" t="s">
        <v>1304</v>
      </c>
      <c r="K1422" t="s">
        <v>1092</v>
      </c>
      <c r="M1422">
        <v>1.9</v>
      </c>
      <c r="N1422">
        <v>99</v>
      </c>
      <c r="O1422" t="s">
        <v>106</v>
      </c>
      <c r="Q1422" t="s">
        <v>1216</v>
      </c>
      <c r="R1422" t="s">
        <v>103</v>
      </c>
      <c r="S1422" t="s">
        <v>104</v>
      </c>
    </row>
    <row r="1423" spans="1:19" x14ac:dyDescent="0.25">
      <c r="A1423" t="s">
        <v>59</v>
      </c>
      <c r="B1423" t="s">
        <v>60</v>
      </c>
      <c r="C1423" t="s">
        <v>32</v>
      </c>
      <c r="D1423" t="s">
        <v>33</v>
      </c>
      <c r="E1423" t="s">
        <v>172</v>
      </c>
      <c r="F1423" t="s">
        <v>35</v>
      </c>
      <c r="G1423" t="s">
        <v>35</v>
      </c>
      <c r="H1423" t="s">
        <v>35</v>
      </c>
      <c r="J1423" t="s">
        <v>1917</v>
      </c>
      <c r="K1423" t="s">
        <v>1092</v>
      </c>
      <c r="M1423">
        <v>1.35</v>
      </c>
      <c r="N1423">
        <v>76</v>
      </c>
      <c r="O1423" t="s">
        <v>61</v>
      </c>
      <c r="Q1423" t="s">
        <v>234</v>
      </c>
      <c r="R1423" t="s">
        <v>1258</v>
      </c>
      <c r="S1423" t="s">
        <v>194</v>
      </c>
    </row>
    <row r="1424" spans="1:19" x14ac:dyDescent="0.25">
      <c r="A1424" t="s">
        <v>59</v>
      </c>
      <c r="B1424" t="s">
        <v>60</v>
      </c>
      <c r="C1424" t="s">
        <v>32</v>
      </c>
      <c r="D1424" t="s">
        <v>33</v>
      </c>
      <c r="E1424" t="s">
        <v>172</v>
      </c>
      <c r="F1424" t="s">
        <v>35</v>
      </c>
      <c r="G1424" t="s">
        <v>35</v>
      </c>
      <c r="H1424" t="s">
        <v>35</v>
      </c>
      <c r="J1424" t="s">
        <v>1918</v>
      </c>
      <c r="K1424" t="s">
        <v>1092</v>
      </c>
      <c r="M1424">
        <v>2</v>
      </c>
      <c r="N1424">
        <v>76</v>
      </c>
      <c r="O1424" t="s">
        <v>61</v>
      </c>
      <c r="Q1424" t="s">
        <v>234</v>
      </c>
      <c r="R1424" t="s">
        <v>1258</v>
      </c>
      <c r="S1424" t="s">
        <v>194</v>
      </c>
    </row>
    <row r="1425" spans="1:19" x14ac:dyDescent="0.25">
      <c r="A1425" t="s">
        <v>30</v>
      </c>
      <c r="B1425" t="s">
        <v>31</v>
      </c>
      <c r="C1425" t="s">
        <v>32</v>
      </c>
      <c r="D1425" t="s">
        <v>33</v>
      </c>
      <c r="E1425" t="s">
        <v>172</v>
      </c>
      <c r="F1425" t="s">
        <v>35</v>
      </c>
      <c r="G1425" t="s">
        <v>35</v>
      </c>
      <c r="H1425" t="s">
        <v>35</v>
      </c>
      <c r="J1425" t="s">
        <v>1918</v>
      </c>
      <c r="K1425" t="s">
        <v>1092</v>
      </c>
      <c r="M1425">
        <v>0.05</v>
      </c>
      <c r="N1425">
        <v>151</v>
      </c>
      <c r="O1425" t="s">
        <v>38</v>
      </c>
      <c r="Q1425" t="s">
        <v>1269</v>
      </c>
      <c r="R1425" t="s">
        <v>1258</v>
      </c>
      <c r="S1425" t="s">
        <v>194</v>
      </c>
    </row>
    <row r="1426" spans="1:19" x14ac:dyDescent="0.25">
      <c r="A1426" t="s">
        <v>44</v>
      </c>
      <c r="B1426" t="s">
        <v>3</v>
      </c>
      <c r="C1426" t="s">
        <v>32</v>
      </c>
      <c r="D1426" t="s">
        <v>33</v>
      </c>
      <c r="E1426" t="s">
        <v>172</v>
      </c>
      <c r="F1426" t="s">
        <v>35</v>
      </c>
      <c r="G1426" t="s">
        <v>35</v>
      </c>
      <c r="H1426" t="s">
        <v>35</v>
      </c>
      <c r="J1426" t="s">
        <v>1919</v>
      </c>
      <c r="K1426" t="s">
        <v>404</v>
      </c>
      <c r="M1426">
        <v>9.75</v>
      </c>
      <c r="N1426">
        <v>51</v>
      </c>
      <c r="O1426" t="s">
        <v>52</v>
      </c>
      <c r="Q1426" t="s">
        <v>54</v>
      </c>
      <c r="R1426" t="s">
        <v>193</v>
      </c>
      <c r="S1426" t="s">
        <v>181</v>
      </c>
    </row>
    <row r="1427" spans="1:19" x14ac:dyDescent="0.25">
      <c r="A1427" t="s">
        <v>59</v>
      </c>
      <c r="B1427" t="s">
        <v>60</v>
      </c>
      <c r="C1427" t="s">
        <v>32</v>
      </c>
      <c r="D1427" t="s">
        <v>33</v>
      </c>
      <c r="E1427" t="s">
        <v>172</v>
      </c>
      <c r="F1427" t="s">
        <v>35</v>
      </c>
      <c r="G1427" t="s">
        <v>35</v>
      </c>
      <c r="H1427" t="s">
        <v>35</v>
      </c>
      <c r="J1427" t="s">
        <v>1920</v>
      </c>
      <c r="K1427" t="s">
        <v>404</v>
      </c>
      <c r="M1427">
        <v>0.7</v>
      </c>
      <c r="N1427">
        <v>61</v>
      </c>
      <c r="O1427" t="s">
        <v>61</v>
      </c>
      <c r="Q1427" t="s">
        <v>671</v>
      </c>
      <c r="R1427" t="s">
        <v>193</v>
      </c>
      <c r="S1427" t="s">
        <v>181</v>
      </c>
    </row>
    <row r="1428" spans="1:19" x14ac:dyDescent="0.25">
      <c r="A1428" t="s">
        <v>59</v>
      </c>
      <c r="B1428" t="s">
        <v>60</v>
      </c>
      <c r="C1428" t="s">
        <v>32</v>
      </c>
      <c r="D1428" t="s">
        <v>33</v>
      </c>
      <c r="E1428" t="s">
        <v>172</v>
      </c>
      <c r="F1428" t="s">
        <v>35</v>
      </c>
      <c r="G1428" t="s">
        <v>35</v>
      </c>
      <c r="H1428" t="s">
        <v>35</v>
      </c>
      <c r="J1428" t="s">
        <v>1921</v>
      </c>
      <c r="K1428" t="s">
        <v>404</v>
      </c>
      <c r="M1428">
        <v>6.6</v>
      </c>
      <c r="N1428">
        <v>91</v>
      </c>
      <c r="O1428" t="s">
        <v>106</v>
      </c>
      <c r="Q1428" t="s">
        <v>1147</v>
      </c>
      <c r="R1428" t="s">
        <v>169</v>
      </c>
      <c r="S1428" t="s">
        <v>123</v>
      </c>
    </row>
    <row r="1429" spans="1:19" x14ac:dyDescent="0.25">
      <c r="A1429" t="s">
        <v>44</v>
      </c>
      <c r="B1429" t="s">
        <v>3</v>
      </c>
      <c r="C1429" t="s">
        <v>32</v>
      </c>
      <c r="D1429" t="s">
        <v>33</v>
      </c>
      <c r="E1429" t="s">
        <v>172</v>
      </c>
      <c r="F1429" t="s">
        <v>35</v>
      </c>
      <c r="G1429" t="s">
        <v>35</v>
      </c>
      <c r="H1429" t="s">
        <v>35</v>
      </c>
      <c r="J1429" t="s">
        <v>1921</v>
      </c>
      <c r="K1429" t="s">
        <v>404</v>
      </c>
      <c r="M1429">
        <v>5.25</v>
      </c>
      <c r="N1429">
        <v>68</v>
      </c>
      <c r="O1429" t="s">
        <v>61</v>
      </c>
      <c r="Q1429" t="s">
        <v>146</v>
      </c>
      <c r="R1429" t="s">
        <v>199</v>
      </c>
      <c r="S1429" t="s">
        <v>200</v>
      </c>
    </row>
    <row r="1430" spans="1:19" x14ac:dyDescent="0.25">
      <c r="A1430" t="s">
        <v>44</v>
      </c>
      <c r="B1430" t="s">
        <v>3</v>
      </c>
      <c r="C1430" t="s">
        <v>32</v>
      </c>
      <c r="D1430" t="s">
        <v>33</v>
      </c>
      <c r="E1430" t="s">
        <v>172</v>
      </c>
      <c r="F1430" t="s">
        <v>35</v>
      </c>
      <c r="G1430" t="s">
        <v>35</v>
      </c>
      <c r="H1430" t="s">
        <v>35</v>
      </c>
      <c r="J1430" t="s">
        <v>1922</v>
      </c>
      <c r="K1430" t="s">
        <v>1092</v>
      </c>
      <c r="M1430">
        <v>3.05</v>
      </c>
      <c r="N1430">
        <v>62</v>
      </c>
      <c r="O1430" t="s">
        <v>61</v>
      </c>
      <c r="Q1430" t="s">
        <v>90</v>
      </c>
      <c r="R1430" t="s">
        <v>85</v>
      </c>
      <c r="S1430" t="s">
        <v>86</v>
      </c>
    </row>
    <row r="1431" spans="1:19" x14ac:dyDescent="0.25">
      <c r="A1431" t="s">
        <v>30</v>
      </c>
      <c r="B1431" t="s">
        <v>31</v>
      </c>
      <c r="C1431" t="s">
        <v>32</v>
      </c>
      <c r="D1431" t="s">
        <v>33</v>
      </c>
      <c r="E1431" t="s">
        <v>172</v>
      </c>
      <c r="F1431" t="s">
        <v>35</v>
      </c>
      <c r="G1431" t="s">
        <v>35</v>
      </c>
      <c r="H1431" t="s">
        <v>35</v>
      </c>
      <c r="J1431" t="s">
        <v>1923</v>
      </c>
      <c r="K1431" t="s">
        <v>1092</v>
      </c>
      <c r="M1431">
        <v>4.5</v>
      </c>
      <c r="N1431">
        <v>420</v>
      </c>
      <c r="O1431" t="s">
        <v>294</v>
      </c>
      <c r="Q1431" t="s">
        <v>1643</v>
      </c>
      <c r="R1431" t="s">
        <v>118</v>
      </c>
      <c r="S1431" t="s">
        <v>65</v>
      </c>
    </row>
    <row r="1432" spans="1:19" x14ac:dyDescent="0.25">
      <c r="A1432" t="s">
        <v>59</v>
      </c>
      <c r="B1432" t="s">
        <v>31</v>
      </c>
      <c r="C1432" t="s">
        <v>32</v>
      </c>
      <c r="D1432" t="s">
        <v>33</v>
      </c>
      <c r="E1432" t="s">
        <v>172</v>
      </c>
      <c r="F1432" t="s">
        <v>35</v>
      </c>
      <c r="G1432" t="s">
        <v>35</v>
      </c>
      <c r="H1432" t="s">
        <v>35</v>
      </c>
      <c r="J1432" t="s">
        <v>1923</v>
      </c>
      <c r="K1432" t="s">
        <v>1092</v>
      </c>
      <c r="M1432">
        <v>3.04</v>
      </c>
      <c r="N1432">
        <v>825</v>
      </c>
      <c r="O1432" t="s">
        <v>575</v>
      </c>
      <c r="Q1432" t="s">
        <v>1924</v>
      </c>
      <c r="R1432" t="s">
        <v>169</v>
      </c>
      <c r="S1432" t="s">
        <v>123</v>
      </c>
    </row>
    <row r="1433" spans="1:19" x14ac:dyDescent="0.25">
      <c r="A1433" t="s">
        <v>30</v>
      </c>
      <c r="B1433" t="s">
        <v>31</v>
      </c>
      <c r="C1433" t="s">
        <v>32</v>
      </c>
      <c r="D1433" t="s">
        <v>33</v>
      </c>
      <c r="E1433" t="s">
        <v>172</v>
      </c>
      <c r="F1433" t="s">
        <v>35</v>
      </c>
      <c r="G1433" t="s">
        <v>35</v>
      </c>
      <c r="H1433" t="s">
        <v>35</v>
      </c>
      <c r="J1433" t="s">
        <v>1925</v>
      </c>
      <c r="K1433" t="s">
        <v>1092</v>
      </c>
      <c r="M1433">
        <v>4.9950000000000001</v>
      </c>
      <c r="N1433">
        <v>43</v>
      </c>
      <c r="O1433" t="s">
        <v>52</v>
      </c>
      <c r="Q1433" t="s">
        <v>892</v>
      </c>
      <c r="R1433" t="s">
        <v>85</v>
      </c>
      <c r="S1433" t="s">
        <v>86</v>
      </c>
    </row>
    <row r="1434" spans="1:19" x14ac:dyDescent="0.25">
      <c r="A1434" t="s">
        <v>44</v>
      </c>
      <c r="B1434" t="s">
        <v>51</v>
      </c>
      <c r="C1434" t="s">
        <v>32</v>
      </c>
      <c r="D1434" t="s">
        <v>33</v>
      </c>
      <c r="E1434" t="s">
        <v>172</v>
      </c>
      <c r="F1434" t="s">
        <v>35</v>
      </c>
      <c r="G1434" t="s">
        <v>35</v>
      </c>
      <c r="H1434" t="s">
        <v>35</v>
      </c>
      <c r="J1434" t="s">
        <v>1925</v>
      </c>
      <c r="K1434" t="s">
        <v>1092</v>
      </c>
      <c r="M1434">
        <v>1.25</v>
      </c>
      <c r="N1434">
        <v>5</v>
      </c>
      <c r="O1434" t="s">
        <v>46</v>
      </c>
      <c r="Q1434" t="s">
        <v>8229</v>
      </c>
      <c r="R1434" t="s">
        <v>1700</v>
      </c>
      <c r="S1434" t="s">
        <v>174</v>
      </c>
    </row>
    <row r="1435" spans="1:19" x14ac:dyDescent="0.25">
      <c r="A1435" t="s">
        <v>44</v>
      </c>
      <c r="B1435" t="s">
        <v>51</v>
      </c>
      <c r="C1435" t="s">
        <v>32</v>
      </c>
      <c r="D1435" t="s">
        <v>33</v>
      </c>
      <c r="E1435" t="s">
        <v>172</v>
      </c>
      <c r="F1435" t="s">
        <v>35</v>
      </c>
      <c r="G1435" t="s">
        <v>35</v>
      </c>
      <c r="H1435" t="s">
        <v>35</v>
      </c>
      <c r="J1435" t="s">
        <v>1926</v>
      </c>
      <c r="K1435" t="s">
        <v>1092</v>
      </c>
      <c r="M1435">
        <v>0.55000000000000004</v>
      </c>
      <c r="N1435">
        <v>23</v>
      </c>
      <c r="O1435" t="s">
        <v>46</v>
      </c>
      <c r="Q1435" t="s">
        <v>1819</v>
      </c>
      <c r="R1435" t="s">
        <v>1700</v>
      </c>
      <c r="S1435" t="s">
        <v>174</v>
      </c>
    </row>
    <row r="1436" spans="1:19" x14ac:dyDescent="0.25">
      <c r="A1436" t="s">
        <v>59</v>
      </c>
      <c r="B1436" t="s">
        <v>60</v>
      </c>
      <c r="C1436" t="s">
        <v>32</v>
      </c>
      <c r="D1436" t="s">
        <v>33</v>
      </c>
      <c r="E1436" t="s">
        <v>172</v>
      </c>
      <c r="F1436" t="s">
        <v>35</v>
      </c>
      <c r="G1436" t="s">
        <v>35</v>
      </c>
      <c r="H1436" t="s">
        <v>35</v>
      </c>
      <c r="J1436" t="s">
        <v>1927</v>
      </c>
      <c r="K1436" t="s">
        <v>1092</v>
      </c>
      <c r="M1436">
        <v>1.64</v>
      </c>
      <c r="N1436">
        <v>75</v>
      </c>
      <c r="O1436" t="s">
        <v>61</v>
      </c>
      <c r="Q1436" t="s">
        <v>805</v>
      </c>
      <c r="R1436" t="s">
        <v>193</v>
      </c>
      <c r="S1436" t="s">
        <v>181</v>
      </c>
    </row>
    <row r="1437" spans="1:19" x14ac:dyDescent="0.25">
      <c r="A1437" t="s">
        <v>44</v>
      </c>
      <c r="B1437" t="s">
        <v>51</v>
      </c>
      <c r="C1437" t="s">
        <v>32</v>
      </c>
      <c r="D1437" t="s">
        <v>33</v>
      </c>
      <c r="E1437" t="s">
        <v>172</v>
      </c>
      <c r="F1437" t="s">
        <v>35</v>
      </c>
      <c r="G1437" t="s">
        <v>35</v>
      </c>
      <c r="H1437" t="s">
        <v>35</v>
      </c>
      <c r="J1437" t="s">
        <v>1927</v>
      </c>
      <c r="K1437" t="s">
        <v>1092</v>
      </c>
      <c r="M1437">
        <v>0.5</v>
      </c>
      <c r="N1437">
        <v>28</v>
      </c>
      <c r="O1437" t="s">
        <v>46</v>
      </c>
      <c r="Q1437" t="s">
        <v>176</v>
      </c>
      <c r="R1437" t="s">
        <v>193</v>
      </c>
      <c r="S1437" t="s">
        <v>181</v>
      </c>
    </row>
    <row r="1438" spans="1:19" x14ac:dyDescent="0.25">
      <c r="A1438" t="s">
        <v>59</v>
      </c>
      <c r="B1438" t="s">
        <v>60</v>
      </c>
      <c r="C1438" t="s">
        <v>32</v>
      </c>
      <c r="D1438" t="s">
        <v>33</v>
      </c>
      <c r="E1438" t="s">
        <v>172</v>
      </c>
      <c r="F1438" t="s">
        <v>35</v>
      </c>
      <c r="G1438" t="s">
        <v>35</v>
      </c>
      <c r="H1438" t="s">
        <v>35</v>
      </c>
      <c r="J1438" t="s">
        <v>1927</v>
      </c>
      <c r="K1438" t="s">
        <v>1092</v>
      </c>
      <c r="M1438">
        <v>1</v>
      </c>
      <c r="N1438">
        <v>28</v>
      </c>
      <c r="O1438" t="s">
        <v>46</v>
      </c>
      <c r="Q1438" t="s">
        <v>176</v>
      </c>
      <c r="R1438" t="s">
        <v>193</v>
      </c>
      <c r="S1438" t="s">
        <v>181</v>
      </c>
    </row>
    <row r="1439" spans="1:19" x14ac:dyDescent="0.25">
      <c r="A1439" t="s">
        <v>59</v>
      </c>
      <c r="B1439" t="s">
        <v>31</v>
      </c>
      <c r="C1439" t="s">
        <v>32</v>
      </c>
      <c r="D1439" t="s">
        <v>33</v>
      </c>
      <c r="E1439" t="s">
        <v>172</v>
      </c>
      <c r="F1439" t="s">
        <v>35</v>
      </c>
      <c r="G1439" t="s">
        <v>35</v>
      </c>
      <c r="H1439" t="s">
        <v>35</v>
      </c>
      <c r="J1439" t="s">
        <v>1927</v>
      </c>
      <c r="K1439" t="s">
        <v>1092</v>
      </c>
      <c r="M1439">
        <v>0.72</v>
      </c>
      <c r="N1439">
        <v>51</v>
      </c>
      <c r="O1439" t="s">
        <v>52</v>
      </c>
      <c r="Q1439" t="s">
        <v>54</v>
      </c>
      <c r="R1439" t="s">
        <v>193</v>
      </c>
      <c r="S1439" t="s">
        <v>181</v>
      </c>
    </row>
    <row r="1440" spans="1:19" x14ac:dyDescent="0.25">
      <c r="A1440" t="s">
        <v>44</v>
      </c>
      <c r="B1440" t="s">
        <v>3</v>
      </c>
      <c r="C1440" t="s">
        <v>32</v>
      </c>
      <c r="D1440" t="s">
        <v>33</v>
      </c>
      <c r="E1440" t="s">
        <v>172</v>
      </c>
      <c r="F1440" t="s">
        <v>35</v>
      </c>
      <c r="G1440" t="s">
        <v>35</v>
      </c>
      <c r="H1440" t="s">
        <v>35</v>
      </c>
      <c r="J1440" t="s">
        <v>1927</v>
      </c>
      <c r="K1440" t="s">
        <v>1092</v>
      </c>
      <c r="M1440">
        <v>0.25</v>
      </c>
      <c r="N1440">
        <v>35</v>
      </c>
      <c r="O1440" t="s">
        <v>52</v>
      </c>
      <c r="Q1440" t="s">
        <v>48</v>
      </c>
      <c r="R1440" t="s">
        <v>193</v>
      </c>
      <c r="S1440" t="s">
        <v>181</v>
      </c>
    </row>
    <row r="1441" spans="1:19" x14ac:dyDescent="0.25">
      <c r="A1441" t="s">
        <v>44</v>
      </c>
      <c r="B1441" t="s">
        <v>3</v>
      </c>
      <c r="C1441" t="s">
        <v>32</v>
      </c>
      <c r="D1441" t="s">
        <v>33</v>
      </c>
      <c r="E1441" t="s">
        <v>172</v>
      </c>
      <c r="F1441" t="s">
        <v>35</v>
      </c>
      <c r="G1441" t="s">
        <v>35</v>
      </c>
      <c r="H1441" t="s">
        <v>35</v>
      </c>
      <c r="J1441" t="s">
        <v>1927</v>
      </c>
      <c r="K1441" t="s">
        <v>1092</v>
      </c>
      <c r="M1441">
        <v>0.2</v>
      </c>
      <c r="N1441">
        <v>51</v>
      </c>
      <c r="O1441" t="s">
        <v>52</v>
      </c>
      <c r="Q1441" t="s">
        <v>54</v>
      </c>
      <c r="R1441" t="s">
        <v>193</v>
      </c>
      <c r="S1441" t="s">
        <v>181</v>
      </c>
    </row>
    <row r="1442" spans="1:19" x14ac:dyDescent="0.25">
      <c r="A1442" t="s">
        <v>59</v>
      </c>
      <c r="B1442" t="s">
        <v>60</v>
      </c>
      <c r="C1442" t="s">
        <v>32</v>
      </c>
      <c r="D1442" t="s">
        <v>33</v>
      </c>
      <c r="E1442" t="s">
        <v>172</v>
      </c>
      <c r="F1442" t="s">
        <v>35</v>
      </c>
      <c r="G1442" t="s">
        <v>35</v>
      </c>
      <c r="H1442" t="s">
        <v>35</v>
      </c>
      <c r="J1442" t="s">
        <v>1927</v>
      </c>
      <c r="K1442" t="s">
        <v>1092</v>
      </c>
      <c r="M1442">
        <v>0.35</v>
      </c>
      <c r="N1442">
        <v>35</v>
      </c>
      <c r="O1442" t="s">
        <v>52</v>
      </c>
      <c r="Q1442" t="s">
        <v>48</v>
      </c>
      <c r="R1442" t="s">
        <v>193</v>
      </c>
      <c r="S1442" t="s">
        <v>181</v>
      </c>
    </row>
    <row r="1443" spans="1:19" x14ac:dyDescent="0.25">
      <c r="A1443" t="s">
        <v>59</v>
      </c>
      <c r="B1443" t="s">
        <v>60</v>
      </c>
      <c r="C1443" t="s">
        <v>32</v>
      </c>
      <c r="D1443" t="s">
        <v>33</v>
      </c>
      <c r="E1443" t="s">
        <v>172</v>
      </c>
      <c r="F1443" t="s">
        <v>35</v>
      </c>
      <c r="G1443" t="s">
        <v>35</v>
      </c>
      <c r="H1443" t="s">
        <v>35</v>
      </c>
      <c r="J1443" t="s">
        <v>1927</v>
      </c>
      <c r="K1443" t="s">
        <v>1092</v>
      </c>
      <c r="M1443">
        <v>1</v>
      </c>
      <c r="N1443">
        <v>44</v>
      </c>
      <c r="O1443" t="s">
        <v>52</v>
      </c>
      <c r="Q1443" t="s">
        <v>192</v>
      </c>
      <c r="R1443" t="s">
        <v>193</v>
      </c>
      <c r="S1443" t="s">
        <v>181</v>
      </c>
    </row>
    <row r="1444" spans="1:19" x14ac:dyDescent="0.25">
      <c r="A1444" t="s">
        <v>59</v>
      </c>
      <c r="B1444" t="s">
        <v>60</v>
      </c>
      <c r="C1444" t="s">
        <v>32</v>
      </c>
      <c r="D1444" t="s">
        <v>33</v>
      </c>
      <c r="E1444" t="s">
        <v>172</v>
      </c>
      <c r="F1444" t="s">
        <v>35</v>
      </c>
      <c r="G1444" t="s">
        <v>35</v>
      </c>
      <c r="H1444" t="s">
        <v>35</v>
      </c>
      <c r="J1444" t="s">
        <v>1927</v>
      </c>
      <c r="K1444" t="s">
        <v>1092</v>
      </c>
      <c r="M1444">
        <v>2.4</v>
      </c>
      <c r="N1444">
        <v>51</v>
      </c>
      <c r="O1444" t="s">
        <v>52</v>
      </c>
      <c r="Q1444" t="s">
        <v>54</v>
      </c>
      <c r="R1444" t="s">
        <v>193</v>
      </c>
      <c r="S1444" t="s">
        <v>181</v>
      </c>
    </row>
    <row r="1445" spans="1:19" x14ac:dyDescent="0.25">
      <c r="A1445" t="s">
        <v>59</v>
      </c>
      <c r="B1445" t="s">
        <v>31</v>
      </c>
      <c r="C1445" t="s">
        <v>32</v>
      </c>
      <c r="D1445" t="s">
        <v>33</v>
      </c>
      <c r="E1445" t="s">
        <v>172</v>
      </c>
      <c r="F1445" t="s">
        <v>35</v>
      </c>
      <c r="G1445" t="s">
        <v>35</v>
      </c>
      <c r="H1445" t="s">
        <v>35</v>
      </c>
      <c r="J1445" t="s">
        <v>1927</v>
      </c>
      <c r="K1445" t="s">
        <v>1092</v>
      </c>
      <c r="M1445">
        <v>0.45</v>
      </c>
      <c r="N1445">
        <v>35</v>
      </c>
      <c r="O1445" t="s">
        <v>52</v>
      </c>
      <c r="Q1445" t="s">
        <v>48</v>
      </c>
      <c r="R1445" t="s">
        <v>193</v>
      </c>
      <c r="S1445" t="s">
        <v>181</v>
      </c>
    </row>
    <row r="1446" spans="1:19" x14ac:dyDescent="0.25">
      <c r="A1446" t="s">
        <v>44</v>
      </c>
      <c r="B1446" t="s">
        <v>3</v>
      </c>
      <c r="C1446" t="s">
        <v>32</v>
      </c>
      <c r="D1446" t="s">
        <v>33</v>
      </c>
      <c r="E1446" t="s">
        <v>172</v>
      </c>
      <c r="F1446" t="s">
        <v>35</v>
      </c>
      <c r="G1446" t="s">
        <v>35</v>
      </c>
      <c r="H1446" t="s">
        <v>35</v>
      </c>
      <c r="J1446" t="s">
        <v>1928</v>
      </c>
      <c r="K1446" t="s">
        <v>1092</v>
      </c>
      <c r="M1446">
        <v>4.2</v>
      </c>
      <c r="N1446">
        <v>68</v>
      </c>
      <c r="O1446" t="s">
        <v>61</v>
      </c>
      <c r="Q1446" t="s">
        <v>146</v>
      </c>
      <c r="R1446" t="s">
        <v>103</v>
      </c>
      <c r="S1446" t="s">
        <v>104</v>
      </c>
    </row>
    <row r="1447" spans="1:19" x14ac:dyDescent="0.25">
      <c r="A1447" t="s">
        <v>59</v>
      </c>
      <c r="B1447" t="s">
        <v>60</v>
      </c>
      <c r="C1447" t="s">
        <v>32</v>
      </c>
      <c r="D1447" t="s">
        <v>33</v>
      </c>
      <c r="E1447" t="s">
        <v>172</v>
      </c>
      <c r="F1447" t="s">
        <v>35</v>
      </c>
      <c r="G1447" t="s">
        <v>35</v>
      </c>
      <c r="H1447" t="s">
        <v>35</v>
      </c>
      <c r="J1447" t="s">
        <v>1929</v>
      </c>
      <c r="K1447" t="s">
        <v>1092</v>
      </c>
      <c r="M1447">
        <v>5.5</v>
      </c>
      <c r="N1447">
        <v>72</v>
      </c>
      <c r="O1447" t="s">
        <v>61</v>
      </c>
      <c r="Q1447" t="s">
        <v>63</v>
      </c>
      <c r="R1447" t="s">
        <v>85</v>
      </c>
      <c r="S1447" t="s">
        <v>86</v>
      </c>
    </row>
    <row r="1448" spans="1:19" x14ac:dyDescent="0.25">
      <c r="A1448" t="s">
        <v>44</v>
      </c>
      <c r="B1448" t="s">
        <v>3</v>
      </c>
      <c r="C1448" t="s">
        <v>32</v>
      </c>
      <c r="D1448" t="s">
        <v>33</v>
      </c>
      <c r="E1448" t="s">
        <v>172</v>
      </c>
      <c r="F1448" t="s">
        <v>35</v>
      </c>
      <c r="G1448" t="s">
        <v>35</v>
      </c>
      <c r="H1448" t="s">
        <v>35</v>
      </c>
      <c r="J1448" t="s">
        <v>1929</v>
      </c>
      <c r="K1448" t="s">
        <v>1092</v>
      </c>
      <c r="M1448">
        <v>5</v>
      </c>
      <c r="N1448">
        <v>62</v>
      </c>
      <c r="O1448" t="s">
        <v>61</v>
      </c>
      <c r="Q1448" t="s">
        <v>90</v>
      </c>
      <c r="R1448" t="s">
        <v>85</v>
      </c>
      <c r="S1448" t="s">
        <v>86</v>
      </c>
    </row>
    <row r="1449" spans="1:19" x14ac:dyDescent="0.25">
      <c r="A1449" t="s">
        <v>59</v>
      </c>
      <c r="B1449" t="s">
        <v>60</v>
      </c>
      <c r="C1449" t="s">
        <v>32</v>
      </c>
      <c r="D1449" t="s">
        <v>33</v>
      </c>
      <c r="E1449" t="s">
        <v>172</v>
      </c>
      <c r="F1449" t="s">
        <v>35</v>
      </c>
      <c r="G1449" t="s">
        <v>35</v>
      </c>
      <c r="H1449" t="s">
        <v>35</v>
      </c>
      <c r="J1449" t="s">
        <v>1929</v>
      </c>
      <c r="K1449" t="s">
        <v>1092</v>
      </c>
      <c r="M1449">
        <v>0.6</v>
      </c>
      <c r="N1449">
        <v>100</v>
      </c>
      <c r="O1449" t="s">
        <v>106</v>
      </c>
      <c r="Q1449" t="s">
        <v>1112</v>
      </c>
      <c r="R1449" t="s">
        <v>85</v>
      </c>
      <c r="S1449" t="s">
        <v>86</v>
      </c>
    </row>
    <row r="1450" spans="1:19" x14ac:dyDescent="0.25">
      <c r="A1450" t="s">
        <v>44</v>
      </c>
      <c r="B1450" t="s">
        <v>51</v>
      </c>
      <c r="C1450" t="s">
        <v>32</v>
      </c>
      <c r="D1450" t="s">
        <v>33</v>
      </c>
      <c r="E1450" t="s">
        <v>172</v>
      </c>
      <c r="F1450" t="s">
        <v>35</v>
      </c>
      <c r="G1450" t="s">
        <v>35</v>
      </c>
      <c r="H1450" t="s">
        <v>35</v>
      </c>
      <c r="J1450" t="s">
        <v>1929</v>
      </c>
      <c r="K1450" t="s">
        <v>1092</v>
      </c>
      <c r="M1450">
        <v>4.75</v>
      </c>
      <c r="N1450">
        <v>28</v>
      </c>
      <c r="O1450" t="s">
        <v>46</v>
      </c>
      <c r="Q1450" t="s">
        <v>176</v>
      </c>
      <c r="R1450" t="s">
        <v>85</v>
      </c>
      <c r="S1450" t="s">
        <v>86</v>
      </c>
    </row>
    <row r="1451" spans="1:19" x14ac:dyDescent="0.25">
      <c r="A1451" t="s">
        <v>30</v>
      </c>
      <c r="B1451" t="s">
        <v>31</v>
      </c>
      <c r="C1451" t="s">
        <v>32</v>
      </c>
      <c r="D1451" t="s">
        <v>33</v>
      </c>
      <c r="E1451" t="s">
        <v>172</v>
      </c>
      <c r="F1451" t="s">
        <v>35</v>
      </c>
      <c r="G1451" t="s">
        <v>35</v>
      </c>
      <c r="H1451" t="s">
        <v>35</v>
      </c>
      <c r="J1451" t="s">
        <v>1930</v>
      </c>
      <c r="K1451" t="s">
        <v>1092</v>
      </c>
      <c r="M1451">
        <v>0.13500000000000001</v>
      </c>
      <c r="N1451">
        <v>344</v>
      </c>
      <c r="O1451" t="s">
        <v>5</v>
      </c>
      <c r="Q1451" t="s">
        <v>1859</v>
      </c>
      <c r="R1451" t="s">
        <v>1664</v>
      </c>
      <c r="S1451" t="s">
        <v>1665</v>
      </c>
    </row>
    <row r="1452" spans="1:19" x14ac:dyDescent="0.25">
      <c r="A1452" t="s">
        <v>59</v>
      </c>
      <c r="B1452" t="s">
        <v>31</v>
      </c>
      <c r="C1452" t="s">
        <v>32</v>
      </c>
      <c r="D1452" t="s">
        <v>33</v>
      </c>
      <c r="E1452" t="s">
        <v>172</v>
      </c>
      <c r="F1452" t="s">
        <v>35</v>
      </c>
      <c r="G1452" t="s">
        <v>35</v>
      </c>
      <c r="H1452" t="s">
        <v>35</v>
      </c>
      <c r="J1452" t="s">
        <v>1930</v>
      </c>
      <c r="K1452" t="s">
        <v>1092</v>
      </c>
      <c r="M1452">
        <v>0.67500000000000004</v>
      </c>
      <c r="N1452">
        <v>159</v>
      </c>
      <c r="O1452" t="s">
        <v>38</v>
      </c>
      <c r="Q1452" t="s">
        <v>40</v>
      </c>
      <c r="R1452" t="s">
        <v>193</v>
      </c>
      <c r="S1452" t="s">
        <v>181</v>
      </c>
    </row>
    <row r="1453" spans="1:19" x14ac:dyDescent="0.25">
      <c r="A1453" t="s">
        <v>30</v>
      </c>
      <c r="B1453" t="s">
        <v>31</v>
      </c>
      <c r="C1453" t="s">
        <v>32</v>
      </c>
      <c r="D1453" t="s">
        <v>33</v>
      </c>
      <c r="E1453" t="s">
        <v>172</v>
      </c>
      <c r="F1453" t="s">
        <v>35</v>
      </c>
      <c r="G1453" t="s">
        <v>35</v>
      </c>
      <c r="H1453" t="s">
        <v>35</v>
      </c>
      <c r="J1453" t="s">
        <v>1930</v>
      </c>
      <c r="K1453" t="s">
        <v>1092</v>
      </c>
      <c r="M1453">
        <v>0.495</v>
      </c>
      <c r="N1453">
        <v>159</v>
      </c>
      <c r="O1453" t="s">
        <v>38</v>
      </c>
      <c r="Q1453" t="s">
        <v>40</v>
      </c>
      <c r="R1453" t="s">
        <v>193</v>
      </c>
      <c r="S1453" t="s">
        <v>181</v>
      </c>
    </row>
    <row r="1454" spans="1:19" x14ac:dyDescent="0.25">
      <c r="A1454" t="s">
        <v>59</v>
      </c>
      <c r="B1454" t="s">
        <v>60</v>
      </c>
      <c r="C1454" t="s">
        <v>32</v>
      </c>
      <c r="D1454" t="s">
        <v>33</v>
      </c>
      <c r="E1454" t="s">
        <v>172</v>
      </c>
      <c r="F1454" t="s">
        <v>35</v>
      </c>
      <c r="G1454" t="s">
        <v>35</v>
      </c>
      <c r="H1454" t="s">
        <v>35</v>
      </c>
      <c r="J1454" t="s">
        <v>1930</v>
      </c>
      <c r="K1454" t="s">
        <v>1092</v>
      </c>
      <c r="M1454">
        <v>0.75</v>
      </c>
      <c r="N1454">
        <v>159</v>
      </c>
      <c r="O1454" t="s">
        <v>38</v>
      </c>
      <c r="Q1454" t="s">
        <v>40</v>
      </c>
      <c r="R1454" t="s">
        <v>193</v>
      </c>
      <c r="S1454" t="s">
        <v>181</v>
      </c>
    </row>
    <row r="1455" spans="1:19" x14ac:dyDescent="0.25">
      <c r="A1455" t="s">
        <v>44</v>
      </c>
      <c r="B1455" t="s">
        <v>3</v>
      </c>
      <c r="C1455" t="s">
        <v>32</v>
      </c>
      <c r="D1455" t="s">
        <v>33</v>
      </c>
      <c r="E1455" t="s">
        <v>172</v>
      </c>
      <c r="F1455" t="s">
        <v>35</v>
      </c>
      <c r="G1455" t="s">
        <v>35</v>
      </c>
      <c r="H1455" t="s">
        <v>35</v>
      </c>
      <c r="J1455" t="s">
        <v>1931</v>
      </c>
      <c r="K1455" t="s">
        <v>1092</v>
      </c>
      <c r="M1455">
        <v>1</v>
      </c>
      <c r="N1455">
        <v>62</v>
      </c>
      <c r="O1455" t="s">
        <v>61</v>
      </c>
      <c r="Q1455" t="s">
        <v>90</v>
      </c>
      <c r="R1455" t="s">
        <v>1932</v>
      </c>
      <c r="S1455" t="s">
        <v>1915</v>
      </c>
    </row>
    <row r="1456" spans="1:19" x14ac:dyDescent="0.25">
      <c r="A1456" t="s">
        <v>30</v>
      </c>
      <c r="B1456" t="s">
        <v>31</v>
      </c>
      <c r="C1456" t="s">
        <v>32</v>
      </c>
      <c r="D1456" t="s">
        <v>33</v>
      </c>
      <c r="E1456" t="s">
        <v>172</v>
      </c>
      <c r="F1456" t="s">
        <v>35</v>
      </c>
      <c r="G1456" t="s">
        <v>35</v>
      </c>
      <c r="H1456" t="s">
        <v>35</v>
      </c>
      <c r="J1456" t="s">
        <v>1931</v>
      </c>
      <c r="K1456" t="s">
        <v>1092</v>
      </c>
      <c r="M1456">
        <v>3.375</v>
      </c>
      <c r="N1456">
        <v>17</v>
      </c>
      <c r="O1456" t="s">
        <v>46</v>
      </c>
      <c r="Q1456" t="s">
        <v>1302</v>
      </c>
      <c r="R1456" t="s">
        <v>169</v>
      </c>
      <c r="S1456" t="s">
        <v>123</v>
      </c>
    </row>
    <row r="1457" spans="1:19" x14ac:dyDescent="0.25">
      <c r="A1457" t="s">
        <v>59</v>
      </c>
      <c r="B1457" t="s">
        <v>60</v>
      </c>
      <c r="C1457" t="s">
        <v>32</v>
      </c>
      <c r="D1457" t="s">
        <v>33</v>
      </c>
      <c r="E1457" t="s">
        <v>172</v>
      </c>
      <c r="F1457" t="s">
        <v>35</v>
      </c>
      <c r="G1457" t="s">
        <v>35</v>
      </c>
      <c r="H1457" t="s">
        <v>35</v>
      </c>
      <c r="J1457" t="s">
        <v>1933</v>
      </c>
      <c r="K1457" t="s">
        <v>1092</v>
      </c>
      <c r="M1457">
        <v>1.45</v>
      </c>
      <c r="N1457">
        <v>73</v>
      </c>
      <c r="O1457" t="s">
        <v>61</v>
      </c>
      <c r="Q1457" t="s">
        <v>552</v>
      </c>
      <c r="R1457" t="s">
        <v>85</v>
      </c>
      <c r="S1457" t="s">
        <v>86</v>
      </c>
    </row>
    <row r="1458" spans="1:19" x14ac:dyDescent="0.25">
      <c r="A1458" t="s">
        <v>44</v>
      </c>
      <c r="B1458" t="s">
        <v>3</v>
      </c>
      <c r="C1458" t="s">
        <v>32</v>
      </c>
      <c r="D1458" t="s">
        <v>33</v>
      </c>
      <c r="E1458" t="s">
        <v>172</v>
      </c>
      <c r="F1458" t="s">
        <v>35</v>
      </c>
      <c r="G1458" t="s">
        <v>35</v>
      </c>
      <c r="H1458" t="s">
        <v>35</v>
      </c>
      <c r="J1458" t="s">
        <v>1933</v>
      </c>
      <c r="K1458" t="s">
        <v>1092</v>
      </c>
      <c r="M1458">
        <v>2.65</v>
      </c>
      <c r="N1458">
        <v>59</v>
      </c>
      <c r="O1458" t="s">
        <v>52</v>
      </c>
      <c r="Q1458" t="s">
        <v>84</v>
      </c>
      <c r="R1458" t="s">
        <v>85</v>
      </c>
      <c r="S1458" t="s">
        <v>86</v>
      </c>
    </row>
    <row r="1459" spans="1:19" x14ac:dyDescent="0.25">
      <c r="A1459" t="s">
        <v>30</v>
      </c>
      <c r="B1459" t="s">
        <v>31</v>
      </c>
      <c r="C1459" t="s">
        <v>32</v>
      </c>
      <c r="D1459" t="s">
        <v>33</v>
      </c>
      <c r="E1459" t="s">
        <v>172</v>
      </c>
      <c r="F1459" t="s">
        <v>35</v>
      </c>
      <c r="G1459" t="s">
        <v>35</v>
      </c>
      <c r="H1459" t="s">
        <v>35</v>
      </c>
      <c r="J1459" t="s">
        <v>1933</v>
      </c>
      <c r="K1459" t="s">
        <v>1092</v>
      </c>
      <c r="M1459">
        <v>5.31</v>
      </c>
      <c r="N1459">
        <v>46</v>
      </c>
      <c r="O1459" t="s">
        <v>52</v>
      </c>
      <c r="Q1459" t="s">
        <v>493</v>
      </c>
      <c r="R1459" t="s">
        <v>85</v>
      </c>
      <c r="S1459" t="s">
        <v>86</v>
      </c>
    </row>
    <row r="1460" spans="1:19" x14ac:dyDescent="0.25">
      <c r="A1460" t="s">
        <v>44</v>
      </c>
      <c r="B1460" t="s">
        <v>51</v>
      </c>
      <c r="C1460" t="s">
        <v>32</v>
      </c>
      <c r="D1460" t="s">
        <v>33</v>
      </c>
      <c r="E1460" t="s">
        <v>172</v>
      </c>
      <c r="F1460" t="s">
        <v>35</v>
      </c>
      <c r="G1460" t="s">
        <v>35</v>
      </c>
      <c r="H1460" t="s">
        <v>35</v>
      </c>
      <c r="J1460" t="s">
        <v>1933</v>
      </c>
      <c r="K1460" t="s">
        <v>1092</v>
      </c>
      <c r="M1460">
        <v>3.95</v>
      </c>
      <c r="N1460">
        <v>28</v>
      </c>
      <c r="O1460" t="s">
        <v>46</v>
      </c>
      <c r="Q1460" t="s">
        <v>176</v>
      </c>
      <c r="R1460" t="s">
        <v>85</v>
      </c>
      <c r="S1460" t="s">
        <v>86</v>
      </c>
    </row>
    <row r="1461" spans="1:19" x14ac:dyDescent="0.25">
      <c r="A1461" t="s">
        <v>59</v>
      </c>
      <c r="B1461" t="s">
        <v>60</v>
      </c>
      <c r="C1461" t="s">
        <v>32</v>
      </c>
      <c r="D1461" t="s">
        <v>33</v>
      </c>
      <c r="E1461" t="s">
        <v>172</v>
      </c>
      <c r="F1461" t="s">
        <v>35</v>
      </c>
      <c r="G1461" t="s">
        <v>35</v>
      </c>
      <c r="H1461" t="s">
        <v>35</v>
      </c>
      <c r="J1461" t="s">
        <v>1934</v>
      </c>
      <c r="K1461" t="s">
        <v>1092</v>
      </c>
      <c r="M1461">
        <v>0.27</v>
      </c>
      <c r="N1461">
        <v>433</v>
      </c>
      <c r="O1461" t="s">
        <v>294</v>
      </c>
      <c r="Q1461" t="s">
        <v>1935</v>
      </c>
      <c r="R1461" t="s">
        <v>1664</v>
      </c>
      <c r="S1461" t="s">
        <v>1665</v>
      </c>
    </row>
    <row r="1462" spans="1:19" x14ac:dyDescent="0.25">
      <c r="A1462" t="s">
        <v>59</v>
      </c>
      <c r="B1462" t="s">
        <v>60</v>
      </c>
      <c r="C1462" t="s">
        <v>32</v>
      </c>
      <c r="D1462" t="s">
        <v>33</v>
      </c>
      <c r="E1462" t="s">
        <v>172</v>
      </c>
      <c r="F1462" t="s">
        <v>35</v>
      </c>
      <c r="G1462" t="s">
        <v>35</v>
      </c>
      <c r="H1462" t="s">
        <v>35</v>
      </c>
      <c r="J1462" t="s">
        <v>1936</v>
      </c>
      <c r="K1462" t="s">
        <v>1092</v>
      </c>
      <c r="M1462">
        <v>2.2000000000000002</v>
      </c>
      <c r="N1462">
        <v>246</v>
      </c>
      <c r="O1462" t="s">
        <v>5</v>
      </c>
      <c r="Q1462" t="s">
        <v>1903</v>
      </c>
      <c r="R1462" t="s">
        <v>103</v>
      </c>
      <c r="S1462" t="s">
        <v>104</v>
      </c>
    </row>
    <row r="1463" spans="1:19" x14ac:dyDescent="0.25">
      <c r="A1463" t="s">
        <v>30</v>
      </c>
      <c r="B1463" t="s">
        <v>31</v>
      </c>
      <c r="C1463" t="s">
        <v>32</v>
      </c>
      <c r="D1463" t="s">
        <v>33</v>
      </c>
      <c r="E1463" t="s">
        <v>172</v>
      </c>
      <c r="F1463" t="s">
        <v>35</v>
      </c>
      <c r="G1463" t="s">
        <v>35</v>
      </c>
      <c r="H1463" t="s">
        <v>35</v>
      </c>
      <c r="J1463" t="s">
        <v>1937</v>
      </c>
      <c r="K1463" t="s">
        <v>1092</v>
      </c>
      <c r="M1463">
        <v>1.8</v>
      </c>
      <c r="N1463">
        <v>47</v>
      </c>
      <c r="O1463" t="s">
        <v>52</v>
      </c>
      <c r="Q1463" t="s">
        <v>132</v>
      </c>
      <c r="R1463" t="s">
        <v>103</v>
      </c>
      <c r="S1463" t="s">
        <v>104</v>
      </c>
    </row>
    <row r="1464" spans="1:19" x14ac:dyDescent="0.25">
      <c r="A1464" t="s">
        <v>44</v>
      </c>
      <c r="B1464" t="s">
        <v>51</v>
      </c>
      <c r="C1464" t="s">
        <v>32</v>
      </c>
      <c r="D1464" t="s">
        <v>33</v>
      </c>
      <c r="E1464" t="s">
        <v>172</v>
      </c>
      <c r="F1464" t="s">
        <v>35</v>
      </c>
      <c r="G1464" t="s">
        <v>35</v>
      </c>
      <c r="H1464" t="s">
        <v>35</v>
      </c>
      <c r="J1464" t="s">
        <v>1939</v>
      </c>
      <c r="K1464" t="s">
        <v>1092</v>
      </c>
      <c r="M1464">
        <v>1</v>
      </c>
      <c r="N1464">
        <v>28</v>
      </c>
      <c r="O1464" t="s">
        <v>46</v>
      </c>
      <c r="Q1464" t="s">
        <v>176</v>
      </c>
      <c r="R1464" t="s">
        <v>85</v>
      </c>
      <c r="S1464" t="s">
        <v>86</v>
      </c>
    </row>
    <row r="1465" spans="1:19" x14ac:dyDescent="0.25">
      <c r="A1465" t="s">
        <v>30</v>
      </c>
      <c r="B1465" t="s">
        <v>31</v>
      </c>
      <c r="C1465" t="s">
        <v>32</v>
      </c>
      <c r="D1465" t="s">
        <v>33</v>
      </c>
      <c r="E1465" t="s">
        <v>172</v>
      </c>
      <c r="F1465" t="s">
        <v>35</v>
      </c>
      <c r="G1465" t="s">
        <v>35</v>
      </c>
      <c r="H1465" t="s">
        <v>35</v>
      </c>
      <c r="J1465" t="s">
        <v>1939</v>
      </c>
      <c r="K1465" t="s">
        <v>1092</v>
      </c>
      <c r="M1465">
        <v>4.7249999999999996</v>
      </c>
      <c r="N1465">
        <v>76</v>
      </c>
      <c r="O1465" t="s">
        <v>61</v>
      </c>
      <c r="Q1465" t="s">
        <v>234</v>
      </c>
      <c r="R1465" t="s">
        <v>85</v>
      </c>
      <c r="S1465" t="s">
        <v>86</v>
      </c>
    </row>
    <row r="1466" spans="1:19" x14ac:dyDescent="0.25">
      <c r="A1466" t="s">
        <v>30</v>
      </c>
      <c r="B1466" t="s">
        <v>31</v>
      </c>
      <c r="C1466" t="s">
        <v>32</v>
      </c>
      <c r="D1466" t="s">
        <v>33</v>
      </c>
      <c r="E1466" t="s">
        <v>172</v>
      </c>
      <c r="F1466" t="s">
        <v>35</v>
      </c>
      <c r="G1466" t="s">
        <v>35</v>
      </c>
      <c r="H1466" t="s">
        <v>35</v>
      </c>
      <c r="J1466" t="s">
        <v>1939</v>
      </c>
      <c r="K1466" t="s">
        <v>1092</v>
      </c>
      <c r="M1466">
        <v>9.99</v>
      </c>
      <c r="N1466">
        <v>20</v>
      </c>
      <c r="O1466" t="s">
        <v>46</v>
      </c>
      <c r="Q1466" t="s">
        <v>1004</v>
      </c>
      <c r="R1466" t="s">
        <v>85</v>
      </c>
      <c r="S1466" t="s">
        <v>86</v>
      </c>
    </row>
    <row r="1467" spans="1:19" x14ac:dyDescent="0.25">
      <c r="A1467" t="s">
        <v>44</v>
      </c>
      <c r="B1467" t="s">
        <v>3</v>
      </c>
      <c r="C1467" t="s">
        <v>32</v>
      </c>
      <c r="D1467" t="s">
        <v>33</v>
      </c>
      <c r="E1467" t="s">
        <v>172</v>
      </c>
      <c r="F1467" t="s">
        <v>35</v>
      </c>
      <c r="G1467" t="s">
        <v>35</v>
      </c>
      <c r="H1467" t="s">
        <v>35</v>
      </c>
      <c r="J1467" t="s">
        <v>1940</v>
      </c>
      <c r="K1467" t="s">
        <v>1092</v>
      </c>
      <c r="M1467">
        <v>1.5</v>
      </c>
      <c r="N1467">
        <v>47</v>
      </c>
      <c r="O1467" t="s">
        <v>52</v>
      </c>
      <c r="Q1467" t="s">
        <v>132</v>
      </c>
      <c r="R1467" t="s">
        <v>1932</v>
      </c>
      <c r="S1467" t="s">
        <v>1915</v>
      </c>
    </row>
    <row r="1468" spans="1:19" x14ac:dyDescent="0.25">
      <c r="A1468" t="s">
        <v>59</v>
      </c>
      <c r="B1468" t="s">
        <v>60</v>
      </c>
      <c r="C1468" t="s">
        <v>32</v>
      </c>
      <c r="D1468" t="s">
        <v>33</v>
      </c>
      <c r="E1468" t="s">
        <v>172</v>
      </c>
      <c r="F1468" t="s">
        <v>35</v>
      </c>
      <c r="G1468" t="s">
        <v>35</v>
      </c>
      <c r="H1468" t="s">
        <v>35</v>
      </c>
      <c r="J1468" t="s">
        <v>1941</v>
      </c>
      <c r="K1468" t="s">
        <v>1092</v>
      </c>
      <c r="M1468">
        <v>0.59499999999999997</v>
      </c>
      <c r="N1468">
        <v>289</v>
      </c>
      <c r="O1468" t="s">
        <v>5</v>
      </c>
      <c r="Q1468" t="s">
        <v>1172</v>
      </c>
      <c r="R1468" t="s">
        <v>169</v>
      </c>
      <c r="S1468" t="s">
        <v>123</v>
      </c>
    </row>
    <row r="1469" spans="1:19" x14ac:dyDescent="0.25">
      <c r="A1469" t="s">
        <v>59</v>
      </c>
      <c r="B1469" t="s">
        <v>31</v>
      </c>
      <c r="C1469" t="s">
        <v>32</v>
      </c>
      <c r="D1469" t="s">
        <v>33</v>
      </c>
      <c r="E1469" t="s">
        <v>172</v>
      </c>
      <c r="F1469" t="s">
        <v>35</v>
      </c>
      <c r="G1469" t="s">
        <v>35</v>
      </c>
      <c r="H1469" t="s">
        <v>35</v>
      </c>
      <c r="J1469" t="s">
        <v>1942</v>
      </c>
      <c r="K1469" t="s">
        <v>1092</v>
      </c>
      <c r="M1469">
        <v>8.9550000000000001</v>
      </c>
      <c r="N1469">
        <v>70</v>
      </c>
      <c r="O1469" t="s">
        <v>61</v>
      </c>
      <c r="Q1469" t="s">
        <v>126</v>
      </c>
      <c r="R1469" t="s">
        <v>1279</v>
      </c>
      <c r="S1469" t="s">
        <v>163</v>
      </c>
    </row>
    <row r="1470" spans="1:19" x14ac:dyDescent="0.25">
      <c r="A1470" t="s">
        <v>59</v>
      </c>
      <c r="B1470" t="s">
        <v>60</v>
      </c>
      <c r="C1470" t="s">
        <v>32</v>
      </c>
      <c r="D1470" t="s">
        <v>33</v>
      </c>
      <c r="E1470" t="s">
        <v>172</v>
      </c>
      <c r="F1470" t="s">
        <v>35</v>
      </c>
      <c r="G1470" t="s">
        <v>35</v>
      </c>
      <c r="H1470" t="s">
        <v>35</v>
      </c>
      <c r="J1470" t="s">
        <v>1942</v>
      </c>
      <c r="K1470" t="s">
        <v>1092</v>
      </c>
      <c r="M1470">
        <v>3</v>
      </c>
      <c r="N1470">
        <v>70</v>
      </c>
      <c r="O1470" t="s">
        <v>61</v>
      </c>
      <c r="Q1470" t="s">
        <v>126</v>
      </c>
      <c r="R1470" t="s">
        <v>1279</v>
      </c>
      <c r="S1470" t="s">
        <v>163</v>
      </c>
    </row>
    <row r="1471" spans="1:19" x14ac:dyDescent="0.25">
      <c r="A1471" t="s">
        <v>59</v>
      </c>
      <c r="B1471" t="s">
        <v>60</v>
      </c>
      <c r="C1471" t="s">
        <v>32</v>
      </c>
      <c r="D1471" t="s">
        <v>33</v>
      </c>
      <c r="E1471" t="s">
        <v>172</v>
      </c>
      <c r="F1471" t="s">
        <v>35</v>
      </c>
      <c r="G1471" t="s">
        <v>35</v>
      </c>
      <c r="H1471" t="s">
        <v>35</v>
      </c>
      <c r="J1471" t="s">
        <v>1943</v>
      </c>
      <c r="K1471" t="s">
        <v>1092</v>
      </c>
      <c r="M1471">
        <v>4.9349999999999996</v>
      </c>
      <c r="N1471">
        <v>97</v>
      </c>
      <c r="O1471" t="s">
        <v>106</v>
      </c>
      <c r="Q1471" t="s">
        <v>557</v>
      </c>
      <c r="R1471" t="s">
        <v>103</v>
      </c>
      <c r="S1471" t="s">
        <v>104</v>
      </c>
    </row>
    <row r="1472" spans="1:19" x14ac:dyDescent="0.25">
      <c r="A1472" t="s">
        <v>30</v>
      </c>
      <c r="B1472" t="s">
        <v>31</v>
      </c>
      <c r="C1472" t="s">
        <v>32</v>
      </c>
      <c r="D1472" t="s">
        <v>33</v>
      </c>
      <c r="E1472" t="s">
        <v>172</v>
      </c>
      <c r="F1472" t="s">
        <v>35</v>
      </c>
      <c r="G1472" t="s">
        <v>35</v>
      </c>
      <c r="H1472" t="s">
        <v>35</v>
      </c>
      <c r="J1472" t="s">
        <v>1943</v>
      </c>
      <c r="K1472" t="s">
        <v>1092</v>
      </c>
      <c r="M1472">
        <v>8.82</v>
      </c>
      <c r="N1472">
        <v>46</v>
      </c>
      <c r="O1472" t="s">
        <v>52</v>
      </c>
      <c r="Q1472" t="s">
        <v>493</v>
      </c>
      <c r="R1472" t="s">
        <v>85</v>
      </c>
      <c r="S1472" t="s">
        <v>86</v>
      </c>
    </row>
    <row r="1473" spans="1:19" x14ac:dyDescent="0.25">
      <c r="A1473" t="s">
        <v>44</v>
      </c>
      <c r="B1473" t="s">
        <v>3</v>
      </c>
      <c r="C1473" t="s">
        <v>32</v>
      </c>
      <c r="D1473" t="s">
        <v>33</v>
      </c>
      <c r="E1473" t="s">
        <v>172</v>
      </c>
      <c r="F1473" t="s">
        <v>35</v>
      </c>
      <c r="G1473" t="s">
        <v>35</v>
      </c>
      <c r="H1473" t="s">
        <v>35</v>
      </c>
      <c r="J1473" t="s">
        <v>1943</v>
      </c>
      <c r="K1473" t="s">
        <v>1092</v>
      </c>
      <c r="M1473">
        <v>2.25</v>
      </c>
      <c r="N1473">
        <v>15</v>
      </c>
      <c r="O1473" t="s">
        <v>46</v>
      </c>
      <c r="Q1473" t="s">
        <v>1944</v>
      </c>
      <c r="R1473" t="s">
        <v>1467</v>
      </c>
      <c r="S1473" t="s">
        <v>1468</v>
      </c>
    </row>
    <row r="1474" spans="1:19" x14ac:dyDescent="0.25">
      <c r="A1474" t="s">
        <v>44</v>
      </c>
      <c r="B1474" t="s">
        <v>51</v>
      </c>
      <c r="C1474" t="s">
        <v>32</v>
      </c>
      <c r="D1474" t="s">
        <v>33</v>
      </c>
      <c r="E1474" t="s">
        <v>172</v>
      </c>
      <c r="F1474" t="s">
        <v>35</v>
      </c>
      <c r="G1474" t="s">
        <v>35</v>
      </c>
      <c r="H1474" t="s">
        <v>35</v>
      </c>
      <c r="J1474" t="s">
        <v>1943</v>
      </c>
      <c r="K1474" t="s">
        <v>1092</v>
      </c>
      <c r="M1474">
        <v>5.45</v>
      </c>
      <c r="N1474">
        <v>28</v>
      </c>
      <c r="O1474" t="s">
        <v>46</v>
      </c>
      <c r="Q1474" t="s">
        <v>176</v>
      </c>
      <c r="R1474" t="s">
        <v>85</v>
      </c>
      <c r="S1474" t="s">
        <v>86</v>
      </c>
    </row>
    <row r="1475" spans="1:19" x14ac:dyDescent="0.25">
      <c r="A1475" t="s">
        <v>30</v>
      </c>
      <c r="B1475" t="s">
        <v>31</v>
      </c>
      <c r="C1475" t="s">
        <v>32</v>
      </c>
      <c r="D1475" t="s">
        <v>33</v>
      </c>
      <c r="E1475" t="s">
        <v>172</v>
      </c>
      <c r="F1475" t="s">
        <v>35</v>
      </c>
      <c r="G1475" t="s">
        <v>35</v>
      </c>
      <c r="H1475" t="s">
        <v>35</v>
      </c>
      <c r="J1475" t="s">
        <v>1946</v>
      </c>
      <c r="K1475" t="s">
        <v>1092</v>
      </c>
      <c r="M1475">
        <v>3.24</v>
      </c>
      <c r="N1475">
        <v>17</v>
      </c>
      <c r="O1475" t="s">
        <v>46</v>
      </c>
      <c r="Q1475" t="s">
        <v>1302</v>
      </c>
      <c r="R1475" t="s">
        <v>169</v>
      </c>
      <c r="S1475" t="s">
        <v>123</v>
      </c>
    </row>
    <row r="1476" spans="1:19" x14ac:dyDescent="0.25">
      <c r="A1476" t="s">
        <v>30</v>
      </c>
      <c r="B1476" t="s">
        <v>31</v>
      </c>
      <c r="C1476" t="s">
        <v>32</v>
      </c>
      <c r="D1476" t="s">
        <v>33</v>
      </c>
      <c r="E1476" t="s">
        <v>172</v>
      </c>
      <c r="F1476" t="s">
        <v>35</v>
      </c>
      <c r="G1476" t="s">
        <v>35</v>
      </c>
      <c r="H1476" t="s">
        <v>35</v>
      </c>
      <c r="J1476" t="s">
        <v>1947</v>
      </c>
      <c r="K1476" t="s">
        <v>1092</v>
      </c>
      <c r="M1476">
        <v>2.835</v>
      </c>
      <c r="N1476">
        <v>17</v>
      </c>
      <c r="O1476" t="s">
        <v>46</v>
      </c>
      <c r="Q1476" t="s">
        <v>1302</v>
      </c>
      <c r="R1476" t="s">
        <v>169</v>
      </c>
      <c r="S1476" t="s">
        <v>123</v>
      </c>
    </row>
    <row r="1477" spans="1:19" x14ac:dyDescent="0.25">
      <c r="A1477" t="s">
        <v>59</v>
      </c>
      <c r="B1477" t="s">
        <v>31</v>
      </c>
      <c r="C1477" t="s">
        <v>32</v>
      </c>
      <c r="D1477" t="s">
        <v>33</v>
      </c>
      <c r="E1477" t="s">
        <v>172</v>
      </c>
      <c r="F1477" t="s">
        <v>35</v>
      </c>
      <c r="G1477" t="s">
        <v>35</v>
      </c>
      <c r="H1477" t="s">
        <v>35</v>
      </c>
      <c r="J1477" t="s">
        <v>1947</v>
      </c>
      <c r="K1477" t="s">
        <v>1092</v>
      </c>
      <c r="M1477">
        <v>0.67500000000000004</v>
      </c>
      <c r="N1477">
        <v>100</v>
      </c>
      <c r="O1477" t="s">
        <v>106</v>
      </c>
      <c r="Q1477" t="s">
        <v>1112</v>
      </c>
      <c r="R1477" t="s">
        <v>85</v>
      </c>
      <c r="S1477" t="s">
        <v>86</v>
      </c>
    </row>
    <row r="1478" spans="1:19" x14ac:dyDescent="0.25">
      <c r="A1478" t="s">
        <v>59</v>
      </c>
      <c r="B1478" t="s">
        <v>31</v>
      </c>
      <c r="C1478" t="s">
        <v>32</v>
      </c>
      <c r="D1478" t="s">
        <v>33</v>
      </c>
      <c r="E1478" t="s">
        <v>172</v>
      </c>
      <c r="F1478" t="s">
        <v>35</v>
      </c>
      <c r="G1478" t="s">
        <v>35</v>
      </c>
      <c r="H1478" t="s">
        <v>35</v>
      </c>
      <c r="J1478" t="s">
        <v>1948</v>
      </c>
      <c r="K1478" t="s">
        <v>1092</v>
      </c>
      <c r="M1478">
        <v>0.03</v>
      </c>
      <c r="N1478">
        <v>257</v>
      </c>
      <c r="O1478" t="s">
        <v>5</v>
      </c>
      <c r="Q1478" t="s">
        <v>1286</v>
      </c>
      <c r="R1478" t="s">
        <v>1258</v>
      </c>
      <c r="S1478" t="s">
        <v>194</v>
      </c>
    </row>
    <row r="1479" spans="1:19" x14ac:dyDescent="0.25">
      <c r="A1479" t="s">
        <v>59</v>
      </c>
      <c r="B1479" t="s">
        <v>60</v>
      </c>
      <c r="C1479" t="s">
        <v>32</v>
      </c>
      <c r="D1479" t="s">
        <v>33</v>
      </c>
      <c r="E1479" t="s">
        <v>172</v>
      </c>
      <c r="F1479" t="s">
        <v>35</v>
      </c>
      <c r="G1479" t="s">
        <v>35</v>
      </c>
      <c r="H1479" t="s">
        <v>35</v>
      </c>
      <c r="J1479" t="s">
        <v>1949</v>
      </c>
      <c r="K1479" t="s">
        <v>1092</v>
      </c>
      <c r="M1479">
        <v>0.25</v>
      </c>
      <c r="N1479">
        <v>95</v>
      </c>
      <c r="O1479" t="s">
        <v>106</v>
      </c>
      <c r="Q1479" t="s">
        <v>724</v>
      </c>
      <c r="R1479" t="s">
        <v>147</v>
      </c>
      <c r="S1479" t="s">
        <v>148</v>
      </c>
    </row>
    <row r="1480" spans="1:19" x14ac:dyDescent="0.25">
      <c r="A1480" t="s">
        <v>30</v>
      </c>
      <c r="B1480" t="s">
        <v>31</v>
      </c>
      <c r="C1480" t="s">
        <v>32</v>
      </c>
      <c r="D1480" t="s">
        <v>33</v>
      </c>
      <c r="E1480" t="s">
        <v>172</v>
      </c>
      <c r="F1480" t="s">
        <v>35</v>
      </c>
      <c r="G1480" t="s">
        <v>35</v>
      </c>
      <c r="H1480" t="s">
        <v>35</v>
      </c>
      <c r="J1480" t="s">
        <v>1949</v>
      </c>
      <c r="K1480" t="s">
        <v>1092</v>
      </c>
      <c r="M1480">
        <v>0.9</v>
      </c>
      <c r="N1480">
        <v>18</v>
      </c>
      <c r="O1480" t="s">
        <v>46</v>
      </c>
      <c r="Q1480" t="s">
        <v>1476</v>
      </c>
      <c r="R1480" t="s">
        <v>147</v>
      </c>
      <c r="S1480" t="s">
        <v>148</v>
      </c>
    </row>
    <row r="1481" spans="1:19" x14ac:dyDescent="0.25">
      <c r="A1481" t="s">
        <v>44</v>
      </c>
      <c r="B1481" t="s">
        <v>51</v>
      </c>
      <c r="C1481" t="s">
        <v>32</v>
      </c>
      <c r="D1481" t="s">
        <v>33</v>
      </c>
      <c r="E1481" t="s">
        <v>172</v>
      </c>
      <c r="F1481" t="s">
        <v>35</v>
      </c>
      <c r="G1481" t="s">
        <v>35</v>
      </c>
      <c r="H1481" t="s">
        <v>35</v>
      </c>
      <c r="J1481" t="s">
        <v>1950</v>
      </c>
      <c r="K1481" t="s">
        <v>1092</v>
      </c>
      <c r="M1481">
        <v>0.14000000000000001</v>
      </c>
      <c r="N1481">
        <v>289</v>
      </c>
      <c r="O1481" t="s">
        <v>5</v>
      </c>
      <c r="Q1481" t="s">
        <v>1172</v>
      </c>
      <c r="R1481" t="s">
        <v>1726</v>
      </c>
      <c r="S1481" t="s">
        <v>149</v>
      </c>
    </row>
    <row r="1482" spans="1:19" x14ac:dyDescent="0.25">
      <c r="A1482" t="s">
        <v>59</v>
      </c>
      <c r="B1482" t="s">
        <v>31</v>
      </c>
      <c r="C1482" t="s">
        <v>32</v>
      </c>
      <c r="D1482" t="s">
        <v>33</v>
      </c>
      <c r="E1482" t="s">
        <v>172</v>
      </c>
      <c r="F1482" t="s">
        <v>35</v>
      </c>
      <c r="G1482" t="s">
        <v>35</v>
      </c>
      <c r="H1482" t="s">
        <v>35</v>
      </c>
      <c r="J1482" t="s">
        <v>1951</v>
      </c>
      <c r="K1482" t="s">
        <v>1092</v>
      </c>
      <c r="M1482">
        <v>0.18</v>
      </c>
      <c r="N1482">
        <v>231</v>
      </c>
      <c r="O1482" t="s">
        <v>5</v>
      </c>
      <c r="Q1482" t="s">
        <v>402</v>
      </c>
      <c r="R1482" t="s">
        <v>1700</v>
      </c>
      <c r="S1482" t="s">
        <v>174</v>
      </c>
    </row>
    <row r="1483" spans="1:19" x14ac:dyDescent="0.25">
      <c r="A1483" t="s">
        <v>59</v>
      </c>
      <c r="B1483" t="s">
        <v>60</v>
      </c>
      <c r="C1483" t="s">
        <v>32</v>
      </c>
      <c r="D1483" t="s">
        <v>33</v>
      </c>
      <c r="E1483" t="s">
        <v>172</v>
      </c>
      <c r="F1483" t="s">
        <v>35</v>
      </c>
      <c r="G1483" t="s">
        <v>35</v>
      </c>
      <c r="H1483" t="s">
        <v>35</v>
      </c>
      <c r="J1483" t="s">
        <v>1951</v>
      </c>
      <c r="K1483" t="s">
        <v>1092</v>
      </c>
      <c r="M1483">
        <v>0.4</v>
      </c>
      <c r="N1483">
        <v>276</v>
      </c>
      <c r="O1483" t="s">
        <v>5</v>
      </c>
      <c r="Q1483" t="s">
        <v>1952</v>
      </c>
      <c r="R1483" t="s">
        <v>1700</v>
      </c>
      <c r="S1483" t="s">
        <v>174</v>
      </c>
    </row>
    <row r="1484" spans="1:19" x14ac:dyDescent="0.25">
      <c r="A1484" t="s">
        <v>44</v>
      </c>
      <c r="B1484" t="s">
        <v>3</v>
      </c>
      <c r="C1484" t="s">
        <v>32</v>
      </c>
      <c r="D1484" t="s">
        <v>33</v>
      </c>
      <c r="E1484" t="s">
        <v>172</v>
      </c>
      <c r="F1484" t="s">
        <v>35</v>
      </c>
      <c r="G1484" t="s">
        <v>35</v>
      </c>
      <c r="H1484" t="s">
        <v>35</v>
      </c>
      <c r="J1484" t="s">
        <v>1953</v>
      </c>
      <c r="K1484" t="s">
        <v>1092</v>
      </c>
      <c r="M1484">
        <v>0.9</v>
      </c>
      <c r="N1484">
        <v>51</v>
      </c>
      <c r="O1484" t="s">
        <v>52</v>
      </c>
      <c r="Q1484" t="s">
        <v>54</v>
      </c>
      <c r="R1484" t="s">
        <v>193</v>
      </c>
      <c r="S1484" t="s">
        <v>181</v>
      </c>
    </row>
    <row r="1485" spans="1:19" x14ac:dyDescent="0.25">
      <c r="A1485" t="s">
        <v>59</v>
      </c>
      <c r="B1485" t="s">
        <v>31</v>
      </c>
      <c r="C1485" t="s">
        <v>32</v>
      </c>
      <c r="D1485" t="s">
        <v>33</v>
      </c>
      <c r="E1485" t="s">
        <v>172</v>
      </c>
      <c r="F1485" t="s">
        <v>35</v>
      </c>
      <c r="G1485" t="s">
        <v>35</v>
      </c>
      <c r="H1485" t="s">
        <v>35</v>
      </c>
      <c r="J1485" t="s">
        <v>1953</v>
      </c>
      <c r="K1485" t="s">
        <v>1092</v>
      </c>
      <c r="M1485">
        <v>5.22</v>
      </c>
      <c r="N1485">
        <v>72</v>
      </c>
      <c r="O1485" t="s">
        <v>61</v>
      </c>
      <c r="Q1485" t="s">
        <v>63</v>
      </c>
      <c r="R1485" t="s">
        <v>193</v>
      </c>
      <c r="S1485" t="s">
        <v>181</v>
      </c>
    </row>
    <row r="1486" spans="1:19" x14ac:dyDescent="0.25">
      <c r="A1486" t="s">
        <v>59</v>
      </c>
      <c r="B1486" t="s">
        <v>60</v>
      </c>
      <c r="C1486" t="s">
        <v>32</v>
      </c>
      <c r="D1486" t="s">
        <v>33</v>
      </c>
      <c r="E1486" t="s">
        <v>172</v>
      </c>
      <c r="F1486" t="s">
        <v>35</v>
      </c>
      <c r="G1486" t="s">
        <v>35</v>
      </c>
      <c r="H1486" t="s">
        <v>35</v>
      </c>
      <c r="J1486" t="s">
        <v>1953</v>
      </c>
      <c r="K1486" t="s">
        <v>1092</v>
      </c>
      <c r="M1486">
        <v>4.625</v>
      </c>
      <c r="N1486">
        <v>91</v>
      </c>
      <c r="O1486" t="s">
        <v>106</v>
      </c>
      <c r="Q1486" t="s">
        <v>1147</v>
      </c>
      <c r="R1486" t="s">
        <v>193</v>
      </c>
      <c r="S1486" t="s">
        <v>181</v>
      </c>
    </row>
    <row r="1487" spans="1:19" x14ac:dyDescent="0.25">
      <c r="A1487" t="s">
        <v>44</v>
      </c>
      <c r="B1487" t="s">
        <v>51</v>
      </c>
      <c r="C1487" t="s">
        <v>32</v>
      </c>
      <c r="D1487" t="s">
        <v>33</v>
      </c>
      <c r="E1487" t="s">
        <v>172</v>
      </c>
      <c r="F1487" t="s">
        <v>35</v>
      </c>
      <c r="G1487" t="s">
        <v>35</v>
      </c>
      <c r="H1487" t="s">
        <v>35</v>
      </c>
      <c r="J1487" t="s">
        <v>1953</v>
      </c>
      <c r="K1487" t="s">
        <v>1092</v>
      </c>
      <c r="M1487">
        <v>0.2</v>
      </c>
      <c r="N1487">
        <v>167</v>
      </c>
      <c r="O1487" t="s">
        <v>38</v>
      </c>
      <c r="Q1487" t="s">
        <v>1120</v>
      </c>
      <c r="R1487" t="s">
        <v>193</v>
      </c>
      <c r="S1487" t="s">
        <v>181</v>
      </c>
    </row>
    <row r="1488" spans="1:19" x14ac:dyDescent="0.25">
      <c r="A1488" t="s">
        <v>44</v>
      </c>
      <c r="B1488" t="s">
        <v>51</v>
      </c>
      <c r="C1488" t="s">
        <v>32</v>
      </c>
      <c r="D1488" t="s">
        <v>33</v>
      </c>
      <c r="E1488" t="s">
        <v>172</v>
      </c>
      <c r="F1488" t="s">
        <v>35</v>
      </c>
      <c r="G1488" t="s">
        <v>35</v>
      </c>
      <c r="H1488" t="s">
        <v>35</v>
      </c>
      <c r="J1488" t="s">
        <v>1953</v>
      </c>
      <c r="K1488" t="s">
        <v>1092</v>
      </c>
      <c r="M1488">
        <v>0.25</v>
      </c>
      <c r="N1488">
        <v>51</v>
      </c>
      <c r="O1488" t="s">
        <v>52</v>
      </c>
      <c r="Q1488" t="s">
        <v>54</v>
      </c>
      <c r="R1488" t="s">
        <v>193</v>
      </c>
      <c r="S1488" t="s">
        <v>181</v>
      </c>
    </row>
    <row r="1489" spans="1:19" x14ac:dyDescent="0.25">
      <c r="A1489" t="s">
        <v>30</v>
      </c>
      <c r="B1489" t="s">
        <v>31</v>
      </c>
      <c r="C1489" t="s">
        <v>32</v>
      </c>
      <c r="D1489" t="s">
        <v>33</v>
      </c>
      <c r="E1489" t="s">
        <v>172</v>
      </c>
      <c r="F1489" t="s">
        <v>35</v>
      </c>
      <c r="G1489" t="s">
        <v>35</v>
      </c>
      <c r="H1489" t="s">
        <v>35</v>
      </c>
      <c r="J1489" t="s">
        <v>1219</v>
      </c>
      <c r="K1489" t="s">
        <v>1092</v>
      </c>
      <c r="M1489">
        <v>5.49</v>
      </c>
      <c r="N1489">
        <v>44</v>
      </c>
      <c r="O1489" t="s">
        <v>52</v>
      </c>
      <c r="Q1489" t="s">
        <v>192</v>
      </c>
      <c r="R1489" t="s">
        <v>193</v>
      </c>
      <c r="S1489" t="s">
        <v>181</v>
      </c>
    </row>
    <row r="1490" spans="1:19" x14ac:dyDescent="0.25">
      <c r="A1490" t="s">
        <v>30</v>
      </c>
      <c r="B1490" t="s">
        <v>31</v>
      </c>
      <c r="C1490" t="s">
        <v>32</v>
      </c>
      <c r="D1490" t="s">
        <v>33</v>
      </c>
      <c r="E1490" t="s">
        <v>172</v>
      </c>
      <c r="F1490" t="s">
        <v>35</v>
      </c>
      <c r="G1490" t="s">
        <v>35</v>
      </c>
      <c r="H1490" t="s">
        <v>35</v>
      </c>
      <c r="J1490" t="s">
        <v>1219</v>
      </c>
      <c r="K1490" t="s">
        <v>1092</v>
      </c>
      <c r="M1490">
        <v>4.9950000000000001</v>
      </c>
      <c r="N1490">
        <v>19</v>
      </c>
      <c r="O1490" t="s">
        <v>46</v>
      </c>
      <c r="Q1490" t="s">
        <v>1192</v>
      </c>
      <c r="R1490" t="s">
        <v>193</v>
      </c>
      <c r="S1490" t="s">
        <v>181</v>
      </c>
    </row>
    <row r="1491" spans="1:19" x14ac:dyDescent="0.25">
      <c r="A1491" t="s">
        <v>30</v>
      </c>
      <c r="B1491" t="s">
        <v>31</v>
      </c>
      <c r="C1491" t="s">
        <v>32</v>
      </c>
      <c r="D1491" t="s">
        <v>33</v>
      </c>
      <c r="E1491" t="s">
        <v>172</v>
      </c>
      <c r="F1491" t="s">
        <v>35</v>
      </c>
      <c r="G1491" t="s">
        <v>35</v>
      </c>
      <c r="H1491" t="s">
        <v>35</v>
      </c>
      <c r="J1491" t="s">
        <v>1219</v>
      </c>
      <c r="K1491" t="s">
        <v>1092</v>
      </c>
      <c r="M1491">
        <v>0.99</v>
      </c>
      <c r="N1491">
        <v>75</v>
      </c>
      <c r="O1491" t="s">
        <v>61</v>
      </c>
      <c r="Q1491" t="s">
        <v>805</v>
      </c>
      <c r="R1491" t="s">
        <v>193</v>
      </c>
      <c r="S1491" t="s">
        <v>181</v>
      </c>
    </row>
    <row r="1492" spans="1:19" x14ac:dyDescent="0.25">
      <c r="A1492" t="s">
        <v>59</v>
      </c>
      <c r="B1492" t="s">
        <v>60</v>
      </c>
      <c r="C1492" t="s">
        <v>32</v>
      </c>
      <c r="D1492" t="s">
        <v>33</v>
      </c>
      <c r="E1492" t="s">
        <v>172</v>
      </c>
      <c r="F1492" t="s">
        <v>35</v>
      </c>
      <c r="G1492" t="s">
        <v>35</v>
      </c>
      <c r="H1492" t="s">
        <v>35</v>
      </c>
      <c r="J1492" t="s">
        <v>1955</v>
      </c>
      <c r="K1492" t="s">
        <v>1092</v>
      </c>
      <c r="M1492">
        <v>0.02</v>
      </c>
      <c r="N1492">
        <v>2666</v>
      </c>
      <c r="O1492" t="s">
        <v>575</v>
      </c>
      <c r="Q1492" t="s">
        <v>1956</v>
      </c>
      <c r="R1492" t="s">
        <v>1957</v>
      </c>
      <c r="S1492" t="s">
        <v>1958</v>
      </c>
    </row>
    <row r="1493" spans="1:19" x14ac:dyDescent="0.25">
      <c r="A1493" t="s">
        <v>59</v>
      </c>
      <c r="B1493" t="s">
        <v>60</v>
      </c>
      <c r="C1493" t="s">
        <v>32</v>
      </c>
      <c r="D1493" t="s">
        <v>33</v>
      </c>
      <c r="E1493" t="s">
        <v>172</v>
      </c>
      <c r="F1493" t="s">
        <v>35</v>
      </c>
      <c r="G1493" t="s">
        <v>35</v>
      </c>
      <c r="H1493" t="s">
        <v>35</v>
      </c>
      <c r="J1493" t="s">
        <v>1960</v>
      </c>
      <c r="K1493" t="s">
        <v>1092</v>
      </c>
      <c r="M1493">
        <v>3.5</v>
      </c>
      <c r="N1493">
        <v>72</v>
      </c>
      <c r="O1493" t="s">
        <v>61</v>
      </c>
      <c r="Q1493" t="s">
        <v>63</v>
      </c>
      <c r="R1493" t="s">
        <v>193</v>
      </c>
      <c r="S1493" t="s">
        <v>181</v>
      </c>
    </row>
    <row r="1494" spans="1:19" x14ac:dyDescent="0.25">
      <c r="A1494" t="s">
        <v>44</v>
      </c>
      <c r="B1494" t="s">
        <v>51</v>
      </c>
      <c r="C1494" t="s">
        <v>32</v>
      </c>
      <c r="D1494" t="s">
        <v>33</v>
      </c>
      <c r="E1494" t="s">
        <v>172</v>
      </c>
      <c r="F1494" t="s">
        <v>35</v>
      </c>
      <c r="G1494" t="s">
        <v>35</v>
      </c>
      <c r="H1494" t="s">
        <v>35</v>
      </c>
      <c r="J1494" t="s">
        <v>1961</v>
      </c>
      <c r="K1494" t="s">
        <v>1092</v>
      </c>
      <c r="M1494">
        <v>4.55</v>
      </c>
      <c r="N1494">
        <v>28</v>
      </c>
      <c r="O1494" t="s">
        <v>46</v>
      </c>
      <c r="Q1494" t="s">
        <v>176</v>
      </c>
      <c r="R1494" t="s">
        <v>85</v>
      </c>
      <c r="S1494" t="s">
        <v>86</v>
      </c>
    </row>
    <row r="1495" spans="1:19" x14ac:dyDescent="0.25">
      <c r="A1495" t="s">
        <v>59</v>
      </c>
      <c r="B1495" t="s">
        <v>60</v>
      </c>
      <c r="C1495" t="s">
        <v>32</v>
      </c>
      <c r="D1495" t="s">
        <v>33</v>
      </c>
      <c r="E1495" t="s">
        <v>172</v>
      </c>
      <c r="F1495" t="s">
        <v>35</v>
      </c>
      <c r="G1495" t="s">
        <v>35</v>
      </c>
      <c r="H1495" t="s">
        <v>35</v>
      </c>
      <c r="J1495" t="s">
        <v>1961</v>
      </c>
      <c r="K1495" t="s">
        <v>1092</v>
      </c>
      <c r="M1495">
        <v>0.39500000000000002</v>
      </c>
      <c r="N1495">
        <v>61</v>
      </c>
      <c r="O1495" t="s">
        <v>61</v>
      </c>
      <c r="Q1495" t="s">
        <v>671</v>
      </c>
      <c r="R1495" t="s">
        <v>193</v>
      </c>
      <c r="S1495" t="s">
        <v>181</v>
      </c>
    </row>
    <row r="1496" spans="1:19" x14ac:dyDescent="0.25">
      <c r="A1496" t="s">
        <v>59</v>
      </c>
      <c r="B1496" t="s">
        <v>60</v>
      </c>
      <c r="C1496" t="s">
        <v>32</v>
      </c>
      <c r="D1496" t="s">
        <v>33</v>
      </c>
      <c r="E1496" t="s">
        <v>172</v>
      </c>
      <c r="F1496" t="s">
        <v>35</v>
      </c>
      <c r="G1496" t="s">
        <v>35</v>
      </c>
      <c r="H1496" t="s">
        <v>35</v>
      </c>
      <c r="J1496" t="s">
        <v>1962</v>
      </c>
      <c r="K1496" t="s">
        <v>1092</v>
      </c>
      <c r="M1496">
        <v>0.25</v>
      </c>
      <c r="N1496">
        <v>99</v>
      </c>
      <c r="O1496" t="s">
        <v>106</v>
      </c>
      <c r="Q1496" t="s">
        <v>1216</v>
      </c>
      <c r="R1496" t="s">
        <v>103</v>
      </c>
      <c r="S1496" t="s">
        <v>104</v>
      </c>
    </row>
    <row r="1497" spans="1:19" x14ac:dyDescent="0.25">
      <c r="A1497" t="s">
        <v>44</v>
      </c>
      <c r="B1497" t="s">
        <v>51</v>
      </c>
      <c r="C1497" t="s">
        <v>32</v>
      </c>
      <c r="D1497" t="s">
        <v>33</v>
      </c>
      <c r="E1497" t="s">
        <v>172</v>
      </c>
      <c r="F1497" t="s">
        <v>35</v>
      </c>
      <c r="G1497" t="s">
        <v>35</v>
      </c>
      <c r="H1497" t="s">
        <v>35</v>
      </c>
      <c r="J1497" t="s">
        <v>1962</v>
      </c>
      <c r="K1497" t="s">
        <v>1092</v>
      </c>
      <c r="M1497">
        <v>5.5</v>
      </c>
      <c r="N1497">
        <v>62</v>
      </c>
      <c r="O1497" t="s">
        <v>61</v>
      </c>
      <c r="Q1497" t="s">
        <v>90</v>
      </c>
      <c r="R1497" t="s">
        <v>103</v>
      </c>
      <c r="S1497" t="s">
        <v>104</v>
      </c>
    </row>
    <row r="1498" spans="1:19" x14ac:dyDescent="0.25">
      <c r="A1498" t="s">
        <v>44</v>
      </c>
      <c r="B1498" t="s">
        <v>3</v>
      </c>
      <c r="C1498" t="s">
        <v>32</v>
      </c>
      <c r="D1498" t="s">
        <v>33</v>
      </c>
      <c r="E1498" t="s">
        <v>172</v>
      </c>
      <c r="F1498" t="s">
        <v>35</v>
      </c>
      <c r="G1498" t="s">
        <v>35</v>
      </c>
      <c r="H1498" t="s">
        <v>35</v>
      </c>
      <c r="J1498" t="s">
        <v>1962</v>
      </c>
      <c r="K1498" t="s">
        <v>1092</v>
      </c>
      <c r="M1498">
        <v>5.25</v>
      </c>
      <c r="N1498">
        <v>68</v>
      </c>
      <c r="O1498" t="s">
        <v>61</v>
      </c>
      <c r="Q1498" t="s">
        <v>146</v>
      </c>
      <c r="R1498" t="s">
        <v>103</v>
      </c>
      <c r="S1498" t="s">
        <v>104</v>
      </c>
    </row>
    <row r="1499" spans="1:19" x14ac:dyDescent="0.25">
      <c r="A1499" t="s">
        <v>59</v>
      </c>
      <c r="B1499" t="s">
        <v>60</v>
      </c>
      <c r="C1499" t="s">
        <v>32</v>
      </c>
      <c r="D1499" t="s">
        <v>33</v>
      </c>
      <c r="E1499" t="s">
        <v>172</v>
      </c>
      <c r="F1499" t="s">
        <v>35</v>
      </c>
      <c r="G1499" t="s">
        <v>35</v>
      </c>
      <c r="H1499" t="s">
        <v>35</v>
      </c>
      <c r="J1499" t="s">
        <v>1963</v>
      </c>
      <c r="K1499" t="s">
        <v>1092</v>
      </c>
      <c r="M1499">
        <v>5.5</v>
      </c>
      <c r="N1499">
        <v>76</v>
      </c>
      <c r="O1499" t="s">
        <v>61</v>
      </c>
      <c r="Q1499" t="s">
        <v>234</v>
      </c>
      <c r="R1499" t="s">
        <v>1258</v>
      </c>
      <c r="S1499" t="s">
        <v>194</v>
      </c>
    </row>
    <row r="1500" spans="1:19" x14ac:dyDescent="0.25">
      <c r="A1500" t="s">
        <v>30</v>
      </c>
      <c r="B1500" t="s">
        <v>31</v>
      </c>
      <c r="C1500" t="s">
        <v>32</v>
      </c>
      <c r="D1500" t="s">
        <v>33</v>
      </c>
      <c r="E1500" t="s">
        <v>172</v>
      </c>
      <c r="F1500" t="s">
        <v>35</v>
      </c>
      <c r="G1500" t="s">
        <v>35</v>
      </c>
      <c r="H1500" t="s">
        <v>35</v>
      </c>
      <c r="J1500" t="s">
        <v>1964</v>
      </c>
      <c r="K1500" t="s">
        <v>1092</v>
      </c>
      <c r="M1500">
        <v>1.08</v>
      </c>
      <c r="N1500">
        <v>44</v>
      </c>
      <c r="O1500" t="s">
        <v>52</v>
      </c>
      <c r="Q1500" t="s">
        <v>192</v>
      </c>
      <c r="R1500" t="s">
        <v>147</v>
      </c>
      <c r="S1500" t="s">
        <v>148</v>
      </c>
    </row>
    <row r="1501" spans="1:19" x14ac:dyDescent="0.25">
      <c r="A1501" t="s">
        <v>30</v>
      </c>
      <c r="B1501" t="s">
        <v>31</v>
      </c>
      <c r="C1501" t="s">
        <v>32</v>
      </c>
      <c r="D1501" t="s">
        <v>33</v>
      </c>
      <c r="E1501" t="s">
        <v>172</v>
      </c>
      <c r="F1501" t="s">
        <v>35</v>
      </c>
      <c r="G1501" t="s">
        <v>35</v>
      </c>
      <c r="H1501" t="s">
        <v>35</v>
      </c>
      <c r="J1501" t="s">
        <v>1965</v>
      </c>
      <c r="K1501" t="s">
        <v>1092</v>
      </c>
      <c r="M1501">
        <v>3.24</v>
      </c>
      <c r="N1501">
        <v>47</v>
      </c>
      <c r="O1501" t="s">
        <v>52</v>
      </c>
      <c r="Q1501" t="s">
        <v>132</v>
      </c>
      <c r="R1501" t="s">
        <v>103</v>
      </c>
      <c r="S1501" t="s">
        <v>104</v>
      </c>
    </row>
    <row r="1502" spans="1:19" x14ac:dyDescent="0.25">
      <c r="A1502" t="s">
        <v>59</v>
      </c>
      <c r="B1502" t="s">
        <v>60</v>
      </c>
      <c r="C1502" t="s">
        <v>32</v>
      </c>
      <c r="D1502" t="s">
        <v>33</v>
      </c>
      <c r="E1502" t="s">
        <v>172</v>
      </c>
      <c r="F1502" t="s">
        <v>35</v>
      </c>
      <c r="G1502" t="s">
        <v>35</v>
      </c>
      <c r="H1502" t="s">
        <v>35</v>
      </c>
      <c r="J1502" t="s">
        <v>1966</v>
      </c>
      <c r="K1502" t="s">
        <v>1092</v>
      </c>
      <c r="M1502">
        <v>0.85</v>
      </c>
      <c r="N1502">
        <v>385</v>
      </c>
      <c r="O1502" t="s">
        <v>294</v>
      </c>
      <c r="Q1502" t="s">
        <v>1967</v>
      </c>
      <c r="R1502" t="s">
        <v>169</v>
      </c>
      <c r="S1502" t="s">
        <v>123</v>
      </c>
    </row>
    <row r="1503" spans="1:19" x14ac:dyDescent="0.25">
      <c r="A1503" t="s">
        <v>30</v>
      </c>
      <c r="B1503" t="s">
        <v>31</v>
      </c>
      <c r="C1503" t="s">
        <v>32</v>
      </c>
      <c r="D1503" t="s">
        <v>33</v>
      </c>
      <c r="E1503" t="s">
        <v>172</v>
      </c>
      <c r="F1503" t="s">
        <v>35</v>
      </c>
      <c r="G1503" t="s">
        <v>35</v>
      </c>
      <c r="H1503" t="s">
        <v>35</v>
      </c>
      <c r="J1503" t="s">
        <v>1968</v>
      </c>
      <c r="K1503" t="s">
        <v>1092</v>
      </c>
      <c r="M1503">
        <v>5.49</v>
      </c>
      <c r="N1503">
        <v>76</v>
      </c>
      <c r="O1503" t="s">
        <v>61</v>
      </c>
      <c r="Q1503" t="s">
        <v>234</v>
      </c>
      <c r="R1503" t="s">
        <v>103</v>
      </c>
      <c r="S1503" t="s">
        <v>104</v>
      </c>
    </row>
    <row r="1504" spans="1:19" x14ac:dyDescent="0.25">
      <c r="A1504" t="s">
        <v>44</v>
      </c>
      <c r="B1504" t="s">
        <v>3</v>
      </c>
      <c r="C1504" t="s">
        <v>32</v>
      </c>
      <c r="D1504" t="s">
        <v>33</v>
      </c>
      <c r="E1504" t="s">
        <v>172</v>
      </c>
      <c r="F1504" t="s">
        <v>35</v>
      </c>
      <c r="G1504" t="s">
        <v>35</v>
      </c>
      <c r="H1504" t="s">
        <v>35</v>
      </c>
      <c r="J1504" t="s">
        <v>1969</v>
      </c>
      <c r="K1504" t="s">
        <v>1092</v>
      </c>
      <c r="M1504">
        <v>0.2</v>
      </c>
      <c r="N1504">
        <v>40</v>
      </c>
      <c r="O1504" t="s">
        <v>52</v>
      </c>
      <c r="Q1504" t="s">
        <v>130</v>
      </c>
      <c r="R1504" t="s">
        <v>1700</v>
      </c>
      <c r="S1504" t="s">
        <v>174</v>
      </c>
    </row>
    <row r="1505" spans="1:19" x14ac:dyDescent="0.25">
      <c r="A1505" t="s">
        <v>30</v>
      </c>
      <c r="B1505" t="s">
        <v>31</v>
      </c>
      <c r="C1505" t="s">
        <v>32</v>
      </c>
      <c r="D1505" t="s">
        <v>33</v>
      </c>
      <c r="E1505" t="s">
        <v>172</v>
      </c>
      <c r="F1505" t="s">
        <v>35</v>
      </c>
      <c r="G1505" t="s">
        <v>35</v>
      </c>
      <c r="H1505" t="s">
        <v>35</v>
      </c>
      <c r="J1505" t="s">
        <v>1969</v>
      </c>
      <c r="K1505" t="s">
        <v>1092</v>
      </c>
      <c r="M1505">
        <v>0.19</v>
      </c>
      <c r="N1505">
        <v>420</v>
      </c>
      <c r="O1505" t="s">
        <v>294</v>
      </c>
      <c r="Q1505" t="s">
        <v>1643</v>
      </c>
      <c r="R1505" t="s">
        <v>118</v>
      </c>
      <c r="S1505" t="s">
        <v>65</v>
      </c>
    </row>
    <row r="1506" spans="1:19" x14ac:dyDescent="0.25">
      <c r="A1506" t="s">
        <v>44</v>
      </c>
      <c r="B1506" t="s">
        <v>3</v>
      </c>
      <c r="C1506" t="s">
        <v>32</v>
      </c>
      <c r="D1506" t="s">
        <v>33</v>
      </c>
      <c r="E1506" t="s">
        <v>172</v>
      </c>
      <c r="F1506" t="s">
        <v>35</v>
      </c>
      <c r="G1506" t="s">
        <v>35</v>
      </c>
      <c r="H1506" t="s">
        <v>35</v>
      </c>
      <c r="J1506" t="s">
        <v>1970</v>
      </c>
      <c r="K1506" t="s">
        <v>1092</v>
      </c>
      <c r="M1506">
        <v>1</v>
      </c>
      <c r="N1506">
        <v>62</v>
      </c>
      <c r="O1506" t="s">
        <v>61</v>
      </c>
      <c r="Q1506" t="s">
        <v>90</v>
      </c>
      <c r="R1506" t="s">
        <v>1932</v>
      </c>
      <c r="S1506" t="s">
        <v>1915</v>
      </c>
    </row>
    <row r="1507" spans="1:19" x14ac:dyDescent="0.25">
      <c r="A1507" t="s">
        <v>59</v>
      </c>
      <c r="B1507" t="s">
        <v>60</v>
      </c>
      <c r="C1507" t="s">
        <v>32</v>
      </c>
      <c r="D1507" t="s">
        <v>33</v>
      </c>
      <c r="E1507" t="s">
        <v>172</v>
      </c>
      <c r="F1507" t="s">
        <v>35</v>
      </c>
      <c r="G1507" t="s">
        <v>35</v>
      </c>
      <c r="H1507" t="s">
        <v>35</v>
      </c>
      <c r="J1507" t="s">
        <v>1971</v>
      </c>
      <c r="K1507" t="s">
        <v>1092</v>
      </c>
      <c r="M1507">
        <v>3</v>
      </c>
      <c r="N1507">
        <v>76</v>
      </c>
      <c r="O1507" t="s">
        <v>61</v>
      </c>
      <c r="Q1507" t="s">
        <v>234</v>
      </c>
      <c r="R1507" t="s">
        <v>1258</v>
      </c>
      <c r="S1507" t="s">
        <v>194</v>
      </c>
    </row>
    <row r="1508" spans="1:19" x14ac:dyDescent="0.25">
      <c r="A1508" t="s">
        <v>59</v>
      </c>
      <c r="B1508" t="s">
        <v>31</v>
      </c>
      <c r="C1508" t="s">
        <v>32</v>
      </c>
      <c r="D1508" t="s">
        <v>33</v>
      </c>
      <c r="E1508" t="s">
        <v>172</v>
      </c>
      <c r="F1508" t="s">
        <v>35</v>
      </c>
      <c r="G1508" t="s">
        <v>35</v>
      </c>
      <c r="H1508" t="s">
        <v>35</v>
      </c>
      <c r="J1508" t="s">
        <v>1971</v>
      </c>
      <c r="K1508" t="s">
        <v>1092</v>
      </c>
      <c r="M1508">
        <v>0.41699999999999998</v>
      </c>
      <c r="N1508">
        <v>230</v>
      </c>
      <c r="O1508" t="s">
        <v>5</v>
      </c>
      <c r="Q1508" t="s">
        <v>1544</v>
      </c>
      <c r="R1508" t="s">
        <v>1258</v>
      </c>
      <c r="S1508" t="s">
        <v>194</v>
      </c>
    </row>
    <row r="1509" spans="1:19" x14ac:dyDescent="0.25">
      <c r="A1509" t="s">
        <v>44</v>
      </c>
      <c r="B1509" t="s">
        <v>3</v>
      </c>
      <c r="C1509" t="s">
        <v>32</v>
      </c>
      <c r="D1509" t="s">
        <v>33</v>
      </c>
      <c r="E1509" t="s">
        <v>172</v>
      </c>
      <c r="F1509" t="s">
        <v>35</v>
      </c>
      <c r="G1509" t="s">
        <v>35</v>
      </c>
      <c r="H1509" t="s">
        <v>35</v>
      </c>
      <c r="J1509" t="s">
        <v>1972</v>
      </c>
      <c r="K1509" t="s">
        <v>1092</v>
      </c>
      <c r="M1509">
        <v>2.5</v>
      </c>
      <c r="N1509">
        <v>46</v>
      </c>
      <c r="O1509" t="s">
        <v>52</v>
      </c>
      <c r="Q1509" t="s">
        <v>493</v>
      </c>
      <c r="R1509" t="s">
        <v>1700</v>
      </c>
      <c r="S1509" t="s">
        <v>174</v>
      </c>
    </row>
    <row r="1510" spans="1:19" x14ac:dyDescent="0.25">
      <c r="A1510" t="s">
        <v>30</v>
      </c>
      <c r="B1510" t="s">
        <v>31</v>
      </c>
      <c r="C1510" t="s">
        <v>32</v>
      </c>
      <c r="D1510" t="s">
        <v>33</v>
      </c>
      <c r="E1510" t="s">
        <v>172</v>
      </c>
      <c r="F1510" t="s">
        <v>35</v>
      </c>
      <c r="G1510" t="s">
        <v>35</v>
      </c>
      <c r="H1510" t="s">
        <v>35</v>
      </c>
      <c r="J1510" t="s">
        <v>1972</v>
      </c>
      <c r="K1510" t="s">
        <v>1092</v>
      </c>
      <c r="M1510">
        <v>3.87</v>
      </c>
      <c r="N1510">
        <v>43</v>
      </c>
      <c r="O1510" t="s">
        <v>52</v>
      </c>
      <c r="Q1510" t="s">
        <v>892</v>
      </c>
      <c r="R1510" t="s">
        <v>85</v>
      </c>
      <c r="S1510" t="s">
        <v>86</v>
      </c>
    </row>
    <row r="1511" spans="1:19" x14ac:dyDescent="0.25">
      <c r="A1511" t="s">
        <v>59</v>
      </c>
      <c r="B1511" t="s">
        <v>60</v>
      </c>
      <c r="C1511" t="s">
        <v>32</v>
      </c>
      <c r="D1511" t="s">
        <v>33</v>
      </c>
      <c r="E1511" t="s">
        <v>172</v>
      </c>
      <c r="F1511" t="s">
        <v>35</v>
      </c>
      <c r="G1511" t="s">
        <v>35</v>
      </c>
      <c r="H1511" t="s">
        <v>35</v>
      </c>
      <c r="J1511" t="s">
        <v>1972</v>
      </c>
      <c r="K1511" t="s">
        <v>1092</v>
      </c>
      <c r="M1511">
        <v>3.3</v>
      </c>
      <c r="N1511">
        <v>100</v>
      </c>
      <c r="O1511" t="s">
        <v>106</v>
      </c>
      <c r="Q1511" t="s">
        <v>1112</v>
      </c>
      <c r="R1511" t="s">
        <v>85</v>
      </c>
      <c r="S1511" t="s">
        <v>86</v>
      </c>
    </row>
    <row r="1512" spans="1:19" x14ac:dyDescent="0.25">
      <c r="A1512" t="s">
        <v>44</v>
      </c>
      <c r="B1512" t="s">
        <v>51</v>
      </c>
      <c r="C1512" t="s">
        <v>32</v>
      </c>
      <c r="D1512" t="s">
        <v>33</v>
      </c>
      <c r="E1512" t="s">
        <v>172</v>
      </c>
      <c r="F1512" t="s">
        <v>35</v>
      </c>
      <c r="G1512" t="s">
        <v>35</v>
      </c>
      <c r="H1512" t="s">
        <v>35</v>
      </c>
      <c r="J1512" t="s">
        <v>1972</v>
      </c>
      <c r="K1512" t="s">
        <v>1092</v>
      </c>
      <c r="M1512">
        <v>1.5</v>
      </c>
      <c r="N1512">
        <v>21</v>
      </c>
      <c r="O1512" t="s">
        <v>46</v>
      </c>
      <c r="Q1512" t="s">
        <v>1874</v>
      </c>
      <c r="R1512" t="s">
        <v>1700</v>
      </c>
      <c r="S1512" t="s">
        <v>174</v>
      </c>
    </row>
    <row r="1513" spans="1:19" x14ac:dyDescent="0.25">
      <c r="A1513" t="s">
        <v>30</v>
      </c>
      <c r="B1513" t="s">
        <v>31</v>
      </c>
      <c r="C1513" t="s">
        <v>32</v>
      </c>
      <c r="D1513" t="s">
        <v>33</v>
      </c>
      <c r="E1513" t="s">
        <v>172</v>
      </c>
      <c r="F1513" t="s">
        <v>35</v>
      </c>
      <c r="G1513" t="s">
        <v>35</v>
      </c>
      <c r="H1513" t="s">
        <v>35</v>
      </c>
      <c r="J1513" t="s">
        <v>1973</v>
      </c>
      <c r="K1513" t="s">
        <v>1092</v>
      </c>
      <c r="M1513">
        <v>7.9649999999999999</v>
      </c>
      <c r="N1513">
        <v>25</v>
      </c>
      <c r="O1513" t="s">
        <v>46</v>
      </c>
      <c r="Q1513" t="s">
        <v>831</v>
      </c>
      <c r="R1513" t="s">
        <v>199</v>
      </c>
      <c r="S1513" t="s">
        <v>200</v>
      </c>
    </row>
    <row r="1514" spans="1:19" x14ac:dyDescent="0.25">
      <c r="A1514" t="s">
        <v>59</v>
      </c>
      <c r="B1514" t="s">
        <v>60</v>
      </c>
      <c r="C1514" t="s">
        <v>32</v>
      </c>
      <c r="D1514" t="s">
        <v>33</v>
      </c>
      <c r="E1514" t="s">
        <v>172</v>
      </c>
      <c r="F1514" t="s">
        <v>35</v>
      </c>
      <c r="G1514" t="s">
        <v>35</v>
      </c>
      <c r="H1514" t="s">
        <v>35</v>
      </c>
      <c r="J1514" t="s">
        <v>1974</v>
      </c>
      <c r="K1514" t="s">
        <v>404</v>
      </c>
      <c r="M1514">
        <v>1.95</v>
      </c>
      <c r="N1514">
        <v>91</v>
      </c>
      <c r="O1514" t="s">
        <v>106</v>
      </c>
      <c r="Q1514" t="s">
        <v>1147</v>
      </c>
      <c r="R1514" t="s">
        <v>169</v>
      </c>
      <c r="S1514" t="s">
        <v>123</v>
      </c>
    </row>
    <row r="1515" spans="1:19" x14ac:dyDescent="0.25">
      <c r="A1515" t="s">
        <v>44</v>
      </c>
      <c r="B1515" t="s">
        <v>51</v>
      </c>
      <c r="C1515" t="s">
        <v>32</v>
      </c>
      <c r="D1515" t="s">
        <v>33</v>
      </c>
      <c r="E1515" t="s">
        <v>172</v>
      </c>
      <c r="F1515" t="s">
        <v>35</v>
      </c>
      <c r="G1515" t="s">
        <v>35</v>
      </c>
      <c r="H1515" t="s">
        <v>35</v>
      </c>
      <c r="J1515" t="s">
        <v>1975</v>
      </c>
      <c r="K1515" t="s">
        <v>404</v>
      </c>
      <c r="M1515">
        <v>0.7</v>
      </c>
      <c r="N1515">
        <v>17</v>
      </c>
      <c r="O1515" t="s">
        <v>46</v>
      </c>
      <c r="Q1515" t="s">
        <v>1302</v>
      </c>
      <c r="R1515" t="s">
        <v>1700</v>
      </c>
      <c r="S1515" t="s">
        <v>174</v>
      </c>
    </row>
    <row r="1516" spans="1:19" x14ac:dyDescent="0.25">
      <c r="A1516" t="s">
        <v>59</v>
      </c>
      <c r="B1516" t="s">
        <v>31</v>
      </c>
      <c r="C1516" t="s">
        <v>32</v>
      </c>
      <c r="D1516" t="s">
        <v>33</v>
      </c>
      <c r="E1516" t="s">
        <v>172</v>
      </c>
      <c r="F1516" t="s">
        <v>35</v>
      </c>
      <c r="G1516" t="s">
        <v>35</v>
      </c>
      <c r="H1516" t="s">
        <v>35</v>
      </c>
      <c r="J1516" t="s">
        <v>1976</v>
      </c>
      <c r="K1516" t="s">
        <v>404</v>
      </c>
      <c r="M1516">
        <v>10.98</v>
      </c>
      <c r="N1516">
        <v>75</v>
      </c>
      <c r="O1516" t="s">
        <v>61</v>
      </c>
      <c r="Q1516" t="s">
        <v>805</v>
      </c>
      <c r="R1516" t="s">
        <v>1331</v>
      </c>
      <c r="S1516" t="s">
        <v>1332</v>
      </c>
    </row>
    <row r="1517" spans="1:19" x14ac:dyDescent="0.25">
      <c r="A1517" t="s">
        <v>59</v>
      </c>
      <c r="B1517" t="s">
        <v>60</v>
      </c>
      <c r="C1517" t="s">
        <v>32</v>
      </c>
      <c r="D1517" t="s">
        <v>33</v>
      </c>
      <c r="E1517" t="s">
        <v>172</v>
      </c>
      <c r="F1517" t="s">
        <v>35</v>
      </c>
      <c r="G1517" t="s">
        <v>35</v>
      </c>
      <c r="H1517" t="s">
        <v>35</v>
      </c>
      <c r="J1517" t="s">
        <v>1976</v>
      </c>
      <c r="K1517" t="s">
        <v>404</v>
      </c>
      <c r="M1517">
        <v>5.5</v>
      </c>
      <c r="N1517">
        <v>75</v>
      </c>
      <c r="O1517" t="s">
        <v>61</v>
      </c>
      <c r="Q1517" t="s">
        <v>805</v>
      </c>
      <c r="R1517" t="s">
        <v>1331</v>
      </c>
      <c r="S1517" t="s">
        <v>1332</v>
      </c>
    </row>
    <row r="1518" spans="1:19" x14ac:dyDescent="0.25">
      <c r="A1518" t="s">
        <v>44</v>
      </c>
      <c r="B1518" t="s">
        <v>3</v>
      </c>
      <c r="C1518" t="s">
        <v>32</v>
      </c>
      <c r="D1518" t="s">
        <v>33</v>
      </c>
      <c r="E1518" t="s">
        <v>172</v>
      </c>
      <c r="F1518" t="s">
        <v>35</v>
      </c>
      <c r="G1518" t="s">
        <v>35</v>
      </c>
      <c r="H1518" t="s">
        <v>35</v>
      </c>
      <c r="J1518" t="s">
        <v>1977</v>
      </c>
      <c r="K1518" t="s">
        <v>1092</v>
      </c>
      <c r="M1518">
        <v>1.5</v>
      </c>
      <c r="N1518">
        <v>68</v>
      </c>
      <c r="O1518" t="s">
        <v>61</v>
      </c>
      <c r="Q1518" t="s">
        <v>146</v>
      </c>
      <c r="R1518" t="s">
        <v>103</v>
      </c>
      <c r="S1518" t="s">
        <v>104</v>
      </c>
    </row>
    <row r="1519" spans="1:19" x14ac:dyDescent="0.25">
      <c r="A1519" t="s">
        <v>30</v>
      </c>
      <c r="B1519" t="s">
        <v>31</v>
      </c>
      <c r="C1519" t="s">
        <v>32</v>
      </c>
      <c r="D1519" t="s">
        <v>33</v>
      </c>
      <c r="E1519" t="s">
        <v>172</v>
      </c>
      <c r="F1519" t="s">
        <v>35</v>
      </c>
      <c r="G1519" t="s">
        <v>35</v>
      </c>
      <c r="H1519" t="s">
        <v>35</v>
      </c>
      <c r="J1519" t="s">
        <v>1977</v>
      </c>
      <c r="K1519" t="s">
        <v>1092</v>
      </c>
      <c r="M1519">
        <v>0.85499999999999998</v>
      </c>
      <c r="N1519">
        <v>76</v>
      </c>
      <c r="O1519" t="s">
        <v>61</v>
      </c>
      <c r="Q1519" t="s">
        <v>234</v>
      </c>
      <c r="R1519" t="s">
        <v>103</v>
      </c>
      <c r="S1519" t="s">
        <v>104</v>
      </c>
    </row>
    <row r="1520" spans="1:19" x14ac:dyDescent="0.25">
      <c r="A1520" t="s">
        <v>44</v>
      </c>
      <c r="B1520" t="s">
        <v>3</v>
      </c>
      <c r="C1520" t="s">
        <v>32</v>
      </c>
      <c r="D1520" t="s">
        <v>33</v>
      </c>
      <c r="E1520" t="s">
        <v>172</v>
      </c>
      <c r="F1520" t="s">
        <v>35</v>
      </c>
      <c r="G1520" t="s">
        <v>35</v>
      </c>
      <c r="H1520" t="s">
        <v>35</v>
      </c>
      <c r="J1520" t="s">
        <v>1978</v>
      </c>
      <c r="K1520" t="s">
        <v>1092</v>
      </c>
      <c r="M1520">
        <v>0.5</v>
      </c>
      <c r="N1520">
        <v>62</v>
      </c>
      <c r="O1520" t="s">
        <v>61</v>
      </c>
      <c r="Q1520" t="s">
        <v>90</v>
      </c>
      <c r="R1520" t="s">
        <v>1932</v>
      </c>
      <c r="S1520" t="s">
        <v>1915</v>
      </c>
    </row>
    <row r="1521" spans="1:19" x14ac:dyDescent="0.25">
      <c r="A1521" t="s">
        <v>59</v>
      </c>
      <c r="B1521" t="s">
        <v>60</v>
      </c>
      <c r="C1521" t="s">
        <v>32</v>
      </c>
      <c r="D1521" t="s">
        <v>33</v>
      </c>
      <c r="E1521" t="s">
        <v>172</v>
      </c>
      <c r="F1521" t="s">
        <v>35</v>
      </c>
      <c r="G1521" t="s">
        <v>35</v>
      </c>
      <c r="H1521" t="s">
        <v>35</v>
      </c>
      <c r="J1521" t="s">
        <v>1978</v>
      </c>
      <c r="K1521" t="s">
        <v>1092</v>
      </c>
      <c r="M1521">
        <v>0.2</v>
      </c>
      <c r="N1521">
        <v>228</v>
      </c>
      <c r="O1521" t="s">
        <v>5</v>
      </c>
      <c r="Q1521" t="s">
        <v>1979</v>
      </c>
      <c r="R1521" t="s">
        <v>1395</v>
      </c>
      <c r="S1521" t="s">
        <v>1396</v>
      </c>
    </row>
    <row r="1522" spans="1:19" x14ac:dyDescent="0.25">
      <c r="A1522" t="s">
        <v>59</v>
      </c>
      <c r="B1522" t="s">
        <v>60</v>
      </c>
      <c r="C1522" t="s">
        <v>32</v>
      </c>
      <c r="D1522" t="s">
        <v>33</v>
      </c>
      <c r="E1522" t="s">
        <v>172</v>
      </c>
      <c r="F1522" t="s">
        <v>35</v>
      </c>
      <c r="G1522" t="s">
        <v>35</v>
      </c>
      <c r="H1522" t="s">
        <v>35</v>
      </c>
      <c r="J1522" t="s">
        <v>1980</v>
      </c>
      <c r="K1522" t="s">
        <v>1092</v>
      </c>
      <c r="M1522">
        <v>0.7</v>
      </c>
      <c r="N1522">
        <v>99</v>
      </c>
      <c r="O1522" t="s">
        <v>106</v>
      </c>
      <c r="Q1522" t="s">
        <v>1216</v>
      </c>
      <c r="R1522" t="s">
        <v>103</v>
      </c>
      <c r="S1522" t="s">
        <v>104</v>
      </c>
    </row>
    <row r="1523" spans="1:19" x14ac:dyDescent="0.25">
      <c r="A1523" t="s">
        <v>44</v>
      </c>
      <c r="B1523" t="s">
        <v>3</v>
      </c>
      <c r="C1523" t="s">
        <v>32</v>
      </c>
      <c r="D1523" t="s">
        <v>33</v>
      </c>
      <c r="E1523" t="s">
        <v>172</v>
      </c>
      <c r="F1523" t="s">
        <v>35</v>
      </c>
      <c r="G1523" t="s">
        <v>35</v>
      </c>
      <c r="H1523" t="s">
        <v>35</v>
      </c>
      <c r="J1523" t="s">
        <v>1981</v>
      </c>
      <c r="K1523" t="s">
        <v>1092</v>
      </c>
      <c r="M1523">
        <v>5.5</v>
      </c>
      <c r="N1523">
        <v>68</v>
      </c>
      <c r="O1523" t="s">
        <v>61</v>
      </c>
      <c r="Q1523" t="s">
        <v>146</v>
      </c>
      <c r="R1523" t="s">
        <v>103</v>
      </c>
      <c r="S1523" t="s">
        <v>104</v>
      </c>
    </row>
    <row r="1524" spans="1:19" x14ac:dyDescent="0.25">
      <c r="A1524" t="s">
        <v>30</v>
      </c>
      <c r="B1524" t="s">
        <v>31</v>
      </c>
      <c r="C1524" t="s">
        <v>32</v>
      </c>
      <c r="D1524" t="s">
        <v>33</v>
      </c>
      <c r="E1524" t="s">
        <v>172</v>
      </c>
      <c r="F1524" t="s">
        <v>35</v>
      </c>
      <c r="G1524" t="s">
        <v>35</v>
      </c>
      <c r="H1524" t="s">
        <v>35</v>
      </c>
      <c r="J1524" t="s">
        <v>1981</v>
      </c>
      <c r="K1524" t="s">
        <v>1092</v>
      </c>
      <c r="M1524">
        <v>2.4750000000000001</v>
      </c>
      <c r="N1524">
        <v>150</v>
      </c>
      <c r="O1524" t="s">
        <v>38</v>
      </c>
      <c r="Q1524" t="s">
        <v>1612</v>
      </c>
      <c r="R1524" t="s">
        <v>103</v>
      </c>
      <c r="S1524" t="s">
        <v>104</v>
      </c>
    </row>
    <row r="1525" spans="1:19" x14ac:dyDescent="0.25">
      <c r="A1525" t="s">
        <v>59</v>
      </c>
      <c r="B1525" t="s">
        <v>31</v>
      </c>
      <c r="C1525" t="s">
        <v>32</v>
      </c>
      <c r="D1525" t="s">
        <v>33</v>
      </c>
      <c r="E1525" t="s">
        <v>172</v>
      </c>
      <c r="F1525" t="s">
        <v>35</v>
      </c>
      <c r="G1525" t="s">
        <v>35</v>
      </c>
      <c r="H1525" t="s">
        <v>35</v>
      </c>
      <c r="J1525" t="s">
        <v>50</v>
      </c>
      <c r="K1525" t="s">
        <v>1092</v>
      </c>
      <c r="M1525">
        <v>4.32</v>
      </c>
      <c r="N1525">
        <v>76</v>
      </c>
      <c r="O1525" t="s">
        <v>61</v>
      </c>
      <c r="Q1525" t="s">
        <v>234</v>
      </c>
      <c r="R1525" t="s">
        <v>1258</v>
      </c>
      <c r="S1525" t="s">
        <v>194</v>
      </c>
    </row>
    <row r="1526" spans="1:19" x14ac:dyDescent="0.25">
      <c r="A1526" t="s">
        <v>59</v>
      </c>
      <c r="B1526" t="s">
        <v>60</v>
      </c>
      <c r="C1526" t="s">
        <v>32</v>
      </c>
      <c r="D1526" t="s">
        <v>33</v>
      </c>
      <c r="E1526" t="s">
        <v>172</v>
      </c>
      <c r="F1526" t="s">
        <v>35</v>
      </c>
      <c r="G1526" t="s">
        <v>35</v>
      </c>
      <c r="H1526" t="s">
        <v>35</v>
      </c>
      <c r="J1526" t="s">
        <v>50</v>
      </c>
      <c r="K1526" t="s">
        <v>1092</v>
      </c>
      <c r="M1526">
        <v>5</v>
      </c>
      <c r="N1526">
        <v>76</v>
      </c>
      <c r="O1526" t="s">
        <v>61</v>
      </c>
      <c r="Q1526" t="s">
        <v>234</v>
      </c>
      <c r="R1526" t="s">
        <v>1258</v>
      </c>
      <c r="S1526" t="s">
        <v>194</v>
      </c>
    </row>
    <row r="1527" spans="1:19" x14ac:dyDescent="0.25">
      <c r="A1527" t="s">
        <v>30</v>
      </c>
      <c r="B1527" t="s">
        <v>31</v>
      </c>
      <c r="C1527" t="s">
        <v>32</v>
      </c>
      <c r="D1527" t="s">
        <v>33</v>
      </c>
      <c r="E1527" t="s">
        <v>172</v>
      </c>
      <c r="F1527" t="s">
        <v>35</v>
      </c>
      <c r="G1527" t="s">
        <v>35</v>
      </c>
      <c r="H1527" t="s">
        <v>35</v>
      </c>
      <c r="J1527" t="s">
        <v>50</v>
      </c>
      <c r="K1527" t="s">
        <v>1092</v>
      </c>
      <c r="M1527">
        <v>5.49</v>
      </c>
      <c r="N1527">
        <v>43</v>
      </c>
      <c r="O1527" t="s">
        <v>52</v>
      </c>
      <c r="Q1527" t="s">
        <v>892</v>
      </c>
      <c r="R1527" t="s">
        <v>85</v>
      </c>
      <c r="S1527" t="s">
        <v>86</v>
      </c>
    </row>
    <row r="1528" spans="1:19" x14ac:dyDescent="0.25">
      <c r="A1528" t="s">
        <v>44</v>
      </c>
      <c r="B1528" t="s">
        <v>3</v>
      </c>
      <c r="C1528" t="s">
        <v>32</v>
      </c>
      <c r="D1528" t="s">
        <v>33</v>
      </c>
      <c r="E1528" t="s">
        <v>172</v>
      </c>
      <c r="F1528" t="s">
        <v>35</v>
      </c>
      <c r="G1528" t="s">
        <v>35</v>
      </c>
      <c r="H1528" t="s">
        <v>35</v>
      </c>
      <c r="J1528" t="s">
        <v>1982</v>
      </c>
      <c r="K1528" t="s">
        <v>1092</v>
      </c>
      <c r="M1528">
        <v>0.4</v>
      </c>
      <c r="N1528">
        <v>62</v>
      </c>
      <c r="O1528" t="s">
        <v>61</v>
      </c>
      <c r="Q1528" t="s">
        <v>90</v>
      </c>
      <c r="R1528" t="s">
        <v>1932</v>
      </c>
      <c r="S1528" t="s">
        <v>1915</v>
      </c>
    </row>
    <row r="1529" spans="1:19" x14ac:dyDescent="0.25">
      <c r="A1529" t="s">
        <v>30</v>
      </c>
      <c r="B1529" t="s">
        <v>31</v>
      </c>
      <c r="C1529" t="s">
        <v>32</v>
      </c>
      <c r="D1529" t="s">
        <v>33</v>
      </c>
      <c r="E1529" t="s">
        <v>172</v>
      </c>
      <c r="F1529" t="s">
        <v>35</v>
      </c>
      <c r="G1529" t="s">
        <v>35</v>
      </c>
      <c r="H1529" t="s">
        <v>35</v>
      </c>
      <c r="J1529" t="s">
        <v>1983</v>
      </c>
      <c r="K1529" t="s">
        <v>1092</v>
      </c>
      <c r="M1529">
        <v>0.45</v>
      </c>
      <c r="N1529">
        <v>47</v>
      </c>
      <c r="O1529" t="s">
        <v>52</v>
      </c>
      <c r="Q1529" t="s">
        <v>132</v>
      </c>
      <c r="R1529" t="s">
        <v>103</v>
      </c>
      <c r="S1529" t="s">
        <v>104</v>
      </c>
    </row>
    <row r="1530" spans="1:19" x14ac:dyDescent="0.25">
      <c r="A1530" t="s">
        <v>59</v>
      </c>
      <c r="B1530" t="s">
        <v>60</v>
      </c>
      <c r="C1530" t="s">
        <v>32</v>
      </c>
      <c r="D1530" t="s">
        <v>33</v>
      </c>
      <c r="E1530" t="s">
        <v>172</v>
      </c>
      <c r="F1530" t="s">
        <v>35</v>
      </c>
      <c r="G1530" t="s">
        <v>35</v>
      </c>
      <c r="H1530" t="s">
        <v>35</v>
      </c>
      <c r="J1530" t="s">
        <v>1983</v>
      </c>
      <c r="K1530" t="s">
        <v>1092</v>
      </c>
      <c r="M1530">
        <v>2.4500000000000002</v>
      </c>
      <c r="N1530">
        <v>99</v>
      </c>
      <c r="O1530" t="s">
        <v>106</v>
      </c>
      <c r="Q1530" t="s">
        <v>1216</v>
      </c>
      <c r="R1530" t="s">
        <v>103</v>
      </c>
      <c r="S1530" t="s">
        <v>104</v>
      </c>
    </row>
    <row r="1531" spans="1:19" x14ac:dyDescent="0.25">
      <c r="A1531" t="s">
        <v>59</v>
      </c>
      <c r="B1531" t="s">
        <v>31</v>
      </c>
      <c r="C1531" t="s">
        <v>32</v>
      </c>
      <c r="D1531" t="s">
        <v>33</v>
      </c>
      <c r="E1531" t="s">
        <v>172</v>
      </c>
      <c r="F1531" t="s">
        <v>35</v>
      </c>
      <c r="G1531" t="s">
        <v>35</v>
      </c>
      <c r="H1531" t="s">
        <v>35</v>
      </c>
      <c r="J1531" t="s">
        <v>1983</v>
      </c>
      <c r="K1531" t="s">
        <v>1092</v>
      </c>
      <c r="M1531">
        <v>1.845</v>
      </c>
      <c r="N1531">
        <v>99</v>
      </c>
      <c r="O1531" t="s">
        <v>106</v>
      </c>
      <c r="Q1531" t="s">
        <v>1216</v>
      </c>
      <c r="R1531" t="s">
        <v>103</v>
      </c>
      <c r="S1531" t="s">
        <v>104</v>
      </c>
    </row>
    <row r="1532" spans="1:19" x14ac:dyDescent="0.25">
      <c r="A1532" t="s">
        <v>44</v>
      </c>
      <c r="B1532" t="s">
        <v>3</v>
      </c>
      <c r="C1532" t="s">
        <v>32</v>
      </c>
      <c r="D1532" t="s">
        <v>33</v>
      </c>
      <c r="E1532" t="s">
        <v>172</v>
      </c>
      <c r="F1532" t="s">
        <v>35</v>
      </c>
      <c r="G1532" t="s">
        <v>35</v>
      </c>
      <c r="H1532" t="s">
        <v>35</v>
      </c>
      <c r="J1532" t="s">
        <v>1983</v>
      </c>
      <c r="K1532" t="s">
        <v>1092</v>
      </c>
      <c r="M1532">
        <v>2.35</v>
      </c>
      <c r="N1532">
        <v>62</v>
      </c>
      <c r="O1532" t="s">
        <v>61</v>
      </c>
      <c r="Q1532" t="s">
        <v>90</v>
      </c>
      <c r="R1532" t="s">
        <v>103</v>
      </c>
      <c r="S1532" t="s">
        <v>104</v>
      </c>
    </row>
    <row r="1533" spans="1:19" x14ac:dyDescent="0.25">
      <c r="A1533" t="s">
        <v>59</v>
      </c>
      <c r="B1533" t="s">
        <v>60</v>
      </c>
      <c r="C1533" t="s">
        <v>32</v>
      </c>
      <c r="D1533" t="s">
        <v>33</v>
      </c>
      <c r="E1533" t="s">
        <v>172</v>
      </c>
      <c r="F1533" t="s">
        <v>35</v>
      </c>
      <c r="G1533" t="s">
        <v>35</v>
      </c>
      <c r="H1533" t="s">
        <v>35</v>
      </c>
      <c r="J1533" t="s">
        <v>1984</v>
      </c>
      <c r="K1533" t="s">
        <v>404</v>
      </c>
      <c r="M1533">
        <v>1.55</v>
      </c>
      <c r="N1533">
        <v>147</v>
      </c>
      <c r="O1533" t="s">
        <v>38</v>
      </c>
      <c r="Q1533" t="s">
        <v>1229</v>
      </c>
      <c r="R1533" t="s">
        <v>1590</v>
      </c>
      <c r="S1533" t="s">
        <v>1591</v>
      </c>
    </row>
    <row r="1534" spans="1:19" x14ac:dyDescent="0.25">
      <c r="A1534" t="s">
        <v>30</v>
      </c>
      <c r="B1534" t="s">
        <v>31</v>
      </c>
      <c r="C1534" t="s">
        <v>32</v>
      </c>
      <c r="D1534" t="s">
        <v>33</v>
      </c>
      <c r="E1534" t="s">
        <v>177</v>
      </c>
      <c r="F1534" t="s">
        <v>35</v>
      </c>
      <c r="G1534" t="s">
        <v>35</v>
      </c>
      <c r="H1534" t="s">
        <v>35</v>
      </c>
      <c r="J1534" t="s">
        <v>1985</v>
      </c>
      <c r="K1534" t="s">
        <v>1092</v>
      </c>
      <c r="M1534">
        <v>1.98</v>
      </c>
      <c r="N1534">
        <v>19</v>
      </c>
      <c r="O1534" t="s">
        <v>46</v>
      </c>
      <c r="Q1534" t="s">
        <v>1192</v>
      </c>
      <c r="R1534" t="s">
        <v>103</v>
      </c>
      <c r="S1534" t="s">
        <v>104</v>
      </c>
    </row>
    <row r="1535" spans="1:19" x14ac:dyDescent="0.25">
      <c r="A1535" t="s">
        <v>59</v>
      </c>
      <c r="B1535" t="s">
        <v>31</v>
      </c>
      <c r="C1535" t="s">
        <v>32</v>
      </c>
      <c r="D1535" t="s">
        <v>33</v>
      </c>
      <c r="E1535" t="s">
        <v>177</v>
      </c>
      <c r="F1535" t="s">
        <v>35</v>
      </c>
      <c r="G1535" t="s">
        <v>35</v>
      </c>
      <c r="H1535" t="s">
        <v>35</v>
      </c>
      <c r="J1535" t="s">
        <v>1986</v>
      </c>
      <c r="K1535" t="s">
        <v>1092</v>
      </c>
      <c r="M1535">
        <v>1.4850000000000001</v>
      </c>
      <c r="N1535">
        <v>126</v>
      </c>
      <c r="O1535" t="s">
        <v>38</v>
      </c>
      <c r="Q1535" t="s">
        <v>1813</v>
      </c>
      <c r="R1535" t="s">
        <v>118</v>
      </c>
      <c r="S1535" t="s">
        <v>65</v>
      </c>
    </row>
    <row r="1536" spans="1:19" x14ac:dyDescent="0.25">
      <c r="A1536" t="s">
        <v>30</v>
      </c>
      <c r="B1536" t="s">
        <v>31</v>
      </c>
      <c r="C1536" t="s">
        <v>32</v>
      </c>
      <c r="D1536" t="s">
        <v>33</v>
      </c>
      <c r="E1536" t="s">
        <v>177</v>
      </c>
      <c r="F1536" t="s">
        <v>35</v>
      </c>
      <c r="G1536" t="s">
        <v>35</v>
      </c>
      <c r="H1536" t="s">
        <v>35</v>
      </c>
      <c r="J1536" t="s">
        <v>1986</v>
      </c>
      <c r="K1536" t="s">
        <v>1092</v>
      </c>
      <c r="M1536">
        <v>3.2850000000000001</v>
      </c>
      <c r="N1536">
        <v>20</v>
      </c>
      <c r="O1536" t="s">
        <v>46</v>
      </c>
      <c r="Q1536" t="s">
        <v>1004</v>
      </c>
      <c r="R1536" t="s">
        <v>169</v>
      </c>
      <c r="S1536" t="s">
        <v>123</v>
      </c>
    </row>
    <row r="1537" spans="1:19" x14ac:dyDescent="0.25">
      <c r="A1537" t="s">
        <v>59</v>
      </c>
      <c r="B1537" t="s">
        <v>60</v>
      </c>
      <c r="C1537" t="s">
        <v>32</v>
      </c>
      <c r="D1537" t="s">
        <v>33</v>
      </c>
      <c r="E1537" t="s">
        <v>177</v>
      </c>
      <c r="F1537" t="s">
        <v>35</v>
      </c>
      <c r="G1537" t="s">
        <v>35</v>
      </c>
      <c r="H1537" t="s">
        <v>35</v>
      </c>
      <c r="J1537" t="s">
        <v>1986</v>
      </c>
      <c r="K1537" t="s">
        <v>1092</v>
      </c>
      <c r="M1537">
        <v>0.2</v>
      </c>
      <c r="N1537">
        <v>135</v>
      </c>
      <c r="O1537" t="s">
        <v>38</v>
      </c>
      <c r="Q1537" t="s">
        <v>98</v>
      </c>
      <c r="R1537" t="s">
        <v>118</v>
      </c>
      <c r="S1537" t="s">
        <v>65</v>
      </c>
    </row>
    <row r="1538" spans="1:19" x14ac:dyDescent="0.25">
      <c r="A1538" t="s">
        <v>1439</v>
      </c>
      <c r="B1538" t="s">
        <v>1440</v>
      </c>
      <c r="C1538" t="s">
        <v>32</v>
      </c>
      <c r="D1538" t="s">
        <v>33</v>
      </c>
      <c r="E1538" t="s">
        <v>177</v>
      </c>
      <c r="F1538" t="s">
        <v>35</v>
      </c>
      <c r="G1538" t="s">
        <v>35</v>
      </c>
      <c r="H1538" t="s">
        <v>35</v>
      </c>
      <c r="J1538" t="s">
        <v>1579</v>
      </c>
      <c r="K1538" t="s">
        <v>1092</v>
      </c>
      <c r="M1538">
        <v>1.84</v>
      </c>
      <c r="N1538">
        <v>93</v>
      </c>
      <c r="O1538" t="s">
        <v>106</v>
      </c>
      <c r="Q1538" t="s">
        <v>941</v>
      </c>
      <c r="R1538" t="s">
        <v>1279</v>
      </c>
      <c r="S1538" t="s">
        <v>163</v>
      </c>
    </row>
    <row r="1539" spans="1:19" x14ac:dyDescent="0.25">
      <c r="A1539" t="s">
        <v>59</v>
      </c>
      <c r="B1539" t="s">
        <v>31</v>
      </c>
      <c r="C1539" t="s">
        <v>32</v>
      </c>
      <c r="D1539" t="s">
        <v>33</v>
      </c>
      <c r="E1539" t="s">
        <v>177</v>
      </c>
      <c r="F1539" t="s">
        <v>35</v>
      </c>
      <c r="G1539" t="s">
        <v>35</v>
      </c>
      <c r="H1539" t="s">
        <v>35</v>
      </c>
      <c r="J1539" t="s">
        <v>1579</v>
      </c>
      <c r="K1539" t="s">
        <v>1092</v>
      </c>
      <c r="M1539">
        <v>3.42</v>
      </c>
      <c r="N1539">
        <v>93</v>
      </c>
      <c r="O1539" t="s">
        <v>106</v>
      </c>
      <c r="Q1539" t="s">
        <v>941</v>
      </c>
      <c r="R1539" t="s">
        <v>1279</v>
      </c>
      <c r="S1539" t="s">
        <v>163</v>
      </c>
    </row>
    <row r="1540" spans="1:19" x14ac:dyDescent="0.25">
      <c r="A1540" t="s">
        <v>30</v>
      </c>
      <c r="B1540" t="s">
        <v>31</v>
      </c>
      <c r="C1540" t="s">
        <v>32</v>
      </c>
      <c r="D1540" t="s">
        <v>33</v>
      </c>
      <c r="E1540" t="s">
        <v>177</v>
      </c>
      <c r="F1540" t="s">
        <v>35</v>
      </c>
      <c r="G1540" t="s">
        <v>35</v>
      </c>
      <c r="H1540" t="s">
        <v>35</v>
      </c>
      <c r="J1540" t="s">
        <v>1990</v>
      </c>
      <c r="K1540" t="s">
        <v>1092</v>
      </c>
      <c r="M1540">
        <v>3.7349999999999999</v>
      </c>
      <c r="N1540">
        <v>47</v>
      </c>
      <c r="O1540" t="s">
        <v>52</v>
      </c>
      <c r="Q1540" t="s">
        <v>132</v>
      </c>
      <c r="R1540" t="s">
        <v>103</v>
      </c>
      <c r="S1540" t="s">
        <v>104</v>
      </c>
    </row>
    <row r="1541" spans="1:19" x14ac:dyDescent="0.25">
      <c r="A1541" t="s">
        <v>59</v>
      </c>
      <c r="B1541" t="s">
        <v>31</v>
      </c>
      <c r="C1541" t="s">
        <v>32</v>
      </c>
      <c r="D1541" t="s">
        <v>33</v>
      </c>
      <c r="E1541" t="s">
        <v>177</v>
      </c>
      <c r="F1541" t="s">
        <v>35</v>
      </c>
      <c r="G1541" t="s">
        <v>35</v>
      </c>
      <c r="H1541" t="s">
        <v>35</v>
      </c>
      <c r="J1541" t="s">
        <v>1990</v>
      </c>
      <c r="K1541" t="s">
        <v>1092</v>
      </c>
      <c r="M1541">
        <v>5.49</v>
      </c>
      <c r="N1541">
        <v>71</v>
      </c>
      <c r="O1541" t="s">
        <v>61</v>
      </c>
      <c r="Q1541" t="s">
        <v>102</v>
      </c>
      <c r="R1541" t="s">
        <v>103</v>
      </c>
      <c r="S1541" t="s">
        <v>104</v>
      </c>
    </row>
    <row r="1542" spans="1:19" x14ac:dyDescent="0.25">
      <c r="A1542" t="s">
        <v>30</v>
      </c>
      <c r="B1542" t="s">
        <v>31</v>
      </c>
      <c r="C1542" t="s">
        <v>32</v>
      </c>
      <c r="D1542" t="s">
        <v>33</v>
      </c>
      <c r="E1542" t="s">
        <v>177</v>
      </c>
      <c r="F1542" t="s">
        <v>35</v>
      </c>
      <c r="G1542" t="s">
        <v>35</v>
      </c>
      <c r="H1542" t="s">
        <v>35</v>
      </c>
      <c r="J1542" t="s">
        <v>1991</v>
      </c>
      <c r="K1542" t="s">
        <v>1092</v>
      </c>
      <c r="M1542">
        <v>3.42</v>
      </c>
      <c r="N1542">
        <v>45</v>
      </c>
      <c r="O1542" t="s">
        <v>52</v>
      </c>
      <c r="Q1542" t="s">
        <v>716</v>
      </c>
      <c r="R1542" t="s">
        <v>193</v>
      </c>
      <c r="S1542" t="s">
        <v>181</v>
      </c>
    </row>
    <row r="1543" spans="1:19" x14ac:dyDescent="0.25">
      <c r="A1543" t="s">
        <v>59</v>
      </c>
      <c r="B1543" t="s">
        <v>31</v>
      </c>
      <c r="C1543" t="s">
        <v>32</v>
      </c>
      <c r="D1543" t="s">
        <v>33</v>
      </c>
      <c r="E1543" t="s">
        <v>177</v>
      </c>
      <c r="F1543" t="s">
        <v>35</v>
      </c>
      <c r="G1543" t="s">
        <v>35</v>
      </c>
      <c r="H1543" t="s">
        <v>35</v>
      </c>
      <c r="J1543" t="s">
        <v>1991</v>
      </c>
      <c r="K1543" t="s">
        <v>1092</v>
      </c>
      <c r="M1543">
        <v>0.67500000000000004</v>
      </c>
      <c r="N1543">
        <v>65</v>
      </c>
      <c r="O1543" t="s">
        <v>61</v>
      </c>
      <c r="Q1543" t="s">
        <v>128</v>
      </c>
      <c r="R1543" t="s">
        <v>103</v>
      </c>
      <c r="S1543" t="s">
        <v>104</v>
      </c>
    </row>
    <row r="1544" spans="1:19" x14ac:dyDescent="0.25">
      <c r="A1544" t="s">
        <v>30</v>
      </c>
      <c r="B1544" t="s">
        <v>31</v>
      </c>
      <c r="C1544" t="s">
        <v>32</v>
      </c>
      <c r="D1544" t="s">
        <v>33</v>
      </c>
      <c r="E1544" t="s">
        <v>177</v>
      </c>
      <c r="F1544" t="s">
        <v>35</v>
      </c>
      <c r="G1544" t="s">
        <v>35</v>
      </c>
      <c r="H1544" t="s">
        <v>35</v>
      </c>
      <c r="J1544" t="s">
        <v>1992</v>
      </c>
      <c r="K1544" t="s">
        <v>1092</v>
      </c>
      <c r="M1544">
        <v>2.0699999999999998</v>
      </c>
      <c r="N1544">
        <v>46</v>
      </c>
      <c r="O1544" t="s">
        <v>52</v>
      </c>
      <c r="Q1544" t="s">
        <v>493</v>
      </c>
      <c r="R1544" t="s">
        <v>85</v>
      </c>
      <c r="S1544" t="s">
        <v>86</v>
      </c>
    </row>
    <row r="1545" spans="1:19" x14ac:dyDescent="0.25">
      <c r="A1545" t="s">
        <v>44</v>
      </c>
      <c r="B1545" t="s">
        <v>3</v>
      </c>
      <c r="C1545" t="s">
        <v>32</v>
      </c>
      <c r="D1545" t="s">
        <v>33</v>
      </c>
      <c r="E1545" t="s">
        <v>177</v>
      </c>
      <c r="F1545" t="s">
        <v>35</v>
      </c>
      <c r="G1545" t="s">
        <v>35</v>
      </c>
      <c r="H1545" t="s">
        <v>35</v>
      </c>
      <c r="J1545" t="s">
        <v>1992</v>
      </c>
      <c r="K1545" t="s">
        <v>1092</v>
      </c>
      <c r="M1545">
        <v>2.35</v>
      </c>
      <c r="N1545">
        <v>62</v>
      </c>
      <c r="O1545" t="s">
        <v>61</v>
      </c>
      <c r="Q1545" t="s">
        <v>90</v>
      </c>
      <c r="R1545" t="s">
        <v>85</v>
      </c>
      <c r="S1545" t="s">
        <v>86</v>
      </c>
    </row>
    <row r="1546" spans="1:19" x14ac:dyDescent="0.25">
      <c r="A1546" t="s">
        <v>44</v>
      </c>
      <c r="B1546" t="s">
        <v>51</v>
      </c>
      <c r="C1546" t="s">
        <v>32</v>
      </c>
      <c r="D1546" t="s">
        <v>33</v>
      </c>
      <c r="E1546" t="s">
        <v>177</v>
      </c>
      <c r="F1546" t="s">
        <v>35</v>
      </c>
      <c r="G1546" t="s">
        <v>35</v>
      </c>
      <c r="H1546" t="s">
        <v>35</v>
      </c>
      <c r="J1546" t="s">
        <v>1992</v>
      </c>
      <c r="K1546" t="s">
        <v>1092</v>
      </c>
      <c r="M1546">
        <v>3.15</v>
      </c>
      <c r="N1546">
        <v>28</v>
      </c>
      <c r="O1546" t="s">
        <v>46</v>
      </c>
      <c r="Q1546" t="s">
        <v>176</v>
      </c>
      <c r="R1546" t="s">
        <v>85</v>
      </c>
      <c r="S1546" t="s">
        <v>86</v>
      </c>
    </row>
    <row r="1547" spans="1:19" x14ac:dyDescent="0.25">
      <c r="A1547" t="s">
        <v>44</v>
      </c>
      <c r="B1547" t="s">
        <v>3</v>
      </c>
      <c r="C1547" t="s">
        <v>32</v>
      </c>
      <c r="D1547" t="s">
        <v>33</v>
      </c>
      <c r="E1547" t="s">
        <v>177</v>
      </c>
      <c r="F1547" t="s">
        <v>35</v>
      </c>
      <c r="G1547" t="s">
        <v>35</v>
      </c>
      <c r="H1547" t="s">
        <v>35</v>
      </c>
      <c r="J1547" t="s">
        <v>1993</v>
      </c>
      <c r="K1547" t="s">
        <v>1092</v>
      </c>
      <c r="M1547">
        <v>3</v>
      </c>
      <c r="N1547">
        <v>68</v>
      </c>
      <c r="O1547" t="s">
        <v>61</v>
      </c>
      <c r="Q1547" t="s">
        <v>146</v>
      </c>
      <c r="R1547" t="s">
        <v>193</v>
      </c>
      <c r="S1547" t="s">
        <v>181</v>
      </c>
    </row>
    <row r="1548" spans="1:19" x14ac:dyDescent="0.25">
      <c r="A1548" t="s">
        <v>59</v>
      </c>
      <c r="B1548" t="s">
        <v>60</v>
      </c>
      <c r="C1548" t="s">
        <v>32</v>
      </c>
      <c r="D1548" t="s">
        <v>33</v>
      </c>
      <c r="E1548" t="s">
        <v>177</v>
      </c>
      <c r="F1548" t="s">
        <v>35</v>
      </c>
      <c r="G1548" t="s">
        <v>35</v>
      </c>
      <c r="H1548" t="s">
        <v>35</v>
      </c>
      <c r="J1548" t="s">
        <v>1993</v>
      </c>
      <c r="K1548" t="s">
        <v>1092</v>
      </c>
      <c r="M1548">
        <v>0.55000000000000004</v>
      </c>
      <c r="N1548">
        <v>42</v>
      </c>
      <c r="O1548" t="s">
        <v>52</v>
      </c>
      <c r="Q1548" t="s">
        <v>991</v>
      </c>
      <c r="R1548" t="s">
        <v>193</v>
      </c>
      <c r="S1548" t="s">
        <v>181</v>
      </c>
    </row>
    <row r="1549" spans="1:19" x14ac:dyDescent="0.25">
      <c r="A1549" t="s">
        <v>44</v>
      </c>
      <c r="B1549" t="s">
        <v>51</v>
      </c>
      <c r="C1549" t="s">
        <v>32</v>
      </c>
      <c r="D1549" t="s">
        <v>33</v>
      </c>
      <c r="E1549" t="s">
        <v>177</v>
      </c>
      <c r="F1549" t="s">
        <v>35</v>
      </c>
      <c r="G1549" t="s">
        <v>35</v>
      </c>
      <c r="H1549" t="s">
        <v>35</v>
      </c>
      <c r="J1549" t="s">
        <v>1993</v>
      </c>
      <c r="K1549" t="s">
        <v>1092</v>
      </c>
      <c r="M1549">
        <v>2.75</v>
      </c>
      <c r="N1549">
        <v>58</v>
      </c>
      <c r="O1549" t="s">
        <v>52</v>
      </c>
      <c r="Q1549" t="s">
        <v>58</v>
      </c>
      <c r="R1549" t="s">
        <v>193</v>
      </c>
      <c r="S1549" t="s">
        <v>181</v>
      </c>
    </row>
    <row r="1550" spans="1:19" x14ac:dyDescent="0.25">
      <c r="A1550" t="s">
        <v>59</v>
      </c>
      <c r="B1550" t="s">
        <v>60</v>
      </c>
      <c r="C1550" t="s">
        <v>32</v>
      </c>
      <c r="D1550" t="s">
        <v>33</v>
      </c>
      <c r="E1550" t="s">
        <v>177</v>
      </c>
      <c r="F1550" t="s">
        <v>35</v>
      </c>
      <c r="G1550" t="s">
        <v>35</v>
      </c>
      <c r="H1550" t="s">
        <v>35</v>
      </c>
      <c r="J1550" t="s">
        <v>1994</v>
      </c>
      <c r="K1550" t="s">
        <v>1092</v>
      </c>
      <c r="M1550">
        <v>0.25</v>
      </c>
      <c r="N1550">
        <v>100</v>
      </c>
      <c r="O1550" t="s">
        <v>106</v>
      </c>
      <c r="Q1550" t="s">
        <v>1112</v>
      </c>
      <c r="R1550" t="s">
        <v>85</v>
      </c>
      <c r="S1550" t="s">
        <v>86</v>
      </c>
    </row>
    <row r="1551" spans="1:19" x14ac:dyDescent="0.25">
      <c r="A1551" t="s">
        <v>44</v>
      </c>
      <c r="B1551" t="s">
        <v>3</v>
      </c>
      <c r="C1551" t="s">
        <v>32</v>
      </c>
      <c r="D1551" t="s">
        <v>33</v>
      </c>
      <c r="E1551" t="s">
        <v>177</v>
      </c>
      <c r="F1551" t="s">
        <v>35</v>
      </c>
      <c r="G1551" t="s">
        <v>35</v>
      </c>
      <c r="H1551" t="s">
        <v>35</v>
      </c>
      <c r="J1551" t="s">
        <v>1995</v>
      </c>
      <c r="K1551" t="s">
        <v>1092</v>
      </c>
      <c r="M1551">
        <v>1.85</v>
      </c>
      <c r="N1551">
        <v>62</v>
      </c>
      <c r="O1551" t="s">
        <v>61</v>
      </c>
      <c r="Q1551" t="s">
        <v>90</v>
      </c>
      <c r="R1551" t="s">
        <v>85</v>
      </c>
      <c r="S1551" t="s">
        <v>86</v>
      </c>
    </row>
    <row r="1552" spans="1:19" x14ac:dyDescent="0.25">
      <c r="A1552" t="s">
        <v>44</v>
      </c>
      <c r="B1552" t="s">
        <v>51</v>
      </c>
      <c r="C1552" t="s">
        <v>32</v>
      </c>
      <c r="D1552" t="s">
        <v>33</v>
      </c>
      <c r="E1552" t="s">
        <v>177</v>
      </c>
      <c r="F1552" t="s">
        <v>35</v>
      </c>
      <c r="G1552" t="s">
        <v>35</v>
      </c>
      <c r="H1552" t="s">
        <v>35</v>
      </c>
      <c r="J1552" t="s">
        <v>1995</v>
      </c>
      <c r="K1552" t="s">
        <v>1092</v>
      </c>
      <c r="M1552">
        <v>4</v>
      </c>
      <c r="N1552">
        <v>28</v>
      </c>
      <c r="O1552" t="s">
        <v>46</v>
      </c>
      <c r="Q1552" t="s">
        <v>176</v>
      </c>
      <c r="R1552" t="s">
        <v>85</v>
      </c>
      <c r="S1552" t="s">
        <v>86</v>
      </c>
    </row>
    <row r="1553" spans="1:19" x14ac:dyDescent="0.25">
      <c r="A1553" t="s">
        <v>59</v>
      </c>
      <c r="B1553" t="s">
        <v>60</v>
      </c>
      <c r="C1553" t="s">
        <v>32</v>
      </c>
      <c r="D1553" t="s">
        <v>33</v>
      </c>
      <c r="E1553" t="s">
        <v>177</v>
      </c>
      <c r="F1553" t="s">
        <v>35</v>
      </c>
      <c r="G1553" t="s">
        <v>35</v>
      </c>
      <c r="H1553" t="s">
        <v>35</v>
      </c>
      <c r="J1553" t="s">
        <v>1995</v>
      </c>
      <c r="K1553" t="s">
        <v>1092</v>
      </c>
      <c r="M1553">
        <v>1.9</v>
      </c>
      <c r="N1553">
        <v>72</v>
      </c>
      <c r="O1553" t="s">
        <v>61</v>
      </c>
      <c r="Q1553" t="s">
        <v>63</v>
      </c>
      <c r="R1553" t="s">
        <v>85</v>
      </c>
      <c r="S1553" t="s">
        <v>86</v>
      </c>
    </row>
    <row r="1554" spans="1:19" x14ac:dyDescent="0.25">
      <c r="A1554" t="s">
        <v>59</v>
      </c>
      <c r="B1554" t="s">
        <v>60</v>
      </c>
      <c r="C1554" t="s">
        <v>32</v>
      </c>
      <c r="D1554" t="s">
        <v>33</v>
      </c>
      <c r="E1554" t="s">
        <v>177</v>
      </c>
      <c r="F1554" t="s">
        <v>35</v>
      </c>
      <c r="G1554" t="s">
        <v>35</v>
      </c>
      <c r="H1554" t="s">
        <v>35</v>
      </c>
      <c r="J1554" t="s">
        <v>1584</v>
      </c>
      <c r="K1554" t="s">
        <v>1092</v>
      </c>
      <c r="M1554">
        <v>3.4</v>
      </c>
      <c r="N1554">
        <v>100</v>
      </c>
      <c r="O1554" t="s">
        <v>106</v>
      </c>
      <c r="Q1554" t="s">
        <v>1112</v>
      </c>
      <c r="R1554" t="s">
        <v>85</v>
      </c>
      <c r="S1554" t="s">
        <v>86</v>
      </c>
    </row>
    <row r="1555" spans="1:19" x14ac:dyDescent="0.25">
      <c r="A1555" t="s">
        <v>44</v>
      </c>
      <c r="B1555" t="s">
        <v>51</v>
      </c>
      <c r="C1555" t="s">
        <v>32</v>
      </c>
      <c r="D1555" t="s">
        <v>33</v>
      </c>
      <c r="E1555" t="s">
        <v>177</v>
      </c>
      <c r="F1555" t="s">
        <v>35</v>
      </c>
      <c r="G1555" t="s">
        <v>35</v>
      </c>
      <c r="H1555" t="s">
        <v>35</v>
      </c>
      <c r="J1555" t="s">
        <v>1584</v>
      </c>
      <c r="K1555" t="s">
        <v>1092</v>
      </c>
      <c r="M1555">
        <v>5</v>
      </c>
      <c r="N1555">
        <v>28</v>
      </c>
      <c r="O1555" t="s">
        <v>46</v>
      </c>
      <c r="Q1555" t="s">
        <v>176</v>
      </c>
      <c r="R1555" t="s">
        <v>85</v>
      </c>
      <c r="S1555" t="s">
        <v>86</v>
      </c>
    </row>
    <row r="1556" spans="1:19" x14ac:dyDescent="0.25">
      <c r="A1556" t="s">
        <v>30</v>
      </c>
      <c r="B1556" t="s">
        <v>31</v>
      </c>
      <c r="C1556" t="s">
        <v>32</v>
      </c>
      <c r="D1556" t="s">
        <v>33</v>
      </c>
      <c r="E1556" t="s">
        <v>177</v>
      </c>
      <c r="F1556" t="s">
        <v>35</v>
      </c>
      <c r="G1556" t="s">
        <v>35</v>
      </c>
      <c r="H1556" t="s">
        <v>35</v>
      </c>
      <c r="J1556" t="s">
        <v>1996</v>
      </c>
      <c r="K1556" t="s">
        <v>1092</v>
      </c>
      <c r="M1556">
        <v>4.2300000000000004</v>
      </c>
      <c r="N1556">
        <v>44</v>
      </c>
      <c r="O1556" t="s">
        <v>52</v>
      </c>
      <c r="Q1556" t="s">
        <v>192</v>
      </c>
      <c r="R1556" t="s">
        <v>193</v>
      </c>
      <c r="S1556" t="s">
        <v>181</v>
      </c>
    </row>
    <row r="1557" spans="1:19" x14ac:dyDescent="0.25">
      <c r="A1557" t="s">
        <v>59</v>
      </c>
      <c r="B1557" t="s">
        <v>31</v>
      </c>
      <c r="C1557" t="s">
        <v>32</v>
      </c>
      <c r="D1557" t="s">
        <v>33</v>
      </c>
      <c r="E1557" t="s">
        <v>177</v>
      </c>
      <c r="F1557" t="s">
        <v>35</v>
      </c>
      <c r="G1557" t="s">
        <v>35</v>
      </c>
      <c r="H1557" t="s">
        <v>35</v>
      </c>
      <c r="J1557" t="s">
        <v>1997</v>
      </c>
      <c r="K1557" t="s">
        <v>1092</v>
      </c>
      <c r="M1557">
        <v>1.08</v>
      </c>
      <c r="N1557">
        <v>414</v>
      </c>
      <c r="O1557" t="s">
        <v>294</v>
      </c>
      <c r="Q1557" t="s">
        <v>1998</v>
      </c>
      <c r="R1557" t="s">
        <v>193</v>
      </c>
      <c r="S1557" t="s">
        <v>181</v>
      </c>
    </row>
    <row r="1558" spans="1:19" x14ac:dyDescent="0.25">
      <c r="A1558" t="s">
        <v>44</v>
      </c>
      <c r="B1558" t="s">
        <v>3</v>
      </c>
      <c r="C1558" t="s">
        <v>32</v>
      </c>
      <c r="D1558" t="s">
        <v>33</v>
      </c>
      <c r="E1558" t="s">
        <v>177</v>
      </c>
      <c r="F1558" t="s">
        <v>35</v>
      </c>
      <c r="G1558" t="s">
        <v>35</v>
      </c>
      <c r="H1558" t="s">
        <v>35</v>
      </c>
      <c r="J1558" t="s">
        <v>1999</v>
      </c>
      <c r="K1558" t="s">
        <v>1092</v>
      </c>
      <c r="M1558">
        <v>5.5</v>
      </c>
      <c r="N1558">
        <v>62</v>
      </c>
      <c r="O1558" t="s">
        <v>61</v>
      </c>
      <c r="Q1558" t="s">
        <v>90</v>
      </c>
      <c r="R1558" t="s">
        <v>85</v>
      </c>
      <c r="S1558" t="s">
        <v>86</v>
      </c>
    </row>
    <row r="1559" spans="1:19" x14ac:dyDescent="0.25">
      <c r="A1559" t="s">
        <v>44</v>
      </c>
      <c r="B1559" t="s">
        <v>51</v>
      </c>
      <c r="C1559" t="s">
        <v>32</v>
      </c>
      <c r="D1559" t="s">
        <v>33</v>
      </c>
      <c r="E1559" t="s">
        <v>177</v>
      </c>
      <c r="F1559" t="s">
        <v>35</v>
      </c>
      <c r="G1559" t="s">
        <v>35</v>
      </c>
      <c r="H1559" t="s">
        <v>35</v>
      </c>
      <c r="J1559" t="s">
        <v>2000</v>
      </c>
      <c r="K1559" t="s">
        <v>1092</v>
      </c>
      <c r="M1559">
        <v>3.15</v>
      </c>
      <c r="N1559">
        <v>28</v>
      </c>
      <c r="O1559" t="s">
        <v>46</v>
      </c>
      <c r="Q1559" t="s">
        <v>176</v>
      </c>
      <c r="R1559" t="s">
        <v>85</v>
      </c>
      <c r="S1559" t="s">
        <v>86</v>
      </c>
    </row>
    <row r="1560" spans="1:19" x14ac:dyDescent="0.25">
      <c r="A1560" t="s">
        <v>59</v>
      </c>
      <c r="B1560" t="s">
        <v>60</v>
      </c>
      <c r="C1560" t="s">
        <v>32</v>
      </c>
      <c r="D1560" t="s">
        <v>33</v>
      </c>
      <c r="E1560" t="s">
        <v>177</v>
      </c>
      <c r="F1560" t="s">
        <v>35</v>
      </c>
      <c r="G1560" t="s">
        <v>35</v>
      </c>
      <c r="H1560" t="s">
        <v>35</v>
      </c>
      <c r="J1560" t="s">
        <v>2000</v>
      </c>
      <c r="K1560" t="s">
        <v>1092</v>
      </c>
      <c r="M1560">
        <v>1.55</v>
      </c>
      <c r="N1560">
        <v>73</v>
      </c>
      <c r="O1560" t="s">
        <v>61</v>
      </c>
      <c r="Q1560" t="s">
        <v>552</v>
      </c>
      <c r="R1560" t="s">
        <v>85</v>
      </c>
      <c r="S1560" t="s">
        <v>86</v>
      </c>
    </row>
    <row r="1561" spans="1:19" x14ac:dyDescent="0.25">
      <c r="A1561" t="s">
        <v>44</v>
      </c>
      <c r="B1561" t="s">
        <v>3</v>
      </c>
      <c r="C1561" t="s">
        <v>32</v>
      </c>
      <c r="D1561" t="s">
        <v>33</v>
      </c>
      <c r="E1561" t="s">
        <v>177</v>
      </c>
      <c r="F1561" t="s">
        <v>35</v>
      </c>
      <c r="G1561" t="s">
        <v>35</v>
      </c>
      <c r="H1561" t="s">
        <v>35</v>
      </c>
      <c r="J1561" t="s">
        <v>2000</v>
      </c>
      <c r="K1561" t="s">
        <v>1092</v>
      </c>
      <c r="M1561">
        <v>1.9</v>
      </c>
      <c r="N1561">
        <v>62</v>
      </c>
      <c r="O1561" t="s">
        <v>61</v>
      </c>
      <c r="Q1561" t="s">
        <v>90</v>
      </c>
      <c r="R1561" t="s">
        <v>85</v>
      </c>
      <c r="S1561" t="s">
        <v>86</v>
      </c>
    </row>
    <row r="1562" spans="1:19" x14ac:dyDescent="0.25">
      <c r="A1562" t="s">
        <v>59</v>
      </c>
      <c r="B1562" t="s">
        <v>60</v>
      </c>
      <c r="C1562" t="s">
        <v>32</v>
      </c>
      <c r="D1562" t="s">
        <v>33</v>
      </c>
      <c r="E1562" t="s">
        <v>177</v>
      </c>
      <c r="F1562" t="s">
        <v>35</v>
      </c>
      <c r="G1562" t="s">
        <v>35</v>
      </c>
      <c r="H1562" t="s">
        <v>35</v>
      </c>
      <c r="J1562" t="s">
        <v>2001</v>
      </c>
      <c r="K1562" t="s">
        <v>1092</v>
      </c>
      <c r="M1562">
        <v>6.0000000000000001E-3</v>
      </c>
      <c r="N1562">
        <v>233</v>
      </c>
      <c r="O1562" t="s">
        <v>5</v>
      </c>
      <c r="Q1562" t="s">
        <v>2002</v>
      </c>
      <c r="R1562" t="s">
        <v>193</v>
      </c>
      <c r="S1562" t="s">
        <v>181</v>
      </c>
    </row>
    <row r="1563" spans="1:19" x14ac:dyDescent="0.25">
      <c r="A1563" t="s">
        <v>44</v>
      </c>
      <c r="B1563" t="s">
        <v>3</v>
      </c>
      <c r="C1563" t="s">
        <v>32</v>
      </c>
      <c r="D1563" t="s">
        <v>33</v>
      </c>
      <c r="E1563" t="s">
        <v>177</v>
      </c>
      <c r="F1563" t="s">
        <v>35</v>
      </c>
      <c r="G1563" t="s">
        <v>35</v>
      </c>
      <c r="H1563" t="s">
        <v>35</v>
      </c>
      <c r="J1563" t="s">
        <v>2004</v>
      </c>
      <c r="K1563" t="s">
        <v>1092</v>
      </c>
      <c r="M1563">
        <v>0.4</v>
      </c>
      <c r="N1563">
        <v>66</v>
      </c>
      <c r="O1563" t="s">
        <v>61</v>
      </c>
      <c r="Q1563" t="s">
        <v>203</v>
      </c>
      <c r="R1563" t="s">
        <v>1287</v>
      </c>
      <c r="S1563" t="s">
        <v>189</v>
      </c>
    </row>
    <row r="1564" spans="1:19" x14ac:dyDescent="0.25">
      <c r="A1564" t="s">
        <v>44</v>
      </c>
      <c r="B1564" t="s">
        <v>3</v>
      </c>
      <c r="C1564" t="s">
        <v>32</v>
      </c>
      <c r="D1564" t="s">
        <v>33</v>
      </c>
      <c r="E1564" t="s">
        <v>177</v>
      </c>
      <c r="F1564" t="s">
        <v>35</v>
      </c>
      <c r="G1564" t="s">
        <v>35</v>
      </c>
      <c r="H1564" t="s">
        <v>35</v>
      </c>
      <c r="J1564" t="s">
        <v>2004</v>
      </c>
      <c r="K1564" t="s">
        <v>1092</v>
      </c>
      <c r="M1564">
        <v>0.5</v>
      </c>
      <c r="N1564">
        <v>53</v>
      </c>
      <c r="O1564" t="s">
        <v>52</v>
      </c>
      <c r="Q1564" t="s">
        <v>332</v>
      </c>
      <c r="R1564" t="s">
        <v>1287</v>
      </c>
      <c r="S1564" t="s">
        <v>189</v>
      </c>
    </row>
    <row r="1565" spans="1:19" x14ac:dyDescent="0.25">
      <c r="A1565" t="s">
        <v>30</v>
      </c>
      <c r="B1565" t="s">
        <v>31</v>
      </c>
      <c r="C1565" t="s">
        <v>32</v>
      </c>
      <c r="D1565" t="s">
        <v>33</v>
      </c>
      <c r="E1565" t="s">
        <v>177</v>
      </c>
      <c r="F1565" t="s">
        <v>35</v>
      </c>
      <c r="G1565" t="s">
        <v>35</v>
      </c>
      <c r="H1565" t="s">
        <v>35</v>
      </c>
      <c r="J1565" t="s">
        <v>2004</v>
      </c>
      <c r="K1565" t="s">
        <v>1092</v>
      </c>
      <c r="M1565">
        <v>4.59</v>
      </c>
      <c r="N1565">
        <v>44</v>
      </c>
      <c r="O1565" t="s">
        <v>52</v>
      </c>
      <c r="Q1565" t="s">
        <v>192</v>
      </c>
      <c r="R1565" t="s">
        <v>193</v>
      </c>
      <c r="S1565" t="s">
        <v>181</v>
      </c>
    </row>
    <row r="1566" spans="1:19" x14ac:dyDescent="0.25">
      <c r="A1566" t="s">
        <v>44</v>
      </c>
      <c r="B1566" t="s">
        <v>3</v>
      </c>
      <c r="C1566" t="s">
        <v>32</v>
      </c>
      <c r="D1566" t="s">
        <v>33</v>
      </c>
      <c r="E1566" t="s">
        <v>177</v>
      </c>
      <c r="F1566" t="s">
        <v>35</v>
      </c>
      <c r="G1566" t="s">
        <v>35</v>
      </c>
      <c r="H1566" t="s">
        <v>35</v>
      </c>
      <c r="J1566" t="s">
        <v>2004</v>
      </c>
      <c r="K1566" t="s">
        <v>1092</v>
      </c>
      <c r="M1566">
        <v>0.4</v>
      </c>
      <c r="N1566">
        <v>36</v>
      </c>
      <c r="O1566" t="s">
        <v>52</v>
      </c>
      <c r="Q1566" t="s">
        <v>2005</v>
      </c>
      <c r="R1566" t="s">
        <v>1287</v>
      </c>
      <c r="S1566" t="s">
        <v>189</v>
      </c>
    </row>
    <row r="1567" spans="1:19" x14ac:dyDescent="0.25">
      <c r="A1567" t="s">
        <v>44</v>
      </c>
      <c r="B1567" t="s">
        <v>3</v>
      </c>
      <c r="C1567" t="s">
        <v>32</v>
      </c>
      <c r="D1567" t="s">
        <v>33</v>
      </c>
      <c r="E1567" t="s">
        <v>177</v>
      </c>
      <c r="F1567" t="s">
        <v>35</v>
      </c>
      <c r="G1567" t="s">
        <v>35</v>
      </c>
      <c r="H1567" t="s">
        <v>35</v>
      </c>
      <c r="J1567" t="s">
        <v>2006</v>
      </c>
      <c r="K1567" t="s">
        <v>1092</v>
      </c>
      <c r="M1567">
        <v>0.5</v>
      </c>
      <c r="N1567">
        <v>63</v>
      </c>
      <c r="O1567" t="s">
        <v>61</v>
      </c>
      <c r="Q1567" t="s">
        <v>423</v>
      </c>
      <c r="R1567" t="s">
        <v>1287</v>
      </c>
      <c r="S1567" t="s">
        <v>189</v>
      </c>
    </row>
    <row r="1568" spans="1:19" x14ac:dyDescent="0.25">
      <c r="A1568" t="s">
        <v>59</v>
      </c>
      <c r="B1568" t="s">
        <v>60</v>
      </c>
      <c r="C1568" t="s">
        <v>32</v>
      </c>
      <c r="D1568" t="s">
        <v>33</v>
      </c>
      <c r="E1568" t="s">
        <v>177</v>
      </c>
      <c r="F1568" t="s">
        <v>35</v>
      </c>
      <c r="G1568" t="s">
        <v>35</v>
      </c>
      <c r="H1568" t="s">
        <v>35</v>
      </c>
      <c r="J1568" t="s">
        <v>2007</v>
      </c>
      <c r="K1568" t="s">
        <v>1092</v>
      </c>
      <c r="M1568">
        <v>0.5</v>
      </c>
      <c r="N1568">
        <v>98</v>
      </c>
      <c r="O1568" t="s">
        <v>106</v>
      </c>
      <c r="Q1568" t="s">
        <v>108</v>
      </c>
      <c r="R1568" t="s">
        <v>193</v>
      </c>
      <c r="S1568" t="s">
        <v>181</v>
      </c>
    </row>
    <row r="1569" spans="1:19" x14ac:dyDescent="0.25">
      <c r="A1569" t="s">
        <v>44</v>
      </c>
      <c r="B1569" t="s">
        <v>3</v>
      </c>
      <c r="C1569" t="s">
        <v>32</v>
      </c>
      <c r="D1569" t="s">
        <v>33</v>
      </c>
      <c r="E1569" t="s">
        <v>177</v>
      </c>
      <c r="F1569" t="s">
        <v>35</v>
      </c>
      <c r="G1569" t="s">
        <v>35</v>
      </c>
      <c r="H1569" t="s">
        <v>35</v>
      </c>
      <c r="J1569" t="s">
        <v>2007</v>
      </c>
      <c r="K1569" t="s">
        <v>1092</v>
      </c>
      <c r="M1569">
        <v>0.3</v>
      </c>
      <c r="N1569">
        <v>31</v>
      </c>
      <c r="O1569" t="s">
        <v>52</v>
      </c>
      <c r="Q1569" t="s">
        <v>972</v>
      </c>
      <c r="R1569" t="s">
        <v>1287</v>
      </c>
      <c r="S1569" t="s">
        <v>189</v>
      </c>
    </row>
    <row r="1570" spans="1:19" x14ac:dyDescent="0.25">
      <c r="A1570" t="s">
        <v>44</v>
      </c>
      <c r="B1570" t="s">
        <v>3</v>
      </c>
      <c r="C1570" t="s">
        <v>32</v>
      </c>
      <c r="D1570" t="s">
        <v>33</v>
      </c>
      <c r="E1570" t="s">
        <v>177</v>
      </c>
      <c r="F1570" t="s">
        <v>35</v>
      </c>
      <c r="G1570" t="s">
        <v>35</v>
      </c>
      <c r="H1570" t="s">
        <v>35</v>
      </c>
      <c r="J1570" t="s">
        <v>2008</v>
      </c>
      <c r="K1570" t="s">
        <v>1092</v>
      </c>
      <c r="M1570">
        <v>0.15</v>
      </c>
      <c r="N1570">
        <v>9</v>
      </c>
      <c r="O1570" t="s">
        <v>46</v>
      </c>
      <c r="Q1570" t="s">
        <v>2009</v>
      </c>
      <c r="R1570" t="s">
        <v>1287</v>
      </c>
      <c r="S1570" t="s">
        <v>189</v>
      </c>
    </row>
    <row r="1571" spans="1:19" x14ac:dyDescent="0.25">
      <c r="A1571" t="s">
        <v>59</v>
      </c>
      <c r="B1571" t="s">
        <v>60</v>
      </c>
      <c r="C1571" t="s">
        <v>32</v>
      </c>
      <c r="D1571" t="s">
        <v>33</v>
      </c>
      <c r="E1571" t="s">
        <v>177</v>
      </c>
      <c r="F1571" t="s">
        <v>35</v>
      </c>
      <c r="G1571" t="s">
        <v>35</v>
      </c>
      <c r="H1571" t="s">
        <v>35</v>
      </c>
      <c r="J1571" t="s">
        <v>2010</v>
      </c>
      <c r="K1571" t="s">
        <v>1092</v>
      </c>
      <c r="M1571">
        <v>1.5</v>
      </c>
      <c r="N1571">
        <v>99</v>
      </c>
      <c r="O1571" t="s">
        <v>106</v>
      </c>
      <c r="Q1571" t="s">
        <v>1216</v>
      </c>
      <c r="R1571" t="s">
        <v>103</v>
      </c>
      <c r="S1571" t="s">
        <v>104</v>
      </c>
    </row>
    <row r="1572" spans="1:19" x14ac:dyDescent="0.25">
      <c r="A1572" t="s">
        <v>44</v>
      </c>
      <c r="B1572" t="s">
        <v>3</v>
      </c>
      <c r="C1572" t="s">
        <v>32</v>
      </c>
      <c r="D1572" t="s">
        <v>33</v>
      </c>
      <c r="E1572" t="s">
        <v>177</v>
      </c>
      <c r="F1572" t="s">
        <v>35</v>
      </c>
      <c r="G1572" t="s">
        <v>35</v>
      </c>
      <c r="H1572" t="s">
        <v>35</v>
      </c>
      <c r="J1572" t="s">
        <v>2011</v>
      </c>
      <c r="K1572" t="s">
        <v>1092</v>
      </c>
      <c r="M1572">
        <v>4.4000000000000004</v>
      </c>
      <c r="N1572">
        <v>62</v>
      </c>
      <c r="O1572" t="s">
        <v>61</v>
      </c>
      <c r="Q1572" t="s">
        <v>90</v>
      </c>
      <c r="R1572" t="s">
        <v>85</v>
      </c>
      <c r="S1572" t="s">
        <v>86</v>
      </c>
    </row>
    <row r="1573" spans="1:19" x14ac:dyDescent="0.25">
      <c r="A1573" t="s">
        <v>30</v>
      </c>
      <c r="B1573" t="s">
        <v>31</v>
      </c>
      <c r="C1573" t="s">
        <v>32</v>
      </c>
      <c r="D1573" t="s">
        <v>33</v>
      </c>
      <c r="E1573" t="s">
        <v>177</v>
      </c>
      <c r="F1573" t="s">
        <v>35</v>
      </c>
      <c r="G1573" t="s">
        <v>35</v>
      </c>
      <c r="H1573" t="s">
        <v>35</v>
      </c>
      <c r="J1573" t="s">
        <v>2011</v>
      </c>
      <c r="K1573" t="s">
        <v>1092</v>
      </c>
      <c r="M1573">
        <v>4.95</v>
      </c>
      <c r="N1573">
        <v>46</v>
      </c>
      <c r="O1573" t="s">
        <v>52</v>
      </c>
      <c r="Q1573" t="s">
        <v>493</v>
      </c>
      <c r="R1573" t="s">
        <v>85</v>
      </c>
      <c r="S1573" t="s">
        <v>86</v>
      </c>
    </row>
    <row r="1574" spans="1:19" x14ac:dyDescent="0.25">
      <c r="A1574" t="s">
        <v>59</v>
      </c>
      <c r="B1574" t="s">
        <v>60</v>
      </c>
      <c r="C1574" t="s">
        <v>32</v>
      </c>
      <c r="D1574" t="s">
        <v>33</v>
      </c>
      <c r="E1574" t="s">
        <v>177</v>
      </c>
      <c r="F1574" t="s">
        <v>35</v>
      </c>
      <c r="G1574" t="s">
        <v>35</v>
      </c>
      <c r="H1574" t="s">
        <v>35</v>
      </c>
      <c r="J1574" t="s">
        <v>2011</v>
      </c>
      <c r="K1574" t="s">
        <v>1092</v>
      </c>
      <c r="M1574">
        <v>0.75</v>
      </c>
      <c r="N1574">
        <v>72</v>
      </c>
      <c r="O1574" t="s">
        <v>61</v>
      </c>
      <c r="Q1574" t="s">
        <v>63</v>
      </c>
      <c r="R1574" t="s">
        <v>85</v>
      </c>
      <c r="S1574" t="s">
        <v>86</v>
      </c>
    </row>
    <row r="1575" spans="1:19" x14ac:dyDescent="0.25">
      <c r="A1575" t="s">
        <v>44</v>
      </c>
      <c r="B1575" t="s">
        <v>51</v>
      </c>
      <c r="C1575" t="s">
        <v>32</v>
      </c>
      <c r="D1575" t="s">
        <v>33</v>
      </c>
      <c r="E1575" t="s">
        <v>177</v>
      </c>
      <c r="F1575" t="s">
        <v>35</v>
      </c>
      <c r="G1575" t="s">
        <v>35</v>
      </c>
      <c r="H1575" t="s">
        <v>35</v>
      </c>
      <c r="J1575" t="s">
        <v>2011</v>
      </c>
      <c r="K1575" t="s">
        <v>1092</v>
      </c>
      <c r="M1575">
        <v>5.25</v>
      </c>
      <c r="N1575">
        <v>28</v>
      </c>
      <c r="O1575" t="s">
        <v>46</v>
      </c>
      <c r="Q1575" t="s">
        <v>176</v>
      </c>
      <c r="R1575" t="s">
        <v>85</v>
      </c>
      <c r="S1575" t="s">
        <v>86</v>
      </c>
    </row>
    <row r="1576" spans="1:19" x14ac:dyDescent="0.25">
      <c r="A1576" t="s">
        <v>59</v>
      </c>
      <c r="B1576" t="s">
        <v>31</v>
      </c>
      <c r="C1576" t="s">
        <v>32</v>
      </c>
      <c r="D1576" t="s">
        <v>33</v>
      </c>
      <c r="E1576" t="s">
        <v>177</v>
      </c>
      <c r="F1576" t="s">
        <v>35</v>
      </c>
      <c r="G1576" t="s">
        <v>35</v>
      </c>
      <c r="H1576" t="s">
        <v>35</v>
      </c>
      <c r="J1576" t="s">
        <v>2012</v>
      </c>
      <c r="K1576" t="s">
        <v>1092</v>
      </c>
      <c r="M1576">
        <v>17.215</v>
      </c>
      <c r="N1576">
        <v>9</v>
      </c>
      <c r="O1576" t="s">
        <v>46</v>
      </c>
      <c r="Q1576" t="s">
        <v>2009</v>
      </c>
      <c r="R1576" t="s">
        <v>1258</v>
      </c>
      <c r="S1576" t="s">
        <v>194</v>
      </c>
    </row>
    <row r="1577" spans="1:19" x14ac:dyDescent="0.25">
      <c r="A1577" t="s">
        <v>44</v>
      </c>
      <c r="B1577" t="s">
        <v>51</v>
      </c>
      <c r="C1577" t="s">
        <v>32</v>
      </c>
      <c r="D1577" t="s">
        <v>33</v>
      </c>
      <c r="E1577" t="s">
        <v>177</v>
      </c>
      <c r="F1577" t="s">
        <v>35</v>
      </c>
      <c r="G1577" t="s">
        <v>35</v>
      </c>
      <c r="H1577" t="s">
        <v>35</v>
      </c>
      <c r="J1577" t="s">
        <v>2012</v>
      </c>
      <c r="K1577" t="s">
        <v>1092</v>
      </c>
      <c r="M1577">
        <v>15.95</v>
      </c>
      <c r="N1577">
        <v>18</v>
      </c>
      <c r="O1577" t="s">
        <v>46</v>
      </c>
      <c r="Q1577" t="s">
        <v>1476</v>
      </c>
      <c r="R1577" t="s">
        <v>1258</v>
      </c>
      <c r="S1577" t="s">
        <v>194</v>
      </c>
    </row>
    <row r="1578" spans="1:19" x14ac:dyDescent="0.25">
      <c r="A1578" t="s">
        <v>59</v>
      </c>
      <c r="B1578" t="s">
        <v>60</v>
      </c>
      <c r="C1578" t="s">
        <v>32</v>
      </c>
      <c r="D1578" t="s">
        <v>33</v>
      </c>
      <c r="E1578" t="s">
        <v>177</v>
      </c>
      <c r="F1578" t="s">
        <v>35</v>
      </c>
      <c r="G1578" t="s">
        <v>35</v>
      </c>
      <c r="H1578" t="s">
        <v>35</v>
      </c>
      <c r="J1578" t="s">
        <v>2012</v>
      </c>
      <c r="K1578" t="s">
        <v>1092</v>
      </c>
      <c r="M1578">
        <v>1.1499999999999999</v>
      </c>
      <c r="N1578">
        <v>9</v>
      </c>
      <c r="O1578" t="s">
        <v>46</v>
      </c>
      <c r="Q1578" t="s">
        <v>2009</v>
      </c>
      <c r="R1578" t="s">
        <v>1258</v>
      </c>
      <c r="S1578" t="s">
        <v>194</v>
      </c>
    </row>
    <row r="1579" spans="1:19" x14ac:dyDescent="0.25">
      <c r="A1579" t="s">
        <v>44</v>
      </c>
      <c r="B1579" t="s">
        <v>3</v>
      </c>
      <c r="C1579" t="s">
        <v>32</v>
      </c>
      <c r="D1579" t="s">
        <v>33</v>
      </c>
      <c r="E1579" t="s">
        <v>177</v>
      </c>
      <c r="F1579" t="s">
        <v>35</v>
      </c>
      <c r="G1579" t="s">
        <v>35</v>
      </c>
      <c r="H1579" t="s">
        <v>35</v>
      </c>
      <c r="J1579" t="s">
        <v>2012</v>
      </c>
      <c r="K1579" t="s">
        <v>1092</v>
      </c>
      <c r="M1579">
        <v>4.5</v>
      </c>
      <c r="N1579">
        <v>9</v>
      </c>
      <c r="O1579" t="s">
        <v>46</v>
      </c>
      <c r="Q1579" t="s">
        <v>2009</v>
      </c>
      <c r="R1579" t="s">
        <v>1258</v>
      </c>
      <c r="S1579" t="s">
        <v>194</v>
      </c>
    </row>
    <row r="1580" spans="1:19" x14ac:dyDescent="0.25">
      <c r="A1580" t="s">
        <v>30</v>
      </c>
      <c r="B1580" t="s">
        <v>31</v>
      </c>
      <c r="C1580" t="s">
        <v>32</v>
      </c>
      <c r="D1580" t="s">
        <v>33</v>
      </c>
      <c r="E1580" t="s">
        <v>177</v>
      </c>
      <c r="F1580" t="s">
        <v>35</v>
      </c>
      <c r="G1580" t="s">
        <v>35</v>
      </c>
      <c r="H1580" t="s">
        <v>35</v>
      </c>
      <c r="J1580" t="s">
        <v>2012</v>
      </c>
      <c r="K1580" t="s">
        <v>1092</v>
      </c>
      <c r="M1580">
        <v>16.12</v>
      </c>
      <c r="N1580">
        <v>18</v>
      </c>
      <c r="O1580" t="s">
        <v>46</v>
      </c>
      <c r="Q1580" t="s">
        <v>1476</v>
      </c>
      <c r="R1580" t="s">
        <v>1258</v>
      </c>
      <c r="S1580" t="s">
        <v>194</v>
      </c>
    </row>
    <row r="1581" spans="1:19" x14ac:dyDescent="0.25">
      <c r="A1581" t="s">
        <v>59</v>
      </c>
      <c r="B1581" t="s">
        <v>60</v>
      </c>
      <c r="C1581" t="s">
        <v>32</v>
      </c>
      <c r="D1581" t="s">
        <v>33</v>
      </c>
      <c r="E1581" t="s">
        <v>177</v>
      </c>
      <c r="F1581" t="s">
        <v>35</v>
      </c>
      <c r="G1581" t="s">
        <v>35</v>
      </c>
      <c r="H1581" t="s">
        <v>35</v>
      </c>
      <c r="J1581" t="s">
        <v>2013</v>
      </c>
      <c r="K1581" t="s">
        <v>1092</v>
      </c>
      <c r="M1581">
        <v>4.7</v>
      </c>
      <c r="N1581">
        <v>72</v>
      </c>
      <c r="O1581" t="s">
        <v>61</v>
      </c>
      <c r="Q1581" t="s">
        <v>63</v>
      </c>
      <c r="R1581" t="s">
        <v>85</v>
      </c>
      <c r="S1581" t="s">
        <v>86</v>
      </c>
    </row>
    <row r="1582" spans="1:19" x14ac:dyDescent="0.25">
      <c r="A1582" t="s">
        <v>30</v>
      </c>
      <c r="B1582" t="s">
        <v>31</v>
      </c>
      <c r="C1582" t="s">
        <v>32</v>
      </c>
      <c r="D1582" t="s">
        <v>33</v>
      </c>
      <c r="E1582" t="s">
        <v>177</v>
      </c>
      <c r="F1582" t="s">
        <v>35</v>
      </c>
      <c r="G1582" t="s">
        <v>35</v>
      </c>
      <c r="H1582" t="s">
        <v>35</v>
      </c>
      <c r="J1582" t="s">
        <v>2013</v>
      </c>
      <c r="K1582" t="s">
        <v>1092</v>
      </c>
      <c r="M1582">
        <v>2.7450000000000001</v>
      </c>
      <c r="N1582">
        <v>44</v>
      </c>
      <c r="O1582" t="s">
        <v>52</v>
      </c>
      <c r="Q1582" t="s">
        <v>192</v>
      </c>
      <c r="R1582" t="s">
        <v>193</v>
      </c>
      <c r="S1582" t="s">
        <v>181</v>
      </c>
    </row>
    <row r="1583" spans="1:19" x14ac:dyDescent="0.25">
      <c r="A1583" t="s">
        <v>44</v>
      </c>
      <c r="B1583" t="s">
        <v>3</v>
      </c>
      <c r="C1583" t="s">
        <v>32</v>
      </c>
      <c r="D1583" t="s">
        <v>33</v>
      </c>
      <c r="E1583" t="s">
        <v>177</v>
      </c>
      <c r="F1583" t="s">
        <v>35</v>
      </c>
      <c r="G1583" t="s">
        <v>35</v>
      </c>
      <c r="H1583" t="s">
        <v>35</v>
      </c>
      <c r="J1583" t="s">
        <v>2014</v>
      </c>
      <c r="K1583" t="s">
        <v>1092</v>
      </c>
      <c r="M1583">
        <v>0.4</v>
      </c>
      <c r="N1583">
        <v>36</v>
      </c>
      <c r="O1583" t="s">
        <v>52</v>
      </c>
      <c r="Q1583" t="s">
        <v>2005</v>
      </c>
      <c r="R1583" t="s">
        <v>1287</v>
      </c>
      <c r="S1583" t="s">
        <v>189</v>
      </c>
    </row>
    <row r="1584" spans="1:19" x14ac:dyDescent="0.25">
      <c r="A1584" t="s">
        <v>30</v>
      </c>
      <c r="B1584" t="s">
        <v>31</v>
      </c>
      <c r="C1584" t="s">
        <v>32</v>
      </c>
      <c r="D1584" t="s">
        <v>33</v>
      </c>
      <c r="E1584" t="s">
        <v>177</v>
      </c>
      <c r="F1584" t="s">
        <v>35</v>
      </c>
      <c r="G1584" t="s">
        <v>35</v>
      </c>
      <c r="H1584" t="s">
        <v>35</v>
      </c>
      <c r="J1584" t="s">
        <v>2015</v>
      </c>
      <c r="K1584" t="s">
        <v>1092</v>
      </c>
      <c r="M1584">
        <v>5.49</v>
      </c>
      <c r="N1584">
        <v>47</v>
      </c>
      <c r="O1584" t="s">
        <v>52</v>
      </c>
      <c r="Q1584" t="s">
        <v>132</v>
      </c>
      <c r="R1584" t="s">
        <v>103</v>
      </c>
      <c r="S1584" t="s">
        <v>104</v>
      </c>
    </row>
    <row r="1585" spans="1:19" x14ac:dyDescent="0.25">
      <c r="A1585" t="s">
        <v>1439</v>
      </c>
      <c r="B1585" t="s">
        <v>1440</v>
      </c>
      <c r="C1585" t="s">
        <v>32</v>
      </c>
      <c r="D1585" t="s">
        <v>33</v>
      </c>
      <c r="E1585" t="s">
        <v>177</v>
      </c>
      <c r="F1585" t="s">
        <v>35</v>
      </c>
      <c r="G1585" t="s">
        <v>35</v>
      </c>
      <c r="H1585" t="s">
        <v>35</v>
      </c>
      <c r="J1585" t="s">
        <v>2015</v>
      </c>
      <c r="K1585" t="s">
        <v>1092</v>
      </c>
      <c r="M1585">
        <v>2.4</v>
      </c>
      <c r="N1585">
        <v>97</v>
      </c>
      <c r="O1585" t="s">
        <v>106</v>
      </c>
      <c r="Q1585" t="s">
        <v>557</v>
      </c>
      <c r="R1585" t="s">
        <v>103</v>
      </c>
      <c r="S1585" t="s">
        <v>104</v>
      </c>
    </row>
    <row r="1586" spans="1:19" x14ac:dyDescent="0.25">
      <c r="A1586" t="s">
        <v>30</v>
      </c>
      <c r="B1586" t="s">
        <v>31</v>
      </c>
      <c r="C1586" t="s">
        <v>32</v>
      </c>
      <c r="D1586" t="s">
        <v>33</v>
      </c>
      <c r="E1586" t="s">
        <v>177</v>
      </c>
      <c r="F1586" t="s">
        <v>35</v>
      </c>
      <c r="G1586" t="s">
        <v>35</v>
      </c>
      <c r="H1586" t="s">
        <v>35</v>
      </c>
      <c r="J1586" t="s">
        <v>2015</v>
      </c>
      <c r="K1586" t="s">
        <v>1092</v>
      </c>
      <c r="M1586">
        <v>8.49</v>
      </c>
      <c r="N1586">
        <v>68</v>
      </c>
      <c r="O1586" t="s">
        <v>61</v>
      </c>
      <c r="Q1586" t="s">
        <v>146</v>
      </c>
      <c r="R1586" t="s">
        <v>103</v>
      </c>
      <c r="S1586" t="s">
        <v>104</v>
      </c>
    </row>
    <row r="1587" spans="1:19" x14ac:dyDescent="0.25">
      <c r="A1587" t="s">
        <v>30</v>
      </c>
      <c r="B1587" t="s">
        <v>31</v>
      </c>
      <c r="C1587" t="s">
        <v>32</v>
      </c>
      <c r="D1587" t="s">
        <v>33</v>
      </c>
      <c r="E1587" t="s">
        <v>177</v>
      </c>
      <c r="F1587" t="s">
        <v>35</v>
      </c>
      <c r="G1587" t="s">
        <v>35</v>
      </c>
      <c r="H1587" t="s">
        <v>35</v>
      </c>
      <c r="J1587" t="s">
        <v>2016</v>
      </c>
      <c r="K1587" t="s">
        <v>1092</v>
      </c>
      <c r="M1587">
        <v>9.9</v>
      </c>
      <c r="N1587">
        <v>16</v>
      </c>
      <c r="O1587" t="s">
        <v>46</v>
      </c>
      <c r="Q1587" t="s">
        <v>323</v>
      </c>
      <c r="R1587" t="s">
        <v>103</v>
      </c>
      <c r="S1587" t="s">
        <v>104</v>
      </c>
    </row>
    <row r="1588" spans="1:19" x14ac:dyDescent="0.25">
      <c r="A1588" t="s">
        <v>59</v>
      </c>
      <c r="B1588" t="s">
        <v>31</v>
      </c>
      <c r="C1588" t="s">
        <v>32</v>
      </c>
      <c r="D1588" t="s">
        <v>33</v>
      </c>
      <c r="E1588" t="s">
        <v>177</v>
      </c>
      <c r="F1588" t="s">
        <v>35</v>
      </c>
      <c r="G1588" t="s">
        <v>35</v>
      </c>
      <c r="H1588" t="s">
        <v>35</v>
      </c>
      <c r="J1588" t="s">
        <v>2016</v>
      </c>
      <c r="K1588" t="s">
        <v>1092</v>
      </c>
      <c r="M1588">
        <v>1.89</v>
      </c>
      <c r="N1588">
        <v>59</v>
      </c>
      <c r="O1588" t="s">
        <v>52</v>
      </c>
      <c r="Q1588" t="s">
        <v>84</v>
      </c>
      <c r="R1588" t="s">
        <v>103</v>
      </c>
      <c r="S1588" t="s">
        <v>104</v>
      </c>
    </row>
    <row r="1589" spans="1:19" x14ac:dyDescent="0.25">
      <c r="A1589" t="s">
        <v>59</v>
      </c>
      <c r="B1589" t="s">
        <v>60</v>
      </c>
      <c r="C1589" t="s">
        <v>32</v>
      </c>
      <c r="D1589" t="s">
        <v>33</v>
      </c>
      <c r="E1589" t="s">
        <v>177</v>
      </c>
      <c r="F1589" t="s">
        <v>35</v>
      </c>
      <c r="G1589" t="s">
        <v>35</v>
      </c>
      <c r="H1589" t="s">
        <v>35</v>
      </c>
      <c r="J1589" t="s">
        <v>2017</v>
      </c>
      <c r="K1589" t="s">
        <v>1092</v>
      </c>
      <c r="M1589">
        <v>3.5999999999999997E-2</v>
      </c>
      <c r="N1589">
        <v>617</v>
      </c>
      <c r="O1589" t="s">
        <v>575</v>
      </c>
      <c r="Q1589" t="s">
        <v>2018</v>
      </c>
      <c r="R1589" t="s">
        <v>1467</v>
      </c>
      <c r="S1589" t="s">
        <v>1468</v>
      </c>
    </row>
    <row r="1590" spans="1:19" x14ac:dyDescent="0.25">
      <c r="A1590" t="s">
        <v>44</v>
      </c>
      <c r="B1590" t="s">
        <v>3</v>
      </c>
      <c r="C1590" t="s">
        <v>32</v>
      </c>
      <c r="D1590" t="s">
        <v>33</v>
      </c>
      <c r="E1590" t="s">
        <v>177</v>
      </c>
      <c r="F1590" t="s">
        <v>35</v>
      </c>
      <c r="G1590" t="s">
        <v>35</v>
      </c>
      <c r="H1590" t="s">
        <v>35</v>
      </c>
      <c r="J1590" t="s">
        <v>2019</v>
      </c>
      <c r="K1590" t="s">
        <v>1092</v>
      </c>
      <c r="M1590">
        <v>0.5</v>
      </c>
      <c r="N1590">
        <v>28</v>
      </c>
      <c r="O1590" t="s">
        <v>46</v>
      </c>
      <c r="Q1590" t="s">
        <v>176</v>
      </c>
      <c r="R1590" t="s">
        <v>1287</v>
      </c>
      <c r="S1590" t="s">
        <v>189</v>
      </c>
    </row>
    <row r="1591" spans="1:19" x14ac:dyDescent="0.25">
      <c r="A1591" t="s">
        <v>59</v>
      </c>
      <c r="B1591" t="s">
        <v>60</v>
      </c>
      <c r="C1591" t="s">
        <v>32</v>
      </c>
      <c r="D1591" t="s">
        <v>33</v>
      </c>
      <c r="E1591" t="s">
        <v>177</v>
      </c>
      <c r="F1591" t="s">
        <v>35</v>
      </c>
      <c r="G1591" t="s">
        <v>35</v>
      </c>
      <c r="H1591" t="s">
        <v>35</v>
      </c>
      <c r="J1591" t="s">
        <v>2019</v>
      </c>
      <c r="K1591" t="s">
        <v>1092</v>
      </c>
      <c r="M1591">
        <v>1.8</v>
      </c>
      <c r="N1591">
        <v>75</v>
      </c>
      <c r="O1591" t="s">
        <v>61</v>
      </c>
      <c r="Q1591" t="s">
        <v>805</v>
      </c>
      <c r="R1591" t="s">
        <v>199</v>
      </c>
      <c r="S1591" t="s">
        <v>200</v>
      </c>
    </row>
    <row r="1592" spans="1:19" x14ac:dyDescent="0.25">
      <c r="A1592" t="s">
        <v>44</v>
      </c>
      <c r="B1592" t="s">
        <v>3</v>
      </c>
      <c r="C1592" t="s">
        <v>32</v>
      </c>
      <c r="D1592" t="s">
        <v>33</v>
      </c>
      <c r="E1592" t="s">
        <v>177</v>
      </c>
      <c r="F1592" t="s">
        <v>35</v>
      </c>
      <c r="G1592" t="s">
        <v>35</v>
      </c>
      <c r="H1592" t="s">
        <v>35</v>
      </c>
      <c r="J1592" t="s">
        <v>2019</v>
      </c>
      <c r="K1592" t="s">
        <v>1092</v>
      </c>
      <c r="M1592">
        <v>0.5</v>
      </c>
      <c r="N1592">
        <v>36</v>
      </c>
      <c r="O1592" t="s">
        <v>52</v>
      </c>
      <c r="Q1592" t="s">
        <v>2005</v>
      </c>
      <c r="R1592" t="s">
        <v>1287</v>
      </c>
      <c r="S1592" t="s">
        <v>189</v>
      </c>
    </row>
    <row r="1593" spans="1:19" x14ac:dyDescent="0.25">
      <c r="A1593" t="s">
        <v>44</v>
      </c>
      <c r="B1593" t="s">
        <v>3</v>
      </c>
      <c r="C1593" t="s">
        <v>32</v>
      </c>
      <c r="D1593" t="s">
        <v>33</v>
      </c>
      <c r="E1593" t="s">
        <v>177</v>
      </c>
      <c r="F1593" t="s">
        <v>35</v>
      </c>
      <c r="G1593" t="s">
        <v>35</v>
      </c>
      <c r="H1593" t="s">
        <v>35</v>
      </c>
      <c r="J1593" t="s">
        <v>2019</v>
      </c>
      <c r="K1593" t="s">
        <v>1092</v>
      </c>
      <c r="M1593">
        <v>0.3</v>
      </c>
      <c r="N1593">
        <v>47</v>
      </c>
      <c r="O1593" t="s">
        <v>52</v>
      </c>
      <c r="Q1593" t="s">
        <v>132</v>
      </c>
      <c r="R1593" t="s">
        <v>1287</v>
      </c>
      <c r="S1593" t="s">
        <v>189</v>
      </c>
    </row>
    <row r="1594" spans="1:19" x14ac:dyDescent="0.25">
      <c r="A1594" t="s">
        <v>44</v>
      </c>
      <c r="B1594" t="s">
        <v>3</v>
      </c>
      <c r="C1594" t="s">
        <v>32</v>
      </c>
      <c r="D1594" t="s">
        <v>33</v>
      </c>
      <c r="E1594" t="s">
        <v>177</v>
      </c>
      <c r="F1594" t="s">
        <v>35</v>
      </c>
      <c r="G1594" t="s">
        <v>35</v>
      </c>
      <c r="H1594" t="s">
        <v>35</v>
      </c>
      <c r="J1594" t="s">
        <v>2019</v>
      </c>
      <c r="K1594" t="s">
        <v>1092</v>
      </c>
      <c r="M1594">
        <v>0.5</v>
      </c>
      <c r="N1594">
        <v>63</v>
      </c>
      <c r="O1594" t="s">
        <v>61</v>
      </c>
      <c r="Q1594" t="s">
        <v>423</v>
      </c>
      <c r="R1594" t="s">
        <v>1287</v>
      </c>
      <c r="S1594" t="s">
        <v>189</v>
      </c>
    </row>
    <row r="1595" spans="1:19" x14ac:dyDescent="0.25">
      <c r="A1595" t="s">
        <v>44</v>
      </c>
      <c r="B1595" t="s">
        <v>51</v>
      </c>
      <c r="C1595" t="s">
        <v>32</v>
      </c>
      <c r="D1595" t="s">
        <v>33</v>
      </c>
      <c r="E1595" t="s">
        <v>177</v>
      </c>
      <c r="F1595" t="s">
        <v>35</v>
      </c>
      <c r="G1595" t="s">
        <v>35</v>
      </c>
      <c r="H1595" t="s">
        <v>35</v>
      </c>
      <c r="J1595" t="s">
        <v>2020</v>
      </c>
      <c r="K1595" t="s">
        <v>1092</v>
      </c>
      <c r="M1595">
        <v>3.7</v>
      </c>
      <c r="N1595">
        <v>28</v>
      </c>
      <c r="O1595" t="s">
        <v>46</v>
      </c>
      <c r="Q1595" t="s">
        <v>176</v>
      </c>
      <c r="R1595" t="s">
        <v>85</v>
      </c>
      <c r="S1595" t="s">
        <v>86</v>
      </c>
    </row>
    <row r="1596" spans="1:19" x14ac:dyDescent="0.25">
      <c r="A1596" t="s">
        <v>44</v>
      </c>
      <c r="B1596" t="s">
        <v>3</v>
      </c>
      <c r="C1596" t="s">
        <v>32</v>
      </c>
      <c r="D1596" t="s">
        <v>33</v>
      </c>
      <c r="E1596" t="s">
        <v>177</v>
      </c>
      <c r="F1596" t="s">
        <v>35</v>
      </c>
      <c r="G1596" t="s">
        <v>35</v>
      </c>
      <c r="H1596" t="s">
        <v>35</v>
      </c>
      <c r="J1596" t="s">
        <v>2020</v>
      </c>
      <c r="K1596" t="s">
        <v>1092</v>
      </c>
      <c r="M1596">
        <v>1.9</v>
      </c>
      <c r="N1596">
        <v>62</v>
      </c>
      <c r="O1596" t="s">
        <v>61</v>
      </c>
      <c r="Q1596" t="s">
        <v>90</v>
      </c>
      <c r="R1596" t="s">
        <v>85</v>
      </c>
      <c r="S1596" t="s">
        <v>86</v>
      </c>
    </row>
    <row r="1597" spans="1:19" x14ac:dyDescent="0.25">
      <c r="A1597" t="s">
        <v>59</v>
      </c>
      <c r="B1597" t="s">
        <v>60</v>
      </c>
      <c r="C1597" t="s">
        <v>32</v>
      </c>
      <c r="D1597" t="s">
        <v>33</v>
      </c>
      <c r="E1597" t="s">
        <v>177</v>
      </c>
      <c r="F1597" t="s">
        <v>35</v>
      </c>
      <c r="G1597" t="s">
        <v>35</v>
      </c>
      <c r="H1597" t="s">
        <v>35</v>
      </c>
      <c r="J1597" t="s">
        <v>2021</v>
      </c>
      <c r="K1597" t="s">
        <v>1092</v>
      </c>
      <c r="M1597">
        <v>1.65</v>
      </c>
      <c r="N1597">
        <v>99</v>
      </c>
      <c r="O1597" t="s">
        <v>106</v>
      </c>
      <c r="Q1597" t="s">
        <v>1216</v>
      </c>
      <c r="R1597" t="s">
        <v>103</v>
      </c>
      <c r="S1597" t="s">
        <v>104</v>
      </c>
    </row>
    <row r="1598" spans="1:19" x14ac:dyDescent="0.25">
      <c r="A1598" t="s">
        <v>30</v>
      </c>
      <c r="B1598" t="s">
        <v>31</v>
      </c>
      <c r="C1598" t="s">
        <v>32</v>
      </c>
      <c r="D1598" t="s">
        <v>33</v>
      </c>
      <c r="E1598" t="s">
        <v>177</v>
      </c>
      <c r="F1598" t="s">
        <v>35</v>
      </c>
      <c r="G1598" t="s">
        <v>35</v>
      </c>
      <c r="H1598" t="s">
        <v>35</v>
      </c>
      <c r="J1598" t="s">
        <v>2022</v>
      </c>
      <c r="K1598" t="s">
        <v>1092</v>
      </c>
      <c r="M1598">
        <v>5.49</v>
      </c>
      <c r="N1598">
        <v>46</v>
      </c>
      <c r="O1598" t="s">
        <v>52</v>
      </c>
      <c r="Q1598" t="s">
        <v>493</v>
      </c>
      <c r="R1598" t="s">
        <v>85</v>
      </c>
      <c r="S1598" t="s">
        <v>86</v>
      </c>
    </row>
    <row r="1599" spans="1:19" x14ac:dyDescent="0.25">
      <c r="A1599" t="s">
        <v>44</v>
      </c>
      <c r="B1599" t="s">
        <v>3</v>
      </c>
      <c r="C1599" t="s">
        <v>32</v>
      </c>
      <c r="D1599" t="s">
        <v>33</v>
      </c>
      <c r="E1599" t="s">
        <v>177</v>
      </c>
      <c r="F1599" t="s">
        <v>35</v>
      </c>
      <c r="G1599" t="s">
        <v>35</v>
      </c>
      <c r="H1599" t="s">
        <v>35</v>
      </c>
      <c r="J1599" t="s">
        <v>2022</v>
      </c>
      <c r="K1599" t="s">
        <v>1092</v>
      </c>
      <c r="M1599">
        <v>3.3</v>
      </c>
      <c r="N1599">
        <v>62</v>
      </c>
      <c r="O1599" t="s">
        <v>61</v>
      </c>
      <c r="Q1599" t="s">
        <v>90</v>
      </c>
      <c r="R1599" t="s">
        <v>85</v>
      </c>
      <c r="S1599" t="s">
        <v>86</v>
      </c>
    </row>
    <row r="1600" spans="1:19" x14ac:dyDescent="0.25">
      <c r="A1600" t="s">
        <v>44</v>
      </c>
      <c r="B1600" t="s">
        <v>51</v>
      </c>
      <c r="C1600" t="s">
        <v>32</v>
      </c>
      <c r="D1600" t="s">
        <v>33</v>
      </c>
      <c r="E1600" t="s">
        <v>177</v>
      </c>
      <c r="F1600" t="s">
        <v>35</v>
      </c>
      <c r="G1600" t="s">
        <v>35</v>
      </c>
      <c r="H1600" t="s">
        <v>35</v>
      </c>
      <c r="J1600" t="s">
        <v>2022</v>
      </c>
      <c r="K1600" t="s">
        <v>1092</v>
      </c>
      <c r="M1600">
        <v>3.5</v>
      </c>
      <c r="N1600">
        <v>28</v>
      </c>
      <c r="O1600" t="s">
        <v>46</v>
      </c>
      <c r="Q1600" t="s">
        <v>176</v>
      </c>
      <c r="R1600" t="s">
        <v>85</v>
      </c>
      <c r="S1600" t="s">
        <v>86</v>
      </c>
    </row>
    <row r="1601" spans="1:19" x14ac:dyDescent="0.25">
      <c r="A1601" t="s">
        <v>59</v>
      </c>
      <c r="B1601" t="s">
        <v>60</v>
      </c>
      <c r="C1601" t="s">
        <v>32</v>
      </c>
      <c r="D1601" t="s">
        <v>33</v>
      </c>
      <c r="E1601" t="s">
        <v>177</v>
      </c>
      <c r="F1601" t="s">
        <v>35</v>
      </c>
      <c r="G1601" t="s">
        <v>35</v>
      </c>
      <c r="H1601" t="s">
        <v>35</v>
      </c>
      <c r="J1601" t="s">
        <v>2022</v>
      </c>
      <c r="K1601" t="s">
        <v>1092</v>
      </c>
      <c r="M1601">
        <v>0.7</v>
      </c>
      <c r="N1601">
        <v>100</v>
      </c>
      <c r="O1601" t="s">
        <v>106</v>
      </c>
      <c r="Q1601" t="s">
        <v>1112</v>
      </c>
      <c r="R1601" t="s">
        <v>85</v>
      </c>
      <c r="S1601" t="s">
        <v>86</v>
      </c>
    </row>
    <row r="1602" spans="1:19" x14ac:dyDescent="0.25">
      <c r="A1602" t="s">
        <v>59</v>
      </c>
      <c r="B1602" t="s">
        <v>60</v>
      </c>
      <c r="C1602" t="s">
        <v>32</v>
      </c>
      <c r="D1602" t="s">
        <v>33</v>
      </c>
      <c r="E1602" t="s">
        <v>177</v>
      </c>
      <c r="F1602" t="s">
        <v>35</v>
      </c>
      <c r="G1602" t="s">
        <v>35</v>
      </c>
      <c r="H1602" t="s">
        <v>35</v>
      </c>
      <c r="J1602" t="s">
        <v>2023</v>
      </c>
      <c r="K1602" t="s">
        <v>404</v>
      </c>
      <c r="M1602">
        <v>0.65</v>
      </c>
      <c r="N1602">
        <v>97</v>
      </c>
      <c r="O1602" t="s">
        <v>106</v>
      </c>
      <c r="Q1602" t="s">
        <v>557</v>
      </c>
      <c r="R1602" t="s">
        <v>2024</v>
      </c>
      <c r="S1602" t="s">
        <v>2025</v>
      </c>
    </row>
    <row r="1603" spans="1:19" x14ac:dyDescent="0.25">
      <c r="A1603" t="s">
        <v>59</v>
      </c>
      <c r="B1603" t="s">
        <v>31</v>
      </c>
      <c r="C1603" t="s">
        <v>32</v>
      </c>
      <c r="D1603" t="s">
        <v>33</v>
      </c>
      <c r="E1603" t="s">
        <v>177</v>
      </c>
      <c r="F1603" t="s">
        <v>35</v>
      </c>
      <c r="G1603" t="s">
        <v>35</v>
      </c>
      <c r="H1603" t="s">
        <v>35</v>
      </c>
      <c r="J1603" t="s">
        <v>2023</v>
      </c>
      <c r="K1603" t="s">
        <v>404</v>
      </c>
      <c r="M1603">
        <v>4.59</v>
      </c>
      <c r="N1603">
        <v>40</v>
      </c>
      <c r="O1603" t="s">
        <v>52</v>
      </c>
      <c r="Q1603" t="s">
        <v>130</v>
      </c>
      <c r="R1603" t="s">
        <v>103</v>
      </c>
      <c r="S1603" t="s">
        <v>104</v>
      </c>
    </row>
    <row r="1604" spans="1:19" x14ac:dyDescent="0.25">
      <c r="A1604" t="s">
        <v>59</v>
      </c>
      <c r="B1604" t="s">
        <v>60</v>
      </c>
      <c r="C1604" t="s">
        <v>32</v>
      </c>
      <c r="D1604" t="s">
        <v>33</v>
      </c>
      <c r="E1604" t="s">
        <v>177</v>
      </c>
      <c r="F1604" t="s">
        <v>35</v>
      </c>
      <c r="G1604" t="s">
        <v>35</v>
      </c>
      <c r="H1604" t="s">
        <v>35</v>
      </c>
      <c r="J1604" t="s">
        <v>2023</v>
      </c>
      <c r="K1604" t="s">
        <v>404</v>
      </c>
      <c r="M1604">
        <v>11</v>
      </c>
      <c r="N1604">
        <v>40</v>
      </c>
      <c r="O1604" t="s">
        <v>52</v>
      </c>
      <c r="Q1604" t="s">
        <v>130</v>
      </c>
      <c r="R1604" t="s">
        <v>103</v>
      </c>
      <c r="S1604" t="s">
        <v>104</v>
      </c>
    </row>
    <row r="1605" spans="1:19" x14ac:dyDescent="0.25">
      <c r="A1605" t="s">
        <v>59</v>
      </c>
      <c r="B1605" t="s">
        <v>60</v>
      </c>
      <c r="C1605" t="s">
        <v>32</v>
      </c>
      <c r="D1605" t="s">
        <v>33</v>
      </c>
      <c r="E1605" t="s">
        <v>177</v>
      </c>
      <c r="F1605" t="s">
        <v>35</v>
      </c>
      <c r="G1605" t="s">
        <v>35</v>
      </c>
      <c r="H1605" t="s">
        <v>35</v>
      </c>
      <c r="J1605" t="s">
        <v>2023</v>
      </c>
      <c r="K1605" t="s">
        <v>404</v>
      </c>
      <c r="M1605">
        <v>5.5</v>
      </c>
      <c r="N1605">
        <v>73</v>
      </c>
      <c r="O1605" t="s">
        <v>61</v>
      </c>
      <c r="Q1605" t="s">
        <v>552</v>
      </c>
      <c r="R1605" t="s">
        <v>85</v>
      </c>
      <c r="S1605" t="s">
        <v>86</v>
      </c>
    </row>
    <row r="1606" spans="1:19" x14ac:dyDescent="0.25">
      <c r="A1606" t="s">
        <v>59</v>
      </c>
      <c r="B1606" t="s">
        <v>60</v>
      </c>
      <c r="C1606" t="s">
        <v>32</v>
      </c>
      <c r="D1606" t="s">
        <v>33</v>
      </c>
      <c r="E1606" t="s">
        <v>196</v>
      </c>
      <c r="F1606" t="s">
        <v>35</v>
      </c>
      <c r="G1606" t="s">
        <v>35</v>
      </c>
      <c r="H1606" t="s">
        <v>35</v>
      </c>
      <c r="J1606" t="s">
        <v>2026</v>
      </c>
      <c r="K1606" t="s">
        <v>1092</v>
      </c>
      <c r="M1606">
        <v>1.5</v>
      </c>
      <c r="N1606">
        <v>130</v>
      </c>
      <c r="O1606" t="s">
        <v>38</v>
      </c>
      <c r="Q1606" t="s">
        <v>1656</v>
      </c>
      <c r="R1606" t="s">
        <v>49</v>
      </c>
      <c r="S1606" t="s">
        <v>50</v>
      </c>
    </row>
    <row r="1607" spans="1:19" x14ac:dyDescent="0.25">
      <c r="A1607" t="s">
        <v>59</v>
      </c>
      <c r="B1607" t="s">
        <v>60</v>
      </c>
      <c r="C1607" t="s">
        <v>32</v>
      </c>
      <c r="D1607" t="s">
        <v>33</v>
      </c>
      <c r="E1607" t="s">
        <v>196</v>
      </c>
      <c r="F1607" t="s">
        <v>35</v>
      </c>
      <c r="G1607" t="s">
        <v>35</v>
      </c>
      <c r="H1607" t="s">
        <v>35</v>
      </c>
      <c r="J1607" t="s">
        <v>2026</v>
      </c>
      <c r="K1607" t="s">
        <v>1092</v>
      </c>
      <c r="M1607">
        <v>0.82699999999999996</v>
      </c>
      <c r="N1607">
        <v>172</v>
      </c>
      <c r="O1607" t="s">
        <v>38</v>
      </c>
      <c r="Q1607" t="s">
        <v>1124</v>
      </c>
      <c r="R1607" t="s">
        <v>49</v>
      </c>
      <c r="S1607" t="s">
        <v>50</v>
      </c>
    </row>
    <row r="1608" spans="1:19" x14ac:dyDescent="0.25">
      <c r="A1608" t="s">
        <v>59</v>
      </c>
      <c r="B1608" t="s">
        <v>31</v>
      </c>
      <c r="C1608" t="s">
        <v>32</v>
      </c>
      <c r="D1608" t="s">
        <v>33</v>
      </c>
      <c r="E1608" t="s">
        <v>196</v>
      </c>
      <c r="F1608" t="s">
        <v>35</v>
      </c>
      <c r="G1608" t="s">
        <v>35</v>
      </c>
      <c r="H1608" t="s">
        <v>35</v>
      </c>
      <c r="J1608" t="s">
        <v>2027</v>
      </c>
      <c r="K1608" t="s">
        <v>1144</v>
      </c>
      <c r="M1608">
        <v>4.0949999999999998</v>
      </c>
      <c r="N1608">
        <v>72</v>
      </c>
      <c r="O1608" t="s">
        <v>61</v>
      </c>
      <c r="Q1608" t="s">
        <v>63</v>
      </c>
      <c r="R1608" t="s">
        <v>193</v>
      </c>
      <c r="S1608" t="s">
        <v>181</v>
      </c>
    </row>
    <row r="1609" spans="1:19" x14ac:dyDescent="0.25">
      <c r="A1609" t="s">
        <v>59</v>
      </c>
      <c r="B1609" t="s">
        <v>60</v>
      </c>
      <c r="C1609" t="s">
        <v>32</v>
      </c>
      <c r="D1609" t="s">
        <v>33</v>
      </c>
      <c r="E1609" t="s">
        <v>196</v>
      </c>
      <c r="F1609" t="s">
        <v>35</v>
      </c>
      <c r="G1609" t="s">
        <v>35</v>
      </c>
      <c r="H1609" t="s">
        <v>35</v>
      </c>
      <c r="J1609" t="s">
        <v>2028</v>
      </c>
      <c r="K1609" t="s">
        <v>1092</v>
      </c>
      <c r="M1609">
        <v>0.1</v>
      </c>
      <c r="N1609">
        <v>273</v>
      </c>
      <c r="O1609" t="s">
        <v>5</v>
      </c>
      <c r="Q1609" t="s">
        <v>1989</v>
      </c>
      <c r="R1609" t="s">
        <v>193</v>
      </c>
      <c r="S1609" t="s">
        <v>181</v>
      </c>
    </row>
    <row r="1610" spans="1:19" x14ac:dyDescent="0.25">
      <c r="A1610" t="s">
        <v>59</v>
      </c>
      <c r="B1610" t="s">
        <v>60</v>
      </c>
      <c r="C1610" t="s">
        <v>32</v>
      </c>
      <c r="D1610" t="s">
        <v>33</v>
      </c>
      <c r="E1610" t="s">
        <v>196</v>
      </c>
      <c r="F1610" t="s">
        <v>35</v>
      </c>
      <c r="G1610" t="s">
        <v>35</v>
      </c>
      <c r="H1610" t="s">
        <v>35</v>
      </c>
      <c r="J1610" t="s">
        <v>2028</v>
      </c>
      <c r="K1610" t="s">
        <v>1092</v>
      </c>
      <c r="M1610">
        <v>0.1</v>
      </c>
      <c r="N1610">
        <v>169</v>
      </c>
      <c r="O1610" t="s">
        <v>38</v>
      </c>
      <c r="Q1610" t="s">
        <v>1189</v>
      </c>
      <c r="R1610" t="s">
        <v>193</v>
      </c>
      <c r="S1610" t="s">
        <v>181</v>
      </c>
    </row>
    <row r="1611" spans="1:19" x14ac:dyDescent="0.25">
      <c r="A1611" t="s">
        <v>59</v>
      </c>
      <c r="B1611" t="s">
        <v>60</v>
      </c>
      <c r="C1611" t="s">
        <v>32</v>
      </c>
      <c r="D1611" t="s">
        <v>33</v>
      </c>
      <c r="E1611" t="s">
        <v>196</v>
      </c>
      <c r="F1611" t="s">
        <v>35</v>
      </c>
      <c r="G1611" t="s">
        <v>35</v>
      </c>
      <c r="H1611" t="s">
        <v>35</v>
      </c>
      <c r="J1611" t="s">
        <v>2028</v>
      </c>
      <c r="K1611" t="s">
        <v>1092</v>
      </c>
      <c r="M1611">
        <v>0.25</v>
      </c>
      <c r="N1611">
        <v>93</v>
      </c>
      <c r="O1611" t="s">
        <v>106</v>
      </c>
      <c r="Q1611" t="s">
        <v>941</v>
      </c>
      <c r="R1611" t="s">
        <v>193</v>
      </c>
      <c r="S1611" t="s">
        <v>181</v>
      </c>
    </row>
    <row r="1612" spans="1:19" x14ac:dyDescent="0.25">
      <c r="A1612" t="s">
        <v>30</v>
      </c>
      <c r="B1612" t="s">
        <v>31</v>
      </c>
      <c r="C1612" t="s">
        <v>32</v>
      </c>
      <c r="D1612" t="s">
        <v>33</v>
      </c>
      <c r="E1612" t="s">
        <v>196</v>
      </c>
      <c r="F1612" t="s">
        <v>35</v>
      </c>
      <c r="G1612" t="s">
        <v>35</v>
      </c>
      <c r="H1612" t="s">
        <v>35</v>
      </c>
      <c r="J1612" t="s">
        <v>2030</v>
      </c>
      <c r="K1612" t="s">
        <v>1092</v>
      </c>
      <c r="M1612">
        <v>1.4850000000000001</v>
      </c>
      <c r="N1612">
        <v>46</v>
      </c>
      <c r="O1612" t="s">
        <v>52</v>
      </c>
      <c r="Q1612" t="s">
        <v>493</v>
      </c>
      <c r="R1612" t="s">
        <v>85</v>
      </c>
      <c r="S1612" t="s">
        <v>86</v>
      </c>
    </row>
    <row r="1613" spans="1:19" x14ac:dyDescent="0.25">
      <c r="A1613" t="s">
        <v>44</v>
      </c>
      <c r="B1613" t="s">
        <v>51</v>
      </c>
      <c r="C1613" t="s">
        <v>32</v>
      </c>
      <c r="D1613" t="s">
        <v>33</v>
      </c>
      <c r="E1613" t="s">
        <v>196</v>
      </c>
      <c r="F1613" t="s">
        <v>35</v>
      </c>
      <c r="G1613" t="s">
        <v>35</v>
      </c>
      <c r="H1613" t="s">
        <v>35</v>
      </c>
      <c r="J1613" t="s">
        <v>2030</v>
      </c>
      <c r="K1613" t="s">
        <v>1092</v>
      </c>
      <c r="M1613">
        <v>4.4000000000000004</v>
      </c>
      <c r="N1613">
        <v>28</v>
      </c>
      <c r="O1613" t="s">
        <v>46</v>
      </c>
      <c r="Q1613" t="s">
        <v>176</v>
      </c>
      <c r="R1613" t="s">
        <v>85</v>
      </c>
      <c r="S1613" t="s">
        <v>86</v>
      </c>
    </row>
    <row r="1614" spans="1:19" x14ac:dyDescent="0.25">
      <c r="A1614" t="s">
        <v>59</v>
      </c>
      <c r="B1614" t="s">
        <v>60</v>
      </c>
      <c r="C1614" t="s">
        <v>32</v>
      </c>
      <c r="D1614" t="s">
        <v>33</v>
      </c>
      <c r="E1614" t="s">
        <v>196</v>
      </c>
      <c r="F1614" t="s">
        <v>35</v>
      </c>
      <c r="G1614" t="s">
        <v>35</v>
      </c>
      <c r="H1614" t="s">
        <v>35</v>
      </c>
      <c r="J1614" t="s">
        <v>2031</v>
      </c>
      <c r="K1614" t="s">
        <v>1092</v>
      </c>
      <c r="M1614">
        <v>7.8</v>
      </c>
      <c r="N1614">
        <v>75</v>
      </c>
      <c r="O1614" t="s">
        <v>61</v>
      </c>
      <c r="Q1614" t="s">
        <v>805</v>
      </c>
      <c r="R1614" t="s">
        <v>199</v>
      </c>
      <c r="S1614" t="s">
        <v>200</v>
      </c>
    </row>
    <row r="1615" spans="1:19" x14ac:dyDescent="0.25">
      <c r="A1615" t="s">
        <v>30</v>
      </c>
      <c r="B1615" t="s">
        <v>31</v>
      </c>
      <c r="C1615" t="s">
        <v>32</v>
      </c>
      <c r="D1615" t="s">
        <v>33</v>
      </c>
      <c r="E1615" t="s">
        <v>196</v>
      </c>
      <c r="F1615" t="s">
        <v>35</v>
      </c>
      <c r="G1615" t="s">
        <v>35</v>
      </c>
      <c r="H1615" t="s">
        <v>35</v>
      </c>
      <c r="J1615" t="s">
        <v>2031</v>
      </c>
      <c r="K1615" t="s">
        <v>1092</v>
      </c>
      <c r="M1615">
        <v>2.0550000000000002</v>
      </c>
      <c r="N1615">
        <v>75</v>
      </c>
      <c r="O1615" t="s">
        <v>61</v>
      </c>
      <c r="Q1615" t="s">
        <v>805</v>
      </c>
      <c r="R1615" t="s">
        <v>199</v>
      </c>
      <c r="S1615" t="s">
        <v>200</v>
      </c>
    </row>
    <row r="1616" spans="1:19" x14ac:dyDescent="0.25">
      <c r="A1616" t="s">
        <v>59</v>
      </c>
      <c r="B1616" t="s">
        <v>31</v>
      </c>
      <c r="C1616" t="s">
        <v>32</v>
      </c>
      <c r="D1616" t="s">
        <v>33</v>
      </c>
      <c r="E1616" t="s">
        <v>196</v>
      </c>
      <c r="F1616" t="s">
        <v>35</v>
      </c>
      <c r="G1616" t="s">
        <v>35</v>
      </c>
      <c r="H1616" t="s">
        <v>35</v>
      </c>
      <c r="J1616" t="s">
        <v>2032</v>
      </c>
      <c r="K1616" t="s">
        <v>1092</v>
      </c>
      <c r="M1616">
        <v>0.54</v>
      </c>
      <c r="N1616">
        <v>118</v>
      </c>
      <c r="O1616" t="s">
        <v>106</v>
      </c>
      <c r="Q1616" t="s">
        <v>1469</v>
      </c>
      <c r="R1616" t="s">
        <v>193</v>
      </c>
      <c r="S1616" t="s">
        <v>181</v>
      </c>
    </row>
    <row r="1617" spans="1:19" x14ac:dyDescent="0.25">
      <c r="A1617" t="s">
        <v>30</v>
      </c>
      <c r="B1617" t="s">
        <v>31</v>
      </c>
      <c r="C1617" t="s">
        <v>32</v>
      </c>
      <c r="D1617" t="s">
        <v>33</v>
      </c>
      <c r="E1617" t="s">
        <v>196</v>
      </c>
      <c r="F1617" t="s">
        <v>35</v>
      </c>
      <c r="G1617" t="s">
        <v>35</v>
      </c>
      <c r="H1617" t="s">
        <v>35</v>
      </c>
      <c r="J1617" t="s">
        <v>2033</v>
      </c>
      <c r="K1617" t="s">
        <v>1092</v>
      </c>
      <c r="M1617">
        <v>3.24</v>
      </c>
      <c r="N1617">
        <v>46</v>
      </c>
      <c r="O1617" t="s">
        <v>52</v>
      </c>
      <c r="Q1617" t="s">
        <v>493</v>
      </c>
      <c r="R1617" t="s">
        <v>85</v>
      </c>
      <c r="S1617" t="s">
        <v>86</v>
      </c>
    </row>
    <row r="1618" spans="1:19" x14ac:dyDescent="0.25">
      <c r="A1618" t="s">
        <v>30</v>
      </c>
      <c r="B1618" t="s">
        <v>31</v>
      </c>
      <c r="C1618" t="s">
        <v>32</v>
      </c>
      <c r="D1618" t="s">
        <v>33</v>
      </c>
      <c r="E1618" t="s">
        <v>196</v>
      </c>
      <c r="F1618" t="s">
        <v>35</v>
      </c>
      <c r="G1618" t="s">
        <v>35</v>
      </c>
      <c r="H1618" t="s">
        <v>35</v>
      </c>
      <c r="J1618" t="s">
        <v>2034</v>
      </c>
      <c r="K1618" t="s">
        <v>1092</v>
      </c>
      <c r="M1618">
        <v>10.62</v>
      </c>
      <c r="N1618">
        <v>42</v>
      </c>
      <c r="O1618" t="s">
        <v>52</v>
      </c>
      <c r="Q1618" t="s">
        <v>991</v>
      </c>
      <c r="R1618" t="s">
        <v>169</v>
      </c>
      <c r="S1618" t="s">
        <v>123</v>
      </c>
    </row>
    <row r="1619" spans="1:19" x14ac:dyDescent="0.25">
      <c r="A1619" t="s">
        <v>59</v>
      </c>
      <c r="B1619" t="s">
        <v>60</v>
      </c>
      <c r="C1619" t="s">
        <v>32</v>
      </c>
      <c r="D1619" t="s">
        <v>33</v>
      </c>
      <c r="E1619" t="s">
        <v>196</v>
      </c>
      <c r="F1619" t="s">
        <v>35</v>
      </c>
      <c r="G1619" t="s">
        <v>35</v>
      </c>
      <c r="H1619" t="s">
        <v>35</v>
      </c>
      <c r="J1619" t="s">
        <v>2035</v>
      </c>
      <c r="K1619" t="s">
        <v>1092</v>
      </c>
      <c r="M1619">
        <v>5.5</v>
      </c>
      <c r="N1619">
        <v>72</v>
      </c>
      <c r="O1619" t="s">
        <v>61</v>
      </c>
      <c r="Q1619" t="s">
        <v>63</v>
      </c>
      <c r="R1619" t="s">
        <v>193</v>
      </c>
      <c r="S1619" t="s">
        <v>181</v>
      </c>
    </row>
    <row r="1620" spans="1:19" x14ac:dyDescent="0.25">
      <c r="A1620" t="s">
        <v>59</v>
      </c>
      <c r="B1620" t="s">
        <v>31</v>
      </c>
      <c r="C1620" t="s">
        <v>32</v>
      </c>
      <c r="D1620" t="s">
        <v>33</v>
      </c>
      <c r="E1620" t="s">
        <v>196</v>
      </c>
      <c r="F1620" t="s">
        <v>35</v>
      </c>
      <c r="G1620" t="s">
        <v>35</v>
      </c>
      <c r="H1620" t="s">
        <v>35</v>
      </c>
      <c r="J1620" t="s">
        <v>2035</v>
      </c>
      <c r="K1620" t="s">
        <v>1092</v>
      </c>
      <c r="M1620">
        <v>4.41</v>
      </c>
      <c r="N1620">
        <v>72</v>
      </c>
      <c r="O1620" t="s">
        <v>61</v>
      </c>
      <c r="Q1620" t="s">
        <v>63</v>
      </c>
      <c r="R1620" t="s">
        <v>193</v>
      </c>
      <c r="S1620" t="s">
        <v>181</v>
      </c>
    </row>
    <row r="1621" spans="1:19" x14ac:dyDescent="0.25">
      <c r="A1621" t="s">
        <v>30</v>
      </c>
      <c r="B1621" t="s">
        <v>31</v>
      </c>
      <c r="C1621" t="s">
        <v>32</v>
      </c>
      <c r="D1621" t="s">
        <v>33</v>
      </c>
      <c r="E1621" t="s">
        <v>196</v>
      </c>
      <c r="F1621" t="s">
        <v>35</v>
      </c>
      <c r="G1621" t="s">
        <v>35</v>
      </c>
      <c r="H1621" t="s">
        <v>35</v>
      </c>
      <c r="J1621" t="s">
        <v>2036</v>
      </c>
      <c r="K1621" t="s">
        <v>1092</v>
      </c>
      <c r="M1621">
        <v>5.31</v>
      </c>
      <c r="N1621">
        <v>20</v>
      </c>
      <c r="O1621" t="s">
        <v>46</v>
      </c>
      <c r="Q1621" t="s">
        <v>1004</v>
      </c>
      <c r="R1621" t="s">
        <v>85</v>
      </c>
      <c r="S1621" t="s">
        <v>86</v>
      </c>
    </row>
    <row r="1622" spans="1:19" x14ac:dyDescent="0.25">
      <c r="A1622" t="s">
        <v>44</v>
      </c>
      <c r="B1622" t="s">
        <v>51</v>
      </c>
      <c r="C1622" t="s">
        <v>32</v>
      </c>
      <c r="D1622" t="s">
        <v>33</v>
      </c>
      <c r="E1622" t="s">
        <v>196</v>
      </c>
      <c r="F1622" t="s">
        <v>35</v>
      </c>
      <c r="G1622" t="s">
        <v>35</v>
      </c>
      <c r="H1622" t="s">
        <v>35</v>
      </c>
      <c r="J1622" t="s">
        <v>2036</v>
      </c>
      <c r="K1622" t="s">
        <v>1092</v>
      </c>
      <c r="M1622">
        <v>2.2999999999999998</v>
      </c>
      <c r="N1622">
        <v>62</v>
      </c>
      <c r="O1622" t="s">
        <v>61</v>
      </c>
      <c r="Q1622" t="s">
        <v>90</v>
      </c>
      <c r="R1622" t="s">
        <v>199</v>
      </c>
      <c r="S1622" t="s">
        <v>200</v>
      </c>
    </row>
    <row r="1623" spans="1:19" x14ac:dyDescent="0.25">
      <c r="A1623" t="s">
        <v>59</v>
      </c>
      <c r="B1623" t="s">
        <v>60</v>
      </c>
      <c r="C1623" t="s">
        <v>32</v>
      </c>
      <c r="D1623" t="s">
        <v>33</v>
      </c>
      <c r="E1623" t="s">
        <v>196</v>
      </c>
      <c r="F1623" t="s">
        <v>35</v>
      </c>
      <c r="G1623" t="s">
        <v>35</v>
      </c>
      <c r="H1623" t="s">
        <v>35</v>
      </c>
      <c r="J1623" t="s">
        <v>2036</v>
      </c>
      <c r="K1623" t="s">
        <v>1092</v>
      </c>
      <c r="M1623">
        <v>0.85</v>
      </c>
      <c r="N1623">
        <v>15</v>
      </c>
      <c r="O1623" t="s">
        <v>46</v>
      </c>
      <c r="Q1623" t="s">
        <v>1944</v>
      </c>
      <c r="R1623" t="s">
        <v>2037</v>
      </c>
      <c r="S1623" t="s">
        <v>197</v>
      </c>
    </row>
    <row r="1624" spans="1:19" x14ac:dyDescent="0.25">
      <c r="A1624" t="s">
        <v>44</v>
      </c>
      <c r="B1624" t="s">
        <v>3</v>
      </c>
      <c r="C1624" t="s">
        <v>32</v>
      </c>
      <c r="D1624" t="s">
        <v>33</v>
      </c>
      <c r="E1624" t="s">
        <v>196</v>
      </c>
      <c r="F1624" t="s">
        <v>35</v>
      </c>
      <c r="G1624" t="s">
        <v>35</v>
      </c>
      <c r="H1624" t="s">
        <v>35</v>
      </c>
      <c r="J1624" t="s">
        <v>2036</v>
      </c>
      <c r="K1624" t="s">
        <v>1092</v>
      </c>
      <c r="M1624">
        <v>2.2999999999999998</v>
      </c>
      <c r="N1624">
        <v>39</v>
      </c>
      <c r="O1624" t="s">
        <v>52</v>
      </c>
      <c r="Q1624" t="s">
        <v>816</v>
      </c>
      <c r="R1624" t="s">
        <v>2037</v>
      </c>
      <c r="S1624" t="s">
        <v>197</v>
      </c>
    </row>
    <row r="1625" spans="1:19" x14ac:dyDescent="0.25">
      <c r="A1625" t="s">
        <v>59</v>
      </c>
      <c r="B1625" t="s">
        <v>31</v>
      </c>
      <c r="C1625" t="s">
        <v>32</v>
      </c>
      <c r="D1625" t="s">
        <v>33</v>
      </c>
      <c r="E1625" t="s">
        <v>196</v>
      </c>
      <c r="F1625" t="s">
        <v>35</v>
      </c>
      <c r="G1625" t="s">
        <v>35</v>
      </c>
      <c r="H1625" t="s">
        <v>35</v>
      </c>
      <c r="J1625" t="s">
        <v>2038</v>
      </c>
      <c r="K1625" t="s">
        <v>1092</v>
      </c>
      <c r="M1625">
        <v>5.49</v>
      </c>
      <c r="N1625">
        <v>68</v>
      </c>
      <c r="O1625" t="s">
        <v>61</v>
      </c>
      <c r="Q1625" t="s">
        <v>146</v>
      </c>
      <c r="R1625" t="s">
        <v>169</v>
      </c>
      <c r="S1625" t="s">
        <v>123</v>
      </c>
    </row>
    <row r="1626" spans="1:19" x14ac:dyDescent="0.25">
      <c r="A1626" t="s">
        <v>30</v>
      </c>
      <c r="B1626" t="s">
        <v>31</v>
      </c>
      <c r="C1626" t="s">
        <v>32</v>
      </c>
      <c r="D1626" t="s">
        <v>33</v>
      </c>
      <c r="E1626" t="s">
        <v>196</v>
      </c>
      <c r="F1626" t="s">
        <v>35</v>
      </c>
      <c r="G1626" t="s">
        <v>35</v>
      </c>
      <c r="H1626" t="s">
        <v>35</v>
      </c>
      <c r="J1626" t="s">
        <v>2039</v>
      </c>
      <c r="K1626" t="s">
        <v>1092</v>
      </c>
      <c r="M1626">
        <v>5.49</v>
      </c>
      <c r="N1626">
        <v>47</v>
      </c>
      <c r="O1626" t="s">
        <v>52</v>
      </c>
      <c r="Q1626" t="s">
        <v>132</v>
      </c>
      <c r="R1626" t="s">
        <v>1331</v>
      </c>
      <c r="S1626" t="s">
        <v>1332</v>
      </c>
    </row>
    <row r="1627" spans="1:19" x14ac:dyDescent="0.25">
      <c r="A1627" t="s">
        <v>59</v>
      </c>
      <c r="B1627" t="s">
        <v>60</v>
      </c>
      <c r="C1627" t="s">
        <v>32</v>
      </c>
      <c r="D1627" t="s">
        <v>33</v>
      </c>
      <c r="E1627" t="s">
        <v>196</v>
      </c>
      <c r="F1627" t="s">
        <v>35</v>
      </c>
      <c r="G1627" t="s">
        <v>35</v>
      </c>
      <c r="H1627" t="s">
        <v>35</v>
      </c>
      <c r="J1627" t="s">
        <v>2040</v>
      </c>
      <c r="K1627" t="s">
        <v>1092</v>
      </c>
      <c r="M1627">
        <v>0.8</v>
      </c>
      <c r="N1627">
        <v>98</v>
      </c>
      <c r="O1627" t="s">
        <v>106</v>
      </c>
      <c r="Q1627" t="s">
        <v>108</v>
      </c>
      <c r="R1627" t="s">
        <v>193</v>
      </c>
      <c r="S1627" t="s">
        <v>181</v>
      </c>
    </row>
    <row r="1628" spans="1:19" x14ac:dyDescent="0.25">
      <c r="A1628" t="s">
        <v>59</v>
      </c>
      <c r="B1628" t="s">
        <v>31</v>
      </c>
      <c r="C1628" t="s">
        <v>32</v>
      </c>
      <c r="D1628" t="s">
        <v>33</v>
      </c>
      <c r="E1628" t="s">
        <v>196</v>
      </c>
      <c r="F1628" t="s">
        <v>35</v>
      </c>
      <c r="G1628" t="s">
        <v>35</v>
      </c>
      <c r="H1628" t="s">
        <v>35</v>
      </c>
      <c r="J1628" t="s">
        <v>2040</v>
      </c>
      <c r="K1628" t="s">
        <v>1092</v>
      </c>
      <c r="M1628">
        <v>0.72</v>
      </c>
      <c r="N1628">
        <v>98</v>
      </c>
      <c r="O1628" t="s">
        <v>106</v>
      </c>
      <c r="Q1628" t="s">
        <v>108</v>
      </c>
      <c r="R1628" t="s">
        <v>193</v>
      </c>
      <c r="S1628" t="s">
        <v>181</v>
      </c>
    </row>
    <row r="1629" spans="1:19" x14ac:dyDescent="0.25">
      <c r="A1629" t="s">
        <v>44</v>
      </c>
      <c r="B1629" t="s">
        <v>51</v>
      </c>
      <c r="C1629" t="s">
        <v>32</v>
      </c>
      <c r="D1629" t="s">
        <v>33</v>
      </c>
      <c r="E1629" t="s">
        <v>196</v>
      </c>
      <c r="F1629" t="s">
        <v>35</v>
      </c>
      <c r="G1629" t="s">
        <v>35</v>
      </c>
      <c r="H1629" t="s">
        <v>35</v>
      </c>
      <c r="J1629" t="s">
        <v>2041</v>
      </c>
      <c r="K1629" t="s">
        <v>1092</v>
      </c>
      <c r="M1629">
        <v>4.25</v>
      </c>
      <c r="N1629">
        <v>28</v>
      </c>
      <c r="O1629" t="s">
        <v>46</v>
      </c>
      <c r="Q1629" t="s">
        <v>176</v>
      </c>
      <c r="R1629" t="s">
        <v>85</v>
      </c>
      <c r="S1629" t="s">
        <v>86</v>
      </c>
    </row>
    <row r="1630" spans="1:19" x14ac:dyDescent="0.25">
      <c r="A1630" t="s">
        <v>59</v>
      </c>
      <c r="B1630" t="s">
        <v>60</v>
      </c>
      <c r="C1630" t="s">
        <v>32</v>
      </c>
      <c r="D1630" t="s">
        <v>33</v>
      </c>
      <c r="E1630" t="s">
        <v>196</v>
      </c>
      <c r="F1630" t="s">
        <v>35</v>
      </c>
      <c r="G1630" t="s">
        <v>35</v>
      </c>
      <c r="H1630" t="s">
        <v>35</v>
      </c>
      <c r="J1630" t="s">
        <v>2041</v>
      </c>
      <c r="K1630" t="s">
        <v>1092</v>
      </c>
      <c r="M1630">
        <v>3.25</v>
      </c>
      <c r="N1630">
        <v>73</v>
      </c>
      <c r="O1630" t="s">
        <v>61</v>
      </c>
      <c r="Q1630" t="s">
        <v>552</v>
      </c>
      <c r="R1630" t="s">
        <v>85</v>
      </c>
      <c r="S1630" t="s">
        <v>86</v>
      </c>
    </row>
    <row r="1631" spans="1:19" x14ac:dyDescent="0.25">
      <c r="A1631" t="s">
        <v>44</v>
      </c>
      <c r="B1631" t="s">
        <v>3</v>
      </c>
      <c r="C1631" t="s">
        <v>32</v>
      </c>
      <c r="D1631" t="s">
        <v>33</v>
      </c>
      <c r="E1631" t="s">
        <v>196</v>
      </c>
      <c r="F1631" t="s">
        <v>35</v>
      </c>
      <c r="G1631" t="s">
        <v>35</v>
      </c>
      <c r="H1631" t="s">
        <v>35</v>
      </c>
      <c r="J1631" t="s">
        <v>2041</v>
      </c>
      <c r="K1631" t="s">
        <v>1092</v>
      </c>
      <c r="M1631">
        <v>5.5</v>
      </c>
      <c r="N1631">
        <v>62</v>
      </c>
      <c r="O1631" t="s">
        <v>61</v>
      </c>
      <c r="Q1631" t="s">
        <v>90</v>
      </c>
      <c r="R1631" t="s">
        <v>85</v>
      </c>
      <c r="S1631" t="s">
        <v>86</v>
      </c>
    </row>
    <row r="1632" spans="1:19" x14ac:dyDescent="0.25">
      <c r="A1632" t="s">
        <v>30</v>
      </c>
      <c r="B1632" t="s">
        <v>31</v>
      </c>
      <c r="C1632" t="s">
        <v>32</v>
      </c>
      <c r="D1632" t="s">
        <v>33</v>
      </c>
      <c r="E1632" t="s">
        <v>196</v>
      </c>
      <c r="F1632" t="s">
        <v>35</v>
      </c>
      <c r="G1632" t="s">
        <v>35</v>
      </c>
      <c r="H1632" t="s">
        <v>35</v>
      </c>
      <c r="J1632" t="s">
        <v>2041</v>
      </c>
      <c r="K1632" t="s">
        <v>1092</v>
      </c>
      <c r="M1632">
        <v>4.1399999999999997</v>
      </c>
      <c r="N1632">
        <v>46</v>
      </c>
      <c r="O1632" t="s">
        <v>52</v>
      </c>
      <c r="Q1632" t="s">
        <v>493</v>
      </c>
      <c r="R1632" t="s">
        <v>85</v>
      </c>
      <c r="S1632" t="s">
        <v>86</v>
      </c>
    </row>
    <row r="1633" spans="1:19" x14ac:dyDescent="0.25">
      <c r="A1633" t="s">
        <v>59</v>
      </c>
      <c r="B1633" t="s">
        <v>60</v>
      </c>
      <c r="C1633" t="s">
        <v>32</v>
      </c>
      <c r="D1633" t="s">
        <v>33</v>
      </c>
      <c r="E1633" t="s">
        <v>196</v>
      </c>
      <c r="F1633" t="s">
        <v>35</v>
      </c>
      <c r="G1633" t="s">
        <v>35</v>
      </c>
      <c r="H1633" t="s">
        <v>35</v>
      </c>
      <c r="J1633" t="s">
        <v>2042</v>
      </c>
      <c r="K1633" t="s">
        <v>1092</v>
      </c>
      <c r="M1633">
        <v>2.8</v>
      </c>
      <c r="N1633">
        <v>775</v>
      </c>
      <c r="O1633" t="s">
        <v>575</v>
      </c>
      <c r="Q1633" t="s">
        <v>2043</v>
      </c>
      <c r="R1633" t="s">
        <v>1097</v>
      </c>
      <c r="S1633" t="s">
        <v>1098</v>
      </c>
    </row>
    <row r="1634" spans="1:19" x14ac:dyDescent="0.25">
      <c r="A1634" t="s">
        <v>59</v>
      </c>
      <c r="B1634" t="s">
        <v>31</v>
      </c>
      <c r="C1634" t="s">
        <v>32</v>
      </c>
      <c r="D1634" t="s">
        <v>33</v>
      </c>
      <c r="E1634" t="s">
        <v>196</v>
      </c>
      <c r="F1634" t="s">
        <v>35</v>
      </c>
      <c r="G1634" t="s">
        <v>35</v>
      </c>
      <c r="H1634" t="s">
        <v>35</v>
      </c>
      <c r="J1634" t="s">
        <v>2042</v>
      </c>
      <c r="K1634" t="s">
        <v>1092</v>
      </c>
      <c r="M1634">
        <v>1.7</v>
      </c>
      <c r="N1634">
        <v>940</v>
      </c>
      <c r="O1634" t="s">
        <v>575</v>
      </c>
      <c r="Q1634" t="s">
        <v>2044</v>
      </c>
      <c r="R1634" t="s">
        <v>2037</v>
      </c>
      <c r="S1634" t="s">
        <v>197</v>
      </c>
    </row>
    <row r="1635" spans="1:19" x14ac:dyDescent="0.25">
      <c r="A1635" t="s">
        <v>44</v>
      </c>
      <c r="B1635" t="s">
        <v>51</v>
      </c>
      <c r="C1635" t="s">
        <v>32</v>
      </c>
      <c r="D1635" t="s">
        <v>33</v>
      </c>
      <c r="E1635" t="s">
        <v>196</v>
      </c>
      <c r="F1635" t="s">
        <v>35</v>
      </c>
      <c r="G1635" t="s">
        <v>35</v>
      </c>
      <c r="H1635" t="s">
        <v>35</v>
      </c>
      <c r="J1635" t="s">
        <v>2045</v>
      </c>
      <c r="K1635" t="s">
        <v>1092</v>
      </c>
      <c r="M1635">
        <v>6</v>
      </c>
      <c r="N1635">
        <v>39</v>
      </c>
      <c r="O1635" t="s">
        <v>52</v>
      </c>
      <c r="Q1635" t="s">
        <v>816</v>
      </c>
      <c r="R1635" t="s">
        <v>1279</v>
      </c>
      <c r="S1635" t="s">
        <v>163</v>
      </c>
    </row>
    <row r="1636" spans="1:19" x14ac:dyDescent="0.25">
      <c r="A1636" t="s">
        <v>30</v>
      </c>
      <c r="B1636" t="s">
        <v>31</v>
      </c>
      <c r="C1636" t="s">
        <v>32</v>
      </c>
      <c r="D1636" t="s">
        <v>33</v>
      </c>
      <c r="E1636" t="s">
        <v>196</v>
      </c>
      <c r="F1636" t="s">
        <v>35</v>
      </c>
      <c r="G1636" t="s">
        <v>35</v>
      </c>
      <c r="H1636" t="s">
        <v>35</v>
      </c>
      <c r="J1636" t="s">
        <v>2045</v>
      </c>
      <c r="K1636" t="s">
        <v>1092</v>
      </c>
      <c r="M1636">
        <v>2.34</v>
      </c>
      <c r="N1636">
        <v>48</v>
      </c>
      <c r="O1636" t="s">
        <v>52</v>
      </c>
      <c r="Q1636" t="s">
        <v>496</v>
      </c>
      <c r="R1636" t="s">
        <v>1279</v>
      </c>
      <c r="S1636" t="s">
        <v>163</v>
      </c>
    </row>
    <row r="1637" spans="1:19" x14ac:dyDescent="0.25">
      <c r="A1637" t="s">
        <v>59</v>
      </c>
      <c r="B1637" t="s">
        <v>60</v>
      </c>
      <c r="C1637" t="s">
        <v>32</v>
      </c>
      <c r="D1637" t="s">
        <v>33</v>
      </c>
      <c r="E1637" t="s">
        <v>196</v>
      </c>
      <c r="F1637" t="s">
        <v>35</v>
      </c>
      <c r="G1637" t="s">
        <v>35</v>
      </c>
      <c r="H1637" t="s">
        <v>35</v>
      </c>
      <c r="J1637" t="s">
        <v>2045</v>
      </c>
      <c r="K1637" t="s">
        <v>1092</v>
      </c>
      <c r="M1637">
        <v>3.4</v>
      </c>
      <c r="N1637">
        <v>192</v>
      </c>
      <c r="O1637" t="s">
        <v>5</v>
      </c>
      <c r="Q1637" t="s">
        <v>2046</v>
      </c>
      <c r="R1637" t="s">
        <v>85</v>
      </c>
      <c r="S1637" t="s">
        <v>86</v>
      </c>
    </row>
    <row r="1638" spans="1:19" x14ac:dyDescent="0.25">
      <c r="A1638" t="s">
        <v>59</v>
      </c>
      <c r="B1638" t="s">
        <v>31</v>
      </c>
      <c r="C1638" t="s">
        <v>32</v>
      </c>
      <c r="D1638" t="s">
        <v>33</v>
      </c>
      <c r="E1638" t="s">
        <v>196</v>
      </c>
      <c r="F1638" t="s">
        <v>35</v>
      </c>
      <c r="G1638" t="s">
        <v>35</v>
      </c>
      <c r="H1638" t="s">
        <v>35</v>
      </c>
      <c r="J1638" t="s">
        <v>2047</v>
      </c>
      <c r="K1638" t="s">
        <v>1092</v>
      </c>
      <c r="M1638">
        <v>1.575</v>
      </c>
      <c r="N1638">
        <v>83</v>
      </c>
      <c r="O1638" t="s">
        <v>61</v>
      </c>
      <c r="Q1638" t="s">
        <v>455</v>
      </c>
      <c r="R1638" t="s">
        <v>1142</v>
      </c>
      <c r="S1638" t="s">
        <v>88</v>
      </c>
    </row>
    <row r="1639" spans="1:19" x14ac:dyDescent="0.25">
      <c r="A1639" t="s">
        <v>59</v>
      </c>
      <c r="B1639" t="s">
        <v>60</v>
      </c>
      <c r="C1639" t="s">
        <v>32</v>
      </c>
      <c r="D1639" t="s">
        <v>33</v>
      </c>
      <c r="E1639" t="s">
        <v>196</v>
      </c>
      <c r="F1639" t="s">
        <v>35</v>
      </c>
      <c r="G1639" t="s">
        <v>35</v>
      </c>
      <c r="H1639" t="s">
        <v>35</v>
      </c>
      <c r="J1639" t="s">
        <v>2047</v>
      </c>
      <c r="K1639" t="s">
        <v>1092</v>
      </c>
      <c r="M1639">
        <v>0.59799999999999998</v>
      </c>
      <c r="N1639">
        <v>83</v>
      </c>
      <c r="O1639" t="s">
        <v>61</v>
      </c>
      <c r="Q1639" t="s">
        <v>455</v>
      </c>
      <c r="R1639" t="s">
        <v>1142</v>
      </c>
      <c r="S1639" t="s">
        <v>88</v>
      </c>
    </row>
    <row r="1640" spans="1:19" x14ac:dyDescent="0.25">
      <c r="A1640" t="s">
        <v>30</v>
      </c>
      <c r="B1640" t="s">
        <v>31</v>
      </c>
      <c r="C1640" t="s">
        <v>32</v>
      </c>
      <c r="D1640" t="s">
        <v>33</v>
      </c>
      <c r="E1640" t="s">
        <v>196</v>
      </c>
      <c r="F1640" t="s">
        <v>35</v>
      </c>
      <c r="G1640" t="s">
        <v>35</v>
      </c>
      <c r="H1640" t="s">
        <v>35</v>
      </c>
      <c r="J1640" t="s">
        <v>2048</v>
      </c>
      <c r="K1640" t="s">
        <v>1092</v>
      </c>
      <c r="M1640">
        <v>0.54</v>
      </c>
      <c r="N1640">
        <v>70</v>
      </c>
      <c r="O1640" t="s">
        <v>61</v>
      </c>
      <c r="Q1640" t="s">
        <v>126</v>
      </c>
      <c r="R1640" t="s">
        <v>1142</v>
      </c>
      <c r="S1640" t="s">
        <v>88</v>
      </c>
    </row>
    <row r="1641" spans="1:19" x14ac:dyDescent="0.25">
      <c r="A1641" t="s">
        <v>30</v>
      </c>
      <c r="B1641" t="s">
        <v>31</v>
      </c>
      <c r="C1641" t="s">
        <v>32</v>
      </c>
      <c r="D1641" t="s">
        <v>33</v>
      </c>
      <c r="E1641" t="s">
        <v>196</v>
      </c>
      <c r="F1641" t="s">
        <v>35</v>
      </c>
      <c r="G1641" t="s">
        <v>35</v>
      </c>
      <c r="H1641" t="s">
        <v>35</v>
      </c>
      <c r="J1641" t="s">
        <v>2049</v>
      </c>
      <c r="K1641" t="s">
        <v>1092</v>
      </c>
      <c r="M1641">
        <v>8.5950000000000006</v>
      </c>
      <c r="N1641">
        <v>19</v>
      </c>
      <c r="O1641" t="s">
        <v>46</v>
      </c>
      <c r="Q1641" t="s">
        <v>1192</v>
      </c>
      <c r="R1641" t="s">
        <v>169</v>
      </c>
      <c r="S1641" t="s">
        <v>123</v>
      </c>
    </row>
    <row r="1642" spans="1:19" x14ac:dyDescent="0.25">
      <c r="A1642" t="s">
        <v>44</v>
      </c>
      <c r="B1642" t="s">
        <v>51</v>
      </c>
      <c r="C1642" t="s">
        <v>32</v>
      </c>
      <c r="D1642" t="s">
        <v>33</v>
      </c>
      <c r="E1642" t="s">
        <v>196</v>
      </c>
      <c r="F1642" t="s">
        <v>35</v>
      </c>
      <c r="G1642" t="s">
        <v>35</v>
      </c>
      <c r="H1642" t="s">
        <v>35</v>
      </c>
      <c r="J1642" t="s">
        <v>2049</v>
      </c>
      <c r="K1642" t="s">
        <v>1092</v>
      </c>
      <c r="M1642">
        <v>2.25</v>
      </c>
      <c r="N1642">
        <v>51</v>
      </c>
      <c r="O1642" t="s">
        <v>52</v>
      </c>
      <c r="Q1642" t="s">
        <v>54</v>
      </c>
      <c r="R1642" t="s">
        <v>169</v>
      </c>
      <c r="S1642" t="s">
        <v>123</v>
      </c>
    </row>
    <row r="1643" spans="1:19" x14ac:dyDescent="0.25">
      <c r="A1643" t="s">
        <v>30</v>
      </c>
      <c r="B1643" t="s">
        <v>31</v>
      </c>
      <c r="C1643" t="s">
        <v>32</v>
      </c>
      <c r="D1643" t="s">
        <v>33</v>
      </c>
      <c r="E1643" t="s">
        <v>196</v>
      </c>
      <c r="F1643" t="s">
        <v>35</v>
      </c>
      <c r="G1643" t="s">
        <v>35</v>
      </c>
      <c r="H1643" t="s">
        <v>35</v>
      </c>
      <c r="J1643" t="s">
        <v>2050</v>
      </c>
      <c r="K1643" t="s">
        <v>1092</v>
      </c>
      <c r="M1643">
        <v>3.69</v>
      </c>
      <c r="N1643">
        <v>44</v>
      </c>
      <c r="O1643" t="s">
        <v>52</v>
      </c>
      <c r="Q1643" t="s">
        <v>192</v>
      </c>
      <c r="R1643" t="s">
        <v>193</v>
      </c>
      <c r="S1643" t="s">
        <v>181</v>
      </c>
    </row>
    <row r="1644" spans="1:19" x14ac:dyDescent="0.25">
      <c r="A1644" t="s">
        <v>59</v>
      </c>
      <c r="B1644" t="s">
        <v>60</v>
      </c>
      <c r="C1644" t="s">
        <v>32</v>
      </c>
      <c r="D1644" t="s">
        <v>33</v>
      </c>
      <c r="E1644" t="s">
        <v>196</v>
      </c>
      <c r="F1644" t="s">
        <v>35</v>
      </c>
      <c r="G1644" t="s">
        <v>35</v>
      </c>
      <c r="H1644" t="s">
        <v>35</v>
      </c>
      <c r="J1644" t="s">
        <v>207</v>
      </c>
      <c r="K1644" t="s">
        <v>1092</v>
      </c>
      <c r="M1644">
        <v>4.5</v>
      </c>
      <c r="N1644">
        <v>72</v>
      </c>
      <c r="O1644" t="s">
        <v>61</v>
      </c>
      <c r="Q1644" t="s">
        <v>63</v>
      </c>
      <c r="R1644" t="s">
        <v>193</v>
      </c>
      <c r="S1644" t="s">
        <v>181</v>
      </c>
    </row>
    <row r="1645" spans="1:19" x14ac:dyDescent="0.25">
      <c r="A1645" t="s">
        <v>30</v>
      </c>
      <c r="B1645" t="s">
        <v>31</v>
      </c>
      <c r="C1645" t="s">
        <v>32</v>
      </c>
      <c r="D1645" t="s">
        <v>33</v>
      </c>
      <c r="E1645" t="s">
        <v>196</v>
      </c>
      <c r="F1645" t="s">
        <v>35</v>
      </c>
      <c r="G1645" t="s">
        <v>35</v>
      </c>
      <c r="H1645" t="s">
        <v>35</v>
      </c>
      <c r="J1645" t="s">
        <v>1508</v>
      </c>
      <c r="K1645" t="s">
        <v>1092</v>
      </c>
      <c r="M1645">
        <v>4.95</v>
      </c>
      <c r="N1645">
        <v>70</v>
      </c>
      <c r="O1645" t="s">
        <v>61</v>
      </c>
      <c r="Q1645" t="s">
        <v>126</v>
      </c>
      <c r="R1645" t="s">
        <v>1142</v>
      </c>
      <c r="S1645" t="s">
        <v>88</v>
      </c>
    </row>
    <row r="1646" spans="1:19" x14ac:dyDescent="0.25">
      <c r="A1646" t="s">
        <v>59</v>
      </c>
      <c r="B1646" t="s">
        <v>60</v>
      </c>
      <c r="C1646" t="s">
        <v>32</v>
      </c>
      <c r="D1646" t="s">
        <v>33</v>
      </c>
      <c r="E1646" t="s">
        <v>196</v>
      </c>
      <c r="F1646" t="s">
        <v>35</v>
      </c>
      <c r="G1646" t="s">
        <v>35</v>
      </c>
      <c r="H1646" t="s">
        <v>35</v>
      </c>
      <c r="J1646" t="s">
        <v>1508</v>
      </c>
      <c r="K1646" t="s">
        <v>1092</v>
      </c>
      <c r="M1646">
        <v>0.25</v>
      </c>
      <c r="N1646">
        <v>500</v>
      </c>
      <c r="O1646" t="s">
        <v>294</v>
      </c>
      <c r="Q1646" t="s">
        <v>2051</v>
      </c>
      <c r="R1646" t="s">
        <v>193</v>
      </c>
      <c r="S1646" t="s">
        <v>181</v>
      </c>
    </row>
    <row r="1647" spans="1:19" x14ac:dyDescent="0.25">
      <c r="A1647" t="s">
        <v>30</v>
      </c>
      <c r="B1647" t="s">
        <v>31</v>
      </c>
      <c r="C1647" t="s">
        <v>32</v>
      </c>
      <c r="D1647" t="s">
        <v>33</v>
      </c>
      <c r="E1647" t="s">
        <v>196</v>
      </c>
      <c r="F1647" t="s">
        <v>35</v>
      </c>
      <c r="G1647" t="s">
        <v>35</v>
      </c>
      <c r="H1647" t="s">
        <v>35</v>
      </c>
      <c r="J1647" t="s">
        <v>2052</v>
      </c>
      <c r="K1647" t="s">
        <v>1092</v>
      </c>
      <c r="M1647">
        <v>8.82</v>
      </c>
      <c r="N1647">
        <v>25</v>
      </c>
      <c r="O1647" t="s">
        <v>46</v>
      </c>
      <c r="Q1647" t="s">
        <v>831</v>
      </c>
      <c r="R1647" t="s">
        <v>199</v>
      </c>
      <c r="S1647" t="s">
        <v>200</v>
      </c>
    </row>
    <row r="1648" spans="1:19" x14ac:dyDescent="0.25">
      <c r="A1648" t="s">
        <v>59</v>
      </c>
      <c r="B1648" t="s">
        <v>60</v>
      </c>
      <c r="C1648" t="s">
        <v>32</v>
      </c>
      <c r="D1648" t="s">
        <v>33</v>
      </c>
      <c r="E1648" t="s">
        <v>196</v>
      </c>
      <c r="F1648" t="s">
        <v>35</v>
      </c>
      <c r="G1648" t="s">
        <v>35</v>
      </c>
      <c r="H1648" t="s">
        <v>35</v>
      </c>
      <c r="J1648" t="s">
        <v>2052</v>
      </c>
      <c r="K1648" t="s">
        <v>1092</v>
      </c>
      <c r="M1648">
        <v>1.1499999999999999</v>
      </c>
      <c r="N1648">
        <v>98</v>
      </c>
      <c r="O1648" t="s">
        <v>106</v>
      </c>
      <c r="Q1648" t="s">
        <v>108</v>
      </c>
      <c r="R1648" t="s">
        <v>193</v>
      </c>
      <c r="S1648" t="s">
        <v>181</v>
      </c>
    </row>
    <row r="1649" spans="1:19" x14ac:dyDescent="0.25">
      <c r="A1649" t="s">
        <v>44</v>
      </c>
      <c r="B1649" t="s">
        <v>51</v>
      </c>
      <c r="C1649" t="s">
        <v>32</v>
      </c>
      <c r="D1649" t="s">
        <v>33</v>
      </c>
      <c r="E1649" t="s">
        <v>196</v>
      </c>
      <c r="F1649" t="s">
        <v>35</v>
      </c>
      <c r="G1649" t="s">
        <v>35</v>
      </c>
      <c r="H1649" t="s">
        <v>35</v>
      </c>
      <c r="J1649" t="s">
        <v>2052</v>
      </c>
      <c r="K1649" t="s">
        <v>1092</v>
      </c>
      <c r="M1649">
        <v>5.3</v>
      </c>
      <c r="N1649">
        <v>58</v>
      </c>
      <c r="O1649" t="s">
        <v>52</v>
      </c>
      <c r="Q1649" t="s">
        <v>58</v>
      </c>
      <c r="R1649" t="s">
        <v>193</v>
      </c>
      <c r="S1649" t="s">
        <v>181</v>
      </c>
    </row>
    <row r="1650" spans="1:19" x14ac:dyDescent="0.25">
      <c r="A1650" t="s">
        <v>59</v>
      </c>
      <c r="B1650" t="s">
        <v>31</v>
      </c>
      <c r="C1650" t="s">
        <v>32</v>
      </c>
      <c r="D1650" t="s">
        <v>33</v>
      </c>
      <c r="E1650" t="s">
        <v>196</v>
      </c>
      <c r="F1650" t="s">
        <v>35</v>
      </c>
      <c r="G1650" t="s">
        <v>35</v>
      </c>
      <c r="H1650" t="s">
        <v>35</v>
      </c>
      <c r="J1650" t="s">
        <v>2053</v>
      </c>
      <c r="K1650" t="s">
        <v>1092</v>
      </c>
      <c r="M1650">
        <v>0.315</v>
      </c>
      <c r="N1650">
        <v>98</v>
      </c>
      <c r="O1650" t="s">
        <v>106</v>
      </c>
      <c r="Q1650" t="s">
        <v>108</v>
      </c>
      <c r="R1650" t="s">
        <v>193</v>
      </c>
      <c r="S1650" t="s">
        <v>181</v>
      </c>
    </row>
    <row r="1651" spans="1:19" x14ac:dyDescent="0.25">
      <c r="A1651" t="s">
        <v>59</v>
      </c>
      <c r="B1651" t="s">
        <v>60</v>
      </c>
      <c r="C1651" t="s">
        <v>32</v>
      </c>
      <c r="D1651" t="s">
        <v>33</v>
      </c>
      <c r="E1651" t="s">
        <v>196</v>
      </c>
      <c r="F1651" t="s">
        <v>35</v>
      </c>
      <c r="G1651" t="s">
        <v>35</v>
      </c>
      <c r="H1651" t="s">
        <v>35</v>
      </c>
      <c r="J1651" t="s">
        <v>2053</v>
      </c>
      <c r="K1651" t="s">
        <v>1092</v>
      </c>
      <c r="M1651">
        <v>1.25</v>
      </c>
      <c r="N1651">
        <v>98</v>
      </c>
      <c r="O1651" t="s">
        <v>106</v>
      </c>
      <c r="Q1651" t="s">
        <v>108</v>
      </c>
      <c r="R1651" t="s">
        <v>193</v>
      </c>
      <c r="S1651" t="s">
        <v>181</v>
      </c>
    </row>
    <row r="1652" spans="1:19" x14ac:dyDescent="0.25">
      <c r="A1652" t="s">
        <v>44</v>
      </c>
      <c r="B1652" t="s">
        <v>51</v>
      </c>
      <c r="C1652" t="s">
        <v>32</v>
      </c>
      <c r="D1652" t="s">
        <v>33</v>
      </c>
      <c r="E1652" t="s">
        <v>196</v>
      </c>
      <c r="F1652" t="s">
        <v>35</v>
      </c>
      <c r="G1652" t="s">
        <v>35</v>
      </c>
      <c r="H1652" t="s">
        <v>35</v>
      </c>
      <c r="J1652" t="s">
        <v>2054</v>
      </c>
      <c r="K1652" t="s">
        <v>1092</v>
      </c>
      <c r="M1652">
        <v>1.7</v>
      </c>
      <c r="N1652">
        <v>62</v>
      </c>
      <c r="O1652" t="s">
        <v>61</v>
      </c>
      <c r="Q1652" t="s">
        <v>90</v>
      </c>
      <c r="R1652" t="s">
        <v>199</v>
      </c>
      <c r="S1652" t="s">
        <v>200</v>
      </c>
    </row>
    <row r="1653" spans="1:19" x14ac:dyDescent="0.25">
      <c r="A1653" t="s">
        <v>59</v>
      </c>
      <c r="B1653" t="s">
        <v>60</v>
      </c>
      <c r="C1653" t="s">
        <v>32</v>
      </c>
      <c r="D1653" t="s">
        <v>33</v>
      </c>
      <c r="E1653" t="s">
        <v>196</v>
      </c>
      <c r="F1653" t="s">
        <v>35</v>
      </c>
      <c r="G1653" t="s">
        <v>35</v>
      </c>
      <c r="H1653" t="s">
        <v>35</v>
      </c>
      <c r="J1653" t="s">
        <v>2054</v>
      </c>
      <c r="K1653" t="s">
        <v>1092</v>
      </c>
      <c r="M1653">
        <v>2.25</v>
      </c>
      <c r="N1653">
        <v>75</v>
      </c>
      <c r="O1653" t="s">
        <v>61</v>
      </c>
      <c r="Q1653" t="s">
        <v>805</v>
      </c>
      <c r="R1653" t="s">
        <v>199</v>
      </c>
      <c r="S1653" t="s">
        <v>200</v>
      </c>
    </row>
    <row r="1654" spans="1:19" x14ac:dyDescent="0.25">
      <c r="A1654" t="s">
        <v>30</v>
      </c>
      <c r="B1654" t="s">
        <v>31</v>
      </c>
      <c r="C1654" t="s">
        <v>32</v>
      </c>
      <c r="D1654" t="s">
        <v>33</v>
      </c>
      <c r="E1654" t="s">
        <v>196</v>
      </c>
      <c r="F1654" t="s">
        <v>35</v>
      </c>
      <c r="G1654" t="s">
        <v>35</v>
      </c>
      <c r="H1654" t="s">
        <v>35</v>
      </c>
      <c r="J1654" t="s">
        <v>2054</v>
      </c>
      <c r="K1654" t="s">
        <v>1092</v>
      </c>
      <c r="M1654">
        <v>6.21</v>
      </c>
      <c r="N1654">
        <v>46</v>
      </c>
      <c r="O1654" t="s">
        <v>52</v>
      </c>
      <c r="Q1654" t="s">
        <v>493</v>
      </c>
      <c r="R1654" t="s">
        <v>85</v>
      </c>
      <c r="S1654" t="s">
        <v>86</v>
      </c>
    </row>
    <row r="1655" spans="1:19" x14ac:dyDescent="0.25">
      <c r="A1655" t="s">
        <v>30</v>
      </c>
      <c r="B1655" t="s">
        <v>31</v>
      </c>
      <c r="C1655" t="s">
        <v>32</v>
      </c>
      <c r="D1655" t="s">
        <v>33</v>
      </c>
      <c r="E1655" t="s">
        <v>196</v>
      </c>
      <c r="F1655" t="s">
        <v>35</v>
      </c>
      <c r="G1655" t="s">
        <v>35</v>
      </c>
      <c r="H1655" t="s">
        <v>35</v>
      </c>
      <c r="J1655" t="s">
        <v>2055</v>
      </c>
      <c r="K1655" t="s">
        <v>1092</v>
      </c>
      <c r="M1655">
        <v>2.5649999999999999</v>
      </c>
      <c r="N1655">
        <v>46</v>
      </c>
      <c r="O1655" t="s">
        <v>52</v>
      </c>
      <c r="Q1655" t="s">
        <v>493</v>
      </c>
      <c r="R1655" t="s">
        <v>85</v>
      </c>
      <c r="S1655" t="s">
        <v>86</v>
      </c>
    </row>
    <row r="1656" spans="1:19" x14ac:dyDescent="0.25">
      <c r="A1656" t="s">
        <v>44</v>
      </c>
      <c r="B1656" t="s">
        <v>51</v>
      </c>
      <c r="C1656" t="s">
        <v>32</v>
      </c>
      <c r="D1656" t="s">
        <v>33</v>
      </c>
      <c r="E1656" t="s">
        <v>196</v>
      </c>
      <c r="F1656" t="s">
        <v>35</v>
      </c>
      <c r="G1656" t="s">
        <v>35</v>
      </c>
      <c r="H1656" t="s">
        <v>35</v>
      </c>
      <c r="J1656" t="s">
        <v>2055</v>
      </c>
      <c r="K1656" t="s">
        <v>1092</v>
      </c>
      <c r="M1656">
        <v>4.5</v>
      </c>
      <c r="N1656">
        <v>28</v>
      </c>
      <c r="O1656" t="s">
        <v>46</v>
      </c>
      <c r="Q1656" t="s">
        <v>176</v>
      </c>
      <c r="R1656" t="s">
        <v>85</v>
      </c>
      <c r="S1656" t="s">
        <v>86</v>
      </c>
    </row>
    <row r="1657" spans="1:19" x14ac:dyDescent="0.25">
      <c r="A1657" t="s">
        <v>59</v>
      </c>
      <c r="B1657" t="s">
        <v>60</v>
      </c>
      <c r="C1657" t="s">
        <v>32</v>
      </c>
      <c r="D1657" t="s">
        <v>33</v>
      </c>
      <c r="E1657" t="s">
        <v>196</v>
      </c>
      <c r="F1657" t="s">
        <v>35</v>
      </c>
      <c r="G1657" t="s">
        <v>35</v>
      </c>
      <c r="H1657" t="s">
        <v>35</v>
      </c>
      <c r="J1657" t="s">
        <v>2056</v>
      </c>
      <c r="K1657" t="s">
        <v>1092</v>
      </c>
      <c r="M1657">
        <v>3.35</v>
      </c>
      <c r="N1657">
        <v>75</v>
      </c>
      <c r="O1657" t="s">
        <v>61</v>
      </c>
      <c r="Q1657" t="s">
        <v>805</v>
      </c>
      <c r="R1657" t="s">
        <v>1331</v>
      </c>
      <c r="S1657" t="s">
        <v>1332</v>
      </c>
    </row>
    <row r="1658" spans="1:19" x14ac:dyDescent="0.25">
      <c r="A1658" t="s">
        <v>59</v>
      </c>
      <c r="B1658" t="s">
        <v>31</v>
      </c>
      <c r="C1658" t="s">
        <v>32</v>
      </c>
      <c r="D1658" t="s">
        <v>33</v>
      </c>
      <c r="E1658" t="s">
        <v>196</v>
      </c>
      <c r="F1658" t="s">
        <v>35</v>
      </c>
      <c r="G1658" t="s">
        <v>35</v>
      </c>
      <c r="H1658" t="s">
        <v>35</v>
      </c>
      <c r="J1658" t="s">
        <v>2056</v>
      </c>
      <c r="K1658" t="s">
        <v>1092</v>
      </c>
      <c r="M1658">
        <v>8.19</v>
      </c>
      <c r="N1658">
        <v>46</v>
      </c>
      <c r="O1658" t="s">
        <v>52</v>
      </c>
      <c r="Q1658" t="s">
        <v>493</v>
      </c>
      <c r="R1658" t="s">
        <v>169</v>
      </c>
      <c r="S1658" t="s">
        <v>123</v>
      </c>
    </row>
    <row r="1659" spans="1:19" x14ac:dyDescent="0.25">
      <c r="A1659" t="s">
        <v>30</v>
      </c>
      <c r="B1659" t="s">
        <v>31</v>
      </c>
      <c r="C1659" t="s">
        <v>32</v>
      </c>
      <c r="D1659" t="s">
        <v>33</v>
      </c>
      <c r="E1659" t="s">
        <v>196</v>
      </c>
      <c r="F1659" t="s">
        <v>35</v>
      </c>
      <c r="G1659" t="s">
        <v>35</v>
      </c>
      <c r="H1659" t="s">
        <v>35</v>
      </c>
      <c r="J1659" t="s">
        <v>2056</v>
      </c>
      <c r="K1659" t="s">
        <v>1092</v>
      </c>
      <c r="M1659">
        <v>9.36</v>
      </c>
      <c r="N1659">
        <v>25</v>
      </c>
      <c r="O1659" t="s">
        <v>46</v>
      </c>
      <c r="Q1659" t="s">
        <v>831</v>
      </c>
      <c r="R1659" t="s">
        <v>199</v>
      </c>
      <c r="S1659" t="s">
        <v>200</v>
      </c>
    </row>
    <row r="1660" spans="1:19" x14ac:dyDescent="0.25">
      <c r="A1660" t="s">
        <v>59</v>
      </c>
      <c r="B1660" t="s">
        <v>31</v>
      </c>
      <c r="C1660" t="s">
        <v>32</v>
      </c>
      <c r="D1660" t="s">
        <v>33</v>
      </c>
      <c r="E1660" t="s">
        <v>196</v>
      </c>
      <c r="F1660" t="s">
        <v>35</v>
      </c>
      <c r="G1660" t="s">
        <v>35</v>
      </c>
      <c r="H1660" t="s">
        <v>35</v>
      </c>
      <c r="J1660" t="s">
        <v>2057</v>
      </c>
      <c r="K1660" t="s">
        <v>1092</v>
      </c>
      <c r="M1660">
        <v>4.4999999999999998E-2</v>
      </c>
      <c r="N1660">
        <v>101</v>
      </c>
      <c r="O1660" t="s">
        <v>106</v>
      </c>
      <c r="Q1660" t="s">
        <v>1164</v>
      </c>
      <c r="R1660" t="s">
        <v>193</v>
      </c>
      <c r="S1660" t="s">
        <v>181</v>
      </c>
    </row>
    <row r="1661" spans="1:19" x14ac:dyDescent="0.25">
      <c r="A1661" t="s">
        <v>59</v>
      </c>
      <c r="B1661" t="s">
        <v>60</v>
      </c>
      <c r="C1661" t="s">
        <v>32</v>
      </c>
      <c r="D1661" t="s">
        <v>33</v>
      </c>
      <c r="E1661" t="s">
        <v>196</v>
      </c>
      <c r="F1661" t="s">
        <v>35</v>
      </c>
      <c r="G1661" t="s">
        <v>35</v>
      </c>
      <c r="H1661" t="s">
        <v>35</v>
      </c>
      <c r="J1661" t="s">
        <v>2057</v>
      </c>
      <c r="K1661" t="s">
        <v>1092</v>
      </c>
      <c r="M1661">
        <v>0.25</v>
      </c>
      <c r="N1661">
        <v>75</v>
      </c>
      <c r="O1661" t="s">
        <v>61</v>
      </c>
      <c r="Q1661" t="s">
        <v>805</v>
      </c>
      <c r="R1661" t="s">
        <v>193</v>
      </c>
      <c r="S1661" t="s">
        <v>181</v>
      </c>
    </row>
    <row r="1662" spans="1:19" x14ac:dyDescent="0.25">
      <c r="A1662" t="s">
        <v>59</v>
      </c>
      <c r="B1662" t="s">
        <v>31</v>
      </c>
      <c r="C1662" t="s">
        <v>32</v>
      </c>
      <c r="D1662" t="s">
        <v>33</v>
      </c>
      <c r="E1662" t="s">
        <v>196</v>
      </c>
      <c r="F1662" t="s">
        <v>35</v>
      </c>
      <c r="G1662" t="s">
        <v>35</v>
      </c>
      <c r="H1662" t="s">
        <v>35</v>
      </c>
      <c r="J1662" t="s">
        <v>2058</v>
      </c>
      <c r="K1662" t="s">
        <v>1092</v>
      </c>
      <c r="M1662">
        <v>4.4999999999999998E-2</v>
      </c>
      <c r="N1662">
        <v>90</v>
      </c>
      <c r="O1662" t="s">
        <v>61</v>
      </c>
      <c r="Q1662" t="s">
        <v>897</v>
      </c>
      <c r="R1662" t="s">
        <v>2037</v>
      </c>
      <c r="S1662" t="s">
        <v>197</v>
      </c>
    </row>
    <row r="1663" spans="1:19" x14ac:dyDescent="0.25">
      <c r="A1663" t="s">
        <v>59</v>
      </c>
      <c r="B1663" t="s">
        <v>60</v>
      </c>
      <c r="C1663" t="s">
        <v>32</v>
      </c>
      <c r="D1663" t="s">
        <v>33</v>
      </c>
      <c r="E1663" t="s">
        <v>196</v>
      </c>
      <c r="F1663" t="s">
        <v>35</v>
      </c>
      <c r="G1663" t="s">
        <v>35</v>
      </c>
      <c r="H1663" t="s">
        <v>35</v>
      </c>
      <c r="J1663" t="s">
        <v>2058</v>
      </c>
      <c r="K1663" t="s">
        <v>1092</v>
      </c>
      <c r="M1663">
        <v>0.35</v>
      </c>
      <c r="N1663">
        <v>56</v>
      </c>
      <c r="O1663" t="s">
        <v>52</v>
      </c>
      <c r="Q1663" t="s">
        <v>453</v>
      </c>
      <c r="R1663" t="s">
        <v>2037</v>
      </c>
      <c r="S1663" t="s">
        <v>197</v>
      </c>
    </row>
    <row r="1664" spans="1:19" x14ac:dyDescent="0.25">
      <c r="A1664" t="s">
        <v>44</v>
      </c>
      <c r="B1664" t="s">
        <v>3</v>
      </c>
      <c r="C1664" t="s">
        <v>32</v>
      </c>
      <c r="D1664" t="s">
        <v>33</v>
      </c>
      <c r="E1664" t="s">
        <v>196</v>
      </c>
      <c r="F1664" t="s">
        <v>35</v>
      </c>
      <c r="G1664" t="s">
        <v>35</v>
      </c>
      <c r="H1664" t="s">
        <v>35</v>
      </c>
      <c r="J1664" t="s">
        <v>2058</v>
      </c>
      <c r="K1664" t="s">
        <v>1092</v>
      </c>
      <c r="M1664">
        <v>0.55000000000000004</v>
      </c>
      <c r="N1664">
        <v>56</v>
      </c>
      <c r="O1664" t="s">
        <v>52</v>
      </c>
      <c r="Q1664" t="s">
        <v>453</v>
      </c>
      <c r="R1664" t="s">
        <v>2037</v>
      </c>
      <c r="S1664" t="s">
        <v>197</v>
      </c>
    </row>
    <row r="1665" spans="1:19" x14ac:dyDescent="0.25">
      <c r="A1665" t="s">
        <v>30</v>
      </c>
      <c r="B1665" t="s">
        <v>31</v>
      </c>
      <c r="C1665" t="s">
        <v>32</v>
      </c>
      <c r="D1665" t="s">
        <v>33</v>
      </c>
      <c r="E1665" t="s">
        <v>2059</v>
      </c>
      <c r="F1665" t="s">
        <v>35</v>
      </c>
      <c r="G1665" t="s">
        <v>35</v>
      </c>
      <c r="H1665" t="s">
        <v>35</v>
      </c>
      <c r="J1665" t="s">
        <v>2060</v>
      </c>
      <c r="K1665" t="s">
        <v>1092</v>
      </c>
      <c r="M1665">
        <v>0.35299999999999998</v>
      </c>
      <c r="N1665">
        <v>255</v>
      </c>
      <c r="O1665" t="s">
        <v>5</v>
      </c>
      <c r="Q1665" t="s">
        <v>1747</v>
      </c>
      <c r="R1665" t="s">
        <v>199</v>
      </c>
      <c r="S1665" t="s">
        <v>200</v>
      </c>
    </row>
    <row r="1666" spans="1:19" x14ac:dyDescent="0.25">
      <c r="A1666" t="s">
        <v>59</v>
      </c>
      <c r="B1666" t="s">
        <v>60</v>
      </c>
      <c r="C1666" t="s">
        <v>32</v>
      </c>
      <c r="D1666" t="s">
        <v>33</v>
      </c>
      <c r="E1666" t="s">
        <v>2059</v>
      </c>
      <c r="F1666" t="s">
        <v>35</v>
      </c>
      <c r="G1666" t="s">
        <v>35</v>
      </c>
      <c r="H1666" t="s">
        <v>35</v>
      </c>
      <c r="J1666" t="s">
        <v>2061</v>
      </c>
      <c r="K1666" t="s">
        <v>1092</v>
      </c>
      <c r="M1666">
        <v>0.24</v>
      </c>
      <c r="N1666">
        <v>875</v>
      </c>
      <c r="O1666" t="s">
        <v>575</v>
      </c>
      <c r="Q1666" t="s">
        <v>2062</v>
      </c>
      <c r="R1666" t="s">
        <v>1845</v>
      </c>
      <c r="S1666" t="s">
        <v>1846</v>
      </c>
    </row>
    <row r="1667" spans="1:19" x14ac:dyDescent="0.25">
      <c r="A1667" t="s">
        <v>30</v>
      </c>
      <c r="B1667" t="s">
        <v>31</v>
      </c>
      <c r="C1667" t="s">
        <v>32</v>
      </c>
      <c r="D1667" t="s">
        <v>33</v>
      </c>
      <c r="E1667" t="s">
        <v>2059</v>
      </c>
      <c r="F1667" t="s">
        <v>35</v>
      </c>
      <c r="G1667" t="s">
        <v>35</v>
      </c>
      <c r="H1667" t="s">
        <v>35</v>
      </c>
      <c r="J1667" t="s">
        <v>2063</v>
      </c>
      <c r="K1667" t="s">
        <v>1092</v>
      </c>
      <c r="M1667">
        <v>1.4850000000000001</v>
      </c>
      <c r="N1667">
        <v>424</v>
      </c>
      <c r="O1667" t="s">
        <v>294</v>
      </c>
      <c r="Q1667" t="s">
        <v>1749</v>
      </c>
      <c r="R1667" t="s">
        <v>1845</v>
      </c>
      <c r="S1667" t="s">
        <v>1846</v>
      </c>
    </row>
    <row r="1668" spans="1:19" x14ac:dyDescent="0.25">
      <c r="A1668" t="s">
        <v>44</v>
      </c>
      <c r="B1668" t="s">
        <v>51</v>
      </c>
      <c r="C1668" t="s">
        <v>32</v>
      </c>
      <c r="D1668" t="s">
        <v>33</v>
      </c>
      <c r="E1668" t="s">
        <v>2059</v>
      </c>
      <c r="F1668" t="s">
        <v>35</v>
      </c>
      <c r="G1668" t="s">
        <v>35</v>
      </c>
      <c r="H1668" t="s">
        <v>35</v>
      </c>
      <c r="J1668" t="s">
        <v>2063</v>
      </c>
      <c r="K1668" t="s">
        <v>1092</v>
      </c>
      <c r="M1668">
        <v>3.5</v>
      </c>
      <c r="N1668">
        <v>38</v>
      </c>
      <c r="O1668" t="s">
        <v>52</v>
      </c>
      <c r="Q1668" t="s">
        <v>748</v>
      </c>
      <c r="R1668" t="s">
        <v>169</v>
      </c>
      <c r="S1668" t="s">
        <v>123</v>
      </c>
    </row>
    <row r="1669" spans="1:19" x14ac:dyDescent="0.25">
      <c r="A1669" t="s">
        <v>59</v>
      </c>
      <c r="B1669" t="s">
        <v>60</v>
      </c>
      <c r="C1669" t="s">
        <v>32</v>
      </c>
      <c r="D1669" t="s">
        <v>33</v>
      </c>
      <c r="E1669" t="s">
        <v>2059</v>
      </c>
      <c r="F1669" t="s">
        <v>35</v>
      </c>
      <c r="G1669" t="s">
        <v>35</v>
      </c>
      <c r="H1669" t="s">
        <v>35</v>
      </c>
      <c r="J1669" t="s">
        <v>2064</v>
      </c>
      <c r="K1669" t="s">
        <v>1092</v>
      </c>
      <c r="M1669">
        <v>0.6</v>
      </c>
      <c r="N1669">
        <v>332</v>
      </c>
      <c r="O1669" t="s">
        <v>5</v>
      </c>
      <c r="Q1669" t="s">
        <v>2065</v>
      </c>
      <c r="R1669" t="s">
        <v>1615</v>
      </c>
      <c r="S1669" t="s">
        <v>1616</v>
      </c>
    </row>
    <row r="1670" spans="1:19" x14ac:dyDescent="0.25">
      <c r="A1670" t="s">
        <v>30</v>
      </c>
      <c r="B1670" t="s">
        <v>31</v>
      </c>
      <c r="C1670" t="s">
        <v>32</v>
      </c>
      <c r="D1670" t="s">
        <v>33</v>
      </c>
      <c r="E1670" t="s">
        <v>2059</v>
      </c>
      <c r="F1670" t="s">
        <v>35</v>
      </c>
      <c r="G1670" t="s">
        <v>35</v>
      </c>
      <c r="H1670" t="s">
        <v>35</v>
      </c>
      <c r="J1670" t="s">
        <v>2066</v>
      </c>
      <c r="K1670" t="s">
        <v>1092</v>
      </c>
      <c r="M1670">
        <v>4.4999999999999998E-2</v>
      </c>
      <c r="N1670">
        <v>142</v>
      </c>
      <c r="O1670" t="s">
        <v>38</v>
      </c>
      <c r="Q1670" t="s">
        <v>2067</v>
      </c>
      <c r="R1670" t="s">
        <v>169</v>
      </c>
      <c r="S1670" t="s">
        <v>123</v>
      </c>
    </row>
    <row r="1671" spans="1:19" x14ac:dyDescent="0.25">
      <c r="A1671" t="s">
        <v>30</v>
      </c>
      <c r="B1671" t="s">
        <v>31</v>
      </c>
      <c r="C1671" t="s">
        <v>32</v>
      </c>
      <c r="D1671" t="s">
        <v>33</v>
      </c>
      <c r="E1671" t="s">
        <v>2059</v>
      </c>
      <c r="F1671" t="s">
        <v>35</v>
      </c>
      <c r="G1671" t="s">
        <v>35</v>
      </c>
      <c r="H1671" t="s">
        <v>35</v>
      </c>
      <c r="J1671" t="s">
        <v>2069</v>
      </c>
      <c r="K1671" t="s">
        <v>1092</v>
      </c>
      <c r="M1671">
        <v>1.125</v>
      </c>
      <c r="N1671">
        <v>202</v>
      </c>
      <c r="O1671" t="s">
        <v>5</v>
      </c>
      <c r="Q1671" t="s">
        <v>1299</v>
      </c>
      <c r="R1671" t="s">
        <v>169</v>
      </c>
      <c r="S1671" t="s">
        <v>123</v>
      </c>
    </row>
    <row r="1672" spans="1:19" x14ac:dyDescent="0.25">
      <c r="A1672" t="s">
        <v>59</v>
      </c>
      <c r="B1672" t="s">
        <v>31</v>
      </c>
      <c r="C1672" t="s">
        <v>32</v>
      </c>
      <c r="D1672" t="s">
        <v>33</v>
      </c>
      <c r="E1672" t="s">
        <v>2059</v>
      </c>
      <c r="F1672" t="s">
        <v>35</v>
      </c>
      <c r="G1672" t="s">
        <v>35</v>
      </c>
      <c r="H1672" t="s">
        <v>35</v>
      </c>
      <c r="J1672" t="s">
        <v>2070</v>
      </c>
      <c r="K1672" t="s">
        <v>1092</v>
      </c>
      <c r="M1672">
        <v>2.5649999999999999</v>
      </c>
      <c r="N1672">
        <v>245</v>
      </c>
      <c r="O1672" t="s">
        <v>5</v>
      </c>
      <c r="Q1672" t="s">
        <v>111</v>
      </c>
      <c r="R1672" t="s">
        <v>85</v>
      </c>
      <c r="S1672" t="s">
        <v>86</v>
      </c>
    </row>
    <row r="1673" spans="1:19" x14ac:dyDescent="0.25">
      <c r="A1673" t="s">
        <v>59</v>
      </c>
      <c r="B1673" t="s">
        <v>60</v>
      </c>
      <c r="C1673" t="s">
        <v>32</v>
      </c>
      <c r="D1673" t="s">
        <v>33</v>
      </c>
      <c r="E1673" t="s">
        <v>2059</v>
      </c>
      <c r="F1673" t="s">
        <v>35</v>
      </c>
      <c r="G1673" t="s">
        <v>35</v>
      </c>
      <c r="H1673" t="s">
        <v>35</v>
      </c>
      <c r="J1673" t="s">
        <v>2071</v>
      </c>
      <c r="K1673" t="s">
        <v>1092</v>
      </c>
      <c r="M1673">
        <v>2</v>
      </c>
      <c r="N1673">
        <v>61</v>
      </c>
      <c r="O1673" t="s">
        <v>61</v>
      </c>
      <c r="Q1673" t="s">
        <v>671</v>
      </c>
      <c r="R1673" t="s">
        <v>193</v>
      </c>
      <c r="S1673" t="s">
        <v>181</v>
      </c>
    </row>
    <row r="1674" spans="1:19" x14ac:dyDescent="0.25">
      <c r="A1674" t="s">
        <v>59</v>
      </c>
      <c r="B1674" t="s">
        <v>31</v>
      </c>
      <c r="C1674" t="s">
        <v>32</v>
      </c>
      <c r="D1674" t="s">
        <v>33</v>
      </c>
      <c r="E1674" t="s">
        <v>2059</v>
      </c>
      <c r="F1674" t="s">
        <v>35</v>
      </c>
      <c r="G1674" t="s">
        <v>35</v>
      </c>
      <c r="H1674" t="s">
        <v>35</v>
      </c>
      <c r="J1674" t="s">
        <v>2071</v>
      </c>
      <c r="K1674" t="s">
        <v>1092</v>
      </c>
      <c r="M1674">
        <v>0.495</v>
      </c>
      <c r="N1674">
        <v>61</v>
      </c>
      <c r="O1674" t="s">
        <v>61</v>
      </c>
      <c r="Q1674" t="s">
        <v>671</v>
      </c>
      <c r="R1674" t="s">
        <v>193</v>
      </c>
      <c r="S1674" t="s">
        <v>181</v>
      </c>
    </row>
    <row r="1675" spans="1:19" x14ac:dyDescent="0.25">
      <c r="A1675" t="s">
        <v>59</v>
      </c>
      <c r="B1675" t="s">
        <v>31</v>
      </c>
      <c r="C1675" t="s">
        <v>32</v>
      </c>
      <c r="D1675" t="s">
        <v>33</v>
      </c>
      <c r="E1675" t="s">
        <v>2059</v>
      </c>
      <c r="F1675" t="s">
        <v>35</v>
      </c>
      <c r="G1675" t="s">
        <v>35</v>
      </c>
      <c r="H1675" t="s">
        <v>35</v>
      </c>
      <c r="J1675" t="s">
        <v>2072</v>
      </c>
      <c r="K1675" t="s">
        <v>1092</v>
      </c>
      <c r="M1675">
        <v>2.7E-2</v>
      </c>
      <c r="N1675">
        <v>212</v>
      </c>
      <c r="O1675" t="s">
        <v>5</v>
      </c>
      <c r="Q1675" t="s">
        <v>1711</v>
      </c>
      <c r="R1675" t="s">
        <v>199</v>
      </c>
      <c r="S1675" t="s">
        <v>200</v>
      </c>
    </row>
    <row r="1676" spans="1:19" x14ac:dyDescent="0.25">
      <c r="A1676" t="s">
        <v>30</v>
      </c>
      <c r="B1676" t="s">
        <v>31</v>
      </c>
      <c r="C1676" t="s">
        <v>32</v>
      </c>
      <c r="D1676" t="s">
        <v>33</v>
      </c>
      <c r="E1676" t="s">
        <v>2059</v>
      </c>
      <c r="F1676" t="s">
        <v>35</v>
      </c>
      <c r="G1676" t="s">
        <v>35</v>
      </c>
      <c r="H1676" t="s">
        <v>35</v>
      </c>
      <c r="J1676" t="s">
        <v>2073</v>
      </c>
      <c r="K1676" t="s">
        <v>1092</v>
      </c>
      <c r="M1676">
        <v>10.98</v>
      </c>
      <c r="N1676">
        <v>47</v>
      </c>
      <c r="O1676" t="s">
        <v>52</v>
      </c>
      <c r="Q1676" t="s">
        <v>132</v>
      </c>
      <c r="R1676" t="s">
        <v>199</v>
      </c>
      <c r="S1676" t="s">
        <v>200</v>
      </c>
    </row>
    <row r="1677" spans="1:19" x14ac:dyDescent="0.25">
      <c r="A1677" t="s">
        <v>30</v>
      </c>
      <c r="B1677" t="s">
        <v>31</v>
      </c>
      <c r="C1677" t="s">
        <v>32</v>
      </c>
      <c r="D1677" t="s">
        <v>33</v>
      </c>
      <c r="E1677" t="s">
        <v>2059</v>
      </c>
      <c r="F1677" t="s">
        <v>35</v>
      </c>
      <c r="G1677" t="s">
        <v>35</v>
      </c>
      <c r="H1677" t="s">
        <v>35</v>
      </c>
      <c r="J1677" t="s">
        <v>2073</v>
      </c>
      <c r="K1677" t="s">
        <v>1092</v>
      </c>
      <c r="M1677">
        <v>1.2150000000000001</v>
      </c>
      <c r="N1677">
        <v>152</v>
      </c>
      <c r="O1677" t="s">
        <v>38</v>
      </c>
      <c r="Q1677" t="s">
        <v>408</v>
      </c>
      <c r="R1677" t="s">
        <v>1473</v>
      </c>
      <c r="S1677" t="s">
        <v>1474</v>
      </c>
    </row>
    <row r="1678" spans="1:19" x14ac:dyDescent="0.25">
      <c r="A1678" t="s">
        <v>30</v>
      </c>
      <c r="B1678" t="s">
        <v>31</v>
      </c>
      <c r="C1678" t="s">
        <v>32</v>
      </c>
      <c r="D1678" t="s">
        <v>33</v>
      </c>
      <c r="E1678" t="s">
        <v>2059</v>
      </c>
      <c r="F1678" t="s">
        <v>35</v>
      </c>
      <c r="G1678" t="s">
        <v>35</v>
      </c>
      <c r="H1678" t="s">
        <v>35</v>
      </c>
      <c r="J1678" t="s">
        <v>2074</v>
      </c>
      <c r="K1678" t="s">
        <v>1092</v>
      </c>
      <c r="M1678">
        <v>5.13</v>
      </c>
      <c r="N1678">
        <v>195</v>
      </c>
      <c r="O1678" t="s">
        <v>5</v>
      </c>
      <c r="Q1678" t="s">
        <v>2075</v>
      </c>
      <c r="R1678" t="s">
        <v>2076</v>
      </c>
      <c r="S1678" t="s">
        <v>2077</v>
      </c>
    </row>
    <row r="1679" spans="1:19" x14ac:dyDescent="0.25">
      <c r="A1679" t="s">
        <v>59</v>
      </c>
      <c r="B1679" t="s">
        <v>60</v>
      </c>
      <c r="C1679" t="s">
        <v>32</v>
      </c>
      <c r="D1679" t="s">
        <v>33</v>
      </c>
      <c r="E1679" t="s">
        <v>2059</v>
      </c>
      <c r="F1679" t="s">
        <v>35</v>
      </c>
      <c r="G1679" t="s">
        <v>35</v>
      </c>
      <c r="H1679" t="s">
        <v>35</v>
      </c>
      <c r="J1679" t="s">
        <v>2078</v>
      </c>
      <c r="K1679" t="s">
        <v>1092</v>
      </c>
      <c r="M1679">
        <v>0.1</v>
      </c>
      <c r="N1679">
        <v>307</v>
      </c>
      <c r="O1679" t="s">
        <v>5</v>
      </c>
      <c r="Q1679" t="s">
        <v>2079</v>
      </c>
      <c r="R1679" t="s">
        <v>1615</v>
      </c>
      <c r="S1679" t="s">
        <v>1616</v>
      </c>
    </row>
    <row r="1680" spans="1:19" x14ac:dyDescent="0.25">
      <c r="A1680" t="s">
        <v>30</v>
      </c>
      <c r="B1680" t="s">
        <v>31</v>
      </c>
      <c r="C1680" t="s">
        <v>32</v>
      </c>
      <c r="D1680" t="s">
        <v>33</v>
      </c>
      <c r="E1680" t="s">
        <v>2059</v>
      </c>
      <c r="F1680" t="s">
        <v>35</v>
      </c>
      <c r="G1680" t="s">
        <v>35</v>
      </c>
      <c r="H1680" t="s">
        <v>35</v>
      </c>
      <c r="J1680" t="s">
        <v>2080</v>
      </c>
      <c r="K1680" t="s">
        <v>1092</v>
      </c>
      <c r="M1680">
        <v>10.98</v>
      </c>
      <c r="N1680">
        <v>47</v>
      </c>
      <c r="O1680" t="s">
        <v>52</v>
      </c>
      <c r="Q1680" t="s">
        <v>132</v>
      </c>
      <c r="R1680" t="s">
        <v>199</v>
      </c>
      <c r="S1680" t="s">
        <v>200</v>
      </c>
    </row>
    <row r="1681" spans="1:19" x14ac:dyDescent="0.25">
      <c r="A1681" t="s">
        <v>44</v>
      </c>
      <c r="B1681" t="s">
        <v>3</v>
      </c>
      <c r="C1681" t="s">
        <v>32</v>
      </c>
      <c r="D1681" t="s">
        <v>33</v>
      </c>
      <c r="E1681" t="s">
        <v>2081</v>
      </c>
      <c r="F1681" t="s">
        <v>35</v>
      </c>
      <c r="G1681" t="s">
        <v>35</v>
      </c>
      <c r="H1681" t="s">
        <v>35</v>
      </c>
      <c r="J1681" t="s">
        <v>2082</v>
      </c>
      <c r="K1681" t="s">
        <v>1092</v>
      </c>
      <c r="M1681">
        <v>2</v>
      </c>
      <c r="N1681">
        <v>68</v>
      </c>
      <c r="O1681" t="s">
        <v>61</v>
      </c>
      <c r="Q1681" t="s">
        <v>146</v>
      </c>
      <c r="R1681" t="s">
        <v>193</v>
      </c>
      <c r="S1681" t="s">
        <v>181</v>
      </c>
    </row>
    <row r="1682" spans="1:19" x14ac:dyDescent="0.25">
      <c r="A1682" t="s">
        <v>59</v>
      </c>
      <c r="B1682" t="s">
        <v>31</v>
      </c>
      <c r="C1682" t="s">
        <v>32</v>
      </c>
      <c r="D1682" t="s">
        <v>33</v>
      </c>
      <c r="E1682" t="s">
        <v>2081</v>
      </c>
      <c r="F1682" t="s">
        <v>35</v>
      </c>
      <c r="G1682" t="s">
        <v>35</v>
      </c>
      <c r="H1682" t="s">
        <v>35</v>
      </c>
      <c r="J1682" t="s">
        <v>2083</v>
      </c>
      <c r="K1682" t="s">
        <v>1092</v>
      </c>
      <c r="M1682">
        <v>5.13</v>
      </c>
      <c r="N1682">
        <v>98</v>
      </c>
      <c r="O1682" t="s">
        <v>106</v>
      </c>
      <c r="Q1682" t="s">
        <v>108</v>
      </c>
      <c r="R1682" t="s">
        <v>193</v>
      </c>
      <c r="S1682" t="s">
        <v>181</v>
      </c>
    </row>
    <row r="1683" spans="1:19" x14ac:dyDescent="0.25">
      <c r="A1683" t="s">
        <v>59</v>
      </c>
      <c r="B1683" t="s">
        <v>31</v>
      </c>
      <c r="C1683" t="s">
        <v>32</v>
      </c>
      <c r="D1683" t="s">
        <v>33</v>
      </c>
      <c r="E1683" t="s">
        <v>2081</v>
      </c>
      <c r="F1683" t="s">
        <v>35</v>
      </c>
      <c r="G1683" t="s">
        <v>35</v>
      </c>
      <c r="H1683" t="s">
        <v>35</v>
      </c>
      <c r="J1683" t="s">
        <v>2084</v>
      </c>
      <c r="K1683" t="s">
        <v>1092</v>
      </c>
      <c r="M1683">
        <v>0.58499999999999996</v>
      </c>
      <c r="N1683">
        <v>149</v>
      </c>
      <c r="O1683" t="s">
        <v>38</v>
      </c>
      <c r="Q1683" t="s">
        <v>73</v>
      </c>
      <c r="R1683" t="s">
        <v>199</v>
      </c>
      <c r="S1683" t="s">
        <v>200</v>
      </c>
    </row>
    <row r="1684" spans="1:19" x14ac:dyDescent="0.25">
      <c r="A1684" t="s">
        <v>30</v>
      </c>
      <c r="B1684" t="s">
        <v>31</v>
      </c>
      <c r="C1684" t="s">
        <v>32</v>
      </c>
      <c r="D1684" t="s">
        <v>33</v>
      </c>
      <c r="E1684" t="s">
        <v>2081</v>
      </c>
      <c r="F1684" t="s">
        <v>35</v>
      </c>
      <c r="G1684" t="s">
        <v>35</v>
      </c>
      <c r="H1684" t="s">
        <v>35</v>
      </c>
      <c r="J1684" t="s">
        <v>2085</v>
      </c>
      <c r="K1684" t="s">
        <v>1092</v>
      </c>
      <c r="M1684">
        <v>0.09</v>
      </c>
      <c r="N1684">
        <v>423</v>
      </c>
      <c r="O1684" t="s">
        <v>294</v>
      </c>
      <c r="Q1684" t="s">
        <v>1607</v>
      </c>
      <c r="R1684" t="s">
        <v>193</v>
      </c>
      <c r="S1684" t="s">
        <v>181</v>
      </c>
    </row>
    <row r="1685" spans="1:19" x14ac:dyDescent="0.25">
      <c r="A1685" t="s">
        <v>59</v>
      </c>
      <c r="B1685" t="s">
        <v>31</v>
      </c>
      <c r="C1685" t="s">
        <v>32</v>
      </c>
      <c r="D1685" t="s">
        <v>33</v>
      </c>
      <c r="E1685" t="s">
        <v>2081</v>
      </c>
      <c r="F1685" t="s">
        <v>35</v>
      </c>
      <c r="G1685" t="s">
        <v>35</v>
      </c>
      <c r="H1685" t="s">
        <v>35</v>
      </c>
      <c r="J1685" t="s">
        <v>2085</v>
      </c>
      <c r="K1685" t="s">
        <v>1092</v>
      </c>
      <c r="M1685">
        <v>0.60499999999999998</v>
      </c>
      <c r="N1685">
        <v>535</v>
      </c>
      <c r="O1685" t="s">
        <v>294</v>
      </c>
      <c r="Q1685" t="s">
        <v>2086</v>
      </c>
      <c r="R1685" t="s">
        <v>1560</v>
      </c>
      <c r="S1685" t="s">
        <v>115</v>
      </c>
    </row>
    <row r="1686" spans="1:19" x14ac:dyDescent="0.25">
      <c r="A1686" t="s">
        <v>30</v>
      </c>
      <c r="B1686" t="s">
        <v>31</v>
      </c>
      <c r="C1686" t="s">
        <v>32</v>
      </c>
      <c r="D1686" t="s">
        <v>33</v>
      </c>
      <c r="E1686" t="s">
        <v>2081</v>
      </c>
      <c r="F1686" t="s">
        <v>35</v>
      </c>
      <c r="G1686" t="s">
        <v>35</v>
      </c>
      <c r="H1686" t="s">
        <v>35</v>
      </c>
      <c r="J1686" t="s">
        <v>2087</v>
      </c>
      <c r="K1686" t="s">
        <v>1092</v>
      </c>
      <c r="M1686">
        <v>0.09</v>
      </c>
      <c r="N1686">
        <v>1915</v>
      </c>
      <c r="O1686" t="s">
        <v>575</v>
      </c>
      <c r="Q1686" t="s">
        <v>2088</v>
      </c>
      <c r="R1686" t="s">
        <v>1560</v>
      </c>
      <c r="S1686" t="s">
        <v>115</v>
      </c>
    </row>
    <row r="1687" spans="1:19" x14ac:dyDescent="0.25">
      <c r="A1687" t="s">
        <v>59</v>
      </c>
      <c r="B1687" t="s">
        <v>60</v>
      </c>
      <c r="C1687" t="s">
        <v>32</v>
      </c>
      <c r="D1687" t="s">
        <v>33</v>
      </c>
      <c r="E1687" t="s">
        <v>2081</v>
      </c>
      <c r="F1687" t="s">
        <v>35</v>
      </c>
      <c r="G1687" t="s">
        <v>35</v>
      </c>
      <c r="H1687" t="s">
        <v>35</v>
      </c>
      <c r="J1687" t="s">
        <v>2089</v>
      </c>
      <c r="K1687" t="s">
        <v>1092</v>
      </c>
      <c r="M1687">
        <v>0.5</v>
      </c>
      <c r="N1687">
        <v>2673</v>
      </c>
      <c r="O1687" t="s">
        <v>575</v>
      </c>
      <c r="Q1687" t="s">
        <v>1486</v>
      </c>
      <c r="R1687" t="s">
        <v>1487</v>
      </c>
      <c r="S1687" t="s">
        <v>1488</v>
      </c>
    </row>
    <row r="1688" spans="1:19" x14ac:dyDescent="0.25">
      <c r="A1688" t="s">
        <v>59</v>
      </c>
      <c r="B1688" t="s">
        <v>31</v>
      </c>
      <c r="C1688" t="s">
        <v>32</v>
      </c>
      <c r="D1688" t="s">
        <v>33</v>
      </c>
      <c r="E1688" t="s">
        <v>2081</v>
      </c>
      <c r="F1688" t="s">
        <v>35</v>
      </c>
      <c r="G1688" t="s">
        <v>35</v>
      </c>
      <c r="H1688" t="s">
        <v>35</v>
      </c>
      <c r="J1688" t="s">
        <v>1288</v>
      </c>
      <c r="K1688" t="s">
        <v>1092</v>
      </c>
      <c r="M1688">
        <v>6.5000000000000002E-2</v>
      </c>
      <c r="N1688">
        <v>98</v>
      </c>
      <c r="O1688" t="s">
        <v>106</v>
      </c>
      <c r="Q1688" t="s">
        <v>108</v>
      </c>
      <c r="R1688" t="s">
        <v>193</v>
      </c>
      <c r="S1688" t="s">
        <v>181</v>
      </c>
    </row>
    <row r="1689" spans="1:19" x14ac:dyDescent="0.25">
      <c r="A1689" t="s">
        <v>59</v>
      </c>
      <c r="B1689" t="s">
        <v>31</v>
      </c>
      <c r="C1689" t="s">
        <v>32</v>
      </c>
      <c r="D1689" t="s">
        <v>33</v>
      </c>
      <c r="E1689" t="s">
        <v>2090</v>
      </c>
      <c r="F1689" t="s">
        <v>35</v>
      </c>
      <c r="G1689" t="s">
        <v>35</v>
      </c>
      <c r="H1689" t="s">
        <v>35</v>
      </c>
      <c r="J1689" t="s">
        <v>2091</v>
      </c>
      <c r="K1689" t="s">
        <v>1092</v>
      </c>
      <c r="M1689">
        <v>1.4850000000000001</v>
      </c>
      <c r="N1689">
        <v>204</v>
      </c>
      <c r="O1689" t="s">
        <v>5</v>
      </c>
      <c r="Q1689" t="s">
        <v>1730</v>
      </c>
      <c r="R1689" t="s">
        <v>1594</v>
      </c>
      <c r="S1689" t="s">
        <v>1595</v>
      </c>
    </row>
    <row r="1690" spans="1:19" x14ac:dyDescent="0.25">
      <c r="A1690" t="s">
        <v>59</v>
      </c>
      <c r="B1690" t="s">
        <v>31</v>
      </c>
      <c r="C1690" t="s">
        <v>32</v>
      </c>
      <c r="D1690" t="s">
        <v>33</v>
      </c>
      <c r="E1690" t="s">
        <v>2090</v>
      </c>
      <c r="F1690" t="s">
        <v>35</v>
      </c>
      <c r="G1690" t="s">
        <v>35</v>
      </c>
      <c r="H1690" t="s">
        <v>35</v>
      </c>
      <c r="J1690" t="s">
        <v>2092</v>
      </c>
      <c r="K1690" t="s">
        <v>1092</v>
      </c>
      <c r="M1690">
        <v>2.15</v>
      </c>
      <c r="N1690">
        <v>500</v>
      </c>
      <c r="O1690" t="s">
        <v>294</v>
      </c>
      <c r="Q1690" t="s">
        <v>2051</v>
      </c>
      <c r="R1690" t="s">
        <v>2093</v>
      </c>
      <c r="S1690" t="s">
        <v>2094</v>
      </c>
    </row>
    <row r="1691" spans="1:19" x14ac:dyDescent="0.25">
      <c r="A1691" t="s">
        <v>30</v>
      </c>
      <c r="B1691" t="s">
        <v>31</v>
      </c>
      <c r="C1691" t="s">
        <v>32</v>
      </c>
      <c r="D1691" t="s">
        <v>33</v>
      </c>
      <c r="E1691" t="s">
        <v>2090</v>
      </c>
      <c r="F1691" t="s">
        <v>35</v>
      </c>
      <c r="G1691" t="s">
        <v>35</v>
      </c>
      <c r="H1691" t="s">
        <v>35</v>
      </c>
      <c r="J1691" t="s">
        <v>2096</v>
      </c>
      <c r="K1691" t="s">
        <v>1092</v>
      </c>
      <c r="M1691">
        <v>5.4</v>
      </c>
      <c r="N1691">
        <v>278</v>
      </c>
      <c r="O1691" t="s">
        <v>5</v>
      </c>
      <c r="Q1691" t="s">
        <v>1724</v>
      </c>
      <c r="R1691" t="s">
        <v>193</v>
      </c>
      <c r="S1691" t="s">
        <v>181</v>
      </c>
    </row>
    <row r="1692" spans="1:19" x14ac:dyDescent="0.25">
      <c r="A1692" t="s">
        <v>44</v>
      </c>
      <c r="B1692" t="s">
        <v>3</v>
      </c>
      <c r="C1692" t="s">
        <v>32</v>
      </c>
      <c r="D1692" t="s">
        <v>33</v>
      </c>
      <c r="E1692" t="s">
        <v>2090</v>
      </c>
      <c r="F1692" t="s">
        <v>35</v>
      </c>
      <c r="G1692" t="s">
        <v>35</v>
      </c>
      <c r="H1692" t="s">
        <v>35</v>
      </c>
      <c r="J1692" t="s">
        <v>2096</v>
      </c>
      <c r="K1692" t="s">
        <v>1092</v>
      </c>
      <c r="M1692">
        <v>3.8</v>
      </c>
      <c r="N1692">
        <v>56</v>
      </c>
      <c r="O1692" t="s">
        <v>52</v>
      </c>
      <c r="Q1692" t="s">
        <v>453</v>
      </c>
      <c r="R1692" t="s">
        <v>193</v>
      </c>
      <c r="S1692" t="s">
        <v>181</v>
      </c>
    </row>
    <row r="1693" spans="1:19" x14ac:dyDescent="0.25">
      <c r="A1693" t="s">
        <v>30</v>
      </c>
      <c r="B1693" t="s">
        <v>31</v>
      </c>
      <c r="C1693" t="s">
        <v>32</v>
      </c>
      <c r="D1693" t="s">
        <v>33</v>
      </c>
      <c r="E1693" t="s">
        <v>2090</v>
      </c>
      <c r="F1693" t="s">
        <v>35</v>
      </c>
      <c r="G1693" t="s">
        <v>35</v>
      </c>
      <c r="H1693" t="s">
        <v>35</v>
      </c>
      <c r="J1693" t="s">
        <v>2097</v>
      </c>
      <c r="K1693" t="s">
        <v>1092</v>
      </c>
      <c r="M1693">
        <v>2.34</v>
      </c>
      <c r="N1693">
        <v>265</v>
      </c>
      <c r="O1693" t="s">
        <v>5</v>
      </c>
      <c r="Q1693" t="s">
        <v>1754</v>
      </c>
      <c r="R1693" t="s">
        <v>193</v>
      </c>
      <c r="S1693" t="s">
        <v>181</v>
      </c>
    </row>
    <row r="1694" spans="1:19" x14ac:dyDescent="0.25">
      <c r="A1694" t="s">
        <v>30</v>
      </c>
      <c r="B1694" t="s">
        <v>31</v>
      </c>
      <c r="C1694" t="s">
        <v>32</v>
      </c>
      <c r="D1694" t="s">
        <v>33</v>
      </c>
      <c r="E1694" t="s">
        <v>2098</v>
      </c>
      <c r="F1694" t="s">
        <v>35</v>
      </c>
      <c r="G1694" t="s">
        <v>35</v>
      </c>
      <c r="H1694" t="s">
        <v>35</v>
      </c>
      <c r="J1694" t="s">
        <v>2099</v>
      </c>
      <c r="K1694" t="s">
        <v>1092</v>
      </c>
      <c r="M1694">
        <v>5.94</v>
      </c>
      <c r="N1694">
        <v>282</v>
      </c>
      <c r="O1694" t="s">
        <v>5</v>
      </c>
      <c r="Q1694" t="s">
        <v>1225</v>
      </c>
      <c r="R1694" t="s">
        <v>103</v>
      </c>
      <c r="S1694" t="s">
        <v>104</v>
      </c>
    </row>
    <row r="1695" spans="1:19" x14ac:dyDescent="0.25">
      <c r="A1695" t="s">
        <v>59</v>
      </c>
      <c r="B1695" t="s">
        <v>31</v>
      </c>
      <c r="C1695" t="s">
        <v>32</v>
      </c>
      <c r="D1695" t="s">
        <v>33</v>
      </c>
      <c r="E1695" t="s">
        <v>2098</v>
      </c>
      <c r="F1695" t="s">
        <v>35</v>
      </c>
      <c r="G1695" t="s">
        <v>35</v>
      </c>
      <c r="H1695" t="s">
        <v>35</v>
      </c>
      <c r="J1695" t="s">
        <v>2100</v>
      </c>
      <c r="K1695" t="s">
        <v>1092</v>
      </c>
      <c r="M1695">
        <v>2.61</v>
      </c>
      <c r="N1695">
        <v>506</v>
      </c>
      <c r="O1695" t="s">
        <v>294</v>
      </c>
      <c r="Q1695" t="s">
        <v>2101</v>
      </c>
      <c r="R1695" t="s">
        <v>169</v>
      </c>
      <c r="S1695" t="s">
        <v>123</v>
      </c>
    </row>
    <row r="1696" spans="1:19" x14ac:dyDescent="0.25">
      <c r="A1696" t="s">
        <v>59</v>
      </c>
      <c r="B1696" t="s">
        <v>60</v>
      </c>
      <c r="C1696" t="s">
        <v>32</v>
      </c>
      <c r="D1696" t="s">
        <v>33</v>
      </c>
      <c r="E1696" t="s">
        <v>2098</v>
      </c>
      <c r="F1696" t="s">
        <v>35</v>
      </c>
      <c r="G1696" t="s">
        <v>35</v>
      </c>
      <c r="H1696" t="s">
        <v>35</v>
      </c>
      <c r="J1696" t="s">
        <v>2100</v>
      </c>
      <c r="K1696" t="s">
        <v>1092</v>
      </c>
      <c r="M1696">
        <v>0.29499999999999998</v>
      </c>
      <c r="N1696">
        <v>451</v>
      </c>
      <c r="O1696" t="s">
        <v>294</v>
      </c>
      <c r="Q1696" t="s">
        <v>2102</v>
      </c>
      <c r="R1696" t="s">
        <v>199</v>
      </c>
      <c r="S1696" t="s">
        <v>200</v>
      </c>
    </row>
    <row r="1697" spans="1:19" x14ac:dyDescent="0.25">
      <c r="A1697" t="s">
        <v>30</v>
      </c>
      <c r="B1697" t="s">
        <v>31</v>
      </c>
      <c r="C1697" t="s">
        <v>32</v>
      </c>
      <c r="D1697" t="s">
        <v>33</v>
      </c>
      <c r="E1697" t="s">
        <v>2098</v>
      </c>
      <c r="F1697" t="s">
        <v>35</v>
      </c>
      <c r="G1697" t="s">
        <v>35</v>
      </c>
      <c r="H1697" t="s">
        <v>35</v>
      </c>
      <c r="J1697" t="s">
        <v>2103</v>
      </c>
      <c r="K1697" t="s">
        <v>1092</v>
      </c>
      <c r="M1697">
        <v>3.915</v>
      </c>
      <c r="N1697">
        <v>457</v>
      </c>
      <c r="O1697" t="s">
        <v>294</v>
      </c>
      <c r="Q1697" t="s">
        <v>2104</v>
      </c>
      <c r="R1697" t="s">
        <v>103</v>
      </c>
      <c r="S1697" t="s">
        <v>104</v>
      </c>
    </row>
    <row r="1698" spans="1:19" x14ac:dyDescent="0.25">
      <c r="A1698" t="s">
        <v>59</v>
      </c>
      <c r="B1698" t="s">
        <v>31</v>
      </c>
      <c r="C1698" t="s">
        <v>32</v>
      </c>
      <c r="D1698" t="s">
        <v>33</v>
      </c>
      <c r="E1698" t="s">
        <v>2098</v>
      </c>
      <c r="F1698" t="s">
        <v>35</v>
      </c>
      <c r="G1698" t="s">
        <v>35</v>
      </c>
      <c r="H1698" t="s">
        <v>35</v>
      </c>
      <c r="J1698" t="s">
        <v>2103</v>
      </c>
      <c r="K1698" t="s">
        <v>1092</v>
      </c>
      <c r="M1698">
        <v>0.61499999999999999</v>
      </c>
      <c r="N1698">
        <v>1948</v>
      </c>
      <c r="O1698" t="s">
        <v>575</v>
      </c>
      <c r="Q1698" t="s">
        <v>2105</v>
      </c>
      <c r="R1698" t="s">
        <v>1473</v>
      </c>
      <c r="S1698" t="s">
        <v>1474</v>
      </c>
    </row>
    <row r="1699" spans="1:19" x14ac:dyDescent="0.25">
      <c r="A1699" t="s">
        <v>44</v>
      </c>
      <c r="B1699" t="s">
        <v>3</v>
      </c>
      <c r="C1699" t="s">
        <v>32</v>
      </c>
      <c r="D1699" t="s">
        <v>33</v>
      </c>
      <c r="E1699" t="s">
        <v>2098</v>
      </c>
      <c r="F1699" t="s">
        <v>35</v>
      </c>
      <c r="G1699" t="s">
        <v>35</v>
      </c>
      <c r="H1699" t="s">
        <v>35</v>
      </c>
      <c r="J1699" t="s">
        <v>2106</v>
      </c>
      <c r="K1699" t="s">
        <v>1092</v>
      </c>
      <c r="M1699">
        <v>6.6</v>
      </c>
      <c r="N1699">
        <v>58</v>
      </c>
      <c r="O1699" t="s">
        <v>52</v>
      </c>
      <c r="Q1699" t="s">
        <v>58</v>
      </c>
      <c r="R1699" t="s">
        <v>169</v>
      </c>
      <c r="S1699" t="s">
        <v>123</v>
      </c>
    </row>
    <row r="1700" spans="1:19" x14ac:dyDescent="0.25">
      <c r="A1700" t="s">
        <v>30</v>
      </c>
      <c r="B1700" t="s">
        <v>31</v>
      </c>
      <c r="C1700" t="s">
        <v>32</v>
      </c>
      <c r="D1700" t="s">
        <v>33</v>
      </c>
      <c r="E1700" t="s">
        <v>2098</v>
      </c>
      <c r="F1700" t="s">
        <v>35</v>
      </c>
      <c r="G1700" t="s">
        <v>35</v>
      </c>
      <c r="H1700" t="s">
        <v>35</v>
      </c>
      <c r="J1700" t="s">
        <v>2106</v>
      </c>
      <c r="K1700" t="s">
        <v>1092</v>
      </c>
      <c r="M1700">
        <v>11.925000000000001</v>
      </c>
      <c r="N1700">
        <v>67</v>
      </c>
      <c r="O1700" t="s">
        <v>61</v>
      </c>
      <c r="Q1700" t="s">
        <v>1311</v>
      </c>
      <c r="R1700" t="s">
        <v>169</v>
      </c>
      <c r="S1700" t="s">
        <v>123</v>
      </c>
    </row>
    <row r="1701" spans="1:19" x14ac:dyDescent="0.25">
      <c r="A1701" t="s">
        <v>30</v>
      </c>
      <c r="B1701" t="s">
        <v>31</v>
      </c>
      <c r="C1701" t="s">
        <v>32</v>
      </c>
      <c r="D1701" t="s">
        <v>33</v>
      </c>
      <c r="E1701" t="s">
        <v>2107</v>
      </c>
      <c r="F1701" t="s">
        <v>35</v>
      </c>
      <c r="G1701" t="s">
        <v>35</v>
      </c>
      <c r="H1701" t="s">
        <v>35</v>
      </c>
      <c r="J1701" t="s">
        <v>2108</v>
      </c>
      <c r="K1701" t="s">
        <v>1092</v>
      </c>
      <c r="M1701">
        <v>21.96</v>
      </c>
      <c r="N1701">
        <v>46</v>
      </c>
      <c r="O1701" t="s">
        <v>52</v>
      </c>
      <c r="Q1701" t="s">
        <v>493</v>
      </c>
      <c r="R1701" t="s">
        <v>169</v>
      </c>
      <c r="S1701" t="s">
        <v>123</v>
      </c>
    </row>
    <row r="1702" spans="1:19" x14ac:dyDescent="0.25">
      <c r="A1702" t="s">
        <v>30</v>
      </c>
      <c r="B1702" t="s">
        <v>31</v>
      </c>
      <c r="C1702" t="s">
        <v>32</v>
      </c>
      <c r="D1702" t="s">
        <v>33</v>
      </c>
      <c r="E1702" t="s">
        <v>2107</v>
      </c>
      <c r="F1702" t="s">
        <v>35</v>
      </c>
      <c r="G1702" t="s">
        <v>35</v>
      </c>
      <c r="H1702" t="s">
        <v>35</v>
      </c>
      <c r="J1702" t="s">
        <v>2108</v>
      </c>
      <c r="K1702" t="s">
        <v>1092</v>
      </c>
      <c r="M1702">
        <v>10.17</v>
      </c>
      <c r="N1702">
        <v>74</v>
      </c>
      <c r="O1702" t="s">
        <v>61</v>
      </c>
      <c r="Q1702" t="s">
        <v>488</v>
      </c>
      <c r="R1702" t="s">
        <v>169</v>
      </c>
      <c r="S1702" t="s">
        <v>123</v>
      </c>
    </row>
    <row r="1703" spans="1:19" x14ac:dyDescent="0.25">
      <c r="A1703" t="s">
        <v>44</v>
      </c>
      <c r="B1703" t="s">
        <v>3</v>
      </c>
      <c r="C1703" t="s">
        <v>32</v>
      </c>
      <c r="D1703" t="s">
        <v>33</v>
      </c>
      <c r="E1703" t="s">
        <v>2107</v>
      </c>
      <c r="F1703" t="s">
        <v>35</v>
      </c>
      <c r="G1703" t="s">
        <v>35</v>
      </c>
      <c r="H1703" t="s">
        <v>35</v>
      </c>
      <c r="J1703" t="s">
        <v>2108</v>
      </c>
      <c r="K1703" t="s">
        <v>1092</v>
      </c>
      <c r="M1703">
        <v>10.65</v>
      </c>
      <c r="N1703">
        <v>63</v>
      </c>
      <c r="O1703" t="s">
        <v>61</v>
      </c>
      <c r="Q1703" t="s">
        <v>423</v>
      </c>
      <c r="R1703" t="s">
        <v>169</v>
      </c>
      <c r="S1703" t="s">
        <v>123</v>
      </c>
    </row>
    <row r="1704" spans="1:19" x14ac:dyDescent="0.25">
      <c r="A1704" t="s">
        <v>59</v>
      </c>
      <c r="B1704" t="s">
        <v>31</v>
      </c>
      <c r="C1704" t="s">
        <v>32</v>
      </c>
      <c r="D1704" t="s">
        <v>33</v>
      </c>
      <c r="E1704" t="s">
        <v>2107</v>
      </c>
      <c r="F1704" t="s">
        <v>35</v>
      </c>
      <c r="G1704" t="s">
        <v>35</v>
      </c>
      <c r="H1704" t="s">
        <v>35</v>
      </c>
      <c r="J1704" t="s">
        <v>2109</v>
      </c>
      <c r="K1704" t="s">
        <v>1092</v>
      </c>
      <c r="M1704">
        <v>3.42</v>
      </c>
      <c r="N1704">
        <v>216</v>
      </c>
      <c r="O1704" t="s">
        <v>5</v>
      </c>
      <c r="Q1704" t="s">
        <v>1492</v>
      </c>
      <c r="R1704" t="s">
        <v>193</v>
      </c>
      <c r="S1704" t="s">
        <v>181</v>
      </c>
    </row>
    <row r="1705" spans="1:19" x14ac:dyDescent="0.25">
      <c r="A1705" t="s">
        <v>59</v>
      </c>
      <c r="B1705" t="s">
        <v>31</v>
      </c>
      <c r="C1705" t="s">
        <v>32</v>
      </c>
      <c r="D1705" t="s">
        <v>33</v>
      </c>
      <c r="E1705" t="s">
        <v>2107</v>
      </c>
      <c r="F1705" t="s">
        <v>35</v>
      </c>
      <c r="G1705" t="s">
        <v>35</v>
      </c>
      <c r="H1705" t="s">
        <v>35</v>
      </c>
      <c r="J1705" t="s">
        <v>2109</v>
      </c>
      <c r="K1705" t="s">
        <v>1092</v>
      </c>
      <c r="M1705">
        <v>10.98</v>
      </c>
      <c r="N1705">
        <v>100</v>
      </c>
      <c r="O1705" t="s">
        <v>106</v>
      </c>
      <c r="Q1705" t="s">
        <v>1112</v>
      </c>
      <c r="R1705" t="s">
        <v>193</v>
      </c>
      <c r="S1705" t="s">
        <v>181</v>
      </c>
    </row>
    <row r="1706" spans="1:19" x14ac:dyDescent="0.25">
      <c r="A1706" t="s">
        <v>44</v>
      </c>
      <c r="B1706" t="s">
        <v>3</v>
      </c>
      <c r="C1706" t="s">
        <v>32</v>
      </c>
      <c r="D1706" t="s">
        <v>33</v>
      </c>
      <c r="E1706" t="s">
        <v>2107</v>
      </c>
      <c r="F1706" t="s">
        <v>35</v>
      </c>
      <c r="G1706" t="s">
        <v>35</v>
      </c>
      <c r="H1706" t="s">
        <v>35</v>
      </c>
      <c r="J1706" t="s">
        <v>2109</v>
      </c>
      <c r="K1706" t="s">
        <v>1092</v>
      </c>
      <c r="M1706">
        <v>11</v>
      </c>
      <c r="N1706">
        <v>68</v>
      </c>
      <c r="O1706" t="s">
        <v>61</v>
      </c>
      <c r="Q1706" t="s">
        <v>146</v>
      </c>
      <c r="R1706" t="s">
        <v>193</v>
      </c>
      <c r="S1706" t="s">
        <v>181</v>
      </c>
    </row>
    <row r="1707" spans="1:19" x14ac:dyDescent="0.25">
      <c r="A1707" t="s">
        <v>30</v>
      </c>
      <c r="B1707" t="s">
        <v>31</v>
      </c>
      <c r="C1707" t="s">
        <v>32</v>
      </c>
      <c r="D1707" t="s">
        <v>33</v>
      </c>
      <c r="E1707" t="s">
        <v>2107</v>
      </c>
      <c r="F1707" t="s">
        <v>35</v>
      </c>
      <c r="G1707" t="s">
        <v>35</v>
      </c>
      <c r="H1707" t="s">
        <v>35</v>
      </c>
      <c r="J1707" t="s">
        <v>2109</v>
      </c>
      <c r="K1707" t="s">
        <v>1092</v>
      </c>
      <c r="M1707">
        <v>10.98</v>
      </c>
      <c r="N1707">
        <v>75</v>
      </c>
      <c r="O1707" t="s">
        <v>61</v>
      </c>
      <c r="Q1707" t="s">
        <v>805</v>
      </c>
      <c r="R1707" t="s">
        <v>193</v>
      </c>
      <c r="S1707" t="s">
        <v>181</v>
      </c>
    </row>
    <row r="1708" spans="1:19" x14ac:dyDescent="0.25">
      <c r="A1708" t="s">
        <v>44</v>
      </c>
      <c r="B1708" t="s">
        <v>51</v>
      </c>
      <c r="C1708" t="s">
        <v>32</v>
      </c>
      <c r="D1708" t="s">
        <v>33</v>
      </c>
      <c r="E1708" t="s">
        <v>2107</v>
      </c>
      <c r="F1708" t="s">
        <v>35</v>
      </c>
      <c r="G1708" t="s">
        <v>35</v>
      </c>
      <c r="H1708" t="s">
        <v>35</v>
      </c>
      <c r="J1708" t="s">
        <v>2109</v>
      </c>
      <c r="K1708" t="s">
        <v>1092</v>
      </c>
      <c r="M1708">
        <v>11</v>
      </c>
      <c r="N1708">
        <v>56</v>
      </c>
      <c r="O1708" t="s">
        <v>52</v>
      </c>
      <c r="Q1708" t="s">
        <v>453</v>
      </c>
      <c r="R1708" t="s">
        <v>193</v>
      </c>
      <c r="S1708" t="s">
        <v>181</v>
      </c>
    </row>
    <row r="1709" spans="1:19" x14ac:dyDescent="0.25">
      <c r="A1709" t="s">
        <v>30</v>
      </c>
      <c r="B1709" t="s">
        <v>31</v>
      </c>
      <c r="C1709" t="s">
        <v>32</v>
      </c>
      <c r="D1709" t="s">
        <v>33</v>
      </c>
      <c r="E1709" t="s">
        <v>2107</v>
      </c>
      <c r="F1709" t="s">
        <v>35</v>
      </c>
      <c r="G1709" t="s">
        <v>35</v>
      </c>
      <c r="H1709" t="s">
        <v>35</v>
      </c>
      <c r="J1709" t="s">
        <v>1340</v>
      </c>
      <c r="K1709" t="s">
        <v>1092</v>
      </c>
      <c r="M1709">
        <v>5.49</v>
      </c>
      <c r="N1709">
        <v>47</v>
      </c>
      <c r="O1709" t="s">
        <v>52</v>
      </c>
      <c r="Q1709" t="s">
        <v>132</v>
      </c>
      <c r="R1709" t="s">
        <v>199</v>
      </c>
      <c r="S1709" t="s">
        <v>200</v>
      </c>
    </row>
    <row r="1710" spans="1:19" x14ac:dyDescent="0.25">
      <c r="A1710" t="s">
        <v>30</v>
      </c>
      <c r="B1710" t="s">
        <v>31</v>
      </c>
      <c r="C1710" t="s">
        <v>32</v>
      </c>
      <c r="D1710" t="s">
        <v>33</v>
      </c>
      <c r="E1710" t="s">
        <v>2107</v>
      </c>
      <c r="F1710" t="s">
        <v>35</v>
      </c>
      <c r="G1710" t="s">
        <v>35</v>
      </c>
      <c r="H1710" t="s">
        <v>35</v>
      </c>
      <c r="J1710" t="s">
        <v>2110</v>
      </c>
      <c r="K1710" t="s">
        <v>1092</v>
      </c>
      <c r="M1710">
        <v>5.4450000000000003</v>
      </c>
      <c r="N1710">
        <v>47</v>
      </c>
      <c r="O1710" t="s">
        <v>52</v>
      </c>
      <c r="Q1710" t="s">
        <v>132</v>
      </c>
      <c r="R1710" t="s">
        <v>1331</v>
      </c>
      <c r="S1710" t="s">
        <v>1332</v>
      </c>
    </row>
    <row r="1711" spans="1:19" x14ac:dyDescent="0.25">
      <c r="A1711" t="s">
        <v>59</v>
      </c>
      <c r="B1711" t="s">
        <v>31</v>
      </c>
      <c r="C1711" t="s">
        <v>32</v>
      </c>
      <c r="D1711" t="s">
        <v>33</v>
      </c>
      <c r="E1711" t="s">
        <v>2107</v>
      </c>
      <c r="F1711" t="s">
        <v>35</v>
      </c>
      <c r="G1711" t="s">
        <v>35</v>
      </c>
      <c r="H1711" t="s">
        <v>35</v>
      </c>
      <c r="J1711" t="s">
        <v>2111</v>
      </c>
      <c r="K1711" t="s">
        <v>1092</v>
      </c>
      <c r="M1711">
        <v>1.71</v>
      </c>
      <c r="N1711">
        <v>126</v>
      </c>
      <c r="O1711" t="s">
        <v>38</v>
      </c>
      <c r="Q1711" t="s">
        <v>1813</v>
      </c>
      <c r="R1711" t="s">
        <v>193</v>
      </c>
      <c r="S1711" t="s">
        <v>181</v>
      </c>
    </row>
    <row r="1712" spans="1:19" x14ac:dyDescent="0.25">
      <c r="A1712" t="s">
        <v>30</v>
      </c>
      <c r="B1712" t="s">
        <v>31</v>
      </c>
      <c r="C1712" t="s">
        <v>32</v>
      </c>
      <c r="D1712" t="s">
        <v>33</v>
      </c>
      <c r="E1712" t="s">
        <v>2107</v>
      </c>
      <c r="F1712" t="s">
        <v>35</v>
      </c>
      <c r="G1712" t="s">
        <v>35</v>
      </c>
      <c r="H1712" t="s">
        <v>35</v>
      </c>
      <c r="J1712" t="s">
        <v>2112</v>
      </c>
      <c r="K1712" t="s">
        <v>1092</v>
      </c>
      <c r="M1712">
        <v>7.0549999999999997</v>
      </c>
      <c r="N1712">
        <v>19</v>
      </c>
      <c r="O1712" t="s">
        <v>46</v>
      </c>
      <c r="Q1712" t="s">
        <v>1192</v>
      </c>
      <c r="R1712" t="s">
        <v>193</v>
      </c>
      <c r="S1712" t="s">
        <v>181</v>
      </c>
    </row>
    <row r="1713" spans="1:19" x14ac:dyDescent="0.25">
      <c r="A1713" t="s">
        <v>44</v>
      </c>
      <c r="B1713" t="s">
        <v>3</v>
      </c>
      <c r="C1713" t="s">
        <v>32</v>
      </c>
      <c r="D1713" t="s">
        <v>33</v>
      </c>
      <c r="E1713" t="s">
        <v>2107</v>
      </c>
      <c r="F1713" t="s">
        <v>35</v>
      </c>
      <c r="G1713" t="s">
        <v>35</v>
      </c>
      <c r="H1713" t="s">
        <v>35</v>
      </c>
      <c r="J1713" t="s">
        <v>2112</v>
      </c>
      <c r="K1713" t="s">
        <v>1092</v>
      </c>
      <c r="M1713">
        <v>2.0739999999999998</v>
      </c>
      <c r="N1713">
        <v>35</v>
      </c>
      <c r="O1713" t="s">
        <v>52</v>
      </c>
      <c r="Q1713" t="s">
        <v>48</v>
      </c>
      <c r="R1713" t="s">
        <v>193</v>
      </c>
      <c r="S1713" t="s">
        <v>181</v>
      </c>
    </row>
    <row r="1714" spans="1:19" x14ac:dyDescent="0.25">
      <c r="A1714" t="s">
        <v>59</v>
      </c>
      <c r="B1714" t="s">
        <v>31</v>
      </c>
      <c r="C1714" t="s">
        <v>32</v>
      </c>
      <c r="D1714" t="s">
        <v>33</v>
      </c>
      <c r="E1714" t="s">
        <v>2113</v>
      </c>
      <c r="F1714" t="s">
        <v>35</v>
      </c>
      <c r="G1714" t="s">
        <v>35</v>
      </c>
      <c r="H1714" t="s">
        <v>35</v>
      </c>
      <c r="J1714" t="s">
        <v>2114</v>
      </c>
      <c r="K1714" t="s">
        <v>1092</v>
      </c>
      <c r="M1714">
        <v>0.67500000000000004</v>
      </c>
      <c r="N1714">
        <v>204</v>
      </c>
      <c r="O1714" t="s">
        <v>5</v>
      </c>
      <c r="Q1714" t="s">
        <v>1730</v>
      </c>
      <c r="R1714" t="s">
        <v>1594</v>
      </c>
      <c r="S1714" t="s">
        <v>1595</v>
      </c>
    </row>
    <row r="1715" spans="1:19" x14ac:dyDescent="0.25">
      <c r="A1715" t="s">
        <v>59</v>
      </c>
      <c r="B1715" t="s">
        <v>31</v>
      </c>
      <c r="C1715" t="s">
        <v>32</v>
      </c>
      <c r="D1715" t="s">
        <v>33</v>
      </c>
      <c r="E1715" t="s">
        <v>2113</v>
      </c>
      <c r="F1715" t="s">
        <v>35</v>
      </c>
      <c r="G1715" t="s">
        <v>35</v>
      </c>
      <c r="H1715" t="s">
        <v>35</v>
      </c>
      <c r="J1715" t="s">
        <v>2115</v>
      </c>
      <c r="K1715" t="s">
        <v>1092</v>
      </c>
      <c r="M1715">
        <v>0.45</v>
      </c>
      <c r="N1715">
        <v>817</v>
      </c>
      <c r="O1715" t="s">
        <v>575</v>
      </c>
      <c r="Q1715" t="s">
        <v>2116</v>
      </c>
      <c r="R1715" t="s">
        <v>1845</v>
      </c>
      <c r="S1715" t="s">
        <v>1846</v>
      </c>
    </row>
    <row r="1716" spans="1:19" x14ac:dyDescent="0.25">
      <c r="A1716" t="s">
        <v>59</v>
      </c>
      <c r="B1716" t="s">
        <v>60</v>
      </c>
      <c r="C1716" t="s">
        <v>32</v>
      </c>
      <c r="D1716" t="s">
        <v>33</v>
      </c>
      <c r="E1716" t="s">
        <v>204</v>
      </c>
      <c r="F1716" t="s">
        <v>35</v>
      </c>
      <c r="G1716" t="s">
        <v>35</v>
      </c>
      <c r="H1716" t="s">
        <v>35</v>
      </c>
      <c r="J1716" t="s">
        <v>2117</v>
      </c>
      <c r="K1716" t="s">
        <v>1092</v>
      </c>
      <c r="M1716">
        <v>4.5999999999999996</v>
      </c>
      <c r="N1716">
        <v>73</v>
      </c>
      <c r="O1716" t="s">
        <v>61</v>
      </c>
      <c r="Q1716" t="s">
        <v>552</v>
      </c>
      <c r="R1716" t="s">
        <v>85</v>
      </c>
      <c r="S1716" t="s">
        <v>86</v>
      </c>
    </row>
    <row r="1717" spans="1:19" x14ac:dyDescent="0.25">
      <c r="A1717" t="s">
        <v>59</v>
      </c>
      <c r="B1717" t="s">
        <v>31</v>
      </c>
      <c r="C1717" t="s">
        <v>32</v>
      </c>
      <c r="D1717" t="s">
        <v>33</v>
      </c>
      <c r="E1717" t="s">
        <v>204</v>
      </c>
      <c r="F1717" t="s">
        <v>35</v>
      </c>
      <c r="G1717" t="s">
        <v>35</v>
      </c>
      <c r="H1717" t="s">
        <v>35</v>
      </c>
      <c r="J1717" t="s">
        <v>2117</v>
      </c>
      <c r="K1717" t="s">
        <v>1092</v>
      </c>
      <c r="M1717">
        <v>4.1399999999999997</v>
      </c>
      <c r="N1717">
        <v>73</v>
      </c>
      <c r="O1717" t="s">
        <v>61</v>
      </c>
      <c r="Q1717" t="s">
        <v>552</v>
      </c>
      <c r="R1717" t="s">
        <v>85</v>
      </c>
      <c r="S1717" t="s">
        <v>86</v>
      </c>
    </row>
    <row r="1718" spans="1:19" x14ac:dyDescent="0.25">
      <c r="A1718" t="s">
        <v>30</v>
      </c>
      <c r="B1718" t="s">
        <v>31</v>
      </c>
      <c r="C1718" t="s">
        <v>32</v>
      </c>
      <c r="D1718" t="s">
        <v>33</v>
      </c>
      <c r="E1718" t="s">
        <v>204</v>
      </c>
      <c r="F1718" t="s">
        <v>35</v>
      </c>
      <c r="G1718" t="s">
        <v>35</v>
      </c>
      <c r="H1718" t="s">
        <v>35</v>
      </c>
      <c r="J1718" t="s">
        <v>2118</v>
      </c>
      <c r="K1718" t="s">
        <v>1092</v>
      </c>
      <c r="M1718">
        <v>5.04</v>
      </c>
      <c r="N1718">
        <v>39</v>
      </c>
      <c r="O1718" t="s">
        <v>52</v>
      </c>
      <c r="Q1718" t="s">
        <v>816</v>
      </c>
      <c r="R1718" t="s">
        <v>169</v>
      </c>
      <c r="S1718" t="s">
        <v>123</v>
      </c>
    </row>
    <row r="1719" spans="1:19" x14ac:dyDescent="0.25">
      <c r="A1719" t="s">
        <v>59</v>
      </c>
      <c r="B1719" t="s">
        <v>31</v>
      </c>
      <c r="C1719" t="s">
        <v>32</v>
      </c>
      <c r="D1719" t="s">
        <v>33</v>
      </c>
      <c r="E1719" t="s">
        <v>204</v>
      </c>
      <c r="F1719" t="s">
        <v>35</v>
      </c>
      <c r="G1719" t="s">
        <v>35</v>
      </c>
      <c r="H1719" t="s">
        <v>35</v>
      </c>
      <c r="J1719" t="s">
        <v>2118</v>
      </c>
      <c r="K1719" t="s">
        <v>1092</v>
      </c>
      <c r="M1719">
        <v>2.97</v>
      </c>
      <c r="N1719">
        <v>72</v>
      </c>
      <c r="O1719" t="s">
        <v>61</v>
      </c>
      <c r="Q1719" t="s">
        <v>63</v>
      </c>
      <c r="R1719" t="s">
        <v>193</v>
      </c>
      <c r="S1719" t="s">
        <v>181</v>
      </c>
    </row>
    <row r="1720" spans="1:19" x14ac:dyDescent="0.25">
      <c r="A1720" t="s">
        <v>59</v>
      </c>
      <c r="B1720" t="s">
        <v>60</v>
      </c>
      <c r="C1720" t="s">
        <v>32</v>
      </c>
      <c r="D1720" t="s">
        <v>33</v>
      </c>
      <c r="E1720" t="s">
        <v>204</v>
      </c>
      <c r="F1720" t="s">
        <v>35</v>
      </c>
      <c r="G1720" t="s">
        <v>35</v>
      </c>
      <c r="H1720" t="s">
        <v>35</v>
      </c>
      <c r="J1720" t="s">
        <v>2119</v>
      </c>
      <c r="K1720" t="s">
        <v>1092</v>
      </c>
      <c r="M1720">
        <v>2.7</v>
      </c>
      <c r="N1720">
        <v>73</v>
      </c>
      <c r="O1720" t="s">
        <v>61</v>
      </c>
      <c r="Q1720" t="s">
        <v>552</v>
      </c>
      <c r="R1720" t="s">
        <v>85</v>
      </c>
      <c r="S1720" t="s">
        <v>86</v>
      </c>
    </row>
    <row r="1721" spans="1:19" x14ac:dyDescent="0.25">
      <c r="A1721" t="s">
        <v>44</v>
      </c>
      <c r="B1721" t="s">
        <v>3</v>
      </c>
      <c r="C1721" t="s">
        <v>32</v>
      </c>
      <c r="D1721" t="s">
        <v>33</v>
      </c>
      <c r="E1721" t="s">
        <v>204</v>
      </c>
      <c r="F1721" t="s">
        <v>35</v>
      </c>
      <c r="G1721" t="s">
        <v>35</v>
      </c>
      <c r="H1721" t="s">
        <v>35</v>
      </c>
      <c r="J1721" t="s">
        <v>2120</v>
      </c>
      <c r="K1721" t="s">
        <v>1092</v>
      </c>
      <c r="M1721">
        <v>5.5</v>
      </c>
      <c r="N1721">
        <v>68</v>
      </c>
      <c r="O1721" t="s">
        <v>61</v>
      </c>
      <c r="Q1721" t="s">
        <v>146</v>
      </c>
      <c r="R1721" t="s">
        <v>1258</v>
      </c>
      <c r="S1721" t="s">
        <v>194</v>
      </c>
    </row>
    <row r="1722" spans="1:19" x14ac:dyDescent="0.25">
      <c r="A1722" t="s">
        <v>44</v>
      </c>
      <c r="B1722" t="s">
        <v>3</v>
      </c>
      <c r="C1722" t="s">
        <v>32</v>
      </c>
      <c r="D1722" t="s">
        <v>33</v>
      </c>
      <c r="E1722" t="s">
        <v>204</v>
      </c>
      <c r="F1722" t="s">
        <v>35</v>
      </c>
      <c r="G1722" t="s">
        <v>35</v>
      </c>
      <c r="H1722" t="s">
        <v>35</v>
      </c>
      <c r="J1722" t="s">
        <v>2122</v>
      </c>
      <c r="K1722" t="s">
        <v>1092</v>
      </c>
      <c r="M1722">
        <v>5</v>
      </c>
      <c r="N1722">
        <v>62</v>
      </c>
      <c r="O1722" t="s">
        <v>61</v>
      </c>
      <c r="Q1722" t="s">
        <v>90</v>
      </c>
      <c r="R1722" t="s">
        <v>85</v>
      </c>
      <c r="S1722" t="s">
        <v>86</v>
      </c>
    </row>
    <row r="1723" spans="1:19" x14ac:dyDescent="0.25">
      <c r="A1723" t="s">
        <v>44</v>
      </c>
      <c r="B1723" t="s">
        <v>51</v>
      </c>
      <c r="C1723" t="s">
        <v>32</v>
      </c>
      <c r="D1723" t="s">
        <v>33</v>
      </c>
      <c r="E1723" t="s">
        <v>204</v>
      </c>
      <c r="F1723" t="s">
        <v>35</v>
      </c>
      <c r="G1723" t="s">
        <v>35</v>
      </c>
      <c r="H1723" t="s">
        <v>35</v>
      </c>
      <c r="J1723" t="s">
        <v>2122</v>
      </c>
      <c r="K1723" t="s">
        <v>1092</v>
      </c>
      <c r="M1723">
        <v>3.6</v>
      </c>
      <c r="N1723">
        <v>28</v>
      </c>
      <c r="O1723" t="s">
        <v>46</v>
      </c>
      <c r="Q1723" t="s">
        <v>176</v>
      </c>
      <c r="R1723" t="s">
        <v>85</v>
      </c>
      <c r="S1723" t="s">
        <v>86</v>
      </c>
    </row>
    <row r="1724" spans="1:19" x14ac:dyDescent="0.25">
      <c r="A1724" t="s">
        <v>59</v>
      </c>
      <c r="B1724" t="s">
        <v>60</v>
      </c>
      <c r="C1724" t="s">
        <v>32</v>
      </c>
      <c r="D1724" t="s">
        <v>33</v>
      </c>
      <c r="E1724" t="s">
        <v>204</v>
      </c>
      <c r="F1724" t="s">
        <v>35</v>
      </c>
      <c r="G1724" t="s">
        <v>35</v>
      </c>
      <c r="H1724" t="s">
        <v>35</v>
      </c>
      <c r="J1724" t="s">
        <v>1221</v>
      </c>
      <c r="K1724" t="s">
        <v>1092</v>
      </c>
      <c r="M1724">
        <v>1.85</v>
      </c>
      <c r="N1724">
        <v>99</v>
      </c>
      <c r="O1724" t="s">
        <v>106</v>
      </c>
      <c r="Q1724" t="s">
        <v>1216</v>
      </c>
      <c r="R1724" t="s">
        <v>103</v>
      </c>
      <c r="S1724" t="s">
        <v>104</v>
      </c>
    </row>
    <row r="1725" spans="1:19" x14ac:dyDescent="0.25">
      <c r="A1725" t="s">
        <v>30</v>
      </c>
      <c r="B1725" t="s">
        <v>31</v>
      </c>
      <c r="C1725" t="s">
        <v>32</v>
      </c>
      <c r="D1725" t="s">
        <v>33</v>
      </c>
      <c r="E1725" t="s">
        <v>204</v>
      </c>
      <c r="F1725" t="s">
        <v>35</v>
      </c>
      <c r="G1725" t="s">
        <v>35</v>
      </c>
      <c r="H1725" t="s">
        <v>35</v>
      </c>
      <c r="J1725" t="s">
        <v>1121</v>
      </c>
      <c r="K1725" t="s">
        <v>1092</v>
      </c>
      <c r="M1725">
        <v>4.3650000000000002</v>
      </c>
      <c r="N1725">
        <v>45</v>
      </c>
      <c r="O1725" t="s">
        <v>52</v>
      </c>
      <c r="Q1725" t="s">
        <v>716</v>
      </c>
      <c r="R1725" t="s">
        <v>85</v>
      </c>
      <c r="S1725" t="s">
        <v>86</v>
      </c>
    </row>
    <row r="1726" spans="1:19" x14ac:dyDescent="0.25">
      <c r="A1726" t="s">
        <v>30</v>
      </c>
      <c r="B1726" t="s">
        <v>31</v>
      </c>
      <c r="C1726" t="s">
        <v>32</v>
      </c>
      <c r="D1726" t="s">
        <v>33</v>
      </c>
      <c r="E1726" t="s">
        <v>204</v>
      </c>
      <c r="F1726" t="s">
        <v>35</v>
      </c>
      <c r="G1726" t="s">
        <v>35</v>
      </c>
      <c r="H1726" t="s">
        <v>35</v>
      </c>
      <c r="J1726" t="s">
        <v>1121</v>
      </c>
      <c r="K1726" t="s">
        <v>1092</v>
      </c>
      <c r="M1726">
        <v>3.2850000000000001</v>
      </c>
      <c r="N1726">
        <v>20</v>
      </c>
      <c r="O1726" t="s">
        <v>46</v>
      </c>
      <c r="Q1726" t="s">
        <v>1004</v>
      </c>
      <c r="R1726" t="s">
        <v>169</v>
      </c>
      <c r="S1726" t="s">
        <v>123</v>
      </c>
    </row>
    <row r="1727" spans="1:19" x14ac:dyDescent="0.25">
      <c r="A1727" t="s">
        <v>59</v>
      </c>
      <c r="B1727" t="s">
        <v>60</v>
      </c>
      <c r="C1727" t="s">
        <v>32</v>
      </c>
      <c r="D1727" t="s">
        <v>33</v>
      </c>
      <c r="E1727" t="s">
        <v>204</v>
      </c>
      <c r="F1727" t="s">
        <v>35</v>
      </c>
      <c r="G1727" t="s">
        <v>35</v>
      </c>
      <c r="H1727" t="s">
        <v>35</v>
      </c>
      <c r="J1727" t="s">
        <v>1121</v>
      </c>
      <c r="K1727" t="s">
        <v>1092</v>
      </c>
      <c r="M1727">
        <v>5.25</v>
      </c>
      <c r="N1727">
        <v>99</v>
      </c>
      <c r="O1727" t="s">
        <v>106</v>
      </c>
      <c r="Q1727" t="s">
        <v>1216</v>
      </c>
      <c r="R1727" t="s">
        <v>85</v>
      </c>
      <c r="S1727" t="s">
        <v>86</v>
      </c>
    </row>
    <row r="1728" spans="1:19" x14ac:dyDescent="0.25">
      <c r="A1728" t="s">
        <v>59</v>
      </c>
      <c r="B1728" t="s">
        <v>31</v>
      </c>
      <c r="C1728" t="s">
        <v>32</v>
      </c>
      <c r="D1728" t="s">
        <v>33</v>
      </c>
      <c r="E1728" t="s">
        <v>204</v>
      </c>
      <c r="F1728" t="s">
        <v>35</v>
      </c>
      <c r="G1728" t="s">
        <v>35</v>
      </c>
      <c r="H1728" t="s">
        <v>35</v>
      </c>
      <c r="J1728" t="s">
        <v>1121</v>
      </c>
      <c r="K1728" t="s">
        <v>1092</v>
      </c>
      <c r="M1728">
        <v>1.35</v>
      </c>
      <c r="N1728">
        <v>76</v>
      </c>
      <c r="O1728" t="s">
        <v>61</v>
      </c>
      <c r="Q1728" t="s">
        <v>234</v>
      </c>
      <c r="R1728" t="s">
        <v>118</v>
      </c>
      <c r="S1728" t="s">
        <v>65</v>
      </c>
    </row>
    <row r="1729" spans="1:19" x14ac:dyDescent="0.25">
      <c r="A1729" t="s">
        <v>59</v>
      </c>
      <c r="B1729" t="s">
        <v>60</v>
      </c>
      <c r="C1729" t="s">
        <v>32</v>
      </c>
      <c r="D1729" t="s">
        <v>33</v>
      </c>
      <c r="E1729" t="s">
        <v>204</v>
      </c>
      <c r="F1729" t="s">
        <v>35</v>
      </c>
      <c r="G1729" t="s">
        <v>35</v>
      </c>
      <c r="H1729" t="s">
        <v>35</v>
      </c>
      <c r="J1729" t="s">
        <v>2125</v>
      </c>
      <c r="K1729" t="s">
        <v>1092</v>
      </c>
      <c r="M1729">
        <v>0.25</v>
      </c>
      <c r="N1729">
        <v>97</v>
      </c>
      <c r="O1729" t="s">
        <v>106</v>
      </c>
      <c r="Q1729" t="s">
        <v>557</v>
      </c>
      <c r="R1729" t="s">
        <v>118</v>
      </c>
      <c r="S1729" t="s">
        <v>65</v>
      </c>
    </row>
    <row r="1730" spans="1:19" x14ac:dyDescent="0.25">
      <c r="A1730" t="s">
        <v>44</v>
      </c>
      <c r="B1730" t="s">
        <v>3</v>
      </c>
      <c r="C1730" t="s">
        <v>32</v>
      </c>
      <c r="D1730" t="s">
        <v>33</v>
      </c>
      <c r="E1730" t="s">
        <v>204</v>
      </c>
      <c r="F1730" t="s">
        <v>35</v>
      </c>
      <c r="G1730" t="s">
        <v>35</v>
      </c>
      <c r="H1730" t="s">
        <v>35</v>
      </c>
      <c r="J1730" t="s">
        <v>2125</v>
      </c>
      <c r="K1730" t="s">
        <v>1092</v>
      </c>
      <c r="M1730">
        <v>0.5</v>
      </c>
      <c r="N1730">
        <v>54</v>
      </c>
      <c r="O1730" t="s">
        <v>52</v>
      </c>
      <c r="Q1730" t="s">
        <v>1207</v>
      </c>
      <c r="R1730" t="s">
        <v>1208</v>
      </c>
      <c r="S1730" t="s">
        <v>1209</v>
      </c>
    </row>
    <row r="1731" spans="1:19" x14ac:dyDescent="0.25">
      <c r="A1731" t="s">
        <v>44</v>
      </c>
      <c r="B1731" t="s">
        <v>51</v>
      </c>
      <c r="C1731" t="s">
        <v>32</v>
      </c>
      <c r="D1731" t="s">
        <v>33</v>
      </c>
      <c r="E1731" t="s">
        <v>204</v>
      </c>
      <c r="F1731" t="s">
        <v>35</v>
      </c>
      <c r="G1731" t="s">
        <v>35</v>
      </c>
      <c r="H1731" t="s">
        <v>35</v>
      </c>
      <c r="J1731" t="s">
        <v>2126</v>
      </c>
      <c r="K1731" t="s">
        <v>1092</v>
      </c>
      <c r="M1731">
        <v>5.5</v>
      </c>
      <c r="N1731">
        <v>28</v>
      </c>
      <c r="O1731" t="s">
        <v>46</v>
      </c>
      <c r="Q1731" t="s">
        <v>176</v>
      </c>
      <c r="R1731" t="s">
        <v>85</v>
      </c>
      <c r="S1731" t="s">
        <v>86</v>
      </c>
    </row>
    <row r="1732" spans="1:19" x14ac:dyDescent="0.25">
      <c r="A1732" t="s">
        <v>30</v>
      </c>
      <c r="B1732" t="s">
        <v>31</v>
      </c>
      <c r="C1732" t="s">
        <v>32</v>
      </c>
      <c r="D1732" t="s">
        <v>33</v>
      </c>
      <c r="E1732" t="s">
        <v>204</v>
      </c>
      <c r="F1732" t="s">
        <v>35</v>
      </c>
      <c r="G1732" t="s">
        <v>35</v>
      </c>
      <c r="H1732" t="s">
        <v>35</v>
      </c>
      <c r="J1732" t="s">
        <v>2126</v>
      </c>
      <c r="K1732" t="s">
        <v>1092</v>
      </c>
      <c r="M1732">
        <v>9</v>
      </c>
      <c r="N1732">
        <v>76</v>
      </c>
      <c r="O1732" t="s">
        <v>61</v>
      </c>
      <c r="Q1732" t="s">
        <v>234</v>
      </c>
      <c r="R1732" t="s">
        <v>85</v>
      </c>
      <c r="S1732" t="s">
        <v>86</v>
      </c>
    </row>
    <row r="1733" spans="1:19" x14ac:dyDescent="0.25">
      <c r="A1733" t="s">
        <v>44</v>
      </c>
      <c r="B1733" t="s">
        <v>3</v>
      </c>
      <c r="C1733" t="s">
        <v>32</v>
      </c>
      <c r="D1733" t="s">
        <v>33</v>
      </c>
      <c r="E1733" t="s">
        <v>204</v>
      </c>
      <c r="F1733" t="s">
        <v>35</v>
      </c>
      <c r="G1733" t="s">
        <v>35</v>
      </c>
      <c r="H1733" t="s">
        <v>35</v>
      </c>
      <c r="J1733" t="s">
        <v>2126</v>
      </c>
      <c r="K1733" t="s">
        <v>1092</v>
      </c>
      <c r="M1733">
        <v>4.8</v>
      </c>
      <c r="N1733">
        <v>62</v>
      </c>
      <c r="O1733" t="s">
        <v>61</v>
      </c>
      <c r="Q1733" t="s">
        <v>90</v>
      </c>
      <c r="R1733" t="s">
        <v>85</v>
      </c>
      <c r="S1733" t="s">
        <v>86</v>
      </c>
    </row>
    <row r="1734" spans="1:19" x14ac:dyDescent="0.25">
      <c r="A1734" t="s">
        <v>59</v>
      </c>
      <c r="B1734" t="s">
        <v>60</v>
      </c>
      <c r="C1734" t="s">
        <v>32</v>
      </c>
      <c r="D1734" t="s">
        <v>33</v>
      </c>
      <c r="E1734" t="s">
        <v>204</v>
      </c>
      <c r="F1734" t="s">
        <v>35</v>
      </c>
      <c r="G1734" t="s">
        <v>35</v>
      </c>
      <c r="H1734" t="s">
        <v>35</v>
      </c>
      <c r="J1734" t="s">
        <v>2126</v>
      </c>
      <c r="K1734" t="s">
        <v>1092</v>
      </c>
      <c r="M1734">
        <v>5</v>
      </c>
      <c r="N1734">
        <v>100</v>
      </c>
      <c r="O1734" t="s">
        <v>106</v>
      </c>
      <c r="Q1734" t="s">
        <v>1112</v>
      </c>
      <c r="R1734" t="s">
        <v>85</v>
      </c>
      <c r="S1734" t="s">
        <v>86</v>
      </c>
    </row>
    <row r="1735" spans="1:19" x14ac:dyDescent="0.25">
      <c r="A1735" t="s">
        <v>30</v>
      </c>
      <c r="B1735" t="s">
        <v>31</v>
      </c>
      <c r="C1735" t="s">
        <v>32</v>
      </c>
      <c r="D1735" t="s">
        <v>33</v>
      </c>
      <c r="E1735" t="s">
        <v>204</v>
      </c>
      <c r="F1735" t="s">
        <v>35</v>
      </c>
      <c r="G1735" t="s">
        <v>35</v>
      </c>
      <c r="H1735" t="s">
        <v>35</v>
      </c>
      <c r="J1735" t="s">
        <v>2128</v>
      </c>
      <c r="K1735" t="s">
        <v>1092</v>
      </c>
      <c r="M1735">
        <v>0.09</v>
      </c>
      <c r="N1735">
        <v>75</v>
      </c>
      <c r="O1735" t="s">
        <v>61</v>
      </c>
      <c r="Q1735" t="s">
        <v>805</v>
      </c>
      <c r="R1735" t="s">
        <v>193</v>
      </c>
      <c r="S1735" t="s">
        <v>181</v>
      </c>
    </row>
    <row r="1736" spans="1:19" x14ac:dyDescent="0.25">
      <c r="A1736" t="s">
        <v>59</v>
      </c>
      <c r="B1736" t="s">
        <v>60</v>
      </c>
      <c r="C1736" t="s">
        <v>32</v>
      </c>
      <c r="D1736" t="s">
        <v>33</v>
      </c>
      <c r="E1736" t="s">
        <v>204</v>
      </c>
      <c r="F1736" t="s">
        <v>35</v>
      </c>
      <c r="G1736" t="s">
        <v>35</v>
      </c>
      <c r="H1736" t="s">
        <v>35</v>
      </c>
      <c r="J1736" t="s">
        <v>2129</v>
      </c>
      <c r="K1736" t="s">
        <v>1092</v>
      </c>
      <c r="M1736">
        <v>2</v>
      </c>
      <c r="N1736">
        <v>99</v>
      </c>
      <c r="O1736" t="s">
        <v>106</v>
      </c>
      <c r="Q1736" t="s">
        <v>1216</v>
      </c>
      <c r="R1736" t="s">
        <v>1208</v>
      </c>
      <c r="S1736" t="s">
        <v>1209</v>
      </c>
    </row>
    <row r="1737" spans="1:19" x14ac:dyDescent="0.25">
      <c r="A1737" t="s">
        <v>59</v>
      </c>
      <c r="B1737" t="s">
        <v>60</v>
      </c>
      <c r="C1737" t="s">
        <v>32</v>
      </c>
      <c r="D1737" t="s">
        <v>33</v>
      </c>
      <c r="E1737" t="s">
        <v>204</v>
      </c>
      <c r="F1737" t="s">
        <v>35</v>
      </c>
      <c r="G1737" t="s">
        <v>35</v>
      </c>
      <c r="H1737" t="s">
        <v>35</v>
      </c>
      <c r="J1737" t="s">
        <v>2130</v>
      </c>
      <c r="K1737" t="s">
        <v>1092</v>
      </c>
      <c r="M1737">
        <v>2.75</v>
      </c>
      <c r="N1737">
        <v>131</v>
      </c>
      <c r="O1737" t="s">
        <v>38</v>
      </c>
      <c r="Q1737" t="s">
        <v>646</v>
      </c>
      <c r="R1737" t="s">
        <v>193</v>
      </c>
      <c r="S1737" t="s">
        <v>181</v>
      </c>
    </row>
    <row r="1738" spans="1:19" x14ac:dyDescent="0.25">
      <c r="A1738" t="s">
        <v>44</v>
      </c>
      <c r="B1738" t="s">
        <v>3</v>
      </c>
      <c r="C1738" t="s">
        <v>32</v>
      </c>
      <c r="D1738" t="s">
        <v>33</v>
      </c>
      <c r="E1738" t="s">
        <v>204</v>
      </c>
      <c r="F1738" t="s">
        <v>35</v>
      </c>
      <c r="G1738" t="s">
        <v>35</v>
      </c>
      <c r="H1738" t="s">
        <v>35</v>
      </c>
      <c r="J1738" t="s">
        <v>2131</v>
      </c>
      <c r="K1738" t="s">
        <v>1092</v>
      </c>
      <c r="M1738">
        <v>1</v>
      </c>
      <c r="N1738">
        <v>28</v>
      </c>
      <c r="O1738" t="s">
        <v>46</v>
      </c>
      <c r="Q1738" t="s">
        <v>176</v>
      </c>
      <c r="R1738" t="s">
        <v>1208</v>
      </c>
      <c r="S1738" t="s">
        <v>1209</v>
      </c>
    </row>
    <row r="1739" spans="1:19" x14ac:dyDescent="0.25">
      <c r="A1739" t="s">
        <v>59</v>
      </c>
      <c r="B1739" t="s">
        <v>60</v>
      </c>
      <c r="C1739" t="s">
        <v>32</v>
      </c>
      <c r="D1739" t="s">
        <v>33</v>
      </c>
      <c r="E1739" t="s">
        <v>204</v>
      </c>
      <c r="F1739" t="s">
        <v>35</v>
      </c>
      <c r="G1739" t="s">
        <v>35</v>
      </c>
      <c r="H1739" t="s">
        <v>35</v>
      </c>
      <c r="J1739" t="s">
        <v>2132</v>
      </c>
      <c r="K1739" t="s">
        <v>1092</v>
      </c>
      <c r="M1739">
        <v>0.25</v>
      </c>
      <c r="N1739">
        <v>69</v>
      </c>
      <c r="O1739" t="s">
        <v>61</v>
      </c>
      <c r="Q1739" t="s">
        <v>139</v>
      </c>
      <c r="R1739" t="s">
        <v>1208</v>
      </c>
      <c r="S1739" t="s">
        <v>1209</v>
      </c>
    </row>
    <row r="1740" spans="1:19" x14ac:dyDescent="0.25">
      <c r="A1740" t="s">
        <v>59</v>
      </c>
      <c r="B1740" t="s">
        <v>60</v>
      </c>
      <c r="C1740" t="s">
        <v>32</v>
      </c>
      <c r="D1740" t="s">
        <v>33</v>
      </c>
      <c r="E1740" t="s">
        <v>204</v>
      </c>
      <c r="F1740" t="s">
        <v>35</v>
      </c>
      <c r="G1740" t="s">
        <v>35</v>
      </c>
      <c r="H1740" t="s">
        <v>35</v>
      </c>
      <c r="J1740" t="s">
        <v>2133</v>
      </c>
      <c r="K1740" t="s">
        <v>1092</v>
      </c>
      <c r="M1740">
        <v>1.54</v>
      </c>
      <c r="N1740">
        <v>352</v>
      </c>
      <c r="O1740" t="s">
        <v>5</v>
      </c>
      <c r="Q1740" t="s">
        <v>1190</v>
      </c>
      <c r="R1740" t="s">
        <v>85</v>
      </c>
      <c r="S1740" t="s">
        <v>86</v>
      </c>
    </row>
    <row r="1741" spans="1:19" x14ac:dyDescent="0.25">
      <c r="A1741" t="s">
        <v>30</v>
      </c>
      <c r="B1741" t="s">
        <v>31</v>
      </c>
      <c r="C1741" t="s">
        <v>32</v>
      </c>
      <c r="D1741" t="s">
        <v>33</v>
      </c>
      <c r="E1741" t="s">
        <v>204</v>
      </c>
      <c r="F1741" t="s">
        <v>35</v>
      </c>
      <c r="G1741" t="s">
        <v>35</v>
      </c>
      <c r="H1741" t="s">
        <v>35</v>
      </c>
      <c r="J1741" t="s">
        <v>2133</v>
      </c>
      <c r="K1741" t="s">
        <v>1092</v>
      </c>
      <c r="M1741">
        <v>2.2050000000000001</v>
      </c>
      <c r="N1741">
        <v>534</v>
      </c>
      <c r="O1741" t="s">
        <v>294</v>
      </c>
      <c r="Q1741" t="s">
        <v>1496</v>
      </c>
      <c r="R1741" t="s">
        <v>85</v>
      </c>
      <c r="S1741" t="s">
        <v>86</v>
      </c>
    </row>
    <row r="1742" spans="1:19" x14ac:dyDescent="0.25">
      <c r="A1742" t="s">
        <v>59</v>
      </c>
      <c r="B1742" t="s">
        <v>31</v>
      </c>
      <c r="C1742" t="s">
        <v>32</v>
      </c>
      <c r="D1742" t="s">
        <v>33</v>
      </c>
      <c r="E1742" t="s">
        <v>204</v>
      </c>
      <c r="F1742" t="s">
        <v>35</v>
      </c>
      <c r="G1742" t="s">
        <v>35</v>
      </c>
      <c r="H1742" t="s">
        <v>35</v>
      </c>
      <c r="J1742" t="s">
        <v>2133</v>
      </c>
      <c r="K1742" t="s">
        <v>1092</v>
      </c>
      <c r="M1742">
        <v>7.1999999999999995E-2</v>
      </c>
      <c r="N1742">
        <v>1476</v>
      </c>
      <c r="O1742" t="s">
        <v>575</v>
      </c>
      <c r="Q1742" t="s">
        <v>2134</v>
      </c>
      <c r="R1742" t="s">
        <v>103</v>
      </c>
      <c r="S1742" t="s">
        <v>104</v>
      </c>
    </row>
    <row r="1743" spans="1:19" x14ac:dyDescent="0.25">
      <c r="A1743" t="s">
        <v>44</v>
      </c>
      <c r="B1743" t="s">
        <v>51</v>
      </c>
      <c r="C1743" t="s">
        <v>32</v>
      </c>
      <c r="D1743" t="s">
        <v>33</v>
      </c>
      <c r="E1743" t="s">
        <v>204</v>
      </c>
      <c r="F1743" t="s">
        <v>35</v>
      </c>
      <c r="G1743" t="s">
        <v>35</v>
      </c>
      <c r="H1743" t="s">
        <v>35</v>
      </c>
      <c r="J1743" t="s">
        <v>2133</v>
      </c>
      <c r="K1743" t="s">
        <v>1092</v>
      </c>
      <c r="M1743">
        <v>0.2</v>
      </c>
      <c r="N1743">
        <v>791</v>
      </c>
      <c r="O1743" t="s">
        <v>575</v>
      </c>
      <c r="Q1743" t="s">
        <v>2135</v>
      </c>
      <c r="R1743" t="s">
        <v>1208</v>
      </c>
      <c r="S1743" t="s">
        <v>1209</v>
      </c>
    </row>
    <row r="1744" spans="1:19" x14ac:dyDescent="0.25">
      <c r="A1744" t="s">
        <v>44</v>
      </c>
      <c r="B1744" t="s">
        <v>3</v>
      </c>
      <c r="C1744" t="s">
        <v>32</v>
      </c>
      <c r="D1744" t="s">
        <v>33</v>
      </c>
      <c r="E1744" t="s">
        <v>204</v>
      </c>
      <c r="F1744" t="s">
        <v>35</v>
      </c>
      <c r="G1744" t="s">
        <v>35</v>
      </c>
      <c r="H1744" t="s">
        <v>35</v>
      </c>
      <c r="J1744" t="s">
        <v>1389</v>
      </c>
      <c r="K1744" t="s">
        <v>1092</v>
      </c>
      <c r="M1744">
        <v>1.1499999999999999</v>
      </c>
      <c r="N1744">
        <v>54</v>
      </c>
      <c r="O1744" t="s">
        <v>52</v>
      </c>
      <c r="Q1744" t="s">
        <v>1207</v>
      </c>
      <c r="R1744" t="s">
        <v>1252</v>
      </c>
      <c r="S1744" t="s">
        <v>81</v>
      </c>
    </row>
    <row r="1745" spans="1:19" x14ac:dyDescent="0.25">
      <c r="A1745" t="s">
        <v>44</v>
      </c>
      <c r="B1745" t="s">
        <v>3</v>
      </c>
      <c r="C1745" t="s">
        <v>32</v>
      </c>
      <c r="D1745" t="s">
        <v>33</v>
      </c>
      <c r="E1745" t="s">
        <v>204</v>
      </c>
      <c r="F1745" t="s">
        <v>35</v>
      </c>
      <c r="G1745" t="s">
        <v>35</v>
      </c>
      <c r="H1745" t="s">
        <v>35</v>
      </c>
      <c r="J1745" t="s">
        <v>2136</v>
      </c>
      <c r="K1745" t="s">
        <v>1092</v>
      </c>
      <c r="M1745">
        <v>0.75</v>
      </c>
      <c r="N1745">
        <v>432</v>
      </c>
      <c r="O1745" t="s">
        <v>294</v>
      </c>
      <c r="Q1745" t="s">
        <v>1271</v>
      </c>
      <c r="R1745" t="s">
        <v>1208</v>
      </c>
      <c r="S1745" t="s">
        <v>1209</v>
      </c>
    </row>
    <row r="1746" spans="1:19" x14ac:dyDescent="0.25">
      <c r="A1746" t="s">
        <v>59</v>
      </c>
      <c r="B1746" t="s">
        <v>31</v>
      </c>
      <c r="C1746" t="s">
        <v>32</v>
      </c>
      <c r="D1746" t="s">
        <v>33</v>
      </c>
      <c r="E1746" t="s">
        <v>204</v>
      </c>
      <c r="F1746" t="s">
        <v>35</v>
      </c>
      <c r="G1746" t="s">
        <v>35</v>
      </c>
      <c r="H1746" t="s">
        <v>35</v>
      </c>
      <c r="J1746" t="s">
        <v>2136</v>
      </c>
      <c r="K1746" t="s">
        <v>1092</v>
      </c>
      <c r="M1746">
        <v>2.7</v>
      </c>
      <c r="N1746">
        <v>99</v>
      </c>
      <c r="O1746" t="s">
        <v>106</v>
      </c>
      <c r="Q1746" t="s">
        <v>1216</v>
      </c>
      <c r="R1746" t="s">
        <v>103</v>
      </c>
      <c r="S1746" t="s">
        <v>104</v>
      </c>
    </row>
    <row r="1747" spans="1:19" x14ac:dyDescent="0.25">
      <c r="A1747" t="s">
        <v>30</v>
      </c>
      <c r="B1747" t="s">
        <v>31</v>
      </c>
      <c r="C1747" t="s">
        <v>32</v>
      </c>
      <c r="D1747" t="s">
        <v>33</v>
      </c>
      <c r="E1747" t="s">
        <v>204</v>
      </c>
      <c r="F1747" t="s">
        <v>35</v>
      </c>
      <c r="G1747" t="s">
        <v>35</v>
      </c>
      <c r="H1747" t="s">
        <v>35</v>
      </c>
      <c r="J1747" t="s">
        <v>2137</v>
      </c>
      <c r="K1747" t="s">
        <v>1092</v>
      </c>
      <c r="M1747">
        <v>0.54</v>
      </c>
      <c r="N1747">
        <v>180</v>
      </c>
      <c r="O1747" t="s">
        <v>38</v>
      </c>
      <c r="Q1747" t="s">
        <v>2138</v>
      </c>
      <c r="R1747" t="s">
        <v>118</v>
      </c>
      <c r="S1747" t="s">
        <v>65</v>
      </c>
    </row>
    <row r="1748" spans="1:19" x14ac:dyDescent="0.25">
      <c r="A1748" t="s">
        <v>59</v>
      </c>
      <c r="B1748" t="s">
        <v>60</v>
      </c>
      <c r="C1748" t="s">
        <v>32</v>
      </c>
      <c r="D1748" t="s">
        <v>33</v>
      </c>
      <c r="E1748" t="s">
        <v>204</v>
      </c>
      <c r="F1748" t="s">
        <v>35</v>
      </c>
      <c r="G1748" t="s">
        <v>35</v>
      </c>
      <c r="H1748" t="s">
        <v>35</v>
      </c>
      <c r="J1748" t="s">
        <v>2139</v>
      </c>
      <c r="K1748" t="s">
        <v>1092</v>
      </c>
      <c r="M1748">
        <v>0.8</v>
      </c>
      <c r="N1748">
        <v>149</v>
      </c>
      <c r="O1748" t="s">
        <v>38</v>
      </c>
      <c r="Q1748" t="s">
        <v>73</v>
      </c>
      <c r="R1748" t="s">
        <v>1258</v>
      </c>
      <c r="S1748" t="s">
        <v>194</v>
      </c>
    </row>
    <row r="1749" spans="1:19" x14ac:dyDescent="0.25">
      <c r="A1749" t="s">
        <v>59</v>
      </c>
      <c r="B1749" t="s">
        <v>60</v>
      </c>
      <c r="C1749" t="s">
        <v>32</v>
      </c>
      <c r="D1749" t="s">
        <v>33</v>
      </c>
      <c r="E1749" t="s">
        <v>204</v>
      </c>
      <c r="F1749" t="s">
        <v>35</v>
      </c>
      <c r="G1749" t="s">
        <v>35</v>
      </c>
      <c r="H1749" t="s">
        <v>35</v>
      </c>
      <c r="J1749" t="s">
        <v>2140</v>
      </c>
      <c r="K1749" t="s">
        <v>1092</v>
      </c>
      <c r="M1749">
        <v>2.8</v>
      </c>
      <c r="N1749">
        <v>99</v>
      </c>
      <c r="O1749" t="s">
        <v>106</v>
      </c>
      <c r="Q1749" t="s">
        <v>1216</v>
      </c>
      <c r="R1749" t="s">
        <v>1208</v>
      </c>
      <c r="S1749" t="s">
        <v>1209</v>
      </c>
    </row>
    <row r="1750" spans="1:19" x14ac:dyDescent="0.25">
      <c r="A1750" t="s">
        <v>30</v>
      </c>
      <c r="B1750" t="s">
        <v>31</v>
      </c>
      <c r="C1750" t="s">
        <v>32</v>
      </c>
      <c r="D1750" t="s">
        <v>33</v>
      </c>
      <c r="E1750" t="s">
        <v>204</v>
      </c>
      <c r="F1750" t="s">
        <v>35</v>
      </c>
      <c r="G1750" t="s">
        <v>35</v>
      </c>
      <c r="H1750" t="s">
        <v>35</v>
      </c>
      <c r="J1750" t="s">
        <v>2141</v>
      </c>
      <c r="K1750" t="s">
        <v>1092</v>
      </c>
      <c r="M1750">
        <v>5.4450000000000003</v>
      </c>
      <c r="N1750">
        <v>73</v>
      </c>
      <c r="O1750" t="s">
        <v>61</v>
      </c>
      <c r="Q1750" t="s">
        <v>552</v>
      </c>
      <c r="R1750" t="s">
        <v>85</v>
      </c>
      <c r="S1750" t="s">
        <v>86</v>
      </c>
    </row>
    <row r="1751" spans="1:19" x14ac:dyDescent="0.25">
      <c r="A1751" t="s">
        <v>59</v>
      </c>
      <c r="B1751" t="s">
        <v>60</v>
      </c>
      <c r="C1751" t="s">
        <v>32</v>
      </c>
      <c r="D1751" t="s">
        <v>33</v>
      </c>
      <c r="E1751" t="s">
        <v>204</v>
      </c>
      <c r="F1751" t="s">
        <v>35</v>
      </c>
      <c r="G1751" t="s">
        <v>35</v>
      </c>
      <c r="H1751" t="s">
        <v>35</v>
      </c>
      <c r="J1751" t="s">
        <v>2142</v>
      </c>
      <c r="K1751" t="s">
        <v>1092</v>
      </c>
      <c r="M1751">
        <v>1.25</v>
      </c>
      <c r="N1751">
        <v>99</v>
      </c>
      <c r="O1751" t="s">
        <v>106</v>
      </c>
      <c r="Q1751" t="s">
        <v>1216</v>
      </c>
      <c r="R1751" t="s">
        <v>103</v>
      </c>
      <c r="S1751" t="s">
        <v>104</v>
      </c>
    </row>
    <row r="1752" spans="1:19" x14ac:dyDescent="0.25">
      <c r="A1752" t="s">
        <v>59</v>
      </c>
      <c r="B1752" t="s">
        <v>60</v>
      </c>
      <c r="C1752" t="s">
        <v>32</v>
      </c>
      <c r="D1752" t="s">
        <v>33</v>
      </c>
      <c r="E1752" t="s">
        <v>204</v>
      </c>
      <c r="F1752" t="s">
        <v>35</v>
      </c>
      <c r="G1752" t="s">
        <v>35</v>
      </c>
      <c r="H1752" t="s">
        <v>35</v>
      </c>
      <c r="J1752" t="s">
        <v>2142</v>
      </c>
      <c r="K1752" t="s">
        <v>1092</v>
      </c>
      <c r="M1752">
        <v>2</v>
      </c>
      <c r="N1752">
        <v>99</v>
      </c>
      <c r="O1752" t="s">
        <v>106</v>
      </c>
      <c r="Q1752" t="s">
        <v>1216</v>
      </c>
      <c r="R1752" t="s">
        <v>1208</v>
      </c>
      <c r="S1752" t="s">
        <v>1209</v>
      </c>
    </row>
    <row r="1753" spans="1:19" x14ac:dyDescent="0.25">
      <c r="A1753" t="s">
        <v>30</v>
      </c>
      <c r="B1753" t="s">
        <v>31</v>
      </c>
      <c r="C1753" t="s">
        <v>32</v>
      </c>
      <c r="D1753" t="s">
        <v>33</v>
      </c>
      <c r="E1753" t="s">
        <v>204</v>
      </c>
      <c r="F1753" t="s">
        <v>35</v>
      </c>
      <c r="G1753" t="s">
        <v>35</v>
      </c>
      <c r="H1753" t="s">
        <v>35</v>
      </c>
      <c r="J1753" t="s">
        <v>2143</v>
      </c>
      <c r="K1753" t="s">
        <v>1092</v>
      </c>
      <c r="M1753">
        <v>4.1399999999999997</v>
      </c>
      <c r="N1753">
        <v>73</v>
      </c>
      <c r="O1753" t="s">
        <v>61</v>
      </c>
      <c r="Q1753" t="s">
        <v>552</v>
      </c>
      <c r="R1753" t="s">
        <v>85</v>
      </c>
      <c r="S1753" t="s">
        <v>86</v>
      </c>
    </row>
    <row r="1754" spans="1:19" x14ac:dyDescent="0.25">
      <c r="A1754" t="s">
        <v>30</v>
      </c>
      <c r="B1754" t="s">
        <v>31</v>
      </c>
      <c r="C1754" t="s">
        <v>32</v>
      </c>
      <c r="D1754" t="s">
        <v>33</v>
      </c>
      <c r="E1754" t="s">
        <v>204</v>
      </c>
      <c r="F1754" t="s">
        <v>35</v>
      </c>
      <c r="G1754" t="s">
        <v>35</v>
      </c>
      <c r="H1754" t="s">
        <v>35</v>
      </c>
      <c r="J1754" t="s">
        <v>2144</v>
      </c>
      <c r="K1754" t="s">
        <v>1092</v>
      </c>
      <c r="M1754">
        <v>4.41</v>
      </c>
      <c r="N1754">
        <v>127</v>
      </c>
      <c r="O1754" t="s">
        <v>38</v>
      </c>
      <c r="Q1754" t="s">
        <v>2145</v>
      </c>
      <c r="R1754" t="s">
        <v>85</v>
      </c>
      <c r="S1754" t="s">
        <v>86</v>
      </c>
    </row>
    <row r="1755" spans="1:19" x14ac:dyDescent="0.25">
      <c r="A1755" t="s">
        <v>30</v>
      </c>
      <c r="B1755" t="s">
        <v>31</v>
      </c>
      <c r="C1755" t="s">
        <v>32</v>
      </c>
      <c r="D1755" t="s">
        <v>33</v>
      </c>
      <c r="E1755" t="s">
        <v>204</v>
      </c>
      <c r="F1755" t="s">
        <v>35</v>
      </c>
      <c r="G1755" t="s">
        <v>35</v>
      </c>
      <c r="H1755" t="s">
        <v>35</v>
      </c>
      <c r="J1755" t="s">
        <v>2144</v>
      </c>
      <c r="K1755" t="s">
        <v>1092</v>
      </c>
      <c r="M1755">
        <v>5.49</v>
      </c>
      <c r="N1755">
        <v>45</v>
      </c>
      <c r="O1755" t="s">
        <v>52</v>
      </c>
      <c r="Q1755" t="s">
        <v>716</v>
      </c>
      <c r="R1755" t="s">
        <v>85</v>
      </c>
      <c r="S1755" t="s">
        <v>86</v>
      </c>
    </row>
    <row r="1756" spans="1:19" x14ac:dyDescent="0.25">
      <c r="A1756" t="s">
        <v>44</v>
      </c>
      <c r="B1756" t="s">
        <v>3</v>
      </c>
      <c r="C1756" t="s">
        <v>32</v>
      </c>
      <c r="D1756" t="s">
        <v>33</v>
      </c>
      <c r="E1756" t="s">
        <v>204</v>
      </c>
      <c r="F1756" t="s">
        <v>35</v>
      </c>
      <c r="G1756" t="s">
        <v>35</v>
      </c>
      <c r="H1756" t="s">
        <v>35</v>
      </c>
      <c r="J1756" t="s">
        <v>2144</v>
      </c>
      <c r="K1756" t="s">
        <v>1092</v>
      </c>
      <c r="M1756">
        <v>3</v>
      </c>
      <c r="N1756">
        <v>50</v>
      </c>
      <c r="O1756" t="s">
        <v>52</v>
      </c>
      <c r="Q1756" t="s">
        <v>425</v>
      </c>
      <c r="R1756" t="s">
        <v>2146</v>
      </c>
      <c r="S1756" t="s">
        <v>209</v>
      </c>
    </row>
    <row r="1757" spans="1:19" x14ac:dyDescent="0.25">
      <c r="A1757" t="s">
        <v>44</v>
      </c>
      <c r="B1757" t="s">
        <v>3</v>
      </c>
      <c r="C1757" t="s">
        <v>32</v>
      </c>
      <c r="D1757" t="s">
        <v>33</v>
      </c>
      <c r="E1757" t="s">
        <v>204</v>
      </c>
      <c r="F1757" t="s">
        <v>35</v>
      </c>
      <c r="G1757" t="s">
        <v>35</v>
      </c>
      <c r="H1757" t="s">
        <v>35</v>
      </c>
      <c r="J1757" t="s">
        <v>2147</v>
      </c>
      <c r="K1757" t="s">
        <v>1092</v>
      </c>
      <c r="M1757">
        <v>5.5</v>
      </c>
      <c r="N1757">
        <v>62</v>
      </c>
      <c r="O1757" t="s">
        <v>61</v>
      </c>
      <c r="Q1757" t="s">
        <v>90</v>
      </c>
      <c r="R1757" t="s">
        <v>85</v>
      </c>
      <c r="S1757" t="s">
        <v>86</v>
      </c>
    </row>
    <row r="1758" spans="1:19" x14ac:dyDescent="0.25">
      <c r="A1758" t="s">
        <v>59</v>
      </c>
      <c r="B1758" t="s">
        <v>60</v>
      </c>
      <c r="C1758" t="s">
        <v>32</v>
      </c>
      <c r="D1758" t="s">
        <v>33</v>
      </c>
      <c r="E1758" t="s">
        <v>204</v>
      </c>
      <c r="F1758" t="s">
        <v>35</v>
      </c>
      <c r="G1758" t="s">
        <v>35</v>
      </c>
      <c r="H1758" t="s">
        <v>35</v>
      </c>
      <c r="J1758" t="s">
        <v>2147</v>
      </c>
      <c r="K1758" t="s">
        <v>1092</v>
      </c>
      <c r="M1758">
        <v>1.1499999999999999</v>
      </c>
      <c r="N1758">
        <v>73</v>
      </c>
      <c r="O1758" t="s">
        <v>61</v>
      </c>
      <c r="Q1758" t="s">
        <v>552</v>
      </c>
      <c r="R1758" t="s">
        <v>85</v>
      </c>
      <c r="S1758" t="s">
        <v>86</v>
      </c>
    </row>
    <row r="1759" spans="1:19" x14ac:dyDescent="0.25">
      <c r="A1759" t="s">
        <v>44</v>
      </c>
      <c r="B1759" t="s">
        <v>51</v>
      </c>
      <c r="C1759" t="s">
        <v>32</v>
      </c>
      <c r="D1759" t="s">
        <v>33</v>
      </c>
      <c r="E1759" t="s">
        <v>204</v>
      </c>
      <c r="F1759" t="s">
        <v>35</v>
      </c>
      <c r="G1759" t="s">
        <v>35</v>
      </c>
      <c r="H1759" t="s">
        <v>35</v>
      </c>
      <c r="J1759" t="s">
        <v>2147</v>
      </c>
      <c r="K1759" t="s">
        <v>1092</v>
      </c>
      <c r="M1759">
        <v>5.5</v>
      </c>
      <c r="N1759">
        <v>28</v>
      </c>
      <c r="O1759" t="s">
        <v>46</v>
      </c>
      <c r="Q1759" t="s">
        <v>176</v>
      </c>
      <c r="R1759" t="s">
        <v>85</v>
      </c>
      <c r="S1759" t="s">
        <v>86</v>
      </c>
    </row>
    <row r="1760" spans="1:19" x14ac:dyDescent="0.25">
      <c r="A1760" t="s">
        <v>30</v>
      </c>
      <c r="B1760" t="s">
        <v>31</v>
      </c>
      <c r="C1760" t="s">
        <v>32</v>
      </c>
      <c r="D1760" t="s">
        <v>33</v>
      </c>
      <c r="E1760" t="s">
        <v>204</v>
      </c>
      <c r="F1760" t="s">
        <v>35</v>
      </c>
      <c r="G1760" t="s">
        <v>35</v>
      </c>
      <c r="H1760" t="s">
        <v>35</v>
      </c>
      <c r="J1760" t="s">
        <v>2147</v>
      </c>
      <c r="K1760" t="s">
        <v>1092</v>
      </c>
      <c r="M1760">
        <v>8.9550000000000001</v>
      </c>
      <c r="N1760">
        <v>46</v>
      </c>
      <c r="O1760" t="s">
        <v>52</v>
      </c>
      <c r="Q1760" t="s">
        <v>493</v>
      </c>
      <c r="R1760" t="s">
        <v>85</v>
      </c>
      <c r="S1760" t="s">
        <v>86</v>
      </c>
    </row>
    <row r="1761" spans="1:19" x14ac:dyDescent="0.25">
      <c r="A1761" t="s">
        <v>59</v>
      </c>
      <c r="B1761" t="s">
        <v>60</v>
      </c>
      <c r="C1761" t="s">
        <v>32</v>
      </c>
      <c r="D1761" t="s">
        <v>33</v>
      </c>
      <c r="E1761" t="s">
        <v>204</v>
      </c>
      <c r="F1761" t="s">
        <v>35</v>
      </c>
      <c r="G1761" t="s">
        <v>35</v>
      </c>
      <c r="H1761" t="s">
        <v>35</v>
      </c>
      <c r="J1761" t="s">
        <v>2148</v>
      </c>
      <c r="K1761" t="s">
        <v>1092</v>
      </c>
      <c r="M1761">
        <v>0.85</v>
      </c>
      <c r="N1761">
        <v>99</v>
      </c>
      <c r="O1761" t="s">
        <v>106</v>
      </c>
      <c r="Q1761" t="s">
        <v>1216</v>
      </c>
      <c r="R1761" t="s">
        <v>103</v>
      </c>
      <c r="S1761" t="s">
        <v>104</v>
      </c>
    </row>
    <row r="1762" spans="1:19" x14ac:dyDescent="0.25">
      <c r="A1762" t="s">
        <v>59</v>
      </c>
      <c r="B1762" t="s">
        <v>31</v>
      </c>
      <c r="C1762" t="s">
        <v>32</v>
      </c>
      <c r="D1762" t="s">
        <v>33</v>
      </c>
      <c r="E1762" t="s">
        <v>204</v>
      </c>
      <c r="F1762" t="s">
        <v>35</v>
      </c>
      <c r="G1762" t="s">
        <v>35</v>
      </c>
      <c r="H1762" t="s">
        <v>35</v>
      </c>
      <c r="J1762" t="s">
        <v>2148</v>
      </c>
      <c r="K1762" t="s">
        <v>1092</v>
      </c>
      <c r="M1762">
        <v>1.9550000000000001</v>
      </c>
      <c r="N1762">
        <v>99</v>
      </c>
      <c r="O1762" t="s">
        <v>106</v>
      </c>
      <c r="Q1762" t="s">
        <v>1216</v>
      </c>
      <c r="R1762" t="s">
        <v>103</v>
      </c>
      <c r="S1762" t="s">
        <v>104</v>
      </c>
    </row>
    <row r="1763" spans="1:19" x14ac:dyDescent="0.25">
      <c r="A1763" t="s">
        <v>44</v>
      </c>
      <c r="B1763" t="s">
        <v>3</v>
      </c>
      <c r="C1763" t="s">
        <v>32</v>
      </c>
      <c r="D1763" t="s">
        <v>33</v>
      </c>
      <c r="E1763" t="s">
        <v>204</v>
      </c>
      <c r="F1763" t="s">
        <v>35</v>
      </c>
      <c r="G1763" t="s">
        <v>35</v>
      </c>
      <c r="H1763" t="s">
        <v>35</v>
      </c>
      <c r="J1763" t="s">
        <v>2148</v>
      </c>
      <c r="K1763" t="s">
        <v>1092</v>
      </c>
      <c r="M1763">
        <v>1</v>
      </c>
      <c r="N1763">
        <v>54</v>
      </c>
      <c r="O1763" t="s">
        <v>52</v>
      </c>
      <c r="Q1763" t="s">
        <v>1207</v>
      </c>
      <c r="R1763" t="s">
        <v>1208</v>
      </c>
      <c r="S1763" t="s">
        <v>1209</v>
      </c>
    </row>
    <row r="1764" spans="1:19" x14ac:dyDescent="0.25">
      <c r="A1764" t="s">
        <v>59</v>
      </c>
      <c r="B1764" t="s">
        <v>60</v>
      </c>
      <c r="C1764" t="s">
        <v>32</v>
      </c>
      <c r="D1764" t="s">
        <v>33</v>
      </c>
      <c r="E1764" t="s">
        <v>204</v>
      </c>
      <c r="F1764" t="s">
        <v>35</v>
      </c>
      <c r="G1764" t="s">
        <v>35</v>
      </c>
      <c r="H1764" t="s">
        <v>35</v>
      </c>
      <c r="J1764" t="s">
        <v>2149</v>
      </c>
      <c r="K1764" t="s">
        <v>1092</v>
      </c>
      <c r="M1764">
        <v>1.6</v>
      </c>
      <c r="N1764">
        <v>99</v>
      </c>
      <c r="O1764" t="s">
        <v>106</v>
      </c>
      <c r="Q1764" t="s">
        <v>1216</v>
      </c>
      <c r="R1764" t="s">
        <v>103</v>
      </c>
      <c r="S1764" t="s">
        <v>104</v>
      </c>
    </row>
    <row r="1765" spans="1:19" x14ac:dyDescent="0.25">
      <c r="A1765" t="s">
        <v>59</v>
      </c>
      <c r="B1765" t="s">
        <v>60</v>
      </c>
      <c r="C1765" t="s">
        <v>32</v>
      </c>
      <c r="D1765" t="s">
        <v>33</v>
      </c>
      <c r="E1765" t="s">
        <v>204</v>
      </c>
      <c r="F1765" t="s">
        <v>35</v>
      </c>
      <c r="G1765" t="s">
        <v>35</v>
      </c>
      <c r="H1765" t="s">
        <v>35</v>
      </c>
      <c r="J1765" t="s">
        <v>2149</v>
      </c>
      <c r="K1765" t="s">
        <v>1092</v>
      </c>
      <c r="M1765">
        <v>0.5</v>
      </c>
      <c r="N1765">
        <v>69</v>
      </c>
      <c r="O1765" t="s">
        <v>61</v>
      </c>
      <c r="Q1765" t="s">
        <v>139</v>
      </c>
      <c r="R1765" t="s">
        <v>1208</v>
      </c>
      <c r="S1765" t="s">
        <v>1209</v>
      </c>
    </row>
    <row r="1766" spans="1:19" x14ac:dyDescent="0.25">
      <c r="A1766" t="s">
        <v>59</v>
      </c>
      <c r="B1766" t="s">
        <v>60</v>
      </c>
      <c r="C1766" t="s">
        <v>32</v>
      </c>
      <c r="D1766" t="s">
        <v>33</v>
      </c>
      <c r="E1766" t="s">
        <v>204</v>
      </c>
      <c r="F1766" t="s">
        <v>35</v>
      </c>
      <c r="G1766" t="s">
        <v>35</v>
      </c>
      <c r="H1766" t="s">
        <v>35</v>
      </c>
      <c r="J1766" t="s">
        <v>2150</v>
      </c>
      <c r="K1766" t="s">
        <v>1092</v>
      </c>
      <c r="M1766">
        <v>0.15</v>
      </c>
      <c r="N1766">
        <v>167</v>
      </c>
      <c r="O1766" t="s">
        <v>38</v>
      </c>
      <c r="Q1766" t="s">
        <v>1120</v>
      </c>
      <c r="R1766" t="s">
        <v>193</v>
      </c>
      <c r="S1766" t="s">
        <v>181</v>
      </c>
    </row>
    <row r="1767" spans="1:19" x14ac:dyDescent="0.25">
      <c r="A1767" t="s">
        <v>44</v>
      </c>
      <c r="B1767" t="s">
        <v>3</v>
      </c>
      <c r="C1767" t="s">
        <v>32</v>
      </c>
      <c r="D1767" t="s">
        <v>33</v>
      </c>
      <c r="E1767" t="s">
        <v>204</v>
      </c>
      <c r="F1767" t="s">
        <v>35</v>
      </c>
      <c r="G1767" t="s">
        <v>35</v>
      </c>
      <c r="H1767" t="s">
        <v>35</v>
      </c>
      <c r="J1767" t="s">
        <v>2150</v>
      </c>
      <c r="K1767" t="s">
        <v>1092</v>
      </c>
      <c r="M1767">
        <v>4.9000000000000004</v>
      </c>
      <c r="N1767">
        <v>68</v>
      </c>
      <c r="O1767" t="s">
        <v>61</v>
      </c>
      <c r="Q1767" t="s">
        <v>146</v>
      </c>
      <c r="R1767" t="s">
        <v>193</v>
      </c>
      <c r="S1767" t="s">
        <v>181</v>
      </c>
    </row>
    <row r="1768" spans="1:19" x14ac:dyDescent="0.25">
      <c r="A1768" t="s">
        <v>59</v>
      </c>
      <c r="B1768" t="s">
        <v>60</v>
      </c>
      <c r="C1768" t="s">
        <v>32</v>
      </c>
      <c r="D1768" t="s">
        <v>33</v>
      </c>
      <c r="E1768" t="s">
        <v>204</v>
      </c>
      <c r="F1768" t="s">
        <v>35</v>
      </c>
      <c r="G1768" t="s">
        <v>35</v>
      </c>
      <c r="H1768" t="s">
        <v>35</v>
      </c>
      <c r="J1768" t="s">
        <v>2151</v>
      </c>
      <c r="K1768" t="s">
        <v>1092</v>
      </c>
      <c r="M1768">
        <v>0.35</v>
      </c>
      <c r="N1768">
        <v>552</v>
      </c>
      <c r="O1768" t="s">
        <v>575</v>
      </c>
      <c r="Q1768" t="s">
        <v>2152</v>
      </c>
      <c r="R1768" t="s">
        <v>1287</v>
      </c>
      <c r="S1768" t="s">
        <v>189</v>
      </c>
    </row>
    <row r="1769" spans="1:19" x14ac:dyDescent="0.25">
      <c r="A1769" t="s">
        <v>44</v>
      </c>
      <c r="B1769" t="s">
        <v>3</v>
      </c>
      <c r="C1769" t="s">
        <v>32</v>
      </c>
      <c r="D1769" t="s">
        <v>33</v>
      </c>
      <c r="E1769" t="s">
        <v>204</v>
      </c>
      <c r="F1769" t="s">
        <v>35</v>
      </c>
      <c r="G1769" t="s">
        <v>35</v>
      </c>
      <c r="H1769" t="s">
        <v>35</v>
      </c>
      <c r="J1769" t="s">
        <v>2153</v>
      </c>
      <c r="K1769" t="s">
        <v>1092</v>
      </c>
      <c r="M1769">
        <v>4.25</v>
      </c>
      <c r="N1769">
        <v>62</v>
      </c>
      <c r="O1769" t="s">
        <v>61</v>
      </c>
      <c r="Q1769" t="s">
        <v>90</v>
      </c>
      <c r="R1769" t="s">
        <v>85</v>
      </c>
      <c r="S1769" t="s">
        <v>86</v>
      </c>
    </row>
    <row r="1770" spans="1:19" x14ac:dyDescent="0.25">
      <c r="A1770" t="s">
        <v>30</v>
      </c>
      <c r="B1770" t="s">
        <v>31</v>
      </c>
      <c r="C1770" t="s">
        <v>32</v>
      </c>
      <c r="D1770" t="s">
        <v>33</v>
      </c>
      <c r="E1770" t="s">
        <v>204</v>
      </c>
      <c r="F1770" t="s">
        <v>35</v>
      </c>
      <c r="G1770" t="s">
        <v>35</v>
      </c>
      <c r="H1770" t="s">
        <v>35</v>
      </c>
      <c r="J1770" t="s">
        <v>2154</v>
      </c>
      <c r="K1770" t="s">
        <v>1092</v>
      </c>
      <c r="M1770">
        <v>5.49</v>
      </c>
      <c r="N1770">
        <v>38</v>
      </c>
      <c r="O1770" t="s">
        <v>52</v>
      </c>
      <c r="Q1770" t="s">
        <v>748</v>
      </c>
      <c r="R1770" t="s">
        <v>85</v>
      </c>
      <c r="S1770" t="s">
        <v>86</v>
      </c>
    </row>
    <row r="1771" spans="1:19" x14ac:dyDescent="0.25">
      <c r="A1771" t="s">
        <v>30</v>
      </c>
      <c r="B1771" t="s">
        <v>31</v>
      </c>
      <c r="C1771" t="s">
        <v>32</v>
      </c>
      <c r="D1771" t="s">
        <v>33</v>
      </c>
      <c r="E1771" t="s">
        <v>204</v>
      </c>
      <c r="F1771" t="s">
        <v>35</v>
      </c>
      <c r="G1771" t="s">
        <v>35</v>
      </c>
      <c r="H1771" t="s">
        <v>35</v>
      </c>
      <c r="J1771" t="s">
        <v>2155</v>
      </c>
      <c r="K1771" t="s">
        <v>1092</v>
      </c>
      <c r="M1771">
        <v>3.5550000000000002</v>
      </c>
      <c r="N1771">
        <v>45</v>
      </c>
      <c r="O1771" t="s">
        <v>52</v>
      </c>
      <c r="Q1771" t="s">
        <v>716</v>
      </c>
      <c r="R1771" t="s">
        <v>85</v>
      </c>
      <c r="S1771" t="s">
        <v>86</v>
      </c>
    </row>
    <row r="1772" spans="1:19" x14ac:dyDescent="0.25">
      <c r="A1772" t="s">
        <v>59</v>
      </c>
      <c r="B1772" t="s">
        <v>60</v>
      </c>
      <c r="C1772" t="s">
        <v>32</v>
      </c>
      <c r="D1772" t="s">
        <v>33</v>
      </c>
      <c r="E1772" t="s">
        <v>204</v>
      </c>
      <c r="F1772" t="s">
        <v>35</v>
      </c>
      <c r="G1772" t="s">
        <v>35</v>
      </c>
      <c r="H1772" t="s">
        <v>35</v>
      </c>
      <c r="J1772" t="s">
        <v>2156</v>
      </c>
      <c r="K1772" t="s">
        <v>1092</v>
      </c>
      <c r="M1772">
        <v>0.35</v>
      </c>
      <c r="N1772">
        <v>91</v>
      </c>
      <c r="O1772" t="s">
        <v>106</v>
      </c>
      <c r="Q1772" t="s">
        <v>1147</v>
      </c>
      <c r="R1772" t="s">
        <v>169</v>
      </c>
      <c r="S1772" t="s">
        <v>123</v>
      </c>
    </row>
    <row r="1773" spans="1:19" x14ac:dyDescent="0.25">
      <c r="A1773" t="s">
        <v>30</v>
      </c>
      <c r="B1773" t="s">
        <v>31</v>
      </c>
      <c r="C1773" t="s">
        <v>32</v>
      </c>
      <c r="D1773" t="s">
        <v>33</v>
      </c>
      <c r="E1773" t="s">
        <v>204</v>
      </c>
      <c r="F1773" t="s">
        <v>35</v>
      </c>
      <c r="G1773" t="s">
        <v>35</v>
      </c>
      <c r="H1773" t="s">
        <v>35</v>
      </c>
      <c r="J1773" t="s">
        <v>2157</v>
      </c>
      <c r="K1773" t="s">
        <v>1092</v>
      </c>
      <c r="M1773">
        <v>4.6100000000000003</v>
      </c>
      <c r="N1773">
        <v>534</v>
      </c>
      <c r="O1773" t="s">
        <v>294</v>
      </c>
      <c r="Q1773" t="s">
        <v>1496</v>
      </c>
      <c r="R1773" t="s">
        <v>85</v>
      </c>
      <c r="S1773" t="s">
        <v>86</v>
      </c>
    </row>
    <row r="1774" spans="1:19" x14ac:dyDescent="0.25">
      <c r="A1774" t="s">
        <v>59</v>
      </c>
      <c r="B1774" t="s">
        <v>60</v>
      </c>
      <c r="C1774" t="s">
        <v>32</v>
      </c>
      <c r="D1774" t="s">
        <v>33</v>
      </c>
      <c r="E1774" t="s">
        <v>204</v>
      </c>
      <c r="F1774" t="s">
        <v>35</v>
      </c>
      <c r="G1774" t="s">
        <v>35</v>
      </c>
      <c r="H1774" t="s">
        <v>35</v>
      </c>
      <c r="J1774" t="s">
        <v>2157</v>
      </c>
      <c r="K1774" t="s">
        <v>1092</v>
      </c>
      <c r="M1774">
        <v>0.95</v>
      </c>
      <c r="N1774">
        <v>522</v>
      </c>
      <c r="O1774" t="s">
        <v>294</v>
      </c>
      <c r="Q1774" t="s">
        <v>2158</v>
      </c>
      <c r="R1774" t="s">
        <v>85</v>
      </c>
      <c r="S1774" t="s">
        <v>86</v>
      </c>
    </row>
    <row r="1775" spans="1:19" x14ac:dyDescent="0.25">
      <c r="A1775" t="s">
        <v>59</v>
      </c>
      <c r="B1775" t="s">
        <v>60</v>
      </c>
      <c r="C1775" t="s">
        <v>32</v>
      </c>
      <c r="D1775" t="s">
        <v>33</v>
      </c>
      <c r="E1775" t="s">
        <v>204</v>
      </c>
      <c r="F1775" t="s">
        <v>35</v>
      </c>
      <c r="G1775" t="s">
        <v>35</v>
      </c>
      <c r="H1775" t="s">
        <v>35</v>
      </c>
      <c r="J1775" t="s">
        <v>2159</v>
      </c>
      <c r="K1775" t="s">
        <v>1092</v>
      </c>
      <c r="M1775">
        <v>2</v>
      </c>
      <c r="N1775">
        <v>99</v>
      </c>
      <c r="O1775" t="s">
        <v>106</v>
      </c>
      <c r="Q1775" t="s">
        <v>1216</v>
      </c>
      <c r="R1775" t="s">
        <v>1208</v>
      </c>
      <c r="S1775" t="s">
        <v>1209</v>
      </c>
    </row>
    <row r="1776" spans="1:19" x14ac:dyDescent="0.25">
      <c r="A1776" t="s">
        <v>30</v>
      </c>
      <c r="B1776" t="s">
        <v>31</v>
      </c>
      <c r="C1776" t="s">
        <v>32</v>
      </c>
      <c r="D1776" t="s">
        <v>33</v>
      </c>
      <c r="E1776" t="s">
        <v>204</v>
      </c>
      <c r="F1776" t="s">
        <v>35</v>
      </c>
      <c r="G1776" t="s">
        <v>35</v>
      </c>
      <c r="H1776" t="s">
        <v>35</v>
      </c>
      <c r="J1776" t="s">
        <v>2159</v>
      </c>
      <c r="K1776" t="s">
        <v>1092</v>
      </c>
      <c r="M1776">
        <v>8.2349999999999994</v>
      </c>
      <c r="N1776">
        <v>43</v>
      </c>
      <c r="O1776" t="s">
        <v>52</v>
      </c>
      <c r="Q1776" t="s">
        <v>892</v>
      </c>
      <c r="R1776" t="s">
        <v>193</v>
      </c>
      <c r="S1776" t="s">
        <v>181</v>
      </c>
    </row>
    <row r="1777" spans="1:19" x14ac:dyDescent="0.25">
      <c r="A1777" t="s">
        <v>44</v>
      </c>
      <c r="B1777" t="s">
        <v>3</v>
      </c>
      <c r="C1777" t="s">
        <v>32</v>
      </c>
      <c r="D1777" t="s">
        <v>33</v>
      </c>
      <c r="E1777" t="s">
        <v>204</v>
      </c>
      <c r="F1777" t="s">
        <v>35</v>
      </c>
      <c r="G1777" t="s">
        <v>35</v>
      </c>
      <c r="H1777" t="s">
        <v>35</v>
      </c>
      <c r="J1777" t="s">
        <v>2159</v>
      </c>
      <c r="K1777" t="s">
        <v>1092</v>
      </c>
      <c r="M1777">
        <v>1.5</v>
      </c>
      <c r="N1777">
        <v>54</v>
      </c>
      <c r="O1777" t="s">
        <v>52</v>
      </c>
      <c r="Q1777" t="s">
        <v>1207</v>
      </c>
      <c r="R1777" t="s">
        <v>1208</v>
      </c>
      <c r="S1777" t="s">
        <v>1209</v>
      </c>
    </row>
    <row r="1778" spans="1:19" x14ac:dyDescent="0.25">
      <c r="A1778" t="s">
        <v>59</v>
      </c>
      <c r="B1778" t="s">
        <v>31</v>
      </c>
      <c r="C1778" t="s">
        <v>32</v>
      </c>
      <c r="D1778" t="s">
        <v>33</v>
      </c>
      <c r="E1778" t="s">
        <v>204</v>
      </c>
      <c r="F1778" t="s">
        <v>35</v>
      </c>
      <c r="G1778" t="s">
        <v>35</v>
      </c>
      <c r="H1778" t="s">
        <v>35</v>
      </c>
      <c r="J1778" t="s">
        <v>2160</v>
      </c>
      <c r="K1778" t="s">
        <v>1092</v>
      </c>
      <c r="M1778">
        <v>0.09</v>
      </c>
      <c r="N1778">
        <v>1180</v>
      </c>
      <c r="O1778" t="s">
        <v>575</v>
      </c>
      <c r="Q1778" t="s">
        <v>2161</v>
      </c>
      <c r="R1778" t="s">
        <v>169</v>
      </c>
      <c r="S1778" t="s">
        <v>123</v>
      </c>
    </row>
    <row r="1779" spans="1:19" x14ac:dyDescent="0.25">
      <c r="A1779" t="s">
        <v>59</v>
      </c>
      <c r="B1779" t="s">
        <v>60</v>
      </c>
      <c r="C1779" t="s">
        <v>32</v>
      </c>
      <c r="D1779" t="s">
        <v>33</v>
      </c>
      <c r="E1779" t="s">
        <v>204</v>
      </c>
      <c r="F1779" t="s">
        <v>35</v>
      </c>
      <c r="G1779" t="s">
        <v>35</v>
      </c>
      <c r="H1779" t="s">
        <v>35</v>
      </c>
      <c r="J1779" t="s">
        <v>2162</v>
      </c>
      <c r="K1779" t="s">
        <v>1092</v>
      </c>
      <c r="M1779">
        <v>2.25</v>
      </c>
      <c r="N1779">
        <v>71</v>
      </c>
      <c r="O1779" t="s">
        <v>61</v>
      </c>
      <c r="Q1779" t="s">
        <v>102</v>
      </c>
      <c r="R1779" t="s">
        <v>1208</v>
      </c>
      <c r="S1779" t="s">
        <v>1209</v>
      </c>
    </row>
    <row r="1780" spans="1:19" x14ac:dyDescent="0.25">
      <c r="A1780" t="s">
        <v>30</v>
      </c>
      <c r="B1780" t="s">
        <v>31</v>
      </c>
      <c r="C1780" t="s">
        <v>32</v>
      </c>
      <c r="D1780" t="s">
        <v>33</v>
      </c>
      <c r="E1780" t="s">
        <v>204</v>
      </c>
      <c r="F1780" t="s">
        <v>35</v>
      </c>
      <c r="G1780" t="s">
        <v>35</v>
      </c>
      <c r="H1780" t="s">
        <v>35</v>
      </c>
      <c r="J1780" t="s">
        <v>2163</v>
      </c>
      <c r="K1780" t="s">
        <v>1092</v>
      </c>
      <c r="M1780">
        <v>4.4999999999999998E-2</v>
      </c>
      <c r="N1780">
        <v>47</v>
      </c>
      <c r="O1780" t="s">
        <v>52</v>
      </c>
      <c r="Q1780" t="s">
        <v>132</v>
      </c>
      <c r="R1780" t="s">
        <v>1208</v>
      </c>
      <c r="S1780" t="s">
        <v>1209</v>
      </c>
    </row>
    <row r="1781" spans="1:19" x14ac:dyDescent="0.25">
      <c r="A1781" t="s">
        <v>30</v>
      </c>
      <c r="B1781" t="s">
        <v>31</v>
      </c>
      <c r="C1781" t="s">
        <v>32</v>
      </c>
      <c r="D1781" t="s">
        <v>33</v>
      </c>
      <c r="E1781" t="s">
        <v>204</v>
      </c>
      <c r="F1781" t="s">
        <v>35</v>
      </c>
      <c r="G1781" t="s">
        <v>35</v>
      </c>
      <c r="H1781" t="s">
        <v>35</v>
      </c>
      <c r="J1781" t="s">
        <v>2164</v>
      </c>
      <c r="K1781" t="s">
        <v>1092</v>
      </c>
      <c r="M1781">
        <v>10.98</v>
      </c>
      <c r="N1781">
        <v>45</v>
      </c>
      <c r="O1781" t="s">
        <v>52</v>
      </c>
      <c r="Q1781" t="s">
        <v>716</v>
      </c>
      <c r="R1781" t="s">
        <v>193</v>
      </c>
      <c r="S1781" t="s">
        <v>181</v>
      </c>
    </row>
    <row r="1782" spans="1:19" x14ac:dyDescent="0.25">
      <c r="A1782" t="s">
        <v>59</v>
      </c>
      <c r="B1782" t="s">
        <v>60</v>
      </c>
      <c r="C1782" t="s">
        <v>32</v>
      </c>
      <c r="D1782" t="s">
        <v>33</v>
      </c>
      <c r="E1782" t="s">
        <v>204</v>
      </c>
      <c r="F1782" t="s">
        <v>35</v>
      </c>
      <c r="G1782" t="s">
        <v>35</v>
      </c>
      <c r="H1782" t="s">
        <v>35</v>
      </c>
      <c r="J1782" t="s">
        <v>2165</v>
      </c>
      <c r="K1782" t="s">
        <v>1092</v>
      </c>
      <c r="M1782">
        <v>3.35</v>
      </c>
      <c r="N1782">
        <v>68</v>
      </c>
      <c r="O1782" t="s">
        <v>61</v>
      </c>
      <c r="Q1782" t="s">
        <v>146</v>
      </c>
      <c r="R1782" t="s">
        <v>193</v>
      </c>
      <c r="S1782" t="s">
        <v>181</v>
      </c>
    </row>
    <row r="1783" spans="1:19" x14ac:dyDescent="0.25">
      <c r="A1783" t="s">
        <v>59</v>
      </c>
      <c r="B1783" t="s">
        <v>60</v>
      </c>
      <c r="C1783" t="s">
        <v>32</v>
      </c>
      <c r="D1783" t="s">
        <v>33</v>
      </c>
      <c r="E1783" t="s">
        <v>204</v>
      </c>
      <c r="F1783" t="s">
        <v>35</v>
      </c>
      <c r="G1783" t="s">
        <v>35</v>
      </c>
      <c r="H1783" t="s">
        <v>35</v>
      </c>
      <c r="J1783" t="s">
        <v>2166</v>
      </c>
      <c r="K1783" t="s">
        <v>1092</v>
      </c>
      <c r="M1783">
        <v>0.5</v>
      </c>
      <c r="N1783">
        <v>73</v>
      </c>
      <c r="O1783" t="s">
        <v>61</v>
      </c>
      <c r="Q1783" t="s">
        <v>552</v>
      </c>
      <c r="R1783" t="s">
        <v>85</v>
      </c>
      <c r="S1783" t="s">
        <v>86</v>
      </c>
    </row>
    <row r="1784" spans="1:19" x14ac:dyDescent="0.25">
      <c r="A1784" t="s">
        <v>30</v>
      </c>
      <c r="B1784" t="s">
        <v>31</v>
      </c>
      <c r="C1784" t="s">
        <v>32</v>
      </c>
      <c r="D1784" t="s">
        <v>33</v>
      </c>
      <c r="E1784" t="s">
        <v>204</v>
      </c>
      <c r="F1784" t="s">
        <v>35</v>
      </c>
      <c r="G1784" t="s">
        <v>35</v>
      </c>
      <c r="H1784" t="s">
        <v>35</v>
      </c>
      <c r="J1784" t="s">
        <v>2166</v>
      </c>
      <c r="K1784" t="s">
        <v>1092</v>
      </c>
      <c r="M1784">
        <v>5.49</v>
      </c>
      <c r="N1784">
        <v>45</v>
      </c>
      <c r="O1784" t="s">
        <v>52</v>
      </c>
      <c r="Q1784" t="s">
        <v>716</v>
      </c>
      <c r="R1784" t="s">
        <v>85</v>
      </c>
      <c r="S1784" t="s">
        <v>86</v>
      </c>
    </row>
    <row r="1785" spans="1:19" x14ac:dyDescent="0.25">
      <c r="A1785" t="s">
        <v>30</v>
      </c>
      <c r="B1785" t="s">
        <v>31</v>
      </c>
      <c r="C1785" t="s">
        <v>32</v>
      </c>
      <c r="D1785" t="s">
        <v>33</v>
      </c>
      <c r="E1785" t="s">
        <v>204</v>
      </c>
      <c r="F1785" t="s">
        <v>35</v>
      </c>
      <c r="G1785" t="s">
        <v>35</v>
      </c>
      <c r="H1785" t="s">
        <v>35</v>
      </c>
      <c r="J1785" t="s">
        <v>2166</v>
      </c>
      <c r="K1785" t="s">
        <v>1092</v>
      </c>
      <c r="M1785">
        <v>6.84</v>
      </c>
      <c r="N1785">
        <v>73</v>
      </c>
      <c r="O1785" t="s">
        <v>61</v>
      </c>
      <c r="Q1785" t="s">
        <v>552</v>
      </c>
      <c r="R1785" t="s">
        <v>85</v>
      </c>
      <c r="S1785" t="s">
        <v>86</v>
      </c>
    </row>
    <row r="1786" spans="1:19" x14ac:dyDescent="0.25">
      <c r="A1786" t="s">
        <v>44</v>
      </c>
      <c r="B1786" t="s">
        <v>51</v>
      </c>
      <c r="C1786" t="s">
        <v>32</v>
      </c>
      <c r="D1786" t="s">
        <v>33</v>
      </c>
      <c r="E1786" t="s">
        <v>204</v>
      </c>
      <c r="F1786" t="s">
        <v>35</v>
      </c>
      <c r="G1786" t="s">
        <v>35</v>
      </c>
      <c r="H1786" t="s">
        <v>35</v>
      </c>
      <c r="J1786" t="s">
        <v>2167</v>
      </c>
      <c r="K1786" t="s">
        <v>1092</v>
      </c>
      <c r="M1786">
        <v>8.35</v>
      </c>
      <c r="N1786">
        <v>28</v>
      </c>
      <c r="O1786" t="s">
        <v>46</v>
      </c>
      <c r="Q1786" t="s">
        <v>176</v>
      </c>
      <c r="R1786" t="s">
        <v>85</v>
      </c>
      <c r="S1786" t="s">
        <v>86</v>
      </c>
    </row>
    <row r="1787" spans="1:19" x14ac:dyDescent="0.25">
      <c r="A1787" t="s">
        <v>44</v>
      </c>
      <c r="B1787" t="s">
        <v>3</v>
      </c>
      <c r="C1787" t="s">
        <v>32</v>
      </c>
      <c r="D1787" t="s">
        <v>33</v>
      </c>
      <c r="E1787" t="s">
        <v>204</v>
      </c>
      <c r="F1787" t="s">
        <v>35</v>
      </c>
      <c r="G1787" t="s">
        <v>35</v>
      </c>
      <c r="H1787" t="s">
        <v>35</v>
      </c>
      <c r="J1787" t="s">
        <v>2167</v>
      </c>
      <c r="K1787" t="s">
        <v>1092</v>
      </c>
      <c r="M1787">
        <v>2.9</v>
      </c>
      <c r="N1787">
        <v>18</v>
      </c>
      <c r="O1787" t="s">
        <v>46</v>
      </c>
      <c r="Q1787" t="s">
        <v>1476</v>
      </c>
      <c r="R1787" t="s">
        <v>2124</v>
      </c>
      <c r="S1787" t="s">
        <v>213</v>
      </c>
    </row>
    <row r="1788" spans="1:19" x14ac:dyDescent="0.25">
      <c r="A1788" t="s">
        <v>44</v>
      </c>
      <c r="B1788" t="s">
        <v>3</v>
      </c>
      <c r="C1788" t="s">
        <v>32</v>
      </c>
      <c r="D1788" t="s">
        <v>33</v>
      </c>
      <c r="E1788" t="s">
        <v>204</v>
      </c>
      <c r="F1788" t="s">
        <v>35</v>
      </c>
      <c r="G1788" t="s">
        <v>35</v>
      </c>
      <c r="H1788" t="s">
        <v>35</v>
      </c>
      <c r="J1788" t="s">
        <v>2168</v>
      </c>
      <c r="K1788" t="s">
        <v>1092</v>
      </c>
      <c r="M1788">
        <v>0.15</v>
      </c>
      <c r="N1788">
        <v>428</v>
      </c>
      <c r="O1788" t="s">
        <v>294</v>
      </c>
      <c r="Q1788" t="s">
        <v>1325</v>
      </c>
      <c r="R1788" t="s">
        <v>2169</v>
      </c>
      <c r="S1788" t="s">
        <v>2170</v>
      </c>
    </row>
    <row r="1789" spans="1:19" x14ac:dyDescent="0.25">
      <c r="A1789" t="s">
        <v>59</v>
      </c>
      <c r="B1789" t="s">
        <v>60</v>
      </c>
      <c r="C1789" t="s">
        <v>32</v>
      </c>
      <c r="D1789" t="s">
        <v>33</v>
      </c>
      <c r="E1789" t="s">
        <v>204</v>
      </c>
      <c r="F1789" t="s">
        <v>35</v>
      </c>
      <c r="G1789" t="s">
        <v>35</v>
      </c>
      <c r="H1789" t="s">
        <v>35</v>
      </c>
      <c r="J1789" t="s">
        <v>2171</v>
      </c>
      <c r="K1789" t="s">
        <v>1092</v>
      </c>
      <c r="M1789">
        <v>0.4</v>
      </c>
      <c r="N1789">
        <v>64</v>
      </c>
      <c r="O1789" t="s">
        <v>61</v>
      </c>
      <c r="Q1789" t="s">
        <v>381</v>
      </c>
      <c r="R1789" t="s">
        <v>1208</v>
      </c>
      <c r="S1789" t="s">
        <v>1209</v>
      </c>
    </row>
    <row r="1790" spans="1:19" x14ac:dyDescent="0.25">
      <c r="A1790" t="s">
        <v>30</v>
      </c>
      <c r="B1790" t="s">
        <v>31</v>
      </c>
      <c r="C1790" t="s">
        <v>32</v>
      </c>
      <c r="D1790" t="s">
        <v>33</v>
      </c>
      <c r="E1790" t="s">
        <v>204</v>
      </c>
      <c r="F1790" t="s">
        <v>35</v>
      </c>
      <c r="G1790" t="s">
        <v>35</v>
      </c>
      <c r="H1790" t="s">
        <v>35</v>
      </c>
      <c r="J1790" t="s">
        <v>2172</v>
      </c>
      <c r="K1790" t="s">
        <v>1092</v>
      </c>
      <c r="M1790">
        <v>1.26</v>
      </c>
      <c r="N1790">
        <v>47</v>
      </c>
      <c r="O1790" t="s">
        <v>52</v>
      </c>
      <c r="Q1790" t="s">
        <v>132</v>
      </c>
      <c r="R1790" t="s">
        <v>1208</v>
      </c>
      <c r="S1790" t="s">
        <v>1209</v>
      </c>
    </row>
    <row r="1791" spans="1:19" x14ac:dyDescent="0.25">
      <c r="A1791" t="s">
        <v>30</v>
      </c>
      <c r="B1791" t="s">
        <v>31</v>
      </c>
      <c r="C1791" t="s">
        <v>32</v>
      </c>
      <c r="D1791" t="s">
        <v>33</v>
      </c>
      <c r="E1791" t="s">
        <v>204</v>
      </c>
      <c r="F1791" t="s">
        <v>35</v>
      </c>
      <c r="G1791" t="s">
        <v>35</v>
      </c>
      <c r="H1791" t="s">
        <v>35</v>
      </c>
      <c r="J1791" t="s">
        <v>2173</v>
      </c>
      <c r="K1791" t="s">
        <v>1092</v>
      </c>
      <c r="M1791">
        <v>2.25</v>
      </c>
      <c r="N1791">
        <v>47</v>
      </c>
      <c r="O1791" t="s">
        <v>52</v>
      </c>
      <c r="Q1791" t="s">
        <v>132</v>
      </c>
      <c r="R1791" t="s">
        <v>103</v>
      </c>
      <c r="S1791" t="s">
        <v>104</v>
      </c>
    </row>
    <row r="1792" spans="1:19" x14ac:dyDescent="0.25">
      <c r="A1792" t="s">
        <v>59</v>
      </c>
      <c r="B1792" t="s">
        <v>60</v>
      </c>
      <c r="C1792" t="s">
        <v>32</v>
      </c>
      <c r="D1792" t="s">
        <v>33</v>
      </c>
      <c r="E1792" t="s">
        <v>204</v>
      </c>
      <c r="F1792" t="s">
        <v>35</v>
      </c>
      <c r="G1792" t="s">
        <v>35</v>
      </c>
      <c r="H1792" t="s">
        <v>35</v>
      </c>
      <c r="J1792" t="s">
        <v>2174</v>
      </c>
      <c r="K1792" t="s">
        <v>1092</v>
      </c>
      <c r="M1792">
        <v>0.5</v>
      </c>
      <c r="N1792">
        <v>72</v>
      </c>
      <c r="O1792" t="s">
        <v>61</v>
      </c>
      <c r="Q1792" t="s">
        <v>63</v>
      </c>
      <c r="R1792" t="s">
        <v>85</v>
      </c>
      <c r="S1792" t="s">
        <v>86</v>
      </c>
    </row>
    <row r="1793" spans="1:19" x14ac:dyDescent="0.25">
      <c r="A1793" t="s">
        <v>44</v>
      </c>
      <c r="B1793" t="s">
        <v>51</v>
      </c>
      <c r="C1793" t="s">
        <v>32</v>
      </c>
      <c r="D1793" t="s">
        <v>33</v>
      </c>
      <c r="E1793" t="s">
        <v>204</v>
      </c>
      <c r="F1793" t="s">
        <v>35</v>
      </c>
      <c r="G1793" t="s">
        <v>35</v>
      </c>
      <c r="H1793" t="s">
        <v>35</v>
      </c>
      <c r="J1793" t="s">
        <v>2174</v>
      </c>
      <c r="K1793" t="s">
        <v>1092</v>
      </c>
      <c r="M1793">
        <v>5</v>
      </c>
      <c r="N1793">
        <v>28</v>
      </c>
      <c r="O1793" t="s">
        <v>46</v>
      </c>
      <c r="Q1793" t="s">
        <v>176</v>
      </c>
      <c r="R1793" t="s">
        <v>85</v>
      </c>
      <c r="S1793" t="s">
        <v>86</v>
      </c>
    </row>
    <row r="1794" spans="1:19" x14ac:dyDescent="0.25">
      <c r="A1794" t="s">
        <v>30</v>
      </c>
      <c r="B1794" t="s">
        <v>31</v>
      </c>
      <c r="C1794" t="s">
        <v>32</v>
      </c>
      <c r="D1794" t="s">
        <v>33</v>
      </c>
      <c r="E1794" t="s">
        <v>204</v>
      </c>
      <c r="F1794" t="s">
        <v>35</v>
      </c>
      <c r="G1794" t="s">
        <v>35</v>
      </c>
      <c r="H1794" t="s">
        <v>35</v>
      </c>
      <c r="J1794" t="s">
        <v>2175</v>
      </c>
      <c r="K1794" t="s">
        <v>1092</v>
      </c>
      <c r="M1794">
        <v>1.325</v>
      </c>
      <c r="N1794">
        <v>759</v>
      </c>
      <c r="O1794" t="s">
        <v>575</v>
      </c>
      <c r="Q1794" t="s">
        <v>2176</v>
      </c>
      <c r="R1794" t="s">
        <v>85</v>
      </c>
      <c r="S1794" t="s">
        <v>86</v>
      </c>
    </row>
    <row r="1795" spans="1:19" x14ac:dyDescent="0.25">
      <c r="A1795" t="s">
        <v>59</v>
      </c>
      <c r="B1795" t="s">
        <v>60</v>
      </c>
      <c r="C1795" t="s">
        <v>32</v>
      </c>
      <c r="D1795" t="s">
        <v>33</v>
      </c>
      <c r="E1795" t="s">
        <v>204</v>
      </c>
      <c r="F1795" t="s">
        <v>35</v>
      </c>
      <c r="G1795" t="s">
        <v>35</v>
      </c>
      <c r="H1795" t="s">
        <v>35</v>
      </c>
      <c r="J1795" t="s">
        <v>2177</v>
      </c>
      <c r="K1795" t="s">
        <v>1092</v>
      </c>
      <c r="M1795">
        <v>3.95</v>
      </c>
      <c r="N1795">
        <v>100</v>
      </c>
      <c r="O1795" t="s">
        <v>106</v>
      </c>
      <c r="Q1795" t="s">
        <v>1112</v>
      </c>
      <c r="R1795" t="s">
        <v>193</v>
      </c>
      <c r="S1795" t="s">
        <v>181</v>
      </c>
    </row>
    <row r="1796" spans="1:19" x14ac:dyDescent="0.25">
      <c r="A1796" t="s">
        <v>30</v>
      </c>
      <c r="B1796" t="s">
        <v>31</v>
      </c>
      <c r="C1796" t="s">
        <v>32</v>
      </c>
      <c r="D1796" t="s">
        <v>33</v>
      </c>
      <c r="E1796" t="s">
        <v>204</v>
      </c>
      <c r="F1796" t="s">
        <v>35</v>
      </c>
      <c r="G1796" t="s">
        <v>35</v>
      </c>
      <c r="H1796" t="s">
        <v>35</v>
      </c>
      <c r="J1796" t="s">
        <v>2178</v>
      </c>
      <c r="K1796" t="s">
        <v>1092</v>
      </c>
      <c r="M1796">
        <v>4.95</v>
      </c>
      <c r="N1796">
        <v>127</v>
      </c>
      <c r="O1796" t="s">
        <v>38</v>
      </c>
      <c r="Q1796" t="s">
        <v>2145</v>
      </c>
      <c r="R1796" t="s">
        <v>85</v>
      </c>
      <c r="S1796" t="s">
        <v>86</v>
      </c>
    </row>
    <row r="1797" spans="1:19" x14ac:dyDescent="0.25">
      <c r="A1797" t="s">
        <v>44</v>
      </c>
      <c r="B1797" t="s">
        <v>3</v>
      </c>
      <c r="C1797" t="s">
        <v>32</v>
      </c>
      <c r="D1797" t="s">
        <v>33</v>
      </c>
      <c r="E1797" t="s">
        <v>204</v>
      </c>
      <c r="F1797" t="s">
        <v>35</v>
      </c>
      <c r="G1797" t="s">
        <v>35</v>
      </c>
      <c r="H1797" t="s">
        <v>35</v>
      </c>
      <c r="J1797" t="s">
        <v>2178</v>
      </c>
      <c r="K1797" t="s">
        <v>1092</v>
      </c>
      <c r="M1797">
        <v>1</v>
      </c>
      <c r="N1797">
        <v>278</v>
      </c>
      <c r="O1797" t="s">
        <v>5</v>
      </c>
      <c r="Q1797" t="s">
        <v>1724</v>
      </c>
      <c r="R1797" t="s">
        <v>2179</v>
      </c>
      <c r="S1797" t="s">
        <v>205</v>
      </c>
    </row>
    <row r="1798" spans="1:19" x14ac:dyDescent="0.25">
      <c r="A1798" t="s">
        <v>59</v>
      </c>
      <c r="B1798" t="s">
        <v>60</v>
      </c>
      <c r="C1798" t="s">
        <v>32</v>
      </c>
      <c r="D1798" t="s">
        <v>33</v>
      </c>
      <c r="E1798" t="s">
        <v>204</v>
      </c>
      <c r="F1798" t="s">
        <v>35</v>
      </c>
      <c r="G1798" t="s">
        <v>35</v>
      </c>
      <c r="H1798" t="s">
        <v>35</v>
      </c>
      <c r="J1798" t="s">
        <v>2180</v>
      </c>
      <c r="K1798" t="s">
        <v>1092</v>
      </c>
      <c r="M1798">
        <v>5.5</v>
      </c>
      <c r="N1798">
        <v>68</v>
      </c>
      <c r="O1798" t="s">
        <v>61</v>
      </c>
      <c r="Q1798" t="s">
        <v>146</v>
      </c>
      <c r="R1798" t="s">
        <v>193</v>
      </c>
      <c r="S1798" t="s">
        <v>181</v>
      </c>
    </row>
    <row r="1799" spans="1:19" x14ac:dyDescent="0.25">
      <c r="A1799" t="s">
        <v>30</v>
      </c>
      <c r="B1799" t="s">
        <v>31</v>
      </c>
      <c r="C1799" t="s">
        <v>32</v>
      </c>
      <c r="D1799" t="s">
        <v>33</v>
      </c>
      <c r="E1799" t="s">
        <v>204</v>
      </c>
      <c r="F1799" t="s">
        <v>35</v>
      </c>
      <c r="G1799" t="s">
        <v>35</v>
      </c>
      <c r="H1799" t="s">
        <v>35</v>
      </c>
      <c r="J1799" t="s">
        <v>2180</v>
      </c>
      <c r="K1799" t="s">
        <v>1092</v>
      </c>
      <c r="M1799">
        <v>2.9249999999999998</v>
      </c>
      <c r="N1799">
        <v>76</v>
      </c>
      <c r="O1799" t="s">
        <v>61</v>
      </c>
      <c r="Q1799" t="s">
        <v>234</v>
      </c>
      <c r="R1799" t="s">
        <v>103</v>
      </c>
      <c r="S1799" t="s">
        <v>104</v>
      </c>
    </row>
    <row r="1800" spans="1:19" x14ac:dyDescent="0.25">
      <c r="A1800" t="s">
        <v>59</v>
      </c>
      <c r="B1800" t="s">
        <v>60</v>
      </c>
      <c r="C1800" t="s">
        <v>32</v>
      </c>
      <c r="D1800" t="s">
        <v>33</v>
      </c>
      <c r="E1800" t="s">
        <v>204</v>
      </c>
      <c r="F1800" t="s">
        <v>35</v>
      </c>
      <c r="G1800" t="s">
        <v>35</v>
      </c>
      <c r="H1800" t="s">
        <v>35</v>
      </c>
      <c r="J1800" t="s">
        <v>2180</v>
      </c>
      <c r="K1800" t="s">
        <v>1092</v>
      </c>
      <c r="M1800">
        <v>5</v>
      </c>
      <c r="N1800">
        <v>91</v>
      </c>
      <c r="O1800" t="s">
        <v>106</v>
      </c>
      <c r="Q1800" t="s">
        <v>1147</v>
      </c>
      <c r="R1800" t="s">
        <v>169</v>
      </c>
      <c r="S1800" t="s">
        <v>123</v>
      </c>
    </row>
    <row r="1801" spans="1:19" x14ac:dyDescent="0.25">
      <c r="A1801" t="s">
        <v>59</v>
      </c>
      <c r="B1801" t="s">
        <v>60</v>
      </c>
      <c r="C1801" t="s">
        <v>32</v>
      </c>
      <c r="D1801" t="s">
        <v>33</v>
      </c>
      <c r="E1801" t="s">
        <v>204</v>
      </c>
      <c r="F1801" t="s">
        <v>35</v>
      </c>
      <c r="G1801" t="s">
        <v>35</v>
      </c>
      <c r="H1801" t="s">
        <v>35</v>
      </c>
      <c r="J1801" t="s">
        <v>2180</v>
      </c>
      <c r="K1801" t="s">
        <v>1092</v>
      </c>
      <c r="M1801">
        <v>5.5</v>
      </c>
      <c r="N1801">
        <v>79</v>
      </c>
      <c r="O1801" t="s">
        <v>61</v>
      </c>
      <c r="Q1801" t="s">
        <v>1156</v>
      </c>
      <c r="R1801" t="s">
        <v>193</v>
      </c>
      <c r="S1801" t="s">
        <v>181</v>
      </c>
    </row>
    <row r="1802" spans="1:19" x14ac:dyDescent="0.25">
      <c r="A1802" t="s">
        <v>30</v>
      </c>
      <c r="B1802" t="s">
        <v>31</v>
      </c>
      <c r="C1802" t="s">
        <v>32</v>
      </c>
      <c r="D1802" t="s">
        <v>33</v>
      </c>
      <c r="E1802" t="s">
        <v>204</v>
      </c>
      <c r="F1802" t="s">
        <v>35</v>
      </c>
      <c r="G1802" t="s">
        <v>35</v>
      </c>
      <c r="H1802" t="s">
        <v>35</v>
      </c>
      <c r="J1802" t="s">
        <v>2181</v>
      </c>
      <c r="K1802" t="s">
        <v>1092</v>
      </c>
      <c r="M1802">
        <v>4.8600000000000003</v>
      </c>
      <c r="N1802">
        <v>45</v>
      </c>
      <c r="O1802" t="s">
        <v>52</v>
      </c>
      <c r="Q1802" t="s">
        <v>716</v>
      </c>
      <c r="R1802" t="s">
        <v>85</v>
      </c>
      <c r="S1802" t="s">
        <v>86</v>
      </c>
    </row>
    <row r="1803" spans="1:19" x14ac:dyDescent="0.25">
      <c r="A1803" t="s">
        <v>59</v>
      </c>
      <c r="B1803" t="s">
        <v>60</v>
      </c>
      <c r="C1803" t="s">
        <v>32</v>
      </c>
      <c r="D1803" t="s">
        <v>33</v>
      </c>
      <c r="E1803" t="s">
        <v>204</v>
      </c>
      <c r="F1803" t="s">
        <v>35</v>
      </c>
      <c r="G1803" t="s">
        <v>35</v>
      </c>
      <c r="H1803" t="s">
        <v>35</v>
      </c>
      <c r="J1803" t="s">
        <v>2182</v>
      </c>
      <c r="K1803" t="s">
        <v>1092</v>
      </c>
      <c r="M1803">
        <v>0.2</v>
      </c>
      <c r="N1803">
        <v>292</v>
      </c>
      <c r="O1803" t="s">
        <v>5</v>
      </c>
      <c r="Q1803" t="s">
        <v>1234</v>
      </c>
      <c r="R1803" t="s">
        <v>1208</v>
      </c>
      <c r="S1803" t="s">
        <v>1209</v>
      </c>
    </row>
    <row r="1804" spans="1:19" x14ac:dyDescent="0.25">
      <c r="A1804" t="s">
        <v>44</v>
      </c>
      <c r="B1804" t="s">
        <v>51</v>
      </c>
      <c r="C1804" t="s">
        <v>32</v>
      </c>
      <c r="D1804" t="s">
        <v>33</v>
      </c>
      <c r="E1804" t="s">
        <v>204</v>
      </c>
      <c r="F1804" t="s">
        <v>35</v>
      </c>
      <c r="G1804" t="s">
        <v>35</v>
      </c>
      <c r="H1804" t="s">
        <v>35</v>
      </c>
      <c r="J1804" t="s">
        <v>2052</v>
      </c>
      <c r="K1804" t="s">
        <v>1092</v>
      </c>
      <c r="M1804">
        <v>11</v>
      </c>
      <c r="N1804">
        <v>28</v>
      </c>
      <c r="O1804" t="s">
        <v>46</v>
      </c>
      <c r="Q1804" t="s">
        <v>176</v>
      </c>
      <c r="R1804" t="s">
        <v>85</v>
      </c>
      <c r="S1804" t="s">
        <v>86</v>
      </c>
    </row>
    <row r="1805" spans="1:19" x14ac:dyDescent="0.25">
      <c r="A1805" t="s">
        <v>59</v>
      </c>
      <c r="B1805" t="s">
        <v>60</v>
      </c>
      <c r="C1805" t="s">
        <v>32</v>
      </c>
      <c r="D1805" t="s">
        <v>33</v>
      </c>
      <c r="E1805" t="s">
        <v>204</v>
      </c>
      <c r="F1805" t="s">
        <v>35</v>
      </c>
      <c r="G1805" t="s">
        <v>35</v>
      </c>
      <c r="H1805" t="s">
        <v>35</v>
      </c>
      <c r="J1805" t="s">
        <v>2183</v>
      </c>
      <c r="K1805" t="s">
        <v>1092</v>
      </c>
      <c r="M1805">
        <v>0.6</v>
      </c>
      <c r="N1805">
        <v>72</v>
      </c>
      <c r="O1805" t="s">
        <v>61</v>
      </c>
      <c r="Q1805" t="s">
        <v>63</v>
      </c>
      <c r="R1805" t="s">
        <v>85</v>
      </c>
      <c r="S1805" t="s">
        <v>86</v>
      </c>
    </row>
    <row r="1806" spans="1:19" x14ac:dyDescent="0.25">
      <c r="A1806" t="s">
        <v>30</v>
      </c>
      <c r="B1806" t="s">
        <v>31</v>
      </c>
      <c r="C1806" t="s">
        <v>32</v>
      </c>
      <c r="D1806" t="s">
        <v>33</v>
      </c>
      <c r="E1806" t="s">
        <v>204</v>
      </c>
      <c r="F1806" t="s">
        <v>35</v>
      </c>
      <c r="G1806" t="s">
        <v>35</v>
      </c>
      <c r="H1806" t="s">
        <v>35</v>
      </c>
      <c r="J1806" t="s">
        <v>2184</v>
      </c>
      <c r="K1806" t="s">
        <v>1092</v>
      </c>
      <c r="M1806">
        <v>4.5</v>
      </c>
      <c r="N1806">
        <v>98</v>
      </c>
      <c r="O1806" t="s">
        <v>106</v>
      </c>
      <c r="Q1806" t="s">
        <v>108</v>
      </c>
      <c r="R1806" t="s">
        <v>169</v>
      </c>
      <c r="S1806" t="s">
        <v>123</v>
      </c>
    </row>
    <row r="1807" spans="1:19" x14ac:dyDescent="0.25">
      <c r="A1807" t="s">
        <v>59</v>
      </c>
      <c r="B1807" t="s">
        <v>60</v>
      </c>
      <c r="C1807" t="s">
        <v>32</v>
      </c>
      <c r="D1807" t="s">
        <v>33</v>
      </c>
      <c r="E1807" t="s">
        <v>204</v>
      </c>
      <c r="F1807" t="s">
        <v>35</v>
      </c>
      <c r="G1807" t="s">
        <v>35</v>
      </c>
      <c r="H1807" t="s">
        <v>35</v>
      </c>
      <c r="J1807" t="s">
        <v>2184</v>
      </c>
      <c r="K1807" t="s">
        <v>1092</v>
      </c>
      <c r="M1807">
        <v>1.1000000000000001</v>
      </c>
      <c r="N1807">
        <v>98</v>
      </c>
      <c r="O1807" t="s">
        <v>106</v>
      </c>
      <c r="Q1807" t="s">
        <v>108</v>
      </c>
      <c r="R1807" t="s">
        <v>169</v>
      </c>
      <c r="S1807" t="s">
        <v>123</v>
      </c>
    </row>
    <row r="1808" spans="1:19" x14ac:dyDescent="0.25">
      <c r="A1808" t="s">
        <v>30</v>
      </c>
      <c r="B1808" t="s">
        <v>31</v>
      </c>
      <c r="C1808" t="s">
        <v>32</v>
      </c>
      <c r="D1808" t="s">
        <v>33</v>
      </c>
      <c r="F1808" t="s">
        <v>35</v>
      </c>
      <c r="G1808" t="s">
        <v>35</v>
      </c>
      <c r="H1808" t="s">
        <v>35</v>
      </c>
      <c r="J1808" t="s">
        <v>2185</v>
      </c>
      <c r="K1808" t="s">
        <v>1092</v>
      </c>
      <c r="M1808">
        <v>5.9850000000000003</v>
      </c>
      <c r="N1808">
        <v>1220</v>
      </c>
      <c r="O1808" t="s">
        <v>575</v>
      </c>
      <c r="Q1808" t="s">
        <v>1525</v>
      </c>
      <c r="R1808" t="s">
        <v>2187</v>
      </c>
      <c r="S1808" t="s">
        <v>2188</v>
      </c>
    </row>
    <row r="1809" spans="1:19" x14ac:dyDescent="0.25">
      <c r="A1809" t="s">
        <v>59</v>
      </c>
      <c r="B1809" t="s">
        <v>60</v>
      </c>
      <c r="C1809" t="s">
        <v>32</v>
      </c>
      <c r="D1809" t="s">
        <v>33</v>
      </c>
      <c r="F1809" t="s">
        <v>35</v>
      </c>
      <c r="G1809" t="s">
        <v>35</v>
      </c>
      <c r="H1809" t="s">
        <v>35</v>
      </c>
      <c r="J1809" t="s">
        <v>2185</v>
      </c>
      <c r="K1809" t="s">
        <v>1092</v>
      </c>
      <c r="M1809">
        <v>5.5</v>
      </c>
      <c r="N1809">
        <v>1203</v>
      </c>
      <c r="O1809" t="s">
        <v>575</v>
      </c>
      <c r="Q1809" t="s">
        <v>2190</v>
      </c>
      <c r="R1809" t="s">
        <v>193</v>
      </c>
      <c r="S1809" t="s">
        <v>181</v>
      </c>
    </row>
    <row r="1810" spans="1:19" x14ac:dyDescent="0.25">
      <c r="A1810" t="s">
        <v>59</v>
      </c>
      <c r="B1810" t="s">
        <v>60</v>
      </c>
      <c r="C1810" t="s">
        <v>32</v>
      </c>
      <c r="D1810" t="s">
        <v>33</v>
      </c>
      <c r="F1810" t="s">
        <v>35</v>
      </c>
      <c r="G1810" t="s">
        <v>35</v>
      </c>
      <c r="H1810" t="s">
        <v>35</v>
      </c>
      <c r="J1810" t="s">
        <v>2185</v>
      </c>
      <c r="K1810" t="s">
        <v>1092</v>
      </c>
      <c r="M1810">
        <v>5.5</v>
      </c>
      <c r="N1810">
        <v>1234</v>
      </c>
      <c r="O1810" t="s">
        <v>575</v>
      </c>
      <c r="Q1810" t="s">
        <v>2186</v>
      </c>
      <c r="R1810" t="s">
        <v>193</v>
      </c>
      <c r="S1810" t="s">
        <v>181</v>
      </c>
    </row>
    <row r="1811" spans="1:19" x14ac:dyDescent="0.25">
      <c r="A1811" t="s">
        <v>59</v>
      </c>
      <c r="B1811" t="s">
        <v>60</v>
      </c>
      <c r="C1811" t="s">
        <v>32</v>
      </c>
      <c r="D1811" t="s">
        <v>33</v>
      </c>
      <c r="F1811" t="s">
        <v>35</v>
      </c>
      <c r="G1811" t="s">
        <v>35</v>
      </c>
      <c r="H1811" t="s">
        <v>35</v>
      </c>
      <c r="J1811" t="s">
        <v>2185</v>
      </c>
      <c r="K1811" t="s">
        <v>1092</v>
      </c>
      <c r="M1811">
        <v>2.25</v>
      </c>
      <c r="N1811">
        <v>1252</v>
      </c>
      <c r="O1811" t="s">
        <v>575</v>
      </c>
      <c r="Q1811" t="s">
        <v>1245</v>
      </c>
      <c r="R1811" t="s">
        <v>1529</v>
      </c>
      <c r="S1811" t="s">
        <v>215</v>
      </c>
    </row>
    <row r="1812" spans="1:19" x14ac:dyDescent="0.25">
      <c r="A1812" t="s">
        <v>30</v>
      </c>
      <c r="B1812" t="s">
        <v>31</v>
      </c>
      <c r="C1812" t="s">
        <v>32</v>
      </c>
      <c r="D1812" t="s">
        <v>33</v>
      </c>
      <c r="F1812" t="s">
        <v>35</v>
      </c>
      <c r="G1812" t="s">
        <v>35</v>
      </c>
      <c r="H1812" t="s">
        <v>35</v>
      </c>
      <c r="J1812" t="s">
        <v>2185</v>
      </c>
      <c r="K1812" t="s">
        <v>1092</v>
      </c>
      <c r="M1812">
        <v>2.4300000000000002</v>
      </c>
      <c r="N1812">
        <v>1500</v>
      </c>
      <c r="O1812" t="s">
        <v>575</v>
      </c>
      <c r="Q1812" t="s">
        <v>2189</v>
      </c>
      <c r="R1812" t="s">
        <v>1529</v>
      </c>
      <c r="S1812" t="s">
        <v>215</v>
      </c>
    </row>
    <row r="1813" spans="1:19" x14ac:dyDescent="0.25">
      <c r="A1813" t="s">
        <v>30</v>
      </c>
      <c r="B1813" t="s">
        <v>31</v>
      </c>
      <c r="C1813" t="s">
        <v>32</v>
      </c>
      <c r="D1813" t="s">
        <v>33</v>
      </c>
      <c r="F1813" t="s">
        <v>35</v>
      </c>
      <c r="G1813" t="s">
        <v>35</v>
      </c>
      <c r="H1813" t="s">
        <v>35</v>
      </c>
      <c r="J1813" t="s">
        <v>2191</v>
      </c>
      <c r="K1813" t="s">
        <v>1092</v>
      </c>
      <c r="M1813">
        <v>1.08</v>
      </c>
      <c r="N1813">
        <v>213</v>
      </c>
      <c r="O1813" t="s">
        <v>5</v>
      </c>
      <c r="Q1813" t="s">
        <v>1298</v>
      </c>
      <c r="R1813" t="s">
        <v>199</v>
      </c>
      <c r="S1813" t="s">
        <v>200</v>
      </c>
    </row>
    <row r="1814" spans="1:19" x14ac:dyDescent="0.25">
      <c r="A1814" t="s">
        <v>59</v>
      </c>
      <c r="B1814" t="s">
        <v>60</v>
      </c>
      <c r="C1814" t="s">
        <v>32</v>
      </c>
      <c r="D1814" t="s">
        <v>33</v>
      </c>
      <c r="F1814" t="s">
        <v>35</v>
      </c>
      <c r="G1814" t="s">
        <v>35</v>
      </c>
      <c r="H1814" t="s">
        <v>35</v>
      </c>
      <c r="J1814" t="s">
        <v>2191</v>
      </c>
      <c r="K1814" t="s">
        <v>1092</v>
      </c>
      <c r="M1814">
        <v>2.5</v>
      </c>
      <c r="N1814">
        <v>72</v>
      </c>
      <c r="O1814" t="s">
        <v>61</v>
      </c>
      <c r="Q1814" t="s">
        <v>63</v>
      </c>
      <c r="R1814" t="s">
        <v>193</v>
      </c>
      <c r="S1814" t="s">
        <v>181</v>
      </c>
    </row>
    <row r="1815" spans="1:19" x14ac:dyDescent="0.25">
      <c r="A1815" t="s">
        <v>59</v>
      </c>
      <c r="B1815" t="s">
        <v>60</v>
      </c>
      <c r="C1815" t="s">
        <v>32</v>
      </c>
      <c r="D1815" t="s">
        <v>33</v>
      </c>
      <c r="F1815" t="s">
        <v>35</v>
      </c>
      <c r="G1815" t="s">
        <v>35</v>
      </c>
      <c r="H1815" t="s">
        <v>35</v>
      </c>
      <c r="J1815" t="s">
        <v>2192</v>
      </c>
      <c r="K1815" t="s">
        <v>1092</v>
      </c>
      <c r="M1815">
        <v>0.28000000000000003</v>
      </c>
      <c r="N1815">
        <v>2410</v>
      </c>
      <c r="O1815" t="s">
        <v>575</v>
      </c>
      <c r="Q1815" t="s">
        <v>2193</v>
      </c>
      <c r="R1815" t="s">
        <v>1447</v>
      </c>
      <c r="S1815" t="s">
        <v>109</v>
      </c>
    </row>
    <row r="1816" spans="1:19" x14ac:dyDescent="0.25">
      <c r="A1816" t="s">
        <v>44</v>
      </c>
      <c r="B1816" t="s">
        <v>3</v>
      </c>
      <c r="C1816" t="s">
        <v>32</v>
      </c>
      <c r="D1816" t="s">
        <v>33</v>
      </c>
      <c r="F1816" t="s">
        <v>35</v>
      </c>
      <c r="G1816" t="s">
        <v>35</v>
      </c>
      <c r="H1816" t="s">
        <v>35</v>
      </c>
      <c r="J1816" t="s">
        <v>2194</v>
      </c>
      <c r="K1816" t="s">
        <v>1092</v>
      </c>
      <c r="M1816">
        <v>0.35</v>
      </c>
      <c r="N1816">
        <v>436</v>
      </c>
      <c r="O1816" t="s">
        <v>294</v>
      </c>
      <c r="Q1816" t="s">
        <v>1787</v>
      </c>
      <c r="R1816" t="s">
        <v>103</v>
      </c>
      <c r="S1816" t="s">
        <v>104</v>
      </c>
    </row>
    <row r="1817" spans="1:19" x14ac:dyDescent="0.25">
      <c r="A1817" t="s">
        <v>59</v>
      </c>
      <c r="B1817" t="s">
        <v>60</v>
      </c>
      <c r="C1817" t="s">
        <v>32</v>
      </c>
      <c r="D1817" t="s">
        <v>33</v>
      </c>
      <c r="F1817" t="s">
        <v>35</v>
      </c>
      <c r="G1817" t="s">
        <v>35</v>
      </c>
      <c r="H1817" t="s">
        <v>35</v>
      </c>
      <c r="J1817" t="s">
        <v>2195</v>
      </c>
      <c r="K1817" t="s">
        <v>1092</v>
      </c>
      <c r="M1817">
        <v>6.0000000000000001E-3</v>
      </c>
      <c r="N1817">
        <v>1120</v>
      </c>
      <c r="O1817" t="s">
        <v>575</v>
      </c>
      <c r="Q1817" t="s">
        <v>2196</v>
      </c>
      <c r="R1817" t="s">
        <v>2197</v>
      </c>
      <c r="S1817" t="s">
        <v>2198</v>
      </c>
    </row>
    <row r="1818" spans="1:19" x14ac:dyDescent="0.25">
      <c r="A1818" t="s">
        <v>44</v>
      </c>
      <c r="B1818" t="s">
        <v>3</v>
      </c>
      <c r="C1818" t="s">
        <v>32</v>
      </c>
      <c r="D1818" t="s">
        <v>33</v>
      </c>
      <c r="F1818" t="s">
        <v>35</v>
      </c>
      <c r="G1818" t="s">
        <v>35</v>
      </c>
      <c r="H1818" t="s">
        <v>35</v>
      </c>
      <c r="J1818" t="s">
        <v>2195</v>
      </c>
      <c r="K1818" t="s">
        <v>1092</v>
      </c>
      <c r="M1818">
        <v>1</v>
      </c>
      <c r="N1818">
        <v>559</v>
      </c>
      <c r="O1818" t="s">
        <v>575</v>
      </c>
      <c r="Q1818" t="s">
        <v>2199</v>
      </c>
      <c r="R1818" t="s">
        <v>1252</v>
      </c>
      <c r="S1818" t="s">
        <v>81</v>
      </c>
    </row>
    <row r="1819" spans="1:19" x14ac:dyDescent="0.25">
      <c r="A1819" t="s">
        <v>59</v>
      </c>
      <c r="B1819" t="s">
        <v>60</v>
      </c>
      <c r="C1819" t="s">
        <v>32</v>
      </c>
      <c r="D1819" t="s">
        <v>33</v>
      </c>
      <c r="F1819" t="s">
        <v>35</v>
      </c>
      <c r="G1819" t="s">
        <v>35</v>
      </c>
      <c r="H1819" t="s">
        <v>35</v>
      </c>
      <c r="J1819" t="s">
        <v>2200</v>
      </c>
      <c r="K1819" t="s">
        <v>1092</v>
      </c>
      <c r="M1819">
        <v>0.55000000000000004</v>
      </c>
      <c r="N1819">
        <v>1902</v>
      </c>
      <c r="O1819" t="s">
        <v>575</v>
      </c>
      <c r="Q1819" t="s">
        <v>2201</v>
      </c>
      <c r="R1819" t="s">
        <v>49</v>
      </c>
      <c r="S1819" t="s">
        <v>50</v>
      </c>
    </row>
    <row r="1820" spans="1:19" x14ac:dyDescent="0.25">
      <c r="A1820" t="s">
        <v>59</v>
      </c>
      <c r="B1820" t="s">
        <v>31</v>
      </c>
      <c r="C1820" t="s">
        <v>32</v>
      </c>
      <c r="D1820" t="s">
        <v>33</v>
      </c>
      <c r="F1820" t="s">
        <v>35</v>
      </c>
      <c r="G1820" t="s">
        <v>35</v>
      </c>
      <c r="H1820" t="s">
        <v>35</v>
      </c>
      <c r="J1820" t="s">
        <v>2202</v>
      </c>
      <c r="K1820" t="s">
        <v>1092</v>
      </c>
      <c r="M1820">
        <v>0.45</v>
      </c>
      <c r="N1820">
        <v>99</v>
      </c>
      <c r="O1820" t="s">
        <v>106</v>
      </c>
      <c r="Q1820" t="s">
        <v>1216</v>
      </c>
      <c r="R1820" t="s">
        <v>1208</v>
      </c>
      <c r="S1820" t="s">
        <v>1209</v>
      </c>
    </row>
    <row r="1821" spans="1:19" x14ac:dyDescent="0.25">
      <c r="A1821" t="s">
        <v>59</v>
      </c>
      <c r="B1821" t="s">
        <v>60</v>
      </c>
      <c r="C1821" t="s">
        <v>32</v>
      </c>
      <c r="D1821" t="s">
        <v>33</v>
      </c>
      <c r="F1821" t="s">
        <v>35</v>
      </c>
      <c r="G1821" t="s">
        <v>35</v>
      </c>
      <c r="H1821" t="s">
        <v>35</v>
      </c>
      <c r="J1821" t="s">
        <v>2202</v>
      </c>
      <c r="K1821" t="s">
        <v>1092</v>
      </c>
      <c r="M1821">
        <v>0.75</v>
      </c>
      <c r="N1821">
        <v>99</v>
      </c>
      <c r="O1821" t="s">
        <v>106</v>
      </c>
      <c r="Q1821" t="s">
        <v>1216</v>
      </c>
      <c r="R1821" t="s">
        <v>1208</v>
      </c>
      <c r="S1821" t="s">
        <v>1209</v>
      </c>
    </row>
    <row r="1822" spans="1:19" x14ac:dyDescent="0.25">
      <c r="A1822" t="s">
        <v>59</v>
      </c>
      <c r="B1822" t="s">
        <v>31</v>
      </c>
      <c r="C1822" t="s">
        <v>32</v>
      </c>
      <c r="D1822" t="s">
        <v>33</v>
      </c>
      <c r="F1822" t="s">
        <v>35</v>
      </c>
      <c r="G1822" t="s">
        <v>35</v>
      </c>
      <c r="H1822" t="s">
        <v>35</v>
      </c>
      <c r="J1822" t="s">
        <v>2203</v>
      </c>
      <c r="K1822" t="s">
        <v>1144</v>
      </c>
      <c r="M1822">
        <v>7.5149999999999997</v>
      </c>
      <c r="N1822">
        <v>100</v>
      </c>
      <c r="O1822" t="s">
        <v>106</v>
      </c>
      <c r="Q1822" t="s">
        <v>1112</v>
      </c>
      <c r="R1822" t="s">
        <v>199</v>
      </c>
      <c r="S1822" t="s">
        <v>200</v>
      </c>
    </row>
    <row r="1823" spans="1:19" x14ac:dyDescent="0.25">
      <c r="A1823" t="s">
        <v>59</v>
      </c>
      <c r="B1823" t="s">
        <v>60</v>
      </c>
      <c r="C1823" t="s">
        <v>32</v>
      </c>
      <c r="D1823" t="s">
        <v>33</v>
      </c>
      <c r="F1823" t="s">
        <v>35</v>
      </c>
      <c r="G1823" t="s">
        <v>35</v>
      </c>
      <c r="H1823" t="s">
        <v>35</v>
      </c>
      <c r="J1823" t="s">
        <v>2203</v>
      </c>
      <c r="K1823" t="s">
        <v>1144</v>
      </c>
      <c r="M1823">
        <v>2.2000000000000002</v>
      </c>
      <c r="N1823">
        <v>100</v>
      </c>
      <c r="O1823" t="s">
        <v>106</v>
      </c>
      <c r="Q1823" t="s">
        <v>1112</v>
      </c>
      <c r="R1823" t="s">
        <v>199</v>
      </c>
      <c r="S1823" t="s">
        <v>200</v>
      </c>
    </row>
    <row r="1824" spans="1:19" x14ac:dyDescent="0.25">
      <c r="A1824" t="s">
        <v>30</v>
      </c>
      <c r="B1824" t="s">
        <v>31</v>
      </c>
      <c r="C1824" t="s">
        <v>32</v>
      </c>
      <c r="D1824" t="s">
        <v>33</v>
      </c>
      <c r="F1824" t="s">
        <v>35</v>
      </c>
      <c r="G1824" t="s">
        <v>35</v>
      </c>
      <c r="H1824" t="s">
        <v>35</v>
      </c>
      <c r="J1824" t="s">
        <v>2204</v>
      </c>
      <c r="K1824" t="s">
        <v>1092</v>
      </c>
      <c r="M1824">
        <v>2.6749999999999998</v>
      </c>
      <c r="N1824">
        <v>2489</v>
      </c>
      <c r="O1824" t="s">
        <v>575</v>
      </c>
      <c r="Q1824" t="s">
        <v>2205</v>
      </c>
      <c r="R1824" t="s">
        <v>1208</v>
      </c>
      <c r="S1824" t="s">
        <v>1209</v>
      </c>
    </row>
    <row r="1825" spans="1:19" x14ac:dyDescent="0.25">
      <c r="A1825" t="s">
        <v>59</v>
      </c>
      <c r="B1825" t="s">
        <v>60</v>
      </c>
      <c r="C1825" t="s">
        <v>32</v>
      </c>
      <c r="D1825" t="s">
        <v>33</v>
      </c>
      <c r="F1825" t="s">
        <v>35</v>
      </c>
      <c r="G1825" t="s">
        <v>35</v>
      </c>
      <c r="H1825" t="s">
        <v>35</v>
      </c>
      <c r="J1825" t="s">
        <v>2204</v>
      </c>
      <c r="K1825" t="s">
        <v>1092</v>
      </c>
      <c r="M1825">
        <v>0.749</v>
      </c>
      <c r="N1825">
        <v>2489</v>
      </c>
      <c r="O1825" t="s">
        <v>575</v>
      </c>
      <c r="Q1825" t="s">
        <v>2205</v>
      </c>
      <c r="R1825" t="s">
        <v>1208</v>
      </c>
      <c r="S1825" t="s">
        <v>1209</v>
      </c>
    </row>
    <row r="1826" spans="1:19" x14ac:dyDescent="0.25">
      <c r="A1826" t="s">
        <v>59</v>
      </c>
      <c r="B1826" t="s">
        <v>31</v>
      </c>
      <c r="C1826" t="s">
        <v>32</v>
      </c>
      <c r="D1826" t="s">
        <v>33</v>
      </c>
      <c r="F1826" t="s">
        <v>35</v>
      </c>
      <c r="G1826" t="s">
        <v>35</v>
      </c>
      <c r="H1826" t="s">
        <v>35</v>
      </c>
      <c r="J1826" t="s">
        <v>2206</v>
      </c>
      <c r="K1826" t="s">
        <v>1092</v>
      </c>
      <c r="M1826">
        <v>0.44500000000000001</v>
      </c>
      <c r="N1826">
        <v>2673</v>
      </c>
      <c r="O1826" t="s">
        <v>575</v>
      </c>
      <c r="Q1826" t="s">
        <v>1486</v>
      </c>
      <c r="R1826" t="s">
        <v>1487</v>
      </c>
      <c r="S1826" t="s">
        <v>1488</v>
      </c>
    </row>
    <row r="1827" spans="1:19" x14ac:dyDescent="0.25">
      <c r="A1827" t="s">
        <v>59</v>
      </c>
      <c r="B1827" t="s">
        <v>60</v>
      </c>
      <c r="C1827" t="s">
        <v>32</v>
      </c>
      <c r="D1827" t="s">
        <v>33</v>
      </c>
      <c r="F1827" t="s">
        <v>35</v>
      </c>
      <c r="G1827" t="s">
        <v>35</v>
      </c>
      <c r="H1827" t="s">
        <v>35</v>
      </c>
      <c r="J1827" t="s">
        <v>2206</v>
      </c>
      <c r="K1827" t="s">
        <v>1092</v>
      </c>
      <c r="M1827">
        <v>0.59499999999999997</v>
      </c>
      <c r="N1827">
        <v>2673</v>
      </c>
      <c r="O1827" t="s">
        <v>575</v>
      </c>
      <c r="Q1827" t="s">
        <v>1486</v>
      </c>
      <c r="R1827" t="s">
        <v>1487</v>
      </c>
      <c r="S1827" t="s">
        <v>1488</v>
      </c>
    </row>
    <row r="1828" spans="1:19" x14ac:dyDescent="0.25">
      <c r="A1828" t="s">
        <v>59</v>
      </c>
      <c r="B1828" t="s">
        <v>60</v>
      </c>
      <c r="C1828" t="s">
        <v>32</v>
      </c>
      <c r="D1828" t="s">
        <v>33</v>
      </c>
      <c r="F1828" t="s">
        <v>35</v>
      </c>
      <c r="G1828" t="s">
        <v>35</v>
      </c>
      <c r="H1828" t="s">
        <v>35</v>
      </c>
      <c r="J1828" t="s">
        <v>2207</v>
      </c>
      <c r="K1828" t="s">
        <v>1144</v>
      </c>
      <c r="M1828">
        <v>4.5999999999999996</v>
      </c>
      <c r="N1828">
        <v>72</v>
      </c>
      <c r="O1828" t="s">
        <v>61</v>
      </c>
      <c r="Q1828" t="s">
        <v>63</v>
      </c>
      <c r="R1828" t="s">
        <v>193</v>
      </c>
      <c r="S1828" t="s">
        <v>181</v>
      </c>
    </row>
    <row r="1829" spans="1:19" x14ac:dyDescent="0.25">
      <c r="A1829" t="s">
        <v>59</v>
      </c>
      <c r="B1829" t="s">
        <v>31</v>
      </c>
      <c r="C1829" t="s">
        <v>32</v>
      </c>
      <c r="D1829" t="s">
        <v>33</v>
      </c>
      <c r="F1829" t="s">
        <v>35</v>
      </c>
      <c r="G1829" t="s">
        <v>35</v>
      </c>
      <c r="H1829" t="s">
        <v>35</v>
      </c>
      <c r="J1829" t="s">
        <v>2208</v>
      </c>
      <c r="K1829" t="s">
        <v>1092</v>
      </c>
      <c r="M1829">
        <v>0.75</v>
      </c>
      <c r="N1829">
        <v>2673</v>
      </c>
      <c r="O1829" t="s">
        <v>575</v>
      </c>
      <c r="Q1829" t="s">
        <v>1486</v>
      </c>
      <c r="R1829" t="s">
        <v>1487</v>
      </c>
      <c r="S1829" t="s">
        <v>1488</v>
      </c>
    </row>
    <row r="1830" spans="1:19" x14ac:dyDescent="0.25">
      <c r="A1830" t="s">
        <v>30</v>
      </c>
      <c r="B1830" t="s">
        <v>31</v>
      </c>
      <c r="C1830" t="s">
        <v>32</v>
      </c>
      <c r="D1830" t="s">
        <v>33</v>
      </c>
      <c r="F1830" t="s">
        <v>35</v>
      </c>
      <c r="G1830" t="s">
        <v>35</v>
      </c>
      <c r="H1830" t="s">
        <v>35</v>
      </c>
      <c r="J1830" t="s">
        <v>2209</v>
      </c>
      <c r="K1830" t="s">
        <v>1092</v>
      </c>
      <c r="M1830">
        <v>0.22500000000000001</v>
      </c>
      <c r="N1830">
        <v>2259</v>
      </c>
      <c r="O1830" t="s">
        <v>575</v>
      </c>
      <c r="Q1830" t="s">
        <v>2210</v>
      </c>
      <c r="R1830" t="s">
        <v>1560</v>
      </c>
      <c r="S1830" t="s">
        <v>115</v>
      </c>
    </row>
    <row r="1831" spans="1:19" x14ac:dyDescent="0.25">
      <c r="A1831" t="s">
        <v>59</v>
      </c>
      <c r="B1831" t="s">
        <v>60</v>
      </c>
      <c r="C1831" t="s">
        <v>32</v>
      </c>
      <c r="D1831" t="s">
        <v>33</v>
      </c>
      <c r="F1831" t="s">
        <v>35</v>
      </c>
      <c r="G1831" t="s">
        <v>35</v>
      </c>
      <c r="H1831" t="s">
        <v>35</v>
      </c>
      <c r="J1831" t="s">
        <v>1838</v>
      </c>
      <c r="K1831" t="s">
        <v>1092</v>
      </c>
      <c r="M1831">
        <v>0.03</v>
      </c>
      <c r="N1831">
        <v>2673</v>
      </c>
      <c r="O1831" t="s">
        <v>575</v>
      </c>
      <c r="Q1831" t="s">
        <v>1486</v>
      </c>
      <c r="R1831" t="s">
        <v>1487</v>
      </c>
      <c r="S1831" t="s">
        <v>1488</v>
      </c>
    </row>
    <row r="1832" spans="1:19" x14ac:dyDescent="0.25">
      <c r="A1832" t="s">
        <v>59</v>
      </c>
      <c r="B1832" t="s">
        <v>60</v>
      </c>
      <c r="C1832" t="s">
        <v>32</v>
      </c>
      <c r="D1832" t="s">
        <v>33</v>
      </c>
      <c r="F1832" t="s">
        <v>35</v>
      </c>
      <c r="G1832" t="s">
        <v>35</v>
      </c>
      <c r="H1832" t="s">
        <v>35</v>
      </c>
      <c r="J1832" t="s">
        <v>2212</v>
      </c>
      <c r="K1832" t="s">
        <v>1092</v>
      </c>
      <c r="M1832">
        <v>1</v>
      </c>
      <c r="N1832">
        <v>2673</v>
      </c>
      <c r="O1832" t="s">
        <v>575</v>
      </c>
      <c r="Q1832" t="s">
        <v>1486</v>
      </c>
      <c r="R1832" t="s">
        <v>1487</v>
      </c>
      <c r="S1832" t="s">
        <v>1488</v>
      </c>
    </row>
    <row r="1833" spans="1:19" x14ac:dyDescent="0.25">
      <c r="A1833" t="s">
        <v>59</v>
      </c>
      <c r="B1833" t="s">
        <v>60</v>
      </c>
      <c r="C1833" t="s">
        <v>32</v>
      </c>
      <c r="D1833" t="s">
        <v>33</v>
      </c>
      <c r="F1833" t="s">
        <v>35</v>
      </c>
      <c r="G1833" t="s">
        <v>35</v>
      </c>
      <c r="H1833" t="s">
        <v>35</v>
      </c>
      <c r="J1833" t="s">
        <v>2213</v>
      </c>
      <c r="K1833" t="s">
        <v>1092</v>
      </c>
      <c r="M1833">
        <v>4.4999999999999998E-2</v>
      </c>
      <c r="N1833">
        <v>2673</v>
      </c>
      <c r="O1833" t="s">
        <v>575</v>
      </c>
      <c r="Q1833" t="s">
        <v>1486</v>
      </c>
      <c r="R1833" t="s">
        <v>1487</v>
      </c>
      <c r="S1833" t="s">
        <v>1488</v>
      </c>
    </row>
    <row r="1834" spans="1:19" x14ac:dyDescent="0.25">
      <c r="A1834" t="s">
        <v>30</v>
      </c>
      <c r="B1834" t="s">
        <v>31</v>
      </c>
      <c r="C1834" t="s">
        <v>32</v>
      </c>
      <c r="D1834" t="s">
        <v>33</v>
      </c>
      <c r="F1834" t="s">
        <v>35</v>
      </c>
      <c r="G1834" t="s">
        <v>35</v>
      </c>
      <c r="H1834" t="s">
        <v>35</v>
      </c>
      <c r="J1834" t="s">
        <v>2214</v>
      </c>
      <c r="K1834" t="s">
        <v>1092</v>
      </c>
      <c r="M1834">
        <v>10.98</v>
      </c>
      <c r="N1834">
        <v>282</v>
      </c>
      <c r="O1834" t="s">
        <v>5</v>
      </c>
      <c r="Q1834" t="s">
        <v>1225</v>
      </c>
      <c r="R1834" t="s">
        <v>103</v>
      </c>
      <c r="S1834" t="s">
        <v>104</v>
      </c>
    </row>
    <row r="1835" spans="1:19" x14ac:dyDescent="0.25">
      <c r="A1835" t="s">
        <v>59</v>
      </c>
      <c r="B1835" t="s">
        <v>60</v>
      </c>
      <c r="C1835" t="s">
        <v>32</v>
      </c>
      <c r="D1835" t="s">
        <v>33</v>
      </c>
      <c r="F1835" t="s">
        <v>35</v>
      </c>
      <c r="G1835" t="s">
        <v>35</v>
      </c>
      <c r="H1835" t="s">
        <v>35</v>
      </c>
      <c r="J1835" t="s">
        <v>2215</v>
      </c>
      <c r="K1835" t="s">
        <v>1092</v>
      </c>
      <c r="M1835">
        <v>0.03</v>
      </c>
      <c r="N1835">
        <v>2673</v>
      </c>
      <c r="O1835" t="s">
        <v>575</v>
      </c>
      <c r="Q1835" t="s">
        <v>1486</v>
      </c>
      <c r="R1835" t="s">
        <v>1487</v>
      </c>
      <c r="S1835" t="s">
        <v>1488</v>
      </c>
    </row>
    <row r="1836" spans="1:19" x14ac:dyDescent="0.25">
      <c r="A1836" t="s">
        <v>30</v>
      </c>
      <c r="B1836" t="s">
        <v>31</v>
      </c>
      <c r="C1836" t="s">
        <v>32</v>
      </c>
      <c r="D1836" t="s">
        <v>33</v>
      </c>
      <c r="F1836" t="s">
        <v>35</v>
      </c>
      <c r="G1836" t="s">
        <v>35</v>
      </c>
      <c r="H1836" t="s">
        <v>35</v>
      </c>
      <c r="J1836" t="s">
        <v>2216</v>
      </c>
      <c r="K1836" t="s">
        <v>1092</v>
      </c>
      <c r="M1836">
        <v>0.45</v>
      </c>
      <c r="N1836">
        <v>210</v>
      </c>
      <c r="O1836" t="s">
        <v>5</v>
      </c>
      <c r="Q1836" t="s">
        <v>1104</v>
      </c>
      <c r="R1836" t="s">
        <v>1211</v>
      </c>
      <c r="S1836" t="s">
        <v>1212</v>
      </c>
    </row>
    <row r="1837" spans="1:19" x14ac:dyDescent="0.25">
      <c r="A1837" t="s">
        <v>59</v>
      </c>
      <c r="B1837" t="s">
        <v>31</v>
      </c>
      <c r="C1837" t="s">
        <v>32</v>
      </c>
      <c r="D1837" t="s">
        <v>33</v>
      </c>
      <c r="F1837" t="s">
        <v>35</v>
      </c>
      <c r="G1837" t="s">
        <v>35</v>
      </c>
      <c r="H1837" t="s">
        <v>35</v>
      </c>
      <c r="J1837" t="s">
        <v>2217</v>
      </c>
      <c r="K1837" t="s">
        <v>1092</v>
      </c>
      <c r="M1837">
        <v>0.02</v>
      </c>
      <c r="N1837">
        <v>2423</v>
      </c>
      <c r="O1837" t="s">
        <v>575</v>
      </c>
      <c r="Q1837" t="s">
        <v>2218</v>
      </c>
      <c r="R1837" t="s">
        <v>1658</v>
      </c>
      <c r="S1837" t="s">
        <v>1659</v>
      </c>
    </row>
    <row r="1838" spans="1:19" x14ac:dyDescent="0.25">
      <c r="A1838" t="s">
        <v>59</v>
      </c>
      <c r="B1838" t="s">
        <v>60</v>
      </c>
      <c r="C1838" t="s">
        <v>32</v>
      </c>
      <c r="D1838" t="s">
        <v>33</v>
      </c>
      <c r="F1838" t="s">
        <v>35</v>
      </c>
      <c r="G1838" t="s">
        <v>35</v>
      </c>
      <c r="H1838" t="s">
        <v>35</v>
      </c>
      <c r="J1838" t="s">
        <v>2219</v>
      </c>
      <c r="K1838" t="s">
        <v>1092</v>
      </c>
      <c r="M1838">
        <v>1</v>
      </c>
      <c r="N1838">
        <v>66</v>
      </c>
      <c r="O1838" t="s">
        <v>61</v>
      </c>
      <c r="Q1838" t="s">
        <v>203</v>
      </c>
      <c r="R1838" t="s">
        <v>1258</v>
      </c>
      <c r="S1838" t="s">
        <v>194</v>
      </c>
    </row>
    <row r="1839" spans="1:19" x14ac:dyDescent="0.25">
      <c r="A1839" t="s">
        <v>30</v>
      </c>
      <c r="B1839" t="s">
        <v>31</v>
      </c>
      <c r="C1839" t="s">
        <v>32</v>
      </c>
      <c r="D1839" t="s">
        <v>33</v>
      </c>
      <c r="F1839" t="s">
        <v>35</v>
      </c>
      <c r="G1839" t="s">
        <v>35</v>
      </c>
      <c r="H1839" t="s">
        <v>35</v>
      </c>
      <c r="J1839" t="s">
        <v>2219</v>
      </c>
      <c r="K1839" t="s">
        <v>1092</v>
      </c>
      <c r="M1839">
        <v>1.155</v>
      </c>
      <c r="N1839">
        <v>66</v>
      </c>
      <c r="O1839" t="s">
        <v>61</v>
      </c>
      <c r="Q1839" t="s">
        <v>203</v>
      </c>
      <c r="R1839" t="s">
        <v>1258</v>
      </c>
      <c r="S1839" t="s">
        <v>194</v>
      </c>
    </row>
    <row r="1840" spans="1:19" x14ac:dyDescent="0.25">
      <c r="A1840" t="s">
        <v>44</v>
      </c>
      <c r="B1840" t="s">
        <v>3</v>
      </c>
      <c r="C1840" t="s">
        <v>32</v>
      </c>
      <c r="D1840" t="s">
        <v>33</v>
      </c>
      <c r="F1840" t="s">
        <v>35</v>
      </c>
      <c r="G1840" t="s">
        <v>35</v>
      </c>
      <c r="H1840" t="s">
        <v>35</v>
      </c>
      <c r="J1840" t="s">
        <v>2219</v>
      </c>
      <c r="K1840" t="s">
        <v>1092</v>
      </c>
      <c r="M1840">
        <v>2.4500000000000002</v>
      </c>
      <c r="N1840">
        <v>68</v>
      </c>
      <c r="O1840" t="s">
        <v>61</v>
      </c>
      <c r="Q1840" t="s">
        <v>146</v>
      </c>
      <c r="R1840" t="s">
        <v>1258</v>
      </c>
      <c r="S1840" t="s">
        <v>194</v>
      </c>
    </row>
    <row r="1841" spans="1:19" x14ac:dyDescent="0.25">
      <c r="A1841" t="s">
        <v>59</v>
      </c>
      <c r="B1841" t="s">
        <v>60</v>
      </c>
      <c r="C1841" t="s">
        <v>32</v>
      </c>
      <c r="D1841" t="s">
        <v>33</v>
      </c>
      <c r="F1841" t="s">
        <v>35</v>
      </c>
      <c r="G1841" t="s">
        <v>35</v>
      </c>
      <c r="H1841" t="s">
        <v>35</v>
      </c>
      <c r="J1841" t="s">
        <v>2220</v>
      </c>
      <c r="K1841" t="s">
        <v>1092</v>
      </c>
      <c r="M1841">
        <v>0.28999999999999998</v>
      </c>
      <c r="N1841">
        <v>2673</v>
      </c>
      <c r="O1841" t="s">
        <v>575</v>
      </c>
      <c r="Q1841" t="s">
        <v>1486</v>
      </c>
      <c r="R1841" t="s">
        <v>1487</v>
      </c>
      <c r="S1841" t="s">
        <v>1488</v>
      </c>
    </row>
    <row r="1842" spans="1:19" x14ac:dyDescent="0.25">
      <c r="A1842" t="s">
        <v>59</v>
      </c>
      <c r="B1842" t="s">
        <v>60</v>
      </c>
      <c r="C1842" t="s">
        <v>32</v>
      </c>
      <c r="D1842" t="s">
        <v>33</v>
      </c>
      <c r="F1842" t="s">
        <v>35</v>
      </c>
      <c r="G1842" t="s">
        <v>35</v>
      </c>
      <c r="H1842" t="s">
        <v>35</v>
      </c>
      <c r="J1842" t="s">
        <v>2221</v>
      </c>
      <c r="K1842" t="s">
        <v>1092</v>
      </c>
      <c r="M1842">
        <v>0.48499999999999999</v>
      </c>
      <c r="N1842">
        <v>2663</v>
      </c>
      <c r="O1842" t="s">
        <v>575</v>
      </c>
      <c r="Q1842" t="s">
        <v>2222</v>
      </c>
      <c r="R1842" t="s">
        <v>2223</v>
      </c>
      <c r="S1842" t="s">
        <v>981</v>
      </c>
    </row>
    <row r="1843" spans="1:19" x14ac:dyDescent="0.25">
      <c r="A1843" t="s">
        <v>59</v>
      </c>
      <c r="B1843" t="s">
        <v>60</v>
      </c>
      <c r="C1843" t="s">
        <v>32</v>
      </c>
      <c r="D1843" t="s">
        <v>33</v>
      </c>
      <c r="F1843" t="s">
        <v>35</v>
      </c>
      <c r="G1843" t="s">
        <v>35</v>
      </c>
      <c r="H1843" t="s">
        <v>35</v>
      </c>
      <c r="J1843" t="s">
        <v>2224</v>
      </c>
      <c r="K1843" t="s">
        <v>1092</v>
      </c>
      <c r="M1843">
        <v>3.0000000000000001E-3</v>
      </c>
      <c r="N1843">
        <v>2673</v>
      </c>
      <c r="O1843" t="s">
        <v>575</v>
      </c>
      <c r="Q1843" t="s">
        <v>1486</v>
      </c>
      <c r="R1843" t="s">
        <v>1487</v>
      </c>
      <c r="S1843" t="s">
        <v>1488</v>
      </c>
    </row>
    <row r="1844" spans="1:19" x14ac:dyDescent="0.25">
      <c r="A1844" t="s">
        <v>30</v>
      </c>
      <c r="B1844" t="s">
        <v>31</v>
      </c>
      <c r="C1844" t="s">
        <v>32</v>
      </c>
      <c r="D1844" t="s">
        <v>33</v>
      </c>
      <c r="F1844" t="s">
        <v>35</v>
      </c>
      <c r="G1844" t="s">
        <v>35</v>
      </c>
      <c r="H1844" t="s">
        <v>35</v>
      </c>
      <c r="J1844" t="s">
        <v>2225</v>
      </c>
      <c r="K1844" t="s">
        <v>1092</v>
      </c>
      <c r="M1844">
        <v>3.87</v>
      </c>
      <c r="N1844">
        <v>19</v>
      </c>
      <c r="O1844" t="s">
        <v>46</v>
      </c>
      <c r="Q1844" t="s">
        <v>1192</v>
      </c>
      <c r="R1844" t="s">
        <v>193</v>
      </c>
      <c r="S1844" t="s">
        <v>181</v>
      </c>
    </row>
    <row r="1845" spans="1:19" x14ac:dyDescent="0.25">
      <c r="A1845" t="s">
        <v>59</v>
      </c>
      <c r="B1845" t="s">
        <v>60</v>
      </c>
      <c r="C1845" t="s">
        <v>32</v>
      </c>
      <c r="D1845" t="s">
        <v>33</v>
      </c>
      <c r="F1845" t="s">
        <v>35</v>
      </c>
      <c r="G1845" t="s">
        <v>35</v>
      </c>
      <c r="H1845" t="s">
        <v>35</v>
      </c>
      <c r="J1845" t="s">
        <v>2225</v>
      </c>
      <c r="K1845" t="s">
        <v>1092</v>
      </c>
      <c r="M1845">
        <v>0.995</v>
      </c>
      <c r="N1845">
        <v>72</v>
      </c>
      <c r="O1845" t="s">
        <v>61</v>
      </c>
      <c r="Q1845" t="s">
        <v>63</v>
      </c>
      <c r="R1845" t="s">
        <v>193</v>
      </c>
      <c r="S1845" t="s">
        <v>181</v>
      </c>
    </row>
    <row r="1846" spans="1:19" x14ac:dyDescent="0.25">
      <c r="A1846" t="s">
        <v>59</v>
      </c>
      <c r="B1846" t="s">
        <v>31</v>
      </c>
      <c r="C1846" t="s">
        <v>32</v>
      </c>
      <c r="D1846" t="s">
        <v>33</v>
      </c>
      <c r="F1846" t="s">
        <v>35</v>
      </c>
      <c r="G1846" t="s">
        <v>35</v>
      </c>
      <c r="H1846" t="s">
        <v>35</v>
      </c>
      <c r="J1846" t="s">
        <v>2226</v>
      </c>
      <c r="K1846" t="s">
        <v>1092</v>
      </c>
      <c r="M1846">
        <v>0.08</v>
      </c>
      <c r="N1846">
        <v>1915</v>
      </c>
      <c r="O1846" t="s">
        <v>575</v>
      </c>
      <c r="Q1846" t="s">
        <v>2088</v>
      </c>
      <c r="R1846" t="s">
        <v>1560</v>
      </c>
      <c r="S1846" t="s">
        <v>115</v>
      </c>
    </row>
    <row r="1847" spans="1:19" x14ac:dyDescent="0.25">
      <c r="A1847" t="s">
        <v>59</v>
      </c>
      <c r="B1847" t="s">
        <v>60</v>
      </c>
      <c r="C1847" t="s">
        <v>32</v>
      </c>
      <c r="D1847" t="s">
        <v>33</v>
      </c>
      <c r="F1847" t="s">
        <v>35</v>
      </c>
      <c r="G1847" t="s">
        <v>35</v>
      </c>
      <c r="H1847" t="s">
        <v>35</v>
      </c>
      <c r="J1847" t="s">
        <v>1511</v>
      </c>
      <c r="K1847" t="s">
        <v>1092</v>
      </c>
      <c r="M1847">
        <v>0.85</v>
      </c>
      <c r="N1847">
        <v>1475</v>
      </c>
      <c r="O1847" t="s">
        <v>575</v>
      </c>
      <c r="Q1847" t="s">
        <v>2227</v>
      </c>
      <c r="R1847" t="s">
        <v>193</v>
      </c>
      <c r="S1847" t="s">
        <v>181</v>
      </c>
    </row>
    <row r="1848" spans="1:19" x14ac:dyDescent="0.25">
      <c r="A1848" t="s">
        <v>59</v>
      </c>
      <c r="B1848" t="s">
        <v>60</v>
      </c>
      <c r="C1848" t="s">
        <v>32</v>
      </c>
      <c r="D1848" t="s">
        <v>33</v>
      </c>
      <c r="F1848" t="s">
        <v>35</v>
      </c>
      <c r="G1848" t="s">
        <v>35</v>
      </c>
      <c r="H1848" t="s">
        <v>35</v>
      </c>
      <c r="J1848" t="s">
        <v>2228</v>
      </c>
      <c r="K1848" t="s">
        <v>1092</v>
      </c>
      <c r="M1848">
        <v>1E-3</v>
      </c>
      <c r="N1848">
        <v>2044</v>
      </c>
      <c r="O1848" t="s">
        <v>575</v>
      </c>
      <c r="Q1848" t="s">
        <v>2229</v>
      </c>
      <c r="R1848" t="s">
        <v>2146</v>
      </c>
      <c r="S1848" t="s">
        <v>209</v>
      </c>
    </row>
    <row r="1849" spans="1:19" x14ac:dyDescent="0.25">
      <c r="A1849" t="s">
        <v>59</v>
      </c>
      <c r="B1849" t="s">
        <v>60</v>
      </c>
      <c r="C1849" t="s">
        <v>32</v>
      </c>
      <c r="D1849" t="s">
        <v>33</v>
      </c>
      <c r="F1849" t="s">
        <v>35</v>
      </c>
      <c r="G1849" t="s">
        <v>35</v>
      </c>
      <c r="H1849" t="s">
        <v>35</v>
      </c>
      <c r="J1849" t="s">
        <v>2230</v>
      </c>
      <c r="K1849" t="s">
        <v>1092</v>
      </c>
      <c r="M1849">
        <v>0.05</v>
      </c>
      <c r="N1849">
        <v>2348</v>
      </c>
      <c r="O1849" t="s">
        <v>575</v>
      </c>
      <c r="Q1849" t="s">
        <v>2231</v>
      </c>
      <c r="R1849" t="s">
        <v>1590</v>
      </c>
      <c r="S1849" t="s">
        <v>1591</v>
      </c>
    </row>
    <row r="1850" spans="1:19" x14ac:dyDescent="0.25">
      <c r="A1850" t="s">
        <v>30</v>
      </c>
      <c r="B1850" t="s">
        <v>31</v>
      </c>
      <c r="C1850" t="s">
        <v>32</v>
      </c>
      <c r="D1850" t="s">
        <v>33</v>
      </c>
      <c r="F1850" t="s">
        <v>35</v>
      </c>
      <c r="G1850" t="s">
        <v>35</v>
      </c>
      <c r="H1850" t="s">
        <v>35</v>
      </c>
      <c r="J1850" t="s">
        <v>205</v>
      </c>
      <c r="K1850" t="s">
        <v>1092</v>
      </c>
      <c r="M1850">
        <v>2.79</v>
      </c>
      <c r="N1850">
        <v>1578</v>
      </c>
      <c r="O1850" t="s">
        <v>575</v>
      </c>
      <c r="Q1850" t="s">
        <v>2232</v>
      </c>
      <c r="R1850" t="s">
        <v>85</v>
      </c>
      <c r="S1850" t="s">
        <v>86</v>
      </c>
    </row>
    <row r="1851" spans="1:19" x14ac:dyDescent="0.25">
      <c r="A1851" t="s">
        <v>59</v>
      </c>
      <c r="B1851" t="s">
        <v>60</v>
      </c>
      <c r="C1851" t="s">
        <v>32</v>
      </c>
      <c r="D1851" t="s">
        <v>33</v>
      </c>
      <c r="F1851" t="s">
        <v>35</v>
      </c>
      <c r="G1851" t="s">
        <v>35</v>
      </c>
      <c r="H1851" t="s">
        <v>35</v>
      </c>
      <c r="J1851" t="s">
        <v>2233</v>
      </c>
      <c r="K1851" t="s">
        <v>1092</v>
      </c>
      <c r="M1851">
        <v>3.5000000000000003E-2</v>
      </c>
      <c r="N1851">
        <v>1018</v>
      </c>
      <c r="O1851" t="s">
        <v>575</v>
      </c>
      <c r="Q1851" t="s">
        <v>2234</v>
      </c>
      <c r="R1851" t="s">
        <v>85</v>
      </c>
      <c r="S1851" t="s">
        <v>86</v>
      </c>
    </row>
    <row r="1852" spans="1:19" x14ac:dyDescent="0.25">
      <c r="A1852" t="s">
        <v>44</v>
      </c>
      <c r="B1852" t="s">
        <v>3</v>
      </c>
      <c r="C1852" t="s">
        <v>32</v>
      </c>
      <c r="D1852" t="s">
        <v>33</v>
      </c>
      <c r="F1852" t="s">
        <v>35</v>
      </c>
      <c r="G1852" t="s">
        <v>35</v>
      </c>
      <c r="H1852" t="s">
        <v>35</v>
      </c>
      <c r="J1852" t="s">
        <v>2235</v>
      </c>
      <c r="K1852" t="s">
        <v>1092</v>
      </c>
      <c r="M1852">
        <v>1</v>
      </c>
      <c r="N1852">
        <v>227</v>
      </c>
      <c r="O1852" t="s">
        <v>5</v>
      </c>
      <c r="Q1852" t="s">
        <v>2236</v>
      </c>
      <c r="R1852" t="s">
        <v>2179</v>
      </c>
      <c r="S1852" t="s">
        <v>205</v>
      </c>
    </row>
    <row r="1853" spans="1:19" x14ac:dyDescent="0.25">
      <c r="A1853" t="s">
        <v>30</v>
      </c>
      <c r="B1853" t="s">
        <v>31</v>
      </c>
      <c r="C1853" t="s">
        <v>32</v>
      </c>
      <c r="D1853" t="s">
        <v>33</v>
      </c>
      <c r="F1853" t="s">
        <v>35</v>
      </c>
      <c r="G1853" t="s">
        <v>35</v>
      </c>
      <c r="H1853" t="s">
        <v>35</v>
      </c>
      <c r="J1853" t="s">
        <v>2237</v>
      </c>
      <c r="K1853" t="s">
        <v>1092</v>
      </c>
      <c r="M1853">
        <v>5.22</v>
      </c>
      <c r="N1853">
        <v>46</v>
      </c>
      <c r="O1853" t="s">
        <v>52</v>
      </c>
      <c r="Q1853" t="s">
        <v>493</v>
      </c>
      <c r="R1853" t="s">
        <v>85</v>
      </c>
      <c r="S1853" t="s">
        <v>86</v>
      </c>
    </row>
    <row r="1854" spans="1:19" x14ac:dyDescent="0.25">
      <c r="A1854" t="s">
        <v>30</v>
      </c>
      <c r="B1854" t="s">
        <v>31</v>
      </c>
      <c r="C1854" t="s">
        <v>32</v>
      </c>
      <c r="D1854" t="s">
        <v>33</v>
      </c>
      <c r="F1854" t="s">
        <v>35</v>
      </c>
      <c r="G1854" t="s">
        <v>35</v>
      </c>
      <c r="H1854" t="s">
        <v>35</v>
      </c>
      <c r="J1854" t="s">
        <v>2238</v>
      </c>
      <c r="K1854" t="s">
        <v>1092</v>
      </c>
      <c r="M1854">
        <v>0.15</v>
      </c>
      <c r="N1854">
        <v>2131</v>
      </c>
      <c r="O1854" t="s">
        <v>575</v>
      </c>
      <c r="Q1854" t="s">
        <v>2240</v>
      </c>
      <c r="R1854" t="s">
        <v>1402</v>
      </c>
      <c r="S1854" t="s">
        <v>1403</v>
      </c>
    </row>
    <row r="1855" spans="1:19" x14ac:dyDescent="0.25">
      <c r="A1855" t="s">
        <v>59</v>
      </c>
      <c r="B1855" t="s">
        <v>60</v>
      </c>
      <c r="C1855" t="s">
        <v>32</v>
      </c>
      <c r="D1855" t="s">
        <v>33</v>
      </c>
      <c r="F1855" t="s">
        <v>35</v>
      </c>
      <c r="G1855" t="s">
        <v>35</v>
      </c>
      <c r="H1855" t="s">
        <v>35</v>
      </c>
      <c r="J1855" t="s">
        <v>2238</v>
      </c>
      <c r="K1855" t="s">
        <v>1092</v>
      </c>
      <c r="M1855">
        <v>0.41</v>
      </c>
      <c r="N1855">
        <v>1769</v>
      </c>
      <c r="O1855" t="s">
        <v>575</v>
      </c>
      <c r="Q1855" t="s">
        <v>2239</v>
      </c>
      <c r="R1855" t="s">
        <v>1402</v>
      </c>
      <c r="S1855" t="s">
        <v>1403</v>
      </c>
    </row>
    <row r="1856" spans="1:19" x14ac:dyDescent="0.25">
      <c r="A1856" t="s">
        <v>59</v>
      </c>
      <c r="B1856" t="s">
        <v>60</v>
      </c>
      <c r="C1856" t="s">
        <v>32</v>
      </c>
      <c r="D1856" t="s">
        <v>33</v>
      </c>
      <c r="F1856" t="s">
        <v>35</v>
      </c>
      <c r="G1856" t="s">
        <v>35</v>
      </c>
      <c r="H1856" t="s">
        <v>35</v>
      </c>
      <c r="J1856" t="s">
        <v>2241</v>
      </c>
      <c r="K1856" t="s">
        <v>1092</v>
      </c>
      <c r="M1856">
        <v>7.0000000000000007E-2</v>
      </c>
      <c r="N1856">
        <v>2673</v>
      </c>
      <c r="O1856" t="s">
        <v>575</v>
      </c>
      <c r="Q1856" t="s">
        <v>1486</v>
      </c>
      <c r="R1856" t="s">
        <v>1487</v>
      </c>
      <c r="S1856" t="s">
        <v>1488</v>
      </c>
    </row>
    <row r="1857" spans="1:19" x14ac:dyDescent="0.25">
      <c r="A1857" t="s">
        <v>59</v>
      </c>
      <c r="B1857" t="s">
        <v>31</v>
      </c>
      <c r="C1857" t="s">
        <v>32</v>
      </c>
      <c r="D1857" t="s">
        <v>33</v>
      </c>
      <c r="F1857" t="s">
        <v>35</v>
      </c>
      <c r="G1857" t="s">
        <v>35</v>
      </c>
      <c r="H1857" t="s">
        <v>35</v>
      </c>
      <c r="J1857" t="s">
        <v>2242</v>
      </c>
      <c r="K1857" t="s">
        <v>1092</v>
      </c>
      <c r="M1857">
        <v>1.89</v>
      </c>
      <c r="N1857">
        <v>62</v>
      </c>
      <c r="O1857" t="s">
        <v>61</v>
      </c>
      <c r="Q1857" t="s">
        <v>90</v>
      </c>
      <c r="R1857" t="s">
        <v>85</v>
      </c>
      <c r="S1857" t="s">
        <v>86</v>
      </c>
    </row>
    <row r="1858" spans="1:19" x14ac:dyDescent="0.25">
      <c r="A1858" t="s">
        <v>44</v>
      </c>
      <c r="B1858" t="s">
        <v>3</v>
      </c>
      <c r="C1858" t="s">
        <v>32</v>
      </c>
      <c r="D1858" t="s">
        <v>33</v>
      </c>
      <c r="F1858" t="s">
        <v>35</v>
      </c>
      <c r="G1858" t="s">
        <v>35</v>
      </c>
      <c r="H1858" t="s">
        <v>35</v>
      </c>
      <c r="J1858" t="s">
        <v>2242</v>
      </c>
      <c r="K1858" t="s">
        <v>1092</v>
      </c>
      <c r="M1858">
        <v>4.3</v>
      </c>
      <c r="N1858">
        <v>59</v>
      </c>
      <c r="O1858" t="s">
        <v>52</v>
      </c>
      <c r="Q1858" t="s">
        <v>84</v>
      </c>
      <c r="R1858" t="s">
        <v>85</v>
      </c>
      <c r="S1858" t="s">
        <v>86</v>
      </c>
    </row>
    <row r="1859" spans="1:19" x14ac:dyDescent="0.25">
      <c r="A1859" t="s">
        <v>30</v>
      </c>
      <c r="B1859" t="s">
        <v>31</v>
      </c>
      <c r="C1859" t="s">
        <v>32</v>
      </c>
      <c r="D1859" t="s">
        <v>33</v>
      </c>
      <c r="F1859" t="s">
        <v>35</v>
      </c>
      <c r="G1859" t="s">
        <v>35</v>
      </c>
      <c r="H1859" t="s">
        <v>35</v>
      </c>
      <c r="J1859" t="s">
        <v>2242</v>
      </c>
      <c r="K1859" t="s">
        <v>1092</v>
      </c>
      <c r="M1859">
        <v>9.99</v>
      </c>
      <c r="N1859">
        <v>20</v>
      </c>
      <c r="O1859" t="s">
        <v>46</v>
      </c>
      <c r="Q1859" t="s">
        <v>1004</v>
      </c>
      <c r="R1859" t="s">
        <v>85</v>
      </c>
      <c r="S1859" t="s">
        <v>86</v>
      </c>
    </row>
    <row r="1860" spans="1:19" x14ac:dyDescent="0.25">
      <c r="A1860" t="s">
        <v>44</v>
      </c>
      <c r="B1860" t="s">
        <v>51</v>
      </c>
      <c r="C1860" t="s">
        <v>32</v>
      </c>
      <c r="D1860" t="s">
        <v>33</v>
      </c>
      <c r="F1860" t="s">
        <v>35</v>
      </c>
      <c r="G1860" t="s">
        <v>35</v>
      </c>
      <c r="H1860" t="s">
        <v>35</v>
      </c>
      <c r="J1860" t="s">
        <v>2242</v>
      </c>
      <c r="K1860" t="s">
        <v>1092</v>
      </c>
      <c r="M1860">
        <v>5</v>
      </c>
      <c r="N1860">
        <v>27</v>
      </c>
      <c r="O1860" t="s">
        <v>46</v>
      </c>
      <c r="Q1860" t="s">
        <v>1011</v>
      </c>
      <c r="R1860" t="s">
        <v>147</v>
      </c>
      <c r="S1860" t="s">
        <v>148</v>
      </c>
    </row>
    <row r="1861" spans="1:19" x14ac:dyDescent="0.25">
      <c r="A1861" t="s">
        <v>44</v>
      </c>
      <c r="B1861" t="s">
        <v>51</v>
      </c>
      <c r="C1861" t="s">
        <v>32</v>
      </c>
      <c r="D1861" t="s">
        <v>33</v>
      </c>
      <c r="F1861" t="s">
        <v>35</v>
      </c>
      <c r="G1861" t="s">
        <v>35</v>
      </c>
      <c r="H1861" t="s">
        <v>35</v>
      </c>
      <c r="J1861" t="s">
        <v>2242</v>
      </c>
      <c r="K1861" t="s">
        <v>1092</v>
      </c>
      <c r="M1861">
        <v>4.1500000000000004</v>
      </c>
      <c r="N1861">
        <v>28</v>
      </c>
      <c r="O1861" t="s">
        <v>46</v>
      </c>
      <c r="Q1861" t="s">
        <v>176</v>
      </c>
      <c r="R1861" t="s">
        <v>85</v>
      </c>
      <c r="S1861" t="s">
        <v>86</v>
      </c>
    </row>
    <row r="1862" spans="1:19" x14ac:dyDescent="0.25">
      <c r="A1862" t="s">
        <v>59</v>
      </c>
      <c r="B1862" t="s">
        <v>60</v>
      </c>
      <c r="C1862" t="s">
        <v>32</v>
      </c>
      <c r="D1862" t="s">
        <v>33</v>
      </c>
      <c r="F1862" t="s">
        <v>35</v>
      </c>
      <c r="G1862" t="s">
        <v>35</v>
      </c>
      <c r="H1862" t="s">
        <v>35</v>
      </c>
      <c r="J1862" t="s">
        <v>2242</v>
      </c>
      <c r="K1862" t="s">
        <v>1092</v>
      </c>
      <c r="M1862">
        <v>2.2000000000000002</v>
      </c>
      <c r="N1862">
        <v>62</v>
      </c>
      <c r="O1862" t="s">
        <v>61</v>
      </c>
      <c r="Q1862" t="s">
        <v>90</v>
      </c>
      <c r="R1862" t="s">
        <v>85</v>
      </c>
      <c r="S1862" t="s">
        <v>86</v>
      </c>
    </row>
    <row r="1863" spans="1:19" x14ac:dyDescent="0.25">
      <c r="A1863" t="s">
        <v>59</v>
      </c>
      <c r="B1863" t="s">
        <v>60</v>
      </c>
      <c r="C1863" t="s">
        <v>32</v>
      </c>
      <c r="D1863" t="s">
        <v>33</v>
      </c>
      <c r="F1863" t="s">
        <v>35</v>
      </c>
      <c r="G1863" t="s">
        <v>35</v>
      </c>
      <c r="H1863" t="s">
        <v>35</v>
      </c>
      <c r="J1863" t="s">
        <v>2243</v>
      </c>
      <c r="K1863" t="s">
        <v>1092</v>
      </c>
      <c r="M1863">
        <v>6.7000000000000004E-2</v>
      </c>
      <c r="N1863">
        <v>2673</v>
      </c>
      <c r="O1863" t="s">
        <v>575</v>
      </c>
      <c r="Q1863" t="s">
        <v>1486</v>
      </c>
      <c r="R1863" t="s">
        <v>1487</v>
      </c>
      <c r="S1863" t="s">
        <v>1488</v>
      </c>
    </row>
    <row r="1864" spans="1:19" x14ac:dyDescent="0.25">
      <c r="A1864" t="s">
        <v>59</v>
      </c>
      <c r="B1864" t="s">
        <v>31</v>
      </c>
      <c r="C1864" t="s">
        <v>32</v>
      </c>
      <c r="D1864" t="s">
        <v>33</v>
      </c>
      <c r="F1864" t="s">
        <v>35</v>
      </c>
      <c r="G1864" t="s">
        <v>35</v>
      </c>
      <c r="H1864" t="s">
        <v>35</v>
      </c>
      <c r="J1864" t="s">
        <v>2244</v>
      </c>
      <c r="K1864" t="s">
        <v>1092</v>
      </c>
      <c r="M1864">
        <v>2.4750000000000001</v>
      </c>
      <c r="N1864">
        <v>1759</v>
      </c>
      <c r="O1864" t="s">
        <v>575</v>
      </c>
      <c r="Q1864" t="s">
        <v>2245</v>
      </c>
      <c r="R1864" t="s">
        <v>1341</v>
      </c>
      <c r="S1864" t="s">
        <v>1342</v>
      </c>
    </row>
    <row r="1865" spans="1:19" x14ac:dyDescent="0.25">
      <c r="A1865" t="s">
        <v>59</v>
      </c>
      <c r="B1865" t="s">
        <v>60</v>
      </c>
      <c r="C1865" t="s">
        <v>32</v>
      </c>
      <c r="D1865" t="s">
        <v>33</v>
      </c>
      <c r="F1865" t="s">
        <v>35</v>
      </c>
      <c r="G1865" t="s">
        <v>35</v>
      </c>
      <c r="H1865" t="s">
        <v>35</v>
      </c>
      <c r="J1865" t="s">
        <v>2244</v>
      </c>
      <c r="K1865" t="s">
        <v>1092</v>
      </c>
      <c r="M1865">
        <v>1.7</v>
      </c>
      <c r="N1865">
        <v>1759</v>
      </c>
      <c r="O1865" t="s">
        <v>575</v>
      </c>
      <c r="Q1865" t="s">
        <v>2245</v>
      </c>
      <c r="R1865" t="s">
        <v>1341</v>
      </c>
      <c r="S1865" t="s">
        <v>1342</v>
      </c>
    </row>
    <row r="1866" spans="1:19" x14ac:dyDescent="0.25">
      <c r="A1866" t="s">
        <v>44</v>
      </c>
      <c r="B1866" t="s">
        <v>51</v>
      </c>
      <c r="C1866" t="s">
        <v>32</v>
      </c>
      <c r="D1866" t="s">
        <v>33</v>
      </c>
      <c r="F1866" t="s">
        <v>35</v>
      </c>
      <c r="G1866" t="s">
        <v>35</v>
      </c>
      <c r="H1866" t="s">
        <v>35</v>
      </c>
      <c r="J1866" t="s">
        <v>2246</v>
      </c>
      <c r="K1866" t="s">
        <v>1092</v>
      </c>
      <c r="M1866">
        <v>2.2999999999999998</v>
      </c>
      <c r="N1866">
        <v>247</v>
      </c>
      <c r="O1866" t="s">
        <v>5</v>
      </c>
      <c r="Q1866" t="s">
        <v>574</v>
      </c>
      <c r="R1866" t="s">
        <v>103</v>
      </c>
      <c r="S1866" t="s">
        <v>104</v>
      </c>
    </row>
    <row r="1867" spans="1:19" x14ac:dyDescent="0.25">
      <c r="A1867" t="s">
        <v>59</v>
      </c>
      <c r="B1867" t="s">
        <v>31</v>
      </c>
      <c r="C1867" t="s">
        <v>32</v>
      </c>
      <c r="D1867" t="s">
        <v>33</v>
      </c>
      <c r="F1867" t="s">
        <v>35</v>
      </c>
      <c r="G1867" t="s">
        <v>35</v>
      </c>
      <c r="H1867" t="s">
        <v>35</v>
      </c>
      <c r="J1867" t="s">
        <v>2246</v>
      </c>
      <c r="K1867" t="s">
        <v>1092</v>
      </c>
      <c r="M1867">
        <v>5.49</v>
      </c>
      <c r="N1867">
        <v>10</v>
      </c>
      <c r="O1867" t="s">
        <v>46</v>
      </c>
      <c r="Q1867" t="s">
        <v>1676</v>
      </c>
      <c r="R1867" t="s">
        <v>1173</v>
      </c>
      <c r="S1867" t="s">
        <v>222</v>
      </c>
    </row>
    <row r="1868" spans="1:19" x14ac:dyDescent="0.25">
      <c r="A1868" t="s">
        <v>59</v>
      </c>
      <c r="B1868" t="s">
        <v>60</v>
      </c>
      <c r="C1868" t="s">
        <v>32</v>
      </c>
      <c r="D1868" t="s">
        <v>33</v>
      </c>
      <c r="F1868" t="s">
        <v>35</v>
      </c>
      <c r="G1868" t="s">
        <v>35</v>
      </c>
      <c r="H1868" t="s">
        <v>35</v>
      </c>
      <c r="J1868" t="s">
        <v>2246</v>
      </c>
      <c r="K1868" t="s">
        <v>1092</v>
      </c>
      <c r="M1868">
        <v>2.2000000000000002</v>
      </c>
      <c r="N1868">
        <v>10</v>
      </c>
      <c r="O1868" t="s">
        <v>46</v>
      </c>
      <c r="Q1868" t="s">
        <v>1676</v>
      </c>
      <c r="R1868" t="s">
        <v>1173</v>
      </c>
      <c r="S1868" t="s">
        <v>222</v>
      </c>
    </row>
    <row r="1869" spans="1:19" x14ac:dyDescent="0.25">
      <c r="A1869" t="s">
        <v>59</v>
      </c>
      <c r="B1869" t="s">
        <v>31</v>
      </c>
      <c r="C1869" t="s">
        <v>32</v>
      </c>
      <c r="D1869" t="s">
        <v>33</v>
      </c>
      <c r="F1869" t="s">
        <v>35</v>
      </c>
      <c r="G1869" t="s">
        <v>35</v>
      </c>
      <c r="H1869" t="s">
        <v>35</v>
      </c>
      <c r="J1869" t="s">
        <v>2246</v>
      </c>
      <c r="K1869" t="s">
        <v>1092</v>
      </c>
      <c r="M1869">
        <v>5.1749999999999998</v>
      </c>
      <c r="N1869">
        <v>39</v>
      </c>
      <c r="O1869" t="s">
        <v>52</v>
      </c>
      <c r="Q1869" t="s">
        <v>816</v>
      </c>
      <c r="R1869" t="s">
        <v>1173</v>
      </c>
      <c r="S1869" t="s">
        <v>222</v>
      </c>
    </row>
    <row r="1870" spans="1:19" x14ac:dyDescent="0.25">
      <c r="A1870" t="s">
        <v>59</v>
      </c>
      <c r="B1870" t="s">
        <v>60</v>
      </c>
      <c r="C1870" t="s">
        <v>32</v>
      </c>
      <c r="D1870" t="s">
        <v>33</v>
      </c>
      <c r="F1870" t="s">
        <v>35</v>
      </c>
      <c r="G1870" t="s">
        <v>35</v>
      </c>
      <c r="H1870" t="s">
        <v>35</v>
      </c>
      <c r="J1870" t="s">
        <v>2247</v>
      </c>
      <c r="K1870" t="s">
        <v>1092</v>
      </c>
      <c r="M1870">
        <v>0.9</v>
      </c>
      <c r="N1870">
        <v>432</v>
      </c>
      <c r="O1870" t="s">
        <v>294</v>
      </c>
      <c r="Q1870" t="s">
        <v>1271</v>
      </c>
      <c r="R1870" t="s">
        <v>103</v>
      </c>
      <c r="S1870" t="s">
        <v>104</v>
      </c>
    </row>
    <row r="1871" spans="1:19" x14ac:dyDescent="0.25">
      <c r="A1871" t="s">
        <v>30</v>
      </c>
      <c r="B1871" t="s">
        <v>31</v>
      </c>
      <c r="C1871" t="s">
        <v>32</v>
      </c>
      <c r="D1871" t="s">
        <v>33</v>
      </c>
      <c r="F1871" t="s">
        <v>35</v>
      </c>
      <c r="G1871" t="s">
        <v>35</v>
      </c>
      <c r="H1871" t="s">
        <v>35</v>
      </c>
      <c r="J1871" t="s">
        <v>2247</v>
      </c>
      <c r="K1871" t="s">
        <v>1092</v>
      </c>
      <c r="M1871">
        <v>2.5649999999999999</v>
      </c>
      <c r="N1871">
        <v>199</v>
      </c>
      <c r="O1871" t="s">
        <v>5</v>
      </c>
      <c r="Q1871" t="s">
        <v>1720</v>
      </c>
      <c r="R1871" t="s">
        <v>169</v>
      </c>
      <c r="S1871" t="s">
        <v>123</v>
      </c>
    </row>
    <row r="1872" spans="1:19" x14ac:dyDescent="0.25">
      <c r="A1872" t="s">
        <v>59</v>
      </c>
      <c r="B1872" t="s">
        <v>31</v>
      </c>
      <c r="C1872" t="s">
        <v>32</v>
      </c>
      <c r="D1872" t="s">
        <v>33</v>
      </c>
      <c r="F1872" t="s">
        <v>35</v>
      </c>
      <c r="G1872" t="s">
        <v>35</v>
      </c>
      <c r="H1872" t="s">
        <v>35</v>
      </c>
      <c r="J1872" t="s">
        <v>2247</v>
      </c>
      <c r="K1872" t="s">
        <v>1092</v>
      </c>
      <c r="M1872">
        <v>3.94</v>
      </c>
      <c r="N1872">
        <v>63</v>
      </c>
      <c r="O1872" t="s">
        <v>61</v>
      </c>
      <c r="Q1872" t="s">
        <v>423</v>
      </c>
      <c r="R1872" t="s">
        <v>103</v>
      </c>
      <c r="S1872" t="s">
        <v>104</v>
      </c>
    </row>
    <row r="1873" spans="1:19" x14ac:dyDescent="0.25">
      <c r="A1873" t="s">
        <v>44</v>
      </c>
      <c r="B1873" t="s">
        <v>51</v>
      </c>
      <c r="C1873" t="s">
        <v>32</v>
      </c>
      <c r="D1873" t="s">
        <v>33</v>
      </c>
      <c r="F1873" t="s">
        <v>35</v>
      </c>
      <c r="G1873" t="s">
        <v>35</v>
      </c>
      <c r="H1873" t="s">
        <v>35</v>
      </c>
      <c r="J1873" t="s">
        <v>2247</v>
      </c>
      <c r="K1873" t="s">
        <v>1092</v>
      </c>
      <c r="M1873">
        <v>5.5</v>
      </c>
      <c r="N1873">
        <v>62</v>
      </c>
      <c r="O1873" t="s">
        <v>61</v>
      </c>
      <c r="Q1873" t="s">
        <v>90</v>
      </c>
      <c r="R1873" t="s">
        <v>103</v>
      </c>
      <c r="S1873" t="s">
        <v>104</v>
      </c>
    </row>
    <row r="1874" spans="1:19" x14ac:dyDescent="0.25">
      <c r="A1874" t="s">
        <v>44</v>
      </c>
      <c r="B1874" t="s">
        <v>3</v>
      </c>
      <c r="C1874" t="s">
        <v>32</v>
      </c>
      <c r="D1874" t="s">
        <v>33</v>
      </c>
      <c r="F1874" t="s">
        <v>35</v>
      </c>
      <c r="G1874" t="s">
        <v>35</v>
      </c>
      <c r="H1874" t="s">
        <v>35</v>
      </c>
      <c r="J1874" t="s">
        <v>2247</v>
      </c>
      <c r="K1874" t="s">
        <v>1092</v>
      </c>
      <c r="M1874">
        <v>0.5</v>
      </c>
      <c r="N1874">
        <v>434</v>
      </c>
      <c r="O1874" t="s">
        <v>294</v>
      </c>
      <c r="Q1874" t="s">
        <v>1370</v>
      </c>
      <c r="R1874" t="s">
        <v>103</v>
      </c>
      <c r="S1874" t="s">
        <v>104</v>
      </c>
    </row>
    <row r="1875" spans="1:19" x14ac:dyDescent="0.25">
      <c r="A1875" t="s">
        <v>59</v>
      </c>
      <c r="B1875" t="s">
        <v>60</v>
      </c>
      <c r="C1875" t="s">
        <v>32</v>
      </c>
      <c r="D1875" t="s">
        <v>33</v>
      </c>
      <c r="F1875" t="s">
        <v>35</v>
      </c>
      <c r="G1875" t="s">
        <v>35</v>
      </c>
      <c r="H1875" t="s">
        <v>35</v>
      </c>
      <c r="J1875" t="s">
        <v>2248</v>
      </c>
      <c r="K1875" t="s">
        <v>1092</v>
      </c>
      <c r="M1875">
        <v>2.6</v>
      </c>
      <c r="N1875">
        <v>2071</v>
      </c>
      <c r="O1875" t="s">
        <v>575</v>
      </c>
      <c r="Q1875" t="s">
        <v>2249</v>
      </c>
      <c r="R1875" t="s">
        <v>1341</v>
      </c>
      <c r="S1875" t="s">
        <v>1342</v>
      </c>
    </row>
    <row r="1876" spans="1:19" x14ac:dyDescent="0.25">
      <c r="A1876" t="s">
        <v>59</v>
      </c>
      <c r="B1876" t="s">
        <v>31</v>
      </c>
      <c r="C1876" t="s">
        <v>32</v>
      </c>
      <c r="D1876" t="s">
        <v>33</v>
      </c>
      <c r="F1876" t="s">
        <v>35</v>
      </c>
      <c r="G1876" t="s">
        <v>35</v>
      </c>
      <c r="H1876" t="s">
        <v>35</v>
      </c>
      <c r="J1876" t="s">
        <v>2248</v>
      </c>
      <c r="K1876" t="s">
        <v>1092</v>
      </c>
      <c r="M1876">
        <v>4.4550000000000001</v>
      </c>
      <c r="N1876">
        <v>2071</v>
      </c>
      <c r="O1876" t="s">
        <v>575</v>
      </c>
      <c r="Q1876" t="s">
        <v>2249</v>
      </c>
      <c r="R1876" t="s">
        <v>1341</v>
      </c>
      <c r="S1876" t="s">
        <v>1342</v>
      </c>
    </row>
    <row r="1877" spans="1:19" x14ac:dyDescent="0.25">
      <c r="A1877" t="s">
        <v>30</v>
      </c>
      <c r="B1877" t="s">
        <v>31</v>
      </c>
      <c r="C1877" t="s">
        <v>32</v>
      </c>
      <c r="D1877" t="s">
        <v>33</v>
      </c>
      <c r="F1877" t="s">
        <v>35</v>
      </c>
      <c r="G1877" t="s">
        <v>35</v>
      </c>
      <c r="H1877" t="s">
        <v>35</v>
      </c>
      <c r="J1877" t="s">
        <v>2250</v>
      </c>
      <c r="K1877" t="s">
        <v>1092</v>
      </c>
      <c r="M1877">
        <v>1.17</v>
      </c>
      <c r="N1877">
        <v>2227</v>
      </c>
      <c r="O1877" t="s">
        <v>575</v>
      </c>
      <c r="Q1877" t="s">
        <v>2251</v>
      </c>
      <c r="R1877" t="s">
        <v>2252</v>
      </c>
      <c r="S1877" t="s">
        <v>2250</v>
      </c>
    </row>
    <row r="1878" spans="1:19" x14ac:dyDescent="0.25">
      <c r="A1878" t="s">
        <v>59</v>
      </c>
      <c r="B1878" t="s">
        <v>60</v>
      </c>
      <c r="C1878" t="s">
        <v>32</v>
      </c>
      <c r="D1878" t="s">
        <v>33</v>
      </c>
      <c r="F1878" t="s">
        <v>35</v>
      </c>
      <c r="G1878" t="s">
        <v>35</v>
      </c>
      <c r="H1878" t="s">
        <v>35</v>
      </c>
      <c r="J1878" t="s">
        <v>2253</v>
      </c>
      <c r="K1878" t="s">
        <v>1092</v>
      </c>
      <c r="M1878">
        <v>0.22500000000000001</v>
      </c>
      <c r="N1878">
        <v>1474</v>
      </c>
      <c r="O1878" t="s">
        <v>575</v>
      </c>
      <c r="Q1878" t="s">
        <v>2257</v>
      </c>
      <c r="R1878" t="s">
        <v>1142</v>
      </c>
      <c r="S1878" t="s">
        <v>88</v>
      </c>
    </row>
    <row r="1879" spans="1:19" x14ac:dyDescent="0.25">
      <c r="A1879" t="s">
        <v>59</v>
      </c>
      <c r="B1879" t="s">
        <v>60</v>
      </c>
      <c r="C1879" t="s">
        <v>32</v>
      </c>
      <c r="D1879" t="s">
        <v>33</v>
      </c>
      <c r="F1879" t="s">
        <v>35</v>
      </c>
      <c r="G1879" t="s">
        <v>35</v>
      </c>
      <c r="H1879" t="s">
        <v>35</v>
      </c>
      <c r="J1879" t="s">
        <v>2253</v>
      </c>
      <c r="K1879" t="s">
        <v>1092</v>
      </c>
      <c r="M1879">
        <v>0.2</v>
      </c>
      <c r="N1879">
        <v>2412</v>
      </c>
      <c r="O1879" t="s">
        <v>575</v>
      </c>
      <c r="Q1879" t="s">
        <v>2254</v>
      </c>
      <c r="R1879" t="s">
        <v>2255</v>
      </c>
      <c r="S1879" t="s">
        <v>2256</v>
      </c>
    </row>
    <row r="1880" spans="1:19" x14ac:dyDescent="0.25">
      <c r="A1880" t="s">
        <v>59</v>
      </c>
      <c r="B1880" t="s">
        <v>60</v>
      </c>
      <c r="C1880" t="s">
        <v>32</v>
      </c>
      <c r="D1880" t="s">
        <v>33</v>
      </c>
      <c r="F1880" t="s">
        <v>35</v>
      </c>
      <c r="G1880" t="s">
        <v>35</v>
      </c>
      <c r="H1880" t="s">
        <v>35</v>
      </c>
      <c r="J1880" t="s">
        <v>2258</v>
      </c>
      <c r="K1880" t="s">
        <v>1092</v>
      </c>
      <c r="M1880">
        <v>0.05</v>
      </c>
      <c r="N1880">
        <v>1937</v>
      </c>
      <c r="O1880" t="s">
        <v>575</v>
      </c>
      <c r="Q1880" t="s">
        <v>2259</v>
      </c>
      <c r="R1880" t="s">
        <v>2260</v>
      </c>
      <c r="S1880" t="s">
        <v>86</v>
      </c>
    </row>
    <row r="1881" spans="1:19" x14ac:dyDescent="0.25">
      <c r="A1881" t="s">
        <v>30</v>
      </c>
      <c r="B1881" t="s">
        <v>31</v>
      </c>
      <c r="C1881" t="s">
        <v>32</v>
      </c>
      <c r="D1881" t="s">
        <v>33</v>
      </c>
      <c r="F1881" t="s">
        <v>35</v>
      </c>
      <c r="G1881" t="s">
        <v>35</v>
      </c>
      <c r="H1881" t="s">
        <v>35</v>
      </c>
      <c r="J1881" t="s">
        <v>2261</v>
      </c>
      <c r="K1881" t="s">
        <v>1092</v>
      </c>
      <c r="M1881">
        <v>3.5000000000000003E-2</v>
      </c>
      <c r="N1881">
        <v>1531</v>
      </c>
      <c r="O1881" t="s">
        <v>575</v>
      </c>
      <c r="Q1881" t="s">
        <v>2262</v>
      </c>
      <c r="R1881" t="s">
        <v>85</v>
      </c>
      <c r="S1881" t="s">
        <v>86</v>
      </c>
    </row>
    <row r="1882" spans="1:19" x14ac:dyDescent="0.25">
      <c r="A1882" t="s">
        <v>59</v>
      </c>
      <c r="B1882" t="s">
        <v>31</v>
      </c>
      <c r="C1882" t="s">
        <v>32</v>
      </c>
      <c r="D1882" t="s">
        <v>33</v>
      </c>
      <c r="F1882" t="s">
        <v>35</v>
      </c>
      <c r="G1882" t="s">
        <v>35</v>
      </c>
      <c r="H1882" t="s">
        <v>35</v>
      </c>
      <c r="J1882" t="s">
        <v>2263</v>
      </c>
      <c r="K1882" t="s">
        <v>1092</v>
      </c>
      <c r="M1882">
        <v>0.63</v>
      </c>
      <c r="N1882">
        <v>59</v>
      </c>
      <c r="O1882" t="s">
        <v>52</v>
      </c>
      <c r="Q1882" t="s">
        <v>84</v>
      </c>
      <c r="R1882" t="s">
        <v>103</v>
      </c>
      <c r="S1882" t="s">
        <v>104</v>
      </c>
    </row>
    <row r="1883" spans="1:19" x14ac:dyDescent="0.25">
      <c r="A1883" t="s">
        <v>1439</v>
      </c>
      <c r="B1883" t="s">
        <v>1440</v>
      </c>
      <c r="C1883" t="s">
        <v>32</v>
      </c>
      <c r="D1883" t="s">
        <v>33</v>
      </c>
      <c r="F1883" t="s">
        <v>35</v>
      </c>
      <c r="G1883" t="s">
        <v>35</v>
      </c>
      <c r="H1883" t="s">
        <v>35</v>
      </c>
      <c r="J1883" t="s">
        <v>2263</v>
      </c>
      <c r="K1883" t="s">
        <v>1092</v>
      </c>
      <c r="M1883">
        <v>1</v>
      </c>
      <c r="N1883">
        <v>59</v>
      </c>
      <c r="O1883" t="s">
        <v>52</v>
      </c>
      <c r="Q1883" t="s">
        <v>84</v>
      </c>
      <c r="R1883" t="s">
        <v>103</v>
      </c>
      <c r="S1883" t="s">
        <v>104</v>
      </c>
    </row>
    <row r="1884" spans="1:19" x14ac:dyDescent="0.25">
      <c r="A1884" t="s">
        <v>59</v>
      </c>
      <c r="B1884" t="s">
        <v>60</v>
      </c>
      <c r="C1884" t="s">
        <v>32</v>
      </c>
      <c r="D1884" t="s">
        <v>33</v>
      </c>
      <c r="F1884" t="s">
        <v>35</v>
      </c>
      <c r="G1884" t="s">
        <v>35</v>
      </c>
      <c r="H1884" t="s">
        <v>35</v>
      </c>
      <c r="J1884" t="s">
        <v>2264</v>
      </c>
      <c r="K1884" t="s">
        <v>1092</v>
      </c>
      <c r="M1884">
        <v>2.4500000000000002</v>
      </c>
      <c r="N1884">
        <v>98</v>
      </c>
      <c r="O1884" t="s">
        <v>106</v>
      </c>
      <c r="Q1884" t="s">
        <v>108</v>
      </c>
      <c r="R1884" t="s">
        <v>193</v>
      </c>
      <c r="S1884" t="s">
        <v>181</v>
      </c>
    </row>
    <row r="1885" spans="1:19" x14ac:dyDescent="0.25">
      <c r="A1885" t="s">
        <v>59</v>
      </c>
      <c r="B1885" t="s">
        <v>60</v>
      </c>
      <c r="C1885" t="s">
        <v>32</v>
      </c>
      <c r="D1885" t="s">
        <v>33</v>
      </c>
      <c r="F1885" t="s">
        <v>35</v>
      </c>
      <c r="G1885" t="s">
        <v>35</v>
      </c>
      <c r="H1885" t="s">
        <v>35</v>
      </c>
      <c r="J1885" t="s">
        <v>2265</v>
      </c>
      <c r="K1885" t="s">
        <v>1092</v>
      </c>
      <c r="M1885">
        <v>0.5</v>
      </c>
      <c r="N1885">
        <v>1296</v>
      </c>
      <c r="O1885" t="s">
        <v>575</v>
      </c>
      <c r="Q1885" t="s">
        <v>2266</v>
      </c>
      <c r="R1885" t="s">
        <v>1395</v>
      </c>
      <c r="S1885" t="s">
        <v>1396</v>
      </c>
    </row>
    <row r="1886" spans="1:19" x14ac:dyDescent="0.25">
      <c r="A1886" t="s">
        <v>59</v>
      </c>
      <c r="B1886" t="s">
        <v>60</v>
      </c>
      <c r="C1886" t="s">
        <v>32</v>
      </c>
      <c r="D1886" t="s">
        <v>33</v>
      </c>
      <c r="F1886" t="s">
        <v>35</v>
      </c>
      <c r="G1886" t="s">
        <v>35</v>
      </c>
      <c r="H1886" t="s">
        <v>35</v>
      </c>
      <c r="J1886" t="s">
        <v>2267</v>
      </c>
      <c r="K1886" t="s">
        <v>1092</v>
      </c>
      <c r="M1886">
        <v>0.06</v>
      </c>
      <c r="N1886">
        <v>2673</v>
      </c>
      <c r="O1886" t="s">
        <v>575</v>
      </c>
      <c r="Q1886" t="s">
        <v>1486</v>
      </c>
      <c r="R1886" t="s">
        <v>1487</v>
      </c>
      <c r="S1886" t="s">
        <v>1488</v>
      </c>
    </row>
    <row r="1887" spans="1:19" x14ac:dyDescent="0.25">
      <c r="A1887" t="s">
        <v>59</v>
      </c>
      <c r="B1887" t="s">
        <v>60</v>
      </c>
      <c r="C1887" t="s">
        <v>32</v>
      </c>
      <c r="D1887" t="s">
        <v>33</v>
      </c>
      <c r="F1887" t="s">
        <v>35</v>
      </c>
      <c r="G1887" t="s">
        <v>35</v>
      </c>
      <c r="H1887" t="s">
        <v>35</v>
      </c>
      <c r="J1887" t="s">
        <v>2268</v>
      </c>
      <c r="K1887" t="s">
        <v>1092</v>
      </c>
      <c r="M1887">
        <v>7.0000000000000007E-2</v>
      </c>
      <c r="N1887">
        <v>2673</v>
      </c>
      <c r="O1887" t="s">
        <v>575</v>
      </c>
      <c r="Q1887" t="s">
        <v>1486</v>
      </c>
      <c r="R1887" t="s">
        <v>1487</v>
      </c>
      <c r="S1887" t="s">
        <v>1488</v>
      </c>
    </row>
    <row r="1888" spans="1:19" x14ac:dyDescent="0.25">
      <c r="A1888" t="s">
        <v>59</v>
      </c>
      <c r="B1888" t="s">
        <v>60</v>
      </c>
      <c r="C1888" t="s">
        <v>32</v>
      </c>
      <c r="D1888" t="s">
        <v>33</v>
      </c>
      <c r="F1888" t="s">
        <v>35</v>
      </c>
      <c r="G1888" t="s">
        <v>35</v>
      </c>
      <c r="H1888" t="s">
        <v>35</v>
      </c>
      <c r="J1888" t="s">
        <v>2269</v>
      </c>
      <c r="K1888" t="s">
        <v>1092</v>
      </c>
      <c r="M1888">
        <v>2.97</v>
      </c>
      <c r="N1888">
        <v>1943</v>
      </c>
      <c r="O1888" t="s">
        <v>575</v>
      </c>
      <c r="Q1888" t="s">
        <v>2270</v>
      </c>
      <c r="R1888" t="s">
        <v>1932</v>
      </c>
      <c r="S1888" t="s">
        <v>1915</v>
      </c>
    </row>
    <row r="1889" spans="1:19" x14ac:dyDescent="0.25">
      <c r="A1889" t="s">
        <v>59</v>
      </c>
      <c r="B1889" t="s">
        <v>60</v>
      </c>
      <c r="C1889" t="s">
        <v>32</v>
      </c>
      <c r="D1889" t="s">
        <v>33</v>
      </c>
      <c r="F1889" t="s">
        <v>35</v>
      </c>
      <c r="G1889" t="s">
        <v>35</v>
      </c>
      <c r="H1889" t="s">
        <v>35</v>
      </c>
      <c r="J1889" t="s">
        <v>2269</v>
      </c>
      <c r="K1889" t="s">
        <v>1092</v>
      </c>
      <c r="M1889">
        <v>5</v>
      </c>
      <c r="N1889">
        <v>1886</v>
      </c>
      <c r="O1889" t="s">
        <v>575</v>
      </c>
      <c r="Q1889" t="s">
        <v>2271</v>
      </c>
      <c r="R1889" t="s">
        <v>1932</v>
      </c>
      <c r="S1889" t="s">
        <v>1915</v>
      </c>
    </row>
    <row r="1890" spans="1:19" x14ac:dyDescent="0.25">
      <c r="A1890" t="s">
        <v>59</v>
      </c>
      <c r="B1890" t="s">
        <v>31</v>
      </c>
      <c r="C1890" t="s">
        <v>32</v>
      </c>
      <c r="D1890" t="s">
        <v>33</v>
      </c>
      <c r="F1890" t="s">
        <v>35</v>
      </c>
      <c r="G1890" t="s">
        <v>35</v>
      </c>
      <c r="H1890" t="s">
        <v>35</v>
      </c>
      <c r="J1890" t="s">
        <v>2272</v>
      </c>
      <c r="K1890" t="s">
        <v>1092</v>
      </c>
      <c r="M1890">
        <v>7.6950000000000003</v>
      </c>
      <c r="N1890">
        <v>1430</v>
      </c>
      <c r="O1890" t="s">
        <v>575</v>
      </c>
      <c r="Q1890" t="s">
        <v>2273</v>
      </c>
      <c r="R1890" t="s">
        <v>199</v>
      </c>
      <c r="S1890" t="s">
        <v>200</v>
      </c>
    </row>
    <row r="1891" spans="1:19" x14ac:dyDescent="0.25">
      <c r="A1891" t="s">
        <v>59</v>
      </c>
      <c r="B1891" t="s">
        <v>60</v>
      </c>
      <c r="C1891" t="s">
        <v>32</v>
      </c>
      <c r="D1891" t="s">
        <v>33</v>
      </c>
      <c r="F1891" t="s">
        <v>35</v>
      </c>
      <c r="G1891" t="s">
        <v>35</v>
      </c>
      <c r="H1891" t="s">
        <v>35</v>
      </c>
      <c r="J1891" t="s">
        <v>2272</v>
      </c>
      <c r="K1891" t="s">
        <v>1092</v>
      </c>
      <c r="M1891">
        <v>0.05</v>
      </c>
      <c r="N1891">
        <v>1430</v>
      </c>
      <c r="O1891" t="s">
        <v>575</v>
      </c>
      <c r="Q1891" t="s">
        <v>2273</v>
      </c>
      <c r="R1891" t="s">
        <v>199</v>
      </c>
      <c r="S1891" t="s">
        <v>200</v>
      </c>
    </row>
    <row r="1892" spans="1:19" x14ac:dyDescent="0.25">
      <c r="A1892" t="s">
        <v>59</v>
      </c>
      <c r="B1892" t="s">
        <v>60</v>
      </c>
      <c r="C1892" t="s">
        <v>32</v>
      </c>
      <c r="D1892" t="s">
        <v>33</v>
      </c>
      <c r="F1892" t="s">
        <v>35</v>
      </c>
      <c r="G1892" t="s">
        <v>35</v>
      </c>
      <c r="H1892" t="s">
        <v>35</v>
      </c>
      <c r="J1892" t="s">
        <v>2274</v>
      </c>
      <c r="K1892" t="s">
        <v>1092</v>
      </c>
      <c r="M1892">
        <v>0.05</v>
      </c>
      <c r="N1892">
        <v>2673</v>
      </c>
      <c r="O1892" t="s">
        <v>575</v>
      </c>
      <c r="Q1892" t="s">
        <v>1486</v>
      </c>
      <c r="R1892" t="s">
        <v>1487</v>
      </c>
      <c r="S1892" t="s">
        <v>1488</v>
      </c>
    </row>
    <row r="1893" spans="1:19" x14ac:dyDescent="0.25">
      <c r="A1893" t="s">
        <v>59</v>
      </c>
      <c r="B1893" t="s">
        <v>60</v>
      </c>
      <c r="C1893" t="s">
        <v>32</v>
      </c>
      <c r="D1893" t="s">
        <v>33</v>
      </c>
      <c r="F1893" t="s">
        <v>35</v>
      </c>
      <c r="G1893" t="s">
        <v>35</v>
      </c>
      <c r="H1893" t="s">
        <v>35</v>
      </c>
      <c r="J1893" t="s">
        <v>2275</v>
      </c>
      <c r="K1893" t="s">
        <v>1092</v>
      </c>
      <c r="M1893">
        <v>0.20499999999999999</v>
      </c>
      <c r="N1893">
        <v>2673</v>
      </c>
      <c r="O1893" t="s">
        <v>575</v>
      </c>
      <c r="Q1893" t="s">
        <v>1486</v>
      </c>
      <c r="R1893" t="s">
        <v>1487</v>
      </c>
      <c r="S1893" t="s">
        <v>1488</v>
      </c>
    </row>
    <row r="1894" spans="1:19" x14ac:dyDescent="0.25">
      <c r="A1894" t="s">
        <v>59</v>
      </c>
      <c r="B1894" t="s">
        <v>60</v>
      </c>
      <c r="C1894" t="s">
        <v>32</v>
      </c>
      <c r="D1894" t="s">
        <v>33</v>
      </c>
      <c r="F1894" t="s">
        <v>35</v>
      </c>
      <c r="G1894" t="s">
        <v>35</v>
      </c>
      <c r="H1894" t="s">
        <v>35</v>
      </c>
      <c r="J1894" t="s">
        <v>2276</v>
      </c>
      <c r="K1894" t="s">
        <v>1092</v>
      </c>
      <c r="M1894">
        <v>0.65</v>
      </c>
      <c r="N1894">
        <v>162</v>
      </c>
      <c r="O1894" t="s">
        <v>38</v>
      </c>
      <c r="Q1894" t="s">
        <v>2277</v>
      </c>
      <c r="R1894" t="s">
        <v>193</v>
      </c>
      <c r="S1894" t="s">
        <v>181</v>
      </c>
    </row>
    <row r="1895" spans="1:19" x14ac:dyDescent="0.25">
      <c r="A1895" t="s">
        <v>59</v>
      </c>
      <c r="B1895" t="s">
        <v>60</v>
      </c>
      <c r="C1895" t="s">
        <v>32</v>
      </c>
      <c r="D1895" t="s">
        <v>33</v>
      </c>
      <c r="F1895" t="s">
        <v>35</v>
      </c>
      <c r="G1895" t="s">
        <v>35</v>
      </c>
      <c r="H1895" t="s">
        <v>35</v>
      </c>
      <c r="J1895" t="s">
        <v>1304</v>
      </c>
      <c r="K1895" t="s">
        <v>1092</v>
      </c>
      <c r="M1895">
        <v>0.02</v>
      </c>
      <c r="N1895">
        <v>2673</v>
      </c>
      <c r="O1895" t="s">
        <v>575</v>
      </c>
      <c r="Q1895" t="s">
        <v>1486</v>
      </c>
      <c r="R1895" t="s">
        <v>1487</v>
      </c>
      <c r="S1895" t="s">
        <v>1488</v>
      </c>
    </row>
    <row r="1896" spans="1:19" x14ac:dyDescent="0.25">
      <c r="A1896" t="s">
        <v>30</v>
      </c>
      <c r="B1896" t="s">
        <v>2278</v>
      </c>
      <c r="C1896" t="s">
        <v>32</v>
      </c>
      <c r="D1896" t="s">
        <v>33</v>
      </c>
      <c r="F1896" t="s">
        <v>35</v>
      </c>
      <c r="G1896" t="s">
        <v>35</v>
      </c>
      <c r="H1896" t="s">
        <v>35</v>
      </c>
      <c r="J1896" t="s">
        <v>2279</v>
      </c>
      <c r="K1896" t="s">
        <v>1092</v>
      </c>
      <c r="M1896">
        <v>0.23799999999999999</v>
      </c>
      <c r="N1896">
        <v>2673</v>
      </c>
      <c r="O1896" t="s">
        <v>575</v>
      </c>
      <c r="Q1896" t="s">
        <v>1486</v>
      </c>
      <c r="R1896" t="s">
        <v>1487</v>
      </c>
      <c r="S1896" t="s">
        <v>1488</v>
      </c>
    </row>
    <row r="1897" spans="1:19" x14ac:dyDescent="0.25">
      <c r="A1897" t="s">
        <v>59</v>
      </c>
      <c r="B1897" t="s">
        <v>60</v>
      </c>
      <c r="C1897" t="s">
        <v>32</v>
      </c>
      <c r="D1897" t="s">
        <v>33</v>
      </c>
      <c r="F1897" t="s">
        <v>35</v>
      </c>
      <c r="G1897" t="s">
        <v>35</v>
      </c>
      <c r="H1897" t="s">
        <v>35</v>
      </c>
      <c r="J1897" t="s">
        <v>2279</v>
      </c>
      <c r="K1897" t="s">
        <v>1092</v>
      </c>
      <c r="M1897">
        <v>2.1999999999999999E-2</v>
      </c>
      <c r="N1897">
        <v>2673</v>
      </c>
      <c r="O1897" t="s">
        <v>575</v>
      </c>
      <c r="Q1897" t="s">
        <v>1486</v>
      </c>
      <c r="R1897" t="s">
        <v>1487</v>
      </c>
      <c r="S1897" t="s">
        <v>1488</v>
      </c>
    </row>
    <row r="1898" spans="1:19" x14ac:dyDescent="0.25">
      <c r="A1898" t="s">
        <v>59</v>
      </c>
      <c r="B1898" t="s">
        <v>60</v>
      </c>
      <c r="C1898" t="s">
        <v>32</v>
      </c>
      <c r="D1898" t="s">
        <v>33</v>
      </c>
      <c r="F1898" t="s">
        <v>35</v>
      </c>
      <c r="G1898" t="s">
        <v>35</v>
      </c>
      <c r="H1898" t="s">
        <v>35</v>
      </c>
      <c r="J1898" t="s">
        <v>2280</v>
      </c>
      <c r="K1898" t="s">
        <v>1092</v>
      </c>
      <c r="M1898">
        <v>0.44500000000000001</v>
      </c>
      <c r="N1898">
        <v>2673</v>
      </c>
      <c r="O1898" t="s">
        <v>575</v>
      </c>
      <c r="Q1898" t="s">
        <v>1486</v>
      </c>
      <c r="R1898" t="s">
        <v>1487</v>
      </c>
      <c r="S1898" t="s">
        <v>1488</v>
      </c>
    </row>
    <row r="1899" spans="1:19" x14ac:dyDescent="0.25">
      <c r="A1899" t="s">
        <v>59</v>
      </c>
      <c r="B1899" t="s">
        <v>60</v>
      </c>
      <c r="C1899" t="s">
        <v>32</v>
      </c>
      <c r="D1899" t="s">
        <v>33</v>
      </c>
      <c r="F1899" t="s">
        <v>35</v>
      </c>
      <c r="G1899" t="s">
        <v>35</v>
      </c>
      <c r="H1899" t="s">
        <v>35</v>
      </c>
      <c r="J1899" t="s">
        <v>2281</v>
      </c>
      <c r="K1899" t="s">
        <v>1092</v>
      </c>
      <c r="M1899">
        <v>0.25</v>
      </c>
      <c r="N1899">
        <v>2673</v>
      </c>
      <c r="O1899" t="s">
        <v>575</v>
      </c>
      <c r="Q1899" t="s">
        <v>1486</v>
      </c>
      <c r="R1899" t="s">
        <v>1487</v>
      </c>
      <c r="S1899" t="s">
        <v>1488</v>
      </c>
    </row>
    <row r="1900" spans="1:19" x14ac:dyDescent="0.25">
      <c r="A1900" t="s">
        <v>59</v>
      </c>
      <c r="B1900" t="s">
        <v>60</v>
      </c>
      <c r="C1900" t="s">
        <v>32</v>
      </c>
      <c r="D1900" t="s">
        <v>33</v>
      </c>
      <c r="F1900" t="s">
        <v>35</v>
      </c>
      <c r="G1900" t="s">
        <v>35</v>
      </c>
      <c r="H1900" t="s">
        <v>35</v>
      </c>
      <c r="J1900" t="s">
        <v>2282</v>
      </c>
      <c r="K1900" t="s">
        <v>1092</v>
      </c>
      <c r="M1900">
        <v>0.5</v>
      </c>
      <c r="N1900">
        <v>2673</v>
      </c>
      <c r="O1900" t="s">
        <v>575</v>
      </c>
      <c r="Q1900" t="s">
        <v>1486</v>
      </c>
      <c r="R1900" t="s">
        <v>1487</v>
      </c>
      <c r="S1900" t="s">
        <v>1488</v>
      </c>
    </row>
    <row r="1901" spans="1:19" x14ac:dyDescent="0.25">
      <c r="A1901" t="s">
        <v>59</v>
      </c>
      <c r="B1901" t="s">
        <v>31</v>
      </c>
      <c r="C1901" t="s">
        <v>32</v>
      </c>
      <c r="D1901" t="s">
        <v>33</v>
      </c>
      <c r="F1901" t="s">
        <v>35</v>
      </c>
      <c r="G1901" t="s">
        <v>35</v>
      </c>
      <c r="H1901" t="s">
        <v>35</v>
      </c>
      <c r="J1901" t="s">
        <v>2283</v>
      </c>
      <c r="K1901" t="s">
        <v>1092</v>
      </c>
      <c r="M1901">
        <v>0.13500000000000001</v>
      </c>
      <c r="N1901">
        <v>1448</v>
      </c>
      <c r="O1901" t="s">
        <v>575</v>
      </c>
      <c r="Q1901" t="s">
        <v>2285</v>
      </c>
      <c r="R1901" t="s">
        <v>1173</v>
      </c>
      <c r="S1901" t="s">
        <v>222</v>
      </c>
    </row>
    <row r="1902" spans="1:19" x14ac:dyDescent="0.25">
      <c r="A1902" t="s">
        <v>59</v>
      </c>
      <c r="B1902" t="s">
        <v>60</v>
      </c>
      <c r="C1902" t="s">
        <v>32</v>
      </c>
      <c r="D1902" t="s">
        <v>33</v>
      </c>
      <c r="F1902" t="s">
        <v>35</v>
      </c>
      <c r="G1902" t="s">
        <v>35</v>
      </c>
      <c r="H1902" t="s">
        <v>35</v>
      </c>
      <c r="J1902" t="s">
        <v>2283</v>
      </c>
      <c r="K1902" t="s">
        <v>1092</v>
      </c>
      <c r="M1902">
        <v>0.5</v>
      </c>
      <c r="N1902">
        <v>1346</v>
      </c>
      <c r="O1902" t="s">
        <v>575</v>
      </c>
      <c r="Q1902" t="s">
        <v>2284</v>
      </c>
      <c r="R1902" t="s">
        <v>1173</v>
      </c>
      <c r="S1902" t="s">
        <v>222</v>
      </c>
    </row>
    <row r="1903" spans="1:19" x14ac:dyDescent="0.25">
      <c r="A1903" t="s">
        <v>59</v>
      </c>
      <c r="B1903" t="s">
        <v>60</v>
      </c>
      <c r="C1903" t="s">
        <v>32</v>
      </c>
      <c r="D1903" t="s">
        <v>33</v>
      </c>
      <c r="F1903" t="s">
        <v>35</v>
      </c>
      <c r="G1903" t="s">
        <v>35</v>
      </c>
      <c r="H1903" t="s">
        <v>35</v>
      </c>
      <c r="J1903" t="s">
        <v>2283</v>
      </c>
      <c r="K1903" t="s">
        <v>1092</v>
      </c>
      <c r="M1903">
        <v>0.2</v>
      </c>
      <c r="N1903">
        <v>1386</v>
      </c>
      <c r="O1903" t="s">
        <v>575</v>
      </c>
      <c r="Q1903" t="s">
        <v>2286</v>
      </c>
      <c r="R1903" t="s">
        <v>1173</v>
      </c>
      <c r="S1903" t="s">
        <v>222</v>
      </c>
    </row>
    <row r="1904" spans="1:19" x14ac:dyDescent="0.25">
      <c r="A1904" t="s">
        <v>59</v>
      </c>
      <c r="B1904" t="s">
        <v>60</v>
      </c>
      <c r="C1904" t="s">
        <v>32</v>
      </c>
      <c r="D1904" t="s">
        <v>33</v>
      </c>
      <c r="F1904" t="s">
        <v>35</v>
      </c>
      <c r="G1904" t="s">
        <v>35</v>
      </c>
      <c r="H1904" t="s">
        <v>35</v>
      </c>
      <c r="J1904" t="s">
        <v>2287</v>
      </c>
      <c r="K1904" t="s">
        <v>1092</v>
      </c>
      <c r="M1904">
        <v>0.45</v>
      </c>
      <c r="N1904">
        <v>1944</v>
      </c>
      <c r="O1904" t="s">
        <v>575</v>
      </c>
      <c r="Q1904" t="s">
        <v>2289</v>
      </c>
      <c r="R1904" t="s">
        <v>1454</v>
      </c>
      <c r="S1904" t="s">
        <v>1455</v>
      </c>
    </row>
    <row r="1905" spans="1:19" x14ac:dyDescent="0.25">
      <c r="A1905" t="s">
        <v>59</v>
      </c>
      <c r="B1905" t="s">
        <v>60</v>
      </c>
      <c r="C1905" t="s">
        <v>32</v>
      </c>
      <c r="D1905" t="s">
        <v>33</v>
      </c>
      <c r="F1905" t="s">
        <v>35</v>
      </c>
      <c r="G1905" t="s">
        <v>35</v>
      </c>
      <c r="H1905" t="s">
        <v>35</v>
      </c>
      <c r="J1905" t="s">
        <v>2287</v>
      </c>
      <c r="K1905" t="s">
        <v>1092</v>
      </c>
      <c r="M1905">
        <v>1</v>
      </c>
      <c r="N1905">
        <v>1894</v>
      </c>
      <c r="O1905" t="s">
        <v>575</v>
      </c>
      <c r="Q1905" t="s">
        <v>2288</v>
      </c>
      <c r="R1905" t="s">
        <v>1454</v>
      </c>
      <c r="S1905" t="s">
        <v>1455</v>
      </c>
    </row>
    <row r="1906" spans="1:19" x14ac:dyDescent="0.25">
      <c r="A1906" t="s">
        <v>59</v>
      </c>
      <c r="B1906" t="s">
        <v>60</v>
      </c>
      <c r="C1906" t="s">
        <v>32</v>
      </c>
      <c r="D1906" t="s">
        <v>33</v>
      </c>
      <c r="F1906" t="s">
        <v>35</v>
      </c>
      <c r="G1906" t="s">
        <v>35</v>
      </c>
      <c r="H1906" t="s">
        <v>35</v>
      </c>
      <c r="J1906" t="s">
        <v>2290</v>
      </c>
      <c r="K1906" t="s">
        <v>1092</v>
      </c>
      <c r="M1906">
        <v>1.3</v>
      </c>
      <c r="N1906">
        <v>1262</v>
      </c>
      <c r="O1906" t="s">
        <v>575</v>
      </c>
      <c r="Q1906" t="s">
        <v>2292</v>
      </c>
      <c r="R1906" t="s">
        <v>85</v>
      </c>
      <c r="S1906" t="s">
        <v>86</v>
      </c>
    </row>
    <row r="1907" spans="1:19" x14ac:dyDescent="0.25">
      <c r="A1907" t="s">
        <v>30</v>
      </c>
      <c r="B1907" t="s">
        <v>31</v>
      </c>
      <c r="C1907" t="s">
        <v>32</v>
      </c>
      <c r="D1907" t="s">
        <v>33</v>
      </c>
      <c r="F1907" t="s">
        <v>35</v>
      </c>
      <c r="G1907" t="s">
        <v>35</v>
      </c>
      <c r="H1907" t="s">
        <v>35</v>
      </c>
      <c r="J1907" t="s">
        <v>2290</v>
      </c>
      <c r="K1907" t="s">
        <v>1092</v>
      </c>
      <c r="M1907">
        <v>1.17</v>
      </c>
      <c r="N1907">
        <v>1210</v>
      </c>
      <c r="O1907" t="s">
        <v>575</v>
      </c>
      <c r="Q1907" t="s">
        <v>2291</v>
      </c>
      <c r="R1907" t="s">
        <v>118</v>
      </c>
      <c r="S1907" t="s">
        <v>65</v>
      </c>
    </row>
    <row r="1908" spans="1:19" x14ac:dyDescent="0.25">
      <c r="A1908" t="s">
        <v>59</v>
      </c>
      <c r="B1908" t="s">
        <v>60</v>
      </c>
      <c r="C1908" t="s">
        <v>32</v>
      </c>
      <c r="D1908" t="s">
        <v>33</v>
      </c>
      <c r="F1908" t="s">
        <v>35</v>
      </c>
      <c r="G1908" t="s">
        <v>35</v>
      </c>
      <c r="H1908" t="s">
        <v>35</v>
      </c>
      <c r="J1908" t="s">
        <v>2293</v>
      </c>
      <c r="K1908" t="s">
        <v>1092</v>
      </c>
      <c r="M1908">
        <v>1E-3</v>
      </c>
      <c r="N1908">
        <v>2585</v>
      </c>
      <c r="O1908" t="s">
        <v>575</v>
      </c>
      <c r="Q1908" t="s">
        <v>2294</v>
      </c>
      <c r="R1908" t="s">
        <v>1287</v>
      </c>
      <c r="S1908" t="s">
        <v>189</v>
      </c>
    </row>
    <row r="1909" spans="1:19" x14ac:dyDescent="0.25">
      <c r="A1909" t="s">
        <v>30</v>
      </c>
      <c r="B1909" t="s">
        <v>31</v>
      </c>
      <c r="C1909" t="s">
        <v>32</v>
      </c>
      <c r="D1909" t="s">
        <v>33</v>
      </c>
      <c r="F1909" t="s">
        <v>35</v>
      </c>
      <c r="G1909" t="s">
        <v>35</v>
      </c>
      <c r="H1909" t="s">
        <v>35</v>
      </c>
      <c r="J1909" t="s">
        <v>2295</v>
      </c>
      <c r="K1909" t="s">
        <v>1092</v>
      </c>
      <c r="M1909">
        <v>1.26</v>
      </c>
      <c r="N1909">
        <v>2130</v>
      </c>
      <c r="O1909" t="s">
        <v>575</v>
      </c>
      <c r="Q1909" t="s">
        <v>2296</v>
      </c>
      <c r="R1909" t="s">
        <v>2297</v>
      </c>
      <c r="S1909" t="s">
        <v>1647</v>
      </c>
    </row>
    <row r="1910" spans="1:19" x14ac:dyDescent="0.25">
      <c r="A1910" t="s">
        <v>59</v>
      </c>
      <c r="B1910" t="s">
        <v>60</v>
      </c>
      <c r="C1910" t="s">
        <v>32</v>
      </c>
      <c r="D1910" t="s">
        <v>33</v>
      </c>
      <c r="F1910" t="s">
        <v>35</v>
      </c>
      <c r="G1910" t="s">
        <v>35</v>
      </c>
      <c r="H1910" t="s">
        <v>35</v>
      </c>
      <c r="J1910" t="s">
        <v>2298</v>
      </c>
      <c r="K1910" t="s">
        <v>1092</v>
      </c>
      <c r="M1910">
        <v>0.08</v>
      </c>
      <c r="N1910">
        <v>2673</v>
      </c>
      <c r="O1910" t="s">
        <v>575</v>
      </c>
      <c r="Q1910" t="s">
        <v>1486</v>
      </c>
      <c r="R1910" t="s">
        <v>1487</v>
      </c>
      <c r="S1910" t="s">
        <v>1488</v>
      </c>
    </row>
    <row r="1911" spans="1:19" x14ac:dyDescent="0.25">
      <c r="A1911" t="s">
        <v>59</v>
      </c>
      <c r="B1911" t="s">
        <v>60</v>
      </c>
      <c r="C1911" t="s">
        <v>32</v>
      </c>
      <c r="D1911" t="s">
        <v>33</v>
      </c>
      <c r="F1911" t="s">
        <v>35</v>
      </c>
      <c r="G1911" t="s">
        <v>35</v>
      </c>
      <c r="H1911" t="s">
        <v>35</v>
      </c>
      <c r="J1911" t="s">
        <v>2299</v>
      </c>
      <c r="K1911" t="s">
        <v>1092</v>
      </c>
      <c r="M1911">
        <v>1.9</v>
      </c>
      <c r="N1911">
        <v>173</v>
      </c>
      <c r="O1911" t="s">
        <v>38</v>
      </c>
      <c r="Q1911" t="s">
        <v>1345</v>
      </c>
      <c r="R1911" t="s">
        <v>1346</v>
      </c>
      <c r="S1911" t="s">
        <v>1347</v>
      </c>
    </row>
    <row r="1912" spans="1:19" x14ac:dyDescent="0.25">
      <c r="A1912" t="s">
        <v>59</v>
      </c>
      <c r="B1912" t="s">
        <v>60</v>
      </c>
      <c r="C1912" t="s">
        <v>32</v>
      </c>
      <c r="D1912" t="s">
        <v>33</v>
      </c>
      <c r="F1912" t="s">
        <v>35</v>
      </c>
      <c r="G1912" t="s">
        <v>35</v>
      </c>
      <c r="H1912" t="s">
        <v>35</v>
      </c>
      <c r="J1912" t="s">
        <v>2300</v>
      </c>
      <c r="K1912" t="s">
        <v>1092</v>
      </c>
      <c r="M1912">
        <v>0.11</v>
      </c>
      <c r="N1912">
        <v>2673</v>
      </c>
      <c r="O1912" t="s">
        <v>575</v>
      </c>
      <c r="Q1912" t="s">
        <v>1486</v>
      </c>
      <c r="R1912" t="s">
        <v>1487</v>
      </c>
      <c r="S1912" t="s">
        <v>1488</v>
      </c>
    </row>
    <row r="1913" spans="1:19" x14ac:dyDescent="0.25">
      <c r="A1913" t="s">
        <v>59</v>
      </c>
      <c r="B1913" t="s">
        <v>60</v>
      </c>
      <c r="C1913" t="s">
        <v>32</v>
      </c>
      <c r="D1913" t="s">
        <v>33</v>
      </c>
      <c r="F1913" t="s">
        <v>35</v>
      </c>
      <c r="G1913" t="s">
        <v>35</v>
      </c>
      <c r="H1913" t="s">
        <v>35</v>
      </c>
      <c r="J1913" t="s">
        <v>2301</v>
      </c>
      <c r="K1913" t="s">
        <v>1092</v>
      </c>
      <c r="M1913">
        <v>0.25</v>
      </c>
      <c r="N1913">
        <v>2444</v>
      </c>
      <c r="O1913" t="s">
        <v>575</v>
      </c>
      <c r="Q1913" t="s">
        <v>1390</v>
      </c>
      <c r="R1913" t="s">
        <v>1391</v>
      </c>
      <c r="S1913" t="s">
        <v>1392</v>
      </c>
    </row>
    <row r="1914" spans="1:19" x14ac:dyDescent="0.25">
      <c r="A1914" t="s">
        <v>59</v>
      </c>
      <c r="B1914" t="s">
        <v>31</v>
      </c>
      <c r="C1914" t="s">
        <v>32</v>
      </c>
      <c r="D1914" t="s">
        <v>33</v>
      </c>
      <c r="F1914" t="s">
        <v>35</v>
      </c>
      <c r="G1914" t="s">
        <v>35</v>
      </c>
      <c r="H1914" t="s">
        <v>35</v>
      </c>
      <c r="J1914" t="s">
        <v>2028</v>
      </c>
      <c r="K1914" t="s">
        <v>1092</v>
      </c>
      <c r="M1914">
        <v>1.89</v>
      </c>
      <c r="N1914">
        <v>1311</v>
      </c>
      <c r="O1914" t="s">
        <v>575</v>
      </c>
      <c r="Q1914" t="s">
        <v>2302</v>
      </c>
      <c r="R1914" t="s">
        <v>193</v>
      </c>
      <c r="S1914" t="s">
        <v>181</v>
      </c>
    </row>
    <row r="1915" spans="1:19" x14ac:dyDescent="0.25">
      <c r="A1915" t="s">
        <v>59</v>
      </c>
      <c r="B1915" t="s">
        <v>31</v>
      </c>
      <c r="C1915" t="s">
        <v>32</v>
      </c>
      <c r="D1915" t="s">
        <v>33</v>
      </c>
      <c r="F1915" t="s">
        <v>35</v>
      </c>
      <c r="G1915" t="s">
        <v>35</v>
      </c>
      <c r="H1915" t="s">
        <v>35</v>
      </c>
      <c r="J1915" t="s">
        <v>2303</v>
      </c>
      <c r="K1915" t="s">
        <v>1092</v>
      </c>
      <c r="M1915">
        <v>2.5000000000000001E-2</v>
      </c>
      <c r="N1915">
        <v>2673</v>
      </c>
      <c r="O1915" t="s">
        <v>575</v>
      </c>
      <c r="Q1915" t="s">
        <v>1486</v>
      </c>
      <c r="R1915" t="s">
        <v>1487</v>
      </c>
      <c r="S1915" t="s">
        <v>1488</v>
      </c>
    </row>
    <row r="1916" spans="1:19" x14ac:dyDescent="0.25">
      <c r="A1916" t="s">
        <v>59</v>
      </c>
      <c r="B1916" t="s">
        <v>31</v>
      </c>
      <c r="C1916" t="s">
        <v>32</v>
      </c>
      <c r="D1916" t="s">
        <v>33</v>
      </c>
      <c r="F1916" t="s">
        <v>35</v>
      </c>
      <c r="G1916" t="s">
        <v>35</v>
      </c>
      <c r="H1916" t="s">
        <v>35</v>
      </c>
      <c r="J1916" t="s">
        <v>2304</v>
      </c>
      <c r="K1916" t="s">
        <v>1092</v>
      </c>
      <c r="M1916">
        <v>0.72</v>
      </c>
      <c r="N1916">
        <v>63</v>
      </c>
      <c r="O1916" t="s">
        <v>61</v>
      </c>
      <c r="Q1916" t="s">
        <v>423</v>
      </c>
      <c r="R1916" t="s">
        <v>118</v>
      </c>
      <c r="S1916" t="s">
        <v>65</v>
      </c>
    </row>
    <row r="1917" spans="1:19" x14ac:dyDescent="0.25">
      <c r="A1917" t="s">
        <v>59</v>
      </c>
      <c r="B1917" t="s">
        <v>60</v>
      </c>
      <c r="C1917" t="s">
        <v>32</v>
      </c>
      <c r="D1917" t="s">
        <v>33</v>
      </c>
      <c r="F1917" t="s">
        <v>35</v>
      </c>
      <c r="G1917" t="s">
        <v>35</v>
      </c>
      <c r="H1917" t="s">
        <v>35</v>
      </c>
      <c r="J1917" t="s">
        <v>2304</v>
      </c>
      <c r="K1917" t="s">
        <v>1092</v>
      </c>
      <c r="M1917">
        <v>3.5</v>
      </c>
      <c r="N1917">
        <v>99</v>
      </c>
      <c r="O1917" t="s">
        <v>106</v>
      </c>
      <c r="Q1917" t="s">
        <v>1216</v>
      </c>
      <c r="R1917" t="s">
        <v>85</v>
      </c>
      <c r="S1917" t="s">
        <v>86</v>
      </c>
    </row>
    <row r="1918" spans="1:19" x14ac:dyDescent="0.25">
      <c r="A1918" t="s">
        <v>30</v>
      </c>
      <c r="B1918" t="s">
        <v>31</v>
      </c>
      <c r="C1918" t="s">
        <v>32</v>
      </c>
      <c r="D1918" t="s">
        <v>33</v>
      </c>
      <c r="F1918" t="s">
        <v>35</v>
      </c>
      <c r="G1918" t="s">
        <v>35</v>
      </c>
      <c r="H1918" t="s">
        <v>35</v>
      </c>
      <c r="J1918" t="s">
        <v>2304</v>
      </c>
      <c r="K1918" t="s">
        <v>1092</v>
      </c>
      <c r="M1918">
        <v>5.49</v>
      </c>
      <c r="N1918">
        <v>45</v>
      </c>
      <c r="O1918" t="s">
        <v>52</v>
      </c>
      <c r="Q1918" t="s">
        <v>716</v>
      </c>
      <c r="R1918" t="s">
        <v>85</v>
      </c>
      <c r="S1918" t="s">
        <v>86</v>
      </c>
    </row>
    <row r="1919" spans="1:19" x14ac:dyDescent="0.25">
      <c r="A1919" t="s">
        <v>59</v>
      </c>
      <c r="B1919" t="s">
        <v>60</v>
      </c>
      <c r="C1919" t="s">
        <v>32</v>
      </c>
      <c r="D1919" t="s">
        <v>33</v>
      </c>
      <c r="F1919" t="s">
        <v>35</v>
      </c>
      <c r="G1919" t="s">
        <v>35</v>
      </c>
      <c r="H1919" t="s">
        <v>35</v>
      </c>
      <c r="J1919" t="s">
        <v>2305</v>
      </c>
      <c r="K1919" t="s">
        <v>1092</v>
      </c>
      <c r="M1919">
        <v>0.05</v>
      </c>
      <c r="N1919">
        <v>2606</v>
      </c>
      <c r="O1919" t="s">
        <v>575</v>
      </c>
      <c r="Q1919" t="s">
        <v>2306</v>
      </c>
      <c r="R1919" t="s">
        <v>2307</v>
      </c>
      <c r="S1919" t="s">
        <v>2308</v>
      </c>
    </row>
    <row r="1920" spans="1:19" x14ac:dyDescent="0.25">
      <c r="A1920" t="s">
        <v>59</v>
      </c>
      <c r="B1920" t="s">
        <v>31</v>
      </c>
      <c r="C1920" t="s">
        <v>32</v>
      </c>
      <c r="D1920" t="s">
        <v>33</v>
      </c>
      <c r="F1920" t="s">
        <v>35</v>
      </c>
      <c r="G1920" t="s">
        <v>35</v>
      </c>
      <c r="H1920" t="s">
        <v>35</v>
      </c>
      <c r="J1920" t="s">
        <v>2309</v>
      </c>
      <c r="K1920" t="s">
        <v>1092</v>
      </c>
      <c r="M1920">
        <v>0.27</v>
      </c>
      <c r="N1920">
        <v>2272</v>
      </c>
      <c r="O1920" t="s">
        <v>575</v>
      </c>
      <c r="Q1920" t="s">
        <v>2310</v>
      </c>
      <c r="R1920" t="s">
        <v>1395</v>
      </c>
      <c r="S1920" t="s">
        <v>1396</v>
      </c>
    </row>
    <row r="1921" spans="1:19" x14ac:dyDescent="0.25">
      <c r="A1921" t="s">
        <v>59</v>
      </c>
      <c r="B1921" t="s">
        <v>60</v>
      </c>
      <c r="C1921" t="s">
        <v>32</v>
      </c>
      <c r="D1921" t="s">
        <v>33</v>
      </c>
      <c r="F1921" t="s">
        <v>35</v>
      </c>
      <c r="G1921" t="s">
        <v>35</v>
      </c>
      <c r="H1921" t="s">
        <v>35</v>
      </c>
      <c r="J1921" t="s">
        <v>2309</v>
      </c>
      <c r="K1921" t="s">
        <v>1092</v>
      </c>
      <c r="M1921">
        <v>1.35</v>
      </c>
      <c r="N1921">
        <v>2272</v>
      </c>
      <c r="O1921" t="s">
        <v>575</v>
      </c>
      <c r="Q1921" t="s">
        <v>2310</v>
      </c>
      <c r="R1921" t="s">
        <v>1395</v>
      </c>
      <c r="S1921" t="s">
        <v>1396</v>
      </c>
    </row>
    <row r="1922" spans="1:19" x14ac:dyDescent="0.25">
      <c r="A1922" t="s">
        <v>59</v>
      </c>
      <c r="B1922" t="s">
        <v>60</v>
      </c>
      <c r="C1922" t="s">
        <v>32</v>
      </c>
      <c r="D1922" t="s">
        <v>33</v>
      </c>
      <c r="F1922" t="s">
        <v>35</v>
      </c>
      <c r="G1922" t="s">
        <v>35</v>
      </c>
      <c r="H1922" t="s">
        <v>35</v>
      </c>
      <c r="J1922" t="s">
        <v>2311</v>
      </c>
      <c r="K1922" t="s">
        <v>1092</v>
      </c>
      <c r="M1922">
        <v>0.06</v>
      </c>
      <c r="N1922">
        <v>2673</v>
      </c>
      <c r="O1922" t="s">
        <v>575</v>
      </c>
      <c r="Q1922" t="s">
        <v>1486</v>
      </c>
      <c r="R1922" t="s">
        <v>1487</v>
      </c>
      <c r="S1922" t="s">
        <v>1488</v>
      </c>
    </row>
    <row r="1923" spans="1:19" x14ac:dyDescent="0.25">
      <c r="A1923" t="s">
        <v>59</v>
      </c>
      <c r="B1923" t="s">
        <v>31</v>
      </c>
      <c r="C1923" t="s">
        <v>32</v>
      </c>
      <c r="D1923" t="s">
        <v>33</v>
      </c>
      <c r="F1923" t="s">
        <v>35</v>
      </c>
      <c r="G1923" t="s">
        <v>35</v>
      </c>
      <c r="H1923" t="s">
        <v>35</v>
      </c>
      <c r="J1923" t="s">
        <v>2230</v>
      </c>
      <c r="K1923" t="s">
        <v>1092</v>
      </c>
      <c r="M1923">
        <v>0.02</v>
      </c>
      <c r="N1923">
        <v>1635</v>
      </c>
      <c r="O1923" t="s">
        <v>575</v>
      </c>
      <c r="Q1923" t="s">
        <v>2313</v>
      </c>
      <c r="R1923" t="s">
        <v>1173</v>
      </c>
      <c r="S1923" t="s">
        <v>222</v>
      </c>
    </row>
    <row r="1924" spans="1:19" x14ac:dyDescent="0.25">
      <c r="A1924" t="s">
        <v>59</v>
      </c>
      <c r="B1924" t="s">
        <v>60</v>
      </c>
      <c r="C1924" t="s">
        <v>32</v>
      </c>
      <c r="D1924" t="s">
        <v>33</v>
      </c>
      <c r="F1924" t="s">
        <v>35</v>
      </c>
      <c r="G1924" t="s">
        <v>35</v>
      </c>
      <c r="H1924" t="s">
        <v>35</v>
      </c>
      <c r="J1924" t="s">
        <v>2230</v>
      </c>
      <c r="K1924" t="s">
        <v>1092</v>
      </c>
      <c r="M1924">
        <v>0.5</v>
      </c>
      <c r="N1924">
        <v>1746</v>
      </c>
      <c r="O1924" t="s">
        <v>575</v>
      </c>
      <c r="Q1924" t="s">
        <v>2312</v>
      </c>
      <c r="R1924" t="s">
        <v>1211</v>
      </c>
      <c r="S1924" t="s">
        <v>1212</v>
      </c>
    </row>
    <row r="1925" spans="1:19" x14ac:dyDescent="0.25">
      <c r="A1925" t="s">
        <v>59</v>
      </c>
      <c r="B1925" t="s">
        <v>60</v>
      </c>
      <c r="C1925" t="s">
        <v>32</v>
      </c>
      <c r="D1925" t="s">
        <v>33</v>
      </c>
      <c r="F1925" t="s">
        <v>35</v>
      </c>
      <c r="G1925" t="s">
        <v>35</v>
      </c>
      <c r="H1925" t="s">
        <v>35</v>
      </c>
      <c r="J1925" t="s">
        <v>2314</v>
      </c>
      <c r="K1925" t="s">
        <v>1092</v>
      </c>
      <c r="M1925">
        <v>0.6</v>
      </c>
      <c r="N1925">
        <v>31</v>
      </c>
      <c r="O1925" t="s">
        <v>52</v>
      </c>
      <c r="Q1925" t="s">
        <v>972</v>
      </c>
      <c r="R1925" t="s">
        <v>1129</v>
      </c>
      <c r="S1925" t="s">
        <v>1130</v>
      </c>
    </row>
    <row r="1926" spans="1:19" x14ac:dyDescent="0.25">
      <c r="A1926" t="s">
        <v>59</v>
      </c>
      <c r="B1926" t="s">
        <v>60</v>
      </c>
      <c r="C1926" t="s">
        <v>32</v>
      </c>
      <c r="D1926" t="s">
        <v>33</v>
      </c>
      <c r="F1926" t="s">
        <v>35</v>
      </c>
      <c r="G1926" t="s">
        <v>35</v>
      </c>
      <c r="H1926" t="s">
        <v>35</v>
      </c>
      <c r="J1926" t="s">
        <v>2317</v>
      </c>
      <c r="K1926" t="s">
        <v>1092</v>
      </c>
      <c r="M1926">
        <v>0.1</v>
      </c>
      <c r="N1926">
        <v>2673</v>
      </c>
      <c r="O1926" t="s">
        <v>575</v>
      </c>
      <c r="Q1926" t="s">
        <v>1486</v>
      </c>
      <c r="R1926" t="s">
        <v>1487</v>
      </c>
      <c r="S1926" t="s">
        <v>1488</v>
      </c>
    </row>
    <row r="1927" spans="1:19" x14ac:dyDescent="0.25">
      <c r="A1927" t="s">
        <v>30</v>
      </c>
      <c r="B1927" t="s">
        <v>31</v>
      </c>
      <c r="C1927" t="s">
        <v>32</v>
      </c>
      <c r="D1927" t="s">
        <v>33</v>
      </c>
      <c r="F1927" t="s">
        <v>35</v>
      </c>
      <c r="G1927" t="s">
        <v>35</v>
      </c>
      <c r="H1927" t="s">
        <v>35</v>
      </c>
      <c r="J1927" t="s">
        <v>2318</v>
      </c>
      <c r="K1927" t="s">
        <v>1092</v>
      </c>
      <c r="M1927">
        <v>3.18</v>
      </c>
      <c r="N1927">
        <v>2277</v>
      </c>
      <c r="O1927" t="s">
        <v>575</v>
      </c>
      <c r="Q1927" t="s">
        <v>2320</v>
      </c>
      <c r="R1927" t="s">
        <v>85</v>
      </c>
      <c r="S1927" t="s">
        <v>86</v>
      </c>
    </row>
    <row r="1928" spans="1:19" x14ac:dyDescent="0.25">
      <c r="A1928" t="s">
        <v>59</v>
      </c>
      <c r="B1928" t="s">
        <v>60</v>
      </c>
      <c r="C1928" t="s">
        <v>32</v>
      </c>
      <c r="D1928" t="s">
        <v>33</v>
      </c>
      <c r="F1928" t="s">
        <v>35</v>
      </c>
      <c r="G1928" t="s">
        <v>35</v>
      </c>
      <c r="H1928" t="s">
        <v>35</v>
      </c>
      <c r="J1928" t="s">
        <v>2318</v>
      </c>
      <c r="K1928" t="s">
        <v>1092</v>
      </c>
      <c r="M1928">
        <v>4.7</v>
      </c>
      <c r="N1928">
        <v>2159</v>
      </c>
      <c r="O1928" t="s">
        <v>575</v>
      </c>
      <c r="Q1928" t="s">
        <v>2319</v>
      </c>
      <c r="R1928" t="s">
        <v>85</v>
      </c>
      <c r="S1928" t="s">
        <v>86</v>
      </c>
    </row>
    <row r="1929" spans="1:19" x14ac:dyDescent="0.25">
      <c r="A1929" t="s">
        <v>30</v>
      </c>
      <c r="B1929" t="s">
        <v>31</v>
      </c>
      <c r="C1929" t="s">
        <v>32</v>
      </c>
      <c r="D1929" t="s">
        <v>33</v>
      </c>
      <c r="F1929" t="s">
        <v>35</v>
      </c>
      <c r="G1929" t="s">
        <v>35</v>
      </c>
      <c r="H1929" t="s">
        <v>35</v>
      </c>
      <c r="J1929" t="s">
        <v>2321</v>
      </c>
      <c r="K1929" t="s">
        <v>1092</v>
      </c>
      <c r="M1929">
        <v>1E-3</v>
      </c>
      <c r="N1929">
        <v>1858</v>
      </c>
      <c r="O1929" t="s">
        <v>575</v>
      </c>
      <c r="Q1929" t="s">
        <v>2322</v>
      </c>
      <c r="R1929" t="s">
        <v>2323</v>
      </c>
      <c r="S1929" t="s">
        <v>2324</v>
      </c>
    </row>
    <row r="1930" spans="1:19" x14ac:dyDescent="0.25">
      <c r="A1930" t="s">
        <v>59</v>
      </c>
      <c r="B1930" t="s">
        <v>31</v>
      </c>
      <c r="C1930" t="s">
        <v>32</v>
      </c>
      <c r="D1930" t="s">
        <v>33</v>
      </c>
      <c r="F1930" t="s">
        <v>35</v>
      </c>
      <c r="G1930" t="s">
        <v>35</v>
      </c>
      <c r="H1930" t="s">
        <v>35</v>
      </c>
      <c r="J1930" t="s">
        <v>2321</v>
      </c>
      <c r="K1930" t="s">
        <v>1092</v>
      </c>
      <c r="M1930">
        <v>1E-3</v>
      </c>
      <c r="N1930">
        <v>1093</v>
      </c>
      <c r="O1930" t="s">
        <v>575</v>
      </c>
      <c r="Q1930" t="s">
        <v>1408</v>
      </c>
      <c r="R1930" t="s">
        <v>199</v>
      </c>
      <c r="S1930" t="s">
        <v>200</v>
      </c>
    </row>
    <row r="1931" spans="1:19" x14ac:dyDescent="0.25">
      <c r="A1931" t="s">
        <v>59</v>
      </c>
      <c r="B1931" t="s">
        <v>60</v>
      </c>
      <c r="C1931" t="s">
        <v>32</v>
      </c>
      <c r="D1931" t="s">
        <v>33</v>
      </c>
      <c r="F1931" t="s">
        <v>35</v>
      </c>
      <c r="G1931" t="s">
        <v>35</v>
      </c>
      <c r="H1931" t="s">
        <v>35</v>
      </c>
      <c r="J1931" t="s">
        <v>2321</v>
      </c>
      <c r="K1931" t="s">
        <v>1092</v>
      </c>
      <c r="M1931">
        <v>1E-3</v>
      </c>
      <c r="N1931">
        <v>1858</v>
      </c>
      <c r="O1931" t="s">
        <v>575</v>
      </c>
      <c r="Q1931" t="s">
        <v>2322</v>
      </c>
      <c r="R1931" t="s">
        <v>2323</v>
      </c>
      <c r="S1931" t="s">
        <v>2324</v>
      </c>
    </row>
    <row r="1932" spans="1:19" x14ac:dyDescent="0.25">
      <c r="A1932" t="s">
        <v>59</v>
      </c>
      <c r="B1932" t="s">
        <v>31</v>
      </c>
      <c r="C1932" t="s">
        <v>32</v>
      </c>
      <c r="D1932" t="s">
        <v>33</v>
      </c>
      <c r="F1932" t="s">
        <v>35</v>
      </c>
      <c r="G1932" t="s">
        <v>35</v>
      </c>
      <c r="H1932" t="s">
        <v>35</v>
      </c>
      <c r="J1932" t="s">
        <v>2325</v>
      </c>
      <c r="K1932" t="s">
        <v>1092</v>
      </c>
      <c r="M1932">
        <v>5.49</v>
      </c>
      <c r="N1932">
        <v>1178</v>
      </c>
      <c r="O1932" t="s">
        <v>575</v>
      </c>
      <c r="Q1932" t="s">
        <v>2326</v>
      </c>
      <c r="R1932" t="s">
        <v>199</v>
      </c>
      <c r="S1932" t="s">
        <v>200</v>
      </c>
    </row>
    <row r="1933" spans="1:19" x14ac:dyDescent="0.25">
      <c r="A1933" t="s">
        <v>59</v>
      </c>
      <c r="B1933" t="s">
        <v>60</v>
      </c>
      <c r="C1933" t="s">
        <v>32</v>
      </c>
      <c r="D1933" t="s">
        <v>33</v>
      </c>
      <c r="F1933" t="s">
        <v>35</v>
      </c>
      <c r="G1933" t="s">
        <v>35</v>
      </c>
      <c r="H1933" t="s">
        <v>35</v>
      </c>
      <c r="J1933" t="s">
        <v>2327</v>
      </c>
      <c r="K1933" t="s">
        <v>1092</v>
      </c>
      <c r="M1933">
        <v>2</v>
      </c>
      <c r="N1933">
        <v>2452</v>
      </c>
      <c r="O1933" t="s">
        <v>575</v>
      </c>
      <c r="Q1933" t="s">
        <v>2329</v>
      </c>
      <c r="R1933" t="s">
        <v>2323</v>
      </c>
      <c r="S1933" t="s">
        <v>2324</v>
      </c>
    </row>
    <row r="1934" spans="1:19" x14ac:dyDescent="0.25">
      <c r="A1934" t="s">
        <v>59</v>
      </c>
      <c r="B1934" t="s">
        <v>60</v>
      </c>
      <c r="C1934" t="s">
        <v>32</v>
      </c>
      <c r="D1934" t="s">
        <v>33</v>
      </c>
      <c r="F1934" t="s">
        <v>35</v>
      </c>
      <c r="G1934" t="s">
        <v>35</v>
      </c>
      <c r="H1934" t="s">
        <v>35</v>
      </c>
      <c r="J1934" t="s">
        <v>2327</v>
      </c>
      <c r="K1934" t="s">
        <v>1092</v>
      </c>
      <c r="M1934">
        <v>2</v>
      </c>
      <c r="N1934">
        <v>2456</v>
      </c>
      <c r="O1934" t="s">
        <v>575</v>
      </c>
      <c r="Q1934" t="s">
        <v>2328</v>
      </c>
      <c r="R1934" t="s">
        <v>2323</v>
      </c>
      <c r="S1934" t="s">
        <v>2324</v>
      </c>
    </row>
    <row r="1935" spans="1:19" x14ac:dyDescent="0.25">
      <c r="A1935" t="s">
        <v>59</v>
      </c>
      <c r="B1935" t="s">
        <v>60</v>
      </c>
      <c r="C1935" t="s">
        <v>32</v>
      </c>
      <c r="D1935" t="s">
        <v>33</v>
      </c>
      <c r="F1935" t="s">
        <v>35</v>
      </c>
      <c r="G1935" t="s">
        <v>35</v>
      </c>
      <c r="H1935" t="s">
        <v>35</v>
      </c>
      <c r="J1935" t="s">
        <v>2327</v>
      </c>
      <c r="K1935" t="s">
        <v>1092</v>
      </c>
      <c r="M1935">
        <v>0.25</v>
      </c>
      <c r="N1935">
        <v>2496</v>
      </c>
      <c r="O1935" t="s">
        <v>575</v>
      </c>
      <c r="Q1935" t="s">
        <v>2331</v>
      </c>
      <c r="R1935" t="s">
        <v>2323</v>
      </c>
      <c r="S1935" t="s">
        <v>2324</v>
      </c>
    </row>
    <row r="1936" spans="1:19" x14ac:dyDescent="0.25">
      <c r="A1936" t="s">
        <v>30</v>
      </c>
      <c r="B1936" t="s">
        <v>31</v>
      </c>
      <c r="C1936" t="s">
        <v>32</v>
      </c>
      <c r="D1936" t="s">
        <v>33</v>
      </c>
      <c r="F1936" t="s">
        <v>35</v>
      </c>
      <c r="G1936" t="s">
        <v>35</v>
      </c>
      <c r="H1936" t="s">
        <v>35</v>
      </c>
      <c r="J1936" t="s">
        <v>2327</v>
      </c>
      <c r="K1936" t="s">
        <v>1092</v>
      </c>
      <c r="M1936">
        <v>2.25</v>
      </c>
      <c r="N1936">
        <v>2355</v>
      </c>
      <c r="O1936" t="s">
        <v>575</v>
      </c>
      <c r="Q1936" t="s">
        <v>2330</v>
      </c>
      <c r="R1936" t="s">
        <v>2323</v>
      </c>
      <c r="S1936" t="s">
        <v>2324</v>
      </c>
    </row>
    <row r="1937" spans="1:19" x14ac:dyDescent="0.25">
      <c r="A1937" t="s">
        <v>59</v>
      </c>
      <c r="B1937" t="s">
        <v>60</v>
      </c>
      <c r="C1937" t="s">
        <v>32</v>
      </c>
      <c r="D1937" t="s">
        <v>33</v>
      </c>
      <c r="F1937" t="s">
        <v>35</v>
      </c>
      <c r="G1937" t="s">
        <v>35</v>
      </c>
      <c r="H1937" t="s">
        <v>35</v>
      </c>
      <c r="J1937" t="s">
        <v>2332</v>
      </c>
      <c r="K1937" t="s">
        <v>1092</v>
      </c>
      <c r="M1937">
        <v>0.51</v>
      </c>
      <c r="N1937">
        <v>2383</v>
      </c>
      <c r="O1937" t="s">
        <v>575</v>
      </c>
      <c r="Q1937" t="s">
        <v>2334</v>
      </c>
      <c r="R1937" t="s">
        <v>1395</v>
      </c>
      <c r="S1937" t="s">
        <v>1396</v>
      </c>
    </row>
    <row r="1938" spans="1:19" x14ac:dyDescent="0.25">
      <c r="A1938" t="s">
        <v>59</v>
      </c>
      <c r="B1938" t="s">
        <v>31</v>
      </c>
      <c r="C1938" t="s">
        <v>32</v>
      </c>
      <c r="D1938" t="s">
        <v>33</v>
      </c>
      <c r="F1938" t="s">
        <v>35</v>
      </c>
      <c r="G1938" t="s">
        <v>35</v>
      </c>
      <c r="H1938" t="s">
        <v>35</v>
      </c>
      <c r="J1938" t="s">
        <v>2332</v>
      </c>
      <c r="K1938" t="s">
        <v>1092</v>
      </c>
      <c r="M1938">
        <v>0.22500000000000001</v>
      </c>
      <c r="N1938">
        <v>2329</v>
      </c>
      <c r="O1938" t="s">
        <v>575</v>
      </c>
      <c r="Q1938" t="s">
        <v>2333</v>
      </c>
      <c r="R1938" t="s">
        <v>1395</v>
      </c>
      <c r="S1938" t="s">
        <v>1396</v>
      </c>
    </row>
    <row r="1939" spans="1:19" x14ac:dyDescent="0.25">
      <c r="A1939" t="s">
        <v>59</v>
      </c>
      <c r="B1939" t="s">
        <v>60</v>
      </c>
      <c r="C1939" t="s">
        <v>32</v>
      </c>
      <c r="D1939" t="s">
        <v>33</v>
      </c>
      <c r="F1939" t="s">
        <v>35</v>
      </c>
      <c r="G1939" t="s">
        <v>35</v>
      </c>
      <c r="H1939" t="s">
        <v>35</v>
      </c>
      <c r="J1939" t="s">
        <v>2335</v>
      </c>
      <c r="K1939" t="s">
        <v>1092</v>
      </c>
      <c r="M1939">
        <v>4.5999999999999999E-2</v>
      </c>
      <c r="N1939">
        <v>2596</v>
      </c>
      <c r="O1939" t="s">
        <v>575</v>
      </c>
      <c r="Q1939" t="s">
        <v>2336</v>
      </c>
      <c r="R1939" t="s">
        <v>1173</v>
      </c>
      <c r="S1939" t="s">
        <v>222</v>
      </c>
    </row>
    <row r="1940" spans="1:19" x14ac:dyDescent="0.25">
      <c r="A1940" t="s">
        <v>30</v>
      </c>
      <c r="B1940" t="s">
        <v>31</v>
      </c>
      <c r="C1940" t="s">
        <v>32</v>
      </c>
      <c r="D1940" t="s">
        <v>33</v>
      </c>
      <c r="F1940" t="s">
        <v>35</v>
      </c>
      <c r="G1940" t="s">
        <v>35</v>
      </c>
      <c r="H1940" t="s">
        <v>35</v>
      </c>
      <c r="J1940" t="s">
        <v>2335</v>
      </c>
      <c r="K1940" t="s">
        <v>1092</v>
      </c>
      <c r="M1940">
        <v>1E-3</v>
      </c>
      <c r="N1940">
        <v>2673</v>
      </c>
      <c r="O1940" t="s">
        <v>575</v>
      </c>
      <c r="Q1940" t="s">
        <v>1486</v>
      </c>
      <c r="R1940" t="s">
        <v>1487</v>
      </c>
      <c r="S1940" t="s">
        <v>1488</v>
      </c>
    </row>
    <row r="1941" spans="1:19" x14ac:dyDescent="0.25">
      <c r="A1941" t="s">
        <v>59</v>
      </c>
      <c r="B1941" t="s">
        <v>60</v>
      </c>
      <c r="C1941" t="s">
        <v>32</v>
      </c>
      <c r="D1941" t="s">
        <v>33</v>
      </c>
      <c r="F1941" t="s">
        <v>35</v>
      </c>
      <c r="G1941" t="s">
        <v>35</v>
      </c>
      <c r="H1941" t="s">
        <v>35</v>
      </c>
      <c r="J1941" t="s">
        <v>2337</v>
      </c>
      <c r="K1941" t="s">
        <v>1092</v>
      </c>
      <c r="M1941">
        <v>0.25</v>
      </c>
      <c r="N1941">
        <v>2200</v>
      </c>
      <c r="O1941" t="s">
        <v>575</v>
      </c>
      <c r="Q1941" t="s">
        <v>2340</v>
      </c>
      <c r="R1941" t="s">
        <v>1594</v>
      </c>
      <c r="S1941" t="s">
        <v>1595</v>
      </c>
    </row>
    <row r="1942" spans="1:19" x14ac:dyDescent="0.25">
      <c r="A1942" t="s">
        <v>59</v>
      </c>
      <c r="B1942" t="s">
        <v>60</v>
      </c>
      <c r="C1942" t="s">
        <v>32</v>
      </c>
      <c r="D1942" t="s">
        <v>33</v>
      </c>
      <c r="F1942" t="s">
        <v>35</v>
      </c>
      <c r="G1942" t="s">
        <v>35</v>
      </c>
      <c r="H1942" t="s">
        <v>35</v>
      </c>
      <c r="J1942" t="s">
        <v>2337</v>
      </c>
      <c r="K1942" t="s">
        <v>1092</v>
      </c>
      <c r="M1942">
        <v>0.25</v>
      </c>
      <c r="N1942">
        <v>2234</v>
      </c>
      <c r="O1942" t="s">
        <v>575</v>
      </c>
      <c r="Q1942" t="s">
        <v>2341</v>
      </c>
      <c r="R1942" t="s">
        <v>1594</v>
      </c>
      <c r="S1942" t="s">
        <v>1595</v>
      </c>
    </row>
    <row r="1943" spans="1:19" x14ac:dyDescent="0.25">
      <c r="A1943" t="s">
        <v>59</v>
      </c>
      <c r="B1943" t="s">
        <v>31</v>
      </c>
      <c r="C1943" t="s">
        <v>32</v>
      </c>
      <c r="D1943" t="s">
        <v>33</v>
      </c>
      <c r="F1943" t="s">
        <v>35</v>
      </c>
      <c r="G1943" t="s">
        <v>35</v>
      </c>
      <c r="H1943" t="s">
        <v>35</v>
      </c>
      <c r="J1943" t="s">
        <v>2337</v>
      </c>
      <c r="K1943" t="s">
        <v>1092</v>
      </c>
      <c r="M1943">
        <v>0.45</v>
      </c>
      <c r="N1943">
        <v>2307</v>
      </c>
      <c r="O1943" t="s">
        <v>575</v>
      </c>
      <c r="Q1943" t="s">
        <v>2338</v>
      </c>
      <c r="R1943" t="s">
        <v>1594</v>
      </c>
      <c r="S1943" t="s">
        <v>1595</v>
      </c>
    </row>
    <row r="1944" spans="1:19" x14ac:dyDescent="0.25">
      <c r="A1944" t="s">
        <v>59</v>
      </c>
      <c r="B1944" t="s">
        <v>31</v>
      </c>
      <c r="C1944" t="s">
        <v>32</v>
      </c>
      <c r="D1944" t="s">
        <v>33</v>
      </c>
      <c r="F1944" t="s">
        <v>35</v>
      </c>
      <c r="G1944" t="s">
        <v>35</v>
      </c>
      <c r="H1944" t="s">
        <v>35</v>
      </c>
      <c r="J1944" t="s">
        <v>2337</v>
      </c>
      <c r="K1944" t="s">
        <v>1092</v>
      </c>
      <c r="M1944">
        <v>0.40200000000000002</v>
      </c>
      <c r="N1944">
        <v>2319</v>
      </c>
      <c r="O1944" t="s">
        <v>575</v>
      </c>
      <c r="Q1944" t="s">
        <v>2339</v>
      </c>
      <c r="R1944" t="s">
        <v>1594</v>
      </c>
      <c r="S1944" t="s">
        <v>1595</v>
      </c>
    </row>
    <row r="1945" spans="1:19" x14ac:dyDescent="0.25">
      <c r="A1945" t="s">
        <v>59</v>
      </c>
      <c r="B1945" t="s">
        <v>60</v>
      </c>
      <c r="C1945" t="s">
        <v>32</v>
      </c>
      <c r="D1945" t="s">
        <v>33</v>
      </c>
      <c r="F1945" t="s">
        <v>35</v>
      </c>
      <c r="G1945" t="s">
        <v>35</v>
      </c>
      <c r="H1945" t="s">
        <v>35</v>
      </c>
      <c r="J1945" t="s">
        <v>2337</v>
      </c>
      <c r="K1945" t="s">
        <v>1092</v>
      </c>
      <c r="M1945">
        <v>0.17499999999999999</v>
      </c>
      <c r="N1945">
        <v>2307</v>
      </c>
      <c r="O1945" t="s">
        <v>575</v>
      </c>
      <c r="Q1945" t="s">
        <v>2338</v>
      </c>
      <c r="R1945" t="s">
        <v>1594</v>
      </c>
      <c r="S1945" t="s">
        <v>1595</v>
      </c>
    </row>
    <row r="1946" spans="1:19" x14ac:dyDescent="0.25">
      <c r="A1946" t="s">
        <v>59</v>
      </c>
      <c r="B1946" t="s">
        <v>31</v>
      </c>
      <c r="C1946" t="s">
        <v>32</v>
      </c>
      <c r="D1946" t="s">
        <v>33</v>
      </c>
      <c r="F1946" t="s">
        <v>35</v>
      </c>
      <c r="G1946" t="s">
        <v>35</v>
      </c>
      <c r="H1946" t="s">
        <v>35</v>
      </c>
      <c r="J1946" t="s">
        <v>2342</v>
      </c>
      <c r="K1946" t="s">
        <v>1092</v>
      </c>
      <c r="M1946">
        <v>0.63300000000000001</v>
      </c>
      <c r="N1946">
        <v>2455</v>
      </c>
      <c r="O1946" t="s">
        <v>575</v>
      </c>
      <c r="Q1946" t="s">
        <v>2343</v>
      </c>
      <c r="R1946" t="s">
        <v>1296</v>
      </c>
      <c r="S1946" t="s">
        <v>1294</v>
      </c>
    </row>
    <row r="1947" spans="1:19" x14ac:dyDescent="0.25">
      <c r="A1947" t="s">
        <v>30</v>
      </c>
      <c r="B1947" t="s">
        <v>31</v>
      </c>
      <c r="C1947" t="s">
        <v>32</v>
      </c>
      <c r="D1947" t="s">
        <v>33</v>
      </c>
      <c r="F1947" t="s">
        <v>35</v>
      </c>
      <c r="G1947" t="s">
        <v>35</v>
      </c>
      <c r="H1947" t="s">
        <v>35</v>
      </c>
      <c r="J1947" t="s">
        <v>2342</v>
      </c>
      <c r="K1947" t="s">
        <v>1092</v>
      </c>
      <c r="M1947">
        <v>0.21299999999999999</v>
      </c>
      <c r="N1947">
        <v>1845</v>
      </c>
      <c r="O1947" t="s">
        <v>575</v>
      </c>
      <c r="Q1947" t="s">
        <v>2344</v>
      </c>
      <c r="R1947" t="s">
        <v>1341</v>
      </c>
      <c r="S1947" t="s">
        <v>1342</v>
      </c>
    </row>
    <row r="1948" spans="1:19" x14ac:dyDescent="0.25">
      <c r="A1948" t="s">
        <v>59</v>
      </c>
      <c r="B1948" t="s">
        <v>60</v>
      </c>
      <c r="C1948" t="s">
        <v>32</v>
      </c>
      <c r="D1948" t="s">
        <v>33</v>
      </c>
      <c r="F1948" t="s">
        <v>35</v>
      </c>
      <c r="G1948" t="s">
        <v>35</v>
      </c>
      <c r="H1948" t="s">
        <v>35</v>
      </c>
      <c r="J1948" t="s">
        <v>2345</v>
      </c>
      <c r="K1948" t="s">
        <v>1092</v>
      </c>
      <c r="M1948">
        <v>5.5E-2</v>
      </c>
      <c r="N1948">
        <v>2523</v>
      </c>
      <c r="O1948" t="s">
        <v>575</v>
      </c>
      <c r="Q1948" t="s">
        <v>2346</v>
      </c>
      <c r="R1948" t="s">
        <v>1352</v>
      </c>
      <c r="S1948" t="s">
        <v>141</v>
      </c>
    </row>
    <row r="1949" spans="1:19" x14ac:dyDescent="0.25">
      <c r="A1949" t="s">
        <v>59</v>
      </c>
      <c r="B1949" t="s">
        <v>60</v>
      </c>
      <c r="C1949" t="s">
        <v>32</v>
      </c>
      <c r="D1949" t="s">
        <v>33</v>
      </c>
      <c r="F1949" t="s">
        <v>35</v>
      </c>
      <c r="G1949" t="s">
        <v>35</v>
      </c>
      <c r="H1949" t="s">
        <v>35</v>
      </c>
      <c r="J1949" t="s">
        <v>2347</v>
      </c>
      <c r="K1949" t="s">
        <v>1092</v>
      </c>
      <c r="M1949">
        <v>0.78</v>
      </c>
      <c r="N1949">
        <v>2639</v>
      </c>
      <c r="O1949" t="s">
        <v>575</v>
      </c>
      <c r="Q1949" t="s">
        <v>2348</v>
      </c>
      <c r="R1949" t="s">
        <v>2349</v>
      </c>
      <c r="S1949" t="s">
        <v>2350</v>
      </c>
    </row>
    <row r="1950" spans="1:19" x14ac:dyDescent="0.25">
      <c r="A1950" t="s">
        <v>59</v>
      </c>
      <c r="B1950" t="s">
        <v>60</v>
      </c>
      <c r="C1950" t="s">
        <v>32</v>
      </c>
      <c r="D1950" t="s">
        <v>33</v>
      </c>
      <c r="F1950" t="s">
        <v>35</v>
      </c>
      <c r="G1950" t="s">
        <v>35</v>
      </c>
      <c r="H1950" t="s">
        <v>35</v>
      </c>
      <c r="J1950" t="s">
        <v>2351</v>
      </c>
      <c r="K1950" t="s">
        <v>1092</v>
      </c>
      <c r="M1950">
        <v>0.5</v>
      </c>
      <c r="N1950">
        <v>2673</v>
      </c>
      <c r="O1950" t="s">
        <v>575</v>
      </c>
      <c r="Q1950" t="s">
        <v>1486</v>
      </c>
      <c r="R1950" t="s">
        <v>1487</v>
      </c>
      <c r="S1950" t="s">
        <v>1488</v>
      </c>
    </row>
    <row r="1951" spans="1:19" x14ac:dyDescent="0.25">
      <c r="A1951" t="s">
        <v>59</v>
      </c>
      <c r="B1951" t="s">
        <v>60</v>
      </c>
      <c r="C1951" t="s">
        <v>32</v>
      </c>
      <c r="D1951" t="s">
        <v>33</v>
      </c>
      <c r="F1951" t="s">
        <v>35</v>
      </c>
      <c r="G1951" t="s">
        <v>35</v>
      </c>
      <c r="H1951" t="s">
        <v>35</v>
      </c>
      <c r="J1951" t="s">
        <v>2352</v>
      </c>
      <c r="K1951" t="s">
        <v>1092</v>
      </c>
      <c r="M1951">
        <v>0.2</v>
      </c>
      <c r="N1951">
        <v>2225</v>
      </c>
      <c r="O1951" t="s">
        <v>575</v>
      </c>
      <c r="Q1951" t="s">
        <v>2356</v>
      </c>
      <c r="R1951" t="s">
        <v>118</v>
      </c>
      <c r="S1951" t="s">
        <v>65</v>
      </c>
    </row>
    <row r="1952" spans="1:19" x14ac:dyDescent="0.25">
      <c r="A1952" t="s">
        <v>59</v>
      </c>
      <c r="B1952" t="s">
        <v>60</v>
      </c>
      <c r="C1952" t="s">
        <v>32</v>
      </c>
      <c r="D1952" t="s">
        <v>33</v>
      </c>
      <c r="F1952" t="s">
        <v>35</v>
      </c>
      <c r="G1952" t="s">
        <v>35</v>
      </c>
      <c r="H1952" t="s">
        <v>35</v>
      </c>
      <c r="J1952" t="s">
        <v>2352</v>
      </c>
      <c r="K1952" t="s">
        <v>1092</v>
      </c>
      <c r="M1952">
        <v>0.2</v>
      </c>
      <c r="N1952">
        <v>2303</v>
      </c>
      <c r="O1952" t="s">
        <v>575</v>
      </c>
      <c r="Q1952" t="s">
        <v>2357</v>
      </c>
      <c r="R1952" t="s">
        <v>118</v>
      </c>
      <c r="S1952" t="s">
        <v>65</v>
      </c>
    </row>
    <row r="1953" spans="1:19" x14ac:dyDescent="0.25">
      <c r="A1953" t="s">
        <v>59</v>
      </c>
      <c r="B1953" t="s">
        <v>60</v>
      </c>
      <c r="C1953" t="s">
        <v>32</v>
      </c>
      <c r="D1953" t="s">
        <v>33</v>
      </c>
      <c r="F1953" t="s">
        <v>35</v>
      </c>
      <c r="G1953" t="s">
        <v>35</v>
      </c>
      <c r="H1953" t="s">
        <v>35</v>
      </c>
      <c r="J1953" t="s">
        <v>2352</v>
      </c>
      <c r="K1953" t="s">
        <v>1092</v>
      </c>
      <c r="M1953">
        <v>0.1</v>
      </c>
      <c r="N1953">
        <v>2263</v>
      </c>
      <c r="O1953" t="s">
        <v>575</v>
      </c>
      <c r="Q1953" t="s">
        <v>2354</v>
      </c>
      <c r="R1953" t="s">
        <v>118</v>
      </c>
      <c r="S1953" t="s">
        <v>65</v>
      </c>
    </row>
    <row r="1954" spans="1:19" x14ac:dyDescent="0.25">
      <c r="A1954" t="s">
        <v>59</v>
      </c>
      <c r="B1954" t="s">
        <v>60</v>
      </c>
      <c r="C1954" t="s">
        <v>32</v>
      </c>
      <c r="D1954" t="s">
        <v>33</v>
      </c>
      <c r="F1954" t="s">
        <v>35</v>
      </c>
      <c r="G1954" t="s">
        <v>35</v>
      </c>
      <c r="H1954" t="s">
        <v>35</v>
      </c>
      <c r="J1954" t="s">
        <v>2352</v>
      </c>
      <c r="K1954" t="s">
        <v>1092</v>
      </c>
      <c r="M1954">
        <v>0.15</v>
      </c>
      <c r="N1954">
        <v>2252</v>
      </c>
      <c r="O1954" t="s">
        <v>575</v>
      </c>
      <c r="Q1954" t="s">
        <v>2353</v>
      </c>
      <c r="R1954" t="s">
        <v>118</v>
      </c>
      <c r="S1954" t="s">
        <v>65</v>
      </c>
    </row>
    <row r="1955" spans="1:19" x14ac:dyDescent="0.25">
      <c r="A1955" t="s">
        <v>59</v>
      </c>
      <c r="B1955" t="s">
        <v>31</v>
      </c>
      <c r="C1955" t="s">
        <v>32</v>
      </c>
      <c r="D1955" t="s">
        <v>33</v>
      </c>
      <c r="F1955" t="s">
        <v>35</v>
      </c>
      <c r="G1955" t="s">
        <v>35</v>
      </c>
      <c r="H1955" t="s">
        <v>35</v>
      </c>
      <c r="J1955" t="s">
        <v>2352</v>
      </c>
      <c r="K1955" t="s">
        <v>1092</v>
      </c>
      <c r="M1955">
        <v>3.5000000000000003E-2</v>
      </c>
      <c r="N1955">
        <v>2303</v>
      </c>
      <c r="O1955" t="s">
        <v>575</v>
      </c>
      <c r="Q1955" t="s">
        <v>2357</v>
      </c>
      <c r="R1955" t="s">
        <v>118</v>
      </c>
      <c r="S1955" t="s">
        <v>65</v>
      </c>
    </row>
    <row r="1956" spans="1:19" x14ac:dyDescent="0.25">
      <c r="A1956" t="s">
        <v>59</v>
      </c>
      <c r="B1956" t="s">
        <v>60</v>
      </c>
      <c r="C1956" t="s">
        <v>32</v>
      </c>
      <c r="D1956" t="s">
        <v>33</v>
      </c>
      <c r="F1956" t="s">
        <v>35</v>
      </c>
      <c r="G1956" t="s">
        <v>35</v>
      </c>
      <c r="H1956" t="s">
        <v>35</v>
      </c>
      <c r="J1956" t="s">
        <v>2352</v>
      </c>
      <c r="K1956" t="s">
        <v>1092</v>
      </c>
      <c r="M1956">
        <v>0.25</v>
      </c>
      <c r="N1956">
        <v>2199</v>
      </c>
      <c r="O1956" t="s">
        <v>575</v>
      </c>
      <c r="Q1956" t="s">
        <v>2355</v>
      </c>
      <c r="R1956" t="s">
        <v>118</v>
      </c>
      <c r="S1956" t="s">
        <v>65</v>
      </c>
    </row>
    <row r="1957" spans="1:19" x14ac:dyDescent="0.25">
      <c r="A1957" t="s">
        <v>30</v>
      </c>
      <c r="B1957" t="s">
        <v>31</v>
      </c>
      <c r="C1957" t="s">
        <v>32</v>
      </c>
      <c r="D1957" t="s">
        <v>33</v>
      </c>
      <c r="F1957" t="s">
        <v>35</v>
      </c>
      <c r="G1957" t="s">
        <v>35</v>
      </c>
      <c r="H1957" t="s">
        <v>35</v>
      </c>
      <c r="J1957" t="s">
        <v>2358</v>
      </c>
      <c r="K1957" t="s">
        <v>1092</v>
      </c>
      <c r="M1957">
        <v>0.22500000000000001</v>
      </c>
      <c r="N1957">
        <v>2123</v>
      </c>
      <c r="O1957" t="s">
        <v>575</v>
      </c>
      <c r="Q1957" t="s">
        <v>2360</v>
      </c>
      <c r="R1957" t="s">
        <v>2169</v>
      </c>
      <c r="S1957" t="s">
        <v>2170</v>
      </c>
    </row>
    <row r="1958" spans="1:19" x14ac:dyDescent="0.25">
      <c r="A1958" t="s">
        <v>30</v>
      </c>
      <c r="B1958" t="s">
        <v>31</v>
      </c>
      <c r="C1958" t="s">
        <v>32</v>
      </c>
      <c r="D1958" t="s">
        <v>33</v>
      </c>
      <c r="F1958" t="s">
        <v>35</v>
      </c>
      <c r="G1958" t="s">
        <v>35</v>
      </c>
      <c r="H1958" t="s">
        <v>35</v>
      </c>
      <c r="J1958" t="s">
        <v>2358</v>
      </c>
      <c r="K1958" t="s">
        <v>1092</v>
      </c>
      <c r="M1958">
        <v>0.9</v>
      </c>
      <c r="N1958">
        <v>2137</v>
      </c>
      <c r="O1958" t="s">
        <v>575</v>
      </c>
      <c r="Q1958" t="s">
        <v>2359</v>
      </c>
      <c r="R1958" t="s">
        <v>2169</v>
      </c>
      <c r="S1958" t="s">
        <v>2170</v>
      </c>
    </row>
    <row r="1959" spans="1:19" x14ac:dyDescent="0.25">
      <c r="A1959" t="s">
        <v>59</v>
      </c>
      <c r="B1959" t="s">
        <v>60</v>
      </c>
      <c r="C1959" t="s">
        <v>32</v>
      </c>
      <c r="D1959" t="s">
        <v>33</v>
      </c>
      <c r="F1959" t="s">
        <v>35</v>
      </c>
      <c r="G1959" t="s">
        <v>35</v>
      </c>
      <c r="H1959" t="s">
        <v>35</v>
      </c>
      <c r="J1959" t="s">
        <v>2358</v>
      </c>
      <c r="K1959" t="s">
        <v>1092</v>
      </c>
      <c r="M1959">
        <v>0.42499999999999999</v>
      </c>
      <c r="N1959">
        <v>2137</v>
      </c>
      <c r="O1959" t="s">
        <v>575</v>
      </c>
      <c r="Q1959" t="s">
        <v>2359</v>
      </c>
      <c r="R1959" t="s">
        <v>2169</v>
      </c>
      <c r="S1959" t="s">
        <v>2170</v>
      </c>
    </row>
    <row r="1960" spans="1:19" x14ac:dyDescent="0.25">
      <c r="A1960" t="s">
        <v>59</v>
      </c>
      <c r="B1960" t="s">
        <v>60</v>
      </c>
      <c r="C1960" t="s">
        <v>32</v>
      </c>
      <c r="D1960" t="s">
        <v>33</v>
      </c>
      <c r="F1960" t="s">
        <v>35</v>
      </c>
      <c r="G1960" t="s">
        <v>35</v>
      </c>
      <c r="H1960" t="s">
        <v>35</v>
      </c>
      <c r="J1960" t="s">
        <v>2358</v>
      </c>
      <c r="K1960" t="s">
        <v>1092</v>
      </c>
      <c r="M1960">
        <v>0.25</v>
      </c>
      <c r="N1960">
        <v>2123</v>
      </c>
      <c r="O1960" t="s">
        <v>575</v>
      </c>
      <c r="Q1960" t="s">
        <v>2360</v>
      </c>
      <c r="R1960" t="s">
        <v>2169</v>
      </c>
      <c r="S1960" t="s">
        <v>2170</v>
      </c>
    </row>
    <row r="1961" spans="1:19" x14ac:dyDescent="0.25">
      <c r="A1961" t="s">
        <v>59</v>
      </c>
      <c r="B1961" t="s">
        <v>60</v>
      </c>
      <c r="C1961" t="s">
        <v>32</v>
      </c>
      <c r="D1961" t="s">
        <v>33</v>
      </c>
      <c r="F1961" t="s">
        <v>35</v>
      </c>
      <c r="G1961" t="s">
        <v>35</v>
      </c>
      <c r="H1961" t="s">
        <v>35</v>
      </c>
      <c r="J1961" t="s">
        <v>2358</v>
      </c>
      <c r="K1961" t="s">
        <v>1092</v>
      </c>
      <c r="M1961">
        <v>0.25</v>
      </c>
      <c r="N1961">
        <v>2115</v>
      </c>
      <c r="O1961" t="s">
        <v>575</v>
      </c>
      <c r="Q1961" t="s">
        <v>2362</v>
      </c>
      <c r="R1961" t="s">
        <v>2169</v>
      </c>
      <c r="S1961" t="s">
        <v>2170</v>
      </c>
    </row>
    <row r="1962" spans="1:19" x14ac:dyDescent="0.25">
      <c r="A1962" t="s">
        <v>30</v>
      </c>
      <c r="B1962" t="s">
        <v>31</v>
      </c>
      <c r="C1962" t="s">
        <v>32</v>
      </c>
      <c r="D1962" t="s">
        <v>33</v>
      </c>
      <c r="F1962" t="s">
        <v>35</v>
      </c>
      <c r="G1962" t="s">
        <v>35</v>
      </c>
      <c r="H1962" t="s">
        <v>35</v>
      </c>
      <c r="J1962" t="s">
        <v>2358</v>
      </c>
      <c r="K1962" t="s">
        <v>1092</v>
      </c>
      <c r="M1962">
        <v>4.4999999999999998E-2</v>
      </c>
      <c r="N1962">
        <v>2178</v>
      </c>
      <c r="O1962" t="s">
        <v>575</v>
      </c>
      <c r="Q1962" t="s">
        <v>2361</v>
      </c>
      <c r="R1962" t="s">
        <v>2169</v>
      </c>
      <c r="S1962" t="s">
        <v>2170</v>
      </c>
    </row>
    <row r="1963" spans="1:19" x14ac:dyDescent="0.25">
      <c r="A1963" t="s">
        <v>30</v>
      </c>
      <c r="B1963" t="s">
        <v>31</v>
      </c>
      <c r="C1963" t="s">
        <v>32</v>
      </c>
      <c r="D1963" t="s">
        <v>33</v>
      </c>
      <c r="F1963" t="s">
        <v>35</v>
      </c>
      <c r="G1963" t="s">
        <v>35</v>
      </c>
      <c r="H1963" t="s">
        <v>35</v>
      </c>
      <c r="J1963" t="s">
        <v>2363</v>
      </c>
      <c r="K1963" t="s">
        <v>1092</v>
      </c>
      <c r="M1963">
        <v>0.315</v>
      </c>
      <c r="N1963">
        <v>2114</v>
      </c>
      <c r="O1963" t="s">
        <v>575</v>
      </c>
      <c r="Q1963" t="s">
        <v>2365</v>
      </c>
      <c r="R1963" t="s">
        <v>1510</v>
      </c>
      <c r="S1963" t="s">
        <v>1511</v>
      </c>
    </row>
    <row r="1964" spans="1:19" x14ac:dyDescent="0.25">
      <c r="A1964" t="s">
        <v>59</v>
      </c>
      <c r="B1964" t="s">
        <v>60</v>
      </c>
      <c r="C1964" t="s">
        <v>32</v>
      </c>
      <c r="D1964" t="s">
        <v>33</v>
      </c>
      <c r="F1964" t="s">
        <v>35</v>
      </c>
      <c r="G1964" t="s">
        <v>35</v>
      </c>
      <c r="H1964" t="s">
        <v>35</v>
      </c>
      <c r="J1964" t="s">
        <v>2363</v>
      </c>
      <c r="K1964" t="s">
        <v>1092</v>
      </c>
      <c r="M1964">
        <v>0.19</v>
      </c>
      <c r="N1964">
        <v>2349</v>
      </c>
      <c r="O1964" t="s">
        <v>575</v>
      </c>
      <c r="Q1964" t="s">
        <v>2364</v>
      </c>
      <c r="R1964" t="s">
        <v>1510</v>
      </c>
      <c r="S1964" t="s">
        <v>1511</v>
      </c>
    </row>
    <row r="1965" spans="1:19" x14ac:dyDescent="0.25">
      <c r="A1965" t="s">
        <v>30</v>
      </c>
      <c r="B1965" t="s">
        <v>31</v>
      </c>
      <c r="C1965" t="s">
        <v>32</v>
      </c>
      <c r="D1965" t="s">
        <v>33</v>
      </c>
      <c r="F1965" t="s">
        <v>35</v>
      </c>
      <c r="G1965" t="s">
        <v>35</v>
      </c>
      <c r="H1965" t="s">
        <v>35</v>
      </c>
      <c r="J1965" t="s">
        <v>2366</v>
      </c>
      <c r="K1965" t="s">
        <v>1092</v>
      </c>
      <c r="M1965">
        <v>0.16500000000000001</v>
      </c>
      <c r="N1965">
        <v>2673</v>
      </c>
      <c r="O1965" t="s">
        <v>575</v>
      </c>
      <c r="Q1965" t="s">
        <v>1486</v>
      </c>
      <c r="R1965" t="s">
        <v>1487</v>
      </c>
      <c r="S1965" t="s">
        <v>1488</v>
      </c>
    </row>
    <row r="1966" spans="1:19" x14ac:dyDescent="0.25">
      <c r="A1966" t="s">
        <v>59</v>
      </c>
      <c r="B1966" t="s">
        <v>60</v>
      </c>
      <c r="C1966" t="s">
        <v>32</v>
      </c>
      <c r="D1966" t="s">
        <v>33</v>
      </c>
      <c r="F1966" t="s">
        <v>35</v>
      </c>
      <c r="G1966" t="s">
        <v>35</v>
      </c>
      <c r="H1966" t="s">
        <v>35</v>
      </c>
      <c r="J1966" t="s">
        <v>2366</v>
      </c>
      <c r="K1966" t="s">
        <v>1092</v>
      </c>
      <c r="M1966">
        <v>0.125</v>
      </c>
      <c r="N1966">
        <v>2673</v>
      </c>
      <c r="O1966" t="s">
        <v>575</v>
      </c>
      <c r="Q1966" t="s">
        <v>1486</v>
      </c>
      <c r="R1966" t="s">
        <v>1487</v>
      </c>
      <c r="S1966" t="s">
        <v>1488</v>
      </c>
    </row>
    <row r="1967" spans="1:19" x14ac:dyDescent="0.25">
      <c r="A1967" t="s">
        <v>59</v>
      </c>
      <c r="B1967" t="s">
        <v>60</v>
      </c>
      <c r="C1967" t="s">
        <v>32</v>
      </c>
      <c r="D1967" t="s">
        <v>33</v>
      </c>
      <c r="F1967" t="s">
        <v>35</v>
      </c>
      <c r="G1967" t="s">
        <v>35</v>
      </c>
      <c r="H1967" t="s">
        <v>35</v>
      </c>
      <c r="J1967" t="s">
        <v>2367</v>
      </c>
      <c r="K1967" t="s">
        <v>1092</v>
      </c>
      <c r="M1967">
        <v>0.04</v>
      </c>
      <c r="N1967">
        <v>2673</v>
      </c>
      <c r="O1967" t="s">
        <v>575</v>
      </c>
      <c r="Q1967" t="s">
        <v>1486</v>
      </c>
      <c r="R1967" t="s">
        <v>1487</v>
      </c>
      <c r="S1967" t="s">
        <v>1488</v>
      </c>
    </row>
    <row r="1968" spans="1:19" x14ac:dyDescent="0.25">
      <c r="A1968" t="s">
        <v>59</v>
      </c>
      <c r="B1968" t="s">
        <v>31</v>
      </c>
      <c r="C1968" t="s">
        <v>32</v>
      </c>
      <c r="D1968" t="s">
        <v>33</v>
      </c>
      <c r="F1968" t="s">
        <v>35</v>
      </c>
      <c r="G1968" t="s">
        <v>35</v>
      </c>
      <c r="H1968" t="s">
        <v>35</v>
      </c>
      <c r="J1968" t="s">
        <v>2368</v>
      </c>
      <c r="K1968" t="s">
        <v>1092</v>
      </c>
      <c r="M1968">
        <v>3.2000000000000001E-2</v>
      </c>
      <c r="N1968">
        <v>2673</v>
      </c>
      <c r="O1968" t="s">
        <v>575</v>
      </c>
      <c r="Q1968" t="s">
        <v>1486</v>
      </c>
      <c r="R1968" t="s">
        <v>1487</v>
      </c>
      <c r="S1968" t="s">
        <v>1488</v>
      </c>
    </row>
    <row r="1969" spans="1:19" x14ac:dyDescent="0.25">
      <c r="A1969" t="s">
        <v>59</v>
      </c>
      <c r="B1969" t="s">
        <v>60</v>
      </c>
      <c r="C1969" t="s">
        <v>32</v>
      </c>
      <c r="D1969" t="s">
        <v>33</v>
      </c>
      <c r="F1969" t="s">
        <v>35</v>
      </c>
      <c r="G1969" t="s">
        <v>35</v>
      </c>
      <c r="H1969" t="s">
        <v>35</v>
      </c>
      <c r="J1969" t="s">
        <v>1430</v>
      </c>
      <c r="K1969" t="s">
        <v>1092</v>
      </c>
      <c r="M1969">
        <v>0.1</v>
      </c>
      <c r="N1969">
        <v>2075</v>
      </c>
      <c r="O1969" t="s">
        <v>575</v>
      </c>
      <c r="Q1969" t="s">
        <v>2369</v>
      </c>
      <c r="R1969" t="s">
        <v>199</v>
      </c>
      <c r="S1969" t="s">
        <v>200</v>
      </c>
    </row>
    <row r="1970" spans="1:19" x14ac:dyDescent="0.25">
      <c r="A1970" t="s">
        <v>59</v>
      </c>
      <c r="B1970" t="s">
        <v>60</v>
      </c>
      <c r="C1970" t="s">
        <v>32</v>
      </c>
      <c r="D1970" t="s">
        <v>33</v>
      </c>
      <c r="F1970" t="s">
        <v>35</v>
      </c>
      <c r="G1970" t="s">
        <v>35</v>
      </c>
      <c r="H1970" t="s">
        <v>35</v>
      </c>
      <c r="J1970" t="s">
        <v>2370</v>
      </c>
      <c r="K1970" t="s">
        <v>1092</v>
      </c>
      <c r="M1970">
        <v>0.1</v>
      </c>
      <c r="N1970">
        <v>2257</v>
      </c>
      <c r="O1970" t="s">
        <v>575</v>
      </c>
      <c r="Q1970" t="s">
        <v>2371</v>
      </c>
      <c r="R1970" t="s">
        <v>1395</v>
      </c>
      <c r="S1970" t="s">
        <v>1396</v>
      </c>
    </row>
    <row r="1971" spans="1:19" x14ac:dyDescent="0.25">
      <c r="A1971" t="s">
        <v>30</v>
      </c>
      <c r="B1971" t="s">
        <v>31</v>
      </c>
      <c r="C1971" t="s">
        <v>32</v>
      </c>
      <c r="D1971" t="s">
        <v>33</v>
      </c>
      <c r="F1971" t="s">
        <v>35</v>
      </c>
      <c r="G1971" t="s">
        <v>35</v>
      </c>
      <c r="H1971" t="s">
        <v>35</v>
      </c>
      <c r="J1971" t="s">
        <v>2370</v>
      </c>
      <c r="K1971" t="s">
        <v>1092</v>
      </c>
      <c r="M1971">
        <v>0.09</v>
      </c>
      <c r="N1971">
        <v>2257</v>
      </c>
      <c r="O1971" t="s">
        <v>575</v>
      </c>
      <c r="Q1971" t="s">
        <v>2371</v>
      </c>
      <c r="R1971" t="s">
        <v>1395</v>
      </c>
      <c r="S1971" t="s">
        <v>1396</v>
      </c>
    </row>
    <row r="1972" spans="1:19" x14ac:dyDescent="0.25">
      <c r="A1972" t="s">
        <v>59</v>
      </c>
      <c r="B1972" t="s">
        <v>60</v>
      </c>
      <c r="C1972" t="s">
        <v>32</v>
      </c>
      <c r="D1972" t="s">
        <v>33</v>
      </c>
      <c r="F1972" t="s">
        <v>35</v>
      </c>
      <c r="G1972" t="s">
        <v>35</v>
      </c>
      <c r="H1972" t="s">
        <v>35</v>
      </c>
      <c r="J1972" t="s">
        <v>2372</v>
      </c>
      <c r="K1972" t="s">
        <v>1092</v>
      </c>
      <c r="M1972">
        <v>0.15</v>
      </c>
      <c r="N1972">
        <v>2673</v>
      </c>
      <c r="O1972" t="s">
        <v>575</v>
      </c>
      <c r="Q1972" t="s">
        <v>1486</v>
      </c>
      <c r="R1972" t="s">
        <v>1487</v>
      </c>
      <c r="S1972" t="s">
        <v>1488</v>
      </c>
    </row>
    <row r="1973" spans="1:19" x14ac:dyDescent="0.25">
      <c r="A1973" t="s">
        <v>30</v>
      </c>
      <c r="B1973" t="s">
        <v>31</v>
      </c>
      <c r="C1973" t="s">
        <v>32</v>
      </c>
      <c r="D1973" t="s">
        <v>33</v>
      </c>
      <c r="F1973" t="s">
        <v>35</v>
      </c>
      <c r="G1973" t="s">
        <v>35</v>
      </c>
      <c r="H1973" t="s">
        <v>35</v>
      </c>
      <c r="J1973" t="s">
        <v>2373</v>
      </c>
      <c r="K1973" t="s">
        <v>1092</v>
      </c>
      <c r="M1973">
        <v>0.9</v>
      </c>
      <c r="N1973">
        <v>2256</v>
      </c>
      <c r="O1973" t="s">
        <v>575</v>
      </c>
      <c r="Q1973" t="s">
        <v>2374</v>
      </c>
      <c r="R1973" t="s">
        <v>2323</v>
      </c>
      <c r="S1973" t="s">
        <v>2324</v>
      </c>
    </row>
    <row r="1974" spans="1:19" x14ac:dyDescent="0.25">
      <c r="A1974" t="s">
        <v>59</v>
      </c>
      <c r="B1974" t="s">
        <v>60</v>
      </c>
      <c r="C1974" t="s">
        <v>32</v>
      </c>
      <c r="D1974" t="s">
        <v>33</v>
      </c>
      <c r="F1974" t="s">
        <v>35</v>
      </c>
      <c r="G1974" t="s">
        <v>35</v>
      </c>
      <c r="H1974" t="s">
        <v>35</v>
      </c>
      <c r="J1974" t="s">
        <v>2373</v>
      </c>
      <c r="K1974" t="s">
        <v>1092</v>
      </c>
      <c r="M1974">
        <v>0.5</v>
      </c>
      <c r="N1974">
        <v>2135</v>
      </c>
      <c r="O1974" t="s">
        <v>575</v>
      </c>
      <c r="Q1974" t="s">
        <v>2375</v>
      </c>
      <c r="R1974" t="s">
        <v>2323</v>
      </c>
      <c r="S1974" t="s">
        <v>2324</v>
      </c>
    </row>
    <row r="1975" spans="1:19" x14ac:dyDescent="0.25">
      <c r="A1975" t="s">
        <v>59</v>
      </c>
      <c r="B1975" t="s">
        <v>31</v>
      </c>
      <c r="C1975" t="s">
        <v>32</v>
      </c>
      <c r="D1975" t="s">
        <v>33</v>
      </c>
      <c r="F1975" t="s">
        <v>35</v>
      </c>
      <c r="G1975" t="s">
        <v>35</v>
      </c>
      <c r="H1975" t="s">
        <v>35</v>
      </c>
      <c r="J1975" t="s">
        <v>2373</v>
      </c>
      <c r="K1975" t="s">
        <v>1092</v>
      </c>
      <c r="M1975">
        <v>0.9</v>
      </c>
      <c r="N1975">
        <v>2135</v>
      </c>
      <c r="O1975" t="s">
        <v>575</v>
      </c>
      <c r="Q1975" t="s">
        <v>2375</v>
      </c>
      <c r="R1975" t="s">
        <v>2323</v>
      </c>
      <c r="S1975" t="s">
        <v>2324</v>
      </c>
    </row>
    <row r="1976" spans="1:19" x14ac:dyDescent="0.25">
      <c r="A1976" t="s">
        <v>59</v>
      </c>
      <c r="B1976" t="s">
        <v>60</v>
      </c>
      <c r="C1976" t="s">
        <v>32</v>
      </c>
      <c r="D1976" t="s">
        <v>33</v>
      </c>
      <c r="F1976" t="s">
        <v>35</v>
      </c>
      <c r="G1976" t="s">
        <v>35</v>
      </c>
      <c r="H1976" t="s">
        <v>35</v>
      </c>
      <c r="J1976" t="s">
        <v>2376</v>
      </c>
      <c r="K1976" t="s">
        <v>1092</v>
      </c>
      <c r="M1976">
        <v>5</v>
      </c>
      <c r="N1976">
        <v>2362</v>
      </c>
      <c r="O1976" t="s">
        <v>575</v>
      </c>
      <c r="Q1976" t="s">
        <v>2378</v>
      </c>
      <c r="R1976" t="s">
        <v>199</v>
      </c>
      <c r="S1976" t="s">
        <v>200</v>
      </c>
    </row>
    <row r="1977" spans="1:19" x14ac:dyDescent="0.25">
      <c r="A1977" t="s">
        <v>59</v>
      </c>
      <c r="B1977" t="s">
        <v>60</v>
      </c>
      <c r="C1977" t="s">
        <v>32</v>
      </c>
      <c r="D1977" t="s">
        <v>33</v>
      </c>
      <c r="F1977" t="s">
        <v>35</v>
      </c>
      <c r="G1977" t="s">
        <v>35</v>
      </c>
      <c r="H1977" t="s">
        <v>35</v>
      </c>
      <c r="J1977" t="s">
        <v>2376</v>
      </c>
      <c r="K1977" t="s">
        <v>1092</v>
      </c>
      <c r="M1977">
        <v>1.55</v>
      </c>
      <c r="N1977">
        <v>2364</v>
      </c>
      <c r="O1977" t="s">
        <v>575</v>
      </c>
      <c r="Q1977" t="s">
        <v>2379</v>
      </c>
      <c r="R1977" t="s">
        <v>199</v>
      </c>
      <c r="S1977" t="s">
        <v>200</v>
      </c>
    </row>
    <row r="1978" spans="1:19" x14ac:dyDescent="0.25">
      <c r="A1978" t="s">
        <v>59</v>
      </c>
      <c r="B1978" t="s">
        <v>31</v>
      </c>
      <c r="C1978" t="s">
        <v>32</v>
      </c>
      <c r="D1978" t="s">
        <v>33</v>
      </c>
      <c r="F1978" t="s">
        <v>35</v>
      </c>
      <c r="G1978" t="s">
        <v>35</v>
      </c>
      <c r="H1978" t="s">
        <v>35</v>
      </c>
      <c r="J1978" t="s">
        <v>2376</v>
      </c>
      <c r="K1978" t="s">
        <v>1092</v>
      </c>
      <c r="M1978">
        <v>0.36899999999999999</v>
      </c>
      <c r="N1978">
        <v>2418</v>
      </c>
      <c r="O1978" t="s">
        <v>575</v>
      </c>
      <c r="Q1978" t="s">
        <v>2377</v>
      </c>
      <c r="R1978" t="s">
        <v>85</v>
      </c>
      <c r="S1978" t="s">
        <v>86</v>
      </c>
    </row>
    <row r="1979" spans="1:19" x14ac:dyDescent="0.25">
      <c r="A1979" t="s">
        <v>30</v>
      </c>
      <c r="B1979" t="s">
        <v>31</v>
      </c>
      <c r="C1979" t="s">
        <v>32</v>
      </c>
      <c r="D1979" t="s">
        <v>33</v>
      </c>
      <c r="F1979" t="s">
        <v>35</v>
      </c>
      <c r="G1979" t="s">
        <v>35</v>
      </c>
      <c r="H1979" t="s">
        <v>35</v>
      </c>
      <c r="J1979" t="s">
        <v>2380</v>
      </c>
      <c r="K1979" t="s">
        <v>1092</v>
      </c>
      <c r="M1979">
        <v>4.5</v>
      </c>
      <c r="N1979">
        <v>1475</v>
      </c>
      <c r="O1979" t="s">
        <v>575</v>
      </c>
      <c r="Q1979" t="s">
        <v>2227</v>
      </c>
      <c r="R1979" t="s">
        <v>169</v>
      </c>
      <c r="S1979" t="s">
        <v>123</v>
      </c>
    </row>
    <row r="1980" spans="1:19" x14ac:dyDescent="0.25">
      <c r="A1980" t="s">
        <v>44</v>
      </c>
      <c r="B1980" t="s">
        <v>3</v>
      </c>
      <c r="C1980" t="s">
        <v>32</v>
      </c>
      <c r="D1980" t="s">
        <v>33</v>
      </c>
      <c r="F1980" t="s">
        <v>35</v>
      </c>
      <c r="G1980" t="s">
        <v>35</v>
      </c>
      <c r="H1980" t="s">
        <v>35</v>
      </c>
      <c r="J1980" t="s">
        <v>2381</v>
      </c>
      <c r="K1980" t="s">
        <v>1092</v>
      </c>
      <c r="M1980">
        <v>1</v>
      </c>
      <c r="N1980">
        <v>62</v>
      </c>
      <c r="O1980" t="s">
        <v>61</v>
      </c>
      <c r="Q1980" t="s">
        <v>90</v>
      </c>
      <c r="R1980" t="s">
        <v>1932</v>
      </c>
      <c r="S1980" t="s">
        <v>1915</v>
      </c>
    </row>
    <row r="1981" spans="1:19" x14ac:dyDescent="0.25">
      <c r="A1981" t="s">
        <v>44</v>
      </c>
      <c r="B1981" t="s">
        <v>51</v>
      </c>
      <c r="C1981" t="s">
        <v>32</v>
      </c>
      <c r="D1981" t="s">
        <v>33</v>
      </c>
      <c r="F1981" t="s">
        <v>35</v>
      </c>
      <c r="G1981" t="s">
        <v>35</v>
      </c>
      <c r="H1981" t="s">
        <v>35</v>
      </c>
      <c r="J1981" t="s">
        <v>2382</v>
      </c>
      <c r="K1981" t="s">
        <v>1092</v>
      </c>
      <c r="M1981">
        <v>5.5</v>
      </c>
      <c r="N1981">
        <v>59</v>
      </c>
      <c r="O1981" t="s">
        <v>52</v>
      </c>
      <c r="Q1981" t="s">
        <v>84</v>
      </c>
      <c r="R1981" t="s">
        <v>103</v>
      </c>
      <c r="S1981" t="s">
        <v>104</v>
      </c>
    </row>
    <row r="1982" spans="1:19" x14ac:dyDescent="0.25">
      <c r="A1982" t="s">
        <v>44</v>
      </c>
      <c r="B1982" t="s">
        <v>3</v>
      </c>
      <c r="C1982" t="s">
        <v>32</v>
      </c>
      <c r="D1982" t="s">
        <v>33</v>
      </c>
      <c r="F1982" t="s">
        <v>35</v>
      </c>
      <c r="G1982" t="s">
        <v>35</v>
      </c>
      <c r="H1982" t="s">
        <v>35</v>
      </c>
      <c r="J1982" t="s">
        <v>2383</v>
      </c>
      <c r="K1982" t="s">
        <v>1092</v>
      </c>
      <c r="M1982">
        <v>1</v>
      </c>
      <c r="N1982">
        <v>30</v>
      </c>
      <c r="O1982" t="s">
        <v>46</v>
      </c>
      <c r="Q1982" t="s">
        <v>793</v>
      </c>
      <c r="R1982" t="s">
        <v>1252</v>
      </c>
      <c r="S1982" t="s">
        <v>81</v>
      </c>
    </row>
    <row r="1983" spans="1:19" x14ac:dyDescent="0.25">
      <c r="A1983" t="s">
        <v>44</v>
      </c>
      <c r="B1983" t="s">
        <v>51</v>
      </c>
      <c r="C1983" t="s">
        <v>32</v>
      </c>
      <c r="D1983" t="s">
        <v>33</v>
      </c>
      <c r="F1983" t="s">
        <v>35</v>
      </c>
      <c r="G1983" t="s">
        <v>35</v>
      </c>
      <c r="H1983" t="s">
        <v>35</v>
      </c>
      <c r="J1983" t="s">
        <v>2384</v>
      </c>
      <c r="K1983" t="s">
        <v>1092</v>
      </c>
      <c r="M1983">
        <v>1.5569999999999999</v>
      </c>
      <c r="N1983">
        <v>43</v>
      </c>
      <c r="O1983" t="s">
        <v>52</v>
      </c>
      <c r="Q1983" t="s">
        <v>892</v>
      </c>
      <c r="R1983" t="s">
        <v>103</v>
      </c>
      <c r="S1983" t="s">
        <v>104</v>
      </c>
    </row>
    <row r="1984" spans="1:19" x14ac:dyDescent="0.25">
      <c r="A1984" t="s">
        <v>44</v>
      </c>
      <c r="B1984" t="s">
        <v>3</v>
      </c>
      <c r="C1984" t="s">
        <v>32</v>
      </c>
      <c r="D1984" t="s">
        <v>33</v>
      </c>
      <c r="F1984" t="s">
        <v>35</v>
      </c>
      <c r="G1984" t="s">
        <v>35</v>
      </c>
      <c r="H1984" t="s">
        <v>35</v>
      </c>
      <c r="J1984" t="s">
        <v>2384</v>
      </c>
      <c r="K1984" t="s">
        <v>1092</v>
      </c>
      <c r="M1984">
        <v>3.9249999999999998</v>
      </c>
      <c r="N1984">
        <v>43</v>
      </c>
      <c r="O1984" t="s">
        <v>52</v>
      </c>
      <c r="Q1984" t="s">
        <v>892</v>
      </c>
      <c r="R1984" t="s">
        <v>103</v>
      </c>
      <c r="S1984" t="s">
        <v>104</v>
      </c>
    </row>
    <row r="1985" spans="1:19" x14ac:dyDescent="0.25">
      <c r="A1985" t="s">
        <v>30</v>
      </c>
      <c r="B1985" t="s">
        <v>31</v>
      </c>
      <c r="C1985" t="s">
        <v>32</v>
      </c>
      <c r="D1985" t="s">
        <v>227</v>
      </c>
      <c r="E1985" t="s">
        <v>2385</v>
      </c>
      <c r="F1985" t="s">
        <v>35</v>
      </c>
      <c r="G1985" t="s">
        <v>35</v>
      </c>
      <c r="H1985" t="s">
        <v>35</v>
      </c>
      <c r="J1985" t="s">
        <v>2386</v>
      </c>
      <c r="K1985" t="s">
        <v>1092</v>
      </c>
      <c r="M1985">
        <v>2.0249999999999999</v>
      </c>
      <c r="N1985">
        <v>175</v>
      </c>
      <c r="O1985" t="s">
        <v>38</v>
      </c>
      <c r="Q1985" t="s">
        <v>1692</v>
      </c>
      <c r="R1985" t="s">
        <v>2387</v>
      </c>
      <c r="S1985" t="s">
        <v>277</v>
      </c>
    </row>
    <row r="1986" spans="1:19" x14ac:dyDescent="0.25">
      <c r="A1986" t="s">
        <v>59</v>
      </c>
      <c r="B1986" t="s">
        <v>60</v>
      </c>
      <c r="C1986" t="s">
        <v>32</v>
      </c>
      <c r="D1986" t="s">
        <v>227</v>
      </c>
      <c r="E1986" t="s">
        <v>2385</v>
      </c>
      <c r="F1986" t="s">
        <v>35</v>
      </c>
      <c r="G1986" t="s">
        <v>35</v>
      </c>
      <c r="H1986" t="s">
        <v>35</v>
      </c>
      <c r="J1986" t="s">
        <v>2388</v>
      </c>
      <c r="K1986" t="s">
        <v>1092</v>
      </c>
      <c r="M1986">
        <v>0.25</v>
      </c>
      <c r="N1986">
        <v>17</v>
      </c>
      <c r="O1986" t="s">
        <v>46</v>
      </c>
      <c r="Q1986" t="s">
        <v>1302</v>
      </c>
      <c r="R1986" t="s">
        <v>256</v>
      </c>
      <c r="S1986" t="s">
        <v>257</v>
      </c>
    </row>
    <row r="1987" spans="1:19" x14ac:dyDescent="0.25">
      <c r="A1987" t="s">
        <v>59</v>
      </c>
      <c r="B1987" t="s">
        <v>60</v>
      </c>
      <c r="C1987" t="s">
        <v>32</v>
      </c>
      <c r="D1987" t="s">
        <v>227</v>
      </c>
      <c r="E1987" t="s">
        <v>2385</v>
      </c>
      <c r="F1987" t="s">
        <v>35</v>
      </c>
      <c r="G1987" t="s">
        <v>35</v>
      </c>
      <c r="H1987" t="s">
        <v>35</v>
      </c>
      <c r="J1987" t="s">
        <v>2389</v>
      </c>
      <c r="K1987" t="s">
        <v>1092</v>
      </c>
      <c r="M1987">
        <v>1.95</v>
      </c>
      <c r="N1987">
        <v>1026</v>
      </c>
      <c r="O1987" t="s">
        <v>575</v>
      </c>
      <c r="Q1987" t="s">
        <v>2392</v>
      </c>
      <c r="R1987" t="s">
        <v>2391</v>
      </c>
      <c r="S1987" t="s">
        <v>236</v>
      </c>
    </row>
    <row r="1988" spans="1:19" x14ac:dyDescent="0.25">
      <c r="A1988" t="s">
        <v>59</v>
      </c>
      <c r="B1988" t="s">
        <v>60</v>
      </c>
      <c r="C1988" t="s">
        <v>32</v>
      </c>
      <c r="D1988" t="s">
        <v>227</v>
      </c>
      <c r="E1988" t="s">
        <v>2385</v>
      </c>
      <c r="F1988" t="s">
        <v>35</v>
      </c>
      <c r="G1988" t="s">
        <v>35</v>
      </c>
      <c r="H1988" t="s">
        <v>35</v>
      </c>
      <c r="J1988" t="s">
        <v>2389</v>
      </c>
      <c r="K1988" t="s">
        <v>1092</v>
      </c>
      <c r="M1988">
        <v>0.75</v>
      </c>
      <c r="N1988">
        <v>893</v>
      </c>
      <c r="O1988" t="s">
        <v>575</v>
      </c>
      <c r="Q1988" t="s">
        <v>2390</v>
      </c>
      <c r="R1988" t="s">
        <v>2391</v>
      </c>
      <c r="S1988" t="s">
        <v>236</v>
      </c>
    </row>
    <row r="1989" spans="1:19" x14ac:dyDescent="0.25">
      <c r="A1989" t="s">
        <v>30</v>
      </c>
      <c r="B1989" t="s">
        <v>31</v>
      </c>
      <c r="C1989" t="s">
        <v>32</v>
      </c>
      <c r="D1989" t="s">
        <v>227</v>
      </c>
      <c r="E1989" t="s">
        <v>2385</v>
      </c>
      <c r="F1989" t="s">
        <v>35</v>
      </c>
      <c r="G1989" t="s">
        <v>35</v>
      </c>
      <c r="H1989" t="s">
        <v>35</v>
      </c>
      <c r="J1989" t="s">
        <v>2389</v>
      </c>
      <c r="K1989" t="s">
        <v>1092</v>
      </c>
      <c r="M1989">
        <v>0.03</v>
      </c>
      <c r="N1989">
        <v>893</v>
      </c>
      <c r="O1989" t="s">
        <v>575</v>
      </c>
      <c r="Q1989" t="s">
        <v>2390</v>
      </c>
      <c r="R1989" t="s">
        <v>2391</v>
      </c>
      <c r="S1989" t="s">
        <v>236</v>
      </c>
    </row>
    <row r="1990" spans="1:19" x14ac:dyDescent="0.25">
      <c r="A1990" t="s">
        <v>44</v>
      </c>
      <c r="B1990" t="s">
        <v>3</v>
      </c>
      <c r="C1990" t="s">
        <v>32</v>
      </c>
      <c r="D1990" t="s">
        <v>227</v>
      </c>
      <c r="E1990" t="s">
        <v>2385</v>
      </c>
      <c r="F1990" t="s">
        <v>35</v>
      </c>
      <c r="G1990" t="s">
        <v>35</v>
      </c>
      <c r="H1990" t="s">
        <v>35</v>
      </c>
      <c r="J1990" t="s">
        <v>2393</v>
      </c>
      <c r="K1990" t="s">
        <v>1092</v>
      </c>
      <c r="M1990">
        <v>0.5</v>
      </c>
      <c r="N1990">
        <v>62</v>
      </c>
      <c r="O1990" t="s">
        <v>61</v>
      </c>
      <c r="Q1990" t="s">
        <v>90</v>
      </c>
      <c r="R1990" t="s">
        <v>2394</v>
      </c>
      <c r="S1990" t="s">
        <v>271</v>
      </c>
    </row>
    <row r="1991" spans="1:19" x14ac:dyDescent="0.25">
      <c r="A1991" t="s">
        <v>44</v>
      </c>
      <c r="B1991" t="s">
        <v>51</v>
      </c>
      <c r="C1991" t="s">
        <v>32</v>
      </c>
      <c r="D1991" t="s">
        <v>227</v>
      </c>
      <c r="E1991" t="s">
        <v>2385</v>
      </c>
      <c r="F1991" t="s">
        <v>35</v>
      </c>
      <c r="G1991" t="s">
        <v>35</v>
      </c>
      <c r="H1991" t="s">
        <v>35</v>
      </c>
      <c r="J1991" t="s">
        <v>2395</v>
      </c>
      <c r="K1991" t="s">
        <v>1092</v>
      </c>
      <c r="M1991">
        <v>0.3</v>
      </c>
      <c r="N1991">
        <v>4</v>
      </c>
      <c r="O1991" t="s">
        <v>46</v>
      </c>
      <c r="Q1991" t="s">
        <v>8230</v>
      </c>
      <c r="R1991" t="s">
        <v>2394</v>
      </c>
      <c r="S1991" t="s">
        <v>271</v>
      </c>
    </row>
    <row r="1992" spans="1:19" x14ac:dyDescent="0.25">
      <c r="A1992" t="s">
        <v>30</v>
      </c>
      <c r="B1992" t="s">
        <v>31</v>
      </c>
      <c r="C1992" t="s">
        <v>32</v>
      </c>
      <c r="D1992" t="s">
        <v>227</v>
      </c>
      <c r="E1992" t="s">
        <v>2385</v>
      </c>
      <c r="F1992" t="s">
        <v>35</v>
      </c>
      <c r="G1992" t="s">
        <v>35</v>
      </c>
      <c r="H1992" t="s">
        <v>35</v>
      </c>
      <c r="J1992" t="s">
        <v>2395</v>
      </c>
      <c r="K1992" t="s">
        <v>1092</v>
      </c>
      <c r="M1992">
        <v>0.13500000000000001</v>
      </c>
      <c r="N1992">
        <v>44</v>
      </c>
      <c r="O1992" t="s">
        <v>52</v>
      </c>
      <c r="Q1992" t="s">
        <v>192</v>
      </c>
      <c r="R1992" t="s">
        <v>2394</v>
      </c>
      <c r="S1992" t="s">
        <v>271</v>
      </c>
    </row>
    <row r="1993" spans="1:19" x14ac:dyDescent="0.25">
      <c r="A1993" t="s">
        <v>59</v>
      </c>
      <c r="B1993" t="s">
        <v>31</v>
      </c>
      <c r="C1993" t="s">
        <v>32</v>
      </c>
      <c r="D1993" t="s">
        <v>227</v>
      </c>
      <c r="E1993" t="s">
        <v>2385</v>
      </c>
      <c r="F1993" t="s">
        <v>35</v>
      </c>
      <c r="G1993" t="s">
        <v>35</v>
      </c>
      <c r="H1993" t="s">
        <v>35</v>
      </c>
      <c r="J1993" t="s">
        <v>2396</v>
      </c>
      <c r="K1993" t="s">
        <v>1092</v>
      </c>
      <c r="M1993">
        <v>1.8</v>
      </c>
      <c r="N1993">
        <v>1179</v>
      </c>
      <c r="O1993" t="s">
        <v>575</v>
      </c>
      <c r="Q1993" t="s">
        <v>2398</v>
      </c>
      <c r="R1993" t="s">
        <v>2387</v>
      </c>
      <c r="S1993" t="s">
        <v>277</v>
      </c>
    </row>
    <row r="1994" spans="1:19" x14ac:dyDescent="0.25">
      <c r="A1994" t="s">
        <v>59</v>
      </c>
      <c r="B1994" t="s">
        <v>31</v>
      </c>
      <c r="C1994" t="s">
        <v>32</v>
      </c>
      <c r="D1994" t="s">
        <v>227</v>
      </c>
      <c r="E1994" t="s">
        <v>2385</v>
      </c>
      <c r="F1994" t="s">
        <v>35</v>
      </c>
      <c r="G1994" t="s">
        <v>35</v>
      </c>
      <c r="H1994" t="s">
        <v>35</v>
      </c>
      <c r="J1994" t="s">
        <v>2396</v>
      </c>
      <c r="K1994" t="s">
        <v>1092</v>
      </c>
      <c r="M1994">
        <v>0.27</v>
      </c>
      <c r="N1994">
        <v>892</v>
      </c>
      <c r="O1994" t="s">
        <v>575</v>
      </c>
      <c r="Q1994" t="s">
        <v>2397</v>
      </c>
      <c r="R1994" t="s">
        <v>2394</v>
      </c>
      <c r="S1994" t="s">
        <v>271</v>
      </c>
    </row>
    <row r="1995" spans="1:19" x14ac:dyDescent="0.25">
      <c r="A1995" t="s">
        <v>59</v>
      </c>
      <c r="B1995" t="s">
        <v>60</v>
      </c>
      <c r="C1995" t="s">
        <v>32</v>
      </c>
      <c r="D1995" t="s">
        <v>227</v>
      </c>
      <c r="E1995" t="s">
        <v>2385</v>
      </c>
      <c r="F1995" t="s">
        <v>35</v>
      </c>
      <c r="G1995" t="s">
        <v>35</v>
      </c>
      <c r="H1995" t="s">
        <v>35</v>
      </c>
      <c r="J1995" t="s">
        <v>2399</v>
      </c>
      <c r="K1995" t="s">
        <v>1092</v>
      </c>
      <c r="M1995">
        <v>0.25</v>
      </c>
      <c r="N1995">
        <v>457</v>
      </c>
      <c r="O1995" t="s">
        <v>294</v>
      </c>
      <c r="Q1995" t="s">
        <v>2104</v>
      </c>
      <c r="R1995" t="s">
        <v>2394</v>
      </c>
      <c r="S1995" t="s">
        <v>271</v>
      </c>
    </row>
    <row r="1996" spans="1:19" x14ac:dyDescent="0.25">
      <c r="A1996" t="s">
        <v>30</v>
      </c>
      <c r="B1996" t="s">
        <v>31</v>
      </c>
      <c r="C1996" t="s">
        <v>32</v>
      </c>
      <c r="D1996" t="s">
        <v>227</v>
      </c>
      <c r="E1996" t="s">
        <v>2385</v>
      </c>
      <c r="F1996" t="s">
        <v>35</v>
      </c>
      <c r="G1996" t="s">
        <v>35</v>
      </c>
      <c r="H1996" t="s">
        <v>35</v>
      </c>
      <c r="J1996" t="s">
        <v>2399</v>
      </c>
      <c r="K1996" t="s">
        <v>1092</v>
      </c>
      <c r="M1996">
        <v>0.71</v>
      </c>
      <c r="N1996">
        <v>532</v>
      </c>
      <c r="O1996" t="s">
        <v>294</v>
      </c>
      <c r="Q1996" t="s">
        <v>2400</v>
      </c>
      <c r="R1996" t="s">
        <v>2394</v>
      </c>
      <c r="S1996" t="s">
        <v>271</v>
      </c>
    </row>
    <row r="1997" spans="1:19" x14ac:dyDescent="0.25">
      <c r="A1997" t="s">
        <v>59</v>
      </c>
      <c r="B1997" t="s">
        <v>31</v>
      </c>
      <c r="C1997" t="s">
        <v>32</v>
      </c>
      <c r="D1997" t="s">
        <v>227</v>
      </c>
      <c r="E1997" t="s">
        <v>2385</v>
      </c>
      <c r="F1997" t="s">
        <v>35</v>
      </c>
      <c r="G1997" t="s">
        <v>35</v>
      </c>
      <c r="H1997" t="s">
        <v>35</v>
      </c>
      <c r="J1997" t="s">
        <v>2401</v>
      </c>
      <c r="K1997" t="s">
        <v>1092</v>
      </c>
      <c r="M1997">
        <v>10.98</v>
      </c>
      <c r="N1997">
        <v>68</v>
      </c>
      <c r="O1997" t="s">
        <v>61</v>
      </c>
      <c r="Q1997" t="s">
        <v>146</v>
      </c>
      <c r="R1997" t="s">
        <v>2391</v>
      </c>
      <c r="S1997" t="s">
        <v>236</v>
      </c>
    </row>
    <row r="1998" spans="1:19" x14ac:dyDescent="0.25">
      <c r="A1998" t="s">
        <v>59</v>
      </c>
      <c r="B1998" t="s">
        <v>60</v>
      </c>
      <c r="C1998" t="s">
        <v>32</v>
      </c>
      <c r="D1998" t="s">
        <v>227</v>
      </c>
      <c r="E1998" t="s">
        <v>2385</v>
      </c>
      <c r="F1998" t="s">
        <v>35</v>
      </c>
      <c r="G1998" t="s">
        <v>35</v>
      </c>
      <c r="H1998" t="s">
        <v>35</v>
      </c>
      <c r="J1998" t="s">
        <v>2401</v>
      </c>
      <c r="K1998" t="s">
        <v>1092</v>
      </c>
      <c r="M1998">
        <v>5.5</v>
      </c>
      <c r="N1998">
        <v>68</v>
      </c>
      <c r="O1998" t="s">
        <v>61</v>
      </c>
      <c r="Q1998" t="s">
        <v>146</v>
      </c>
      <c r="R1998" t="s">
        <v>2391</v>
      </c>
      <c r="S1998" t="s">
        <v>236</v>
      </c>
    </row>
    <row r="1999" spans="1:19" x14ac:dyDescent="0.25">
      <c r="A1999" t="s">
        <v>59</v>
      </c>
      <c r="B1999" t="s">
        <v>60</v>
      </c>
      <c r="C1999" t="s">
        <v>32</v>
      </c>
      <c r="D1999" t="s">
        <v>227</v>
      </c>
      <c r="E1999" t="s">
        <v>2385</v>
      </c>
      <c r="F1999" t="s">
        <v>35</v>
      </c>
      <c r="G1999" t="s">
        <v>35</v>
      </c>
      <c r="H1999" t="s">
        <v>35</v>
      </c>
      <c r="J1999" t="s">
        <v>1506</v>
      </c>
      <c r="K1999" t="s">
        <v>1092</v>
      </c>
      <c r="M1999">
        <v>0.75</v>
      </c>
      <c r="N1999">
        <v>51</v>
      </c>
      <c r="O1999" t="s">
        <v>52</v>
      </c>
      <c r="Q1999" t="s">
        <v>54</v>
      </c>
      <c r="R1999" t="s">
        <v>250</v>
      </c>
      <c r="S1999" t="s">
        <v>242</v>
      </c>
    </row>
    <row r="2000" spans="1:19" x14ac:dyDescent="0.25">
      <c r="A2000" t="s">
        <v>59</v>
      </c>
      <c r="B2000" t="s">
        <v>60</v>
      </c>
      <c r="C2000" t="s">
        <v>32</v>
      </c>
      <c r="D2000" t="s">
        <v>227</v>
      </c>
      <c r="E2000" t="s">
        <v>2385</v>
      </c>
      <c r="F2000" t="s">
        <v>35</v>
      </c>
      <c r="G2000" t="s">
        <v>35</v>
      </c>
      <c r="H2000" t="s">
        <v>35</v>
      </c>
      <c r="J2000" t="s">
        <v>1130</v>
      </c>
      <c r="K2000" t="s">
        <v>1092</v>
      </c>
      <c r="M2000">
        <v>0.1</v>
      </c>
      <c r="N2000">
        <v>51</v>
      </c>
      <c r="O2000" t="s">
        <v>52</v>
      </c>
      <c r="Q2000" t="s">
        <v>54</v>
      </c>
      <c r="R2000" t="s">
        <v>2394</v>
      </c>
      <c r="S2000" t="s">
        <v>271</v>
      </c>
    </row>
    <row r="2001" spans="1:19" x14ac:dyDescent="0.25">
      <c r="A2001" t="s">
        <v>59</v>
      </c>
      <c r="B2001" t="s">
        <v>60</v>
      </c>
      <c r="C2001" t="s">
        <v>32</v>
      </c>
      <c r="D2001" t="s">
        <v>227</v>
      </c>
      <c r="E2001" t="s">
        <v>2385</v>
      </c>
      <c r="F2001" t="s">
        <v>35</v>
      </c>
      <c r="G2001" t="s">
        <v>35</v>
      </c>
      <c r="H2001" t="s">
        <v>35</v>
      </c>
      <c r="J2001" t="s">
        <v>2402</v>
      </c>
      <c r="K2001" t="s">
        <v>1092</v>
      </c>
      <c r="M2001">
        <v>0.5</v>
      </c>
      <c r="N2001">
        <v>1781</v>
      </c>
      <c r="O2001" t="s">
        <v>575</v>
      </c>
      <c r="Q2001" t="s">
        <v>2404</v>
      </c>
      <c r="R2001" t="s">
        <v>2394</v>
      </c>
      <c r="S2001" t="s">
        <v>271</v>
      </c>
    </row>
    <row r="2002" spans="1:19" x14ac:dyDescent="0.25">
      <c r="A2002" t="s">
        <v>59</v>
      </c>
      <c r="B2002" t="s">
        <v>60</v>
      </c>
      <c r="C2002" t="s">
        <v>32</v>
      </c>
      <c r="D2002" t="s">
        <v>227</v>
      </c>
      <c r="E2002" t="s">
        <v>2385</v>
      </c>
      <c r="F2002" t="s">
        <v>35</v>
      </c>
      <c r="G2002" t="s">
        <v>35</v>
      </c>
      <c r="H2002" t="s">
        <v>35</v>
      </c>
      <c r="J2002" t="s">
        <v>2402</v>
      </c>
      <c r="K2002" t="s">
        <v>1092</v>
      </c>
      <c r="M2002">
        <v>0.05</v>
      </c>
      <c r="N2002">
        <v>1842</v>
      </c>
      <c r="O2002" t="s">
        <v>575</v>
      </c>
      <c r="Q2002" t="s">
        <v>2403</v>
      </c>
      <c r="R2002" t="s">
        <v>2391</v>
      </c>
      <c r="S2002" t="s">
        <v>236</v>
      </c>
    </row>
    <row r="2003" spans="1:19" x14ac:dyDescent="0.25">
      <c r="A2003" t="s">
        <v>59</v>
      </c>
      <c r="B2003" t="s">
        <v>60</v>
      </c>
      <c r="C2003" t="s">
        <v>32</v>
      </c>
      <c r="D2003" t="s">
        <v>227</v>
      </c>
      <c r="E2003" t="s">
        <v>2385</v>
      </c>
      <c r="F2003" t="s">
        <v>35</v>
      </c>
      <c r="G2003" t="s">
        <v>35</v>
      </c>
      <c r="H2003" t="s">
        <v>35</v>
      </c>
      <c r="J2003" t="s">
        <v>2405</v>
      </c>
      <c r="K2003" t="s">
        <v>1092</v>
      </c>
      <c r="M2003">
        <v>0.2</v>
      </c>
      <c r="N2003">
        <v>67</v>
      </c>
      <c r="O2003" t="s">
        <v>61</v>
      </c>
      <c r="Q2003" t="s">
        <v>1311</v>
      </c>
      <c r="R2003" t="s">
        <v>2391</v>
      </c>
      <c r="S2003" t="s">
        <v>236</v>
      </c>
    </row>
    <row r="2004" spans="1:19" x14ac:dyDescent="0.25">
      <c r="A2004" t="s">
        <v>44</v>
      </c>
      <c r="B2004" t="s">
        <v>3</v>
      </c>
      <c r="C2004" t="s">
        <v>32</v>
      </c>
      <c r="D2004" t="s">
        <v>227</v>
      </c>
      <c r="E2004" t="s">
        <v>2385</v>
      </c>
      <c r="F2004" t="s">
        <v>35</v>
      </c>
      <c r="G2004" t="s">
        <v>35</v>
      </c>
      <c r="H2004" t="s">
        <v>35</v>
      </c>
      <c r="J2004" t="s">
        <v>2405</v>
      </c>
      <c r="K2004" t="s">
        <v>1092</v>
      </c>
      <c r="M2004">
        <v>0.2</v>
      </c>
      <c r="N2004">
        <v>67</v>
      </c>
      <c r="O2004" t="s">
        <v>61</v>
      </c>
      <c r="Q2004" t="s">
        <v>1311</v>
      </c>
      <c r="R2004" t="s">
        <v>2391</v>
      </c>
      <c r="S2004" t="s">
        <v>236</v>
      </c>
    </row>
    <row r="2005" spans="1:19" x14ac:dyDescent="0.25">
      <c r="A2005" t="s">
        <v>44</v>
      </c>
      <c r="B2005" t="s">
        <v>51</v>
      </c>
      <c r="C2005" t="s">
        <v>32</v>
      </c>
      <c r="D2005" t="s">
        <v>227</v>
      </c>
      <c r="E2005" t="s">
        <v>2385</v>
      </c>
      <c r="F2005" t="s">
        <v>35</v>
      </c>
      <c r="G2005" t="s">
        <v>35</v>
      </c>
      <c r="H2005" t="s">
        <v>35</v>
      </c>
      <c r="J2005" t="s">
        <v>2405</v>
      </c>
      <c r="K2005" t="s">
        <v>1092</v>
      </c>
      <c r="M2005">
        <v>0.7</v>
      </c>
      <c r="N2005">
        <v>44</v>
      </c>
      <c r="O2005" t="s">
        <v>52</v>
      </c>
      <c r="Q2005" t="s">
        <v>192</v>
      </c>
      <c r="R2005" t="s">
        <v>2406</v>
      </c>
      <c r="S2005" t="s">
        <v>266</v>
      </c>
    </row>
    <row r="2006" spans="1:19" x14ac:dyDescent="0.25">
      <c r="A2006" t="s">
        <v>30</v>
      </c>
      <c r="B2006" t="s">
        <v>31</v>
      </c>
      <c r="C2006" t="s">
        <v>32</v>
      </c>
      <c r="D2006" t="s">
        <v>227</v>
      </c>
      <c r="E2006" t="s">
        <v>2385</v>
      </c>
      <c r="F2006" t="s">
        <v>35</v>
      </c>
      <c r="G2006" t="s">
        <v>35</v>
      </c>
      <c r="H2006" t="s">
        <v>35</v>
      </c>
      <c r="J2006" t="s">
        <v>2407</v>
      </c>
      <c r="K2006" t="s">
        <v>1092</v>
      </c>
      <c r="M2006">
        <v>0.18</v>
      </c>
      <c r="N2006">
        <v>362</v>
      </c>
      <c r="O2006" t="s">
        <v>5</v>
      </c>
      <c r="Q2006" t="s">
        <v>2408</v>
      </c>
      <c r="R2006" t="s">
        <v>2387</v>
      </c>
      <c r="S2006" t="s">
        <v>277</v>
      </c>
    </row>
    <row r="2007" spans="1:19" x14ac:dyDescent="0.25">
      <c r="A2007" t="s">
        <v>44</v>
      </c>
      <c r="B2007" t="s">
        <v>3</v>
      </c>
      <c r="C2007" t="s">
        <v>32</v>
      </c>
      <c r="D2007" t="s">
        <v>227</v>
      </c>
      <c r="E2007" t="s">
        <v>2385</v>
      </c>
      <c r="F2007" t="s">
        <v>35</v>
      </c>
      <c r="G2007" t="s">
        <v>35</v>
      </c>
      <c r="H2007" t="s">
        <v>35</v>
      </c>
      <c r="J2007" t="s">
        <v>2407</v>
      </c>
      <c r="K2007" t="s">
        <v>1092</v>
      </c>
      <c r="M2007">
        <v>0.25</v>
      </c>
      <c r="N2007">
        <v>362</v>
      </c>
      <c r="O2007" t="s">
        <v>5</v>
      </c>
      <c r="Q2007" t="s">
        <v>2408</v>
      </c>
      <c r="R2007" t="s">
        <v>2387</v>
      </c>
      <c r="S2007" t="s">
        <v>277</v>
      </c>
    </row>
    <row r="2008" spans="1:19" x14ac:dyDescent="0.25">
      <c r="A2008" t="s">
        <v>44</v>
      </c>
      <c r="B2008" t="s">
        <v>51</v>
      </c>
      <c r="C2008" t="s">
        <v>32</v>
      </c>
      <c r="D2008" t="s">
        <v>227</v>
      </c>
      <c r="E2008" t="s">
        <v>2385</v>
      </c>
      <c r="F2008" t="s">
        <v>35</v>
      </c>
      <c r="G2008" t="s">
        <v>35</v>
      </c>
      <c r="H2008" t="s">
        <v>35</v>
      </c>
      <c r="J2008" t="s">
        <v>8231</v>
      </c>
      <c r="K2008" t="s">
        <v>1092</v>
      </c>
      <c r="M2008">
        <v>0.1</v>
      </c>
      <c r="N2008">
        <v>3</v>
      </c>
      <c r="O2008" t="s">
        <v>46</v>
      </c>
      <c r="Q2008" t="s">
        <v>8153</v>
      </c>
      <c r="R2008" t="s">
        <v>2394</v>
      </c>
      <c r="S2008" t="s">
        <v>271</v>
      </c>
    </row>
    <row r="2009" spans="1:19" x14ac:dyDescent="0.25">
      <c r="A2009" t="s">
        <v>59</v>
      </c>
      <c r="B2009" t="s">
        <v>60</v>
      </c>
      <c r="C2009" t="s">
        <v>32</v>
      </c>
      <c r="D2009" t="s">
        <v>227</v>
      </c>
      <c r="E2009" t="s">
        <v>2385</v>
      </c>
      <c r="F2009" t="s">
        <v>35</v>
      </c>
      <c r="G2009" t="s">
        <v>35</v>
      </c>
      <c r="H2009" t="s">
        <v>35</v>
      </c>
      <c r="J2009" t="s">
        <v>2409</v>
      </c>
      <c r="K2009" t="s">
        <v>1092</v>
      </c>
      <c r="M2009">
        <v>0.25</v>
      </c>
      <c r="N2009">
        <v>173</v>
      </c>
      <c r="O2009" t="s">
        <v>38</v>
      </c>
      <c r="Q2009" t="s">
        <v>1345</v>
      </c>
      <c r="R2009" t="s">
        <v>2391</v>
      </c>
      <c r="S2009" t="s">
        <v>236</v>
      </c>
    </row>
    <row r="2010" spans="1:19" x14ac:dyDescent="0.25">
      <c r="A2010" t="s">
        <v>59</v>
      </c>
      <c r="B2010" t="s">
        <v>60</v>
      </c>
      <c r="C2010" t="s">
        <v>32</v>
      </c>
      <c r="D2010" t="s">
        <v>227</v>
      </c>
      <c r="E2010" t="s">
        <v>2385</v>
      </c>
      <c r="F2010" t="s">
        <v>35</v>
      </c>
      <c r="G2010" t="s">
        <v>35</v>
      </c>
      <c r="H2010" t="s">
        <v>35</v>
      </c>
      <c r="J2010" t="s">
        <v>2409</v>
      </c>
      <c r="K2010" t="s">
        <v>1092</v>
      </c>
      <c r="M2010">
        <v>0.26</v>
      </c>
      <c r="N2010">
        <v>1028</v>
      </c>
      <c r="O2010" t="s">
        <v>575</v>
      </c>
      <c r="Q2010" t="s">
        <v>2410</v>
      </c>
      <c r="R2010" t="s">
        <v>2391</v>
      </c>
      <c r="S2010" t="s">
        <v>236</v>
      </c>
    </row>
    <row r="2011" spans="1:19" x14ac:dyDescent="0.25">
      <c r="A2011" t="s">
        <v>30</v>
      </c>
      <c r="B2011" t="s">
        <v>31</v>
      </c>
      <c r="C2011" t="s">
        <v>32</v>
      </c>
      <c r="D2011" t="s">
        <v>227</v>
      </c>
      <c r="E2011" t="s">
        <v>2385</v>
      </c>
      <c r="F2011" t="s">
        <v>35</v>
      </c>
      <c r="G2011" t="s">
        <v>35</v>
      </c>
      <c r="H2011" t="s">
        <v>35</v>
      </c>
      <c r="J2011" t="s">
        <v>2409</v>
      </c>
      <c r="K2011" t="s">
        <v>1092</v>
      </c>
      <c r="M2011">
        <v>0.22500000000000001</v>
      </c>
      <c r="N2011">
        <v>173</v>
      </c>
      <c r="O2011" t="s">
        <v>38</v>
      </c>
      <c r="Q2011" t="s">
        <v>1345</v>
      </c>
      <c r="R2011" t="s">
        <v>2391</v>
      </c>
      <c r="S2011" t="s">
        <v>236</v>
      </c>
    </row>
    <row r="2012" spans="1:19" x14ac:dyDescent="0.25">
      <c r="A2012" t="s">
        <v>59</v>
      </c>
      <c r="B2012" t="s">
        <v>60</v>
      </c>
      <c r="C2012" t="s">
        <v>32</v>
      </c>
      <c r="D2012" t="s">
        <v>227</v>
      </c>
      <c r="E2012" t="s">
        <v>2385</v>
      </c>
      <c r="F2012" t="s">
        <v>35</v>
      </c>
      <c r="G2012" t="s">
        <v>35</v>
      </c>
      <c r="H2012" t="s">
        <v>35</v>
      </c>
      <c r="J2012" t="s">
        <v>2411</v>
      </c>
      <c r="K2012" t="s">
        <v>1092</v>
      </c>
      <c r="M2012">
        <v>0.75</v>
      </c>
      <c r="N2012">
        <v>33</v>
      </c>
      <c r="O2012" t="s">
        <v>52</v>
      </c>
      <c r="Q2012" t="s">
        <v>137</v>
      </c>
      <c r="R2012" t="s">
        <v>2391</v>
      </c>
      <c r="S2012" t="s">
        <v>236</v>
      </c>
    </row>
    <row r="2013" spans="1:19" x14ac:dyDescent="0.25">
      <c r="A2013" t="s">
        <v>59</v>
      </c>
      <c r="B2013" t="s">
        <v>31</v>
      </c>
      <c r="C2013" t="s">
        <v>32</v>
      </c>
      <c r="D2013" t="s">
        <v>227</v>
      </c>
      <c r="E2013" t="s">
        <v>2385</v>
      </c>
      <c r="F2013" t="s">
        <v>35</v>
      </c>
      <c r="G2013" t="s">
        <v>35</v>
      </c>
      <c r="H2013" t="s">
        <v>35</v>
      </c>
      <c r="J2013" t="s">
        <v>2412</v>
      </c>
      <c r="K2013" t="s">
        <v>1092</v>
      </c>
      <c r="M2013">
        <v>0.13500000000000001</v>
      </c>
      <c r="N2013">
        <v>1619</v>
      </c>
      <c r="O2013" t="s">
        <v>575</v>
      </c>
      <c r="Q2013" t="s">
        <v>2413</v>
      </c>
      <c r="R2013" t="s">
        <v>2391</v>
      </c>
      <c r="S2013" t="s">
        <v>236</v>
      </c>
    </row>
    <row r="2014" spans="1:19" x14ac:dyDescent="0.25">
      <c r="A2014" t="s">
        <v>59</v>
      </c>
      <c r="B2014" t="s">
        <v>60</v>
      </c>
      <c r="C2014" t="s">
        <v>32</v>
      </c>
      <c r="D2014" t="s">
        <v>227</v>
      </c>
      <c r="E2014" t="s">
        <v>2385</v>
      </c>
      <c r="F2014" t="s">
        <v>35</v>
      </c>
      <c r="G2014" t="s">
        <v>35</v>
      </c>
      <c r="H2014" t="s">
        <v>35</v>
      </c>
      <c r="J2014" t="s">
        <v>2412</v>
      </c>
      <c r="K2014" t="s">
        <v>1092</v>
      </c>
      <c r="M2014">
        <v>0.249</v>
      </c>
      <c r="N2014">
        <v>1619</v>
      </c>
      <c r="O2014" t="s">
        <v>575</v>
      </c>
      <c r="Q2014" t="s">
        <v>2413</v>
      </c>
      <c r="R2014" t="s">
        <v>2391</v>
      </c>
      <c r="S2014" t="s">
        <v>236</v>
      </c>
    </row>
    <row r="2015" spans="1:19" x14ac:dyDescent="0.25">
      <c r="A2015" t="s">
        <v>59</v>
      </c>
      <c r="B2015" t="s">
        <v>60</v>
      </c>
      <c r="C2015" t="s">
        <v>32</v>
      </c>
      <c r="D2015" t="s">
        <v>227</v>
      </c>
      <c r="E2015" t="s">
        <v>2385</v>
      </c>
      <c r="F2015" t="s">
        <v>35</v>
      </c>
      <c r="G2015" t="s">
        <v>35</v>
      </c>
      <c r="H2015" t="s">
        <v>35</v>
      </c>
      <c r="J2015" t="s">
        <v>2414</v>
      </c>
      <c r="K2015" t="s">
        <v>1092</v>
      </c>
      <c r="M2015">
        <v>0.05</v>
      </c>
      <c r="N2015">
        <v>2372</v>
      </c>
      <c r="O2015" t="s">
        <v>575</v>
      </c>
      <c r="Q2015" t="s">
        <v>2415</v>
      </c>
      <c r="R2015" t="s">
        <v>2416</v>
      </c>
      <c r="S2015" t="s">
        <v>2417</v>
      </c>
    </row>
    <row r="2016" spans="1:19" x14ac:dyDescent="0.25">
      <c r="A2016" t="s">
        <v>59</v>
      </c>
      <c r="B2016" t="s">
        <v>60</v>
      </c>
      <c r="C2016" t="s">
        <v>32</v>
      </c>
      <c r="D2016" t="s">
        <v>227</v>
      </c>
      <c r="E2016" t="s">
        <v>2385</v>
      </c>
      <c r="F2016" t="s">
        <v>35</v>
      </c>
      <c r="G2016" t="s">
        <v>35</v>
      </c>
      <c r="H2016" t="s">
        <v>35</v>
      </c>
      <c r="J2016" t="s">
        <v>2419</v>
      </c>
      <c r="K2016" t="s">
        <v>1092</v>
      </c>
      <c r="M2016">
        <v>0.15</v>
      </c>
      <c r="N2016">
        <v>30</v>
      </c>
      <c r="O2016" t="s">
        <v>46</v>
      </c>
      <c r="Q2016" t="s">
        <v>793</v>
      </c>
      <c r="R2016" t="s">
        <v>2394</v>
      </c>
      <c r="S2016" t="s">
        <v>271</v>
      </c>
    </row>
    <row r="2017" spans="1:19" x14ac:dyDescent="0.25">
      <c r="A2017" t="s">
        <v>59</v>
      </c>
      <c r="B2017" t="s">
        <v>60</v>
      </c>
      <c r="C2017" t="s">
        <v>32</v>
      </c>
      <c r="D2017" t="s">
        <v>227</v>
      </c>
      <c r="E2017" t="s">
        <v>2385</v>
      </c>
      <c r="F2017" t="s">
        <v>35</v>
      </c>
      <c r="G2017" t="s">
        <v>35</v>
      </c>
      <c r="H2017" t="s">
        <v>35</v>
      </c>
      <c r="J2017" t="s">
        <v>2420</v>
      </c>
      <c r="K2017" t="s">
        <v>1092</v>
      </c>
      <c r="M2017">
        <v>0.5</v>
      </c>
      <c r="N2017">
        <v>51</v>
      </c>
      <c r="O2017" t="s">
        <v>52</v>
      </c>
      <c r="Q2017" t="s">
        <v>54</v>
      </c>
      <c r="R2017" t="s">
        <v>250</v>
      </c>
      <c r="S2017" t="s">
        <v>242</v>
      </c>
    </row>
    <row r="2018" spans="1:19" x14ac:dyDescent="0.25">
      <c r="A2018" t="s">
        <v>59</v>
      </c>
      <c r="B2018" t="s">
        <v>60</v>
      </c>
      <c r="C2018" t="s">
        <v>32</v>
      </c>
      <c r="D2018" t="s">
        <v>227</v>
      </c>
      <c r="E2018" t="s">
        <v>2385</v>
      </c>
      <c r="F2018" t="s">
        <v>35</v>
      </c>
      <c r="G2018" t="s">
        <v>35</v>
      </c>
      <c r="H2018" t="s">
        <v>35</v>
      </c>
      <c r="J2018" t="s">
        <v>2421</v>
      </c>
      <c r="K2018" t="s">
        <v>1092</v>
      </c>
      <c r="M2018">
        <v>0.05</v>
      </c>
      <c r="N2018">
        <v>628</v>
      </c>
      <c r="O2018" t="s">
        <v>575</v>
      </c>
      <c r="Q2018" t="s">
        <v>2423</v>
      </c>
      <c r="R2018" t="s">
        <v>2394</v>
      </c>
      <c r="S2018" t="s">
        <v>271</v>
      </c>
    </row>
    <row r="2019" spans="1:19" x14ac:dyDescent="0.25">
      <c r="A2019" t="s">
        <v>59</v>
      </c>
      <c r="B2019" t="s">
        <v>60</v>
      </c>
      <c r="C2019" t="s">
        <v>32</v>
      </c>
      <c r="D2019" t="s">
        <v>227</v>
      </c>
      <c r="E2019" t="s">
        <v>2385</v>
      </c>
      <c r="F2019" t="s">
        <v>35</v>
      </c>
      <c r="G2019" t="s">
        <v>35</v>
      </c>
      <c r="H2019" t="s">
        <v>35</v>
      </c>
      <c r="J2019" t="s">
        <v>2421</v>
      </c>
      <c r="K2019" t="s">
        <v>1092</v>
      </c>
      <c r="M2019">
        <v>0.25</v>
      </c>
      <c r="N2019">
        <v>613</v>
      </c>
      <c r="O2019" t="s">
        <v>575</v>
      </c>
      <c r="Q2019" t="s">
        <v>2422</v>
      </c>
      <c r="R2019" t="s">
        <v>2394</v>
      </c>
      <c r="S2019" t="s">
        <v>271</v>
      </c>
    </row>
    <row r="2020" spans="1:19" x14ac:dyDescent="0.25">
      <c r="A2020" t="s">
        <v>30</v>
      </c>
      <c r="B2020" t="s">
        <v>31</v>
      </c>
      <c r="C2020" t="s">
        <v>32</v>
      </c>
      <c r="D2020" t="s">
        <v>227</v>
      </c>
      <c r="E2020" t="s">
        <v>2385</v>
      </c>
      <c r="F2020" t="s">
        <v>35</v>
      </c>
      <c r="G2020" t="s">
        <v>35</v>
      </c>
      <c r="H2020" t="s">
        <v>35</v>
      </c>
      <c r="J2020" t="s">
        <v>2424</v>
      </c>
      <c r="K2020" t="s">
        <v>1092</v>
      </c>
      <c r="M2020">
        <v>10.98</v>
      </c>
      <c r="N2020">
        <v>47</v>
      </c>
      <c r="O2020" t="s">
        <v>52</v>
      </c>
      <c r="Q2020" t="s">
        <v>132</v>
      </c>
      <c r="R2020" t="s">
        <v>2425</v>
      </c>
      <c r="S2020" t="s">
        <v>2426</v>
      </c>
    </row>
    <row r="2021" spans="1:19" x14ac:dyDescent="0.25">
      <c r="A2021" t="s">
        <v>30</v>
      </c>
      <c r="B2021" t="s">
        <v>31</v>
      </c>
      <c r="C2021" t="s">
        <v>32</v>
      </c>
      <c r="D2021" t="s">
        <v>227</v>
      </c>
      <c r="E2021" t="s">
        <v>2385</v>
      </c>
      <c r="F2021" t="s">
        <v>35</v>
      </c>
      <c r="G2021" t="s">
        <v>35</v>
      </c>
      <c r="H2021" t="s">
        <v>35</v>
      </c>
      <c r="J2021" t="s">
        <v>2424</v>
      </c>
      <c r="K2021" t="s">
        <v>1092</v>
      </c>
      <c r="M2021">
        <v>1.0349999999999999</v>
      </c>
      <c r="N2021">
        <v>152</v>
      </c>
      <c r="O2021" t="s">
        <v>38</v>
      </c>
      <c r="Q2021" t="s">
        <v>408</v>
      </c>
      <c r="R2021" t="s">
        <v>2428</v>
      </c>
      <c r="S2021" t="s">
        <v>2429</v>
      </c>
    </row>
    <row r="2022" spans="1:19" x14ac:dyDescent="0.25">
      <c r="A2022" t="s">
        <v>30</v>
      </c>
      <c r="B2022" t="s">
        <v>31</v>
      </c>
      <c r="C2022" t="s">
        <v>32</v>
      </c>
      <c r="D2022" t="s">
        <v>227</v>
      </c>
      <c r="E2022" t="s">
        <v>2385</v>
      </c>
      <c r="F2022" t="s">
        <v>35</v>
      </c>
      <c r="G2022" t="s">
        <v>35</v>
      </c>
      <c r="H2022" t="s">
        <v>35</v>
      </c>
      <c r="J2022" t="s">
        <v>2430</v>
      </c>
      <c r="K2022" t="s">
        <v>1092</v>
      </c>
      <c r="M2022">
        <v>1.9350000000000001</v>
      </c>
      <c r="N2022">
        <v>168</v>
      </c>
      <c r="O2022" t="s">
        <v>38</v>
      </c>
      <c r="Q2022" t="s">
        <v>2431</v>
      </c>
      <c r="R2022" t="s">
        <v>256</v>
      </c>
      <c r="S2022" t="s">
        <v>257</v>
      </c>
    </row>
    <row r="2023" spans="1:19" x14ac:dyDescent="0.25">
      <c r="A2023" t="s">
        <v>59</v>
      </c>
      <c r="B2023" t="s">
        <v>31</v>
      </c>
      <c r="C2023" t="s">
        <v>32</v>
      </c>
      <c r="D2023" t="s">
        <v>227</v>
      </c>
      <c r="E2023" t="s">
        <v>2385</v>
      </c>
      <c r="F2023" t="s">
        <v>35</v>
      </c>
      <c r="G2023" t="s">
        <v>35</v>
      </c>
      <c r="H2023" t="s">
        <v>35</v>
      </c>
      <c r="J2023" t="s">
        <v>2432</v>
      </c>
      <c r="K2023" t="s">
        <v>1092</v>
      </c>
      <c r="M2023">
        <v>0.01</v>
      </c>
      <c r="N2023">
        <v>1222</v>
      </c>
      <c r="O2023" t="s">
        <v>575</v>
      </c>
      <c r="Q2023" t="s">
        <v>2434</v>
      </c>
      <c r="R2023" t="s">
        <v>2391</v>
      </c>
      <c r="S2023" t="s">
        <v>236</v>
      </c>
    </row>
    <row r="2024" spans="1:19" x14ac:dyDescent="0.25">
      <c r="A2024" t="s">
        <v>59</v>
      </c>
      <c r="B2024" t="s">
        <v>60</v>
      </c>
      <c r="C2024" t="s">
        <v>32</v>
      </c>
      <c r="D2024" t="s">
        <v>227</v>
      </c>
      <c r="E2024" t="s">
        <v>2385</v>
      </c>
      <c r="F2024" t="s">
        <v>35</v>
      </c>
      <c r="G2024" t="s">
        <v>35</v>
      </c>
      <c r="H2024" t="s">
        <v>35</v>
      </c>
      <c r="J2024" t="s">
        <v>2432</v>
      </c>
      <c r="K2024" t="s">
        <v>1092</v>
      </c>
      <c r="M2024">
        <v>0.15</v>
      </c>
      <c r="N2024">
        <v>1195</v>
      </c>
      <c r="O2024" t="s">
        <v>575</v>
      </c>
      <c r="Q2024" t="s">
        <v>2433</v>
      </c>
      <c r="R2024" t="s">
        <v>2391</v>
      </c>
      <c r="S2024" t="s">
        <v>236</v>
      </c>
    </row>
    <row r="2025" spans="1:19" x14ac:dyDescent="0.25">
      <c r="A2025" t="s">
        <v>59</v>
      </c>
      <c r="B2025" t="s">
        <v>60</v>
      </c>
      <c r="C2025" t="s">
        <v>32</v>
      </c>
      <c r="D2025" t="s">
        <v>227</v>
      </c>
      <c r="E2025" t="s">
        <v>2385</v>
      </c>
      <c r="F2025" t="s">
        <v>35</v>
      </c>
      <c r="G2025" t="s">
        <v>35</v>
      </c>
      <c r="H2025" t="s">
        <v>35</v>
      </c>
      <c r="J2025" t="s">
        <v>2435</v>
      </c>
      <c r="K2025" t="s">
        <v>1092</v>
      </c>
      <c r="M2025">
        <v>10.98</v>
      </c>
      <c r="N2025">
        <v>47</v>
      </c>
      <c r="O2025" t="s">
        <v>52</v>
      </c>
      <c r="Q2025" t="s">
        <v>132</v>
      </c>
      <c r="R2025" t="s">
        <v>250</v>
      </c>
      <c r="S2025" t="s">
        <v>242</v>
      </c>
    </row>
    <row r="2026" spans="1:19" x14ac:dyDescent="0.25">
      <c r="A2026" t="s">
        <v>30</v>
      </c>
      <c r="B2026" t="s">
        <v>31</v>
      </c>
      <c r="C2026" t="s">
        <v>32</v>
      </c>
      <c r="D2026" t="s">
        <v>227</v>
      </c>
      <c r="E2026" t="s">
        <v>2385</v>
      </c>
      <c r="F2026" t="s">
        <v>35</v>
      </c>
      <c r="G2026" t="s">
        <v>35</v>
      </c>
      <c r="H2026" t="s">
        <v>35</v>
      </c>
      <c r="J2026" t="s">
        <v>2436</v>
      </c>
      <c r="K2026" t="s">
        <v>1092</v>
      </c>
      <c r="M2026">
        <v>6.48</v>
      </c>
      <c r="N2026">
        <v>202</v>
      </c>
      <c r="O2026" t="s">
        <v>5</v>
      </c>
      <c r="Q2026" t="s">
        <v>1299</v>
      </c>
      <c r="R2026" t="s">
        <v>2437</v>
      </c>
      <c r="S2026" t="s">
        <v>2438</v>
      </c>
    </row>
    <row r="2027" spans="1:19" x14ac:dyDescent="0.25">
      <c r="A2027" t="s">
        <v>44</v>
      </c>
      <c r="B2027" t="s">
        <v>51</v>
      </c>
      <c r="C2027" t="s">
        <v>32</v>
      </c>
      <c r="D2027" t="s">
        <v>227</v>
      </c>
      <c r="E2027" t="s">
        <v>2385</v>
      </c>
      <c r="F2027" t="s">
        <v>35</v>
      </c>
      <c r="G2027" t="s">
        <v>35</v>
      </c>
      <c r="H2027" t="s">
        <v>35</v>
      </c>
      <c r="J2027" t="s">
        <v>2439</v>
      </c>
      <c r="K2027" t="s">
        <v>1092</v>
      </c>
      <c r="M2027">
        <v>0.25</v>
      </c>
      <c r="N2027">
        <v>14</v>
      </c>
      <c r="O2027" t="s">
        <v>46</v>
      </c>
      <c r="Q2027" t="s">
        <v>2440</v>
      </c>
      <c r="R2027" t="s">
        <v>2394</v>
      </c>
      <c r="S2027" t="s">
        <v>271</v>
      </c>
    </row>
    <row r="2028" spans="1:19" x14ac:dyDescent="0.25">
      <c r="A2028" t="s">
        <v>44</v>
      </c>
      <c r="B2028" t="s">
        <v>3</v>
      </c>
      <c r="C2028" t="s">
        <v>32</v>
      </c>
      <c r="D2028" t="s">
        <v>227</v>
      </c>
      <c r="E2028" t="s">
        <v>2385</v>
      </c>
      <c r="F2028" t="s">
        <v>35</v>
      </c>
      <c r="G2028" t="s">
        <v>35</v>
      </c>
      <c r="H2028" t="s">
        <v>35</v>
      </c>
      <c r="J2028" t="s">
        <v>2441</v>
      </c>
      <c r="K2028" t="s">
        <v>1092</v>
      </c>
      <c r="M2028">
        <v>2.0499999999999998</v>
      </c>
      <c r="N2028">
        <v>66</v>
      </c>
      <c r="O2028" t="s">
        <v>61</v>
      </c>
      <c r="Q2028" t="s">
        <v>203</v>
      </c>
      <c r="R2028" t="s">
        <v>2394</v>
      </c>
      <c r="S2028" t="s">
        <v>271</v>
      </c>
    </row>
    <row r="2029" spans="1:19" x14ac:dyDescent="0.25">
      <c r="A2029" t="s">
        <v>59</v>
      </c>
      <c r="B2029" t="s">
        <v>31</v>
      </c>
      <c r="C2029" t="s">
        <v>32</v>
      </c>
      <c r="D2029" t="s">
        <v>227</v>
      </c>
      <c r="E2029" t="s">
        <v>2442</v>
      </c>
      <c r="F2029" t="s">
        <v>35</v>
      </c>
      <c r="G2029" t="s">
        <v>35</v>
      </c>
      <c r="H2029" t="s">
        <v>35</v>
      </c>
      <c r="J2029" t="s">
        <v>2443</v>
      </c>
      <c r="K2029" t="s">
        <v>1092</v>
      </c>
      <c r="M2029">
        <v>3.0150000000000001</v>
      </c>
      <c r="N2029">
        <v>74</v>
      </c>
      <c r="O2029" t="s">
        <v>61</v>
      </c>
      <c r="Q2029" t="s">
        <v>488</v>
      </c>
      <c r="R2029" t="s">
        <v>2425</v>
      </c>
      <c r="S2029" t="s">
        <v>2426</v>
      </c>
    </row>
    <row r="2030" spans="1:19" x14ac:dyDescent="0.25">
      <c r="A2030" t="s">
        <v>30</v>
      </c>
      <c r="B2030" t="s">
        <v>31</v>
      </c>
      <c r="C2030" t="s">
        <v>32</v>
      </c>
      <c r="D2030" t="s">
        <v>227</v>
      </c>
      <c r="E2030" t="s">
        <v>2442</v>
      </c>
      <c r="F2030" t="s">
        <v>35</v>
      </c>
      <c r="G2030" t="s">
        <v>35</v>
      </c>
      <c r="H2030" t="s">
        <v>35</v>
      </c>
      <c r="J2030" t="s">
        <v>2443</v>
      </c>
      <c r="K2030" t="s">
        <v>1092</v>
      </c>
      <c r="M2030">
        <v>2.4300000000000002</v>
      </c>
      <c r="N2030">
        <v>199</v>
      </c>
      <c r="O2030" t="s">
        <v>5</v>
      </c>
      <c r="Q2030" t="s">
        <v>1720</v>
      </c>
      <c r="R2030" t="s">
        <v>2444</v>
      </c>
      <c r="S2030" t="s">
        <v>2445</v>
      </c>
    </row>
    <row r="2031" spans="1:19" x14ac:dyDescent="0.25">
      <c r="A2031" t="s">
        <v>30</v>
      </c>
      <c r="B2031" t="s">
        <v>31</v>
      </c>
      <c r="C2031" t="s">
        <v>32</v>
      </c>
      <c r="D2031" t="s">
        <v>227</v>
      </c>
      <c r="E2031" t="s">
        <v>2442</v>
      </c>
      <c r="F2031" t="s">
        <v>35</v>
      </c>
      <c r="G2031" t="s">
        <v>35</v>
      </c>
      <c r="H2031" t="s">
        <v>35</v>
      </c>
      <c r="J2031" t="s">
        <v>2446</v>
      </c>
      <c r="K2031" t="s">
        <v>1092</v>
      </c>
      <c r="M2031">
        <v>8.9550000000000001</v>
      </c>
      <c r="N2031">
        <v>48</v>
      </c>
      <c r="O2031" t="s">
        <v>52</v>
      </c>
      <c r="Q2031" t="s">
        <v>496</v>
      </c>
      <c r="R2031" t="s">
        <v>250</v>
      </c>
      <c r="S2031" t="s">
        <v>242</v>
      </c>
    </row>
    <row r="2032" spans="1:19" x14ac:dyDescent="0.25">
      <c r="A2032" t="s">
        <v>30</v>
      </c>
      <c r="B2032" t="s">
        <v>31</v>
      </c>
      <c r="C2032" t="s">
        <v>32</v>
      </c>
      <c r="D2032" t="s">
        <v>227</v>
      </c>
      <c r="E2032" t="s">
        <v>2442</v>
      </c>
      <c r="F2032" t="s">
        <v>35</v>
      </c>
      <c r="G2032" t="s">
        <v>35</v>
      </c>
      <c r="H2032" t="s">
        <v>35</v>
      </c>
      <c r="J2032" t="s">
        <v>2447</v>
      </c>
      <c r="K2032" t="s">
        <v>1092</v>
      </c>
      <c r="M2032">
        <v>5.5350000000000001</v>
      </c>
      <c r="N2032">
        <v>175</v>
      </c>
      <c r="O2032" t="s">
        <v>38</v>
      </c>
      <c r="Q2032" t="s">
        <v>1692</v>
      </c>
      <c r="R2032" t="s">
        <v>2387</v>
      </c>
      <c r="S2032" t="s">
        <v>277</v>
      </c>
    </row>
    <row r="2033" spans="1:19" x14ac:dyDescent="0.25">
      <c r="A2033" t="s">
        <v>59</v>
      </c>
      <c r="B2033" t="s">
        <v>31</v>
      </c>
      <c r="C2033" t="s">
        <v>32</v>
      </c>
      <c r="D2033" t="s">
        <v>227</v>
      </c>
      <c r="E2033" t="s">
        <v>2442</v>
      </c>
      <c r="F2033" t="s">
        <v>35</v>
      </c>
      <c r="G2033" t="s">
        <v>35</v>
      </c>
      <c r="H2033" t="s">
        <v>35</v>
      </c>
      <c r="J2033" t="s">
        <v>2448</v>
      </c>
      <c r="K2033" t="s">
        <v>1092</v>
      </c>
      <c r="M2033">
        <v>5.04</v>
      </c>
      <c r="N2033">
        <v>74</v>
      </c>
      <c r="O2033" t="s">
        <v>61</v>
      </c>
      <c r="Q2033" t="s">
        <v>488</v>
      </c>
      <c r="R2033" t="s">
        <v>2425</v>
      </c>
      <c r="S2033" t="s">
        <v>2426</v>
      </c>
    </row>
    <row r="2034" spans="1:19" x14ac:dyDescent="0.25">
      <c r="A2034" t="s">
        <v>30</v>
      </c>
      <c r="B2034" t="s">
        <v>31</v>
      </c>
      <c r="C2034" t="s">
        <v>32</v>
      </c>
      <c r="D2034" t="s">
        <v>227</v>
      </c>
      <c r="E2034" t="s">
        <v>2442</v>
      </c>
      <c r="F2034" t="s">
        <v>35</v>
      </c>
      <c r="G2034" t="s">
        <v>35</v>
      </c>
      <c r="H2034" t="s">
        <v>35</v>
      </c>
      <c r="J2034" t="s">
        <v>1838</v>
      </c>
      <c r="K2034" t="s">
        <v>1092</v>
      </c>
      <c r="M2034">
        <v>10.98</v>
      </c>
      <c r="N2034">
        <v>47</v>
      </c>
      <c r="O2034" t="s">
        <v>52</v>
      </c>
      <c r="Q2034" t="s">
        <v>132</v>
      </c>
      <c r="R2034" t="s">
        <v>2391</v>
      </c>
      <c r="S2034" t="s">
        <v>236</v>
      </c>
    </row>
    <row r="2035" spans="1:19" x14ac:dyDescent="0.25">
      <c r="A2035" t="s">
        <v>30</v>
      </c>
      <c r="B2035" t="s">
        <v>31</v>
      </c>
      <c r="C2035" t="s">
        <v>32</v>
      </c>
      <c r="D2035" t="s">
        <v>227</v>
      </c>
      <c r="E2035" t="s">
        <v>2442</v>
      </c>
      <c r="F2035" t="s">
        <v>35</v>
      </c>
      <c r="G2035" t="s">
        <v>35</v>
      </c>
      <c r="H2035" t="s">
        <v>35</v>
      </c>
      <c r="J2035" t="s">
        <v>2449</v>
      </c>
      <c r="K2035" t="s">
        <v>1144</v>
      </c>
      <c r="M2035">
        <v>32.94</v>
      </c>
      <c r="N2035">
        <v>47</v>
      </c>
      <c r="O2035" t="s">
        <v>52</v>
      </c>
      <c r="Q2035" t="s">
        <v>132</v>
      </c>
      <c r="R2035" t="s">
        <v>2444</v>
      </c>
      <c r="S2035" t="s">
        <v>2445</v>
      </c>
    </row>
    <row r="2036" spans="1:19" x14ac:dyDescent="0.25">
      <c r="A2036" t="s">
        <v>44</v>
      </c>
      <c r="B2036" t="s">
        <v>3</v>
      </c>
      <c r="C2036" t="s">
        <v>32</v>
      </c>
      <c r="D2036" t="s">
        <v>227</v>
      </c>
      <c r="E2036" t="s">
        <v>2442</v>
      </c>
      <c r="F2036" t="s">
        <v>35</v>
      </c>
      <c r="G2036" t="s">
        <v>35</v>
      </c>
      <c r="H2036" t="s">
        <v>35</v>
      </c>
      <c r="J2036" t="s">
        <v>2449</v>
      </c>
      <c r="K2036" t="s">
        <v>1144</v>
      </c>
      <c r="M2036">
        <v>11</v>
      </c>
      <c r="N2036">
        <v>63</v>
      </c>
      <c r="O2036" t="s">
        <v>61</v>
      </c>
      <c r="Q2036" t="s">
        <v>423</v>
      </c>
      <c r="R2036" t="s">
        <v>2444</v>
      </c>
      <c r="S2036" t="s">
        <v>2445</v>
      </c>
    </row>
    <row r="2037" spans="1:19" x14ac:dyDescent="0.25">
      <c r="A2037" t="s">
        <v>30</v>
      </c>
      <c r="B2037" t="s">
        <v>31</v>
      </c>
      <c r="C2037" t="s">
        <v>32</v>
      </c>
      <c r="D2037" t="s">
        <v>227</v>
      </c>
      <c r="E2037" t="s">
        <v>2442</v>
      </c>
      <c r="F2037" t="s">
        <v>35</v>
      </c>
      <c r="G2037" t="s">
        <v>35</v>
      </c>
      <c r="H2037" t="s">
        <v>35</v>
      </c>
      <c r="J2037" t="s">
        <v>2449</v>
      </c>
      <c r="K2037" t="s">
        <v>1144</v>
      </c>
      <c r="M2037">
        <v>16.155000000000001</v>
      </c>
      <c r="N2037">
        <v>72</v>
      </c>
      <c r="O2037" t="s">
        <v>61</v>
      </c>
      <c r="Q2037" t="s">
        <v>63</v>
      </c>
      <c r="R2037" t="s">
        <v>2444</v>
      </c>
      <c r="S2037" t="s">
        <v>2445</v>
      </c>
    </row>
    <row r="2038" spans="1:19" x14ac:dyDescent="0.25">
      <c r="A2038" t="s">
        <v>44</v>
      </c>
      <c r="B2038" t="s">
        <v>51</v>
      </c>
      <c r="C2038" t="s">
        <v>32</v>
      </c>
      <c r="D2038" t="s">
        <v>227</v>
      </c>
      <c r="E2038" t="s">
        <v>2442</v>
      </c>
      <c r="F2038" t="s">
        <v>35</v>
      </c>
      <c r="G2038" t="s">
        <v>35</v>
      </c>
      <c r="H2038" t="s">
        <v>35</v>
      </c>
      <c r="J2038" t="s">
        <v>2452</v>
      </c>
      <c r="K2038" t="s">
        <v>1092</v>
      </c>
      <c r="M2038">
        <v>0.05</v>
      </c>
      <c r="N2038">
        <v>504</v>
      </c>
      <c r="O2038" t="s">
        <v>294</v>
      </c>
      <c r="Q2038" t="s">
        <v>1614</v>
      </c>
      <c r="R2038" t="s">
        <v>2425</v>
      </c>
      <c r="S2038" t="s">
        <v>2426</v>
      </c>
    </row>
    <row r="2039" spans="1:19" x14ac:dyDescent="0.25">
      <c r="A2039" t="s">
        <v>44</v>
      </c>
      <c r="B2039" t="s">
        <v>51</v>
      </c>
      <c r="C2039" t="s">
        <v>32</v>
      </c>
      <c r="D2039" t="s">
        <v>227</v>
      </c>
      <c r="E2039" t="s">
        <v>2442</v>
      </c>
      <c r="F2039" t="s">
        <v>35</v>
      </c>
      <c r="G2039" t="s">
        <v>35</v>
      </c>
      <c r="H2039" t="s">
        <v>35</v>
      </c>
      <c r="J2039" t="s">
        <v>2453</v>
      </c>
      <c r="K2039" t="s">
        <v>1092</v>
      </c>
      <c r="M2039">
        <v>1.85</v>
      </c>
      <c r="N2039">
        <v>225</v>
      </c>
      <c r="O2039" t="s">
        <v>5</v>
      </c>
      <c r="Q2039" t="s">
        <v>1260</v>
      </c>
      <c r="R2039" t="s">
        <v>2394</v>
      </c>
      <c r="S2039" t="s">
        <v>271</v>
      </c>
    </row>
    <row r="2040" spans="1:19" x14ac:dyDescent="0.25">
      <c r="A2040" t="s">
        <v>30</v>
      </c>
      <c r="B2040" t="s">
        <v>31</v>
      </c>
      <c r="C2040" t="s">
        <v>32</v>
      </c>
      <c r="D2040" t="s">
        <v>227</v>
      </c>
      <c r="E2040" t="s">
        <v>2442</v>
      </c>
      <c r="F2040" t="s">
        <v>35</v>
      </c>
      <c r="G2040" t="s">
        <v>35</v>
      </c>
      <c r="H2040" t="s">
        <v>35</v>
      </c>
      <c r="J2040" t="s">
        <v>2453</v>
      </c>
      <c r="K2040" t="s">
        <v>1092</v>
      </c>
      <c r="M2040">
        <v>3.4249999999999998</v>
      </c>
      <c r="N2040">
        <v>2086</v>
      </c>
      <c r="O2040" t="s">
        <v>575</v>
      </c>
      <c r="Q2040" t="s">
        <v>2454</v>
      </c>
      <c r="R2040" t="s">
        <v>2455</v>
      </c>
      <c r="S2040" t="s">
        <v>2456</v>
      </c>
    </row>
    <row r="2041" spans="1:19" x14ac:dyDescent="0.25">
      <c r="A2041" t="s">
        <v>59</v>
      </c>
      <c r="B2041" t="s">
        <v>60</v>
      </c>
      <c r="C2041" t="s">
        <v>32</v>
      </c>
      <c r="D2041" t="s">
        <v>227</v>
      </c>
      <c r="E2041" t="s">
        <v>228</v>
      </c>
      <c r="F2041" t="s">
        <v>35</v>
      </c>
      <c r="G2041" t="s">
        <v>35</v>
      </c>
      <c r="H2041" t="s">
        <v>35</v>
      </c>
      <c r="J2041" t="s">
        <v>2460</v>
      </c>
      <c r="K2041" t="s">
        <v>1092</v>
      </c>
      <c r="M2041">
        <v>1.25</v>
      </c>
      <c r="N2041">
        <v>70</v>
      </c>
      <c r="O2041" t="s">
        <v>61</v>
      </c>
      <c r="Q2041" t="s">
        <v>126</v>
      </c>
      <c r="R2041" t="s">
        <v>2428</v>
      </c>
      <c r="S2041" t="s">
        <v>2429</v>
      </c>
    </row>
    <row r="2042" spans="1:19" x14ac:dyDescent="0.25">
      <c r="A2042" t="s">
        <v>30</v>
      </c>
      <c r="B2042" t="s">
        <v>31</v>
      </c>
      <c r="C2042" t="s">
        <v>32</v>
      </c>
      <c r="D2042" t="s">
        <v>227</v>
      </c>
      <c r="E2042" t="s">
        <v>228</v>
      </c>
      <c r="F2042" t="s">
        <v>35</v>
      </c>
      <c r="G2042" t="s">
        <v>35</v>
      </c>
      <c r="H2042" t="s">
        <v>35</v>
      </c>
      <c r="J2042" t="s">
        <v>2461</v>
      </c>
      <c r="K2042" t="s">
        <v>1092</v>
      </c>
      <c r="M2042">
        <v>0.28799999999999998</v>
      </c>
      <c r="N2042">
        <v>420</v>
      </c>
      <c r="O2042" t="s">
        <v>294</v>
      </c>
      <c r="Q2042" t="s">
        <v>1643</v>
      </c>
      <c r="R2042" t="s">
        <v>2444</v>
      </c>
      <c r="S2042" t="s">
        <v>2445</v>
      </c>
    </row>
    <row r="2043" spans="1:19" x14ac:dyDescent="0.25">
      <c r="A2043" t="s">
        <v>30</v>
      </c>
      <c r="B2043" t="s">
        <v>31</v>
      </c>
      <c r="C2043" t="s">
        <v>32</v>
      </c>
      <c r="D2043" t="s">
        <v>227</v>
      </c>
      <c r="E2043" t="s">
        <v>228</v>
      </c>
      <c r="F2043" t="s">
        <v>35</v>
      </c>
      <c r="G2043" t="s">
        <v>35</v>
      </c>
      <c r="H2043" t="s">
        <v>35</v>
      </c>
      <c r="J2043" t="s">
        <v>2462</v>
      </c>
      <c r="K2043" t="s">
        <v>1092</v>
      </c>
      <c r="M2043">
        <v>0.18</v>
      </c>
      <c r="N2043">
        <v>887</v>
      </c>
      <c r="O2043" t="s">
        <v>575</v>
      </c>
      <c r="Q2043" t="s">
        <v>576</v>
      </c>
      <c r="R2043" t="s">
        <v>2394</v>
      </c>
      <c r="S2043" t="s">
        <v>271</v>
      </c>
    </row>
    <row r="2044" spans="1:19" x14ac:dyDescent="0.25">
      <c r="A2044" t="s">
        <v>59</v>
      </c>
      <c r="B2044" t="s">
        <v>60</v>
      </c>
      <c r="C2044" t="s">
        <v>32</v>
      </c>
      <c r="D2044" t="s">
        <v>227</v>
      </c>
      <c r="E2044" t="s">
        <v>228</v>
      </c>
      <c r="F2044" t="s">
        <v>35</v>
      </c>
      <c r="G2044" t="s">
        <v>35</v>
      </c>
      <c r="H2044" t="s">
        <v>35</v>
      </c>
      <c r="J2044" t="s">
        <v>2462</v>
      </c>
      <c r="K2044" t="s">
        <v>1092</v>
      </c>
      <c r="M2044">
        <v>1.7999999999999999E-2</v>
      </c>
      <c r="N2044">
        <v>842</v>
      </c>
      <c r="O2044" t="s">
        <v>575</v>
      </c>
      <c r="Q2044" t="s">
        <v>2463</v>
      </c>
      <c r="R2044" t="s">
        <v>2394</v>
      </c>
      <c r="S2044" t="s">
        <v>271</v>
      </c>
    </row>
    <row r="2045" spans="1:19" x14ac:dyDescent="0.25">
      <c r="A2045" t="s">
        <v>59</v>
      </c>
      <c r="B2045" t="s">
        <v>31</v>
      </c>
      <c r="C2045" t="s">
        <v>32</v>
      </c>
      <c r="D2045" t="s">
        <v>227</v>
      </c>
      <c r="E2045" t="s">
        <v>228</v>
      </c>
      <c r="F2045" t="s">
        <v>35</v>
      </c>
      <c r="G2045" t="s">
        <v>35</v>
      </c>
      <c r="H2045" t="s">
        <v>35</v>
      </c>
      <c r="J2045" t="s">
        <v>2462</v>
      </c>
      <c r="K2045" t="s">
        <v>1092</v>
      </c>
      <c r="M2045">
        <v>0.9</v>
      </c>
      <c r="N2045">
        <v>842</v>
      </c>
      <c r="O2045" t="s">
        <v>575</v>
      </c>
      <c r="Q2045" t="s">
        <v>2463</v>
      </c>
      <c r="R2045" t="s">
        <v>2394</v>
      </c>
      <c r="S2045" t="s">
        <v>271</v>
      </c>
    </row>
    <row r="2046" spans="1:19" x14ac:dyDescent="0.25">
      <c r="A2046" t="s">
        <v>30</v>
      </c>
      <c r="B2046" t="s">
        <v>31</v>
      </c>
      <c r="C2046" t="s">
        <v>32</v>
      </c>
      <c r="D2046" t="s">
        <v>227</v>
      </c>
      <c r="E2046" t="s">
        <v>228</v>
      </c>
      <c r="F2046" t="s">
        <v>35</v>
      </c>
      <c r="G2046" t="s">
        <v>35</v>
      </c>
      <c r="H2046" t="s">
        <v>35</v>
      </c>
      <c r="J2046" t="s">
        <v>2464</v>
      </c>
      <c r="K2046" t="s">
        <v>1092</v>
      </c>
      <c r="M2046">
        <v>6.0750000000000002</v>
      </c>
      <c r="N2046">
        <v>38</v>
      </c>
      <c r="O2046" t="s">
        <v>52</v>
      </c>
      <c r="Q2046" t="s">
        <v>748</v>
      </c>
      <c r="R2046" t="s">
        <v>2459</v>
      </c>
      <c r="S2046" t="s">
        <v>229</v>
      </c>
    </row>
    <row r="2047" spans="1:19" x14ac:dyDescent="0.25">
      <c r="A2047" t="s">
        <v>30</v>
      </c>
      <c r="B2047" t="s">
        <v>31</v>
      </c>
      <c r="C2047" t="s">
        <v>32</v>
      </c>
      <c r="D2047" t="s">
        <v>227</v>
      </c>
      <c r="E2047" t="s">
        <v>228</v>
      </c>
      <c r="F2047" t="s">
        <v>35</v>
      </c>
      <c r="G2047" t="s">
        <v>35</v>
      </c>
      <c r="H2047" t="s">
        <v>35</v>
      </c>
      <c r="J2047" t="s">
        <v>2465</v>
      </c>
      <c r="K2047" t="s">
        <v>1092</v>
      </c>
      <c r="M2047">
        <v>3.2000000000000001E-2</v>
      </c>
      <c r="N2047">
        <v>1789</v>
      </c>
      <c r="O2047" t="s">
        <v>575</v>
      </c>
      <c r="Q2047" t="s">
        <v>2466</v>
      </c>
      <c r="R2047" t="s">
        <v>2455</v>
      </c>
      <c r="S2047" t="s">
        <v>2456</v>
      </c>
    </row>
    <row r="2048" spans="1:19" x14ac:dyDescent="0.25">
      <c r="A2048" t="s">
        <v>59</v>
      </c>
      <c r="B2048" t="s">
        <v>60</v>
      </c>
      <c r="C2048" t="s">
        <v>32</v>
      </c>
      <c r="D2048" t="s">
        <v>227</v>
      </c>
      <c r="E2048" t="s">
        <v>228</v>
      </c>
      <c r="F2048" t="s">
        <v>35</v>
      </c>
      <c r="G2048" t="s">
        <v>35</v>
      </c>
      <c r="H2048" t="s">
        <v>35</v>
      </c>
      <c r="J2048" t="s">
        <v>2467</v>
      </c>
      <c r="K2048" t="s">
        <v>1092</v>
      </c>
      <c r="M2048">
        <v>0.45</v>
      </c>
      <c r="N2048">
        <v>52</v>
      </c>
      <c r="O2048" t="s">
        <v>52</v>
      </c>
      <c r="Q2048" t="s">
        <v>1230</v>
      </c>
      <c r="R2048" t="s">
        <v>2459</v>
      </c>
      <c r="S2048" t="s">
        <v>229</v>
      </c>
    </row>
    <row r="2049" spans="1:19" x14ac:dyDescent="0.25">
      <c r="A2049" t="s">
        <v>59</v>
      </c>
      <c r="B2049" t="s">
        <v>31</v>
      </c>
      <c r="C2049" t="s">
        <v>32</v>
      </c>
      <c r="D2049" t="s">
        <v>227</v>
      </c>
      <c r="E2049" t="s">
        <v>228</v>
      </c>
      <c r="F2049" t="s">
        <v>35</v>
      </c>
      <c r="G2049" t="s">
        <v>35</v>
      </c>
      <c r="H2049" t="s">
        <v>35</v>
      </c>
      <c r="J2049" t="s">
        <v>2468</v>
      </c>
      <c r="K2049" t="s">
        <v>1092</v>
      </c>
      <c r="M2049">
        <v>5.49</v>
      </c>
      <c r="N2049">
        <v>101</v>
      </c>
      <c r="O2049" t="s">
        <v>106</v>
      </c>
      <c r="Q2049" t="s">
        <v>1164</v>
      </c>
      <c r="R2049" t="s">
        <v>2387</v>
      </c>
      <c r="S2049" t="s">
        <v>277</v>
      </c>
    </row>
    <row r="2050" spans="1:19" x14ac:dyDescent="0.25">
      <c r="A2050" t="s">
        <v>59</v>
      </c>
      <c r="B2050" t="s">
        <v>60</v>
      </c>
      <c r="C2050" t="s">
        <v>32</v>
      </c>
      <c r="D2050" t="s">
        <v>227</v>
      </c>
      <c r="E2050" t="s">
        <v>228</v>
      </c>
      <c r="F2050" t="s">
        <v>35</v>
      </c>
      <c r="G2050" t="s">
        <v>35</v>
      </c>
      <c r="H2050" t="s">
        <v>35</v>
      </c>
      <c r="J2050" t="s">
        <v>2468</v>
      </c>
      <c r="K2050" t="s">
        <v>1092</v>
      </c>
      <c r="M2050">
        <v>5.5</v>
      </c>
      <c r="N2050">
        <v>101</v>
      </c>
      <c r="O2050" t="s">
        <v>106</v>
      </c>
      <c r="Q2050" t="s">
        <v>1164</v>
      </c>
      <c r="R2050" t="s">
        <v>2387</v>
      </c>
      <c r="S2050" t="s">
        <v>277</v>
      </c>
    </row>
    <row r="2051" spans="1:19" x14ac:dyDescent="0.25">
      <c r="A2051" t="s">
        <v>59</v>
      </c>
      <c r="B2051" t="s">
        <v>60</v>
      </c>
      <c r="C2051" t="s">
        <v>32</v>
      </c>
      <c r="D2051" t="s">
        <v>227</v>
      </c>
      <c r="E2051" t="s">
        <v>228</v>
      </c>
      <c r="F2051" t="s">
        <v>35</v>
      </c>
      <c r="G2051" t="s">
        <v>35</v>
      </c>
      <c r="H2051" t="s">
        <v>35</v>
      </c>
      <c r="J2051" t="s">
        <v>2469</v>
      </c>
      <c r="K2051" t="s">
        <v>1092</v>
      </c>
      <c r="M2051">
        <v>0.5</v>
      </c>
      <c r="N2051">
        <v>6</v>
      </c>
      <c r="O2051" t="s">
        <v>46</v>
      </c>
      <c r="Q2051" t="s">
        <v>8168</v>
      </c>
      <c r="R2051" t="s">
        <v>2394</v>
      </c>
      <c r="S2051" t="s">
        <v>271</v>
      </c>
    </row>
    <row r="2052" spans="1:19" x14ac:dyDescent="0.25">
      <c r="A2052" t="s">
        <v>59</v>
      </c>
      <c r="B2052" t="s">
        <v>60</v>
      </c>
      <c r="C2052" t="s">
        <v>32</v>
      </c>
      <c r="D2052" t="s">
        <v>227</v>
      </c>
      <c r="E2052" t="s">
        <v>228</v>
      </c>
      <c r="F2052" t="s">
        <v>35</v>
      </c>
      <c r="G2052" t="s">
        <v>35</v>
      </c>
      <c r="H2052" t="s">
        <v>35</v>
      </c>
      <c r="J2052" t="s">
        <v>2469</v>
      </c>
      <c r="K2052" t="s">
        <v>1092</v>
      </c>
      <c r="M2052">
        <v>0.5</v>
      </c>
      <c r="N2052">
        <v>133</v>
      </c>
      <c r="O2052" t="s">
        <v>38</v>
      </c>
      <c r="Q2052" t="s">
        <v>68</v>
      </c>
      <c r="R2052" t="s">
        <v>2394</v>
      </c>
      <c r="S2052" t="s">
        <v>271</v>
      </c>
    </row>
    <row r="2053" spans="1:19" x14ac:dyDescent="0.25">
      <c r="A2053" t="s">
        <v>59</v>
      </c>
      <c r="B2053" t="s">
        <v>60</v>
      </c>
      <c r="C2053" t="s">
        <v>32</v>
      </c>
      <c r="D2053" t="s">
        <v>227</v>
      </c>
      <c r="E2053" t="s">
        <v>228</v>
      </c>
      <c r="F2053" t="s">
        <v>35</v>
      </c>
      <c r="G2053" t="s">
        <v>35</v>
      </c>
      <c r="H2053" t="s">
        <v>35</v>
      </c>
      <c r="J2053" t="s">
        <v>2470</v>
      </c>
      <c r="K2053" t="s">
        <v>1092</v>
      </c>
      <c r="M2053">
        <v>0.15</v>
      </c>
      <c r="N2053">
        <v>49</v>
      </c>
      <c r="O2053" t="s">
        <v>52</v>
      </c>
      <c r="Q2053" t="s">
        <v>219</v>
      </c>
      <c r="R2053" t="s">
        <v>2394</v>
      </c>
      <c r="S2053" t="s">
        <v>271</v>
      </c>
    </row>
    <row r="2054" spans="1:19" x14ac:dyDescent="0.25">
      <c r="A2054" t="s">
        <v>59</v>
      </c>
      <c r="B2054" t="s">
        <v>60</v>
      </c>
      <c r="C2054" t="s">
        <v>32</v>
      </c>
      <c r="D2054" t="s">
        <v>227</v>
      </c>
      <c r="E2054" t="s">
        <v>228</v>
      </c>
      <c r="F2054" t="s">
        <v>35</v>
      </c>
      <c r="G2054" t="s">
        <v>35</v>
      </c>
      <c r="H2054" t="s">
        <v>35</v>
      </c>
      <c r="J2054" t="s">
        <v>2471</v>
      </c>
      <c r="K2054" t="s">
        <v>1092</v>
      </c>
      <c r="M2054">
        <v>0.04</v>
      </c>
      <c r="N2054">
        <v>231</v>
      </c>
      <c r="O2054" t="s">
        <v>5</v>
      </c>
      <c r="Q2054" t="s">
        <v>402</v>
      </c>
      <c r="R2054" t="s">
        <v>2425</v>
      </c>
      <c r="S2054" t="s">
        <v>2426</v>
      </c>
    </row>
    <row r="2055" spans="1:19" x14ac:dyDescent="0.25">
      <c r="A2055" t="s">
        <v>59</v>
      </c>
      <c r="B2055" t="s">
        <v>31</v>
      </c>
      <c r="C2055" t="s">
        <v>32</v>
      </c>
      <c r="D2055" t="s">
        <v>227</v>
      </c>
      <c r="E2055" t="s">
        <v>228</v>
      </c>
      <c r="F2055" t="s">
        <v>35</v>
      </c>
      <c r="G2055" t="s">
        <v>35</v>
      </c>
      <c r="H2055" t="s">
        <v>35</v>
      </c>
      <c r="J2055" t="s">
        <v>2472</v>
      </c>
      <c r="K2055" t="s">
        <v>1092</v>
      </c>
      <c r="M2055">
        <v>0.54</v>
      </c>
      <c r="N2055">
        <v>1197</v>
      </c>
      <c r="O2055" t="s">
        <v>575</v>
      </c>
      <c r="Q2055" t="s">
        <v>2473</v>
      </c>
      <c r="R2055" t="s">
        <v>2474</v>
      </c>
      <c r="S2055" t="s">
        <v>2475</v>
      </c>
    </row>
    <row r="2056" spans="1:19" x14ac:dyDescent="0.25">
      <c r="A2056" t="s">
        <v>44</v>
      </c>
      <c r="B2056" t="s">
        <v>3</v>
      </c>
      <c r="C2056" t="s">
        <v>32</v>
      </c>
      <c r="D2056" t="s">
        <v>227</v>
      </c>
      <c r="E2056" t="s">
        <v>228</v>
      </c>
      <c r="F2056" t="s">
        <v>35</v>
      </c>
      <c r="G2056" t="s">
        <v>35</v>
      </c>
      <c r="H2056" t="s">
        <v>35</v>
      </c>
      <c r="J2056" t="s">
        <v>2477</v>
      </c>
      <c r="K2056" t="s">
        <v>1092</v>
      </c>
      <c r="M2056">
        <v>4.7</v>
      </c>
      <c r="N2056">
        <v>67</v>
      </c>
      <c r="O2056" t="s">
        <v>61</v>
      </c>
      <c r="Q2056" t="s">
        <v>1311</v>
      </c>
      <c r="R2056" t="s">
        <v>256</v>
      </c>
      <c r="S2056" t="s">
        <v>257</v>
      </c>
    </row>
    <row r="2057" spans="1:19" x14ac:dyDescent="0.25">
      <c r="A2057" t="s">
        <v>59</v>
      </c>
      <c r="B2057" t="s">
        <v>31</v>
      </c>
      <c r="C2057" t="s">
        <v>32</v>
      </c>
      <c r="D2057" t="s">
        <v>227</v>
      </c>
      <c r="E2057" t="s">
        <v>228</v>
      </c>
      <c r="F2057" t="s">
        <v>35</v>
      </c>
      <c r="G2057" t="s">
        <v>35</v>
      </c>
      <c r="H2057" t="s">
        <v>35</v>
      </c>
      <c r="J2057" t="s">
        <v>2477</v>
      </c>
      <c r="K2057" t="s">
        <v>1092</v>
      </c>
      <c r="M2057">
        <v>0.67500000000000004</v>
      </c>
      <c r="N2057">
        <v>99</v>
      </c>
      <c r="O2057" t="s">
        <v>106</v>
      </c>
      <c r="Q2057" t="s">
        <v>1216</v>
      </c>
      <c r="R2057" t="s">
        <v>256</v>
      </c>
      <c r="S2057" t="s">
        <v>257</v>
      </c>
    </row>
    <row r="2058" spans="1:19" x14ac:dyDescent="0.25">
      <c r="A2058" t="s">
        <v>59</v>
      </c>
      <c r="B2058" t="s">
        <v>60</v>
      </c>
      <c r="C2058" t="s">
        <v>32</v>
      </c>
      <c r="D2058" t="s">
        <v>227</v>
      </c>
      <c r="E2058" t="s">
        <v>228</v>
      </c>
      <c r="F2058" t="s">
        <v>35</v>
      </c>
      <c r="G2058" t="s">
        <v>35</v>
      </c>
      <c r="H2058" t="s">
        <v>35</v>
      </c>
      <c r="J2058" t="s">
        <v>2477</v>
      </c>
      <c r="K2058" t="s">
        <v>1092</v>
      </c>
      <c r="M2058">
        <v>0.35</v>
      </c>
      <c r="N2058">
        <v>99</v>
      </c>
      <c r="O2058" t="s">
        <v>106</v>
      </c>
      <c r="Q2058" t="s">
        <v>1216</v>
      </c>
      <c r="R2058" t="s">
        <v>256</v>
      </c>
      <c r="S2058" t="s">
        <v>257</v>
      </c>
    </row>
    <row r="2059" spans="1:19" x14ac:dyDescent="0.25">
      <c r="A2059" t="s">
        <v>59</v>
      </c>
      <c r="B2059" t="s">
        <v>31</v>
      </c>
      <c r="C2059" t="s">
        <v>32</v>
      </c>
      <c r="D2059" t="s">
        <v>227</v>
      </c>
      <c r="E2059" t="s">
        <v>228</v>
      </c>
      <c r="F2059" t="s">
        <v>35</v>
      </c>
      <c r="G2059" t="s">
        <v>35</v>
      </c>
      <c r="H2059" t="s">
        <v>35</v>
      </c>
      <c r="J2059" t="s">
        <v>2479</v>
      </c>
      <c r="K2059" t="s">
        <v>1092</v>
      </c>
      <c r="M2059">
        <v>3.1949999999999998</v>
      </c>
      <c r="N2059">
        <v>97</v>
      </c>
      <c r="O2059" t="s">
        <v>106</v>
      </c>
      <c r="Q2059" t="s">
        <v>557</v>
      </c>
      <c r="R2059" t="s">
        <v>2480</v>
      </c>
      <c r="S2059" t="s">
        <v>2481</v>
      </c>
    </row>
    <row r="2060" spans="1:19" x14ac:dyDescent="0.25">
      <c r="A2060" t="s">
        <v>59</v>
      </c>
      <c r="B2060" t="s">
        <v>60</v>
      </c>
      <c r="C2060" t="s">
        <v>32</v>
      </c>
      <c r="D2060" t="s">
        <v>227</v>
      </c>
      <c r="E2060" t="s">
        <v>228</v>
      </c>
      <c r="F2060" t="s">
        <v>35</v>
      </c>
      <c r="G2060" t="s">
        <v>35</v>
      </c>
      <c r="H2060" t="s">
        <v>35</v>
      </c>
      <c r="J2060" t="s">
        <v>2483</v>
      </c>
      <c r="K2060" t="s">
        <v>1092</v>
      </c>
      <c r="M2060">
        <v>2.5000000000000001E-2</v>
      </c>
      <c r="N2060">
        <v>499</v>
      </c>
      <c r="O2060" t="s">
        <v>294</v>
      </c>
      <c r="Q2060" t="s">
        <v>1503</v>
      </c>
      <c r="R2060" t="s">
        <v>2480</v>
      </c>
      <c r="S2060" t="s">
        <v>2481</v>
      </c>
    </row>
    <row r="2061" spans="1:19" x14ac:dyDescent="0.25">
      <c r="A2061" t="s">
        <v>59</v>
      </c>
      <c r="B2061" t="s">
        <v>60</v>
      </c>
      <c r="C2061" t="s">
        <v>32</v>
      </c>
      <c r="D2061" t="s">
        <v>227</v>
      </c>
      <c r="E2061" t="s">
        <v>228</v>
      </c>
      <c r="F2061" t="s">
        <v>35</v>
      </c>
      <c r="G2061" t="s">
        <v>35</v>
      </c>
      <c r="H2061" t="s">
        <v>35</v>
      </c>
      <c r="J2061" t="s">
        <v>2484</v>
      </c>
      <c r="K2061" t="s">
        <v>1092</v>
      </c>
      <c r="M2061">
        <v>2</v>
      </c>
      <c r="N2061">
        <v>98</v>
      </c>
      <c r="O2061" t="s">
        <v>106</v>
      </c>
      <c r="Q2061" t="s">
        <v>108</v>
      </c>
      <c r="R2061" t="s">
        <v>256</v>
      </c>
      <c r="S2061" t="s">
        <v>257</v>
      </c>
    </row>
    <row r="2062" spans="1:19" x14ac:dyDescent="0.25">
      <c r="A2062" t="s">
        <v>59</v>
      </c>
      <c r="B2062" t="s">
        <v>31</v>
      </c>
      <c r="C2062" t="s">
        <v>32</v>
      </c>
      <c r="D2062" t="s">
        <v>227</v>
      </c>
      <c r="E2062" t="s">
        <v>228</v>
      </c>
      <c r="F2062" t="s">
        <v>35</v>
      </c>
      <c r="G2062" t="s">
        <v>35</v>
      </c>
      <c r="H2062" t="s">
        <v>35</v>
      </c>
      <c r="J2062" t="s">
        <v>2484</v>
      </c>
      <c r="K2062" t="s">
        <v>1092</v>
      </c>
      <c r="M2062">
        <v>2.61</v>
      </c>
      <c r="N2062">
        <v>98</v>
      </c>
      <c r="O2062" t="s">
        <v>106</v>
      </c>
      <c r="Q2062" t="s">
        <v>108</v>
      </c>
      <c r="R2062" t="s">
        <v>256</v>
      </c>
      <c r="S2062" t="s">
        <v>257</v>
      </c>
    </row>
    <row r="2063" spans="1:19" x14ac:dyDescent="0.25">
      <c r="A2063" t="s">
        <v>59</v>
      </c>
      <c r="B2063" t="s">
        <v>60</v>
      </c>
      <c r="C2063" t="s">
        <v>32</v>
      </c>
      <c r="D2063" t="s">
        <v>227</v>
      </c>
      <c r="E2063" t="s">
        <v>228</v>
      </c>
      <c r="F2063" t="s">
        <v>35</v>
      </c>
      <c r="G2063" t="s">
        <v>35</v>
      </c>
      <c r="H2063" t="s">
        <v>35</v>
      </c>
      <c r="J2063" t="s">
        <v>2484</v>
      </c>
      <c r="K2063" t="s">
        <v>1092</v>
      </c>
      <c r="M2063">
        <v>0.75</v>
      </c>
      <c r="N2063">
        <v>279</v>
      </c>
      <c r="O2063" t="s">
        <v>5</v>
      </c>
      <c r="Q2063" t="s">
        <v>1717</v>
      </c>
      <c r="R2063" t="s">
        <v>256</v>
      </c>
      <c r="S2063" t="s">
        <v>257</v>
      </c>
    </row>
    <row r="2064" spans="1:19" x14ac:dyDescent="0.25">
      <c r="A2064" t="s">
        <v>59</v>
      </c>
      <c r="B2064" t="s">
        <v>60</v>
      </c>
      <c r="C2064" t="s">
        <v>32</v>
      </c>
      <c r="D2064" t="s">
        <v>227</v>
      </c>
      <c r="E2064" t="s">
        <v>228</v>
      </c>
      <c r="F2064" t="s">
        <v>35</v>
      </c>
      <c r="G2064" t="s">
        <v>35</v>
      </c>
      <c r="H2064" t="s">
        <v>35</v>
      </c>
      <c r="J2064" t="s">
        <v>2485</v>
      </c>
      <c r="K2064" t="s">
        <v>1092</v>
      </c>
      <c r="M2064">
        <v>5</v>
      </c>
      <c r="N2064">
        <v>270</v>
      </c>
      <c r="O2064" t="s">
        <v>5</v>
      </c>
      <c r="Q2064" t="s">
        <v>2486</v>
      </c>
      <c r="R2064" t="s">
        <v>2425</v>
      </c>
      <c r="S2064" t="s">
        <v>2426</v>
      </c>
    </row>
    <row r="2065" spans="1:19" x14ac:dyDescent="0.25">
      <c r="A2065" t="s">
        <v>59</v>
      </c>
      <c r="B2065" t="s">
        <v>60</v>
      </c>
      <c r="C2065" t="s">
        <v>32</v>
      </c>
      <c r="D2065" t="s">
        <v>227</v>
      </c>
      <c r="E2065" t="s">
        <v>228</v>
      </c>
      <c r="F2065" t="s">
        <v>35</v>
      </c>
      <c r="G2065" t="s">
        <v>35</v>
      </c>
      <c r="H2065" t="s">
        <v>35</v>
      </c>
      <c r="J2065" t="s">
        <v>2485</v>
      </c>
      <c r="K2065" t="s">
        <v>1092</v>
      </c>
      <c r="M2065">
        <v>2.1</v>
      </c>
      <c r="N2065">
        <v>498</v>
      </c>
      <c r="O2065" t="s">
        <v>294</v>
      </c>
      <c r="Q2065" t="s">
        <v>2487</v>
      </c>
      <c r="R2065" t="s">
        <v>2488</v>
      </c>
      <c r="S2065" t="s">
        <v>2489</v>
      </c>
    </row>
    <row r="2066" spans="1:19" x14ac:dyDescent="0.25">
      <c r="A2066" t="s">
        <v>59</v>
      </c>
      <c r="B2066" t="s">
        <v>60</v>
      </c>
      <c r="C2066" t="s">
        <v>32</v>
      </c>
      <c r="D2066" t="s">
        <v>227</v>
      </c>
      <c r="E2066" t="s">
        <v>228</v>
      </c>
      <c r="F2066" t="s">
        <v>35</v>
      </c>
      <c r="G2066" t="s">
        <v>35</v>
      </c>
      <c r="H2066" t="s">
        <v>35</v>
      </c>
      <c r="J2066" t="s">
        <v>2491</v>
      </c>
      <c r="K2066" t="s">
        <v>1092</v>
      </c>
      <c r="M2066">
        <v>2.7</v>
      </c>
      <c r="N2066">
        <v>72</v>
      </c>
      <c r="O2066" t="s">
        <v>61</v>
      </c>
      <c r="Q2066" t="s">
        <v>63</v>
      </c>
      <c r="R2066" t="s">
        <v>2387</v>
      </c>
      <c r="S2066" t="s">
        <v>277</v>
      </c>
    </row>
    <row r="2067" spans="1:19" x14ac:dyDescent="0.25">
      <c r="A2067" t="s">
        <v>44</v>
      </c>
      <c r="B2067" t="s">
        <v>3</v>
      </c>
      <c r="C2067" t="s">
        <v>32</v>
      </c>
      <c r="D2067" t="s">
        <v>227</v>
      </c>
      <c r="E2067" t="s">
        <v>2492</v>
      </c>
      <c r="F2067" t="s">
        <v>35</v>
      </c>
      <c r="G2067" t="s">
        <v>35</v>
      </c>
      <c r="H2067" t="s">
        <v>35</v>
      </c>
      <c r="J2067" t="s">
        <v>2493</v>
      </c>
      <c r="K2067" t="s">
        <v>1092</v>
      </c>
      <c r="M2067">
        <v>3.25</v>
      </c>
      <c r="N2067">
        <v>67</v>
      </c>
      <c r="O2067" t="s">
        <v>61</v>
      </c>
      <c r="Q2067" t="s">
        <v>1311</v>
      </c>
      <c r="R2067" t="s">
        <v>256</v>
      </c>
      <c r="S2067" t="s">
        <v>257</v>
      </c>
    </row>
    <row r="2068" spans="1:19" x14ac:dyDescent="0.25">
      <c r="A2068" t="s">
        <v>44</v>
      </c>
      <c r="B2068" t="s">
        <v>51</v>
      </c>
      <c r="C2068" t="s">
        <v>32</v>
      </c>
      <c r="D2068" t="s">
        <v>227</v>
      </c>
      <c r="E2068" t="s">
        <v>2492</v>
      </c>
      <c r="F2068" t="s">
        <v>35</v>
      </c>
      <c r="G2068" t="s">
        <v>35</v>
      </c>
      <c r="H2068" t="s">
        <v>35</v>
      </c>
      <c r="J2068" t="s">
        <v>2495</v>
      </c>
      <c r="K2068" t="s">
        <v>1092</v>
      </c>
      <c r="M2068">
        <v>3.75</v>
      </c>
      <c r="N2068">
        <v>43</v>
      </c>
      <c r="O2068" t="s">
        <v>52</v>
      </c>
      <c r="Q2068" t="s">
        <v>892</v>
      </c>
      <c r="R2068" t="s">
        <v>2387</v>
      </c>
      <c r="S2068" t="s">
        <v>277</v>
      </c>
    </row>
    <row r="2069" spans="1:19" x14ac:dyDescent="0.25">
      <c r="A2069" t="s">
        <v>59</v>
      </c>
      <c r="B2069" t="s">
        <v>60</v>
      </c>
      <c r="C2069" t="s">
        <v>32</v>
      </c>
      <c r="D2069" t="s">
        <v>227</v>
      </c>
      <c r="E2069" t="s">
        <v>2492</v>
      </c>
      <c r="F2069" t="s">
        <v>35</v>
      </c>
      <c r="G2069" t="s">
        <v>35</v>
      </c>
      <c r="H2069" t="s">
        <v>35</v>
      </c>
      <c r="J2069" t="s">
        <v>2495</v>
      </c>
      <c r="K2069" t="s">
        <v>1092</v>
      </c>
      <c r="M2069">
        <v>1.1499999999999999</v>
      </c>
      <c r="N2069">
        <v>59</v>
      </c>
      <c r="O2069" t="s">
        <v>52</v>
      </c>
      <c r="Q2069" t="s">
        <v>84</v>
      </c>
      <c r="R2069" t="s">
        <v>256</v>
      </c>
      <c r="S2069" t="s">
        <v>257</v>
      </c>
    </row>
    <row r="2070" spans="1:19" x14ac:dyDescent="0.25">
      <c r="A2070" t="s">
        <v>30</v>
      </c>
      <c r="B2070" t="s">
        <v>31</v>
      </c>
      <c r="C2070" t="s">
        <v>32</v>
      </c>
      <c r="D2070" t="s">
        <v>227</v>
      </c>
      <c r="E2070" t="s">
        <v>2492</v>
      </c>
      <c r="F2070" t="s">
        <v>35</v>
      </c>
      <c r="G2070" t="s">
        <v>35</v>
      </c>
      <c r="H2070" t="s">
        <v>35</v>
      </c>
      <c r="J2070" t="s">
        <v>2495</v>
      </c>
      <c r="K2070" t="s">
        <v>1092</v>
      </c>
      <c r="M2070">
        <v>2.2050000000000001</v>
      </c>
      <c r="N2070">
        <v>45</v>
      </c>
      <c r="O2070" t="s">
        <v>52</v>
      </c>
      <c r="Q2070" t="s">
        <v>716</v>
      </c>
      <c r="R2070" t="s">
        <v>256</v>
      </c>
      <c r="S2070" t="s">
        <v>257</v>
      </c>
    </row>
    <row r="2071" spans="1:19" x14ac:dyDescent="0.25">
      <c r="A2071" t="s">
        <v>44</v>
      </c>
      <c r="B2071" t="s">
        <v>3</v>
      </c>
      <c r="C2071" t="s">
        <v>32</v>
      </c>
      <c r="D2071" t="s">
        <v>227</v>
      </c>
      <c r="E2071" t="s">
        <v>2492</v>
      </c>
      <c r="F2071" t="s">
        <v>35</v>
      </c>
      <c r="G2071" t="s">
        <v>35</v>
      </c>
      <c r="H2071" t="s">
        <v>35</v>
      </c>
      <c r="J2071" t="s">
        <v>2496</v>
      </c>
      <c r="K2071" t="s">
        <v>1092</v>
      </c>
      <c r="M2071">
        <v>5.5</v>
      </c>
      <c r="N2071">
        <v>66</v>
      </c>
      <c r="O2071" t="s">
        <v>61</v>
      </c>
      <c r="Q2071" t="s">
        <v>203</v>
      </c>
      <c r="R2071" t="s">
        <v>2425</v>
      </c>
      <c r="S2071" t="s">
        <v>2426</v>
      </c>
    </row>
    <row r="2072" spans="1:19" x14ac:dyDescent="0.25">
      <c r="A2072" t="s">
        <v>59</v>
      </c>
      <c r="B2072" t="s">
        <v>60</v>
      </c>
      <c r="C2072" t="s">
        <v>32</v>
      </c>
      <c r="D2072" t="s">
        <v>227</v>
      </c>
      <c r="E2072" t="s">
        <v>2492</v>
      </c>
      <c r="F2072" t="s">
        <v>35</v>
      </c>
      <c r="G2072" t="s">
        <v>35</v>
      </c>
      <c r="H2072" t="s">
        <v>35</v>
      </c>
      <c r="J2072" t="s">
        <v>2496</v>
      </c>
      <c r="K2072" t="s">
        <v>1092</v>
      </c>
      <c r="M2072">
        <v>0.54500000000000004</v>
      </c>
      <c r="N2072">
        <v>130</v>
      </c>
      <c r="O2072" t="s">
        <v>38</v>
      </c>
      <c r="Q2072" t="s">
        <v>1656</v>
      </c>
      <c r="R2072" t="s">
        <v>2444</v>
      </c>
      <c r="S2072" t="s">
        <v>2445</v>
      </c>
    </row>
    <row r="2073" spans="1:19" x14ac:dyDescent="0.25">
      <c r="A2073" t="s">
        <v>30</v>
      </c>
      <c r="B2073" t="s">
        <v>31</v>
      </c>
      <c r="C2073" t="s">
        <v>32</v>
      </c>
      <c r="D2073" t="s">
        <v>227</v>
      </c>
      <c r="E2073" t="s">
        <v>2492</v>
      </c>
      <c r="F2073" t="s">
        <v>35</v>
      </c>
      <c r="G2073" t="s">
        <v>35</v>
      </c>
      <c r="H2073" t="s">
        <v>35</v>
      </c>
      <c r="J2073" t="s">
        <v>2498</v>
      </c>
      <c r="K2073" t="s">
        <v>1092</v>
      </c>
      <c r="M2073">
        <v>4.1399999999999997</v>
      </c>
      <c r="N2073">
        <v>263</v>
      </c>
      <c r="O2073" t="s">
        <v>5</v>
      </c>
      <c r="Q2073" t="s">
        <v>2499</v>
      </c>
      <c r="R2073" t="s">
        <v>2406</v>
      </c>
      <c r="S2073" t="s">
        <v>266</v>
      </c>
    </row>
    <row r="2074" spans="1:19" x14ac:dyDescent="0.25">
      <c r="A2074" t="s">
        <v>59</v>
      </c>
      <c r="B2074" t="s">
        <v>60</v>
      </c>
      <c r="C2074" t="s">
        <v>32</v>
      </c>
      <c r="D2074" t="s">
        <v>227</v>
      </c>
      <c r="E2074" t="s">
        <v>2492</v>
      </c>
      <c r="F2074" t="s">
        <v>35</v>
      </c>
      <c r="G2074" t="s">
        <v>35</v>
      </c>
      <c r="H2074" t="s">
        <v>35</v>
      </c>
      <c r="J2074" t="s">
        <v>2498</v>
      </c>
      <c r="K2074" t="s">
        <v>1092</v>
      </c>
      <c r="M2074">
        <v>0.05</v>
      </c>
      <c r="N2074">
        <v>263</v>
      </c>
      <c r="O2074" t="s">
        <v>5</v>
      </c>
      <c r="Q2074" t="s">
        <v>2499</v>
      </c>
      <c r="R2074" t="s">
        <v>2406</v>
      </c>
      <c r="S2074" t="s">
        <v>266</v>
      </c>
    </row>
    <row r="2075" spans="1:19" x14ac:dyDescent="0.25">
      <c r="A2075" t="s">
        <v>59</v>
      </c>
      <c r="B2075" t="s">
        <v>31</v>
      </c>
      <c r="C2075" t="s">
        <v>32</v>
      </c>
      <c r="D2075" t="s">
        <v>227</v>
      </c>
      <c r="E2075" t="s">
        <v>2492</v>
      </c>
      <c r="F2075" t="s">
        <v>35</v>
      </c>
      <c r="G2075" t="s">
        <v>35</v>
      </c>
      <c r="H2075" t="s">
        <v>35</v>
      </c>
      <c r="J2075" t="s">
        <v>2500</v>
      </c>
      <c r="K2075" t="s">
        <v>1092</v>
      </c>
      <c r="M2075">
        <v>3.915</v>
      </c>
      <c r="N2075">
        <v>97</v>
      </c>
      <c r="O2075" t="s">
        <v>106</v>
      </c>
      <c r="Q2075" t="s">
        <v>557</v>
      </c>
      <c r="R2075" t="s">
        <v>2480</v>
      </c>
      <c r="S2075" t="s">
        <v>2481</v>
      </c>
    </row>
    <row r="2076" spans="1:19" x14ac:dyDescent="0.25">
      <c r="A2076" t="s">
        <v>59</v>
      </c>
      <c r="B2076" t="s">
        <v>60</v>
      </c>
      <c r="C2076" t="s">
        <v>32</v>
      </c>
      <c r="D2076" t="s">
        <v>227</v>
      </c>
      <c r="E2076" t="s">
        <v>2492</v>
      </c>
      <c r="F2076" t="s">
        <v>35</v>
      </c>
      <c r="G2076" t="s">
        <v>35</v>
      </c>
      <c r="H2076" t="s">
        <v>35</v>
      </c>
      <c r="J2076" t="s">
        <v>2501</v>
      </c>
      <c r="K2076" t="s">
        <v>1092</v>
      </c>
      <c r="M2076">
        <v>0.1</v>
      </c>
      <c r="N2076">
        <v>840</v>
      </c>
      <c r="O2076" t="s">
        <v>575</v>
      </c>
      <c r="Q2076" t="s">
        <v>2502</v>
      </c>
      <c r="R2076" t="s">
        <v>256</v>
      </c>
      <c r="S2076" t="s">
        <v>257</v>
      </c>
    </row>
    <row r="2077" spans="1:19" x14ac:dyDescent="0.25">
      <c r="A2077" t="s">
        <v>59</v>
      </c>
      <c r="B2077" t="s">
        <v>60</v>
      </c>
      <c r="C2077" t="s">
        <v>32</v>
      </c>
      <c r="D2077" t="s">
        <v>227</v>
      </c>
      <c r="E2077" t="s">
        <v>2492</v>
      </c>
      <c r="F2077" t="s">
        <v>35</v>
      </c>
      <c r="G2077" t="s">
        <v>35</v>
      </c>
      <c r="H2077" t="s">
        <v>35</v>
      </c>
      <c r="J2077" t="s">
        <v>2503</v>
      </c>
      <c r="K2077" t="s">
        <v>1092</v>
      </c>
      <c r="M2077">
        <v>4.4999999999999998E-2</v>
      </c>
      <c r="N2077">
        <v>775</v>
      </c>
      <c r="O2077" t="s">
        <v>575</v>
      </c>
      <c r="Q2077" t="s">
        <v>2043</v>
      </c>
      <c r="R2077" t="s">
        <v>2425</v>
      </c>
      <c r="S2077" t="s">
        <v>2426</v>
      </c>
    </row>
    <row r="2078" spans="1:19" x14ac:dyDescent="0.25">
      <c r="A2078" t="s">
        <v>30</v>
      </c>
      <c r="B2078" t="s">
        <v>31</v>
      </c>
      <c r="C2078" t="s">
        <v>32</v>
      </c>
      <c r="D2078" t="s">
        <v>227</v>
      </c>
      <c r="E2078" t="s">
        <v>2492</v>
      </c>
      <c r="F2078" t="s">
        <v>35</v>
      </c>
      <c r="G2078" t="s">
        <v>35</v>
      </c>
      <c r="H2078" t="s">
        <v>35</v>
      </c>
      <c r="J2078" t="s">
        <v>2504</v>
      </c>
      <c r="K2078" t="s">
        <v>1092</v>
      </c>
      <c r="M2078">
        <v>0.93</v>
      </c>
      <c r="N2078">
        <v>133</v>
      </c>
      <c r="O2078" t="s">
        <v>38</v>
      </c>
      <c r="Q2078" t="s">
        <v>68</v>
      </c>
      <c r="R2078" t="s">
        <v>2480</v>
      </c>
      <c r="S2078" t="s">
        <v>2481</v>
      </c>
    </row>
    <row r="2079" spans="1:19" x14ac:dyDescent="0.25">
      <c r="A2079" t="s">
        <v>59</v>
      </c>
      <c r="B2079" t="s">
        <v>60</v>
      </c>
      <c r="C2079" t="s">
        <v>32</v>
      </c>
      <c r="D2079" t="s">
        <v>227</v>
      </c>
      <c r="E2079" t="s">
        <v>2492</v>
      </c>
      <c r="F2079" t="s">
        <v>35</v>
      </c>
      <c r="G2079" t="s">
        <v>35</v>
      </c>
      <c r="H2079" t="s">
        <v>35</v>
      </c>
      <c r="J2079" t="s">
        <v>2504</v>
      </c>
      <c r="K2079" t="s">
        <v>1092</v>
      </c>
      <c r="M2079">
        <v>4.5999999999999996</v>
      </c>
      <c r="N2079">
        <v>26</v>
      </c>
      <c r="O2079" t="s">
        <v>46</v>
      </c>
      <c r="Q2079" t="s">
        <v>94</v>
      </c>
      <c r="R2079" t="s">
        <v>2480</v>
      </c>
      <c r="S2079" t="s">
        <v>2481</v>
      </c>
    </row>
    <row r="2080" spans="1:19" x14ac:dyDescent="0.25">
      <c r="A2080" t="s">
        <v>59</v>
      </c>
      <c r="B2080" t="s">
        <v>60</v>
      </c>
      <c r="C2080" t="s">
        <v>32</v>
      </c>
      <c r="D2080" t="s">
        <v>227</v>
      </c>
      <c r="E2080" t="s">
        <v>2492</v>
      </c>
      <c r="F2080" t="s">
        <v>35</v>
      </c>
      <c r="G2080" t="s">
        <v>35</v>
      </c>
      <c r="H2080" t="s">
        <v>35</v>
      </c>
      <c r="J2080" t="s">
        <v>2505</v>
      </c>
      <c r="K2080" t="s">
        <v>1092</v>
      </c>
      <c r="M2080">
        <v>4</v>
      </c>
      <c r="N2080">
        <v>26</v>
      </c>
      <c r="O2080" t="s">
        <v>46</v>
      </c>
      <c r="Q2080" t="s">
        <v>94</v>
      </c>
      <c r="R2080" t="s">
        <v>2480</v>
      </c>
      <c r="S2080" t="s">
        <v>2481</v>
      </c>
    </row>
    <row r="2081" spans="1:19" x14ac:dyDescent="0.25">
      <c r="A2081" t="s">
        <v>59</v>
      </c>
      <c r="B2081" t="s">
        <v>31</v>
      </c>
      <c r="C2081" t="s">
        <v>32</v>
      </c>
      <c r="D2081" t="s">
        <v>227</v>
      </c>
      <c r="E2081" t="s">
        <v>2492</v>
      </c>
      <c r="F2081" t="s">
        <v>35</v>
      </c>
      <c r="G2081" t="s">
        <v>35</v>
      </c>
      <c r="H2081" t="s">
        <v>35</v>
      </c>
      <c r="J2081" t="s">
        <v>2505</v>
      </c>
      <c r="K2081" t="s">
        <v>1092</v>
      </c>
      <c r="M2081">
        <v>2.2949999999999999</v>
      </c>
      <c r="N2081">
        <v>384</v>
      </c>
      <c r="O2081" t="s">
        <v>294</v>
      </c>
      <c r="Q2081" t="s">
        <v>2506</v>
      </c>
      <c r="R2081" t="s">
        <v>2480</v>
      </c>
      <c r="S2081" t="s">
        <v>2481</v>
      </c>
    </row>
    <row r="2082" spans="1:19" x14ac:dyDescent="0.25">
      <c r="A2082" t="s">
        <v>59</v>
      </c>
      <c r="B2082" t="s">
        <v>60</v>
      </c>
      <c r="C2082" t="s">
        <v>32</v>
      </c>
      <c r="D2082" t="s">
        <v>227</v>
      </c>
      <c r="E2082" t="s">
        <v>2492</v>
      </c>
      <c r="F2082" t="s">
        <v>35</v>
      </c>
      <c r="G2082" t="s">
        <v>35</v>
      </c>
      <c r="H2082" t="s">
        <v>35</v>
      </c>
      <c r="J2082" t="s">
        <v>2507</v>
      </c>
      <c r="K2082" t="s">
        <v>1092</v>
      </c>
      <c r="M2082">
        <v>3.7999999999999999E-2</v>
      </c>
      <c r="N2082">
        <v>152</v>
      </c>
      <c r="O2082" t="s">
        <v>38</v>
      </c>
      <c r="Q2082" t="s">
        <v>408</v>
      </c>
      <c r="R2082" t="s">
        <v>2425</v>
      </c>
      <c r="S2082" t="s">
        <v>2426</v>
      </c>
    </row>
    <row r="2083" spans="1:19" x14ac:dyDescent="0.25">
      <c r="A2083" t="s">
        <v>59</v>
      </c>
      <c r="B2083" t="s">
        <v>60</v>
      </c>
      <c r="C2083" t="s">
        <v>32</v>
      </c>
      <c r="D2083" t="s">
        <v>227</v>
      </c>
      <c r="E2083" t="s">
        <v>2492</v>
      </c>
      <c r="F2083" t="s">
        <v>35</v>
      </c>
      <c r="G2083" t="s">
        <v>35</v>
      </c>
      <c r="H2083" t="s">
        <v>35</v>
      </c>
      <c r="J2083" t="s">
        <v>2508</v>
      </c>
      <c r="K2083" t="s">
        <v>1092</v>
      </c>
      <c r="M2083">
        <v>0.1</v>
      </c>
      <c r="N2083">
        <v>72</v>
      </c>
      <c r="O2083" t="s">
        <v>61</v>
      </c>
      <c r="Q2083" t="s">
        <v>63</v>
      </c>
      <c r="R2083" t="s">
        <v>2480</v>
      </c>
      <c r="S2083" t="s">
        <v>2481</v>
      </c>
    </row>
    <row r="2084" spans="1:19" x14ac:dyDescent="0.25">
      <c r="A2084" t="s">
        <v>59</v>
      </c>
      <c r="B2084" t="s">
        <v>31</v>
      </c>
      <c r="C2084" t="s">
        <v>32</v>
      </c>
      <c r="D2084" t="s">
        <v>227</v>
      </c>
      <c r="E2084" t="s">
        <v>2492</v>
      </c>
      <c r="F2084" t="s">
        <v>35</v>
      </c>
      <c r="G2084" t="s">
        <v>35</v>
      </c>
      <c r="H2084" t="s">
        <v>35</v>
      </c>
      <c r="J2084" t="s">
        <v>2508</v>
      </c>
      <c r="K2084" t="s">
        <v>1092</v>
      </c>
      <c r="M2084">
        <v>3.0000000000000001E-3</v>
      </c>
      <c r="N2084">
        <v>517</v>
      </c>
      <c r="O2084" t="s">
        <v>294</v>
      </c>
      <c r="Q2084" t="s">
        <v>2509</v>
      </c>
      <c r="R2084" t="s">
        <v>2480</v>
      </c>
      <c r="S2084" t="s">
        <v>2481</v>
      </c>
    </row>
    <row r="2085" spans="1:19" x14ac:dyDescent="0.25">
      <c r="A2085" t="s">
        <v>59</v>
      </c>
      <c r="B2085" t="s">
        <v>60</v>
      </c>
      <c r="C2085" t="s">
        <v>32</v>
      </c>
      <c r="D2085" t="s">
        <v>227</v>
      </c>
      <c r="E2085" t="s">
        <v>2492</v>
      </c>
      <c r="F2085" t="s">
        <v>35</v>
      </c>
      <c r="G2085" t="s">
        <v>35</v>
      </c>
      <c r="H2085" t="s">
        <v>35</v>
      </c>
      <c r="J2085" t="s">
        <v>2510</v>
      </c>
      <c r="K2085" t="s">
        <v>1092</v>
      </c>
      <c r="M2085">
        <v>11</v>
      </c>
      <c r="N2085">
        <v>28</v>
      </c>
      <c r="O2085" t="s">
        <v>46</v>
      </c>
      <c r="Q2085" t="s">
        <v>176</v>
      </c>
      <c r="R2085" t="s">
        <v>2488</v>
      </c>
      <c r="S2085" t="s">
        <v>2489</v>
      </c>
    </row>
    <row r="2086" spans="1:19" x14ac:dyDescent="0.25">
      <c r="A2086" t="s">
        <v>59</v>
      </c>
      <c r="B2086" t="s">
        <v>31</v>
      </c>
      <c r="C2086" t="s">
        <v>32</v>
      </c>
      <c r="D2086" t="s">
        <v>227</v>
      </c>
      <c r="E2086" t="s">
        <v>2492</v>
      </c>
      <c r="F2086" t="s">
        <v>35</v>
      </c>
      <c r="G2086" t="s">
        <v>35</v>
      </c>
      <c r="H2086" t="s">
        <v>35</v>
      </c>
      <c r="J2086" t="s">
        <v>2511</v>
      </c>
      <c r="K2086" t="s">
        <v>1092</v>
      </c>
      <c r="M2086">
        <v>5.0000000000000001E-3</v>
      </c>
      <c r="N2086">
        <v>1258</v>
      </c>
      <c r="O2086" t="s">
        <v>575</v>
      </c>
      <c r="Q2086" t="s">
        <v>2512</v>
      </c>
      <c r="R2086" t="s">
        <v>2513</v>
      </c>
      <c r="S2086" t="s">
        <v>2514</v>
      </c>
    </row>
    <row r="2087" spans="1:19" x14ac:dyDescent="0.25">
      <c r="A2087" t="s">
        <v>59</v>
      </c>
      <c r="B2087" t="s">
        <v>31</v>
      </c>
      <c r="C2087" t="s">
        <v>32</v>
      </c>
      <c r="D2087" t="s">
        <v>227</v>
      </c>
      <c r="E2087" t="s">
        <v>2492</v>
      </c>
      <c r="F2087" t="s">
        <v>35</v>
      </c>
      <c r="G2087" t="s">
        <v>35</v>
      </c>
      <c r="H2087" t="s">
        <v>35</v>
      </c>
      <c r="J2087" t="s">
        <v>2515</v>
      </c>
      <c r="K2087" t="s">
        <v>1092</v>
      </c>
      <c r="M2087">
        <v>4.8600000000000003</v>
      </c>
      <c r="N2087">
        <v>240</v>
      </c>
      <c r="O2087" t="s">
        <v>5</v>
      </c>
      <c r="Q2087" t="s">
        <v>2516</v>
      </c>
      <c r="R2087" t="s">
        <v>2480</v>
      </c>
      <c r="S2087" t="s">
        <v>2481</v>
      </c>
    </row>
    <row r="2088" spans="1:19" x14ac:dyDescent="0.25">
      <c r="A2088" t="s">
        <v>59</v>
      </c>
      <c r="B2088" t="s">
        <v>60</v>
      </c>
      <c r="C2088" t="s">
        <v>32</v>
      </c>
      <c r="D2088" t="s">
        <v>227</v>
      </c>
      <c r="E2088" t="s">
        <v>2492</v>
      </c>
      <c r="F2088" t="s">
        <v>35</v>
      </c>
      <c r="G2088" t="s">
        <v>35</v>
      </c>
      <c r="H2088" t="s">
        <v>35</v>
      </c>
      <c r="J2088" t="s">
        <v>2515</v>
      </c>
      <c r="K2088" t="s">
        <v>1092</v>
      </c>
      <c r="M2088">
        <v>5</v>
      </c>
      <c r="N2088">
        <v>53</v>
      </c>
      <c r="O2088" t="s">
        <v>52</v>
      </c>
      <c r="Q2088" t="s">
        <v>332</v>
      </c>
      <c r="R2088" t="s">
        <v>2428</v>
      </c>
      <c r="S2088" t="s">
        <v>2429</v>
      </c>
    </row>
    <row r="2089" spans="1:19" x14ac:dyDescent="0.25">
      <c r="A2089" t="s">
        <v>30</v>
      </c>
      <c r="B2089" t="s">
        <v>31</v>
      </c>
      <c r="C2089" t="s">
        <v>32</v>
      </c>
      <c r="D2089" t="s">
        <v>227</v>
      </c>
      <c r="E2089" t="s">
        <v>2492</v>
      </c>
      <c r="F2089" t="s">
        <v>35</v>
      </c>
      <c r="G2089" t="s">
        <v>35</v>
      </c>
      <c r="H2089" t="s">
        <v>35</v>
      </c>
      <c r="J2089" t="s">
        <v>2515</v>
      </c>
      <c r="K2089" t="s">
        <v>1092</v>
      </c>
      <c r="M2089">
        <v>9.9149999999999991</v>
      </c>
      <c r="N2089">
        <v>149</v>
      </c>
      <c r="O2089" t="s">
        <v>38</v>
      </c>
      <c r="Q2089" t="s">
        <v>73</v>
      </c>
      <c r="R2089" t="s">
        <v>2480</v>
      </c>
      <c r="S2089" t="s">
        <v>2481</v>
      </c>
    </row>
    <row r="2090" spans="1:19" x14ac:dyDescent="0.25">
      <c r="A2090" t="s">
        <v>59</v>
      </c>
      <c r="B2090" t="s">
        <v>60</v>
      </c>
      <c r="C2090" t="s">
        <v>32</v>
      </c>
      <c r="D2090" t="s">
        <v>227</v>
      </c>
      <c r="E2090" t="s">
        <v>2492</v>
      </c>
      <c r="F2090" t="s">
        <v>35</v>
      </c>
      <c r="G2090" t="s">
        <v>35</v>
      </c>
      <c r="H2090" t="s">
        <v>35</v>
      </c>
      <c r="J2090" t="s">
        <v>2515</v>
      </c>
      <c r="K2090" t="s">
        <v>1092</v>
      </c>
      <c r="M2090">
        <v>0.05</v>
      </c>
      <c r="N2090">
        <v>135</v>
      </c>
      <c r="O2090" t="s">
        <v>38</v>
      </c>
      <c r="Q2090" t="s">
        <v>98</v>
      </c>
      <c r="R2090" t="s">
        <v>2480</v>
      </c>
      <c r="S2090" t="s">
        <v>2481</v>
      </c>
    </row>
    <row r="2091" spans="1:19" x14ac:dyDescent="0.25">
      <c r="A2091" t="s">
        <v>59</v>
      </c>
      <c r="B2091" t="s">
        <v>31</v>
      </c>
      <c r="C2091" t="s">
        <v>32</v>
      </c>
      <c r="D2091" t="s">
        <v>227</v>
      </c>
      <c r="E2091" t="s">
        <v>2492</v>
      </c>
      <c r="F2091" t="s">
        <v>35</v>
      </c>
      <c r="G2091" t="s">
        <v>35</v>
      </c>
      <c r="H2091" t="s">
        <v>35</v>
      </c>
      <c r="J2091" t="s">
        <v>2515</v>
      </c>
      <c r="K2091" t="s">
        <v>1092</v>
      </c>
      <c r="M2091">
        <v>0.36</v>
      </c>
      <c r="N2091">
        <v>298</v>
      </c>
      <c r="O2091" t="s">
        <v>5</v>
      </c>
      <c r="Q2091" t="s">
        <v>2517</v>
      </c>
      <c r="R2091" t="s">
        <v>2480</v>
      </c>
      <c r="S2091" t="s">
        <v>2481</v>
      </c>
    </row>
    <row r="2092" spans="1:19" x14ac:dyDescent="0.25">
      <c r="A2092" t="s">
        <v>59</v>
      </c>
      <c r="B2092" t="s">
        <v>60</v>
      </c>
      <c r="C2092" t="s">
        <v>32</v>
      </c>
      <c r="D2092" t="s">
        <v>227</v>
      </c>
      <c r="E2092" t="s">
        <v>2492</v>
      </c>
      <c r="F2092" t="s">
        <v>35</v>
      </c>
      <c r="G2092" t="s">
        <v>35</v>
      </c>
      <c r="H2092" t="s">
        <v>35</v>
      </c>
      <c r="J2092" t="s">
        <v>2518</v>
      </c>
      <c r="K2092" t="s">
        <v>1092</v>
      </c>
      <c r="M2092">
        <v>4.1500000000000004</v>
      </c>
      <c r="N2092">
        <v>72</v>
      </c>
      <c r="O2092" t="s">
        <v>61</v>
      </c>
      <c r="Q2092" t="s">
        <v>63</v>
      </c>
      <c r="R2092" t="s">
        <v>2480</v>
      </c>
      <c r="S2092" t="s">
        <v>2481</v>
      </c>
    </row>
    <row r="2093" spans="1:19" x14ac:dyDescent="0.25">
      <c r="A2093" t="s">
        <v>59</v>
      </c>
      <c r="B2093" t="s">
        <v>60</v>
      </c>
      <c r="C2093" t="s">
        <v>32</v>
      </c>
      <c r="D2093" t="s">
        <v>227</v>
      </c>
      <c r="E2093" t="s">
        <v>2492</v>
      </c>
      <c r="F2093" t="s">
        <v>35</v>
      </c>
      <c r="G2093" t="s">
        <v>35</v>
      </c>
      <c r="H2093" t="s">
        <v>35</v>
      </c>
      <c r="J2093" t="s">
        <v>2519</v>
      </c>
      <c r="K2093" t="s">
        <v>1092</v>
      </c>
      <c r="M2093">
        <v>8.65</v>
      </c>
      <c r="N2093">
        <v>328</v>
      </c>
      <c r="O2093" t="s">
        <v>5</v>
      </c>
      <c r="Q2093" t="s">
        <v>2520</v>
      </c>
      <c r="R2093" t="s">
        <v>2480</v>
      </c>
      <c r="S2093" t="s">
        <v>2481</v>
      </c>
    </row>
    <row r="2094" spans="1:19" x14ac:dyDescent="0.25">
      <c r="A2094" t="s">
        <v>59</v>
      </c>
      <c r="B2094" t="s">
        <v>31</v>
      </c>
      <c r="C2094" t="s">
        <v>32</v>
      </c>
      <c r="D2094" t="s">
        <v>227</v>
      </c>
      <c r="E2094" t="s">
        <v>2492</v>
      </c>
      <c r="F2094" t="s">
        <v>35</v>
      </c>
      <c r="G2094" t="s">
        <v>35</v>
      </c>
      <c r="H2094" t="s">
        <v>35</v>
      </c>
      <c r="J2094" t="s">
        <v>2521</v>
      </c>
      <c r="K2094" t="s">
        <v>1092</v>
      </c>
      <c r="M2094">
        <v>0.18</v>
      </c>
      <c r="N2094">
        <v>261</v>
      </c>
      <c r="O2094" t="s">
        <v>5</v>
      </c>
      <c r="Q2094" t="s">
        <v>2522</v>
      </c>
      <c r="R2094" t="s">
        <v>2387</v>
      </c>
      <c r="S2094" t="s">
        <v>277</v>
      </c>
    </row>
    <row r="2095" spans="1:19" x14ac:dyDescent="0.25">
      <c r="A2095" t="s">
        <v>30</v>
      </c>
      <c r="B2095" t="s">
        <v>31</v>
      </c>
      <c r="C2095" t="s">
        <v>32</v>
      </c>
      <c r="D2095" t="s">
        <v>227</v>
      </c>
      <c r="E2095" t="s">
        <v>2492</v>
      </c>
      <c r="F2095" t="s">
        <v>35</v>
      </c>
      <c r="G2095" t="s">
        <v>35</v>
      </c>
      <c r="H2095" t="s">
        <v>35</v>
      </c>
      <c r="J2095" t="s">
        <v>2523</v>
      </c>
      <c r="K2095" t="s">
        <v>1092</v>
      </c>
      <c r="M2095">
        <v>6.4349999999999996</v>
      </c>
      <c r="N2095">
        <v>149</v>
      </c>
      <c r="O2095" t="s">
        <v>38</v>
      </c>
      <c r="Q2095" t="s">
        <v>73</v>
      </c>
      <c r="R2095" t="s">
        <v>2480</v>
      </c>
      <c r="S2095" t="s">
        <v>2481</v>
      </c>
    </row>
    <row r="2096" spans="1:19" x14ac:dyDescent="0.25">
      <c r="A2096" t="s">
        <v>59</v>
      </c>
      <c r="B2096" t="s">
        <v>60</v>
      </c>
      <c r="C2096" t="s">
        <v>32</v>
      </c>
      <c r="D2096" t="s">
        <v>227</v>
      </c>
      <c r="E2096" t="s">
        <v>2492</v>
      </c>
      <c r="F2096" t="s">
        <v>35</v>
      </c>
      <c r="G2096" t="s">
        <v>35</v>
      </c>
      <c r="H2096" t="s">
        <v>35</v>
      </c>
      <c r="J2096" t="s">
        <v>2523</v>
      </c>
      <c r="K2096" t="s">
        <v>1092</v>
      </c>
      <c r="M2096">
        <v>6</v>
      </c>
      <c r="N2096">
        <v>53</v>
      </c>
      <c r="O2096" t="s">
        <v>52</v>
      </c>
      <c r="Q2096" t="s">
        <v>332</v>
      </c>
      <c r="R2096" t="s">
        <v>2428</v>
      </c>
      <c r="S2096" t="s">
        <v>2429</v>
      </c>
    </row>
    <row r="2097" spans="1:19" x14ac:dyDescent="0.25">
      <c r="A2097" t="s">
        <v>30</v>
      </c>
      <c r="B2097" t="s">
        <v>31</v>
      </c>
      <c r="C2097" t="s">
        <v>32</v>
      </c>
      <c r="D2097" t="s">
        <v>227</v>
      </c>
      <c r="E2097" t="s">
        <v>2492</v>
      </c>
      <c r="F2097" t="s">
        <v>35</v>
      </c>
      <c r="G2097" t="s">
        <v>35</v>
      </c>
      <c r="H2097" t="s">
        <v>35</v>
      </c>
      <c r="J2097" t="s">
        <v>2524</v>
      </c>
      <c r="K2097" t="s">
        <v>1092</v>
      </c>
      <c r="M2097">
        <v>22.05</v>
      </c>
      <c r="N2097">
        <v>71</v>
      </c>
      <c r="O2097" t="s">
        <v>61</v>
      </c>
      <c r="Q2097" t="s">
        <v>102</v>
      </c>
      <c r="R2097" t="s">
        <v>2525</v>
      </c>
      <c r="S2097" t="s">
        <v>290</v>
      </c>
    </row>
    <row r="2098" spans="1:19" x14ac:dyDescent="0.25">
      <c r="A2098" t="s">
        <v>59</v>
      </c>
      <c r="B2098" t="s">
        <v>60</v>
      </c>
      <c r="C2098" t="s">
        <v>32</v>
      </c>
      <c r="D2098" t="s">
        <v>227</v>
      </c>
      <c r="E2098" t="s">
        <v>2492</v>
      </c>
      <c r="F2098" t="s">
        <v>35</v>
      </c>
      <c r="G2098" t="s">
        <v>35</v>
      </c>
      <c r="H2098" t="s">
        <v>35</v>
      </c>
      <c r="J2098" t="s">
        <v>2524</v>
      </c>
      <c r="K2098" t="s">
        <v>1092</v>
      </c>
      <c r="M2098">
        <v>3.6</v>
      </c>
      <c r="N2098">
        <v>100</v>
      </c>
      <c r="O2098" t="s">
        <v>106</v>
      </c>
      <c r="Q2098" t="s">
        <v>1112</v>
      </c>
      <c r="R2098" t="s">
        <v>2525</v>
      </c>
      <c r="S2098" t="s">
        <v>290</v>
      </c>
    </row>
    <row r="2099" spans="1:19" x14ac:dyDescent="0.25">
      <c r="A2099" t="s">
        <v>59</v>
      </c>
      <c r="B2099" t="s">
        <v>60</v>
      </c>
      <c r="C2099" t="s">
        <v>32</v>
      </c>
      <c r="D2099" t="s">
        <v>227</v>
      </c>
      <c r="E2099" t="s">
        <v>2492</v>
      </c>
      <c r="F2099" t="s">
        <v>35</v>
      </c>
      <c r="G2099" t="s">
        <v>35</v>
      </c>
      <c r="H2099" t="s">
        <v>35</v>
      </c>
      <c r="J2099" t="s">
        <v>2526</v>
      </c>
      <c r="K2099" t="s">
        <v>1092</v>
      </c>
      <c r="M2099">
        <v>0.2</v>
      </c>
      <c r="N2099">
        <v>788</v>
      </c>
      <c r="O2099" t="s">
        <v>575</v>
      </c>
      <c r="Q2099" t="s">
        <v>2527</v>
      </c>
      <c r="R2099" t="s">
        <v>2480</v>
      </c>
      <c r="S2099" t="s">
        <v>2481</v>
      </c>
    </row>
    <row r="2100" spans="1:19" x14ac:dyDescent="0.25">
      <c r="A2100" t="s">
        <v>30</v>
      </c>
      <c r="B2100" t="s">
        <v>31</v>
      </c>
      <c r="C2100" t="s">
        <v>32</v>
      </c>
      <c r="D2100" t="s">
        <v>227</v>
      </c>
      <c r="E2100" t="s">
        <v>2492</v>
      </c>
      <c r="F2100" t="s">
        <v>35</v>
      </c>
      <c r="G2100" t="s">
        <v>35</v>
      </c>
      <c r="H2100" t="s">
        <v>35</v>
      </c>
      <c r="J2100" t="s">
        <v>2528</v>
      </c>
      <c r="K2100" t="s">
        <v>1092</v>
      </c>
      <c r="M2100">
        <v>0.76500000000000001</v>
      </c>
      <c r="N2100">
        <v>893</v>
      </c>
      <c r="O2100" t="s">
        <v>575</v>
      </c>
      <c r="Q2100" t="s">
        <v>2390</v>
      </c>
      <c r="R2100" t="s">
        <v>2474</v>
      </c>
      <c r="S2100" t="s">
        <v>2475</v>
      </c>
    </row>
    <row r="2101" spans="1:19" x14ac:dyDescent="0.25">
      <c r="A2101" t="s">
        <v>59</v>
      </c>
      <c r="B2101" t="s">
        <v>60</v>
      </c>
      <c r="C2101" t="s">
        <v>32</v>
      </c>
      <c r="D2101" t="s">
        <v>227</v>
      </c>
      <c r="E2101" t="s">
        <v>2492</v>
      </c>
      <c r="F2101" t="s">
        <v>35</v>
      </c>
      <c r="G2101" t="s">
        <v>35</v>
      </c>
      <c r="H2101" t="s">
        <v>35</v>
      </c>
      <c r="J2101" t="s">
        <v>2528</v>
      </c>
      <c r="K2101" t="s">
        <v>1092</v>
      </c>
      <c r="M2101">
        <v>0.35</v>
      </c>
      <c r="N2101">
        <v>893</v>
      </c>
      <c r="O2101" t="s">
        <v>575</v>
      </c>
      <c r="Q2101" t="s">
        <v>2390</v>
      </c>
      <c r="R2101" t="s">
        <v>2474</v>
      </c>
      <c r="S2101" t="s">
        <v>2475</v>
      </c>
    </row>
    <row r="2102" spans="1:19" x14ac:dyDescent="0.25">
      <c r="A2102" t="s">
        <v>59</v>
      </c>
      <c r="B2102" t="s">
        <v>60</v>
      </c>
      <c r="C2102" t="s">
        <v>32</v>
      </c>
      <c r="D2102" t="s">
        <v>227</v>
      </c>
      <c r="E2102" t="s">
        <v>2492</v>
      </c>
      <c r="F2102" t="s">
        <v>35</v>
      </c>
      <c r="G2102" t="s">
        <v>35</v>
      </c>
      <c r="H2102" t="s">
        <v>35</v>
      </c>
      <c r="J2102" t="s">
        <v>2528</v>
      </c>
      <c r="K2102" t="s">
        <v>1092</v>
      </c>
      <c r="M2102">
        <v>3</v>
      </c>
      <c r="N2102">
        <v>863</v>
      </c>
      <c r="O2102" t="s">
        <v>575</v>
      </c>
      <c r="Q2102" t="s">
        <v>2529</v>
      </c>
      <c r="R2102" t="s">
        <v>2474</v>
      </c>
      <c r="S2102" t="s">
        <v>2475</v>
      </c>
    </row>
    <row r="2103" spans="1:19" x14ac:dyDescent="0.25">
      <c r="A2103" t="s">
        <v>59</v>
      </c>
      <c r="B2103" t="s">
        <v>60</v>
      </c>
      <c r="C2103" t="s">
        <v>32</v>
      </c>
      <c r="D2103" t="s">
        <v>227</v>
      </c>
      <c r="E2103" t="s">
        <v>235</v>
      </c>
      <c r="F2103" t="s">
        <v>35</v>
      </c>
      <c r="G2103" t="s">
        <v>35</v>
      </c>
      <c r="H2103" t="s">
        <v>35</v>
      </c>
      <c r="J2103" t="s">
        <v>2530</v>
      </c>
      <c r="K2103" t="s">
        <v>1092</v>
      </c>
      <c r="M2103">
        <v>0.1</v>
      </c>
      <c r="N2103">
        <v>68</v>
      </c>
      <c r="O2103" t="s">
        <v>61</v>
      </c>
      <c r="Q2103" t="s">
        <v>146</v>
      </c>
      <c r="R2103" t="s">
        <v>2391</v>
      </c>
      <c r="S2103" t="s">
        <v>236</v>
      </c>
    </row>
    <row r="2104" spans="1:19" x14ac:dyDescent="0.25">
      <c r="A2104" t="s">
        <v>44</v>
      </c>
      <c r="B2104" t="s">
        <v>3</v>
      </c>
      <c r="C2104" t="s">
        <v>32</v>
      </c>
      <c r="D2104" t="s">
        <v>227</v>
      </c>
      <c r="E2104" t="s">
        <v>235</v>
      </c>
      <c r="F2104" t="s">
        <v>35</v>
      </c>
      <c r="G2104" t="s">
        <v>35</v>
      </c>
      <c r="H2104" t="s">
        <v>35</v>
      </c>
      <c r="J2104" t="s">
        <v>2530</v>
      </c>
      <c r="K2104" t="s">
        <v>1092</v>
      </c>
      <c r="M2104">
        <v>0.15</v>
      </c>
      <c r="N2104">
        <v>7</v>
      </c>
      <c r="O2104" t="s">
        <v>46</v>
      </c>
      <c r="Q2104" t="s">
        <v>8164</v>
      </c>
      <c r="R2104" t="s">
        <v>2391</v>
      </c>
      <c r="S2104" t="s">
        <v>236</v>
      </c>
    </row>
    <row r="2105" spans="1:19" x14ac:dyDescent="0.25">
      <c r="A2105" t="s">
        <v>59</v>
      </c>
      <c r="B2105" t="s">
        <v>60</v>
      </c>
      <c r="C2105" t="s">
        <v>32</v>
      </c>
      <c r="D2105" t="s">
        <v>227</v>
      </c>
      <c r="E2105" t="s">
        <v>235</v>
      </c>
      <c r="F2105" t="s">
        <v>35</v>
      </c>
      <c r="G2105" t="s">
        <v>35</v>
      </c>
      <c r="H2105" t="s">
        <v>35</v>
      </c>
      <c r="J2105" t="s">
        <v>2530</v>
      </c>
      <c r="K2105" t="s">
        <v>1092</v>
      </c>
      <c r="M2105">
        <v>0.75</v>
      </c>
      <c r="N2105">
        <v>7</v>
      </c>
      <c r="O2105" t="s">
        <v>46</v>
      </c>
      <c r="Q2105" t="s">
        <v>8164</v>
      </c>
      <c r="R2105" t="s">
        <v>2391</v>
      </c>
      <c r="S2105" t="s">
        <v>236</v>
      </c>
    </row>
    <row r="2106" spans="1:19" x14ac:dyDescent="0.25">
      <c r="A2106" t="s">
        <v>59</v>
      </c>
      <c r="B2106" t="s">
        <v>31</v>
      </c>
      <c r="C2106" t="s">
        <v>32</v>
      </c>
      <c r="D2106" t="s">
        <v>227</v>
      </c>
      <c r="E2106" t="s">
        <v>235</v>
      </c>
      <c r="F2106" t="s">
        <v>35</v>
      </c>
      <c r="G2106" t="s">
        <v>35</v>
      </c>
      <c r="H2106" t="s">
        <v>35</v>
      </c>
      <c r="J2106" t="s">
        <v>2531</v>
      </c>
      <c r="K2106" t="s">
        <v>1092</v>
      </c>
      <c r="M2106">
        <v>0.54</v>
      </c>
      <c r="N2106">
        <v>445</v>
      </c>
      <c r="O2106" t="s">
        <v>294</v>
      </c>
      <c r="Q2106" t="s">
        <v>2532</v>
      </c>
      <c r="R2106" t="s">
        <v>2391</v>
      </c>
      <c r="S2106" t="s">
        <v>236</v>
      </c>
    </row>
    <row r="2107" spans="1:19" x14ac:dyDescent="0.25">
      <c r="A2107" t="s">
        <v>59</v>
      </c>
      <c r="B2107" t="s">
        <v>31</v>
      </c>
      <c r="C2107" t="s">
        <v>32</v>
      </c>
      <c r="D2107" t="s">
        <v>227</v>
      </c>
      <c r="E2107" t="s">
        <v>235</v>
      </c>
      <c r="F2107" t="s">
        <v>35</v>
      </c>
      <c r="G2107" t="s">
        <v>35</v>
      </c>
      <c r="H2107" t="s">
        <v>35</v>
      </c>
      <c r="J2107" t="s">
        <v>2533</v>
      </c>
      <c r="K2107" t="s">
        <v>1092</v>
      </c>
      <c r="M2107">
        <v>0.09</v>
      </c>
      <c r="N2107">
        <v>95</v>
      </c>
      <c r="O2107" t="s">
        <v>106</v>
      </c>
      <c r="Q2107" t="s">
        <v>724</v>
      </c>
      <c r="R2107" t="s">
        <v>2406</v>
      </c>
      <c r="S2107" t="s">
        <v>266</v>
      </c>
    </row>
    <row r="2108" spans="1:19" x14ac:dyDescent="0.25">
      <c r="A2108" t="s">
        <v>59</v>
      </c>
      <c r="B2108" t="s">
        <v>60</v>
      </c>
      <c r="C2108" t="s">
        <v>32</v>
      </c>
      <c r="D2108" t="s">
        <v>227</v>
      </c>
      <c r="E2108" t="s">
        <v>235</v>
      </c>
      <c r="F2108" t="s">
        <v>35</v>
      </c>
      <c r="G2108" t="s">
        <v>35</v>
      </c>
      <c r="H2108" t="s">
        <v>35</v>
      </c>
      <c r="J2108" t="s">
        <v>2534</v>
      </c>
      <c r="K2108" t="s">
        <v>1092</v>
      </c>
      <c r="M2108">
        <v>5</v>
      </c>
      <c r="N2108">
        <v>4</v>
      </c>
      <c r="O2108" t="s">
        <v>46</v>
      </c>
      <c r="Q2108" t="s">
        <v>8230</v>
      </c>
      <c r="R2108" t="s">
        <v>2391</v>
      </c>
      <c r="S2108" t="s">
        <v>236</v>
      </c>
    </row>
    <row r="2109" spans="1:19" x14ac:dyDescent="0.25">
      <c r="A2109" t="s">
        <v>44</v>
      </c>
      <c r="B2109" t="s">
        <v>3</v>
      </c>
      <c r="C2109" t="s">
        <v>32</v>
      </c>
      <c r="D2109" t="s">
        <v>227</v>
      </c>
      <c r="E2109" t="s">
        <v>235</v>
      </c>
      <c r="F2109" t="s">
        <v>35</v>
      </c>
      <c r="G2109" t="s">
        <v>35</v>
      </c>
      <c r="H2109" t="s">
        <v>35</v>
      </c>
      <c r="J2109" t="s">
        <v>2534</v>
      </c>
      <c r="K2109" t="s">
        <v>1092</v>
      </c>
      <c r="M2109">
        <v>9.5500000000000007</v>
      </c>
      <c r="N2109">
        <v>53</v>
      </c>
      <c r="O2109" t="s">
        <v>52</v>
      </c>
      <c r="Q2109" t="s">
        <v>332</v>
      </c>
      <c r="R2109" t="s">
        <v>2391</v>
      </c>
      <c r="S2109" t="s">
        <v>236</v>
      </c>
    </row>
    <row r="2110" spans="1:19" x14ac:dyDescent="0.25">
      <c r="A2110" t="s">
        <v>44</v>
      </c>
      <c r="B2110" t="s">
        <v>51</v>
      </c>
      <c r="C2110" t="s">
        <v>32</v>
      </c>
      <c r="D2110" t="s">
        <v>227</v>
      </c>
      <c r="E2110" t="s">
        <v>235</v>
      </c>
      <c r="F2110" t="s">
        <v>35</v>
      </c>
      <c r="G2110" t="s">
        <v>35</v>
      </c>
      <c r="H2110" t="s">
        <v>35</v>
      </c>
      <c r="J2110" t="s">
        <v>2534</v>
      </c>
      <c r="K2110" t="s">
        <v>1092</v>
      </c>
      <c r="M2110">
        <v>3.45</v>
      </c>
      <c r="N2110">
        <v>53</v>
      </c>
      <c r="O2110" t="s">
        <v>52</v>
      </c>
      <c r="Q2110" t="s">
        <v>332</v>
      </c>
      <c r="R2110" t="s">
        <v>2391</v>
      </c>
      <c r="S2110" t="s">
        <v>236</v>
      </c>
    </row>
    <row r="2111" spans="1:19" x14ac:dyDescent="0.25">
      <c r="A2111" t="s">
        <v>30</v>
      </c>
      <c r="B2111" t="s">
        <v>31</v>
      </c>
      <c r="C2111" t="s">
        <v>32</v>
      </c>
      <c r="D2111" t="s">
        <v>227</v>
      </c>
      <c r="E2111" t="s">
        <v>235</v>
      </c>
      <c r="F2111" t="s">
        <v>35</v>
      </c>
      <c r="G2111" t="s">
        <v>35</v>
      </c>
      <c r="H2111" t="s">
        <v>35</v>
      </c>
      <c r="J2111" t="s">
        <v>2536</v>
      </c>
      <c r="K2111" t="s">
        <v>1092</v>
      </c>
      <c r="M2111">
        <v>3.105</v>
      </c>
      <c r="N2111">
        <v>259</v>
      </c>
      <c r="O2111" t="s">
        <v>5</v>
      </c>
      <c r="Q2111" t="s">
        <v>1425</v>
      </c>
      <c r="R2111" t="s">
        <v>2391</v>
      </c>
      <c r="S2111" t="s">
        <v>236</v>
      </c>
    </row>
    <row r="2112" spans="1:19" x14ac:dyDescent="0.25">
      <c r="A2112" t="s">
        <v>59</v>
      </c>
      <c r="B2112" t="s">
        <v>60</v>
      </c>
      <c r="C2112" t="s">
        <v>32</v>
      </c>
      <c r="D2112" t="s">
        <v>227</v>
      </c>
      <c r="E2112" t="s">
        <v>235</v>
      </c>
      <c r="F2112" t="s">
        <v>35</v>
      </c>
      <c r="G2112" t="s">
        <v>35</v>
      </c>
      <c r="H2112" t="s">
        <v>35</v>
      </c>
      <c r="J2112" t="s">
        <v>2536</v>
      </c>
      <c r="K2112" t="s">
        <v>1092</v>
      </c>
      <c r="M2112">
        <v>1.95</v>
      </c>
      <c r="N2112">
        <v>68</v>
      </c>
      <c r="O2112" t="s">
        <v>61</v>
      </c>
      <c r="Q2112" t="s">
        <v>146</v>
      </c>
      <c r="R2112" t="s">
        <v>2391</v>
      </c>
      <c r="S2112" t="s">
        <v>236</v>
      </c>
    </row>
    <row r="2113" spans="1:19" x14ac:dyDescent="0.25">
      <c r="A2113" t="s">
        <v>30</v>
      </c>
      <c r="B2113" t="s">
        <v>31</v>
      </c>
      <c r="C2113" t="s">
        <v>32</v>
      </c>
      <c r="D2113" t="s">
        <v>227</v>
      </c>
      <c r="E2113" t="s">
        <v>235</v>
      </c>
      <c r="F2113" t="s">
        <v>35</v>
      </c>
      <c r="G2113" t="s">
        <v>35</v>
      </c>
      <c r="H2113" t="s">
        <v>35</v>
      </c>
      <c r="J2113" t="s">
        <v>2536</v>
      </c>
      <c r="K2113" t="s">
        <v>1092</v>
      </c>
      <c r="M2113">
        <v>0.63</v>
      </c>
      <c r="N2113">
        <v>135</v>
      </c>
      <c r="O2113" t="s">
        <v>38</v>
      </c>
      <c r="Q2113" t="s">
        <v>98</v>
      </c>
      <c r="R2113" t="s">
        <v>2391</v>
      </c>
      <c r="S2113" t="s">
        <v>236</v>
      </c>
    </row>
    <row r="2114" spans="1:19" x14ac:dyDescent="0.25">
      <c r="A2114" t="s">
        <v>59</v>
      </c>
      <c r="B2114" t="s">
        <v>60</v>
      </c>
      <c r="C2114" t="s">
        <v>32</v>
      </c>
      <c r="D2114" t="s">
        <v>227</v>
      </c>
      <c r="E2114" t="s">
        <v>235</v>
      </c>
      <c r="F2114" t="s">
        <v>35</v>
      </c>
      <c r="G2114" t="s">
        <v>35</v>
      </c>
      <c r="H2114" t="s">
        <v>35</v>
      </c>
      <c r="J2114" t="s">
        <v>2537</v>
      </c>
      <c r="K2114" t="s">
        <v>1092</v>
      </c>
      <c r="M2114">
        <v>0.9</v>
      </c>
      <c r="N2114">
        <v>67</v>
      </c>
      <c r="O2114" t="s">
        <v>61</v>
      </c>
      <c r="Q2114" t="s">
        <v>1311</v>
      </c>
      <c r="R2114" t="s">
        <v>2391</v>
      </c>
      <c r="S2114" t="s">
        <v>236</v>
      </c>
    </row>
    <row r="2115" spans="1:19" x14ac:dyDescent="0.25">
      <c r="A2115" t="s">
        <v>44</v>
      </c>
      <c r="B2115" t="s">
        <v>3</v>
      </c>
      <c r="C2115" t="s">
        <v>32</v>
      </c>
      <c r="D2115" t="s">
        <v>227</v>
      </c>
      <c r="E2115" t="s">
        <v>235</v>
      </c>
      <c r="F2115" t="s">
        <v>35</v>
      </c>
      <c r="G2115" t="s">
        <v>35</v>
      </c>
      <c r="H2115" t="s">
        <v>35</v>
      </c>
      <c r="J2115" t="s">
        <v>2537</v>
      </c>
      <c r="K2115" t="s">
        <v>1092</v>
      </c>
      <c r="M2115">
        <v>1.3</v>
      </c>
      <c r="N2115">
        <v>67</v>
      </c>
      <c r="O2115" t="s">
        <v>61</v>
      </c>
      <c r="Q2115" t="s">
        <v>1311</v>
      </c>
      <c r="R2115" t="s">
        <v>2391</v>
      </c>
      <c r="S2115" t="s">
        <v>236</v>
      </c>
    </row>
    <row r="2116" spans="1:19" x14ac:dyDescent="0.25">
      <c r="A2116" t="s">
        <v>59</v>
      </c>
      <c r="B2116" t="s">
        <v>31</v>
      </c>
      <c r="C2116" t="s">
        <v>32</v>
      </c>
      <c r="D2116" t="s">
        <v>227</v>
      </c>
      <c r="E2116" t="s">
        <v>235</v>
      </c>
      <c r="F2116" t="s">
        <v>35</v>
      </c>
      <c r="G2116" t="s">
        <v>35</v>
      </c>
      <c r="H2116" t="s">
        <v>35</v>
      </c>
      <c r="J2116" t="s">
        <v>2538</v>
      </c>
      <c r="K2116" t="s">
        <v>1092</v>
      </c>
      <c r="M2116">
        <v>6.8</v>
      </c>
      <c r="N2116">
        <v>814</v>
      </c>
      <c r="O2116" t="s">
        <v>575</v>
      </c>
      <c r="Q2116" t="s">
        <v>2539</v>
      </c>
      <c r="R2116" t="s">
        <v>2474</v>
      </c>
      <c r="S2116" t="s">
        <v>2475</v>
      </c>
    </row>
    <row r="2117" spans="1:19" x14ac:dyDescent="0.25">
      <c r="A2117" t="s">
        <v>44</v>
      </c>
      <c r="B2117" t="s">
        <v>51</v>
      </c>
      <c r="C2117" t="s">
        <v>32</v>
      </c>
      <c r="D2117" t="s">
        <v>227</v>
      </c>
      <c r="E2117" t="s">
        <v>241</v>
      </c>
      <c r="F2117" t="s">
        <v>35</v>
      </c>
      <c r="G2117" t="s">
        <v>35</v>
      </c>
      <c r="H2117" t="s">
        <v>35</v>
      </c>
      <c r="J2117" t="s">
        <v>2541</v>
      </c>
      <c r="K2117" t="s">
        <v>1092</v>
      </c>
      <c r="M2117">
        <v>0.05</v>
      </c>
      <c r="N2117">
        <v>41</v>
      </c>
      <c r="O2117" t="s">
        <v>52</v>
      </c>
      <c r="Q2117" t="s">
        <v>249</v>
      </c>
      <c r="R2117" t="s">
        <v>2540</v>
      </c>
      <c r="S2117" t="s">
        <v>246</v>
      </c>
    </row>
    <row r="2118" spans="1:19" x14ac:dyDescent="0.25">
      <c r="A2118" t="s">
        <v>59</v>
      </c>
      <c r="B2118" t="s">
        <v>60</v>
      </c>
      <c r="C2118" t="s">
        <v>32</v>
      </c>
      <c r="D2118" t="s">
        <v>227</v>
      </c>
      <c r="E2118" t="s">
        <v>2542</v>
      </c>
      <c r="F2118" t="s">
        <v>35</v>
      </c>
      <c r="G2118" t="s">
        <v>35</v>
      </c>
      <c r="H2118" t="s">
        <v>35</v>
      </c>
      <c r="J2118" t="s">
        <v>2543</v>
      </c>
      <c r="K2118" t="s">
        <v>1092</v>
      </c>
      <c r="M2118">
        <v>0.25</v>
      </c>
      <c r="N2118">
        <v>27</v>
      </c>
      <c r="O2118" t="s">
        <v>46</v>
      </c>
      <c r="Q2118" t="s">
        <v>1011</v>
      </c>
      <c r="R2118" t="s">
        <v>250</v>
      </c>
      <c r="S2118" t="s">
        <v>242</v>
      </c>
    </row>
    <row r="2119" spans="1:19" x14ac:dyDescent="0.25">
      <c r="A2119" t="s">
        <v>30</v>
      </c>
      <c r="B2119" t="s">
        <v>31</v>
      </c>
      <c r="C2119" t="s">
        <v>32</v>
      </c>
      <c r="D2119" t="s">
        <v>227</v>
      </c>
      <c r="E2119" t="s">
        <v>2542</v>
      </c>
      <c r="F2119" t="s">
        <v>35</v>
      </c>
      <c r="G2119" t="s">
        <v>35</v>
      </c>
      <c r="H2119" t="s">
        <v>35</v>
      </c>
      <c r="J2119" t="s">
        <v>2544</v>
      </c>
      <c r="K2119" t="s">
        <v>1092</v>
      </c>
      <c r="M2119">
        <v>1.575</v>
      </c>
      <c r="N2119">
        <v>76</v>
      </c>
      <c r="O2119" t="s">
        <v>61</v>
      </c>
      <c r="Q2119" t="s">
        <v>234</v>
      </c>
      <c r="R2119" t="s">
        <v>2391</v>
      </c>
      <c r="S2119" t="s">
        <v>236</v>
      </c>
    </row>
    <row r="2120" spans="1:19" x14ac:dyDescent="0.25">
      <c r="A2120" t="s">
        <v>44</v>
      </c>
      <c r="B2120" t="s">
        <v>3</v>
      </c>
      <c r="C2120" t="s">
        <v>32</v>
      </c>
      <c r="D2120" t="s">
        <v>227</v>
      </c>
      <c r="E2120" t="s">
        <v>2542</v>
      </c>
      <c r="F2120" t="s">
        <v>35</v>
      </c>
      <c r="G2120" t="s">
        <v>35</v>
      </c>
      <c r="H2120" t="s">
        <v>35</v>
      </c>
      <c r="J2120" t="s">
        <v>2545</v>
      </c>
      <c r="K2120" t="s">
        <v>1092</v>
      </c>
      <c r="M2120">
        <v>0.25</v>
      </c>
      <c r="N2120">
        <v>233</v>
      </c>
      <c r="O2120" t="s">
        <v>5</v>
      </c>
      <c r="Q2120" t="s">
        <v>2002</v>
      </c>
      <c r="R2120" t="s">
        <v>2406</v>
      </c>
      <c r="S2120" t="s">
        <v>266</v>
      </c>
    </row>
    <row r="2121" spans="1:19" x14ac:dyDescent="0.25">
      <c r="A2121" t="s">
        <v>30</v>
      </c>
      <c r="B2121" t="s">
        <v>31</v>
      </c>
      <c r="C2121" t="s">
        <v>32</v>
      </c>
      <c r="D2121" t="s">
        <v>227</v>
      </c>
      <c r="E2121" t="s">
        <v>2542</v>
      </c>
      <c r="F2121" t="s">
        <v>35</v>
      </c>
      <c r="G2121" t="s">
        <v>35</v>
      </c>
      <c r="H2121" t="s">
        <v>35</v>
      </c>
      <c r="J2121" t="s">
        <v>2545</v>
      </c>
      <c r="K2121" t="s">
        <v>1092</v>
      </c>
      <c r="M2121">
        <v>0.85499999999999998</v>
      </c>
      <c r="N2121">
        <v>233</v>
      </c>
      <c r="O2121" t="s">
        <v>5</v>
      </c>
      <c r="Q2121" t="s">
        <v>2002</v>
      </c>
      <c r="R2121" t="s">
        <v>2406</v>
      </c>
      <c r="S2121" t="s">
        <v>266</v>
      </c>
    </row>
    <row r="2122" spans="1:19" x14ac:dyDescent="0.25">
      <c r="A2122" t="s">
        <v>59</v>
      </c>
      <c r="B2122" t="s">
        <v>31</v>
      </c>
      <c r="C2122" t="s">
        <v>32</v>
      </c>
      <c r="D2122" t="s">
        <v>227</v>
      </c>
      <c r="E2122" t="s">
        <v>2542</v>
      </c>
      <c r="F2122" t="s">
        <v>35</v>
      </c>
      <c r="G2122" t="s">
        <v>35</v>
      </c>
      <c r="H2122" t="s">
        <v>35</v>
      </c>
      <c r="J2122" t="s">
        <v>2546</v>
      </c>
      <c r="K2122" t="s">
        <v>1092</v>
      </c>
      <c r="M2122">
        <v>2.5649999999999999</v>
      </c>
      <c r="N2122">
        <v>665</v>
      </c>
      <c r="O2122" t="s">
        <v>575</v>
      </c>
      <c r="Q2122" t="s">
        <v>2547</v>
      </c>
      <c r="R2122" t="s">
        <v>2391</v>
      </c>
      <c r="S2122" t="s">
        <v>236</v>
      </c>
    </row>
    <row r="2123" spans="1:19" x14ac:dyDescent="0.25">
      <c r="A2123" t="s">
        <v>59</v>
      </c>
      <c r="B2123" t="s">
        <v>31</v>
      </c>
      <c r="C2123" t="s">
        <v>32</v>
      </c>
      <c r="D2123" t="s">
        <v>227</v>
      </c>
      <c r="E2123" t="s">
        <v>2542</v>
      </c>
      <c r="F2123" t="s">
        <v>35</v>
      </c>
      <c r="G2123" t="s">
        <v>35</v>
      </c>
      <c r="H2123" t="s">
        <v>35</v>
      </c>
      <c r="J2123" t="s">
        <v>2548</v>
      </c>
      <c r="K2123" t="s">
        <v>1092</v>
      </c>
      <c r="M2123">
        <v>0.77500000000000002</v>
      </c>
      <c r="N2123">
        <v>1251</v>
      </c>
      <c r="O2123" t="s">
        <v>575</v>
      </c>
      <c r="Q2123" t="s">
        <v>2549</v>
      </c>
      <c r="R2123" t="s">
        <v>2474</v>
      </c>
      <c r="S2123" t="s">
        <v>2475</v>
      </c>
    </row>
    <row r="2124" spans="1:19" x14ac:dyDescent="0.25">
      <c r="A2124" t="s">
        <v>59</v>
      </c>
      <c r="B2124" t="s">
        <v>60</v>
      </c>
      <c r="C2124" t="s">
        <v>32</v>
      </c>
      <c r="D2124" t="s">
        <v>227</v>
      </c>
      <c r="E2124" t="s">
        <v>2542</v>
      </c>
      <c r="F2124" t="s">
        <v>35</v>
      </c>
      <c r="G2124" t="s">
        <v>35</v>
      </c>
      <c r="H2124" t="s">
        <v>35</v>
      </c>
      <c r="J2124" t="s">
        <v>2550</v>
      </c>
      <c r="K2124" t="s">
        <v>1092</v>
      </c>
      <c r="M2124">
        <v>0.05</v>
      </c>
      <c r="N2124">
        <v>146</v>
      </c>
      <c r="O2124" t="s">
        <v>38</v>
      </c>
      <c r="Q2124" t="s">
        <v>1335</v>
      </c>
      <c r="R2124" t="s">
        <v>250</v>
      </c>
      <c r="S2124" t="s">
        <v>242</v>
      </c>
    </row>
    <row r="2125" spans="1:19" x14ac:dyDescent="0.25">
      <c r="A2125" t="s">
        <v>44</v>
      </c>
      <c r="B2125" t="s">
        <v>3</v>
      </c>
      <c r="C2125" t="s">
        <v>32</v>
      </c>
      <c r="D2125" t="s">
        <v>227</v>
      </c>
      <c r="E2125" t="s">
        <v>2551</v>
      </c>
      <c r="F2125" t="s">
        <v>35</v>
      </c>
      <c r="G2125" t="s">
        <v>35</v>
      </c>
      <c r="H2125" t="s">
        <v>35</v>
      </c>
      <c r="J2125" t="s">
        <v>2552</v>
      </c>
      <c r="K2125" t="s">
        <v>1092</v>
      </c>
      <c r="M2125">
        <v>0.5</v>
      </c>
      <c r="N2125">
        <v>44</v>
      </c>
      <c r="O2125" t="s">
        <v>52</v>
      </c>
      <c r="Q2125" t="s">
        <v>192</v>
      </c>
      <c r="R2125" t="s">
        <v>2394</v>
      </c>
      <c r="S2125" t="s">
        <v>271</v>
      </c>
    </row>
    <row r="2126" spans="1:19" x14ac:dyDescent="0.25">
      <c r="A2126" t="s">
        <v>59</v>
      </c>
      <c r="B2126" t="s">
        <v>60</v>
      </c>
      <c r="C2126" t="s">
        <v>32</v>
      </c>
      <c r="D2126" t="s">
        <v>227</v>
      </c>
      <c r="E2126" t="s">
        <v>2551</v>
      </c>
      <c r="F2126" t="s">
        <v>35</v>
      </c>
      <c r="G2126" t="s">
        <v>35</v>
      </c>
      <c r="H2126" t="s">
        <v>35</v>
      </c>
      <c r="J2126" t="s">
        <v>2552</v>
      </c>
      <c r="K2126" t="s">
        <v>1092</v>
      </c>
      <c r="M2126">
        <v>0.25</v>
      </c>
      <c r="N2126">
        <v>44</v>
      </c>
      <c r="O2126" t="s">
        <v>52</v>
      </c>
      <c r="Q2126" t="s">
        <v>192</v>
      </c>
      <c r="R2126" t="s">
        <v>2394</v>
      </c>
      <c r="S2126" t="s">
        <v>271</v>
      </c>
    </row>
    <row r="2127" spans="1:19" x14ac:dyDescent="0.25">
      <c r="A2127" t="s">
        <v>44</v>
      </c>
      <c r="B2127" t="s">
        <v>51</v>
      </c>
      <c r="C2127" t="s">
        <v>32</v>
      </c>
      <c r="D2127" t="s">
        <v>227</v>
      </c>
      <c r="E2127" t="s">
        <v>2551</v>
      </c>
      <c r="F2127" t="s">
        <v>35</v>
      </c>
      <c r="G2127" t="s">
        <v>35</v>
      </c>
      <c r="H2127" t="s">
        <v>35</v>
      </c>
      <c r="J2127" t="s">
        <v>2552</v>
      </c>
      <c r="K2127" t="s">
        <v>1092</v>
      </c>
      <c r="M2127">
        <v>0.25</v>
      </c>
      <c r="N2127">
        <v>44</v>
      </c>
      <c r="O2127" t="s">
        <v>52</v>
      </c>
      <c r="Q2127" t="s">
        <v>192</v>
      </c>
      <c r="R2127" t="s">
        <v>2394</v>
      </c>
      <c r="S2127" t="s">
        <v>271</v>
      </c>
    </row>
    <row r="2128" spans="1:19" x14ac:dyDescent="0.25">
      <c r="A2128" t="s">
        <v>44</v>
      </c>
      <c r="B2128" t="s">
        <v>3</v>
      </c>
      <c r="C2128" t="s">
        <v>32</v>
      </c>
      <c r="D2128" t="s">
        <v>227</v>
      </c>
      <c r="E2128" t="s">
        <v>2551</v>
      </c>
      <c r="F2128" t="s">
        <v>35</v>
      </c>
      <c r="G2128" t="s">
        <v>35</v>
      </c>
      <c r="H2128" t="s">
        <v>35</v>
      </c>
      <c r="J2128" t="s">
        <v>2552</v>
      </c>
      <c r="K2128" t="s">
        <v>1092</v>
      </c>
      <c r="M2128">
        <v>0.75</v>
      </c>
      <c r="N2128">
        <v>63</v>
      </c>
      <c r="O2128" t="s">
        <v>61</v>
      </c>
      <c r="Q2128" t="s">
        <v>423</v>
      </c>
      <c r="R2128" t="s">
        <v>2394</v>
      </c>
      <c r="S2128" t="s">
        <v>271</v>
      </c>
    </row>
    <row r="2129" spans="1:19" x14ac:dyDescent="0.25">
      <c r="A2129" t="s">
        <v>30</v>
      </c>
      <c r="B2129" t="s">
        <v>31</v>
      </c>
      <c r="C2129" t="s">
        <v>32</v>
      </c>
      <c r="D2129" t="s">
        <v>227</v>
      </c>
      <c r="E2129" t="s">
        <v>2551</v>
      </c>
      <c r="F2129" t="s">
        <v>35</v>
      </c>
      <c r="G2129" t="s">
        <v>35</v>
      </c>
      <c r="H2129" t="s">
        <v>35</v>
      </c>
      <c r="J2129" t="s">
        <v>2553</v>
      </c>
      <c r="K2129" t="s">
        <v>1092</v>
      </c>
      <c r="M2129">
        <v>2.88</v>
      </c>
      <c r="N2129">
        <v>282</v>
      </c>
      <c r="O2129" t="s">
        <v>5</v>
      </c>
      <c r="Q2129" t="s">
        <v>1225</v>
      </c>
      <c r="R2129" t="s">
        <v>256</v>
      </c>
      <c r="S2129" t="s">
        <v>257</v>
      </c>
    </row>
    <row r="2130" spans="1:19" x14ac:dyDescent="0.25">
      <c r="A2130" t="s">
        <v>44</v>
      </c>
      <c r="B2130" t="s">
        <v>3</v>
      </c>
      <c r="C2130" t="s">
        <v>32</v>
      </c>
      <c r="D2130" t="s">
        <v>227</v>
      </c>
      <c r="E2130" t="s">
        <v>2551</v>
      </c>
      <c r="F2130" t="s">
        <v>35</v>
      </c>
      <c r="G2130" t="s">
        <v>35</v>
      </c>
      <c r="H2130" t="s">
        <v>35</v>
      </c>
      <c r="J2130" t="s">
        <v>2553</v>
      </c>
      <c r="K2130" t="s">
        <v>1092</v>
      </c>
      <c r="M2130">
        <v>3</v>
      </c>
      <c r="N2130">
        <v>59</v>
      </c>
      <c r="O2130" t="s">
        <v>52</v>
      </c>
      <c r="Q2130" t="s">
        <v>84</v>
      </c>
      <c r="R2130" t="s">
        <v>256</v>
      </c>
      <c r="S2130" t="s">
        <v>257</v>
      </c>
    </row>
    <row r="2131" spans="1:19" x14ac:dyDescent="0.25">
      <c r="A2131" t="s">
        <v>44</v>
      </c>
      <c r="B2131" t="s">
        <v>3</v>
      </c>
      <c r="C2131" t="s">
        <v>32</v>
      </c>
      <c r="D2131" t="s">
        <v>227</v>
      </c>
      <c r="E2131" t="s">
        <v>2551</v>
      </c>
      <c r="F2131" t="s">
        <v>35</v>
      </c>
      <c r="G2131" t="s">
        <v>35</v>
      </c>
      <c r="H2131" t="s">
        <v>35</v>
      </c>
      <c r="J2131" t="s">
        <v>2554</v>
      </c>
      <c r="K2131" t="s">
        <v>1092</v>
      </c>
      <c r="M2131">
        <v>0.2</v>
      </c>
      <c r="N2131">
        <v>49</v>
      </c>
      <c r="O2131" t="s">
        <v>52</v>
      </c>
      <c r="Q2131" t="s">
        <v>219</v>
      </c>
      <c r="R2131" t="s">
        <v>2394</v>
      </c>
      <c r="S2131" t="s">
        <v>271</v>
      </c>
    </row>
    <row r="2132" spans="1:19" x14ac:dyDescent="0.25">
      <c r="A2132" t="s">
        <v>44</v>
      </c>
      <c r="B2132" t="s">
        <v>3</v>
      </c>
      <c r="C2132" t="s">
        <v>32</v>
      </c>
      <c r="D2132" t="s">
        <v>227</v>
      </c>
      <c r="E2132" t="s">
        <v>2551</v>
      </c>
      <c r="F2132" t="s">
        <v>35</v>
      </c>
      <c r="G2132" t="s">
        <v>35</v>
      </c>
      <c r="H2132" t="s">
        <v>35</v>
      </c>
      <c r="J2132" t="s">
        <v>2554</v>
      </c>
      <c r="K2132" t="s">
        <v>1092</v>
      </c>
      <c r="M2132">
        <v>0.5</v>
      </c>
      <c r="N2132">
        <v>33</v>
      </c>
      <c r="O2132" t="s">
        <v>52</v>
      </c>
      <c r="Q2132" t="s">
        <v>137</v>
      </c>
      <c r="R2132" t="s">
        <v>2394</v>
      </c>
      <c r="S2132" t="s">
        <v>271</v>
      </c>
    </row>
    <row r="2133" spans="1:19" x14ac:dyDescent="0.25">
      <c r="A2133" t="s">
        <v>59</v>
      </c>
      <c r="B2133" t="s">
        <v>60</v>
      </c>
      <c r="C2133" t="s">
        <v>32</v>
      </c>
      <c r="D2133" t="s">
        <v>227</v>
      </c>
      <c r="E2133" t="s">
        <v>2551</v>
      </c>
      <c r="F2133" t="s">
        <v>35</v>
      </c>
      <c r="G2133" t="s">
        <v>35</v>
      </c>
      <c r="H2133" t="s">
        <v>35</v>
      </c>
      <c r="J2133" t="s">
        <v>2555</v>
      </c>
      <c r="K2133" t="s">
        <v>1092</v>
      </c>
      <c r="M2133">
        <v>5</v>
      </c>
      <c r="N2133">
        <v>578</v>
      </c>
      <c r="O2133" t="s">
        <v>575</v>
      </c>
      <c r="Q2133" t="s">
        <v>2556</v>
      </c>
      <c r="R2133" t="s">
        <v>2406</v>
      </c>
      <c r="S2133" t="s">
        <v>266</v>
      </c>
    </row>
    <row r="2134" spans="1:19" x14ac:dyDescent="0.25">
      <c r="A2134" t="s">
        <v>30</v>
      </c>
      <c r="B2134" t="s">
        <v>31</v>
      </c>
      <c r="C2134" t="s">
        <v>32</v>
      </c>
      <c r="D2134" t="s">
        <v>227</v>
      </c>
      <c r="E2134" t="s">
        <v>2551</v>
      </c>
      <c r="F2134" t="s">
        <v>35</v>
      </c>
      <c r="G2134" t="s">
        <v>35</v>
      </c>
      <c r="H2134" t="s">
        <v>35</v>
      </c>
      <c r="J2134" t="s">
        <v>2555</v>
      </c>
      <c r="K2134" t="s">
        <v>1092</v>
      </c>
      <c r="M2134">
        <v>3.5550000000000002</v>
      </c>
      <c r="N2134">
        <v>576</v>
      </c>
      <c r="O2134" t="s">
        <v>575</v>
      </c>
      <c r="Q2134" t="s">
        <v>2557</v>
      </c>
      <c r="R2134" t="s">
        <v>2406</v>
      </c>
      <c r="S2134" t="s">
        <v>266</v>
      </c>
    </row>
    <row r="2135" spans="1:19" x14ac:dyDescent="0.25">
      <c r="A2135" t="s">
        <v>30</v>
      </c>
      <c r="B2135" t="s">
        <v>31</v>
      </c>
      <c r="C2135" t="s">
        <v>32</v>
      </c>
      <c r="D2135" t="s">
        <v>227</v>
      </c>
      <c r="E2135" t="s">
        <v>2551</v>
      </c>
      <c r="F2135" t="s">
        <v>35</v>
      </c>
      <c r="G2135" t="s">
        <v>35</v>
      </c>
      <c r="H2135" t="s">
        <v>35</v>
      </c>
      <c r="J2135" t="s">
        <v>2558</v>
      </c>
      <c r="K2135" t="s">
        <v>1092</v>
      </c>
      <c r="M2135">
        <v>2.5649999999999999</v>
      </c>
      <c r="N2135">
        <v>267</v>
      </c>
      <c r="O2135" t="s">
        <v>5</v>
      </c>
      <c r="Q2135" t="s">
        <v>2559</v>
      </c>
      <c r="R2135" t="s">
        <v>256</v>
      </c>
      <c r="S2135" t="s">
        <v>257</v>
      </c>
    </row>
    <row r="2136" spans="1:19" x14ac:dyDescent="0.25">
      <c r="A2136" t="s">
        <v>59</v>
      </c>
      <c r="B2136" t="s">
        <v>31</v>
      </c>
      <c r="C2136" t="s">
        <v>32</v>
      </c>
      <c r="D2136" t="s">
        <v>227</v>
      </c>
      <c r="E2136" t="s">
        <v>2551</v>
      </c>
      <c r="F2136" t="s">
        <v>35</v>
      </c>
      <c r="G2136" t="s">
        <v>35</v>
      </c>
      <c r="H2136" t="s">
        <v>35</v>
      </c>
      <c r="J2136" t="s">
        <v>2560</v>
      </c>
      <c r="K2136" t="s">
        <v>1092</v>
      </c>
      <c r="M2136">
        <v>0.75</v>
      </c>
      <c r="N2136">
        <v>1902</v>
      </c>
      <c r="O2136" t="s">
        <v>575</v>
      </c>
      <c r="Q2136" t="s">
        <v>2201</v>
      </c>
      <c r="R2136" t="s">
        <v>2474</v>
      </c>
      <c r="S2136" t="s">
        <v>2475</v>
      </c>
    </row>
    <row r="2137" spans="1:19" x14ac:dyDescent="0.25">
      <c r="A2137" t="s">
        <v>59</v>
      </c>
      <c r="B2137" t="s">
        <v>60</v>
      </c>
      <c r="C2137" t="s">
        <v>32</v>
      </c>
      <c r="D2137" t="s">
        <v>227</v>
      </c>
      <c r="E2137" t="s">
        <v>2551</v>
      </c>
      <c r="F2137" t="s">
        <v>35</v>
      </c>
      <c r="G2137" t="s">
        <v>35</v>
      </c>
      <c r="H2137" t="s">
        <v>35</v>
      </c>
      <c r="J2137" t="s">
        <v>2561</v>
      </c>
      <c r="K2137" t="s">
        <v>1092</v>
      </c>
      <c r="M2137">
        <v>4.5999999999999996</v>
      </c>
      <c r="N2137">
        <v>70</v>
      </c>
      <c r="O2137" t="s">
        <v>61</v>
      </c>
      <c r="Q2137" t="s">
        <v>126</v>
      </c>
      <c r="R2137" t="s">
        <v>2428</v>
      </c>
      <c r="S2137" t="s">
        <v>2429</v>
      </c>
    </row>
    <row r="2138" spans="1:19" x14ac:dyDescent="0.25">
      <c r="A2138" t="s">
        <v>30</v>
      </c>
      <c r="B2138" t="s">
        <v>31</v>
      </c>
      <c r="C2138" t="s">
        <v>32</v>
      </c>
      <c r="D2138" t="s">
        <v>227</v>
      </c>
      <c r="E2138" t="s">
        <v>2551</v>
      </c>
      <c r="F2138" t="s">
        <v>35</v>
      </c>
      <c r="G2138" t="s">
        <v>35</v>
      </c>
      <c r="H2138" t="s">
        <v>35</v>
      </c>
      <c r="J2138" t="s">
        <v>2562</v>
      </c>
      <c r="K2138" t="s">
        <v>1092</v>
      </c>
      <c r="M2138">
        <v>10.98</v>
      </c>
      <c r="N2138">
        <v>40</v>
      </c>
      <c r="O2138" t="s">
        <v>52</v>
      </c>
      <c r="Q2138" t="s">
        <v>130</v>
      </c>
      <c r="R2138" t="s">
        <v>2391</v>
      </c>
      <c r="S2138" t="s">
        <v>236</v>
      </c>
    </row>
    <row r="2139" spans="1:19" x14ac:dyDescent="0.25">
      <c r="A2139" t="s">
        <v>44</v>
      </c>
      <c r="B2139" t="s">
        <v>3</v>
      </c>
      <c r="C2139" t="s">
        <v>32</v>
      </c>
      <c r="D2139" t="s">
        <v>227</v>
      </c>
      <c r="E2139" t="s">
        <v>2551</v>
      </c>
      <c r="F2139" t="s">
        <v>35</v>
      </c>
      <c r="G2139" t="s">
        <v>35</v>
      </c>
      <c r="H2139" t="s">
        <v>35</v>
      </c>
      <c r="J2139" t="s">
        <v>2563</v>
      </c>
      <c r="K2139" t="s">
        <v>1092</v>
      </c>
      <c r="M2139">
        <v>1.25</v>
      </c>
      <c r="N2139">
        <v>421</v>
      </c>
      <c r="O2139" t="s">
        <v>294</v>
      </c>
      <c r="Q2139" t="s">
        <v>1887</v>
      </c>
      <c r="R2139" t="s">
        <v>2564</v>
      </c>
      <c r="S2139" t="s">
        <v>2565</v>
      </c>
    </row>
    <row r="2140" spans="1:19" x14ac:dyDescent="0.25">
      <c r="A2140" t="s">
        <v>44</v>
      </c>
      <c r="B2140" t="s">
        <v>3</v>
      </c>
      <c r="C2140" t="s">
        <v>32</v>
      </c>
      <c r="D2140" t="s">
        <v>227</v>
      </c>
      <c r="E2140" t="s">
        <v>2567</v>
      </c>
      <c r="F2140" t="s">
        <v>35</v>
      </c>
      <c r="G2140" t="s">
        <v>35</v>
      </c>
      <c r="H2140" t="s">
        <v>35</v>
      </c>
      <c r="J2140" t="s">
        <v>2568</v>
      </c>
      <c r="K2140" t="s">
        <v>1092</v>
      </c>
      <c r="M2140">
        <v>0.48199999999999998</v>
      </c>
      <c r="N2140">
        <v>151</v>
      </c>
      <c r="O2140" t="s">
        <v>38</v>
      </c>
      <c r="Q2140" t="s">
        <v>1269</v>
      </c>
      <c r="R2140" t="s">
        <v>2425</v>
      </c>
      <c r="S2140" t="s">
        <v>2426</v>
      </c>
    </row>
    <row r="2141" spans="1:19" x14ac:dyDescent="0.25">
      <c r="A2141" t="s">
        <v>30</v>
      </c>
      <c r="B2141" t="s">
        <v>31</v>
      </c>
      <c r="C2141" t="s">
        <v>32</v>
      </c>
      <c r="D2141" t="s">
        <v>227</v>
      </c>
      <c r="E2141" t="s">
        <v>2567</v>
      </c>
      <c r="F2141" t="s">
        <v>35</v>
      </c>
      <c r="G2141" t="s">
        <v>35</v>
      </c>
      <c r="H2141" t="s">
        <v>35</v>
      </c>
      <c r="J2141" t="s">
        <v>2569</v>
      </c>
      <c r="K2141" t="s">
        <v>1092</v>
      </c>
      <c r="M2141">
        <v>0.96699999999999997</v>
      </c>
      <c r="N2141">
        <v>429</v>
      </c>
      <c r="O2141" t="s">
        <v>294</v>
      </c>
      <c r="Q2141" t="s">
        <v>2570</v>
      </c>
      <c r="R2141" t="s">
        <v>2406</v>
      </c>
      <c r="S2141" t="s">
        <v>266</v>
      </c>
    </row>
    <row r="2142" spans="1:19" x14ac:dyDescent="0.25">
      <c r="A2142" t="s">
        <v>30</v>
      </c>
      <c r="B2142" t="s">
        <v>31</v>
      </c>
      <c r="C2142" t="s">
        <v>32</v>
      </c>
      <c r="D2142" t="s">
        <v>227</v>
      </c>
      <c r="E2142" t="s">
        <v>2567</v>
      </c>
      <c r="F2142" t="s">
        <v>35</v>
      </c>
      <c r="G2142" t="s">
        <v>35</v>
      </c>
      <c r="H2142" t="s">
        <v>35</v>
      </c>
      <c r="J2142" t="s">
        <v>2569</v>
      </c>
      <c r="K2142" t="s">
        <v>1092</v>
      </c>
      <c r="M2142">
        <v>10.98</v>
      </c>
      <c r="N2142">
        <v>76</v>
      </c>
      <c r="O2142" t="s">
        <v>61</v>
      </c>
      <c r="Q2142" t="s">
        <v>234</v>
      </c>
      <c r="R2142" t="s">
        <v>2406</v>
      </c>
      <c r="S2142" t="s">
        <v>266</v>
      </c>
    </row>
    <row r="2143" spans="1:19" x14ac:dyDescent="0.25">
      <c r="A2143" t="s">
        <v>59</v>
      </c>
      <c r="B2143" t="s">
        <v>60</v>
      </c>
      <c r="C2143" t="s">
        <v>32</v>
      </c>
      <c r="D2143" t="s">
        <v>227</v>
      </c>
      <c r="E2143" t="s">
        <v>2567</v>
      </c>
      <c r="F2143" t="s">
        <v>35</v>
      </c>
      <c r="G2143" t="s">
        <v>35</v>
      </c>
      <c r="H2143" t="s">
        <v>35</v>
      </c>
      <c r="J2143" t="s">
        <v>2571</v>
      </c>
      <c r="K2143" t="s">
        <v>1092</v>
      </c>
      <c r="M2143">
        <v>3.5</v>
      </c>
      <c r="N2143">
        <v>499</v>
      </c>
      <c r="O2143" t="s">
        <v>294</v>
      </c>
      <c r="Q2143" t="s">
        <v>1503</v>
      </c>
      <c r="R2143" t="s">
        <v>2394</v>
      </c>
      <c r="S2143" t="s">
        <v>271</v>
      </c>
    </row>
    <row r="2144" spans="1:19" x14ac:dyDescent="0.25">
      <c r="A2144" t="s">
        <v>59</v>
      </c>
      <c r="B2144" t="s">
        <v>60</v>
      </c>
      <c r="C2144" t="s">
        <v>32</v>
      </c>
      <c r="D2144" t="s">
        <v>227</v>
      </c>
      <c r="E2144" t="s">
        <v>2567</v>
      </c>
      <c r="F2144" t="s">
        <v>35</v>
      </c>
      <c r="G2144" t="s">
        <v>35</v>
      </c>
      <c r="H2144" t="s">
        <v>35</v>
      </c>
      <c r="J2144" t="s">
        <v>2572</v>
      </c>
      <c r="K2144" t="s">
        <v>1092</v>
      </c>
      <c r="M2144">
        <v>0.125</v>
      </c>
      <c r="N2144">
        <v>515</v>
      </c>
      <c r="O2144" t="s">
        <v>294</v>
      </c>
      <c r="Q2144" t="s">
        <v>2573</v>
      </c>
      <c r="R2144" t="s">
        <v>2391</v>
      </c>
      <c r="S2144" t="s">
        <v>236</v>
      </c>
    </row>
    <row r="2145" spans="1:19" x14ac:dyDescent="0.25">
      <c r="A2145" t="s">
        <v>59</v>
      </c>
      <c r="B2145" t="s">
        <v>31</v>
      </c>
      <c r="C2145" t="s">
        <v>32</v>
      </c>
      <c r="D2145" t="s">
        <v>227</v>
      </c>
      <c r="E2145" t="s">
        <v>2567</v>
      </c>
      <c r="F2145" t="s">
        <v>35</v>
      </c>
      <c r="G2145" t="s">
        <v>35</v>
      </c>
      <c r="H2145" t="s">
        <v>35</v>
      </c>
      <c r="J2145" t="s">
        <v>2572</v>
      </c>
      <c r="K2145" t="s">
        <v>1092</v>
      </c>
      <c r="M2145">
        <v>0.255</v>
      </c>
      <c r="N2145">
        <v>515</v>
      </c>
      <c r="O2145" t="s">
        <v>294</v>
      </c>
      <c r="Q2145" t="s">
        <v>2573</v>
      </c>
      <c r="R2145" t="s">
        <v>2391</v>
      </c>
      <c r="S2145" t="s">
        <v>236</v>
      </c>
    </row>
    <row r="2146" spans="1:19" x14ac:dyDescent="0.25">
      <c r="A2146" t="s">
        <v>59</v>
      </c>
      <c r="B2146" t="s">
        <v>60</v>
      </c>
      <c r="C2146" t="s">
        <v>32</v>
      </c>
      <c r="D2146" t="s">
        <v>227</v>
      </c>
      <c r="E2146" t="s">
        <v>2567</v>
      </c>
      <c r="F2146" t="s">
        <v>35</v>
      </c>
      <c r="G2146" t="s">
        <v>35</v>
      </c>
      <c r="H2146" t="s">
        <v>35</v>
      </c>
      <c r="J2146" t="s">
        <v>2574</v>
      </c>
      <c r="K2146" t="s">
        <v>1092</v>
      </c>
      <c r="M2146">
        <v>0.5</v>
      </c>
      <c r="N2146">
        <v>76</v>
      </c>
      <c r="O2146" t="s">
        <v>61</v>
      </c>
      <c r="Q2146" t="s">
        <v>234</v>
      </c>
      <c r="R2146" t="s">
        <v>2394</v>
      </c>
      <c r="S2146" t="s">
        <v>271</v>
      </c>
    </row>
    <row r="2147" spans="1:19" x14ac:dyDescent="0.25">
      <c r="A2147" t="s">
        <v>59</v>
      </c>
      <c r="B2147" t="s">
        <v>60</v>
      </c>
      <c r="C2147" t="s">
        <v>32</v>
      </c>
      <c r="D2147" t="s">
        <v>227</v>
      </c>
      <c r="E2147" t="s">
        <v>2567</v>
      </c>
      <c r="F2147" t="s">
        <v>35</v>
      </c>
      <c r="G2147" t="s">
        <v>35</v>
      </c>
      <c r="H2147" t="s">
        <v>35</v>
      </c>
      <c r="J2147" t="s">
        <v>2574</v>
      </c>
      <c r="K2147" t="s">
        <v>1092</v>
      </c>
      <c r="M2147">
        <v>0.5</v>
      </c>
      <c r="N2147">
        <v>95</v>
      </c>
      <c r="O2147" t="s">
        <v>106</v>
      </c>
      <c r="Q2147" t="s">
        <v>724</v>
      </c>
      <c r="R2147" t="s">
        <v>2394</v>
      </c>
      <c r="S2147" t="s">
        <v>271</v>
      </c>
    </row>
    <row r="2148" spans="1:19" x14ac:dyDescent="0.25">
      <c r="A2148" t="s">
        <v>59</v>
      </c>
      <c r="B2148" t="s">
        <v>60</v>
      </c>
      <c r="C2148" t="s">
        <v>32</v>
      </c>
      <c r="D2148" t="s">
        <v>227</v>
      </c>
      <c r="E2148" t="s">
        <v>2575</v>
      </c>
      <c r="F2148" t="s">
        <v>35</v>
      </c>
      <c r="G2148" t="s">
        <v>35</v>
      </c>
      <c r="H2148" t="s">
        <v>35</v>
      </c>
      <c r="J2148" t="s">
        <v>2576</v>
      </c>
      <c r="K2148" t="s">
        <v>1092</v>
      </c>
      <c r="M2148">
        <v>0.05</v>
      </c>
      <c r="N2148">
        <v>104</v>
      </c>
      <c r="O2148" t="s">
        <v>106</v>
      </c>
      <c r="Q2148" t="s">
        <v>2577</v>
      </c>
      <c r="R2148" t="s">
        <v>250</v>
      </c>
      <c r="S2148" t="s">
        <v>242</v>
      </c>
    </row>
    <row r="2149" spans="1:19" x14ac:dyDescent="0.25">
      <c r="A2149" t="s">
        <v>59</v>
      </c>
      <c r="B2149" t="s">
        <v>31</v>
      </c>
      <c r="C2149" t="s">
        <v>32</v>
      </c>
      <c r="D2149" t="s">
        <v>227</v>
      </c>
      <c r="E2149" t="s">
        <v>2575</v>
      </c>
      <c r="F2149" t="s">
        <v>35</v>
      </c>
      <c r="G2149" t="s">
        <v>35</v>
      </c>
      <c r="H2149" t="s">
        <v>35</v>
      </c>
      <c r="J2149" t="s">
        <v>2578</v>
      </c>
      <c r="K2149" t="s">
        <v>1092</v>
      </c>
      <c r="M2149">
        <v>5.0000000000000001E-3</v>
      </c>
      <c r="N2149">
        <v>252</v>
      </c>
      <c r="O2149" t="s">
        <v>5</v>
      </c>
      <c r="Q2149" t="s">
        <v>1222</v>
      </c>
      <c r="R2149" t="s">
        <v>2406</v>
      </c>
      <c r="S2149" t="s">
        <v>266</v>
      </c>
    </row>
    <row r="2150" spans="1:19" x14ac:dyDescent="0.25">
      <c r="A2150" t="s">
        <v>59</v>
      </c>
      <c r="B2150" t="s">
        <v>31</v>
      </c>
      <c r="C2150" t="s">
        <v>32</v>
      </c>
      <c r="D2150" t="s">
        <v>227</v>
      </c>
      <c r="E2150" t="s">
        <v>2575</v>
      </c>
      <c r="F2150" t="s">
        <v>35</v>
      </c>
      <c r="G2150" t="s">
        <v>35</v>
      </c>
      <c r="H2150" t="s">
        <v>35</v>
      </c>
      <c r="J2150" t="s">
        <v>2579</v>
      </c>
      <c r="K2150" t="s">
        <v>1092</v>
      </c>
      <c r="M2150">
        <v>0.09</v>
      </c>
      <c r="N2150">
        <v>938</v>
      </c>
      <c r="O2150" t="s">
        <v>575</v>
      </c>
      <c r="Q2150" t="s">
        <v>2580</v>
      </c>
      <c r="R2150" t="s">
        <v>2474</v>
      </c>
      <c r="S2150" t="s">
        <v>2475</v>
      </c>
    </row>
    <row r="2151" spans="1:19" x14ac:dyDescent="0.25">
      <c r="A2151" t="s">
        <v>59</v>
      </c>
      <c r="B2151" t="s">
        <v>31</v>
      </c>
      <c r="C2151" t="s">
        <v>32</v>
      </c>
      <c r="D2151" t="s">
        <v>227</v>
      </c>
      <c r="E2151" t="s">
        <v>2575</v>
      </c>
      <c r="F2151" t="s">
        <v>35</v>
      </c>
      <c r="G2151" t="s">
        <v>35</v>
      </c>
      <c r="H2151" t="s">
        <v>35</v>
      </c>
      <c r="J2151" t="s">
        <v>2581</v>
      </c>
      <c r="K2151" t="s">
        <v>1092</v>
      </c>
      <c r="M2151">
        <v>8.9999999999999993E-3</v>
      </c>
      <c r="N2151">
        <v>1829</v>
      </c>
      <c r="O2151" t="s">
        <v>575</v>
      </c>
      <c r="Q2151" t="s">
        <v>2582</v>
      </c>
      <c r="R2151" t="s">
        <v>2583</v>
      </c>
      <c r="S2151" t="s">
        <v>2584</v>
      </c>
    </row>
    <row r="2152" spans="1:19" x14ac:dyDescent="0.25">
      <c r="A2152" t="s">
        <v>59</v>
      </c>
      <c r="B2152" t="s">
        <v>31</v>
      </c>
      <c r="C2152" t="s">
        <v>32</v>
      </c>
      <c r="D2152" t="s">
        <v>227</v>
      </c>
      <c r="E2152" t="s">
        <v>2575</v>
      </c>
      <c r="F2152" t="s">
        <v>35</v>
      </c>
      <c r="G2152" t="s">
        <v>35</v>
      </c>
      <c r="H2152" t="s">
        <v>35</v>
      </c>
      <c r="J2152" t="s">
        <v>2586</v>
      </c>
      <c r="K2152" t="s">
        <v>1092</v>
      </c>
      <c r="M2152">
        <v>0.09</v>
      </c>
      <c r="N2152">
        <v>100</v>
      </c>
      <c r="O2152" t="s">
        <v>106</v>
      </c>
      <c r="Q2152" t="s">
        <v>1112</v>
      </c>
      <c r="R2152" t="s">
        <v>250</v>
      </c>
      <c r="S2152" t="s">
        <v>242</v>
      </c>
    </row>
    <row r="2153" spans="1:19" x14ac:dyDescent="0.25">
      <c r="A2153" t="s">
        <v>59</v>
      </c>
      <c r="B2153" t="s">
        <v>31</v>
      </c>
      <c r="C2153" t="s">
        <v>32</v>
      </c>
      <c r="D2153" t="s">
        <v>227</v>
      </c>
      <c r="E2153" t="s">
        <v>2575</v>
      </c>
      <c r="F2153" t="s">
        <v>35</v>
      </c>
      <c r="G2153" t="s">
        <v>35</v>
      </c>
      <c r="H2153" t="s">
        <v>35</v>
      </c>
      <c r="J2153" t="s">
        <v>2587</v>
      </c>
      <c r="K2153" t="s">
        <v>1092</v>
      </c>
      <c r="M2153">
        <v>0.89</v>
      </c>
      <c r="N2153">
        <v>294</v>
      </c>
      <c r="O2153" t="s">
        <v>5</v>
      </c>
      <c r="Q2153" t="s">
        <v>1418</v>
      </c>
      <c r="R2153" t="s">
        <v>256</v>
      </c>
      <c r="S2153" t="s">
        <v>257</v>
      </c>
    </row>
    <row r="2154" spans="1:19" x14ac:dyDescent="0.25">
      <c r="A2154" t="s">
        <v>44</v>
      </c>
      <c r="B2154" t="s">
        <v>3</v>
      </c>
      <c r="C2154" t="s">
        <v>32</v>
      </c>
      <c r="D2154" t="s">
        <v>227</v>
      </c>
      <c r="E2154" t="s">
        <v>2575</v>
      </c>
      <c r="F2154" t="s">
        <v>35</v>
      </c>
      <c r="G2154" t="s">
        <v>35</v>
      </c>
      <c r="H2154" t="s">
        <v>35</v>
      </c>
      <c r="J2154" t="s">
        <v>2588</v>
      </c>
      <c r="K2154" t="s">
        <v>1092</v>
      </c>
      <c r="M2154">
        <v>2.15</v>
      </c>
      <c r="N2154">
        <v>153</v>
      </c>
      <c r="O2154" t="s">
        <v>38</v>
      </c>
      <c r="Q2154" t="s">
        <v>569</v>
      </c>
      <c r="R2154" t="s">
        <v>2589</v>
      </c>
      <c r="S2154" t="s">
        <v>2590</v>
      </c>
    </row>
    <row r="2155" spans="1:19" x14ac:dyDescent="0.25">
      <c r="A2155" t="s">
        <v>59</v>
      </c>
      <c r="B2155" t="s">
        <v>31</v>
      </c>
      <c r="C2155" t="s">
        <v>32</v>
      </c>
      <c r="D2155" t="s">
        <v>227</v>
      </c>
      <c r="E2155" t="s">
        <v>2575</v>
      </c>
      <c r="F2155" t="s">
        <v>35</v>
      </c>
      <c r="G2155" t="s">
        <v>35</v>
      </c>
      <c r="H2155" t="s">
        <v>35</v>
      </c>
      <c r="J2155" t="s">
        <v>2592</v>
      </c>
      <c r="K2155" t="s">
        <v>1092</v>
      </c>
      <c r="M2155">
        <v>5.0000000000000001E-3</v>
      </c>
      <c r="N2155">
        <v>1006</v>
      </c>
      <c r="O2155" t="s">
        <v>575</v>
      </c>
      <c r="Q2155" t="s">
        <v>2593</v>
      </c>
      <c r="R2155" t="s">
        <v>2406</v>
      </c>
      <c r="S2155" t="s">
        <v>266</v>
      </c>
    </row>
    <row r="2156" spans="1:19" x14ac:dyDescent="0.25">
      <c r="A2156" t="s">
        <v>59</v>
      </c>
      <c r="B2156" t="s">
        <v>60</v>
      </c>
      <c r="C2156" t="s">
        <v>32</v>
      </c>
      <c r="D2156" t="s">
        <v>227</v>
      </c>
      <c r="E2156" t="s">
        <v>2575</v>
      </c>
      <c r="F2156" t="s">
        <v>35</v>
      </c>
      <c r="G2156" t="s">
        <v>35</v>
      </c>
      <c r="H2156" t="s">
        <v>35</v>
      </c>
      <c r="J2156" t="s">
        <v>2594</v>
      </c>
      <c r="K2156" t="s">
        <v>1092</v>
      </c>
      <c r="M2156">
        <v>0.25</v>
      </c>
      <c r="N2156">
        <v>244</v>
      </c>
      <c r="O2156" t="s">
        <v>5</v>
      </c>
      <c r="Q2156" t="s">
        <v>1242</v>
      </c>
      <c r="R2156" t="s">
        <v>256</v>
      </c>
      <c r="S2156" t="s">
        <v>257</v>
      </c>
    </row>
    <row r="2157" spans="1:19" x14ac:dyDescent="0.25">
      <c r="A2157" t="s">
        <v>59</v>
      </c>
      <c r="B2157" t="s">
        <v>60</v>
      </c>
      <c r="C2157" t="s">
        <v>32</v>
      </c>
      <c r="D2157" t="s">
        <v>227</v>
      </c>
      <c r="E2157" t="s">
        <v>2575</v>
      </c>
      <c r="F2157" t="s">
        <v>35</v>
      </c>
      <c r="G2157" t="s">
        <v>35</v>
      </c>
      <c r="H2157" t="s">
        <v>35</v>
      </c>
      <c r="J2157" t="s">
        <v>2595</v>
      </c>
      <c r="K2157" t="s">
        <v>1092</v>
      </c>
      <c r="M2157">
        <v>0.5</v>
      </c>
      <c r="N2157">
        <v>243</v>
      </c>
      <c r="O2157" t="s">
        <v>5</v>
      </c>
      <c r="Q2157" t="s">
        <v>1151</v>
      </c>
      <c r="R2157" t="s">
        <v>2387</v>
      </c>
      <c r="S2157" t="s">
        <v>277</v>
      </c>
    </row>
    <row r="2158" spans="1:19" x14ac:dyDescent="0.25">
      <c r="A2158" t="s">
        <v>59</v>
      </c>
      <c r="B2158" t="s">
        <v>60</v>
      </c>
      <c r="C2158" t="s">
        <v>32</v>
      </c>
      <c r="D2158" t="s">
        <v>227</v>
      </c>
      <c r="E2158" t="s">
        <v>2575</v>
      </c>
      <c r="F2158" t="s">
        <v>35</v>
      </c>
      <c r="G2158" t="s">
        <v>35</v>
      </c>
      <c r="H2158" t="s">
        <v>35</v>
      </c>
      <c r="J2158" t="s">
        <v>2052</v>
      </c>
      <c r="K2158" t="s">
        <v>1092</v>
      </c>
      <c r="M2158">
        <v>0.1</v>
      </c>
      <c r="N2158">
        <v>70</v>
      </c>
      <c r="O2158" t="s">
        <v>61</v>
      </c>
      <c r="Q2158" t="s">
        <v>126</v>
      </c>
      <c r="R2158" t="s">
        <v>256</v>
      </c>
      <c r="S2158" t="s">
        <v>257</v>
      </c>
    </row>
    <row r="2159" spans="1:19" x14ac:dyDescent="0.25">
      <c r="A2159" t="s">
        <v>59</v>
      </c>
      <c r="B2159" t="s">
        <v>31</v>
      </c>
      <c r="C2159" t="s">
        <v>32</v>
      </c>
      <c r="D2159" t="s">
        <v>227</v>
      </c>
      <c r="E2159" t="s">
        <v>2575</v>
      </c>
      <c r="F2159" t="s">
        <v>35</v>
      </c>
      <c r="G2159" t="s">
        <v>35</v>
      </c>
      <c r="H2159" t="s">
        <v>35</v>
      </c>
      <c r="J2159" t="s">
        <v>2596</v>
      </c>
      <c r="K2159" t="s">
        <v>1092</v>
      </c>
      <c r="M2159">
        <v>0.09</v>
      </c>
      <c r="N2159">
        <v>100</v>
      </c>
      <c r="O2159" t="s">
        <v>106</v>
      </c>
      <c r="Q2159" t="s">
        <v>1112</v>
      </c>
      <c r="R2159" t="s">
        <v>250</v>
      </c>
      <c r="S2159" t="s">
        <v>242</v>
      </c>
    </row>
    <row r="2160" spans="1:19" x14ac:dyDescent="0.25">
      <c r="A2160" t="s">
        <v>30</v>
      </c>
      <c r="B2160" t="s">
        <v>31</v>
      </c>
      <c r="C2160" t="s">
        <v>32</v>
      </c>
      <c r="D2160" t="s">
        <v>227</v>
      </c>
      <c r="E2160" t="s">
        <v>2575</v>
      </c>
      <c r="F2160" t="s">
        <v>35</v>
      </c>
      <c r="G2160" t="s">
        <v>35</v>
      </c>
      <c r="H2160" t="s">
        <v>35</v>
      </c>
      <c r="J2160" t="s">
        <v>2596</v>
      </c>
      <c r="K2160" t="s">
        <v>1092</v>
      </c>
      <c r="M2160">
        <v>5.5E-2</v>
      </c>
      <c r="N2160">
        <v>147</v>
      </c>
      <c r="O2160" t="s">
        <v>38</v>
      </c>
      <c r="Q2160" t="s">
        <v>1229</v>
      </c>
      <c r="R2160" t="s">
        <v>250</v>
      </c>
      <c r="S2160" t="s">
        <v>242</v>
      </c>
    </row>
    <row r="2161" spans="1:19" x14ac:dyDescent="0.25">
      <c r="A2161" t="s">
        <v>59</v>
      </c>
      <c r="B2161" t="s">
        <v>60</v>
      </c>
      <c r="C2161" t="s">
        <v>32</v>
      </c>
      <c r="D2161" t="s">
        <v>227</v>
      </c>
      <c r="E2161" t="s">
        <v>2575</v>
      </c>
      <c r="F2161" t="s">
        <v>35</v>
      </c>
      <c r="G2161" t="s">
        <v>35</v>
      </c>
      <c r="H2161" t="s">
        <v>35</v>
      </c>
      <c r="J2161" t="s">
        <v>2597</v>
      </c>
      <c r="K2161" t="s">
        <v>1092</v>
      </c>
      <c r="M2161">
        <v>0.03</v>
      </c>
      <c r="N2161">
        <v>169</v>
      </c>
      <c r="O2161" t="s">
        <v>38</v>
      </c>
      <c r="Q2161" t="s">
        <v>1189</v>
      </c>
      <c r="R2161" t="s">
        <v>2387</v>
      </c>
      <c r="S2161" t="s">
        <v>277</v>
      </c>
    </row>
    <row r="2162" spans="1:19" x14ac:dyDescent="0.25">
      <c r="A2162" t="s">
        <v>59</v>
      </c>
      <c r="B2162" t="s">
        <v>60</v>
      </c>
      <c r="C2162" t="s">
        <v>32</v>
      </c>
      <c r="D2162" t="s">
        <v>227</v>
      </c>
      <c r="E2162" t="s">
        <v>2575</v>
      </c>
      <c r="F2162" t="s">
        <v>35</v>
      </c>
      <c r="G2162" t="s">
        <v>35</v>
      </c>
      <c r="H2162" t="s">
        <v>35</v>
      </c>
      <c r="J2162" t="s">
        <v>50</v>
      </c>
      <c r="K2162" t="s">
        <v>1092</v>
      </c>
      <c r="M2162">
        <v>4.9000000000000002E-2</v>
      </c>
      <c r="N2162">
        <v>1953</v>
      </c>
      <c r="O2162" t="s">
        <v>575</v>
      </c>
      <c r="Q2162" t="s">
        <v>2598</v>
      </c>
      <c r="R2162" t="s">
        <v>2394</v>
      </c>
      <c r="S2162" t="s">
        <v>271</v>
      </c>
    </row>
    <row r="2163" spans="1:19" x14ac:dyDescent="0.25">
      <c r="A2163" t="s">
        <v>30</v>
      </c>
      <c r="B2163" t="s">
        <v>31</v>
      </c>
      <c r="C2163" t="s">
        <v>32</v>
      </c>
      <c r="D2163" t="s">
        <v>227</v>
      </c>
      <c r="E2163" t="s">
        <v>2575</v>
      </c>
      <c r="F2163" t="s">
        <v>35</v>
      </c>
      <c r="G2163" t="s">
        <v>35</v>
      </c>
      <c r="H2163" t="s">
        <v>35</v>
      </c>
      <c r="J2163" t="s">
        <v>50</v>
      </c>
      <c r="K2163" t="s">
        <v>1092</v>
      </c>
      <c r="M2163">
        <v>1E-3</v>
      </c>
      <c r="N2163">
        <v>2275</v>
      </c>
      <c r="O2163" t="s">
        <v>575</v>
      </c>
      <c r="Q2163" t="s">
        <v>2599</v>
      </c>
      <c r="R2163" t="s">
        <v>2394</v>
      </c>
      <c r="S2163" t="s">
        <v>271</v>
      </c>
    </row>
    <row r="2164" spans="1:19" x14ac:dyDescent="0.25">
      <c r="A2164" t="s">
        <v>59</v>
      </c>
      <c r="B2164" t="s">
        <v>60</v>
      </c>
      <c r="C2164" t="s">
        <v>32</v>
      </c>
      <c r="D2164" t="s">
        <v>227</v>
      </c>
      <c r="E2164" t="s">
        <v>2575</v>
      </c>
      <c r="F2164" t="s">
        <v>35</v>
      </c>
      <c r="G2164" t="s">
        <v>35</v>
      </c>
      <c r="H2164" t="s">
        <v>35</v>
      </c>
      <c r="J2164" t="s">
        <v>2600</v>
      </c>
      <c r="K2164" t="s">
        <v>1092</v>
      </c>
      <c r="M2164">
        <v>0.74199999999999999</v>
      </c>
      <c r="N2164">
        <v>103</v>
      </c>
      <c r="O2164" t="s">
        <v>106</v>
      </c>
      <c r="Q2164" t="s">
        <v>2601</v>
      </c>
      <c r="R2164" t="s">
        <v>2602</v>
      </c>
      <c r="S2164" t="s">
        <v>297</v>
      </c>
    </row>
    <row r="2165" spans="1:19" x14ac:dyDescent="0.25">
      <c r="A2165" t="s">
        <v>59</v>
      </c>
      <c r="B2165" t="s">
        <v>31</v>
      </c>
      <c r="C2165" t="s">
        <v>32</v>
      </c>
      <c r="D2165" t="s">
        <v>227</v>
      </c>
      <c r="E2165" t="s">
        <v>2603</v>
      </c>
      <c r="F2165" t="s">
        <v>35</v>
      </c>
      <c r="G2165" t="s">
        <v>35</v>
      </c>
      <c r="H2165" t="s">
        <v>35</v>
      </c>
      <c r="J2165" t="s">
        <v>2604</v>
      </c>
      <c r="K2165" t="s">
        <v>1092</v>
      </c>
      <c r="M2165">
        <v>0.193</v>
      </c>
      <c r="N2165">
        <v>2656</v>
      </c>
      <c r="O2165" t="s">
        <v>575</v>
      </c>
      <c r="Q2165" t="s">
        <v>2605</v>
      </c>
      <c r="R2165" t="s">
        <v>250</v>
      </c>
      <c r="S2165" t="s">
        <v>242</v>
      </c>
    </row>
    <row r="2166" spans="1:19" x14ac:dyDescent="0.25">
      <c r="A2166" t="s">
        <v>59</v>
      </c>
      <c r="B2166" t="s">
        <v>60</v>
      </c>
      <c r="C2166" t="s">
        <v>32</v>
      </c>
      <c r="D2166" t="s">
        <v>227</v>
      </c>
      <c r="E2166" t="s">
        <v>2603</v>
      </c>
      <c r="F2166" t="s">
        <v>35</v>
      </c>
      <c r="G2166" t="s">
        <v>35</v>
      </c>
      <c r="H2166" t="s">
        <v>35</v>
      </c>
      <c r="J2166" t="s">
        <v>2606</v>
      </c>
      <c r="K2166" t="s">
        <v>1092</v>
      </c>
      <c r="M2166">
        <v>0.05</v>
      </c>
      <c r="N2166">
        <v>2673</v>
      </c>
      <c r="O2166" t="s">
        <v>575</v>
      </c>
      <c r="Q2166" t="s">
        <v>1486</v>
      </c>
      <c r="R2166" t="s">
        <v>1487</v>
      </c>
      <c r="S2166" t="s">
        <v>1488</v>
      </c>
    </row>
    <row r="2167" spans="1:19" x14ac:dyDescent="0.25">
      <c r="A2167" t="s">
        <v>44</v>
      </c>
      <c r="B2167" t="s">
        <v>3</v>
      </c>
      <c r="C2167" t="s">
        <v>32</v>
      </c>
      <c r="D2167" t="s">
        <v>227</v>
      </c>
      <c r="E2167" t="s">
        <v>2603</v>
      </c>
      <c r="F2167" t="s">
        <v>35</v>
      </c>
      <c r="G2167" t="s">
        <v>35</v>
      </c>
      <c r="H2167" t="s">
        <v>35</v>
      </c>
      <c r="J2167" t="s">
        <v>2607</v>
      </c>
      <c r="K2167" t="s">
        <v>1092</v>
      </c>
      <c r="M2167">
        <v>0.05</v>
      </c>
      <c r="N2167">
        <v>407</v>
      </c>
      <c r="O2167" t="s">
        <v>294</v>
      </c>
      <c r="Q2167" t="s">
        <v>2608</v>
      </c>
      <c r="R2167" t="s">
        <v>2589</v>
      </c>
      <c r="S2167" t="s">
        <v>2590</v>
      </c>
    </row>
    <row r="2168" spans="1:19" x14ac:dyDescent="0.25">
      <c r="A2168" t="s">
        <v>30</v>
      </c>
      <c r="B2168" t="s">
        <v>31</v>
      </c>
      <c r="C2168" t="s">
        <v>32</v>
      </c>
      <c r="D2168" t="s">
        <v>227</v>
      </c>
      <c r="E2168" t="s">
        <v>2603</v>
      </c>
      <c r="F2168" t="s">
        <v>35</v>
      </c>
      <c r="G2168" t="s">
        <v>35</v>
      </c>
      <c r="H2168" t="s">
        <v>35</v>
      </c>
      <c r="J2168" t="s">
        <v>2609</v>
      </c>
      <c r="K2168" t="s">
        <v>1092</v>
      </c>
      <c r="M2168">
        <v>0.09</v>
      </c>
      <c r="N2168">
        <v>860</v>
      </c>
      <c r="O2168" t="s">
        <v>575</v>
      </c>
      <c r="Q2168" t="s">
        <v>1464</v>
      </c>
      <c r="R2168" t="s">
        <v>2394</v>
      </c>
      <c r="S2168" t="s">
        <v>271</v>
      </c>
    </row>
    <row r="2169" spans="1:19" x14ac:dyDescent="0.25">
      <c r="A2169" t="s">
        <v>59</v>
      </c>
      <c r="B2169" t="s">
        <v>60</v>
      </c>
      <c r="C2169" t="s">
        <v>32</v>
      </c>
      <c r="D2169" t="s">
        <v>227</v>
      </c>
      <c r="E2169" t="s">
        <v>2603</v>
      </c>
      <c r="F2169" t="s">
        <v>35</v>
      </c>
      <c r="G2169" t="s">
        <v>35</v>
      </c>
      <c r="H2169" t="s">
        <v>35</v>
      </c>
      <c r="J2169" t="s">
        <v>2609</v>
      </c>
      <c r="K2169" t="s">
        <v>1092</v>
      </c>
      <c r="M2169">
        <v>0.25</v>
      </c>
      <c r="N2169">
        <v>495</v>
      </c>
      <c r="O2169" t="s">
        <v>294</v>
      </c>
      <c r="Q2169" t="s">
        <v>2610</v>
      </c>
      <c r="R2169" t="s">
        <v>2394</v>
      </c>
      <c r="S2169" t="s">
        <v>271</v>
      </c>
    </row>
    <row r="2170" spans="1:19" x14ac:dyDescent="0.25">
      <c r="A2170" t="s">
        <v>59</v>
      </c>
      <c r="B2170" t="s">
        <v>60</v>
      </c>
      <c r="C2170" t="s">
        <v>32</v>
      </c>
      <c r="D2170" t="s">
        <v>227</v>
      </c>
      <c r="E2170" t="s">
        <v>2603</v>
      </c>
      <c r="F2170" t="s">
        <v>35</v>
      </c>
      <c r="G2170" t="s">
        <v>35</v>
      </c>
      <c r="H2170" t="s">
        <v>35</v>
      </c>
      <c r="J2170" t="s">
        <v>2609</v>
      </c>
      <c r="K2170" t="s">
        <v>1092</v>
      </c>
      <c r="M2170">
        <v>0.2</v>
      </c>
      <c r="N2170">
        <v>986</v>
      </c>
      <c r="O2170" t="s">
        <v>575</v>
      </c>
      <c r="Q2170" t="s">
        <v>2611</v>
      </c>
      <c r="R2170" t="s">
        <v>2394</v>
      </c>
      <c r="S2170" t="s">
        <v>271</v>
      </c>
    </row>
    <row r="2171" spans="1:19" x14ac:dyDescent="0.25">
      <c r="A2171" t="s">
        <v>30</v>
      </c>
      <c r="B2171" t="s">
        <v>31</v>
      </c>
      <c r="C2171" t="s">
        <v>32</v>
      </c>
      <c r="D2171" t="s">
        <v>227</v>
      </c>
      <c r="E2171" t="s">
        <v>2612</v>
      </c>
      <c r="F2171" t="s">
        <v>35</v>
      </c>
      <c r="G2171" t="s">
        <v>35</v>
      </c>
      <c r="H2171" t="s">
        <v>35</v>
      </c>
      <c r="J2171" t="s">
        <v>2613</v>
      </c>
      <c r="K2171" t="s">
        <v>1092</v>
      </c>
      <c r="M2171">
        <v>5.0000000000000001E-3</v>
      </c>
      <c r="N2171">
        <v>1484</v>
      </c>
      <c r="O2171" t="s">
        <v>575</v>
      </c>
      <c r="Q2171" t="s">
        <v>2614</v>
      </c>
      <c r="R2171" t="s">
        <v>250</v>
      </c>
      <c r="S2171" t="s">
        <v>242</v>
      </c>
    </row>
    <row r="2172" spans="1:19" x14ac:dyDescent="0.25">
      <c r="A2172" t="s">
        <v>30</v>
      </c>
      <c r="B2172" t="s">
        <v>31</v>
      </c>
      <c r="C2172" t="s">
        <v>32</v>
      </c>
      <c r="D2172" t="s">
        <v>227</v>
      </c>
      <c r="E2172" t="s">
        <v>2612</v>
      </c>
      <c r="F2172" t="s">
        <v>35</v>
      </c>
      <c r="G2172" t="s">
        <v>35</v>
      </c>
      <c r="H2172" t="s">
        <v>35</v>
      </c>
      <c r="J2172" t="s">
        <v>2615</v>
      </c>
      <c r="K2172" t="s">
        <v>1092</v>
      </c>
      <c r="M2172">
        <v>1.665</v>
      </c>
      <c r="N2172">
        <v>76</v>
      </c>
      <c r="O2172" t="s">
        <v>61</v>
      </c>
      <c r="Q2172" t="s">
        <v>234</v>
      </c>
      <c r="R2172" t="s">
        <v>2391</v>
      </c>
      <c r="S2172" t="s">
        <v>236</v>
      </c>
    </row>
    <row r="2173" spans="1:19" x14ac:dyDescent="0.25">
      <c r="A2173" t="s">
        <v>44</v>
      </c>
      <c r="B2173" t="s">
        <v>51</v>
      </c>
      <c r="C2173" t="s">
        <v>32</v>
      </c>
      <c r="D2173" t="s">
        <v>227</v>
      </c>
      <c r="E2173" t="s">
        <v>2612</v>
      </c>
      <c r="F2173" t="s">
        <v>35</v>
      </c>
      <c r="G2173" t="s">
        <v>35</v>
      </c>
      <c r="H2173" t="s">
        <v>35</v>
      </c>
      <c r="J2173" t="s">
        <v>2616</v>
      </c>
      <c r="K2173" t="s">
        <v>1092</v>
      </c>
      <c r="M2173">
        <v>5.75</v>
      </c>
      <c r="N2173">
        <v>27</v>
      </c>
      <c r="O2173" t="s">
        <v>46</v>
      </c>
      <c r="Q2173" t="s">
        <v>1011</v>
      </c>
      <c r="R2173" t="s">
        <v>250</v>
      </c>
      <c r="S2173" t="s">
        <v>242</v>
      </c>
    </row>
    <row r="2174" spans="1:19" x14ac:dyDescent="0.25">
      <c r="A2174" t="s">
        <v>30</v>
      </c>
      <c r="B2174" t="s">
        <v>31</v>
      </c>
      <c r="C2174" t="s">
        <v>32</v>
      </c>
      <c r="D2174" t="s">
        <v>227</v>
      </c>
      <c r="E2174" t="s">
        <v>2612</v>
      </c>
      <c r="F2174" t="s">
        <v>35</v>
      </c>
      <c r="G2174" t="s">
        <v>35</v>
      </c>
      <c r="H2174" t="s">
        <v>35</v>
      </c>
      <c r="J2174" t="s">
        <v>2616</v>
      </c>
      <c r="K2174" t="s">
        <v>1092</v>
      </c>
      <c r="M2174">
        <v>10.98</v>
      </c>
      <c r="N2174">
        <v>77</v>
      </c>
      <c r="O2174" t="s">
        <v>61</v>
      </c>
      <c r="Q2174" t="s">
        <v>305</v>
      </c>
      <c r="R2174" t="s">
        <v>250</v>
      </c>
      <c r="S2174" t="s">
        <v>242</v>
      </c>
    </row>
    <row r="2175" spans="1:19" x14ac:dyDescent="0.25">
      <c r="A2175" t="s">
        <v>30</v>
      </c>
      <c r="B2175" t="s">
        <v>31</v>
      </c>
      <c r="C2175" t="s">
        <v>32</v>
      </c>
      <c r="D2175" t="s">
        <v>227</v>
      </c>
      <c r="E2175" t="s">
        <v>2617</v>
      </c>
      <c r="F2175" t="s">
        <v>35</v>
      </c>
      <c r="G2175" t="s">
        <v>35</v>
      </c>
      <c r="H2175" t="s">
        <v>35</v>
      </c>
      <c r="J2175" t="s">
        <v>2618</v>
      </c>
      <c r="K2175" t="s">
        <v>404</v>
      </c>
      <c r="M2175">
        <v>0.89</v>
      </c>
      <c r="N2175">
        <v>252</v>
      </c>
      <c r="O2175" t="s">
        <v>5</v>
      </c>
      <c r="Q2175" t="s">
        <v>1222</v>
      </c>
      <c r="R2175" t="s">
        <v>2619</v>
      </c>
      <c r="S2175" t="s">
        <v>2620</v>
      </c>
    </row>
    <row r="2176" spans="1:19" x14ac:dyDescent="0.25">
      <c r="A2176" t="s">
        <v>59</v>
      </c>
      <c r="B2176" t="s">
        <v>31</v>
      </c>
      <c r="C2176" t="s">
        <v>32</v>
      </c>
      <c r="D2176" t="s">
        <v>227</v>
      </c>
      <c r="E2176" t="s">
        <v>2617</v>
      </c>
      <c r="F2176" t="s">
        <v>35</v>
      </c>
      <c r="G2176" t="s">
        <v>35</v>
      </c>
      <c r="H2176" t="s">
        <v>35</v>
      </c>
      <c r="J2176" t="s">
        <v>2622</v>
      </c>
      <c r="K2176" t="s">
        <v>1092</v>
      </c>
      <c r="M2176">
        <v>5.0000000000000001E-3</v>
      </c>
      <c r="N2176">
        <v>578</v>
      </c>
      <c r="O2176" t="s">
        <v>575</v>
      </c>
      <c r="Q2176" t="s">
        <v>2556</v>
      </c>
      <c r="R2176" t="s">
        <v>2444</v>
      </c>
      <c r="S2176" t="s">
        <v>2445</v>
      </c>
    </row>
    <row r="2177" spans="1:19" x14ac:dyDescent="0.25">
      <c r="A2177" t="s">
        <v>44</v>
      </c>
      <c r="B2177" t="s">
        <v>3</v>
      </c>
      <c r="C2177" t="s">
        <v>32</v>
      </c>
      <c r="D2177" t="s">
        <v>227</v>
      </c>
      <c r="E2177" t="s">
        <v>2617</v>
      </c>
      <c r="F2177" t="s">
        <v>35</v>
      </c>
      <c r="G2177" t="s">
        <v>35</v>
      </c>
      <c r="H2177" t="s">
        <v>35</v>
      </c>
      <c r="J2177" t="s">
        <v>2623</v>
      </c>
      <c r="K2177" t="s">
        <v>1092</v>
      </c>
      <c r="M2177">
        <v>4.2</v>
      </c>
      <c r="N2177">
        <v>109</v>
      </c>
      <c r="O2177" t="s">
        <v>106</v>
      </c>
      <c r="Q2177" t="s">
        <v>2624</v>
      </c>
      <c r="R2177" t="s">
        <v>2625</v>
      </c>
      <c r="S2177" t="s">
        <v>2626</v>
      </c>
    </row>
    <row r="2178" spans="1:19" x14ac:dyDescent="0.25">
      <c r="A2178" t="s">
        <v>30</v>
      </c>
      <c r="B2178" t="s">
        <v>31</v>
      </c>
      <c r="C2178" t="s">
        <v>32</v>
      </c>
      <c r="D2178" t="s">
        <v>227</v>
      </c>
      <c r="E2178" t="s">
        <v>2617</v>
      </c>
      <c r="F2178" t="s">
        <v>35</v>
      </c>
      <c r="G2178" t="s">
        <v>35</v>
      </c>
      <c r="H2178" t="s">
        <v>35</v>
      </c>
      <c r="J2178" t="s">
        <v>2628</v>
      </c>
      <c r="K2178" t="s">
        <v>1092</v>
      </c>
      <c r="M2178">
        <v>6.12</v>
      </c>
      <c r="N2178">
        <v>191</v>
      </c>
      <c r="O2178" t="s">
        <v>5</v>
      </c>
      <c r="Q2178" t="s">
        <v>1569</v>
      </c>
      <c r="R2178" t="s">
        <v>2619</v>
      </c>
      <c r="S2178" t="s">
        <v>2620</v>
      </c>
    </row>
    <row r="2179" spans="1:19" x14ac:dyDescent="0.25">
      <c r="A2179" t="s">
        <v>59</v>
      </c>
      <c r="B2179" t="s">
        <v>31</v>
      </c>
      <c r="C2179" t="s">
        <v>32</v>
      </c>
      <c r="D2179" t="s">
        <v>227</v>
      </c>
      <c r="E2179" t="s">
        <v>2617</v>
      </c>
      <c r="F2179" t="s">
        <v>35</v>
      </c>
      <c r="G2179" t="s">
        <v>35</v>
      </c>
      <c r="H2179" t="s">
        <v>35</v>
      </c>
      <c r="J2179" t="s">
        <v>2628</v>
      </c>
      <c r="K2179" t="s">
        <v>1092</v>
      </c>
      <c r="M2179">
        <v>5.8049999999999997</v>
      </c>
      <c r="N2179">
        <v>394</v>
      </c>
      <c r="O2179" t="s">
        <v>294</v>
      </c>
      <c r="Q2179" t="s">
        <v>1410</v>
      </c>
      <c r="R2179" t="s">
        <v>2629</v>
      </c>
      <c r="S2179" t="s">
        <v>2630</v>
      </c>
    </row>
    <row r="2180" spans="1:19" x14ac:dyDescent="0.25">
      <c r="A2180" t="s">
        <v>30</v>
      </c>
      <c r="B2180" t="s">
        <v>31</v>
      </c>
      <c r="C2180" t="s">
        <v>32</v>
      </c>
      <c r="D2180" t="s">
        <v>227</v>
      </c>
      <c r="E2180" t="s">
        <v>2617</v>
      </c>
      <c r="F2180" t="s">
        <v>35</v>
      </c>
      <c r="G2180" t="s">
        <v>35</v>
      </c>
      <c r="H2180" t="s">
        <v>35</v>
      </c>
      <c r="J2180" t="s">
        <v>2632</v>
      </c>
      <c r="K2180" t="s">
        <v>1092</v>
      </c>
      <c r="M2180">
        <v>2.52</v>
      </c>
      <c r="N2180">
        <v>191</v>
      </c>
      <c r="O2180" t="s">
        <v>5</v>
      </c>
      <c r="Q2180" t="s">
        <v>1569</v>
      </c>
      <c r="R2180" t="s">
        <v>2619</v>
      </c>
      <c r="S2180" t="s">
        <v>2620</v>
      </c>
    </row>
    <row r="2181" spans="1:19" x14ac:dyDescent="0.25">
      <c r="A2181" t="s">
        <v>30</v>
      </c>
      <c r="B2181" t="s">
        <v>31</v>
      </c>
      <c r="C2181" t="s">
        <v>32</v>
      </c>
      <c r="D2181" t="s">
        <v>227</v>
      </c>
      <c r="E2181" t="s">
        <v>2617</v>
      </c>
      <c r="F2181" t="s">
        <v>35</v>
      </c>
      <c r="G2181" t="s">
        <v>35</v>
      </c>
      <c r="H2181" t="s">
        <v>35</v>
      </c>
      <c r="J2181" t="s">
        <v>2633</v>
      </c>
      <c r="K2181" t="s">
        <v>1092</v>
      </c>
      <c r="M2181">
        <v>0.47499999999999998</v>
      </c>
      <c r="N2181">
        <v>768</v>
      </c>
      <c r="O2181" t="s">
        <v>575</v>
      </c>
      <c r="Q2181" t="s">
        <v>2634</v>
      </c>
      <c r="R2181" t="s">
        <v>2619</v>
      </c>
      <c r="S2181" t="s">
        <v>2620</v>
      </c>
    </row>
    <row r="2182" spans="1:19" x14ac:dyDescent="0.25">
      <c r="A2182" t="s">
        <v>30</v>
      </c>
      <c r="B2182" t="s">
        <v>31</v>
      </c>
      <c r="C2182" t="s">
        <v>32</v>
      </c>
      <c r="D2182" t="s">
        <v>227</v>
      </c>
      <c r="E2182" t="s">
        <v>2617</v>
      </c>
      <c r="F2182" t="s">
        <v>35</v>
      </c>
      <c r="G2182" t="s">
        <v>35</v>
      </c>
      <c r="H2182" t="s">
        <v>35</v>
      </c>
      <c r="J2182" t="s">
        <v>2635</v>
      </c>
      <c r="K2182" t="s">
        <v>1092</v>
      </c>
      <c r="M2182">
        <v>0.505</v>
      </c>
      <c r="N2182">
        <v>588</v>
      </c>
      <c r="O2182" t="s">
        <v>575</v>
      </c>
      <c r="Q2182" t="s">
        <v>2636</v>
      </c>
      <c r="R2182" t="s">
        <v>2625</v>
      </c>
      <c r="S2182" t="s">
        <v>2626</v>
      </c>
    </row>
    <row r="2183" spans="1:19" x14ac:dyDescent="0.25">
      <c r="A2183" t="s">
        <v>30</v>
      </c>
      <c r="B2183" t="s">
        <v>31</v>
      </c>
      <c r="C2183" t="s">
        <v>32</v>
      </c>
      <c r="D2183" t="s">
        <v>227</v>
      </c>
      <c r="E2183" t="s">
        <v>2617</v>
      </c>
      <c r="F2183" t="s">
        <v>35</v>
      </c>
      <c r="G2183" t="s">
        <v>35</v>
      </c>
      <c r="H2183" t="s">
        <v>35</v>
      </c>
      <c r="J2183" t="s">
        <v>2637</v>
      </c>
      <c r="K2183" t="s">
        <v>1092</v>
      </c>
      <c r="M2183">
        <v>0.1</v>
      </c>
      <c r="N2183">
        <v>588</v>
      </c>
      <c r="O2183" t="s">
        <v>575</v>
      </c>
      <c r="Q2183" t="s">
        <v>2636</v>
      </c>
      <c r="R2183" t="s">
        <v>2625</v>
      </c>
      <c r="S2183" t="s">
        <v>2626</v>
      </c>
    </row>
    <row r="2184" spans="1:19" x14ac:dyDescent="0.25">
      <c r="A2184" t="s">
        <v>44</v>
      </c>
      <c r="B2184" t="s">
        <v>3</v>
      </c>
      <c r="C2184" t="s">
        <v>32</v>
      </c>
      <c r="D2184" t="s">
        <v>227</v>
      </c>
      <c r="E2184" t="s">
        <v>2617</v>
      </c>
      <c r="F2184" t="s">
        <v>35</v>
      </c>
      <c r="G2184" t="s">
        <v>35</v>
      </c>
      <c r="H2184" t="s">
        <v>35</v>
      </c>
      <c r="J2184" t="s">
        <v>2638</v>
      </c>
      <c r="K2184" t="s">
        <v>1092</v>
      </c>
      <c r="M2184">
        <v>0.05</v>
      </c>
      <c r="N2184">
        <v>161</v>
      </c>
      <c r="O2184" t="s">
        <v>38</v>
      </c>
      <c r="Q2184" t="s">
        <v>2639</v>
      </c>
      <c r="R2184" t="s">
        <v>2625</v>
      </c>
      <c r="S2184" t="s">
        <v>2626</v>
      </c>
    </row>
    <row r="2185" spans="1:19" x14ac:dyDescent="0.25">
      <c r="A2185" t="s">
        <v>30</v>
      </c>
      <c r="B2185" t="s">
        <v>31</v>
      </c>
      <c r="C2185" t="s">
        <v>32</v>
      </c>
      <c r="D2185" t="s">
        <v>227</v>
      </c>
      <c r="E2185" t="s">
        <v>2617</v>
      </c>
      <c r="F2185" t="s">
        <v>35</v>
      </c>
      <c r="G2185" t="s">
        <v>35</v>
      </c>
      <c r="H2185" t="s">
        <v>35</v>
      </c>
      <c r="J2185" t="s">
        <v>2638</v>
      </c>
      <c r="K2185" t="s">
        <v>1092</v>
      </c>
      <c r="M2185">
        <v>3.89</v>
      </c>
      <c r="N2185">
        <v>63</v>
      </c>
      <c r="O2185" t="s">
        <v>61</v>
      </c>
      <c r="Q2185" t="s">
        <v>423</v>
      </c>
      <c r="R2185" t="s">
        <v>2444</v>
      </c>
      <c r="S2185" t="s">
        <v>2445</v>
      </c>
    </row>
    <row r="2186" spans="1:19" x14ac:dyDescent="0.25">
      <c r="A2186" t="s">
        <v>30</v>
      </c>
      <c r="B2186" t="s">
        <v>31</v>
      </c>
      <c r="C2186" t="s">
        <v>32</v>
      </c>
      <c r="D2186" t="s">
        <v>227</v>
      </c>
      <c r="E2186" t="s">
        <v>2617</v>
      </c>
      <c r="F2186" t="s">
        <v>35</v>
      </c>
      <c r="G2186" t="s">
        <v>35</v>
      </c>
      <c r="H2186" t="s">
        <v>35</v>
      </c>
      <c r="J2186" t="s">
        <v>2640</v>
      </c>
      <c r="K2186" t="s">
        <v>1092</v>
      </c>
      <c r="M2186">
        <v>1.89</v>
      </c>
      <c r="N2186">
        <v>175</v>
      </c>
      <c r="O2186" t="s">
        <v>38</v>
      </c>
      <c r="Q2186" t="s">
        <v>1692</v>
      </c>
      <c r="R2186" t="s">
        <v>2619</v>
      </c>
      <c r="S2186" t="s">
        <v>2620</v>
      </c>
    </row>
    <row r="2187" spans="1:19" x14ac:dyDescent="0.25">
      <c r="A2187" t="s">
        <v>59</v>
      </c>
      <c r="B2187" t="s">
        <v>60</v>
      </c>
      <c r="C2187" t="s">
        <v>32</v>
      </c>
      <c r="D2187" t="s">
        <v>227</v>
      </c>
      <c r="E2187" t="s">
        <v>2617</v>
      </c>
      <c r="F2187" t="s">
        <v>35</v>
      </c>
      <c r="G2187" t="s">
        <v>35</v>
      </c>
      <c r="H2187" t="s">
        <v>35</v>
      </c>
      <c r="J2187" t="s">
        <v>2640</v>
      </c>
      <c r="K2187" t="s">
        <v>1092</v>
      </c>
      <c r="M2187">
        <v>2</v>
      </c>
      <c r="N2187">
        <v>493</v>
      </c>
      <c r="O2187" t="s">
        <v>294</v>
      </c>
      <c r="Q2187" t="s">
        <v>1107</v>
      </c>
      <c r="R2187" t="s">
        <v>2629</v>
      </c>
      <c r="S2187" t="s">
        <v>2630</v>
      </c>
    </row>
    <row r="2188" spans="1:19" x14ac:dyDescent="0.25">
      <c r="A2188" t="s">
        <v>59</v>
      </c>
      <c r="B2188" t="s">
        <v>60</v>
      </c>
      <c r="C2188" t="s">
        <v>32</v>
      </c>
      <c r="D2188" t="s">
        <v>227</v>
      </c>
      <c r="E2188" t="s">
        <v>2641</v>
      </c>
      <c r="F2188" t="s">
        <v>35</v>
      </c>
      <c r="G2188" t="s">
        <v>35</v>
      </c>
      <c r="H2188" t="s">
        <v>35</v>
      </c>
      <c r="J2188" t="s">
        <v>2642</v>
      </c>
      <c r="K2188" t="s">
        <v>1092</v>
      </c>
      <c r="M2188">
        <v>0.5</v>
      </c>
      <c r="N2188">
        <v>100</v>
      </c>
      <c r="O2188" t="s">
        <v>106</v>
      </c>
      <c r="Q2188" t="s">
        <v>1112</v>
      </c>
      <c r="R2188" t="s">
        <v>2394</v>
      </c>
      <c r="S2188" t="s">
        <v>271</v>
      </c>
    </row>
    <row r="2189" spans="1:19" x14ac:dyDescent="0.25">
      <c r="A2189" t="s">
        <v>44</v>
      </c>
      <c r="B2189" t="s">
        <v>3</v>
      </c>
      <c r="C2189" t="s">
        <v>32</v>
      </c>
      <c r="D2189" t="s">
        <v>227</v>
      </c>
      <c r="E2189" t="s">
        <v>2641</v>
      </c>
      <c r="F2189" t="s">
        <v>35</v>
      </c>
      <c r="G2189" t="s">
        <v>35</v>
      </c>
      <c r="H2189" t="s">
        <v>35</v>
      </c>
      <c r="J2189" t="s">
        <v>2643</v>
      </c>
      <c r="K2189" t="s">
        <v>1092</v>
      </c>
      <c r="M2189">
        <v>0.05</v>
      </c>
      <c r="N2189">
        <v>56</v>
      </c>
      <c r="O2189" t="s">
        <v>52</v>
      </c>
      <c r="Q2189" t="s">
        <v>453</v>
      </c>
      <c r="R2189" t="s">
        <v>2394</v>
      </c>
      <c r="S2189" t="s">
        <v>271</v>
      </c>
    </row>
    <row r="2190" spans="1:19" x14ac:dyDescent="0.25">
      <c r="A2190" t="s">
        <v>59</v>
      </c>
      <c r="B2190" t="s">
        <v>31</v>
      </c>
      <c r="C2190" t="s">
        <v>32</v>
      </c>
      <c r="D2190" t="s">
        <v>227</v>
      </c>
      <c r="E2190" t="s">
        <v>2641</v>
      </c>
      <c r="F2190" t="s">
        <v>35</v>
      </c>
      <c r="G2190" t="s">
        <v>35</v>
      </c>
      <c r="H2190" t="s">
        <v>35</v>
      </c>
      <c r="J2190" t="s">
        <v>2643</v>
      </c>
      <c r="K2190" t="s">
        <v>1092</v>
      </c>
      <c r="M2190">
        <v>4.4999999999999998E-2</v>
      </c>
      <c r="N2190">
        <v>493</v>
      </c>
      <c r="O2190" t="s">
        <v>294</v>
      </c>
      <c r="Q2190" t="s">
        <v>1107</v>
      </c>
      <c r="R2190" t="s">
        <v>2394</v>
      </c>
      <c r="S2190" t="s">
        <v>271</v>
      </c>
    </row>
    <row r="2191" spans="1:19" x14ac:dyDescent="0.25">
      <c r="A2191" t="s">
        <v>30</v>
      </c>
      <c r="B2191" t="s">
        <v>31</v>
      </c>
      <c r="C2191" t="s">
        <v>32</v>
      </c>
      <c r="D2191" t="s">
        <v>227</v>
      </c>
      <c r="E2191" t="s">
        <v>2641</v>
      </c>
      <c r="F2191" t="s">
        <v>35</v>
      </c>
      <c r="G2191" t="s">
        <v>35</v>
      </c>
      <c r="H2191" t="s">
        <v>35</v>
      </c>
      <c r="J2191" t="s">
        <v>2644</v>
      </c>
      <c r="K2191" t="s">
        <v>1092</v>
      </c>
      <c r="M2191">
        <v>2.34</v>
      </c>
      <c r="N2191">
        <v>147</v>
      </c>
      <c r="O2191" t="s">
        <v>38</v>
      </c>
      <c r="Q2191" t="s">
        <v>1229</v>
      </c>
      <c r="R2191" t="s">
        <v>2387</v>
      </c>
      <c r="S2191" t="s">
        <v>277</v>
      </c>
    </row>
    <row r="2192" spans="1:19" x14ac:dyDescent="0.25">
      <c r="A2192" t="s">
        <v>44</v>
      </c>
      <c r="B2192" t="s">
        <v>51</v>
      </c>
      <c r="C2192" t="s">
        <v>32</v>
      </c>
      <c r="D2192" t="s">
        <v>227</v>
      </c>
      <c r="E2192" t="s">
        <v>2641</v>
      </c>
      <c r="F2192" t="s">
        <v>35</v>
      </c>
      <c r="G2192" t="s">
        <v>35</v>
      </c>
      <c r="H2192" t="s">
        <v>35</v>
      </c>
      <c r="J2192" t="s">
        <v>2645</v>
      </c>
      <c r="K2192" t="s">
        <v>1092</v>
      </c>
      <c r="M2192">
        <v>0.1</v>
      </c>
      <c r="N2192">
        <v>49</v>
      </c>
      <c r="O2192" t="s">
        <v>52</v>
      </c>
      <c r="Q2192" t="s">
        <v>219</v>
      </c>
      <c r="R2192" t="s">
        <v>2394</v>
      </c>
      <c r="S2192" t="s">
        <v>271</v>
      </c>
    </row>
    <row r="2193" spans="1:19" x14ac:dyDescent="0.25">
      <c r="A2193" t="s">
        <v>44</v>
      </c>
      <c r="B2193" t="s">
        <v>3</v>
      </c>
      <c r="C2193" t="s">
        <v>32</v>
      </c>
      <c r="D2193" t="s">
        <v>227</v>
      </c>
      <c r="E2193" t="s">
        <v>2641</v>
      </c>
      <c r="F2193" t="s">
        <v>35</v>
      </c>
      <c r="G2193" t="s">
        <v>35</v>
      </c>
      <c r="H2193" t="s">
        <v>35</v>
      </c>
      <c r="J2193" t="s">
        <v>2645</v>
      </c>
      <c r="K2193" t="s">
        <v>1092</v>
      </c>
      <c r="M2193">
        <v>0.25</v>
      </c>
      <c r="N2193">
        <v>47</v>
      </c>
      <c r="O2193" t="s">
        <v>52</v>
      </c>
      <c r="Q2193" t="s">
        <v>132</v>
      </c>
      <c r="R2193" t="s">
        <v>2394</v>
      </c>
      <c r="S2193" t="s">
        <v>271</v>
      </c>
    </row>
    <row r="2194" spans="1:19" x14ac:dyDescent="0.25">
      <c r="A2194" t="s">
        <v>59</v>
      </c>
      <c r="B2194" t="s">
        <v>60</v>
      </c>
      <c r="C2194" t="s">
        <v>32</v>
      </c>
      <c r="D2194" t="s">
        <v>227</v>
      </c>
      <c r="E2194" t="s">
        <v>2641</v>
      </c>
      <c r="F2194" t="s">
        <v>35</v>
      </c>
      <c r="G2194" t="s">
        <v>35</v>
      </c>
      <c r="H2194" t="s">
        <v>35</v>
      </c>
      <c r="J2194" t="s">
        <v>2645</v>
      </c>
      <c r="K2194" t="s">
        <v>1092</v>
      </c>
      <c r="M2194">
        <v>0.1</v>
      </c>
      <c r="N2194">
        <v>49</v>
      </c>
      <c r="O2194" t="s">
        <v>52</v>
      </c>
      <c r="Q2194" t="s">
        <v>219</v>
      </c>
      <c r="R2194" t="s">
        <v>2394</v>
      </c>
      <c r="S2194" t="s">
        <v>271</v>
      </c>
    </row>
    <row r="2195" spans="1:19" x14ac:dyDescent="0.25">
      <c r="A2195" t="s">
        <v>44</v>
      </c>
      <c r="B2195" t="s">
        <v>3</v>
      </c>
      <c r="C2195" t="s">
        <v>32</v>
      </c>
      <c r="D2195" t="s">
        <v>227</v>
      </c>
      <c r="E2195" t="s">
        <v>2641</v>
      </c>
      <c r="F2195" t="s">
        <v>35</v>
      </c>
      <c r="G2195" t="s">
        <v>35</v>
      </c>
      <c r="H2195" t="s">
        <v>35</v>
      </c>
      <c r="J2195" t="s">
        <v>2646</v>
      </c>
      <c r="K2195" t="s">
        <v>1092</v>
      </c>
      <c r="M2195">
        <v>0.15</v>
      </c>
      <c r="N2195">
        <v>56</v>
      </c>
      <c r="O2195" t="s">
        <v>52</v>
      </c>
      <c r="Q2195" t="s">
        <v>453</v>
      </c>
      <c r="R2195" t="s">
        <v>2394</v>
      </c>
      <c r="S2195" t="s">
        <v>271</v>
      </c>
    </row>
    <row r="2196" spans="1:19" x14ac:dyDescent="0.25">
      <c r="A2196" t="s">
        <v>44</v>
      </c>
      <c r="B2196" t="s">
        <v>51</v>
      </c>
      <c r="C2196" t="s">
        <v>32</v>
      </c>
      <c r="D2196" t="s">
        <v>227</v>
      </c>
      <c r="E2196" t="s">
        <v>2641</v>
      </c>
      <c r="F2196" t="s">
        <v>35</v>
      </c>
      <c r="G2196" t="s">
        <v>35</v>
      </c>
      <c r="H2196" t="s">
        <v>35</v>
      </c>
      <c r="J2196" t="s">
        <v>2647</v>
      </c>
      <c r="K2196" t="s">
        <v>1092</v>
      </c>
      <c r="M2196">
        <v>0.25</v>
      </c>
      <c r="N2196">
        <v>58</v>
      </c>
      <c r="O2196" t="s">
        <v>52</v>
      </c>
      <c r="Q2196" t="s">
        <v>58</v>
      </c>
      <c r="R2196" t="s">
        <v>2394</v>
      </c>
      <c r="S2196" t="s">
        <v>271</v>
      </c>
    </row>
    <row r="2197" spans="1:19" x14ac:dyDescent="0.25">
      <c r="A2197" t="s">
        <v>44</v>
      </c>
      <c r="B2197" t="s">
        <v>51</v>
      </c>
      <c r="C2197" t="s">
        <v>32</v>
      </c>
      <c r="D2197" t="s">
        <v>227</v>
      </c>
      <c r="E2197" t="s">
        <v>2641</v>
      </c>
      <c r="F2197" t="s">
        <v>35</v>
      </c>
      <c r="G2197" t="s">
        <v>35</v>
      </c>
      <c r="H2197" t="s">
        <v>35</v>
      </c>
      <c r="J2197" t="s">
        <v>2647</v>
      </c>
      <c r="K2197" t="s">
        <v>1092</v>
      </c>
      <c r="M2197">
        <v>0.25</v>
      </c>
      <c r="N2197">
        <v>4</v>
      </c>
      <c r="O2197" t="s">
        <v>46</v>
      </c>
      <c r="Q2197" t="s">
        <v>8230</v>
      </c>
      <c r="R2197" t="s">
        <v>2394</v>
      </c>
      <c r="S2197" t="s">
        <v>271</v>
      </c>
    </row>
    <row r="2198" spans="1:19" x14ac:dyDescent="0.25">
      <c r="A2198" t="s">
        <v>30</v>
      </c>
      <c r="B2198" t="s">
        <v>31</v>
      </c>
      <c r="C2198" t="s">
        <v>32</v>
      </c>
      <c r="D2198" t="s">
        <v>227</v>
      </c>
      <c r="E2198" t="s">
        <v>2641</v>
      </c>
      <c r="F2198" t="s">
        <v>35</v>
      </c>
      <c r="G2198" t="s">
        <v>35</v>
      </c>
      <c r="H2198" t="s">
        <v>35</v>
      </c>
      <c r="J2198" t="s">
        <v>2648</v>
      </c>
      <c r="K2198" t="s">
        <v>1092</v>
      </c>
      <c r="M2198">
        <v>5.76</v>
      </c>
      <c r="N2198">
        <v>58</v>
      </c>
      <c r="O2198" t="s">
        <v>52</v>
      </c>
      <c r="Q2198" t="s">
        <v>58</v>
      </c>
      <c r="R2198" t="s">
        <v>2444</v>
      </c>
      <c r="S2198" t="s">
        <v>2445</v>
      </c>
    </row>
    <row r="2199" spans="1:19" x14ac:dyDescent="0.25">
      <c r="A2199" t="s">
        <v>59</v>
      </c>
      <c r="B2199" t="s">
        <v>60</v>
      </c>
      <c r="C2199" t="s">
        <v>32</v>
      </c>
      <c r="D2199" t="s">
        <v>227</v>
      </c>
      <c r="E2199" t="s">
        <v>2641</v>
      </c>
      <c r="F2199" t="s">
        <v>35</v>
      </c>
      <c r="G2199" t="s">
        <v>35</v>
      </c>
      <c r="H2199" t="s">
        <v>35</v>
      </c>
      <c r="J2199" t="s">
        <v>2649</v>
      </c>
      <c r="K2199" t="s">
        <v>1092</v>
      </c>
      <c r="M2199">
        <v>0.15</v>
      </c>
      <c r="N2199">
        <v>40</v>
      </c>
      <c r="O2199" t="s">
        <v>52</v>
      </c>
      <c r="Q2199" t="s">
        <v>130</v>
      </c>
      <c r="R2199" t="s">
        <v>2394</v>
      </c>
      <c r="S2199" t="s">
        <v>271</v>
      </c>
    </row>
    <row r="2200" spans="1:19" x14ac:dyDescent="0.25">
      <c r="A2200" t="s">
        <v>59</v>
      </c>
      <c r="B2200" t="s">
        <v>31</v>
      </c>
      <c r="C2200" t="s">
        <v>32</v>
      </c>
      <c r="D2200" t="s">
        <v>227</v>
      </c>
      <c r="E2200" t="s">
        <v>2641</v>
      </c>
      <c r="F2200" t="s">
        <v>35</v>
      </c>
      <c r="G2200" t="s">
        <v>35</v>
      </c>
      <c r="H2200" t="s">
        <v>35</v>
      </c>
      <c r="J2200" t="s">
        <v>2650</v>
      </c>
      <c r="K2200" t="s">
        <v>1092</v>
      </c>
      <c r="M2200">
        <v>4.87</v>
      </c>
      <c r="N2200">
        <v>264</v>
      </c>
      <c r="O2200" t="s">
        <v>5</v>
      </c>
      <c r="Q2200" t="s">
        <v>1721</v>
      </c>
      <c r="R2200" t="s">
        <v>256</v>
      </c>
      <c r="S2200" t="s">
        <v>257</v>
      </c>
    </row>
    <row r="2201" spans="1:19" x14ac:dyDescent="0.25">
      <c r="A2201" t="s">
        <v>44</v>
      </c>
      <c r="B2201" t="s">
        <v>3</v>
      </c>
      <c r="C2201" t="s">
        <v>32</v>
      </c>
      <c r="D2201" t="s">
        <v>227</v>
      </c>
      <c r="E2201" t="s">
        <v>2641</v>
      </c>
      <c r="F2201" t="s">
        <v>35</v>
      </c>
      <c r="G2201" t="s">
        <v>35</v>
      </c>
      <c r="H2201" t="s">
        <v>35</v>
      </c>
      <c r="J2201" t="s">
        <v>2651</v>
      </c>
      <c r="K2201" t="s">
        <v>1092</v>
      </c>
      <c r="M2201">
        <v>0.25</v>
      </c>
      <c r="N2201">
        <v>56</v>
      </c>
      <c r="O2201" t="s">
        <v>52</v>
      </c>
      <c r="Q2201" t="s">
        <v>453</v>
      </c>
      <c r="R2201" t="s">
        <v>2394</v>
      </c>
      <c r="S2201" t="s">
        <v>271</v>
      </c>
    </row>
    <row r="2202" spans="1:19" x14ac:dyDescent="0.25">
      <c r="A2202" t="s">
        <v>44</v>
      </c>
      <c r="B2202" t="s">
        <v>3</v>
      </c>
      <c r="C2202" t="s">
        <v>32</v>
      </c>
      <c r="D2202" t="s">
        <v>227</v>
      </c>
      <c r="E2202" t="s">
        <v>2641</v>
      </c>
      <c r="F2202" t="s">
        <v>35</v>
      </c>
      <c r="G2202" t="s">
        <v>35</v>
      </c>
      <c r="H2202" t="s">
        <v>35</v>
      </c>
      <c r="J2202" t="s">
        <v>2651</v>
      </c>
      <c r="K2202" t="s">
        <v>1092</v>
      </c>
      <c r="M2202">
        <v>0.1</v>
      </c>
      <c r="N2202">
        <v>62</v>
      </c>
      <c r="O2202" t="s">
        <v>61</v>
      </c>
      <c r="Q2202" t="s">
        <v>90</v>
      </c>
      <c r="R2202" t="s">
        <v>2394</v>
      </c>
      <c r="S2202" t="s">
        <v>271</v>
      </c>
    </row>
    <row r="2203" spans="1:19" x14ac:dyDescent="0.25">
      <c r="A2203" t="s">
        <v>44</v>
      </c>
      <c r="B2203" t="s">
        <v>3</v>
      </c>
      <c r="C2203" t="s">
        <v>32</v>
      </c>
      <c r="D2203" t="s">
        <v>227</v>
      </c>
      <c r="E2203" t="s">
        <v>2641</v>
      </c>
      <c r="F2203" t="s">
        <v>35</v>
      </c>
      <c r="G2203" t="s">
        <v>35</v>
      </c>
      <c r="H2203" t="s">
        <v>35</v>
      </c>
      <c r="J2203" t="s">
        <v>2651</v>
      </c>
      <c r="K2203" t="s">
        <v>1092</v>
      </c>
      <c r="M2203">
        <v>0.05</v>
      </c>
      <c r="N2203">
        <v>51</v>
      </c>
      <c r="O2203" t="s">
        <v>52</v>
      </c>
      <c r="Q2203" t="s">
        <v>54</v>
      </c>
      <c r="R2203" t="s">
        <v>2394</v>
      </c>
      <c r="S2203" t="s">
        <v>271</v>
      </c>
    </row>
    <row r="2204" spans="1:19" x14ac:dyDescent="0.25">
      <c r="A2204" t="s">
        <v>30</v>
      </c>
      <c r="B2204" t="s">
        <v>31</v>
      </c>
      <c r="C2204" t="s">
        <v>32</v>
      </c>
      <c r="D2204" t="s">
        <v>227</v>
      </c>
      <c r="E2204" t="s">
        <v>2641</v>
      </c>
      <c r="F2204" t="s">
        <v>35</v>
      </c>
      <c r="G2204" t="s">
        <v>35</v>
      </c>
      <c r="H2204" t="s">
        <v>35</v>
      </c>
      <c r="J2204" t="s">
        <v>2651</v>
      </c>
      <c r="K2204" t="s">
        <v>1092</v>
      </c>
      <c r="M2204">
        <v>2.7450000000000001</v>
      </c>
      <c r="N2204">
        <v>44</v>
      </c>
      <c r="O2204" t="s">
        <v>52</v>
      </c>
      <c r="Q2204" t="s">
        <v>192</v>
      </c>
      <c r="R2204" t="s">
        <v>2394</v>
      </c>
      <c r="S2204" t="s">
        <v>271</v>
      </c>
    </row>
    <row r="2205" spans="1:19" x14ac:dyDescent="0.25">
      <c r="A2205" t="s">
        <v>44</v>
      </c>
      <c r="B2205" t="s">
        <v>3</v>
      </c>
      <c r="C2205" t="s">
        <v>32</v>
      </c>
      <c r="D2205" t="s">
        <v>227</v>
      </c>
      <c r="E2205" t="s">
        <v>2641</v>
      </c>
      <c r="F2205" t="s">
        <v>35</v>
      </c>
      <c r="G2205" t="s">
        <v>35</v>
      </c>
      <c r="H2205" t="s">
        <v>35</v>
      </c>
      <c r="J2205" t="s">
        <v>2651</v>
      </c>
      <c r="K2205" t="s">
        <v>1092</v>
      </c>
      <c r="M2205">
        <v>0.05</v>
      </c>
      <c r="N2205">
        <v>40</v>
      </c>
      <c r="O2205" t="s">
        <v>52</v>
      </c>
      <c r="Q2205" t="s">
        <v>130</v>
      </c>
      <c r="R2205" t="s">
        <v>2394</v>
      </c>
      <c r="S2205" t="s">
        <v>271</v>
      </c>
    </row>
    <row r="2206" spans="1:19" x14ac:dyDescent="0.25">
      <c r="A2206" t="s">
        <v>44</v>
      </c>
      <c r="B2206" t="s">
        <v>3</v>
      </c>
      <c r="C2206" t="s">
        <v>32</v>
      </c>
      <c r="D2206" t="s">
        <v>227</v>
      </c>
      <c r="E2206" t="s">
        <v>2652</v>
      </c>
      <c r="F2206" t="s">
        <v>35</v>
      </c>
      <c r="G2206" t="s">
        <v>35</v>
      </c>
      <c r="H2206" t="s">
        <v>35</v>
      </c>
      <c r="J2206" t="s">
        <v>2653</v>
      </c>
      <c r="K2206" t="s">
        <v>1092</v>
      </c>
      <c r="M2206">
        <v>0.5</v>
      </c>
      <c r="N2206">
        <v>40</v>
      </c>
      <c r="O2206" t="s">
        <v>52</v>
      </c>
      <c r="Q2206" t="s">
        <v>130</v>
      </c>
      <c r="R2206" t="s">
        <v>2394</v>
      </c>
      <c r="S2206" t="s">
        <v>271</v>
      </c>
    </row>
    <row r="2207" spans="1:19" x14ac:dyDescent="0.25">
      <c r="A2207" t="s">
        <v>44</v>
      </c>
      <c r="B2207" t="s">
        <v>3</v>
      </c>
      <c r="C2207" t="s">
        <v>32</v>
      </c>
      <c r="D2207" t="s">
        <v>227</v>
      </c>
      <c r="E2207" t="s">
        <v>2652</v>
      </c>
      <c r="F2207" t="s">
        <v>35</v>
      </c>
      <c r="G2207" t="s">
        <v>35</v>
      </c>
      <c r="H2207" t="s">
        <v>35</v>
      </c>
      <c r="J2207" t="s">
        <v>2654</v>
      </c>
      <c r="K2207" t="s">
        <v>1092</v>
      </c>
      <c r="M2207">
        <v>0.14499999999999999</v>
      </c>
      <c r="N2207">
        <v>58</v>
      </c>
      <c r="O2207" t="s">
        <v>52</v>
      </c>
      <c r="Q2207" t="s">
        <v>58</v>
      </c>
      <c r="R2207" t="s">
        <v>2394</v>
      </c>
      <c r="S2207" t="s">
        <v>271</v>
      </c>
    </row>
    <row r="2208" spans="1:19" x14ac:dyDescent="0.25">
      <c r="A2208" t="s">
        <v>59</v>
      </c>
      <c r="B2208" t="s">
        <v>60</v>
      </c>
      <c r="C2208" t="s">
        <v>32</v>
      </c>
      <c r="D2208" t="s">
        <v>227</v>
      </c>
      <c r="E2208" t="s">
        <v>2652</v>
      </c>
      <c r="F2208" t="s">
        <v>35</v>
      </c>
      <c r="G2208" t="s">
        <v>35</v>
      </c>
      <c r="H2208" t="s">
        <v>35</v>
      </c>
      <c r="J2208" t="s">
        <v>2655</v>
      </c>
      <c r="K2208" t="s">
        <v>1092</v>
      </c>
      <c r="M2208">
        <v>0.05</v>
      </c>
      <c r="N2208">
        <v>1971</v>
      </c>
      <c r="O2208" t="s">
        <v>575</v>
      </c>
      <c r="Q2208" t="s">
        <v>2656</v>
      </c>
      <c r="R2208" t="s">
        <v>256</v>
      </c>
      <c r="S2208" t="s">
        <v>257</v>
      </c>
    </row>
    <row r="2209" spans="1:19" x14ac:dyDescent="0.25">
      <c r="A2209" t="s">
        <v>59</v>
      </c>
      <c r="B2209" t="s">
        <v>60</v>
      </c>
      <c r="C2209" t="s">
        <v>32</v>
      </c>
      <c r="D2209" t="s">
        <v>227</v>
      </c>
      <c r="E2209" t="s">
        <v>2652</v>
      </c>
      <c r="F2209" t="s">
        <v>35</v>
      </c>
      <c r="G2209" t="s">
        <v>35</v>
      </c>
      <c r="H2209" t="s">
        <v>35</v>
      </c>
      <c r="J2209" t="s">
        <v>2657</v>
      </c>
      <c r="K2209" t="s">
        <v>1092</v>
      </c>
      <c r="M2209">
        <v>2.2000000000000002</v>
      </c>
      <c r="N2209">
        <v>90</v>
      </c>
      <c r="O2209" t="s">
        <v>61</v>
      </c>
      <c r="Q2209" t="s">
        <v>897</v>
      </c>
      <c r="R2209" t="s">
        <v>2387</v>
      </c>
      <c r="S2209" t="s">
        <v>277</v>
      </c>
    </row>
    <row r="2210" spans="1:19" x14ac:dyDescent="0.25">
      <c r="A2210" t="s">
        <v>59</v>
      </c>
      <c r="B2210" t="s">
        <v>60</v>
      </c>
      <c r="C2210" t="s">
        <v>32</v>
      </c>
      <c r="D2210" t="s">
        <v>227</v>
      </c>
      <c r="E2210" t="s">
        <v>2652</v>
      </c>
      <c r="F2210" t="s">
        <v>35</v>
      </c>
      <c r="G2210" t="s">
        <v>35</v>
      </c>
      <c r="H2210" t="s">
        <v>35</v>
      </c>
      <c r="J2210" t="s">
        <v>2658</v>
      </c>
      <c r="K2210" t="s">
        <v>1092</v>
      </c>
      <c r="M2210">
        <v>1.78</v>
      </c>
      <c r="N2210">
        <v>95</v>
      </c>
      <c r="O2210" t="s">
        <v>106</v>
      </c>
      <c r="Q2210" t="s">
        <v>724</v>
      </c>
      <c r="R2210" t="s">
        <v>2444</v>
      </c>
      <c r="S2210" t="s">
        <v>2445</v>
      </c>
    </row>
    <row r="2211" spans="1:19" x14ac:dyDescent="0.25">
      <c r="A2211" t="s">
        <v>30</v>
      </c>
      <c r="B2211" t="s">
        <v>31</v>
      </c>
      <c r="C2211" t="s">
        <v>32</v>
      </c>
      <c r="D2211" t="s">
        <v>227</v>
      </c>
      <c r="E2211" t="s">
        <v>2652</v>
      </c>
      <c r="F2211" t="s">
        <v>35</v>
      </c>
      <c r="G2211" t="s">
        <v>35</v>
      </c>
      <c r="H2211" t="s">
        <v>35</v>
      </c>
      <c r="J2211" t="s">
        <v>2658</v>
      </c>
      <c r="K2211" t="s">
        <v>1092</v>
      </c>
      <c r="M2211">
        <v>0.45</v>
      </c>
      <c r="N2211">
        <v>100</v>
      </c>
      <c r="O2211" t="s">
        <v>106</v>
      </c>
      <c r="Q2211" t="s">
        <v>1112</v>
      </c>
      <c r="R2211" t="s">
        <v>2444</v>
      </c>
      <c r="S2211" t="s">
        <v>2445</v>
      </c>
    </row>
    <row r="2212" spans="1:19" x14ac:dyDescent="0.25">
      <c r="A2212" t="s">
        <v>59</v>
      </c>
      <c r="B2212" t="s">
        <v>31</v>
      </c>
      <c r="C2212" t="s">
        <v>32</v>
      </c>
      <c r="D2212" t="s">
        <v>227</v>
      </c>
      <c r="E2212" t="s">
        <v>2652</v>
      </c>
      <c r="F2212" t="s">
        <v>35</v>
      </c>
      <c r="G2212" t="s">
        <v>35</v>
      </c>
      <c r="H2212" t="s">
        <v>35</v>
      </c>
      <c r="J2212" t="s">
        <v>2658</v>
      </c>
      <c r="K2212" t="s">
        <v>1092</v>
      </c>
      <c r="M2212">
        <v>0.54</v>
      </c>
      <c r="N2212">
        <v>95</v>
      </c>
      <c r="O2212" t="s">
        <v>106</v>
      </c>
      <c r="Q2212" t="s">
        <v>724</v>
      </c>
      <c r="R2212" t="s">
        <v>2444</v>
      </c>
      <c r="S2212" t="s">
        <v>2445</v>
      </c>
    </row>
    <row r="2213" spans="1:19" x14ac:dyDescent="0.25">
      <c r="A2213" t="s">
        <v>59</v>
      </c>
      <c r="B2213" t="s">
        <v>60</v>
      </c>
      <c r="C2213" t="s">
        <v>32</v>
      </c>
      <c r="D2213" t="s">
        <v>227</v>
      </c>
      <c r="E2213" t="s">
        <v>2652</v>
      </c>
      <c r="F2213" t="s">
        <v>35</v>
      </c>
      <c r="G2213" t="s">
        <v>35</v>
      </c>
      <c r="H2213" t="s">
        <v>35</v>
      </c>
      <c r="J2213" t="s">
        <v>2659</v>
      </c>
      <c r="K2213" t="s">
        <v>1092</v>
      </c>
      <c r="M2213">
        <v>0.15</v>
      </c>
      <c r="N2213">
        <v>109</v>
      </c>
      <c r="O2213" t="s">
        <v>106</v>
      </c>
      <c r="Q2213" t="s">
        <v>2624</v>
      </c>
      <c r="R2213" t="s">
        <v>2387</v>
      </c>
      <c r="S2213" t="s">
        <v>277</v>
      </c>
    </row>
    <row r="2214" spans="1:19" x14ac:dyDescent="0.25">
      <c r="A2214" t="s">
        <v>30</v>
      </c>
      <c r="B2214" t="s">
        <v>31</v>
      </c>
      <c r="C2214" t="s">
        <v>32</v>
      </c>
      <c r="D2214" t="s">
        <v>227</v>
      </c>
      <c r="E2214" t="s">
        <v>2652</v>
      </c>
      <c r="F2214" t="s">
        <v>35</v>
      </c>
      <c r="G2214" t="s">
        <v>35</v>
      </c>
      <c r="H2214" t="s">
        <v>35</v>
      </c>
      <c r="J2214" t="s">
        <v>2660</v>
      </c>
      <c r="K2214" t="s">
        <v>1092</v>
      </c>
      <c r="M2214">
        <v>5.49</v>
      </c>
      <c r="N2214">
        <v>45</v>
      </c>
      <c r="O2214" t="s">
        <v>52</v>
      </c>
      <c r="Q2214" t="s">
        <v>716</v>
      </c>
      <c r="R2214" t="s">
        <v>256</v>
      </c>
      <c r="S2214" t="s">
        <v>257</v>
      </c>
    </row>
    <row r="2215" spans="1:19" x14ac:dyDescent="0.25">
      <c r="A2215" t="s">
        <v>59</v>
      </c>
      <c r="B2215" t="s">
        <v>60</v>
      </c>
      <c r="C2215" t="s">
        <v>32</v>
      </c>
      <c r="D2215" t="s">
        <v>227</v>
      </c>
      <c r="E2215" t="s">
        <v>2652</v>
      </c>
      <c r="F2215" t="s">
        <v>35</v>
      </c>
      <c r="G2215" t="s">
        <v>35</v>
      </c>
      <c r="H2215" t="s">
        <v>35</v>
      </c>
      <c r="J2215" t="s">
        <v>2661</v>
      </c>
      <c r="K2215" t="s">
        <v>1092</v>
      </c>
      <c r="M2215">
        <v>0.45</v>
      </c>
      <c r="N2215">
        <v>202</v>
      </c>
      <c r="O2215" t="s">
        <v>5</v>
      </c>
      <c r="Q2215" t="s">
        <v>1299</v>
      </c>
      <c r="R2215" t="s">
        <v>2394</v>
      </c>
      <c r="S2215" t="s">
        <v>271</v>
      </c>
    </row>
    <row r="2216" spans="1:19" x14ac:dyDescent="0.25">
      <c r="A2216" t="s">
        <v>30</v>
      </c>
      <c r="B2216" t="s">
        <v>31</v>
      </c>
      <c r="C2216" t="s">
        <v>32</v>
      </c>
      <c r="D2216" t="s">
        <v>227</v>
      </c>
      <c r="E2216" t="s">
        <v>2652</v>
      </c>
      <c r="F2216" t="s">
        <v>35</v>
      </c>
      <c r="G2216" t="s">
        <v>35</v>
      </c>
      <c r="H2216" t="s">
        <v>35</v>
      </c>
      <c r="J2216" t="s">
        <v>2662</v>
      </c>
      <c r="K2216" t="s">
        <v>1092</v>
      </c>
      <c r="M2216">
        <v>11.115</v>
      </c>
      <c r="N2216">
        <v>32</v>
      </c>
      <c r="O2216" t="s">
        <v>52</v>
      </c>
      <c r="Q2216" t="s">
        <v>547</v>
      </c>
      <c r="R2216" t="s">
        <v>2444</v>
      </c>
      <c r="S2216" t="s">
        <v>2445</v>
      </c>
    </row>
    <row r="2217" spans="1:19" x14ac:dyDescent="0.25">
      <c r="A2217" t="s">
        <v>30</v>
      </c>
      <c r="B2217" t="s">
        <v>31</v>
      </c>
      <c r="C2217" t="s">
        <v>32</v>
      </c>
      <c r="D2217" t="s">
        <v>227</v>
      </c>
      <c r="E2217" t="s">
        <v>2652</v>
      </c>
      <c r="F2217" t="s">
        <v>35</v>
      </c>
      <c r="G2217" t="s">
        <v>35</v>
      </c>
      <c r="H2217" t="s">
        <v>35</v>
      </c>
      <c r="J2217" t="s">
        <v>2663</v>
      </c>
      <c r="K2217" t="s">
        <v>1092</v>
      </c>
      <c r="M2217">
        <v>0.67500000000000004</v>
      </c>
      <c r="N2217">
        <v>380</v>
      </c>
      <c r="O2217" t="s">
        <v>294</v>
      </c>
      <c r="Q2217" t="s">
        <v>2664</v>
      </c>
      <c r="R2217" t="s">
        <v>2444</v>
      </c>
      <c r="S2217" t="s">
        <v>2445</v>
      </c>
    </row>
    <row r="2218" spans="1:19" x14ac:dyDescent="0.25">
      <c r="A2218" t="s">
        <v>44</v>
      </c>
      <c r="B2218" t="s">
        <v>3</v>
      </c>
      <c r="C2218" t="s">
        <v>32</v>
      </c>
      <c r="D2218" t="s">
        <v>227</v>
      </c>
      <c r="E2218" t="s">
        <v>2652</v>
      </c>
      <c r="F2218" t="s">
        <v>35</v>
      </c>
      <c r="G2218" t="s">
        <v>35</v>
      </c>
      <c r="H2218" t="s">
        <v>35</v>
      </c>
      <c r="J2218" t="s">
        <v>2665</v>
      </c>
      <c r="K2218" t="s">
        <v>1092</v>
      </c>
      <c r="M2218">
        <v>0.25</v>
      </c>
      <c r="N2218">
        <v>40</v>
      </c>
      <c r="O2218" t="s">
        <v>52</v>
      </c>
      <c r="Q2218" t="s">
        <v>130</v>
      </c>
      <c r="R2218" t="s">
        <v>2394</v>
      </c>
      <c r="S2218" t="s">
        <v>271</v>
      </c>
    </row>
    <row r="2219" spans="1:19" x14ac:dyDescent="0.25">
      <c r="A2219" t="s">
        <v>59</v>
      </c>
      <c r="B2219" t="s">
        <v>31</v>
      </c>
      <c r="C2219" t="s">
        <v>32</v>
      </c>
      <c r="D2219" t="s">
        <v>227</v>
      </c>
      <c r="E2219" t="s">
        <v>2652</v>
      </c>
      <c r="F2219" t="s">
        <v>35</v>
      </c>
      <c r="G2219" t="s">
        <v>35</v>
      </c>
      <c r="H2219" t="s">
        <v>35</v>
      </c>
      <c r="J2219" t="s">
        <v>2666</v>
      </c>
      <c r="K2219" t="s">
        <v>1092</v>
      </c>
      <c r="M2219">
        <v>0.22500000000000001</v>
      </c>
      <c r="N2219">
        <v>2082</v>
      </c>
      <c r="O2219" t="s">
        <v>575</v>
      </c>
      <c r="Q2219" t="s">
        <v>2667</v>
      </c>
      <c r="R2219" t="s">
        <v>256</v>
      </c>
      <c r="S2219" t="s">
        <v>257</v>
      </c>
    </row>
    <row r="2220" spans="1:19" x14ac:dyDescent="0.25">
      <c r="A2220" t="s">
        <v>59</v>
      </c>
      <c r="B2220" t="s">
        <v>31</v>
      </c>
      <c r="C2220" t="s">
        <v>32</v>
      </c>
      <c r="D2220" t="s">
        <v>227</v>
      </c>
      <c r="E2220" t="s">
        <v>2652</v>
      </c>
      <c r="F2220" t="s">
        <v>35</v>
      </c>
      <c r="G2220" t="s">
        <v>35</v>
      </c>
      <c r="H2220" t="s">
        <v>35</v>
      </c>
      <c r="J2220" t="s">
        <v>2668</v>
      </c>
      <c r="K2220" t="s">
        <v>1092</v>
      </c>
      <c r="M2220">
        <v>6.6150000000000002</v>
      </c>
      <c r="N2220">
        <v>195</v>
      </c>
      <c r="O2220" t="s">
        <v>5</v>
      </c>
      <c r="Q2220" t="s">
        <v>2075</v>
      </c>
      <c r="R2220" t="s">
        <v>2387</v>
      </c>
      <c r="S2220" t="s">
        <v>277</v>
      </c>
    </row>
    <row r="2221" spans="1:19" x14ac:dyDescent="0.25">
      <c r="A2221" t="s">
        <v>30</v>
      </c>
      <c r="B2221" t="s">
        <v>31</v>
      </c>
      <c r="C2221" t="s">
        <v>32</v>
      </c>
      <c r="D2221" t="s">
        <v>227</v>
      </c>
      <c r="E2221" t="s">
        <v>2652</v>
      </c>
      <c r="F2221" t="s">
        <v>35</v>
      </c>
      <c r="G2221" t="s">
        <v>35</v>
      </c>
      <c r="H2221" t="s">
        <v>35</v>
      </c>
      <c r="J2221" t="s">
        <v>2669</v>
      </c>
      <c r="K2221" t="s">
        <v>1092</v>
      </c>
      <c r="M2221">
        <v>0.13500000000000001</v>
      </c>
      <c r="N2221">
        <v>380</v>
      </c>
      <c r="O2221" t="s">
        <v>294</v>
      </c>
      <c r="Q2221" t="s">
        <v>2664</v>
      </c>
      <c r="R2221" t="s">
        <v>2444</v>
      </c>
      <c r="S2221" t="s">
        <v>2445</v>
      </c>
    </row>
    <row r="2222" spans="1:19" x14ac:dyDescent="0.25">
      <c r="A2222" t="s">
        <v>30</v>
      </c>
      <c r="B2222" t="s">
        <v>31</v>
      </c>
      <c r="C2222" t="s">
        <v>32</v>
      </c>
      <c r="D2222" t="s">
        <v>227</v>
      </c>
      <c r="E2222" t="s">
        <v>2652</v>
      </c>
      <c r="F2222" t="s">
        <v>35</v>
      </c>
      <c r="G2222" t="s">
        <v>35</v>
      </c>
      <c r="H2222" t="s">
        <v>35</v>
      </c>
      <c r="J2222" t="s">
        <v>2669</v>
      </c>
      <c r="K2222" t="s">
        <v>1092</v>
      </c>
      <c r="M2222">
        <v>10.98</v>
      </c>
      <c r="N2222">
        <v>32</v>
      </c>
      <c r="O2222" t="s">
        <v>52</v>
      </c>
      <c r="Q2222" t="s">
        <v>547</v>
      </c>
      <c r="R2222" t="s">
        <v>2444</v>
      </c>
      <c r="S2222" t="s">
        <v>2445</v>
      </c>
    </row>
    <row r="2223" spans="1:19" x14ac:dyDescent="0.25">
      <c r="A2223" t="s">
        <v>44</v>
      </c>
      <c r="B2223" t="s">
        <v>3</v>
      </c>
      <c r="C2223" t="s">
        <v>32</v>
      </c>
      <c r="D2223" t="s">
        <v>227</v>
      </c>
      <c r="E2223" t="s">
        <v>2652</v>
      </c>
      <c r="F2223" t="s">
        <v>35</v>
      </c>
      <c r="G2223" t="s">
        <v>35</v>
      </c>
      <c r="H2223" t="s">
        <v>35</v>
      </c>
      <c r="J2223" t="s">
        <v>2670</v>
      </c>
      <c r="K2223" t="s">
        <v>1092</v>
      </c>
      <c r="M2223">
        <v>0.75</v>
      </c>
      <c r="N2223">
        <v>40</v>
      </c>
      <c r="O2223" t="s">
        <v>52</v>
      </c>
      <c r="Q2223" t="s">
        <v>130</v>
      </c>
      <c r="R2223" t="s">
        <v>2394</v>
      </c>
      <c r="S2223" t="s">
        <v>271</v>
      </c>
    </row>
    <row r="2224" spans="1:19" x14ac:dyDescent="0.25">
      <c r="A2224" t="s">
        <v>30</v>
      </c>
      <c r="B2224" t="s">
        <v>31</v>
      </c>
      <c r="C2224" t="s">
        <v>32</v>
      </c>
      <c r="D2224" t="s">
        <v>227</v>
      </c>
      <c r="E2224" t="s">
        <v>2652</v>
      </c>
      <c r="F2224" t="s">
        <v>35</v>
      </c>
      <c r="G2224" t="s">
        <v>35</v>
      </c>
      <c r="H2224" t="s">
        <v>35</v>
      </c>
      <c r="J2224" t="s">
        <v>2671</v>
      </c>
      <c r="K2224" t="s">
        <v>1092</v>
      </c>
      <c r="M2224">
        <v>0.67500000000000004</v>
      </c>
      <c r="N2224">
        <v>380</v>
      </c>
      <c r="O2224" t="s">
        <v>294</v>
      </c>
      <c r="Q2224" t="s">
        <v>2664</v>
      </c>
      <c r="R2224" t="s">
        <v>2444</v>
      </c>
      <c r="S2224" t="s">
        <v>2445</v>
      </c>
    </row>
    <row r="2225" spans="1:19" x14ac:dyDescent="0.25">
      <c r="A2225" t="s">
        <v>30</v>
      </c>
      <c r="B2225" t="s">
        <v>31</v>
      </c>
      <c r="C2225" t="s">
        <v>32</v>
      </c>
      <c r="D2225" t="s">
        <v>227</v>
      </c>
      <c r="E2225" t="s">
        <v>2652</v>
      </c>
      <c r="F2225" t="s">
        <v>35</v>
      </c>
      <c r="G2225" t="s">
        <v>35</v>
      </c>
      <c r="H2225" t="s">
        <v>35</v>
      </c>
      <c r="J2225" t="s">
        <v>2671</v>
      </c>
      <c r="K2225" t="s">
        <v>1092</v>
      </c>
      <c r="M2225">
        <v>10.98</v>
      </c>
      <c r="N2225">
        <v>9</v>
      </c>
      <c r="O2225" t="s">
        <v>46</v>
      </c>
      <c r="Q2225" t="s">
        <v>2009</v>
      </c>
      <c r="R2225" t="s">
        <v>2444</v>
      </c>
      <c r="S2225" t="s">
        <v>2445</v>
      </c>
    </row>
    <row r="2226" spans="1:19" x14ac:dyDescent="0.25">
      <c r="A2226" t="s">
        <v>59</v>
      </c>
      <c r="B2226" t="s">
        <v>60</v>
      </c>
      <c r="C2226" t="s">
        <v>32</v>
      </c>
      <c r="D2226" t="s">
        <v>227</v>
      </c>
      <c r="E2226" t="s">
        <v>2652</v>
      </c>
      <c r="F2226" t="s">
        <v>35</v>
      </c>
      <c r="G2226" t="s">
        <v>35</v>
      </c>
      <c r="H2226" t="s">
        <v>35</v>
      </c>
      <c r="J2226" t="s">
        <v>2661</v>
      </c>
      <c r="K2226" t="s">
        <v>1092</v>
      </c>
      <c r="M2226">
        <v>1.5</v>
      </c>
      <c r="N2226">
        <v>1615</v>
      </c>
      <c r="O2226" t="s">
        <v>575</v>
      </c>
      <c r="Q2226" t="s">
        <v>2674</v>
      </c>
      <c r="R2226" t="s">
        <v>2387</v>
      </c>
      <c r="S2226" t="s">
        <v>277</v>
      </c>
    </row>
    <row r="2227" spans="1:19" x14ac:dyDescent="0.25">
      <c r="A2227" t="s">
        <v>30</v>
      </c>
      <c r="B2227" t="s">
        <v>31</v>
      </c>
      <c r="C2227" t="s">
        <v>32</v>
      </c>
      <c r="D2227" t="s">
        <v>227</v>
      </c>
      <c r="E2227" t="s">
        <v>2652</v>
      </c>
      <c r="F2227" t="s">
        <v>35</v>
      </c>
      <c r="G2227" t="s">
        <v>35</v>
      </c>
      <c r="H2227" t="s">
        <v>35</v>
      </c>
      <c r="J2227" t="s">
        <v>2661</v>
      </c>
      <c r="K2227" t="s">
        <v>1092</v>
      </c>
      <c r="M2227">
        <v>0.45</v>
      </c>
      <c r="N2227">
        <v>2035</v>
      </c>
      <c r="O2227" t="s">
        <v>575</v>
      </c>
      <c r="Q2227" t="s">
        <v>2673</v>
      </c>
      <c r="R2227" t="s">
        <v>256</v>
      </c>
      <c r="S2227" t="s">
        <v>257</v>
      </c>
    </row>
    <row r="2228" spans="1:19" x14ac:dyDescent="0.25">
      <c r="A2228" t="s">
        <v>30</v>
      </c>
      <c r="B2228" t="s">
        <v>31</v>
      </c>
      <c r="C2228" t="s">
        <v>32</v>
      </c>
      <c r="D2228" t="s">
        <v>227</v>
      </c>
      <c r="E2228" t="s">
        <v>2652</v>
      </c>
      <c r="F2228" t="s">
        <v>35</v>
      </c>
      <c r="G2228" t="s">
        <v>35</v>
      </c>
      <c r="H2228" t="s">
        <v>35</v>
      </c>
      <c r="J2228" t="s">
        <v>2661</v>
      </c>
      <c r="K2228" t="s">
        <v>1092</v>
      </c>
      <c r="M2228">
        <v>2.25</v>
      </c>
      <c r="N2228">
        <v>1571</v>
      </c>
      <c r="O2228" t="s">
        <v>575</v>
      </c>
      <c r="Q2228" t="s">
        <v>2672</v>
      </c>
      <c r="R2228" t="s">
        <v>2387</v>
      </c>
      <c r="S2228" t="s">
        <v>277</v>
      </c>
    </row>
    <row r="2229" spans="1:19" x14ac:dyDescent="0.25">
      <c r="A2229" t="s">
        <v>30</v>
      </c>
      <c r="B2229" t="s">
        <v>31</v>
      </c>
      <c r="C2229" t="s">
        <v>32</v>
      </c>
      <c r="D2229" t="s">
        <v>227</v>
      </c>
      <c r="E2229" t="s">
        <v>2675</v>
      </c>
      <c r="F2229" t="s">
        <v>35</v>
      </c>
      <c r="G2229" t="s">
        <v>35</v>
      </c>
      <c r="H2229" t="s">
        <v>35</v>
      </c>
      <c r="J2229" t="s">
        <v>2676</v>
      </c>
      <c r="K2229" t="s">
        <v>1092</v>
      </c>
      <c r="M2229">
        <v>1.08</v>
      </c>
      <c r="N2229">
        <v>48</v>
      </c>
      <c r="O2229" t="s">
        <v>52</v>
      </c>
      <c r="Q2229" t="s">
        <v>496</v>
      </c>
      <c r="R2229" t="s">
        <v>250</v>
      </c>
      <c r="S2229" t="s">
        <v>242</v>
      </c>
    </row>
    <row r="2230" spans="1:19" x14ac:dyDescent="0.25">
      <c r="A2230" t="s">
        <v>44</v>
      </c>
      <c r="B2230" t="s">
        <v>3</v>
      </c>
      <c r="C2230" t="s">
        <v>32</v>
      </c>
      <c r="D2230" t="s">
        <v>227</v>
      </c>
      <c r="E2230" t="s">
        <v>2675</v>
      </c>
      <c r="F2230" t="s">
        <v>35</v>
      </c>
      <c r="G2230" t="s">
        <v>35</v>
      </c>
      <c r="H2230" t="s">
        <v>35</v>
      </c>
      <c r="J2230" t="s">
        <v>2677</v>
      </c>
      <c r="K2230" t="s">
        <v>1092</v>
      </c>
      <c r="M2230">
        <v>4</v>
      </c>
      <c r="N2230">
        <v>67</v>
      </c>
      <c r="O2230" t="s">
        <v>61</v>
      </c>
      <c r="Q2230" t="s">
        <v>1311</v>
      </c>
      <c r="R2230" t="s">
        <v>256</v>
      </c>
      <c r="S2230" t="s">
        <v>257</v>
      </c>
    </row>
    <row r="2231" spans="1:19" x14ac:dyDescent="0.25">
      <c r="A2231" t="s">
        <v>30</v>
      </c>
      <c r="B2231" t="s">
        <v>31</v>
      </c>
      <c r="C2231" t="s">
        <v>32</v>
      </c>
      <c r="D2231" t="s">
        <v>227</v>
      </c>
      <c r="E2231" t="s">
        <v>2675</v>
      </c>
      <c r="F2231" t="s">
        <v>35</v>
      </c>
      <c r="G2231" t="s">
        <v>35</v>
      </c>
      <c r="H2231" t="s">
        <v>35</v>
      </c>
      <c r="J2231" t="s">
        <v>2678</v>
      </c>
      <c r="K2231" t="s">
        <v>1092</v>
      </c>
      <c r="M2231">
        <v>0.85499999999999998</v>
      </c>
      <c r="N2231">
        <v>147</v>
      </c>
      <c r="O2231" t="s">
        <v>38</v>
      </c>
      <c r="Q2231" t="s">
        <v>1229</v>
      </c>
      <c r="R2231" t="s">
        <v>2387</v>
      </c>
      <c r="S2231" t="s">
        <v>277</v>
      </c>
    </row>
    <row r="2232" spans="1:19" x14ac:dyDescent="0.25">
      <c r="A2232" t="s">
        <v>59</v>
      </c>
      <c r="B2232" t="s">
        <v>60</v>
      </c>
      <c r="C2232" t="s">
        <v>32</v>
      </c>
      <c r="D2232" t="s">
        <v>227</v>
      </c>
      <c r="E2232" t="s">
        <v>2675</v>
      </c>
      <c r="F2232" t="s">
        <v>35</v>
      </c>
      <c r="G2232" t="s">
        <v>35</v>
      </c>
      <c r="H2232" t="s">
        <v>35</v>
      </c>
      <c r="J2232" t="s">
        <v>2678</v>
      </c>
      <c r="K2232" t="s">
        <v>1092</v>
      </c>
      <c r="M2232">
        <v>5.5</v>
      </c>
      <c r="N2232">
        <v>33</v>
      </c>
      <c r="O2232" t="s">
        <v>52</v>
      </c>
      <c r="Q2232" t="s">
        <v>137</v>
      </c>
      <c r="R2232" t="s">
        <v>250</v>
      </c>
      <c r="S2232" t="s">
        <v>242</v>
      </c>
    </row>
    <row r="2233" spans="1:19" x14ac:dyDescent="0.25">
      <c r="A2233" t="s">
        <v>59</v>
      </c>
      <c r="B2233" t="s">
        <v>60</v>
      </c>
      <c r="C2233" t="s">
        <v>32</v>
      </c>
      <c r="D2233" t="s">
        <v>227</v>
      </c>
      <c r="E2233" t="s">
        <v>2675</v>
      </c>
      <c r="F2233" t="s">
        <v>35</v>
      </c>
      <c r="G2233" t="s">
        <v>35</v>
      </c>
      <c r="H2233" t="s">
        <v>35</v>
      </c>
      <c r="J2233" t="s">
        <v>2678</v>
      </c>
      <c r="K2233" t="s">
        <v>1092</v>
      </c>
      <c r="M2233">
        <v>2.5</v>
      </c>
      <c r="N2233">
        <v>20</v>
      </c>
      <c r="O2233" t="s">
        <v>46</v>
      </c>
      <c r="Q2233" t="s">
        <v>1004</v>
      </c>
      <c r="R2233" t="s">
        <v>250</v>
      </c>
      <c r="S2233" t="s">
        <v>242</v>
      </c>
    </row>
    <row r="2234" spans="1:19" x14ac:dyDescent="0.25">
      <c r="A2234" t="s">
        <v>59</v>
      </c>
      <c r="B2234" t="s">
        <v>60</v>
      </c>
      <c r="C2234" t="s">
        <v>32</v>
      </c>
      <c r="D2234" t="s">
        <v>227</v>
      </c>
      <c r="E2234" t="s">
        <v>2675</v>
      </c>
      <c r="F2234" t="s">
        <v>35</v>
      </c>
      <c r="G2234" t="s">
        <v>35</v>
      </c>
      <c r="H2234" t="s">
        <v>35</v>
      </c>
      <c r="J2234" t="s">
        <v>2678</v>
      </c>
      <c r="K2234" t="s">
        <v>1092</v>
      </c>
      <c r="M2234">
        <v>5.5</v>
      </c>
      <c r="N2234">
        <v>89</v>
      </c>
      <c r="O2234" t="s">
        <v>61</v>
      </c>
      <c r="Q2234" t="s">
        <v>299</v>
      </c>
      <c r="R2234" t="s">
        <v>250</v>
      </c>
      <c r="S2234" t="s">
        <v>242</v>
      </c>
    </row>
    <row r="2235" spans="1:19" x14ac:dyDescent="0.25">
      <c r="A2235" t="s">
        <v>59</v>
      </c>
      <c r="B2235" t="s">
        <v>60</v>
      </c>
      <c r="C2235" t="s">
        <v>32</v>
      </c>
      <c r="D2235" t="s">
        <v>227</v>
      </c>
      <c r="E2235" t="s">
        <v>2675</v>
      </c>
      <c r="F2235" t="s">
        <v>35</v>
      </c>
      <c r="G2235" t="s">
        <v>35</v>
      </c>
      <c r="H2235" t="s">
        <v>35</v>
      </c>
      <c r="J2235" t="s">
        <v>2679</v>
      </c>
      <c r="K2235" t="s">
        <v>1092</v>
      </c>
      <c r="M2235">
        <v>2.8</v>
      </c>
      <c r="N2235">
        <v>133</v>
      </c>
      <c r="O2235" t="s">
        <v>38</v>
      </c>
      <c r="Q2235" t="s">
        <v>68</v>
      </c>
      <c r="R2235" t="s">
        <v>256</v>
      </c>
      <c r="S2235" t="s">
        <v>257</v>
      </c>
    </row>
    <row r="2236" spans="1:19" x14ac:dyDescent="0.25">
      <c r="A2236" t="s">
        <v>44</v>
      </c>
      <c r="B2236" t="s">
        <v>3</v>
      </c>
      <c r="C2236" t="s">
        <v>32</v>
      </c>
      <c r="D2236" t="s">
        <v>227</v>
      </c>
      <c r="E2236" t="s">
        <v>2675</v>
      </c>
      <c r="F2236" t="s">
        <v>35</v>
      </c>
      <c r="G2236" t="s">
        <v>35</v>
      </c>
      <c r="H2236" t="s">
        <v>35</v>
      </c>
      <c r="J2236" t="s">
        <v>2680</v>
      </c>
      <c r="K2236" t="s">
        <v>1092</v>
      </c>
      <c r="M2236">
        <v>0.25</v>
      </c>
      <c r="N2236">
        <v>58</v>
      </c>
      <c r="O2236" t="s">
        <v>52</v>
      </c>
      <c r="Q2236" t="s">
        <v>58</v>
      </c>
      <c r="R2236" t="s">
        <v>2387</v>
      </c>
      <c r="S2236" t="s">
        <v>277</v>
      </c>
    </row>
    <row r="2237" spans="1:19" x14ac:dyDescent="0.25">
      <c r="A2237" t="s">
        <v>59</v>
      </c>
      <c r="B2237" t="s">
        <v>60</v>
      </c>
      <c r="C2237" t="s">
        <v>32</v>
      </c>
      <c r="D2237" t="s">
        <v>227</v>
      </c>
      <c r="E2237" t="s">
        <v>2675</v>
      </c>
      <c r="F2237" t="s">
        <v>35</v>
      </c>
      <c r="G2237" t="s">
        <v>35</v>
      </c>
      <c r="H2237" t="s">
        <v>35</v>
      </c>
      <c r="J2237" t="s">
        <v>2680</v>
      </c>
      <c r="K2237" t="s">
        <v>1092</v>
      </c>
      <c r="M2237">
        <v>0.5</v>
      </c>
      <c r="N2237">
        <v>58</v>
      </c>
      <c r="O2237" t="s">
        <v>52</v>
      </c>
      <c r="Q2237" t="s">
        <v>58</v>
      </c>
      <c r="R2237" t="s">
        <v>2387</v>
      </c>
      <c r="S2237" t="s">
        <v>277</v>
      </c>
    </row>
    <row r="2238" spans="1:19" x14ac:dyDescent="0.25">
      <c r="A2238" t="s">
        <v>59</v>
      </c>
      <c r="B2238" t="s">
        <v>60</v>
      </c>
      <c r="C2238" t="s">
        <v>32</v>
      </c>
      <c r="D2238" t="s">
        <v>227</v>
      </c>
      <c r="E2238" t="s">
        <v>2675</v>
      </c>
      <c r="F2238" t="s">
        <v>35</v>
      </c>
      <c r="G2238" t="s">
        <v>35</v>
      </c>
      <c r="H2238" t="s">
        <v>35</v>
      </c>
      <c r="J2238" t="s">
        <v>2681</v>
      </c>
      <c r="K2238" t="s">
        <v>1092</v>
      </c>
      <c r="M2238">
        <v>1.25</v>
      </c>
      <c r="N2238">
        <v>33</v>
      </c>
      <c r="O2238" t="s">
        <v>52</v>
      </c>
      <c r="Q2238" t="s">
        <v>137</v>
      </c>
      <c r="R2238" t="s">
        <v>2602</v>
      </c>
      <c r="S2238" t="s">
        <v>297</v>
      </c>
    </row>
    <row r="2239" spans="1:19" x14ac:dyDescent="0.25">
      <c r="A2239" t="s">
        <v>30</v>
      </c>
      <c r="B2239" t="s">
        <v>31</v>
      </c>
      <c r="C2239" t="s">
        <v>32</v>
      </c>
      <c r="D2239" t="s">
        <v>227</v>
      </c>
      <c r="E2239" t="s">
        <v>2675</v>
      </c>
      <c r="F2239" t="s">
        <v>35</v>
      </c>
      <c r="G2239" t="s">
        <v>35</v>
      </c>
      <c r="H2239" t="s">
        <v>35</v>
      </c>
      <c r="J2239" t="s">
        <v>2681</v>
      </c>
      <c r="K2239" t="s">
        <v>1092</v>
      </c>
      <c r="M2239">
        <v>11.43</v>
      </c>
      <c r="N2239">
        <v>72</v>
      </c>
      <c r="O2239" t="s">
        <v>61</v>
      </c>
      <c r="Q2239" t="s">
        <v>63</v>
      </c>
      <c r="R2239" t="s">
        <v>2387</v>
      </c>
      <c r="S2239" t="s">
        <v>277</v>
      </c>
    </row>
    <row r="2240" spans="1:19" x14ac:dyDescent="0.25">
      <c r="A2240" t="s">
        <v>59</v>
      </c>
      <c r="B2240" t="s">
        <v>60</v>
      </c>
      <c r="C2240" t="s">
        <v>32</v>
      </c>
      <c r="D2240" t="s">
        <v>227</v>
      </c>
      <c r="E2240" t="s">
        <v>2675</v>
      </c>
      <c r="F2240" t="s">
        <v>35</v>
      </c>
      <c r="G2240" t="s">
        <v>35</v>
      </c>
      <c r="H2240" t="s">
        <v>35</v>
      </c>
      <c r="J2240" t="s">
        <v>2682</v>
      </c>
      <c r="K2240" t="s">
        <v>1092</v>
      </c>
      <c r="M2240">
        <v>0.1</v>
      </c>
      <c r="N2240">
        <v>139</v>
      </c>
      <c r="O2240" t="s">
        <v>38</v>
      </c>
      <c r="Q2240" t="s">
        <v>1696</v>
      </c>
      <c r="R2240" t="s">
        <v>2387</v>
      </c>
      <c r="S2240" t="s">
        <v>277</v>
      </c>
    </row>
    <row r="2241" spans="1:19" x14ac:dyDescent="0.25">
      <c r="A2241" t="s">
        <v>59</v>
      </c>
      <c r="B2241" t="s">
        <v>60</v>
      </c>
      <c r="C2241" t="s">
        <v>32</v>
      </c>
      <c r="D2241" t="s">
        <v>227</v>
      </c>
      <c r="E2241" t="s">
        <v>2675</v>
      </c>
      <c r="F2241" t="s">
        <v>35</v>
      </c>
      <c r="G2241" t="s">
        <v>35</v>
      </c>
      <c r="H2241" t="s">
        <v>35</v>
      </c>
      <c r="J2241" t="s">
        <v>2682</v>
      </c>
      <c r="K2241" t="s">
        <v>1092</v>
      </c>
      <c r="M2241">
        <v>0.02</v>
      </c>
      <c r="N2241">
        <v>221</v>
      </c>
      <c r="O2241" t="s">
        <v>5</v>
      </c>
      <c r="Q2241" t="s">
        <v>79</v>
      </c>
      <c r="R2241" t="s">
        <v>2387</v>
      </c>
      <c r="S2241" t="s">
        <v>277</v>
      </c>
    </row>
    <row r="2242" spans="1:19" x14ac:dyDescent="0.25">
      <c r="A2242" t="s">
        <v>59</v>
      </c>
      <c r="B2242" t="s">
        <v>60</v>
      </c>
      <c r="C2242" t="s">
        <v>32</v>
      </c>
      <c r="D2242" t="s">
        <v>227</v>
      </c>
      <c r="E2242" t="s">
        <v>2675</v>
      </c>
      <c r="F2242" t="s">
        <v>35</v>
      </c>
      <c r="G2242" t="s">
        <v>35</v>
      </c>
      <c r="H2242" t="s">
        <v>35</v>
      </c>
      <c r="J2242" t="s">
        <v>2683</v>
      </c>
      <c r="K2242" t="s">
        <v>1092</v>
      </c>
      <c r="M2242">
        <v>3.15</v>
      </c>
      <c r="N2242">
        <v>89</v>
      </c>
      <c r="O2242" t="s">
        <v>61</v>
      </c>
      <c r="Q2242" t="s">
        <v>299</v>
      </c>
      <c r="R2242" t="s">
        <v>250</v>
      </c>
      <c r="S2242" t="s">
        <v>242</v>
      </c>
    </row>
    <row r="2243" spans="1:19" x14ac:dyDescent="0.25">
      <c r="A2243" t="s">
        <v>44</v>
      </c>
      <c r="B2243" t="s">
        <v>3</v>
      </c>
      <c r="C2243" t="s">
        <v>32</v>
      </c>
      <c r="D2243" t="s">
        <v>227</v>
      </c>
      <c r="E2243" t="s">
        <v>2675</v>
      </c>
      <c r="F2243" t="s">
        <v>35</v>
      </c>
      <c r="G2243" t="s">
        <v>35</v>
      </c>
      <c r="H2243" t="s">
        <v>35</v>
      </c>
      <c r="J2243" t="s">
        <v>2683</v>
      </c>
      <c r="K2243" t="s">
        <v>1092</v>
      </c>
      <c r="M2243">
        <v>4.1500000000000004</v>
      </c>
      <c r="N2243">
        <v>67</v>
      </c>
      <c r="O2243" t="s">
        <v>61</v>
      </c>
      <c r="Q2243" t="s">
        <v>1311</v>
      </c>
      <c r="R2243" t="s">
        <v>256</v>
      </c>
      <c r="S2243" t="s">
        <v>257</v>
      </c>
    </row>
    <row r="2244" spans="1:19" x14ac:dyDescent="0.25">
      <c r="A2244" t="s">
        <v>59</v>
      </c>
      <c r="B2244" t="s">
        <v>31</v>
      </c>
      <c r="C2244" t="s">
        <v>32</v>
      </c>
      <c r="D2244" t="s">
        <v>227</v>
      </c>
      <c r="E2244" t="s">
        <v>2675</v>
      </c>
      <c r="F2244" t="s">
        <v>35</v>
      </c>
      <c r="G2244" t="s">
        <v>35</v>
      </c>
      <c r="H2244" t="s">
        <v>35</v>
      </c>
      <c r="J2244" t="s">
        <v>2684</v>
      </c>
      <c r="K2244" t="s">
        <v>1092</v>
      </c>
      <c r="M2244">
        <v>0.59499999999999997</v>
      </c>
      <c r="N2244">
        <v>95</v>
      </c>
      <c r="O2244" t="s">
        <v>106</v>
      </c>
      <c r="Q2244" t="s">
        <v>724</v>
      </c>
      <c r="R2244" t="s">
        <v>250</v>
      </c>
      <c r="S2244" t="s">
        <v>242</v>
      </c>
    </row>
    <row r="2245" spans="1:19" x14ac:dyDescent="0.25">
      <c r="A2245" t="s">
        <v>59</v>
      </c>
      <c r="B2245" t="s">
        <v>60</v>
      </c>
      <c r="C2245" t="s">
        <v>32</v>
      </c>
      <c r="D2245" t="s">
        <v>227</v>
      </c>
      <c r="E2245" t="s">
        <v>2675</v>
      </c>
      <c r="F2245" t="s">
        <v>35</v>
      </c>
      <c r="G2245" t="s">
        <v>35</v>
      </c>
      <c r="H2245" t="s">
        <v>35</v>
      </c>
      <c r="J2245" t="s">
        <v>2685</v>
      </c>
      <c r="K2245" t="s">
        <v>1092</v>
      </c>
      <c r="M2245">
        <v>0.2</v>
      </c>
      <c r="N2245">
        <v>138</v>
      </c>
      <c r="O2245" t="s">
        <v>38</v>
      </c>
      <c r="Q2245" t="s">
        <v>542</v>
      </c>
      <c r="R2245" t="s">
        <v>2387</v>
      </c>
      <c r="S2245" t="s">
        <v>277</v>
      </c>
    </row>
    <row r="2246" spans="1:19" x14ac:dyDescent="0.25">
      <c r="A2246" t="s">
        <v>59</v>
      </c>
      <c r="B2246" t="s">
        <v>60</v>
      </c>
      <c r="C2246" t="s">
        <v>32</v>
      </c>
      <c r="D2246" t="s">
        <v>227</v>
      </c>
      <c r="E2246" t="s">
        <v>2675</v>
      </c>
      <c r="F2246" t="s">
        <v>35</v>
      </c>
      <c r="G2246" t="s">
        <v>35</v>
      </c>
      <c r="H2246" t="s">
        <v>35</v>
      </c>
      <c r="J2246" t="s">
        <v>2686</v>
      </c>
      <c r="K2246" t="s">
        <v>1092</v>
      </c>
      <c r="M2246">
        <v>0.5</v>
      </c>
      <c r="N2246">
        <v>29</v>
      </c>
      <c r="O2246" t="s">
        <v>46</v>
      </c>
      <c r="Q2246" t="s">
        <v>1645</v>
      </c>
      <c r="R2246" t="s">
        <v>2387</v>
      </c>
      <c r="S2246" t="s">
        <v>277</v>
      </c>
    </row>
    <row r="2247" spans="1:19" x14ac:dyDescent="0.25">
      <c r="A2247" t="s">
        <v>59</v>
      </c>
      <c r="B2247" t="s">
        <v>60</v>
      </c>
      <c r="C2247" t="s">
        <v>32</v>
      </c>
      <c r="D2247" t="s">
        <v>227</v>
      </c>
      <c r="E2247" t="s">
        <v>2675</v>
      </c>
      <c r="F2247" t="s">
        <v>35</v>
      </c>
      <c r="G2247" t="s">
        <v>35</v>
      </c>
      <c r="H2247" t="s">
        <v>35</v>
      </c>
      <c r="J2247" t="s">
        <v>2687</v>
      </c>
      <c r="K2247" t="s">
        <v>1092</v>
      </c>
      <c r="M2247">
        <v>0.05</v>
      </c>
      <c r="N2247">
        <v>109</v>
      </c>
      <c r="O2247" t="s">
        <v>106</v>
      </c>
      <c r="Q2247" t="s">
        <v>2624</v>
      </c>
      <c r="R2247" t="s">
        <v>250</v>
      </c>
      <c r="S2247" t="s">
        <v>242</v>
      </c>
    </row>
    <row r="2248" spans="1:19" x14ac:dyDescent="0.25">
      <c r="A2248" t="s">
        <v>59</v>
      </c>
      <c r="B2248" t="s">
        <v>60</v>
      </c>
      <c r="C2248" t="s">
        <v>32</v>
      </c>
      <c r="D2248" t="s">
        <v>227</v>
      </c>
      <c r="E2248" t="s">
        <v>2675</v>
      </c>
      <c r="F2248" t="s">
        <v>35</v>
      </c>
      <c r="G2248" t="s">
        <v>35</v>
      </c>
      <c r="H2248" t="s">
        <v>35</v>
      </c>
      <c r="J2248" t="s">
        <v>2688</v>
      </c>
      <c r="K2248" t="s">
        <v>1092</v>
      </c>
      <c r="M2248">
        <v>0.05</v>
      </c>
      <c r="N2248">
        <v>343</v>
      </c>
      <c r="O2248" t="s">
        <v>5</v>
      </c>
      <c r="Q2248" t="s">
        <v>2689</v>
      </c>
      <c r="R2248" t="s">
        <v>2690</v>
      </c>
      <c r="S2248" t="s">
        <v>252</v>
      </c>
    </row>
    <row r="2249" spans="1:19" x14ac:dyDescent="0.25">
      <c r="A2249" t="s">
        <v>59</v>
      </c>
      <c r="B2249" t="s">
        <v>60</v>
      </c>
      <c r="C2249" t="s">
        <v>32</v>
      </c>
      <c r="D2249" t="s">
        <v>227</v>
      </c>
      <c r="E2249" t="s">
        <v>2675</v>
      </c>
      <c r="F2249" t="s">
        <v>35</v>
      </c>
      <c r="G2249" t="s">
        <v>35</v>
      </c>
      <c r="H2249" t="s">
        <v>35</v>
      </c>
      <c r="J2249" t="s">
        <v>2691</v>
      </c>
      <c r="K2249" t="s">
        <v>1092</v>
      </c>
      <c r="M2249">
        <v>0.5</v>
      </c>
      <c r="N2249">
        <v>125</v>
      </c>
      <c r="O2249" t="s">
        <v>38</v>
      </c>
      <c r="Q2249" t="s">
        <v>1954</v>
      </c>
      <c r="R2249" t="s">
        <v>2387</v>
      </c>
      <c r="S2249" t="s">
        <v>277</v>
      </c>
    </row>
    <row r="2250" spans="1:19" x14ac:dyDescent="0.25">
      <c r="A2250" t="s">
        <v>59</v>
      </c>
      <c r="B2250" t="s">
        <v>60</v>
      </c>
      <c r="C2250" t="s">
        <v>32</v>
      </c>
      <c r="D2250" t="s">
        <v>227</v>
      </c>
      <c r="E2250" t="s">
        <v>2675</v>
      </c>
      <c r="F2250" t="s">
        <v>35</v>
      </c>
      <c r="G2250" t="s">
        <v>35</v>
      </c>
      <c r="H2250" t="s">
        <v>35</v>
      </c>
      <c r="J2250" t="s">
        <v>2426</v>
      </c>
      <c r="K2250" t="s">
        <v>1092</v>
      </c>
      <c r="M2250">
        <v>0.45</v>
      </c>
      <c r="N2250">
        <v>283</v>
      </c>
      <c r="O2250" t="s">
        <v>5</v>
      </c>
      <c r="Q2250" t="s">
        <v>1771</v>
      </c>
      <c r="R2250" t="s">
        <v>2690</v>
      </c>
      <c r="S2250" t="s">
        <v>252</v>
      </c>
    </row>
    <row r="2251" spans="1:19" x14ac:dyDescent="0.25">
      <c r="A2251" t="s">
        <v>30</v>
      </c>
      <c r="B2251" t="s">
        <v>31</v>
      </c>
      <c r="C2251" t="s">
        <v>32</v>
      </c>
      <c r="D2251" t="s">
        <v>227</v>
      </c>
      <c r="E2251" t="s">
        <v>2675</v>
      </c>
      <c r="F2251" t="s">
        <v>35</v>
      </c>
      <c r="G2251" t="s">
        <v>35</v>
      </c>
      <c r="H2251" t="s">
        <v>35</v>
      </c>
      <c r="J2251" t="s">
        <v>2426</v>
      </c>
      <c r="K2251" t="s">
        <v>1092</v>
      </c>
      <c r="M2251">
        <v>1.155</v>
      </c>
      <c r="N2251">
        <v>61</v>
      </c>
      <c r="O2251" t="s">
        <v>61</v>
      </c>
      <c r="Q2251" t="s">
        <v>671</v>
      </c>
      <c r="R2251" t="s">
        <v>250</v>
      </c>
      <c r="S2251" t="s">
        <v>242</v>
      </c>
    </row>
    <row r="2252" spans="1:19" x14ac:dyDescent="0.25">
      <c r="A2252" t="s">
        <v>59</v>
      </c>
      <c r="B2252" t="s">
        <v>60</v>
      </c>
      <c r="C2252" t="s">
        <v>32</v>
      </c>
      <c r="D2252" t="s">
        <v>227</v>
      </c>
      <c r="E2252" t="s">
        <v>2675</v>
      </c>
      <c r="F2252" t="s">
        <v>35</v>
      </c>
      <c r="G2252" t="s">
        <v>35</v>
      </c>
      <c r="H2252" t="s">
        <v>35</v>
      </c>
      <c r="J2252" t="s">
        <v>2692</v>
      </c>
      <c r="K2252" t="s">
        <v>1092</v>
      </c>
      <c r="M2252">
        <v>0.9</v>
      </c>
      <c r="N2252">
        <v>43</v>
      </c>
      <c r="O2252" t="s">
        <v>52</v>
      </c>
      <c r="Q2252" t="s">
        <v>892</v>
      </c>
      <c r="R2252" t="s">
        <v>2690</v>
      </c>
      <c r="S2252" t="s">
        <v>252</v>
      </c>
    </row>
    <row r="2253" spans="1:19" x14ac:dyDescent="0.25">
      <c r="A2253" t="s">
        <v>59</v>
      </c>
      <c r="B2253" t="s">
        <v>60</v>
      </c>
      <c r="C2253" t="s">
        <v>32</v>
      </c>
      <c r="D2253" t="s">
        <v>227</v>
      </c>
      <c r="E2253" t="s">
        <v>2675</v>
      </c>
      <c r="F2253" t="s">
        <v>35</v>
      </c>
      <c r="G2253" t="s">
        <v>35</v>
      </c>
      <c r="H2253" t="s">
        <v>35</v>
      </c>
      <c r="J2253" t="s">
        <v>2693</v>
      </c>
      <c r="K2253" t="s">
        <v>1092</v>
      </c>
      <c r="M2253">
        <v>0.77500000000000002</v>
      </c>
      <c r="N2253">
        <v>35</v>
      </c>
      <c r="O2253" t="s">
        <v>52</v>
      </c>
      <c r="Q2253" t="s">
        <v>48</v>
      </c>
      <c r="R2253" t="s">
        <v>2690</v>
      </c>
      <c r="S2253" t="s">
        <v>252</v>
      </c>
    </row>
    <row r="2254" spans="1:19" x14ac:dyDescent="0.25">
      <c r="A2254" t="s">
        <v>59</v>
      </c>
      <c r="B2254" t="s">
        <v>60</v>
      </c>
      <c r="C2254" t="s">
        <v>32</v>
      </c>
      <c r="D2254" t="s">
        <v>227</v>
      </c>
      <c r="E2254" t="s">
        <v>2675</v>
      </c>
      <c r="F2254" t="s">
        <v>35</v>
      </c>
      <c r="G2254" t="s">
        <v>35</v>
      </c>
      <c r="H2254" t="s">
        <v>35</v>
      </c>
      <c r="J2254" t="s">
        <v>2694</v>
      </c>
      <c r="K2254" t="s">
        <v>1092</v>
      </c>
      <c r="M2254">
        <v>0.35</v>
      </c>
      <c r="N2254">
        <v>187</v>
      </c>
      <c r="O2254" t="s">
        <v>5</v>
      </c>
      <c r="Q2254" t="s">
        <v>1798</v>
      </c>
      <c r="R2254" t="s">
        <v>2394</v>
      </c>
      <c r="S2254" t="s">
        <v>271</v>
      </c>
    </row>
    <row r="2255" spans="1:19" x14ac:dyDescent="0.25">
      <c r="A2255" t="s">
        <v>59</v>
      </c>
      <c r="B2255" t="s">
        <v>60</v>
      </c>
      <c r="C2255" t="s">
        <v>32</v>
      </c>
      <c r="D2255" t="s">
        <v>227</v>
      </c>
      <c r="E2255" t="s">
        <v>2675</v>
      </c>
      <c r="F2255" t="s">
        <v>35</v>
      </c>
      <c r="G2255" t="s">
        <v>35</v>
      </c>
      <c r="H2255" t="s">
        <v>35</v>
      </c>
      <c r="J2255" t="s">
        <v>2694</v>
      </c>
      <c r="K2255" t="s">
        <v>1092</v>
      </c>
      <c r="M2255">
        <v>0.25</v>
      </c>
      <c r="N2255">
        <v>139</v>
      </c>
      <c r="O2255" t="s">
        <v>38</v>
      </c>
      <c r="Q2255" t="s">
        <v>1696</v>
      </c>
      <c r="R2255" t="s">
        <v>2387</v>
      </c>
      <c r="S2255" t="s">
        <v>277</v>
      </c>
    </row>
    <row r="2256" spans="1:19" x14ac:dyDescent="0.25">
      <c r="A2256" t="s">
        <v>59</v>
      </c>
      <c r="B2256" t="s">
        <v>60</v>
      </c>
      <c r="C2256" t="s">
        <v>32</v>
      </c>
      <c r="D2256" t="s">
        <v>227</v>
      </c>
      <c r="E2256" t="s">
        <v>2675</v>
      </c>
      <c r="F2256" t="s">
        <v>35</v>
      </c>
      <c r="G2256" t="s">
        <v>35</v>
      </c>
      <c r="H2256" t="s">
        <v>35</v>
      </c>
      <c r="J2256" t="s">
        <v>2695</v>
      </c>
      <c r="K2256" t="s">
        <v>1092</v>
      </c>
      <c r="M2256">
        <v>3</v>
      </c>
      <c r="N2256">
        <v>32</v>
      </c>
      <c r="O2256" t="s">
        <v>52</v>
      </c>
      <c r="Q2256" t="s">
        <v>547</v>
      </c>
      <c r="R2256" t="s">
        <v>2696</v>
      </c>
      <c r="S2256" t="s">
        <v>284</v>
      </c>
    </row>
    <row r="2257" spans="1:19" x14ac:dyDescent="0.25">
      <c r="A2257" t="s">
        <v>59</v>
      </c>
      <c r="B2257" t="s">
        <v>60</v>
      </c>
      <c r="C2257" t="s">
        <v>32</v>
      </c>
      <c r="D2257" t="s">
        <v>227</v>
      </c>
      <c r="E2257" t="s">
        <v>2675</v>
      </c>
      <c r="F2257" t="s">
        <v>35</v>
      </c>
      <c r="G2257" t="s">
        <v>35</v>
      </c>
      <c r="H2257" t="s">
        <v>35</v>
      </c>
      <c r="J2257" t="s">
        <v>2697</v>
      </c>
      <c r="K2257" t="s">
        <v>1092</v>
      </c>
      <c r="M2257">
        <v>1</v>
      </c>
      <c r="N2257">
        <v>109</v>
      </c>
      <c r="O2257" t="s">
        <v>106</v>
      </c>
      <c r="Q2257" t="s">
        <v>2624</v>
      </c>
      <c r="R2257" t="s">
        <v>2387</v>
      </c>
      <c r="S2257" t="s">
        <v>277</v>
      </c>
    </row>
    <row r="2258" spans="1:19" x14ac:dyDescent="0.25">
      <c r="A2258" t="s">
        <v>59</v>
      </c>
      <c r="B2258" t="s">
        <v>60</v>
      </c>
      <c r="C2258" t="s">
        <v>32</v>
      </c>
      <c r="D2258" t="s">
        <v>227</v>
      </c>
      <c r="E2258" t="s">
        <v>2675</v>
      </c>
      <c r="F2258" t="s">
        <v>35</v>
      </c>
      <c r="G2258" t="s">
        <v>35</v>
      </c>
      <c r="H2258" t="s">
        <v>35</v>
      </c>
      <c r="J2258" t="s">
        <v>2697</v>
      </c>
      <c r="K2258" t="s">
        <v>1092</v>
      </c>
      <c r="M2258">
        <v>0.25</v>
      </c>
      <c r="N2258">
        <v>53</v>
      </c>
      <c r="O2258" t="s">
        <v>52</v>
      </c>
      <c r="Q2258" t="s">
        <v>332</v>
      </c>
      <c r="R2258" t="s">
        <v>2387</v>
      </c>
      <c r="S2258" t="s">
        <v>277</v>
      </c>
    </row>
    <row r="2259" spans="1:19" x14ac:dyDescent="0.25">
      <c r="A2259" t="s">
        <v>30</v>
      </c>
      <c r="B2259" t="s">
        <v>31</v>
      </c>
      <c r="C2259" t="s">
        <v>32</v>
      </c>
      <c r="D2259" t="s">
        <v>227</v>
      </c>
      <c r="E2259" t="s">
        <v>2675</v>
      </c>
      <c r="F2259" t="s">
        <v>35</v>
      </c>
      <c r="G2259" t="s">
        <v>35</v>
      </c>
      <c r="H2259" t="s">
        <v>35</v>
      </c>
      <c r="J2259" t="s">
        <v>2697</v>
      </c>
      <c r="K2259" t="s">
        <v>1092</v>
      </c>
      <c r="M2259">
        <v>0.09</v>
      </c>
      <c r="N2259">
        <v>213</v>
      </c>
      <c r="O2259" t="s">
        <v>5</v>
      </c>
      <c r="Q2259" t="s">
        <v>1298</v>
      </c>
      <c r="R2259" t="s">
        <v>2387</v>
      </c>
      <c r="S2259" t="s">
        <v>277</v>
      </c>
    </row>
    <row r="2260" spans="1:19" x14ac:dyDescent="0.25">
      <c r="A2260" t="s">
        <v>59</v>
      </c>
      <c r="B2260" t="s">
        <v>60</v>
      </c>
      <c r="C2260" t="s">
        <v>32</v>
      </c>
      <c r="D2260" t="s">
        <v>227</v>
      </c>
      <c r="E2260" t="s">
        <v>2675</v>
      </c>
      <c r="F2260" t="s">
        <v>35</v>
      </c>
      <c r="G2260" t="s">
        <v>35</v>
      </c>
      <c r="H2260" t="s">
        <v>35</v>
      </c>
      <c r="J2260" t="s">
        <v>2697</v>
      </c>
      <c r="K2260" t="s">
        <v>1092</v>
      </c>
      <c r="M2260">
        <v>0.25</v>
      </c>
      <c r="N2260">
        <v>29</v>
      </c>
      <c r="O2260" t="s">
        <v>46</v>
      </c>
      <c r="Q2260" t="s">
        <v>1645</v>
      </c>
      <c r="R2260" t="s">
        <v>2387</v>
      </c>
      <c r="S2260" t="s">
        <v>277</v>
      </c>
    </row>
    <row r="2261" spans="1:19" x14ac:dyDescent="0.25">
      <c r="A2261" t="s">
        <v>30</v>
      </c>
      <c r="B2261" t="s">
        <v>31</v>
      </c>
      <c r="C2261" t="s">
        <v>32</v>
      </c>
      <c r="D2261" t="s">
        <v>227</v>
      </c>
      <c r="E2261" t="s">
        <v>2675</v>
      </c>
      <c r="F2261" t="s">
        <v>35</v>
      </c>
      <c r="G2261" t="s">
        <v>35</v>
      </c>
      <c r="H2261" t="s">
        <v>35</v>
      </c>
      <c r="J2261" t="s">
        <v>2698</v>
      </c>
      <c r="K2261" t="s">
        <v>1092</v>
      </c>
      <c r="M2261">
        <v>0.63</v>
      </c>
      <c r="N2261">
        <v>48</v>
      </c>
      <c r="O2261" t="s">
        <v>52</v>
      </c>
      <c r="Q2261" t="s">
        <v>496</v>
      </c>
      <c r="R2261" t="s">
        <v>250</v>
      </c>
      <c r="S2261" t="s">
        <v>242</v>
      </c>
    </row>
    <row r="2262" spans="1:19" x14ac:dyDescent="0.25">
      <c r="A2262" t="s">
        <v>30</v>
      </c>
      <c r="B2262" t="s">
        <v>31</v>
      </c>
      <c r="C2262" t="s">
        <v>32</v>
      </c>
      <c r="D2262" t="s">
        <v>227</v>
      </c>
      <c r="E2262" t="s">
        <v>2675</v>
      </c>
      <c r="F2262" t="s">
        <v>35</v>
      </c>
      <c r="G2262" t="s">
        <v>35</v>
      </c>
      <c r="H2262" t="s">
        <v>35</v>
      </c>
      <c r="J2262" t="s">
        <v>2699</v>
      </c>
      <c r="K2262" t="s">
        <v>1092</v>
      </c>
      <c r="M2262">
        <v>0.495</v>
      </c>
      <c r="N2262">
        <v>244</v>
      </c>
      <c r="O2262" t="s">
        <v>5</v>
      </c>
      <c r="Q2262" t="s">
        <v>1242</v>
      </c>
      <c r="R2262" t="s">
        <v>2387</v>
      </c>
      <c r="S2262" t="s">
        <v>277</v>
      </c>
    </row>
    <row r="2263" spans="1:19" x14ac:dyDescent="0.25">
      <c r="A2263" t="s">
        <v>59</v>
      </c>
      <c r="B2263" t="s">
        <v>60</v>
      </c>
      <c r="C2263" t="s">
        <v>32</v>
      </c>
      <c r="D2263" t="s">
        <v>227</v>
      </c>
      <c r="E2263" t="s">
        <v>2675</v>
      </c>
      <c r="F2263" t="s">
        <v>35</v>
      </c>
      <c r="G2263" t="s">
        <v>35</v>
      </c>
      <c r="H2263" t="s">
        <v>35</v>
      </c>
      <c r="J2263" t="s">
        <v>2700</v>
      </c>
      <c r="K2263" t="s">
        <v>1092</v>
      </c>
      <c r="M2263">
        <v>0.05</v>
      </c>
      <c r="N2263">
        <v>281</v>
      </c>
      <c r="O2263" t="s">
        <v>5</v>
      </c>
      <c r="Q2263" t="s">
        <v>1226</v>
      </c>
      <c r="R2263" t="s">
        <v>2701</v>
      </c>
      <c r="S2263" t="s">
        <v>2702</v>
      </c>
    </row>
    <row r="2264" spans="1:19" x14ac:dyDescent="0.25">
      <c r="A2264" t="s">
        <v>59</v>
      </c>
      <c r="B2264" t="s">
        <v>60</v>
      </c>
      <c r="C2264" t="s">
        <v>32</v>
      </c>
      <c r="D2264" t="s">
        <v>227</v>
      </c>
      <c r="E2264" t="s">
        <v>2675</v>
      </c>
      <c r="F2264" t="s">
        <v>35</v>
      </c>
      <c r="G2264" t="s">
        <v>35</v>
      </c>
      <c r="H2264" t="s">
        <v>35</v>
      </c>
      <c r="J2264" t="s">
        <v>2703</v>
      </c>
      <c r="K2264" t="s">
        <v>1092</v>
      </c>
      <c r="M2264">
        <v>0.04</v>
      </c>
      <c r="N2264">
        <v>166</v>
      </c>
      <c r="O2264" t="s">
        <v>38</v>
      </c>
      <c r="Q2264" t="s">
        <v>2316</v>
      </c>
      <c r="R2264" t="s">
        <v>2690</v>
      </c>
      <c r="S2264" t="s">
        <v>252</v>
      </c>
    </row>
    <row r="2265" spans="1:19" x14ac:dyDescent="0.25">
      <c r="A2265" t="s">
        <v>59</v>
      </c>
      <c r="B2265" t="s">
        <v>60</v>
      </c>
      <c r="C2265" t="s">
        <v>32</v>
      </c>
      <c r="D2265" t="s">
        <v>227</v>
      </c>
      <c r="E2265" t="s">
        <v>2675</v>
      </c>
      <c r="F2265" t="s">
        <v>35</v>
      </c>
      <c r="G2265" t="s">
        <v>35</v>
      </c>
      <c r="H2265" t="s">
        <v>35</v>
      </c>
      <c r="J2265" t="s">
        <v>2704</v>
      </c>
      <c r="K2265" t="s">
        <v>1092</v>
      </c>
      <c r="M2265">
        <v>2.1999999999999999E-2</v>
      </c>
      <c r="N2265">
        <v>1861</v>
      </c>
      <c r="O2265" t="s">
        <v>575</v>
      </c>
      <c r="Q2265" t="s">
        <v>2705</v>
      </c>
      <c r="R2265" t="s">
        <v>2706</v>
      </c>
      <c r="S2265" t="s">
        <v>2707</v>
      </c>
    </row>
    <row r="2266" spans="1:19" x14ac:dyDescent="0.25">
      <c r="A2266" t="s">
        <v>59</v>
      </c>
      <c r="B2266" t="s">
        <v>60</v>
      </c>
      <c r="C2266" t="s">
        <v>32</v>
      </c>
      <c r="D2266" t="s">
        <v>227</v>
      </c>
      <c r="E2266" t="s">
        <v>2675</v>
      </c>
      <c r="F2266" t="s">
        <v>35</v>
      </c>
      <c r="G2266" t="s">
        <v>35</v>
      </c>
      <c r="H2266" t="s">
        <v>35</v>
      </c>
      <c r="J2266" t="s">
        <v>2708</v>
      </c>
      <c r="K2266" t="s">
        <v>1092</v>
      </c>
      <c r="M2266">
        <v>4.8000000000000001E-2</v>
      </c>
      <c r="N2266">
        <v>74</v>
      </c>
      <c r="O2266" t="s">
        <v>61</v>
      </c>
      <c r="Q2266" t="s">
        <v>488</v>
      </c>
      <c r="R2266" t="s">
        <v>256</v>
      </c>
      <c r="S2266" t="s">
        <v>257</v>
      </c>
    </row>
    <row r="2267" spans="1:19" x14ac:dyDescent="0.25">
      <c r="A2267" t="s">
        <v>59</v>
      </c>
      <c r="B2267" t="s">
        <v>31</v>
      </c>
      <c r="C2267" t="s">
        <v>32</v>
      </c>
      <c r="D2267" t="s">
        <v>227</v>
      </c>
      <c r="E2267" t="s">
        <v>2675</v>
      </c>
      <c r="F2267" t="s">
        <v>35</v>
      </c>
      <c r="G2267" t="s">
        <v>35</v>
      </c>
      <c r="H2267" t="s">
        <v>35</v>
      </c>
      <c r="J2267" t="s">
        <v>2709</v>
      </c>
      <c r="K2267" t="s">
        <v>1092</v>
      </c>
      <c r="M2267">
        <v>0.45</v>
      </c>
      <c r="N2267">
        <v>2036</v>
      </c>
      <c r="O2267" t="s">
        <v>575</v>
      </c>
      <c r="Q2267" t="s">
        <v>2710</v>
      </c>
      <c r="R2267" t="s">
        <v>2706</v>
      </c>
      <c r="S2267" t="s">
        <v>2707</v>
      </c>
    </row>
    <row r="2268" spans="1:19" x14ac:dyDescent="0.25">
      <c r="A2268" t="s">
        <v>59</v>
      </c>
      <c r="B2268" t="s">
        <v>60</v>
      </c>
      <c r="C2268" t="s">
        <v>32</v>
      </c>
      <c r="D2268" t="s">
        <v>227</v>
      </c>
      <c r="E2268" t="s">
        <v>2675</v>
      </c>
      <c r="F2268" t="s">
        <v>35</v>
      </c>
      <c r="G2268" t="s">
        <v>35</v>
      </c>
      <c r="H2268" t="s">
        <v>35</v>
      </c>
      <c r="J2268" t="s">
        <v>2711</v>
      </c>
      <c r="K2268" t="s">
        <v>1092</v>
      </c>
      <c r="M2268">
        <v>1.5</v>
      </c>
      <c r="N2268">
        <v>133</v>
      </c>
      <c r="O2268" t="s">
        <v>38</v>
      </c>
      <c r="Q2268" t="s">
        <v>68</v>
      </c>
      <c r="R2268" t="s">
        <v>2387</v>
      </c>
      <c r="S2268" t="s">
        <v>277</v>
      </c>
    </row>
    <row r="2269" spans="1:19" x14ac:dyDescent="0.25">
      <c r="A2269" t="s">
        <v>59</v>
      </c>
      <c r="B2269" t="s">
        <v>31</v>
      </c>
      <c r="C2269" t="s">
        <v>32</v>
      </c>
      <c r="D2269" t="s">
        <v>227</v>
      </c>
      <c r="E2269" t="s">
        <v>2675</v>
      </c>
      <c r="F2269" t="s">
        <v>35</v>
      </c>
      <c r="G2269" t="s">
        <v>35</v>
      </c>
      <c r="H2269" t="s">
        <v>35</v>
      </c>
      <c r="J2269" t="s">
        <v>2712</v>
      </c>
      <c r="K2269" t="s">
        <v>1092</v>
      </c>
      <c r="M2269">
        <v>0.01</v>
      </c>
      <c r="N2269">
        <v>452</v>
      </c>
      <c r="O2269" t="s">
        <v>294</v>
      </c>
      <c r="Q2269" t="s">
        <v>2713</v>
      </c>
      <c r="R2269" t="s">
        <v>250</v>
      </c>
      <c r="S2269" t="s">
        <v>242</v>
      </c>
    </row>
    <row r="2270" spans="1:19" x14ac:dyDescent="0.25">
      <c r="A2270" t="s">
        <v>30</v>
      </c>
      <c r="B2270" t="s">
        <v>31</v>
      </c>
      <c r="C2270" t="s">
        <v>32</v>
      </c>
      <c r="D2270" t="s">
        <v>227</v>
      </c>
      <c r="E2270" t="s">
        <v>2675</v>
      </c>
      <c r="F2270" t="s">
        <v>35</v>
      </c>
      <c r="G2270" t="s">
        <v>35</v>
      </c>
      <c r="H2270" t="s">
        <v>35</v>
      </c>
      <c r="J2270" t="s">
        <v>2712</v>
      </c>
      <c r="K2270" t="s">
        <v>1092</v>
      </c>
      <c r="M2270">
        <v>8.0000000000000002E-3</v>
      </c>
      <c r="N2270">
        <v>166</v>
      </c>
      <c r="O2270" t="s">
        <v>38</v>
      </c>
      <c r="Q2270" t="s">
        <v>2316</v>
      </c>
      <c r="R2270" t="s">
        <v>2391</v>
      </c>
      <c r="S2270" t="s">
        <v>236</v>
      </c>
    </row>
    <row r="2271" spans="1:19" x14ac:dyDescent="0.25">
      <c r="A2271" t="s">
        <v>59</v>
      </c>
      <c r="B2271" t="s">
        <v>60</v>
      </c>
      <c r="C2271" t="s">
        <v>32</v>
      </c>
      <c r="D2271" t="s">
        <v>227</v>
      </c>
      <c r="E2271" t="s">
        <v>2675</v>
      </c>
      <c r="F2271" t="s">
        <v>35</v>
      </c>
      <c r="G2271" t="s">
        <v>35</v>
      </c>
      <c r="H2271" t="s">
        <v>35</v>
      </c>
      <c r="J2271" t="s">
        <v>2712</v>
      </c>
      <c r="K2271" t="s">
        <v>1092</v>
      </c>
      <c r="M2271">
        <v>3.95</v>
      </c>
      <c r="N2271">
        <v>452</v>
      </c>
      <c r="O2271" t="s">
        <v>294</v>
      </c>
      <c r="Q2271" t="s">
        <v>2713</v>
      </c>
      <c r="R2271" t="s">
        <v>250</v>
      </c>
      <c r="S2271" t="s">
        <v>242</v>
      </c>
    </row>
    <row r="2272" spans="1:19" x14ac:dyDescent="0.25">
      <c r="A2272" t="s">
        <v>44</v>
      </c>
      <c r="B2272" t="s">
        <v>3</v>
      </c>
      <c r="C2272" t="s">
        <v>32</v>
      </c>
      <c r="D2272" t="s">
        <v>227</v>
      </c>
      <c r="E2272" t="s">
        <v>2675</v>
      </c>
      <c r="F2272" t="s">
        <v>35</v>
      </c>
      <c r="G2272" t="s">
        <v>35</v>
      </c>
      <c r="H2272" t="s">
        <v>35</v>
      </c>
      <c r="J2272" t="s">
        <v>2712</v>
      </c>
      <c r="K2272" t="s">
        <v>1092</v>
      </c>
      <c r="M2272">
        <v>10.5</v>
      </c>
      <c r="N2272">
        <v>452</v>
      </c>
      <c r="O2272" t="s">
        <v>294</v>
      </c>
      <c r="Q2272" t="s">
        <v>2713</v>
      </c>
      <c r="R2272" t="s">
        <v>250</v>
      </c>
      <c r="S2272" t="s">
        <v>242</v>
      </c>
    </row>
    <row r="2273" spans="1:19" x14ac:dyDescent="0.25">
      <c r="A2273" t="s">
        <v>59</v>
      </c>
      <c r="B2273" t="s">
        <v>60</v>
      </c>
      <c r="C2273" t="s">
        <v>32</v>
      </c>
      <c r="D2273" t="s">
        <v>227</v>
      </c>
      <c r="E2273" t="s">
        <v>2675</v>
      </c>
      <c r="F2273" t="s">
        <v>35</v>
      </c>
      <c r="G2273" t="s">
        <v>35</v>
      </c>
      <c r="H2273" t="s">
        <v>35</v>
      </c>
      <c r="J2273" t="s">
        <v>2714</v>
      </c>
      <c r="K2273" t="s">
        <v>1092</v>
      </c>
      <c r="M2273">
        <v>0.01</v>
      </c>
      <c r="N2273">
        <v>1504</v>
      </c>
      <c r="O2273" t="s">
        <v>575</v>
      </c>
      <c r="Q2273" t="s">
        <v>2715</v>
      </c>
      <c r="R2273" t="s">
        <v>2716</v>
      </c>
      <c r="S2273" t="s">
        <v>2717</v>
      </c>
    </row>
    <row r="2274" spans="1:19" x14ac:dyDescent="0.25">
      <c r="A2274" t="s">
        <v>59</v>
      </c>
      <c r="B2274" t="s">
        <v>60</v>
      </c>
      <c r="C2274" t="s">
        <v>32</v>
      </c>
      <c r="D2274" t="s">
        <v>227</v>
      </c>
      <c r="E2274" t="s">
        <v>2675</v>
      </c>
      <c r="F2274" t="s">
        <v>35</v>
      </c>
      <c r="G2274" t="s">
        <v>35</v>
      </c>
      <c r="H2274" t="s">
        <v>35</v>
      </c>
      <c r="J2274" t="s">
        <v>2719</v>
      </c>
      <c r="K2274" t="s">
        <v>1092</v>
      </c>
      <c r="M2274">
        <v>0.25</v>
      </c>
      <c r="N2274">
        <v>1947</v>
      </c>
      <c r="O2274" t="s">
        <v>575</v>
      </c>
      <c r="Q2274" t="s">
        <v>2720</v>
      </c>
      <c r="R2274" t="s">
        <v>2706</v>
      </c>
      <c r="S2274" t="s">
        <v>2707</v>
      </c>
    </row>
    <row r="2275" spans="1:19" x14ac:dyDescent="0.25">
      <c r="A2275" t="s">
        <v>59</v>
      </c>
      <c r="B2275" t="s">
        <v>31</v>
      </c>
      <c r="C2275" t="s">
        <v>32</v>
      </c>
      <c r="D2275" t="s">
        <v>227</v>
      </c>
      <c r="E2275" t="s">
        <v>2675</v>
      </c>
      <c r="F2275" t="s">
        <v>35</v>
      </c>
      <c r="G2275" t="s">
        <v>35</v>
      </c>
      <c r="H2275" t="s">
        <v>35</v>
      </c>
      <c r="J2275" t="s">
        <v>2721</v>
      </c>
      <c r="K2275" t="s">
        <v>1092</v>
      </c>
      <c r="M2275">
        <v>2.0249999999999999</v>
      </c>
      <c r="N2275">
        <v>83</v>
      </c>
      <c r="O2275" t="s">
        <v>61</v>
      </c>
      <c r="Q2275" t="s">
        <v>455</v>
      </c>
      <c r="R2275" t="s">
        <v>2387</v>
      </c>
      <c r="S2275" t="s">
        <v>277</v>
      </c>
    </row>
    <row r="2276" spans="1:19" x14ac:dyDescent="0.25">
      <c r="A2276" t="s">
        <v>59</v>
      </c>
      <c r="B2276" t="s">
        <v>60</v>
      </c>
      <c r="C2276" t="s">
        <v>32</v>
      </c>
      <c r="D2276" t="s">
        <v>227</v>
      </c>
      <c r="E2276" t="s">
        <v>2675</v>
      </c>
      <c r="F2276" t="s">
        <v>35</v>
      </c>
      <c r="G2276" t="s">
        <v>35</v>
      </c>
      <c r="H2276" t="s">
        <v>35</v>
      </c>
      <c r="J2276" t="s">
        <v>2722</v>
      </c>
      <c r="K2276" t="s">
        <v>1092</v>
      </c>
      <c r="M2276">
        <v>0.45</v>
      </c>
      <c r="N2276">
        <v>2249</v>
      </c>
      <c r="O2276" t="s">
        <v>575</v>
      </c>
      <c r="Q2276" t="s">
        <v>2723</v>
      </c>
      <c r="R2276" t="s">
        <v>2690</v>
      </c>
      <c r="S2276" t="s">
        <v>252</v>
      </c>
    </row>
    <row r="2277" spans="1:19" x14ac:dyDescent="0.25">
      <c r="A2277" t="s">
        <v>30</v>
      </c>
      <c r="B2277" t="s">
        <v>31</v>
      </c>
      <c r="C2277" t="s">
        <v>32</v>
      </c>
      <c r="D2277" t="s">
        <v>227</v>
      </c>
      <c r="E2277" t="s">
        <v>2675</v>
      </c>
      <c r="F2277" t="s">
        <v>35</v>
      </c>
      <c r="G2277" t="s">
        <v>35</v>
      </c>
      <c r="H2277" t="s">
        <v>35</v>
      </c>
      <c r="J2277" t="s">
        <v>2724</v>
      </c>
      <c r="K2277" t="s">
        <v>1092</v>
      </c>
      <c r="M2277">
        <v>0.40500000000000003</v>
      </c>
      <c r="N2277">
        <v>257</v>
      </c>
      <c r="O2277" t="s">
        <v>5</v>
      </c>
      <c r="Q2277" t="s">
        <v>1286</v>
      </c>
      <c r="R2277" t="s">
        <v>2701</v>
      </c>
      <c r="S2277" t="s">
        <v>2702</v>
      </c>
    </row>
    <row r="2278" spans="1:19" x14ac:dyDescent="0.25">
      <c r="A2278" t="s">
        <v>59</v>
      </c>
      <c r="B2278" t="s">
        <v>60</v>
      </c>
      <c r="C2278" t="s">
        <v>32</v>
      </c>
      <c r="D2278" t="s">
        <v>227</v>
      </c>
      <c r="E2278" t="s">
        <v>2675</v>
      </c>
      <c r="F2278" t="s">
        <v>35</v>
      </c>
      <c r="G2278" t="s">
        <v>35</v>
      </c>
      <c r="H2278" t="s">
        <v>35</v>
      </c>
      <c r="J2278" t="s">
        <v>2724</v>
      </c>
      <c r="K2278" t="s">
        <v>1092</v>
      </c>
      <c r="M2278">
        <v>0.29699999999999999</v>
      </c>
      <c r="N2278">
        <v>257</v>
      </c>
      <c r="O2278" t="s">
        <v>5</v>
      </c>
      <c r="Q2278" t="s">
        <v>1286</v>
      </c>
      <c r="R2278" t="s">
        <v>2701</v>
      </c>
      <c r="S2278" t="s">
        <v>2702</v>
      </c>
    </row>
    <row r="2279" spans="1:19" x14ac:dyDescent="0.25">
      <c r="A2279" t="s">
        <v>59</v>
      </c>
      <c r="B2279" t="s">
        <v>60</v>
      </c>
      <c r="C2279" t="s">
        <v>32</v>
      </c>
      <c r="D2279" t="s">
        <v>227</v>
      </c>
      <c r="E2279" t="s">
        <v>2675</v>
      </c>
      <c r="F2279" t="s">
        <v>35</v>
      </c>
      <c r="G2279" t="s">
        <v>35</v>
      </c>
      <c r="H2279" t="s">
        <v>35</v>
      </c>
      <c r="J2279" t="s">
        <v>2725</v>
      </c>
      <c r="K2279" t="s">
        <v>1092</v>
      </c>
      <c r="M2279">
        <v>1</v>
      </c>
      <c r="N2279">
        <v>1965</v>
      </c>
      <c r="O2279" t="s">
        <v>575</v>
      </c>
      <c r="Q2279" t="s">
        <v>2726</v>
      </c>
      <c r="R2279" t="s">
        <v>2701</v>
      </c>
      <c r="S2279" t="s">
        <v>2702</v>
      </c>
    </row>
    <row r="2280" spans="1:19" x14ac:dyDescent="0.25">
      <c r="A2280" t="s">
        <v>59</v>
      </c>
      <c r="B2280" t="s">
        <v>60</v>
      </c>
      <c r="C2280" t="s">
        <v>32</v>
      </c>
      <c r="D2280" t="s">
        <v>227</v>
      </c>
      <c r="E2280" t="s">
        <v>2675</v>
      </c>
      <c r="F2280" t="s">
        <v>35</v>
      </c>
      <c r="G2280" t="s">
        <v>35</v>
      </c>
      <c r="H2280" t="s">
        <v>35</v>
      </c>
      <c r="J2280" t="s">
        <v>2725</v>
      </c>
      <c r="K2280" t="s">
        <v>1092</v>
      </c>
      <c r="M2280">
        <v>1E-3</v>
      </c>
      <c r="N2280">
        <v>2301</v>
      </c>
      <c r="O2280" t="s">
        <v>575</v>
      </c>
      <c r="Q2280" t="s">
        <v>2727</v>
      </c>
      <c r="R2280" t="s">
        <v>2701</v>
      </c>
      <c r="S2280" t="s">
        <v>2702</v>
      </c>
    </row>
    <row r="2281" spans="1:19" x14ac:dyDescent="0.25">
      <c r="A2281" t="s">
        <v>59</v>
      </c>
      <c r="B2281" t="s">
        <v>60</v>
      </c>
      <c r="C2281" t="s">
        <v>32</v>
      </c>
      <c r="D2281" t="s">
        <v>227</v>
      </c>
      <c r="E2281" t="s">
        <v>2675</v>
      </c>
      <c r="F2281" t="s">
        <v>35</v>
      </c>
      <c r="G2281" t="s">
        <v>35</v>
      </c>
      <c r="H2281" t="s">
        <v>35</v>
      </c>
      <c r="J2281" t="s">
        <v>2728</v>
      </c>
      <c r="K2281" t="s">
        <v>1092</v>
      </c>
      <c r="M2281">
        <v>0.7</v>
      </c>
      <c r="N2281">
        <v>489</v>
      </c>
      <c r="O2281" t="s">
        <v>294</v>
      </c>
      <c r="Q2281" t="s">
        <v>2729</v>
      </c>
      <c r="R2281" t="s">
        <v>2706</v>
      </c>
      <c r="S2281" t="s">
        <v>2707</v>
      </c>
    </row>
    <row r="2282" spans="1:19" x14ac:dyDescent="0.25">
      <c r="A2282" t="s">
        <v>30</v>
      </c>
      <c r="B2282" t="s">
        <v>31</v>
      </c>
      <c r="C2282" t="s">
        <v>32</v>
      </c>
      <c r="D2282" t="s">
        <v>227</v>
      </c>
      <c r="E2282" t="s">
        <v>2675</v>
      </c>
      <c r="F2282" t="s">
        <v>35</v>
      </c>
      <c r="G2282" t="s">
        <v>35</v>
      </c>
      <c r="H2282" t="s">
        <v>35</v>
      </c>
      <c r="J2282" t="s">
        <v>2730</v>
      </c>
      <c r="K2282" t="s">
        <v>1092</v>
      </c>
      <c r="M2282">
        <v>3.87</v>
      </c>
      <c r="N2282">
        <v>44</v>
      </c>
      <c r="O2282" t="s">
        <v>52</v>
      </c>
      <c r="Q2282" t="s">
        <v>192</v>
      </c>
      <c r="R2282" t="s">
        <v>2387</v>
      </c>
      <c r="S2282" t="s">
        <v>277</v>
      </c>
    </row>
    <row r="2283" spans="1:19" x14ac:dyDescent="0.25">
      <c r="A2283" t="s">
        <v>30</v>
      </c>
      <c r="B2283" t="s">
        <v>31</v>
      </c>
      <c r="C2283" t="s">
        <v>32</v>
      </c>
      <c r="D2283" t="s">
        <v>227</v>
      </c>
      <c r="E2283" t="s">
        <v>2731</v>
      </c>
      <c r="F2283" t="s">
        <v>35</v>
      </c>
      <c r="G2283" t="s">
        <v>35</v>
      </c>
      <c r="H2283" t="s">
        <v>35</v>
      </c>
      <c r="J2283" t="s">
        <v>2732</v>
      </c>
      <c r="K2283" t="s">
        <v>1092</v>
      </c>
      <c r="M2283">
        <v>1.125</v>
      </c>
      <c r="N2283">
        <v>49</v>
      </c>
      <c r="O2283" t="s">
        <v>52</v>
      </c>
      <c r="Q2283" t="s">
        <v>219</v>
      </c>
      <c r="R2283" t="s">
        <v>250</v>
      </c>
      <c r="S2283" t="s">
        <v>242</v>
      </c>
    </row>
    <row r="2284" spans="1:19" x14ac:dyDescent="0.25">
      <c r="A2284" t="s">
        <v>59</v>
      </c>
      <c r="B2284" t="s">
        <v>60</v>
      </c>
      <c r="C2284" t="s">
        <v>32</v>
      </c>
      <c r="D2284" t="s">
        <v>227</v>
      </c>
      <c r="E2284" t="s">
        <v>2731</v>
      </c>
      <c r="F2284" t="s">
        <v>35</v>
      </c>
      <c r="G2284" t="s">
        <v>35</v>
      </c>
      <c r="H2284" t="s">
        <v>35</v>
      </c>
      <c r="J2284" t="s">
        <v>2733</v>
      </c>
      <c r="K2284" t="s">
        <v>1092</v>
      </c>
      <c r="M2284">
        <v>0.75</v>
      </c>
      <c r="N2284">
        <v>1127</v>
      </c>
      <c r="O2284" t="s">
        <v>575</v>
      </c>
      <c r="Q2284" t="s">
        <v>2734</v>
      </c>
      <c r="R2284" t="s">
        <v>2394</v>
      </c>
      <c r="S2284" t="s">
        <v>271</v>
      </c>
    </row>
    <row r="2285" spans="1:19" x14ac:dyDescent="0.25">
      <c r="A2285" t="s">
        <v>30</v>
      </c>
      <c r="B2285" t="s">
        <v>31</v>
      </c>
      <c r="C2285" t="s">
        <v>32</v>
      </c>
      <c r="D2285" t="s">
        <v>227</v>
      </c>
      <c r="E2285" t="s">
        <v>2731</v>
      </c>
      <c r="F2285" t="s">
        <v>35</v>
      </c>
      <c r="G2285" t="s">
        <v>35</v>
      </c>
      <c r="H2285" t="s">
        <v>35</v>
      </c>
      <c r="J2285" t="s">
        <v>2735</v>
      </c>
      <c r="K2285" t="s">
        <v>1092</v>
      </c>
      <c r="M2285">
        <v>2.25</v>
      </c>
      <c r="N2285">
        <v>72</v>
      </c>
      <c r="O2285" t="s">
        <v>61</v>
      </c>
      <c r="Q2285" t="s">
        <v>63</v>
      </c>
      <c r="R2285" t="s">
        <v>2387</v>
      </c>
      <c r="S2285" t="s">
        <v>277</v>
      </c>
    </row>
    <row r="2286" spans="1:19" x14ac:dyDescent="0.25">
      <c r="A2286" t="s">
        <v>59</v>
      </c>
      <c r="B2286" t="s">
        <v>31</v>
      </c>
      <c r="C2286" t="s">
        <v>32</v>
      </c>
      <c r="D2286" t="s">
        <v>227</v>
      </c>
      <c r="E2286" t="s">
        <v>2731</v>
      </c>
      <c r="F2286" t="s">
        <v>35</v>
      </c>
      <c r="G2286" t="s">
        <v>35</v>
      </c>
      <c r="H2286" t="s">
        <v>35</v>
      </c>
      <c r="J2286" t="s">
        <v>2736</v>
      </c>
      <c r="K2286" t="s">
        <v>1092</v>
      </c>
      <c r="M2286">
        <v>0.13500000000000001</v>
      </c>
      <c r="N2286">
        <v>252</v>
      </c>
      <c r="O2286" t="s">
        <v>5</v>
      </c>
      <c r="Q2286" t="s">
        <v>1222</v>
      </c>
      <c r="R2286" t="s">
        <v>2540</v>
      </c>
      <c r="S2286" t="s">
        <v>246</v>
      </c>
    </row>
    <row r="2287" spans="1:19" x14ac:dyDescent="0.25">
      <c r="A2287" t="s">
        <v>59</v>
      </c>
      <c r="B2287" t="s">
        <v>60</v>
      </c>
      <c r="C2287" t="s">
        <v>32</v>
      </c>
      <c r="D2287" t="s">
        <v>227</v>
      </c>
      <c r="E2287" t="s">
        <v>2731</v>
      </c>
      <c r="F2287" t="s">
        <v>35</v>
      </c>
      <c r="G2287" t="s">
        <v>35</v>
      </c>
      <c r="H2287" t="s">
        <v>35</v>
      </c>
      <c r="J2287" t="s">
        <v>2737</v>
      </c>
      <c r="K2287" t="s">
        <v>1092</v>
      </c>
      <c r="M2287">
        <v>0.25</v>
      </c>
      <c r="N2287">
        <v>57</v>
      </c>
      <c r="O2287" t="s">
        <v>52</v>
      </c>
      <c r="Q2287" t="s">
        <v>665</v>
      </c>
      <c r="R2287" t="s">
        <v>2387</v>
      </c>
      <c r="S2287" t="s">
        <v>277</v>
      </c>
    </row>
    <row r="2288" spans="1:19" x14ac:dyDescent="0.25">
      <c r="A2288" t="s">
        <v>30</v>
      </c>
      <c r="B2288" t="s">
        <v>31</v>
      </c>
      <c r="C2288" t="s">
        <v>32</v>
      </c>
      <c r="D2288" t="s">
        <v>227</v>
      </c>
      <c r="E2288" t="s">
        <v>2731</v>
      </c>
      <c r="F2288" t="s">
        <v>35</v>
      </c>
      <c r="G2288" t="s">
        <v>35</v>
      </c>
      <c r="H2288" t="s">
        <v>35</v>
      </c>
      <c r="J2288" t="s">
        <v>2738</v>
      </c>
      <c r="K2288" t="s">
        <v>1092</v>
      </c>
      <c r="M2288">
        <v>1.575</v>
      </c>
      <c r="N2288">
        <v>72</v>
      </c>
      <c r="O2288" t="s">
        <v>61</v>
      </c>
      <c r="Q2288" t="s">
        <v>63</v>
      </c>
      <c r="R2288" t="s">
        <v>2387</v>
      </c>
      <c r="S2288" t="s">
        <v>277</v>
      </c>
    </row>
    <row r="2289" spans="1:19" x14ac:dyDescent="0.25">
      <c r="A2289" t="s">
        <v>59</v>
      </c>
      <c r="B2289" t="s">
        <v>31</v>
      </c>
      <c r="C2289" t="s">
        <v>32</v>
      </c>
      <c r="D2289" t="s">
        <v>227</v>
      </c>
      <c r="E2289" t="s">
        <v>2731</v>
      </c>
      <c r="F2289" t="s">
        <v>35</v>
      </c>
      <c r="G2289" t="s">
        <v>35</v>
      </c>
      <c r="H2289" t="s">
        <v>35</v>
      </c>
      <c r="J2289" t="s">
        <v>2739</v>
      </c>
      <c r="K2289" t="s">
        <v>1092</v>
      </c>
      <c r="M2289">
        <v>4.4999999999999998E-2</v>
      </c>
      <c r="N2289">
        <v>261</v>
      </c>
      <c r="O2289" t="s">
        <v>5</v>
      </c>
      <c r="Q2289" t="s">
        <v>2522</v>
      </c>
      <c r="R2289" t="s">
        <v>2387</v>
      </c>
      <c r="S2289" t="s">
        <v>277</v>
      </c>
    </row>
    <row r="2290" spans="1:19" x14ac:dyDescent="0.25">
      <c r="A2290" t="s">
        <v>30</v>
      </c>
      <c r="B2290" t="s">
        <v>31</v>
      </c>
      <c r="C2290" t="s">
        <v>32</v>
      </c>
      <c r="D2290" t="s">
        <v>227</v>
      </c>
      <c r="E2290" t="s">
        <v>2731</v>
      </c>
      <c r="F2290" t="s">
        <v>35</v>
      </c>
      <c r="G2290" t="s">
        <v>35</v>
      </c>
      <c r="H2290" t="s">
        <v>35</v>
      </c>
      <c r="J2290" t="s">
        <v>2740</v>
      </c>
      <c r="K2290" t="s">
        <v>1092</v>
      </c>
      <c r="M2290">
        <v>0.63</v>
      </c>
      <c r="N2290">
        <v>72</v>
      </c>
      <c r="O2290" t="s">
        <v>61</v>
      </c>
      <c r="Q2290" t="s">
        <v>63</v>
      </c>
      <c r="R2290" t="s">
        <v>2387</v>
      </c>
      <c r="S2290" t="s">
        <v>277</v>
      </c>
    </row>
    <row r="2291" spans="1:19" x14ac:dyDescent="0.25">
      <c r="A2291" t="s">
        <v>59</v>
      </c>
      <c r="B2291" t="s">
        <v>60</v>
      </c>
      <c r="C2291" t="s">
        <v>32</v>
      </c>
      <c r="D2291" t="s">
        <v>227</v>
      </c>
      <c r="E2291" t="s">
        <v>2731</v>
      </c>
      <c r="F2291" t="s">
        <v>35</v>
      </c>
      <c r="G2291" t="s">
        <v>35</v>
      </c>
      <c r="H2291" t="s">
        <v>35</v>
      </c>
      <c r="J2291" t="s">
        <v>2741</v>
      </c>
      <c r="K2291" t="s">
        <v>1092</v>
      </c>
      <c r="M2291">
        <v>0.25</v>
      </c>
      <c r="N2291">
        <v>83</v>
      </c>
      <c r="O2291" t="s">
        <v>61</v>
      </c>
      <c r="Q2291" t="s">
        <v>455</v>
      </c>
      <c r="R2291" t="s">
        <v>2387</v>
      </c>
      <c r="S2291" t="s">
        <v>277</v>
      </c>
    </row>
    <row r="2292" spans="1:19" x14ac:dyDescent="0.25">
      <c r="A2292" t="s">
        <v>44</v>
      </c>
      <c r="B2292" t="s">
        <v>3</v>
      </c>
      <c r="C2292" t="s">
        <v>32</v>
      </c>
      <c r="D2292" t="s">
        <v>227</v>
      </c>
      <c r="E2292" t="s">
        <v>251</v>
      </c>
      <c r="F2292" t="s">
        <v>35</v>
      </c>
      <c r="G2292" t="s">
        <v>35</v>
      </c>
      <c r="H2292" t="s">
        <v>35</v>
      </c>
      <c r="J2292" t="s">
        <v>2742</v>
      </c>
      <c r="K2292" t="s">
        <v>1092</v>
      </c>
      <c r="M2292">
        <v>0.25</v>
      </c>
      <c r="N2292">
        <v>56</v>
      </c>
      <c r="O2292" t="s">
        <v>52</v>
      </c>
      <c r="Q2292" t="s">
        <v>453</v>
      </c>
      <c r="R2292" t="s">
        <v>2387</v>
      </c>
      <c r="S2292" t="s">
        <v>277</v>
      </c>
    </row>
    <row r="2293" spans="1:19" x14ac:dyDescent="0.25">
      <c r="A2293" t="s">
        <v>59</v>
      </c>
      <c r="B2293" t="s">
        <v>31</v>
      </c>
      <c r="C2293" t="s">
        <v>32</v>
      </c>
      <c r="D2293" t="s">
        <v>227</v>
      </c>
      <c r="E2293" t="s">
        <v>251</v>
      </c>
      <c r="F2293" t="s">
        <v>35</v>
      </c>
      <c r="G2293" t="s">
        <v>35</v>
      </c>
      <c r="H2293" t="s">
        <v>35</v>
      </c>
      <c r="J2293" t="s">
        <v>2743</v>
      </c>
      <c r="K2293" t="s">
        <v>1092</v>
      </c>
      <c r="M2293">
        <v>1.26</v>
      </c>
      <c r="N2293">
        <v>59</v>
      </c>
      <c r="O2293" t="s">
        <v>52</v>
      </c>
      <c r="Q2293" t="s">
        <v>84</v>
      </c>
      <c r="R2293" t="s">
        <v>256</v>
      </c>
      <c r="S2293" t="s">
        <v>257</v>
      </c>
    </row>
    <row r="2294" spans="1:19" x14ac:dyDescent="0.25">
      <c r="A2294" t="s">
        <v>59</v>
      </c>
      <c r="B2294" t="s">
        <v>60</v>
      </c>
      <c r="C2294" t="s">
        <v>32</v>
      </c>
      <c r="D2294" t="s">
        <v>227</v>
      </c>
      <c r="E2294" t="s">
        <v>251</v>
      </c>
      <c r="F2294" t="s">
        <v>35</v>
      </c>
      <c r="G2294" t="s">
        <v>35</v>
      </c>
      <c r="H2294" t="s">
        <v>35</v>
      </c>
      <c r="J2294" t="s">
        <v>2744</v>
      </c>
      <c r="K2294" t="s">
        <v>1092</v>
      </c>
      <c r="M2294">
        <v>0.5</v>
      </c>
      <c r="N2294">
        <v>697</v>
      </c>
      <c r="O2294" t="s">
        <v>575</v>
      </c>
      <c r="Q2294" t="s">
        <v>1855</v>
      </c>
      <c r="R2294" t="s">
        <v>2394</v>
      </c>
      <c r="S2294" t="s">
        <v>271</v>
      </c>
    </row>
    <row r="2295" spans="1:19" x14ac:dyDescent="0.25">
      <c r="A2295" t="s">
        <v>30</v>
      </c>
      <c r="B2295" t="s">
        <v>31</v>
      </c>
      <c r="C2295" t="s">
        <v>32</v>
      </c>
      <c r="D2295" t="s">
        <v>227</v>
      </c>
      <c r="E2295" t="s">
        <v>251</v>
      </c>
      <c r="F2295" t="s">
        <v>35</v>
      </c>
      <c r="G2295" t="s">
        <v>35</v>
      </c>
      <c r="H2295" t="s">
        <v>35</v>
      </c>
      <c r="J2295" t="s">
        <v>2745</v>
      </c>
      <c r="K2295" t="s">
        <v>1092</v>
      </c>
      <c r="M2295">
        <v>9.36</v>
      </c>
      <c r="N2295">
        <v>48</v>
      </c>
      <c r="O2295" t="s">
        <v>52</v>
      </c>
      <c r="Q2295" t="s">
        <v>496</v>
      </c>
      <c r="R2295" t="s">
        <v>250</v>
      </c>
      <c r="S2295" t="s">
        <v>242</v>
      </c>
    </row>
    <row r="2296" spans="1:19" x14ac:dyDescent="0.25">
      <c r="A2296" t="s">
        <v>30</v>
      </c>
      <c r="B2296" t="s">
        <v>31</v>
      </c>
      <c r="C2296" t="s">
        <v>32</v>
      </c>
      <c r="D2296" t="s">
        <v>227</v>
      </c>
      <c r="E2296" t="s">
        <v>251</v>
      </c>
      <c r="F2296" t="s">
        <v>35</v>
      </c>
      <c r="G2296" t="s">
        <v>35</v>
      </c>
      <c r="H2296" t="s">
        <v>35</v>
      </c>
      <c r="J2296" t="s">
        <v>2746</v>
      </c>
      <c r="K2296" t="s">
        <v>1092</v>
      </c>
      <c r="M2296">
        <v>6.48</v>
      </c>
      <c r="N2296">
        <v>133</v>
      </c>
      <c r="O2296" t="s">
        <v>38</v>
      </c>
      <c r="Q2296" t="s">
        <v>68</v>
      </c>
      <c r="R2296" t="s">
        <v>2394</v>
      </c>
      <c r="S2296" t="s">
        <v>271</v>
      </c>
    </row>
    <row r="2297" spans="1:19" x14ac:dyDescent="0.25">
      <c r="A2297" t="s">
        <v>59</v>
      </c>
      <c r="B2297" t="s">
        <v>31</v>
      </c>
      <c r="C2297" t="s">
        <v>32</v>
      </c>
      <c r="D2297" t="s">
        <v>227</v>
      </c>
      <c r="E2297" t="s">
        <v>251</v>
      </c>
      <c r="F2297" t="s">
        <v>35</v>
      </c>
      <c r="G2297" t="s">
        <v>35</v>
      </c>
      <c r="H2297" t="s">
        <v>35</v>
      </c>
      <c r="J2297" t="s">
        <v>2746</v>
      </c>
      <c r="K2297" t="s">
        <v>1092</v>
      </c>
      <c r="M2297">
        <v>9.6300000000000008</v>
      </c>
      <c r="N2297">
        <v>102</v>
      </c>
      <c r="O2297" t="s">
        <v>106</v>
      </c>
      <c r="Q2297" t="s">
        <v>2747</v>
      </c>
      <c r="R2297" t="s">
        <v>2394</v>
      </c>
      <c r="S2297" t="s">
        <v>271</v>
      </c>
    </row>
    <row r="2298" spans="1:19" x14ac:dyDescent="0.25">
      <c r="A2298" t="s">
        <v>59</v>
      </c>
      <c r="B2298" t="s">
        <v>31</v>
      </c>
      <c r="C2298" t="s">
        <v>32</v>
      </c>
      <c r="D2298" t="s">
        <v>227</v>
      </c>
      <c r="E2298" t="s">
        <v>251</v>
      </c>
      <c r="F2298" t="s">
        <v>35</v>
      </c>
      <c r="G2298" t="s">
        <v>35</v>
      </c>
      <c r="H2298" t="s">
        <v>35</v>
      </c>
      <c r="J2298" t="s">
        <v>2748</v>
      </c>
      <c r="K2298" t="s">
        <v>1092</v>
      </c>
      <c r="M2298">
        <v>0.72</v>
      </c>
      <c r="N2298">
        <v>948</v>
      </c>
      <c r="O2298" t="s">
        <v>575</v>
      </c>
      <c r="Q2298" t="s">
        <v>1835</v>
      </c>
      <c r="R2298" t="s">
        <v>2749</v>
      </c>
      <c r="S2298" t="s">
        <v>261</v>
      </c>
    </row>
    <row r="2299" spans="1:19" x14ac:dyDescent="0.25">
      <c r="A2299" t="s">
        <v>30</v>
      </c>
      <c r="B2299" t="s">
        <v>31</v>
      </c>
      <c r="C2299" t="s">
        <v>32</v>
      </c>
      <c r="D2299" t="s">
        <v>227</v>
      </c>
      <c r="E2299" t="s">
        <v>251</v>
      </c>
      <c r="F2299" t="s">
        <v>35</v>
      </c>
      <c r="G2299" t="s">
        <v>35</v>
      </c>
      <c r="H2299" t="s">
        <v>35</v>
      </c>
      <c r="J2299" t="s">
        <v>2750</v>
      </c>
      <c r="K2299" t="s">
        <v>1092</v>
      </c>
      <c r="M2299">
        <v>24.614999999999998</v>
      </c>
      <c r="N2299">
        <v>47</v>
      </c>
      <c r="O2299" t="s">
        <v>52</v>
      </c>
      <c r="Q2299" t="s">
        <v>132</v>
      </c>
      <c r="R2299" t="s">
        <v>2444</v>
      </c>
      <c r="S2299" t="s">
        <v>2445</v>
      </c>
    </row>
    <row r="2300" spans="1:19" x14ac:dyDescent="0.25">
      <c r="A2300" t="s">
        <v>59</v>
      </c>
      <c r="B2300" t="s">
        <v>31</v>
      </c>
      <c r="C2300" t="s">
        <v>32</v>
      </c>
      <c r="D2300" t="s">
        <v>227</v>
      </c>
      <c r="E2300" t="s">
        <v>251</v>
      </c>
      <c r="F2300" t="s">
        <v>35</v>
      </c>
      <c r="G2300" t="s">
        <v>35</v>
      </c>
      <c r="H2300" t="s">
        <v>35</v>
      </c>
      <c r="J2300" t="s">
        <v>2750</v>
      </c>
      <c r="K2300" t="s">
        <v>1092</v>
      </c>
      <c r="M2300">
        <v>29.385000000000002</v>
      </c>
      <c r="N2300">
        <v>47</v>
      </c>
      <c r="O2300" t="s">
        <v>52</v>
      </c>
      <c r="Q2300" t="s">
        <v>132</v>
      </c>
      <c r="R2300" t="s">
        <v>2444</v>
      </c>
      <c r="S2300" t="s">
        <v>2445</v>
      </c>
    </row>
    <row r="2301" spans="1:19" x14ac:dyDescent="0.25">
      <c r="A2301" t="s">
        <v>30</v>
      </c>
      <c r="B2301" t="s">
        <v>31</v>
      </c>
      <c r="C2301" t="s">
        <v>32</v>
      </c>
      <c r="D2301" t="s">
        <v>227</v>
      </c>
      <c r="E2301" t="s">
        <v>251</v>
      </c>
      <c r="F2301" t="s">
        <v>35</v>
      </c>
      <c r="G2301" t="s">
        <v>35</v>
      </c>
      <c r="H2301" t="s">
        <v>35</v>
      </c>
      <c r="J2301" t="s">
        <v>2751</v>
      </c>
      <c r="K2301" t="s">
        <v>1092</v>
      </c>
      <c r="M2301">
        <v>19.035</v>
      </c>
      <c r="N2301">
        <v>44</v>
      </c>
      <c r="O2301" t="s">
        <v>52</v>
      </c>
      <c r="Q2301" t="s">
        <v>192</v>
      </c>
      <c r="R2301" t="s">
        <v>2387</v>
      </c>
      <c r="S2301" t="s">
        <v>277</v>
      </c>
    </row>
    <row r="2302" spans="1:19" x14ac:dyDescent="0.25">
      <c r="A2302" t="s">
        <v>30</v>
      </c>
      <c r="B2302" t="s">
        <v>31</v>
      </c>
      <c r="C2302" t="s">
        <v>32</v>
      </c>
      <c r="D2302" t="s">
        <v>227</v>
      </c>
      <c r="E2302" t="s">
        <v>251</v>
      </c>
      <c r="F2302" t="s">
        <v>35</v>
      </c>
      <c r="G2302" t="s">
        <v>35</v>
      </c>
      <c r="H2302" t="s">
        <v>35</v>
      </c>
      <c r="J2302" t="s">
        <v>2752</v>
      </c>
      <c r="K2302" t="s">
        <v>1092</v>
      </c>
      <c r="M2302">
        <v>1.77</v>
      </c>
      <c r="N2302">
        <v>434</v>
      </c>
      <c r="O2302" t="s">
        <v>294</v>
      </c>
      <c r="Q2302" t="s">
        <v>1370</v>
      </c>
      <c r="R2302" t="s">
        <v>2387</v>
      </c>
      <c r="S2302" t="s">
        <v>277</v>
      </c>
    </row>
    <row r="2303" spans="1:19" x14ac:dyDescent="0.25">
      <c r="A2303" t="s">
        <v>30</v>
      </c>
      <c r="B2303" t="s">
        <v>31</v>
      </c>
      <c r="C2303" t="s">
        <v>32</v>
      </c>
      <c r="D2303" t="s">
        <v>227</v>
      </c>
      <c r="E2303" t="s">
        <v>251</v>
      </c>
      <c r="F2303" t="s">
        <v>35</v>
      </c>
      <c r="G2303" t="s">
        <v>35</v>
      </c>
      <c r="H2303" t="s">
        <v>35</v>
      </c>
      <c r="J2303" t="s">
        <v>2753</v>
      </c>
      <c r="K2303" t="s">
        <v>1092</v>
      </c>
      <c r="M2303">
        <v>7.38</v>
      </c>
      <c r="N2303">
        <v>1164</v>
      </c>
      <c r="O2303" t="s">
        <v>575</v>
      </c>
      <c r="Q2303" t="s">
        <v>2754</v>
      </c>
      <c r="R2303" t="s">
        <v>2474</v>
      </c>
      <c r="S2303" t="s">
        <v>2475</v>
      </c>
    </row>
    <row r="2304" spans="1:19" x14ac:dyDescent="0.25">
      <c r="A2304" t="s">
        <v>59</v>
      </c>
      <c r="B2304" t="s">
        <v>60</v>
      </c>
      <c r="C2304" t="s">
        <v>32</v>
      </c>
      <c r="D2304" t="s">
        <v>227</v>
      </c>
      <c r="E2304" t="s">
        <v>251</v>
      </c>
      <c r="F2304" t="s">
        <v>35</v>
      </c>
      <c r="G2304" t="s">
        <v>35</v>
      </c>
      <c r="H2304" t="s">
        <v>35</v>
      </c>
      <c r="J2304" t="s">
        <v>2755</v>
      </c>
      <c r="K2304" t="s">
        <v>1092</v>
      </c>
      <c r="M2304">
        <v>14.3</v>
      </c>
      <c r="N2304">
        <v>95</v>
      </c>
      <c r="O2304" t="s">
        <v>106</v>
      </c>
      <c r="Q2304" t="s">
        <v>724</v>
      </c>
      <c r="R2304" t="s">
        <v>2629</v>
      </c>
      <c r="S2304" t="s">
        <v>2630</v>
      </c>
    </row>
    <row r="2305" spans="1:19" x14ac:dyDescent="0.25">
      <c r="A2305" t="s">
        <v>44</v>
      </c>
      <c r="B2305" t="s">
        <v>3</v>
      </c>
      <c r="C2305" t="s">
        <v>32</v>
      </c>
      <c r="D2305" t="s">
        <v>227</v>
      </c>
      <c r="E2305" t="s">
        <v>251</v>
      </c>
      <c r="F2305" t="s">
        <v>35</v>
      </c>
      <c r="G2305" t="s">
        <v>35</v>
      </c>
      <c r="H2305" t="s">
        <v>35</v>
      </c>
      <c r="J2305" t="s">
        <v>2756</v>
      </c>
      <c r="K2305" t="s">
        <v>1092</v>
      </c>
      <c r="M2305">
        <v>2</v>
      </c>
      <c r="N2305">
        <v>66</v>
      </c>
      <c r="O2305" t="s">
        <v>61</v>
      </c>
      <c r="Q2305" t="s">
        <v>203</v>
      </c>
      <c r="R2305" t="s">
        <v>256</v>
      </c>
      <c r="S2305" t="s">
        <v>257</v>
      </c>
    </row>
    <row r="2306" spans="1:19" x14ac:dyDescent="0.25">
      <c r="A2306" t="s">
        <v>44</v>
      </c>
      <c r="B2306" t="s">
        <v>3</v>
      </c>
      <c r="C2306" t="s">
        <v>32</v>
      </c>
      <c r="D2306" t="s">
        <v>227</v>
      </c>
      <c r="E2306" t="s">
        <v>251</v>
      </c>
      <c r="F2306" t="s">
        <v>35</v>
      </c>
      <c r="G2306" t="s">
        <v>35</v>
      </c>
      <c r="H2306" t="s">
        <v>35</v>
      </c>
      <c r="J2306" t="s">
        <v>2757</v>
      </c>
      <c r="K2306" t="s">
        <v>1092</v>
      </c>
      <c r="M2306">
        <v>1.95</v>
      </c>
      <c r="N2306">
        <v>66</v>
      </c>
      <c r="O2306" t="s">
        <v>61</v>
      </c>
      <c r="Q2306" t="s">
        <v>203</v>
      </c>
      <c r="R2306" t="s">
        <v>256</v>
      </c>
      <c r="S2306" t="s">
        <v>257</v>
      </c>
    </row>
    <row r="2307" spans="1:19" x14ac:dyDescent="0.25">
      <c r="A2307" t="s">
        <v>44</v>
      </c>
      <c r="B2307" t="s">
        <v>3</v>
      </c>
      <c r="C2307" t="s">
        <v>32</v>
      </c>
      <c r="D2307" t="s">
        <v>227</v>
      </c>
      <c r="E2307" t="s">
        <v>251</v>
      </c>
      <c r="F2307" t="s">
        <v>35</v>
      </c>
      <c r="G2307" t="s">
        <v>35</v>
      </c>
      <c r="H2307" t="s">
        <v>35</v>
      </c>
      <c r="J2307" t="s">
        <v>2758</v>
      </c>
      <c r="K2307" t="s">
        <v>1092</v>
      </c>
      <c r="M2307">
        <v>0.65</v>
      </c>
      <c r="N2307">
        <v>66</v>
      </c>
      <c r="O2307" t="s">
        <v>61</v>
      </c>
      <c r="Q2307" t="s">
        <v>203</v>
      </c>
      <c r="R2307" t="s">
        <v>256</v>
      </c>
      <c r="S2307" t="s">
        <v>257</v>
      </c>
    </row>
    <row r="2308" spans="1:19" x14ac:dyDescent="0.25">
      <c r="A2308" t="s">
        <v>30</v>
      </c>
      <c r="B2308" t="s">
        <v>31</v>
      </c>
      <c r="C2308" t="s">
        <v>32</v>
      </c>
      <c r="D2308" t="s">
        <v>227</v>
      </c>
      <c r="E2308" t="s">
        <v>265</v>
      </c>
      <c r="F2308" t="s">
        <v>35</v>
      </c>
      <c r="G2308" t="s">
        <v>35</v>
      </c>
      <c r="H2308" t="s">
        <v>35</v>
      </c>
      <c r="J2308" t="s">
        <v>2759</v>
      </c>
      <c r="K2308" t="s">
        <v>1092</v>
      </c>
      <c r="M2308">
        <v>2.61</v>
      </c>
      <c r="N2308">
        <v>40</v>
      </c>
      <c r="O2308" t="s">
        <v>52</v>
      </c>
      <c r="Q2308" t="s">
        <v>130</v>
      </c>
      <c r="R2308" t="s">
        <v>2406</v>
      </c>
      <c r="S2308" t="s">
        <v>266</v>
      </c>
    </row>
    <row r="2309" spans="1:19" x14ac:dyDescent="0.25">
      <c r="A2309" t="s">
        <v>59</v>
      </c>
      <c r="B2309" t="s">
        <v>31</v>
      </c>
      <c r="C2309" t="s">
        <v>32</v>
      </c>
      <c r="D2309" t="s">
        <v>227</v>
      </c>
      <c r="E2309" t="s">
        <v>265</v>
      </c>
      <c r="F2309" t="s">
        <v>35</v>
      </c>
      <c r="G2309" t="s">
        <v>35</v>
      </c>
      <c r="H2309" t="s">
        <v>35</v>
      </c>
      <c r="J2309" t="s">
        <v>8232</v>
      </c>
      <c r="K2309" t="s">
        <v>1092</v>
      </c>
      <c r="M2309">
        <v>0.36</v>
      </c>
      <c r="N2309">
        <v>115</v>
      </c>
      <c r="O2309" t="s">
        <v>106</v>
      </c>
      <c r="Q2309" t="s">
        <v>1195</v>
      </c>
      <c r="R2309" t="s">
        <v>250</v>
      </c>
      <c r="S2309" t="s">
        <v>242</v>
      </c>
    </row>
    <row r="2310" spans="1:19" x14ac:dyDescent="0.25">
      <c r="A2310" t="s">
        <v>44</v>
      </c>
      <c r="B2310" t="s">
        <v>51</v>
      </c>
      <c r="C2310" t="s">
        <v>32</v>
      </c>
      <c r="D2310" t="s">
        <v>227</v>
      </c>
      <c r="E2310" t="s">
        <v>265</v>
      </c>
      <c r="F2310" t="s">
        <v>35</v>
      </c>
      <c r="G2310" t="s">
        <v>35</v>
      </c>
      <c r="H2310" t="s">
        <v>35</v>
      </c>
      <c r="J2310" t="s">
        <v>2760</v>
      </c>
      <c r="K2310" t="s">
        <v>1092</v>
      </c>
      <c r="M2310">
        <v>5.5</v>
      </c>
      <c r="N2310">
        <v>27</v>
      </c>
      <c r="O2310" t="s">
        <v>46</v>
      </c>
      <c r="Q2310" t="s">
        <v>1011</v>
      </c>
      <c r="R2310" t="s">
        <v>250</v>
      </c>
      <c r="S2310" t="s">
        <v>242</v>
      </c>
    </row>
    <row r="2311" spans="1:19" x14ac:dyDescent="0.25">
      <c r="A2311" t="s">
        <v>59</v>
      </c>
      <c r="B2311" t="s">
        <v>31</v>
      </c>
      <c r="C2311" t="s">
        <v>32</v>
      </c>
      <c r="D2311" t="s">
        <v>227</v>
      </c>
      <c r="E2311" t="s">
        <v>265</v>
      </c>
      <c r="F2311" t="s">
        <v>35</v>
      </c>
      <c r="G2311" t="s">
        <v>35</v>
      </c>
      <c r="H2311" t="s">
        <v>35</v>
      </c>
      <c r="J2311" t="s">
        <v>2760</v>
      </c>
      <c r="K2311" t="s">
        <v>1092</v>
      </c>
      <c r="M2311">
        <v>10.98</v>
      </c>
      <c r="N2311">
        <v>75</v>
      </c>
      <c r="O2311" t="s">
        <v>61</v>
      </c>
      <c r="Q2311" t="s">
        <v>805</v>
      </c>
      <c r="R2311" t="s">
        <v>250</v>
      </c>
      <c r="S2311" t="s">
        <v>242</v>
      </c>
    </row>
    <row r="2312" spans="1:19" x14ac:dyDescent="0.25">
      <c r="A2312" t="s">
        <v>59</v>
      </c>
      <c r="B2312" t="s">
        <v>31</v>
      </c>
      <c r="C2312" t="s">
        <v>32</v>
      </c>
      <c r="D2312" t="s">
        <v>227</v>
      </c>
      <c r="E2312" t="s">
        <v>265</v>
      </c>
      <c r="F2312" t="s">
        <v>35</v>
      </c>
      <c r="G2312" t="s">
        <v>35</v>
      </c>
      <c r="H2312" t="s">
        <v>35</v>
      </c>
      <c r="J2312" t="s">
        <v>2760</v>
      </c>
      <c r="K2312" t="s">
        <v>1092</v>
      </c>
      <c r="M2312">
        <v>5.04</v>
      </c>
      <c r="N2312">
        <v>100</v>
      </c>
      <c r="O2312" t="s">
        <v>106</v>
      </c>
      <c r="Q2312" t="s">
        <v>1112</v>
      </c>
      <c r="R2312" t="s">
        <v>250</v>
      </c>
      <c r="S2312" t="s">
        <v>242</v>
      </c>
    </row>
    <row r="2313" spans="1:19" x14ac:dyDescent="0.25">
      <c r="A2313" t="s">
        <v>44</v>
      </c>
      <c r="B2313" t="s">
        <v>3</v>
      </c>
      <c r="C2313" t="s">
        <v>32</v>
      </c>
      <c r="D2313" t="s">
        <v>227</v>
      </c>
      <c r="E2313" t="s">
        <v>270</v>
      </c>
      <c r="F2313" t="s">
        <v>35</v>
      </c>
      <c r="G2313" t="s">
        <v>35</v>
      </c>
      <c r="H2313" t="s">
        <v>35</v>
      </c>
      <c r="J2313" t="s">
        <v>2761</v>
      </c>
      <c r="K2313" t="s">
        <v>1092</v>
      </c>
      <c r="M2313">
        <v>2.5</v>
      </c>
      <c r="N2313">
        <v>56</v>
      </c>
      <c r="O2313" t="s">
        <v>52</v>
      </c>
      <c r="Q2313" t="s">
        <v>453</v>
      </c>
      <c r="R2313" t="s">
        <v>2394</v>
      </c>
      <c r="S2313" t="s">
        <v>271</v>
      </c>
    </row>
    <row r="2314" spans="1:19" x14ac:dyDescent="0.25">
      <c r="A2314" t="s">
        <v>44</v>
      </c>
      <c r="B2314" t="s">
        <v>3</v>
      </c>
      <c r="C2314" t="s">
        <v>32</v>
      </c>
      <c r="D2314" t="s">
        <v>227</v>
      </c>
      <c r="E2314" t="s">
        <v>270</v>
      </c>
      <c r="F2314" t="s">
        <v>35</v>
      </c>
      <c r="G2314" t="s">
        <v>35</v>
      </c>
      <c r="H2314" t="s">
        <v>35</v>
      </c>
      <c r="J2314" t="s">
        <v>2761</v>
      </c>
      <c r="K2314" t="s">
        <v>1092</v>
      </c>
      <c r="M2314">
        <v>2</v>
      </c>
      <c r="N2314">
        <v>54</v>
      </c>
      <c r="O2314" t="s">
        <v>52</v>
      </c>
      <c r="Q2314" t="s">
        <v>1207</v>
      </c>
      <c r="R2314" t="s">
        <v>2394</v>
      </c>
      <c r="S2314" t="s">
        <v>271</v>
      </c>
    </row>
    <row r="2315" spans="1:19" x14ac:dyDescent="0.25">
      <c r="A2315" t="s">
        <v>30</v>
      </c>
      <c r="B2315" t="s">
        <v>31</v>
      </c>
      <c r="C2315" t="s">
        <v>32</v>
      </c>
      <c r="D2315" t="s">
        <v>227</v>
      </c>
      <c r="E2315" t="s">
        <v>270</v>
      </c>
      <c r="F2315" t="s">
        <v>35</v>
      </c>
      <c r="G2315" t="s">
        <v>35</v>
      </c>
      <c r="H2315" t="s">
        <v>35</v>
      </c>
      <c r="J2315" t="s">
        <v>2762</v>
      </c>
      <c r="K2315" t="s">
        <v>1092</v>
      </c>
      <c r="M2315">
        <v>0.04</v>
      </c>
      <c r="N2315">
        <v>2439</v>
      </c>
      <c r="O2315" t="s">
        <v>575</v>
      </c>
      <c r="Q2315" t="s">
        <v>2767</v>
      </c>
      <c r="R2315" t="s">
        <v>2764</v>
      </c>
      <c r="S2315" t="s">
        <v>2765</v>
      </c>
    </row>
    <row r="2316" spans="1:19" x14ac:dyDescent="0.25">
      <c r="A2316" t="s">
        <v>59</v>
      </c>
      <c r="B2316" t="s">
        <v>60</v>
      </c>
      <c r="C2316" t="s">
        <v>32</v>
      </c>
      <c r="D2316" t="s">
        <v>227</v>
      </c>
      <c r="E2316" t="s">
        <v>270</v>
      </c>
      <c r="F2316" t="s">
        <v>35</v>
      </c>
      <c r="G2316" t="s">
        <v>35</v>
      </c>
      <c r="H2316" t="s">
        <v>35</v>
      </c>
      <c r="J2316" t="s">
        <v>2762</v>
      </c>
      <c r="K2316" t="s">
        <v>1092</v>
      </c>
      <c r="M2316">
        <v>8.9999999999999993E-3</v>
      </c>
      <c r="N2316">
        <v>1878</v>
      </c>
      <c r="O2316" t="s">
        <v>575</v>
      </c>
      <c r="Q2316" t="s">
        <v>2763</v>
      </c>
      <c r="R2316" t="s">
        <v>2764</v>
      </c>
      <c r="S2316" t="s">
        <v>2765</v>
      </c>
    </row>
    <row r="2317" spans="1:19" x14ac:dyDescent="0.25">
      <c r="A2317" t="s">
        <v>30</v>
      </c>
      <c r="B2317" t="s">
        <v>31</v>
      </c>
      <c r="C2317" t="s">
        <v>32</v>
      </c>
      <c r="D2317" t="s">
        <v>227</v>
      </c>
      <c r="E2317" t="s">
        <v>270</v>
      </c>
      <c r="F2317" t="s">
        <v>35</v>
      </c>
      <c r="G2317" t="s">
        <v>35</v>
      </c>
      <c r="H2317" t="s">
        <v>35</v>
      </c>
      <c r="J2317" t="s">
        <v>2584</v>
      </c>
      <c r="K2317" t="s">
        <v>1092</v>
      </c>
      <c r="M2317">
        <v>6.03</v>
      </c>
      <c r="N2317">
        <v>369</v>
      </c>
      <c r="O2317" t="s">
        <v>294</v>
      </c>
      <c r="Q2317" t="s">
        <v>2769</v>
      </c>
      <c r="R2317" t="s">
        <v>2444</v>
      </c>
      <c r="S2317" t="s">
        <v>2445</v>
      </c>
    </row>
    <row r="2318" spans="1:19" x14ac:dyDescent="0.25">
      <c r="A2318" t="s">
        <v>59</v>
      </c>
      <c r="B2318" t="s">
        <v>31</v>
      </c>
      <c r="C2318" t="s">
        <v>32</v>
      </c>
      <c r="D2318" t="s">
        <v>227</v>
      </c>
      <c r="E2318" t="s">
        <v>270</v>
      </c>
      <c r="F2318" t="s">
        <v>35</v>
      </c>
      <c r="G2318" t="s">
        <v>35</v>
      </c>
      <c r="H2318" t="s">
        <v>35</v>
      </c>
      <c r="J2318" t="s">
        <v>2584</v>
      </c>
      <c r="K2318" t="s">
        <v>1092</v>
      </c>
      <c r="M2318">
        <v>5.49</v>
      </c>
      <c r="N2318">
        <v>95</v>
      </c>
      <c r="O2318" t="s">
        <v>106</v>
      </c>
      <c r="Q2318" t="s">
        <v>724</v>
      </c>
      <c r="R2318" t="s">
        <v>2444</v>
      </c>
      <c r="S2318" t="s">
        <v>2445</v>
      </c>
    </row>
    <row r="2319" spans="1:19" x14ac:dyDescent="0.25">
      <c r="A2319" t="s">
        <v>59</v>
      </c>
      <c r="B2319" t="s">
        <v>60</v>
      </c>
      <c r="C2319" t="s">
        <v>32</v>
      </c>
      <c r="D2319" t="s">
        <v>227</v>
      </c>
      <c r="E2319" t="s">
        <v>270</v>
      </c>
      <c r="F2319" t="s">
        <v>35</v>
      </c>
      <c r="G2319" t="s">
        <v>35</v>
      </c>
      <c r="H2319" t="s">
        <v>35</v>
      </c>
      <c r="J2319" t="s">
        <v>2584</v>
      </c>
      <c r="K2319" t="s">
        <v>1092</v>
      </c>
      <c r="M2319">
        <v>2.4500000000000002</v>
      </c>
      <c r="N2319">
        <v>95</v>
      </c>
      <c r="O2319" t="s">
        <v>106</v>
      </c>
      <c r="Q2319" t="s">
        <v>724</v>
      </c>
      <c r="R2319" t="s">
        <v>2444</v>
      </c>
      <c r="S2319" t="s">
        <v>2445</v>
      </c>
    </row>
    <row r="2320" spans="1:19" x14ac:dyDescent="0.25">
      <c r="A2320" t="s">
        <v>59</v>
      </c>
      <c r="B2320" t="s">
        <v>31</v>
      </c>
      <c r="C2320" t="s">
        <v>32</v>
      </c>
      <c r="D2320" t="s">
        <v>227</v>
      </c>
      <c r="E2320" t="s">
        <v>270</v>
      </c>
      <c r="F2320" t="s">
        <v>35</v>
      </c>
      <c r="G2320" t="s">
        <v>35</v>
      </c>
      <c r="H2320" t="s">
        <v>35</v>
      </c>
      <c r="J2320" t="s">
        <v>2584</v>
      </c>
      <c r="K2320" t="s">
        <v>1092</v>
      </c>
      <c r="M2320">
        <v>5.5350000000000001</v>
      </c>
      <c r="N2320">
        <v>376</v>
      </c>
      <c r="O2320" t="s">
        <v>294</v>
      </c>
      <c r="Q2320" t="s">
        <v>1238</v>
      </c>
      <c r="R2320" t="s">
        <v>2444</v>
      </c>
      <c r="S2320" t="s">
        <v>2445</v>
      </c>
    </row>
    <row r="2321" spans="1:19" x14ac:dyDescent="0.25">
      <c r="A2321" t="s">
        <v>44</v>
      </c>
      <c r="B2321" t="s">
        <v>3</v>
      </c>
      <c r="C2321" t="s">
        <v>32</v>
      </c>
      <c r="D2321" t="s">
        <v>227</v>
      </c>
      <c r="E2321" t="s">
        <v>270</v>
      </c>
      <c r="F2321" t="s">
        <v>35</v>
      </c>
      <c r="G2321" t="s">
        <v>35</v>
      </c>
      <c r="H2321" t="s">
        <v>35</v>
      </c>
      <c r="J2321" t="s">
        <v>2770</v>
      </c>
      <c r="K2321" t="s">
        <v>1092</v>
      </c>
      <c r="M2321">
        <v>0.05</v>
      </c>
      <c r="N2321">
        <v>62</v>
      </c>
      <c r="O2321" t="s">
        <v>61</v>
      </c>
      <c r="Q2321" t="s">
        <v>90</v>
      </c>
      <c r="R2321" t="s">
        <v>2394</v>
      </c>
      <c r="S2321" t="s">
        <v>271</v>
      </c>
    </row>
    <row r="2322" spans="1:19" x14ac:dyDescent="0.25">
      <c r="A2322" t="s">
        <v>59</v>
      </c>
      <c r="B2322" t="s">
        <v>60</v>
      </c>
      <c r="C2322" t="s">
        <v>32</v>
      </c>
      <c r="D2322" t="s">
        <v>227</v>
      </c>
      <c r="E2322" t="s">
        <v>270</v>
      </c>
      <c r="F2322" t="s">
        <v>35</v>
      </c>
      <c r="G2322" t="s">
        <v>35</v>
      </c>
      <c r="H2322" t="s">
        <v>35</v>
      </c>
      <c r="J2322" t="s">
        <v>2771</v>
      </c>
      <c r="K2322" t="s">
        <v>1092</v>
      </c>
      <c r="M2322">
        <v>0.25</v>
      </c>
      <c r="N2322">
        <v>58</v>
      </c>
      <c r="O2322" t="s">
        <v>52</v>
      </c>
      <c r="Q2322" t="s">
        <v>58</v>
      </c>
      <c r="R2322" t="s">
        <v>250</v>
      </c>
      <c r="S2322" t="s">
        <v>242</v>
      </c>
    </row>
    <row r="2323" spans="1:19" x14ac:dyDescent="0.25">
      <c r="A2323" t="s">
        <v>59</v>
      </c>
      <c r="B2323" t="s">
        <v>60</v>
      </c>
      <c r="C2323" t="s">
        <v>32</v>
      </c>
      <c r="D2323" t="s">
        <v>227</v>
      </c>
      <c r="E2323" t="s">
        <v>270</v>
      </c>
      <c r="F2323" t="s">
        <v>35</v>
      </c>
      <c r="G2323" t="s">
        <v>35</v>
      </c>
      <c r="H2323" t="s">
        <v>35</v>
      </c>
      <c r="J2323" t="s">
        <v>2771</v>
      </c>
      <c r="K2323" t="s">
        <v>1092</v>
      </c>
      <c r="M2323">
        <v>1</v>
      </c>
      <c r="N2323">
        <v>51</v>
      </c>
      <c r="O2323" t="s">
        <v>52</v>
      </c>
      <c r="Q2323" t="s">
        <v>54</v>
      </c>
      <c r="R2323" t="s">
        <v>250</v>
      </c>
      <c r="S2323" t="s">
        <v>242</v>
      </c>
    </row>
    <row r="2324" spans="1:19" x14ac:dyDescent="0.25">
      <c r="A2324" t="s">
        <v>59</v>
      </c>
      <c r="B2324" t="s">
        <v>60</v>
      </c>
      <c r="C2324" t="s">
        <v>32</v>
      </c>
      <c r="D2324" t="s">
        <v>227</v>
      </c>
      <c r="E2324" t="s">
        <v>270</v>
      </c>
      <c r="F2324" t="s">
        <v>35</v>
      </c>
      <c r="G2324" t="s">
        <v>35</v>
      </c>
      <c r="H2324" t="s">
        <v>35</v>
      </c>
      <c r="J2324" t="s">
        <v>2771</v>
      </c>
      <c r="K2324" t="s">
        <v>1092</v>
      </c>
      <c r="M2324">
        <v>0.5</v>
      </c>
      <c r="N2324">
        <v>27</v>
      </c>
      <c r="O2324" t="s">
        <v>46</v>
      </c>
      <c r="Q2324" t="s">
        <v>1011</v>
      </c>
      <c r="R2324" t="s">
        <v>250</v>
      </c>
      <c r="S2324" t="s">
        <v>242</v>
      </c>
    </row>
    <row r="2325" spans="1:19" x14ac:dyDescent="0.25">
      <c r="A2325" t="s">
        <v>59</v>
      </c>
      <c r="B2325" t="s">
        <v>31</v>
      </c>
      <c r="C2325" t="s">
        <v>32</v>
      </c>
      <c r="D2325" t="s">
        <v>227</v>
      </c>
      <c r="E2325" t="s">
        <v>270</v>
      </c>
      <c r="F2325" t="s">
        <v>35</v>
      </c>
      <c r="G2325" t="s">
        <v>35</v>
      </c>
      <c r="H2325" t="s">
        <v>35</v>
      </c>
      <c r="J2325" t="s">
        <v>2772</v>
      </c>
      <c r="K2325" t="s">
        <v>1092</v>
      </c>
      <c r="M2325">
        <v>0.23</v>
      </c>
      <c r="N2325">
        <v>489</v>
      </c>
      <c r="O2325" t="s">
        <v>294</v>
      </c>
      <c r="Q2325" t="s">
        <v>2729</v>
      </c>
      <c r="R2325" t="s">
        <v>2391</v>
      </c>
      <c r="S2325" t="s">
        <v>236</v>
      </c>
    </row>
    <row r="2326" spans="1:19" x14ac:dyDescent="0.25">
      <c r="A2326" t="s">
        <v>44</v>
      </c>
      <c r="B2326" t="s">
        <v>51</v>
      </c>
      <c r="C2326" t="s">
        <v>32</v>
      </c>
      <c r="D2326" t="s">
        <v>227</v>
      </c>
      <c r="E2326" t="s">
        <v>270</v>
      </c>
      <c r="F2326" t="s">
        <v>35</v>
      </c>
      <c r="G2326" t="s">
        <v>35</v>
      </c>
      <c r="H2326" t="s">
        <v>35</v>
      </c>
      <c r="J2326" t="s">
        <v>2773</v>
      </c>
      <c r="K2326" t="s">
        <v>1092</v>
      </c>
      <c r="M2326">
        <v>0.15</v>
      </c>
      <c r="N2326">
        <v>21</v>
      </c>
      <c r="O2326" t="s">
        <v>46</v>
      </c>
      <c r="Q2326" t="s">
        <v>1874</v>
      </c>
      <c r="R2326" t="s">
        <v>2394</v>
      </c>
      <c r="S2326" t="s">
        <v>271</v>
      </c>
    </row>
    <row r="2327" spans="1:19" x14ac:dyDescent="0.25">
      <c r="A2327" t="s">
        <v>44</v>
      </c>
      <c r="B2327" t="s">
        <v>51</v>
      </c>
      <c r="C2327" t="s">
        <v>32</v>
      </c>
      <c r="D2327" t="s">
        <v>227</v>
      </c>
      <c r="E2327" t="s">
        <v>270</v>
      </c>
      <c r="F2327" t="s">
        <v>35</v>
      </c>
      <c r="G2327" t="s">
        <v>35</v>
      </c>
      <c r="H2327" t="s">
        <v>35</v>
      </c>
      <c r="J2327" t="s">
        <v>2773</v>
      </c>
      <c r="K2327" t="s">
        <v>1092</v>
      </c>
      <c r="M2327">
        <v>0.15</v>
      </c>
      <c r="N2327">
        <v>51</v>
      </c>
      <c r="O2327" t="s">
        <v>52</v>
      </c>
      <c r="Q2327" t="s">
        <v>54</v>
      </c>
      <c r="R2327" t="s">
        <v>2394</v>
      </c>
      <c r="S2327" t="s">
        <v>271</v>
      </c>
    </row>
    <row r="2328" spans="1:19" x14ac:dyDescent="0.25">
      <c r="A2328" t="s">
        <v>44</v>
      </c>
      <c r="B2328" t="s">
        <v>51</v>
      </c>
      <c r="C2328" t="s">
        <v>32</v>
      </c>
      <c r="D2328" t="s">
        <v>227</v>
      </c>
      <c r="E2328" t="s">
        <v>270</v>
      </c>
      <c r="F2328" t="s">
        <v>35</v>
      </c>
      <c r="G2328" t="s">
        <v>35</v>
      </c>
      <c r="H2328" t="s">
        <v>35</v>
      </c>
      <c r="J2328" t="s">
        <v>2773</v>
      </c>
      <c r="K2328" t="s">
        <v>1092</v>
      </c>
      <c r="M2328">
        <v>0.15</v>
      </c>
      <c r="N2328">
        <v>30</v>
      </c>
      <c r="O2328" t="s">
        <v>46</v>
      </c>
      <c r="Q2328" t="s">
        <v>793</v>
      </c>
      <c r="R2328" t="s">
        <v>2394</v>
      </c>
      <c r="S2328" t="s">
        <v>271</v>
      </c>
    </row>
    <row r="2329" spans="1:19" x14ac:dyDescent="0.25">
      <c r="A2329" t="s">
        <v>59</v>
      </c>
      <c r="B2329" t="s">
        <v>31</v>
      </c>
      <c r="C2329" t="s">
        <v>32</v>
      </c>
      <c r="D2329" t="s">
        <v>227</v>
      </c>
      <c r="E2329" t="s">
        <v>270</v>
      </c>
      <c r="F2329" t="s">
        <v>35</v>
      </c>
      <c r="G2329" t="s">
        <v>35</v>
      </c>
      <c r="H2329" t="s">
        <v>35</v>
      </c>
      <c r="J2329" t="s">
        <v>2774</v>
      </c>
      <c r="K2329" t="s">
        <v>1092</v>
      </c>
      <c r="M2329">
        <v>0.76500000000000001</v>
      </c>
      <c r="N2329">
        <v>68</v>
      </c>
      <c r="O2329" t="s">
        <v>61</v>
      </c>
      <c r="Q2329" t="s">
        <v>146</v>
      </c>
      <c r="R2329" t="s">
        <v>2394</v>
      </c>
      <c r="S2329" t="s">
        <v>271</v>
      </c>
    </row>
    <row r="2330" spans="1:19" x14ac:dyDescent="0.25">
      <c r="A2330" t="s">
        <v>44</v>
      </c>
      <c r="B2330" t="s">
        <v>51</v>
      </c>
      <c r="C2330" t="s">
        <v>32</v>
      </c>
      <c r="D2330" t="s">
        <v>227</v>
      </c>
      <c r="E2330" t="s">
        <v>270</v>
      </c>
      <c r="F2330" t="s">
        <v>35</v>
      </c>
      <c r="G2330" t="s">
        <v>35</v>
      </c>
      <c r="H2330" t="s">
        <v>35</v>
      </c>
      <c r="J2330" t="s">
        <v>2775</v>
      </c>
      <c r="K2330" t="s">
        <v>1092</v>
      </c>
      <c r="M2330">
        <v>4.4999999999999998E-2</v>
      </c>
      <c r="N2330">
        <v>56</v>
      </c>
      <c r="O2330" t="s">
        <v>52</v>
      </c>
      <c r="Q2330" t="s">
        <v>453</v>
      </c>
      <c r="R2330" t="s">
        <v>2394</v>
      </c>
      <c r="S2330" t="s">
        <v>271</v>
      </c>
    </row>
    <row r="2331" spans="1:19" x14ac:dyDescent="0.25">
      <c r="A2331" t="s">
        <v>44</v>
      </c>
      <c r="B2331" t="s">
        <v>3</v>
      </c>
      <c r="C2331" t="s">
        <v>32</v>
      </c>
      <c r="D2331" t="s">
        <v>227</v>
      </c>
      <c r="E2331" t="s">
        <v>270</v>
      </c>
      <c r="F2331" t="s">
        <v>35</v>
      </c>
      <c r="G2331" t="s">
        <v>35</v>
      </c>
      <c r="H2331" t="s">
        <v>35</v>
      </c>
      <c r="J2331" t="s">
        <v>2776</v>
      </c>
      <c r="K2331" t="s">
        <v>1092</v>
      </c>
      <c r="M2331">
        <v>1</v>
      </c>
      <c r="N2331">
        <v>62</v>
      </c>
      <c r="O2331" t="s">
        <v>61</v>
      </c>
      <c r="Q2331" t="s">
        <v>90</v>
      </c>
      <c r="R2331" t="s">
        <v>2394</v>
      </c>
      <c r="S2331" t="s">
        <v>271</v>
      </c>
    </row>
    <row r="2332" spans="1:19" x14ac:dyDescent="0.25">
      <c r="A2332" t="s">
        <v>44</v>
      </c>
      <c r="B2332" t="s">
        <v>51</v>
      </c>
      <c r="C2332" t="s">
        <v>32</v>
      </c>
      <c r="D2332" t="s">
        <v>227</v>
      </c>
      <c r="E2332" t="s">
        <v>270</v>
      </c>
      <c r="F2332" t="s">
        <v>35</v>
      </c>
      <c r="G2332" t="s">
        <v>35</v>
      </c>
      <c r="H2332" t="s">
        <v>35</v>
      </c>
      <c r="J2332" t="s">
        <v>2776</v>
      </c>
      <c r="K2332" t="s">
        <v>1092</v>
      </c>
      <c r="M2332">
        <v>0.4</v>
      </c>
      <c r="N2332">
        <v>27</v>
      </c>
      <c r="O2332" t="s">
        <v>46</v>
      </c>
      <c r="Q2332" t="s">
        <v>1011</v>
      </c>
      <c r="R2332" t="s">
        <v>2394</v>
      </c>
      <c r="S2332" t="s">
        <v>271</v>
      </c>
    </row>
    <row r="2333" spans="1:19" x14ac:dyDescent="0.25">
      <c r="A2333" t="s">
        <v>44</v>
      </c>
      <c r="B2333" t="s">
        <v>51</v>
      </c>
      <c r="C2333" t="s">
        <v>32</v>
      </c>
      <c r="D2333" t="s">
        <v>227</v>
      </c>
      <c r="E2333" t="s">
        <v>270</v>
      </c>
      <c r="F2333" t="s">
        <v>35</v>
      </c>
      <c r="G2333" t="s">
        <v>35</v>
      </c>
      <c r="H2333" t="s">
        <v>35</v>
      </c>
      <c r="J2333" t="s">
        <v>2777</v>
      </c>
      <c r="K2333" t="s">
        <v>1092</v>
      </c>
      <c r="M2333">
        <v>0.5</v>
      </c>
      <c r="N2333">
        <v>51</v>
      </c>
      <c r="O2333" t="s">
        <v>52</v>
      </c>
      <c r="Q2333" t="s">
        <v>54</v>
      </c>
      <c r="R2333" t="s">
        <v>2394</v>
      </c>
      <c r="S2333" t="s">
        <v>271</v>
      </c>
    </row>
    <row r="2334" spans="1:19" x14ac:dyDescent="0.25">
      <c r="A2334" t="s">
        <v>30</v>
      </c>
      <c r="B2334" t="s">
        <v>31</v>
      </c>
      <c r="C2334" t="s">
        <v>32</v>
      </c>
      <c r="D2334" t="s">
        <v>227</v>
      </c>
      <c r="E2334" t="s">
        <v>270</v>
      </c>
      <c r="F2334" t="s">
        <v>35</v>
      </c>
      <c r="G2334" t="s">
        <v>35</v>
      </c>
      <c r="H2334" t="s">
        <v>35</v>
      </c>
      <c r="J2334" t="s">
        <v>2778</v>
      </c>
      <c r="K2334" t="s">
        <v>1092</v>
      </c>
      <c r="M2334">
        <v>0.22500000000000001</v>
      </c>
      <c r="N2334">
        <v>426</v>
      </c>
      <c r="O2334" t="s">
        <v>294</v>
      </c>
      <c r="Q2334" t="s">
        <v>1550</v>
      </c>
      <c r="R2334" t="s">
        <v>2391</v>
      </c>
      <c r="S2334" t="s">
        <v>236</v>
      </c>
    </row>
    <row r="2335" spans="1:19" x14ac:dyDescent="0.25">
      <c r="A2335" t="s">
        <v>30</v>
      </c>
      <c r="B2335" t="s">
        <v>31</v>
      </c>
      <c r="C2335" t="s">
        <v>32</v>
      </c>
      <c r="D2335" t="s">
        <v>227</v>
      </c>
      <c r="E2335" t="s">
        <v>270</v>
      </c>
      <c r="F2335" t="s">
        <v>35</v>
      </c>
      <c r="G2335" t="s">
        <v>35</v>
      </c>
      <c r="H2335" t="s">
        <v>35</v>
      </c>
      <c r="J2335" t="s">
        <v>2779</v>
      </c>
      <c r="K2335" t="s">
        <v>1092</v>
      </c>
      <c r="M2335">
        <v>0.36</v>
      </c>
      <c r="N2335">
        <v>170</v>
      </c>
      <c r="O2335" t="s">
        <v>38</v>
      </c>
      <c r="Q2335" t="s">
        <v>2780</v>
      </c>
      <c r="R2335" t="s">
        <v>2394</v>
      </c>
      <c r="S2335" t="s">
        <v>271</v>
      </c>
    </row>
    <row r="2336" spans="1:19" x14ac:dyDescent="0.25">
      <c r="A2336" t="s">
        <v>30</v>
      </c>
      <c r="B2336" t="s">
        <v>31</v>
      </c>
      <c r="C2336" t="s">
        <v>32</v>
      </c>
      <c r="D2336" t="s">
        <v>227</v>
      </c>
      <c r="E2336" t="s">
        <v>270</v>
      </c>
      <c r="F2336" t="s">
        <v>35</v>
      </c>
      <c r="G2336" t="s">
        <v>35</v>
      </c>
      <c r="H2336" t="s">
        <v>35</v>
      </c>
      <c r="J2336" t="s">
        <v>2781</v>
      </c>
      <c r="K2336" t="s">
        <v>1092</v>
      </c>
      <c r="M2336">
        <v>5.49</v>
      </c>
      <c r="N2336">
        <v>76</v>
      </c>
      <c r="O2336" t="s">
        <v>61</v>
      </c>
      <c r="Q2336" t="s">
        <v>234</v>
      </c>
      <c r="R2336" t="s">
        <v>2391</v>
      </c>
      <c r="S2336" t="s">
        <v>236</v>
      </c>
    </row>
    <row r="2337" spans="1:19" x14ac:dyDescent="0.25">
      <c r="A2337" t="s">
        <v>44</v>
      </c>
      <c r="B2337" t="s">
        <v>51</v>
      </c>
      <c r="C2337" t="s">
        <v>32</v>
      </c>
      <c r="D2337" t="s">
        <v>227</v>
      </c>
      <c r="E2337" t="s">
        <v>270</v>
      </c>
      <c r="F2337" t="s">
        <v>35</v>
      </c>
      <c r="G2337" t="s">
        <v>35</v>
      </c>
      <c r="H2337" t="s">
        <v>35</v>
      </c>
      <c r="J2337" t="s">
        <v>2781</v>
      </c>
      <c r="K2337" t="s">
        <v>1092</v>
      </c>
      <c r="M2337">
        <v>1</v>
      </c>
      <c r="N2337">
        <v>53</v>
      </c>
      <c r="O2337" t="s">
        <v>52</v>
      </c>
      <c r="Q2337" t="s">
        <v>332</v>
      </c>
      <c r="R2337" t="s">
        <v>2391</v>
      </c>
      <c r="S2337" t="s">
        <v>236</v>
      </c>
    </row>
    <row r="2338" spans="1:19" x14ac:dyDescent="0.25">
      <c r="A2338" t="s">
        <v>30</v>
      </c>
      <c r="B2338" t="s">
        <v>31</v>
      </c>
      <c r="C2338" t="s">
        <v>32</v>
      </c>
      <c r="D2338" t="s">
        <v>227</v>
      </c>
      <c r="E2338" t="s">
        <v>270</v>
      </c>
      <c r="F2338" t="s">
        <v>35</v>
      </c>
      <c r="G2338" t="s">
        <v>35</v>
      </c>
      <c r="H2338" t="s">
        <v>35</v>
      </c>
      <c r="J2338" t="s">
        <v>2782</v>
      </c>
      <c r="K2338" t="s">
        <v>1092</v>
      </c>
      <c r="M2338">
        <v>1.26</v>
      </c>
      <c r="N2338">
        <v>175</v>
      </c>
      <c r="O2338" t="s">
        <v>38</v>
      </c>
      <c r="Q2338" t="s">
        <v>1692</v>
      </c>
      <c r="R2338" t="s">
        <v>2387</v>
      </c>
      <c r="S2338" t="s">
        <v>277</v>
      </c>
    </row>
    <row r="2339" spans="1:19" x14ac:dyDescent="0.25">
      <c r="A2339" t="s">
        <v>59</v>
      </c>
      <c r="B2339" t="s">
        <v>31</v>
      </c>
      <c r="C2339" t="s">
        <v>32</v>
      </c>
      <c r="D2339" t="s">
        <v>227</v>
      </c>
      <c r="E2339" t="s">
        <v>270</v>
      </c>
      <c r="F2339" t="s">
        <v>35</v>
      </c>
      <c r="G2339" t="s">
        <v>35</v>
      </c>
      <c r="H2339" t="s">
        <v>35</v>
      </c>
      <c r="J2339" t="s">
        <v>2782</v>
      </c>
      <c r="K2339" t="s">
        <v>1092</v>
      </c>
      <c r="M2339">
        <v>4.41</v>
      </c>
      <c r="N2339">
        <v>133</v>
      </c>
      <c r="O2339" t="s">
        <v>38</v>
      </c>
      <c r="Q2339" t="s">
        <v>68</v>
      </c>
      <c r="R2339" t="s">
        <v>2444</v>
      </c>
      <c r="S2339" t="s">
        <v>2445</v>
      </c>
    </row>
    <row r="2340" spans="1:19" x14ac:dyDescent="0.25">
      <c r="A2340" t="s">
        <v>44</v>
      </c>
      <c r="B2340" t="s">
        <v>51</v>
      </c>
      <c r="C2340" t="s">
        <v>32</v>
      </c>
      <c r="D2340" t="s">
        <v>227</v>
      </c>
      <c r="E2340" t="s">
        <v>270</v>
      </c>
      <c r="F2340" t="s">
        <v>35</v>
      </c>
      <c r="G2340" t="s">
        <v>35</v>
      </c>
      <c r="H2340" t="s">
        <v>35</v>
      </c>
      <c r="J2340" t="s">
        <v>2782</v>
      </c>
      <c r="K2340" t="s">
        <v>1092</v>
      </c>
      <c r="M2340">
        <v>9.75</v>
      </c>
      <c r="N2340">
        <v>51</v>
      </c>
      <c r="O2340" t="s">
        <v>52</v>
      </c>
      <c r="Q2340" t="s">
        <v>54</v>
      </c>
      <c r="R2340" t="s">
        <v>2444</v>
      </c>
      <c r="S2340" t="s">
        <v>2445</v>
      </c>
    </row>
    <row r="2341" spans="1:19" x14ac:dyDescent="0.25">
      <c r="A2341" t="s">
        <v>59</v>
      </c>
      <c r="B2341" t="s">
        <v>60</v>
      </c>
      <c r="C2341" t="s">
        <v>32</v>
      </c>
      <c r="D2341" t="s">
        <v>227</v>
      </c>
      <c r="E2341" t="s">
        <v>270</v>
      </c>
      <c r="F2341" t="s">
        <v>35</v>
      </c>
      <c r="G2341" t="s">
        <v>35</v>
      </c>
      <c r="H2341" t="s">
        <v>35</v>
      </c>
      <c r="J2341" t="s">
        <v>2782</v>
      </c>
      <c r="K2341" t="s">
        <v>1092</v>
      </c>
      <c r="M2341">
        <v>4.75</v>
      </c>
      <c r="N2341">
        <v>53</v>
      </c>
      <c r="O2341" t="s">
        <v>52</v>
      </c>
      <c r="Q2341" t="s">
        <v>332</v>
      </c>
      <c r="R2341" t="s">
        <v>2444</v>
      </c>
      <c r="S2341" t="s">
        <v>2445</v>
      </c>
    </row>
    <row r="2342" spans="1:19" x14ac:dyDescent="0.25">
      <c r="A2342" t="s">
        <v>59</v>
      </c>
      <c r="B2342" t="s">
        <v>60</v>
      </c>
      <c r="C2342" t="s">
        <v>32</v>
      </c>
      <c r="D2342" t="s">
        <v>227</v>
      </c>
      <c r="E2342" t="s">
        <v>270</v>
      </c>
      <c r="F2342" t="s">
        <v>35</v>
      </c>
      <c r="G2342" t="s">
        <v>35</v>
      </c>
      <c r="H2342" t="s">
        <v>35</v>
      </c>
      <c r="J2342" t="s">
        <v>2783</v>
      </c>
      <c r="K2342" t="s">
        <v>1092</v>
      </c>
      <c r="M2342">
        <v>1.2</v>
      </c>
      <c r="N2342">
        <v>84</v>
      </c>
      <c r="O2342" t="s">
        <v>61</v>
      </c>
      <c r="Q2342" t="s">
        <v>778</v>
      </c>
      <c r="R2342" t="s">
        <v>2394</v>
      </c>
      <c r="S2342" t="s">
        <v>271</v>
      </c>
    </row>
    <row r="2343" spans="1:19" x14ac:dyDescent="0.25">
      <c r="A2343" t="s">
        <v>44</v>
      </c>
      <c r="B2343" t="s">
        <v>51</v>
      </c>
      <c r="C2343" t="s">
        <v>32</v>
      </c>
      <c r="D2343" t="s">
        <v>227</v>
      </c>
      <c r="E2343" t="s">
        <v>2785</v>
      </c>
      <c r="F2343" t="s">
        <v>35</v>
      </c>
      <c r="G2343" t="s">
        <v>35</v>
      </c>
      <c r="H2343" t="s">
        <v>35</v>
      </c>
      <c r="J2343" t="s">
        <v>2786</v>
      </c>
      <c r="K2343" t="s">
        <v>1092</v>
      </c>
      <c r="M2343">
        <v>0.5</v>
      </c>
      <c r="N2343">
        <v>63</v>
      </c>
      <c r="O2343" t="s">
        <v>61</v>
      </c>
      <c r="Q2343" t="s">
        <v>423</v>
      </c>
      <c r="R2343" t="s">
        <v>2387</v>
      </c>
      <c r="S2343" t="s">
        <v>277</v>
      </c>
    </row>
    <row r="2344" spans="1:19" x14ac:dyDescent="0.25">
      <c r="A2344" t="s">
        <v>30</v>
      </c>
      <c r="B2344" t="s">
        <v>31</v>
      </c>
      <c r="C2344" t="s">
        <v>32</v>
      </c>
      <c r="D2344" t="s">
        <v>227</v>
      </c>
      <c r="E2344" t="s">
        <v>2785</v>
      </c>
      <c r="F2344" t="s">
        <v>35</v>
      </c>
      <c r="G2344" t="s">
        <v>35</v>
      </c>
      <c r="H2344" t="s">
        <v>35</v>
      </c>
      <c r="J2344" t="s">
        <v>2786</v>
      </c>
      <c r="K2344" t="s">
        <v>1092</v>
      </c>
      <c r="M2344">
        <v>3.2850000000000001</v>
      </c>
      <c r="N2344">
        <v>72</v>
      </c>
      <c r="O2344" t="s">
        <v>61</v>
      </c>
      <c r="Q2344" t="s">
        <v>63</v>
      </c>
      <c r="R2344" t="s">
        <v>2387</v>
      </c>
      <c r="S2344" t="s">
        <v>277</v>
      </c>
    </row>
    <row r="2345" spans="1:19" x14ac:dyDescent="0.25">
      <c r="A2345" t="s">
        <v>44</v>
      </c>
      <c r="B2345" t="s">
        <v>51</v>
      </c>
      <c r="C2345" t="s">
        <v>32</v>
      </c>
      <c r="D2345" t="s">
        <v>227</v>
      </c>
      <c r="E2345" t="s">
        <v>2785</v>
      </c>
      <c r="F2345" t="s">
        <v>35</v>
      </c>
      <c r="G2345" t="s">
        <v>35</v>
      </c>
      <c r="H2345" t="s">
        <v>35</v>
      </c>
      <c r="J2345" t="s">
        <v>2787</v>
      </c>
      <c r="K2345" t="s">
        <v>1092</v>
      </c>
      <c r="M2345">
        <v>0.75</v>
      </c>
      <c r="N2345">
        <v>63</v>
      </c>
      <c r="O2345" t="s">
        <v>61</v>
      </c>
      <c r="Q2345" t="s">
        <v>423</v>
      </c>
      <c r="R2345" t="s">
        <v>2387</v>
      </c>
      <c r="S2345" t="s">
        <v>277</v>
      </c>
    </row>
    <row r="2346" spans="1:19" x14ac:dyDescent="0.25">
      <c r="A2346" t="s">
        <v>59</v>
      </c>
      <c r="B2346" t="s">
        <v>31</v>
      </c>
      <c r="C2346" t="s">
        <v>32</v>
      </c>
      <c r="D2346" t="s">
        <v>227</v>
      </c>
      <c r="E2346" t="s">
        <v>2785</v>
      </c>
      <c r="F2346" t="s">
        <v>35</v>
      </c>
      <c r="G2346" t="s">
        <v>35</v>
      </c>
      <c r="H2346" t="s">
        <v>35</v>
      </c>
      <c r="J2346" t="s">
        <v>2787</v>
      </c>
      <c r="K2346" t="s">
        <v>1092</v>
      </c>
      <c r="M2346">
        <v>1.35</v>
      </c>
      <c r="N2346">
        <v>72</v>
      </c>
      <c r="O2346" t="s">
        <v>61</v>
      </c>
      <c r="Q2346" t="s">
        <v>63</v>
      </c>
      <c r="R2346" t="s">
        <v>2387</v>
      </c>
      <c r="S2346" t="s">
        <v>277</v>
      </c>
    </row>
    <row r="2347" spans="1:19" x14ac:dyDescent="0.25">
      <c r="A2347" t="s">
        <v>59</v>
      </c>
      <c r="B2347" t="s">
        <v>60</v>
      </c>
      <c r="C2347" t="s">
        <v>32</v>
      </c>
      <c r="D2347" t="s">
        <v>227</v>
      </c>
      <c r="E2347" t="s">
        <v>2785</v>
      </c>
      <c r="F2347" t="s">
        <v>35</v>
      </c>
      <c r="G2347" t="s">
        <v>35</v>
      </c>
      <c r="H2347" t="s">
        <v>35</v>
      </c>
      <c r="J2347" t="s">
        <v>2788</v>
      </c>
      <c r="K2347" t="s">
        <v>1092</v>
      </c>
      <c r="M2347">
        <v>0.5</v>
      </c>
      <c r="N2347">
        <v>59</v>
      </c>
      <c r="O2347" t="s">
        <v>52</v>
      </c>
      <c r="Q2347" t="s">
        <v>84</v>
      </c>
      <c r="R2347" t="s">
        <v>250</v>
      </c>
      <c r="S2347" t="s">
        <v>242</v>
      </c>
    </row>
    <row r="2348" spans="1:19" x14ac:dyDescent="0.25">
      <c r="A2348" t="s">
        <v>44</v>
      </c>
      <c r="B2348" t="s">
        <v>51</v>
      </c>
      <c r="C2348" t="s">
        <v>32</v>
      </c>
      <c r="D2348" t="s">
        <v>227</v>
      </c>
      <c r="E2348" t="s">
        <v>2785</v>
      </c>
      <c r="F2348" t="s">
        <v>35</v>
      </c>
      <c r="G2348" t="s">
        <v>35</v>
      </c>
      <c r="H2348" t="s">
        <v>35</v>
      </c>
      <c r="J2348" t="s">
        <v>2789</v>
      </c>
      <c r="K2348" t="s">
        <v>1092</v>
      </c>
      <c r="M2348">
        <v>1.9</v>
      </c>
      <c r="N2348">
        <v>60</v>
      </c>
      <c r="O2348" t="s">
        <v>52</v>
      </c>
      <c r="Q2348" t="s">
        <v>1734</v>
      </c>
      <c r="R2348" t="s">
        <v>2387</v>
      </c>
      <c r="S2348" t="s">
        <v>277</v>
      </c>
    </row>
    <row r="2349" spans="1:19" x14ac:dyDescent="0.25">
      <c r="A2349" t="s">
        <v>59</v>
      </c>
      <c r="B2349" t="s">
        <v>31</v>
      </c>
      <c r="C2349" t="s">
        <v>32</v>
      </c>
      <c r="D2349" t="s">
        <v>227</v>
      </c>
      <c r="E2349" t="s">
        <v>2785</v>
      </c>
      <c r="F2349" t="s">
        <v>35</v>
      </c>
      <c r="G2349" t="s">
        <v>35</v>
      </c>
      <c r="H2349" t="s">
        <v>35</v>
      </c>
      <c r="J2349" t="s">
        <v>2790</v>
      </c>
      <c r="K2349" t="s">
        <v>1092</v>
      </c>
      <c r="M2349">
        <v>0.45</v>
      </c>
      <c r="N2349">
        <v>72</v>
      </c>
      <c r="O2349" t="s">
        <v>61</v>
      </c>
      <c r="Q2349" t="s">
        <v>63</v>
      </c>
      <c r="R2349" t="s">
        <v>2387</v>
      </c>
      <c r="S2349" t="s">
        <v>277</v>
      </c>
    </row>
    <row r="2350" spans="1:19" x14ac:dyDescent="0.25">
      <c r="A2350" t="s">
        <v>59</v>
      </c>
      <c r="B2350" t="s">
        <v>31</v>
      </c>
      <c r="C2350" t="s">
        <v>32</v>
      </c>
      <c r="D2350" t="s">
        <v>227</v>
      </c>
      <c r="E2350" t="s">
        <v>2785</v>
      </c>
      <c r="F2350" t="s">
        <v>35</v>
      </c>
      <c r="G2350" t="s">
        <v>35</v>
      </c>
      <c r="H2350" t="s">
        <v>35</v>
      </c>
      <c r="J2350" t="s">
        <v>2791</v>
      </c>
      <c r="K2350" t="s">
        <v>1092</v>
      </c>
      <c r="M2350">
        <v>6.3</v>
      </c>
      <c r="N2350">
        <v>100</v>
      </c>
      <c r="O2350" t="s">
        <v>106</v>
      </c>
      <c r="Q2350" t="s">
        <v>1112</v>
      </c>
      <c r="R2350" t="s">
        <v>250</v>
      </c>
      <c r="S2350" t="s">
        <v>242</v>
      </c>
    </row>
    <row r="2351" spans="1:19" x14ac:dyDescent="0.25">
      <c r="A2351" t="s">
        <v>59</v>
      </c>
      <c r="B2351" t="s">
        <v>31</v>
      </c>
      <c r="C2351" t="s">
        <v>32</v>
      </c>
      <c r="D2351" t="s">
        <v>227</v>
      </c>
      <c r="E2351" t="s">
        <v>2785</v>
      </c>
      <c r="F2351" t="s">
        <v>35</v>
      </c>
      <c r="G2351" t="s">
        <v>35</v>
      </c>
      <c r="H2351" t="s">
        <v>35</v>
      </c>
      <c r="J2351" t="s">
        <v>2791</v>
      </c>
      <c r="K2351" t="s">
        <v>1092</v>
      </c>
      <c r="M2351">
        <v>4.8949999999999996</v>
      </c>
      <c r="N2351">
        <v>95</v>
      </c>
      <c r="O2351" t="s">
        <v>106</v>
      </c>
      <c r="Q2351" t="s">
        <v>724</v>
      </c>
      <c r="R2351" t="s">
        <v>250</v>
      </c>
      <c r="S2351" t="s">
        <v>242</v>
      </c>
    </row>
    <row r="2352" spans="1:19" x14ac:dyDescent="0.25">
      <c r="A2352" t="s">
        <v>30</v>
      </c>
      <c r="B2352" t="s">
        <v>31</v>
      </c>
      <c r="C2352" t="s">
        <v>32</v>
      </c>
      <c r="D2352" t="s">
        <v>227</v>
      </c>
      <c r="E2352" t="s">
        <v>2785</v>
      </c>
      <c r="F2352" t="s">
        <v>35</v>
      </c>
      <c r="G2352" t="s">
        <v>35</v>
      </c>
      <c r="H2352" t="s">
        <v>35</v>
      </c>
      <c r="J2352" t="s">
        <v>2792</v>
      </c>
      <c r="K2352" t="s">
        <v>1092</v>
      </c>
      <c r="M2352">
        <v>1.71</v>
      </c>
      <c r="N2352">
        <v>49</v>
      </c>
      <c r="O2352" t="s">
        <v>52</v>
      </c>
      <c r="Q2352" t="s">
        <v>219</v>
      </c>
      <c r="R2352" t="s">
        <v>250</v>
      </c>
      <c r="S2352" t="s">
        <v>242</v>
      </c>
    </row>
    <row r="2353" spans="1:19" x14ac:dyDescent="0.25">
      <c r="A2353" t="s">
        <v>44</v>
      </c>
      <c r="B2353" t="s">
        <v>51</v>
      </c>
      <c r="C2353" t="s">
        <v>32</v>
      </c>
      <c r="D2353" t="s">
        <v>227</v>
      </c>
      <c r="E2353" t="s">
        <v>2785</v>
      </c>
      <c r="F2353" t="s">
        <v>35</v>
      </c>
      <c r="G2353" t="s">
        <v>35</v>
      </c>
      <c r="H2353" t="s">
        <v>35</v>
      </c>
      <c r="J2353" t="s">
        <v>2793</v>
      </c>
      <c r="K2353" t="s">
        <v>1092</v>
      </c>
      <c r="M2353">
        <v>2.5</v>
      </c>
      <c r="N2353">
        <v>63</v>
      </c>
      <c r="O2353" t="s">
        <v>61</v>
      </c>
      <c r="Q2353" t="s">
        <v>423</v>
      </c>
      <c r="R2353" t="s">
        <v>2387</v>
      </c>
      <c r="S2353" t="s">
        <v>277</v>
      </c>
    </row>
    <row r="2354" spans="1:19" x14ac:dyDescent="0.25">
      <c r="A2354" t="s">
        <v>59</v>
      </c>
      <c r="B2354" t="s">
        <v>31</v>
      </c>
      <c r="C2354" t="s">
        <v>32</v>
      </c>
      <c r="D2354" t="s">
        <v>227</v>
      </c>
      <c r="E2354" t="s">
        <v>2794</v>
      </c>
      <c r="F2354" t="s">
        <v>35</v>
      </c>
      <c r="G2354" t="s">
        <v>35</v>
      </c>
      <c r="H2354" t="s">
        <v>35</v>
      </c>
      <c r="J2354" t="s">
        <v>2795</v>
      </c>
      <c r="K2354" t="s">
        <v>1092</v>
      </c>
      <c r="M2354">
        <v>5.31</v>
      </c>
      <c r="N2354">
        <v>81</v>
      </c>
      <c r="O2354" t="s">
        <v>61</v>
      </c>
      <c r="Q2354" t="s">
        <v>527</v>
      </c>
      <c r="R2354" t="s">
        <v>2387</v>
      </c>
      <c r="S2354" t="s">
        <v>277</v>
      </c>
    </row>
    <row r="2355" spans="1:19" x14ac:dyDescent="0.25">
      <c r="A2355" t="s">
        <v>30</v>
      </c>
      <c r="B2355" t="s">
        <v>31</v>
      </c>
      <c r="C2355" t="s">
        <v>32</v>
      </c>
      <c r="D2355" t="s">
        <v>227</v>
      </c>
      <c r="E2355" t="s">
        <v>2794</v>
      </c>
      <c r="F2355" t="s">
        <v>35</v>
      </c>
      <c r="G2355" t="s">
        <v>35</v>
      </c>
      <c r="H2355" t="s">
        <v>35</v>
      </c>
      <c r="J2355" t="s">
        <v>2795</v>
      </c>
      <c r="K2355" t="s">
        <v>1092</v>
      </c>
      <c r="M2355">
        <v>4.5</v>
      </c>
      <c r="N2355">
        <v>72</v>
      </c>
      <c r="O2355" t="s">
        <v>61</v>
      </c>
      <c r="Q2355" t="s">
        <v>63</v>
      </c>
      <c r="R2355" t="s">
        <v>2387</v>
      </c>
      <c r="S2355" t="s">
        <v>277</v>
      </c>
    </row>
    <row r="2356" spans="1:19" x14ac:dyDescent="0.25">
      <c r="A2356" t="s">
        <v>59</v>
      </c>
      <c r="B2356" t="s">
        <v>60</v>
      </c>
      <c r="C2356" t="s">
        <v>32</v>
      </c>
      <c r="D2356" t="s">
        <v>227</v>
      </c>
      <c r="E2356" t="s">
        <v>2794</v>
      </c>
      <c r="F2356" t="s">
        <v>35</v>
      </c>
      <c r="G2356" t="s">
        <v>35</v>
      </c>
      <c r="H2356" t="s">
        <v>35</v>
      </c>
      <c r="J2356" t="s">
        <v>2796</v>
      </c>
      <c r="K2356" t="s">
        <v>1092</v>
      </c>
      <c r="M2356">
        <v>0.4</v>
      </c>
      <c r="N2356">
        <v>56</v>
      </c>
      <c r="O2356" t="s">
        <v>52</v>
      </c>
      <c r="Q2356" t="s">
        <v>453</v>
      </c>
      <c r="R2356" t="s">
        <v>2387</v>
      </c>
      <c r="S2356" t="s">
        <v>277</v>
      </c>
    </row>
    <row r="2357" spans="1:19" x14ac:dyDescent="0.25">
      <c r="A2357" t="s">
        <v>30</v>
      </c>
      <c r="B2357" t="s">
        <v>31</v>
      </c>
      <c r="C2357" t="s">
        <v>32</v>
      </c>
      <c r="D2357" t="s">
        <v>227</v>
      </c>
      <c r="E2357" t="s">
        <v>2794</v>
      </c>
      <c r="F2357" t="s">
        <v>35</v>
      </c>
      <c r="G2357" t="s">
        <v>35</v>
      </c>
      <c r="H2357" t="s">
        <v>35</v>
      </c>
      <c r="J2357" t="s">
        <v>2797</v>
      </c>
      <c r="K2357" t="s">
        <v>1092</v>
      </c>
      <c r="M2357">
        <v>1.2150000000000001</v>
      </c>
      <c r="N2357">
        <v>72</v>
      </c>
      <c r="O2357" t="s">
        <v>61</v>
      </c>
      <c r="Q2357" t="s">
        <v>63</v>
      </c>
      <c r="R2357" t="s">
        <v>2387</v>
      </c>
      <c r="S2357" t="s">
        <v>277</v>
      </c>
    </row>
    <row r="2358" spans="1:19" x14ac:dyDescent="0.25">
      <c r="A2358" t="s">
        <v>30</v>
      </c>
      <c r="B2358" t="s">
        <v>31</v>
      </c>
      <c r="C2358" t="s">
        <v>32</v>
      </c>
      <c r="D2358" t="s">
        <v>227</v>
      </c>
      <c r="E2358" t="s">
        <v>2794</v>
      </c>
      <c r="F2358" t="s">
        <v>35</v>
      </c>
      <c r="G2358" t="s">
        <v>35</v>
      </c>
      <c r="H2358" t="s">
        <v>35</v>
      </c>
      <c r="J2358" t="s">
        <v>2798</v>
      </c>
      <c r="K2358" t="s">
        <v>1092</v>
      </c>
      <c r="M2358">
        <v>2.0249999999999999</v>
      </c>
      <c r="N2358">
        <v>72</v>
      </c>
      <c r="O2358" t="s">
        <v>61</v>
      </c>
      <c r="Q2358" t="s">
        <v>63</v>
      </c>
      <c r="R2358" t="s">
        <v>2387</v>
      </c>
      <c r="S2358" t="s">
        <v>277</v>
      </c>
    </row>
    <row r="2359" spans="1:19" x14ac:dyDescent="0.25">
      <c r="A2359" t="s">
        <v>44</v>
      </c>
      <c r="B2359" t="s">
        <v>3</v>
      </c>
      <c r="C2359" t="s">
        <v>32</v>
      </c>
      <c r="D2359" t="s">
        <v>227</v>
      </c>
      <c r="E2359" t="s">
        <v>2794</v>
      </c>
      <c r="F2359" t="s">
        <v>35</v>
      </c>
      <c r="G2359" t="s">
        <v>35</v>
      </c>
      <c r="H2359" t="s">
        <v>35</v>
      </c>
      <c r="J2359" t="s">
        <v>2799</v>
      </c>
      <c r="K2359" t="s">
        <v>1092</v>
      </c>
      <c r="M2359">
        <v>2.1</v>
      </c>
      <c r="N2359">
        <v>409</v>
      </c>
      <c r="O2359" t="s">
        <v>294</v>
      </c>
      <c r="Q2359" t="s">
        <v>2800</v>
      </c>
      <c r="R2359" t="s">
        <v>2801</v>
      </c>
      <c r="S2359" t="s">
        <v>281</v>
      </c>
    </row>
    <row r="2360" spans="1:19" x14ac:dyDescent="0.25">
      <c r="A2360" t="s">
        <v>30</v>
      </c>
      <c r="B2360" t="s">
        <v>31</v>
      </c>
      <c r="C2360" t="s">
        <v>32</v>
      </c>
      <c r="D2360" t="s">
        <v>227</v>
      </c>
      <c r="E2360" t="s">
        <v>2794</v>
      </c>
      <c r="F2360" t="s">
        <v>35</v>
      </c>
      <c r="G2360" t="s">
        <v>35</v>
      </c>
      <c r="H2360" t="s">
        <v>35</v>
      </c>
      <c r="J2360" t="s">
        <v>2802</v>
      </c>
      <c r="K2360" t="s">
        <v>1092</v>
      </c>
      <c r="M2360">
        <v>4.4999999999999998E-2</v>
      </c>
      <c r="N2360">
        <v>429</v>
      </c>
      <c r="O2360" t="s">
        <v>294</v>
      </c>
      <c r="Q2360" t="s">
        <v>2570</v>
      </c>
      <c r="R2360" t="s">
        <v>256</v>
      </c>
      <c r="S2360" t="s">
        <v>257</v>
      </c>
    </row>
    <row r="2361" spans="1:19" x14ac:dyDescent="0.25">
      <c r="A2361" t="s">
        <v>44</v>
      </c>
      <c r="B2361" t="s">
        <v>3</v>
      </c>
      <c r="C2361" t="s">
        <v>32</v>
      </c>
      <c r="D2361" t="s">
        <v>227</v>
      </c>
      <c r="E2361" t="s">
        <v>2794</v>
      </c>
      <c r="F2361" t="s">
        <v>35</v>
      </c>
      <c r="G2361" t="s">
        <v>35</v>
      </c>
      <c r="H2361" t="s">
        <v>35</v>
      </c>
      <c r="J2361" t="s">
        <v>2802</v>
      </c>
      <c r="K2361" t="s">
        <v>1092</v>
      </c>
      <c r="M2361">
        <v>1.5</v>
      </c>
      <c r="N2361">
        <v>50</v>
      </c>
      <c r="O2361" t="s">
        <v>52</v>
      </c>
      <c r="Q2361" t="s">
        <v>425</v>
      </c>
      <c r="R2361" t="s">
        <v>2801</v>
      </c>
      <c r="S2361" t="s">
        <v>281</v>
      </c>
    </row>
    <row r="2362" spans="1:19" x14ac:dyDescent="0.25">
      <c r="A2362" t="s">
        <v>30</v>
      </c>
      <c r="B2362" t="s">
        <v>31</v>
      </c>
      <c r="C2362" t="s">
        <v>32</v>
      </c>
      <c r="D2362" t="s">
        <v>227</v>
      </c>
      <c r="E2362" t="s">
        <v>2794</v>
      </c>
      <c r="F2362" t="s">
        <v>35</v>
      </c>
      <c r="G2362" t="s">
        <v>35</v>
      </c>
      <c r="H2362" t="s">
        <v>35</v>
      </c>
      <c r="J2362" t="s">
        <v>2803</v>
      </c>
      <c r="K2362" t="s">
        <v>1092</v>
      </c>
      <c r="M2362">
        <v>1.0349999999999999</v>
      </c>
      <c r="N2362">
        <v>47</v>
      </c>
      <c r="O2362" t="s">
        <v>52</v>
      </c>
      <c r="Q2362" t="s">
        <v>132</v>
      </c>
      <c r="R2362" t="s">
        <v>2394</v>
      </c>
      <c r="S2362" t="s">
        <v>271</v>
      </c>
    </row>
    <row r="2363" spans="1:19" x14ac:dyDescent="0.25">
      <c r="A2363" t="s">
        <v>30</v>
      </c>
      <c r="B2363" t="s">
        <v>31</v>
      </c>
      <c r="C2363" t="s">
        <v>32</v>
      </c>
      <c r="D2363" t="s">
        <v>227</v>
      </c>
      <c r="E2363" t="s">
        <v>276</v>
      </c>
      <c r="F2363" t="s">
        <v>35</v>
      </c>
      <c r="G2363" t="s">
        <v>35</v>
      </c>
      <c r="H2363" t="s">
        <v>35</v>
      </c>
      <c r="J2363" t="s">
        <v>2804</v>
      </c>
      <c r="K2363" t="s">
        <v>1092</v>
      </c>
      <c r="M2363">
        <v>9.0449999999999999</v>
      </c>
      <c r="N2363">
        <v>47</v>
      </c>
      <c r="O2363" t="s">
        <v>52</v>
      </c>
      <c r="Q2363" t="s">
        <v>132</v>
      </c>
      <c r="R2363" t="s">
        <v>2444</v>
      </c>
      <c r="S2363" t="s">
        <v>2445</v>
      </c>
    </row>
    <row r="2364" spans="1:19" x14ac:dyDescent="0.25">
      <c r="A2364" t="s">
        <v>59</v>
      </c>
      <c r="B2364" t="s">
        <v>31</v>
      </c>
      <c r="C2364" t="s">
        <v>32</v>
      </c>
      <c r="D2364" t="s">
        <v>227</v>
      </c>
      <c r="E2364" t="s">
        <v>276</v>
      </c>
      <c r="F2364" t="s">
        <v>35</v>
      </c>
      <c r="G2364" t="s">
        <v>35</v>
      </c>
      <c r="H2364" t="s">
        <v>35</v>
      </c>
      <c r="J2364" t="s">
        <v>2805</v>
      </c>
      <c r="K2364" t="s">
        <v>1092</v>
      </c>
      <c r="M2364">
        <v>1.665</v>
      </c>
      <c r="N2364">
        <v>69</v>
      </c>
      <c r="O2364" t="s">
        <v>61</v>
      </c>
      <c r="Q2364" t="s">
        <v>139</v>
      </c>
      <c r="R2364" t="s">
        <v>2387</v>
      </c>
      <c r="S2364" t="s">
        <v>277</v>
      </c>
    </row>
    <row r="2365" spans="1:19" x14ac:dyDescent="0.25">
      <c r="A2365" t="s">
        <v>44</v>
      </c>
      <c r="B2365" t="s">
        <v>3</v>
      </c>
      <c r="C2365" t="s">
        <v>32</v>
      </c>
      <c r="D2365" t="s">
        <v>227</v>
      </c>
      <c r="E2365" t="s">
        <v>276</v>
      </c>
      <c r="F2365" t="s">
        <v>35</v>
      </c>
      <c r="G2365" t="s">
        <v>35</v>
      </c>
      <c r="H2365" t="s">
        <v>35</v>
      </c>
      <c r="J2365" t="s">
        <v>2806</v>
      </c>
      <c r="K2365" t="s">
        <v>1092</v>
      </c>
      <c r="M2365">
        <v>0.25</v>
      </c>
      <c r="N2365">
        <v>33</v>
      </c>
      <c r="O2365" t="s">
        <v>52</v>
      </c>
      <c r="Q2365" t="s">
        <v>137</v>
      </c>
      <c r="R2365" t="s">
        <v>2387</v>
      </c>
      <c r="S2365" t="s">
        <v>277</v>
      </c>
    </row>
    <row r="2366" spans="1:19" x14ac:dyDescent="0.25">
      <c r="A2366" t="s">
        <v>59</v>
      </c>
      <c r="B2366" t="s">
        <v>60</v>
      </c>
      <c r="C2366" t="s">
        <v>32</v>
      </c>
      <c r="D2366" t="s">
        <v>227</v>
      </c>
      <c r="E2366" t="s">
        <v>276</v>
      </c>
      <c r="F2366" t="s">
        <v>35</v>
      </c>
      <c r="G2366" t="s">
        <v>35</v>
      </c>
      <c r="H2366" t="s">
        <v>35</v>
      </c>
      <c r="J2366" t="s">
        <v>2806</v>
      </c>
      <c r="K2366" t="s">
        <v>1092</v>
      </c>
      <c r="M2366">
        <v>5.0999999999999996</v>
      </c>
      <c r="N2366">
        <v>90</v>
      </c>
      <c r="O2366" t="s">
        <v>61</v>
      </c>
      <c r="Q2366" t="s">
        <v>897</v>
      </c>
      <c r="R2366" t="s">
        <v>2387</v>
      </c>
      <c r="S2366" t="s">
        <v>277</v>
      </c>
    </row>
    <row r="2367" spans="1:19" x14ac:dyDescent="0.25">
      <c r="A2367" t="s">
        <v>44</v>
      </c>
      <c r="B2367" t="s">
        <v>51</v>
      </c>
      <c r="C2367" t="s">
        <v>32</v>
      </c>
      <c r="D2367" t="s">
        <v>227</v>
      </c>
      <c r="E2367" t="s">
        <v>276</v>
      </c>
      <c r="F2367" t="s">
        <v>35</v>
      </c>
      <c r="G2367" t="s">
        <v>35</v>
      </c>
      <c r="H2367" t="s">
        <v>35</v>
      </c>
      <c r="J2367" t="s">
        <v>2807</v>
      </c>
      <c r="K2367" t="s">
        <v>1092</v>
      </c>
      <c r="M2367">
        <v>1.9</v>
      </c>
      <c r="N2367">
        <v>62</v>
      </c>
      <c r="O2367" t="s">
        <v>61</v>
      </c>
      <c r="Q2367" t="s">
        <v>90</v>
      </c>
      <c r="R2367" t="s">
        <v>2387</v>
      </c>
      <c r="S2367" t="s">
        <v>277</v>
      </c>
    </row>
    <row r="2368" spans="1:19" x14ac:dyDescent="0.25">
      <c r="A2368" t="s">
        <v>44</v>
      </c>
      <c r="B2368" t="s">
        <v>51</v>
      </c>
      <c r="C2368" t="s">
        <v>32</v>
      </c>
      <c r="D2368" t="s">
        <v>227</v>
      </c>
      <c r="E2368" t="s">
        <v>276</v>
      </c>
      <c r="F2368" t="s">
        <v>35</v>
      </c>
      <c r="G2368" t="s">
        <v>35</v>
      </c>
      <c r="H2368" t="s">
        <v>35</v>
      </c>
      <c r="J2368" t="s">
        <v>8233</v>
      </c>
      <c r="K2368" t="s">
        <v>1092</v>
      </c>
      <c r="M2368">
        <v>5</v>
      </c>
      <c r="N2368">
        <v>6</v>
      </c>
      <c r="O2368" t="s">
        <v>46</v>
      </c>
      <c r="Q2368" t="s">
        <v>8168</v>
      </c>
      <c r="R2368" t="s">
        <v>2387</v>
      </c>
      <c r="S2368" t="s">
        <v>277</v>
      </c>
    </row>
    <row r="2369" spans="1:19" x14ac:dyDescent="0.25">
      <c r="A2369" t="s">
        <v>59</v>
      </c>
      <c r="B2369" t="s">
        <v>60</v>
      </c>
      <c r="C2369" t="s">
        <v>32</v>
      </c>
      <c r="D2369" t="s">
        <v>227</v>
      </c>
      <c r="E2369" t="s">
        <v>276</v>
      </c>
      <c r="F2369" t="s">
        <v>35</v>
      </c>
      <c r="G2369" t="s">
        <v>35</v>
      </c>
      <c r="H2369" t="s">
        <v>35</v>
      </c>
      <c r="J2369" t="s">
        <v>8233</v>
      </c>
      <c r="K2369" t="s">
        <v>1092</v>
      </c>
      <c r="M2369">
        <v>5.85</v>
      </c>
      <c r="N2369">
        <v>6</v>
      </c>
      <c r="O2369" t="s">
        <v>46</v>
      </c>
      <c r="Q2369" t="s">
        <v>8168</v>
      </c>
      <c r="R2369" t="s">
        <v>2387</v>
      </c>
      <c r="S2369" t="s">
        <v>277</v>
      </c>
    </row>
    <row r="2370" spans="1:19" x14ac:dyDescent="0.25">
      <c r="A2370" t="s">
        <v>44</v>
      </c>
      <c r="B2370" t="s">
        <v>3</v>
      </c>
      <c r="C2370" t="s">
        <v>32</v>
      </c>
      <c r="D2370" t="s">
        <v>227</v>
      </c>
      <c r="E2370" t="s">
        <v>276</v>
      </c>
      <c r="F2370" t="s">
        <v>35</v>
      </c>
      <c r="G2370" t="s">
        <v>35</v>
      </c>
      <c r="H2370" t="s">
        <v>35</v>
      </c>
      <c r="J2370" t="s">
        <v>2808</v>
      </c>
      <c r="K2370" t="s">
        <v>404</v>
      </c>
      <c r="M2370">
        <v>0.5</v>
      </c>
      <c r="N2370">
        <v>41</v>
      </c>
      <c r="O2370" t="s">
        <v>52</v>
      </c>
      <c r="Q2370" t="s">
        <v>249</v>
      </c>
      <c r="R2370" t="s">
        <v>2387</v>
      </c>
      <c r="S2370" t="s">
        <v>277</v>
      </c>
    </row>
    <row r="2371" spans="1:19" x14ac:dyDescent="0.25">
      <c r="A2371" t="s">
        <v>30</v>
      </c>
      <c r="B2371" t="s">
        <v>31</v>
      </c>
      <c r="C2371" t="s">
        <v>32</v>
      </c>
      <c r="D2371" t="s">
        <v>227</v>
      </c>
      <c r="E2371" t="s">
        <v>276</v>
      </c>
      <c r="F2371" t="s">
        <v>35</v>
      </c>
      <c r="G2371" t="s">
        <v>35</v>
      </c>
      <c r="H2371" t="s">
        <v>35</v>
      </c>
      <c r="J2371" t="s">
        <v>2809</v>
      </c>
      <c r="K2371" t="s">
        <v>1092</v>
      </c>
      <c r="M2371">
        <v>2.5000000000000001E-2</v>
      </c>
      <c r="N2371">
        <v>1132</v>
      </c>
      <c r="O2371" t="s">
        <v>575</v>
      </c>
      <c r="Q2371" t="s">
        <v>2810</v>
      </c>
      <c r="R2371" t="s">
        <v>2387</v>
      </c>
      <c r="S2371" t="s">
        <v>277</v>
      </c>
    </row>
    <row r="2372" spans="1:19" x14ac:dyDescent="0.25">
      <c r="A2372" t="s">
        <v>59</v>
      </c>
      <c r="B2372" t="s">
        <v>31</v>
      </c>
      <c r="C2372" t="s">
        <v>32</v>
      </c>
      <c r="D2372" t="s">
        <v>227</v>
      </c>
      <c r="E2372" t="s">
        <v>276</v>
      </c>
      <c r="F2372" t="s">
        <v>35</v>
      </c>
      <c r="G2372" t="s">
        <v>35</v>
      </c>
      <c r="H2372" t="s">
        <v>35</v>
      </c>
      <c r="J2372" t="s">
        <v>2809</v>
      </c>
      <c r="K2372" t="s">
        <v>1092</v>
      </c>
      <c r="M2372">
        <v>2.5000000000000001E-2</v>
      </c>
      <c r="N2372">
        <v>1132</v>
      </c>
      <c r="O2372" t="s">
        <v>575</v>
      </c>
      <c r="Q2372" t="s">
        <v>2810</v>
      </c>
      <c r="R2372" t="s">
        <v>2387</v>
      </c>
      <c r="S2372" t="s">
        <v>277</v>
      </c>
    </row>
    <row r="2373" spans="1:19" x14ac:dyDescent="0.25">
      <c r="A2373" t="s">
        <v>59</v>
      </c>
      <c r="B2373" t="s">
        <v>60</v>
      </c>
      <c r="C2373" t="s">
        <v>32</v>
      </c>
      <c r="D2373" t="s">
        <v>227</v>
      </c>
      <c r="E2373" t="s">
        <v>276</v>
      </c>
      <c r="F2373" t="s">
        <v>35</v>
      </c>
      <c r="G2373" t="s">
        <v>35</v>
      </c>
      <c r="H2373" t="s">
        <v>35</v>
      </c>
      <c r="J2373" t="s">
        <v>2811</v>
      </c>
      <c r="K2373" t="s">
        <v>1092</v>
      </c>
      <c r="M2373">
        <v>0.05</v>
      </c>
      <c r="N2373">
        <v>1561</v>
      </c>
      <c r="O2373" t="s">
        <v>575</v>
      </c>
      <c r="Q2373" t="s">
        <v>2812</v>
      </c>
      <c r="R2373" t="s">
        <v>2801</v>
      </c>
      <c r="S2373" t="s">
        <v>281</v>
      </c>
    </row>
    <row r="2374" spans="1:19" x14ac:dyDescent="0.25">
      <c r="A2374" t="s">
        <v>44</v>
      </c>
      <c r="B2374" t="s">
        <v>3</v>
      </c>
      <c r="C2374" t="s">
        <v>32</v>
      </c>
      <c r="D2374" t="s">
        <v>227</v>
      </c>
      <c r="E2374" t="s">
        <v>276</v>
      </c>
      <c r="F2374" t="s">
        <v>35</v>
      </c>
      <c r="G2374" t="s">
        <v>35</v>
      </c>
      <c r="H2374" t="s">
        <v>35</v>
      </c>
      <c r="J2374" t="s">
        <v>2813</v>
      </c>
      <c r="K2374" t="s">
        <v>1092</v>
      </c>
      <c r="M2374">
        <v>0.5</v>
      </c>
      <c r="N2374">
        <v>52</v>
      </c>
      <c r="O2374" t="s">
        <v>52</v>
      </c>
      <c r="Q2374" t="s">
        <v>1230</v>
      </c>
      <c r="R2374" t="s">
        <v>2387</v>
      </c>
      <c r="S2374" t="s">
        <v>277</v>
      </c>
    </row>
    <row r="2375" spans="1:19" x14ac:dyDescent="0.25">
      <c r="A2375" t="s">
        <v>59</v>
      </c>
      <c r="B2375" t="s">
        <v>60</v>
      </c>
      <c r="C2375" t="s">
        <v>32</v>
      </c>
      <c r="D2375" t="s">
        <v>227</v>
      </c>
      <c r="E2375" t="s">
        <v>276</v>
      </c>
      <c r="F2375" t="s">
        <v>35</v>
      </c>
      <c r="G2375" t="s">
        <v>35</v>
      </c>
      <c r="H2375" t="s">
        <v>35</v>
      </c>
      <c r="J2375" t="s">
        <v>8234</v>
      </c>
      <c r="K2375" t="s">
        <v>1092</v>
      </c>
      <c r="M2375">
        <v>2.5</v>
      </c>
      <c r="N2375">
        <v>15</v>
      </c>
      <c r="O2375" t="s">
        <v>46</v>
      </c>
      <c r="Q2375" t="s">
        <v>1944</v>
      </c>
      <c r="R2375" t="s">
        <v>2387</v>
      </c>
      <c r="S2375" t="s">
        <v>277</v>
      </c>
    </row>
    <row r="2376" spans="1:19" x14ac:dyDescent="0.25">
      <c r="A2376" t="s">
        <v>59</v>
      </c>
      <c r="B2376" t="s">
        <v>31</v>
      </c>
      <c r="C2376" t="s">
        <v>32</v>
      </c>
      <c r="D2376" t="s">
        <v>227</v>
      </c>
      <c r="E2376" t="s">
        <v>276</v>
      </c>
      <c r="F2376" t="s">
        <v>35</v>
      </c>
      <c r="G2376" t="s">
        <v>35</v>
      </c>
      <c r="H2376" t="s">
        <v>35</v>
      </c>
      <c r="J2376" t="s">
        <v>2814</v>
      </c>
      <c r="K2376" t="s">
        <v>1092</v>
      </c>
      <c r="M2376">
        <v>0.495</v>
      </c>
      <c r="N2376">
        <v>272</v>
      </c>
      <c r="O2376" t="s">
        <v>5</v>
      </c>
      <c r="Q2376" t="s">
        <v>1264</v>
      </c>
      <c r="R2376" t="s">
        <v>2387</v>
      </c>
      <c r="S2376" t="s">
        <v>277</v>
      </c>
    </row>
    <row r="2377" spans="1:19" x14ac:dyDescent="0.25">
      <c r="A2377" t="s">
        <v>44</v>
      </c>
      <c r="B2377" t="s">
        <v>3</v>
      </c>
      <c r="C2377" t="s">
        <v>32</v>
      </c>
      <c r="D2377" t="s">
        <v>227</v>
      </c>
      <c r="E2377" t="s">
        <v>276</v>
      </c>
      <c r="F2377" t="s">
        <v>35</v>
      </c>
      <c r="G2377" t="s">
        <v>35</v>
      </c>
      <c r="H2377" t="s">
        <v>35</v>
      </c>
      <c r="J2377" t="s">
        <v>2815</v>
      </c>
      <c r="K2377" t="s">
        <v>1092</v>
      </c>
      <c r="M2377">
        <v>0.25</v>
      </c>
      <c r="N2377">
        <v>66</v>
      </c>
      <c r="O2377" t="s">
        <v>61</v>
      </c>
      <c r="Q2377" t="s">
        <v>203</v>
      </c>
      <c r="R2377" t="s">
        <v>2387</v>
      </c>
      <c r="S2377" t="s">
        <v>277</v>
      </c>
    </row>
    <row r="2378" spans="1:19" x14ac:dyDescent="0.25">
      <c r="A2378" t="s">
        <v>59</v>
      </c>
      <c r="B2378" t="s">
        <v>60</v>
      </c>
      <c r="C2378" t="s">
        <v>32</v>
      </c>
      <c r="D2378" t="s">
        <v>227</v>
      </c>
      <c r="E2378" t="s">
        <v>276</v>
      </c>
      <c r="F2378" t="s">
        <v>35</v>
      </c>
      <c r="G2378" t="s">
        <v>35</v>
      </c>
      <c r="H2378" t="s">
        <v>35</v>
      </c>
      <c r="J2378" t="s">
        <v>2792</v>
      </c>
      <c r="K2378" t="s">
        <v>1092</v>
      </c>
      <c r="M2378">
        <v>0.2</v>
      </c>
      <c r="N2378">
        <v>520</v>
      </c>
      <c r="O2378" t="s">
        <v>294</v>
      </c>
      <c r="Q2378" t="s">
        <v>2816</v>
      </c>
      <c r="R2378" t="s">
        <v>2387</v>
      </c>
      <c r="S2378" t="s">
        <v>277</v>
      </c>
    </row>
    <row r="2379" spans="1:19" x14ac:dyDescent="0.25">
      <c r="A2379" t="s">
        <v>59</v>
      </c>
      <c r="B2379" t="s">
        <v>31</v>
      </c>
      <c r="C2379" t="s">
        <v>32</v>
      </c>
      <c r="D2379" t="s">
        <v>227</v>
      </c>
      <c r="E2379" t="s">
        <v>276</v>
      </c>
      <c r="F2379" t="s">
        <v>35</v>
      </c>
      <c r="G2379" t="s">
        <v>35</v>
      </c>
      <c r="H2379" t="s">
        <v>35</v>
      </c>
      <c r="J2379" t="s">
        <v>2817</v>
      </c>
      <c r="K2379" t="s">
        <v>1092</v>
      </c>
      <c r="M2379">
        <v>2.7450000000000001</v>
      </c>
      <c r="N2379">
        <v>1398</v>
      </c>
      <c r="O2379" t="s">
        <v>575</v>
      </c>
      <c r="Q2379" t="s">
        <v>2818</v>
      </c>
      <c r="R2379" t="s">
        <v>2819</v>
      </c>
      <c r="S2379" t="s">
        <v>2820</v>
      </c>
    </row>
    <row r="2380" spans="1:19" x14ac:dyDescent="0.25">
      <c r="A2380" t="s">
        <v>59</v>
      </c>
      <c r="B2380" t="s">
        <v>31</v>
      </c>
      <c r="C2380" t="s">
        <v>32</v>
      </c>
      <c r="D2380" t="s">
        <v>227</v>
      </c>
      <c r="E2380" t="s">
        <v>276</v>
      </c>
      <c r="F2380" t="s">
        <v>35</v>
      </c>
      <c r="G2380" t="s">
        <v>35</v>
      </c>
      <c r="H2380" t="s">
        <v>35</v>
      </c>
      <c r="J2380" t="s">
        <v>2822</v>
      </c>
      <c r="K2380" t="s">
        <v>1092</v>
      </c>
      <c r="M2380">
        <v>1.26</v>
      </c>
      <c r="N2380">
        <v>86</v>
      </c>
      <c r="O2380" t="s">
        <v>61</v>
      </c>
      <c r="Q2380" t="s">
        <v>1076</v>
      </c>
      <c r="R2380" t="s">
        <v>2387</v>
      </c>
      <c r="S2380" t="s">
        <v>277</v>
      </c>
    </row>
    <row r="2381" spans="1:19" x14ac:dyDescent="0.25">
      <c r="A2381" t="s">
        <v>59</v>
      </c>
      <c r="B2381" t="s">
        <v>60</v>
      </c>
      <c r="C2381" t="s">
        <v>32</v>
      </c>
      <c r="D2381" t="s">
        <v>227</v>
      </c>
      <c r="E2381" t="s">
        <v>276</v>
      </c>
      <c r="F2381" t="s">
        <v>35</v>
      </c>
      <c r="G2381" t="s">
        <v>35</v>
      </c>
      <c r="H2381" t="s">
        <v>35</v>
      </c>
      <c r="J2381" t="s">
        <v>2823</v>
      </c>
      <c r="K2381" t="s">
        <v>1092</v>
      </c>
      <c r="M2381">
        <v>0.25</v>
      </c>
      <c r="N2381">
        <v>53</v>
      </c>
      <c r="O2381" t="s">
        <v>52</v>
      </c>
      <c r="Q2381" t="s">
        <v>332</v>
      </c>
      <c r="R2381" t="s">
        <v>2387</v>
      </c>
      <c r="S2381" t="s">
        <v>277</v>
      </c>
    </row>
    <row r="2382" spans="1:19" x14ac:dyDescent="0.25">
      <c r="A2382" t="s">
        <v>44</v>
      </c>
      <c r="B2382" t="s">
        <v>3</v>
      </c>
      <c r="C2382" t="s">
        <v>32</v>
      </c>
      <c r="D2382" t="s">
        <v>227</v>
      </c>
      <c r="E2382" t="s">
        <v>276</v>
      </c>
      <c r="F2382" t="s">
        <v>35</v>
      </c>
      <c r="G2382" t="s">
        <v>35</v>
      </c>
      <c r="H2382" t="s">
        <v>35</v>
      </c>
      <c r="J2382" t="s">
        <v>2823</v>
      </c>
      <c r="K2382" t="s">
        <v>1092</v>
      </c>
      <c r="M2382">
        <v>1.5</v>
      </c>
      <c r="N2382">
        <v>41</v>
      </c>
      <c r="O2382" t="s">
        <v>52</v>
      </c>
      <c r="Q2382" t="s">
        <v>249</v>
      </c>
      <c r="R2382" t="s">
        <v>2387</v>
      </c>
      <c r="S2382" t="s">
        <v>277</v>
      </c>
    </row>
    <row r="2383" spans="1:19" x14ac:dyDescent="0.25">
      <c r="A2383" t="s">
        <v>44</v>
      </c>
      <c r="B2383" t="s">
        <v>3</v>
      </c>
      <c r="C2383" t="s">
        <v>32</v>
      </c>
      <c r="D2383" t="s">
        <v>227</v>
      </c>
      <c r="E2383" t="s">
        <v>276</v>
      </c>
      <c r="F2383" t="s">
        <v>35</v>
      </c>
      <c r="G2383" t="s">
        <v>35</v>
      </c>
      <c r="H2383" t="s">
        <v>35</v>
      </c>
      <c r="J2383" t="s">
        <v>2824</v>
      </c>
      <c r="K2383" t="s">
        <v>1092</v>
      </c>
      <c r="M2383">
        <v>4.1500000000000004</v>
      </c>
      <c r="N2383">
        <v>27</v>
      </c>
      <c r="O2383" t="s">
        <v>46</v>
      </c>
      <c r="Q2383" t="s">
        <v>1011</v>
      </c>
      <c r="R2383" t="s">
        <v>2387</v>
      </c>
      <c r="S2383" t="s">
        <v>277</v>
      </c>
    </row>
    <row r="2384" spans="1:19" x14ac:dyDescent="0.25">
      <c r="A2384" t="s">
        <v>59</v>
      </c>
      <c r="B2384" t="s">
        <v>60</v>
      </c>
      <c r="C2384" t="s">
        <v>32</v>
      </c>
      <c r="D2384" t="s">
        <v>227</v>
      </c>
      <c r="E2384" t="s">
        <v>2825</v>
      </c>
      <c r="F2384" t="s">
        <v>35</v>
      </c>
      <c r="G2384" t="s">
        <v>35</v>
      </c>
      <c r="H2384" t="s">
        <v>35</v>
      </c>
      <c r="J2384" t="s">
        <v>2826</v>
      </c>
      <c r="K2384" t="s">
        <v>1092</v>
      </c>
      <c r="M2384">
        <v>0.3</v>
      </c>
      <c r="N2384">
        <v>178</v>
      </c>
      <c r="O2384" t="s">
        <v>38</v>
      </c>
      <c r="Q2384" t="s">
        <v>2827</v>
      </c>
      <c r="R2384" t="s">
        <v>250</v>
      </c>
      <c r="S2384" t="s">
        <v>242</v>
      </c>
    </row>
    <row r="2385" spans="1:19" x14ac:dyDescent="0.25">
      <c r="A2385" t="s">
        <v>59</v>
      </c>
      <c r="B2385" t="s">
        <v>60</v>
      </c>
      <c r="C2385" t="s">
        <v>32</v>
      </c>
      <c r="D2385" t="s">
        <v>227</v>
      </c>
      <c r="E2385" t="s">
        <v>2825</v>
      </c>
      <c r="F2385" t="s">
        <v>35</v>
      </c>
      <c r="G2385" t="s">
        <v>35</v>
      </c>
      <c r="H2385" t="s">
        <v>35</v>
      </c>
      <c r="J2385" t="s">
        <v>2828</v>
      </c>
      <c r="K2385" t="s">
        <v>1092</v>
      </c>
      <c r="M2385">
        <v>0.15</v>
      </c>
      <c r="N2385">
        <v>130</v>
      </c>
      <c r="O2385" t="s">
        <v>38</v>
      </c>
      <c r="Q2385" t="s">
        <v>1656</v>
      </c>
      <c r="R2385" t="s">
        <v>256</v>
      </c>
      <c r="S2385" t="s">
        <v>257</v>
      </c>
    </row>
    <row r="2386" spans="1:19" x14ac:dyDescent="0.25">
      <c r="A2386" t="s">
        <v>59</v>
      </c>
      <c r="B2386" t="s">
        <v>60</v>
      </c>
      <c r="C2386" t="s">
        <v>32</v>
      </c>
      <c r="D2386" t="s">
        <v>227</v>
      </c>
      <c r="E2386" t="s">
        <v>2825</v>
      </c>
      <c r="F2386" t="s">
        <v>35</v>
      </c>
      <c r="G2386" t="s">
        <v>35</v>
      </c>
      <c r="H2386" t="s">
        <v>35</v>
      </c>
      <c r="J2386" t="s">
        <v>2828</v>
      </c>
      <c r="K2386" t="s">
        <v>1092</v>
      </c>
      <c r="M2386">
        <v>0.25</v>
      </c>
      <c r="N2386">
        <v>32</v>
      </c>
      <c r="O2386" t="s">
        <v>52</v>
      </c>
      <c r="Q2386" t="s">
        <v>547</v>
      </c>
      <c r="R2386" t="s">
        <v>256</v>
      </c>
      <c r="S2386" t="s">
        <v>257</v>
      </c>
    </row>
    <row r="2387" spans="1:19" x14ac:dyDescent="0.25">
      <c r="A2387" t="s">
        <v>59</v>
      </c>
      <c r="B2387" t="s">
        <v>60</v>
      </c>
      <c r="C2387" t="s">
        <v>32</v>
      </c>
      <c r="D2387" t="s">
        <v>227</v>
      </c>
      <c r="E2387" t="s">
        <v>2825</v>
      </c>
      <c r="F2387" t="s">
        <v>35</v>
      </c>
      <c r="G2387" t="s">
        <v>35</v>
      </c>
      <c r="H2387" t="s">
        <v>35</v>
      </c>
      <c r="J2387" t="s">
        <v>2829</v>
      </c>
      <c r="K2387" t="s">
        <v>1092</v>
      </c>
      <c r="M2387">
        <v>0.15</v>
      </c>
      <c r="N2387">
        <v>2673</v>
      </c>
      <c r="O2387" t="s">
        <v>575</v>
      </c>
      <c r="Q2387" t="s">
        <v>1486</v>
      </c>
      <c r="R2387" t="s">
        <v>1487</v>
      </c>
      <c r="S2387" t="s">
        <v>1488</v>
      </c>
    </row>
    <row r="2388" spans="1:19" x14ac:dyDescent="0.25">
      <c r="A2388" t="s">
        <v>30</v>
      </c>
      <c r="B2388" t="s">
        <v>31</v>
      </c>
      <c r="C2388" t="s">
        <v>32</v>
      </c>
      <c r="D2388" t="s">
        <v>227</v>
      </c>
      <c r="E2388" t="s">
        <v>2825</v>
      </c>
      <c r="F2388" t="s">
        <v>35</v>
      </c>
      <c r="G2388" t="s">
        <v>35</v>
      </c>
      <c r="H2388" t="s">
        <v>35</v>
      </c>
      <c r="J2388" t="s">
        <v>2830</v>
      </c>
      <c r="K2388" t="s">
        <v>1092</v>
      </c>
      <c r="M2388">
        <v>4.1399999999999997</v>
      </c>
      <c r="N2388">
        <v>72</v>
      </c>
      <c r="O2388" t="s">
        <v>61</v>
      </c>
      <c r="Q2388" t="s">
        <v>63</v>
      </c>
      <c r="R2388" t="s">
        <v>2387</v>
      </c>
      <c r="S2388" t="s">
        <v>277</v>
      </c>
    </row>
    <row r="2389" spans="1:19" x14ac:dyDescent="0.25">
      <c r="A2389" t="s">
        <v>30</v>
      </c>
      <c r="B2389" t="s">
        <v>31</v>
      </c>
      <c r="C2389" t="s">
        <v>32</v>
      </c>
      <c r="D2389" t="s">
        <v>227</v>
      </c>
      <c r="E2389" t="s">
        <v>2825</v>
      </c>
      <c r="F2389" t="s">
        <v>35</v>
      </c>
      <c r="G2389" t="s">
        <v>35</v>
      </c>
      <c r="H2389" t="s">
        <v>35</v>
      </c>
      <c r="J2389" t="s">
        <v>2830</v>
      </c>
      <c r="K2389" t="s">
        <v>1092</v>
      </c>
      <c r="M2389">
        <v>3.915</v>
      </c>
      <c r="N2389">
        <v>133</v>
      </c>
      <c r="O2389" t="s">
        <v>38</v>
      </c>
      <c r="Q2389" t="s">
        <v>68</v>
      </c>
      <c r="R2389" t="s">
        <v>2387</v>
      </c>
      <c r="S2389" t="s">
        <v>277</v>
      </c>
    </row>
    <row r="2390" spans="1:19" x14ac:dyDescent="0.25">
      <c r="A2390" t="s">
        <v>59</v>
      </c>
      <c r="B2390" t="s">
        <v>60</v>
      </c>
      <c r="C2390" t="s">
        <v>32</v>
      </c>
      <c r="D2390" t="s">
        <v>227</v>
      </c>
      <c r="E2390" t="s">
        <v>2825</v>
      </c>
      <c r="F2390" t="s">
        <v>35</v>
      </c>
      <c r="G2390" t="s">
        <v>35</v>
      </c>
      <c r="H2390" t="s">
        <v>35</v>
      </c>
      <c r="J2390" t="s">
        <v>2830</v>
      </c>
      <c r="K2390" t="s">
        <v>1092</v>
      </c>
      <c r="M2390">
        <v>1.6</v>
      </c>
      <c r="N2390">
        <v>72</v>
      </c>
      <c r="O2390" t="s">
        <v>61</v>
      </c>
      <c r="Q2390" t="s">
        <v>63</v>
      </c>
      <c r="R2390" t="s">
        <v>2387</v>
      </c>
      <c r="S2390" t="s">
        <v>277</v>
      </c>
    </row>
    <row r="2391" spans="1:19" x14ac:dyDescent="0.25">
      <c r="A2391" t="s">
        <v>59</v>
      </c>
      <c r="B2391" t="s">
        <v>31</v>
      </c>
      <c r="C2391" t="s">
        <v>32</v>
      </c>
      <c r="D2391" t="s">
        <v>227</v>
      </c>
      <c r="E2391" t="s">
        <v>2825</v>
      </c>
      <c r="F2391" t="s">
        <v>35</v>
      </c>
      <c r="G2391" t="s">
        <v>35</v>
      </c>
      <c r="H2391" t="s">
        <v>35</v>
      </c>
      <c r="J2391" t="s">
        <v>2831</v>
      </c>
      <c r="K2391" t="s">
        <v>1092</v>
      </c>
      <c r="M2391">
        <v>0.18</v>
      </c>
      <c r="N2391">
        <v>45</v>
      </c>
      <c r="O2391" t="s">
        <v>52</v>
      </c>
      <c r="Q2391" t="s">
        <v>716</v>
      </c>
      <c r="R2391" t="s">
        <v>256</v>
      </c>
      <c r="S2391" t="s">
        <v>257</v>
      </c>
    </row>
    <row r="2392" spans="1:19" x14ac:dyDescent="0.25">
      <c r="A2392" t="s">
        <v>59</v>
      </c>
      <c r="B2392" t="s">
        <v>31</v>
      </c>
      <c r="C2392" t="s">
        <v>32</v>
      </c>
      <c r="D2392" t="s">
        <v>227</v>
      </c>
      <c r="E2392" t="s">
        <v>2825</v>
      </c>
      <c r="F2392" t="s">
        <v>35</v>
      </c>
      <c r="G2392" t="s">
        <v>35</v>
      </c>
      <c r="H2392" t="s">
        <v>35</v>
      </c>
      <c r="J2392" t="s">
        <v>2832</v>
      </c>
      <c r="K2392" t="s">
        <v>1092</v>
      </c>
      <c r="M2392">
        <v>0.85499999999999998</v>
      </c>
      <c r="N2392">
        <v>212</v>
      </c>
      <c r="O2392" t="s">
        <v>5</v>
      </c>
      <c r="Q2392" t="s">
        <v>1711</v>
      </c>
      <c r="R2392" t="s">
        <v>2394</v>
      </c>
      <c r="S2392" t="s">
        <v>271</v>
      </c>
    </row>
    <row r="2393" spans="1:19" x14ac:dyDescent="0.25">
      <c r="A2393" t="s">
        <v>59</v>
      </c>
      <c r="B2393" t="s">
        <v>60</v>
      </c>
      <c r="C2393" t="s">
        <v>32</v>
      </c>
      <c r="D2393" t="s">
        <v>227</v>
      </c>
      <c r="E2393" t="s">
        <v>2825</v>
      </c>
      <c r="F2393" t="s">
        <v>35</v>
      </c>
      <c r="G2393" t="s">
        <v>35</v>
      </c>
      <c r="H2393" t="s">
        <v>35</v>
      </c>
      <c r="J2393" t="s">
        <v>2833</v>
      </c>
      <c r="K2393" t="s">
        <v>1092</v>
      </c>
      <c r="M2393">
        <v>2.7</v>
      </c>
      <c r="N2393">
        <v>67</v>
      </c>
      <c r="O2393" t="s">
        <v>61</v>
      </c>
      <c r="Q2393" t="s">
        <v>1311</v>
      </c>
      <c r="R2393" t="s">
        <v>256</v>
      </c>
      <c r="S2393" t="s">
        <v>257</v>
      </c>
    </row>
    <row r="2394" spans="1:19" x14ac:dyDescent="0.25">
      <c r="A2394" t="s">
        <v>59</v>
      </c>
      <c r="B2394" t="s">
        <v>31</v>
      </c>
      <c r="C2394" t="s">
        <v>32</v>
      </c>
      <c r="D2394" t="s">
        <v>227</v>
      </c>
      <c r="E2394" t="s">
        <v>2825</v>
      </c>
      <c r="F2394" t="s">
        <v>35</v>
      </c>
      <c r="G2394" t="s">
        <v>35</v>
      </c>
      <c r="H2394" t="s">
        <v>35</v>
      </c>
      <c r="J2394" t="s">
        <v>2834</v>
      </c>
      <c r="K2394" t="s">
        <v>1092</v>
      </c>
      <c r="M2394">
        <v>1.98</v>
      </c>
      <c r="N2394">
        <v>72</v>
      </c>
      <c r="O2394" t="s">
        <v>61</v>
      </c>
      <c r="Q2394" t="s">
        <v>63</v>
      </c>
      <c r="R2394" t="s">
        <v>2387</v>
      </c>
      <c r="S2394" t="s">
        <v>277</v>
      </c>
    </row>
    <row r="2395" spans="1:19" x14ac:dyDescent="0.25">
      <c r="A2395" t="s">
        <v>59</v>
      </c>
      <c r="B2395" t="s">
        <v>60</v>
      </c>
      <c r="C2395" t="s">
        <v>32</v>
      </c>
      <c r="D2395" t="s">
        <v>227</v>
      </c>
      <c r="E2395" t="s">
        <v>2825</v>
      </c>
      <c r="F2395" t="s">
        <v>35</v>
      </c>
      <c r="G2395" t="s">
        <v>35</v>
      </c>
      <c r="H2395" t="s">
        <v>35</v>
      </c>
      <c r="J2395" t="s">
        <v>2834</v>
      </c>
      <c r="K2395" t="s">
        <v>1092</v>
      </c>
      <c r="M2395">
        <v>0.5</v>
      </c>
      <c r="N2395">
        <v>107</v>
      </c>
      <c r="O2395" t="s">
        <v>106</v>
      </c>
      <c r="Q2395" t="s">
        <v>1621</v>
      </c>
      <c r="R2395" t="s">
        <v>2387</v>
      </c>
      <c r="S2395" t="s">
        <v>277</v>
      </c>
    </row>
    <row r="2396" spans="1:19" x14ac:dyDescent="0.25">
      <c r="A2396" t="s">
        <v>59</v>
      </c>
      <c r="B2396" t="s">
        <v>31</v>
      </c>
      <c r="C2396" t="s">
        <v>32</v>
      </c>
      <c r="D2396" t="s">
        <v>227</v>
      </c>
      <c r="E2396" t="s">
        <v>2825</v>
      </c>
      <c r="F2396" t="s">
        <v>35</v>
      </c>
      <c r="G2396" t="s">
        <v>35</v>
      </c>
      <c r="H2396" t="s">
        <v>35</v>
      </c>
      <c r="J2396" t="s">
        <v>2835</v>
      </c>
      <c r="K2396" t="s">
        <v>1092</v>
      </c>
      <c r="M2396">
        <v>1.8</v>
      </c>
      <c r="N2396">
        <v>51</v>
      </c>
      <c r="O2396" t="s">
        <v>52</v>
      </c>
      <c r="Q2396" t="s">
        <v>54</v>
      </c>
      <c r="R2396" t="s">
        <v>2387</v>
      </c>
      <c r="S2396" t="s">
        <v>277</v>
      </c>
    </row>
    <row r="2397" spans="1:19" x14ac:dyDescent="0.25">
      <c r="A2397" t="s">
        <v>59</v>
      </c>
      <c r="B2397" t="s">
        <v>60</v>
      </c>
      <c r="C2397" t="s">
        <v>32</v>
      </c>
      <c r="D2397" t="s">
        <v>227</v>
      </c>
      <c r="E2397" t="s">
        <v>2825</v>
      </c>
      <c r="F2397" t="s">
        <v>35</v>
      </c>
      <c r="G2397" t="s">
        <v>35</v>
      </c>
      <c r="H2397" t="s">
        <v>35</v>
      </c>
      <c r="J2397" t="s">
        <v>2835</v>
      </c>
      <c r="K2397" t="s">
        <v>1092</v>
      </c>
      <c r="M2397">
        <v>0.5</v>
      </c>
      <c r="N2397">
        <v>133</v>
      </c>
      <c r="O2397" t="s">
        <v>38</v>
      </c>
      <c r="Q2397" t="s">
        <v>68</v>
      </c>
      <c r="R2397" t="s">
        <v>2387</v>
      </c>
      <c r="S2397" t="s">
        <v>277</v>
      </c>
    </row>
    <row r="2398" spans="1:19" x14ac:dyDescent="0.25">
      <c r="A2398" t="s">
        <v>59</v>
      </c>
      <c r="B2398" t="s">
        <v>31</v>
      </c>
      <c r="C2398" t="s">
        <v>32</v>
      </c>
      <c r="D2398" t="s">
        <v>227</v>
      </c>
      <c r="E2398" t="s">
        <v>2825</v>
      </c>
      <c r="F2398" t="s">
        <v>35</v>
      </c>
      <c r="G2398" t="s">
        <v>35</v>
      </c>
      <c r="H2398" t="s">
        <v>35</v>
      </c>
      <c r="J2398" t="s">
        <v>2836</v>
      </c>
      <c r="K2398" t="s">
        <v>1092</v>
      </c>
      <c r="M2398">
        <v>0.27200000000000002</v>
      </c>
      <c r="N2398">
        <v>221</v>
      </c>
      <c r="O2398" t="s">
        <v>5</v>
      </c>
      <c r="Q2398" t="s">
        <v>79</v>
      </c>
      <c r="R2398" t="s">
        <v>2387</v>
      </c>
      <c r="S2398" t="s">
        <v>277</v>
      </c>
    </row>
    <row r="2399" spans="1:19" x14ac:dyDescent="0.25">
      <c r="A2399" t="s">
        <v>30</v>
      </c>
      <c r="B2399" t="s">
        <v>31</v>
      </c>
      <c r="C2399" t="s">
        <v>32</v>
      </c>
      <c r="D2399" t="s">
        <v>227</v>
      </c>
      <c r="E2399" t="s">
        <v>2825</v>
      </c>
      <c r="F2399" t="s">
        <v>35</v>
      </c>
      <c r="G2399" t="s">
        <v>35</v>
      </c>
      <c r="H2399" t="s">
        <v>35</v>
      </c>
      <c r="J2399" t="s">
        <v>2836</v>
      </c>
      <c r="K2399" t="s">
        <v>1092</v>
      </c>
      <c r="M2399">
        <v>0.27</v>
      </c>
      <c r="N2399">
        <v>590</v>
      </c>
      <c r="O2399" t="s">
        <v>575</v>
      </c>
      <c r="Q2399" t="s">
        <v>624</v>
      </c>
      <c r="R2399" t="s">
        <v>2387</v>
      </c>
      <c r="S2399" t="s">
        <v>277</v>
      </c>
    </row>
    <row r="2400" spans="1:19" x14ac:dyDescent="0.25">
      <c r="A2400" t="s">
        <v>44</v>
      </c>
      <c r="B2400" t="s">
        <v>3</v>
      </c>
      <c r="C2400" t="s">
        <v>32</v>
      </c>
      <c r="D2400" t="s">
        <v>227</v>
      </c>
      <c r="E2400" t="s">
        <v>2825</v>
      </c>
      <c r="F2400" t="s">
        <v>35</v>
      </c>
      <c r="G2400" t="s">
        <v>35</v>
      </c>
      <c r="H2400" t="s">
        <v>35</v>
      </c>
      <c r="J2400" t="s">
        <v>252</v>
      </c>
      <c r="K2400" t="s">
        <v>1092</v>
      </c>
      <c r="M2400">
        <v>2</v>
      </c>
      <c r="N2400">
        <v>67</v>
      </c>
      <c r="O2400" t="s">
        <v>61</v>
      </c>
      <c r="Q2400" t="s">
        <v>1311</v>
      </c>
      <c r="R2400" t="s">
        <v>256</v>
      </c>
      <c r="S2400" t="s">
        <v>257</v>
      </c>
    </row>
    <row r="2401" spans="1:19" x14ac:dyDescent="0.25">
      <c r="A2401" t="s">
        <v>59</v>
      </c>
      <c r="B2401" t="s">
        <v>60</v>
      </c>
      <c r="C2401" t="s">
        <v>32</v>
      </c>
      <c r="D2401" t="s">
        <v>227</v>
      </c>
      <c r="E2401" t="s">
        <v>2825</v>
      </c>
      <c r="F2401" t="s">
        <v>35</v>
      </c>
      <c r="G2401" t="s">
        <v>35</v>
      </c>
      <c r="H2401" t="s">
        <v>35</v>
      </c>
      <c r="J2401" t="s">
        <v>252</v>
      </c>
      <c r="K2401" t="s">
        <v>1092</v>
      </c>
      <c r="M2401">
        <v>0.6</v>
      </c>
      <c r="N2401">
        <v>130</v>
      </c>
      <c r="O2401" t="s">
        <v>38</v>
      </c>
      <c r="Q2401" t="s">
        <v>1656</v>
      </c>
      <c r="R2401" t="s">
        <v>256</v>
      </c>
      <c r="S2401" t="s">
        <v>257</v>
      </c>
    </row>
    <row r="2402" spans="1:19" x14ac:dyDescent="0.25">
      <c r="A2402" t="s">
        <v>59</v>
      </c>
      <c r="B2402" t="s">
        <v>60</v>
      </c>
      <c r="C2402" t="s">
        <v>32</v>
      </c>
      <c r="D2402" t="s">
        <v>227</v>
      </c>
      <c r="E2402" t="s">
        <v>2825</v>
      </c>
      <c r="F2402" t="s">
        <v>35</v>
      </c>
      <c r="G2402" t="s">
        <v>35</v>
      </c>
      <c r="H2402" t="s">
        <v>35</v>
      </c>
      <c r="J2402" t="s">
        <v>2837</v>
      </c>
      <c r="K2402" t="s">
        <v>1092</v>
      </c>
      <c r="M2402">
        <v>0.25</v>
      </c>
      <c r="N2402">
        <v>102</v>
      </c>
      <c r="O2402" t="s">
        <v>106</v>
      </c>
      <c r="Q2402" t="s">
        <v>2747</v>
      </c>
      <c r="R2402" t="s">
        <v>256</v>
      </c>
      <c r="S2402" t="s">
        <v>257</v>
      </c>
    </row>
    <row r="2403" spans="1:19" x14ac:dyDescent="0.25">
      <c r="A2403" t="s">
        <v>59</v>
      </c>
      <c r="B2403" t="s">
        <v>60</v>
      </c>
      <c r="C2403" t="s">
        <v>32</v>
      </c>
      <c r="D2403" t="s">
        <v>227</v>
      </c>
      <c r="E2403" t="s">
        <v>2825</v>
      </c>
      <c r="F2403" t="s">
        <v>35</v>
      </c>
      <c r="G2403" t="s">
        <v>35</v>
      </c>
      <c r="H2403" t="s">
        <v>35</v>
      </c>
      <c r="J2403" t="s">
        <v>2838</v>
      </c>
      <c r="K2403" t="s">
        <v>1092</v>
      </c>
      <c r="M2403">
        <v>1E-3</v>
      </c>
      <c r="N2403">
        <v>1573</v>
      </c>
      <c r="O2403" t="s">
        <v>575</v>
      </c>
      <c r="Q2403" t="s">
        <v>2839</v>
      </c>
      <c r="R2403" t="s">
        <v>2716</v>
      </c>
      <c r="S2403" t="s">
        <v>2717</v>
      </c>
    </row>
    <row r="2404" spans="1:19" x14ac:dyDescent="0.25">
      <c r="A2404" t="s">
        <v>44</v>
      </c>
      <c r="B2404" t="s">
        <v>3</v>
      </c>
      <c r="C2404" t="s">
        <v>32</v>
      </c>
      <c r="D2404" t="s">
        <v>227</v>
      </c>
      <c r="E2404" t="s">
        <v>2825</v>
      </c>
      <c r="F2404" t="s">
        <v>35</v>
      </c>
      <c r="G2404" t="s">
        <v>35</v>
      </c>
      <c r="H2404" t="s">
        <v>35</v>
      </c>
      <c r="J2404" t="s">
        <v>2840</v>
      </c>
      <c r="K2404" t="s">
        <v>1092</v>
      </c>
      <c r="M2404">
        <v>1.8</v>
      </c>
      <c r="N2404">
        <v>67</v>
      </c>
      <c r="O2404" t="s">
        <v>61</v>
      </c>
      <c r="Q2404" t="s">
        <v>1311</v>
      </c>
      <c r="R2404" t="s">
        <v>256</v>
      </c>
      <c r="S2404" t="s">
        <v>257</v>
      </c>
    </row>
    <row r="2405" spans="1:19" x14ac:dyDescent="0.25">
      <c r="A2405" t="s">
        <v>30</v>
      </c>
      <c r="B2405" t="s">
        <v>31</v>
      </c>
      <c r="C2405" t="s">
        <v>32</v>
      </c>
      <c r="D2405" t="s">
        <v>227</v>
      </c>
      <c r="E2405" t="s">
        <v>2825</v>
      </c>
      <c r="F2405" t="s">
        <v>35</v>
      </c>
      <c r="G2405" t="s">
        <v>35</v>
      </c>
      <c r="H2405" t="s">
        <v>35</v>
      </c>
      <c r="J2405" t="s">
        <v>2841</v>
      </c>
      <c r="K2405" t="s">
        <v>1092</v>
      </c>
      <c r="M2405">
        <v>0.76500000000000001</v>
      </c>
      <c r="N2405">
        <v>72</v>
      </c>
      <c r="O2405" t="s">
        <v>61</v>
      </c>
      <c r="Q2405" t="s">
        <v>63</v>
      </c>
      <c r="R2405" t="s">
        <v>2387</v>
      </c>
      <c r="S2405" t="s">
        <v>277</v>
      </c>
    </row>
    <row r="2406" spans="1:19" x14ac:dyDescent="0.25">
      <c r="A2406" t="s">
        <v>59</v>
      </c>
      <c r="B2406" t="s">
        <v>60</v>
      </c>
      <c r="C2406" t="s">
        <v>32</v>
      </c>
      <c r="D2406" t="s">
        <v>227</v>
      </c>
      <c r="E2406" t="s">
        <v>2825</v>
      </c>
      <c r="F2406" t="s">
        <v>35</v>
      </c>
      <c r="G2406" t="s">
        <v>35</v>
      </c>
      <c r="H2406" t="s">
        <v>35</v>
      </c>
      <c r="J2406" t="s">
        <v>2841</v>
      </c>
      <c r="K2406" t="s">
        <v>1092</v>
      </c>
      <c r="M2406">
        <v>1.2</v>
      </c>
      <c r="N2406">
        <v>72</v>
      </c>
      <c r="O2406" t="s">
        <v>61</v>
      </c>
      <c r="Q2406" t="s">
        <v>63</v>
      </c>
      <c r="R2406" t="s">
        <v>2387</v>
      </c>
      <c r="S2406" t="s">
        <v>277</v>
      </c>
    </row>
    <row r="2407" spans="1:19" x14ac:dyDescent="0.25">
      <c r="A2407" t="s">
        <v>59</v>
      </c>
      <c r="B2407" t="s">
        <v>60</v>
      </c>
      <c r="C2407" t="s">
        <v>32</v>
      </c>
      <c r="D2407" t="s">
        <v>227</v>
      </c>
      <c r="E2407" t="s">
        <v>2825</v>
      </c>
      <c r="F2407" t="s">
        <v>35</v>
      </c>
      <c r="G2407" t="s">
        <v>35</v>
      </c>
      <c r="H2407" t="s">
        <v>35</v>
      </c>
      <c r="J2407" t="s">
        <v>2842</v>
      </c>
      <c r="K2407" t="s">
        <v>1092</v>
      </c>
      <c r="M2407">
        <v>0.14499999999999999</v>
      </c>
      <c r="N2407">
        <v>161</v>
      </c>
      <c r="O2407" t="s">
        <v>38</v>
      </c>
      <c r="Q2407" t="s">
        <v>2639</v>
      </c>
      <c r="R2407" t="s">
        <v>2387</v>
      </c>
      <c r="S2407" t="s">
        <v>277</v>
      </c>
    </row>
    <row r="2408" spans="1:19" x14ac:dyDescent="0.25">
      <c r="A2408" t="s">
        <v>59</v>
      </c>
      <c r="B2408" t="s">
        <v>60</v>
      </c>
      <c r="C2408" t="s">
        <v>32</v>
      </c>
      <c r="D2408" t="s">
        <v>227</v>
      </c>
      <c r="E2408" t="s">
        <v>2825</v>
      </c>
      <c r="F2408" t="s">
        <v>35</v>
      </c>
      <c r="G2408" t="s">
        <v>35</v>
      </c>
      <c r="H2408" t="s">
        <v>35</v>
      </c>
      <c r="J2408" t="s">
        <v>2842</v>
      </c>
      <c r="K2408" t="s">
        <v>1092</v>
      </c>
      <c r="M2408">
        <v>0.25</v>
      </c>
      <c r="N2408">
        <v>127</v>
      </c>
      <c r="O2408" t="s">
        <v>38</v>
      </c>
      <c r="Q2408" t="s">
        <v>2145</v>
      </c>
      <c r="R2408" t="s">
        <v>256</v>
      </c>
      <c r="S2408" t="s">
        <v>257</v>
      </c>
    </row>
    <row r="2409" spans="1:19" x14ac:dyDescent="0.25">
      <c r="A2409" t="s">
        <v>30</v>
      </c>
      <c r="B2409" t="s">
        <v>31</v>
      </c>
      <c r="C2409" t="s">
        <v>32</v>
      </c>
      <c r="D2409" t="s">
        <v>227</v>
      </c>
      <c r="E2409" t="s">
        <v>2825</v>
      </c>
      <c r="F2409" t="s">
        <v>35</v>
      </c>
      <c r="G2409" t="s">
        <v>35</v>
      </c>
      <c r="H2409" t="s">
        <v>35</v>
      </c>
      <c r="J2409" t="s">
        <v>2843</v>
      </c>
      <c r="K2409" t="s">
        <v>1092</v>
      </c>
      <c r="M2409">
        <v>5.3999999999999999E-2</v>
      </c>
      <c r="N2409">
        <v>195</v>
      </c>
      <c r="O2409" t="s">
        <v>5</v>
      </c>
      <c r="Q2409" t="s">
        <v>2075</v>
      </c>
      <c r="R2409" t="s">
        <v>2387</v>
      </c>
      <c r="S2409" t="s">
        <v>277</v>
      </c>
    </row>
    <row r="2410" spans="1:19" x14ac:dyDescent="0.25">
      <c r="A2410" t="s">
        <v>44</v>
      </c>
      <c r="B2410" t="s">
        <v>3</v>
      </c>
      <c r="C2410" t="s">
        <v>32</v>
      </c>
      <c r="D2410" t="s">
        <v>227</v>
      </c>
      <c r="E2410" t="s">
        <v>2825</v>
      </c>
      <c r="F2410" t="s">
        <v>35</v>
      </c>
      <c r="G2410" t="s">
        <v>35</v>
      </c>
      <c r="H2410" t="s">
        <v>35</v>
      </c>
      <c r="J2410" t="s">
        <v>2843</v>
      </c>
      <c r="K2410" t="s">
        <v>1092</v>
      </c>
      <c r="M2410">
        <v>1</v>
      </c>
      <c r="N2410">
        <v>588</v>
      </c>
      <c r="O2410" t="s">
        <v>575</v>
      </c>
      <c r="Q2410" t="s">
        <v>2636</v>
      </c>
      <c r="R2410" t="s">
        <v>2387</v>
      </c>
      <c r="S2410" t="s">
        <v>277</v>
      </c>
    </row>
    <row r="2411" spans="1:19" x14ac:dyDescent="0.25">
      <c r="A2411" t="s">
        <v>59</v>
      </c>
      <c r="B2411" t="s">
        <v>31</v>
      </c>
      <c r="C2411" t="s">
        <v>32</v>
      </c>
      <c r="D2411" t="s">
        <v>227</v>
      </c>
      <c r="E2411" t="s">
        <v>2825</v>
      </c>
      <c r="F2411" t="s">
        <v>35</v>
      </c>
      <c r="G2411" t="s">
        <v>35</v>
      </c>
      <c r="H2411" t="s">
        <v>35</v>
      </c>
      <c r="J2411" t="s">
        <v>2844</v>
      </c>
      <c r="K2411" t="s">
        <v>1092</v>
      </c>
      <c r="M2411">
        <v>5.49</v>
      </c>
      <c r="N2411">
        <v>251</v>
      </c>
      <c r="O2411" t="s">
        <v>5</v>
      </c>
      <c r="Q2411" t="s">
        <v>1688</v>
      </c>
      <c r="R2411" t="s">
        <v>256</v>
      </c>
      <c r="S2411" t="s">
        <v>257</v>
      </c>
    </row>
    <row r="2412" spans="1:19" x14ac:dyDescent="0.25">
      <c r="A2412" t="s">
        <v>59</v>
      </c>
      <c r="B2412" t="s">
        <v>60</v>
      </c>
      <c r="C2412" t="s">
        <v>32</v>
      </c>
      <c r="D2412" t="s">
        <v>227</v>
      </c>
      <c r="E2412" t="s">
        <v>2825</v>
      </c>
      <c r="F2412" t="s">
        <v>35</v>
      </c>
      <c r="G2412" t="s">
        <v>35</v>
      </c>
      <c r="H2412" t="s">
        <v>35</v>
      </c>
      <c r="J2412" t="s">
        <v>2845</v>
      </c>
      <c r="K2412" t="s">
        <v>1092</v>
      </c>
      <c r="M2412">
        <v>0.15</v>
      </c>
      <c r="N2412">
        <v>72</v>
      </c>
      <c r="O2412" t="s">
        <v>61</v>
      </c>
      <c r="Q2412" t="s">
        <v>63</v>
      </c>
      <c r="R2412" t="s">
        <v>2387</v>
      </c>
      <c r="S2412" t="s">
        <v>277</v>
      </c>
    </row>
    <row r="2413" spans="1:19" x14ac:dyDescent="0.25">
      <c r="A2413" t="s">
        <v>59</v>
      </c>
      <c r="B2413" t="s">
        <v>60</v>
      </c>
      <c r="C2413" t="s">
        <v>32</v>
      </c>
      <c r="D2413" t="s">
        <v>227</v>
      </c>
      <c r="E2413" t="s">
        <v>2825</v>
      </c>
      <c r="F2413" t="s">
        <v>35</v>
      </c>
      <c r="G2413" t="s">
        <v>35</v>
      </c>
      <c r="H2413" t="s">
        <v>35</v>
      </c>
      <c r="J2413" t="s">
        <v>2846</v>
      </c>
      <c r="K2413" t="s">
        <v>1092</v>
      </c>
      <c r="M2413">
        <v>0.2</v>
      </c>
      <c r="N2413">
        <v>127</v>
      </c>
      <c r="O2413" t="s">
        <v>38</v>
      </c>
      <c r="Q2413" t="s">
        <v>2145</v>
      </c>
      <c r="R2413" t="s">
        <v>256</v>
      </c>
      <c r="S2413" t="s">
        <v>257</v>
      </c>
    </row>
    <row r="2414" spans="1:19" x14ac:dyDescent="0.25">
      <c r="A2414" t="s">
        <v>59</v>
      </c>
      <c r="B2414" t="s">
        <v>31</v>
      </c>
      <c r="C2414" t="s">
        <v>32</v>
      </c>
      <c r="D2414" t="s">
        <v>227</v>
      </c>
      <c r="E2414" t="s">
        <v>2825</v>
      </c>
      <c r="F2414" t="s">
        <v>35</v>
      </c>
      <c r="G2414" t="s">
        <v>35</v>
      </c>
      <c r="H2414" t="s">
        <v>35</v>
      </c>
      <c r="J2414" t="s">
        <v>2846</v>
      </c>
      <c r="K2414" t="s">
        <v>1092</v>
      </c>
      <c r="M2414">
        <v>2.97</v>
      </c>
      <c r="N2414">
        <v>72</v>
      </c>
      <c r="O2414" t="s">
        <v>61</v>
      </c>
      <c r="Q2414" t="s">
        <v>63</v>
      </c>
      <c r="R2414" t="s">
        <v>2387</v>
      </c>
      <c r="S2414" t="s">
        <v>277</v>
      </c>
    </row>
    <row r="2415" spans="1:19" x14ac:dyDescent="0.25">
      <c r="A2415" t="s">
        <v>44</v>
      </c>
      <c r="B2415" t="s">
        <v>3</v>
      </c>
      <c r="C2415" t="s">
        <v>32</v>
      </c>
      <c r="D2415" t="s">
        <v>227</v>
      </c>
      <c r="E2415" t="s">
        <v>2825</v>
      </c>
      <c r="F2415" t="s">
        <v>35</v>
      </c>
      <c r="G2415" t="s">
        <v>35</v>
      </c>
      <c r="H2415" t="s">
        <v>35</v>
      </c>
      <c r="J2415" t="s">
        <v>2847</v>
      </c>
      <c r="K2415" t="s">
        <v>1092</v>
      </c>
      <c r="M2415">
        <v>1.65</v>
      </c>
      <c r="N2415">
        <v>67</v>
      </c>
      <c r="O2415" t="s">
        <v>61</v>
      </c>
      <c r="Q2415" t="s">
        <v>1311</v>
      </c>
      <c r="R2415" t="s">
        <v>256</v>
      </c>
      <c r="S2415" t="s">
        <v>257</v>
      </c>
    </row>
    <row r="2416" spans="1:19" x14ac:dyDescent="0.25">
      <c r="A2416" t="s">
        <v>59</v>
      </c>
      <c r="B2416" t="s">
        <v>31</v>
      </c>
      <c r="C2416" t="s">
        <v>32</v>
      </c>
      <c r="D2416" t="s">
        <v>227</v>
      </c>
      <c r="E2416" t="s">
        <v>2825</v>
      </c>
      <c r="F2416" t="s">
        <v>35</v>
      </c>
      <c r="G2416" t="s">
        <v>35</v>
      </c>
      <c r="H2416" t="s">
        <v>35</v>
      </c>
      <c r="J2416" t="s">
        <v>2848</v>
      </c>
      <c r="K2416" t="s">
        <v>1092</v>
      </c>
      <c r="M2416">
        <v>4.4999999999999998E-2</v>
      </c>
      <c r="N2416">
        <v>500</v>
      </c>
      <c r="O2416" t="s">
        <v>294</v>
      </c>
      <c r="Q2416" t="s">
        <v>2051</v>
      </c>
      <c r="R2416" t="s">
        <v>256</v>
      </c>
      <c r="S2416" t="s">
        <v>257</v>
      </c>
    </row>
    <row r="2417" spans="1:19" x14ac:dyDescent="0.25">
      <c r="A2417" t="s">
        <v>59</v>
      </c>
      <c r="B2417" t="s">
        <v>60</v>
      </c>
      <c r="C2417" t="s">
        <v>32</v>
      </c>
      <c r="D2417" t="s">
        <v>227</v>
      </c>
      <c r="E2417" t="s">
        <v>2825</v>
      </c>
      <c r="F2417" t="s">
        <v>35</v>
      </c>
      <c r="G2417" t="s">
        <v>35</v>
      </c>
      <c r="H2417" t="s">
        <v>35</v>
      </c>
      <c r="J2417" t="s">
        <v>2849</v>
      </c>
      <c r="K2417" t="s">
        <v>1092</v>
      </c>
      <c r="M2417">
        <v>1</v>
      </c>
      <c r="N2417">
        <v>133</v>
      </c>
      <c r="O2417" t="s">
        <v>38</v>
      </c>
      <c r="Q2417" t="s">
        <v>68</v>
      </c>
      <c r="R2417" t="s">
        <v>256</v>
      </c>
      <c r="S2417" t="s">
        <v>257</v>
      </c>
    </row>
    <row r="2418" spans="1:19" x14ac:dyDescent="0.25">
      <c r="A2418" t="s">
        <v>30</v>
      </c>
      <c r="B2418" t="s">
        <v>31</v>
      </c>
      <c r="C2418" t="s">
        <v>32</v>
      </c>
      <c r="D2418" t="s">
        <v>227</v>
      </c>
      <c r="E2418" t="s">
        <v>2850</v>
      </c>
      <c r="F2418" t="s">
        <v>35</v>
      </c>
      <c r="G2418" t="s">
        <v>35</v>
      </c>
      <c r="H2418" t="s">
        <v>35</v>
      </c>
      <c r="J2418" t="s">
        <v>2851</v>
      </c>
      <c r="K2418" t="s">
        <v>1092</v>
      </c>
      <c r="M2418">
        <v>6.165</v>
      </c>
      <c r="N2418">
        <v>77</v>
      </c>
      <c r="O2418" t="s">
        <v>61</v>
      </c>
      <c r="Q2418" t="s">
        <v>305</v>
      </c>
      <c r="R2418" t="s">
        <v>250</v>
      </c>
      <c r="S2418" t="s">
        <v>242</v>
      </c>
    </row>
    <row r="2419" spans="1:19" x14ac:dyDescent="0.25">
      <c r="A2419" t="s">
        <v>59</v>
      </c>
      <c r="B2419" t="s">
        <v>60</v>
      </c>
      <c r="C2419" t="s">
        <v>32</v>
      </c>
      <c r="D2419" t="s">
        <v>227</v>
      </c>
      <c r="E2419" t="s">
        <v>2850</v>
      </c>
      <c r="F2419" t="s">
        <v>35</v>
      </c>
      <c r="G2419" t="s">
        <v>35</v>
      </c>
      <c r="H2419" t="s">
        <v>35</v>
      </c>
      <c r="J2419" t="s">
        <v>2852</v>
      </c>
      <c r="K2419" t="s">
        <v>1092</v>
      </c>
      <c r="M2419">
        <v>6.95</v>
      </c>
      <c r="N2419">
        <v>28</v>
      </c>
      <c r="O2419" t="s">
        <v>46</v>
      </c>
      <c r="Q2419" t="s">
        <v>176</v>
      </c>
      <c r="R2419" t="s">
        <v>250</v>
      </c>
      <c r="S2419" t="s">
        <v>242</v>
      </c>
    </row>
    <row r="2420" spans="1:19" x14ac:dyDescent="0.25">
      <c r="A2420" t="s">
        <v>44</v>
      </c>
      <c r="B2420" t="s">
        <v>51</v>
      </c>
      <c r="C2420" t="s">
        <v>32</v>
      </c>
      <c r="D2420" t="s">
        <v>227</v>
      </c>
      <c r="E2420" t="s">
        <v>2850</v>
      </c>
      <c r="F2420" t="s">
        <v>35</v>
      </c>
      <c r="G2420" t="s">
        <v>35</v>
      </c>
      <c r="H2420" t="s">
        <v>35</v>
      </c>
      <c r="J2420" t="s">
        <v>2852</v>
      </c>
      <c r="K2420" t="s">
        <v>1092</v>
      </c>
      <c r="M2420">
        <v>5.25</v>
      </c>
      <c r="N2420">
        <v>27</v>
      </c>
      <c r="O2420" t="s">
        <v>46</v>
      </c>
      <c r="Q2420" t="s">
        <v>1011</v>
      </c>
      <c r="R2420" t="s">
        <v>250</v>
      </c>
      <c r="S2420" t="s">
        <v>242</v>
      </c>
    </row>
    <row r="2421" spans="1:19" x14ac:dyDescent="0.25">
      <c r="A2421" t="s">
        <v>44</v>
      </c>
      <c r="B2421" t="s">
        <v>51</v>
      </c>
      <c r="C2421" t="s">
        <v>32</v>
      </c>
      <c r="D2421" t="s">
        <v>227</v>
      </c>
      <c r="E2421" t="s">
        <v>2850</v>
      </c>
      <c r="F2421" t="s">
        <v>35</v>
      </c>
      <c r="G2421" t="s">
        <v>35</v>
      </c>
      <c r="H2421" t="s">
        <v>35</v>
      </c>
      <c r="J2421" t="s">
        <v>2853</v>
      </c>
      <c r="K2421" t="s">
        <v>1092</v>
      </c>
      <c r="M2421">
        <v>0.68</v>
      </c>
      <c r="N2421">
        <v>43</v>
      </c>
      <c r="O2421" t="s">
        <v>52</v>
      </c>
      <c r="Q2421" t="s">
        <v>892</v>
      </c>
      <c r="R2421" t="s">
        <v>2387</v>
      </c>
      <c r="S2421" t="s">
        <v>277</v>
      </c>
    </row>
    <row r="2422" spans="1:19" x14ac:dyDescent="0.25">
      <c r="A2422" t="s">
        <v>59</v>
      </c>
      <c r="B2422" t="s">
        <v>60</v>
      </c>
      <c r="C2422" t="s">
        <v>32</v>
      </c>
      <c r="D2422" t="s">
        <v>227</v>
      </c>
      <c r="E2422" t="s">
        <v>2850</v>
      </c>
      <c r="F2422" t="s">
        <v>35</v>
      </c>
      <c r="G2422" t="s">
        <v>35</v>
      </c>
      <c r="H2422" t="s">
        <v>35</v>
      </c>
      <c r="J2422" t="s">
        <v>2854</v>
      </c>
      <c r="K2422" t="s">
        <v>1092</v>
      </c>
      <c r="M2422">
        <v>0.5</v>
      </c>
      <c r="N2422">
        <v>168</v>
      </c>
      <c r="O2422" t="s">
        <v>38</v>
      </c>
      <c r="Q2422" t="s">
        <v>2431</v>
      </c>
      <c r="R2422" t="s">
        <v>2387</v>
      </c>
      <c r="S2422" t="s">
        <v>277</v>
      </c>
    </row>
    <row r="2423" spans="1:19" x14ac:dyDescent="0.25">
      <c r="A2423" t="s">
        <v>59</v>
      </c>
      <c r="B2423" t="s">
        <v>60</v>
      </c>
      <c r="C2423" t="s">
        <v>32</v>
      </c>
      <c r="D2423" t="s">
        <v>227</v>
      </c>
      <c r="E2423" t="s">
        <v>2850</v>
      </c>
      <c r="F2423" t="s">
        <v>35</v>
      </c>
      <c r="G2423" t="s">
        <v>35</v>
      </c>
      <c r="H2423" t="s">
        <v>35</v>
      </c>
      <c r="J2423" t="s">
        <v>2855</v>
      </c>
      <c r="K2423" t="s">
        <v>1092</v>
      </c>
      <c r="M2423">
        <v>0.06</v>
      </c>
      <c r="N2423">
        <v>2673</v>
      </c>
      <c r="O2423" t="s">
        <v>575</v>
      </c>
      <c r="Q2423" t="s">
        <v>1486</v>
      </c>
      <c r="R2423" t="s">
        <v>1487</v>
      </c>
      <c r="S2423" t="s">
        <v>1488</v>
      </c>
    </row>
    <row r="2424" spans="1:19" x14ac:dyDescent="0.25">
      <c r="A2424" t="s">
        <v>59</v>
      </c>
      <c r="B2424" t="s">
        <v>60</v>
      </c>
      <c r="C2424" t="s">
        <v>32</v>
      </c>
      <c r="D2424" t="s">
        <v>227</v>
      </c>
      <c r="E2424" t="s">
        <v>2850</v>
      </c>
      <c r="F2424" t="s">
        <v>35</v>
      </c>
      <c r="G2424" t="s">
        <v>35</v>
      </c>
      <c r="H2424" t="s">
        <v>35</v>
      </c>
      <c r="J2424" t="s">
        <v>2856</v>
      </c>
      <c r="K2424" t="s">
        <v>1092</v>
      </c>
      <c r="M2424">
        <v>0.4</v>
      </c>
      <c r="N2424">
        <v>199</v>
      </c>
      <c r="O2424" t="s">
        <v>5</v>
      </c>
      <c r="Q2424" t="s">
        <v>1720</v>
      </c>
      <c r="R2424" t="s">
        <v>256</v>
      </c>
      <c r="S2424" t="s">
        <v>257</v>
      </c>
    </row>
    <row r="2425" spans="1:19" x14ac:dyDescent="0.25">
      <c r="A2425" t="s">
        <v>30</v>
      </c>
      <c r="B2425" t="s">
        <v>31</v>
      </c>
      <c r="C2425" t="s">
        <v>32</v>
      </c>
      <c r="D2425" t="s">
        <v>227</v>
      </c>
      <c r="E2425" t="s">
        <v>2850</v>
      </c>
      <c r="F2425" t="s">
        <v>35</v>
      </c>
      <c r="G2425" t="s">
        <v>35</v>
      </c>
      <c r="H2425" t="s">
        <v>35</v>
      </c>
      <c r="J2425" t="s">
        <v>2856</v>
      </c>
      <c r="K2425" t="s">
        <v>1092</v>
      </c>
      <c r="M2425">
        <v>0.67500000000000004</v>
      </c>
      <c r="N2425">
        <v>41</v>
      </c>
      <c r="O2425" t="s">
        <v>52</v>
      </c>
      <c r="Q2425" t="s">
        <v>249</v>
      </c>
      <c r="R2425" t="s">
        <v>256</v>
      </c>
      <c r="S2425" t="s">
        <v>257</v>
      </c>
    </row>
    <row r="2426" spans="1:19" x14ac:dyDescent="0.25">
      <c r="A2426" t="s">
        <v>30</v>
      </c>
      <c r="B2426" t="s">
        <v>31</v>
      </c>
      <c r="C2426" t="s">
        <v>32</v>
      </c>
      <c r="D2426" t="s">
        <v>227</v>
      </c>
      <c r="E2426" t="s">
        <v>2850</v>
      </c>
      <c r="F2426" t="s">
        <v>35</v>
      </c>
      <c r="G2426" t="s">
        <v>35</v>
      </c>
      <c r="H2426" t="s">
        <v>35</v>
      </c>
      <c r="J2426" t="s">
        <v>2857</v>
      </c>
      <c r="K2426" t="s">
        <v>1092</v>
      </c>
      <c r="M2426">
        <v>0.7</v>
      </c>
      <c r="N2426">
        <v>257</v>
      </c>
      <c r="O2426" t="s">
        <v>5</v>
      </c>
      <c r="Q2426" t="s">
        <v>1286</v>
      </c>
      <c r="R2426" t="s">
        <v>2701</v>
      </c>
      <c r="S2426" t="s">
        <v>2702</v>
      </c>
    </row>
    <row r="2427" spans="1:19" x14ac:dyDescent="0.25">
      <c r="A2427" t="s">
        <v>59</v>
      </c>
      <c r="B2427" t="s">
        <v>60</v>
      </c>
      <c r="C2427" t="s">
        <v>32</v>
      </c>
      <c r="D2427" t="s">
        <v>227</v>
      </c>
      <c r="E2427" t="s">
        <v>2850</v>
      </c>
      <c r="F2427" t="s">
        <v>35</v>
      </c>
      <c r="G2427" t="s">
        <v>35</v>
      </c>
      <c r="H2427" t="s">
        <v>35</v>
      </c>
      <c r="J2427" t="s">
        <v>2857</v>
      </c>
      <c r="K2427" t="s">
        <v>1092</v>
      </c>
      <c r="M2427">
        <v>0.38</v>
      </c>
      <c r="N2427">
        <v>257</v>
      </c>
      <c r="O2427" t="s">
        <v>5</v>
      </c>
      <c r="Q2427" t="s">
        <v>1286</v>
      </c>
      <c r="R2427" t="s">
        <v>2701</v>
      </c>
      <c r="S2427" t="s">
        <v>2702</v>
      </c>
    </row>
    <row r="2428" spans="1:19" x14ac:dyDescent="0.25">
      <c r="A2428" t="s">
        <v>59</v>
      </c>
      <c r="B2428" t="s">
        <v>60</v>
      </c>
      <c r="C2428" t="s">
        <v>32</v>
      </c>
      <c r="D2428" t="s">
        <v>227</v>
      </c>
      <c r="E2428" t="s">
        <v>2850</v>
      </c>
      <c r="F2428" t="s">
        <v>35</v>
      </c>
      <c r="G2428" t="s">
        <v>35</v>
      </c>
      <c r="H2428" t="s">
        <v>35</v>
      </c>
      <c r="J2428" t="s">
        <v>2858</v>
      </c>
      <c r="K2428" t="s">
        <v>1092</v>
      </c>
      <c r="M2428">
        <v>0.9</v>
      </c>
      <c r="N2428">
        <v>95</v>
      </c>
      <c r="O2428" t="s">
        <v>106</v>
      </c>
      <c r="Q2428" t="s">
        <v>724</v>
      </c>
      <c r="R2428" t="s">
        <v>2394</v>
      </c>
      <c r="S2428" t="s">
        <v>271</v>
      </c>
    </row>
    <row r="2429" spans="1:19" x14ac:dyDescent="0.25">
      <c r="A2429" t="s">
        <v>44</v>
      </c>
      <c r="B2429" t="s">
        <v>3</v>
      </c>
      <c r="C2429" t="s">
        <v>32</v>
      </c>
      <c r="D2429" t="s">
        <v>227</v>
      </c>
      <c r="E2429" t="s">
        <v>2850</v>
      </c>
      <c r="F2429" t="s">
        <v>35</v>
      </c>
      <c r="G2429" t="s">
        <v>35</v>
      </c>
      <c r="H2429" t="s">
        <v>35</v>
      </c>
      <c r="J2429" t="s">
        <v>2859</v>
      </c>
      <c r="K2429" t="s">
        <v>1092</v>
      </c>
      <c r="M2429">
        <v>0.75</v>
      </c>
      <c r="N2429">
        <v>33</v>
      </c>
      <c r="O2429" t="s">
        <v>52</v>
      </c>
      <c r="Q2429" t="s">
        <v>137</v>
      </c>
      <c r="R2429" t="s">
        <v>2387</v>
      </c>
      <c r="S2429" t="s">
        <v>277</v>
      </c>
    </row>
    <row r="2430" spans="1:19" x14ac:dyDescent="0.25">
      <c r="A2430" t="s">
        <v>44</v>
      </c>
      <c r="B2430" t="s">
        <v>3</v>
      </c>
      <c r="C2430" t="s">
        <v>32</v>
      </c>
      <c r="D2430" t="s">
        <v>227</v>
      </c>
      <c r="E2430" t="s">
        <v>2850</v>
      </c>
      <c r="F2430" t="s">
        <v>35</v>
      </c>
      <c r="G2430" t="s">
        <v>35</v>
      </c>
      <c r="H2430" t="s">
        <v>35</v>
      </c>
      <c r="J2430" t="s">
        <v>2860</v>
      </c>
      <c r="K2430" t="s">
        <v>1092</v>
      </c>
      <c r="M2430">
        <v>0.25</v>
      </c>
      <c r="N2430">
        <v>33</v>
      </c>
      <c r="O2430" t="s">
        <v>52</v>
      </c>
      <c r="Q2430" t="s">
        <v>137</v>
      </c>
      <c r="R2430" t="s">
        <v>2387</v>
      </c>
      <c r="S2430" t="s">
        <v>277</v>
      </c>
    </row>
    <row r="2431" spans="1:19" x14ac:dyDescent="0.25">
      <c r="A2431" t="s">
        <v>44</v>
      </c>
      <c r="B2431" t="s">
        <v>3</v>
      </c>
      <c r="C2431" t="s">
        <v>32</v>
      </c>
      <c r="D2431" t="s">
        <v>227</v>
      </c>
      <c r="E2431" t="s">
        <v>2850</v>
      </c>
      <c r="F2431" t="s">
        <v>35</v>
      </c>
      <c r="G2431" t="s">
        <v>35</v>
      </c>
      <c r="H2431" t="s">
        <v>35</v>
      </c>
      <c r="J2431" t="s">
        <v>2861</v>
      </c>
      <c r="K2431" t="s">
        <v>1092</v>
      </c>
      <c r="M2431">
        <v>1</v>
      </c>
      <c r="N2431">
        <v>18</v>
      </c>
      <c r="O2431" t="s">
        <v>46</v>
      </c>
      <c r="Q2431" t="s">
        <v>1476</v>
      </c>
      <c r="R2431" t="s">
        <v>2387</v>
      </c>
      <c r="S2431" t="s">
        <v>277</v>
      </c>
    </row>
    <row r="2432" spans="1:19" x14ac:dyDescent="0.25">
      <c r="A2432" t="s">
        <v>59</v>
      </c>
      <c r="B2432" t="s">
        <v>31</v>
      </c>
      <c r="C2432" t="s">
        <v>32</v>
      </c>
      <c r="D2432" t="s">
        <v>227</v>
      </c>
      <c r="E2432" t="s">
        <v>2850</v>
      </c>
      <c r="F2432" t="s">
        <v>35</v>
      </c>
      <c r="G2432" t="s">
        <v>35</v>
      </c>
      <c r="H2432" t="s">
        <v>35</v>
      </c>
      <c r="J2432" t="s">
        <v>2862</v>
      </c>
      <c r="K2432" t="s">
        <v>1092</v>
      </c>
      <c r="M2432">
        <v>5.0000000000000001E-3</v>
      </c>
      <c r="N2432">
        <v>817</v>
      </c>
      <c r="O2432" t="s">
        <v>575</v>
      </c>
      <c r="Q2432" t="s">
        <v>2116</v>
      </c>
      <c r="R2432" t="s">
        <v>250</v>
      </c>
      <c r="S2432" t="s">
        <v>242</v>
      </c>
    </row>
    <row r="2433" spans="1:19" x14ac:dyDescent="0.25">
      <c r="A2433" t="s">
        <v>59</v>
      </c>
      <c r="B2433" t="s">
        <v>60</v>
      </c>
      <c r="C2433" t="s">
        <v>32</v>
      </c>
      <c r="D2433" t="s">
        <v>227</v>
      </c>
      <c r="E2433" t="s">
        <v>2850</v>
      </c>
      <c r="F2433" t="s">
        <v>35</v>
      </c>
      <c r="G2433" t="s">
        <v>35</v>
      </c>
      <c r="H2433" t="s">
        <v>35</v>
      </c>
      <c r="J2433" t="s">
        <v>2863</v>
      </c>
      <c r="K2433" t="s">
        <v>1092</v>
      </c>
      <c r="M2433">
        <v>0.45</v>
      </c>
      <c r="N2433">
        <v>291</v>
      </c>
      <c r="O2433" t="s">
        <v>5</v>
      </c>
      <c r="Q2433" t="s">
        <v>1249</v>
      </c>
      <c r="R2433" t="s">
        <v>250</v>
      </c>
      <c r="S2433" t="s">
        <v>242</v>
      </c>
    </row>
    <row r="2434" spans="1:19" x14ac:dyDescent="0.25">
      <c r="A2434" t="s">
        <v>59</v>
      </c>
      <c r="B2434" t="s">
        <v>60</v>
      </c>
      <c r="C2434" t="s">
        <v>32</v>
      </c>
      <c r="D2434" t="s">
        <v>227</v>
      </c>
      <c r="E2434" t="s">
        <v>2850</v>
      </c>
      <c r="F2434" t="s">
        <v>35</v>
      </c>
      <c r="G2434" t="s">
        <v>35</v>
      </c>
      <c r="H2434" t="s">
        <v>35</v>
      </c>
      <c r="J2434" t="s">
        <v>2864</v>
      </c>
      <c r="K2434" t="s">
        <v>1092</v>
      </c>
      <c r="M2434">
        <v>0.55000000000000004</v>
      </c>
      <c r="N2434">
        <v>1506</v>
      </c>
      <c r="O2434" t="s">
        <v>575</v>
      </c>
      <c r="Q2434" t="s">
        <v>2865</v>
      </c>
      <c r="R2434" t="s">
        <v>2602</v>
      </c>
      <c r="S2434" t="s">
        <v>297</v>
      </c>
    </row>
    <row r="2435" spans="1:19" x14ac:dyDescent="0.25">
      <c r="A2435" t="s">
        <v>59</v>
      </c>
      <c r="B2435" t="s">
        <v>60</v>
      </c>
      <c r="C2435" t="s">
        <v>32</v>
      </c>
      <c r="D2435" t="s">
        <v>227</v>
      </c>
      <c r="E2435" t="s">
        <v>2850</v>
      </c>
      <c r="F2435" t="s">
        <v>35</v>
      </c>
      <c r="G2435" t="s">
        <v>35</v>
      </c>
      <c r="H2435" t="s">
        <v>35</v>
      </c>
      <c r="J2435" t="s">
        <v>2866</v>
      </c>
      <c r="K2435" t="s">
        <v>1092</v>
      </c>
      <c r="M2435">
        <v>0.01</v>
      </c>
      <c r="N2435">
        <v>1502</v>
      </c>
      <c r="O2435" t="s">
        <v>575</v>
      </c>
      <c r="Q2435" t="s">
        <v>2867</v>
      </c>
      <c r="R2435" t="s">
        <v>2387</v>
      </c>
      <c r="S2435" t="s">
        <v>277</v>
      </c>
    </row>
    <row r="2436" spans="1:19" x14ac:dyDescent="0.25">
      <c r="A2436" t="s">
        <v>59</v>
      </c>
      <c r="B2436" t="s">
        <v>60</v>
      </c>
      <c r="C2436" t="s">
        <v>32</v>
      </c>
      <c r="D2436" t="s">
        <v>227</v>
      </c>
      <c r="E2436" t="s">
        <v>2850</v>
      </c>
      <c r="F2436" t="s">
        <v>35</v>
      </c>
      <c r="G2436" t="s">
        <v>35</v>
      </c>
      <c r="H2436" t="s">
        <v>35</v>
      </c>
      <c r="J2436" t="s">
        <v>2868</v>
      </c>
      <c r="K2436" t="s">
        <v>1092</v>
      </c>
      <c r="M2436">
        <v>0.25</v>
      </c>
      <c r="N2436">
        <v>126</v>
      </c>
      <c r="O2436" t="s">
        <v>38</v>
      </c>
      <c r="Q2436" t="s">
        <v>1813</v>
      </c>
      <c r="R2436" t="s">
        <v>2696</v>
      </c>
      <c r="S2436" t="s">
        <v>284</v>
      </c>
    </row>
    <row r="2437" spans="1:19" x14ac:dyDescent="0.25">
      <c r="A2437" t="s">
        <v>44</v>
      </c>
      <c r="B2437" t="s">
        <v>3</v>
      </c>
      <c r="C2437" t="s">
        <v>32</v>
      </c>
      <c r="D2437" t="s">
        <v>227</v>
      </c>
      <c r="E2437" t="s">
        <v>2850</v>
      </c>
      <c r="F2437" t="s">
        <v>35</v>
      </c>
      <c r="G2437" t="s">
        <v>35</v>
      </c>
      <c r="H2437" t="s">
        <v>35</v>
      </c>
      <c r="J2437" t="s">
        <v>2711</v>
      </c>
      <c r="K2437" t="s">
        <v>1092</v>
      </c>
      <c r="M2437">
        <v>0.5</v>
      </c>
      <c r="N2437">
        <v>61</v>
      </c>
      <c r="O2437" t="s">
        <v>61</v>
      </c>
      <c r="Q2437" t="s">
        <v>671</v>
      </c>
      <c r="R2437" t="s">
        <v>2387</v>
      </c>
      <c r="S2437" t="s">
        <v>277</v>
      </c>
    </row>
    <row r="2438" spans="1:19" x14ac:dyDescent="0.25">
      <c r="A2438" t="s">
        <v>59</v>
      </c>
      <c r="B2438" t="s">
        <v>31</v>
      </c>
      <c r="C2438" t="s">
        <v>32</v>
      </c>
      <c r="D2438" t="s">
        <v>227</v>
      </c>
      <c r="E2438" t="s">
        <v>2850</v>
      </c>
      <c r="F2438" t="s">
        <v>35</v>
      </c>
      <c r="G2438" t="s">
        <v>35</v>
      </c>
      <c r="H2438" t="s">
        <v>35</v>
      </c>
      <c r="J2438" t="s">
        <v>2869</v>
      </c>
      <c r="K2438" t="s">
        <v>1092</v>
      </c>
      <c r="M2438">
        <v>0.27</v>
      </c>
      <c r="N2438">
        <v>565</v>
      </c>
      <c r="O2438" t="s">
        <v>575</v>
      </c>
      <c r="Q2438" t="s">
        <v>2870</v>
      </c>
      <c r="R2438" t="s">
        <v>2387</v>
      </c>
      <c r="S2438" t="s">
        <v>277</v>
      </c>
    </row>
    <row r="2439" spans="1:19" x14ac:dyDescent="0.25">
      <c r="A2439" t="s">
        <v>30</v>
      </c>
      <c r="B2439" t="s">
        <v>31</v>
      </c>
      <c r="C2439" t="s">
        <v>32</v>
      </c>
      <c r="D2439" t="s">
        <v>227</v>
      </c>
      <c r="E2439" t="s">
        <v>2850</v>
      </c>
      <c r="F2439" t="s">
        <v>35</v>
      </c>
      <c r="G2439" t="s">
        <v>35</v>
      </c>
      <c r="H2439" t="s">
        <v>35</v>
      </c>
      <c r="J2439" t="s">
        <v>2869</v>
      </c>
      <c r="K2439" t="s">
        <v>1092</v>
      </c>
      <c r="M2439">
        <v>0.45</v>
      </c>
      <c r="N2439">
        <v>502</v>
      </c>
      <c r="O2439" t="s">
        <v>294</v>
      </c>
      <c r="Q2439" t="s">
        <v>1181</v>
      </c>
      <c r="R2439" t="s">
        <v>2387</v>
      </c>
      <c r="S2439" t="s">
        <v>277</v>
      </c>
    </row>
    <row r="2440" spans="1:19" x14ac:dyDescent="0.25">
      <c r="A2440" t="s">
        <v>59</v>
      </c>
      <c r="B2440" t="s">
        <v>60</v>
      </c>
      <c r="C2440" t="s">
        <v>32</v>
      </c>
      <c r="D2440" t="s">
        <v>227</v>
      </c>
      <c r="E2440" t="s">
        <v>2871</v>
      </c>
      <c r="F2440" t="s">
        <v>35</v>
      </c>
      <c r="G2440" t="s">
        <v>35</v>
      </c>
      <c r="H2440" t="s">
        <v>35</v>
      </c>
      <c r="J2440" t="s">
        <v>2872</v>
      </c>
      <c r="K2440" t="s">
        <v>1092</v>
      </c>
      <c r="M2440">
        <v>3.0000000000000001E-3</v>
      </c>
      <c r="N2440">
        <v>1701</v>
      </c>
      <c r="O2440" t="s">
        <v>575</v>
      </c>
      <c r="Q2440" t="s">
        <v>2873</v>
      </c>
      <c r="R2440" t="s">
        <v>2690</v>
      </c>
      <c r="S2440" t="s">
        <v>252</v>
      </c>
    </row>
    <row r="2441" spans="1:19" x14ac:dyDescent="0.25">
      <c r="A2441" t="s">
        <v>59</v>
      </c>
      <c r="B2441" t="s">
        <v>60</v>
      </c>
      <c r="C2441" t="s">
        <v>32</v>
      </c>
      <c r="D2441" t="s">
        <v>227</v>
      </c>
      <c r="E2441" t="s">
        <v>2871</v>
      </c>
      <c r="F2441" t="s">
        <v>35</v>
      </c>
      <c r="G2441" t="s">
        <v>35</v>
      </c>
      <c r="H2441" t="s">
        <v>35</v>
      </c>
      <c r="J2441" t="s">
        <v>2748</v>
      </c>
      <c r="K2441" t="s">
        <v>1092</v>
      </c>
      <c r="M2441">
        <v>2.5</v>
      </c>
      <c r="N2441">
        <v>25</v>
      </c>
      <c r="O2441" t="s">
        <v>46</v>
      </c>
      <c r="Q2441" t="s">
        <v>831</v>
      </c>
      <c r="R2441" t="s">
        <v>250</v>
      </c>
      <c r="S2441" t="s">
        <v>242</v>
      </c>
    </row>
    <row r="2442" spans="1:19" x14ac:dyDescent="0.25">
      <c r="A2442" t="s">
        <v>59</v>
      </c>
      <c r="B2442" t="s">
        <v>60</v>
      </c>
      <c r="C2442" t="s">
        <v>32</v>
      </c>
      <c r="D2442" t="s">
        <v>227</v>
      </c>
      <c r="E2442" t="s">
        <v>2871</v>
      </c>
      <c r="F2442" t="s">
        <v>35</v>
      </c>
      <c r="G2442" t="s">
        <v>35</v>
      </c>
      <c r="H2442" t="s">
        <v>35</v>
      </c>
      <c r="J2442" t="s">
        <v>2874</v>
      </c>
      <c r="K2442" t="s">
        <v>1092</v>
      </c>
      <c r="M2442">
        <v>0.25</v>
      </c>
      <c r="N2442">
        <v>15</v>
      </c>
      <c r="O2442" t="s">
        <v>46</v>
      </c>
      <c r="Q2442" t="s">
        <v>1944</v>
      </c>
      <c r="R2442" t="s">
        <v>2387</v>
      </c>
      <c r="S2442" t="s">
        <v>277</v>
      </c>
    </row>
    <row r="2443" spans="1:19" x14ac:dyDescent="0.25">
      <c r="A2443" t="s">
        <v>59</v>
      </c>
      <c r="B2443" t="s">
        <v>60</v>
      </c>
      <c r="C2443" t="s">
        <v>32</v>
      </c>
      <c r="D2443" t="s">
        <v>227</v>
      </c>
      <c r="E2443" t="s">
        <v>2871</v>
      </c>
      <c r="F2443" t="s">
        <v>35</v>
      </c>
      <c r="G2443" t="s">
        <v>35</v>
      </c>
      <c r="H2443" t="s">
        <v>35</v>
      </c>
      <c r="J2443" t="s">
        <v>2874</v>
      </c>
      <c r="K2443" t="s">
        <v>1092</v>
      </c>
      <c r="M2443">
        <v>0.25</v>
      </c>
      <c r="N2443">
        <v>29</v>
      </c>
      <c r="O2443" t="s">
        <v>46</v>
      </c>
      <c r="Q2443" t="s">
        <v>1645</v>
      </c>
      <c r="R2443" t="s">
        <v>2387</v>
      </c>
      <c r="S2443" t="s">
        <v>277</v>
      </c>
    </row>
    <row r="2444" spans="1:19" x14ac:dyDescent="0.25">
      <c r="A2444" t="s">
        <v>59</v>
      </c>
      <c r="B2444" t="s">
        <v>60</v>
      </c>
      <c r="C2444" t="s">
        <v>32</v>
      </c>
      <c r="D2444" t="s">
        <v>227</v>
      </c>
      <c r="E2444" t="s">
        <v>2871</v>
      </c>
      <c r="F2444" t="s">
        <v>35</v>
      </c>
      <c r="G2444" t="s">
        <v>35</v>
      </c>
      <c r="H2444" t="s">
        <v>35</v>
      </c>
      <c r="J2444" t="s">
        <v>2875</v>
      </c>
      <c r="K2444" t="s">
        <v>1092</v>
      </c>
      <c r="M2444">
        <v>8.75</v>
      </c>
      <c r="N2444">
        <v>28</v>
      </c>
      <c r="O2444" t="s">
        <v>46</v>
      </c>
      <c r="Q2444" t="s">
        <v>176</v>
      </c>
      <c r="R2444" t="s">
        <v>250</v>
      </c>
      <c r="S2444" t="s">
        <v>242</v>
      </c>
    </row>
    <row r="2445" spans="1:19" x14ac:dyDescent="0.25">
      <c r="A2445" t="s">
        <v>44</v>
      </c>
      <c r="B2445" t="s">
        <v>51</v>
      </c>
      <c r="C2445" t="s">
        <v>32</v>
      </c>
      <c r="D2445" t="s">
        <v>227</v>
      </c>
      <c r="E2445" t="s">
        <v>2871</v>
      </c>
      <c r="F2445" t="s">
        <v>35</v>
      </c>
      <c r="G2445" t="s">
        <v>35</v>
      </c>
      <c r="H2445" t="s">
        <v>35</v>
      </c>
      <c r="J2445" t="s">
        <v>2875</v>
      </c>
      <c r="K2445" t="s">
        <v>1092</v>
      </c>
      <c r="M2445">
        <v>2.5</v>
      </c>
      <c r="N2445">
        <v>27</v>
      </c>
      <c r="O2445" t="s">
        <v>46</v>
      </c>
      <c r="Q2445" t="s">
        <v>1011</v>
      </c>
      <c r="R2445" t="s">
        <v>250</v>
      </c>
      <c r="S2445" t="s">
        <v>242</v>
      </c>
    </row>
    <row r="2446" spans="1:19" x14ac:dyDescent="0.25">
      <c r="A2446" t="s">
        <v>59</v>
      </c>
      <c r="B2446" t="s">
        <v>60</v>
      </c>
      <c r="C2446" t="s">
        <v>32</v>
      </c>
      <c r="D2446" t="s">
        <v>227</v>
      </c>
      <c r="E2446" t="s">
        <v>2871</v>
      </c>
      <c r="F2446" t="s">
        <v>35</v>
      </c>
      <c r="G2446" t="s">
        <v>35</v>
      </c>
      <c r="H2446" t="s">
        <v>35</v>
      </c>
      <c r="J2446" t="s">
        <v>2876</v>
      </c>
      <c r="K2446" t="s">
        <v>1092</v>
      </c>
      <c r="M2446">
        <v>0.7</v>
      </c>
      <c r="N2446">
        <v>109</v>
      </c>
      <c r="O2446" t="s">
        <v>106</v>
      </c>
      <c r="Q2446" t="s">
        <v>2624</v>
      </c>
      <c r="R2446" t="s">
        <v>2387</v>
      </c>
      <c r="S2446" t="s">
        <v>277</v>
      </c>
    </row>
    <row r="2447" spans="1:19" x14ac:dyDescent="0.25">
      <c r="A2447" t="s">
        <v>59</v>
      </c>
      <c r="B2447" t="s">
        <v>60</v>
      </c>
      <c r="C2447" t="s">
        <v>32</v>
      </c>
      <c r="D2447" t="s">
        <v>227</v>
      </c>
      <c r="E2447" t="s">
        <v>2871</v>
      </c>
      <c r="F2447" t="s">
        <v>35</v>
      </c>
      <c r="G2447" t="s">
        <v>35</v>
      </c>
      <c r="H2447" t="s">
        <v>35</v>
      </c>
      <c r="J2447" t="s">
        <v>2877</v>
      </c>
      <c r="K2447" t="s">
        <v>1092</v>
      </c>
      <c r="M2447">
        <v>2.3E-2</v>
      </c>
      <c r="N2447">
        <v>199</v>
      </c>
      <c r="O2447" t="s">
        <v>5</v>
      </c>
      <c r="Q2447" t="s">
        <v>1720</v>
      </c>
      <c r="R2447" t="s">
        <v>256</v>
      </c>
      <c r="S2447" t="s">
        <v>257</v>
      </c>
    </row>
    <row r="2448" spans="1:19" x14ac:dyDescent="0.25">
      <c r="A2448" t="s">
        <v>59</v>
      </c>
      <c r="B2448" t="s">
        <v>60</v>
      </c>
      <c r="C2448" t="s">
        <v>32</v>
      </c>
      <c r="D2448" t="s">
        <v>227</v>
      </c>
      <c r="E2448" t="s">
        <v>2871</v>
      </c>
      <c r="F2448" t="s">
        <v>35</v>
      </c>
      <c r="G2448" t="s">
        <v>35</v>
      </c>
      <c r="H2448" t="s">
        <v>35</v>
      </c>
      <c r="J2448" t="s">
        <v>2878</v>
      </c>
      <c r="K2448" t="s">
        <v>1092</v>
      </c>
      <c r="M2448">
        <v>0.45</v>
      </c>
      <c r="N2448">
        <v>34</v>
      </c>
      <c r="O2448" t="s">
        <v>52</v>
      </c>
      <c r="Q2448" t="s">
        <v>809</v>
      </c>
      <c r="R2448" t="s">
        <v>250</v>
      </c>
      <c r="S2448" t="s">
        <v>242</v>
      </c>
    </row>
    <row r="2449" spans="1:19" x14ac:dyDescent="0.25">
      <c r="A2449" t="s">
        <v>59</v>
      </c>
      <c r="B2449" t="s">
        <v>60</v>
      </c>
      <c r="C2449" t="s">
        <v>32</v>
      </c>
      <c r="D2449" t="s">
        <v>227</v>
      </c>
      <c r="E2449" t="s">
        <v>2871</v>
      </c>
      <c r="F2449" t="s">
        <v>35</v>
      </c>
      <c r="G2449" t="s">
        <v>35</v>
      </c>
      <c r="H2449" t="s">
        <v>35</v>
      </c>
      <c r="J2449" t="s">
        <v>2879</v>
      </c>
      <c r="K2449" t="s">
        <v>1092</v>
      </c>
      <c r="M2449">
        <v>0.45</v>
      </c>
      <c r="N2449">
        <v>27</v>
      </c>
      <c r="O2449" t="s">
        <v>46</v>
      </c>
      <c r="Q2449" t="s">
        <v>1011</v>
      </c>
      <c r="R2449" t="s">
        <v>2387</v>
      </c>
      <c r="S2449" t="s">
        <v>277</v>
      </c>
    </row>
    <row r="2450" spans="1:19" x14ac:dyDescent="0.25">
      <c r="A2450" t="s">
        <v>44</v>
      </c>
      <c r="B2450" t="s">
        <v>3</v>
      </c>
      <c r="C2450" t="s">
        <v>32</v>
      </c>
      <c r="D2450" t="s">
        <v>227</v>
      </c>
      <c r="E2450" t="s">
        <v>2871</v>
      </c>
      <c r="F2450" t="s">
        <v>35</v>
      </c>
      <c r="G2450" t="s">
        <v>35</v>
      </c>
      <c r="H2450" t="s">
        <v>35</v>
      </c>
      <c r="J2450" t="s">
        <v>2879</v>
      </c>
      <c r="K2450" t="s">
        <v>1092</v>
      </c>
      <c r="M2450">
        <v>1.5</v>
      </c>
      <c r="N2450">
        <v>45</v>
      </c>
      <c r="O2450" t="s">
        <v>52</v>
      </c>
      <c r="Q2450" t="s">
        <v>716</v>
      </c>
      <c r="R2450" t="s">
        <v>2387</v>
      </c>
      <c r="S2450" t="s">
        <v>277</v>
      </c>
    </row>
    <row r="2451" spans="1:19" x14ac:dyDescent="0.25">
      <c r="A2451" t="s">
        <v>59</v>
      </c>
      <c r="B2451" t="s">
        <v>60</v>
      </c>
      <c r="C2451" t="s">
        <v>32</v>
      </c>
      <c r="D2451" t="s">
        <v>227</v>
      </c>
      <c r="E2451" t="s">
        <v>2871</v>
      </c>
      <c r="F2451" t="s">
        <v>35</v>
      </c>
      <c r="G2451" t="s">
        <v>35</v>
      </c>
      <c r="H2451" t="s">
        <v>35</v>
      </c>
      <c r="J2451" t="s">
        <v>2880</v>
      </c>
      <c r="K2451" t="s">
        <v>1092</v>
      </c>
      <c r="M2451">
        <v>0.8</v>
      </c>
      <c r="N2451">
        <v>30</v>
      </c>
      <c r="O2451" t="s">
        <v>46</v>
      </c>
      <c r="Q2451" t="s">
        <v>793</v>
      </c>
      <c r="R2451" t="s">
        <v>2387</v>
      </c>
      <c r="S2451" t="s">
        <v>277</v>
      </c>
    </row>
    <row r="2452" spans="1:19" x14ac:dyDescent="0.25">
      <c r="A2452" t="s">
        <v>44</v>
      </c>
      <c r="B2452" t="s">
        <v>51</v>
      </c>
      <c r="C2452" t="s">
        <v>32</v>
      </c>
      <c r="D2452" t="s">
        <v>227</v>
      </c>
      <c r="E2452" t="s">
        <v>2871</v>
      </c>
      <c r="F2452" t="s">
        <v>35</v>
      </c>
      <c r="G2452" t="s">
        <v>35</v>
      </c>
      <c r="H2452" t="s">
        <v>35</v>
      </c>
      <c r="J2452" t="s">
        <v>2881</v>
      </c>
      <c r="K2452" t="s">
        <v>1092</v>
      </c>
      <c r="M2452">
        <v>0.5</v>
      </c>
      <c r="N2452">
        <v>35</v>
      </c>
      <c r="O2452" t="s">
        <v>52</v>
      </c>
      <c r="Q2452" t="s">
        <v>48</v>
      </c>
      <c r="R2452" t="s">
        <v>2387</v>
      </c>
      <c r="S2452" t="s">
        <v>277</v>
      </c>
    </row>
    <row r="2453" spans="1:19" x14ac:dyDescent="0.25">
      <c r="A2453" t="s">
        <v>59</v>
      </c>
      <c r="B2453" t="s">
        <v>60</v>
      </c>
      <c r="C2453" t="s">
        <v>32</v>
      </c>
      <c r="D2453" t="s">
        <v>227</v>
      </c>
      <c r="E2453" t="s">
        <v>2871</v>
      </c>
      <c r="F2453" t="s">
        <v>35</v>
      </c>
      <c r="G2453" t="s">
        <v>35</v>
      </c>
      <c r="H2453" t="s">
        <v>35</v>
      </c>
      <c r="J2453" t="s">
        <v>2881</v>
      </c>
      <c r="K2453" t="s">
        <v>1092</v>
      </c>
      <c r="M2453">
        <v>0.5</v>
      </c>
      <c r="N2453">
        <v>35</v>
      </c>
      <c r="O2453" t="s">
        <v>52</v>
      </c>
      <c r="Q2453" t="s">
        <v>48</v>
      </c>
      <c r="R2453" t="s">
        <v>2387</v>
      </c>
      <c r="S2453" t="s">
        <v>277</v>
      </c>
    </row>
    <row r="2454" spans="1:19" x14ac:dyDescent="0.25">
      <c r="A2454" t="s">
        <v>59</v>
      </c>
      <c r="B2454" t="s">
        <v>60</v>
      </c>
      <c r="C2454" t="s">
        <v>32</v>
      </c>
      <c r="D2454" t="s">
        <v>227</v>
      </c>
      <c r="E2454" t="s">
        <v>2871</v>
      </c>
      <c r="F2454" t="s">
        <v>35</v>
      </c>
      <c r="G2454" t="s">
        <v>35</v>
      </c>
      <c r="H2454" t="s">
        <v>35</v>
      </c>
      <c r="J2454" t="s">
        <v>2882</v>
      </c>
      <c r="K2454" t="s">
        <v>1092</v>
      </c>
      <c r="M2454">
        <v>3.0000000000000001E-3</v>
      </c>
      <c r="N2454">
        <v>283</v>
      </c>
      <c r="O2454" t="s">
        <v>5</v>
      </c>
      <c r="Q2454" t="s">
        <v>1771</v>
      </c>
      <c r="R2454" t="s">
        <v>2690</v>
      </c>
      <c r="S2454" t="s">
        <v>252</v>
      </c>
    </row>
    <row r="2455" spans="1:19" x14ac:dyDescent="0.25">
      <c r="A2455" t="s">
        <v>59</v>
      </c>
      <c r="B2455" t="s">
        <v>60</v>
      </c>
      <c r="C2455" t="s">
        <v>32</v>
      </c>
      <c r="D2455" t="s">
        <v>227</v>
      </c>
      <c r="E2455" t="s">
        <v>2871</v>
      </c>
      <c r="F2455" t="s">
        <v>35</v>
      </c>
      <c r="G2455" t="s">
        <v>35</v>
      </c>
      <c r="H2455" t="s">
        <v>35</v>
      </c>
      <c r="J2455" t="s">
        <v>2883</v>
      </c>
      <c r="K2455" t="s">
        <v>1092</v>
      </c>
      <c r="M2455">
        <v>0.35</v>
      </c>
      <c r="N2455">
        <v>33</v>
      </c>
      <c r="O2455" t="s">
        <v>52</v>
      </c>
      <c r="Q2455" t="s">
        <v>137</v>
      </c>
      <c r="R2455" t="s">
        <v>2387</v>
      </c>
      <c r="S2455" t="s">
        <v>277</v>
      </c>
    </row>
    <row r="2456" spans="1:19" x14ac:dyDescent="0.25">
      <c r="A2456" t="s">
        <v>59</v>
      </c>
      <c r="B2456" t="s">
        <v>60</v>
      </c>
      <c r="C2456" t="s">
        <v>32</v>
      </c>
      <c r="D2456" t="s">
        <v>227</v>
      </c>
      <c r="E2456" t="s">
        <v>2871</v>
      </c>
      <c r="F2456" t="s">
        <v>35</v>
      </c>
      <c r="G2456" t="s">
        <v>35</v>
      </c>
      <c r="H2456" t="s">
        <v>35</v>
      </c>
      <c r="J2456" t="s">
        <v>2884</v>
      </c>
      <c r="K2456" t="s">
        <v>1092</v>
      </c>
      <c r="M2456">
        <v>0.45</v>
      </c>
      <c r="N2456">
        <v>609</v>
      </c>
      <c r="O2456" t="s">
        <v>575</v>
      </c>
      <c r="Q2456" t="s">
        <v>2885</v>
      </c>
      <c r="R2456" t="s">
        <v>2690</v>
      </c>
      <c r="S2456" t="s">
        <v>252</v>
      </c>
    </row>
    <row r="2457" spans="1:19" x14ac:dyDescent="0.25">
      <c r="A2457" t="s">
        <v>30</v>
      </c>
      <c r="B2457" t="s">
        <v>31</v>
      </c>
      <c r="C2457" t="s">
        <v>32</v>
      </c>
      <c r="D2457" t="s">
        <v>227</v>
      </c>
      <c r="E2457" t="s">
        <v>2871</v>
      </c>
      <c r="F2457" t="s">
        <v>35</v>
      </c>
      <c r="G2457" t="s">
        <v>35</v>
      </c>
      <c r="H2457" t="s">
        <v>35</v>
      </c>
      <c r="J2457" t="s">
        <v>2886</v>
      </c>
      <c r="K2457" t="s">
        <v>1092</v>
      </c>
      <c r="M2457">
        <v>0.21</v>
      </c>
      <c r="N2457">
        <v>244</v>
      </c>
      <c r="O2457" t="s">
        <v>5</v>
      </c>
      <c r="Q2457" t="s">
        <v>1242</v>
      </c>
      <c r="R2457" t="s">
        <v>2387</v>
      </c>
      <c r="S2457" t="s">
        <v>277</v>
      </c>
    </row>
    <row r="2458" spans="1:19" x14ac:dyDescent="0.25">
      <c r="A2458" t="s">
        <v>59</v>
      </c>
      <c r="B2458" t="s">
        <v>60</v>
      </c>
      <c r="C2458" t="s">
        <v>32</v>
      </c>
      <c r="D2458" t="s">
        <v>227</v>
      </c>
      <c r="E2458" t="s">
        <v>2871</v>
      </c>
      <c r="F2458" t="s">
        <v>35</v>
      </c>
      <c r="G2458" t="s">
        <v>35</v>
      </c>
      <c r="H2458" t="s">
        <v>35</v>
      </c>
      <c r="J2458" t="s">
        <v>2887</v>
      </c>
      <c r="K2458" t="s">
        <v>1092</v>
      </c>
      <c r="M2458">
        <v>0.15</v>
      </c>
      <c r="N2458">
        <v>21</v>
      </c>
      <c r="O2458" t="s">
        <v>46</v>
      </c>
      <c r="Q2458" t="s">
        <v>1874</v>
      </c>
      <c r="R2458" t="s">
        <v>2690</v>
      </c>
      <c r="S2458" t="s">
        <v>252</v>
      </c>
    </row>
    <row r="2459" spans="1:19" x14ac:dyDescent="0.25">
      <c r="A2459" t="s">
        <v>59</v>
      </c>
      <c r="B2459" t="s">
        <v>60</v>
      </c>
      <c r="C2459" t="s">
        <v>32</v>
      </c>
      <c r="D2459" t="s">
        <v>227</v>
      </c>
      <c r="E2459" t="s">
        <v>2871</v>
      </c>
      <c r="F2459" t="s">
        <v>35</v>
      </c>
      <c r="G2459" t="s">
        <v>35</v>
      </c>
      <c r="H2459" t="s">
        <v>35</v>
      </c>
      <c r="J2459" t="s">
        <v>1160</v>
      </c>
      <c r="K2459" t="s">
        <v>1092</v>
      </c>
      <c r="M2459">
        <v>0.4</v>
      </c>
      <c r="N2459">
        <v>388</v>
      </c>
      <c r="O2459" t="s">
        <v>294</v>
      </c>
      <c r="Q2459" t="s">
        <v>1433</v>
      </c>
      <c r="R2459" t="s">
        <v>2690</v>
      </c>
      <c r="S2459" t="s">
        <v>252</v>
      </c>
    </row>
    <row r="2460" spans="1:19" x14ac:dyDescent="0.25">
      <c r="A2460" t="s">
        <v>59</v>
      </c>
      <c r="B2460" t="s">
        <v>60</v>
      </c>
      <c r="C2460" t="s">
        <v>32</v>
      </c>
      <c r="D2460" t="s">
        <v>227</v>
      </c>
      <c r="E2460" t="s">
        <v>2871</v>
      </c>
      <c r="F2460" t="s">
        <v>35</v>
      </c>
      <c r="G2460" t="s">
        <v>35</v>
      </c>
      <c r="H2460" t="s">
        <v>35</v>
      </c>
      <c r="J2460" t="s">
        <v>2888</v>
      </c>
      <c r="K2460" t="s">
        <v>1092</v>
      </c>
      <c r="M2460">
        <v>4.4999999999999998E-2</v>
      </c>
      <c r="N2460">
        <v>1019</v>
      </c>
      <c r="O2460" t="s">
        <v>575</v>
      </c>
      <c r="Q2460" t="s">
        <v>2889</v>
      </c>
      <c r="R2460" t="s">
        <v>250</v>
      </c>
      <c r="S2460" t="s">
        <v>242</v>
      </c>
    </row>
    <row r="2461" spans="1:19" x14ac:dyDescent="0.25">
      <c r="A2461" t="s">
        <v>59</v>
      </c>
      <c r="B2461" t="s">
        <v>60</v>
      </c>
      <c r="C2461" t="s">
        <v>32</v>
      </c>
      <c r="D2461" t="s">
        <v>227</v>
      </c>
      <c r="E2461" t="s">
        <v>2871</v>
      </c>
      <c r="F2461" t="s">
        <v>35</v>
      </c>
      <c r="G2461" t="s">
        <v>35</v>
      </c>
      <c r="H2461" t="s">
        <v>35</v>
      </c>
      <c r="J2461" t="s">
        <v>2890</v>
      </c>
      <c r="K2461" t="s">
        <v>1092</v>
      </c>
      <c r="M2461">
        <v>0.2</v>
      </c>
      <c r="N2461">
        <v>267</v>
      </c>
      <c r="O2461" t="s">
        <v>5</v>
      </c>
      <c r="Q2461" t="s">
        <v>2559</v>
      </c>
      <c r="R2461" t="s">
        <v>2690</v>
      </c>
      <c r="S2461" t="s">
        <v>252</v>
      </c>
    </row>
    <row r="2462" spans="1:19" x14ac:dyDescent="0.25">
      <c r="A2462" t="s">
        <v>59</v>
      </c>
      <c r="B2462" t="s">
        <v>60</v>
      </c>
      <c r="C2462" t="s">
        <v>32</v>
      </c>
      <c r="D2462" t="s">
        <v>227</v>
      </c>
      <c r="E2462" t="s">
        <v>2871</v>
      </c>
      <c r="F2462" t="s">
        <v>35</v>
      </c>
      <c r="G2462" t="s">
        <v>35</v>
      </c>
      <c r="H2462" t="s">
        <v>35</v>
      </c>
      <c r="J2462" t="s">
        <v>2891</v>
      </c>
      <c r="K2462" t="s">
        <v>1092</v>
      </c>
      <c r="M2462">
        <v>0.8</v>
      </c>
      <c r="N2462">
        <v>104</v>
      </c>
      <c r="O2462" t="s">
        <v>106</v>
      </c>
      <c r="Q2462" t="s">
        <v>2577</v>
      </c>
      <c r="R2462" t="s">
        <v>250</v>
      </c>
      <c r="S2462" t="s">
        <v>242</v>
      </c>
    </row>
    <row r="2463" spans="1:19" x14ac:dyDescent="0.25">
      <c r="A2463" t="s">
        <v>59</v>
      </c>
      <c r="B2463" t="s">
        <v>60</v>
      </c>
      <c r="C2463" t="s">
        <v>32</v>
      </c>
      <c r="D2463" t="s">
        <v>227</v>
      </c>
      <c r="E2463" t="s">
        <v>2871</v>
      </c>
      <c r="F2463" t="s">
        <v>35</v>
      </c>
      <c r="G2463" t="s">
        <v>35</v>
      </c>
      <c r="H2463" t="s">
        <v>35</v>
      </c>
      <c r="J2463" t="s">
        <v>2891</v>
      </c>
      <c r="K2463" t="s">
        <v>1092</v>
      </c>
      <c r="M2463">
        <v>5.5</v>
      </c>
      <c r="N2463">
        <v>28</v>
      </c>
      <c r="O2463" t="s">
        <v>46</v>
      </c>
      <c r="Q2463" t="s">
        <v>176</v>
      </c>
      <c r="R2463" t="s">
        <v>250</v>
      </c>
      <c r="S2463" t="s">
        <v>242</v>
      </c>
    </row>
    <row r="2464" spans="1:19" x14ac:dyDescent="0.25">
      <c r="A2464" t="s">
        <v>30</v>
      </c>
      <c r="B2464" t="s">
        <v>31</v>
      </c>
      <c r="C2464" t="s">
        <v>32</v>
      </c>
      <c r="D2464" t="s">
        <v>227</v>
      </c>
      <c r="E2464" t="s">
        <v>2871</v>
      </c>
      <c r="F2464" t="s">
        <v>35</v>
      </c>
      <c r="G2464" t="s">
        <v>35</v>
      </c>
      <c r="H2464" t="s">
        <v>35</v>
      </c>
      <c r="J2464" t="s">
        <v>2892</v>
      </c>
      <c r="K2464" t="s">
        <v>1092</v>
      </c>
      <c r="M2464">
        <v>0.9</v>
      </c>
      <c r="N2464">
        <v>49</v>
      </c>
      <c r="O2464" t="s">
        <v>52</v>
      </c>
      <c r="Q2464" t="s">
        <v>219</v>
      </c>
      <c r="R2464" t="s">
        <v>250</v>
      </c>
      <c r="S2464" t="s">
        <v>242</v>
      </c>
    </row>
    <row r="2465" spans="1:19" x14ac:dyDescent="0.25">
      <c r="A2465" t="s">
        <v>59</v>
      </c>
      <c r="B2465" t="s">
        <v>60</v>
      </c>
      <c r="C2465" t="s">
        <v>32</v>
      </c>
      <c r="D2465" t="s">
        <v>227</v>
      </c>
      <c r="E2465" t="s">
        <v>2871</v>
      </c>
      <c r="F2465" t="s">
        <v>35</v>
      </c>
      <c r="G2465" t="s">
        <v>35</v>
      </c>
      <c r="H2465" t="s">
        <v>35</v>
      </c>
      <c r="J2465" t="s">
        <v>2893</v>
      </c>
      <c r="K2465" t="s">
        <v>1092</v>
      </c>
      <c r="M2465">
        <v>0.2</v>
      </c>
      <c r="N2465">
        <v>109</v>
      </c>
      <c r="O2465" t="s">
        <v>106</v>
      </c>
      <c r="Q2465" t="s">
        <v>2624</v>
      </c>
      <c r="R2465" t="s">
        <v>2387</v>
      </c>
      <c r="S2465" t="s">
        <v>277</v>
      </c>
    </row>
    <row r="2466" spans="1:19" x14ac:dyDescent="0.25">
      <c r="A2466" t="s">
        <v>59</v>
      </c>
      <c r="B2466" t="s">
        <v>60</v>
      </c>
      <c r="C2466" t="s">
        <v>32</v>
      </c>
      <c r="D2466" t="s">
        <v>227</v>
      </c>
      <c r="E2466" t="s">
        <v>2871</v>
      </c>
      <c r="F2466" t="s">
        <v>35</v>
      </c>
      <c r="G2466" t="s">
        <v>35</v>
      </c>
      <c r="H2466" t="s">
        <v>35</v>
      </c>
      <c r="J2466" t="s">
        <v>2894</v>
      </c>
      <c r="K2466" t="s">
        <v>1092</v>
      </c>
      <c r="M2466">
        <v>0.35</v>
      </c>
      <c r="N2466">
        <v>121</v>
      </c>
      <c r="O2466" t="s">
        <v>38</v>
      </c>
      <c r="Q2466" t="s">
        <v>2895</v>
      </c>
      <c r="R2466" t="s">
        <v>2602</v>
      </c>
      <c r="S2466" t="s">
        <v>297</v>
      </c>
    </row>
    <row r="2467" spans="1:19" x14ac:dyDescent="0.25">
      <c r="A2467" t="s">
        <v>59</v>
      </c>
      <c r="B2467" t="s">
        <v>60</v>
      </c>
      <c r="C2467" t="s">
        <v>32</v>
      </c>
      <c r="D2467" t="s">
        <v>227</v>
      </c>
      <c r="E2467" t="s">
        <v>2871</v>
      </c>
      <c r="F2467" t="s">
        <v>35</v>
      </c>
      <c r="G2467" t="s">
        <v>35</v>
      </c>
      <c r="H2467" t="s">
        <v>35</v>
      </c>
      <c r="J2467" t="s">
        <v>2896</v>
      </c>
      <c r="K2467" t="s">
        <v>1092</v>
      </c>
      <c r="M2467">
        <v>0.28000000000000003</v>
      </c>
      <c r="N2467">
        <v>145</v>
      </c>
      <c r="O2467" t="s">
        <v>38</v>
      </c>
      <c r="Q2467" t="s">
        <v>1149</v>
      </c>
      <c r="R2467" t="s">
        <v>2690</v>
      </c>
      <c r="S2467" t="s">
        <v>252</v>
      </c>
    </row>
    <row r="2468" spans="1:19" x14ac:dyDescent="0.25">
      <c r="A2468" t="s">
        <v>59</v>
      </c>
      <c r="B2468" t="s">
        <v>60</v>
      </c>
      <c r="C2468" t="s">
        <v>32</v>
      </c>
      <c r="D2468" t="s">
        <v>227</v>
      </c>
      <c r="E2468" t="s">
        <v>2871</v>
      </c>
      <c r="F2468" t="s">
        <v>35</v>
      </c>
      <c r="G2468" t="s">
        <v>35</v>
      </c>
      <c r="H2468" t="s">
        <v>35</v>
      </c>
      <c r="J2468" t="s">
        <v>2897</v>
      </c>
      <c r="K2468" t="s">
        <v>1092</v>
      </c>
      <c r="M2468">
        <v>0.9</v>
      </c>
      <c r="N2468">
        <v>28</v>
      </c>
      <c r="O2468" t="s">
        <v>46</v>
      </c>
      <c r="Q2468" t="s">
        <v>176</v>
      </c>
      <c r="R2468" t="s">
        <v>250</v>
      </c>
      <c r="S2468" t="s">
        <v>242</v>
      </c>
    </row>
    <row r="2469" spans="1:19" x14ac:dyDescent="0.25">
      <c r="A2469" t="s">
        <v>59</v>
      </c>
      <c r="B2469" t="s">
        <v>60</v>
      </c>
      <c r="C2469" t="s">
        <v>32</v>
      </c>
      <c r="D2469" t="s">
        <v>227</v>
      </c>
      <c r="E2469" t="s">
        <v>2871</v>
      </c>
      <c r="F2469" t="s">
        <v>35</v>
      </c>
      <c r="G2469" t="s">
        <v>35</v>
      </c>
      <c r="H2469" t="s">
        <v>35</v>
      </c>
      <c r="J2469" t="s">
        <v>2898</v>
      </c>
      <c r="K2469" t="s">
        <v>1092</v>
      </c>
      <c r="M2469">
        <v>0.5</v>
      </c>
      <c r="N2469">
        <v>131</v>
      </c>
      <c r="O2469" t="s">
        <v>38</v>
      </c>
      <c r="Q2469" t="s">
        <v>646</v>
      </c>
      <c r="R2469" t="s">
        <v>2387</v>
      </c>
      <c r="S2469" t="s">
        <v>277</v>
      </c>
    </row>
    <row r="2470" spans="1:19" x14ac:dyDescent="0.25">
      <c r="A2470" t="s">
        <v>30</v>
      </c>
      <c r="B2470" t="s">
        <v>31</v>
      </c>
      <c r="C2470" t="s">
        <v>32</v>
      </c>
      <c r="D2470" t="s">
        <v>227</v>
      </c>
      <c r="E2470" t="s">
        <v>2871</v>
      </c>
      <c r="F2470" t="s">
        <v>35</v>
      </c>
      <c r="G2470" t="s">
        <v>35</v>
      </c>
      <c r="H2470" t="s">
        <v>35</v>
      </c>
      <c r="J2470" t="s">
        <v>2899</v>
      </c>
      <c r="K2470" t="s">
        <v>1092</v>
      </c>
      <c r="M2470">
        <v>4.41</v>
      </c>
      <c r="N2470">
        <v>150</v>
      </c>
      <c r="O2470" t="s">
        <v>38</v>
      </c>
      <c r="Q2470" t="s">
        <v>1612</v>
      </c>
      <c r="R2470" t="s">
        <v>256</v>
      </c>
      <c r="S2470" t="s">
        <v>257</v>
      </c>
    </row>
    <row r="2471" spans="1:19" x14ac:dyDescent="0.25">
      <c r="A2471" t="s">
        <v>59</v>
      </c>
      <c r="B2471" t="s">
        <v>31</v>
      </c>
      <c r="C2471" t="s">
        <v>32</v>
      </c>
      <c r="D2471" t="s">
        <v>227</v>
      </c>
      <c r="E2471" t="s">
        <v>2871</v>
      </c>
      <c r="F2471" t="s">
        <v>35</v>
      </c>
      <c r="G2471" t="s">
        <v>35</v>
      </c>
      <c r="H2471" t="s">
        <v>35</v>
      </c>
      <c r="J2471" t="s">
        <v>2900</v>
      </c>
      <c r="K2471" t="s">
        <v>1092</v>
      </c>
      <c r="M2471">
        <v>4.4999999999999998E-2</v>
      </c>
      <c r="N2471">
        <v>132</v>
      </c>
      <c r="O2471" t="s">
        <v>38</v>
      </c>
      <c r="Q2471" t="s">
        <v>2901</v>
      </c>
      <c r="R2471" t="s">
        <v>250</v>
      </c>
      <c r="S2471" t="s">
        <v>242</v>
      </c>
    </row>
    <row r="2472" spans="1:19" x14ac:dyDescent="0.25">
      <c r="A2472" t="s">
        <v>59</v>
      </c>
      <c r="B2472" t="s">
        <v>60</v>
      </c>
      <c r="C2472" t="s">
        <v>32</v>
      </c>
      <c r="D2472" t="s">
        <v>227</v>
      </c>
      <c r="E2472" t="s">
        <v>2871</v>
      </c>
      <c r="F2472" t="s">
        <v>35</v>
      </c>
      <c r="G2472" t="s">
        <v>35</v>
      </c>
      <c r="H2472" t="s">
        <v>35</v>
      </c>
      <c r="J2472" t="s">
        <v>2902</v>
      </c>
      <c r="K2472" t="s">
        <v>1092</v>
      </c>
      <c r="M2472">
        <v>0.5</v>
      </c>
      <c r="N2472">
        <v>29</v>
      </c>
      <c r="O2472" t="s">
        <v>46</v>
      </c>
      <c r="Q2472" t="s">
        <v>1645</v>
      </c>
      <c r="R2472" t="s">
        <v>2387</v>
      </c>
      <c r="S2472" t="s">
        <v>277</v>
      </c>
    </row>
    <row r="2473" spans="1:19" x14ac:dyDescent="0.25">
      <c r="A2473" t="s">
        <v>59</v>
      </c>
      <c r="B2473" t="s">
        <v>60</v>
      </c>
      <c r="C2473" t="s">
        <v>32</v>
      </c>
      <c r="D2473" t="s">
        <v>227</v>
      </c>
      <c r="E2473" t="s">
        <v>2871</v>
      </c>
      <c r="F2473" t="s">
        <v>35</v>
      </c>
      <c r="G2473" t="s">
        <v>35</v>
      </c>
      <c r="H2473" t="s">
        <v>35</v>
      </c>
      <c r="J2473" t="s">
        <v>8235</v>
      </c>
      <c r="K2473" t="s">
        <v>1092</v>
      </c>
      <c r="M2473">
        <v>0.5</v>
      </c>
      <c r="N2473">
        <v>7</v>
      </c>
      <c r="O2473" t="s">
        <v>46</v>
      </c>
      <c r="Q2473" t="s">
        <v>8164</v>
      </c>
      <c r="R2473" t="s">
        <v>2690</v>
      </c>
      <c r="S2473" t="s">
        <v>252</v>
      </c>
    </row>
    <row r="2474" spans="1:19" x14ac:dyDescent="0.25">
      <c r="A2474" t="s">
        <v>59</v>
      </c>
      <c r="B2474" t="s">
        <v>60</v>
      </c>
      <c r="C2474" t="s">
        <v>32</v>
      </c>
      <c r="D2474" t="s">
        <v>227</v>
      </c>
      <c r="E2474" t="s">
        <v>2871</v>
      </c>
      <c r="F2474" t="s">
        <v>35</v>
      </c>
      <c r="G2474" t="s">
        <v>35</v>
      </c>
      <c r="H2474" t="s">
        <v>35</v>
      </c>
      <c r="J2474" t="s">
        <v>2903</v>
      </c>
      <c r="K2474" t="s">
        <v>1092</v>
      </c>
      <c r="M2474">
        <v>0.05</v>
      </c>
      <c r="N2474">
        <v>242</v>
      </c>
      <c r="O2474" t="s">
        <v>5</v>
      </c>
      <c r="Q2474" t="s">
        <v>2904</v>
      </c>
      <c r="R2474" t="s">
        <v>2602</v>
      </c>
      <c r="S2474" t="s">
        <v>297</v>
      </c>
    </row>
    <row r="2475" spans="1:19" x14ac:dyDescent="0.25">
      <c r="A2475" t="s">
        <v>59</v>
      </c>
      <c r="B2475" t="s">
        <v>60</v>
      </c>
      <c r="C2475" t="s">
        <v>32</v>
      </c>
      <c r="D2475" t="s">
        <v>227</v>
      </c>
      <c r="E2475" t="s">
        <v>2871</v>
      </c>
      <c r="F2475" t="s">
        <v>35</v>
      </c>
      <c r="G2475" t="s">
        <v>35</v>
      </c>
      <c r="H2475" t="s">
        <v>35</v>
      </c>
      <c r="J2475" t="s">
        <v>2903</v>
      </c>
      <c r="K2475" t="s">
        <v>1092</v>
      </c>
      <c r="M2475">
        <v>0.5</v>
      </c>
      <c r="N2475">
        <v>153</v>
      </c>
      <c r="O2475" t="s">
        <v>38</v>
      </c>
      <c r="Q2475" t="s">
        <v>569</v>
      </c>
      <c r="R2475" t="s">
        <v>2602</v>
      </c>
      <c r="S2475" t="s">
        <v>297</v>
      </c>
    </row>
    <row r="2476" spans="1:19" x14ac:dyDescent="0.25">
      <c r="A2476" t="s">
        <v>59</v>
      </c>
      <c r="B2476" t="s">
        <v>60</v>
      </c>
      <c r="C2476" t="s">
        <v>32</v>
      </c>
      <c r="D2476" t="s">
        <v>227</v>
      </c>
      <c r="E2476" t="s">
        <v>2871</v>
      </c>
      <c r="F2476" t="s">
        <v>35</v>
      </c>
      <c r="G2476" t="s">
        <v>35</v>
      </c>
      <c r="H2476" t="s">
        <v>35</v>
      </c>
      <c r="J2476" t="s">
        <v>2905</v>
      </c>
      <c r="K2476" t="s">
        <v>1092</v>
      </c>
      <c r="M2476">
        <v>0.5</v>
      </c>
      <c r="N2476">
        <v>53</v>
      </c>
      <c r="O2476" t="s">
        <v>52</v>
      </c>
      <c r="Q2476" t="s">
        <v>332</v>
      </c>
      <c r="R2476" t="s">
        <v>2387</v>
      </c>
      <c r="S2476" t="s">
        <v>277</v>
      </c>
    </row>
    <row r="2477" spans="1:19" x14ac:dyDescent="0.25">
      <c r="A2477" t="s">
        <v>59</v>
      </c>
      <c r="B2477" t="s">
        <v>60</v>
      </c>
      <c r="C2477" t="s">
        <v>32</v>
      </c>
      <c r="D2477" t="s">
        <v>227</v>
      </c>
      <c r="E2477" t="s">
        <v>2871</v>
      </c>
      <c r="F2477" t="s">
        <v>35</v>
      </c>
      <c r="G2477" t="s">
        <v>35</v>
      </c>
      <c r="H2477" t="s">
        <v>35</v>
      </c>
      <c r="J2477" t="s">
        <v>2906</v>
      </c>
      <c r="K2477" t="s">
        <v>1092</v>
      </c>
      <c r="M2477">
        <v>0.55000000000000004</v>
      </c>
      <c r="N2477">
        <v>267</v>
      </c>
      <c r="O2477" t="s">
        <v>5</v>
      </c>
      <c r="Q2477" t="s">
        <v>2559</v>
      </c>
      <c r="R2477" t="s">
        <v>2690</v>
      </c>
      <c r="S2477" t="s">
        <v>252</v>
      </c>
    </row>
    <row r="2478" spans="1:19" x14ac:dyDescent="0.25">
      <c r="A2478" t="s">
        <v>59</v>
      </c>
      <c r="B2478" t="s">
        <v>60</v>
      </c>
      <c r="C2478" t="s">
        <v>32</v>
      </c>
      <c r="D2478" t="s">
        <v>227</v>
      </c>
      <c r="E2478" t="s">
        <v>2871</v>
      </c>
      <c r="F2478" t="s">
        <v>35</v>
      </c>
      <c r="G2478" t="s">
        <v>35</v>
      </c>
      <c r="H2478" t="s">
        <v>35</v>
      </c>
      <c r="J2478" t="s">
        <v>2907</v>
      </c>
      <c r="K2478" t="s">
        <v>1092</v>
      </c>
      <c r="M2478">
        <v>0.22</v>
      </c>
      <c r="N2478">
        <v>2673</v>
      </c>
      <c r="O2478" t="s">
        <v>575</v>
      </c>
      <c r="Q2478" t="s">
        <v>1486</v>
      </c>
      <c r="R2478" t="s">
        <v>1487</v>
      </c>
      <c r="S2478" t="s">
        <v>1488</v>
      </c>
    </row>
    <row r="2479" spans="1:19" x14ac:dyDescent="0.25">
      <c r="A2479" t="s">
        <v>59</v>
      </c>
      <c r="B2479" t="s">
        <v>60</v>
      </c>
      <c r="C2479" t="s">
        <v>32</v>
      </c>
      <c r="D2479" t="s">
        <v>227</v>
      </c>
      <c r="E2479" t="s">
        <v>2871</v>
      </c>
      <c r="F2479" t="s">
        <v>35</v>
      </c>
      <c r="G2479" t="s">
        <v>35</v>
      </c>
      <c r="H2479" t="s">
        <v>35</v>
      </c>
      <c r="J2479" t="s">
        <v>2907</v>
      </c>
      <c r="K2479" t="s">
        <v>1092</v>
      </c>
      <c r="M2479">
        <v>1</v>
      </c>
      <c r="N2479">
        <v>2417</v>
      </c>
      <c r="O2479" t="s">
        <v>575</v>
      </c>
      <c r="Q2479" t="s">
        <v>2908</v>
      </c>
      <c r="R2479" t="s">
        <v>2602</v>
      </c>
      <c r="S2479" t="s">
        <v>297</v>
      </c>
    </row>
    <row r="2480" spans="1:19" x14ac:dyDescent="0.25">
      <c r="A2480" t="s">
        <v>59</v>
      </c>
      <c r="B2480" t="s">
        <v>60</v>
      </c>
      <c r="C2480" t="s">
        <v>32</v>
      </c>
      <c r="D2480" t="s">
        <v>227</v>
      </c>
      <c r="E2480" t="s">
        <v>2871</v>
      </c>
      <c r="F2480" t="s">
        <v>35</v>
      </c>
      <c r="G2480" t="s">
        <v>35</v>
      </c>
      <c r="H2480" t="s">
        <v>35</v>
      </c>
      <c r="J2480" t="s">
        <v>2909</v>
      </c>
      <c r="K2480" t="s">
        <v>1092</v>
      </c>
      <c r="M2480">
        <v>0.5</v>
      </c>
      <c r="N2480">
        <v>56</v>
      </c>
      <c r="O2480" t="s">
        <v>52</v>
      </c>
      <c r="Q2480" t="s">
        <v>453</v>
      </c>
      <c r="R2480" t="s">
        <v>2387</v>
      </c>
      <c r="S2480" t="s">
        <v>277</v>
      </c>
    </row>
    <row r="2481" spans="1:19" x14ac:dyDescent="0.25">
      <c r="A2481" t="s">
        <v>59</v>
      </c>
      <c r="B2481" t="s">
        <v>60</v>
      </c>
      <c r="C2481" t="s">
        <v>32</v>
      </c>
      <c r="D2481" t="s">
        <v>227</v>
      </c>
      <c r="E2481" t="s">
        <v>2871</v>
      </c>
      <c r="F2481" t="s">
        <v>35</v>
      </c>
      <c r="G2481" t="s">
        <v>35</v>
      </c>
      <c r="H2481" t="s">
        <v>35</v>
      </c>
      <c r="J2481" t="s">
        <v>2910</v>
      </c>
      <c r="K2481" t="s">
        <v>1092</v>
      </c>
      <c r="M2481">
        <v>0.02</v>
      </c>
      <c r="N2481">
        <v>1566</v>
      </c>
      <c r="O2481" t="s">
        <v>575</v>
      </c>
      <c r="Q2481" t="s">
        <v>2911</v>
      </c>
      <c r="R2481" t="s">
        <v>2701</v>
      </c>
      <c r="S2481" t="s">
        <v>2702</v>
      </c>
    </row>
    <row r="2482" spans="1:19" x14ac:dyDescent="0.25">
      <c r="A2482" t="s">
        <v>59</v>
      </c>
      <c r="B2482" t="s">
        <v>60</v>
      </c>
      <c r="C2482" t="s">
        <v>32</v>
      </c>
      <c r="D2482" t="s">
        <v>227</v>
      </c>
      <c r="E2482" t="s">
        <v>2871</v>
      </c>
      <c r="F2482" t="s">
        <v>35</v>
      </c>
      <c r="G2482" t="s">
        <v>35</v>
      </c>
      <c r="H2482" t="s">
        <v>35</v>
      </c>
      <c r="J2482" t="s">
        <v>2912</v>
      </c>
      <c r="K2482" t="s">
        <v>1092</v>
      </c>
      <c r="M2482">
        <v>7.5</v>
      </c>
      <c r="N2482">
        <v>25</v>
      </c>
      <c r="O2482" t="s">
        <v>46</v>
      </c>
      <c r="Q2482" t="s">
        <v>831</v>
      </c>
      <c r="R2482" t="s">
        <v>250</v>
      </c>
      <c r="S2482" t="s">
        <v>242</v>
      </c>
    </row>
    <row r="2483" spans="1:19" x14ac:dyDescent="0.25">
      <c r="A2483" t="s">
        <v>59</v>
      </c>
      <c r="B2483" t="s">
        <v>60</v>
      </c>
      <c r="C2483" t="s">
        <v>32</v>
      </c>
      <c r="D2483" t="s">
        <v>227</v>
      </c>
      <c r="E2483" t="s">
        <v>2871</v>
      </c>
      <c r="F2483" t="s">
        <v>35</v>
      </c>
      <c r="G2483" t="s">
        <v>35</v>
      </c>
      <c r="H2483" t="s">
        <v>35</v>
      </c>
      <c r="J2483" t="s">
        <v>2913</v>
      </c>
      <c r="K2483" t="s">
        <v>1092</v>
      </c>
      <c r="M2483">
        <v>8.5999999999999993E-2</v>
      </c>
      <c r="N2483">
        <v>267</v>
      </c>
      <c r="O2483" t="s">
        <v>5</v>
      </c>
      <c r="Q2483" t="s">
        <v>2559</v>
      </c>
      <c r="R2483" t="s">
        <v>2690</v>
      </c>
      <c r="S2483" t="s">
        <v>252</v>
      </c>
    </row>
    <row r="2484" spans="1:19" x14ac:dyDescent="0.25">
      <c r="A2484" t="s">
        <v>59</v>
      </c>
      <c r="B2484" t="s">
        <v>60</v>
      </c>
      <c r="C2484" t="s">
        <v>32</v>
      </c>
      <c r="D2484" t="s">
        <v>227</v>
      </c>
      <c r="E2484" t="s">
        <v>2871</v>
      </c>
      <c r="F2484" t="s">
        <v>35</v>
      </c>
      <c r="G2484" t="s">
        <v>35</v>
      </c>
      <c r="H2484" t="s">
        <v>35</v>
      </c>
      <c r="J2484" t="s">
        <v>2914</v>
      </c>
      <c r="K2484" t="s">
        <v>1092</v>
      </c>
      <c r="M2484">
        <v>4.75</v>
      </c>
      <c r="N2484">
        <v>99</v>
      </c>
      <c r="O2484" t="s">
        <v>106</v>
      </c>
      <c r="Q2484" t="s">
        <v>1216</v>
      </c>
      <c r="R2484" t="s">
        <v>256</v>
      </c>
      <c r="S2484" t="s">
        <v>257</v>
      </c>
    </row>
    <row r="2485" spans="1:19" x14ac:dyDescent="0.25">
      <c r="A2485" t="s">
        <v>59</v>
      </c>
      <c r="B2485" t="s">
        <v>60</v>
      </c>
      <c r="C2485" t="s">
        <v>32</v>
      </c>
      <c r="D2485" t="s">
        <v>227</v>
      </c>
      <c r="E2485" t="s">
        <v>2871</v>
      </c>
      <c r="F2485" t="s">
        <v>35</v>
      </c>
      <c r="G2485" t="s">
        <v>35</v>
      </c>
      <c r="H2485" t="s">
        <v>35</v>
      </c>
      <c r="J2485" t="s">
        <v>2915</v>
      </c>
      <c r="K2485" t="s">
        <v>1092</v>
      </c>
      <c r="M2485">
        <v>0.2</v>
      </c>
      <c r="N2485">
        <v>156</v>
      </c>
      <c r="O2485" t="s">
        <v>38</v>
      </c>
      <c r="Q2485" t="s">
        <v>75</v>
      </c>
      <c r="R2485" t="s">
        <v>2602</v>
      </c>
      <c r="S2485" t="s">
        <v>297</v>
      </c>
    </row>
    <row r="2486" spans="1:19" x14ac:dyDescent="0.25">
      <c r="A2486" t="s">
        <v>59</v>
      </c>
      <c r="B2486" t="s">
        <v>60</v>
      </c>
      <c r="C2486" t="s">
        <v>32</v>
      </c>
      <c r="D2486" t="s">
        <v>227</v>
      </c>
      <c r="E2486" t="s">
        <v>2871</v>
      </c>
      <c r="F2486" t="s">
        <v>35</v>
      </c>
      <c r="G2486" t="s">
        <v>35</v>
      </c>
      <c r="H2486" t="s">
        <v>35</v>
      </c>
      <c r="J2486" t="s">
        <v>2916</v>
      </c>
      <c r="K2486" t="s">
        <v>1092</v>
      </c>
      <c r="M2486">
        <v>0.3</v>
      </c>
      <c r="N2486">
        <v>66</v>
      </c>
      <c r="O2486" t="s">
        <v>61</v>
      </c>
      <c r="Q2486" t="s">
        <v>203</v>
      </c>
      <c r="R2486" t="s">
        <v>2387</v>
      </c>
      <c r="S2486" t="s">
        <v>277</v>
      </c>
    </row>
    <row r="2487" spans="1:19" x14ac:dyDescent="0.25">
      <c r="A2487" t="s">
        <v>59</v>
      </c>
      <c r="B2487" t="s">
        <v>60</v>
      </c>
      <c r="C2487" t="s">
        <v>32</v>
      </c>
      <c r="D2487" t="s">
        <v>227</v>
      </c>
      <c r="E2487" t="s">
        <v>2871</v>
      </c>
      <c r="F2487" t="s">
        <v>35</v>
      </c>
      <c r="G2487" t="s">
        <v>35</v>
      </c>
      <c r="H2487" t="s">
        <v>35</v>
      </c>
      <c r="J2487" t="s">
        <v>2916</v>
      </c>
      <c r="K2487" t="s">
        <v>1092</v>
      </c>
      <c r="M2487">
        <v>1</v>
      </c>
      <c r="N2487">
        <v>54</v>
      </c>
      <c r="O2487" t="s">
        <v>52</v>
      </c>
      <c r="Q2487" t="s">
        <v>1207</v>
      </c>
      <c r="R2487" t="s">
        <v>2387</v>
      </c>
      <c r="S2487" t="s">
        <v>277</v>
      </c>
    </row>
    <row r="2488" spans="1:19" x14ac:dyDescent="0.25">
      <c r="A2488" t="s">
        <v>59</v>
      </c>
      <c r="B2488" t="s">
        <v>60</v>
      </c>
      <c r="C2488" t="s">
        <v>32</v>
      </c>
      <c r="D2488" t="s">
        <v>227</v>
      </c>
      <c r="E2488" t="s">
        <v>2871</v>
      </c>
      <c r="F2488" t="s">
        <v>35</v>
      </c>
      <c r="G2488" t="s">
        <v>35</v>
      </c>
      <c r="H2488" t="s">
        <v>35</v>
      </c>
      <c r="J2488" t="s">
        <v>2917</v>
      </c>
      <c r="K2488" t="s">
        <v>1092</v>
      </c>
      <c r="M2488">
        <v>0.05</v>
      </c>
      <c r="N2488">
        <v>140</v>
      </c>
      <c r="O2488" t="s">
        <v>38</v>
      </c>
      <c r="Q2488" t="s">
        <v>609</v>
      </c>
      <c r="R2488" t="s">
        <v>2387</v>
      </c>
      <c r="S2488" t="s">
        <v>277</v>
      </c>
    </row>
    <row r="2489" spans="1:19" x14ac:dyDescent="0.25">
      <c r="A2489" t="s">
        <v>59</v>
      </c>
      <c r="B2489" t="s">
        <v>60</v>
      </c>
      <c r="C2489" t="s">
        <v>32</v>
      </c>
      <c r="D2489" t="s">
        <v>227</v>
      </c>
      <c r="E2489" t="s">
        <v>2871</v>
      </c>
      <c r="F2489" t="s">
        <v>35</v>
      </c>
      <c r="G2489" t="s">
        <v>35</v>
      </c>
      <c r="H2489" t="s">
        <v>35</v>
      </c>
      <c r="J2489" t="s">
        <v>2918</v>
      </c>
      <c r="K2489" t="s">
        <v>1092</v>
      </c>
      <c r="M2489">
        <v>0.5</v>
      </c>
      <c r="N2489">
        <v>39</v>
      </c>
      <c r="O2489" t="s">
        <v>52</v>
      </c>
      <c r="Q2489" t="s">
        <v>816</v>
      </c>
      <c r="R2489" t="s">
        <v>2387</v>
      </c>
      <c r="S2489" t="s">
        <v>277</v>
      </c>
    </row>
    <row r="2490" spans="1:19" x14ac:dyDescent="0.25">
      <c r="A2490" t="s">
        <v>59</v>
      </c>
      <c r="B2490" t="s">
        <v>60</v>
      </c>
      <c r="C2490" t="s">
        <v>32</v>
      </c>
      <c r="D2490" t="s">
        <v>227</v>
      </c>
      <c r="E2490" t="s">
        <v>2919</v>
      </c>
      <c r="F2490" t="s">
        <v>35</v>
      </c>
      <c r="G2490" t="s">
        <v>35</v>
      </c>
      <c r="H2490" t="s">
        <v>35</v>
      </c>
      <c r="J2490" t="s">
        <v>2921</v>
      </c>
      <c r="K2490" t="s">
        <v>1092</v>
      </c>
      <c r="M2490">
        <v>0.35</v>
      </c>
      <c r="N2490">
        <v>18</v>
      </c>
      <c r="O2490" t="s">
        <v>46</v>
      </c>
      <c r="Q2490" t="s">
        <v>1476</v>
      </c>
      <c r="R2490" t="s">
        <v>2391</v>
      </c>
      <c r="S2490" t="s">
        <v>236</v>
      </c>
    </row>
    <row r="2491" spans="1:19" x14ac:dyDescent="0.25">
      <c r="A2491" t="s">
        <v>59</v>
      </c>
      <c r="B2491" t="s">
        <v>60</v>
      </c>
      <c r="C2491" t="s">
        <v>32</v>
      </c>
      <c r="D2491" t="s">
        <v>227</v>
      </c>
      <c r="E2491" t="s">
        <v>2919</v>
      </c>
      <c r="F2491" t="s">
        <v>35</v>
      </c>
      <c r="G2491" t="s">
        <v>35</v>
      </c>
      <c r="H2491" t="s">
        <v>35</v>
      </c>
      <c r="J2491" t="s">
        <v>2921</v>
      </c>
      <c r="K2491" t="s">
        <v>1092</v>
      </c>
      <c r="M2491">
        <v>0.22700000000000001</v>
      </c>
      <c r="N2491">
        <v>95</v>
      </c>
      <c r="O2491" t="s">
        <v>106</v>
      </c>
      <c r="Q2491" t="s">
        <v>724</v>
      </c>
      <c r="R2491" t="s">
        <v>250</v>
      </c>
      <c r="S2491" t="s">
        <v>242</v>
      </c>
    </row>
    <row r="2492" spans="1:19" x14ac:dyDescent="0.25">
      <c r="A2492" t="s">
        <v>44</v>
      </c>
      <c r="B2492" t="s">
        <v>51</v>
      </c>
      <c r="C2492" t="s">
        <v>32</v>
      </c>
      <c r="D2492" t="s">
        <v>227</v>
      </c>
      <c r="E2492" t="s">
        <v>2919</v>
      </c>
      <c r="F2492" t="s">
        <v>35</v>
      </c>
      <c r="G2492" t="s">
        <v>35</v>
      </c>
      <c r="H2492" t="s">
        <v>35</v>
      </c>
      <c r="J2492" t="s">
        <v>2921</v>
      </c>
      <c r="K2492" t="s">
        <v>1092</v>
      </c>
      <c r="M2492">
        <v>0.25</v>
      </c>
      <c r="N2492">
        <v>18</v>
      </c>
      <c r="O2492" t="s">
        <v>46</v>
      </c>
      <c r="Q2492" t="s">
        <v>1476</v>
      </c>
      <c r="R2492" t="s">
        <v>2391</v>
      </c>
      <c r="S2492" t="s">
        <v>236</v>
      </c>
    </row>
    <row r="2493" spans="1:19" x14ac:dyDescent="0.25">
      <c r="A2493" t="s">
        <v>30</v>
      </c>
      <c r="B2493" t="s">
        <v>31</v>
      </c>
      <c r="C2493" t="s">
        <v>32</v>
      </c>
      <c r="D2493" t="s">
        <v>227</v>
      </c>
      <c r="E2493" t="s">
        <v>2919</v>
      </c>
      <c r="F2493" t="s">
        <v>35</v>
      </c>
      <c r="G2493" t="s">
        <v>35</v>
      </c>
      <c r="H2493" t="s">
        <v>35</v>
      </c>
      <c r="J2493" t="s">
        <v>2921</v>
      </c>
      <c r="K2493" t="s">
        <v>1092</v>
      </c>
      <c r="M2493">
        <v>0.85</v>
      </c>
      <c r="N2493">
        <v>169</v>
      </c>
      <c r="O2493" t="s">
        <v>38</v>
      </c>
      <c r="Q2493" t="s">
        <v>1189</v>
      </c>
      <c r="R2493" t="s">
        <v>2391</v>
      </c>
      <c r="S2493" t="s">
        <v>236</v>
      </c>
    </row>
    <row r="2494" spans="1:19" x14ac:dyDescent="0.25">
      <c r="A2494" t="s">
        <v>59</v>
      </c>
      <c r="B2494" t="s">
        <v>60</v>
      </c>
      <c r="C2494" t="s">
        <v>32</v>
      </c>
      <c r="D2494" t="s">
        <v>227</v>
      </c>
      <c r="E2494" t="s">
        <v>2919</v>
      </c>
      <c r="F2494" t="s">
        <v>35</v>
      </c>
      <c r="G2494" t="s">
        <v>35</v>
      </c>
      <c r="H2494" t="s">
        <v>35</v>
      </c>
      <c r="J2494" t="s">
        <v>2922</v>
      </c>
      <c r="K2494" t="s">
        <v>1092</v>
      </c>
      <c r="M2494">
        <v>0.4</v>
      </c>
      <c r="N2494">
        <v>901</v>
      </c>
      <c r="O2494" t="s">
        <v>575</v>
      </c>
      <c r="Q2494" t="s">
        <v>2923</v>
      </c>
      <c r="R2494" t="s">
        <v>2391</v>
      </c>
      <c r="S2494" t="s">
        <v>236</v>
      </c>
    </row>
    <row r="2495" spans="1:19" x14ac:dyDescent="0.25">
      <c r="A2495" t="s">
        <v>59</v>
      </c>
      <c r="B2495" t="s">
        <v>60</v>
      </c>
      <c r="C2495" t="s">
        <v>32</v>
      </c>
      <c r="D2495" t="s">
        <v>227</v>
      </c>
      <c r="E2495" t="s">
        <v>2919</v>
      </c>
      <c r="F2495" t="s">
        <v>35</v>
      </c>
      <c r="G2495" t="s">
        <v>35</v>
      </c>
      <c r="H2495" t="s">
        <v>35</v>
      </c>
      <c r="J2495" t="s">
        <v>2924</v>
      </c>
      <c r="K2495" t="s">
        <v>1092</v>
      </c>
      <c r="M2495">
        <v>0.15</v>
      </c>
      <c r="N2495">
        <v>61</v>
      </c>
      <c r="O2495" t="s">
        <v>61</v>
      </c>
      <c r="Q2495" t="s">
        <v>671</v>
      </c>
      <c r="R2495" t="s">
        <v>256</v>
      </c>
      <c r="S2495" t="s">
        <v>257</v>
      </c>
    </row>
    <row r="2496" spans="1:19" x14ac:dyDescent="0.25">
      <c r="A2496" t="s">
        <v>44</v>
      </c>
      <c r="B2496" t="s">
        <v>3</v>
      </c>
      <c r="C2496" t="s">
        <v>32</v>
      </c>
      <c r="D2496" t="s">
        <v>227</v>
      </c>
      <c r="E2496" t="s">
        <v>2919</v>
      </c>
      <c r="F2496" t="s">
        <v>35</v>
      </c>
      <c r="G2496" t="s">
        <v>35</v>
      </c>
      <c r="H2496" t="s">
        <v>35</v>
      </c>
      <c r="J2496" t="s">
        <v>2925</v>
      </c>
      <c r="K2496" t="s">
        <v>1092</v>
      </c>
      <c r="M2496">
        <v>0.4</v>
      </c>
      <c r="N2496">
        <v>334</v>
      </c>
      <c r="O2496" t="s">
        <v>5</v>
      </c>
      <c r="Q2496" t="s">
        <v>2926</v>
      </c>
      <c r="R2496" t="s">
        <v>2391</v>
      </c>
      <c r="S2496" t="s">
        <v>236</v>
      </c>
    </row>
    <row r="2497" spans="1:19" x14ac:dyDescent="0.25">
      <c r="A2497" t="s">
        <v>59</v>
      </c>
      <c r="B2497" t="s">
        <v>31</v>
      </c>
      <c r="C2497" t="s">
        <v>32</v>
      </c>
      <c r="D2497" t="s">
        <v>227</v>
      </c>
      <c r="E2497" t="s">
        <v>2919</v>
      </c>
      <c r="F2497" t="s">
        <v>35</v>
      </c>
      <c r="G2497" t="s">
        <v>35</v>
      </c>
      <c r="H2497" t="s">
        <v>35</v>
      </c>
      <c r="J2497" t="s">
        <v>2925</v>
      </c>
      <c r="K2497" t="s">
        <v>1092</v>
      </c>
      <c r="M2497">
        <v>0.22500000000000001</v>
      </c>
      <c r="N2497">
        <v>259</v>
      </c>
      <c r="O2497" t="s">
        <v>5</v>
      </c>
      <c r="Q2497" t="s">
        <v>1425</v>
      </c>
      <c r="R2497" t="s">
        <v>2391</v>
      </c>
      <c r="S2497" t="s">
        <v>236</v>
      </c>
    </row>
    <row r="2498" spans="1:19" x14ac:dyDescent="0.25">
      <c r="A2498" t="s">
        <v>59</v>
      </c>
      <c r="B2498" t="s">
        <v>60</v>
      </c>
      <c r="C2498" t="s">
        <v>32</v>
      </c>
      <c r="D2498" t="s">
        <v>227</v>
      </c>
      <c r="E2498" t="s">
        <v>2919</v>
      </c>
      <c r="F2498" t="s">
        <v>35</v>
      </c>
      <c r="G2498" t="s">
        <v>35</v>
      </c>
      <c r="H2498" t="s">
        <v>35</v>
      </c>
      <c r="J2498" t="s">
        <v>2927</v>
      </c>
      <c r="K2498" t="s">
        <v>1092</v>
      </c>
      <c r="M2498">
        <v>0.16500000000000001</v>
      </c>
      <c r="N2498">
        <v>2362</v>
      </c>
      <c r="O2498" t="s">
        <v>575</v>
      </c>
      <c r="Q2498" t="s">
        <v>2378</v>
      </c>
      <c r="R2498" t="s">
        <v>2474</v>
      </c>
      <c r="S2498" t="s">
        <v>2475</v>
      </c>
    </row>
    <row r="2499" spans="1:19" x14ac:dyDescent="0.25">
      <c r="A2499" t="s">
        <v>59</v>
      </c>
      <c r="B2499" t="s">
        <v>31</v>
      </c>
      <c r="C2499" t="s">
        <v>32</v>
      </c>
      <c r="D2499" t="s">
        <v>227</v>
      </c>
      <c r="E2499" t="s">
        <v>2919</v>
      </c>
      <c r="F2499" t="s">
        <v>35</v>
      </c>
      <c r="G2499" t="s">
        <v>35</v>
      </c>
      <c r="H2499" t="s">
        <v>35</v>
      </c>
      <c r="J2499" t="s">
        <v>2928</v>
      </c>
      <c r="K2499" t="s">
        <v>1092</v>
      </c>
      <c r="M2499">
        <v>0.45</v>
      </c>
      <c r="N2499">
        <v>144</v>
      </c>
      <c r="O2499" t="s">
        <v>38</v>
      </c>
      <c r="Q2499" t="s">
        <v>2929</v>
      </c>
      <c r="R2499" t="s">
        <v>2391</v>
      </c>
      <c r="S2499" t="s">
        <v>236</v>
      </c>
    </row>
    <row r="2500" spans="1:19" x14ac:dyDescent="0.25">
      <c r="A2500" t="s">
        <v>59</v>
      </c>
      <c r="B2500" t="s">
        <v>60</v>
      </c>
      <c r="C2500" t="s">
        <v>32</v>
      </c>
      <c r="D2500" t="s">
        <v>227</v>
      </c>
      <c r="E2500" t="s">
        <v>2919</v>
      </c>
      <c r="F2500" t="s">
        <v>35</v>
      </c>
      <c r="G2500" t="s">
        <v>35</v>
      </c>
      <c r="H2500" t="s">
        <v>35</v>
      </c>
      <c r="J2500" t="s">
        <v>2928</v>
      </c>
      <c r="K2500" t="s">
        <v>1092</v>
      </c>
      <c r="M2500">
        <v>0.2</v>
      </c>
      <c r="N2500">
        <v>144</v>
      </c>
      <c r="O2500" t="s">
        <v>38</v>
      </c>
      <c r="Q2500" t="s">
        <v>2929</v>
      </c>
      <c r="R2500" t="s">
        <v>2391</v>
      </c>
      <c r="S2500" t="s">
        <v>236</v>
      </c>
    </row>
    <row r="2501" spans="1:19" x14ac:dyDescent="0.25">
      <c r="A2501" t="s">
        <v>59</v>
      </c>
      <c r="B2501" t="s">
        <v>60</v>
      </c>
      <c r="C2501" t="s">
        <v>32</v>
      </c>
      <c r="D2501" t="s">
        <v>227</v>
      </c>
      <c r="E2501" t="s">
        <v>2919</v>
      </c>
      <c r="F2501" t="s">
        <v>35</v>
      </c>
      <c r="G2501" t="s">
        <v>35</v>
      </c>
      <c r="H2501" t="s">
        <v>35</v>
      </c>
      <c r="J2501" t="s">
        <v>2930</v>
      </c>
      <c r="K2501" t="s">
        <v>1092</v>
      </c>
      <c r="M2501">
        <v>0.25</v>
      </c>
      <c r="N2501">
        <v>103</v>
      </c>
      <c r="O2501" t="s">
        <v>106</v>
      </c>
      <c r="Q2501" t="s">
        <v>2601</v>
      </c>
      <c r="R2501" t="s">
        <v>250</v>
      </c>
      <c r="S2501" t="s">
        <v>242</v>
      </c>
    </row>
    <row r="2502" spans="1:19" x14ac:dyDescent="0.25">
      <c r="A2502" t="s">
        <v>44</v>
      </c>
      <c r="B2502" t="s">
        <v>51</v>
      </c>
      <c r="C2502" t="s">
        <v>32</v>
      </c>
      <c r="D2502" t="s">
        <v>227</v>
      </c>
      <c r="E2502" t="s">
        <v>2931</v>
      </c>
      <c r="F2502" t="s">
        <v>35</v>
      </c>
      <c r="G2502" t="s">
        <v>35</v>
      </c>
      <c r="H2502" t="s">
        <v>35</v>
      </c>
      <c r="J2502" t="s">
        <v>2932</v>
      </c>
      <c r="K2502" t="s">
        <v>1092</v>
      </c>
      <c r="M2502">
        <v>0.25</v>
      </c>
      <c r="N2502">
        <v>49</v>
      </c>
      <c r="O2502" t="s">
        <v>52</v>
      </c>
      <c r="Q2502" t="s">
        <v>219</v>
      </c>
      <c r="R2502" t="s">
        <v>250</v>
      </c>
      <c r="S2502" t="s">
        <v>242</v>
      </c>
    </row>
    <row r="2503" spans="1:19" x14ac:dyDescent="0.25">
      <c r="A2503" t="s">
        <v>30</v>
      </c>
      <c r="B2503" t="s">
        <v>31</v>
      </c>
      <c r="C2503" t="s">
        <v>32</v>
      </c>
      <c r="D2503" t="s">
        <v>227</v>
      </c>
      <c r="E2503" t="s">
        <v>2931</v>
      </c>
      <c r="F2503" t="s">
        <v>35</v>
      </c>
      <c r="G2503" t="s">
        <v>35</v>
      </c>
      <c r="H2503" t="s">
        <v>35</v>
      </c>
      <c r="J2503" t="s">
        <v>2933</v>
      </c>
      <c r="K2503" t="s">
        <v>1092</v>
      </c>
      <c r="M2503">
        <v>10.59</v>
      </c>
      <c r="N2503">
        <v>45</v>
      </c>
      <c r="O2503" t="s">
        <v>52</v>
      </c>
      <c r="Q2503" t="s">
        <v>716</v>
      </c>
      <c r="R2503" t="s">
        <v>2425</v>
      </c>
      <c r="S2503" t="s">
        <v>2426</v>
      </c>
    </row>
    <row r="2504" spans="1:19" x14ac:dyDescent="0.25">
      <c r="A2504" t="s">
        <v>44</v>
      </c>
      <c r="B2504" t="s">
        <v>3</v>
      </c>
      <c r="C2504" t="s">
        <v>32</v>
      </c>
      <c r="D2504" t="s">
        <v>227</v>
      </c>
      <c r="E2504" t="s">
        <v>2931</v>
      </c>
      <c r="F2504" t="s">
        <v>35</v>
      </c>
      <c r="G2504" t="s">
        <v>35</v>
      </c>
      <c r="H2504" t="s">
        <v>35</v>
      </c>
      <c r="J2504" t="s">
        <v>2933</v>
      </c>
      <c r="K2504" t="s">
        <v>1092</v>
      </c>
      <c r="M2504">
        <v>5.5</v>
      </c>
      <c r="N2504">
        <v>66</v>
      </c>
      <c r="O2504" t="s">
        <v>61</v>
      </c>
      <c r="Q2504" t="s">
        <v>203</v>
      </c>
      <c r="R2504" t="s">
        <v>2425</v>
      </c>
      <c r="S2504" t="s">
        <v>2426</v>
      </c>
    </row>
    <row r="2505" spans="1:19" x14ac:dyDescent="0.25">
      <c r="A2505" t="s">
        <v>59</v>
      </c>
      <c r="B2505" t="s">
        <v>31</v>
      </c>
      <c r="C2505" t="s">
        <v>32</v>
      </c>
      <c r="D2505" t="s">
        <v>227</v>
      </c>
      <c r="E2505" t="s">
        <v>2931</v>
      </c>
      <c r="F2505" t="s">
        <v>35</v>
      </c>
      <c r="G2505" t="s">
        <v>35</v>
      </c>
      <c r="H2505" t="s">
        <v>35</v>
      </c>
      <c r="J2505" t="s">
        <v>2933</v>
      </c>
      <c r="K2505" t="s">
        <v>1092</v>
      </c>
      <c r="M2505">
        <v>2.1</v>
      </c>
      <c r="N2505">
        <v>589</v>
      </c>
      <c r="O2505" t="s">
        <v>575</v>
      </c>
      <c r="Q2505" t="s">
        <v>2935</v>
      </c>
      <c r="R2505" t="s">
        <v>2936</v>
      </c>
      <c r="S2505" t="s">
        <v>2937</v>
      </c>
    </row>
    <row r="2506" spans="1:19" x14ac:dyDescent="0.25">
      <c r="A2506" t="s">
        <v>30</v>
      </c>
      <c r="B2506" t="s">
        <v>31</v>
      </c>
      <c r="C2506" t="s">
        <v>32</v>
      </c>
      <c r="D2506" t="s">
        <v>227</v>
      </c>
      <c r="E2506" t="s">
        <v>2931</v>
      </c>
      <c r="F2506" t="s">
        <v>35</v>
      </c>
      <c r="G2506" t="s">
        <v>35</v>
      </c>
      <c r="H2506" t="s">
        <v>35</v>
      </c>
      <c r="J2506" t="s">
        <v>2938</v>
      </c>
      <c r="K2506" t="s">
        <v>1092</v>
      </c>
      <c r="M2506">
        <v>3.07</v>
      </c>
      <c r="N2506">
        <v>810</v>
      </c>
      <c r="O2506" t="s">
        <v>575</v>
      </c>
      <c r="Q2506" t="s">
        <v>2939</v>
      </c>
      <c r="R2506" t="s">
        <v>2474</v>
      </c>
      <c r="S2506" t="s">
        <v>2475</v>
      </c>
    </row>
    <row r="2507" spans="1:19" x14ac:dyDescent="0.25">
      <c r="A2507" t="s">
        <v>59</v>
      </c>
      <c r="B2507" t="s">
        <v>31</v>
      </c>
      <c r="C2507" t="s">
        <v>32</v>
      </c>
      <c r="D2507" t="s">
        <v>227</v>
      </c>
      <c r="E2507" t="s">
        <v>2931</v>
      </c>
      <c r="F2507" t="s">
        <v>35</v>
      </c>
      <c r="G2507" t="s">
        <v>35</v>
      </c>
      <c r="H2507" t="s">
        <v>35</v>
      </c>
      <c r="J2507" t="s">
        <v>2940</v>
      </c>
      <c r="K2507" t="s">
        <v>1092</v>
      </c>
      <c r="M2507">
        <v>0.40500000000000003</v>
      </c>
      <c r="N2507">
        <v>651</v>
      </c>
      <c r="O2507" t="s">
        <v>575</v>
      </c>
      <c r="Q2507" t="s">
        <v>2941</v>
      </c>
      <c r="R2507" t="s">
        <v>2391</v>
      </c>
      <c r="S2507" t="s">
        <v>236</v>
      </c>
    </row>
    <row r="2508" spans="1:19" x14ac:dyDescent="0.25">
      <c r="A2508" t="s">
        <v>30</v>
      </c>
      <c r="B2508" t="s">
        <v>31</v>
      </c>
      <c r="C2508" t="s">
        <v>32</v>
      </c>
      <c r="D2508" t="s">
        <v>227</v>
      </c>
      <c r="E2508" t="s">
        <v>2931</v>
      </c>
      <c r="F2508" t="s">
        <v>35</v>
      </c>
      <c r="G2508" t="s">
        <v>35</v>
      </c>
      <c r="H2508" t="s">
        <v>35</v>
      </c>
      <c r="J2508" t="s">
        <v>2942</v>
      </c>
      <c r="K2508" t="s">
        <v>1092</v>
      </c>
      <c r="M2508">
        <v>0.45</v>
      </c>
      <c r="N2508">
        <v>233</v>
      </c>
      <c r="O2508" t="s">
        <v>5</v>
      </c>
      <c r="Q2508" t="s">
        <v>2002</v>
      </c>
      <c r="R2508" t="s">
        <v>2406</v>
      </c>
      <c r="S2508" t="s">
        <v>266</v>
      </c>
    </row>
    <row r="2509" spans="1:19" x14ac:dyDescent="0.25">
      <c r="A2509" t="s">
        <v>59</v>
      </c>
      <c r="B2509" t="s">
        <v>60</v>
      </c>
      <c r="C2509" t="s">
        <v>32</v>
      </c>
      <c r="D2509" t="s">
        <v>227</v>
      </c>
      <c r="F2509" t="s">
        <v>35</v>
      </c>
      <c r="G2509" t="s">
        <v>35</v>
      </c>
      <c r="H2509" t="s">
        <v>35</v>
      </c>
      <c r="J2509" t="s">
        <v>2943</v>
      </c>
      <c r="K2509" t="s">
        <v>1144</v>
      </c>
      <c r="M2509">
        <v>0.3</v>
      </c>
      <c r="N2509">
        <v>1252</v>
      </c>
      <c r="O2509" t="s">
        <v>575</v>
      </c>
      <c r="Q2509" t="s">
        <v>1245</v>
      </c>
      <c r="R2509" t="s">
        <v>2391</v>
      </c>
      <c r="S2509" t="s">
        <v>236</v>
      </c>
    </row>
    <row r="2510" spans="1:19" x14ac:dyDescent="0.25">
      <c r="A2510" t="s">
        <v>59</v>
      </c>
      <c r="B2510" t="s">
        <v>60</v>
      </c>
      <c r="C2510" t="s">
        <v>32</v>
      </c>
      <c r="D2510" t="s">
        <v>227</v>
      </c>
      <c r="F2510" t="s">
        <v>35</v>
      </c>
      <c r="G2510" t="s">
        <v>35</v>
      </c>
      <c r="H2510" t="s">
        <v>35</v>
      </c>
      <c r="J2510" t="s">
        <v>2944</v>
      </c>
      <c r="K2510" t="s">
        <v>1092</v>
      </c>
      <c r="M2510">
        <v>1</v>
      </c>
      <c r="N2510">
        <v>1487</v>
      </c>
      <c r="O2510" t="s">
        <v>575</v>
      </c>
      <c r="Q2510" t="s">
        <v>2947</v>
      </c>
      <c r="R2510" t="s">
        <v>2406</v>
      </c>
      <c r="S2510" t="s">
        <v>266</v>
      </c>
    </row>
    <row r="2511" spans="1:19" x14ac:dyDescent="0.25">
      <c r="A2511" t="s">
        <v>59</v>
      </c>
      <c r="B2511" t="s">
        <v>31</v>
      </c>
      <c r="C2511" t="s">
        <v>32</v>
      </c>
      <c r="D2511" t="s">
        <v>227</v>
      </c>
      <c r="F2511" t="s">
        <v>35</v>
      </c>
      <c r="G2511" t="s">
        <v>35</v>
      </c>
      <c r="H2511" t="s">
        <v>35</v>
      </c>
      <c r="J2511" t="s">
        <v>2944</v>
      </c>
      <c r="K2511" t="s">
        <v>1092</v>
      </c>
      <c r="M2511">
        <v>1.45</v>
      </c>
      <c r="N2511">
        <v>2089</v>
      </c>
      <c r="O2511" t="s">
        <v>575</v>
      </c>
      <c r="Q2511" t="s">
        <v>2945</v>
      </c>
      <c r="R2511" t="s">
        <v>2406</v>
      </c>
      <c r="S2511" t="s">
        <v>266</v>
      </c>
    </row>
    <row r="2512" spans="1:19" x14ac:dyDescent="0.25">
      <c r="A2512" t="s">
        <v>59</v>
      </c>
      <c r="B2512" t="s">
        <v>60</v>
      </c>
      <c r="C2512" t="s">
        <v>32</v>
      </c>
      <c r="D2512" t="s">
        <v>227</v>
      </c>
      <c r="F2512" t="s">
        <v>35</v>
      </c>
      <c r="G2512" t="s">
        <v>35</v>
      </c>
      <c r="H2512" t="s">
        <v>35</v>
      </c>
      <c r="J2512" t="s">
        <v>2944</v>
      </c>
      <c r="K2512" t="s">
        <v>1092</v>
      </c>
      <c r="M2512">
        <v>0.25</v>
      </c>
      <c r="N2512">
        <v>1616</v>
      </c>
      <c r="O2512" t="s">
        <v>575</v>
      </c>
      <c r="Q2512" t="s">
        <v>2946</v>
      </c>
      <c r="R2512" t="s">
        <v>2406</v>
      </c>
      <c r="S2512" t="s">
        <v>266</v>
      </c>
    </row>
    <row r="2513" spans="1:19" x14ac:dyDescent="0.25">
      <c r="A2513" t="s">
        <v>30</v>
      </c>
      <c r="B2513" t="s">
        <v>31</v>
      </c>
      <c r="C2513" t="s">
        <v>32</v>
      </c>
      <c r="D2513" t="s">
        <v>227</v>
      </c>
      <c r="F2513" t="s">
        <v>35</v>
      </c>
      <c r="G2513" t="s">
        <v>35</v>
      </c>
      <c r="H2513" t="s">
        <v>35</v>
      </c>
      <c r="J2513" t="s">
        <v>2948</v>
      </c>
      <c r="K2513" t="s">
        <v>1092</v>
      </c>
      <c r="M2513">
        <v>0.27</v>
      </c>
      <c r="N2513">
        <v>2602</v>
      </c>
      <c r="O2513" t="s">
        <v>575</v>
      </c>
      <c r="Q2513" t="s">
        <v>2949</v>
      </c>
      <c r="R2513" t="s">
        <v>2394</v>
      </c>
      <c r="S2513" t="s">
        <v>271</v>
      </c>
    </row>
    <row r="2514" spans="1:19" x14ac:dyDescent="0.25">
      <c r="A2514" t="s">
        <v>59</v>
      </c>
      <c r="B2514" t="s">
        <v>60</v>
      </c>
      <c r="C2514" t="s">
        <v>32</v>
      </c>
      <c r="D2514" t="s">
        <v>227</v>
      </c>
      <c r="F2514" t="s">
        <v>35</v>
      </c>
      <c r="G2514" t="s">
        <v>35</v>
      </c>
      <c r="H2514" t="s">
        <v>35</v>
      </c>
      <c r="J2514" t="s">
        <v>2948</v>
      </c>
      <c r="K2514" t="s">
        <v>1092</v>
      </c>
      <c r="M2514">
        <v>0.3</v>
      </c>
      <c r="N2514">
        <v>2673</v>
      </c>
      <c r="O2514" t="s">
        <v>575</v>
      </c>
      <c r="Q2514" t="s">
        <v>1486</v>
      </c>
      <c r="R2514" t="s">
        <v>1487</v>
      </c>
      <c r="S2514" t="s">
        <v>1488</v>
      </c>
    </row>
    <row r="2515" spans="1:19" x14ac:dyDescent="0.25">
      <c r="A2515" t="s">
        <v>59</v>
      </c>
      <c r="B2515" t="s">
        <v>60</v>
      </c>
      <c r="C2515" t="s">
        <v>32</v>
      </c>
      <c r="D2515" t="s">
        <v>227</v>
      </c>
      <c r="F2515" t="s">
        <v>35</v>
      </c>
      <c r="G2515" t="s">
        <v>35</v>
      </c>
      <c r="H2515" t="s">
        <v>35</v>
      </c>
      <c r="J2515" t="s">
        <v>2950</v>
      </c>
      <c r="K2515" t="s">
        <v>1092</v>
      </c>
      <c r="M2515">
        <v>0.5</v>
      </c>
      <c r="N2515">
        <v>2673</v>
      </c>
      <c r="O2515" t="s">
        <v>575</v>
      </c>
      <c r="Q2515" t="s">
        <v>1486</v>
      </c>
      <c r="R2515" t="s">
        <v>1487</v>
      </c>
      <c r="S2515" t="s">
        <v>1488</v>
      </c>
    </row>
    <row r="2516" spans="1:19" x14ac:dyDescent="0.25">
      <c r="A2516" t="s">
        <v>59</v>
      </c>
      <c r="B2516" t="s">
        <v>31</v>
      </c>
      <c r="C2516" t="s">
        <v>32</v>
      </c>
      <c r="D2516" t="s">
        <v>227</v>
      </c>
      <c r="F2516" t="s">
        <v>35</v>
      </c>
      <c r="G2516" t="s">
        <v>35</v>
      </c>
      <c r="H2516" t="s">
        <v>35</v>
      </c>
      <c r="J2516" t="s">
        <v>2951</v>
      </c>
      <c r="K2516" t="s">
        <v>1092</v>
      </c>
      <c r="M2516">
        <v>1.25</v>
      </c>
      <c r="N2516">
        <v>2625</v>
      </c>
      <c r="O2516" t="s">
        <v>575</v>
      </c>
      <c r="Q2516" t="s">
        <v>2952</v>
      </c>
      <c r="R2516" t="s">
        <v>2474</v>
      </c>
      <c r="S2516" t="s">
        <v>2475</v>
      </c>
    </row>
    <row r="2517" spans="1:19" x14ac:dyDescent="0.25">
      <c r="A2517" t="s">
        <v>59</v>
      </c>
      <c r="B2517" t="s">
        <v>60</v>
      </c>
      <c r="C2517" t="s">
        <v>32</v>
      </c>
      <c r="D2517" t="s">
        <v>227</v>
      </c>
      <c r="F2517" t="s">
        <v>35</v>
      </c>
      <c r="G2517" t="s">
        <v>35</v>
      </c>
      <c r="H2517" t="s">
        <v>35</v>
      </c>
      <c r="J2517" t="s">
        <v>2677</v>
      </c>
      <c r="K2517" t="s">
        <v>1092</v>
      </c>
      <c r="M2517">
        <v>1.4999999999999999E-2</v>
      </c>
      <c r="N2517">
        <v>2673</v>
      </c>
      <c r="O2517" t="s">
        <v>575</v>
      </c>
      <c r="Q2517" t="s">
        <v>1486</v>
      </c>
      <c r="R2517" t="s">
        <v>1487</v>
      </c>
      <c r="S2517" t="s">
        <v>1488</v>
      </c>
    </row>
    <row r="2518" spans="1:19" x14ac:dyDescent="0.25">
      <c r="A2518" t="s">
        <v>59</v>
      </c>
      <c r="B2518" t="s">
        <v>60</v>
      </c>
      <c r="C2518" t="s">
        <v>32</v>
      </c>
      <c r="D2518" t="s">
        <v>227</v>
      </c>
      <c r="F2518" t="s">
        <v>35</v>
      </c>
      <c r="G2518" t="s">
        <v>35</v>
      </c>
      <c r="H2518" t="s">
        <v>35</v>
      </c>
      <c r="J2518" t="s">
        <v>2953</v>
      </c>
      <c r="K2518" t="s">
        <v>1092</v>
      </c>
      <c r="M2518">
        <v>0.16500000000000001</v>
      </c>
      <c r="N2518">
        <v>2490</v>
      </c>
      <c r="O2518" t="s">
        <v>575</v>
      </c>
      <c r="Q2518" t="s">
        <v>2955</v>
      </c>
      <c r="R2518" t="s">
        <v>2956</v>
      </c>
      <c r="S2518" t="s">
        <v>2953</v>
      </c>
    </row>
    <row r="2519" spans="1:19" x14ac:dyDescent="0.25">
      <c r="A2519" t="s">
        <v>30</v>
      </c>
      <c r="B2519" t="s">
        <v>31</v>
      </c>
      <c r="C2519" t="s">
        <v>32</v>
      </c>
      <c r="D2519" t="s">
        <v>227</v>
      </c>
      <c r="F2519" t="s">
        <v>35</v>
      </c>
      <c r="G2519" t="s">
        <v>35</v>
      </c>
      <c r="H2519" t="s">
        <v>35</v>
      </c>
      <c r="J2519" t="s">
        <v>2953</v>
      </c>
      <c r="K2519" t="s">
        <v>1092</v>
      </c>
      <c r="M2519">
        <v>2.2949999999999999</v>
      </c>
      <c r="N2519">
        <v>1406</v>
      </c>
      <c r="O2519" t="s">
        <v>575</v>
      </c>
      <c r="Q2519" t="s">
        <v>2957</v>
      </c>
      <c r="R2519" t="s">
        <v>250</v>
      </c>
      <c r="S2519" t="s">
        <v>242</v>
      </c>
    </row>
    <row r="2520" spans="1:19" x14ac:dyDescent="0.25">
      <c r="A2520" t="s">
        <v>44</v>
      </c>
      <c r="B2520" t="s">
        <v>3</v>
      </c>
      <c r="C2520" t="s">
        <v>32</v>
      </c>
      <c r="D2520" t="s">
        <v>227</v>
      </c>
      <c r="F2520" t="s">
        <v>35</v>
      </c>
      <c r="G2520" t="s">
        <v>35</v>
      </c>
      <c r="H2520" t="s">
        <v>35</v>
      </c>
      <c r="J2520" t="s">
        <v>2958</v>
      </c>
      <c r="K2520" t="s">
        <v>1092</v>
      </c>
      <c r="M2520">
        <v>1.75</v>
      </c>
      <c r="N2520">
        <v>58</v>
      </c>
      <c r="O2520" t="s">
        <v>52</v>
      </c>
      <c r="Q2520" t="s">
        <v>58</v>
      </c>
      <c r="R2520" t="s">
        <v>256</v>
      </c>
      <c r="S2520" t="s">
        <v>257</v>
      </c>
    </row>
    <row r="2521" spans="1:19" x14ac:dyDescent="0.25">
      <c r="A2521" t="s">
        <v>59</v>
      </c>
      <c r="B2521" t="s">
        <v>60</v>
      </c>
      <c r="C2521" t="s">
        <v>32</v>
      </c>
      <c r="D2521" t="s">
        <v>227</v>
      </c>
      <c r="F2521" t="s">
        <v>35</v>
      </c>
      <c r="G2521" t="s">
        <v>35</v>
      </c>
      <c r="H2521" t="s">
        <v>35</v>
      </c>
      <c r="J2521" t="s">
        <v>2959</v>
      </c>
      <c r="K2521" t="s">
        <v>1092</v>
      </c>
      <c r="M2521">
        <v>0.5</v>
      </c>
      <c r="N2521">
        <v>2673</v>
      </c>
      <c r="O2521" t="s">
        <v>575</v>
      </c>
      <c r="Q2521" t="s">
        <v>1486</v>
      </c>
      <c r="R2521" t="s">
        <v>1487</v>
      </c>
      <c r="S2521" t="s">
        <v>1488</v>
      </c>
    </row>
    <row r="2522" spans="1:19" x14ac:dyDescent="0.25">
      <c r="A2522" t="s">
        <v>30</v>
      </c>
      <c r="B2522" t="s">
        <v>31</v>
      </c>
      <c r="C2522" t="s">
        <v>32</v>
      </c>
      <c r="D2522" t="s">
        <v>227</v>
      </c>
      <c r="F2522" t="s">
        <v>35</v>
      </c>
      <c r="G2522" t="s">
        <v>35</v>
      </c>
      <c r="H2522" t="s">
        <v>35</v>
      </c>
      <c r="J2522" t="s">
        <v>2960</v>
      </c>
      <c r="K2522" t="s">
        <v>1092</v>
      </c>
      <c r="M2522">
        <v>1.98</v>
      </c>
      <c r="N2522">
        <v>1706</v>
      </c>
      <c r="O2522" t="s">
        <v>575</v>
      </c>
      <c r="Q2522" t="s">
        <v>2961</v>
      </c>
      <c r="R2522" t="s">
        <v>2444</v>
      </c>
      <c r="S2522" t="s">
        <v>2445</v>
      </c>
    </row>
    <row r="2523" spans="1:19" x14ac:dyDescent="0.25">
      <c r="A2523" t="s">
        <v>30</v>
      </c>
      <c r="B2523" t="s">
        <v>31</v>
      </c>
      <c r="C2523" t="s">
        <v>32</v>
      </c>
      <c r="D2523" t="s">
        <v>227</v>
      </c>
      <c r="F2523" t="s">
        <v>35</v>
      </c>
      <c r="G2523" t="s">
        <v>35</v>
      </c>
      <c r="H2523" t="s">
        <v>35</v>
      </c>
      <c r="J2523" t="s">
        <v>2962</v>
      </c>
      <c r="K2523" t="s">
        <v>1092</v>
      </c>
      <c r="M2523">
        <v>0.34</v>
      </c>
      <c r="N2523">
        <v>1685</v>
      </c>
      <c r="O2523" t="s">
        <v>575</v>
      </c>
      <c r="Q2523" t="s">
        <v>2963</v>
      </c>
      <c r="R2523" t="s">
        <v>250</v>
      </c>
      <c r="S2523" t="s">
        <v>242</v>
      </c>
    </row>
    <row r="2524" spans="1:19" x14ac:dyDescent="0.25">
      <c r="A2524" t="s">
        <v>59</v>
      </c>
      <c r="B2524" t="s">
        <v>60</v>
      </c>
      <c r="C2524" t="s">
        <v>32</v>
      </c>
      <c r="D2524" t="s">
        <v>227</v>
      </c>
      <c r="F2524" t="s">
        <v>35</v>
      </c>
      <c r="G2524" t="s">
        <v>35</v>
      </c>
      <c r="H2524" t="s">
        <v>35</v>
      </c>
      <c r="J2524" t="s">
        <v>2964</v>
      </c>
      <c r="K2524" t="s">
        <v>1092</v>
      </c>
      <c r="M2524">
        <v>5.0000000000000001E-3</v>
      </c>
      <c r="N2524">
        <v>2329</v>
      </c>
      <c r="O2524" t="s">
        <v>575</v>
      </c>
      <c r="Q2524" t="s">
        <v>2333</v>
      </c>
      <c r="R2524" t="s">
        <v>2474</v>
      </c>
      <c r="S2524" t="s">
        <v>2475</v>
      </c>
    </row>
    <row r="2525" spans="1:19" x14ac:dyDescent="0.25">
      <c r="A2525" t="s">
        <v>30</v>
      </c>
      <c r="B2525" t="s">
        <v>31</v>
      </c>
      <c r="C2525" t="s">
        <v>32</v>
      </c>
      <c r="D2525" t="s">
        <v>227</v>
      </c>
      <c r="F2525" t="s">
        <v>35</v>
      </c>
      <c r="G2525" t="s">
        <v>35</v>
      </c>
      <c r="H2525" t="s">
        <v>35</v>
      </c>
      <c r="J2525" t="s">
        <v>2964</v>
      </c>
      <c r="K2525" t="s">
        <v>1092</v>
      </c>
      <c r="M2525">
        <v>2.3E-2</v>
      </c>
      <c r="N2525">
        <v>2327</v>
      </c>
      <c r="O2525" t="s">
        <v>575</v>
      </c>
      <c r="Q2525" t="s">
        <v>2965</v>
      </c>
      <c r="R2525" t="s">
        <v>2474</v>
      </c>
      <c r="S2525" t="s">
        <v>2475</v>
      </c>
    </row>
    <row r="2526" spans="1:19" x14ac:dyDescent="0.25">
      <c r="A2526" t="s">
        <v>30</v>
      </c>
      <c r="B2526" t="s">
        <v>31</v>
      </c>
      <c r="C2526" t="s">
        <v>32</v>
      </c>
      <c r="D2526" t="s">
        <v>227</v>
      </c>
      <c r="F2526" t="s">
        <v>35</v>
      </c>
      <c r="G2526" t="s">
        <v>35</v>
      </c>
      <c r="H2526" t="s">
        <v>35</v>
      </c>
      <c r="J2526" t="s">
        <v>2966</v>
      </c>
      <c r="K2526" t="s">
        <v>1092</v>
      </c>
      <c r="M2526">
        <v>0.4</v>
      </c>
      <c r="N2526">
        <v>1536</v>
      </c>
      <c r="O2526" t="s">
        <v>575</v>
      </c>
      <c r="Q2526" t="s">
        <v>1458</v>
      </c>
      <c r="R2526" t="s">
        <v>2391</v>
      </c>
      <c r="S2526" t="s">
        <v>236</v>
      </c>
    </row>
    <row r="2527" spans="1:19" x14ac:dyDescent="0.25">
      <c r="A2527" t="s">
        <v>59</v>
      </c>
      <c r="B2527" t="s">
        <v>31</v>
      </c>
      <c r="C2527" t="s">
        <v>32</v>
      </c>
      <c r="D2527" t="s">
        <v>227</v>
      </c>
      <c r="F2527" t="s">
        <v>35</v>
      </c>
      <c r="G2527" t="s">
        <v>35</v>
      </c>
      <c r="H2527" t="s">
        <v>35</v>
      </c>
      <c r="J2527" t="s">
        <v>2966</v>
      </c>
      <c r="K2527" t="s">
        <v>1092</v>
      </c>
      <c r="M2527">
        <v>0.45</v>
      </c>
      <c r="N2527">
        <v>1239</v>
      </c>
      <c r="O2527" t="s">
        <v>575</v>
      </c>
      <c r="Q2527" t="s">
        <v>2967</v>
      </c>
      <c r="R2527" t="s">
        <v>2391</v>
      </c>
      <c r="S2527" t="s">
        <v>236</v>
      </c>
    </row>
    <row r="2528" spans="1:19" x14ac:dyDescent="0.25">
      <c r="A2528" t="s">
        <v>59</v>
      </c>
      <c r="B2528" t="s">
        <v>60</v>
      </c>
      <c r="C2528" t="s">
        <v>32</v>
      </c>
      <c r="D2528" t="s">
        <v>227</v>
      </c>
      <c r="F2528" t="s">
        <v>35</v>
      </c>
      <c r="G2528" t="s">
        <v>35</v>
      </c>
      <c r="H2528" t="s">
        <v>35</v>
      </c>
      <c r="J2528" t="s">
        <v>2968</v>
      </c>
      <c r="K2528" t="s">
        <v>1092</v>
      </c>
      <c r="M2528">
        <v>0.15</v>
      </c>
      <c r="N2528">
        <v>2673</v>
      </c>
      <c r="O2528" t="s">
        <v>575</v>
      </c>
      <c r="Q2528" t="s">
        <v>1486</v>
      </c>
      <c r="R2528" t="s">
        <v>1487</v>
      </c>
      <c r="S2528" t="s">
        <v>1488</v>
      </c>
    </row>
    <row r="2529" spans="1:19" x14ac:dyDescent="0.25">
      <c r="A2529" t="s">
        <v>59</v>
      </c>
      <c r="B2529" t="s">
        <v>60</v>
      </c>
      <c r="C2529" t="s">
        <v>32</v>
      </c>
      <c r="D2529" t="s">
        <v>227</v>
      </c>
      <c r="F2529" t="s">
        <v>35</v>
      </c>
      <c r="G2529" t="s">
        <v>35</v>
      </c>
      <c r="H2529" t="s">
        <v>35</v>
      </c>
      <c r="J2529" t="s">
        <v>2969</v>
      </c>
      <c r="K2529" t="s">
        <v>1092</v>
      </c>
      <c r="M2529">
        <v>0.1</v>
      </c>
      <c r="N2529">
        <v>2673</v>
      </c>
      <c r="O2529" t="s">
        <v>575</v>
      </c>
      <c r="Q2529" t="s">
        <v>1486</v>
      </c>
      <c r="R2529" t="s">
        <v>1487</v>
      </c>
      <c r="S2529" t="s">
        <v>1488</v>
      </c>
    </row>
    <row r="2530" spans="1:19" x14ac:dyDescent="0.25">
      <c r="A2530" t="s">
        <v>59</v>
      </c>
      <c r="B2530" t="s">
        <v>60</v>
      </c>
      <c r="C2530" t="s">
        <v>32</v>
      </c>
      <c r="D2530" t="s">
        <v>227</v>
      </c>
      <c r="F2530" t="s">
        <v>35</v>
      </c>
      <c r="G2530" t="s">
        <v>35</v>
      </c>
      <c r="H2530" t="s">
        <v>35</v>
      </c>
      <c r="J2530" t="s">
        <v>2970</v>
      </c>
      <c r="K2530" t="s">
        <v>1092</v>
      </c>
      <c r="M2530">
        <v>0.2</v>
      </c>
      <c r="N2530">
        <v>2035</v>
      </c>
      <c r="O2530" t="s">
        <v>575</v>
      </c>
      <c r="Q2530" t="s">
        <v>2673</v>
      </c>
      <c r="R2530" t="s">
        <v>2394</v>
      </c>
      <c r="S2530" t="s">
        <v>271</v>
      </c>
    </row>
    <row r="2531" spans="1:19" x14ac:dyDescent="0.25">
      <c r="A2531" t="s">
        <v>59</v>
      </c>
      <c r="B2531" t="s">
        <v>60</v>
      </c>
      <c r="C2531" t="s">
        <v>32</v>
      </c>
      <c r="D2531" t="s">
        <v>227</v>
      </c>
      <c r="F2531" t="s">
        <v>35</v>
      </c>
      <c r="G2531" t="s">
        <v>35</v>
      </c>
      <c r="H2531" t="s">
        <v>35</v>
      </c>
      <c r="J2531" t="s">
        <v>2971</v>
      </c>
      <c r="K2531" t="s">
        <v>1092</v>
      </c>
      <c r="M2531">
        <v>0.1</v>
      </c>
      <c r="N2531">
        <v>2673</v>
      </c>
      <c r="O2531" t="s">
        <v>575</v>
      </c>
      <c r="Q2531" t="s">
        <v>1486</v>
      </c>
      <c r="R2531" t="s">
        <v>1487</v>
      </c>
      <c r="S2531" t="s">
        <v>1488</v>
      </c>
    </row>
    <row r="2532" spans="1:19" x14ac:dyDescent="0.25">
      <c r="A2532" t="s">
        <v>30</v>
      </c>
      <c r="B2532" t="s">
        <v>31</v>
      </c>
      <c r="C2532" t="s">
        <v>32</v>
      </c>
      <c r="D2532" t="s">
        <v>227</v>
      </c>
      <c r="F2532" t="s">
        <v>35</v>
      </c>
      <c r="G2532" t="s">
        <v>35</v>
      </c>
      <c r="H2532" t="s">
        <v>35</v>
      </c>
      <c r="J2532" t="s">
        <v>2972</v>
      </c>
      <c r="K2532" t="s">
        <v>1092</v>
      </c>
      <c r="M2532">
        <v>5.0000000000000001E-3</v>
      </c>
      <c r="N2532">
        <v>1186</v>
      </c>
      <c r="O2532" t="s">
        <v>575</v>
      </c>
      <c r="Q2532" t="s">
        <v>2973</v>
      </c>
      <c r="R2532" t="s">
        <v>2474</v>
      </c>
      <c r="S2532" t="s">
        <v>2475</v>
      </c>
    </row>
    <row r="2533" spans="1:19" x14ac:dyDescent="0.25">
      <c r="A2533" t="s">
        <v>44</v>
      </c>
      <c r="B2533" t="s">
        <v>3</v>
      </c>
      <c r="C2533" t="s">
        <v>32</v>
      </c>
      <c r="D2533" t="s">
        <v>227</v>
      </c>
      <c r="F2533" t="s">
        <v>35</v>
      </c>
      <c r="G2533" t="s">
        <v>35</v>
      </c>
      <c r="H2533" t="s">
        <v>35</v>
      </c>
      <c r="J2533" t="s">
        <v>2974</v>
      </c>
      <c r="K2533" t="s">
        <v>1092</v>
      </c>
      <c r="M2533">
        <v>0.75</v>
      </c>
      <c r="N2533">
        <v>58</v>
      </c>
      <c r="O2533" t="s">
        <v>52</v>
      </c>
      <c r="Q2533" t="s">
        <v>58</v>
      </c>
      <c r="R2533" t="s">
        <v>256</v>
      </c>
      <c r="S2533" t="s">
        <v>257</v>
      </c>
    </row>
    <row r="2534" spans="1:19" x14ac:dyDescent="0.25">
      <c r="A2534" t="s">
        <v>59</v>
      </c>
      <c r="B2534" t="s">
        <v>60</v>
      </c>
      <c r="C2534" t="s">
        <v>32</v>
      </c>
      <c r="D2534" t="s">
        <v>227</v>
      </c>
      <c r="F2534" t="s">
        <v>35</v>
      </c>
      <c r="G2534" t="s">
        <v>35</v>
      </c>
      <c r="H2534" t="s">
        <v>35</v>
      </c>
      <c r="J2534" t="s">
        <v>2975</v>
      </c>
      <c r="K2534" t="s">
        <v>1092</v>
      </c>
      <c r="M2534">
        <v>0.2</v>
      </c>
      <c r="N2534">
        <v>27</v>
      </c>
      <c r="O2534" t="s">
        <v>46</v>
      </c>
      <c r="Q2534" t="s">
        <v>1011</v>
      </c>
      <c r="R2534" t="s">
        <v>250</v>
      </c>
      <c r="S2534" t="s">
        <v>242</v>
      </c>
    </row>
    <row r="2535" spans="1:19" x14ac:dyDescent="0.25">
      <c r="A2535" t="s">
        <v>59</v>
      </c>
      <c r="B2535" t="s">
        <v>60</v>
      </c>
      <c r="C2535" t="s">
        <v>32</v>
      </c>
      <c r="D2535" t="s">
        <v>227</v>
      </c>
      <c r="F2535" t="s">
        <v>35</v>
      </c>
      <c r="G2535" t="s">
        <v>35</v>
      </c>
      <c r="H2535" t="s">
        <v>35</v>
      </c>
      <c r="J2535" t="s">
        <v>2976</v>
      </c>
      <c r="K2535" t="s">
        <v>1092</v>
      </c>
      <c r="M2535">
        <v>0.9</v>
      </c>
      <c r="N2535">
        <v>2296</v>
      </c>
      <c r="O2535" t="s">
        <v>575</v>
      </c>
      <c r="Q2535" t="s">
        <v>2977</v>
      </c>
      <c r="R2535" t="s">
        <v>2801</v>
      </c>
      <c r="S2535" t="s">
        <v>281</v>
      </c>
    </row>
    <row r="2536" spans="1:19" x14ac:dyDescent="0.25">
      <c r="A2536" t="s">
        <v>30</v>
      </c>
      <c r="B2536" t="s">
        <v>31</v>
      </c>
      <c r="C2536" t="s">
        <v>32</v>
      </c>
      <c r="D2536" t="s">
        <v>227</v>
      </c>
      <c r="F2536" t="s">
        <v>35</v>
      </c>
      <c r="G2536" t="s">
        <v>35</v>
      </c>
      <c r="H2536" t="s">
        <v>35</v>
      </c>
      <c r="J2536" t="s">
        <v>2976</v>
      </c>
      <c r="K2536" t="s">
        <v>1092</v>
      </c>
      <c r="M2536">
        <v>0.97</v>
      </c>
      <c r="N2536">
        <v>2247</v>
      </c>
      <c r="O2536" t="s">
        <v>575</v>
      </c>
      <c r="Q2536" t="s">
        <v>2978</v>
      </c>
      <c r="R2536" t="s">
        <v>2801</v>
      </c>
      <c r="S2536" t="s">
        <v>281</v>
      </c>
    </row>
    <row r="2537" spans="1:19" x14ac:dyDescent="0.25">
      <c r="A2537" t="s">
        <v>59</v>
      </c>
      <c r="B2537" t="s">
        <v>60</v>
      </c>
      <c r="C2537" t="s">
        <v>32</v>
      </c>
      <c r="D2537" t="s">
        <v>227</v>
      </c>
      <c r="F2537" t="s">
        <v>35</v>
      </c>
      <c r="G2537" t="s">
        <v>35</v>
      </c>
      <c r="H2537" t="s">
        <v>35</v>
      </c>
      <c r="J2537" t="s">
        <v>2979</v>
      </c>
      <c r="K2537" t="s">
        <v>1092</v>
      </c>
      <c r="M2537">
        <v>0.20499999999999999</v>
      </c>
      <c r="N2537">
        <v>2033</v>
      </c>
      <c r="O2537" t="s">
        <v>575</v>
      </c>
      <c r="Q2537" t="s">
        <v>2980</v>
      </c>
      <c r="R2537" t="s">
        <v>2701</v>
      </c>
      <c r="S2537" t="s">
        <v>2702</v>
      </c>
    </row>
    <row r="2538" spans="1:19" x14ac:dyDescent="0.25">
      <c r="A2538" t="s">
        <v>59</v>
      </c>
      <c r="B2538" t="s">
        <v>31</v>
      </c>
      <c r="C2538" t="s">
        <v>32</v>
      </c>
      <c r="D2538" t="s">
        <v>227</v>
      </c>
      <c r="F2538" t="s">
        <v>35</v>
      </c>
      <c r="G2538" t="s">
        <v>35</v>
      </c>
      <c r="H2538" t="s">
        <v>35</v>
      </c>
      <c r="J2538" t="s">
        <v>2981</v>
      </c>
      <c r="K2538" t="s">
        <v>1092</v>
      </c>
      <c r="M2538">
        <v>1.5249999999999999</v>
      </c>
      <c r="N2538">
        <v>1332</v>
      </c>
      <c r="O2538" t="s">
        <v>575</v>
      </c>
      <c r="Q2538" t="s">
        <v>2982</v>
      </c>
      <c r="R2538" t="s">
        <v>250</v>
      </c>
      <c r="S2538" t="s">
        <v>242</v>
      </c>
    </row>
    <row r="2539" spans="1:19" x14ac:dyDescent="0.25">
      <c r="A2539" t="s">
        <v>59</v>
      </c>
      <c r="B2539" t="s">
        <v>60</v>
      </c>
      <c r="C2539" t="s">
        <v>32</v>
      </c>
      <c r="D2539" t="s">
        <v>227</v>
      </c>
      <c r="F2539" t="s">
        <v>35</v>
      </c>
      <c r="G2539" t="s">
        <v>35</v>
      </c>
      <c r="H2539" t="s">
        <v>35</v>
      </c>
      <c r="J2539" t="s">
        <v>2983</v>
      </c>
      <c r="K2539" t="s">
        <v>1092</v>
      </c>
      <c r="M2539">
        <v>0.05</v>
      </c>
      <c r="N2539">
        <v>2673</v>
      </c>
      <c r="O2539" t="s">
        <v>575</v>
      </c>
      <c r="Q2539" t="s">
        <v>1486</v>
      </c>
      <c r="R2539" t="s">
        <v>1487</v>
      </c>
      <c r="S2539" t="s">
        <v>1488</v>
      </c>
    </row>
    <row r="2540" spans="1:19" x14ac:dyDescent="0.25">
      <c r="A2540" t="s">
        <v>59</v>
      </c>
      <c r="B2540" t="s">
        <v>60</v>
      </c>
      <c r="C2540" t="s">
        <v>32</v>
      </c>
      <c r="D2540" t="s">
        <v>227</v>
      </c>
      <c r="F2540" t="s">
        <v>35</v>
      </c>
      <c r="G2540" t="s">
        <v>35</v>
      </c>
      <c r="H2540" t="s">
        <v>35</v>
      </c>
      <c r="J2540" t="s">
        <v>2984</v>
      </c>
      <c r="K2540" t="s">
        <v>1092</v>
      </c>
      <c r="M2540">
        <v>0.5</v>
      </c>
      <c r="N2540">
        <v>1897</v>
      </c>
      <c r="O2540" t="s">
        <v>575</v>
      </c>
      <c r="Q2540" t="s">
        <v>2985</v>
      </c>
      <c r="R2540" t="s">
        <v>2956</v>
      </c>
      <c r="S2540" t="s">
        <v>2953</v>
      </c>
    </row>
    <row r="2541" spans="1:19" x14ac:dyDescent="0.25">
      <c r="A2541" t="s">
        <v>59</v>
      </c>
      <c r="B2541" t="s">
        <v>60</v>
      </c>
      <c r="C2541" t="s">
        <v>32</v>
      </c>
      <c r="D2541" t="s">
        <v>227</v>
      </c>
      <c r="F2541" t="s">
        <v>35</v>
      </c>
      <c r="G2541" t="s">
        <v>35</v>
      </c>
      <c r="H2541" t="s">
        <v>35</v>
      </c>
      <c r="J2541" t="s">
        <v>2986</v>
      </c>
      <c r="K2541" t="s">
        <v>1092</v>
      </c>
      <c r="M2541">
        <v>2.1000000000000001E-2</v>
      </c>
      <c r="N2541">
        <v>2425</v>
      </c>
      <c r="O2541" t="s">
        <v>575</v>
      </c>
      <c r="Q2541" t="s">
        <v>2987</v>
      </c>
      <c r="R2541" t="s">
        <v>2387</v>
      </c>
      <c r="S2541" t="s">
        <v>277</v>
      </c>
    </row>
    <row r="2542" spans="1:19" x14ac:dyDescent="0.25">
      <c r="A2542" t="s">
        <v>59</v>
      </c>
      <c r="B2542" t="s">
        <v>60</v>
      </c>
      <c r="C2542" t="s">
        <v>32</v>
      </c>
      <c r="D2542" t="s">
        <v>227</v>
      </c>
      <c r="F2542" t="s">
        <v>35</v>
      </c>
      <c r="G2542" t="s">
        <v>35</v>
      </c>
      <c r="H2542" t="s">
        <v>35</v>
      </c>
      <c r="J2542" t="s">
        <v>2988</v>
      </c>
      <c r="K2542" t="s">
        <v>1092</v>
      </c>
      <c r="M2542">
        <v>0.04</v>
      </c>
      <c r="N2542">
        <v>2673</v>
      </c>
      <c r="O2542" t="s">
        <v>575</v>
      </c>
      <c r="Q2542" t="s">
        <v>1486</v>
      </c>
      <c r="R2542" t="s">
        <v>1487</v>
      </c>
      <c r="S2542" t="s">
        <v>1488</v>
      </c>
    </row>
    <row r="2543" spans="1:19" x14ac:dyDescent="0.25">
      <c r="A2543" t="s">
        <v>59</v>
      </c>
      <c r="B2543" t="s">
        <v>60</v>
      </c>
      <c r="C2543" t="s">
        <v>32</v>
      </c>
      <c r="D2543" t="s">
        <v>227</v>
      </c>
      <c r="F2543" t="s">
        <v>35</v>
      </c>
      <c r="G2543" t="s">
        <v>35</v>
      </c>
      <c r="H2543" t="s">
        <v>35</v>
      </c>
      <c r="J2543" t="s">
        <v>2989</v>
      </c>
      <c r="K2543" t="s">
        <v>1092</v>
      </c>
      <c r="M2543">
        <v>0.4</v>
      </c>
      <c r="N2543">
        <v>1531</v>
      </c>
      <c r="O2543" t="s">
        <v>575</v>
      </c>
      <c r="Q2543" t="s">
        <v>2262</v>
      </c>
      <c r="R2543" t="s">
        <v>2956</v>
      </c>
      <c r="S2543" t="s">
        <v>2953</v>
      </c>
    </row>
    <row r="2544" spans="1:19" x14ac:dyDescent="0.25">
      <c r="A2544" t="s">
        <v>59</v>
      </c>
      <c r="B2544" t="s">
        <v>60</v>
      </c>
      <c r="C2544" t="s">
        <v>32</v>
      </c>
      <c r="D2544" t="s">
        <v>227</v>
      </c>
      <c r="F2544" t="s">
        <v>35</v>
      </c>
      <c r="G2544" t="s">
        <v>35</v>
      </c>
      <c r="H2544" t="s">
        <v>35</v>
      </c>
      <c r="J2544" t="s">
        <v>2990</v>
      </c>
      <c r="K2544" t="s">
        <v>1092</v>
      </c>
      <c r="M2544">
        <v>0.157</v>
      </c>
      <c r="N2544">
        <v>2673</v>
      </c>
      <c r="O2544" t="s">
        <v>575</v>
      </c>
      <c r="Q2544" t="s">
        <v>1486</v>
      </c>
      <c r="R2544" t="s">
        <v>1487</v>
      </c>
      <c r="S2544" t="s">
        <v>1488</v>
      </c>
    </row>
    <row r="2545" spans="1:19" x14ac:dyDescent="0.25">
      <c r="A2545" t="s">
        <v>30</v>
      </c>
      <c r="B2545" t="s">
        <v>31</v>
      </c>
      <c r="C2545" t="s">
        <v>32</v>
      </c>
      <c r="D2545" t="s">
        <v>227</v>
      </c>
      <c r="F2545" t="s">
        <v>35</v>
      </c>
      <c r="G2545" t="s">
        <v>35</v>
      </c>
      <c r="H2545" t="s">
        <v>35</v>
      </c>
      <c r="J2545" t="s">
        <v>2991</v>
      </c>
      <c r="K2545" t="s">
        <v>1092</v>
      </c>
      <c r="M2545">
        <v>1.335</v>
      </c>
      <c r="N2545">
        <v>1976</v>
      </c>
      <c r="O2545" t="s">
        <v>575</v>
      </c>
      <c r="Q2545" t="s">
        <v>2992</v>
      </c>
      <c r="R2545" t="s">
        <v>2749</v>
      </c>
      <c r="S2545" t="s">
        <v>261</v>
      </c>
    </row>
    <row r="2546" spans="1:19" x14ac:dyDescent="0.25">
      <c r="A2546" t="s">
        <v>59</v>
      </c>
      <c r="B2546" t="s">
        <v>31</v>
      </c>
      <c r="C2546" t="s">
        <v>32</v>
      </c>
      <c r="D2546" t="s">
        <v>227</v>
      </c>
      <c r="F2546" t="s">
        <v>35</v>
      </c>
      <c r="G2546" t="s">
        <v>35</v>
      </c>
      <c r="H2546" t="s">
        <v>35</v>
      </c>
      <c r="J2546" t="s">
        <v>2991</v>
      </c>
      <c r="K2546" t="s">
        <v>1092</v>
      </c>
      <c r="M2546">
        <v>8.2750000000000004</v>
      </c>
      <c r="N2546">
        <v>1458</v>
      </c>
      <c r="O2546" t="s">
        <v>575</v>
      </c>
      <c r="Q2546" t="s">
        <v>2993</v>
      </c>
      <c r="R2546" t="s">
        <v>2474</v>
      </c>
      <c r="S2546" t="s">
        <v>2475</v>
      </c>
    </row>
    <row r="2547" spans="1:19" x14ac:dyDescent="0.25">
      <c r="A2547" t="s">
        <v>59</v>
      </c>
      <c r="B2547" t="s">
        <v>60</v>
      </c>
      <c r="C2547" t="s">
        <v>32</v>
      </c>
      <c r="D2547" t="s">
        <v>227</v>
      </c>
      <c r="F2547" t="s">
        <v>35</v>
      </c>
      <c r="G2547" t="s">
        <v>35</v>
      </c>
      <c r="H2547" t="s">
        <v>35</v>
      </c>
      <c r="J2547" t="s">
        <v>2994</v>
      </c>
      <c r="K2547" t="s">
        <v>1092</v>
      </c>
      <c r="M2547">
        <v>1.9E-2</v>
      </c>
      <c r="N2547">
        <v>1937</v>
      </c>
      <c r="O2547" t="s">
        <v>575</v>
      </c>
      <c r="Q2547" t="s">
        <v>2259</v>
      </c>
      <c r="R2547" t="s">
        <v>2701</v>
      </c>
      <c r="S2547" t="s">
        <v>2702</v>
      </c>
    </row>
    <row r="2548" spans="1:19" x14ac:dyDescent="0.25">
      <c r="A2548" t="s">
        <v>59</v>
      </c>
      <c r="B2548" t="s">
        <v>60</v>
      </c>
      <c r="C2548" t="s">
        <v>32</v>
      </c>
      <c r="D2548" t="s">
        <v>227</v>
      </c>
      <c r="F2548" t="s">
        <v>35</v>
      </c>
      <c r="G2548" t="s">
        <v>35</v>
      </c>
      <c r="H2548" t="s">
        <v>35</v>
      </c>
      <c r="J2548" t="s">
        <v>2995</v>
      </c>
      <c r="K2548" t="s">
        <v>1092</v>
      </c>
      <c r="M2548">
        <v>0.15</v>
      </c>
      <c r="N2548">
        <v>2673</v>
      </c>
      <c r="O2548" t="s">
        <v>575</v>
      </c>
      <c r="Q2548" t="s">
        <v>1486</v>
      </c>
      <c r="R2548" t="s">
        <v>1487</v>
      </c>
      <c r="S2548" t="s">
        <v>1488</v>
      </c>
    </row>
    <row r="2549" spans="1:19" x14ac:dyDescent="0.25">
      <c r="A2549" t="s">
        <v>59</v>
      </c>
      <c r="B2549" t="s">
        <v>60</v>
      </c>
      <c r="C2549" t="s">
        <v>32</v>
      </c>
      <c r="D2549" t="s">
        <v>227</v>
      </c>
      <c r="F2549" t="s">
        <v>35</v>
      </c>
      <c r="G2549" t="s">
        <v>35</v>
      </c>
      <c r="H2549" t="s">
        <v>35</v>
      </c>
      <c r="J2549" t="s">
        <v>2996</v>
      </c>
      <c r="K2549" t="s">
        <v>1092</v>
      </c>
      <c r="M2549">
        <v>1.1000000000000001</v>
      </c>
      <c r="N2549">
        <v>1874</v>
      </c>
      <c r="O2549" t="s">
        <v>575</v>
      </c>
      <c r="Q2549" t="s">
        <v>2999</v>
      </c>
      <c r="R2549" t="s">
        <v>2488</v>
      </c>
      <c r="S2549" t="s">
        <v>2489</v>
      </c>
    </row>
    <row r="2550" spans="1:19" x14ac:dyDescent="0.25">
      <c r="A2550" t="s">
        <v>30</v>
      </c>
      <c r="B2550" t="s">
        <v>31</v>
      </c>
      <c r="C2550" t="s">
        <v>32</v>
      </c>
      <c r="D2550" t="s">
        <v>227</v>
      </c>
      <c r="F2550" t="s">
        <v>35</v>
      </c>
      <c r="G2550" t="s">
        <v>35</v>
      </c>
      <c r="H2550" t="s">
        <v>35</v>
      </c>
      <c r="J2550" t="s">
        <v>2996</v>
      </c>
      <c r="K2550" t="s">
        <v>1092</v>
      </c>
      <c r="M2550">
        <v>4.5449999999999999</v>
      </c>
      <c r="N2550">
        <v>1833</v>
      </c>
      <c r="O2550" t="s">
        <v>575</v>
      </c>
      <c r="Q2550" t="s">
        <v>2997</v>
      </c>
      <c r="R2550" t="s">
        <v>2480</v>
      </c>
      <c r="S2550" t="s">
        <v>2481</v>
      </c>
    </row>
    <row r="2551" spans="1:19" x14ac:dyDescent="0.25">
      <c r="A2551" t="s">
        <v>59</v>
      </c>
      <c r="B2551" t="s">
        <v>60</v>
      </c>
      <c r="C2551" t="s">
        <v>32</v>
      </c>
      <c r="D2551" t="s">
        <v>227</v>
      </c>
      <c r="F2551" t="s">
        <v>35</v>
      </c>
      <c r="G2551" t="s">
        <v>35</v>
      </c>
      <c r="H2551" t="s">
        <v>35</v>
      </c>
      <c r="J2551" t="s">
        <v>2996</v>
      </c>
      <c r="K2551" t="s">
        <v>1092</v>
      </c>
      <c r="M2551">
        <v>2.5</v>
      </c>
      <c r="N2551">
        <v>1243</v>
      </c>
      <c r="O2551" t="s">
        <v>575</v>
      </c>
      <c r="Q2551" t="s">
        <v>2998</v>
      </c>
      <c r="R2551" t="s">
        <v>2480</v>
      </c>
      <c r="S2551" t="s">
        <v>2481</v>
      </c>
    </row>
    <row r="2552" spans="1:19" x14ac:dyDescent="0.25">
      <c r="A2552" t="s">
        <v>59</v>
      </c>
      <c r="B2552" t="s">
        <v>60</v>
      </c>
      <c r="C2552" t="s">
        <v>32</v>
      </c>
      <c r="D2552" t="s">
        <v>227</v>
      </c>
      <c r="F2552" t="s">
        <v>35</v>
      </c>
      <c r="G2552" t="s">
        <v>35</v>
      </c>
      <c r="H2552" t="s">
        <v>35</v>
      </c>
      <c r="J2552" t="s">
        <v>3000</v>
      </c>
      <c r="K2552" t="s">
        <v>1092</v>
      </c>
      <c r="M2552">
        <v>0.5</v>
      </c>
      <c r="N2552">
        <v>1999</v>
      </c>
      <c r="O2552" t="s">
        <v>575</v>
      </c>
      <c r="Q2552" t="s">
        <v>3002</v>
      </c>
      <c r="R2552" t="s">
        <v>2387</v>
      </c>
      <c r="S2552" t="s">
        <v>277</v>
      </c>
    </row>
    <row r="2553" spans="1:19" x14ac:dyDescent="0.25">
      <c r="A2553" t="s">
        <v>59</v>
      </c>
      <c r="B2553" t="s">
        <v>60</v>
      </c>
      <c r="C2553" t="s">
        <v>32</v>
      </c>
      <c r="D2553" t="s">
        <v>227</v>
      </c>
      <c r="F2553" t="s">
        <v>35</v>
      </c>
      <c r="G2553" t="s">
        <v>35</v>
      </c>
      <c r="H2553" t="s">
        <v>35</v>
      </c>
      <c r="J2553" t="s">
        <v>3000</v>
      </c>
      <c r="K2553" t="s">
        <v>1092</v>
      </c>
      <c r="M2553">
        <v>1</v>
      </c>
      <c r="N2553">
        <v>2553</v>
      </c>
      <c r="O2553" t="s">
        <v>575</v>
      </c>
      <c r="Q2553" t="s">
        <v>3001</v>
      </c>
      <c r="R2553" t="s">
        <v>2956</v>
      </c>
      <c r="S2553" t="s">
        <v>2953</v>
      </c>
    </row>
    <row r="2554" spans="1:19" x14ac:dyDescent="0.25">
      <c r="A2554" t="s">
        <v>59</v>
      </c>
      <c r="B2554" t="s">
        <v>60</v>
      </c>
      <c r="C2554" t="s">
        <v>32</v>
      </c>
      <c r="D2554" t="s">
        <v>227</v>
      </c>
      <c r="F2554" t="s">
        <v>35</v>
      </c>
      <c r="G2554" t="s">
        <v>35</v>
      </c>
      <c r="H2554" t="s">
        <v>35</v>
      </c>
      <c r="J2554" t="s">
        <v>3000</v>
      </c>
      <c r="K2554" t="s">
        <v>1092</v>
      </c>
      <c r="M2554">
        <v>2.133</v>
      </c>
      <c r="N2554">
        <v>2673</v>
      </c>
      <c r="O2554" t="s">
        <v>575</v>
      </c>
      <c r="Q2554" t="s">
        <v>1486</v>
      </c>
      <c r="R2554" t="s">
        <v>1487</v>
      </c>
      <c r="S2554" t="s">
        <v>1488</v>
      </c>
    </row>
    <row r="2555" spans="1:19" x14ac:dyDescent="0.25">
      <c r="A2555" t="s">
        <v>44</v>
      </c>
      <c r="B2555" t="s">
        <v>3</v>
      </c>
      <c r="C2555" t="s">
        <v>32</v>
      </c>
      <c r="D2555" t="s">
        <v>227</v>
      </c>
      <c r="F2555" t="s">
        <v>35</v>
      </c>
      <c r="G2555" t="s">
        <v>35</v>
      </c>
      <c r="H2555" t="s">
        <v>35</v>
      </c>
      <c r="J2555" t="s">
        <v>3003</v>
      </c>
      <c r="K2555" t="s">
        <v>1092</v>
      </c>
      <c r="M2555">
        <v>1</v>
      </c>
      <c r="N2555">
        <v>58</v>
      </c>
      <c r="O2555" t="s">
        <v>52</v>
      </c>
      <c r="Q2555" t="s">
        <v>58</v>
      </c>
      <c r="R2555" t="s">
        <v>256</v>
      </c>
      <c r="S2555" t="s">
        <v>257</v>
      </c>
    </row>
    <row r="2556" spans="1:19" x14ac:dyDescent="0.25">
      <c r="A2556" t="s">
        <v>30</v>
      </c>
      <c r="B2556" t="s">
        <v>31</v>
      </c>
      <c r="C2556" t="s">
        <v>32</v>
      </c>
      <c r="D2556" t="s">
        <v>227</v>
      </c>
      <c r="F2556" t="s">
        <v>35</v>
      </c>
      <c r="G2556" t="s">
        <v>35</v>
      </c>
      <c r="H2556" t="s">
        <v>35</v>
      </c>
      <c r="J2556" t="s">
        <v>3004</v>
      </c>
      <c r="K2556" t="s">
        <v>1092</v>
      </c>
      <c r="M2556">
        <v>1.0349999999999999</v>
      </c>
      <c r="N2556">
        <v>893</v>
      </c>
      <c r="O2556" t="s">
        <v>575</v>
      </c>
      <c r="Q2556" t="s">
        <v>2390</v>
      </c>
      <c r="R2556" t="s">
        <v>2474</v>
      </c>
      <c r="S2556" t="s">
        <v>2475</v>
      </c>
    </row>
    <row r="2557" spans="1:19" x14ac:dyDescent="0.25">
      <c r="A2557" t="s">
        <v>59</v>
      </c>
      <c r="B2557" t="s">
        <v>31</v>
      </c>
      <c r="C2557" t="s">
        <v>32</v>
      </c>
      <c r="D2557" t="s">
        <v>227</v>
      </c>
      <c r="F2557" t="s">
        <v>35</v>
      </c>
      <c r="G2557" t="s">
        <v>35</v>
      </c>
      <c r="H2557" t="s">
        <v>35</v>
      </c>
      <c r="J2557" t="s">
        <v>3006</v>
      </c>
      <c r="K2557" t="s">
        <v>1092</v>
      </c>
      <c r="M2557">
        <v>2.585</v>
      </c>
      <c r="N2557">
        <v>2673</v>
      </c>
      <c r="O2557" t="s">
        <v>575</v>
      </c>
      <c r="Q2557" t="s">
        <v>1486</v>
      </c>
      <c r="R2557" t="s">
        <v>1487</v>
      </c>
      <c r="S2557" t="s">
        <v>1488</v>
      </c>
    </row>
    <row r="2558" spans="1:19" x14ac:dyDescent="0.25">
      <c r="A2558" t="s">
        <v>44</v>
      </c>
      <c r="B2558" t="s">
        <v>3005</v>
      </c>
      <c r="C2558" t="s">
        <v>32</v>
      </c>
      <c r="D2558" t="s">
        <v>227</v>
      </c>
      <c r="F2558" t="s">
        <v>35</v>
      </c>
      <c r="G2558" t="s">
        <v>35</v>
      </c>
      <c r="H2558" t="s">
        <v>35</v>
      </c>
      <c r="J2558" t="s">
        <v>3006</v>
      </c>
      <c r="K2558" t="s">
        <v>1092</v>
      </c>
      <c r="M2558">
        <v>0.15</v>
      </c>
      <c r="N2558">
        <v>2659</v>
      </c>
      <c r="O2558" t="s">
        <v>575</v>
      </c>
      <c r="Q2558" t="s">
        <v>3007</v>
      </c>
      <c r="R2558" t="s">
        <v>2391</v>
      </c>
      <c r="S2558" t="s">
        <v>236</v>
      </c>
    </row>
    <row r="2559" spans="1:19" x14ac:dyDescent="0.25">
      <c r="A2559" t="s">
        <v>59</v>
      </c>
      <c r="B2559" t="s">
        <v>31</v>
      </c>
      <c r="C2559" t="s">
        <v>32</v>
      </c>
      <c r="D2559" t="s">
        <v>227</v>
      </c>
      <c r="F2559" t="s">
        <v>35</v>
      </c>
      <c r="G2559" t="s">
        <v>35</v>
      </c>
      <c r="H2559" t="s">
        <v>35</v>
      </c>
      <c r="J2559" t="s">
        <v>3008</v>
      </c>
      <c r="K2559" t="s">
        <v>1092</v>
      </c>
      <c r="M2559">
        <v>3.96</v>
      </c>
      <c r="N2559">
        <v>1730</v>
      </c>
      <c r="O2559" t="s">
        <v>575</v>
      </c>
      <c r="Q2559" t="s">
        <v>3009</v>
      </c>
      <c r="R2559" t="s">
        <v>2455</v>
      </c>
      <c r="S2559" t="s">
        <v>2456</v>
      </c>
    </row>
    <row r="2560" spans="1:19" x14ac:dyDescent="0.25">
      <c r="A2560" t="s">
        <v>30</v>
      </c>
      <c r="B2560" t="s">
        <v>31</v>
      </c>
      <c r="C2560" t="s">
        <v>32</v>
      </c>
      <c r="D2560" t="s">
        <v>227</v>
      </c>
      <c r="F2560" t="s">
        <v>35</v>
      </c>
      <c r="G2560" t="s">
        <v>35</v>
      </c>
      <c r="H2560" t="s">
        <v>35</v>
      </c>
      <c r="J2560" t="s">
        <v>3010</v>
      </c>
      <c r="K2560" t="s">
        <v>1092</v>
      </c>
      <c r="M2560">
        <v>1.08</v>
      </c>
      <c r="N2560">
        <v>71</v>
      </c>
      <c r="O2560" t="s">
        <v>61</v>
      </c>
      <c r="Q2560" t="s">
        <v>102</v>
      </c>
      <c r="R2560" t="s">
        <v>2387</v>
      </c>
      <c r="S2560" t="s">
        <v>277</v>
      </c>
    </row>
    <row r="2561" spans="1:19" x14ac:dyDescent="0.25">
      <c r="A2561" t="s">
        <v>59</v>
      </c>
      <c r="B2561" t="s">
        <v>60</v>
      </c>
      <c r="C2561" t="s">
        <v>32</v>
      </c>
      <c r="D2561" t="s">
        <v>227</v>
      </c>
      <c r="F2561" t="s">
        <v>35</v>
      </c>
      <c r="G2561" t="s">
        <v>35</v>
      </c>
      <c r="H2561" t="s">
        <v>35</v>
      </c>
      <c r="J2561" t="s">
        <v>3010</v>
      </c>
      <c r="K2561" t="s">
        <v>1092</v>
      </c>
      <c r="M2561">
        <v>1.47</v>
      </c>
      <c r="N2561">
        <v>71</v>
      </c>
      <c r="O2561" t="s">
        <v>61</v>
      </c>
      <c r="Q2561" t="s">
        <v>102</v>
      </c>
      <c r="R2561" t="s">
        <v>2387</v>
      </c>
      <c r="S2561" t="s">
        <v>277</v>
      </c>
    </row>
    <row r="2562" spans="1:19" x14ac:dyDescent="0.25">
      <c r="A2562" t="s">
        <v>59</v>
      </c>
      <c r="B2562" t="s">
        <v>60</v>
      </c>
      <c r="C2562" t="s">
        <v>32</v>
      </c>
      <c r="D2562" t="s">
        <v>227</v>
      </c>
      <c r="F2562" t="s">
        <v>35</v>
      </c>
      <c r="G2562" t="s">
        <v>35</v>
      </c>
      <c r="H2562" t="s">
        <v>35</v>
      </c>
      <c r="J2562" t="s">
        <v>3011</v>
      </c>
      <c r="K2562" t="s">
        <v>1092</v>
      </c>
      <c r="M2562">
        <v>1.6E-2</v>
      </c>
      <c r="N2562">
        <v>2673</v>
      </c>
      <c r="O2562" t="s">
        <v>575</v>
      </c>
      <c r="Q2562" t="s">
        <v>1486</v>
      </c>
      <c r="R2562" t="s">
        <v>1487</v>
      </c>
      <c r="S2562" t="s">
        <v>1488</v>
      </c>
    </row>
    <row r="2563" spans="1:19" x14ac:dyDescent="0.25">
      <c r="A2563" t="s">
        <v>59</v>
      </c>
      <c r="B2563" t="s">
        <v>31</v>
      </c>
      <c r="C2563" t="s">
        <v>32</v>
      </c>
      <c r="D2563" t="s">
        <v>227</v>
      </c>
      <c r="F2563" t="s">
        <v>35</v>
      </c>
      <c r="G2563" t="s">
        <v>35</v>
      </c>
      <c r="H2563" t="s">
        <v>35</v>
      </c>
      <c r="J2563" t="s">
        <v>3011</v>
      </c>
      <c r="K2563" t="s">
        <v>1092</v>
      </c>
      <c r="M2563">
        <v>0.62</v>
      </c>
      <c r="N2563">
        <v>2064</v>
      </c>
      <c r="O2563" t="s">
        <v>575</v>
      </c>
      <c r="Q2563" t="s">
        <v>3012</v>
      </c>
      <c r="R2563" t="s">
        <v>2956</v>
      </c>
      <c r="S2563" t="s">
        <v>2953</v>
      </c>
    </row>
    <row r="2564" spans="1:19" x14ac:dyDescent="0.25">
      <c r="A2564" t="s">
        <v>59</v>
      </c>
      <c r="B2564" t="s">
        <v>60</v>
      </c>
      <c r="C2564" t="s">
        <v>32</v>
      </c>
      <c r="D2564" t="s">
        <v>227</v>
      </c>
      <c r="F2564" t="s">
        <v>35</v>
      </c>
      <c r="G2564" t="s">
        <v>35</v>
      </c>
      <c r="H2564" t="s">
        <v>35</v>
      </c>
      <c r="J2564" t="s">
        <v>3013</v>
      </c>
      <c r="K2564" t="s">
        <v>1092</v>
      </c>
      <c r="M2564">
        <v>0.2</v>
      </c>
      <c r="N2564">
        <v>1690</v>
      </c>
      <c r="O2564" t="s">
        <v>575</v>
      </c>
      <c r="Q2564" t="s">
        <v>3014</v>
      </c>
      <c r="R2564" t="s">
        <v>2406</v>
      </c>
      <c r="S2564" t="s">
        <v>266</v>
      </c>
    </row>
    <row r="2565" spans="1:19" x14ac:dyDescent="0.25">
      <c r="A2565" t="s">
        <v>59</v>
      </c>
      <c r="B2565" t="s">
        <v>31</v>
      </c>
      <c r="C2565" t="s">
        <v>32</v>
      </c>
      <c r="D2565" t="s">
        <v>227</v>
      </c>
      <c r="F2565" t="s">
        <v>35</v>
      </c>
      <c r="G2565" t="s">
        <v>35</v>
      </c>
      <c r="H2565" t="s">
        <v>35</v>
      </c>
      <c r="J2565" t="s">
        <v>3013</v>
      </c>
      <c r="K2565" t="s">
        <v>1092</v>
      </c>
      <c r="M2565">
        <v>4.4999999999999998E-2</v>
      </c>
      <c r="N2565">
        <v>1690</v>
      </c>
      <c r="O2565" t="s">
        <v>575</v>
      </c>
      <c r="Q2565" t="s">
        <v>3014</v>
      </c>
      <c r="R2565" t="s">
        <v>2406</v>
      </c>
      <c r="S2565" t="s">
        <v>266</v>
      </c>
    </row>
    <row r="2566" spans="1:19" x14ac:dyDescent="0.25">
      <c r="A2566" t="s">
        <v>59</v>
      </c>
      <c r="B2566" t="s">
        <v>31</v>
      </c>
      <c r="C2566" t="s">
        <v>32</v>
      </c>
      <c r="D2566" t="s">
        <v>227</v>
      </c>
      <c r="F2566" t="s">
        <v>35</v>
      </c>
      <c r="G2566" t="s">
        <v>35</v>
      </c>
      <c r="H2566" t="s">
        <v>35</v>
      </c>
      <c r="J2566" t="s">
        <v>3015</v>
      </c>
      <c r="K2566" t="s">
        <v>1092</v>
      </c>
      <c r="M2566">
        <v>1.125</v>
      </c>
      <c r="N2566">
        <v>1951</v>
      </c>
      <c r="O2566" t="s">
        <v>575</v>
      </c>
      <c r="Q2566" t="s">
        <v>3016</v>
      </c>
      <c r="R2566" t="s">
        <v>2394</v>
      </c>
      <c r="S2566" t="s">
        <v>271</v>
      </c>
    </row>
    <row r="2567" spans="1:19" x14ac:dyDescent="0.25">
      <c r="A2567" t="s">
        <v>59</v>
      </c>
      <c r="B2567" t="s">
        <v>60</v>
      </c>
      <c r="C2567" t="s">
        <v>32</v>
      </c>
      <c r="D2567" t="s">
        <v>227</v>
      </c>
      <c r="F2567" t="s">
        <v>35</v>
      </c>
      <c r="G2567" t="s">
        <v>35</v>
      </c>
      <c r="H2567" t="s">
        <v>35</v>
      </c>
      <c r="J2567" t="s">
        <v>3017</v>
      </c>
      <c r="K2567" t="s">
        <v>1092</v>
      </c>
      <c r="M2567">
        <v>0.45500000000000002</v>
      </c>
      <c r="N2567">
        <v>2131</v>
      </c>
      <c r="O2567" t="s">
        <v>575</v>
      </c>
      <c r="Q2567" t="s">
        <v>2240</v>
      </c>
      <c r="R2567" t="s">
        <v>3018</v>
      </c>
      <c r="S2567" t="s">
        <v>3019</v>
      </c>
    </row>
    <row r="2568" spans="1:19" x14ac:dyDescent="0.25">
      <c r="A2568" t="s">
        <v>30</v>
      </c>
      <c r="B2568" t="s">
        <v>31</v>
      </c>
      <c r="C2568" t="s">
        <v>32</v>
      </c>
      <c r="D2568" t="s">
        <v>227</v>
      </c>
      <c r="F2568" t="s">
        <v>35</v>
      </c>
      <c r="G2568" t="s">
        <v>35</v>
      </c>
      <c r="H2568" t="s">
        <v>35</v>
      </c>
      <c r="J2568" t="s">
        <v>3021</v>
      </c>
      <c r="K2568" t="s">
        <v>1092</v>
      </c>
      <c r="M2568">
        <v>5.0000000000000001E-3</v>
      </c>
      <c r="N2568">
        <v>1553</v>
      </c>
      <c r="O2568" t="s">
        <v>575</v>
      </c>
      <c r="Q2568" t="s">
        <v>3022</v>
      </c>
      <c r="R2568" t="s">
        <v>2406</v>
      </c>
      <c r="S2568" t="s">
        <v>266</v>
      </c>
    </row>
    <row r="2569" spans="1:19" x14ac:dyDescent="0.25">
      <c r="A2569" t="s">
        <v>59</v>
      </c>
      <c r="B2569" t="s">
        <v>60</v>
      </c>
      <c r="C2569" t="s">
        <v>32</v>
      </c>
      <c r="D2569" t="s">
        <v>227</v>
      </c>
      <c r="F2569" t="s">
        <v>35</v>
      </c>
      <c r="G2569" t="s">
        <v>35</v>
      </c>
      <c r="H2569" t="s">
        <v>35</v>
      </c>
      <c r="J2569" t="s">
        <v>3023</v>
      </c>
      <c r="K2569" t="s">
        <v>1092</v>
      </c>
      <c r="M2569">
        <v>0.32500000000000001</v>
      </c>
      <c r="N2569">
        <v>2673</v>
      </c>
      <c r="O2569" t="s">
        <v>575</v>
      </c>
      <c r="Q2569" t="s">
        <v>1486</v>
      </c>
      <c r="R2569" t="s">
        <v>1487</v>
      </c>
      <c r="S2569" t="s">
        <v>1488</v>
      </c>
    </row>
    <row r="2570" spans="1:19" x14ac:dyDescent="0.25">
      <c r="A2570" t="s">
        <v>59</v>
      </c>
      <c r="B2570" t="s">
        <v>31</v>
      </c>
      <c r="C2570" t="s">
        <v>32</v>
      </c>
      <c r="D2570" t="s">
        <v>227</v>
      </c>
      <c r="F2570" t="s">
        <v>35</v>
      </c>
      <c r="G2570" t="s">
        <v>35</v>
      </c>
      <c r="H2570" t="s">
        <v>35</v>
      </c>
      <c r="J2570" t="s">
        <v>3024</v>
      </c>
      <c r="K2570" t="s">
        <v>1092</v>
      </c>
      <c r="M2570">
        <v>5.0000000000000001E-3</v>
      </c>
      <c r="N2570">
        <v>2263</v>
      </c>
      <c r="O2570" t="s">
        <v>575</v>
      </c>
      <c r="Q2570" t="s">
        <v>2354</v>
      </c>
      <c r="R2570" t="s">
        <v>2387</v>
      </c>
      <c r="S2570" t="s">
        <v>277</v>
      </c>
    </row>
    <row r="2571" spans="1:19" x14ac:dyDescent="0.25">
      <c r="A2571" t="s">
        <v>30</v>
      </c>
      <c r="B2571" t="s">
        <v>31</v>
      </c>
      <c r="C2571" t="s">
        <v>32</v>
      </c>
      <c r="D2571" t="s">
        <v>227</v>
      </c>
      <c r="F2571" t="s">
        <v>35</v>
      </c>
      <c r="G2571" t="s">
        <v>35</v>
      </c>
      <c r="H2571" t="s">
        <v>35</v>
      </c>
      <c r="J2571" t="s">
        <v>3024</v>
      </c>
      <c r="K2571" t="s">
        <v>1092</v>
      </c>
      <c r="M2571">
        <v>0.9</v>
      </c>
      <c r="N2571">
        <v>1246</v>
      </c>
      <c r="O2571" t="s">
        <v>575</v>
      </c>
      <c r="Q2571" t="s">
        <v>3026</v>
      </c>
      <c r="R2571" t="s">
        <v>256</v>
      </c>
      <c r="S2571" t="s">
        <v>257</v>
      </c>
    </row>
    <row r="2572" spans="1:19" x14ac:dyDescent="0.25">
      <c r="A2572" t="s">
        <v>59</v>
      </c>
      <c r="B2572" t="s">
        <v>60</v>
      </c>
      <c r="C2572" t="s">
        <v>32</v>
      </c>
      <c r="D2572" t="s">
        <v>227</v>
      </c>
      <c r="F2572" t="s">
        <v>35</v>
      </c>
      <c r="G2572" t="s">
        <v>35</v>
      </c>
      <c r="H2572" t="s">
        <v>35</v>
      </c>
      <c r="J2572" t="s">
        <v>3024</v>
      </c>
      <c r="K2572" t="s">
        <v>1092</v>
      </c>
      <c r="M2572">
        <v>0.83299999999999996</v>
      </c>
      <c r="N2572">
        <v>1977</v>
      </c>
      <c r="O2572" t="s">
        <v>575</v>
      </c>
      <c r="Q2572" t="s">
        <v>3025</v>
      </c>
      <c r="R2572" t="s">
        <v>2387</v>
      </c>
      <c r="S2572" t="s">
        <v>277</v>
      </c>
    </row>
    <row r="2573" spans="1:19" x14ac:dyDescent="0.25">
      <c r="A2573" t="s">
        <v>59</v>
      </c>
      <c r="B2573" t="s">
        <v>60</v>
      </c>
      <c r="C2573" t="s">
        <v>32</v>
      </c>
      <c r="D2573" t="s">
        <v>227</v>
      </c>
      <c r="F2573" t="s">
        <v>35</v>
      </c>
      <c r="G2573" t="s">
        <v>35</v>
      </c>
      <c r="H2573" t="s">
        <v>35</v>
      </c>
      <c r="J2573" t="s">
        <v>3027</v>
      </c>
      <c r="K2573" t="s">
        <v>1092</v>
      </c>
      <c r="M2573">
        <v>0.39</v>
      </c>
      <c r="N2573">
        <v>2673</v>
      </c>
      <c r="O2573" t="s">
        <v>575</v>
      </c>
      <c r="Q2573" t="s">
        <v>1486</v>
      </c>
      <c r="R2573" t="s">
        <v>1487</v>
      </c>
      <c r="S2573" t="s">
        <v>1488</v>
      </c>
    </row>
    <row r="2574" spans="1:19" x14ac:dyDescent="0.25">
      <c r="A2574" t="s">
        <v>59</v>
      </c>
      <c r="B2574" t="s">
        <v>60</v>
      </c>
      <c r="C2574" t="s">
        <v>32</v>
      </c>
      <c r="D2574" t="s">
        <v>227</v>
      </c>
      <c r="F2574" t="s">
        <v>35</v>
      </c>
      <c r="G2574" t="s">
        <v>35</v>
      </c>
      <c r="H2574" t="s">
        <v>35</v>
      </c>
      <c r="J2574" t="s">
        <v>3028</v>
      </c>
      <c r="K2574" t="s">
        <v>1092</v>
      </c>
      <c r="M2574">
        <v>0.65</v>
      </c>
      <c r="N2574">
        <v>92</v>
      </c>
      <c r="O2574" t="s">
        <v>106</v>
      </c>
      <c r="Q2574" t="s">
        <v>1100</v>
      </c>
      <c r="R2574" t="s">
        <v>2701</v>
      </c>
      <c r="S2574" t="s">
        <v>2702</v>
      </c>
    </row>
    <row r="2575" spans="1:19" x14ac:dyDescent="0.25">
      <c r="A2575" t="s">
        <v>59</v>
      </c>
      <c r="B2575" t="s">
        <v>60</v>
      </c>
      <c r="C2575" t="s">
        <v>32</v>
      </c>
      <c r="D2575" t="s">
        <v>227</v>
      </c>
      <c r="F2575" t="s">
        <v>35</v>
      </c>
      <c r="G2575" t="s">
        <v>35</v>
      </c>
      <c r="H2575" t="s">
        <v>35</v>
      </c>
      <c r="J2575" t="s">
        <v>3029</v>
      </c>
      <c r="K2575" t="s">
        <v>1092</v>
      </c>
      <c r="M2575">
        <v>5.5E-2</v>
      </c>
      <c r="N2575">
        <v>2060</v>
      </c>
      <c r="O2575" t="s">
        <v>575</v>
      </c>
      <c r="Q2575" t="s">
        <v>3030</v>
      </c>
      <c r="R2575" t="s">
        <v>2387</v>
      </c>
      <c r="S2575" t="s">
        <v>277</v>
      </c>
    </row>
    <row r="2576" spans="1:19" x14ac:dyDescent="0.25">
      <c r="A2576" t="s">
        <v>59</v>
      </c>
      <c r="B2576" t="s">
        <v>60</v>
      </c>
      <c r="C2576" t="s">
        <v>32</v>
      </c>
      <c r="D2576" t="s">
        <v>227</v>
      </c>
      <c r="F2576" t="s">
        <v>35</v>
      </c>
      <c r="G2576" t="s">
        <v>35</v>
      </c>
      <c r="H2576" t="s">
        <v>35</v>
      </c>
      <c r="J2576" t="s">
        <v>3029</v>
      </c>
      <c r="K2576" t="s">
        <v>1092</v>
      </c>
      <c r="M2576">
        <v>0.5</v>
      </c>
      <c r="N2576">
        <v>1748</v>
      </c>
      <c r="O2576" t="s">
        <v>575</v>
      </c>
      <c r="Q2576" t="s">
        <v>3035</v>
      </c>
      <c r="R2576" t="s">
        <v>2690</v>
      </c>
      <c r="S2576" t="s">
        <v>252</v>
      </c>
    </row>
    <row r="2577" spans="1:19" x14ac:dyDescent="0.25">
      <c r="A2577" t="s">
        <v>59</v>
      </c>
      <c r="B2577" t="s">
        <v>60</v>
      </c>
      <c r="C2577" t="s">
        <v>32</v>
      </c>
      <c r="D2577" t="s">
        <v>227</v>
      </c>
      <c r="F2577" t="s">
        <v>35</v>
      </c>
      <c r="G2577" t="s">
        <v>35</v>
      </c>
      <c r="H2577" t="s">
        <v>35</v>
      </c>
      <c r="J2577" t="s">
        <v>3029</v>
      </c>
      <c r="K2577" t="s">
        <v>1092</v>
      </c>
      <c r="M2577">
        <v>0.25</v>
      </c>
      <c r="N2577">
        <v>1694</v>
      </c>
      <c r="O2577" t="s">
        <v>575</v>
      </c>
      <c r="Q2577" t="s">
        <v>3034</v>
      </c>
      <c r="R2577" t="s">
        <v>2690</v>
      </c>
      <c r="S2577" t="s">
        <v>252</v>
      </c>
    </row>
    <row r="2578" spans="1:19" x14ac:dyDescent="0.25">
      <c r="A2578" t="s">
        <v>59</v>
      </c>
      <c r="B2578" t="s">
        <v>60</v>
      </c>
      <c r="C2578" t="s">
        <v>32</v>
      </c>
      <c r="D2578" t="s">
        <v>227</v>
      </c>
      <c r="F2578" t="s">
        <v>35</v>
      </c>
      <c r="G2578" t="s">
        <v>35</v>
      </c>
      <c r="H2578" t="s">
        <v>35</v>
      </c>
      <c r="J2578" t="s">
        <v>3029</v>
      </c>
      <c r="K2578" t="s">
        <v>1092</v>
      </c>
      <c r="M2578">
        <v>0.5</v>
      </c>
      <c r="N2578">
        <v>1911</v>
      </c>
      <c r="O2578" t="s">
        <v>575</v>
      </c>
      <c r="Q2578" t="s">
        <v>3031</v>
      </c>
      <c r="R2578" t="s">
        <v>2690</v>
      </c>
      <c r="S2578" t="s">
        <v>252</v>
      </c>
    </row>
    <row r="2579" spans="1:19" x14ac:dyDescent="0.25">
      <c r="A2579" t="s">
        <v>59</v>
      </c>
      <c r="B2579" t="s">
        <v>60</v>
      </c>
      <c r="C2579" t="s">
        <v>32</v>
      </c>
      <c r="D2579" t="s">
        <v>227</v>
      </c>
      <c r="F2579" t="s">
        <v>35</v>
      </c>
      <c r="G2579" t="s">
        <v>35</v>
      </c>
      <c r="H2579" t="s">
        <v>35</v>
      </c>
      <c r="J2579" t="s">
        <v>3029</v>
      </c>
      <c r="K2579" t="s">
        <v>1092</v>
      </c>
      <c r="M2579">
        <v>0.5</v>
      </c>
      <c r="N2579">
        <v>1870</v>
      </c>
      <c r="O2579" t="s">
        <v>575</v>
      </c>
      <c r="Q2579" t="s">
        <v>3032</v>
      </c>
      <c r="R2579" t="s">
        <v>2387</v>
      </c>
      <c r="S2579" t="s">
        <v>277</v>
      </c>
    </row>
    <row r="2580" spans="1:19" x14ac:dyDescent="0.25">
      <c r="A2580" t="s">
        <v>59</v>
      </c>
      <c r="B2580" t="s">
        <v>60</v>
      </c>
      <c r="C2580" t="s">
        <v>32</v>
      </c>
      <c r="D2580" t="s">
        <v>227</v>
      </c>
      <c r="F2580" t="s">
        <v>35</v>
      </c>
      <c r="G2580" t="s">
        <v>35</v>
      </c>
      <c r="H2580" t="s">
        <v>35</v>
      </c>
      <c r="J2580" t="s">
        <v>3029</v>
      </c>
      <c r="K2580" t="s">
        <v>1092</v>
      </c>
      <c r="M2580">
        <v>0.5</v>
      </c>
      <c r="N2580">
        <v>1885</v>
      </c>
      <c r="O2580" t="s">
        <v>575</v>
      </c>
      <c r="Q2580" t="s">
        <v>3033</v>
      </c>
      <c r="R2580" t="s">
        <v>2387</v>
      </c>
      <c r="S2580" t="s">
        <v>277</v>
      </c>
    </row>
    <row r="2581" spans="1:19" x14ac:dyDescent="0.25">
      <c r="A2581" t="s">
        <v>59</v>
      </c>
      <c r="B2581" t="s">
        <v>60</v>
      </c>
      <c r="C2581" t="s">
        <v>32</v>
      </c>
      <c r="D2581" t="s">
        <v>227</v>
      </c>
      <c r="F2581" t="s">
        <v>35</v>
      </c>
      <c r="G2581" t="s">
        <v>35</v>
      </c>
      <c r="H2581" t="s">
        <v>35</v>
      </c>
      <c r="J2581" t="s">
        <v>3036</v>
      </c>
      <c r="K2581" t="s">
        <v>1092</v>
      </c>
      <c r="M2581">
        <v>4.4999999999999998E-2</v>
      </c>
      <c r="N2581">
        <v>1931</v>
      </c>
      <c r="O2581" t="s">
        <v>575</v>
      </c>
      <c r="Q2581" t="s">
        <v>3037</v>
      </c>
      <c r="R2581" t="s">
        <v>2387</v>
      </c>
      <c r="S2581" t="s">
        <v>277</v>
      </c>
    </row>
    <row r="2582" spans="1:19" x14ac:dyDescent="0.25">
      <c r="A2582" t="s">
        <v>59</v>
      </c>
      <c r="B2582" t="s">
        <v>31</v>
      </c>
      <c r="C2582" t="s">
        <v>32</v>
      </c>
      <c r="D2582" t="s">
        <v>227</v>
      </c>
      <c r="F2582" t="s">
        <v>35</v>
      </c>
      <c r="G2582" t="s">
        <v>35</v>
      </c>
      <c r="H2582" t="s">
        <v>35</v>
      </c>
      <c r="J2582" t="s">
        <v>3038</v>
      </c>
      <c r="K2582" t="s">
        <v>1092</v>
      </c>
      <c r="M2582">
        <v>0.41499999999999998</v>
      </c>
      <c r="N2582">
        <v>2408</v>
      </c>
      <c r="O2582" t="s">
        <v>575</v>
      </c>
      <c r="Q2582" t="s">
        <v>3039</v>
      </c>
      <c r="R2582" t="s">
        <v>2387</v>
      </c>
      <c r="S2582" t="s">
        <v>277</v>
      </c>
    </row>
    <row r="2583" spans="1:19" x14ac:dyDescent="0.25">
      <c r="A2583" t="s">
        <v>59</v>
      </c>
      <c r="B2583" t="s">
        <v>60</v>
      </c>
      <c r="C2583" t="s">
        <v>32</v>
      </c>
      <c r="D2583" t="s">
        <v>227</v>
      </c>
      <c r="F2583" t="s">
        <v>35</v>
      </c>
      <c r="G2583" t="s">
        <v>35</v>
      </c>
      <c r="H2583" t="s">
        <v>35</v>
      </c>
      <c r="J2583" t="s">
        <v>3038</v>
      </c>
      <c r="K2583" t="s">
        <v>1092</v>
      </c>
      <c r="M2583">
        <v>0.5</v>
      </c>
      <c r="N2583">
        <v>2673</v>
      </c>
      <c r="O2583" t="s">
        <v>575</v>
      </c>
      <c r="Q2583" t="s">
        <v>1486</v>
      </c>
      <c r="R2583" t="s">
        <v>1487</v>
      </c>
      <c r="S2583" t="s">
        <v>1488</v>
      </c>
    </row>
    <row r="2584" spans="1:19" x14ac:dyDescent="0.25">
      <c r="A2584" t="s">
        <v>59</v>
      </c>
      <c r="B2584" t="s">
        <v>31</v>
      </c>
      <c r="C2584" t="s">
        <v>32</v>
      </c>
      <c r="D2584" t="s">
        <v>227</v>
      </c>
      <c r="F2584" t="s">
        <v>35</v>
      </c>
      <c r="G2584" t="s">
        <v>35</v>
      </c>
      <c r="H2584" t="s">
        <v>35</v>
      </c>
      <c r="J2584" t="s">
        <v>3040</v>
      </c>
      <c r="K2584" t="s">
        <v>1092</v>
      </c>
      <c r="M2584">
        <v>0.63</v>
      </c>
      <c r="N2584">
        <v>2024</v>
      </c>
      <c r="O2584" t="s">
        <v>575</v>
      </c>
      <c r="Q2584" t="s">
        <v>3041</v>
      </c>
      <c r="R2584" t="s">
        <v>256</v>
      </c>
      <c r="S2584" t="s">
        <v>257</v>
      </c>
    </row>
    <row r="2585" spans="1:19" x14ac:dyDescent="0.25">
      <c r="A2585" t="s">
        <v>59</v>
      </c>
      <c r="B2585" t="s">
        <v>60</v>
      </c>
      <c r="C2585" t="s">
        <v>32</v>
      </c>
      <c r="D2585" t="s">
        <v>227</v>
      </c>
      <c r="F2585" t="s">
        <v>35</v>
      </c>
      <c r="G2585" t="s">
        <v>35</v>
      </c>
      <c r="H2585" t="s">
        <v>35</v>
      </c>
      <c r="J2585" t="s">
        <v>3042</v>
      </c>
      <c r="K2585" t="s">
        <v>1092</v>
      </c>
      <c r="M2585">
        <v>3.75</v>
      </c>
      <c r="N2585">
        <v>1586</v>
      </c>
      <c r="O2585" t="s">
        <v>575</v>
      </c>
      <c r="Q2585" t="s">
        <v>3043</v>
      </c>
      <c r="R2585" t="s">
        <v>2956</v>
      </c>
      <c r="S2585" t="s">
        <v>2953</v>
      </c>
    </row>
    <row r="2586" spans="1:19" x14ac:dyDescent="0.25">
      <c r="A2586" t="s">
        <v>59</v>
      </c>
      <c r="B2586" t="s">
        <v>60</v>
      </c>
      <c r="C2586" t="s">
        <v>32</v>
      </c>
      <c r="D2586" t="s">
        <v>227</v>
      </c>
      <c r="F2586" t="s">
        <v>35</v>
      </c>
      <c r="G2586" t="s">
        <v>35</v>
      </c>
      <c r="H2586" t="s">
        <v>35</v>
      </c>
      <c r="J2586" t="s">
        <v>3044</v>
      </c>
      <c r="K2586" t="s">
        <v>1092</v>
      </c>
      <c r="M2586">
        <v>3.9E-2</v>
      </c>
      <c r="N2586">
        <v>2673</v>
      </c>
      <c r="O2586" t="s">
        <v>575</v>
      </c>
      <c r="Q2586" t="s">
        <v>1486</v>
      </c>
      <c r="R2586" t="s">
        <v>1487</v>
      </c>
      <c r="S2586" t="s">
        <v>1488</v>
      </c>
    </row>
    <row r="2587" spans="1:19" x14ac:dyDescent="0.25">
      <c r="A2587" t="s">
        <v>59</v>
      </c>
      <c r="B2587" t="s">
        <v>60</v>
      </c>
      <c r="C2587" t="s">
        <v>32</v>
      </c>
      <c r="D2587" t="s">
        <v>227</v>
      </c>
      <c r="F2587" t="s">
        <v>35</v>
      </c>
      <c r="G2587" t="s">
        <v>35</v>
      </c>
      <c r="H2587" t="s">
        <v>35</v>
      </c>
      <c r="J2587" t="s">
        <v>3045</v>
      </c>
      <c r="K2587" t="s">
        <v>1092</v>
      </c>
      <c r="M2587">
        <v>3</v>
      </c>
      <c r="N2587">
        <v>1356</v>
      </c>
      <c r="O2587" t="s">
        <v>575</v>
      </c>
      <c r="Q2587" t="s">
        <v>3047</v>
      </c>
      <c r="R2587" t="s">
        <v>2474</v>
      </c>
      <c r="S2587" t="s">
        <v>2475</v>
      </c>
    </row>
    <row r="2588" spans="1:19" x14ac:dyDescent="0.25">
      <c r="A2588" t="s">
        <v>59</v>
      </c>
      <c r="B2588" t="s">
        <v>60</v>
      </c>
      <c r="C2588" t="s">
        <v>32</v>
      </c>
      <c r="D2588" t="s">
        <v>227</v>
      </c>
      <c r="F2588" t="s">
        <v>35</v>
      </c>
      <c r="G2588" t="s">
        <v>35</v>
      </c>
      <c r="H2588" t="s">
        <v>35</v>
      </c>
      <c r="J2588" t="s">
        <v>3045</v>
      </c>
      <c r="K2588" t="s">
        <v>1092</v>
      </c>
      <c r="M2588">
        <v>1</v>
      </c>
      <c r="N2588">
        <v>1400</v>
      </c>
      <c r="O2588" t="s">
        <v>575</v>
      </c>
      <c r="Q2588" t="s">
        <v>3046</v>
      </c>
      <c r="R2588" t="s">
        <v>2444</v>
      </c>
      <c r="S2588" t="s">
        <v>2445</v>
      </c>
    </row>
    <row r="2589" spans="1:19" x14ac:dyDescent="0.25">
      <c r="A2589" t="s">
        <v>30</v>
      </c>
      <c r="B2589" t="s">
        <v>31</v>
      </c>
      <c r="C2589" t="s">
        <v>32</v>
      </c>
      <c r="D2589" t="s">
        <v>227</v>
      </c>
      <c r="F2589" t="s">
        <v>35</v>
      </c>
      <c r="G2589" t="s">
        <v>35</v>
      </c>
      <c r="H2589" t="s">
        <v>35</v>
      </c>
      <c r="J2589" t="s">
        <v>2792</v>
      </c>
      <c r="K2589" t="s">
        <v>1092</v>
      </c>
      <c r="M2589">
        <v>0.45</v>
      </c>
      <c r="N2589">
        <v>2673</v>
      </c>
      <c r="O2589" t="s">
        <v>575</v>
      </c>
      <c r="Q2589" t="s">
        <v>1486</v>
      </c>
      <c r="R2589" t="s">
        <v>1487</v>
      </c>
      <c r="S2589" t="s">
        <v>1488</v>
      </c>
    </row>
    <row r="2590" spans="1:19" x14ac:dyDescent="0.25">
      <c r="A2590" t="s">
        <v>59</v>
      </c>
      <c r="B2590" t="s">
        <v>60</v>
      </c>
      <c r="C2590" t="s">
        <v>32</v>
      </c>
      <c r="D2590" t="s">
        <v>227</v>
      </c>
      <c r="F2590" t="s">
        <v>35</v>
      </c>
      <c r="G2590" t="s">
        <v>35</v>
      </c>
      <c r="H2590" t="s">
        <v>35</v>
      </c>
      <c r="J2590" t="s">
        <v>2792</v>
      </c>
      <c r="K2590" t="s">
        <v>1092</v>
      </c>
      <c r="M2590">
        <v>0.35</v>
      </c>
      <c r="N2590">
        <v>2673</v>
      </c>
      <c r="O2590" t="s">
        <v>575</v>
      </c>
      <c r="Q2590" t="s">
        <v>1486</v>
      </c>
      <c r="R2590" t="s">
        <v>1487</v>
      </c>
      <c r="S2590" t="s">
        <v>1488</v>
      </c>
    </row>
    <row r="2591" spans="1:19" x14ac:dyDescent="0.25">
      <c r="A2591" t="s">
        <v>59</v>
      </c>
      <c r="B2591" t="s">
        <v>60</v>
      </c>
      <c r="C2591" t="s">
        <v>32</v>
      </c>
      <c r="D2591" t="s">
        <v>227</v>
      </c>
      <c r="F2591" t="s">
        <v>35</v>
      </c>
      <c r="G2591" t="s">
        <v>35</v>
      </c>
      <c r="H2591" t="s">
        <v>35</v>
      </c>
      <c r="J2591" t="s">
        <v>3048</v>
      </c>
      <c r="K2591" t="s">
        <v>1092</v>
      </c>
      <c r="M2591">
        <v>0.45</v>
      </c>
      <c r="N2591">
        <v>1409</v>
      </c>
      <c r="O2591" t="s">
        <v>575</v>
      </c>
      <c r="Q2591" t="s">
        <v>3049</v>
      </c>
      <c r="R2591" t="s">
        <v>2406</v>
      </c>
      <c r="S2591" t="s">
        <v>266</v>
      </c>
    </row>
    <row r="2592" spans="1:19" x14ac:dyDescent="0.25">
      <c r="A2592" t="s">
        <v>59</v>
      </c>
      <c r="B2592" t="s">
        <v>60</v>
      </c>
      <c r="C2592" t="s">
        <v>32</v>
      </c>
      <c r="D2592" t="s">
        <v>227</v>
      </c>
      <c r="F2592" t="s">
        <v>35</v>
      </c>
      <c r="G2592" t="s">
        <v>35</v>
      </c>
      <c r="H2592" t="s">
        <v>35</v>
      </c>
      <c r="J2592" t="s">
        <v>3050</v>
      </c>
      <c r="K2592" t="s">
        <v>1092</v>
      </c>
      <c r="M2592">
        <v>1.9690000000000001</v>
      </c>
      <c r="N2592">
        <v>1905</v>
      </c>
      <c r="O2592" t="s">
        <v>575</v>
      </c>
      <c r="Q2592" t="s">
        <v>3051</v>
      </c>
      <c r="R2592" t="s">
        <v>2525</v>
      </c>
      <c r="S2592" t="s">
        <v>290</v>
      </c>
    </row>
    <row r="2593" spans="1:19" x14ac:dyDescent="0.25">
      <c r="A2593" t="s">
        <v>59</v>
      </c>
      <c r="B2593" t="s">
        <v>60</v>
      </c>
      <c r="C2593" t="s">
        <v>32</v>
      </c>
      <c r="D2593" t="s">
        <v>227</v>
      </c>
      <c r="F2593" t="s">
        <v>35</v>
      </c>
      <c r="G2593" t="s">
        <v>35</v>
      </c>
      <c r="H2593" t="s">
        <v>35</v>
      </c>
      <c r="J2593" t="s">
        <v>3052</v>
      </c>
      <c r="K2593" t="s">
        <v>1092</v>
      </c>
      <c r="M2593">
        <v>0.93</v>
      </c>
      <c r="N2593">
        <v>2325</v>
      </c>
      <c r="O2593" t="s">
        <v>575</v>
      </c>
      <c r="Q2593" t="s">
        <v>3054</v>
      </c>
      <c r="R2593" t="s">
        <v>2525</v>
      </c>
      <c r="S2593" t="s">
        <v>290</v>
      </c>
    </row>
    <row r="2594" spans="1:19" x14ac:dyDescent="0.25">
      <c r="A2594" t="s">
        <v>30</v>
      </c>
      <c r="B2594" t="s">
        <v>31</v>
      </c>
      <c r="C2594" t="s">
        <v>32</v>
      </c>
      <c r="D2594" t="s">
        <v>227</v>
      </c>
      <c r="F2594" t="s">
        <v>35</v>
      </c>
      <c r="G2594" t="s">
        <v>35</v>
      </c>
      <c r="H2594" t="s">
        <v>35</v>
      </c>
      <c r="J2594" t="s">
        <v>3052</v>
      </c>
      <c r="K2594" t="s">
        <v>1092</v>
      </c>
      <c r="M2594">
        <v>0.9</v>
      </c>
      <c r="N2594">
        <v>2465</v>
      </c>
      <c r="O2594" t="s">
        <v>575</v>
      </c>
      <c r="Q2594" t="s">
        <v>3053</v>
      </c>
      <c r="R2594" t="s">
        <v>2525</v>
      </c>
      <c r="S2594" t="s">
        <v>290</v>
      </c>
    </row>
    <row r="2595" spans="1:19" x14ac:dyDescent="0.25">
      <c r="A2595" t="s">
        <v>59</v>
      </c>
      <c r="B2595" t="s">
        <v>60</v>
      </c>
      <c r="C2595" t="s">
        <v>32</v>
      </c>
      <c r="D2595" t="s">
        <v>227</v>
      </c>
      <c r="F2595" t="s">
        <v>35</v>
      </c>
      <c r="G2595" t="s">
        <v>35</v>
      </c>
      <c r="H2595" t="s">
        <v>35</v>
      </c>
      <c r="J2595" t="s">
        <v>3055</v>
      </c>
      <c r="K2595" t="s">
        <v>1092</v>
      </c>
      <c r="M2595">
        <v>0.1</v>
      </c>
      <c r="N2595">
        <v>2673</v>
      </c>
      <c r="O2595" t="s">
        <v>575</v>
      </c>
      <c r="Q2595" t="s">
        <v>1486</v>
      </c>
      <c r="R2595" t="s">
        <v>1487</v>
      </c>
      <c r="S2595" t="s">
        <v>1488</v>
      </c>
    </row>
    <row r="2596" spans="1:19" x14ac:dyDescent="0.25">
      <c r="A2596" t="s">
        <v>59</v>
      </c>
      <c r="B2596" t="s">
        <v>60</v>
      </c>
      <c r="C2596" t="s">
        <v>32</v>
      </c>
      <c r="D2596" t="s">
        <v>227</v>
      </c>
      <c r="F2596" t="s">
        <v>35</v>
      </c>
      <c r="G2596" t="s">
        <v>35</v>
      </c>
      <c r="H2596" t="s">
        <v>35</v>
      </c>
      <c r="J2596" t="s">
        <v>3056</v>
      </c>
      <c r="K2596" t="s">
        <v>1092</v>
      </c>
      <c r="M2596">
        <v>4.3999999999999997E-2</v>
      </c>
      <c r="N2596">
        <v>2673</v>
      </c>
      <c r="O2596" t="s">
        <v>575</v>
      </c>
      <c r="Q2596" t="s">
        <v>1486</v>
      </c>
      <c r="R2596" t="s">
        <v>1487</v>
      </c>
      <c r="S2596" t="s">
        <v>1488</v>
      </c>
    </row>
    <row r="2597" spans="1:19" x14ac:dyDescent="0.25">
      <c r="A2597" t="s">
        <v>59</v>
      </c>
      <c r="B2597" t="s">
        <v>60</v>
      </c>
      <c r="C2597" t="s">
        <v>32</v>
      </c>
      <c r="D2597" t="s">
        <v>227</v>
      </c>
      <c r="F2597" t="s">
        <v>35</v>
      </c>
      <c r="G2597" t="s">
        <v>35</v>
      </c>
      <c r="H2597" t="s">
        <v>35</v>
      </c>
      <c r="J2597" t="s">
        <v>3057</v>
      </c>
      <c r="K2597" t="s">
        <v>1092</v>
      </c>
      <c r="M2597">
        <v>0.1</v>
      </c>
      <c r="N2597">
        <v>2673</v>
      </c>
      <c r="O2597" t="s">
        <v>575</v>
      </c>
      <c r="Q2597" t="s">
        <v>1486</v>
      </c>
      <c r="R2597" t="s">
        <v>1487</v>
      </c>
      <c r="S2597" t="s">
        <v>1488</v>
      </c>
    </row>
    <row r="2598" spans="1:19" x14ac:dyDescent="0.25">
      <c r="A2598" t="s">
        <v>59</v>
      </c>
      <c r="B2598" t="s">
        <v>60</v>
      </c>
      <c r="C2598" t="s">
        <v>32</v>
      </c>
      <c r="D2598" t="s">
        <v>227</v>
      </c>
      <c r="F2598" t="s">
        <v>35</v>
      </c>
      <c r="G2598" t="s">
        <v>35</v>
      </c>
      <c r="H2598" t="s">
        <v>35</v>
      </c>
      <c r="J2598" t="s">
        <v>3058</v>
      </c>
      <c r="K2598" t="s">
        <v>1092</v>
      </c>
      <c r="M2598">
        <v>0.17499999999999999</v>
      </c>
      <c r="N2598">
        <v>1587</v>
      </c>
      <c r="O2598" t="s">
        <v>575</v>
      </c>
      <c r="Q2598" t="s">
        <v>3059</v>
      </c>
      <c r="R2598" t="s">
        <v>2394</v>
      </c>
      <c r="S2598" t="s">
        <v>271</v>
      </c>
    </row>
    <row r="2599" spans="1:19" x14ac:dyDescent="0.25">
      <c r="A2599" t="s">
        <v>30</v>
      </c>
      <c r="B2599" t="s">
        <v>31</v>
      </c>
      <c r="C2599" t="s">
        <v>32</v>
      </c>
      <c r="D2599" t="s">
        <v>227</v>
      </c>
      <c r="F2599" t="s">
        <v>35</v>
      </c>
      <c r="G2599" t="s">
        <v>35</v>
      </c>
      <c r="H2599" t="s">
        <v>35</v>
      </c>
      <c r="J2599" t="s">
        <v>3060</v>
      </c>
      <c r="K2599" t="s">
        <v>1092</v>
      </c>
      <c r="M2599">
        <v>0.45</v>
      </c>
      <c r="N2599">
        <v>2300</v>
      </c>
      <c r="O2599" t="s">
        <v>575</v>
      </c>
      <c r="Q2599" t="s">
        <v>3061</v>
      </c>
      <c r="R2599" t="s">
        <v>3062</v>
      </c>
      <c r="S2599" t="s">
        <v>3063</v>
      </c>
    </row>
    <row r="2600" spans="1:19" x14ac:dyDescent="0.25">
      <c r="A2600" t="s">
        <v>59</v>
      </c>
      <c r="B2600" t="s">
        <v>31</v>
      </c>
      <c r="C2600" t="s">
        <v>32</v>
      </c>
      <c r="D2600" t="s">
        <v>227</v>
      </c>
      <c r="F2600" t="s">
        <v>35</v>
      </c>
      <c r="G2600" t="s">
        <v>35</v>
      </c>
      <c r="H2600" t="s">
        <v>35</v>
      </c>
      <c r="J2600" t="s">
        <v>3065</v>
      </c>
      <c r="K2600" t="s">
        <v>1092</v>
      </c>
      <c r="M2600">
        <v>0.06</v>
      </c>
      <c r="N2600">
        <v>1615</v>
      </c>
      <c r="O2600" t="s">
        <v>575</v>
      </c>
      <c r="Q2600" t="s">
        <v>2674</v>
      </c>
      <c r="R2600" t="s">
        <v>2391</v>
      </c>
      <c r="S2600" t="s">
        <v>236</v>
      </c>
    </row>
    <row r="2601" spans="1:19" x14ac:dyDescent="0.25">
      <c r="A2601" t="s">
        <v>30</v>
      </c>
      <c r="B2601" t="s">
        <v>31</v>
      </c>
      <c r="C2601" t="s">
        <v>32</v>
      </c>
      <c r="D2601" t="s">
        <v>227</v>
      </c>
      <c r="F2601" t="s">
        <v>35</v>
      </c>
      <c r="G2601" t="s">
        <v>35</v>
      </c>
      <c r="H2601" t="s">
        <v>35</v>
      </c>
      <c r="J2601" t="s">
        <v>3066</v>
      </c>
      <c r="K2601" t="s">
        <v>1092</v>
      </c>
      <c r="M2601">
        <v>0.67500000000000004</v>
      </c>
      <c r="N2601">
        <v>1533</v>
      </c>
      <c r="O2601" t="s">
        <v>575</v>
      </c>
      <c r="Q2601" t="s">
        <v>3067</v>
      </c>
      <c r="R2601" t="s">
        <v>250</v>
      </c>
      <c r="S2601" t="s">
        <v>242</v>
      </c>
    </row>
    <row r="2602" spans="1:19" x14ac:dyDescent="0.25">
      <c r="A2602" t="s">
        <v>30</v>
      </c>
      <c r="B2602" t="s">
        <v>31</v>
      </c>
      <c r="C2602" t="s">
        <v>32</v>
      </c>
      <c r="D2602" t="s">
        <v>227</v>
      </c>
      <c r="F2602" t="s">
        <v>35</v>
      </c>
      <c r="G2602" t="s">
        <v>35</v>
      </c>
      <c r="H2602" t="s">
        <v>35</v>
      </c>
      <c r="J2602" t="s">
        <v>3066</v>
      </c>
      <c r="K2602" t="s">
        <v>1092</v>
      </c>
      <c r="M2602">
        <v>4.4999999999999998E-2</v>
      </c>
      <c r="N2602">
        <v>2256</v>
      </c>
      <c r="O2602" t="s">
        <v>575</v>
      </c>
      <c r="Q2602" t="s">
        <v>2374</v>
      </c>
      <c r="R2602" t="s">
        <v>250</v>
      </c>
      <c r="S2602" t="s">
        <v>242</v>
      </c>
    </row>
    <row r="2603" spans="1:19" x14ac:dyDescent="0.25">
      <c r="A2603" t="s">
        <v>59</v>
      </c>
      <c r="B2603" t="s">
        <v>31</v>
      </c>
      <c r="C2603" t="s">
        <v>32</v>
      </c>
      <c r="D2603" t="s">
        <v>227</v>
      </c>
      <c r="F2603" t="s">
        <v>35</v>
      </c>
      <c r="G2603" t="s">
        <v>35</v>
      </c>
      <c r="H2603" t="s">
        <v>35</v>
      </c>
      <c r="J2603" t="s">
        <v>3068</v>
      </c>
      <c r="K2603" t="s">
        <v>1092</v>
      </c>
      <c r="M2603">
        <v>6.39</v>
      </c>
      <c r="N2603">
        <v>1141</v>
      </c>
      <c r="O2603" t="s">
        <v>575</v>
      </c>
      <c r="Q2603" t="s">
        <v>3069</v>
      </c>
      <c r="R2603" t="s">
        <v>2474</v>
      </c>
      <c r="S2603" t="s">
        <v>2475</v>
      </c>
    </row>
    <row r="2604" spans="1:19" x14ac:dyDescent="0.25">
      <c r="A2604" t="s">
        <v>59</v>
      </c>
      <c r="B2604" t="s">
        <v>60</v>
      </c>
      <c r="C2604" t="s">
        <v>32</v>
      </c>
      <c r="D2604" t="s">
        <v>227</v>
      </c>
      <c r="F2604" t="s">
        <v>35</v>
      </c>
      <c r="G2604" t="s">
        <v>35</v>
      </c>
      <c r="H2604" t="s">
        <v>35</v>
      </c>
      <c r="J2604" t="s">
        <v>3070</v>
      </c>
      <c r="K2604" t="s">
        <v>1092</v>
      </c>
      <c r="M2604">
        <v>3.4000000000000002E-2</v>
      </c>
      <c r="N2604">
        <v>2673</v>
      </c>
      <c r="O2604" t="s">
        <v>575</v>
      </c>
      <c r="Q2604" t="s">
        <v>1486</v>
      </c>
      <c r="R2604" t="s">
        <v>1487</v>
      </c>
      <c r="S2604" t="s">
        <v>1488</v>
      </c>
    </row>
    <row r="2605" spans="1:19" x14ac:dyDescent="0.25">
      <c r="A2605" t="s">
        <v>30</v>
      </c>
      <c r="B2605" t="s">
        <v>31</v>
      </c>
      <c r="C2605" t="s">
        <v>32</v>
      </c>
      <c r="D2605" t="s">
        <v>227</v>
      </c>
      <c r="F2605" t="s">
        <v>35</v>
      </c>
      <c r="G2605" t="s">
        <v>35</v>
      </c>
      <c r="H2605" t="s">
        <v>35</v>
      </c>
      <c r="J2605" t="s">
        <v>3071</v>
      </c>
      <c r="K2605" t="s">
        <v>1092</v>
      </c>
      <c r="M2605">
        <v>4.5</v>
      </c>
      <c r="N2605">
        <v>1535</v>
      </c>
      <c r="O2605" t="s">
        <v>575</v>
      </c>
      <c r="Q2605" t="s">
        <v>3072</v>
      </c>
      <c r="R2605" t="s">
        <v>256</v>
      </c>
      <c r="S2605" t="s">
        <v>257</v>
      </c>
    </row>
    <row r="2606" spans="1:19" x14ac:dyDescent="0.25">
      <c r="A2606" t="s">
        <v>30</v>
      </c>
      <c r="B2606" t="s">
        <v>31</v>
      </c>
      <c r="C2606" t="s">
        <v>32</v>
      </c>
      <c r="D2606" t="s">
        <v>227</v>
      </c>
      <c r="F2606" t="s">
        <v>35</v>
      </c>
      <c r="G2606" t="s">
        <v>35</v>
      </c>
      <c r="H2606" t="s">
        <v>35</v>
      </c>
      <c r="J2606" t="s">
        <v>3073</v>
      </c>
      <c r="K2606" t="s">
        <v>1092</v>
      </c>
      <c r="M2606">
        <v>0.02</v>
      </c>
      <c r="N2606">
        <v>1497</v>
      </c>
      <c r="O2606" t="s">
        <v>575</v>
      </c>
      <c r="Q2606" t="s">
        <v>3074</v>
      </c>
      <c r="R2606" t="s">
        <v>2474</v>
      </c>
      <c r="S2606" t="s">
        <v>2475</v>
      </c>
    </row>
    <row r="2607" spans="1:19" x14ac:dyDescent="0.25">
      <c r="A2607" t="s">
        <v>30</v>
      </c>
      <c r="B2607" t="s">
        <v>31</v>
      </c>
      <c r="C2607" t="s">
        <v>32</v>
      </c>
      <c r="D2607" t="s">
        <v>227</v>
      </c>
      <c r="F2607" t="s">
        <v>35</v>
      </c>
      <c r="G2607" t="s">
        <v>35</v>
      </c>
      <c r="H2607" t="s">
        <v>35</v>
      </c>
      <c r="J2607" t="s">
        <v>3075</v>
      </c>
      <c r="K2607" t="s">
        <v>1092</v>
      </c>
      <c r="M2607">
        <v>4.4999999999999998E-2</v>
      </c>
      <c r="N2607">
        <v>1584</v>
      </c>
      <c r="O2607" t="s">
        <v>575</v>
      </c>
      <c r="Q2607" t="s">
        <v>1453</v>
      </c>
      <c r="R2607" t="s">
        <v>2459</v>
      </c>
      <c r="S2607" t="s">
        <v>229</v>
      </c>
    </row>
    <row r="2608" spans="1:19" x14ac:dyDescent="0.25">
      <c r="A2608" t="s">
        <v>59</v>
      </c>
      <c r="B2608" t="s">
        <v>60</v>
      </c>
      <c r="C2608" t="s">
        <v>32</v>
      </c>
      <c r="D2608" t="s">
        <v>227</v>
      </c>
      <c r="F2608" t="s">
        <v>35</v>
      </c>
      <c r="G2608" t="s">
        <v>35</v>
      </c>
      <c r="H2608" t="s">
        <v>35</v>
      </c>
      <c r="J2608" t="s">
        <v>3076</v>
      </c>
      <c r="K2608" t="s">
        <v>1092</v>
      </c>
      <c r="M2608">
        <v>1.2E-2</v>
      </c>
      <c r="N2608">
        <v>2673</v>
      </c>
      <c r="O2608" t="s">
        <v>575</v>
      </c>
      <c r="Q2608" t="s">
        <v>1486</v>
      </c>
      <c r="R2608" t="s">
        <v>1487</v>
      </c>
      <c r="S2608" t="s">
        <v>1488</v>
      </c>
    </row>
    <row r="2609" spans="1:19" x14ac:dyDescent="0.25">
      <c r="A2609" t="s">
        <v>59</v>
      </c>
      <c r="B2609" t="s">
        <v>60</v>
      </c>
      <c r="C2609" t="s">
        <v>32</v>
      </c>
      <c r="D2609" t="s">
        <v>227</v>
      </c>
      <c r="F2609" t="s">
        <v>35</v>
      </c>
      <c r="G2609" t="s">
        <v>35</v>
      </c>
      <c r="H2609" t="s">
        <v>35</v>
      </c>
      <c r="J2609" t="s">
        <v>3077</v>
      </c>
      <c r="K2609" t="s">
        <v>1092</v>
      </c>
      <c r="M2609">
        <v>0.85</v>
      </c>
      <c r="N2609">
        <v>2030</v>
      </c>
      <c r="O2609" t="s">
        <v>575</v>
      </c>
      <c r="Q2609" t="s">
        <v>3078</v>
      </c>
      <c r="R2609" t="s">
        <v>256</v>
      </c>
      <c r="S2609" t="s">
        <v>257</v>
      </c>
    </row>
    <row r="2610" spans="1:19" x14ac:dyDescent="0.25">
      <c r="A2610" t="s">
        <v>59</v>
      </c>
      <c r="B2610" t="s">
        <v>60</v>
      </c>
      <c r="C2610" t="s">
        <v>32</v>
      </c>
      <c r="D2610" t="s">
        <v>227</v>
      </c>
      <c r="F2610" t="s">
        <v>35</v>
      </c>
      <c r="G2610" t="s">
        <v>35</v>
      </c>
      <c r="H2610" t="s">
        <v>35</v>
      </c>
      <c r="J2610" t="s">
        <v>3079</v>
      </c>
      <c r="K2610" t="s">
        <v>1092</v>
      </c>
      <c r="M2610">
        <v>0.1</v>
      </c>
      <c r="N2610">
        <v>2673</v>
      </c>
      <c r="O2610" t="s">
        <v>575</v>
      </c>
      <c r="Q2610" t="s">
        <v>1486</v>
      </c>
      <c r="R2610" t="s">
        <v>1487</v>
      </c>
      <c r="S2610" t="s">
        <v>1488</v>
      </c>
    </row>
    <row r="2611" spans="1:19" x14ac:dyDescent="0.25">
      <c r="A2611" t="s">
        <v>59</v>
      </c>
      <c r="B2611" t="s">
        <v>60</v>
      </c>
      <c r="C2611" t="s">
        <v>32</v>
      </c>
      <c r="D2611" t="s">
        <v>227</v>
      </c>
      <c r="F2611" t="s">
        <v>35</v>
      </c>
      <c r="G2611" t="s">
        <v>35</v>
      </c>
      <c r="H2611" t="s">
        <v>35</v>
      </c>
      <c r="J2611" t="s">
        <v>3080</v>
      </c>
      <c r="K2611" t="s">
        <v>1092</v>
      </c>
      <c r="M2611">
        <v>0.3</v>
      </c>
      <c r="N2611">
        <v>2609</v>
      </c>
      <c r="O2611" t="s">
        <v>575</v>
      </c>
      <c r="Q2611" t="s">
        <v>3081</v>
      </c>
      <c r="R2611" t="s">
        <v>2387</v>
      </c>
      <c r="S2611" t="s">
        <v>277</v>
      </c>
    </row>
    <row r="2612" spans="1:19" x14ac:dyDescent="0.25">
      <c r="A2612" t="s">
        <v>59</v>
      </c>
      <c r="B2612" t="s">
        <v>60</v>
      </c>
      <c r="C2612" t="s">
        <v>32</v>
      </c>
      <c r="D2612" t="s">
        <v>227</v>
      </c>
      <c r="F2612" t="s">
        <v>35</v>
      </c>
      <c r="G2612" t="s">
        <v>35</v>
      </c>
      <c r="H2612" t="s">
        <v>35</v>
      </c>
      <c r="J2612" t="s">
        <v>3082</v>
      </c>
      <c r="K2612" t="s">
        <v>1092</v>
      </c>
      <c r="M2612">
        <v>2.1000000000000001E-2</v>
      </c>
      <c r="N2612">
        <v>1656</v>
      </c>
      <c r="O2612" t="s">
        <v>575</v>
      </c>
      <c r="Q2612" t="s">
        <v>3083</v>
      </c>
      <c r="R2612" t="s">
        <v>2956</v>
      </c>
      <c r="S2612" t="s">
        <v>2953</v>
      </c>
    </row>
    <row r="2613" spans="1:19" x14ac:dyDescent="0.25">
      <c r="A2613" t="s">
        <v>59</v>
      </c>
      <c r="B2613" t="s">
        <v>60</v>
      </c>
      <c r="C2613" t="s">
        <v>32</v>
      </c>
      <c r="D2613" t="s">
        <v>227</v>
      </c>
      <c r="F2613" t="s">
        <v>35</v>
      </c>
      <c r="G2613" t="s">
        <v>35</v>
      </c>
      <c r="H2613" t="s">
        <v>35</v>
      </c>
      <c r="J2613" t="s">
        <v>3084</v>
      </c>
      <c r="K2613" t="s">
        <v>1092</v>
      </c>
      <c r="M2613">
        <v>0.67500000000000004</v>
      </c>
      <c r="N2613">
        <v>1957</v>
      </c>
      <c r="O2613" t="s">
        <v>575</v>
      </c>
      <c r="Q2613" t="s">
        <v>3085</v>
      </c>
      <c r="R2613" t="s">
        <v>2701</v>
      </c>
      <c r="S2613" t="s">
        <v>2702</v>
      </c>
    </row>
    <row r="2614" spans="1:19" x14ac:dyDescent="0.25">
      <c r="A2614" t="s">
        <v>59</v>
      </c>
      <c r="B2614" t="s">
        <v>31</v>
      </c>
      <c r="C2614" t="s">
        <v>32</v>
      </c>
      <c r="D2614" t="s">
        <v>227</v>
      </c>
      <c r="F2614" t="s">
        <v>35</v>
      </c>
      <c r="G2614" t="s">
        <v>35</v>
      </c>
      <c r="H2614" t="s">
        <v>35</v>
      </c>
      <c r="J2614" t="s">
        <v>3086</v>
      </c>
      <c r="K2614" t="s">
        <v>1092</v>
      </c>
      <c r="M2614">
        <v>3.2650000000000001</v>
      </c>
      <c r="N2614">
        <v>2642</v>
      </c>
      <c r="O2614" t="s">
        <v>575</v>
      </c>
      <c r="Q2614" t="s">
        <v>3087</v>
      </c>
      <c r="R2614" t="s">
        <v>3088</v>
      </c>
      <c r="S2614" t="s">
        <v>3089</v>
      </c>
    </row>
    <row r="2615" spans="1:19" x14ac:dyDescent="0.25">
      <c r="A2615" t="s">
        <v>59</v>
      </c>
      <c r="B2615" t="s">
        <v>31</v>
      </c>
      <c r="C2615" t="s">
        <v>32</v>
      </c>
      <c r="D2615" t="s">
        <v>227</v>
      </c>
      <c r="F2615" t="s">
        <v>35</v>
      </c>
      <c r="G2615" t="s">
        <v>35</v>
      </c>
      <c r="H2615" t="s">
        <v>35</v>
      </c>
      <c r="J2615" t="s">
        <v>3091</v>
      </c>
      <c r="K2615" t="s">
        <v>1092</v>
      </c>
      <c r="M2615">
        <v>0.45</v>
      </c>
      <c r="N2615">
        <v>1948</v>
      </c>
      <c r="O2615" t="s">
        <v>575</v>
      </c>
      <c r="Q2615" t="s">
        <v>2105</v>
      </c>
      <c r="R2615" t="s">
        <v>2394</v>
      </c>
      <c r="S2615" t="s">
        <v>271</v>
      </c>
    </row>
    <row r="2616" spans="1:19" x14ac:dyDescent="0.25">
      <c r="A2616" t="s">
        <v>59</v>
      </c>
      <c r="B2616" t="s">
        <v>31</v>
      </c>
      <c r="C2616" t="s">
        <v>32</v>
      </c>
      <c r="D2616" t="s">
        <v>227</v>
      </c>
      <c r="F2616" t="s">
        <v>35</v>
      </c>
      <c r="G2616" t="s">
        <v>35</v>
      </c>
      <c r="H2616" t="s">
        <v>35</v>
      </c>
      <c r="J2616" t="s">
        <v>3091</v>
      </c>
      <c r="K2616" t="s">
        <v>1092</v>
      </c>
      <c r="M2616">
        <v>0.45</v>
      </c>
      <c r="N2616">
        <v>2341</v>
      </c>
      <c r="O2616" t="s">
        <v>575</v>
      </c>
      <c r="Q2616" t="s">
        <v>3092</v>
      </c>
      <c r="R2616" t="s">
        <v>2394</v>
      </c>
      <c r="S2616" t="s">
        <v>271</v>
      </c>
    </row>
    <row r="2617" spans="1:19" x14ac:dyDescent="0.25">
      <c r="A2617" t="s">
        <v>59</v>
      </c>
      <c r="B2617" t="s">
        <v>31</v>
      </c>
      <c r="C2617" t="s">
        <v>32</v>
      </c>
      <c r="D2617" t="s">
        <v>227</v>
      </c>
      <c r="F2617" t="s">
        <v>35</v>
      </c>
      <c r="G2617" t="s">
        <v>35</v>
      </c>
      <c r="H2617" t="s">
        <v>35</v>
      </c>
      <c r="J2617" t="s">
        <v>3091</v>
      </c>
      <c r="K2617" t="s">
        <v>1092</v>
      </c>
      <c r="M2617">
        <v>0.9</v>
      </c>
      <c r="N2617">
        <v>2297</v>
      </c>
      <c r="O2617" t="s">
        <v>575</v>
      </c>
      <c r="Q2617" t="s">
        <v>3093</v>
      </c>
      <c r="R2617" t="s">
        <v>2394</v>
      </c>
      <c r="S2617" t="s">
        <v>271</v>
      </c>
    </row>
    <row r="2618" spans="1:19" x14ac:dyDescent="0.25">
      <c r="A2618" t="s">
        <v>59</v>
      </c>
      <c r="B2618" t="s">
        <v>31</v>
      </c>
      <c r="C2618" t="s">
        <v>32</v>
      </c>
      <c r="D2618" t="s">
        <v>227</v>
      </c>
      <c r="F2618" t="s">
        <v>35</v>
      </c>
      <c r="G2618" t="s">
        <v>35</v>
      </c>
      <c r="H2618" t="s">
        <v>35</v>
      </c>
      <c r="J2618" t="s">
        <v>3091</v>
      </c>
      <c r="K2618" t="s">
        <v>1092</v>
      </c>
      <c r="M2618">
        <v>0.18</v>
      </c>
      <c r="N2618">
        <v>2089</v>
      </c>
      <c r="O2618" t="s">
        <v>575</v>
      </c>
      <c r="Q2618" t="s">
        <v>2945</v>
      </c>
      <c r="R2618" t="s">
        <v>2394</v>
      </c>
      <c r="S2618" t="s">
        <v>271</v>
      </c>
    </row>
    <row r="2619" spans="1:19" x14ac:dyDescent="0.25">
      <c r="A2619" t="s">
        <v>30</v>
      </c>
      <c r="B2619" t="s">
        <v>31</v>
      </c>
      <c r="C2619" t="s">
        <v>32</v>
      </c>
      <c r="D2619" t="s">
        <v>227</v>
      </c>
      <c r="F2619" t="s">
        <v>35</v>
      </c>
      <c r="G2619" t="s">
        <v>35</v>
      </c>
      <c r="H2619" t="s">
        <v>35</v>
      </c>
      <c r="J2619" t="s">
        <v>3091</v>
      </c>
      <c r="K2619" t="s">
        <v>1092</v>
      </c>
      <c r="M2619">
        <v>0.495</v>
      </c>
      <c r="N2619">
        <v>2089</v>
      </c>
      <c r="O2619" t="s">
        <v>575</v>
      </c>
      <c r="Q2619" t="s">
        <v>2945</v>
      </c>
      <c r="R2619" t="s">
        <v>2394</v>
      </c>
      <c r="S2619" t="s">
        <v>271</v>
      </c>
    </row>
    <row r="2620" spans="1:19" x14ac:dyDescent="0.25">
      <c r="A2620" t="s">
        <v>30</v>
      </c>
      <c r="B2620" t="s">
        <v>31</v>
      </c>
      <c r="C2620" t="s">
        <v>32</v>
      </c>
      <c r="D2620" t="s">
        <v>227</v>
      </c>
      <c r="F2620" t="s">
        <v>35</v>
      </c>
      <c r="G2620" t="s">
        <v>35</v>
      </c>
      <c r="H2620" t="s">
        <v>35</v>
      </c>
      <c r="J2620" t="s">
        <v>3091</v>
      </c>
      <c r="K2620" t="s">
        <v>1092</v>
      </c>
      <c r="M2620">
        <v>0.67500000000000004</v>
      </c>
      <c r="N2620">
        <v>2277</v>
      </c>
      <c r="O2620" t="s">
        <v>575</v>
      </c>
      <c r="Q2620" t="s">
        <v>2320</v>
      </c>
      <c r="R2620" t="s">
        <v>2394</v>
      </c>
      <c r="S2620" t="s">
        <v>271</v>
      </c>
    </row>
    <row r="2621" spans="1:19" x14ac:dyDescent="0.25">
      <c r="A2621" t="s">
        <v>59</v>
      </c>
      <c r="B2621" t="s">
        <v>31</v>
      </c>
      <c r="C2621" t="s">
        <v>32</v>
      </c>
      <c r="D2621" t="s">
        <v>227</v>
      </c>
      <c r="F2621" t="s">
        <v>35</v>
      </c>
      <c r="G2621" t="s">
        <v>35</v>
      </c>
      <c r="H2621" t="s">
        <v>35</v>
      </c>
      <c r="J2621" t="s">
        <v>1491</v>
      </c>
      <c r="K2621" t="s">
        <v>1092</v>
      </c>
      <c r="M2621">
        <v>1.64</v>
      </c>
      <c r="N2621">
        <v>2641</v>
      </c>
      <c r="O2621" t="s">
        <v>575</v>
      </c>
      <c r="Q2621" t="s">
        <v>3094</v>
      </c>
      <c r="R2621" t="s">
        <v>2387</v>
      </c>
      <c r="S2621" t="s">
        <v>277</v>
      </c>
    </row>
    <row r="2622" spans="1:19" x14ac:dyDescent="0.25">
      <c r="A2622" t="s">
        <v>59</v>
      </c>
      <c r="B2622" t="s">
        <v>31</v>
      </c>
      <c r="C2622" t="s">
        <v>32</v>
      </c>
      <c r="D2622" t="s">
        <v>227</v>
      </c>
      <c r="F2622" t="s">
        <v>35</v>
      </c>
      <c r="G2622" t="s">
        <v>35</v>
      </c>
      <c r="H2622" t="s">
        <v>35</v>
      </c>
      <c r="J2622" t="s">
        <v>3095</v>
      </c>
      <c r="K2622" t="s">
        <v>1092</v>
      </c>
      <c r="M2622">
        <v>0.02</v>
      </c>
      <c r="N2622">
        <v>1193</v>
      </c>
      <c r="O2622" t="s">
        <v>575</v>
      </c>
      <c r="Q2622" t="s">
        <v>3096</v>
      </c>
      <c r="R2622" t="s">
        <v>2696</v>
      </c>
      <c r="S2622" t="s">
        <v>284</v>
      </c>
    </row>
    <row r="2623" spans="1:19" x14ac:dyDescent="0.25">
      <c r="A2623" t="s">
        <v>59</v>
      </c>
      <c r="B2623" t="s">
        <v>31</v>
      </c>
      <c r="C2623" t="s">
        <v>32</v>
      </c>
      <c r="D2623" t="s">
        <v>227</v>
      </c>
      <c r="F2623" t="s">
        <v>35</v>
      </c>
      <c r="G2623" t="s">
        <v>35</v>
      </c>
      <c r="H2623" t="s">
        <v>35</v>
      </c>
      <c r="J2623" t="s">
        <v>3097</v>
      </c>
      <c r="K2623" t="s">
        <v>1092</v>
      </c>
      <c r="M2623">
        <v>0.13</v>
      </c>
      <c r="N2623">
        <v>2353</v>
      </c>
      <c r="O2623" t="s">
        <v>575</v>
      </c>
      <c r="Q2623" t="s">
        <v>3098</v>
      </c>
      <c r="R2623" t="s">
        <v>3099</v>
      </c>
      <c r="S2623" t="s">
        <v>3100</v>
      </c>
    </row>
    <row r="2624" spans="1:19" x14ac:dyDescent="0.25">
      <c r="A2624" t="s">
        <v>59</v>
      </c>
      <c r="B2624" t="s">
        <v>60</v>
      </c>
      <c r="C2624" t="s">
        <v>32</v>
      </c>
      <c r="D2624" t="s">
        <v>227</v>
      </c>
      <c r="F2624" t="s">
        <v>35</v>
      </c>
      <c r="G2624" t="s">
        <v>35</v>
      </c>
      <c r="H2624" t="s">
        <v>35</v>
      </c>
      <c r="J2624" t="s">
        <v>3097</v>
      </c>
      <c r="K2624" t="s">
        <v>1092</v>
      </c>
      <c r="M2624">
        <v>3.5000000000000003E-2</v>
      </c>
      <c r="N2624">
        <v>2353</v>
      </c>
      <c r="O2624" t="s">
        <v>575</v>
      </c>
      <c r="Q2624" t="s">
        <v>3098</v>
      </c>
      <c r="R2624" t="s">
        <v>3099</v>
      </c>
      <c r="S2624" t="s">
        <v>3100</v>
      </c>
    </row>
    <row r="2625" spans="1:19" x14ac:dyDescent="0.25">
      <c r="A2625" t="s">
        <v>59</v>
      </c>
      <c r="B2625" t="s">
        <v>60</v>
      </c>
      <c r="C2625" t="s">
        <v>32</v>
      </c>
      <c r="D2625" t="s">
        <v>227</v>
      </c>
      <c r="F2625" t="s">
        <v>35</v>
      </c>
      <c r="G2625" t="s">
        <v>35</v>
      </c>
      <c r="H2625" t="s">
        <v>35</v>
      </c>
      <c r="J2625" t="s">
        <v>3102</v>
      </c>
      <c r="K2625" t="s">
        <v>1092</v>
      </c>
      <c r="M2625">
        <v>0.5</v>
      </c>
      <c r="N2625">
        <v>2343</v>
      </c>
      <c r="O2625" t="s">
        <v>575</v>
      </c>
      <c r="Q2625" t="s">
        <v>3103</v>
      </c>
      <c r="R2625" t="s">
        <v>2696</v>
      </c>
      <c r="S2625" t="s">
        <v>284</v>
      </c>
    </row>
    <row r="2626" spans="1:19" x14ac:dyDescent="0.25">
      <c r="A2626" t="s">
        <v>59</v>
      </c>
      <c r="B2626" t="s">
        <v>60</v>
      </c>
      <c r="C2626" t="s">
        <v>32</v>
      </c>
      <c r="D2626" t="s">
        <v>227</v>
      </c>
      <c r="F2626" t="s">
        <v>35</v>
      </c>
      <c r="G2626" t="s">
        <v>35</v>
      </c>
      <c r="H2626" t="s">
        <v>35</v>
      </c>
      <c r="J2626" t="s">
        <v>3104</v>
      </c>
      <c r="K2626" t="s">
        <v>1092</v>
      </c>
      <c r="M2626">
        <v>0.25</v>
      </c>
      <c r="N2626">
        <v>970</v>
      </c>
      <c r="O2626" t="s">
        <v>575</v>
      </c>
      <c r="Q2626" t="s">
        <v>3105</v>
      </c>
      <c r="R2626" t="s">
        <v>2394</v>
      </c>
      <c r="S2626" t="s">
        <v>271</v>
      </c>
    </row>
    <row r="2627" spans="1:19" x14ac:dyDescent="0.25">
      <c r="A2627" t="s">
        <v>59</v>
      </c>
      <c r="B2627" t="s">
        <v>31</v>
      </c>
      <c r="C2627" t="s">
        <v>32</v>
      </c>
      <c r="D2627" t="s">
        <v>227</v>
      </c>
      <c r="F2627" t="s">
        <v>35</v>
      </c>
      <c r="G2627" t="s">
        <v>35</v>
      </c>
      <c r="H2627" t="s">
        <v>35</v>
      </c>
      <c r="J2627" t="s">
        <v>3104</v>
      </c>
      <c r="K2627" t="s">
        <v>1092</v>
      </c>
      <c r="M2627">
        <v>0.67500000000000004</v>
      </c>
      <c r="N2627">
        <v>1830</v>
      </c>
      <c r="O2627" t="s">
        <v>575</v>
      </c>
      <c r="Q2627" t="s">
        <v>2451</v>
      </c>
      <c r="R2627" t="s">
        <v>2425</v>
      </c>
      <c r="S2627" t="s">
        <v>2426</v>
      </c>
    </row>
    <row r="2628" spans="1:19" x14ac:dyDescent="0.25">
      <c r="A2628" t="s">
        <v>30</v>
      </c>
      <c r="B2628" t="s">
        <v>31</v>
      </c>
      <c r="C2628" t="s">
        <v>32</v>
      </c>
      <c r="D2628" t="s">
        <v>227</v>
      </c>
      <c r="F2628" t="s">
        <v>35</v>
      </c>
      <c r="G2628" t="s">
        <v>35</v>
      </c>
      <c r="H2628" t="s">
        <v>35</v>
      </c>
      <c r="J2628" t="s">
        <v>3106</v>
      </c>
      <c r="K2628" t="s">
        <v>1092</v>
      </c>
      <c r="M2628">
        <v>10.53</v>
      </c>
      <c r="N2628">
        <v>40</v>
      </c>
      <c r="O2628" t="s">
        <v>52</v>
      </c>
      <c r="Q2628" t="s">
        <v>130</v>
      </c>
      <c r="R2628" t="s">
        <v>2391</v>
      </c>
      <c r="S2628" t="s">
        <v>236</v>
      </c>
    </row>
    <row r="2629" spans="1:19" x14ac:dyDescent="0.25">
      <c r="A2629" t="s">
        <v>44</v>
      </c>
      <c r="B2629" t="s">
        <v>3</v>
      </c>
      <c r="C2629" t="s">
        <v>32</v>
      </c>
      <c r="D2629" t="s">
        <v>227</v>
      </c>
      <c r="F2629" t="s">
        <v>35</v>
      </c>
      <c r="G2629" t="s">
        <v>35</v>
      </c>
      <c r="H2629" t="s">
        <v>35</v>
      </c>
      <c r="J2629" t="s">
        <v>3107</v>
      </c>
      <c r="K2629" t="s">
        <v>1092</v>
      </c>
      <c r="M2629">
        <v>2</v>
      </c>
      <c r="N2629">
        <v>59</v>
      </c>
      <c r="O2629" t="s">
        <v>52</v>
      </c>
      <c r="Q2629" t="s">
        <v>84</v>
      </c>
      <c r="R2629" t="s">
        <v>256</v>
      </c>
      <c r="S2629" t="s">
        <v>257</v>
      </c>
    </row>
    <row r="2630" spans="1:19" x14ac:dyDescent="0.25">
      <c r="A2630" t="s">
        <v>30</v>
      </c>
      <c r="B2630" t="s">
        <v>31</v>
      </c>
      <c r="C2630" t="s">
        <v>32</v>
      </c>
      <c r="D2630" t="s">
        <v>227</v>
      </c>
      <c r="F2630" t="s">
        <v>35</v>
      </c>
      <c r="G2630" t="s">
        <v>35</v>
      </c>
      <c r="H2630" t="s">
        <v>35</v>
      </c>
      <c r="J2630" t="s">
        <v>3108</v>
      </c>
      <c r="K2630" t="s">
        <v>1092</v>
      </c>
      <c r="M2630">
        <v>5.31</v>
      </c>
      <c r="N2630">
        <v>45</v>
      </c>
      <c r="O2630" t="s">
        <v>52</v>
      </c>
      <c r="Q2630" t="s">
        <v>716</v>
      </c>
      <c r="R2630" t="s">
        <v>256</v>
      </c>
      <c r="S2630" t="s">
        <v>257</v>
      </c>
    </row>
    <row r="2631" spans="1:19" x14ac:dyDescent="0.25">
      <c r="A2631" t="s">
        <v>44</v>
      </c>
      <c r="B2631" t="s">
        <v>3</v>
      </c>
      <c r="C2631" t="s">
        <v>32</v>
      </c>
      <c r="D2631" t="s">
        <v>227</v>
      </c>
      <c r="F2631" t="s">
        <v>35</v>
      </c>
      <c r="G2631" t="s">
        <v>35</v>
      </c>
      <c r="H2631" t="s">
        <v>35</v>
      </c>
      <c r="J2631" t="s">
        <v>3109</v>
      </c>
      <c r="K2631" t="s">
        <v>1092</v>
      </c>
      <c r="M2631">
        <v>0.1</v>
      </c>
      <c r="N2631">
        <v>44</v>
      </c>
      <c r="O2631" t="s">
        <v>52</v>
      </c>
      <c r="Q2631" t="s">
        <v>192</v>
      </c>
      <c r="R2631" t="s">
        <v>2394</v>
      </c>
      <c r="S2631" t="s">
        <v>271</v>
      </c>
    </row>
    <row r="2632" spans="1:19" x14ac:dyDescent="0.25">
      <c r="A2632" t="s">
        <v>44</v>
      </c>
      <c r="B2632" t="s">
        <v>3</v>
      </c>
      <c r="C2632" t="s">
        <v>32</v>
      </c>
      <c r="D2632" t="s">
        <v>227</v>
      </c>
      <c r="F2632" t="s">
        <v>35</v>
      </c>
      <c r="G2632" t="s">
        <v>35</v>
      </c>
      <c r="H2632" t="s">
        <v>35</v>
      </c>
      <c r="J2632" t="s">
        <v>3109</v>
      </c>
      <c r="K2632" t="s">
        <v>1092</v>
      </c>
      <c r="M2632">
        <v>0.15</v>
      </c>
      <c r="N2632">
        <v>58</v>
      </c>
      <c r="O2632" t="s">
        <v>52</v>
      </c>
      <c r="Q2632" t="s">
        <v>58</v>
      </c>
      <c r="R2632" t="s">
        <v>2394</v>
      </c>
      <c r="S2632" t="s">
        <v>271</v>
      </c>
    </row>
    <row r="2633" spans="1:19" x14ac:dyDescent="0.25">
      <c r="A2633" t="s">
        <v>59</v>
      </c>
      <c r="B2633" t="s">
        <v>31</v>
      </c>
      <c r="C2633" t="s">
        <v>32</v>
      </c>
      <c r="D2633" t="s">
        <v>227</v>
      </c>
      <c r="F2633" t="s">
        <v>35</v>
      </c>
      <c r="G2633" t="s">
        <v>35</v>
      </c>
      <c r="H2633" t="s">
        <v>35</v>
      </c>
      <c r="J2633" t="s">
        <v>3110</v>
      </c>
      <c r="K2633" t="s">
        <v>1092</v>
      </c>
      <c r="M2633">
        <v>0.99</v>
      </c>
      <c r="N2633">
        <v>59</v>
      </c>
      <c r="O2633" t="s">
        <v>52</v>
      </c>
      <c r="Q2633" t="s">
        <v>84</v>
      </c>
      <c r="R2633" t="s">
        <v>256</v>
      </c>
      <c r="S2633" t="s">
        <v>257</v>
      </c>
    </row>
    <row r="2634" spans="1:19" x14ac:dyDescent="0.25">
      <c r="A2634" t="s">
        <v>44</v>
      </c>
      <c r="B2634" t="s">
        <v>3</v>
      </c>
      <c r="C2634" t="s">
        <v>32</v>
      </c>
      <c r="D2634" t="s">
        <v>227</v>
      </c>
      <c r="F2634" t="s">
        <v>35</v>
      </c>
      <c r="G2634" t="s">
        <v>35</v>
      </c>
      <c r="H2634" t="s">
        <v>35</v>
      </c>
      <c r="J2634" t="s">
        <v>3111</v>
      </c>
      <c r="K2634" t="s">
        <v>1092</v>
      </c>
      <c r="M2634">
        <v>1</v>
      </c>
      <c r="N2634">
        <v>51</v>
      </c>
      <c r="O2634" t="s">
        <v>52</v>
      </c>
      <c r="Q2634" t="s">
        <v>54</v>
      </c>
      <c r="R2634" t="s">
        <v>2801</v>
      </c>
      <c r="S2634" t="s">
        <v>281</v>
      </c>
    </row>
    <row r="2635" spans="1:19" x14ac:dyDescent="0.25">
      <c r="A2635" t="s">
        <v>30</v>
      </c>
      <c r="B2635" t="s">
        <v>31</v>
      </c>
      <c r="C2635" t="s">
        <v>32</v>
      </c>
      <c r="D2635" t="s">
        <v>300</v>
      </c>
      <c r="E2635" t="s">
        <v>3112</v>
      </c>
      <c r="F2635" t="s">
        <v>35</v>
      </c>
      <c r="G2635" t="s">
        <v>35</v>
      </c>
      <c r="H2635" t="s">
        <v>35</v>
      </c>
      <c r="J2635" t="s">
        <v>3113</v>
      </c>
      <c r="K2635" t="s">
        <v>1092</v>
      </c>
      <c r="M2635">
        <v>2.2050000000000001</v>
      </c>
      <c r="N2635">
        <v>53</v>
      </c>
      <c r="O2635" t="s">
        <v>52</v>
      </c>
      <c r="Q2635" t="s">
        <v>332</v>
      </c>
      <c r="R2635" t="s">
        <v>3114</v>
      </c>
      <c r="S2635" t="s">
        <v>3115</v>
      </c>
    </row>
    <row r="2636" spans="1:19" x14ac:dyDescent="0.25">
      <c r="A2636" t="s">
        <v>59</v>
      </c>
      <c r="B2636" t="s">
        <v>60</v>
      </c>
      <c r="C2636" t="s">
        <v>32</v>
      </c>
      <c r="D2636" t="s">
        <v>300</v>
      </c>
      <c r="E2636" t="s">
        <v>3112</v>
      </c>
      <c r="F2636" t="s">
        <v>35</v>
      </c>
      <c r="G2636" t="s">
        <v>35</v>
      </c>
      <c r="H2636" t="s">
        <v>35</v>
      </c>
      <c r="J2636" t="s">
        <v>3117</v>
      </c>
      <c r="K2636" t="s">
        <v>1092</v>
      </c>
      <c r="M2636">
        <v>0.4</v>
      </c>
      <c r="N2636">
        <v>143</v>
      </c>
      <c r="O2636" t="s">
        <v>38</v>
      </c>
      <c r="Q2636" t="s">
        <v>2121</v>
      </c>
      <c r="R2636" t="s">
        <v>3118</v>
      </c>
      <c r="S2636" t="s">
        <v>302</v>
      </c>
    </row>
    <row r="2637" spans="1:19" x14ac:dyDescent="0.25">
      <c r="A2637" t="s">
        <v>59</v>
      </c>
      <c r="B2637" t="s">
        <v>60</v>
      </c>
      <c r="C2637" t="s">
        <v>32</v>
      </c>
      <c r="D2637" t="s">
        <v>300</v>
      </c>
      <c r="E2637" t="s">
        <v>3112</v>
      </c>
      <c r="F2637" t="s">
        <v>35</v>
      </c>
      <c r="G2637" t="s">
        <v>35</v>
      </c>
      <c r="H2637" t="s">
        <v>35</v>
      </c>
      <c r="J2637" t="s">
        <v>3119</v>
      </c>
      <c r="K2637" t="s">
        <v>1092</v>
      </c>
      <c r="M2637">
        <v>0.5</v>
      </c>
      <c r="N2637">
        <v>59</v>
      </c>
      <c r="O2637" t="s">
        <v>52</v>
      </c>
      <c r="Q2637" t="s">
        <v>84</v>
      </c>
      <c r="R2637" t="s">
        <v>3118</v>
      </c>
      <c r="S2637" t="s">
        <v>302</v>
      </c>
    </row>
    <row r="2638" spans="1:19" x14ac:dyDescent="0.25">
      <c r="A2638" t="s">
        <v>59</v>
      </c>
      <c r="B2638" t="s">
        <v>60</v>
      </c>
      <c r="C2638" t="s">
        <v>32</v>
      </c>
      <c r="D2638" t="s">
        <v>300</v>
      </c>
      <c r="E2638" t="s">
        <v>3112</v>
      </c>
      <c r="F2638" t="s">
        <v>35</v>
      </c>
      <c r="G2638" t="s">
        <v>35</v>
      </c>
      <c r="H2638" t="s">
        <v>35</v>
      </c>
      <c r="J2638" t="s">
        <v>8236</v>
      </c>
      <c r="K2638" t="s">
        <v>1092</v>
      </c>
      <c r="M2638">
        <v>0.25</v>
      </c>
      <c r="N2638">
        <v>16</v>
      </c>
      <c r="O2638" t="s">
        <v>46</v>
      </c>
      <c r="Q2638" t="s">
        <v>323</v>
      </c>
      <c r="R2638" t="s">
        <v>3161</v>
      </c>
      <c r="S2638" t="s">
        <v>319</v>
      </c>
    </row>
    <row r="2639" spans="1:19" x14ac:dyDescent="0.25">
      <c r="A2639" t="s">
        <v>59</v>
      </c>
      <c r="B2639" t="s">
        <v>60</v>
      </c>
      <c r="C2639" t="s">
        <v>32</v>
      </c>
      <c r="D2639" t="s">
        <v>300</v>
      </c>
      <c r="E2639" t="s">
        <v>3112</v>
      </c>
      <c r="F2639" t="s">
        <v>35</v>
      </c>
      <c r="G2639" t="s">
        <v>35</v>
      </c>
      <c r="H2639" t="s">
        <v>35</v>
      </c>
      <c r="J2639" t="s">
        <v>3120</v>
      </c>
      <c r="K2639" t="s">
        <v>1092</v>
      </c>
      <c r="M2639">
        <v>1.8</v>
      </c>
      <c r="N2639">
        <v>34</v>
      </c>
      <c r="O2639" t="s">
        <v>52</v>
      </c>
      <c r="Q2639" t="s">
        <v>809</v>
      </c>
      <c r="R2639" t="s">
        <v>329</v>
      </c>
      <c r="S2639" t="s">
        <v>312</v>
      </c>
    </row>
    <row r="2640" spans="1:19" x14ac:dyDescent="0.25">
      <c r="A2640" t="s">
        <v>59</v>
      </c>
      <c r="B2640" t="s">
        <v>60</v>
      </c>
      <c r="C2640" t="s">
        <v>32</v>
      </c>
      <c r="D2640" t="s">
        <v>300</v>
      </c>
      <c r="E2640" t="s">
        <v>3112</v>
      </c>
      <c r="F2640" t="s">
        <v>35</v>
      </c>
      <c r="G2640" t="s">
        <v>35</v>
      </c>
      <c r="H2640" t="s">
        <v>35</v>
      </c>
      <c r="J2640" t="s">
        <v>3121</v>
      </c>
      <c r="K2640" t="s">
        <v>1092</v>
      </c>
      <c r="M2640">
        <v>0.35</v>
      </c>
      <c r="N2640">
        <v>215</v>
      </c>
      <c r="O2640" t="s">
        <v>5</v>
      </c>
      <c r="Q2640" t="s">
        <v>3122</v>
      </c>
      <c r="R2640" t="s">
        <v>3118</v>
      </c>
      <c r="S2640" t="s">
        <v>302</v>
      </c>
    </row>
    <row r="2641" spans="1:19" x14ac:dyDescent="0.25">
      <c r="A2641" t="s">
        <v>59</v>
      </c>
      <c r="B2641" t="s">
        <v>60</v>
      </c>
      <c r="C2641" t="s">
        <v>32</v>
      </c>
      <c r="D2641" t="s">
        <v>300</v>
      </c>
      <c r="E2641" t="s">
        <v>3112</v>
      </c>
      <c r="F2641" t="s">
        <v>35</v>
      </c>
      <c r="G2641" t="s">
        <v>35</v>
      </c>
      <c r="H2641" t="s">
        <v>35</v>
      </c>
      <c r="J2641" t="s">
        <v>3123</v>
      </c>
      <c r="K2641" t="s">
        <v>1092</v>
      </c>
      <c r="M2641">
        <v>11</v>
      </c>
      <c r="N2641">
        <v>16</v>
      </c>
      <c r="O2641" t="s">
        <v>46</v>
      </c>
      <c r="Q2641" t="s">
        <v>323</v>
      </c>
      <c r="R2641" t="s">
        <v>333</v>
      </c>
      <c r="S2641" t="s">
        <v>334</v>
      </c>
    </row>
    <row r="2642" spans="1:19" x14ac:dyDescent="0.25">
      <c r="A2642" t="s">
        <v>30</v>
      </c>
      <c r="B2642" t="s">
        <v>31</v>
      </c>
      <c r="C2642" t="s">
        <v>32</v>
      </c>
      <c r="D2642" t="s">
        <v>300</v>
      </c>
      <c r="E2642" t="s">
        <v>3112</v>
      </c>
      <c r="F2642" t="s">
        <v>35</v>
      </c>
      <c r="G2642" t="s">
        <v>35</v>
      </c>
      <c r="H2642" t="s">
        <v>35</v>
      </c>
      <c r="J2642" t="s">
        <v>3124</v>
      </c>
      <c r="K2642" t="s">
        <v>1092</v>
      </c>
      <c r="M2642">
        <v>1.35</v>
      </c>
      <c r="N2642">
        <v>52</v>
      </c>
      <c r="O2642" t="s">
        <v>52</v>
      </c>
      <c r="Q2642" t="s">
        <v>1230</v>
      </c>
      <c r="R2642" t="s">
        <v>3125</v>
      </c>
      <c r="S2642" t="s">
        <v>3126</v>
      </c>
    </row>
    <row r="2643" spans="1:19" x14ac:dyDescent="0.25">
      <c r="A2643" t="s">
        <v>44</v>
      </c>
      <c r="B2643" t="s">
        <v>51</v>
      </c>
      <c r="C2643" t="s">
        <v>32</v>
      </c>
      <c r="D2643" t="s">
        <v>300</v>
      </c>
      <c r="E2643" t="s">
        <v>3112</v>
      </c>
      <c r="F2643" t="s">
        <v>35</v>
      </c>
      <c r="G2643" t="s">
        <v>35</v>
      </c>
      <c r="H2643" t="s">
        <v>35</v>
      </c>
      <c r="J2643" t="s">
        <v>3127</v>
      </c>
      <c r="K2643" t="s">
        <v>1092</v>
      </c>
      <c r="M2643">
        <v>0.35</v>
      </c>
      <c r="N2643">
        <v>884</v>
      </c>
      <c r="O2643" t="s">
        <v>575</v>
      </c>
      <c r="Q2643" t="s">
        <v>3128</v>
      </c>
      <c r="R2643" t="s">
        <v>3118</v>
      </c>
      <c r="S2643" t="s">
        <v>302</v>
      </c>
    </row>
    <row r="2644" spans="1:19" x14ac:dyDescent="0.25">
      <c r="A2644" t="s">
        <v>30</v>
      </c>
      <c r="B2644" t="s">
        <v>31</v>
      </c>
      <c r="C2644" t="s">
        <v>32</v>
      </c>
      <c r="D2644" t="s">
        <v>300</v>
      </c>
      <c r="E2644" t="s">
        <v>3129</v>
      </c>
      <c r="F2644" t="s">
        <v>35</v>
      </c>
      <c r="G2644" t="s">
        <v>35</v>
      </c>
      <c r="H2644" t="s">
        <v>35</v>
      </c>
      <c r="J2644" t="s">
        <v>3130</v>
      </c>
      <c r="K2644" t="s">
        <v>1092</v>
      </c>
      <c r="M2644">
        <v>2.9249999999999998</v>
      </c>
      <c r="N2644">
        <v>42</v>
      </c>
      <c r="O2644" t="s">
        <v>52</v>
      </c>
      <c r="Q2644" t="s">
        <v>991</v>
      </c>
      <c r="R2644" t="s">
        <v>3114</v>
      </c>
      <c r="S2644" t="s">
        <v>3115</v>
      </c>
    </row>
    <row r="2645" spans="1:19" x14ac:dyDescent="0.25">
      <c r="A2645" t="s">
        <v>59</v>
      </c>
      <c r="B2645" t="s">
        <v>31</v>
      </c>
      <c r="C2645" t="s">
        <v>32</v>
      </c>
      <c r="D2645" t="s">
        <v>300</v>
      </c>
      <c r="E2645" t="s">
        <v>3129</v>
      </c>
      <c r="F2645" t="s">
        <v>35</v>
      </c>
      <c r="G2645" t="s">
        <v>35</v>
      </c>
      <c r="H2645" t="s">
        <v>35</v>
      </c>
      <c r="J2645" t="s">
        <v>3131</v>
      </c>
      <c r="K2645" t="s">
        <v>3132</v>
      </c>
      <c r="M2645">
        <v>0.9</v>
      </c>
      <c r="N2645">
        <v>77</v>
      </c>
      <c r="O2645" t="s">
        <v>61</v>
      </c>
      <c r="Q2645" t="s">
        <v>305</v>
      </c>
      <c r="R2645" t="s">
        <v>3118</v>
      </c>
      <c r="S2645" t="s">
        <v>302</v>
      </c>
    </row>
    <row r="2646" spans="1:19" x14ac:dyDescent="0.25">
      <c r="A2646" t="s">
        <v>30</v>
      </c>
      <c r="B2646" t="s">
        <v>31</v>
      </c>
      <c r="C2646" t="s">
        <v>32</v>
      </c>
      <c r="D2646" t="s">
        <v>300</v>
      </c>
      <c r="E2646" t="s">
        <v>3129</v>
      </c>
      <c r="F2646" t="s">
        <v>35</v>
      </c>
      <c r="G2646" t="s">
        <v>35</v>
      </c>
      <c r="H2646" t="s">
        <v>35</v>
      </c>
      <c r="J2646" t="s">
        <v>3133</v>
      </c>
      <c r="K2646" t="s">
        <v>1092</v>
      </c>
      <c r="M2646">
        <v>0.3</v>
      </c>
      <c r="N2646">
        <v>51</v>
      </c>
      <c r="O2646" t="s">
        <v>52</v>
      </c>
      <c r="Q2646" t="s">
        <v>54</v>
      </c>
      <c r="R2646" t="s">
        <v>3114</v>
      </c>
      <c r="S2646" t="s">
        <v>3115</v>
      </c>
    </row>
    <row r="2647" spans="1:19" x14ac:dyDescent="0.25">
      <c r="A2647" t="s">
        <v>59</v>
      </c>
      <c r="B2647" t="s">
        <v>60</v>
      </c>
      <c r="C2647" t="s">
        <v>32</v>
      </c>
      <c r="D2647" t="s">
        <v>300</v>
      </c>
      <c r="E2647" t="s">
        <v>301</v>
      </c>
      <c r="F2647" t="s">
        <v>35</v>
      </c>
      <c r="G2647" t="s">
        <v>35</v>
      </c>
      <c r="H2647" t="s">
        <v>35</v>
      </c>
      <c r="J2647" t="s">
        <v>3134</v>
      </c>
      <c r="K2647" t="s">
        <v>1092</v>
      </c>
      <c r="M2647">
        <v>6</v>
      </c>
      <c r="N2647">
        <v>59</v>
      </c>
      <c r="O2647" t="s">
        <v>52</v>
      </c>
      <c r="Q2647" t="s">
        <v>84</v>
      </c>
      <c r="R2647" t="s">
        <v>3135</v>
      </c>
      <c r="S2647" t="s">
        <v>3136</v>
      </c>
    </row>
    <row r="2648" spans="1:19" x14ac:dyDescent="0.25">
      <c r="A2648" t="s">
        <v>59</v>
      </c>
      <c r="B2648" t="s">
        <v>60</v>
      </c>
      <c r="C2648" t="s">
        <v>32</v>
      </c>
      <c r="D2648" t="s">
        <v>300</v>
      </c>
      <c r="E2648" t="s">
        <v>301</v>
      </c>
      <c r="F2648" t="s">
        <v>35</v>
      </c>
      <c r="G2648" t="s">
        <v>35</v>
      </c>
      <c r="H2648" t="s">
        <v>35</v>
      </c>
      <c r="J2648" t="s">
        <v>8118</v>
      </c>
      <c r="K2648" t="s">
        <v>1092</v>
      </c>
      <c r="M2648">
        <v>0.3</v>
      </c>
      <c r="N2648">
        <v>13</v>
      </c>
      <c r="O2648" t="s">
        <v>46</v>
      </c>
      <c r="Q2648" t="s">
        <v>310</v>
      </c>
      <c r="R2648" t="s">
        <v>3161</v>
      </c>
      <c r="S2648" t="s">
        <v>319</v>
      </c>
    </row>
    <row r="2649" spans="1:19" x14ac:dyDescent="0.25">
      <c r="A2649" t="s">
        <v>44</v>
      </c>
      <c r="B2649" t="s">
        <v>51</v>
      </c>
      <c r="C2649" t="s">
        <v>32</v>
      </c>
      <c r="D2649" t="s">
        <v>300</v>
      </c>
      <c r="E2649" t="s">
        <v>301</v>
      </c>
      <c r="F2649" t="s">
        <v>35</v>
      </c>
      <c r="G2649" t="s">
        <v>35</v>
      </c>
      <c r="H2649" t="s">
        <v>35</v>
      </c>
      <c r="J2649" t="s">
        <v>1506</v>
      </c>
      <c r="K2649" t="s">
        <v>1092</v>
      </c>
      <c r="M2649">
        <v>0.05</v>
      </c>
      <c r="N2649">
        <v>503</v>
      </c>
      <c r="O2649" t="s">
        <v>294</v>
      </c>
      <c r="Q2649" t="s">
        <v>3139</v>
      </c>
      <c r="R2649" t="s">
        <v>3118</v>
      </c>
      <c r="S2649" t="s">
        <v>302</v>
      </c>
    </row>
    <row r="2650" spans="1:19" x14ac:dyDescent="0.25">
      <c r="A2650" t="s">
        <v>59</v>
      </c>
      <c r="B2650" t="s">
        <v>60</v>
      </c>
      <c r="C2650" t="s">
        <v>32</v>
      </c>
      <c r="D2650" t="s">
        <v>300</v>
      </c>
      <c r="E2650" t="s">
        <v>301</v>
      </c>
      <c r="F2650" t="s">
        <v>35</v>
      </c>
      <c r="G2650" t="s">
        <v>35</v>
      </c>
      <c r="H2650" t="s">
        <v>35</v>
      </c>
      <c r="J2650" t="s">
        <v>3140</v>
      </c>
      <c r="K2650" t="s">
        <v>1092</v>
      </c>
      <c r="M2650">
        <v>3.1</v>
      </c>
      <c r="N2650">
        <v>20</v>
      </c>
      <c r="O2650" t="s">
        <v>46</v>
      </c>
      <c r="Q2650" t="s">
        <v>1004</v>
      </c>
      <c r="R2650" t="s">
        <v>329</v>
      </c>
      <c r="S2650" t="s">
        <v>312</v>
      </c>
    </row>
    <row r="2651" spans="1:19" x14ac:dyDescent="0.25">
      <c r="A2651" t="s">
        <v>59</v>
      </c>
      <c r="B2651" t="s">
        <v>60</v>
      </c>
      <c r="C2651" t="s">
        <v>32</v>
      </c>
      <c r="D2651" t="s">
        <v>300</v>
      </c>
      <c r="E2651" t="s">
        <v>301</v>
      </c>
      <c r="F2651" t="s">
        <v>35</v>
      </c>
      <c r="G2651" t="s">
        <v>35</v>
      </c>
      <c r="H2651" t="s">
        <v>35</v>
      </c>
      <c r="J2651" t="s">
        <v>3140</v>
      </c>
      <c r="K2651" t="s">
        <v>1092</v>
      </c>
      <c r="M2651">
        <v>2.35</v>
      </c>
      <c r="N2651">
        <v>29</v>
      </c>
      <c r="O2651" t="s">
        <v>46</v>
      </c>
      <c r="Q2651" t="s">
        <v>1645</v>
      </c>
      <c r="R2651" t="s">
        <v>329</v>
      </c>
      <c r="S2651" t="s">
        <v>312</v>
      </c>
    </row>
    <row r="2652" spans="1:19" x14ac:dyDescent="0.25">
      <c r="A2652" t="s">
        <v>59</v>
      </c>
      <c r="B2652" t="s">
        <v>60</v>
      </c>
      <c r="C2652" t="s">
        <v>32</v>
      </c>
      <c r="D2652" t="s">
        <v>300</v>
      </c>
      <c r="E2652" t="s">
        <v>301</v>
      </c>
      <c r="F2652" t="s">
        <v>35</v>
      </c>
      <c r="G2652" t="s">
        <v>35</v>
      </c>
      <c r="H2652" t="s">
        <v>35</v>
      </c>
      <c r="J2652" t="s">
        <v>3141</v>
      </c>
      <c r="K2652" t="s">
        <v>1092</v>
      </c>
      <c r="M2652">
        <v>0.2</v>
      </c>
      <c r="N2652">
        <v>387</v>
      </c>
      <c r="O2652" t="s">
        <v>294</v>
      </c>
      <c r="Q2652" t="s">
        <v>3142</v>
      </c>
      <c r="R2652" t="s">
        <v>3118</v>
      </c>
      <c r="S2652" t="s">
        <v>302</v>
      </c>
    </row>
    <row r="2653" spans="1:19" x14ac:dyDescent="0.25">
      <c r="A2653" t="s">
        <v>59</v>
      </c>
      <c r="B2653" t="s">
        <v>31</v>
      </c>
      <c r="C2653" t="s">
        <v>32</v>
      </c>
      <c r="D2653" t="s">
        <v>300</v>
      </c>
      <c r="E2653" t="s">
        <v>301</v>
      </c>
      <c r="F2653" t="s">
        <v>35</v>
      </c>
      <c r="G2653" t="s">
        <v>35</v>
      </c>
      <c r="H2653" t="s">
        <v>35</v>
      </c>
      <c r="J2653" t="s">
        <v>3143</v>
      </c>
      <c r="K2653" t="s">
        <v>1092</v>
      </c>
      <c r="M2653">
        <v>0.36</v>
      </c>
      <c r="N2653">
        <v>66</v>
      </c>
      <c r="O2653" t="s">
        <v>61</v>
      </c>
      <c r="Q2653" t="s">
        <v>203</v>
      </c>
      <c r="R2653" t="s">
        <v>3118</v>
      </c>
      <c r="S2653" t="s">
        <v>302</v>
      </c>
    </row>
    <row r="2654" spans="1:19" x14ac:dyDescent="0.25">
      <c r="A2654" t="s">
        <v>59</v>
      </c>
      <c r="B2654" t="s">
        <v>60</v>
      </c>
      <c r="C2654" t="s">
        <v>32</v>
      </c>
      <c r="D2654" t="s">
        <v>300</v>
      </c>
      <c r="E2654" t="s">
        <v>301</v>
      </c>
      <c r="F2654" t="s">
        <v>35</v>
      </c>
      <c r="G2654" t="s">
        <v>35</v>
      </c>
      <c r="H2654" t="s">
        <v>35</v>
      </c>
      <c r="J2654" t="s">
        <v>3143</v>
      </c>
      <c r="K2654" t="s">
        <v>1092</v>
      </c>
      <c r="M2654">
        <v>0.15</v>
      </c>
      <c r="N2654">
        <v>42</v>
      </c>
      <c r="O2654" t="s">
        <v>52</v>
      </c>
      <c r="Q2654" t="s">
        <v>991</v>
      </c>
      <c r="R2654" t="s">
        <v>3118</v>
      </c>
      <c r="S2654" t="s">
        <v>302</v>
      </c>
    </row>
    <row r="2655" spans="1:19" x14ac:dyDescent="0.25">
      <c r="A2655" t="s">
        <v>59</v>
      </c>
      <c r="B2655" t="s">
        <v>60</v>
      </c>
      <c r="C2655" t="s">
        <v>32</v>
      </c>
      <c r="D2655" t="s">
        <v>300</v>
      </c>
      <c r="E2655" t="s">
        <v>301</v>
      </c>
      <c r="F2655" t="s">
        <v>35</v>
      </c>
      <c r="G2655" t="s">
        <v>35</v>
      </c>
      <c r="H2655" t="s">
        <v>35</v>
      </c>
      <c r="J2655" t="s">
        <v>3143</v>
      </c>
      <c r="K2655" t="s">
        <v>1092</v>
      </c>
      <c r="M2655">
        <v>0.1</v>
      </c>
      <c r="N2655">
        <v>24</v>
      </c>
      <c r="O2655" t="s">
        <v>46</v>
      </c>
      <c r="Q2655" t="s">
        <v>255</v>
      </c>
      <c r="R2655" t="s">
        <v>3118</v>
      </c>
      <c r="S2655" t="s">
        <v>302</v>
      </c>
    </row>
    <row r="2656" spans="1:19" x14ac:dyDescent="0.25">
      <c r="A2656" t="s">
        <v>59</v>
      </c>
      <c r="B2656" t="s">
        <v>60</v>
      </c>
      <c r="C2656" t="s">
        <v>32</v>
      </c>
      <c r="D2656" t="s">
        <v>300</v>
      </c>
      <c r="E2656" t="s">
        <v>301</v>
      </c>
      <c r="F2656" t="s">
        <v>35</v>
      </c>
      <c r="G2656" t="s">
        <v>35</v>
      </c>
      <c r="H2656" t="s">
        <v>35</v>
      </c>
      <c r="J2656" t="s">
        <v>3143</v>
      </c>
      <c r="K2656" t="s">
        <v>1092</v>
      </c>
      <c r="M2656">
        <v>0.15</v>
      </c>
      <c r="N2656">
        <v>118</v>
      </c>
      <c r="O2656" t="s">
        <v>106</v>
      </c>
      <c r="Q2656" t="s">
        <v>1469</v>
      </c>
      <c r="R2656" t="s">
        <v>3118</v>
      </c>
      <c r="S2656" t="s">
        <v>302</v>
      </c>
    </row>
    <row r="2657" spans="1:19" x14ac:dyDescent="0.25">
      <c r="A2657" t="s">
        <v>59</v>
      </c>
      <c r="B2657" t="s">
        <v>60</v>
      </c>
      <c r="C2657" t="s">
        <v>32</v>
      </c>
      <c r="D2657" t="s">
        <v>300</v>
      </c>
      <c r="E2657" t="s">
        <v>301</v>
      </c>
      <c r="F2657" t="s">
        <v>35</v>
      </c>
      <c r="G2657" t="s">
        <v>35</v>
      </c>
      <c r="H2657" t="s">
        <v>35</v>
      </c>
      <c r="J2657" t="s">
        <v>8237</v>
      </c>
      <c r="K2657" t="s">
        <v>1092</v>
      </c>
      <c r="M2657">
        <v>0.1</v>
      </c>
      <c r="N2657">
        <v>11</v>
      </c>
      <c r="O2657" t="s">
        <v>46</v>
      </c>
      <c r="Q2657" t="s">
        <v>1053</v>
      </c>
      <c r="R2657" t="s">
        <v>3161</v>
      </c>
      <c r="S2657" t="s">
        <v>319</v>
      </c>
    </row>
    <row r="2658" spans="1:19" x14ac:dyDescent="0.25">
      <c r="A2658" t="s">
        <v>59</v>
      </c>
      <c r="B2658" t="s">
        <v>60</v>
      </c>
      <c r="C2658" t="s">
        <v>32</v>
      </c>
      <c r="D2658" t="s">
        <v>300</v>
      </c>
      <c r="E2658" t="s">
        <v>301</v>
      </c>
      <c r="F2658" t="s">
        <v>35</v>
      </c>
      <c r="G2658" t="s">
        <v>35</v>
      </c>
      <c r="H2658" t="s">
        <v>35</v>
      </c>
      <c r="J2658" t="s">
        <v>3144</v>
      </c>
      <c r="K2658" t="s">
        <v>1092</v>
      </c>
      <c r="M2658">
        <v>0.25</v>
      </c>
      <c r="N2658">
        <v>55</v>
      </c>
      <c r="O2658" t="s">
        <v>52</v>
      </c>
      <c r="Q2658" t="s">
        <v>518</v>
      </c>
      <c r="R2658" t="s">
        <v>329</v>
      </c>
      <c r="S2658" t="s">
        <v>312</v>
      </c>
    </row>
    <row r="2659" spans="1:19" x14ac:dyDescent="0.25">
      <c r="A2659" t="s">
        <v>59</v>
      </c>
      <c r="B2659" t="s">
        <v>60</v>
      </c>
      <c r="C2659" t="s">
        <v>32</v>
      </c>
      <c r="D2659" t="s">
        <v>300</v>
      </c>
      <c r="E2659" t="s">
        <v>301</v>
      </c>
      <c r="F2659" t="s">
        <v>35</v>
      </c>
      <c r="G2659" t="s">
        <v>35</v>
      </c>
      <c r="H2659" t="s">
        <v>35</v>
      </c>
      <c r="J2659" t="s">
        <v>3144</v>
      </c>
      <c r="K2659" t="s">
        <v>1092</v>
      </c>
      <c r="M2659">
        <v>0.15</v>
      </c>
      <c r="N2659">
        <v>13</v>
      </c>
      <c r="O2659" t="s">
        <v>46</v>
      </c>
      <c r="Q2659" t="s">
        <v>310</v>
      </c>
      <c r="R2659" t="s">
        <v>3118</v>
      </c>
      <c r="S2659" t="s">
        <v>302</v>
      </c>
    </row>
    <row r="2660" spans="1:19" x14ac:dyDescent="0.25">
      <c r="A2660" t="s">
        <v>59</v>
      </c>
      <c r="B2660" t="s">
        <v>60</v>
      </c>
      <c r="C2660" t="s">
        <v>32</v>
      </c>
      <c r="D2660" t="s">
        <v>300</v>
      </c>
      <c r="E2660" t="s">
        <v>301</v>
      </c>
      <c r="F2660" t="s">
        <v>35</v>
      </c>
      <c r="G2660" t="s">
        <v>35</v>
      </c>
      <c r="H2660" t="s">
        <v>35</v>
      </c>
      <c r="J2660" t="s">
        <v>3144</v>
      </c>
      <c r="K2660" t="s">
        <v>1092</v>
      </c>
      <c r="M2660">
        <v>0.1</v>
      </c>
      <c r="N2660">
        <v>11</v>
      </c>
      <c r="O2660" t="s">
        <v>46</v>
      </c>
      <c r="Q2660" t="s">
        <v>1053</v>
      </c>
      <c r="R2660" t="s">
        <v>3118</v>
      </c>
      <c r="S2660" t="s">
        <v>302</v>
      </c>
    </row>
    <row r="2661" spans="1:19" x14ac:dyDescent="0.25">
      <c r="A2661" t="s">
        <v>59</v>
      </c>
      <c r="B2661" t="s">
        <v>60</v>
      </c>
      <c r="C2661" t="s">
        <v>32</v>
      </c>
      <c r="D2661" t="s">
        <v>300</v>
      </c>
      <c r="E2661" t="s">
        <v>301</v>
      </c>
      <c r="F2661" t="s">
        <v>35</v>
      </c>
      <c r="G2661" t="s">
        <v>35</v>
      </c>
      <c r="H2661" t="s">
        <v>35</v>
      </c>
      <c r="J2661" t="s">
        <v>3144</v>
      </c>
      <c r="K2661" t="s">
        <v>1092</v>
      </c>
      <c r="M2661">
        <v>0.25</v>
      </c>
      <c r="N2661">
        <v>3</v>
      </c>
      <c r="O2661" t="s">
        <v>46</v>
      </c>
      <c r="Q2661" t="s">
        <v>8153</v>
      </c>
      <c r="R2661" t="s">
        <v>3118</v>
      </c>
      <c r="S2661" t="s">
        <v>302</v>
      </c>
    </row>
    <row r="2662" spans="1:19" x14ac:dyDescent="0.25">
      <c r="A2662" t="s">
        <v>59</v>
      </c>
      <c r="B2662" t="s">
        <v>60</v>
      </c>
      <c r="C2662" t="s">
        <v>32</v>
      </c>
      <c r="D2662" t="s">
        <v>300</v>
      </c>
      <c r="E2662" t="s">
        <v>301</v>
      </c>
      <c r="F2662" t="s">
        <v>35</v>
      </c>
      <c r="G2662" t="s">
        <v>35</v>
      </c>
      <c r="H2662" t="s">
        <v>35</v>
      </c>
      <c r="J2662" t="s">
        <v>3144</v>
      </c>
      <c r="K2662" t="s">
        <v>1092</v>
      </c>
      <c r="M2662">
        <v>0.15</v>
      </c>
      <c r="N2662">
        <v>52</v>
      </c>
      <c r="O2662" t="s">
        <v>52</v>
      </c>
      <c r="Q2662" t="s">
        <v>1230</v>
      </c>
      <c r="R2662" t="s">
        <v>3118</v>
      </c>
      <c r="S2662" t="s">
        <v>302</v>
      </c>
    </row>
    <row r="2663" spans="1:19" x14ac:dyDescent="0.25">
      <c r="A2663" t="s">
        <v>59</v>
      </c>
      <c r="B2663" t="s">
        <v>60</v>
      </c>
      <c r="C2663" t="s">
        <v>32</v>
      </c>
      <c r="D2663" t="s">
        <v>300</v>
      </c>
      <c r="E2663" t="s">
        <v>301</v>
      </c>
      <c r="F2663" t="s">
        <v>35</v>
      </c>
      <c r="G2663" t="s">
        <v>35</v>
      </c>
      <c r="H2663" t="s">
        <v>35</v>
      </c>
      <c r="J2663" t="s">
        <v>3144</v>
      </c>
      <c r="K2663" t="s">
        <v>1092</v>
      </c>
      <c r="M2663">
        <v>0.1</v>
      </c>
      <c r="N2663">
        <v>24</v>
      </c>
      <c r="O2663" t="s">
        <v>46</v>
      </c>
      <c r="Q2663" t="s">
        <v>255</v>
      </c>
      <c r="R2663" t="s">
        <v>3118</v>
      </c>
      <c r="S2663" t="s">
        <v>302</v>
      </c>
    </row>
    <row r="2664" spans="1:19" x14ac:dyDescent="0.25">
      <c r="A2664" t="s">
        <v>59</v>
      </c>
      <c r="B2664" t="s">
        <v>60</v>
      </c>
      <c r="C2664" t="s">
        <v>32</v>
      </c>
      <c r="D2664" t="s">
        <v>300</v>
      </c>
      <c r="E2664" t="s">
        <v>301</v>
      </c>
      <c r="F2664" t="s">
        <v>35</v>
      </c>
      <c r="G2664" t="s">
        <v>35</v>
      </c>
      <c r="H2664" t="s">
        <v>35</v>
      </c>
      <c r="J2664" t="s">
        <v>3144</v>
      </c>
      <c r="K2664" t="s">
        <v>1092</v>
      </c>
      <c r="M2664">
        <v>0.05</v>
      </c>
      <c r="N2664">
        <v>56</v>
      </c>
      <c r="O2664" t="s">
        <v>52</v>
      </c>
      <c r="Q2664" t="s">
        <v>453</v>
      </c>
      <c r="R2664" t="s">
        <v>3118</v>
      </c>
      <c r="S2664" t="s">
        <v>302</v>
      </c>
    </row>
    <row r="2665" spans="1:19" x14ac:dyDescent="0.25">
      <c r="A2665" t="s">
        <v>59</v>
      </c>
      <c r="B2665" t="s">
        <v>31</v>
      </c>
      <c r="C2665" t="s">
        <v>32</v>
      </c>
      <c r="D2665" t="s">
        <v>300</v>
      </c>
      <c r="E2665" t="s">
        <v>326</v>
      </c>
      <c r="F2665" t="s">
        <v>35</v>
      </c>
      <c r="G2665" t="s">
        <v>35</v>
      </c>
      <c r="H2665" t="s">
        <v>35</v>
      </c>
      <c r="J2665" t="s">
        <v>3145</v>
      </c>
      <c r="K2665" t="s">
        <v>1092</v>
      </c>
      <c r="M2665">
        <v>0.9</v>
      </c>
      <c r="N2665">
        <v>73</v>
      </c>
      <c r="O2665" t="s">
        <v>61</v>
      </c>
      <c r="Q2665" t="s">
        <v>552</v>
      </c>
      <c r="R2665" t="s">
        <v>3118</v>
      </c>
      <c r="S2665" t="s">
        <v>302</v>
      </c>
    </row>
    <row r="2666" spans="1:19" x14ac:dyDescent="0.25">
      <c r="A2666" t="s">
        <v>30</v>
      </c>
      <c r="B2666" t="s">
        <v>31</v>
      </c>
      <c r="C2666" t="s">
        <v>32</v>
      </c>
      <c r="D2666" t="s">
        <v>300</v>
      </c>
      <c r="E2666" t="s">
        <v>326</v>
      </c>
      <c r="F2666" t="s">
        <v>35</v>
      </c>
      <c r="G2666" t="s">
        <v>35</v>
      </c>
      <c r="H2666" t="s">
        <v>35</v>
      </c>
      <c r="J2666" t="s">
        <v>3146</v>
      </c>
      <c r="K2666" t="s">
        <v>1092</v>
      </c>
      <c r="M2666">
        <v>1.845</v>
      </c>
      <c r="N2666">
        <v>53</v>
      </c>
      <c r="O2666" t="s">
        <v>52</v>
      </c>
      <c r="Q2666" t="s">
        <v>332</v>
      </c>
      <c r="R2666" t="s">
        <v>3114</v>
      </c>
      <c r="S2666" t="s">
        <v>3115</v>
      </c>
    </row>
    <row r="2667" spans="1:19" x14ac:dyDescent="0.25">
      <c r="A2667" t="s">
        <v>59</v>
      </c>
      <c r="B2667" t="s">
        <v>31</v>
      </c>
      <c r="C2667" t="s">
        <v>32</v>
      </c>
      <c r="D2667" t="s">
        <v>300</v>
      </c>
      <c r="E2667" t="s">
        <v>326</v>
      </c>
      <c r="F2667" t="s">
        <v>35</v>
      </c>
      <c r="G2667" t="s">
        <v>35</v>
      </c>
      <c r="H2667" t="s">
        <v>35</v>
      </c>
      <c r="J2667" t="s">
        <v>3147</v>
      </c>
      <c r="K2667" t="s">
        <v>1092</v>
      </c>
      <c r="M2667">
        <v>0.01</v>
      </c>
      <c r="N2667">
        <v>443</v>
      </c>
      <c r="O2667" t="s">
        <v>294</v>
      </c>
      <c r="Q2667" t="s">
        <v>3148</v>
      </c>
      <c r="R2667" t="s">
        <v>3149</v>
      </c>
      <c r="S2667" t="s">
        <v>3150</v>
      </c>
    </row>
    <row r="2668" spans="1:19" x14ac:dyDescent="0.25">
      <c r="A2668" t="s">
        <v>30</v>
      </c>
      <c r="B2668" t="s">
        <v>31</v>
      </c>
      <c r="C2668" t="s">
        <v>32</v>
      </c>
      <c r="D2668" t="s">
        <v>300</v>
      </c>
      <c r="E2668" t="s">
        <v>326</v>
      </c>
      <c r="F2668" t="s">
        <v>35</v>
      </c>
      <c r="G2668" t="s">
        <v>35</v>
      </c>
      <c r="H2668" t="s">
        <v>35</v>
      </c>
      <c r="J2668" t="s">
        <v>3147</v>
      </c>
      <c r="K2668" t="s">
        <v>1092</v>
      </c>
      <c r="M2668">
        <v>0.02</v>
      </c>
      <c r="N2668">
        <v>446</v>
      </c>
      <c r="O2668" t="s">
        <v>294</v>
      </c>
      <c r="Q2668" t="s">
        <v>3152</v>
      </c>
      <c r="R2668" t="s">
        <v>3149</v>
      </c>
      <c r="S2668" t="s">
        <v>3150</v>
      </c>
    </row>
    <row r="2669" spans="1:19" x14ac:dyDescent="0.25">
      <c r="A2669" t="s">
        <v>30</v>
      </c>
      <c r="B2669" t="s">
        <v>31</v>
      </c>
      <c r="C2669" t="s">
        <v>32</v>
      </c>
      <c r="D2669" t="s">
        <v>300</v>
      </c>
      <c r="E2669" t="s">
        <v>326</v>
      </c>
      <c r="F2669" t="s">
        <v>35</v>
      </c>
      <c r="G2669" t="s">
        <v>35</v>
      </c>
      <c r="H2669" t="s">
        <v>35</v>
      </c>
      <c r="J2669" t="s">
        <v>3153</v>
      </c>
      <c r="K2669" t="s">
        <v>1092</v>
      </c>
      <c r="M2669">
        <v>3.15</v>
      </c>
      <c r="N2669">
        <v>53</v>
      </c>
      <c r="O2669" t="s">
        <v>52</v>
      </c>
      <c r="Q2669" t="s">
        <v>332</v>
      </c>
      <c r="R2669" t="s">
        <v>3114</v>
      </c>
      <c r="S2669" t="s">
        <v>3115</v>
      </c>
    </row>
    <row r="2670" spans="1:19" x14ac:dyDescent="0.25">
      <c r="A2670" t="s">
        <v>30</v>
      </c>
      <c r="B2670" t="s">
        <v>31</v>
      </c>
      <c r="C2670" t="s">
        <v>32</v>
      </c>
      <c r="D2670" t="s">
        <v>300</v>
      </c>
      <c r="E2670" t="s">
        <v>326</v>
      </c>
      <c r="F2670" t="s">
        <v>35</v>
      </c>
      <c r="G2670" t="s">
        <v>35</v>
      </c>
      <c r="H2670" t="s">
        <v>35</v>
      </c>
      <c r="J2670" t="s">
        <v>3154</v>
      </c>
      <c r="K2670" t="s">
        <v>1092</v>
      </c>
      <c r="M2670">
        <v>6.84</v>
      </c>
      <c r="N2670">
        <v>53</v>
      </c>
      <c r="O2670" t="s">
        <v>52</v>
      </c>
      <c r="Q2670" t="s">
        <v>332</v>
      </c>
      <c r="R2670" t="s">
        <v>333</v>
      </c>
      <c r="S2670" t="s">
        <v>334</v>
      </c>
    </row>
    <row r="2671" spans="1:19" x14ac:dyDescent="0.25">
      <c r="A2671" t="s">
        <v>30</v>
      </c>
      <c r="B2671" t="s">
        <v>31</v>
      </c>
      <c r="C2671" t="s">
        <v>32</v>
      </c>
      <c r="D2671" t="s">
        <v>300</v>
      </c>
      <c r="F2671" t="s">
        <v>35</v>
      </c>
      <c r="G2671" t="s">
        <v>35</v>
      </c>
      <c r="H2671" t="s">
        <v>35</v>
      </c>
      <c r="J2671" t="s">
        <v>3155</v>
      </c>
      <c r="K2671" t="s">
        <v>1092</v>
      </c>
      <c r="M2671">
        <v>12.195</v>
      </c>
      <c r="N2671">
        <v>2162</v>
      </c>
      <c r="O2671" t="s">
        <v>575</v>
      </c>
      <c r="Q2671" t="s">
        <v>3156</v>
      </c>
      <c r="R2671" t="s">
        <v>3157</v>
      </c>
      <c r="S2671" t="s">
        <v>3158</v>
      </c>
    </row>
    <row r="2672" spans="1:19" x14ac:dyDescent="0.25">
      <c r="A2672" t="s">
        <v>59</v>
      </c>
      <c r="B2672" t="s">
        <v>60</v>
      </c>
      <c r="C2672" t="s">
        <v>32</v>
      </c>
      <c r="D2672" t="s">
        <v>300</v>
      </c>
      <c r="F2672" t="s">
        <v>35</v>
      </c>
      <c r="G2672" t="s">
        <v>35</v>
      </c>
      <c r="H2672" t="s">
        <v>35</v>
      </c>
      <c r="J2672" t="s">
        <v>3160</v>
      </c>
      <c r="K2672" t="s">
        <v>1092</v>
      </c>
      <c r="M2672">
        <v>0.5</v>
      </c>
      <c r="N2672">
        <v>13</v>
      </c>
      <c r="O2672" t="s">
        <v>46</v>
      </c>
      <c r="Q2672" t="s">
        <v>310</v>
      </c>
      <c r="R2672" t="s">
        <v>3161</v>
      </c>
      <c r="S2672" t="s">
        <v>319</v>
      </c>
    </row>
    <row r="2673" spans="1:19" x14ac:dyDescent="0.25">
      <c r="A2673" t="s">
        <v>59</v>
      </c>
      <c r="B2673" t="s">
        <v>60</v>
      </c>
      <c r="C2673" t="s">
        <v>32</v>
      </c>
      <c r="D2673" t="s">
        <v>300</v>
      </c>
      <c r="F2673" t="s">
        <v>35</v>
      </c>
      <c r="G2673" t="s">
        <v>35</v>
      </c>
      <c r="H2673" t="s">
        <v>35</v>
      </c>
      <c r="J2673" t="s">
        <v>3162</v>
      </c>
      <c r="K2673" t="s">
        <v>1092</v>
      </c>
      <c r="M2673">
        <v>1</v>
      </c>
      <c r="N2673">
        <v>29</v>
      </c>
      <c r="O2673" t="s">
        <v>46</v>
      </c>
      <c r="Q2673" t="s">
        <v>1645</v>
      </c>
      <c r="R2673" t="s">
        <v>329</v>
      </c>
      <c r="S2673" t="s">
        <v>312</v>
      </c>
    </row>
    <row r="2674" spans="1:19" x14ac:dyDescent="0.25">
      <c r="A2674" t="s">
        <v>59</v>
      </c>
      <c r="B2674" t="s">
        <v>60</v>
      </c>
      <c r="C2674" t="s">
        <v>32</v>
      </c>
      <c r="D2674" t="s">
        <v>300</v>
      </c>
      <c r="F2674" t="s">
        <v>35</v>
      </c>
      <c r="G2674" t="s">
        <v>35</v>
      </c>
      <c r="H2674" t="s">
        <v>35</v>
      </c>
      <c r="J2674" t="s">
        <v>3163</v>
      </c>
      <c r="K2674" t="s">
        <v>1092</v>
      </c>
      <c r="M2674">
        <v>0.35</v>
      </c>
      <c r="N2674">
        <v>11</v>
      </c>
      <c r="O2674" t="s">
        <v>46</v>
      </c>
      <c r="Q2674" t="s">
        <v>1053</v>
      </c>
      <c r="R2674" t="s">
        <v>3118</v>
      </c>
      <c r="S2674" t="s">
        <v>302</v>
      </c>
    </row>
    <row r="2675" spans="1:19" x14ac:dyDescent="0.25">
      <c r="A2675" t="s">
        <v>59</v>
      </c>
      <c r="B2675" t="s">
        <v>60</v>
      </c>
      <c r="C2675" t="s">
        <v>32</v>
      </c>
      <c r="D2675" t="s">
        <v>300</v>
      </c>
      <c r="F2675" t="s">
        <v>35</v>
      </c>
      <c r="G2675" t="s">
        <v>35</v>
      </c>
      <c r="H2675" t="s">
        <v>35</v>
      </c>
      <c r="J2675" t="s">
        <v>3163</v>
      </c>
      <c r="K2675" t="s">
        <v>1092</v>
      </c>
      <c r="M2675">
        <v>0.45</v>
      </c>
      <c r="N2675">
        <v>28</v>
      </c>
      <c r="O2675" t="s">
        <v>46</v>
      </c>
      <c r="Q2675" t="s">
        <v>176</v>
      </c>
      <c r="R2675" t="s">
        <v>329</v>
      </c>
      <c r="S2675" t="s">
        <v>312</v>
      </c>
    </row>
    <row r="2676" spans="1:19" x14ac:dyDescent="0.25">
      <c r="A2676" t="s">
        <v>30</v>
      </c>
      <c r="B2676" t="s">
        <v>31</v>
      </c>
      <c r="C2676" t="s">
        <v>32</v>
      </c>
      <c r="D2676" t="s">
        <v>300</v>
      </c>
      <c r="F2676" t="s">
        <v>35</v>
      </c>
      <c r="G2676" t="s">
        <v>35</v>
      </c>
      <c r="H2676" t="s">
        <v>35</v>
      </c>
      <c r="J2676" t="s">
        <v>3164</v>
      </c>
      <c r="K2676" t="s">
        <v>1092</v>
      </c>
      <c r="M2676">
        <v>1.35</v>
      </c>
      <c r="N2676">
        <v>42</v>
      </c>
      <c r="O2676" t="s">
        <v>52</v>
      </c>
      <c r="Q2676" t="s">
        <v>991</v>
      </c>
      <c r="R2676" t="s">
        <v>3114</v>
      </c>
      <c r="S2676" t="s">
        <v>3115</v>
      </c>
    </row>
    <row r="2677" spans="1:19" x14ac:dyDescent="0.25">
      <c r="A2677" t="s">
        <v>30</v>
      </c>
      <c r="B2677" t="s">
        <v>31</v>
      </c>
      <c r="C2677" t="s">
        <v>32</v>
      </c>
      <c r="D2677" t="s">
        <v>300</v>
      </c>
      <c r="F2677" t="s">
        <v>35</v>
      </c>
      <c r="G2677" t="s">
        <v>35</v>
      </c>
      <c r="H2677" t="s">
        <v>35</v>
      </c>
      <c r="J2677" t="s">
        <v>3165</v>
      </c>
      <c r="K2677" t="s">
        <v>1092</v>
      </c>
      <c r="M2677">
        <v>4.4999999999999998E-2</v>
      </c>
      <c r="N2677">
        <v>42</v>
      </c>
      <c r="O2677" t="s">
        <v>52</v>
      </c>
      <c r="Q2677" t="s">
        <v>991</v>
      </c>
      <c r="R2677" t="s">
        <v>3114</v>
      </c>
      <c r="S2677" t="s">
        <v>3115</v>
      </c>
    </row>
    <row r="2678" spans="1:19" x14ac:dyDescent="0.25">
      <c r="A2678" t="s">
        <v>59</v>
      </c>
      <c r="B2678" t="s">
        <v>60</v>
      </c>
      <c r="C2678" t="s">
        <v>32</v>
      </c>
      <c r="D2678" t="s">
        <v>300</v>
      </c>
      <c r="F2678" t="s">
        <v>35</v>
      </c>
      <c r="G2678" t="s">
        <v>35</v>
      </c>
      <c r="H2678" t="s">
        <v>35</v>
      </c>
      <c r="J2678" t="s">
        <v>1506</v>
      </c>
      <c r="K2678" t="s">
        <v>1092</v>
      </c>
      <c r="M2678">
        <v>0.1</v>
      </c>
      <c r="N2678">
        <v>118</v>
      </c>
      <c r="O2678" t="s">
        <v>106</v>
      </c>
      <c r="Q2678" t="s">
        <v>1469</v>
      </c>
      <c r="R2678" t="s">
        <v>3118</v>
      </c>
      <c r="S2678" t="s">
        <v>302</v>
      </c>
    </row>
    <row r="2679" spans="1:19" x14ac:dyDescent="0.25">
      <c r="A2679" t="s">
        <v>30</v>
      </c>
      <c r="B2679" t="s">
        <v>31</v>
      </c>
      <c r="C2679" t="s">
        <v>32</v>
      </c>
      <c r="D2679" t="s">
        <v>300</v>
      </c>
      <c r="F2679" t="s">
        <v>35</v>
      </c>
      <c r="G2679" t="s">
        <v>35</v>
      </c>
      <c r="H2679" t="s">
        <v>35</v>
      </c>
      <c r="J2679" t="s">
        <v>3166</v>
      </c>
      <c r="K2679" t="s">
        <v>1092</v>
      </c>
      <c r="M2679">
        <v>2.88</v>
      </c>
      <c r="N2679">
        <v>53</v>
      </c>
      <c r="O2679" t="s">
        <v>52</v>
      </c>
      <c r="Q2679" t="s">
        <v>332</v>
      </c>
      <c r="R2679" t="s">
        <v>3114</v>
      </c>
      <c r="S2679" t="s">
        <v>3115</v>
      </c>
    </row>
    <row r="2680" spans="1:19" x14ac:dyDescent="0.25">
      <c r="A2680" t="s">
        <v>59</v>
      </c>
      <c r="B2680" t="s">
        <v>60</v>
      </c>
      <c r="C2680" t="s">
        <v>32</v>
      </c>
      <c r="D2680" t="s">
        <v>300</v>
      </c>
      <c r="F2680" t="s">
        <v>35</v>
      </c>
      <c r="G2680" t="s">
        <v>35</v>
      </c>
      <c r="H2680" t="s">
        <v>35</v>
      </c>
      <c r="J2680" t="s">
        <v>3167</v>
      </c>
      <c r="K2680" t="s">
        <v>1092</v>
      </c>
      <c r="M2680">
        <v>0.05</v>
      </c>
      <c r="N2680">
        <v>189</v>
      </c>
      <c r="O2680" t="s">
        <v>5</v>
      </c>
      <c r="Q2680" t="s">
        <v>3168</v>
      </c>
      <c r="R2680" t="s">
        <v>3118</v>
      </c>
      <c r="S2680" t="s">
        <v>302</v>
      </c>
    </row>
    <row r="2681" spans="1:19" x14ac:dyDescent="0.25">
      <c r="A2681" t="s">
        <v>59</v>
      </c>
      <c r="B2681" t="s">
        <v>60</v>
      </c>
      <c r="C2681" t="s">
        <v>32</v>
      </c>
      <c r="D2681" t="s">
        <v>300</v>
      </c>
      <c r="F2681" t="s">
        <v>35</v>
      </c>
      <c r="G2681" t="s">
        <v>35</v>
      </c>
      <c r="H2681" t="s">
        <v>35</v>
      </c>
      <c r="J2681" t="s">
        <v>3127</v>
      </c>
      <c r="K2681" t="s">
        <v>1092</v>
      </c>
      <c r="M2681">
        <v>13</v>
      </c>
      <c r="N2681">
        <v>14</v>
      </c>
      <c r="O2681" t="s">
        <v>46</v>
      </c>
      <c r="Q2681" t="s">
        <v>2440</v>
      </c>
      <c r="R2681" t="s">
        <v>333</v>
      </c>
      <c r="S2681" t="s">
        <v>334</v>
      </c>
    </row>
    <row r="2682" spans="1:19" x14ac:dyDescent="0.25">
      <c r="A2682" t="s">
        <v>59</v>
      </c>
      <c r="B2682" t="s">
        <v>60</v>
      </c>
      <c r="C2682" t="s">
        <v>32</v>
      </c>
      <c r="D2682" t="s">
        <v>300</v>
      </c>
      <c r="F2682" t="s">
        <v>35</v>
      </c>
      <c r="G2682" t="s">
        <v>35</v>
      </c>
      <c r="H2682" t="s">
        <v>35</v>
      </c>
      <c r="J2682" t="s">
        <v>3169</v>
      </c>
      <c r="K2682" t="s">
        <v>1092</v>
      </c>
      <c r="M2682">
        <v>0.13</v>
      </c>
      <c r="N2682">
        <v>1306</v>
      </c>
      <c r="O2682" t="s">
        <v>575</v>
      </c>
      <c r="Q2682" t="s">
        <v>3170</v>
      </c>
      <c r="R2682" t="s">
        <v>3118</v>
      </c>
      <c r="S2682" t="s">
        <v>302</v>
      </c>
    </row>
    <row r="2683" spans="1:19" x14ac:dyDescent="0.25">
      <c r="A2683" t="s">
        <v>30</v>
      </c>
      <c r="B2683" t="s">
        <v>31</v>
      </c>
      <c r="C2683" t="s">
        <v>32</v>
      </c>
      <c r="D2683" t="s">
        <v>300</v>
      </c>
      <c r="F2683" t="s">
        <v>35</v>
      </c>
      <c r="G2683" t="s">
        <v>35</v>
      </c>
      <c r="H2683" t="s">
        <v>35</v>
      </c>
      <c r="J2683" t="s">
        <v>3171</v>
      </c>
      <c r="K2683" t="s">
        <v>1092</v>
      </c>
      <c r="M2683">
        <v>11.025</v>
      </c>
      <c r="N2683">
        <v>53</v>
      </c>
      <c r="O2683" t="s">
        <v>52</v>
      </c>
      <c r="Q2683" t="s">
        <v>332</v>
      </c>
      <c r="R2683" t="s">
        <v>333</v>
      </c>
      <c r="S2683" t="s">
        <v>334</v>
      </c>
    </row>
    <row r="2684" spans="1:19" x14ac:dyDescent="0.25">
      <c r="A2684" t="s">
        <v>59</v>
      </c>
      <c r="B2684" t="s">
        <v>60</v>
      </c>
      <c r="C2684" t="s">
        <v>32</v>
      </c>
      <c r="D2684" t="s">
        <v>300</v>
      </c>
      <c r="F2684" t="s">
        <v>35</v>
      </c>
      <c r="G2684" t="s">
        <v>35</v>
      </c>
      <c r="H2684" t="s">
        <v>35</v>
      </c>
      <c r="J2684" t="s">
        <v>3172</v>
      </c>
      <c r="K2684" t="s">
        <v>1092</v>
      </c>
      <c r="M2684">
        <v>0.35</v>
      </c>
      <c r="N2684">
        <v>13</v>
      </c>
      <c r="O2684" t="s">
        <v>46</v>
      </c>
      <c r="Q2684" t="s">
        <v>310</v>
      </c>
      <c r="R2684" t="s">
        <v>3161</v>
      </c>
      <c r="S2684" t="s">
        <v>319</v>
      </c>
    </row>
    <row r="2685" spans="1:19" x14ac:dyDescent="0.25">
      <c r="A2685" t="s">
        <v>59</v>
      </c>
      <c r="B2685" t="s">
        <v>31</v>
      </c>
      <c r="C2685" t="s">
        <v>32</v>
      </c>
      <c r="D2685" t="s">
        <v>300</v>
      </c>
      <c r="F2685" t="s">
        <v>35</v>
      </c>
      <c r="G2685" t="s">
        <v>35</v>
      </c>
      <c r="H2685" t="s">
        <v>35</v>
      </c>
      <c r="J2685" t="s">
        <v>3173</v>
      </c>
      <c r="K2685" t="s">
        <v>1092</v>
      </c>
      <c r="M2685">
        <v>8.1000000000000003E-2</v>
      </c>
      <c r="N2685">
        <v>618</v>
      </c>
      <c r="O2685" t="s">
        <v>575</v>
      </c>
      <c r="Q2685" t="s">
        <v>3174</v>
      </c>
      <c r="R2685" t="s">
        <v>329</v>
      </c>
      <c r="S2685" t="s">
        <v>312</v>
      </c>
    </row>
    <row r="2686" spans="1:19" x14ac:dyDescent="0.25">
      <c r="A2686" t="s">
        <v>30</v>
      </c>
      <c r="B2686" t="s">
        <v>31</v>
      </c>
      <c r="C2686" t="s">
        <v>32</v>
      </c>
      <c r="D2686" t="s">
        <v>300</v>
      </c>
      <c r="F2686" t="s">
        <v>35</v>
      </c>
      <c r="G2686" t="s">
        <v>35</v>
      </c>
      <c r="H2686" t="s">
        <v>35</v>
      </c>
      <c r="J2686" t="s">
        <v>3175</v>
      </c>
      <c r="K2686" t="s">
        <v>1092</v>
      </c>
      <c r="M2686">
        <v>0.40500000000000003</v>
      </c>
      <c r="N2686">
        <v>53</v>
      </c>
      <c r="O2686" t="s">
        <v>52</v>
      </c>
      <c r="Q2686" t="s">
        <v>332</v>
      </c>
      <c r="R2686" t="s">
        <v>3114</v>
      </c>
      <c r="S2686" t="s">
        <v>3115</v>
      </c>
    </row>
    <row r="2687" spans="1:19" x14ac:dyDescent="0.25">
      <c r="A2687" t="s">
        <v>59</v>
      </c>
      <c r="B2687" t="s">
        <v>31</v>
      </c>
      <c r="C2687" t="s">
        <v>32</v>
      </c>
      <c r="D2687" t="s">
        <v>300</v>
      </c>
      <c r="F2687" t="s">
        <v>35</v>
      </c>
      <c r="G2687" t="s">
        <v>35</v>
      </c>
      <c r="H2687" t="s">
        <v>35</v>
      </c>
      <c r="J2687" t="s">
        <v>3176</v>
      </c>
      <c r="K2687" t="s">
        <v>1092</v>
      </c>
      <c r="M2687">
        <v>3.8250000000000002</v>
      </c>
      <c r="N2687">
        <v>2673</v>
      </c>
      <c r="O2687" t="s">
        <v>575</v>
      </c>
      <c r="Q2687" t="s">
        <v>1486</v>
      </c>
      <c r="R2687" t="s">
        <v>1487</v>
      </c>
      <c r="S2687" t="s">
        <v>1488</v>
      </c>
    </row>
    <row r="2688" spans="1:19" x14ac:dyDescent="0.25">
      <c r="A2688" t="s">
        <v>59</v>
      </c>
      <c r="B2688" t="s">
        <v>60</v>
      </c>
      <c r="C2688" t="s">
        <v>32</v>
      </c>
      <c r="D2688" t="s">
        <v>300</v>
      </c>
      <c r="F2688" t="s">
        <v>35</v>
      </c>
      <c r="G2688" t="s">
        <v>35</v>
      </c>
      <c r="H2688" t="s">
        <v>35</v>
      </c>
      <c r="J2688" t="s">
        <v>3177</v>
      </c>
      <c r="K2688" t="s">
        <v>1092</v>
      </c>
      <c r="M2688">
        <v>11</v>
      </c>
      <c r="N2688">
        <v>14</v>
      </c>
      <c r="O2688" t="s">
        <v>46</v>
      </c>
      <c r="Q2688" t="s">
        <v>2440</v>
      </c>
      <c r="R2688" t="s">
        <v>333</v>
      </c>
      <c r="S2688" t="s">
        <v>334</v>
      </c>
    </row>
    <row r="2689" spans="1:19" x14ac:dyDescent="0.25">
      <c r="A2689" t="s">
        <v>59</v>
      </c>
      <c r="B2689" t="s">
        <v>60</v>
      </c>
      <c r="C2689" t="s">
        <v>32</v>
      </c>
      <c r="D2689" t="s">
        <v>336</v>
      </c>
      <c r="E2689" t="s">
        <v>3178</v>
      </c>
      <c r="F2689" t="s">
        <v>35</v>
      </c>
      <c r="G2689" t="s">
        <v>35</v>
      </c>
      <c r="H2689" t="s">
        <v>35</v>
      </c>
      <c r="J2689" t="s">
        <v>3179</v>
      </c>
      <c r="K2689" t="s">
        <v>1092</v>
      </c>
      <c r="M2689">
        <v>7.85</v>
      </c>
      <c r="N2689">
        <v>131</v>
      </c>
      <c r="O2689" t="s">
        <v>38</v>
      </c>
      <c r="Q2689" t="s">
        <v>646</v>
      </c>
      <c r="R2689" t="s">
        <v>3180</v>
      </c>
      <c r="S2689" t="s">
        <v>338</v>
      </c>
    </row>
    <row r="2690" spans="1:19" x14ac:dyDescent="0.25">
      <c r="A2690" t="s">
        <v>59</v>
      </c>
      <c r="B2690" t="s">
        <v>60</v>
      </c>
      <c r="C2690" t="s">
        <v>32</v>
      </c>
      <c r="D2690" t="s">
        <v>336</v>
      </c>
      <c r="E2690" t="s">
        <v>3181</v>
      </c>
      <c r="F2690" t="s">
        <v>35</v>
      </c>
      <c r="G2690" t="s">
        <v>35</v>
      </c>
      <c r="H2690" t="s">
        <v>35</v>
      </c>
      <c r="J2690" t="s">
        <v>3182</v>
      </c>
      <c r="K2690" t="s">
        <v>1092</v>
      </c>
      <c r="M2690">
        <v>2.85</v>
      </c>
      <c r="N2690">
        <v>259</v>
      </c>
      <c r="O2690" t="s">
        <v>5</v>
      </c>
      <c r="Q2690" t="s">
        <v>1425</v>
      </c>
      <c r="R2690" t="s">
        <v>3183</v>
      </c>
      <c r="S2690" t="s">
        <v>3184</v>
      </c>
    </row>
    <row r="2691" spans="1:19" x14ac:dyDescent="0.25">
      <c r="A2691" t="s">
        <v>59</v>
      </c>
      <c r="B2691" t="s">
        <v>31</v>
      </c>
      <c r="C2691" t="s">
        <v>32</v>
      </c>
      <c r="D2691" t="s">
        <v>336</v>
      </c>
      <c r="E2691" t="s">
        <v>3186</v>
      </c>
      <c r="F2691" t="s">
        <v>35</v>
      </c>
      <c r="G2691" t="s">
        <v>35</v>
      </c>
      <c r="H2691" t="s">
        <v>35</v>
      </c>
      <c r="J2691" t="s">
        <v>3187</v>
      </c>
      <c r="K2691" t="s">
        <v>1092</v>
      </c>
      <c r="M2691">
        <v>0.09</v>
      </c>
      <c r="N2691">
        <v>265</v>
      </c>
      <c r="O2691" t="s">
        <v>5</v>
      </c>
      <c r="Q2691" t="s">
        <v>1754</v>
      </c>
      <c r="R2691" t="s">
        <v>3180</v>
      </c>
      <c r="S2691" t="s">
        <v>338</v>
      </c>
    </row>
    <row r="2692" spans="1:19" x14ac:dyDescent="0.25">
      <c r="A2692" t="s">
        <v>44</v>
      </c>
      <c r="B2692" t="s">
        <v>51</v>
      </c>
      <c r="C2692" t="s">
        <v>32</v>
      </c>
      <c r="D2692" t="s">
        <v>336</v>
      </c>
      <c r="E2692" t="s">
        <v>3188</v>
      </c>
      <c r="F2692" t="s">
        <v>35</v>
      </c>
      <c r="G2692" t="s">
        <v>35</v>
      </c>
      <c r="H2692" t="s">
        <v>35</v>
      </c>
      <c r="J2692" t="s">
        <v>3189</v>
      </c>
      <c r="K2692" t="s">
        <v>1092</v>
      </c>
      <c r="M2692">
        <v>3.45</v>
      </c>
      <c r="N2692">
        <v>61</v>
      </c>
      <c r="O2692" t="s">
        <v>61</v>
      </c>
      <c r="Q2692" t="s">
        <v>671</v>
      </c>
      <c r="R2692" t="s">
        <v>3180</v>
      </c>
      <c r="S2692" t="s">
        <v>338</v>
      </c>
    </row>
    <row r="2693" spans="1:19" x14ac:dyDescent="0.25">
      <c r="A2693" t="s">
        <v>30</v>
      </c>
      <c r="B2693" t="s">
        <v>31</v>
      </c>
      <c r="C2693" t="s">
        <v>32</v>
      </c>
      <c r="D2693" t="s">
        <v>336</v>
      </c>
      <c r="E2693" t="s">
        <v>3188</v>
      </c>
      <c r="F2693" t="s">
        <v>35</v>
      </c>
      <c r="G2693" t="s">
        <v>35</v>
      </c>
      <c r="H2693" t="s">
        <v>35</v>
      </c>
      <c r="J2693" t="s">
        <v>3189</v>
      </c>
      <c r="K2693" t="s">
        <v>1092</v>
      </c>
      <c r="M2693">
        <v>2.6549999999999998</v>
      </c>
      <c r="N2693">
        <v>74</v>
      </c>
      <c r="O2693" t="s">
        <v>61</v>
      </c>
      <c r="Q2693" t="s">
        <v>488</v>
      </c>
      <c r="R2693" t="s">
        <v>3180</v>
      </c>
      <c r="S2693" t="s">
        <v>338</v>
      </c>
    </row>
    <row r="2694" spans="1:19" x14ac:dyDescent="0.25">
      <c r="A2694" t="s">
        <v>30</v>
      </c>
      <c r="B2694" t="s">
        <v>31</v>
      </c>
      <c r="C2694" t="s">
        <v>32</v>
      </c>
      <c r="D2694" t="s">
        <v>336</v>
      </c>
      <c r="E2694" t="s">
        <v>3188</v>
      </c>
      <c r="F2694" t="s">
        <v>35</v>
      </c>
      <c r="G2694" t="s">
        <v>35</v>
      </c>
      <c r="H2694" t="s">
        <v>35</v>
      </c>
      <c r="J2694" t="s">
        <v>3190</v>
      </c>
      <c r="K2694" t="s">
        <v>1092</v>
      </c>
      <c r="M2694">
        <v>0.36</v>
      </c>
      <c r="N2694">
        <v>175</v>
      </c>
      <c r="O2694" t="s">
        <v>38</v>
      </c>
      <c r="Q2694" t="s">
        <v>1692</v>
      </c>
      <c r="R2694" t="s">
        <v>3180</v>
      </c>
      <c r="S2694" t="s">
        <v>338</v>
      </c>
    </row>
    <row r="2695" spans="1:19" x14ac:dyDescent="0.25">
      <c r="A2695" t="s">
        <v>30</v>
      </c>
      <c r="B2695" t="s">
        <v>31</v>
      </c>
      <c r="C2695" t="s">
        <v>32</v>
      </c>
      <c r="D2695" t="s">
        <v>336</v>
      </c>
      <c r="E2695" t="s">
        <v>3188</v>
      </c>
      <c r="F2695" t="s">
        <v>35</v>
      </c>
      <c r="G2695" t="s">
        <v>35</v>
      </c>
      <c r="H2695" t="s">
        <v>35</v>
      </c>
      <c r="J2695" t="s">
        <v>3191</v>
      </c>
      <c r="K2695" t="s">
        <v>1092</v>
      </c>
      <c r="M2695">
        <v>0.09</v>
      </c>
      <c r="N2695">
        <v>175</v>
      </c>
      <c r="O2695" t="s">
        <v>38</v>
      </c>
      <c r="Q2695" t="s">
        <v>1692</v>
      </c>
      <c r="R2695" t="s">
        <v>3180</v>
      </c>
      <c r="S2695" t="s">
        <v>338</v>
      </c>
    </row>
    <row r="2696" spans="1:19" x14ac:dyDescent="0.25">
      <c r="A2696" t="s">
        <v>30</v>
      </c>
      <c r="B2696" t="s">
        <v>31</v>
      </c>
      <c r="C2696" t="s">
        <v>32</v>
      </c>
      <c r="D2696" t="s">
        <v>336</v>
      </c>
      <c r="E2696" t="s">
        <v>3188</v>
      </c>
      <c r="F2696" t="s">
        <v>35</v>
      </c>
      <c r="G2696" t="s">
        <v>35</v>
      </c>
      <c r="H2696" t="s">
        <v>35</v>
      </c>
      <c r="J2696" t="s">
        <v>3192</v>
      </c>
      <c r="K2696" t="s">
        <v>1092</v>
      </c>
      <c r="M2696">
        <v>0.13500000000000001</v>
      </c>
      <c r="N2696">
        <v>74</v>
      </c>
      <c r="O2696" t="s">
        <v>61</v>
      </c>
      <c r="Q2696" t="s">
        <v>488</v>
      </c>
      <c r="R2696" t="s">
        <v>3180</v>
      </c>
      <c r="S2696" t="s">
        <v>338</v>
      </c>
    </row>
    <row r="2697" spans="1:19" x14ac:dyDescent="0.25">
      <c r="A2697" t="s">
        <v>44</v>
      </c>
      <c r="B2697" t="s">
        <v>51</v>
      </c>
      <c r="C2697" t="s">
        <v>32</v>
      </c>
      <c r="D2697" t="s">
        <v>336</v>
      </c>
      <c r="E2697" t="s">
        <v>3188</v>
      </c>
      <c r="F2697" t="s">
        <v>35</v>
      </c>
      <c r="G2697" t="s">
        <v>35</v>
      </c>
      <c r="H2697" t="s">
        <v>35</v>
      </c>
      <c r="J2697" t="s">
        <v>3192</v>
      </c>
      <c r="K2697" t="s">
        <v>1092</v>
      </c>
      <c r="M2697">
        <v>6</v>
      </c>
      <c r="N2697">
        <v>61</v>
      </c>
      <c r="O2697" t="s">
        <v>61</v>
      </c>
      <c r="Q2697" t="s">
        <v>671</v>
      </c>
      <c r="R2697" t="s">
        <v>3180</v>
      </c>
      <c r="S2697" t="s">
        <v>338</v>
      </c>
    </row>
    <row r="2698" spans="1:19" x14ac:dyDescent="0.25">
      <c r="A2698" t="s">
        <v>30</v>
      </c>
      <c r="B2698" t="s">
        <v>31</v>
      </c>
      <c r="C2698" t="s">
        <v>32</v>
      </c>
      <c r="D2698" t="s">
        <v>336</v>
      </c>
      <c r="E2698" t="s">
        <v>3193</v>
      </c>
      <c r="F2698" t="s">
        <v>35</v>
      </c>
      <c r="G2698" t="s">
        <v>35</v>
      </c>
      <c r="H2698" t="s">
        <v>35</v>
      </c>
      <c r="J2698" t="s">
        <v>3194</v>
      </c>
      <c r="K2698" t="s">
        <v>1092</v>
      </c>
      <c r="M2698">
        <v>5.49</v>
      </c>
      <c r="N2698">
        <v>483</v>
      </c>
      <c r="O2698" t="s">
        <v>294</v>
      </c>
      <c r="Q2698" t="s">
        <v>3195</v>
      </c>
      <c r="R2698" t="s">
        <v>3180</v>
      </c>
      <c r="S2698" t="s">
        <v>338</v>
      </c>
    </row>
    <row r="2699" spans="1:19" x14ac:dyDescent="0.25">
      <c r="A2699" t="s">
        <v>59</v>
      </c>
      <c r="B2699" t="s">
        <v>31</v>
      </c>
      <c r="C2699" t="s">
        <v>32</v>
      </c>
      <c r="D2699" t="s">
        <v>336</v>
      </c>
      <c r="E2699" t="s">
        <v>3193</v>
      </c>
      <c r="F2699" t="s">
        <v>35</v>
      </c>
      <c r="G2699" t="s">
        <v>35</v>
      </c>
      <c r="H2699" t="s">
        <v>35</v>
      </c>
      <c r="J2699" t="s">
        <v>3194</v>
      </c>
      <c r="K2699" t="s">
        <v>1092</v>
      </c>
      <c r="M2699">
        <v>3.645</v>
      </c>
      <c r="N2699">
        <v>470</v>
      </c>
      <c r="O2699" t="s">
        <v>294</v>
      </c>
      <c r="Q2699" t="s">
        <v>1327</v>
      </c>
      <c r="R2699" t="s">
        <v>3180</v>
      </c>
      <c r="S2699" t="s">
        <v>338</v>
      </c>
    </row>
    <row r="2700" spans="1:19" x14ac:dyDescent="0.25">
      <c r="A2700" t="s">
        <v>44</v>
      </c>
      <c r="B2700" t="s">
        <v>51</v>
      </c>
      <c r="C2700" t="s">
        <v>32</v>
      </c>
      <c r="D2700" t="s">
        <v>336</v>
      </c>
      <c r="E2700" t="s">
        <v>3196</v>
      </c>
      <c r="F2700" t="s">
        <v>35</v>
      </c>
      <c r="G2700" t="s">
        <v>35</v>
      </c>
      <c r="H2700" t="s">
        <v>35</v>
      </c>
      <c r="J2700" t="s">
        <v>3197</v>
      </c>
      <c r="K2700" t="s">
        <v>1092</v>
      </c>
      <c r="M2700">
        <v>10.95</v>
      </c>
      <c r="N2700">
        <v>61</v>
      </c>
      <c r="O2700" t="s">
        <v>61</v>
      </c>
      <c r="Q2700" t="s">
        <v>671</v>
      </c>
      <c r="R2700" t="s">
        <v>3180</v>
      </c>
      <c r="S2700" t="s">
        <v>338</v>
      </c>
    </row>
    <row r="2701" spans="1:19" x14ac:dyDescent="0.25">
      <c r="A2701" t="s">
        <v>59</v>
      </c>
      <c r="B2701" t="s">
        <v>31</v>
      </c>
      <c r="C2701" t="s">
        <v>32</v>
      </c>
      <c r="D2701" t="s">
        <v>336</v>
      </c>
      <c r="E2701" t="s">
        <v>3196</v>
      </c>
      <c r="F2701" t="s">
        <v>35</v>
      </c>
      <c r="G2701" t="s">
        <v>35</v>
      </c>
      <c r="H2701" t="s">
        <v>35</v>
      </c>
      <c r="J2701" t="s">
        <v>3198</v>
      </c>
      <c r="K2701" t="s">
        <v>1092</v>
      </c>
      <c r="M2701">
        <v>3.51</v>
      </c>
      <c r="N2701">
        <v>131</v>
      </c>
      <c r="O2701" t="s">
        <v>38</v>
      </c>
      <c r="Q2701" t="s">
        <v>646</v>
      </c>
      <c r="R2701" t="s">
        <v>3180</v>
      </c>
      <c r="S2701" t="s">
        <v>338</v>
      </c>
    </row>
    <row r="2702" spans="1:19" x14ac:dyDescent="0.25">
      <c r="A2702" t="s">
        <v>59</v>
      </c>
      <c r="B2702" t="s">
        <v>60</v>
      </c>
      <c r="C2702" t="s">
        <v>32</v>
      </c>
      <c r="D2702" t="s">
        <v>336</v>
      </c>
      <c r="E2702" t="s">
        <v>3196</v>
      </c>
      <c r="F2702" t="s">
        <v>35</v>
      </c>
      <c r="G2702" t="s">
        <v>35</v>
      </c>
      <c r="H2702" t="s">
        <v>35</v>
      </c>
      <c r="J2702" t="s">
        <v>3198</v>
      </c>
      <c r="K2702" t="s">
        <v>1092</v>
      </c>
      <c r="M2702">
        <v>1.25</v>
      </c>
      <c r="N2702">
        <v>131</v>
      </c>
      <c r="O2702" t="s">
        <v>38</v>
      </c>
      <c r="Q2702" t="s">
        <v>646</v>
      </c>
      <c r="R2702" t="s">
        <v>3180</v>
      </c>
      <c r="S2702" t="s">
        <v>338</v>
      </c>
    </row>
    <row r="2703" spans="1:19" x14ac:dyDescent="0.25">
      <c r="A2703" t="s">
        <v>59</v>
      </c>
      <c r="B2703" t="s">
        <v>60</v>
      </c>
      <c r="C2703" t="s">
        <v>32</v>
      </c>
      <c r="D2703" t="s">
        <v>336</v>
      </c>
      <c r="E2703" t="s">
        <v>3196</v>
      </c>
      <c r="F2703" t="s">
        <v>35</v>
      </c>
      <c r="G2703" t="s">
        <v>35</v>
      </c>
      <c r="H2703" t="s">
        <v>35</v>
      </c>
      <c r="J2703" t="s">
        <v>3199</v>
      </c>
      <c r="K2703" t="s">
        <v>1092</v>
      </c>
      <c r="M2703">
        <v>2.218</v>
      </c>
      <c r="N2703">
        <v>1281</v>
      </c>
      <c r="O2703" t="s">
        <v>575</v>
      </c>
      <c r="Q2703" t="s">
        <v>3200</v>
      </c>
      <c r="R2703" t="s">
        <v>3180</v>
      </c>
      <c r="S2703" t="s">
        <v>338</v>
      </c>
    </row>
    <row r="2704" spans="1:19" x14ac:dyDescent="0.25">
      <c r="A2704" t="s">
        <v>30</v>
      </c>
      <c r="B2704" t="s">
        <v>31</v>
      </c>
      <c r="C2704" t="s">
        <v>32</v>
      </c>
      <c r="D2704" t="s">
        <v>336</v>
      </c>
      <c r="E2704" t="s">
        <v>3196</v>
      </c>
      <c r="F2704" t="s">
        <v>35</v>
      </c>
      <c r="G2704" t="s">
        <v>35</v>
      </c>
      <c r="H2704" t="s">
        <v>35</v>
      </c>
      <c r="J2704" t="s">
        <v>3201</v>
      </c>
      <c r="K2704" t="s">
        <v>1092</v>
      </c>
      <c r="M2704">
        <v>9</v>
      </c>
      <c r="N2704">
        <v>255</v>
      </c>
      <c r="O2704" t="s">
        <v>5</v>
      </c>
      <c r="Q2704" t="s">
        <v>1747</v>
      </c>
      <c r="R2704" t="s">
        <v>3180</v>
      </c>
      <c r="S2704" t="s">
        <v>338</v>
      </c>
    </row>
    <row r="2705" spans="1:19" x14ac:dyDescent="0.25">
      <c r="A2705" t="s">
        <v>30</v>
      </c>
      <c r="B2705" t="s">
        <v>31</v>
      </c>
      <c r="C2705" t="s">
        <v>32</v>
      </c>
      <c r="D2705" t="s">
        <v>336</v>
      </c>
      <c r="E2705" t="s">
        <v>3196</v>
      </c>
      <c r="F2705" t="s">
        <v>35</v>
      </c>
      <c r="G2705" t="s">
        <v>35</v>
      </c>
      <c r="H2705" t="s">
        <v>35</v>
      </c>
      <c r="J2705" t="s">
        <v>3202</v>
      </c>
      <c r="K2705" t="s">
        <v>1092</v>
      </c>
      <c r="M2705">
        <v>0.60299999999999998</v>
      </c>
      <c r="N2705">
        <v>255</v>
      </c>
      <c r="O2705" t="s">
        <v>5</v>
      </c>
      <c r="Q2705" t="s">
        <v>1747</v>
      </c>
      <c r="R2705" t="s">
        <v>3180</v>
      </c>
      <c r="S2705" t="s">
        <v>338</v>
      </c>
    </row>
    <row r="2706" spans="1:19" x14ac:dyDescent="0.25">
      <c r="A2706" t="s">
        <v>59</v>
      </c>
      <c r="B2706" t="s">
        <v>60</v>
      </c>
      <c r="C2706" t="s">
        <v>32</v>
      </c>
      <c r="D2706" t="s">
        <v>336</v>
      </c>
      <c r="E2706" t="s">
        <v>3196</v>
      </c>
      <c r="F2706" t="s">
        <v>35</v>
      </c>
      <c r="G2706" t="s">
        <v>35</v>
      </c>
      <c r="H2706" t="s">
        <v>35</v>
      </c>
      <c r="J2706" t="s">
        <v>3203</v>
      </c>
      <c r="K2706" t="s">
        <v>1092</v>
      </c>
      <c r="M2706">
        <v>1.9</v>
      </c>
      <c r="N2706">
        <v>242</v>
      </c>
      <c r="O2706" t="s">
        <v>5</v>
      </c>
      <c r="Q2706" t="s">
        <v>2904</v>
      </c>
      <c r="R2706" t="s">
        <v>3183</v>
      </c>
      <c r="S2706" t="s">
        <v>3184</v>
      </c>
    </row>
    <row r="2707" spans="1:19" x14ac:dyDescent="0.25">
      <c r="A2707" t="s">
        <v>59</v>
      </c>
      <c r="B2707" t="s">
        <v>60</v>
      </c>
      <c r="C2707" t="s">
        <v>32</v>
      </c>
      <c r="D2707" t="s">
        <v>336</v>
      </c>
      <c r="E2707" t="s">
        <v>3196</v>
      </c>
      <c r="F2707" t="s">
        <v>35</v>
      </c>
      <c r="G2707" t="s">
        <v>35</v>
      </c>
      <c r="H2707" t="s">
        <v>35</v>
      </c>
      <c r="J2707" t="s">
        <v>2791</v>
      </c>
      <c r="K2707" t="s">
        <v>1092</v>
      </c>
      <c r="M2707">
        <v>3.25</v>
      </c>
      <c r="N2707">
        <v>131</v>
      </c>
      <c r="O2707" t="s">
        <v>38</v>
      </c>
      <c r="Q2707" t="s">
        <v>646</v>
      </c>
      <c r="R2707" t="s">
        <v>3180</v>
      </c>
      <c r="S2707" t="s">
        <v>338</v>
      </c>
    </row>
    <row r="2708" spans="1:19" x14ac:dyDescent="0.25">
      <c r="A2708" t="s">
        <v>59</v>
      </c>
      <c r="B2708" t="s">
        <v>31</v>
      </c>
      <c r="C2708" t="s">
        <v>32</v>
      </c>
      <c r="D2708" t="s">
        <v>336</v>
      </c>
      <c r="E2708" t="s">
        <v>3196</v>
      </c>
      <c r="F2708" t="s">
        <v>35</v>
      </c>
      <c r="G2708" t="s">
        <v>35</v>
      </c>
      <c r="H2708" t="s">
        <v>35</v>
      </c>
      <c r="J2708" t="s">
        <v>2791</v>
      </c>
      <c r="K2708" t="s">
        <v>1092</v>
      </c>
      <c r="M2708">
        <v>6.4349999999999996</v>
      </c>
      <c r="N2708">
        <v>131</v>
      </c>
      <c r="O2708" t="s">
        <v>38</v>
      </c>
      <c r="Q2708" t="s">
        <v>646</v>
      </c>
      <c r="R2708" t="s">
        <v>3180</v>
      </c>
      <c r="S2708" t="s">
        <v>338</v>
      </c>
    </row>
    <row r="2709" spans="1:19" x14ac:dyDescent="0.25">
      <c r="A2709" t="s">
        <v>30</v>
      </c>
      <c r="B2709" t="s">
        <v>31</v>
      </c>
      <c r="C2709" t="s">
        <v>32</v>
      </c>
      <c r="D2709" t="s">
        <v>336</v>
      </c>
      <c r="E2709" t="s">
        <v>3196</v>
      </c>
      <c r="F2709" t="s">
        <v>35</v>
      </c>
      <c r="G2709" t="s">
        <v>35</v>
      </c>
      <c r="H2709" t="s">
        <v>35</v>
      </c>
      <c r="J2709" t="s">
        <v>2791</v>
      </c>
      <c r="K2709" t="s">
        <v>1092</v>
      </c>
      <c r="M2709">
        <v>13.5</v>
      </c>
      <c r="N2709">
        <v>175</v>
      </c>
      <c r="O2709" t="s">
        <v>38</v>
      </c>
      <c r="Q2709" t="s">
        <v>1692</v>
      </c>
      <c r="R2709" t="s">
        <v>3180</v>
      </c>
      <c r="S2709" t="s">
        <v>338</v>
      </c>
    </row>
    <row r="2710" spans="1:19" x14ac:dyDescent="0.25">
      <c r="A2710" t="s">
        <v>30</v>
      </c>
      <c r="B2710" t="s">
        <v>31</v>
      </c>
      <c r="C2710" t="s">
        <v>32</v>
      </c>
      <c r="D2710" t="s">
        <v>336</v>
      </c>
      <c r="E2710" t="s">
        <v>3196</v>
      </c>
      <c r="F2710" t="s">
        <v>35</v>
      </c>
      <c r="G2710" t="s">
        <v>35</v>
      </c>
      <c r="H2710" t="s">
        <v>35</v>
      </c>
      <c r="J2710" t="s">
        <v>2791</v>
      </c>
      <c r="K2710" t="s">
        <v>1092</v>
      </c>
      <c r="M2710">
        <v>3.0150000000000001</v>
      </c>
      <c r="N2710">
        <v>255</v>
      </c>
      <c r="O2710" t="s">
        <v>5</v>
      </c>
      <c r="Q2710" t="s">
        <v>1747</v>
      </c>
      <c r="R2710" t="s">
        <v>3180</v>
      </c>
      <c r="S2710" t="s">
        <v>338</v>
      </c>
    </row>
    <row r="2711" spans="1:19" x14ac:dyDescent="0.25">
      <c r="A2711" t="s">
        <v>30</v>
      </c>
      <c r="B2711" t="s">
        <v>31</v>
      </c>
      <c r="C2711" t="s">
        <v>32</v>
      </c>
      <c r="D2711" t="s">
        <v>336</v>
      </c>
      <c r="E2711" t="s">
        <v>3196</v>
      </c>
      <c r="F2711" t="s">
        <v>35</v>
      </c>
      <c r="G2711" t="s">
        <v>35</v>
      </c>
      <c r="H2711" t="s">
        <v>35</v>
      </c>
      <c r="J2711" t="s">
        <v>3204</v>
      </c>
      <c r="K2711" t="s">
        <v>1092</v>
      </c>
      <c r="M2711">
        <v>3.1949999999999998</v>
      </c>
      <c r="N2711">
        <v>255</v>
      </c>
      <c r="O2711" t="s">
        <v>5</v>
      </c>
      <c r="Q2711" t="s">
        <v>1747</v>
      </c>
      <c r="R2711" t="s">
        <v>3180</v>
      </c>
      <c r="S2711" t="s">
        <v>338</v>
      </c>
    </row>
    <row r="2712" spans="1:19" x14ac:dyDescent="0.25">
      <c r="A2712" t="s">
        <v>59</v>
      </c>
      <c r="B2712" t="s">
        <v>60</v>
      </c>
      <c r="C2712" t="s">
        <v>32</v>
      </c>
      <c r="D2712" t="s">
        <v>336</v>
      </c>
      <c r="E2712" t="s">
        <v>3196</v>
      </c>
      <c r="F2712" t="s">
        <v>35</v>
      </c>
      <c r="G2712" t="s">
        <v>35</v>
      </c>
      <c r="H2712" t="s">
        <v>35</v>
      </c>
      <c r="J2712" t="s">
        <v>3204</v>
      </c>
      <c r="K2712" t="s">
        <v>1092</v>
      </c>
      <c r="M2712">
        <v>0.75</v>
      </c>
      <c r="N2712">
        <v>265</v>
      </c>
      <c r="O2712" t="s">
        <v>5</v>
      </c>
      <c r="Q2712" t="s">
        <v>1754</v>
      </c>
      <c r="R2712" t="s">
        <v>3180</v>
      </c>
      <c r="S2712" t="s">
        <v>338</v>
      </c>
    </row>
    <row r="2713" spans="1:19" x14ac:dyDescent="0.25">
      <c r="A2713" t="s">
        <v>59</v>
      </c>
      <c r="B2713" t="s">
        <v>31</v>
      </c>
      <c r="C2713" t="s">
        <v>32</v>
      </c>
      <c r="D2713" t="s">
        <v>336</v>
      </c>
      <c r="E2713" t="s">
        <v>3196</v>
      </c>
      <c r="F2713" t="s">
        <v>35</v>
      </c>
      <c r="G2713" t="s">
        <v>35</v>
      </c>
      <c r="H2713" t="s">
        <v>35</v>
      </c>
      <c r="J2713" t="s">
        <v>3205</v>
      </c>
      <c r="K2713" t="s">
        <v>1092</v>
      </c>
      <c r="M2713">
        <v>0.18</v>
      </c>
      <c r="N2713">
        <v>265</v>
      </c>
      <c r="O2713" t="s">
        <v>5</v>
      </c>
      <c r="Q2713" t="s">
        <v>1754</v>
      </c>
      <c r="R2713" t="s">
        <v>3180</v>
      </c>
      <c r="S2713" t="s">
        <v>338</v>
      </c>
    </row>
    <row r="2714" spans="1:19" x14ac:dyDescent="0.25">
      <c r="A2714" t="s">
        <v>30</v>
      </c>
      <c r="B2714" t="s">
        <v>31</v>
      </c>
      <c r="C2714" t="s">
        <v>32</v>
      </c>
      <c r="D2714" t="s">
        <v>336</v>
      </c>
      <c r="E2714" t="s">
        <v>3196</v>
      </c>
      <c r="F2714" t="s">
        <v>35</v>
      </c>
      <c r="G2714" t="s">
        <v>35</v>
      </c>
      <c r="H2714" t="s">
        <v>35</v>
      </c>
      <c r="J2714" t="s">
        <v>3206</v>
      </c>
      <c r="K2714" t="s">
        <v>1092</v>
      </c>
      <c r="M2714">
        <v>2.97</v>
      </c>
      <c r="N2714">
        <v>482</v>
      </c>
      <c r="O2714" t="s">
        <v>294</v>
      </c>
      <c r="Q2714" t="s">
        <v>3207</v>
      </c>
      <c r="R2714" t="s">
        <v>3180</v>
      </c>
      <c r="S2714" t="s">
        <v>338</v>
      </c>
    </row>
    <row r="2715" spans="1:19" x14ac:dyDescent="0.25">
      <c r="A2715" t="s">
        <v>59</v>
      </c>
      <c r="B2715" t="s">
        <v>31</v>
      </c>
      <c r="C2715" t="s">
        <v>32</v>
      </c>
      <c r="D2715" t="s">
        <v>336</v>
      </c>
      <c r="E2715" t="s">
        <v>3196</v>
      </c>
      <c r="F2715" t="s">
        <v>35</v>
      </c>
      <c r="G2715" t="s">
        <v>35</v>
      </c>
      <c r="H2715" t="s">
        <v>35</v>
      </c>
      <c r="J2715" t="s">
        <v>3208</v>
      </c>
      <c r="K2715" t="s">
        <v>1092</v>
      </c>
      <c r="M2715">
        <v>6.2549999999999999</v>
      </c>
      <c r="N2715">
        <v>131</v>
      </c>
      <c r="O2715" t="s">
        <v>38</v>
      </c>
      <c r="Q2715" t="s">
        <v>646</v>
      </c>
      <c r="R2715" t="s">
        <v>3180</v>
      </c>
      <c r="S2715" t="s">
        <v>338</v>
      </c>
    </row>
    <row r="2716" spans="1:19" x14ac:dyDescent="0.25">
      <c r="A2716" t="s">
        <v>30</v>
      </c>
      <c r="B2716" t="s">
        <v>31</v>
      </c>
      <c r="C2716" t="s">
        <v>32</v>
      </c>
      <c r="D2716" t="s">
        <v>336</v>
      </c>
      <c r="E2716" t="s">
        <v>3196</v>
      </c>
      <c r="F2716" t="s">
        <v>35</v>
      </c>
      <c r="G2716" t="s">
        <v>35</v>
      </c>
      <c r="H2716" t="s">
        <v>35</v>
      </c>
      <c r="J2716" t="s">
        <v>3208</v>
      </c>
      <c r="K2716" t="s">
        <v>1092</v>
      </c>
      <c r="M2716">
        <v>0.40500000000000003</v>
      </c>
      <c r="N2716">
        <v>175</v>
      </c>
      <c r="O2716" t="s">
        <v>38</v>
      </c>
      <c r="Q2716" t="s">
        <v>1692</v>
      </c>
      <c r="R2716" t="s">
        <v>3180</v>
      </c>
      <c r="S2716" t="s">
        <v>338</v>
      </c>
    </row>
    <row r="2717" spans="1:19" x14ac:dyDescent="0.25">
      <c r="A2717" t="s">
        <v>59</v>
      </c>
      <c r="B2717" t="s">
        <v>60</v>
      </c>
      <c r="C2717" t="s">
        <v>32</v>
      </c>
      <c r="D2717" t="s">
        <v>336</v>
      </c>
      <c r="E2717" t="s">
        <v>3209</v>
      </c>
      <c r="F2717" t="s">
        <v>35</v>
      </c>
      <c r="G2717" t="s">
        <v>35</v>
      </c>
      <c r="H2717" t="s">
        <v>35</v>
      </c>
      <c r="J2717" t="s">
        <v>3210</v>
      </c>
      <c r="K2717" t="s">
        <v>1092</v>
      </c>
      <c r="M2717">
        <v>3.45</v>
      </c>
      <c r="N2717">
        <v>131</v>
      </c>
      <c r="O2717" t="s">
        <v>38</v>
      </c>
      <c r="Q2717" t="s">
        <v>646</v>
      </c>
      <c r="R2717" t="s">
        <v>3180</v>
      </c>
      <c r="S2717" t="s">
        <v>338</v>
      </c>
    </row>
    <row r="2718" spans="1:19" x14ac:dyDescent="0.25">
      <c r="A2718" t="s">
        <v>59</v>
      </c>
      <c r="B2718" t="s">
        <v>60</v>
      </c>
      <c r="C2718" t="s">
        <v>32</v>
      </c>
      <c r="D2718" t="s">
        <v>336</v>
      </c>
      <c r="E2718" t="s">
        <v>3209</v>
      </c>
      <c r="F2718" t="s">
        <v>35</v>
      </c>
      <c r="G2718" t="s">
        <v>35</v>
      </c>
      <c r="H2718" t="s">
        <v>35</v>
      </c>
      <c r="J2718" t="s">
        <v>3211</v>
      </c>
      <c r="K2718" t="s">
        <v>1092</v>
      </c>
      <c r="M2718">
        <v>0.4</v>
      </c>
      <c r="N2718">
        <v>131</v>
      </c>
      <c r="O2718" t="s">
        <v>38</v>
      </c>
      <c r="Q2718" t="s">
        <v>646</v>
      </c>
      <c r="R2718" t="s">
        <v>3180</v>
      </c>
      <c r="S2718" t="s">
        <v>338</v>
      </c>
    </row>
    <row r="2719" spans="1:19" x14ac:dyDescent="0.25">
      <c r="A2719" t="s">
        <v>59</v>
      </c>
      <c r="B2719" t="s">
        <v>60</v>
      </c>
      <c r="C2719" t="s">
        <v>32</v>
      </c>
      <c r="D2719" t="s">
        <v>336</v>
      </c>
      <c r="E2719" t="s">
        <v>3209</v>
      </c>
      <c r="F2719" t="s">
        <v>35</v>
      </c>
      <c r="G2719" t="s">
        <v>35</v>
      </c>
      <c r="H2719" t="s">
        <v>35</v>
      </c>
      <c r="J2719" t="s">
        <v>3212</v>
      </c>
      <c r="K2719" t="s">
        <v>1092</v>
      </c>
      <c r="M2719">
        <v>0.5</v>
      </c>
      <c r="N2719">
        <v>342</v>
      </c>
      <c r="O2719" t="s">
        <v>5</v>
      </c>
      <c r="Q2719" t="s">
        <v>3213</v>
      </c>
      <c r="R2719" t="s">
        <v>3180</v>
      </c>
      <c r="S2719" t="s">
        <v>338</v>
      </c>
    </row>
    <row r="2720" spans="1:19" x14ac:dyDescent="0.25">
      <c r="A2720" t="s">
        <v>59</v>
      </c>
      <c r="B2720" t="s">
        <v>60</v>
      </c>
      <c r="C2720" t="s">
        <v>32</v>
      </c>
      <c r="D2720" t="s">
        <v>336</v>
      </c>
      <c r="E2720" t="s">
        <v>3209</v>
      </c>
      <c r="F2720" t="s">
        <v>35</v>
      </c>
      <c r="G2720" t="s">
        <v>35</v>
      </c>
      <c r="H2720" t="s">
        <v>35</v>
      </c>
      <c r="J2720" t="s">
        <v>3214</v>
      </c>
      <c r="K2720" t="s">
        <v>1092</v>
      </c>
      <c r="M2720">
        <v>2.2000000000000002</v>
      </c>
      <c r="N2720">
        <v>342</v>
      </c>
      <c r="O2720" t="s">
        <v>5</v>
      </c>
      <c r="Q2720" t="s">
        <v>3213</v>
      </c>
      <c r="R2720" t="s">
        <v>3180</v>
      </c>
      <c r="S2720" t="s">
        <v>338</v>
      </c>
    </row>
    <row r="2721" spans="1:19" x14ac:dyDescent="0.25">
      <c r="A2721" t="s">
        <v>59</v>
      </c>
      <c r="B2721" t="s">
        <v>60</v>
      </c>
      <c r="C2721" t="s">
        <v>32</v>
      </c>
      <c r="D2721" t="s">
        <v>336</v>
      </c>
      <c r="E2721" t="s">
        <v>3215</v>
      </c>
      <c r="F2721" t="s">
        <v>35</v>
      </c>
      <c r="G2721" t="s">
        <v>35</v>
      </c>
      <c r="H2721" t="s">
        <v>35</v>
      </c>
      <c r="J2721" t="s">
        <v>3216</v>
      </c>
      <c r="K2721" t="s">
        <v>1092</v>
      </c>
      <c r="M2721">
        <v>1.95</v>
      </c>
      <c r="N2721">
        <v>131</v>
      </c>
      <c r="O2721" t="s">
        <v>38</v>
      </c>
      <c r="Q2721" t="s">
        <v>646</v>
      </c>
      <c r="R2721" t="s">
        <v>3180</v>
      </c>
      <c r="S2721" t="s">
        <v>338</v>
      </c>
    </row>
    <row r="2722" spans="1:19" x14ac:dyDescent="0.25">
      <c r="A2722" t="s">
        <v>30</v>
      </c>
      <c r="B2722" t="s">
        <v>31</v>
      </c>
      <c r="C2722" t="s">
        <v>32</v>
      </c>
      <c r="D2722" t="s">
        <v>336</v>
      </c>
      <c r="E2722" t="s">
        <v>3215</v>
      </c>
      <c r="F2722" t="s">
        <v>35</v>
      </c>
      <c r="G2722" t="s">
        <v>35</v>
      </c>
      <c r="H2722" t="s">
        <v>35</v>
      </c>
      <c r="J2722" t="s">
        <v>3217</v>
      </c>
      <c r="K2722" t="s">
        <v>1092</v>
      </c>
      <c r="M2722">
        <v>7.11</v>
      </c>
      <c r="N2722">
        <v>174</v>
      </c>
      <c r="O2722" t="s">
        <v>38</v>
      </c>
      <c r="Q2722" t="s">
        <v>1565</v>
      </c>
      <c r="R2722" t="s">
        <v>3180</v>
      </c>
      <c r="S2722" t="s">
        <v>338</v>
      </c>
    </row>
    <row r="2723" spans="1:19" x14ac:dyDescent="0.25">
      <c r="A2723" t="s">
        <v>30</v>
      </c>
      <c r="B2723" t="s">
        <v>31</v>
      </c>
      <c r="C2723" t="s">
        <v>32</v>
      </c>
      <c r="D2723" t="s">
        <v>336</v>
      </c>
      <c r="E2723" t="s">
        <v>3215</v>
      </c>
      <c r="F2723" t="s">
        <v>35</v>
      </c>
      <c r="G2723" t="s">
        <v>35</v>
      </c>
      <c r="H2723" t="s">
        <v>35</v>
      </c>
      <c r="J2723" t="s">
        <v>3218</v>
      </c>
      <c r="K2723" t="s">
        <v>1092</v>
      </c>
      <c r="M2723">
        <v>1.395</v>
      </c>
      <c r="N2723">
        <v>175</v>
      </c>
      <c r="O2723" t="s">
        <v>38</v>
      </c>
      <c r="Q2723" t="s">
        <v>1692</v>
      </c>
      <c r="R2723" t="s">
        <v>3180</v>
      </c>
      <c r="S2723" t="s">
        <v>338</v>
      </c>
    </row>
    <row r="2724" spans="1:19" x14ac:dyDescent="0.25">
      <c r="A2724" t="s">
        <v>30</v>
      </c>
      <c r="B2724" t="s">
        <v>31</v>
      </c>
      <c r="C2724" t="s">
        <v>32</v>
      </c>
      <c r="D2724" t="s">
        <v>336</v>
      </c>
      <c r="E2724" t="s">
        <v>3215</v>
      </c>
      <c r="F2724" t="s">
        <v>35</v>
      </c>
      <c r="G2724" t="s">
        <v>35</v>
      </c>
      <c r="H2724" t="s">
        <v>35</v>
      </c>
      <c r="J2724" t="s">
        <v>3219</v>
      </c>
      <c r="K2724" t="s">
        <v>1092</v>
      </c>
      <c r="M2724">
        <v>15.57</v>
      </c>
      <c r="N2724">
        <v>175</v>
      </c>
      <c r="O2724" t="s">
        <v>38</v>
      </c>
      <c r="Q2724" t="s">
        <v>1692</v>
      </c>
      <c r="R2724" t="s">
        <v>3180</v>
      </c>
      <c r="S2724" t="s">
        <v>338</v>
      </c>
    </row>
    <row r="2725" spans="1:19" x14ac:dyDescent="0.25">
      <c r="A2725" t="s">
        <v>59</v>
      </c>
      <c r="B2725" t="s">
        <v>31</v>
      </c>
      <c r="C2725" t="s">
        <v>32</v>
      </c>
      <c r="D2725" t="s">
        <v>336</v>
      </c>
      <c r="E2725" t="s">
        <v>3215</v>
      </c>
      <c r="F2725" t="s">
        <v>35</v>
      </c>
      <c r="G2725" t="s">
        <v>35</v>
      </c>
      <c r="H2725" t="s">
        <v>35</v>
      </c>
      <c r="J2725" t="s">
        <v>3219</v>
      </c>
      <c r="K2725" t="s">
        <v>1092</v>
      </c>
      <c r="M2725">
        <v>5.22</v>
      </c>
      <c r="N2725">
        <v>470</v>
      </c>
      <c r="O2725" t="s">
        <v>294</v>
      </c>
      <c r="Q2725" t="s">
        <v>1327</v>
      </c>
      <c r="R2725" t="s">
        <v>3180</v>
      </c>
      <c r="S2725" t="s">
        <v>338</v>
      </c>
    </row>
    <row r="2726" spans="1:19" x14ac:dyDescent="0.25">
      <c r="A2726" t="s">
        <v>59</v>
      </c>
      <c r="B2726" t="s">
        <v>31</v>
      </c>
      <c r="C2726" t="s">
        <v>32</v>
      </c>
      <c r="D2726" t="s">
        <v>336</v>
      </c>
      <c r="E2726" t="s">
        <v>3215</v>
      </c>
      <c r="F2726" t="s">
        <v>35</v>
      </c>
      <c r="G2726" t="s">
        <v>35</v>
      </c>
      <c r="H2726" t="s">
        <v>35</v>
      </c>
      <c r="J2726" t="s">
        <v>3219</v>
      </c>
      <c r="K2726" t="s">
        <v>1092</v>
      </c>
      <c r="M2726">
        <v>5.9850000000000003</v>
      </c>
      <c r="N2726">
        <v>265</v>
      </c>
      <c r="O2726" t="s">
        <v>5</v>
      </c>
      <c r="Q2726" t="s">
        <v>1754</v>
      </c>
      <c r="R2726" t="s">
        <v>3180</v>
      </c>
      <c r="S2726" t="s">
        <v>338</v>
      </c>
    </row>
    <row r="2727" spans="1:19" x14ac:dyDescent="0.25">
      <c r="A2727" t="s">
        <v>30</v>
      </c>
      <c r="B2727" t="s">
        <v>31</v>
      </c>
      <c r="C2727" t="s">
        <v>32</v>
      </c>
      <c r="D2727" t="s">
        <v>336</v>
      </c>
      <c r="E2727" t="s">
        <v>3220</v>
      </c>
      <c r="F2727" t="s">
        <v>35</v>
      </c>
      <c r="G2727" t="s">
        <v>35</v>
      </c>
      <c r="H2727" t="s">
        <v>35</v>
      </c>
      <c r="J2727" t="s">
        <v>3221</v>
      </c>
      <c r="K2727" t="s">
        <v>1092</v>
      </c>
      <c r="M2727">
        <v>4.2300000000000004</v>
      </c>
      <c r="N2727">
        <v>175</v>
      </c>
      <c r="O2727" t="s">
        <v>38</v>
      </c>
      <c r="Q2727" t="s">
        <v>1692</v>
      </c>
      <c r="R2727" t="s">
        <v>3180</v>
      </c>
      <c r="S2727" t="s">
        <v>338</v>
      </c>
    </row>
    <row r="2728" spans="1:19" x14ac:dyDescent="0.25">
      <c r="A2728" t="s">
        <v>30</v>
      </c>
      <c r="B2728" t="s">
        <v>31</v>
      </c>
      <c r="C2728" t="s">
        <v>32</v>
      </c>
      <c r="D2728" t="s">
        <v>336</v>
      </c>
      <c r="E2728" t="s">
        <v>3220</v>
      </c>
      <c r="F2728" t="s">
        <v>35</v>
      </c>
      <c r="G2728" t="s">
        <v>35</v>
      </c>
      <c r="H2728" t="s">
        <v>35</v>
      </c>
      <c r="J2728" t="s">
        <v>3221</v>
      </c>
      <c r="K2728" t="s">
        <v>1092</v>
      </c>
      <c r="M2728">
        <v>11.97</v>
      </c>
      <c r="N2728">
        <v>74</v>
      </c>
      <c r="O2728" t="s">
        <v>61</v>
      </c>
      <c r="Q2728" t="s">
        <v>488</v>
      </c>
      <c r="R2728" t="s">
        <v>3180</v>
      </c>
      <c r="S2728" t="s">
        <v>338</v>
      </c>
    </row>
    <row r="2729" spans="1:19" x14ac:dyDescent="0.25">
      <c r="A2729" t="s">
        <v>30</v>
      </c>
      <c r="B2729" t="s">
        <v>31</v>
      </c>
      <c r="C2729" t="s">
        <v>32</v>
      </c>
      <c r="D2729" t="s">
        <v>336</v>
      </c>
      <c r="E2729" t="s">
        <v>3220</v>
      </c>
      <c r="F2729" t="s">
        <v>35</v>
      </c>
      <c r="G2729" t="s">
        <v>35</v>
      </c>
      <c r="H2729" t="s">
        <v>35</v>
      </c>
      <c r="J2729" t="s">
        <v>3222</v>
      </c>
      <c r="K2729" t="s">
        <v>1092</v>
      </c>
      <c r="M2729">
        <v>17.64</v>
      </c>
      <c r="N2729">
        <v>74</v>
      </c>
      <c r="O2729" t="s">
        <v>61</v>
      </c>
      <c r="Q2729" t="s">
        <v>488</v>
      </c>
      <c r="R2729" t="s">
        <v>3180</v>
      </c>
      <c r="S2729" t="s">
        <v>338</v>
      </c>
    </row>
    <row r="2730" spans="1:19" x14ac:dyDescent="0.25">
      <c r="A2730" t="s">
        <v>59</v>
      </c>
      <c r="B2730" t="s">
        <v>60</v>
      </c>
      <c r="C2730" t="s">
        <v>32</v>
      </c>
      <c r="D2730" t="s">
        <v>336</v>
      </c>
      <c r="E2730" t="s">
        <v>3223</v>
      </c>
      <c r="F2730" t="s">
        <v>35</v>
      </c>
      <c r="G2730" t="s">
        <v>35</v>
      </c>
      <c r="H2730" t="s">
        <v>35</v>
      </c>
      <c r="J2730" t="s">
        <v>3224</v>
      </c>
      <c r="K2730" t="s">
        <v>1092</v>
      </c>
      <c r="M2730">
        <v>2.25</v>
      </c>
      <c r="N2730">
        <v>131</v>
      </c>
      <c r="O2730" t="s">
        <v>38</v>
      </c>
      <c r="Q2730" t="s">
        <v>646</v>
      </c>
      <c r="R2730" t="s">
        <v>3180</v>
      </c>
      <c r="S2730" t="s">
        <v>338</v>
      </c>
    </row>
    <row r="2731" spans="1:19" x14ac:dyDescent="0.25">
      <c r="A2731" t="s">
        <v>44</v>
      </c>
      <c r="B2731" t="s">
        <v>51</v>
      </c>
      <c r="C2731" t="s">
        <v>32</v>
      </c>
      <c r="D2731" t="s">
        <v>336</v>
      </c>
      <c r="E2731" t="s">
        <v>3223</v>
      </c>
      <c r="F2731" t="s">
        <v>35</v>
      </c>
      <c r="G2731" t="s">
        <v>35</v>
      </c>
      <c r="H2731" t="s">
        <v>35</v>
      </c>
      <c r="J2731" t="s">
        <v>3225</v>
      </c>
      <c r="K2731" t="s">
        <v>1092</v>
      </c>
      <c r="M2731">
        <v>4.1500000000000004</v>
      </c>
      <c r="N2731">
        <v>248</v>
      </c>
      <c r="O2731" t="s">
        <v>5</v>
      </c>
      <c r="Q2731" t="s">
        <v>1154</v>
      </c>
      <c r="R2731" t="s">
        <v>3180</v>
      </c>
      <c r="S2731" t="s">
        <v>338</v>
      </c>
    </row>
    <row r="2732" spans="1:19" x14ac:dyDescent="0.25">
      <c r="A2732" t="s">
        <v>59</v>
      </c>
      <c r="B2732" t="s">
        <v>60</v>
      </c>
      <c r="C2732" t="s">
        <v>32</v>
      </c>
      <c r="D2732" t="s">
        <v>336</v>
      </c>
      <c r="E2732" t="s">
        <v>3223</v>
      </c>
      <c r="F2732" t="s">
        <v>35</v>
      </c>
      <c r="G2732" t="s">
        <v>35</v>
      </c>
      <c r="H2732" t="s">
        <v>35</v>
      </c>
      <c r="J2732" t="s">
        <v>3225</v>
      </c>
      <c r="K2732" t="s">
        <v>1092</v>
      </c>
      <c r="M2732">
        <v>2.85</v>
      </c>
      <c r="N2732">
        <v>131</v>
      </c>
      <c r="O2732" t="s">
        <v>38</v>
      </c>
      <c r="Q2732" t="s">
        <v>646</v>
      </c>
      <c r="R2732" t="s">
        <v>3180</v>
      </c>
      <c r="S2732" t="s">
        <v>338</v>
      </c>
    </row>
    <row r="2733" spans="1:19" x14ac:dyDescent="0.25">
      <c r="A2733" t="s">
        <v>59</v>
      </c>
      <c r="B2733" t="s">
        <v>31</v>
      </c>
      <c r="C2733" t="s">
        <v>32</v>
      </c>
      <c r="D2733" t="s">
        <v>336</v>
      </c>
      <c r="E2733" t="s">
        <v>3223</v>
      </c>
      <c r="F2733" t="s">
        <v>35</v>
      </c>
      <c r="G2733" t="s">
        <v>35</v>
      </c>
      <c r="H2733" t="s">
        <v>35</v>
      </c>
      <c r="J2733" t="s">
        <v>3226</v>
      </c>
      <c r="K2733" t="s">
        <v>1092</v>
      </c>
      <c r="M2733">
        <v>5.9850000000000003</v>
      </c>
      <c r="N2733">
        <v>217</v>
      </c>
      <c r="O2733" t="s">
        <v>5</v>
      </c>
      <c r="Q2733" t="s">
        <v>1159</v>
      </c>
      <c r="R2733" t="s">
        <v>3180</v>
      </c>
      <c r="S2733" t="s">
        <v>338</v>
      </c>
    </row>
    <row r="2734" spans="1:19" x14ac:dyDescent="0.25">
      <c r="A2734" t="s">
        <v>30</v>
      </c>
      <c r="B2734" t="s">
        <v>31</v>
      </c>
      <c r="C2734" t="s">
        <v>32</v>
      </c>
      <c r="D2734" t="s">
        <v>336</v>
      </c>
      <c r="E2734" t="s">
        <v>3223</v>
      </c>
      <c r="F2734" t="s">
        <v>35</v>
      </c>
      <c r="G2734" t="s">
        <v>35</v>
      </c>
      <c r="H2734" t="s">
        <v>35</v>
      </c>
      <c r="J2734" t="s">
        <v>3226</v>
      </c>
      <c r="K2734" t="s">
        <v>1092</v>
      </c>
      <c r="M2734">
        <v>17.565000000000001</v>
      </c>
      <c r="N2734">
        <v>175</v>
      </c>
      <c r="O2734" t="s">
        <v>38</v>
      </c>
      <c r="Q2734" t="s">
        <v>1692</v>
      </c>
      <c r="R2734" t="s">
        <v>3180</v>
      </c>
      <c r="S2734" t="s">
        <v>338</v>
      </c>
    </row>
    <row r="2735" spans="1:19" x14ac:dyDescent="0.25">
      <c r="A2735" t="s">
        <v>59</v>
      </c>
      <c r="B2735" t="s">
        <v>31</v>
      </c>
      <c r="C2735" t="s">
        <v>32</v>
      </c>
      <c r="D2735" t="s">
        <v>336</v>
      </c>
      <c r="E2735" t="s">
        <v>3223</v>
      </c>
      <c r="F2735" t="s">
        <v>35</v>
      </c>
      <c r="G2735" t="s">
        <v>35</v>
      </c>
      <c r="H2735" t="s">
        <v>35</v>
      </c>
      <c r="J2735" t="s">
        <v>3226</v>
      </c>
      <c r="K2735" t="s">
        <v>1092</v>
      </c>
      <c r="M2735">
        <v>7.8419999999999996</v>
      </c>
      <c r="N2735">
        <v>265</v>
      </c>
      <c r="O2735" t="s">
        <v>5</v>
      </c>
      <c r="Q2735" t="s">
        <v>1754</v>
      </c>
      <c r="R2735" t="s">
        <v>3180</v>
      </c>
      <c r="S2735" t="s">
        <v>338</v>
      </c>
    </row>
    <row r="2736" spans="1:19" x14ac:dyDescent="0.25">
      <c r="A2736" t="s">
        <v>30</v>
      </c>
      <c r="B2736" t="s">
        <v>31</v>
      </c>
      <c r="C2736" t="s">
        <v>32</v>
      </c>
      <c r="D2736" t="s">
        <v>336</v>
      </c>
      <c r="E2736" t="s">
        <v>3223</v>
      </c>
      <c r="F2736" t="s">
        <v>35</v>
      </c>
      <c r="G2736" t="s">
        <v>35</v>
      </c>
      <c r="H2736" t="s">
        <v>35</v>
      </c>
      <c r="J2736" t="s">
        <v>3227</v>
      </c>
      <c r="K2736" t="s">
        <v>1092</v>
      </c>
      <c r="M2736">
        <v>4.8150000000000004</v>
      </c>
      <c r="N2736">
        <v>175</v>
      </c>
      <c r="O2736" t="s">
        <v>38</v>
      </c>
      <c r="Q2736" t="s">
        <v>1692</v>
      </c>
      <c r="R2736" t="s">
        <v>3180</v>
      </c>
      <c r="S2736" t="s">
        <v>338</v>
      </c>
    </row>
    <row r="2737" spans="1:19" x14ac:dyDescent="0.25">
      <c r="A2737" t="s">
        <v>59</v>
      </c>
      <c r="B2737" t="s">
        <v>60</v>
      </c>
      <c r="C2737" t="s">
        <v>32</v>
      </c>
      <c r="D2737" t="s">
        <v>336</v>
      </c>
      <c r="E2737" t="s">
        <v>3223</v>
      </c>
      <c r="F2737" t="s">
        <v>35</v>
      </c>
      <c r="G2737" t="s">
        <v>35</v>
      </c>
      <c r="H2737" t="s">
        <v>35</v>
      </c>
      <c r="J2737" t="s">
        <v>3228</v>
      </c>
      <c r="K2737" t="s">
        <v>1092</v>
      </c>
      <c r="M2737">
        <v>1.4</v>
      </c>
      <c r="N2737">
        <v>131</v>
      </c>
      <c r="O2737" t="s">
        <v>38</v>
      </c>
      <c r="Q2737" t="s">
        <v>646</v>
      </c>
      <c r="R2737" t="s">
        <v>3180</v>
      </c>
      <c r="S2737" t="s">
        <v>338</v>
      </c>
    </row>
    <row r="2738" spans="1:19" x14ac:dyDescent="0.25">
      <c r="A2738" t="s">
        <v>44</v>
      </c>
      <c r="B2738" t="s">
        <v>51</v>
      </c>
      <c r="C2738" t="s">
        <v>32</v>
      </c>
      <c r="D2738" t="s">
        <v>336</v>
      </c>
      <c r="E2738" t="s">
        <v>3223</v>
      </c>
      <c r="F2738" t="s">
        <v>35</v>
      </c>
      <c r="G2738" t="s">
        <v>35</v>
      </c>
      <c r="H2738" t="s">
        <v>35</v>
      </c>
      <c r="J2738" t="s">
        <v>3228</v>
      </c>
      <c r="K2738" t="s">
        <v>1092</v>
      </c>
      <c r="M2738">
        <v>4.4000000000000004</v>
      </c>
      <c r="N2738">
        <v>61</v>
      </c>
      <c r="O2738" t="s">
        <v>61</v>
      </c>
      <c r="Q2738" t="s">
        <v>671</v>
      </c>
      <c r="R2738" t="s">
        <v>3180</v>
      </c>
      <c r="S2738" t="s">
        <v>338</v>
      </c>
    </row>
    <row r="2739" spans="1:19" x14ac:dyDescent="0.25">
      <c r="A2739" t="s">
        <v>59</v>
      </c>
      <c r="B2739" t="s">
        <v>31</v>
      </c>
      <c r="C2739" t="s">
        <v>32</v>
      </c>
      <c r="D2739" t="s">
        <v>336</v>
      </c>
      <c r="E2739" t="s">
        <v>3223</v>
      </c>
      <c r="F2739" t="s">
        <v>35</v>
      </c>
      <c r="G2739" t="s">
        <v>35</v>
      </c>
      <c r="H2739" t="s">
        <v>35</v>
      </c>
      <c r="J2739" t="s">
        <v>3229</v>
      </c>
      <c r="K2739" t="s">
        <v>1092</v>
      </c>
      <c r="M2739">
        <v>4.9950000000000001</v>
      </c>
      <c r="N2739">
        <v>131</v>
      </c>
      <c r="O2739" t="s">
        <v>38</v>
      </c>
      <c r="Q2739" t="s">
        <v>646</v>
      </c>
      <c r="R2739" t="s">
        <v>3180</v>
      </c>
      <c r="S2739" t="s">
        <v>338</v>
      </c>
    </row>
    <row r="2740" spans="1:19" x14ac:dyDescent="0.25">
      <c r="A2740" t="s">
        <v>30</v>
      </c>
      <c r="B2740" t="s">
        <v>31</v>
      </c>
      <c r="C2740" t="s">
        <v>32</v>
      </c>
      <c r="D2740" t="s">
        <v>336</v>
      </c>
      <c r="E2740" t="s">
        <v>3223</v>
      </c>
      <c r="F2740" t="s">
        <v>35</v>
      </c>
      <c r="G2740" t="s">
        <v>35</v>
      </c>
      <c r="H2740" t="s">
        <v>35</v>
      </c>
      <c r="J2740" t="s">
        <v>3229</v>
      </c>
      <c r="K2740" t="s">
        <v>1092</v>
      </c>
      <c r="M2740">
        <v>4.7249999999999996</v>
      </c>
      <c r="N2740">
        <v>74</v>
      </c>
      <c r="O2740" t="s">
        <v>61</v>
      </c>
      <c r="Q2740" t="s">
        <v>488</v>
      </c>
      <c r="R2740" t="s">
        <v>3180</v>
      </c>
      <c r="S2740" t="s">
        <v>338</v>
      </c>
    </row>
    <row r="2741" spans="1:19" x14ac:dyDescent="0.25">
      <c r="A2741" t="s">
        <v>44</v>
      </c>
      <c r="B2741" t="s">
        <v>51</v>
      </c>
      <c r="C2741" t="s">
        <v>32</v>
      </c>
      <c r="D2741" t="s">
        <v>336</v>
      </c>
      <c r="E2741" t="s">
        <v>3223</v>
      </c>
      <c r="F2741" t="s">
        <v>35</v>
      </c>
      <c r="G2741" t="s">
        <v>35</v>
      </c>
      <c r="H2741" t="s">
        <v>35</v>
      </c>
      <c r="J2741" t="s">
        <v>3229</v>
      </c>
      <c r="K2741" t="s">
        <v>1092</v>
      </c>
      <c r="M2741">
        <v>3.1</v>
      </c>
      <c r="N2741">
        <v>248</v>
      </c>
      <c r="O2741" t="s">
        <v>5</v>
      </c>
      <c r="Q2741" t="s">
        <v>1154</v>
      </c>
      <c r="R2741" t="s">
        <v>3180</v>
      </c>
      <c r="S2741" t="s">
        <v>338</v>
      </c>
    </row>
    <row r="2742" spans="1:19" x14ac:dyDescent="0.25">
      <c r="A2742" t="s">
        <v>59</v>
      </c>
      <c r="B2742" t="s">
        <v>60</v>
      </c>
      <c r="C2742" t="s">
        <v>32</v>
      </c>
      <c r="D2742" t="s">
        <v>336</v>
      </c>
      <c r="E2742" t="s">
        <v>3223</v>
      </c>
      <c r="F2742" t="s">
        <v>35</v>
      </c>
      <c r="G2742" t="s">
        <v>35</v>
      </c>
      <c r="H2742" t="s">
        <v>35</v>
      </c>
      <c r="J2742" t="s">
        <v>3229</v>
      </c>
      <c r="K2742" t="s">
        <v>1092</v>
      </c>
      <c r="M2742">
        <v>3.45</v>
      </c>
      <c r="N2742">
        <v>131</v>
      </c>
      <c r="O2742" t="s">
        <v>38</v>
      </c>
      <c r="Q2742" t="s">
        <v>646</v>
      </c>
      <c r="R2742" t="s">
        <v>3180</v>
      </c>
      <c r="S2742" t="s">
        <v>338</v>
      </c>
    </row>
    <row r="2743" spans="1:19" x14ac:dyDescent="0.25">
      <c r="A2743" t="s">
        <v>44</v>
      </c>
      <c r="B2743" t="s">
        <v>51</v>
      </c>
      <c r="C2743" t="s">
        <v>32</v>
      </c>
      <c r="D2743" t="s">
        <v>336</v>
      </c>
      <c r="E2743" t="s">
        <v>3223</v>
      </c>
      <c r="F2743" t="s">
        <v>35</v>
      </c>
      <c r="G2743" t="s">
        <v>35</v>
      </c>
      <c r="H2743" t="s">
        <v>35</v>
      </c>
      <c r="J2743" t="s">
        <v>3230</v>
      </c>
      <c r="K2743" t="s">
        <v>1092</v>
      </c>
      <c r="M2743">
        <v>6</v>
      </c>
      <c r="N2743">
        <v>61</v>
      </c>
      <c r="O2743" t="s">
        <v>61</v>
      </c>
      <c r="Q2743" t="s">
        <v>671</v>
      </c>
      <c r="R2743" t="s">
        <v>3180</v>
      </c>
      <c r="S2743" t="s">
        <v>338</v>
      </c>
    </row>
    <row r="2744" spans="1:19" x14ac:dyDescent="0.25">
      <c r="A2744" t="s">
        <v>59</v>
      </c>
      <c r="B2744" t="s">
        <v>31</v>
      </c>
      <c r="C2744" t="s">
        <v>32</v>
      </c>
      <c r="D2744" t="s">
        <v>336</v>
      </c>
      <c r="E2744" t="s">
        <v>3223</v>
      </c>
      <c r="F2744" t="s">
        <v>35</v>
      </c>
      <c r="G2744" t="s">
        <v>35</v>
      </c>
      <c r="H2744" t="s">
        <v>35</v>
      </c>
      <c r="J2744" t="s">
        <v>3230</v>
      </c>
      <c r="K2744" t="s">
        <v>1092</v>
      </c>
      <c r="M2744">
        <v>3.915</v>
      </c>
      <c r="N2744">
        <v>569</v>
      </c>
      <c r="O2744" t="s">
        <v>575</v>
      </c>
      <c r="Q2744" t="s">
        <v>1401</v>
      </c>
      <c r="R2744" t="s">
        <v>3180</v>
      </c>
      <c r="S2744" t="s">
        <v>338</v>
      </c>
    </row>
    <row r="2745" spans="1:19" x14ac:dyDescent="0.25">
      <c r="A2745" t="s">
        <v>59</v>
      </c>
      <c r="B2745" t="s">
        <v>60</v>
      </c>
      <c r="C2745" t="s">
        <v>32</v>
      </c>
      <c r="D2745" t="s">
        <v>336</v>
      </c>
      <c r="E2745" t="s">
        <v>3223</v>
      </c>
      <c r="F2745" t="s">
        <v>35</v>
      </c>
      <c r="G2745" t="s">
        <v>35</v>
      </c>
      <c r="H2745" t="s">
        <v>35</v>
      </c>
      <c r="J2745" t="s">
        <v>3230</v>
      </c>
      <c r="K2745" t="s">
        <v>1092</v>
      </c>
      <c r="M2745">
        <v>4.25</v>
      </c>
      <c r="N2745">
        <v>131</v>
      </c>
      <c r="O2745" t="s">
        <v>38</v>
      </c>
      <c r="Q2745" t="s">
        <v>646</v>
      </c>
      <c r="R2745" t="s">
        <v>3180</v>
      </c>
      <c r="S2745" t="s">
        <v>338</v>
      </c>
    </row>
    <row r="2746" spans="1:19" x14ac:dyDescent="0.25">
      <c r="A2746" t="s">
        <v>59</v>
      </c>
      <c r="B2746" t="s">
        <v>31</v>
      </c>
      <c r="C2746" t="s">
        <v>32</v>
      </c>
      <c r="D2746" t="s">
        <v>336</v>
      </c>
      <c r="E2746" t="s">
        <v>3223</v>
      </c>
      <c r="F2746" t="s">
        <v>35</v>
      </c>
      <c r="G2746" t="s">
        <v>35</v>
      </c>
      <c r="H2746" t="s">
        <v>35</v>
      </c>
      <c r="J2746" t="s">
        <v>3230</v>
      </c>
      <c r="K2746" t="s">
        <v>1092</v>
      </c>
      <c r="M2746">
        <v>5.9850000000000003</v>
      </c>
      <c r="N2746">
        <v>131</v>
      </c>
      <c r="O2746" t="s">
        <v>38</v>
      </c>
      <c r="Q2746" t="s">
        <v>646</v>
      </c>
      <c r="R2746" t="s">
        <v>3180</v>
      </c>
      <c r="S2746" t="s">
        <v>338</v>
      </c>
    </row>
    <row r="2747" spans="1:19" x14ac:dyDescent="0.25">
      <c r="A2747" t="s">
        <v>30</v>
      </c>
      <c r="B2747" t="s">
        <v>31</v>
      </c>
      <c r="C2747" t="s">
        <v>32</v>
      </c>
      <c r="D2747" t="s">
        <v>336</v>
      </c>
      <c r="E2747" t="s">
        <v>3223</v>
      </c>
      <c r="F2747" t="s">
        <v>35</v>
      </c>
      <c r="G2747" t="s">
        <v>35</v>
      </c>
      <c r="H2747" t="s">
        <v>35</v>
      </c>
      <c r="J2747" t="s">
        <v>3230</v>
      </c>
      <c r="K2747" t="s">
        <v>1092</v>
      </c>
      <c r="M2747">
        <v>0.04</v>
      </c>
      <c r="N2747">
        <v>175</v>
      </c>
      <c r="O2747" t="s">
        <v>38</v>
      </c>
      <c r="Q2747" t="s">
        <v>1692</v>
      </c>
      <c r="R2747" t="s">
        <v>3180</v>
      </c>
      <c r="S2747" t="s">
        <v>338</v>
      </c>
    </row>
    <row r="2748" spans="1:19" x14ac:dyDescent="0.25">
      <c r="A2748" t="s">
        <v>30</v>
      </c>
      <c r="B2748" t="s">
        <v>31</v>
      </c>
      <c r="C2748" t="s">
        <v>32</v>
      </c>
      <c r="D2748" t="s">
        <v>336</v>
      </c>
      <c r="E2748" t="s">
        <v>3223</v>
      </c>
      <c r="F2748" t="s">
        <v>35</v>
      </c>
      <c r="G2748" t="s">
        <v>35</v>
      </c>
      <c r="H2748" t="s">
        <v>35</v>
      </c>
      <c r="J2748" t="s">
        <v>3231</v>
      </c>
      <c r="K2748" t="s">
        <v>1092</v>
      </c>
      <c r="M2748">
        <v>2.25</v>
      </c>
      <c r="N2748">
        <v>482</v>
      </c>
      <c r="O2748" t="s">
        <v>294</v>
      </c>
      <c r="Q2748" t="s">
        <v>3207</v>
      </c>
      <c r="R2748" t="s">
        <v>3180</v>
      </c>
      <c r="S2748" t="s">
        <v>338</v>
      </c>
    </row>
    <row r="2749" spans="1:19" x14ac:dyDescent="0.25">
      <c r="A2749" t="s">
        <v>59</v>
      </c>
      <c r="B2749" t="s">
        <v>60</v>
      </c>
      <c r="C2749" t="s">
        <v>32</v>
      </c>
      <c r="D2749" t="s">
        <v>336</v>
      </c>
      <c r="E2749" t="s">
        <v>3223</v>
      </c>
      <c r="F2749" t="s">
        <v>35</v>
      </c>
      <c r="G2749" t="s">
        <v>35</v>
      </c>
      <c r="H2749" t="s">
        <v>35</v>
      </c>
      <c r="J2749" t="s">
        <v>3231</v>
      </c>
      <c r="K2749" t="s">
        <v>1092</v>
      </c>
      <c r="M2749">
        <v>0.9</v>
      </c>
      <c r="N2749">
        <v>131</v>
      </c>
      <c r="O2749" t="s">
        <v>38</v>
      </c>
      <c r="Q2749" t="s">
        <v>646</v>
      </c>
      <c r="R2749" t="s">
        <v>3180</v>
      </c>
      <c r="S2749" t="s">
        <v>338</v>
      </c>
    </row>
    <row r="2750" spans="1:19" x14ac:dyDescent="0.25">
      <c r="A2750" t="s">
        <v>59</v>
      </c>
      <c r="B2750" t="s">
        <v>31</v>
      </c>
      <c r="C2750" t="s">
        <v>32</v>
      </c>
      <c r="D2750" t="s">
        <v>336</v>
      </c>
      <c r="E2750" t="s">
        <v>3223</v>
      </c>
      <c r="F2750" t="s">
        <v>35</v>
      </c>
      <c r="G2750" t="s">
        <v>35</v>
      </c>
      <c r="H2750" t="s">
        <v>35</v>
      </c>
      <c r="J2750" t="s">
        <v>3231</v>
      </c>
      <c r="K2750" t="s">
        <v>1092</v>
      </c>
      <c r="M2750">
        <v>4.9950000000000001</v>
      </c>
      <c r="N2750">
        <v>131</v>
      </c>
      <c r="O2750" t="s">
        <v>38</v>
      </c>
      <c r="Q2750" t="s">
        <v>646</v>
      </c>
      <c r="R2750" t="s">
        <v>3180</v>
      </c>
      <c r="S2750" t="s">
        <v>338</v>
      </c>
    </row>
    <row r="2751" spans="1:19" x14ac:dyDescent="0.25">
      <c r="A2751" t="s">
        <v>30</v>
      </c>
      <c r="B2751" t="s">
        <v>31</v>
      </c>
      <c r="C2751" t="s">
        <v>32</v>
      </c>
      <c r="D2751" t="s">
        <v>336</v>
      </c>
      <c r="E2751" t="s">
        <v>3223</v>
      </c>
      <c r="F2751" t="s">
        <v>35</v>
      </c>
      <c r="G2751" t="s">
        <v>35</v>
      </c>
      <c r="H2751" t="s">
        <v>35</v>
      </c>
      <c r="J2751" t="s">
        <v>3231</v>
      </c>
      <c r="K2751" t="s">
        <v>1092</v>
      </c>
      <c r="M2751">
        <v>13.005000000000001</v>
      </c>
      <c r="N2751">
        <v>175</v>
      </c>
      <c r="O2751" t="s">
        <v>38</v>
      </c>
      <c r="Q2751" t="s">
        <v>1692</v>
      </c>
      <c r="R2751" t="s">
        <v>3180</v>
      </c>
      <c r="S2751" t="s">
        <v>338</v>
      </c>
    </row>
    <row r="2752" spans="1:19" x14ac:dyDescent="0.25">
      <c r="A2752" t="s">
        <v>59</v>
      </c>
      <c r="B2752" t="s">
        <v>31</v>
      </c>
      <c r="C2752" t="s">
        <v>32</v>
      </c>
      <c r="D2752" t="s">
        <v>336</v>
      </c>
      <c r="E2752" t="s">
        <v>3223</v>
      </c>
      <c r="F2752" t="s">
        <v>35</v>
      </c>
      <c r="G2752" t="s">
        <v>35</v>
      </c>
      <c r="H2752" t="s">
        <v>35</v>
      </c>
      <c r="J2752" t="s">
        <v>3231</v>
      </c>
      <c r="K2752" t="s">
        <v>1092</v>
      </c>
      <c r="M2752">
        <v>0.40500000000000003</v>
      </c>
      <c r="N2752">
        <v>265</v>
      </c>
      <c r="O2752" t="s">
        <v>5</v>
      </c>
      <c r="Q2752" t="s">
        <v>1754</v>
      </c>
      <c r="R2752" t="s">
        <v>3180</v>
      </c>
      <c r="S2752" t="s">
        <v>338</v>
      </c>
    </row>
    <row r="2753" spans="1:19" x14ac:dyDescent="0.25">
      <c r="A2753" t="s">
        <v>59</v>
      </c>
      <c r="B2753" t="s">
        <v>60</v>
      </c>
      <c r="C2753" t="s">
        <v>32</v>
      </c>
      <c r="D2753" t="s">
        <v>336</v>
      </c>
      <c r="E2753" t="s">
        <v>3223</v>
      </c>
      <c r="F2753" t="s">
        <v>35</v>
      </c>
      <c r="G2753" t="s">
        <v>35</v>
      </c>
      <c r="H2753" t="s">
        <v>35</v>
      </c>
      <c r="J2753" t="s">
        <v>3232</v>
      </c>
      <c r="K2753" t="s">
        <v>1092</v>
      </c>
      <c r="M2753">
        <v>0.25</v>
      </c>
      <c r="N2753">
        <v>265</v>
      </c>
      <c r="O2753" t="s">
        <v>5</v>
      </c>
      <c r="Q2753" t="s">
        <v>1754</v>
      </c>
      <c r="R2753" t="s">
        <v>3180</v>
      </c>
      <c r="S2753" t="s">
        <v>338</v>
      </c>
    </row>
    <row r="2754" spans="1:19" x14ac:dyDescent="0.25">
      <c r="A2754" t="s">
        <v>59</v>
      </c>
      <c r="B2754" t="s">
        <v>31</v>
      </c>
      <c r="C2754" t="s">
        <v>32</v>
      </c>
      <c r="D2754" t="s">
        <v>336</v>
      </c>
      <c r="E2754" t="s">
        <v>3223</v>
      </c>
      <c r="F2754" t="s">
        <v>35</v>
      </c>
      <c r="G2754" t="s">
        <v>35</v>
      </c>
      <c r="H2754" t="s">
        <v>35</v>
      </c>
      <c r="J2754" t="s">
        <v>3232</v>
      </c>
      <c r="K2754" t="s">
        <v>1092</v>
      </c>
      <c r="M2754">
        <v>0.02</v>
      </c>
      <c r="N2754">
        <v>130</v>
      </c>
      <c r="O2754" t="s">
        <v>38</v>
      </c>
      <c r="Q2754" t="s">
        <v>1656</v>
      </c>
      <c r="R2754" t="s">
        <v>3180</v>
      </c>
      <c r="S2754" t="s">
        <v>338</v>
      </c>
    </row>
    <row r="2755" spans="1:19" x14ac:dyDescent="0.25">
      <c r="A2755" t="s">
        <v>59</v>
      </c>
      <c r="B2755" t="s">
        <v>31</v>
      </c>
      <c r="C2755" t="s">
        <v>32</v>
      </c>
      <c r="D2755" t="s">
        <v>336</v>
      </c>
      <c r="E2755" t="s">
        <v>3223</v>
      </c>
      <c r="F2755" t="s">
        <v>35</v>
      </c>
      <c r="G2755" t="s">
        <v>35</v>
      </c>
      <c r="H2755" t="s">
        <v>35</v>
      </c>
      <c r="J2755" t="s">
        <v>3233</v>
      </c>
      <c r="K2755" t="s">
        <v>1092</v>
      </c>
      <c r="M2755">
        <v>3.51</v>
      </c>
      <c r="N2755">
        <v>131</v>
      </c>
      <c r="O2755" t="s">
        <v>38</v>
      </c>
      <c r="Q2755" t="s">
        <v>646</v>
      </c>
      <c r="R2755" t="s">
        <v>3180</v>
      </c>
      <c r="S2755" t="s">
        <v>338</v>
      </c>
    </row>
    <row r="2756" spans="1:19" x14ac:dyDescent="0.25">
      <c r="A2756" t="s">
        <v>59</v>
      </c>
      <c r="B2756" t="s">
        <v>60</v>
      </c>
      <c r="C2756" t="s">
        <v>32</v>
      </c>
      <c r="D2756" t="s">
        <v>336</v>
      </c>
      <c r="E2756" t="s">
        <v>3223</v>
      </c>
      <c r="F2756" t="s">
        <v>35</v>
      </c>
      <c r="G2756" t="s">
        <v>35</v>
      </c>
      <c r="H2756" t="s">
        <v>35</v>
      </c>
      <c r="J2756" t="s">
        <v>3233</v>
      </c>
      <c r="K2756" t="s">
        <v>1092</v>
      </c>
      <c r="M2756">
        <v>2.2999999999999998</v>
      </c>
      <c r="N2756">
        <v>131</v>
      </c>
      <c r="O2756" t="s">
        <v>38</v>
      </c>
      <c r="Q2756" t="s">
        <v>646</v>
      </c>
      <c r="R2756" t="s">
        <v>3180</v>
      </c>
      <c r="S2756" t="s">
        <v>338</v>
      </c>
    </row>
    <row r="2757" spans="1:19" x14ac:dyDescent="0.25">
      <c r="A2757" t="s">
        <v>30</v>
      </c>
      <c r="B2757" t="s">
        <v>31</v>
      </c>
      <c r="C2757" t="s">
        <v>32</v>
      </c>
      <c r="D2757" t="s">
        <v>336</v>
      </c>
      <c r="E2757" t="s">
        <v>3223</v>
      </c>
      <c r="F2757" t="s">
        <v>35</v>
      </c>
      <c r="G2757" t="s">
        <v>35</v>
      </c>
      <c r="H2757" t="s">
        <v>35</v>
      </c>
      <c r="J2757" t="s">
        <v>3234</v>
      </c>
      <c r="K2757" t="s">
        <v>1092</v>
      </c>
      <c r="M2757">
        <v>1.08</v>
      </c>
      <c r="N2757">
        <v>175</v>
      </c>
      <c r="O2757" t="s">
        <v>38</v>
      </c>
      <c r="Q2757" t="s">
        <v>1692</v>
      </c>
      <c r="R2757" t="s">
        <v>3180</v>
      </c>
      <c r="S2757" t="s">
        <v>338</v>
      </c>
    </row>
    <row r="2758" spans="1:19" x14ac:dyDescent="0.25">
      <c r="A2758" t="s">
        <v>44</v>
      </c>
      <c r="B2758" t="s">
        <v>51</v>
      </c>
      <c r="C2758" t="s">
        <v>32</v>
      </c>
      <c r="D2758" t="s">
        <v>336</v>
      </c>
      <c r="E2758" t="s">
        <v>3223</v>
      </c>
      <c r="F2758" t="s">
        <v>35</v>
      </c>
      <c r="G2758" t="s">
        <v>35</v>
      </c>
      <c r="H2758" t="s">
        <v>35</v>
      </c>
      <c r="J2758" t="s">
        <v>3234</v>
      </c>
      <c r="K2758" t="s">
        <v>1092</v>
      </c>
      <c r="M2758">
        <v>2.7</v>
      </c>
      <c r="N2758">
        <v>248</v>
      </c>
      <c r="O2758" t="s">
        <v>5</v>
      </c>
      <c r="Q2758" t="s">
        <v>1154</v>
      </c>
      <c r="R2758" t="s">
        <v>3180</v>
      </c>
      <c r="S2758" t="s">
        <v>338</v>
      </c>
    </row>
    <row r="2759" spans="1:19" x14ac:dyDescent="0.25">
      <c r="A2759" t="s">
        <v>59</v>
      </c>
      <c r="B2759" t="s">
        <v>31</v>
      </c>
      <c r="C2759" t="s">
        <v>32</v>
      </c>
      <c r="D2759" t="s">
        <v>336</v>
      </c>
      <c r="E2759" t="s">
        <v>3223</v>
      </c>
      <c r="F2759" t="s">
        <v>35</v>
      </c>
      <c r="G2759" t="s">
        <v>35</v>
      </c>
      <c r="H2759" t="s">
        <v>35</v>
      </c>
      <c r="J2759" t="s">
        <v>3234</v>
      </c>
      <c r="K2759" t="s">
        <v>1092</v>
      </c>
      <c r="M2759">
        <v>2.5649999999999999</v>
      </c>
      <c r="N2759">
        <v>265</v>
      </c>
      <c r="O2759" t="s">
        <v>5</v>
      </c>
      <c r="Q2759" t="s">
        <v>1754</v>
      </c>
      <c r="R2759" t="s">
        <v>3180</v>
      </c>
      <c r="S2759" t="s">
        <v>338</v>
      </c>
    </row>
    <row r="2760" spans="1:19" x14ac:dyDescent="0.25">
      <c r="A2760" t="s">
        <v>59</v>
      </c>
      <c r="B2760" t="s">
        <v>60</v>
      </c>
      <c r="C2760" t="s">
        <v>32</v>
      </c>
      <c r="D2760" t="s">
        <v>336</v>
      </c>
      <c r="E2760" t="s">
        <v>3223</v>
      </c>
      <c r="F2760" t="s">
        <v>35</v>
      </c>
      <c r="G2760" t="s">
        <v>35</v>
      </c>
      <c r="H2760" t="s">
        <v>35</v>
      </c>
      <c r="J2760" t="s">
        <v>3234</v>
      </c>
      <c r="K2760" t="s">
        <v>1092</v>
      </c>
      <c r="M2760">
        <v>2.0499999999999998</v>
      </c>
      <c r="N2760">
        <v>264</v>
      </c>
      <c r="O2760" t="s">
        <v>5</v>
      </c>
      <c r="Q2760" t="s">
        <v>1721</v>
      </c>
      <c r="R2760" t="s">
        <v>3180</v>
      </c>
      <c r="S2760" t="s">
        <v>338</v>
      </c>
    </row>
    <row r="2761" spans="1:19" x14ac:dyDescent="0.25">
      <c r="A2761" t="s">
        <v>59</v>
      </c>
      <c r="B2761" t="s">
        <v>60</v>
      </c>
      <c r="C2761" t="s">
        <v>32</v>
      </c>
      <c r="D2761" t="s">
        <v>336</v>
      </c>
      <c r="E2761" t="s">
        <v>337</v>
      </c>
      <c r="F2761" t="s">
        <v>35</v>
      </c>
      <c r="G2761" t="s">
        <v>35</v>
      </c>
      <c r="H2761" t="s">
        <v>35</v>
      </c>
      <c r="J2761" t="s">
        <v>3235</v>
      </c>
      <c r="K2761" t="s">
        <v>404</v>
      </c>
      <c r="M2761">
        <v>4.55</v>
      </c>
      <c r="N2761">
        <v>265</v>
      </c>
      <c r="O2761" t="s">
        <v>5</v>
      </c>
      <c r="Q2761" t="s">
        <v>1754</v>
      </c>
      <c r="R2761" t="s">
        <v>3180</v>
      </c>
      <c r="S2761" t="s">
        <v>338</v>
      </c>
    </row>
    <row r="2762" spans="1:19" x14ac:dyDescent="0.25">
      <c r="A2762" t="s">
        <v>44</v>
      </c>
      <c r="B2762" t="s">
        <v>51</v>
      </c>
      <c r="C2762" t="s">
        <v>32</v>
      </c>
      <c r="D2762" t="s">
        <v>336</v>
      </c>
      <c r="E2762" t="s">
        <v>337</v>
      </c>
      <c r="F2762" t="s">
        <v>35</v>
      </c>
      <c r="G2762" t="s">
        <v>35</v>
      </c>
      <c r="H2762" t="s">
        <v>35</v>
      </c>
      <c r="J2762" t="s">
        <v>3236</v>
      </c>
      <c r="K2762" t="s">
        <v>1092</v>
      </c>
      <c r="M2762">
        <v>3.75</v>
      </c>
      <c r="N2762">
        <v>61</v>
      </c>
      <c r="O2762" t="s">
        <v>61</v>
      </c>
      <c r="Q2762" t="s">
        <v>671</v>
      </c>
      <c r="R2762" t="s">
        <v>3180</v>
      </c>
      <c r="S2762" t="s">
        <v>338</v>
      </c>
    </row>
    <row r="2763" spans="1:19" x14ac:dyDescent="0.25">
      <c r="A2763" t="s">
        <v>44</v>
      </c>
      <c r="B2763" t="s">
        <v>51</v>
      </c>
      <c r="C2763" t="s">
        <v>32</v>
      </c>
      <c r="D2763" t="s">
        <v>336</v>
      </c>
      <c r="E2763" t="s">
        <v>337</v>
      </c>
      <c r="F2763" t="s">
        <v>35</v>
      </c>
      <c r="G2763" t="s">
        <v>35</v>
      </c>
      <c r="H2763" t="s">
        <v>35</v>
      </c>
      <c r="J2763" t="s">
        <v>3237</v>
      </c>
      <c r="K2763" t="s">
        <v>1092</v>
      </c>
      <c r="M2763">
        <v>4.8499999999999996</v>
      </c>
      <c r="N2763">
        <v>61</v>
      </c>
      <c r="O2763" t="s">
        <v>61</v>
      </c>
      <c r="Q2763" t="s">
        <v>671</v>
      </c>
      <c r="R2763" t="s">
        <v>3180</v>
      </c>
      <c r="S2763" t="s">
        <v>338</v>
      </c>
    </row>
    <row r="2764" spans="1:19" x14ac:dyDescent="0.25">
      <c r="A2764" t="s">
        <v>30</v>
      </c>
      <c r="B2764" t="s">
        <v>31</v>
      </c>
      <c r="C2764" t="s">
        <v>32</v>
      </c>
      <c r="D2764" t="s">
        <v>336</v>
      </c>
      <c r="E2764" t="s">
        <v>337</v>
      </c>
      <c r="F2764" t="s">
        <v>35</v>
      </c>
      <c r="G2764" t="s">
        <v>35</v>
      </c>
      <c r="H2764" t="s">
        <v>35</v>
      </c>
      <c r="J2764" t="s">
        <v>3237</v>
      </c>
      <c r="K2764" t="s">
        <v>1092</v>
      </c>
      <c r="M2764">
        <v>4.2300000000000004</v>
      </c>
      <c r="N2764">
        <v>74</v>
      </c>
      <c r="O2764" t="s">
        <v>61</v>
      </c>
      <c r="Q2764" t="s">
        <v>488</v>
      </c>
      <c r="R2764" t="s">
        <v>3180</v>
      </c>
      <c r="S2764" t="s">
        <v>338</v>
      </c>
    </row>
    <row r="2765" spans="1:19" x14ac:dyDescent="0.25">
      <c r="A2765" t="s">
        <v>59</v>
      </c>
      <c r="B2765" t="s">
        <v>60</v>
      </c>
      <c r="C2765" t="s">
        <v>32</v>
      </c>
      <c r="D2765" t="s">
        <v>336</v>
      </c>
      <c r="E2765" t="s">
        <v>337</v>
      </c>
      <c r="F2765" t="s">
        <v>35</v>
      </c>
      <c r="G2765" t="s">
        <v>35</v>
      </c>
      <c r="H2765" t="s">
        <v>35</v>
      </c>
      <c r="J2765" t="s">
        <v>3237</v>
      </c>
      <c r="K2765" t="s">
        <v>1092</v>
      </c>
      <c r="M2765">
        <v>2.1</v>
      </c>
      <c r="N2765">
        <v>131</v>
      </c>
      <c r="O2765" t="s">
        <v>38</v>
      </c>
      <c r="Q2765" t="s">
        <v>646</v>
      </c>
      <c r="R2765" t="s">
        <v>3180</v>
      </c>
      <c r="S2765" t="s">
        <v>338</v>
      </c>
    </row>
    <row r="2766" spans="1:19" x14ac:dyDescent="0.25">
      <c r="A2766" t="s">
        <v>59</v>
      </c>
      <c r="B2766" t="s">
        <v>60</v>
      </c>
      <c r="C2766" t="s">
        <v>32</v>
      </c>
      <c r="D2766" t="s">
        <v>336</v>
      </c>
      <c r="E2766" t="s">
        <v>337</v>
      </c>
      <c r="F2766" t="s">
        <v>35</v>
      </c>
      <c r="G2766" t="s">
        <v>35</v>
      </c>
      <c r="H2766" t="s">
        <v>35</v>
      </c>
      <c r="J2766" t="s">
        <v>3238</v>
      </c>
      <c r="K2766" t="s">
        <v>1092</v>
      </c>
      <c r="M2766">
        <v>6</v>
      </c>
      <c r="N2766">
        <v>115</v>
      </c>
      <c r="O2766" t="s">
        <v>106</v>
      </c>
      <c r="Q2766" t="s">
        <v>1195</v>
      </c>
      <c r="R2766" t="s">
        <v>3180</v>
      </c>
      <c r="S2766" t="s">
        <v>338</v>
      </c>
    </row>
    <row r="2767" spans="1:19" x14ac:dyDescent="0.25">
      <c r="A2767" t="s">
        <v>59</v>
      </c>
      <c r="B2767" t="s">
        <v>31</v>
      </c>
      <c r="C2767" t="s">
        <v>32</v>
      </c>
      <c r="D2767" t="s">
        <v>336</v>
      </c>
      <c r="E2767" t="s">
        <v>337</v>
      </c>
      <c r="F2767" t="s">
        <v>35</v>
      </c>
      <c r="G2767" t="s">
        <v>35</v>
      </c>
      <c r="H2767" t="s">
        <v>35</v>
      </c>
      <c r="J2767" t="s">
        <v>3238</v>
      </c>
      <c r="K2767" t="s">
        <v>1092</v>
      </c>
      <c r="M2767">
        <v>5.2649999999999997</v>
      </c>
      <c r="N2767">
        <v>115</v>
      </c>
      <c r="O2767" t="s">
        <v>106</v>
      </c>
      <c r="Q2767" t="s">
        <v>1195</v>
      </c>
      <c r="R2767" t="s">
        <v>3180</v>
      </c>
      <c r="S2767" t="s">
        <v>338</v>
      </c>
    </row>
    <row r="2768" spans="1:19" x14ac:dyDescent="0.25">
      <c r="A2768" t="s">
        <v>44</v>
      </c>
      <c r="B2768" t="s">
        <v>51</v>
      </c>
      <c r="C2768" t="s">
        <v>32</v>
      </c>
      <c r="D2768" t="s">
        <v>336</v>
      </c>
      <c r="E2768" t="s">
        <v>337</v>
      </c>
      <c r="F2768" t="s">
        <v>35</v>
      </c>
      <c r="G2768" t="s">
        <v>35</v>
      </c>
      <c r="H2768" t="s">
        <v>35</v>
      </c>
      <c r="J2768" t="s">
        <v>3239</v>
      </c>
      <c r="K2768" t="s">
        <v>1092</v>
      </c>
      <c r="M2768">
        <v>6</v>
      </c>
      <c r="N2768">
        <v>61</v>
      </c>
      <c r="O2768" t="s">
        <v>61</v>
      </c>
      <c r="Q2768" t="s">
        <v>671</v>
      </c>
      <c r="R2768" t="s">
        <v>3180</v>
      </c>
      <c r="S2768" t="s">
        <v>338</v>
      </c>
    </row>
    <row r="2769" spans="1:19" x14ac:dyDescent="0.25">
      <c r="A2769" t="s">
        <v>59</v>
      </c>
      <c r="B2769" t="s">
        <v>60</v>
      </c>
      <c r="C2769" t="s">
        <v>32</v>
      </c>
      <c r="D2769" t="s">
        <v>336</v>
      </c>
      <c r="E2769" t="s">
        <v>337</v>
      </c>
      <c r="F2769" t="s">
        <v>35</v>
      </c>
      <c r="G2769" t="s">
        <v>35</v>
      </c>
      <c r="H2769" t="s">
        <v>35</v>
      </c>
      <c r="J2769" t="s">
        <v>3239</v>
      </c>
      <c r="K2769" t="s">
        <v>1092</v>
      </c>
      <c r="M2769">
        <v>0.15</v>
      </c>
      <c r="N2769">
        <v>217</v>
      </c>
      <c r="O2769" t="s">
        <v>5</v>
      </c>
      <c r="Q2769" t="s">
        <v>1159</v>
      </c>
      <c r="R2769" t="s">
        <v>3180</v>
      </c>
      <c r="S2769" t="s">
        <v>338</v>
      </c>
    </row>
    <row r="2770" spans="1:19" x14ac:dyDescent="0.25">
      <c r="A2770" t="s">
        <v>59</v>
      </c>
      <c r="B2770" t="s">
        <v>31</v>
      </c>
      <c r="C2770" t="s">
        <v>32</v>
      </c>
      <c r="D2770" t="s">
        <v>336</v>
      </c>
      <c r="E2770" t="s">
        <v>337</v>
      </c>
      <c r="F2770" t="s">
        <v>35</v>
      </c>
      <c r="G2770" t="s">
        <v>35</v>
      </c>
      <c r="H2770" t="s">
        <v>35</v>
      </c>
      <c r="J2770" t="s">
        <v>3239</v>
      </c>
      <c r="K2770" t="s">
        <v>1092</v>
      </c>
      <c r="M2770">
        <v>4.4999999999999998E-2</v>
      </c>
      <c r="N2770">
        <v>265</v>
      </c>
      <c r="O2770" t="s">
        <v>5</v>
      </c>
      <c r="Q2770" t="s">
        <v>1754</v>
      </c>
      <c r="R2770" t="s">
        <v>3180</v>
      </c>
      <c r="S2770" t="s">
        <v>338</v>
      </c>
    </row>
    <row r="2771" spans="1:19" x14ac:dyDescent="0.25">
      <c r="A2771" t="s">
        <v>30</v>
      </c>
      <c r="B2771" t="s">
        <v>31</v>
      </c>
      <c r="C2771" t="s">
        <v>32</v>
      </c>
      <c r="D2771" t="s">
        <v>336</v>
      </c>
      <c r="E2771" t="s">
        <v>337</v>
      </c>
      <c r="F2771" t="s">
        <v>35</v>
      </c>
      <c r="G2771" t="s">
        <v>35</v>
      </c>
      <c r="H2771" t="s">
        <v>35</v>
      </c>
      <c r="J2771" t="s">
        <v>3239</v>
      </c>
      <c r="K2771" t="s">
        <v>1092</v>
      </c>
      <c r="M2771">
        <v>3.24</v>
      </c>
      <c r="N2771">
        <v>175</v>
      </c>
      <c r="O2771" t="s">
        <v>38</v>
      </c>
      <c r="Q2771" t="s">
        <v>1692</v>
      </c>
      <c r="R2771" t="s">
        <v>3180</v>
      </c>
      <c r="S2771" t="s">
        <v>338</v>
      </c>
    </row>
    <row r="2772" spans="1:19" x14ac:dyDescent="0.25">
      <c r="A2772" t="s">
        <v>59</v>
      </c>
      <c r="B2772" t="s">
        <v>31</v>
      </c>
      <c r="C2772" t="s">
        <v>32</v>
      </c>
      <c r="D2772" t="s">
        <v>336</v>
      </c>
      <c r="E2772" t="s">
        <v>337</v>
      </c>
      <c r="F2772" t="s">
        <v>35</v>
      </c>
      <c r="G2772" t="s">
        <v>35</v>
      </c>
      <c r="H2772" t="s">
        <v>35</v>
      </c>
      <c r="J2772" t="s">
        <v>3240</v>
      </c>
      <c r="K2772" t="s">
        <v>1092</v>
      </c>
      <c r="M2772">
        <v>3.15</v>
      </c>
      <c r="N2772">
        <v>265</v>
      </c>
      <c r="O2772" t="s">
        <v>5</v>
      </c>
      <c r="Q2772" t="s">
        <v>1754</v>
      </c>
      <c r="R2772" t="s">
        <v>3180</v>
      </c>
      <c r="S2772" t="s">
        <v>338</v>
      </c>
    </row>
    <row r="2773" spans="1:19" x14ac:dyDescent="0.25">
      <c r="A2773" t="s">
        <v>59</v>
      </c>
      <c r="B2773" t="s">
        <v>60</v>
      </c>
      <c r="C2773" t="s">
        <v>32</v>
      </c>
      <c r="D2773" t="s">
        <v>336</v>
      </c>
      <c r="E2773" t="s">
        <v>337</v>
      </c>
      <c r="F2773" t="s">
        <v>35</v>
      </c>
      <c r="G2773" t="s">
        <v>35</v>
      </c>
      <c r="H2773" t="s">
        <v>35</v>
      </c>
      <c r="J2773" t="s">
        <v>3241</v>
      </c>
      <c r="K2773" t="s">
        <v>1092</v>
      </c>
      <c r="M2773">
        <v>3.9</v>
      </c>
      <c r="N2773">
        <v>131</v>
      </c>
      <c r="O2773" t="s">
        <v>38</v>
      </c>
      <c r="Q2773" t="s">
        <v>646</v>
      </c>
      <c r="R2773" t="s">
        <v>3180</v>
      </c>
      <c r="S2773" t="s">
        <v>338</v>
      </c>
    </row>
    <row r="2774" spans="1:19" x14ac:dyDescent="0.25">
      <c r="A2774" t="s">
        <v>59</v>
      </c>
      <c r="B2774" t="s">
        <v>60</v>
      </c>
      <c r="C2774" t="s">
        <v>32</v>
      </c>
      <c r="D2774" t="s">
        <v>336</v>
      </c>
      <c r="E2774" t="s">
        <v>337</v>
      </c>
      <c r="F2774" t="s">
        <v>35</v>
      </c>
      <c r="G2774" t="s">
        <v>35</v>
      </c>
      <c r="H2774" t="s">
        <v>35</v>
      </c>
      <c r="J2774" t="s">
        <v>3242</v>
      </c>
      <c r="K2774" t="s">
        <v>1092</v>
      </c>
      <c r="M2774">
        <v>7.6</v>
      </c>
      <c r="N2774">
        <v>131</v>
      </c>
      <c r="O2774" t="s">
        <v>38</v>
      </c>
      <c r="Q2774" t="s">
        <v>646</v>
      </c>
      <c r="R2774" t="s">
        <v>3180</v>
      </c>
      <c r="S2774" t="s">
        <v>338</v>
      </c>
    </row>
    <row r="2775" spans="1:19" x14ac:dyDescent="0.25">
      <c r="A2775" t="s">
        <v>59</v>
      </c>
      <c r="B2775" t="s">
        <v>31</v>
      </c>
      <c r="C2775" t="s">
        <v>32</v>
      </c>
      <c r="D2775" t="s">
        <v>336</v>
      </c>
      <c r="E2775" t="s">
        <v>337</v>
      </c>
      <c r="F2775" t="s">
        <v>35</v>
      </c>
      <c r="G2775" t="s">
        <v>35</v>
      </c>
      <c r="H2775" t="s">
        <v>35</v>
      </c>
      <c r="J2775" t="s">
        <v>3243</v>
      </c>
      <c r="K2775" t="s">
        <v>1092</v>
      </c>
      <c r="M2775">
        <v>0.09</v>
      </c>
      <c r="N2775">
        <v>1633</v>
      </c>
      <c r="O2775" t="s">
        <v>575</v>
      </c>
      <c r="Q2775" t="s">
        <v>3248</v>
      </c>
      <c r="R2775" t="s">
        <v>3180</v>
      </c>
      <c r="S2775" t="s">
        <v>338</v>
      </c>
    </row>
    <row r="2776" spans="1:19" x14ac:dyDescent="0.25">
      <c r="A2776" t="s">
        <v>30</v>
      </c>
      <c r="B2776" t="s">
        <v>31</v>
      </c>
      <c r="C2776" t="s">
        <v>32</v>
      </c>
      <c r="D2776" t="s">
        <v>336</v>
      </c>
      <c r="E2776" t="s">
        <v>337</v>
      </c>
      <c r="F2776" t="s">
        <v>35</v>
      </c>
      <c r="G2776" t="s">
        <v>35</v>
      </c>
      <c r="H2776" t="s">
        <v>35</v>
      </c>
      <c r="J2776" t="s">
        <v>3243</v>
      </c>
      <c r="K2776" t="s">
        <v>1092</v>
      </c>
      <c r="M2776">
        <v>1.675</v>
      </c>
      <c r="N2776">
        <v>753</v>
      </c>
      <c r="O2776" t="s">
        <v>575</v>
      </c>
      <c r="Q2776" t="s">
        <v>3244</v>
      </c>
      <c r="R2776" t="s">
        <v>3245</v>
      </c>
      <c r="S2776" t="s">
        <v>3246</v>
      </c>
    </row>
    <row r="2777" spans="1:19" x14ac:dyDescent="0.25">
      <c r="A2777" t="s">
        <v>59</v>
      </c>
      <c r="B2777" t="s">
        <v>60</v>
      </c>
      <c r="C2777" t="s">
        <v>32</v>
      </c>
      <c r="D2777" t="s">
        <v>336</v>
      </c>
      <c r="E2777" t="s">
        <v>337</v>
      </c>
      <c r="F2777" t="s">
        <v>35</v>
      </c>
      <c r="G2777" t="s">
        <v>35</v>
      </c>
      <c r="H2777" t="s">
        <v>35</v>
      </c>
      <c r="J2777" t="s">
        <v>3243</v>
      </c>
      <c r="K2777" t="s">
        <v>1092</v>
      </c>
      <c r="M2777">
        <v>0.8</v>
      </c>
      <c r="N2777">
        <v>753</v>
      </c>
      <c r="O2777" t="s">
        <v>575</v>
      </c>
      <c r="Q2777" t="s">
        <v>3244</v>
      </c>
      <c r="R2777" t="s">
        <v>3245</v>
      </c>
      <c r="S2777" t="s">
        <v>3246</v>
      </c>
    </row>
    <row r="2778" spans="1:19" x14ac:dyDescent="0.25">
      <c r="A2778" t="s">
        <v>44</v>
      </c>
      <c r="B2778" t="s">
        <v>51</v>
      </c>
      <c r="C2778" t="s">
        <v>32</v>
      </c>
      <c r="D2778" t="s">
        <v>336</v>
      </c>
      <c r="E2778" t="s">
        <v>337</v>
      </c>
      <c r="F2778" t="s">
        <v>35</v>
      </c>
      <c r="G2778" t="s">
        <v>35</v>
      </c>
      <c r="H2778" t="s">
        <v>35</v>
      </c>
      <c r="J2778" t="s">
        <v>3249</v>
      </c>
      <c r="K2778" t="s">
        <v>1092</v>
      </c>
      <c r="M2778">
        <v>5.25</v>
      </c>
      <c r="N2778">
        <v>61</v>
      </c>
      <c r="O2778" t="s">
        <v>61</v>
      </c>
      <c r="Q2778" t="s">
        <v>671</v>
      </c>
      <c r="R2778" t="s">
        <v>3180</v>
      </c>
      <c r="S2778" t="s">
        <v>338</v>
      </c>
    </row>
    <row r="2779" spans="1:19" x14ac:dyDescent="0.25">
      <c r="A2779" t="s">
        <v>30</v>
      </c>
      <c r="B2779" t="s">
        <v>31</v>
      </c>
      <c r="C2779" t="s">
        <v>32</v>
      </c>
      <c r="D2779" t="s">
        <v>336</v>
      </c>
      <c r="E2779" t="s">
        <v>337</v>
      </c>
      <c r="F2779" t="s">
        <v>35</v>
      </c>
      <c r="G2779" t="s">
        <v>35</v>
      </c>
      <c r="H2779" t="s">
        <v>35</v>
      </c>
      <c r="J2779" t="s">
        <v>3250</v>
      </c>
      <c r="K2779" t="s">
        <v>1092</v>
      </c>
      <c r="M2779">
        <v>8.3249999999999993</v>
      </c>
      <c r="N2779">
        <v>74</v>
      </c>
      <c r="O2779" t="s">
        <v>61</v>
      </c>
      <c r="Q2779" t="s">
        <v>488</v>
      </c>
      <c r="R2779" t="s">
        <v>3180</v>
      </c>
      <c r="S2779" t="s">
        <v>338</v>
      </c>
    </row>
    <row r="2780" spans="1:19" x14ac:dyDescent="0.25">
      <c r="A2780" t="s">
        <v>59</v>
      </c>
      <c r="B2780" t="s">
        <v>60</v>
      </c>
      <c r="C2780" t="s">
        <v>32</v>
      </c>
      <c r="D2780" t="s">
        <v>336</v>
      </c>
      <c r="E2780" t="s">
        <v>337</v>
      </c>
      <c r="F2780" t="s">
        <v>35</v>
      </c>
      <c r="G2780" t="s">
        <v>35</v>
      </c>
      <c r="H2780" t="s">
        <v>35</v>
      </c>
      <c r="J2780" t="s">
        <v>3251</v>
      </c>
      <c r="K2780" t="s">
        <v>1092</v>
      </c>
      <c r="M2780">
        <v>0.8</v>
      </c>
      <c r="N2780">
        <v>264</v>
      </c>
      <c r="O2780" t="s">
        <v>5</v>
      </c>
      <c r="Q2780" t="s">
        <v>1721</v>
      </c>
      <c r="R2780" t="s">
        <v>3180</v>
      </c>
      <c r="S2780" t="s">
        <v>338</v>
      </c>
    </row>
    <row r="2781" spans="1:19" x14ac:dyDescent="0.25">
      <c r="A2781" t="s">
        <v>30</v>
      </c>
      <c r="B2781" t="s">
        <v>31</v>
      </c>
      <c r="C2781" t="s">
        <v>32</v>
      </c>
      <c r="D2781" t="s">
        <v>336</v>
      </c>
      <c r="E2781" t="s">
        <v>337</v>
      </c>
      <c r="F2781" t="s">
        <v>35</v>
      </c>
      <c r="G2781" t="s">
        <v>35</v>
      </c>
      <c r="H2781" t="s">
        <v>35</v>
      </c>
      <c r="J2781" t="s">
        <v>3252</v>
      </c>
      <c r="K2781" t="s">
        <v>1092</v>
      </c>
      <c r="M2781">
        <v>13.32</v>
      </c>
      <c r="N2781">
        <v>175</v>
      </c>
      <c r="O2781" t="s">
        <v>38</v>
      </c>
      <c r="Q2781" t="s">
        <v>1692</v>
      </c>
      <c r="R2781" t="s">
        <v>3180</v>
      </c>
      <c r="S2781" t="s">
        <v>338</v>
      </c>
    </row>
    <row r="2782" spans="1:19" x14ac:dyDescent="0.25">
      <c r="A2782" t="s">
        <v>59</v>
      </c>
      <c r="B2782" t="s">
        <v>60</v>
      </c>
      <c r="C2782" t="s">
        <v>32</v>
      </c>
      <c r="D2782" t="s">
        <v>336</v>
      </c>
      <c r="F2782" t="s">
        <v>35</v>
      </c>
      <c r="G2782" t="s">
        <v>35</v>
      </c>
      <c r="H2782" t="s">
        <v>35</v>
      </c>
      <c r="J2782" t="s">
        <v>3253</v>
      </c>
      <c r="K2782" t="s">
        <v>1092</v>
      </c>
      <c r="M2782">
        <v>6.8</v>
      </c>
      <c r="N2782">
        <v>131</v>
      </c>
      <c r="O2782" t="s">
        <v>38</v>
      </c>
      <c r="Q2782" t="s">
        <v>646</v>
      </c>
      <c r="R2782" t="s">
        <v>3180</v>
      </c>
      <c r="S2782" t="s">
        <v>338</v>
      </c>
    </row>
    <row r="2783" spans="1:19" x14ac:dyDescent="0.25">
      <c r="A2783" t="s">
        <v>30</v>
      </c>
      <c r="B2783" t="s">
        <v>31</v>
      </c>
      <c r="C2783" t="s">
        <v>32</v>
      </c>
      <c r="D2783" t="s">
        <v>336</v>
      </c>
      <c r="F2783" t="s">
        <v>35</v>
      </c>
      <c r="G2783" t="s">
        <v>35</v>
      </c>
      <c r="H2783" t="s">
        <v>35</v>
      </c>
      <c r="J2783" t="s">
        <v>3254</v>
      </c>
      <c r="K2783" t="s">
        <v>1092</v>
      </c>
      <c r="M2783">
        <v>0.85499999999999998</v>
      </c>
      <c r="N2783">
        <v>74</v>
      </c>
      <c r="O2783" t="s">
        <v>61</v>
      </c>
      <c r="Q2783" t="s">
        <v>488</v>
      </c>
      <c r="R2783" t="s">
        <v>3180</v>
      </c>
      <c r="S2783" t="s">
        <v>338</v>
      </c>
    </row>
    <row r="2784" spans="1:19" x14ac:dyDescent="0.25">
      <c r="A2784" t="s">
        <v>59</v>
      </c>
      <c r="B2784" t="s">
        <v>60</v>
      </c>
      <c r="C2784" t="s">
        <v>32</v>
      </c>
      <c r="D2784" t="s">
        <v>336</v>
      </c>
      <c r="F2784" t="s">
        <v>35</v>
      </c>
      <c r="G2784" t="s">
        <v>35</v>
      </c>
      <c r="H2784" t="s">
        <v>35</v>
      </c>
      <c r="J2784" t="s">
        <v>3255</v>
      </c>
      <c r="K2784" t="s">
        <v>1092</v>
      </c>
      <c r="M2784">
        <v>2</v>
      </c>
      <c r="N2784">
        <v>264</v>
      </c>
      <c r="O2784" t="s">
        <v>5</v>
      </c>
      <c r="Q2784" t="s">
        <v>1721</v>
      </c>
      <c r="R2784" t="s">
        <v>3180</v>
      </c>
      <c r="S2784" t="s">
        <v>338</v>
      </c>
    </row>
    <row r="2785" spans="1:19" x14ac:dyDescent="0.25">
      <c r="A2785" t="s">
        <v>44</v>
      </c>
      <c r="B2785" t="s">
        <v>51</v>
      </c>
      <c r="C2785" t="s">
        <v>32</v>
      </c>
      <c r="D2785" t="s">
        <v>336</v>
      </c>
      <c r="F2785" t="s">
        <v>35</v>
      </c>
      <c r="G2785" t="s">
        <v>35</v>
      </c>
      <c r="H2785" t="s">
        <v>35</v>
      </c>
      <c r="J2785" t="s">
        <v>3256</v>
      </c>
      <c r="K2785" t="s">
        <v>1092</v>
      </c>
      <c r="M2785">
        <v>1.75</v>
      </c>
      <c r="N2785">
        <v>926</v>
      </c>
      <c r="O2785" t="s">
        <v>575</v>
      </c>
      <c r="Q2785" t="s">
        <v>3257</v>
      </c>
      <c r="R2785" t="s">
        <v>3258</v>
      </c>
      <c r="S2785" t="s">
        <v>3259</v>
      </c>
    </row>
    <row r="2786" spans="1:19" x14ac:dyDescent="0.25">
      <c r="A2786" t="s">
        <v>59</v>
      </c>
      <c r="B2786" t="s">
        <v>31</v>
      </c>
      <c r="C2786" t="s">
        <v>32</v>
      </c>
      <c r="D2786" t="s">
        <v>336</v>
      </c>
      <c r="F2786" t="s">
        <v>35</v>
      </c>
      <c r="G2786" t="s">
        <v>35</v>
      </c>
      <c r="H2786" t="s">
        <v>35</v>
      </c>
      <c r="J2786" t="s">
        <v>3261</v>
      </c>
      <c r="K2786" t="s">
        <v>1092</v>
      </c>
      <c r="M2786">
        <v>8.2349999999999994</v>
      </c>
      <c r="N2786">
        <v>2090</v>
      </c>
      <c r="O2786" t="s">
        <v>575</v>
      </c>
      <c r="Q2786" t="s">
        <v>3262</v>
      </c>
      <c r="R2786" t="s">
        <v>3263</v>
      </c>
      <c r="S2786" t="s">
        <v>3264</v>
      </c>
    </row>
    <row r="2787" spans="1:19" x14ac:dyDescent="0.25">
      <c r="A2787" t="s">
        <v>59</v>
      </c>
      <c r="B2787" t="s">
        <v>60</v>
      </c>
      <c r="C2787" t="s">
        <v>32</v>
      </c>
      <c r="D2787" t="s">
        <v>341</v>
      </c>
      <c r="E2787" t="s">
        <v>3266</v>
      </c>
      <c r="F2787" t="s">
        <v>35</v>
      </c>
      <c r="G2787" t="s">
        <v>35</v>
      </c>
      <c r="H2787" t="s">
        <v>35</v>
      </c>
      <c r="J2787" t="s">
        <v>3267</v>
      </c>
      <c r="K2787" t="s">
        <v>1092</v>
      </c>
      <c r="M2787">
        <v>0.3</v>
      </c>
      <c r="N2787">
        <v>124</v>
      </c>
      <c r="O2787" t="s">
        <v>38</v>
      </c>
      <c r="Q2787" t="s">
        <v>406</v>
      </c>
      <c r="R2787" t="s">
        <v>347</v>
      </c>
      <c r="S2787" t="s">
        <v>348</v>
      </c>
    </row>
    <row r="2788" spans="1:19" x14ac:dyDescent="0.25">
      <c r="A2788" t="s">
        <v>30</v>
      </c>
      <c r="B2788" t="s">
        <v>31</v>
      </c>
      <c r="C2788" t="s">
        <v>32</v>
      </c>
      <c r="D2788" t="s">
        <v>341</v>
      </c>
      <c r="E2788" t="s">
        <v>3266</v>
      </c>
      <c r="F2788" t="s">
        <v>35</v>
      </c>
      <c r="G2788" t="s">
        <v>35</v>
      </c>
      <c r="H2788" t="s">
        <v>35</v>
      </c>
      <c r="J2788" t="s">
        <v>3268</v>
      </c>
      <c r="K2788" t="s">
        <v>1092</v>
      </c>
      <c r="M2788">
        <v>8.2799999999999994</v>
      </c>
      <c r="N2788">
        <v>53</v>
      </c>
      <c r="O2788" t="s">
        <v>52</v>
      </c>
      <c r="Q2788" t="s">
        <v>332</v>
      </c>
      <c r="R2788" t="s">
        <v>3269</v>
      </c>
      <c r="S2788" t="s">
        <v>3270</v>
      </c>
    </row>
    <row r="2789" spans="1:19" x14ac:dyDescent="0.25">
      <c r="A2789" t="s">
        <v>59</v>
      </c>
      <c r="B2789" t="s">
        <v>31</v>
      </c>
      <c r="C2789" t="s">
        <v>32</v>
      </c>
      <c r="D2789" t="s">
        <v>341</v>
      </c>
      <c r="E2789" t="s">
        <v>3272</v>
      </c>
      <c r="F2789" t="s">
        <v>35</v>
      </c>
      <c r="G2789" t="s">
        <v>35</v>
      </c>
      <c r="H2789" t="s">
        <v>35</v>
      </c>
      <c r="J2789" t="s">
        <v>3273</v>
      </c>
      <c r="K2789" t="s">
        <v>1092</v>
      </c>
      <c r="M2789">
        <v>2.25</v>
      </c>
      <c r="N2789">
        <v>98</v>
      </c>
      <c r="O2789" t="s">
        <v>106</v>
      </c>
      <c r="Q2789" t="s">
        <v>108</v>
      </c>
      <c r="R2789" t="s">
        <v>3274</v>
      </c>
      <c r="S2789" t="s">
        <v>3275</v>
      </c>
    </row>
    <row r="2790" spans="1:19" x14ac:dyDescent="0.25">
      <c r="A2790" t="s">
        <v>30</v>
      </c>
      <c r="B2790" t="s">
        <v>31</v>
      </c>
      <c r="C2790" t="s">
        <v>32</v>
      </c>
      <c r="D2790" t="s">
        <v>341</v>
      </c>
      <c r="E2790" t="s">
        <v>342</v>
      </c>
      <c r="F2790" t="s">
        <v>35</v>
      </c>
      <c r="G2790" t="s">
        <v>35</v>
      </c>
      <c r="H2790" t="s">
        <v>35</v>
      </c>
      <c r="J2790" t="s">
        <v>3280</v>
      </c>
      <c r="K2790" t="s">
        <v>1092</v>
      </c>
      <c r="M2790">
        <v>3.69</v>
      </c>
      <c r="N2790">
        <v>299</v>
      </c>
      <c r="O2790" t="s">
        <v>5</v>
      </c>
      <c r="Q2790" t="s">
        <v>3281</v>
      </c>
      <c r="R2790" t="s">
        <v>3269</v>
      </c>
      <c r="S2790" t="s">
        <v>3270</v>
      </c>
    </row>
    <row r="2791" spans="1:19" x14ac:dyDescent="0.25">
      <c r="A2791" t="s">
        <v>59</v>
      </c>
      <c r="B2791" t="s">
        <v>31</v>
      </c>
      <c r="C2791" t="s">
        <v>32</v>
      </c>
      <c r="D2791" t="s">
        <v>341</v>
      </c>
      <c r="E2791" t="s">
        <v>342</v>
      </c>
      <c r="F2791" t="s">
        <v>35</v>
      </c>
      <c r="G2791" t="s">
        <v>35</v>
      </c>
      <c r="H2791" t="s">
        <v>35</v>
      </c>
      <c r="J2791" t="s">
        <v>3282</v>
      </c>
      <c r="K2791" t="s">
        <v>1092</v>
      </c>
      <c r="M2791">
        <v>7.65</v>
      </c>
      <c r="N2791">
        <v>233</v>
      </c>
      <c r="O2791" t="s">
        <v>5</v>
      </c>
      <c r="Q2791" t="s">
        <v>2002</v>
      </c>
      <c r="R2791" t="s">
        <v>3279</v>
      </c>
      <c r="S2791" t="s">
        <v>343</v>
      </c>
    </row>
    <row r="2792" spans="1:19" x14ac:dyDescent="0.25">
      <c r="A2792" t="s">
        <v>30</v>
      </c>
      <c r="B2792" t="s">
        <v>31</v>
      </c>
      <c r="C2792" t="s">
        <v>32</v>
      </c>
      <c r="D2792" t="s">
        <v>341</v>
      </c>
      <c r="E2792" t="s">
        <v>342</v>
      </c>
      <c r="F2792" t="s">
        <v>35</v>
      </c>
      <c r="G2792" t="s">
        <v>35</v>
      </c>
      <c r="H2792" t="s">
        <v>35</v>
      </c>
      <c r="J2792" t="s">
        <v>3283</v>
      </c>
      <c r="K2792" t="s">
        <v>1092</v>
      </c>
      <c r="M2792">
        <v>8.2349999999999994</v>
      </c>
      <c r="N2792">
        <v>432</v>
      </c>
      <c r="O2792" t="s">
        <v>294</v>
      </c>
      <c r="Q2792" t="s">
        <v>1271</v>
      </c>
      <c r="R2792" t="s">
        <v>3269</v>
      </c>
      <c r="S2792" t="s">
        <v>3270</v>
      </c>
    </row>
    <row r="2793" spans="1:19" x14ac:dyDescent="0.25">
      <c r="A2793" t="s">
        <v>59</v>
      </c>
      <c r="B2793" t="s">
        <v>31</v>
      </c>
      <c r="C2793" t="s">
        <v>32</v>
      </c>
      <c r="D2793" t="s">
        <v>341</v>
      </c>
      <c r="E2793" t="s">
        <v>352</v>
      </c>
      <c r="F2793" t="s">
        <v>35</v>
      </c>
      <c r="G2793" t="s">
        <v>35</v>
      </c>
      <c r="H2793" t="s">
        <v>35</v>
      </c>
      <c r="J2793" t="s">
        <v>3270</v>
      </c>
      <c r="K2793" t="s">
        <v>1092</v>
      </c>
      <c r="M2793">
        <v>0.13500000000000001</v>
      </c>
      <c r="N2793">
        <v>191</v>
      </c>
      <c r="O2793" t="s">
        <v>5</v>
      </c>
      <c r="Q2793" t="s">
        <v>1569</v>
      </c>
      <c r="R2793" t="s">
        <v>3284</v>
      </c>
      <c r="S2793" t="s">
        <v>387</v>
      </c>
    </row>
    <row r="2794" spans="1:19" x14ac:dyDescent="0.25">
      <c r="A2794" t="s">
        <v>30</v>
      </c>
      <c r="B2794" t="s">
        <v>31</v>
      </c>
      <c r="C2794" t="s">
        <v>32</v>
      </c>
      <c r="D2794" t="s">
        <v>341</v>
      </c>
      <c r="E2794" t="s">
        <v>352</v>
      </c>
      <c r="F2794" t="s">
        <v>35</v>
      </c>
      <c r="G2794" t="s">
        <v>35</v>
      </c>
      <c r="H2794" t="s">
        <v>35</v>
      </c>
      <c r="J2794" t="s">
        <v>3285</v>
      </c>
      <c r="K2794" t="s">
        <v>1092</v>
      </c>
      <c r="M2794">
        <v>6.57</v>
      </c>
      <c r="N2794">
        <v>363</v>
      </c>
      <c r="O2794" t="s">
        <v>5</v>
      </c>
      <c r="Q2794" t="s">
        <v>1415</v>
      </c>
      <c r="R2794" t="s">
        <v>3286</v>
      </c>
      <c r="S2794" t="s">
        <v>3287</v>
      </c>
    </row>
    <row r="2795" spans="1:19" x14ac:dyDescent="0.25">
      <c r="A2795" t="s">
        <v>59</v>
      </c>
      <c r="B2795" t="s">
        <v>60</v>
      </c>
      <c r="C2795" t="s">
        <v>32</v>
      </c>
      <c r="D2795" t="s">
        <v>341</v>
      </c>
      <c r="E2795" t="s">
        <v>363</v>
      </c>
      <c r="F2795" t="s">
        <v>35</v>
      </c>
      <c r="G2795" t="s">
        <v>35</v>
      </c>
      <c r="H2795" t="s">
        <v>35</v>
      </c>
      <c r="J2795" t="s">
        <v>364</v>
      </c>
      <c r="K2795" t="s">
        <v>1092</v>
      </c>
      <c r="M2795">
        <v>8</v>
      </c>
      <c r="N2795">
        <v>3</v>
      </c>
      <c r="O2795" t="s">
        <v>46</v>
      </c>
      <c r="Q2795" t="s">
        <v>8153</v>
      </c>
      <c r="R2795" t="s">
        <v>3294</v>
      </c>
      <c r="S2795" t="s">
        <v>364</v>
      </c>
    </row>
    <row r="2796" spans="1:19" x14ac:dyDescent="0.25">
      <c r="A2796" t="s">
        <v>59</v>
      </c>
      <c r="B2796" t="s">
        <v>60</v>
      </c>
      <c r="C2796" t="s">
        <v>32</v>
      </c>
      <c r="D2796" t="s">
        <v>341</v>
      </c>
      <c r="E2796" t="s">
        <v>363</v>
      </c>
      <c r="F2796" t="s">
        <v>35</v>
      </c>
      <c r="G2796" t="s">
        <v>35</v>
      </c>
      <c r="H2796" t="s">
        <v>35</v>
      </c>
      <c r="J2796" t="s">
        <v>364</v>
      </c>
      <c r="K2796" t="s">
        <v>1092</v>
      </c>
      <c r="M2796">
        <v>5</v>
      </c>
      <c r="N2796">
        <v>5</v>
      </c>
      <c r="O2796" t="s">
        <v>46</v>
      </c>
      <c r="Q2796" t="s">
        <v>8229</v>
      </c>
      <c r="R2796" t="s">
        <v>3294</v>
      </c>
      <c r="S2796" t="s">
        <v>364</v>
      </c>
    </row>
    <row r="2797" spans="1:19" x14ac:dyDescent="0.25">
      <c r="A2797" t="s">
        <v>30</v>
      </c>
      <c r="B2797" t="s">
        <v>31</v>
      </c>
      <c r="C2797" t="s">
        <v>32</v>
      </c>
      <c r="D2797" t="s">
        <v>341</v>
      </c>
      <c r="E2797" t="s">
        <v>363</v>
      </c>
      <c r="F2797" t="s">
        <v>35</v>
      </c>
      <c r="G2797" t="s">
        <v>35</v>
      </c>
      <c r="H2797" t="s">
        <v>35</v>
      </c>
      <c r="J2797" t="s">
        <v>3289</v>
      </c>
      <c r="K2797" t="s">
        <v>1092</v>
      </c>
      <c r="M2797">
        <v>3.6</v>
      </c>
      <c r="N2797">
        <v>74</v>
      </c>
      <c r="O2797" t="s">
        <v>61</v>
      </c>
      <c r="Q2797" t="s">
        <v>488</v>
      </c>
      <c r="R2797" t="s">
        <v>3274</v>
      </c>
      <c r="S2797" t="s">
        <v>3275</v>
      </c>
    </row>
    <row r="2798" spans="1:19" x14ac:dyDescent="0.25">
      <c r="A2798" t="s">
        <v>30</v>
      </c>
      <c r="B2798" t="s">
        <v>31</v>
      </c>
      <c r="C2798" t="s">
        <v>32</v>
      </c>
      <c r="D2798" t="s">
        <v>341</v>
      </c>
      <c r="E2798" t="s">
        <v>363</v>
      </c>
      <c r="F2798" t="s">
        <v>35</v>
      </c>
      <c r="G2798" t="s">
        <v>35</v>
      </c>
      <c r="H2798" t="s">
        <v>35</v>
      </c>
      <c r="J2798" t="s">
        <v>3290</v>
      </c>
      <c r="K2798" t="s">
        <v>1092</v>
      </c>
      <c r="M2798">
        <v>0.54</v>
      </c>
      <c r="N2798">
        <v>74</v>
      </c>
      <c r="O2798" t="s">
        <v>61</v>
      </c>
      <c r="Q2798" t="s">
        <v>488</v>
      </c>
      <c r="R2798" t="s">
        <v>3274</v>
      </c>
      <c r="S2798" t="s">
        <v>3275</v>
      </c>
    </row>
    <row r="2799" spans="1:19" x14ac:dyDescent="0.25">
      <c r="A2799" t="s">
        <v>30</v>
      </c>
      <c r="B2799" t="s">
        <v>31</v>
      </c>
      <c r="C2799" t="s">
        <v>32</v>
      </c>
      <c r="D2799" t="s">
        <v>341</v>
      </c>
      <c r="E2799" t="s">
        <v>363</v>
      </c>
      <c r="F2799" t="s">
        <v>35</v>
      </c>
      <c r="G2799" t="s">
        <v>35</v>
      </c>
      <c r="H2799" t="s">
        <v>35</v>
      </c>
      <c r="J2799" t="s">
        <v>3291</v>
      </c>
      <c r="K2799" t="s">
        <v>1092</v>
      </c>
      <c r="M2799">
        <v>0.85499999999999998</v>
      </c>
      <c r="N2799">
        <v>244</v>
      </c>
      <c r="O2799" t="s">
        <v>5</v>
      </c>
      <c r="Q2799" t="s">
        <v>1242</v>
      </c>
      <c r="R2799" t="s">
        <v>3274</v>
      </c>
      <c r="S2799" t="s">
        <v>3275</v>
      </c>
    </row>
    <row r="2800" spans="1:19" x14ac:dyDescent="0.25">
      <c r="A2800" t="s">
        <v>59</v>
      </c>
      <c r="B2800" t="s">
        <v>31</v>
      </c>
      <c r="C2800" t="s">
        <v>32</v>
      </c>
      <c r="D2800" t="s">
        <v>341</v>
      </c>
      <c r="E2800" t="s">
        <v>363</v>
      </c>
      <c r="F2800" t="s">
        <v>35</v>
      </c>
      <c r="G2800" t="s">
        <v>35</v>
      </c>
      <c r="H2800" t="s">
        <v>35</v>
      </c>
      <c r="J2800" t="s">
        <v>3292</v>
      </c>
      <c r="K2800" t="s">
        <v>1092</v>
      </c>
      <c r="M2800">
        <v>0.09</v>
      </c>
      <c r="N2800">
        <v>70</v>
      </c>
      <c r="O2800" t="s">
        <v>61</v>
      </c>
      <c r="Q2800" t="s">
        <v>126</v>
      </c>
      <c r="R2800" t="s">
        <v>3274</v>
      </c>
      <c r="S2800" t="s">
        <v>3275</v>
      </c>
    </row>
    <row r="2801" spans="1:19" x14ac:dyDescent="0.25">
      <c r="A2801" t="s">
        <v>30</v>
      </c>
      <c r="B2801" t="s">
        <v>31</v>
      </c>
      <c r="C2801" t="s">
        <v>32</v>
      </c>
      <c r="D2801" t="s">
        <v>341</v>
      </c>
      <c r="E2801" t="s">
        <v>363</v>
      </c>
      <c r="F2801" t="s">
        <v>35</v>
      </c>
      <c r="G2801" t="s">
        <v>35</v>
      </c>
      <c r="H2801" t="s">
        <v>35</v>
      </c>
      <c r="J2801" t="s">
        <v>3293</v>
      </c>
      <c r="K2801" t="s">
        <v>1092</v>
      </c>
      <c r="M2801">
        <v>9.9450000000000003</v>
      </c>
      <c r="N2801">
        <v>251</v>
      </c>
      <c r="O2801" t="s">
        <v>5</v>
      </c>
      <c r="Q2801" t="s">
        <v>1688</v>
      </c>
      <c r="R2801" t="s">
        <v>3294</v>
      </c>
      <c r="S2801" t="s">
        <v>364</v>
      </c>
    </row>
    <row r="2802" spans="1:19" x14ac:dyDescent="0.25">
      <c r="A2802" t="s">
        <v>59</v>
      </c>
      <c r="B2802" t="s">
        <v>60</v>
      </c>
      <c r="C2802" t="s">
        <v>32</v>
      </c>
      <c r="D2802" t="s">
        <v>341</v>
      </c>
      <c r="E2802" t="s">
        <v>368</v>
      </c>
      <c r="F2802" t="s">
        <v>35</v>
      </c>
      <c r="G2802" t="s">
        <v>35</v>
      </c>
      <c r="H2802" t="s">
        <v>35</v>
      </c>
      <c r="J2802" t="s">
        <v>3295</v>
      </c>
      <c r="K2802" t="s">
        <v>1092</v>
      </c>
      <c r="M2802">
        <v>2.4</v>
      </c>
      <c r="N2802">
        <v>250</v>
      </c>
      <c r="O2802" t="s">
        <v>5</v>
      </c>
      <c r="Q2802" t="s">
        <v>3296</v>
      </c>
      <c r="R2802" t="s">
        <v>373</v>
      </c>
      <c r="S2802" t="s">
        <v>374</v>
      </c>
    </row>
    <row r="2803" spans="1:19" x14ac:dyDescent="0.25">
      <c r="A2803" t="s">
        <v>30</v>
      </c>
      <c r="B2803" t="s">
        <v>31</v>
      </c>
      <c r="C2803" t="s">
        <v>32</v>
      </c>
      <c r="D2803" t="s">
        <v>341</v>
      </c>
      <c r="E2803" t="s">
        <v>368</v>
      </c>
      <c r="F2803" t="s">
        <v>35</v>
      </c>
      <c r="G2803" t="s">
        <v>35</v>
      </c>
      <c r="H2803" t="s">
        <v>35</v>
      </c>
      <c r="J2803" t="s">
        <v>3298</v>
      </c>
      <c r="K2803" t="s">
        <v>404</v>
      </c>
      <c r="M2803">
        <v>18</v>
      </c>
      <c r="N2803">
        <v>255</v>
      </c>
      <c r="O2803" t="s">
        <v>5</v>
      </c>
      <c r="Q2803" t="s">
        <v>1747</v>
      </c>
      <c r="R2803" t="s">
        <v>373</v>
      </c>
      <c r="S2803" t="s">
        <v>374</v>
      </c>
    </row>
    <row r="2804" spans="1:19" x14ac:dyDescent="0.25">
      <c r="A2804" t="s">
        <v>30</v>
      </c>
      <c r="B2804" t="s">
        <v>31</v>
      </c>
      <c r="C2804" t="s">
        <v>32</v>
      </c>
      <c r="D2804" t="s">
        <v>341</v>
      </c>
      <c r="E2804" t="s">
        <v>368</v>
      </c>
      <c r="F2804" t="s">
        <v>35</v>
      </c>
      <c r="G2804" t="s">
        <v>35</v>
      </c>
      <c r="H2804" t="s">
        <v>35</v>
      </c>
      <c r="J2804" t="s">
        <v>3299</v>
      </c>
      <c r="K2804" t="s">
        <v>1092</v>
      </c>
      <c r="M2804">
        <v>4.05</v>
      </c>
      <c r="N2804">
        <v>226</v>
      </c>
      <c r="O2804" t="s">
        <v>5</v>
      </c>
      <c r="Q2804" t="s">
        <v>3300</v>
      </c>
      <c r="R2804" t="s">
        <v>373</v>
      </c>
      <c r="S2804" t="s">
        <v>374</v>
      </c>
    </row>
    <row r="2805" spans="1:19" x14ac:dyDescent="0.25">
      <c r="A2805" t="s">
        <v>30</v>
      </c>
      <c r="B2805" t="s">
        <v>31</v>
      </c>
      <c r="C2805" t="s">
        <v>32</v>
      </c>
      <c r="D2805" t="s">
        <v>341</v>
      </c>
      <c r="E2805" t="s">
        <v>368</v>
      </c>
      <c r="F2805" t="s">
        <v>35</v>
      </c>
      <c r="G2805" t="s">
        <v>35</v>
      </c>
      <c r="H2805" t="s">
        <v>35</v>
      </c>
      <c r="J2805" t="s">
        <v>3299</v>
      </c>
      <c r="K2805" t="s">
        <v>1092</v>
      </c>
      <c r="M2805">
        <v>0.9</v>
      </c>
      <c r="N2805">
        <v>166</v>
      </c>
      <c r="O2805" t="s">
        <v>38</v>
      </c>
      <c r="Q2805" t="s">
        <v>2316</v>
      </c>
      <c r="R2805" t="s">
        <v>373</v>
      </c>
      <c r="S2805" t="s">
        <v>374</v>
      </c>
    </row>
    <row r="2806" spans="1:19" x14ac:dyDescent="0.25">
      <c r="A2806" t="s">
        <v>30</v>
      </c>
      <c r="B2806" t="s">
        <v>31</v>
      </c>
      <c r="C2806" t="s">
        <v>32</v>
      </c>
      <c r="D2806" t="s">
        <v>341</v>
      </c>
      <c r="E2806" t="s">
        <v>368</v>
      </c>
      <c r="F2806" t="s">
        <v>35</v>
      </c>
      <c r="G2806" t="s">
        <v>35</v>
      </c>
      <c r="H2806" t="s">
        <v>35</v>
      </c>
      <c r="J2806" t="s">
        <v>3301</v>
      </c>
      <c r="K2806" t="s">
        <v>1092</v>
      </c>
      <c r="M2806">
        <v>0.40500000000000003</v>
      </c>
      <c r="N2806">
        <v>159</v>
      </c>
      <c r="O2806" t="s">
        <v>38</v>
      </c>
      <c r="Q2806" t="s">
        <v>40</v>
      </c>
      <c r="R2806" t="s">
        <v>373</v>
      </c>
      <c r="S2806" t="s">
        <v>374</v>
      </c>
    </row>
    <row r="2807" spans="1:19" x14ac:dyDescent="0.25">
      <c r="A2807" t="s">
        <v>59</v>
      </c>
      <c r="B2807" t="s">
        <v>31</v>
      </c>
      <c r="C2807" t="s">
        <v>32</v>
      </c>
      <c r="D2807" t="s">
        <v>341</v>
      </c>
      <c r="E2807" t="s">
        <v>368</v>
      </c>
      <c r="F2807" t="s">
        <v>35</v>
      </c>
      <c r="G2807" t="s">
        <v>35</v>
      </c>
      <c r="H2807" t="s">
        <v>35</v>
      </c>
      <c r="J2807" t="s">
        <v>3301</v>
      </c>
      <c r="K2807" t="s">
        <v>1092</v>
      </c>
      <c r="M2807">
        <v>2.4750000000000001</v>
      </c>
      <c r="N2807">
        <v>70</v>
      </c>
      <c r="O2807" t="s">
        <v>61</v>
      </c>
      <c r="Q2807" t="s">
        <v>126</v>
      </c>
      <c r="R2807" t="s">
        <v>3274</v>
      </c>
      <c r="S2807" t="s">
        <v>3275</v>
      </c>
    </row>
    <row r="2808" spans="1:19" x14ac:dyDescent="0.25">
      <c r="A2808" t="s">
        <v>30</v>
      </c>
      <c r="B2808" t="s">
        <v>31</v>
      </c>
      <c r="C2808" t="s">
        <v>32</v>
      </c>
      <c r="D2808" t="s">
        <v>341</v>
      </c>
      <c r="E2808" t="s">
        <v>368</v>
      </c>
      <c r="F2808" t="s">
        <v>35</v>
      </c>
      <c r="G2808" t="s">
        <v>35</v>
      </c>
      <c r="H2808" t="s">
        <v>35</v>
      </c>
      <c r="J2808" t="s">
        <v>1584</v>
      </c>
      <c r="K2808" t="s">
        <v>1092</v>
      </c>
      <c r="M2808">
        <v>0.81</v>
      </c>
      <c r="N2808">
        <v>88</v>
      </c>
      <c r="O2808" t="s">
        <v>61</v>
      </c>
      <c r="Q2808" t="s">
        <v>858</v>
      </c>
      <c r="R2808" t="s">
        <v>373</v>
      </c>
      <c r="S2808" t="s">
        <v>374</v>
      </c>
    </row>
    <row r="2809" spans="1:19" x14ac:dyDescent="0.25">
      <c r="A2809" t="s">
        <v>30</v>
      </c>
      <c r="B2809" t="s">
        <v>31</v>
      </c>
      <c r="C2809" t="s">
        <v>32</v>
      </c>
      <c r="D2809" t="s">
        <v>341</v>
      </c>
      <c r="E2809" t="s">
        <v>368</v>
      </c>
      <c r="F2809" t="s">
        <v>35</v>
      </c>
      <c r="G2809" t="s">
        <v>35</v>
      </c>
      <c r="H2809" t="s">
        <v>35</v>
      </c>
      <c r="J2809" t="s">
        <v>3302</v>
      </c>
      <c r="K2809" t="s">
        <v>1092</v>
      </c>
      <c r="M2809">
        <v>0.9</v>
      </c>
      <c r="N2809">
        <v>79</v>
      </c>
      <c r="O2809" t="s">
        <v>61</v>
      </c>
      <c r="Q2809" t="s">
        <v>1156</v>
      </c>
      <c r="R2809" t="s">
        <v>373</v>
      </c>
      <c r="S2809" t="s">
        <v>374</v>
      </c>
    </row>
    <row r="2810" spans="1:19" x14ac:dyDescent="0.25">
      <c r="A2810" t="s">
        <v>30</v>
      </c>
      <c r="B2810" t="s">
        <v>31</v>
      </c>
      <c r="C2810" t="s">
        <v>32</v>
      </c>
      <c r="D2810" t="s">
        <v>341</v>
      </c>
      <c r="E2810" t="s">
        <v>368</v>
      </c>
      <c r="F2810" t="s">
        <v>35</v>
      </c>
      <c r="G2810" t="s">
        <v>35</v>
      </c>
      <c r="H2810" t="s">
        <v>35</v>
      </c>
      <c r="J2810" t="s">
        <v>3303</v>
      </c>
      <c r="K2810" t="s">
        <v>1092</v>
      </c>
      <c r="M2810">
        <v>0.495</v>
      </c>
      <c r="N2810">
        <v>81</v>
      </c>
      <c r="O2810" t="s">
        <v>61</v>
      </c>
      <c r="Q2810" t="s">
        <v>527</v>
      </c>
      <c r="R2810" t="s">
        <v>373</v>
      </c>
      <c r="S2810" t="s">
        <v>374</v>
      </c>
    </row>
    <row r="2811" spans="1:19" x14ac:dyDescent="0.25">
      <c r="A2811" t="s">
        <v>59</v>
      </c>
      <c r="B2811" t="s">
        <v>60</v>
      </c>
      <c r="C2811" t="s">
        <v>32</v>
      </c>
      <c r="D2811" t="s">
        <v>341</v>
      </c>
      <c r="E2811" t="s">
        <v>377</v>
      </c>
      <c r="F2811" t="s">
        <v>35</v>
      </c>
      <c r="G2811" t="s">
        <v>35</v>
      </c>
      <c r="H2811" t="s">
        <v>35</v>
      </c>
      <c r="J2811" t="s">
        <v>3304</v>
      </c>
      <c r="K2811" t="s">
        <v>404</v>
      </c>
      <c r="M2811">
        <v>1.75</v>
      </c>
      <c r="N2811">
        <v>124</v>
      </c>
      <c r="O2811" t="s">
        <v>38</v>
      </c>
      <c r="Q2811" t="s">
        <v>406</v>
      </c>
      <c r="R2811" t="s">
        <v>347</v>
      </c>
      <c r="S2811" t="s">
        <v>348</v>
      </c>
    </row>
    <row r="2812" spans="1:19" x14ac:dyDescent="0.25">
      <c r="A2812" t="s">
        <v>44</v>
      </c>
      <c r="B2812" t="s">
        <v>51</v>
      </c>
      <c r="C2812" t="s">
        <v>32</v>
      </c>
      <c r="D2812" t="s">
        <v>341</v>
      </c>
      <c r="E2812" t="s">
        <v>377</v>
      </c>
      <c r="F2812" t="s">
        <v>35</v>
      </c>
      <c r="G2812" t="s">
        <v>35</v>
      </c>
      <c r="H2812" t="s">
        <v>35</v>
      </c>
      <c r="J2812" t="s">
        <v>3306</v>
      </c>
      <c r="K2812" t="s">
        <v>404</v>
      </c>
      <c r="M2812">
        <v>12</v>
      </c>
      <c r="N2812">
        <v>58</v>
      </c>
      <c r="O2812" t="s">
        <v>52</v>
      </c>
      <c r="Q2812" t="s">
        <v>58</v>
      </c>
      <c r="R2812" t="s">
        <v>347</v>
      </c>
      <c r="S2812" t="s">
        <v>348</v>
      </c>
    </row>
    <row r="2813" spans="1:19" x14ac:dyDescent="0.25">
      <c r="A2813" t="s">
        <v>30</v>
      </c>
      <c r="B2813" t="s">
        <v>31</v>
      </c>
      <c r="C2813" t="s">
        <v>32</v>
      </c>
      <c r="D2813" t="s">
        <v>341</v>
      </c>
      <c r="E2813" t="s">
        <v>377</v>
      </c>
      <c r="F2813" t="s">
        <v>35</v>
      </c>
      <c r="G2813" t="s">
        <v>35</v>
      </c>
      <c r="H2813" t="s">
        <v>35</v>
      </c>
      <c r="J2813" t="s">
        <v>3306</v>
      </c>
      <c r="K2813" t="s">
        <v>404</v>
      </c>
      <c r="M2813">
        <v>9.5399999999999991</v>
      </c>
      <c r="N2813">
        <v>74</v>
      </c>
      <c r="O2813" t="s">
        <v>61</v>
      </c>
      <c r="Q2813" t="s">
        <v>488</v>
      </c>
      <c r="R2813" t="s">
        <v>347</v>
      </c>
      <c r="S2813" t="s">
        <v>348</v>
      </c>
    </row>
    <row r="2814" spans="1:19" x14ac:dyDescent="0.25">
      <c r="A2814" t="s">
        <v>59</v>
      </c>
      <c r="B2814" t="s">
        <v>60</v>
      </c>
      <c r="C2814" t="s">
        <v>32</v>
      </c>
      <c r="D2814" t="s">
        <v>341</v>
      </c>
      <c r="E2814" t="s">
        <v>377</v>
      </c>
      <c r="F2814" t="s">
        <v>35</v>
      </c>
      <c r="G2814" t="s">
        <v>35</v>
      </c>
      <c r="H2814" t="s">
        <v>35</v>
      </c>
      <c r="J2814" t="s">
        <v>3307</v>
      </c>
      <c r="K2814" t="s">
        <v>1092</v>
      </c>
      <c r="M2814">
        <v>0.65</v>
      </c>
      <c r="N2814">
        <v>407</v>
      </c>
      <c r="O2814" t="s">
        <v>294</v>
      </c>
      <c r="Q2814" t="s">
        <v>2608</v>
      </c>
      <c r="R2814" t="s">
        <v>347</v>
      </c>
      <c r="S2814" t="s">
        <v>348</v>
      </c>
    </row>
    <row r="2815" spans="1:19" x14ac:dyDescent="0.25">
      <c r="A2815" t="s">
        <v>44</v>
      </c>
      <c r="B2815" t="s">
        <v>51</v>
      </c>
      <c r="C2815" t="s">
        <v>32</v>
      </c>
      <c r="D2815" t="s">
        <v>341</v>
      </c>
      <c r="E2815" t="s">
        <v>377</v>
      </c>
      <c r="F2815" t="s">
        <v>35</v>
      </c>
      <c r="G2815" t="s">
        <v>35</v>
      </c>
      <c r="H2815" t="s">
        <v>35</v>
      </c>
      <c r="J2815" t="s">
        <v>3308</v>
      </c>
      <c r="K2815" t="s">
        <v>1092</v>
      </c>
      <c r="M2815">
        <v>0.4</v>
      </c>
      <c r="N2815">
        <v>133</v>
      </c>
      <c r="O2815" t="s">
        <v>38</v>
      </c>
      <c r="Q2815" t="s">
        <v>68</v>
      </c>
      <c r="R2815" t="s">
        <v>3269</v>
      </c>
      <c r="S2815" t="s">
        <v>3270</v>
      </c>
    </row>
    <row r="2816" spans="1:19" x14ac:dyDescent="0.25">
      <c r="A2816" t="s">
        <v>30</v>
      </c>
      <c r="B2816" t="s">
        <v>31</v>
      </c>
      <c r="C2816" t="s">
        <v>32</v>
      </c>
      <c r="D2816" t="s">
        <v>341</v>
      </c>
      <c r="E2816" t="s">
        <v>377</v>
      </c>
      <c r="F2816" t="s">
        <v>35</v>
      </c>
      <c r="G2816" t="s">
        <v>35</v>
      </c>
      <c r="H2816" t="s">
        <v>35</v>
      </c>
      <c r="J2816" t="s">
        <v>3308</v>
      </c>
      <c r="K2816" t="s">
        <v>1092</v>
      </c>
      <c r="M2816">
        <v>1.4850000000000001</v>
      </c>
      <c r="N2816">
        <v>133</v>
      </c>
      <c r="O2816" t="s">
        <v>38</v>
      </c>
      <c r="Q2816" t="s">
        <v>68</v>
      </c>
      <c r="R2816" t="s">
        <v>3269</v>
      </c>
      <c r="S2816" t="s">
        <v>3270</v>
      </c>
    </row>
    <row r="2817" spans="1:19" x14ac:dyDescent="0.25">
      <c r="A2817" t="s">
        <v>30</v>
      </c>
      <c r="B2817" t="s">
        <v>31</v>
      </c>
      <c r="C2817" t="s">
        <v>32</v>
      </c>
      <c r="D2817" t="s">
        <v>341</v>
      </c>
      <c r="E2817" t="s">
        <v>377</v>
      </c>
      <c r="F2817" t="s">
        <v>35</v>
      </c>
      <c r="G2817" t="s">
        <v>35</v>
      </c>
      <c r="H2817" t="s">
        <v>35</v>
      </c>
      <c r="J2817" t="s">
        <v>3309</v>
      </c>
      <c r="K2817" t="s">
        <v>1092</v>
      </c>
      <c r="M2817">
        <v>11.97</v>
      </c>
      <c r="N2817">
        <v>29</v>
      </c>
      <c r="O2817" t="s">
        <v>46</v>
      </c>
      <c r="Q2817" t="s">
        <v>1645</v>
      </c>
      <c r="R2817" t="s">
        <v>347</v>
      </c>
      <c r="S2817" t="s">
        <v>348</v>
      </c>
    </row>
    <row r="2818" spans="1:19" x14ac:dyDescent="0.25">
      <c r="A2818" t="s">
        <v>59</v>
      </c>
      <c r="B2818" t="s">
        <v>60</v>
      </c>
      <c r="C2818" t="s">
        <v>32</v>
      </c>
      <c r="D2818" t="s">
        <v>341</v>
      </c>
      <c r="E2818" t="s">
        <v>377</v>
      </c>
      <c r="F2818" t="s">
        <v>35</v>
      </c>
      <c r="G2818" t="s">
        <v>35</v>
      </c>
      <c r="H2818" t="s">
        <v>35</v>
      </c>
      <c r="J2818" t="s">
        <v>3309</v>
      </c>
      <c r="K2818" t="s">
        <v>1092</v>
      </c>
      <c r="M2818">
        <v>2.75</v>
      </c>
      <c r="N2818">
        <v>148</v>
      </c>
      <c r="O2818" t="s">
        <v>38</v>
      </c>
      <c r="Q2818" t="s">
        <v>1168</v>
      </c>
      <c r="R2818" t="s">
        <v>347</v>
      </c>
      <c r="S2818" t="s">
        <v>348</v>
      </c>
    </row>
    <row r="2819" spans="1:19" x14ac:dyDescent="0.25">
      <c r="A2819" t="s">
        <v>59</v>
      </c>
      <c r="B2819" t="s">
        <v>60</v>
      </c>
      <c r="C2819" t="s">
        <v>32</v>
      </c>
      <c r="D2819" t="s">
        <v>341</v>
      </c>
      <c r="E2819" t="s">
        <v>377</v>
      </c>
      <c r="F2819" t="s">
        <v>35</v>
      </c>
      <c r="G2819" t="s">
        <v>35</v>
      </c>
      <c r="H2819" t="s">
        <v>35</v>
      </c>
      <c r="J2819" t="s">
        <v>3309</v>
      </c>
      <c r="K2819" t="s">
        <v>1092</v>
      </c>
      <c r="M2819">
        <v>6</v>
      </c>
      <c r="N2819">
        <v>124</v>
      </c>
      <c r="O2819" t="s">
        <v>38</v>
      </c>
      <c r="Q2819" t="s">
        <v>406</v>
      </c>
      <c r="R2819" t="s">
        <v>347</v>
      </c>
      <c r="S2819" t="s">
        <v>348</v>
      </c>
    </row>
    <row r="2820" spans="1:19" x14ac:dyDescent="0.25">
      <c r="A2820" t="s">
        <v>30</v>
      </c>
      <c r="B2820" t="s">
        <v>31</v>
      </c>
      <c r="C2820" t="s">
        <v>32</v>
      </c>
      <c r="D2820" t="s">
        <v>341</v>
      </c>
      <c r="E2820" t="s">
        <v>377</v>
      </c>
      <c r="F2820" t="s">
        <v>35</v>
      </c>
      <c r="G2820" t="s">
        <v>35</v>
      </c>
      <c r="H2820" t="s">
        <v>35</v>
      </c>
      <c r="J2820" t="s">
        <v>3309</v>
      </c>
      <c r="K2820" t="s">
        <v>1092</v>
      </c>
      <c r="M2820">
        <v>8.2799999999999994</v>
      </c>
      <c r="N2820">
        <v>74</v>
      </c>
      <c r="O2820" t="s">
        <v>61</v>
      </c>
      <c r="Q2820" t="s">
        <v>488</v>
      </c>
      <c r="R2820" t="s">
        <v>347</v>
      </c>
      <c r="S2820" t="s">
        <v>348</v>
      </c>
    </row>
    <row r="2821" spans="1:19" x14ac:dyDescent="0.25">
      <c r="A2821" t="s">
        <v>44</v>
      </c>
      <c r="B2821" t="s">
        <v>51</v>
      </c>
      <c r="C2821" t="s">
        <v>32</v>
      </c>
      <c r="D2821" t="s">
        <v>341</v>
      </c>
      <c r="E2821" t="s">
        <v>377</v>
      </c>
      <c r="F2821" t="s">
        <v>35</v>
      </c>
      <c r="G2821" t="s">
        <v>35</v>
      </c>
      <c r="H2821" t="s">
        <v>35</v>
      </c>
      <c r="J2821" t="s">
        <v>3309</v>
      </c>
      <c r="K2821" t="s">
        <v>1092</v>
      </c>
      <c r="M2821">
        <v>10.65</v>
      </c>
      <c r="N2821">
        <v>58</v>
      </c>
      <c r="O2821" t="s">
        <v>52</v>
      </c>
      <c r="Q2821" t="s">
        <v>58</v>
      </c>
      <c r="R2821" t="s">
        <v>347</v>
      </c>
      <c r="S2821" t="s">
        <v>348</v>
      </c>
    </row>
    <row r="2822" spans="1:19" x14ac:dyDescent="0.25">
      <c r="A2822" t="s">
        <v>59</v>
      </c>
      <c r="B2822" t="s">
        <v>31</v>
      </c>
      <c r="C2822" t="s">
        <v>32</v>
      </c>
      <c r="D2822" t="s">
        <v>341</v>
      </c>
      <c r="E2822" t="s">
        <v>377</v>
      </c>
      <c r="F2822" t="s">
        <v>35</v>
      </c>
      <c r="G2822" t="s">
        <v>35</v>
      </c>
      <c r="H2822" t="s">
        <v>35</v>
      </c>
      <c r="J2822" t="s">
        <v>3311</v>
      </c>
      <c r="K2822" t="s">
        <v>1092</v>
      </c>
      <c r="M2822">
        <v>2.2050000000000001</v>
      </c>
      <c r="N2822">
        <v>259</v>
      </c>
      <c r="O2822" t="s">
        <v>5</v>
      </c>
      <c r="Q2822" t="s">
        <v>1425</v>
      </c>
      <c r="R2822" t="s">
        <v>3284</v>
      </c>
      <c r="S2822" t="s">
        <v>387</v>
      </c>
    </row>
    <row r="2823" spans="1:19" x14ac:dyDescent="0.25">
      <c r="A2823" t="s">
        <v>30</v>
      </c>
      <c r="B2823" t="s">
        <v>31</v>
      </c>
      <c r="C2823" t="s">
        <v>32</v>
      </c>
      <c r="D2823" t="s">
        <v>341</v>
      </c>
      <c r="E2823" t="s">
        <v>377</v>
      </c>
      <c r="F2823" t="s">
        <v>35</v>
      </c>
      <c r="G2823" t="s">
        <v>35</v>
      </c>
      <c r="H2823" t="s">
        <v>35</v>
      </c>
      <c r="J2823" t="s">
        <v>3311</v>
      </c>
      <c r="K2823" t="s">
        <v>1092</v>
      </c>
      <c r="M2823">
        <v>8.4600000000000009</v>
      </c>
      <c r="N2823">
        <v>144</v>
      </c>
      <c r="O2823" t="s">
        <v>38</v>
      </c>
      <c r="Q2823" t="s">
        <v>2929</v>
      </c>
      <c r="R2823" t="s">
        <v>3284</v>
      </c>
      <c r="S2823" t="s">
        <v>387</v>
      </c>
    </row>
    <row r="2824" spans="1:19" x14ac:dyDescent="0.25">
      <c r="A2824" t="s">
        <v>30</v>
      </c>
      <c r="B2824" t="s">
        <v>31</v>
      </c>
      <c r="C2824" t="s">
        <v>32</v>
      </c>
      <c r="D2824" t="s">
        <v>341</v>
      </c>
      <c r="E2824" t="s">
        <v>377</v>
      </c>
      <c r="F2824" t="s">
        <v>35</v>
      </c>
      <c r="G2824" t="s">
        <v>35</v>
      </c>
      <c r="H2824" t="s">
        <v>35</v>
      </c>
      <c r="J2824" t="s">
        <v>3312</v>
      </c>
      <c r="K2824" t="s">
        <v>1092</v>
      </c>
      <c r="M2824">
        <v>0.315</v>
      </c>
      <c r="N2824">
        <v>144</v>
      </c>
      <c r="O2824" t="s">
        <v>38</v>
      </c>
      <c r="Q2824" t="s">
        <v>2929</v>
      </c>
      <c r="R2824" t="s">
        <v>3284</v>
      </c>
      <c r="S2824" t="s">
        <v>387</v>
      </c>
    </row>
    <row r="2825" spans="1:19" x14ac:dyDescent="0.25">
      <c r="A2825" t="s">
        <v>30</v>
      </c>
      <c r="B2825" t="s">
        <v>31</v>
      </c>
      <c r="C2825" t="s">
        <v>32</v>
      </c>
      <c r="D2825" t="s">
        <v>341</v>
      </c>
      <c r="E2825" t="s">
        <v>377</v>
      </c>
      <c r="F2825" t="s">
        <v>35</v>
      </c>
      <c r="G2825" t="s">
        <v>35</v>
      </c>
      <c r="H2825" t="s">
        <v>35</v>
      </c>
      <c r="J2825" t="s">
        <v>3313</v>
      </c>
      <c r="K2825" t="s">
        <v>1092</v>
      </c>
      <c r="M2825">
        <v>3.33</v>
      </c>
      <c r="N2825">
        <v>104</v>
      </c>
      <c r="O2825" t="s">
        <v>106</v>
      </c>
      <c r="Q2825" t="s">
        <v>2577</v>
      </c>
      <c r="R2825" t="s">
        <v>347</v>
      </c>
      <c r="S2825" t="s">
        <v>348</v>
      </c>
    </row>
    <row r="2826" spans="1:19" x14ac:dyDescent="0.25">
      <c r="A2826" t="s">
        <v>59</v>
      </c>
      <c r="B2826" t="s">
        <v>31</v>
      </c>
      <c r="C2826" t="s">
        <v>32</v>
      </c>
      <c r="D2826" t="s">
        <v>341</v>
      </c>
      <c r="E2826" t="s">
        <v>377</v>
      </c>
      <c r="F2826" t="s">
        <v>35</v>
      </c>
      <c r="G2826" t="s">
        <v>35</v>
      </c>
      <c r="H2826" t="s">
        <v>35</v>
      </c>
      <c r="J2826" t="s">
        <v>3313</v>
      </c>
      <c r="K2826" t="s">
        <v>1092</v>
      </c>
      <c r="M2826">
        <v>32.58</v>
      </c>
      <c r="N2826">
        <v>104</v>
      </c>
      <c r="O2826" t="s">
        <v>106</v>
      </c>
      <c r="Q2826" t="s">
        <v>2577</v>
      </c>
      <c r="R2826" t="s">
        <v>347</v>
      </c>
      <c r="S2826" t="s">
        <v>348</v>
      </c>
    </row>
    <row r="2827" spans="1:19" x14ac:dyDescent="0.25">
      <c r="A2827" t="s">
        <v>59</v>
      </c>
      <c r="B2827" t="s">
        <v>31</v>
      </c>
      <c r="C2827" t="s">
        <v>32</v>
      </c>
      <c r="D2827" t="s">
        <v>341</v>
      </c>
      <c r="E2827" t="s">
        <v>377</v>
      </c>
      <c r="F2827" t="s">
        <v>35</v>
      </c>
      <c r="G2827" t="s">
        <v>35</v>
      </c>
      <c r="H2827" t="s">
        <v>35</v>
      </c>
      <c r="J2827" t="s">
        <v>3314</v>
      </c>
      <c r="K2827" t="s">
        <v>1092</v>
      </c>
      <c r="M2827">
        <v>11.565</v>
      </c>
      <c r="N2827">
        <v>179</v>
      </c>
      <c r="O2827" t="s">
        <v>38</v>
      </c>
      <c r="Q2827" t="s">
        <v>346</v>
      </c>
      <c r="R2827" t="s">
        <v>347</v>
      </c>
      <c r="S2827" t="s">
        <v>348</v>
      </c>
    </row>
    <row r="2828" spans="1:19" x14ac:dyDescent="0.25">
      <c r="A2828" t="s">
        <v>44</v>
      </c>
      <c r="B2828" t="s">
        <v>51</v>
      </c>
      <c r="C2828" t="s">
        <v>32</v>
      </c>
      <c r="D2828" t="s">
        <v>341</v>
      </c>
      <c r="E2828" t="s">
        <v>377</v>
      </c>
      <c r="F2828" t="s">
        <v>35</v>
      </c>
      <c r="G2828" t="s">
        <v>35</v>
      </c>
      <c r="H2828" t="s">
        <v>35</v>
      </c>
      <c r="J2828" t="s">
        <v>3315</v>
      </c>
      <c r="K2828" t="s">
        <v>404</v>
      </c>
      <c r="M2828">
        <v>3.85</v>
      </c>
      <c r="N2828">
        <v>124</v>
      </c>
      <c r="O2828" t="s">
        <v>38</v>
      </c>
      <c r="Q2828" t="s">
        <v>406</v>
      </c>
      <c r="R2828" t="s">
        <v>347</v>
      </c>
      <c r="S2828" t="s">
        <v>348</v>
      </c>
    </row>
    <row r="2829" spans="1:19" x14ac:dyDescent="0.25">
      <c r="A2829" t="s">
        <v>30</v>
      </c>
      <c r="B2829" t="s">
        <v>31</v>
      </c>
      <c r="C2829" t="s">
        <v>32</v>
      </c>
      <c r="D2829" t="s">
        <v>341</v>
      </c>
      <c r="E2829" t="s">
        <v>377</v>
      </c>
      <c r="F2829" t="s">
        <v>35</v>
      </c>
      <c r="G2829" t="s">
        <v>35</v>
      </c>
      <c r="H2829" t="s">
        <v>35</v>
      </c>
      <c r="J2829" t="s">
        <v>3316</v>
      </c>
      <c r="K2829" t="s">
        <v>1092</v>
      </c>
      <c r="M2829">
        <v>0.495</v>
      </c>
      <c r="N2829">
        <v>132</v>
      </c>
      <c r="O2829" t="s">
        <v>38</v>
      </c>
      <c r="Q2829" t="s">
        <v>2901</v>
      </c>
      <c r="R2829" t="s">
        <v>360</v>
      </c>
      <c r="S2829" t="s">
        <v>361</v>
      </c>
    </row>
    <row r="2830" spans="1:19" x14ac:dyDescent="0.25">
      <c r="A2830" t="s">
        <v>44</v>
      </c>
      <c r="B2830" t="s">
        <v>51</v>
      </c>
      <c r="C2830" t="s">
        <v>32</v>
      </c>
      <c r="D2830" t="s">
        <v>341</v>
      </c>
      <c r="E2830" t="s">
        <v>377</v>
      </c>
      <c r="F2830" t="s">
        <v>35</v>
      </c>
      <c r="G2830" t="s">
        <v>35</v>
      </c>
      <c r="H2830" t="s">
        <v>35</v>
      </c>
      <c r="J2830" t="s">
        <v>3317</v>
      </c>
      <c r="K2830" t="s">
        <v>404</v>
      </c>
      <c r="M2830">
        <v>10.1</v>
      </c>
      <c r="N2830">
        <v>152</v>
      </c>
      <c r="O2830" t="s">
        <v>38</v>
      </c>
      <c r="Q2830" t="s">
        <v>408</v>
      </c>
      <c r="R2830" t="s">
        <v>347</v>
      </c>
      <c r="S2830" t="s">
        <v>348</v>
      </c>
    </row>
    <row r="2831" spans="1:19" x14ac:dyDescent="0.25">
      <c r="A2831" t="s">
        <v>30</v>
      </c>
      <c r="B2831" t="s">
        <v>31</v>
      </c>
      <c r="C2831" t="s">
        <v>32</v>
      </c>
      <c r="D2831" t="s">
        <v>341</v>
      </c>
      <c r="E2831" t="s">
        <v>377</v>
      </c>
      <c r="F2831" t="s">
        <v>35</v>
      </c>
      <c r="G2831" t="s">
        <v>35</v>
      </c>
      <c r="H2831" t="s">
        <v>35</v>
      </c>
      <c r="J2831" t="s">
        <v>3317</v>
      </c>
      <c r="K2831" t="s">
        <v>404</v>
      </c>
      <c r="M2831">
        <v>12.465</v>
      </c>
      <c r="N2831">
        <v>152</v>
      </c>
      <c r="O2831" t="s">
        <v>38</v>
      </c>
      <c r="Q2831" t="s">
        <v>408</v>
      </c>
      <c r="R2831" t="s">
        <v>347</v>
      </c>
      <c r="S2831" t="s">
        <v>348</v>
      </c>
    </row>
    <row r="2832" spans="1:19" x14ac:dyDescent="0.25">
      <c r="A2832" t="s">
        <v>59</v>
      </c>
      <c r="B2832" t="s">
        <v>60</v>
      </c>
      <c r="C2832" t="s">
        <v>32</v>
      </c>
      <c r="D2832" t="s">
        <v>341</v>
      </c>
      <c r="E2832" t="s">
        <v>377</v>
      </c>
      <c r="F2832" t="s">
        <v>35</v>
      </c>
      <c r="G2832" t="s">
        <v>35</v>
      </c>
      <c r="H2832" t="s">
        <v>35</v>
      </c>
      <c r="J2832" t="s">
        <v>3318</v>
      </c>
      <c r="K2832" t="s">
        <v>404</v>
      </c>
      <c r="M2832">
        <v>1.75</v>
      </c>
      <c r="N2832">
        <v>223</v>
      </c>
      <c r="O2832" t="s">
        <v>5</v>
      </c>
      <c r="Q2832" t="s">
        <v>3310</v>
      </c>
      <c r="R2832" t="s">
        <v>347</v>
      </c>
      <c r="S2832" t="s">
        <v>348</v>
      </c>
    </row>
    <row r="2833" spans="1:19" x14ac:dyDescent="0.25">
      <c r="A2833" t="s">
        <v>59</v>
      </c>
      <c r="B2833" t="s">
        <v>60</v>
      </c>
      <c r="C2833" t="s">
        <v>32</v>
      </c>
      <c r="D2833" t="s">
        <v>341</v>
      </c>
      <c r="E2833" t="s">
        <v>377</v>
      </c>
      <c r="F2833" t="s">
        <v>35</v>
      </c>
      <c r="G2833" t="s">
        <v>35</v>
      </c>
      <c r="H2833" t="s">
        <v>35</v>
      </c>
      <c r="J2833" t="s">
        <v>3319</v>
      </c>
      <c r="K2833" t="s">
        <v>404</v>
      </c>
      <c r="M2833">
        <v>0.25</v>
      </c>
      <c r="N2833">
        <v>407</v>
      </c>
      <c r="O2833" t="s">
        <v>294</v>
      </c>
      <c r="Q2833" t="s">
        <v>2608</v>
      </c>
      <c r="R2833" t="s">
        <v>347</v>
      </c>
      <c r="S2833" t="s">
        <v>348</v>
      </c>
    </row>
    <row r="2834" spans="1:19" x14ac:dyDescent="0.25">
      <c r="A2834" t="s">
        <v>30</v>
      </c>
      <c r="B2834" t="s">
        <v>31</v>
      </c>
      <c r="C2834" t="s">
        <v>32</v>
      </c>
      <c r="D2834" t="s">
        <v>341</v>
      </c>
      <c r="E2834" t="s">
        <v>377</v>
      </c>
      <c r="F2834" t="s">
        <v>35</v>
      </c>
      <c r="G2834" t="s">
        <v>35</v>
      </c>
      <c r="H2834" t="s">
        <v>35</v>
      </c>
      <c r="J2834" t="s">
        <v>3320</v>
      </c>
      <c r="K2834" t="s">
        <v>1092</v>
      </c>
      <c r="M2834">
        <v>11.744999999999999</v>
      </c>
      <c r="N2834">
        <v>74</v>
      </c>
      <c r="O2834" t="s">
        <v>61</v>
      </c>
      <c r="Q2834" t="s">
        <v>488</v>
      </c>
      <c r="R2834" t="s">
        <v>347</v>
      </c>
      <c r="S2834" t="s">
        <v>348</v>
      </c>
    </row>
    <row r="2835" spans="1:19" x14ac:dyDescent="0.25">
      <c r="A2835" t="s">
        <v>44</v>
      </c>
      <c r="B2835" t="s">
        <v>51</v>
      </c>
      <c r="C2835" t="s">
        <v>32</v>
      </c>
      <c r="D2835" t="s">
        <v>341</v>
      </c>
      <c r="E2835" t="s">
        <v>377</v>
      </c>
      <c r="F2835" t="s">
        <v>35</v>
      </c>
      <c r="G2835" t="s">
        <v>35</v>
      </c>
      <c r="H2835" t="s">
        <v>35</v>
      </c>
      <c r="J2835" t="s">
        <v>3320</v>
      </c>
      <c r="K2835" t="s">
        <v>1092</v>
      </c>
      <c r="M2835">
        <v>9.5</v>
      </c>
      <c r="N2835">
        <v>58</v>
      </c>
      <c r="O2835" t="s">
        <v>52</v>
      </c>
      <c r="Q2835" t="s">
        <v>58</v>
      </c>
      <c r="R2835" t="s">
        <v>347</v>
      </c>
      <c r="S2835" t="s">
        <v>348</v>
      </c>
    </row>
    <row r="2836" spans="1:19" x14ac:dyDescent="0.25">
      <c r="A2836" t="s">
        <v>30</v>
      </c>
      <c r="B2836" t="s">
        <v>31</v>
      </c>
      <c r="C2836" t="s">
        <v>32</v>
      </c>
      <c r="D2836" t="s">
        <v>341</v>
      </c>
      <c r="E2836" t="s">
        <v>3321</v>
      </c>
      <c r="F2836" t="s">
        <v>35</v>
      </c>
      <c r="G2836" t="s">
        <v>35</v>
      </c>
      <c r="H2836" t="s">
        <v>35</v>
      </c>
      <c r="J2836" t="s">
        <v>3322</v>
      </c>
      <c r="K2836" t="s">
        <v>1092</v>
      </c>
      <c r="M2836">
        <v>2.25</v>
      </c>
      <c r="N2836">
        <v>75</v>
      </c>
      <c r="O2836" t="s">
        <v>61</v>
      </c>
      <c r="Q2836" t="s">
        <v>805</v>
      </c>
      <c r="R2836" t="s">
        <v>3323</v>
      </c>
      <c r="S2836" t="s">
        <v>353</v>
      </c>
    </row>
    <row r="2837" spans="1:19" x14ac:dyDescent="0.25">
      <c r="A2837" t="s">
        <v>30</v>
      </c>
      <c r="B2837" t="s">
        <v>31</v>
      </c>
      <c r="C2837" t="s">
        <v>32</v>
      </c>
      <c r="D2837" t="s">
        <v>341</v>
      </c>
      <c r="E2837" t="s">
        <v>3321</v>
      </c>
      <c r="F2837" t="s">
        <v>35</v>
      </c>
      <c r="G2837" t="s">
        <v>35</v>
      </c>
      <c r="H2837" t="s">
        <v>35</v>
      </c>
      <c r="J2837" t="s">
        <v>3324</v>
      </c>
      <c r="K2837" t="s">
        <v>1092</v>
      </c>
      <c r="M2837">
        <v>0.45</v>
      </c>
      <c r="N2837">
        <v>75</v>
      </c>
      <c r="O2837" t="s">
        <v>61</v>
      </c>
      <c r="Q2837" t="s">
        <v>805</v>
      </c>
      <c r="R2837" t="s">
        <v>3323</v>
      </c>
      <c r="S2837" t="s">
        <v>353</v>
      </c>
    </row>
    <row r="2838" spans="1:19" x14ac:dyDescent="0.25">
      <c r="A2838" t="s">
        <v>30</v>
      </c>
      <c r="B2838" t="s">
        <v>31</v>
      </c>
      <c r="C2838" t="s">
        <v>32</v>
      </c>
      <c r="D2838" t="s">
        <v>341</v>
      </c>
      <c r="E2838" t="s">
        <v>3325</v>
      </c>
      <c r="F2838" t="s">
        <v>35</v>
      </c>
      <c r="G2838" t="s">
        <v>35</v>
      </c>
      <c r="H2838" t="s">
        <v>35</v>
      </c>
      <c r="J2838" t="s">
        <v>3326</v>
      </c>
      <c r="K2838" t="s">
        <v>404</v>
      </c>
      <c r="M2838">
        <v>0.72</v>
      </c>
      <c r="N2838">
        <v>74</v>
      </c>
      <c r="O2838" t="s">
        <v>61</v>
      </c>
      <c r="Q2838" t="s">
        <v>488</v>
      </c>
      <c r="R2838" t="s">
        <v>347</v>
      </c>
      <c r="S2838" t="s">
        <v>348</v>
      </c>
    </row>
    <row r="2839" spans="1:19" x14ac:dyDescent="0.25">
      <c r="A2839" t="s">
        <v>44</v>
      </c>
      <c r="B2839" t="s">
        <v>51</v>
      </c>
      <c r="C2839" t="s">
        <v>32</v>
      </c>
      <c r="D2839" t="s">
        <v>341</v>
      </c>
      <c r="E2839" t="s">
        <v>3325</v>
      </c>
      <c r="F2839" t="s">
        <v>35</v>
      </c>
      <c r="G2839" t="s">
        <v>35</v>
      </c>
      <c r="H2839" t="s">
        <v>35</v>
      </c>
      <c r="J2839" t="s">
        <v>3326</v>
      </c>
      <c r="K2839" t="s">
        <v>404</v>
      </c>
      <c r="M2839">
        <v>6</v>
      </c>
      <c r="N2839">
        <v>58</v>
      </c>
      <c r="O2839" t="s">
        <v>52</v>
      </c>
      <c r="Q2839" t="s">
        <v>58</v>
      </c>
      <c r="R2839" t="s">
        <v>347</v>
      </c>
      <c r="S2839" t="s">
        <v>348</v>
      </c>
    </row>
    <row r="2840" spans="1:19" x14ac:dyDescent="0.25">
      <c r="A2840" t="s">
        <v>30</v>
      </c>
      <c r="B2840" t="s">
        <v>31</v>
      </c>
      <c r="C2840" t="s">
        <v>32</v>
      </c>
      <c r="D2840" t="s">
        <v>341</v>
      </c>
      <c r="E2840" t="s">
        <v>3325</v>
      </c>
      <c r="F2840" t="s">
        <v>35</v>
      </c>
      <c r="G2840" t="s">
        <v>35</v>
      </c>
      <c r="H2840" t="s">
        <v>35</v>
      </c>
      <c r="J2840" t="s">
        <v>3328</v>
      </c>
      <c r="K2840" t="s">
        <v>1092</v>
      </c>
      <c r="M2840">
        <v>8.5050000000000008</v>
      </c>
      <c r="N2840">
        <v>74</v>
      </c>
      <c r="O2840" t="s">
        <v>61</v>
      </c>
      <c r="Q2840" t="s">
        <v>488</v>
      </c>
      <c r="R2840" t="s">
        <v>347</v>
      </c>
      <c r="S2840" t="s">
        <v>348</v>
      </c>
    </row>
    <row r="2841" spans="1:19" x14ac:dyDescent="0.25">
      <c r="A2841" t="s">
        <v>44</v>
      </c>
      <c r="B2841" t="s">
        <v>3</v>
      </c>
      <c r="C2841" t="s">
        <v>32</v>
      </c>
      <c r="D2841" t="s">
        <v>341</v>
      </c>
      <c r="E2841" t="s">
        <v>3325</v>
      </c>
      <c r="F2841" t="s">
        <v>35</v>
      </c>
      <c r="G2841" t="s">
        <v>35</v>
      </c>
      <c r="H2841" t="s">
        <v>35</v>
      </c>
      <c r="J2841" t="s">
        <v>3329</v>
      </c>
      <c r="K2841" t="s">
        <v>1092</v>
      </c>
      <c r="M2841">
        <v>0.4</v>
      </c>
      <c r="N2841">
        <v>435</v>
      </c>
      <c r="O2841" t="s">
        <v>294</v>
      </c>
      <c r="Q2841" t="s">
        <v>1350</v>
      </c>
      <c r="R2841" t="s">
        <v>3323</v>
      </c>
      <c r="S2841" t="s">
        <v>353</v>
      </c>
    </row>
    <row r="2842" spans="1:19" x14ac:dyDescent="0.25">
      <c r="A2842" t="s">
        <v>44</v>
      </c>
      <c r="B2842" t="s">
        <v>3</v>
      </c>
      <c r="C2842" t="s">
        <v>32</v>
      </c>
      <c r="D2842" t="s">
        <v>341</v>
      </c>
      <c r="E2842" t="s">
        <v>390</v>
      </c>
      <c r="F2842" t="s">
        <v>35</v>
      </c>
      <c r="G2842" t="s">
        <v>35</v>
      </c>
      <c r="H2842" t="s">
        <v>35</v>
      </c>
      <c r="J2842" t="s">
        <v>3331</v>
      </c>
      <c r="K2842" t="s">
        <v>1092</v>
      </c>
      <c r="M2842">
        <v>4</v>
      </c>
      <c r="N2842">
        <v>67</v>
      </c>
      <c r="O2842" t="s">
        <v>61</v>
      </c>
      <c r="Q2842" t="s">
        <v>1311</v>
      </c>
      <c r="R2842" t="s">
        <v>3332</v>
      </c>
      <c r="S2842" t="s">
        <v>391</v>
      </c>
    </row>
    <row r="2843" spans="1:19" x14ac:dyDescent="0.25">
      <c r="A2843" t="s">
        <v>30</v>
      </c>
      <c r="B2843" t="s">
        <v>31</v>
      </c>
      <c r="C2843" t="s">
        <v>32</v>
      </c>
      <c r="D2843" t="s">
        <v>341</v>
      </c>
      <c r="E2843" t="s">
        <v>390</v>
      </c>
      <c r="F2843" t="s">
        <v>35</v>
      </c>
      <c r="G2843" t="s">
        <v>35</v>
      </c>
      <c r="H2843" t="s">
        <v>35</v>
      </c>
      <c r="J2843" t="s">
        <v>3331</v>
      </c>
      <c r="K2843" t="s">
        <v>1092</v>
      </c>
      <c r="M2843">
        <v>4.95</v>
      </c>
      <c r="N2843">
        <v>76</v>
      </c>
      <c r="O2843" t="s">
        <v>61</v>
      </c>
      <c r="Q2843" t="s">
        <v>234</v>
      </c>
      <c r="R2843" t="s">
        <v>3332</v>
      </c>
      <c r="S2843" t="s">
        <v>391</v>
      </c>
    </row>
    <row r="2844" spans="1:19" x14ac:dyDescent="0.25">
      <c r="A2844" t="s">
        <v>30</v>
      </c>
      <c r="B2844" t="s">
        <v>31</v>
      </c>
      <c r="C2844" t="s">
        <v>32</v>
      </c>
      <c r="D2844" t="s">
        <v>341</v>
      </c>
      <c r="E2844" t="s">
        <v>390</v>
      </c>
      <c r="F2844" t="s">
        <v>35</v>
      </c>
      <c r="G2844" t="s">
        <v>35</v>
      </c>
      <c r="H2844" t="s">
        <v>35</v>
      </c>
      <c r="J2844" t="s">
        <v>3333</v>
      </c>
      <c r="K2844" t="s">
        <v>1092</v>
      </c>
      <c r="M2844">
        <v>0.22500000000000001</v>
      </c>
      <c r="N2844">
        <v>151</v>
      </c>
      <c r="O2844" t="s">
        <v>38</v>
      </c>
      <c r="Q2844" t="s">
        <v>1269</v>
      </c>
      <c r="R2844" t="s">
        <v>356</v>
      </c>
      <c r="S2844" t="s">
        <v>357</v>
      </c>
    </row>
    <row r="2845" spans="1:19" x14ac:dyDescent="0.25">
      <c r="A2845" t="s">
        <v>59</v>
      </c>
      <c r="B2845" t="s">
        <v>60</v>
      </c>
      <c r="C2845" t="s">
        <v>32</v>
      </c>
      <c r="D2845" t="s">
        <v>341</v>
      </c>
      <c r="E2845" t="s">
        <v>390</v>
      </c>
      <c r="F2845" t="s">
        <v>35</v>
      </c>
      <c r="G2845" t="s">
        <v>35</v>
      </c>
      <c r="H2845" t="s">
        <v>35</v>
      </c>
      <c r="J2845" t="s">
        <v>3334</v>
      </c>
      <c r="K2845" t="s">
        <v>1092</v>
      </c>
      <c r="M2845">
        <v>0.05</v>
      </c>
      <c r="N2845">
        <v>62</v>
      </c>
      <c r="O2845" t="s">
        <v>61</v>
      </c>
      <c r="Q2845" t="s">
        <v>90</v>
      </c>
      <c r="R2845" t="s">
        <v>3332</v>
      </c>
      <c r="S2845" t="s">
        <v>391</v>
      </c>
    </row>
    <row r="2846" spans="1:19" x14ac:dyDescent="0.25">
      <c r="A2846" t="s">
        <v>44</v>
      </c>
      <c r="B2846" t="s">
        <v>3</v>
      </c>
      <c r="C2846" t="s">
        <v>32</v>
      </c>
      <c r="D2846" t="s">
        <v>341</v>
      </c>
      <c r="E2846" t="s">
        <v>390</v>
      </c>
      <c r="F2846" t="s">
        <v>35</v>
      </c>
      <c r="G2846" t="s">
        <v>35</v>
      </c>
      <c r="H2846" t="s">
        <v>35</v>
      </c>
      <c r="J2846" t="s">
        <v>3335</v>
      </c>
      <c r="K2846" t="s">
        <v>1092</v>
      </c>
      <c r="M2846">
        <v>0.75</v>
      </c>
      <c r="N2846">
        <v>411</v>
      </c>
      <c r="O2846" t="s">
        <v>294</v>
      </c>
      <c r="Q2846" t="s">
        <v>3336</v>
      </c>
      <c r="R2846" t="s">
        <v>3337</v>
      </c>
      <c r="S2846" t="s">
        <v>3338</v>
      </c>
    </row>
    <row r="2847" spans="1:19" x14ac:dyDescent="0.25">
      <c r="A2847" t="s">
        <v>44</v>
      </c>
      <c r="B2847" t="s">
        <v>3</v>
      </c>
      <c r="C2847" t="s">
        <v>32</v>
      </c>
      <c r="D2847" t="s">
        <v>341</v>
      </c>
      <c r="E2847" t="s">
        <v>390</v>
      </c>
      <c r="F2847" t="s">
        <v>35</v>
      </c>
      <c r="G2847" t="s">
        <v>35</v>
      </c>
      <c r="H2847" t="s">
        <v>35</v>
      </c>
      <c r="J2847" t="s">
        <v>3340</v>
      </c>
      <c r="K2847" t="s">
        <v>1092</v>
      </c>
      <c r="M2847">
        <v>3.6</v>
      </c>
      <c r="N2847">
        <v>67</v>
      </c>
      <c r="O2847" t="s">
        <v>61</v>
      </c>
      <c r="Q2847" t="s">
        <v>1311</v>
      </c>
      <c r="R2847" t="s">
        <v>3332</v>
      </c>
      <c r="S2847" t="s">
        <v>391</v>
      </c>
    </row>
    <row r="2848" spans="1:19" x14ac:dyDescent="0.25">
      <c r="A2848" t="s">
        <v>30</v>
      </c>
      <c r="B2848" t="s">
        <v>31</v>
      </c>
      <c r="C2848" t="s">
        <v>32</v>
      </c>
      <c r="D2848" t="s">
        <v>341</v>
      </c>
      <c r="E2848" t="s">
        <v>390</v>
      </c>
      <c r="F2848" t="s">
        <v>35</v>
      </c>
      <c r="G2848" t="s">
        <v>35</v>
      </c>
      <c r="H2848" t="s">
        <v>35</v>
      </c>
      <c r="J2848" t="s">
        <v>3341</v>
      </c>
      <c r="K2848" t="s">
        <v>1092</v>
      </c>
      <c r="M2848">
        <v>1.2150000000000001</v>
      </c>
      <c r="N2848">
        <v>89</v>
      </c>
      <c r="O2848" t="s">
        <v>61</v>
      </c>
      <c r="Q2848" t="s">
        <v>299</v>
      </c>
      <c r="R2848" t="s">
        <v>347</v>
      </c>
      <c r="S2848" t="s">
        <v>348</v>
      </c>
    </row>
    <row r="2849" spans="1:19" x14ac:dyDescent="0.25">
      <c r="A2849" t="s">
        <v>44</v>
      </c>
      <c r="B2849" t="s">
        <v>51</v>
      </c>
      <c r="C2849" t="s">
        <v>32</v>
      </c>
      <c r="D2849" t="s">
        <v>341</v>
      </c>
      <c r="E2849" t="s">
        <v>390</v>
      </c>
      <c r="F2849" t="s">
        <v>35</v>
      </c>
      <c r="G2849" t="s">
        <v>35</v>
      </c>
      <c r="H2849" t="s">
        <v>35</v>
      </c>
      <c r="J2849" t="s">
        <v>3341</v>
      </c>
      <c r="K2849" t="s">
        <v>1092</v>
      </c>
      <c r="M2849">
        <v>15.7</v>
      </c>
      <c r="N2849">
        <v>117</v>
      </c>
      <c r="O2849" t="s">
        <v>106</v>
      </c>
      <c r="Q2849" t="s">
        <v>3342</v>
      </c>
      <c r="R2849" t="s">
        <v>347</v>
      </c>
      <c r="S2849" t="s">
        <v>348</v>
      </c>
    </row>
    <row r="2850" spans="1:19" x14ac:dyDescent="0.25">
      <c r="A2850" t="s">
        <v>59</v>
      </c>
      <c r="B2850" t="s">
        <v>31</v>
      </c>
      <c r="C2850" t="s">
        <v>32</v>
      </c>
      <c r="D2850" t="s">
        <v>341</v>
      </c>
      <c r="E2850" t="s">
        <v>390</v>
      </c>
      <c r="F2850" t="s">
        <v>35</v>
      </c>
      <c r="G2850" t="s">
        <v>35</v>
      </c>
      <c r="H2850" t="s">
        <v>35</v>
      </c>
      <c r="J2850" t="s">
        <v>3341</v>
      </c>
      <c r="K2850" t="s">
        <v>1092</v>
      </c>
      <c r="M2850">
        <v>5.67</v>
      </c>
      <c r="N2850">
        <v>226</v>
      </c>
      <c r="O2850" t="s">
        <v>5</v>
      </c>
      <c r="Q2850" t="s">
        <v>3300</v>
      </c>
      <c r="R2850" t="s">
        <v>347</v>
      </c>
      <c r="S2850" t="s">
        <v>348</v>
      </c>
    </row>
    <row r="2851" spans="1:19" x14ac:dyDescent="0.25">
      <c r="A2851" t="s">
        <v>59</v>
      </c>
      <c r="B2851" t="s">
        <v>60</v>
      </c>
      <c r="C2851" t="s">
        <v>32</v>
      </c>
      <c r="D2851" t="s">
        <v>341</v>
      </c>
      <c r="E2851" t="s">
        <v>390</v>
      </c>
      <c r="F2851" t="s">
        <v>35</v>
      </c>
      <c r="G2851" t="s">
        <v>35</v>
      </c>
      <c r="H2851" t="s">
        <v>35</v>
      </c>
      <c r="J2851" t="s">
        <v>3341</v>
      </c>
      <c r="K2851" t="s">
        <v>1092</v>
      </c>
      <c r="M2851">
        <v>9.15</v>
      </c>
      <c r="N2851">
        <v>89</v>
      </c>
      <c r="O2851" t="s">
        <v>61</v>
      </c>
      <c r="Q2851" t="s">
        <v>299</v>
      </c>
      <c r="R2851" t="s">
        <v>347</v>
      </c>
      <c r="S2851" t="s">
        <v>348</v>
      </c>
    </row>
    <row r="2852" spans="1:19" x14ac:dyDescent="0.25">
      <c r="A2852" t="s">
        <v>30</v>
      </c>
      <c r="B2852" t="s">
        <v>31</v>
      </c>
      <c r="C2852" t="s">
        <v>32</v>
      </c>
      <c r="D2852" t="s">
        <v>341</v>
      </c>
      <c r="E2852" t="s">
        <v>390</v>
      </c>
      <c r="F2852" t="s">
        <v>35</v>
      </c>
      <c r="G2852" t="s">
        <v>35</v>
      </c>
      <c r="H2852" t="s">
        <v>35</v>
      </c>
      <c r="J2852" t="s">
        <v>3341</v>
      </c>
      <c r="K2852" t="s">
        <v>1092</v>
      </c>
      <c r="M2852">
        <v>11.97</v>
      </c>
      <c r="N2852">
        <v>74</v>
      </c>
      <c r="O2852" t="s">
        <v>61</v>
      </c>
      <c r="Q2852" t="s">
        <v>488</v>
      </c>
      <c r="R2852" t="s">
        <v>347</v>
      </c>
      <c r="S2852" t="s">
        <v>348</v>
      </c>
    </row>
    <row r="2853" spans="1:19" x14ac:dyDescent="0.25">
      <c r="A2853" t="s">
        <v>44</v>
      </c>
      <c r="B2853" t="s">
        <v>51</v>
      </c>
      <c r="C2853" t="s">
        <v>32</v>
      </c>
      <c r="D2853" t="s">
        <v>341</v>
      </c>
      <c r="E2853" t="s">
        <v>390</v>
      </c>
      <c r="F2853" t="s">
        <v>35</v>
      </c>
      <c r="G2853" t="s">
        <v>35</v>
      </c>
      <c r="H2853" t="s">
        <v>35</v>
      </c>
      <c r="J2853" t="s">
        <v>3347</v>
      </c>
      <c r="K2853" t="s">
        <v>1092</v>
      </c>
      <c r="M2853">
        <v>1.75</v>
      </c>
      <c r="N2853">
        <v>62</v>
      </c>
      <c r="O2853" t="s">
        <v>61</v>
      </c>
      <c r="Q2853" t="s">
        <v>90</v>
      </c>
      <c r="R2853" t="s">
        <v>3332</v>
      </c>
      <c r="S2853" t="s">
        <v>391</v>
      </c>
    </row>
    <row r="2854" spans="1:19" x14ac:dyDescent="0.25">
      <c r="A2854" t="s">
        <v>30</v>
      </c>
      <c r="B2854" t="s">
        <v>31</v>
      </c>
      <c r="C2854" t="s">
        <v>32</v>
      </c>
      <c r="D2854" t="s">
        <v>341</v>
      </c>
      <c r="E2854" t="s">
        <v>3348</v>
      </c>
      <c r="F2854" t="s">
        <v>35</v>
      </c>
      <c r="G2854" t="s">
        <v>35</v>
      </c>
      <c r="H2854" t="s">
        <v>35</v>
      </c>
      <c r="J2854" t="s">
        <v>3349</v>
      </c>
      <c r="K2854" t="s">
        <v>1092</v>
      </c>
      <c r="M2854">
        <v>0.76500000000000001</v>
      </c>
      <c r="N2854">
        <v>75</v>
      </c>
      <c r="O2854" t="s">
        <v>61</v>
      </c>
      <c r="Q2854" t="s">
        <v>805</v>
      </c>
      <c r="R2854" t="s">
        <v>3344</v>
      </c>
      <c r="S2854" t="s">
        <v>3345</v>
      </c>
    </row>
    <row r="2855" spans="1:19" x14ac:dyDescent="0.25">
      <c r="A2855" t="s">
        <v>59</v>
      </c>
      <c r="B2855" t="s">
        <v>60</v>
      </c>
      <c r="C2855" t="s">
        <v>32</v>
      </c>
      <c r="D2855" t="s">
        <v>341</v>
      </c>
      <c r="E2855" t="s">
        <v>3350</v>
      </c>
      <c r="F2855" t="s">
        <v>35</v>
      </c>
      <c r="G2855" t="s">
        <v>35</v>
      </c>
      <c r="H2855" t="s">
        <v>35</v>
      </c>
      <c r="J2855" t="s">
        <v>3351</v>
      </c>
      <c r="K2855" t="s">
        <v>404</v>
      </c>
      <c r="M2855">
        <v>19</v>
      </c>
      <c r="N2855">
        <v>574</v>
      </c>
      <c r="O2855" t="s">
        <v>575</v>
      </c>
      <c r="Q2855" t="s">
        <v>3352</v>
      </c>
      <c r="R2855" t="s">
        <v>3286</v>
      </c>
      <c r="S2855" t="s">
        <v>3287</v>
      </c>
    </row>
    <row r="2856" spans="1:19" x14ac:dyDescent="0.25">
      <c r="A2856" t="s">
        <v>44</v>
      </c>
      <c r="B2856" t="s">
        <v>51</v>
      </c>
      <c r="C2856" t="s">
        <v>32</v>
      </c>
      <c r="D2856" t="s">
        <v>341</v>
      </c>
      <c r="E2856" t="s">
        <v>3350</v>
      </c>
      <c r="F2856" t="s">
        <v>35</v>
      </c>
      <c r="G2856" t="s">
        <v>35</v>
      </c>
      <c r="H2856" t="s">
        <v>35</v>
      </c>
      <c r="J2856" t="s">
        <v>3353</v>
      </c>
      <c r="K2856" t="s">
        <v>1092</v>
      </c>
      <c r="M2856">
        <v>8</v>
      </c>
      <c r="N2856">
        <v>56</v>
      </c>
      <c r="O2856" t="s">
        <v>52</v>
      </c>
      <c r="Q2856" t="s">
        <v>453</v>
      </c>
      <c r="R2856" t="s">
        <v>3284</v>
      </c>
      <c r="S2856" t="s">
        <v>387</v>
      </c>
    </row>
    <row r="2857" spans="1:19" x14ac:dyDescent="0.25">
      <c r="A2857" t="s">
        <v>44</v>
      </c>
      <c r="B2857" t="s">
        <v>51</v>
      </c>
      <c r="C2857" t="s">
        <v>32</v>
      </c>
      <c r="D2857" t="s">
        <v>341</v>
      </c>
      <c r="E2857" t="s">
        <v>3354</v>
      </c>
      <c r="F2857" t="s">
        <v>35</v>
      </c>
      <c r="G2857" t="s">
        <v>35</v>
      </c>
      <c r="H2857" t="s">
        <v>35</v>
      </c>
      <c r="J2857" t="s">
        <v>3355</v>
      </c>
      <c r="K2857" t="s">
        <v>1092</v>
      </c>
      <c r="M2857">
        <v>3.6</v>
      </c>
      <c r="N2857">
        <v>62</v>
      </c>
      <c r="O2857" t="s">
        <v>61</v>
      </c>
      <c r="Q2857" t="s">
        <v>90</v>
      </c>
      <c r="R2857" t="s">
        <v>3332</v>
      </c>
      <c r="S2857" t="s">
        <v>391</v>
      </c>
    </row>
    <row r="2858" spans="1:19" x14ac:dyDescent="0.25">
      <c r="A2858" t="s">
        <v>44</v>
      </c>
      <c r="B2858" t="s">
        <v>3</v>
      </c>
      <c r="C2858" t="s">
        <v>32</v>
      </c>
      <c r="D2858" t="s">
        <v>341</v>
      </c>
      <c r="E2858" t="s">
        <v>3354</v>
      </c>
      <c r="F2858" t="s">
        <v>35</v>
      </c>
      <c r="G2858" t="s">
        <v>35</v>
      </c>
      <c r="H2858" t="s">
        <v>35</v>
      </c>
      <c r="J2858" t="s">
        <v>3355</v>
      </c>
      <c r="K2858" t="s">
        <v>1092</v>
      </c>
      <c r="M2858">
        <v>0.6</v>
      </c>
      <c r="N2858">
        <v>67</v>
      </c>
      <c r="O2858" t="s">
        <v>61</v>
      </c>
      <c r="Q2858" t="s">
        <v>1311</v>
      </c>
      <c r="R2858" t="s">
        <v>3332</v>
      </c>
      <c r="S2858" t="s">
        <v>391</v>
      </c>
    </row>
    <row r="2859" spans="1:19" x14ac:dyDescent="0.25">
      <c r="A2859" t="s">
        <v>44</v>
      </c>
      <c r="B2859" t="s">
        <v>51</v>
      </c>
      <c r="C2859" t="s">
        <v>32</v>
      </c>
      <c r="D2859" t="s">
        <v>341</v>
      </c>
      <c r="E2859" t="s">
        <v>3356</v>
      </c>
      <c r="F2859" t="s">
        <v>35</v>
      </c>
      <c r="G2859" t="s">
        <v>35</v>
      </c>
      <c r="H2859" t="s">
        <v>35</v>
      </c>
      <c r="J2859" t="s">
        <v>3357</v>
      </c>
      <c r="K2859" t="s">
        <v>1092</v>
      </c>
      <c r="M2859">
        <v>2</v>
      </c>
      <c r="N2859">
        <v>163</v>
      </c>
      <c r="O2859" t="s">
        <v>38</v>
      </c>
      <c r="Q2859" t="s">
        <v>1632</v>
      </c>
      <c r="R2859" t="s">
        <v>3358</v>
      </c>
      <c r="S2859" t="s">
        <v>414</v>
      </c>
    </row>
    <row r="2860" spans="1:19" x14ac:dyDescent="0.25">
      <c r="A2860" t="s">
        <v>59</v>
      </c>
      <c r="B2860" t="s">
        <v>60</v>
      </c>
      <c r="C2860" t="s">
        <v>32</v>
      </c>
      <c r="D2860" t="s">
        <v>341</v>
      </c>
      <c r="E2860" t="s">
        <v>3356</v>
      </c>
      <c r="F2860" t="s">
        <v>35</v>
      </c>
      <c r="G2860" t="s">
        <v>35</v>
      </c>
      <c r="H2860" t="s">
        <v>35</v>
      </c>
      <c r="J2860" t="s">
        <v>3359</v>
      </c>
      <c r="K2860" t="s">
        <v>1092</v>
      </c>
      <c r="M2860">
        <v>4</v>
      </c>
      <c r="N2860">
        <v>248</v>
      </c>
      <c r="O2860" t="s">
        <v>5</v>
      </c>
      <c r="Q2860" t="s">
        <v>1154</v>
      </c>
      <c r="R2860" t="s">
        <v>3358</v>
      </c>
      <c r="S2860" t="s">
        <v>414</v>
      </c>
    </row>
    <row r="2861" spans="1:19" x14ac:dyDescent="0.25">
      <c r="A2861" t="s">
        <v>44</v>
      </c>
      <c r="B2861" t="s">
        <v>3</v>
      </c>
      <c r="C2861" t="s">
        <v>32</v>
      </c>
      <c r="D2861" t="s">
        <v>341</v>
      </c>
      <c r="E2861" t="s">
        <v>3356</v>
      </c>
      <c r="F2861" t="s">
        <v>35</v>
      </c>
      <c r="G2861" t="s">
        <v>35</v>
      </c>
      <c r="H2861" t="s">
        <v>35</v>
      </c>
      <c r="J2861" t="s">
        <v>3359</v>
      </c>
      <c r="K2861" t="s">
        <v>1092</v>
      </c>
      <c r="M2861">
        <v>2.5</v>
      </c>
      <c r="N2861">
        <v>433</v>
      </c>
      <c r="O2861" t="s">
        <v>294</v>
      </c>
      <c r="Q2861" t="s">
        <v>1935</v>
      </c>
      <c r="R2861" t="s">
        <v>3358</v>
      </c>
      <c r="S2861" t="s">
        <v>414</v>
      </c>
    </row>
    <row r="2862" spans="1:19" x14ac:dyDescent="0.25">
      <c r="A2862" t="s">
        <v>30</v>
      </c>
      <c r="B2862" t="s">
        <v>31</v>
      </c>
      <c r="C2862" t="s">
        <v>32</v>
      </c>
      <c r="D2862" t="s">
        <v>341</v>
      </c>
      <c r="E2862" t="s">
        <v>3356</v>
      </c>
      <c r="F2862" t="s">
        <v>35</v>
      </c>
      <c r="G2862" t="s">
        <v>35</v>
      </c>
      <c r="H2862" t="s">
        <v>35</v>
      </c>
      <c r="J2862" t="s">
        <v>3360</v>
      </c>
      <c r="K2862" t="s">
        <v>1092</v>
      </c>
      <c r="M2862">
        <v>2.5000000000000001E-2</v>
      </c>
      <c r="N2862">
        <v>215</v>
      </c>
      <c r="O2862" t="s">
        <v>5</v>
      </c>
      <c r="Q2862" t="s">
        <v>3122</v>
      </c>
      <c r="R2862" t="s">
        <v>3358</v>
      </c>
      <c r="S2862" t="s">
        <v>414</v>
      </c>
    </row>
    <row r="2863" spans="1:19" x14ac:dyDescent="0.25">
      <c r="A2863" t="s">
        <v>30</v>
      </c>
      <c r="B2863" t="s">
        <v>31</v>
      </c>
      <c r="C2863" t="s">
        <v>32</v>
      </c>
      <c r="D2863" t="s">
        <v>341</v>
      </c>
      <c r="E2863" t="s">
        <v>3356</v>
      </c>
      <c r="F2863" t="s">
        <v>35</v>
      </c>
      <c r="G2863" t="s">
        <v>35</v>
      </c>
      <c r="H2863" t="s">
        <v>35</v>
      </c>
      <c r="J2863" t="s">
        <v>3361</v>
      </c>
      <c r="K2863" t="s">
        <v>1092</v>
      </c>
      <c r="M2863">
        <v>5.0000000000000001E-3</v>
      </c>
      <c r="N2863">
        <v>230</v>
      </c>
      <c r="O2863" t="s">
        <v>5</v>
      </c>
      <c r="Q2863" t="s">
        <v>1544</v>
      </c>
      <c r="R2863" t="s">
        <v>3358</v>
      </c>
      <c r="S2863" t="s">
        <v>414</v>
      </c>
    </row>
    <row r="2864" spans="1:19" x14ac:dyDescent="0.25">
      <c r="A2864" t="s">
        <v>30</v>
      </c>
      <c r="B2864" t="s">
        <v>31</v>
      </c>
      <c r="C2864" t="s">
        <v>32</v>
      </c>
      <c r="D2864" t="s">
        <v>341</v>
      </c>
      <c r="E2864" t="s">
        <v>3356</v>
      </c>
      <c r="F2864" t="s">
        <v>35</v>
      </c>
      <c r="G2864" t="s">
        <v>35</v>
      </c>
      <c r="H2864" t="s">
        <v>35</v>
      </c>
      <c r="J2864" t="s">
        <v>3362</v>
      </c>
      <c r="K2864" t="s">
        <v>1092</v>
      </c>
      <c r="M2864">
        <v>2.3849999999999998</v>
      </c>
      <c r="N2864">
        <v>239</v>
      </c>
      <c r="O2864" t="s">
        <v>5</v>
      </c>
      <c r="Q2864" t="s">
        <v>1471</v>
      </c>
      <c r="R2864" t="s">
        <v>3363</v>
      </c>
      <c r="S2864" t="s">
        <v>3364</v>
      </c>
    </row>
    <row r="2865" spans="1:19" x14ac:dyDescent="0.25">
      <c r="A2865" t="s">
        <v>30</v>
      </c>
      <c r="B2865" t="s">
        <v>31</v>
      </c>
      <c r="C2865" t="s">
        <v>32</v>
      </c>
      <c r="D2865" t="s">
        <v>341</v>
      </c>
      <c r="E2865" t="s">
        <v>3356</v>
      </c>
      <c r="F2865" t="s">
        <v>35</v>
      </c>
      <c r="G2865" t="s">
        <v>35</v>
      </c>
      <c r="H2865" t="s">
        <v>35</v>
      </c>
      <c r="J2865" t="s">
        <v>1121</v>
      </c>
      <c r="K2865" t="s">
        <v>1092</v>
      </c>
      <c r="M2865">
        <v>1.35</v>
      </c>
      <c r="N2865">
        <v>248</v>
      </c>
      <c r="O2865" t="s">
        <v>5</v>
      </c>
      <c r="Q2865" t="s">
        <v>1154</v>
      </c>
      <c r="R2865" t="s">
        <v>3358</v>
      </c>
      <c r="S2865" t="s">
        <v>414</v>
      </c>
    </row>
    <row r="2866" spans="1:19" x14ac:dyDescent="0.25">
      <c r="A2866" t="s">
        <v>44</v>
      </c>
      <c r="B2866" t="s">
        <v>3</v>
      </c>
      <c r="C2866" t="s">
        <v>32</v>
      </c>
      <c r="D2866" t="s">
        <v>341</v>
      </c>
      <c r="E2866" t="s">
        <v>3356</v>
      </c>
      <c r="F2866" t="s">
        <v>35</v>
      </c>
      <c r="G2866" t="s">
        <v>35</v>
      </c>
      <c r="H2866" t="s">
        <v>35</v>
      </c>
      <c r="J2866" t="s">
        <v>3366</v>
      </c>
      <c r="K2866" t="s">
        <v>1092</v>
      </c>
      <c r="M2866">
        <v>0.5</v>
      </c>
      <c r="N2866">
        <v>432</v>
      </c>
      <c r="O2866" t="s">
        <v>294</v>
      </c>
      <c r="Q2866" t="s">
        <v>1271</v>
      </c>
      <c r="R2866" t="s">
        <v>3358</v>
      </c>
      <c r="S2866" t="s">
        <v>414</v>
      </c>
    </row>
    <row r="2867" spans="1:19" x14ac:dyDescent="0.25">
      <c r="A2867" t="s">
        <v>30</v>
      </c>
      <c r="B2867" t="s">
        <v>31</v>
      </c>
      <c r="C2867" t="s">
        <v>32</v>
      </c>
      <c r="D2867" t="s">
        <v>341</v>
      </c>
      <c r="E2867" t="s">
        <v>398</v>
      </c>
      <c r="F2867" t="s">
        <v>35</v>
      </c>
      <c r="G2867" t="s">
        <v>35</v>
      </c>
      <c r="H2867" t="s">
        <v>35</v>
      </c>
      <c r="J2867" t="s">
        <v>3367</v>
      </c>
      <c r="K2867" t="s">
        <v>1092</v>
      </c>
      <c r="M2867">
        <v>5.9850000000000003</v>
      </c>
      <c r="N2867">
        <v>18</v>
      </c>
      <c r="O2867" t="s">
        <v>46</v>
      </c>
      <c r="Q2867" t="s">
        <v>1476</v>
      </c>
      <c r="R2867" t="s">
        <v>3332</v>
      </c>
      <c r="S2867" t="s">
        <v>391</v>
      </c>
    </row>
    <row r="2868" spans="1:19" x14ac:dyDescent="0.25">
      <c r="A2868" t="s">
        <v>44</v>
      </c>
      <c r="B2868" t="s">
        <v>51</v>
      </c>
      <c r="C2868" t="s">
        <v>32</v>
      </c>
      <c r="D2868" t="s">
        <v>341</v>
      </c>
      <c r="E2868" t="s">
        <v>398</v>
      </c>
      <c r="F2868" t="s">
        <v>35</v>
      </c>
      <c r="G2868" t="s">
        <v>35</v>
      </c>
      <c r="H2868" t="s">
        <v>35</v>
      </c>
      <c r="J2868" t="s">
        <v>3368</v>
      </c>
      <c r="K2868" t="s">
        <v>1092</v>
      </c>
      <c r="M2868">
        <v>6</v>
      </c>
      <c r="N2868">
        <v>62</v>
      </c>
      <c r="O2868" t="s">
        <v>61</v>
      </c>
      <c r="Q2868" t="s">
        <v>90</v>
      </c>
      <c r="R2868" t="s">
        <v>3332</v>
      </c>
      <c r="S2868" t="s">
        <v>391</v>
      </c>
    </row>
    <row r="2869" spans="1:19" x14ac:dyDescent="0.25">
      <c r="A2869" t="s">
        <v>59</v>
      </c>
      <c r="B2869" t="s">
        <v>31</v>
      </c>
      <c r="C2869" t="s">
        <v>32</v>
      </c>
      <c r="D2869" t="s">
        <v>341</v>
      </c>
      <c r="E2869" t="s">
        <v>398</v>
      </c>
      <c r="F2869" t="s">
        <v>35</v>
      </c>
      <c r="G2869" t="s">
        <v>35</v>
      </c>
      <c r="H2869" t="s">
        <v>35</v>
      </c>
      <c r="J2869" t="s">
        <v>3368</v>
      </c>
      <c r="K2869" t="s">
        <v>1092</v>
      </c>
      <c r="M2869">
        <v>3.33</v>
      </c>
      <c r="N2869">
        <v>97</v>
      </c>
      <c r="O2869" t="s">
        <v>106</v>
      </c>
      <c r="Q2869" t="s">
        <v>557</v>
      </c>
      <c r="R2869" t="s">
        <v>3332</v>
      </c>
      <c r="S2869" t="s">
        <v>391</v>
      </c>
    </row>
    <row r="2870" spans="1:19" x14ac:dyDescent="0.25">
      <c r="A2870" t="s">
        <v>30</v>
      </c>
      <c r="B2870" t="s">
        <v>31</v>
      </c>
      <c r="C2870" t="s">
        <v>32</v>
      </c>
      <c r="D2870" t="s">
        <v>341</v>
      </c>
      <c r="E2870" t="s">
        <v>398</v>
      </c>
      <c r="F2870" t="s">
        <v>35</v>
      </c>
      <c r="G2870" t="s">
        <v>35</v>
      </c>
      <c r="H2870" t="s">
        <v>35</v>
      </c>
      <c r="J2870" t="s">
        <v>3368</v>
      </c>
      <c r="K2870" t="s">
        <v>1092</v>
      </c>
      <c r="M2870">
        <v>5.9850000000000003</v>
      </c>
      <c r="N2870">
        <v>76</v>
      </c>
      <c r="O2870" t="s">
        <v>61</v>
      </c>
      <c r="Q2870" t="s">
        <v>234</v>
      </c>
      <c r="R2870" t="s">
        <v>3332</v>
      </c>
      <c r="S2870" t="s">
        <v>391</v>
      </c>
    </row>
    <row r="2871" spans="1:19" x14ac:dyDescent="0.25">
      <c r="A2871" t="s">
        <v>44</v>
      </c>
      <c r="B2871" t="s">
        <v>3</v>
      </c>
      <c r="C2871" t="s">
        <v>32</v>
      </c>
      <c r="D2871" t="s">
        <v>341</v>
      </c>
      <c r="E2871" t="s">
        <v>398</v>
      </c>
      <c r="F2871" t="s">
        <v>35</v>
      </c>
      <c r="G2871" t="s">
        <v>35</v>
      </c>
      <c r="H2871" t="s">
        <v>35</v>
      </c>
      <c r="J2871" t="s">
        <v>3369</v>
      </c>
      <c r="K2871" t="s">
        <v>1092</v>
      </c>
      <c r="M2871">
        <v>0.75</v>
      </c>
      <c r="N2871">
        <v>419</v>
      </c>
      <c r="O2871" t="s">
        <v>294</v>
      </c>
      <c r="Q2871" t="s">
        <v>3370</v>
      </c>
      <c r="R2871" t="s">
        <v>3337</v>
      </c>
      <c r="S2871" t="s">
        <v>3338</v>
      </c>
    </row>
    <row r="2872" spans="1:19" x14ac:dyDescent="0.25">
      <c r="A2872" t="s">
        <v>59</v>
      </c>
      <c r="B2872" t="s">
        <v>60</v>
      </c>
      <c r="C2872" t="s">
        <v>32</v>
      </c>
      <c r="D2872" t="s">
        <v>341</v>
      </c>
      <c r="E2872" t="s">
        <v>398</v>
      </c>
      <c r="F2872" t="s">
        <v>35</v>
      </c>
      <c r="G2872" t="s">
        <v>35</v>
      </c>
      <c r="H2872" t="s">
        <v>35</v>
      </c>
      <c r="J2872" t="s">
        <v>3371</v>
      </c>
      <c r="K2872" t="s">
        <v>1092</v>
      </c>
      <c r="M2872">
        <v>5</v>
      </c>
      <c r="N2872">
        <v>68</v>
      </c>
      <c r="O2872" t="s">
        <v>61</v>
      </c>
      <c r="Q2872" t="s">
        <v>146</v>
      </c>
      <c r="R2872" t="s">
        <v>3372</v>
      </c>
      <c r="S2872" t="s">
        <v>399</v>
      </c>
    </row>
    <row r="2873" spans="1:19" x14ac:dyDescent="0.25">
      <c r="A2873" t="s">
        <v>44</v>
      </c>
      <c r="B2873" t="s">
        <v>3</v>
      </c>
      <c r="C2873" t="s">
        <v>32</v>
      </c>
      <c r="D2873" t="s">
        <v>341</v>
      </c>
      <c r="E2873" t="s">
        <v>398</v>
      </c>
      <c r="F2873" t="s">
        <v>35</v>
      </c>
      <c r="G2873" t="s">
        <v>35</v>
      </c>
      <c r="H2873" t="s">
        <v>35</v>
      </c>
      <c r="J2873" t="s">
        <v>3373</v>
      </c>
      <c r="K2873" t="s">
        <v>1092</v>
      </c>
      <c r="M2873">
        <v>3</v>
      </c>
      <c r="N2873">
        <v>67</v>
      </c>
      <c r="O2873" t="s">
        <v>61</v>
      </c>
      <c r="Q2873" t="s">
        <v>1311</v>
      </c>
      <c r="R2873" t="s">
        <v>3332</v>
      </c>
      <c r="S2873" t="s">
        <v>391</v>
      </c>
    </row>
    <row r="2874" spans="1:19" x14ac:dyDescent="0.25">
      <c r="A2874" t="s">
        <v>59</v>
      </c>
      <c r="B2874" t="s">
        <v>60</v>
      </c>
      <c r="C2874" t="s">
        <v>32</v>
      </c>
      <c r="D2874" t="s">
        <v>341</v>
      </c>
      <c r="E2874" t="s">
        <v>398</v>
      </c>
      <c r="F2874" t="s">
        <v>35</v>
      </c>
      <c r="G2874" t="s">
        <v>35</v>
      </c>
      <c r="H2874" t="s">
        <v>35</v>
      </c>
      <c r="J2874" t="s">
        <v>3373</v>
      </c>
      <c r="K2874" t="s">
        <v>1092</v>
      </c>
      <c r="M2874">
        <v>1.5</v>
      </c>
      <c r="N2874">
        <v>79</v>
      </c>
      <c r="O2874" t="s">
        <v>61</v>
      </c>
      <c r="Q2874" t="s">
        <v>1156</v>
      </c>
      <c r="R2874" t="s">
        <v>3332</v>
      </c>
      <c r="S2874" t="s">
        <v>391</v>
      </c>
    </row>
    <row r="2875" spans="1:19" x14ac:dyDescent="0.25">
      <c r="A2875" t="s">
        <v>59</v>
      </c>
      <c r="B2875" t="s">
        <v>60</v>
      </c>
      <c r="C2875" t="s">
        <v>32</v>
      </c>
      <c r="D2875" t="s">
        <v>341</v>
      </c>
      <c r="E2875" t="s">
        <v>398</v>
      </c>
      <c r="F2875" t="s">
        <v>35</v>
      </c>
      <c r="G2875" t="s">
        <v>35</v>
      </c>
      <c r="H2875" t="s">
        <v>35</v>
      </c>
      <c r="J2875" t="s">
        <v>3373</v>
      </c>
      <c r="K2875" t="s">
        <v>1092</v>
      </c>
      <c r="M2875">
        <v>5</v>
      </c>
      <c r="N2875">
        <v>56</v>
      </c>
      <c r="O2875" t="s">
        <v>52</v>
      </c>
      <c r="Q2875" t="s">
        <v>453</v>
      </c>
      <c r="R2875" t="s">
        <v>3332</v>
      </c>
      <c r="S2875" t="s">
        <v>391</v>
      </c>
    </row>
    <row r="2876" spans="1:19" x14ac:dyDescent="0.25">
      <c r="A2876" t="s">
        <v>59</v>
      </c>
      <c r="B2876" t="s">
        <v>60</v>
      </c>
      <c r="C2876" t="s">
        <v>32</v>
      </c>
      <c r="D2876" t="s">
        <v>341</v>
      </c>
      <c r="E2876" t="s">
        <v>3374</v>
      </c>
      <c r="F2876" t="s">
        <v>35</v>
      </c>
      <c r="G2876" t="s">
        <v>35</v>
      </c>
      <c r="H2876" t="s">
        <v>35</v>
      </c>
      <c r="J2876" t="s">
        <v>3375</v>
      </c>
      <c r="K2876" t="s">
        <v>1092</v>
      </c>
      <c r="M2876">
        <v>12</v>
      </c>
      <c r="N2876">
        <v>89</v>
      </c>
      <c r="O2876" t="s">
        <v>61</v>
      </c>
      <c r="Q2876" t="s">
        <v>299</v>
      </c>
      <c r="R2876" t="s">
        <v>347</v>
      </c>
      <c r="S2876" t="s">
        <v>348</v>
      </c>
    </row>
    <row r="2877" spans="1:19" x14ac:dyDescent="0.25">
      <c r="A2877" t="s">
        <v>59</v>
      </c>
      <c r="B2877" t="s">
        <v>31</v>
      </c>
      <c r="C2877" t="s">
        <v>32</v>
      </c>
      <c r="D2877" t="s">
        <v>341</v>
      </c>
      <c r="E2877" t="s">
        <v>3374</v>
      </c>
      <c r="F2877" t="s">
        <v>35</v>
      </c>
      <c r="G2877" t="s">
        <v>35</v>
      </c>
      <c r="H2877" t="s">
        <v>35</v>
      </c>
      <c r="J2877" t="s">
        <v>3375</v>
      </c>
      <c r="K2877" t="s">
        <v>1092</v>
      </c>
      <c r="M2877">
        <v>1.89</v>
      </c>
      <c r="N2877">
        <v>226</v>
      </c>
      <c r="O2877" t="s">
        <v>5</v>
      </c>
      <c r="Q2877" t="s">
        <v>3300</v>
      </c>
      <c r="R2877" t="s">
        <v>347</v>
      </c>
      <c r="S2877" t="s">
        <v>348</v>
      </c>
    </row>
    <row r="2878" spans="1:19" x14ac:dyDescent="0.25">
      <c r="A2878" t="s">
        <v>30</v>
      </c>
      <c r="B2878" t="s">
        <v>31</v>
      </c>
      <c r="C2878" t="s">
        <v>32</v>
      </c>
      <c r="D2878" t="s">
        <v>341</v>
      </c>
      <c r="E2878" t="s">
        <v>3374</v>
      </c>
      <c r="F2878" t="s">
        <v>35</v>
      </c>
      <c r="G2878" t="s">
        <v>35</v>
      </c>
      <c r="H2878" t="s">
        <v>35</v>
      </c>
      <c r="J2878" t="s">
        <v>3375</v>
      </c>
      <c r="K2878" t="s">
        <v>1092</v>
      </c>
      <c r="M2878">
        <v>11.97</v>
      </c>
      <c r="N2878">
        <v>74</v>
      </c>
      <c r="O2878" t="s">
        <v>61</v>
      </c>
      <c r="Q2878" t="s">
        <v>488</v>
      </c>
      <c r="R2878" t="s">
        <v>347</v>
      </c>
      <c r="S2878" t="s">
        <v>348</v>
      </c>
    </row>
    <row r="2879" spans="1:19" x14ac:dyDescent="0.25">
      <c r="A2879" t="s">
        <v>30</v>
      </c>
      <c r="B2879" t="s">
        <v>31</v>
      </c>
      <c r="C2879" t="s">
        <v>32</v>
      </c>
      <c r="D2879" t="s">
        <v>341</v>
      </c>
      <c r="E2879" t="s">
        <v>3374</v>
      </c>
      <c r="F2879" t="s">
        <v>35</v>
      </c>
      <c r="G2879" t="s">
        <v>35</v>
      </c>
      <c r="H2879" t="s">
        <v>35</v>
      </c>
      <c r="J2879" t="s">
        <v>3375</v>
      </c>
      <c r="K2879" t="s">
        <v>1092</v>
      </c>
      <c r="M2879">
        <v>9.9</v>
      </c>
      <c r="N2879">
        <v>104</v>
      </c>
      <c r="O2879" t="s">
        <v>106</v>
      </c>
      <c r="Q2879" t="s">
        <v>2577</v>
      </c>
      <c r="R2879" t="s">
        <v>347</v>
      </c>
      <c r="S2879" t="s">
        <v>348</v>
      </c>
    </row>
    <row r="2880" spans="1:19" x14ac:dyDescent="0.25">
      <c r="A2880" t="s">
        <v>30</v>
      </c>
      <c r="B2880" t="s">
        <v>31</v>
      </c>
      <c r="C2880" t="s">
        <v>32</v>
      </c>
      <c r="D2880" t="s">
        <v>341</v>
      </c>
      <c r="E2880" t="s">
        <v>3374</v>
      </c>
      <c r="F2880" t="s">
        <v>35</v>
      </c>
      <c r="G2880" t="s">
        <v>35</v>
      </c>
      <c r="H2880" t="s">
        <v>35</v>
      </c>
      <c r="J2880" t="s">
        <v>3375</v>
      </c>
      <c r="K2880" t="s">
        <v>1092</v>
      </c>
      <c r="M2880">
        <v>9.9</v>
      </c>
      <c r="N2880">
        <v>89</v>
      </c>
      <c r="O2880" t="s">
        <v>61</v>
      </c>
      <c r="Q2880" t="s">
        <v>299</v>
      </c>
      <c r="R2880" t="s">
        <v>347</v>
      </c>
      <c r="S2880" t="s">
        <v>348</v>
      </c>
    </row>
    <row r="2881" spans="1:19" x14ac:dyDescent="0.25">
      <c r="A2881" t="s">
        <v>30</v>
      </c>
      <c r="B2881" t="s">
        <v>31</v>
      </c>
      <c r="C2881" t="s">
        <v>32</v>
      </c>
      <c r="D2881" t="s">
        <v>341</v>
      </c>
      <c r="E2881" t="s">
        <v>3374</v>
      </c>
      <c r="F2881" t="s">
        <v>35</v>
      </c>
      <c r="G2881" t="s">
        <v>35</v>
      </c>
      <c r="H2881" t="s">
        <v>35</v>
      </c>
      <c r="J2881" t="s">
        <v>3375</v>
      </c>
      <c r="K2881" t="s">
        <v>1092</v>
      </c>
      <c r="M2881">
        <v>7.65</v>
      </c>
      <c r="N2881">
        <v>243</v>
      </c>
      <c r="O2881" t="s">
        <v>5</v>
      </c>
      <c r="Q2881" t="s">
        <v>1151</v>
      </c>
      <c r="R2881" t="s">
        <v>347</v>
      </c>
      <c r="S2881" t="s">
        <v>348</v>
      </c>
    </row>
    <row r="2882" spans="1:19" x14ac:dyDescent="0.25">
      <c r="A2882" t="s">
        <v>30</v>
      </c>
      <c r="B2882" t="s">
        <v>31</v>
      </c>
      <c r="C2882" t="s">
        <v>32</v>
      </c>
      <c r="D2882" t="s">
        <v>341</v>
      </c>
      <c r="E2882" t="s">
        <v>3374</v>
      </c>
      <c r="F2882" t="s">
        <v>35</v>
      </c>
      <c r="G2882" t="s">
        <v>35</v>
      </c>
      <c r="H2882" t="s">
        <v>35</v>
      </c>
      <c r="J2882" t="s">
        <v>3376</v>
      </c>
      <c r="K2882" t="s">
        <v>1092</v>
      </c>
      <c r="M2882">
        <v>0.13500000000000001</v>
      </c>
      <c r="N2882">
        <v>75</v>
      </c>
      <c r="O2882" t="s">
        <v>61</v>
      </c>
      <c r="Q2882" t="s">
        <v>805</v>
      </c>
      <c r="R2882" t="s">
        <v>3377</v>
      </c>
      <c r="S2882" t="s">
        <v>3378</v>
      </c>
    </row>
    <row r="2883" spans="1:19" x14ac:dyDescent="0.25">
      <c r="A2883" t="s">
        <v>30</v>
      </c>
      <c r="B2883" t="s">
        <v>31</v>
      </c>
      <c r="C2883" t="s">
        <v>32</v>
      </c>
      <c r="D2883" t="s">
        <v>341</v>
      </c>
      <c r="E2883" t="s">
        <v>3374</v>
      </c>
      <c r="F2883" t="s">
        <v>35</v>
      </c>
      <c r="G2883" t="s">
        <v>35</v>
      </c>
      <c r="H2883" t="s">
        <v>35</v>
      </c>
      <c r="J2883" t="s">
        <v>3380</v>
      </c>
      <c r="K2883" t="s">
        <v>1092</v>
      </c>
      <c r="M2883">
        <v>0.495</v>
      </c>
      <c r="N2883">
        <v>254</v>
      </c>
      <c r="O2883" t="s">
        <v>5</v>
      </c>
      <c r="Q2883" t="s">
        <v>367</v>
      </c>
      <c r="R2883" t="s">
        <v>3279</v>
      </c>
      <c r="S2883" t="s">
        <v>343</v>
      </c>
    </row>
    <row r="2884" spans="1:19" x14ac:dyDescent="0.25">
      <c r="A2884" t="s">
        <v>59</v>
      </c>
      <c r="B2884" t="s">
        <v>31</v>
      </c>
      <c r="C2884" t="s">
        <v>32</v>
      </c>
      <c r="D2884" t="s">
        <v>341</v>
      </c>
      <c r="E2884" t="s">
        <v>3374</v>
      </c>
      <c r="F2884" t="s">
        <v>35</v>
      </c>
      <c r="G2884" t="s">
        <v>35</v>
      </c>
      <c r="H2884" t="s">
        <v>35</v>
      </c>
      <c r="J2884" t="s">
        <v>1613</v>
      </c>
      <c r="K2884" t="s">
        <v>1092</v>
      </c>
      <c r="M2884">
        <v>3.8250000000000002</v>
      </c>
      <c r="N2884">
        <v>431</v>
      </c>
      <c r="O2884" t="s">
        <v>294</v>
      </c>
      <c r="Q2884" t="s">
        <v>3381</v>
      </c>
      <c r="R2884" t="s">
        <v>3332</v>
      </c>
      <c r="S2884" t="s">
        <v>391</v>
      </c>
    </row>
    <row r="2885" spans="1:19" x14ac:dyDescent="0.25">
      <c r="A2885" t="s">
        <v>30</v>
      </c>
      <c r="B2885" t="s">
        <v>31</v>
      </c>
      <c r="C2885" t="s">
        <v>32</v>
      </c>
      <c r="D2885" t="s">
        <v>341</v>
      </c>
      <c r="E2885" t="s">
        <v>3374</v>
      </c>
      <c r="F2885" t="s">
        <v>35</v>
      </c>
      <c r="G2885" t="s">
        <v>35</v>
      </c>
      <c r="H2885" t="s">
        <v>35</v>
      </c>
      <c r="J2885" t="s">
        <v>3382</v>
      </c>
      <c r="K2885" t="s">
        <v>1092</v>
      </c>
      <c r="M2885">
        <v>0.68500000000000005</v>
      </c>
      <c r="N2885">
        <v>550</v>
      </c>
      <c r="O2885" t="s">
        <v>575</v>
      </c>
      <c r="Q2885" t="s">
        <v>3383</v>
      </c>
      <c r="R2885" t="s">
        <v>3384</v>
      </c>
      <c r="S2885" t="s">
        <v>3385</v>
      </c>
    </row>
    <row r="2886" spans="1:19" x14ac:dyDescent="0.25">
      <c r="A2886" t="s">
        <v>30</v>
      </c>
      <c r="B2886" t="s">
        <v>31</v>
      </c>
      <c r="C2886" t="s">
        <v>32</v>
      </c>
      <c r="D2886" t="s">
        <v>341</v>
      </c>
      <c r="E2886" t="s">
        <v>3374</v>
      </c>
      <c r="F2886" t="s">
        <v>35</v>
      </c>
      <c r="G2886" t="s">
        <v>35</v>
      </c>
      <c r="H2886" t="s">
        <v>35</v>
      </c>
      <c r="J2886" t="s">
        <v>3387</v>
      </c>
      <c r="K2886" t="s">
        <v>1092</v>
      </c>
      <c r="M2886">
        <v>6.39</v>
      </c>
      <c r="N2886">
        <v>244</v>
      </c>
      <c r="O2886" t="s">
        <v>5</v>
      </c>
      <c r="Q2886" t="s">
        <v>1242</v>
      </c>
      <c r="R2886" t="s">
        <v>3358</v>
      </c>
      <c r="S2886" t="s">
        <v>414</v>
      </c>
    </row>
    <row r="2887" spans="1:19" x14ac:dyDescent="0.25">
      <c r="A2887" t="s">
        <v>44</v>
      </c>
      <c r="B2887" t="s">
        <v>3</v>
      </c>
      <c r="C2887" t="s">
        <v>32</v>
      </c>
      <c r="D2887" t="s">
        <v>341</v>
      </c>
      <c r="E2887" t="s">
        <v>3374</v>
      </c>
      <c r="F2887" t="s">
        <v>35</v>
      </c>
      <c r="G2887" t="s">
        <v>35</v>
      </c>
      <c r="H2887" t="s">
        <v>35</v>
      </c>
      <c r="J2887" t="s">
        <v>3387</v>
      </c>
      <c r="K2887" t="s">
        <v>1092</v>
      </c>
      <c r="M2887">
        <v>1</v>
      </c>
      <c r="N2887">
        <v>429</v>
      </c>
      <c r="O2887" t="s">
        <v>294</v>
      </c>
      <c r="Q2887" t="s">
        <v>2570</v>
      </c>
      <c r="R2887" t="s">
        <v>3358</v>
      </c>
      <c r="S2887" t="s">
        <v>414</v>
      </c>
    </row>
    <row r="2888" spans="1:19" x14ac:dyDescent="0.25">
      <c r="A2888" t="s">
        <v>30</v>
      </c>
      <c r="B2888" t="s">
        <v>31</v>
      </c>
      <c r="C2888" t="s">
        <v>32</v>
      </c>
      <c r="D2888" t="s">
        <v>341</v>
      </c>
      <c r="E2888" t="s">
        <v>3374</v>
      </c>
      <c r="F2888" t="s">
        <v>35</v>
      </c>
      <c r="G2888" t="s">
        <v>35</v>
      </c>
      <c r="H2888" t="s">
        <v>35</v>
      </c>
      <c r="J2888" t="s">
        <v>3388</v>
      </c>
      <c r="K2888" t="s">
        <v>1092</v>
      </c>
      <c r="M2888">
        <v>3.2850000000000001</v>
      </c>
      <c r="N2888">
        <v>429</v>
      </c>
      <c r="O2888" t="s">
        <v>294</v>
      </c>
      <c r="Q2888" t="s">
        <v>2570</v>
      </c>
      <c r="R2888" t="s">
        <v>3389</v>
      </c>
      <c r="S2888" t="s">
        <v>3390</v>
      </c>
    </row>
    <row r="2889" spans="1:19" x14ac:dyDescent="0.25">
      <c r="A2889" t="s">
        <v>30</v>
      </c>
      <c r="B2889" t="s">
        <v>31</v>
      </c>
      <c r="C2889" t="s">
        <v>32</v>
      </c>
      <c r="D2889" t="s">
        <v>341</v>
      </c>
      <c r="E2889" t="s">
        <v>3374</v>
      </c>
      <c r="F2889" t="s">
        <v>35</v>
      </c>
      <c r="G2889" t="s">
        <v>35</v>
      </c>
      <c r="H2889" t="s">
        <v>35</v>
      </c>
      <c r="J2889" t="s">
        <v>3392</v>
      </c>
      <c r="K2889" t="s">
        <v>1092</v>
      </c>
      <c r="M2889">
        <v>11.97</v>
      </c>
      <c r="N2889">
        <v>214</v>
      </c>
      <c r="O2889" t="s">
        <v>5</v>
      </c>
      <c r="Q2889" t="s">
        <v>537</v>
      </c>
      <c r="R2889" t="s">
        <v>360</v>
      </c>
      <c r="S2889" t="s">
        <v>361</v>
      </c>
    </row>
    <row r="2890" spans="1:19" x14ac:dyDescent="0.25">
      <c r="A2890" t="s">
        <v>30</v>
      </c>
      <c r="B2890" t="s">
        <v>31</v>
      </c>
      <c r="C2890" t="s">
        <v>32</v>
      </c>
      <c r="D2890" t="s">
        <v>341</v>
      </c>
      <c r="E2890" t="s">
        <v>3374</v>
      </c>
      <c r="F2890" t="s">
        <v>35</v>
      </c>
      <c r="G2890" t="s">
        <v>35</v>
      </c>
      <c r="H2890" t="s">
        <v>35</v>
      </c>
      <c r="J2890" t="s">
        <v>3392</v>
      </c>
      <c r="K2890" t="s">
        <v>1092</v>
      </c>
      <c r="M2890">
        <v>11.97</v>
      </c>
      <c r="N2890">
        <v>500</v>
      </c>
      <c r="O2890" t="s">
        <v>294</v>
      </c>
      <c r="Q2890" t="s">
        <v>2051</v>
      </c>
      <c r="R2890" t="s">
        <v>360</v>
      </c>
      <c r="S2890" t="s">
        <v>361</v>
      </c>
    </row>
    <row r="2891" spans="1:19" x14ac:dyDescent="0.25">
      <c r="A2891" t="s">
        <v>30</v>
      </c>
      <c r="B2891" t="s">
        <v>31</v>
      </c>
      <c r="C2891" t="s">
        <v>32</v>
      </c>
      <c r="D2891" t="s">
        <v>341</v>
      </c>
      <c r="E2891" t="s">
        <v>3374</v>
      </c>
      <c r="F2891" t="s">
        <v>35</v>
      </c>
      <c r="G2891" t="s">
        <v>35</v>
      </c>
      <c r="H2891" t="s">
        <v>35</v>
      </c>
      <c r="J2891" t="s">
        <v>3393</v>
      </c>
      <c r="K2891" t="s">
        <v>1092</v>
      </c>
      <c r="M2891">
        <v>9.8550000000000004</v>
      </c>
      <c r="N2891">
        <v>75</v>
      </c>
      <c r="O2891" t="s">
        <v>61</v>
      </c>
      <c r="Q2891" t="s">
        <v>805</v>
      </c>
      <c r="R2891" t="s">
        <v>3377</v>
      </c>
      <c r="S2891" t="s">
        <v>3378</v>
      </c>
    </row>
    <row r="2892" spans="1:19" x14ac:dyDescent="0.25">
      <c r="A2892" t="s">
        <v>30</v>
      </c>
      <c r="B2892" t="s">
        <v>31</v>
      </c>
      <c r="C2892" t="s">
        <v>32</v>
      </c>
      <c r="D2892" t="s">
        <v>341</v>
      </c>
      <c r="E2892" t="s">
        <v>3374</v>
      </c>
      <c r="F2892" t="s">
        <v>35</v>
      </c>
      <c r="G2892" t="s">
        <v>35</v>
      </c>
      <c r="H2892" t="s">
        <v>35</v>
      </c>
      <c r="J2892" t="s">
        <v>3393</v>
      </c>
      <c r="K2892" t="s">
        <v>1092</v>
      </c>
      <c r="M2892">
        <v>0.9</v>
      </c>
      <c r="N2892">
        <v>69</v>
      </c>
      <c r="O2892" t="s">
        <v>61</v>
      </c>
      <c r="Q2892" t="s">
        <v>139</v>
      </c>
      <c r="R2892" t="s">
        <v>3377</v>
      </c>
      <c r="S2892" t="s">
        <v>3378</v>
      </c>
    </row>
    <row r="2893" spans="1:19" x14ac:dyDescent="0.25">
      <c r="A2893" t="s">
        <v>30</v>
      </c>
      <c r="B2893" t="s">
        <v>31</v>
      </c>
      <c r="C2893" t="s">
        <v>32</v>
      </c>
      <c r="D2893" t="s">
        <v>341</v>
      </c>
      <c r="E2893" t="s">
        <v>403</v>
      </c>
      <c r="F2893" t="s">
        <v>35</v>
      </c>
      <c r="G2893" t="s">
        <v>35</v>
      </c>
      <c r="H2893" t="s">
        <v>35</v>
      </c>
      <c r="J2893" t="s">
        <v>3394</v>
      </c>
      <c r="K2893" t="s">
        <v>1092</v>
      </c>
      <c r="M2893">
        <v>0.45</v>
      </c>
      <c r="N2893">
        <v>148</v>
      </c>
      <c r="O2893" t="s">
        <v>38</v>
      </c>
      <c r="Q2893" t="s">
        <v>1168</v>
      </c>
      <c r="R2893" t="s">
        <v>347</v>
      </c>
      <c r="S2893" t="s">
        <v>348</v>
      </c>
    </row>
    <row r="2894" spans="1:19" x14ac:dyDescent="0.25">
      <c r="A2894" t="s">
        <v>30</v>
      </c>
      <c r="B2894" t="s">
        <v>31</v>
      </c>
      <c r="C2894" t="s">
        <v>32</v>
      </c>
      <c r="D2894" t="s">
        <v>341</v>
      </c>
      <c r="E2894" t="s">
        <v>403</v>
      </c>
      <c r="F2894" t="s">
        <v>35</v>
      </c>
      <c r="G2894" t="s">
        <v>35</v>
      </c>
      <c r="H2894" t="s">
        <v>35</v>
      </c>
      <c r="J2894" t="s">
        <v>3395</v>
      </c>
      <c r="K2894" t="s">
        <v>1092</v>
      </c>
      <c r="M2894">
        <v>7.6050000000000004</v>
      </c>
      <c r="N2894">
        <v>74</v>
      </c>
      <c r="O2894" t="s">
        <v>61</v>
      </c>
      <c r="Q2894" t="s">
        <v>488</v>
      </c>
      <c r="R2894" t="s">
        <v>347</v>
      </c>
      <c r="S2894" t="s">
        <v>348</v>
      </c>
    </row>
    <row r="2895" spans="1:19" x14ac:dyDescent="0.25">
      <c r="A2895" t="s">
        <v>44</v>
      </c>
      <c r="B2895" t="s">
        <v>51</v>
      </c>
      <c r="C2895" t="s">
        <v>32</v>
      </c>
      <c r="D2895" t="s">
        <v>341</v>
      </c>
      <c r="E2895" t="s">
        <v>403</v>
      </c>
      <c r="F2895" t="s">
        <v>35</v>
      </c>
      <c r="G2895" t="s">
        <v>35</v>
      </c>
      <c r="H2895" t="s">
        <v>35</v>
      </c>
      <c r="J2895" t="s">
        <v>3396</v>
      </c>
      <c r="K2895" t="s">
        <v>1092</v>
      </c>
      <c r="M2895">
        <v>3</v>
      </c>
      <c r="N2895">
        <v>163</v>
      </c>
      <c r="O2895" t="s">
        <v>38</v>
      </c>
      <c r="Q2895" t="s">
        <v>1632</v>
      </c>
      <c r="R2895" t="s">
        <v>3358</v>
      </c>
      <c r="S2895" t="s">
        <v>414</v>
      </c>
    </row>
    <row r="2896" spans="1:19" x14ac:dyDescent="0.25">
      <c r="A2896" t="s">
        <v>30</v>
      </c>
      <c r="B2896" t="s">
        <v>31</v>
      </c>
      <c r="C2896" t="s">
        <v>32</v>
      </c>
      <c r="D2896" t="s">
        <v>341</v>
      </c>
      <c r="E2896" t="s">
        <v>403</v>
      </c>
      <c r="F2896" t="s">
        <v>35</v>
      </c>
      <c r="G2896" t="s">
        <v>35</v>
      </c>
      <c r="H2896" t="s">
        <v>35</v>
      </c>
      <c r="J2896" t="s">
        <v>3397</v>
      </c>
      <c r="K2896" t="s">
        <v>1092</v>
      </c>
      <c r="M2896">
        <v>9.7200000000000006</v>
      </c>
      <c r="N2896">
        <v>154</v>
      </c>
      <c r="O2896" t="s">
        <v>38</v>
      </c>
      <c r="Q2896" t="s">
        <v>3398</v>
      </c>
      <c r="R2896" t="s">
        <v>356</v>
      </c>
      <c r="S2896" t="s">
        <v>357</v>
      </c>
    </row>
    <row r="2897" spans="1:19" x14ac:dyDescent="0.25">
      <c r="A2897" t="s">
        <v>44</v>
      </c>
      <c r="B2897" t="s">
        <v>51</v>
      </c>
      <c r="C2897" t="s">
        <v>32</v>
      </c>
      <c r="D2897" t="s">
        <v>341</v>
      </c>
      <c r="E2897" t="s">
        <v>403</v>
      </c>
      <c r="F2897" t="s">
        <v>35</v>
      </c>
      <c r="G2897" t="s">
        <v>35</v>
      </c>
      <c r="H2897" t="s">
        <v>35</v>
      </c>
      <c r="J2897" t="s">
        <v>3399</v>
      </c>
      <c r="K2897" t="s">
        <v>1092</v>
      </c>
      <c r="M2897">
        <v>8.15</v>
      </c>
      <c r="N2897">
        <v>120</v>
      </c>
      <c r="O2897" t="s">
        <v>106</v>
      </c>
      <c r="Q2897" t="s">
        <v>3400</v>
      </c>
      <c r="R2897" t="s">
        <v>347</v>
      </c>
      <c r="S2897" t="s">
        <v>348</v>
      </c>
    </row>
    <row r="2898" spans="1:19" x14ac:dyDescent="0.25">
      <c r="A2898" t="s">
        <v>30</v>
      </c>
      <c r="B2898" t="s">
        <v>31</v>
      </c>
      <c r="C2898" t="s">
        <v>32</v>
      </c>
      <c r="D2898" t="s">
        <v>341</v>
      </c>
      <c r="E2898" t="s">
        <v>403</v>
      </c>
      <c r="F2898" t="s">
        <v>35</v>
      </c>
      <c r="G2898" t="s">
        <v>35</v>
      </c>
      <c r="H2898" t="s">
        <v>35</v>
      </c>
      <c r="J2898" t="s">
        <v>3401</v>
      </c>
      <c r="K2898" t="s">
        <v>1092</v>
      </c>
      <c r="M2898">
        <v>2.1150000000000002</v>
      </c>
      <c r="N2898">
        <v>152</v>
      </c>
      <c r="O2898" t="s">
        <v>38</v>
      </c>
      <c r="Q2898" t="s">
        <v>408</v>
      </c>
      <c r="R2898" t="s">
        <v>347</v>
      </c>
      <c r="S2898" t="s">
        <v>348</v>
      </c>
    </row>
    <row r="2899" spans="1:19" x14ac:dyDescent="0.25">
      <c r="A2899" t="s">
        <v>44</v>
      </c>
      <c r="B2899" t="s">
        <v>51</v>
      </c>
      <c r="C2899" t="s">
        <v>32</v>
      </c>
      <c r="D2899" t="s">
        <v>341</v>
      </c>
      <c r="E2899" t="s">
        <v>403</v>
      </c>
      <c r="F2899" t="s">
        <v>35</v>
      </c>
      <c r="G2899" t="s">
        <v>35</v>
      </c>
      <c r="H2899" t="s">
        <v>35</v>
      </c>
      <c r="J2899" t="s">
        <v>3402</v>
      </c>
      <c r="K2899" t="s">
        <v>1092</v>
      </c>
      <c r="M2899">
        <v>24</v>
      </c>
      <c r="N2899">
        <v>117</v>
      </c>
      <c r="O2899" t="s">
        <v>106</v>
      </c>
      <c r="Q2899" t="s">
        <v>3342</v>
      </c>
      <c r="R2899" t="s">
        <v>347</v>
      </c>
      <c r="S2899" t="s">
        <v>348</v>
      </c>
    </row>
    <row r="2900" spans="1:19" x14ac:dyDescent="0.25">
      <c r="A2900" t="s">
        <v>44</v>
      </c>
      <c r="B2900" t="s">
        <v>51</v>
      </c>
      <c r="C2900" t="s">
        <v>32</v>
      </c>
      <c r="D2900" t="s">
        <v>341</v>
      </c>
      <c r="E2900" t="s">
        <v>403</v>
      </c>
      <c r="F2900" t="s">
        <v>35</v>
      </c>
      <c r="G2900" t="s">
        <v>35</v>
      </c>
      <c r="H2900" t="s">
        <v>35</v>
      </c>
      <c r="J2900" t="s">
        <v>3402</v>
      </c>
      <c r="K2900" t="s">
        <v>1092</v>
      </c>
      <c r="M2900">
        <v>3.25</v>
      </c>
      <c r="N2900">
        <v>148</v>
      </c>
      <c r="O2900" t="s">
        <v>38</v>
      </c>
      <c r="Q2900" t="s">
        <v>1168</v>
      </c>
      <c r="R2900" t="s">
        <v>347</v>
      </c>
      <c r="S2900" t="s">
        <v>348</v>
      </c>
    </row>
    <row r="2901" spans="1:19" x14ac:dyDescent="0.25">
      <c r="A2901" t="s">
        <v>44</v>
      </c>
      <c r="B2901" t="s">
        <v>51</v>
      </c>
      <c r="C2901" t="s">
        <v>32</v>
      </c>
      <c r="D2901" t="s">
        <v>341</v>
      </c>
      <c r="E2901" t="s">
        <v>403</v>
      </c>
      <c r="F2901" t="s">
        <v>35</v>
      </c>
      <c r="G2901" t="s">
        <v>35</v>
      </c>
      <c r="H2901" t="s">
        <v>35</v>
      </c>
      <c r="J2901" t="s">
        <v>3402</v>
      </c>
      <c r="K2901" t="s">
        <v>1092</v>
      </c>
      <c r="M2901">
        <v>15</v>
      </c>
      <c r="N2901">
        <v>141</v>
      </c>
      <c r="O2901" t="s">
        <v>38</v>
      </c>
      <c r="Q2901" t="s">
        <v>1822</v>
      </c>
      <c r="R2901" t="s">
        <v>347</v>
      </c>
      <c r="S2901" t="s">
        <v>348</v>
      </c>
    </row>
    <row r="2902" spans="1:19" x14ac:dyDescent="0.25">
      <c r="A2902" t="s">
        <v>59</v>
      </c>
      <c r="B2902" t="s">
        <v>60</v>
      </c>
      <c r="C2902" t="s">
        <v>32</v>
      </c>
      <c r="D2902" t="s">
        <v>341</v>
      </c>
      <c r="E2902" t="s">
        <v>409</v>
      </c>
      <c r="F2902" t="s">
        <v>35</v>
      </c>
      <c r="G2902" t="s">
        <v>35</v>
      </c>
      <c r="H2902" t="s">
        <v>35</v>
      </c>
      <c r="J2902" t="s">
        <v>3403</v>
      </c>
      <c r="K2902" t="s">
        <v>1092</v>
      </c>
      <c r="M2902">
        <v>0.75</v>
      </c>
      <c r="N2902">
        <v>251</v>
      </c>
      <c r="O2902" t="s">
        <v>5</v>
      </c>
      <c r="Q2902" t="s">
        <v>1688</v>
      </c>
      <c r="R2902" t="s">
        <v>360</v>
      </c>
      <c r="S2902" t="s">
        <v>361</v>
      </c>
    </row>
    <row r="2903" spans="1:19" x14ac:dyDescent="0.25">
      <c r="A2903" t="s">
        <v>30</v>
      </c>
      <c r="B2903" t="s">
        <v>31</v>
      </c>
      <c r="C2903" t="s">
        <v>32</v>
      </c>
      <c r="D2903" t="s">
        <v>341</v>
      </c>
      <c r="E2903" t="s">
        <v>409</v>
      </c>
      <c r="F2903" t="s">
        <v>35</v>
      </c>
      <c r="G2903" t="s">
        <v>35</v>
      </c>
      <c r="H2903" t="s">
        <v>35</v>
      </c>
      <c r="J2903" t="s">
        <v>554</v>
      </c>
      <c r="K2903" t="s">
        <v>1092</v>
      </c>
      <c r="M2903">
        <v>6.57</v>
      </c>
      <c r="N2903">
        <v>74</v>
      </c>
      <c r="O2903" t="s">
        <v>61</v>
      </c>
      <c r="Q2903" t="s">
        <v>488</v>
      </c>
      <c r="R2903" t="s">
        <v>3404</v>
      </c>
      <c r="S2903" t="s">
        <v>3405</v>
      </c>
    </row>
    <row r="2904" spans="1:19" x14ac:dyDescent="0.25">
      <c r="A2904" t="s">
        <v>59</v>
      </c>
      <c r="B2904" t="s">
        <v>60</v>
      </c>
      <c r="C2904" t="s">
        <v>32</v>
      </c>
      <c r="D2904" t="s">
        <v>341</v>
      </c>
      <c r="E2904" t="s">
        <v>3407</v>
      </c>
      <c r="F2904" t="s">
        <v>35</v>
      </c>
      <c r="G2904" t="s">
        <v>35</v>
      </c>
      <c r="H2904" t="s">
        <v>35</v>
      </c>
      <c r="J2904" t="s">
        <v>3408</v>
      </c>
      <c r="K2904" t="s">
        <v>1092</v>
      </c>
      <c r="M2904">
        <v>0.05</v>
      </c>
      <c r="N2904">
        <v>131</v>
      </c>
      <c r="O2904" t="s">
        <v>38</v>
      </c>
      <c r="Q2904" t="s">
        <v>646</v>
      </c>
      <c r="R2904" t="s">
        <v>347</v>
      </c>
      <c r="S2904" t="s">
        <v>348</v>
      </c>
    </row>
    <row r="2905" spans="1:19" x14ac:dyDescent="0.25">
      <c r="A2905" t="s">
        <v>44</v>
      </c>
      <c r="B2905" t="s">
        <v>51</v>
      </c>
      <c r="C2905" t="s">
        <v>32</v>
      </c>
      <c r="D2905" t="s">
        <v>341</v>
      </c>
      <c r="E2905" t="s">
        <v>3407</v>
      </c>
      <c r="F2905" t="s">
        <v>35</v>
      </c>
      <c r="G2905" t="s">
        <v>35</v>
      </c>
      <c r="H2905" t="s">
        <v>35</v>
      </c>
      <c r="J2905" t="s">
        <v>3409</v>
      </c>
      <c r="K2905" t="s">
        <v>1092</v>
      </c>
      <c r="M2905">
        <v>5</v>
      </c>
      <c r="N2905">
        <v>62</v>
      </c>
      <c r="O2905" t="s">
        <v>61</v>
      </c>
      <c r="Q2905" t="s">
        <v>90</v>
      </c>
      <c r="R2905" t="s">
        <v>3332</v>
      </c>
      <c r="S2905" t="s">
        <v>391</v>
      </c>
    </row>
    <row r="2906" spans="1:19" x14ac:dyDescent="0.25">
      <c r="A2906" t="s">
        <v>59</v>
      </c>
      <c r="B2906" t="s">
        <v>60</v>
      </c>
      <c r="C2906" t="s">
        <v>32</v>
      </c>
      <c r="D2906" t="s">
        <v>341</v>
      </c>
      <c r="E2906" t="s">
        <v>3407</v>
      </c>
      <c r="F2906" t="s">
        <v>35</v>
      </c>
      <c r="G2906" t="s">
        <v>35</v>
      </c>
      <c r="H2906" t="s">
        <v>35</v>
      </c>
      <c r="J2906" t="s">
        <v>3410</v>
      </c>
      <c r="K2906" t="s">
        <v>1092</v>
      </c>
      <c r="M2906">
        <v>2.5</v>
      </c>
      <c r="N2906">
        <v>58</v>
      </c>
      <c r="O2906" t="s">
        <v>52</v>
      </c>
      <c r="Q2906" t="s">
        <v>58</v>
      </c>
      <c r="R2906" t="s">
        <v>3377</v>
      </c>
      <c r="S2906" t="s">
        <v>3378</v>
      </c>
    </row>
    <row r="2907" spans="1:19" x14ac:dyDescent="0.25">
      <c r="A2907" t="s">
        <v>30</v>
      </c>
      <c r="B2907" t="s">
        <v>31</v>
      </c>
      <c r="C2907" t="s">
        <v>32</v>
      </c>
      <c r="D2907" t="s">
        <v>341</v>
      </c>
      <c r="E2907" t="s">
        <v>3407</v>
      </c>
      <c r="F2907" t="s">
        <v>35</v>
      </c>
      <c r="G2907" t="s">
        <v>35</v>
      </c>
      <c r="H2907" t="s">
        <v>35</v>
      </c>
      <c r="J2907" t="s">
        <v>3411</v>
      </c>
      <c r="K2907" t="s">
        <v>1092</v>
      </c>
      <c r="M2907">
        <v>1.845</v>
      </c>
      <c r="N2907">
        <v>69</v>
      </c>
      <c r="O2907" t="s">
        <v>61</v>
      </c>
      <c r="Q2907" t="s">
        <v>139</v>
      </c>
      <c r="R2907" t="s">
        <v>3377</v>
      </c>
      <c r="S2907" t="s">
        <v>3378</v>
      </c>
    </row>
    <row r="2908" spans="1:19" x14ac:dyDescent="0.25">
      <c r="A2908" t="s">
        <v>44</v>
      </c>
      <c r="B2908" t="s">
        <v>51</v>
      </c>
      <c r="C2908" t="s">
        <v>32</v>
      </c>
      <c r="D2908" t="s">
        <v>341</v>
      </c>
      <c r="E2908" t="s">
        <v>3407</v>
      </c>
      <c r="F2908" t="s">
        <v>35</v>
      </c>
      <c r="G2908" t="s">
        <v>35</v>
      </c>
      <c r="H2908" t="s">
        <v>35</v>
      </c>
      <c r="J2908" t="s">
        <v>3412</v>
      </c>
      <c r="K2908" t="s">
        <v>1092</v>
      </c>
      <c r="M2908">
        <v>0.15</v>
      </c>
      <c r="N2908">
        <v>183</v>
      </c>
      <c r="O2908" t="s">
        <v>5</v>
      </c>
      <c r="Q2908" t="s">
        <v>3413</v>
      </c>
      <c r="R2908" t="s">
        <v>3323</v>
      </c>
      <c r="S2908" t="s">
        <v>353</v>
      </c>
    </row>
    <row r="2909" spans="1:19" x14ac:dyDescent="0.25">
      <c r="A2909" t="s">
        <v>44</v>
      </c>
      <c r="B2909" t="s">
        <v>51</v>
      </c>
      <c r="C2909" t="s">
        <v>32</v>
      </c>
      <c r="D2909" t="s">
        <v>341</v>
      </c>
      <c r="E2909" t="s">
        <v>3407</v>
      </c>
      <c r="F2909" t="s">
        <v>35</v>
      </c>
      <c r="G2909" t="s">
        <v>35</v>
      </c>
      <c r="H2909" t="s">
        <v>35</v>
      </c>
      <c r="J2909" t="s">
        <v>3414</v>
      </c>
      <c r="K2909" t="s">
        <v>1092</v>
      </c>
      <c r="M2909">
        <v>1.5</v>
      </c>
      <c r="N2909">
        <v>241</v>
      </c>
      <c r="O2909" t="s">
        <v>5</v>
      </c>
      <c r="Q2909" t="s">
        <v>3415</v>
      </c>
      <c r="R2909" t="s">
        <v>3323</v>
      </c>
      <c r="S2909" t="s">
        <v>353</v>
      </c>
    </row>
    <row r="2910" spans="1:19" x14ac:dyDescent="0.25">
      <c r="A2910" t="s">
        <v>44</v>
      </c>
      <c r="B2910" t="s">
        <v>51</v>
      </c>
      <c r="C2910" t="s">
        <v>32</v>
      </c>
      <c r="D2910" t="s">
        <v>341</v>
      </c>
      <c r="E2910" t="s">
        <v>3407</v>
      </c>
      <c r="F2910" t="s">
        <v>35</v>
      </c>
      <c r="G2910" t="s">
        <v>35</v>
      </c>
      <c r="H2910" t="s">
        <v>35</v>
      </c>
      <c r="J2910" t="s">
        <v>3416</v>
      </c>
      <c r="K2910" t="s">
        <v>1092</v>
      </c>
      <c r="M2910">
        <v>11</v>
      </c>
      <c r="N2910">
        <v>62</v>
      </c>
      <c r="O2910" t="s">
        <v>61</v>
      </c>
      <c r="Q2910" t="s">
        <v>90</v>
      </c>
      <c r="R2910" t="s">
        <v>356</v>
      </c>
      <c r="S2910" t="s">
        <v>357</v>
      </c>
    </row>
    <row r="2911" spans="1:19" x14ac:dyDescent="0.25">
      <c r="A2911" t="s">
        <v>30</v>
      </c>
      <c r="B2911" t="s">
        <v>31</v>
      </c>
      <c r="C2911" t="s">
        <v>32</v>
      </c>
      <c r="D2911" t="s">
        <v>341</v>
      </c>
      <c r="E2911" t="s">
        <v>3407</v>
      </c>
      <c r="F2911" t="s">
        <v>35</v>
      </c>
      <c r="G2911" t="s">
        <v>35</v>
      </c>
      <c r="H2911" t="s">
        <v>35</v>
      </c>
      <c r="J2911" t="s">
        <v>3417</v>
      </c>
      <c r="K2911" t="s">
        <v>1092</v>
      </c>
      <c r="M2911">
        <v>1.4850000000000001</v>
      </c>
      <c r="N2911">
        <v>194</v>
      </c>
      <c r="O2911" t="s">
        <v>5</v>
      </c>
      <c r="Q2911" t="s">
        <v>2315</v>
      </c>
      <c r="R2911" t="s">
        <v>3323</v>
      </c>
      <c r="S2911" t="s">
        <v>353</v>
      </c>
    </row>
    <row r="2912" spans="1:19" x14ac:dyDescent="0.25">
      <c r="A2912" t="s">
        <v>30</v>
      </c>
      <c r="B2912" t="s">
        <v>31</v>
      </c>
      <c r="C2912" t="s">
        <v>32</v>
      </c>
      <c r="D2912" t="s">
        <v>341</v>
      </c>
      <c r="E2912" t="s">
        <v>3407</v>
      </c>
      <c r="F2912" t="s">
        <v>35</v>
      </c>
      <c r="G2912" t="s">
        <v>35</v>
      </c>
      <c r="H2912" t="s">
        <v>35</v>
      </c>
      <c r="J2912" t="s">
        <v>1973</v>
      </c>
      <c r="K2912" t="s">
        <v>1092</v>
      </c>
      <c r="M2912">
        <v>0.495</v>
      </c>
      <c r="N2912">
        <v>146</v>
      </c>
      <c r="O2912" t="s">
        <v>38</v>
      </c>
      <c r="Q2912" t="s">
        <v>1335</v>
      </c>
      <c r="R2912" t="s">
        <v>3323</v>
      </c>
      <c r="S2912" t="s">
        <v>353</v>
      </c>
    </row>
    <row r="2913" spans="1:19" x14ac:dyDescent="0.25">
      <c r="A2913" t="s">
        <v>30</v>
      </c>
      <c r="B2913" t="s">
        <v>31</v>
      </c>
      <c r="C2913" t="s">
        <v>32</v>
      </c>
      <c r="D2913" t="s">
        <v>341</v>
      </c>
      <c r="E2913" t="s">
        <v>3407</v>
      </c>
      <c r="F2913" t="s">
        <v>35</v>
      </c>
      <c r="G2913" t="s">
        <v>35</v>
      </c>
      <c r="H2913" t="s">
        <v>35</v>
      </c>
      <c r="J2913" t="s">
        <v>3418</v>
      </c>
      <c r="K2913" t="s">
        <v>1092</v>
      </c>
      <c r="M2913">
        <v>4.4999999999999998E-2</v>
      </c>
      <c r="N2913">
        <v>252</v>
      </c>
      <c r="O2913" t="s">
        <v>5</v>
      </c>
      <c r="Q2913" t="s">
        <v>1222</v>
      </c>
      <c r="R2913" t="s">
        <v>3323</v>
      </c>
      <c r="S2913" t="s">
        <v>353</v>
      </c>
    </row>
    <row r="2914" spans="1:19" x14ac:dyDescent="0.25">
      <c r="A2914" t="s">
        <v>30</v>
      </c>
      <c r="B2914" t="s">
        <v>31</v>
      </c>
      <c r="C2914" t="s">
        <v>32</v>
      </c>
      <c r="D2914" t="s">
        <v>341</v>
      </c>
      <c r="E2914" t="s">
        <v>3407</v>
      </c>
      <c r="F2914" t="s">
        <v>35</v>
      </c>
      <c r="G2914" t="s">
        <v>35</v>
      </c>
      <c r="H2914" t="s">
        <v>35</v>
      </c>
      <c r="J2914" t="s">
        <v>3419</v>
      </c>
      <c r="K2914" t="s">
        <v>1092</v>
      </c>
      <c r="M2914">
        <v>1.4999999999999999E-2</v>
      </c>
      <c r="N2914">
        <v>252</v>
      </c>
      <c r="O2914" t="s">
        <v>5</v>
      </c>
      <c r="Q2914" t="s">
        <v>1222</v>
      </c>
      <c r="R2914" t="s">
        <v>3323</v>
      </c>
      <c r="S2914" t="s">
        <v>353</v>
      </c>
    </row>
    <row r="2915" spans="1:19" x14ac:dyDescent="0.25">
      <c r="A2915" t="s">
        <v>59</v>
      </c>
      <c r="B2915" t="s">
        <v>60</v>
      </c>
      <c r="C2915" t="s">
        <v>32</v>
      </c>
      <c r="D2915" t="s">
        <v>341</v>
      </c>
      <c r="E2915" t="s">
        <v>3407</v>
      </c>
      <c r="F2915" t="s">
        <v>35</v>
      </c>
      <c r="G2915" t="s">
        <v>35</v>
      </c>
      <c r="H2915" t="s">
        <v>35</v>
      </c>
      <c r="J2915" t="s">
        <v>3419</v>
      </c>
      <c r="K2915" t="s">
        <v>1092</v>
      </c>
      <c r="M2915">
        <v>1.5</v>
      </c>
      <c r="N2915">
        <v>230</v>
      </c>
      <c r="O2915" t="s">
        <v>5</v>
      </c>
      <c r="Q2915" t="s">
        <v>1544</v>
      </c>
      <c r="R2915" t="s">
        <v>3323</v>
      </c>
      <c r="S2915" t="s">
        <v>353</v>
      </c>
    </row>
    <row r="2916" spans="1:19" x14ac:dyDescent="0.25">
      <c r="A2916" t="s">
        <v>30</v>
      </c>
      <c r="B2916" t="s">
        <v>31</v>
      </c>
      <c r="C2916" t="s">
        <v>32</v>
      </c>
      <c r="D2916" t="s">
        <v>341</v>
      </c>
      <c r="E2916" t="s">
        <v>3407</v>
      </c>
      <c r="F2916" t="s">
        <v>35</v>
      </c>
      <c r="G2916" t="s">
        <v>35</v>
      </c>
      <c r="H2916" t="s">
        <v>35</v>
      </c>
      <c r="J2916" t="s">
        <v>3420</v>
      </c>
      <c r="K2916" t="s">
        <v>1092</v>
      </c>
      <c r="M2916">
        <v>1.0349999999999999</v>
      </c>
      <c r="N2916">
        <v>194</v>
      </c>
      <c r="O2916" t="s">
        <v>5</v>
      </c>
      <c r="Q2916" t="s">
        <v>2315</v>
      </c>
      <c r="R2916" t="s">
        <v>3323</v>
      </c>
      <c r="S2916" t="s">
        <v>353</v>
      </c>
    </row>
    <row r="2917" spans="1:19" x14ac:dyDescent="0.25">
      <c r="A2917" t="s">
        <v>59</v>
      </c>
      <c r="B2917" t="s">
        <v>31</v>
      </c>
      <c r="C2917" t="s">
        <v>32</v>
      </c>
      <c r="D2917" t="s">
        <v>341</v>
      </c>
      <c r="E2917" t="s">
        <v>3407</v>
      </c>
      <c r="F2917" t="s">
        <v>35</v>
      </c>
      <c r="G2917" t="s">
        <v>35</v>
      </c>
      <c r="H2917" t="s">
        <v>35</v>
      </c>
      <c r="J2917" t="s">
        <v>3420</v>
      </c>
      <c r="K2917" t="s">
        <v>1092</v>
      </c>
      <c r="M2917">
        <v>2.34</v>
      </c>
      <c r="N2917">
        <v>345</v>
      </c>
      <c r="O2917" t="s">
        <v>5</v>
      </c>
      <c r="Q2917" t="s">
        <v>3421</v>
      </c>
      <c r="R2917" t="s">
        <v>3323</v>
      </c>
      <c r="S2917" t="s">
        <v>353</v>
      </c>
    </row>
    <row r="2918" spans="1:19" x14ac:dyDescent="0.25">
      <c r="A2918" t="s">
        <v>59</v>
      </c>
      <c r="B2918" t="s">
        <v>60</v>
      </c>
      <c r="C2918" t="s">
        <v>32</v>
      </c>
      <c r="D2918" t="s">
        <v>341</v>
      </c>
      <c r="E2918" t="s">
        <v>3422</v>
      </c>
      <c r="F2918" t="s">
        <v>35</v>
      </c>
      <c r="G2918" t="s">
        <v>35</v>
      </c>
      <c r="H2918" t="s">
        <v>35</v>
      </c>
      <c r="J2918" t="s">
        <v>3424</v>
      </c>
      <c r="K2918" t="s">
        <v>1092</v>
      </c>
      <c r="M2918">
        <v>5.35</v>
      </c>
      <c r="N2918">
        <v>45</v>
      </c>
      <c r="O2918" t="s">
        <v>52</v>
      </c>
      <c r="Q2918" t="s">
        <v>716</v>
      </c>
      <c r="R2918" t="s">
        <v>3426</v>
      </c>
      <c r="S2918" t="s">
        <v>3427</v>
      </c>
    </row>
    <row r="2919" spans="1:19" x14ac:dyDescent="0.25">
      <c r="A2919" t="s">
        <v>30</v>
      </c>
      <c r="B2919" t="s">
        <v>31</v>
      </c>
      <c r="C2919" t="s">
        <v>32</v>
      </c>
      <c r="D2919" t="s">
        <v>341</v>
      </c>
      <c r="E2919" t="s">
        <v>3422</v>
      </c>
      <c r="F2919" t="s">
        <v>35</v>
      </c>
      <c r="G2919" t="s">
        <v>35</v>
      </c>
      <c r="H2919" t="s">
        <v>35</v>
      </c>
      <c r="J2919" t="s">
        <v>3428</v>
      </c>
      <c r="K2919" t="s">
        <v>1092</v>
      </c>
      <c r="M2919">
        <v>3.87</v>
      </c>
      <c r="N2919">
        <v>154</v>
      </c>
      <c r="O2919" t="s">
        <v>38</v>
      </c>
      <c r="Q2919" t="s">
        <v>3398</v>
      </c>
      <c r="R2919" t="s">
        <v>3332</v>
      </c>
      <c r="S2919" t="s">
        <v>391</v>
      </c>
    </row>
    <row r="2920" spans="1:19" x14ac:dyDescent="0.25">
      <c r="A2920" t="s">
        <v>59</v>
      </c>
      <c r="B2920" t="s">
        <v>60</v>
      </c>
      <c r="C2920" t="s">
        <v>32</v>
      </c>
      <c r="D2920" t="s">
        <v>341</v>
      </c>
      <c r="E2920" t="s">
        <v>3422</v>
      </c>
      <c r="F2920" t="s">
        <v>35</v>
      </c>
      <c r="G2920" t="s">
        <v>35</v>
      </c>
      <c r="H2920" t="s">
        <v>35</v>
      </c>
      <c r="J2920" t="s">
        <v>3429</v>
      </c>
      <c r="K2920" t="s">
        <v>1092</v>
      </c>
      <c r="M2920">
        <v>0.8</v>
      </c>
      <c r="N2920">
        <v>122</v>
      </c>
      <c r="O2920" t="s">
        <v>38</v>
      </c>
      <c r="Q2920" t="s">
        <v>3430</v>
      </c>
      <c r="R2920" t="s">
        <v>3426</v>
      </c>
      <c r="S2920" t="s">
        <v>3427</v>
      </c>
    </row>
    <row r="2921" spans="1:19" x14ac:dyDescent="0.25">
      <c r="A2921" t="s">
        <v>30</v>
      </c>
      <c r="B2921" t="s">
        <v>31</v>
      </c>
      <c r="C2921" t="s">
        <v>32</v>
      </c>
      <c r="D2921" t="s">
        <v>341</v>
      </c>
      <c r="E2921" t="s">
        <v>3422</v>
      </c>
      <c r="F2921" t="s">
        <v>35</v>
      </c>
      <c r="G2921" t="s">
        <v>35</v>
      </c>
      <c r="H2921" t="s">
        <v>35</v>
      </c>
      <c r="J2921" t="s">
        <v>3431</v>
      </c>
      <c r="K2921" t="s">
        <v>1092</v>
      </c>
      <c r="M2921">
        <v>0.495</v>
      </c>
      <c r="N2921">
        <v>154</v>
      </c>
      <c r="O2921" t="s">
        <v>38</v>
      </c>
      <c r="Q2921" t="s">
        <v>3398</v>
      </c>
      <c r="R2921" t="s">
        <v>3332</v>
      </c>
      <c r="S2921" t="s">
        <v>391</v>
      </c>
    </row>
    <row r="2922" spans="1:19" x14ac:dyDescent="0.25">
      <c r="A2922" t="s">
        <v>59</v>
      </c>
      <c r="B2922" t="s">
        <v>60</v>
      </c>
      <c r="C2922" t="s">
        <v>32</v>
      </c>
      <c r="D2922" t="s">
        <v>341</v>
      </c>
      <c r="E2922" t="s">
        <v>3422</v>
      </c>
      <c r="F2922" t="s">
        <v>35</v>
      </c>
      <c r="G2922" t="s">
        <v>35</v>
      </c>
      <c r="H2922" t="s">
        <v>35</v>
      </c>
      <c r="J2922" t="s">
        <v>3432</v>
      </c>
      <c r="K2922" t="s">
        <v>1092</v>
      </c>
      <c r="M2922">
        <v>1.25</v>
      </c>
      <c r="N2922">
        <v>182</v>
      </c>
      <c r="O2922" t="s">
        <v>5</v>
      </c>
      <c r="Q2922" t="s">
        <v>1764</v>
      </c>
      <c r="R2922" t="s">
        <v>3332</v>
      </c>
      <c r="S2922" t="s">
        <v>391</v>
      </c>
    </row>
    <row r="2923" spans="1:19" x14ac:dyDescent="0.25">
      <c r="A2923" t="s">
        <v>44</v>
      </c>
      <c r="B2923" t="s">
        <v>51</v>
      </c>
      <c r="C2923" t="s">
        <v>32</v>
      </c>
      <c r="D2923" t="s">
        <v>341</v>
      </c>
      <c r="E2923" t="s">
        <v>3422</v>
      </c>
      <c r="F2923" t="s">
        <v>35</v>
      </c>
      <c r="G2923" t="s">
        <v>35</v>
      </c>
      <c r="H2923" t="s">
        <v>35</v>
      </c>
      <c r="J2923" t="s">
        <v>3432</v>
      </c>
      <c r="K2923" t="s">
        <v>1092</v>
      </c>
      <c r="M2923">
        <v>5</v>
      </c>
      <c r="N2923">
        <v>62</v>
      </c>
      <c r="O2923" t="s">
        <v>61</v>
      </c>
      <c r="Q2923" t="s">
        <v>90</v>
      </c>
      <c r="R2923" t="s">
        <v>3332</v>
      </c>
      <c r="S2923" t="s">
        <v>391</v>
      </c>
    </row>
    <row r="2924" spans="1:19" x14ac:dyDescent="0.25">
      <c r="A2924" t="s">
        <v>30</v>
      </c>
      <c r="B2924" t="s">
        <v>31</v>
      </c>
      <c r="C2924" t="s">
        <v>32</v>
      </c>
      <c r="D2924" t="s">
        <v>341</v>
      </c>
      <c r="E2924" t="s">
        <v>3422</v>
      </c>
      <c r="F2924" t="s">
        <v>35</v>
      </c>
      <c r="G2924" t="s">
        <v>35</v>
      </c>
      <c r="H2924" t="s">
        <v>35</v>
      </c>
      <c r="J2924" t="s">
        <v>3433</v>
      </c>
      <c r="K2924" t="s">
        <v>1092</v>
      </c>
      <c r="M2924">
        <v>1.4850000000000001</v>
      </c>
      <c r="N2924">
        <v>110</v>
      </c>
      <c r="O2924" t="s">
        <v>106</v>
      </c>
      <c r="Q2924" t="s">
        <v>1494</v>
      </c>
      <c r="R2924" t="s">
        <v>3279</v>
      </c>
      <c r="S2924" t="s">
        <v>343</v>
      </c>
    </row>
    <row r="2925" spans="1:19" x14ac:dyDescent="0.25">
      <c r="A2925" t="s">
        <v>30</v>
      </c>
      <c r="B2925" t="s">
        <v>31</v>
      </c>
      <c r="C2925" t="s">
        <v>32</v>
      </c>
      <c r="D2925" t="s">
        <v>341</v>
      </c>
      <c r="E2925" t="s">
        <v>3422</v>
      </c>
      <c r="F2925" t="s">
        <v>35</v>
      </c>
      <c r="G2925" t="s">
        <v>35</v>
      </c>
      <c r="H2925" t="s">
        <v>35</v>
      </c>
      <c r="J2925" t="s">
        <v>3434</v>
      </c>
      <c r="K2925" t="s">
        <v>1092</v>
      </c>
      <c r="M2925">
        <v>2.79</v>
      </c>
      <c r="N2925">
        <v>139</v>
      </c>
      <c r="O2925" t="s">
        <v>38</v>
      </c>
      <c r="Q2925" t="s">
        <v>1696</v>
      </c>
      <c r="R2925" t="s">
        <v>3279</v>
      </c>
      <c r="S2925" t="s">
        <v>343</v>
      </c>
    </row>
    <row r="2926" spans="1:19" x14ac:dyDescent="0.25">
      <c r="A2926" t="s">
        <v>30</v>
      </c>
      <c r="B2926" t="s">
        <v>31</v>
      </c>
      <c r="C2926" t="s">
        <v>32</v>
      </c>
      <c r="D2926" t="s">
        <v>341</v>
      </c>
      <c r="E2926" t="s">
        <v>3422</v>
      </c>
      <c r="F2926" t="s">
        <v>35</v>
      </c>
      <c r="G2926" t="s">
        <v>35</v>
      </c>
      <c r="H2926" t="s">
        <v>35</v>
      </c>
      <c r="J2926" t="s">
        <v>3435</v>
      </c>
      <c r="K2926" t="s">
        <v>1092</v>
      </c>
      <c r="M2926">
        <v>2.52</v>
      </c>
      <c r="N2926">
        <v>129</v>
      </c>
      <c r="O2926" t="s">
        <v>38</v>
      </c>
      <c r="Q2926" t="s">
        <v>1449</v>
      </c>
      <c r="R2926" t="s">
        <v>3377</v>
      </c>
      <c r="S2926" t="s">
        <v>3378</v>
      </c>
    </row>
    <row r="2927" spans="1:19" x14ac:dyDescent="0.25">
      <c r="A2927" t="s">
        <v>59</v>
      </c>
      <c r="B2927" t="s">
        <v>60</v>
      </c>
      <c r="C2927" t="s">
        <v>32</v>
      </c>
      <c r="D2927" t="s">
        <v>341</v>
      </c>
      <c r="E2927" t="s">
        <v>413</v>
      </c>
      <c r="F2927" t="s">
        <v>35</v>
      </c>
      <c r="G2927" t="s">
        <v>35</v>
      </c>
      <c r="H2927" t="s">
        <v>35</v>
      </c>
      <c r="J2927" t="s">
        <v>3436</v>
      </c>
      <c r="K2927" t="s">
        <v>404</v>
      </c>
      <c r="M2927">
        <v>11.1</v>
      </c>
      <c r="N2927">
        <v>107</v>
      </c>
      <c r="O2927" t="s">
        <v>106</v>
      </c>
      <c r="Q2927" t="s">
        <v>1621</v>
      </c>
      <c r="R2927" t="s">
        <v>3437</v>
      </c>
      <c r="S2927" t="s">
        <v>369</v>
      </c>
    </row>
    <row r="2928" spans="1:19" x14ac:dyDescent="0.25">
      <c r="A2928" t="s">
        <v>44</v>
      </c>
      <c r="B2928" t="s">
        <v>51</v>
      </c>
      <c r="C2928" t="s">
        <v>32</v>
      </c>
      <c r="D2928" t="s">
        <v>341</v>
      </c>
      <c r="E2928" t="s">
        <v>413</v>
      </c>
      <c r="F2928" t="s">
        <v>35</v>
      </c>
      <c r="G2928" t="s">
        <v>35</v>
      </c>
      <c r="H2928" t="s">
        <v>35</v>
      </c>
      <c r="J2928" t="s">
        <v>3438</v>
      </c>
      <c r="K2928" t="s">
        <v>1092</v>
      </c>
      <c r="M2928">
        <v>5.45</v>
      </c>
      <c r="N2928">
        <v>57</v>
      </c>
      <c r="O2928" t="s">
        <v>52</v>
      </c>
      <c r="Q2928" t="s">
        <v>665</v>
      </c>
      <c r="R2928" t="s">
        <v>3404</v>
      </c>
      <c r="S2928" t="s">
        <v>3405</v>
      </c>
    </row>
    <row r="2929" spans="1:19" x14ac:dyDescent="0.25">
      <c r="A2929" t="s">
        <v>30</v>
      </c>
      <c r="B2929" t="s">
        <v>31</v>
      </c>
      <c r="C2929" t="s">
        <v>32</v>
      </c>
      <c r="D2929" t="s">
        <v>341</v>
      </c>
      <c r="E2929" t="s">
        <v>413</v>
      </c>
      <c r="F2929" t="s">
        <v>35</v>
      </c>
      <c r="G2929" t="s">
        <v>35</v>
      </c>
      <c r="H2929" t="s">
        <v>35</v>
      </c>
      <c r="J2929" t="s">
        <v>3438</v>
      </c>
      <c r="K2929" t="s">
        <v>1092</v>
      </c>
      <c r="M2929">
        <v>4.59</v>
      </c>
      <c r="N2929">
        <v>74</v>
      </c>
      <c r="O2929" t="s">
        <v>61</v>
      </c>
      <c r="Q2929" t="s">
        <v>488</v>
      </c>
      <c r="R2929" t="s">
        <v>3404</v>
      </c>
      <c r="S2929" t="s">
        <v>3405</v>
      </c>
    </row>
    <row r="2930" spans="1:19" x14ac:dyDescent="0.25">
      <c r="A2930" t="s">
        <v>30</v>
      </c>
      <c r="B2930" t="s">
        <v>31</v>
      </c>
      <c r="C2930" t="s">
        <v>32</v>
      </c>
      <c r="D2930" t="s">
        <v>341</v>
      </c>
      <c r="E2930" t="s">
        <v>413</v>
      </c>
      <c r="F2930" t="s">
        <v>35</v>
      </c>
      <c r="G2930" t="s">
        <v>35</v>
      </c>
      <c r="H2930" t="s">
        <v>35</v>
      </c>
      <c r="J2930" t="s">
        <v>3439</v>
      </c>
      <c r="K2930" t="s">
        <v>1092</v>
      </c>
      <c r="M2930">
        <v>0.27</v>
      </c>
      <c r="N2930">
        <v>74</v>
      </c>
      <c r="O2930" t="s">
        <v>61</v>
      </c>
      <c r="Q2930" t="s">
        <v>488</v>
      </c>
      <c r="R2930" t="s">
        <v>3404</v>
      </c>
      <c r="S2930" t="s">
        <v>3405</v>
      </c>
    </row>
    <row r="2931" spans="1:19" x14ac:dyDescent="0.25">
      <c r="A2931" t="s">
        <v>44</v>
      </c>
      <c r="B2931" t="s">
        <v>51</v>
      </c>
      <c r="C2931" t="s">
        <v>32</v>
      </c>
      <c r="D2931" t="s">
        <v>341</v>
      </c>
      <c r="E2931" t="s">
        <v>413</v>
      </c>
      <c r="F2931" t="s">
        <v>35</v>
      </c>
      <c r="G2931" t="s">
        <v>35</v>
      </c>
      <c r="H2931" t="s">
        <v>35</v>
      </c>
      <c r="J2931" t="s">
        <v>3439</v>
      </c>
      <c r="K2931" t="s">
        <v>1092</v>
      </c>
      <c r="M2931">
        <v>6</v>
      </c>
      <c r="N2931">
        <v>57</v>
      </c>
      <c r="O2931" t="s">
        <v>52</v>
      </c>
      <c r="Q2931" t="s">
        <v>665</v>
      </c>
      <c r="R2931" t="s">
        <v>3404</v>
      </c>
      <c r="S2931" t="s">
        <v>3405</v>
      </c>
    </row>
    <row r="2932" spans="1:19" x14ac:dyDescent="0.25">
      <c r="A2932" t="s">
        <v>30</v>
      </c>
      <c r="B2932" t="s">
        <v>31</v>
      </c>
      <c r="C2932" t="s">
        <v>32</v>
      </c>
      <c r="D2932" t="s">
        <v>341</v>
      </c>
      <c r="E2932" t="s">
        <v>413</v>
      </c>
      <c r="F2932" t="s">
        <v>35</v>
      </c>
      <c r="G2932" t="s">
        <v>35</v>
      </c>
      <c r="H2932" t="s">
        <v>35</v>
      </c>
      <c r="J2932" t="s">
        <v>3440</v>
      </c>
      <c r="K2932" t="s">
        <v>1092</v>
      </c>
      <c r="M2932">
        <v>0.13500000000000001</v>
      </c>
      <c r="N2932">
        <v>433</v>
      </c>
      <c r="O2932" t="s">
        <v>294</v>
      </c>
      <c r="Q2932" t="s">
        <v>1935</v>
      </c>
      <c r="R2932" t="s">
        <v>3358</v>
      </c>
      <c r="S2932" t="s">
        <v>414</v>
      </c>
    </row>
    <row r="2933" spans="1:19" x14ac:dyDescent="0.25">
      <c r="A2933" t="s">
        <v>44</v>
      </c>
      <c r="B2933" t="s">
        <v>3</v>
      </c>
      <c r="C2933" t="s">
        <v>32</v>
      </c>
      <c r="D2933" t="s">
        <v>341</v>
      </c>
      <c r="E2933" t="s">
        <v>413</v>
      </c>
      <c r="F2933" t="s">
        <v>35</v>
      </c>
      <c r="G2933" t="s">
        <v>35</v>
      </c>
      <c r="H2933" t="s">
        <v>35</v>
      </c>
      <c r="J2933" t="s">
        <v>3440</v>
      </c>
      <c r="K2933" t="s">
        <v>1092</v>
      </c>
      <c r="M2933">
        <v>4</v>
      </c>
      <c r="N2933">
        <v>432</v>
      </c>
      <c r="O2933" t="s">
        <v>294</v>
      </c>
      <c r="Q2933" t="s">
        <v>1271</v>
      </c>
      <c r="R2933" t="s">
        <v>3358</v>
      </c>
      <c r="S2933" t="s">
        <v>414</v>
      </c>
    </row>
    <row r="2934" spans="1:19" x14ac:dyDescent="0.25">
      <c r="A2934" t="s">
        <v>30</v>
      </c>
      <c r="B2934" t="s">
        <v>31</v>
      </c>
      <c r="C2934" t="s">
        <v>32</v>
      </c>
      <c r="D2934" t="s">
        <v>341</v>
      </c>
      <c r="E2934" t="s">
        <v>413</v>
      </c>
      <c r="F2934" t="s">
        <v>35</v>
      </c>
      <c r="G2934" t="s">
        <v>35</v>
      </c>
      <c r="H2934" t="s">
        <v>35</v>
      </c>
      <c r="J2934" t="s">
        <v>3441</v>
      </c>
      <c r="K2934" t="s">
        <v>1092</v>
      </c>
      <c r="M2934">
        <v>1.4999999999999999E-2</v>
      </c>
      <c r="N2934">
        <v>150</v>
      </c>
      <c r="O2934" t="s">
        <v>38</v>
      </c>
      <c r="Q2934" t="s">
        <v>1612</v>
      </c>
      <c r="R2934" t="s">
        <v>3358</v>
      </c>
      <c r="S2934" t="s">
        <v>414</v>
      </c>
    </row>
    <row r="2935" spans="1:19" x14ac:dyDescent="0.25">
      <c r="A2935" t="s">
        <v>30</v>
      </c>
      <c r="B2935" t="s">
        <v>31</v>
      </c>
      <c r="C2935" t="s">
        <v>32</v>
      </c>
      <c r="D2935" t="s">
        <v>341</v>
      </c>
      <c r="E2935" t="s">
        <v>413</v>
      </c>
      <c r="F2935" t="s">
        <v>35</v>
      </c>
      <c r="G2935" t="s">
        <v>35</v>
      </c>
      <c r="H2935" t="s">
        <v>35</v>
      </c>
      <c r="J2935" t="s">
        <v>3442</v>
      </c>
      <c r="K2935" t="s">
        <v>1092</v>
      </c>
      <c r="M2935">
        <v>0.315</v>
      </c>
      <c r="N2935">
        <v>66</v>
      </c>
      <c r="O2935" t="s">
        <v>61</v>
      </c>
      <c r="Q2935" t="s">
        <v>203</v>
      </c>
      <c r="R2935" t="s">
        <v>3284</v>
      </c>
      <c r="S2935" t="s">
        <v>387</v>
      </c>
    </row>
    <row r="2936" spans="1:19" x14ac:dyDescent="0.25">
      <c r="A2936" t="s">
        <v>1439</v>
      </c>
      <c r="B2936" t="s">
        <v>1440</v>
      </c>
      <c r="C2936" t="s">
        <v>32</v>
      </c>
      <c r="D2936" t="s">
        <v>341</v>
      </c>
      <c r="E2936" t="s">
        <v>413</v>
      </c>
      <c r="F2936" t="s">
        <v>35</v>
      </c>
      <c r="G2936" t="s">
        <v>35</v>
      </c>
      <c r="H2936" t="s">
        <v>35</v>
      </c>
      <c r="J2936" t="s">
        <v>3443</v>
      </c>
      <c r="K2936" t="s">
        <v>404</v>
      </c>
      <c r="M2936">
        <v>5</v>
      </c>
      <c r="N2936">
        <v>765</v>
      </c>
      <c r="O2936" t="s">
        <v>575</v>
      </c>
      <c r="Q2936" t="s">
        <v>3444</v>
      </c>
      <c r="R2936" t="s">
        <v>3404</v>
      </c>
      <c r="S2936" t="s">
        <v>3405</v>
      </c>
    </row>
    <row r="2937" spans="1:19" x14ac:dyDescent="0.25">
      <c r="A2937" t="s">
        <v>44</v>
      </c>
      <c r="B2937" t="s">
        <v>51</v>
      </c>
      <c r="C2937" t="s">
        <v>32</v>
      </c>
      <c r="D2937" t="s">
        <v>341</v>
      </c>
      <c r="E2937" t="s">
        <v>413</v>
      </c>
      <c r="F2937" t="s">
        <v>35</v>
      </c>
      <c r="G2937" t="s">
        <v>35</v>
      </c>
      <c r="H2937" t="s">
        <v>35</v>
      </c>
      <c r="J2937" t="s">
        <v>3445</v>
      </c>
      <c r="K2937" t="s">
        <v>1092</v>
      </c>
      <c r="M2937">
        <v>1.25</v>
      </c>
      <c r="N2937">
        <v>237</v>
      </c>
      <c r="O2937" t="s">
        <v>5</v>
      </c>
      <c r="Q2937" t="s">
        <v>3446</v>
      </c>
      <c r="R2937" t="s">
        <v>3358</v>
      </c>
      <c r="S2937" t="s">
        <v>414</v>
      </c>
    </row>
    <row r="2938" spans="1:19" x14ac:dyDescent="0.25">
      <c r="A2938" t="s">
        <v>30</v>
      </c>
      <c r="B2938" t="s">
        <v>31</v>
      </c>
      <c r="C2938" t="s">
        <v>32</v>
      </c>
      <c r="D2938" t="s">
        <v>341</v>
      </c>
      <c r="E2938" t="s">
        <v>413</v>
      </c>
      <c r="F2938" t="s">
        <v>35</v>
      </c>
      <c r="G2938" t="s">
        <v>35</v>
      </c>
      <c r="H2938" t="s">
        <v>35</v>
      </c>
      <c r="J2938" t="s">
        <v>3447</v>
      </c>
      <c r="K2938" t="s">
        <v>1092</v>
      </c>
      <c r="M2938">
        <v>4.05</v>
      </c>
      <c r="N2938">
        <v>66</v>
      </c>
      <c r="O2938" t="s">
        <v>61</v>
      </c>
      <c r="Q2938" t="s">
        <v>203</v>
      </c>
      <c r="R2938" t="s">
        <v>3284</v>
      </c>
      <c r="S2938" t="s">
        <v>387</v>
      </c>
    </row>
    <row r="2939" spans="1:19" x14ac:dyDescent="0.25">
      <c r="A2939" t="s">
        <v>59</v>
      </c>
      <c r="B2939" t="s">
        <v>31</v>
      </c>
      <c r="C2939" t="s">
        <v>32</v>
      </c>
      <c r="D2939" t="s">
        <v>341</v>
      </c>
      <c r="E2939" t="s">
        <v>413</v>
      </c>
      <c r="F2939" t="s">
        <v>35</v>
      </c>
      <c r="G2939" t="s">
        <v>35</v>
      </c>
      <c r="H2939" t="s">
        <v>35</v>
      </c>
      <c r="J2939" t="s">
        <v>3447</v>
      </c>
      <c r="K2939" t="s">
        <v>1092</v>
      </c>
      <c r="M2939">
        <v>0.36</v>
      </c>
      <c r="N2939">
        <v>112</v>
      </c>
      <c r="O2939" t="s">
        <v>106</v>
      </c>
      <c r="Q2939" t="s">
        <v>171</v>
      </c>
      <c r="R2939" t="s">
        <v>3284</v>
      </c>
      <c r="S2939" t="s">
        <v>387</v>
      </c>
    </row>
    <row r="2940" spans="1:19" x14ac:dyDescent="0.25">
      <c r="A2940" t="s">
        <v>44</v>
      </c>
      <c r="B2940" t="s">
        <v>51</v>
      </c>
      <c r="C2940" t="s">
        <v>32</v>
      </c>
      <c r="D2940" t="s">
        <v>341</v>
      </c>
      <c r="E2940" t="s">
        <v>413</v>
      </c>
      <c r="F2940" t="s">
        <v>35</v>
      </c>
      <c r="G2940" t="s">
        <v>35</v>
      </c>
      <c r="H2940" t="s">
        <v>35</v>
      </c>
      <c r="J2940" t="s">
        <v>3447</v>
      </c>
      <c r="K2940" t="s">
        <v>1092</v>
      </c>
      <c r="M2940">
        <v>6.45</v>
      </c>
      <c r="N2940">
        <v>56</v>
      </c>
      <c r="O2940" t="s">
        <v>52</v>
      </c>
      <c r="Q2940" t="s">
        <v>453</v>
      </c>
      <c r="R2940" t="s">
        <v>3284</v>
      </c>
      <c r="S2940" t="s">
        <v>387</v>
      </c>
    </row>
    <row r="2941" spans="1:19" x14ac:dyDescent="0.25">
      <c r="A2941" t="s">
        <v>30</v>
      </c>
      <c r="B2941" t="s">
        <v>31</v>
      </c>
      <c r="C2941" t="s">
        <v>32</v>
      </c>
      <c r="D2941" t="s">
        <v>341</v>
      </c>
      <c r="E2941" t="s">
        <v>413</v>
      </c>
      <c r="F2941" t="s">
        <v>35</v>
      </c>
      <c r="G2941" t="s">
        <v>35</v>
      </c>
      <c r="H2941" t="s">
        <v>35</v>
      </c>
      <c r="J2941" t="s">
        <v>3448</v>
      </c>
      <c r="K2941" t="s">
        <v>1092</v>
      </c>
      <c r="M2941">
        <v>0.315</v>
      </c>
      <c r="N2941">
        <v>75</v>
      </c>
      <c r="O2941" t="s">
        <v>61</v>
      </c>
      <c r="Q2941" t="s">
        <v>805</v>
      </c>
      <c r="R2941" t="s">
        <v>3404</v>
      </c>
      <c r="S2941" t="s">
        <v>3405</v>
      </c>
    </row>
    <row r="2942" spans="1:19" x14ac:dyDescent="0.25">
      <c r="A2942" t="s">
        <v>44</v>
      </c>
      <c r="B2942" t="s">
        <v>51</v>
      </c>
      <c r="C2942" t="s">
        <v>32</v>
      </c>
      <c r="D2942" t="s">
        <v>341</v>
      </c>
      <c r="E2942" t="s">
        <v>413</v>
      </c>
      <c r="F2942" t="s">
        <v>35</v>
      </c>
      <c r="G2942" t="s">
        <v>35</v>
      </c>
      <c r="H2942" t="s">
        <v>35</v>
      </c>
      <c r="J2942" t="s">
        <v>3449</v>
      </c>
      <c r="K2942" t="s">
        <v>1092</v>
      </c>
      <c r="M2942">
        <v>0.1</v>
      </c>
      <c r="N2942">
        <v>237</v>
      </c>
      <c r="O2942" t="s">
        <v>5</v>
      </c>
      <c r="Q2942" t="s">
        <v>3446</v>
      </c>
      <c r="R2942" t="s">
        <v>3358</v>
      </c>
      <c r="S2942" t="s">
        <v>414</v>
      </c>
    </row>
    <row r="2943" spans="1:19" x14ac:dyDescent="0.25">
      <c r="A2943" t="s">
        <v>1439</v>
      </c>
      <c r="B2943" t="s">
        <v>1440</v>
      </c>
      <c r="C2943" t="s">
        <v>32</v>
      </c>
      <c r="D2943" t="s">
        <v>341</v>
      </c>
      <c r="E2943" t="s">
        <v>3450</v>
      </c>
      <c r="F2943" t="s">
        <v>35</v>
      </c>
      <c r="G2943" t="s">
        <v>35</v>
      </c>
      <c r="H2943" t="s">
        <v>35</v>
      </c>
      <c r="J2943" t="s">
        <v>3451</v>
      </c>
      <c r="K2943" t="s">
        <v>404</v>
      </c>
      <c r="M2943">
        <v>4.6399999999999997</v>
      </c>
      <c r="N2943">
        <v>765</v>
      </c>
      <c r="O2943" t="s">
        <v>575</v>
      </c>
      <c r="Q2943" t="s">
        <v>3444</v>
      </c>
      <c r="R2943" t="s">
        <v>3404</v>
      </c>
      <c r="S2943" t="s">
        <v>3405</v>
      </c>
    </row>
    <row r="2944" spans="1:19" x14ac:dyDescent="0.25">
      <c r="A2944" t="s">
        <v>30</v>
      </c>
      <c r="B2944" t="s">
        <v>31</v>
      </c>
      <c r="C2944" t="s">
        <v>32</v>
      </c>
      <c r="D2944" t="s">
        <v>341</v>
      </c>
      <c r="E2944" t="s">
        <v>3450</v>
      </c>
      <c r="F2944" t="s">
        <v>35</v>
      </c>
      <c r="G2944" t="s">
        <v>35</v>
      </c>
      <c r="H2944" t="s">
        <v>35</v>
      </c>
      <c r="J2944" t="s">
        <v>3452</v>
      </c>
      <c r="K2944" t="s">
        <v>1092</v>
      </c>
      <c r="M2944">
        <v>0.54</v>
      </c>
      <c r="N2944">
        <v>75</v>
      </c>
      <c r="O2944" t="s">
        <v>61</v>
      </c>
      <c r="Q2944" t="s">
        <v>805</v>
      </c>
      <c r="R2944" t="s">
        <v>356</v>
      </c>
      <c r="S2944" t="s">
        <v>357</v>
      </c>
    </row>
    <row r="2945" spans="1:19" x14ac:dyDescent="0.25">
      <c r="A2945" t="s">
        <v>30</v>
      </c>
      <c r="B2945" t="s">
        <v>31</v>
      </c>
      <c r="C2945" t="s">
        <v>32</v>
      </c>
      <c r="D2945" t="s">
        <v>341</v>
      </c>
      <c r="F2945" t="s">
        <v>35</v>
      </c>
      <c r="G2945" t="s">
        <v>35</v>
      </c>
      <c r="H2945" t="s">
        <v>35</v>
      </c>
      <c r="J2945" t="s">
        <v>3453</v>
      </c>
      <c r="K2945" t="s">
        <v>1092</v>
      </c>
      <c r="M2945">
        <v>11.97</v>
      </c>
      <c r="N2945">
        <v>45</v>
      </c>
      <c r="O2945" t="s">
        <v>52</v>
      </c>
      <c r="Q2945" t="s">
        <v>716</v>
      </c>
      <c r="R2945" t="s">
        <v>3284</v>
      </c>
      <c r="S2945" t="s">
        <v>387</v>
      </c>
    </row>
    <row r="2946" spans="1:19" x14ac:dyDescent="0.25">
      <c r="A2946" t="s">
        <v>59</v>
      </c>
      <c r="B2946" t="s">
        <v>31</v>
      </c>
      <c r="C2946" t="s">
        <v>32</v>
      </c>
      <c r="D2946" t="s">
        <v>341</v>
      </c>
      <c r="F2946" t="s">
        <v>35</v>
      </c>
      <c r="G2946" t="s">
        <v>35</v>
      </c>
      <c r="H2946" t="s">
        <v>35</v>
      </c>
      <c r="J2946" t="s">
        <v>3454</v>
      </c>
      <c r="K2946" t="s">
        <v>1092</v>
      </c>
      <c r="M2946">
        <v>0.02</v>
      </c>
      <c r="N2946">
        <v>1985</v>
      </c>
      <c r="O2946" t="s">
        <v>575</v>
      </c>
      <c r="Q2946" t="s">
        <v>3455</v>
      </c>
      <c r="R2946" t="s">
        <v>3456</v>
      </c>
      <c r="S2946" t="s">
        <v>3457</v>
      </c>
    </row>
    <row r="2947" spans="1:19" x14ac:dyDescent="0.25">
      <c r="A2947" t="s">
        <v>59</v>
      </c>
      <c r="B2947" t="s">
        <v>60</v>
      </c>
      <c r="C2947" t="s">
        <v>32</v>
      </c>
      <c r="D2947" t="s">
        <v>341</v>
      </c>
      <c r="F2947" t="s">
        <v>35</v>
      </c>
      <c r="G2947" t="s">
        <v>35</v>
      </c>
      <c r="H2947" t="s">
        <v>35</v>
      </c>
      <c r="J2947" t="s">
        <v>3459</v>
      </c>
      <c r="K2947" t="s">
        <v>1092</v>
      </c>
      <c r="M2947">
        <v>4.5</v>
      </c>
      <c r="N2947">
        <v>271</v>
      </c>
      <c r="O2947" t="s">
        <v>5</v>
      </c>
      <c r="Q2947" t="s">
        <v>1881</v>
      </c>
      <c r="R2947" t="s">
        <v>3332</v>
      </c>
      <c r="S2947" t="s">
        <v>391</v>
      </c>
    </row>
    <row r="2948" spans="1:19" x14ac:dyDescent="0.25">
      <c r="A2948" t="s">
        <v>44</v>
      </c>
      <c r="B2948" t="s">
        <v>51</v>
      </c>
      <c r="C2948" t="s">
        <v>32</v>
      </c>
      <c r="D2948" t="s">
        <v>341</v>
      </c>
      <c r="F2948" t="s">
        <v>35</v>
      </c>
      <c r="G2948" t="s">
        <v>35</v>
      </c>
      <c r="H2948" t="s">
        <v>35</v>
      </c>
      <c r="J2948" t="s">
        <v>3459</v>
      </c>
      <c r="K2948" t="s">
        <v>1092</v>
      </c>
      <c r="M2948">
        <v>5</v>
      </c>
      <c r="N2948">
        <v>271</v>
      </c>
      <c r="O2948" t="s">
        <v>5</v>
      </c>
      <c r="Q2948" t="s">
        <v>1881</v>
      </c>
      <c r="R2948" t="s">
        <v>3332</v>
      </c>
      <c r="S2948" t="s">
        <v>391</v>
      </c>
    </row>
    <row r="2949" spans="1:19" x14ac:dyDescent="0.25">
      <c r="A2949" t="s">
        <v>44</v>
      </c>
      <c r="B2949" t="s">
        <v>51</v>
      </c>
      <c r="C2949" t="s">
        <v>32</v>
      </c>
      <c r="D2949" t="s">
        <v>418</v>
      </c>
      <c r="E2949" t="s">
        <v>3460</v>
      </c>
      <c r="F2949" t="s">
        <v>35</v>
      </c>
      <c r="G2949" t="s">
        <v>35</v>
      </c>
      <c r="H2949" t="s">
        <v>35</v>
      </c>
      <c r="J2949" t="s">
        <v>3461</v>
      </c>
      <c r="K2949" t="s">
        <v>1092</v>
      </c>
      <c r="M2949">
        <v>10</v>
      </c>
      <c r="N2949">
        <v>57</v>
      </c>
      <c r="O2949" t="s">
        <v>52</v>
      </c>
      <c r="Q2949" t="s">
        <v>665</v>
      </c>
      <c r="R2949" t="s">
        <v>3462</v>
      </c>
      <c r="S2949" t="s">
        <v>427</v>
      </c>
    </row>
    <row r="2950" spans="1:19" x14ac:dyDescent="0.25">
      <c r="A2950" t="s">
        <v>30</v>
      </c>
      <c r="B2950" t="s">
        <v>31</v>
      </c>
      <c r="C2950" t="s">
        <v>32</v>
      </c>
      <c r="D2950" t="s">
        <v>418</v>
      </c>
      <c r="E2950" t="s">
        <v>3460</v>
      </c>
      <c r="F2950" t="s">
        <v>35</v>
      </c>
      <c r="G2950" t="s">
        <v>35</v>
      </c>
      <c r="H2950" t="s">
        <v>35</v>
      </c>
      <c r="J2950" t="s">
        <v>3461</v>
      </c>
      <c r="K2950" t="s">
        <v>1092</v>
      </c>
      <c r="M2950">
        <v>13.32</v>
      </c>
      <c r="N2950">
        <v>44</v>
      </c>
      <c r="O2950" t="s">
        <v>52</v>
      </c>
      <c r="Q2950" t="s">
        <v>192</v>
      </c>
      <c r="R2950" t="s">
        <v>3462</v>
      </c>
      <c r="S2950" t="s">
        <v>427</v>
      </c>
    </row>
    <row r="2951" spans="1:19" x14ac:dyDescent="0.25">
      <c r="A2951" t="s">
        <v>30</v>
      </c>
      <c r="B2951" t="s">
        <v>31</v>
      </c>
      <c r="C2951" t="s">
        <v>32</v>
      </c>
      <c r="D2951" t="s">
        <v>418</v>
      </c>
      <c r="E2951" t="s">
        <v>3463</v>
      </c>
      <c r="F2951" t="s">
        <v>35</v>
      </c>
      <c r="G2951" t="s">
        <v>35</v>
      </c>
      <c r="H2951" t="s">
        <v>35</v>
      </c>
      <c r="J2951" t="s">
        <v>3464</v>
      </c>
      <c r="K2951" t="s">
        <v>1092</v>
      </c>
      <c r="M2951">
        <v>6.9749999999999996</v>
      </c>
      <c r="N2951">
        <v>119</v>
      </c>
      <c r="O2951" t="s">
        <v>106</v>
      </c>
      <c r="Q2951" t="s">
        <v>3465</v>
      </c>
      <c r="R2951" t="s">
        <v>3462</v>
      </c>
      <c r="S2951" t="s">
        <v>427</v>
      </c>
    </row>
    <row r="2952" spans="1:19" x14ac:dyDescent="0.25">
      <c r="A2952" t="s">
        <v>30</v>
      </c>
      <c r="B2952" t="s">
        <v>31</v>
      </c>
      <c r="C2952" t="s">
        <v>32</v>
      </c>
      <c r="D2952" t="s">
        <v>418</v>
      </c>
      <c r="E2952" t="s">
        <v>3463</v>
      </c>
      <c r="F2952" t="s">
        <v>35</v>
      </c>
      <c r="G2952" t="s">
        <v>35</v>
      </c>
      <c r="H2952" t="s">
        <v>35</v>
      </c>
      <c r="J2952" t="s">
        <v>3466</v>
      </c>
      <c r="K2952" t="s">
        <v>1092</v>
      </c>
      <c r="M2952">
        <v>7.6050000000000004</v>
      </c>
      <c r="N2952">
        <v>118</v>
      </c>
      <c r="O2952" t="s">
        <v>106</v>
      </c>
      <c r="Q2952" t="s">
        <v>1469</v>
      </c>
      <c r="R2952" t="s">
        <v>3470</v>
      </c>
      <c r="S2952" t="s">
        <v>420</v>
      </c>
    </row>
    <row r="2953" spans="1:19" x14ac:dyDescent="0.25">
      <c r="A2953" t="s">
        <v>30</v>
      </c>
      <c r="B2953" t="s">
        <v>31</v>
      </c>
      <c r="C2953" t="s">
        <v>32</v>
      </c>
      <c r="D2953" t="s">
        <v>418</v>
      </c>
      <c r="E2953" t="s">
        <v>3463</v>
      </c>
      <c r="F2953" t="s">
        <v>35</v>
      </c>
      <c r="G2953" t="s">
        <v>35</v>
      </c>
      <c r="H2953" t="s">
        <v>35</v>
      </c>
      <c r="J2953" t="s">
        <v>3466</v>
      </c>
      <c r="K2953" t="s">
        <v>1092</v>
      </c>
      <c r="M2953">
        <v>10</v>
      </c>
      <c r="N2953">
        <v>118</v>
      </c>
      <c r="O2953" t="s">
        <v>106</v>
      </c>
      <c r="Q2953" t="s">
        <v>1469</v>
      </c>
      <c r="R2953" t="s">
        <v>3467</v>
      </c>
      <c r="S2953" t="s">
        <v>3468</v>
      </c>
    </row>
    <row r="2954" spans="1:19" x14ac:dyDescent="0.25">
      <c r="A2954" t="s">
        <v>30</v>
      </c>
      <c r="B2954" t="s">
        <v>31</v>
      </c>
      <c r="C2954" t="s">
        <v>32</v>
      </c>
      <c r="D2954" t="s">
        <v>418</v>
      </c>
      <c r="E2954" t="s">
        <v>3463</v>
      </c>
      <c r="F2954" t="s">
        <v>35</v>
      </c>
      <c r="G2954" t="s">
        <v>35</v>
      </c>
      <c r="H2954" t="s">
        <v>35</v>
      </c>
      <c r="J2954" t="s">
        <v>3471</v>
      </c>
      <c r="K2954" t="s">
        <v>1092</v>
      </c>
      <c r="M2954">
        <v>7.5149999999999997</v>
      </c>
      <c r="N2954">
        <v>118</v>
      </c>
      <c r="O2954" t="s">
        <v>106</v>
      </c>
      <c r="Q2954" t="s">
        <v>1469</v>
      </c>
      <c r="R2954" t="s">
        <v>3462</v>
      </c>
      <c r="S2954" t="s">
        <v>427</v>
      </c>
    </row>
    <row r="2955" spans="1:19" x14ac:dyDescent="0.25">
      <c r="A2955" t="s">
        <v>30</v>
      </c>
      <c r="B2955" t="s">
        <v>31</v>
      </c>
      <c r="C2955" t="s">
        <v>32</v>
      </c>
      <c r="D2955" t="s">
        <v>418</v>
      </c>
      <c r="E2955" t="s">
        <v>3463</v>
      </c>
      <c r="F2955" t="s">
        <v>35</v>
      </c>
      <c r="G2955" t="s">
        <v>35</v>
      </c>
      <c r="H2955" t="s">
        <v>35</v>
      </c>
      <c r="J2955" t="s">
        <v>45</v>
      </c>
      <c r="K2955" t="s">
        <v>1092</v>
      </c>
      <c r="M2955">
        <v>8.1000000000000003E-2</v>
      </c>
      <c r="N2955">
        <v>412</v>
      </c>
      <c r="O2955" t="s">
        <v>294</v>
      </c>
      <c r="Q2955" t="s">
        <v>3472</v>
      </c>
      <c r="R2955" t="s">
        <v>3473</v>
      </c>
      <c r="S2955" t="s">
        <v>3474</v>
      </c>
    </row>
    <row r="2956" spans="1:19" x14ac:dyDescent="0.25">
      <c r="A2956" t="s">
        <v>30</v>
      </c>
      <c r="B2956" t="s">
        <v>31</v>
      </c>
      <c r="C2956" t="s">
        <v>32</v>
      </c>
      <c r="D2956" t="s">
        <v>418</v>
      </c>
      <c r="E2956" t="s">
        <v>3463</v>
      </c>
      <c r="F2956" t="s">
        <v>35</v>
      </c>
      <c r="G2956" t="s">
        <v>35</v>
      </c>
      <c r="H2956" t="s">
        <v>35</v>
      </c>
      <c r="J2956" t="s">
        <v>45</v>
      </c>
      <c r="K2956" t="s">
        <v>1092</v>
      </c>
      <c r="M2956">
        <v>9.99</v>
      </c>
      <c r="N2956">
        <v>118</v>
      </c>
      <c r="O2956" t="s">
        <v>106</v>
      </c>
      <c r="Q2956" t="s">
        <v>1469</v>
      </c>
      <c r="R2956" t="s">
        <v>3462</v>
      </c>
      <c r="S2956" t="s">
        <v>427</v>
      </c>
    </row>
    <row r="2957" spans="1:19" x14ac:dyDescent="0.25">
      <c r="A2957" t="s">
        <v>30</v>
      </c>
      <c r="B2957" t="s">
        <v>31</v>
      </c>
      <c r="C2957" t="s">
        <v>32</v>
      </c>
      <c r="D2957" t="s">
        <v>418</v>
      </c>
      <c r="E2957" t="s">
        <v>3463</v>
      </c>
      <c r="F2957" t="s">
        <v>35</v>
      </c>
      <c r="G2957" t="s">
        <v>35</v>
      </c>
      <c r="H2957" t="s">
        <v>35</v>
      </c>
      <c r="J2957" t="s">
        <v>3476</v>
      </c>
      <c r="K2957" t="s">
        <v>1092</v>
      </c>
      <c r="M2957">
        <v>3.69</v>
      </c>
      <c r="N2957">
        <v>118</v>
      </c>
      <c r="O2957" t="s">
        <v>106</v>
      </c>
      <c r="Q2957" t="s">
        <v>1469</v>
      </c>
      <c r="R2957" t="s">
        <v>3462</v>
      </c>
      <c r="S2957" t="s">
        <v>427</v>
      </c>
    </row>
    <row r="2958" spans="1:19" x14ac:dyDescent="0.25">
      <c r="A2958" t="s">
        <v>30</v>
      </c>
      <c r="B2958" t="s">
        <v>31</v>
      </c>
      <c r="C2958" t="s">
        <v>32</v>
      </c>
      <c r="D2958" t="s">
        <v>418</v>
      </c>
      <c r="E2958" t="s">
        <v>3463</v>
      </c>
      <c r="F2958" t="s">
        <v>35</v>
      </c>
      <c r="G2958" t="s">
        <v>35</v>
      </c>
      <c r="H2958" t="s">
        <v>35</v>
      </c>
      <c r="J2958" t="s">
        <v>3477</v>
      </c>
      <c r="K2958" t="s">
        <v>1092</v>
      </c>
      <c r="M2958">
        <v>0.22500000000000001</v>
      </c>
      <c r="N2958">
        <v>118</v>
      </c>
      <c r="O2958" t="s">
        <v>106</v>
      </c>
      <c r="Q2958" t="s">
        <v>1469</v>
      </c>
      <c r="R2958" t="s">
        <v>76</v>
      </c>
      <c r="S2958" t="s">
        <v>77</v>
      </c>
    </row>
    <row r="2959" spans="1:19" x14ac:dyDescent="0.25">
      <c r="A2959" t="s">
        <v>30</v>
      </c>
      <c r="B2959" t="s">
        <v>31</v>
      </c>
      <c r="C2959" t="s">
        <v>32</v>
      </c>
      <c r="D2959" t="s">
        <v>418</v>
      </c>
      <c r="E2959" t="s">
        <v>3463</v>
      </c>
      <c r="F2959" t="s">
        <v>35</v>
      </c>
      <c r="G2959" t="s">
        <v>35</v>
      </c>
      <c r="H2959" t="s">
        <v>35</v>
      </c>
      <c r="J2959" t="s">
        <v>3478</v>
      </c>
      <c r="K2959" t="s">
        <v>1092</v>
      </c>
      <c r="M2959">
        <v>0.01</v>
      </c>
      <c r="N2959">
        <v>294</v>
      </c>
      <c r="O2959" t="s">
        <v>5</v>
      </c>
      <c r="Q2959" t="s">
        <v>1418</v>
      </c>
      <c r="R2959" t="s">
        <v>3470</v>
      </c>
      <c r="S2959" t="s">
        <v>420</v>
      </c>
    </row>
    <row r="2960" spans="1:19" x14ac:dyDescent="0.25">
      <c r="A2960" t="s">
        <v>30</v>
      </c>
      <c r="B2960" t="s">
        <v>31</v>
      </c>
      <c r="C2960" t="s">
        <v>32</v>
      </c>
      <c r="D2960" t="s">
        <v>418</v>
      </c>
      <c r="E2960" t="s">
        <v>3463</v>
      </c>
      <c r="F2960" t="s">
        <v>35</v>
      </c>
      <c r="G2960" t="s">
        <v>35</v>
      </c>
      <c r="H2960" t="s">
        <v>35</v>
      </c>
      <c r="J2960" t="s">
        <v>3479</v>
      </c>
      <c r="K2960" t="s">
        <v>1092</v>
      </c>
      <c r="M2960">
        <v>20.324999999999999</v>
      </c>
      <c r="N2960">
        <v>118</v>
      </c>
      <c r="O2960" t="s">
        <v>106</v>
      </c>
      <c r="Q2960" t="s">
        <v>1469</v>
      </c>
      <c r="R2960" t="s">
        <v>3467</v>
      </c>
      <c r="S2960" t="s">
        <v>3468</v>
      </c>
    </row>
    <row r="2961" spans="1:19" x14ac:dyDescent="0.25">
      <c r="A2961" t="s">
        <v>30</v>
      </c>
      <c r="B2961" t="s">
        <v>31</v>
      </c>
      <c r="C2961" t="s">
        <v>32</v>
      </c>
      <c r="D2961" t="s">
        <v>418</v>
      </c>
      <c r="E2961" t="s">
        <v>3480</v>
      </c>
      <c r="F2961" t="s">
        <v>35</v>
      </c>
      <c r="G2961" t="s">
        <v>35</v>
      </c>
      <c r="H2961" t="s">
        <v>35</v>
      </c>
      <c r="J2961" t="s">
        <v>3481</v>
      </c>
      <c r="K2961" t="s">
        <v>1092</v>
      </c>
      <c r="M2961">
        <v>6.58</v>
      </c>
      <c r="N2961">
        <v>118</v>
      </c>
      <c r="O2961" t="s">
        <v>106</v>
      </c>
      <c r="Q2961" t="s">
        <v>1469</v>
      </c>
      <c r="R2961" t="s">
        <v>3467</v>
      </c>
      <c r="S2961" t="s">
        <v>3468</v>
      </c>
    </row>
    <row r="2962" spans="1:19" x14ac:dyDescent="0.25">
      <c r="A2962" t="s">
        <v>30</v>
      </c>
      <c r="B2962" t="s">
        <v>31</v>
      </c>
      <c r="C2962" t="s">
        <v>32</v>
      </c>
      <c r="D2962" t="s">
        <v>418</v>
      </c>
      <c r="E2962" t="s">
        <v>3482</v>
      </c>
      <c r="F2962" t="s">
        <v>35</v>
      </c>
      <c r="G2962" t="s">
        <v>35</v>
      </c>
      <c r="H2962" t="s">
        <v>35</v>
      </c>
      <c r="J2962" t="s">
        <v>3483</v>
      </c>
      <c r="K2962" t="s">
        <v>1092</v>
      </c>
      <c r="M2962">
        <v>9.5399999999999991</v>
      </c>
      <c r="N2962">
        <v>118</v>
      </c>
      <c r="O2962" t="s">
        <v>106</v>
      </c>
      <c r="Q2962" t="s">
        <v>1469</v>
      </c>
      <c r="R2962" t="s">
        <v>3462</v>
      </c>
      <c r="S2962" t="s">
        <v>427</v>
      </c>
    </row>
    <row r="2963" spans="1:19" x14ac:dyDescent="0.25">
      <c r="A2963" t="s">
        <v>59</v>
      </c>
      <c r="B2963" t="s">
        <v>31</v>
      </c>
      <c r="C2963" t="s">
        <v>32</v>
      </c>
      <c r="D2963" t="s">
        <v>418</v>
      </c>
      <c r="E2963" t="s">
        <v>3482</v>
      </c>
      <c r="F2963" t="s">
        <v>35</v>
      </c>
      <c r="G2963" t="s">
        <v>35</v>
      </c>
      <c r="H2963" t="s">
        <v>35</v>
      </c>
      <c r="J2963" t="s">
        <v>3484</v>
      </c>
      <c r="K2963" t="s">
        <v>1144</v>
      </c>
      <c r="M2963">
        <v>12.015000000000001</v>
      </c>
      <c r="N2963">
        <v>62</v>
      </c>
      <c r="O2963" t="s">
        <v>61</v>
      </c>
      <c r="Q2963" t="s">
        <v>90</v>
      </c>
      <c r="R2963" t="s">
        <v>3462</v>
      </c>
      <c r="S2963" t="s">
        <v>427</v>
      </c>
    </row>
    <row r="2964" spans="1:19" x14ac:dyDescent="0.25">
      <c r="A2964" t="s">
        <v>30</v>
      </c>
      <c r="B2964" t="s">
        <v>31</v>
      </c>
      <c r="C2964" t="s">
        <v>32</v>
      </c>
      <c r="D2964" t="s">
        <v>418</v>
      </c>
      <c r="E2964" t="s">
        <v>3482</v>
      </c>
      <c r="F2964" t="s">
        <v>35</v>
      </c>
      <c r="G2964" t="s">
        <v>35</v>
      </c>
      <c r="H2964" t="s">
        <v>35</v>
      </c>
      <c r="J2964" t="s">
        <v>3485</v>
      </c>
      <c r="K2964" t="s">
        <v>1092</v>
      </c>
      <c r="M2964">
        <v>2.7749999999999999</v>
      </c>
      <c r="N2964">
        <v>412</v>
      </c>
      <c r="O2964" t="s">
        <v>294</v>
      </c>
      <c r="Q2964" t="s">
        <v>3472</v>
      </c>
      <c r="R2964" t="s">
        <v>3470</v>
      </c>
      <c r="S2964" t="s">
        <v>420</v>
      </c>
    </row>
    <row r="2965" spans="1:19" x14ac:dyDescent="0.25">
      <c r="A2965" t="s">
        <v>30</v>
      </c>
      <c r="B2965" t="s">
        <v>31</v>
      </c>
      <c r="C2965" t="s">
        <v>32</v>
      </c>
      <c r="D2965" t="s">
        <v>418</v>
      </c>
      <c r="E2965" t="s">
        <v>3482</v>
      </c>
      <c r="F2965" t="s">
        <v>35</v>
      </c>
      <c r="G2965" t="s">
        <v>35</v>
      </c>
      <c r="H2965" t="s">
        <v>35</v>
      </c>
      <c r="J2965" t="s">
        <v>3486</v>
      </c>
      <c r="K2965" t="s">
        <v>1092</v>
      </c>
      <c r="M2965">
        <v>0.09</v>
      </c>
      <c r="N2965">
        <v>1244</v>
      </c>
      <c r="O2965" t="s">
        <v>575</v>
      </c>
      <c r="Q2965" t="s">
        <v>3487</v>
      </c>
      <c r="R2965" t="s">
        <v>3462</v>
      </c>
      <c r="S2965" t="s">
        <v>427</v>
      </c>
    </row>
    <row r="2966" spans="1:19" x14ac:dyDescent="0.25">
      <c r="A2966" t="s">
        <v>59</v>
      </c>
      <c r="B2966" t="s">
        <v>31</v>
      </c>
      <c r="C2966" t="s">
        <v>32</v>
      </c>
      <c r="D2966" t="s">
        <v>418</v>
      </c>
      <c r="E2966" t="s">
        <v>3482</v>
      </c>
      <c r="F2966" t="s">
        <v>35</v>
      </c>
      <c r="G2966" t="s">
        <v>35</v>
      </c>
      <c r="H2966" t="s">
        <v>35</v>
      </c>
      <c r="J2966" t="s">
        <v>3486</v>
      </c>
      <c r="K2966" t="s">
        <v>1092</v>
      </c>
      <c r="M2966">
        <v>1.26</v>
      </c>
      <c r="N2966">
        <v>1426</v>
      </c>
      <c r="O2966" t="s">
        <v>575</v>
      </c>
      <c r="Q2966" t="s">
        <v>3488</v>
      </c>
      <c r="R2966" t="s">
        <v>3470</v>
      </c>
      <c r="S2966" t="s">
        <v>420</v>
      </c>
    </row>
    <row r="2967" spans="1:19" x14ac:dyDescent="0.25">
      <c r="A2967" t="s">
        <v>30</v>
      </c>
      <c r="B2967" t="s">
        <v>31</v>
      </c>
      <c r="C2967" t="s">
        <v>32</v>
      </c>
      <c r="D2967" t="s">
        <v>418</v>
      </c>
      <c r="E2967" t="s">
        <v>3482</v>
      </c>
      <c r="F2967" t="s">
        <v>35</v>
      </c>
      <c r="G2967" t="s">
        <v>35</v>
      </c>
      <c r="H2967" t="s">
        <v>35</v>
      </c>
      <c r="J2967" t="s">
        <v>3489</v>
      </c>
      <c r="K2967" t="s">
        <v>404</v>
      </c>
      <c r="M2967">
        <v>5.13</v>
      </c>
      <c r="N2967">
        <v>118</v>
      </c>
      <c r="O2967" t="s">
        <v>106</v>
      </c>
      <c r="Q2967" t="s">
        <v>1469</v>
      </c>
      <c r="R2967" t="s">
        <v>3462</v>
      </c>
      <c r="S2967" t="s">
        <v>427</v>
      </c>
    </row>
    <row r="2968" spans="1:19" x14ac:dyDescent="0.25">
      <c r="A2968" t="s">
        <v>59</v>
      </c>
      <c r="B2968" t="s">
        <v>31</v>
      </c>
      <c r="C2968" t="s">
        <v>32</v>
      </c>
      <c r="D2968" t="s">
        <v>418</v>
      </c>
      <c r="E2968" t="s">
        <v>3482</v>
      </c>
      <c r="F2968" t="s">
        <v>35</v>
      </c>
      <c r="G2968" t="s">
        <v>35</v>
      </c>
      <c r="H2968" t="s">
        <v>35</v>
      </c>
      <c r="J2968" t="s">
        <v>3489</v>
      </c>
      <c r="K2968" t="s">
        <v>404</v>
      </c>
      <c r="M2968">
        <v>9.99</v>
      </c>
      <c r="N2968">
        <v>62</v>
      </c>
      <c r="O2968" t="s">
        <v>61</v>
      </c>
      <c r="Q2968" t="s">
        <v>90</v>
      </c>
      <c r="R2968" t="s">
        <v>3462</v>
      </c>
      <c r="S2968" t="s">
        <v>427</v>
      </c>
    </row>
    <row r="2969" spans="1:19" x14ac:dyDescent="0.25">
      <c r="A2969" t="s">
        <v>44</v>
      </c>
      <c r="B2969" t="s">
        <v>51</v>
      </c>
      <c r="C2969" t="s">
        <v>32</v>
      </c>
      <c r="D2969" t="s">
        <v>418</v>
      </c>
      <c r="E2969" t="s">
        <v>3482</v>
      </c>
      <c r="F2969" t="s">
        <v>35</v>
      </c>
      <c r="G2969" t="s">
        <v>35</v>
      </c>
      <c r="H2969" t="s">
        <v>35</v>
      </c>
      <c r="J2969" t="s">
        <v>3489</v>
      </c>
      <c r="K2969" t="s">
        <v>404</v>
      </c>
      <c r="M2969">
        <v>10</v>
      </c>
      <c r="N2969">
        <v>62</v>
      </c>
      <c r="O2969" t="s">
        <v>61</v>
      </c>
      <c r="Q2969" t="s">
        <v>90</v>
      </c>
      <c r="R2969" t="s">
        <v>3462</v>
      </c>
      <c r="S2969" t="s">
        <v>427</v>
      </c>
    </row>
    <row r="2970" spans="1:19" x14ac:dyDescent="0.25">
      <c r="A2970" t="s">
        <v>59</v>
      </c>
      <c r="B2970" t="s">
        <v>31</v>
      </c>
      <c r="C2970" t="s">
        <v>32</v>
      </c>
      <c r="D2970" t="s">
        <v>418</v>
      </c>
      <c r="E2970" t="s">
        <v>3482</v>
      </c>
      <c r="F2970" t="s">
        <v>35</v>
      </c>
      <c r="G2970" t="s">
        <v>35</v>
      </c>
      <c r="H2970" t="s">
        <v>35</v>
      </c>
      <c r="J2970" t="s">
        <v>3489</v>
      </c>
      <c r="K2970" t="s">
        <v>404</v>
      </c>
      <c r="M2970">
        <v>5.7149999999999999</v>
      </c>
      <c r="N2970">
        <v>132</v>
      </c>
      <c r="O2970" t="s">
        <v>38</v>
      </c>
      <c r="Q2970" t="s">
        <v>2901</v>
      </c>
      <c r="R2970" t="s">
        <v>3462</v>
      </c>
      <c r="S2970" t="s">
        <v>427</v>
      </c>
    </row>
    <row r="2971" spans="1:19" x14ac:dyDescent="0.25">
      <c r="A2971" t="s">
        <v>30</v>
      </c>
      <c r="B2971" t="s">
        <v>31</v>
      </c>
      <c r="C2971" t="s">
        <v>32</v>
      </c>
      <c r="D2971" t="s">
        <v>418</v>
      </c>
      <c r="E2971" t="s">
        <v>3490</v>
      </c>
      <c r="F2971" t="s">
        <v>35</v>
      </c>
      <c r="G2971" t="s">
        <v>35</v>
      </c>
      <c r="H2971" t="s">
        <v>35</v>
      </c>
      <c r="J2971" t="s">
        <v>3491</v>
      </c>
      <c r="K2971" t="s">
        <v>1092</v>
      </c>
      <c r="M2971">
        <v>0.18</v>
      </c>
      <c r="N2971">
        <v>44</v>
      </c>
      <c r="O2971" t="s">
        <v>52</v>
      </c>
      <c r="Q2971" t="s">
        <v>192</v>
      </c>
      <c r="R2971" t="s">
        <v>3462</v>
      </c>
      <c r="S2971" t="s">
        <v>427</v>
      </c>
    </row>
    <row r="2972" spans="1:19" x14ac:dyDescent="0.25">
      <c r="A2972" t="s">
        <v>59</v>
      </c>
      <c r="B2972" t="s">
        <v>31</v>
      </c>
      <c r="C2972" t="s">
        <v>32</v>
      </c>
      <c r="D2972" t="s">
        <v>418</v>
      </c>
      <c r="E2972" t="s">
        <v>3490</v>
      </c>
      <c r="F2972" t="s">
        <v>35</v>
      </c>
      <c r="G2972" t="s">
        <v>35</v>
      </c>
      <c r="H2972" t="s">
        <v>35</v>
      </c>
      <c r="J2972" t="s">
        <v>3492</v>
      </c>
      <c r="K2972" t="s">
        <v>1092</v>
      </c>
      <c r="M2972">
        <v>3.645</v>
      </c>
      <c r="N2972">
        <v>936</v>
      </c>
      <c r="O2972" t="s">
        <v>575</v>
      </c>
      <c r="Q2972" t="s">
        <v>3493</v>
      </c>
      <c r="R2972" t="s">
        <v>3462</v>
      </c>
      <c r="S2972" t="s">
        <v>427</v>
      </c>
    </row>
    <row r="2973" spans="1:19" x14ac:dyDescent="0.25">
      <c r="A2973" t="s">
        <v>59</v>
      </c>
      <c r="B2973" t="s">
        <v>31</v>
      </c>
      <c r="C2973" t="s">
        <v>32</v>
      </c>
      <c r="D2973" t="s">
        <v>418</v>
      </c>
      <c r="E2973" t="s">
        <v>3490</v>
      </c>
      <c r="F2973" t="s">
        <v>35</v>
      </c>
      <c r="G2973" t="s">
        <v>35</v>
      </c>
      <c r="H2973" t="s">
        <v>35</v>
      </c>
      <c r="J2973" t="s">
        <v>3494</v>
      </c>
      <c r="K2973" t="s">
        <v>1092</v>
      </c>
      <c r="M2973">
        <v>4.1849999999999996</v>
      </c>
      <c r="N2973">
        <v>46</v>
      </c>
      <c r="O2973" t="s">
        <v>52</v>
      </c>
      <c r="Q2973" t="s">
        <v>493</v>
      </c>
      <c r="R2973" t="s">
        <v>76</v>
      </c>
      <c r="S2973" t="s">
        <v>77</v>
      </c>
    </row>
    <row r="2974" spans="1:19" x14ac:dyDescent="0.25">
      <c r="A2974" t="s">
        <v>44</v>
      </c>
      <c r="B2974" t="s">
        <v>51</v>
      </c>
      <c r="C2974" t="s">
        <v>32</v>
      </c>
      <c r="D2974" t="s">
        <v>418</v>
      </c>
      <c r="E2974" t="s">
        <v>3496</v>
      </c>
      <c r="F2974" t="s">
        <v>35</v>
      </c>
      <c r="G2974" t="s">
        <v>35</v>
      </c>
      <c r="H2974" t="s">
        <v>35</v>
      </c>
      <c r="J2974" t="s">
        <v>3497</v>
      </c>
      <c r="K2974" t="s">
        <v>404</v>
      </c>
      <c r="M2974">
        <v>10</v>
      </c>
      <c r="N2974">
        <v>57</v>
      </c>
      <c r="O2974" t="s">
        <v>52</v>
      </c>
      <c r="Q2974" t="s">
        <v>665</v>
      </c>
      <c r="R2974" t="s">
        <v>3462</v>
      </c>
      <c r="S2974" t="s">
        <v>427</v>
      </c>
    </row>
    <row r="2975" spans="1:19" x14ac:dyDescent="0.25">
      <c r="A2975" t="s">
        <v>30</v>
      </c>
      <c r="B2975" t="s">
        <v>31</v>
      </c>
      <c r="C2975" t="s">
        <v>32</v>
      </c>
      <c r="D2975" t="s">
        <v>418</v>
      </c>
      <c r="E2975" t="s">
        <v>3496</v>
      </c>
      <c r="F2975" t="s">
        <v>35</v>
      </c>
      <c r="G2975" t="s">
        <v>35</v>
      </c>
      <c r="H2975" t="s">
        <v>35</v>
      </c>
      <c r="J2975" t="s">
        <v>3497</v>
      </c>
      <c r="K2975" t="s">
        <v>404</v>
      </c>
      <c r="M2975">
        <v>12.69</v>
      </c>
      <c r="N2975">
        <v>44</v>
      </c>
      <c r="O2975" t="s">
        <v>52</v>
      </c>
      <c r="Q2975" t="s">
        <v>192</v>
      </c>
      <c r="R2975" t="s">
        <v>3462</v>
      </c>
      <c r="S2975" t="s">
        <v>427</v>
      </c>
    </row>
    <row r="2976" spans="1:19" x14ac:dyDescent="0.25">
      <c r="A2976" t="s">
        <v>30</v>
      </c>
      <c r="B2976" t="s">
        <v>31</v>
      </c>
      <c r="C2976" t="s">
        <v>32</v>
      </c>
      <c r="D2976" t="s">
        <v>418</v>
      </c>
      <c r="E2976" t="s">
        <v>419</v>
      </c>
      <c r="F2976" t="s">
        <v>35</v>
      </c>
      <c r="G2976" t="s">
        <v>35</v>
      </c>
      <c r="H2976" t="s">
        <v>35</v>
      </c>
      <c r="J2976" t="s">
        <v>3498</v>
      </c>
      <c r="K2976" t="s">
        <v>1092</v>
      </c>
      <c r="M2976">
        <v>30</v>
      </c>
      <c r="N2976">
        <v>37</v>
      </c>
      <c r="O2976" t="s">
        <v>52</v>
      </c>
      <c r="Q2976" t="s">
        <v>3499</v>
      </c>
      <c r="R2976" t="s">
        <v>3467</v>
      </c>
      <c r="S2976" t="s">
        <v>3468</v>
      </c>
    </row>
    <row r="2977" spans="1:19" x14ac:dyDescent="0.25">
      <c r="A2977" t="s">
        <v>59</v>
      </c>
      <c r="B2977" t="s">
        <v>60</v>
      </c>
      <c r="C2977" t="s">
        <v>32</v>
      </c>
      <c r="D2977" t="s">
        <v>418</v>
      </c>
      <c r="E2977" t="s">
        <v>419</v>
      </c>
      <c r="F2977" t="s">
        <v>35</v>
      </c>
      <c r="G2977" t="s">
        <v>35</v>
      </c>
      <c r="H2977" t="s">
        <v>35</v>
      </c>
      <c r="J2977" t="s">
        <v>3498</v>
      </c>
      <c r="K2977" t="s">
        <v>1092</v>
      </c>
      <c r="M2977">
        <v>5.7</v>
      </c>
      <c r="N2977">
        <v>38</v>
      </c>
      <c r="O2977" t="s">
        <v>52</v>
      </c>
      <c r="Q2977" t="s">
        <v>748</v>
      </c>
      <c r="R2977" t="s">
        <v>3467</v>
      </c>
      <c r="S2977" t="s">
        <v>3468</v>
      </c>
    </row>
    <row r="2978" spans="1:19" x14ac:dyDescent="0.25">
      <c r="A2978" t="s">
        <v>30</v>
      </c>
      <c r="B2978" t="s">
        <v>31</v>
      </c>
      <c r="C2978" t="s">
        <v>32</v>
      </c>
      <c r="D2978" t="s">
        <v>418</v>
      </c>
      <c r="E2978" t="s">
        <v>419</v>
      </c>
      <c r="F2978" t="s">
        <v>35</v>
      </c>
      <c r="G2978" t="s">
        <v>35</v>
      </c>
      <c r="H2978" t="s">
        <v>35</v>
      </c>
      <c r="J2978" t="s">
        <v>3498</v>
      </c>
      <c r="K2978" t="s">
        <v>1092</v>
      </c>
      <c r="M2978">
        <v>15.145</v>
      </c>
      <c r="N2978">
        <v>38</v>
      </c>
      <c r="O2978" t="s">
        <v>52</v>
      </c>
      <c r="Q2978" t="s">
        <v>748</v>
      </c>
      <c r="R2978" t="s">
        <v>3467</v>
      </c>
      <c r="S2978" t="s">
        <v>3468</v>
      </c>
    </row>
    <row r="2979" spans="1:19" x14ac:dyDescent="0.25">
      <c r="A2979" t="s">
        <v>30</v>
      </c>
      <c r="B2979" t="s">
        <v>31</v>
      </c>
      <c r="C2979" t="s">
        <v>32</v>
      </c>
      <c r="D2979" t="s">
        <v>418</v>
      </c>
      <c r="E2979" t="s">
        <v>419</v>
      </c>
      <c r="F2979" t="s">
        <v>35</v>
      </c>
      <c r="G2979" t="s">
        <v>35</v>
      </c>
      <c r="H2979" t="s">
        <v>35</v>
      </c>
      <c r="J2979" t="s">
        <v>3498</v>
      </c>
      <c r="K2979" t="s">
        <v>1092</v>
      </c>
      <c r="M2979">
        <v>24.47</v>
      </c>
      <c r="N2979">
        <v>13</v>
      </c>
      <c r="O2979" t="s">
        <v>46</v>
      </c>
      <c r="Q2979" t="s">
        <v>310</v>
      </c>
      <c r="R2979" t="s">
        <v>3467</v>
      </c>
      <c r="S2979" t="s">
        <v>3468</v>
      </c>
    </row>
    <row r="2980" spans="1:19" x14ac:dyDescent="0.25">
      <c r="A2980" t="s">
        <v>59</v>
      </c>
      <c r="B2980" t="s">
        <v>60</v>
      </c>
      <c r="C2980" t="s">
        <v>32</v>
      </c>
      <c r="D2980" t="s">
        <v>418</v>
      </c>
      <c r="E2980" t="s">
        <v>419</v>
      </c>
      <c r="F2980" t="s">
        <v>35</v>
      </c>
      <c r="G2980" t="s">
        <v>35</v>
      </c>
      <c r="H2980" t="s">
        <v>35</v>
      </c>
      <c r="J2980" t="s">
        <v>3498</v>
      </c>
      <c r="K2980" t="s">
        <v>1092</v>
      </c>
      <c r="M2980">
        <v>25</v>
      </c>
      <c r="N2980">
        <v>13</v>
      </c>
      <c r="O2980" t="s">
        <v>46</v>
      </c>
      <c r="Q2980" t="s">
        <v>310</v>
      </c>
      <c r="R2980" t="s">
        <v>3467</v>
      </c>
      <c r="S2980" t="s">
        <v>3468</v>
      </c>
    </row>
    <row r="2981" spans="1:19" x14ac:dyDescent="0.25">
      <c r="A2981" t="s">
        <v>44</v>
      </c>
      <c r="B2981" t="s">
        <v>51</v>
      </c>
      <c r="C2981" t="s">
        <v>32</v>
      </c>
      <c r="D2981" t="s">
        <v>418</v>
      </c>
      <c r="E2981" t="s">
        <v>419</v>
      </c>
      <c r="F2981" t="s">
        <v>35</v>
      </c>
      <c r="G2981" t="s">
        <v>35</v>
      </c>
      <c r="H2981" t="s">
        <v>35</v>
      </c>
      <c r="J2981" t="s">
        <v>3498</v>
      </c>
      <c r="K2981" t="s">
        <v>1092</v>
      </c>
      <c r="M2981">
        <v>11.65</v>
      </c>
      <c r="N2981">
        <v>37</v>
      </c>
      <c r="O2981" t="s">
        <v>52</v>
      </c>
      <c r="Q2981" t="s">
        <v>3499</v>
      </c>
      <c r="R2981" t="s">
        <v>3467</v>
      </c>
      <c r="S2981" t="s">
        <v>3468</v>
      </c>
    </row>
    <row r="2982" spans="1:19" x14ac:dyDescent="0.25">
      <c r="A2982" t="s">
        <v>59</v>
      </c>
      <c r="B2982" t="s">
        <v>31</v>
      </c>
      <c r="C2982" t="s">
        <v>32</v>
      </c>
      <c r="D2982" t="s">
        <v>418</v>
      </c>
      <c r="E2982" t="s">
        <v>419</v>
      </c>
      <c r="F2982" t="s">
        <v>35</v>
      </c>
      <c r="G2982" t="s">
        <v>35</v>
      </c>
      <c r="H2982" t="s">
        <v>35</v>
      </c>
      <c r="J2982" t="s">
        <v>3498</v>
      </c>
      <c r="K2982" t="s">
        <v>1092</v>
      </c>
      <c r="M2982">
        <v>27.9</v>
      </c>
      <c r="N2982">
        <v>13</v>
      </c>
      <c r="O2982" t="s">
        <v>46</v>
      </c>
      <c r="Q2982" t="s">
        <v>310</v>
      </c>
      <c r="R2982" t="s">
        <v>3467</v>
      </c>
      <c r="S2982" t="s">
        <v>3468</v>
      </c>
    </row>
    <row r="2983" spans="1:19" x14ac:dyDescent="0.25">
      <c r="A2983" t="s">
        <v>59</v>
      </c>
      <c r="B2983" t="s">
        <v>31</v>
      </c>
      <c r="C2983" t="s">
        <v>32</v>
      </c>
      <c r="D2983" t="s">
        <v>418</v>
      </c>
      <c r="E2983" t="s">
        <v>419</v>
      </c>
      <c r="F2983" t="s">
        <v>35</v>
      </c>
      <c r="G2983" t="s">
        <v>35</v>
      </c>
      <c r="H2983" t="s">
        <v>35</v>
      </c>
      <c r="J2983" t="s">
        <v>3500</v>
      </c>
      <c r="K2983" t="s">
        <v>1092</v>
      </c>
      <c r="M2983">
        <v>0.13500000000000001</v>
      </c>
      <c r="N2983">
        <v>44</v>
      </c>
      <c r="O2983" t="s">
        <v>52</v>
      </c>
      <c r="Q2983" t="s">
        <v>192</v>
      </c>
      <c r="R2983" t="s">
        <v>3462</v>
      </c>
      <c r="S2983" t="s">
        <v>427</v>
      </c>
    </row>
    <row r="2984" spans="1:19" x14ac:dyDescent="0.25">
      <c r="A2984" t="s">
        <v>59</v>
      </c>
      <c r="B2984" t="s">
        <v>31</v>
      </c>
      <c r="C2984" t="s">
        <v>32</v>
      </c>
      <c r="D2984" t="s">
        <v>418</v>
      </c>
      <c r="E2984" t="s">
        <v>419</v>
      </c>
      <c r="F2984" t="s">
        <v>35</v>
      </c>
      <c r="G2984" t="s">
        <v>35</v>
      </c>
      <c r="H2984" t="s">
        <v>35</v>
      </c>
      <c r="J2984" t="s">
        <v>3501</v>
      </c>
      <c r="K2984" t="s">
        <v>1092</v>
      </c>
      <c r="M2984">
        <v>2.7</v>
      </c>
      <c r="N2984">
        <v>41</v>
      </c>
      <c r="O2984" t="s">
        <v>52</v>
      </c>
      <c r="Q2984" t="s">
        <v>249</v>
      </c>
      <c r="R2984" t="s">
        <v>3470</v>
      </c>
      <c r="S2984" t="s">
        <v>420</v>
      </c>
    </row>
    <row r="2985" spans="1:19" x14ac:dyDescent="0.25">
      <c r="A2985" t="s">
        <v>30</v>
      </c>
      <c r="B2985" t="s">
        <v>31</v>
      </c>
      <c r="C2985" t="s">
        <v>32</v>
      </c>
      <c r="D2985" t="s">
        <v>418</v>
      </c>
      <c r="E2985" t="s">
        <v>419</v>
      </c>
      <c r="F2985" t="s">
        <v>35</v>
      </c>
      <c r="G2985" t="s">
        <v>35</v>
      </c>
      <c r="H2985" t="s">
        <v>35</v>
      </c>
      <c r="J2985" t="s">
        <v>3501</v>
      </c>
      <c r="K2985" t="s">
        <v>1092</v>
      </c>
      <c r="M2985">
        <v>0.19</v>
      </c>
      <c r="N2985">
        <v>41</v>
      </c>
      <c r="O2985" t="s">
        <v>52</v>
      </c>
      <c r="Q2985" t="s">
        <v>249</v>
      </c>
      <c r="R2985" t="s">
        <v>3470</v>
      </c>
      <c r="S2985" t="s">
        <v>420</v>
      </c>
    </row>
    <row r="2986" spans="1:19" x14ac:dyDescent="0.25">
      <c r="A2986" t="s">
        <v>30</v>
      </c>
      <c r="B2986" t="s">
        <v>31</v>
      </c>
      <c r="C2986" t="s">
        <v>32</v>
      </c>
      <c r="D2986" t="s">
        <v>418</v>
      </c>
      <c r="E2986" t="s">
        <v>419</v>
      </c>
      <c r="F2986" t="s">
        <v>35</v>
      </c>
      <c r="G2986" t="s">
        <v>35</v>
      </c>
      <c r="H2986" t="s">
        <v>35</v>
      </c>
      <c r="J2986" t="s">
        <v>3502</v>
      </c>
      <c r="K2986" t="s">
        <v>1092</v>
      </c>
      <c r="M2986">
        <v>1.585</v>
      </c>
      <c r="N2986">
        <v>118</v>
      </c>
      <c r="O2986" t="s">
        <v>106</v>
      </c>
      <c r="Q2986" t="s">
        <v>1469</v>
      </c>
      <c r="R2986" t="s">
        <v>76</v>
      </c>
      <c r="S2986" t="s">
        <v>77</v>
      </c>
    </row>
    <row r="2987" spans="1:19" x14ac:dyDescent="0.25">
      <c r="A2987" t="s">
        <v>30</v>
      </c>
      <c r="B2987" t="s">
        <v>31</v>
      </c>
      <c r="C2987" t="s">
        <v>32</v>
      </c>
      <c r="D2987" t="s">
        <v>418</v>
      </c>
      <c r="E2987" t="s">
        <v>419</v>
      </c>
      <c r="F2987" t="s">
        <v>35</v>
      </c>
      <c r="G2987" t="s">
        <v>35</v>
      </c>
      <c r="H2987" t="s">
        <v>35</v>
      </c>
      <c r="J2987" t="s">
        <v>3503</v>
      </c>
      <c r="K2987" t="s">
        <v>1092</v>
      </c>
      <c r="M2987">
        <v>5.0000000000000001E-3</v>
      </c>
      <c r="N2987">
        <v>223</v>
      </c>
      <c r="O2987" t="s">
        <v>5</v>
      </c>
      <c r="Q2987" t="s">
        <v>3310</v>
      </c>
      <c r="R2987" t="s">
        <v>3467</v>
      </c>
      <c r="S2987" t="s">
        <v>3468</v>
      </c>
    </row>
    <row r="2988" spans="1:19" x14ac:dyDescent="0.25">
      <c r="A2988" t="s">
        <v>44</v>
      </c>
      <c r="B2988" t="s">
        <v>51</v>
      </c>
      <c r="C2988" t="s">
        <v>32</v>
      </c>
      <c r="D2988" t="s">
        <v>418</v>
      </c>
      <c r="E2988" t="s">
        <v>419</v>
      </c>
      <c r="F2988" t="s">
        <v>35</v>
      </c>
      <c r="G2988" t="s">
        <v>35</v>
      </c>
      <c r="H2988" t="s">
        <v>35</v>
      </c>
      <c r="J2988" t="s">
        <v>3504</v>
      </c>
      <c r="K2988" t="s">
        <v>1092</v>
      </c>
      <c r="M2988">
        <v>5.3</v>
      </c>
      <c r="N2988">
        <v>62</v>
      </c>
      <c r="O2988" t="s">
        <v>61</v>
      </c>
      <c r="Q2988" t="s">
        <v>90</v>
      </c>
      <c r="R2988" t="s">
        <v>3462</v>
      </c>
      <c r="S2988" t="s">
        <v>427</v>
      </c>
    </row>
    <row r="2989" spans="1:19" x14ac:dyDescent="0.25">
      <c r="A2989" t="s">
        <v>59</v>
      </c>
      <c r="B2989" t="s">
        <v>31</v>
      </c>
      <c r="C2989" t="s">
        <v>32</v>
      </c>
      <c r="D2989" t="s">
        <v>418</v>
      </c>
      <c r="E2989" t="s">
        <v>419</v>
      </c>
      <c r="F2989" t="s">
        <v>35</v>
      </c>
      <c r="G2989" t="s">
        <v>35</v>
      </c>
      <c r="H2989" t="s">
        <v>35</v>
      </c>
      <c r="J2989" t="s">
        <v>3504</v>
      </c>
      <c r="K2989" t="s">
        <v>1092</v>
      </c>
      <c r="M2989">
        <v>2.52</v>
      </c>
      <c r="N2989">
        <v>62</v>
      </c>
      <c r="O2989" t="s">
        <v>61</v>
      </c>
      <c r="Q2989" t="s">
        <v>90</v>
      </c>
      <c r="R2989" t="s">
        <v>3462</v>
      </c>
      <c r="S2989" t="s">
        <v>427</v>
      </c>
    </row>
    <row r="2990" spans="1:19" x14ac:dyDescent="0.25">
      <c r="A2990" t="s">
        <v>59</v>
      </c>
      <c r="B2990" t="s">
        <v>31</v>
      </c>
      <c r="C2990" t="s">
        <v>32</v>
      </c>
      <c r="D2990" t="s">
        <v>418</v>
      </c>
      <c r="E2990" t="s">
        <v>3505</v>
      </c>
      <c r="F2990" t="s">
        <v>35</v>
      </c>
      <c r="G2990" t="s">
        <v>35</v>
      </c>
      <c r="H2990" t="s">
        <v>35</v>
      </c>
      <c r="J2990" t="s">
        <v>3506</v>
      </c>
      <c r="K2990" t="s">
        <v>1092</v>
      </c>
      <c r="M2990">
        <v>1.08</v>
      </c>
      <c r="N2990">
        <v>91</v>
      </c>
      <c r="O2990" t="s">
        <v>106</v>
      </c>
      <c r="Q2990" t="s">
        <v>1147</v>
      </c>
      <c r="R2990" t="s">
        <v>76</v>
      </c>
      <c r="S2990" t="s">
        <v>77</v>
      </c>
    </row>
    <row r="2991" spans="1:19" x14ac:dyDescent="0.25">
      <c r="A2991" t="s">
        <v>44</v>
      </c>
      <c r="B2991" t="s">
        <v>51</v>
      </c>
      <c r="C2991" t="s">
        <v>32</v>
      </c>
      <c r="D2991" t="s">
        <v>418</v>
      </c>
      <c r="E2991" t="s">
        <v>3505</v>
      </c>
      <c r="F2991" t="s">
        <v>35</v>
      </c>
      <c r="G2991" t="s">
        <v>35</v>
      </c>
      <c r="H2991" t="s">
        <v>35</v>
      </c>
      <c r="J2991" t="s">
        <v>3507</v>
      </c>
      <c r="K2991" t="s">
        <v>404</v>
      </c>
      <c r="M2991">
        <v>10</v>
      </c>
      <c r="N2991">
        <v>62</v>
      </c>
      <c r="O2991" t="s">
        <v>61</v>
      </c>
      <c r="Q2991" t="s">
        <v>90</v>
      </c>
      <c r="R2991" t="s">
        <v>3462</v>
      </c>
      <c r="S2991" t="s">
        <v>427</v>
      </c>
    </row>
    <row r="2992" spans="1:19" x14ac:dyDescent="0.25">
      <c r="A2992" t="s">
        <v>59</v>
      </c>
      <c r="B2992" t="s">
        <v>31</v>
      </c>
      <c r="C2992" t="s">
        <v>32</v>
      </c>
      <c r="D2992" t="s">
        <v>418</v>
      </c>
      <c r="E2992" t="s">
        <v>3505</v>
      </c>
      <c r="F2992" t="s">
        <v>35</v>
      </c>
      <c r="G2992" t="s">
        <v>35</v>
      </c>
      <c r="H2992" t="s">
        <v>35</v>
      </c>
      <c r="J2992" t="s">
        <v>3507</v>
      </c>
      <c r="K2992" t="s">
        <v>404</v>
      </c>
      <c r="M2992">
        <v>8.01</v>
      </c>
      <c r="N2992">
        <v>62</v>
      </c>
      <c r="O2992" t="s">
        <v>61</v>
      </c>
      <c r="Q2992" t="s">
        <v>90</v>
      </c>
      <c r="R2992" t="s">
        <v>3462</v>
      </c>
      <c r="S2992" t="s">
        <v>427</v>
      </c>
    </row>
    <row r="2993" spans="1:19" x14ac:dyDescent="0.25">
      <c r="A2993" t="s">
        <v>30</v>
      </c>
      <c r="B2993" t="s">
        <v>31</v>
      </c>
      <c r="C2993" t="s">
        <v>32</v>
      </c>
      <c r="D2993" t="s">
        <v>418</v>
      </c>
      <c r="E2993" t="s">
        <v>3505</v>
      </c>
      <c r="F2993" t="s">
        <v>35</v>
      </c>
      <c r="G2993" t="s">
        <v>35</v>
      </c>
      <c r="H2993" t="s">
        <v>35</v>
      </c>
      <c r="J2993" t="s">
        <v>3508</v>
      </c>
      <c r="K2993" t="s">
        <v>1092</v>
      </c>
      <c r="M2993">
        <v>4</v>
      </c>
      <c r="N2993">
        <v>39</v>
      </c>
      <c r="O2993" t="s">
        <v>52</v>
      </c>
      <c r="Q2993" t="s">
        <v>816</v>
      </c>
      <c r="R2993" t="s">
        <v>3470</v>
      </c>
      <c r="S2993" t="s">
        <v>420</v>
      </c>
    </row>
    <row r="2994" spans="1:19" x14ac:dyDescent="0.25">
      <c r="A2994" t="s">
        <v>30</v>
      </c>
      <c r="B2994" t="s">
        <v>31</v>
      </c>
      <c r="C2994" t="s">
        <v>32</v>
      </c>
      <c r="D2994" t="s">
        <v>418</v>
      </c>
      <c r="E2994" t="s">
        <v>3509</v>
      </c>
      <c r="F2994" t="s">
        <v>35</v>
      </c>
      <c r="G2994" t="s">
        <v>35</v>
      </c>
      <c r="H2994" t="s">
        <v>35</v>
      </c>
      <c r="J2994" t="s">
        <v>3510</v>
      </c>
      <c r="K2994" t="s">
        <v>1092</v>
      </c>
      <c r="M2994">
        <v>3.5000000000000003E-2</v>
      </c>
      <c r="N2994">
        <v>131</v>
      </c>
      <c r="O2994" t="s">
        <v>38</v>
      </c>
      <c r="Q2994" t="s">
        <v>646</v>
      </c>
      <c r="R2994" t="s">
        <v>3462</v>
      </c>
      <c r="S2994" t="s">
        <v>427</v>
      </c>
    </row>
    <row r="2995" spans="1:19" x14ac:dyDescent="0.25">
      <c r="A2995" t="s">
        <v>59</v>
      </c>
      <c r="B2995" t="s">
        <v>31</v>
      </c>
      <c r="C2995" t="s">
        <v>32</v>
      </c>
      <c r="D2995" t="s">
        <v>418</v>
      </c>
      <c r="F2995" t="s">
        <v>35</v>
      </c>
      <c r="G2995" t="s">
        <v>35</v>
      </c>
      <c r="H2995" t="s">
        <v>35</v>
      </c>
      <c r="J2995" t="s">
        <v>3511</v>
      </c>
      <c r="K2995" t="s">
        <v>1092</v>
      </c>
      <c r="M2995">
        <v>1.3049999999999999</v>
      </c>
      <c r="N2995">
        <v>44</v>
      </c>
      <c r="O2995" t="s">
        <v>52</v>
      </c>
      <c r="Q2995" t="s">
        <v>192</v>
      </c>
      <c r="R2995" t="s">
        <v>3462</v>
      </c>
      <c r="S2995" t="s">
        <v>427</v>
      </c>
    </row>
    <row r="2996" spans="1:19" x14ac:dyDescent="0.25">
      <c r="A2996" t="s">
        <v>30</v>
      </c>
      <c r="B2996" t="s">
        <v>31</v>
      </c>
      <c r="C2996" t="s">
        <v>32</v>
      </c>
      <c r="D2996" t="s">
        <v>418</v>
      </c>
      <c r="F2996" t="s">
        <v>35</v>
      </c>
      <c r="G2996" t="s">
        <v>35</v>
      </c>
      <c r="H2996" t="s">
        <v>35</v>
      </c>
      <c r="J2996" t="s">
        <v>3512</v>
      </c>
      <c r="K2996" t="s">
        <v>1092</v>
      </c>
      <c r="M2996">
        <v>12.375</v>
      </c>
      <c r="N2996">
        <v>31</v>
      </c>
      <c r="O2996" t="s">
        <v>52</v>
      </c>
      <c r="Q2996" t="s">
        <v>972</v>
      </c>
      <c r="R2996" t="s">
        <v>3462</v>
      </c>
      <c r="S2996" t="s">
        <v>427</v>
      </c>
    </row>
    <row r="2997" spans="1:19" x14ac:dyDescent="0.25">
      <c r="A2997" t="s">
        <v>59</v>
      </c>
      <c r="B2997" t="s">
        <v>31</v>
      </c>
      <c r="C2997" t="s">
        <v>32</v>
      </c>
      <c r="D2997" t="s">
        <v>418</v>
      </c>
      <c r="F2997" t="s">
        <v>35</v>
      </c>
      <c r="G2997" t="s">
        <v>35</v>
      </c>
      <c r="H2997" t="s">
        <v>35</v>
      </c>
      <c r="J2997" t="s">
        <v>3513</v>
      </c>
      <c r="K2997" t="s">
        <v>404</v>
      </c>
      <c r="M2997">
        <v>4.4999999999999998E-2</v>
      </c>
      <c r="N2997">
        <v>1348</v>
      </c>
      <c r="O2997" t="s">
        <v>575</v>
      </c>
      <c r="Q2997" t="s">
        <v>3514</v>
      </c>
      <c r="R2997" t="s">
        <v>3462</v>
      </c>
      <c r="S2997" t="s">
        <v>427</v>
      </c>
    </row>
    <row r="2998" spans="1:19" x14ac:dyDescent="0.25">
      <c r="A2998" t="s">
        <v>44</v>
      </c>
      <c r="B2998" t="s">
        <v>51</v>
      </c>
      <c r="C2998" t="s">
        <v>32</v>
      </c>
      <c r="D2998" t="s">
        <v>418</v>
      </c>
      <c r="F2998" t="s">
        <v>35</v>
      </c>
      <c r="G2998" t="s">
        <v>35</v>
      </c>
      <c r="H2998" t="s">
        <v>35</v>
      </c>
      <c r="J2998" t="s">
        <v>3515</v>
      </c>
      <c r="K2998" t="s">
        <v>1092</v>
      </c>
      <c r="M2998">
        <v>10</v>
      </c>
      <c r="N2998">
        <v>44</v>
      </c>
      <c r="O2998" t="s">
        <v>52</v>
      </c>
      <c r="Q2998" t="s">
        <v>192</v>
      </c>
      <c r="R2998" t="s">
        <v>3462</v>
      </c>
      <c r="S2998" t="s">
        <v>427</v>
      </c>
    </row>
    <row r="2999" spans="1:19" x14ac:dyDescent="0.25">
      <c r="A2999" t="s">
        <v>30</v>
      </c>
      <c r="B2999" t="s">
        <v>31</v>
      </c>
      <c r="C2999" t="s">
        <v>32</v>
      </c>
      <c r="D2999" t="s">
        <v>418</v>
      </c>
      <c r="F2999" t="s">
        <v>35</v>
      </c>
      <c r="G2999" t="s">
        <v>35</v>
      </c>
      <c r="H2999" t="s">
        <v>35</v>
      </c>
      <c r="J2999" t="s">
        <v>3515</v>
      </c>
      <c r="K2999" t="s">
        <v>1092</v>
      </c>
      <c r="M2999">
        <v>13.23</v>
      </c>
      <c r="N2999">
        <v>44</v>
      </c>
      <c r="O2999" t="s">
        <v>52</v>
      </c>
      <c r="Q2999" t="s">
        <v>192</v>
      </c>
      <c r="R2999" t="s">
        <v>3462</v>
      </c>
      <c r="S2999" t="s">
        <v>427</v>
      </c>
    </row>
    <row r="3000" spans="1:19" x14ac:dyDescent="0.25">
      <c r="A3000" t="s">
        <v>30</v>
      </c>
      <c r="B3000" t="s">
        <v>31</v>
      </c>
      <c r="C3000" t="s">
        <v>32</v>
      </c>
      <c r="D3000" t="s">
        <v>448</v>
      </c>
      <c r="E3000" t="s">
        <v>449</v>
      </c>
      <c r="F3000" t="s">
        <v>35</v>
      </c>
      <c r="G3000" t="s">
        <v>35</v>
      </c>
      <c r="H3000" t="s">
        <v>35</v>
      </c>
      <c r="J3000" t="s">
        <v>3516</v>
      </c>
      <c r="K3000" t="s">
        <v>1092</v>
      </c>
      <c r="M3000">
        <v>0.54</v>
      </c>
      <c r="N3000">
        <v>53</v>
      </c>
      <c r="O3000" t="s">
        <v>52</v>
      </c>
      <c r="Q3000" t="s">
        <v>332</v>
      </c>
      <c r="R3000" t="s">
        <v>3517</v>
      </c>
      <c r="S3000" t="s">
        <v>450</v>
      </c>
    </row>
    <row r="3001" spans="1:19" x14ac:dyDescent="0.25">
      <c r="A3001" t="s">
        <v>59</v>
      </c>
      <c r="B3001" t="s">
        <v>60</v>
      </c>
      <c r="C3001" t="s">
        <v>32</v>
      </c>
      <c r="D3001" t="s">
        <v>448</v>
      </c>
      <c r="E3001" t="s">
        <v>449</v>
      </c>
      <c r="F3001" t="s">
        <v>35</v>
      </c>
      <c r="G3001" t="s">
        <v>35</v>
      </c>
      <c r="H3001" t="s">
        <v>35</v>
      </c>
      <c r="J3001" t="s">
        <v>3516</v>
      </c>
      <c r="K3001" t="s">
        <v>1092</v>
      </c>
      <c r="M3001">
        <v>0.25</v>
      </c>
      <c r="N3001">
        <v>75</v>
      </c>
      <c r="O3001" t="s">
        <v>61</v>
      </c>
      <c r="Q3001" t="s">
        <v>805</v>
      </c>
      <c r="R3001" t="s">
        <v>3517</v>
      </c>
      <c r="S3001" t="s">
        <v>450</v>
      </c>
    </row>
    <row r="3002" spans="1:19" x14ac:dyDescent="0.25">
      <c r="A3002" t="s">
        <v>59</v>
      </c>
      <c r="B3002" t="s">
        <v>31</v>
      </c>
      <c r="C3002" t="s">
        <v>32</v>
      </c>
      <c r="D3002" t="s">
        <v>448</v>
      </c>
      <c r="E3002" t="s">
        <v>449</v>
      </c>
      <c r="F3002" t="s">
        <v>35</v>
      </c>
      <c r="G3002" t="s">
        <v>35</v>
      </c>
      <c r="H3002" t="s">
        <v>35</v>
      </c>
      <c r="J3002" t="s">
        <v>3518</v>
      </c>
      <c r="K3002" t="s">
        <v>1092</v>
      </c>
      <c r="M3002">
        <v>2.0249999999999999</v>
      </c>
      <c r="N3002">
        <v>77</v>
      </c>
      <c r="O3002" t="s">
        <v>61</v>
      </c>
      <c r="Q3002" t="s">
        <v>305</v>
      </c>
      <c r="R3002" t="s">
        <v>3517</v>
      </c>
      <c r="S3002" t="s">
        <v>450</v>
      </c>
    </row>
    <row r="3003" spans="1:19" x14ac:dyDescent="0.25">
      <c r="A3003" t="s">
        <v>59</v>
      </c>
      <c r="B3003" t="s">
        <v>60</v>
      </c>
      <c r="C3003" t="s">
        <v>32</v>
      </c>
      <c r="D3003" t="s">
        <v>448</v>
      </c>
      <c r="E3003" t="s">
        <v>449</v>
      </c>
      <c r="F3003" t="s">
        <v>35</v>
      </c>
      <c r="G3003" t="s">
        <v>35</v>
      </c>
      <c r="H3003" t="s">
        <v>35</v>
      </c>
      <c r="J3003" t="s">
        <v>3519</v>
      </c>
      <c r="K3003" t="s">
        <v>1092</v>
      </c>
      <c r="M3003">
        <v>0.75</v>
      </c>
      <c r="N3003">
        <v>476</v>
      </c>
      <c r="O3003" t="s">
        <v>294</v>
      </c>
      <c r="Q3003" t="s">
        <v>3520</v>
      </c>
      <c r="R3003" t="s">
        <v>3521</v>
      </c>
      <c r="S3003" t="s">
        <v>3522</v>
      </c>
    </row>
    <row r="3004" spans="1:19" x14ac:dyDescent="0.25">
      <c r="A3004" t="s">
        <v>30</v>
      </c>
      <c r="B3004" t="s">
        <v>31</v>
      </c>
      <c r="C3004" t="s">
        <v>32</v>
      </c>
      <c r="D3004" t="s">
        <v>448</v>
      </c>
      <c r="E3004" t="s">
        <v>449</v>
      </c>
      <c r="F3004" t="s">
        <v>35</v>
      </c>
      <c r="G3004" t="s">
        <v>35</v>
      </c>
      <c r="H3004" t="s">
        <v>35</v>
      </c>
      <c r="J3004" t="s">
        <v>3523</v>
      </c>
      <c r="K3004" t="s">
        <v>1092</v>
      </c>
      <c r="M3004">
        <v>4.68</v>
      </c>
      <c r="N3004">
        <v>53</v>
      </c>
      <c r="O3004" t="s">
        <v>52</v>
      </c>
      <c r="Q3004" t="s">
        <v>332</v>
      </c>
      <c r="R3004" t="s">
        <v>324</v>
      </c>
      <c r="S3004" t="s">
        <v>325</v>
      </c>
    </row>
    <row r="3005" spans="1:19" x14ac:dyDescent="0.25">
      <c r="A3005" t="s">
        <v>30</v>
      </c>
      <c r="B3005" t="s">
        <v>31</v>
      </c>
      <c r="C3005" t="s">
        <v>32</v>
      </c>
      <c r="D3005" t="s">
        <v>448</v>
      </c>
      <c r="E3005" t="s">
        <v>449</v>
      </c>
      <c r="F3005" t="s">
        <v>35</v>
      </c>
      <c r="G3005" t="s">
        <v>35</v>
      </c>
      <c r="H3005" t="s">
        <v>35</v>
      </c>
      <c r="J3005" t="s">
        <v>3524</v>
      </c>
      <c r="K3005" t="s">
        <v>1092</v>
      </c>
      <c r="M3005">
        <v>6.21</v>
      </c>
      <c r="N3005">
        <v>53</v>
      </c>
      <c r="O3005" t="s">
        <v>52</v>
      </c>
      <c r="Q3005" t="s">
        <v>332</v>
      </c>
      <c r="R3005" t="s">
        <v>324</v>
      </c>
      <c r="S3005" t="s">
        <v>325</v>
      </c>
    </row>
    <row r="3006" spans="1:19" x14ac:dyDescent="0.25">
      <c r="A3006" t="s">
        <v>44</v>
      </c>
      <c r="B3006" t="s">
        <v>3</v>
      </c>
      <c r="C3006" t="s">
        <v>32</v>
      </c>
      <c r="D3006" t="s">
        <v>448</v>
      </c>
      <c r="E3006" t="s">
        <v>449</v>
      </c>
      <c r="F3006" t="s">
        <v>35</v>
      </c>
      <c r="G3006" t="s">
        <v>35</v>
      </c>
      <c r="H3006" t="s">
        <v>35</v>
      </c>
      <c r="J3006" t="s">
        <v>3525</v>
      </c>
      <c r="K3006" t="s">
        <v>1092</v>
      </c>
      <c r="M3006">
        <v>0.05</v>
      </c>
      <c r="N3006">
        <v>509</v>
      </c>
      <c r="O3006" t="s">
        <v>294</v>
      </c>
      <c r="Q3006" t="s">
        <v>296</v>
      </c>
      <c r="R3006" t="s">
        <v>3517</v>
      </c>
      <c r="S3006" t="s">
        <v>450</v>
      </c>
    </row>
    <row r="3007" spans="1:19" x14ac:dyDescent="0.25">
      <c r="A3007" t="s">
        <v>30</v>
      </c>
      <c r="B3007" t="s">
        <v>31</v>
      </c>
      <c r="C3007" t="s">
        <v>32</v>
      </c>
      <c r="D3007" t="s">
        <v>448</v>
      </c>
      <c r="E3007" t="s">
        <v>449</v>
      </c>
      <c r="F3007" t="s">
        <v>35</v>
      </c>
      <c r="G3007" t="s">
        <v>35</v>
      </c>
      <c r="H3007" t="s">
        <v>35</v>
      </c>
      <c r="J3007" t="s">
        <v>3526</v>
      </c>
      <c r="K3007" t="s">
        <v>1092</v>
      </c>
      <c r="M3007">
        <v>0.09</v>
      </c>
      <c r="N3007">
        <v>1925</v>
      </c>
      <c r="O3007" t="s">
        <v>575</v>
      </c>
      <c r="Q3007" t="s">
        <v>3527</v>
      </c>
      <c r="R3007" t="s">
        <v>3528</v>
      </c>
      <c r="S3007" t="s">
        <v>3529</v>
      </c>
    </row>
    <row r="3008" spans="1:19" x14ac:dyDescent="0.25">
      <c r="A3008" t="s">
        <v>59</v>
      </c>
      <c r="B3008" t="s">
        <v>60</v>
      </c>
      <c r="C3008" t="s">
        <v>32</v>
      </c>
      <c r="D3008" t="s">
        <v>448</v>
      </c>
      <c r="E3008" t="s">
        <v>449</v>
      </c>
      <c r="F3008" t="s">
        <v>35</v>
      </c>
      <c r="G3008" t="s">
        <v>35</v>
      </c>
      <c r="H3008" t="s">
        <v>35</v>
      </c>
      <c r="J3008" t="s">
        <v>3526</v>
      </c>
      <c r="K3008" t="s">
        <v>1092</v>
      </c>
      <c r="M3008">
        <v>0.79400000000000004</v>
      </c>
      <c r="N3008">
        <v>878</v>
      </c>
      <c r="O3008" t="s">
        <v>575</v>
      </c>
      <c r="Q3008" t="s">
        <v>3531</v>
      </c>
      <c r="R3008" t="s">
        <v>324</v>
      </c>
      <c r="S3008" t="s">
        <v>325</v>
      </c>
    </row>
    <row r="3009" spans="1:19" x14ac:dyDescent="0.25">
      <c r="A3009" t="s">
        <v>59</v>
      </c>
      <c r="B3009" t="s">
        <v>31</v>
      </c>
      <c r="C3009" t="s">
        <v>32</v>
      </c>
      <c r="D3009" t="s">
        <v>448</v>
      </c>
      <c r="E3009" t="s">
        <v>449</v>
      </c>
      <c r="F3009" t="s">
        <v>35</v>
      </c>
      <c r="G3009" t="s">
        <v>35</v>
      </c>
      <c r="H3009" t="s">
        <v>35</v>
      </c>
      <c r="J3009" t="s">
        <v>3526</v>
      </c>
      <c r="K3009" t="s">
        <v>1092</v>
      </c>
      <c r="M3009">
        <v>0.57599999999999996</v>
      </c>
      <c r="N3009">
        <v>1975</v>
      </c>
      <c r="O3009" t="s">
        <v>575</v>
      </c>
      <c r="Q3009" t="s">
        <v>3532</v>
      </c>
      <c r="R3009" t="s">
        <v>3528</v>
      </c>
      <c r="S3009" t="s">
        <v>3529</v>
      </c>
    </row>
    <row r="3010" spans="1:19" x14ac:dyDescent="0.25">
      <c r="A3010" t="s">
        <v>59</v>
      </c>
      <c r="B3010" t="s">
        <v>60</v>
      </c>
      <c r="C3010" t="s">
        <v>32</v>
      </c>
      <c r="D3010" t="s">
        <v>448</v>
      </c>
      <c r="E3010" t="s">
        <v>449</v>
      </c>
      <c r="F3010" t="s">
        <v>35</v>
      </c>
      <c r="G3010" t="s">
        <v>35</v>
      </c>
      <c r="H3010" t="s">
        <v>35</v>
      </c>
      <c r="J3010" t="s">
        <v>3533</v>
      </c>
      <c r="K3010" t="s">
        <v>1092</v>
      </c>
      <c r="M3010">
        <v>0.2</v>
      </c>
      <c r="N3010">
        <v>130</v>
      </c>
      <c r="O3010" t="s">
        <v>38</v>
      </c>
      <c r="Q3010" t="s">
        <v>1656</v>
      </c>
      <c r="R3010" t="s">
        <v>324</v>
      </c>
      <c r="S3010" t="s">
        <v>325</v>
      </c>
    </row>
    <row r="3011" spans="1:19" x14ac:dyDescent="0.25">
      <c r="A3011" t="s">
        <v>59</v>
      </c>
      <c r="B3011" t="s">
        <v>60</v>
      </c>
      <c r="C3011" t="s">
        <v>32</v>
      </c>
      <c r="D3011" t="s">
        <v>448</v>
      </c>
      <c r="E3011" t="s">
        <v>449</v>
      </c>
      <c r="F3011" t="s">
        <v>35</v>
      </c>
      <c r="G3011" t="s">
        <v>35</v>
      </c>
      <c r="H3011" t="s">
        <v>35</v>
      </c>
      <c r="J3011" t="s">
        <v>3533</v>
      </c>
      <c r="K3011" t="s">
        <v>1092</v>
      </c>
      <c r="M3011">
        <v>0.1</v>
      </c>
      <c r="N3011">
        <v>123</v>
      </c>
      <c r="O3011" t="s">
        <v>38</v>
      </c>
      <c r="Q3011" t="s">
        <v>3534</v>
      </c>
      <c r="R3011" t="s">
        <v>324</v>
      </c>
      <c r="S3011" t="s">
        <v>325</v>
      </c>
    </row>
    <row r="3012" spans="1:19" x14ac:dyDescent="0.25">
      <c r="A3012" t="s">
        <v>59</v>
      </c>
      <c r="B3012" t="s">
        <v>60</v>
      </c>
      <c r="C3012" t="s">
        <v>32</v>
      </c>
      <c r="D3012" t="s">
        <v>448</v>
      </c>
      <c r="E3012" t="s">
        <v>449</v>
      </c>
      <c r="F3012" t="s">
        <v>35</v>
      </c>
      <c r="G3012" t="s">
        <v>35</v>
      </c>
      <c r="H3012" t="s">
        <v>35</v>
      </c>
      <c r="J3012" t="s">
        <v>3533</v>
      </c>
      <c r="K3012" t="s">
        <v>1092</v>
      </c>
      <c r="M3012">
        <v>0.1</v>
      </c>
      <c r="N3012">
        <v>46</v>
      </c>
      <c r="O3012" t="s">
        <v>52</v>
      </c>
      <c r="Q3012" t="s">
        <v>493</v>
      </c>
      <c r="R3012" t="s">
        <v>324</v>
      </c>
      <c r="S3012" t="s">
        <v>325</v>
      </c>
    </row>
    <row r="3013" spans="1:19" x14ac:dyDescent="0.25">
      <c r="A3013" t="s">
        <v>59</v>
      </c>
      <c r="B3013" t="s">
        <v>60</v>
      </c>
      <c r="C3013" t="s">
        <v>32</v>
      </c>
      <c r="D3013" t="s">
        <v>448</v>
      </c>
      <c r="E3013" t="s">
        <v>449</v>
      </c>
      <c r="F3013" t="s">
        <v>35</v>
      </c>
      <c r="G3013" t="s">
        <v>35</v>
      </c>
      <c r="H3013" t="s">
        <v>35</v>
      </c>
      <c r="J3013" t="s">
        <v>3533</v>
      </c>
      <c r="K3013" t="s">
        <v>1092</v>
      </c>
      <c r="M3013">
        <v>0.1</v>
      </c>
      <c r="N3013">
        <v>118</v>
      </c>
      <c r="O3013" t="s">
        <v>106</v>
      </c>
      <c r="Q3013" t="s">
        <v>1469</v>
      </c>
      <c r="R3013" t="s">
        <v>324</v>
      </c>
      <c r="S3013" t="s">
        <v>325</v>
      </c>
    </row>
    <row r="3014" spans="1:19" x14ac:dyDescent="0.25">
      <c r="A3014" t="s">
        <v>59</v>
      </c>
      <c r="B3014" t="s">
        <v>60</v>
      </c>
      <c r="C3014" t="s">
        <v>32</v>
      </c>
      <c r="D3014" t="s">
        <v>448</v>
      </c>
      <c r="E3014" t="s">
        <v>3535</v>
      </c>
      <c r="F3014" t="s">
        <v>35</v>
      </c>
      <c r="G3014" t="s">
        <v>35</v>
      </c>
      <c r="H3014" t="s">
        <v>35</v>
      </c>
      <c r="J3014" t="s">
        <v>1506</v>
      </c>
      <c r="K3014" t="s">
        <v>1092</v>
      </c>
      <c r="M3014">
        <v>0.15</v>
      </c>
      <c r="N3014">
        <v>72</v>
      </c>
      <c r="O3014" t="s">
        <v>61</v>
      </c>
      <c r="Q3014" t="s">
        <v>63</v>
      </c>
      <c r="R3014" t="s">
        <v>3517</v>
      </c>
      <c r="S3014" t="s">
        <v>450</v>
      </c>
    </row>
    <row r="3015" spans="1:19" x14ac:dyDescent="0.25">
      <c r="A3015" t="s">
        <v>59</v>
      </c>
      <c r="B3015" t="s">
        <v>60</v>
      </c>
      <c r="C3015" t="s">
        <v>32</v>
      </c>
      <c r="D3015" t="s">
        <v>448</v>
      </c>
      <c r="E3015" t="s">
        <v>3535</v>
      </c>
      <c r="F3015" t="s">
        <v>35</v>
      </c>
      <c r="G3015" t="s">
        <v>35</v>
      </c>
      <c r="H3015" t="s">
        <v>35</v>
      </c>
      <c r="J3015" t="s">
        <v>3537</v>
      </c>
      <c r="K3015" t="s">
        <v>1092</v>
      </c>
      <c r="M3015">
        <v>7.2</v>
      </c>
      <c r="N3015">
        <v>82</v>
      </c>
      <c r="O3015" t="s">
        <v>61</v>
      </c>
      <c r="Q3015" t="s">
        <v>447</v>
      </c>
      <c r="R3015" t="s">
        <v>3538</v>
      </c>
      <c r="S3015" t="s">
        <v>3539</v>
      </c>
    </row>
    <row r="3016" spans="1:19" x14ac:dyDescent="0.25">
      <c r="A3016" t="s">
        <v>59</v>
      </c>
      <c r="B3016" t="s">
        <v>31</v>
      </c>
      <c r="C3016" t="s">
        <v>32</v>
      </c>
      <c r="D3016" t="s">
        <v>448</v>
      </c>
      <c r="E3016" t="s">
        <v>3535</v>
      </c>
      <c r="F3016" t="s">
        <v>35</v>
      </c>
      <c r="G3016" t="s">
        <v>35</v>
      </c>
      <c r="H3016" t="s">
        <v>35</v>
      </c>
      <c r="J3016" t="s">
        <v>3541</v>
      </c>
      <c r="K3016" t="s">
        <v>1092</v>
      </c>
      <c r="M3016">
        <v>2.4750000000000001</v>
      </c>
      <c r="N3016">
        <v>74</v>
      </c>
      <c r="O3016" t="s">
        <v>61</v>
      </c>
      <c r="Q3016" t="s">
        <v>488</v>
      </c>
      <c r="R3016" t="s">
        <v>324</v>
      </c>
      <c r="S3016" t="s">
        <v>325</v>
      </c>
    </row>
    <row r="3017" spans="1:19" x14ac:dyDescent="0.25">
      <c r="A3017" t="s">
        <v>30</v>
      </c>
      <c r="B3017" t="s">
        <v>31</v>
      </c>
      <c r="C3017" t="s">
        <v>32</v>
      </c>
      <c r="D3017" t="s">
        <v>448</v>
      </c>
      <c r="E3017" t="s">
        <v>3535</v>
      </c>
      <c r="F3017" t="s">
        <v>35</v>
      </c>
      <c r="G3017" t="s">
        <v>35</v>
      </c>
      <c r="H3017" t="s">
        <v>35</v>
      </c>
      <c r="J3017" t="s">
        <v>3542</v>
      </c>
      <c r="K3017" t="s">
        <v>1092</v>
      </c>
      <c r="M3017">
        <v>1.98</v>
      </c>
      <c r="N3017">
        <v>53</v>
      </c>
      <c r="O3017" t="s">
        <v>52</v>
      </c>
      <c r="Q3017" t="s">
        <v>332</v>
      </c>
      <c r="R3017" t="s">
        <v>3517</v>
      </c>
      <c r="S3017" t="s">
        <v>450</v>
      </c>
    </row>
    <row r="3018" spans="1:19" x14ac:dyDescent="0.25">
      <c r="A3018" t="s">
        <v>59</v>
      </c>
      <c r="B3018" t="s">
        <v>60</v>
      </c>
      <c r="C3018" t="s">
        <v>32</v>
      </c>
      <c r="D3018" t="s">
        <v>448</v>
      </c>
      <c r="E3018" t="s">
        <v>3535</v>
      </c>
      <c r="F3018" t="s">
        <v>35</v>
      </c>
      <c r="G3018" t="s">
        <v>35</v>
      </c>
      <c r="H3018" t="s">
        <v>35</v>
      </c>
      <c r="J3018" t="s">
        <v>3543</v>
      </c>
      <c r="K3018" t="s">
        <v>1092</v>
      </c>
      <c r="M3018">
        <v>0.1</v>
      </c>
      <c r="N3018">
        <v>64</v>
      </c>
      <c r="O3018" t="s">
        <v>61</v>
      </c>
      <c r="Q3018" t="s">
        <v>381</v>
      </c>
      <c r="R3018" t="s">
        <v>3517</v>
      </c>
      <c r="S3018" t="s">
        <v>450</v>
      </c>
    </row>
    <row r="3019" spans="1:19" x14ac:dyDescent="0.25">
      <c r="A3019" t="s">
        <v>59</v>
      </c>
      <c r="B3019" t="s">
        <v>31</v>
      </c>
      <c r="C3019" t="s">
        <v>32</v>
      </c>
      <c r="D3019" t="s">
        <v>448</v>
      </c>
      <c r="E3019" t="s">
        <v>3535</v>
      </c>
      <c r="F3019" t="s">
        <v>35</v>
      </c>
      <c r="G3019" t="s">
        <v>35</v>
      </c>
      <c r="H3019" t="s">
        <v>35</v>
      </c>
      <c r="J3019" t="s">
        <v>3544</v>
      </c>
      <c r="K3019" t="s">
        <v>1092</v>
      </c>
      <c r="M3019">
        <v>0.45</v>
      </c>
      <c r="N3019">
        <v>77</v>
      </c>
      <c r="O3019" t="s">
        <v>61</v>
      </c>
      <c r="Q3019" t="s">
        <v>305</v>
      </c>
      <c r="R3019" t="s">
        <v>3517</v>
      </c>
      <c r="S3019" t="s">
        <v>450</v>
      </c>
    </row>
    <row r="3020" spans="1:19" x14ac:dyDescent="0.25">
      <c r="A3020" t="s">
        <v>30</v>
      </c>
      <c r="B3020" t="s">
        <v>31</v>
      </c>
      <c r="C3020" t="s">
        <v>32</v>
      </c>
      <c r="D3020" t="s">
        <v>448</v>
      </c>
      <c r="E3020" t="s">
        <v>3535</v>
      </c>
      <c r="F3020" t="s">
        <v>35</v>
      </c>
      <c r="G3020" t="s">
        <v>35</v>
      </c>
      <c r="H3020" t="s">
        <v>35</v>
      </c>
      <c r="J3020" t="s">
        <v>3544</v>
      </c>
      <c r="K3020" t="s">
        <v>1092</v>
      </c>
      <c r="M3020">
        <v>1.575</v>
      </c>
      <c r="N3020">
        <v>53</v>
      </c>
      <c r="O3020" t="s">
        <v>52</v>
      </c>
      <c r="Q3020" t="s">
        <v>332</v>
      </c>
      <c r="R3020" t="s">
        <v>3517</v>
      </c>
      <c r="S3020" t="s">
        <v>450</v>
      </c>
    </row>
    <row r="3021" spans="1:19" x14ac:dyDescent="0.25">
      <c r="A3021" t="s">
        <v>59</v>
      </c>
      <c r="B3021" t="s">
        <v>60</v>
      </c>
      <c r="C3021" t="s">
        <v>32</v>
      </c>
      <c r="D3021" t="s">
        <v>448</v>
      </c>
      <c r="E3021" t="s">
        <v>3535</v>
      </c>
      <c r="F3021" t="s">
        <v>35</v>
      </c>
      <c r="G3021" t="s">
        <v>35</v>
      </c>
      <c r="H3021" t="s">
        <v>35</v>
      </c>
      <c r="J3021" t="s">
        <v>3545</v>
      </c>
      <c r="K3021" t="s">
        <v>1092</v>
      </c>
      <c r="M3021">
        <v>4</v>
      </c>
      <c r="N3021">
        <v>132</v>
      </c>
      <c r="O3021" t="s">
        <v>38</v>
      </c>
      <c r="Q3021" t="s">
        <v>2901</v>
      </c>
      <c r="R3021" t="s">
        <v>324</v>
      </c>
      <c r="S3021" t="s">
        <v>325</v>
      </c>
    </row>
    <row r="3022" spans="1:19" x14ac:dyDescent="0.25">
      <c r="A3022" t="s">
        <v>30</v>
      </c>
      <c r="B3022" t="s">
        <v>31</v>
      </c>
      <c r="C3022" t="s">
        <v>32</v>
      </c>
      <c r="D3022" t="s">
        <v>448</v>
      </c>
      <c r="E3022" t="s">
        <v>3535</v>
      </c>
      <c r="F3022" t="s">
        <v>35</v>
      </c>
      <c r="G3022" t="s">
        <v>35</v>
      </c>
      <c r="H3022" t="s">
        <v>35</v>
      </c>
      <c r="J3022" t="s">
        <v>3546</v>
      </c>
      <c r="K3022" t="s">
        <v>1092</v>
      </c>
      <c r="M3022">
        <v>0.40500000000000003</v>
      </c>
      <c r="N3022">
        <v>52</v>
      </c>
      <c r="O3022" t="s">
        <v>52</v>
      </c>
      <c r="Q3022" t="s">
        <v>1230</v>
      </c>
      <c r="R3022" t="s">
        <v>3517</v>
      </c>
      <c r="S3022" t="s">
        <v>450</v>
      </c>
    </row>
    <row r="3023" spans="1:19" x14ac:dyDescent="0.25">
      <c r="A3023" t="s">
        <v>59</v>
      </c>
      <c r="B3023" t="s">
        <v>60</v>
      </c>
      <c r="C3023" t="s">
        <v>32</v>
      </c>
      <c r="D3023" t="s">
        <v>448</v>
      </c>
      <c r="E3023" t="s">
        <v>3535</v>
      </c>
      <c r="F3023" t="s">
        <v>35</v>
      </c>
      <c r="G3023" t="s">
        <v>35</v>
      </c>
      <c r="H3023" t="s">
        <v>35</v>
      </c>
      <c r="J3023" t="s">
        <v>3547</v>
      </c>
      <c r="K3023" t="s">
        <v>1092</v>
      </c>
      <c r="M3023">
        <v>5</v>
      </c>
      <c r="N3023">
        <v>107</v>
      </c>
      <c r="O3023" t="s">
        <v>106</v>
      </c>
      <c r="Q3023" t="s">
        <v>1621</v>
      </c>
      <c r="R3023" t="s">
        <v>324</v>
      </c>
      <c r="S3023" t="s">
        <v>325</v>
      </c>
    </row>
    <row r="3024" spans="1:19" x14ac:dyDescent="0.25">
      <c r="A3024" t="s">
        <v>59</v>
      </c>
      <c r="B3024" t="s">
        <v>60</v>
      </c>
      <c r="C3024" t="s">
        <v>32</v>
      </c>
      <c r="D3024" t="s">
        <v>448</v>
      </c>
      <c r="E3024" t="s">
        <v>3535</v>
      </c>
      <c r="F3024" t="s">
        <v>35</v>
      </c>
      <c r="G3024" t="s">
        <v>35</v>
      </c>
      <c r="H3024" t="s">
        <v>35</v>
      </c>
      <c r="J3024" t="s">
        <v>3547</v>
      </c>
      <c r="K3024" t="s">
        <v>1092</v>
      </c>
      <c r="M3024">
        <v>9</v>
      </c>
      <c r="N3024">
        <v>108</v>
      </c>
      <c r="O3024" t="s">
        <v>106</v>
      </c>
      <c r="Q3024" t="s">
        <v>1450</v>
      </c>
      <c r="R3024" t="s">
        <v>324</v>
      </c>
      <c r="S3024" t="s">
        <v>325</v>
      </c>
    </row>
    <row r="3025" spans="1:19" x14ac:dyDescent="0.25">
      <c r="A3025" t="s">
        <v>30</v>
      </c>
      <c r="B3025" t="s">
        <v>31</v>
      </c>
      <c r="C3025" t="s">
        <v>32</v>
      </c>
      <c r="D3025" t="s">
        <v>448</v>
      </c>
      <c r="E3025" t="s">
        <v>3535</v>
      </c>
      <c r="F3025" t="s">
        <v>35</v>
      </c>
      <c r="G3025" t="s">
        <v>35</v>
      </c>
      <c r="H3025" t="s">
        <v>35</v>
      </c>
      <c r="J3025" t="s">
        <v>3548</v>
      </c>
      <c r="K3025" t="s">
        <v>1092</v>
      </c>
      <c r="M3025">
        <v>1.71</v>
      </c>
      <c r="N3025">
        <v>53</v>
      </c>
      <c r="O3025" t="s">
        <v>52</v>
      </c>
      <c r="Q3025" t="s">
        <v>332</v>
      </c>
      <c r="R3025" t="s">
        <v>3517</v>
      </c>
      <c r="S3025" t="s">
        <v>450</v>
      </c>
    </row>
    <row r="3026" spans="1:19" x14ac:dyDescent="0.25">
      <c r="A3026" t="s">
        <v>59</v>
      </c>
      <c r="B3026" t="s">
        <v>31</v>
      </c>
      <c r="C3026" t="s">
        <v>32</v>
      </c>
      <c r="D3026" t="s">
        <v>448</v>
      </c>
      <c r="E3026" t="s">
        <v>459</v>
      </c>
      <c r="F3026" t="s">
        <v>35</v>
      </c>
      <c r="G3026" t="s">
        <v>35</v>
      </c>
      <c r="H3026" t="s">
        <v>35</v>
      </c>
      <c r="J3026" t="s">
        <v>3550</v>
      </c>
      <c r="K3026" t="s">
        <v>1092</v>
      </c>
      <c r="M3026">
        <v>0.45</v>
      </c>
      <c r="N3026">
        <v>77</v>
      </c>
      <c r="O3026" t="s">
        <v>61</v>
      </c>
      <c r="Q3026" t="s">
        <v>305</v>
      </c>
      <c r="R3026" t="s">
        <v>3517</v>
      </c>
      <c r="S3026" t="s">
        <v>450</v>
      </c>
    </row>
    <row r="3027" spans="1:19" x14ac:dyDescent="0.25">
      <c r="A3027" t="s">
        <v>59</v>
      </c>
      <c r="B3027" t="s">
        <v>31</v>
      </c>
      <c r="C3027" t="s">
        <v>32</v>
      </c>
      <c r="D3027" t="s">
        <v>448</v>
      </c>
      <c r="E3027" t="s">
        <v>459</v>
      </c>
      <c r="F3027" t="s">
        <v>35</v>
      </c>
      <c r="G3027" t="s">
        <v>35</v>
      </c>
      <c r="H3027" t="s">
        <v>35</v>
      </c>
      <c r="J3027" t="s">
        <v>3551</v>
      </c>
      <c r="K3027" t="s">
        <v>1092</v>
      </c>
      <c r="M3027">
        <v>4.9950000000000001</v>
      </c>
      <c r="N3027">
        <v>70</v>
      </c>
      <c r="O3027" t="s">
        <v>61</v>
      </c>
      <c r="Q3027" t="s">
        <v>126</v>
      </c>
      <c r="R3027" t="s">
        <v>513</v>
      </c>
      <c r="S3027" t="s">
        <v>514</v>
      </c>
    </row>
    <row r="3028" spans="1:19" x14ac:dyDescent="0.25">
      <c r="A3028" t="s">
        <v>30</v>
      </c>
      <c r="B3028" t="s">
        <v>31</v>
      </c>
      <c r="C3028" t="s">
        <v>32</v>
      </c>
      <c r="D3028" t="s">
        <v>448</v>
      </c>
      <c r="E3028" t="s">
        <v>459</v>
      </c>
      <c r="F3028" t="s">
        <v>35</v>
      </c>
      <c r="G3028" t="s">
        <v>35</v>
      </c>
      <c r="H3028" t="s">
        <v>35</v>
      </c>
      <c r="J3028" t="s">
        <v>3552</v>
      </c>
      <c r="K3028" t="s">
        <v>1092</v>
      </c>
      <c r="M3028">
        <v>1.35</v>
      </c>
      <c r="N3028">
        <v>50</v>
      </c>
      <c r="O3028" t="s">
        <v>52</v>
      </c>
      <c r="Q3028" t="s">
        <v>425</v>
      </c>
      <c r="R3028" t="s">
        <v>519</v>
      </c>
      <c r="S3028" t="s">
        <v>485</v>
      </c>
    </row>
    <row r="3029" spans="1:19" x14ac:dyDescent="0.25">
      <c r="A3029" t="s">
        <v>59</v>
      </c>
      <c r="B3029" t="s">
        <v>31</v>
      </c>
      <c r="C3029" t="s">
        <v>32</v>
      </c>
      <c r="D3029" t="s">
        <v>448</v>
      </c>
      <c r="E3029" t="s">
        <v>459</v>
      </c>
      <c r="F3029" t="s">
        <v>35</v>
      </c>
      <c r="G3029" t="s">
        <v>35</v>
      </c>
      <c r="H3029" t="s">
        <v>35</v>
      </c>
      <c r="J3029" t="s">
        <v>3553</v>
      </c>
      <c r="K3029" t="s">
        <v>1092</v>
      </c>
      <c r="M3029">
        <v>4.59</v>
      </c>
      <c r="N3029">
        <v>70</v>
      </c>
      <c r="O3029" t="s">
        <v>61</v>
      </c>
      <c r="Q3029" t="s">
        <v>126</v>
      </c>
      <c r="R3029" t="s">
        <v>513</v>
      </c>
      <c r="S3029" t="s">
        <v>514</v>
      </c>
    </row>
    <row r="3030" spans="1:19" x14ac:dyDescent="0.25">
      <c r="A3030" t="s">
        <v>30</v>
      </c>
      <c r="B3030" t="s">
        <v>31</v>
      </c>
      <c r="C3030" t="s">
        <v>32</v>
      </c>
      <c r="D3030" t="s">
        <v>448</v>
      </c>
      <c r="E3030" t="s">
        <v>459</v>
      </c>
      <c r="F3030" t="s">
        <v>35</v>
      </c>
      <c r="G3030" t="s">
        <v>35</v>
      </c>
      <c r="H3030" t="s">
        <v>35</v>
      </c>
      <c r="J3030" t="s">
        <v>3554</v>
      </c>
      <c r="K3030" t="s">
        <v>1092</v>
      </c>
      <c r="M3030">
        <v>2.25</v>
      </c>
      <c r="N3030">
        <v>153</v>
      </c>
      <c r="O3030" t="s">
        <v>38</v>
      </c>
      <c r="Q3030" t="s">
        <v>569</v>
      </c>
      <c r="R3030" t="s">
        <v>3555</v>
      </c>
      <c r="S3030" t="s">
        <v>3556</v>
      </c>
    </row>
    <row r="3031" spans="1:19" x14ac:dyDescent="0.25">
      <c r="A3031" t="s">
        <v>30</v>
      </c>
      <c r="B3031" t="s">
        <v>31</v>
      </c>
      <c r="C3031" t="s">
        <v>32</v>
      </c>
      <c r="D3031" t="s">
        <v>448</v>
      </c>
      <c r="E3031" t="s">
        <v>459</v>
      </c>
      <c r="F3031" t="s">
        <v>35</v>
      </c>
      <c r="G3031" t="s">
        <v>35</v>
      </c>
      <c r="H3031" t="s">
        <v>35</v>
      </c>
      <c r="J3031" t="s">
        <v>3558</v>
      </c>
      <c r="K3031" t="s">
        <v>1092</v>
      </c>
      <c r="M3031">
        <v>0.45</v>
      </c>
      <c r="N3031">
        <v>44</v>
      </c>
      <c r="O3031" t="s">
        <v>52</v>
      </c>
      <c r="Q3031" t="s">
        <v>192</v>
      </c>
      <c r="R3031" t="s">
        <v>513</v>
      </c>
      <c r="S3031" t="s">
        <v>514</v>
      </c>
    </row>
    <row r="3032" spans="1:19" x14ac:dyDescent="0.25">
      <c r="A3032" t="s">
        <v>30</v>
      </c>
      <c r="B3032" t="s">
        <v>31</v>
      </c>
      <c r="C3032" t="s">
        <v>32</v>
      </c>
      <c r="D3032" t="s">
        <v>448</v>
      </c>
      <c r="E3032" t="s">
        <v>459</v>
      </c>
      <c r="F3032" t="s">
        <v>35</v>
      </c>
      <c r="G3032" t="s">
        <v>35</v>
      </c>
      <c r="H3032" t="s">
        <v>35</v>
      </c>
      <c r="J3032" t="s">
        <v>3559</v>
      </c>
      <c r="K3032" t="s">
        <v>1092</v>
      </c>
      <c r="M3032">
        <v>1.3049999999999999</v>
      </c>
      <c r="N3032">
        <v>114</v>
      </c>
      <c r="O3032" t="s">
        <v>106</v>
      </c>
      <c r="Q3032" t="s">
        <v>288</v>
      </c>
      <c r="R3032" t="s">
        <v>3555</v>
      </c>
      <c r="S3032" t="s">
        <v>3556</v>
      </c>
    </row>
    <row r="3033" spans="1:19" x14ac:dyDescent="0.25">
      <c r="A3033" t="s">
        <v>44</v>
      </c>
      <c r="B3033" t="s">
        <v>3</v>
      </c>
      <c r="C3033" t="s">
        <v>32</v>
      </c>
      <c r="D3033" t="s">
        <v>448</v>
      </c>
      <c r="E3033" t="s">
        <v>459</v>
      </c>
      <c r="F3033" t="s">
        <v>35</v>
      </c>
      <c r="G3033" t="s">
        <v>35</v>
      </c>
      <c r="H3033" t="s">
        <v>35</v>
      </c>
      <c r="J3033" t="s">
        <v>3560</v>
      </c>
      <c r="K3033" t="s">
        <v>1092</v>
      </c>
      <c r="M3033">
        <v>0.05</v>
      </c>
      <c r="N3033">
        <v>364</v>
      </c>
      <c r="O3033" t="s">
        <v>5</v>
      </c>
      <c r="Q3033" t="s">
        <v>1742</v>
      </c>
      <c r="R3033" t="s">
        <v>3561</v>
      </c>
      <c r="S3033" t="s">
        <v>460</v>
      </c>
    </row>
    <row r="3034" spans="1:19" x14ac:dyDescent="0.25">
      <c r="A3034" t="s">
        <v>44</v>
      </c>
      <c r="B3034" t="s">
        <v>3</v>
      </c>
      <c r="C3034" t="s">
        <v>32</v>
      </c>
      <c r="D3034" t="s">
        <v>448</v>
      </c>
      <c r="E3034" t="s">
        <v>459</v>
      </c>
      <c r="F3034" t="s">
        <v>35</v>
      </c>
      <c r="G3034" t="s">
        <v>35</v>
      </c>
      <c r="H3034" t="s">
        <v>35</v>
      </c>
      <c r="J3034" t="s">
        <v>3562</v>
      </c>
      <c r="K3034" t="s">
        <v>1092</v>
      </c>
      <c r="M3034">
        <v>0.5</v>
      </c>
      <c r="N3034">
        <v>364</v>
      </c>
      <c r="O3034" t="s">
        <v>5</v>
      </c>
      <c r="Q3034" t="s">
        <v>1742</v>
      </c>
      <c r="R3034" t="s">
        <v>3561</v>
      </c>
      <c r="S3034" t="s">
        <v>460</v>
      </c>
    </row>
    <row r="3035" spans="1:19" x14ac:dyDescent="0.25">
      <c r="A3035" t="s">
        <v>59</v>
      </c>
      <c r="B3035" t="s">
        <v>31</v>
      </c>
      <c r="C3035" t="s">
        <v>32</v>
      </c>
      <c r="D3035" t="s">
        <v>448</v>
      </c>
      <c r="E3035" t="s">
        <v>459</v>
      </c>
      <c r="F3035" t="s">
        <v>35</v>
      </c>
      <c r="G3035" t="s">
        <v>35</v>
      </c>
      <c r="H3035" t="s">
        <v>35</v>
      </c>
      <c r="J3035" t="s">
        <v>3563</v>
      </c>
      <c r="K3035" t="s">
        <v>1092</v>
      </c>
      <c r="M3035">
        <v>0.36</v>
      </c>
      <c r="N3035">
        <v>494</v>
      </c>
      <c r="O3035" t="s">
        <v>294</v>
      </c>
      <c r="Q3035" t="s">
        <v>3564</v>
      </c>
      <c r="R3035" t="s">
        <v>519</v>
      </c>
      <c r="S3035" t="s">
        <v>485</v>
      </c>
    </row>
    <row r="3036" spans="1:19" x14ac:dyDescent="0.25">
      <c r="A3036" t="s">
        <v>30</v>
      </c>
      <c r="B3036" t="s">
        <v>31</v>
      </c>
      <c r="C3036" t="s">
        <v>32</v>
      </c>
      <c r="D3036" t="s">
        <v>448</v>
      </c>
      <c r="E3036" t="s">
        <v>459</v>
      </c>
      <c r="F3036" t="s">
        <v>35</v>
      </c>
      <c r="G3036" t="s">
        <v>35</v>
      </c>
      <c r="H3036" t="s">
        <v>35</v>
      </c>
      <c r="J3036" t="s">
        <v>3565</v>
      </c>
      <c r="K3036" t="s">
        <v>1092</v>
      </c>
      <c r="M3036">
        <v>0.01</v>
      </c>
      <c r="N3036">
        <v>1901</v>
      </c>
      <c r="O3036" t="s">
        <v>575</v>
      </c>
      <c r="Q3036" t="s">
        <v>3566</v>
      </c>
      <c r="R3036" t="s">
        <v>3567</v>
      </c>
      <c r="S3036" t="s">
        <v>3568</v>
      </c>
    </row>
    <row r="3037" spans="1:19" x14ac:dyDescent="0.25">
      <c r="A3037" t="s">
        <v>59</v>
      </c>
      <c r="B3037" t="s">
        <v>31</v>
      </c>
      <c r="C3037" t="s">
        <v>32</v>
      </c>
      <c r="D3037" t="s">
        <v>448</v>
      </c>
      <c r="E3037" t="s">
        <v>459</v>
      </c>
      <c r="F3037" t="s">
        <v>35</v>
      </c>
      <c r="G3037" t="s">
        <v>35</v>
      </c>
      <c r="H3037" t="s">
        <v>35</v>
      </c>
      <c r="J3037" t="s">
        <v>3570</v>
      </c>
      <c r="K3037" t="s">
        <v>1092</v>
      </c>
      <c r="M3037">
        <v>0.495</v>
      </c>
      <c r="N3037">
        <v>2069</v>
      </c>
      <c r="O3037" t="s">
        <v>575</v>
      </c>
      <c r="Q3037" t="s">
        <v>3571</v>
      </c>
      <c r="R3037" t="s">
        <v>3555</v>
      </c>
      <c r="S3037" t="s">
        <v>3556</v>
      </c>
    </row>
    <row r="3038" spans="1:19" x14ac:dyDescent="0.25">
      <c r="A3038" t="s">
        <v>30</v>
      </c>
      <c r="B3038" t="s">
        <v>31</v>
      </c>
      <c r="C3038" t="s">
        <v>32</v>
      </c>
      <c r="D3038" t="s">
        <v>448</v>
      </c>
      <c r="E3038" t="s">
        <v>459</v>
      </c>
      <c r="F3038" t="s">
        <v>35</v>
      </c>
      <c r="G3038" t="s">
        <v>35</v>
      </c>
      <c r="H3038" t="s">
        <v>35</v>
      </c>
      <c r="J3038" t="s">
        <v>3572</v>
      </c>
      <c r="K3038" t="s">
        <v>1092</v>
      </c>
      <c r="M3038">
        <v>0.23499999999999999</v>
      </c>
      <c r="N3038">
        <v>1547</v>
      </c>
      <c r="O3038" t="s">
        <v>575</v>
      </c>
      <c r="Q3038" t="s">
        <v>3573</v>
      </c>
      <c r="R3038" t="s">
        <v>3574</v>
      </c>
      <c r="S3038" t="s">
        <v>3575</v>
      </c>
    </row>
    <row r="3039" spans="1:19" x14ac:dyDescent="0.25">
      <c r="A3039" t="s">
        <v>30</v>
      </c>
      <c r="B3039" t="s">
        <v>31</v>
      </c>
      <c r="C3039" t="s">
        <v>32</v>
      </c>
      <c r="D3039" t="s">
        <v>448</v>
      </c>
      <c r="E3039" t="s">
        <v>459</v>
      </c>
      <c r="F3039" t="s">
        <v>35</v>
      </c>
      <c r="G3039" t="s">
        <v>35</v>
      </c>
      <c r="H3039" t="s">
        <v>35</v>
      </c>
      <c r="J3039" t="s">
        <v>3572</v>
      </c>
      <c r="K3039" t="s">
        <v>1092</v>
      </c>
      <c r="M3039">
        <v>1.125</v>
      </c>
      <c r="N3039">
        <v>1546</v>
      </c>
      <c r="O3039" t="s">
        <v>575</v>
      </c>
      <c r="Q3039" t="s">
        <v>3577</v>
      </c>
      <c r="R3039" t="s">
        <v>3574</v>
      </c>
      <c r="S3039" t="s">
        <v>3575</v>
      </c>
    </row>
    <row r="3040" spans="1:19" x14ac:dyDescent="0.25">
      <c r="A3040" t="s">
        <v>30</v>
      </c>
      <c r="B3040" t="s">
        <v>31</v>
      </c>
      <c r="C3040" t="s">
        <v>32</v>
      </c>
      <c r="D3040" t="s">
        <v>448</v>
      </c>
      <c r="E3040" t="s">
        <v>459</v>
      </c>
      <c r="F3040" t="s">
        <v>35</v>
      </c>
      <c r="G3040" t="s">
        <v>35</v>
      </c>
      <c r="H3040" t="s">
        <v>35</v>
      </c>
      <c r="J3040" t="s">
        <v>3578</v>
      </c>
      <c r="K3040" t="s">
        <v>1092</v>
      </c>
      <c r="M3040">
        <v>4.4999999999999998E-2</v>
      </c>
      <c r="N3040">
        <v>1204</v>
      </c>
      <c r="O3040" t="s">
        <v>575</v>
      </c>
      <c r="Q3040" t="s">
        <v>3583</v>
      </c>
      <c r="R3040" t="s">
        <v>3561</v>
      </c>
      <c r="S3040" t="s">
        <v>460</v>
      </c>
    </row>
    <row r="3041" spans="1:19" x14ac:dyDescent="0.25">
      <c r="A3041" t="s">
        <v>44</v>
      </c>
      <c r="B3041" t="s">
        <v>3</v>
      </c>
      <c r="C3041" t="s">
        <v>32</v>
      </c>
      <c r="D3041" t="s">
        <v>448</v>
      </c>
      <c r="E3041" t="s">
        <v>459</v>
      </c>
      <c r="F3041" t="s">
        <v>35</v>
      </c>
      <c r="G3041" t="s">
        <v>35</v>
      </c>
      <c r="H3041" t="s">
        <v>35</v>
      </c>
      <c r="J3041" t="s">
        <v>3578</v>
      </c>
      <c r="K3041" t="s">
        <v>1092</v>
      </c>
      <c r="M3041">
        <v>0.25</v>
      </c>
      <c r="N3041">
        <v>490</v>
      </c>
      <c r="O3041" t="s">
        <v>294</v>
      </c>
      <c r="Q3041" t="s">
        <v>1582</v>
      </c>
      <c r="R3041" t="s">
        <v>3561</v>
      </c>
      <c r="S3041" t="s">
        <v>460</v>
      </c>
    </row>
    <row r="3042" spans="1:19" x14ac:dyDescent="0.25">
      <c r="A3042" t="s">
        <v>59</v>
      </c>
      <c r="B3042" t="s">
        <v>31</v>
      </c>
      <c r="C3042" t="s">
        <v>32</v>
      </c>
      <c r="D3042" t="s">
        <v>448</v>
      </c>
      <c r="E3042" t="s">
        <v>459</v>
      </c>
      <c r="F3042" t="s">
        <v>35</v>
      </c>
      <c r="G3042" t="s">
        <v>35</v>
      </c>
      <c r="H3042" t="s">
        <v>35</v>
      </c>
      <c r="J3042" t="s">
        <v>3578</v>
      </c>
      <c r="K3042" t="s">
        <v>1092</v>
      </c>
      <c r="M3042">
        <v>0.02</v>
      </c>
      <c r="N3042">
        <v>1949</v>
      </c>
      <c r="O3042" t="s">
        <v>575</v>
      </c>
      <c r="Q3042" t="s">
        <v>3579</v>
      </c>
      <c r="R3042" t="s">
        <v>3580</v>
      </c>
      <c r="S3042" t="s">
        <v>3581</v>
      </c>
    </row>
    <row r="3043" spans="1:19" x14ac:dyDescent="0.25">
      <c r="A3043" t="s">
        <v>59</v>
      </c>
      <c r="B3043" t="s">
        <v>31</v>
      </c>
      <c r="C3043" t="s">
        <v>32</v>
      </c>
      <c r="D3043" t="s">
        <v>448</v>
      </c>
      <c r="E3043" t="s">
        <v>459</v>
      </c>
      <c r="F3043" t="s">
        <v>35</v>
      </c>
      <c r="G3043" t="s">
        <v>35</v>
      </c>
      <c r="H3043" t="s">
        <v>35</v>
      </c>
      <c r="J3043" t="s">
        <v>3584</v>
      </c>
      <c r="K3043" t="s">
        <v>1092</v>
      </c>
      <c r="M3043">
        <v>3.24</v>
      </c>
      <c r="N3043">
        <v>74</v>
      </c>
      <c r="O3043" t="s">
        <v>61</v>
      </c>
      <c r="Q3043" t="s">
        <v>488</v>
      </c>
      <c r="R3043" t="s">
        <v>519</v>
      </c>
      <c r="S3043" t="s">
        <v>485</v>
      </c>
    </row>
    <row r="3044" spans="1:19" x14ac:dyDescent="0.25">
      <c r="A3044" t="s">
        <v>59</v>
      </c>
      <c r="B3044" t="s">
        <v>60</v>
      </c>
      <c r="C3044" t="s">
        <v>32</v>
      </c>
      <c r="D3044" t="s">
        <v>448</v>
      </c>
      <c r="E3044" t="s">
        <v>459</v>
      </c>
      <c r="F3044" t="s">
        <v>35</v>
      </c>
      <c r="G3044" t="s">
        <v>35</v>
      </c>
      <c r="H3044" t="s">
        <v>35</v>
      </c>
      <c r="J3044" t="s">
        <v>3585</v>
      </c>
      <c r="K3044" t="s">
        <v>1092</v>
      </c>
      <c r="M3044">
        <v>0.5</v>
      </c>
      <c r="N3044">
        <v>484</v>
      </c>
      <c r="O3044" t="s">
        <v>294</v>
      </c>
      <c r="Q3044" t="s">
        <v>1480</v>
      </c>
      <c r="R3044" t="s">
        <v>519</v>
      </c>
      <c r="S3044" t="s">
        <v>485</v>
      </c>
    </row>
    <row r="3045" spans="1:19" x14ac:dyDescent="0.25">
      <c r="A3045" t="s">
        <v>59</v>
      </c>
      <c r="B3045" t="s">
        <v>31</v>
      </c>
      <c r="C3045" t="s">
        <v>32</v>
      </c>
      <c r="D3045" t="s">
        <v>448</v>
      </c>
      <c r="E3045" t="s">
        <v>459</v>
      </c>
      <c r="F3045" t="s">
        <v>35</v>
      </c>
      <c r="G3045" t="s">
        <v>35</v>
      </c>
      <c r="H3045" t="s">
        <v>35</v>
      </c>
      <c r="J3045" t="s">
        <v>3585</v>
      </c>
      <c r="K3045" t="s">
        <v>1092</v>
      </c>
      <c r="M3045">
        <v>0.67500000000000004</v>
      </c>
      <c r="N3045">
        <v>451</v>
      </c>
      <c r="O3045" t="s">
        <v>294</v>
      </c>
      <c r="Q3045" t="s">
        <v>2102</v>
      </c>
      <c r="R3045" t="s">
        <v>519</v>
      </c>
      <c r="S3045" t="s">
        <v>485</v>
      </c>
    </row>
    <row r="3046" spans="1:19" x14ac:dyDescent="0.25">
      <c r="A3046" t="s">
        <v>30</v>
      </c>
      <c r="B3046" t="s">
        <v>31</v>
      </c>
      <c r="C3046" t="s">
        <v>32</v>
      </c>
      <c r="D3046" t="s">
        <v>448</v>
      </c>
      <c r="E3046" t="s">
        <v>459</v>
      </c>
      <c r="F3046" t="s">
        <v>35</v>
      </c>
      <c r="G3046" t="s">
        <v>35</v>
      </c>
      <c r="H3046" t="s">
        <v>35</v>
      </c>
      <c r="J3046" t="s">
        <v>3586</v>
      </c>
      <c r="K3046" t="s">
        <v>1092</v>
      </c>
      <c r="M3046">
        <v>1.575</v>
      </c>
      <c r="N3046">
        <v>99</v>
      </c>
      <c r="O3046" t="s">
        <v>106</v>
      </c>
      <c r="Q3046" t="s">
        <v>1216</v>
      </c>
      <c r="R3046" t="s">
        <v>3555</v>
      </c>
      <c r="S3046" t="s">
        <v>3556</v>
      </c>
    </row>
    <row r="3047" spans="1:19" x14ac:dyDescent="0.25">
      <c r="A3047" t="s">
        <v>44</v>
      </c>
      <c r="B3047" t="s">
        <v>3</v>
      </c>
      <c r="C3047" t="s">
        <v>32</v>
      </c>
      <c r="D3047" t="s">
        <v>448</v>
      </c>
      <c r="E3047" t="s">
        <v>459</v>
      </c>
      <c r="F3047" t="s">
        <v>35</v>
      </c>
      <c r="G3047" t="s">
        <v>35</v>
      </c>
      <c r="H3047" t="s">
        <v>35</v>
      </c>
      <c r="J3047" t="s">
        <v>3587</v>
      </c>
      <c r="K3047" t="s">
        <v>1092</v>
      </c>
      <c r="M3047">
        <v>0.25</v>
      </c>
      <c r="N3047">
        <v>448</v>
      </c>
      <c r="O3047" t="s">
        <v>294</v>
      </c>
      <c r="Q3047" t="s">
        <v>1899</v>
      </c>
      <c r="R3047" t="s">
        <v>3561</v>
      </c>
      <c r="S3047" t="s">
        <v>460</v>
      </c>
    </row>
    <row r="3048" spans="1:19" x14ac:dyDescent="0.25">
      <c r="A3048" t="s">
        <v>44</v>
      </c>
      <c r="B3048" t="s">
        <v>3</v>
      </c>
      <c r="C3048" t="s">
        <v>32</v>
      </c>
      <c r="D3048" t="s">
        <v>448</v>
      </c>
      <c r="E3048" t="s">
        <v>3588</v>
      </c>
      <c r="F3048" t="s">
        <v>35</v>
      </c>
      <c r="G3048" t="s">
        <v>35</v>
      </c>
      <c r="H3048" t="s">
        <v>35</v>
      </c>
      <c r="J3048" t="s">
        <v>3589</v>
      </c>
      <c r="K3048" t="s">
        <v>1092</v>
      </c>
      <c r="M3048">
        <v>0.15</v>
      </c>
      <c r="N3048">
        <v>467</v>
      </c>
      <c r="O3048" t="s">
        <v>294</v>
      </c>
      <c r="Q3048" t="s">
        <v>3590</v>
      </c>
      <c r="R3048" t="s">
        <v>3561</v>
      </c>
      <c r="S3048" t="s">
        <v>460</v>
      </c>
    </row>
    <row r="3049" spans="1:19" x14ac:dyDescent="0.25">
      <c r="A3049" t="s">
        <v>44</v>
      </c>
      <c r="B3049" t="s">
        <v>3</v>
      </c>
      <c r="C3049" t="s">
        <v>32</v>
      </c>
      <c r="D3049" t="s">
        <v>448</v>
      </c>
      <c r="E3049" t="s">
        <v>3588</v>
      </c>
      <c r="F3049" t="s">
        <v>35</v>
      </c>
      <c r="G3049" t="s">
        <v>35</v>
      </c>
      <c r="H3049" t="s">
        <v>35</v>
      </c>
      <c r="J3049" t="s">
        <v>3591</v>
      </c>
      <c r="K3049" t="s">
        <v>1092</v>
      </c>
      <c r="M3049">
        <v>0.1</v>
      </c>
      <c r="N3049">
        <v>406</v>
      </c>
      <c r="O3049" t="s">
        <v>294</v>
      </c>
      <c r="Q3049" t="s">
        <v>3593</v>
      </c>
      <c r="R3049" t="s">
        <v>3561</v>
      </c>
      <c r="S3049" t="s">
        <v>460</v>
      </c>
    </row>
    <row r="3050" spans="1:19" x14ac:dyDescent="0.25">
      <c r="A3050" t="s">
        <v>44</v>
      </c>
      <c r="B3050" t="s">
        <v>3</v>
      </c>
      <c r="C3050" t="s">
        <v>32</v>
      </c>
      <c r="D3050" t="s">
        <v>448</v>
      </c>
      <c r="E3050" t="s">
        <v>3588</v>
      </c>
      <c r="F3050" t="s">
        <v>35</v>
      </c>
      <c r="G3050" t="s">
        <v>35</v>
      </c>
      <c r="H3050" t="s">
        <v>35</v>
      </c>
      <c r="J3050" t="s">
        <v>3591</v>
      </c>
      <c r="K3050" t="s">
        <v>1092</v>
      </c>
      <c r="M3050">
        <v>0.25</v>
      </c>
      <c r="N3050">
        <v>398</v>
      </c>
      <c r="O3050" t="s">
        <v>294</v>
      </c>
      <c r="Q3050" t="s">
        <v>3592</v>
      </c>
      <c r="R3050" t="s">
        <v>3561</v>
      </c>
      <c r="S3050" t="s">
        <v>460</v>
      </c>
    </row>
    <row r="3051" spans="1:19" x14ac:dyDescent="0.25">
      <c r="A3051" t="s">
        <v>30</v>
      </c>
      <c r="B3051" t="s">
        <v>31</v>
      </c>
      <c r="C3051" t="s">
        <v>32</v>
      </c>
      <c r="D3051" t="s">
        <v>448</v>
      </c>
      <c r="E3051" t="s">
        <v>3588</v>
      </c>
      <c r="F3051" t="s">
        <v>35</v>
      </c>
      <c r="G3051" t="s">
        <v>35</v>
      </c>
      <c r="H3051" t="s">
        <v>35</v>
      </c>
      <c r="J3051" t="s">
        <v>3594</v>
      </c>
      <c r="K3051" t="s">
        <v>1092</v>
      </c>
      <c r="M3051">
        <v>4.5</v>
      </c>
      <c r="N3051">
        <v>44</v>
      </c>
      <c r="O3051" t="s">
        <v>52</v>
      </c>
      <c r="Q3051" t="s">
        <v>192</v>
      </c>
      <c r="R3051" t="s">
        <v>513</v>
      </c>
      <c r="S3051" t="s">
        <v>514</v>
      </c>
    </row>
    <row r="3052" spans="1:19" x14ac:dyDescent="0.25">
      <c r="A3052" t="s">
        <v>30</v>
      </c>
      <c r="B3052" t="s">
        <v>31</v>
      </c>
      <c r="C3052" t="s">
        <v>32</v>
      </c>
      <c r="D3052" t="s">
        <v>448</v>
      </c>
      <c r="E3052" t="s">
        <v>3588</v>
      </c>
      <c r="F3052" t="s">
        <v>35</v>
      </c>
      <c r="G3052" t="s">
        <v>35</v>
      </c>
      <c r="H3052" t="s">
        <v>35</v>
      </c>
      <c r="J3052" t="s">
        <v>3595</v>
      </c>
      <c r="K3052" t="s">
        <v>1092</v>
      </c>
      <c r="M3052">
        <v>1.8</v>
      </c>
      <c r="N3052">
        <v>46</v>
      </c>
      <c r="O3052" t="s">
        <v>52</v>
      </c>
      <c r="Q3052" t="s">
        <v>493</v>
      </c>
      <c r="R3052" t="s">
        <v>3561</v>
      </c>
      <c r="S3052" t="s">
        <v>460</v>
      </c>
    </row>
    <row r="3053" spans="1:19" x14ac:dyDescent="0.25">
      <c r="A3053" t="s">
        <v>30</v>
      </c>
      <c r="B3053" t="s">
        <v>31</v>
      </c>
      <c r="C3053" t="s">
        <v>32</v>
      </c>
      <c r="D3053" t="s">
        <v>448</v>
      </c>
      <c r="E3053" t="s">
        <v>3588</v>
      </c>
      <c r="F3053" t="s">
        <v>35</v>
      </c>
      <c r="G3053" t="s">
        <v>35</v>
      </c>
      <c r="H3053" t="s">
        <v>35</v>
      </c>
      <c r="J3053" t="s">
        <v>3596</v>
      </c>
      <c r="K3053" t="s">
        <v>1092</v>
      </c>
      <c r="M3053">
        <v>1.17</v>
      </c>
      <c r="N3053">
        <v>48</v>
      </c>
      <c r="O3053" t="s">
        <v>52</v>
      </c>
      <c r="Q3053" t="s">
        <v>496</v>
      </c>
      <c r="R3053" t="s">
        <v>3561</v>
      </c>
      <c r="S3053" t="s">
        <v>460</v>
      </c>
    </row>
    <row r="3054" spans="1:19" x14ac:dyDescent="0.25">
      <c r="A3054" t="s">
        <v>59</v>
      </c>
      <c r="B3054" t="s">
        <v>31</v>
      </c>
      <c r="C3054" t="s">
        <v>32</v>
      </c>
      <c r="D3054" t="s">
        <v>448</v>
      </c>
      <c r="E3054" t="s">
        <v>3588</v>
      </c>
      <c r="F3054" t="s">
        <v>35</v>
      </c>
      <c r="G3054" t="s">
        <v>35</v>
      </c>
      <c r="H3054" t="s">
        <v>35</v>
      </c>
      <c r="J3054" t="s">
        <v>3597</v>
      </c>
      <c r="K3054" t="s">
        <v>1092</v>
      </c>
      <c r="M3054">
        <v>0.18</v>
      </c>
      <c r="N3054">
        <v>70</v>
      </c>
      <c r="O3054" t="s">
        <v>61</v>
      </c>
      <c r="Q3054" t="s">
        <v>126</v>
      </c>
      <c r="R3054" t="s">
        <v>513</v>
      </c>
      <c r="S3054" t="s">
        <v>514</v>
      </c>
    </row>
    <row r="3055" spans="1:19" x14ac:dyDescent="0.25">
      <c r="A3055" t="s">
        <v>30</v>
      </c>
      <c r="B3055" t="s">
        <v>31</v>
      </c>
      <c r="C3055" t="s">
        <v>32</v>
      </c>
      <c r="D3055" t="s">
        <v>448</v>
      </c>
      <c r="E3055" t="s">
        <v>3588</v>
      </c>
      <c r="F3055" t="s">
        <v>35</v>
      </c>
      <c r="G3055" t="s">
        <v>35</v>
      </c>
      <c r="H3055" t="s">
        <v>35</v>
      </c>
      <c r="J3055" t="s">
        <v>3598</v>
      </c>
      <c r="K3055" t="s">
        <v>1092</v>
      </c>
      <c r="M3055">
        <v>0.45</v>
      </c>
      <c r="N3055">
        <v>48</v>
      </c>
      <c r="O3055" t="s">
        <v>52</v>
      </c>
      <c r="Q3055" t="s">
        <v>496</v>
      </c>
      <c r="R3055" t="s">
        <v>3538</v>
      </c>
      <c r="S3055" t="s">
        <v>3539</v>
      </c>
    </row>
    <row r="3056" spans="1:19" x14ac:dyDescent="0.25">
      <c r="A3056" t="s">
        <v>30</v>
      </c>
      <c r="B3056" t="s">
        <v>31</v>
      </c>
      <c r="C3056" t="s">
        <v>32</v>
      </c>
      <c r="D3056" t="s">
        <v>448</v>
      </c>
      <c r="E3056" t="s">
        <v>3588</v>
      </c>
      <c r="F3056" t="s">
        <v>35</v>
      </c>
      <c r="G3056" t="s">
        <v>35</v>
      </c>
      <c r="H3056" t="s">
        <v>35</v>
      </c>
      <c r="J3056" t="s">
        <v>3599</v>
      </c>
      <c r="K3056" t="s">
        <v>1092</v>
      </c>
      <c r="M3056">
        <v>0.58499999999999996</v>
      </c>
      <c r="N3056">
        <v>53</v>
      </c>
      <c r="O3056" t="s">
        <v>52</v>
      </c>
      <c r="Q3056" t="s">
        <v>332</v>
      </c>
      <c r="R3056" t="s">
        <v>324</v>
      </c>
      <c r="S3056" t="s">
        <v>325</v>
      </c>
    </row>
    <row r="3057" spans="1:19" x14ac:dyDescent="0.25">
      <c r="A3057" t="s">
        <v>30</v>
      </c>
      <c r="B3057" t="s">
        <v>31</v>
      </c>
      <c r="C3057" t="s">
        <v>32</v>
      </c>
      <c r="D3057" t="s">
        <v>448</v>
      </c>
      <c r="E3057" t="s">
        <v>3588</v>
      </c>
      <c r="F3057" t="s">
        <v>35</v>
      </c>
      <c r="G3057" t="s">
        <v>35</v>
      </c>
      <c r="H3057" t="s">
        <v>35</v>
      </c>
      <c r="J3057" t="s">
        <v>3600</v>
      </c>
      <c r="K3057" t="s">
        <v>1092</v>
      </c>
      <c r="M3057">
        <v>2.4300000000000002</v>
      </c>
      <c r="N3057">
        <v>53</v>
      </c>
      <c r="O3057" t="s">
        <v>52</v>
      </c>
      <c r="Q3057" t="s">
        <v>332</v>
      </c>
      <c r="R3057" t="s">
        <v>324</v>
      </c>
      <c r="S3057" t="s">
        <v>325</v>
      </c>
    </row>
    <row r="3058" spans="1:19" x14ac:dyDescent="0.25">
      <c r="A3058" t="s">
        <v>44</v>
      </c>
      <c r="B3058" t="s">
        <v>3</v>
      </c>
      <c r="C3058" t="s">
        <v>32</v>
      </c>
      <c r="D3058" t="s">
        <v>448</v>
      </c>
      <c r="E3058" t="s">
        <v>3588</v>
      </c>
      <c r="F3058" t="s">
        <v>35</v>
      </c>
      <c r="G3058" t="s">
        <v>35</v>
      </c>
      <c r="H3058" t="s">
        <v>35</v>
      </c>
      <c r="J3058" t="s">
        <v>3601</v>
      </c>
      <c r="K3058" t="s">
        <v>1092</v>
      </c>
      <c r="M3058">
        <v>0.1</v>
      </c>
      <c r="N3058">
        <v>496</v>
      </c>
      <c r="O3058" t="s">
        <v>294</v>
      </c>
      <c r="Q3058" t="s">
        <v>3602</v>
      </c>
      <c r="R3058" t="s">
        <v>3561</v>
      </c>
      <c r="S3058" t="s">
        <v>460</v>
      </c>
    </row>
    <row r="3059" spans="1:19" x14ac:dyDescent="0.25">
      <c r="A3059" t="s">
        <v>59</v>
      </c>
      <c r="B3059" t="s">
        <v>31</v>
      </c>
      <c r="C3059" t="s">
        <v>32</v>
      </c>
      <c r="D3059" t="s">
        <v>448</v>
      </c>
      <c r="E3059" t="s">
        <v>3588</v>
      </c>
      <c r="F3059" t="s">
        <v>35</v>
      </c>
      <c r="G3059" t="s">
        <v>35</v>
      </c>
      <c r="H3059" t="s">
        <v>35</v>
      </c>
      <c r="J3059" t="s">
        <v>3603</v>
      </c>
      <c r="K3059" t="s">
        <v>1092</v>
      </c>
      <c r="M3059">
        <v>4.0000000000000001E-3</v>
      </c>
      <c r="N3059">
        <v>1897</v>
      </c>
      <c r="O3059" t="s">
        <v>575</v>
      </c>
      <c r="Q3059" t="s">
        <v>2985</v>
      </c>
      <c r="R3059" t="s">
        <v>3604</v>
      </c>
      <c r="S3059" t="s">
        <v>3605</v>
      </c>
    </row>
    <row r="3060" spans="1:19" x14ac:dyDescent="0.25">
      <c r="A3060" t="s">
        <v>44</v>
      </c>
      <c r="B3060" t="s">
        <v>3</v>
      </c>
      <c r="C3060" t="s">
        <v>32</v>
      </c>
      <c r="D3060" t="s">
        <v>448</v>
      </c>
      <c r="E3060" t="s">
        <v>3588</v>
      </c>
      <c r="F3060" t="s">
        <v>35</v>
      </c>
      <c r="G3060" t="s">
        <v>35</v>
      </c>
      <c r="H3060" t="s">
        <v>35</v>
      </c>
      <c r="J3060" t="s">
        <v>3607</v>
      </c>
      <c r="K3060" t="s">
        <v>1092</v>
      </c>
      <c r="M3060">
        <v>0.25</v>
      </c>
      <c r="N3060">
        <v>430</v>
      </c>
      <c r="O3060" t="s">
        <v>294</v>
      </c>
      <c r="Q3060" t="s">
        <v>1712</v>
      </c>
      <c r="R3060" t="s">
        <v>3561</v>
      </c>
      <c r="S3060" t="s">
        <v>460</v>
      </c>
    </row>
    <row r="3061" spans="1:19" x14ac:dyDescent="0.25">
      <c r="A3061" t="s">
        <v>44</v>
      </c>
      <c r="B3061" t="s">
        <v>3</v>
      </c>
      <c r="C3061" t="s">
        <v>32</v>
      </c>
      <c r="D3061" t="s">
        <v>448</v>
      </c>
      <c r="E3061" t="s">
        <v>3588</v>
      </c>
      <c r="F3061" t="s">
        <v>35</v>
      </c>
      <c r="G3061" t="s">
        <v>35</v>
      </c>
      <c r="H3061" t="s">
        <v>35</v>
      </c>
      <c r="J3061" t="s">
        <v>3607</v>
      </c>
      <c r="K3061" t="s">
        <v>1092</v>
      </c>
      <c r="M3061">
        <v>0.5</v>
      </c>
      <c r="N3061">
        <v>454</v>
      </c>
      <c r="O3061" t="s">
        <v>294</v>
      </c>
      <c r="Q3061" t="s">
        <v>1413</v>
      </c>
      <c r="R3061" t="s">
        <v>3561</v>
      </c>
      <c r="S3061" t="s">
        <v>460</v>
      </c>
    </row>
    <row r="3062" spans="1:19" x14ac:dyDescent="0.25">
      <c r="A3062" t="s">
        <v>59</v>
      </c>
      <c r="B3062" t="s">
        <v>31</v>
      </c>
      <c r="C3062" t="s">
        <v>32</v>
      </c>
      <c r="D3062" t="s">
        <v>448</v>
      </c>
      <c r="E3062" t="s">
        <v>3588</v>
      </c>
      <c r="F3062" t="s">
        <v>35</v>
      </c>
      <c r="G3062" t="s">
        <v>35</v>
      </c>
      <c r="H3062" t="s">
        <v>35</v>
      </c>
      <c r="J3062" t="s">
        <v>3608</v>
      </c>
      <c r="K3062" t="s">
        <v>1092</v>
      </c>
      <c r="M3062">
        <v>2.0249999999999999</v>
      </c>
      <c r="N3062">
        <v>65</v>
      </c>
      <c r="O3062" t="s">
        <v>61</v>
      </c>
      <c r="Q3062" t="s">
        <v>128</v>
      </c>
      <c r="R3062" t="s">
        <v>324</v>
      </c>
      <c r="S3062" t="s">
        <v>325</v>
      </c>
    </row>
    <row r="3063" spans="1:19" x14ac:dyDescent="0.25">
      <c r="A3063" t="s">
        <v>30</v>
      </c>
      <c r="B3063" t="s">
        <v>31</v>
      </c>
      <c r="C3063" t="s">
        <v>32</v>
      </c>
      <c r="D3063" t="s">
        <v>448</v>
      </c>
      <c r="E3063" t="s">
        <v>3609</v>
      </c>
      <c r="F3063" t="s">
        <v>35</v>
      </c>
      <c r="G3063" t="s">
        <v>35</v>
      </c>
      <c r="H3063" t="s">
        <v>35</v>
      </c>
      <c r="J3063" t="s">
        <v>3610</v>
      </c>
      <c r="K3063" t="s">
        <v>1092</v>
      </c>
      <c r="M3063">
        <v>0.54</v>
      </c>
      <c r="N3063">
        <v>265</v>
      </c>
      <c r="O3063" t="s">
        <v>5</v>
      </c>
      <c r="Q3063" t="s">
        <v>1754</v>
      </c>
      <c r="R3063" t="s">
        <v>324</v>
      </c>
      <c r="S3063" t="s">
        <v>325</v>
      </c>
    </row>
    <row r="3064" spans="1:19" x14ac:dyDescent="0.25">
      <c r="A3064" t="s">
        <v>44</v>
      </c>
      <c r="B3064" t="s">
        <v>3</v>
      </c>
      <c r="C3064" t="s">
        <v>32</v>
      </c>
      <c r="D3064" t="s">
        <v>448</v>
      </c>
      <c r="E3064" t="s">
        <v>3609</v>
      </c>
      <c r="F3064" t="s">
        <v>35</v>
      </c>
      <c r="G3064" t="s">
        <v>35</v>
      </c>
      <c r="H3064" t="s">
        <v>35</v>
      </c>
      <c r="J3064" t="s">
        <v>3611</v>
      </c>
      <c r="K3064" t="s">
        <v>1092</v>
      </c>
      <c r="M3064">
        <v>0.75</v>
      </c>
      <c r="N3064">
        <v>494</v>
      </c>
      <c r="O3064" t="s">
        <v>294</v>
      </c>
      <c r="Q3064" t="s">
        <v>3564</v>
      </c>
      <c r="R3064" t="s">
        <v>3612</v>
      </c>
      <c r="S3064" t="s">
        <v>474</v>
      </c>
    </row>
    <row r="3065" spans="1:19" x14ac:dyDescent="0.25">
      <c r="A3065" t="s">
        <v>30</v>
      </c>
      <c r="B3065" t="s">
        <v>31</v>
      </c>
      <c r="C3065" t="s">
        <v>32</v>
      </c>
      <c r="D3065" t="s">
        <v>448</v>
      </c>
      <c r="E3065" t="s">
        <v>3609</v>
      </c>
      <c r="F3065" t="s">
        <v>35</v>
      </c>
      <c r="G3065" t="s">
        <v>35</v>
      </c>
      <c r="H3065" t="s">
        <v>35</v>
      </c>
      <c r="J3065" t="s">
        <v>3613</v>
      </c>
      <c r="K3065" t="s">
        <v>1092</v>
      </c>
      <c r="M3065">
        <v>4.4999999999999998E-2</v>
      </c>
      <c r="N3065">
        <v>1224</v>
      </c>
      <c r="O3065" t="s">
        <v>575</v>
      </c>
      <c r="Q3065" t="s">
        <v>3614</v>
      </c>
      <c r="R3065" t="s">
        <v>507</v>
      </c>
      <c r="S3065" t="s">
        <v>508</v>
      </c>
    </row>
    <row r="3066" spans="1:19" x14ac:dyDescent="0.25">
      <c r="A3066" t="s">
        <v>59</v>
      </c>
      <c r="B3066" t="s">
        <v>60</v>
      </c>
      <c r="C3066" t="s">
        <v>32</v>
      </c>
      <c r="D3066" t="s">
        <v>448</v>
      </c>
      <c r="E3066" t="s">
        <v>3609</v>
      </c>
      <c r="F3066" t="s">
        <v>35</v>
      </c>
      <c r="G3066" t="s">
        <v>35</v>
      </c>
      <c r="H3066" t="s">
        <v>35</v>
      </c>
      <c r="J3066" t="s">
        <v>3613</v>
      </c>
      <c r="K3066" t="s">
        <v>1092</v>
      </c>
      <c r="M3066">
        <v>0.75</v>
      </c>
      <c r="N3066">
        <v>76</v>
      </c>
      <c r="O3066" t="s">
        <v>61</v>
      </c>
      <c r="Q3066" t="s">
        <v>234</v>
      </c>
      <c r="R3066" t="s">
        <v>507</v>
      </c>
      <c r="S3066" t="s">
        <v>508</v>
      </c>
    </row>
    <row r="3067" spans="1:19" x14ac:dyDescent="0.25">
      <c r="A3067" t="s">
        <v>30</v>
      </c>
      <c r="B3067" t="s">
        <v>31</v>
      </c>
      <c r="C3067" t="s">
        <v>32</v>
      </c>
      <c r="D3067" t="s">
        <v>448</v>
      </c>
      <c r="E3067" t="s">
        <v>3609</v>
      </c>
      <c r="F3067" t="s">
        <v>35</v>
      </c>
      <c r="G3067" t="s">
        <v>35</v>
      </c>
      <c r="H3067" t="s">
        <v>35</v>
      </c>
      <c r="J3067" t="s">
        <v>3615</v>
      </c>
      <c r="K3067" t="s">
        <v>1092</v>
      </c>
      <c r="M3067">
        <v>6.93</v>
      </c>
      <c r="N3067">
        <v>30</v>
      </c>
      <c r="O3067" t="s">
        <v>46</v>
      </c>
      <c r="Q3067" t="s">
        <v>793</v>
      </c>
      <c r="R3067" t="s">
        <v>3612</v>
      </c>
      <c r="S3067" t="s">
        <v>474</v>
      </c>
    </row>
    <row r="3068" spans="1:19" x14ac:dyDescent="0.25">
      <c r="A3068" t="s">
        <v>30</v>
      </c>
      <c r="B3068" t="s">
        <v>31</v>
      </c>
      <c r="C3068" t="s">
        <v>32</v>
      </c>
      <c r="D3068" t="s">
        <v>448</v>
      </c>
      <c r="E3068" t="s">
        <v>3609</v>
      </c>
      <c r="F3068" t="s">
        <v>35</v>
      </c>
      <c r="G3068" t="s">
        <v>35</v>
      </c>
      <c r="H3068" t="s">
        <v>35</v>
      </c>
      <c r="J3068" t="s">
        <v>3616</v>
      </c>
      <c r="K3068" t="s">
        <v>1092</v>
      </c>
      <c r="M3068">
        <v>0.03</v>
      </c>
      <c r="N3068">
        <v>1924</v>
      </c>
      <c r="O3068" t="s">
        <v>575</v>
      </c>
      <c r="Q3068" t="s">
        <v>3617</v>
      </c>
      <c r="R3068" t="s">
        <v>3618</v>
      </c>
      <c r="S3068" t="s">
        <v>3619</v>
      </c>
    </row>
    <row r="3069" spans="1:19" x14ac:dyDescent="0.25">
      <c r="A3069" t="s">
        <v>30</v>
      </c>
      <c r="B3069" t="s">
        <v>31</v>
      </c>
      <c r="C3069" t="s">
        <v>32</v>
      </c>
      <c r="D3069" t="s">
        <v>448</v>
      </c>
      <c r="E3069" t="s">
        <v>3609</v>
      </c>
      <c r="F3069" t="s">
        <v>35</v>
      </c>
      <c r="G3069" t="s">
        <v>35</v>
      </c>
      <c r="H3069" t="s">
        <v>35</v>
      </c>
      <c r="J3069" t="s">
        <v>3621</v>
      </c>
      <c r="K3069" t="s">
        <v>1092</v>
      </c>
      <c r="M3069">
        <v>5.0000000000000001E-3</v>
      </c>
      <c r="N3069">
        <v>1916</v>
      </c>
      <c r="O3069" t="s">
        <v>575</v>
      </c>
      <c r="Q3069" t="s">
        <v>3622</v>
      </c>
      <c r="R3069" t="s">
        <v>3623</v>
      </c>
      <c r="S3069" t="s">
        <v>3624</v>
      </c>
    </row>
    <row r="3070" spans="1:19" x14ac:dyDescent="0.25">
      <c r="A3070" t="s">
        <v>44</v>
      </c>
      <c r="B3070" t="s">
        <v>3</v>
      </c>
      <c r="C3070" t="s">
        <v>32</v>
      </c>
      <c r="D3070" t="s">
        <v>448</v>
      </c>
      <c r="E3070" t="s">
        <v>3609</v>
      </c>
      <c r="F3070" t="s">
        <v>35</v>
      </c>
      <c r="G3070" t="s">
        <v>35</v>
      </c>
      <c r="H3070" t="s">
        <v>35</v>
      </c>
      <c r="J3070" t="s">
        <v>3626</v>
      </c>
      <c r="K3070" t="s">
        <v>1092</v>
      </c>
      <c r="M3070">
        <v>0.55000000000000004</v>
      </c>
      <c r="N3070">
        <v>494</v>
      </c>
      <c r="O3070" t="s">
        <v>294</v>
      </c>
      <c r="Q3070" t="s">
        <v>3564</v>
      </c>
      <c r="R3070" t="s">
        <v>3612</v>
      </c>
      <c r="S3070" t="s">
        <v>474</v>
      </c>
    </row>
    <row r="3071" spans="1:19" x14ac:dyDescent="0.25">
      <c r="A3071" t="s">
        <v>30</v>
      </c>
      <c r="B3071" t="s">
        <v>31</v>
      </c>
      <c r="C3071" t="s">
        <v>32</v>
      </c>
      <c r="D3071" t="s">
        <v>448</v>
      </c>
      <c r="E3071" t="s">
        <v>3609</v>
      </c>
      <c r="F3071" t="s">
        <v>35</v>
      </c>
      <c r="G3071" t="s">
        <v>35</v>
      </c>
      <c r="H3071" t="s">
        <v>35</v>
      </c>
      <c r="J3071" t="s">
        <v>3626</v>
      </c>
      <c r="K3071" t="s">
        <v>1092</v>
      </c>
      <c r="M3071">
        <v>0.27</v>
      </c>
      <c r="N3071">
        <v>1249</v>
      </c>
      <c r="O3071" t="s">
        <v>575</v>
      </c>
      <c r="Q3071" t="s">
        <v>3627</v>
      </c>
      <c r="R3071" t="s">
        <v>3612</v>
      </c>
      <c r="S3071" t="s">
        <v>474</v>
      </c>
    </row>
    <row r="3072" spans="1:19" x14ac:dyDescent="0.25">
      <c r="A3072" t="s">
        <v>30</v>
      </c>
      <c r="B3072" t="s">
        <v>31</v>
      </c>
      <c r="C3072" t="s">
        <v>32</v>
      </c>
      <c r="D3072" t="s">
        <v>448</v>
      </c>
      <c r="E3072" t="s">
        <v>3609</v>
      </c>
      <c r="F3072" t="s">
        <v>35</v>
      </c>
      <c r="G3072" t="s">
        <v>35</v>
      </c>
      <c r="H3072" t="s">
        <v>35</v>
      </c>
      <c r="J3072" t="s">
        <v>3628</v>
      </c>
      <c r="K3072" t="s">
        <v>1092</v>
      </c>
      <c r="M3072">
        <v>0.14499999999999999</v>
      </c>
      <c r="N3072">
        <v>2559</v>
      </c>
      <c r="O3072" t="s">
        <v>575</v>
      </c>
      <c r="Q3072" t="s">
        <v>3629</v>
      </c>
      <c r="R3072" t="s">
        <v>3618</v>
      </c>
      <c r="S3072" t="s">
        <v>3619</v>
      </c>
    </row>
    <row r="3073" spans="1:19" x14ac:dyDescent="0.25">
      <c r="A3073" t="s">
        <v>59</v>
      </c>
      <c r="B3073" t="s">
        <v>31</v>
      </c>
      <c r="C3073" t="s">
        <v>32</v>
      </c>
      <c r="D3073" t="s">
        <v>448</v>
      </c>
      <c r="E3073" t="s">
        <v>3609</v>
      </c>
      <c r="F3073" t="s">
        <v>35</v>
      </c>
      <c r="G3073" t="s">
        <v>35</v>
      </c>
      <c r="H3073" t="s">
        <v>35</v>
      </c>
      <c r="J3073" t="s">
        <v>3630</v>
      </c>
      <c r="K3073" t="s">
        <v>1092</v>
      </c>
      <c r="M3073">
        <v>0.27</v>
      </c>
      <c r="N3073">
        <v>1201</v>
      </c>
      <c r="O3073" t="s">
        <v>575</v>
      </c>
      <c r="Q3073" t="s">
        <v>3631</v>
      </c>
      <c r="R3073" t="s">
        <v>3623</v>
      </c>
      <c r="S3073" t="s">
        <v>3624</v>
      </c>
    </row>
    <row r="3074" spans="1:19" x14ac:dyDescent="0.25">
      <c r="A3074" t="s">
        <v>30</v>
      </c>
      <c r="B3074" t="s">
        <v>31</v>
      </c>
      <c r="C3074" t="s">
        <v>32</v>
      </c>
      <c r="D3074" t="s">
        <v>448</v>
      </c>
      <c r="E3074" t="s">
        <v>3609</v>
      </c>
      <c r="F3074" t="s">
        <v>35</v>
      </c>
      <c r="G3074" t="s">
        <v>35</v>
      </c>
      <c r="H3074" t="s">
        <v>35</v>
      </c>
      <c r="J3074" t="s">
        <v>3632</v>
      </c>
      <c r="K3074" t="s">
        <v>1092</v>
      </c>
      <c r="M3074">
        <v>4.4999999999999998E-2</v>
      </c>
      <c r="N3074">
        <v>1355</v>
      </c>
      <c r="O3074" t="s">
        <v>575</v>
      </c>
      <c r="Q3074" t="s">
        <v>3633</v>
      </c>
      <c r="R3074" t="s">
        <v>3618</v>
      </c>
      <c r="S3074" t="s">
        <v>3619</v>
      </c>
    </row>
    <row r="3075" spans="1:19" x14ac:dyDescent="0.25">
      <c r="A3075" t="s">
        <v>44</v>
      </c>
      <c r="B3075" t="s">
        <v>3</v>
      </c>
      <c r="C3075" t="s">
        <v>32</v>
      </c>
      <c r="D3075" t="s">
        <v>448</v>
      </c>
      <c r="E3075" t="s">
        <v>3634</v>
      </c>
      <c r="F3075" t="s">
        <v>35</v>
      </c>
      <c r="G3075" t="s">
        <v>35</v>
      </c>
      <c r="H3075" t="s">
        <v>35</v>
      </c>
      <c r="J3075" t="s">
        <v>3635</v>
      </c>
      <c r="K3075" t="s">
        <v>1092</v>
      </c>
      <c r="M3075">
        <v>0.35</v>
      </c>
      <c r="N3075">
        <v>584</v>
      </c>
      <c r="O3075" t="s">
        <v>575</v>
      </c>
      <c r="Q3075" t="s">
        <v>3636</v>
      </c>
      <c r="R3075" t="s">
        <v>324</v>
      </c>
      <c r="S3075" t="s">
        <v>325</v>
      </c>
    </row>
    <row r="3076" spans="1:19" x14ac:dyDescent="0.25">
      <c r="A3076" t="s">
        <v>59</v>
      </c>
      <c r="B3076" t="s">
        <v>31</v>
      </c>
      <c r="C3076" t="s">
        <v>32</v>
      </c>
      <c r="D3076" t="s">
        <v>448</v>
      </c>
      <c r="E3076" t="s">
        <v>3634</v>
      </c>
      <c r="F3076" t="s">
        <v>35</v>
      </c>
      <c r="G3076" t="s">
        <v>35</v>
      </c>
      <c r="H3076" t="s">
        <v>35</v>
      </c>
      <c r="J3076" t="s">
        <v>3637</v>
      </c>
      <c r="K3076" t="s">
        <v>1092</v>
      </c>
      <c r="M3076">
        <v>1.35</v>
      </c>
      <c r="N3076">
        <v>77</v>
      </c>
      <c r="O3076" t="s">
        <v>61</v>
      </c>
      <c r="Q3076" t="s">
        <v>305</v>
      </c>
      <c r="R3076" t="s">
        <v>324</v>
      </c>
      <c r="S3076" t="s">
        <v>325</v>
      </c>
    </row>
    <row r="3077" spans="1:19" x14ac:dyDescent="0.25">
      <c r="A3077" t="s">
        <v>59</v>
      </c>
      <c r="B3077" t="s">
        <v>60</v>
      </c>
      <c r="C3077" t="s">
        <v>32</v>
      </c>
      <c r="D3077" t="s">
        <v>448</v>
      </c>
      <c r="E3077" t="s">
        <v>3634</v>
      </c>
      <c r="F3077" t="s">
        <v>35</v>
      </c>
      <c r="G3077" t="s">
        <v>35</v>
      </c>
      <c r="H3077" t="s">
        <v>35</v>
      </c>
      <c r="J3077" t="s">
        <v>3637</v>
      </c>
      <c r="K3077" t="s">
        <v>1092</v>
      </c>
      <c r="M3077">
        <v>0.15</v>
      </c>
      <c r="N3077">
        <v>77</v>
      </c>
      <c r="O3077" t="s">
        <v>61</v>
      </c>
      <c r="Q3077" t="s">
        <v>305</v>
      </c>
      <c r="R3077" t="s">
        <v>324</v>
      </c>
      <c r="S3077" t="s">
        <v>325</v>
      </c>
    </row>
    <row r="3078" spans="1:19" x14ac:dyDescent="0.25">
      <c r="A3078" t="s">
        <v>59</v>
      </c>
      <c r="B3078" t="s">
        <v>60</v>
      </c>
      <c r="C3078" t="s">
        <v>32</v>
      </c>
      <c r="D3078" t="s">
        <v>448</v>
      </c>
      <c r="E3078" t="s">
        <v>3634</v>
      </c>
      <c r="F3078" t="s">
        <v>35</v>
      </c>
      <c r="G3078" t="s">
        <v>35</v>
      </c>
      <c r="H3078" t="s">
        <v>35</v>
      </c>
      <c r="J3078" t="s">
        <v>3643</v>
      </c>
      <c r="K3078" t="s">
        <v>1092</v>
      </c>
      <c r="M3078">
        <v>5</v>
      </c>
      <c r="N3078">
        <v>81</v>
      </c>
      <c r="O3078" t="s">
        <v>61</v>
      </c>
      <c r="Q3078" t="s">
        <v>527</v>
      </c>
      <c r="R3078" t="s">
        <v>324</v>
      </c>
      <c r="S3078" t="s">
        <v>325</v>
      </c>
    </row>
    <row r="3079" spans="1:19" x14ac:dyDescent="0.25">
      <c r="A3079" t="s">
        <v>59</v>
      </c>
      <c r="B3079" t="s">
        <v>60</v>
      </c>
      <c r="C3079" t="s">
        <v>32</v>
      </c>
      <c r="D3079" t="s">
        <v>448</v>
      </c>
      <c r="E3079" t="s">
        <v>3634</v>
      </c>
      <c r="F3079" t="s">
        <v>35</v>
      </c>
      <c r="G3079" t="s">
        <v>35</v>
      </c>
      <c r="H3079" t="s">
        <v>35</v>
      </c>
      <c r="J3079" t="s">
        <v>3347</v>
      </c>
      <c r="K3079" t="s">
        <v>1092</v>
      </c>
      <c r="M3079">
        <v>0.5</v>
      </c>
      <c r="N3079">
        <v>349</v>
      </c>
      <c r="O3079" t="s">
        <v>5</v>
      </c>
      <c r="Q3079" t="s">
        <v>3644</v>
      </c>
      <c r="R3079" t="s">
        <v>3538</v>
      </c>
      <c r="S3079" t="s">
        <v>3539</v>
      </c>
    </row>
    <row r="3080" spans="1:19" x14ac:dyDescent="0.25">
      <c r="A3080" t="s">
        <v>59</v>
      </c>
      <c r="B3080" t="s">
        <v>60</v>
      </c>
      <c r="C3080" t="s">
        <v>32</v>
      </c>
      <c r="D3080" t="s">
        <v>448</v>
      </c>
      <c r="E3080" t="s">
        <v>3634</v>
      </c>
      <c r="F3080" t="s">
        <v>35</v>
      </c>
      <c r="G3080" t="s">
        <v>35</v>
      </c>
      <c r="H3080" t="s">
        <v>35</v>
      </c>
      <c r="J3080" t="s">
        <v>3645</v>
      </c>
      <c r="K3080" t="s">
        <v>1092</v>
      </c>
      <c r="M3080">
        <v>0.05</v>
      </c>
      <c r="N3080">
        <v>464</v>
      </c>
      <c r="O3080" t="s">
        <v>294</v>
      </c>
      <c r="Q3080" t="s">
        <v>1739</v>
      </c>
      <c r="R3080" t="s">
        <v>3521</v>
      </c>
      <c r="S3080" t="s">
        <v>3522</v>
      </c>
    </row>
    <row r="3081" spans="1:19" x14ac:dyDescent="0.25">
      <c r="A3081" t="s">
        <v>59</v>
      </c>
      <c r="B3081" t="s">
        <v>60</v>
      </c>
      <c r="C3081" t="s">
        <v>32</v>
      </c>
      <c r="D3081" t="s">
        <v>448</v>
      </c>
      <c r="E3081" t="s">
        <v>3634</v>
      </c>
      <c r="F3081" t="s">
        <v>35</v>
      </c>
      <c r="G3081" t="s">
        <v>35</v>
      </c>
      <c r="H3081" t="s">
        <v>35</v>
      </c>
      <c r="J3081" t="s">
        <v>3646</v>
      </c>
      <c r="K3081" t="s">
        <v>1092</v>
      </c>
      <c r="M3081">
        <v>10</v>
      </c>
      <c r="N3081">
        <v>81</v>
      </c>
      <c r="O3081" t="s">
        <v>61</v>
      </c>
      <c r="Q3081" t="s">
        <v>527</v>
      </c>
      <c r="R3081" t="s">
        <v>324</v>
      </c>
      <c r="S3081" t="s">
        <v>325</v>
      </c>
    </row>
    <row r="3082" spans="1:19" x14ac:dyDescent="0.25">
      <c r="A3082" t="s">
        <v>59</v>
      </c>
      <c r="B3082" t="s">
        <v>60</v>
      </c>
      <c r="C3082" t="s">
        <v>32</v>
      </c>
      <c r="D3082" t="s">
        <v>448</v>
      </c>
      <c r="E3082" t="s">
        <v>3634</v>
      </c>
      <c r="F3082" t="s">
        <v>35</v>
      </c>
      <c r="G3082" t="s">
        <v>35</v>
      </c>
      <c r="H3082" t="s">
        <v>35</v>
      </c>
      <c r="J3082" t="s">
        <v>3647</v>
      </c>
      <c r="K3082" t="s">
        <v>1092</v>
      </c>
      <c r="M3082">
        <v>0.1</v>
      </c>
      <c r="N3082">
        <v>915</v>
      </c>
      <c r="O3082" t="s">
        <v>575</v>
      </c>
      <c r="Q3082" t="s">
        <v>3649</v>
      </c>
      <c r="R3082" t="s">
        <v>324</v>
      </c>
      <c r="S3082" t="s">
        <v>325</v>
      </c>
    </row>
    <row r="3083" spans="1:19" x14ac:dyDescent="0.25">
      <c r="A3083" t="s">
        <v>59</v>
      </c>
      <c r="B3083" t="s">
        <v>31</v>
      </c>
      <c r="C3083" t="s">
        <v>32</v>
      </c>
      <c r="D3083" t="s">
        <v>448</v>
      </c>
      <c r="E3083" t="s">
        <v>3634</v>
      </c>
      <c r="F3083" t="s">
        <v>35</v>
      </c>
      <c r="G3083" t="s">
        <v>35</v>
      </c>
      <c r="H3083" t="s">
        <v>35</v>
      </c>
      <c r="J3083" t="s">
        <v>3647</v>
      </c>
      <c r="K3083" t="s">
        <v>1092</v>
      </c>
      <c r="M3083">
        <v>0.02</v>
      </c>
      <c r="N3083">
        <v>1601</v>
      </c>
      <c r="O3083" t="s">
        <v>575</v>
      </c>
      <c r="Q3083" t="s">
        <v>3648</v>
      </c>
      <c r="R3083" t="s">
        <v>324</v>
      </c>
      <c r="S3083" t="s">
        <v>325</v>
      </c>
    </row>
    <row r="3084" spans="1:19" x14ac:dyDescent="0.25">
      <c r="A3084" t="s">
        <v>44</v>
      </c>
      <c r="B3084" t="s">
        <v>3</v>
      </c>
      <c r="C3084" t="s">
        <v>32</v>
      </c>
      <c r="D3084" t="s">
        <v>448</v>
      </c>
      <c r="E3084" t="s">
        <v>3634</v>
      </c>
      <c r="F3084" t="s">
        <v>35</v>
      </c>
      <c r="G3084" t="s">
        <v>35</v>
      </c>
      <c r="H3084" t="s">
        <v>35</v>
      </c>
      <c r="J3084" t="s">
        <v>3650</v>
      </c>
      <c r="K3084" t="s">
        <v>1092</v>
      </c>
      <c r="M3084">
        <v>0.2</v>
      </c>
      <c r="N3084">
        <v>497</v>
      </c>
      <c r="O3084" t="s">
        <v>294</v>
      </c>
      <c r="Q3084" t="s">
        <v>3653</v>
      </c>
      <c r="R3084" t="s">
        <v>3652</v>
      </c>
      <c r="S3084" t="s">
        <v>498</v>
      </c>
    </row>
    <row r="3085" spans="1:19" x14ac:dyDescent="0.25">
      <c r="A3085" t="s">
        <v>59</v>
      </c>
      <c r="B3085" t="s">
        <v>60</v>
      </c>
      <c r="C3085" t="s">
        <v>32</v>
      </c>
      <c r="D3085" t="s">
        <v>448</v>
      </c>
      <c r="E3085" t="s">
        <v>3634</v>
      </c>
      <c r="F3085" t="s">
        <v>35</v>
      </c>
      <c r="G3085" t="s">
        <v>35</v>
      </c>
      <c r="H3085" t="s">
        <v>35</v>
      </c>
      <c r="J3085" t="s">
        <v>3650</v>
      </c>
      <c r="K3085" t="s">
        <v>1092</v>
      </c>
      <c r="M3085">
        <v>0.1</v>
      </c>
      <c r="N3085">
        <v>471</v>
      </c>
      <c r="O3085" t="s">
        <v>294</v>
      </c>
      <c r="Q3085" t="s">
        <v>3651</v>
      </c>
      <c r="R3085" t="s">
        <v>3652</v>
      </c>
      <c r="S3085" t="s">
        <v>498</v>
      </c>
    </row>
    <row r="3086" spans="1:19" x14ac:dyDescent="0.25">
      <c r="A3086" t="s">
        <v>59</v>
      </c>
      <c r="B3086" t="s">
        <v>60</v>
      </c>
      <c r="C3086" t="s">
        <v>32</v>
      </c>
      <c r="D3086" t="s">
        <v>448</v>
      </c>
      <c r="E3086" t="s">
        <v>3634</v>
      </c>
      <c r="F3086" t="s">
        <v>35</v>
      </c>
      <c r="G3086" t="s">
        <v>35</v>
      </c>
      <c r="H3086" t="s">
        <v>35</v>
      </c>
      <c r="J3086" t="s">
        <v>3650</v>
      </c>
      <c r="K3086" t="s">
        <v>1092</v>
      </c>
      <c r="M3086">
        <v>1</v>
      </c>
      <c r="N3086">
        <v>167</v>
      </c>
      <c r="O3086" t="s">
        <v>38</v>
      </c>
      <c r="Q3086" t="s">
        <v>1120</v>
      </c>
      <c r="R3086" t="s">
        <v>3652</v>
      </c>
      <c r="S3086" t="s">
        <v>498</v>
      </c>
    </row>
    <row r="3087" spans="1:19" x14ac:dyDescent="0.25">
      <c r="A3087" t="s">
        <v>59</v>
      </c>
      <c r="B3087" t="s">
        <v>60</v>
      </c>
      <c r="C3087" t="s">
        <v>32</v>
      </c>
      <c r="D3087" t="s">
        <v>448</v>
      </c>
      <c r="E3087" t="s">
        <v>3634</v>
      </c>
      <c r="F3087" t="s">
        <v>35</v>
      </c>
      <c r="G3087" t="s">
        <v>35</v>
      </c>
      <c r="H3087" t="s">
        <v>35</v>
      </c>
      <c r="J3087" t="s">
        <v>3650</v>
      </c>
      <c r="K3087" t="s">
        <v>1092</v>
      </c>
      <c r="M3087">
        <v>0.5</v>
      </c>
      <c r="N3087">
        <v>448</v>
      </c>
      <c r="O3087" t="s">
        <v>294</v>
      </c>
      <c r="Q3087" t="s">
        <v>1899</v>
      </c>
      <c r="R3087" t="s">
        <v>3652</v>
      </c>
      <c r="S3087" t="s">
        <v>498</v>
      </c>
    </row>
    <row r="3088" spans="1:19" x14ac:dyDescent="0.25">
      <c r="A3088" t="s">
        <v>59</v>
      </c>
      <c r="B3088" t="s">
        <v>60</v>
      </c>
      <c r="C3088" t="s">
        <v>32</v>
      </c>
      <c r="D3088" t="s">
        <v>448</v>
      </c>
      <c r="E3088" t="s">
        <v>3634</v>
      </c>
      <c r="F3088" t="s">
        <v>35</v>
      </c>
      <c r="G3088" t="s">
        <v>35</v>
      </c>
      <c r="H3088" t="s">
        <v>35</v>
      </c>
      <c r="J3088" t="s">
        <v>3654</v>
      </c>
      <c r="K3088" t="s">
        <v>1092</v>
      </c>
      <c r="M3088">
        <v>0.15</v>
      </c>
      <c r="N3088">
        <v>136</v>
      </c>
      <c r="O3088" t="s">
        <v>38</v>
      </c>
      <c r="Q3088" t="s">
        <v>157</v>
      </c>
      <c r="R3088" t="s">
        <v>3652</v>
      </c>
      <c r="S3088" t="s">
        <v>498</v>
      </c>
    </row>
    <row r="3089" spans="1:19" x14ac:dyDescent="0.25">
      <c r="A3089" t="s">
        <v>59</v>
      </c>
      <c r="B3089" t="s">
        <v>60</v>
      </c>
      <c r="C3089" t="s">
        <v>32</v>
      </c>
      <c r="D3089" t="s">
        <v>448</v>
      </c>
      <c r="E3089" t="s">
        <v>3634</v>
      </c>
      <c r="F3089" t="s">
        <v>35</v>
      </c>
      <c r="G3089" t="s">
        <v>35</v>
      </c>
      <c r="H3089" t="s">
        <v>35</v>
      </c>
      <c r="J3089" t="s">
        <v>3655</v>
      </c>
      <c r="K3089" t="s">
        <v>1092</v>
      </c>
      <c r="M3089">
        <v>2.95</v>
      </c>
      <c r="N3089">
        <v>288</v>
      </c>
      <c r="O3089" t="s">
        <v>5</v>
      </c>
      <c r="Q3089" t="s">
        <v>1421</v>
      </c>
      <c r="R3089" t="s">
        <v>3656</v>
      </c>
      <c r="S3089" t="s">
        <v>3657</v>
      </c>
    </row>
    <row r="3090" spans="1:19" x14ac:dyDescent="0.25">
      <c r="A3090" t="s">
        <v>59</v>
      </c>
      <c r="B3090" t="s">
        <v>60</v>
      </c>
      <c r="C3090" t="s">
        <v>32</v>
      </c>
      <c r="D3090" t="s">
        <v>448</v>
      </c>
      <c r="E3090" t="s">
        <v>3634</v>
      </c>
      <c r="F3090" t="s">
        <v>35</v>
      </c>
      <c r="G3090" t="s">
        <v>35</v>
      </c>
      <c r="H3090" t="s">
        <v>35</v>
      </c>
      <c r="J3090" t="s">
        <v>3659</v>
      </c>
      <c r="K3090" t="s">
        <v>1092</v>
      </c>
      <c r="M3090">
        <v>0.05</v>
      </c>
      <c r="N3090">
        <v>91</v>
      </c>
      <c r="O3090" t="s">
        <v>106</v>
      </c>
      <c r="Q3090" t="s">
        <v>1147</v>
      </c>
      <c r="R3090" t="s">
        <v>3652</v>
      </c>
      <c r="S3090" t="s">
        <v>498</v>
      </c>
    </row>
    <row r="3091" spans="1:19" x14ac:dyDescent="0.25">
      <c r="A3091" t="s">
        <v>59</v>
      </c>
      <c r="B3091" t="s">
        <v>60</v>
      </c>
      <c r="C3091" t="s">
        <v>32</v>
      </c>
      <c r="D3091" t="s">
        <v>448</v>
      </c>
      <c r="E3091" t="s">
        <v>3634</v>
      </c>
      <c r="F3091" t="s">
        <v>35</v>
      </c>
      <c r="G3091" t="s">
        <v>35</v>
      </c>
      <c r="H3091" t="s">
        <v>35</v>
      </c>
      <c r="J3091" t="s">
        <v>3660</v>
      </c>
      <c r="K3091" t="s">
        <v>1092</v>
      </c>
      <c r="M3091">
        <v>3</v>
      </c>
      <c r="N3091">
        <v>456</v>
      </c>
      <c r="O3091" t="s">
        <v>294</v>
      </c>
      <c r="Q3091" t="s">
        <v>3661</v>
      </c>
      <c r="R3091" t="s">
        <v>3521</v>
      </c>
      <c r="S3091" t="s">
        <v>3522</v>
      </c>
    </row>
    <row r="3092" spans="1:19" x14ac:dyDescent="0.25">
      <c r="A3092" t="s">
        <v>59</v>
      </c>
      <c r="B3092" t="s">
        <v>60</v>
      </c>
      <c r="C3092" t="s">
        <v>32</v>
      </c>
      <c r="D3092" t="s">
        <v>448</v>
      </c>
      <c r="E3092" t="s">
        <v>3634</v>
      </c>
      <c r="F3092" t="s">
        <v>35</v>
      </c>
      <c r="G3092" t="s">
        <v>35</v>
      </c>
      <c r="H3092" t="s">
        <v>35</v>
      </c>
      <c r="J3092" t="s">
        <v>3660</v>
      </c>
      <c r="K3092" t="s">
        <v>1092</v>
      </c>
      <c r="M3092">
        <v>1.5</v>
      </c>
      <c r="N3092">
        <v>535</v>
      </c>
      <c r="O3092" t="s">
        <v>294</v>
      </c>
      <c r="Q3092" t="s">
        <v>2086</v>
      </c>
      <c r="R3092" t="s">
        <v>3517</v>
      </c>
      <c r="S3092" t="s">
        <v>450</v>
      </c>
    </row>
    <row r="3093" spans="1:19" x14ac:dyDescent="0.25">
      <c r="A3093" t="s">
        <v>59</v>
      </c>
      <c r="B3093" t="s">
        <v>60</v>
      </c>
      <c r="C3093" t="s">
        <v>32</v>
      </c>
      <c r="D3093" t="s">
        <v>448</v>
      </c>
      <c r="E3093" t="s">
        <v>3634</v>
      </c>
      <c r="F3093" t="s">
        <v>35</v>
      </c>
      <c r="G3093" t="s">
        <v>35</v>
      </c>
      <c r="H3093" t="s">
        <v>35</v>
      </c>
      <c r="J3093" t="s">
        <v>3660</v>
      </c>
      <c r="K3093" t="s">
        <v>1092</v>
      </c>
      <c r="M3093">
        <v>1.5</v>
      </c>
      <c r="N3093">
        <v>469</v>
      </c>
      <c r="O3093" t="s">
        <v>294</v>
      </c>
      <c r="Q3093" t="s">
        <v>3662</v>
      </c>
      <c r="R3093" t="s">
        <v>3521</v>
      </c>
      <c r="S3093" t="s">
        <v>3522</v>
      </c>
    </row>
    <row r="3094" spans="1:19" x14ac:dyDescent="0.25">
      <c r="A3094" t="s">
        <v>59</v>
      </c>
      <c r="B3094" t="s">
        <v>60</v>
      </c>
      <c r="C3094" t="s">
        <v>32</v>
      </c>
      <c r="D3094" t="s">
        <v>448</v>
      </c>
      <c r="E3094" t="s">
        <v>3634</v>
      </c>
      <c r="F3094" t="s">
        <v>35</v>
      </c>
      <c r="G3094" t="s">
        <v>35</v>
      </c>
      <c r="H3094" t="s">
        <v>35</v>
      </c>
      <c r="J3094" t="s">
        <v>3663</v>
      </c>
      <c r="K3094" t="s">
        <v>1092</v>
      </c>
      <c r="M3094">
        <v>0.25</v>
      </c>
      <c r="N3094">
        <v>261</v>
      </c>
      <c r="O3094" t="s">
        <v>5</v>
      </c>
      <c r="Q3094" t="s">
        <v>2522</v>
      </c>
      <c r="R3094" t="s">
        <v>324</v>
      </c>
      <c r="S3094" t="s">
        <v>325</v>
      </c>
    </row>
    <row r="3095" spans="1:19" x14ac:dyDescent="0.25">
      <c r="A3095" t="s">
        <v>44</v>
      </c>
      <c r="B3095" t="s">
        <v>3</v>
      </c>
      <c r="C3095" t="s">
        <v>32</v>
      </c>
      <c r="D3095" t="s">
        <v>448</v>
      </c>
      <c r="E3095" t="s">
        <v>3634</v>
      </c>
      <c r="F3095" t="s">
        <v>35</v>
      </c>
      <c r="G3095" t="s">
        <v>35</v>
      </c>
      <c r="H3095" t="s">
        <v>35</v>
      </c>
      <c r="J3095" t="s">
        <v>3663</v>
      </c>
      <c r="K3095" t="s">
        <v>1092</v>
      </c>
      <c r="M3095">
        <v>0.45</v>
      </c>
      <c r="N3095">
        <v>531</v>
      </c>
      <c r="O3095" t="s">
        <v>294</v>
      </c>
      <c r="Q3095" t="s">
        <v>1619</v>
      </c>
      <c r="R3095" t="s">
        <v>3664</v>
      </c>
      <c r="S3095" t="s">
        <v>3665</v>
      </c>
    </row>
    <row r="3096" spans="1:19" x14ac:dyDescent="0.25">
      <c r="A3096" t="s">
        <v>59</v>
      </c>
      <c r="B3096" t="s">
        <v>60</v>
      </c>
      <c r="C3096" t="s">
        <v>32</v>
      </c>
      <c r="D3096" t="s">
        <v>448</v>
      </c>
      <c r="E3096" t="s">
        <v>3634</v>
      </c>
      <c r="F3096" t="s">
        <v>35</v>
      </c>
      <c r="G3096" t="s">
        <v>35</v>
      </c>
      <c r="H3096" t="s">
        <v>35</v>
      </c>
      <c r="J3096" t="s">
        <v>3667</v>
      </c>
      <c r="K3096" t="s">
        <v>1092</v>
      </c>
      <c r="M3096">
        <v>0.2</v>
      </c>
      <c r="N3096">
        <v>122</v>
      </c>
      <c r="O3096" t="s">
        <v>38</v>
      </c>
      <c r="Q3096" t="s">
        <v>3430</v>
      </c>
      <c r="R3096" t="s">
        <v>3652</v>
      </c>
      <c r="S3096" t="s">
        <v>498</v>
      </c>
    </row>
    <row r="3097" spans="1:19" x14ac:dyDescent="0.25">
      <c r="A3097" t="s">
        <v>59</v>
      </c>
      <c r="B3097" t="s">
        <v>60</v>
      </c>
      <c r="C3097" t="s">
        <v>32</v>
      </c>
      <c r="D3097" t="s">
        <v>448</v>
      </c>
      <c r="E3097" t="s">
        <v>3634</v>
      </c>
      <c r="F3097" t="s">
        <v>35</v>
      </c>
      <c r="G3097" t="s">
        <v>35</v>
      </c>
      <c r="H3097" t="s">
        <v>35</v>
      </c>
      <c r="J3097" t="s">
        <v>3667</v>
      </c>
      <c r="K3097" t="s">
        <v>1092</v>
      </c>
      <c r="M3097">
        <v>0.5</v>
      </c>
      <c r="N3097">
        <v>142</v>
      </c>
      <c r="O3097" t="s">
        <v>38</v>
      </c>
      <c r="Q3097" t="s">
        <v>2067</v>
      </c>
      <c r="R3097" t="s">
        <v>3652</v>
      </c>
      <c r="S3097" t="s">
        <v>498</v>
      </c>
    </row>
    <row r="3098" spans="1:19" x14ac:dyDescent="0.25">
      <c r="A3098" t="s">
        <v>59</v>
      </c>
      <c r="B3098" t="s">
        <v>60</v>
      </c>
      <c r="C3098" t="s">
        <v>32</v>
      </c>
      <c r="D3098" t="s">
        <v>448</v>
      </c>
      <c r="E3098" t="s">
        <v>3634</v>
      </c>
      <c r="F3098" t="s">
        <v>35</v>
      </c>
      <c r="G3098" t="s">
        <v>35</v>
      </c>
      <c r="H3098" t="s">
        <v>35</v>
      </c>
      <c r="J3098" t="s">
        <v>3140</v>
      </c>
      <c r="K3098" t="s">
        <v>1092</v>
      </c>
      <c r="M3098">
        <v>0.15</v>
      </c>
      <c r="N3098">
        <v>83</v>
      </c>
      <c r="O3098" t="s">
        <v>61</v>
      </c>
      <c r="Q3098" t="s">
        <v>455</v>
      </c>
      <c r="R3098" t="s">
        <v>3652</v>
      </c>
      <c r="S3098" t="s">
        <v>498</v>
      </c>
    </row>
    <row r="3099" spans="1:19" x14ac:dyDescent="0.25">
      <c r="A3099" t="s">
        <v>59</v>
      </c>
      <c r="B3099" t="s">
        <v>60</v>
      </c>
      <c r="C3099" t="s">
        <v>32</v>
      </c>
      <c r="D3099" t="s">
        <v>448</v>
      </c>
      <c r="E3099" t="s">
        <v>3634</v>
      </c>
      <c r="F3099" t="s">
        <v>35</v>
      </c>
      <c r="G3099" t="s">
        <v>35</v>
      </c>
      <c r="H3099" t="s">
        <v>35</v>
      </c>
      <c r="J3099" t="s">
        <v>3668</v>
      </c>
      <c r="K3099" t="s">
        <v>1092</v>
      </c>
      <c r="M3099">
        <v>0.45</v>
      </c>
      <c r="N3099">
        <v>770</v>
      </c>
      <c r="O3099" t="s">
        <v>575</v>
      </c>
      <c r="Q3099" t="s">
        <v>3669</v>
      </c>
      <c r="R3099" t="s">
        <v>324</v>
      </c>
      <c r="S3099" t="s">
        <v>325</v>
      </c>
    </row>
    <row r="3100" spans="1:19" x14ac:dyDescent="0.25">
      <c r="A3100" t="s">
        <v>59</v>
      </c>
      <c r="B3100" t="s">
        <v>60</v>
      </c>
      <c r="C3100" t="s">
        <v>32</v>
      </c>
      <c r="D3100" t="s">
        <v>448</v>
      </c>
      <c r="E3100" t="s">
        <v>3634</v>
      </c>
      <c r="F3100" t="s">
        <v>35</v>
      </c>
      <c r="G3100" t="s">
        <v>35</v>
      </c>
      <c r="H3100" t="s">
        <v>35</v>
      </c>
      <c r="J3100" t="s">
        <v>3670</v>
      </c>
      <c r="K3100" t="s">
        <v>1092</v>
      </c>
      <c r="M3100">
        <v>0.05</v>
      </c>
      <c r="N3100">
        <v>167</v>
      </c>
      <c r="O3100" t="s">
        <v>38</v>
      </c>
      <c r="Q3100" t="s">
        <v>1120</v>
      </c>
      <c r="R3100" t="s">
        <v>3652</v>
      </c>
      <c r="S3100" t="s">
        <v>498</v>
      </c>
    </row>
    <row r="3101" spans="1:19" x14ac:dyDescent="0.25">
      <c r="A3101" t="s">
        <v>30</v>
      </c>
      <c r="B3101" t="s">
        <v>31</v>
      </c>
      <c r="C3101" t="s">
        <v>32</v>
      </c>
      <c r="D3101" t="s">
        <v>448</v>
      </c>
      <c r="E3101" t="s">
        <v>3634</v>
      </c>
      <c r="F3101" t="s">
        <v>35</v>
      </c>
      <c r="G3101" t="s">
        <v>35</v>
      </c>
      <c r="H3101" t="s">
        <v>35</v>
      </c>
      <c r="J3101" t="s">
        <v>3671</v>
      </c>
      <c r="K3101" t="s">
        <v>1092</v>
      </c>
      <c r="M3101">
        <v>0.01</v>
      </c>
      <c r="N3101">
        <v>2673</v>
      </c>
      <c r="O3101" t="s">
        <v>575</v>
      </c>
      <c r="Q3101" t="s">
        <v>1486</v>
      </c>
      <c r="R3101" t="s">
        <v>1487</v>
      </c>
      <c r="S3101" t="s">
        <v>1488</v>
      </c>
    </row>
    <row r="3102" spans="1:19" x14ac:dyDescent="0.25">
      <c r="A3102" t="s">
        <v>30</v>
      </c>
      <c r="B3102" t="s">
        <v>31</v>
      </c>
      <c r="C3102" t="s">
        <v>32</v>
      </c>
      <c r="D3102" t="s">
        <v>448</v>
      </c>
      <c r="E3102" t="s">
        <v>3634</v>
      </c>
      <c r="F3102" t="s">
        <v>35</v>
      </c>
      <c r="G3102" t="s">
        <v>35</v>
      </c>
      <c r="H3102" t="s">
        <v>35</v>
      </c>
      <c r="J3102" t="s">
        <v>3672</v>
      </c>
      <c r="K3102" t="s">
        <v>1092</v>
      </c>
      <c r="M3102">
        <v>0.09</v>
      </c>
      <c r="N3102">
        <v>1605</v>
      </c>
      <c r="O3102" t="s">
        <v>575</v>
      </c>
      <c r="Q3102" t="s">
        <v>3673</v>
      </c>
      <c r="R3102" t="s">
        <v>3567</v>
      </c>
      <c r="S3102" t="s">
        <v>3568</v>
      </c>
    </row>
    <row r="3103" spans="1:19" x14ac:dyDescent="0.25">
      <c r="A3103" t="s">
        <v>59</v>
      </c>
      <c r="B3103" t="s">
        <v>60</v>
      </c>
      <c r="C3103" t="s">
        <v>32</v>
      </c>
      <c r="D3103" t="s">
        <v>448</v>
      </c>
      <c r="E3103" t="s">
        <v>3634</v>
      </c>
      <c r="F3103" t="s">
        <v>35</v>
      </c>
      <c r="G3103" t="s">
        <v>35</v>
      </c>
      <c r="H3103" t="s">
        <v>35</v>
      </c>
      <c r="J3103" t="s">
        <v>3674</v>
      </c>
      <c r="K3103" t="s">
        <v>1092</v>
      </c>
      <c r="M3103">
        <v>1.1000000000000001</v>
      </c>
      <c r="N3103">
        <v>476</v>
      </c>
      <c r="O3103" t="s">
        <v>294</v>
      </c>
      <c r="Q3103" t="s">
        <v>3520</v>
      </c>
      <c r="R3103" t="s">
        <v>3521</v>
      </c>
      <c r="S3103" t="s">
        <v>3522</v>
      </c>
    </row>
    <row r="3104" spans="1:19" x14ac:dyDescent="0.25">
      <c r="A3104" t="s">
        <v>59</v>
      </c>
      <c r="B3104" t="s">
        <v>31</v>
      </c>
      <c r="C3104" t="s">
        <v>32</v>
      </c>
      <c r="D3104" t="s">
        <v>448</v>
      </c>
      <c r="E3104" t="s">
        <v>3634</v>
      </c>
      <c r="F3104" t="s">
        <v>35</v>
      </c>
      <c r="G3104" t="s">
        <v>35</v>
      </c>
      <c r="H3104" t="s">
        <v>35</v>
      </c>
      <c r="J3104" t="s">
        <v>3675</v>
      </c>
      <c r="K3104" t="s">
        <v>1092</v>
      </c>
      <c r="M3104">
        <v>3.15</v>
      </c>
      <c r="N3104">
        <v>74</v>
      </c>
      <c r="O3104" t="s">
        <v>61</v>
      </c>
      <c r="Q3104" t="s">
        <v>488</v>
      </c>
      <c r="R3104" t="s">
        <v>324</v>
      </c>
      <c r="S3104" t="s">
        <v>325</v>
      </c>
    </row>
    <row r="3105" spans="1:19" x14ac:dyDescent="0.25">
      <c r="A3105" t="s">
        <v>59</v>
      </c>
      <c r="B3105" t="s">
        <v>60</v>
      </c>
      <c r="C3105" t="s">
        <v>32</v>
      </c>
      <c r="D3105" t="s">
        <v>448</v>
      </c>
      <c r="E3105" t="s">
        <v>466</v>
      </c>
      <c r="F3105" t="s">
        <v>35</v>
      </c>
      <c r="G3105" t="s">
        <v>35</v>
      </c>
      <c r="H3105" t="s">
        <v>35</v>
      </c>
      <c r="J3105" t="s">
        <v>3676</v>
      </c>
      <c r="K3105" t="s">
        <v>1092</v>
      </c>
      <c r="M3105">
        <v>0.25</v>
      </c>
      <c r="N3105">
        <v>49</v>
      </c>
      <c r="O3105" t="s">
        <v>52</v>
      </c>
      <c r="Q3105" t="s">
        <v>219</v>
      </c>
      <c r="R3105" t="s">
        <v>324</v>
      </c>
      <c r="S3105" t="s">
        <v>325</v>
      </c>
    </row>
    <row r="3106" spans="1:19" x14ac:dyDescent="0.25">
      <c r="A3106" t="s">
        <v>59</v>
      </c>
      <c r="B3106" t="s">
        <v>31</v>
      </c>
      <c r="C3106" t="s">
        <v>32</v>
      </c>
      <c r="D3106" t="s">
        <v>448</v>
      </c>
      <c r="E3106" t="s">
        <v>466</v>
      </c>
      <c r="F3106" t="s">
        <v>35</v>
      </c>
      <c r="G3106" t="s">
        <v>35</v>
      </c>
      <c r="H3106" t="s">
        <v>35</v>
      </c>
      <c r="J3106" t="s">
        <v>3676</v>
      </c>
      <c r="K3106" t="s">
        <v>1092</v>
      </c>
      <c r="M3106">
        <v>0.18</v>
      </c>
      <c r="N3106">
        <v>74</v>
      </c>
      <c r="O3106" t="s">
        <v>61</v>
      </c>
      <c r="Q3106" t="s">
        <v>488</v>
      </c>
      <c r="R3106" t="s">
        <v>324</v>
      </c>
      <c r="S3106" t="s">
        <v>325</v>
      </c>
    </row>
    <row r="3107" spans="1:19" x14ac:dyDescent="0.25">
      <c r="A3107" t="s">
        <v>59</v>
      </c>
      <c r="B3107" t="s">
        <v>60</v>
      </c>
      <c r="C3107" t="s">
        <v>32</v>
      </c>
      <c r="D3107" t="s">
        <v>448</v>
      </c>
      <c r="E3107" t="s">
        <v>466</v>
      </c>
      <c r="F3107" t="s">
        <v>35</v>
      </c>
      <c r="G3107" t="s">
        <v>35</v>
      </c>
      <c r="H3107" t="s">
        <v>35</v>
      </c>
      <c r="J3107" t="s">
        <v>3676</v>
      </c>
      <c r="K3107" t="s">
        <v>1092</v>
      </c>
      <c r="M3107">
        <v>0.25</v>
      </c>
      <c r="N3107">
        <v>19</v>
      </c>
      <c r="O3107" t="s">
        <v>46</v>
      </c>
      <c r="Q3107" t="s">
        <v>1192</v>
      </c>
      <c r="R3107" t="s">
        <v>324</v>
      </c>
      <c r="S3107" t="s">
        <v>325</v>
      </c>
    </row>
    <row r="3108" spans="1:19" x14ac:dyDescent="0.25">
      <c r="A3108" t="s">
        <v>59</v>
      </c>
      <c r="B3108" t="s">
        <v>60</v>
      </c>
      <c r="C3108" t="s">
        <v>32</v>
      </c>
      <c r="D3108" t="s">
        <v>448</v>
      </c>
      <c r="E3108" t="s">
        <v>466</v>
      </c>
      <c r="F3108" t="s">
        <v>35</v>
      </c>
      <c r="G3108" t="s">
        <v>35</v>
      </c>
      <c r="H3108" t="s">
        <v>35</v>
      </c>
      <c r="J3108" t="s">
        <v>3676</v>
      </c>
      <c r="K3108" t="s">
        <v>1092</v>
      </c>
      <c r="M3108">
        <v>0.25</v>
      </c>
      <c r="N3108">
        <v>13</v>
      </c>
      <c r="O3108" t="s">
        <v>46</v>
      </c>
      <c r="Q3108" t="s">
        <v>310</v>
      </c>
      <c r="R3108" t="s">
        <v>324</v>
      </c>
      <c r="S3108" t="s">
        <v>325</v>
      </c>
    </row>
    <row r="3109" spans="1:19" x14ac:dyDescent="0.25">
      <c r="A3109" t="s">
        <v>59</v>
      </c>
      <c r="B3109" t="s">
        <v>60</v>
      </c>
      <c r="C3109" t="s">
        <v>32</v>
      </c>
      <c r="D3109" t="s">
        <v>448</v>
      </c>
      <c r="E3109" t="s">
        <v>466</v>
      </c>
      <c r="F3109" t="s">
        <v>35</v>
      </c>
      <c r="G3109" t="s">
        <v>35</v>
      </c>
      <c r="H3109" t="s">
        <v>35</v>
      </c>
      <c r="J3109" t="s">
        <v>3676</v>
      </c>
      <c r="K3109" t="s">
        <v>1092</v>
      </c>
      <c r="M3109">
        <v>0.5</v>
      </c>
      <c r="N3109">
        <v>214</v>
      </c>
      <c r="O3109" t="s">
        <v>5</v>
      </c>
      <c r="Q3109" t="s">
        <v>537</v>
      </c>
      <c r="R3109" t="s">
        <v>324</v>
      </c>
      <c r="S3109" t="s">
        <v>325</v>
      </c>
    </row>
    <row r="3110" spans="1:19" x14ac:dyDescent="0.25">
      <c r="A3110" t="s">
        <v>59</v>
      </c>
      <c r="B3110" t="s">
        <v>60</v>
      </c>
      <c r="C3110" t="s">
        <v>32</v>
      </c>
      <c r="D3110" t="s">
        <v>448</v>
      </c>
      <c r="E3110" t="s">
        <v>466</v>
      </c>
      <c r="F3110" t="s">
        <v>35</v>
      </c>
      <c r="G3110" t="s">
        <v>35</v>
      </c>
      <c r="H3110" t="s">
        <v>35</v>
      </c>
      <c r="J3110" t="s">
        <v>3677</v>
      </c>
      <c r="K3110" t="s">
        <v>1092</v>
      </c>
      <c r="M3110">
        <v>0.05</v>
      </c>
      <c r="N3110">
        <v>47</v>
      </c>
      <c r="O3110" t="s">
        <v>52</v>
      </c>
      <c r="Q3110" t="s">
        <v>132</v>
      </c>
      <c r="R3110" t="s">
        <v>324</v>
      </c>
      <c r="S3110" t="s">
        <v>325</v>
      </c>
    </row>
    <row r="3111" spans="1:19" x14ac:dyDescent="0.25">
      <c r="A3111" t="s">
        <v>59</v>
      </c>
      <c r="B3111" t="s">
        <v>60</v>
      </c>
      <c r="C3111" t="s">
        <v>32</v>
      </c>
      <c r="D3111" t="s">
        <v>448</v>
      </c>
      <c r="E3111" t="s">
        <v>466</v>
      </c>
      <c r="F3111" t="s">
        <v>35</v>
      </c>
      <c r="G3111" t="s">
        <v>35</v>
      </c>
      <c r="H3111" t="s">
        <v>35</v>
      </c>
      <c r="J3111" t="s">
        <v>3677</v>
      </c>
      <c r="K3111" t="s">
        <v>1092</v>
      </c>
      <c r="M3111">
        <v>0.1</v>
      </c>
      <c r="N3111">
        <v>42</v>
      </c>
      <c r="O3111" t="s">
        <v>52</v>
      </c>
      <c r="Q3111" t="s">
        <v>991</v>
      </c>
      <c r="R3111" t="s">
        <v>324</v>
      </c>
      <c r="S3111" t="s">
        <v>325</v>
      </c>
    </row>
    <row r="3112" spans="1:19" x14ac:dyDescent="0.25">
      <c r="A3112" t="s">
        <v>59</v>
      </c>
      <c r="B3112" t="s">
        <v>60</v>
      </c>
      <c r="C3112" t="s">
        <v>32</v>
      </c>
      <c r="D3112" t="s">
        <v>448</v>
      </c>
      <c r="E3112" t="s">
        <v>466</v>
      </c>
      <c r="F3112" t="s">
        <v>35</v>
      </c>
      <c r="G3112" t="s">
        <v>35</v>
      </c>
      <c r="H3112" t="s">
        <v>35</v>
      </c>
      <c r="J3112" t="s">
        <v>3677</v>
      </c>
      <c r="K3112" t="s">
        <v>1092</v>
      </c>
      <c r="M3112">
        <v>0.1</v>
      </c>
      <c r="N3112">
        <v>19</v>
      </c>
      <c r="O3112" t="s">
        <v>46</v>
      </c>
      <c r="Q3112" t="s">
        <v>1192</v>
      </c>
      <c r="R3112" t="s">
        <v>324</v>
      </c>
      <c r="S3112" t="s">
        <v>325</v>
      </c>
    </row>
    <row r="3113" spans="1:19" x14ac:dyDescent="0.25">
      <c r="A3113" t="s">
        <v>59</v>
      </c>
      <c r="B3113" t="s">
        <v>60</v>
      </c>
      <c r="C3113" t="s">
        <v>32</v>
      </c>
      <c r="D3113" t="s">
        <v>448</v>
      </c>
      <c r="E3113" t="s">
        <v>466</v>
      </c>
      <c r="F3113" t="s">
        <v>35</v>
      </c>
      <c r="G3113" t="s">
        <v>35</v>
      </c>
      <c r="H3113" t="s">
        <v>35</v>
      </c>
      <c r="J3113" t="s">
        <v>3678</v>
      </c>
      <c r="K3113" t="s">
        <v>1092</v>
      </c>
      <c r="M3113">
        <v>2</v>
      </c>
      <c r="N3113">
        <v>72</v>
      </c>
      <c r="O3113" t="s">
        <v>61</v>
      </c>
      <c r="Q3113" t="s">
        <v>63</v>
      </c>
      <c r="R3113" t="s">
        <v>324</v>
      </c>
      <c r="S3113" t="s">
        <v>325</v>
      </c>
    </row>
    <row r="3114" spans="1:19" x14ac:dyDescent="0.25">
      <c r="A3114" t="s">
        <v>59</v>
      </c>
      <c r="B3114" t="s">
        <v>60</v>
      </c>
      <c r="C3114" t="s">
        <v>32</v>
      </c>
      <c r="D3114" t="s">
        <v>448</v>
      </c>
      <c r="E3114" t="s">
        <v>466</v>
      </c>
      <c r="F3114" t="s">
        <v>35</v>
      </c>
      <c r="G3114" t="s">
        <v>35</v>
      </c>
      <c r="H3114" t="s">
        <v>35</v>
      </c>
      <c r="J3114" t="s">
        <v>3678</v>
      </c>
      <c r="K3114" t="s">
        <v>1092</v>
      </c>
      <c r="M3114">
        <v>18.899999999999999</v>
      </c>
      <c r="N3114">
        <v>82</v>
      </c>
      <c r="O3114" t="s">
        <v>61</v>
      </c>
      <c r="Q3114" t="s">
        <v>447</v>
      </c>
      <c r="R3114" t="s">
        <v>3538</v>
      </c>
      <c r="S3114" t="s">
        <v>3539</v>
      </c>
    </row>
    <row r="3115" spans="1:19" x14ac:dyDescent="0.25">
      <c r="A3115" t="s">
        <v>59</v>
      </c>
      <c r="B3115" t="s">
        <v>60</v>
      </c>
      <c r="C3115" t="s">
        <v>32</v>
      </c>
      <c r="D3115" t="s">
        <v>448</v>
      </c>
      <c r="E3115" t="s">
        <v>466</v>
      </c>
      <c r="F3115" t="s">
        <v>35</v>
      </c>
      <c r="G3115" t="s">
        <v>35</v>
      </c>
      <c r="H3115" t="s">
        <v>35</v>
      </c>
      <c r="J3115" t="s">
        <v>3678</v>
      </c>
      <c r="K3115" t="s">
        <v>1092</v>
      </c>
      <c r="M3115">
        <v>2</v>
      </c>
      <c r="N3115">
        <v>74</v>
      </c>
      <c r="O3115" t="s">
        <v>61</v>
      </c>
      <c r="Q3115" t="s">
        <v>488</v>
      </c>
      <c r="R3115" t="s">
        <v>324</v>
      </c>
      <c r="S3115" t="s">
        <v>325</v>
      </c>
    </row>
    <row r="3116" spans="1:19" x14ac:dyDescent="0.25">
      <c r="A3116" t="s">
        <v>59</v>
      </c>
      <c r="B3116" t="s">
        <v>31</v>
      </c>
      <c r="C3116" t="s">
        <v>32</v>
      </c>
      <c r="D3116" t="s">
        <v>448</v>
      </c>
      <c r="E3116" t="s">
        <v>466</v>
      </c>
      <c r="F3116" t="s">
        <v>35</v>
      </c>
      <c r="G3116" t="s">
        <v>35</v>
      </c>
      <c r="H3116" t="s">
        <v>35</v>
      </c>
      <c r="J3116" t="s">
        <v>3678</v>
      </c>
      <c r="K3116" t="s">
        <v>1092</v>
      </c>
      <c r="M3116">
        <v>1.575</v>
      </c>
      <c r="N3116">
        <v>82</v>
      </c>
      <c r="O3116" t="s">
        <v>61</v>
      </c>
      <c r="Q3116" t="s">
        <v>447</v>
      </c>
      <c r="R3116" t="s">
        <v>3538</v>
      </c>
      <c r="S3116" t="s">
        <v>3539</v>
      </c>
    </row>
    <row r="3117" spans="1:19" x14ac:dyDescent="0.25">
      <c r="A3117" t="s">
        <v>59</v>
      </c>
      <c r="B3117" t="s">
        <v>60</v>
      </c>
      <c r="C3117" t="s">
        <v>32</v>
      </c>
      <c r="D3117" t="s">
        <v>448</v>
      </c>
      <c r="E3117" t="s">
        <v>466</v>
      </c>
      <c r="F3117" t="s">
        <v>35</v>
      </c>
      <c r="G3117" t="s">
        <v>35</v>
      </c>
      <c r="H3117" t="s">
        <v>35</v>
      </c>
      <c r="J3117" t="s">
        <v>3679</v>
      </c>
      <c r="K3117" t="s">
        <v>1092</v>
      </c>
      <c r="M3117">
        <v>1.05</v>
      </c>
      <c r="N3117">
        <v>53</v>
      </c>
      <c r="O3117" t="s">
        <v>52</v>
      </c>
      <c r="Q3117" t="s">
        <v>332</v>
      </c>
      <c r="R3117" t="s">
        <v>3680</v>
      </c>
      <c r="S3117" t="s">
        <v>467</v>
      </c>
    </row>
    <row r="3118" spans="1:19" x14ac:dyDescent="0.25">
      <c r="A3118" t="s">
        <v>59</v>
      </c>
      <c r="B3118" t="s">
        <v>60</v>
      </c>
      <c r="C3118" t="s">
        <v>32</v>
      </c>
      <c r="D3118" t="s">
        <v>448</v>
      </c>
      <c r="E3118" t="s">
        <v>466</v>
      </c>
      <c r="F3118" t="s">
        <v>35</v>
      </c>
      <c r="G3118" t="s">
        <v>35</v>
      </c>
      <c r="H3118" t="s">
        <v>35</v>
      </c>
      <c r="J3118" t="s">
        <v>3681</v>
      </c>
      <c r="K3118" t="s">
        <v>1092</v>
      </c>
      <c r="M3118">
        <v>0.1</v>
      </c>
      <c r="N3118">
        <v>49</v>
      </c>
      <c r="O3118" t="s">
        <v>52</v>
      </c>
      <c r="Q3118" t="s">
        <v>219</v>
      </c>
      <c r="R3118" t="s">
        <v>324</v>
      </c>
      <c r="S3118" t="s">
        <v>325</v>
      </c>
    </row>
    <row r="3119" spans="1:19" x14ac:dyDescent="0.25">
      <c r="A3119" t="s">
        <v>59</v>
      </c>
      <c r="B3119" t="s">
        <v>60</v>
      </c>
      <c r="C3119" t="s">
        <v>32</v>
      </c>
      <c r="D3119" t="s">
        <v>448</v>
      </c>
      <c r="E3119" t="s">
        <v>466</v>
      </c>
      <c r="F3119" t="s">
        <v>35</v>
      </c>
      <c r="G3119" t="s">
        <v>35</v>
      </c>
      <c r="H3119" t="s">
        <v>35</v>
      </c>
      <c r="J3119" t="s">
        <v>3681</v>
      </c>
      <c r="K3119" t="s">
        <v>1092</v>
      </c>
      <c r="M3119">
        <v>0.25</v>
      </c>
      <c r="N3119">
        <v>19</v>
      </c>
      <c r="O3119" t="s">
        <v>46</v>
      </c>
      <c r="Q3119" t="s">
        <v>1192</v>
      </c>
      <c r="R3119" t="s">
        <v>324</v>
      </c>
      <c r="S3119" t="s">
        <v>325</v>
      </c>
    </row>
    <row r="3120" spans="1:19" x14ac:dyDescent="0.25">
      <c r="A3120" t="s">
        <v>59</v>
      </c>
      <c r="B3120" t="s">
        <v>60</v>
      </c>
      <c r="C3120" t="s">
        <v>32</v>
      </c>
      <c r="D3120" t="s">
        <v>448</v>
      </c>
      <c r="E3120" t="s">
        <v>466</v>
      </c>
      <c r="F3120" t="s">
        <v>35</v>
      </c>
      <c r="G3120" t="s">
        <v>35</v>
      </c>
      <c r="H3120" t="s">
        <v>35</v>
      </c>
      <c r="J3120" t="s">
        <v>3682</v>
      </c>
      <c r="K3120" t="s">
        <v>1092</v>
      </c>
      <c r="M3120">
        <v>1</v>
      </c>
      <c r="N3120">
        <v>40</v>
      </c>
      <c r="O3120" t="s">
        <v>52</v>
      </c>
      <c r="Q3120" t="s">
        <v>130</v>
      </c>
      <c r="R3120" t="s">
        <v>3517</v>
      </c>
      <c r="S3120" t="s">
        <v>450</v>
      </c>
    </row>
    <row r="3121" spans="1:19" x14ac:dyDescent="0.25">
      <c r="A3121" t="s">
        <v>59</v>
      </c>
      <c r="B3121" t="s">
        <v>60</v>
      </c>
      <c r="C3121" t="s">
        <v>32</v>
      </c>
      <c r="D3121" t="s">
        <v>448</v>
      </c>
      <c r="E3121" t="s">
        <v>466</v>
      </c>
      <c r="F3121" t="s">
        <v>35</v>
      </c>
      <c r="G3121" t="s">
        <v>35</v>
      </c>
      <c r="H3121" t="s">
        <v>35</v>
      </c>
      <c r="J3121" t="s">
        <v>3682</v>
      </c>
      <c r="K3121" t="s">
        <v>1092</v>
      </c>
      <c r="M3121">
        <v>0.45</v>
      </c>
      <c r="N3121">
        <v>49</v>
      </c>
      <c r="O3121" t="s">
        <v>52</v>
      </c>
      <c r="Q3121" t="s">
        <v>219</v>
      </c>
      <c r="R3121" t="s">
        <v>3517</v>
      </c>
      <c r="S3121" t="s">
        <v>450</v>
      </c>
    </row>
    <row r="3122" spans="1:19" x14ac:dyDescent="0.25">
      <c r="A3122" t="s">
        <v>59</v>
      </c>
      <c r="B3122" t="s">
        <v>60</v>
      </c>
      <c r="C3122" t="s">
        <v>32</v>
      </c>
      <c r="D3122" t="s">
        <v>448</v>
      </c>
      <c r="E3122" t="s">
        <v>466</v>
      </c>
      <c r="F3122" t="s">
        <v>35</v>
      </c>
      <c r="G3122" t="s">
        <v>35</v>
      </c>
      <c r="H3122" t="s">
        <v>35</v>
      </c>
      <c r="J3122" t="s">
        <v>3683</v>
      </c>
      <c r="K3122" t="s">
        <v>1092</v>
      </c>
      <c r="M3122">
        <v>0.5</v>
      </c>
      <c r="N3122">
        <v>17</v>
      </c>
      <c r="O3122" t="s">
        <v>46</v>
      </c>
      <c r="Q3122" t="s">
        <v>1302</v>
      </c>
      <c r="R3122" t="s">
        <v>324</v>
      </c>
      <c r="S3122" t="s">
        <v>325</v>
      </c>
    </row>
    <row r="3123" spans="1:19" x14ac:dyDescent="0.25">
      <c r="A3123" t="s">
        <v>59</v>
      </c>
      <c r="B3123" t="s">
        <v>60</v>
      </c>
      <c r="C3123" t="s">
        <v>32</v>
      </c>
      <c r="D3123" t="s">
        <v>448</v>
      </c>
      <c r="E3123" t="s">
        <v>466</v>
      </c>
      <c r="F3123" t="s">
        <v>35</v>
      </c>
      <c r="G3123" t="s">
        <v>35</v>
      </c>
      <c r="H3123" t="s">
        <v>35</v>
      </c>
      <c r="J3123" t="s">
        <v>3683</v>
      </c>
      <c r="K3123" t="s">
        <v>1092</v>
      </c>
      <c r="M3123">
        <v>0.25</v>
      </c>
      <c r="N3123">
        <v>13</v>
      </c>
      <c r="O3123" t="s">
        <v>46</v>
      </c>
      <c r="Q3123" t="s">
        <v>310</v>
      </c>
      <c r="R3123" t="s">
        <v>324</v>
      </c>
      <c r="S3123" t="s">
        <v>325</v>
      </c>
    </row>
    <row r="3124" spans="1:19" x14ac:dyDescent="0.25">
      <c r="A3124" t="s">
        <v>59</v>
      </c>
      <c r="B3124" t="s">
        <v>60</v>
      </c>
      <c r="C3124" t="s">
        <v>32</v>
      </c>
      <c r="D3124" t="s">
        <v>448</v>
      </c>
      <c r="E3124" t="s">
        <v>466</v>
      </c>
      <c r="F3124" t="s">
        <v>35</v>
      </c>
      <c r="G3124" t="s">
        <v>35</v>
      </c>
      <c r="H3124" t="s">
        <v>35</v>
      </c>
      <c r="J3124" t="s">
        <v>3683</v>
      </c>
      <c r="K3124" t="s">
        <v>1092</v>
      </c>
      <c r="M3124">
        <v>0.5</v>
      </c>
      <c r="N3124">
        <v>5</v>
      </c>
      <c r="O3124" t="s">
        <v>46</v>
      </c>
      <c r="Q3124" t="s">
        <v>8229</v>
      </c>
      <c r="R3124" t="s">
        <v>324</v>
      </c>
      <c r="S3124" t="s">
        <v>325</v>
      </c>
    </row>
    <row r="3125" spans="1:19" x14ac:dyDescent="0.25">
      <c r="A3125" t="s">
        <v>59</v>
      </c>
      <c r="B3125" t="s">
        <v>60</v>
      </c>
      <c r="C3125" t="s">
        <v>32</v>
      </c>
      <c r="D3125" t="s">
        <v>448</v>
      </c>
      <c r="E3125" t="s">
        <v>466</v>
      </c>
      <c r="F3125" t="s">
        <v>35</v>
      </c>
      <c r="G3125" t="s">
        <v>35</v>
      </c>
      <c r="H3125" t="s">
        <v>35</v>
      </c>
      <c r="J3125" t="s">
        <v>3683</v>
      </c>
      <c r="K3125" t="s">
        <v>1092</v>
      </c>
      <c r="M3125">
        <v>0.25</v>
      </c>
      <c r="N3125">
        <v>25</v>
      </c>
      <c r="O3125" t="s">
        <v>46</v>
      </c>
      <c r="Q3125" t="s">
        <v>831</v>
      </c>
      <c r="R3125" t="s">
        <v>324</v>
      </c>
      <c r="S3125" t="s">
        <v>325</v>
      </c>
    </row>
    <row r="3126" spans="1:19" x14ac:dyDescent="0.25">
      <c r="A3126" t="s">
        <v>59</v>
      </c>
      <c r="B3126" t="s">
        <v>60</v>
      </c>
      <c r="C3126" t="s">
        <v>32</v>
      </c>
      <c r="D3126" t="s">
        <v>448</v>
      </c>
      <c r="E3126" t="s">
        <v>466</v>
      </c>
      <c r="F3126" t="s">
        <v>35</v>
      </c>
      <c r="G3126" t="s">
        <v>35</v>
      </c>
      <c r="H3126" t="s">
        <v>35</v>
      </c>
      <c r="J3126" t="s">
        <v>8238</v>
      </c>
      <c r="K3126" t="s">
        <v>1092</v>
      </c>
      <c r="M3126">
        <v>0.15</v>
      </c>
      <c r="N3126">
        <v>13</v>
      </c>
      <c r="O3126" t="s">
        <v>46</v>
      </c>
      <c r="Q3126" t="s">
        <v>310</v>
      </c>
      <c r="R3126" t="s">
        <v>324</v>
      </c>
      <c r="S3126" t="s">
        <v>325</v>
      </c>
    </row>
    <row r="3127" spans="1:19" x14ac:dyDescent="0.25">
      <c r="A3127" t="s">
        <v>59</v>
      </c>
      <c r="B3127" t="s">
        <v>60</v>
      </c>
      <c r="C3127" t="s">
        <v>32</v>
      </c>
      <c r="D3127" t="s">
        <v>448</v>
      </c>
      <c r="E3127" t="s">
        <v>466</v>
      </c>
      <c r="F3127" t="s">
        <v>35</v>
      </c>
      <c r="G3127" t="s">
        <v>35</v>
      </c>
      <c r="H3127" t="s">
        <v>35</v>
      </c>
      <c r="J3127" t="s">
        <v>3685</v>
      </c>
      <c r="K3127" t="s">
        <v>1092</v>
      </c>
      <c r="M3127">
        <v>1.5</v>
      </c>
      <c r="N3127">
        <v>21</v>
      </c>
      <c r="O3127" t="s">
        <v>46</v>
      </c>
      <c r="Q3127" t="s">
        <v>1874</v>
      </c>
      <c r="R3127" t="s">
        <v>3521</v>
      </c>
      <c r="S3127" t="s">
        <v>3522</v>
      </c>
    </row>
    <row r="3128" spans="1:19" x14ac:dyDescent="0.25">
      <c r="A3128" t="s">
        <v>59</v>
      </c>
      <c r="B3128" t="s">
        <v>60</v>
      </c>
      <c r="C3128" t="s">
        <v>32</v>
      </c>
      <c r="D3128" t="s">
        <v>448</v>
      </c>
      <c r="E3128" t="s">
        <v>466</v>
      </c>
      <c r="F3128" t="s">
        <v>35</v>
      </c>
      <c r="G3128" t="s">
        <v>35</v>
      </c>
      <c r="H3128" t="s">
        <v>35</v>
      </c>
      <c r="J3128" t="s">
        <v>3685</v>
      </c>
      <c r="K3128" t="s">
        <v>1092</v>
      </c>
      <c r="M3128">
        <v>0.85</v>
      </c>
      <c r="N3128">
        <v>23</v>
      </c>
      <c r="O3128" t="s">
        <v>46</v>
      </c>
      <c r="Q3128" t="s">
        <v>1819</v>
      </c>
      <c r="R3128" t="s">
        <v>3521</v>
      </c>
      <c r="S3128" t="s">
        <v>3522</v>
      </c>
    </row>
    <row r="3129" spans="1:19" x14ac:dyDescent="0.25">
      <c r="A3129" t="s">
        <v>59</v>
      </c>
      <c r="B3129" t="s">
        <v>60</v>
      </c>
      <c r="C3129" t="s">
        <v>32</v>
      </c>
      <c r="D3129" t="s">
        <v>448</v>
      </c>
      <c r="E3129" t="s">
        <v>466</v>
      </c>
      <c r="F3129" t="s">
        <v>35</v>
      </c>
      <c r="G3129" t="s">
        <v>35</v>
      </c>
      <c r="H3129" t="s">
        <v>35</v>
      </c>
      <c r="J3129" t="s">
        <v>3686</v>
      </c>
      <c r="K3129" t="s">
        <v>1092</v>
      </c>
      <c r="M3129">
        <v>0.2</v>
      </c>
      <c r="N3129">
        <v>345</v>
      </c>
      <c r="O3129" t="s">
        <v>5</v>
      </c>
      <c r="Q3129" t="s">
        <v>3421</v>
      </c>
      <c r="R3129" t="s">
        <v>3680</v>
      </c>
      <c r="S3129" t="s">
        <v>467</v>
      </c>
    </row>
    <row r="3130" spans="1:19" x14ac:dyDescent="0.25">
      <c r="A3130" t="s">
        <v>59</v>
      </c>
      <c r="B3130" t="s">
        <v>31</v>
      </c>
      <c r="C3130" t="s">
        <v>32</v>
      </c>
      <c r="D3130" t="s">
        <v>448</v>
      </c>
      <c r="E3130" t="s">
        <v>466</v>
      </c>
      <c r="F3130" t="s">
        <v>35</v>
      </c>
      <c r="G3130" t="s">
        <v>35</v>
      </c>
      <c r="H3130" t="s">
        <v>35</v>
      </c>
      <c r="J3130" t="s">
        <v>3687</v>
      </c>
      <c r="K3130" t="s">
        <v>1092</v>
      </c>
      <c r="M3130">
        <v>0.9</v>
      </c>
      <c r="N3130">
        <v>74</v>
      </c>
      <c r="O3130" t="s">
        <v>61</v>
      </c>
      <c r="Q3130" t="s">
        <v>488</v>
      </c>
      <c r="R3130" t="s">
        <v>324</v>
      </c>
      <c r="S3130" t="s">
        <v>325</v>
      </c>
    </row>
    <row r="3131" spans="1:19" x14ac:dyDescent="0.25">
      <c r="A3131" t="s">
        <v>59</v>
      </c>
      <c r="B3131" t="s">
        <v>60</v>
      </c>
      <c r="C3131" t="s">
        <v>32</v>
      </c>
      <c r="D3131" t="s">
        <v>448</v>
      </c>
      <c r="E3131" t="s">
        <v>466</v>
      </c>
      <c r="F3131" t="s">
        <v>35</v>
      </c>
      <c r="G3131" t="s">
        <v>35</v>
      </c>
      <c r="H3131" t="s">
        <v>35</v>
      </c>
      <c r="J3131" t="s">
        <v>3687</v>
      </c>
      <c r="K3131" t="s">
        <v>1092</v>
      </c>
      <c r="M3131">
        <v>0.75</v>
      </c>
      <c r="N3131">
        <v>287</v>
      </c>
      <c r="O3131" t="s">
        <v>5</v>
      </c>
      <c r="Q3131" t="s">
        <v>3688</v>
      </c>
      <c r="R3131" t="s">
        <v>324</v>
      </c>
      <c r="S3131" t="s">
        <v>325</v>
      </c>
    </row>
    <row r="3132" spans="1:19" x14ac:dyDescent="0.25">
      <c r="A3132" t="s">
        <v>59</v>
      </c>
      <c r="B3132" t="s">
        <v>31</v>
      </c>
      <c r="C3132" t="s">
        <v>32</v>
      </c>
      <c r="D3132" t="s">
        <v>448</v>
      </c>
      <c r="E3132" t="s">
        <v>466</v>
      </c>
      <c r="F3132" t="s">
        <v>35</v>
      </c>
      <c r="G3132" t="s">
        <v>35</v>
      </c>
      <c r="H3132" t="s">
        <v>35</v>
      </c>
      <c r="J3132" t="s">
        <v>3687</v>
      </c>
      <c r="K3132" t="s">
        <v>1092</v>
      </c>
      <c r="M3132">
        <v>2.7</v>
      </c>
      <c r="N3132">
        <v>77</v>
      </c>
      <c r="O3132" t="s">
        <v>61</v>
      </c>
      <c r="Q3132" t="s">
        <v>305</v>
      </c>
      <c r="R3132" t="s">
        <v>324</v>
      </c>
      <c r="S3132" t="s">
        <v>325</v>
      </c>
    </row>
    <row r="3133" spans="1:19" x14ac:dyDescent="0.25">
      <c r="A3133" t="s">
        <v>59</v>
      </c>
      <c r="B3133" t="s">
        <v>31</v>
      </c>
      <c r="C3133" t="s">
        <v>32</v>
      </c>
      <c r="D3133" t="s">
        <v>448</v>
      </c>
      <c r="E3133" t="s">
        <v>466</v>
      </c>
      <c r="F3133" t="s">
        <v>35</v>
      </c>
      <c r="G3133" t="s">
        <v>35</v>
      </c>
      <c r="H3133" t="s">
        <v>35</v>
      </c>
      <c r="J3133" t="s">
        <v>3689</v>
      </c>
      <c r="K3133" t="s">
        <v>1092</v>
      </c>
      <c r="M3133">
        <v>0.495</v>
      </c>
      <c r="N3133">
        <v>77</v>
      </c>
      <c r="O3133" t="s">
        <v>61</v>
      </c>
      <c r="Q3133" t="s">
        <v>305</v>
      </c>
      <c r="R3133" t="s">
        <v>324</v>
      </c>
      <c r="S3133" t="s">
        <v>325</v>
      </c>
    </row>
    <row r="3134" spans="1:19" x14ac:dyDescent="0.25">
      <c r="A3134" t="s">
        <v>59</v>
      </c>
      <c r="B3134" t="s">
        <v>60</v>
      </c>
      <c r="C3134" t="s">
        <v>32</v>
      </c>
      <c r="D3134" t="s">
        <v>448</v>
      </c>
      <c r="E3134" t="s">
        <v>466</v>
      </c>
      <c r="F3134" t="s">
        <v>35</v>
      </c>
      <c r="G3134" t="s">
        <v>35</v>
      </c>
      <c r="H3134" t="s">
        <v>35</v>
      </c>
      <c r="J3134" t="s">
        <v>3690</v>
      </c>
      <c r="K3134" t="s">
        <v>1092</v>
      </c>
      <c r="M3134">
        <v>0.75</v>
      </c>
      <c r="N3134">
        <v>200</v>
      </c>
      <c r="O3134" t="s">
        <v>5</v>
      </c>
      <c r="Q3134" t="s">
        <v>3691</v>
      </c>
      <c r="R3134" t="s">
        <v>324</v>
      </c>
      <c r="S3134" t="s">
        <v>325</v>
      </c>
    </row>
    <row r="3135" spans="1:19" x14ac:dyDescent="0.25">
      <c r="A3135" t="s">
        <v>59</v>
      </c>
      <c r="B3135" t="s">
        <v>31</v>
      </c>
      <c r="C3135" t="s">
        <v>32</v>
      </c>
      <c r="D3135" t="s">
        <v>448</v>
      </c>
      <c r="E3135" t="s">
        <v>466</v>
      </c>
      <c r="F3135" t="s">
        <v>35</v>
      </c>
      <c r="G3135" t="s">
        <v>35</v>
      </c>
      <c r="H3135" t="s">
        <v>35</v>
      </c>
      <c r="J3135" t="s">
        <v>3692</v>
      </c>
      <c r="K3135" t="s">
        <v>1092</v>
      </c>
      <c r="M3135">
        <v>1.44</v>
      </c>
      <c r="N3135">
        <v>77</v>
      </c>
      <c r="O3135" t="s">
        <v>61</v>
      </c>
      <c r="Q3135" t="s">
        <v>305</v>
      </c>
      <c r="R3135" t="s">
        <v>324</v>
      </c>
      <c r="S3135" t="s">
        <v>325</v>
      </c>
    </row>
    <row r="3136" spans="1:19" x14ac:dyDescent="0.25">
      <c r="A3136" t="s">
        <v>59</v>
      </c>
      <c r="B3136" t="s">
        <v>31</v>
      </c>
      <c r="C3136" t="s">
        <v>32</v>
      </c>
      <c r="D3136" t="s">
        <v>448</v>
      </c>
      <c r="E3136" t="s">
        <v>466</v>
      </c>
      <c r="F3136" t="s">
        <v>35</v>
      </c>
      <c r="G3136" t="s">
        <v>35</v>
      </c>
      <c r="H3136" t="s">
        <v>35</v>
      </c>
      <c r="J3136" t="s">
        <v>3693</v>
      </c>
      <c r="K3136" t="s">
        <v>1092</v>
      </c>
      <c r="M3136">
        <v>2.0249999999999999</v>
      </c>
      <c r="N3136">
        <v>74</v>
      </c>
      <c r="O3136" t="s">
        <v>61</v>
      </c>
      <c r="Q3136" t="s">
        <v>488</v>
      </c>
      <c r="R3136" t="s">
        <v>324</v>
      </c>
      <c r="S3136" t="s">
        <v>325</v>
      </c>
    </row>
    <row r="3137" spans="1:19" x14ac:dyDescent="0.25">
      <c r="A3137" t="s">
        <v>59</v>
      </c>
      <c r="B3137" t="s">
        <v>60</v>
      </c>
      <c r="C3137" t="s">
        <v>32</v>
      </c>
      <c r="D3137" t="s">
        <v>448</v>
      </c>
      <c r="E3137" t="s">
        <v>466</v>
      </c>
      <c r="F3137" t="s">
        <v>35</v>
      </c>
      <c r="G3137" t="s">
        <v>35</v>
      </c>
      <c r="H3137" t="s">
        <v>35</v>
      </c>
      <c r="J3137" t="s">
        <v>3693</v>
      </c>
      <c r="K3137" t="s">
        <v>1092</v>
      </c>
      <c r="M3137">
        <v>1.35</v>
      </c>
      <c r="N3137">
        <v>74</v>
      </c>
      <c r="O3137" t="s">
        <v>61</v>
      </c>
      <c r="Q3137" t="s">
        <v>488</v>
      </c>
      <c r="R3137" t="s">
        <v>324</v>
      </c>
      <c r="S3137" t="s">
        <v>325</v>
      </c>
    </row>
    <row r="3138" spans="1:19" x14ac:dyDescent="0.25">
      <c r="A3138" t="s">
        <v>59</v>
      </c>
      <c r="B3138" t="s">
        <v>31</v>
      </c>
      <c r="C3138" t="s">
        <v>32</v>
      </c>
      <c r="D3138" t="s">
        <v>448</v>
      </c>
      <c r="E3138" t="s">
        <v>466</v>
      </c>
      <c r="F3138" t="s">
        <v>35</v>
      </c>
      <c r="G3138" t="s">
        <v>35</v>
      </c>
      <c r="H3138" t="s">
        <v>35</v>
      </c>
      <c r="J3138" t="s">
        <v>3693</v>
      </c>
      <c r="K3138" t="s">
        <v>1092</v>
      </c>
      <c r="M3138">
        <v>2.25</v>
      </c>
      <c r="N3138">
        <v>77</v>
      </c>
      <c r="O3138" t="s">
        <v>61</v>
      </c>
      <c r="Q3138" t="s">
        <v>305</v>
      </c>
      <c r="R3138" t="s">
        <v>324</v>
      </c>
      <c r="S3138" t="s">
        <v>325</v>
      </c>
    </row>
    <row r="3139" spans="1:19" x14ac:dyDescent="0.25">
      <c r="A3139" t="s">
        <v>59</v>
      </c>
      <c r="B3139" t="s">
        <v>60</v>
      </c>
      <c r="C3139" t="s">
        <v>32</v>
      </c>
      <c r="D3139" t="s">
        <v>448</v>
      </c>
      <c r="E3139" t="s">
        <v>466</v>
      </c>
      <c r="F3139" t="s">
        <v>35</v>
      </c>
      <c r="G3139" t="s">
        <v>35</v>
      </c>
      <c r="H3139" t="s">
        <v>35</v>
      </c>
      <c r="J3139" t="s">
        <v>3694</v>
      </c>
      <c r="K3139" t="s">
        <v>1092</v>
      </c>
      <c r="M3139">
        <v>0.25</v>
      </c>
      <c r="N3139">
        <v>28</v>
      </c>
      <c r="O3139" t="s">
        <v>46</v>
      </c>
      <c r="Q3139" t="s">
        <v>176</v>
      </c>
      <c r="R3139" t="s">
        <v>324</v>
      </c>
      <c r="S3139" t="s">
        <v>325</v>
      </c>
    </row>
    <row r="3140" spans="1:19" x14ac:dyDescent="0.25">
      <c r="A3140" t="s">
        <v>59</v>
      </c>
      <c r="B3140" t="s">
        <v>60</v>
      </c>
      <c r="C3140" t="s">
        <v>32</v>
      </c>
      <c r="D3140" t="s">
        <v>448</v>
      </c>
      <c r="E3140" t="s">
        <v>466</v>
      </c>
      <c r="F3140" t="s">
        <v>35</v>
      </c>
      <c r="G3140" t="s">
        <v>35</v>
      </c>
      <c r="H3140" t="s">
        <v>35</v>
      </c>
      <c r="J3140" t="s">
        <v>3694</v>
      </c>
      <c r="K3140" t="s">
        <v>1092</v>
      </c>
      <c r="M3140">
        <v>0.35</v>
      </c>
      <c r="N3140">
        <v>158</v>
      </c>
      <c r="O3140" t="s">
        <v>38</v>
      </c>
      <c r="Q3140" t="s">
        <v>1593</v>
      </c>
      <c r="R3140" t="s">
        <v>324</v>
      </c>
      <c r="S3140" t="s">
        <v>325</v>
      </c>
    </row>
    <row r="3141" spans="1:19" x14ac:dyDescent="0.25">
      <c r="A3141" t="s">
        <v>44</v>
      </c>
      <c r="B3141" t="s">
        <v>3</v>
      </c>
      <c r="C3141" t="s">
        <v>32</v>
      </c>
      <c r="D3141" t="s">
        <v>448</v>
      </c>
      <c r="E3141" t="s">
        <v>466</v>
      </c>
      <c r="F3141" t="s">
        <v>35</v>
      </c>
      <c r="G3141" t="s">
        <v>35</v>
      </c>
      <c r="H3141" t="s">
        <v>35</v>
      </c>
      <c r="J3141" t="s">
        <v>3695</v>
      </c>
      <c r="K3141" t="s">
        <v>1092</v>
      </c>
      <c r="M3141">
        <v>0.85</v>
      </c>
      <c r="N3141">
        <v>508</v>
      </c>
      <c r="O3141" t="s">
        <v>294</v>
      </c>
      <c r="Q3141" t="s">
        <v>3696</v>
      </c>
      <c r="R3141" t="s">
        <v>3652</v>
      </c>
      <c r="S3141" t="s">
        <v>498</v>
      </c>
    </row>
    <row r="3142" spans="1:19" x14ac:dyDescent="0.25">
      <c r="A3142" t="s">
        <v>59</v>
      </c>
      <c r="B3142" t="s">
        <v>60</v>
      </c>
      <c r="C3142" t="s">
        <v>32</v>
      </c>
      <c r="D3142" t="s">
        <v>448</v>
      </c>
      <c r="E3142" t="s">
        <v>466</v>
      </c>
      <c r="F3142" t="s">
        <v>35</v>
      </c>
      <c r="G3142" t="s">
        <v>35</v>
      </c>
      <c r="H3142" t="s">
        <v>35</v>
      </c>
      <c r="J3142" t="s">
        <v>3697</v>
      </c>
      <c r="K3142" t="s">
        <v>1092</v>
      </c>
      <c r="M3142">
        <v>0.1</v>
      </c>
      <c r="N3142">
        <v>56</v>
      </c>
      <c r="O3142" t="s">
        <v>52</v>
      </c>
      <c r="Q3142" t="s">
        <v>453</v>
      </c>
      <c r="R3142" t="s">
        <v>324</v>
      </c>
      <c r="S3142" t="s">
        <v>325</v>
      </c>
    </row>
    <row r="3143" spans="1:19" x14ac:dyDescent="0.25">
      <c r="A3143" t="s">
        <v>59</v>
      </c>
      <c r="B3143" t="s">
        <v>60</v>
      </c>
      <c r="C3143" t="s">
        <v>32</v>
      </c>
      <c r="D3143" t="s">
        <v>448</v>
      </c>
      <c r="E3143" t="s">
        <v>466</v>
      </c>
      <c r="F3143" t="s">
        <v>35</v>
      </c>
      <c r="G3143" t="s">
        <v>35</v>
      </c>
      <c r="H3143" t="s">
        <v>35</v>
      </c>
      <c r="J3143" t="s">
        <v>3698</v>
      </c>
      <c r="K3143" t="s">
        <v>1092</v>
      </c>
      <c r="M3143">
        <v>0.05</v>
      </c>
      <c r="N3143">
        <v>210</v>
      </c>
      <c r="O3143" t="s">
        <v>5</v>
      </c>
      <c r="Q3143" t="s">
        <v>1104</v>
      </c>
      <c r="R3143" t="s">
        <v>324</v>
      </c>
      <c r="S3143" t="s">
        <v>325</v>
      </c>
    </row>
    <row r="3144" spans="1:19" x14ac:dyDescent="0.25">
      <c r="A3144" t="s">
        <v>59</v>
      </c>
      <c r="B3144" t="s">
        <v>60</v>
      </c>
      <c r="C3144" t="s">
        <v>32</v>
      </c>
      <c r="D3144" t="s">
        <v>448</v>
      </c>
      <c r="E3144" t="s">
        <v>466</v>
      </c>
      <c r="F3144" t="s">
        <v>35</v>
      </c>
      <c r="G3144" t="s">
        <v>35</v>
      </c>
      <c r="H3144" t="s">
        <v>35</v>
      </c>
      <c r="J3144" t="s">
        <v>3699</v>
      </c>
      <c r="K3144" t="s">
        <v>1092</v>
      </c>
      <c r="M3144">
        <v>0.25</v>
      </c>
      <c r="N3144">
        <v>72</v>
      </c>
      <c r="O3144" t="s">
        <v>61</v>
      </c>
      <c r="Q3144" t="s">
        <v>63</v>
      </c>
      <c r="R3144" t="s">
        <v>324</v>
      </c>
      <c r="S3144" t="s">
        <v>325</v>
      </c>
    </row>
    <row r="3145" spans="1:19" x14ac:dyDescent="0.25">
      <c r="A3145" t="s">
        <v>59</v>
      </c>
      <c r="B3145" t="s">
        <v>60</v>
      </c>
      <c r="C3145" t="s">
        <v>32</v>
      </c>
      <c r="D3145" t="s">
        <v>448</v>
      </c>
      <c r="E3145" t="s">
        <v>473</v>
      </c>
      <c r="F3145" t="s">
        <v>35</v>
      </c>
      <c r="G3145" t="s">
        <v>35</v>
      </c>
      <c r="H3145" t="s">
        <v>35</v>
      </c>
      <c r="J3145" t="s">
        <v>3700</v>
      </c>
      <c r="K3145" t="s">
        <v>1092</v>
      </c>
      <c r="M3145">
        <v>0.9</v>
      </c>
      <c r="N3145">
        <v>138</v>
      </c>
      <c r="O3145" t="s">
        <v>38</v>
      </c>
      <c r="Q3145" t="s">
        <v>542</v>
      </c>
      <c r="R3145" t="s">
        <v>3702</v>
      </c>
      <c r="S3145" t="s">
        <v>3700</v>
      </c>
    </row>
    <row r="3146" spans="1:19" x14ac:dyDescent="0.25">
      <c r="A3146" t="s">
        <v>59</v>
      </c>
      <c r="B3146" t="s">
        <v>60</v>
      </c>
      <c r="C3146" t="s">
        <v>32</v>
      </c>
      <c r="D3146" t="s">
        <v>448</v>
      </c>
      <c r="E3146" t="s">
        <v>473</v>
      </c>
      <c r="F3146" t="s">
        <v>35</v>
      </c>
      <c r="G3146" t="s">
        <v>35</v>
      </c>
      <c r="H3146" t="s">
        <v>35</v>
      </c>
      <c r="J3146" t="s">
        <v>3703</v>
      </c>
      <c r="K3146" t="s">
        <v>1092</v>
      </c>
      <c r="M3146">
        <v>4</v>
      </c>
      <c r="N3146">
        <v>28</v>
      </c>
      <c r="O3146" t="s">
        <v>46</v>
      </c>
      <c r="Q3146" t="s">
        <v>176</v>
      </c>
      <c r="R3146" t="s">
        <v>3612</v>
      </c>
      <c r="S3146" t="s">
        <v>474</v>
      </c>
    </row>
    <row r="3147" spans="1:19" x14ac:dyDescent="0.25">
      <c r="A3147" t="s">
        <v>59</v>
      </c>
      <c r="B3147" t="s">
        <v>60</v>
      </c>
      <c r="C3147" t="s">
        <v>32</v>
      </c>
      <c r="D3147" t="s">
        <v>448</v>
      </c>
      <c r="E3147" t="s">
        <v>473</v>
      </c>
      <c r="F3147" t="s">
        <v>35</v>
      </c>
      <c r="G3147" t="s">
        <v>35</v>
      </c>
      <c r="H3147" t="s">
        <v>35</v>
      </c>
      <c r="J3147" t="s">
        <v>3704</v>
      </c>
      <c r="K3147" t="s">
        <v>1092</v>
      </c>
      <c r="M3147">
        <v>5.5</v>
      </c>
      <c r="N3147">
        <v>81</v>
      </c>
      <c r="O3147" t="s">
        <v>61</v>
      </c>
      <c r="Q3147" t="s">
        <v>527</v>
      </c>
      <c r="R3147" t="s">
        <v>324</v>
      </c>
      <c r="S3147" t="s">
        <v>325</v>
      </c>
    </row>
    <row r="3148" spans="1:19" x14ac:dyDescent="0.25">
      <c r="A3148" t="s">
        <v>30</v>
      </c>
      <c r="B3148" t="s">
        <v>31</v>
      </c>
      <c r="C3148" t="s">
        <v>32</v>
      </c>
      <c r="D3148" t="s">
        <v>448</v>
      </c>
      <c r="E3148" t="s">
        <v>473</v>
      </c>
      <c r="F3148" t="s">
        <v>35</v>
      </c>
      <c r="G3148" t="s">
        <v>35</v>
      </c>
      <c r="H3148" t="s">
        <v>35</v>
      </c>
      <c r="J3148" t="s">
        <v>3705</v>
      </c>
      <c r="K3148" t="s">
        <v>1092</v>
      </c>
      <c r="M3148">
        <v>4.5</v>
      </c>
      <c r="N3148">
        <v>30</v>
      </c>
      <c r="O3148" t="s">
        <v>46</v>
      </c>
      <c r="Q3148" t="s">
        <v>793</v>
      </c>
      <c r="R3148" t="s">
        <v>3612</v>
      </c>
      <c r="S3148" t="s">
        <v>474</v>
      </c>
    </row>
    <row r="3149" spans="1:19" x14ac:dyDescent="0.25">
      <c r="A3149" t="s">
        <v>44</v>
      </c>
      <c r="B3149" t="s">
        <v>3</v>
      </c>
      <c r="C3149" t="s">
        <v>32</v>
      </c>
      <c r="D3149" t="s">
        <v>448</v>
      </c>
      <c r="E3149" t="s">
        <v>473</v>
      </c>
      <c r="F3149" t="s">
        <v>35</v>
      </c>
      <c r="G3149" t="s">
        <v>35</v>
      </c>
      <c r="H3149" t="s">
        <v>35</v>
      </c>
      <c r="J3149" t="s">
        <v>3706</v>
      </c>
      <c r="K3149" t="s">
        <v>1092</v>
      </c>
      <c r="M3149">
        <v>1.05</v>
      </c>
      <c r="N3149">
        <v>494</v>
      </c>
      <c r="O3149" t="s">
        <v>294</v>
      </c>
      <c r="Q3149" t="s">
        <v>3564</v>
      </c>
      <c r="R3149" t="s">
        <v>3612</v>
      </c>
      <c r="S3149" t="s">
        <v>474</v>
      </c>
    </row>
    <row r="3150" spans="1:19" x14ac:dyDescent="0.25">
      <c r="A3150" t="s">
        <v>30</v>
      </c>
      <c r="B3150" t="s">
        <v>31</v>
      </c>
      <c r="C3150" t="s">
        <v>32</v>
      </c>
      <c r="D3150" t="s">
        <v>448</v>
      </c>
      <c r="E3150" t="s">
        <v>473</v>
      </c>
      <c r="F3150" t="s">
        <v>35</v>
      </c>
      <c r="G3150" t="s">
        <v>35</v>
      </c>
      <c r="H3150" t="s">
        <v>35</v>
      </c>
      <c r="J3150" t="s">
        <v>3707</v>
      </c>
      <c r="K3150" t="s">
        <v>1092</v>
      </c>
      <c r="M3150">
        <v>10.35</v>
      </c>
      <c r="N3150">
        <v>53</v>
      </c>
      <c r="O3150" t="s">
        <v>52</v>
      </c>
      <c r="Q3150" t="s">
        <v>332</v>
      </c>
      <c r="R3150" t="s">
        <v>507</v>
      </c>
      <c r="S3150" t="s">
        <v>508</v>
      </c>
    </row>
    <row r="3151" spans="1:19" x14ac:dyDescent="0.25">
      <c r="A3151" t="s">
        <v>44</v>
      </c>
      <c r="B3151" t="s">
        <v>51</v>
      </c>
      <c r="C3151" t="s">
        <v>32</v>
      </c>
      <c r="D3151" t="s">
        <v>448</v>
      </c>
      <c r="E3151" t="s">
        <v>473</v>
      </c>
      <c r="F3151" t="s">
        <v>35</v>
      </c>
      <c r="G3151" t="s">
        <v>35</v>
      </c>
      <c r="H3151" t="s">
        <v>35</v>
      </c>
      <c r="J3151" t="s">
        <v>3708</v>
      </c>
      <c r="K3151" t="s">
        <v>1092</v>
      </c>
      <c r="M3151">
        <v>0.05</v>
      </c>
      <c r="N3151">
        <v>862</v>
      </c>
      <c r="O3151" t="s">
        <v>575</v>
      </c>
      <c r="Q3151" t="s">
        <v>3709</v>
      </c>
      <c r="R3151" t="s">
        <v>3710</v>
      </c>
      <c r="S3151" t="s">
        <v>3494</v>
      </c>
    </row>
    <row r="3152" spans="1:19" x14ac:dyDescent="0.25">
      <c r="A3152" t="s">
        <v>44</v>
      </c>
      <c r="B3152" t="s">
        <v>3</v>
      </c>
      <c r="C3152" t="s">
        <v>32</v>
      </c>
      <c r="D3152" t="s">
        <v>448</v>
      </c>
      <c r="E3152" t="s">
        <v>473</v>
      </c>
      <c r="F3152" t="s">
        <v>35</v>
      </c>
      <c r="G3152" t="s">
        <v>35</v>
      </c>
      <c r="H3152" t="s">
        <v>35</v>
      </c>
      <c r="J3152" t="s">
        <v>3712</v>
      </c>
      <c r="K3152" t="s">
        <v>1092</v>
      </c>
      <c r="M3152">
        <v>0.4</v>
      </c>
      <c r="N3152">
        <v>590</v>
      </c>
      <c r="O3152" t="s">
        <v>575</v>
      </c>
      <c r="Q3152" t="s">
        <v>624</v>
      </c>
      <c r="R3152" t="s">
        <v>3713</v>
      </c>
      <c r="S3152" t="s">
        <v>3714</v>
      </c>
    </row>
    <row r="3153" spans="1:19" x14ac:dyDescent="0.25">
      <c r="A3153" t="s">
        <v>44</v>
      </c>
      <c r="B3153" t="s">
        <v>3</v>
      </c>
      <c r="C3153" t="s">
        <v>32</v>
      </c>
      <c r="D3153" t="s">
        <v>448</v>
      </c>
      <c r="E3153" t="s">
        <v>473</v>
      </c>
      <c r="F3153" t="s">
        <v>35</v>
      </c>
      <c r="G3153" t="s">
        <v>35</v>
      </c>
      <c r="H3153" t="s">
        <v>35</v>
      </c>
      <c r="J3153" t="s">
        <v>3716</v>
      </c>
      <c r="K3153" t="s">
        <v>1092</v>
      </c>
      <c r="M3153">
        <v>0.1</v>
      </c>
      <c r="N3153">
        <v>464</v>
      </c>
      <c r="O3153" t="s">
        <v>294</v>
      </c>
      <c r="Q3153" t="s">
        <v>1739</v>
      </c>
      <c r="R3153" t="s">
        <v>3717</v>
      </c>
      <c r="S3153" t="s">
        <v>3718</v>
      </c>
    </row>
    <row r="3154" spans="1:19" x14ac:dyDescent="0.25">
      <c r="A3154" t="s">
        <v>30</v>
      </c>
      <c r="B3154" t="s">
        <v>31</v>
      </c>
      <c r="C3154" t="s">
        <v>32</v>
      </c>
      <c r="D3154" t="s">
        <v>448</v>
      </c>
      <c r="E3154" t="s">
        <v>473</v>
      </c>
      <c r="F3154" t="s">
        <v>35</v>
      </c>
      <c r="G3154" t="s">
        <v>35</v>
      </c>
      <c r="H3154" t="s">
        <v>35</v>
      </c>
      <c r="J3154" t="s">
        <v>3719</v>
      </c>
      <c r="K3154" t="s">
        <v>1092</v>
      </c>
      <c r="M3154">
        <v>4.4999999999999998E-2</v>
      </c>
      <c r="N3154">
        <v>138</v>
      </c>
      <c r="O3154" t="s">
        <v>38</v>
      </c>
      <c r="Q3154" t="s">
        <v>542</v>
      </c>
      <c r="R3154" t="s">
        <v>324</v>
      </c>
      <c r="S3154" t="s">
        <v>325</v>
      </c>
    </row>
    <row r="3155" spans="1:19" x14ac:dyDescent="0.25">
      <c r="A3155" t="s">
        <v>30</v>
      </c>
      <c r="B3155" t="s">
        <v>31</v>
      </c>
      <c r="C3155" t="s">
        <v>32</v>
      </c>
      <c r="D3155" t="s">
        <v>448</v>
      </c>
      <c r="E3155" t="s">
        <v>473</v>
      </c>
      <c r="F3155" t="s">
        <v>35</v>
      </c>
      <c r="G3155" t="s">
        <v>35</v>
      </c>
      <c r="H3155" t="s">
        <v>35</v>
      </c>
      <c r="J3155" t="s">
        <v>3720</v>
      </c>
      <c r="K3155" t="s">
        <v>1092</v>
      </c>
      <c r="M3155">
        <v>0.01</v>
      </c>
      <c r="N3155">
        <v>2454</v>
      </c>
      <c r="O3155" t="s">
        <v>575</v>
      </c>
      <c r="Q3155" t="s">
        <v>3721</v>
      </c>
      <c r="R3155" t="s">
        <v>3722</v>
      </c>
      <c r="S3155" t="s">
        <v>3723</v>
      </c>
    </row>
    <row r="3156" spans="1:19" x14ac:dyDescent="0.25">
      <c r="A3156" t="s">
        <v>30</v>
      </c>
      <c r="B3156" t="s">
        <v>31</v>
      </c>
      <c r="C3156" t="s">
        <v>32</v>
      </c>
      <c r="D3156" t="s">
        <v>448</v>
      </c>
      <c r="E3156" t="s">
        <v>473</v>
      </c>
      <c r="F3156" t="s">
        <v>35</v>
      </c>
      <c r="G3156" t="s">
        <v>35</v>
      </c>
      <c r="H3156" t="s">
        <v>35</v>
      </c>
      <c r="J3156" t="s">
        <v>3725</v>
      </c>
      <c r="K3156" t="s">
        <v>1092</v>
      </c>
      <c r="M3156">
        <v>0.18</v>
      </c>
      <c r="N3156">
        <v>1271</v>
      </c>
      <c r="O3156" t="s">
        <v>575</v>
      </c>
      <c r="Q3156" t="s">
        <v>3726</v>
      </c>
      <c r="R3156" t="s">
        <v>3727</v>
      </c>
      <c r="S3156" t="s">
        <v>3728</v>
      </c>
    </row>
    <row r="3157" spans="1:19" x14ac:dyDescent="0.25">
      <c r="A3157" t="s">
        <v>30</v>
      </c>
      <c r="B3157" t="s">
        <v>31</v>
      </c>
      <c r="C3157" t="s">
        <v>32</v>
      </c>
      <c r="D3157" t="s">
        <v>448</v>
      </c>
      <c r="E3157" t="s">
        <v>473</v>
      </c>
      <c r="F3157" t="s">
        <v>35</v>
      </c>
      <c r="G3157" t="s">
        <v>35</v>
      </c>
      <c r="H3157" t="s">
        <v>35</v>
      </c>
      <c r="J3157" t="s">
        <v>3730</v>
      </c>
      <c r="K3157" t="s">
        <v>1092</v>
      </c>
      <c r="M3157">
        <v>4.4999999999999998E-2</v>
      </c>
      <c r="N3157">
        <v>1641</v>
      </c>
      <c r="O3157" t="s">
        <v>575</v>
      </c>
      <c r="Q3157" t="s">
        <v>3731</v>
      </c>
      <c r="R3157" t="s">
        <v>3641</v>
      </c>
      <c r="S3157" t="s">
        <v>3642</v>
      </c>
    </row>
    <row r="3158" spans="1:19" x14ac:dyDescent="0.25">
      <c r="A3158" t="s">
        <v>30</v>
      </c>
      <c r="B3158" t="s">
        <v>31</v>
      </c>
      <c r="C3158" t="s">
        <v>32</v>
      </c>
      <c r="D3158" t="s">
        <v>448</v>
      </c>
      <c r="E3158" t="s">
        <v>473</v>
      </c>
      <c r="F3158" t="s">
        <v>35</v>
      </c>
      <c r="G3158" t="s">
        <v>35</v>
      </c>
      <c r="H3158" t="s">
        <v>35</v>
      </c>
      <c r="J3158" t="s">
        <v>3732</v>
      </c>
      <c r="K3158" t="s">
        <v>1092</v>
      </c>
      <c r="M3158">
        <v>0.69</v>
      </c>
      <c r="N3158">
        <v>1606</v>
      </c>
      <c r="O3158" t="s">
        <v>575</v>
      </c>
      <c r="Q3158" t="s">
        <v>3733</v>
      </c>
      <c r="R3158" t="s">
        <v>3722</v>
      </c>
      <c r="S3158" t="s">
        <v>3723</v>
      </c>
    </row>
    <row r="3159" spans="1:19" x14ac:dyDescent="0.25">
      <c r="A3159" t="s">
        <v>30</v>
      </c>
      <c r="B3159" t="s">
        <v>31</v>
      </c>
      <c r="C3159" t="s">
        <v>32</v>
      </c>
      <c r="D3159" t="s">
        <v>448</v>
      </c>
      <c r="E3159" t="s">
        <v>473</v>
      </c>
      <c r="F3159" t="s">
        <v>35</v>
      </c>
      <c r="G3159" t="s">
        <v>35</v>
      </c>
      <c r="H3159" t="s">
        <v>35</v>
      </c>
      <c r="J3159" t="s">
        <v>3734</v>
      </c>
      <c r="K3159" t="s">
        <v>1092</v>
      </c>
      <c r="M3159">
        <v>0.12</v>
      </c>
      <c r="N3159">
        <v>2446</v>
      </c>
      <c r="O3159" t="s">
        <v>575</v>
      </c>
      <c r="Q3159" t="s">
        <v>3735</v>
      </c>
      <c r="R3159" t="s">
        <v>3722</v>
      </c>
      <c r="S3159" t="s">
        <v>3723</v>
      </c>
    </row>
    <row r="3160" spans="1:19" x14ac:dyDescent="0.25">
      <c r="A3160" t="s">
        <v>59</v>
      </c>
      <c r="B3160" t="s">
        <v>31</v>
      </c>
      <c r="C3160" t="s">
        <v>32</v>
      </c>
      <c r="D3160" t="s">
        <v>448</v>
      </c>
      <c r="E3160" t="s">
        <v>473</v>
      </c>
      <c r="F3160" t="s">
        <v>35</v>
      </c>
      <c r="G3160" t="s">
        <v>35</v>
      </c>
      <c r="H3160" t="s">
        <v>35</v>
      </c>
      <c r="J3160" t="s">
        <v>3736</v>
      </c>
      <c r="K3160" t="s">
        <v>1092</v>
      </c>
      <c r="M3160">
        <v>0.13500000000000001</v>
      </c>
      <c r="N3160">
        <v>1659</v>
      </c>
      <c r="O3160" t="s">
        <v>575</v>
      </c>
      <c r="Q3160" t="s">
        <v>3737</v>
      </c>
      <c r="R3160" t="s">
        <v>3641</v>
      </c>
      <c r="S3160" t="s">
        <v>3642</v>
      </c>
    </row>
    <row r="3161" spans="1:19" x14ac:dyDescent="0.25">
      <c r="A3161" t="s">
        <v>44</v>
      </c>
      <c r="B3161" t="s">
        <v>51</v>
      </c>
      <c r="C3161" t="s">
        <v>32</v>
      </c>
      <c r="D3161" t="s">
        <v>448</v>
      </c>
      <c r="E3161" t="s">
        <v>473</v>
      </c>
      <c r="F3161" t="s">
        <v>35</v>
      </c>
      <c r="G3161" t="s">
        <v>35</v>
      </c>
      <c r="H3161" t="s">
        <v>35</v>
      </c>
      <c r="J3161" t="s">
        <v>3736</v>
      </c>
      <c r="K3161" t="s">
        <v>1092</v>
      </c>
      <c r="M3161">
        <v>0.5</v>
      </c>
      <c r="N3161">
        <v>929</v>
      </c>
      <c r="O3161" t="s">
        <v>575</v>
      </c>
      <c r="Q3161" t="s">
        <v>3738</v>
      </c>
      <c r="R3161" t="s">
        <v>3641</v>
      </c>
      <c r="S3161" t="s">
        <v>3642</v>
      </c>
    </row>
    <row r="3162" spans="1:19" x14ac:dyDescent="0.25">
      <c r="A3162" t="s">
        <v>44</v>
      </c>
      <c r="B3162" t="s">
        <v>51</v>
      </c>
      <c r="C3162" t="s">
        <v>32</v>
      </c>
      <c r="D3162" t="s">
        <v>448</v>
      </c>
      <c r="E3162" t="s">
        <v>473</v>
      </c>
      <c r="F3162" t="s">
        <v>35</v>
      </c>
      <c r="G3162" t="s">
        <v>35</v>
      </c>
      <c r="H3162" t="s">
        <v>35</v>
      </c>
      <c r="J3162" t="s">
        <v>3739</v>
      </c>
      <c r="K3162" t="s">
        <v>1092</v>
      </c>
      <c r="M3162">
        <v>2.5000000000000001E-2</v>
      </c>
      <c r="N3162">
        <v>838</v>
      </c>
      <c r="O3162" t="s">
        <v>575</v>
      </c>
      <c r="Q3162" t="s">
        <v>3740</v>
      </c>
      <c r="R3162" t="s">
        <v>3612</v>
      </c>
      <c r="S3162" t="s">
        <v>474</v>
      </c>
    </row>
    <row r="3163" spans="1:19" x14ac:dyDescent="0.25">
      <c r="A3163" t="s">
        <v>59</v>
      </c>
      <c r="B3163" t="s">
        <v>31</v>
      </c>
      <c r="C3163" t="s">
        <v>32</v>
      </c>
      <c r="D3163" t="s">
        <v>448</v>
      </c>
      <c r="E3163" t="s">
        <v>473</v>
      </c>
      <c r="F3163" t="s">
        <v>35</v>
      </c>
      <c r="G3163" t="s">
        <v>35</v>
      </c>
      <c r="H3163" t="s">
        <v>35</v>
      </c>
      <c r="J3163" t="s">
        <v>3741</v>
      </c>
      <c r="K3163" t="s">
        <v>1092</v>
      </c>
      <c r="M3163">
        <v>11.025</v>
      </c>
      <c r="N3163">
        <v>79</v>
      </c>
      <c r="O3163" t="s">
        <v>61</v>
      </c>
      <c r="Q3163" t="s">
        <v>1156</v>
      </c>
      <c r="R3163" t="s">
        <v>324</v>
      </c>
      <c r="S3163" t="s">
        <v>325</v>
      </c>
    </row>
    <row r="3164" spans="1:19" x14ac:dyDescent="0.25">
      <c r="A3164" t="s">
        <v>30</v>
      </c>
      <c r="B3164" t="s">
        <v>31</v>
      </c>
      <c r="C3164" t="s">
        <v>32</v>
      </c>
      <c r="D3164" t="s">
        <v>448</v>
      </c>
      <c r="E3164" t="s">
        <v>473</v>
      </c>
      <c r="F3164" t="s">
        <v>35</v>
      </c>
      <c r="G3164" t="s">
        <v>35</v>
      </c>
      <c r="H3164" t="s">
        <v>35</v>
      </c>
      <c r="J3164" t="s">
        <v>3742</v>
      </c>
      <c r="K3164" t="s">
        <v>1092</v>
      </c>
      <c r="M3164">
        <v>7.0000000000000001E-3</v>
      </c>
      <c r="N3164">
        <v>1669</v>
      </c>
      <c r="O3164" t="s">
        <v>575</v>
      </c>
      <c r="Q3164" t="s">
        <v>3744</v>
      </c>
      <c r="R3164" t="s">
        <v>3722</v>
      </c>
      <c r="S3164" t="s">
        <v>3723</v>
      </c>
    </row>
    <row r="3165" spans="1:19" x14ac:dyDescent="0.25">
      <c r="A3165" t="s">
        <v>59</v>
      </c>
      <c r="B3165" t="s">
        <v>31</v>
      </c>
      <c r="C3165" t="s">
        <v>32</v>
      </c>
      <c r="D3165" t="s">
        <v>448</v>
      </c>
      <c r="E3165" t="s">
        <v>473</v>
      </c>
      <c r="F3165" t="s">
        <v>35</v>
      </c>
      <c r="G3165" t="s">
        <v>35</v>
      </c>
      <c r="H3165" t="s">
        <v>35</v>
      </c>
      <c r="J3165" t="s">
        <v>3742</v>
      </c>
      <c r="K3165" t="s">
        <v>1092</v>
      </c>
      <c r="M3165">
        <v>0.44500000000000001</v>
      </c>
      <c r="N3165">
        <v>1105</v>
      </c>
      <c r="O3165" t="s">
        <v>575</v>
      </c>
      <c r="Q3165" t="s">
        <v>3743</v>
      </c>
      <c r="R3165" t="s">
        <v>3722</v>
      </c>
      <c r="S3165" t="s">
        <v>3723</v>
      </c>
    </row>
    <row r="3166" spans="1:19" x14ac:dyDescent="0.25">
      <c r="A3166" t="s">
        <v>30</v>
      </c>
      <c r="B3166" t="s">
        <v>31</v>
      </c>
      <c r="C3166" t="s">
        <v>32</v>
      </c>
      <c r="D3166" t="s">
        <v>448</v>
      </c>
      <c r="E3166" t="s">
        <v>473</v>
      </c>
      <c r="F3166" t="s">
        <v>35</v>
      </c>
      <c r="G3166" t="s">
        <v>35</v>
      </c>
      <c r="H3166" t="s">
        <v>35</v>
      </c>
      <c r="J3166" t="s">
        <v>3745</v>
      </c>
      <c r="K3166" t="s">
        <v>1092</v>
      </c>
      <c r="M3166">
        <v>0.27</v>
      </c>
      <c r="N3166">
        <v>140</v>
      </c>
      <c r="O3166" t="s">
        <v>38</v>
      </c>
      <c r="Q3166" t="s">
        <v>609</v>
      </c>
      <c r="R3166" t="s">
        <v>324</v>
      </c>
      <c r="S3166" t="s">
        <v>325</v>
      </c>
    </row>
    <row r="3167" spans="1:19" x14ac:dyDescent="0.25">
      <c r="A3167" t="s">
        <v>59</v>
      </c>
      <c r="B3167" t="s">
        <v>31</v>
      </c>
      <c r="C3167" t="s">
        <v>32</v>
      </c>
      <c r="D3167" t="s">
        <v>448</v>
      </c>
      <c r="E3167" t="s">
        <v>473</v>
      </c>
      <c r="F3167" t="s">
        <v>35</v>
      </c>
      <c r="G3167" t="s">
        <v>35</v>
      </c>
      <c r="H3167" t="s">
        <v>35</v>
      </c>
      <c r="J3167" t="s">
        <v>3745</v>
      </c>
      <c r="K3167" t="s">
        <v>1092</v>
      </c>
      <c r="M3167">
        <v>2.79</v>
      </c>
      <c r="N3167">
        <v>77</v>
      </c>
      <c r="O3167" t="s">
        <v>61</v>
      </c>
      <c r="Q3167" t="s">
        <v>305</v>
      </c>
      <c r="R3167" t="s">
        <v>324</v>
      </c>
      <c r="S3167" t="s">
        <v>325</v>
      </c>
    </row>
    <row r="3168" spans="1:19" x14ac:dyDescent="0.25">
      <c r="A3168" t="s">
        <v>59</v>
      </c>
      <c r="B3168" t="s">
        <v>31</v>
      </c>
      <c r="C3168" t="s">
        <v>32</v>
      </c>
      <c r="D3168" t="s">
        <v>448</v>
      </c>
      <c r="E3168" t="s">
        <v>473</v>
      </c>
      <c r="F3168" t="s">
        <v>35</v>
      </c>
      <c r="G3168" t="s">
        <v>35</v>
      </c>
      <c r="H3168" t="s">
        <v>35</v>
      </c>
      <c r="J3168" t="s">
        <v>3746</v>
      </c>
      <c r="K3168" t="s">
        <v>1092</v>
      </c>
      <c r="M3168">
        <v>0.72</v>
      </c>
      <c r="N3168">
        <v>1200</v>
      </c>
      <c r="O3168" t="s">
        <v>575</v>
      </c>
      <c r="Q3168" t="s">
        <v>3747</v>
      </c>
      <c r="R3168" t="s">
        <v>3710</v>
      </c>
      <c r="S3168" t="s">
        <v>3494</v>
      </c>
    </row>
    <row r="3169" spans="1:19" x14ac:dyDescent="0.25">
      <c r="A3169" t="s">
        <v>44</v>
      </c>
      <c r="B3169" t="s">
        <v>3</v>
      </c>
      <c r="C3169" t="s">
        <v>32</v>
      </c>
      <c r="D3169" t="s">
        <v>448</v>
      </c>
      <c r="E3169" t="s">
        <v>473</v>
      </c>
      <c r="F3169" t="s">
        <v>35</v>
      </c>
      <c r="G3169" t="s">
        <v>35</v>
      </c>
      <c r="H3169" t="s">
        <v>35</v>
      </c>
      <c r="J3169" t="s">
        <v>3748</v>
      </c>
      <c r="K3169" t="s">
        <v>1092</v>
      </c>
      <c r="M3169">
        <v>0.6</v>
      </c>
      <c r="N3169">
        <v>505</v>
      </c>
      <c r="O3169" t="s">
        <v>294</v>
      </c>
      <c r="Q3169" t="s">
        <v>3749</v>
      </c>
      <c r="R3169" t="s">
        <v>3750</v>
      </c>
      <c r="S3169" t="s">
        <v>3751</v>
      </c>
    </row>
    <row r="3170" spans="1:19" x14ac:dyDescent="0.25">
      <c r="A3170" t="s">
        <v>59</v>
      </c>
      <c r="B3170" t="s">
        <v>31</v>
      </c>
      <c r="C3170" t="s">
        <v>32</v>
      </c>
      <c r="D3170" t="s">
        <v>448</v>
      </c>
      <c r="E3170" t="s">
        <v>484</v>
      </c>
      <c r="F3170" t="s">
        <v>35</v>
      </c>
      <c r="G3170" t="s">
        <v>35</v>
      </c>
      <c r="H3170" t="s">
        <v>35</v>
      </c>
      <c r="J3170" t="s">
        <v>3753</v>
      </c>
      <c r="K3170" t="s">
        <v>1092</v>
      </c>
      <c r="M3170">
        <v>1.53</v>
      </c>
      <c r="N3170">
        <v>70</v>
      </c>
      <c r="O3170" t="s">
        <v>61</v>
      </c>
      <c r="Q3170" t="s">
        <v>126</v>
      </c>
      <c r="R3170" t="s">
        <v>513</v>
      </c>
      <c r="S3170" t="s">
        <v>514</v>
      </c>
    </row>
    <row r="3171" spans="1:19" x14ac:dyDescent="0.25">
      <c r="A3171" t="s">
        <v>30</v>
      </c>
      <c r="B3171" t="s">
        <v>31</v>
      </c>
      <c r="C3171" t="s">
        <v>32</v>
      </c>
      <c r="D3171" t="s">
        <v>448</v>
      </c>
      <c r="E3171" t="s">
        <v>484</v>
      </c>
      <c r="F3171" t="s">
        <v>35</v>
      </c>
      <c r="G3171" t="s">
        <v>35</v>
      </c>
      <c r="H3171" t="s">
        <v>35</v>
      </c>
      <c r="J3171" t="s">
        <v>3754</v>
      </c>
      <c r="K3171" t="s">
        <v>1092</v>
      </c>
      <c r="M3171">
        <v>8.5500000000000007</v>
      </c>
      <c r="N3171">
        <v>53</v>
      </c>
      <c r="O3171" t="s">
        <v>52</v>
      </c>
      <c r="Q3171" t="s">
        <v>332</v>
      </c>
      <c r="R3171" t="s">
        <v>324</v>
      </c>
      <c r="S3171" t="s">
        <v>325</v>
      </c>
    </row>
    <row r="3172" spans="1:19" x14ac:dyDescent="0.25">
      <c r="A3172" t="s">
        <v>59</v>
      </c>
      <c r="B3172" t="s">
        <v>31</v>
      </c>
      <c r="C3172" t="s">
        <v>32</v>
      </c>
      <c r="D3172" t="s">
        <v>448</v>
      </c>
      <c r="E3172" t="s">
        <v>484</v>
      </c>
      <c r="F3172" t="s">
        <v>35</v>
      </c>
      <c r="G3172" t="s">
        <v>35</v>
      </c>
      <c r="H3172" t="s">
        <v>35</v>
      </c>
      <c r="J3172" t="s">
        <v>3755</v>
      </c>
      <c r="K3172" t="s">
        <v>1092</v>
      </c>
      <c r="M3172">
        <v>4.5</v>
      </c>
      <c r="N3172">
        <v>1224</v>
      </c>
      <c r="O3172" t="s">
        <v>575</v>
      </c>
      <c r="Q3172" t="s">
        <v>3614</v>
      </c>
      <c r="R3172" t="s">
        <v>3574</v>
      </c>
      <c r="S3172" t="s">
        <v>3575</v>
      </c>
    </row>
    <row r="3173" spans="1:19" x14ac:dyDescent="0.25">
      <c r="A3173" t="s">
        <v>59</v>
      </c>
      <c r="B3173" t="s">
        <v>31</v>
      </c>
      <c r="C3173" t="s">
        <v>32</v>
      </c>
      <c r="D3173" t="s">
        <v>448</v>
      </c>
      <c r="E3173" t="s">
        <v>484</v>
      </c>
      <c r="F3173" t="s">
        <v>35</v>
      </c>
      <c r="G3173" t="s">
        <v>35</v>
      </c>
      <c r="H3173" t="s">
        <v>35</v>
      </c>
      <c r="J3173" t="s">
        <v>3755</v>
      </c>
      <c r="K3173" t="s">
        <v>1092</v>
      </c>
      <c r="M3173">
        <v>0.81</v>
      </c>
      <c r="N3173">
        <v>1592</v>
      </c>
      <c r="O3173" t="s">
        <v>575</v>
      </c>
      <c r="Q3173" t="s">
        <v>3756</v>
      </c>
      <c r="R3173" t="s">
        <v>513</v>
      </c>
      <c r="S3173" t="s">
        <v>514</v>
      </c>
    </row>
    <row r="3174" spans="1:19" x14ac:dyDescent="0.25">
      <c r="A3174" t="s">
        <v>59</v>
      </c>
      <c r="B3174" t="s">
        <v>31</v>
      </c>
      <c r="C3174" t="s">
        <v>32</v>
      </c>
      <c r="D3174" t="s">
        <v>448</v>
      </c>
      <c r="E3174" t="s">
        <v>484</v>
      </c>
      <c r="F3174" t="s">
        <v>35</v>
      </c>
      <c r="G3174" t="s">
        <v>35</v>
      </c>
      <c r="H3174" t="s">
        <v>35</v>
      </c>
      <c r="J3174" t="s">
        <v>3755</v>
      </c>
      <c r="K3174" t="s">
        <v>1092</v>
      </c>
      <c r="M3174">
        <v>0.36</v>
      </c>
      <c r="N3174">
        <v>1894</v>
      </c>
      <c r="O3174" t="s">
        <v>575</v>
      </c>
      <c r="Q3174" t="s">
        <v>2288</v>
      </c>
      <c r="R3174" t="s">
        <v>3656</v>
      </c>
      <c r="S3174" t="s">
        <v>3657</v>
      </c>
    </row>
    <row r="3175" spans="1:19" x14ac:dyDescent="0.25">
      <c r="A3175" t="s">
        <v>59</v>
      </c>
      <c r="B3175" t="s">
        <v>31</v>
      </c>
      <c r="C3175" t="s">
        <v>32</v>
      </c>
      <c r="D3175" t="s">
        <v>448</v>
      </c>
      <c r="E3175" t="s">
        <v>484</v>
      </c>
      <c r="F3175" t="s">
        <v>35</v>
      </c>
      <c r="G3175" t="s">
        <v>35</v>
      </c>
      <c r="H3175" t="s">
        <v>35</v>
      </c>
      <c r="J3175" t="s">
        <v>3757</v>
      </c>
      <c r="K3175" t="s">
        <v>1092</v>
      </c>
      <c r="M3175">
        <v>0.36</v>
      </c>
      <c r="N3175">
        <v>1202</v>
      </c>
      <c r="O3175" t="s">
        <v>575</v>
      </c>
      <c r="Q3175" t="s">
        <v>3758</v>
      </c>
      <c r="R3175" t="s">
        <v>3759</v>
      </c>
      <c r="S3175" t="s">
        <v>3760</v>
      </c>
    </row>
    <row r="3176" spans="1:19" x14ac:dyDescent="0.25">
      <c r="A3176" t="s">
        <v>30</v>
      </c>
      <c r="B3176" t="s">
        <v>31</v>
      </c>
      <c r="C3176" t="s">
        <v>32</v>
      </c>
      <c r="D3176" t="s">
        <v>448</v>
      </c>
      <c r="E3176" t="s">
        <v>484</v>
      </c>
      <c r="F3176" t="s">
        <v>35</v>
      </c>
      <c r="G3176" t="s">
        <v>35</v>
      </c>
      <c r="H3176" t="s">
        <v>35</v>
      </c>
      <c r="J3176" t="s">
        <v>3757</v>
      </c>
      <c r="K3176" t="s">
        <v>1092</v>
      </c>
      <c r="M3176">
        <v>0.84499999999999997</v>
      </c>
      <c r="N3176">
        <v>1195</v>
      </c>
      <c r="O3176" t="s">
        <v>575</v>
      </c>
      <c r="Q3176" t="s">
        <v>2433</v>
      </c>
      <c r="R3176" t="s">
        <v>3759</v>
      </c>
      <c r="S3176" t="s">
        <v>3760</v>
      </c>
    </row>
    <row r="3177" spans="1:19" x14ac:dyDescent="0.25">
      <c r="A3177" t="s">
        <v>59</v>
      </c>
      <c r="B3177" t="s">
        <v>31</v>
      </c>
      <c r="C3177" t="s">
        <v>32</v>
      </c>
      <c r="D3177" t="s">
        <v>448</v>
      </c>
      <c r="E3177" t="s">
        <v>484</v>
      </c>
      <c r="F3177" t="s">
        <v>35</v>
      </c>
      <c r="G3177" t="s">
        <v>35</v>
      </c>
      <c r="H3177" t="s">
        <v>35</v>
      </c>
      <c r="J3177" t="s">
        <v>3689</v>
      </c>
      <c r="K3177" t="s">
        <v>1092</v>
      </c>
      <c r="M3177">
        <v>0.54</v>
      </c>
      <c r="N3177">
        <v>1202</v>
      </c>
      <c r="O3177" t="s">
        <v>575</v>
      </c>
      <c r="Q3177" t="s">
        <v>3758</v>
      </c>
      <c r="R3177" t="s">
        <v>3759</v>
      </c>
      <c r="S3177" t="s">
        <v>3760</v>
      </c>
    </row>
    <row r="3178" spans="1:19" x14ac:dyDescent="0.25">
      <c r="A3178" t="s">
        <v>30</v>
      </c>
      <c r="B3178" t="s">
        <v>31</v>
      </c>
      <c r="C3178" t="s">
        <v>32</v>
      </c>
      <c r="D3178" t="s">
        <v>448</v>
      </c>
      <c r="E3178" t="s">
        <v>484</v>
      </c>
      <c r="F3178" t="s">
        <v>35</v>
      </c>
      <c r="G3178" t="s">
        <v>35</v>
      </c>
      <c r="H3178" t="s">
        <v>35</v>
      </c>
      <c r="J3178" t="s">
        <v>3689</v>
      </c>
      <c r="K3178" t="s">
        <v>1092</v>
      </c>
      <c r="M3178">
        <v>0.58499999999999996</v>
      </c>
      <c r="N3178">
        <v>1195</v>
      </c>
      <c r="O3178" t="s">
        <v>575</v>
      </c>
      <c r="Q3178" t="s">
        <v>2433</v>
      </c>
      <c r="R3178" t="s">
        <v>3759</v>
      </c>
      <c r="S3178" t="s">
        <v>3760</v>
      </c>
    </row>
    <row r="3179" spans="1:19" x14ac:dyDescent="0.25">
      <c r="A3179" t="s">
        <v>59</v>
      </c>
      <c r="B3179" t="s">
        <v>60</v>
      </c>
      <c r="C3179" t="s">
        <v>32</v>
      </c>
      <c r="D3179" t="s">
        <v>448</v>
      </c>
      <c r="E3179" t="s">
        <v>484</v>
      </c>
      <c r="F3179" t="s">
        <v>35</v>
      </c>
      <c r="G3179" t="s">
        <v>35</v>
      </c>
      <c r="H3179" t="s">
        <v>35</v>
      </c>
      <c r="J3179" t="s">
        <v>3762</v>
      </c>
      <c r="K3179" t="s">
        <v>1092</v>
      </c>
      <c r="M3179">
        <v>0.45</v>
      </c>
      <c r="N3179">
        <v>470</v>
      </c>
      <c r="O3179" t="s">
        <v>294</v>
      </c>
      <c r="Q3179" t="s">
        <v>1327</v>
      </c>
      <c r="R3179" t="s">
        <v>519</v>
      </c>
      <c r="S3179" t="s">
        <v>485</v>
      </c>
    </row>
    <row r="3180" spans="1:19" x14ac:dyDescent="0.25">
      <c r="A3180" t="s">
        <v>30</v>
      </c>
      <c r="B3180" t="s">
        <v>31</v>
      </c>
      <c r="C3180" t="s">
        <v>32</v>
      </c>
      <c r="D3180" t="s">
        <v>448</v>
      </c>
      <c r="E3180" t="s">
        <v>497</v>
      </c>
      <c r="F3180" t="s">
        <v>35</v>
      </c>
      <c r="G3180" t="s">
        <v>35</v>
      </c>
      <c r="H3180" t="s">
        <v>35</v>
      </c>
      <c r="J3180" t="s">
        <v>3763</v>
      </c>
      <c r="K3180" t="s">
        <v>404</v>
      </c>
      <c r="M3180">
        <v>5.31</v>
      </c>
      <c r="N3180">
        <v>52</v>
      </c>
      <c r="O3180" t="s">
        <v>52</v>
      </c>
      <c r="Q3180" t="s">
        <v>1230</v>
      </c>
      <c r="R3180" t="s">
        <v>324</v>
      </c>
      <c r="S3180" t="s">
        <v>325</v>
      </c>
    </row>
    <row r="3181" spans="1:19" x14ac:dyDescent="0.25">
      <c r="A3181" t="s">
        <v>59</v>
      </c>
      <c r="B3181" t="s">
        <v>60</v>
      </c>
      <c r="C3181" t="s">
        <v>32</v>
      </c>
      <c r="D3181" t="s">
        <v>448</v>
      </c>
      <c r="E3181" t="s">
        <v>497</v>
      </c>
      <c r="F3181" t="s">
        <v>35</v>
      </c>
      <c r="G3181" t="s">
        <v>35</v>
      </c>
      <c r="H3181" t="s">
        <v>35</v>
      </c>
      <c r="J3181" t="s">
        <v>3764</v>
      </c>
      <c r="K3181" t="s">
        <v>1092</v>
      </c>
      <c r="M3181">
        <v>0.4</v>
      </c>
      <c r="N3181">
        <v>109</v>
      </c>
      <c r="O3181" t="s">
        <v>106</v>
      </c>
      <c r="Q3181" t="s">
        <v>2624</v>
      </c>
      <c r="R3181" t="s">
        <v>3652</v>
      </c>
      <c r="S3181" t="s">
        <v>498</v>
      </c>
    </row>
    <row r="3182" spans="1:19" x14ac:dyDescent="0.25">
      <c r="A3182" t="s">
        <v>59</v>
      </c>
      <c r="B3182" t="s">
        <v>60</v>
      </c>
      <c r="C3182" t="s">
        <v>32</v>
      </c>
      <c r="D3182" t="s">
        <v>448</v>
      </c>
      <c r="E3182" t="s">
        <v>497</v>
      </c>
      <c r="F3182" t="s">
        <v>35</v>
      </c>
      <c r="G3182" t="s">
        <v>35</v>
      </c>
      <c r="H3182" t="s">
        <v>35</v>
      </c>
      <c r="J3182" t="s">
        <v>3765</v>
      </c>
      <c r="K3182" t="s">
        <v>1092</v>
      </c>
      <c r="M3182">
        <v>0.1</v>
      </c>
      <c r="N3182">
        <v>145</v>
      </c>
      <c r="O3182" t="s">
        <v>38</v>
      </c>
      <c r="Q3182" t="s">
        <v>1149</v>
      </c>
      <c r="R3182" t="s">
        <v>3652</v>
      </c>
      <c r="S3182" t="s">
        <v>498</v>
      </c>
    </row>
    <row r="3183" spans="1:19" x14ac:dyDescent="0.25">
      <c r="A3183" t="s">
        <v>59</v>
      </c>
      <c r="B3183" t="s">
        <v>60</v>
      </c>
      <c r="C3183" t="s">
        <v>32</v>
      </c>
      <c r="D3183" t="s">
        <v>448</v>
      </c>
      <c r="E3183" t="s">
        <v>497</v>
      </c>
      <c r="F3183" t="s">
        <v>35</v>
      </c>
      <c r="G3183" t="s">
        <v>35</v>
      </c>
      <c r="H3183" t="s">
        <v>35</v>
      </c>
      <c r="J3183" t="s">
        <v>3765</v>
      </c>
      <c r="K3183" t="s">
        <v>1092</v>
      </c>
      <c r="M3183">
        <v>1.5</v>
      </c>
      <c r="N3183">
        <v>141</v>
      </c>
      <c r="O3183" t="s">
        <v>38</v>
      </c>
      <c r="Q3183" t="s">
        <v>1822</v>
      </c>
      <c r="R3183" t="s">
        <v>3652</v>
      </c>
      <c r="S3183" t="s">
        <v>498</v>
      </c>
    </row>
    <row r="3184" spans="1:19" x14ac:dyDescent="0.25">
      <c r="A3184" t="s">
        <v>44</v>
      </c>
      <c r="B3184" t="s">
        <v>3</v>
      </c>
      <c r="C3184" t="s">
        <v>32</v>
      </c>
      <c r="D3184" t="s">
        <v>448</v>
      </c>
      <c r="E3184" t="s">
        <v>497</v>
      </c>
      <c r="F3184" t="s">
        <v>35</v>
      </c>
      <c r="G3184" t="s">
        <v>35</v>
      </c>
      <c r="H3184" t="s">
        <v>35</v>
      </c>
      <c r="J3184" t="s">
        <v>3766</v>
      </c>
      <c r="K3184" t="s">
        <v>1092</v>
      </c>
      <c r="M3184">
        <v>0.5</v>
      </c>
      <c r="N3184">
        <v>504</v>
      </c>
      <c r="O3184" t="s">
        <v>294</v>
      </c>
      <c r="Q3184" t="s">
        <v>1614</v>
      </c>
      <c r="R3184" t="s">
        <v>3652</v>
      </c>
      <c r="S3184" t="s">
        <v>498</v>
      </c>
    </row>
    <row r="3185" spans="1:19" x14ac:dyDescent="0.25">
      <c r="A3185" t="s">
        <v>59</v>
      </c>
      <c r="B3185" t="s">
        <v>60</v>
      </c>
      <c r="C3185" t="s">
        <v>32</v>
      </c>
      <c r="D3185" t="s">
        <v>448</v>
      </c>
      <c r="E3185" t="s">
        <v>497</v>
      </c>
      <c r="F3185" t="s">
        <v>35</v>
      </c>
      <c r="G3185" t="s">
        <v>35</v>
      </c>
      <c r="H3185" t="s">
        <v>35</v>
      </c>
      <c r="J3185" t="s">
        <v>3766</v>
      </c>
      <c r="K3185" t="s">
        <v>1092</v>
      </c>
      <c r="M3185">
        <v>0.9</v>
      </c>
      <c r="N3185">
        <v>519</v>
      </c>
      <c r="O3185" t="s">
        <v>294</v>
      </c>
      <c r="Q3185" t="s">
        <v>3767</v>
      </c>
      <c r="R3185" t="s">
        <v>3652</v>
      </c>
      <c r="S3185" t="s">
        <v>498</v>
      </c>
    </row>
    <row r="3186" spans="1:19" x14ac:dyDescent="0.25">
      <c r="A3186" t="s">
        <v>59</v>
      </c>
      <c r="B3186" t="s">
        <v>60</v>
      </c>
      <c r="C3186" t="s">
        <v>32</v>
      </c>
      <c r="D3186" t="s">
        <v>448</v>
      </c>
      <c r="E3186" t="s">
        <v>497</v>
      </c>
      <c r="F3186" t="s">
        <v>35</v>
      </c>
      <c r="G3186" t="s">
        <v>35</v>
      </c>
      <c r="H3186" t="s">
        <v>35</v>
      </c>
      <c r="J3186" t="s">
        <v>3766</v>
      </c>
      <c r="K3186" t="s">
        <v>1092</v>
      </c>
      <c r="M3186">
        <v>0.5</v>
      </c>
      <c r="N3186">
        <v>498</v>
      </c>
      <c r="O3186" t="s">
        <v>294</v>
      </c>
      <c r="Q3186" t="s">
        <v>2487</v>
      </c>
      <c r="R3186" t="s">
        <v>3652</v>
      </c>
      <c r="S3186" t="s">
        <v>498</v>
      </c>
    </row>
    <row r="3187" spans="1:19" x14ac:dyDescent="0.25">
      <c r="A3187" t="s">
        <v>59</v>
      </c>
      <c r="B3187" t="s">
        <v>60</v>
      </c>
      <c r="C3187" t="s">
        <v>32</v>
      </c>
      <c r="D3187" t="s">
        <v>448</v>
      </c>
      <c r="E3187" t="s">
        <v>497</v>
      </c>
      <c r="F3187" t="s">
        <v>35</v>
      </c>
      <c r="G3187" t="s">
        <v>35</v>
      </c>
      <c r="H3187" t="s">
        <v>35</v>
      </c>
      <c r="J3187" t="s">
        <v>3766</v>
      </c>
      <c r="K3187" t="s">
        <v>1092</v>
      </c>
      <c r="M3187">
        <v>0.5</v>
      </c>
      <c r="N3187">
        <v>466</v>
      </c>
      <c r="O3187" t="s">
        <v>294</v>
      </c>
      <c r="Q3187" t="s">
        <v>1114</v>
      </c>
      <c r="R3187" t="s">
        <v>3652</v>
      </c>
      <c r="S3187" t="s">
        <v>498</v>
      </c>
    </row>
    <row r="3188" spans="1:19" x14ac:dyDescent="0.25">
      <c r="A3188" t="s">
        <v>59</v>
      </c>
      <c r="B3188" t="s">
        <v>60</v>
      </c>
      <c r="C3188" t="s">
        <v>32</v>
      </c>
      <c r="D3188" t="s">
        <v>448</v>
      </c>
      <c r="E3188" t="s">
        <v>497</v>
      </c>
      <c r="F3188" t="s">
        <v>35</v>
      </c>
      <c r="G3188" t="s">
        <v>35</v>
      </c>
      <c r="H3188" t="s">
        <v>35</v>
      </c>
      <c r="J3188" t="s">
        <v>3768</v>
      </c>
      <c r="K3188" t="s">
        <v>1092</v>
      </c>
      <c r="M3188">
        <v>0.15</v>
      </c>
      <c r="N3188">
        <v>165</v>
      </c>
      <c r="O3188" t="s">
        <v>38</v>
      </c>
      <c r="Q3188" t="s">
        <v>1548</v>
      </c>
      <c r="R3188" t="s">
        <v>3652</v>
      </c>
      <c r="S3188" t="s">
        <v>498</v>
      </c>
    </row>
    <row r="3189" spans="1:19" x14ac:dyDescent="0.25">
      <c r="A3189" t="s">
        <v>59</v>
      </c>
      <c r="B3189" t="s">
        <v>60</v>
      </c>
      <c r="C3189" t="s">
        <v>32</v>
      </c>
      <c r="D3189" t="s">
        <v>448</v>
      </c>
      <c r="E3189" t="s">
        <v>497</v>
      </c>
      <c r="F3189" t="s">
        <v>35</v>
      </c>
      <c r="G3189" t="s">
        <v>35</v>
      </c>
      <c r="H3189" t="s">
        <v>35</v>
      </c>
      <c r="J3189" t="s">
        <v>3769</v>
      </c>
      <c r="K3189" t="s">
        <v>1092</v>
      </c>
      <c r="M3189">
        <v>0.2</v>
      </c>
      <c r="N3189">
        <v>187</v>
      </c>
      <c r="O3189" t="s">
        <v>5</v>
      </c>
      <c r="Q3189" t="s">
        <v>1798</v>
      </c>
      <c r="R3189" t="s">
        <v>3652</v>
      </c>
      <c r="S3189" t="s">
        <v>498</v>
      </c>
    </row>
    <row r="3190" spans="1:19" x14ac:dyDescent="0.25">
      <c r="A3190" t="s">
        <v>30</v>
      </c>
      <c r="B3190" t="s">
        <v>31</v>
      </c>
      <c r="C3190" t="s">
        <v>32</v>
      </c>
      <c r="D3190" t="s">
        <v>448</v>
      </c>
      <c r="E3190" t="s">
        <v>497</v>
      </c>
      <c r="F3190" t="s">
        <v>35</v>
      </c>
      <c r="G3190" t="s">
        <v>35</v>
      </c>
      <c r="H3190" t="s">
        <v>35</v>
      </c>
      <c r="J3190" t="s">
        <v>460</v>
      </c>
      <c r="K3190" t="s">
        <v>1092</v>
      </c>
      <c r="M3190">
        <v>20.43</v>
      </c>
      <c r="N3190">
        <v>49</v>
      </c>
      <c r="O3190" t="s">
        <v>52</v>
      </c>
      <c r="Q3190" t="s">
        <v>219</v>
      </c>
      <c r="R3190" t="s">
        <v>519</v>
      </c>
      <c r="S3190" t="s">
        <v>485</v>
      </c>
    </row>
    <row r="3191" spans="1:19" x14ac:dyDescent="0.25">
      <c r="A3191" t="s">
        <v>59</v>
      </c>
      <c r="B3191" t="s">
        <v>60</v>
      </c>
      <c r="C3191" t="s">
        <v>32</v>
      </c>
      <c r="D3191" t="s">
        <v>448</v>
      </c>
      <c r="E3191" t="s">
        <v>497</v>
      </c>
      <c r="F3191" t="s">
        <v>35</v>
      </c>
      <c r="G3191" t="s">
        <v>35</v>
      </c>
      <c r="H3191" t="s">
        <v>35</v>
      </c>
      <c r="J3191" t="s">
        <v>3770</v>
      </c>
      <c r="K3191" t="s">
        <v>1092</v>
      </c>
      <c r="M3191">
        <v>0.25</v>
      </c>
      <c r="N3191">
        <v>150</v>
      </c>
      <c r="O3191" t="s">
        <v>38</v>
      </c>
      <c r="Q3191" t="s">
        <v>1612</v>
      </c>
      <c r="R3191" t="s">
        <v>519</v>
      </c>
      <c r="S3191" t="s">
        <v>485</v>
      </c>
    </row>
    <row r="3192" spans="1:19" x14ac:dyDescent="0.25">
      <c r="A3192" t="s">
        <v>59</v>
      </c>
      <c r="B3192" t="s">
        <v>60</v>
      </c>
      <c r="C3192" t="s">
        <v>32</v>
      </c>
      <c r="D3192" t="s">
        <v>448</v>
      </c>
      <c r="E3192" t="s">
        <v>497</v>
      </c>
      <c r="F3192" t="s">
        <v>35</v>
      </c>
      <c r="G3192" t="s">
        <v>35</v>
      </c>
      <c r="H3192" t="s">
        <v>35</v>
      </c>
      <c r="J3192" t="s">
        <v>3770</v>
      </c>
      <c r="K3192" t="s">
        <v>1092</v>
      </c>
      <c r="M3192">
        <v>0.25</v>
      </c>
      <c r="N3192">
        <v>148</v>
      </c>
      <c r="O3192" t="s">
        <v>38</v>
      </c>
      <c r="Q3192" t="s">
        <v>1168</v>
      </c>
      <c r="R3192" t="s">
        <v>519</v>
      </c>
      <c r="S3192" t="s">
        <v>485</v>
      </c>
    </row>
    <row r="3193" spans="1:19" x14ac:dyDescent="0.25">
      <c r="A3193" t="s">
        <v>59</v>
      </c>
      <c r="B3193" t="s">
        <v>60</v>
      </c>
      <c r="C3193" t="s">
        <v>32</v>
      </c>
      <c r="D3193" t="s">
        <v>448</v>
      </c>
      <c r="E3193" t="s">
        <v>497</v>
      </c>
      <c r="F3193" t="s">
        <v>35</v>
      </c>
      <c r="G3193" t="s">
        <v>35</v>
      </c>
      <c r="H3193" t="s">
        <v>35</v>
      </c>
      <c r="J3193" t="s">
        <v>3771</v>
      </c>
      <c r="K3193" t="s">
        <v>1092</v>
      </c>
      <c r="M3193">
        <v>0.5</v>
      </c>
      <c r="N3193">
        <v>148</v>
      </c>
      <c r="O3193" t="s">
        <v>38</v>
      </c>
      <c r="Q3193" t="s">
        <v>1168</v>
      </c>
      <c r="R3193" t="s">
        <v>519</v>
      </c>
      <c r="S3193" t="s">
        <v>485</v>
      </c>
    </row>
    <row r="3194" spans="1:19" x14ac:dyDescent="0.25">
      <c r="A3194" t="s">
        <v>59</v>
      </c>
      <c r="B3194" t="s">
        <v>60</v>
      </c>
      <c r="C3194" t="s">
        <v>32</v>
      </c>
      <c r="D3194" t="s">
        <v>448</v>
      </c>
      <c r="E3194" t="s">
        <v>497</v>
      </c>
      <c r="F3194" t="s">
        <v>35</v>
      </c>
      <c r="G3194" t="s">
        <v>35</v>
      </c>
      <c r="H3194" t="s">
        <v>35</v>
      </c>
      <c r="J3194" t="s">
        <v>3771</v>
      </c>
      <c r="K3194" t="s">
        <v>1092</v>
      </c>
      <c r="M3194">
        <v>0.5</v>
      </c>
      <c r="N3194">
        <v>167</v>
      </c>
      <c r="O3194" t="s">
        <v>38</v>
      </c>
      <c r="Q3194" t="s">
        <v>1120</v>
      </c>
      <c r="R3194" t="s">
        <v>3652</v>
      </c>
      <c r="S3194" t="s">
        <v>498</v>
      </c>
    </row>
    <row r="3195" spans="1:19" x14ac:dyDescent="0.25">
      <c r="A3195" t="s">
        <v>59</v>
      </c>
      <c r="B3195" t="s">
        <v>60</v>
      </c>
      <c r="C3195" t="s">
        <v>32</v>
      </c>
      <c r="D3195" t="s">
        <v>448</v>
      </c>
      <c r="E3195" t="s">
        <v>497</v>
      </c>
      <c r="F3195" t="s">
        <v>35</v>
      </c>
      <c r="G3195" t="s">
        <v>35</v>
      </c>
      <c r="H3195" t="s">
        <v>35</v>
      </c>
      <c r="J3195" t="s">
        <v>3772</v>
      </c>
      <c r="K3195" t="s">
        <v>1092</v>
      </c>
      <c r="M3195">
        <v>1</v>
      </c>
      <c r="N3195">
        <v>91</v>
      </c>
      <c r="O3195" t="s">
        <v>106</v>
      </c>
      <c r="Q3195" t="s">
        <v>1147</v>
      </c>
      <c r="R3195" t="s">
        <v>3652</v>
      </c>
      <c r="S3195" t="s">
        <v>498</v>
      </c>
    </row>
    <row r="3196" spans="1:19" x14ac:dyDescent="0.25">
      <c r="A3196" t="s">
        <v>30</v>
      </c>
      <c r="B3196" t="s">
        <v>31</v>
      </c>
      <c r="C3196" t="s">
        <v>32</v>
      </c>
      <c r="D3196" t="s">
        <v>448</v>
      </c>
      <c r="E3196" t="s">
        <v>497</v>
      </c>
      <c r="F3196" t="s">
        <v>35</v>
      </c>
      <c r="G3196" t="s">
        <v>35</v>
      </c>
      <c r="H3196" t="s">
        <v>35</v>
      </c>
      <c r="J3196" t="s">
        <v>3773</v>
      </c>
      <c r="K3196" t="s">
        <v>1092</v>
      </c>
      <c r="M3196">
        <v>0.01</v>
      </c>
      <c r="N3196">
        <v>2085</v>
      </c>
      <c r="O3196" t="s">
        <v>575</v>
      </c>
      <c r="Q3196" t="s">
        <v>3774</v>
      </c>
      <c r="R3196" t="s">
        <v>3652</v>
      </c>
      <c r="S3196" t="s">
        <v>498</v>
      </c>
    </row>
    <row r="3197" spans="1:19" x14ac:dyDescent="0.25">
      <c r="A3197" t="s">
        <v>59</v>
      </c>
      <c r="B3197" t="s">
        <v>60</v>
      </c>
      <c r="C3197" t="s">
        <v>32</v>
      </c>
      <c r="D3197" t="s">
        <v>448</v>
      </c>
      <c r="E3197" t="s">
        <v>497</v>
      </c>
      <c r="F3197" t="s">
        <v>35</v>
      </c>
      <c r="G3197" t="s">
        <v>35</v>
      </c>
      <c r="H3197" t="s">
        <v>35</v>
      </c>
      <c r="J3197" t="s">
        <v>3775</v>
      </c>
      <c r="K3197" t="s">
        <v>1092</v>
      </c>
      <c r="M3197">
        <v>0.05</v>
      </c>
      <c r="N3197">
        <v>525</v>
      </c>
      <c r="O3197" t="s">
        <v>294</v>
      </c>
      <c r="Q3197" t="s">
        <v>3776</v>
      </c>
      <c r="R3197" t="s">
        <v>3777</v>
      </c>
      <c r="S3197" t="s">
        <v>504</v>
      </c>
    </row>
    <row r="3198" spans="1:19" x14ac:dyDescent="0.25">
      <c r="A3198" t="s">
        <v>59</v>
      </c>
      <c r="B3198" t="s">
        <v>60</v>
      </c>
      <c r="C3198" t="s">
        <v>32</v>
      </c>
      <c r="D3198" t="s">
        <v>448</v>
      </c>
      <c r="E3198" t="s">
        <v>497</v>
      </c>
      <c r="F3198" t="s">
        <v>35</v>
      </c>
      <c r="G3198" t="s">
        <v>35</v>
      </c>
      <c r="H3198" t="s">
        <v>35</v>
      </c>
      <c r="J3198" t="s">
        <v>3778</v>
      </c>
      <c r="K3198" t="s">
        <v>1092</v>
      </c>
      <c r="M3198">
        <v>0.75</v>
      </c>
      <c r="N3198">
        <v>118</v>
      </c>
      <c r="O3198" t="s">
        <v>106</v>
      </c>
      <c r="Q3198" t="s">
        <v>1469</v>
      </c>
      <c r="R3198" t="s">
        <v>3652</v>
      </c>
      <c r="S3198" t="s">
        <v>498</v>
      </c>
    </row>
    <row r="3199" spans="1:19" x14ac:dyDescent="0.25">
      <c r="A3199" t="s">
        <v>59</v>
      </c>
      <c r="B3199" t="s">
        <v>60</v>
      </c>
      <c r="C3199" t="s">
        <v>32</v>
      </c>
      <c r="D3199" t="s">
        <v>448</v>
      </c>
      <c r="E3199" t="s">
        <v>497</v>
      </c>
      <c r="F3199" t="s">
        <v>35</v>
      </c>
      <c r="G3199" t="s">
        <v>35</v>
      </c>
      <c r="H3199" t="s">
        <v>35</v>
      </c>
      <c r="J3199" t="s">
        <v>3779</v>
      </c>
      <c r="K3199" t="s">
        <v>1092</v>
      </c>
      <c r="M3199">
        <v>2.5</v>
      </c>
      <c r="N3199">
        <v>118</v>
      </c>
      <c r="O3199" t="s">
        <v>106</v>
      </c>
      <c r="Q3199" t="s">
        <v>1469</v>
      </c>
      <c r="R3199" t="s">
        <v>3652</v>
      </c>
      <c r="S3199" t="s">
        <v>498</v>
      </c>
    </row>
    <row r="3200" spans="1:19" x14ac:dyDescent="0.25">
      <c r="A3200" t="s">
        <v>59</v>
      </c>
      <c r="B3200" t="s">
        <v>60</v>
      </c>
      <c r="C3200" t="s">
        <v>32</v>
      </c>
      <c r="D3200" t="s">
        <v>448</v>
      </c>
      <c r="E3200" t="s">
        <v>497</v>
      </c>
      <c r="F3200" t="s">
        <v>35</v>
      </c>
      <c r="G3200" t="s">
        <v>35</v>
      </c>
      <c r="H3200" t="s">
        <v>35</v>
      </c>
      <c r="J3200" t="s">
        <v>3779</v>
      </c>
      <c r="K3200" t="s">
        <v>1092</v>
      </c>
      <c r="M3200">
        <v>0.25</v>
      </c>
      <c r="N3200">
        <v>136</v>
      </c>
      <c r="O3200" t="s">
        <v>38</v>
      </c>
      <c r="Q3200" t="s">
        <v>157</v>
      </c>
      <c r="R3200" t="s">
        <v>3652</v>
      </c>
      <c r="S3200" t="s">
        <v>498</v>
      </c>
    </row>
    <row r="3201" spans="1:19" x14ac:dyDescent="0.25">
      <c r="A3201" t="s">
        <v>59</v>
      </c>
      <c r="B3201" t="s">
        <v>60</v>
      </c>
      <c r="C3201" t="s">
        <v>32</v>
      </c>
      <c r="D3201" t="s">
        <v>448</v>
      </c>
      <c r="E3201" t="s">
        <v>497</v>
      </c>
      <c r="F3201" t="s">
        <v>35</v>
      </c>
      <c r="G3201" t="s">
        <v>35</v>
      </c>
      <c r="H3201" t="s">
        <v>35</v>
      </c>
      <c r="J3201" t="s">
        <v>3779</v>
      </c>
      <c r="K3201" t="s">
        <v>1092</v>
      </c>
      <c r="M3201">
        <v>1</v>
      </c>
      <c r="N3201">
        <v>128</v>
      </c>
      <c r="O3201" t="s">
        <v>38</v>
      </c>
      <c r="Q3201" t="s">
        <v>1170</v>
      </c>
      <c r="R3201" t="s">
        <v>3652</v>
      </c>
      <c r="S3201" t="s">
        <v>498</v>
      </c>
    </row>
    <row r="3202" spans="1:19" x14ac:dyDescent="0.25">
      <c r="A3202" t="s">
        <v>59</v>
      </c>
      <c r="B3202" t="s">
        <v>60</v>
      </c>
      <c r="C3202" t="s">
        <v>32</v>
      </c>
      <c r="D3202" t="s">
        <v>448</v>
      </c>
      <c r="E3202" t="s">
        <v>497</v>
      </c>
      <c r="F3202" t="s">
        <v>35</v>
      </c>
      <c r="G3202" t="s">
        <v>35</v>
      </c>
      <c r="H3202" t="s">
        <v>35</v>
      </c>
      <c r="J3202" t="s">
        <v>3780</v>
      </c>
      <c r="K3202" t="s">
        <v>1092</v>
      </c>
      <c r="M3202">
        <v>0.05</v>
      </c>
      <c r="N3202">
        <v>128</v>
      </c>
      <c r="O3202" t="s">
        <v>38</v>
      </c>
      <c r="Q3202" t="s">
        <v>1170</v>
      </c>
      <c r="R3202" t="s">
        <v>519</v>
      </c>
      <c r="S3202" t="s">
        <v>485</v>
      </c>
    </row>
    <row r="3203" spans="1:19" x14ac:dyDescent="0.25">
      <c r="A3203" t="s">
        <v>44</v>
      </c>
      <c r="B3203" t="s">
        <v>51</v>
      </c>
      <c r="C3203" t="s">
        <v>32</v>
      </c>
      <c r="D3203" t="s">
        <v>448</v>
      </c>
      <c r="E3203" t="s">
        <v>497</v>
      </c>
      <c r="F3203" t="s">
        <v>35</v>
      </c>
      <c r="G3203" t="s">
        <v>35</v>
      </c>
      <c r="H3203" t="s">
        <v>35</v>
      </c>
      <c r="J3203" t="s">
        <v>3781</v>
      </c>
      <c r="K3203" t="s">
        <v>1092</v>
      </c>
      <c r="M3203">
        <v>0.25</v>
      </c>
      <c r="N3203">
        <v>503</v>
      </c>
      <c r="O3203" t="s">
        <v>294</v>
      </c>
      <c r="Q3203" t="s">
        <v>3139</v>
      </c>
      <c r="R3203" t="s">
        <v>3777</v>
      </c>
      <c r="S3203" t="s">
        <v>504</v>
      </c>
    </row>
    <row r="3204" spans="1:19" x14ac:dyDescent="0.25">
      <c r="A3204" t="s">
        <v>30</v>
      </c>
      <c r="B3204" t="s">
        <v>31</v>
      </c>
      <c r="C3204" t="s">
        <v>32</v>
      </c>
      <c r="D3204" t="s">
        <v>448</v>
      </c>
      <c r="E3204" t="s">
        <v>497</v>
      </c>
      <c r="F3204" t="s">
        <v>35</v>
      </c>
      <c r="G3204" t="s">
        <v>35</v>
      </c>
      <c r="H3204" t="s">
        <v>35</v>
      </c>
      <c r="J3204" t="s">
        <v>3782</v>
      </c>
      <c r="K3204" t="s">
        <v>1092</v>
      </c>
      <c r="M3204">
        <v>4.4999999999999998E-2</v>
      </c>
      <c r="N3204">
        <v>140</v>
      </c>
      <c r="O3204" t="s">
        <v>38</v>
      </c>
      <c r="Q3204" t="s">
        <v>609</v>
      </c>
      <c r="R3204" t="s">
        <v>324</v>
      </c>
      <c r="S3204" t="s">
        <v>325</v>
      </c>
    </row>
    <row r="3205" spans="1:19" x14ac:dyDescent="0.25">
      <c r="A3205" t="s">
        <v>59</v>
      </c>
      <c r="B3205" t="s">
        <v>60</v>
      </c>
      <c r="C3205" t="s">
        <v>32</v>
      </c>
      <c r="D3205" t="s">
        <v>448</v>
      </c>
      <c r="E3205" t="s">
        <v>497</v>
      </c>
      <c r="F3205" t="s">
        <v>35</v>
      </c>
      <c r="G3205" t="s">
        <v>35</v>
      </c>
      <c r="H3205" t="s">
        <v>35</v>
      </c>
      <c r="J3205" t="s">
        <v>3783</v>
      </c>
      <c r="K3205" t="s">
        <v>1092</v>
      </c>
      <c r="M3205">
        <v>2.0499999999999998</v>
      </c>
      <c r="N3205">
        <v>131</v>
      </c>
      <c r="O3205" t="s">
        <v>38</v>
      </c>
      <c r="Q3205" t="s">
        <v>646</v>
      </c>
      <c r="R3205" t="s">
        <v>519</v>
      </c>
      <c r="S3205" t="s">
        <v>485</v>
      </c>
    </row>
    <row r="3206" spans="1:19" x14ac:dyDescent="0.25">
      <c r="A3206" t="s">
        <v>59</v>
      </c>
      <c r="B3206" t="s">
        <v>60</v>
      </c>
      <c r="C3206" t="s">
        <v>32</v>
      </c>
      <c r="D3206" t="s">
        <v>448</v>
      </c>
      <c r="E3206" t="s">
        <v>497</v>
      </c>
      <c r="F3206" t="s">
        <v>35</v>
      </c>
      <c r="G3206" t="s">
        <v>35</v>
      </c>
      <c r="H3206" t="s">
        <v>35</v>
      </c>
      <c r="J3206" t="s">
        <v>3784</v>
      </c>
      <c r="K3206" t="s">
        <v>1092</v>
      </c>
      <c r="M3206">
        <v>1</v>
      </c>
      <c r="N3206">
        <v>145</v>
      </c>
      <c r="O3206" t="s">
        <v>38</v>
      </c>
      <c r="Q3206" t="s">
        <v>1149</v>
      </c>
      <c r="R3206" t="s">
        <v>3652</v>
      </c>
      <c r="S3206" t="s">
        <v>498</v>
      </c>
    </row>
    <row r="3207" spans="1:19" x14ac:dyDescent="0.25">
      <c r="A3207" t="s">
        <v>30</v>
      </c>
      <c r="B3207" t="s">
        <v>31</v>
      </c>
      <c r="C3207" t="s">
        <v>32</v>
      </c>
      <c r="D3207" t="s">
        <v>448</v>
      </c>
      <c r="E3207" t="s">
        <v>3785</v>
      </c>
      <c r="F3207" t="s">
        <v>35</v>
      </c>
      <c r="G3207" t="s">
        <v>35</v>
      </c>
      <c r="H3207" t="s">
        <v>35</v>
      </c>
      <c r="J3207" t="s">
        <v>3786</v>
      </c>
      <c r="K3207" t="s">
        <v>1092</v>
      </c>
      <c r="M3207">
        <v>0.9</v>
      </c>
      <c r="N3207">
        <v>40</v>
      </c>
      <c r="O3207" t="s">
        <v>52</v>
      </c>
      <c r="Q3207" t="s">
        <v>130</v>
      </c>
      <c r="R3207" t="s">
        <v>324</v>
      </c>
      <c r="S3207" t="s">
        <v>325</v>
      </c>
    </row>
    <row r="3208" spans="1:19" x14ac:dyDescent="0.25">
      <c r="A3208" t="s">
        <v>30</v>
      </c>
      <c r="B3208" t="s">
        <v>31</v>
      </c>
      <c r="C3208" t="s">
        <v>32</v>
      </c>
      <c r="D3208" t="s">
        <v>448</v>
      </c>
      <c r="E3208" t="s">
        <v>3785</v>
      </c>
      <c r="F3208" t="s">
        <v>35</v>
      </c>
      <c r="G3208" t="s">
        <v>35</v>
      </c>
      <c r="H3208" t="s">
        <v>35</v>
      </c>
      <c r="J3208" t="s">
        <v>3788</v>
      </c>
      <c r="K3208" t="s">
        <v>1092</v>
      </c>
      <c r="M3208">
        <v>0.36</v>
      </c>
      <c r="N3208">
        <v>53</v>
      </c>
      <c r="O3208" t="s">
        <v>52</v>
      </c>
      <c r="Q3208" t="s">
        <v>332</v>
      </c>
      <c r="R3208" t="s">
        <v>3538</v>
      </c>
      <c r="S3208" t="s">
        <v>3539</v>
      </c>
    </row>
    <row r="3209" spans="1:19" x14ac:dyDescent="0.25">
      <c r="A3209" t="s">
        <v>30</v>
      </c>
      <c r="B3209" t="s">
        <v>31</v>
      </c>
      <c r="C3209" t="s">
        <v>32</v>
      </c>
      <c r="D3209" t="s">
        <v>448</v>
      </c>
      <c r="E3209" t="s">
        <v>3785</v>
      </c>
      <c r="F3209" t="s">
        <v>35</v>
      </c>
      <c r="G3209" t="s">
        <v>35</v>
      </c>
      <c r="H3209" t="s">
        <v>35</v>
      </c>
      <c r="J3209" t="s">
        <v>3789</v>
      </c>
      <c r="K3209" t="s">
        <v>1092</v>
      </c>
      <c r="M3209">
        <v>1.8</v>
      </c>
      <c r="N3209">
        <v>49</v>
      </c>
      <c r="O3209" t="s">
        <v>52</v>
      </c>
      <c r="Q3209" t="s">
        <v>219</v>
      </c>
      <c r="R3209" t="s">
        <v>324</v>
      </c>
      <c r="S3209" t="s">
        <v>325</v>
      </c>
    </row>
    <row r="3210" spans="1:19" x14ac:dyDescent="0.25">
      <c r="A3210" t="s">
        <v>59</v>
      </c>
      <c r="B3210" t="s">
        <v>60</v>
      </c>
      <c r="C3210" t="s">
        <v>32</v>
      </c>
      <c r="D3210" t="s">
        <v>448</v>
      </c>
      <c r="E3210" t="s">
        <v>3785</v>
      </c>
      <c r="F3210" t="s">
        <v>35</v>
      </c>
      <c r="G3210" t="s">
        <v>35</v>
      </c>
      <c r="H3210" t="s">
        <v>35</v>
      </c>
      <c r="J3210" t="s">
        <v>3790</v>
      </c>
      <c r="K3210" t="s">
        <v>1092</v>
      </c>
      <c r="M3210">
        <v>0.75</v>
      </c>
      <c r="N3210">
        <v>509</v>
      </c>
      <c r="O3210" t="s">
        <v>294</v>
      </c>
      <c r="Q3210" t="s">
        <v>296</v>
      </c>
      <c r="R3210" t="s">
        <v>3538</v>
      </c>
      <c r="S3210" t="s">
        <v>3539</v>
      </c>
    </row>
    <row r="3211" spans="1:19" x14ac:dyDescent="0.25">
      <c r="A3211" t="s">
        <v>30</v>
      </c>
      <c r="B3211" t="s">
        <v>31</v>
      </c>
      <c r="C3211" t="s">
        <v>32</v>
      </c>
      <c r="D3211" t="s">
        <v>448</v>
      </c>
      <c r="E3211" t="s">
        <v>3785</v>
      </c>
      <c r="F3211" t="s">
        <v>35</v>
      </c>
      <c r="G3211" t="s">
        <v>35</v>
      </c>
      <c r="H3211" t="s">
        <v>35</v>
      </c>
      <c r="J3211" t="s">
        <v>3791</v>
      </c>
      <c r="K3211" t="s">
        <v>1092</v>
      </c>
      <c r="M3211">
        <v>1.35</v>
      </c>
      <c r="N3211">
        <v>53</v>
      </c>
      <c r="O3211" t="s">
        <v>52</v>
      </c>
      <c r="Q3211" t="s">
        <v>332</v>
      </c>
      <c r="R3211" t="s">
        <v>3538</v>
      </c>
      <c r="S3211" t="s">
        <v>3539</v>
      </c>
    </row>
    <row r="3212" spans="1:19" x14ac:dyDescent="0.25">
      <c r="A3212" t="s">
        <v>30</v>
      </c>
      <c r="B3212" t="s">
        <v>31</v>
      </c>
      <c r="C3212" t="s">
        <v>32</v>
      </c>
      <c r="D3212" t="s">
        <v>448</v>
      </c>
      <c r="E3212" t="s">
        <v>3785</v>
      </c>
      <c r="F3212" t="s">
        <v>35</v>
      </c>
      <c r="G3212" t="s">
        <v>35</v>
      </c>
      <c r="H3212" t="s">
        <v>35</v>
      </c>
      <c r="J3212" t="s">
        <v>3791</v>
      </c>
      <c r="K3212" t="s">
        <v>1092</v>
      </c>
      <c r="M3212">
        <v>0.67500000000000004</v>
      </c>
      <c r="N3212">
        <v>45</v>
      </c>
      <c r="O3212" t="s">
        <v>52</v>
      </c>
      <c r="Q3212" t="s">
        <v>716</v>
      </c>
      <c r="R3212" t="s">
        <v>3538</v>
      </c>
      <c r="S3212" t="s">
        <v>3539</v>
      </c>
    </row>
    <row r="3213" spans="1:19" x14ac:dyDescent="0.25">
      <c r="A3213" t="s">
        <v>44</v>
      </c>
      <c r="B3213" t="s">
        <v>51</v>
      </c>
      <c r="C3213" t="s">
        <v>32</v>
      </c>
      <c r="D3213" t="s">
        <v>448</v>
      </c>
      <c r="E3213" t="s">
        <v>3785</v>
      </c>
      <c r="F3213" t="s">
        <v>35</v>
      </c>
      <c r="G3213" t="s">
        <v>35</v>
      </c>
      <c r="H3213" t="s">
        <v>35</v>
      </c>
      <c r="J3213" t="s">
        <v>3792</v>
      </c>
      <c r="K3213" t="s">
        <v>1092</v>
      </c>
      <c r="M3213">
        <v>0.15</v>
      </c>
      <c r="N3213">
        <v>865</v>
      </c>
      <c r="O3213" t="s">
        <v>575</v>
      </c>
      <c r="Q3213" t="s">
        <v>3793</v>
      </c>
      <c r="R3213" t="s">
        <v>3538</v>
      </c>
      <c r="S3213" t="s">
        <v>3539</v>
      </c>
    </row>
    <row r="3214" spans="1:19" x14ac:dyDescent="0.25">
      <c r="A3214" t="s">
        <v>30</v>
      </c>
      <c r="B3214" t="s">
        <v>31</v>
      </c>
      <c r="C3214" t="s">
        <v>32</v>
      </c>
      <c r="D3214" t="s">
        <v>448</v>
      </c>
      <c r="E3214" t="s">
        <v>3785</v>
      </c>
      <c r="F3214" t="s">
        <v>35</v>
      </c>
      <c r="G3214" t="s">
        <v>35</v>
      </c>
      <c r="H3214" t="s">
        <v>35</v>
      </c>
      <c r="J3214" t="s">
        <v>3792</v>
      </c>
      <c r="K3214" t="s">
        <v>1092</v>
      </c>
      <c r="M3214">
        <v>0.45</v>
      </c>
      <c r="N3214">
        <v>46</v>
      </c>
      <c r="O3214" t="s">
        <v>52</v>
      </c>
      <c r="Q3214" t="s">
        <v>493</v>
      </c>
      <c r="R3214" t="s">
        <v>3794</v>
      </c>
      <c r="S3214" t="s">
        <v>510</v>
      </c>
    </row>
    <row r="3215" spans="1:19" x14ac:dyDescent="0.25">
      <c r="A3215" t="s">
        <v>59</v>
      </c>
      <c r="B3215" t="s">
        <v>60</v>
      </c>
      <c r="C3215" t="s">
        <v>32</v>
      </c>
      <c r="D3215" t="s">
        <v>448</v>
      </c>
      <c r="E3215" t="s">
        <v>3785</v>
      </c>
      <c r="F3215" t="s">
        <v>35</v>
      </c>
      <c r="G3215" t="s">
        <v>35</v>
      </c>
      <c r="H3215" t="s">
        <v>35</v>
      </c>
      <c r="J3215" t="s">
        <v>3795</v>
      </c>
      <c r="K3215" t="s">
        <v>1092</v>
      </c>
      <c r="M3215">
        <v>0.25</v>
      </c>
      <c r="N3215">
        <v>500</v>
      </c>
      <c r="O3215" t="s">
        <v>294</v>
      </c>
      <c r="Q3215" t="s">
        <v>2051</v>
      </c>
      <c r="R3215" t="s">
        <v>3538</v>
      </c>
      <c r="S3215" t="s">
        <v>3539</v>
      </c>
    </row>
    <row r="3216" spans="1:19" x14ac:dyDescent="0.25">
      <c r="A3216" t="s">
        <v>30</v>
      </c>
      <c r="B3216" t="s">
        <v>31</v>
      </c>
      <c r="C3216" t="s">
        <v>32</v>
      </c>
      <c r="D3216" t="s">
        <v>448</v>
      </c>
      <c r="E3216" t="s">
        <v>3785</v>
      </c>
      <c r="F3216" t="s">
        <v>35</v>
      </c>
      <c r="G3216" t="s">
        <v>35</v>
      </c>
      <c r="H3216" t="s">
        <v>35</v>
      </c>
      <c r="J3216" t="s">
        <v>3796</v>
      </c>
      <c r="K3216" t="s">
        <v>1092</v>
      </c>
      <c r="M3216">
        <v>0.45</v>
      </c>
      <c r="N3216">
        <v>52</v>
      </c>
      <c r="O3216" t="s">
        <v>52</v>
      </c>
      <c r="Q3216" t="s">
        <v>1230</v>
      </c>
      <c r="R3216" t="s">
        <v>3538</v>
      </c>
      <c r="S3216" t="s">
        <v>3539</v>
      </c>
    </row>
    <row r="3217" spans="1:19" x14ac:dyDescent="0.25">
      <c r="A3217" t="s">
        <v>30</v>
      </c>
      <c r="B3217" t="s">
        <v>31</v>
      </c>
      <c r="C3217" t="s">
        <v>32</v>
      </c>
      <c r="D3217" t="s">
        <v>448</v>
      </c>
      <c r="E3217" t="s">
        <v>3785</v>
      </c>
      <c r="F3217" t="s">
        <v>35</v>
      </c>
      <c r="G3217" t="s">
        <v>35</v>
      </c>
      <c r="H3217" t="s">
        <v>35</v>
      </c>
      <c r="J3217" t="s">
        <v>3797</v>
      </c>
      <c r="K3217" t="s">
        <v>1092</v>
      </c>
      <c r="M3217">
        <v>2.88</v>
      </c>
      <c r="N3217">
        <v>48</v>
      </c>
      <c r="O3217" t="s">
        <v>52</v>
      </c>
      <c r="Q3217" t="s">
        <v>496</v>
      </c>
      <c r="R3217" t="s">
        <v>3538</v>
      </c>
      <c r="S3217" t="s">
        <v>3539</v>
      </c>
    </row>
    <row r="3218" spans="1:19" x14ac:dyDescent="0.25">
      <c r="A3218" t="s">
        <v>30</v>
      </c>
      <c r="B3218" t="s">
        <v>31</v>
      </c>
      <c r="C3218" t="s">
        <v>32</v>
      </c>
      <c r="D3218" t="s">
        <v>448</v>
      </c>
      <c r="E3218" t="s">
        <v>3785</v>
      </c>
      <c r="F3218" t="s">
        <v>35</v>
      </c>
      <c r="G3218" t="s">
        <v>35</v>
      </c>
      <c r="H3218" t="s">
        <v>35</v>
      </c>
      <c r="J3218" t="s">
        <v>3798</v>
      </c>
      <c r="K3218" t="s">
        <v>1092</v>
      </c>
      <c r="M3218">
        <v>0.09</v>
      </c>
      <c r="N3218">
        <v>48</v>
      </c>
      <c r="O3218" t="s">
        <v>52</v>
      </c>
      <c r="Q3218" t="s">
        <v>496</v>
      </c>
      <c r="R3218" t="s">
        <v>3538</v>
      </c>
      <c r="S3218" t="s">
        <v>3539</v>
      </c>
    </row>
    <row r="3219" spans="1:19" x14ac:dyDescent="0.25">
      <c r="A3219" t="s">
        <v>30</v>
      </c>
      <c r="B3219" t="s">
        <v>31</v>
      </c>
      <c r="C3219" t="s">
        <v>32</v>
      </c>
      <c r="D3219" t="s">
        <v>448</v>
      </c>
      <c r="E3219" t="s">
        <v>3785</v>
      </c>
      <c r="F3219" t="s">
        <v>35</v>
      </c>
      <c r="G3219" t="s">
        <v>35</v>
      </c>
      <c r="H3219" t="s">
        <v>35</v>
      </c>
      <c r="J3219" t="s">
        <v>3799</v>
      </c>
      <c r="K3219" t="s">
        <v>1092</v>
      </c>
      <c r="M3219">
        <v>0.9</v>
      </c>
      <c r="N3219">
        <v>53</v>
      </c>
      <c r="O3219" t="s">
        <v>52</v>
      </c>
      <c r="Q3219" t="s">
        <v>332</v>
      </c>
      <c r="R3219" t="s">
        <v>3538</v>
      </c>
      <c r="S3219" t="s">
        <v>3539</v>
      </c>
    </row>
    <row r="3220" spans="1:19" x14ac:dyDescent="0.25">
      <c r="A3220" t="s">
        <v>30</v>
      </c>
      <c r="B3220" t="s">
        <v>31</v>
      </c>
      <c r="C3220" t="s">
        <v>32</v>
      </c>
      <c r="D3220" t="s">
        <v>448</v>
      </c>
      <c r="E3220" t="s">
        <v>3785</v>
      </c>
      <c r="F3220" t="s">
        <v>35</v>
      </c>
      <c r="G3220" t="s">
        <v>35</v>
      </c>
      <c r="H3220" t="s">
        <v>35</v>
      </c>
      <c r="J3220" t="s">
        <v>3800</v>
      </c>
      <c r="K3220" t="s">
        <v>1092</v>
      </c>
      <c r="M3220">
        <v>0.27</v>
      </c>
      <c r="N3220">
        <v>48</v>
      </c>
      <c r="O3220" t="s">
        <v>52</v>
      </c>
      <c r="Q3220" t="s">
        <v>496</v>
      </c>
      <c r="R3220" t="s">
        <v>3538</v>
      </c>
      <c r="S3220" t="s">
        <v>3539</v>
      </c>
    </row>
    <row r="3221" spans="1:19" x14ac:dyDescent="0.25">
      <c r="A3221" t="s">
        <v>30</v>
      </c>
      <c r="B3221" t="s">
        <v>31</v>
      </c>
      <c r="C3221" t="s">
        <v>32</v>
      </c>
      <c r="D3221" t="s">
        <v>448</v>
      </c>
      <c r="E3221" t="s">
        <v>3785</v>
      </c>
      <c r="F3221" t="s">
        <v>35</v>
      </c>
      <c r="G3221" t="s">
        <v>35</v>
      </c>
      <c r="H3221" t="s">
        <v>35</v>
      </c>
      <c r="J3221" t="s">
        <v>3801</v>
      </c>
      <c r="K3221" t="s">
        <v>1092</v>
      </c>
      <c r="M3221">
        <v>0.45</v>
      </c>
      <c r="N3221">
        <v>42</v>
      </c>
      <c r="O3221" t="s">
        <v>52</v>
      </c>
      <c r="Q3221" t="s">
        <v>991</v>
      </c>
      <c r="R3221" t="s">
        <v>3794</v>
      </c>
      <c r="S3221" t="s">
        <v>510</v>
      </c>
    </row>
    <row r="3222" spans="1:19" x14ac:dyDescent="0.25">
      <c r="A3222" t="s">
        <v>30</v>
      </c>
      <c r="B3222" t="s">
        <v>31</v>
      </c>
      <c r="C3222" t="s">
        <v>32</v>
      </c>
      <c r="D3222" t="s">
        <v>448</v>
      </c>
      <c r="E3222" t="s">
        <v>3785</v>
      </c>
      <c r="F3222" t="s">
        <v>35</v>
      </c>
      <c r="G3222" t="s">
        <v>35</v>
      </c>
      <c r="H3222" t="s">
        <v>35</v>
      </c>
      <c r="J3222" t="s">
        <v>3802</v>
      </c>
      <c r="K3222" t="s">
        <v>1092</v>
      </c>
      <c r="M3222">
        <v>0.45</v>
      </c>
      <c r="N3222">
        <v>47</v>
      </c>
      <c r="O3222" t="s">
        <v>52</v>
      </c>
      <c r="Q3222" t="s">
        <v>132</v>
      </c>
      <c r="R3222" t="s">
        <v>3794</v>
      </c>
      <c r="S3222" t="s">
        <v>510</v>
      </c>
    </row>
    <row r="3223" spans="1:19" x14ac:dyDescent="0.25">
      <c r="A3223" t="s">
        <v>30</v>
      </c>
      <c r="B3223" t="s">
        <v>31</v>
      </c>
      <c r="C3223" t="s">
        <v>32</v>
      </c>
      <c r="D3223" t="s">
        <v>448</v>
      </c>
      <c r="E3223" t="s">
        <v>3785</v>
      </c>
      <c r="F3223" t="s">
        <v>35</v>
      </c>
      <c r="G3223" t="s">
        <v>35</v>
      </c>
      <c r="H3223" t="s">
        <v>35</v>
      </c>
      <c r="J3223" t="s">
        <v>3802</v>
      </c>
      <c r="K3223" t="s">
        <v>1092</v>
      </c>
      <c r="M3223">
        <v>0.67500000000000004</v>
      </c>
      <c r="N3223">
        <v>40</v>
      </c>
      <c r="O3223" t="s">
        <v>52</v>
      </c>
      <c r="Q3223" t="s">
        <v>130</v>
      </c>
      <c r="R3223" t="s">
        <v>324</v>
      </c>
      <c r="S3223" t="s">
        <v>325</v>
      </c>
    </row>
    <row r="3224" spans="1:19" x14ac:dyDescent="0.25">
      <c r="A3224" t="s">
        <v>30</v>
      </c>
      <c r="B3224" t="s">
        <v>31</v>
      </c>
      <c r="C3224" t="s">
        <v>32</v>
      </c>
      <c r="D3224" t="s">
        <v>448</v>
      </c>
      <c r="E3224" t="s">
        <v>3785</v>
      </c>
      <c r="F3224" t="s">
        <v>35</v>
      </c>
      <c r="G3224" t="s">
        <v>35</v>
      </c>
      <c r="H3224" t="s">
        <v>35</v>
      </c>
      <c r="J3224" t="s">
        <v>3802</v>
      </c>
      <c r="K3224" t="s">
        <v>1092</v>
      </c>
      <c r="M3224">
        <v>2.7</v>
      </c>
      <c r="N3224">
        <v>49</v>
      </c>
      <c r="O3224" t="s">
        <v>52</v>
      </c>
      <c r="Q3224" t="s">
        <v>219</v>
      </c>
      <c r="R3224" t="s">
        <v>324</v>
      </c>
      <c r="S3224" t="s">
        <v>325</v>
      </c>
    </row>
    <row r="3225" spans="1:19" x14ac:dyDescent="0.25">
      <c r="A3225" t="s">
        <v>44</v>
      </c>
      <c r="B3225" t="s">
        <v>51</v>
      </c>
      <c r="C3225" t="s">
        <v>32</v>
      </c>
      <c r="D3225" t="s">
        <v>448</v>
      </c>
      <c r="E3225" t="s">
        <v>3785</v>
      </c>
      <c r="F3225" t="s">
        <v>35</v>
      </c>
      <c r="G3225" t="s">
        <v>35</v>
      </c>
      <c r="H3225" t="s">
        <v>35</v>
      </c>
      <c r="J3225" t="s">
        <v>3803</v>
      </c>
      <c r="K3225" t="s">
        <v>1092</v>
      </c>
      <c r="M3225">
        <v>0.5</v>
      </c>
      <c r="N3225">
        <v>880</v>
      </c>
      <c r="O3225" t="s">
        <v>575</v>
      </c>
      <c r="Q3225" t="s">
        <v>1531</v>
      </c>
      <c r="R3225" t="s">
        <v>3804</v>
      </c>
      <c r="S3225" t="s">
        <v>3805</v>
      </c>
    </row>
    <row r="3226" spans="1:19" x14ac:dyDescent="0.25">
      <c r="A3226" t="s">
        <v>30</v>
      </c>
      <c r="B3226" t="s">
        <v>31</v>
      </c>
      <c r="C3226" t="s">
        <v>32</v>
      </c>
      <c r="D3226" t="s">
        <v>448</v>
      </c>
      <c r="E3226" t="s">
        <v>3785</v>
      </c>
      <c r="F3226" t="s">
        <v>35</v>
      </c>
      <c r="G3226" t="s">
        <v>35</v>
      </c>
      <c r="H3226" t="s">
        <v>35</v>
      </c>
      <c r="J3226" t="s">
        <v>3807</v>
      </c>
      <c r="K3226" t="s">
        <v>1092</v>
      </c>
      <c r="M3226">
        <v>0.09</v>
      </c>
      <c r="N3226">
        <v>53</v>
      </c>
      <c r="O3226" t="s">
        <v>52</v>
      </c>
      <c r="Q3226" t="s">
        <v>332</v>
      </c>
      <c r="R3226" t="s">
        <v>3538</v>
      </c>
      <c r="S3226" t="s">
        <v>3539</v>
      </c>
    </row>
    <row r="3227" spans="1:19" x14ac:dyDescent="0.25">
      <c r="A3227" t="s">
        <v>30</v>
      </c>
      <c r="B3227" t="s">
        <v>31</v>
      </c>
      <c r="C3227" t="s">
        <v>32</v>
      </c>
      <c r="D3227" t="s">
        <v>448</v>
      </c>
      <c r="E3227" t="s">
        <v>3785</v>
      </c>
      <c r="F3227" t="s">
        <v>35</v>
      </c>
      <c r="G3227" t="s">
        <v>35</v>
      </c>
      <c r="H3227" t="s">
        <v>35</v>
      </c>
      <c r="J3227" t="s">
        <v>3808</v>
      </c>
      <c r="K3227" t="s">
        <v>1092</v>
      </c>
      <c r="M3227">
        <v>0.45</v>
      </c>
      <c r="N3227">
        <v>45</v>
      </c>
      <c r="O3227" t="s">
        <v>52</v>
      </c>
      <c r="Q3227" t="s">
        <v>716</v>
      </c>
      <c r="R3227" t="s">
        <v>3538</v>
      </c>
      <c r="S3227" t="s">
        <v>3539</v>
      </c>
    </row>
    <row r="3228" spans="1:19" x14ac:dyDescent="0.25">
      <c r="A3228" t="s">
        <v>30</v>
      </c>
      <c r="B3228" t="s">
        <v>31</v>
      </c>
      <c r="C3228" t="s">
        <v>32</v>
      </c>
      <c r="D3228" t="s">
        <v>448</v>
      </c>
      <c r="E3228" t="s">
        <v>3785</v>
      </c>
      <c r="F3228" t="s">
        <v>35</v>
      </c>
      <c r="G3228" t="s">
        <v>35</v>
      </c>
      <c r="H3228" t="s">
        <v>35</v>
      </c>
      <c r="J3228" t="s">
        <v>3808</v>
      </c>
      <c r="K3228" t="s">
        <v>1092</v>
      </c>
      <c r="M3228">
        <v>0.36</v>
      </c>
      <c r="N3228">
        <v>48</v>
      </c>
      <c r="O3228" t="s">
        <v>52</v>
      </c>
      <c r="Q3228" t="s">
        <v>496</v>
      </c>
      <c r="R3228" t="s">
        <v>3538</v>
      </c>
      <c r="S3228" t="s">
        <v>3539</v>
      </c>
    </row>
    <row r="3229" spans="1:19" x14ac:dyDescent="0.25">
      <c r="A3229" t="s">
        <v>30</v>
      </c>
      <c r="B3229" t="s">
        <v>31</v>
      </c>
      <c r="C3229" t="s">
        <v>32</v>
      </c>
      <c r="D3229" t="s">
        <v>448</v>
      </c>
      <c r="E3229" t="s">
        <v>3785</v>
      </c>
      <c r="F3229" t="s">
        <v>35</v>
      </c>
      <c r="G3229" t="s">
        <v>35</v>
      </c>
      <c r="H3229" t="s">
        <v>35</v>
      </c>
      <c r="J3229" t="s">
        <v>3808</v>
      </c>
      <c r="K3229" t="s">
        <v>1092</v>
      </c>
      <c r="M3229">
        <v>0.45</v>
      </c>
      <c r="N3229">
        <v>48</v>
      </c>
      <c r="O3229" t="s">
        <v>52</v>
      </c>
      <c r="Q3229" t="s">
        <v>496</v>
      </c>
      <c r="R3229" t="s">
        <v>3794</v>
      </c>
      <c r="S3229" t="s">
        <v>510</v>
      </c>
    </row>
    <row r="3230" spans="1:19" x14ac:dyDescent="0.25">
      <c r="A3230" t="s">
        <v>30</v>
      </c>
      <c r="B3230" t="s">
        <v>31</v>
      </c>
      <c r="C3230" t="s">
        <v>32</v>
      </c>
      <c r="D3230" t="s">
        <v>448</v>
      </c>
      <c r="E3230" t="s">
        <v>3785</v>
      </c>
      <c r="F3230" t="s">
        <v>35</v>
      </c>
      <c r="G3230" t="s">
        <v>35</v>
      </c>
      <c r="H3230" t="s">
        <v>35</v>
      </c>
      <c r="J3230" t="s">
        <v>3809</v>
      </c>
      <c r="K3230" t="s">
        <v>1092</v>
      </c>
      <c r="M3230">
        <v>4.6349999999999998</v>
      </c>
      <c r="N3230">
        <v>51</v>
      </c>
      <c r="O3230" t="s">
        <v>52</v>
      </c>
      <c r="Q3230" t="s">
        <v>54</v>
      </c>
      <c r="R3230" t="s">
        <v>3538</v>
      </c>
      <c r="S3230" t="s">
        <v>3539</v>
      </c>
    </row>
    <row r="3231" spans="1:19" x14ac:dyDescent="0.25">
      <c r="A3231" t="s">
        <v>44</v>
      </c>
      <c r="B3231" t="s">
        <v>3</v>
      </c>
      <c r="C3231" t="s">
        <v>32</v>
      </c>
      <c r="D3231" t="s">
        <v>448</v>
      </c>
      <c r="E3231" t="s">
        <v>3785</v>
      </c>
      <c r="F3231" t="s">
        <v>35</v>
      </c>
      <c r="G3231" t="s">
        <v>35</v>
      </c>
      <c r="H3231" t="s">
        <v>35</v>
      </c>
      <c r="J3231" t="s">
        <v>3810</v>
      </c>
      <c r="K3231" t="s">
        <v>1092</v>
      </c>
      <c r="M3231">
        <v>0.5</v>
      </c>
      <c r="N3231">
        <v>509</v>
      </c>
      <c r="O3231" t="s">
        <v>294</v>
      </c>
      <c r="Q3231" t="s">
        <v>296</v>
      </c>
      <c r="R3231" t="s">
        <v>3538</v>
      </c>
      <c r="S3231" t="s">
        <v>3539</v>
      </c>
    </row>
    <row r="3232" spans="1:19" x14ac:dyDescent="0.25">
      <c r="A3232" t="s">
        <v>30</v>
      </c>
      <c r="B3232" t="s">
        <v>31</v>
      </c>
      <c r="C3232" t="s">
        <v>32</v>
      </c>
      <c r="D3232" t="s">
        <v>448</v>
      </c>
      <c r="E3232" t="s">
        <v>3785</v>
      </c>
      <c r="F3232" t="s">
        <v>35</v>
      </c>
      <c r="G3232" t="s">
        <v>35</v>
      </c>
      <c r="H3232" t="s">
        <v>35</v>
      </c>
      <c r="J3232" t="s">
        <v>3811</v>
      </c>
      <c r="K3232" t="s">
        <v>1092</v>
      </c>
      <c r="M3232">
        <v>0.45</v>
      </c>
      <c r="N3232">
        <v>48</v>
      </c>
      <c r="O3232" t="s">
        <v>52</v>
      </c>
      <c r="Q3232" t="s">
        <v>496</v>
      </c>
      <c r="R3232" t="s">
        <v>3538</v>
      </c>
      <c r="S3232" t="s">
        <v>3539</v>
      </c>
    </row>
    <row r="3233" spans="1:19" x14ac:dyDescent="0.25">
      <c r="A3233" t="s">
        <v>59</v>
      </c>
      <c r="B3233" t="s">
        <v>60</v>
      </c>
      <c r="C3233" t="s">
        <v>32</v>
      </c>
      <c r="D3233" t="s">
        <v>448</v>
      </c>
      <c r="E3233" t="s">
        <v>3785</v>
      </c>
      <c r="F3233" t="s">
        <v>35</v>
      </c>
      <c r="G3233" t="s">
        <v>35</v>
      </c>
      <c r="H3233" t="s">
        <v>35</v>
      </c>
      <c r="J3233" t="s">
        <v>3811</v>
      </c>
      <c r="K3233" t="s">
        <v>1092</v>
      </c>
      <c r="M3233">
        <v>0.6</v>
      </c>
      <c r="N3233">
        <v>499</v>
      </c>
      <c r="O3233" t="s">
        <v>294</v>
      </c>
      <c r="Q3233" t="s">
        <v>1503</v>
      </c>
      <c r="R3233" t="s">
        <v>3538</v>
      </c>
      <c r="S3233" t="s">
        <v>3539</v>
      </c>
    </row>
    <row r="3234" spans="1:19" x14ac:dyDescent="0.25">
      <c r="A3234" t="s">
        <v>44</v>
      </c>
      <c r="B3234" t="s">
        <v>3</v>
      </c>
      <c r="C3234" t="s">
        <v>32</v>
      </c>
      <c r="D3234" t="s">
        <v>448</v>
      </c>
      <c r="E3234" t="s">
        <v>3785</v>
      </c>
      <c r="F3234" t="s">
        <v>35</v>
      </c>
      <c r="G3234" t="s">
        <v>35</v>
      </c>
      <c r="H3234" t="s">
        <v>35</v>
      </c>
      <c r="J3234" t="s">
        <v>3811</v>
      </c>
      <c r="K3234" t="s">
        <v>1092</v>
      </c>
      <c r="M3234">
        <v>0.05</v>
      </c>
      <c r="N3234">
        <v>571</v>
      </c>
      <c r="O3234" t="s">
        <v>575</v>
      </c>
      <c r="Q3234" t="s">
        <v>3812</v>
      </c>
      <c r="R3234" t="s">
        <v>3538</v>
      </c>
      <c r="S3234" t="s">
        <v>3539</v>
      </c>
    </row>
    <row r="3235" spans="1:19" x14ac:dyDescent="0.25">
      <c r="A3235" t="s">
        <v>30</v>
      </c>
      <c r="B3235" t="s">
        <v>31</v>
      </c>
      <c r="C3235" t="s">
        <v>32</v>
      </c>
      <c r="D3235" t="s">
        <v>448</v>
      </c>
      <c r="E3235" t="s">
        <v>3785</v>
      </c>
      <c r="F3235" t="s">
        <v>35</v>
      </c>
      <c r="G3235" t="s">
        <v>35</v>
      </c>
      <c r="H3235" t="s">
        <v>35</v>
      </c>
      <c r="J3235" t="s">
        <v>3813</v>
      </c>
      <c r="K3235" t="s">
        <v>1092</v>
      </c>
      <c r="M3235">
        <v>1.125</v>
      </c>
      <c r="N3235">
        <v>979</v>
      </c>
      <c r="O3235" t="s">
        <v>575</v>
      </c>
      <c r="Q3235" t="s">
        <v>3814</v>
      </c>
      <c r="R3235" t="s">
        <v>3538</v>
      </c>
      <c r="S3235" t="s">
        <v>3539</v>
      </c>
    </row>
    <row r="3236" spans="1:19" x14ac:dyDescent="0.25">
      <c r="A3236" t="s">
        <v>59</v>
      </c>
      <c r="B3236" t="s">
        <v>60</v>
      </c>
      <c r="C3236" t="s">
        <v>32</v>
      </c>
      <c r="D3236" t="s">
        <v>448</v>
      </c>
      <c r="E3236" t="s">
        <v>3785</v>
      </c>
      <c r="F3236" t="s">
        <v>35</v>
      </c>
      <c r="G3236" t="s">
        <v>35</v>
      </c>
      <c r="H3236" t="s">
        <v>35</v>
      </c>
      <c r="J3236" t="s">
        <v>3813</v>
      </c>
      <c r="K3236" t="s">
        <v>1092</v>
      </c>
      <c r="M3236">
        <v>0.5</v>
      </c>
      <c r="N3236">
        <v>467</v>
      </c>
      <c r="O3236" t="s">
        <v>294</v>
      </c>
      <c r="Q3236" t="s">
        <v>3590</v>
      </c>
      <c r="R3236" t="s">
        <v>3794</v>
      </c>
      <c r="S3236" t="s">
        <v>510</v>
      </c>
    </row>
    <row r="3237" spans="1:19" x14ac:dyDescent="0.25">
      <c r="A3237" t="s">
        <v>30</v>
      </c>
      <c r="B3237" t="s">
        <v>31</v>
      </c>
      <c r="C3237" t="s">
        <v>32</v>
      </c>
      <c r="D3237" t="s">
        <v>448</v>
      </c>
      <c r="E3237" t="s">
        <v>3785</v>
      </c>
      <c r="F3237" t="s">
        <v>35</v>
      </c>
      <c r="G3237" t="s">
        <v>35</v>
      </c>
      <c r="H3237" t="s">
        <v>35</v>
      </c>
      <c r="J3237" t="s">
        <v>3815</v>
      </c>
      <c r="K3237" t="s">
        <v>1092</v>
      </c>
      <c r="M3237">
        <v>0.09</v>
      </c>
      <c r="N3237">
        <v>52</v>
      </c>
      <c r="O3237" t="s">
        <v>52</v>
      </c>
      <c r="Q3237" t="s">
        <v>1230</v>
      </c>
      <c r="R3237" t="s">
        <v>3538</v>
      </c>
      <c r="S3237" t="s">
        <v>3539</v>
      </c>
    </row>
    <row r="3238" spans="1:19" x14ac:dyDescent="0.25">
      <c r="A3238" t="s">
        <v>30</v>
      </c>
      <c r="B3238" t="s">
        <v>31</v>
      </c>
      <c r="C3238" t="s">
        <v>32</v>
      </c>
      <c r="D3238" t="s">
        <v>448</v>
      </c>
      <c r="E3238" t="s">
        <v>3785</v>
      </c>
      <c r="F3238" t="s">
        <v>35</v>
      </c>
      <c r="G3238" t="s">
        <v>35</v>
      </c>
      <c r="H3238" t="s">
        <v>35</v>
      </c>
      <c r="J3238" t="s">
        <v>3816</v>
      </c>
      <c r="K3238" t="s">
        <v>1092</v>
      </c>
      <c r="M3238">
        <v>0.81</v>
      </c>
      <c r="N3238">
        <v>48</v>
      </c>
      <c r="O3238" t="s">
        <v>52</v>
      </c>
      <c r="Q3238" t="s">
        <v>496</v>
      </c>
      <c r="R3238" t="s">
        <v>3538</v>
      </c>
      <c r="S3238" t="s">
        <v>3539</v>
      </c>
    </row>
    <row r="3239" spans="1:19" x14ac:dyDescent="0.25">
      <c r="A3239" t="s">
        <v>30</v>
      </c>
      <c r="B3239" t="s">
        <v>31</v>
      </c>
      <c r="C3239" t="s">
        <v>32</v>
      </c>
      <c r="D3239" t="s">
        <v>448</v>
      </c>
      <c r="E3239" t="s">
        <v>3785</v>
      </c>
      <c r="F3239" t="s">
        <v>35</v>
      </c>
      <c r="G3239" t="s">
        <v>35</v>
      </c>
      <c r="H3239" t="s">
        <v>35</v>
      </c>
      <c r="J3239" t="s">
        <v>3818</v>
      </c>
      <c r="K3239" t="s">
        <v>1092</v>
      </c>
      <c r="M3239">
        <v>1.3049999999999999</v>
      </c>
      <c r="N3239">
        <v>48</v>
      </c>
      <c r="O3239" t="s">
        <v>52</v>
      </c>
      <c r="Q3239" t="s">
        <v>496</v>
      </c>
      <c r="R3239" t="s">
        <v>3538</v>
      </c>
      <c r="S3239" t="s">
        <v>3539</v>
      </c>
    </row>
    <row r="3240" spans="1:19" x14ac:dyDescent="0.25">
      <c r="A3240" t="s">
        <v>44</v>
      </c>
      <c r="B3240" t="s">
        <v>3</v>
      </c>
      <c r="C3240" t="s">
        <v>32</v>
      </c>
      <c r="D3240" t="s">
        <v>448</v>
      </c>
      <c r="E3240" t="s">
        <v>3785</v>
      </c>
      <c r="F3240" t="s">
        <v>35</v>
      </c>
      <c r="G3240" t="s">
        <v>35</v>
      </c>
      <c r="H3240" t="s">
        <v>35</v>
      </c>
      <c r="J3240" t="s">
        <v>3818</v>
      </c>
      <c r="K3240" t="s">
        <v>1092</v>
      </c>
      <c r="M3240">
        <v>0.1</v>
      </c>
      <c r="N3240">
        <v>593</v>
      </c>
      <c r="O3240" t="s">
        <v>575</v>
      </c>
      <c r="Q3240" t="s">
        <v>3819</v>
      </c>
      <c r="R3240" t="s">
        <v>3538</v>
      </c>
      <c r="S3240" t="s">
        <v>3539</v>
      </c>
    </row>
    <row r="3241" spans="1:19" x14ac:dyDescent="0.25">
      <c r="A3241" t="s">
        <v>30</v>
      </c>
      <c r="B3241" t="s">
        <v>31</v>
      </c>
      <c r="C3241" t="s">
        <v>32</v>
      </c>
      <c r="D3241" t="s">
        <v>448</v>
      </c>
      <c r="E3241" t="s">
        <v>3785</v>
      </c>
      <c r="F3241" t="s">
        <v>35</v>
      </c>
      <c r="G3241" t="s">
        <v>35</v>
      </c>
      <c r="H3241" t="s">
        <v>35</v>
      </c>
      <c r="J3241" t="s">
        <v>3820</v>
      </c>
      <c r="K3241" t="s">
        <v>1092</v>
      </c>
      <c r="M3241">
        <v>8.01</v>
      </c>
      <c r="N3241">
        <v>48</v>
      </c>
      <c r="O3241" t="s">
        <v>52</v>
      </c>
      <c r="Q3241" t="s">
        <v>496</v>
      </c>
      <c r="R3241" t="s">
        <v>324</v>
      </c>
      <c r="S3241" t="s">
        <v>325</v>
      </c>
    </row>
    <row r="3242" spans="1:19" x14ac:dyDescent="0.25">
      <c r="A3242" t="s">
        <v>30</v>
      </c>
      <c r="B3242" t="s">
        <v>31</v>
      </c>
      <c r="C3242" t="s">
        <v>32</v>
      </c>
      <c r="D3242" t="s">
        <v>448</v>
      </c>
      <c r="E3242" t="s">
        <v>3785</v>
      </c>
      <c r="F3242" t="s">
        <v>35</v>
      </c>
      <c r="G3242" t="s">
        <v>35</v>
      </c>
      <c r="H3242" t="s">
        <v>35</v>
      </c>
      <c r="J3242" t="s">
        <v>3821</v>
      </c>
      <c r="K3242" t="s">
        <v>1092</v>
      </c>
      <c r="M3242">
        <v>0.54</v>
      </c>
      <c r="N3242">
        <v>52</v>
      </c>
      <c r="O3242" t="s">
        <v>52</v>
      </c>
      <c r="Q3242" t="s">
        <v>1230</v>
      </c>
      <c r="R3242" t="s">
        <v>3538</v>
      </c>
      <c r="S3242" t="s">
        <v>3539</v>
      </c>
    </row>
    <row r="3243" spans="1:19" x14ac:dyDescent="0.25">
      <c r="A3243" t="s">
        <v>44</v>
      </c>
      <c r="B3243" t="s">
        <v>3</v>
      </c>
      <c r="C3243" t="s">
        <v>32</v>
      </c>
      <c r="D3243" t="s">
        <v>448</v>
      </c>
      <c r="E3243" t="s">
        <v>3785</v>
      </c>
      <c r="F3243" t="s">
        <v>35</v>
      </c>
      <c r="G3243" t="s">
        <v>35</v>
      </c>
      <c r="H3243" t="s">
        <v>35</v>
      </c>
      <c r="J3243" t="s">
        <v>3821</v>
      </c>
      <c r="K3243" t="s">
        <v>1092</v>
      </c>
      <c r="M3243">
        <v>0.25</v>
      </c>
      <c r="N3243">
        <v>497</v>
      </c>
      <c r="O3243" t="s">
        <v>294</v>
      </c>
      <c r="Q3243" t="s">
        <v>3653</v>
      </c>
      <c r="R3243" t="s">
        <v>3538</v>
      </c>
      <c r="S3243" t="s">
        <v>3539</v>
      </c>
    </row>
    <row r="3244" spans="1:19" x14ac:dyDescent="0.25">
      <c r="A3244" t="s">
        <v>44</v>
      </c>
      <c r="B3244" t="s">
        <v>3</v>
      </c>
      <c r="C3244" t="s">
        <v>32</v>
      </c>
      <c r="D3244" t="s">
        <v>448</v>
      </c>
      <c r="E3244" t="s">
        <v>3785</v>
      </c>
      <c r="F3244" t="s">
        <v>35</v>
      </c>
      <c r="G3244" t="s">
        <v>35</v>
      </c>
      <c r="H3244" t="s">
        <v>35</v>
      </c>
      <c r="J3244" t="s">
        <v>3821</v>
      </c>
      <c r="K3244" t="s">
        <v>1092</v>
      </c>
      <c r="M3244">
        <v>0.25</v>
      </c>
      <c r="N3244">
        <v>499</v>
      </c>
      <c r="O3244" t="s">
        <v>294</v>
      </c>
      <c r="Q3244" t="s">
        <v>1503</v>
      </c>
      <c r="R3244" t="s">
        <v>3538</v>
      </c>
      <c r="S3244" t="s">
        <v>3539</v>
      </c>
    </row>
    <row r="3245" spans="1:19" x14ac:dyDescent="0.25">
      <c r="A3245" t="s">
        <v>44</v>
      </c>
      <c r="B3245" t="s">
        <v>3</v>
      </c>
      <c r="C3245" t="s">
        <v>32</v>
      </c>
      <c r="D3245" t="s">
        <v>448</v>
      </c>
      <c r="E3245" t="s">
        <v>3785</v>
      </c>
      <c r="F3245" t="s">
        <v>35</v>
      </c>
      <c r="G3245" t="s">
        <v>35</v>
      </c>
      <c r="H3245" t="s">
        <v>35</v>
      </c>
      <c r="J3245" t="s">
        <v>3821</v>
      </c>
      <c r="K3245" t="s">
        <v>1092</v>
      </c>
      <c r="M3245">
        <v>0.4</v>
      </c>
      <c r="N3245">
        <v>502</v>
      </c>
      <c r="O3245" t="s">
        <v>294</v>
      </c>
      <c r="Q3245" t="s">
        <v>1181</v>
      </c>
      <c r="R3245" t="s">
        <v>3538</v>
      </c>
      <c r="S3245" t="s">
        <v>3539</v>
      </c>
    </row>
    <row r="3246" spans="1:19" x14ac:dyDescent="0.25">
      <c r="A3246" t="s">
        <v>44</v>
      </c>
      <c r="B3246" t="s">
        <v>3</v>
      </c>
      <c r="C3246" t="s">
        <v>32</v>
      </c>
      <c r="D3246" t="s">
        <v>448</v>
      </c>
      <c r="E3246" t="s">
        <v>3785</v>
      </c>
      <c r="F3246" t="s">
        <v>35</v>
      </c>
      <c r="G3246" t="s">
        <v>35</v>
      </c>
      <c r="H3246" t="s">
        <v>35</v>
      </c>
      <c r="J3246" t="s">
        <v>3821</v>
      </c>
      <c r="K3246" t="s">
        <v>1092</v>
      </c>
      <c r="M3246">
        <v>0.25</v>
      </c>
      <c r="N3246">
        <v>504</v>
      </c>
      <c r="O3246" t="s">
        <v>294</v>
      </c>
      <c r="Q3246" t="s">
        <v>1614</v>
      </c>
      <c r="R3246" t="s">
        <v>3538</v>
      </c>
      <c r="S3246" t="s">
        <v>3539</v>
      </c>
    </row>
    <row r="3247" spans="1:19" x14ac:dyDescent="0.25">
      <c r="A3247" t="s">
        <v>30</v>
      </c>
      <c r="B3247" t="s">
        <v>31</v>
      </c>
      <c r="C3247" t="s">
        <v>32</v>
      </c>
      <c r="D3247" t="s">
        <v>448</v>
      </c>
      <c r="E3247" t="s">
        <v>3785</v>
      </c>
      <c r="F3247" t="s">
        <v>35</v>
      </c>
      <c r="G3247" t="s">
        <v>35</v>
      </c>
      <c r="H3247" t="s">
        <v>35</v>
      </c>
      <c r="J3247" t="s">
        <v>3821</v>
      </c>
      <c r="K3247" t="s">
        <v>1092</v>
      </c>
      <c r="M3247">
        <v>0.63</v>
      </c>
      <c r="N3247">
        <v>40</v>
      </c>
      <c r="O3247" t="s">
        <v>52</v>
      </c>
      <c r="Q3247" t="s">
        <v>130</v>
      </c>
      <c r="R3247" t="s">
        <v>324</v>
      </c>
      <c r="S3247" t="s">
        <v>325</v>
      </c>
    </row>
    <row r="3248" spans="1:19" x14ac:dyDescent="0.25">
      <c r="A3248" t="s">
        <v>44</v>
      </c>
      <c r="B3248" t="s">
        <v>3</v>
      </c>
      <c r="C3248" t="s">
        <v>32</v>
      </c>
      <c r="D3248" t="s">
        <v>448</v>
      </c>
      <c r="E3248" t="s">
        <v>3785</v>
      </c>
      <c r="F3248" t="s">
        <v>35</v>
      </c>
      <c r="G3248" t="s">
        <v>35</v>
      </c>
      <c r="H3248" t="s">
        <v>35</v>
      </c>
      <c r="J3248" t="s">
        <v>3821</v>
      </c>
      <c r="K3248" t="s">
        <v>1092</v>
      </c>
      <c r="M3248">
        <v>0.25</v>
      </c>
      <c r="N3248">
        <v>507</v>
      </c>
      <c r="O3248" t="s">
        <v>294</v>
      </c>
      <c r="Q3248" t="s">
        <v>3822</v>
      </c>
      <c r="R3248" t="s">
        <v>3538</v>
      </c>
      <c r="S3248" t="s">
        <v>3539</v>
      </c>
    </row>
    <row r="3249" spans="1:19" x14ac:dyDescent="0.25">
      <c r="A3249" t="s">
        <v>44</v>
      </c>
      <c r="B3249" t="s">
        <v>3</v>
      </c>
      <c r="C3249" t="s">
        <v>32</v>
      </c>
      <c r="D3249" t="s">
        <v>448</v>
      </c>
      <c r="E3249" t="s">
        <v>3785</v>
      </c>
      <c r="F3249" t="s">
        <v>35</v>
      </c>
      <c r="G3249" t="s">
        <v>35</v>
      </c>
      <c r="H3249" t="s">
        <v>35</v>
      </c>
      <c r="J3249" t="s">
        <v>3821</v>
      </c>
      <c r="K3249" t="s">
        <v>1092</v>
      </c>
      <c r="M3249">
        <v>0.25</v>
      </c>
      <c r="N3249">
        <v>506</v>
      </c>
      <c r="O3249" t="s">
        <v>294</v>
      </c>
      <c r="Q3249" t="s">
        <v>2101</v>
      </c>
      <c r="R3249" t="s">
        <v>3538</v>
      </c>
      <c r="S3249" t="s">
        <v>3539</v>
      </c>
    </row>
    <row r="3250" spans="1:19" x14ac:dyDescent="0.25">
      <c r="A3250" t="s">
        <v>30</v>
      </c>
      <c r="B3250" t="s">
        <v>31</v>
      </c>
      <c r="C3250" t="s">
        <v>32</v>
      </c>
      <c r="D3250" t="s">
        <v>448</v>
      </c>
      <c r="E3250" t="s">
        <v>3785</v>
      </c>
      <c r="F3250" t="s">
        <v>35</v>
      </c>
      <c r="G3250" t="s">
        <v>35</v>
      </c>
      <c r="H3250" t="s">
        <v>35</v>
      </c>
      <c r="J3250" t="s">
        <v>3821</v>
      </c>
      <c r="K3250" t="s">
        <v>1092</v>
      </c>
      <c r="M3250">
        <v>0.63</v>
      </c>
      <c r="N3250">
        <v>49</v>
      </c>
      <c r="O3250" t="s">
        <v>52</v>
      </c>
      <c r="Q3250" t="s">
        <v>219</v>
      </c>
      <c r="R3250" t="s">
        <v>324</v>
      </c>
      <c r="S3250" t="s">
        <v>325</v>
      </c>
    </row>
    <row r="3251" spans="1:19" x14ac:dyDescent="0.25">
      <c r="A3251" t="s">
        <v>30</v>
      </c>
      <c r="B3251" t="s">
        <v>31</v>
      </c>
      <c r="C3251" t="s">
        <v>32</v>
      </c>
      <c r="D3251" t="s">
        <v>448</v>
      </c>
      <c r="E3251" t="s">
        <v>3785</v>
      </c>
      <c r="F3251" t="s">
        <v>35</v>
      </c>
      <c r="G3251" t="s">
        <v>35</v>
      </c>
      <c r="H3251" t="s">
        <v>35</v>
      </c>
      <c r="J3251" t="s">
        <v>3823</v>
      </c>
      <c r="K3251" t="s">
        <v>1092</v>
      </c>
      <c r="M3251">
        <v>0.67500000000000004</v>
      </c>
      <c r="N3251">
        <v>48</v>
      </c>
      <c r="O3251" t="s">
        <v>52</v>
      </c>
      <c r="Q3251" t="s">
        <v>496</v>
      </c>
      <c r="R3251" t="s">
        <v>3538</v>
      </c>
      <c r="S3251" t="s">
        <v>3539</v>
      </c>
    </row>
    <row r="3252" spans="1:19" x14ac:dyDescent="0.25">
      <c r="A3252" t="s">
        <v>44</v>
      </c>
      <c r="B3252" t="s">
        <v>3</v>
      </c>
      <c r="C3252" t="s">
        <v>32</v>
      </c>
      <c r="D3252" t="s">
        <v>448</v>
      </c>
      <c r="E3252" t="s">
        <v>3785</v>
      </c>
      <c r="F3252" t="s">
        <v>35</v>
      </c>
      <c r="G3252" t="s">
        <v>35</v>
      </c>
      <c r="H3252" t="s">
        <v>35</v>
      </c>
      <c r="J3252" t="s">
        <v>3824</v>
      </c>
      <c r="K3252" t="s">
        <v>1092</v>
      </c>
      <c r="M3252">
        <v>0.1</v>
      </c>
      <c r="N3252">
        <v>579</v>
      </c>
      <c r="O3252" t="s">
        <v>575</v>
      </c>
      <c r="Q3252" t="s">
        <v>3826</v>
      </c>
      <c r="R3252" t="s">
        <v>3538</v>
      </c>
      <c r="S3252" t="s">
        <v>3539</v>
      </c>
    </row>
    <row r="3253" spans="1:19" x14ac:dyDescent="0.25">
      <c r="A3253" t="s">
        <v>44</v>
      </c>
      <c r="B3253" t="s">
        <v>3</v>
      </c>
      <c r="C3253" t="s">
        <v>32</v>
      </c>
      <c r="D3253" t="s">
        <v>448</v>
      </c>
      <c r="E3253" t="s">
        <v>3785</v>
      </c>
      <c r="F3253" t="s">
        <v>35</v>
      </c>
      <c r="G3253" t="s">
        <v>35</v>
      </c>
      <c r="H3253" t="s">
        <v>35</v>
      </c>
      <c r="J3253" t="s">
        <v>3824</v>
      </c>
      <c r="K3253" t="s">
        <v>1092</v>
      </c>
      <c r="M3253">
        <v>0.25</v>
      </c>
      <c r="N3253">
        <v>508</v>
      </c>
      <c r="O3253" t="s">
        <v>294</v>
      </c>
      <c r="Q3253" t="s">
        <v>3696</v>
      </c>
      <c r="R3253" t="s">
        <v>3538</v>
      </c>
      <c r="S3253" t="s">
        <v>3539</v>
      </c>
    </row>
    <row r="3254" spans="1:19" x14ac:dyDescent="0.25">
      <c r="A3254" t="s">
        <v>44</v>
      </c>
      <c r="B3254" t="s">
        <v>3</v>
      </c>
      <c r="C3254" t="s">
        <v>32</v>
      </c>
      <c r="D3254" t="s">
        <v>448</v>
      </c>
      <c r="E3254" t="s">
        <v>3785</v>
      </c>
      <c r="F3254" t="s">
        <v>35</v>
      </c>
      <c r="G3254" t="s">
        <v>35</v>
      </c>
      <c r="H3254" t="s">
        <v>35</v>
      </c>
      <c r="J3254" t="s">
        <v>3824</v>
      </c>
      <c r="K3254" t="s">
        <v>1092</v>
      </c>
      <c r="M3254">
        <v>0.2</v>
      </c>
      <c r="N3254">
        <v>556</v>
      </c>
      <c r="O3254" t="s">
        <v>575</v>
      </c>
      <c r="Q3254" t="s">
        <v>3825</v>
      </c>
      <c r="R3254" t="s">
        <v>3538</v>
      </c>
      <c r="S3254" t="s">
        <v>3539</v>
      </c>
    </row>
    <row r="3255" spans="1:19" x14ac:dyDescent="0.25">
      <c r="A3255" t="s">
        <v>30</v>
      </c>
      <c r="B3255" t="s">
        <v>31</v>
      </c>
      <c r="C3255" t="s">
        <v>32</v>
      </c>
      <c r="D3255" t="s">
        <v>448</v>
      </c>
      <c r="E3255" t="s">
        <v>3785</v>
      </c>
      <c r="F3255" t="s">
        <v>35</v>
      </c>
      <c r="G3255" t="s">
        <v>35</v>
      </c>
      <c r="H3255" t="s">
        <v>35</v>
      </c>
      <c r="J3255" t="s">
        <v>3827</v>
      </c>
      <c r="K3255" t="s">
        <v>1092</v>
      </c>
      <c r="M3255">
        <v>0.54</v>
      </c>
      <c r="N3255">
        <v>48</v>
      </c>
      <c r="O3255" t="s">
        <v>52</v>
      </c>
      <c r="Q3255" t="s">
        <v>496</v>
      </c>
      <c r="R3255" t="s">
        <v>3538</v>
      </c>
      <c r="S3255" t="s">
        <v>3539</v>
      </c>
    </row>
    <row r="3256" spans="1:19" x14ac:dyDescent="0.25">
      <c r="A3256" t="s">
        <v>30</v>
      </c>
      <c r="B3256" t="s">
        <v>31</v>
      </c>
      <c r="C3256" t="s">
        <v>32</v>
      </c>
      <c r="D3256" t="s">
        <v>448</v>
      </c>
      <c r="E3256" t="s">
        <v>3785</v>
      </c>
      <c r="F3256" t="s">
        <v>35</v>
      </c>
      <c r="G3256" t="s">
        <v>35</v>
      </c>
      <c r="H3256" t="s">
        <v>35</v>
      </c>
      <c r="J3256" t="s">
        <v>3827</v>
      </c>
      <c r="K3256" t="s">
        <v>1092</v>
      </c>
      <c r="M3256">
        <v>0.495</v>
      </c>
      <c r="N3256">
        <v>53</v>
      </c>
      <c r="O3256" t="s">
        <v>52</v>
      </c>
      <c r="Q3256" t="s">
        <v>332</v>
      </c>
      <c r="R3256" t="s">
        <v>3538</v>
      </c>
      <c r="S3256" t="s">
        <v>3539</v>
      </c>
    </row>
    <row r="3257" spans="1:19" x14ac:dyDescent="0.25">
      <c r="A3257" t="s">
        <v>30</v>
      </c>
      <c r="B3257" t="s">
        <v>31</v>
      </c>
      <c r="C3257" t="s">
        <v>32</v>
      </c>
      <c r="D3257" t="s">
        <v>448</v>
      </c>
      <c r="E3257" t="s">
        <v>3785</v>
      </c>
      <c r="F3257" t="s">
        <v>35</v>
      </c>
      <c r="G3257" t="s">
        <v>35</v>
      </c>
      <c r="H3257" t="s">
        <v>35</v>
      </c>
      <c r="J3257" t="s">
        <v>3828</v>
      </c>
      <c r="K3257" t="s">
        <v>1092</v>
      </c>
      <c r="M3257">
        <v>0.9</v>
      </c>
      <c r="N3257">
        <v>45</v>
      </c>
      <c r="O3257" t="s">
        <v>52</v>
      </c>
      <c r="Q3257" t="s">
        <v>716</v>
      </c>
      <c r="R3257" t="s">
        <v>3794</v>
      </c>
      <c r="S3257" t="s">
        <v>510</v>
      </c>
    </row>
    <row r="3258" spans="1:19" x14ac:dyDescent="0.25">
      <c r="A3258" t="s">
        <v>30</v>
      </c>
      <c r="B3258" t="s">
        <v>31</v>
      </c>
      <c r="C3258" t="s">
        <v>32</v>
      </c>
      <c r="D3258" t="s">
        <v>448</v>
      </c>
      <c r="E3258" t="s">
        <v>3785</v>
      </c>
      <c r="F3258" t="s">
        <v>35</v>
      </c>
      <c r="G3258" t="s">
        <v>35</v>
      </c>
      <c r="H3258" t="s">
        <v>35</v>
      </c>
      <c r="J3258" t="s">
        <v>3829</v>
      </c>
      <c r="K3258" t="s">
        <v>1092</v>
      </c>
      <c r="M3258">
        <v>0.67500000000000004</v>
      </c>
      <c r="N3258">
        <v>45</v>
      </c>
      <c r="O3258" t="s">
        <v>52</v>
      </c>
      <c r="Q3258" t="s">
        <v>716</v>
      </c>
      <c r="R3258" t="s">
        <v>3538</v>
      </c>
      <c r="S3258" t="s">
        <v>3539</v>
      </c>
    </row>
    <row r="3259" spans="1:19" x14ac:dyDescent="0.25">
      <c r="A3259" t="s">
        <v>30</v>
      </c>
      <c r="B3259" t="s">
        <v>31</v>
      </c>
      <c r="C3259" t="s">
        <v>32</v>
      </c>
      <c r="D3259" t="s">
        <v>448</v>
      </c>
      <c r="E3259" t="s">
        <v>3785</v>
      </c>
      <c r="F3259" t="s">
        <v>35</v>
      </c>
      <c r="G3259" t="s">
        <v>35</v>
      </c>
      <c r="H3259" t="s">
        <v>35</v>
      </c>
      <c r="J3259" t="s">
        <v>3830</v>
      </c>
      <c r="K3259" t="s">
        <v>1092</v>
      </c>
      <c r="M3259">
        <v>0.58499999999999996</v>
      </c>
      <c r="N3259">
        <v>53</v>
      </c>
      <c r="O3259" t="s">
        <v>52</v>
      </c>
      <c r="Q3259" t="s">
        <v>332</v>
      </c>
      <c r="R3259" t="s">
        <v>3538</v>
      </c>
      <c r="S3259" t="s">
        <v>3539</v>
      </c>
    </row>
    <row r="3260" spans="1:19" x14ac:dyDescent="0.25">
      <c r="A3260" t="s">
        <v>30</v>
      </c>
      <c r="B3260" t="s">
        <v>31</v>
      </c>
      <c r="C3260" t="s">
        <v>32</v>
      </c>
      <c r="D3260" t="s">
        <v>448</v>
      </c>
      <c r="E3260" t="s">
        <v>3785</v>
      </c>
      <c r="F3260" t="s">
        <v>35</v>
      </c>
      <c r="G3260" t="s">
        <v>35</v>
      </c>
      <c r="H3260" t="s">
        <v>35</v>
      </c>
      <c r="J3260" t="s">
        <v>3830</v>
      </c>
      <c r="K3260" t="s">
        <v>1092</v>
      </c>
      <c r="M3260">
        <v>1.0349999999999999</v>
      </c>
      <c r="N3260">
        <v>48</v>
      </c>
      <c r="O3260" t="s">
        <v>52</v>
      </c>
      <c r="Q3260" t="s">
        <v>496</v>
      </c>
      <c r="R3260" t="s">
        <v>3538</v>
      </c>
      <c r="S3260" t="s">
        <v>3539</v>
      </c>
    </row>
    <row r="3261" spans="1:19" x14ac:dyDescent="0.25">
      <c r="A3261" t="s">
        <v>30</v>
      </c>
      <c r="B3261" t="s">
        <v>31</v>
      </c>
      <c r="C3261" t="s">
        <v>32</v>
      </c>
      <c r="D3261" t="s">
        <v>448</v>
      </c>
      <c r="E3261" t="s">
        <v>3785</v>
      </c>
      <c r="F3261" t="s">
        <v>35</v>
      </c>
      <c r="G3261" t="s">
        <v>35</v>
      </c>
      <c r="H3261" t="s">
        <v>35</v>
      </c>
      <c r="J3261" t="s">
        <v>3830</v>
      </c>
      <c r="K3261" t="s">
        <v>1092</v>
      </c>
      <c r="M3261">
        <v>1.53</v>
      </c>
      <c r="N3261">
        <v>45</v>
      </c>
      <c r="O3261" t="s">
        <v>52</v>
      </c>
      <c r="Q3261" t="s">
        <v>716</v>
      </c>
      <c r="R3261" t="s">
        <v>3538</v>
      </c>
      <c r="S3261" t="s">
        <v>3539</v>
      </c>
    </row>
    <row r="3262" spans="1:19" x14ac:dyDescent="0.25">
      <c r="A3262" t="s">
        <v>30</v>
      </c>
      <c r="B3262" t="s">
        <v>31</v>
      </c>
      <c r="C3262" t="s">
        <v>32</v>
      </c>
      <c r="D3262" t="s">
        <v>448</v>
      </c>
      <c r="E3262" t="s">
        <v>3785</v>
      </c>
      <c r="F3262" t="s">
        <v>35</v>
      </c>
      <c r="G3262" t="s">
        <v>35</v>
      </c>
      <c r="H3262" t="s">
        <v>35</v>
      </c>
      <c r="J3262" t="s">
        <v>3831</v>
      </c>
      <c r="K3262" t="s">
        <v>1092</v>
      </c>
      <c r="M3262">
        <v>0.22500000000000001</v>
      </c>
      <c r="N3262">
        <v>42</v>
      </c>
      <c r="O3262" t="s">
        <v>52</v>
      </c>
      <c r="Q3262" t="s">
        <v>991</v>
      </c>
      <c r="R3262" t="s">
        <v>3794</v>
      </c>
      <c r="S3262" t="s">
        <v>510</v>
      </c>
    </row>
    <row r="3263" spans="1:19" x14ac:dyDescent="0.25">
      <c r="A3263" t="s">
        <v>30</v>
      </c>
      <c r="B3263" t="s">
        <v>31</v>
      </c>
      <c r="C3263" t="s">
        <v>32</v>
      </c>
      <c r="D3263" t="s">
        <v>448</v>
      </c>
      <c r="E3263" t="s">
        <v>3785</v>
      </c>
      <c r="F3263" t="s">
        <v>35</v>
      </c>
      <c r="G3263" t="s">
        <v>35</v>
      </c>
      <c r="H3263" t="s">
        <v>35</v>
      </c>
      <c r="J3263" t="s">
        <v>3831</v>
      </c>
      <c r="K3263" t="s">
        <v>1092</v>
      </c>
      <c r="M3263">
        <v>0.45</v>
      </c>
      <c r="N3263">
        <v>30</v>
      </c>
      <c r="O3263" t="s">
        <v>46</v>
      </c>
      <c r="Q3263" t="s">
        <v>793</v>
      </c>
      <c r="R3263" t="s">
        <v>3794</v>
      </c>
      <c r="S3263" t="s">
        <v>510</v>
      </c>
    </row>
    <row r="3264" spans="1:19" x14ac:dyDescent="0.25">
      <c r="A3264" t="s">
        <v>30</v>
      </c>
      <c r="B3264" t="s">
        <v>31</v>
      </c>
      <c r="C3264" t="s">
        <v>32</v>
      </c>
      <c r="D3264" t="s">
        <v>448</v>
      </c>
      <c r="E3264" t="s">
        <v>3785</v>
      </c>
      <c r="F3264" t="s">
        <v>35</v>
      </c>
      <c r="G3264" t="s">
        <v>35</v>
      </c>
      <c r="H3264" t="s">
        <v>35</v>
      </c>
      <c r="J3264" t="s">
        <v>3832</v>
      </c>
      <c r="K3264" t="s">
        <v>1092</v>
      </c>
      <c r="M3264">
        <v>0.9</v>
      </c>
      <c r="N3264">
        <v>53</v>
      </c>
      <c r="O3264" t="s">
        <v>52</v>
      </c>
      <c r="Q3264" t="s">
        <v>332</v>
      </c>
      <c r="R3264" t="s">
        <v>3538</v>
      </c>
      <c r="S3264" t="s">
        <v>3539</v>
      </c>
    </row>
    <row r="3265" spans="1:19" x14ac:dyDescent="0.25">
      <c r="A3265" t="s">
        <v>30</v>
      </c>
      <c r="B3265" t="s">
        <v>31</v>
      </c>
      <c r="C3265" t="s">
        <v>32</v>
      </c>
      <c r="D3265" t="s">
        <v>448</v>
      </c>
      <c r="E3265" t="s">
        <v>3785</v>
      </c>
      <c r="F3265" t="s">
        <v>35</v>
      </c>
      <c r="G3265" t="s">
        <v>35</v>
      </c>
      <c r="H3265" t="s">
        <v>35</v>
      </c>
      <c r="J3265" t="s">
        <v>3833</v>
      </c>
      <c r="K3265" t="s">
        <v>1092</v>
      </c>
      <c r="M3265">
        <v>0.67500000000000004</v>
      </c>
      <c r="N3265">
        <v>53</v>
      </c>
      <c r="O3265" t="s">
        <v>52</v>
      </c>
      <c r="Q3265" t="s">
        <v>332</v>
      </c>
      <c r="R3265" t="s">
        <v>3538</v>
      </c>
      <c r="S3265" t="s">
        <v>3539</v>
      </c>
    </row>
    <row r="3266" spans="1:19" x14ac:dyDescent="0.25">
      <c r="A3266" t="s">
        <v>30</v>
      </c>
      <c r="B3266" t="s">
        <v>31</v>
      </c>
      <c r="C3266" t="s">
        <v>32</v>
      </c>
      <c r="D3266" t="s">
        <v>448</v>
      </c>
      <c r="E3266" t="s">
        <v>509</v>
      </c>
      <c r="F3266" t="s">
        <v>35</v>
      </c>
      <c r="G3266" t="s">
        <v>35</v>
      </c>
      <c r="H3266" t="s">
        <v>35</v>
      </c>
      <c r="J3266" t="s">
        <v>3834</v>
      </c>
      <c r="K3266" t="s">
        <v>1092</v>
      </c>
      <c r="M3266">
        <v>1.44</v>
      </c>
      <c r="N3266">
        <v>48</v>
      </c>
      <c r="O3266" t="s">
        <v>52</v>
      </c>
      <c r="Q3266" t="s">
        <v>496</v>
      </c>
      <c r="R3266" t="s">
        <v>3538</v>
      </c>
      <c r="S3266" t="s">
        <v>3539</v>
      </c>
    </row>
    <row r="3267" spans="1:19" x14ac:dyDescent="0.25">
      <c r="A3267" t="s">
        <v>30</v>
      </c>
      <c r="B3267" t="s">
        <v>31</v>
      </c>
      <c r="C3267" t="s">
        <v>32</v>
      </c>
      <c r="D3267" t="s">
        <v>448</v>
      </c>
      <c r="E3267" t="s">
        <v>509</v>
      </c>
      <c r="F3267" t="s">
        <v>35</v>
      </c>
      <c r="G3267" t="s">
        <v>35</v>
      </c>
      <c r="H3267" t="s">
        <v>35</v>
      </c>
      <c r="J3267" t="s">
        <v>3835</v>
      </c>
      <c r="K3267" t="s">
        <v>1092</v>
      </c>
      <c r="M3267">
        <v>3.0150000000000001</v>
      </c>
      <c r="N3267">
        <v>48</v>
      </c>
      <c r="O3267" t="s">
        <v>52</v>
      </c>
      <c r="Q3267" t="s">
        <v>496</v>
      </c>
      <c r="R3267" t="s">
        <v>324</v>
      </c>
      <c r="S3267" t="s">
        <v>325</v>
      </c>
    </row>
    <row r="3268" spans="1:19" x14ac:dyDescent="0.25">
      <c r="A3268" t="s">
        <v>30</v>
      </c>
      <c r="B3268" t="s">
        <v>31</v>
      </c>
      <c r="C3268" t="s">
        <v>32</v>
      </c>
      <c r="D3268" t="s">
        <v>448</v>
      </c>
      <c r="E3268" t="s">
        <v>509</v>
      </c>
      <c r="F3268" t="s">
        <v>35</v>
      </c>
      <c r="G3268" t="s">
        <v>35</v>
      </c>
      <c r="H3268" t="s">
        <v>35</v>
      </c>
      <c r="J3268" t="s">
        <v>3835</v>
      </c>
      <c r="K3268" t="s">
        <v>1092</v>
      </c>
      <c r="M3268">
        <v>0.22500000000000001</v>
      </c>
      <c r="N3268">
        <v>30</v>
      </c>
      <c r="O3268" t="s">
        <v>46</v>
      </c>
      <c r="Q3268" t="s">
        <v>793</v>
      </c>
      <c r="R3268" t="s">
        <v>3794</v>
      </c>
      <c r="S3268" t="s">
        <v>510</v>
      </c>
    </row>
    <row r="3269" spans="1:19" x14ac:dyDescent="0.25">
      <c r="A3269" t="s">
        <v>30</v>
      </c>
      <c r="B3269" t="s">
        <v>31</v>
      </c>
      <c r="C3269" t="s">
        <v>32</v>
      </c>
      <c r="D3269" t="s">
        <v>448</v>
      </c>
      <c r="E3269" t="s">
        <v>509</v>
      </c>
      <c r="F3269" t="s">
        <v>35</v>
      </c>
      <c r="G3269" t="s">
        <v>35</v>
      </c>
      <c r="H3269" t="s">
        <v>35</v>
      </c>
      <c r="J3269" t="s">
        <v>3836</v>
      </c>
      <c r="K3269" t="s">
        <v>1092</v>
      </c>
      <c r="M3269">
        <v>0.36</v>
      </c>
      <c r="N3269">
        <v>42</v>
      </c>
      <c r="O3269" t="s">
        <v>52</v>
      </c>
      <c r="Q3269" t="s">
        <v>991</v>
      </c>
      <c r="R3269" t="s">
        <v>3794</v>
      </c>
      <c r="S3269" t="s">
        <v>510</v>
      </c>
    </row>
    <row r="3270" spans="1:19" x14ac:dyDescent="0.25">
      <c r="A3270" t="s">
        <v>30</v>
      </c>
      <c r="B3270" t="s">
        <v>31</v>
      </c>
      <c r="C3270" t="s">
        <v>32</v>
      </c>
      <c r="D3270" t="s">
        <v>448</v>
      </c>
      <c r="E3270" t="s">
        <v>509</v>
      </c>
      <c r="F3270" t="s">
        <v>35</v>
      </c>
      <c r="G3270" t="s">
        <v>35</v>
      </c>
      <c r="H3270" t="s">
        <v>35</v>
      </c>
      <c r="J3270" t="s">
        <v>3837</v>
      </c>
      <c r="K3270" t="s">
        <v>1092</v>
      </c>
      <c r="M3270">
        <v>0.18</v>
      </c>
      <c r="N3270">
        <v>45</v>
      </c>
      <c r="O3270" t="s">
        <v>52</v>
      </c>
      <c r="Q3270" t="s">
        <v>716</v>
      </c>
      <c r="R3270" t="s">
        <v>3538</v>
      </c>
      <c r="S3270" t="s">
        <v>3539</v>
      </c>
    </row>
    <row r="3271" spans="1:19" x14ac:dyDescent="0.25">
      <c r="A3271" t="s">
        <v>30</v>
      </c>
      <c r="B3271" t="s">
        <v>31</v>
      </c>
      <c r="C3271" t="s">
        <v>32</v>
      </c>
      <c r="D3271" t="s">
        <v>448</v>
      </c>
      <c r="E3271" t="s">
        <v>509</v>
      </c>
      <c r="F3271" t="s">
        <v>35</v>
      </c>
      <c r="G3271" t="s">
        <v>35</v>
      </c>
      <c r="H3271" t="s">
        <v>35</v>
      </c>
      <c r="J3271" t="s">
        <v>3838</v>
      </c>
      <c r="K3271" t="s">
        <v>1092</v>
      </c>
      <c r="M3271">
        <v>10.305</v>
      </c>
      <c r="N3271">
        <v>48</v>
      </c>
      <c r="O3271" t="s">
        <v>52</v>
      </c>
      <c r="Q3271" t="s">
        <v>496</v>
      </c>
      <c r="R3271" t="s">
        <v>324</v>
      </c>
      <c r="S3271" t="s">
        <v>325</v>
      </c>
    </row>
    <row r="3272" spans="1:19" x14ac:dyDescent="0.25">
      <c r="A3272" t="s">
        <v>30</v>
      </c>
      <c r="B3272" t="s">
        <v>31</v>
      </c>
      <c r="C3272" t="s">
        <v>32</v>
      </c>
      <c r="D3272" t="s">
        <v>448</v>
      </c>
      <c r="E3272" t="s">
        <v>509</v>
      </c>
      <c r="F3272" t="s">
        <v>35</v>
      </c>
      <c r="G3272" t="s">
        <v>35</v>
      </c>
      <c r="H3272" t="s">
        <v>35</v>
      </c>
      <c r="J3272" t="s">
        <v>3839</v>
      </c>
      <c r="K3272" t="s">
        <v>1092</v>
      </c>
      <c r="M3272">
        <v>0.09</v>
      </c>
      <c r="N3272">
        <v>53</v>
      </c>
      <c r="O3272" t="s">
        <v>52</v>
      </c>
      <c r="Q3272" t="s">
        <v>332</v>
      </c>
      <c r="R3272" t="s">
        <v>3538</v>
      </c>
      <c r="S3272" t="s">
        <v>3539</v>
      </c>
    </row>
    <row r="3273" spans="1:19" x14ac:dyDescent="0.25">
      <c r="A3273" t="s">
        <v>30</v>
      </c>
      <c r="B3273" t="s">
        <v>31</v>
      </c>
      <c r="C3273" t="s">
        <v>32</v>
      </c>
      <c r="D3273" t="s">
        <v>448</v>
      </c>
      <c r="E3273" t="s">
        <v>509</v>
      </c>
      <c r="F3273" t="s">
        <v>35</v>
      </c>
      <c r="G3273" t="s">
        <v>35</v>
      </c>
      <c r="H3273" t="s">
        <v>35</v>
      </c>
      <c r="J3273" t="s">
        <v>3840</v>
      </c>
      <c r="K3273" t="s">
        <v>1092</v>
      </c>
      <c r="M3273">
        <v>0.99</v>
      </c>
      <c r="N3273">
        <v>48</v>
      </c>
      <c r="O3273" t="s">
        <v>52</v>
      </c>
      <c r="Q3273" t="s">
        <v>496</v>
      </c>
      <c r="R3273" t="s">
        <v>3538</v>
      </c>
      <c r="S3273" t="s">
        <v>3539</v>
      </c>
    </row>
    <row r="3274" spans="1:19" x14ac:dyDescent="0.25">
      <c r="A3274" t="s">
        <v>30</v>
      </c>
      <c r="B3274" t="s">
        <v>31</v>
      </c>
      <c r="C3274" t="s">
        <v>32</v>
      </c>
      <c r="D3274" t="s">
        <v>448</v>
      </c>
      <c r="E3274" t="s">
        <v>509</v>
      </c>
      <c r="F3274" t="s">
        <v>35</v>
      </c>
      <c r="G3274" t="s">
        <v>35</v>
      </c>
      <c r="H3274" t="s">
        <v>35</v>
      </c>
      <c r="J3274" t="s">
        <v>3841</v>
      </c>
      <c r="K3274" t="s">
        <v>1092</v>
      </c>
      <c r="M3274">
        <v>0.67500000000000004</v>
      </c>
      <c r="N3274">
        <v>48</v>
      </c>
      <c r="O3274" t="s">
        <v>52</v>
      </c>
      <c r="Q3274" t="s">
        <v>496</v>
      </c>
      <c r="R3274" t="s">
        <v>324</v>
      </c>
      <c r="S3274" t="s">
        <v>325</v>
      </c>
    </row>
    <row r="3275" spans="1:19" x14ac:dyDescent="0.25">
      <c r="A3275" t="s">
        <v>30</v>
      </c>
      <c r="B3275" t="s">
        <v>31</v>
      </c>
      <c r="C3275" t="s">
        <v>32</v>
      </c>
      <c r="D3275" t="s">
        <v>448</v>
      </c>
      <c r="E3275" t="s">
        <v>509</v>
      </c>
      <c r="F3275" t="s">
        <v>35</v>
      </c>
      <c r="G3275" t="s">
        <v>35</v>
      </c>
      <c r="H3275" t="s">
        <v>35</v>
      </c>
      <c r="J3275" t="s">
        <v>3842</v>
      </c>
      <c r="K3275" t="s">
        <v>1092</v>
      </c>
      <c r="M3275">
        <v>0.67500000000000004</v>
      </c>
      <c r="N3275">
        <v>49</v>
      </c>
      <c r="O3275" t="s">
        <v>52</v>
      </c>
      <c r="Q3275" t="s">
        <v>219</v>
      </c>
      <c r="R3275" t="s">
        <v>324</v>
      </c>
      <c r="S3275" t="s">
        <v>325</v>
      </c>
    </row>
    <row r="3276" spans="1:19" x14ac:dyDescent="0.25">
      <c r="A3276" t="s">
        <v>30</v>
      </c>
      <c r="B3276" t="s">
        <v>31</v>
      </c>
      <c r="C3276" t="s">
        <v>32</v>
      </c>
      <c r="D3276" t="s">
        <v>448</v>
      </c>
      <c r="E3276" t="s">
        <v>509</v>
      </c>
      <c r="F3276" t="s">
        <v>35</v>
      </c>
      <c r="G3276" t="s">
        <v>35</v>
      </c>
      <c r="H3276" t="s">
        <v>35</v>
      </c>
      <c r="J3276" t="s">
        <v>3842</v>
      </c>
      <c r="K3276" t="s">
        <v>1092</v>
      </c>
      <c r="M3276">
        <v>0.67500000000000004</v>
      </c>
      <c r="N3276">
        <v>53</v>
      </c>
      <c r="O3276" t="s">
        <v>52</v>
      </c>
      <c r="Q3276" t="s">
        <v>332</v>
      </c>
      <c r="R3276" t="s">
        <v>3538</v>
      </c>
      <c r="S3276" t="s">
        <v>3539</v>
      </c>
    </row>
    <row r="3277" spans="1:19" x14ac:dyDescent="0.25">
      <c r="A3277" t="s">
        <v>30</v>
      </c>
      <c r="B3277" t="s">
        <v>31</v>
      </c>
      <c r="C3277" t="s">
        <v>32</v>
      </c>
      <c r="D3277" t="s">
        <v>448</v>
      </c>
      <c r="E3277" t="s">
        <v>509</v>
      </c>
      <c r="F3277" t="s">
        <v>35</v>
      </c>
      <c r="G3277" t="s">
        <v>35</v>
      </c>
      <c r="H3277" t="s">
        <v>35</v>
      </c>
      <c r="J3277" t="s">
        <v>3843</v>
      </c>
      <c r="K3277" t="s">
        <v>1092</v>
      </c>
      <c r="M3277">
        <v>11.475</v>
      </c>
      <c r="N3277">
        <v>49</v>
      </c>
      <c r="O3277" t="s">
        <v>52</v>
      </c>
      <c r="Q3277" t="s">
        <v>219</v>
      </c>
      <c r="R3277" t="s">
        <v>324</v>
      </c>
      <c r="S3277" t="s">
        <v>325</v>
      </c>
    </row>
    <row r="3278" spans="1:19" x14ac:dyDescent="0.25">
      <c r="A3278" t="s">
        <v>30</v>
      </c>
      <c r="B3278" t="s">
        <v>31</v>
      </c>
      <c r="C3278" t="s">
        <v>32</v>
      </c>
      <c r="D3278" t="s">
        <v>448</v>
      </c>
      <c r="E3278" t="s">
        <v>509</v>
      </c>
      <c r="F3278" t="s">
        <v>35</v>
      </c>
      <c r="G3278" t="s">
        <v>35</v>
      </c>
      <c r="H3278" t="s">
        <v>35</v>
      </c>
      <c r="J3278" t="s">
        <v>3844</v>
      </c>
      <c r="K3278" t="s">
        <v>1092</v>
      </c>
      <c r="M3278">
        <v>1.665</v>
      </c>
      <c r="N3278">
        <v>19</v>
      </c>
      <c r="O3278" t="s">
        <v>46</v>
      </c>
      <c r="Q3278" t="s">
        <v>1192</v>
      </c>
      <c r="R3278" t="s">
        <v>3538</v>
      </c>
      <c r="S3278" t="s">
        <v>3539</v>
      </c>
    </row>
    <row r="3279" spans="1:19" x14ac:dyDescent="0.25">
      <c r="A3279" t="s">
        <v>30</v>
      </c>
      <c r="B3279" t="s">
        <v>31</v>
      </c>
      <c r="C3279" t="s">
        <v>32</v>
      </c>
      <c r="D3279" t="s">
        <v>448</v>
      </c>
      <c r="E3279" t="s">
        <v>509</v>
      </c>
      <c r="F3279" t="s">
        <v>35</v>
      </c>
      <c r="G3279" t="s">
        <v>35</v>
      </c>
      <c r="H3279" t="s">
        <v>35</v>
      </c>
      <c r="J3279" t="s">
        <v>3845</v>
      </c>
      <c r="K3279" t="s">
        <v>1092</v>
      </c>
      <c r="M3279">
        <v>0.9</v>
      </c>
      <c r="N3279">
        <v>48</v>
      </c>
      <c r="O3279" t="s">
        <v>52</v>
      </c>
      <c r="Q3279" t="s">
        <v>496</v>
      </c>
      <c r="R3279" t="s">
        <v>3794</v>
      </c>
      <c r="S3279" t="s">
        <v>510</v>
      </c>
    </row>
    <row r="3280" spans="1:19" x14ac:dyDescent="0.25">
      <c r="A3280" t="s">
        <v>30</v>
      </c>
      <c r="B3280" t="s">
        <v>31</v>
      </c>
      <c r="C3280" t="s">
        <v>32</v>
      </c>
      <c r="D3280" t="s">
        <v>448</v>
      </c>
      <c r="E3280" t="s">
        <v>509</v>
      </c>
      <c r="F3280" t="s">
        <v>35</v>
      </c>
      <c r="G3280" t="s">
        <v>35</v>
      </c>
      <c r="H3280" t="s">
        <v>35</v>
      </c>
      <c r="J3280" t="s">
        <v>3845</v>
      </c>
      <c r="K3280" t="s">
        <v>1092</v>
      </c>
      <c r="M3280">
        <v>0.45</v>
      </c>
      <c r="N3280">
        <v>46</v>
      </c>
      <c r="O3280" t="s">
        <v>52</v>
      </c>
      <c r="Q3280" t="s">
        <v>493</v>
      </c>
      <c r="R3280" t="s">
        <v>3794</v>
      </c>
      <c r="S3280" t="s">
        <v>510</v>
      </c>
    </row>
    <row r="3281" spans="1:19" x14ac:dyDescent="0.25">
      <c r="A3281" t="s">
        <v>59</v>
      </c>
      <c r="B3281" t="s">
        <v>31</v>
      </c>
      <c r="C3281" t="s">
        <v>32</v>
      </c>
      <c r="D3281" t="s">
        <v>448</v>
      </c>
      <c r="E3281" t="s">
        <v>509</v>
      </c>
      <c r="F3281" t="s">
        <v>35</v>
      </c>
      <c r="G3281" t="s">
        <v>35</v>
      </c>
      <c r="H3281" t="s">
        <v>35</v>
      </c>
      <c r="J3281" t="s">
        <v>3846</v>
      </c>
      <c r="K3281" t="s">
        <v>1092</v>
      </c>
      <c r="M3281">
        <v>0.18</v>
      </c>
      <c r="N3281">
        <v>73</v>
      </c>
      <c r="O3281" t="s">
        <v>61</v>
      </c>
      <c r="Q3281" t="s">
        <v>552</v>
      </c>
      <c r="R3281" t="s">
        <v>3794</v>
      </c>
      <c r="S3281" t="s">
        <v>510</v>
      </c>
    </row>
    <row r="3282" spans="1:19" x14ac:dyDescent="0.25">
      <c r="A3282" t="s">
        <v>30</v>
      </c>
      <c r="B3282" t="s">
        <v>31</v>
      </c>
      <c r="C3282" t="s">
        <v>32</v>
      </c>
      <c r="D3282" t="s">
        <v>448</v>
      </c>
      <c r="E3282" t="s">
        <v>509</v>
      </c>
      <c r="F3282" t="s">
        <v>35</v>
      </c>
      <c r="G3282" t="s">
        <v>35</v>
      </c>
      <c r="H3282" t="s">
        <v>35</v>
      </c>
      <c r="J3282" t="s">
        <v>3847</v>
      </c>
      <c r="K3282" t="s">
        <v>1092</v>
      </c>
      <c r="M3282">
        <v>0.67500000000000004</v>
      </c>
      <c r="N3282">
        <v>30</v>
      </c>
      <c r="O3282" t="s">
        <v>46</v>
      </c>
      <c r="Q3282" t="s">
        <v>793</v>
      </c>
      <c r="R3282" t="s">
        <v>3794</v>
      </c>
      <c r="S3282" t="s">
        <v>510</v>
      </c>
    </row>
    <row r="3283" spans="1:19" x14ac:dyDescent="0.25">
      <c r="A3283" t="s">
        <v>30</v>
      </c>
      <c r="B3283" t="s">
        <v>31</v>
      </c>
      <c r="C3283" t="s">
        <v>32</v>
      </c>
      <c r="D3283" t="s">
        <v>448</v>
      </c>
      <c r="E3283" t="s">
        <v>509</v>
      </c>
      <c r="F3283" t="s">
        <v>35</v>
      </c>
      <c r="G3283" t="s">
        <v>35</v>
      </c>
      <c r="H3283" t="s">
        <v>35</v>
      </c>
      <c r="J3283" t="s">
        <v>3848</v>
      </c>
      <c r="K3283" t="s">
        <v>1092</v>
      </c>
      <c r="M3283">
        <v>0.36</v>
      </c>
      <c r="N3283">
        <v>46</v>
      </c>
      <c r="O3283" t="s">
        <v>52</v>
      </c>
      <c r="Q3283" t="s">
        <v>493</v>
      </c>
      <c r="R3283" t="s">
        <v>3794</v>
      </c>
      <c r="S3283" t="s">
        <v>510</v>
      </c>
    </row>
    <row r="3284" spans="1:19" x14ac:dyDescent="0.25">
      <c r="A3284" t="s">
        <v>30</v>
      </c>
      <c r="B3284" t="s">
        <v>31</v>
      </c>
      <c r="C3284" t="s">
        <v>32</v>
      </c>
      <c r="D3284" t="s">
        <v>448</v>
      </c>
      <c r="E3284" t="s">
        <v>509</v>
      </c>
      <c r="F3284" t="s">
        <v>35</v>
      </c>
      <c r="G3284" t="s">
        <v>35</v>
      </c>
      <c r="H3284" t="s">
        <v>35</v>
      </c>
      <c r="J3284" t="s">
        <v>3848</v>
      </c>
      <c r="K3284" t="s">
        <v>1092</v>
      </c>
      <c r="M3284">
        <v>0.27</v>
      </c>
      <c r="N3284">
        <v>48</v>
      </c>
      <c r="O3284" t="s">
        <v>52</v>
      </c>
      <c r="Q3284" t="s">
        <v>496</v>
      </c>
      <c r="R3284" t="s">
        <v>3794</v>
      </c>
      <c r="S3284" t="s">
        <v>510</v>
      </c>
    </row>
    <row r="3285" spans="1:19" x14ac:dyDescent="0.25">
      <c r="A3285" t="s">
        <v>30</v>
      </c>
      <c r="B3285" t="s">
        <v>31</v>
      </c>
      <c r="C3285" t="s">
        <v>32</v>
      </c>
      <c r="D3285" t="s">
        <v>448</v>
      </c>
      <c r="E3285" t="s">
        <v>509</v>
      </c>
      <c r="F3285" t="s">
        <v>35</v>
      </c>
      <c r="G3285" t="s">
        <v>35</v>
      </c>
      <c r="H3285" t="s">
        <v>35</v>
      </c>
      <c r="J3285" t="s">
        <v>3848</v>
      </c>
      <c r="K3285" t="s">
        <v>1092</v>
      </c>
      <c r="M3285">
        <v>0.27</v>
      </c>
      <c r="N3285">
        <v>30</v>
      </c>
      <c r="O3285" t="s">
        <v>46</v>
      </c>
      <c r="Q3285" t="s">
        <v>793</v>
      </c>
      <c r="R3285" t="s">
        <v>3794</v>
      </c>
      <c r="S3285" t="s">
        <v>510</v>
      </c>
    </row>
    <row r="3286" spans="1:19" x14ac:dyDescent="0.25">
      <c r="A3286" t="s">
        <v>30</v>
      </c>
      <c r="B3286" t="s">
        <v>31</v>
      </c>
      <c r="C3286" t="s">
        <v>32</v>
      </c>
      <c r="D3286" t="s">
        <v>448</v>
      </c>
      <c r="E3286" t="s">
        <v>509</v>
      </c>
      <c r="F3286" t="s">
        <v>35</v>
      </c>
      <c r="G3286" t="s">
        <v>35</v>
      </c>
      <c r="H3286" t="s">
        <v>35</v>
      </c>
      <c r="J3286" t="s">
        <v>3848</v>
      </c>
      <c r="K3286" t="s">
        <v>1092</v>
      </c>
      <c r="M3286">
        <v>0.36</v>
      </c>
      <c r="N3286">
        <v>42</v>
      </c>
      <c r="O3286" t="s">
        <v>52</v>
      </c>
      <c r="Q3286" t="s">
        <v>991</v>
      </c>
      <c r="R3286" t="s">
        <v>3794</v>
      </c>
      <c r="S3286" t="s">
        <v>510</v>
      </c>
    </row>
    <row r="3287" spans="1:19" x14ac:dyDescent="0.25">
      <c r="A3287" t="s">
        <v>30</v>
      </c>
      <c r="B3287" t="s">
        <v>31</v>
      </c>
      <c r="C3287" t="s">
        <v>32</v>
      </c>
      <c r="D3287" t="s">
        <v>448</v>
      </c>
      <c r="E3287" t="s">
        <v>509</v>
      </c>
      <c r="F3287" t="s">
        <v>35</v>
      </c>
      <c r="G3287" t="s">
        <v>35</v>
      </c>
      <c r="H3287" t="s">
        <v>35</v>
      </c>
      <c r="J3287" t="s">
        <v>3849</v>
      </c>
      <c r="K3287" t="s">
        <v>1092</v>
      </c>
      <c r="M3287">
        <v>0.40500000000000003</v>
      </c>
      <c r="N3287">
        <v>45</v>
      </c>
      <c r="O3287" t="s">
        <v>52</v>
      </c>
      <c r="Q3287" t="s">
        <v>716</v>
      </c>
      <c r="R3287" t="s">
        <v>3538</v>
      </c>
      <c r="S3287" t="s">
        <v>3539</v>
      </c>
    </row>
    <row r="3288" spans="1:19" x14ac:dyDescent="0.25">
      <c r="A3288" t="s">
        <v>30</v>
      </c>
      <c r="B3288" t="s">
        <v>31</v>
      </c>
      <c r="C3288" t="s">
        <v>32</v>
      </c>
      <c r="D3288" t="s">
        <v>448</v>
      </c>
      <c r="E3288" t="s">
        <v>509</v>
      </c>
      <c r="F3288" t="s">
        <v>35</v>
      </c>
      <c r="G3288" t="s">
        <v>35</v>
      </c>
      <c r="H3288" t="s">
        <v>35</v>
      </c>
      <c r="J3288" t="s">
        <v>3850</v>
      </c>
      <c r="K3288" t="s">
        <v>1092</v>
      </c>
      <c r="M3288">
        <v>0.40500000000000003</v>
      </c>
      <c r="N3288">
        <v>48</v>
      </c>
      <c r="O3288" t="s">
        <v>52</v>
      </c>
      <c r="Q3288" t="s">
        <v>496</v>
      </c>
      <c r="R3288" t="s">
        <v>3538</v>
      </c>
      <c r="S3288" t="s">
        <v>3539</v>
      </c>
    </row>
    <row r="3289" spans="1:19" x14ac:dyDescent="0.25">
      <c r="A3289" t="s">
        <v>30</v>
      </c>
      <c r="B3289" t="s">
        <v>31</v>
      </c>
      <c r="C3289" t="s">
        <v>32</v>
      </c>
      <c r="D3289" t="s">
        <v>448</v>
      </c>
      <c r="E3289" t="s">
        <v>509</v>
      </c>
      <c r="F3289" t="s">
        <v>35</v>
      </c>
      <c r="G3289" t="s">
        <v>35</v>
      </c>
      <c r="H3289" t="s">
        <v>35</v>
      </c>
      <c r="J3289" t="s">
        <v>3851</v>
      </c>
      <c r="K3289" t="s">
        <v>1092</v>
      </c>
      <c r="M3289">
        <v>0.45</v>
      </c>
      <c r="N3289">
        <v>46</v>
      </c>
      <c r="O3289" t="s">
        <v>52</v>
      </c>
      <c r="Q3289" t="s">
        <v>493</v>
      </c>
      <c r="R3289" t="s">
        <v>3794</v>
      </c>
      <c r="S3289" t="s">
        <v>510</v>
      </c>
    </row>
    <row r="3290" spans="1:19" x14ac:dyDescent="0.25">
      <c r="A3290" t="s">
        <v>30</v>
      </c>
      <c r="B3290" t="s">
        <v>31</v>
      </c>
      <c r="C3290" t="s">
        <v>32</v>
      </c>
      <c r="D3290" t="s">
        <v>448</v>
      </c>
      <c r="E3290" t="s">
        <v>509</v>
      </c>
      <c r="F3290" t="s">
        <v>35</v>
      </c>
      <c r="G3290" t="s">
        <v>35</v>
      </c>
      <c r="H3290" t="s">
        <v>35</v>
      </c>
      <c r="J3290" t="s">
        <v>3851</v>
      </c>
      <c r="K3290" t="s">
        <v>1092</v>
      </c>
      <c r="M3290">
        <v>0.67500000000000004</v>
      </c>
      <c r="N3290">
        <v>48</v>
      </c>
      <c r="O3290" t="s">
        <v>52</v>
      </c>
      <c r="Q3290" t="s">
        <v>496</v>
      </c>
      <c r="R3290" t="s">
        <v>3794</v>
      </c>
      <c r="S3290" t="s">
        <v>510</v>
      </c>
    </row>
    <row r="3291" spans="1:19" x14ac:dyDescent="0.25">
      <c r="A3291" t="s">
        <v>30</v>
      </c>
      <c r="B3291" t="s">
        <v>31</v>
      </c>
      <c r="C3291" t="s">
        <v>32</v>
      </c>
      <c r="D3291" t="s">
        <v>448</v>
      </c>
      <c r="E3291" t="s">
        <v>509</v>
      </c>
      <c r="F3291" t="s">
        <v>35</v>
      </c>
      <c r="G3291" t="s">
        <v>35</v>
      </c>
      <c r="H3291" t="s">
        <v>35</v>
      </c>
      <c r="J3291" t="s">
        <v>3851</v>
      </c>
      <c r="K3291" t="s">
        <v>1092</v>
      </c>
      <c r="M3291">
        <v>1.8</v>
      </c>
      <c r="N3291">
        <v>45</v>
      </c>
      <c r="O3291" t="s">
        <v>52</v>
      </c>
      <c r="Q3291" t="s">
        <v>716</v>
      </c>
      <c r="R3291" t="s">
        <v>3538</v>
      </c>
      <c r="S3291" t="s">
        <v>3539</v>
      </c>
    </row>
    <row r="3292" spans="1:19" x14ac:dyDescent="0.25">
      <c r="A3292" t="s">
        <v>44</v>
      </c>
      <c r="B3292" t="s">
        <v>3</v>
      </c>
      <c r="C3292" t="s">
        <v>32</v>
      </c>
      <c r="D3292" t="s">
        <v>448</v>
      </c>
      <c r="E3292" t="s">
        <v>509</v>
      </c>
      <c r="F3292" t="s">
        <v>35</v>
      </c>
      <c r="G3292" t="s">
        <v>35</v>
      </c>
      <c r="H3292" t="s">
        <v>35</v>
      </c>
      <c r="J3292" t="s">
        <v>3852</v>
      </c>
      <c r="K3292" t="s">
        <v>1092</v>
      </c>
      <c r="M3292">
        <v>1</v>
      </c>
      <c r="N3292">
        <v>504</v>
      </c>
      <c r="O3292" t="s">
        <v>294</v>
      </c>
      <c r="Q3292" t="s">
        <v>1614</v>
      </c>
      <c r="R3292" t="s">
        <v>3538</v>
      </c>
      <c r="S3292" t="s">
        <v>3539</v>
      </c>
    </row>
    <row r="3293" spans="1:19" x14ac:dyDescent="0.25">
      <c r="A3293" t="s">
        <v>44</v>
      </c>
      <c r="B3293" t="s">
        <v>3</v>
      </c>
      <c r="C3293" t="s">
        <v>32</v>
      </c>
      <c r="D3293" t="s">
        <v>448</v>
      </c>
      <c r="E3293" t="s">
        <v>509</v>
      </c>
      <c r="F3293" t="s">
        <v>35</v>
      </c>
      <c r="G3293" t="s">
        <v>35</v>
      </c>
      <c r="H3293" t="s">
        <v>35</v>
      </c>
      <c r="J3293" t="s">
        <v>3852</v>
      </c>
      <c r="K3293" t="s">
        <v>1092</v>
      </c>
      <c r="M3293">
        <v>0.5</v>
      </c>
      <c r="N3293">
        <v>560</v>
      </c>
      <c r="O3293" t="s">
        <v>575</v>
      </c>
      <c r="Q3293" t="s">
        <v>3853</v>
      </c>
      <c r="R3293" t="s">
        <v>3854</v>
      </c>
      <c r="S3293" t="s">
        <v>3855</v>
      </c>
    </row>
    <row r="3294" spans="1:19" x14ac:dyDescent="0.25">
      <c r="A3294" t="s">
        <v>59</v>
      </c>
      <c r="B3294" t="s">
        <v>60</v>
      </c>
      <c r="C3294" t="s">
        <v>32</v>
      </c>
      <c r="D3294" t="s">
        <v>448</v>
      </c>
      <c r="E3294" t="s">
        <v>509</v>
      </c>
      <c r="F3294" t="s">
        <v>35</v>
      </c>
      <c r="G3294" t="s">
        <v>35</v>
      </c>
      <c r="H3294" t="s">
        <v>35</v>
      </c>
      <c r="J3294" t="s">
        <v>3852</v>
      </c>
      <c r="K3294" t="s">
        <v>1092</v>
      </c>
      <c r="M3294">
        <v>0.55000000000000004</v>
      </c>
      <c r="N3294">
        <v>499</v>
      </c>
      <c r="O3294" t="s">
        <v>294</v>
      </c>
      <c r="Q3294" t="s">
        <v>1503</v>
      </c>
      <c r="R3294" t="s">
        <v>3538</v>
      </c>
      <c r="S3294" t="s">
        <v>3539</v>
      </c>
    </row>
    <row r="3295" spans="1:19" x14ac:dyDescent="0.25">
      <c r="A3295" t="s">
        <v>59</v>
      </c>
      <c r="B3295" t="s">
        <v>31</v>
      </c>
      <c r="C3295" t="s">
        <v>32</v>
      </c>
      <c r="D3295" t="s">
        <v>448</v>
      </c>
      <c r="E3295" t="s">
        <v>509</v>
      </c>
      <c r="F3295" t="s">
        <v>35</v>
      </c>
      <c r="G3295" t="s">
        <v>35</v>
      </c>
      <c r="H3295" t="s">
        <v>35</v>
      </c>
      <c r="J3295" t="s">
        <v>3856</v>
      </c>
      <c r="K3295" t="s">
        <v>1092</v>
      </c>
      <c r="M3295">
        <v>0.27</v>
      </c>
      <c r="N3295">
        <v>73</v>
      </c>
      <c r="O3295" t="s">
        <v>61</v>
      </c>
      <c r="Q3295" t="s">
        <v>552</v>
      </c>
      <c r="R3295" t="s">
        <v>3794</v>
      </c>
      <c r="S3295" t="s">
        <v>510</v>
      </c>
    </row>
    <row r="3296" spans="1:19" x14ac:dyDescent="0.25">
      <c r="A3296" t="s">
        <v>30</v>
      </c>
      <c r="B3296" t="s">
        <v>31</v>
      </c>
      <c r="C3296" t="s">
        <v>32</v>
      </c>
      <c r="D3296" t="s">
        <v>448</v>
      </c>
      <c r="E3296" t="s">
        <v>509</v>
      </c>
      <c r="F3296" t="s">
        <v>35</v>
      </c>
      <c r="G3296" t="s">
        <v>35</v>
      </c>
      <c r="H3296" t="s">
        <v>35</v>
      </c>
      <c r="J3296" t="s">
        <v>3856</v>
      </c>
      <c r="K3296" t="s">
        <v>1092</v>
      </c>
      <c r="M3296">
        <v>0.45</v>
      </c>
      <c r="N3296">
        <v>42</v>
      </c>
      <c r="O3296" t="s">
        <v>52</v>
      </c>
      <c r="Q3296" t="s">
        <v>991</v>
      </c>
      <c r="R3296" t="s">
        <v>3794</v>
      </c>
      <c r="S3296" t="s">
        <v>510</v>
      </c>
    </row>
    <row r="3297" spans="1:19" x14ac:dyDescent="0.25">
      <c r="A3297" t="s">
        <v>30</v>
      </c>
      <c r="B3297" t="s">
        <v>31</v>
      </c>
      <c r="C3297" t="s">
        <v>32</v>
      </c>
      <c r="D3297" t="s">
        <v>448</v>
      </c>
      <c r="E3297" t="s">
        <v>509</v>
      </c>
      <c r="F3297" t="s">
        <v>35</v>
      </c>
      <c r="G3297" t="s">
        <v>35</v>
      </c>
      <c r="H3297" t="s">
        <v>35</v>
      </c>
      <c r="J3297" t="s">
        <v>3856</v>
      </c>
      <c r="K3297" t="s">
        <v>1092</v>
      </c>
      <c r="M3297">
        <v>0.58499999999999996</v>
      </c>
      <c r="N3297">
        <v>30</v>
      </c>
      <c r="O3297" t="s">
        <v>46</v>
      </c>
      <c r="Q3297" t="s">
        <v>793</v>
      </c>
      <c r="R3297" t="s">
        <v>3794</v>
      </c>
      <c r="S3297" t="s">
        <v>510</v>
      </c>
    </row>
    <row r="3298" spans="1:19" x14ac:dyDescent="0.25">
      <c r="A3298" t="s">
        <v>30</v>
      </c>
      <c r="B3298" t="s">
        <v>31</v>
      </c>
      <c r="C3298" t="s">
        <v>32</v>
      </c>
      <c r="D3298" t="s">
        <v>448</v>
      </c>
      <c r="E3298" t="s">
        <v>509</v>
      </c>
      <c r="F3298" t="s">
        <v>35</v>
      </c>
      <c r="G3298" t="s">
        <v>35</v>
      </c>
      <c r="H3298" t="s">
        <v>35</v>
      </c>
      <c r="J3298" t="s">
        <v>3857</v>
      </c>
      <c r="K3298" t="s">
        <v>1092</v>
      </c>
      <c r="M3298">
        <v>2.7</v>
      </c>
      <c r="N3298">
        <v>52</v>
      </c>
      <c r="O3298" t="s">
        <v>52</v>
      </c>
      <c r="Q3298" t="s">
        <v>1230</v>
      </c>
      <c r="R3298" t="s">
        <v>3538</v>
      </c>
      <c r="S3298" t="s">
        <v>3539</v>
      </c>
    </row>
    <row r="3299" spans="1:19" x14ac:dyDescent="0.25">
      <c r="A3299" t="s">
        <v>30</v>
      </c>
      <c r="B3299" t="s">
        <v>31</v>
      </c>
      <c r="C3299" t="s">
        <v>32</v>
      </c>
      <c r="D3299" t="s">
        <v>448</v>
      </c>
      <c r="E3299" t="s">
        <v>509</v>
      </c>
      <c r="F3299" t="s">
        <v>35</v>
      </c>
      <c r="G3299" t="s">
        <v>35</v>
      </c>
      <c r="H3299" t="s">
        <v>35</v>
      </c>
      <c r="J3299" t="s">
        <v>3858</v>
      </c>
      <c r="K3299" t="s">
        <v>1092</v>
      </c>
      <c r="M3299">
        <v>2.0249999999999999</v>
      </c>
      <c r="N3299">
        <v>38</v>
      </c>
      <c r="O3299" t="s">
        <v>52</v>
      </c>
      <c r="Q3299" t="s">
        <v>748</v>
      </c>
      <c r="R3299" t="s">
        <v>3538</v>
      </c>
      <c r="S3299" t="s">
        <v>3539</v>
      </c>
    </row>
    <row r="3300" spans="1:19" x14ac:dyDescent="0.25">
      <c r="A3300" t="s">
        <v>30</v>
      </c>
      <c r="B3300" t="s">
        <v>31</v>
      </c>
      <c r="C3300" t="s">
        <v>32</v>
      </c>
      <c r="D3300" t="s">
        <v>448</v>
      </c>
      <c r="E3300" t="s">
        <v>509</v>
      </c>
      <c r="F3300" t="s">
        <v>35</v>
      </c>
      <c r="G3300" t="s">
        <v>35</v>
      </c>
      <c r="H3300" t="s">
        <v>35</v>
      </c>
      <c r="J3300" t="s">
        <v>3859</v>
      </c>
      <c r="K3300" t="s">
        <v>1092</v>
      </c>
      <c r="M3300">
        <v>0.9</v>
      </c>
      <c r="N3300">
        <v>18</v>
      </c>
      <c r="O3300" t="s">
        <v>46</v>
      </c>
      <c r="Q3300" t="s">
        <v>1476</v>
      </c>
      <c r="R3300" t="s">
        <v>3794</v>
      </c>
      <c r="S3300" t="s">
        <v>510</v>
      </c>
    </row>
    <row r="3301" spans="1:19" x14ac:dyDescent="0.25">
      <c r="A3301" t="s">
        <v>30</v>
      </c>
      <c r="B3301" t="s">
        <v>31</v>
      </c>
      <c r="C3301" t="s">
        <v>32</v>
      </c>
      <c r="D3301" t="s">
        <v>448</v>
      </c>
      <c r="E3301" t="s">
        <v>509</v>
      </c>
      <c r="F3301" t="s">
        <v>35</v>
      </c>
      <c r="G3301" t="s">
        <v>35</v>
      </c>
      <c r="H3301" t="s">
        <v>35</v>
      </c>
      <c r="J3301" t="s">
        <v>3859</v>
      </c>
      <c r="K3301" t="s">
        <v>1092</v>
      </c>
      <c r="M3301">
        <v>0.18</v>
      </c>
      <c r="N3301">
        <v>47</v>
      </c>
      <c r="O3301" t="s">
        <v>52</v>
      </c>
      <c r="Q3301" t="s">
        <v>132</v>
      </c>
      <c r="R3301" t="s">
        <v>3794</v>
      </c>
      <c r="S3301" t="s">
        <v>510</v>
      </c>
    </row>
    <row r="3302" spans="1:19" x14ac:dyDescent="0.25">
      <c r="A3302" t="s">
        <v>30</v>
      </c>
      <c r="B3302" t="s">
        <v>31</v>
      </c>
      <c r="C3302" t="s">
        <v>32</v>
      </c>
      <c r="D3302" t="s">
        <v>448</v>
      </c>
      <c r="E3302" t="s">
        <v>509</v>
      </c>
      <c r="F3302" t="s">
        <v>35</v>
      </c>
      <c r="G3302" t="s">
        <v>35</v>
      </c>
      <c r="H3302" t="s">
        <v>35</v>
      </c>
      <c r="J3302" t="s">
        <v>3859</v>
      </c>
      <c r="K3302" t="s">
        <v>1092</v>
      </c>
      <c r="M3302">
        <v>0.45</v>
      </c>
      <c r="N3302">
        <v>42</v>
      </c>
      <c r="O3302" t="s">
        <v>52</v>
      </c>
      <c r="Q3302" t="s">
        <v>991</v>
      </c>
      <c r="R3302" t="s">
        <v>3794</v>
      </c>
      <c r="S3302" t="s">
        <v>510</v>
      </c>
    </row>
    <row r="3303" spans="1:19" x14ac:dyDescent="0.25">
      <c r="A3303" t="s">
        <v>30</v>
      </c>
      <c r="B3303" t="s">
        <v>31</v>
      </c>
      <c r="C3303" t="s">
        <v>32</v>
      </c>
      <c r="D3303" t="s">
        <v>448</v>
      </c>
      <c r="F3303" t="s">
        <v>35</v>
      </c>
      <c r="G3303" t="s">
        <v>35</v>
      </c>
      <c r="H3303" t="s">
        <v>35</v>
      </c>
      <c r="J3303" t="s">
        <v>3860</v>
      </c>
      <c r="K3303" t="s">
        <v>1092</v>
      </c>
      <c r="M3303">
        <v>0.45</v>
      </c>
      <c r="N3303">
        <v>45</v>
      </c>
      <c r="O3303" t="s">
        <v>52</v>
      </c>
      <c r="Q3303" t="s">
        <v>716</v>
      </c>
      <c r="R3303" t="s">
        <v>3538</v>
      </c>
      <c r="S3303" t="s">
        <v>3539</v>
      </c>
    </row>
    <row r="3304" spans="1:19" x14ac:dyDescent="0.25">
      <c r="A3304" t="s">
        <v>30</v>
      </c>
      <c r="B3304" t="s">
        <v>31</v>
      </c>
      <c r="C3304" t="s">
        <v>32</v>
      </c>
      <c r="D3304" t="s">
        <v>448</v>
      </c>
      <c r="F3304" t="s">
        <v>35</v>
      </c>
      <c r="G3304" t="s">
        <v>35</v>
      </c>
      <c r="H3304" t="s">
        <v>35</v>
      </c>
      <c r="J3304" t="s">
        <v>3860</v>
      </c>
      <c r="K3304" t="s">
        <v>1092</v>
      </c>
      <c r="M3304">
        <v>0.54</v>
      </c>
      <c r="N3304">
        <v>53</v>
      </c>
      <c r="O3304" t="s">
        <v>52</v>
      </c>
      <c r="Q3304" t="s">
        <v>332</v>
      </c>
      <c r="R3304" t="s">
        <v>3538</v>
      </c>
      <c r="S3304" t="s">
        <v>3539</v>
      </c>
    </row>
    <row r="3305" spans="1:19" x14ac:dyDescent="0.25">
      <c r="A3305" t="s">
        <v>30</v>
      </c>
      <c r="B3305" t="s">
        <v>31</v>
      </c>
      <c r="C3305" t="s">
        <v>32</v>
      </c>
      <c r="D3305" t="s">
        <v>448</v>
      </c>
      <c r="F3305" t="s">
        <v>35</v>
      </c>
      <c r="G3305" t="s">
        <v>35</v>
      </c>
      <c r="H3305" t="s">
        <v>35</v>
      </c>
      <c r="J3305" t="s">
        <v>3861</v>
      </c>
      <c r="K3305" t="s">
        <v>1092</v>
      </c>
      <c r="M3305">
        <v>0.9</v>
      </c>
      <c r="N3305">
        <v>1559</v>
      </c>
      <c r="O3305" t="s">
        <v>575</v>
      </c>
      <c r="Q3305" t="s">
        <v>3862</v>
      </c>
      <c r="R3305" t="s">
        <v>3517</v>
      </c>
      <c r="S3305" t="s">
        <v>450</v>
      </c>
    </row>
    <row r="3306" spans="1:19" x14ac:dyDescent="0.25">
      <c r="A3306" t="s">
        <v>59</v>
      </c>
      <c r="B3306" t="s">
        <v>31</v>
      </c>
      <c r="C3306" t="s">
        <v>32</v>
      </c>
      <c r="D3306" t="s">
        <v>448</v>
      </c>
      <c r="F3306" t="s">
        <v>35</v>
      </c>
      <c r="G3306" t="s">
        <v>35</v>
      </c>
      <c r="H3306" t="s">
        <v>35</v>
      </c>
      <c r="J3306" t="s">
        <v>3863</v>
      </c>
      <c r="K3306" t="s">
        <v>1092</v>
      </c>
      <c r="M3306">
        <v>4.95</v>
      </c>
      <c r="N3306">
        <v>70</v>
      </c>
      <c r="O3306" t="s">
        <v>61</v>
      </c>
      <c r="Q3306" t="s">
        <v>126</v>
      </c>
      <c r="R3306" t="s">
        <v>513</v>
      </c>
      <c r="S3306" t="s">
        <v>514</v>
      </c>
    </row>
    <row r="3307" spans="1:19" x14ac:dyDescent="0.25">
      <c r="A3307" t="s">
        <v>30</v>
      </c>
      <c r="B3307" t="s">
        <v>31</v>
      </c>
      <c r="C3307" t="s">
        <v>32</v>
      </c>
      <c r="D3307" t="s">
        <v>448</v>
      </c>
      <c r="F3307" t="s">
        <v>35</v>
      </c>
      <c r="G3307" t="s">
        <v>35</v>
      </c>
      <c r="H3307" t="s">
        <v>35</v>
      </c>
      <c r="J3307" t="s">
        <v>3864</v>
      </c>
      <c r="K3307" t="s">
        <v>1092</v>
      </c>
      <c r="M3307">
        <v>1.35</v>
      </c>
      <c r="N3307">
        <v>44</v>
      </c>
      <c r="O3307" t="s">
        <v>52</v>
      </c>
      <c r="Q3307" t="s">
        <v>192</v>
      </c>
      <c r="R3307" t="s">
        <v>513</v>
      </c>
      <c r="S3307" t="s">
        <v>514</v>
      </c>
    </row>
    <row r="3308" spans="1:19" x14ac:dyDescent="0.25">
      <c r="A3308" t="s">
        <v>30</v>
      </c>
      <c r="B3308" t="s">
        <v>31</v>
      </c>
      <c r="C3308" t="s">
        <v>32</v>
      </c>
      <c r="D3308" t="s">
        <v>448</v>
      </c>
      <c r="F3308" t="s">
        <v>35</v>
      </c>
      <c r="G3308" t="s">
        <v>35</v>
      </c>
      <c r="H3308" t="s">
        <v>35</v>
      </c>
      <c r="J3308" t="s">
        <v>3865</v>
      </c>
      <c r="K3308" t="s">
        <v>1092</v>
      </c>
      <c r="M3308">
        <v>0.72</v>
      </c>
      <c r="N3308">
        <v>1555</v>
      </c>
      <c r="O3308" t="s">
        <v>575</v>
      </c>
      <c r="Q3308" t="s">
        <v>3866</v>
      </c>
      <c r="R3308" t="s">
        <v>3867</v>
      </c>
      <c r="S3308" t="s">
        <v>3868</v>
      </c>
    </row>
    <row r="3309" spans="1:19" x14ac:dyDescent="0.25">
      <c r="A3309" t="s">
        <v>30</v>
      </c>
      <c r="B3309" t="s">
        <v>31</v>
      </c>
      <c r="C3309" t="s">
        <v>32</v>
      </c>
      <c r="D3309" t="s">
        <v>448</v>
      </c>
      <c r="F3309" t="s">
        <v>35</v>
      </c>
      <c r="G3309" t="s">
        <v>35</v>
      </c>
      <c r="H3309" t="s">
        <v>35</v>
      </c>
      <c r="J3309" t="s">
        <v>3870</v>
      </c>
      <c r="K3309" t="s">
        <v>1092</v>
      </c>
      <c r="M3309">
        <v>0.40500000000000003</v>
      </c>
      <c r="N3309">
        <v>2673</v>
      </c>
      <c r="O3309" t="s">
        <v>575</v>
      </c>
      <c r="Q3309" t="s">
        <v>1486</v>
      </c>
      <c r="R3309" t="s">
        <v>1487</v>
      </c>
      <c r="S3309" t="s">
        <v>1488</v>
      </c>
    </row>
    <row r="3310" spans="1:19" x14ac:dyDescent="0.25">
      <c r="A3310" t="s">
        <v>30</v>
      </c>
      <c r="B3310" t="s">
        <v>31</v>
      </c>
      <c r="C3310" t="s">
        <v>32</v>
      </c>
      <c r="D3310" t="s">
        <v>448</v>
      </c>
      <c r="F3310" t="s">
        <v>35</v>
      </c>
      <c r="G3310" t="s">
        <v>35</v>
      </c>
      <c r="H3310" t="s">
        <v>35</v>
      </c>
      <c r="J3310" t="s">
        <v>3871</v>
      </c>
      <c r="K3310" t="s">
        <v>1092</v>
      </c>
      <c r="M3310">
        <v>1.35</v>
      </c>
      <c r="N3310">
        <v>53</v>
      </c>
      <c r="O3310" t="s">
        <v>52</v>
      </c>
      <c r="Q3310" t="s">
        <v>332</v>
      </c>
      <c r="R3310" t="s">
        <v>3538</v>
      </c>
      <c r="S3310" t="s">
        <v>3539</v>
      </c>
    </row>
    <row r="3311" spans="1:19" x14ac:dyDescent="0.25">
      <c r="A3311" t="s">
        <v>44</v>
      </c>
      <c r="B3311" t="s">
        <v>3</v>
      </c>
      <c r="C3311" t="s">
        <v>32</v>
      </c>
      <c r="D3311" t="s">
        <v>448</v>
      </c>
      <c r="F3311" t="s">
        <v>35</v>
      </c>
      <c r="G3311" t="s">
        <v>35</v>
      </c>
      <c r="H3311" t="s">
        <v>35</v>
      </c>
      <c r="J3311" t="s">
        <v>3872</v>
      </c>
      <c r="K3311" t="s">
        <v>1092</v>
      </c>
      <c r="M3311">
        <v>0.5</v>
      </c>
      <c r="N3311">
        <v>549</v>
      </c>
      <c r="O3311" t="s">
        <v>575</v>
      </c>
      <c r="Q3311" t="s">
        <v>3873</v>
      </c>
      <c r="R3311" t="s">
        <v>3517</v>
      </c>
      <c r="S3311" t="s">
        <v>450</v>
      </c>
    </row>
    <row r="3312" spans="1:19" x14ac:dyDescent="0.25">
      <c r="A3312" t="s">
        <v>30</v>
      </c>
      <c r="B3312" t="s">
        <v>31</v>
      </c>
      <c r="C3312" t="s">
        <v>32</v>
      </c>
      <c r="D3312" t="s">
        <v>448</v>
      </c>
      <c r="F3312" t="s">
        <v>35</v>
      </c>
      <c r="G3312" t="s">
        <v>35</v>
      </c>
      <c r="H3312" t="s">
        <v>35</v>
      </c>
      <c r="J3312" t="s">
        <v>3874</v>
      </c>
      <c r="K3312" t="s">
        <v>1092</v>
      </c>
      <c r="M3312">
        <v>1.08</v>
      </c>
      <c r="N3312">
        <v>53</v>
      </c>
      <c r="O3312" t="s">
        <v>52</v>
      </c>
      <c r="Q3312" t="s">
        <v>332</v>
      </c>
      <c r="R3312" t="s">
        <v>3538</v>
      </c>
      <c r="S3312" t="s">
        <v>3539</v>
      </c>
    </row>
    <row r="3313" spans="1:19" x14ac:dyDescent="0.25">
      <c r="A3313" t="s">
        <v>30</v>
      </c>
      <c r="B3313" t="s">
        <v>31</v>
      </c>
      <c r="C3313" t="s">
        <v>32</v>
      </c>
      <c r="D3313" t="s">
        <v>448</v>
      </c>
      <c r="F3313" t="s">
        <v>35</v>
      </c>
      <c r="G3313" t="s">
        <v>35</v>
      </c>
      <c r="H3313" t="s">
        <v>35</v>
      </c>
      <c r="J3313" t="s">
        <v>3875</v>
      </c>
      <c r="K3313" t="s">
        <v>1092</v>
      </c>
      <c r="M3313">
        <v>2.7450000000000001</v>
      </c>
      <c r="N3313">
        <v>1927</v>
      </c>
      <c r="O3313" t="s">
        <v>575</v>
      </c>
      <c r="Q3313" t="s">
        <v>3876</v>
      </c>
      <c r="R3313" t="s">
        <v>3877</v>
      </c>
      <c r="S3313" t="s">
        <v>3878</v>
      </c>
    </row>
    <row r="3314" spans="1:19" x14ac:dyDescent="0.25">
      <c r="A3314" t="s">
        <v>59</v>
      </c>
      <c r="B3314" t="s">
        <v>60</v>
      </c>
      <c r="C3314" t="s">
        <v>32</v>
      </c>
      <c r="D3314" t="s">
        <v>448</v>
      </c>
      <c r="F3314" t="s">
        <v>35</v>
      </c>
      <c r="G3314" t="s">
        <v>35</v>
      </c>
      <c r="H3314" t="s">
        <v>35</v>
      </c>
      <c r="J3314" t="s">
        <v>3880</v>
      </c>
      <c r="K3314" t="s">
        <v>1092</v>
      </c>
      <c r="M3314">
        <v>0.05</v>
      </c>
      <c r="N3314">
        <v>1901</v>
      </c>
      <c r="O3314" t="s">
        <v>575</v>
      </c>
      <c r="Q3314" t="s">
        <v>3566</v>
      </c>
      <c r="R3314" t="s">
        <v>3877</v>
      </c>
      <c r="S3314" t="s">
        <v>3878</v>
      </c>
    </row>
    <row r="3315" spans="1:19" x14ac:dyDescent="0.25">
      <c r="A3315" t="s">
        <v>30</v>
      </c>
      <c r="B3315" t="s">
        <v>31</v>
      </c>
      <c r="C3315" t="s">
        <v>32</v>
      </c>
      <c r="D3315" t="s">
        <v>448</v>
      </c>
      <c r="F3315" t="s">
        <v>35</v>
      </c>
      <c r="G3315" t="s">
        <v>35</v>
      </c>
      <c r="H3315" t="s">
        <v>35</v>
      </c>
      <c r="J3315" t="s">
        <v>3881</v>
      </c>
      <c r="K3315" t="s">
        <v>1092</v>
      </c>
      <c r="M3315">
        <v>6.5250000000000004</v>
      </c>
      <c r="N3315">
        <v>48</v>
      </c>
      <c r="O3315" t="s">
        <v>52</v>
      </c>
      <c r="Q3315" t="s">
        <v>496</v>
      </c>
      <c r="R3315" t="s">
        <v>3538</v>
      </c>
      <c r="S3315" t="s">
        <v>3539</v>
      </c>
    </row>
    <row r="3316" spans="1:19" x14ac:dyDescent="0.25">
      <c r="A3316" t="s">
        <v>30</v>
      </c>
      <c r="B3316" t="s">
        <v>31</v>
      </c>
      <c r="C3316" t="s">
        <v>32</v>
      </c>
      <c r="D3316" t="s">
        <v>448</v>
      </c>
      <c r="F3316" t="s">
        <v>35</v>
      </c>
      <c r="G3316" t="s">
        <v>35</v>
      </c>
      <c r="H3316" t="s">
        <v>35</v>
      </c>
      <c r="J3316" t="s">
        <v>3881</v>
      </c>
      <c r="K3316" t="s">
        <v>1092</v>
      </c>
      <c r="M3316">
        <v>2.9249999999999998</v>
      </c>
      <c r="N3316">
        <v>49</v>
      </c>
      <c r="O3316" t="s">
        <v>52</v>
      </c>
      <c r="Q3316" t="s">
        <v>219</v>
      </c>
      <c r="R3316" t="s">
        <v>324</v>
      </c>
      <c r="S3316" t="s">
        <v>325</v>
      </c>
    </row>
    <row r="3317" spans="1:19" x14ac:dyDescent="0.25">
      <c r="A3317" t="s">
        <v>30</v>
      </c>
      <c r="B3317" t="s">
        <v>31</v>
      </c>
      <c r="C3317" t="s">
        <v>32</v>
      </c>
      <c r="D3317" t="s">
        <v>448</v>
      </c>
      <c r="F3317" t="s">
        <v>35</v>
      </c>
      <c r="G3317" t="s">
        <v>35</v>
      </c>
      <c r="H3317" t="s">
        <v>35</v>
      </c>
      <c r="J3317" t="s">
        <v>3882</v>
      </c>
      <c r="K3317" t="s">
        <v>1092</v>
      </c>
      <c r="M3317">
        <v>0.18</v>
      </c>
      <c r="N3317">
        <v>2094</v>
      </c>
      <c r="O3317" t="s">
        <v>575</v>
      </c>
      <c r="Q3317" t="s">
        <v>3884</v>
      </c>
      <c r="R3317" t="s">
        <v>3885</v>
      </c>
      <c r="S3317" t="s">
        <v>3886</v>
      </c>
    </row>
    <row r="3318" spans="1:19" x14ac:dyDescent="0.25">
      <c r="A3318" t="s">
        <v>59</v>
      </c>
      <c r="B3318" t="s">
        <v>31</v>
      </c>
      <c r="C3318" t="s">
        <v>32</v>
      </c>
      <c r="D3318" t="s">
        <v>448</v>
      </c>
      <c r="F3318" t="s">
        <v>35</v>
      </c>
      <c r="G3318" t="s">
        <v>35</v>
      </c>
      <c r="H3318" t="s">
        <v>35</v>
      </c>
      <c r="J3318" t="s">
        <v>3882</v>
      </c>
      <c r="K3318" t="s">
        <v>1092</v>
      </c>
      <c r="M3318">
        <v>0.96</v>
      </c>
      <c r="N3318">
        <v>2094</v>
      </c>
      <c r="O3318" t="s">
        <v>575</v>
      </c>
      <c r="Q3318" t="s">
        <v>3884</v>
      </c>
      <c r="R3318" t="s">
        <v>3885</v>
      </c>
      <c r="S3318" t="s">
        <v>3886</v>
      </c>
    </row>
    <row r="3319" spans="1:19" x14ac:dyDescent="0.25">
      <c r="A3319" t="s">
        <v>30</v>
      </c>
      <c r="B3319" t="s">
        <v>31</v>
      </c>
      <c r="C3319" t="s">
        <v>32</v>
      </c>
      <c r="D3319" t="s">
        <v>448</v>
      </c>
      <c r="F3319" t="s">
        <v>35</v>
      </c>
      <c r="G3319" t="s">
        <v>35</v>
      </c>
      <c r="H3319" t="s">
        <v>35</v>
      </c>
      <c r="J3319" t="s">
        <v>3887</v>
      </c>
      <c r="K3319" t="s">
        <v>1092</v>
      </c>
      <c r="M3319">
        <v>0.81</v>
      </c>
      <c r="N3319">
        <v>2335</v>
      </c>
      <c r="O3319" t="s">
        <v>575</v>
      </c>
      <c r="Q3319" t="s">
        <v>3889</v>
      </c>
      <c r="R3319" t="s">
        <v>3567</v>
      </c>
      <c r="S3319" t="s">
        <v>3568</v>
      </c>
    </row>
    <row r="3320" spans="1:19" x14ac:dyDescent="0.25">
      <c r="A3320" t="s">
        <v>30</v>
      </c>
      <c r="B3320" t="s">
        <v>31</v>
      </c>
      <c r="C3320" t="s">
        <v>32</v>
      </c>
      <c r="D3320" t="s">
        <v>448</v>
      </c>
      <c r="F3320" t="s">
        <v>35</v>
      </c>
      <c r="G3320" t="s">
        <v>35</v>
      </c>
      <c r="H3320" t="s">
        <v>35</v>
      </c>
      <c r="J3320" t="s">
        <v>3887</v>
      </c>
      <c r="K3320" t="s">
        <v>1092</v>
      </c>
      <c r="M3320">
        <v>0.67500000000000004</v>
      </c>
      <c r="N3320">
        <v>1546</v>
      </c>
      <c r="O3320" t="s">
        <v>575</v>
      </c>
      <c r="Q3320" t="s">
        <v>3577</v>
      </c>
      <c r="R3320" t="s">
        <v>3574</v>
      </c>
      <c r="S3320" t="s">
        <v>3575</v>
      </c>
    </row>
    <row r="3321" spans="1:19" x14ac:dyDescent="0.25">
      <c r="A3321" t="s">
        <v>30</v>
      </c>
      <c r="B3321" t="s">
        <v>31</v>
      </c>
      <c r="C3321" t="s">
        <v>32</v>
      </c>
      <c r="D3321" t="s">
        <v>448</v>
      </c>
      <c r="F3321" t="s">
        <v>35</v>
      </c>
      <c r="G3321" t="s">
        <v>35</v>
      </c>
      <c r="H3321" t="s">
        <v>35</v>
      </c>
      <c r="J3321" t="s">
        <v>3887</v>
      </c>
      <c r="K3321" t="s">
        <v>1092</v>
      </c>
      <c r="M3321">
        <v>0.67500000000000004</v>
      </c>
      <c r="N3321">
        <v>1550</v>
      </c>
      <c r="O3321" t="s">
        <v>575</v>
      </c>
      <c r="Q3321" t="s">
        <v>3888</v>
      </c>
      <c r="R3321" t="s">
        <v>3574</v>
      </c>
      <c r="S3321" t="s">
        <v>3575</v>
      </c>
    </row>
    <row r="3322" spans="1:19" x14ac:dyDescent="0.25">
      <c r="A3322" t="s">
        <v>30</v>
      </c>
      <c r="B3322" t="s">
        <v>31</v>
      </c>
      <c r="C3322" t="s">
        <v>32</v>
      </c>
      <c r="D3322" t="s">
        <v>448</v>
      </c>
      <c r="F3322" t="s">
        <v>35</v>
      </c>
      <c r="G3322" t="s">
        <v>35</v>
      </c>
      <c r="H3322" t="s">
        <v>35</v>
      </c>
      <c r="J3322" t="s">
        <v>3890</v>
      </c>
      <c r="K3322" t="s">
        <v>1092</v>
      </c>
      <c r="M3322">
        <v>0.46500000000000002</v>
      </c>
      <c r="N3322">
        <v>886</v>
      </c>
      <c r="O3322" t="s">
        <v>575</v>
      </c>
      <c r="Q3322" t="s">
        <v>3891</v>
      </c>
      <c r="R3322" t="s">
        <v>3538</v>
      </c>
      <c r="S3322" t="s">
        <v>3539</v>
      </c>
    </row>
    <row r="3323" spans="1:19" x14ac:dyDescent="0.25">
      <c r="A3323" t="s">
        <v>30</v>
      </c>
      <c r="B3323" t="s">
        <v>31</v>
      </c>
      <c r="C3323" t="s">
        <v>32</v>
      </c>
      <c r="D3323" t="s">
        <v>448</v>
      </c>
      <c r="F3323" t="s">
        <v>35</v>
      </c>
      <c r="G3323" t="s">
        <v>35</v>
      </c>
      <c r="H3323" t="s">
        <v>35</v>
      </c>
      <c r="J3323" t="s">
        <v>3892</v>
      </c>
      <c r="K3323" t="s">
        <v>1092</v>
      </c>
      <c r="M3323">
        <v>0.45</v>
      </c>
      <c r="N3323">
        <v>2535</v>
      </c>
      <c r="O3323" t="s">
        <v>575</v>
      </c>
      <c r="Q3323" t="s">
        <v>3893</v>
      </c>
      <c r="R3323" t="s">
        <v>3555</v>
      </c>
      <c r="S3323" t="s">
        <v>3556</v>
      </c>
    </row>
    <row r="3324" spans="1:19" x14ac:dyDescent="0.25">
      <c r="A3324" t="s">
        <v>59</v>
      </c>
      <c r="B3324" t="s">
        <v>60</v>
      </c>
      <c r="C3324" t="s">
        <v>32</v>
      </c>
      <c r="D3324" t="s">
        <v>448</v>
      </c>
      <c r="F3324" t="s">
        <v>35</v>
      </c>
      <c r="G3324" t="s">
        <v>35</v>
      </c>
      <c r="H3324" t="s">
        <v>35</v>
      </c>
      <c r="J3324" t="s">
        <v>3892</v>
      </c>
      <c r="K3324" t="s">
        <v>1092</v>
      </c>
      <c r="M3324">
        <v>0.25</v>
      </c>
      <c r="N3324">
        <v>2636</v>
      </c>
      <c r="O3324" t="s">
        <v>575</v>
      </c>
      <c r="Q3324" t="s">
        <v>3897</v>
      </c>
      <c r="R3324" t="s">
        <v>3555</v>
      </c>
      <c r="S3324" t="s">
        <v>3556</v>
      </c>
    </row>
    <row r="3325" spans="1:19" x14ac:dyDescent="0.25">
      <c r="A3325" t="s">
        <v>30</v>
      </c>
      <c r="B3325" t="s">
        <v>31</v>
      </c>
      <c r="C3325" t="s">
        <v>32</v>
      </c>
      <c r="D3325" t="s">
        <v>448</v>
      </c>
      <c r="F3325" t="s">
        <v>35</v>
      </c>
      <c r="G3325" t="s">
        <v>35</v>
      </c>
      <c r="H3325" t="s">
        <v>35</v>
      </c>
      <c r="J3325" t="s">
        <v>3892</v>
      </c>
      <c r="K3325" t="s">
        <v>1092</v>
      </c>
      <c r="M3325">
        <v>0.13500000000000001</v>
      </c>
      <c r="N3325">
        <v>2628</v>
      </c>
      <c r="O3325" t="s">
        <v>575</v>
      </c>
      <c r="Q3325" t="s">
        <v>3894</v>
      </c>
      <c r="R3325" t="s">
        <v>3895</v>
      </c>
      <c r="S3325" t="s">
        <v>3896</v>
      </c>
    </row>
    <row r="3326" spans="1:19" x14ac:dyDescent="0.25">
      <c r="A3326" t="s">
        <v>59</v>
      </c>
      <c r="B3326" t="s">
        <v>31</v>
      </c>
      <c r="C3326" t="s">
        <v>32</v>
      </c>
      <c r="D3326" t="s">
        <v>448</v>
      </c>
      <c r="F3326" t="s">
        <v>35</v>
      </c>
      <c r="G3326" t="s">
        <v>35</v>
      </c>
      <c r="H3326" t="s">
        <v>35</v>
      </c>
      <c r="J3326" t="s">
        <v>3898</v>
      </c>
      <c r="K3326" t="s">
        <v>1092</v>
      </c>
      <c r="M3326">
        <v>5.0049999999999999</v>
      </c>
      <c r="N3326">
        <v>2220</v>
      </c>
      <c r="O3326" t="s">
        <v>575</v>
      </c>
      <c r="Q3326" t="s">
        <v>3899</v>
      </c>
      <c r="R3326" t="s">
        <v>3580</v>
      </c>
      <c r="S3326" t="s">
        <v>3581</v>
      </c>
    </row>
    <row r="3327" spans="1:19" x14ac:dyDescent="0.25">
      <c r="A3327" t="s">
        <v>30</v>
      </c>
      <c r="B3327" t="s">
        <v>31</v>
      </c>
      <c r="C3327" t="s">
        <v>32</v>
      </c>
      <c r="D3327" t="s">
        <v>448</v>
      </c>
      <c r="F3327" t="s">
        <v>35</v>
      </c>
      <c r="G3327" t="s">
        <v>35</v>
      </c>
      <c r="H3327" t="s">
        <v>35</v>
      </c>
      <c r="J3327" t="s">
        <v>3900</v>
      </c>
      <c r="K3327" t="s">
        <v>1092</v>
      </c>
      <c r="M3327">
        <v>12.15</v>
      </c>
      <c r="N3327">
        <v>53</v>
      </c>
      <c r="O3327" t="s">
        <v>52</v>
      </c>
      <c r="Q3327" t="s">
        <v>332</v>
      </c>
      <c r="R3327" t="s">
        <v>324</v>
      </c>
      <c r="S3327" t="s">
        <v>325</v>
      </c>
    </row>
    <row r="3328" spans="1:19" x14ac:dyDescent="0.25">
      <c r="A3328" t="s">
        <v>30</v>
      </c>
      <c r="B3328" t="s">
        <v>31</v>
      </c>
      <c r="C3328" t="s">
        <v>32</v>
      </c>
      <c r="D3328" t="s">
        <v>448</v>
      </c>
      <c r="F3328" t="s">
        <v>35</v>
      </c>
      <c r="G3328" t="s">
        <v>35</v>
      </c>
      <c r="H3328" t="s">
        <v>35</v>
      </c>
      <c r="J3328" t="s">
        <v>3901</v>
      </c>
      <c r="K3328" t="s">
        <v>1092</v>
      </c>
      <c r="M3328">
        <v>0.13500000000000001</v>
      </c>
      <c r="N3328">
        <v>2673</v>
      </c>
      <c r="O3328" t="s">
        <v>575</v>
      </c>
      <c r="Q3328" t="s">
        <v>1486</v>
      </c>
      <c r="R3328" t="s">
        <v>1487</v>
      </c>
      <c r="S3328" t="s">
        <v>1488</v>
      </c>
    </row>
    <row r="3329" spans="1:19" x14ac:dyDescent="0.25">
      <c r="A3329" t="s">
        <v>59</v>
      </c>
      <c r="B3329" t="s">
        <v>31</v>
      </c>
      <c r="C3329" t="s">
        <v>32</v>
      </c>
      <c r="D3329" t="s">
        <v>448</v>
      </c>
      <c r="F3329" t="s">
        <v>35</v>
      </c>
      <c r="G3329" t="s">
        <v>35</v>
      </c>
      <c r="H3329" t="s">
        <v>35</v>
      </c>
      <c r="J3329" t="s">
        <v>1950</v>
      </c>
      <c r="K3329" t="s">
        <v>1092</v>
      </c>
      <c r="M3329">
        <v>0.03</v>
      </c>
      <c r="N3329">
        <v>2059</v>
      </c>
      <c r="O3329" t="s">
        <v>575</v>
      </c>
      <c r="Q3329" t="s">
        <v>3902</v>
      </c>
      <c r="R3329" t="s">
        <v>3618</v>
      </c>
      <c r="S3329" t="s">
        <v>3619</v>
      </c>
    </row>
    <row r="3330" spans="1:19" x14ac:dyDescent="0.25">
      <c r="A3330" t="s">
        <v>30</v>
      </c>
      <c r="B3330" t="s">
        <v>31</v>
      </c>
      <c r="C3330" t="s">
        <v>32</v>
      </c>
      <c r="D3330" t="s">
        <v>448</v>
      </c>
      <c r="F3330" t="s">
        <v>35</v>
      </c>
      <c r="G3330" t="s">
        <v>35</v>
      </c>
      <c r="H3330" t="s">
        <v>35</v>
      </c>
      <c r="J3330" t="s">
        <v>3903</v>
      </c>
      <c r="K3330" t="s">
        <v>1092</v>
      </c>
      <c r="M3330">
        <v>1.35</v>
      </c>
      <c r="N3330">
        <v>1332</v>
      </c>
      <c r="O3330" t="s">
        <v>575</v>
      </c>
      <c r="Q3330" t="s">
        <v>2982</v>
      </c>
      <c r="R3330" t="s">
        <v>3727</v>
      </c>
      <c r="S3330" t="s">
        <v>3728</v>
      </c>
    </row>
    <row r="3331" spans="1:19" x14ac:dyDescent="0.25">
      <c r="A3331" t="s">
        <v>30</v>
      </c>
      <c r="B3331" t="s">
        <v>31</v>
      </c>
      <c r="C3331" t="s">
        <v>32</v>
      </c>
      <c r="D3331" t="s">
        <v>448</v>
      </c>
      <c r="F3331" t="s">
        <v>35</v>
      </c>
      <c r="G3331" t="s">
        <v>35</v>
      </c>
      <c r="H3331" t="s">
        <v>35</v>
      </c>
      <c r="J3331" t="s">
        <v>3904</v>
      </c>
      <c r="K3331" t="s">
        <v>1092</v>
      </c>
      <c r="M3331">
        <v>0.9</v>
      </c>
      <c r="N3331">
        <v>47</v>
      </c>
      <c r="O3331" t="s">
        <v>52</v>
      </c>
      <c r="Q3331" t="s">
        <v>132</v>
      </c>
      <c r="R3331" t="s">
        <v>3794</v>
      </c>
      <c r="S3331" t="s">
        <v>510</v>
      </c>
    </row>
    <row r="3332" spans="1:19" x14ac:dyDescent="0.25">
      <c r="A3332" t="s">
        <v>30</v>
      </c>
      <c r="B3332" t="s">
        <v>31</v>
      </c>
      <c r="C3332" t="s">
        <v>32</v>
      </c>
      <c r="D3332" t="s">
        <v>448</v>
      </c>
      <c r="F3332" t="s">
        <v>35</v>
      </c>
      <c r="G3332" t="s">
        <v>35</v>
      </c>
      <c r="H3332" t="s">
        <v>35</v>
      </c>
      <c r="J3332" t="s">
        <v>3905</v>
      </c>
      <c r="K3332" t="s">
        <v>1092</v>
      </c>
      <c r="M3332">
        <v>0.22500000000000001</v>
      </c>
      <c r="N3332">
        <v>1712</v>
      </c>
      <c r="O3332" t="s">
        <v>575</v>
      </c>
      <c r="Q3332" t="s">
        <v>3906</v>
      </c>
      <c r="R3332" t="s">
        <v>3612</v>
      </c>
      <c r="S3332" t="s">
        <v>474</v>
      </c>
    </row>
    <row r="3333" spans="1:19" x14ac:dyDescent="0.25">
      <c r="A3333" t="s">
        <v>30</v>
      </c>
      <c r="B3333" t="s">
        <v>31</v>
      </c>
      <c r="C3333" t="s">
        <v>32</v>
      </c>
      <c r="D3333" t="s">
        <v>448</v>
      </c>
      <c r="F3333" t="s">
        <v>35</v>
      </c>
      <c r="G3333" t="s">
        <v>35</v>
      </c>
      <c r="H3333" t="s">
        <v>35</v>
      </c>
      <c r="J3333" t="s">
        <v>3907</v>
      </c>
      <c r="K3333" t="s">
        <v>1092</v>
      </c>
      <c r="M3333">
        <v>5.0000000000000001E-3</v>
      </c>
      <c r="N3333">
        <v>2258</v>
      </c>
      <c r="O3333" t="s">
        <v>575</v>
      </c>
      <c r="Q3333" t="s">
        <v>3908</v>
      </c>
      <c r="R3333" t="s">
        <v>3618</v>
      </c>
      <c r="S3333" t="s">
        <v>3619</v>
      </c>
    </row>
    <row r="3334" spans="1:19" x14ac:dyDescent="0.25">
      <c r="A3334" t="s">
        <v>30</v>
      </c>
      <c r="B3334" t="s">
        <v>31</v>
      </c>
      <c r="C3334" t="s">
        <v>32</v>
      </c>
      <c r="D3334" t="s">
        <v>448</v>
      </c>
      <c r="F3334" t="s">
        <v>35</v>
      </c>
      <c r="G3334" t="s">
        <v>35</v>
      </c>
      <c r="H3334" t="s">
        <v>35</v>
      </c>
      <c r="J3334" t="s">
        <v>3909</v>
      </c>
      <c r="K3334" t="s">
        <v>1092</v>
      </c>
      <c r="M3334">
        <v>4.12</v>
      </c>
      <c r="N3334">
        <v>1615</v>
      </c>
      <c r="O3334" t="s">
        <v>575</v>
      </c>
      <c r="Q3334" t="s">
        <v>2674</v>
      </c>
      <c r="R3334" t="s">
        <v>3722</v>
      </c>
      <c r="S3334" t="s">
        <v>3723</v>
      </c>
    </row>
    <row r="3335" spans="1:19" x14ac:dyDescent="0.25">
      <c r="A3335" t="s">
        <v>30</v>
      </c>
      <c r="B3335" t="s">
        <v>31</v>
      </c>
      <c r="C3335" t="s">
        <v>32</v>
      </c>
      <c r="D3335" t="s">
        <v>448</v>
      </c>
      <c r="F3335" t="s">
        <v>35</v>
      </c>
      <c r="G3335" t="s">
        <v>35</v>
      </c>
      <c r="H3335" t="s">
        <v>35</v>
      </c>
      <c r="J3335" t="s">
        <v>3910</v>
      </c>
      <c r="K3335" t="s">
        <v>1092</v>
      </c>
      <c r="M3335">
        <v>0.315</v>
      </c>
      <c r="N3335">
        <v>2084</v>
      </c>
      <c r="O3335" t="s">
        <v>575</v>
      </c>
      <c r="Q3335" t="s">
        <v>3911</v>
      </c>
      <c r="R3335" t="s">
        <v>3612</v>
      </c>
      <c r="S3335" t="s">
        <v>474</v>
      </c>
    </row>
    <row r="3336" spans="1:19" x14ac:dyDescent="0.25">
      <c r="A3336" t="s">
        <v>30</v>
      </c>
      <c r="B3336" t="s">
        <v>31</v>
      </c>
      <c r="C3336" t="s">
        <v>32</v>
      </c>
      <c r="D3336" t="s">
        <v>448</v>
      </c>
      <c r="F3336" t="s">
        <v>35</v>
      </c>
      <c r="G3336" t="s">
        <v>35</v>
      </c>
      <c r="H3336" t="s">
        <v>35</v>
      </c>
      <c r="J3336" t="s">
        <v>3912</v>
      </c>
      <c r="K3336" t="s">
        <v>1092</v>
      </c>
      <c r="M3336">
        <v>1.44</v>
      </c>
      <c r="N3336">
        <v>2322</v>
      </c>
      <c r="O3336" t="s">
        <v>575</v>
      </c>
      <c r="Q3336" t="s">
        <v>3913</v>
      </c>
      <c r="R3336" t="s">
        <v>3759</v>
      </c>
      <c r="S3336" t="s">
        <v>3760</v>
      </c>
    </row>
    <row r="3337" spans="1:19" x14ac:dyDescent="0.25">
      <c r="A3337" t="s">
        <v>30</v>
      </c>
      <c r="B3337" t="s">
        <v>31</v>
      </c>
      <c r="C3337" t="s">
        <v>32</v>
      </c>
      <c r="D3337" t="s">
        <v>448</v>
      </c>
      <c r="F3337" t="s">
        <v>35</v>
      </c>
      <c r="G3337" t="s">
        <v>35</v>
      </c>
      <c r="H3337" t="s">
        <v>35</v>
      </c>
      <c r="J3337" t="s">
        <v>3914</v>
      </c>
      <c r="K3337" t="s">
        <v>1092</v>
      </c>
      <c r="M3337">
        <v>1.89</v>
      </c>
      <c r="N3337">
        <v>2432</v>
      </c>
      <c r="O3337" t="s">
        <v>575</v>
      </c>
      <c r="Q3337" t="s">
        <v>3915</v>
      </c>
      <c r="R3337" t="s">
        <v>3580</v>
      </c>
      <c r="S3337" t="s">
        <v>3581</v>
      </c>
    </row>
    <row r="3338" spans="1:19" x14ac:dyDescent="0.25">
      <c r="A3338" t="s">
        <v>30</v>
      </c>
      <c r="B3338" t="s">
        <v>31</v>
      </c>
      <c r="C3338" t="s">
        <v>32</v>
      </c>
      <c r="D3338" t="s">
        <v>448</v>
      </c>
      <c r="F3338" t="s">
        <v>35</v>
      </c>
      <c r="G3338" t="s">
        <v>35</v>
      </c>
      <c r="H3338" t="s">
        <v>35</v>
      </c>
      <c r="J3338" t="s">
        <v>3916</v>
      </c>
      <c r="K3338" t="s">
        <v>1092</v>
      </c>
      <c r="M3338">
        <v>0.40500000000000003</v>
      </c>
      <c r="N3338">
        <v>2673</v>
      </c>
      <c r="O3338" t="s">
        <v>575</v>
      </c>
      <c r="Q3338" t="s">
        <v>1486</v>
      </c>
      <c r="R3338" t="s">
        <v>1487</v>
      </c>
      <c r="S3338" t="s">
        <v>1488</v>
      </c>
    </row>
    <row r="3339" spans="1:19" x14ac:dyDescent="0.25">
      <c r="A3339" t="s">
        <v>30</v>
      </c>
      <c r="B3339" t="s">
        <v>31</v>
      </c>
      <c r="C3339" t="s">
        <v>32</v>
      </c>
      <c r="D3339" t="s">
        <v>448</v>
      </c>
      <c r="F3339" t="s">
        <v>35</v>
      </c>
      <c r="G3339" t="s">
        <v>35</v>
      </c>
      <c r="H3339" t="s">
        <v>35</v>
      </c>
      <c r="J3339" t="s">
        <v>3917</v>
      </c>
      <c r="K3339" t="s">
        <v>1092</v>
      </c>
      <c r="M3339">
        <v>0.27</v>
      </c>
      <c r="N3339">
        <v>2673</v>
      </c>
      <c r="O3339" t="s">
        <v>575</v>
      </c>
      <c r="Q3339" t="s">
        <v>1486</v>
      </c>
      <c r="R3339" t="s">
        <v>1487</v>
      </c>
      <c r="S3339" t="s">
        <v>1488</v>
      </c>
    </row>
    <row r="3340" spans="1:19" x14ac:dyDescent="0.25">
      <c r="A3340" t="s">
        <v>30</v>
      </c>
      <c r="B3340" t="s">
        <v>31</v>
      </c>
      <c r="C3340" t="s">
        <v>32</v>
      </c>
      <c r="D3340" t="s">
        <v>448</v>
      </c>
      <c r="F3340" t="s">
        <v>35</v>
      </c>
      <c r="G3340" t="s">
        <v>35</v>
      </c>
      <c r="H3340" t="s">
        <v>35</v>
      </c>
      <c r="J3340" t="s">
        <v>3918</v>
      </c>
      <c r="K3340" t="s">
        <v>1092</v>
      </c>
      <c r="M3340">
        <v>7.29</v>
      </c>
      <c r="N3340">
        <v>1639</v>
      </c>
      <c r="O3340" t="s">
        <v>575</v>
      </c>
      <c r="Q3340" t="s">
        <v>3919</v>
      </c>
      <c r="R3340" t="s">
        <v>3618</v>
      </c>
      <c r="S3340" t="s">
        <v>3619</v>
      </c>
    </row>
    <row r="3341" spans="1:19" x14ac:dyDescent="0.25">
      <c r="A3341" t="s">
        <v>30</v>
      </c>
      <c r="B3341" t="s">
        <v>31</v>
      </c>
      <c r="C3341" t="s">
        <v>32</v>
      </c>
      <c r="D3341" t="s">
        <v>448</v>
      </c>
      <c r="F3341" t="s">
        <v>35</v>
      </c>
      <c r="G3341" t="s">
        <v>35</v>
      </c>
      <c r="H3341" t="s">
        <v>35</v>
      </c>
      <c r="J3341" t="s">
        <v>3920</v>
      </c>
      <c r="K3341" t="s">
        <v>1092</v>
      </c>
      <c r="M3341">
        <v>0.36</v>
      </c>
      <c r="N3341">
        <v>44</v>
      </c>
      <c r="O3341" t="s">
        <v>52</v>
      </c>
      <c r="Q3341" t="s">
        <v>192</v>
      </c>
      <c r="R3341" t="s">
        <v>3538</v>
      </c>
      <c r="S3341" t="s">
        <v>3539</v>
      </c>
    </row>
    <row r="3342" spans="1:19" x14ac:dyDescent="0.25">
      <c r="A3342" t="s">
        <v>30</v>
      </c>
      <c r="B3342" t="s">
        <v>31</v>
      </c>
      <c r="C3342" t="s">
        <v>32</v>
      </c>
      <c r="D3342" t="s">
        <v>448</v>
      </c>
      <c r="F3342" t="s">
        <v>35</v>
      </c>
      <c r="G3342" t="s">
        <v>35</v>
      </c>
      <c r="H3342" t="s">
        <v>35</v>
      </c>
      <c r="J3342" t="s">
        <v>3921</v>
      </c>
      <c r="K3342" t="s">
        <v>1092</v>
      </c>
      <c r="M3342">
        <v>2.25</v>
      </c>
      <c r="N3342">
        <v>53</v>
      </c>
      <c r="O3342" t="s">
        <v>52</v>
      </c>
      <c r="Q3342" t="s">
        <v>332</v>
      </c>
      <c r="R3342" t="s">
        <v>324</v>
      </c>
      <c r="S3342" t="s">
        <v>325</v>
      </c>
    </row>
    <row r="3343" spans="1:19" x14ac:dyDescent="0.25">
      <c r="A3343" t="s">
        <v>30</v>
      </c>
      <c r="B3343" t="s">
        <v>31</v>
      </c>
      <c r="C3343" t="s">
        <v>32</v>
      </c>
      <c r="D3343" t="s">
        <v>448</v>
      </c>
      <c r="F3343" t="s">
        <v>35</v>
      </c>
      <c r="G3343" t="s">
        <v>35</v>
      </c>
      <c r="H3343" t="s">
        <v>35</v>
      </c>
      <c r="J3343" t="s">
        <v>3922</v>
      </c>
      <c r="K3343" t="s">
        <v>1092</v>
      </c>
      <c r="M3343">
        <v>1.35</v>
      </c>
      <c r="N3343">
        <v>53</v>
      </c>
      <c r="O3343" t="s">
        <v>52</v>
      </c>
      <c r="Q3343" t="s">
        <v>332</v>
      </c>
      <c r="R3343" t="s">
        <v>3538</v>
      </c>
      <c r="S3343" t="s">
        <v>3539</v>
      </c>
    </row>
    <row r="3344" spans="1:19" x14ac:dyDescent="0.25">
      <c r="A3344" t="s">
        <v>30</v>
      </c>
      <c r="B3344" t="s">
        <v>31</v>
      </c>
      <c r="C3344" t="s">
        <v>32</v>
      </c>
      <c r="D3344" t="s">
        <v>448</v>
      </c>
      <c r="F3344" t="s">
        <v>35</v>
      </c>
      <c r="G3344" t="s">
        <v>35</v>
      </c>
      <c r="H3344" t="s">
        <v>35</v>
      </c>
      <c r="J3344" t="s">
        <v>3923</v>
      </c>
      <c r="K3344" t="s">
        <v>1092</v>
      </c>
      <c r="M3344">
        <v>0.22500000000000001</v>
      </c>
      <c r="N3344">
        <v>45</v>
      </c>
      <c r="O3344" t="s">
        <v>52</v>
      </c>
      <c r="Q3344" t="s">
        <v>716</v>
      </c>
      <c r="R3344" t="s">
        <v>3538</v>
      </c>
      <c r="S3344" t="s">
        <v>3539</v>
      </c>
    </row>
    <row r="3345" spans="1:19" x14ac:dyDescent="0.25">
      <c r="A3345" t="s">
        <v>30</v>
      </c>
      <c r="B3345" t="s">
        <v>31</v>
      </c>
      <c r="C3345" t="s">
        <v>32</v>
      </c>
      <c r="D3345" t="s">
        <v>448</v>
      </c>
      <c r="F3345" t="s">
        <v>35</v>
      </c>
      <c r="G3345" t="s">
        <v>35</v>
      </c>
      <c r="H3345" t="s">
        <v>35</v>
      </c>
      <c r="J3345" t="s">
        <v>3923</v>
      </c>
      <c r="K3345" t="s">
        <v>1092</v>
      </c>
      <c r="M3345">
        <v>0.58499999999999996</v>
      </c>
      <c r="N3345">
        <v>52</v>
      </c>
      <c r="O3345" t="s">
        <v>52</v>
      </c>
      <c r="Q3345" t="s">
        <v>1230</v>
      </c>
      <c r="R3345" t="s">
        <v>3538</v>
      </c>
      <c r="S3345" t="s">
        <v>3539</v>
      </c>
    </row>
    <row r="3346" spans="1:19" x14ac:dyDescent="0.25">
      <c r="A3346" t="s">
        <v>30</v>
      </c>
      <c r="B3346" t="s">
        <v>31</v>
      </c>
      <c r="C3346" t="s">
        <v>32</v>
      </c>
      <c r="D3346" t="s">
        <v>448</v>
      </c>
      <c r="F3346" t="s">
        <v>35</v>
      </c>
      <c r="G3346" t="s">
        <v>35</v>
      </c>
      <c r="H3346" t="s">
        <v>35</v>
      </c>
      <c r="J3346" t="s">
        <v>3924</v>
      </c>
      <c r="K3346" t="s">
        <v>1092</v>
      </c>
      <c r="M3346">
        <v>0.22500000000000001</v>
      </c>
      <c r="N3346">
        <v>45</v>
      </c>
      <c r="O3346" t="s">
        <v>52</v>
      </c>
      <c r="Q3346" t="s">
        <v>716</v>
      </c>
      <c r="R3346" t="s">
        <v>3538</v>
      </c>
      <c r="S3346" t="s">
        <v>3539</v>
      </c>
    </row>
    <row r="3347" spans="1:19" x14ac:dyDescent="0.25">
      <c r="A3347" t="s">
        <v>30</v>
      </c>
      <c r="B3347" t="s">
        <v>31</v>
      </c>
      <c r="C3347" t="s">
        <v>32</v>
      </c>
      <c r="D3347" t="s">
        <v>448</v>
      </c>
      <c r="F3347" t="s">
        <v>35</v>
      </c>
      <c r="G3347" t="s">
        <v>35</v>
      </c>
      <c r="H3347" t="s">
        <v>35</v>
      </c>
      <c r="J3347" t="s">
        <v>3925</v>
      </c>
      <c r="K3347" t="s">
        <v>1092</v>
      </c>
      <c r="M3347">
        <v>0.67500000000000004</v>
      </c>
      <c r="N3347">
        <v>42</v>
      </c>
      <c r="O3347" t="s">
        <v>52</v>
      </c>
      <c r="Q3347" t="s">
        <v>991</v>
      </c>
      <c r="R3347" t="s">
        <v>3794</v>
      </c>
      <c r="S3347" t="s">
        <v>510</v>
      </c>
    </row>
    <row r="3348" spans="1:19" x14ac:dyDescent="0.25">
      <c r="A3348" t="s">
        <v>30</v>
      </c>
      <c r="B3348" t="s">
        <v>31</v>
      </c>
      <c r="C3348" t="s">
        <v>32</v>
      </c>
      <c r="D3348" t="s">
        <v>448</v>
      </c>
      <c r="F3348" t="s">
        <v>35</v>
      </c>
      <c r="G3348" t="s">
        <v>35</v>
      </c>
      <c r="H3348" t="s">
        <v>35</v>
      </c>
      <c r="J3348" t="s">
        <v>3925</v>
      </c>
      <c r="K3348" t="s">
        <v>1092</v>
      </c>
      <c r="M3348">
        <v>0.45</v>
      </c>
      <c r="N3348">
        <v>27</v>
      </c>
      <c r="O3348" t="s">
        <v>46</v>
      </c>
      <c r="Q3348" t="s">
        <v>1011</v>
      </c>
      <c r="R3348" t="s">
        <v>3794</v>
      </c>
      <c r="S3348" t="s">
        <v>510</v>
      </c>
    </row>
    <row r="3349" spans="1:19" x14ac:dyDescent="0.25">
      <c r="A3349" t="s">
        <v>30</v>
      </c>
      <c r="B3349" t="s">
        <v>31</v>
      </c>
      <c r="C3349" t="s">
        <v>32</v>
      </c>
      <c r="D3349" t="s">
        <v>448</v>
      </c>
      <c r="F3349" t="s">
        <v>35</v>
      </c>
      <c r="G3349" t="s">
        <v>35</v>
      </c>
      <c r="H3349" t="s">
        <v>35</v>
      </c>
      <c r="J3349" t="s">
        <v>3925</v>
      </c>
      <c r="K3349" t="s">
        <v>1092</v>
      </c>
      <c r="M3349">
        <v>1.8</v>
      </c>
      <c r="N3349">
        <v>46</v>
      </c>
      <c r="O3349" t="s">
        <v>52</v>
      </c>
      <c r="Q3349" t="s">
        <v>493</v>
      </c>
      <c r="R3349" t="s">
        <v>3794</v>
      </c>
      <c r="S3349" t="s">
        <v>510</v>
      </c>
    </row>
    <row r="3350" spans="1:19" x14ac:dyDescent="0.25">
      <c r="A3350" t="s">
        <v>30</v>
      </c>
      <c r="B3350" t="s">
        <v>31</v>
      </c>
      <c r="C3350" t="s">
        <v>32</v>
      </c>
      <c r="D3350" t="s">
        <v>3926</v>
      </c>
      <c r="F3350" t="s">
        <v>35</v>
      </c>
      <c r="G3350" t="s">
        <v>35</v>
      </c>
      <c r="H3350" t="s">
        <v>35</v>
      </c>
      <c r="J3350" t="s">
        <v>3927</v>
      </c>
      <c r="K3350" t="s">
        <v>1092</v>
      </c>
      <c r="M3350">
        <v>0.01</v>
      </c>
      <c r="N3350">
        <v>2673</v>
      </c>
      <c r="O3350" t="s">
        <v>575</v>
      </c>
      <c r="Q3350" t="s">
        <v>1486</v>
      </c>
      <c r="R3350" t="s">
        <v>1487</v>
      </c>
      <c r="S3350" t="s">
        <v>1488</v>
      </c>
    </row>
    <row r="3351" spans="1:19" x14ac:dyDescent="0.25">
      <c r="A3351" t="s">
        <v>30</v>
      </c>
      <c r="B3351" t="s">
        <v>31</v>
      </c>
      <c r="C3351" t="s">
        <v>32</v>
      </c>
      <c r="D3351" t="s">
        <v>522</v>
      </c>
      <c r="E3351" t="s">
        <v>523</v>
      </c>
      <c r="F3351" t="s">
        <v>35</v>
      </c>
      <c r="G3351" t="s">
        <v>35</v>
      </c>
      <c r="H3351" t="s">
        <v>35</v>
      </c>
      <c r="J3351" t="s">
        <v>3928</v>
      </c>
      <c r="K3351" t="s">
        <v>1092</v>
      </c>
      <c r="M3351">
        <v>3.6</v>
      </c>
      <c r="N3351">
        <v>32</v>
      </c>
      <c r="O3351" t="s">
        <v>52</v>
      </c>
      <c r="Q3351" t="s">
        <v>547</v>
      </c>
      <c r="R3351" t="s">
        <v>548</v>
      </c>
      <c r="S3351" t="s">
        <v>524</v>
      </c>
    </row>
    <row r="3352" spans="1:19" x14ac:dyDescent="0.25">
      <c r="A3352" t="s">
        <v>59</v>
      </c>
      <c r="B3352" t="s">
        <v>31</v>
      </c>
      <c r="C3352" t="s">
        <v>32</v>
      </c>
      <c r="D3352" t="s">
        <v>522</v>
      </c>
      <c r="E3352" t="s">
        <v>523</v>
      </c>
      <c r="F3352" t="s">
        <v>35</v>
      </c>
      <c r="G3352" t="s">
        <v>35</v>
      </c>
      <c r="H3352" t="s">
        <v>35</v>
      </c>
      <c r="J3352" t="s">
        <v>3928</v>
      </c>
      <c r="K3352" t="s">
        <v>1092</v>
      </c>
      <c r="M3352">
        <v>3.5999999999999997E-2</v>
      </c>
      <c r="N3352">
        <v>69</v>
      </c>
      <c r="O3352" t="s">
        <v>61</v>
      </c>
      <c r="Q3352" t="s">
        <v>139</v>
      </c>
      <c r="R3352" t="s">
        <v>548</v>
      </c>
      <c r="S3352" t="s">
        <v>524</v>
      </c>
    </row>
    <row r="3353" spans="1:19" x14ac:dyDescent="0.25">
      <c r="A3353" t="s">
        <v>30</v>
      </c>
      <c r="B3353" t="s">
        <v>31</v>
      </c>
      <c r="C3353" t="s">
        <v>32</v>
      </c>
      <c r="D3353" t="s">
        <v>522</v>
      </c>
      <c r="E3353" t="s">
        <v>523</v>
      </c>
      <c r="F3353" t="s">
        <v>35</v>
      </c>
      <c r="G3353" t="s">
        <v>35</v>
      </c>
      <c r="H3353" t="s">
        <v>35</v>
      </c>
      <c r="J3353" t="s">
        <v>3929</v>
      </c>
      <c r="K3353" t="s">
        <v>1092</v>
      </c>
      <c r="M3353">
        <v>20.925000000000001</v>
      </c>
      <c r="N3353">
        <v>171</v>
      </c>
      <c r="O3353" t="s">
        <v>38</v>
      </c>
      <c r="Q3353" t="s">
        <v>3930</v>
      </c>
      <c r="R3353" t="s">
        <v>3931</v>
      </c>
      <c r="S3353" t="s">
        <v>3932</v>
      </c>
    </row>
    <row r="3354" spans="1:19" x14ac:dyDescent="0.25">
      <c r="A3354" t="s">
        <v>59</v>
      </c>
      <c r="B3354" t="s">
        <v>60</v>
      </c>
      <c r="C3354" t="s">
        <v>32</v>
      </c>
      <c r="D3354" t="s">
        <v>522</v>
      </c>
      <c r="E3354" t="s">
        <v>523</v>
      </c>
      <c r="F3354" t="s">
        <v>35</v>
      </c>
      <c r="G3354" t="s">
        <v>35</v>
      </c>
      <c r="H3354" t="s">
        <v>35</v>
      </c>
      <c r="J3354" t="s">
        <v>3934</v>
      </c>
      <c r="K3354" t="s">
        <v>1092</v>
      </c>
      <c r="M3354">
        <v>1.5</v>
      </c>
      <c r="N3354">
        <v>55</v>
      </c>
      <c r="O3354" t="s">
        <v>52</v>
      </c>
      <c r="Q3354" t="s">
        <v>518</v>
      </c>
      <c r="R3354" t="s">
        <v>548</v>
      </c>
      <c r="S3354" t="s">
        <v>524</v>
      </c>
    </row>
    <row r="3355" spans="1:19" x14ac:dyDescent="0.25">
      <c r="A3355" t="s">
        <v>59</v>
      </c>
      <c r="B3355" t="s">
        <v>31</v>
      </c>
      <c r="C3355" t="s">
        <v>32</v>
      </c>
      <c r="D3355" t="s">
        <v>522</v>
      </c>
      <c r="E3355" t="s">
        <v>523</v>
      </c>
      <c r="F3355" t="s">
        <v>35</v>
      </c>
      <c r="G3355" t="s">
        <v>35</v>
      </c>
      <c r="H3355" t="s">
        <v>35</v>
      </c>
      <c r="J3355" t="s">
        <v>3934</v>
      </c>
      <c r="K3355" t="s">
        <v>1092</v>
      </c>
      <c r="M3355">
        <v>2.25</v>
      </c>
      <c r="N3355">
        <v>69</v>
      </c>
      <c r="O3355" t="s">
        <v>61</v>
      </c>
      <c r="Q3355" t="s">
        <v>139</v>
      </c>
      <c r="R3355" t="s">
        <v>548</v>
      </c>
      <c r="S3355" t="s">
        <v>524</v>
      </c>
    </row>
    <row r="3356" spans="1:19" x14ac:dyDescent="0.25">
      <c r="A3356" t="s">
        <v>59</v>
      </c>
      <c r="B3356" t="s">
        <v>60</v>
      </c>
      <c r="C3356" t="s">
        <v>32</v>
      </c>
      <c r="D3356" t="s">
        <v>522</v>
      </c>
      <c r="E3356" t="s">
        <v>523</v>
      </c>
      <c r="F3356" t="s">
        <v>35</v>
      </c>
      <c r="G3356" t="s">
        <v>35</v>
      </c>
      <c r="H3356" t="s">
        <v>35</v>
      </c>
      <c r="J3356" t="s">
        <v>3934</v>
      </c>
      <c r="K3356" t="s">
        <v>1092</v>
      </c>
      <c r="M3356">
        <v>0.5</v>
      </c>
      <c r="N3356">
        <v>80</v>
      </c>
      <c r="O3356" t="s">
        <v>61</v>
      </c>
      <c r="Q3356" t="s">
        <v>477</v>
      </c>
      <c r="R3356" t="s">
        <v>548</v>
      </c>
      <c r="S3356" t="s">
        <v>524</v>
      </c>
    </row>
    <row r="3357" spans="1:19" x14ac:dyDescent="0.25">
      <c r="A3357" t="s">
        <v>59</v>
      </c>
      <c r="B3357" t="s">
        <v>60</v>
      </c>
      <c r="C3357" t="s">
        <v>32</v>
      </c>
      <c r="D3357" t="s">
        <v>522</v>
      </c>
      <c r="E3357" t="s">
        <v>523</v>
      </c>
      <c r="F3357" t="s">
        <v>35</v>
      </c>
      <c r="G3357" t="s">
        <v>35</v>
      </c>
      <c r="H3357" t="s">
        <v>35</v>
      </c>
      <c r="J3357" t="s">
        <v>3934</v>
      </c>
      <c r="K3357" t="s">
        <v>1092</v>
      </c>
      <c r="M3357">
        <v>0.4</v>
      </c>
      <c r="N3357">
        <v>89</v>
      </c>
      <c r="O3357" t="s">
        <v>61</v>
      </c>
      <c r="Q3357" t="s">
        <v>299</v>
      </c>
      <c r="R3357" t="s">
        <v>548</v>
      </c>
      <c r="S3357" t="s">
        <v>524</v>
      </c>
    </row>
    <row r="3358" spans="1:19" x14ac:dyDescent="0.25">
      <c r="A3358" t="s">
        <v>30</v>
      </c>
      <c r="B3358" t="s">
        <v>31</v>
      </c>
      <c r="C3358" t="s">
        <v>32</v>
      </c>
      <c r="D3358" t="s">
        <v>522</v>
      </c>
      <c r="E3358" t="s">
        <v>523</v>
      </c>
      <c r="F3358" t="s">
        <v>35</v>
      </c>
      <c r="G3358" t="s">
        <v>35</v>
      </c>
      <c r="H3358" t="s">
        <v>35</v>
      </c>
      <c r="J3358" t="s">
        <v>3934</v>
      </c>
      <c r="K3358" t="s">
        <v>1092</v>
      </c>
      <c r="M3358">
        <v>0.76500000000000001</v>
      </c>
      <c r="N3358">
        <v>391</v>
      </c>
      <c r="O3358" t="s">
        <v>294</v>
      </c>
      <c r="Q3358" t="s">
        <v>1794</v>
      </c>
      <c r="R3358" t="s">
        <v>548</v>
      </c>
      <c r="S3358" t="s">
        <v>524</v>
      </c>
    </row>
    <row r="3359" spans="1:19" x14ac:dyDescent="0.25">
      <c r="A3359" t="s">
        <v>30</v>
      </c>
      <c r="B3359" t="s">
        <v>31</v>
      </c>
      <c r="C3359" t="s">
        <v>32</v>
      </c>
      <c r="D3359" t="s">
        <v>522</v>
      </c>
      <c r="E3359" t="s">
        <v>523</v>
      </c>
      <c r="F3359" t="s">
        <v>35</v>
      </c>
      <c r="G3359" t="s">
        <v>35</v>
      </c>
      <c r="H3359" t="s">
        <v>35</v>
      </c>
      <c r="J3359" t="s">
        <v>3935</v>
      </c>
      <c r="K3359" t="s">
        <v>1092</v>
      </c>
      <c r="M3359">
        <v>9.8550000000000004</v>
      </c>
      <c r="N3359">
        <v>45</v>
      </c>
      <c r="O3359" t="s">
        <v>52</v>
      </c>
      <c r="Q3359" t="s">
        <v>716</v>
      </c>
      <c r="R3359" t="s">
        <v>548</v>
      </c>
      <c r="S3359" t="s">
        <v>524</v>
      </c>
    </row>
    <row r="3360" spans="1:19" x14ac:dyDescent="0.25">
      <c r="A3360" t="s">
        <v>59</v>
      </c>
      <c r="B3360" t="s">
        <v>60</v>
      </c>
      <c r="C3360" t="s">
        <v>32</v>
      </c>
      <c r="D3360" t="s">
        <v>522</v>
      </c>
      <c r="E3360" t="s">
        <v>523</v>
      </c>
      <c r="F3360" t="s">
        <v>35</v>
      </c>
      <c r="G3360" t="s">
        <v>35</v>
      </c>
      <c r="H3360" t="s">
        <v>35</v>
      </c>
      <c r="J3360" t="s">
        <v>3936</v>
      </c>
      <c r="K3360" t="s">
        <v>1092</v>
      </c>
      <c r="M3360">
        <v>1.5</v>
      </c>
      <c r="N3360">
        <v>32</v>
      </c>
      <c r="O3360" t="s">
        <v>52</v>
      </c>
      <c r="Q3360" t="s">
        <v>547</v>
      </c>
      <c r="R3360" t="s">
        <v>548</v>
      </c>
      <c r="S3360" t="s">
        <v>524</v>
      </c>
    </row>
    <row r="3361" spans="1:19" x14ac:dyDescent="0.25">
      <c r="A3361" t="s">
        <v>59</v>
      </c>
      <c r="B3361" t="s">
        <v>60</v>
      </c>
      <c r="C3361" t="s">
        <v>32</v>
      </c>
      <c r="D3361" t="s">
        <v>522</v>
      </c>
      <c r="E3361" t="s">
        <v>523</v>
      </c>
      <c r="F3361" t="s">
        <v>35</v>
      </c>
      <c r="G3361" t="s">
        <v>35</v>
      </c>
      <c r="H3361" t="s">
        <v>35</v>
      </c>
      <c r="J3361" t="s">
        <v>3936</v>
      </c>
      <c r="K3361" t="s">
        <v>1092</v>
      </c>
      <c r="M3361">
        <v>7</v>
      </c>
      <c r="N3361">
        <v>7</v>
      </c>
      <c r="O3361" t="s">
        <v>46</v>
      </c>
      <c r="Q3361" t="s">
        <v>8164</v>
      </c>
      <c r="R3361" t="s">
        <v>548</v>
      </c>
      <c r="S3361" t="s">
        <v>524</v>
      </c>
    </row>
    <row r="3362" spans="1:19" x14ac:dyDescent="0.25">
      <c r="A3362" t="s">
        <v>59</v>
      </c>
      <c r="B3362" t="s">
        <v>60</v>
      </c>
      <c r="C3362" t="s">
        <v>32</v>
      </c>
      <c r="D3362" t="s">
        <v>522</v>
      </c>
      <c r="E3362" t="s">
        <v>523</v>
      </c>
      <c r="F3362" t="s">
        <v>35</v>
      </c>
      <c r="G3362" t="s">
        <v>35</v>
      </c>
      <c r="H3362" t="s">
        <v>35</v>
      </c>
      <c r="J3362" t="s">
        <v>3936</v>
      </c>
      <c r="K3362" t="s">
        <v>1092</v>
      </c>
      <c r="M3362">
        <v>0.2</v>
      </c>
      <c r="N3362">
        <v>33</v>
      </c>
      <c r="O3362" t="s">
        <v>52</v>
      </c>
      <c r="Q3362" t="s">
        <v>137</v>
      </c>
      <c r="R3362" t="s">
        <v>548</v>
      </c>
      <c r="S3362" t="s">
        <v>524</v>
      </c>
    </row>
    <row r="3363" spans="1:19" x14ac:dyDescent="0.25">
      <c r="A3363" t="s">
        <v>59</v>
      </c>
      <c r="B3363" t="s">
        <v>60</v>
      </c>
      <c r="C3363" t="s">
        <v>32</v>
      </c>
      <c r="D3363" t="s">
        <v>522</v>
      </c>
      <c r="E3363" t="s">
        <v>523</v>
      </c>
      <c r="F3363" t="s">
        <v>35</v>
      </c>
      <c r="G3363" t="s">
        <v>35</v>
      </c>
      <c r="H3363" t="s">
        <v>35</v>
      </c>
      <c r="J3363" t="s">
        <v>3937</v>
      </c>
      <c r="K3363" t="s">
        <v>1092</v>
      </c>
      <c r="M3363">
        <v>0.05</v>
      </c>
      <c r="N3363">
        <v>201</v>
      </c>
      <c r="O3363" t="s">
        <v>5</v>
      </c>
      <c r="Q3363" t="s">
        <v>1428</v>
      </c>
      <c r="R3363" t="s">
        <v>3938</v>
      </c>
      <c r="S3363" t="s">
        <v>3939</v>
      </c>
    </row>
    <row r="3364" spans="1:19" x14ac:dyDescent="0.25">
      <c r="A3364" t="s">
        <v>30</v>
      </c>
      <c r="B3364" t="s">
        <v>31</v>
      </c>
      <c r="C3364" t="s">
        <v>32</v>
      </c>
      <c r="D3364" t="s">
        <v>522</v>
      </c>
      <c r="E3364" t="s">
        <v>523</v>
      </c>
      <c r="F3364" t="s">
        <v>35</v>
      </c>
      <c r="G3364" t="s">
        <v>35</v>
      </c>
      <c r="H3364" t="s">
        <v>35</v>
      </c>
      <c r="J3364" t="s">
        <v>3941</v>
      </c>
      <c r="K3364" t="s">
        <v>1092</v>
      </c>
      <c r="M3364">
        <v>0.9</v>
      </c>
      <c r="N3364">
        <v>155</v>
      </c>
      <c r="O3364" t="s">
        <v>38</v>
      </c>
      <c r="Q3364" t="s">
        <v>3942</v>
      </c>
      <c r="R3364" t="s">
        <v>538</v>
      </c>
      <c r="S3364" t="s">
        <v>539</v>
      </c>
    </row>
    <row r="3365" spans="1:19" x14ac:dyDescent="0.25">
      <c r="A3365" t="s">
        <v>30</v>
      </c>
      <c r="B3365" t="s">
        <v>31</v>
      </c>
      <c r="C3365" t="s">
        <v>32</v>
      </c>
      <c r="D3365" t="s">
        <v>522</v>
      </c>
      <c r="E3365" t="s">
        <v>523</v>
      </c>
      <c r="F3365" t="s">
        <v>35</v>
      </c>
      <c r="G3365" t="s">
        <v>35</v>
      </c>
      <c r="H3365" t="s">
        <v>35</v>
      </c>
      <c r="J3365" t="s">
        <v>3943</v>
      </c>
      <c r="K3365" t="s">
        <v>1092</v>
      </c>
      <c r="M3365">
        <v>0.18</v>
      </c>
      <c r="N3365">
        <v>32</v>
      </c>
      <c r="O3365" t="s">
        <v>52</v>
      </c>
      <c r="Q3365" t="s">
        <v>547</v>
      </c>
      <c r="R3365" t="s">
        <v>548</v>
      </c>
      <c r="S3365" t="s">
        <v>524</v>
      </c>
    </row>
    <row r="3366" spans="1:19" x14ac:dyDescent="0.25">
      <c r="A3366" t="s">
        <v>59</v>
      </c>
      <c r="B3366" t="s">
        <v>60</v>
      </c>
      <c r="C3366" t="s">
        <v>32</v>
      </c>
      <c r="D3366" t="s">
        <v>522</v>
      </c>
      <c r="E3366" t="s">
        <v>523</v>
      </c>
      <c r="F3366" t="s">
        <v>35</v>
      </c>
      <c r="G3366" t="s">
        <v>35</v>
      </c>
      <c r="H3366" t="s">
        <v>35</v>
      </c>
      <c r="J3366" t="s">
        <v>3943</v>
      </c>
      <c r="K3366" t="s">
        <v>1092</v>
      </c>
      <c r="M3366">
        <v>0.5</v>
      </c>
      <c r="N3366">
        <v>14</v>
      </c>
      <c r="O3366" t="s">
        <v>46</v>
      </c>
      <c r="Q3366" t="s">
        <v>2440</v>
      </c>
      <c r="R3366" t="s">
        <v>548</v>
      </c>
      <c r="S3366" t="s">
        <v>524</v>
      </c>
    </row>
    <row r="3367" spans="1:19" x14ac:dyDescent="0.25">
      <c r="A3367" t="s">
        <v>30</v>
      </c>
      <c r="B3367" t="s">
        <v>31</v>
      </c>
      <c r="C3367" t="s">
        <v>32</v>
      </c>
      <c r="D3367" t="s">
        <v>522</v>
      </c>
      <c r="E3367" t="s">
        <v>523</v>
      </c>
      <c r="F3367" t="s">
        <v>35</v>
      </c>
      <c r="G3367" t="s">
        <v>35</v>
      </c>
      <c r="H3367" t="s">
        <v>35</v>
      </c>
      <c r="J3367" t="s">
        <v>3943</v>
      </c>
      <c r="K3367" t="s">
        <v>1092</v>
      </c>
      <c r="M3367">
        <v>0.22500000000000001</v>
      </c>
      <c r="N3367">
        <v>14</v>
      </c>
      <c r="O3367" t="s">
        <v>46</v>
      </c>
      <c r="Q3367" t="s">
        <v>2440</v>
      </c>
      <c r="R3367" t="s">
        <v>548</v>
      </c>
      <c r="S3367" t="s">
        <v>524</v>
      </c>
    </row>
    <row r="3368" spans="1:19" x14ac:dyDescent="0.25">
      <c r="A3368" t="s">
        <v>44</v>
      </c>
      <c r="B3368" t="s">
        <v>51</v>
      </c>
      <c r="C3368" t="s">
        <v>32</v>
      </c>
      <c r="D3368" t="s">
        <v>522</v>
      </c>
      <c r="E3368" t="s">
        <v>523</v>
      </c>
      <c r="F3368" t="s">
        <v>35</v>
      </c>
      <c r="G3368" t="s">
        <v>35</v>
      </c>
      <c r="H3368" t="s">
        <v>35</v>
      </c>
      <c r="J3368" t="s">
        <v>3943</v>
      </c>
      <c r="K3368" t="s">
        <v>1092</v>
      </c>
      <c r="M3368">
        <v>0.05</v>
      </c>
      <c r="N3368">
        <v>66</v>
      </c>
      <c r="O3368" t="s">
        <v>61</v>
      </c>
      <c r="Q3368" t="s">
        <v>203</v>
      </c>
      <c r="R3368" t="s">
        <v>548</v>
      </c>
      <c r="S3368" t="s">
        <v>524</v>
      </c>
    </row>
    <row r="3369" spans="1:19" x14ac:dyDescent="0.25">
      <c r="A3369" t="s">
        <v>59</v>
      </c>
      <c r="B3369" t="s">
        <v>60</v>
      </c>
      <c r="C3369" t="s">
        <v>32</v>
      </c>
      <c r="D3369" t="s">
        <v>522</v>
      </c>
      <c r="E3369" t="s">
        <v>523</v>
      </c>
      <c r="F3369" t="s">
        <v>35</v>
      </c>
      <c r="G3369" t="s">
        <v>35</v>
      </c>
      <c r="H3369" t="s">
        <v>35</v>
      </c>
      <c r="J3369" t="s">
        <v>3944</v>
      </c>
      <c r="K3369" t="s">
        <v>1092</v>
      </c>
      <c r="M3369">
        <v>5.5</v>
      </c>
      <c r="N3369">
        <v>7</v>
      </c>
      <c r="O3369" t="s">
        <v>46</v>
      </c>
      <c r="Q3369" t="s">
        <v>8164</v>
      </c>
      <c r="R3369" t="s">
        <v>548</v>
      </c>
      <c r="S3369" t="s">
        <v>524</v>
      </c>
    </row>
    <row r="3370" spans="1:19" x14ac:dyDescent="0.25">
      <c r="A3370" t="s">
        <v>59</v>
      </c>
      <c r="B3370" t="s">
        <v>60</v>
      </c>
      <c r="C3370" t="s">
        <v>32</v>
      </c>
      <c r="D3370" t="s">
        <v>522</v>
      </c>
      <c r="E3370" t="s">
        <v>523</v>
      </c>
      <c r="F3370" t="s">
        <v>35</v>
      </c>
      <c r="G3370" t="s">
        <v>35</v>
      </c>
      <c r="H3370" t="s">
        <v>35</v>
      </c>
      <c r="J3370" t="s">
        <v>3944</v>
      </c>
      <c r="K3370" t="s">
        <v>1092</v>
      </c>
      <c r="M3370">
        <v>1.55</v>
      </c>
      <c r="N3370">
        <v>32</v>
      </c>
      <c r="O3370" t="s">
        <v>52</v>
      </c>
      <c r="Q3370" t="s">
        <v>547</v>
      </c>
      <c r="R3370" t="s">
        <v>548</v>
      </c>
      <c r="S3370" t="s">
        <v>524</v>
      </c>
    </row>
    <row r="3371" spans="1:19" x14ac:dyDescent="0.25">
      <c r="A3371" t="s">
        <v>30</v>
      </c>
      <c r="B3371" t="s">
        <v>31</v>
      </c>
      <c r="C3371" t="s">
        <v>32</v>
      </c>
      <c r="D3371" t="s">
        <v>522</v>
      </c>
      <c r="E3371" t="s">
        <v>523</v>
      </c>
      <c r="F3371" t="s">
        <v>35</v>
      </c>
      <c r="G3371" t="s">
        <v>35</v>
      </c>
      <c r="H3371" t="s">
        <v>35</v>
      </c>
      <c r="J3371" t="s">
        <v>3944</v>
      </c>
      <c r="K3371" t="s">
        <v>1092</v>
      </c>
      <c r="M3371">
        <v>17.324999999999999</v>
      </c>
      <c r="N3371">
        <v>69</v>
      </c>
      <c r="O3371" t="s">
        <v>61</v>
      </c>
      <c r="Q3371" t="s">
        <v>139</v>
      </c>
      <c r="R3371" t="s">
        <v>548</v>
      </c>
      <c r="S3371" t="s">
        <v>524</v>
      </c>
    </row>
    <row r="3372" spans="1:19" x14ac:dyDescent="0.25">
      <c r="A3372" t="s">
        <v>30</v>
      </c>
      <c r="B3372" t="s">
        <v>31</v>
      </c>
      <c r="C3372" t="s">
        <v>32</v>
      </c>
      <c r="D3372" t="s">
        <v>522</v>
      </c>
      <c r="E3372" t="s">
        <v>523</v>
      </c>
      <c r="F3372" t="s">
        <v>35</v>
      </c>
      <c r="G3372" t="s">
        <v>35</v>
      </c>
      <c r="H3372" t="s">
        <v>35</v>
      </c>
      <c r="J3372" t="s">
        <v>3944</v>
      </c>
      <c r="K3372" t="s">
        <v>1092</v>
      </c>
      <c r="M3372">
        <v>0.67500000000000004</v>
      </c>
      <c r="N3372">
        <v>32</v>
      </c>
      <c r="O3372" t="s">
        <v>52</v>
      </c>
      <c r="Q3372" t="s">
        <v>547</v>
      </c>
      <c r="R3372" t="s">
        <v>548</v>
      </c>
      <c r="S3372" t="s">
        <v>524</v>
      </c>
    </row>
    <row r="3373" spans="1:19" x14ac:dyDescent="0.25">
      <c r="A3373" t="s">
        <v>59</v>
      </c>
      <c r="B3373" t="s">
        <v>31</v>
      </c>
      <c r="C3373" t="s">
        <v>32</v>
      </c>
      <c r="D3373" t="s">
        <v>522</v>
      </c>
      <c r="E3373" t="s">
        <v>523</v>
      </c>
      <c r="F3373" t="s">
        <v>35</v>
      </c>
      <c r="G3373" t="s">
        <v>35</v>
      </c>
      <c r="H3373" t="s">
        <v>35</v>
      </c>
      <c r="J3373" t="s">
        <v>3944</v>
      </c>
      <c r="K3373" t="s">
        <v>1092</v>
      </c>
      <c r="M3373">
        <v>5.625</v>
      </c>
      <c r="N3373">
        <v>7</v>
      </c>
      <c r="O3373" t="s">
        <v>46</v>
      </c>
      <c r="Q3373" t="s">
        <v>8164</v>
      </c>
      <c r="R3373" t="s">
        <v>548</v>
      </c>
      <c r="S3373" t="s">
        <v>524</v>
      </c>
    </row>
    <row r="3374" spans="1:19" x14ac:dyDescent="0.25">
      <c r="A3374" t="s">
        <v>30</v>
      </c>
      <c r="B3374" t="s">
        <v>31</v>
      </c>
      <c r="C3374" t="s">
        <v>32</v>
      </c>
      <c r="D3374" t="s">
        <v>522</v>
      </c>
      <c r="E3374" t="s">
        <v>523</v>
      </c>
      <c r="F3374" t="s">
        <v>35</v>
      </c>
      <c r="G3374" t="s">
        <v>35</v>
      </c>
      <c r="H3374" t="s">
        <v>35</v>
      </c>
      <c r="J3374" t="s">
        <v>3946</v>
      </c>
      <c r="K3374" t="s">
        <v>1092</v>
      </c>
      <c r="M3374">
        <v>0.04</v>
      </c>
      <c r="N3374">
        <v>267</v>
      </c>
      <c r="O3374" t="s">
        <v>5</v>
      </c>
      <c r="Q3374" t="s">
        <v>2559</v>
      </c>
      <c r="R3374" t="s">
        <v>548</v>
      </c>
      <c r="S3374" t="s">
        <v>524</v>
      </c>
    </row>
    <row r="3375" spans="1:19" x14ac:dyDescent="0.25">
      <c r="A3375" t="s">
        <v>59</v>
      </c>
      <c r="B3375" t="s">
        <v>31</v>
      </c>
      <c r="C3375" t="s">
        <v>32</v>
      </c>
      <c r="D3375" t="s">
        <v>522</v>
      </c>
      <c r="E3375" t="s">
        <v>523</v>
      </c>
      <c r="F3375" t="s">
        <v>35</v>
      </c>
      <c r="G3375" t="s">
        <v>35</v>
      </c>
      <c r="H3375" t="s">
        <v>35</v>
      </c>
      <c r="J3375" t="s">
        <v>3946</v>
      </c>
      <c r="K3375" t="s">
        <v>1092</v>
      </c>
      <c r="M3375">
        <v>0.27500000000000002</v>
      </c>
      <c r="N3375">
        <v>267</v>
      </c>
      <c r="O3375" t="s">
        <v>5</v>
      </c>
      <c r="Q3375" t="s">
        <v>2559</v>
      </c>
      <c r="R3375" t="s">
        <v>548</v>
      </c>
      <c r="S3375" t="s">
        <v>524</v>
      </c>
    </row>
    <row r="3376" spans="1:19" x14ac:dyDescent="0.25">
      <c r="A3376" t="s">
        <v>59</v>
      </c>
      <c r="B3376" t="s">
        <v>60</v>
      </c>
      <c r="C3376" t="s">
        <v>32</v>
      </c>
      <c r="D3376" t="s">
        <v>522</v>
      </c>
      <c r="E3376" t="s">
        <v>523</v>
      </c>
      <c r="F3376" t="s">
        <v>35</v>
      </c>
      <c r="G3376" t="s">
        <v>35</v>
      </c>
      <c r="H3376" t="s">
        <v>35</v>
      </c>
      <c r="J3376" t="s">
        <v>3947</v>
      </c>
      <c r="K3376" t="s">
        <v>1092</v>
      </c>
      <c r="M3376">
        <v>0.65</v>
      </c>
      <c r="N3376">
        <v>137</v>
      </c>
      <c r="O3376" t="s">
        <v>38</v>
      </c>
      <c r="Q3376" t="s">
        <v>1602</v>
      </c>
      <c r="R3376" t="s">
        <v>3948</v>
      </c>
      <c r="S3376" t="s">
        <v>3949</v>
      </c>
    </row>
    <row r="3377" spans="1:19" x14ac:dyDescent="0.25">
      <c r="A3377" t="s">
        <v>59</v>
      </c>
      <c r="B3377" t="s">
        <v>60</v>
      </c>
      <c r="C3377" t="s">
        <v>32</v>
      </c>
      <c r="D3377" t="s">
        <v>522</v>
      </c>
      <c r="E3377" t="s">
        <v>523</v>
      </c>
      <c r="F3377" t="s">
        <v>35</v>
      </c>
      <c r="G3377" t="s">
        <v>35</v>
      </c>
      <c r="H3377" t="s">
        <v>35</v>
      </c>
      <c r="J3377" t="s">
        <v>3951</v>
      </c>
      <c r="K3377" t="s">
        <v>1092</v>
      </c>
      <c r="M3377">
        <v>0.25</v>
      </c>
      <c r="N3377">
        <v>215</v>
      </c>
      <c r="O3377" t="s">
        <v>5</v>
      </c>
      <c r="Q3377" t="s">
        <v>3122</v>
      </c>
      <c r="R3377" t="s">
        <v>548</v>
      </c>
      <c r="S3377" t="s">
        <v>524</v>
      </c>
    </row>
    <row r="3378" spans="1:19" x14ac:dyDescent="0.25">
      <c r="A3378" t="s">
        <v>30</v>
      </c>
      <c r="B3378" t="s">
        <v>31</v>
      </c>
      <c r="C3378" t="s">
        <v>32</v>
      </c>
      <c r="D3378" t="s">
        <v>522</v>
      </c>
      <c r="E3378" t="s">
        <v>523</v>
      </c>
      <c r="F3378" t="s">
        <v>35</v>
      </c>
      <c r="G3378" t="s">
        <v>35</v>
      </c>
      <c r="H3378" t="s">
        <v>35</v>
      </c>
      <c r="J3378" t="s">
        <v>3952</v>
      </c>
      <c r="K3378" t="s">
        <v>1092</v>
      </c>
      <c r="M3378">
        <v>4.05</v>
      </c>
      <c r="N3378">
        <v>32</v>
      </c>
      <c r="O3378" t="s">
        <v>52</v>
      </c>
      <c r="Q3378" t="s">
        <v>547</v>
      </c>
      <c r="R3378" t="s">
        <v>548</v>
      </c>
      <c r="S3378" t="s">
        <v>524</v>
      </c>
    </row>
    <row r="3379" spans="1:19" x14ac:dyDescent="0.25">
      <c r="A3379" t="s">
        <v>30</v>
      </c>
      <c r="B3379" t="s">
        <v>31</v>
      </c>
      <c r="C3379" t="s">
        <v>32</v>
      </c>
      <c r="D3379" t="s">
        <v>522</v>
      </c>
      <c r="E3379" t="s">
        <v>523</v>
      </c>
      <c r="F3379" t="s">
        <v>35</v>
      </c>
      <c r="G3379" t="s">
        <v>35</v>
      </c>
      <c r="H3379" t="s">
        <v>35</v>
      </c>
      <c r="J3379" t="s">
        <v>3952</v>
      </c>
      <c r="K3379" t="s">
        <v>1092</v>
      </c>
      <c r="M3379">
        <v>11.25</v>
      </c>
      <c r="N3379">
        <v>69</v>
      </c>
      <c r="O3379" t="s">
        <v>61</v>
      </c>
      <c r="Q3379" t="s">
        <v>139</v>
      </c>
      <c r="R3379" t="s">
        <v>548</v>
      </c>
      <c r="S3379" t="s">
        <v>524</v>
      </c>
    </row>
    <row r="3380" spans="1:19" x14ac:dyDescent="0.25">
      <c r="A3380" t="s">
        <v>30</v>
      </c>
      <c r="B3380" t="s">
        <v>31</v>
      </c>
      <c r="C3380" t="s">
        <v>32</v>
      </c>
      <c r="D3380" t="s">
        <v>522</v>
      </c>
      <c r="E3380" t="s">
        <v>523</v>
      </c>
      <c r="F3380" t="s">
        <v>35</v>
      </c>
      <c r="G3380" t="s">
        <v>35</v>
      </c>
      <c r="H3380" t="s">
        <v>35</v>
      </c>
      <c r="J3380" t="s">
        <v>3952</v>
      </c>
      <c r="K3380" t="s">
        <v>1092</v>
      </c>
      <c r="M3380">
        <v>1.35</v>
      </c>
      <c r="N3380">
        <v>17</v>
      </c>
      <c r="O3380" t="s">
        <v>46</v>
      </c>
      <c r="Q3380" t="s">
        <v>1302</v>
      </c>
      <c r="R3380" t="s">
        <v>548</v>
      </c>
      <c r="S3380" t="s">
        <v>524</v>
      </c>
    </row>
    <row r="3381" spans="1:19" x14ac:dyDescent="0.25">
      <c r="A3381" t="s">
        <v>30</v>
      </c>
      <c r="B3381" t="s">
        <v>31</v>
      </c>
      <c r="C3381" t="s">
        <v>32</v>
      </c>
      <c r="D3381" t="s">
        <v>522</v>
      </c>
      <c r="E3381" t="s">
        <v>523</v>
      </c>
      <c r="F3381" t="s">
        <v>35</v>
      </c>
      <c r="G3381" t="s">
        <v>35</v>
      </c>
      <c r="H3381" t="s">
        <v>35</v>
      </c>
      <c r="J3381" t="s">
        <v>3953</v>
      </c>
      <c r="K3381" t="s">
        <v>1092</v>
      </c>
      <c r="M3381">
        <v>4.04</v>
      </c>
      <c r="N3381">
        <v>27</v>
      </c>
      <c r="O3381" t="s">
        <v>46</v>
      </c>
      <c r="Q3381" t="s">
        <v>1011</v>
      </c>
      <c r="R3381" t="s">
        <v>538</v>
      </c>
      <c r="S3381" t="s">
        <v>539</v>
      </c>
    </row>
    <row r="3382" spans="1:19" x14ac:dyDescent="0.25">
      <c r="A3382" t="s">
        <v>44</v>
      </c>
      <c r="B3382" t="s">
        <v>51</v>
      </c>
      <c r="C3382" t="s">
        <v>32</v>
      </c>
      <c r="D3382" t="s">
        <v>522</v>
      </c>
      <c r="E3382" t="s">
        <v>523</v>
      </c>
      <c r="F3382" t="s">
        <v>35</v>
      </c>
      <c r="G3382" t="s">
        <v>35</v>
      </c>
      <c r="H3382" t="s">
        <v>35</v>
      </c>
      <c r="J3382" t="s">
        <v>3954</v>
      </c>
      <c r="K3382" t="s">
        <v>1092</v>
      </c>
      <c r="M3382">
        <v>11</v>
      </c>
      <c r="N3382">
        <v>16</v>
      </c>
      <c r="O3382" t="s">
        <v>46</v>
      </c>
      <c r="Q3382" t="s">
        <v>323</v>
      </c>
      <c r="R3382" t="s">
        <v>548</v>
      </c>
      <c r="S3382" t="s">
        <v>524</v>
      </c>
    </row>
    <row r="3383" spans="1:19" x14ac:dyDescent="0.25">
      <c r="A3383" t="s">
        <v>30</v>
      </c>
      <c r="B3383" t="s">
        <v>31</v>
      </c>
      <c r="C3383" t="s">
        <v>32</v>
      </c>
      <c r="D3383" t="s">
        <v>522</v>
      </c>
      <c r="E3383" t="s">
        <v>523</v>
      </c>
      <c r="F3383" t="s">
        <v>35</v>
      </c>
      <c r="G3383" t="s">
        <v>35</v>
      </c>
      <c r="H3383" t="s">
        <v>35</v>
      </c>
      <c r="J3383" t="s">
        <v>3955</v>
      </c>
      <c r="K3383" t="s">
        <v>1092</v>
      </c>
      <c r="M3383">
        <v>4.5</v>
      </c>
      <c r="N3383">
        <v>124</v>
      </c>
      <c r="O3383" t="s">
        <v>38</v>
      </c>
      <c r="Q3383" t="s">
        <v>406</v>
      </c>
      <c r="R3383" t="s">
        <v>538</v>
      </c>
      <c r="S3383" t="s">
        <v>539</v>
      </c>
    </row>
    <row r="3384" spans="1:19" x14ac:dyDescent="0.25">
      <c r="A3384" t="s">
        <v>30</v>
      </c>
      <c r="B3384" t="s">
        <v>31</v>
      </c>
      <c r="C3384" t="s">
        <v>32</v>
      </c>
      <c r="D3384" t="s">
        <v>522</v>
      </c>
      <c r="E3384" t="s">
        <v>523</v>
      </c>
      <c r="F3384" t="s">
        <v>35</v>
      </c>
      <c r="G3384" t="s">
        <v>35</v>
      </c>
      <c r="H3384" t="s">
        <v>35</v>
      </c>
      <c r="J3384" t="s">
        <v>3955</v>
      </c>
      <c r="K3384" t="s">
        <v>1092</v>
      </c>
      <c r="M3384">
        <v>4.03</v>
      </c>
      <c r="N3384">
        <v>228</v>
      </c>
      <c r="O3384" t="s">
        <v>5</v>
      </c>
      <c r="Q3384" t="s">
        <v>1979</v>
      </c>
      <c r="R3384" t="s">
        <v>538</v>
      </c>
      <c r="S3384" t="s">
        <v>539</v>
      </c>
    </row>
    <row r="3385" spans="1:19" x14ac:dyDescent="0.25">
      <c r="A3385" t="s">
        <v>30</v>
      </c>
      <c r="B3385" t="s">
        <v>31</v>
      </c>
      <c r="C3385" t="s">
        <v>32</v>
      </c>
      <c r="D3385" t="s">
        <v>522</v>
      </c>
      <c r="E3385" t="s">
        <v>523</v>
      </c>
      <c r="F3385" t="s">
        <v>35</v>
      </c>
      <c r="G3385" t="s">
        <v>35</v>
      </c>
      <c r="H3385" t="s">
        <v>35</v>
      </c>
      <c r="J3385" t="s">
        <v>8239</v>
      </c>
      <c r="K3385" t="s">
        <v>1092</v>
      </c>
      <c r="M3385">
        <v>0.18</v>
      </c>
      <c r="N3385">
        <v>14</v>
      </c>
      <c r="O3385" t="s">
        <v>46</v>
      </c>
      <c r="Q3385" t="s">
        <v>2440</v>
      </c>
      <c r="R3385" t="s">
        <v>548</v>
      </c>
      <c r="S3385" t="s">
        <v>524</v>
      </c>
    </row>
    <row r="3386" spans="1:19" x14ac:dyDescent="0.25">
      <c r="A3386" t="s">
        <v>44</v>
      </c>
      <c r="B3386" t="s">
        <v>51</v>
      </c>
      <c r="C3386" t="s">
        <v>32</v>
      </c>
      <c r="D3386" t="s">
        <v>522</v>
      </c>
      <c r="E3386" t="s">
        <v>523</v>
      </c>
      <c r="F3386" t="s">
        <v>35</v>
      </c>
      <c r="G3386" t="s">
        <v>35</v>
      </c>
      <c r="H3386" t="s">
        <v>35</v>
      </c>
      <c r="J3386" t="s">
        <v>3956</v>
      </c>
      <c r="K3386" t="s">
        <v>1092</v>
      </c>
      <c r="M3386">
        <v>0.6</v>
      </c>
      <c r="N3386">
        <v>513</v>
      </c>
      <c r="O3386" t="s">
        <v>294</v>
      </c>
      <c r="Q3386" t="s">
        <v>1651</v>
      </c>
      <c r="R3386" t="s">
        <v>3957</v>
      </c>
      <c r="S3386" t="s">
        <v>3958</v>
      </c>
    </row>
    <row r="3387" spans="1:19" x14ac:dyDescent="0.25">
      <c r="A3387" t="s">
        <v>59</v>
      </c>
      <c r="B3387" t="s">
        <v>31</v>
      </c>
      <c r="C3387" t="s">
        <v>32</v>
      </c>
      <c r="D3387" t="s">
        <v>522</v>
      </c>
      <c r="E3387" t="s">
        <v>523</v>
      </c>
      <c r="F3387" t="s">
        <v>35</v>
      </c>
      <c r="G3387" t="s">
        <v>35</v>
      </c>
      <c r="H3387" t="s">
        <v>35</v>
      </c>
      <c r="J3387" t="s">
        <v>3960</v>
      </c>
      <c r="K3387" t="s">
        <v>1092</v>
      </c>
      <c r="M3387">
        <v>0.54</v>
      </c>
      <c r="N3387">
        <v>72</v>
      </c>
      <c r="O3387" t="s">
        <v>61</v>
      </c>
      <c r="Q3387" t="s">
        <v>63</v>
      </c>
      <c r="R3387" t="s">
        <v>548</v>
      </c>
      <c r="S3387" t="s">
        <v>524</v>
      </c>
    </row>
    <row r="3388" spans="1:19" x14ac:dyDescent="0.25">
      <c r="A3388" t="s">
        <v>44</v>
      </c>
      <c r="B3388" t="s">
        <v>51</v>
      </c>
      <c r="C3388" t="s">
        <v>32</v>
      </c>
      <c r="D3388" t="s">
        <v>522</v>
      </c>
      <c r="E3388" t="s">
        <v>523</v>
      </c>
      <c r="F3388" t="s">
        <v>35</v>
      </c>
      <c r="G3388" t="s">
        <v>35</v>
      </c>
      <c r="H3388" t="s">
        <v>35</v>
      </c>
      <c r="J3388" t="s">
        <v>3960</v>
      </c>
      <c r="K3388" t="s">
        <v>1092</v>
      </c>
      <c r="M3388">
        <v>1</v>
      </c>
      <c r="N3388">
        <v>55</v>
      </c>
      <c r="O3388" t="s">
        <v>52</v>
      </c>
      <c r="Q3388" t="s">
        <v>518</v>
      </c>
      <c r="R3388" t="s">
        <v>548</v>
      </c>
      <c r="S3388" t="s">
        <v>524</v>
      </c>
    </row>
    <row r="3389" spans="1:19" x14ac:dyDescent="0.25">
      <c r="A3389" t="s">
        <v>59</v>
      </c>
      <c r="B3389" t="s">
        <v>60</v>
      </c>
      <c r="C3389" t="s">
        <v>32</v>
      </c>
      <c r="D3389" t="s">
        <v>522</v>
      </c>
      <c r="E3389" t="s">
        <v>523</v>
      </c>
      <c r="F3389" t="s">
        <v>35</v>
      </c>
      <c r="G3389" t="s">
        <v>35</v>
      </c>
      <c r="H3389" t="s">
        <v>35</v>
      </c>
      <c r="J3389" t="s">
        <v>3960</v>
      </c>
      <c r="K3389" t="s">
        <v>1092</v>
      </c>
      <c r="M3389">
        <v>0.75</v>
      </c>
      <c r="N3389">
        <v>32</v>
      </c>
      <c r="O3389" t="s">
        <v>52</v>
      </c>
      <c r="Q3389" t="s">
        <v>547</v>
      </c>
      <c r="R3389" t="s">
        <v>548</v>
      </c>
      <c r="S3389" t="s">
        <v>524</v>
      </c>
    </row>
    <row r="3390" spans="1:19" x14ac:dyDescent="0.25">
      <c r="A3390" t="s">
        <v>30</v>
      </c>
      <c r="B3390" t="s">
        <v>31</v>
      </c>
      <c r="C3390" t="s">
        <v>32</v>
      </c>
      <c r="D3390" t="s">
        <v>522</v>
      </c>
      <c r="E3390" t="s">
        <v>523</v>
      </c>
      <c r="F3390" t="s">
        <v>35</v>
      </c>
      <c r="G3390" t="s">
        <v>35</v>
      </c>
      <c r="H3390" t="s">
        <v>35</v>
      </c>
      <c r="J3390" t="s">
        <v>3960</v>
      </c>
      <c r="K3390" t="s">
        <v>1092</v>
      </c>
      <c r="M3390">
        <v>11.025</v>
      </c>
      <c r="N3390">
        <v>69</v>
      </c>
      <c r="O3390" t="s">
        <v>61</v>
      </c>
      <c r="Q3390" t="s">
        <v>139</v>
      </c>
      <c r="R3390" t="s">
        <v>548</v>
      </c>
      <c r="S3390" t="s">
        <v>524</v>
      </c>
    </row>
    <row r="3391" spans="1:19" x14ac:dyDescent="0.25">
      <c r="A3391" t="s">
        <v>30</v>
      </c>
      <c r="B3391" t="s">
        <v>31</v>
      </c>
      <c r="C3391" t="s">
        <v>32</v>
      </c>
      <c r="D3391" t="s">
        <v>522</v>
      </c>
      <c r="E3391" t="s">
        <v>523</v>
      </c>
      <c r="F3391" t="s">
        <v>35</v>
      </c>
      <c r="G3391" t="s">
        <v>35</v>
      </c>
      <c r="H3391" t="s">
        <v>35</v>
      </c>
      <c r="J3391" t="s">
        <v>3960</v>
      </c>
      <c r="K3391" t="s">
        <v>1092</v>
      </c>
      <c r="M3391">
        <v>0.27</v>
      </c>
      <c r="N3391">
        <v>89</v>
      </c>
      <c r="O3391" t="s">
        <v>61</v>
      </c>
      <c r="Q3391" t="s">
        <v>299</v>
      </c>
      <c r="R3391" t="s">
        <v>548</v>
      </c>
      <c r="S3391" t="s">
        <v>524</v>
      </c>
    </row>
    <row r="3392" spans="1:19" x14ac:dyDescent="0.25">
      <c r="A3392" t="s">
        <v>44</v>
      </c>
      <c r="B3392" t="s">
        <v>51</v>
      </c>
      <c r="C3392" t="s">
        <v>32</v>
      </c>
      <c r="D3392" t="s">
        <v>522</v>
      </c>
      <c r="E3392" t="s">
        <v>523</v>
      </c>
      <c r="F3392" t="s">
        <v>35</v>
      </c>
      <c r="G3392" t="s">
        <v>35</v>
      </c>
      <c r="H3392" t="s">
        <v>35</v>
      </c>
      <c r="J3392" t="s">
        <v>3960</v>
      </c>
      <c r="K3392" t="s">
        <v>1092</v>
      </c>
      <c r="M3392">
        <v>0.75</v>
      </c>
      <c r="N3392">
        <v>72</v>
      </c>
      <c r="O3392" t="s">
        <v>61</v>
      </c>
      <c r="Q3392" t="s">
        <v>63</v>
      </c>
      <c r="R3392" t="s">
        <v>548</v>
      </c>
      <c r="S3392" t="s">
        <v>524</v>
      </c>
    </row>
    <row r="3393" spans="1:19" x14ac:dyDescent="0.25">
      <c r="A3393" t="s">
        <v>44</v>
      </c>
      <c r="B3393" t="s">
        <v>51</v>
      </c>
      <c r="C3393" t="s">
        <v>32</v>
      </c>
      <c r="D3393" t="s">
        <v>522</v>
      </c>
      <c r="E3393" t="s">
        <v>523</v>
      </c>
      <c r="F3393" t="s">
        <v>35</v>
      </c>
      <c r="G3393" t="s">
        <v>35</v>
      </c>
      <c r="H3393" t="s">
        <v>35</v>
      </c>
      <c r="J3393" t="s">
        <v>3960</v>
      </c>
      <c r="K3393" t="s">
        <v>1092</v>
      </c>
      <c r="M3393">
        <v>0.75</v>
      </c>
      <c r="N3393">
        <v>80</v>
      </c>
      <c r="O3393" t="s">
        <v>61</v>
      </c>
      <c r="Q3393" t="s">
        <v>477</v>
      </c>
      <c r="R3393" t="s">
        <v>548</v>
      </c>
      <c r="S3393" t="s">
        <v>524</v>
      </c>
    </row>
    <row r="3394" spans="1:19" x14ac:dyDescent="0.25">
      <c r="A3394" t="s">
        <v>59</v>
      </c>
      <c r="B3394" t="s">
        <v>60</v>
      </c>
      <c r="C3394" t="s">
        <v>32</v>
      </c>
      <c r="D3394" t="s">
        <v>522</v>
      </c>
      <c r="E3394" t="s">
        <v>523</v>
      </c>
      <c r="F3394" t="s">
        <v>35</v>
      </c>
      <c r="G3394" t="s">
        <v>35</v>
      </c>
      <c r="H3394" t="s">
        <v>35</v>
      </c>
      <c r="J3394" t="s">
        <v>3960</v>
      </c>
      <c r="K3394" t="s">
        <v>1092</v>
      </c>
      <c r="M3394">
        <v>0.75</v>
      </c>
      <c r="N3394">
        <v>89</v>
      </c>
      <c r="O3394" t="s">
        <v>61</v>
      </c>
      <c r="Q3394" t="s">
        <v>299</v>
      </c>
      <c r="R3394" t="s">
        <v>548</v>
      </c>
      <c r="S3394" t="s">
        <v>524</v>
      </c>
    </row>
    <row r="3395" spans="1:19" x14ac:dyDescent="0.25">
      <c r="A3395" t="s">
        <v>30</v>
      </c>
      <c r="B3395" t="s">
        <v>31</v>
      </c>
      <c r="C3395" t="s">
        <v>32</v>
      </c>
      <c r="D3395" t="s">
        <v>522</v>
      </c>
      <c r="E3395" t="s">
        <v>523</v>
      </c>
      <c r="F3395" t="s">
        <v>35</v>
      </c>
      <c r="G3395" t="s">
        <v>35</v>
      </c>
      <c r="H3395" t="s">
        <v>35</v>
      </c>
      <c r="J3395" t="s">
        <v>3961</v>
      </c>
      <c r="K3395" t="s">
        <v>1092</v>
      </c>
      <c r="M3395">
        <v>8.6850000000000005</v>
      </c>
      <c r="N3395">
        <v>71</v>
      </c>
      <c r="O3395" t="s">
        <v>61</v>
      </c>
      <c r="Q3395" t="s">
        <v>102</v>
      </c>
      <c r="R3395" t="s">
        <v>538</v>
      </c>
      <c r="S3395" t="s">
        <v>539</v>
      </c>
    </row>
    <row r="3396" spans="1:19" x14ac:dyDescent="0.25">
      <c r="A3396" t="s">
        <v>59</v>
      </c>
      <c r="B3396" t="s">
        <v>31</v>
      </c>
      <c r="C3396" t="s">
        <v>32</v>
      </c>
      <c r="D3396" t="s">
        <v>522</v>
      </c>
      <c r="E3396" t="s">
        <v>523</v>
      </c>
      <c r="F3396" t="s">
        <v>35</v>
      </c>
      <c r="G3396" t="s">
        <v>35</v>
      </c>
      <c r="H3396" t="s">
        <v>35</v>
      </c>
      <c r="J3396" t="s">
        <v>3962</v>
      </c>
      <c r="K3396" t="s">
        <v>1092</v>
      </c>
      <c r="M3396">
        <v>1.8</v>
      </c>
      <c r="N3396">
        <v>69</v>
      </c>
      <c r="O3396" t="s">
        <v>61</v>
      </c>
      <c r="Q3396" t="s">
        <v>139</v>
      </c>
      <c r="R3396" t="s">
        <v>548</v>
      </c>
      <c r="S3396" t="s">
        <v>524</v>
      </c>
    </row>
    <row r="3397" spans="1:19" x14ac:dyDescent="0.25">
      <c r="A3397" t="s">
        <v>30</v>
      </c>
      <c r="B3397" t="s">
        <v>31</v>
      </c>
      <c r="C3397" t="s">
        <v>32</v>
      </c>
      <c r="D3397" t="s">
        <v>522</v>
      </c>
      <c r="E3397" t="s">
        <v>523</v>
      </c>
      <c r="F3397" t="s">
        <v>35</v>
      </c>
      <c r="G3397" t="s">
        <v>35</v>
      </c>
      <c r="H3397" t="s">
        <v>35</v>
      </c>
      <c r="J3397" t="s">
        <v>3962</v>
      </c>
      <c r="K3397" t="s">
        <v>1092</v>
      </c>
      <c r="M3397">
        <v>4.4999999999999998E-2</v>
      </c>
      <c r="N3397">
        <v>55</v>
      </c>
      <c r="O3397" t="s">
        <v>52</v>
      </c>
      <c r="Q3397" t="s">
        <v>518</v>
      </c>
      <c r="R3397" t="s">
        <v>548</v>
      </c>
      <c r="S3397" t="s">
        <v>524</v>
      </c>
    </row>
    <row r="3398" spans="1:19" x14ac:dyDescent="0.25">
      <c r="A3398" t="s">
        <v>59</v>
      </c>
      <c r="B3398" t="s">
        <v>31</v>
      </c>
      <c r="C3398" t="s">
        <v>32</v>
      </c>
      <c r="D3398" t="s">
        <v>522</v>
      </c>
      <c r="E3398" t="s">
        <v>523</v>
      </c>
      <c r="F3398" t="s">
        <v>35</v>
      </c>
      <c r="G3398" t="s">
        <v>35</v>
      </c>
      <c r="H3398" t="s">
        <v>35</v>
      </c>
      <c r="J3398" t="s">
        <v>3962</v>
      </c>
      <c r="K3398" t="s">
        <v>1092</v>
      </c>
      <c r="M3398">
        <v>0.45</v>
      </c>
      <c r="N3398">
        <v>72</v>
      </c>
      <c r="O3398" t="s">
        <v>61</v>
      </c>
      <c r="Q3398" t="s">
        <v>63</v>
      </c>
      <c r="R3398" t="s">
        <v>548</v>
      </c>
      <c r="S3398" t="s">
        <v>524</v>
      </c>
    </row>
    <row r="3399" spans="1:19" x14ac:dyDescent="0.25">
      <c r="A3399" t="s">
        <v>30</v>
      </c>
      <c r="B3399" t="s">
        <v>31</v>
      </c>
      <c r="C3399" t="s">
        <v>32</v>
      </c>
      <c r="D3399" t="s">
        <v>522</v>
      </c>
      <c r="E3399" t="s">
        <v>523</v>
      </c>
      <c r="F3399" t="s">
        <v>35</v>
      </c>
      <c r="G3399" t="s">
        <v>35</v>
      </c>
      <c r="H3399" t="s">
        <v>35</v>
      </c>
      <c r="J3399" t="s">
        <v>3962</v>
      </c>
      <c r="K3399" t="s">
        <v>1092</v>
      </c>
      <c r="M3399">
        <v>1.3049999999999999</v>
      </c>
      <c r="N3399">
        <v>32</v>
      </c>
      <c r="O3399" t="s">
        <v>52</v>
      </c>
      <c r="Q3399" t="s">
        <v>547</v>
      </c>
      <c r="R3399" t="s">
        <v>548</v>
      </c>
      <c r="S3399" t="s">
        <v>524</v>
      </c>
    </row>
    <row r="3400" spans="1:19" x14ac:dyDescent="0.25">
      <c r="A3400" t="s">
        <v>30</v>
      </c>
      <c r="B3400" t="s">
        <v>31</v>
      </c>
      <c r="C3400" t="s">
        <v>32</v>
      </c>
      <c r="D3400" t="s">
        <v>522</v>
      </c>
      <c r="E3400" t="s">
        <v>523</v>
      </c>
      <c r="F3400" t="s">
        <v>35</v>
      </c>
      <c r="G3400" t="s">
        <v>35</v>
      </c>
      <c r="H3400" t="s">
        <v>35</v>
      </c>
      <c r="J3400" t="s">
        <v>3963</v>
      </c>
      <c r="K3400" t="s">
        <v>1092</v>
      </c>
      <c r="M3400">
        <v>2.7</v>
      </c>
      <c r="N3400">
        <v>45</v>
      </c>
      <c r="O3400" t="s">
        <v>52</v>
      </c>
      <c r="Q3400" t="s">
        <v>716</v>
      </c>
      <c r="R3400" t="s">
        <v>548</v>
      </c>
      <c r="S3400" t="s">
        <v>524</v>
      </c>
    </row>
    <row r="3401" spans="1:19" x14ac:dyDescent="0.25">
      <c r="A3401" t="s">
        <v>59</v>
      </c>
      <c r="B3401" t="s">
        <v>60</v>
      </c>
      <c r="C3401" t="s">
        <v>32</v>
      </c>
      <c r="D3401" t="s">
        <v>522</v>
      </c>
      <c r="E3401" t="s">
        <v>523</v>
      </c>
      <c r="F3401" t="s">
        <v>35</v>
      </c>
      <c r="G3401" t="s">
        <v>35</v>
      </c>
      <c r="H3401" t="s">
        <v>35</v>
      </c>
      <c r="J3401" t="s">
        <v>3964</v>
      </c>
      <c r="K3401" t="s">
        <v>1092</v>
      </c>
      <c r="M3401">
        <v>2.4500000000000002</v>
      </c>
      <c r="N3401">
        <v>138</v>
      </c>
      <c r="O3401" t="s">
        <v>38</v>
      </c>
      <c r="Q3401" t="s">
        <v>542</v>
      </c>
      <c r="R3401" t="s">
        <v>538</v>
      </c>
      <c r="S3401" t="s">
        <v>539</v>
      </c>
    </row>
    <row r="3402" spans="1:19" x14ac:dyDescent="0.25">
      <c r="A3402" t="s">
        <v>44</v>
      </c>
      <c r="B3402" t="s">
        <v>51</v>
      </c>
      <c r="C3402" t="s">
        <v>32</v>
      </c>
      <c r="D3402" t="s">
        <v>522</v>
      </c>
      <c r="E3402" t="s">
        <v>523</v>
      </c>
      <c r="F3402" t="s">
        <v>35</v>
      </c>
      <c r="G3402" t="s">
        <v>35</v>
      </c>
      <c r="H3402" t="s">
        <v>35</v>
      </c>
      <c r="J3402" t="s">
        <v>3964</v>
      </c>
      <c r="K3402" t="s">
        <v>1092</v>
      </c>
      <c r="M3402">
        <v>9.25</v>
      </c>
      <c r="N3402">
        <v>72</v>
      </c>
      <c r="O3402" t="s">
        <v>61</v>
      </c>
      <c r="Q3402" t="s">
        <v>63</v>
      </c>
      <c r="R3402" t="s">
        <v>548</v>
      </c>
      <c r="S3402" t="s">
        <v>524</v>
      </c>
    </row>
    <row r="3403" spans="1:19" x14ac:dyDescent="0.25">
      <c r="A3403" t="s">
        <v>30</v>
      </c>
      <c r="B3403" t="s">
        <v>31</v>
      </c>
      <c r="C3403" t="s">
        <v>32</v>
      </c>
      <c r="D3403" t="s">
        <v>522</v>
      </c>
      <c r="E3403" t="s">
        <v>523</v>
      </c>
      <c r="F3403" t="s">
        <v>35</v>
      </c>
      <c r="G3403" t="s">
        <v>35</v>
      </c>
      <c r="H3403" t="s">
        <v>35</v>
      </c>
      <c r="J3403" t="s">
        <v>3965</v>
      </c>
      <c r="K3403" t="s">
        <v>1092</v>
      </c>
      <c r="M3403">
        <v>3.06</v>
      </c>
      <c r="N3403">
        <v>94</v>
      </c>
      <c r="O3403" t="s">
        <v>106</v>
      </c>
      <c r="Q3403" t="s">
        <v>394</v>
      </c>
      <c r="R3403" t="s">
        <v>538</v>
      </c>
      <c r="S3403" t="s">
        <v>539</v>
      </c>
    </row>
    <row r="3404" spans="1:19" x14ac:dyDescent="0.25">
      <c r="A3404" t="s">
        <v>59</v>
      </c>
      <c r="B3404" t="s">
        <v>31</v>
      </c>
      <c r="C3404" t="s">
        <v>32</v>
      </c>
      <c r="D3404" t="s">
        <v>522</v>
      </c>
      <c r="E3404" t="s">
        <v>523</v>
      </c>
      <c r="F3404" t="s">
        <v>35</v>
      </c>
      <c r="G3404" t="s">
        <v>35</v>
      </c>
      <c r="H3404" t="s">
        <v>35</v>
      </c>
      <c r="J3404" t="s">
        <v>3966</v>
      </c>
      <c r="K3404" t="s">
        <v>1092</v>
      </c>
      <c r="M3404">
        <v>1.35</v>
      </c>
      <c r="N3404">
        <v>67</v>
      </c>
      <c r="O3404" t="s">
        <v>61</v>
      </c>
      <c r="Q3404" t="s">
        <v>1311</v>
      </c>
      <c r="R3404" t="s">
        <v>548</v>
      </c>
      <c r="S3404" t="s">
        <v>524</v>
      </c>
    </row>
    <row r="3405" spans="1:19" x14ac:dyDescent="0.25">
      <c r="A3405" t="s">
        <v>59</v>
      </c>
      <c r="B3405" t="s">
        <v>60</v>
      </c>
      <c r="C3405" t="s">
        <v>32</v>
      </c>
      <c r="D3405" t="s">
        <v>522</v>
      </c>
      <c r="E3405" t="s">
        <v>523</v>
      </c>
      <c r="F3405" t="s">
        <v>35</v>
      </c>
      <c r="G3405" t="s">
        <v>35</v>
      </c>
      <c r="H3405" t="s">
        <v>35</v>
      </c>
      <c r="J3405" t="s">
        <v>3966</v>
      </c>
      <c r="K3405" t="s">
        <v>1092</v>
      </c>
      <c r="M3405">
        <v>0.25</v>
      </c>
      <c r="N3405">
        <v>55</v>
      </c>
      <c r="O3405" t="s">
        <v>52</v>
      </c>
      <c r="Q3405" t="s">
        <v>518</v>
      </c>
      <c r="R3405" t="s">
        <v>548</v>
      </c>
      <c r="S3405" t="s">
        <v>524</v>
      </c>
    </row>
    <row r="3406" spans="1:19" x14ac:dyDescent="0.25">
      <c r="A3406" t="s">
        <v>59</v>
      </c>
      <c r="B3406" t="s">
        <v>60</v>
      </c>
      <c r="C3406" t="s">
        <v>32</v>
      </c>
      <c r="D3406" t="s">
        <v>522</v>
      </c>
      <c r="E3406" t="s">
        <v>523</v>
      </c>
      <c r="F3406" t="s">
        <v>35</v>
      </c>
      <c r="G3406" t="s">
        <v>35</v>
      </c>
      <c r="H3406" t="s">
        <v>35</v>
      </c>
      <c r="J3406" t="s">
        <v>3966</v>
      </c>
      <c r="K3406" t="s">
        <v>1092</v>
      </c>
      <c r="M3406">
        <v>0.15</v>
      </c>
      <c r="N3406">
        <v>33</v>
      </c>
      <c r="O3406" t="s">
        <v>52</v>
      </c>
      <c r="Q3406" t="s">
        <v>137</v>
      </c>
      <c r="R3406" t="s">
        <v>548</v>
      </c>
      <c r="S3406" t="s">
        <v>524</v>
      </c>
    </row>
    <row r="3407" spans="1:19" x14ac:dyDescent="0.25">
      <c r="A3407" t="s">
        <v>59</v>
      </c>
      <c r="B3407" t="s">
        <v>31</v>
      </c>
      <c r="C3407" t="s">
        <v>32</v>
      </c>
      <c r="D3407" t="s">
        <v>522</v>
      </c>
      <c r="E3407" t="s">
        <v>523</v>
      </c>
      <c r="F3407" t="s">
        <v>35</v>
      </c>
      <c r="G3407" t="s">
        <v>35</v>
      </c>
      <c r="H3407" t="s">
        <v>35</v>
      </c>
      <c r="J3407" t="s">
        <v>3533</v>
      </c>
      <c r="K3407" t="s">
        <v>1092</v>
      </c>
      <c r="M3407">
        <v>0.67500000000000004</v>
      </c>
      <c r="N3407">
        <v>69</v>
      </c>
      <c r="O3407" t="s">
        <v>61</v>
      </c>
      <c r="Q3407" t="s">
        <v>139</v>
      </c>
      <c r="R3407" t="s">
        <v>548</v>
      </c>
      <c r="S3407" t="s">
        <v>524</v>
      </c>
    </row>
    <row r="3408" spans="1:19" x14ac:dyDescent="0.25">
      <c r="A3408" t="s">
        <v>59</v>
      </c>
      <c r="B3408" t="s">
        <v>60</v>
      </c>
      <c r="C3408" t="s">
        <v>32</v>
      </c>
      <c r="D3408" t="s">
        <v>522</v>
      </c>
      <c r="E3408" t="s">
        <v>523</v>
      </c>
      <c r="F3408" t="s">
        <v>35</v>
      </c>
      <c r="G3408" t="s">
        <v>35</v>
      </c>
      <c r="H3408" t="s">
        <v>35</v>
      </c>
      <c r="J3408" t="s">
        <v>3533</v>
      </c>
      <c r="K3408" t="s">
        <v>1092</v>
      </c>
      <c r="M3408">
        <v>1</v>
      </c>
      <c r="N3408">
        <v>32</v>
      </c>
      <c r="O3408" t="s">
        <v>52</v>
      </c>
      <c r="Q3408" t="s">
        <v>547</v>
      </c>
      <c r="R3408" t="s">
        <v>548</v>
      </c>
      <c r="S3408" t="s">
        <v>524</v>
      </c>
    </row>
    <row r="3409" spans="1:19" x14ac:dyDescent="0.25">
      <c r="A3409" t="s">
        <v>30</v>
      </c>
      <c r="B3409" t="s">
        <v>31</v>
      </c>
      <c r="C3409" t="s">
        <v>32</v>
      </c>
      <c r="D3409" t="s">
        <v>522</v>
      </c>
      <c r="E3409" t="s">
        <v>523</v>
      </c>
      <c r="F3409" t="s">
        <v>35</v>
      </c>
      <c r="G3409" t="s">
        <v>35</v>
      </c>
      <c r="H3409" t="s">
        <v>35</v>
      </c>
      <c r="J3409" t="s">
        <v>3533</v>
      </c>
      <c r="K3409" t="s">
        <v>1092</v>
      </c>
      <c r="M3409">
        <v>3.5999999999999997E-2</v>
      </c>
      <c r="N3409">
        <v>165</v>
      </c>
      <c r="O3409" t="s">
        <v>38</v>
      </c>
      <c r="Q3409" t="s">
        <v>1548</v>
      </c>
      <c r="R3409" t="s">
        <v>548</v>
      </c>
      <c r="S3409" t="s">
        <v>524</v>
      </c>
    </row>
    <row r="3410" spans="1:19" x14ac:dyDescent="0.25">
      <c r="A3410" t="s">
        <v>59</v>
      </c>
      <c r="B3410" t="s">
        <v>60</v>
      </c>
      <c r="C3410" t="s">
        <v>32</v>
      </c>
      <c r="D3410" t="s">
        <v>522</v>
      </c>
      <c r="E3410" t="s">
        <v>523</v>
      </c>
      <c r="F3410" t="s">
        <v>35</v>
      </c>
      <c r="G3410" t="s">
        <v>35</v>
      </c>
      <c r="H3410" t="s">
        <v>35</v>
      </c>
      <c r="J3410" t="s">
        <v>3533</v>
      </c>
      <c r="K3410" t="s">
        <v>1092</v>
      </c>
      <c r="M3410">
        <v>0.35</v>
      </c>
      <c r="N3410">
        <v>55</v>
      </c>
      <c r="O3410" t="s">
        <v>52</v>
      </c>
      <c r="Q3410" t="s">
        <v>518</v>
      </c>
      <c r="R3410" t="s">
        <v>548</v>
      </c>
      <c r="S3410" t="s">
        <v>524</v>
      </c>
    </row>
    <row r="3411" spans="1:19" x14ac:dyDescent="0.25">
      <c r="A3411" t="s">
        <v>30</v>
      </c>
      <c r="B3411" t="s">
        <v>31</v>
      </c>
      <c r="C3411" t="s">
        <v>32</v>
      </c>
      <c r="D3411" t="s">
        <v>522</v>
      </c>
      <c r="E3411" t="s">
        <v>523</v>
      </c>
      <c r="F3411" t="s">
        <v>35</v>
      </c>
      <c r="G3411" t="s">
        <v>35</v>
      </c>
      <c r="H3411" t="s">
        <v>35</v>
      </c>
      <c r="J3411" t="s">
        <v>3967</v>
      </c>
      <c r="K3411" t="s">
        <v>1092</v>
      </c>
      <c r="M3411">
        <v>2.0249999999999999</v>
      </c>
      <c r="N3411">
        <v>33</v>
      </c>
      <c r="O3411" t="s">
        <v>52</v>
      </c>
      <c r="Q3411" t="s">
        <v>137</v>
      </c>
      <c r="R3411" t="s">
        <v>548</v>
      </c>
      <c r="S3411" t="s">
        <v>524</v>
      </c>
    </row>
    <row r="3412" spans="1:19" x14ac:dyDescent="0.25">
      <c r="A3412" t="s">
        <v>44</v>
      </c>
      <c r="B3412" t="s">
        <v>51</v>
      </c>
      <c r="C3412" t="s">
        <v>32</v>
      </c>
      <c r="D3412" t="s">
        <v>522</v>
      </c>
      <c r="E3412" t="s">
        <v>523</v>
      </c>
      <c r="F3412" t="s">
        <v>35</v>
      </c>
      <c r="G3412" t="s">
        <v>35</v>
      </c>
      <c r="H3412" t="s">
        <v>35</v>
      </c>
      <c r="J3412" t="s">
        <v>3967</v>
      </c>
      <c r="K3412" t="s">
        <v>1092</v>
      </c>
      <c r="M3412">
        <v>0.25</v>
      </c>
      <c r="N3412">
        <v>72</v>
      </c>
      <c r="O3412" t="s">
        <v>61</v>
      </c>
      <c r="Q3412" t="s">
        <v>63</v>
      </c>
      <c r="R3412" t="s">
        <v>548</v>
      </c>
      <c r="S3412" t="s">
        <v>524</v>
      </c>
    </row>
    <row r="3413" spans="1:19" x14ac:dyDescent="0.25">
      <c r="A3413" t="s">
        <v>44</v>
      </c>
      <c r="B3413" t="s">
        <v>51</v>
      </c>
      <c r="C3413" t="s">
        <v>32</v>
      </c>
      <c r="D3413" t="s">
        <v>522</v>
      </c>
      <c r="E3413" t="s">
        <v>523</v>
      </c>
      <c r="F3413" t="s">
        <v>35</v>
      </c>
      <c r="G3413" t="s">
        <v>35</v>
      </c>
      <c r="H3413" t="s">
        <v>35</v>
      </c>
      <c r="J3413" t="s">
        <v>3967</v>
      </c>
      <c r="K3413" t="s">
        <v>1092</v>
      </c>
      <c r="M3413">
        <v>0.5</v>
      </c>
      <c r="N3413">
        <v>80</v>
      </c>
      <c r="O3413" t="s">
        <v>61</v>
      </c>
      <c r="Q3413" t="s">
        <v>477</v>
      </c>
      <c r="R3413" t="s">
        <v>548</v>
      </c>
      <c r="S3413" t="s">
        <v>524</v>
      </c>
    </row>
    <row r="3414" spans="1:19" x14ac:dyDescent="0.25">
      <c r="A3414" t="s">
        <v>30</v>
      </c>
      <c r="B3414" t="s">
        <v>31</v>
      </c>
      <c r="C3414" t="s">
        <v>32</v>
      </c>
      <c r="D3414" t="s">
        <v>522</v>
      </c>
      <c r="E3414" t="s">
        <v>523</v>
      </c>
      <c r="F3414" t="s">
        <v>35</v>
      </c>
      <c r="G3414" t="s">
        <v>35</v>
      </c>
      <c r="H3414" t="s">
        <v>35</v>
      </c>
      <c r="J3414" t="s">
        <v>3967</v>
      </c>
      <c r="K3414" t="s">
        <v>1092</v>
      </c>
      <c r="M3414">
        <v>3.43</v>
      </c>
      <c r="N3414">
        <v>45</v>
      </c>
      <c r="O3414" t="s">
        <v>52</v>
      </c>
      <c r="Q3414" t="s">
        <v>716</v>
      </c>
      <c r="R3414" t="s">
        <v>548</v>
      </c>
      <c r="S3414" t="s">
        <v>524</v>
      </c>
    </row>
    <row r="3415" spans="1:19" x14ac:dyDescent="0.25">
      <c r="A3415" t="s">
        <v>44</v>
      </c>
      <c r="B3415" t="s">
        <v>51</v>
      </c>
      <c r="C3415" t="s">
        <v>32</v>
      </c>
      <c r="D3415" t="s">
        <v>522</v>
      </c>
      <c r="E3415" t="s">
        <v>523</v>
      </c>
      <c r="F3415" t="s">
        <v>35</v>
      </c>
      <c r="G3415" t="s">
        <v>35</v>
      </c>
      <c r="H3415" t="s">
        <v>35</v>
      </c>
      <c r="J3415" t="s">
        <v>3967</v>
      </c>
      <c r="K3415" t="s">
        <v>1092</v>
      </c>
      <c r="M3415">
        <v>1</v>
      </c>
      <c r="N3415">
        <v>55</v>
      </c>
      <c r="O3415" t="s">
        <v>52</v>
      </c>
      <c r="Q3415" t="s">
        <v>518</v>
      </c>
      <c r="R3415" t="s">
        <v>548</v>
      </c>
      <c r="S3415" t="s">
        <v>524</v>
      </c>
    </row>
    <row r="3416" spans="1:19" x14ac:dyDescent="0.25">
      <c r="A3416" t="s">
        <v>59</v>
      </c>
      <c r="B3416" t="s">
        <v>60</v>
      </c>
      <c r="C3416" t="s">
        <v>32</v>
      </c>
      <c r="D3416" t="s">
        <v>522</v>
      </c>
      <c r="E3416" t="s">
        <v>523</v>
      </c>
      <c r="F3416" t="s">
        <v>35</v>
      </c>
      <c r="G3416" t="s">
        <v>35</v>
      </c>
      <c r="H3416" t="s">
        <v>35</v>
      </c>
      <c r="J3416" t="s">
        <v>3967</v>
      </c>
      <c r="K3416" t="s">
        <v>1092</v>
      </c>
      <c r="M3416">
        <v>0.25</v>
      </c>
      <c r="N3416">
        <v>32</v>
      </c>
      <c r="O3416" t="s">
        <v>52</v>
      </c>
      <c r="Q3416" t="s">
        <v>547</v>
      </c>
      <c r="R3416" t="s">
        <v>548</v>
      </c>
      <c r="S3416" t="s">
        <v>524</v>
      </c>
    </row>
    <row r="3417" spans="1:19" x14ac:dyDescent="0.25">
      <c r="A3417" t="s">
        <v>59</v>
      </c>
      <c r="B3417" t="s">
        <v>60</v>
      </c>
      <c r="C3417" t="s">
        <v>32</v>
      </c>
      <c r="D3417" t="s">
        <v>522</v>
      </c>
      <c r="E3417" t="s">
        <v>523</v>
      </c>
      <c r="F3417" t="s">
        <v>35</v>
      </c>
      <c r="G3417" t="s">
        <v>35</v>
      </c>
      <c r="H3417" t="s">
        <v>35</v>
      </c>
      <c r="J3417" t="s">
        <v>3967</v>
      </c>
      <c r="K3417" t="s">
        <v>1092</v>
      </c>
      <c r="M3417">
        <v>0.25</v>
      </c>
      <c r="N3417">
        <v>33</v>
      </c>
      <c r="O3417" t="s">
        <v>52</v>
      </c>
      <c r="Q3417" t="s">
        <v>137</v>
      </c>
      <c r="R3417" t="s">
        <v>548</v>
      </c>
      <c r="S3417" t="s">
        <v>524</v>
      </c>
    </row>
    <row r="3418" spans="1:19" x14ac:dyDescent="0.25">
      <c r="A3418" t="s">
        <v>30</v>
      </c>
      <c r="B3418" t="s">
        <v>31</v>
      </c>
      <c r="C3418" t="s">
        <v>32</v>
      </c>
      <c r="D3418" t="s">
        <v>522</v>
      </c>
      <c r="E3418" t="s">
        <v>523</v>
      </c>
      <c r="F3418" t="s">
        <v>35</v>
      </c>
      <c r="G3418" t="s">
        <v>35</v>
      </c>
      <c r="H3418" t="s">
        <v>35</v>
      </c>
      <c r="J3418" t="s">
        <v>3968</v>
      </c>
      <c r="K3418" t="s">
        <v>1092</v>
      </c>
      <c r="M3418">
        <v>0.40500000000000003</v>
      </c>
      <c r="N3418">
        <v>49</v>
      </c>
      <c r="O3418" t="s">
        <v>52</v>
      </c>
      <c r="Q3418" t="s">
        <v>219</v>
      </c>
      <c r="R3418" t="s">
        <v>538</v>
      </c>
      <c r="S3418" t="s">
        <v>539</v>
      </c>
    </row>
    <row r="3419" spans="1:19" x14ac:dyDescent="0.25">
      <c r="A3419" t="s">
        <v>44</v>
      </c>
      <c r="B3419" t="s">
        <v>51</v>
      </c>
      <c r="C3419" t="s">
        <v>32</v>
      </c>
      <c r="D3419" t="s">
        <v>522</v>
      </c>
      <c r="E3419" t="s">
        <v>523</v>
      </c>
      <c r="F3419" t="s">
        <v>35</v>
      </c>
      <c r="G3419" t="s">
        <v>35</v>
      </c>
      <c r="H3419" t="s">
        <v>35</v>
      </c>
      <c r="J3419" t="s">
        <v>3969</v>
      </c>
      <c r="K3419" t="s">
        <v>1092</v>
      </c>
      <c r="M3419">
        <v>0.75</v>
      </c>
      <c r="N3419">
        <v>72</v>
      </c>
      <c r="O3419" t="s">
        <v>61</v>
      </c>
      <c r="Q3419" t="s">
        <v>63</v>
      </c>
      <c r="R3419" t="s">
        <v>548</v>
      </c>
      <c r="S3419" t="s">
        <v>524</v>
      </c>
    </row>
    <row r="3420" spans="1:19" x14ac:dyDescent="0.25">
      <c r="A3420" t="s">
        <v>59</v>
      </c>
      <c r="B3420" t="s">
        <v>31</v>
      </c>
      <c r="C3420" t="s">
        <v>32</v>
      </c>
      <c r="D3420" t="s">
        <v>522</v>
      </c>
      <c r="E3420" t="s">
        <v>523</v>
      </c>
      <c r="F3420" t="s">
        <v>35</v>
      </c>
      <c r="G3420" t="s">
        <v>35</v>
      </c>
      <c r="H3420" t="s">
        <v>35</v>
      </c>
      <c r="J3420" t="s">
        <v>3969</v>
      </c>
      <c r="K3420" t="s">
        <v>1092</v>
      </c>
      <c r="M3420">
        <v>1.2150000000000001</v>
      </c>
      <c r="N3420">
        <v>69</v>
      </c>
      <c r="O3420" t="s">
        <v>61</v>
      </c>
      <c r="Q3420" t="s">
        <v>139</v>
      </c>
      <c r="R3420" t="s">
        <v>548</v>
      </c>
      <c r="S3420" t="s">
        <v>524</v>
      </c>
    </row>
    <row r="3421" spans="1:19" x14ac:dyDescent="0.25">
      <c r="A3421" t="s">
        <v>44</v>
      </c>
      <c r="B3421" t="s">
        <v>51</v>
      </c>
      <c r="C3421" t="s">
        <v>32</v>
      </c>
      <c r="D3421" t="s">
        <v>522</v>
      </c>
      <c r="E3421" t="s">
        <v>523</v>
      </c>
      <c r="F3421" t="s">
        <v>35</v>
      </c>
      <c r="G3421" t="s">
        <v>35</v>
      </c>
      <c r="H3421" t="s">
        <v>35</v>
      </c>
      <c r="J3421" t="s">
        <v>3969</v>
      </c>
      <c r="K3421" t="s">
        <v>1092</v>
      </c>
      <c r="M3421">
        <v>0.5</v>
      </c>
      <c r="N3421">
        <v>55</v>
      </c>
      <c r="O3421" t="s">
        <v>52</v>
      </c>
      <c r="Q3421" t="s">
        <v>518</v>
      </c>
      <c r="R3421" t="s">
        <v>548</v>
      </c>
      <c r="S3421" t="s">
        <v>524</v>
      </c>
    </row>
    <row r="3422" spans="1:19" x14ac:dyDescent="0.25">
      <c r="A3422" t="s">
        <v>30</v>
      </c>
      <c r="B3422" t="s">
        <v>31</v>
      </c>
      <c r="C3422" t="s">
        <v>32</v>
      </c>
      <c r="D3422" t="s">
        <v>522</v>
      </c>
      <c r="E3422" t="s">
        <v>523</v>
      </c>
      <c r="F3422" t="s">
        <v>35</v>
      </c>
      <c r="G3422" t="s">
        <v>35</v>
      </c>
      <c r="H3422" t="s">
        <v>35</v>
      </c>
      <c r="J3422" t="s">
        <v>3969</v>
      </c>
      <c r="K3422" t="s">
        <v>1092</v>
      </c>
      <c r="M3422">
        <v>1.575</v>
      </c>
      <c r="N3422">
        <v>32</v>
      </c>
      <c r="O3422" t="s">
        <v>52</v>
      </c>
      <c r="Q3422" t="s">
        <v>547</v>
      </c>
      <c r="R3422" t="s">
        <v>548</v>
      </c>
      <c r="S3422" t="s">
        <v>524</v>
      </c>
    </row>
    <row r="3423" spans="1:19" x14ac:dyDescent="0.25">
      <c r="A3423" t="s">
        <v>30</v>
      </c>
      <c r="B3423" t="s">
        <v>31</v>
      </c>
      <c r="C3423" t="s">
        <v>32</v>
      </c>
      <c r="D3423" t="s">
        <v>522</v>
      </c>
      <c r="E3423" t="s">
        <v>523</v>
      </c>
      <c r="F3423" t="s">
        <v>35</v>
      </c>
      <c r="G3423" t="s">
        <v>35</v>
      </c>
      <c r="H3423" t="s">
        <v>35</v>
      </c>
      <c r="J3423" t="s">
        <v>3969</v>
      </c>
      <c r="K3423" t="s">
        <v>1092</v>
      </c>
      <c r="M3423">
        <v>2.0249999999999999</v>
      </c>
      <c r="N3423">
        <v>14</v>
      </c>
      <c r="O3423" t="s">
        <v>46</v>
      </c>
      <c r="Q3423" t="s">
        <v>2440</v>
      </c>
      <c r="R3423" t="s">
        <v>548</v>
      </c>
      <c r="S3423" t="s">
        <v>524</v>
      </c>
    </row>
    <row r="3424" spans="1:19" x14ac:dyDescent="0.25">
      <c r="A3424" t="s">
        <v>44</v>
      </c>
      <c r="B3424" t="s">
        <v>51</v>
      </c>
      <c r="C3424" t="s">
        <v>32</v>
      </c>
      <c r="D3424" t="s">
        <v>522</v>
      </c>
      <c r="E3424" t="s">
        <v>523</v>
      </c>
      <c r="F3424" t="s">
        <v>35</v>
      </c>
      <c r="G3424" t="s">
        <v>35</v>
      </c>
      <c r="H3424" t="s">
        <v>35</v>
      </c>
      <c r="J3424" t="s">
        <v>3969</v>
      </c>
      <c r="K3424" t="s">
        <v>1092</v>
      </c>
      <c r="M3424">
        <v>0.75</v>
      </c>
      <c r="N3424">
        <v>69</v>
      </c>
      <c r="O3424" t="s">
        <v>61</v>
      </c>
      <c r="Q3424" t="s">
        <v>139</v>
      </c>
      <c r="R3424" t="s">
        <v>548</v>
      </c>
      <c r="S3424" t="s">
        <v>524</v>
      </c>
    </row>
    <row r="3425" spans="1:19" x14ac:dyDescent="0.25">
      <c r="A3425" t="s">
        <v>44</v>
      </c>
      <c r="B3425" t="s">
        <v>51</v>
      </c>
      <c r="C3425" t="s">
        <v>32</v>
      </c>
      <c r="D3425" t="s">
        <v>522</v>
      </c>
      <c r="E3425" t="s">
        <v>523</v>
      </c>
      <c r="F3425" t="s">
        <v>35</v>
      </c>
      <c r="G3425" t="s">
        <v>35</v>
      </c>
      <c r="H3425" t="s">
        <v>35</v>
      </c>
      <c r="J3425" t="s">
        <v>3970</v>
      </c>
      <c r="K3425" t="s">
        <v>1092</v>
      </c>
      <c r="M3425">
        <v>0.25</v>
      </c>
      <c r="N3425">
        <v>55</v>
      </c>
      <c r="O3425" t="s">
        <v>52</v>
      </c>
      <c r="Q3425" t="s">
        <v>518</v>
      </c>
      <c r="R3425" t="s">
        <v>548</v>
      </c>
      <c r="S3425" t="s">
        <v>524</v>
      </c>
    </row>
    <row r="3426" spans="1:19" x14ac:dyDescent="0.25">
      <c r="A3426" t="s">
        <v>30</v>
      </c>
      <c r="B3426" t="s">
        <v>31</v>
      </c>
      <c r="C3426" t="s">
        <v>32</v>
      </c>
      <c r="D3426" t="s">
        <v>522</v>
      </c>
      <c r="E3426" t="s">
        <v>523</v>
      </c>
      <c r="F3426" t="s">
        <v>35</v>
      </c>
      <c r="G3426" t="s">
        <v>35</v>
      </c>
      <c r="H3426" t="s">
        <v>35</v>
      </c>
      <c r="J3426" t="s">
        <v>3970</v>
      </c>
      <c r="K3426" t="s">
        <v>1092</v>
      </c>
      <c r="M3426">
        <v>1.35</v>
      </c>
      <c r="N3426">
        <v>32</v>
      </c>
      <c r="O3426" t="s">
        <v>52</v>
      </c>
      <c r="Q3426" t="s">
        <v>547</v>
      </c>
      <c r="R3426" t="s">
        <v>548</v>
      </c>
      <c r="S3426" t="s">
        <v>524</v>
      </c>
    </row>
    <row r="3427" spans="1:19" x14ac:dyDescent="0.25">
      <c r="A3427" t="s">
        <v>30</v>
      </c>
      <c r="B3427" t="s">
        <v>31</v>
      </c>
      <c r="C3427" t="s">
        <v>32</v>
      </c>
      <c r="D3427" t="s">
        <v>522</v>
      </c>
      <c r="E3427" t="s">
        <v>523</v>
      </c>
      <c r="F3427" t="s">
        <v>35</v>
      </c>
      <c r="G3427" t="s">
        <v>35</v>
      </c>
      <c r="H3427" t="s">
        <v>35</v>
      </c>
      <c r="J3427" t="s">
        <v>3970</v>
      </c>
      <c r="K3427" t="s">
        <v>1092</v>
      </c>
      <c r="M3427">
        <v>0.72</v>
      </c>
      <c r="N3427">
        <v>14</v>
      </c>
      <c r="O3427" t="s">
        <v>46</v>
      </c>
      <c r="Q3427" t="s">
        <v>2440</v>
      </c>
      <c r="R3427" t="s">
        <v>548</v>
      </c>
      <c r="S3427" t="s">
        <v>524</v>
      </c>
    </row>
    <row r="3428" spans="1:19" x14ac:dyDescent="0.25">
      <c r="A3428" t="s">
        <v>30</v>
      </c>
      <c r="B3428" t="s">
        <v>31</v>
      </c>
      <c r="C3428" t="s">
        <v>32</v>
      </c>
      <c r="D3428" t="s">
        <v>522</v>
      </c>
      <c r="E3428" t="s">
        <v>523</v>
      </c>
      <c r="F3428" t="s">
        <v>35</v>
      </c>
      <c r="G3428" t="s">
        <v>35</v>
      </c>
      <c r="H3428" t="s">
        <v>35</v>
      </c>
      <c r="J3428" t="s">
        <v>3971</v>
      </c>
      <c r="K3428" t="s">
        <v>1092</v>
      </c>
      <c r="M3428">
        <v>0.27</v>
      </c>
      <c r="N3428">
        <v>13</v>
      </c>
      <c r="O3428" t="s">
        <v>46</v>
      </c>
      <c r="Q3428" t="s">
        <v>310</v>
      </c>
      <c r="R3428" t="s">
        <v>548</v>
      </c>
      <c r="S3428" t="s">
        <v>524</v>
      </c>
    </row>
    <row r="3429" spans="1:19" x14ac:dyDescent="0.25">
      <c r="A3429" t="s">
        <v>30</v>
      </c>
      <c r="B3429" t="s">
        <v>31</v>
      </c>
      <c r="C3429" t="s">
        <v>32</v>
      </c>
      <c r="D3429" t="s">
        <v>522</v>
      </c>
      <c r="E3429" t="s">
        <v>523</v>
      </c>
      <c r="F3429" t="s">
        <v>35</v>
      </c>
      <c r="G3429" t="s">
        <v>35</v>
      </c>
      <c r="H3429" t="s">
        <v>35</v>
      </c>
      <c r="J3429" t="s">
        <v>3972</v>
      </c>
      <c r="K3429" t="s">
        <v>1092</v>
      </c>
      <c r="M3429">
        <v>2.2050000000000001</v>
      </c>
      <c r="N3429">
        <v>71</v>
      </c>
      <c r="O3429" t="s">
        <v>61</v>
      </c>
      <c r="Q3429" t="s">
        <v>102</v>
      </c>
      <c r="R3429" t="s">
        <v>538</v>
      </c>
      <c r="S3429" t="s">
        <v>539</v>
      </c>
    </row>
    <row r="3430" spans="1:19" x14ac:dyDescent="0.25">
      <c r="A3430" t="s">
        <v>30</v>
      </c>
      <c r="B3430" t="s">
        <v>31</v>
      </c>
      <c r="C3430" t="s">
        <v>32</v>
      </c>
      <c r="D3430" t="s">
        <v>522</v>
      </c>
      <c r="E3430" t="s">
        <v>523</v>
      </c>
      <c r="F3430" t="s">
        <v>35</v>
      </c>
      <c r="G3430" t="s">
        <v>35</v>
      </c>
      <c r="H3430" t="s">
        <v>35</v>
      </c>
      <c r="J3430" t="s">
        <v>3973</v>
      </c>
      <c r="K3430" t="s">
        <v>1092</v>
      </c>
      <c r="M3430">
        <v>2.4750000000000001</v>
      </c>
      <c r="N3430">
        <v>49</v>
      </c>
      <c r="O3430" t="s">
        <v>52</v>
      </c>
      <c r="Q3430" t="s">
        <v>219</v>
      </c>
      <c r="R3430" t="s">
        <v>538</v>
      </c>
      <c r="S3430" t="s">
        <v>539</v>
      </c>
    </row>
    <row r="3431" spans="1:19" x14ac:dyDescent="0.25">
      <c r="A3431" t="s">
        <v>44</v>
      </c>
      <c r="B3431" t="s">
        <v>51</v>
      </c>
      <c r="C3431" t="s">
        <v>32</v>
      </c>
      <c r="D3431" t="s">
        <v>522</v>
      </c>
      <c r="E3431" t="s">
        <v>523</v>
      </c>
      <c r="F3431" t="s">
        <v>35</v>
      </c>
      <c r="G3431" t="s">
        <v>35</v>
      </c>
      <c r="H3431" t="s">
        <v>35</v>
      </c>
      <c r="J3431" t="s">
        <v>3973</v>
      </c>
      <c r="K3431" t="s">
        <v>1092</v>
      </c>
      <c r="M3431">
        <v>6.5</v>
      </c>
      <c r="N3431">
        <v>49</v>
      </c>
      <c r="O3431" t="s">
        <v>52</v>
      </c>
      <c r="Q3431" t="s">
        <v>219</v>
      </c>
      <c r="R3431" t="s">
        <v>538</v>
      </c>
      <c r="S3431" t="s">
        <v>539</v>
      </c>
    </row>
    <row r="3432" spans="1:19" x14ac:dyDescent="0.25">
      <c r="A3432" t="s">
        <v>59</v>
      </c>
      <c r="B3432" t="s">
        <v>60</v>
      </c>
      <c r="C3432" t="s">
        <v>32</v>
      </c>
      <c r="D3432" t="s">
        <v>522</v>
      </c>
      <c r="E3432" t="s">
        <v>523</v>
      </c>
      <c r="F3432" t="s">
        <v>35</v>
      </c>
      <c r="G3432" t="s">
        <v>35</v>
      </c>
      <c r="H3432" t="s">
        <v>35</v>
      </c>
      <c r="J3432" t="s">
        <v>3974</v>
      </c>
      <c r="K3432" t="s">
        <v>1092</v>
      </c>
      <c r="M3432">
        <v>0.3</v>
      </c>
      <c r="N3432">
        <v>214</v>
      </c>
      <c r="O3432" t="s">
        <v>5</v>
      </c>
      <c r="Q3432" t="s">
        <v>537</v>
      </c>
      <c r="R3432" t="s">
        <v>538</v>
      </c>
      <c r="S3432" t="s">
        <v>539</v>
      </c>
    </row>
    <row r="3433" spans="1:19" x14ac:dyDescent="0.25">
      <c r="A3433" t="s">
        <v>59</v>
      </c>
      <c r="B3433" t="s">
        <v>31</v>
      </c>
      <c r="C3433" t="s">
        <v>32</v>
      </c>
      <c r="D3433" t="s">
        <v>522</v>
      </c>
      <c r="E3433" t="s">
        <v>523</v>
      </c>
      <c r="F3433" t="s">
        <v>35</v>
      </c>
      <c r="G3433" t="s">
        <v>35</v>
      </c>
      <c r="H3433" t="s">
        <v>35</v>
      </c>
      <c r="J3433" t="s">
        <v>3974</v>
      </c>
      <c r="K3433" t="s">
        <v>1092</v>
      </c>
      <c r="M3433">
        <v>11.025</v>
      </c>
      <c r="N3433">
        <v>2</v>
      </c>
      <c r="O3433" t="s">
        <v>46</v>
      </c>
      <c r="Q3433" t="s">
        <v>8155</v>
      </c>
      <c r="R3433" t="s">
        <v>3931</v>
      </c>
      <c r="S3433" t="s">
        <v>3932</v>
      </c>
    </row>
    <row r="3434" spans="1:19" x14ac:dyDescent="0.25">
      <c r="A3434" t="s">
        <v>30</v>
      </c>
      <c r="B3434" t="s">
        <v>31</v>
      </c>
      <c r="C3434" t="s">
        <v>32</v>
      </c>
      <c r="D3434" t="s">
        <v>522</v>
      </c>
      <c r="E3434" t="s">
        <v>523</v>
      </c>
      <c r="F3434" t="s">
        <v>35</v>
      </c>
      <c r="G3434" t="s">
        <v>35</v>
      </c>
      <c r="H3434" t="s">
        <v>35</v>
      </c>
      <c r="J3434" t="s">
        <v>3974</v>
      </c>
      <c r="K3434" t="s">
        <v>1092</v>
      </c>
      <c r="M3434">
        <v>4.4999999999999998E-2</v>
      </c>
      <c r="N3434">
        <v>13</v>
      </c>
      <c r="O3434" t="s">
        <v>46</v>
      </c>
      <c r="Q3434" t="s">
        <v>310</v>
      </c>
      <c r="R3434" t="s">
        <v>548</v>
      </c>
      <c r="S3434" t="s">
        <v>524</v>
      </c>
    </row>
    <row r="3435" spans="1:19" x14ac:dyDescent="0.25">
      <c r="A3435" t="s">
        <v>44</v>
      </c>
      <c r="B3435" t="s">
        <v>51</v>
      </c>
      <c r="C3435" t="s">
        <v>32</v>
      </c>
      <c r="D3435" t="s">
        <v>522</v>
      </c>
      <c r="E3435" t="s">
        <v>523</v>
      </c>
      <c r="F3435" t="s">
        <v>35</v>
      </c>
      <c r="G3435" t="s">
        <v>35</v>
      </c>
      <c r="H3435" t="s">
        <v>35</v>
      </c>
      <c r="J3435" t="s">
        <v>3974</v>
      </c>
      <c r="K3435" t="s">
        <v>1092</v>
      </c>
      <c r="M3435">
        <v>1.45</v>
      </c>
      <c r="N3435">
        <v>81</v>
      </c>
      <c r="O3435" t="s">
        <v>61</v>
      </c>
      <c r="Q3435" t="s">
        <v>527</v>
      </c>
      <c r="R3435" t="s">
        <v>538</v>
      </c>
      <c r="S3435" t="s">
        <v>539</v>
      </c>
    </row>
    <row r="3436" spans="1:19" x14ac:dyDescent="0.25">
      <c r="A3436" t="s">
        <v>59</v>
      </c>
      <c r="B3436" t="s">
        <v>60</v>
      </c>
      <c r="C3436" t="s">
        <v>32</v>
      </c>
      <c r="D3436" t="s">
        <v>522</v>
      </c>
      <c r="E3436" t="s">
        <v>523</v>
      </c>
      <c r="F3436" t="s">
        <v>35</v>
      </c>
      <c r="G3436" t="s">
        <v>35</v>
      </c>
      <c r="H3436" t="s">
        <v>35</v>
      </c>
      <c r="J3436" t="s">
        <v>3975</v>
      </c>
      <c r="K3436" t="s">
        <v>1092</v>
      </c>
      <c r="M3436">
        <v>1.25</v>
      </c>
      <c r="N3436">
        <v>250</v>
      </c>
      <c r="O3436" t="s">
        <v>5</v>
      </c>
      <c r="Q3436" t="s">
        <v>3296</v>
      </c>
      <c r="R3436" t="s">
        <v>548</v>
      </c>
      <c r="S3436" t="s">
        <v>524</v>
      </c>
    </row>
    <row r="3437" spans="1:19" x14ac:dyDescent="0.25">
      <c r="A3437" t="s">
        <v>59</v>
      </c>
      <c r="B3437" t="s">
        <v>60</v>
      </c>
      <c r="C3437" t="s">
        <v>32</v>
      </c>
      <c r="D3437" t="s">
        <v>522</v>
      </c>
      <c r="E3437" t="s">
        <v>523</v>
      </c>
      <c r="F3437" t="s">
        <v>35</v>
      </c>
      <c r="G3437" t="s">
        <v>35</v>
      </c>
      <c r="H3437" t="s">
        <v>35</v>
      </c>
      <c r="J3437" t="s">
        <v>3976</v>
      </c>
      <c r="K3437" t="s">
        <v>1092</v>
      </c>
      <c r="M3437">
        <v>2.15</v>
      </c>
      <c r="N3437">
        <v>283</v>
      </c>
      <c r="O3437" t="s">
        <v>5</v>
      </c>
      <c r="Q3437" t="s">
        <v>1771</v>
      </c>
      <c r="R3437" t="s">
        <v>3938</v>
      </c>
      <c r="S3437" t="s">
        <v>3939</v>
      </c>
    </row>
    <row r="3438" spans="1:19" x14ac:dyDescent="0.25">
      <c r="A3438" t="s">
        <v>30</v>
      </c>
      <c r="B3438" t="s">
        <v>31</v>
      </c>
      <c r="C3438" t="s">
        <v>32</v>
      </c>
      <c r="D3438" t="s">
        <v>522</v>
      </c>
      <c r="E3438" t="s">
        <v>523</v>
      </c>
      <c r="F3438" t="s">
        <v>35</v>
      </c>
      <c r="G3438" t="s">
        <v>35</v>
      </c>
      <c r="H3438" t="s">
        <v>35</v>
      </c>
      <c r="J3438" t="s">
        <v>3977</v>
      </c>
      <c r="K3438" t="s">
        <v>1092</v>
      </c>
      <c r="M3438">
        <v>2.34</v>
      </c>
      <c r="N3438">
        <v>367</v>
      </c>
      <c r="O3438" t="s">
        <v>294</v>
      </c>
      <c r="Q3438" t="s">
        <v>3978</v>
      </c>
      <c r="R3438" t="s">
        <v>538</v>
      </c>
      <c r="S3438" t="s">
        <v>539</v>
      </c>
    </row>
    <row r="3439" spans="1:19" x14ac:dyDescent="0.25">
      <c r="A3439" t="s">
        <v>59</v>
      </c>
      <c r="B3439" t="s">
        <v>31</v>
      </c>
      <c r="C3439" t="s">
        <v>32</v>
      </c>
      <c r="D3439" t="s">
        <v>522</v>
      </c>
      <c r="E3439" t="s">
        <v>523</v>
      </c>
      <c r="F3439" t="s">
        <v>35</v>
      </c>
      <c r="G3439" t="s">
        <v>35</v>
      </c>
      <c r="H3439" t="s">
        <v>35</v>
      </c>
      <c r="J3439" t="s">
        <v>3977</v>
      </c>
      <c r="K3439" t="s">
        <v>1092</v>
      </c>
      <c r="M3439">
        <v>5.625</v>
      </c>
      <c r="N3439">
        <v>140</v>
      </c>
      <c r="O3439" t="s">
        <v>38</v>
      </c>
      <c r="Q3439" t="s">
        <v>609</v>
      </c>
      <c r="R3439" t="s">
        <v>548</v>
      </c>
      <c r="S3439" t="s">
        <v>524</v>
      </c>
    </row>
    <row r="3440" spans="1:19" x14ac:dyDescent="0.25">
      <c r="A3440" t="s">
        <v>44</v>
      </c>
      <c r="B3440" t="s">
        <v>3</v>
      </c>
      <c r="C3440" t="s">
        <v>32</v>
      </c>
      <c r="D3440" t="s">
        <v>522</v>
      </c>
      <c r="E3440" t="s">
        <v>523</v>
      </c>
      <c r="F3440" t="s">
        <v>35</v>
      </c>
      <c r="G3440" t="s">
        <v>35</v>
      </c>
      <c r="H3440" t="s">
        <v>35</v>
      </c>
      <c r="J3440" t="s">
        <v>3979</v>
      </c>
      <c r="K3440" t="s">
        <v>1092</v>
      </c>
      <c r="M3440">
        <v>0.45</v>
      </c>
      <c r="N3440">
        <v>594</v>
      </c>
      <c r="O3440" t="s">
        <v>575</v>
      </c>
      <c r="Q3440" t="s">
        <v>1321</v>
      </c>
      <c r="R3440" t="s">
        <v>538</v>
      </c>
      <c r="S3440" t="s">
        <v>539</v>
      </c>
    </row>
    <row r="3441" spans="1:19" x14ac:dyDescent="0.25">
      <c r="A3441" t="s">
        <v>30</v>
      </c>
      <c r="B3441" t="s">
        <v>31</v>
      </c>
      <c r="C3441" t="s">
        <v>32</v>
      </c>
      <c r="D3441" t="s">
        <v>522</v>
      </c>
      <c r="E3441" t="s">
        <v>523</v>
      </c>
      <c r="F3441" t="s">
        <v>35</v>
      </c>
      <c r="G3441" t="s">
        <v>35</v>
      </c>
      <c r="H3441" t="s">
        <v>35</v>
      </c>
      <c r="J3441" t="s">
        <v>3980</v>
      </c>
      <c r="K3441" t="s">
        <v>1092</v>
      </c>
      <c r="M3441">
        <v>5.5350000000000001</v>
      </c>
      <c r="N3441">
        <v>71</v>
      </c>
      <c r="O3441" t="s">
        <v>61</v>
      </c>
      <c r="Q3441" t="s">
        <v>102</v>
      </c>
      <c r="R3441" t="s">
        <v>538</v>
      </c>
      <c r="S3441" t="s">
        <v>539</v>
      </c>
    </row>
    <row r="3442" spans="1:19" x14ac:dyDescent="0.25">
      <c r="A3442" t="s">
        <v>30</v>
      </c>
      <c r="B3442" t="s">
        <v>31</v>
      </c>
      <c r="C3442" t="s">
        <v>32</v>
      </c>
      <c r="D3442" t="s">
        <v>522</v>
      </c>
      <c r="E3442" t="s">
        <v>523</v>
      </c>
      <c r="F3442" t="s">
        <v>35</v>
      </c>
      <c r="G3442" t="s">
        <v>35</v>
      </c>
      <c r="H3442" t="s">
        <v>35</v>
      </c>
      <c r="J3442" t="s">
        <v>3980</v>
      </c>
      <c r="K3442" t="s">
        <v>1092</v>
      </c>
      <c r="M3442">
        <v>2.88</v>
      </c>
      <c r="N3442">
        <v>94</v>
      </c>
      <c r="O3442" t="s">
        <v>106</v>
      </c>
      <c r="Q3442" t="s">
        <v>394</v>
      </c>
      <c r="R3442" t="s">
        <v>538</v>
      </c>
      <c r="S3442" t="s">
        <v>539</v>
      </c>
    </row>
    <row r="3443" spans="1:19" x14ac:dyDescent="0.25">
      <c r="A3443" t="s">
        <v>30</v>
      </c>
      <c r="B3443" t="s">
        <v>31</v>
      </c>
      <c r="C3443" t="s">
        <v>32</v>
      </c>
      <c r="D3443" t="s">
        <v>522</v>
      </c>
      <c r="E3443" t="s">
        <v>523</v>
      </c>
      <c r="F3443" t="s">
        <v>35</v>
      </c>
      <c r="G3443" t="s">
        <v>35</v>
      </c>
      <c r="H3443" t="s">
        <v>35</v>
      </c>
      <c r="J3443" t="s">
        <v>3980</v>
      </c>
      <c r="K3443" t="s">
        <v>1092</v>
      </c>
      <c r="M3443">
        <v>5.49</v>
      </c>
      <c r="N3443">
        <v>49</v>
      </c>
      <c r="O3443" t="s">
        <v>52</v>
      </c>
      <c r="Q3443" t="s">
        <v>219</v>
      </c>
      <c r="R3443" t="s">
        <v>538</v>
      </c>
      <c r="S3443" t="s">
        <v>539</v>
      </c>
    </row>
    <row r="3444" spans="1:19" x14ac:dyDescent="0.25">
      <c r="A3444" t="s">
        <v>30</v>
      </c>
      <c r="B3444" t="s">
        <v>31</v>
      </c>
      <c r="C3444" t="s">
        <v>32</v>
      </c>
      <c r="D3444" t="s">
        <v>522</v>
      </c>
      <c r="E3444" t="s">
        <v>523</v>
      </c>
      <c r="F3444" t="s">
        <v>35</v>
      </c>
      <c r="G3444" t="s">
        <v>35</v>
      </c>
      <c r="H3444" t="s">
        <v>35</v>
      </c>
      <c r="J3444" t="s">
        <v>3981</v>
      </c>
      <c r="K3444" t="s">
        <v>1092</v>
      </c>
      <c r="M3444">
        <v>1.0349999999999999</v>
      </c>
      <c r="N3444">
        <v>38</v>
      </c>
      <c r="O3444" t="s">
        <v>52</v>
      </c>
      <c r="Q3444" t="s">
        <v>748</v>
      </c>
      <c r="R3444" t="s">
        <v>548</v>
      </c>
      <c r="S3444" t="s">
        <v>524</v>
      </c>
    </row>
    <row r="3445" spans="1:19" x14ac:dyDescent="0.25">
      <c r="A3445" t="s">
        <v>59</v>
      </c>
      <c r="B3445" t="s">
        <v>60</v>
      </c>
      <c r="C3445" t="s">
        <v>32</v>
      </c>
      <c r="D3445" t="s">
        <v>522</v>
      </c>
      <c r="E3445" t="s">
        <v>523</v>
      </c>
      <c r="F3445" t="s">
        <v>35</v>
      </c>
      <c r="G3445" t="s">
        <v>35</v>
      </c>
      <c r="H3445" t="s">
        <v>35</v>
      </c>
      <c r="J3445" t="s">
        <v>3982</v>
      </c>
      <c r="K3445" t="s">
        <v>1092</v>
      </c>
      <c r="M3445">
        <v>0.5</v>
      </c>
      <c r="N3445">
        <v>33</v>
      </c>
      <c r="O3445" t="s">
        <v>52</v>
      </c>
      <c r="Q3445" t="s">
        <v>137</v>
      </c>
      <c r="R3445" t="s">
        <v>548</v>
      </c>
      <c r="S3445" t="s">
        <v>524</v>
      </c>
    </row>
    <row r="3446" spans="1:19" x14ac:dyDescent="0.25">
      <c r="A3446" t="s">
        <v>30</v>
      </c>
      <c r="B3446" t="s">
        <v>31</v>
      </c>
      <c r="C3446" t="s">
        <v>32</v>
      </c>
      <c r="D3446" t="s">
        <v>522</v>
      </c>
      <c r="E3446" t="s">
        <v>523</v>
      </c>
      <c r="F3446" t="s">
        <v>35</v>
      </c>
      <c r="G3446" t="s">
        <v>35</v>
      </c>
      <c r="H3446" t="s">
        <v>35</v>
      </c>
      <c r="J3446" t="s">
        <v>3983</v>
      </c>
      <c r="K3446" t="s">
        <v>1092</v>
      </c>
      <c r="M3446">
        <v>0.13500000000000001</v>
      </c>
      <c r="N3446">
        <v>32</v>
      </c>
      <c r="O3446" t="s">
        <v>52</v>
      </c>
      <c r="Q3446" t="s">
        <v>547</v>
      </c>
      <c r="R3446" t="s">
        <v>548</v>
      </c>
      <c r="S3446" t="s">
        <v>524</v>
      </c>
    </row>
    <row r="3447" spans="1:19" x14ac:dyDescent="0.25">
      <c r="A3447" t="s">
        <v>59</v>
      </c>
      <c r="B3447" t="s">
        <v>60</v>
      </c>
      <c r="C3447" t="s">
        <v>32</v>
      </c>
      <c r="D3447" t="s">
        <v>522</v>
      </c>
      <c r="E3447" t="s">
        <v>523</v>
      </c>
      <c r="F3447" t="s">
        <v>35</v>
      </c>
      <c r="G3447" t="s">
        <v>35</v>
      </c>
      <c r="H3447" t="s">
        <v>35</v>
      </c>
      <c r="J3447" t="s">
        <v>3984</v>
      </c>
      <c r="K3447" t="s">
        <v>1092</v>
      </c>
      <c r="M3447">
        <v>7.5</v>
      </c>
      <c r="N3447">
        <v>128</v>
      </c>
      <c r="O3447" t="s">
        <v>38</v>
      </c>
      <c r="Q3447" t="s">
        <v>1170</v>
      </c>
      <c r="R3447" t="s">
        <v>3985</v>
      </c>
      <c r="S3447" t="s">
        <v>3986</v>
      </c>
    </row>
    <row r="3448" spans="1:19" x14ac:dyDescent="0.25">
      <c r="A3448" t="s">
        <v>30</v>
      </c>
      <c r="B3448" t="s">
        <v>31</v>
      </c>
      <c r="C3448" t="s">
        <v>32</v>
      </c>
      <c r="D3448" t="s">
        <v>522</v>
      </c>
      <c r="E3448" t="s">
        <v>523</v>
      </c>
      <c r="F3448" t="s">
        <v>35</v>
      </c>
      <c r="G3448" t="s">
        <v>35</v>
      </c>
      <c r="H3448" t="s">
        <v>35</v>
      </c>
      <c r="J3448" t="s">
        <v>3988</v>
      </c>
      <c r="K3448" t="s">
        <v>1092</v>
      </c>
      <c r="M3448">
        <v>9.9</v>
      </c>
      <c r="N3448">
        <v>171</v>
      </c>
      <c r="O3448" t="s">
        <v>38</v>
      </c>
      <c r="Q3448" t="s">
        <v>3930</v>
      </c>
      <c r="R3448" t="s">
        <v>3931</v>
      </c>
      <c r="S3448" t="s">
        <v>3932</v>
      </c>
    </row>
    <row r="3449" spans="1:19" x14ac:dyDescent="0.25">
      <c r="A3449" t="s">
        <v>30</v>
      </c>
      <c r="B3449" t="s">
        <v>31</v>
      </c>
      <c r="C3449" t="s">
        <v>32</v>
      </c>
      <c r="D3449" t="s">
        <v>522</v>
      </c>
      <c r="E3449" t="s">
        <v>523</v>
      </c>
      <c r="F3449" t="s">
        <v>35</v>
      </c>
      <c r="G3449" t="s">
        <v>35</v>
      </c>
      <c r="H3449" t="s">
        <v>35</v>
      </c>
      <c r="J3449" t="s">
        <v>3988</v>
      </c>
      <c r="K3449" t="s">
        <v>1092</v>
      </c>
      <c r="M3449">
        <v>11.25</v>
      </c>
      <c r="N3449">
        <v>97</v>
      </c>
      <c r="O3449" t="s">
        <v>106</v>
      </c>
      <c r="Q3449" t="s">
        <v>557</v>
      </c>
      <c r="R3449" t="s">
        <v>548</v>
      </c>
      <c r="S3449" t="s">
        <v>524</v>
      </c>
    </row>
    <row r="3450" spans="1:19" x14ac:dyDescent="0.25">
      <c r="A3450" t="s">
        <v>30</v>
      </c>
      <c r="B3450" t="s">
        <v>31</v>
      </c>
      <c r="C3450" t="s">
        <v>32</v>
      </c>
      <c r="D3450" t="s">
        <v>522</v>
      </c>
      <c r="E3450" t="s">
        <v>523</v>
      </c>
      <c r="F3450" t="s">
        <v>35</v>
      </c>
      <c r="G3450" t="s">
        <v>35</v>
      </c>
      <c r="H3450" t="s">
        <v>35</v>
      </c>
      <c r="J3450" t="s">
        <v>3989</v>
      </c>
      <c r="K3450" t="s">
        <v>1092</v>
      </c>
      <c r="M3450">
        <v>9.4049999999999994</v>
      </c>
      <c r="N3450">
        <v>49</v>
      </c>
      <c r="O3450" t="s">
        <v>52</v>
      </c>
      <c r="Q3450" t="s">
        <v>219</v>
      </c>
      <c r="R3450" t="s">
        <v>538</v>
      </c>
      <c r="S3450" t="s">
        <v>539</v>
      </c>
    </row>
    <row r="3451" spans="1:19" x14ac:dyDescent="0.25">
      <c r="A3451" t="s">
        <v>30</v>
      </c>
      <c r="B3451" t="s">
        <v>31</v>
      </c>
      <c r="C3451" t="s">
        <v>32</v>
      </c>
      <c r="D3451" t="s">
        <v>522</v>
      </c>
      <c r="E3451" t="s">
        <v>523</v>
      </c>
      <c r="F3451" t="s">
        <v>35</v>
      </c>
      <c r="G3451" t="s">
        <v>35</v>
      </c>
      <c r="H3451" t="s">
        <v>35</v>
      </c>
      <c r="J3451" t="s">
        <v>3990</v>
      </c>
      <c r="K3451" t="s">
        <v>1092</v>
      </c>
      <c r="M3451">
        <v>0.45</v>
      </c>
      <c r="N3451">
        <v>49</v>
      </c>
      <c r="O3451" t="s">
        <v>52</v>
      </c>
      <c r="Q3451" t="s">
        <v>219</v>
      </c>
      <c r="R3451" t="s">
        <v>538</v>
      </c>
      <c r="S3451" t="s">
        <v>539</v>
      </c>
    </row>
    <row r="3452" spans="1:19" x14ac:dyDescent="0.25">
      <c r="A3452" t="s">
        <v>44</v>
      </c>
      <c r="B3452" t="s">
        <v>51</v>
      </c>
      <c r="C3452" t="s">
        <v>32</v>
      </c>
      <c r="D3452" t="s">
        <v>522</v>
      </c>
      <c r="E3452" t="s">
        <v>523</v>
      </c>
      <c r="F3452" t="s">
        <v>35</v>
      </c>
      <c r="G3452" t="s">
        <v>35</v>
      </c>
      <c r="H3452" t="s">
        <v>35</v>
      </c>
      <c r="J3452" t="s">
        <v>3991</v>
      </c>
      <c r="K3452" t="s">
        <v>1092</v>
      </c>
      <c r="M3452">
        <v>2.4500000000000002</v>
      </c>
      <c r="N3452">
        <v>75</v>
      </c>
      <c r="O3452" t="s">
        <v>61</v>
      </c>
      <c r="Q3452" t="s">
        <v>805</v>
      </c>
      <c r="R3452" t="s">
        <v>3931</v>
      </c>
      <c r="S3452" t="s">
        <v>3932</v>
      </c>
    </row>
    <row r="3453" spans="1:19" x14ac:dyDescent="0.25">
      <c r="A3453" t="s">
        <v>30</v>
      </c>
      <c r="B3453" t="s">
        <v>31</v>
      </c>
      <c r="C3453" t="s">
        <v>32</v>
      </c>
      <c r="D3453" t="s">
        <v>522</v>
      </c>
      <c r="E3453" t="s">
        <v>523</v>
      </c>
      <c r="F3453" t="s">
        <v>35</v>
      </c>
      <c r="G3453" t="s">
        <v>35</v>
      </c>
      <c r="H3453" t="s">
        <v>35</v>
      </c>
      <c r="J3453" t="s">
        <v>3992</v>
      </c>
      <c r="K3453" t="s">
        <v>1092</v>
      </c>
      <c r="M3453">
        <v>5.5350000000000001</v>
      </c>
      <c r="N3453">
        <v>94</v>
      </c>
      <c r="O3453" t="s">
        <v>106</v>
      </c>
      <c r="Q3453" t="s">
        <v>394</v>
      </c>
      <c r="R3453" t="s">
        <v>538</v>
      </c>
      <c r="S3453" t="s">
        <v>539</v>
      </c>
    </row>
    <row r="3454" spans="1:19" x14ac:dyDescent="0.25">
      <c r="A3454" t="s">
        <v>30</v>
      </c>
      <c r="B3454" t="s">
        <v>31</v>
      </c>
      <c r="C3454" t="s">
        <v>32</v>
      </c>
      <c r="D3454" t="s">
        <v>522</v>
      </c>
      <c r="E3454" t="s">
        <v>523</v>
      </c>
      <c r="F3454" t="s">
        <v>35</v>
      </c>
      <c r="G3454" t="s">
        <v>35</v>
      </c>
      <c r="H3454" t="s">
        <v>35</v>
      </c>
      <c r="J3454" t="s">
        <v>3992</v>
      </c>
      <c r="K3454" t="s">
        <v>1092</v>
      </c>
      <c r="M3454">
        <v>1.0349999999999999</v>
      </c>
      <c r="N3454">
        <v>228</v>
      </c>
      <c r="O3454" t="s">
        <v>5</v>
      </c>
      <c r="Q3454" t="s">
        <v>1979</v>
      </c>
      <c r="R3454" t="s">
        <v>538</v>
      </c>
      <c r="S3454" t="s">
        <v>539</v>
      </c>
    </row>
    <row r="3455" spans="1:19" x14ac:dyDescent="0.25">
      <c r="A3455" t="s">
        <v>44</v>
      </c>
      <c r="B3455" t="s">
        <v>51</v>
      </c>
      <c r="C3455" t="s">
        <v>32</v>
      </c>
      <c r="D3455" t="s">
        <v>522</v>
      </c>
      <c r="E3455" t="s">
        <v>523</v>
      </c>
      <c r="F3455" t="s">
        <v>35</v>
      </c>
      <c r="G3455" t="s">
        <v>35</v>
      </c>
      <c r="H3455" t="s">
        <v>35</v>
      </c>
      <c r="J3455" t="s">
        <v>3992</v>
      </c>
      <c r="K3455" t="s">
        <v>1092</v>
      </c>
      <c r="M3455">
        <v>0.25</v>
      </c>
      <c r="N3455">
        <v>273</v>
      </c>
      <c r="O3455" t="s">
        <v>5</v>
      </c>
      <c r="Q3455" t="s">
        <v>1989</v>
      </c>
      <c r="R3455" t="s">
        <v>3993</v>
      </c>
      <c r="S3455" t="s">
        <v>3994</v>
      </c>
    </row>
    <row r="3456" spans="1:19" x14ac:dyDescent="0.25">
      <c r="A3456" t="s">
        <v>44</v>
      </c>
      <c r="B3456" t="s">
        <v>3</v>
      </c>
      <c r="C3456" t="s">
        <v>32</v>
      </c>
      <c r="D3456" t="s">
        <v>522</v>
      </c>
      <c r="E3456" t="s">
        <v>523</v>
      </c>
      <c r="F3456" t="s">
        <v>35</v>
      </c>
      <c r="G3456" t="s">
        <v>35</v>
      </c>
      <c r="H3456" t="s">
        <v>35</v>
      </c>
      <c r="J3456" t="s">
        <v>3996</v>
      </c>
      <c r="K3456" t="s">
        <v>1092</v>
      </c>
      <c r="M3456">
        <v>0.5</v>
      </c>
      <c r="N3456">
        <v>509</v>
      </c>
      <c r="O3456" t="s">
        <v>294</v>
      </c>
      <c r="Q3456" t="s">
        <v>296</v>
      </c>
      <c r="R3456" t="s">
        <v>3997</v>
      </c>
      <c r="S3456" t="s">
        <v>3998</v>
      </c>
    </row>
    <row r="3457" spans="1:19" x14ac:dyDescent="0.25">
      <c r="A3457" t="s">
        <v>59</v>
      </c>
      <c r="B3457" t="s">
        <v>60</v>
      </c>
      <c r="C3457" t="s">
        <v>32</v>
      </c>
      <c r="D3457" t="s">
        <v>522</v>
      </c>
      <c r="E3457" t="s">
        <v>523</v>
      </c>
      <c r="F3457" t="s">
        <v>35</v>
      </c>
      <c r="G3457" t="s">
        <v>35</v>
      </c>
      <c r="H3457" t="s">
        <v>35</v>
      </c>
      <c r="J3457" t="s">
        <v>4000</v>
      </c>
      <c r="K3457" t="s">
        <v>1092</v>
      </c>
      <c r="M3457">
        <v>0.75</v>
      </c>
      <c r="N3457">
        <v>33</v>
      </c>
      <c r="O3457" t="s">
        <v>52</v>
      </c>
      <c r="Q3457" t="s">
        <v>137</v>
      </c>
      <c r="R3457" t="s">
        <v>548</v>
      </c>
      <c r="S3457" t="s">
        <v>524</v>
      </c>
    </row>
    <row r="3458" spans="1:19" x14ac:dyDescent="0.25">
      <c r="A3458" t="s">
        <v>30</v>
      </c>
      <c r="B3458" t="s">
        <v>31</v>
      </c>
      <c r="C3458" t="s">
        <v>32</v>
      </c>
      <c r="D3458" t="s">
        <v>522</v>
      </c>
      <c r="E3458" t="s">
        <v>523</v>
      </c>
      <c r="F3458" t="s">
        <v>35</v>
      </c>
      <c r="G3458" t="s">
        <v>35</v>
      </c>
      <c r="H3458" t="s">
        <v>35</v>
      </c>
      <c r="J3458" t="s">
        <v>4001</v>
      </c>
      <c r="K3458" t="s">
        <v>1092</v>
      </c>
      <c r="M3458">
        <v>2.7</v>
      </c>
      <c r="N3458">
        <v>394</v>
      </c>
      <c r="O3458" t="s">
        <v>294</v>
      </c>
      <c r="Q3458" t="s">
        <v>1410</v>
      </c>
      <c r="R3458" t="s">
        <v>538</v>
      </c>
      <c r="S3458" t="s">
        <v>539</v>
      </c>
    </row>
    <row r="3459" spans="1:19" x14ac:dyDescent="0.25">
      <c r="A3459" t="s">
        <v>30</v>
      </c>
      <c r="B3459" t="s">
        <v>31</v>
      </c>
      <c r="C3459" t="s">
        <v>32</v>
      </c>
      <c r="D3459" t="s">
        <v>522</v>
      </c>
      <c r="E3459" t="s">
        <v>523</v>
      </c>
      <c r="F3459" t="s">
        <v>35</v>
      </c>
      <c r="G3459" t="s">
        <v>35</v>
      </c>
      <c r="H3459" t="s">
        <v>35</v>
      </c>
      <c r="J3459" t="s">
        <v>4002</v>
      </c>
      <c r="K3459" t="s">
        <v>1092</v>
      </c>
      <c r="M3459">
        <v>5.5350000000000001</v>
      </c>
      <c r="N3459">
        <v>94</v>
      </c>
      <c r="O3459" t="s">
        <v>106</v>
      </c>
      <c r="Q3459" t="s">
        <v>394</v>
      </c>
      <c r="R3459" t="s">
        <v>538</v>
      </c>
      <c r="S3459" t="s">
        <v>539</v>
      </c>
    </row>
    <row r="3460" spans="1:19" x14ac:dyDescent="0.25">
      <c r="A3460" t="s">
        <v>44</v>
      </c>
      <c r="B3460" t="s">
        <v>3</v>
      </c>
      <c r="C3460" t="s">
        <v>32</v>
      </c>
      <c r="D3460" t="s">
        <v>522</v>
      </c>
      <c r="E3460" t="s">
        <v>523</v>
      </c>
      <c r="F3460" t="s">
        <v>35</v>
      </c>
      <c r="G3460" t="s">
        <v>35</v>
      </c>
      <c r="H3460" t="s">
        <v>35</v>
      </c>
      <c r="J3460" t="s">
        <v>4003</v>
      </c>
      <c r="K3460" t="s">
        <v>1092</v>
      </c>
      <c r="M3460">
        <v>0.5</v>
      </c>
      <c r="N3460">
        <v>592</v>
      </c>
      <c r="O3460" t="s">
        <v>575</v>
      </c>
      <c r="Q3460" t="s">
        <v>4004</v>
      </c>
      <c r="R3460" t="s">
        <v>3997</v>
      </c>
      <c r="S3460" t="s">
        <v>3998</v>
      </c>
    </row>
    <row r="3461" spans="1:19" x14ac:dyDescent="0.25">
      <c r="A3461" t="s">
        <v>30</v>
      </c>
      <c r="B3461" t="s">
        <v>31</v>
      </c>
      <c r="C3461" t="s">
        <v>32</v>
      </c>
      <c r="D3461" t="s">
        <v>522</v>
      </c>
      <c r="E3461" t="s">
        <v>523</v>
      </c>
      <c r="F3461" t="s">
        <v>35</v>
      </c>
      <c r="G3461" t="s">
        <v>35</v>
      </c>
      <c r="H3461" t="s">
        <v>35</v>
      </c>
      <c r="J3461" t="s">
        <v>4005</v>
      </c>
      <c r="K3461" t="s">
        <v>1092</v>
      </c>
      <c r="M3461">
        <v>0.67500000000000004</v>
      </c>
      <c r="N3461">
        <v>20</v>
      </c>
      <c r="O3461" t="s">
        <v>46</v>
      </c>
      <c r="Q3461" t="s">
        <v>1004</v>
      </c>
      <c r="R3461" t="s">
        <v>548</v>
      </c>
      <c r="S3461" t="s">
        <v>524</v>
      </c>
    </row>
    <row r="3462" spans="1:19" x14ac:dyDescent="0.25">
      <c r="A3462" t="s">
        <v>59</v>
      </c>
      <c r="B3462" t="s">
        <v>60</v>
      </c>
      <c r="C3462" t="s">
        <v>32</v>
      </c>
      <c r="D3462" t="s">
        <v>522</v>
      </c>
      <c r="E3462" t="s">
        <v>523</v>
      </c>
      <c r="F3462" t="s">
        <v>35</v>
      </c>
      <c r="G3462" t="s">
        <v>35</v>
      </c>
      <c r="H3462" t="s">
        <v>35</v>
      </c>
      <c r="J3462" t="s">
        <v>4005</v>
      </c>
      <c r="K3462" t="s">
        <v>1092</v>
      </c>
      <c r="M3462">
        <v>0.125</v>
      </c>
      <c r="N3462">
        <v>116</v>
      </c>
      <c r="O3462" t="s">
        <v>106</v>
      </c>
      <c r="Q3462" t="s">
        <v>1256</v>
      </c>
      <c r="R3462" t="s">
        <v>548</v>
      </c>
      <c r="S3462" t="s">
        <v>524</v>
      </c>
    </row>
    <row r="3463" spans="1:19" x14ac:dyDescent="0.25">
      <c r="A3463" t="s">
        <v>30</v>
      </c>
      <c r="B3463" t="s">
        <v>31</v>
      </c>
      <c r="C3463" t="s">
        <v>32</v>
      </c>
      <c r="D3463" t="s">
        <v>522</v>
      </c>
      <c r="E3463" t="s">
        <v>523</v>
      </c>
      <c r="F3463" t="s">
        <v>35</v>
      </c>
      <c r="G3463" t="s">
        <v>35</v>
      </c>
      <c r="H3463" t="s">
        <v>35</v>
      </c>
      <c r="J3463" t="s">
        <v>4006</v>
      </c>
      <c r="K3463" t="s">
        <v>1092</v>
      </c>
      <c r="M3463">
        <v>1.35</v>
      </c>
      <c r="N3463">
        <v>32</v>
      </c>
      <c r="O3463" t="s">
        <v>52</v>
      </c>
      <c r="Q3463" t="s">
        <v>547</v>
      </c>
      <c r="R3463" t="s">
        <v>548</v>
      </c>
      <c r="S3463" t="s">
        <v>524</v>
      </c>
    </row>
    <row r="3464" spans="1:19" x14ac:dyDescent="0.25">
      <c r="A3464" t="s">
        <v>59</v>
      </c>
      <c r="B3464" t="s">
        <v>31</v>
      </c>
      <c r="C3464" t="s">
        <v>32</v>
      </c>
      <c r="D3464" t="s">
        <v>522</v>
      </c>
      <c r="E3464" t="s">
        <v>523</v>
      </c>
      <c r="F3464" t="s">
        <v>35</v>
      </c>
      <c r="G3464" t="s">
        <v>35</v>
      </c>
      <c r="H3464" t="s">
        <v>35</v>
      </c>
      <c r="J3464" t="s">
        <v>4006</v>
      </c>
      <c r="K3464" t="s">
        <v>1092</v>
      </c>
      <c r="M3464">
        <v>1.8</v>
      </c>
      <c r="N3464">
        <v>69</v>
      </c>
      <c r="O3464" t="s">
        <v>61</v>
      </c>
      <c r="Q3464" t="s">
        <v>139</v>
      </c>
      <c r="R3464" t="s">
        <v>548</v>
      </c>
      <c r="S3464" t="s">
        <v>524</v>
      </c>
    </row>
    <row r="3465" spans="1:19" x14ac:dyDescent="0.25">
      <c r="A3465" t="s">
        <v>30</v>
      </c>
      <c r="B3465" t="s">
        <v>31</v>
      </c>
      <c r="C3465" t="s">
        <v>32</v>
      </c>
      <c r="D3465" t="s">
        <v>522</v>
      </c>
      <c r="E3465" t="s">
        <v>523</v>
      </c>
      <c r="F3465" t="s">
        <v>35</v>
      </c>
      <c r="G3465" t="s">
        <v>35</v>
      </c>
      <c r="H3465" t="s">
        <v>35</v>
      </c>
      <c r="J3465" t="s">
        <v>4006</v>
      </c>
      <c r="K3465" t="s">
        <v>1092</v>
      </c>
      <c r="M3465">
        <v>0.67500000000000004</v>
      </c>
      <c r="N3465">
        <v>89</v>
      </c>
      <c r="O3465" t="s">
        <v>61</v>
      </c>
      <c r="Q3465" t="s">
        <v>299</v>
      </c>
      <c r="R3465" t="s">
        <v>548</v>
      </c>
      <c r="S3465" t="s">
        <v>524</v>
      </c>
    </row>
    <row r="3466" spans="1:19" x14ac:dyDescent="0.25">
      <c r="A3466" t="s">
        <v>59</v>
      </c>
      <c r="B3466" t="s">
        <v>31</v>
      </c>
      <c r="C3466" t="s">
        <v>32</v>
      </c>
      <c r="D3466" t="s">
        <v>522</v>
      </c>
      <c r="E3466" t="s">
        <v>523</v>
      </c>
      <c r="F3466" t="s">
        <v>35</v>
      </c>
      <c r="G3466" t="s">
        <v>35</v>
      </c>
      <c r="H3466" t="s">
        <v>35</v>
      </c>
      <c r="J3466" t="s">
        <v>4006</v>
      </c>
      <c r="K3466" t="s">
        <v>1092</v>
      </c>
      <c r="M3466">
        <v>0.67500000000000004</v>
      </c>
      <c r="N3466">
        <v>72</v>
      </c>
      <c r="O3466" t="s">
        <v>61</v>
      </c>
      <c r="Q3466" t="s">
        <v>63</v>
      </c>
      <c r="R3466" t="s">
        <v>548</v>
      </c>
      <c r="S3466" t="s">
        <v>524</v>
      </c>
    </row>
    <row r="3467" spans="1:19" x14ac:dyDescent="0.25">
      <c r="A3467" t="s">
        <v>59</v>
      </c>
      <c r="B3467" t="s">
        <v>31</v>
      </c>
      <c r="C3467" t="s">
        <v>32</v>
      </c>
      <c r="D3467" t="s">
        <v>522</v>
      </c>
      <c r="E3467" t="s">
        <v>523</v>
      </c>
      <c r="F3467" t="s">
        <v>35</v>
      </c>
      <c r="G3467" t="s">
        <v>35</v>
      </c>
      <c r="H3467" t="s">
        <v>35</v>
      </c>
      <c r="J3467" t="s">
        <v>4007</v>
      </c>
      <c r="K3467" t="s">
        <v>1092</v>
      </c>
      <c r="M3467">
        <v>10.8</v>
      </c>
      <c r="N3467">
        <v>6</v>
      </c>
      <c r="O3467" t="s">
        <v>46</v>
      </c>
      <c r="Q3467" t="s">
        <v>8168</v>
      </c>
      <c r="R3467" t="s">
        <v>548</v>
      </c>
      <c r="S3467" t="s">
        <v>524</v>
      </c>
    </row>
    <row r="3468" spans="1:19" x14ac:dyDescent="0.25">
      <c r="A3468" t="s">
        <v>44</v>
      </c>
      <c r="B3468" t="s">
        <v>3</v>
      </c>
      <c r="C3468" t="s">
        <v>32</v>
      </c>
      <c r="D3468" t="s">
        <v>522</v>
      </c>
      <c r="E3468" t="s">
        <v>523</v>
      </c>
      <c r="F3468" t="s">
        <v>35</v>
      </c>
      <c r="G3468" t="s">
        <v>35</v>
      </c>
      <c r="H3468" t="s">
        <v>35</v>
      </c>
      <c r="J3468" t="s">
        <v>4007</v>
      </c>
      <c r="K3468" t="s">
        <v>1092</v>
      </c>
      <c r="M3468">
        <v>0.75</v>
      </c>
      <c r="N3468">
        <v>237</v>
      </c>
      <c r="O3468" t="s">
        <v>5</v>
      </c>
      <c r="Q3468" t="s">
        <v>3446</v>
      </c>
      <c r="R3468" t="s">
        <v>548</v>
      </c>
      <c r="S3468" t="s">
        <v>524</v>
      </c>
    </row>
    <row r="3469" spans="1:19" x14ac:dyDescent="0.25">
      <c r="A3469" t="s">
        <v>30</v>
      </c>
      <c r="B3469" t="s">
        <v>31</v>
      </c>
      <c r="C3469" t="s">
        <v>32</v>
      </c>
      <c r="D3469" t="s">
        <v>522</v>
      </c>
      <c r="E3469" t="s">
        <v>523</v>
      </c>
      <c r="F3469" t="s">
        <v>35</v>
      </c>
      <c r="G3469" t="s">
        <v>35</v>
      </c>
      <c r="H3469" t="s">
        <v>35</v>
      </c>
      <c r="J3469" t="s">
        <v>4007</v>
      </c>
      <c r="K3469" t="s">
        <v>1092</v>
      </c>
      <c r="M3469">
        <v>0.36</v>
      </c>
      <c r="N3469">
        <v>69</v>
      </c>
      <c r="O3469" t="s">
        <v>61</v>
      </c>
      <c r="Q3469" t="s">
        <v>139</v>
      </c>
      <c r="R3469" t="s">
        <v>548</v>
      </c>
      <c r="S3469" t="s">
        <v>524</v>
      </c>
    </row>
    <row r="3470" spans="1:19" x14ac:dyDescent="0.25">
      <c r="A3470" t="s">
        <v>30</v>
      </c>
      <c r="B3470" t="s">
        <v>31</v>
      </c>
      <c r="C3470" t="s">
        <v>32</v>
      </c>
      <c r="D3470" t="s">
        <v>522</v>
      </c>
      <c r="E3470" t="s">
        <v>523</v>
      </c>
      <c r="F3470" t="s">
        <v>35</v>
      </c>
      <c r="G3470" t="s">
        <v>35</v>
      </c>
      <c r="H3470" t="s">
        <v>35</v>
      </c>
      <c r="J3470" t="s">
        <v>4007</v>
      </c>
      <c r="K3470" t="s">
        <v>1092</v>
      </c>
      <c r="M3470">
        <v>36.270000000000003</v>
      </c>
      <c r="N3470">
        <v>45</v>
      </c>
      <c r="O3470" t="s">
        <v>52</v>
      </c>
      <c r="Q3470" t="s">
        <v>716</v>
      </c>
      <c r="R3470" t="s">
        <v>548</v>
      </c>
      <c r="S3470" t="s">
        <v>524</v>
      </c>
    </row>
    <row r="3471" spans="1:19" x14ac:dyDescent="0.25">
      <c r="A3471" t="s">
        <v>30</v>
      </c>
      <c r="B3471" t="s">
        <v>31</v>
      </c>
      <c r="C3471" t="s">
        <v>32</v>
      </c>
      <c r="D3471" t="s">
        <v>522</v>
      </c>
      <c r="E3471" t="s">
        <v>523</v>
      </c>
      <c r="F3471" t="s">
        <v>35</v>
      </c>
      <c r="G3471" t="s">
        <v>35</v>
      </c>
      <c r="H3471" t="s">
        <v>35</v>
      </c>
      <c r="J3471" t="s">
        <v>1885</v>
      </c>
      <c r="K3471" t="s">
        <v>1092</v>
      </c>
      <c r="M3471">
        <v>4.5</v>
      </c>
      <c r="N3471">
        <v>496</v>
      </c>
      <c r="O3471" t="s">
        <v>294</v>
      </c>
      <c r="Q3471" t="s">
        <v>3602</v>
      </c>
      <c r="R3471" t="s">
        <v>538</v>
      </c>
      <c r="S3471" t="s">
        <v>539</v>
      </c>
    </row>
    <row r="3472" spans="1:19" x14ac:dyDescent="0.25">
      <c r="A3472" t="s">
        <v>30</v>
      </c>
      <c r="B3472" t="s">
        <v>31</v>
      </c>
      <c r="C3472" t="s">
        <v>32</v>
      </c>
      <c r="D3472" t="s">
        <v>522</v>
      </c>
      <c r="E3472" t="s">
        <v>523</v>
      </c>
      <c r="F3472" t="s">
        <v>35</v>
      </c>
      <c r="G3472" t="s">
        <v>35</v>
      </c>
      <c r="H3472" t="s">
        <v>35</v>
      </c>
      <c r="J3472" t="s">
        <v>4008</v>
      </c>
      <c r="K3472" t="s">
        <v>1092</v>
      </c>
      <c r="M3472">
        <v>3.15</v>
      </c>
      <c r="N3472">
        <v>32</v>
      </c>
      <c r="O3472" t="s">
        <v>52</v>
      </c>
      <c r="Q3472" t="s">
        <v>547</v>
      </c>
      <c r="R3472" t="s">
        <v>548</v>
      </c>
      <c r="S3472" t="s">
        <v>524</v>
      </c>
    </row>
    <row r="3473" spans="1:19" x14ac:dyDescent="0.25">
      <c r="A3473" t="s">
        <v>59</v>
      </c>
      <c r="B3473" t="s">
        <v>60</v>
      </c>
      <c r="C3473" t="s">
        <v>32</v>
      </c>
      <c r="D3473" t="s">
        <v>522</v>
      </c>
      <c r="E3473" t="s">
        <v>523</v>
      </c>
      <c r="F3473" t="s">
        <v>35</v>
      </c>
      <c r="G3473" t="s">
        <v>35</v>
      </c>
      <c r="H3473" t="s">
        <v>35</v>
      </c>
      <c r="J3473" t="s">
        <v>4008</v>
      </c>
      <c r="K3473" t="s">
        <v>1092</v>
      </c>
      <c r="M3473">
        <v>0.5</v>
      </c>
      <c r="N3473">
        <v>14</v>
      </c>
      <c r="O3473" t="s">
        <v>46</v>
      </c>
      <c r="Q3473" t="s">
        <v>2440</v>
      </c>
      <c r="R3473" t="s">
        <v>548</v>
      </c>
      <c r="S3473" t="s">
        <v>524</v>
      </c>
    </row>
    <row r="3474" spans="1:19" x14ac:dyDescent="0.25">
      <c r="A3474" t="s">
        <v>30</v>
      </c>
      <c r="B3474" t="s">
        <v>31</v>
      </c>
      <c r="C3474" t="s">
        <v>32</v>
      </c>
      <c r="D3474" t="s">
        <v>522</v>
      </c>
      <c r="E3474" t="s">
        <v>523</v>
      </c>
      <c r="F3474" t="s">
        <v>35</v>
      </c>
      <c r="G3474" t="s">
        <v>35</v>
      </c>
      <c r="H3474" t="s">
        <v>35</v>
      </c>
      <c r="J3474" t="s">
        <v>4009</v>
      </c>
      <c r="K3474" t="s">
        <v>1092</v>
      </c>
      <c r="M3474">
        <v>3.7149999999999999</v>
      </c>
      <c r="N3474">
        <v>33</v>
      </c>
      <c r="O3474" t="s">
        <v>52</v>
      </c>
      <c r="Q3474" t="s">
        <v>137</v>
      </c>
      <c r="R3474" t="s">
        <v>548</v>
      </c>
      <c r="S3474" t="s">
        <v>524</v>
      </c>
    </row>
    <row r="3475" spans="1:19" x14ac:dyDescent="0.25">
      <c r="A3475" t="s">
        <v>30</v>
      </c>
      <c r="B3475" t="s">
        <v>31</v>
      </c>
      <c r="C3475" t="s">
        <v>32</v>
      </c>
      <c r="D3475" t="s">
        <v>522</v>
      </c>
      <c r="E3475" t="s">
        <v>523</v>
      </c>
      <c r="F3475" t="s">
        <v>35</v>
      </c>
      <c r="G3475" t="s">
        <v>35</v>
      </c>
      <c r="H3475" t="s">
        <v>35</v>
      </c>
      <c r="J3475" t="s">
        <v>4009</v>
      </c>
      <c r="K3475" t="s">
        <v>1092</v>
      </c>
      <c r="M3475">
        <v>1.35</v>
      </c>
      <c r="N3475">
        <v>32</v>
      </c>
      <c r="O3475" t="s">
        <v>52</v>
      </c>
      <c r="Q3475" t="s">
        <v>547</v>
      </c>
      <c r="R3475" t="s">
        <v>548</v>
      </c>
      <c r="S3475" t="s">
        <v>524</v>
      </c>
    </row>
    <row r="3476" spans="1:19" x14ac:dyDescent="0.25">
      <c r="A3476" t="s">
        <v>44</v>
      </c>
      <c r="B3476" t="s">
        <v>51</v>
      </c>
      <c r="C3476" t="s">
        <v>32</v>
      </c>
      <c r="D3476" t="s">
        <v>522</v>
      </c>
      <c r="E3476" t="s">
        <v>523</v>
      </c>
      <c r="F3476" t="s">
        <v>35</v>
      </c>
      <c r="G3476" t="s">
        <v>35</v>
      </c>
      <c r="H3476" t="s">
        <v>35</v>
      </c>
      <c r="J3476" t="s">
        <v>4009</v>
      </c>
      <c r="K3476" t="s">
        <v>1092</v>
      </c>
      <c r="M3476">
        <v>0.4</v>
      </c>
      <c r="N3476">
        <v>66</v>
      </c>
      <c r="O3476" t="s">
        <v>61</v>
      </c>
      <c r="Q3476" t="s">
        <v>203</v>
      </c>
      <c r="R3476" t="s">
        <v>548</v>
      </c>
      <c r="S3476" t="s">
        <v>524</v>
      </c>
    </row>
    <row r="3477" spans="1:19" x14ac:dyDescent="0.25">
      <c r="A3477" t="s">
        <v>59</v>
      </c>
      <c r="B3477" t="s">
        <v>31</v>
      </c>
      <c r="C3477" t="s">
        <v>32</v>
      </c>
      <c r="D3477" t="s">
        <v>522</v>
      </c>
      <c r="E3477" t="s">
        <v>523</v>
      </c>
      <c r="F3477" t="s">
        <v>35</v>
      </c>
      <c r="G3477" t="s">
        <v>35</v>
      </c>
      <c r="H3477" t="s">
        <v>35</v>
      </c>
      <c r="J3477" t="s">
        <v>4009</v>
      </c>
      <c r="K3477" t="s">
        <v>1092</v>
      </c>
      <c r="M3477">
        <v>2.25</v>
      </c>
      <c r="N3477">
        <v>69</v>
      </c>
      <c r="O3477" t="s">
        <v>61</v>
      </c>
      <c r="Q3477" t="s">
        <v>139</v>
      </c>
      <c r="R3477" t="s">
        <v>548</v>
      </c>
      <c r="S3477" t="s">
        <v>524</v>
      </c>
    </row>
    <row r="3478" spans="1:19" x14ac:dyDescent="0.25">
      <c r="A3478" t="s">
        <v>59</v>
      </c>
      <c r="B3478" t="s">
        <v>31</v>
      </c>
      <c r="C3478" t="s">
        <v>32</v>
      </c>
      <c r="D3478" t="s">
        <v>522</v>
      </c>
      <c r="E3478" t="s">
        <v>523</v>
      </c>
      <c r="F3478" t="s">
        <v>35</v>
      </c>
      <c r="G3478" t="s">
        <v>35</v>
      </c>
      <c r="H3478" t="s">
        <v>35</v>
      </c>
      <c r="J3478" t="s">
        <v>4009</v>
      </c>
      <c r="K3478" t="s">
        <v>1092</v>
      </c>
      <c r="M3478">
        <v>0.495</v>
      </c>
      <c r="N3478">
        <v>72</v>
      </c>
      <c r="O3478" t="s">
        <v>61</v>
      </c>
      <c r="Q3478" t="s">
        <v>63</v>
      </c>
      <c r="R3478" t="s">
        <v>548</v>
      </c>
      <c r="S3478" t="s">
        <v>524</v>
      </c>
    </row>
    <row r="3479" spans="1:19" x14ac:dyDescent="0.25">
      <c r="A3479" t="s">
        <v>59</v>
      </c>
      <c r="B3479" t="s">
        <v>60</v>
      </c>
      <c r="C3479" t="s">
        <v>32</v>
      </c>
      <c r="D3479" t="s">
        <v>522</v>
      </c>
      <c r="E3479" t="s">
        <v>523</v>
      </c>
      <c r="F3479" t="s">
        <v>35</v>
      </c>
      <c r="G3479" t="s">
        <v>35</v>
      </c>
      <c r="H3479" t="s">
        <v>35</v>
      </c>
      <c r="J3479" t="s">
        <v>4009</v>
      </c>
      <c r="K3479" t="s">
        <v>1092</v>
      </c>
      <c r="M3479">
        <v>0.25</v>
      </c>
      <c r="N3479">
        <v>33</v>
      </c>
      <c r="O3479" t="s">
        <v>52</v>
      </c>
      <c r="Q3479" t="s">
        <v>137</v>
      </c>
      <c r="R3479" t="s">
        <v>548</v>
      </c>
      <c r="S3479" t="s">
        <v>524</v>
      </c>
    </row>
    <row r="3480" spans="1:19" x14ac:dyDescent="0.25">
      <c r="A3480" t="s">
        <v>44</v>
      </c>
      <c r="B3480" t="s">
        <v>51</v>
      </c>
      <c r="C3480" t="s">
        <v>32</v>
      </c>
      <c r="D3480" t="s">
        <v>522</v>
      </c>
      <c r="E3480" t="s">
        <v>523</v>
      </c>
      <c r="F3480" t="s">
        <v>35</v>
      </c>
      <c r="G3480" t="s">
        <v>35</v>
      </c>
      <c r="H3480" t="s">
        <v>35</v>
      </c>
      <c r="J3480" t="s">
        <v>4009</v>
      </c>
      <c r="K3480" t="s">
        <v>1092</v>
      </c>
      <c r="M3480">
        <v>0.75</v>
      </c>
      <c r="N3480">
        <v>55</v>
      </c>
      <c r="O3480" t="s">
        <v>52</v>
      </c>
      <c r="Q3480" t="s">
        <v>518</v>
      </c>
      <c r="R3480" t="s">
        <v>548</v>
      </c>
      <c r="S3480" t="s">
        <v>524</v>
      </c>
    </row>
    <row r="3481" spans="1:19" x14ac:dyDescent="0.25">
      <c r="A3481" t="s">
        <v>30</v>
      </c>
      <c r="B3481" t="s">
        <v>31</v>
      </c>
      <c r="C3481" t="s">
        <v>32</v>
      </c>
      <c r="D3481" t="s">
        <v>522</v>
      </c>
      <c r="E3481" t="s">
        <v>523</v>
      </c>
      <c r="F3481" t="s">
        <v>35</v>
      </c>
      <c r="G3481" t="s">
        <v>35</v>
      </c>
      <c r="H3481" t="s">
        <v>35</v>
      </c>
      <c r="J3481" t="s">
        <v>4010</v>
      </c>
      <c r="K3481" t="s">
        <v>1092</v>
      </c>
      <c r="M3481">
        <v>5.62</v>
      </c>
      <c r="N3481">
        <v>56</v>
      </c>
      <c r="O3481" t="s">
        <v>52</v>
      </c>
      <c r="Q3481" t="s">
        <v>453</v>
      </c>
      <c r="R3481" t="s">
        <v>548</v>
      </c>
      <c r="S3481" t="s">
        <v>524</v>
      </c>
    </row>
    <row r="3482" spans="1:19" x14ac:dyDescent="0.25">
      <c r="A3482" t="s">
        <v>30</v>
      </c>
      <c r="B3482" t="s">
        <v>31</v>
      </c>
      <c r="C3482" t="s">
        <v>32</v>
      </c>
      <c r="D3482" t="s">
        <v>522</v>
      </c>
      <c r="E3482" t="s">
        <v>523</v>
      </c>
      <c r="F3482" t="s">
        <v>35</v>
      </c>
      <c r="G3482" t="s">
        <v>35</v>
      </c>
      <c r="H3482" t="s">
        <v>35</v>
      </c>
      <c r="J3482" t="s">
        <v>4011</v>
      </c>
      <c r="K3482" t="s">
        <v>1092</v>
      </c>
      <c r="M3482">
        <v>0.67500000000000004</v>
      </c>
      <c r="N3482">
        <v>14</v>
      </c>
      <c r="O3482" t="s">
        <v>46</v>
      </c>
      <c r="Q3482" t="s">
        <v>2440</v>
      </c>
      <c r="R3482" t="s">
        <v>548</v>
      </c>
      <c r="S3482" t="s">
        <v>524</v>
      </c>
    </row>
    <row r="3483" spans="1:19" x14ac:dyDescent="0.25">
      <c r="A3483" t="s">
        <v>30</v>
      </c>
      <c r="B3483" t="s">
        <v>31</v>
      </c>
      <c r="C3483" t="s">
        <v>32</v>
      </c>
      <c r="D3483" t="s">
        <v>522</v>
      </c>
      <c r="E3483" t="s">
        <v>523</v>
      </c>
      <c r="F3483" t="s">
        <v>35</v>
      </c>
      <c r="G3483" t="s">
        <v>35</v>
      </c>
      <c r="H3483" t="s">
        <v>35</v>
      </c>
      <c r="J3483" t="s">
        <v>4011</v>
      </c>
      <c r="K3483" t="s">
        <v>1092</v>
      </c>
      <c r="M3483">
        <v>0.13500000000000001</v>
      </c>
      <c r="N3483">
        <v>69</v>
      </c>
      <c r="O3483" t="s">
        <v>61</v>
      </c>
      <c r="Q3483" t="s">
        <v>139</v>
      </c>
      <c r="R3483" t="s">
        <v>548</v>
      </c>
      <c r="S3483" t="s">
        <v>524</v>
      </c>
    </row>
    <row r="3484" spans="1:19" x14ac:dyDescent="0.25">
      <c r="A3484" t="s">
        <v>30</v>
      </c>
      <c r="B3484" t="s">
        <v>31</v>
      </c>
      <c r="C3484" t="s">
        <v>32</v>
      </c>
      <c r="D3484" t="s">
        <v>522</v>
      </c>
      <c r="E3484" t="s">
        <v>523</v>
      </c>
      <c r="F3484" t="s">
        <v>35</v>
      </c>
      <c r="G3484" t="s">
        <v>35</v>
      </c>
      <c r="H3484" t="s">
        <v>35</v>
      </c>
      <c r="J3484" t="s">
        <v>4011</v>
      </c>
      <c r="K3484" t="s">
        <v>1092</v>
      </c>
      <c r="M3484">
        <v>1.35</v>
      </c>
      <c r="N3484">
        <v>32</v>
      </c>
      <c r="O3484" t="s">
        <v>52</v>
      </c>
      <c r="Q3484" t="s">
        <v>547</v>
      </c>
      <c r="R3484" t="s">
        <v>548</v>
      </c>
      <c r="S3484" t="s">
        <v>524</v>
      </c>
    </row>
    <row r="3485" spans="1:19" x14ac:dyDescent="0.25">
      <c r="A3485" t="s">
        <v>30</v>
      </c>
      <c r="B3485" t="s">
        <v>31</v>
      </c>
      <c r="C3485" t="s">
        <v>32</v>
      </c>
      <c r="D3485" t="s">
        <v>522</v>
      </c>
      <c r="E3485" t="s">
        <v>523</v>
      </c>
      <c r="F3485" t="s">
        <v>35</v>
      </c>
      <c r="G3485" t="s">
        <v>35</v>
      </c>
      <c r="H3485" t="s">
        <v>35</v>
      </c>
      <c r="J3485" t="s">
        <v>4011</v>
      </c>
      <c r="K3485" t="s">
        <v>1092</v>
      </c>
      <c r="M3485">
        <v>0.9</v>
      </c>
      <c r="N3485">
        <v>13</v>
      </c>
      <c r="O3485" t="s">
        <v>46</v>
      </c>
      <c r="Q3485" t="s">
        <v>310</v>
      </c>
      <c r="R3485" t="s">
        <v>548</v>
      </c>
      <c r="S3485" t="s">
        <v>524</v>
      </c>
    </row>
    <row r="3486" spans="1:19" x14ac:dyDescent="0.25">
      <c r="A3486" t="s">
        <v>59</v>
      </c>
      <c r="B3486" t="s">
        <v>31</v>
      </c>
      <c r="C3486" t="s">
        <v>32</v>
      </c>
      <c r="D3486" t="s">
        <v>522</v>
      </c>
      <c r="E3486" t="s">
        <v>523</v>
      </c>
      <c r="F3486" t="s">
        <v>35</v>
      </c>
      <c r="G3486" t="s">
        <v>35</v>
      </c>
      <c r="H3486" t="s">
        <v>35</v>
      </c>
      <c r="J3486" t="s">
        <v>4012</v>
      </c>
      <c r="K3486" t="s">
        <v>1092</v>
      </c>
      <c r="M3486">
        <v>5.625</v>
      </c>
      <c r="N3486">
        <v>6</v>
      </c>
      <c r="O3486" t="s">
        <v>46</v>
      </c>
      <c r="Q3486" t="s">
        <v>8168</v>
      </c>
      <c r="R3486" t="s">
        <v>548</v>
      </c>
      <c r="S3486" t="s">
        <v>524</v>
      </c>
    </row>
    <row r="3487" spans="1:19" x14ac:dyDescent="0.25">
      <c r="A3487" t="s">
        <v>30</v>
      </c>
      <c r="B3487" t="s">
        <v>31</v>
      </c>
      <c r="C3487" t="s">
        <v>32</v>
      </c>
      <c r="D3487" t="s">
        <v>522</v>
      </c>
      <c r="E3487" t="s">
        <v>523</v>
      </c>
      <c r="F3487" t="s">
        <v>35</v>
      </c>
      <c r="G3487" t="s">
        <v>35</v>
      </c>
      <c r="H3487" t="s">
        <v>35</v>
      </c>
      <c r="J3487" t="s">
        <v>4012</v>
      </c>
      <c r="K3487" t="s">
        <v>1092</v>
      </c>
      <c r="M3487">
        <v>5.4</v>
      </c>
      <c r="N3487">
        <v>32</v>
      </c>
      <c r="O3487" t="s">
        <v>52</v>
      </c>
      <c r="Q3487" t="s">
        <v>547</v>
      </c>
      <c r="R3487" t="s">
        <v>548</v>
      </c>
      <c r="S3487" t="s">
        <v>524</v>
      </c>
    </row>
    <row r="3488" spans="1:19" x14ac:dyDescent="0.25">
      <c r="A3488" t="s">
        <v>59</v>
      </c>
      <c r="B3488" t="s">
        <v>31</v>
      </c>
      <c r="C3488" t="s">
        <v>32</v>
      </c>
      <c r="D3488" t="s">
        <v>522</v>
      </c>
      <c r="E3488" t="s">
        <v>523</v>
      </c>
      <c r="F3488" t="s">
        <v>35</v>
      </c>
      <c r="G3488" t="s">
        <v>35</v>
      </c>
      <c r="H3488" t="s">
        <v>35</v>
      </c>
      <c r="J3488" t="s">
        <v>4013</v>
      </c>
      <c r="K3488" t="s">
        <v>1092</v>
      </c>
      <c r="M3488">
        <v>0.67500000000000004</v>
      </c>
      <c r="N3488">
        <v>165</v>
      </c>
      <c r="O3488" t="s">
        <v>38</v>
      </c>
      <c r="Q3488" t="s">
        <v>1548</v>
      </c>
      <c r="R3488" t="s">
        <v>548</v>
      </c>
      <c r="S3488" t="s">
        <v>524</v>
      </c>
    </row>
    <row r="3489" spans="1:19" x14ac:dyDescent="0.25">
      <c r="A3489" t="s">
        <v>30</v>
      </c>
      <c r="B3489" t="s">
        <v>31</v>
      </c>
      <c r="C3489" t="s">
        <v>32</v>
      </c>
      <c r="D3489" t="s">
        <v>522</v>
      </c>
      <c r="E3489" t="s">
        <v>523</v>
      </c>
      <c r="F3489" t="s">
        <v>35</v>
      </c>
      <c r="G3489" t="s">
        <v>35</v>
      </c>
      <c r="H3489" t="s">
        <v>35</v>
      </c>
      <c r="J3489" t="s">
        <v>4013</v>
      </c>
      <c r="K3489" t="s">
        <v>1092</v>
      </c>
      <c r="M3489">
        <v>1.575</v>
      </c>
      <c r="N3489">
        <v>32</v>
      </c>
      <c r="O3489" t="s">
        <v>52</v>
      </c>
      <c r="Q3489" t="s">
        <v>547</v>
      </c>
      <c r="R3489" t="s">
        <v>548</v>
      </c>
      <c r="S3489" t="s">
        <v>524</v>
      </c>
    </row>
    <row r="3490" spans="1:19" x14ac:dyDescent="0.25">
      <c r="A3490" t="s">
        <v>59</v>
      </c>
      <c r="B3490" t="s">
        <v>31</v>
      </c>
      <c r="C3490" t="s">
        <v>32</v>
      </c>
      <c r="D3490" t="s">
        <v>522</v>
      </c>
      <c r="E3490" t="s">
        <v>523</v>
      </c>
      <c r="F3490" t="s">
        <v>35</v>
      </c>
      <c r="G3490" t="s">
        <v>35</v>
      </c>
      <c r="H3490" t="s">
        <v>35</v>
      </c>
      <c r="J3490" t="s">
        <v>4013</v>
      </c>
      <c r="K3490" t="s">
        <v>1092</v>
      </c>
      <c r="M3490">
        <v>0.67500000000000004</v>
      </c>
      <c r="N3490">
        <v>215</v>
      </c>
      <c r="O3490" t="s">
        <v>5</v>
      </c>
      <c r="Q3490" t="s">
        <v>3122</v>
      </c>
      <c r="R3490" t="s">
        <v>548</v>
      </c>
      <c r="S3490" t="s">
        <v>524</v>
      </c>
    </row>
    <row r="3491" spans="1:19" x14ac:dyDescent="0.25">
      <c r="A3491" t="s">
        <v>30</v>
      </c>
      <c r="B3491" t="s">
        <v>31</v>
      </c>
      <c r="C3491" t="s">
        <v>32</v>
      </c>
      <c r="D3491" t="s">
        <v>522</v>
      </c>
      <c r="E3491" t="s">
        <v>523</v>
      </c>
      <c r="F3491" t="s">
        <v>35</v>
      </c>
      <c r="G3491" t="s">
        <v>35</v>
      </c>
      <c r="H3491" t="s">
        <v>35</v>
      </c>
      <c r="J3491" t="s">
        <v>4013</v>
      </c>
      <c r="K3491" t="s">
        <v>1092</v>
      </c>
      <c r="M3491">
        <v>0.45</v>
      </c>
      <c r="N3491">
        <v>33</v>
      </c>
      <c r="O3491" t="s">
        <v>52</v>
      </c>
      <c r="Q3491" t="s">
        <v>137</v>
      </c>
      <c r="R3491" t="s">
        <v>548</v>
      </c>
      <c r="S3491" t="s">
        <v>524</v>
      </c>
    </row>
    <row r="3492" spans="1:19" x14ac:dyDescent="0.25">
      <c r="A3492" t="s">
        <v>30</v>
      </c>
      <c r="B3492" t="s">
        <v>31</v>
      </c>
      <c r="C3492" t="s">
        <v>32</v>
      </c>
      <c r="D3492" t="s">
        <v>522</v>
      </c>
      <c r="E3492" t="s">
        <v>523</v>
      </c>
      <c r="F3492" t="s">
        <v>35</v>
      </c>
      <c r="G3492" t="s">
        <v>35</v>
      </c>
      <c r="H3492" t="s">
        <v>35</v>
      </c>
      <c r="J3492" t="s">
        <v>4014</v>
      </c>
      <c r="K3492" t="s">
        <v>1092</v>
      </c>
      <c r="M3492">
        <v>0.67500000000000004</v>
      </c>
      <c r="N3492">
        <v>32</v>
      </c>
      <c r="O3492" t="s">
        <v>52</v>
      </c>
      <c r="Q3492" t="s">
        <v>547</v>
      </c>
      <c r="R3492" t="s">
        <v>548</v>
      </c>
      <c r="S3492" t="s">
        <v>524</v>
      </c>
    </row>
    <row r="3493" spans="1:19" x14ac:dyDescent="0.25">
      <c r="A3493" t="s">
        <v>59</v>
      </c>
      <c r="B3493" t="s">
        <v>60</v>
      </c>
      <c r="C3493" t="s">
        <v>32</v>
      </c>
      <c r="D3493" t="s">
        <v>522</v>
      </c>
      <c r="E3493" t="s">
        <v>523</v>
      </c>
      <c r="F3493" t="s">
        <v>35</v>
      </c>
      <c r="G3493" t="s">
        <v>35</v>
      </c>
      <c r="H3493" t="s">
        <v>35</v>
      </c>
      <c r="J3493" t="s">
        <v>4014</v>
      </c>
      <c r="K3493" t="s">
        <v>1092</v>
      </c>
      <c r="M3493">
        <v>1</v>
      </c>
      <c r="N3493">
        <v>32</v>
      </c>
      <c r="O3493" t="s">
        <v>52</v>
      </c>
      <c r="Q3493" t="s">
        <v>547</v>
      </c>
      <c r="R3493" t="s">
        <v>548</v>
      </c>
      <c r="S3493" t="s">
        <v>524</v>
      </c>
    </row>
    <row r="3494" spans="1:19" x14ac:dyDescent="0.25">
      <c r="A3494" t="s">
        <v>30</v>
      </c>
      <c r="B3494" t="s">
        <v>31</v>
      </c>
      <c r="C3494" t="s">
        <v>32</v>
      </c>
      <c r="D3494" t="s">
        <v>522</v>
      </c>
      <c r="E3494" t="s">
        <v>523</v>
      </c>
      <c r="F3494" t="s">
        <v>35</v>
      </c>
      <c r="G3494" t="s">
        <v>35</v>
      </c>
      <c r="H3494" t="s">
        <v>35</v>
      </c>
      <c r="J3494" t="s">
        <v>4015</v>
      </c>
      <c r="K3494" t="s">
        <v>1092</v>
      </c>
      <c r="M3494">
        <v>1</v>
      </c>
      <c r="N3494">
        <v>389</v>
      </c>
      <c r="O3494" t="s">
        <v>294</v>
      </c>
      <c r="Q3494" t="s">
        <v>4016</v>
      </c>
      <c r="R3494" t="s">
        <v>3931</v>
      </c>
      <c r="S3494" t="s">
        <v>3932</v>
      </c>
    </row>
    <row r="3495" spans="1:19" x14ac:dyDescent="0.25">
      <c r="A3495" t="s">
        <v>44</v>
      </c>
      <c r="B3495" t="s">
        <v>51</v>
      </c>
      <c r="C3495" t="s">
        <v>32</v>
      </c>
      <c r="D3495" t="s">
        <v>522</v>
      </c>
      <c r="E3495" t="s">
        <v>523</v>
      </c>
      <c r="F3495" t="s">
        <v>35</v>
      </c>
      <c r="G3495" t="s">
        <v>35</v>
      </c>
      <c r="H3495" t="s">
        <v>35</v>
      </c>
      <c r="J3495" t="s">
        <v>4017</v>
      </c>
      <c r="K3495" t="s">
        <v>1092</v>
      </c>
      <c r="M3495">
        <v>2.5</v>
      </c>
      <c r="N3495">
        <v>80</v>
      </c>
      <c r="O3495" t="s">
        <v>61</v>
      </c>
      <c r="Q3495" t="s">
        <v>477</v>
      </c>
      <c r="R3495" t="s">
        <v>548</v>
      </c>
      <c r="S3495" t="s">
        <v>524</v>
      </c>
    </row>
    <row r="3496" spans="1:19" x14ac:dyDescent="0.25">
      <c r="A3496" t="s">
        <v>30</v>
      </c>
      <c r="B3496" t="s">
        <v>31</v>
      </c>
      <c r="C3496" t="s">
        <v>32</v>
      </c>
      <c r="D3496" t="s">
        <v>522</v>
      </c>
      <c r="E3496" t="s">
        <v>523</v>
      </c>
      <c r="F3496" t="s">
        <v>35</v>
      </c>
      <c r="G3496" t="s">
        <v>35</v>
      </c>
      <c r="H3496" t="s">
        <v>35</v>
      </c>
      <c r="J3496" t="s">
        <v>4017</v>
      </c>
      <c r="K3496" t="s">
        <v>1092</v>
      </c>
      <c r="M3496">
        <v>1.8</v>
      </c>
      <c r="N3496">
        <v>14</v>
      </c>
      <c r="O3496" t="s">
        <v>46</v>
      </c>
      <c r="Q3496" t="s">
        <v>2440</v>
      </c>
      <c r="R3496" t="s">
        <v>548</v>
      </c>
      <c r="S3496" t="s">
        <v>524</v>
      </c>
    </row>
    <row r="3497" spans="1:19" x14ac:dyDescent="0.25">
      <c r="A3497" t="s">
        <v>30</v>
      </c>
      <c r="B3497" t="s">
        <v>31</v>
      </c>
      <c r="C3497" t="s">
        <v>32</v>
      </c>
      <c r="D3497" t="s">
        <v>522</v>
      </c>
      <c r="E3497" t="s">
        <v>523</v>
      </c>
      <c r="F3497" t="s">
        <v>35</v>
      </c>
      <c r="G3497" t="s">
        <v>35</v>
      </c>
      <c r="H3497" t="s">
        <v>35</v>
      </c>
      <c r="J3497" t="s">
        <v>4017</v>
      </c>
      <c r="K3497" t="s">
        <v>1092</v>
      </c>
      <c r="M3497">
        <v>0.9</v>
      </c>
      <c r="N3497">
        <v>13</v>
      </c>
      <c r="O3497" t="s">
        <v>46</v>
      </c>
      <c r="Q3497" t="s">
        <v>310</v>
      </c>
      <c r="R3497" t="s">
        <v>548</v>
      </c>
      <c r="S3497" t="s">
        <v>524</v>
      </c>
    </row>
    <row r="3498" spans="1:19" x14ac:dyDescent="0.25">
      <c r="A3498" t="s">
        <v>44</v>
      </c>
      <c r="B3498" t="s">
        <v>51</v>
      </c>
      <c r="C3498" t="s">
        <v>32</v>
      </c>
      <c r="D3498" t="s">
        <v>522</v>
      </c>
      <c r="E3498" t="s">
        <v>523</v>
      </c>
      <c r="F3498" t="s">
        <v>35</v>
      </c>
      <c r="G3498" t="s">
        <v>35</v>
      </c>
      <c r="H3498" t="s">
        <v>35</v>
      </c>
      <c r="J3498" t="s">
        <v>4017</v>
      </c>
      <c r="K3498" t="s">
        <v>1092</v>
      </c>
      <c r="M3498">
        <v>1.25</v>
      </c>
      <c r="N3498">
        <v>69</v>
      </c>
      <c r="O3498" t="s">
        <v>61</v>
      </c>
      <c r="Q3498" t="s">
        <v>139</v>
      </c>
      <c r="R3498" t="s">
        <v>548</v>
      </c>
      <c r="S3498" t="s">
        <v>524</v>
      </c>
    </row>
    <row r="3499" spans="1:19" x14ac:dyDescent="0.25">
      <c r="A3499" t="s">
        <v>44</v>
      </c>
      <c r="B3499" t="s">
        <v>51</v>
      </c>
      <c r="C3499" t="s">
        <v>32</v>
      </c>
      <c r="D3499" t="s">
        <v>522</v>
      </c>
      <c r="E3499" t="s">
        <v>523</v>
      </c>
      <c r="F3499" t="s">
        <v>35</v>
      </c>
      <c r="G3499" t="s">
        <v>35</v>
      </c>
      <c r="H3499" t="s">
        <v>35</v>
      </c>
      <c r="J3499" t="s">
        <v>4017</v>
      </c>
      <c r="K3499" t="s">
        <v>1092</v>
      </c>
      <c r="M3499">
        <v>1</v>
      </c>
      <c r="N3499">
        <v>66</v>
      </c>
      <c r="O3499" t="s">
        <v>61</v>
      </c>
      <c r="Q3499" t="s">
        <v>203</v>
      </c>
      <c r="R3499" t="s">
        <v>548</v>
      </c>
      <c r="S3499" t="s">
        <v>524</v>
      </c>
    </row>
    <row r="3500" spans="1:19" x14ac:dyDescent="0.25">
      <c r="A3500" t="s">
        <v>44</v>
      </c>
      <c r="B3500" t="s">
        <v>51</v>
      </c>
      <c r="C3500" t="s">
        <v>32</v>
      </c>
      <c r="D3500" t="s">
        <v>522</v>
      </c>
      <c r="E3500" t="s">
        <v>523</v>
      </c>
      <c r="F3500" t="s">
        <v>35</v>
      </c>
      <c r="G3500" t="s">
        <v>35</v>
      </c>
      <c r="H3500" t="s">
        <v>35</v>
      </c>
      <c r="J3500" t="s">
        <v>4017</v>
      </c>
      <c r="K3500" t="s">
        <v>1092</v>
      </c>
      <c r="M3500">
        <v>1.5</v>
      </c>
      <c r="N3500">
        <v>55</v>
      </c>
      <c r="O3500" t="s">
        <v>52</v>
      </c>
      <c r="Q3500" t="s">
        <v>518</v>
      </c>
      <c r="R3500" t="s">
        <v>548</v>
      </c>
      <c r="S3500" t="s">
        <v>524</v>
      </c>
    </row>
    <row r="3501" spans="1:19" x14ac:dyDescent="0.25">
      <c r="A3501" t="s">
        <v>30</v>
      </c>
      <c r="B3501" t="s">
        <v>31</v>
      </c>
      <c r="C3501" t="s">
        <v>32</v>
      </c>
      <c r="D3501" t="s">
        <v>522</v>
      </c>
      <c r="E3501" t="s">
        <v>523</v>
      </c>
      <c r="F3501" t="s">
        <v>35</v>
      </c>
      <c r="G3501" t="s">
        <v>35</v>
      </c>
      <c r="H3501" t="s">
        <v>35</v>
      </c>
      <c r="J3501" t="s">
        <v>4017</v>
      </c>
      <c r="K3501" t="s">
        <v>1092</v>
      </c>
      <c r="M3501">
        <v>7.65</v>
      </c>
      <c r="N3501">
        <v>45</v>
      </c>
      <c r="O3501" t="s">
        <v>52</v>
      </c>
      <c r="Q3501" t="s">
        <v>716</v>
      </c>
      <c r="R3501" t="s">
        <v>548</v>
      </c>
      <c r="S3501" t="s">
        <v>524</v>
      </c>
    </row>
    <row r="3502" spans="1:19" x14ac:dyDescent="0.25">
      <c r="A3502" t="s">
        <v>30</v>
      </c>
      <c r="B3502" t="s">
        <v>31</v>
      </c>
      <c r="C3502" t="s">
        <v>32</v>
      </c>
      <c r="D3502" t="s">
        <v>522</v>
      </c>
      <c r="E3502" t="s">
        <v>523</v>
      </c>
      <c r="F3502" t="s">
        <v>35</v>
      </c>
      <c r="G3502" t="s">
        <v>35</v>
      </c>
      <c r="H3502" t="s">
        <v>35</v>
      </c>
      <c r="J3502" t="s">
        <v>4017</v>
      </c>
      <c r="K3502" t="s">
        <v>1092</v>
      </c>
      <c r="M3502">
        <v>0.67500000000000004</v>
      </c>
      <c r="N3502">
        <v>33</v>
      </c>
      <c r="O3502" t="s">
        <v>52</v>
      </c>
      <c r="Q3502" t="s">
        <v>137</v>
      </c>
      <c r="R3502" t="s">
        <v>548</v>
      </c>
      <c r="S3502" t="s">
        <v>524</v>
      </c>
    </row>
    <row r="3503" spans="1:19" x14ac:dyDescent="0.25">
      <c r="A3503" t="s">
        <v>30</v>
      </c>
      <c r="B3503" t="s">
        <v>31</v>
      </c>
      <c r="C3503" t="s">
        <v>32</v>
      </c>
      <c r="D3503" t="s">
        <v>522</v>
      </c>
      <c r="E3503" t="s">
        <v>523</v>
      </c>
      <c r="F3503" t="s">
        <v>35</v>
      </c>
      <c r="G3503" t="s">
        <v>35</v>
      </c>
      <c r="H3503" t="s">
        <v>35</v>
      </c>
      <c r="J3503" t="s">
        <v>4017</v>
      </c>
      <c r="K3503" t="s">
        <v>1092</v>
      </c>
      <c r="M3503">
        <v>0.9</v>
      </c>
      <c r="N3503">
        <v>32</v>
      </c>
      <c r="O3503" t="s">
        <v>52</v>
      </c>
      <c r="Q3503" t="s">
        <v>547</v>
      </c>
      <c r="R3503" t="s">
        <v>548</v>
      </c>
      <c r="S3503" t="s">
        <v>524</v>
      </c>
    </row>
    <row r="3504" spans="1:19" x14ac:dyDescent="0.25">
      <c r="A3504" t="s">
        <v>44</v>
      </c>
      <c r="B3504" t="s">
        <v>51</v>
      </c>
      <c r="C3504" t="s">
        <v>32</v>
      </c>
      <c r="D3504" t="s">
        <v>522</v>
      </c>
      <c r="E3504" t="s">
        <v>523</v>
      </c>
      <c r="F3504" t="s">
        <v>35</v>
      </c>
      <c r="G3504" t="s">
        <v>35</v>
      </c>
      <c r="H3504" t="s">
        <v>35</v>
      </c>
      <c r="J3504" t="s">
        <v>4017</v>
      </c>
      <c r="K3504" t="s">
        <v>1092</v>
      </c>
      <c r="M3504">
        <v>0.5</v>
      </c>
      <c r="N3504">
        <v>72</v>
      </c>
      <c r="O3504" t="s">
        <v>61</v>
      </c>
      <c r="Q3504" t="s">
        <v>63</v>
      </c>
      <c r="R3504" t="s">
        <v>548</v>
      </c>
      <c r="S3504" t="s">
        <v>524</v>
      </c>
    </row>
    <row r="3505" spans="1:19" x14ac:dyDescent="0.25">
      <c r="A3505" t="s">
        <v>30</v>
      </c>
      <c r="B3505" t="s">
        <v>31</v>
      </c>
      <c r="C3505" t="s">
        <v>32</v>
      </c>
      <c r="D3505" t="s">
        <v>522</v>
      </c>
      <c r="E3505" t="s">
        <v>523</v>
      </c>
      <c r="F3505" t="s">
        <v>35</v>
      </c>
      <c r="G3505" t="s">
        <v>35</v>
      </c>
      <c r="H3505" t="s">
        <v>35</v>
      </c>
      <c r="J3505" t="s">
        <v>4018</v>
      </c>
      <c r="K3505" t="s">
        <v>1092</v>
      </c>
      <c r="M3505">
        <v>0.44</v>
      </c>
      <c r="N3505">
        <v>1128</v>
      </c>
      <c r="O3505" t="s">
        <v>575</v>
      </c>
      <c r="Q3505" t="s">
        <v>4019</v>
      </c>
      <c r="R3505" t="s">
        <v>3993</v>
      </c>
      <c r="S3505" t="s">
        <v>3994</v>
      </c>
    </row>
    <row r="3506" spans="1:19" x14ac:dyDescent="0.25">
      <c r="A3506" t="s">
        <v>30</v>
      </c>
      <c r="B3506" t="s">
        <v>31</v>
      </c>
      <c r="C3506" t="s">
        <v>32</v>
      </c>
      <c r="D3506" t="s">
        <v>522</v>
      </c>
      <c r="E3506" t="s">
        <v>523</v>
      </c>
      <c r="F3506" t="s">
        <v>35</v>
      </c>
      <c r="G3506" t="s">
        <v>35</v>
      </c>
      <c r="H3506" t="s">
        <v>35</v>
      </c>
      <c r="J3506" t="s">
        <v>4020</v>
      </c>
      <c r="K3506" t="s">
        <v>1092</v>
      </c>
      <c r="M3506">
        <v>3.15</v>
      </c>
      <c r="N3506">
        <v>1390</v>
      </c>
      <c r="O3506" t="s">
        <v>575</v>
      </c>
      <c r="Q3506" t="s">
        <v>4021</v>
      </c>
      <c r="R3506" t="s">
        <v>3993</v>
      </c>
      <c r="S3506" t="s">
        <v>3994</v>
      </c>
    </row>
    <row r="3507" spans="1:19" x14ac:dyDescent="0.25">
      <c r="A3507" t="s">
        <v>30</v>
      </c>
      <c r="B3507" t="s">
        <v>31</v>
      </c>
      <c r="C3507" t="s">
        <v>32</v>
      </c>
      <c r="D3507" t="s">
        <v>522</v>
      </c>
      <c r="E3507" t="s">
        <v>523</v>
      </c>
      <c r="F3507" t="s">
        <v>35</v>
      </c>
      <c r="G3507" t="s">
        <v>35</v>
      </c>
      <c r="H3507" t="s">
        <v>35</v>
      </c>
      <c r="J3507" t="s">
        <v>4022</v>
      </c>
      <c r="K3507" t="s">
        <v>1092</v>
      </c>
      <c r="M3507">
        <v>29.204999999999998</v>
      </c>
      <c r="N3507">
        <v>49</v>
      </c>
      <c r="O3507" t="s">
        <v>52</v>
      </c>
      <c r="Q3507" t="s">
        <v>219</v>
      </c>
      <c r="R3507" t="s">
        <v>538</v>
      </c>
      <c r="S3507" t="s">
        <v>539</v>
      </c>
    </row>
    <row r="3508" spans="1:19" x14ac:dyDescent="0.25">
      <c r="A3508" t="s">
        <v>30</v>
      </c>
      <c r="B3508" t="s">
        <v>31</v>
      </c>
      <c r="C3508" t="s">
        <v>32</v>
      </c>
      <c r="D3508" t="s">
        <v>522</v>
      </c>
      <c r="E3508" t="s">
        <v>523</v>
      </c>
      <c r="F3508" t="s">
        <v>35</v>
      </c>
      <c r="G3508" t="s">
        <v>35</v>
      </c>
      <c r="H3508" t="s">
        <v>35</v>
      </c>
      <c r="J3508" t="s">
        <v>4024</v>
      </c>
      <c r="K3508" t="s">
        <v>1092</v>
      </c>
      <c r="M3508">
        <v>1.62</v>
      </c>
      <c r="N3508">
        <v>69</v>
      </c>
      <c r="O3508" t="s">
        <v>61</v>
      </c>
      <c r="Q3508" t="s">
        <v>139</v>
      </c>
      <c r="R3508" t="s">
        <v>548</v>
      </c>
      <c r="S3508" t="s">
        <v>524</v>
      </c>
    </row>
    <row r="3509" spans="1:19" x14ac:dyDescent="0.25">
      <c r="A3509" t="s">
        <v>30</v>
      </c>
      <c r="B3509" t="s">
        <v>31</v>
      </c>
      <c r="C3509" t="s">
        <v>32</v>
      </c>
      <c r="D3509" t="s">
        <v>522</v>
      </c>
      <c r="E3509" t="s">
        <v>523</v>
      </c>
      <c r="F3509" t="s">
        <v>35</v>
      </c>
      <c r="G3509" t="s">
        <v>35</v>
      </c>
      <c r="H3509" t="s">
        <v>35</v>
      </c>
      <c r="J3509" t="s">
        <v>4025</v>
      </c>
      <c r="K3509" t="s">
        <v>1092</v>
      </c>
      <c r="M3509">
        <v>9.6750000000000007</v>
      </c>
      <c r="N3509">
        <v>69</v>
      </c>
      <c r="O3509" t="s">
        <v>61</v>
      </c>
      <c r="Q3509" t="s">
        <v>139</v>
      </c>
      <c r="R3509" t="s">
        <v>548</v>
      </c>
      <c r="S3509" t="s">
        <v>524</v>
      </c>
    </row>
    <row r="3510" spans="1:19" x14ac:dyDescent="0.25">
      <c r="A3510" t="s">
        <v>59</v>
      </c>
      <c r="B3510" t="s">
        <v>60</v>
      </c>
      <c r="C3510" t="s">
        <v>32</v>
      </c>
      <c r="D3510" t="s">
        <v>522</v>
      </c>
      <c r="E3510" t="s">
        <v>523</v>
      </c>
      <c r="F3510" t="s">
        <v>35</v>
      </c>
      <c r="G3510" t="s">
        <v>35</v>
      </c>
      <c r="H3510" t="s">
        <v>35</v>
      </c>
      <c r="J3510" t="s">
        <v>4025</v>
      </c>
      <c r="K3510" t="s">
        <v>1092</v>
      </c>
      <c r="M3510">
        <v>0.75</v>
      </c>
      <c r="N3510">
        <v>156</v>
      </c>
      <c r="O3510" t="s">
        <v>38</v>
      </c>
      <c r="Q3510" t="s">
        <v>75</v>
      </c>
      <c r="R3510" t="s">
        <v>548</v>
      </c>
      <c r="S3510" t="s">
        <v>524</v>
      </c>
    </row>
    <row r="3511" spans="1:19" x14ac:dyDescent="0.25">
      <c r="A3511" t="s">
        <v>30</v>
      </c>
      <c r="B3511" t="s">
        <v>31</v>
      </c>
      <c r="C3511" t="s">
        <v>32</v>
      </c>
      <c r="D3511" t="s">
        <v>522</v>
      </c>
      <c r="E3511" t="s">
        <v>523</v>
      </c>
      <c r="F3511" t="s">
        <v>35</v>
      </c>
      <c r="G3511" t="s">
        <v>35</v>
      </c>
      <c r="H3511" t="s">
        <v>35</v>
      </c>
      <c r="J3511" t="s">
        <v>4026</v>
      </c>
      <c r="K3511" t="s">
        <v>1092</v>
      </c>
      <c r="M3511">
        <v>5.49</v>
      </c>
      <c r="N3511">
        <v>45</v>
      </c>
      <c r="O3511" t="s">
        <v>52</v>
      </c>
      <c r="Q3511" t="s">
        <v>716</v>
      </c>
      <c r="R3511" t="s">
        <v>548</v>
      </c>
      <c r="S3511" t="s">
        <v>524</v>
      </c>
    </row>
    <row r="3512" spans="1:19" x14ac:dyDescent="0.25">
      <c r="A3512" t="s">
        <v>59</v>
      </c>
      <c r="B3512" t="s">
        <v>31</v>
      </c>
      <c r="C3512" t="s">
        <v>32</v>
      </c>
      <c r="D3512" t="s">
        <v>522</v>
      </c>
      <c r="E3512" t="s">
        <v>523</v>
      </c>
      <c r="F3512" t="s">
        <v>35</v>
      </c>
      <c r="G3512" t="s">
        <v>35</v>
      </c>
      <c r="H3512" t="s">
        <v>35</v>
      </c>
      <c r="J3512" t="s">
        <v>4027</v>
      </c>
      <c r="K3512" t="s">
        <v>1092</v>
      </c>
      <c r="M3512">
        <v>0.27</v>
      </c>
      <c r="N3512">
        <v>58</v>
      </c>
      <c r="O3512" t="s">
        <v>52</v>
      </c>
      <c r="Q3512" t="s">
        <v>58</v>
      </c>
      <c r="R3512" t="s">
        <v>548</v>
      </c>
      <c r="S3512" t="s">
        <v>524</v>
      </c>
    </row>
    <row r="3513" spans="1:19" x14ac:dyDescent="0.25">
      <c r="A3513" t="s">
        <v>30</v>
      </c>
      <c r="B3513" t="s">
        <v>31</v>
      </c>
      <c r="C3513" t="s">
        <v>32</v>
      </c>
      <c r="D3513" t="s">
        <v>522</v>
      </c>
      <c r="E3513" t="s">
        <v>523</v>
      </c>
      <c r="F3513" t="s">
        <v>35</v>
      </c>
      <c r="G3513" t="s">
        <v>35</v>
      </c>
      <c r="H3513" t="s">
        <v>35</v>
      </c>
      <c r="J3513" t="s">
        <v>4027</v>
      </c>
      <c r="K3513" t="s">
        <v>1092</v>
      </c>
      <c r="M3513">
        <v>0.36</v>
      </c>
      <c r="N3513">
        <v>58</v>
      </c>
      <c r="O3513" t="s">
        <v>52</v>
      </c>
      <c r="Q3513" t="s">
        <v>58</v>
      </c>
      <c r="R3513" t="s">
        <v>548</v>
      </c>
      <c r="S3513" t="s">
        <v>524</v>
      </c>
    </row>
    <row r="3514" spans="1:19" x14ac:dyDescent="0.25">
      <c r="A3514" t="s">
        <v>59</v>
      </c>
      <c r="B3514" t="s">
        <v>60</v>
      </c>
      <c r="C3514" t="s">
        <v>32</v>
      </c>
      <c r="D3514" t="s">
        <v>522</v>
      </c>
      <c r="E3514" t="s">
        <v>523</v>
      </c>
      <c r="F3514" t="s">
        <v>35</v>
      </c>
      <c r="G3514" t="s">
        <v>35</v>
      </c>
      <c r="H3514" t="s">
        <v>35</v>
      </c>
      <c r="J3514" t="s">
        <v>4028</v>
      </c>
      <c r="K3514" t="s">
        <v>1092</v>
      </c>
      <c r="M3514">
        <v>3</v>
      </c>
      <c r="N3514">
        <v>134</v>
      </c>
      <c r="O3514" t="s">
        <v>38</v>
      </c>
      <c r="Q3514" t="s">
        <v>3640</v>
      </c>
      <c r="R3514" t="s">
        <v>3993</v>
      </c>
      <c r="S3514" t="s">
        <v>3994</v>
      </c>
    </row>
    <row r="3515" spans="1:19" x14ac:dyDescent="0.25">
      <c r="A3515" t="s">
        <v>30</v>
      </c>
      <c r="B3515" t="s">
        <v>31</v>
      </c>
      <c r="C3515" t="s">
        <v>32</v>
      </c>
      <c r="D3515" t="s">
        <v>522</v>
      </c>
      <c r="E3515" t="s">
        <v>523</v>
      </c>
      <c r="F3515" t="s">
        <v>35</v>
      </c>
      <c r="G3515" t="s">
        <v>35</v>
      </c>
      <c r="H3515" t="s">
        <v>35</v>
      </c>
      <c r="J3515" t="s">
        <v>4028</v>
      </c>
      <c r="K3515" t="s">
        <v>1092</v>
      </c>
      <c r="M3515">
        <v>11.025</v>
      </c>
      <c r="N3515">
        <v>49</v>
      </c>
      <c r="O3515" t="s">
        <v>52</v>
      </c>
      <c r="Q3515" t="s">
        <v>219</v>
      </c>
      <c r="R3515" t="s">
        <v>538</v>
      </c>
      <c r="S3515" t="s">
        <v>539</v>
      </c>
    </row>
    <row r="3516" spans="1:19" x14ac:dyDescent="0.25">
      <c r="A3516" t="s">
        <v>30</v>
      </c>
      <c r="B3516" t="s">
        <v>31</v>
      </c>
      <c r="C3516" t="s">
        <v>32</v>
      </c>
      <c r="D3516" t="s">
        <v>522</v>
      </c>
      <c r="E3516" t="s">
        <v>523</v>
      </c>
      <c r="F3516" t="s">
        <v>35</v>
      </c>
      <c r="G3516" t="s">
        <v>35</v>
      </c>
      <c r="H3516" t="s">
        <v>35</v>
      </c>
      <c r="J3516" t="s">
        <v>4028</v>
      </c>
      <c r="K3516" t="s">
        <v>1092</v>
      </c>
      <c r="M3516">
        <v>8.3249999999999993</v>
      </c>
      <c r="N3516">
        <v>71</v>
      </c>
      <c r="O3516" t="s">
        <v>61</v>
      </c>
      <c r="Q3516" t="s">
        <v>102</v>
      </c>
      <c r="R3516" t="s">
        <v>538</v>
      </c>
      <c r="S3516" t="s">
        <v>539</v>
      </c>
    </row>
    <row r="3517" spans="1:19" x14ac:dyDescent="0.25">
      <c r="A3517" t="s">
        <v>30</v>
      </c>
      <c r="B3517" t="s">
        <v>31</v>
      </c>
      <c r="C3517" t="s">
        <v>32</v>
      </c>
      <c r="D3517" t="s">
        <v>522</v>
      </c>
      <c r="E3517" t="s">
        <v>523</v>
      </c>
      <c r="F3517" t="s">
        <v>35</v>
      </c>
      <c r="G3517" t="s">
        <v>35</v>
      </c>
      <c r="H3517" t="s">
        <v>35</v>
      </c>
      <c r="J3517" t="s">
        <v>4030</v>
      </c>
      <c r="K3517" t="s">
        <v>1092</v>
      </c>
      <c r="M3517">
        <v>8.6850000000000005</v>
      </c>
      <c r="N3517">
        <v>69</v>
      </c>
      <c r="O3517" t="s">
        <v>61</v>
      </c>
      <c r="Q3517" t="s">
        <v>139</v>
      </c>
      <c r="R3517" t="s">
        <v>548</v>
      </c>
      <c r="S3517" t="s">
        <v>524</v>
      </c>
    </row>
    <row r="3518" spans="1:19" x14ac:dyDescent="0.25">
      <c r="A3518" t="s">
        <v>30</v>
      </c>
      <c r="B3518" t="s">
        <v>31</v>
      </c>
      <c r="C3518" t="s">
        <v>32</v>
      </c>
      <c r="D3518" t="s">
        <v>522</v>
      </c>
      <c r="E3518" t="s">
        <v>523</v>
      </c>
      <c r="F3518" t="s">
        <v>35</v>
      </c>
      <c r="G3518" t="s">
        <v>35</v>
      </c>
      <c r="H3518" t="s">
        <v>35</v>
      </c>
      <c r="J3518" t="s">
        <v>4030</v>
      </c>
      <c r="K3518" t="s">
        <v>1092</v>
      </c>
      <c r="M3518">
        <v>0.54</v>
      </c>
      <c r="N3518">
        <v>14</v>
      </c>
      <c r="O3518" t="s">
        <v>46</v>
      </c>
      <c r="Q3518" t="s">
        <v>2440</v>
      </c>
      <c r="R3518" t="s">
        <v>548</v>
      </c>
      <c r="S3518" t="s">
        <v>524</v>
      </c>
    </row>
    <row r="3519" spans="1:19" x14ac:dyDescent="0.25">
      <c r="A3519" t="s">
        <v>30</v>
      </c>
      <c r="B3519" t="s">
        <v>31</v>
      </c>
      <c r="C3519" t="s">
        <v>32</v>
      </c>
      <c r="D3519" t="s">
        <v>522</v>
      </c>
      <c r="E3519" t="s">
        <v>523</v>
      </c>
      <c r="F3519" t="s">
        <v>35</v>
      </c>
      <c r="G3519" t="s">
        <v>35</v>
      </c>
      <c r="H3519" t="s">
        <v>35</v>
      </c>
      <c r="J3519" t="s">
        <v>4031</v>
      </c>
      <c r="K3519" t="s">
        <v>1092</v>
      </c>
      <c r="M3519">
        <v>5.04</v>
      </c>
      <c r="N3519">
        <v>71</v>
      </c>
      <c r="O3519" t="s">
        <v>61</v>
      </c>
      <c r="Q3519" t="s">
        <v>102</v>
      </c>
      <c r="R3519" t="s">
        <v>538</v>
      </c>
      <c r="S3519" t="s">
        <v>539</v>
      </c>
    </row>
    <row r="3520" spans="1:19" x14ac:dyDescent="0.25">
      <c r="A3520" t="s">
        <v>59</v>
      </c>
      <c r="B3520" t="s">
        <v>60</v>
      </c>
      <c r="C3520" t="s">
        <v>32</v>
      </c>
      <c r="D3520" t="s">
        <v>522</v>
      </c>
      <c r="E3520" t="s">
        <v>523</v>
      </c>
      <c r="F3520" t="s">
        <v>35</v>
      </c>
      <c r="G3520" t="s">
        <v>35</v>
      </c>
      <c r="H3520" t="s">
        <v>35</v>
      </c>
      <c r="J3520" t="s">
        <v>4031</v>
      </c>
      <c r="K3520" t="s">
        <v>1092</v>
      </c>
      <c r="M3520">
        <v>0.3</v>
      </c>
      <c r="N3520">
        <v>130</v>
      </c>
      <c r="O3520" t="s">
        <v>38</v>
      </c>
      <c r="Q3520" t="s">
        <v>1656</v>
      </c>
      <c r="R3520" t="s">
        <v>577</v>
      </c>
      <c r="S3520" t="s">
        <v>578</v>
      </c>
    </row>
    <row r="3521" spans="1:19" x14ac:dyDescent="0.25">
      <c r="A3521" t="s">
        <v>44</v>
      </c>
      <c r="B3521" t="s">
        <v>3</v>
      </c>
      <c r="C3521" t="s">
        <v>32</v>
      </c>
      <c r="D3521" t="s">
        <v>522</v>
      </c>
      <c r="E3521" t="s">
        <v>523</v>
      </c>
      <c r="F3521" t="s">
        <v>35</v>
      </c>
      <c r="G3521" t="s">
        <v>35</v>
      </c>
      <c r="H3521" t="s">
        <v>35</v>
      </c>
      <c r="J3521" t="s">
        <v>4032</v>
      </c>
      <c r="K3521" t="s">
        <v>1092</v>
      </c>
      <c r="M3521">
        <v>0.75</v>
      </c>
      <c r="N3521">
        <v>251</v>
      </c>
      <c r="O3521" t="s">
        <v>5</v>
      </c>
      <c r="Q3521" t="s">
        <v>1688</v>
      </c>
      <c r="R3521" t="s">
        <v>548</v>
      </c>
      <c r="S3521" t="s">
        <v>524</v>
      </c>
    </row>
    <row r="3522" spans="1:19" x14ac:dyDescent="0.25">
      <c r="A3522" t="s">
        <v>30</v>
      </c>
      <c r="B3522" t="s">
        <v>31</v>
      </c>
      <c r="C3522" t="s">
        <v>32</v>
      </c>
      <c r="D3522" t="s">
        <v>522</v>
      </c>
      <c r="E3522" t="s">
        <v>523</v>
      </c>
      <c r="F3522" t="s">
        <v>35</v>
      </c>
      <c r="G3522" t="s">
        <v>35</v>
      </c>
      <c r="H3522" t="s">
        <v>35</v>
      </c>
      <c r="J3522" t="s">
        <v>4033</v>
      </c>
      <c r="K3522" t="s">
        <v>1092</v>
      </c>
      <c r="M3522">
        <v>0.18</v>
      </c>
      <c r="N3522">
        <v>14</v>
      </c>
      <c r="O3522" t="s">
        <v>46</v>
      </c>
      <c r="Q3522" t="s">
        <v>2440</v>
      </c>
      <c r="R3522" t="s">
        <v>548</v>
      </c>
      <c r="S3522" t="s">
        <v>524</v>
      </c>
    </row>
    <row r="3523" spans="1:19" x14ac:dyDescent="0.25">
      <c r="A3523" t="s">
        <v>44</v>
      </c>
      <c r="B3523" t="s">
        <v>51</v>
      </c>
      <c r="C3523" t="s">
        <v>32</v>
      </c>
      <c r="D3523" t="s">
        <v>522</v>
      </c>
      <c r="E3523" t="s">
        <v>523</v>
      </c>
      <c r="F3523" t="s">
        <v>35</v>
      </c>
      <c r="G3523" t="s">
        <v>35</v>
      </c>
      <c r="H3523" t="s">
        <v>35</v>
      </c>
      <c r="J3523" t="s">
        <v>4034</v>
      </c>
      <c r="K3523" t="s">
        <v>1092</v>
      </c>
      <c r="M3523">
        <v>0.5</v>
      </c>
      <c r="N3523">
        <v>69</v>
      </c>
      <c r="O3523" t="s">
        <v>61</v>
      </c>
      <c r="Q3523" t="s">
        <v>139</v>
      </c>
      <c r="R3523" t="s">
        <v>548</v>
      </c>
      <c r="S3523" t="s">
        <v>524</v>
      </c>
    </row>
    <row r="3524" spans="1:19" x14ac:dyDescent="0.25">
      <c r="A3524" t="s">
        <v>59</v>
      </c>
      <c r="B3524" t="s">
        <v>60</v>
      </c>
      <c r="C3524" t="s">
        <v>32</v>
      </c>
      <c r="D3524" t="s">
        <v>522</v>
      </c>
      <c r="E3524" t="s">
        <v>523</v>
      </c>
      <c r="F3524" t="s">
        <v>35</v>
      </c>
      <c r="G3524" t="s">
        <v>35</v>
      </c>
      <c r="H3524" t="s">
        <v>35</v>
      </c>
      <c r="J3524" t="s">
        <v>4034</v>
      </c>
      <c r="K3524" t="s">
        <v>1092</v>
      </c>
      <c r="M3524">
        <v>0.5</v>
      </c>
      <c r="N3524">
        <v>32</v>
      </c>
      <c r="O3524" t="s">
        <v>52</v>
      </c>
      <c r="Q3524" t="s">
        <v>547</v>
      </c>
      <c r="R3524" t="s">
        <v>548</v>
      </c>
      <c r="S3524" t="s">
        <v>524</v>
      </c>
    </row>
    <row r="3525" spans="1:19" x14ac:dyDescent="0.25">
      <c r="A3525" t="s">
        <v>30</v>
      </c>
      <c r="B3525" t="s">
        <v>31</v>
      </c>
      <c r="C3525" t="s">
        <v>32</v>
      </c>
      <c r="D3525" t="s">
        <v>522</v>
      </c>
      <c r="E3525" t="s">
        <v>523</v>
      </c>
      <c r="F3525" t="s">
        <v>35</v>
      </c>
      <c r="G3525" t="s">
        <v>35</v>
      </c>
      <c r="H3525" t="s">
        <v>35</v>
      </c>
      <c r="J3525" t="s">
        <v>4034</v>
      </c>
      <c r="K3525" t="s">
        <v>1092</v>
      </c>
      <c r="M3525">
        <v>1.35</v>
      </c>
      <c r="N3525">
        <v>32</v>
      </c>
      <c r="O3525" t="s">
        <v>52</v>
      </c>
      <c r="Q3525" t="s">
        <v>547</v>
      </c>
      <c r="R3525" t="s">
        <v>548</v>
      </c>
      <c r="S3525" t="s">
        <v>524</v>
      </c>
    </row>
    <row r="3526" spans="1:19" x14ac:dyDescent="0.25">
      <c r="A3526" t="s">
        <v>59</v>
      </c>
      <c r="B3526" t="s">
        <v>60</v>
      </c>
      <c r="C3526" t="s">
        <v>32</v>
      </c>
      <c r="D3526" t="s">
        <v>522</v>
      </c>
      <c r="E3526" t="s">
        <v>523</v>
      </c>
      <c r="F3526" t="s">
        <v>35</v>
      </c>
      <c r="G3526" t="s">
        <v>35</v>
      </c>
      <c r="H3526" t="s">
        <v>35</v>
      </c>
      <c r="J3526" t="s">
        <v>4034</v>
      </c>
      <c r="K3526" t="s">
        <v>1092</v>
      </c>
      <c r="M3526">
        <v>0.25</v>
      </c>
      <c r="N3526">
        <v>69</v>
      </c>
      <c r="O3526" t="s">
        <v>61</v>
      </c>
      <c r="Q3526" t="s">
        <v>139</v>
      </c>
      <c r="R3526" t="s">
        <v>548</v>
      </c>
      <c r="S3526" t="s">
        <v>524</v>
      </c>
    </row>
    <row r="3527" spans="1:19" x14ac:dyDescent="0.25">
      <c r="A3527" t="s">
        <v>59</v>
      </c>
      <c r="B3527" t="s">
        <v>60</v>
      </c>
      <c r="C3527" t="s">
        <v>32</v>
      </c>
      <c r="D3527" t="s">
        <v>522</v>
      </c>
      <c r="E3527" t="s">
        <v>523</v>
      </c>
      <c r="F3527" t="s">
        <v>35</v>
      </c>
      <c r="G3527" t="s">
        <v>35</v>
      </c>
      <c r="H3527" t="s">
        <v>35</v>
      </c>
      <c r="J3527" t="s">
        <v>8240</v>
      </c>
      <c r="K3527" t="s">
        <v>1092</v>
      </c>
      <c r="M3527">
        <v>6.5</v>
      </c>
      <c r="N3527">
        <v>7</v>
      </c>
      <c r="O3527" t="s">
        <v>46</v>
      </c>
      <c r="Q3527" t="s">
        <v>8164</v>
      </c>
      <c r="R3527" t="s">
        <v>548</v>
      </c>
      <c r="S3527" t="s">
        <v>524</v>
      </c>
    </row>
    <row r="3528" spans="1:19" x14ac:dyDescent="0.25">
      <c r="A3528" t="s">
        <v>59</v>
      </c>
      <c r="B3528" t="s">
        <v>31</v>
      </c>
      <c r="C3528" t="s">
        <v>32</v>
      </c>
      <c r="D3528" t="s">
        <v>522</v>
      </c>
      <c r="E3528" t="s">
        <v>523</v>
      </c>
      <c r="F3528" t="s">
        <v>35</v>
      </c>
      <c r="G3528" t="s">
        <v>35</v>
      </c>
      <c r="H3528" t="s">
        <v>35</v>
      </c>
      <c r="J3528" t="s">
        <v>8240</v>
      </c>
      <c r="K3528" t="s">
        <v>1092</v>
      </c>
      <c r="M3528">
        <v>4.5</v>
      </c>
      <c r="N3528">
        <v>7</v>
      </c>
      <c r="O3528" t="s">
        <v>46</v>
      </c>
      <c r="Q3528" t="s">
        <v>8164</v>
      </c>
      <c r="R3528" t="s">
        <v>548</v>
      </c>
      <c r="S3528" t="s">
        <v>524</v>
      </c>
    </row>
    <row r="3529" spans="1:19" x14ac:dyDescent="0.25">
      <c r="A3529" t="s">
        <v>59</v>
      </c>
      <c r="B3529" t="s">
        <v>60</v>
      </c>
      <c r="C3529" t="s">
        <v>32</v>
      </c>
      <c r="D3529" t="s">
        <v>522</v>
      </c>
      <c r="E3529" t="s">
        <v>533</v>
      </c>
      <c r="F3529" t="s">
        <v>35</v>
      </c>
      <c r="G3529" t="s">
        <v>35</v>
      </c>
      <c r="H3529" t="s">
        <v>35</v>
      </c>
      <c r="J3529" t="s">
        <v>4035</v>
      </c>
      <c r="K3529" t="s">
        <v>1092</v>
      </c>
      <c r="M3529">
        <v>0.5</v>
      </c>
      <c r="N3529">
        <v>98</v>
      </c>
      <c r="O3529" t="s">
        <v>106</v>
      </c>
      <c r="Q3529" t="s">
        <v>108</v>
      </c>
      <c r="R3529" t="s">
        <v>4036</v>
      </c>
      <c r="S3529" t="s">
        <v>534</v>
      </c>
    </row>
    <row r="3530" spans="1:19" x14ac:dyDescent="0.25">
      <c r="A3530" t="s">
        <v>59</v>
      </c>
      <c r="B3530" t="s">
        <v>60</v>
      </c>
      <c r="C3530" t="s">
        <v>32</v>
      </c>
      <c r="D3530" t="s">
        <v>522</v>
      </c>
      <c r="E3530" t="s">
        <v>533</v>
      </c>
      <c r="F3530" t="s">
        <v>35</v>
      </c>
      <c r="G3530" t="s">
        <v>35</v>
      </c>
      <c r="H3530" t="s">
        <v>35</v>
      </c>
      <c r="J3530" t="s">
        <v>4035</v>
      </c>
      <c r="K3530" t="s">
        <v>1092</v>
      </c>
      <c r="M3530">
        <v>1.5</v>
      </c>
      <c r="N3530">
        <v>186</v>
      </c>
      <c r="O3530" t="s">
        <v>5</v>
      </c>
      <c r="Q3530" t="s">
        <v>1363</v>
      </c>
      <c r="R3530" t="s">
        <v>4036</v>
      </c>
      <c r="S3530" t="s">
        <v>534</v>
      </c>
    </row>
    <row r="3531" spans="1:19" x14ac:dyDescent="0.25">
      <c r="A3531" t="s">
        <v>59</v>
      </c>
      <c r="B3531" t="s">
        <v>60</v>
      </c>
      <c r="C3531" t="s">
        <v>32</v>
      </c>
      <c r="D3531" t="s">
        <v>522</v>
      </c>
      <c r="E3531" t="s">
        <v>533</v>
      </c>
      <c r="F3531" t="s">
        <v>35</v>
      </c>
      <c r="G3531" t="s">
        <v>35</v>
      </c>
      <c r="H3531" t="s">
        <v>35</v>
      </c>
      <c r="J3531" t="s">
        <v>4035</v>
      </c>
      <c r="K3531" t="s">
        <v>1092</v>
      </c>
      <c r="M3531">
        <v>0.15</v>
      </c>
      <c r="N3531">
        <v>287</v>
      </c>
      <c r="O3531" t="s">
        <v>5</v>
      </c>
      <c r="Q3531" t="s">
        <v>3688</v>
      </c>
      <c r="R3531" t="s">
        <v>4036</v>
      </c>
      <c r="S3531" t="s">
        <v>534</v>
      </c>
    </row>
    <row r="3532" spans="1:19" x14ac:dyDescent="0.25">
      <c r="A3532" t="s">
        <v>30</v>
      </c>
      <c r="B3532" t="s">
        <v>31</v>
      </c>
      <c r="C3532" t="s">
        <v>32</v>
      </c>
      <c r="D3532" t="s">
        <v>522</v>
      </c>
      <c r="E3532" t="s">
        <v>533</v>
      </c>
      <c r="F3532" t="s">
        <v>35</v>
      </c>
      <c r="G3532" t="s">
        <v>35</v>
      </c>
      <c r="H3532" t="s">
        <v>35</v>
      </c>
      <c r="J3532" t="s">
        <v>4037</v>
      </c>
      <c r="K3532" t="s">
        <v>1092</v>
      </c>
      <c r="M3532">
        <v>6.03</v>
      </c>
      <c r="N3532">
        <v>150</v>
      </c>
      <c r="O3532" t="s">
        <v>38</v>
      </c>
      <c r="Q3532" t="s">
        <v>1612</v>
      </c>
      <c r="R3532" t="s">
        <v>538</v>
      </c>
      <c r="S3532" t="s">
        <v>539</v>
      </c>
    </row>
    <row r="3533" spans="1:19" x14ac:dyDescent="0.25">
      <c r="A3533" t="s">
        <v>30</v>
      </c>
      <c r="B3533" t="s">
        <v>31</v>
      </c>
      <c r="C3533" t="s">
        <v>32</v>
      </c>
      <c r="D3533" t="s">
        <v>522</v>
      </c>
      <c r="E3533" t="s">
        <v>533</v>
      </c>
      <c r="F3533" t="s">
        <v>35</v>
      </c>
      <c r="G3533" t="s">
        <v>35</v>
      </c>
      <c r="H3533" t="s">
        <v>35</v>
      </c>
      <c r="J3533" t="s">
        <v>4038</v>
      </c>
      <c r="K3533" t="s">
        <v>1092</v>
      </c>
      <c r="M3533">
        <v>7.74</v>
      </c>
      <c r="N3533">
        <v>49</v>
      </c>
      <c r="O3533" t="s">
        <v>52</v>
      </c>
      <c r="Q3533" t="s">
        <v>219</v>
      </c>
      <c r="R3533" t="s">
        <v>538</v>
      </c>
      <c r="S3533" t="s">
        <v>539</v>
      </c>
    </row>
    <row r="3534" spans="1:19" x14ac:dyDescent="0.25">
      <c r="A3534" t="s">
        <v>44</v>
      </c>
      <c r="B3534" t="s">
        <v>51</v>
      </c>
      <c r="C3534" t="s">
        <v>32</v>
      </c>
      <c r="D3534" t="s">
        <v>522</v>
      </c>
      <c r="E3534" t="s">
        <v>533</v>
      </c>
      <c r="F3534" t="s">
        <v>35</v>
      </c>
      <c r="G3534" t="s">
        <v>35</v>
      </c>
      <c r="H3534" t="s">
        <v>35</v>
      </c>
      <c r="J3534" t="s">
        <v>4038</v>
      </c>
      <c r="K3534" t="s">
        <v>1092</v>
      </c>
      <c r="M3534">
        <v>6.55</v>
      </c>
      <c r="N3534">
        <v>73</v>
      </c>
      <c r="O3534" t="s">
        <v>61</v>
      </c>
      <c r="Q3534" t="s">
        <v>552</v>
      </c>
      <c r="R3534" t="s">
        <v>538</v>
      </c>
      <c r="S3534" t="s">
        <v>539</v>
      </c>
    </row>
    <row r="3535" spans="1:19" x14ac:dyDescent="0.25">
      <c r="A3535" t="s">
        <v>44</v>
      </c>
      <c r="B3535" t="s">
        <v>51</v>
      </c>
      <c r="C3535" t="s">
        <v>32</v>
      </c>
      <c r="D3535" t="s">
        <v>522</v>
      </c>
      <c r="E3535" t="s">
        <v>533</v>
      </c>
      <c r="F3535" t="s">
        <v>35</v>
      </c>
      <c r="G3535" t="s">
        <v>35</v>
      </c>
      <c r="H3535" t="s">
        <v>35</v>
      </c>
      <c r="J3535" t="s">
        <v>4040</v>
      </c>
      <c r="K3535" t="s">
        <v>1092</v>
      </c>
      <c r="M3535">
        <v>2.15</v>
      </c>
      <c r="N3535">
        <v>69</v>
      </c>
      <c r="O3535" t="s">
        <v>61</v>
      </c>
      <c r="Q3535" t="s">
        <v>139</v>
      </c>
      <c r="R3535" t="s">
        <v>559</v>
      </c>
      <c r="S3535" t="s">
        <v>554</v>
      </c>
    </row>
    <row r="3536" spans="1:19" x14ac:dyDescent="0.25">
      <c r="A3536" t="s">
        <v>30</v>
      </c>
      <c r="B3536" t="s">
        <v>31</v>
      </c>
      <c r="C3536" t="s">
        <v>32</v>
      </c>
      <c r="D3536" t="s">
        <v>522</v>
      </c>
      <c r="E3536" t="s">
        <v>533</v>
      </c>
      <c r="F3536" t="s">
        <v>35</v>
      </c>
      <c r="G3536" t="s">
        <v>35</v>
      </c>
      <c r="H3536" t="s">
        <v>35</v>
      </c>
      <c r="J3536" t="s">
        <v>4041</v>
      </c>
      <c r="K3536" t="s">
        <v>1092</v>
      </c>
      <c r="M3536">
        <v>5.5350000000000001</v>
      </c>
      <c r="N3536">
        <v>71</v>
      </c>
      <c r="O3536" t="s">
        <v>61</v>
      </c>
      <c r="Q3536" t="s">
        <v>102</v>
      </c>
      <c r="R3536" t="s">
        <v>538</v>
      </c>
      <c r="S3536" t="s">
        <v>539</v>
      </c>
    </row>
    <row r="3537" spans="1:19" x14ac:dyDescent="0.25">
      <c r="A3537" t="s">
        <v>44</v>
      </c>
      <c r="B3537" t="s">
        <v>3</v>
      </c>
      <c r="C3537" t="s">
        <v>32</v>
      </c>
      <c r="D3537" t="s">
        <v>522</v>
      </c>
      <c r="E3537" t="s">
        <v>533</v>
      </c>
      <c r="F3537" t="s">
        <v>35</v>
      </c>
      <c r="G3537" t="s">
        <v>35</v>
      </c>
      <c r="H3537" t="s">
        <v>35</v>
      </c>
      <c r="J3537" t="s">
        <v>4041</v>
      </c>
      <c r="K3537" t="s">
        <v>1092</v>
      </c>
      <c r="M3537">
        <v>0.3</v>
      </c>
      <c r="N3537">
        <v>460</v>
      </c>
      <c r="O3537" t="s">
        <v>294</v>
      </c>
      <c r="Q3537" t="s">
        <v>4042</v>
      </c>
      <c r="R3537" t="s">
        <v>559</v>
      </c>
      <c r="S3537" t="s">
        <v>554</v>
      </c>
    </row>
    <row r="3538" spans="1:19" x14ac:dyDescent="0.25">
      <c r="A3538" t="s">
        <v>44</v>
      </c>
      <c r="B3538" t="s">
        <v>51</v>
      </c>
      <c r="C3538" t="s">
        <v>32</v>
      </c>
      <c r="D3538" t="s">
        <v>522</v>
      </c>
      <c r="E3538" t="s">
        <v>533</v>
      </c>
      <c r="F3538" t="s">
        <v>35</v>
      </c>
      <c r="G3538" t="s">
        <v>35</v>
      </c>
      <c r="H3538" t="s">
        <v>35</v>
      </c>
      <c r="J3538" t="s">
        <v>4043</v>
      </c>
      <c r="K3538" t="s">
        <v>1092</v>
      </c>
      <c r="M3538">
        <v>1</v>
      </c>
      <c r="N3538">
        <v>68</v>
      </c>
      <c r="O3538" t="s">
        <v>61</v>
      </c>
      <c r="Q3538" t="s">
        <v>146</v>
      </c>
      <c r="R3538" t="s">
        <v>559</v>
      </c>
      <c r="S3538" t="s">
        <v>554</v>
      </c>
    </row>
    <row r="3539" spans="1:19" x14ac:dyDescent="0.25">
      <c r="A3539" t="s">
        <v>30</v>
      </c>
      <c r="B3539" t="s">
        <v>31</v>
      </c>
      <c r="C3539" t="s">
        <v>32</v>
      </c>
      <c r="D3539" t="s">
        <v>522</v>
      </c>
      <c r="E3539" t="s">
        <v>533</v>
      </c>
      <c r="F3539" t="s">
        <v>35</v>
      </c>
      <c r="G3539" t="s">
        <v>35</v>
      </c>
      <c r="H3539" t="s">
        <v>35</v>
      </c>
      <c r="J3539" t="s">
        <v>4044</v>
      </c>
      <c r="K3539" t="s">
        <v>1092</v>
      </c>
      <c r="M3539">
        <v>6.12</v>
      </c>
      <c r="N3539">
        <v>97</v>
      </c>
      <c r="O3539" t="s">
        <v>106</v>
      </c>
      <c r="Q3539" t="s">
        <v>557</v>
      </c>
      <c r="R3539" t="s">
        <v>538</v>
      </c>
      <c r="S3539" t="s">
        <v>539</v>
      </c>
    </row>
    <row r="3540" spans="1:19" x14ac:dyDescent="0.25">
      <c r="A3540" t="s">
        <v>30</v>
      </c>
      <c r="B3540" t="s">
        <v>31</v>
      </c>
      <c r="C3540" t="s">
        <v>32</v>
      </c>
      <c r="D3540" t="s">
        <v>522</v>
      </c>
      <c r="E3540" t="s">
        <v>533</v>
      </c>
      <c r="F3540" t="s">
        <v>35</v>
      </c>
      <c r="G3540" t="s">
        <v>35</v>
      </c>
      <c r="H3540" t="s">
        <v>35</v>
      </c>
      <c r="J3540" t="s">
        <v>4044</v>
      </c>
      <c r="K3540" t="s">
        <v>1092</v>
      </c>
      <c r="M3540">
        <v>11.025</v>
      </c>
      <c r="N3540">
        <v>49</v>
      </c>
      <c r="O3540" t="s">
        <v>52</v>
      </c>
      <c r="Q3540" t="s">
        <v>219</v>
      </c>
      <c r="R3540" t="s">
        <v>538</v>
      </c>
      <c r="S3540" t="s">
        <v>539</v>
      </c>
    </row>
    <row r="3541" spans="1:19" x14ac:dyDescent="0.25">
      <c r="A3541" t="s">
        <v>59</v>
      </c>
      <c r="B3541" t="s">
        <v>60</v>
      </c>
      <c r="C3541" t="s">
        <v>32</v>
      </c>
      <c r="D3541" t="s">
        <v>522</v>
      </c>
      <c r="E3541" t="s">
        <v>533</v>
      </c>
      <c r="F3541" t="s">
        <v>35</v>
      </c>
      <c r="G3541" t="s">
        <v>35</v>
      </c>
      <c r="H3541" t="s">
        <v>35</v>
      </c>
      <c r="J3541" t="s">
        <v>4044</v>
      </c>
      <c r="K3541" t="s">
        <v>1092</v>
      </c>
      <c r="M3541">
        <v>11</v>
      </c>
      <c r="N3541">
        <v>6</v>
      </c>
      <c r="O3541" t="s">
        <v>46</v>
      </c>
      <c r="Q3541" t="s">
        <v>8168</v>
      </c>
      <c r="R3541" t="s">
        <v>548</v>
      </c>
      <c r="S3541" t="s">
        <v>524</v>
      </c>
    </row>
    <row r="3542" spans="1:19" x14ac:dyDescent="0.25">
      <c r="A3542" t="s">
        <v>59</v>
      </c>
      <c r="B3542" t="s">
        <v>31</v>
      </c>
      <c r="C3542" t="s">
        <v>32</v>
      </c>
      <c r="D3542" t="s">
        <v>522</v>
      </c>
      <c r="E3542" t="s">
        <v>533</v>
      </c>
      <c r="F3542" t="s">
        <v>35</v>
      </c>
      <c r="G3542" t="s">
        <v>35</v>
      </c>
      <c r="H3542" t="s">
        <v>35</v>
      </c>
      <c r="J3542" t="s">
        <v>4044</v>
      </c>
      <c r="K3542" t="s">
        <v>1092</v>
      </c>
      <c r="M3542">
        <v>11.25</v>
      </c>
      <c r="N3542">
        <v>6</v>
      </c>
      <c r="O3542" t="s">
        <v>46</v>
      </c>
      <c r="Q3542" t="s">
        <v>8168</v>
      </c>
      <c r="R3542" t="s">
        <v>548</v>
      </c>
      <c r="S3542" t="s">
        <v>524</v>
      </c>
    </row>
    <row r="3543" spans="1:19" x14ac:dyDescent="0.25">
      <c r="A3543" t="s">
        <v>30</v>
      </c>
      <c r="B3543" t="s">
        <v>31</v>
      </c>
      <c r="C3543" t="s">
        <v>32</v>
      </c>
      <c r="D3543" t="s">
        <v>522</v>
      </c>
      <c r="E3543" t="s">
        <v>533</v>
      </c>
      <c r="F3543" t="s">
        <v>35</v>
      </c>
      <c r="G3543" t="s">
        <v>35</v>
      </c>
      <c r="H3543" t="s">
        <v>35</v>
      </c>
      <c r="J3543" t="s">
        <v>4045</v>
      </c>
      <c r="K3543" t="s">
        <v>1092</v>
      </c>
      <c r="M3543">
        <v>3.915</v>
      </c>
      <c r="N3543">
        <v>151</v>
      </c>
      <c r="O3543" t="s">
        <v>38</v>
      </c>
      <c r="Q3543" t="s">
        <v>1269</v>
      </c>
      <c r="R3543" t="s">
        <v>3931</v>
      </c>
      <c r="S3543" t="s">
        <v>3932</v>
      </c>
    </row>
    <row r="3544" spans="1:19" x14ac:dyDescent="0.25">
      <c r="A3544" t="s">
        <v>44</v>
      </c>
      <c r="B3544" t="s">
        <v>51</v>
      </c>
      <c r="C3544" t="s">
        <v>32</v>
      </c>
      <c r="D3544" t="s">
        <v>522</v>
      </c>
      <c r="E3544" t="s">
        <v>533</v>
      </c>
      <c r="F3544" t="s">
        <v>35</v>
      </c>
      <c r="G3544" t="s">
        <v>35</v>
      </c>
      <c r="H3544" t="s">
        <v>35</v>
      </c>
      <c r="J3544" t="s">
        <v>4046</v>
      </c>
      <c r="K3544" t="s">
        <v>1092</v>
      </c>
      <c r="M3544">
        <v>0.1</v>
      </c>
      <c r="N3544">
        <v>883</v>
      </c>
      <c r="O3544" t="s">
        <v>575</v>
      </c>
      <c r="Q3544" t="s">
        <v>4048</v>
      </c>
      <c r="R3544" t="s">
        <v>3957</v>
      </c>
      <c r="S3544" t="s">
        <v>3958</v>
      </c>
    </row>
    <row r="3545" spans="1:19" x14ac:dyDescent="0.25">
      <c r="A3545" t="s">
        <v>30</v>
      </c>
      <c r="B3545" t="s">
        <v>31</v>
      </c>
      <c r="C3545" t="s">
        <v>32</v>
      </c>
      <c r="D3545" t="s">
        <v>522</v>
      </c>
      <c r="E3545" t="s">
        <v>533</v>
      </c>
      <c r="F3545" t="s">
        <v>35</v>
      </c>
      <c r="G3545" t="s">
        <v>35</v>
      </c>
      <c r="H3545" t="s">
        <v>35</v>
      </c>
      <c r="J3545" t="s">
        <v>4046</v>
      </c>
      <c r="K3545" t="s">
        <v>1092</v>
      </c>
      <c r="M3545">
        <v>11.025</v>
      </c>
      <c r="N3545">
        <v>504</v>
      </c>
      <c r="O3545" t="s">
        <v>294</v>
      </c>
      <c r="Q3545" t="s">
        <v>1614</v>
      </c>
      <c r="R3545" t="s">
        <v>538</v>
      </c>
      <c r="S3545" t="s">
        <v>539</v>
      </c>
    </row>
    <row r="3546" spans="1:19" x14ac:dyDescent="0.25">
      <c r="A3546" t="s">
        <v>30</v>
      </c>
      <c r="B3546" t="s">
        <v>31</v>
      </c>
      <c r="C3546" t="s">
        <v>32</v>
      </c>
      <c r="D3546" t="s">
        <v>522</v>
      </c>
      <c r="E3546" t="s">
        <v>533</v>
      </c>
      <c r="F3546" t="s">
        <v>35</v>
      </c>
      <c r="G3546" t="s">
        <v>35</v>
      </c>
      <c r="H3546" t="s">
        <v>35</v>
      </c>
      <c r="J3546" t="s">
        <v>4046</v>
      </c>
      <c r="K3546" t="s">
        <v>1092</v>
      </c>
      <c r="M3546">
        <v>6.39</v>
      </c>
      <c r="N3546">
        <v>533</v>
      </c>
      <c r="O3546" t="s">
        <v>294</v>
      </c>
      <c r="Q3546" t="s">
        <v>4047</v>
      </c>
      <c r="R3546" t="s">
        <v>538</v>
      </c>
      <c r="S3546" t="s">
        <v>539</v>
      </c>
    </row>
    <row r="3547" spans="1:19" x14ac:dyDescent="0.25">
      <c r="A3547" t="s">
        <v>44</v>
      </c>
      <c r="B3547" t="s">
        <v>51</v>
      </c>
      <c r="C3547" t="s">
        <v>32</v>
      </c>
      <c r="D3547" t="s">
        <v>522</v>
      </c>
      <c r="E3547" t="s">
        <v>533</v>
      </c>
      <c r="F3547" t="s">
        <v>35</v>
      </c>
      <c r="G3547" t="s">
        <v>35</v>
      </c>
      <c r="H3547" t="s">
        <v>35</v>
      </c>
      <c r="J3547" t="s">
        <v>4049</v>
      </c>
      <c r="K3547" t="s">
        <v>1092</v>
      </c>
      <c r="M3547">
        <v>0.95</v>
      </c>
      <c r="N3547">
        <v>75</v>
      </c>
      <c r="O3547" t="s">
        <v>61</v>
      </c>
      <c r="Q3547" t="s">
        <v>805</v>
      </c>
      <c r="R3547" t="s">
        <v>3931</v>
      </c>
      <c r="S3547" t="s">
        <v>3932</v>
      </c>
    </row>
    <row r="3548" spans="1:19" x14ac:dyDescent="0.25">
      <c r="A3548" t="s">
        <v>30</v>
      </c>
      <c r="B3548" t="s">
        <v>31</v>
      </c>
      <c r="C3548" t="s">
        <v>32</v>
      </c>
      <c r="D3548" t="s">
        <v>522</v>
      </c>
      <c r="E3548" t="s">
        <v>533</v>
      </c>
      <c r="F3548" t="s">
        <v>35</v>
      </c>
      <c r="G3548" t="s">
        <v>35</v>
      </c>
      <c r="H3548" t="s">
        <v>35</v>
      </c>
      <c r="J3548" t="s">
        <v>4049</v>
      </c>
      <c r="K3548" t="s">
        <v>1092</v>
      </c>
      <c r="M3548">
        <v>5.9850000000000003</v>
      </c>
      <c r="N3548">
        <v>150</v>
      </c>
      <c r="O3548" t="s">
        <v>38</v>
      </c>
      <c r="Q3548" t="s">
        <v>1612</v>
      </c>
      <c r="R3548" t="s">
        <v>548</v>
      </c>
      <c r="S3548" t="s">
        <v>524</v>
      </c>
    </row>
    <row r="3549" spans="1:19" x14ac:dyDescent="0.25">
      <c r="A3549" t="s">
        <v>30</v>
      </c>
      <c r="B3549" t="s">
        <v>31</v>
      </c>
      <c r="C3549" t="s">
        <v>32</v>
      </c>
      <c r="D3549" t="s">
        <v>522</v>
      </c>
      <c r="E3549" t="s">
        <v>533</v>
      </c>
      <c r="F3549" t="s">
        <v>35</v>
      </c>
      <c r="G3549" t="s">
        <v>35</v>
      </c>
      <c r="H3549" t="s">
        <v>35</v>
      </c>
      <c r="J3549" t="s">
        <v>4050</v>
      </c>
      <c r="K3549" t="s">
        <v>1092</v>
      </c>
      <c r="M3549">
        <v>2.52</v>
      </c>
      <c r="N3549">
        <v>1223</v>
      </c>
      <c r="O3549" t="s">
        <v>575</v>
      </c>
      <c r="Q3549" t="s">
        <v>4051</v>
      </c>
      <c r="R3549" t="s">
        <v>538</v>
      </c>
      <c r="S3549" t="s">
        <v>539</v>
      </c>
    </row>
    <row r="3550" spans="1:19" x14ac:dyDescent="0.25">
      <c r="A3550" t="s">
        <v>59</v>
      </c>
      <c r="B3550" t="s">
        <v>31</v>
      </c>
      <c r="C3550" t="s">
        <v>32</v>
      </c>
      <c r="D3550" t="s">
        <v>522</v>
      </c>
      <c r="E3550" t="s">
        <v>533</v>
      </c>
      <c r="F3550" t="s">
        <v>35</v>
      </c>
      <c r="G3550" t="s">
        <v>35</v>
      </c>
      <c r="H3550" t="s">
        <v>35</v>
      </c>
      <c r="J3550" t="s">
        <v>4050</v>
      </c>
      <c r="K3550" t="s">
        <v>1092</v>
      </c>
      <c r="M3550">
        <v>0.315</v>
      </c>
      <c r="N3550">
        <v>1241</v>
      </c>
      <c r="O3550" t="s">
        <v>575</v>
      </c>
      <c r="Q3550" t="s">
        <v>4052</v>
      </c>
      <c r="R3550" t="s">
        <v>4053</v>
      </c>
      <c r="S3550" t="s">
        <v>4054</v>
      </c>
    </row>
    <row r="3551" spans="1:19" x14ac:dyDescent="0.25">
      <c r="A3551" t="s">
        <v>30</v>
      </c>
      <c r="B3551" t="s">
        <v>31</v>
      </c>
      <c r="C3551" t="s">
        <v>32</v>
      </c>
      <c r="D3551" t="s">
        <v>522</v>
      </c>
      <c r="E3551" t="s">
        <v>533</v>
      </c>
      <c r="F3551" t="s">
        <v>35</v>
      </c>
      <c r="G3551" t="s">
        <v>35</v>
      </c>
      <c r="H3551" t="s">
        <v>35</v>
      </c>
      <c r="J3551" t="s">
        <v>4056</v>
      </c>
      <c r="K3551" t="s">
        <v>1092</v>
      </c>
      <c r="M3551">
        <v>0.315</v>
      </c>
      <c r="N3551">
        <v>155</v>
      </c>
      <c r="O3551" t="s">
        <v>38</v>
      </c>
      <c r="Q3551" t="s">
        <v>3942</v>
      </c>
      <c r="R3551" t="s">
        <v>538</v>
      </c>
      <c r="S3551" t="s">
        <v>539</v>
      </c>
    </row>
    <row r="3552" spans="1:19" x14ac:dyDescent="0.25">
      <c r="A3552" t="s">
        <v>59</v>
      </c>
      <c r="B3552" t="s">
        <v>60</v>
      </c>
      <c r="C3552" t="s">
        <v>32</v>
      </c>
      <c r="D3552" t="s">
        <v>522</v>
      </c>
      <c r="E3552" t="s">
        <v>533</v>
      </c>
      <c r="F3552" t="s">
        <v>35</v>
      </c>
      <c r="G3552" t="s">
        <v>35</v>
      </c>
      <c r="H3552" t="s">
        <v>35</v>
      </c>
      <c r="J3552" t="s">
        <v>4057</v>
      </c>
      <c r="K3552" t="s">
        <v>1092</v>
      </c>
      <c r="M3552">
        <v>0.15</v>
      </c>
      <c r="N3552">
        <v>1266</v>
      </c>
      <c r="O3552" t="s">
        <v>575</v>
      </c>
      <c r="Q3552" t="s">
        <v>4058</v>
      </c>
      <c r="R3552" t="s">
        <v>4036</v>
      </c>
      <c r="S3552" t="s">
        <v>534</v>
      </c>
    </row>
    <row r="3553" spans="1:19" x14ac:dyDescent="0.25">
      <c r="A3553" t="s">
        <v>30</v>
      </c>
      <c r="B3553" t="s">
        <v>31</v>
      </c>
      <c r="C3553" t="s">
        <v>32</v>
      </c>
      <c r="D3553" t="s">
        <v>522</v>
      </c>
      <c r="E3553" t="s">
        <v>533</v>
      </c>
      <c r="F3553" t="s">
        <v>35</v>
      </c>
      <c r="G3553" t="s">
        <v>35</v>
      </c>
      <c r="H3553" t="s">
        <v>35</v>
      </c>
      <c r="J3553" t="s">
        <v>4059</v>
      </c>
      <c r="K3553" t="s">
        <v>1092</v>
      </c>
      <c r="M3553">
        <v>11.025</v>
      </c>
      <c r="N3553">
        <v>49</v>
      </c>
      <c r="O3553" t="s">
        <v>52</v>
      </c>
      <c r="Q3553" t="s">
        <v>219</v>
      </c>
      <c r="R3553" t="s">
        <v>538</v>
      </c>
      <c r="S3553" t="s">
        <v>539</v>
      </c>
    </row>
    <row r="3554" spans="1:19" x14ac:dyDescent="0.25">
      <c r="A3554" t="s">
        <v>30</v>
      </c>
      <c r="B3554" t="s">
        <v>31</v>
      </c>
      <c r="C3554" t="s">
        <v>32</v>
      </c>
      <c r="D3554" t="s">
        <v>522</v>
      </c>
      <c r="E3554" t="s">
        <v>533</v>
      </c>
      <c r="F3554" t="s">
        <v>35</v>
      </c>
      <c r="G3554" t="s">
        <v>35</v>
      </c>
      <c r="H3554" t="s">
        <v>35</v>
      </c>
      <c r="J3554" t="s">
        <v>4059</v>
      </c>
      <c r="K3554" t="s">
        <v>1092</v>
      </c>
      <c r="M3554">
        <v>3.1949999999999998</v>
      </c>
      <c r="N3554">
        <v>265</v>
      </c>
      <c r="O3554" t="s">
        <v>5</v>
      </c>
      <c r="Q3554" t="s">
        <v>1754</v>
      </c>
      <c r="R3554" t="s">
        <v>538</v>
      </c>
      <c r="S3554" t="s">
        <v>539</v>
      </c>
    </row>
    <row r="3555" spans="1:19" x14ac:dyDescent="0.25">
      <c r="A3555" t="s">
        <v>30</v>
      </c>
      <c r="B3555" t="s">
        <v>31</v>
      </c>
      <c r="C3555" t="s">
        <v>32</v>
      </c>
      <c r="D3555" t="s">
        <v>522</v>
      </c>
      <c r="E3555" t="s">
        <v>533</v>
      </c>
      <c r="F3555" t="s">
        <v>35</v>
      </c>
      <c r="G3555" t="s">
        <v>35</v>
      </c>
      <c r="H3555" t="s">
        <v>35</v>
      </c>
      <c r="J3555" t="s">
        <v>4060</v>
      </c>
      <c r="K3555" t="s">
        <v>1092</v>
      </c>
      <c r="M3555">
        <v>6.5250000000000004</v>
      </c>
      <c r="N3555">
        <v>49</v>
      </c>
      <c r="O3555" t="s">
        <v>52</v>
      </c>
      <c r="Q3555" t="s">
        <v>219</v>
      </c>
      <c r="R3555" t="s">
        <v>538</v>
      </c>
      <c r="S3555" t="s">
        <v>539</v>
      </c>
    </row>
    <row r="3556" spans="1:19" x14ac:dyDescent="0.25">
      <c r="A3556" t="s">
        <v>30</v>
      </c>
      <c r="B3556" t="s">
        <v>31</v>
      </c>
      <c r="C3556" t="s">
        <v>32</v>
      </c>
      <c r="D3556" t="s">
        <v>522</v>
      </c>
      <c r="E3556" t="s">
        <v>533</v>
      </c>
      <c r="F3556" t="s">
        <v>35</v>
      </c>
      <c r="G3556" t="s">
        <v>35</v>
      </c>
      <c r="H3556" t="s">
        <v>35</v>
      </c>
      <c r="J3556" t="s">
        <v>4061</v>
      </c>
      <c r="K3556" t="s">
        <v>1092</v>
      </c>
      <c r="M3556">
        <v>0.01</v>
      </c>
      <c r="N3556">
        <v>155</v>
      </c>
      <c r="O3556" t="s">
        <v>38</v>
      </c>
      <c r="Q3556" t="s">
        <v>3942</v>
      </c>
      <c r="R3556" t="s">
        <v>538</v>
      </c>
      <c r="S3556" t="s">
        <v>539</v>
      </c>
    </row>
    <row r="3557" spans="1:19" x14ac:dyDescent="0.25">
      <c r="A3557" t="s">
        <v>59</v>
      </c>
      <c r="B3557" t="s">
        <v>60</v>
      </c>
      <c r="C3557" t="s">
        <v>32</v>
      </c>
      <c r="D3557" t="s">
        <v>522</v>
      </c>
      <c r="E3557" t="s">
        <v>533</v>
      </c>
      <c r="F3557" t="s">
        <v>35</v>
      </c>
      <c r="G3557" t="s">
        <v>35</v>
      </c>
      <c r="H3557" t="s">
        <v>35</v>
      </c>
      <c r="J3557" t="s">
        <v>4062</v>
      </c>
      <c r="K3557" t="s">
        <v>1092</v>
      </c>
      <c r="M3557">
        <v>0.05</v>
      </c>
      <c r="N3557">
        <v>1529</v>
      </c>
      <c r="O3557" t="s">
        <v>575</v>
      </c>
      <c r="Q3557" t="s">
        <v>4063</v>
      </c>
      <c r="R3557" t="s">
        <v>4064</v>
      </c>
      <c r="S3557" t="s">
        <v>4065</v>
      </c>
    </row>
    <row r="3558" spans="1:19" x14ac:dyDescent="0.25">
      <c r="A3558" t="s">
        <v>30</v>
      </c>
      <c r="B3558" t="s">
        <v>31</v>
      </c>
      <c r="C3558" t="s">
        <v>32</v>
      </c>
      <c r="D3558" t="s">
        <v>522</v>
      </c>
      <c r="E3558" t="s">
        <v>533</v>
      </c>
      <c r="F3558" t="s">
        <v>35</v>
      </c>
      <c r="G3558" t="s">
        <v>35</v>
      </c>
      <c r="H3558" t="s">
        <v>35</v>
      </c>
      <c r="J3558" t="s">
        <v>4066</v>
      </c>
      <c r="K3558" t="s">
        <v>1092</v>
      </c>
      <c r="M3558">
        <v>5.04</v>
      </c>
      <c r="N3558">
        <v>71</v>
      </c>
      <c r="O3558" t="s">
        <v>61</v>
      </c>
      <c r="Q3558" t="s">
        <v>102</v>
      </c>
      <c r="R3558" t="s">
        <v>538</v>
      </c>
      <c r="S3558" t="s">
        <v>539</v>
      </c>
    </row>
    <row r="3559" spans="1:19" x14ac:dyDescent="0.25">
      <c r="A3559" t="s">
        <v>44</v>
      </c>
      <c r="B3559" t="s">
        <v>51</v>
      </c>
      <c r="C3559" t="s">
        <v>32</v>
      </c>
      <c r="D3559" t="s">
        <v>522</v>
      </c>
      <c r="E3559" t="s">
        <v>533</v>
      </c>
      <c r="F3559" t="s">
        <v>35</v>
      </c>
      <c r="G3559" t="s">
        <v>35</v>
      </c>
      <c r="H3559" t="s">
        <v>35</v>
      </c>
      <c r="J3559" t="s">
        <v>4066</v>
      </c>
      <c r="K3559" t="s">
        <v>1092</v>
      </c>
      <c r="M3559">
        <v>6</v>
      </c>
      <c r="N3559">
        <v>68</v>
      </c>
      <c r="O3559" t="s">
        <v>61</v>
      </c>
      <c r="Q3559" t="s">
        <v>146</v>
      </c>
      <c r="R3559" t="s">
        <v>559</v>
      </c>
      <c r="S3559" t="s">
        <v>554</v>
      </c>
    </row>
    <row r="3560" spans="1:19" x14ac:dyDescent="0.25">
      <c r="A3560" t="s">
        <v>30</v>
      </c>
      <c r="B3560" t="s">
        <v>31</v>
      </c>
      <c r="C3560" t="s">
        <v>32</v>
      </c>
      <c r="D3560" t="s">
        <v>522</v>
      </c>
      <c r="E3560" t="s">
        <v>533</v>
      </c>
      <c r="F3560" t="s">
        <v>35</v>
      </c>
      <c r="G3560" t="s">
        <v>35</v>
      </c>
      <c r="H3560" t="s">
        <v>35</v>
      </c>
      <c r="J3560" t="s">
        <v>4067</v>
      </c>
      <c r="K3560" t="s">
        <v>1092</v>
      </c>
      <c r="M3560">
        <v>5.0000000000000001E-3</v>
      </c>
      <c r="N3560">
        <v>2673</v>
      </c>
      <c r="O3560" t="s">
        <v>575</v>
      </c>
      <c r="Q3560" t="s">
        <v>1486</v>
      </c>
      <c r="R3560" t="s">
        <v>1487</v>
      </c>
      <c r="S3560" t="s">
        <v>1488</v>
      </c>
    </row>
    <row r="3561" spans="1:19" x14ac:dyDescent="0.25">
      <c r="A3561" t="s">
        <v>30</v>
      </c>
      <c r="B3561" t="s">
        <v>31</v>
      </c>
      <c r="C3561" t="s">
        <v>32</v>
      </c>
      <c r="D3561" t="s">
        <v>522</v>
      </c>
      <c r="E3561" t="s">
        <v>533</v>
      </c>
      <c r="F3561" t="s">
        <v>35</v>
      </c>
      <c r="G3561" t="s">
        <v>35</v>
      </c>
      <c r="H3561" t="s">
        <v>35</v>
      </c>
      <c r="J3561" t="s">
        <v>4068</v>
      </c>
      <c r="K3561" t="s">
        <v>1092</v>
      </c>
      <c r="M3561">
        <v>9.4049999999999994</v>
      </c>
      <c r="N3561">
        <v>49</v>
      </c>
      <c r="O3561" t="s">
        <v>52</v>
      </c>
      <c r="Q3561" t="s">
        <v>219</v>
      </c>
      <c r="R3561" t="s">
        <v>538</v>
      </c>
      <c r="S3561" t="s">
        <v>539</v>
      </c>
    </row>
    <row r="3562" spans="1:19" x14ac:dyDescent="0.25">
      <c r="A3562" t="s">
        <v>44</v>
      </c>
      <c r="B3562" t="s">
        <v>51</v>
      </c>
      <c r="C3562" t="s">
        <v>32</v>
      </c>
      <c r="D3562" t="s">
        <v>522</v>
      </c>
      <c r="E3562" t="s">
        <v>533</v>
      </c>
      <c r="F3562" t="s">
        <v>35</v>
      </c>
      <c r="G3562" t="s">
        <v>35</v>
      </c>
      <c r="H3562" t="s">
        <v>35</v>
      </c>
      <c r="J3562" t="s">
        <v>4069</v>
      </c>
      <c r="K3562" t="s">
        <v>1092</v>
      </c>
      <c r="M3562">
        <v>2.95</v>
      </c>
      <c r="N3562">
        <v>81</v>
      </c>
      <c r="O3562" t="s">
        <v>61</v>
      </c>
      <c r="Q3562" t="s">
        <v>527</v>
      </c>
      <c r="R3562" t="s">
        <v>538</v>
      </c>
      <c r="S3562" t="s">
        <v>539</v>
      </c>
    </row>
    <row r="3563" spans="1:19" x14ac:dyDescent="0.25">
      <c r="A3563" t="s">
        <v>30</v>
      </c>
      <c r="B3563" t="s">
        <v>31</v>
      </c>
      <c r="C3563" t="s">
        <v>32</v>
      </c>
      <c r="D3563" t="s">
        <v>522</v>
      </c>
      <c r="E3563" t="s">
        <v>533</v>
      </c>
      <c r="F3563" t="s">
        <v>35</v>
      </c>
      <c r="G3563" t="s">
        <v>35</v>
      </c>
      <c r="H3563" t="s">
        <v>35</v>
      </c>
      <c r="J3563" t="s">
        <v>4070</v>
      </c>
      <c r="K3563" t="s">
        <v>1092</v>
      </c>
      <c r="M3563">
        <v>0.01</v>
      </c>
      <c r="N3563">
        <v>1257</v>
      </c>
      <c r="O3563" t="s">
        <v>575</v>
      </c>
      <c r="Q3563" t="s">
        <v>4071</v>
      </c>
      <c r="R3563" t="s">
        <v>4036</v>
      </c>
      <c r="S3563" t="s">
        <v>534</v>
      </c>
    </row>
    <row r="3564" spans="1:19" x14ac:dyDescent="0.25">
      <c r="A3564" t="s">
        <v>44</v>
      </c>
      <c r="B3564" t="s">
        <v>51</v>
      </c>
      <c r="C3564" t="s">
        <v>32</v>
      </c>
      <c r="D3564" t="s">
        <v>522</v>
      </c>
      <c r="E3564" t="s">
        <v>533</v>
      </c>
      <c r="F3564" t="s">
        <v>35</v>
      </c>
      <c r="G3564" t="s">
        <v>35</v>
      </c>
      <c r="H3564" t="s">
        <v>35</v>
      </c>
      <c r="J3564" t="s">
        <v>4072</v>
      </c>
      <c r="K3564" t="s">
        <v>1092</v>
      </c>
      <c r="M3564">
        <v>5.5</v>
      </c>
      <c r="N3564">
        <v>75</v>
      </c>
      <c r="O3564" t="s">
        <v>61</v>
      </c>
      <c r="Q3564" t="s">
        <v>805</v>
      </c>
      <c r="R3564" t="s">
        <v>3931</v>
      </c>
      <c r="S3564" t="s">
        <v>3932</v>
      </c>
    </row>
    <row r="3565" spans="1:19" x14ac:dyDescent="0.25">
      <c r="A3565" t="s">
        <v>44</v>
      </c>
      <c r="B3565" t="s">
        <v>51</v>
      </c>
      <c r="C3565" t="s">
        <v>32</v>
      </c>
      <c r="D3565" t="s">
        <v>522</v>
      </c>
      <c r="E3565" t="s">
        <v>533</v>
      </c>
      <c r="F3565" t="s">
        <v>35</v>
      </c>
      <c r="G3565" t="s">
        <v>35</v>
      </c>
      <c r="H3565" t="s">
        <v>35</v>
      </c>
      <c r="J3565" t="s">
        <v>4072</v>
      </c>
      <c r="K3565" t="s">
        <v>1092</v>
      </c>
      <c r="M3565">
        <v>6</v>
      </c>
      <c r="N3565">
        <v>58</v>
      </c>
      <c r="O3565" t="s">
        <v>52</v>
      </c>
      <c r="Q3565" t="s">
        <v>58</v>
      </c>
      <c r="R3565" t="s">
        <v>538</v>
      </c>
      <c r="S3565" t="s">
        <v>539</v>
      </c>
    </row>
    <row r="3566" spans="1:19" x14ac:dyDescent="0.25">
      <c r="A3566" t="s">
        <v>30</v>
      </c>
      <c r="B3566" t="s">
        <v>31</v>
      </c>
      <c r="C3566" t="s">
        <v>32</v>
      </c>
      <c r="D3566" t="s">
        <v>522</v>
      </c>
      <c r="E3566" t="s">
        <v>533</v>
      </c>
      <c r="F3566" t="s">
        <v>35</v>
      </c>
      <c r="G3566" t="s">
        <v>35</v>
      </c>
      <c r="H3566" t="s">
        <v>35</v>
      </c>
      <c r="J3566" t="s">
        <v>4072</v>
      </c>
      <c r="K3566" t="s">
        <v>1092</v>
      </c>
      <c r="M3566">
        <v>10.845000000000001</v>
      </c>
      <c r="N3566">
        <v>62</v>
      </c>
      <c r="O3566" t="s">
        <v>61</v>
      </c>
      <c r="Q3566" t="s">
        <v>90</v>
      </c>
      <c r="R3566" t="s">
        <v>3931</v>
      </c>
      <c r="S3566" t="s">
        <v>3932</v>
      </c>
    </row>
    <row r="3567" spans="1:19" x14ac:dyDescent="0.25">
      <c r="A3567" t="s">
        <v>44</v>
      </c>
      <c r="B3567" t="s">
        <v>3</v>
      </c>
      <c r="C3567" t="s">
        <v>32</v>
      </c>
      <c r="D3567" t="s">
        <v>522</v>
      </c>
      <c r="E3567" t="s">
        <v>533</v>
      </c>
      <c r="F3567" t="s">
        <v>35</v>
      </c>
      <c r="G3567" t="s">
        <v>35</v>
      </c>
      <c r="H3567" t="s">
        <v>35</v>
      </c>
      <c r="J3567" t="s">
        <v>4073</v>
      </c>
      <c r="K3567" t="s">
        <v>1092</v>
      </c>
      <c r="M3567">
        <v>0.6</v>
      </c>
      <c r="N3567">
        <v>554</v>
      </c>
      <c r="O3567" t="s">
        <v>575</v>
      </c>
      <c r="Q3567" t="s">
        <v>4074</v>
      </c>
      <c r="R3567" t="s">
        <v>4036</v>
      </c>
      <c r="S3567" t="s">
        <v>534</v>
      </c>
    </row>
    <row r="3568" spans="1:19" x14ac:dyDescent="0.25">
      <c r="A3568" t="s">
        <v>44</v>
      </c>
      <c r="B3568" t="s">
        <v>51</v>
      </c>
      <c r="C3568" t="s">
        <v>32</v>
      </c>
      <c r="D3568" t="s">
        <v>522</v>
      </c>
      <c r="E3568" t="s">
        <v>533</v>
      </c>
      <c r="F3568" t="s">
        <v>35</v>
      </c>
      <c r="G3568" t="s">
        <v>35</v>
      </c>
      <c r="H3568" t="s">
        <v>35</v>
      </c>
      <c r="J3568" t="s">
        <v>4075</v>
      </c>
      <c r="K3568" t="s">
        <v>1092</v>
      </c>
      <c r="M3568">
        <v>18</v>
      </c>
      <c r="N3568">
        <v>69</v>
      </c>
      <c r="O3568" t="s">
        <v>61</v>
      </c>
      <c r="Q3568" t="s">
        <v>139</v>
      </c>
      <c r="R3568" t="s">
        <v>3948</v>
      </c>
      <c r="S3568" t="s">
        <v>3949</v>
      </c>
    </row>
    <row r="3569" spans="1:19" x14ac:dyDescent="0.25">
      <c r="A3569" t="s">
        <v>59</v>
      </c>
      <c r="B3569" t="s">
        <v>60</v>
      </c>
      <c r="C3569" t="s">
        <v>32</v>
      </c>
      <c r="D3569" t="s">
        <v>522</v>
      </c>
      <c r="E3569" t="s">
        <v>533</v>
      </c>
      <c r="F3569" t="s">
        <v>35</v>
      </c>
      <c r="G3569" t="s">
        <v>35</v>
      </c>
      <c r="H3569" t="s">
        <v>35</v>
      </c>
      <c r="J3569" t="s">
        <v>4076</v>
      </c>
      <c r="K3569" t="s">
        <v>1092</v>
      </c>
      <c r="M3569">
        <v>0.5</v>
      </c>
      <c r="N3569">
        <v>179</v>
      </c>
      <c r="O3569" t="s">
        <v>38</v>
      </c>
      <c r="Q3569" t="s">
        <v>346</v>
      </c>
      <c r="R3569" t="s">
        <v>4036</v>
      </c>
      <c r="S3569" t="s">
        <v>534</v>
      </c>
    </row>
    <row r="3570" spans="1:19" x14ac:dyDescent="0.25">
      <c r="A3570" t="s">
        <v>30</v>
      </c>
      <c r="B3570" t="s">
        <v>31</v>
      </c>
      <c r="C3570" t="s">
        <v>32</v>
      </c>
      <c r="D3570" t="s">
        <v>522</v>
      </c>
      <c r="E3570" t="s">
        <v>533</v>
      </c>
      <c r="F3570" t="s">
        <v>35</v>
      </c>
      <c r="G3570" t="s">
        <v>35</v>
      </c>
      <c r="H3570" t="s">
        <v>35</v>
      </c>
      <c r="J3570" t="s">
        <v>4078</v>
      </c>
      <c r="K3570" t="s">
        <v>1092</v>
      </c>
      <c r="M3570">
        <v>6.165</v>
      </c>
      <c r="N3570">
        <v>150</v>
      </c>
      <c r="O3570" t="s">
        <v>38</v>
      </c>
      <c r="Q3570" t="s">
        <v>1612</v>
      </c>
      <c r="R3570" t="s">
        <v>548</v>
      </c>
      <c r="S3570" t="s">
        <v>524</v>
      </c>
    </row>
    <row r="3571" spans="1:19" x14ac:dyDescent="0.25">
      <c r="A3571" t="s">
        <v>59</v>
      </c>
      <c r="B3571" t="s">
        <v>60</v>
      </c>
      <c r="C3571" t="s">
        <v>32</v>
      </c>
      <c r="D3571" t="s">
        <v>522</v>
      </c>
      <c r="E3571" t="s">
        <v>533</v>
      </c>
      <c r="F3571" t="s">
        <v>35</v>
      </c>
      <c r="G3571" t="s">
        <v>35</v>
      </c>
      <c r="H3571" t="s">
        <v>35</v>
      </c>
      <c r="J3571" t="s">
        <v>4079</v>
      </c>
      <c r="K3571" t="s">
        <v>1092</v>
      </c>
      <c r="M3571">
        <v>0.375</v>
      </c>
      <c r="N3571">
        <v>82</v>
      </c>
      <c r="O3571" t="s">
        <v>61</v>
      </c>
      <c r="Q3571" t="s">
        <v>447</v>
      </c>
      <c r="R3571" t="s">
        <v>4036</v>
      </c>
      <c r="S3571" t="s">
        <v>534</v>
      </c>
    </row>
    <row r="3572" spans="1:19" x14ac:dyDescent="0.25">
      <c r="A3572" t="s">
        <v>30</v>
      </c>
      <c r="B3572" t="s">
        <v>31</v>
      </c>
      <c r="C3572" t="s">
        <v>32</v>
      </c>
      <c r="D3572" t="s">
        <v>522</v>
      </c>
      <c r="E3572" t="s">
        <v>533</v>
      </c>
      <c r="F3572" t="s">
        <v>35</v>
      </c>
      <c r="G3572" t="s">
        <v>35</v>
      </c>
      <c r="H3572" t="s">
        <v>35</v>
      </c>
      <c r="J3572" t="s">
        <v>4080</v>
      </c>
      <c r="K3572" t="s">
        <v>1092</v>
      </c>
      <c r="M3572">
        <v>8.7750000000000004</v>
      </c>
      <c r="N3572">
        <v>412</v>
      </c>
      <c r="O3572" t="s">
        <v>294</v>
      </c>
      <c r="Q3572" t="s">
        <v>3472</v>
      </c>
      <c r="R3572" t="s">
        <v>538</v>
      </c>
      <c r="S3572" t="s">
        <v>539</v>
      </c>
    </row>
    <row r="3573" spans="1:19" x14ac:dyDescent="0.25">
      <c r="A3573" t="s">
        <v>30</v>
      </c>
      <c r="B3573" t="s">
        <v>31</v>
      </c>
      <c r="C3573" t="s">
        <v>32</v>
      </c>
      <c r="D3573" t="s">
        <v>522</v>
      </c>
      <c r="E3573" t="s">
        <v>533</v>
      </c>
      <c r="F3573" t="s">
        <v>35</v>
      </c>
      <c r="G3573" t="s">
        <v>35</v>
      </c>
      <c r="H3573" t="s">
        <v>35</v>
      </c>
      <c r="J3573" t="s">
        <v>4081</v>
      </c>
      <c r="K3573" t="s">
        <v>1092</v>
      </c>
      <c r="M3573">
        <v>0.45</v>
      </c>
      <c r="N3573">
        <v>1262</v>
      </c>
      <c r="O3573" t="s">
        <v>575</v>
      </c>
      <c r="Q3573" t="s">
        <v>2292</v>
      </c>
      <c r="R3573" t="s">
        <v>4036</v>
      </c>
      <c r="S3573" t="s">
        <v>534</v>
      </c>
    </row>
    <row r="3574" spans="1:19" x14ac:dyDescent="0.25">
      <c r="A3574" t="s">
        <v>59</v>
      </c>
      <c r="B3574" t="s">
        <v>60</v>
      </c>
      <c r="C3574" t="s">
        <v>32</v>
      </c>
      <c r="D3574" t="s">
        <v>522</v>
      </c>
      <c r="E3574" t="s">
        <v>533</v>
      </c>
      <c r="F3574" t="s">
        <v>35</v>
      </c>
      <c r="G3574" t="s">
        <v>35</v>
      </c>
      <c r="H3574" t="s">
        <v>35</v>
      </c>
      <c r="J3574" t="s">
        <v>4081</v>
      </c>
      <c r="K3574" t="s">
        <v>1092</v>
      </c>
      <c r="M3574">
        <v>0.7</v>
      </c>
      <c r="N3574">
        <v>984</v>
      </c>
      <c r="O3574" t="s">
        <v>575</v>
      </c>
      <c r="Q3574" t="s">
        <v>4082</v>
      </c>
      <c r="R3574" t="s">
        <v>4036</v>
      </c>
      <c r="S3574" t="s">
        <v>534</v>
      </c>
    </row>
    <row r="3575" spans="1:19" x14ac:dyDescent="0.25">
      <c r="A3575" t="s">
        <v>30</v>
      </c>
      <c r="B3575" t="s">
        <v>31</v>
      </c>
      <c r="C3575" t="s">
        <v>32</v>
      </c>
      <c r="D3575" t="s">
        <v>522</v>
      </c>
      <c r="E3575" t="s">
        <v>533</v>
      </c>
      <c r="F3575" t="s">
        <v>35</v>
      </c>
      <c r="G3575" t="s">
        <v>35</v>
      </c>
      <c r="H3575" t="s">
        <v>35</v>
      </c>
      <c r="J3575" t="s">
        <v>4083</v>
      </c>
      <c r="K3575" t="s">
        <v>1092</v>
      </c>
      <c r="M3575">
        <v>3.87</v>
      </c>
      <c r="N3575">
        <v>21</v>
      </c>
      <c r="O3575" t="s">
        <v>46</v>
      </c>
      <c r="Q3575" t="s">
        <v>1874</v>
      </c>
      <c r="R3575" t="s">
        <v>3931</v>
      </c>
      <c r="S3575" t="s">
        <v>3932</v>
      </c>
    </row>
    <row r="3576" spans="1:19" x14ac:dyDescent="0.25">
      <c r="A3576" t="s">
        <v>44</v>
      </c>
      <c r="B3576" t="s">
        <v>3</v>
      </c>
      <c r="C3576" t="s">
        <v>32</v>
      </c>
      <c r="D3576" t="s">
        <v>522</v>
      </c>
      <c r="E3576" t="s">
        <v>533</v>
      </c>
      <c r="F3576" t="s">
        <v>35</v>
      </c>
      <c r="G3576" t="s">
        <v>35</v>
      </c>
      <c r="H3576" t="s">
        <v>35</v>
      </c>
      <c r="J3576" t="s">
        <v>4084</v>
      </c>
      <c r="K3576" t="s">
        <v>1092</v>
      </c>
      <c r="M3576">
        <v>0.25</v>
      </c>
      <c r="N3576">
        <v>230</v>
      </c>
      <c r="O3576" t="s">
        <v>5</v>
      </c>
      <c r="Q3576" t="s">
        <v>1544</v>
      </c>
      <c r="R3576" t="s">
        <v>4036</v>
      </c>
      <c r="S3576" t="s">
        <v>534</v>
      </c>
    </row>
    <row r="3577" spans="1:19" x14ac:dyDescent="0.25">
      <c r="A3577" t="s">
        <v>59</v>
      </c>
      <c r="B3577" t="s">
        <v>60</v>
      </c>
      <c r="C3577" t="s">
        <v>32</v>
      </c>
      <c r="D3577" t="s">
        <v>522</v>
      </c>
      <c r="E3577" t="s">
        <v>533</v>
      </c>
      <c r="F3577" t="s">
        <v>35</v>
      </c>
      <c r="G3577" t="s">
        <v>35</v>
      </c>
      <c r="H3577" t="s">
        <v>35</v>
      </c>
      <c r="J3577" t="s">
        <v>4084</v>
      </c>
      <c r="K3577" t="s">
        <v>1092</v>
      </c>
      <c r="M3577">
        <v>0.05</v>
      </c>
      <c r="N3577">
        <v>266</v>
      </c>
      <c r="O3577" t="s">
        <v>5</v>
      </c>
      <c r="Q3577" t="s">
        <v>117</v>
      </c>
      <c r="R3577" t="s">
        <v>4036</v>
      </c>
      <c r="S3577" t="s">
        <v>534</v>
      </c>
    </row>
    <row r="3578" spans="1:19" x14ac:dyDescent="0.25">
      <c r="A3578" t="s">
        <v>30</v>
      </c>
      <c r="B3578" t="s">
        <v>31</v>
      </c>
      <c r="C3578" t="s">
        <v>32</v>
      </c>
      <c r="D3578" t="s">
        <v>522</v>
      </c>
      <c r="E3578" t="s">
        <v>533</v>
      </c>
      <c r="F3578" t="s">
        <v>35</v>
      </c>
      <c r="G3578" t="s">
        <v>35</v>
      </c>
      <c r="H3578" t="s">
        <v>35</v>
      </c>
      <c r="J3578" t="s">
        <v>4085</v>
      </c>
      <c r="K3578" t="s">
        <v>1092</v>
      </c>
      <c r="M3578">
        <v>8.1449999999999996</v>
      </c>
      <c r="N3578">
        <v>198</v>
      </c>
      <c r="O3578" t="s">
        <v>5</v>
      </c>
      <c r="Q3578" t="s">
        <v>4086</v>
      </c>
      <c r="R3578" t="s">
        <v>538</v>
      </c>
      <c r="S3578" t="s">
        <v>539</v>
      </c>
    </row>
    <row r="3579" spans="1:19" x14ac:dyDescent="0.25">
      <c r="A3579" t="s">
        <v>30</v>
      </c>
      <c r="B3579" t="s">
        <v>31</v>
      </c>
      <c r="C3579" t="s">
        <v>32</v>
      </c>
      <c r="D3579" t="s">
        <v>522</v>
      </c>
      <c r="E3579" t="s">
        <v>533</v>
      </c>
      <c r="F3579" t="s">
        <v>35</v>
      </c>
      <c r="G3579" t="s">
        <v>35</v>
      </c>
      <c r="H3579" t="s">
        <v>35</v>
      </c>
      <c r="J3579" t="s">
        <v>4087</v>
      </c>
      <c r="K3579" t="s">
        <v>1092</v>
      </c>
      <c r="M3579">
        <v>0.85499999999999998</v>
      </c>
      <c r="N3579">
        <v>506</v>
      </c>
      <c r="O3579" t="s">
        <v>294</v>
      </c>
      <c r="Q3579" t="s">
        <v>2101</v>
      </c>
      <c r="R3579" t="s">
        <v>548</v>
      </c>
      <c r="S3579" t="s">
        <v>524</v>
      </c>
    </row>
    <row r="3580" spans="1:19" x14ac:dyDescent="0.25">
      <c r="A3580" t="s">
        <v>44</v>
      </c>
      <c r="B3580" t="s">
        <v>51</v>
      </c>
      <c r="C3580" t="s">
        <v>32</v>
      </c>
      <c r="D3580" t="s">
        <v>522</v>
      </c>
      <c r="E3580" t="s">
        <v>533</v>
      </c>
      <c r="F3580" t="s">
        <v>35</v>
      </c>
      <c r="G3580" t="s">
        <v>35</v>
      </c>
      <c r="H3580" t="s">
        <v>35</v>
      </c>
      <c r="J3580" t="s">
        <v>4087</v>
      </c>
      <c r="K3580" t="s">
        <v>1092</v>
      </c>
      <c r="M3580">
        <v>0.15</v>
      </c>
      <c r="N3580">
        <v>513</v>
      </c>
      <c r="O3580" t="s">
        <v>294</v>
      </c>
      <c r="Q3580" t="s">
        <v>1651</v>
      </c>
      <c r="R3580" t="s">
        <v>3957</v>
      </c>
      <c r="S3580" t="s">
        <v>3958</v>
      </c>
    </row>
    <row r="3581" spans="1:19" x14ac:dyDescent="0.25">
      <c r="A3581" t="s">
        <v>30</v>
      </c>
      <c r="B3581" t="s">
        <v>31</v>
      </c>
      <c r="C3581" t="s">
        <v>32</v>
      </c>
      <c r="D3581" t="s">
        <v>522</v>
      </c>
      <c r="E3581" t="s">
        <v>533</v>
      </c>
      <c r="F3581" t="s">
        <v>35</v>
      </c>
      <c r="G3581" t="s">
        <v>35</v>
      </c>
      <c r="H3581" t="s">
        <v>35</v>
      </c>
      <c r="J3581" t="s">
        <v>4088</v>
      </c>
      <c r="K3581" t="s">
        <v>1092</v>
      </c>
      <c r="M3581">
        <v>1.17</v>
      </c>
      <c r="N3581">
        <v>155</v>
      </c>
      <c r="O3581" t="s">
        <v>38</v>
      </c>
      <c r="Q3581" t="s">
        <v>3942</v>
      </c>
      <c r="R3581" t="s">
        <v>538</v>
      </c>
      <c r="S3581" t="s">
        <v>539</v>
      </c>
    </row>
    <row r="3582" spans="1:19" x14ac:dyDescent="0.25">
      <c r="A3582" t="s">
        <v>59</v>
      </c>
      <c r="B3582" t="s">
        <v>60</v>
      </c>
      <c r="C3582" t="s">
        <v>32</v>
      </c>
      <c r="D3582" t="s">
        <v>522</v>
      </c>
      <c r="E3582" t="s">
        <v>543</v>
      </c>
      <c r="F3582" t="s">
        <v>35</v>
      </c>
      <c r="G3582" t="s">
        <v>35</v>
      </c>
      <c r="H3582" t="s">
        <v>35</v>
      </c>
      <c r="J3582" t="s">
        <v>4089</v>
      </c>
      <c r="K3582" t="s">
        <v>1092</v>
      </c>
      <c r="M3582">
        <v>1.5</v>
      </c>
      <c r="N3582">
        <v>245</v>
      </c>
      <c r="O3582" t="s">
        <v>5</v>
      </c>
      <c r="Q3582" t="s">
        <v>111</v>
      </c>
      <c r="R3582" t="s">
        <v>4090</v>
      </c>
      <c r="S3582" t="s">
        <v>4091</v>
      </c>
    </row>
    <row r="3583" spans="1:19" x14ac:dyDescent="0.25">
      <c r="A3583" t="s">
        <v>30</v>
      </c>
      <c r="B3583" t="s">
        <v>31</v>
      </c>
      <c r="C3583" t="s">
        <v>32</v>
      </c>
      <c r="D3583" t="s">
        <v>522</v>
      </c>
      <c r="E3583" t="s">
        <v>543</v>
      </c>
      <c r="F3583" t="s">
        <v>35</v>
      </c>
      <c r="G3583" t="s">
        <v>35</v>
      </c>
      <c r="H3583" t="s">
        <v>35</v>
      </c>
      <c r="J3583" t="s">
        <v>4093</v>
      </c>
      <c r="K3583" t="s">
        <v>1092</v>
      </c>
      <c r="M3583">
        <v>11.025</v>
      </c>
      <c r="N3583">
        <v>68</v>
      </c>
      <c r="O3583" t="s">
        <v>61</v>
      </c>
      <c r="Q3583" t="s">
        <v>146</v>
      </c>
      <c r="R3583" t="s">
        <v>538</v>
      </c>
      <c r="S3583" t="s">
        <v>539</v>
      </c>
    </row>
    <row r="3584" spans="1:19" x14ac:dyDescent="0.25">
      <c r="A3584" t="s">
        <v>30</v>
      </c>
      <c r="B3584" t="s">
        <v>31</v>
      </c>
      <c r="C3584" t="s">
        <v>32</v>
      </c>
      <c r="D3584" t="s">
        <v>522</v>
      </c>
      <c r="E3584" t="s">
        <v>543</v>
      </c>
      <c r="F3584" t="s">
        <v>35</v>
      </c>
      <c r="G3584" t="s">
        <v>35</v>
      </c>
      <c r="H3584" t="s">
        <v>35</v>
      </c>
      <c r="J3584" t="s">
        <v>4093</v>
      </c>
      <c r="K3584" t="s">
        <v>1092</v>
      </c>
      <c r="M3584">
        <v>10.125</v>
      </c>
      <c r="N3584">
        <v>133</v>
      </c>
      <c r="O3584" t="s">
        <v>38</v>
      </c>
      <c r="Q3584" t="s">
        <v>68</v>
      </c>
      <c r="R3584" t="s">
        <v>538</v>
      </c>
      <c r="S3584" t="s">
        <v>539</v>
      </c>
    </row>
    <row r="3585" spans="1:19" x14ac:dyDescent="0.25">
      <c r="A3585" t="s">
        <v>59</v>
      </c>
      <c r="B3585" t="s">
        <v>31</v>
      </c>
      <c r="C3585" t="s">
        <v>32</v>
      </c>
      <c r="D3585" t="s">
        <v>522</v>
      </c>
      <c r="E3585" t="s">
        <v>543</v>
      </c>
      <c r="F3585" t="s">
        <v>35</v>
      </c>
      <c r="G3585" t="s">
        <v>35</v>
      </c>
      <c r="H3585" t="s">
        <v>35</v>
      </c>
      <c r="J3585" t="s">
        <v>4094</v>
      </c>
      <c r="K3585" t="s">
        <v>1092</v>
      </c>
      <c r="M3585">
        <v>10.755000000000001</v>
      </c>
      <c r="N3585">
        <v>171</v>
      </c>
      <c r="O3585" t="s">
        <v>38</v>
      </c>
      <c r="Q3585" t="s">
        <v>3930</v>
      </c>
      <c r="R3585" t="s">
        <v>538</v>
      </c>
      <c r="S3585" t="s">
        <v>539</v>
      </c>
    </row>
    <row r="3586" spans="1:19" x14ac:dyDescent="0.25">
      <c r="A3586" t="s">
        <v>30</v>
      </c>
      <c r="B3586" t="s">
        <v>31</v>
      </c>
      <c r="C3586" t="s">
        <v>32</v>
      </c>
      <c r="D3586" t="s">
        <v>522</v>
      </c>
      <c r="E3586" t="s">
        <v>543</v>
      </c>
      <c r="F3586" t="s">
        <v>35</v>
      </c>
      <c r="G3586" t="s">
        <v>35</v>
      </c>
      <c r="H3586" t="s">
        <v>35</v>
      </c>
      <c r="J3586" t="s">
        <v>4094</v>
      </c>
      <c r="K3586" t="s">
        <v>1092</v>
      </c>
      <c r="M3586">
        <v>11.025</v>
      </c>
      <c r="N3586">
        <v>71</v>
      </c>
      <c r="O3586" t="s">
        <v>61</v>
      </c>
      <c r="Q3586" t="s">
        <v>102</v>
      </c>
      <c r="R3586" t="s">
        <v>538</v>
      </c>
      <c r="S3586" t="s">
        <v>539</v>
      </c>
    </row>
    <row r="3587" spans="1:19" x14ac:dyDescent="0.25">
      <c r="A3587" t="s">
        <v>30</v>
      </c>
      <c r="B3587" t="s">
        <v>31</v>
      </c>
      <c r="C3587" t="s">
        <v>32</v>
      </c>
      <c r="D3587" t="s">
        <v>522</v>
      </c>
      <c r="E3587" t="s">
        <v>543</v>
      </c>
      <c r="F3587" t="s">
        <v>35</v>
      </c>
      <c r="G3587" t="s">
        <v>35</v>
      </c>
      <c r="H3587" t="s">
        <v>35</v>
      </c>
      <c r="J3587" t="s">
        <v>4094</v>
      </c>
      <c r="K3587" t="s">
        <v>1092</v>
      </c>
      <c r="M3587">
        <v>7.7850000000000001</v>
      </c>
      <c r="N3587">
        <v>97</v>
      </c>
      <c r="O3587" t="s">
        <v>106</v>
      </c>
      <c r="Q3587" t="s">
        <v>557</v>
      </c>
      <c r="R3587" t="s">
        <v>538</v>
      </c>
      <c r="S3587" t="s">
        <v>539</v>
      </c>
    </row>
    <row r="3588" spans="1:19" x14ac:dyDescent="0.25">
      <c r="A3588" t="s">
        <v>30</v>
      </c>
      <c r="B3588" t="s">
        <v>31</v>
      </c>
      <c r="C3588" t="s">
        <v>32</v>
      </c>
      <c r="D3588" t="s">
        <v>522</v>
      </c>
      <c r="E3588" t="s">
        <v>543</v>
      </c>
      <c r="F3588" t="s">
        <v>35</v>
      </c>
      <c r="G3588" t="s">
        <v>35</v>
      </c>
      <c r="H3588" t="s">
        <v>35</v>
      </c>
      <c r="J3588" t="s">
        <v>4095</v>
      </c>
      <c r="K3588" t="s">
        <v>1092</v>
      </c>
      <c r="M3588">
        <v>11.025</v>
      </c>
      <c r="N3588">
        <v>71</v>
      </c>
      <c r="O3588" t="s">
        <v>61</v>
      </c>
      <c r="Q3588" t="s">
        <v>102</v>
      </c>
      <c r="R3588" t="s">
        <v>538</v>
      </c>
      <c r="S3588" t="s">
        <v>539</v>
      </c>
    </row>
    <row r="3589" spans="1:19" x14ac:dyDescent="0.25">
      <c r="A3589" t="s">
        <v>59</v>
      </c>
      <c r="B3589" t="s">
        <v>60</v>
      </c>
      <c r="C3589" t="s">
        <v>32</v>
      </c>
      <c r="D3589" t="s">
        <v>522</v>
      </c>
      <c r="E3589" t="s">
        <v>543</v>
      </c>
      <c r="F3589" t="s">
        <v>35</v>
      </c>
      <c r="G3589" t="s">
        <v>35</v>
      </c>
      <c r="H3589" t="s">
        <v>35</v>
      </c>
      <c r="J3589" t="s">
        <v>4095</v>
      </c>
      <c r="K3589" t="s">
        <v>1092</v>
      </c>
      <c r="M3589">
        <v>22.8</v>
      </c>
      <c r="N3589">
        <v>112</v>
      </c>
      <c r="O3589" t="s">
        <v>106</v>
      </c>
      <c r="Q3589" t="s">
        <v>171</v>
      </c>
      <c r="R3589" t="s">
        <v>4090</v>
      </c>
      <c r="S3589" t="s">
        <v>4091</v>
      </c>
    </row>
    <row r="3590" spans="1:19" x14ac:dyDescent="0.25">
      <c r="A3590" t="s">
        <v>44</v>
      </c>
      <c r="B3590" t="s">
        <v>51</v>
      </c>
      <c r="C3590" t="s">
        <v>32</v>
      </c>
      <c r="D3590" t="s">
        <v>522</v>
      </c>
      <c r="E3590" t="s">
        <v>543</v>
      </c>
      <c r="F3590" t="s">
        <v>35</v>
      </c>
      <c r="G3590" t="s">
        <v>35</v>
      </c>
      <c r="H3590" t="s">
        <v>35</v>
      </c>
      <c r="J3590" t="s">
        <v>4095</v>
      </c>
      <c r="K3590" t="s">
        <v>1092</v>
      </c>
      <c r="M3590">
        <v>9.1</v>
      </c>
      <c r="N3590">
        <v>112</v>
      </c>
      <c r="O3590" t="s">
        <v>106</v>
      </c>
      <c r="Q3590" t="s">
        <v>171</v>
      </c>
      <c r="R3590" t="s">
        <v>4090</v>
      </c>
      <c r="S3590" t="s">
        <v>4091</v>
      </c>
    </row>
    <row r="3591" spans="1:19" x14ac:dyDescent="0.25">
      <c r="A3591" t="s">
        <v>30</v>
      </c>
      <c r="B3591" t="s">
        <v>31</v>
      </c>
      <c r="C3591" t="s">
        <v>32</v>
      </c>
      <c r="D3591" t="s">
        <v>522</v>
      </c>
      <c r="E3591" t="s">
        <v>543</v>
      </c>
      <c r="F3591" t="s">
        <v>35</v>
      </c>
      <c r="G3591" t="s">
        <v>35</v>
      </c>
      <c r="H3591" t="s">
        <v>35</v>
      </c>
      <c r="J3591" t="s">
        <v>4095</v>
      </c>
      <c r="K3591" t="s">
        <v>1092</v>
      </c>
      <c r="M3591">
        <v>11.025</v>
      </c>
      <c r="N3591">
        <v>49</v>
      </c>
      <c r="O3591" t="s">
        <v>52</v>
      </c>
      <c r="Q3591" t="s">
        <v>219</v>
      </c>
      <c r="R3591" t="s">
        <v>538</v>
      </c>
      <c r="S3591" t="s">
        <v>539</v>
      </c>
    </row>
    <row r="3592" spans="1:19" x14ac:dyDescent="0.25">
      <c r="A3592" t="s">
        <v>59</v>
      </c>
      <c r="B3592" t="s">
        <v>31</v>
      </c>
      <c r="C3592" t="s">
        <v>32</v>
      </c>
      <c r="D3592" t="s">
        <v>522</v>
      </c>
      <c r="E3592" t="s">
        <v>543</v>
      </c>
      <c r="F3592" t="s">
        <v>35</v>
      </c>
      <c r="G3592" t="s">
        <v>35</v>
      </c>
      <c r="H3592" t="s">
        <v>35</v>
      </c>
      <c r="J3592" t="s">
        <v>4095</v>
      </c>
      <c r="K3592" t="s">
        <v>1092</v>
      </c>
      <c r="M3592">
        <v>11.025</v>
      </c>
      <c r="N3592">
        <v>132</v>
      </c>
      <c r="O3592" t="s">
        <v>38</v>
      </c>
      <c r="Q3592" t="s">
        <v>2901</v>
      </c>
      <c r="R3592" t="s">
        <v>538</v>
      </c>
      <c r="S3592" t="s">
        <v>539</v>
      </c>
    </row>
    <row r="3593" spans="1:19" x14ac:dyDescent="0.25">
      <c r="A3593" t="s">
        <v>30</v>
      </c>
      <c r="B3593" t="s">
        <v>31</v>
      </c>
      <c r="C3593" t="s">
        <v>32</v>
      </c>
      <c r="D3593" t="s">
        <v>522</v>
      </c>
      <c r="E3593" t="s">
        <v>543</v>
      </c>
      <c r="F3593" t="s">
        <v>35</v>
      </c>
      <c r="G3593" t="s">
        <v>35</v>
      </c>
      <c r="H3593" t="s">
        <v>35</v>
      </c>
      <c r="J3593" t="s">
        <v>4095</v>
      </c>
      <c r="K3593" t="s">
        <v>1092</v>
      </c>
      <c r="M3593">
        <v>6.0750000000000002</v>
      </c>
      <c r="N3593">
        <v>133</v>
      </c>
      <c r="O3593" t="s">
        <v>38</v>
      </c>
      <c r="Q3593" t="s">
        <v>68</v>
      </c>
      <c r="R3593" t="s">
        <v>538</v>
      </c>
      <c r="S3593" t="s">
        <v>539</v>
      </c>
    </row>
    <row r="3594" spans="1:19" x14ac:dyDescent="0.25">
      <c r="A3594" t="s">
        <v>59</v>
      </c>
      <c r="B3594" t="s">
        <v>31</v>
      </c>
      <c r="C3594" t="s">
        <v>32</v>
      </c>
      <c r="D3594" t="s">
        <v>522</v>
      </c>
      <c r="E3594" t="s">
        <v>543</v>
      </c>
      <c r="F3594" t="s">
        <v>35</v>
      </c>
      <c r="G3594" t="s">
        <v>35</v>
      </c>
      <c r="H3594" t="s">
        <v>35</v>
      </c>
      <c r="J3594" t="s">
        <v>4095</v>
      </c>
      <c r="K3594" t="s">
        <v>1092</v>
      </c>
      <c r="M3594">
        <v>7.65</v>
      </c>
      <c r="N3594">
        <v>140</v>
      </c>
      <c r="O3594" t="s">
        <v>38</v>
      </c>
      <c r="Q3594" t="s">
        <v>609</v>
      </c>
      <c r="R3594" t="s">
        <v>3931</v>
      </c>
      <c r="S3594" t="s">
        <v>3932</v>
      </c>
    </row>
    <row r="3595" spans="1:19" x14ac:dyDescent="0.25">
      <c r="A3595" t="s">
        <v>30</v>
      </c>
      <c r="B3595" t="s">
        <v>31</v>
      </c>
      <c r="C3595" t="s">
        <v>32</v>
      </c>
      <c r="D3595" t="s">
        <v>522</v>
      </c>
      <c r="E3595" t="s">
        <v>543</v>
      </c>
      <c r="F3595" t="s">
        <v>35</v>
      </c>
      <c r="G3595" t="s">
        <v>35</v>
      </c>
      <c r="H3595" t="s">
        <v>35</v>
      </c>
      <c r="J3595" t="s">
        <v>4095</v>
      </c>
      <c r="K3595" t="s">
        <v>1092</v>
      </c>
      <c r="M3595">
        <v>22.5</v>
      </c>
      <c r="N3595">
        <v>90</v>
      </c>
      <c r="O3595" t="s">
        <v>61</v>
      </c>
      <c r="Q3595" t="s">
        <v>897</v>
      </c>
      <c r="R3595" t="s">
        <v>3931</v>
      </c>
      <c r="S3595" t="s">
        <v>3932</v>
      </c>
    </row>
    <row r="3596" spans="1:19" x14ac:dyDescent="0.25">
      <c r="A3596" t="s">
        <v>30</v>
      </c>
      <c r="B3596" t="s">
        <v>31</v>
      </c>
      <c r="C3596" t="s">
        <v>32</v>
      </c>
      <c r="D3596" t="s">
        <v>522</v>
      </c>
      <c r="E3596" t="s">
        <v>543</v>
      </c>
      <c r="F3596" t="s">
        <v>35</v>
      </c>
      <c r="G3596" t="s">
        <v>35</v>
      </c>
      <c r="H3596" t="s">
        <v>35</v>
      </c>
      <c r="J3596" t="s">
        <v>4095</v>
      </c>
      <c r="K3596" t="s">
        <v>1092</v>
      </c>
      <c r="M3596">
        <v>11.025</v>
      </c>
      <c r="N3596">
        <v>39</v>
      </c>
      <c r="O3596" t="s">
        <v>52</v>
      </c>
      <c r="Q3596" t="s">
        <v>816</v>
      </c>
      <c r="R3596" t="s">
        <v>3931</v>
      </c>
      <c r="S3596" t="s">
        <v>3932</v>
      </c>
    </row>
    <row r="3597" spans="1:19" x14ac:dyDescent="0.25">
      <c r="A3597" t="s">
        <v>59</v>
      </c>
      <c r="B3597" t="s">
        <v>31</v>
      </c>
      <c r="C3597" t="s">
        <v>32</v>
      </c>
      <c r="D3597" t="s">
        <v>522</v>
      </c>
      <c r="E3597" t="s">
        <v>543</v>
      </c>
      <c r="F3597" t="s">
        <v>35</v>
      </c>
      <c r="G3597" t="s">
        <v>35</v>
      </c>
      <c r="H3597" t="s">
        <v>35</v>
      </c>
      <c r="J3597" t="s">
        <v>4096</v>
      </c>
      <c r="K3597" t="s">
        <v>1092</v>
      </c>
      <c r="M3597">
        <v>2.1150000000000002</v>
      </c>
      <c r="N3597">
        <v>139</v>
      </c>
      <c r="O3597" t="s">
        <v>38</v>
      </c>
      <c r="Q3597" t="s">
        <v>1696</v>
      </c>
      <c r="R3597" t="s">
        <v>548</v>
      </c>
      <c r="S3597" t="s">
        <v>524</v>
      </c>
    </row>
    <row r="3598" spans="1:19" x14ac:dyDescent="0.25">
      <c r="A3598" t="s">
        <v>59</v>
      </c>
      <c r="B3598" t="s">
        <v>31</v>
      </c>
      <c r="C3598" t="s">
        <v>32</v>
      </c>
      <c r="D3598" t="s">
        <v>522</v>
      </c>
      <c r="E3598" t="s">
        <v>543</v>
      </c>
      <c r="F3598" t="s">
        <v>35</v>
      </c>
      <c r="G3598" t="s">
        <v>35</v>
      </c>
      <c r="H3598" t="s">
        <v>35</v>
      </c>
      <c r="J3598" t="s">
        <v>4097</v>
      </c>
      <c r="K3598" t="s">
        <v>1092</v>
      </c>
      <c r="M3598">
        <v>0.45</v>
      </c>
      <c r="N3598">
        <v>876</v>
      </c>
      <c r="O3598" t="s">
        <v>575</v>
      </c>
      <c r="Q3598" t="s">
        <v>4098</v>
      </c>
      <c r="R3598" t="s">
        <v>3957</v>
      </c>
      <c r="S3598" t="s">
        <v>3958</v>
      </c>
    </row>
    <row r="3599" spans="1:19" x14ac:dyDescent="0.25">
      <c r="A3599" t="s">
        <v>59</v>
      </c>
      <c r="B3599" t="s">
        <v>60</v>
      </c>
      <c r="C3599" t="s">
        <v>32</v>
      </c>
      <c r="D3599" t="s">
        <v>522</v>
      </c>
      <c r="E3599" t="s">
        <v>543</v>
      </c>
      <c r="F3599" t="s">
        <v>35</v>
      </c>
      <c r="G3599" t="s">
        <v>35</v>
      </c>
      <c r="H3599" t="s">
        <v>35</v>
      </c>
      <c r="J3599" t="s">
        <v>4097</v>
      </c>
      <c r="K3599" t="s">
        <v>1092</v>
      </c>
      <c r="M3599">
        <v>0.17499999999999999</v>
      </c>
      <c r="N3599">
        <v>1131</v>
      </c>
      <c r="O3599" t="s">
        <v>575</v>
      </c>
      <c r="Q3599" t="s">
        <v>4100</v>
      </c>
      <c r="R3599" t="s">
        <v>3957</v>
      </c>
      <c r="S3599" t="s">
        <v>3958</v>
      </c>
    </row>
    <row r="3600" spans="1:19" x14ac:dyDescent="0.25">
      <c r="A3600" t="s">
        <v>59</v>
      </c>
      <c r="B3600" t="s">
        <v>60</v>
      </c>
      <c r="C3600" t="s">
        <v>32</v>
      </c>
      <c r="D3600" t="s">
        <v>522</v>
      </c>
      <c r="E3600" t="s">
        <v>543</v>
      </c>
      <c r="F3600" t="s">
        <v>35</v>
      </c>
      <c r="G3600" t="s">
        <v>35</v>
      </c>
      <c r="H3600" t="s">
        <v>35</v>
      </c>
      <c r="J3600" t="s">
        <v>4097</v>
      </c>
      <c r="K3600" t="s">
        <v>1092</v>
      </c>
      <c r="M3600">
        <v>0.25</v>
      </c>
      <c r="N3600">
        <v>778</v>
      </c>
      <c r="O3600" t="s">
        <v>575</v>
      </c>
      <c r="Q3600" t="s">
        <v>4099</v>
      </c>
      <c r="R3600" t="s">
        <v>3957</v>
      </c>
      <c r="S3600" t="s">
        <v>3958</v>
      </c>
    </row>
    <row r="3601" spans="1:19" x14ac:dyDescent="0.25">
      <c r="A3601" t="s">
        <v>30</v>
      </c>
      <c r="B3601" t="s">
        <v>31</v>
      </c>
      <c r="C3601" t="s">
        <v>32</v>
      </c>
      <c r="D3601" t="s">
        <v>522</v>
      </c>
      <c r="E3601" t="s">
        <v>543</v>
      </c>
      <c r="F3601" t="s">
        <v>35</v>
      </c>
      <c r="G3601" t="s">
        <v>35</v>
      </c>
      <c r="H3601" t="s">
        <v>35</v>
      </c>
      <c r="J3601" t="s">
        <v>4097</v>
      </c>
      <c r="K3601" t="s">
        <v>1092</v>
      </c>
      <c r="M3601">
        <v>0.48599999999999999</v>
      </c>
      <c r="N3601">
        <v>533</v>
      </c>
      <c r="O3601" t="s">
        <v>294</v>
      </c>
      <c r="Q3601" t="s">
        <v>4047</v>
      </c>
      <c r="R3601" t="s">
        <v>538</v>
      </c>
      <c r="S3601" t="s">
        <v>539</v>
      </c>
    </row>
    <row r="3602" spans="1:19" x14ac:dyDescent="0.25">
      <c r="A3602" t="s">
        <v>44</v>
      </c>
      <c r="B3602" t="s">
        <v>3</v>
      </c>
      <c r="C3602" t="s">
        <v>32</v>
      </c>
      <c r="D3602" t="s">
        <v>522</v>
      </c>
      <c r="E3602" t="s">
        <v>543</v>
      </c>
      <c r="F3602" t="s">
        <v>35</v>
      </c>
      <c r="G3602" t="s">
        <v>35</v>
      </c>
      <c r="H3602" t="s">
        <v>35</v>
      </c>
      <c r="J3602" t="s">
        <v>4097</v>
      </c>
      <c r="K3602" t="s">
        <v>1092</v>
      </c>
      <c r="M3602">
        <v>0.5</v>
      </c>
      <c r="N3602">
        <v>535</v>
      </c>
      <c r="O3602" t="s">
        <v>294</v>
      </c>
      <c r="Q3602" t="s">
        <v>2086</v>
      </c>
      <c r="R3602" t="s">
        <v>3957</v>
      </c>
      <c r="S3602" t="s">
        <v>3958</v>
      </c>
    </row>
    <row r="3603" spans="1:19" x14ac:dyDescent="0.25">
      <c r="A3603" t="s">
        <v>59</v>
      </c>
      <c r="B3603" t="s">
        <v>60</v>
      </c>
      <c r="C3603" t="s">
        <v>32</v>
      </c>
      <c r="D3603" t="s">
        <v>522</v>
      </c>
      <c r="E3603" t="s">
        <v>543</v>
      </c>
      <c r="F3603" t="s">
        <v>35</v>
      </c>
      <c r="G3603" t="s">
        <v>35</v>
      </c>
      <c r="H3603" t="s">
        <v>35</v>
      </c>
      <c r="J3603" t="s">
        <v>4101</v>
      </c>
      <c r="K3603" t="s">
        <v>1092</v>
      </c>
      <c r="M3603">
        <v>2.15</v>
      </c>
      <c r="N3603">
        <v>150</v>
      </c>
      <c r="O3603" t="s">
        <v>38</v>
      </c>
      <c r="Q3603" t="s">
        <v>1612</v>
      </c>
      <c r="R3603" t="s">
        <v>4102</v>
      </c>
      <c r="S3603" t="s">
        <v>4103</v>
      </c>
    </row>
    <row r="3604" spans="1:19" x14ac:dyDescent="0.25">
      <c r="A3604" t="s">
        <v>30</v>
      </c>
      <c r="B3604" t="s">
        <v>31</v>
      </c>
      <c r="C3604" t="s">
        <v>32</v>
      </c>
      <c r="D3604" t="s">
        <v>522</v>
      </c>
      <c r="E3604" t="s">
        <v>543</v>
      </c>
      <c r="F3604" t="s">
        <v>35</v>
      </c>
      <c r="G3604" t="s">
        <v>35</v>
      </c>
      <c r="H3604" t="s">
        <v>35</v>
      </c>
      <c r="J3604" t="s">
        <v>4105</v>
      </c>
      <c r="K3604" t="s">
        <v>1092</v>
      </c>
      <c r="M3604">
        <v>9.36</v>
      </c>
      <c r="N3604">
        <v>90</v>
      </c>
      <c r="O3604" t="s">
        <v>61</v>
      </c>
      <c r="Q3604" t="s">
        <v>897</v>
      </c>
      <c r="R3604" t="s">
        <v>3931</v>
      </c>
      <c r="S3604" t="s">
        <v>3932</v>
      </c>
    </row>
    <row r="3605" spans="1:19" x14ac:dyDescent="0.25">
      <c r="A3605" t="s">
        <v>30</v>
      </c>
      <c r="B3605" t="s">
        <v>31</v>
      </c>
      <c r="C3605" t="s">
        <v>32</v>
      </c>
      <c r="D3605" t="s">
        <v>522</v>
      </c>
      <c r="E3605" t="s">
        <v>543</v>
      </c>
      <c r="F3605" t="s">
        <v>35</v>
      </c>
      <c r="G3605" t="s">
        <v>35</v>
      </c>
      <c r="H3605" t="s">
        <v>35</v>
      </c>
      <c r="J3605" t="s">
        <v>4105</v>
      </c>
      <c r="K3605" t="s">
        <v>1092</v>
      </c>
      <c r="M3605">
        <v>11.025</v>
      </c>
      <c r="N3605">
        <v>49</v>
      </c>
      <c r="O3605" t="s">
        <v>52</v>
      </c>
      <c r="Q3605" t="s">
        <v>219</v>
      </c>
      <c r="R3605" t="s">
        <v>538</v>
      </c>
      <c r="S3605" t="s">
        <v>539</v>
      </c>
    </row>
    <row r="3606" spans="1:19" x14ac:dyDescent="0.25">
      <c r="A3606" t="s">
        <v>59</v>
      </c>
      <c r="B3606" t="s">
        <v>31</v>
      </c>
      <c r="C3606" t="s">
        <v>32</v>
      </c>
      <c r="D3606" t="s">
        <v>522</v>
      </c>
      <c r="E3606" t="s">
        <v>543</v>
      </c>
      <c r="F3606" t="s">
        <v>35</v>
      </c>
      <c r="G3606" t="s">
        <v>35</v>
      </c>
      <c r="H3606" t="s">
        <v>35</v>
      </c>
      <c r="J3606" t="s">
        <v>4106</v>
      </c>
      <c r="K3606" t="s">
        <v>1092</v>
      </c>
      <c r="M3606">
        <v>4.7249999999999996</v>
      </c>
      <c r="N3606">
        <v>198</v>
      </c>
      <c r="O3606" t="s">
        <v>5</v>
      </c>
      <c r="Q3606" t="s">
        <v>4086</v>
      </c>
      <c r="R3606" t="s">
        <v>538</v>
      </c>
      <c r="S3606" t="s">
        <v>539</v>
      </c>
    </row>
    <row r="3607" spans="1:19" x14ac:dyDescent="0.25">
      <c r="A3607" t="s">
        <v>44</v>
      </c>
      <c r="B3607" t="s">
        <v>51</v>
      </c>
      <c r="C3607" t="s">
        <v>32</v>
      </c>
      <c r="D3607" t="s">
        <v>522</v>
      </c>
      <c r="E3607" t="s">
        <v>543</v>
      </c>
      <c r="F3607" t="s">
        <v>35</v>
      </c>
      <c r="G3607" t="s">
        <v>35</v>
      </c>
      <c r="H3607" t="s">
        <v>35</v>
      </c>
      <c r="J3607" t="s">
        <v>4106</v>
      </c>
      <c r="K3607" t="s">
        <v>1092</v>
      </c>
      <c r="M3607">
        <v>10.25</v>
      </c>
      <c r="N3607">
        <v>81</v>
      </c>
      <c r="O3607" t="s">
        <v>61</v>
      </c>
      <c r="Q3607" t="s">
        <v>527</v>
      </c>
      <c r="R3607" t="s">
        <v>538</v>
      </c>
      <c r="S3607" t="s">
        <v>539</v>
      </c>
    </row>
    <row r="3608" spans="1:19" x14ac:dyDescent="0.25">
      <c r="A3608" t="s">
        <v>59</v>
      </c>
      <c r="B3608" t="s">
        <v>60</v>
      </c>
      <c r="C3608" t="s">
        <v>32</v>
      </c>
      <c r="D3608" t="s">
        <v>522</v>
      </c>
      <c r="E3608" t="s">
        <v>543</v>
      </c>
      <c r="F3608" t="s">
        <v>35</v>
      </c>
      <c r="G3608" t="s">
        <v>35</v>
      </c>
      <c r="H3608" t="s">
        <v>35</v>
      </c>
      <c r="J3608" t="s">
        <v>4107</v>
      </c>
      <c r="K3608" t="s">
        <v>1144</v>
      </c>
      <c r="M3608">
        <v>8</v>
      </c>
      <c r="N3608">
        <v>174</v>
      </c>
      <c r="O3608" t="s">
        <v>38</v>
      </c>
      <c r="Q3608" t="s">
        <v>1565</v>
      </c>
      <c r="R3608" t="s">
        <v>548</v>
      </c>
      <c r="S3608" t="s">
        <v>524</v>
      </c>
    </row>
    <row r="3609" spans="1:19" x14ac:dyDescent="0.25">
      <c r="A3609" t="s">
        <v>30</v>
      </c>
      <c r="B3609" t="s">
        <v>31</v>
      </c>
      <c r="C3609" t="s">
        <v>32</v>
      </c>
      <c r="D3609" t="s">
        <v>522</v>
      </c>
      <c r="E3609" t="s">
        <v>543</v>
      </c>
      <c r="F3609" t="s">
        <v>35</v>
      </c>
      <c r="G3609" t="s">
        <v>35</v>
      </c>
      <c r="H3609" t="s">
        <v>35</v>
      </c>
      <c r="J3609" t="s">
        <v>4108</v>
      </c>
      <c r="K3609" t="s">
        <v>1092</v>
      </c>
      <c r="M3609">
        <v>11.025</v>
      </c>
      <c r="N3609">
        <v>71</v>
      </c>
      <c r="O3609" t="s">
        <v>61</v>
      </c>
      <c r="Q3609" t="s">
        <v>102</v>
      </c>
      <c r="R3609" t="s">
        <v>538</v>
      </c>
      <c r="S3609" t="s">
        <v>539</v>
      </c>
    </row>
    <row r="3610" spans="1:19" x14ac:dyDescent="0.25">
      <c r="A3610" t="s">
        <v>30</v>
      </c>
      <c r="B3610" t="s">
        <v>31</v>
      </c>
      <c r="C3610" t="s">
        <v>32</v>
      </c>
      <c r="D3610" t="s">
        <v>522</v>
      </c>
      <c r="E3610" t="s">
        <v>543</v>
      </c>
      <c r="F3610" t="s">
        <v>35</v>
      </c>
      <c r="G3610" t="s">
        <v>35</v>
      </c>
      <c r="H3610" t="s">
        <v>35</v>
      </c>
      <c r="J3610" t="s">
        <v>4108</v>
      </c>
      <c r="K3610" t="s">
        <v>1092</v>
      </c>
      <c r="M3610">
        <v>0.18</v>
      </c>
      <c r="N3610">
        <v>97</v>
      </c>
      <c r="O3610" t="s">
        <v>106</v>
      </c>
      <c r="Q3610" t="s">
        <v>557</v>
      </c>
      <c r="R3610" t="s">
        <v>538</v>
      </c>
      <c r="S3610" t="s">
        <v>539</v>
      </c>
    </row>
    <row r="3611" spans="1:19" x14ac:dyDescent="0.25">
      <c r="A3611" t="s">
        <v>30</v>
      </c>
      <c r="B3611" t="s">
        <v>31</v>
      </c>
      <c r="C3611" t="s">
        <v>32</v>
      </c>
      <c r="D3611" t="s">
        <v>522</v>
      </c>
      <c r="E3611" t="s">
        <v>543</v>
      </c>
      <c r="F3611" t="s">
        <v>35</v>
      </c>
      <c r="G3611" t="s">
        <v>35</v>
      </c>
      <c r="H3611" t="s">
        <v>35</v>
      </c>
      <c r="J3611" t="s">
        <v>4109</v>
      </c>
      <c r="K3611" t="s">
        <v>1092</v>
      </c>
      <c r="M3611">
        <v>7.47</v>
      </c>
      <c r="N3611">
        <v>49</v>
      </c>
      <c r="O3611" t="s">
        <v>52</v>
      </c>
      <c r="Q3611" t="s">
        <v>219</v>
      </c>
      <c r="R3611" t="s">
        <v>538</v>
      </c>
      <c r="S3611" t="s">
        <v>539</v>
      </c>
    </row>
    <row r="3612" spans="1:19" x14ac:dyDescent="0.25">
      <c r="A3612" t="s">
        <v>59</v>
      </c>
      <c r="B3612" t="s">
        <v>60</v>
      </c>
      <c r="C3612" t="s">
        <v>32</v>
      </c>
      <c r="D3612" t="s">
        <v>522</v>
      </c>
      <c r="E3612" t="s">
        <v>543</v>
      </c>
      <c r="F3612" t="s">
        <v>35</v>
      </c>
      <c r="G3612" t="s">
        <v>35</v>
      </c>
      <c r="H3612" t="s">
        <v>35</v>
      </c>
      <c r="J3612" t="s">
        <v>4110</v>
      </c>
      <c r="K3612" t="s">
        <v>1092</v>
      </c>
      <c r="M3612">
        <v>0.75</v>
      </c>
      <c r="N3612">
        <v>150</v>
      </c>
      <c r="O3612" t="s">
        <v>38</v>
      </c>
      <c r="Q3612" t="s">
        <v>1612</v>
      </c>
      <c r="R3612" t="s">
        <v>4036</v>
      </c>
      <c r="S3612" t="s">
        <v>534</v>
      </c>
    </row>
    <row r="3613" spans="1:19" x14ac:dyDescent="0.25">
      <c r="A3613" t="s">
        <v>59</v>
      </c>
      <c r="B3613" t="s">
        <v>60</v>
      </c>
      <c r="C3613" t="s">
        <v>32</v>
      </c>
      <c r="D3613" t="s">
        <v>522</v>
      </c>
      <c r="E3613" t="s">
        <v>543</v>
      </c>
      <c r="F3613" t="s">
        <v>35</v>
      </c>
      <c r="G3613" t="s">
        <v>35</v>
      </c>
      <c r="H3613" t="s">
        <v>35</v>
      </c>
      <c r="J3613" t="s">
        <v>4110</v>
      </c>
      <c r="K3613" t="s">
        <v>1092</v>
      </c>
      <c r="M3613">
        <v>0.75</v>
      </c>
      <c r="N3613">
        <v>145</v>
      </c>
      <c r="O3613" t="s">
        <v>38</v>
      </c>
      <c r="Q3613" t="s">
        <v>1149</v>
      </c>
      <c r="R3613" t="s">
        <v>4036</v>
      </c>
      <c r="S3613" t="s">
        <v>534</v>
      </c>
    </row>
    <row r="3614" spans="1:19" x14ac:dyDescent="0.25">
      <c r="A3614" t="s">
        <v>59</v>
      </c>
      <c r="B3614" t="s">
        <v>60</v>
      </c>
      <c r="C3614" t="s">
        <v>32</v>
      </c>
      <c r="D3614" t="s">
        <v>522</v>
      </c>
      <c r="E3614" t="s">
        <v>543</v>
      </c>
      <c r="F3614" t="s">
        <v>35</v>
      </c>
      <c r="G3614" t="s">
        <v>35</v>
      </c>
      <c r="H3614" t="s">
        <v>35</v>
      </c>
      <c r="J3614" t="s">
        <v>4110</v>
      </c>
      <c r="K3614" t="s">
        <v>1092</v>
      </c>
      <c r="M3614">
        <v>1</v>
      </c>
      <c r="N3614">
        <v>148</v>
      </c>
      <c r="O3614" t="s">
        <v>38</v>
      </c>
      <c r="Q3614" t="s">
        <v>1168</v>
      </c>
      <c r="R3614" t="s">
        <v>4036</v>
      </c>
      <c r="S3614" t="s">
        <v>534</v>
      </c>
    </row>
    <row r="3615" spans="1:19" x14ac:dyDescent="0.25">
      <c r="A3615" t="s">
        <v>59</v>
      </c>
      <c r="B3615" t="s">
        <v>60</v>
      </c>
      <c r="C3615" t="s">
        <v>32</v>
      </c>
      <c r="D3615" t="s">
        <v>522</v>
      </c>
      <c r="E3615" t="s">
        <v>543</v>
      </c>
      <c r="F3615" t="s">
        <v>35</v>
      </c>
      <c r="G3615" t="s">
        <v>35</v>
      </c>
      <c r="H3615" t="s">
        <v>35</v>
      </c>
      <c r="J3615" t="s">
        <v>4110</v>
      </c>
      <c r="K3615" t="s">
        <v>1092</v>
      </c>
      <c r="M3615">
        <v>0.75</v>
      </c>
      <c r="N3615">
        <v>146</v>
      </c>
      <c r="O3615" t="s">
        <v>38</v>
      </c>
      <c r="Q3615" t="s">
        <v>1335</v>
      </c>
      <c r="R3615" t="s">
        <v>4036</v>
      </c>
      <c r="S3615" t="s">
        <v>534</v>
      </c>
    </row>
    <row r="3616" spans="1:19" x14ac:dyDescent="0.25">
      <c r="A3616" t="s">
        <v>30</v>
      </c>
      <c r="B3616" t="s">
        <v>31</v>
      </c>
      <c r="C3616" t="s">
        <v>32</v>
      </c>
      <c r="D3616" t="s">
        <v>522</v>
      </c>
      <c r="E3616" t="s">
        <v>543</v>
      </c>
      <c r="F3616" t="s">
        <v>35</v>
      </c>
      <c r="G3616" t="s">
        <v>35</v>
      </c>
      <c r="H3616" t="s">
        <v>35</v>
      </c>
      <c r="J3616" t="s">
        <v>4111</v>
      </c>
      <c r="K3616" t="s">
        <v>1092</v>
      </c>
      <c r="M3616">
        <v>0.23</v>
      </c>
      <c r="N3616">
        <v>18</v>
      </c>
      <c r="O3616" t="s">
        <v>46</v>
      </c>
      <c r="Q3616" t="s">
        <v>1476</v>
      </c>
      <c r="R3616" t="s">
        <v>3931</v>
      </c>
      <c r="S3616" t="s">
        <v>3932</v>
      </c>
    </row>
    <row r="3617" spans="1:19" x14ac:dyDescent="0.25">
      <c r="A3617" t="s">
        <v>30</v>
      </c>
      <c r="B3617" t="s">
        <v>31</v>
      </c>
      <c r="C3617" t="s">
        <v>32</v>
      </c>
      <c r="D3617" t="s">
        <v>522</v>
      </c>
      <c r="E3617" t="s">
        <v>543</v>
      </c>
      <c r="F3617" t="s">
        <v>35</v>
      </c>
      <c r="G3617" t="s">
        <v>35</v>
      </c>
      <c r="H3617" t="s">
        <v>35</v>
      </c>
      <c r="J3617" t="s">
        <v>4112</v>
      </c>
      <c r="K3617" t="s">
        <v>1092</v>
      </c>
      <c r="M3617">
        <v>4.4550000000000001</v>
      </c>
      <c r="N3617">
        <v>128</v>
      </c>
      <c r="O3617" t="s">
        <v>38</v>
      </c>
      <c r="Q3617" t="s">
        <v>1170</v>
      </c>
      <c r="R3617" t="s">
        <v>538</v>
      </c>
      <c r="S3617" t="s">
        <v>539</v>
      </c>
    </row>
    <row r="3618" spans="1:19" x14ac:dyDescent="0.25">
      <c r="A3618" t="s">
        <v>44</v>
      </c>
      <c r="B3618" t="s">
        <v>3</v>
      </c>
      <c r="C3618" t="s">
        <v>32</v>
      </c>
      <c r="D3618" t="s">
        <v>522</v>
      </c>
      <c r="E3618" t="s">
        <v>543</v>
      </c>
      <c r="F3618" t="s">
        <v>35</v>
      </c>
      <c r="G3618" t="s">
        <v>35</v>
      </c>
      <c r="H3618" t="s">
        <v>35</v>
      </c>
      <c r="J3618" t="s">
        <v>4113</v>
      </c>
      <c r="K3618" t="s">
        <v>1092</v>
      </c>
      <c r="M3618">
        <v>2.5499999999999998</v>
      </c>
      <c r="N3618">
        <v>455</v>
      </c>
      <c r="O3618" t="s">
        <v>294</v>
      </c>
      <c r="Q3618" t="s">
        <v>1760</v>
      </c>
      <c r="R3618" t="s">
        <v>559</v>
      </c>
      <c r="S3618" t="s">
        <v>554</v>
      </c>
    </row>
    <row r="3619" spans="1:19" x14ac:dyDescent="0.25">
      <c r="A3619" t="s">
        <v>59</v>
      </c>
      <c r="B3619" t="s">
        <v>31</v>
      </c>
      <c r="C3619" t="s">
        <v>32</v>
      </c>
      <c r="D3619" t="s">
        <v>522</v>
      </c>
      <c r="E3619" t="s">
        <v>543</v>
      </c>
      <c r="F3619" t="s">
        <v>35</v>
      </c>
      <c r="G3619" t="s">
        <v>35</v>
      </c>
      <c r="H3619" t="s">
        <v>35</v>
      </c>
      <c r="J3619" t="s">
        <v>4113</v>
      </c>
      <c r="K3619" t="s">
        <v>1092</v>
      </c>
      <c r="M3619">
        <v>11.025</v>
      </c>
      <c r="N3619">
        <v>126</v>
      </c>
      <c r="O3619" t="s">
        <v>38</v>
      </c>
      <c r="Q3619" t="s">
        <v>1813</v>
      </c>
      <c r="R3619" t="s">
        <v>3931</v>
      </c>
      <c r="S3619" t="s">
        <v>3932</v>
      </c>
    </row>
    <row r="3620" spans="1:19" x14ac:dyDescent="0.25">
      <c r="A3620" t="s">
        <v>59</v>
      </c>
      <c r="B3620" t="s">
        <v>31</v>
      </c>
      <c r="C3620" t="s">
        <v>32</v>
      </c>
      <c r="D3620" t="s">
        <v>522</v>
      </c>
      <c r="E3620" t="s">
        <v>543</v>
      </c>
      <c r="F3620" t="s">
        <v>35</v>
      </c>
      <c r="G3620" t="s">
        <v>35</v>
      </c>
      <c r="H3620" t="s">
        <v>35</v>
      </c>
      <c r="J3620" t="s">
        <v>4113</v>
      </c>
      <c r="K3620" t="s">
        <v>1092</v>
      </c>
      <c r="M3620">
        <v>11.025</v>
      </c>
      <c r="N3620">
        <v>131</v>
      </c>
      <c r="O3620" t="s">
        <v>38</v>
      </c>
      <c r="Q3620" t="s">
        <v>646</v>
      </c>
      <c r="R3620" t="s">
        <v>548</v>
      </c>
      <c r="S3620" t="s">
        <v>524</v>
      </c>
    </row>
    <row r="3621" spans="1:19" x14ac:dyDescent="0.25">
      <c r="A3621" t="s">
        <v>30</v>
      </c>
      <c r="B3621" t="s">
        <v>31</v>
      </c>
      <c r="C3621" t="s">
        <v>32</v>
      </c>
      <c r="D3621" t="s">
        <v>522</v>
      </c>
      <c r="E3621" t="s">
        <v>543</v>
      </c>
      <c r="F3621" t="s">
        <v>35</v>
      </c>
      <c r="G3621" t="s">
        <v>35</v>
      </c>
      <c r="H3621" t="s">
        <v>35</v>
      </c>
      <c r="J3621" t="s">
        <v>4113</v>
      </c>
      <c r="K3621" t="s">
        <v>1092</v>
      </c>
      <c r="M3621">
        <v>6.6150000000000002</v>
      </c>
      <c r="N3621">
        <v>431</v>
      </c>
      <c r="O3621" t="s">
        <v>294</v>
      </c>
      <c r="Q3621" t="s">
        <v>3381</v>
      </c>
      <c r="R3621" t="s">
        <v>559</v>
      </c>
      <c r="S3621" t="s">
        <v>554</v>
      </c>
    </row>
    <row r="3622" spans="1:19" x14ac:dyDescent="0.25">
      <c r="A3622" t="s">
        <v>44</v>
      </c>
      <c r="B3622" t="s">
        <v>51</v>
      </c>
      <c r="C3622" t="s">
        <v>32</v>
      </c>
      <c r="D3622" t="s">
        <v>522</v>
      </c>
      <c r="E3622" t="s">
        <v>543</v>
      </c>
      <c r="F3622" t="s">
        <v>35</v>
      </c>
      <c r="G3622" t="s">
        <v>35</v>
      </c>
      <c r="H3622" t="s">
        <v>35</v>
      </c>
      <c r="J3622" t="s">
        <v>4114</v>
      </c>
      <c r="K3622" t="s">
        <v>1092</v>
      </c>
      <c r="M3622">
        <v>15.65</v>
      </c>
      <c r="N3622">
        <v>72</v>
      </c>
      <c r="O3622" t="s">
        <v>61</v>
      </c>
      <c r="Q3622" t="s">
        <v>63</v>
      </c>
      <c r="R3622" t="s">
        <v>548</v>
      </c>
      <c r="S3622" t="s">
        <v>524</v>
      </c>
    </row>
    <row r="3623" spans="1:19" x14ac:dyDescent="0.25">
      <c r="A3623" t="s">
        <v>59</v>
      </c>
      <c r="B3623" t="s">
        <v>60</v>
      </c>
      <c r="C3623" t="s">
        <v>32</v>
      </c>
      <c r="D3623" t="s">
        <v>522</v>
      </c>
      <c r="E3623" t="s">
        <v>543</v>
      </c>
      <c r="F3623" t="s">
        <v>35</v>
      </c>
      <c r="G3623" t="s">
        <v>35</v>
      </c>
      <c r="H3623" t="s">
        <v>35</v>
      </c>
      <c r="J3623" t="s">
        <v>4114</v>
      </c>
      <c r="K3623" t="s">
        <v>1092</v>
      </c>
      <c r="M3623">
        <v>4.75</v>
      </c>
      <c r="N3623">
        <v>210</v>
      </c>
      <c r="O3623" t="s">
        <v>5</v>
      </c>
      <c r="Q3623" t="s">
        <v>1104</v>
      </c>
      <c r="R3623" t="s">
        <v>559</v>
      </c>
      <c r="S3623" t="s">
        <v>554</v>
      </c>
    </row>
    <row r="3624" spans="1:19" x14ac:dyDescent="0.25">
      <c r="A3624" t="s">
        <v>59</v>
      </c>
      <c r="B3624" t="s">
        <v>60</v>
      </c>
      <c r="C3624" t="s">
        <v>32</v>
      </c>
      <c r="D3624" t="s">
        <v>522</v>
      </c>
      <c r="E3624" t="s">
        <v>543</v>
      </c>
      <c r="F3624" t="s">
        <v>35</v>
      </c>
      <c r="G3624" t="s">
        <v>35</v>
      </c>
      <c r="H3624" t="s">
        <v>35</v>
      </c>
      <c r="J3624" t="s">
        <v>4115</v>
      </c>
      <c r="K3624" t="s">
        <v>1092</v>
      </c>
      <c r="M3624">
        <v>0.25</v>
      </c>
      <c r="N3624">
        <v>1229</v>
      </c>
      <c r="O3624" t="s">
        <v>575</v>
      </c>
      <c r="Q3624" t="s">
        <v>4120</v>
      </c>
      <c r="R3624" t="s">
        <v>4036</v>
      </c>
      <c r="S3624" t="s">
        <v>534</v>
      </c>
    </row>
    <row r="3625" spans="1:19" x14ac:dyDescent="0.25">
      <c r="A3625" t="s">
        <v>59</v>
      </c>
      <c r="B3625" t="s">
        <v>31</v>
      </c>
      <c r="C3625" t="s">
        <v>32</v>
      </c>
      <c r="D3625" t="s">
        <v>522</v>
      </c>
      <c r="E3625" t="s">
        <v>543</v>
      </c>
      <c r="F3625" t="s">
        <v>35</v>
      </c>
      <c r="G3625" t="s">
        <v>35</v>
      </c>
      <c r="H3625" t="s">
        <v>35</v>
      </c>
      <c r="J3625" t="s">
        <v>4115</v>
      </c>
      <c r="K3625" t="s">
        <v>1092</v>
      </c>
      <c r="M3625">
        <v>2.4750000000000001</v>
      </c>
      <c r="N3625">
        <v>1238</v>
      </c>
      <c r="O3625" t="s">
        <v>575</v>
      </c>
      <c r="Q3625" t="s">
        <v>4116</v>
      </c>
      <c r="R3625" t="s">
        <v>4117</v>
      </c>
      <c r="S3625" t="s">
        <v>4118</v>
      </c>
    </row>
    <row r="3626" spans="1:19" x14ac:dyDescent="0.25">
      <c r="A3626" t="s">
        <v>44</v>
      </c>
      <c r="B3626" t="s">
        <v>51</v>
      </c>
      <c r="C3626" t="s">
        <v>32</v>
      </c>
      <c r="D3626" t="s">
        <v>522</v>
      </c>
      <c r="E3626" t="s">
        <v>543</v>
      </c>
      <c r="F3626" t="s">
        <v>35</v>
      </c>
      <c r="G3626" t="s">
        <v>35</v>
      </c>
      <c r="H3626" t="s">
        <v>35</v>
      </c>
      <c r="J3626" t="s">
        <v>4121</v>
      </c>
      <c r="K3626" t="s">
        <v>1092</v>
      </c>
      <c r="M3626">
        <v>2.5</v>
      </c>
      <c r="N3626">
        <v>9</v>
      </c>
      <c r="O3626" t="s">
        <v>46</v>
      </c>
      <c r="Q3626" t="s">
        <v>2009</v>
      </c>
      <c r="R3626" t="s">
        <v>4122</v>
      </c>
      <c r="S3626" t="s">
        <v>549</v>
      </c>
    </row>
    <row r="3627" spans="1:19" x14ac:dyDescent="0.25">
      <c r="A3627" t="s">
        <v>30</v>
      </c>
      <c r="B3627" t="s">
        <v>31</v>
      </c>
      <c r="C3627" t="s">
        <v>32</v>
      </c>
      <c r="D3627" t="s">
        <v>522</v>
      </c>
      <c r="E3627" t="s">
        <v>543</v>
      </c>
      <c r="F3627" t="s">
        <v>35</v>
      </c>
      <c r="G3627" t="s">
        <v>35</v>
      </c>
      <c r="H3627" t="s">
        <v>35</v>
      </c>
      <c r="J3627" t="s">
        <v>4123</v>
      </c>
      <c r="K3627" t="s">
        <v>1092</v>
      </c>
      <c r="M3627">
        <v>2.16</v>
      </c>
      <c r="N3627">
        <v>154</v>
      </c>
      <c r="O3627" t="s">
        <v>38</v>
      </c>
      <c r="Q3627" t="s">
        <v>3398</v>
      </c>
      <c r="R3627" t="s">
        <v>538</v>
      </c>
      <c r="S3627" t="s">
        <v>539</v>
      </c>
    </row>
    <row r="3628" spans="1:19" x14ac:dyDescent="0.25">
      <c r="A3628" t="s">
        <v>44</v>
      </c>
      <c r="B3628" t="s">
        <v>3</v>
      </c>
      <c r="C3628" t="s">
        <v>32</v>
      </c>
      <c r="D3628" t="s">
        <v>522</v>
      </c>
      <c r="E3628" t="s">
        <v>543</v>
      </c>
      <c r="F3628" t="s">
        <v>35</v>
      </c>
      <c r="G3628" t="s">
        <v>35</v>
      </c>
      <c r="H3628" t="s">
        <v>35</v>
      </c>
      <c r="J3628" t="s">
        <v>4124</v>
      </c>
      <c r="K3628" t="s">
        <v>1092</v>
      </c>
      <c r="M3628">
        <v>0.85</v>
      </c>
      <c r="N3628">
        <v>228</v>
      </c>
      <c r="O3628" t="s">
        <v>5</v>
      </c>
      <c r="Q3628" t="s">
        <v>1979</v>
      </c>
      <c r="R3628" t="s">
        <v>4125</v>
      </c>
      <c r="S3628" t="s">
        <v>562</v>
      </c>
    </row>
    <row r="3629" spans="1:19" x14ac:dyDescent="0.25">
      <c r="A3629" t="s">
        <v>30</v>
      </c>
      <c r="B3629" t="s">
        <v>31</v>
      </c>
      <c r="C3629" t="s">
        <v>32</v>
      </c>
      <c r="D3629" t="s">
        <v>522</v>
      </c>
      <c r="E3629" t="s">
        <v>543</v>
      </c>
      <c r="F3629" t="s">
        <v>35</v>
      </c>
      <c r="G3629" t="s">
        <v>35</v>
      </c>
      <c r="H3629" t="s">
        <v>35</v>
      </c>
      <c r="J3629" t="s">
        <v>4126</v>
      </c>
      <c r="K3629" t="s">
        <v>1092</v>
      </c>
      <c r="M3629">
        <v>0.3</v>
      </c>
      <c r="N3629">
        <v>1283</v>
      </c>
      <c r="O3629" t="s">
        <v>575</v>
      </c>
      <c r="Q3629" t="s">
        <v>4127</v>
      </c>
      <c r="R3629" t="s">
        <v>559</v>
      </c>
      <c r="S3629" t="s">
        <v>554</v>
      </c>
    </row>
    <row r="3630" spans="1:19" x14ac:dyDescent="0.25">
      <c r="A3630" t="s">
        <v>30</v>
      </c>
      <c r="B3630" t="s">
        <v>31</v>
      </c>
      <c r="C3630" t="s">
        <v>32</v>
      </c>
      <c r="D3630" t="s">
        <v>522</v>
      </c>
      <c r="E3630" t="s">
        <v>543</v>
      </c>
      <c r="F3630" t="s">
        <v>35</v>
      </c>
      <c r="G3630" t="s">
        <v>35</v>
      </c>
      <c r="H3630" t="s">
        <v>35</v>
      </c>
      <c r="J3630" t="s">
        <v>4128</v>
      </c>
      <c r="K3630" t="s">
        <v>1092</v>
      </c>
      <c r="M3630">
        <v>8.64</v>
      </c>
      <c r="N3630">
        <v>62</v>
      </c>
      <c r="O3630" t="s">
        <v>61</v>
      </c>
      <c r="Q3630" t="s">
        <v>90</v>
      </c>
      <c r="R3630" t="s">
        <v>3931</v>
      </c>
      <c r="S3630" t="s">
        <v>3932</v>
      </c>
    </row>
    <row r="3631" spans="1:19" x14ac:dyDescent="0.25">
      <c r="A3631" t="s">
        <v>30</v>
      </c>
      <c r="B3631" t="s">
        <v>31</v>
      </c>
      <c r="C3631" t="s">
        <v>32</v>
      </c>
      <c r="D3631" t="s">
        <v>522</v>
      </c>
      <c r="E3631" t="s">
        <v>543</v>
      </c>
      <c r="F3631" t="s">
        <v>35</v>
      </c>
      <c r="G3631" t="s">
        <v>35</v>
      </c>
      <c r="H3631" t="s">
        <v>35</v>
      </c>
      <c r="J3631" t="s">
        <v>4129</v>
      </c>
      <c r="K3631" t="s">
        <v>1092</v>
      </c>
      <c r="M3631">
        <v>11.025</v>
      </c>
      <c r="N3631">
        <v>132</v>
      </c>
      <c r="O3631" t="s">
        <v>38</v>
      </c>
      <c r="Q3631" t="s">
        <v>2901</v>
      </c>
      <c r="R3631" t="s">
        <v>538</v>
      </c>
      <c r="S3631" t="s">
        <v>539</v>
      </c>
    </row>
    <row r="3632" spans="1:19" x14ac:dyDescent="0.25">
      <c r="A3632" t="s">
        <v>30</v>
      </c>
      <c r="B3632" t="s">
        <v>31</v>
      </c>
      <c r="C3632" t="s">
        <v>32</v>
      </c>
      <c r="D3632" t="s">
        <v>522</v>
      </c>
      <c r="E3632" t="s">
        <v>543</v>
      </c>
      <c r="F3632" t="s">
        <v>35</v>
      </c>
      <c r="G3632" t="s">
        <v>35</v>
      </c>
      <c r="H3632" t="s">
        <v>35</v>
      </c>
      <c r="J3632" t="s">
        <v>4129</v>
      </c>
      <c r="K3632" t="s">
        <v>1092</v>
      </c>
      <c r="M3632">
        <v>2.88</v>
      </c>
      <c r="N3632">
        <v>240</v>
      </c>
      <c r="O3632" t="s">
        <v>5</v>
      </c>
      <c r="Q3632" t="s">
        <v>2516</v>
      </c>
      <c r="R3632" t="s">
        <v>548</v>
      </c>
      <c r="S3632" t="s">
        <v>524</v>
      </c>
    </row>
    <row r="3633" spans="1:19" x14ac:dyDescent="0.25">
      <c r="A3633" t="s">
        <v>44</v>
      </c>
      <c r="B3633" t="s">
        <v>51</v>
      </c>
      <c r="C3633" t="s">
        <v>32</v>
      </c>
      <c r="D3633" t="s">
        <v>522</v>
      </c>
      <c r="E3633" t="s">
        <v>543</v>
      </c>
      <c r="F3633" t="s">
        <v>35</v>
      </c>
      <c r="G3633" t="s">
        <v>35</v>
      </c>
      <c r="H3633" t="s">
        <v>35</v>
      </c>
      <c r="J3633" t="s">
        <v>4130</v>
      </c>
      <c r="K3633" t="s">
        <v>1092</v>
      </c>
      <c r="M3633">
        <v>5.5</v>
      </c>
      <c r="N3633">
        <v>81</v>
      </c>
      <c r="O3633" t="s">
        <v>61</v>
      </c>
      <c r="Q3633" t="s">
        <v>527</v>
      </c>
      <c r="R3633" t="s">
        <v>538</v>
      </c>
      <c r="S3633" t="s">
        <v>539</v>
      </c>
    </row>
    <row r="3634" spans="1:19" x14ac:dyDescent="0.25">
      <c r="A3634" t="s">
        <v>30</v>
      </c>
      <c r="B3634" t="s">
        <v>31</v>
      </c>
      <c r="C3634" t="s">
        <v>32</v>
      </c>
      <c r="D3634" t="s">
        <v>522</v>
      </c>
      <c r="E3634" t="s">
        <v>543</v>
      </c>
      <c r="F3634" t="s">
        <v>35</v>
      </c>
      <c r="G3634" t="s">
        <v>35</v>
      </c>
      <c r="H3634" t="s">
        <v>35</v>
      </c>
      <c r="J3634" t="s">
        <v>4131</v>
      </c>
      <c r="K3634" t="s">
        <v>1092</v>
      </c>
      <c r="M3634">
        <v>0.09</v>
      </c>
      <c r="N3634">
        <v>131</v>
      </c>
      <c r="O3634" t="s">
        <v>38</v>
      </c>
      <c r="Q3634" t="s">
        <v>646</v>
      </c>
      <c r="R3634" t="s">
        <v>548</v>
      </c>
      <c r="S3634" t="s">
        <v>524</v>
      </c>
    </row>
    <row r="3635" spans="1:19" x14ac:dyDescent="0.25">
      <c r="A3635" t="s">
        <v>59</v>
      </c>
      <c r="B3635" t="s">
        <v>60</v>
      </c>
      <c r="C3635" t="s">
        <v>32</v>
      </c>
      <c r="D3635" t="s">
        <v>522</v>
      </c>
      <c r="E3635" t="s">
        <v>543</v>
      </c>
      <c r="F3635" t="s">
        <v>35</v>
      </c>
      <c r="G3635" t="s">
        <v>35</v>
      </c>
      <c r="H3635" t="s">
        <v>35</v>
      </c>
      <c r="J3635" t="s">
        <v>4132</v>
      </c>
      <c r="K3635" t="s">
        <v>1092</v>
      </c>
      <c r="M3635">
        <v>0.55000000000000004</v>
      </c>
      <c r="N3635">
        <v>241</v>
      </c>
      <c r="O3635" t="s">
        <v>5</v>
      </c>
      <c r="Q3635" t="s">
        <v>3415</v>
      </c>
      <c r="R3635" t="s">
        <v>548</v>
      </c>
      <c r="S3635" t="s">
        <v>524</v>
      </c>
    </row>
    <row r="3636" spans="1:19" x14ac:dyDescent="0.25">
      <c r="A3636" t="s">
        <v>30</v>
      </c>
      <c r="B3636" t="s">
        <v>31</v>
      </c>
      <c r="C3636" t="s">
        <v>32</v>
      </c>
      <c r="D3636" t="s">
        <v>522</v>
      </c>
      <c r="E3636" t="s">
        <v>543</v>
      </c>
      <c r="F3636" t="s">
        <v>35</v>
      </c>
      <c r="G3636" t="s">
        <v>35</v>
      </c>
      <c r="H3636" t="s">
        <v>35</v>
      </c>
      <c r="J3636" t="s">
        <v>4133</v>
      </c>
      <c r="K3636" t="s">
        <v>1092</v>
      </c>
      <c r="M3636">
        <v>11.25</v>
      </c>
      <c r="N3636">
        <v>45</v>
      </c>
      <c r="O3636" t="s">
        <v>52</v>
      </c>
      <c r="Q3636" t="s">
        <v>716</v>
      </c>
      <c r="R3636" t="s">
        <v>548</v>
      </c>
      <c r="S3636" t="s">
        <v>524</v>
      </c>
    </row>
    <row r="3637" spans="1:19" x14ac:dyDescent="0.25">
      <c r="A3637" t="s">
        <v>30</v>
      </c>
      <c r="B3637" t="s">
        <v>31</v>
      </c>
      <c r="C3637" t="s">
        <v>32</v>
      </c>
      <c r="D3637" t="s">
        <v>522</v>
      </c>
      <c r="E3637" t="s">
        <v>543</v>
      </c>
      <c r="F3637" t="s">
        <v>35</v>
      </c>
      <c r="G3637" t="s">
        <v>35</v>
      </c>
      <c r="H3637" t="s">
        <v>35</v>
      </c>
      <c r="J3637" t="s">
        <v>4133</v>
      </c>
      <c r="K3637" t="s">
        <v>1092</v>
      </c>
      <c r="M3637">
        <v>2.4630000000000001</v>
      </c>
      <c r="N3637">
        <v>97</v>
      </c>
      <c r="O3637" t="s">
        <v>106</v>
      </c>
      <c r="Q3637" t="s">
        <v>557</v>
      </c>
      <c r="R3637" t="s">
        <v>548</v>
      </c>
      <c r="S3637" t="s">
        <v>524</v>
      </c>
    </row>
    <row r="3638" spans="1:19" x14ac:dyDescent="0.25">
      <c r="A3638" t="s">
        <v>59</v>
      </c>
      <c r="B3638" t="s">
        <v>31</v>
      </c>
      <c r="C3638" t="s">
        <v>32</v>
      </c>
      <c r="D3638" t="s">
        <v>522</v>
      </c>
      <c r="E3638" t="s">
        <v>543</v>
      </c>
      <c r="F3638" t="s">
        <v>35</v>
      </c>
      <c r="G3638" t="s">
        <v>35</v>
      </c>
      <c r="H3638" t="s">
        <v>35</v>
      </c>
      <c r="J3638" t="s">
        <v>4133</v>
      </c>
      <c r="K3638" t="s">
        <v>1092</v>
      </c>
      <c r="M3638">
        <v>5.3170000000000002</v>
      </c>
      <c r="N3638">
        <v>156</v>
      </c>
      <c r="O3638" t="s">
        <v>38</v>
      </c>
      <c r="Q3638" t="s">
        <v>75</v>
      </c>
      <c r="R3638" t="s">
        <v>548</v>
      </c>
      <c r="S3638" t="s">
        <v>524</v>
      </c>
    </row>
    <row r="3639" spans="1:19" x14ac:dyDescent="0.25">
      <c r="A3639" t="s">
        <v>30</v>
      </c>
      <c r="B3639" t="s">
        <v>31</v>
      </c>
      <c r="C3639" t="s">
        <v>32</v>
      </c>
      <c r="D3639" t="s">
        <v>522</v>
      </c>
      <c r="E3639" t="s">
        <v>543</v>
      </c>
      <c r="F3639" t="s">
        <v>35</v>
      </c>
      <c r="G3639" t="s">
        <v>35</v>
      </c>
      <c r="H3639" t="s">
        <v>35</v>
      </c>
      <c r="J3639" t="s">
        <v>4134</v>
      </c>
      <c r="K3639" t="s">
        <v>1092</v>
      </c>
      <c r="M3639">
        <v>10.8</v>
      </c>
      <c r="N3639">
        <v>97</v>
      </c>
      <c r="O3639" t="s">
        <v>106</v>
      </c>
      <c r="Q3639" t="s">
        <v>557</v>
      </c>
      <c r="R3639" t="s">
        <v>548</v>
      </c>
      <c r="S3639" t="s">
        <v>524</v>
      </c>
    </row>
    <row r="3640" spans="1:19" x14ac:dyDescent="0.25">
      <c r="A3640" t="s">
        <v>30</v>
      </c>
      <c r="B3640" t="s">
        <v>31</v>
      </c>
      <c r="C3640" t="s">
        <v>32</v>
      </c>
      <c r="D3640" t="s">
        <v>522</v>
      </c>
      <c r="E3640" t="s">
        <v>543</v>
      </c>
      <c r="F3640" t="s">
        <v>35</v>
      </c>
      <c r="G3640" t="s">
        <v>35</v>
      </c>
      <c r="H3640" t="s">
        <v>35</v>
      </c>
      <c r="J3640" t="s">
        <v>4135</v>
      </c>
      <c r="K3640" t="s">
        <v>1092</v>
      </c>
      <c r="M3640">
        <v>0.9</v>
      </c>
      <c r="N3640">
        <v>45</v>
      </c>
      <c r="O3640" t="s">
        <v>52</v>
      </c>
      <c r="Q3640" t="s">
        <v>716</v>
      </c>
      <c r="R3640" t="s">
        <v>548</v>
      </c>
      <c r="S3640" t="s">
        <v>524</v>
      </c>
    </row>
    <row r="3641" spans="1:19" x14ac:dyDescent="0.25">
      <c r="A3641" t="s">
        <v>30</v>
      </c>
      <c r="B3641" t="s">
        <v>31</v>
      </c>
      <c r="C3641" t="s">
        <v>32</v>
      </c>
      <c r="D3641" t="s">
        <v>522</v>
      </c>
      <c r="E3641" t="s">
        <v>543</v>
      </c>
      <c r="F3641" t="s">
        <v>35</v>
      </c>
      <c r="G3641" t="s">
        <v>35</v>
      </c>
      <c r="H3641" t="s">
        <v>35</v>
      </c>
      <c r="J3641" t="s">
        <v>4137</v>
      </c>
      <c r="K3641" t="s">
        <v>1092</v>
      </c>
      <c r="M3641">
        <v>6.75</v>
      </c>
      <c r="N3641">
        <v>133</v>
      </c>
      <c r="O3641" t="s">
        <v>38</v>
      </c>
      <c r="Q3641" t="s">
        <v>68</v>
      </c>
      <c r="R3641" t="s">
        <v>538</v>
      </c>
      <c r="S3641" t="s">
        <v>539</v>
      </c>
    </row>
    <row r="3642" spans="1:19" x14ac:dyDescent="0.25">
      <c r="A3642" t="s">
        <v>44</v>
      </c>
      <c r="B3642" t="s">
        <v>3</v>
      </c>
      <c r="C3642" t="s">
        <v>32</v>
      </c>
      <c r="D3642" t="s">
        <v>522</v>
      </c>
      <c r="E3642" t="s">
        <v>543</v>
      </c>
      <c r="F3642" t="s">
        <v>35</v>
      </c>
      <c r="G3642" t="s">
        <v>35</v>
      </c>
      <c r="H3642" t="s">
        <v>35</v>
      </c>
      <c r="J3642" t="s">
        <v>4138</v>
      </c>
      <c r="K3642" t="s">
        <v>1092</v>
      </c>
      <c r="M3642">
        <v>1</v>
      </c>
      <c r="N3642">
        <v>490</v>
      </c>
      <c r="O3642" t="s">
        <v>294</v>
      </c>
      <c r="Q3642" t="s">
        <v>1582</v>
      </c>
      <c r="R3642" t="s">
        <v>4139</v>
      </c>
      <c r="S3642" t="s">
        <v>544</v>
      </c>
    </row>
    <row r="3643" spans="1:19" x14ac:dyDescent="0.25">
      <c r="A3643" t="s">
        <v>44</v>
      </c>
      <c r="B3643" t="s">
        <v>51</v>
      </c>
      <c r="C3643" t="s">
        <v>32</v>
      </c>
      <c r="D3643" t="s">
        <v>522</v>
      </c>
      <c r="E3643" t="s">
        <v>543</v>
      </c>
      <c r="F3643" t="s">
        <v>35</v>
      </c>
      <c r="G3643" t="s">
        <v>35</v>
      </c>
      <c r="H3643" t="s">
        <v>35</v>
      </c>
      <c r="J3643" t="s">
        <v>4138</v>
      </c>
      <c r="K3643" t="s">
        <v>1092</v>
      </c>
      <c r="M3643">
        <v>0.2</v>
      </c>
      <c r="N3643">
        <v>498</v>
      </c>
      <c r="O3643" t="s">
        <v>294</v>
      </c>
      <c r="Q3643" t="s">
        <v>2487</v>
      </c>
      <c r="R3643" t="s">
        <v>4139</v>
      </c>
      <c r="S3643" t="s">
        <v>544</v>
      </c>
    </row>
    <row r="3644" spans="1:19" x14ac:dyDescent="0.25">
      <c r="A3644" t="s">
        <v>30</v>
      </c>
      <c r="B3644" t="s">
        <v>31</v>
      </c>
      <c r="C3644" t="s">
        <v>32</v>
      </c>
      <c r="D3644" t="s">
        <v>522</v>
      </c>
      <c r="E3644" t="s">
        <v>543</v>
      </c>
      <c r="F3644" t="s">
        <v>35</v>
      </c>
      <c r="G3644" t="s">
        <v>35</v>
      </c>
      <c r="H3644" t="s">
        <v>35</v>
      </c>
      <c r="J3644" t="s">
        <v>4140</v>
      </c>
      <c r="K3644" t="s">
        <v>1092</v>
      </c>
      <c r="M3644">
        <v>2.34</v>
      </c>
      <c r="N3644">
        <v>422</v>
      </c>
      <c r="O3644" t="s">
        <v>294</v>
      </c>
      <c r="Q3644" t="s">
        <v>4141</v>
      </c>
      <c r="R3644" t="s">
        <v>4142</v>
      </c>
      <c r="S3644" t="s">
        <v>4143</v>
      </c>
    </row>
    <row r="3645" spans="1:19" x14ac:dyDescent="0.25">
      <c r="A3645" t="s">
        <v>30</v>
      </c>
      <c r="B3645" t="s">
        <v>31</v>
      </c>
      <c r="C3645" t="s">
        <v>32</v>
      </c>
      <c r="D3645" t="s">
        <v>522</v>
      </c>
      <c r="E3645" t="s">
        <v>543</v>
      </c>
      <c r="F3645" t="s">
        <v>35</v>
      </c>
      <c r="G3645" t="s">
        <v>35</v>
      </c>
      <c r="H3645" t="s">
        <v>35</v>
      </c>
      <c r="J3645" t="s">
        <v>4145</v>
      </c>
      <c r="K3645" t="s">
        <v>1092</v>
      </c>
      <c r="M3645">
        <v>10.305</v>
      </c>
      <c r="N3645">
        <v>90</v>
      </c>
      <c r="O3645" t="s">
        <v>61</v>
      </c>
      <c r="Q3645" t="s">
        <v>897</v>
      </c>
      <c r="R3645" t="s">
        <v>3931</v>
      </c>
      <c r="S3645" t="s">
        <v>3932</v>
      </c>
    </row>
    <row r="3646" spans="1:19" x14ac:dyDescent="0.25">
      <c r="A3646" t="s">
        <v>59</v>
      </c>
      <c r="B3646" t="s">
        <v>60</v>
      </c>
      <c r="C3646" t="s">
        <v>32</v>
      </c>
      <c r="D3646" t="s">
        <v>522</v>
      </c>
      <c r="E3646" t="s">
        <v>543</v>
      </c>
      <c r="F3646" t="s">
        <v>35</v>
      </c>
      <c r="G3646" t="s">
        <v>35</v>
      </c>
      <c r="H3646" t="s">
        <v>35</v>
      </c>
      <c r="J3646" t="s">
        <v>4146</v>
      </c>
      <c r="K3646" t="s">
        <v>1092</v>
      </c>
      <c r="M3646">
        <v>0.25</v>
      </c>
      <c r="N3646">
        <v>67</v>
      </c>
      <c r="O3646" t="s">
        <v>61</v>
      </c>
      <c r="Q3646" t="s">
        <v>1311</v>
      </c>
      <c r="R3646" t="s">
        <v>4036</v>
      </c>
      <c r="S3646" t="s">
        <v>534</v>
      </c>
    </row>
    <row r="3647" spans="1:19" x14ac:dyDescent="0.25">
      <c r="A3647" t="s">
        <v>30</v>
      </c>
      <c r="B3647" t="s">
        <v>31</v>
      </c>
      <c r="C3647" t="s">
        <v>32</v>
      </c>
      <c r="D3647" t="s">
        <v>522</v>
      </c>
      <c r="E3647" t="s">
        <v>543</v>
      </c>
      <c r="F3647" t="s">
        <v>35</v>
      </c>
      <c r="G3647" t="s">
        <v>35</v>
      </c>
      <c r="H3647" t="s">
        <v>35</v>
      </c>
      <c r="J3647" t="s">
        <v>4146</v>
      </c>
      <c r="K3647" t="s">
        <v>1092</v>
      </c>
      <c r="M3647">
        <v>0.94499999999999995</v>
      </c>
      <c r="N3647">
        <v>264</v>
      </c>
      <c r="O3647" t="s">
        <v>5</v>
      </c>
      <c r="Q3647" t="s">
        <v>1721</v>
      </c>
      <c r="R3647" t="s">
        <v>548</v>
      </c>
      <c r="S3647" t="s">
        <v>524</v>
      </c>
    </row>
    <row r="3648" spans="1:19" x14ac:dyDescent="0.25">
      <c r="A3648" t="s">
        <v>30</v>
      </c>
      <c r="B3648" t="s">
        <v>31</v>
      </c>
      <c r="C3648" t="s">
        <v>32</v>
      </c>
      <c r="D3648" t="s">
        <v>522</v>
      </c>
      <c r="E3648" t="s">
        <v>543</v>
      </c>
      <c r="F3648" t="s">
        <v>35</v>
      </c>
      <c r="G3648" t="s">
        <v>35</v>
      </c>
      <c r="H3648" t="s">
        <v>35</v>
      </c>
      <c r="J3648" t="s">
        <v>4147</v>
      </c>
      <c r="K3648" t="s">
        <v>1092</v>
      </c>
      <c r="M3648">
        <v>8.2799999999999994</v>
      </c>
      <c r="N3648">
        <v>879</v>
      </c>
      <c r="O3648" t="s">
        <v>575</v>
      </c>
      <c r="Q3648" t="s">
        <v>4148</v>
      </c>
      <c r="R3648" t="s">
        <v>538</v>
      </c>
      <c r="S3648" t="s">
        <v>539</v>
      </c>
    </row>
    <row r="3649" spans="1:19" x14ac:dyDescent="0.25">
      <c r="A3649" t="s">
        <v>44</v>
      </c>
      <c r="B3649" t="s">
        <v>51</v>
      </c>
      <c r="C3649" t="s">
        <v>32</v>
      </c>
      <c r="D3649" t="s">
        <v>522</v>
      </c>
      <c r="E3649" t="s">
        <v>543</v>
      </c>
      <c r="F3649" t="s">
        <v>35</v>
      </c>
      <c r="G3649" t="s">
        <v>35</v>
      </c>
      <c r="H3649" t="s">
        <v>35</v>
      </c>
      <c r="J3649" t="s">
        <v>4149</v>
      </c>
      <c r="K3649" t="s">
        <v>1092</v>
      </c>
      <c r="M3649">
        <v>1</v>
      </c>
      <c r="N3649">
        <v>36</v>
      </c>
      <c r="O3649" t="s">
        <v>52</v>
      </c>
      <c r="Q3649" t="s">
        <v>2005</v>
      </c>
      <c r="R3649" t="s">
        <v>4122</v>
      </c>
      <c r="S3649" t="s">
        <v>549</v>
      </c>
    </row>
    <row r="3650" spans="1:19" x14ac:dyDescent="0.25">
      <c r="A3650" t="s">
        <v>30</v>
      </c>
      <c r="B3650" t="s">
        <v>31</v>
      </c>
      <c r="C3650" t="s">
        <v>32</v>
      </c>
      <c r="D3650" t="s">
        <v>522</v>
      </c>
      <c r="E3650" t="s">
        <v>543</v>
      </c>
      <c r="F3650" t="s">
        <v>35</v>
      </c>
      <c r="G3650" t="s">
        <v>35</v>
      </c>
      <c r="H3650" t="s">
        <v>35</v>
      </c>
      <c r="J3650" t="s">
        <v>8241</v>
      </c>
      <c r="K3650" t="s">
        <v>1092</v>
      </c>
      <c r="M3650">
        <v>2.5649999999999999</v>
      </c>
      <c r="N3650">
        <v>16</v>
      </c>
      <c r="O3650" t="s">
        <v>46</v>
      </c>
      <c r="Q3650" t="s">
        <v>323</v>
      </c>
      <c r="R3650" t="s">
        <v>548</v>
      </c>
      <c r="S3650" t="s">
        <v>524</v>
      </c>
    </row>
    <row r="3651" spans="1:19" x14ac:dyDescent="0.25">
      <c r="A3651" t="s">
        <v>30</v>
      </c>
      <c r="B3651" t="s">
        <v>31</v>
      </c>
      <c r="C3651" t="s">
        <v>32</v>
      </c>
      <c r="D3651" t="s">
        <v>522</v>
      </c>
      <c r="E3651" t="s">
        <v>543</v>
      </c>
      <c r="F3651" t="s">
        <v>35</v>
      </c>
      <c r="G3651" t="s">
        <v>35</v>
      </c>
      <c r="H3651" t="s">
        <v>35</v>
      </c>
      <c r="J3651" t="s">
        <v>4150</v>
      </c>
      <c r="K3651" t="s">
        <v>1092</v>
      </c>
      <c r="M3651">
        <v>8.3249999999999993</v>
      </c>
      <c r="N3651">
        <v>71</v>
      </c>
      <c r="O3651" t="s">
        <v>61</v>
      </c>
      <c r="Q3651" t="s">
        <v>102</v>
      </c>
      <c r="R3651" t="s">
        <v>538</v>
      </c>
      <c r="S3651" t="s">
        <v>539</v>
      </c>
    </row>
    <row r="3652" spans="1:19" x14ac:dyDescent="0.25">
      <c r="A3652" t="s">
        <v>59</v>
      </c>
      <c r="B3652" t="s">
        <v>31</v>
      </c>
      <c r="C3652" t="s">
        <v>32</v>
      </c>
      <c r="D3652" t="s">
        <v>522</v>
      </c>
      <c r="E3652" t="s">
        <v>543</v>
      </c>
      <c r="F3652" t="s">
        <v>35</v>
      </c>
      <c r="G3652" t="s">
        <v>35</v>
      </c>
      <c r="H3652" t="s">
        <v>35</v>
      </c>
      <c r="J3652" t="s">
        <v>4151</v>
      </c>
      <c r="K3652" t="s">
        <v>1092</v>
      </c>
      <c r="M3652">
        <v>4.41</v>
      </c>
      <c r="N3652">
        <v>2046</v>
      </c>
      <c r="O3652" t="s">
        <v>575</v>
      </c>
      <c r="Q3652" t="s">
        <v>4153</v>
      </c>
      <c r="R3652" t="s">
        <v>4125</v>
      </c>
      <c r="S3652" t="s">
        <v>562</v>
      </c>
    </row>
    <row r="3653" spans="1:19" x14ac:dyDescent="0.25">
      <c r="A3653" t="s">
        <v>30</v>
      </c>
      <c r="B3653" t="s">
        <v>31</v>
      </c>
      <c r="C3653" t="s">
        <v>32</v>
      </c>
      <c r="D3653" t="s">
        <v>522</v>
      </c>
      <c r="E3653" t="s">
        <v>543</v>
      </c>
      <c r="F3653" t="s">
        <v>35</v>
      </c>
      <c r="G3653" t="s">
        <v>35</v>
      </c>
      <c r="H3653" t="s">
        <v>35</v>
      </c>
      <c r="J3653" t="s">
        <v>4151</v>
      </c>
      <c r="K3653" t="s">
        <v>1092</v>
      </c>
      <c r="M3653">
        <v>2.25</v>
      </c>
      <c r="N3653">
        <v>1213</v>
      </c>
      <c r="O3653" t="s">
        <v>575</v>
      </c>
      <c r="Q3653" t="s">
        <v>4152</v>
      </c>
      <c r="R3653" t="s">
        <v>4139</v>
      </c>
      <c r="S3653" t="s">
        <v>544</v>
      </c>
    </row>
    <row r="3654" spans="1:19" x14ac:dyDescent="0.25">
      <c r="A3654" t="s">
        <v>44</v>
      </c>
      <c r="B3654" t="s">
        <v>3</v>
      </c>
      <c r="C3654" t="s">
        <v>32</v>
      </c>
      <c r="D3654" t="s">
        <v>522</v>
      </c>
      <c r="E3654" t="s">
        <v>543</v>
      </c>
      <c r="F3654" t="s">
        <v>35</v>
      </c>
      <c r="G3654" t="s">
        <v>35</v>
      </c>
      <c r="H3654" t="s">
        <v>35</v>
      </c>
      <c r="J3654" t="s">
        <v>4154</v>
      </c>
      <c r="K3654" t="s">
        <v>1092</v>
      </c>
      <c r="M3654">
        <v>0.25</v>
      </c>
      <c r="N3654">
        <v>423</v>
      </c>
      <c r="O3654" t="s">
        <v>294</v>
      </c>
      <c r="Q3654" t="s">
        <v>1607</v>
      </c>
      <c r="R3654" t="s">
        <v>4090</v>
      </c>
      <c r="S3654" t="s">
        <v>4091</v>
      </c>
    </row>
    <row r="3655" spans="1:19" x14ac:dyDescent="0.25">
      <c r="A3655" t="s">
        <v>30</v>
      </c>
      <c r="B3655" t="s">
        <v>31</v>
      </c>
      <c r="C3655" t="s">
        <v>32</v>
      </c>
      <c r="D3655" t="s">
        <v>522</v>
      </c>
      <c r="E3655" t="s">
        <v>543</v>
      </c>
      <c r="F3655" t="s">
        <v>35</v>
      </c>
      <c r="G3655" t="s">
        <v>35</v>
      </c>
      <c r="H3655" t="s">
        <v>35</v>
      </c>
      <c r="J3655" t="s">
        <v>4155</v>
      </c>
      <c r="K3655" t="s">
        <v>1092</v>
      </c>
      <c r="M3655">
        <v>7.7850000000000001</v>
      </c>
      <c r="N3655">
        <v>71</v>
      </c>
      <c r="O3655" t="s">
        <v>61</v>
      </c>
      <c r="Q3655" t="s">
        <v>102</v>
      </c>
      <c r="R3655" t="s">
        <v>538</v>
      </c>
      <c r="S3655" t="s">
        <v>539</v>
      </c>
    </row>
    <row r="3656" spans="1:19" x14ac:dyDescent="0.25">
      <c r="A3656" t="s">
        <v>59</v>
      </c>
      <c r="B3656" t="s">
        <v>31</v>
      </c>
      <c r="C3656" t="s">
        <v>32</v>
      </c>
      <c r="D3656" t="s">
        <v>522</v>
      </c>
      <c r="E3656" t="s">
        <v>543</v>
      </c>
      <c r="F3656" t="s">
        <v>35</v>
      </c>
      <c r="G3656" t="s">
        <v>35</v>
      </c>
      <c r="H3656" t="s">
        <v>35</v>
      </c>
      <c r="J3656" t="s">
        <v>4156</v>
      </c>
      <c r="K3656" t="s">
        <v>1092</v>
      </c>
      <c r="M3656">
        <v>5.1749999999999998</v>
      </c>
      <c r="N3656">
        <v>122</v>
      </c>
      <c r="O3656" t="s">
        <v>38</v>
      </c>
      <c r="Q3656" t="s">
        <v>3430</v>
      </c>
      <c r="R3656" t="s">
        <v>548</v>
      </c>
      <c r="S3656" t="s">
        <v>524</v>
      </c>
    </row>
    <row r="3657" spans="1:19" x14ac:dyDescent="0.25">
      <c r="A3657" t="s">
        <v>30</v>
      </c>
      <c r="B3657" t="s">
        <v>31</v>
      </c>
      <c r="C3657" t="s">
        <v>32</v>
      </c>
      <c r="D3657" t="s">
        <v>522</v>
      </c>
      <c r="E3657" t="s">
        <v>543</v>
      </c>
      <c r="F3657" t="s">
        <v>35</v>
      </c>
      <c r="G3657" t="s">
        <v>35</v>
      </c>
      <c r="H3657" t="s">
        <v>35</v>
      </c>
      <c r="J3657" t="s">
        <v>4157</v>
      </c>
      <c r="K3657" t="s">
        <v>1092</v>
      </c>
      <c r="M3657">
        <v>7.2</v>
      </c>
      <c r="N3657">
        <v>168</v>
      </c>
      <c r="O3657" t="s">
        <v>38</v>
      </c>
      <c r="Q3657" t="s">
        <v>2431</v>
      </c>
      <c r="R3657" t="s">
        <v>548</v>
      </c>
      <c r="S3657" t="s">
        <v>524</v>
      </c>
    </row>
    <row r="3658" spans="1:19" x14ac:dyDescent="0.25">
      <c r="A3658" t="s">
        <v>30</v>
      </c>
      <c r="B3658" t="s">
        <v>31</v>
      </c>
      <c r="C3658" t="s">
        <v>32</v>
      </c>
      <c r="D3658" t="s">
        <v>522</v>
      </c>
      <c r="E3658" t="s">
        <v>543</v>
      </c>
      <c r="F3658" t="s">
        <v>35</v>
      </c>
      <c r="G3658" t="s">
        <v>35</v>
      </c>
      <c r="H3658" t="s">
        <v>35</v>
      </c>
      <c r="J3658" t="s">
        <v>4158</v>
      </c>
      <c r="K3658" t="s">
        <v>1092</v>
      </c>
      <c r="M3658">
        <v>9.7200000000000006</v>
      </c>
      <c r="N3658">
        <v>94</v>
      </c>
      <c r="O3658" t="s">
        <v>106</v>
      </c>
      <c r="Q3658" t="s">
        <v>394</v>
      </c>
      <c r="R3658" t="s">
        <v>538</v>
      </c>
      <c r="S3658" t="s">
        <v>539</v>
      </c>
    </row>
    <row r="3659" spans="1:19" x14ac:dyDescent="0.25">
      <c r="A3659" t="s">
        <v>30</v>
      </c>
      <c r="B3659" t="s">
        <v>31</v>
      </c>
      <c r="C3659" t="s">
        <v>32</v>
      </c>
      <c r="D3659" t="s">
        <v>522</v>
      </c>
      <c r="E3659" t="s">
        <v>543</v>
      </c>
      <c r="F3659" t="s">
        <v>35</v>
      </c>
      <c r="G3659" t="s">
        <v>35</v>
      </c>
      <c r="H3659" t="s">
        <v>35</v>
      </c>
      <c r="J3659" t="s">
        <v>4159</v>
      </c>
      <c r="K3659" t="s">
        <v>1092</v>
      </c>
      <c r="M3659">
        <v>0.67500000000000004</v>
      </c>
      <c r="N3659">
        <v>367</v>
      </c>
      <c r="O3659" t="s">
        <v>294</v>
      </c>
      <c r="Q3659" t="s">
        <v>3978</v>
      </c>
      <c r="R3659" t="s">
        <v>538</v>
      </c>
      <c r="S3659" t="s">
        <v>539</v>
      </c>
    </row>
    <row r="3660" spans="1:19" x14ac:dyDescent="0.25">
      <c r="A3660" t="s">
        <v>59</v>
      </c>
      <c r="B3660" t="s">
        <v>60</v>
      </c>
      <c r="C3660" t="s">
        <v>32</v>
      </c>
      <c r="D3660" t="s">
        <v>522</v>
      </c>
      <c r="E3660" t="s">
        <v>543</v>
      </c>
      <c r="F3660" t="s">
        <v>35</v>
      </c>
      <c r="G3660" t="s">
        <v>35</v>
      </c>
      <c r="H3660" t="s">
        <v>35</v>
      </c>
      <c r="J3660" t="s">
        <v>4160</v>
      </c>
      <c r="K3660" t="s">
        <v>1092</v>
      </c>
      <c r="M3660">
        <v>1.35</v>
      </c>
      <c r="N3660">
        <v>271</v>
      </c>
      <c r="O3660" t="s">
        <v>5</v>
      </c>
      <c r="Q3660" t="s">
        <v>1881</v>
      </c>
      <c r="R3660" t="s">
        <v>4090</v>
      </c>
      <c r="S3660" t="s">
        <v>4091</v>
      </c>
    </row>
    <row r="3661" spans="1:19" x14ac:dyDescent="0.25">
      <c r="A3661" t="s">
        <v>30</v>
      </c>
      <c r="B3661" t="s">
        <v>31</v>
      </c>
      <c r="C3661" t="s">
        <v>32</v>
      </c>
      <c r="D3661" t="s">
        <v>522</v>
      </c>
      <c r="E3661" t="s">
        <v>543</v>
      </c>
      <c r="F3661" t="s">
        <v>35</v>
      </c>
      <c r="G3661" t="s">
        <v>35</v>
      </c>
      <c r="H3661" t="s">
        <v>35</v>
      </c>
      <c r="J3661" t="s">
        <v>4161</v>
      </c>
      <c r="K3661" t="s">
        <v>1092</v>
      </c>
      <c r="M3661">
        <v>10.215</v>
      </c>
      <c r="N3661">
        <v>152</v>
      </c>
      <c r="O3661" t="s">
        <v>38</v>
      </c>
      <c r="Q3661" t="s">
        <v>408</v>
      </c>
      <c r="R3661" t="s">
        <v>548</v>
      </c>
      <c r="S3661" t="s">
        <v>524</v>
      </c>
    </row>
    <row r="3662" spans="1:19" x14ac:dyDescent="0.25">
      <c r="A3662" t="s">
        <v>30</v>
      </c>
      <c r="B3662" t="s">
        <v>31</v>
      </c>
      <c r="C3662" t="s">
        <v>32</v>
      </c>
      <c r="D3662" t="s">
        <v>522</v>
      </c>
      <c r="E3662" t="s">
        <v>543</v>
      </c>
      <c r="F3662" t="s">
        <v>35</v>
      </c>
      <c r="G3662" t="s">
        <v>35</v>
      </c>
      <c r="H3662" t="s">
        <v>35</v>
      </c>
      <c r="J3662" t="s">
        <v>4162</v>
      </c>
      <c r="K3662" t="s">
        <v>1092</v>
      </c>
      <c r="M3662">
        <v>2.4300000000000002</v>
      </c>
      <c r="N3662">
        <v>132</v>
      </c>
      <c r="O3662" t="s">
        <v>38</v>
      </c>
      <c r="Q3662" t="s">
        <v>2901</v>
      </c>
      <c r="R3662" t="s">
        <v>538</v>
      </c>
      <c r="S3662" t="s">
        <v>539</v>
      </c>
    </row>
    <row r="3663" spans="1:19" x14ac:dyDescent="0.25">
      <c r="A3663" t="s">
        <v>44</v>
      </c>
      <c r="B3663" t="s">
        <v>51</v>
      </c>
      <c r="C3663" t="s">
        <v>32</v>
      </c>
      <c r="D3663" t="s">
        <v>522</v>
      </c>
      <c r="E3663" t="s">
        <v>553</v>
      </c>
      <c r="F3663" t="s">
        <v>35</v>
      </c>
      <c r="G3663" t="s">
        <v>35</v>
      </c>
      <c r="H3663" t="s">
        <v>35</v>
      </c>
      <c r="J3663" t="s">
        <v>554</v>
      </c>
      <c r="K3663" t="s">
        <v>1092</v>
      </c>
      <c r="M3663">
        <v>1</v>
      </c>
      <c r="N3663">
        <v>75</v>
      </c>
      <c r="O3663" t="s">
        <v>61</v>
      </c>
      <c r="Q3663" t="s">
        <v>805</v>
      </c>
      <c r="R3663" t="s">
        <v>3931</v>
      </c>
      <c r="S3663" t="s">
        <v>3932</v>
      </c>
    </row>
    <row r="3664" spans="1:19" x14ac:dyDescent="0.25">
      <c r="A3664" t="s">
        <v>30</v>
      </c>
      <c r="B3664" t="s">
        <v>31</v>
      </c>
      <c r="C3664" t="s">
        <v>32</v>
      </c>
      <c r="D3664" t="s">
        <v>522</v>
      </c>
      <c r="E3664" t="s">
        <v>553</v>
      </c>
      <c r="F3664" t="s">
        <v>35</v>
      </c>
      <c r="G3664" t="s">
        <v>35</v>
      </c>
      <c r="H3664" t="s">
        <v>35</v>
      </c>
      <c r="J3664" t="s">
        <v>554</v>
      </c>
      <c r="K3664" t="s">
        <v>1092</v>
      </c>
      <c r="M3664">
        <v>33.075000000000003</v>
      </c>
      <c r="N3664">
        <v>155</v>
      </c>
      <c r="O3664" t="s">
        <v>38</v>
      </c>
      <c r="Q3664" t="s">
        <v>3942</v>
      </c>
      <c r="R3664" t="s">
        <v>538</v>
      </c>
      <c r="S3664" t="s">
        <v>539</v>
      </c>
    </row>
    <row r="3665" spans="1:19" x14ac:dyDescent="0.25">
      <c r="A3665" t="s">
        <v>30</v>
      </c>
      <c r="B3665" t="s">
        <v>31</v>
      </c>
      <c r="C3665" t="s">
        <v>32</v>
      </c>
      <c r="D3665" t="s">
        <v>522</v>
      </c>
      <c r="E3665" t="s">
        <v>553</v>
      </c>
      <c r="F3665" t="s">
        <v>35</v>
      </c>
      <c r="G3665" t="s">
        <v>35</v>
      </c>
      <c r="H3665" t="s">
        <v>35</v>
      </c>
      <c r="J3665" t="s">
        <v>4163</v>
      </c>
      <c r="K3665" t="s">
        <v>1092</v>
      </c>
      <c r="M3665">
        <v>5.625</v>
      </c>
      <c r="N3665">
        <v>69</v>
      </c>
      <c r="O3665" t="s">
        <v>61</v>
      </c>
      <c r="Q3665" t="s">
        <v>139</v>
      </c>
      <c r="R3665" t="s">
        <v>548</v>
      </c>
      <c r="S3665" t="s">
        <v>524</v>
      </c>
    </row>
    <row r="3666" spans="1:19" x14ac:dyDescent="0.25">
      <c r="A3666" t="s">
        <v>30</v>
      </c>
      <c r="B3666" t="s">
        <v>31</v>
      </c>
      <c r="C3666" t="s">
        <v>32</v>
      </c>
      <c r="D3666" t="s">
        <v>522</v>
      </c>
      <c r="E3666" t="s">
        <v>553</v>
      </c>
      <c r="F3666" t="s">
        <v>35</v>
      </c>
      <c r="G3666" t="s">
        <v>35</v>
      </c>
      <c r="H3666" t="s">
        <v>35</v>
      </c>
      <c r="J3666" t="s">
        <v>4164</v>
      </c>
      <c r="K3666" t="s">
        <v>1144</v>
      </c>
      <c r="M3666">
        <v>11.25</v>
      </c>
      <c r="N3666">
        <v>69</v>
      </c>
      <c r="O3666" t="s">
        <v>61</v>
      </c>
      <c r="Q3666" t="s">
        <v>139</v>
      </c>
      <c r="R3666" t="s">
        <v>548</v>
      </c>
      <c r="S3666" t="s">
        <v>524</v>
      </c>
    </row>
    <row r="3667" spans="1:19" x14ac:dyDescent="0.25">
      <c r="A3667" t="s">
        <v>30</v>
      </c>
      <c r="B3667" t="s">
        <v>31</v>
      </c>
      <c r="C3667" t="s">
        <v>32</v>
      </c>
      <c r="D3667" t="s">
        <v>522</v>
      </c>
      <c r="E3667" t="s">
        <v>553</v>
      </c>
      <c r="F3667" t="s">
        <v>35</v>
      </c>
      <c r="G3667" t="s">
        <v>35</v>
      </c>
      <c r="H3667" t="s">
        <v>35</v>
      </c>
      <c r="J3667" t="s">
        <v>4164</v>
      </c>
      <c r="K3667" t="s">
        <v>1144</v>
      </c>
      <c r="M3667">
        <v>7.6050000000000004</v>
      </c>
      <c r="N3667">
        <v>152</v>
      </c>
      <c r="O3667" t="s">
        <v>38</v>
      </c>
      <c r="Q3667" t="s">
        <v>408</v>
      </c>
      <c r="R3667" t="s">
        <v>548</v>
      </c>
      <c r="S3667" t="s">
        <v>524</v>
      </c>
    </row>
    <row r="3668" spans="1:19" x14ac:dyDescent="0.25">
      <c r="A3668" t="s">
        <v>30</v>
      </c>
      <c r="B3668" t="s">
        <v>31</v>
      </c>
      <c r="C3668" t="s">
        <v>32</v>
      </c>
      <c r="D3668" t="s">
        <v>522</v>
      </c>
      <c r="E3668" t="s">
        <v>553</v>
      </c>
      <c r="F3668" t="s">
        <v>35</v>
      </c>
      <c r="G3668" t="s">
        <v>35</v>
      </c>
      <c r="H3668" t="s">
        <v>35</v>
      </c>
      <c r="J3668" t="s">
        <v>4165</v>
      </c>
      <c r="K3668" t="s">
        <v>1092</v>
      </c>
      <c r="M3668">
        <v>2.97</v>
      </c>
      <c r="N3668">
        <v>170</v>
      </c>
      <c r="O3668" t="s">
        <v>38</v>
      </c>
      <c r="Q3668" t="s">
        <v>2780</v>
      </c>
      <c r="R3668" t="s">
        <v>538</v>
      </c>
      <c r="S3668" t="s">
        <v>539</v>
      </c>
    </row>
    <row r="3669" spans="1:19" x14ac:dyDescent="0.25">
      <c r="A3669" t="s">
        <v>30</v>
      </c>
      <c r="B3669" t="s">
        <v>31</v>
      </c>
      <c r="C3669" t="s">
        <v>32</v>
      </c>
      <c r="D3669" t="s">
        <v>522</v>
      </c>
      <c r="E3669" t="s">
        <v>553</v>
      </c>
      <c r="F3669" t="s">
        <v>35</v>
      </c>
      <c r="G3669" t="s">
        <v>35</v>
      </c>
      <c r="H3669" t="s">
        <v>35</v>
      </c>
      <c r="J3669" t="s">
        <v>4166</v>
      </c>
      <c r="K3669" t="s">
        <v>1092</v>
      </c>
      <c r="M3669">
        <v>5.4</v>
      </c>
      <c r="N3669">
        <v>95</v>
      </c>
      <c r="O3669" t="s">
        <v>106</v>
      </c>
      <c r="Q3669" t="s">
        <v>724</v>
      </c>
      <c r="R3669" t="s">
        <v>538</v>
      </c>
      <c r="S3669" t="s">
        <v>539</v>
      </c>
    </row>
    <row r="3670" spans="1:19" x14ac:dyDescent="0.25">
      <c r="A3670" t="s">
        <v>30</v>
      </c>
      <c r="B3670" t="s">
        <v>31</v>
      </c>
      <c r="C3670" t="s">
        <v>32</v>
      </c>
      <c r="D3670" t="s">
        <v>522</v>
      </c>
      <c r="E3670" t="s">
        <v>553</v>
      </c>
      <c r="F3670" t="s">
        <v>35</v>
      </c>
      <c r="G3670" t="s">
        <v>35</v>
      </c>
      <c r="H3670" t="s">
        <v>35</v>
      </c>
      <c r="J3670" t="s">
        <v>4166</v>
      </c>
      <c r="K3670" t="s">
        <v>1092</v>
      </c>
      <c r="M3670">
        <v>0.40500000000000003</v>
      </c>
      <c r="N3670">
        <v>170</v>
      </c>
      <c r="O3670" t="s">
        <v>38</v>
      </c>
      <c r="Q3670" t="s">
        <v>2780</v>
      </c>
      <c r="R3670" t="s">
        <v>538</v>
      </c>
      <c r="S3670" t="s">
        <v>539</v>
      </c>
    </row>
    <row r="3671" spans="1:19" x14ac:dyDescent="0.25">
      <c r="A3671" t="s">
        <v>30</v>
      </c>
      <c r="B3671" t="s">
        <v>31</v>
      </c>
      <c r="C3671" t="s">
        <v>32</v>
      </c>
      <c r="D3671" t="s">
        <v>522</v>
      </c>
      <c r="E3671" t="s">
        <v>553</v>
      </c>
      <c r="F3671" t="s">
        <v>35</v>
      </c>
      <c r="G3671" t="s">
        <v>35</v>
      </c>
      <c r="H3671" t="s">
        <v>35</v>
      </c>
      <c r="J3671" t="s">
        <v>4167</v>
      </c>
      <c r="K3671" t="s">
        <v>1092</v>
      </c>
      <c r="M3671">
        <v>2.79</v>
      </c>
      <c r="N3671">
        <v>49</v>
      </c>
      <c r="O3671" t="s">
        <v>52</v>
      </c>
      <c r="Q3671" t="s">
        <v>219</v>
      </c>
      <c r="R3671" t="s">
        <v>538</v>
      </c>
      <c r="S3671" t="s">
        <v>539</v>
      </c>
    </row>
    <row r="3672" spans="1:19" x14ac:dyDescent="0.25">
      <c r="A3672" t="s">
        <v>30</v>
      </c>
      <c r="B3672" t="s">
        <v>31</v>
      </c>
      <c r="C3672" t="s">
        <v>32</v>
      </c>
      <c r="D3672" t="s">
        <v>522</v>
      </c>
      <c r="E3672" t="s">
        <v>553</v>
      </c>
      <c r="F3672" t="s">
        <v>35</v>
      </c>
      <c r="G3672" t="s">
        <v>35</v>
      </c>
      <c r="H3672" t="s">
        <v>35</v>
      </c>
      <c r="J3672" t="s">
        <v>4168</v>
      </c>
      <c r="K3672" t="s">
        <v>1092</v>
      </c>
      <c r="M3672">
        <v>4.5</v>
      </c>
      <c r="N3672">
        <v>175</v>
      </c>
      <c r="O3672" t="s">
        <v>38</v>
      </c>
      <c r="Q3672" t="s">
        <v>1692</v>
      </c>
      <c r="R3672" t="s">
        <v>548</v>
      </c>
      <c r="S3672" t="s">
        <v>524</v>
      </c>
    </row>
    <row r="3673" spans="1:19" x14ac:dyDescent="0.25">
      <c r="A3673" t="s">
        <v>44</v>
      </c>
      <c r="B3673" t="s">
        <v>51</v>
      </c>
      <c r="C3673" t="s">
        <v>32</v>
      </c>
      <c r="D3673" t="s">
        <v>522</v>
      </c>
      <c r="E3673" t="s">
        <v>553</v>
      </c>
      <c r="F3673" t="s">
        <v>35</v>
      </c>
      <c r="G3673" t="s">
        <v>35</v>
      </c>
      <c r="H3673" t="s">
        <v>35</v>
      </c>
      <c r="J3673" t="s">
        <v>4168</v>
      </c>
      <c r="K3673" t="s">
        <v>1092</v>
      </c>
      <c r="M3673">
        <v>5.5</v>
      </c>
      <c r="N3673">
        <v>75</v>
      </c>
      <c r="O3673" t="s">
        <v>61</v>
      </c>
      <c r="Q3673" t="s">
        <v>805</v>
      </c>
      <c r="R3673" t="s">
        <v>3931</v>
      </c>
      <c r="S3673" t="s">
        <v>3932</v>
      </c>
    </row>
    <row r="3674" spans="1:19" x14ac:dyDescent="0.25">
      <c r="A3674" t="s">
        <v>30</v>
      </c>
      <c r="B3674" t="s">
        <v>31</v>
      </c>
      <c r="C3674" t="s">
        <v>32</v>
      </c>
      <c r="D3674" t="s">
        <v>522</v>
      </c>
      <c r="E3674" t="s">
        <v>553</v>
      </c>
      <c r="F3674" t="s">
        <v>35</v>
      </c>
      <c r="G3674" t="s">
        <v>35</v>
      </c>
      <c r="H3674" t="s">
        <v>35</v>
      </c>
      <c r="J3674" t="s">
        <v>4168</v>
      </c>
      <c r="K3674" t="s">
        <v>1092</v>
      </c>
      <c r="M3674">
        <v>5.625</v>
      </c>
      <c r="N3674">
        <v>69</v>
      </c>
      <c r="O3674" t="s">
        <v>61</v>
      </c>
      <c r="Q3674" t="s">
        <v>139</v>
      </c>
      <c r="R3674" t="s">
        <v>548</v>
      </c>
      <c r="S3674" t="s">
        <v>524</v>
      </c>
    </row>
    <row r="3675" spans="1:19" x14ac:dyDescent="0.25">
      <c r="A3675" t="s">
        <v>44</v>
      </c>
      <c r="B3675" t="s">
        <v>51</v>
      </c>
      <c r="C3675" t="s">
        <v>32</v>
      </c>
      <c r="D3675" t="s">
        <v>522</v>
      </c>
      <c r="E3675" t="s">
        <v>553</v>
      </c>
      <c r="F3675" t="s">
        <v>35</v>
      </c>
      <c r="G3675" t="s">
        <v>35</v>
      </c>
      <c r="H3675" t="s">
        <v>35</v>
      </c>
      <c r="J3675" t="s">
        <v>4168</v>
      </c>
      <c r="K3675" t="s">
        <v>1092</v>
      </c>
      <c r="M3675">
        <v>2.25</v>
      </c>
      <c r="N3675">
        <v>81</v>
      </c>
      <c r="O3675" t="s">
        <v>61</v>
      </c>
      <c r="Q3675" t="s">
        <v>527</v>
      </c>
      <c r="R3675" t="s">
        <v>538</v>
      </c>
      <c r="S3675" t="s">
        <v>539</v>
      </c>
    </row>
    <row r="3676" spans="1:19" x14ac:dyDescent="0.25">
      <c r="A3676" t="s">
        <v>30</v>
      </c>
      <c r="B3676" t="s">
        <v>31</v>
      </c>
      <c r="C3676" t="s">
        <v>32</v>
      </c>
      <c r="D3676" t="s">
        <v>522</v>
      </c>
      <c r="E3676" t="s">
        <v>553</v>
      </c>
      <c r="F3676" t="s">
        <v>35</v>
      </c>
      <c r="G3676" t="s">
        <v>35</v>
      </c>
      <c r="H3676" t="s">
        <v>35</v>
      </c>
      <c r="J3676" t="s">
        <v>4169</v>
      </c>
      <c r="K3676" t="s">
        <v>1092</v>
      </c>
      <c r="M3676">
        <v>4.5</v>
      </c>
      <c r="N3676">
        <v>150</v>
      </c>
      <c r="O3676" t="s">
        <v>38</v>
      </c>
      <c r="Q3676" t="s">
        <v>1612</v>
      </c>
      <c r="R3676" t="s">
        <v>548</v>
      </c>
      <c r="S3676" t="s">
        <v>524</v>
      </c>
    </row>
    <row r="3677" spans="1:19" x14ac:dyDescent="0.25">
      <c r="A3677" t="s">
        <v>59</v>
      </c>
      <c r="B3677" t="s">
        <v>60</v>
      </c>
      <c r="C3677" t="s">
        <v>32</v>
      </c>
      <c r="D3677" t="s">
        <v>522</v>
      </c>
      <c r="E3677" t="s">
        <v>553</v>
      </c>
      <c r="F3677" t="s">
        <v>35</v>
      </c>
      <c r="G3677" t="s">
        <v>35</v>
      </c>
      <c r="H3677" t="s">
        <v>35</v>
      </c>
      <c r="J3677" t="s">
        <v>4170</v>
      </c>
      <c r="K3677" t="s">
        <v>1092</v>
      </c>
      <c r="M3677">
        <v>0.15</v>
      </c>
      <c r="N3677">
        <v>367</v>
      </c>
      <c r="O3677" t="s">
        <v>294</v>
      </c>
      <c r="Q3677" t="s">
        <v>3978</v>
      </c>
      <c r="R3677" t="s">
        <v>559</v>
      </c>
      <c r="S3677" t="s">
        <v>554</v>
      </c>
    </row>
    <row r="3678" spans="1:19" x14ac:dyDescent="0.25">
      <c r="A3678" t="s">
        <v>59</v>
      </c>
      <c r="B3678" t="s">
        <v>31</v>
      </c>
      <c r="C3678" t="s">
        <v>32</v>
      </c>
      <c r="D3678" t="s">
        <v>522</v>
      </c>
      <c r="E3678" t="s">
        <v>553</v>
      </c>
      <c r="F3678" t="s">
        <v>35</v>
      </c>
      <c r="G3678" t="s">
        <v>35</v>
      </c>
      <c r="H3678" t="s">
        <v>35</v>
      </c>
      <c r="J3678" t="s">
        <v>4170</v>
      </c>
      <c r="K3678" t="s">
        <v>1092</v>
      </c>
      <c r="M3678">
        <v>0.18</v>
      </c>
      <c r="N3678">
        <v>367</v>
      </c>
      <c r="O3678" t="s">
        <v>294</v>
      </c>
      <c r="Q3678" t="s">
        <v>3978</v>
      </c>
      <c r="R3678" t="s">
        <v>559</v>
      </c>
      <c r="S3678" t="s">
        <v>554</v>
      </c>
    </row>
    <row r="3679" spans="1:19" x14ac:dyDescent="0.25">
      <c r="A3679" t="s">
        <v>30</v>
      </c>
      <c r="B3679" t="s">
        <v>31</v>
      </c>
      <c r="C3679" t="s">
        <v>32</v>
      </c>
      <c r="D3679" t="s">
        <v>522</v>
      </c>
      <c r="E3679" t="s">
        <v>553</v>
      </c>
      <c r="F3679" t="s">
        <v>35</v>
      </c>
      <c r="G3679" t="s">
        <v>35</v>
      </c>
      <c r="H3679" t="s">
        <v>35</v>
      </c>
      <c r="J3679" t="s">
        <v>4171</v>
      </c>
      <c r="K3679" t="s">
        <v>1092</v>
      </c>
      <c r="M3679">
        <v>0.315</v>
      </c>
      <c r="N3679">
        <v>1285</v>
      </c>
      <c r="O3679" t="s">
        <v>575</v>
      </c>
      <c r="Q3679" t="s">
        <v>4172</v>
      </c>
      <c r="R3679" t="s">
        <v>538</v>
      </c>
      <c r="S3679" t="s">
        <v>539</v>
      </c>
    </row>
    <row r="3680" spans="1:19" x14ac:dyDescent="0.25">
      <c r="A3680" t="s">
        <v>59</v>
      </c>
      <c r="B3680" t="s">
        <v>60</v>
      </c>
      <c r="C3680" t="s">
        <v>32</v>
      </c>
      <c r="D3680" t="s">
        <v>522</v>
      </c>
      <c r="E3680" t="s">
        <v>553</v>
      </c>
      <c r="F3680" t="s">
        <v>35</v>
      </c>
      <c r="G3680" t="s">
        <v>35</v>
      </c>
      <c r="H3680" t="s">
        <v>35</v>
      </c>
      <c r="J3680" t="s">
        <v>4173</v>
      </c>
      <c r="K3680" t="s">
        <v>1092</v>
      </c>
      <c r="M3680">
        <v>0.2</v>
      </c>
      <c r="N3680">
        <v>186</v>
      </c>
      <c r="O3680" t="s">
        <v>5</v>
      </c>
      <c r="Q3680" t="s">
        <v>1363</v>
      </c>
      <c r="R3680" t="s">
        <v>548</v>
      </c>
      <c r="S3680" t="s">
        <v>524</v>
      </c>
    </row>
    <row r="3681" spans="1:19" x14ac:dyDescent="0.25">
      <c r="A3681" t="s">
        <v>30</v>
      </c>
      <c r="B3681" t="s">
        <v>31</v>
      </c>
      <c r="C3681" t="s">
        <v>32</v>
      </c>
      <c r="D3681" t="s">
        <v>522</v>
      </c>
      <c r="E3681" t="s">
        <v>553</v>
      </c>
      <c r="F3681" t="s">
        <v>35</v>
      </c>
      <c r="G3681" t="s">
        <v>35</v>
      </c>
      <c r="H3681" t="s">
        <v>35</v>
      </c>
      <c r="J3681" t="s">
        <v>4174</v>
      </c>
      <c r="K3681" t="s">
        <v>1092</v>
      </c>
      <c r="M3681">
        <v>0.54</v>
      </c>
      <c r="N3681">
        <v>482</v>
      </c>
      <c r="O3681" t="s">
        <v>294</v>
      </c>
      <c r="Q3681" t="s">
        <v>3207</v>
      </c>
      <c r="R3681" t="s">
        <v>538</v>
      </c>
      <c r="S3681" t="s">
        <v>539</v>
      </c>
    </row>
    <row r="3682" spans="1:19" x14ac:dyDescent="0.25">
      <c r="A3682" t="s">
        <v>30</v>
      </c>
      <c r="B3682" t="s">
        <v>31</v>
      </c>
      <c r="C3682" t="s">
        <v>32</v>
      </c>
      <c r="D3682" t="s">
        <v>522</v>
      </c>
      <c r="E3682" t="s">
        <v>553</v>
      </c>
      <c r="F3682" t="s">
        <v>35</v>
      </c>
      <c r="G3682" t="s">
        <v>35</v>
      </c>
      <c r="H3682" t="s">
        <v>35</v>
      </c>
      <c r="J3682" t="s">
        <v>4175</v>
      </c>
      <c r="K3682" t="s">
        <v>1092</v>
      </c>
      <c r="M3682">
        <v>2.2949999999999999</v>
      </c>
      <c r="N3682">
        <v>133</v>
      </c>
      <c r="O3682" t="s">
        <v>38</v>
      </c>
      <c r="Q3682" t="s">
        <v>68</v>
      </c>
      <c r="R3682" t="s">
        <v>538</v>
      </c>
      <c r="S3682" t="s">
        <v>539</v>
      </c>
    </row>
    <row r="3683" spans="1:19" x14ac:dyDescent="0.25">
      <c r="A3683" t="s">
        <v>30</v>
      </c>
      <c r="B3683" t="s">
        <v>31</v>
      </c>
      <c r="C3683" t="s">
        <v>32</v>
      </c>
      <c r="D3683" t="s">
        <v>522</v>
      </c>
      <c r="E3683" t="s">
        <v>553</v>
      </c>
      <c r="F3683" t="s">
        <v>35</v>
      </c>
      <c r="G3683" t="s">
        <v>35</v>
      </c>
      <c r="H3683" t="s">
        <v>35</v>
      </c>
      <c r="J3683" t="s">
        <v>4175</v>
      </c>
      <c r="K3683" t="s">
        <v>1092</v>
      </c>
      <c r="M3683">
        <v>11.025</v>
      </c>
      <c r="N3683">
        <v>49</v>
      </c>
      <c r="O3683" t="s">
        <v>52</v>
      </c>
      <c r="Q3683" t="s">
        <v>219</v>
      </c>
      <c r="R3683" t="s">
        <v>538</v>
      </c>
      <c r="S3683" t="s">
        <v>539</v>
      </c>
    </row>
    <row r="3684" spans="1:19" x14ac:dyDescent="0.25">
      <c r="A3684" t="s">
        <v>59</v>
      </c>
      <c r="B3684" t="s">
        <v>31</v>
      </c>
      <c r="C3684" t="s">
        <v>32</v>
      </c>
      <c r="D3684" t="s">
        <v>522</v>
      </c>
      <c r="E3684" t="s">
        <v>553</v>
      </c>
      <c r="F3684" t="s">
        <v>35</v>
      </c>
      <c r="G3684" t="s">
        <v>35</v>
      </c>
      <c r="H3684" t="s">
        <v>35</v>
      </c>
      <c r="J3684" t="s">
        <v>4176</v>
      </c>
      <c r="K3684" t="s">
        <v>1092</v>
      </c>
      <c r="M3684">
        <v>0.45</v>
      </c>
      <c r="N3684">
        <v>571</v>
      </c>
      <c r="O3684" t="s">
        <v>575</v>
      </c>
      <c r="Q3684" t="s">
        <v>3812</v>
      </c>
      <c r="R3684" t="s">
        <v>559</v>
      </c>
      <c r="S3684" t="s">
        <v>554</v>
      </c>
    </row>
    <row r="3685" spans="1:19" x14ac:dyDescent="0.25">
      <c r="A3685" t="s">
        <v>30</v>
      </c>
      <c r="B3685" t="s">
        <v>31</v>
      </c>
      <c r="C3685" t="s">
        <v>32</v>
      </c>
      <c r="D3685" t="s">
        <v>522</v>
      </c>
      <c r="E3685" t="s">
        <v>553</v>
      </c>
      <c r="F3685" t="s">
        <v>35</v>
      </c>
      <c r="G3685" t="s">
        <v>35</v>
      </c>
      <c r="H3685" t="s">
        <v>35</v>
      </c>
      <c r="J3685" t="s">
        <v>4177</v>
      </c>
      <c r="K3685" t="s">
        <v>1092</v>
      </c>
      <c r="M3685">
        <v>5.625</v>
      </c>
      <c r="N3685">
        <v>97</v>
      </c>
      <c r="O3685" t="s">
        <v>106</v>
      </c>
      <c r="Q3685" t="s">
        <v>557</v>
      </c>
      <c r="R3685" t="s">
        <v>538</v>
      </c>
      <c r="S3685" t="s">
        <v>539</v>
      </c>
    </row>
    <row r="3686" spans="1:19" x14ac:dyDescent="0.25">
      <c r="A3686" t="s">
        <v>44</v>
      </c>
      <c r="B3686" t="s">
        <v>51</v>
      </c>
      <c r="C3686" t="s">
        <v>32</v>
      </c>
      <c r="D3686" t="s">
        <v>522</v>
      </c>
      <c r="E3686" t="s">
        <v>553</v>
      </c>
      <c r="F3686" t="s">
        <v>35</v>
      </c>
      <c r="G3686" t="s">
        <v>35</v>
      </c>
      <c r="H3686" t="s">
        <v>35</v>
      </c>
      <c r="J3686" t="s">
        <v>4179</v>
      </c>
      <c r="K3686" t="s">
        <v>1092</v>
      </c>
      <c r="M3686">
        <v>0.25</v>
      </c>
      <c r="N3686">
        <v>460</v>
      </c>
      <c r="O3686" t="s">
        <v>294</v>
      </c>
      <c r="Q3686" t="s">
        <v>4042</v>
      </c>
      <c r="R3686" t="s">
        <v>559</v>
      </c>
      <c r="S3686" t="s">
        <v>554</v>
      </c>
    </row>
    <row r="3687" spans="1:19" x14ac:dyDescent="0.25">
      <c r="A3687" t="s">
        <v>30</v>
      </c>
      <c r="B3687" t="s">
        <v>31</v>
      </c>
      <c r="C3687" t="s">
        <v>32</v>
      </c>
      <c r="D3687" t="s">
        <v>522</v>
      </c>
      <c r="E3687" t="s">
        <v>553</v>
      </c>
      <c r="F3687" t="s">
        <v>35</v>
      </c>
      <c r="G3687" t="s">
        <v>35</v>
      </c>
      <c r="H3687" t="s">
        <v>35</v>
      </c>
      <c r="J3687" t="s">
        <v>4180</v>
      </c>
      <c r="K3687" t="s">
        <v>1092</v>
      </c>
      <c r="M3687">
        <v>3.7349999999999999</v>
      </c>
      <c r="N3687">
        <v>121</v>
      </c>
      <c r="O3687" t="s">
        <v>38</v>
      </c>
      <c r="Q3687" t="s">
        <v>2895</v>
      </c>
      <c r="R3687" t="s">
        <v>559</v>
      </c>
      <c r="S3687" t="s">
        <v>554</v>
      </c>
    </row>
    <row r="3688" spans="1:19" x14ac:dyDescent="0.25">
      <c r="A3688" t="s">
        <v>30</v>
      </c>
      <c r="B3688" t="s">
        <v>31</v>
      </c>
      <c r="C3688" t="s">
        <v>32</v>
      </c>
      <c r="D3688" t="s">
        <v>522</v>
      </c>
      <c r="E3688" t="s">
        <v>4181</v>
      </c>
      <c r="F3688" t="s">
        <v>35</v>
      </c>
      <c r="G3688" t="s">
        <v>35</v>
      </c>
      <c r="H3688" t="s">
        <v>35</v>
      </c>
      <c r="J3688" t="s">
        <v>4182</v>
      </c>
      <c r="K3688" t="s">
        <v>1092</v>
      </c>
      <c r="M3688">
        <v>0.63</v>
      </c>
      <c r="N3688">
        <v>391</v>
      </c>
      <c r="O3688" t="s">
        <v>294</v>
      </c>
      <c r="Q3688" t="s">
        <v>1794</v>
      </c>
      <c r="R3688" t="s">
        <v>548</v>
      </c>
      <c r="S3688" t="s">
        <v>524</v>
      </c>
    </row>
    <row r="3689" spans="1:19" x14ac:dyDescent="0.25">
      <c r="A3689" t="s">
        <v>30</v>
      </c>
      <c r="B3689" t="s">
        <v>31</v>
      </c>
      <c r="C3689" t="s">
        <v>32</v>
      </c>
      <c r="D3689" t="s">
        <v>522</v>
      </c>
      <c r="E3689" t="s">
        <v>4181</v>
      </c>
      <c r="F3689" t="s">
        <v>35</v>
      </c>
      <c r="G3689" t="s">
        <v>35</v>
      </c>
      <c r="H3689" t="s">
        <v>35</v>
      </c>
      <c r="J3689" t="s">
        <v>4183</v>
      </c>
      <c r="K3689" t="s">
        <v>1092</v>
      </c>
      <c r="M3689">
        <v>4.2300000000000004</v>
      </c>
      <c r="N3689">
        <v>45</v>
      </c>
      <c r="O3689" t="s">
        <v>52</v>
      </c>
      <c r="Q3689" t="s">
        <v>716</v>
      </c>
      <c r="R3689" t="s">
        <v>548</v>
      </c>
      <c r="S3689" t="s">
        <v>524</v>
      </c>
    </row>
    <row r="3690" spans="1:19" x14ac:dyDescent="0.25">
      <c r="A3690" t="s">
        <v>44</v>
      </c>
      <c r="B3690" t="s">
        <v>51</v>
      </c>
      <c r="C3690" t="s">
        <v>32</v>
      </c>
      <c r="D3690" t="s">
        <v>522</v>
      </c>
      <c r="E3690" t="s">
        <v>4181</v>
      </c>
      <c r="F3690" t="s">
        <v>35</v>
      </c>
      <c r="G3690" t="s">
        <v>35</v>
      </c>
      <c r="H3690" t="s">
        <v>35</v>
      </c>
      <c r="J3690" t="s">
        <v>4183</v>
      </c>
      <c r="K3690" t="s">
        <v>1092</v>
      </c>
      <c r="M3690">
        <v>4.3499999999999996</v>
      </c>
      <c r="N3690">
        <v>81</v>
      </c>
      <c r="O3690" t="s">
        <v>61</v>
      </c>
      <c r="Q3690" t="s">
        <v>527</v>
      </c>
      <c r="R3690" t="s">
        <v>538</v>
      </c>
      <c r="S3690" t="s">
        <v>539</v>
      </c>
    </row>
    <row r="3691" spans="1:19" x14ac:dyDescent="0.25">
      <c r="A3691" t="s">
        <v>30</v>
      </c>
      <c r="B3691" t="s">
        <v>31</v>
      </c>
      <c r="C3691" t="s">
        <v>32</v>
      </c>
      <c r="D3691" t="s">
        <v>522</v>
      </c>
      <c r="E3691" t="s">
        <v>4181</v>
      </c>
      <c r="F3691" t="s">
        <v>35</v>
      </c>
      <c r="G3691" t="s">
        <v>35</v>
      </c>
      <c r="H3691" t="s">
        <v>35</v>
      </c>
      <c r="J3691" t="s">
        <v>4184</v>
      </c>
      <c r="K3691" t="s">
        <v>1092</v>
      </c>
      <c r="M3691">
        <v>5.0000000000000001E-3</v>
      </c>
      <c r="N3691">
        <v>1406</v>
      </c>
      <c r="O3691" t="s">
        <v>575</v>
      </c>
      <c r="Q3691" t="s">
        <v>2957</v>
      </c>
      <c r="R3691" t="s">
        <v>3993</v>
      </c>
      <c r="S3691" t="s">
        <v>3994</v>
      </c>
    </row>
    <row r="3692" spans="1:19" x14ac:dyDescent="0.25">
      <c r="A3692" t="s">
        <v>30</v>
      </c>
      <c r="B3692" t="s">
        <v>31</v>
      </c>
      <c r="C3692" t="s">
        <v>32</v>
      </c>
      <c r="D3692" t="s">
        <v>522</v>
      </c>
      <c r="E3692" t="s">
        <v>4181</v>
      </c>
      <c r="F3692" t="s">
        <v>35</v>
      </c>
      <c r="G3692" t="s">
        <v>35</v>
      </c>
      <c r="H3692" t="s">
        <v>35</v>
      </c>
      <c r="J3692" t="s">
        <v>4185</v>
      </c>
      <c r="K3692" t="s">
        <v>1092</v>
      </c>
      <c r="M3692">
        <v>10.62</v>
      </c>
      <c r="N3692">
        <v>71</v>
      </c>
      <c r="O3692" t="s">
        <v>61</v>
      </c>
      <c r="Q3692" t="s">
        <v>102</v>
      </c>
      <c r="R3692" t="s">
        <v>538</v>
      </c>
      <c r="S3692" t="s">
        <v>539</v>
      </c>
    </row>
    <row r="3693" spans="1:19" x14ac:dyDescent="0.25">
      <c r="A3693" t="s">
        <v>30</v>
      </c>
      <c r="B3693" t="s">
        <v>31</v>
      </c>
      <c r="C3693" t="s">
        <v>32</v>
      </c>
      <c r="D3693" t="s">
        <v>522</v>
      </c>
      <c r="E3693" t="s">
        <v>4181</v>
      </c>
      <c r="F3693" t="s">
        <v>35</v>
      </c>
      <c r="G3693" t="s">
        <v>35</v>
      </c>
      <c r="H3693" t="s">
        <v>35</v>
      </c>
      <c r="J3693" t="s">
        <v>4186</v>
      </c>
      <c r="K3693" t="s">
        <v>1092</v>
      </c>
      <c r="M3693">
        <v>10.08</v>
      </c>
      <c r="N3693">
        <v>49</v>
      </c>
      <c r="O3693" t="s">
        <v>52</v>
      </c>
      <c r="Q3693" t="s">
        <v>219</v>
      </c>
      <c r="R3693" t="s">
        <v>538</v>
      </c>
      <c r="S3693" t="s">
        <v>539</v>
      </c>
    </row>
    <row r="3694" spans="1:19" x14ac:dyDescent="0.25">
      <c r="A3694" t="s">
        <v>59</v>
      </c>
      <c r="B3694" t="s">
        <v>31</v>
      </c>
      <c r="C3694" t="s">
        <v>32</v>
      </c>
      <c r="D3694" t="s">
        <v>522</v>
      </c>
      <c r="E3694" t="s">
        <v>4181</v>
      </c>
      <c r="F3694" t="s">
        <v>35</v>
      </c>
      <c r="G3694" t="s">
        <v>35</v>
      </c>
      <c r="H3694" t="s">
        <v>35</v>
      </c>
      <c r="J3694" t="s">
        <v>4186</v>
      </c>
      <c r="K3694" t="s">
        <v>1092</v>
      </c>
      <c r="M3694">
        <v>3.87</v>
      </c>
      <c r="N3694">
        <v>140</v>
      </c>
      <c r="O3694" t="s">
        <v>38</v>
      </c>
      <c r="Q3694" t="s">
        <v>609</v>
      </c>
      <c r="R3694" t="s">
        <v>538</v>
      </c>
      <c r="S3694" t="s">
        <v>539</v>
      </c>
    </row>
    <row r="3695" spans="1:19" x14ac:dyDescent="0.25">
      <c r="A3695" t="s">
        <v>44</v>
      </c>
      <c r="B3695" t="s">
        <v>51</v>
      </c>
      <c r="C3695" t="s">
        <v>32</v>
      </c>
      <c r="D3695" t="s">
        <v>522</v>
      </c>
      <c r="E3695" t="s">
        <v>4181</v>
      </c>
      <c r="F3695" t="s">
        <v>35</v>
      </c>
      <c r="G3695" t="s">
        <v>35</v>
      </c>
      <c r="H3695" t="s">
        <v>35</v>
      </c>
      <c r="J3695" t="s">
        <v>4187</v>
      </c>
      <c r="K3695" t="s">
        <v>1092</v>
      </c>
      <c r="M3695">
        <v>2.8</v>
      </c>
      <c r="N3695">
        <v>273</v>
      </c>
      <c r="O3695" t="s">
        <v>5</v>
      </c>
      <c r="Q3695" t="s">
        <v>1989</v>
      </c>
      <c r="R3695" t="s">
        <v>3993</v>
      </c>
      <c r="S3695" t="s">
        <v>3994</v>
      </c>
    </row>
    <row r="3696" spans="1:19" x14ac:dyDescent="0.25">
      <c r="A3696" t="s">
        <v>30</v>
      </c>
      <c r="B3696" t="s">
        <v>31</v>
      </c>
      <c r="C3696" t="s">
        <v>32</v>
      </c>
      <c r="D3696" t="s">
        <v>522</v>
      </c>
      <c r="E3696" t="s">
        <v>4181</v>
      </c>
      <c r="F3696" t="s">
        <v>35</v>
      </c>
      <c r="G3696" t="s">
        <v>35</v>
      </c>
      <c r="H3696" t="s">
        <v>35</v>
      </c>
      <c r="J3696" t="s">
        <v>4187</v>
      </c>
      <c r="K3696" t="s">
        <v>1092</v>
      </c>
      <c r="M3696">
        <v>0.36499999999999999</v>
      </c>
      <c r="N3696">
        <v>228</v>
      </c>
      <c r="O3696" t="s">
        <v>5</v>
      </c>
      <c r="Q3696" t="s">
        <v>1979</v>
      </c>
      <c r="R3696" t="s">
        <v>538</v>
      </c>
      <c r="S3696" t="s">
        <v>539</v>
      </c>
    </row>
    <row r="3697" spans="1:19" x14ac:dyDescent="0.25">
      <c r="A3697" t="s">
        <v>30</v>
      </c>
      <c r="B3697" t="s">
        <v>31</v>
      </c>
      <c r="C3697" t="s">
        <v>32</v>
      </c>
      <c r="D3697" t="s">
        <v>522</v>
      </c>
      <c r="E3697" t="s">
        <v>4181</v>
      </c>
      <c r="F3697" t="s">
        <v>35</v>
      </c>
      <c r="G3697" t="s">
        <v>35</v>
      </c>
      <c r="H3697" t="s">
        <v>35</v>
      </c>
      <c r="J3697" t="s">
        <v>4188</v>
      </c>
      <c r="K3697" t="s">
        <v>1092</v>
      </c>
      <c r="M3697">
        <v>9.8550000000000004</v>
      </c>
      <c r="N3697">
        <v>71</v>
      </c>
      <c r="O3697" t="s">
        <v>61</v>
      </c>
      <c r="Q3697" t="s">
        <v>102</v>
      </c>
      <c r="R3697" t="s">
        <v>538</v>
      </c>
      <c r="S3697" t="s">
        <v>539</v>
      </c>
    </row>
    <row r="3698" spans="1:19" x14ac:dyDescent="0.25">
      <c r="A3698" t="s">
        <v>44</v>
      </c>
      <c r="B3698" t="s">
        <v>51</v>
      </c>
      <c r="C3698" t="s">
        <v>32</v>
      </c>
      <c r="D3698" t="s">
        <v>522</v>
      </c>
      <c r="E3698" t="s">
        <v>4181</v>
      </c>
      <c r="F3698" t="s">
        <v>35</v>
      </c>
      <c r="G3698" t="s">
        <v>35</v>
      </c>
      <c r="H3698" t="s">
        <v>35</v>
      </c>
      <c r="J3698" t="s">
        <v>4189</v>
      </c>
      <c r="K3698" t="s">
        <v>1092</v>
      </c>
      <c r="M3698">
        <v>6.1829999999999998</v>
      </c>
      <c r="N3698">
        <v>57</v>
      </c>
      <c r="O3698" t="s">
        <v>52</v>
      </c>
      <c r="Q3698" t="s">
        <v>665</v>
      </c>
      <c r="R3698" t="s">
        <v>4190</v>
      </c>
      <c r="S3698" t="s">
        <v>581</v>
      </c>
    </row>
    <row r="3699" spans="1:19" x14ac:dyDescent="0.25">
      <c r="A3699" t="s">
        <v>44</v>
      </c>
      <c r="B3699" t="s">
        <v>3</v>
      </c>
      <c r="C3699" t="s">
        <v>32</v>
      </c>
      <c r="D3699" t="s">
        <v>522</v>
      </c>
      <c r="E3699" t="s">
        <v>4181</v>
      </c>
      <c r="F3699" t="s">
        <v>35</v>
      </c>
      <c r="G3699" t="s">
        <v>35</v>
      </c>
      <c r="H3699" t="s">
        <v>35</v>
      </c>
      <c r="J3699" t="s">
        <v>4191</v>
      </c>
      <c r="K3699" t="s">
        <v>1092</v>
      </c>
      <c r="M3699">
        <v>0.9</v>
      </c>
      <c r="N3699">
        <v>319</v>
      </c>
      <c r="O3699" t="s">
        <v>5</v>
      </c>
      <c r="Q3699" t="s">
        <v>4192</v>
      </c>
      <c r="R3699" t="s">
        <v>3993</v>
      </c>
      <c r="S3699" t="s">
        <v>3994</v>
      </c>
    </row>
    <row r="3700" spans="1:19" x14ac:dyDescent="0.25">
      <c r="A3700" t="s">
        <v>44</v>
      </c>
      <c r="B3700" t="s">
        <v>51</v>
      </c>
      <c r="C3700" t="s">
        <v>32</v>
      </c>
      <c r="D3700" t="s">
        <v>522</v>
      </c>
      <c r="E3700" t="s">
        <v>4181</v>
      </c>
      <c r="F3700" t="s">
        <v>35</v>
      </c>
      <c r="G3700" t="s">
        <v>35</v>
      </c>
      <c r="H3700" t="s">
        <v>35</v>
      </c>
      <c r="J3700" t="s">
        <v>4191</v>
      </c>
      <c r="K3700" t="s">
        <v>1092</v>
      </c>
      <c r="M3700">
        <v>2.8</v>
      </c>
      <c r="N3700">
        <v>273</v>
      </c>
      <c r="O3700" t="s">
        <v>5</v>
      </c>
      <c r="Q3700" t="s">
        <v>1989</v>
      </c>
      <c r="R3700" t="s">
        <v>3993</v>
      </c>
      <c r="S3700" t="s">
        <v>3994</v>
      </c>
    </row>
    <row r="3701" spans="1:19" x14ac:dyDescent="0.25">
      <c r="A3701" t="s">
        <v>30</v>
      </c>
      <c r="B3701" t="s">
        <v>31</v>
      </c>
      <c r="C3701" t="s">
        <v>32</v>
      </c>
      <c r="D3701" t="s">
        <v>522</v>
      </c>
      <c r="E3701" t="s">
        <v>4181</v>
      </c>
      <c r="F3701" t="s">
        <v>35</v>
      </c>
      <c r="G3701" t="s">
        <v>35</v>
      </c>
      <c r="H3701" t="s">
        <v>35</v>
      </c>
      <c r="J3701" t="s">
        <v>4191</v>
      </c>
      <c r="K3701" t="s">
        <v>1092</v>
      </c>
      <c r="M3701">
        <v>3.1949999999999998</v>
      </c>
      <c r="N3701">
        <v>504</v>
      </c>
      <c r="O3701" t="s">
        <v>294</v>
      </c>
      <c r="Q3701" t="s">
        <v>1614</v>
      </c>
      <c r="R3701" t="s">
        <v>538</v>
      </c>
      <c r="S3701" t="s">
        <v>539</v>
      </c>
    </row>
    <row r="3702" spans="1:19" x14ac:dyDescent="0.25">
      <c r="A3702" t="s">
        <v>30</v>
      </c>
      <c r="B3702" t="s">
        <v>31</v>
      </c>
      <c r="C3702" t="s">
        <v>32</v>
      </c>
      <c r="D3702" t="s">
        <v>522</v>
      </c>
      <c r="E3702" t="s">
        <v>4181</v>
      </c>
      <c r="F3702" t="s">
        <v>35</v>
      </c>
      <c r="G3702" t="s">
        <v>35</v>
      </c>
      <c r="H3702" t="s">
        <v>35</v>
      </c>
      <c r="J3702" t="s">
        <v>4191</v>
      </c>
      <c r="K3702" t="s">
        <v>1092</v>
      </c>
      <c r="M3702">
        <v>5.49</v>
      </c>
      <c r="N3702">
        <v>49</v>
      </c>
      <c r="O3702" t="s">
        <v>52</v>
      </c>
      <c r="Q3702" t="s">
        <v>219</v>
      </c>
      <c r="R3702" t="s">
        <v>538</v>
      </c>
      <c r="S3702" t="s">
        <v>539</v>
      </c>
    </row>
    <row r="3703" spans="1:19" x14ac:dyDescent="0.25">
      <c r="A3703" t="s">
        <v>44</v>
      </c>
      <c r="B3703" t="s">
        <v>3</v>
      </c>
      <c r="C3703" t="s">
        <v>32</v>
      </c>
      <c r="D3703" t="s">
        <v>522</v>
      </c>
      <c r="E3703" t="s">
        <v>4181</v>
      </c>
      <c r="F3703" t="s">
        <v>35</v>
      </c>
      <c r="G3703" t="s">
        <v>35</v>
      </c>
      <c r="H3703" t="s">
        <v>35</v>
      </c>
      <c r="J3703" t="s">
        <v>4193</v>
      </c>
      <c r="K3703" t="s">
        <v>1092</v>
      </c>
      <c r="M3703">
        <v>0.75</v>
      </c>
      <c r="N3703">
        <v>499</v>
      </c>
      <c r="O3703" t="s">
        <v>294</v>
      </c>
      <c r="Q3703" t="s">
        <v>1503</v>
      </c>
      <c r="R3703" t="s">
        <v>3993</v>
      </c>
      <c r="S3703" t="s">
        <v>3994</v>
      </c>
    </row>
    <row r="3704" spans="1:19" x14ac:dyDescent="0.25">
      <c r="A3704" t="s">
        <v>30</v>
      </c>
      <c r="B3704" t="s">
        <v>31</v>
      </c>
      <c r="C3704" t="s">
        <v>32</v>
      </c>
      <c r="D3704" t="s">
        <v>522</v>
      </c>
      <c r="E3704" t="s">
        <v>4181</v>
      </c>
      <c r="F3704" t="s">
        <v>35</v>
      </c>
      <c r="G3704" t="s">
        <v>35</v>
      </c>
      <c r="H3704" t="s">
        <v>35</v>
      </c>
      <c r="J3704" t="s">
        <v>4194</v>
      </c>
      <c r="K3704" t="s">
        <v>1092</v>
      </c>
      <c r="M3704">
        <v>3.915</v>
      </c>
      <c r="N3704">
        <v>49</v>
      </c>
      <c r="O3704" t="s">
        <v>52</v>
      </c>
      <c r="Q3704" t="s">
        <v>219</v>
      </c>
      <c r="R3704" t="s">
        <v>538</v>
      </c>
      <c r="S3704" t="s">
        <v>539</v>
      </c>
    </row>
    <row r="3705" spans="1:19" x14ac:dyDescent="0.25">
      <c r="A3705" t="s">
        <v>30</v>
      </c>
      <c r="B3705" t="s">
        <v>31</v>
      </c>
      <c r="C3705" t="s">
        <v>32</v>
      </c>
      <c r="D3705" t="s">
        <v>522</v>
      </c>
      <c r="E3705" t="s">
        <v>4181</v>
      </c>
      <c r="F3705" t="s">
        <v>35</v>
      </c>
      <c r="G3705" t="s">
        <v>35</v>
      </c>
      <c r="H3705" t="s">
        <v>35</v>
      </c>
      <c r="J3705" t="s">
        <v>4196</v>
      </c>
      <c r="K3705" t="s">
        <v>1092</v>
      </c>
      <c r="M3705">
        <v>1</v>
      </c>
      <c r="N3705">
        <v>1146</v>
      </c>
      <c r="O3705" t="s">
        <v>575</v>
      </c>
      <c r="Q3705" t="s">
        <v>4197</v>
      </c>
      <c r="R3705" t="s">
        <v>4198</v>
      </c>
      <c r="S3705" t="s">
        <v>4199</v>
      </c>
    </row>
    <row r="3706" spans="1:19" x14ac:dyDescent="0.25">
      <c r="A3706" t="s">
        <v>30</v>
      </c>
      <c r="B3706" t="s">
        <v>31</v>
      </c>
      <c r="C3706" t="s">
        <v>32</v>
      </c>
      <c r="D3706" t="s">
        <v>522</v>
      </c>
      <c r="E3706" t="s">
        <v>4181</v>
      </c>
      <c r="F3706" t="s">
        <v>35</v>
      </c>
      <c r="G3706" t="s">
        <v>35</v>
      </c>
      <c r="H3706" t="s">
        <v>35</v>
      </c>
      <c r="J3706" t="s">
        <v>4201</v>
      </c>
      <c r="K3706" t="s">
        <v>1092</v>
      </c>
      <c r="M3706">
        <v>3.24</v>
      </c>
      <c r="N3706">
        <v>412</v>
      </c>
      <c r="O3706" t="s">
        <v>294</v>
      </c>
      <c r="Q3706" t="s">
        <v>3472</v>
      </c>
      <c r="R3706" t="s">
        <v>538</v>
      </c>
      <c r="S3706" t="s">
        <v>539</v>
      </c>
    </row>
    <row r="3707" spans="1:19" x14ac:dyDescent="0.25">
      <c r="A3707" t="s">
        <v>30</v>
      </c>
      <c r="B3707" t="s">
        <v>31</v>
      </c>
      <c r="C3707" t="s">
        <v>32</v>
      </c>
      <c r="D3707" t="s">
        <v>522</v>
      </c>
      <c r="E3707" t="s">
        <v>4181</v>
      </c>
      <c r="F3707" t="s">
        <v>35</v>
      </c>
      <c r="G3707" t="s">
        <v>35</v>
      </c>
      <c r="H3707" t="s">
        <v>35</v>
      </c>
      <c r="J3707" t="s">
        <v>4202</v>
      </c>
      <c r="K3707" t="s">
        <v>1092</v>
      </c>
      <c r="M3707">
        <v>9.9450000000000003</v>
      </c>
      <c r="N3707">
        <v>45</v>
      </c>
      <c r="O3707" t="s">
        <v>52</v>
      </c>
      <c r="Q3707" t="s">
        <v>716</v>
      </c>
      <c r="R3707" t="s">
        <v>548</v>
      </c>
      <c r="S3707" t="s">
        <v>524</v>
      </c>
    </row>
    <row r="3708" spans="1:19" x14ac:dyDescent="0.25">
      <c r="A3708" t="s">
        <v>59</v>
      </c>
      <c r="B3708" t="s">
        <v>60</v>
      </c>
      <c r="C3708" t="s">
        <v>32</v>
      </c>
      <c r="D3708" t="s">
        <v>522</v>
      </c>
      <c r="E3708" t="s">
        <v>4181</v>
      </c>
      <c r="F3708" t="s">
        <v>35</v>
      </c>
      <c r="G3708" t="s">
        <v>35</v>
      </c>
      <c r="H3708" t="s">
        <v>35</v>
      </c>
      <c r="J3708" t="s">
        <v>4202</v>
      </c>
      <c r="K3708" t="s">
        <v>1092</v>
      </c>
      <c r="M3708">
        <v>0.8</v>
      </c>
      <c r="N3708">
        <v>227</v>
      </c>
      <c r="O3708" t="s">
        <v>5</v>
      </c>
      <c r="Q3708" t="s">
        <v>2236</v>
      </c>
      <c r="R3708" t="s">
        <v>548</v>
      </c>
      <c r="S3708" t="s">
        <v>524</v>
      </c>
    </row>
    <row r="3709" spans="1:19" x14ac:dyDescent="0.25">
      <c r="A3709" t="s">
        <v>30</v>
      </c>
      <c r="B3709" t="s">
        <v>31</v>
      </c>
      <c r="C3709" t="s">
        <v>32</v>
      </c>
      <c r="D3709" t="s">
        <v>522</v>
      </c>
      <c r="E3709" t="s">
        <v>4181</v>
      </c>
      <c r="F3709" t="s">
        <v>35</v>
      </c>
      <c r="G3709" t="s">
        <v>35</v>
      </c>
      <c r="H3709" t="s">
        <v>35</v>
      </c>
      <c r="J3709" t="s">
        <v>4204</v>
      </c>
      <c r="K3709" t="s">
        <v>1092</v>
      </c>
      <c r="M3709">
        <v>1.44</v>
      </c>
      <c r="N3709">
        <v>62</v>
      </c>
      <c r="O3709" t="s">
        <v>61</v>
      </c>
      <c r="Q3709" t="s">
        <v>90</v>
      </c>
      <c r="R3709" t="s">
        <v>3931</v>
      </c>
      <c r="S3709" t="s">
        <v>3932</v>
      </c>
    </row>
    <row r="3710" spans="1:19" x14ac:dyDescent="0.25">
      <c r="A3710" t="s">
        <v>30</v>
      </c>
      <c r="B3710" t="s">
        <v>31</v>
      </c>
      <c r="C3710" t="s">
        <v>32</v>
      </c>
      <c r="D3710" t="s">
        <v>522</v>
      </c>
      <c r="E3710" t="s">
        <v>4181</v>
      </c>
      <c r="F3710" t="s">
        <v>35</v>
      </c>
      <c r="G3710" t="s">
        <v>35</v>
      </c>
      <c r="H3710" t="s">
        <v>35</v>
      </c>
      <c r="J3710" t="s">
        <v>4205</v>
      </c>
      <c r="K3710" t="s">
        <v>1092</v>
      </c>
      <c r="M3710">
        <v>5.5350000000000001</v>
      </c>
      <c r="N3710">
        <v>27</v>
      </c>
      <c r="O3710" t="s">
        <v>46</v>
      </c>
      <c r="Q3710" t="s">
        <v>1011</v>
      </c>
      <c r="R3710" t="s">
        <v>538</v>
      </c>
      <c r="S3710" t="s">
        <v>539</v>
      </c>
    </row>
    <row r="3711" spans="1:19" x14ac:dyDescent="0.25">
      <c r="A3711" t="s">
        <v>30</v>
      </c>
      <c r="B3711" t="s">
        <v>31</v>
      </c>
      <c r="C3711" t="s">
        <v>32</v>
      </c>
      <c r="D3711" t="s">
        <v>522</v>
      </c>
      <c r="E3711" t="s">
        <v>4181</v>
      </c>
      <c r="F3711" t="s">
        <v>35</v>
      </c>
      <c r="G3711" t="s">
        <v>35</v>
      </c>
      <c r="H3711" t="s">
        <v>35</v>
      </c>
      <c r="J3711" t="s">
        <v>4205</v>
      </c>
      <c r="K3711" t="s">
        <v>1092</v>
      </c>
      <c r="M3711">
        <v>5.13</v>
      </c>
      <c r="N3711">
        <v>49</v>
      </c>
      <c r="O3711" t="s">
        <v>52</v>
      </c>
      <c r="Q3711" t="s">
        <v>219</v>
      </c>
      <c r="R3711" t="s">
        <v>538</v>
      </c>
      <c r="S3711" t="s">
        <v>539</v>
      </c>
    </row>
    <row r="3712" spans="1:19" x14ac:dyDescent="0.25">
      <c r="A3712" t="s">
        <v>59</v>
      </c>
      <c r="B3712" t="s">
        <v>31</v>
      </c>
      <c r="C3712" t="s">
        <v>32</v>
      </c>
      <c r="D3712" t="s">
        <v>522</v>
      </c>
      <c r="E3712" t="s">
        <v>4181</v>
      </c>
      <c r="F3712" t="s">
        <v>35</v>
      </c>
      <c r="G3712" t="s">
        <v>35</v>
      </c>
      <c r="H3712" t="s">
        <v>35</v>
      </c>
      <c r="J3712" t="s">
        <v>4205</v>
      </c>
      <c r="K3712" t="s">
        <v>1092</v>
      </c>
      <c r="M3712">
        <v>1.3049999999999999</v>
      </c>
      <c r="N3712">
        <v>93</v>
      </c>
      <c r="O3712" t="s">
        <v>106</v>
      </c>
      <c r="Q3712" t="s">
        <v>941</v>
      </c>
      <c r="R3712" t="s">
        <v>538</v>
      </c>
      <c r="S3712" t="s">
        <v>539</v>
      </c>
    </row>
    <row r="3713" spans="1:19" x14ac:dyDescent="0.25">
      <c r="A3713" t="s">
        <v>30</v>
      </c>
      <c r="B3713" t="s">
        <v>31</v>
      </c>
      <c r="C3713" t="s">
        <v>32</v>
      </c>
      <c r="D3713" t="s">
        <v>522</v>
      </c>
      <c r="E3713" t="s">
        <v>4181</v>
      </c>
      <c r="F3713" t="s">
        <v>35</v>
      </c>
      <c r="G3713" t="s">
        <v>35</v>
      </c>
      <c r="H3713" t="s">
        <v>35</v>
      </c>
      <c r="J3713" t="s">
        <v>4206</v>
      </c>
      <c r="K3713" t="s">
        <v>1092</v>
      </c>
      <c r="M3713">
        <v>4.2750000000000004</v>
      </c>
      <c r="N3713">
        <v>412</v>
      </c>
      <c r="O3713" t="s">
        <v>294</v>
      </c>
      <c r="Q3713" t="s">
        <v>3472</v>
      </c>
      <c r="R3713" t="s">
        <v>538</v>
      </c>
      <c r="S3713" t="s">
        <v>539</v>
      </c>
    </row>
    <row r="3714" spans="1:19" x14ac:dyDescent="0.25">
      <c r="A3714" t="s">
        <v>44</v>
      </c>
      <c r="B3714" t="s">
        <v>51</v>
      </c>
      <c r="C3714" t="s">
        <v>32</v>
      </c>
      <c r="D3714" t="s">
        <v>522</v>
      </c>
      <c r="E3714" t="s">
        <v>4181</v>
      </c>
      <c r="F3714" t="s">
        <v>35</v>
      </c>
      <c r="G3714" t="s">
        <v>35</v>
      </c>
      <c r="H3714" t="s">
        <v>35</v>
      </c>
      <c r="J3714" t="s">
        <v>4206</v>
      </c>
      <c r="K3714" t="s">
        <v>1092</v>
      </c>
      <c r="M3714">
        <v>2.1</v>
      </c>
      <c r="N3714">
        <v>273</v>
      </c>
      <c r="O3714" t="s">
        <v>5</v>
      </c>
      <c r="Q3714" t="s">
        <v>1989</v>
      </c>
      <c r="R3714" t="s">
        <v>3993</v>
      </c>
      <c r="S3714" t="s">
        <v>3994</v>
      </c>
    </row>
    <row r="3715" spans="1:19" x14ac:dyDescent="0.25">
      <c r="A3715" t="s">
        <v>30</v>
      </c>
      <c r="B3715" t="s">
        <v>31</v>
      </c>
      <c r="C3715" t="s">
        <v>32</v>
      </c>
      <c r="D3715" t="s">
        <v>522</v>
      </c>
      <c r="E3715" t="s">
        <v>4207</v>
      </c>
      <c r="F3715" t="s">
        <v>35</v>
      </c>
      <c r="G3715" t="s">
        <v>35</v>
      </c>
      <c r="H3715" t="s">
        <v>35</v>
      </c>
      <c r="J3715" t="s">
        <v>1389</v>
      </c>
      <c r="K3715" t="s">
        <v>1092</v>
      </c>
      <c r="M3715">
        <v>5.0000000000000001E-3</v>
      </c>
      <c r="N3715">
        <v>2242</v>
      </c>
      <c r="O3715" t="s">
        <v>575</v>
      </c>
      <c r="Q3715" t="s">
        <v>4208</v>
      </c>
      <c r="R3715" t="s">
        <v>4209</v>
      </c>
      <c r="S3715" t="s">
        <v>4210</v>
      </c>
    </row>
    <row r="3716" spans="1:19" x14ac:dyDescent="0.25">
      <c r="A3716" t="s">
        <v>30</v>
      </c>
      <c r="B3716" t="s">
        <v>31</v>
      </c>
      <c r="C3716" t="s">
        <v>32</v>
      </c>
      <c r="D3716" t="s">
        <v>522</v>
      </c>
      <c r="E3716" t="s">
        <v>4207</v>
      </c>
      <c r="F3716" t="s">
        <v>35</v>
      </c>
      <c r="G3716" t="s">
        <v>35</v>
      </c>
      <c r="H3716" t="s">
        <v>35</v>
      </c>
      <c r="J3716" t="s">
        <v>4212</v>
      </c>
      <c r="K3716" t="s">
        <v>1092</v>
      </c>
      <c r="M3716">
        <v>11.025</v>
      </c>
      <c r="N3716">
        <v>27</v>
      </c>
      <c r="O3716" t="s">
        <v>46</v>
      </c>
      <c r="Q3716" t="s">
        <v>1011</v>
      </c>
      <c r="R3716" t="s">
        <v>538</v>
      </c>
      <c r="S3716" t="s">
        <v>539</v>
      </c>
    </row>
    <row r="3717" spans="1:19" x14ac:dyDescent="0.25">
      <c r="A3717" t="s">
        <v>44</v>
      </c>
      <c r="B3717" t="s">
        <v>3</v>
      </c>
      <c r="C3717" t="s">
        <v>32</v>
      </c>
      <c r="D3717" t="s">
        <v>522</v>
      </c>
      <c r="E3717" t="s">
        <v>4207</v>
      </c>
      <c r="F3717" t="s">
        <v>35</v>
      </c>
      <c r="G3717" t="s">
        <v>35</v>
      </c>
      <c r="H3717" t="s">
        <v>35</v>
      </c>
      <c r="J3717" t="s">
        <v>4213</v>
      </c>
      <c r="K3717" t="s">
        <v>1092</v>
      </c>
      <c r="M3717">
        <v>0.75</v>
      </c>
      <c r="N3717">
        <v>466</v>
      </c>
      <c r="O3717" t="s">
        <v>294</v>
      </c>
      <c r="Q3717" t="s">
        <v>1114</v>
      </c>
      <c r="R3717" t="s">
        <v>3997</v>
      </c>
      <c r="S3717" t="s">
        <v>3998</v>
      </c>
    </row>
    <row r="3718" spans="1:19" x14ac:dyDescent="0.25">
      <c r="A3718" t="s">
        <v>30</v>
      </c>
      <c r="B3718" t="s">
        <v>31</v>
      </c>
      <c r="C3718" t="s">
        <v>32</v>
      </c>
      <c r="D3718" t="s">
        <v>522</v>
      </c>
      <c r="E3718" t="s">
        <v>4207</v>
      </c>
      <c r="F3718" t="s">
        <v>35</v>
      </c>
      <c r="G3718" t="s">
        <v>35</v>
      </c>
      <c r="H3718" t="s">
        <v>35</v>
      </c>
      <c r="J3718" t="s">
        <v>4214</v>
      </c>
      <c r="K3718" t="s">
        <v>1092</v>
      </c>
      <c r="M3718">
        <v>11.025</v>
      </c>
      <c r="N3718">
        <v>94</v>
      </c>
      <c r="O3718" t="s">
        <v>106</v>
      </c>
      <c r="Q3718" t="s">
        <v>394</v>
      </c>
      <c r="R3718" t="s">
        <v>538</v>
      </c>
      <c r="S3718" t="s">
        <v>539</v>
      </c>
    </row>
    <row r="3719" spans="1:19" x14ac:dyDescent="0.25">
      <c r="A3719" t="s">
        <v>30</v>
      </c>
      <c r="B3719" t="s">
        <v>31</v>
      </c>
      <c r="C3719" t="s">
        <v>32</v>
      </c>
      <c r="D3719" t="s">
        <v>522</v>
      </c>
      <c r="E3719" t="s">
        <v>4207</v>
      </c>
      <c r="F3719" t="s">
        <v>35</v>
      </c>
      <c r="G3719" t="s">
        <v>35</v>
      </c>
      <c r="H3719" t="s">
        <v>35</v>
      </c>
      <c r="J3719" t="s">
        <v>4214</v>
      </c>
      <c r="K3719" t="s">
        <v>1092</v>
      </c>
      <c r="M3719">
        <v>0.315</v>
      </c>
      <c r="N3719">
        <v>198</v>
      </c>
      <c r="O3719" t="s">
        <v>5</v>
      </c>
      <c r="Q3719" t="s">
        <v>4086</v>
      </c>
      <c r="R3719" t="s">
        <v>538</v>
      </c>
      <c r="S3719" t="s">
        <v>539</v>
      </c>
    </row>
    <row r="3720" spans="1:19" x14ac:dyDescent="0.25">
      <c r="A3720" t="s">
        <v>59</v>
      </c>
      <c r="B3720" t="s">
        <v>31</v>
      </c>
      <c r="C3720" t="s">
        <v>32</v>
      </c>
      <c r="D3720" t="s">
        <v>522</v>
      </c>
      <c r="E3720" t="s">
        <v>4207</v>
      </c>
      <c r="F3720" t="s">
        <v>35</v>
      </c>
      <c r="G3720" t="s">
        <v>35</v>
      </c>
      <c r="H3720" t="s">
        <v>35</v>
      </c>
      <c r="J3720" t="s">
        <v>4214</v>
      </c>
      <c r="K3720" t="s">
        <v>1092</v>
      </c>
      <c r="M3720">
        <v>1.71</v>
      </c>
      <c r="N3720">
        <v>132</v>
      </c>
      <c r="O3720" t="s">
        <v>38</v>
      </c>
      <c r="Q3720" t="s">
        <v>2901</v>
      </c>
      <c r="R3720" t="s">
        <v>538</v>
      </c>
      <c r="S3720" t="s">
        <v>539</v>
      </c>
    </row>
    <row r="3721" spans="1:19" x14ac:dyDescent="0.25">
      <c r="A3721" t="s">
        <v>30</v>
      </c>
      <c r="B3721" t="s">
        <v>31</v>
      </c>
      <c r="C3721" t="s">
        <v>32</v>
      </c>
      <c r="D3721" t="s">
        <v>522</v>
      </c>
      <c r="E3721" t="s">
        <v>4207</v>
      </c>
      <c r="F3721" t="s">
        <v>35</v>
      </c>
      <c r="G3721" t="s">
        <v>35</v>
      </c>
      <c r="H3721" t="s">
        <v>35</v>
      </c>
      <c r="J3721" t="s">
        <v>4214</v>
      </c>
      <c r="K3721" t="s">
        <v>1092</v>
      </c>
      <c r="M3721">
        <v>11.025</v>
      </c>
      <c r="N3721">
        <v>133</v>
      </c>
      <c r="O3721" t="s">
        <v>38</v>
      </c>
      <c r="Q3721" t="s">
        <v>68</v>
      </c>
      <c r="R3721" t="s">
        <v>538</v>
      </c>
      <c r="S3721" t="s">
        <v>539</v>
      </c>
    </row>
    <row r="3722" spans="1:19" x14ac:dyDescent="0.25">
      <c r="A3722" t="s">
        <v>30</v>
      </c>
      <c r="B3722" t="s">
        <v>31</v>
      </c>
      <c r="C3722" t="s">
        <v>32</v>
      </c>
      <c r="D3722" t="s">
        <v>522</v>
      </c>
      <c r="E3722" t="s">
        <v>4207</v>
      </c>
      <c r="F3722" t="s">
        <v>35</v>
      </c>
      <c r="G3722" t="s">
        <v>35</v>
      </c>
      <c r="H3722" t="s">
        <v>35</v>
      </c>
      <c r="J3722" t="s">
        <v>4214</v>
      </c>
      <c r="K3722" t="s">
        <v>1092</v>
      </c>
      <c r="M3722">
        <v>22.05</v>
      </c>
      <c r="N3722">
        <v>71</v>
      </c>
      <c r="O3722" t="s">
        <v>61</v>
      </c>
      <c r="Q3722" t="s">
        <v>102</v>
      </c>
      <c r="R3722" t="s">
        <v>538</v>
      </c>
      <c r="S3722" t="s">
        <v>539</v>
      </c>
    </row>
    <row r="3723" spans="1:19" x14ac:dyDescent="0.25">
      <c r="A3723" t="s">
        <v>30</v>
      </c>
      <c r="B3723" t="s">
        <v>31</v>
      </c>
      <c r="C3723" t="s">
        <v>32</v>
      </c>
      <c r="D3723" t="s">
        <v>522</v>
      </c>
      <c r="E3723" t="s">
        <v>4207</v>
      </c>
      <c r="F3723" t="s">
        <v>35</v>
      </c>
      <c r="G3723" t="s">
        <v>35</v>
      </c>
      <c r="H3723" t="s">
        <v>35</v>
      </c>
      <c r="J3723" t="s">
        <v>4215</v>
      </c>
      <c r="K3723" t="s">
        <v>1092</v>
      </c>
      <c r="M3723">
        <v>11.025</v>
      </c>
      <c r="N3723">
        <v>68</v>
      </c>
      <c r="O3723" t="s">
        <v>61</v>
      </c>
      <c r="Q3723" t="s">
        <v>146</v>
      </c>
      <c r="R3723" t="s">
        <v>538</v>
      </c>
      <c r="S3723" t="s">
        <v>539</v>
      </c>
    </row>
    <row r="3724" spans="1:19" x14ac:dyDescent="0.25">
      <c r="A3724" t="s">
        <v>30</v>
      </c>
      <c r="B3724" t="s">
        <v>31</v>
      </c>
      <c r="C3724" t="s">
        <v>32</v>
      </c>
      <c r="D3724" t="s">
        <v>522</v>
      </c>
      <c r="E3724" t="s">
        <v>4207</v>
      </c>
      <c r="F3724" t="s">
        <v>35</v>
      </c>
      <c r="G3724" t="s">
        <v>35</v>
      </c>
      <c r="H3724" t="s">
        <v>35</v>
      </c>
      <c r="J3724" t="s">
        <v>4215</v>
      </c>
      <c r="K3724" t="s">
        <v>1092</v>
      </c>
      <c r="M3724">
        <v>4.5449999999999999</v>
      </c>
      <c r="N3724">
        <v>171</v>
      </c>
      <c r="O3724" t="s">
        <v>38</v>
      </c>
      <c r="Q3724" t="s">
        <v>3930</v>
      </c>
      <c r="R3724" t="s">
        <v>548</v>
      </c>
      <c r="S3724" t="s">
        <v>524</v>
      </c>
    </row>
    <row r="3725" spans="1:19" x14ac:dyDescent="0.25">
      <c r="A3725" t="s">
        <v>30</v>
      </c>
      <c r="B3725" t="s">
        <v>31</v>
      </c>
      <c r="C3725" t="s">
        <v>32</v>
      </c>
      <c r="D3725" t="s">
        <v>522</v>
      </c>
      <c r="E3725" t="s">
        <v>4207</v>
      </c>
      <c r="F3725" t="s">
        <v>35</v>
      </c>
      <c r="G3725" t="s">
        <v>35</v>
      </c>
      <c r="H3725" t="s">
        <v>35</v>
      </c>
      <c r="J3725" t="s">
        <v>4215</v>
      </c>
      <c r="K3725" t="s">
        <v>1092</v>
      </c>
      <c r="M3725">
        <v>22.05</v>
      </c>
      <c r="N3725">
        <v>49</v>
      </c>
      <c r="O3725" t="s">
        <v>52</v>
      </c>
      <c r="Q3725" t="s">
        <v>219</v>
      </c>
      <c r="R3725" t="s">
        <v>538</v>
      </c>
      <c r="S3725" t="s">
        <v>539</v>
      </c>
    </row>
    <row r="3726" spans="1:19" x14ac:dyDescent="0.25">
      <c r="A3726" t="s">
        <v>59</v>
      </c>
      <c r="B3726" t="s">
        <v>60</v>
      </c>
      <c r="C3726" t="s">
        <v>32</v>
      </c>
      <c r="D3726" t="s">
        <v>522</v>
      </c>
      <c r="E3726" t="s">
        <v>4207</v>
      </c>
      <c r="F3726" t="s">
        <v>35</v>
      </c>
      <c r="G3726" t="s">
        <v>35</v>
      </c>
      <c r="H3726" t="s">
        <v>35</v>
      </c>
      <c r="J3726" t="s">
        <v>4216</v>
      </c>
      <c r="K3726" t="s">
        <v>1092</v>
      </c>
      <c r="M3726">
        <v>0.8</v>
      </c>
      <c r="N3726">
        <v>131</v>
      </c>
      <c r="O3726" t="s">
        <v>38</v>
      </c>
      <c r="Q3726" t="s">
        <v>646</v>
      </c>
      <c r="R3726" t="s">
        <v>548</v>
      </c>
      <c r="S3726" t="s">
        <v>524</v>
      </c>
    </row>
    <row r="3727" spans="1:19" x14ac:dyDescent="0.25">
      <c r="A3727" t="s">
        <v>30</v>
      </c>
      <c r="B3727" t="s">
        <v>31</v>
      </c>
      <c r="C3727" t="s">
        <v>32</v>
      </c>
      <c r="D3727" t="s">
        <v>522</v>
      </c>
      <c r="E3727" t="s">
        <v>4207</v>
      </c>
      <c r="F3727" t="s">
        <v>35</v>
      </c>
      <c r="G3727" t="s">
        <v>35</v>
      </c>
      <c r="H3727" t="s">
        <v>35</v>
      </c>
      <c r="J3727" t="s">
        <v>4217</v>
      </c>
      <c r="K3727" t="s">
        <v>1092</v>
      </c>
      <c r="M3727">
        <v>0.495</v>
      </c>
      <c r="N3727">
        <v>216</v>
      </c>
      <c r="O3727" t="s">
        <v>5</v>
      </c>
      <c r="Q3727" t="s">
        <v>1492</v>
      </c>
      <c r="R3727" t="s">
        <v>548</v>
      </c>
      <c r="S3727" t="s">
        <v>524</v>
      </c>
    </row>
    <row r="3728" spans="1:19" x14ac:dyDescent="0.25">
      <c r="A3728" t="s">
        <v>59</v>
      </c>
      <c r="B3728" t="s">
        <v>31</v>
      </c>
      <c r="C3728" t="s">
        <v>32</v>
      </c>
      <c r="D3728" t="s">
        <v>522</v>
      </c>
      <c r="E3728" t="s">
        <v>4207</v>
      </c>
      <c r="F3728" t="s">
        <v>35</v>
      </c>
      <c r="G3728" t="s">
        <v>35</v>
      </c>
      <c r="H3728" t="s">
        <v>35</v>
      </c>
      <c r="J3728" t="s">
        <v>4218</v>
      </c>
      <c r="K3728" t="s">
        <v>1092</v>
      </c>
      <c r="M3728">
        <v>6.75</v>
      </c>
      <c r="N3728">
        <v>131</v>
      </c>
      <c r="O3728" t="s">
        <v>38</v>
      </c>
      <c r="Q3728" t="s">
        <v>646</v>
      </c>
      <c r="R3728" t="s">
        <v>548</v>
      </c>
      <c r="S3728" t="s">
        <v>524</v>
      </c>
    </row>
    <row r="3729" spans="1:19" x14ac:dyDescent="0.25">
      <c r="A3729" t="s">
        <v>59</v>
      </c>
      <c r="B3729" t="s">
        <v>60</v>
      </c>
      <c r="C3729" t="s">
        <v>32</v>
      </c>
      <c r="D3729" t="s">
        <v>522</v>
      </c>
      <c r="E3729" t="s">
        <v>4207</v>
      </c>
      <c r="F3729" t="s">
        <v>35</v>
      </c>
      <c r="G3729" t="s">
        <v>35</v>
      </c>
      <c r="H3729" t="s">
        <v>35</v>
      </c>
      <c r="J3729" t="s">
        <v>4218</v>
      </c>
      <c r="K3729" t="s">
        <v>1092</v>
      </c>
      <c r="M3729">
        <v>1.4</v>
      </c>
      <c r="N3729">
        <v>164</v>
      </c>
      <c r="O3729" t="s">
        <v>38</v>
      </c>
      <c r="Q3729" t="s">
        <v>1587</v>
      </c>
      <c r="R3729" t="s">
        <v>548</v>
      </c>
      <c r="S3729" t="s">
        <v>524</v>
      </c>
    </row>
    <row r="3730" spans="1:19" x14ac:dyDescent="0.25">
      <c r="A3730" t="s">
        <v>30</v>
      </c>
      <c r="B3730" t="s">
        <v>31</v>
      </c>
      <c r="C3730" t="s">
        <v>32</v>
      </c>
      <c r="D3730" t="s">
        <v>522</v>
      </c>
      <c r="E3730" t="s">
        <v>4207</v>
      </c>
      <c r="F3730" t="s">
        <v>35</v>
      </c>
      <c r="G3730" t="s">
        <v>35</v>
      </c>
      <c r="H3730" t="s">
        <v>35</v>
      </c>
      <c r="J3730" t="s">
        <v>1945</v>
      </c>
      <c r="K3730" t="s">
        <v>1092</v>
      </c>
      <c r="M3730">
        <v>7.67</v>
      </c>
      <c r="N3730">
        <v>111</v>
      </c>
      <c r="O3730" t="s">
        <v>106</v>
      </c>
      <c r="Q3730" t="s">
        <v>4219</v>
      </c>
      <c r="R3730" t="s">
        <v>538</v>
      </c>
      <c r="S3730" t="s">
        <v>539</v>
      </c>
    </row>
    <row r="3731" spans="1:19" x14ac:dyDescent="0.25">
      <c r="A3731" t="s">
        <v>30</v>
      </c>
      <c r="B3731" t="s">
        <v>31</v>
      </c>
      <c r="C3731" t="s">
        <v>32</v>
      </c>
      <c r="D3731" t="s">
        <v>522</v>
      </c>
      <c r="E3731" t="s">
        <v>4207</v>
      </c>
      <c r="F3731" t="s">
        <v>35</v>
      </c>
      <c r="G3731" t="s">
        <v>35</v>
      </c>
      <c r="H3731" t="s">
        <v>35</v>
      </c>
      <c r="J3731" t="s">
        <v>4220</v>
      </c>
      <c r="K3731" t="s">
        <v>1092</v>
      </c>
      <c r="M3731">
        <v>3.51</v>
      </c>
      <c r="N3731">
        <v>49</v>
      </c>
      <c r="O3731" t="s">
        <v>52</v>
      </c>
      <c r="Q3731" t="s">
        <v>219</v>
      </c>
      <c r="R3731" t="s">
        <v>538</v>
      </c>
      <c r="S3731" t="s">
        <v>539</v>
      </c>
    </row>
    <row r="3732" spans="1:19" x14ac:dyDescent="0.25">
      <c r="A3732" t="s">
        <v>44</v>
      </c>
      <c r="B3732" t="s">
        <v>51</v>
      </c>
      <c r="C3732" t="s">
        <v>32</v>
      </c>
      <c r="D3732" t="s">
        <v>522</v>
      </c>
      <c r="E3732" t="s">
        <v>4207</v>
      </c>
      <c r="F3732" t="s">
        <v>35</v>
      </c>
      <c r="G3732" t="s">
        <v>35</v>
      </c>
      <c r="H3732" t="s">
        <v>35</v>
      </c>
      <c r="J3732" t="s">
        <v>4222</v>
      </c>
      <c r="K3732" t="s">
        <v>1092</v>
      </c>
      <c r="M3732">
        <v>1</v>
      </c>
      <c r="N3732">
        <v>36</v>
      </c>
      <c r="O3732" t="s">
        <v>52</v>
      </c>
      <c r="Q3732" t="s">
        <v>2005</v>
      </c>
      <c r="R3732" t="s">
        <v>4122</v>
      </c>
      <c r="S3732" t="s">
        <v>549</v>
      </c>
    </row>
    <row r="3733" spans="1:19" x14ac:dyDescent="0.25">
      <c r="A3733" t="s">
        <v>59</v>
      </c>
      <c r="B3733" t="s">
        <v>60</v>
      </c>
      <c r="C3733" t="s">
        <v>32</v>
      </c>
      <c r="D3733" t="s">
        <v>522</v>
      </c>
      <c r="E3733" t="s">
        <v>4207</v>
      </c>
      <c r="F3733" t="s">
        <v>35</v>
      </c>
      <c r="G3733" t="s">
        <v>35</v>
      </c>
      <c r="H3733" t="s">
        <v>35</v>
      </c>
      <c r="J3733" t="s">
        <v>4223</v>
      </c>
      <c r="K3733" t="s">
        <v>1092</v>
      </c>
      <c r="M3733">
        <v>8.9499999999999993</v>
      </c>
      <c r="N3733">
        <v>140</v>
      </c>
      <c r="O3733" t="s">
        <v>38</v>
      </c>
      <c r="Q3733" t="s">
        <v>609</v>
      </c>
      <c r="R3733" t="s">
        <v>548</v>
      </c>
      <c r="S3733" t="s">
        <v>524</v>
      </c>
    </row>
    <row r="3734" spans="1:19" x14ac:dyDescent="0.25">
      <c r="A3734" t="s">
        <v>59</v>
      </c>
      <c r="B3734" t="s">
        <v>31</v>
      </c>
      <c r="C3734" t="s">
        <v>32</v>
      </c>
      <c r="D3734" t="s">
        <v>522</v>
      </c>
      <c r="E3734" t="s">
        <v>4207</v>
      </c>
      <c r="F3734" t="s">
        <v>35</v>
      </c>
      <c r="G3734" t="s">
        <v>35</v>
      </c>
      <c r="H3734" t="s">
        <v>35</v>
      </c>
      <c r="J3734" t="s">
        <v>4224</v>
      </c>
      <c r="K3734" t="s">
        <v>1092</v>
      </c>
      <c r="M3734">
        <v>1.62</v>
      </c>
      <c r="N3734">
        <v>140</v>
      </c>
      <c r="O3734" t="s">
        <v>38</v>
      </c>
      <c r="Q3734" t="s">
        <v>609</v>
      </c>
      <c r="R3734" t="s">
        <v>548</v>
      </c>
      <c r="S3734" t="s">
        <v>524</v>
      </c>
    </row>
    <row r="3735" spans="1:19" x14ac:dyDescent="0.25">
      <c r="A3735" t="s">
        <v>30</v>
      </c>
      <c r="B3735" t="s">
        <v>31</v>
      </c>
      <c r="C3735" t="s">
        <v>32</v>
      </c>
      <c r="D3735" t="s">
        <v>522</v>
      </c>
      <c r="E3735" t="s">
        <v>4207</v>
      </c>
      <c r="F3735" t="s">
        <v>35</v>
      </c>
      <c r="G3735" t="s">
        <v>35</v>
      </c>
      <c r="H3735" t="s">
        <v>35</v>
      </c>
      <c r="J3735" t="s">
        <v>4224</v>
      </c>
      <c r="K3735" t="s">
        <v>1092</v>
      </c>
      <c r="M3735">
        <v>5.94</v>
      </c>
      <c r="N3735">
        <v>97</v>
      </c>
      <c r="O3735" t="s">
        <v>106</v>
      </c>
      <c r="Q3735" t="s">
        <v>557</v>
      </c>
      <c r="R3735" t="s">
        <v>548</v>
      </c>
      <c r="S3735" t="s">
        <v>524</v>
      </c>
    </row>
    <row r="3736" spans="1:19" x14ac:dyDescent="0.25">
      <c r="A3736" t="s">
        <v>59</v>
      </c>
      <c r="B3736" t="s">
        <v>31</v>
      </c>
      <c r="C3736" t="s">
        <v>32</v>
      </c>
      <c r="D3736" t="s">
        <v>522</v>
      </c>
      <c r="E3736" t="s">
        <v>4207</v>
      </c>
      <c r="F3736" t="s">
        <v>35</v>
      </c>
      <c r="G3736" t="s">
        <v>35</v>
      </c>
      <c r="H3736" t="s">
        <v>35</v>
      </c>
      <c r="J3736" t="s">
        <v>4224</v>
      </c>
      <c r="K3736" t="s">
        <v>1092</v>
      </c>
      <c r="M3736">
        <v>11.25</v>
      </c>
      <c r="N3736">
        <v>131</v>
      </c>
      <c r="O3736" t="s">
        <v>38</v>
      </c>
      <c r="Q3736" t="s">
        <v>646</v>
      </c>
      <c r="R3736" t="s">
        <v>548</v>
      </c>
      <c r="S3736" t="s">
        <v>524</v>
      </c>
    </row>
    <row r="3737" spans="1:19" x14ac:dyDescent="0.25">
      <c r="A3737" t="s">
        <v>30</v>
      </c>
      <c r="B3737" t="s">
        <v>31</v>
      </c>
      <c r="C3737" t="s">
        <v>32</v>
      </c>
      <c r="D3737" t="s">
        <v>522</v>
      </c>
      <c r="E3737" t="s">
        <v>4207</v>
      </c>
      <c r="F3737" t="s">
        <v>35</v>
      </c>
      <c r="G3737" t="s">
        <v>35</v>
      </c>
      <c r="H3737" t="s">
        <v>35</v>
      </c>
      <c r="J3737" t="s">
        <v>4224</v>
      </c>
      <c r="K3737" t="s">
        <v>1092</v>
      </c>
      <c r="M3737">
        <v>22.05</v>
      </c>
      <c r="N3737">
        <v>49</v>
      </c>
      <c r="O3737" t="s">
        <v>52</v>
      </c>
      <c r="Q3737" t="s">
        <v>219</v>
      </c>
      <c r="R3737" t="s">
        <v>538</v>
      </c>
      <c r="S3737" t="s">
        <v>539</v>
      </c>
    </row>
    <row r="3738" spans="1:19" x14ac:dyDescent="0.25">
      <c r="A3738" t="s">
        <v>59</v>
      </c>
      <c r="B3738" t="s">
        <v>31</v>
      </c>
      <c r="C3738" t="s">
        <v>32</v>
      </c>
      <c r="D3738" t="s">
        <v>522</v>
      </c>
      <c r="E3738" t="s">
        <v>4207</v>
      </c>
      <c r="F3738" t="s">
        <v>35</v>
      </c>
      <c r="G3738" t="s">
        <v>35</v>
      </c>
      <c r="H3738" t="s">
        <v>35</v>
      </c>
      <c r="J3738" t="s">
        <v>4225</v>
      </c>
      <c r="K3738" t="s">
        <v>1092</v>
      </c>
      <c r="M3738">
        <v>11.025</v>
      </c>
      <c r="N3738">
        <v>107</v>
      </c>
      <c r="O3738" t="s">
        <v>106</v>
      </c>
      <c r="Q3738" t="s">
        <v>1621</v>
      </c>
      <c r="R3738" t="s">
        <v>548</v>
      </c>
      <c r="S3738" t="s">
        <v>524</v>
      </c>
    </row>
    <row r="3739" spans="1:19" x14ac:dyDescent="0.25">
      <c r="A3739" t="s">
        <v>30</v>
      </c>
      <c r="B3739" t="s">
        <v>31</v>
      </c>
      <c r="C3739" t="s">
        <v>32</v>
      </c>
      <c r="D3739" t="s">
        <v>522</v>
      </c>
      <c r="E3739" t="s">
        <v>4207</v>
      </c>
      <c r="F3739" t="s">
        <v>35</v>
      </c>
      <c r="G3739" t="s">
        <v>35</v>
      </c>
      <c r="H3739" t="s">
        <v>35</v>
      </c>
      <c r="J3739" t="s">
        <v>4226</v>
      </c>
      <c r="K3739" t="s">
        <v>1092</v>
      </c>
      <c r="M3739">
        <v>5.94</v>
      </c>
      <c r="N3739">
        <v>133</v>
      </c>
      <c r="O3739" t="s">
        <v>38</v>
      </c>
      <c r="Q3739" t="s">
        <v>68</v>
      </c>
      <c r="R3739" t="s">
        <v>538</v>
      </c>
      <c r="S3739" t="s">
        <v>539</v>
      </c>
    </row>
    <row r="3740" spans="1:19" x14ac:dyDescent="0.25">
      <c r="A3740" t="s">
        <v>30</v>
      </c>
      <c r="B3740" t="s">
        <v>31</v>
      </c>
      <c r="C3740" t="s">
        <v>32</v>
      </c>
      <c r="D3740" t="s">
        <v>522</v>
      </c>
      <c r="E3740" t="s">
        <v>4207</v>
      </c>
      <c r="F3740" t="s">
        <v>35</v>
      </c>
      <c r="G3740" t="s">
        <v>35</v>
      </c>
      <c r="H3740" t="s">
        <v>35</v>
      </c>
      <c r="J3740" t="s">
        <v>4227</v>
      </c>
      <c r="K3740" t="s">
        <v>1092</v>
      </c>
      <c r="M3740">
        <v>18.405000000000001</v>
      </c>
      <c r="N3740">
        <v>49</v>
      </c>
      <c r="O3740" t="s">
        <v>52</v>
      </c>
      <c r="Q3740" t="s">
        <v>219</v>
      </c>
      <c r="R3740" t="s">
        <v>538</v>
      </c>
      <c r="S3740" t="s">
        <v>539</v>
      </c>
    </row>
    <row r="3741" spans="1:19" x14ac:dyDescent="0.25">
      <c r="A3741" t="s">
        <v>44</v>
      </c>
      <c r="B3741" t="s">
        <v>51</v>
      </c>
      <c r="C3741" t="s">
        <v>32</v>
      </c>
      <c r="D3741" t="s">
        <v>522</v>
      </c>
      <c r="E3741" t="s">
        <v>4207</v>
      </c>
      <c r="F3741" t="s">
        <v>35</v>
      </c>
      <c r="G3741" t="s">
        <v>35</v>
      </c>
      <c r="H3741" t="s">
        <v>35</v>
      </c>
      <c r="J3741" t="s">
        <v>4228</v>
      </c>
      <c r="K3741" t="s">
        <v>1092</v>
      </c>
      <c r="M3741">
        <v>1</v>
      </c>
      <c r="N3741">
        <v>36</v>
      </c>
      <c r="O3741" t="s">
        <v>52</v>
      </c>
      <c r="Q3741" t="s">
        <v>2005</v>
      </c>
      <c r="R3741" t="s">
        <v>4122</v>
      </c>
      <c r="S3741" t="s">
        <v>549</v>
      </c>
    </row>
    <row r="3742" spans="1:19" x14ac:dyDescent="0.25">
      <c r="A3742" t="s">
        <v>59</v>
      </c>
      <c r="B3742" t="s">
        <v>60</v>
      </c>
      <c r="C3742" t="s">
        <v>32</v>
      </c>
      <c r="D3742" t="s">
        <v>522</v>
      </c>
      <c r="E3742" t="s">
        <v>4207</v>
      </c>
      <c r="F3742" t="s">
        <v>35</v>
      </c>
      <c r="G3742" t="s">
        <v>35</v>
      </c>
      <c r="H3742" t="s">
        <v>35</v>
      </c>
      <c r="J3742" t="s">
        <v>4230</v>
      </c>
      <c r="K3742" t="s">
        <v>1092</v>
      </c>
      <c r="M3742">
        <v>3.95</v>
      </c>
      <c r="N3742">
        <v>163</v>
      </c>
      <c r="O3742" t="s">
        <v>38</v>
      </c>
      <c r="Q3742" t="s">
        <v>1632</v>
      </c>
      <c r="R3742" t="s">
        <v>559</v>
      </c>
      <c r="S3742" t="s">
        <v>554</v>
      </c>
    </row>
    <row r="3743" spans="1:19" x14ac:dyDescent="0.25">
      <c r="A3743" t="s">
        <v>30</v>
      </c>
      <c r="B3743" t="s">
        <v>31</v>
      </c>
      <c r="C3743" t="s">
        <v>32</v>
      </c>
      <c r="D3743" t="s">
        <v>522</v>
      </c>
      <c r="E3743" t="s">
        <v>4207</v>
      </c>
      <c r="F3743" t="s">
        <v>35</v>
      </c>
      <c r="G3743" t="s">
        <v>35</v>
      </c>
      <c r="H3743" t="s">
        <v>35</v>
      </c>
      <c r="J3743" t="s">
        <v>4231</v>
      </c>
      <c r="K3743" t="s">
        <v>1092</v>
      </c>
      <c r="M3743">
        <v>6.3</v>
      </c>
      <c r="N3743">
        <v>49</v>
      </c>
      <c r="O3743" t="s">
        <v>52</v>
      </c>
      <c r="Q3743" t="s">
        <v>219</v>
      </c>
      <c r="R3743" t="s">
        <v>538</v>
      </c>
      <c r="S3743" t="s">
        <v>539</v>
      </c>
    </row>
    <row r="3744" spans="1:19" x14ac:dyDescent="0.25">
      <c r="A3744" t="s">
        <v>59</v>
      </c>
      <c r="B3744" t="s">
        <v>60</v>
      </c>
      <c r="C3744" t="s">
        <v>32</v>
      </c>
      <c r="D3744" t="s">
        <v>522</v>
      </c>
      <c r="E3744" t="s">
        <v>4207</v>
      </c>
      <c r="F3744" t="s">
        <v>35</v>
      </c>
      <c r="G3744" t="s">
        <v>35</v>
      </c>
      <c r="H3744" t="s">
        <v>35</v>
      </c>
      <c r="J3744" t="s">
        <v>4232</v>
      </c>
      <c r="K3744" t="s">
        <v>1092</v>
      </c>
      <c r="M3744">
        <v>5.35</v>
      </c>
      <c r="N3744">
        <v>164</v>
      </c>
      <c r="O3744" t="s">
        <v>38</v>
      </c>
      <c r="Q3744" t="s">
        <v>1587</v>
      </c>
      <c r="R3744" t="s">
        <v>548</v>
      </c>
      <c r="S3744" t="s">
        <v>524</v>
      </c>
    </row>
    <row r="3745" spans="1:19" x14ac:dyDescent="0.25">
      <c r="A3745" t="s">
        <v>30</v>
      </c>
      <c r="B3745" t="s">
        <v>31</v>
      </c>
      <c r="C3745" t="s">
        <v>32</v>
      </c>
      <c r="D3745" t="s">
        <v>522</v>
      </c>
      <c r="E3745" t="s">
        <v>4207</v>
      </c>
      <c r="F3745" t="s">
        <v>35</v>
      </c>
      <c r="G3745" t="s">
        <v>35</v>
      </c>
      <c r="H3745" t="s">
        <v>35</v>
      </c>
      <c r="J3745" t="s">
        <v>3998</v>
      </c>
      <c r="K3745" t="s">
        <v>1092</v>
      </c>
      <c r="M3745">
        <v>0.45</v>
      </c>
      <c r="N3745">
        <v>49</v>
      </c>
      <c r="O3745" t="s">
        <v>52</v>
      </c>
      <c r="Q3745" t="s">
        <v>219</v>
      </c>
      <c r="R3745" t="s">
        <v>538</v>
      </c>
      <c r="S3745" t="s">
        <v>539</v>
      </c>
    </row>
    <row r="3746" spans="1:19" x14ac:dyDescent="0.25">
      <c r="A3746" t="s">
        <v>59</v>
      </c>
      <c r="B3746" t="s">
        <v>60</v>
      </c>
      <c r="C3746" t="s">
        <v>32</v>
      </c>
      <c r="D3746" t="s">
        <v>522</v>
      </c>
      <c r="E3746" t="s">
        <v>4207</v>
      </c>
      <c r="F3746" t="s">
        <v>35</v>
      </c>
      <c r="G3746" t="s">
        <v>35</v>
      </c>
      <c r="H3746" t="s">
        <v>35</v>
      </c>
      <c r="J3746" t="s">
        <v>3998</v>
      </c>
      <c r="K3746" t="s">
        <v>1092</v>
      </c>
      <c r="M3746">
        <v>5.75</v>
      </c>
      <c r="N3746">
        <v>214</v>
      </c>
      <c r="O3746" t="s">
        <v>5</v>
      </c>
      <c r="Q3746" t="s">
        <v>537</v>
      </c>
      <c r="R3746" t="s">
        <v>538</v>
      </c>
      <c r="S3746" t="s">
        <v>539</v>
      </c>
    </row>
    <row r="3747" spans="1:19" x14ac:dyDescent="0.25">
      <c r="A3747" t="s">
        <v>30</v>
      </c>
      <c r="B3747" t="s">
        <v>31</v>
      </c>
      <c r="C3747" t="s">
        <v>32</v>
      </c>
      <c r="D3747" t="s">
        <v>522</v>
      </c>
      <c r="E3747" t="s">
        <v>4207</v>
      </c>
      <c r="F3747" t="s">
        <v>35</v>
      </c>
      <c r="G3747" t="s">
        <v>35</v>
      </c>
      <c r="H3747" t="s">
        <v>35</v>
      </c>
      <c r="J3747" t="s">
        <v>4233</v>
      </c>
      <c r="K3747" t="s">
        <v>1092</v>
      </c>
      <c r="M3747">
        <v>0.495</v>
      </c>
      <c r="N3747">
        <v>71</v>
      </c>
      <c r="O3747" t="s">
        <v>61</v>
      </c>
      <c r="Q3747" t="s">
        <v>102</v>
      </c>
      <c r="R3747" t="s">
        <v>538</v>
      </c>
      <c r="S3747" t="s">
        <v>539</v>
      </c>
    </row>
    <row r="3748" spans="1:19" x14ac:dyDescent="0.25">
      <c r="A3748" t="s">
        <v>30</v>
      </c>
      <c r="B3748" t="s">
        <v>31</v>
      </c>
      <c r="C3748" t="s">
        <v>32</v>
      </c>
      <c r="D3748" t="s">
        <v>522</v>
      </c>
      <c r="E3748" t="s">
        <v>4207</v>
      </c>
      <c r="F3748" t="s">
        <v>35</v>
      </c>
      <c r="G3748" t="s">
        <v>35</v>
      </c>
      <c r="H3748" t="s">
        <v>35</v>
      </c>
      <c r="J3748" t="s">
        <v>4234</v>
      </c>
      <c r="K3748" t="s">
        <v>1092</v>
      </c>
      <c r="M3748">
        <v>1.71</v>
      </c>
      <c r="N3748">
        <v>879</v>
      </c>
      <c r="O3748" t="s">
        <v>575</v>
      </c>
      <c r="Q3748" t="s">
        <v>4148</v>
      </c>
      <c r="R3748" t="s">
        <v>538</v>
      </c>
      <c r="S3748" t="s">
        <v>539</v>
      </c>
    </row>
    <row r="3749" spans="1:19" x14ac:dyDescent="0.25">
      <c r="A3749" t="s">
        <v>30</v>
      </c>
      <c r="B3749" t="s">
        <v>31</v>
      </c>
      <c r="C3749" t="s">
        <v>32</v>
      </c>
      <c r="D3749" t="s">
        <v>522</v>
      </c>
      <c r="E3749" t="s">
        <v>4207</v>
      </c>
      <c r="F3749" t="s">
        <v>35</v>
      </c>
      <c r="G3749" t="s">
        <v>35</v>
      </c>
      <c r="H3749" t="s">
        <v>35</v>
      </c>
      <c r="J3749" t="s">
        <v>4234</v>
      </c>
      <c r="K3749" t="s">
        <v>1092</v>
      </c>
      <c r="M3749">
        <v>11.25</v>
      </c>
      <c r="N3749">
        <v>131</v>
      </c>
      <c r="O3749" t="s">
        <v>38</v>
      </c>
      <c r="Q3749" t="s">
        <v>646</v>
      </c>
      <c r="R3749" t="s">
        <v>548</v>
      </c>
      <c r="S3749" t="s">
        <v>524</v>
      </c>
    </row>
    <row r="3750" spans="1:19" x14ac:dyDescent="0.25">
      <c r="A3750" t="s">
        <v>30</v>
      </c>
      <c r="B3750" t="s">
        <v>31</v>
      </c>
      <c r="C3750" t="s">
        <v>32</v>
      </c>
      <c r="D3750" t="s">
        <v>522</v>
      </c>
      <c r="E3750" t="s">
        <v>4207</v>
      </c>
      <c r="F3750" t="s">
        <v>35</v>
      </c>
      <c r="G3750" t="s">
        <v>35</v>
      </c>
      <c r="H3750" t="s">
        <v>35</v>
      </c>
      <c r="J3750" t="s">
        <v>4235</v>
      </c>
      <c r="K3750" t="s">
        <v>1092</v>
      </c>
      <c r="M3750">
        <v>4.7249999999999996</v>
      </c>
      <c r="N3750">
        <v>879</v>
      </c>
      <c r="O3750" t="s">
        <v>575</v>
      </c>
      <c r="Q3750" t="s">
        <v>4148</v>
      </c>
      <c r="R3750" t="s">
        <v>538</v>
      </c>
      <c r="S3750" t="s">
        <v>539</v>
      </c>
    </row>
    <row r="3751" spans="1:19" x14ac:dyDescent="0.25">
      <c r="A3751" t="s">
        <v>30</v>
      </c>
      <c r="B3751" t="s">
        <v>31</v>
      </c>
      <c r="C3751" t="s">
        <v>32</v>
      </c>
      <c r="D3751" t="s">
        <v>522</v>
      </c>
      <c r="E3751" t="s">
        <v>4207</v>
      </c>
      <c r="F3751" t="s">
        <v>35</v>
      </c>
      <c r="G3751" t="s">
        <v>35</v>
      </c>
      <c r="H3751" t="s">
        <v>35</v>
      </c>
      <c r="J3751" t="s">
        <v>4236</v>
      </c>
      <c r="K3751" t="s">
        <v>1092</v>
      </c>
      <c r="M3751">
        <v>6.8849999999999998</v>
      </c>
      <c r="N3751">
        <v>45</v>
      </c>
      <c r="O3751" t="s">
        <v>52</v>
      </c>
      <c r="Q3751" t="s">
        <v>716</v>
      </c>
      <c r="R3751" t="s">
        <v>548</v>
      </c>
      <c r="S3751" t="s">
        <v>524</v>
      </c>
    </row>
    <row r="3752" spans="1:19" x14ac:dyDescent="0.25">
      <c r="A3752" t="s">
        <v>59</v>
      </c>
      <c r="B3752" t="s">
        <v>60</v>
      </c>
      <c r="C3752" t="s">
        <v>32</v>
      </c>
      <c r="D3752" t="s">
        <v>522</v>
      </c>
      <c r="E3752" t="s">
        <v>4207</v>
      </c>
      <c r="F3752" t="s">
        <v>35</v>
      </c>
      <c r="G3752" t="s">
        <v>35</v>
      </c>
      <c r="H3752" t="s">
        <v>35</v>
      </c>
      <c r="J3752" t="s">
        <v>4237</v>
      </c>
      <c r="K3752" t="s">
        <v>1092</v>
      </c>
      <c r="M3752">
        <v>0.04</v>
      </c>
      <c r="N3752">
        <v>275</v>
      </c>
      <c r="O3752" t="s">
        <v>5</v>
      </c>
      <c r="Q3752" t="s">
        <v>4238</v>
      </c>
      <c r="R3752" t="s">
        <v>3938</v>
      </c>
      <c r="S3752" t="s">
        <v>3939</v>
      </c>
    </row>
    <row r="3753" spans="1:19" x14ac:dyDescent="0.25">
      <c r="A3753" t="s">
        <v>30</v>
      </c>
      <c r="B3753" t="s">
        <v>31</v>
      </c>
      <c r="C3753" t="s">
        <v>32</v>
      </c>
      <c r="D3753" t="s">
        <v>522</v>
      </c>
      <c r="E3753" t="s">
        <v>4207</v>
      </c>
      <c r="F3753" t="s">
        <v>35</v>
      </c>
      <c r="G3753" t="s">
        <v>35</v>
      </c>
      <c r="H3753" t="s">
        <v>35</v>
      </c>
      <c r="J3753" t="s">
        <v>4239</v>
      </c>
      <c r="K3753" t="s">
        <v>1092</v>
      </c>
      <c r="M3753">
        <v>8.3249999999999993</v>
      </c>
      <c r="N3753">
        <v>49</v>
      </c>
      <c r="O3753" t="s">
        <v>52</v>
      </c>
      <c r="Q3753" t="s">
        <v>219</v>
      </c>
      <c r="R3753" t="s">
        <v>538</v>
      </c>
      <c r="S3753" t="s">
        <v>539</v>
      </c>
    </row>
    <row r="3754" spans="1:19" x14ac:dyDescent="0.25">
      <c r="A3754" t="s">
        <v>30</v>
      </c>
      <c r="B3754" t="s">
        <v>31</v>
      </c>
      <c r="C3754" t="s">
        <v>32</v>
      </c>
      <c r="D3754" t="s">
        <v>522</v>
      </c>
      <c r="E3754" t="s">
        <v>4207</v>
      </c>
      <c r="F3754" t="s">
        <v>35</v>
      </c>
      <c r="G3754" t="s">
        <v>35</v>
      </c>
      <c r="H3754" t="s">
        <v>35</v>
      </c>
      <c r="J3754" t="s">
        <v>4240</v>
      </c>
      <c r="K3754" t="s">
        <v>1092</v>
      </c>
      <c r="M3754">
        <v>6.5250000000000004</v>
      </c>
      <c r="N3754">
        <v>136</v>
      </c>
      <c r="O3754" t="s">
        <v>38</v>
      </c>
      <c r="Q3754" t="s">
        <v>157</v>
      </c>
      <c r="R3754" t="s">
        <v>548</v>
      </c>
      <c r="S3754" t="s">
        <v>524</v>
      </c>
    </row>
    <row r="3755" spans="1:19" x14ac:dyDescent="0.25">
      <c r="A3755" t="s">
        <v>30</v>
      </c>
      <c r="B3755" t="s">
        <v>31</v>
      </c>
      <c r="C3755" t="s">
        <v>32</v>
      </c>
      <c r="D3755" t="s">
        <v>522</v>
      </c>
      <c r="E3755" t="s">
        <v>4207</v>
      </c>
      <c r="F3755" t="s">
        <v>35</v>
      </c>
      <c r="G3755" t="s">
        <v>35</v>
      </c>
      <c r="H3755" t="s">
        <v>35</v>
      </c>
      <c r="J3755" t="s">
        <v>4241</v>
      </c>
      <c r="K3755" t="s">
        <v>1092</v>
      </c>
      <c r="M3755">
        <v>4.5</v>
      </c>
      <c r="N3755">
        <v>131</v>
      </c>
      <c r="O3755" t="s">
        <v>38</v>
      </c>
      <c r="Q3755" t="s">
        <v>646</v>
      </c>
      <c r="R3755" t="s">
        <v>548</v>
      </c>
      <c r="S3755" t="s">
        <v>524</v>
      </c>
    </row>
    <row r="3756" spans="1:19" x14ac:dyDescent="0.25">
      <c r="A3756" t="s">
        <v>30</v>
      </c>
      <c r="B3756" t="s">
        <v>31</v>
      </c>
      <c r="C3756" t="s">
        <v>32</v>
      </c>
      <c r="D3756" t="s">
        <v>522</v>
      </c>
      <c r="E3756" t="s">
        <v>4207</v>
      </c>
      <c r="F3756" t="s">
        <v>35</v>
      </c>
      <c r="G3756" t="s">
        <v>35</v>
      </c>
      <c r="H3756" t="s">
        <v>35</v>
      </c>
      <c r="J3756" t="s">
        <v>4242</v>
      </c>
      <c r="K3756" t="s">
        <v>1092</v>
      </c>
      <c r="M3756">
        <v>11.025</v>
      </c>
      <c r="N3756">
        <v>96</v>
      </c>
      <c r="O3756" t="s">
        <v>106</v>
      </c>
      <c r="Q3756" t="s">
        <v>4243</v>
      </c>
      <c r="R3756" t="s">
        <v>538</v>
      </c>
      <c r="S3756" t="s">
        <v>539</v>
      </c>
    </row>
    <row r="3757" spans="1:19" x14ac:dyDescent="0.25">
      <c r="A3757" t="s">
        <v>30</v>
      </c>
      <c r="B3757" t="s">
        <v>31</v>
      </c>
      <c r="C3757" t="s">
        <v>32</v>
      </c>
      <c r="D3757" t="s">
        <v>522</v>
      </c>
      <c r="E3757" t="s">
        <v>4207</v>
      </c>
      <c r="F3757" t="s">
        <v>35</v>
      </c>
      <c r="G3757" t="s">
        <v>35</v>
      </c>
      <c r="H3757" t="s">
        <v>35</v>
      </c>
      <c r="J3757" t="s">
        <v>4244</v>
      </c>
      <c r="K3757" t="s">
        <v>1092</v>
      </c>
      <c r="M3757">
        <v>6.7050000000000001</v>
      </c>
      <c r="N3757">
        <v>94</v>
      </c>
      <c r="O3757" t="s">
        <v>106</v>
      </c>
      <c r="Q3757" t="s">
        <v>394</v>
      </c>
      <c r="R3757" t="s">
        <v>538</v>
      </c>
      <c r="S3757" t="s">
        <v>539</v>
      </c>
    </row>
    <row r="3758" spans="1:19" x14ac:dyDescent="0.25">
      <c r="A3758" t="s">
        <v>59</v>
      </c>
      <c r="B3758" t="s">
        <v>31</v>
      </c>
      <c r="C3758" t="s">
        <v>32</v>
      </c>
      <c r="D3758" t="s">
        <v>522</v>
      </c>
      <c r="E3758" t="s">
        <v>4207</v>
      </c>
      <c r="F3758" t="s">
        <v>35</v>
      </c>
      <c r="G3758" t="s">
        <v>35</v>
      </c>
      <c r="H3758" t="s">
        <v>35</v>
      </c>
      <c r="J3758" t="s">
        <v>4245</v>
      </c>
      <c r="K3758" t="s">
        <v>1092</v>
      </c>
      <c r="M3758">
        <v>0.09</v>
      </c>
      <c r="N3758">
        <v>131</v>
      </c>
      <c r="O3758" t="s">
        <v>38</v>
      </c>
      <c r="Q3758" t="s">
        <v>646</v>
      </c>
      <c r="R3758" t="s">
        <v>548</v>
      </c>
      <c r="S3758" t="s">
        <v>524</v>
      </c>
    </row>
    <row r="3759" spans="1:19" x14ac:dyDescent="0.25">
      <c r="A3759" t="s">
        <v>30</v>
      </c>
      <c r="B3759" t="s">
        <v>31</v>
      </c>
      <c r="C3759" t="s">
        <v>32</v>
      </c>
      <c r="D3759" t="s">
        <v>522</v>
      </c>
      <c r="E3759" t="s">
        <v>561</v>
      </c>
      <c r="F3759" t="s">
        <v>35</v>
      </c>
      <c r="G3759" t="s">
        <v>35</v>
      </c>
      <c r="H3759" t="s">
        <v>35</v>
      </c>
      <c r="J3759" t="s">
        <v>4246</v>
      </c>
      <c r="K3759" t="s">
        <v>1092</v>
      </c>
      <c r="M3759">
        <v>1.44</v>
      </c>
      <c r="N3759">
        <v>263</v>
      </c>
      <c r="O3759" t="s">
        <v>5</v>
      </c>
      <c r="Q3759" t="s">
        <v>2499</v>
      </c>
      <c r="R3759" t="s">
        <v>3931</v>
      </c>
      <c r="S3759" t="s">
        <v>3932</v>
      </c>
    </row>
    <row r="3760" spans="1:19" x14ac:dyDescent="0.25">
      <c r="A3760" t="s">
        <v>30</v>
      </c>
      <c r="B3760" t="s">
        <v>31</v>
      </c>
      <c r="C3760" t="s">
        <v>32</v>
      </c>
      <c r="D3760" t="s">
        <v>522</v>
      </c>
      <c r="E3760" t="s">
        <v>561</v>
      </c>
      <c r="F3760" t="s">
        <v>35</v>
      </c>
      <c r="G3760" t="s">
        <v>35</v>
      </c>
      <c r="H3760" t="s">
        <v>35</v>
      </c>
      <c r="J3760" t="s">
        <v>4246</v>
      </c>
      <c r="K3760" t="s">
        <v>1092</v>
      </c>
      <c r="M3760">
        <v>11.025</v>
      </c>
      <c r="N3760">
        <v>97</v>
      </c>
      <c r="O3760" t="s">
        <v>106</v>
      </c>
      <c r="Q3760" t="s">
        <v>557</v>
      </c>
      <c r="R3760" t="s">
        <v>538</v>
      </c>
      <c r="S3760" t="s">
        <v>539</v>
      </c>
    </row>
    <row r="3761" spans="1:19" x14ac:dyDescent="0.25">
      <c r="A3761" t="s">
        <v>30</v>
      </c>
      <c r="B3761" t="s">
        <v>31</v>
      </c>
      <c r="C3761" t="s">
        <v>32</v>
      </c>
      <c r="D3761" t="s">
        <v>522</v>
      </c>
      <c r="E3761" t="s">
        <v>561</v>
      </c>
      <c r="F3761" t="s">
        <v>35</v>
      </c>
      <c r="G3761" t="s">
        <v>35</v>
      </c>
      <c r="H3761" t="s">
        <v>35</v>
      </c>
      <c r="J3761" t="s">
        <v>4246</v>
      </c>
      <c r="K3761" t="s">
        <v>1092</v>
      </c>
      <c r="M3761">
        <v>11.025</v>
      </c>
      <c r="N3761">
        <v>133</v>
      </c>
      <c r="O3761" t="s">
        <v>38</v>
      </c>
      <c r="Q3761" t="s">
        <v>68</v>
      </c>
      <c r="R3761" t="s">
        <v>538</v>
      </c>
      <c r="S3761" t="s">
        <v>539</v>
      </c>
    </row>
    <row r="3762" spans="1:19" x14ac:dyDescent="0.25">
      <c r="A3762" t="s">
        <v>59</v>
      </c>
      <c r="B3762" t="s">
        <v>31</v>
      </c>
      <c r="C3762" t="s">
        <v>32</v>
      </c>
      <c r="D3762" t="s">
        <v>522</v>
      </c>
      <c r="E3762" t="s">
        <v>561</v>
      </c>
      <c r="F3762" t="s">
        <v>35</v>
      </c>
      <c r="G3762" t="s">
        <v>35</v>
      </c>
      <c r="H3762" t="s">
        <v>35</v>
      </c>
      <c r="J3762" t="s">
        <v>4246</v>
      </c>
      <c r="K3762" t="s">
        <v>1092</v>
      </c>
      <c r="M3762">
        <v>8.91</v>
      </c>
      <c r="N3762">
        <v>140</v>
      </c>
      <c r="O3762" t="s">
        <v>38</v>
      </c>
      <c r="Q3762" t="s">
        <v>609</v>
      </c>
      <c r="R3762" t="s">
        <v>538</v>
      </c>
      <c r="S3762" t="s">
        <v>539</v>
      </c>
    </row>
    <row r="3763" spans="1:19" x14ac:dyDescent="0.25">
      <c r="A3763" t="s">
        <v>59</v>
      </c>
      <c r="B3763" t="s">
        <v>60</v>
      </c>
      <c r="C3763" t="s">
        <v>32</v>
      </c>
      <c r="D3763" t="s">
        <v>522</v>
      </c>
      <c r="E3763" t="s">
        <v>561</v>
      </c>
      <c r="F3763" t="s">
        <v>35</v>
      </c>
      <c r="G3763" t="s">
        <v>35</v>
      </c>
      <c r="H3763" t="s">
        <v>35</v>
      </c>
      <c r="J3763" t="s">
        <v>4247</v>
      </c>
      <c r="K3763" t="s">
        <v>1092</v>
      </c>
      <c r="M3763">
        <v>0.82</v>
      </c>
      <c r="N3763">
        <v>41</v>
      </c>
      <c r="O3763" t="s">
        <v>52</v>
      </c>
      <c r="Q3763" t="s">
        <v>249</v>
      </c>
      <c r="R3763" t="s">
        <v>4139</v>
      </c>
      <c r="S3763" t="s">
        <v>544</v>
      </c>
    </row>
    <row r="3764" spans="1:19" x14ac:dyDescent="0.25">
      <c r="A3764" t="s">
        <v>30</v>
      </c>
      <c r="B3764" t="s">
        <v>31</v>
      </c>
      <c r="C3764" t="s">
        <v>32</v>
      </c>
      <c r="D3764" t="s">
        <v>522</v>
      </c>
      <c r="E3764" t="s">
        <v>561</v>
      </c>
      <c r="F3764" t="s">
        <v>35</v>
      </c>
      <c r="G3764" t="s">
        <v>35</v>
      </c>
      <c r="H3764" t="s">
        <v>35</v>
      </c>
      <c r="J3764" t="s">
        <v>4247</v>
      </c>
      <c r="K3764" t="s">
        <v>1092</v>
      </c>
      <c r="M3764">
        <v>0.05</v>
      </c>
      <c r="N3764">
        <v>154</v>
      </c>
      <c r="O3764" t="s">
        <v>38</v>
      </c>
      <c r="Q3764" t="s">
        <v>3398</v>
      </c>
      <c r="R3764" t="s">
        <v>538</v>
      </c>
      <c r="S3764" t="s">
        <v>539</v>
      </c>
    </row>
    <row r="3765" spans="1:19" x14ac:dyDescent="0.25">
      <c r="A3765" t="s">
        <v>59</v>
      </c>
      <c r="B3765" t="s">
        <v>60</v>
      </c>
      <c r="C3765" t="s">
        <v>32</v>
      </c>
      <c r="D3765" t="s">
        <v>522</v>
      </c>
      <c r="E3765" t="s">
        <v>561</v>
      </c>
      <c r="F3765" t="s">
        <v>35</v>
      </c>
      <c r="G3765" t="s">
        <v>35</v>
      </c>
      <c r="H3765" t="s">
        <v>35</v>
      </c>
      <c r="J3765" t="s">
        <v>4247</v>
      </c>
      <c r="K3765" t="s">
        <v>1092</v>
      </c>
      <c r="M3765">
        <v>0.5</v>
      </c>
      <c r="N3765">
        <v>36</v>
      </c>
      <c r="O3765" t="s">
        <v>52</v>
      </c>
      <c r="Q3765" t="s">
        <v>2005</v>
      </c>
      <c r="R3765" t="s">
        <v>4139</v>
      </c>
      <c r="S3765" t="s">
        <v>544</v>
      </c>
    </row>
    <row r="3766" spans="1:19" x14ac:dyDescent="0.25">
      <c r="A3766" t="s">
        <v>59</v>
      </c>
      <c r="B3766" t="s">
        <v>60</v>
      </c>
      <c r="C3766" t="s">
        <v>32</v>
      </c>
      <c r="D3766" t="s">
        <v>522</v>
      </c>
      <c r="E3766" t="s">
        <v>561</v>
      </c>
      <c r="F3766" t="s">
        <v>35</v>
      </c>
      <c r="G3766" t="s">
        <v>35</v>
      </c>
      <c r="H3766" t="s">
        <v>35</v>
      </c>
      <c r="J3766" t="s">
        <v>4247</v>
      </c>
      <c r="K3766" t="s">
        <v>1092</v>
      </c>
      <c r="M3766">
        <v>1</v>
      </c>
      <c r="N3766">
        <v>27</v>
      </c>
      <c r="O3766" t="s">
        <v>46</v>
      </c>
      <c r="Q3766" t="s">
        <v>1011</v>
      </c>
      <c r="R3766" t="s">
        <v>4139</v>
      </c>
      <c r="S3766" t="s">
        <v>544</v>
      </c>
    </row>
    <row r="3767" spans="1:19" x14ac:dyDescent="0.25">
      <c r="A3767" t="s">
        <v>44</v>
      </c>
      <c r="B3767" t="s">
        <v>51</v>
      </c>
      <c r="C3767" t="s">
        <v>32</v>
      </c>
      <c r="D3767" t="s">
        <v>522</v>
      </c>
      <c r="E3767" t="s">
        <v>561</v>
      </c>
      <c r="F3767" t="s">
        <v>35</v>
      </c>
      <c r="G3767" t="s">
        <v>35</v>
      </c>
      <c r="H3767" t="s">
        <v>35</v>
      </c>
      <c r="J3767" t="s">
        <v>4248</v>
      </c>
      <c r="K3767" t="s">
        <v>1092</v>
      </c>
      <c r="M3767">
        <v>0.25</v>
      </c>
      <c r="N3767">
        <v>506</v>
      </c>
      <c r="O3767" t="s">
        <v>294</v>
      </c>
      <c r="Q3767" t="s">
        <v>2101</v>
      </c>
      <c r="R3767" t="s">
        <v>4125</v>
      </c>
      <c r="S3767" t="s">
        <v>562</v>
      </c>
    </row>
    <row r="3768" spans="1:19" x14ac:dyDescent="0.25">
      <c r="A3768" t="s">
        <v>59</v>
      </c>
      <c r="B3768" t="s">
        <v>31</v>
      </c>
      <c r="C3768" t="s">
        <v>32</v>
      </c>
      <c r="D3768" t="s">
        <v>522</v>
      </c>
      <c r="E3768" t="s">
        <v>561</v>
      </c>
      <c r="F3768" t="s">
        <v>35</v>
      </c>
      <c r="G3768" t="s">
        <v>35</v>
      </c>
      <c r="H3768" t="s">
        <v>35</v>
      </c>
      <c r="J3768" t="s">
        <v>4249</v>
      </c>
      <c r="K3768" t="s">
        <v>1092</v>
      </c>
      <c r="M3768">
        <v>4.8150000000000004</v>
      </c>
      <c r="N3768">
        <v>131</v>
      </c>
      <c r="O3768" t="s">
        <v>38</v>
      </c>
      <c r="Q3768" t="s">
        <v>646</v>
      </c>
      <c r="R3768" t="s">
        <v>548</v>
      </c>
      <c r="S3768" t="s">
        <v>524</v>
      </c>
    </row>
    <row r="3769" spans="1:19" x14ac:dyDescent="0.25">
      <c r="A3769" t="s">
        <v>44</v>
      </c>
      <c r="B3769" t="s">
        <v>51</v>
      </c>
      <c r="C3769" t="s">
        <v>32</v>
      </c>
      <c r="D3769" t="s">
        <v>522</v>
      </c>
      <c r="E3769" t="s">
        <v>561</v>
      </c>
      <c r="F3769" t="s">
        <v>35</v>
      </c>
      <c r="G3769" t="s">
        <v>35</v>
      </c>
      <c r="H3769" t="s">
        <v>35</v>
      </c>
      <c r="J3769" t="s">
        <v>4250</v>
      </c>
      <c r="K3769" t="s">
        <v>1092</v>
      </c>
      <c r="M3769">
        <v>0.4</v>
      </c>
      <c r="N3769">
        <v>883</v>
      </c>
      <c r="O3769" t="s">
        <v>575</v>
      </c>
      <c r="Q3769" t="s">
        <v>4048</v>
      </c>
      <c r="R3769" t="s">
        <v>4139</v>
      </c>
      <c r="S3769" t="s">
        <v>544</v>
      </c>
    </row>
    <row r="3770" spans="1:19" x14ac:dyDescent="0.25">
      <c r="A3770" t="s">
        <v>30</v>
      </c>
      <c r="B3770" t="s">
        <v>31</v>
      </c>
      <c r="C3770" t="s">
        <v>32</v>
      </c>
      <c r="D3770" t="s">
        <v>522</v>
      </c>
      <c r="E3770" t="s">
        <v>561</v>
      </c>
      <c r="F3770" t="s">
        <v>35</v>
      </c>
      <c r="G3770" t="s">
        <v>35</v>
      </c>
      <c r="H3770" t="s">
        <v>35</v>
      </c>
      <c r="J3770" t="s">
        <v>4251</v>
      </c>
      <c r="K3770" t="s">
        <v>1092</v>
      </c>
      <c r="M3770">
        <v>5.0000000000000001E-3</v>
      </c>
      <c r="N3770">
        <v>2673</v>
      </c>
      <c r="O3770" t="s">
        <v>575</v>
      </c>
      <c r="Q3770" t="s">
        <v>1486</v>
      </c>
      <c r="R3770" t="s">
        <v>1487</v>
      </c>
      <c r="S3770" t="s">
        <v>1488</v>
      </c>
    </row>
    <row r="3771" spans="1:19" x14ac:dyDescent="0.25">
      <c r="A3771" t="s">
        <v>30</v>
      </c>
      <c r="B3771" t="s">
        <v>31</v>
      </c>
      <c r="C3771" t="s">
        <v>32</v>
      </c>
      <c r="D3771" t="s">
        <v>522</v>
      </c>
      <c r="E3771" t="s">
        <v>561</v>
      </c>
      <c r="F3771" t="s">
        <v>35</v>
      </c>
      <c r="G3771" t="s">
        <v>35</v>
      </c>
      <c r="H3771" t="s">
        <v>35</v>
      </c>
      <c r="J3771" t="s">
        <v>4252</v>
      </c>
      <c r="K3771" t="s">
        <v>1092</v>
      </c>
      <c r="M3771">
        <v>4.9950000000000001</v>
      </c>
      <c r="N3771">
        <v>133</v>
      </c>
      <c r="O3771" t="s">
        <v>38</v>
      </c>
      <c r="Q3771" t="s">
        <v>68</v>
      </c>
      <c r="R3771" t="s">
        <v>538</v>
      </c>
      <c r="S3771" t="s">
        <v>539</v>
      </c>
    </row>
    <row r="3772" spans="1:19" x14ac:dyDescent="0.25">
      <c r="A3772" t="s">
        <v>30</v>
      </c>
      <c r="B3772" t="s">
        <v>31</v>
      </c>
      <c r="C3772" t="s">
        <v>32</v>
      </c>
      <c r="D3772" t="s">
        <v>522</v>
      </c>
      <c r="E3772" t="s">
        <v>561</v>
      </c>
      <c r="F3772" t="s">
        <v>35</v>
      </c>
      <c r="G3772" t="s">
        <v>35</v>
      </c>
      <c r="H3772" t="s">
        <v>35</v>
      </c>
      <c r="J3772" t="s">
        <v>4103</v>
      </c>
      <c r="K3772" t="s">
        <v>1092</v>
      </c>
      <c r="M3772">
        <v>8.3249999999999993</v>
      </c>
      <c r="N3772">
        <v>94</v>
      </c>
      <c r="O3772" t="s">
        <v>106</v>
      </c>
      <c r="Q3772" t="s">
        <v>394</v>
      </c>
      <c r="R3772" t="s">
        <v>538</v>
      </c>
      <c r="S3772" t="s">
        <v>539</v>
      </c>
    </row>
    <row r="3773" spans="1:19" x14ac:dyDescent="0.25">
      <c r="A3773" t="s">
        <v>30</v>
      </c>
      <c r="B3773" t="s">
        <v>31</v>
      </c>
      <c r="C3773" t="s">
        <v>32</v>
      </c>
      <c r="D3773" t="s">
        <v>522</v>
      </c>
      <c r="E3773" t="s">
        <v>561</v>
      </c>
      <c r="F3773" t="s">
        <v>35</v>
      </c>
      <c r="G3773" t="s">
        <v>35</v>
      </c>
      <c r="H3773" t="s">
        <v>35</v>
      </c>
      <c r="J3773" t="s">
        <v>4254</v>
      </c>
      <c r="K3773" t="s">
        <v>1092</v>
      </c>
      <c r="M3773">
        <v>0.54</v>
      </c>
      <c r="N3773">
        <v>152</v>
      </c>
      <c r="O3773" t="s">
        <v>38</v>
      </c>
      <c r="Q3773" t="s">
        <v>408</v>
      </c>
      <c r="R3773" t="s">
        <v>548</v>
      </c>
      <c r="S3773" t="s">
        <v>524</v>
      </c>
    </row>
    <row r="3774" spans="1:19" x14ac:dyDescent="0.25">
      <c r="A3774" t="s">
        <v>59</v>
      </c>
      <c r="B3774" t="s">
        <v>31</v>
      </c>
      <c r="C3774" t="s">
        <v>32</v>
      </c>
      <c r="D3774" t="s">
        <v>522</v>
      </c>
      <c r="E3774" t="s">
        <v>561</v>
      </c>
      <c r="F3774" t="s">
        <v>35</v>
      </c>
      <c r="G3774" t="s">
        <v>35</v>
      </c>
      <c r="H3774" t="s">
        <v>35</v>
      </c>
      <c r="J3774" t="s">
        <v>4255</v>
      </c>
      <c r="K3774" t="s">
        <v>1092</v>
      </c>
      <c r="M3774">
        <v>1.41</v>
      </c>
      <c r="N3774">
        <v>140</v>
      </c>
      <c r="O3774" t="s">
        <v>38</v>
      </c>
      <c r="Q3774" t="s">
        <v>609</v>
      </c>
      <c r="R3774" t="s">
        <v>538</v>
      </c>
      <c r="S3774" t="s">
        <v>539</v>
      </c>
    </row>
    <row r="3775" spans="1:19" x14ac:dyDescent="0.25">
      <c r="A3775" t="s">
        <v>30</v>
      </c>
      <c r="B3775" t="s">
        <v>31</v>
      </c>
      <c r="C3775" t="s">
        <v>32</v>
      </c>
      <c r="D3775" t="s">
        <v>522</v>
      </c>
      <c r="E3775" t="s">
        <v>561</v>
      </c>
      <c r="F3775" t="s">
        <v>35</v>
      </c>
      <c r="G3775" t="s">
        <v>35</v>
      </c>
      <c r="H3775" t="s">
        <v>35</v>
      </c>
      <c r="J3775" t="s">
        <v>4256</v>
      </c>
      <c r="K3775" t="s">
        <v>1092</v>
      </c>
      <c r="M3775">
        <v>2.415</v>
      </c>
      <c r="N3775">
        <v>263</v>
      </c>
      <c r="O3775" t="s">
        <v>5</v>
      </c>
      <c r="Q3775" t="s">
        <v>2499</v>
      </c>
      <c r="R3775" t="s">
        <v>3931</v>
      </c>
      <c r="S3775" t="s">
        <v>3932</v>
      </c>
    </row>
    <row r="3776" spans="1:19" x14ac:dyDescent="0.25">
      <c r="A3776" t="s">
        <v>59</v>
      </c>
      <c r="B3776" t="s">
        <v>60</v>
      </c>
      <c r="C3776" t="s">
        <v>32</v>
      </c>
      <c r="D3776" t="s">
        <v>522</v>
      </c>
      <c r="E3776" t="s">
        <v>561</v>
      </c>
      <c r="F3776" t="s">
        <v>35</v>
      </c>
      <c r="G3776" t="s">
        <v>35</v>
      </c>
      <c r="H3776" t="s">
        <v>35</v>
      </c>
      <c r="J3776" t="s">
        <v>4258</v>
      </c>
      <c r="K3776" t="s">
        <v>1092</v>
      </c>
      <c r="M3776">
        <v>0.05</v>
      </c>
      <c r="N3776">
        <v>1202</v>
      </c>
      <c r="O3776" t="s">
        <v>575</v>
      </c>
      <c r="Q3776" t="s">
        <v>3758</v>
      </c>
      <c r="R3776" t="s">
        <v>3957</v>
      </c>
      <c r="S3776" t="s">
        <v>3958</v>
      </c>
    </row>
    <row r="3777" spans="1:19" x14ac:dyDescent="0.25">
      <c r="A3777" t="s">
        <v>30</v>
      </c>
      <c r="B3777" t="s">
        <v>31</v>
      </c>
      <c r="C3777" t="s">
        <v>32</v>
      </c>
      <c r="D3777" t="s">
        <v>522</v>
      </c>
      <c r="E3777" t="s">
        <v>561</v>
      </c>
      <c r="F3777" t="s">
        <v>35</v>
      </c>
      <c r="G3777" t="s">
        <v>35</v>
      </c>
      <c r="H3777" t="s">
        <v>35</v>
      </c>
      <c r="J3777" t="s">
        <v>4259</v>
      </c>
      <c r="K3777" t="s">
        <v>1092</v>
      </c>
      <c r="M3777">
        <v>15.164999999999999</v>
      </c>
      <c r="N3777">
        <v>68</v>
      </c>
      <c r="O3777" t="s">
        <v>61</v>
      </c>
      <c r="Q3777" t="s">
        <v>146</v>
      </c>
      <c r="R3777" t="s">
        <v>538</v>
      </c>
      <c r="S3777" t="s">
        <v>539</v>
      </c>
    </row>
    <row r="3778" spans="1:19" x14ac:dyDescent="0.25">
      <c r="A3778" t="s">
        <v>59</v>
      </c>
      <c r="B3778" t="s">
        <v>60</v>
      </c>
      <c r="C3778" t="s">
        <v>32</v>
      </c>
      <c r="D3778" t="s">
        <v>522</v>
      </c>
      <c r="E3778" t="s">
        <v>561</v>
      </c>
      <c r="F3778" t="s">
        <v>35</v>
      </c>
      <c r="G3778" t="s">
        <v>35</v>
      </c>
      <c r="H3778" t="s">
        <v>35</v>
      </c>
      <c r="J3778" t="s">
        <v>4259</v>
      </c>
      <c r="K3778" t="s">
        <v>1092</v>
      </c>
      <c r="M3778">
        <v>2</v>
      </c>
      <c r="N3778">
        <v>69</v>
      </c>
      <c r="O3778" t="s">
        <v>61</v>
      </c>
      <c r="Q3778" t="s">
        <v>139</v>
      </c>
      <c r="R3778" t="s">
        <v>4125</v>
      </c>
      <c r="S3778" t="s">
        <v>562</v>
      </c>
    </row>
    <row r="3779" spans="1:19" x14ac:dyDescent="0.25">
      <c r="A3779" t="s">
        <v>30</v>
      </c>
      <c r="B3779" t="s">
        <v>31</v>
      </c>
      <c r="C3779" t="s">
        <v>32</v>
      </c>
      <c r="D3779" t="s">
        <v>522</v>
      </c>
      <c r="E3779" t="s">
        <v>561</v>
      </c>
      <c r="F3779" t="s">
        <v>35</v>
      </c>
      <c r="G3779" t="s">
        <v>35</v>
      </c>
      <c r="H3779" t="s">
        <v>35</v>
      </c>
      <c r="J3779" t="s">
        <v>4260</v>
      </c>
      <c r="K3779" t="s">
        <v>1092</v>
      </c>
      <c r="M3779">
        <v>7.4249999999999998</v>
      </c>
      <c r="N3779">
        <v>45</v>
      </c>
      <c r="O3779" t="s">
        <v>52</v>
      </c>
      <c r="Q3779" t="s">
        <v>716</v>
      </c>
      <c r="R3779" t="s">
        <v>548</v>
      </c>
      <c r="S3779" t="s">
        <v>524</v>
      </c>
    </row>
    <row r="3780" spans="1:19" x14ac:dyDescent="0.25">
      <c r="A3780" t="s">
        <v>30</v>
      </c>
      <c r="B3780" t="s">
        <v>31</v>
      </c>
      <c r="C3780" t="s">
        <v>32</v>
      </c>
      <c r="D3780" t="s">
        <v>522</v>
      </c>
      <c r="E3780" t="s">
        <v>561</v>
      </c>
      <c r="F3780" t="s">
        <v>35</v>
      </c>
      <c r="G3780" t="s">
        <v>35</v>
      </c>
      <c r="H3780" t="s">
        <v>35</v>
      </c>
      <c r="J3780" t="s">
        <v>544</v>
      </c>
      <c r="K3780" t="s">
        <v>1092</v>
      </c>
      <c r="M3780">
        <v>4.4550000000000001</v>
      </c>
      <c r="N3780">
        <v>107</v>
      </c>
      <c r="O3780" t="s">
        <v>106</v>
      </c>
      <c r="Q3780" t="s">
        <v>1621</v>
      </c>
      <c r="R3780" t="s">
        <v>538</v>
      </c>
      <c r="S3780" t="s">
        <v>539</v>
      </c>
    </row>
    <row r="3781" spans="1:19" x14ac:dyDescent="0.25">
      <c r="A3781" t="s">
        <v>30</v>
      </c>
      <c r="B3781" t="s">
        <v>31</v>
      </c>
      <c r="C3781" t="s">
        <v>32</v>
      </c>
      <c r="D3781" t="s">
        <v>522</v>
      </c>
      <c r="E3781" t="s">
        <v>561</v>
      </c>
      <c r="F3781" t="s">
        <v>35</v>
      </c>
      <c r="G3781" t="s">
        <v>35</v>
      </c>
      <c r="H3781" t="s">
        <v>35</v>
      </c>
      <c r="J3781" t="s">
        <v>4261</v>
      </c>
      <c r="K3781" t="s">
        <v>1092</v>
      </c>
      <c r="M3781">
        <v>3.0150000000000001</v>
      </c>
      <c r="N3781">
        <v>263</v>
      </c>
      <c r="O3781" t="s">
        <v>5</v>
      </c>
      <c r="Q3781" t="s">
        <v>2499</v>
      </c>
      <c r="R3781" t="s">
        <v>3931</v>
      </c>
      <c r="S3781" t="s">
        <v>3932</v>
      </c>
    </row>
    <row r="3782" spans="1:19" x14ac:dyDescent="0.25">
      <c r="A3782" t="s">
        <v>30</v>
      </c>
      <c r="B3782" t="s">
        <v>31</v>
      </c>
      <c r="C3782" t="s">
        <v>32</v>
      </c>
      <c r="D3782" t="s">
        <v>522</v>
      </c>
      <c r="E3782" t="s">
        <v>561</v>
      </c>
      <c r="F3782" t="s">
        <v>35</v>
      </c>
      <c r="G3782" t="s">
        <v>35</v>
      </c>
      <c r="H3782" t="s">
        <v>35</v>
      </c>
      <c r="J3782" t="s">
        <v>4261</v>
      </c>
      <c r="K3782" t="s">
        <v>1092</v>
      </c>
      <c r="M3782">
        <v>3.15</v>
      </c>
      <c r="N3782">
        <v>14</v>
      </c>
      <c r="O3782" t="s">
        <v>46</v>
      </c>
      <c r="Q3782" t="s">
        <v>2440</v>
      </c>
      <c r="R3782" t="s">
        <v>548</v>
      </c>
      <c r="S3782" t="s">
        <v>524</v>
      </c>
    </row>
    <row r="3783" spans="1:19" x14ac:dyDescent="0.25">
      <c r="A3783" t="s">
        <v>44</v>
      </c>
      <c r="B3783" t="s">
        <v>3</v>
      </c>
      <c r="C3783" t="s">
        <v>32</v>
      </c>
      <c r="D3783" t="s">
        <v>522</v>
      </c>
      <c r="E3783" t="s">
        <v>561</v>
      </c>
      <c r="F3783" t="s">
        <v>35</v>
      </c>
      <c r="G3783" t="s">
        <v>35</v>
      </c>
      <c r="H3783" t="s">
        <v>35</v>
      </c>
      <c r="J3783" t="s">
        <v>4261</v>
      </c>
      <c r="K3783" t="s">
        <v>1092</v>
      </c>
      <c r="M3783">
        <v>1.25</v>
      </c>
      <c r="N3783">
        <v>246</v>
      </c>
      <c r="O3783" t="s">
        <v>5</v>
      </c>
      <c r="Q3783" t="s">
        <v>1903</v>
      </c>
      <c r="R3783" t="s">
        <v>4125</v>
      </c>
      <c r="S3783" t="s">
        <v>562</v>
      </c>
    </row>
    <row r="3784" spans="1:19" x14ac:dyDescent="0.25">
      <c r="A3784" t="s">
        <v>59</v>
      </c>
      <c r="B3784" t="s">
        <v>31</v>
      </c>
      <c r="C3784" t="s">
        <v>32</v>
      </c>
      <c r="D3784" t="s">
        <v>522</v>
      </c>
      <c r="E3784" t="s">
        <v>561</v>
      </c>
      <c r="F3784" t="s">
        <v>35</v>
      </c>
      <c r="G3784" t="s">
        <v>35</v>
      </c>
      <c r="H3784" t="s">
        <v>35</v>
      </c>
      <c r="J3784" t="s">
        <v>4262</v>
      </c>
      <c r="K3784" t="s">
        <v>1092</v>
      </c>
      <c r="M3784">
        <v>2.3849999999999998</v>
      </c>
      <c r="N3784">
        <v>140</v>
      </c>
      <c r="O3784" t="s">
        <v>38</v>
      </c>
      <c r="Q3784" t="s">
        <v>609</v>
      </c>
      <c r="R3784" t="s">
        <v>538</v>
      </c>
      <c r="S3784" t="s">
        <v>539</v>
      </c>
    </row>
    <row r="3785" spans="1:19" x14ac:dyDescent="0.25">
      <c r="A3785" t="s">
        <v>59</v>
      </c>
      <c r="B3785" t="s">
        <v>60</v>
      </c>
      <c r="C3785" t="s">
        <v>32</v>
      </c>
      <c r="D3785" t="s">
        <v>522</v>
      </c>
      <c r="E3785" t="s">
        <v>561</v>
      </c>
      <c r="F3785" t="s">
        <v>35</v>
      </c>
      <c r="G3785" t="s">
        <v>35</v>
      </c>
      <c r="H3785" t="s">
        <v>35</v>
      </c>
      <c r="J3785" t="s">
        <v>4263</v>
      </c>
      <c r="K3785" t="s">
        <v>1092</v>
      </c>
      <c r="M3785">
        <v>1</v>
      </c>
      <c r="N3785">
        <v>65</v>
      </c>
      <c r="O3785" t="s">
        <v>61</v>
      </c>
      <c r="Q3785" t="s">
        <v>128</v>
      </c>
      <c r="R3785" t="s">
        <v>4139</v>
      </c>
      <c r="S3785" t="s">
        <v>544</v>
      </c>
    </row>
    <row r="3786" spans="1:19" x14ac:dyDescent="0.25">
      <c r="A3786" t="s">
        <v>59</v>
      </c>
      <c r="B3786" t="s">
        <v>60</v>
      </c>
      <c r="C3786" t="s">
        <v>32</v>
      </c>
      <c r="D3786" t="s">
        <v>522</v>
      </c>
      <c r="E3786" t="s">
        <v>561</v>
      </c>
      <c r="F3786" t="s">
        <v>35</v>
      </c>
      <c r="G3786" t="s">
        <v>35</v>
      </c>
      <c r="H3786" t="s">
        <v>35</v>
      </c>
      <c r="J3786" t="s">
        <v>4263</v>
      </c>
      <c r="K3786" t="s">
        <v>1092</v>
      </c>
      <c r="M3786">
        <v>1</v>
      </c>
      <c r="N3786">
        <v>36</v>
      </c>
      <c r="O3786" t="s">
        <v>52</v>
      </c>
      <c r="Q3786" t="s">
        <v>2005</v>
      </c>
      <c r="R3786" t="s">
        <v>4139</v>
      </c>
      <c r="S3786" t="s">
        <v>544</v>
      </c>
    </row>
    <row r="3787" spans="1:19" x14ac:dyDescent="0.25">
      <c r="A3787" t="s">
        <v>59</v>
      </c>
      <c r="B3787" t="s">
        <v>60</v>
      </c>
      <c r="C3787" t="s">
        <v>32</v>
      </c>
      <c r="D3787" t="s">
        <v>522</v>
      </c>
      <c r="E3787" t="s">
        <v>561</v>
      </c>
      <c r="F3787" t="s">
        <v>35</v>
      </c>
      <c r="G3787" t="s">
        <v>35</v>
      </c>
      <c r="H3787" t="s">
        <v>35</v>
      </c>
      <c r="J3787" t="s">
        <v>4263</v>
      </c>
      <c r="K3787" t="s">
        <v>1092</v>
      </c>
      <c r="M3787">
        <v>2</v>
      </c>
      <c r="N3787">
        <v>11</v>
      </c>
      <c r="O3787" t="s">
        <v>46</v>
      </c>
      <c r="Q3787" t="s">
        <v>1053</v>
      </c>
      <c r="R3787" t="s">
        <v>4139</v>
      </c>
      <c r="S3787" t="s">
        <v>544</v>
      </c>
    </row>
    <row r="3788" spans="1:19" x14ac:dyDescent="0.25">
      <c r="A3788" t="s">
        <v>59</v>
      </c>
      <c r="B3788" t="s">
        <v>60</v>
      </c>
      <c r="C3788" t="s">
        <v>32</v>
      </c>
      <c r="D3788" t="s">
        <v>522</v>
      </c>
      <c r="E3788" t="s">
        <v>561</v>
      </c>
      <c r="F3788" t="s">
        <v>35</v>
      </c>
      <c r="G3788" t="s">
        <v>35</v>
      </c>
      <c r="H3788" t="s">
        <v>35</v>
      </c>
      <c r="J3788" t="s">
        <v>4263</v>
      </c>
      <c r="K3788" t="s">
        <v>1092</v>
      </c>
      <c r="M3788">
        <v>0.05</v>
      </c>
      <c r="N3788">
        <v>241</v>
      </c>
      <c r="O3788" t="s">
        <v>5</v>
      </c>
      <c r="Q3788" t="s">
        <v>3415</v>
      </c>
      <c r="R3788" t="s">
        <v>548</v>
      </c>
      <c r="S3788" t="s">
        <v>524</v>
      </c>
    </row>
    <row r="3789" spans="1:19" x14ac:dyDescent="0.25">
      <c r="A3789" t="s">
        <v>59</v>
      </c>
      <c r="B3789" t="s">
        <v>31</v>
      </c>
      <c r="C3789" t="s">
        <v>32</v>
      </c>
      <c r="D3789" t="s">
        <v>522</v>
      </c>
      <c r="E3789" t="s">
        <v>561</v>
      </c>
      <c r="F3789" t="s">
        <v>35</v>
      </c>
      <c r="G3789" t="s">
        <v>35</v>
      </c>
      <c r="H3789" t="s">
        <v>35</v>
      </c>
      <c r="J3789" t="s">
        <v>4264</v>
      </c>
      <c r="K3789" t="s">
        <v>1092</v>
      </c>
      <c r="M3789">
        <v>7.38</v>
      </c>
      <c r="N3789">
        <v>171</v>
      </c>
      <c r="O3789" t="s">
        <v>38</v>
      </c>
      <c r="Q3789" t="s">
        <v>3930</v>
      </c>
      <c r="R3789" t="s">
        <v>538</v>
      </c>
      <c r="S3789" t="s">
        <v>539</v>
      </c>
    </row>
    <row r="3790" spans="1:19" x14ac:dyDescent="0.25">
      <c r="A3790" t="s">
        <v>30</v>
      </c>
      <c r="B3790" t="s">
        <v>31</v>
      </c>
      <c r="C3790" t="s">
        <v>32</v>
      </c>
      <c r="D3790" t="s">
        <v>522</v>
      </c>
      <c r="E3790" t="s">
        <v>561</v>
      </c>
      <c r="F3790" t="s">
        <v>35</v>
      </c>
      <c r="G3790" t="s">
        <v>35</v>
      </c>
      <c r="H3790" t="s">
        <v>35</v>
      </c>
      <c r="J3790" t="s">
        <v>4264</v>
      </c>
      <c r="K3790" t="s">
        <v>1092</v>
      </c>
      <c r="M3790">
        <v>2.9249999999999998</v>
      </c>
      <c r="N3790">
        <v>96</v>
      </c>
      <c r="O3790" t="s">
        <v>106</v>
      </c>
      <c r="Q3790" t="s">
        <v>4243</v>
      </c>
      <c r="R3790" t="s">
        <v>538</v>
      </c>
      <c r="S3790" t="s">
        <v>539</v>
      </c>
    </row>
    <row r="3791" spans="1:19" x14ac:dyDescent="0.25">
      <c r="A3791" t="s">
        <v>59</v>
      </c>
      <c r="B3791" t="s">
        <v>31</v>
      </c>
      <c r="C3791" t="s">
        <v>32</v>
      </c>
      <c r="D3791" t="s">
        <v>522</v>
      </c>
      <c r="E3791" t="s">
        <v>561</v>
      </c>
      <c r="F3791" t="s">
        <v>35</v>
      </c>
      <c r="G3791" t="s">
        <v>35</v>
      </c>
      <c r="H3791" t="s">
        <v>35</v>
      </c>
      <c r="J3791" t="s">
        <v>4265</v>
      </c>
      <c r="K3791" t="s">
        <v>1092</v>
      </c>
      <c r="M3791">
        <v>4.5</v>
      </c>
      <c r="N3791">
        <v>138</v>
      </c>
      <c r="O3791" t="s">
        <v>38</v>
      </c>
      <c r="Q3791" t="s">
        <v>542</v>
      </c>
      <c r="R3791" t="s">
        <v>548</v>
      </c>
      <c r="S3791" t="s">
        <v>524</v>
      </c>
    </row>
    <row r="3792" spans="1:19" x14ac:dyDescent="0.25">
      <c r="A3792" t="s">
        <v>44</v>
      </c>
      <c r="B3792" t="s">
        <v>51</v>
      </c>
      <c r="C3792" t="s">
        <v>32</v>
      </c>
      <c r="D3792" t="s">
        <v>522</v>
      </c>
      <c r="E3792" t="s">
        <v>561</v>
      </c>
      <c r="F3792" t="s">
        <v>35</v>
      </c>
      <c r="G3792" t="s">
        <v>35</v>
      </c>
      <c r="H3792" t="s">
        <v>35</v>
      </c>
      <c r="J3792" t="s">
        <v>4265</v>
      </c>
      <c r="K3792" t="s">
        <v>1092</v>
      </c>
      <c r="M3792">
        <v>0.05</v>
      </c>
      <c r="N3792">
        <v>858</v>
      </c>
      <c r="O3792" t="s">
        <v>575</v>
      </c>
      <c r="Q3792" t="s">
        <v>4266</v>
      </c>
      <c r="R3792" t="s">
        <v>4139</v>
      </c>
      <c r="S3792" t="s">
        <v>544</v>
      </c>
    </row>
    <row r="3793" spans="1:19" x14ac:dyDescent="0.25">
      <c r="A3793" t="s">
        <v>59</v>
      </c>
      <c r="B3793" t="s">
        <v>60</v>
      </c>
      <c r="C3793" t="s">
        <v>32</v>
      </c>
      <c r="D3793" t="s">
        <v>522</v>
      </c>
      <c r="E3793" t="s">
        <v>561</v>
      </c>
      <c r="F3793" t="s">
        <v>35</v>
      </c>
      <c r="G3793" t="s">
        <v>35</v>
      </c>
      <c r="H3793" t="s">
        <v>35</v>
      </c>
      <c r="J3793" t="s">
        <v>4267</v>
      </c>
      <c r="K3793" t="s">
        <v>1092</v>
      </c>
      <c r="M3793">
        <v>0.35</v>
      </c>
      <c r="N3793">
        <v>143</v>
      </c>
      <c r="O3793" t="s">
        <v>38</v>
      </c>
      <c r="Q3793" t="s">
        <v>2121</v>
      </c>
      <c r="R3793" t="s">
        <v>4036</v>
      </c>
      <c r="S3793" t="s">
        <v>534</v>
      </c>
    </row>
    <row r="3794" spans="1:19" x14ac:dyDescent="0.25">
      <c r="A3794" t="s">
        <v>59</v>
      </c>
      <c r="B3794" t="s">
        <v>31</v>
      </c>
      <c r="C3794" t="s">
        <v>32</v>
      </c>
      <c r="D3794" t="s">
        <v>522</v>
      </c>
      <c r="E3794" t="s">
        <v>561</v>
      </c>
      <c r="F3794" t="s">
        <v>35</v>
      </c>
      <c r="G3794" t="s">
        <v>35</v>
      </c>
      <c r="H3794" t="s">
        <v>35</v>
      </c>
      <c r="J3794" t="s">
        <v>4268</v>
      </c>
      <c r="K3794" t="s">
        <v>1092</v>
      </c>
      <c r="M3794">
        <v>1.665</v>
      </c>
      <c r="N3794">
        <v>171</v>
      </c>
      <c r="O3794" t="s">
        <v>38</v>
      </c>
      <c r="Q3794" t="s">
        <v>3930</v>
      </c>
      <c r="R3794" t="s">
        <v>538</v>
      </c>
      <c r="S3794" t="s">
        <v>539</v>
      </c>
    </row>
    <row r="3795" spans="1:19" x14ac:dyDescent="0.25">
      <c r="A3795" t="s">
        <v>59</v>
      </c>
      <c r="B3795" t="s">
        <v>60</v>
      </c>
      <c r="C3795" t="s">
        <v>32</v>
      </c>
      <c r="D3795" t="s">
        <v>522</v>
      </c>
      <c r="E3795" t="s">
        <v>561</v>
      </c>
      <c r="F3795" t="s">
        <v>35</v>
      </c>
      <c r="G3795" t="s">
        <v>35</v>
      </c>
      <c r="H3795" t="s">
        <v>35</v>
      </c>
      <c r="J3795" t="s">
        <v>4269</v>
      </c>
      <c r="K3795" t="s">
        <v>1092</v>
      </c>
      <c r="M3795">
        <v>0.5</v>
      </c>
      <c r="N3795">
        <v>27</v>
      </c>
      <c r="O3795" t="s">
        <v>46</v>
      </c>
      <c r="Q3795" t="s">
        <v>1011</v>
      </c>
      <c r="R3795" t="s">
        <v>4139</v>
      </c>
      <c r="S3795" t="s">
        <v>544</v>
      </c>
    </row>
    <row r="3796" spans="1:19" x14ac:dyDescent="0.25">
      <c r="A3796" t="s">
        <v>59</v>
      </c>
      <c r="B3796" t="s">
        <v>60</v>
      </c>
      <c r="C3796" t="s">
        <v>32</v>
      </c>
      <c r="D3796" t="s">
        <v>522</v>
      </c>
      <c r="E3796" t="s">
        <v>561</v>
      </c>
      <c r="F3796" t="s">
        <v>35</v>
      </c>
      <c r="G3796" t="s">
        <v>35</v>
      </c>
      <c r="H3796" t="s">
        <v>35</v>
      </c>
      <c r="J3796" t="s">
        <v>4270</v>
      </c>
      <c r="K3796" t="s">
        <v>1092</v>
      </c>
      <c r="M3796">
        <v>0.75</v>
      </c>
      <c r="N3796">
        <v>273</v>
      </c>
      <c r="O3796" t="s">
        <v>5</v>
      </c>
      <c r="Q3796" t="s">
        <v>1989</v>
      </c>
      <c r="R3796" t="s">
        <v>4036</v>
      </c>
      <c r="S3796" t="s">
        <v>534</v>
      </c>
    </row>
    <row r="3797" spans="1:19" x14ac:dyDescent="0.25">
      <c r="A3797" t="s">
        <v>44</v>
      </c>
      <c r="B3797" t="s">
        <v>51</v>
      </c>
      <c r="C3797" t="s">
        <v>32</v>
      </c>
      <c r="D3797" t="s">
        <v>522</v>
      </c>
      <c r="E3797" t="s">
        <v>561</v>
      </c>
      <c r="F3797" t="s">
        <v>35</v>
      </c>
      <c r="G3797" t="s">
        <v>35</v>
      </c>
      <c r="H3797" t="s">
        <v>35</v>
      </c>
      <c r="J3797" t="s">
        <v>4270</v>
      </c>
      <c r="K3797" t="s">
        <v>1092</v>
      </c>
      <c r="M3797">
        <v>0.35</v>
      </c>
      <c r="N3797">
        <v>498</v>
      </c>
      <c r="O3797" t="s">
        <v>294</v>
      </c>
      <c r="Q3797" t="s">
        <v>2487</v>
      </c>
      <c r="R3797" t="s">
        <v>4139</v>
      </c>
      <c r="S3797" t="s">
        <v>544</v>
      </c>
    </row>
    <row r="3798" spans="1:19" x14ac:dyDescent="0.25">
      <c r="A3798" t="s">
        <v>59</v>
      </c>
      <c r="B3798" t="s">
        <v>60</v>
      </c>
      <c r="C3798" t="s">
        <v>32</v>
      </c>
      <c r="D3798" t="s">
        <v>522</v>
      </c>
      <c r="E3798" t="s">
        <v>561</v>
      </c>
      <c r="F3798" t="s">
        <v>35</v>
      </c>
      <c r="G3798" t="s">
        <v>35</v>
      </c>
      <c r="H3798" t="s">
        <v>35</v>
      </c>
      <c r="J3798" t="s">
        <v>4270</v>
      </c>
      <c r="K3798" t="s">
        <v>1092</v>
      </c>
      <c r="M3798">
        <v>0.5</v>
      </c>
      <c r="N3798">
        <v>253</v>
      </c>
      <c r="O3798" t="s">
        <v>5</v>
      </c>
      <c r="Q3798" t="s">
        <v>1502</v>
      </c>
      <c r="R3798" t="s">
        <v>4036</v>
      </c>
      <c r="S3798" t="s">
        <v>534</v>
      </c>
    </row>
    <row r="3799" spans="1:19" x14ac:dyDescent="0.25">
      <c r="A3799" t="s">
        <v>59</v>
      </c>
      <c r="B3799" t="s">
        <v>31</v>
      </c>
      <c r="C3799" t="s">
        <v>32</v>
      </c>
      <c r="D3799" t="s">
        <v>522</v>
      </c>
      <c r="E3799" t="s">
        <v>561</v>
      </c>
      <c r="F3799" t="s">
        <v>35</v>
      </c>
      <c r="G3799" t="s">
        <v>35</v>
      </c>
      <c r="H3799" t="s">
        <v>35</v>
      </c>
      <c r="J3799" t="s">
        <v>4271</v>
      </c>
      <c r="K3799" t="s">
        <v>1092</v>
      </c>
      <c r="M3799">
        <v>0.04</v>
      </c>
      <c r="N3799">
        <v>1439</v>
      </c>
      <c r="O3799" t="s">
        <v>575</v>
      </c>
      <c r="Q3799" t="s">
        <v>4273</v>
      </c>
      <c r="R3799" t="s">
        <v>4139</v>
      </c>
      <c r="S3799" t="s">
        <v>544</v>
      </c>
    </row>
    <row r="3800" spans="1:19" x14ac:dyDescent="0.25">
      <c r="A3800" t="s">
        <v>44</v>
      </c>
      <c r="B3800" t="s">
        <v>51</v>
      </c>
      <c r="C3800" t="s">
        <v>32</v>
      </c>
      <c r="D3800" t="s">
        <v>522</v>
      </c>
      <c r="E3800" t="s">
        <v>561</v>
      </c>
      <c r="F3800" t="s">
        <v>35</v>
      </c>
      <c r="G3800" t="s">
        <v>35</v>
      </c>
      <c r="H3800" t="s">
        <v>35</v>
      </c>
      <c r="J3800" t="s">
        <v>4271</v>
      </c>
      <c r="K3800" t="s">
        <v>1092</v>
      </c>
      <c r="M3800">
        <v>0.5</v>
      </c>
      <c r="N3800">
        <v>881</v>
      </c>
      <c r="O3800" t="s">
        <v>575</v>
      </c>
      <c r="Q3800" t="s">
        <v>4272</v>
      </c>
      <c r="R3800" t="s">
        <v>4139</v>
      </c>
      <c r="S3800" t="s">
        <v>544</v>
      </c>
    </row>
    <row r="3801" spans="1:19" x14ac:dyDescent="0.25">
      <c r="A3801" t="s">
        <v>59</v>
      </c>
      <c r="B3801" t="s">
        <v>60</v>
      </c>
      <c r="C3801" t="s">
        <v>32</v>
      </c>
      <c r="D3801" t="s">
        <v>522</v>
      </c>
      <c r="E3801" t="s">
        <v>561</v>
      </c>
      <c r="F3801" t="s">
        <v>35</v>
      </c>
      <c r="G3801" t="s">
        <v>35</v>
      </c>
      <c r="H3801" t="s">
        <v>35</v>
      </c>
      <c r="J3801" t="s">
        <v>4274</v>
      </c>
      <c r="K3801" t="s">
        <v>1092</v>
      </c>
      <c r="M3801">
        <v>0.3</v>
      </c>
      <c r="N3801">
        <v>595</v>
      </c>
      <c r="O3801" t="s">
        <v>575</v>
      </c>
      <c r="Q3801" t="s">
        <v>4275</v>
      </c>
      <c r="R3801" t="s">
        <v>4102</v>
      </c>
      <c r="S3801" t="s">
        <v>4103</v>
      </c>
    </row>
    <row r="3802" spans="1:19" x14ac:dyDescent="0.25">
      <c r="A3802" t="s">
        <v>59</v>
      </c>
      <c r="B3802" t="s">
        <v>31</v>
      </c>
      <c r="C3802" t="s">
        <v>32</v>
      </c>
      <c r="D3802" t="s">
        <v>522</v>
      </c>
      <c r="E3802" t="s">
        <v>561</v>
      </c>
      <c r="F3802" t="s">
        <v>35</v>
      </c>
      <c r="G3802" t="s">
        <v>35</v>
      </c>
      <c r="H3802" t="s">
        <v>35</v>
      </c>
      <c r="J3802" t="s">
        <v>4276</v>
      </c>
      <c r="K3802" t="s">
        <v>1092</v>
      </c>
      <c r="M3802">
        <v>6.84</v>
      </c>
      <c r="N3802">
        <v>171</v>
      </c>
      <c r="O3802" t="s">
        <v>38</v>
      </c>
      <c r="Q3802" t="s">
        <v>3930</v>
      </c>
      <c r="R3802" t="s">
        <v>538</v>
      </c>
      <c r="S3802" t="s">
        <v>539</v>
      </c>
    </row>
    <row r="3803" spans="1:19" x14ac:dyDescent="0.25">
      <c r="A3803" t="s">
        <v>59</v>
      </c>
      <c r="B3803" t="s">
        <v>31</v>
      </c>
      <c r="C3803" t="s">
        <v>32</v>
      </c>
      <c r="D3803" t="s">
        <v>522</v>
      </c>
      <c r="E3803" t="s">
        <v>561</v>
      </c>
      <c r="F3803" t="s">
        <v>35</v>
      </c>
      <c r="G3803" t="s">
        <v>35</v>
      </c>
      <c r="H3803" t="s">
        <v>35</v>
      </c>
      <c r="J3803" t="s">
        <v>4277</v>
      </c>
      <c r="K3803" t="s">
        <v>1092</v>
      </c>
      <c r="M3803">
        <v>2.34</v>
      </c>
      <c r="N3803">
        <v>140</v>
      </c>
      <c r="O3803" t="s">
        <v>38</v>
      </c>
      <c r="Q3803" t="s">
        <v>609</v>
      </c>
      <c r="R3803" t="s">
        <v>538</v>
      </c>
      <c r="S3803" t="s">
        <v>539</v>
      </c>
    </row>
    <row r="3804" spans="1:19" x14ac:dyDescent="0.25">
      <c r="A3804" t="s">
        <v>30</v>
      </c>
      <c r="B3804" t="s">
        <v>31</v>
      </c>
      <c r="C3804" t="s">
        <v>32</v>
      </c>
      <c r="D3804" t="s">
        <v>522</v>
      </c>
      <c r="E3804" t="s">
        <v>561</v>
      </c>
      <c r="F3804" t="s">
        <v>35</v>
      </c>
      <c r="G3804" t="s">
        <v>35</v>
      </c>
      <c r="H3804" t="s">
        <v>35</v>
      </c>
      <c r="J3804" t="s">
        <v>4277</v>
      </c>
      <c r="K3804" t="s">
        <v>1092</v>
      </c>
      <c r="M3804">
        <v>11.25</v>
      </c>
      <c r="N3804">
        <v>45</v>
      </c>
      <c r="O3804" t="s">
        <v>52</v>
      </c>
      <c r="Q3804" t="s">
        <v>716</v>
      </c>
      <c r="R3804" t="s">
        <v>548</v>
      </c>
      <c r="S3804" t="s">
        <v>524</v>
      </c>
    </row>
    <row r="3805" spans="1:19" x14ac:dyDescent="0.25">
      <c r="A3805" t="s">
        <v>59</v>
      </c>
      <c r="B3805" t="s">
        <v>60</v>
      </c>
      <c r="C3805" t="s">
        <v>32</v>
      </c>
      <c r="D3805" t="s">
        <v>522</v>
      </c>
      <c r="E3805" t="s">
        <v>561</v>
      </c>
      <c r="F3805" t="s">
        <v>35</v>
      </c>
      <c r="G3805" t="s">
        <v>35</v>
      </c>
      <c r="H3805" t="s">
        <v>35</v>
      </c>
      <c r="J3805" t="s">
        <v>4278</v>
      </c>
      <c r="K3805" t="s">
        <v>1092</v>
      </c>
      <c r="M3805">
        <v>4.2000000000000003E-2</v>
      </c>
      <c r="N3805">
        <v>136</v>
      </c>
      <c r="O3805" t="s">
        <v>38</v>
      </c>
      <c r="Q3805" t="s">
        <v>157</v>
      </c>
      <c r="R3805" t="s">
        <v>4102</v>
      </c>
      <c r="S3805" t="s">
        <v>4103</v>
      </c>
    </row>
    <row r="3806" spans="1:19" x14ac:dyDescent="0.25">
      <c r="A3806" t="s">
        <v>30</v>
      </c>
      <c r="B3806" t="s">
        <v>31</v>
      </c>
      <c r="C3806" t="s">
        <v>32</v>
      </c>
      <c r="D3806" t="s">
        <v>522</v>
      </c>
      <c r="E3806" t="s">
        <v>561</v>
      </c>
      <c r="F3806" t="s">
        <v>35</v>
      </c>
      <c r="G3806" t="s">
        <v>35</v>
      </c>
      <c r="H3806" t="s">
        <v>35</v>
      </c>
      <c r="J3806" t="s">
        <v>4278</v>
      </c>
      <c r="K3806" t="s">
        <v>1092</v>
      </c>
      <c r="M3806">
        <v>4.95</v>
      </c>
      <c r="N3806">
        <v>97</v>
      </c>
      <c r="O3806" t="s">
        <v>106</v>
      </c>
      <c r="Q3806" t="s">
        <v>557</v>
      </c>
      <c r="R3806" t="s">
        <v>538</v>
      </c>
      <c r="S3806" t="s">
        <v>539</v>
      </c>
    </row>
    <row r="3807" spans="1:19" x14ac:dyDescent="0.25">
      <c r="A3807" t="s">
        <v>44</v>
      </c>
      <c r="B3807" t="s">
        <v>51</v>
      </c>
      <c r="C3807" t="s">
        <v>32</v>
      </c>
      <c r="D3807" t="s">
        <v>522</v>
      </c>
      <c r="E3807" t="s">
        <v>561</v>
      </c>
      <c r="F3807" t="s">
        <v>35</v>
      </c>
      <c r="G3807" t="s">
        <v>35</v>
      </c>
      <c r="H3807" t="s">
        <v>35</v>
      </c>
      <c r="J3807" t="s">
        <v>4278</v>
      </c>
      <c r="K3807" t="s">
        <v>1092</v>
      </c>
      <c r="M3807">
        <v>0.5</v>
      </c>
      <c r="N3807">
        <v>510</v>
      </c>
      <c r="O3807" t="s">
        <v>294</v>
      </c>
      <c r="Q3807" t="s">
        <v>4279</v>
      </c>
      <c r="R3807" t="s">
        <v>4102</v>
      </c>
      <c r="S3807" t="s">
        <v>4103</v>
      </c>
    </row>
    <row r="3808" spans="1:19" x14ac:dyDescent="0.25">
      <c r="A3808" t="s">
        <v>30</v>
      </c>
      <c r="B3808" t="s">
        <v>31</v>
      </c>
      <c r="C3808" t="s">
        <v>32</v>
      </c>
      <c r="D3808" t="s">
        <v>522</v>
      </c>
      <c r="E3808" t="s">
        <v>561</v>
      </c>
      <c r="F3808" t="s">
        <v>35</v>
      </c>
      <c r="G3808" t="s">
        <v>35</v>
      </c>
      <c r="H3808" t="s">
        <v>35</v>
      </c>
      <c r="J3808" t="s">
        <v>4280</v>
      </c>
      <c r="K3808" t="s">
        <v>1092</v>
      </c>
      <c r="M3808">
        <v>3.5000000000000003E-2</v>
      </c>
      <c r="N3808">
        <v>1960</v>
      </c>
      <c r="O3808" t="s">
        <v>575</v>
      </c>
      <c r="Q3808" t="s">
        <v>4281</v>
      </c>
      <c r="R3808" t="s">
        <v>559</v>
      </c>
      <c r="S3808" t="s">
        <v>554</v>
      </c>
    </row>
    <row r="3809" spans="1:19" x14ac:dyDescent="0.25">
      <c r="A3809" t="s">
        <v>44</v>
      </c>
      <c r="B3809" t="s">
        <v>51</v>
      </c>
      <c r="C3809" t="s">
        <v>32</v>
      </c>
      <c r="D3809" t="s">
        <v>522</v>
      </c>
      <c r="E3809" t="s">
        <v>561</v>
      </c>
      <c r="F3809" t="s">
        <v>35</v>
      </c>
      <c r="G3809" t="s">
        <v>35</v>
      </c>
      <c r="H3809" t="s">
        <v>35</v>
      </c>
      <c r="J3809" t="s">
        <v>4282</v>
      </c>
      <c r="K3809" t="s">
        <v>1092</v>
      </c>
      <c r="M3809">
        <v>0.91</v>
      </c>
      <c r="N3809">
        <v>858</v>
      </c>
      <c r="O3809" t="s">
        <v>575</v>
      </c>
      <c r="Q3809" t="s">
        <v>4266</v>
      </c>
      <c r="R3809" t="s">
        <v>4139</v>
      </c>
      <c r="S3809" t="s">
        <v>544</v>
      </c>
    </row>
    <row r="3810" spans="1:19" x14ac:dyDescent="0.25">
      <c r="A3810" t="s">
        <v>44</v>
      </c>
      <c r="B3810" t="s">
        <v>3</v>
      </c>
      <c r="C3810" t="s">
        <v>32</v>
      </c>
      <c r="D3810" t="s">
        <v>522</v>
      </c>
      <c r="E3810" t="s">
        <v>561</v>
      </c>
      <c r="F3810" t="s">
        <v>35</v>
      </c>
      <c r="G3810" t="s">
        <v>35</v>
      </c>
      <c r="H3810" t="s">
        <v>35</v>
      </c>
      <c r="J3810" t="s">
        <v>4283</v>
      </c>
      <c r="K3810" t="s">
        <v>1092</v>
      </c>
      <c r="M3810">
        <v>0.5</v>
      </c>
      <c r="N3810">
        <v>402</v>
      </c>
      <c r="O3810" t="s">
        <v>294</v>
      </c>
      <c r="Q3810" t="s">
        <v>1369</v>
      </c>
      <c r="R3810" t="s">
        <v>4139</v>
      </c>
      <c r="S3810" t="s">
        <v>544</v>
      </c>
    </row>
    <row r="3811" spans="1:19" x14ac:dyDescent="0.25">
      <c r="A3811" t="s">
        <v>59</v>
      </c>
      <c r="B3811" t="s">
        <v>31</v>
      </c>
      <c r="C3811" t="s">
        <v>32</v>
      </c>
      <c r="D3811" t="s">
        <v>522</v>
      </c>
      <c r="E3811" t="s">
        <v>561</v>
      </c>
      <c r="F3811" t="s">
        <v>35</v>
      </c>
      <c r="G3811" t="s">
        <v>35</v>
      </c>
      <c r="H3811" t="s">
        <v>35</v>
      </c>
      <c r="J3811" t="s">
        <v>4284</v>
      </c>
      <c r="K3811" t="s">
        <v>1092</v>
      </c>
      <c r="M3811">
        <v>1.98</v>
      </c>
      <c r="N3811">
        <v>1241</v>
      </c>
      <c r="O3811" t="s">
        <v>575</v>
      </c>
      <c r="Q3811" t="s">
        <v>4052</v>
      </c>
      <c r="R3811" t="s">
        <v>4053</v>
      </c>
      <c r="S3811" t="s">
        <v>4054</v>
      </c>
    </row>
    <row r="3812" spans="1:19" x14ac:dyDescent="0.25">
      <c r="A3812" t="s">
        <v>59</v>
      </c>
      <c r="B3812" t="s">
        <v>60</v>
      </c>
      <c r="C3812" t="s">
        <v>32</v>
      </c>
      <c r="D3812" t="s">
        <v>522</v>
      </c>
      <c r="E3812" t="s">
        <v>561</v>
      </c>
      <c r="F3812" t="s">
        <v>35</v>
      </c>
      <c r="G3812" t="s">
        <v>35</v>
      </c>
      <c r="H3812" t="s">
        <v>35</v>
      </c>
      <c r="J3812" t="s">
        <v>4284</v>
      </c>
      <c r="K3812" t="s">
        <v>1092</v>
      </c>
      <c r="M3812">
        <v>2</v>
      </c>
      <c r="N3812">
        <v>241</v>
      </c>
      <c r="O3812" t="s">
        <v>5</v>
      </c>
      <c r="Q3812" t="s">
        <v>3415</v>
      </c>
      <c r="R3812" t="s">
        <v>548</v>
      </c>
      <c r="S3812" t="s">
        <v>524</v>
      </c>
    </row>
    <row r="3813" spans="1:19" x14ac:dyDescent="0.25">
      <c r="A3813" t="s">
        <v>59</v>
      </c>
      <c r="B3813" t="s">
        <v>60</v>
      </c>
      <c r="C3813" t="s">
        <v>32</v>
      </c>
      <c r="D3813" t="s">
        <v>522</v>
      </c>
      <c r="E3813" t="s">
        <v>561</v>
      </c>
      <c r="F3813" t="s">
        <v>35</v>
      </c>
      <c r="G3813" t="s">
        <v>35</v>
      </c>
      <c r="H3813" t="s">
        <v>35</v>
      </c>
      <c r="J3813" t="s">
        <v>4284</v>
      </c>
      <c r="K3813" t="s">
        <v>1092</v>
      </c>
      <c r="M3813">
        <v>2</v>
      </c>
      <c r="N3813">
        <v>138</v>
      </c>
      <c r="O3813" t="s">
        <v>38</v>
      </c>
      <c r="Q3813" t="s">
        <v>542</v>
      </c>
      <c r="R3813" t="s">
        <v>548</v>
      </c>
      <c r="S3813" t="s">
        <v>524</v>
      </c>
    </row>
    <row r="3814" spans="1:19" x14ac:dyDescent="0.25">
      <c r="A3814" t="s">
        <v>30</v>
      </c>
      <c r="B3814" t="s">
        <v>31</v>
      </c>
      <c r="C3814" t="s">
        <v>32</v>
      </c>
      <c r="D3814" t="s">
        <v>522</v>
      </c>
      <c r="E3814" t="s">
        <v>561</v>
      </c>
      <c r="F3814" t="s">
        <v>35</v>
      </c>
      <c r="G3814" t="s">
        <v>35</v>
      </c>
      <c r="H3814" t="s">
        <v>35</v>
      </c>
      <c r="J3814" t="s">
        <v>4284</v>
      </c>
      <c r="K3814" t="s">
        <v>1092</v>
      </c>
      <c r="M3814">
        <v>0.43</v>
      </c>
      <c r="N3814">
        <v>1664</v>
      </c>
      <c r="O3814" t="s">
        <v>575</v>
      </c>
      <c r="Q3814" t="s">
        <v>4285</v>
      </c>
      <c r="R3814" t="s">
        <v>4139</v>
      </c>
      <c r="S3814" t="s">
        <v>544</v>
      </c>
    </row>
    <row r="3815" spans="1:19" x14ac:dyDescent="0.25">
      <c r="A3815" t="s">
        <v>59</v>
      </c>
      <c r="B3815" t="s">
        <v>60</v>
      </c>
      <c r="C3815" t="s">
        <v>32</v>
      </c>
      <c r="D3815" t="s">
        <v>522</v>
      </c>
      <c r="E3815" t="s">
        <v>561</v>
      </c>
      <c r="F3815" t="s">
        <v>35</v>
      </c>
      <c r="G3815" t="s">
        <v>35</v>
      </c>
      <c r="H3815" t="s">
        <v>35</v>
      </c>
      <c r="J3815" t="s">
        <v>4286</v>
      </c>
      <c r="K3815" t="s">
        <v>1092</v>
      </c>
      <c r="M3815">
        <v>0.5</v>
      </c>
      <c r="N3815">
        <v>41</v>
      </c>
      <c r="O3815" t="s">
        <v>52</v>
      </c>
      <c r="Q3815" t="s">
        <v>249</v>
      </c>
      <c r="R3815" t="s">
        <v>4139</v>
      </c>
      <c r="S3815" t="s">
        <v>544</v>
      </c>
    </row>
    <row r="3816" spans="1:19" x14ac:dyDescent="0.25">
      <c r="A3816" t="s">
        <v>30</v>
      </c>
      <c r="B3816" t="s">
        <v>31</v>
      </c>
      <c r="C3816" t="s">
        <v>32</v>
      </c>
      <c r="D3816" t="s">
        <v>522</v>
      </c>
      <c r="E3816" t="s">
        <v>561</v>
      </c>
      <c r="F3816" t="s">
        <v>35</v>
      </c>
      <c r="G3816" t="s">
        <v>35</v>
      </c>
      <c r="H3816" t="s">
        <v>35</v>
      </c>
      <c r="J3816" t="s">
        <v>4287</v>
      </c>
      <c r="K3816" t="s">
        <v>1092</v>
      </c>
      <c r="M3816">
        <v>0.02</v>
      </c>
      <c r="N3816">
        <v>1532</v>
      </c>
      <c r="O3816" t="s">
        <v>575</v>
      </c>
      <c r="Q3816" t="s">
        <v>4288</v>
      </c>
      <c r="R3816" t="s">
        <v>4139</v>
      </c>
      <c r="S3816" t="s">
        <v>544</v>
      </c>
    </row>
    <row r="3817" spans="1:19" x14ac:dyDescent="0.25">
      <c r="A3817" t="s">
        <v>30</v>
      </c>
      <c r="B3817" t="s">
        <v>31</v>
      </c>
      <c r="C3817" t="s">
        <v>32</v>
      </c>
      <c r="D3817" t="s">
        <v>522</v>
      </c>
      <c r="E3817" t="s">
        <v>561</v>
      </c>
      <c r="F3817" t="s">
        <v>35</v>
      </c>
      <c r="G3817" t="s">
        <v>35</v>
      </c>
      <c r="H3817" t="s">
        <v>35</v>
      </c>
      <c r="J3817" t="s">
        <v>4289</v>
      </c>
      <c r="K3817" t="s">
        <v>1092</v>
      </c>
      <c r="M3817">
        <v>11.025</v>
      </c>
      <c r="N3817">
        <v>45</v>
      </c>
      <c r="O3817" t="s">
        <v>52</v>
      </c>
      <c r="Q3817" t="s">
        <v>716</v>
      </c>
      <c r="R3817" t="s">
        <v>548</v>
      </c>
      <c r="S3817" t="s">
        <v>524</v>
      </c>
    </row>
    <row r="3818" spans="1:19" x14ac:dyDescent="0.25">
      <c r="A3818" t="s">
        <v>44</v>
      </c>
      <c r="B3818" t="s">
        <v>3</v>
      </c>
      <c r="C3818" t="s">
        <v>32</v>
      </c>
      <c r="D3818" t="s">
        <v>522</v>
      </c>
      <c r="E3818" t="s">
        <v>561</v>
      </c>
      <c r="F3818" t="s">
        <v>35</v>
      </c>
      <c r="G3818" t="s">
        <v>35</v>
      </c>
      <c r="H3818" t="s">
        <v>35</v>
      </c>
      <c r="J3818" t="s">
        <v>4290</v>
      </c>
      <c r="K3818" t="s">
        <v>1092</v>
      </c>
      <c r="M3818">
        <v>0.2</v>
      </c>
      <c r="N3818">
        <v>405</v>
      </c>
      <c r="O3818" t="s">
        <v>294</v>
      </c>
      <c r="Q3818" t="s">
        <v>4257</v>
      </c>
      <c r="R3818" t="s">
        <v>4139</v>
      </c>
      <c r="S3818" t="s">
        <v>544</v>
      </c>
    </row>
    <row r="3819" spans="1:19" x14ac:dyDescent="0.25">
      <c r="A3819" t="s">
        <v>59</v>
      </c>
      <c r="B3819" t="s">
        <v>60</v>
      </c>
      <c r="C3819" t="s">
        <v>32</v>
      </c>
      <c r="D3819" t="s">
        <v>522</v>
      </c>
      <c r="E3819" t="s">
        <v>561</v>
      </c>
      <c r="F3819" t="s">
        <v>35</v>
      </c>
      <c r="G3819" t="s">
        <v>35</v>
      </c>
      <c r="H3819" t="s">
        <v>35</v>
      </c>
      <c r="J3819" t="s">
        <v>4291</v>
      </c>
      <c r="K3819" t="s">
        <v>1092</v>
      </c>
      <c r="M3819">
        <v>1</v>
      </c>
      <c r="N3819">
        <v>11</v>
      </c>
      <c r="O3819" t="s">
        <v>46</v>
      </c>
      <c r="Q3819" t="s">
        <v>1053</v>
      </c>
      <c r="R3819" t="s">
        <v>4139</v>
      </c>
      <c r="S3819" t="s">
        <v>544</v>
      </c>
    </row>
    <row r="3820" spans="1:19" x14ac:dyDescent="0.25">
      <c r="A3820" t="s">
        <v>30</v>
      </c>
      <c r="B3820" t="s">
        <v>31</v>
      </c>
      <c r="C3820" t="s">
        <v>32</v>
      </c>
      <c r="D3820" t="s">
        <v>522</v>
      </c>
      <c r="E3820" t="s">
        <v>561</v>
      </c>
      <c r="F3820" t="s">
        <v>35</v>
      </c>
      <c r="G3820" t="s">
        <v>35</v>
      </c>
      <c r="H3820" t="s">
        <v>35</v>
      </c>
      <c r="J3820" t="s">
        <v>4291</v>
      </c>
      <c r="K3820" t="s">
        <v>1092</v>
      </c>
      <c r="M3820">
        <v>1.3049999999999999</v>
      </c>
      <c r="N3820">
        <v>131</v>
      </c>
      <c r="O3820" t="s">
        <v>38</v>
      </c>
      <c r="Q3820" t="s">
        <v>646</v>
      </c>
      <c r="R3820" t="s">
        <v>548</v>
      </c>
      <c r="S3820" t="s">
        <v>524</v>
      </c>
    </row>
    <row r="3821" spans="1:19" x14ac:dyDescent="0.25">
      <c r="A3821" t="s">
        <v>30</v>
      </c>
      <c r="B3821" t="s">
        <v>31</v>
      </c>
      <c r="C3821" t="s">
        <v>32</v>
      </c>
      <c r="D3821" t="s">
        <v>522</v>
      </c>
      <c r="E3821" t="s">
        <v>561</v>
      </c>
      <c r="F3821" t="s">
        <v>35</v>
      </c>
      <c r="G3821" t="s">
        <v>35</v>
      </c>
      <c r="H3821" t="s">
        <v>35</v>
      </c>
      <c r="J3821" t="s">
        <v>4292</v>
      </c>
      <c r="K3821" t="s">
        <v>1092</v>
      </c>
      <c r="M3821">
        <v>0.85499999999999998</v>
      </c>
      <c r="N3821">
        <v>1908</v>
      </c>
      <c r="O3821" t="s">
        <v>575</v>
      </c>
      <c r="Q3821" t="s">
        <v>4293</v>
      </c>
      <c r="R3821" t="s">
        <v>4139</v>
      </c>
      <c r="S3821" t="s">
        <v>544</v>
      </c>
    </row>
    <row r="3822" spans="1:19" x14ac:dyDescent="0.25">
      <c r="A3822" t="s">
        <v>44</v>
      </c>
      <c r="B3822" t="s">
        <v>3</v>
      </c>
      <c r="C3822" t="s">
        <v>32</v>
      </c>
      <c r="D3822" t="s">
        <v>522</v>
      </c>
      <c r="E3822" t="s">
        <v>561</v>
      </c>
      <c r="F3822" t="s">
        <v>35</v>
      </c>
      <c r="G3822" t="s">
        <v>35</v>
      </c>
      <c r="H3822" t="s">
        <v>35</v>
      </c>
      <c r="J3822" t="s">
        <v>4294</v>
      </c>
      <c r="K3822" t="s">
        <v>1092</v>
      </c>
      <c r="M3822">
        <v>0.1</v>
      </c>
      <c r="N3822">
        <v>402</v>
      </c>
      <c r="O3822" t="s">
        <v>294</v>
      </c>
      <c r="Q3822" t="s">
        <v>1369</v>
      </c>
      <c r="R3822" t="s">
        <v>4139</v>
      </c>
      <c r="S3822" t="s">
        <v>544</v>
      </c>
    </row>
    <row r="3823" spans="1:19" x14ac:dyDescent="0.25">
      <c r="A3823" t="s">
        <v>30</v>
      </c>
      <c r="B3823" t="s">
        <v>31</v>
      </c>
      <c r="C3823" t="s">
        <v>32</v>
      </c>
      <c r="D3823" t="s">
        <v>522</v>
      </c>
      <c r="E3823" t="s">
        <v>561</v>
      </c>
      <c r="F3823" t="s">
        <v>35</v>
      </c>
      <c r="G3823" t="s">
        <v>35</v>
      </c>
      <c r="H3823" t="s">
        <v>35</v>
      </c>
      <c r="J3823" t="s">
        <v>4264</v>
      </c>
      <c r="K3823" t="s">
        <v>1092</v>
      </c>
      <c r="M3823">
        <v>1.79</v>
      </c>
      <c r="N3823">
        <v>1357</v>
      </c>
      <c r="O3823" t="s">
        <v>575</v>
      </c>
      <c r="Q3823" t="s">
        <v>4295</v>
      </c>
      <c r="R3823" t="s">
        <v>4090</v>
      </c>
      <c r="S3823" t="s">
        <v>4091</v>
      </c>
    </row>
    <row r="3824" spans="1:19" x14ac:dyDescent="0.25">
      <c r="A3824" t="s">
        <v>44</v>
      </c>
      <c r="B3824" t="s">
        <v>51</v>
      </c>
      <c r="C3824" t="s">
        <v>32</v>
      </c>
      <c r="D3824" t="s">
        <v>522</v>
      </c>
      <c r="E3824" t="s">
        <v>561</v>
      </c>
      <c r="F3824" t="s">
        <v>35</v>
      </c>
      <c r="G3824" t="s">
        <v>35</v>
      </c>
      <c r="H3824" t="s">
        <v>35</v>
      </c>
      <c r="J3824" t="s">
        <v>4296</v>
      </c>
      <c r="K3824" t="s">
        <v>1092</v>
      </c>
      <c r="M3824">
        <v>1.2</v>
      </c>
      <c r="N3824">
        <v>509</v>
      </c>
      <c r="O3824" t="s">
        <v>294</v>
      </c>
      <c r="Q3824" t="s">
        <v>296</v>
      </c>
      <c r="R3824" t="s">
        <v>4125</v>
      </c>
      <c r="S3824" t="s">
        <v>562</v>
      </c>
    </row>
    <row r="3825" spans="1:19" x14ac:dyDescent="0.25">
      <c r="A3825" t="s">
        <v>44</v>
      </c>
      <c r="B3825" t="s">
        <v>3</v>
      </c>
      <c r="C3825" t="s">
        <v>32</v>
      </c>
      <c r="D3825" t="s">
        <v>522</v>
      </c>
      <c r="E3825" t="s">
        <v>561</v>
      </c>
      <c r="F3825" t="s">
        <v>35</v>
      </c>
      <c r="G3825" t="s">
        <v>35</v>
      </c>
      <c r="H3825" t="s">
        <v>35</v>
      </c>
      <c r="J3825" t="s">
        <v>4296</v>
      </c>
      <c r="K3825" t="s">
        <v>1092</v>
      </c>
      <c r="M3825">
        <v>0.5</v>
      </c>
      <c r="N3825">
        <v>490</v>
      </c>
      <c r="O3825" t="s">
        <v>294</v>
      </c>
      <c r="Q3825" t="s">
        <v>1582</v>
      </c>
      <c r="R3825" t="s">
        <v>4139</v>
      </c>
      <c r="S3825" t="s">
        <v>544</v>
      </c>
    </row>
    <row r="3826" spans="1:19" x14ac:dyDescent="0.25">
      <c r="A3826" t="s">
        <v>59</v>
      </c>
      <c r="B3826" t="s">
        <v>60</v>
      </c>
      <c r="C3826" t="s">
        <v>32</v>
      </c>
      <c r="D3826" t="s">
        <v>522</v>
      </c>
      <c r="E3826" t="s">
        <v>561</v>
      </c>
      <c r="F3826" t="s">
        <v>35</v>
      </c>
      <c r="G3826" t="s">
        <v>35</v>
      </c>
      <c r="H3826" t="s">
        <v>35</v>
      </c>
      <c r="J3826" t="s">
        <v>4296</v>
      </c>
      <c r="K3826" t="s">
        <v>1092</v>
      </c>
      <c r="M3826">
        <v>0.25</v>
      </c>
      <c r="N3826">
        <v>1612</v>
      </c>
      <c r="O3826" t="s">
        <v>575</v>
      </c>
      <c r="Q3826" t="s">
        <v>4297</v>
      </c>
      <c r="R3826" t="s">
        <v>4125</v>
      </c>
      <c r="S3826" t="s">
        <v>562</v>
      </c>
    </row>
    <row r="3827" spans="1:19" x14ac:dyDescent="0.25">
      <c r="A3827" t="s">
        <v>30</v>
      </c>
      <c r="B3827" t="s">
        <v>31</v>
      </c>
      <c r="C3827" t="s">
        <v>32</v>
      </c>
      <c r="D3827" t="s">
        <v>522</v>
      </c>
      <c r="E3827" t="s">
        <v>561</v>
      </c>
      <c r="F3827" t="s">
        <v>35</v>
      </c>
      <c r="G3827" t="s">
        <v>35</v>
      </c>
      <c r="H3827" t="s">
        <v>35</v>
      </c>
      <c r="J3827" t="s">
        <v>4296</v>
      </c>
      <c r="K3827" t="s">
        <v>1092</v>
      </c>
      <c r="M3827">
        <v>10.035</v>
      </c>
      <c r="N3827">
        <v>533</v>
      </c>
      <c r="O3827" t="s">
        <v>294</v>
      </c>
      <c r="Q3827" t="s">
        <v>4047</v>
      </c>
      <c r="R3827" t="s">
        <v>538</v>
      </c>
      <c r="S3827" t="s">
        <v>539</v>
      </c>
    </row>
    <row r="3828" spans="1:19" x14ac:dyDescent="0.25">
      <c r="A3828" t="s">
        <v>59</v>
      </c>
      <c r="B3828" t="s">
        <v>60</v>
      </c>
      <c r="C3828" t="s">
        <v>32</v>
      </c>
      <c r="D3828" t="s">
        <v>522</v>
      </c>
      <c r="E3828" t="s">
        <v>561</v>
      </c>
      <c r="F3828" t="s">
        <v>35</v>
      </c>
      <c r="G3828" t="s">
        <v>35</v>
      </c>
      <c r="H3828" t="s">
        <v>35</v>
      </c>
      <c r="J3828" t="s">
        <v>4296</v>
      </c>
      <c r="K3828" t="s">
        <v>1092</v>
      </c>
      <c r="M3828">
        <v>1</v>
      </c>
      <c r="N3828">
        <v>1258</v>
      </c>
      <c r="O3828" t="s">
        <v>575</v>
      </c>
      <c r="Q3828" t="s">
        <v>2512</v>
      </c>
      <c r="R3828" t="s">
        <v>4125</v>
      </c>
      <c r="S3828" t="s">
        <v>562</v>
      </c>
    </row>
    <row r="3829" spans="1:19" x14ac:dyDescent="0.25">
      <c r="A3829" t="s">
        <v>30</v>
      </c>
      <c r="B3829" t="s">
        <v>31</v>
      </c>
      <c r="C3829" t="s">
        <v>32</v>
      </c>
      <c r="D3829" t="s">
        <v>522</v>
      </c>
      <c r="E3829" t="s">
        <v>561</v>
      </c>
      <c r="F3829" t="s">
        <v>35</v>
      </c>
      <c r="G3829" t="s">
        <v>35</v>
      </c>
      <c r="H3829" t="s">
        <v>35</v>
      </c>
      <c r="J3829" t="s">
        <v>4298</v>
      </c>
      <c r="K3829" t="s">
        <v>1092</v>
      </c>
      <c r="M3829">
        <v>0.495</v>
      </c>
      <c r="N3829">
        <v>133</v>
      </c>
      <c r="O3829" t="s">
        <v>38</v>
      </c>
      <c r="Q3829" t="s">
        <v>68</v>
      </c>
      <c r="R3829" t="s">
        <v>548</v>
      </c>
      <c r="S3829" t="s">
        <v>524</v>
      </c>
    </row>
    <row r="3830" spans="1:19" x14ac:dyDescent="0.25">
      <c r="A3830" t="s">
        <v>59</v>
      </c>
      <c r="B3830" t="s">
        <v>60</v>
      </c>
      <c r="C3830" t="s">
        <v>32</v>
      </c>
      <c r="D3830" t="s">
        <v>522</v>
      </c>
      <c r="E3830" t="s">
        <v>561</v>
      </c>
      <c r="F3830" t="s">
        <v>35</v>
      </c>
      <c r="G3830" t="s">
        <v>35</v>
      </c>
      <c r="H3830" t="s">
        <v>35</v>
      </c>
      <c r="J3830" t="s">
        <v>4298</v>
      </c>
      <c r="K3830" t="s">
        <v>1092</v>
      </c>
      <c r="M3830">
        <v>0.75</v>
      </c>
      <c r="N3830">
        <v>256</v>
      </c>
      <c r="O3830" t="s">
        <v>5</v>
      </c>
      <c r="Q3830" t="s">
        <v>4299</v>
      </c>
      <c r="R3830" t="s">
        <v>4139</v>
      </c>
      <c r="S3830" t="s">
        <v>544</v>
      </c>
    </row>
    <row r="3831" spans="1:19" x14ac:dyDescent="0.25">
      <c r="A3831" t="s">
        <v>44</v>
      </c>
      <c r="B3831" t="s">
        <v>3</v>
      </c>
      <c r="C3831" t="s">
        <v>32</v>
      </c>
      <c r="D3831" t="s">
        <v>522</v>
      </c>
      <c r="E3831" t="s">
        <v>561</v>
      </c>
      <c r="F3831" t="s">
        <v>35</v>
      </c>
      <c r="G3831" t="s">
        <v>35</v>
      </c>
      <c r="H3831" t="s">
        <v>35</v>
      </c>
      <c r="J3831" t="s">
        <v>4300</v>
      </c>
      <c r="K3831" t="s">
        <v>1092</v>
      </c>
      <c r="M3831">
        <v>0.75</v>
      </c>
      <c r="N3831">
        <v>257</v>
      </c>
      <c r="O3831" t="s">
        <v>5</v>
      </c>
      <c r="Q3831" t="s">
        <v>1286</v>
      </c>
      <c r="R3831" t="s">
        <v>4036</v>
      </c>
      <c r="S3831" t="s">
        <v>534</v>
      </c>
    </row>
    <row r="3832" spans="1:19" x14ac:dyDescent="0.25">
      <c r="A3832" t="s">
        <v>59</v>
      </c>
      <c r="B3832" t="s">
        <v>60</v>
      </c>
      <c r="C3832" t="s">
        <v>32</v>
      </c>
      <c r="D3832" t="s">
        <v>522</v>
      </c>
      <c r="E3832" t="s">
        <v>561</v>
      </c>
      <c r="F3832" t="s">
        <v>35</v>
      </c>
      <c r="G3832" t="s">
        <v>35</v>
      </c>
      <c r="H3832" t="s">
        <v>35</v>
      </c>
      <c r="J3832" t="s">
        <v>4300</v>
      </c>
      <c r="K3832" t="s">
        <v>1092</v>
      </c>
      <c r="M3832">
        <v>0.9</v>
      </c>
      <c r="N3832">
        <v>1233</v>
      </c>
      <c r="O3832" t="s">
        <v>575</v>
      </c>
      <c r="Q3832" t="s">
        <v>4302</v>
      </c>
      <c r="R3832" t="s">
        <v>4102</v>
      </c>
      <c r="S3832" t="s">
        <v>4103</v>
      </c>
    </row>
    <row r="3833" spans="1:19" x14ac:dyDescent="0.25">
      <c r="A3833" t="s">
        <v>30</v>
      </c>
      <c r="B3833" t="s">
        <v>31</v>
      </c>
      <c r="C3833" t="s">
        <v>32</v>
      </c>
      <c r="D3833" t="s">
        <v>522</v>
      </c>
      <c r="E3833" t="s">
        <v>561</v>
      </c>
      <c r="F3833" t="s">
        <v>35</v>
      </c>
      <c r="G3833" t="s">
        <v>35</v>
      </c>
      <c r="H3833" t="s">
        <v>35</v>
      </c>
      <c r="J3833" t="s">
        <v>4300</v>
      </c>
      <c r="K3833" t="s">
        <v>1092</v>
      </c>
      <c r="M3833">
        <v>0.45</v>
      </c>
      <c r="N3833">
        <v>410</v>
      </c>
      <c r="O3833" t="s">
        <v>294</v>
      </c>
      <c r="Q3833" t="s">
        <v>4301</v>
      </c>
      <c r="R3833" t="s">
        <v>548</v>
      </c>
      <c r="S3833" t="s">
        <v>524</v>
      </c>
    </row>
    <row r="3834" spans="1:19" x14ac:dyDescent="0.25">
      <c r="A3834" t="s">
        <v>59</v>
      </c>
      <c r="B3834" t="s">
        <v>31</v>
      </c>
      <c r="C3834" t="s">
        <v>32</v>
      </c>
      <c r="D3834" t="s">
        <v>522</v>
      </c>
      <c r="E3834" t="s">
        <v>561</v>
      </c>
      <c r="F3834" t="s">
        <v>35</v>
      </c>
      <c r="G3834" t="s">
        <v>35</v>
      </c>
      <c r="H3834" t="s">
        <v>35</v>
      </c>
      <c r="J3834" t="s">
        <v>4303</v>
      </c>
      <c r="K3834" t="s">
        <v>1092</v>
      </c>
      <c r="M3834">
        <v>4.05</v>
      </c>
      <c r="N3834">
        <v>139</v>
      </c>
      <c r="O3834" t="s">
        <v>38</v>
      </c>
      <c r="Q3834" t="s">
        <v>1696</v>
      </c>
      <c r="R3834" t="s">
        <v>548</v>
      </c>
      <c r="S3834" t="s">
        <v>524</v>
      </c>
    </row>
    <row r="3835" spans="1:19" x14ac:dyDescent="0.25">
      <c r="A3835" t="s">
        <v>30</v>
      </c>
      <c r="B3835" t="s">
        <v>31</v>
      </c>
      <c r="C3835" t="s">
        <v>32</v>
      </c>
      <c r="D3835" t="s">
        <v>522</v>
      </c>
      <c r="E3835" t="s">
        <v>561</v>
      </c>
      <c r="F3835" t="s">
        <v>35</v>
      </c>
      <c r="G3835" t="s">
        <v>35</v>
      </c>
      <c r="H3835" t="s">
        <v>35</v>
      </c>
      <c r="J3835" t="s">
        <v>4303</v>
      </c>
      <c r="K3835" t="s">
        <v>1092</v>
      </c>
      <c r="M3835">
        <v>5.85</v>
      </c>
      <c r="N3835">
        <v>95</v>
      </c>
      <c r="O3835" t="s">
        <v>106</v>
      </c>
      <c r="Q3835" t="s">
        <v>724</v>
      </c>
      <c r="R3835" t="s">
        <v>548</v>
      </c>
      <c r="S3835" t="s">
        <v>524</v>
      </c>
    </row>
    <row r="3836" spans="1:19" x14ac:dyDescent="0.25">
      <c r="A3836" t="s">
        <v>59</v>
      </c>
      <c r="B3836" t="s">
        <v>60</v>
      </c>
      <c r="C3836" t="s">
        <v>32</v>
      </c>
      <c r="D3836" t="s">
        <v>522</v>
      </c>
      <c r="E3836" t="s">
        <v>561</v>
      </c>
      <c r="F3836" t="s">
        <v>35</v>
      </c>
      <c r="G3836" t="s">
        <v>35</v>
      </c>
      <c r="H3836" t="s">
        <v>35</v>
      </c>
      <c r="J3836" t="s">
        <v>4304</v>
      </c>
      <c r="K3836" t="s">
        <v>1092</v>
      </c>
      <c r="M3836">
        <v>1</v>
      </c>
      <c r="N3836">
        <v>272</v>
      </c>
      <c r="O3836" t="s">
        <v>5</v>
      </c>
      <c r="Q3836" t="s">
        <v>1264</v>
      </c>
      <c r="R3836" t="s">
        <v>4036</v>
      </c>
      <c r="S3836" t="s">
        <v>534</v>
      </c>
    </row>
    <row r="3837" spans="1:19" x14ac:dyDescent="0.25">
      <c r="A3837" t="s">
        <v>44</v>
      </c>
      <c r="B3837" t="s">
        <v>3</v>
      </c>
      <c r="C3837" t="s">
        <v>32</v>
      </c>
      <c r="D3837" t="s">
        <v>522</v>
      </c>
      <c r="E3837" t="s">
        <v>561</v>
      </c>
      <c r="F3837" t="s">
        <v>35</v>
      </c>
      <c r="G3837" t="s">
        <v>35</v>
      </c>
      <c r="H3837" t="s">
        <v>35</v>
      </c>
      <c r="J3837" t="s">
        <v>4305</v>
      </c>
      <c r="K3837" t="s">
        <v>1092</v>
      </c>
      <c r="M3837">
        <v>0.75</v>
      </c>
      <c r="N3837">
        <v>228</v>
      </c>
      <c r="O3837" t="s">
        <v>5</v>
      </c>
      <c r="Q3837" t="s">
        <v>1979</v>
      </c>
      <c r="R3837" t="s">
        <v>4125</v>
      </c>
      <c r="S3837" t="s">
        <v>562</v>
      </c>
    </row>
    <row r="3838" spans="1:19" x14ac:dyDescent="0.25">
      <c r="A3838" t="s">
        <v>59</v>
      </c>
      <c r="B3838" t="s">
        <v>60</v>
      </c>
      <c r="C3838" t="s">
        <v>32</v>
      </c>
      <c r="D3838" t="s">
        <v>522</v>
      </c>
      <c r="E3838" t="s">
        <v>561</v>
      </c>
      <c r="F3838" t="s">
        <v>35</v>
      </c>
      <c r="G3838" t="s">
        <v>35</v>
      </c>
      <c r="H3838" t="s">
        <v>35</v>
      </c>
      <c r="J3838" t="s">
        <v>4306</v>
      </c>
      <c r="K3838" t="s">
        <v>1092</v>
      </c>
      <c r="M3838">
        <v>0.25</v>
      </c>
      <c r="N3838">
        <v>266</v>
      </c>
      <c r="O3838" t="s">
        <v>5</v>
      </c>
      <c r="Q3838" t="s">
        <v>117</v>
      </c>
      <c r="R3838" t="s">
        <v>4036</v>
      </c>
      <c r="S3838" t="s">
        <v>534</v>
      </c>
    </row>
    <row r="3839" spans="1:19" x14ac:dyDescent="0.25">
      <c r="A3839" t="s">
        <v>59</v>
      </c>
      <c r="B3839" t="s">
        <v>60</v>
      </c>
      <c r="C3839" t="s">
        <v>32</v>
      </c>
      <c r="D3839" t="s">
        <v>522</v>
      </c>
      <c r="E3839" t="s">
        <v>561</v>
      </c>
      <c r="F3839" t="s">
        <v>35</v>
      </c>
      <c r="G3839" t="s">
        <v>35</v>
      </c>
      <c r="H3839" t="s">
        <v>35</v>
      </c>
      <c r="J3839" t="s">
        <v>4306</v>
      </c>
      <c r="K3839" t="s">
        <v>1092</v>
      </c>
      <c r="M3839">
        <v>0.5</v>
      </c>
      <c r="N3839">
        <v>253</v>
      </c>
      <c r="O3839" t="s">
        <v>5</v>
      </c>
      <c r="Q3839" t="s">
        <v>1502</v>
      </c>
      <c r="R3839" t="s">
        <v>4036</v>
      </c>
      <c r="S3839" t="s">
        <v>534</v>
      </c>
    </row>
    <row r="3840" spans="1:19" x14ac:dyDescent="0.25">
      <c r="A3840" t="s">
        <v>59</v>
      </c>
      <c r="B3840" t="s">
        <v>60</v>
      </c>
      <c r="C3840" t="s">
        <v>32</v>
      </c>
      <c r="D3840" t="s">
        <v>522</v>
      </c>
      <c r="E3840" t="s">
        <v>561</v>
      </c>
      <c r="F3840" t="s">
        <v>35</v>
      </c>
      <c r="G3840" t="s">
        <v>35</v>
      </c>
      <c r="H3840" t="s">
        <v>35</v>
      </c>
      <c r="J3840" t="s">
        <v>4307</v>
      </c>
      <c r="K3840" t="s">
        <v>1092</v>
      </c>
      <c r="M3840">
        <v>3</v>
      </c>
      <c r="N3840">
        <v>150</v>
      </c>
      <c r="O3840" t="s">
        <v>38</v>
      </c>
      <c r="Q3840" t="s">
        <v>1612</v>
      </c>
      <c r="R3840" t="s">
        <v>4102</v>
      </c>
      <c r="S3840" t="s">
        <v>4103</v>
      </c>
    </row>
    <row r="3841" spans="1:19" x14ac:dyDescent="0.25">
      <c r="A3841" t="s">
        <v>44</v>
      </c>
      <c r="B3841" t="s">
        <v>3</v>
      </c>
      <c r="C3841" t="s">
        <v>32</v>
      </c>
      <c r="D3841" t="s">
        <v>522</v>
      </c>
      <c r="E3841" t="s">
        <v>561</v>
      </c>
      <c r="F3841" t="s">
        <v>35</v>
      </c>
      <c r="G3841" t="s">
        <v>35</v>
      </c>
      <c r="H3841" t="s">
        <v>35</v>
      </c>
      <c r="J3841" t="s">
        <v>4291</v>
      </c>
      <c r="K3841" t="s">
        <v>1092</v>
      </c>
      <c r="M3841">
        <v>3.3000000000000002E-2</v>
      </c>
      <c r="N3841">
        <v>397</v>
      </c>
      <c r="O3841" t="s">
        <v>294</v>
      </c>
      <c r="Q3841" t="s">
        <v>1808</v>
      </c>
      <c r="R3841" t="s">
        <v>4090</v>
      </c>
      <c r="S3841" t="s">
        <v>4091</v>
      </c>
    </row>
    <row r="3842" spans="1:19" x14ac:dyDescent="0.25">
      <c r="A3842" t="s">
        <v>44</v>
      </c>
      <c r="B3842" t="s">
        <v>51</v>
      </c>
      <c r="C3842" t="s">
        <v>32</v>
      </c>
      <c r="D3842" t="s">
        <v>522</v>
      </c>
      <c r="E3842" t="s">
        <v>561</v>
      </c>
      <c r="F3842" t="s">
        <v>35</v>
      </c>
      <c r="G3842" t="s">
        <v>35</v>
      </c>
      <c r="H3842" t="s">
        <v>35</v>
      </c>
      <c r="J3842" t="s">
        <v>4291</v>
      </c>
      <c r="K3842" t="s">
        <v>1092</v>
      </c>
      <c r="M3842">
        <v>1</v>
      </c>
      <c r="N3842">
        <v>181</v>
      </c>
      <c r="O3842" t="s">
        <v>5</v>
      </c>
      <c r="Q3842" t="s">
        <v>1684</v>
      </c>
      <c r="R3842" t="s">
        <v>4090</v>
      </c>
      <c r="S3842" t="s">
        <v>4091</v>
      </c>
    </row>
    <row r="3843" spans="1:19" x14ac:dyDescent="0.25">
      <c r="A3843" t="s">
        <v>30</v>
      </c>
      <c r="B3843" t="s">
        <v>31</v>
      </c>
      <c r="C3843" t="s">
        <v>32</v>
      </c>
      <c r="D3843" t="s">
        <v>522</v>
      </c>
      <c r="E3843" t="s">
        <v>561</v>
      </c>
      <c r="F3843" t="s">
        <v>35</v>
      </c>
      <c r="G3843" t="s">
        <v>35</v>
      </c>
      <c r="H3843" t="s">
        <v>35</v>
      </c>
      <c r="J3843" t="s">
        <v>4308</v>
      </c>
      <c r="K3843" t="s">
        <v>1092</v>
      </c>
      <c r="M3843">
        <v>1.575</v>
      </c>
      <c r="N3843">
        <v>107</v>
      </c>
      <c r="O3843" t="s">
        <v>106</v>
      </c>
      <c r="Q3843" t="s">
        <v>1621</v>
      </c>
      <c r="R3843" t="s">
        <v>548</v>
      </c>
      <c r="S3843" t="s">
        <v>524</v>
      </c>
    </row>
    <row r="3844" spans="1:19" x14ac:dyDescent="0.25">
      <c r="A3844" t="s">
        <v>59</v>
      </c>
      <c r="B3844" t="s">
        <v>31</v>
      </c>
      <c r="C3844" t="s">
        <v>32</v>
      </c>
      <c r="D3844" t="s">
        <v>522</v>
      </c>
      <c r="E3844" t="s">
        <v>561</v>
      </c>
      <c r="F3844" t="s">
        <v>35</v>
      </c>
      <c r="G3844" t="s">
        <v>35</v>
      </c>
      <c r="H3844" t="s">
        <v>35</v>
      </c>
      <c r="J3844" t="s">
        <v>4309</v>
      </c>
      <c r="K3844" t="s">
        <v>1092</v>
      </c>
      <c r="M3844">
        <v>8.7750000000000004</v>
      </c>
      <c r="N3844">
        <v>126</v>
      </c>
      <c r="O3844" t="s">
        <v>38</v>
      </c>
      <c r="Q3844" t="s">
        <v>1813</v>
      </c>
      <c r="R3844" t="s">
        <v>3931</v>
      </c>
      <c r="S3844" t="s">
        <v>3932</v>
      </c>
    </row>
    <row r="3845" spans="1:19" x14ac:dyDescent="0.25">
      <c r="A3845" t="s">
        <v>30</v>
      </c>
      <c r="B3845" t="s">
        <v>31</v>
      </c>
      <c r="C3845" t="s">
        <v>32</v>
      </c>
      <c r="D3845" t="s">
        <v>522</v>
      </c>
      <c r="E3845" t="s">
        <v>561</v>
      </c>
      <c r="F3845" t="s">
        <v>35</v>
      </c>
      <c r="G3845" t="s">
        <v>35</v>
      </c>
      <c r="H3845" t="s">
        <v>35</v>
      </c>
      <c r="J3845" t="s">
        <v>4309</v>
      </c>
      <c r="K3845" t="s">
        <v>1092</v>
      </c>
      <c r="M3845">
        <v>0.22500000000000001</v>
      </c>
      <c r="N3845">
        <v>335</v>
      </c>
      <c r="O3845" t="s">
        <v>5</v>
      </c>
      <c r="Q3845" t="s">
        <v>1306</v>
      </c>
      <c r="R3845" t="s">
        <v>538</v>
      </c>
      <c r="S3845" t="s">
        <v>539</v>
      </c>
    </row>
    <row r="3846" spans="1:19" x14ac:dyDescent="0.25">
      <c r="A3846" t="s">
        <v>59</v>
      </c>
      <c r="B3846" t="s">
        <v>31</v>
      </c>
      <c r="C3846" t="s">
        <v>32</v>
      </c>
      <c r="D3846" t="s">
        <v>522</v>
      </c>
      <c r="E3846" t="s">
        <v>565</v>
      </c>
      <c r="F3846" t="s">
        <v>35</v>
      </c>
      <c r="G3846" t="s">
        <v>35</v>
      </c>
      <c r="H3846" t="s">
        <v>35</v>
      </c>
      <c r="J3846" t="s">
        <v>4310</v>
      </c>
      <c r="K3846" t="s">
        <v>1092</v>
      </c>
      <c r="M3846">
        <v>11.025</v>
      </c>
      <c r="N3846">
        <v>140</v>
      </c>
      <c r="O3846" t="s">
        <v>38</v>
      </c>
      <c r="Q3846" t="s">
        <v>609</v>
      </c>
      <c r="R3846" t="s">
        <v>3931</v>
      </c>
      <c r="S3846" t="s">
        <v>3932</v>
      </c>
    </row>
    <row r="3847" spans="1:19" x14ac:dyDescent="0.25">
      <c r="A3847" t="s">
        <v>44</v>
      </c>
      <c r="B3847" t="s">
        <v>51</v>
      </c>
      <c r="C3847" t="s">
        <v>32</v>
      </c>
      <c r="D3847" t="s">
        <v>522</v>
      </c>
      <c r="E3847" t="s">
        <v>565</v>
      </c>
      <c r="F3847" t="s">
        <v>35</v>
      </c>
      <c r="G3847" t="s">
        <v>35</v>
      </c>
      <c r="H3847" t="s">
        <v>35</v>
      </c>
      <c r="J3847" t="s">
        <v>4310</v>
      </c>
      <c r="K3847" t="s">
        <v>1092</v>
      </c>
      <c r="M3847">
        <v>11</v>
      </c>
      <c r="N3847">
        <v>80</v>
      </c>
      <c r="O3847" t="s">
        <v>61</v>
      </c>
      <c r="Q3847" t="s">
        <v>477</v>
      </c>
      <c r="R3847" t="s">
        <v>577</v>
      </c>
      <c r="S3847" t="s">
        <v>578</v>
      </c>
    </row>
    <row r="3848" spans="1:19" x14ac:dyDescent="0.25">
      <c r="A3848" t="s">
        <v>59</v>
      </c>
      <c r="B3848" t="s">
        <v>31</v>
      </c>
      <c r="C3848" t="s">
        <v>32</v>
      </c>
      <c r="D3848" t="s">
        <v>522</v>
      </c>
      <c r="E3848" t="s">
        <v>565</v>
      </c>
      <c r="F3848" t="s">
        <v>35</v>
      </c>
      <c r="G3848" t="s">
        <v>35</v>
      </c>
      <c r="H3848" t="s">
        <v>35</v>
      </c>
      <c r="J3848" t="s">
        <v>4310</v>
      </c>
      <c r="K3848" t="s">
        <v>1092</v>
      </c>
      <c r="M3848">
        <v>3.915</v>
      </c>
      <c r="N3848">
        <v>198</v>
      </c>
      <c r="O3848" t="s">
        <v>5</v>
      </c>
      <c r="Q3848" t="s">
        <v>4086</v>
      </c>
      <c r="R3848" t="s">
        <v>538</v>
      </c>
      <c r="S3848" t="s">
        <v>539</v>
      </c>
    </row>
    <row r="3849" spans="1:19" x14ac:dyDescent="0.25">
      <c r="A3849" t="s">
        <v>30</v>
      </c>
      <c r="B3849" t="s">
        <v>31</v>
      </c>
      <c r="C3849" t="s">
        <v>32</v>
      </c>
      <c r="D3849" t="s">
        <v>522</v>
      </c>
      <c r="E3849" t="s">
        <v>565</v>
      </c>
      <c r="F3849" t="s">
        <v>35</v>
      </c>
      <c r="G3849" t="s">
        <v>35</v>
      </c>
      <c r="H3849" t="s">
        <v>35</v>
      </c>
      <c r="J3849" t="s">
        <v>4311</v>
      </c>
      <c r="K3849" t="s">
        <v>1092</v>
      </c>
      <c r="M3849">
        <v>9.81</v>
      </c>
      <c r="N3849">
        <v>9</v>
      </c>
      <c r="O3849" t="s">
        <v>46</v>
      </c>
      <c r="Q3849" t="s">
        <v>2009</v>
      </c>
      <c r="R3849" t="s">
        <v>548</v>
      </c>
      <c r="S3849" t="s">
        <v>524</v>
      </c>
    </row>
    <row r="3850" spans="1:19" x14ac:dyDescent="0.25">
      <c r="A3850" t="s">
        <v>59</v>
      </c>
      <c r="B3850" t="s">
        <v>60</v>
      </c>
      <c r="C3850" t="s">
        <v>32</v>
      </c>
      <c r="D3850" t="s">
        <v>522</v>
      </c>
      <c r="E3850" t="s">
        <v>565</v>
      </c>
      <c r="F3850" t="s">
        <v>35</v>
      </c>
      <c r="G3850" t="s">
        <v>35</v>
      </c>
      <c r="H3850" t="s">
        <v>35</v>
      </c>
      <c r="J3850" t="s">
        <v>4311</v>
      </c>
      <c r="K3850" t="s">
        <v>1092</v>
      </c>
      <c r="M3850">
        <v>0.35</v>
      </c>
      <c r="N3850">
        <v>161</v>
      </c>
      <c r="O3850" t="s">
        <v>38</v>
      </c>
      <c r="Q3850" t="s">
        <v>2639</v>
      </c>
      <c r="R3850" t="s">
        <v>559</v>
      </c>
      <c r="S3850" t="s">
        <v>554</v>
      </c>
    </row>
    <row r="3851" spans="1:19" x14ac:dyDescent="0.25">
      <c r="A3851" t="s">
        <v>59</v>
      </c>
      <c r="B3851" t="s">
        <v>31</v>
      </c>
      <c r="C3851" t="s">
        <v>32</v>
      </c>
      <c r="D3851" t="s">
        <v>522</v>
      </c>
      <c r="E3851" t="s">
        <v>565</v>
      </c>
      <c r="F3851" t="s">
        <v>35</v>
      </c>
      <c r="G3851" t="s">
        <v>35</v>
      </c>
      <c r="H3851" t="s">
        <v>35</v>
      </c>
      <c r="J3851" t="s">
        <v>4311</v>
      </c>
      <c r="K3851" t="s">
        <v>1092</v>
      </c>
      <c r="M3851">
        <v>5.5350000000000001</v>
      </c>
      <c r="N3851">
        <v>149</v>
      </c>
      <c r="O3851" t="s">
        <v>38</v>
      </c>
      <c r="Q3851" t="s">
        <v>73</v>
      </c>
      <c r="R3851" t="s">
        <v>3985</v>
      </c>
      <c r="S3851" t="s">
        <v>3986</v>
      </c>
    </row>
    <row r="3852" spans="1:19" x14ac:dyDescent="0.25">
      <c r="A3852" t="s">
        <v>30</v>
      </c>
      <c r="B3852" t="s">
        <v>31</v>
      </c>
      <c r="C3852" t="s">
        <v>32</v>
      </c>
      <c r="D3852" t="s">
        <v>522</v>
      </c>
      <c r="E3852" t="s">
        <v>565</v>
      </c>
      <c r="F3852" t="s">
        <v>35</v>
      </c>
      <c r="G3852" t="s">
        <v>35</v>
      </c>
      <c r="H3852" t="s">
        <v>35</v>
      </c>
      <c r="J3852" t="s">
        <v>4312</v>
      </c>
      <c r="K3852" t="s">
        <v>1092</v>
      </c>
      <c r="M3852">
        <v>15.03</v>
      </c>
      <c r="N3852">
        <v>45</v>
      </c>
      <c r="O3852" t="s">
        <v>52</v>
      </c>
      <c r="Q3852" t="s">
        <v>716</v>
      </c>
      <c r="R3852" t="s">
        <v>3931</v>
      </c>
      <c r="S3852" t="s">
        <v>3932</v>
      </c>
    </row>
    <row r="3853" spans="1:19" x14ac:dyDescent="0.25">
      <c r="A3853" t="s">
        <v>30</v>
      </c>
      <c r="B3853" t="s">
        <v>31</v>
      </c>
      <c r="C3853" t="s">
        <v>32</v>
      </c>
      <c r="D3853" t="s">
        <v>522</v>
      </c>
      <c r="E3853" t="s">
        <v>565</v>
      </c>
      <c r="F3853" t="s">
        <v>35</v>
      </c>
      <c r="G3853" t="s">
        <v>35</v>
      </c>
      <c r="H3853" t="s">
        <v>35</v>
      </c>
      <c r="J3853" t="s">
        <v>4313</v>
      </c>
      <c r="K3853" t="s">
        <v>1092</v>
      </c>
      <c r="M3853">
        <v>4.4999999999999998E-2</v>
      </c>
      <c r="N3853">
        <v>151</v>
      </c>
      <c r="O3853" t="s">
        <v>38</v>
      </c>
      <c r="Q3853" t="s">
        <v>1269</v>
      </c>
      <c r="R3853" t="s">
        <v>538</v>
      </c>
      <c r="S3853" t="s">
        <v>539</v>
      </c>
    </row>
    <row r="3854" spans="1:19" x14ac:dyDescent="0.25">
      <c r="A3854" t="s">
        <v>30</v>
      </c>
      <c r="B3854" t="s">
        <v>31</v>
      </c>
      <c r="C3854" t="s">
        <v>32</v>
      </c>
      <c r="D3854" t="s">
        <v>522</v>
      </c>
      <c r="E3854" t="s">
        <v>565</v>
      </c>
      <c r="F3854" t="s">
        <v>35</v>
      </c>
      <c r="G3854" t="s">
        <v>35</v>
      </c>
      <c r="H3854" t="s">
        <v>35</v>
      </c>
      <c r="J3854" t="s">
        <v>4314</v>
      </c>
      <c r="K3854" t="s">
        <v>1092</v>
      </c>
      <c r="M3854">
        <v>7.7850000000000001</v>
      </c>
      <c r="N3854">
        <v>155</v>
      </c>
      <c r="O3854" t="s">
        <v>38</v>
      </c>
      <c r="Q3854" t="s">
        <v>3942</v>
      </c>
      <c r="R3854" t="s">
        <v>538</v>
      </c>
      <c r="S3854" t="s">
        <v>539</v>
      </c>
    </row>
    <row r="3855" spans="1:19" x14ac:dyDescent="0.25">
      <c r="A3855" t="s">
        <v>30</v>
      </c>
      <c r="B3855" t="s">
        <v>31</v>
      </c>
      <c r="C3855" t="s">
        <v>32</v>
      </c>
      <c r="D3855" t="s">
        <v>522</v>
      </c>
      <c r="E3855" t="s">
        <v>565</v>
      </c>
      <c r="F3855" t="s">
        <v>35</v>
      </c>
      <c r="G3855" t="s">
        <v>35</v>
      </c>
      <c r="H3855" t="s">
        <v>35</v>
      </c>
      <c r="J3855" t="s">
        <v>4314</v>
      </c>
      <c r="K3855" t="s">
        <v>1092</v>
      </c>
      <c r="M3855">
        <v>11.025</v>
      </c>
      <c r="N3855">
        <v>49</v>
      </c>
      <c r="O3855" t="s">
        <v>52</v>
      </c>
      <c r="Q3855" t="s">
        <v>219</v>
      </c>
      <c r="R3855" t="s">
        <v>538</v>
      </c>
      <c r="S3855" t="s">
        <v>539</v>
      </c>
    </row>
    <row r="3856" spans="1:19" x14ac:dyDescent="0.25">
      <c r="A3856" t="s">
        <v>30</v>
      </c>
      <c r="B3856" t="s">
        <v>31</v>
      </c>
      <c r="C3856" t="s">
        <v>32</v>
      </c>
      <c r="D3856" t="s">
        <v>522</v>
      </c>
      <c r="E3856" t="s">
        <v>565</v>
      </c>
      <c r="F3856" t="s">
        <v>35</v>
      </c>
      <c r="G3856" t="s">
        <v>35</v>
      </c>
      <c r="H3856" t="s">
        <v>35</v>
      </c>
      <c r="J3856" t="s">
        <v>4315</v>
      </c>
      <c r="K3856" t="s">
        <v>1092</v>
      </c>
      <c r="M3856">
        <v>2.2250000000000001</v>
      </c>
      <c r="N3856">
        <v>97</v>
      </c>
      <c r="O3856" t="s">
        <v>106</v>
      </c>
      <c r="Q3856" t="s">
        <v>557</v>
      </c>
      <c r="R3856" t="s">
        <v>538</v>
      </c>
      <c r="S3856" t="s">
        <v>539</v>
      </c>
    </row>
    <row r="3857" spans="1:19" x14ac:dyDescent="0.25">
      <c r="A3857" t="s">
        <v>59</v>
      </c>
      <c r="B3857" t="s">
        <v>31</v>
      </c>
      <c r="C3857" t="s">
        <v>32</v>
      </c>
      <c r="D3857" t="s">
        <v>522</v>
      </c>
      <c r="E3857" t="s">
        <v>565</v>
      </c>
      <c r="F3857" t="s">
        <v>35</v>
      </c>
      <c r="G3857" t="s">
        <v>35</v>
      </c>
      <c r="H3857" t="s">
        <v>35</v>
      </c>
      <c r="J3857" t="s">
        <v>4315</v>
      </c>
      <c r="K3857" t="s">
        <v>1092</v>
      </c>
      <c r="M3857">
        <v>1.62</v>
      </c>
      <c r="N3857">
        <v>171</v>
      </c>
      <c r="O3857" t="s">
        <v>38</v>
      </c>
      <c r="Q3857" t="s">
        <v>3930</v>
      </c>
      <c r="R3857" t="s">
        <v>538</v>
      </c>
      <c r="S3857" t="s">
        <v>539</v>
      </c>
    </row>
    <row r="3858" spans="1:19" x14ac:dyDescent="0.25">
      <c r="A3858" t="s">
        <v>30</v>
      </c>
      <c r="B3858" t="s">
        <v>31</v>
      </c>
      <c r="C3858" t="s">
        <v>32</v>
      </c>
      <c r="D3858" t="s">
        <v>522</v>
      </c>
      <c r="E3858" t="s">
        <v>565</v>
      </c>
      <c r="F3858" t="s">
        <v>35</v>
      </c>
      <c r="G3858" t="s">
        <v>35</v>
      </c>
      <c r="H3858" t="s">
        <v>35</v>
      </c>
      <c r="J3858" t="s">
        <v>4316</v>
      </c>
      <c r="K3858" t="s">
        <v>1092</v>
      </c>
      <c r="M3858">
        <v>10.170999999999999</v>
      </c>
      <c r="N3858">
        <v>45</v>
      </c>
      <c r="O3858" t="s">
        <v>52</v>
      </c>
      <c r="Q3858" t="s">
        <v>716</v>
      </c>
      <c r="R3858" t="s">
        <v>3931</v>
      </c>
      <c r="S3858" t="s">
        <v>3932</v>
      </c>
    </row>
    <row r="3859" spans="1:19" x14ac:dyDescent="0.25">
      <c r="A3859" t="s">
        <v>59</v>
      </c>
      <c r="B3859" t="s">
        <v>60</v>
      </c>
      <c r="C3859" t="s">
        <v>32</v>
      </c>
      <c r="D3859" t="s">
        <v>522</v>
      </c>
      <c r="E3859" t="s">
        <v>565</v>
      </c>
      <c r="F3859" t="s">
        <v>35</v>
      </c>
      <c r="G3859" t="s">
        <v>35</v>
      </c>
      <c r="H3859" t="s">
        <v>35</v>
      </c>
      <c r="J3859" t="s">
        <v>4316</v>
      </c>
      <c r="K3859" t="s">
        <v>1092</v>
      </c>
      <c r="M3859">
        <v>1.45</v>
      </c>
      <c r="N3859">
        <v>198</v>
      </c>
      <c r="O3859" t="s">
        <v>5</v>
      </c>
      <c r="Q3859" t="s">
        <v>4086</v>
      </c>
      <c r="R3859" t="s">
        <v>3931</v>
      </c>
      <c r="S3859" t="s">
        <v>3932</v>
      </c>
    </row>
    <row r="3860" spans="1:19" x14ac:dyDescent="0.25">
      <c r="A3860" t="s">
        <v>44</v>
      </c>
      <c r="B3860" t="s">
        <v>51</v>
      </c>
      <c r="C3860" t="s">
        <v>32</v>
      </c>
      <c r="D3860" t="s">
        <v>522</v>
      </c>
      <c r="E3860" t="s">
        <v>565</v>
      </c>
      <c r="F3860" t="s">
        <v>35</v>
      </c>
      <c r="G3860" t="s">
        <v>35</v>
      </c>
      <c r="H3860" t="s">
        <v>35</v>
      </c>
      <c r="J3860" t="s">
        <v>4317</v>
      </c>
      <c r="K3860" t="s">
        <v>1092</v>
      </c>
      <c r="M3860">
        <v>0.45</v>
      </c>
      <c r="N3860">
        <v>505</v>
      </c>
      <c r="O3860" t="s">
        <v>294</v>
      </c>
      <c r="Q3860" t="s">
        <v>3749</v>
      </c>
      <c r="R3860" t="s">
        <v>3957</v>
      </c>
      <c r="S3860" t="s">
        <v>3958</v>
      </c>
    </row>
    <row r="3861" spans="1:19" x14ac:dyDescent="0.25">
      <c r="A3861" t="s">
        <v>59</v>
      </c>
      <c r="B3861" t="s">
        <v>31</v>
      </c>
      <c r="C3861" t="s">
        <v>32</v>
      </c>
      <c r="D3861" t="s">
        <v>522</v>
      </c>
      <c r="E3861" t="s">
        <v>565</v>
      </c>
      <c r="F3861" t="s">
        <v>35</v>
      </c>
      <c r="G3861" t="s">
        <v>35</v>
      </c>
      <c r="H3861" t="s">
        <v>35</v>
      </c>
      <c r="J3861" t="s">
        <v>8242</v>
      </c>
      <c r="K3861" t="s">
        <v>1092</v>
      </c>
      <c r="M3861">
        <v>16.875</v>
      </c>
      <c r="N3861">
        <v>6</v>
      </c>
      <c r="O3861" t="s">
        <v>46</v>
      </c>
      <c r="Q3861" t="s">
        <v>8168</v>
      </c>
      <c r="R3861" t="s">
        <v>548</v>
      </c>
      <c r="S3861" t="s">
        <v>524</v>
      </c>
    </row>
    <row r="3862" spans="1:19" x14ac:dyDescent="0.25">
      <c r="A3862" t="s">
        <v>59</v>
      </c>
      <c r="B3862" t="s">
        <v>60</v>
      </c>
      <c r="C3862" t="s">
        <v>32</v>
      </c>
      <c r="D3862" t="s">
        <v>522</v>
      </c>
      <c r="E3862" t="s">
        <v>565</v>
      </c>
      <c r="F3862" t="s">
        <v>35</v>
      </c>
      <c r="G3862" t="s">
        <v>35</v>
      </c>
      <c r="H3862" t="s">
        <v>35</v>
      </c>
      <c r="J3862" t="s">
        <v>8242</v>
      </c>
      <c r="K3862" t="s">
        <v>1092</v>
      </c>
      <c r="M3862">
        <v>16.5</v>
      </c>
      <c r="N3862">
        <v>6</v>
      </c>
      <c r="O3862" t="s">
        <v>46</v>
      </c>
      <c r="Q3862" t="s">
        <v>8168</v>
      </c>
      <c r="R3862" t="s">
        <v>548</v>
      </c>
      <c r="S3862" t="s">
        <v>524</v>
      </c>
    </row>
    <row r="3863" spans="1:19" x14ac:dyDescent="0.25">
      <c r="A3863" t="s">
        <v>30</v>
      </c>
      <c r="B3863" t="s">
        <v>31</v>
      </c>
      <c r="C3863" t="s">
        <v>32</v>
      </c>
      <c r="D3863" t="s">
        <v>522</v>
      </c>
      <c r="E3863" t="s">
        <v>565</v>
      </c>
      <c r="F3863" t="s">
        <v>35</v>
      </c>
      <c r="G3863" t="s">
        <v>35</v>
      </c>
      <c r="H3863" t="s">
        <v>35</v>
      </c>
      <c r="J3863" t="s">
        <v>4318</v>
      </c>
      <c r="K3863" t="s">
        <v>1092</v>
      </c>
      <c r="M3863">
        <v>8.5050000000000008</v>
      </c>
      <c r="N3863">
        <v>49</v>
      </c>
      <c r="O3863" t="s">
        <v>52</v>
      </c>
      <c r="Q3863" t="s">
        <v>219</v>
      </c>
      <c r="R3863" t="s">
        <v>538</v>
      </c>
      <c r="S3863" t="s">
        <v>539</v>
      </c>
    </row>
    <row r="3864" spans="1:19" x14ac:dyDescent="0.25">
      <c r="A3864" t="s">
        <v>30</v>
      </c>
      <c r="B3864" t="s">
        <v>31</v>
      </c>
      <c r="C3864" t="s">
        <v>32</v>
      </c>
      <c r="D3864" t="s">
        <v>522</v>
      </c>
      <c r="E3864" t="s">
        <v>565</v>
      </c>
      <c r="F3864" t="s">
        <v>35</v>
      </c>
      <c r="G3864" t="s">
        <v>35</v>
      </c>
      <c r="H3864" t="s">
        <v>35</v>
      </c>
      <c r="J3864" t="s">
        <v>4124</v>
      </c>
      <c r="K3864" t="s">
        <v>1092</v>
      </c>
      <c r="M3864">
        <v>0.495</v>
      </c>
      <c r="N3864">
        <v>97</v>
      </c>
      <c r="O3864" t="s">
        <v>106</v>
      </c>
      <c r="Q3864" t="s">
        <v>557</v>
      </c>
      <c r="R3864" t="s">
        <v>538</v>
      </c>
      <c r="S3864" t="s">
        <v>539</v>
      </c>
    </row>
    <row r="3865" spans="1:19" x14ac:dyDescent="0.25">
      <c r="A3865" t="s">
        <v>30</v>
      </c>
      <c r="B3865" t="s">
        <v>31</v>
      </c>
      <c r="C3865" t="s">
        <v>32</v>
      </c>
      <c r="D3865" t="s">
        <v>522</v>
      </c>
      <c r="E3865" t="s">
        <v>565</v>
      </c>
      <c r="F3865" t="s">
        <v>35</v>
      </c>
      <c r="G3865" t="s">
        <v>35</v>
      </c>
      <c r="H3865" t="s">
        <v>35</v>
      </c>
      <c r="J3865" t="s">
        <v>4319</v>
      </c>
      <c r="K3865" t="s">
        <v>1092</v>
      </c>
      <c r="M3865">
        <v>5.49</v>
      </c>
      <c r="N3865">
        <v>49</v>
      </c>
      <c r="O3865" t="s">
        <v>52</v>
      </c>
      <c r="Q3865" t="s">
        <v>219</v>
      </c>
      <c r="R3865" t="s">
        <v>538</v>
      </c>
      <c r="S3865" t="s">
        <v>539</v>
      </c>
    </row>
    <row r="3866" spans="1:19" x14ac:dyDescent="0.25">
      <c r="A3866" t="s">
        <v>30</v>
      </c>
      <c r="B3866" t="s">
        <v>31</v>
      </c>
      <c r="C3866" t="s">
        <v>32</v>
      </c>
      <c r="D3866" t="s">
        <v>522</v>
      </c>
      <c r="E3866" t="s">
        <v>565</v>
      </c>
      <c r="F3866" t="s">
        <v>35</v>
      </c>
      <c r="G3866" t="s">
        <v>35</v>
      </c>
      <c r="H3866" t="s">
        <v>35</v>
      </c>
      <c r="J3866" t="s">
        <v>4319</v>
      </c>
      <c r="K3866" t="s">
        <v>1092</v>
      </c>
      <c r="M3866">
        <v>1.575</v>
      </c>
      <c r="N3866">
        <v>155</v>
      </c>
      <c r="O3866" t="s">
        <v>38</v>
      </c>
      <c r="Q3866" t="s">
        <v>3942</v>
      </c>
      <c r="R3866" t="s">
        <v>538</v>
      </c>
      <c r="S3866" t="s">
        <v>539</v>
      </c>
    </row>
    <row r="3867" spans="1:19" x14ac:dyDescent="0.25">
      <c r="A3867" t="s">
        <v>59</v>
      </c>
      <c r="B3867" t="s">
        <v>60</v>
      </c>
      <c r="C3867" t="s">
        <v>32</v>
      </c>
      <c r="D3867" t="s">
        <v>522</v>
      </c>
      <c r="E3867" t="s">
        <v>565</v>
      </c>
      <c r="F3867" t="s">
        <v>35</v>
      </c>
      <c r="G3867" t="s">
        <v>35</v>
      </c>
      <c r="H3867" t="s">
        <v>35</v>
      </c>
      <c r="J3867" t="s">
        <v>4320</v>
      </c>
      <c r="K3867" t="s">
        <v>1144</v>
      </c>
      <c r="M3867">
        <v>11</v>
      </c>
      <c r="N3867">
        <v>131</v>
      </c>
      <c r="O3867" t="s">
        <v>38</v>
      </c>
      <c r="Q3867" t="s">
        <v>646</v>
      </c>
      <c r="R3867" t="s">
        <v>577</v>
      </c>
      <c r="S3867" t="s">
        <v>578</v>
      </c>
    </row>
    <row r="3868" spans="1:19" x14ac:dyDescent="0.25">
      <c r="A3868" t="s">
        <v>59</v>
      </c>
      <c r="B3868" t="s">
        <v>60</v>
      </c>
      <c r="C3868" t="s">
        <v>32</v>
      </c>
      <c r="D3868" t="s">
        <v>522</v>
      </c>
      <c r="E3868" t="s">
        <v>565</v>
      </c>
      <c r="F3868" t="s">
        <v>35</v>
      </c>
      <c r="G3868" t="s">
        <v>35</v>
      </c>
      <c r="H3868" t="s">
        <v>35</v>
      </c>
      <c r="J3868" t="s">
        <v>4320</v>
      </c>
      <c r="K3868" t="s">
        <v>1144</v>
      </c>
      <c r="M3868">
        <v>2.85</v>
      </c>
      <c r="N3868">
        <v>214</v>
      </c>
      <c r="O3868" t="s">
        <v>5</v>
      </c>
      <c r="Q3868" t="s">
        <v>537</v>
      </c>
      <c r="R3868" t="s">
        <v>538</v>
      </c>
      <c r="S3868" t="s">
        <v>539</v>
      </c>
    </row>
    <row r="3869" spans="1:19" x14ac:dyDescent="0.25">
      <c r="A3869" t="s">
        <v>30</v>
      </c>
      <c r="B3869" t="s">
        <v>31</v>
      </c>
      <c r="C3869" t="s">
        <v>32</v>
      </c>
      <c r="D3869" t="s">
        <v>522</v>
      </c>
      <c r="E3869" t="s">
        <v>565</v>
      </c>
      <c r="F3869" t="s">
        <v>35</v>
      </c>
      <c r="G3869" t="s">
        <v>35</v>
      </c>
      <c r="H3869" t="s">
        <v>35</v>
      </c>
      <c r="J3869" t="s">
        <v>4321</v>
      </c>
      <c r="K3869" t="s">
        <v>1092</v>
      </c>
      <c r="M3869">
        <v>0.01</v>
      </c>
      <c r="N3869">
        <v>101</v>
      </c>
      <c r="O3869" t="s">
        <v>106</v>
      </c>
      <c r="Q3869" t="s">
        <v>1164</v>
      </c>
      <c r="R3869" t="s">
        <v>4322</v>
      </c>
      <c r="S3869" t="s">
        <v>566</v>
      </c>
    </row>
    <row r="3870" spans="1:19" x14ac:dyDescent="0.25">
      <c r="A3870" t="s">
        <v>59</v>
      </c>
      <c r="B3870" t="s">
        <v>31</v>
      </c>
      <c r="C3870" t="s">
        <v>32</v>
      </c>
      <c r="D3870" t="s">
        <v>522</v>
      </c>
      <c r="E3870" t="s">
        <v>565</v>
      </c>
      <c r="F3870" t="s">
        <v>35</v>
      </c>
      <c r="G3870" t="s">
        <v>35</v>
      </c>
      <c r="H3870" t="s">
        <v>35</v>
      </c>
      <c r="J3870" t="s">
        <v>4323</v>
      </c>
      <c r="K3870" t="s">
        <v>1092</v>
      </c>
      <c r="M3870">
        <v>3.375</v>
      </c>
      <c r="N3870">
        <v>132</v>
      </c>
      <c r="O3870" t="s">
        <v>38</v>
      </c>
      <c r="Q3870" t="s">
        <v>2901</v>
      </c>
      <c r="R3870" t="s">
        <v>538</v>
      </c>
      <c r="S3870" t="s">
        <v>539</v>
      </c>
    </row>
    <row r="3871" spans="1:19" x14ac:dyDescent="0.25">
      <c r="A3871" t="s">
        <v>30</v>
      </c>
      <c r="B3871" t="s">
        <v>31</v>
      </c>
      <c r="C3871" t="s">
        <v>32</v>
      </c>
      <c r="D3871" t="s">
        <v>522</v>
      </c>
      <c r="E3871" t="s">
        <v>565</v>
      </c>
      <c r="F3871" t="s">
        <v>35</v>
      </c>
      <c r="G3871" t="s">
        <v>35</v>
      </c>
      <c r="H3871" t="s">
        <v>35</v>
      </c>
      <c r="J3871" t="s">
        <v>4323</v>
      </c>
      <c r="K3871" t="s">
        <v>1092</v>
      </c>
      <c r="M3871">
        <v>5.4</v>
      </c>
      <c r="N3871">
        <v>49</v>
      </c>
      <c r="O3871" t="s">
        <v>52</v>
      </c>
      <c r="Q3871" t="s">
        <v>219</v>
      </c>
      <c r="R3871" t="s">
        <v>538</v>
      </c>
      <c r="S3871" t="s">
        <v>539</v>
      </c>
    </row>
    <row r="3872" spans="1:19" x14ac:dyDescent="0.25">
      <c r="A3872" t="s">
        <v>30</v>
      </c>
      <c r="B3872" t="s">
        <v>31</v>
      </c>
      <c r="C3872" t="s">
        <v>32</v>
      </c>
      <c r="D3872" t="s">
        <v>522</v>
      </c>
      <c r="E3872" t="s">
        <v>565</v>
      </c>
      <c r="F3872" t="s">
        <v>35</v>
      </c>
      <c r="G3872" t="s">
        <v>35</v>
      </c>
      <c r="H3872" t="s">
        <v>35</v>
      </c>
      <c r="J3872" t="s">
        <v>4324</v>
      </c>
      <c r="K3872" t="s">
        <v>1092</v>
      </c>
      <c r="M3872">
        <v>6.5250000000000004</v>
      </c>
      <c r="N3872">
        <v>97</v>
      </c>
      <c r="O3872" t="s">
        <v>106</v>
      </c>
      <c r="Q3872" t="s">
        <v>557</v>
      </c>
      <c r="R3872" t="s">
        <v>538</v>
      </c>
      <c r="S3872" t="s">
        <v>539</v>
      </c>
    </row>
    <row r="3873" spans="1:19" x14ac:dyDescent="0.25">
      <c r="A3873" t="s">
        <v>30</v>
      </c>
      <c r="B3873" t="s">
        <v>31</v>
      </c>
      <c r="C3873" t="s">
        <v>32</v>
      </c>
      <c r="D3873" t="s">
        <v>522</v>
      </c>
      <c r="E3873" t="s">
        <v>565</v>
      </c>
      <c r="F3873" t="s">
        <v>35</v>
      </c>
      <c r="G3873" t="s">
        <v>35</v>
      </c>
      <c r="H3873" t="s">
        <v>35</v>
      </c>
      <c r="J3873" t="s">
        <v>4324</v>
      </c>
      <c r="K3873" t="s">
        <v>1092</v>
      </c>
      <c r="M3873">
        <v>0.09</v>
      </c>
      <c r="N3873">
        <v>155</v>
      </c>
      <c r="O3873" t="s">
        <v>38</v>
      </c>
      <c r="Q3873" t="s">
        <v>3942</v>
      </c>
      <c r="R3873" t="s">
        <v>538</v>
      </c>
      <c r="S3873" t="s">
        <v>539</v>
      </c>
    </row>
    <row r="3874" spans="1:19" x14ac:dyDescent="0.25">
      <c r="A3874" t="s">
        <v>59</v>
      </c>
      <c r="B3874" t="s">
        <v>31</v>
      </c>
      <c r="C3874" t="s">
        <v>32</v>
      </c>
      <c r="D3874" t="s">
        <v>522</v>
      </c>
      <c r="E3874" t="s">
        <v>565</v>
      </c>
      <c r="F3874" t="s">
        <v>35</v>
      </c>
      <c r="G3874" t="s">
        <v>35</v>
      </c>
      <c r="H3874" t="s">
        <v>35</v>
      </c>
      <c r="J3874" t="s">
        <v>4324</v>
      </c>
      <c r="K3874" t="s">
        <v>1092</v>
      </c>
      <c r="M3874">
        <v>5.49</v>
      </c>
      <c r="N3874">
        <v>140</v>
      </c>
      <c r="O3874" t="s">
        <v>38</v>
      </c>
      <c r="Q3874" t="s">
        <v>609</v>
      </c>
      <c r="R3874" t="s">
        <v>538</v>
      </c>
      <c r="S3874" t="s">
        <v>539</v>
      </c>
    </row>
    <row r="3875" spans="1:19" x14ac:dyDescent="0.25">
      <c r="A3875" t="s">
        <v>30</v>
      </c>
      <c r="B3875" t="s">
        <v>31</v>
      </c>
      <c r="C3875" t="s">
        <v>32</v>
      </c>
      <c r="D3875" t="s">
        <v>522</v>
      </c>
      <c r="E3875" t="s">
        <v>565</v>
      </c>
      <c r="F3875" t="s">
        <v>35</v>
      </c>
      <c r="G3875" t="s">
        <v>35</v>
      </c>
      <c r="H3875" t="s">
        <v>35</v>
      </c>
      <c r="J3875" t="s">
        <v>4325</v>
      </c>
      <c r="K3875" t="s">
        <v>1092</v>
      </c>
      <c r="M3875">
        <v>3.105</v>
      </c>
      <c r="N3875">
        <v>49</v>
      </c>
      <c r="O3875" t="s">
        <v>52</v>
      </c>
      <c r="Q3875" t="s">
        <v>219</v>
      </c>
      <c r="R3875" t="s">
        <v>538</v>
      </c>
      <c r="S3875" t="s">
        <v>539</v>
      </c>
    </row>
    <row r="3876" spans="1:19" x14ac:dyDescent="0.25">
      <c r="A3876" t="s">
        <v>59</v>
      </c>
      <c r="B3876" t="s">
        <v>60</v>
      </c>
      <c r="C3876" t="s">
        <v>32</v>
      </c>
      <c r="D3876" t="s">
        <v>522</v>
      </c>
      <c r="E3876" t="s">
        <v>565</v>
      </c>
      <c r="F3876" t="s">
        <v>35</v>
      </c>
      <c r="G3876" t="s">
        <v>35</v>
      </c>
      <c r="H3876" t="s">
        <v>35</v>
      </c>
      <c r="J3876" t="s">
        <v>4325</v>
      </c>
      <c r="K3876" t="s">
        <v>1092</v>
      </c>
      <c r="M3876">
        <v>0.9</v>
      </c>
      <c r="N3876">
        <v>81</v>
      </c>
      <c r="O3876" t="s">
        <v>61</v>
      </c>
      <c r="Q3876" t="s">
        <v>527</v>
      </c>
      <c r="R3876" t="s">
        <v>4326</v>
      </c>
      <c r="S3876" t="s">
        <v>4327</v>
      </c>
    </row>
    <row r="3877" spans="1:19" x14ac:dyDescent="0.25">
      <c r="A3877" t="s">
        <v>59</v>
      </c>
      <c r="B3877" t="s">
        <v>31</v>
      </c>
      <c r="C3877" t="s">
        <v>32</v>
      </c>
      <c r="D3877" t="s">
        <v>522</v>
      </c>
      <c r="E3877" t="s">
        <v>565</v>
      </c>
      <c r="F3877" t="s">
        <v>35</v>
      </c>
      <c r="G3877" t="s">
        <v>35</v>
      </c>
      <c r="H3877" t="s">
        <v>35</v>
      </c>
      <c r="J3877" t="s">
        <v>4329</v>
      </c>
      <c r="K3877" t="s">
        <v>1092</v>
      </c>
      <c r="M3877">
        <v>11.025</v>
      </c>
      <c r="N3877">
        <v>93</v>
      </c>
      <c r="O3877" t="s">
        <v>106</v>
      </c>
      <c r="Q3877" t="s">
        <v>941</v>
      </c>
      <c r="R3877" t="s">
        <v>538</v>
      </c>
      <c r="S3877" t="s">
        <v>539</v>
      </c>
    </row>
    <row r="3878" spans="1:19" x14ac:dyDescent="0.25">
      <c r="A3878" t="s">
        <v>30</v>
      </c>
      <c r="B3878" t="s">
        <v>31</v>
      </c>
      <c r="C3878" t="s">
        <v>32</v>
      </c>
      <c r="D3878" t="s">
        <v>522</v>
      </c>
      <c r="E3878" t="s">
        <v>565</v>
      </c>
      <c r="F3878" t="s">
        <v>35</v>
      </c>
      <c r="G3878" t="s">
        <v>35</v>
      </c>
      <c r="H3878" t="s">
        <v>35</v>
      </c>
      <c r="J3878" t="s">
        <v>4329</v>
      </c>
      <c r="K3878" t="s">
        <v>1092</v>
      </c>
      <c r="M3878">
        <v>0.81</v>
      </c>
      <c r="N3878">
        <v>95</v>
      </c>
      <c r="O3878" t="s">
        <v>106</v>
      </c>
      <c r="Q3878" t="s">
        <v>724</v>
      </c>
      <c r="R3878" t="s">
        <v>538</v>
      </c>
      <c r="S3878" t="s">
        <v>539</v>
      </c>
    </row>
    <row r="3879" spans="1:19" x14ac:dyDescent="0.25">
      <c r="A3879" t="s">
        <v>59</v>
      </c>
      <c r="B3879" t="s">
        <v>31</v>
      </c>
      <c r="C3879" t="s">
        <v>32</v>
      </c>
      <c r="D3879" t="s">
        <v>522</v>
      </c>
      <c r="E3879" t="s">
        <v>565</v>
      </c>
      <c r="F3879" t="s">
        <v>35</v>
      </c>
      <c r="G3879" t="s">
        <v>35</v>
      </c>
      <c r="H3879" t="s">
        <v>35</v>
      </c>
      <c r="J3879" t="s">
        <v>4329</v>
      </c>
      <c r="K3879" t="s">
        <v>1092</v>
      </c>
      <c r="M3879">
        <v>5.04</v>
      </c>
      <c r="N3879">
        <v>198</v>
      </c>
      <c r="O3879" t="s">
        <v>5</v>
      </c>
      <c r="Q3879" t="s">
        <v>4086</v>
      </c>
      <c r="R3879" t="s">
        <v>538</v>
      </c>
      <c r="S3879" t="s">
        <v>539</v>
      </c>
    </row>
    <row r="3880" spans="1:19" x14ac:dyDescent="0.25">
      <c r="A3880" t="s">
        <v>30</v>
      </c>
      <c r="B3880" t="s">
        <v>31</v>
      </c>
      <c r="C3880" t="s">
        <v>32</v>
      </c>
      <c r="D3880" t="s">
        <v>522</v>
      </c>
      <c r="E3880" t="s">
        <v>565</v>
      </c>
      <c r="F3880" t="s">
        <v>35</v>
      </c>
      <c r="G3880" t="s">
        <v>35</v>
      </c>
      <c r="H3880" t="s">
        <v>35</v>
      </c>
      <c r="J3880" t="s">
        <v>4330</v>
      </c>
      <c r="K3880" t="s">
        <v>1092</v>
      </c>
      <c r="M3880">
        <v>24.975000000000001</v>
      </c>
      <c r="N3880">
        <v>53</v>
      </c>
      <c r="O3880" t="s">
        <v>52</v>
      </c>
      <c r="Q3880" t="s">
        <v>332</v>
      </c>
      <c r="R3880" t="s">
        <v>548</v>
      </c>
      <c r="S3880" t="s">
        <v>524</v>
      </c>
    </row>
    <row r="3881" spans="1:19" x14ac:dyDescent="0.25">
      <c r="A3881" t="s">
        <v>30</v>
      </c>
      <c r="B3881" t="s">
        <v>31</v>
      </c>
      <c r="C3881" t="s">
        <v>32</v>
      </c>
      <c r="D3881" t="s">
        <v>522</v>
      </c>
      <c r="E3881" t="s">
        <v>565</v>
      </c>
      <c r="F3881" t="s">
        <v>35</v>
      </c>
      <c r="G3881" t="s">
        <v>35</v>
      </c>
      <c r="H3881" t="s">
        <v>35</v>
      </c>
      <c r="J3881" t="s">
        <v>4330</v>
      </c>
      <c r="K3881" t="s">
        <v>1092</v>
      </c>
      <c r="M3881">
        <v>10.845000000000001</v>
      </c>
      <c r="N3881">
        <v>169</v>
      </c>
      <c r="O3881" t="s">
        <v>38</v>
      </c>
      <c r="Q3881" t="s">
        <v>1189</v>
      </c>
      <c r="R3881" t="s">
        <v>538</v>
      </c>
      <c r="S3881" t="s">
        <v>539</v>
      </c>
    </row>
    <row r="3882" spans="1:19" x14ac:dyDescent="0.25">
      <c r="A3882" t="s">
        <v>30</v>
      </c>
      <c r="B3882" t="s">
        <v>31</v>
      </c>
      <c r="C3882" t="s">
        <v>32</v>
      </c>
      <c r="D3882" t="s">
        <v>522</v>
      </c>
      <c r="E3882" t="s">
        <v>565</v>
      </c>
      <c r="F3882" t="s">
        <v>35</v>
      </c>
      <c r="G3882" t="s">
        <v>35</v>
      </c>
      <c r="H3882" t="s">
        <v>35</v>
      </c>
      <c r="J3882" t="s">
        <v>4330</v>
      </c>
      <c r="K3882" t="s">
        <v>1092</v>
      </c>
      <c r="M3882">
        <v>2.16</v>
      </c>
      <c r="N3882">
        <v>170</v>
      </c>
      <c r="O3882" t="s">
        <v>38</v>
      </c>
      <c r="Q3882" t="s">
        <v>2780</v>
      </c>
      <c r="R3882" t="s">
        <v>538</v>
      </c>
      <c r="S3882" t="s">
        <v>539</v>
      </c>
    </row>
    <row r="3883" spans="1:19" x14ac:dyDescent="0.25">
      <c r="A3883" t="s">
        <v>59</v>
      </c>
      <c r="B3883" t="s">
        <v>31</v>
      </c>
      <c r="C3883" t="s">
        <v>32</v>
      </c>
      <c r="D3883" t="s">
        <v>522</v>
      </c>
      <c r="E3883" t="s">
        <v>565</v>
      </c>
      <c r="F3883" t="s">
        <v>35</v>
      </c>
      <c r="G3883" t="s">
        <v>35</v>
      </c>
      <c r="H3883" t="s">
        <v>35</v>
      </c>
      <c r="J3883" t="s">
        <v>4330</v>
      </c>
      <c r="K3883" t="s">
        <v>1092</v>
      </c>
      <c r="M3883">
        <v>0.18</v>
      </c>
      <c r="N3883">
        <v>169</v>
      </c>
      <c r="O3883" t="s">
        <v>38</v>
      </c>
      <c r="Q3883" t="s">
        <v>1189</v>
      </c>
      <c r="R3883" t="s">
        <v>538</v>
      </c>
      <c r="S3883" t="s">
        <v>539</v>
      </c>
    </row>
    <row r="3884" spans="1:19" x14ac:dyDescent="0.25">
      <c r="A3884" t="s">
        <v>59</v>
      </c>
      <c r="B3884" t="s">
        <v>31</v>
      </c>
      <c r="C3884" t="s">
        <v>32</v>
      </c>
      <c r="D3884" t="s">
        <v>522</v>
      </c>
      <c r="E3884" t="s">
        <v>565</v>
      </c>
      <c r="F3884" t="s">
        <v>35</v>
      </c>
      <c r="G3884" t="s">
        <v>35</v>
      </c>
      <c r="H3884" t="s">
        <v>35</v>
      </c>
      <c r="J3884" t="s">
        <v>4330</v>
      </c>
      <c r="K3884" t="s">
        <v>1092</v>
      </c>
      <c r="M3884">
        <v>3.42</v>
      </c>
      <c r="N3884">
        <v>285</v>
      </c>
      <c r="O3884" t="s">
        <v>5</v>
      </c>
      <c r="Q3884" t="s">
        <v>1687</v>
      </c>
      <c r="R3884" t="s">
        <v>538</v>
      </c>
      <c r="S3884" t="s">
        <v>539</v>
      </c>
    </row>
    <row r="3885" spans="1:19" x14ac:dyDescent="0.25">
      <c r="A3885" t="s">
        <v>30</v>
      </c>
      <c r="B3885" t="s">
        <v>31</v>
      </c>
      <c r="C3885" t="s">
        <v>32</v>
      </c>
      <c r="D3885" t="s">
        <v>522</v>
      </c>
      <c r="E3885" t="s">
        <v>565</v>
      </c>
      <c r="F3885" t="s">
        <v>35</v>
      </c>
      <c r="G3885" t="s">
        <v>35</v>
      </c>
      <c r="H3885" t="s">
        <v>35</v>
      </c>
      <c r="J3885" t="s">
        <v>4331</v>
      </c>
      <c r="K3885" t="s">
        <v>1092</v>
      </c>
      <c r="M3885">
        <v>8.1449999999999996</v>
      </c>
      <c r="N3885">
        <v>97</v>
      </c>
      <c r="O3885" t="s">
        <v>106</v>
      </c>
      <c r="Q3885" t="s">
        <v>557</v>
      </c>
      <c r="R3885" t="s">
        <v>538</v>
      </c>
      <c r="S3885" t="s">
        <v>539</v>
      </c>
    </row>
    <row r="3886" spans="1:19" x14ac:dyDescent="0.25">
      <c r="A3886" t="s">
        <v>30</v>
      </c>
      <c r="B3886" t="s">
        <v>31</v>
      </c>
      <c r="C3886" t="s">
        <v>32</v>
      </c>
      <c r="D3886" t="s">
        <v>522</v>
      </c>
      <c r="E3886" t="s">
        <v>565</v>
      </c>
      <c r="F3886" t="s">
        <v>35</v>
      </c>
      <c r="G3886" t="s">
        <v>35</v>
      </c>
      <c r="H3886" t="s">
        <v>35</v>
      </c>
      <c r="J3886" t="s">
        <v>4332</v>
      </c>
      <c r="K3886" t="s">
        <v>1092</v>
      </c>
      <c r="M3886">
        <v>2.0249999999999999</v>
      </c>
      <c r="N3886">
        <v>49</v>
      </c>
      <c r="O3886" t="s">
        <v>52</v>
      </c>
      <c r="Q3886" t="s">
        <v>219</v>
      </c>
      <c r="R3886" t="s">
        <v>538</v>
      </c>
      <c r="S3886" t="s">
        <v>539</v>
      </c>
    </row>
    <row r="3887" spans="1:19" x14ac:dyDescent="0.25">
      <c r="A3887" t="s">
        <v>30</v>
      </c>
      <c r="B3887" t="s">
        <v>31</v>
      </c>
      <c r="C3887" t="s">
        <v>32</v>
      </c>
      <c r="D3887" t="s">
        <v>522</v>
      </c>
      <c r="E3887" t="s">
        <v>565</v>
      </c>
      <c r="F3887" t="s">
        <v>35</v>
      </c>
      <c r="G3887" t="s">
        <v>35</v>
      </c>
      <c r="H3887" t="s">
        <v>35</v>
      </c>
      <c r="J3887" t="s">
        <v>4333</v>
      </c>
      <c r="K3887" t="s">
        <v>1092</v>
      </c>
      <c r="M3887">
        <v>5.5350000000000001</v>
      </c>
      <c r="N3887">
        <v>49</v>
      </c>
      <c r="O3887" t="s">
        <v>52</v>
      </c>
      <c r="Q3887" t="s">
        <v>219</v>
      </c>
      <c r="R3887" t="s">
        <v>538</v>
      </c>
      <c r="S3887" t="s">
        <v>539</v>
      </c>
    </row>
    <row r="3888" spans="1:19" x14ac:dyDescent="0.25">
      <c r="A3888" t="s">
        <v>30</v>
      </c>
      <c r="B3888" t="s">
        <v>31</v>
      </c>
      <c r="C3888" t="s">
        <v>32</v>
      </c>
      <c r="D3888" t="s">
        <v>522</v>
      </c>
      <c r="E3888" t="s">
        <v>565</v>
      </c>
      <c r="F3888" t="s">
        <v>35</v>
      </c>
      <c r="G3888" t="s">
        <v>35</v>
      </c>
      <c r="H3888" t="s">
        <v>35</v>
      </c>
      <c r="J3888" t="s">
        <v>4333</v>
      </c>
      <c r="K3888" t="s">
        <v>1092</v>
      </c>
      <c r="M3888">
        <v>0.9</v>
      </c>
      <c r="N3888">
        <v>1217</v>
      </c>
      <c r="O3888" t="s">
        <v>575</v>
      </c>
      <c r="Q3888" t="s">
        <v>4334</v>
      </c>
      <c r="R3888" t="s">
        <v>4322</v>
      </c>
      <c r="S3888" t="s">
        <v>566</v>
      </c>
    </row>
    <row r="3889" spans="1:19" x14ac:dyDescent="0.25">
      <c r="A3889" t="s">
        <v>59</v>
      </c>
      <c r="B3889" t="s">
        <v>60</v>
      </c>
      <c r="C3889" t="s">
        <v>32</v>
      </c>
      <c r="D3889" t="s">
        <v>522</v>
      </c>
      <c r="E3889" t="s">
        <v>565</v>
      </c>
      <c r="F3889" t="s">
        <v>35</v>
      </c>
      <c r="G3889" t="s">
        <v>35</v>
      </c>
      <c r="H3889" t="s">
        <v>35</v>
      </c>
      <c r="J3889" t="s">
        <v>4333</v>
      </c>
      <c r="K3889" t="s">
        <v>1092</v>
      </c>
      <c r="M3889">
        <v>0.5</v>
      </c>
      <c r="N3889">
        <v>80</v>
      </c>
      <c r="O3889" t="s">
        <v>61</v>
      </c>
      <c r="Q3889" t="s">
        <v>477</v>
      </c>
      <c r="R3889" t="s">
        <v>4326</v>
      </c>
      <c r="S3889" t="s">
        <v>4327</v>
      </c>
    </row>
    <row r="3890" spans="1:19" x14ac:dyDescent="0.25">
      <c r="A3890" t="s">
        <v>59</v>
      </c>
      <c r="B3890" t="s">
        <v>60</v>
      </c>
      <c r="C3890" t="s">
        <v>32</v>
      </c>
      <c r="D3890" t="s">
        <v>522</v>
      </c>
      <c r="E3890" t="s">
        <v>565</v>
      </c>
      <c r="F3890" t="s">
        <v>35</v>
      </c>
      <c r="G3890" t="s">
        <v>35</v>
      </c>
      <c r="H3890" t="s">
        <v>35</v>
      </c>
      <c r="J3890" t="s">
        <v>4335</v>
      </c>
      <c r="K3890" t="s">
        <v>1092</v>
      </c>
      <c r="M3890">
        <v>1.75</v>
      </c>
      <c r="N3890">
        <v>133</v>
      </c>
      <c r="O3890" t="s">
        <v>38</v>
      </c>
      <c r="Q3890" t="s">
        <v>68</v>
      </c>
      <c r="R3890" t="s">
        <v>3931</v>
      </c>
      <c r="S3890" t="s">
        <v>3932</v>
      </c>
    </row>
    <row r="3891" spans="1:19" x14ac:dyDescent="0.25">
      <c r="A3891" t="s">
        <v>30</v>
      </c>
      <c r="B3891" t="s">
        <v>31</v>
      </c>
      <c r="C3891" t="s">
        <v>32</v>
      </c>
      <c r="D3891" t="s">
        <v>522</v>
      </c>
      <c r="E3891" t="s">
        <v>565</v>
      </c>
      <c r="F3891" t="s">
        <v>35</v>
      </c>
      <c r="G3891" t="s">
        <v>35</v>
      </c>
      <c r="H3891" t="s">
        <v>35</v>
      </c>
      <c r="J3891" t="s">
        <v>4336</v>
      </c>
      <c r="K3891" t="s">
        <v>1092</v>
      </c>
      <c r="M3891">
        <v>9.6300000000000008</v>
      </c>
      <c r="N3891">
        <v>49</v>
      </c>
      <c r="O3891" t="s">
        <v>52</v>
      </c>
      <c r="Q3891" t="s">
        <v>219</v>
      </c>
      <c r="R3891" t="s">
        <v>538</v>
      </c>
      <c r="S3891" t="s">
        <v>539</v>
      </c>
    </row>
    <row r="3892" spans="1:19" x14ac:dyDescent="0.25">
      <c r="A3892" t="s">
        <v>59</v>
      </c>
      <c r="B3892" t="s">
        <v>60</v>
      </c>
      <c r="C3892" t="s">
        <v>32</v>
      </c>
      <c r="D3892" t="s">
        <v>522</v>
      </c>
      <c r="E3892" t="s">
        <v>565</v>
      </c>
      <c r="F3892" t="s">
        <v>35</v>
      </c>
      <c r="G3892" t="s">
        <v>35</v>
      </c>
      <c r="H3892" t="s">
        <v>35</v>
      </c>
      <c r="J3892" t="s">
        <v>4337</v>
      </c>
      <c r="K3892" t="s">
        <v>1092</v>
      </c>
      <c r="M3892">
        <v>2.5000000000000001E-2</v>
      </c>
      <c r="N3892">
        <v>142</v>
      </c>
      <c r="O3892" t="s">
        <v>38</v>
      </c>
      <c r="Q3892" t="s">
        <v>2067</v>
      </c>
      <c r="R3892" t="s">
        <v>3948</v>
      </c>
      <c r="S3892" t="s">
        <v>3949</v>
      </c>
    </row>
    <row r="3893" spans="1:19" x14ac:dyDescent="0.25">
      <c r="A3893" t="s">
        <v>59</v>
      </c>
      <c r="B3893" t="s">
        <v>60</v>
      </c>
      <c r="C3893" t="s">
        <v>32</v>
      </c>
      <c r="D3893" t="s">
        <v>522</v>
      </c>
      <c r="E3893" t="s">
        <v>565</v>
      </c>
      <c r="F3893" t="s">
        <v>35</v>
      </c>
      <c r="G3893" t="s">
        <v>35</v>
      </c>
      <c r="H3893" t="s">
        <v>35</v>
      </c>
      <c r="J3893" t="s">
        <v>4338</v>
      </c>
      <c r="K3893" t="s">
        <v>1092</v>
      </c>
      <c r="M3893">
        <v>4</v>
      </c>
      <c r="N3893">
        <v>180</v>
      </c>
      <c r="O3893" t="s">
        <v>38</v>
      </c>
      <c r="Q3893" t="s">
        <v>2138</v>
      </c>
      <c r="R3893" t="s">
        <v>4322</v>
      </c>
      <c r="S3893" t="s">
        <v>566</v>
      </c>
    </row>
    <row r="3894" spans="1:19" x14ac:dyDescent="0.25">
      <c r="A3894" t="s">
        <v>59</v>
      </c>
      <c r="B3894" t="s">
        <v>60</v>
      </c>
      <c r="C3894" t="s">
        <v>32</v>
      </c>
      <c r="D3894" t="s">
        <v>522</v>
      </c>
      <c r="E3894" t="s">
        <v>565</v>
      </c>
      <c r="F3894" t="s">
        <v>35</v>
      </c>
      <c r="G3894" t="s">
        <v>35</v>
      </c>
      <c r="H3894" t="s">
        <v>35</v>
      </c>
      <c r="J3894" t="s">
        <v>4118</v>
      </c>
      <c r="K3894" t="s">
        <v>1092</v>
      </c>
      <c r="M3894">
        <v>2.5000000000000001E-2</v>
      </c>
      <c r="N3894">
        <v>83</v>
      </c>
      <c r="O3894" t="s">
        <v>61</v>
      </c>
      <c r="Q3894" t="s">
        <v>455</v>
      </c>
      <c r="R3894" t="s">
        <v>3948</v>
      </c>
      <c r="S3894" t="s">
        <v>3949</v>
      </c>
    </row>
    <row r="3895" spans="1:19" x14ac:dyDescent="0.25">
      <c r="A3895" t="s">
        <v>59</v>
      </c>
      <c r="B3895" t="s">
        <v>60</v>
      </c>
      <c r="C3895" t="s">
        <v>32</v>
      </c>
      <c r="D3895" t="s">
        <v>522</v>
      </c>
      <c r="E3895" t="s">
        <v>565</v>
      </c>
      <c r="F3895" t="s">
        <v>35</v>
      </c>
      <c r="G3895" t="s">
        <v>35</v>
      </c>
      <c r="H3895" t="s">
        <v>35</v>
      </c>
      <c r="J3895" t="s">
        <v>4339</v>
      </c>
      <c r="K3895" t="s">
        <v>1092</v>
      </c>
      <c r="M3895">
        <v>0.4</v>
      </c>
      <c r="N3895">
        <v>526</v>
      </c>
      <c r="O3895" t="s">
        <v>294</v>
      </c>
      <c r="Q3895" t="s">
        <v>4340</v>
      </c>
      <c r="R3895" t="s">
        <v>577</v>
      </c>
      <c r="S3895" t="s">
        <v>578</v>
      </c>
    </row>
    <row r="3896" spans="1:19" x14ac:dyDescent="0.25">
      <c r="A3896" t="s">
        <v>30</v>
      </c>
      <c r="B3896" t="s">
        <v>31</v>
      </c>
      <c r="C3896" t="s">
        <v>32</v>
      </c>
      <c r="D3896" t="s">
        <v>522</v>
      </c>
      <c r="E3896" t="s">
        <v>565</v>
      </c>
      <c r="F3896" t="s">
        <v>35</v>
      </c>
      <c r="G3896" t="s">
        <v>35</v>
      </c>
      <c r="H3896" t="s">
        <v>35</v>
      </c>
      <c r="J3896" t="s">
        <v>4339</v>
      </c>
      <c r="K3896" t="s">
        <v>1092</v>
      </c>
      <c r="M3896">
        <v>5.4</v>
      </c>
      <c r="N3896">
        <v>228</v>
      </c>
      <c r="O3896" t="s">
        <v>5</v>
      </c>
      <c r="Q3896" t="s">
        <v>1979</v>
      </c>
      <c r="R3896" t="s">
        <v>538</v>
      </c>
      <c r="S3896" t="s">
        <v>539</v>
      </c>
    </row>
    <row r="3897" spans="1:19" x14ac:dyDescent="0.25">
      <c r="A3897" t="s">
        <v>59</v>
      </c>
      <c r="B3897" t="s">
        <v>31</v>
      </c>
      <c r="C3897" t="s">
        <v>32</v>
      </c>
      <c r="D3897" t="s">
        <v>522</v>
      </c>
      <c r="E3897" t="s">
        <v>565</v>
      </c>
      <c r="F3897" t="s">
        <v>35</v>
      </c>
      <c r="G3897" t="s">
        <v>35</v>
      </c>
      <c r="H3897" t="s">
        <v>35</v>
      </c>
      <c r="J3897" t="s">
        <v>4341</v>
      </c>
      <c r="K3897" t="s">
        <v>1092</v>
      </c>
      <c r="M3897">
        <v>1.62</v>
      </c>
      <c r="N3897">
        <v>140</v>
      </c>
      <c r="O3897" t="s">
        <v>38</v>
      </c>
      <c r="Q3897" t="s">
        <v>609</v>
      </c>
      <c r="R3897" t="s">
        <v>538</v>
      </c>
      <c r="S3897" t="s">
        <v>539</v>
      </c>
    </row>
    <row r="3898" spans="1:19" x14ac:dyDescent="0.25">
      <c r="A3898" t="s">
        <v>30</v>
      </c>
      <c r="B3898" t="s">
        <v>31</v>
      </c>
      <c r="C3898" t="s">
        <v>32</v>
      </c>
      <c r="D3898" t="s">
        <v>522</v>
      </c>
      <c r="E3898" t="s">
        <v>565</v>
      </c>
      <c r="F3898" t="s">
        <v>35</v>
      </c>
      <c r="G3898" t="s">
        <v>35</v>
      </c>
      <c r="H3898" t="s">
        <v>35</v>
      </c>
      <c r="J3898" t="s">
        <v>4341</v>
      </c>
      <c r="K3898" t="s">
        <v>1092</v>
      </c>
      <c r="M3898">
        <v>0.36</v>
      </c>
      <c r="N3898">
        <v>97</v>
      </c>
      <c r="O3898" t="s">
        <v>106</v>
      </c>
      <c r="Q3898" t="s">
        <v>557</v>
      </c>
      <c r="R3898" t="s">
        <v>538</v>
      </c>
      <c r="S3898" t="s">
        <v>539</v>
      </c>
    </row>
    <row r="3899" spans="1:19" x14ac:dyDescent="0.25">
      <c r="A3899" t="s">
        <v>30</v>
      </c>
      <c r="B3899" t="s">
        <v>31</v>
      </c>
      <c r="C3899" t="s">
        <v>32</v>
      </c>
      <c r="D3899" t="s">
        <v>522</v>
      </c>
      <c r="E3899" t="s">
        <v>565</v>
      </c>
      <c r="F3899" t="s">
        <v>35</v>
      </c>
      <c r="G3899" t="s">
        <v>35</v>
      </c>
      <c r="H3899" t="s">
        <v>35</v>
      </c>
      <c r="J3899" t="s">
        <v>4342</v>
      </c>
      <c r="K3899" t="s">
        <v>1092</v>
      </c>
      <c r="M3899">
        <v>0.315</v>
      </c>
      <c r="N3899">
        <v>940</v>
      </c>
      <c r="O3899" t="s">
        <v>575</v>
      </c>
      <c r="Q3899" t="s">
        <v>2044</v>
      </c>
      <c r="R3899" t="s">
        <v>538</v>
      </c>
      <c r="S3899" t="s">
        <v>539</v>
      </c>
    </row>
    <row r="3900" spans="1:19" x14ac:dyDescent="0.25">
      <c r="A3900" t="s">
        <v>44</v>
      </c>
      <c r="B3900" t="s">
        <v>51</v>
      </c>
      <c r="C3900" t="s">
        <v>32</v>
      </c>
      <c r="D3900" t="s">
        <v>522</v>
      </c>
      <c r="E3900" t="s">
        <v>565</v>
      </c>
      <c r="F3900" t="s">
        <v>35</v>
      </c>
      <c r="G3900" t="s">
        <v>35</v>
      </c>
      <c r="H3900" t="s">
        <v>35</v>
      </c>
      <c r="J3900" t="s">
        <v>4343</v>
      </c>
      <c r="K3900" t="s">
        <v>1092</v>
      </c>
      <c r="M3900">
        <v>4.05</v>
      </c>
      <c r="N3900">
        <v>80</v>
      </c>
      <c r="O3900" t="s">
        <v>61</v>
      </c>
      <c r="Q3900" t="s">
        <v>477</v>
      </c>
      <c r="R3900" t="s">
        <v>577</v>
      </c>
      <c r="S3900" t="s">
        <v>578</v>
      </c>
    </row>
    <row r="3901" spans="1:19" x14ac:dyDescent="0.25">
      <c r="A3901" t="s">
        <v>30</v>
      </c>
      <c r="B3901" t="s">
        <v>31</v>
      </c>
      <c r="C3901" t="s">
        <v>32</v>
      </c>
      <c r="D3901" t="s">
        <v>522</v>
      </c>
      <c r="E3901" t="s">
        <v>565</v>
      </c>
      <c r="F3901" t="s">
        <v>35</v>
      </c>
      <c r="G3901" t="s">
        <v>35</v>
      </c>
      <c r="H3901" t="s">
        <v>35</v>
      </c>
      <c r="J3901" t="s">
        <v>4343</v>
      </c>
      <c r="K3901" t="s">
        <v>1092</v>
      </c>
      <c r="M3901">
        <v>0.40500000000000003</v>
      </c>
      <c r="N3901">
        <v>152</v>
      </c>
      <c r="O3901" t="s">
        <v>38</v>
      </c>
      <c r="Q3901" t="s">
        <v>408</v>
      </c>
      <c r="R3901" t="s">
        <v>548</v>
      </c>
      <c r="S3901" t="s">
        <v>524</v>
      </c>
    </row>
    <row r="3902" spans="1:19" x14ac:dyDescent="0.25">
      <c r="A3902" t="s">
        <v>59</v>
      </c>
      <c r="B3902" t="s">
        <v>31</v>
      </c>
      <c r="C3902" t="s">
        <v>32</v>
      </c>
      <c r="D3902" t="s">
        <v>522</v>
      </c>
      <c r="E3902" t="s">
        <v>565</v>
      </c>
      <c r="F3902" t="s">
        <v>35</v>
      </c>
      <c r="G3902" t="s">
        <v>35</v>
      </c>
      <c r="H3902" t="s">
        <v>35</v>
      </c>
      <c r="J3902" t="s">
        <v>4343</v>
      </c>
      <c r="K3902" t="s">
        <v>1092</v>
      </c>
      <c r="M3902">
        <v>5.625</v>
      </c>
      <c r="N3902">
        <v>7</v>
      </c>
      <c r="O3902" t="s">
        <v>46</v>
      </c>
      <c r="Q3902" t="s">
        <v>8164</v>
      </c>
      <c r="R3902" t="s">
        <v>548</v>
      </c>
      <c r="S3902" t="s">
        <v>524</v>
      </c>
    </row>
    <row r="3903" spans="1:19" x14ac:dyDescent="0.25">
      <c r="A3903" t="s">
        <v>59</v>
      </c>
      <c r="B3903" t="s">
        <v>60</v>
      </c>
      <c r="C3903" t="s">
        <v>32</v>
      </c>
      <c r="D3903" t="s">
        <v>522</v>
      </c>
      <c r="E3903" t="s">
        <v>565</v>
      </c>
      <c r="F3903" t="s">
        <v>35</v>
      </c>
      <c r="G3903" t="s">
        <v>35</v>
      </c>
      <c r="H3903" t="s">
        <v>35</v>
      </c>
      <c r="J3903" t="s">
        <v>4343</v>
      </c>
      <c r="K3903" t="s">
        <v>1092</v>
      </c>
      <c r="M3903">
        <v>5.5</v>
      </c>
      <c r="N3903">
        <v>7</v>
      </c>
      <c r="O3903" t="s">
        <v>46</v>
      </c>
      <c r="Q3903" t="s">
        <v>8164</v>
      </c>
      <c r="R3903" t="s">
        <v>548</v>
      </c>
      <c r="S3903" t="s">
        <v>524</v>
      </c>
    </row>
    <row r="3904" spans="1:19" x14ac:dyDescent="0.25">
      <c r="A3904" t="s">
        <v>30</v>
      </c>
      <c r="B3904" t="s">
        <v>31</v>
      </c>
      <c r="C3904" t="s">
        <v>32</v>
      </c>
      <c r="D3904" t="s">
        <v>522</v>
      </c>
      <c r="E3904" t="s">
        <v>565</v>
      </c>
      <c r="F3904" t="s">
        <v>35</v>
      </c>
      <c r="G3904" t="s">
        <v>35</v>
      </c>
      <c r="H3904" t="s">
        <v>35</v>
      </c>
      <c r="J3904" t="s">
        <v>4343</v>
      </c>
      <c r="K3904" t="s">
        <v>1092</v>
      </c>
      <c r="M3904">
        <v>5.4</v>
      </c>
      <c r="N3904">
        <v>97</v>
      </c>
      <c r="O3904" t="s">
        <v>106</v>
      </c>
      <c r="Q3904" t="s">
        <v>557</v>
      </c>
      <c r="R3904" t="s">
        <v>538</v>
      </c>
      <c r="S3904" t="s">
        <v>539</v>
      </c>
    </row>
    <row r="3905" spans="1:19" x14ac:dyDescent="0.25">
      <c r="A3905" t="s">
        <v>30</v>
      </c>
      <c r="B3905" t="s">
        <v>31</v>
      </c>
      <c r="C3905" t="s">
        <v>32</v>
      </c>
      <c r="D3905" t="s">
        <v>522</v>
      </c>
      <c r="E3905" t="s">
        <v>565</v>
      </c>
      <c r="F3905" t="s">
        <v>35</v>
      </c>
      <c r="G3905" t="s">
        <v>35</v>
      </c>
      <c r="H3905" t="s">
        <v>35</v>
      </c>
      <c r="J3905" t="s">
        <v>4344</v>
      </c>
      <c r="K3905" t="s">
        <v>1092</v>
      </c>
      <c r="M3905">
        <v>6.97</v>
      </c>
      <c r="N3905">
        <v>145</v>
      </c>
      <c r="O3905" t="s">
        <v>38</v>
      </c>
      <c r="Q3905" t="s">
        <v>1149</v>
      </c>
      <c r="R3905" t="s">
        <v>538</v>
      </c>
      <c r="S3905" t="s">
        <v>539</v>
      </c>
    </row>
    <row r="3906" spans="1:19" x14ac:dyDescent="0.25">
      <c r="A3906" t="s">
        <v>30</v>
      </c>
      <c r="B3906" t="s">
        <v>31</v>
      </c>
      <c r="C3906" t="s">
        <v>32</v>
      </c>
      <c r="D3906" t="s">
        <v>522</v>
      </c>
      <c r="E3906" t="s">
        <v>565</v>
      </c>
      <c r="F3906" t="s">
        <v>35</v>
      </c>
      <c r="G3906" t="s">
        <v>35</v>
      </c>
      <c r="H3906" t="s">
        <v>35</v>
      </c>
      <c r="J3906" t="s">
        <v>4344</v>
      </c>
      <c r="K3906" t="s">
        <v>1092</v>
      </c>
      <c r="M3906">
        <v>4.5</v>
      </c>
      <c r="N3906">
        <v>49</v>
      </c>
      <c r="O3906" t="s">
        <v>52</v>
      </c>
      <c r="Q3906" t="s">
        <v>219</v>
      </c>
      <c r="R3906" t="s">
        <v>538</v>
      </c>
      <c r="S3906" t="s">
        <v>539</v>
      </c>
    </row>
    <row r="3907" spans="1:19" x14ac:dyDescent="0.25">
      <c r="A3907" t="s">
        <v>30</v>
      </c>
      <c r="B3907" t="s">
        <v>31</v>
      </c>
      <c r="C3907" t="s">
        <v>32</v>
      </c>
      <c r="D3907" t="s">
        <v>522</v>
      </c>
      <c r="E3907" t="s">
        <v>565</v>
      </c>
      <c r="F3907" t="s">
        <v>35</v>
      </c>
      <c r="G3907" t="s">
        <v>35</v>
      </c>
      <c r="H3907" t="s">
        <v>35</v>
      </c>
      <c r="J3907" t="s">
        <v>4346</v>
      </c>
      <c r="K3907" t="s">
        <v>1092</v>
      </c>
      <c r="M3907">
        <v>0.03</v>
      </c>
      <c r="N3907">
        <v>1866</v>
      </c>
      <c r="O3907" t="s">
        <v>575</v>
      </c>
      <c r="Q3907" t="s">
        <v>4347</v>
      </c>
      <c r="R3907" t="s">
        <v>559</v>
      </c>
      <c r="S3907" t="s">
        <v>554</v>
      </c>
    </row>
    <row r="3908" spans="1:19" x14ac:dyDescent="0.25">
      <c r="A3908" t="s">
        <v>59</v>
      </c>
      <c r="B3908" t="s">
        <v>60</v>
      </c>
      <c r="C3908" t="s">
        <v>32</v>
      </c>
      <c r="D3908" t="s">
        <v>522</v>
      </c>
      <c r="E3908" t="s">
        <v>565</v>
      </c>
      <c r="F3908" t="s">
        <v>35</v>
      </c>
      <c r="G3908" t="s">
        <v>35</v>
      </c>
      <c r="H3908" t="s">
        <v>35</v>
      </c>
      <c r="J3908" t="s">
        <v>4348</v>
      </c>
      <c r="K3908" t="s">
        <v>1092</v>
      </c>
      <c r="M3908">
        <v>0.05</v>
      </c>
      <c r="N3908">
        <v>262</v>
      </c>
      <c r="O3908" t="s">
        <v>5</v>
      </c>
      <c r="Q3908" t="s">
        <v>264</v>
      </c>
      <c r="R3908" t="s">
        <v>548</v>
      </c>
      <c r="S3908" t="s">
        <v>524</v>
      </c>
    </row>
    <row r="3909" spans="1:19" x14ac:dyDescent="0.25">
      <c r="A3909" t="s">
        <v>30</v>
      </c>
      <c r="B3909" t="s">
        <v>31</v>
      </c>
      <c r="C3909" t="s">
        <v>32</v>
      </c>
      <c r="D3909" t="s">
        <v>522</v>
      </c>
      <c r="E3909" t="s">
        <v>565</v>
      </c>
      <c r="F3909" t="s">
        <v>35</v>
      </c>
      <c r="G3909" t="s">
        <v>35</v>
      </c>
      <c r="H3909" t="s">
        <v>35</v>
      </c>
      <c r="J3909" t="s">
        <v>4348</v>
      </c>
      <c r="K3909" t="s">
        <v>1092</v>
      </c>
      <c r="M3909">
        <v>4.6349999999999998</v>
      </c>
      <c r="N3909">
        <v>171</v>
      </c>
      <c r="O3909" t="s">
        <v>38</v>
      </c>
      <c r="Q3909" t="s">
        <v>3930</v>
      </c>
      <c r="R3909" t="s">
        <v>548</v>
      </c>
      <c r="S3909" t="s">
        <v>524</v>
      </c>
    </row>
    <row r="3910" spans="1:19" x14ac:dyDescent="0.25">
      <c r="A3910" t="s">
        <v>30</v>
      </c>
      <c r="B3910" t="s">
        <v>31</v>
      </c>
      <c r="C3910" t="s">
        <v>32</v>
      </c>
      <c r="D3910" t="s">
        <v>522</v>
      </c>
      <c r="E3910" t="s">
        <v>565</v>
      </c>
      <c r="F3910" t="s">
        <v>35</v>
      </c>
      <c r="G3910" t="s">
        <v>35</v>
      </c>
      <c r="H3910" t="s">
        <v>35</v>
      </c>
      <c r="J3910" t="s">
        <v>4349</v>
      </c>
      <c r="K3910" t="s">
        <v>1092</v>
      </c>
      <c r="M3910">
        <v>0.76500000000000001</v>
      </c>
      <c r="N3910">
        <v>171</v>
      </c>
      <c r="O3910" t="s">
        <v>38</v>
      </c>
      <c r="Q3910" t="s">
        <v>3930</v>
      </c>
      <c r="R3910" t="s">
        <v>548</v>
      </c>
      <c r="S3910" t="s">
        <v>524</v>
      </c>
    </row>
    <row r="3911" spans="1:19" x14ac:dyDescent="0.25">
      <c r="A3911" t="s">
        <v>30</v>
      </c>
      <c r="B3911" t="s">
        <v>31</v>
      </c>
      <c r="C3911" t="s">
        <v>32</v>
      </c>
      <c r="D3911" t="s">
        <v>522</v>
      </c>
      <c r="E3911" t="s">
        <v>565</v>
      </c>
      <c r="F3911" t="s">
        <v>35</v>
      </c>
      <c r="G3911" t="s">
        <v>35</v>
      </c>
      <c r="H3911" t="s">
        <v>35</v>
      </c>
      <c r="J3911" t="s">
        <v>8243</v>
      </c>
      <c r="K3911" t="s">
        <v>1092</v>
      </c>
      <c r="M3911">
        <v>8.8149999999999995</v>
      </c>
      <c r="N3911">
        <v>20</v>
      </c>
      <c r="O3911" t="s">
        <v>46</v>
      </c>
      <c r="Q3911" t="s">
        <v>1004</v>
      </c>
      <c r="R3911" t="s">
        <v>3931</v>
      </c>
      <c r="S3911" t="s">
        <v>3932</v>
      </c>
    </row>
    <row r="3912" spans="1:19" x14ac:dyDescent="0.25">
      <c r="A3912" t="s">
        <v>44</v>
      </c>
      <c r="B3912" t="s">
        <v>51</v>
      </c>
      <c r="C3912" t="s">
        <v>32</v>
      </c>
      <c r="D3912" t="s">
        <v>522</v>
      </c>
      <c r="E3912" t="s">
        <v>565</v>
      </c>
      <c r="F3912" t="s">
        <v>35</v>
      </c>
      <c r="G3912" t="s">
        <v>35</v>
      </c>
      <c r="H3912" t="s">
        <v>35</v>
      </c>
      <c r="J3912" t="s">
        <v>4350</v>
      </c>
      <c r="K3912" t="s">
        <v>1092</v>
      </c>
      <c r="M3912">
        <v>1</v>
      </c>
      <c r="N3912">
        <v>29</v>
      </c>
      <c r="O3912" t="s">
        <v>46</v>
      </c>
      <c r="Q3912" t="s">
        <v>1645</v>
      </c>
      <c r="R3912" t="s">
        <v>4351</v>
      </c>
      <c r="S3912" t="s">
        <v>4352</v>
      </c>
    </row>
    <row r="3913" spans="1:19" x14ac:dyDescent="0.25">
      <c r="A3913" t="s">
        <v>30</v>
      </c>
      <c r="B3913" t="s">
        <v>31</v>
      </c>
      <c r="C3913" t="s">
        <v>32</v>
      </c>
      <c r="D3913" t="s">
        <v>522</v>
      </c>
      <c r="E3913" t="s">
        <v>565</v>
      </c>
      <c r="F3913" t="s">
        <v>35</v>
      </c>
      <c r="G3913" t="s">
        <v>35</v>
      </c>
      <c r="H3913" t="s">
        <v>35</v>
      </c>
      <c r="J3913" t="s">
        <v>4354</v>
      </c>
      <c r="K3913" t="s">
        <v>1092</v>
      </c>
      <c r="M3913">
        <v>11.025</v>
      </c>
      <c r="N3913">
        <v>20</v>
      </c>
      <c r="O3913" t="s">
        <v>46</v>
      </c>
      <c r="Q3913" t="s">
        <v>1004</v>
      </c>
      <c r="R3913" t="s">
        <v>3931</v>
      </c>
      <c r="S3913" t="s">
        <v>3932</v>
      </c>
    </row>
    <row r="3914" spans="1:19" x14ac:dyDescent="0.25">
      <c r="A3914" t="s">
        <v>30</v>
      </c>
      <c r="B3914" t="s">
        <v>31</v>
      </c>
      <c r="C3914" t="s">
        <v>32</v>
      </c>
      <c r="D3914" t="s">
        <v>522</v>
      </c>
      <c r="E3914" t="s">
        <v>565</v>
      </c>
      <c r="F3914" t="s">
        <v>35</v>
      </c>
      <c r="G3914" t="s">
        <v>35</v>
      </c>
      <c r="H3914" t="s">
        <v>35</v>
      </c>
      <c r="J3914" t="s">
        <v>4354</v>
      </c>
      <c r="K3914" t="s">
        <v>1092</v>
      </c>
      <c r="M3914">
        <v>2.97</v>
      </c>
      <c r="N3914">
        <v>412</v>
      </c>
      <c r="O3914" t="s">
        <v>294</v>
      </c>
      <c r="Q3914" t="s">
        <v>3472</v>
      </c>
      <c r="R3914" t="s">
        <v>538</v>
      </c>
      <c r="S3914" t="s">
        <v>539</v>
      </c>
    </row>
    <row r="3915" spans="1:19" x14ac:dyDescent="0.25">
      <c r="A3915" t="s">
        <v>30</v>
      </c>
      <c r="B3915" t="s">
        <v>31</v>
      </c>
      <c r="C3915" t="s">
        <v>32</v>
      </c>
      <c r="D3915" t="s">
        <v>522</v>
      </c>
      <c r="E3915" t="s">
        <v>565</v>
      </c>
      <c r="F3915" t="s">
        <v>35</v>
      </c>
      <c r="G3915" t="s">
        <v>35</v>
      </c>
      <c r="H3915" t="s">
        <v>35</v>
      </c>
      <c r="J3915" t="s">
        <v>4355</v>
      </c>
      <c r="K3915" t="s">
        <v>1092</v>
      </c>
      <c r="M3915">
        <v>0.09</v>
      </c>
      <c r="N3915">
        <v>625</v>
      </c>
      <c r="O3915" t="s">
        <v>575</v>
      </c>
      <c r="Q3915" t="s">
        <v>4356</v>
      </c>
      <c r="R3915" t="s">
        <v>4322</v>
      </c>
      <c r="S3915" t="s">
        <v>566</v>
      </c>
    </row>
    <row r="3916" spans="1:19" x14ac:dyDescent="0.25">
      <c r="A3916" t="s">
        <v>30</v>
      </c>
      <c r="B3916" t="s">
        <v>31</v>
      </c>
      <c r="C3916" t="s">
        <v>32</v>
      </c>
      <c r="D3916" t="s">
        <v>522</v>
      </c>
      <c r="E3916" t="s">
        <v>565</v>
      </c>
      <c r="F3916" t="s">
        <v>35</v>
      </c>
      <c r="G3916" t="s">
        <v>35</v>
      </c>
      <c r="H3916" t="s">
        <v>35</v>
      </c>
      <c r="J3916" t="s">
        <v>4357</v>
      </c>
      <c r="K3916" t="s">
        <v>1092</v>
      </c>
      <c r="M3916">
        <v>4.5449999999999999</v>
      </c>
      <c r="N3916">
        <v>38</v>
      </c>
      <c r="O3916" t="s">
        <v>52</v>
      </c>
      <c r="Q3916" t="s">
        <v>748</v>
      </c>
      <c r="R3916" t="s">
        <v>548</v>
      </c>
      <c r="S3916" t="s">
        <v>524</v>
      </c>
    </row>
    <row r="3917" spans="1:19" x14ac:dyDescent="0.25">
      <c r="A3917" t="s">
        <v>30</v>
      </c>
      <c r="B3917" t="s">
        <v>31</v>
      </c>
      <c r="C3917" t="s">
        <v>32</v>
      </c>
      <c r="D3917" t="s">
        <v>522</v>
      </c>
      <c r="E3917" t="s">
        <v>565</v>
      </c>
      <c r="F3917" t="s">
        <v>35</v>
      </c>
      <c r="G3917" t="s">
        <v>35</v>
      </c>
      <c r="H3917" t="s">
        <v>35</v>
      </c>
      <c r="J3917" t="s">
        <v>4358</v>
      </c>
      <c r="K3917" t="s">
        <v>1092</v>
      </c>
      <c r="M3917">
        <v>1.125</v>
      </c>
      <c r="N3917">
        <v>2056</v>
      </c>
      <c r="O3917" t="s">
        <v>575</v>
      </c>
      <c r="Q3917" t="s">
        <v>4359</v>
      </c>
      <c r="R3917" t="s">
        <v>538</v>
      </c>
      <c r="S3917" t="s">
        <v>539</v>
      </c>
    </row>
    <row r="3918" spans="1:19" x14ac:dyDescent="0.25">
      <c r="A3918" t="s">
        <v>59</v>
      </c>
      <c r="B3918" t="s">
        <v>60</v>
      </c>
      <c r="C3918" t="s">
        <v>32</v>
      </c>
      <c r="D3918" t="s">
        <v>522</v>
      </c>
      <c r="E3918" t="s">
        <v>565</v>
      </c>
      <c r="F3918" t="s">
        <v>35</v>
      </c>
      <c r="G3918" t="s">
        <v>35</v>
      </c>
      <c r="H3918" t="s">
        <v>35</v>
      </c>
      <c r="J3918" t="s">
        <v>4360</v>
      </c>
      <c r="K3918" t="s">
        <v>1092</v>
      </c>
      <c r="M3918">
        <v>1.9</v>
      </c>
      <c r="N3918">
        <v>131</v>
      </c>
      <c r="O3918" t="s">
        <v>38</v>
      </c>
      <c r="Q3918" t="s">
        <v>646</v>
      </c>
      <c r="R3918" t="s">
        <v>577</v>
      </c>
      <c r="S3918" t="s">
        <v>578</v>
      </c>
    </row>
    <row r="3919" spans="1:19" x14ac:dyDescent="0.25">
      <c r="A3919" t="s">
        <v>44</v>
      </c>
      <c r="B3919" t="s">
        <v>3</v>
      </c>
      <c r="C3919" t="s">
        <v>32</v>
      </c>
      <c r="D3919" t="s">
        <v>522</v>
      </c>
      <c r="E3919" t="s">
        <v>565</v>
      </c>
      <c r="F3919" t="s">
        <v>35</v>
      </c>
      <c r="G3919" t="s">
        <v>35</v>
      </c>
      <c r="H3919" t="s">
        <v>35</v>
      </c>
      <c r="J3919" t="s">
        <v>4360</v>
      </c>
      <c r="K3919" t="s">
        <v>1092</v>
      </c>
      <c r="M3919">
        <v>1.4</v>
      </c>
      <c r="N3919">
        <v>412</v>
      </c>
      <c r="O3919" t="s">
        <v>294</v>
      </c>
      <c r="Q3919" t="s">
        <v>3472</v>
      </c>
      <c r="R3919" t="s">
        <v>577</v>
      </c>
      <c r="S3919" t="s">
        <v>578</v>
      </c>
    </row>
    <row r="3920" spans="1:19" x14ac:dyDescent="0.25">
      <c r="A3920" t="s">
        <v>44</v>
      </c>
      <c r="B3920" t="s">
        <v>51</v>
      </c>
      <c r="C3920" t="s">
        <v>32</v>
      </c>
      <c r="D3920" t="s">
        <v>522</v>
      </c>
      <c r="E3920" t="s">
        <v>565</v>
      </c>
      <c r="F3920" t="s">
        <v>35</v>
      </c>
      <c r="G3920" t="s">
        <v>35</v>
      </c>
      <c r="H3920" t="s">
        <v>35</v>
      </c>
      <c r="J3920" t="s">
        <v>4361</v>
      </c>
      <c r="K3920" t="s">
        <v>1092</v>
      </c>
      <c r="M3920">
        <v>0.65</v>
      </c>
      <c r="N3920">
        <v>888</v>
      </c>
      <c r="O3920" t="s">
        <v>575</v>
      </c>
      <c r="Q3920" t="s">
        <v>4362</v>
      </c>
      <c r="R3920" t="s">
        <v>4036</v>
      </c>
      <c r="S3920" t="s">
        <v>534</v>
      </c>
    </row>
    <row r="3921" spans="1:19" x14ac:dyDescent="0.25">
      <c r="A3921" t="s">
        <v>59</v>
      </c>
      <c r="B3921" t="s">
        <v>31</v>
      </c>
      <c r="C3921" t="s">
        <v>32</v>
      </c>
      <c r="D3921" t="s">
        <v>522</v>
      </c>
      <c r="E3921" t="s">
        <v>565</v>
      </c>
      <c r="F3921" t="s">
        <v>35</v>
      </c>
      <c r="G3921" t="s">
        <v>35</v>
      </c>
      <c r="H3921" t="s">
        <v>35</v>
      </c>
      <c r="J3921" t="s">
        <v>4363</v>
      </c>
      <c r="K3921" t="s">
        <v>1092</v>
      </c>
      <c r="M3921">
        <v>5.625</v>
      </c>
      <c r="N3921">
        <v>6</v>
      </c>
      <c r="O3921" t="s">
        <v>46</v>
      </c>
      <c r="Q3921" t="s">
        <v>8168</v>
      </c>
      <c r="R3921" t="s">
        <v>548</v>
      </c>
      <c r="S3921" t="s">
        <v>524</v>
      </c>
    </row>
    <row r="3922" spans="1:19" x14ac:dyDescent="0.25">
      <c r="A3922" t="s">
        <v>59</v>
      </c>
      <c r="B3922" t="s">
        <v>31</v>
      </c>
      <c r="C3922" t="s">
        <v>32</v>
      </c>
      <c r="D3922" t="s">
        <v>522</v>
      </c>
      <c r="E3922" t="s">
        <v>565</v>
      </c>
      <c r="F3922" t="s">
        <v>35</v>
      </c>
      <c r="G3922" t="s">
        <v>35</v>
      </c>
      <c r="H3922" t="s">
        <v>35</v>
      </c>
      <c r="J3922" t="s">
        <v>4363</v>
      </c>
      <c r="K3922" t="s">
        <v>1092</v>
      </c>
      <c r="M3922">
        <v>0.45</v>
      </c>
      <c r="N3922">
        <v>66</v>
      </c>
      <c r="O3922" t="s">
        <v>61</v>
      </c>
      <c r="Q3922" t="s">
        <v>203</v>
      </c>
      <c r="R3922" t="s">
        <v>548</v>
      </c>
      <c r="S3922" t="s">
        <v>524</v>
      </c>
    </row>
    <row r="3923" spans="1:19" x14ac:dyDescent="0.25">
      <c r="A3923" t="s">
        <v>59</v>
      </c>
      <c r="B3923" t="s">
        <v>60</v>
      </c>
      <c r="C3923" t="s">
        <v>32</v>
      </c>
      <c r="D3923" t="s">
        <v>522</v>
      </c>
      <c r="E3923" t="s">
        <v>565</v>
      </c>
      <c r="F3923" t="s">
        <v>35</v>
      </c>
      <c r="G3923" t="s">
        <v>35</v>
      </c>
      <c r="H3923" t="s">
        <v>35</v>
      </c>
      <c r="J3923" t="s">
        <v>4363</v>
      </c>
      <c r="K3923" t="s">
        <v>1092</v>
      </c>
      <c r="M3923">
        <v>0.25</v>
      </c>
      <c r="N3923">
        <v>66</v>
      </c>
      <c r="O3923" t="s">
        <v>61</v>
      </c>
      <c r="Q3923" t="s">
        <v>203</v>
      </c>
      <c r="R3923" t="s">
        <v>548</v>
      </c>
      <c r="S3923" t="s">
        <v>524</v>
      </c>
    </row>
    <row r="3924" spans="1:19" x14ac:dyDescent="0.25">
      <c r="A3924" t="s">
        <v>30</v>
      </c>
      <c r="B3924" t="s">
        <v>31</v>
      </c>
      <c r="C3924" t="s">
        <v>32</v>
      </c>
      <c r="D3924" t="s">
        <v>522</v>
      </c>
      <c r="E3924" t="s">
        <v>565</v>
      </c>
      <c r="F3924" t="s">
        <v>35</v>
      </c>
      <c r="G3924" t="s">
        <v>35</v>
      </c>
      <c r="H3924" t="s">
        <v>35</v>
      </c>
      <c r="J3924" t="s">
        <v>4363</v>
      </c>
      <c r="K3924" t="s">
        <v>1092</v>
      </c>
      <c r="M3924">
        <v>0.45</v>
      </c>
      <c r="N3924">
        <v>13</v>
      </c>
      <c r="O3924" t="s">
        <v>46</v>
      </c>
      <c r="Q3924" t="s">
        <v>310</v>
      </c>
      <c r="R3924" t="s">
        <v>548</v>
      </c>
      <c r="S3924" t="s">
        <v>524</v>
      </c>
    </row>
    <row r="3925" spans="1:19" x14ac:dyDescent="0.25">
      <c r="A3925" t="s">
        <v>30</v>
      </c>
      <c r="B3925" t="s">
        <v>31</v>
      </c>
      <c r="C3925" t="s">
        <v>32</v>
      </c>
      <c r="D3925" t="s">
        <v>522</v>
      </c>
      <c r="E3925" t="s">
        <v>565</v>
      </c>
      <c r="F3925" t="s">
        <v>35</v>
      </c>
      <c r="G3925" t="s">
        <v>35</v>
      </c>
      <c r="H3925" t="s">
        <v>35</v>
      </c>
      <c r="J3925" t="s">
        <v>4364</v>
      </c>
      <c r="K3925" t="s">
        <v>1092</v>
      </c>
      <c r="M3925">
        <v>4.41</v>
      </c>
      <c r="N3925">
        <v>155</v>
      </c>
      <c r="O3925" t="s">
        <v>38</v>
      </c>
      <c r="Q3925" t="s">
        <v>3942</v>
      </c>
      <c r="R3925" t="s">
        <v>538</v>
      </c>
      <c r="S3925" t="s">
        <v>539</v>
      </c>
    </row>
    <row r="3926" spans="1:19" x14ac:dyDescent="0.25">
      <c r="A3926" t="s">
        <v>59</v>
      </c>
      <c r="B3926" t="s">
        <v>60</v>
      </c>
      <c r="C3926" t="s">
        <v>32</v>
      </c>
      <c r="D3926" t="s">
        <v>522</v>
      </c>
      <c r="E3926" t="s">
        <v>565</v>
      </c>
      <c r="F3926" t="s">
        <v>35</v>
      </c>
      <c r="G3926" t="s">
        <v>35</v>
      </c>
      <c r="H3926" t="s">
        <v>35</v>
      </c>
      <c r="J3926" t="s">
        <v>4365</v>
      </c>
      <c r="K3926" t="s">
        <v>1092</v>
      </c>
      <c r="M3926">
        <v>4.5</v>
      </c>
      <c r="N3926">
        <v>35</v>
      </c>
      <c r="O3926" t="s">
        <v>52</v>
      </c>
      <c r="Q3926" t="s">
        <v>48</v>
      </c>
      <c r="R3926" t="s">
        <v>4326</v>
      </c>
      <c r="S3926" t="s">
        <v>4327</v>
      </c>
    </row>
    <row r="3927" spans="1:19" x14ac:dyDescent="0.25">
      <c r="A3927" t="s">
        <v>30</v>
      </c>
      <c r="B3927" t="s">
        <v>31</v>
      </c>
      <c r="C3927" t="s">
        <v>32</v>
      </c>
      <c r="D3927" t="s">
        <v>522</v>
      </c>
      <c r="E3927" t="s">
        <v>565</v>
      </c>
      <c r="F3927" t="s">
        <v>35</v>
      </c>
      <c r="G3927" t="s">
        <v>35</v>
      </c>
      <c r="H3927" t="s">
        <v>35</v>
      </c>
      <c r="J3927" t="s">
        <v>4366</v>
      </c>
      <c r="K3927" t="s">
        <v>1092</v>
      </c>
      <c r="M3927">
        <v>0.1</v>
      </c>
      <c r="N3927">
        <v>253</v>
      </c>
      <c r="O3927" t="s">
        <v>5</v>
      </c>
      <c r="Q3927" t="s">
        <v>1502</v>
      </c>
      <c r="R3927" t="s">
        <v>4322</v>
      </c>
      <c r="S3927" t="s">
        <v>566</v>
      </c>
    </row>
    <row r="3928" spans="1:19" x14ac:dyDescent="0.25">
      <c r="A3928" t="s">
        <v>30</v>
      </c>
      <c r="B3928" t="s">
        <v>31</v>
      </c>
      <c r="C3928" t="s">
        <v>32</v>
      </c>
      <c r="D3928" t="s">
        <v>522</v>
      </c>
      <c r="E3928" t="s">
        <v>565</v>
      </c>
      <c r="F3928" t="s">
        <v>35</v>
      </c>
      <c r="G3928" t="s">
        <v>35</v>
      </c>
      <c r="H3928" t="s">
        <v>35</v>
      </c>
      <c r="J3928" t="s">
        <v>4367</v>
      </c>
      <c r="K3928" t="s">
        <v>1092</v>
      </c>
      <c r="M3928">
        <v>11.25</v>
      </c>
      <c r="N3928">
        <v>168</v>
      </c>
      <c r="O3928" t="s">
        <v>38</v>
      </c>
      <c r="Q3928" t="s">
        <v>2431</v>
      </c>
      <c r="R3928" t="s">
        <v>548</v>
      </c>
      <c r="S3928" t="s">
        <v>524</v>
      </c>
    </row>
    <row r="3929" spans="1:19" x14ac:dyDescent="0.25">
      <c r="A3929" t="s">
        <v>30</v>
      </c>
      <c r="B3929" t="s">
        <v>31</v>
      </c>
      <c r="C3929" t="s">
        <v>32</v>
      </c>
      <c r="D3929" t="s">
        <v>522</v>
      </c>
      <c r="E3929" t="s">
        <v>565</v>
      </c>
      <c r="F3929" t="s">
        <v>35</v>
      </c>
      <c r="G3929" t="s">
        <v>35</v>
      </c>
      <c r="H3929" t="s">
        <v>35</v>
      </c>
      <c r="J3929" t="s">
        <v>4367</v>
      </c>
      <c r="K3929" t="s">
        <v>1092</v>
      </c>
      <c r="M3929">
        <v>2.0249999999999999</v>
      </c>
      <c r="N3929">
        <v>393</v>
      </c>
      <c r="O3929" t="s">
        <v>294</v>
      </c>
      <c r="Q3929" t="s">
        <v>4368</v>
      </c>
      <c r="R3929" t="s">
        <v>538</v>
      </c>
      <c r="S3929" t="s">
        <v>539</v>
      </c>
    </row>
    <row r="3930" spans="1:19" x14ac:dyDescent="0.25">
      <c r="A3930" t="s">
        <v>30</v>
      </c>
      <c r="B3930" t="s">
        <v>31</v>
      </c>
      <c r="C3930" t="s">
        <v>32</v>
      </c>
      <c r="D3930" t="s">
        <v>522</v>
      </c>
      <c r="E3930" t="s">
        <v>565</v>
      </c>
      <c r="F3930" t="s">
        <v>35</v>
      </c>
      <c r="G3930" t="s">
        <v>35</v>
      </c>
      <c r="H3930" t="s">
        <v>35</v>
      </c>
      <c r="J3930" t="s">
        <v>4367</v>
      </c>
      <c r="K3930" t="s">
        <v>1092</v>
      </c>
      <c r="M3930">
        <v>11.925000000000001</v>
      </c>
      <c r="N3930">
        <v>90</v>
      </c>
      <c r="O3930" t="s">
        <v>61</v>
      </c>
      <c r="Q3930" t="s">
        <v>897</v>
      </c>
      <c r="R3930" t="s">
        <v>3931</v>
      </c>
      <c r="S3930" t="s">
        <v>3932</v>
      </c>
    </row>
    <row r="3931" spans="1:19" x14ac:dyDescent="0.25">
      <c r="A3931" t="s">
        <v>30</v>
      </c>
      <c r="B3931" t="s">
        <v>31</v>
      </c>
      <c r="C3931" t="s">
        <v>32</v>
      </c>
      <c r="D3931" t="s">
        <v>522</v>
      </c>
      <c r="E3931" t="s">
        <v>565</v>
      </c>
      <c r="F3931" t="s">
        <v>35</v>
      </c>
      <c r="G3931" t="s">
        <v>35</v>
      </c>
      <c r="H3931" t="s">
        <v>35</v>
      </c>
      <c r="J3931" t="s">
        <v>4369</v>
      </c>
      <c r="K3931" t="s">
        <v>1092</v>
      </c>
      <c r="M3931">
        <v>5.5350000000000001</v>
      </c>
      <c r="N3931">
        <v>49</v>
      </c>
      <c r="O3931" t="s">
        <v>52</v>
      </c>
      <c r="Q3931" t="s">
        <v>219</v>
      </c>
      <c r="R3931" t="s">
        <v>538</v>
      </c>
      <c r="S3931" t="s">
        <v>539</v>
      </c>
    </row>
    <row r="3932" spans="1:19" x14ac:dyDescent="0.25">
      <c r="A3932" t="s">
        <v>44</v>
      </c>
      <c r="B3932" t="s">
        <v>51</v>
      </c>
      <c r="C3932" t="s">
        <v>32</v>
      </c>
      <c r="D3932" t="s">
        <v>522</v>
      </c>
      <c r="E3932" t="s">
        <v>565</v>
      </c>
      <c r="F3932" t="s">
        <v>35</v>
      </c>
      <c r="G3932" t="s">
        <v>35</v>
      </c>
      <c r="H3932" t="s">
        <v>35</v>
      </c>
      <c r="J3932" t="s">
        <v>4369</v>
      </c>
      <c r="K3932" t="s">
        <v>1092</v>
      </c>
      <c r="M3932">
        <v>3</v>
      </c>
      <c r="N3932">
        <v>80</v>
      </c>
      <c r="O3932" t="s">
        <v>61</v>
      </c>
      <c r="Q3932" t="s">
        <v>477</v>
      </c>
      <c r="R3932" t="s">
        <v>577</v>
      </c>
      <c r="S3932" t="s">
        <v>578</v>
      </c>
    </row>
    <row r="3933" spans="1:19" x14ac:dyDescent="0.25">
      <c r="A3933" t="s">
        <v>30</v>
      </c>
      <c r="B3933" t="s">
        <v>31</v>
      </c>
      <c r="C3933" t="s">
        <v>32</v>
      </c>
      <c r="D3933" t="s">
        <v>522</v>
      </c>
      <c r="E3933" t="s">
        <v>565</v>
      </c>
      <c r="F3933" t="s">
        <v>35</v>
      </c>
      <c r="G3933" t="s">
        <v>35</v>
      </c>
      <c r="H3933" t="s">
        <v>35</v>
      </c>
      <c r="J3933" t="s">
        <v>4370</v>
      </c>
      <c r="K3933" t="s">
        <v>1092</v>
      </c>
      <c r="M3933">
        <v>11.25</v>
      </c>
      <c r="N3933">
        <v>45</v>
      </c>
      <c r="O3933" t="s">
        <v>52</v>
      </c>
      <c r="Q3933" t="s">
        <v>716</v>
      </c>
      <c r="R3933" t="s">
        <v>548</v>
      </c>
      <c r="S3933" t="s">
        <v>524</v>
      </c>
    </row>
    <row r="3934" spans="1:19" x14ac:dyDescent="0.25">
      <c r="A3934" t="s">
        <v>59</v>
      </c>
      <c r="B3934" t="s">
        <v>31</v>
      </c>
      <c r="C3934" t="s">
        <v>32</v>
      </c>
      <c r="D3934" t="s">
        <v>522</v>
      </c>
      <c r="E3934" t="s">
        <v>565</v>
      </c>
      <c r="F3934" t="s">
        <v>35</v>
      </c>
      <c r="G3934" t="s">
        <v>35</v>
      </c>
      <c r="H3934" t="s">
        <v>35</v>
      </c>
      <c r="J3934" t="s">
        <v>4370</v>
      </c>
      <c r="K3934" t="s">
        <v>1092</v>
      </c>
      <c r="M3934">
        <v>11.25</v>
      </c>
      <c r="N3934">
        <v>6</v>
      </c>
      <c r="O3934" t="s">
        <v>46</v>
      </c>
      <c r="Q3934" t="s">
        <v>8168</v>
      </c>
      <c r="R3934" t="s">
        <v>548</v>
      </c>
      <c r="S3934" t="s">
        <v>524</v>
      </c>
    </row>
    <row r="3935" spans="1:19" x14ac:dyDescent="0.25">
      <c r="A3935" t="s">
        <v>59</v>
      </c>
      <c r="B3935" t="s">
        <v>60</v>
      </c>
      <c r="C3935" t="s">
        <v>32</v>
      </c>
      <c r="D3935" t="s">
        <v>522</v>
      </c>
      <c r="E3935" t="s">
        <v>565</v>
      </c>
      <c r="F3935" t="s">
        <v>35</v>
      </c>
      <c r="G3935" t="s">
        <v>35</v>
      </c>
      <c r="H3935" t="s">
        <v>35</v>
      </c>
      <c r="J3935" t="s">
        <v>4371</v>
      </c>
      <c r="K3935" t="s">
        <v>1092</v>
      </c>
      <c r="M3935">
        <v>0.15</v>
      </c>
      <c r="N3935">
        <v>496</v>
      </c>
      <c r="O3935" t="s">
        <v>294</v>
      </c>
      <c r="Q3935" t="s">
        <v>3602</v>
      </c>
      <c r="R3935" t="s">
        <v>3948</v>
      </c>
      <c r="S3935" t="s">
        <v>3949</v>
      </c>
    </row>
    <row r="3936" spans="1:19" x14ac:dyDescent="0.25">
      <c r="A3936" t="s">
        <v>30</v>
      </c>
      <c r="B3936" t="s">
        <v>31</v>
      </c>
      <c r="C3936" t="s">
        <v>32</v>
      </c>
      <c r="D3936" t="s">
        <v>522</v>
      </c>
      <c r="E3936" t="s">
        <v>565</v>
      </c>
      <c r="F3936" t="s">
        <v>35</v>
      </c>
      <c r="G3936" t="s">
        <v>35</v>
      </c>
      <c r="H3936" t="s">
        <v>35</v>
      </c>
      <c r="J3936" t="s">
        <v>4372</v>
      </c>
      <c r="K3936" t="s">
        <v>1092</v>
      </c>
      <c r="M3936">
        <v>0.64</v>
      </c>
      <c r="N3936">
        <v>126</v>
      </c>
      <c r="O3936" t="s">
        <v>38</v>
      </c>
      <c r="Q3936" t="s">
        <v>1813</v>
      </c>
      <c r="R3936" t="s">
        <v>4322</v>
      </c>
      <c r="S3936" t="s">
        <v>566</v>
      </c>
    </row>
    <row r="3937" spans="1:19" x14ac:dyDescent="0.25">
      <c r="A3937" t="s">
        <v>30</v>
      </c>
      <c r="B3937" t="s">
        <v>31</v>
      </c>
      <c r="C3937" t="s">
        <v>32</v>
      </c>
      <c r="D3937" t="s">
        <v>522</v>
      </c>
      <c r="E3937" t="s">
        <v>565</v>
      </c>
      <c r="F3937" t="s">
        <v>35</v>
      </c>
      <c r="G3937" t="s">
        <v>35</v>
      </c>
      <c r="H3937" t="s">
        <v>35</v>
      </c>
      <c r="J3937" t="s">
        <v>3127</v>
      </c>
      <c r="K3937" t="s">
        <v>1092</v>
      </c>
      <c r="M3937">
        <v>5.8949999999999996</v>
      </c>
      <c r="N3937">
        <v>155</v>
      </c>
      <c r="O3937" t="s">
        <v>38</v>
      </c>
      <c r="Q3937" t="s">
        <v>3942</v>
      </c>
      <c r="R3937" t="s">
        <v>538</v>
      </c>
      <c r="S3937" t="s">
        <v>539</v>
      </c>
    </row>
    <row r="3938" spans="1:19" x14ac:dyDescent="0.25">
      <c r="A3938" t="s">
        <v>59</v>
      </c>
      <c r="B3938" t="s">
        <v>60</v>
      </c>
      <c r="C3938" t="s">
        <v>32</v>
      </c>
      <c r="D3938" t="s">
        <v>522</v>
      </c>
      <c r="E3938" t="s">
        <v>565</v>
      </c>
      <c r="F3938" t="s">
        <v>35</v>
      </c>
      <c r="G3938" t="s">
        <v>35</v>
      </c>
      <c r="H3938" t="s">
        <v>35</v>
      </c>
      <c r="J3938" t="s">
        <v>3127</v>
      </c>
      <c r="K3938" t="s">
        <v>1092</v>
      </c>
      <c r="M3938">
        <v>5.5</v>
      </c>
      <c r="N3938">
        <v>72</v>
      </c>
      <c r="O3938" t="s">
        <v>61</v>
      </c>
      <c r="Q3938" t="s">
        <v>63</v>
      </c>
      <c r="R3938" t="s">
        <v>4322</v>
      </c>
      <c r="S3938" t="s">
        <v>566</v>
      </c>
    </row>
    <row r="3939" spans="1:19" x14ac:dyDescent="0.25">
      <c r="A3939" t="s">
        <v>30</v>
      </c>
      <c r="B3939" t="s">
        <v>31</v>
      </c>
      <c r="C3939" t="s">
        <v>32</v>
      </c>
      <c r="D3939" t="s">
        <v>522</v>
      </c>
      <c r="E3939" t="s">
        <v>565</v>
      </c>
      <c r="F3939" t="s">
        <v>35</v>
      </c>
      <c r="G3939" t="s">
        <v>35</v>
      </c>
      <c r="H3939" t="s">
        <v>35</v>
      </c>
      <c r="J3939" t="s">
        <v>3127</v>
      </c>
      <c r="K3939" t="s">
        <v>1092</v>
      </c>
      <c r="M3939">
        <v>4.4400000000000004</v>
      </c>
      <c r="N3939">
        <v>127</v>
      </c>
      <c r="O3939" t="s">
        <v>38</v>
      </c>
      <c r="Q3939" t="s">
        <v>2145</v>
      </c>
      <c r="R3939" t="s">
        <v>4322</v>
      </c>
      <c r="S3939" t="s">
        <v>566</v>
      </c>
    </row>
    <row r="3940" spans="1:19" x14ac:dyDescent="0.25">
      <c r="A3940" t="s">
        <v>44</v>
      </c>
      <c r="B3940" t="s">
        <v>51</v>
      </c>
      <c r="C3940" t="s">
        <v>32</v>
      </c>
      <c r="D3940" t="s">
        <v>522</v>
      </c>
      <c r="E3940" t="s">
        <v>565</v>
      </c>
      <c r="F3940" t="s">
        <v>35</v>
      </c>
      <c r="G3940" t="s">
        <v>35</v>
      </c>
      <c r="H3940" t="s">
        <v>35</v>
      </c>
      <c r="J3940" t="s">
        <v>3127</v>
      </c>
      <c r="K3940" t="s">
        <v>1092</v>
      </c>
      <c r="M3940">
        <v>6.1</v>
      </c>
      <c r="N3940">
        <v>80</v>
      </c>
      <c r="O3940" t="s">
        <v>61</v>
      </c>
      <c r="Q3940" t="s">
        <v>477</v>
      </c>
      <c r="R3940" t="s">
        <v>577</v>
      </c>
      <c r="S3940" t="s">
        <v>578</v>
      </c>
    </row>
    <row r="3941" spans="1:19" x14ac:dyDescent="0.25">
      <c r="A3941" t="s">
        <v>30</v>
      </c>
      <c r="B3941" t="s">
        <v>31</v>
      </c>
      <c r="C3941" t="s">
        <v>32</v>
      </c>
      <c r="D3941" t="s">
        <v>522</v>
      </c>
      <c r="E3941" t="s">
        <v>565</v>
      </c>
      <c r="F3941" t="s">
        <v>35</v>
      </c>
      <c r="G3941" t="s">
        <v>35</v>
      </c>
      <c r="H3941" t="s">
        <v>35</v>
      </c>
      <c r="J3941" t="s">
        <v>3127</v>
      </c>
      <c r="K3941" t="s">
        <v>1092</v>
      </c>
      <c r="M3941">
        <v>11.025</v>
      </c>
      <c r="N3941">
        <v>97</v>
      </c>
      <c r="O3941" t="s">
        <v>106</v>
      </c>
      <c r="Q3941" t="s">
        <v>557</v>
      </c>
      <c r="R3941" t="s">
        <v>538</v>
      </c>
      <c r="S3941" t="s">
        <v>539</v>
      </c>
    </row>
    <row r="3942" spans="1:19" x14ac:dyDescent="0.25">
      <c r="A3942" t="s">
        <v>30</v>
      </c>
      <c r="B3942" t="s">
        <v>31</v>
      </c>
      <c r="C3942" t="s">
        <v>32</v>
      </c>
      <c r="D3942" t="s">
        <v>522</v>
      </c>
      <c r="E3942" t="s">
        <v>565</v>
      </c>
      <c r="F3942" t="s">
        <v>35</v>
      </c>
      <c r="G3942" t="s">
        <v>35</v>
      </c>
      <c r="H3942" t="s">
        <v>35</v>
      </c>
      <c r="J3942" t="s">
        <v>4373</v>
      </c>
      <c r="K3942" t="s">
        <v>1092</v>
      </c>
      <c r="M3942">
        <v>0.09</v>
      </c>
      <c r="N3942">
        <v>149</v>
      </c>
      <c r="O3942" t="s">
        <v>38</v>
      </c>
      <c r="Q3942" t="s">
        <v>73</v>
      </c>
      <c r="R3942" t="s">
        <v>538</v>
      </c>
      <c r="S3942" t="s">
        <v>539</v>
      </c>
    </row>
    <row r="3943" spans="1:19" x14ac:dyDescent="0.25">
      <c r="A3943" t="s">
        <v>59</v>
      </c>
      <c r="B3943" t="s">
        <v>60</v>
      </c>
      <c r="C3943" t="s">
        <v>32</v>
      </c>
      <c r="D3943" t="s">
        <v>522</v>
      </c>
      <c r="E3943" t="s">
        <v>565</v>
      </c>
      <c r="F3943" t="s">
        <v>35</v>
      </c>
      <c r="G3943" t="s">
        <v>35</v>
      </c>
      <c r="H3943" t="s">
        <v>35</v>
      </c>
      <c r="J3943" t="s">
        <v>4373</v>
      </c>
      <c r="K3943" t="s">
        <v>1092</v>
      </c>
      <c r="M3943">
        <v>2</v>
      </c>
      <c r="N3943">
        <v>166</v>
      </c>
      <c r="O3943" t="s">
        <v>38</v>
      </c>
      <c r="Q3943" t="s">
        <v>2316</v>
      </c>
      <c r="R3943" t="s">
        <v>538</v>
      </c>
      <c r="S3943" t="s">
        <v>539</v>
      </c>
    </row>
    <row r="3944" spans="1:19" x14ac:dyDescent="0.25">
      <c r="A3944" t="s">
        <v>59</v>
      </c>
      <c r="B3944" t="s">
        <v>60</v>
      </c>
      <c r="C3944" t="s">
        <v>32</v>
      </c>
      <c r="D3944" t="s">
        <v>522</v>
      </c>
      <c r="E3944" t="s">
        <v>565</v>
      </c>
      <c r="F3944" t="s">
        <v>35</v>
      </c>
      <c r="G3944" t="s">
        <v>35</v>
      </c>
      <c r="H3944" t="s">
        <v>35</v>
      </c>
      <c r="J3944" t="s">
        <v>4374</v>
      </c>
      <c r="K3944" t="s">
        <v>1092</v>
      </c>
      <c r="M3944">
        <v>0.75</v>
      </c>
      <c r="N3944">
        <v>513</v>
      </c>
      <c r="O3944" t="s">
        <v>294</v>
      </c>
      <c r="Q3944" t="s">
        <v>1651</v>
      </c>
      <c r="R3944" t="s">
        <v>3957</v>
      </c>
      <c r="S3944" t="s">
        <v>3958</v>
      </c>
    </row>
    <row r="3945" spans="1:19" x14ac:dyDescent="0.25">
      <c r="A3945" t="s">
        <v>30</v>
      </c>
      <c r="B3945" t="s">
        <v>31</v>
      </c>
      <c r="C3945" t="s">
        <v>32</v>
      </c>
      <c r="D3945" t="s">
        <v>522</v>
      </c>
      <c r="E3945" t="s">
        <v>565</v>
      </c>
      <c r="F3945" t="s">
        <v>35</v>
      </c>
      <c r="G3945" t="s">
        <v>35</v>
      </c>
      <c r="H3945" t="s">
        <v>35</v>
      </c>
      <c r="J3945" t="s">
        <v>4375</v>
      </c>
      <c r="K3945" t="s">
        <v>1092</v>
      </c>
      <c r="M3945">
        <v>5.0000000000000001E-3</v>
      </c>
      <c r="N3945">
        <v>2347</v>
      </c>
      <c r="O3945" t="s">
        <v>575</v>
      </c>
      <c r="Q3945" t="s">
        <v>4376</v>
      </c>
      <c r="R3945" t="s">
        <v>538</v>
      </c>
      <c r="S3945" t="s">
        <v>539</v>
      </c>
    </row>
    <row r="3946" spans="1:19" x14ac:dyDescent="0.25">
      <c r="A3946" t="s">
        <v>59</v>
      </c>
      <c r="B3946" t="s">
        <v>31</v>
      </c>
      <c r="C3946" t="s">
        <v>32</v>
      </c>
      <c r="D3946" t="s">
        <v>522</v>
      </c>
      <c r="E3946" t="s">
        <v>565</v>
      </c>
      <c r="F3946" t="s">
        <v>35</v>
      </c>
      <c r="G3946" t="s">
        <v>35</v>
      </c>
      <c r="H3946" t="s">
        <v>35</v>
      </c>
      <c r="J3946" t="s">
        <v>4377</v>
      </c>
      <c r="K3946" t="s">
        <v>1092</v>
      </c>
      <c r="M3946">
        <v>2.16</v>
      </c>
      <c r="N3946">
        <v>140</v>
      </c>
      <c r="O3946" t="s">
        <v>38</v>
      </c>
      <c r="Q3946" t="s">
        <v>609</v>
      </c>
      <c r="R3946" t="s">
        <v>538</v>
      </c>
      <c r="S3946" t="s">
        <v>539</v>
      </c>
    </row>
    <row r="3947" spans="1:19" x14ac:dyDescent="0.25">
      <c r="A3947" t="s">
        <v>30</v>
      </c>
      <c r="B3947" t="s">
        <v>31</v>
      </c>
      <c r="C3947" t="s">
        <v>32</v>
      </c>
      <c r="D3947" t="s">
        <v>522</v>
      </c>
      <c r="E3947" t="s">
        <v>565</v>
      </c>
      <c r="F3947" t="s">
        <v>35</v>
      </c>
      <c r="G3947" t="s">
        <v>35</v>
      </c>
      <c r="H3947" t="s">
        <v>35</v>
      </c>
      <c r="J3947" t="s">
        <v>4377</v>
      </c>
      <c r="K3947" t="s">
        <v>1092</v>
      </c>
      <c r="M3947">
        <v>7.83</v>
      </c>
      <c r="N3947">
        <v>130</v>
      </c>
      <c r="O3947" t="s">
        <v>38</v>
      </c>
      <c r="Q3947" t="s">
        <v>1656</v>
      </c>
      <c r="R3947" t="s">
        <v>538</v>
      </c>
      <c r="S3947" t="s">
        <v>539</v>
      </c>
    </row>
    <row r="3948" spans="1:19" x14ac:dyDescent="0.25">
      <c r="A3948" t="s">
        <v>30</v>
      </c>
      <c r="B3948" t="s">
        <v>31</v>
      </c>
      <c r="C3948" t="s">
        <v>32</v>
      </c>
      <c r="D3948" t="s">
        <v>522</v>
      </c>
      <c r="E3948" t="s">
        <v>565</v>
      </c>
      <c r="F3948" t="s">
        <v>35</v>
      </c>
      <c r="G3948" t="s">
        <v>35</v>
      </c>
      <c r="H3948" t="s">
        <v>35</v>
      </c>
      <c r="J3948" t="s">
        <v>4378</v>
      </c>
      <c r="K3948" t="s">
        <v>1092</v>
      </c>
      <c r="M3948">
        <v>0.09</v>
      </c>
      <c r="N3948">
        <v>71</v>
      </c>
      <c r="O3948" t="s">
        <v>61</v>
      </c>
      <c r="Q3948" t="s">
        <v>102</v>
      </c>
      <c r="R3948" t="s">
        <v>538</v>
      </c>
      <c r="S3948" t="s">
        <v>539</v>
      </c>
    </row>
    <row r="3949" spans="1:19" x14ac:dyDescent="0.25">
      <c r="A3949" t="s">
        <v>59</v>
      </c>
      <c r="B3949" t="s">
        <v>31</v>
      </c>
      <c r="C3949" t="s">
        <v>32</v>
      </c>
      <c r="D3949" t="s">
        <v>522</v>
      </c>
      <c r="E3949" t="s">
        <v>565</v>
      </c>
      <c r="F3949" t="s">
        <v>35</v>
      </c>
      <c r="G3949" t="s">
        <v>35</v>
      </c>
      <c r="H3949" t="s">
        <v>35</v>
      </c>
      <c r="J3949" t="s">
        <v>4379</v>
      </c>
      <c r="K3949" t="s">
        <v>1092</v>
      </c>
      <c r="M3949">
        <v>9.81</v>
      </c>
      <c r="N3949">
        <v>140</v>
      </c>
      <c r="O3949" t="s">
        <v>38</v>
      </c>
      <c r="Q3949" t="s">
        <v>609</v>
      </c>
      <c r="R3949" t="s">
        <v>548</v>
      </c>
      <c r="S3949" t="s">
        <v>524</v>
      </c>
    </row>
    <row r="3950" spans="1:19" x14ac:dyDescent="0.25">
      <c r="A3950" t="s">
        <v>30</v>
      </c>
      <c r="B3950" t="s">
        <v>31</v>
      </c>
      <c r="C3950" t="s">
        <v>32</v>
      </c>
      <c r="D3950" t="s">
        <v>522</v>
      </c>
      <c r="E3950" t="s">
        <v>565</v>
      </c>
      <c r="F3950" t="s">
        <v>35</v>
      </c>
      <c r="G3950" t="s">
        <v>35</v>
      </c>
      <c r="H3950" t="s">
        <v>35</v>
      </c>
      <c r="J3950" t="s">
        <v>4379</v>
      </c>
      <c r="K3950" t="s">
        <v>1092</v>
      </c>
      <c r="M3950">
        <v>0.13500000000000001</v>
      </c>
      <c r="N3950">
        <v>152</v>
      </c>
      <c r="O3950" t="s">
        <v>38</v>
      </c>
      <c r="Q3950" t="s">
        <v>408</v>
      </c>
      <c r="R3950" t="s">
        <v>548</v>
      </c>
      <c r="S3950" t="s">
        <v>524</v>
      </c>
    </row>
    <row r="3951" spans="1:19" x14ac:dyDescent="0.25">
      <c r="A3951" t="s">
        <v>59</v>
      </c>
      <c r="B3951" t="s">
        <v>60</v>
      </c>
      <c r="C3951" t="s">
        <v>32</v>
      </c>
      <c r="D3951" t="s">
        <v>522</v>
      </c>
      <c r="E3951" t="s">
        <v>565</v>
      </c>
      <c r="F3951" t="s">
        <v>35</v>
      </c>
      <c r="G3951" t="s">
        <v>35</v>
      </c>
      <c r="H3951" t="s">
        <v>35</v>
      </c>
      <c r="J3951" t="s">
        <v>4380</v>
      </c>
      <c r="K3951" t="s">
        <v>1092</v>
      </c>
      <c r="M3951">
        <v>5</v>
      </c>
      <c r="N3951">
        <v>134</v>
      </c>
      <c r="O3951" t="s">
        <v>38</v>
      </c>
      <c r="Q3951" t="s">
        <v>3640</v>
      </c>
      <c r="R3951" t="s">
        <v>3985</v>
      </c>
      <c r="S3951" t="s">
        <v>3986</v>
      </c>
    </row>
    <row r="3952" spans="1:19" x14ac:dyDescent="0.25">
      <c r="A3952" t="s">
        <v>59</v>
      </c>
      <c r="B3952" t="s">
        <v>31</v>
      </c>
      <c r="C3952" t="s">
        <v>32</v>
      </c>
      <c r="D3952" t="s">
        <v>522</v>
      </c>
      <c r="E3952" t="s">
        <v>565</v>
      </c>
      <c r="F3952" t="s">
        <v>35</v>
      </c>
      <c r="G3952" t="s">
        <v>35</v>
      </c>
      <c r="H3952" t="s">
        <v>35</v>
      </c>
      <c r="J3952" t="s">
        <v>4381</v>
      </c>
      <c r="K3952" t="s">
        <v>1092</v>
      </c>
      <c r="M3952">
        <v>2.97</v>
      </c>
      <c r="N3952">
        <v>198</v>
      </c>
      <c r="O3952" t="s">
        <v>5</v>
      </c>
      <c r="Q3952" t="s">
        <v>4086</v>
      </c>
      <c r="R3952" t="s">
        <v>3931</v>
      </c>
      <c r="S3952" t="s">
        <v>3932</v>
      </c>
    </row>
    <row r="3953" spans="1:19" x14ac:dyDescent="0.25">
      <c r="A3953" t="s">
        <v>30</v>
      </c>
      <c r="B3953" t="s">
        <v>31</v>
      </c>
      <c r="C3953" t="s">
        <v>32</v>
      </c>
      <c r="D3953" t="s">
        <v>522</v>
      </c>
      <c r="E3953" t="s">
        <v>565</v>
      </c>
      <c r="F3953" t="s">
        <v>35</v>
      </c>
      <c r="G3953" t="s">
        <v>35</v>
      </c>
      <c r="H3953" t="s">
        <v>35</v>
      </c>
      <c r="J3953" t="s">
        <v>4381</v>
      </c>
      <c r="K3953" t="s">
        <v>1092</v>
      </c>
      <c r="M3953">
        <v>5.4</v>
      </c>
      <c r="N3953">
        <v>49</v>
      </c>
      <c r="O3953" t="s">
        <v>52</v>
      </c>
      <c r="Q3953" t="s">
        <v>219</v>
      </c>
      <c r="R3953" t="s">
        <v>538</v>
      </c>
      <c r="S3953" t="s">
        <v>539</v>
      </c>
    </row>
    <row r="3954" spans="1:19" x14ac:dyDescent="0.25">
      <c r="A3954" t="s">
        <v>30</v>
      </c>
      <c r="B3954" t="s">
        <v>31</v>
      </c>
      <c r="C3954" t="s">
        <v>32</v>
      </c>
      <c r="D3954" t="s">
        <v>522</v>
      </c>
      <c r="E3954" t="s">
        <v>565</v>
      </c>
      <c r="F3954" t="s">
        <v>35</v>
      </c>
      <c r="G3954" t="s">
        <v>35</v>
      </c>
      <c r="H3954" t="s">
        <v>35</v>
      </c>
      <c r="J3954" t="s">
        <v>4381</v>
      </c>
      <c r="K3954" t="s">
        <v>1092</v>
      </c>
      <c r="M3954">
        <v>6.57</v>
      </c>
      <c r="N3954">
        <v>151</v>
      </c>
      <c r="O3954" t="s">
        <v>38</v>
      </c>
      <c r="Q3954" t="s">
        <v>1269</v>
      </c>
      <c r="R3954" t="s">
        <v>3931</v>
      </c>
      <c r="S3954" t="s">
        <v>3932</v>
      </c>
    </row>
    <row r="3955" spans="1:19" x14ac:dyDescent="0.25">
      <c r="A3955" t="s">
        <v>30</v>
      </c>
      <c r="B3955" t="s">
        <v>31</v>
      </c>
      <c r="C3955" t="s">
        <v>32</v>
      </c>
      <c r="D3955" t="s">
        <v>522</v>
      </c>
      <c r="E3955" t="s">
        <v>565</v>
      </c>
      <c r="F3955" t="s">
        <v>35</v>
      </c>
      <c r="G3955" t="s">
        <v>35</v>
      </c>
      <c r="H3955" t="s">
        <v>35</v>
      </c>
      <c r="J3955" t="s">
        <v>4382</v>
      </c>
      <c r="K3955" t="s">
        <v>1092</v>
      </c>
      <c r="M3955">
        <v>5.13</v>
      </c>
      <c r="N3955">
        <v>155</v>
      </c>
      <c r="O3955" t="s">
        <v>38</v>
      </c>
      <c r="Q3955" t="s">
        <v>3942</v>
      </c>
      <c r="R3955" t="s">
        <v>538</v>
      </c>
      <c r="S3955" t="s">
        <v>539</v>
      </c>
    </row>
    <row r="3956" spans="1:19" x14ac:dyDescent="0.25">
      <c r="A3956" t="s">
        <v>59</v>
      </c>
      <c r="B3956" t="s">
        <v>31</v>
      </c>
      <c r="C3956" t="s">
        <v>32</v>
      </c>
      <c r="D3956" t="s">
        <v>522</v>
      </c>
      <c r="E3956" t="s">
        <v>565</v>
      </c>
      <c r="F3956" t="s">
        <v>35</v>
      </c>
      <c r="G3956" t="s">
        <v>35</v>
      </c>
      <c r="H3956" t="s">
        <v>35</v>
      </c>
      <c r="J3956" t="s">
        <v>4383</v>
      </c>
      <c r="K3956" t="s">
        <v>1092</v>
      </c>
      <c r="M3956">
        <v>3.5550000000000002</v>
      </c>
      <c r="N3956">
        <v>140</v>
      </c>
      <c r="O3956" t="s">
        <v>38</v>
      </c>
      <c r="Q3956" t="s">
        <v>609</v>
      </c>
      <c r="R3956" t="s">
        <v>538</v>
      </c>
      <c r="S3956" t="s">
        <v>539</v>
      </c>
    </row>
    <row r="3957" spans="1:19" x14ac:dyDescent="0.25">
      <c r="A3957" t="s">
        <v>59</v>
      </c>
      <c r="B3957" t="s">
        <v>60</v>
      </c>
      <c r="C3957" t="s">
        <v>32</v>
      </c>
      <c r="D3957" t="s">
        <v>522</v>
      </c>
      <c r="E3957" t="s">
        <v>565</v>
      </c>
      <c r="F3957" t="s">
        <v>35</v>
      </c>
      <c r="G3957" t="s">
        <v>35</v>
      </c>
      <c r="H3957" t="s">
        <v>35</v>
      </c>
      <c r="J3957" t="s">
        <v>4384</v>
      </c>
      <c r="K3957" t="s">
        <v>1092</v>
      </c>
      <c r="M3957">
        <v>1</v>
      </c>
      <c r="N3957">
        <v>72</v>
      </c>
      <c r="O3957" t="s">
        <v>61</v>
      </c>
      <c r="Q3957" t="s">
        <v>63</v>
      </c>
      <c r="R3957" t="s">
        <v>4322</v>
      </c>
      <c r="S3957" t="s">
        <v>566</v>
      </c>
    </row>
    <row r="3958" spans="1:19" x14ac:dyDescent="0.25">
      <c r="A3958" t="s">
        <v>59</v>
      </c>
      <c r="B3958" t="s">
        <v>60</v>
      </c>
      <c r="C3958" t="s">
        <v>32</v>
      </c>
      <c r="D3958" t="s">
        <v>522</v>
      </c>
      <c r="E3958" t="s">
        <v>565</v>
      </c>
      <c r="F3958" t="s">
        <v>35</v>
      </c>
      <c r="G3958" t="s">
        <v>35</v>
      </c>
      <c r="H3958" t="s">
        <v>35</v>
      </c>
      <c r="J3958" t="s">
        <v>4385</v>
      </c>
      <c r="K3958" t="s">
        <v>1092</v>
      </c>
      <c r="M3958">
        <v>0.05</v>
      </c>
      <c r="N3958">
        <v>226</v>
      </c>
      <c r="O3958" t="s">
        <v>5</v>
      </c>
      <c r="Q3958" t="s">
        <v>3300</v>
      </c>
      <c r="R3958" t="s">
        <v>4386</v>
      </c>
      <c r="S3958" t="s">
        <v>4387</v>
      </c>
    </row>
    <row r="3959" spans="1:19" x14ac:dyDescent="0.25">
      <c r="A3959" t="s">
        <v>30</v>
      </c>
      <c r="B3959" t="s">
        <v>31</v>
      </c>
      <c r="C3959" t="s">
        <v>32</v>
      </c>
      <c r="D3959" t="s">
        <v>522</v>
      </c>
      <c r="E3959" t="s">
        <v>565</v>
      </c>
      <c r="F3959" t="s">
        <v>35</v>
      </c>
      <c r="G3959" t="s">
        <v>35</v>
      </c>
      <c r="H3959" t="s">
        <v>35</v>
      </c>
      <c r="J3959" t="s">
        <v>4389</v>
      </c>
      <c r="K3959" t="s">
        <v>1092</v>
      </c>
      <c r="M3959">
        <v>0.63</v>
      </c>
      <c r="N3959">
        <v>24</v>
      </c>
      <c r="O3959" t="s">
        <v>46</v>
      </c>
      <c r="Q3959" t="s">
        <v>255</v>
      </c>
      <c r="R3959" t="s">
        <v>548</v>
      </c>
      <c r="S3959" t="s">
        <v>524</v>
      </c>
    </row>
    <row r="3960" spans="1:19" x14ac:dyDescent="0.25">
      <c r="A3960" t="s">
        <v>30</v>
      </c>
      <c r="B3960" t="s">
        <v>31</v>
      </c>
      <c r="C3960" t="s">
        <v>32</v>
      </c>
      <c r="D3960" t="s">
        <v>522</v>
      </c>
      <c r="E3960" t="s">
        <v>565</v>
      </c>
      <c r="F3960" t="s">
        <v>35</v>
      </c>
      <c r="G3960" t="s">
        <v>35</v>
      </c>
      <c r="H3960" t="s">
        <v>35</v>
      </c>
      <c r="J3960" t="s">
        <v>3689</v>
      </c>
      <c r="K3960" t="s">
        <v>1092</v>
      </c>
      <c r="M3960">
        <v>6.75</v>
      </c>
      <c r="N3960">
        <v>9</v>
      </c>
      <c r="O3960" t="s">
        <v>46</v>
      </c>
      <c r="Q3960" t="s">
        <v>2009</v>
      </c>
      <c r="R3960" t="s">
        <v>4351</v>
      </c>
      <c r="S3960" t="s">
        <v>4352</v>
      </c>
    </row>
    <row r="3961" spans="1:19" x14ac:dyDescent="0.25">
      <c r="A3961" t="s">
        <v>59</v>
      </c>
      <c r="B3961" t="s">
        <v>60</v>
      </c>
      <c r="C3961" t="s">
        <v>32</v>
      </c>
      <c r="D3961" t="s">
        <v>522</v>
      </c>
      <c r="E3961" t="s">
        <v>565</v>
      </c>
      <c r="F3961" t="s">
        <v>35</v>
      </c>
      <c r="G3961" t="s">
        <v>35</v>
      </c>
      <c r="H3961" t="s">
        <v>35</v>
      </c>
      <c r="J3961" t="s">
        <v>4390</v>
      </c>
      <c r="K3961" t="s">
        <v>1092</v>
      </c>
      <c r="M3961">
        <v>1</v>
      </c>
      <c r="N3961">
        <v>71</v>
      </c>
      <c r="O3961" t="s">
        <v>61</v>
      </c>
      <c r="Q3961" t="s">
        <v>102</v>
      </c>
      <c r="R3961" t="s">
        <v>4322</v>
      </c>
      <c r="S3961" t="s">
        <v>566</v>
      </c>
    </row>
    <row r="3962" spans="1:19" x14ac:dyDescent="0.25">
      <c r="A3962" t="s">
        <v>30</v>
      </c>
      <c r="B3962" t="s">
        <v>31</v>
      </c>
      <c r="C3962" t="s">
        <v>32</v>
      </c>
      <c r="D3962" t="s">
        <v>522</v>
      </c>
      <c r="E3962" t="s">
        <v>565</v>
      </c>
      <c r="F3962" t="s">
        <v>35</v>
      </c>
      <c r="G3962" t="s">
        <v>35</v>
      </c>
      <c r="H3962" t="s">
        <v>35</v>
      </c>
      <c r="J3962" t="s">
        <v>4390</v>
      </c>
      <c r="K3962" t="s">
        <v>1092</v>
      </c>
      <c r="M3962">
        <v>2.835</v>
      </c>
      <c r="N3962">
        <v>74</v>
      </c>
      <c r="O3962" t="s">
        <v>61</v>
      </c>
      <c r="Q3962" t="s">
        <v>488</v>
      </c>
      <c r="R3962" t="s">
        <v>4351</v>
      </c>
      <c r="S3962" t="s">
        <v>4352</v>
      </c>
    </row>
    <row r="3963" spans="1:19" x14ac:dyDescent="0.25">
      <c r="A3963" t="s">
        <v>59</v>
      </c>
      <c r="B3963" t="s">
        <v>31</v>
      </c>
      <c r="C3963" t="s">
        <v>32</v>
      </c>
      <c r="D3963" t="s">
        <v>522</v>
      </c>
      <c r="E3963" t="s">
        <v>565</v>
      </c>
      <c r="F3963" t="s">
        <v>35</v>
      </c>
      <c r="G3963" t="s">
        <v>35</v>
      </c>
      <c r="H3963" t="s">
        <v>35</v>
      </c>
      <c r="J3963" t="s">
        <v>4391</v>
      </c>
      <c r="K3963" t="s">
        <v>1092</v>
      </c>
      <c r="M3963">
        <v>2.4750000000000001</v>
      </c>
      <c r="N3963">
        <v>171</v>
      </c>
      <c r="O3963" t="s">
        <v>38</v>
      </c>
      <c r="Q3963" t="s">
        <v>3930</v>
      </c>
      <c r="R3963" t="s">
        <v>538</v>
      </c>
      <c r="S3963" t="s">
        <v>539</v>
      </c>
    </row>
    <row r="3964" spans="1:19" x14ac:dyDescent="0.25">
      <c r="A3964" t="s">
        <v>30</v>
      </c>
      <c r="B3964" t="s">
        <v>31</v>
      </c>
      <c r="C3964" t="s">
        <v>32</v>
      </c>
      <c r="D3964" t="s">
        <v>522</v>
      </c>
      <c r="E3964" t="s">
        <v>565</v>
      </c>
      <c r="F3964" t="s">
        <v>35</v>
      </c>
      <c r="G3964" t="s">
        <v>35</v>
      </c>
      <c r="H3964" t="s">
        <v>35</v>
      </c>
      <c r="J3964" t="s">
        <v>4391</v>
      </c>
      <c r="K3964" t="s">
        <v>1092</v>
      </c>
      <c r="M3964">
        <v>5.5350000000000001</v>
      </c>
      <c r="N3964">
        <v>49</v>
      </c>
      <c r="O3964" t="s">
        <v>52</v>
      </c>
      <c r="Q3964" t="s">
        <v>219</v>
      </c>
      <c r="R3964" t="s">
        <v>538</v>
      </c>
      <c r="S3964" t="s">
        <v>539</v>
      </c>
    </row>
    <row r="3965" spans="1:19" x14ac:dyDescent="0.25">
      <c r="A3965" t="s">
        <v>30</v>
      </c>
      <c r="B3965" t="s">
        <v>31</v>
      </c>
      <c r="C3965" t="s">
        <v>32</v>
      </c>
      <c r="D3965" t="s">
        <v>522</v>
      </c>
      <c r="E3965" t="s">
        <v>565</v>
      </c>
      <c r="F3965" t="s">
        <v>35</v>
      </c>
      <c r="G3965" t="s">
        <v>35</v>
      </c>
      <c r="H3965" t="s">
        <v>35</v>
      </c>
      <c r="J3965" t="s">
        <v>4391</v>
      </c>
      <c r="K3965" t="s">
        <v>1092</v>
      </c>
      <c r="M3965">
        <v>3.8250000000000002</v>
      </c>
      <c r="N3965">
        <v>95</v>
      </c>
      <c r="O3965" t="s">
        <v>106</v>
      </c>
      <c r="Q3965" t="s">
        <v>724</v>
      </c>
      <c r="R3965" t="s">
        <v>538</v>
      </c>
      <c r="S3965" t="s">
        <v>539</v>
      </c>
    </row>
    <row r="3966" spans="1:19" x14ac:dyDescent="0.25">
      <c r="A3966" t="s">
        <v>30</v>
      </c>
      <c r="B3966" t="s">
        <v>31</v>
      </c>
      <c r="C3966" t="s">
        <v>32</v>
      </c>
      <c r="D3966" t="s">
        <v>522</v>
      </c>
      <c r="E3966" t="s">
        <v>565</v>
      </c>
      <c r="F3966" t="s">
        <v>35</v>
      </c>
      <c r="G3966" t="s">
        <v>35</v>
      </c>
      <c r="H3966" t="s">
        <v>35</v>
      </c>
      <c r="J3966" t="s">
        <v>4391</v>
      </c>
      <c r="K3966" t="s">
        <v>1092</v>
      </c>
      <c r="M3966">
        <v>5.625</v>
      </c>
      <c r="N3966">
        <v>149</v>
      </c>
      <c r="O3966" t="s">
        <v>38</v>
      </c>
      <c r="Q3966" t="s">
        <v>73</v>
      </c>
      <c r="R3966" t="s">
        <v>538</v>
      </c>
      <c r="S3966" t="s">
        <v>539</v>
      </c>
    </row>
    <row r="3967" spans="1:19" x14ac:dyDescent="0.25">
      <c r="A3967" t="s">
        <v>30</v>
      </c>
      <c r="B3967" t="s">
        <v>31</v>
      </c>
      <c r="C3967" t="s">
        <v>32</v>
      </c>
      <c r="D3967" t="s">
        <v>522</v>
      </c>
      <c r="E3967" t="s">
        <v>565</v>
      </c>
      <c r="F3967" t="s">
        <v>35</v>
      </c>
      <c r="G3967" t="s">
        <v>35</v>
      </c>
      <c r="H3967" t="s">
        <v>35</v>
      </c>
      <c r="J3967" t="s">
        <v>4391</v>
      </c>
      <c r="K3967" t="s">
        <v>1092</v>
      </c>
      <c r="M3967">
        <v>3.33</v>
      </c>
      <c r="N3967">
        <v>155</v>
      </c>
      <c r="O3967" t="s">
        <v>38</v>
      </c>
      <c r="Q3967" t="s">
        <v>3942</v>
      </c>
      <c r="R3967" t="s">
        <v>538</v>
      </c>
      <c r="S3967" t="s">
        <v>539</v>
      </c>
    </row>
    <row r="3968" spans="1:19" x14ac:dyDescent="0.25">
      <c r="A3968" t="s">
        <v>30</v>
      </c>
      <c r="B3968" t="s">
        <v>31</v>
      </c>
      <c r="C3968" t="s">
        <v>32</v>
      </c>
      <c r="D3968" t="s">
        <v>522</v>
      </c>
      <c r="E3968" t="s">
        <v>565</v>
      </c>
      <c r="F3968" t="s">
        <v>35</v>
      </c>
      <c r="G3968" t="s">
        <v>35</v>
      </c>
      <c r="H3968" t="s">
        <v>35</v>
      </c>
      <c r="J3968" t="s">
        <v>4392</v>
      </c>
      <c r="K3968" t="s">
        <v>1092</v>
      </c>
      <c r="M3968">
        <v>8.4600000000000009</v>
      </c>
      <c r="N3968">
        <v>49</v>
      </c>
      <c r="O3968" t="s">
        <v>52</v>
      </c>
      <c r="Q3968" t="s">
        <v>219</v>
      </c>
      <c r="R3968" t="s">
        <v>538</v>
      </c>
      <c r="S3968" t="s">
        <v>539</v>
      </c>
    </row>
    <row r="3969" spans="1:19" x14ac:dyDescent="0.25">
      <c r="A3969" t="s">
        <v>30</v>
      </c>
      <c r="B3969" t="s">
        <v>31</v>
      </c>
      <c r="C3969" t="s">
        <v>32</v>
      </c>
      <c r="D3969" t="s">
        <v>522</v>
      </c>
      <c r="E3969" t="s">
        <v>565</v>
      </c>
      <c r="F3969" t="s">
        <v>35</v>
      </c>
      <c r="G3969" t="s">
        <v>35</v>
      </c>
      <c r="H3969" t="s">
        <v>35</v>
      </c>
      <c r="J3969" t="s">
        <v>4393</v>
      </c>
      <c r="K3969" t="s">
        <v>1092</v>
      </c>
      <c r="M3969">
        <v>3.6</v>
      </c>
      <c r="N3969">
        <v>95</v>
      </c>
      <c r="O3969" t="s">
        <v>106</v>
      </c>
      <c r="Q3969" t="s">
        <v>724</v>
      </c>
      <c r="R3969" t="s">
        <v>538</v>
      </c>
      <c r="S3969" t="s">
        <v>539</v>
      </c>
    </row>
    <row r="3970" spans="1:19" x14ac:dyDescent="0.25">
      <c r="A3970" t="s">
        <v>30</v>
      </c>
      <c r="B3970" t="s">
        <v>31</v>
      </c>
      <c r="C3970" t="s">
        <v>32</v>
      </c>
      <c r="D3970" t="s">
        <v>522</v>
      </c>
      <c r="E3970" t="s">
        <v>565</v>
      </c>
      <c r="F3970" t="s">
        <v>35</v>
      </c>
      <c r="G3970" t="s">
        <v>35</v>
      </c>
      <c r="H3970" t="s">
        <v>35</v>
      </c>
      <c r="J3970" t="s">
        <v>4393</v>
      </c>
      <c r="K3970" t="s">
        <v>1092</v>
      </c>
      <c r="M3970">
        <v>0.91500000000000004</v>
      </c>
      <c r="N3970">
        <v>102</v>
      </c>
      <c r="O3970" t="s">
        <v>106</v>
      </c>
      <c r="Q3970" t="s">
        <v>2747</v>
      </c>
      <c r="R3970" t="s">
        <v>4322</v>
      </c>
      <c r="S3970" t="s">
        <v>566</v>
      </c>
    </row>
    <row r="3971" spans="1:19" x14ac:dyDescent="0.25">
      <c r="A3971" t="s">
        <v>59</v>
      </c>
      <c r="B3971" t="s">
        <v>31</v>
      </c>
      <c r="C3971" t="s">
        <v>32</v>
      </c>
      <c r="D3971" t="s">
        <v>522</v>
      </c>
      <c r="E3971" t="s">
        <v>565</v>
      </c>
      <c r="F3971" t="s">
        <v>35</v>
      </c>
      <c r="G3971" t="s">
        <v>35</v>
      </c>
      <c r="H3971" t="s">
        <v>35</v>
      </c>
      <c r="J3971" t="s">
        <v>4394</v>
      </c>
      <c r="K3971" t="s">
        <v>1092</v>
      </c>
      <c r="M3971">
        <v>2.0249999999999999</v>
      </c>
      <c r="N3971">
        <v>99</v>
      </c>
      <c r="O3971" t="s">
        <v>106</v>
      </c>
      <c r="Q3971" t="s">
        <v>1216</v>
      </c>
      <c r="R3971" t="s">
        <v>538</v>
      </c>
      <c r="S3971" t="s">
        <v>539</v>
      </c>
    </row>
    <row r="3972" spans="1:19" x14ac:dyDescent="0.25">
      <c r="A3972" t="s">
        <v>30</v>
      </c>
      <c r="B3972" t="s">
        <v>31</v>
      </c>
      <c r="C3972" t="s">
        <v>32</v>
      </c>
      <c r="D3972" t="s">
        <v>522</v>
      </c>
      <c r="E3972" t="s">
        <v>565</v>
      </c>
      <c r="F3972" t="s">
        <v>35</v>
      </c>
      <c r="G3972" t="s">
        <v>35</v>
      </c>
      <c r="H3972" t="s">
        <v>35</v>
      </c>
      <c r="J3972" t="s">
        <v>4395</v>
      </c>
      <c r="K3972" t="s">
        <v>1092</v>
      </c>
      <c r="M3972">
        <v>8.5500000000000007</v>
      </c>
      <c r="N3972">
        <v>49</v>
      </c>
      <c r="O3972" t="s">
        <v>52</v>
      </c>
      <c r="Q3972" t="s">
        <v>219</v>
      </c>
      <c r="R3972" t="s">
        <v>538</v>
      </c>
      <c r="S3972" t="s">
        <v>539</v>
      </c>
    </row>
    <row r="3973" spans="1:19" x14ac:dyDescent="0.25">
      <c r="A3973" t="s">
        <v>30</v>
      </c>
      <c r="B3973" t="s">
        <v>31</v>
      </c>
      <c r="C3973" t="s">
        <v>32</v>
      </c>
      <c r="D3973" t="s">
        <v>522</v>
      </c>
      <c r="E3973" t="s">
        <v>565</v>
      </c>
      <c r="F3973" t="s">
        <v>35</v>
      </c>
      <c r="G3973" t="s">
        <v>35</v>
      </c>
      <c r="H3973" t="s">
        <v>35</v>
      </c>
      <c r="J3973" t="s">
        <v>4396</v>
      </c>
      <c r="K3973" t="s">
        <v>1092</v>
      </c>
      <c r="M3973">
        <v>4.95</v>
      </c>
      <c r="N3973">
        <v>49</v>
      </c>
      <c r="O3973" t="s">
        <v>52</v>
      </c>
      <c r="Q3973" t="s">
        <v>219</v>
      </c>
      <c r="R3973" t="s">
        <v>538</v>
      </c>
      <c r="S3973" t="s">
        <v>539</v>
      </c>
    </row>
    <row r="3974" spans="1:19" x14ac:dyDescent="0.25">
      <c r="A3974" t="s">
        <v>30</v>
      </c>
      <c r="B3974" t="s">
        <v>31</v>
      </c>
      <c r="C3974" t="s">
        <v>32</v>
      </c>
      <c r="D3974" t="s">
        <v>522</v>
      </c>
      <c r="E3974" t="s">
        <v>565</v>
      </c>
      <c r="F3974" t="s">
        <v>35</v>
      </c>
      <c r="G3974" t="s">
        <v>35</v>
      </c>
      <c r="H3974" t="s">
        <v>35</v>
      </c>
      <c r="J3974" t="s">
        <v>4397</v>
      </c>
      <c r="K3974" t="s">
        <v>1092</v>
      </c>
      <c r="M3974">
        <v>4.2750000000000004</v>
      </c>
      <c r="N3974">
        <v>49</v>
      </c>
      <c r="O3974" t="s">
        <v>52</v>
      </c>
      <c r="Q3974" t="s">
        <v>219</v>
      </c>
      <c r="R3974" t="s">
        <v>538</v>
      </c>
      <c r="S3974" t="s">
        <v>539</v>
      </c>
    </row>
    <row r="3975" spans="1:19" x14ac:dyDescent="0.25">
      <c r="A3975" t="s">
        <v>30</v>
      </c>
      <c r="B3975" t="s">
        <v>31</v>
      </c>
      <c r="C3975" t="s">
        <v>32</v>
      </c>
      <c r="D3975" t="s">
        <v>522</v>
      </c>
      <c r="F3975" t="s">
        <v>35</v>
      </c>
      <c r="G3975" t="s">
        <v>35</v>
      </c>
      <c r="H3975" t="s">
        <v>35</v>
      </c>
      <c r="J3975" t="s">
        <v>4398</v>
      </c>
      <c r="K3975" t="s">
        <v>1092</v>
      </c>
      <c r="M3975">
        <v>10.845000000000001</v>
      </c>
      <c r="N3975">
        <v>39</v>
      </c>
      <c r="O3975" t="s">
        <v>52</v>
      </c>
      <c r="Q3975" t="s">
        <v>816</v>
      </c>
      <c r="R3975" t="s">
        <v>3931</v>
      </c>
      <c r="S3975" t="s">
        <v>3932</v>
      </c>
    </row>
    <row r="3976" spans="1:19" x14ac:dyDescent="0.25">
      <c r="A3976" t="s">
        <v>44</v>
      </c>
      <c r="B3976" t="s">
        <v>51</v>
      </c>
      <c r="C3976" t="s">
        <v>32</v>
      </c>
      <c r="D3976" t="s">
        <v>522</v>
      </c>
      <c r="F3976" t="s">
        <v>35</v>
      </c>
      <c r="G3976" t="s">
        <v>35</v>
      </c>
      <c r="H3976" t="s">
        <v>35</v>
      </c>
      <c r="J3976" t="s">
        <v>4399</v>
      </c>
      <c r="K3976" t="s">
        <v>1092</v>
      </c>
      <c r="M3976">
        <v>7.6</v>
      </c>
      <c r="N3976">
        <v>509</v>
      </c>
      <c r="O3976" t="s">
        <v>294</v>
      </c>
      <c r="Q3976" t="s">
        <v>296</v>
      </c>
      <c r="R3976" t="s">
        <v>559</v>
      </c>
      <c r="S3976" t="s">
        <v>554</v>
      </c>
    </row>
    <row r="3977" spans="1:19" x14ac:dyDescent="0.25">
      <c r="A3977" t="s">
        <v>30</v>
      </c>
      <c r="B3977" t="s">
        <v>31</v>
      </c>
      <c r="C3977" t="s">
        <v>32</v>
      </c>
      <c r="D3977" t="s">
        <v>522</v>
      </c>
      <c r="F3977" t="s">
        <v>35</v>
      </c>
      <c r="G3977" t="s">
        <v>35</v>
      </c>
      <c r="H3977" t="s">
        <v>35</v>
      </c>
      <c r="J3977" t="s">
        <v>4399</v>
      </c>
      <c r="K3977" t="s">
        <v>1092</v>
      </c>
      <c r="M3977">
        <v>0.18</v>
      </c>
      <c r="N3977">
        <v>1218</v>
      </c>
      <c r="O3977" t="s">
        <v>575</v>
      </c>
      <c r="Q3977" t="s">
        <v>4400</v>
      </c>
      <c r="R3977" t="s">
        <v>559</v>
      </c>
      <c r="S3977" t="s">
        <v>554</v>
      </c>
    </row>
    <row r="3978" spans="1:19" x14ac:dyDescent="0.25">
      <c r="A3978" t="s">
        <v>30</v>
      </c>
      <c r="B3978" t="s">
        <v>31</v>
      </c>
      <c r="C3978" t="s">
        <v>32</v>
      </c>
      <c r="D3978" t="s">
        <v>522</v>
      </c>
      <c r="F3978" t="s">
        <v>35</v>
      </c>
      <c r="G3978" t="s">
        <v>35</v>
      </c>
      <c r="H3978" t="s">
        <v>35</v>
      </c>
      <c r="J3978" t="s">
        <v>4401</v>
      </c>
      <c r="K3978" t="s">
        <v>1092</v>
      </c>
      <c r="M3978">
        <v>4.32</v>
      </c>
      <c r="N3978">
        <v>28</v>
      </c>
      <c r="O3978" t="s">
        <v>46</v>
      </c>
      <c r="Q3978" t="s">
        <v>176</v>
      </c>
      <c r="R3978" t="s">
        <v>538</v>
      </c>
      <c r="S3978" t="s">
        <v>539</v>
      </c>
    </row>
    <row r="3979" spans="1:19" x14ac:dyDescent="0.25">
      <c r="A3979" t="s">
        <v>30</v>
      </c>
      <c r="B3979" t="s">
        <v>31</v>
      </c>
      <c r="C3979" t="s">
        <v>32</v>
      </c>
      <c r="D3979" t="s">
        <v>522</v>
      </c>
      <c r="F3979" t="s">
        <v>35</v>
      </c>
      <c r="G3979" t="s">
        <v>35</v>
      </c>
      <c r="H3979" t="s">
        <v>35</v>
      </c>
      <c r="J3979" t="s">
        <v>4402</v>
      </c>
      <c r="K3979" t="s">
        <v>1092</v>
      </c>
      <c r="M3979">
        <v>9.9</v>
      </c>
      <c r="N3979">
        <v>28</v>
      </c>
      <c r="O3979" t="s">
        <v>46</v>
      </c>
      <c r="Q3979" t="s">
        <v>176</v>
      </c>
      <c r="R3979" t="s">
        <v>538</v>
      </c>
      <c r="S3979" t="s">
        <v>539</v>
      </c>
    </row>
    <row r="3980" spans="1:19" x14ac:dyDescent="0.25">
      <c r="A3980" t="s">
        <v>30</v>
      </c>
      <c r="B3980" t="s">
        <v>31</v>
      </c>
      <c r="C3980" t="s">
        <v>32</v>
      </c>
      <c r="D3980" t="s">
        <v>522</v>
      </c>
      <c r="F3980" t="s">
        <v>35</v>
      </c>
      <c r="G3980" t="s">
        <v>35</v>
      </c>
      <c r="H3980" t="s">
        <v>35</v>
      </c>
      <c r="J3980" t="s">
        <v>4402</v>
      </c>
      <c r="K3980" t="s">
        <v>1092</v>
      </c>
      <c r="M3980">
        <v>8.82</v>
      </c>
      <c r="N3980">
        <v>49</v>
      </c>
      <c r="O3980" t="s">
        <v>52</v>
      </c>
      <c r="Q3980" t="s">
        <v>219</v>
      </c>
      <c r="R3980" t="s">
        <v>538</v>
      </c>
      <c r="S3980" t="s">
        <v>539</v>
      </c>
    </row>
    <row r="3981" spans="1:19" x14ac:dyDescent="0.25">
      <c r="A3981" t="s">
        <v>59</v>
      </c>
      <c r="B3981" t="s">
        <v>31</v>
      </c>
      <c r="C3981" t="s">
        <v>32</v>
      </c>
      <c r="D3981" t="s">
        <v>522</v>
      </c>
      <c r="F3981" t="s">
        <v>35</v>
      </c>
      <c r="G3981" t="s">
        <v>35</v>
      </c>
      <c r="H3981" t="s">
        <v>35</v>
      </c>
      <c r="J3981" t="s">
        <v>4403</v>
      </c>
      <c r="K3981" t="s">
        <v>1092</v>
      </c>
      <c r="M3981">
        <v>3.42</v>
      </c>
      <c r="N3981">
        <v>2288</v>
      </c>
      <c r="O3981" t="s">
        <v>575</v>
      </c>
      <c r="Q3981" t="s">
        <v>4405</v>
      </c>
      <c r="R3981" t="s">
        <v>3985</v>
      </c>
      <c r="S3981" t="s">
        <v>3986</v>
      </c>
    </row>
    <row r="3982" spans="1:19" x14ac:dyDescent="0.25">
      <c r="A3982" t="s">
        <v>30</v>
      </c>
      <c r="B3982" t="s">
        <v>31</v>
      </c>
      <c r="C3982" t="s">
        <v>32</v>
      </c>
      <c r="D3982" t="s">
        <v>522</v>
      </c>
      <c r="F3982" t="s">
        <v>35</v>
      </c>
      <c r="G3982" t="s">
        <v>35</v>
      </c>
      <c r="H3982" t="s">
        <v>35</v>
      </c>
      <c r="J3982" t="s">
        <v>4403</v>
      </c>
      <c r="K3982" t="s">
        <v>1092</v>
      </c>
      <c r="M3982">
        <v>3.6</v>
      </c>
      <c r="N3982">
        <v>1860</v>
      </c>
      <c r="O3982" t="s">
        <v>575</v>
      </c>
      <c r="Q3982" t="s">
        <v>4404</v>
      </c>
      <c r="R3982" t="s">
        <v>3985</v>
      </c>
      <c r="S3982" t="s">
        <v>3986</v>
      </c>
    </row>
    <row r="3983" spans="1:19" x14ac:dyDescent="0.25">
      <c r="A3983" t="s">
        <v>30</v>
      </c>
      <c r="B3983" t="s">
        <v>31</v>
      </c>
      <c r="C3983" t="s">
        <v>32</v>
      </c>
      <c r="D3983" t="s">
        <v>522</v>
      </c>
      <c r="F3983" t="s">
        <v>35</v>
      </c>
      <c r="G3983" t="s">
        <v>35</v>
      </c>
      <c r="H3983" t="s">
        <v>35</v>
      </c>
      <c r="J3983" t="s">
        <v>1697</v>
      </c>
      <c r="K3983" t="s">
        <v>1092</v>
      </c>
      <c r="M3983">
        <v>0.87</v>
      </c>
      <c r="N3983">
        <v>2417</v>
      </c>
      <c r="O3983" t="s">
        <v>575</v>
      </c>
      <c r="Q3983" t="s">
        <v>2908</v>
      </c>
      <c r="R3983" t="s">
        <v>4406</v>
      </c>
      <c r="S3983" t="s">
        <v>4407</v>
      </c>
    </row>
    <row r="3984" spans="1:19" x14ac:dyDescent="0.25">
      <c r="A3984" t="s">
        <v>59</v>
      </c>
      <c r="B3984" t="s">
        <v>31</v>
      </c>
      <c r="C3984" t="s">
        <v>32</v>
      </c>
      <c r="D3984" t="s">
        <v>522</v>
      </c>
      <c r="F3984" t="s">
        <v>35</v>
      </c>
      <c r="G3984" t="s">
        <v>35</v>
      </c>
      <c r="H3984" t="s">
        <v>35</v>
      </c>
      <c r="J3984" t="s">
        <v>4408</v>
      </c>
      <c r="K3984" t="s">
        <v>1092</v>
      </c>
      <c r="M3984">
        <v>1.4850000000000001</v>
      </c>
      <c r="N3984">
        <v>1879</v>
      </c>
      <c r="O3984" t="s">
        <v>575</v>
      </c>
      <c r="Q3984" t="s">
        <v>4409</v>
      </c>
      <c r="R3984" t="s">
        <v>3931</v>
      </c>
      <c r="S3984" t="s">
        <v>3932</v>
      </c>
    </row>
    <row r="3985" spans="1:19" x14ac:dyDescent="0.25">
      <c r="A3985" t="s">
        <v>30</v>
      </c>
      <c r="B3985" t="s">
        <v>31</v>
      </c>
      <c r="C3985" t="s">
        <v>32</v>
      </c>
      <c r="D3985" t="s">
        <v>522</v>
      </c>
      <c r="F3985" t="s">
        <v>35</v>
      </c>
      <c r="G3985" t="s">
        <v>35</v>
      </c>
      <c r="H3985" t="s">
        <v>35</v>
      </c>
      <c r="J3985" t="s">
        <v>4410</v>
      </c>
      <c r="K3985" t="s">
        <v>1092</v>
      </c>
      <c r="M3985">
        <v>1.982</v>
      </c>
      <c r="N3985">
        <v>2673</v>
      </c>
      <c r="O3985" t="s">
        <v>575</v>
      </c>
      <c r="Q3985" t="s">
        <v>1486</v>
      </c>
      <c r="R3985" t="s">
        <v>1487</v>
      </c>
      <c r="S3985" t="s">
        <v>1488</v>
      </c>
    </row>
    <row r="3986" spans="1:19" x14ac:dyDescent="0.25">
      <c r="A3986" t="s">
        <v>30</v>
      </c>
      <c r="B3986" t="s">
        <v>31</v>
      </c>
      <c r="C3986" t="s">
        <v>32</v>
      </c>
      <c r="D3986" t="s">
        <v>522</v>
      </c>
      <c r="F3986" t="s">
        <v>35</v>
      </c>
      <c r="G3986" t="s">
        <v>35</v>
      </c>
      <c r="H3986" t="s">
        <v>35</v>
      </c>
      <c r="J3986" t="s">
        <v>4411</v>
      </c>
      <c r="K3986" t="s">
        <v>1092</v>
      </c>
      <c r="M3986">
        <v>0.01</v>
      </c>
      <c r="N3986">
        <v>2608</v>
      </c>
      <c r="O3986" t="s">
        <v>575</v>
      </c>
      <c r="Q3986" t="s">
        <v>4412</v>
      </c>
      <c r="R3986" t="s">
        <v>4413</v>
      </c>
      <c r="S3986" t="s">
        <v>4414</v>
      </c>
    </row>
    <row r="3987" spans="1:19" x14ac:dyDescent="0.25">
      <c r="A3987" t="s">
        <v>30</v>
      </c>
      <c r="B3987" t="s">
        <v>31</v>
      </c>
      <c r="C3987" t="s">
        <v>32</v>
      </c>
      <c r="D3987" t="s">
        <v>522</v>
      </c>
      <c r="F3987" t="s">
        <v>35</v>
      </c>
      <c r="G3987" t="s">
        <v>35</v>
      </c>
      <c r="H3987" t="s">
        <v>35</v>
      </c>
      <c r="J3987" t="s">
        <v>4416</v>
      </c>
      <c r="K3987" t="s">
        <v>1092</v>
      </c>
      <c r="M3987">
        <v>0.45</v>
      </c>
      <c r="N3987">
        <v>1865</v>
      </c>
      <c r="O3987" t="s">
        <v>575</v>
      </c>
      <c r="Q3987" t="s">
        <v>4417</v>
      </c>
      <c r="R3987" t="s">
        <v>4418</v>
      </c>
      <c r="S3987" t="s">
        <v>4419</v>
      </c>
    </row>
    <row r="3988" spans="1:19" x14ac:dyDescent="0.25">
      <c r="A3988" t="s">
        <v>30</v>
      </c>
      <c r="B3988" t="s">
        <v>31</v>
      </c>
      <c r="C3988" t="s">
        <v>32</v>
      </c>
      <c r="D3988" t="s">
        <v>522</v>
      </c>
      <c r="F3988" t="s">
        <v>35</v>
      </c>
      <c r="G3988" t="s">
        <v>35</v>
      </c>
      <c r="H3988" t="s">
        <v>35</v>
      </c>
      <c r="J3988" t="s">
        <v>4420</v>
      </c>
      <c r="K3988" t="s">
        <v>1092</v>
      </c>
      <c r="M3988">
        <v>13.005000000000001</v>
      </c>
      <c r="N3988">
        <v>1980</v>
      </c>
      <c r="O3988" t="s">
        <v>575</v>
      </c>
      <c r="Q3988" t="s">
        <v>4421</v>
      </c>
      <c r="R3988" t="s">
        <v>3931</v>
      </c>
      <c r="S3988" t="s">
        <v>3932</v>
      </c>
    </row>
    <row r="3989" spans="1:19" x14ac:dyDescent="0.25">
      <c r="A3989" t="s">
        <v>44</v>
      </c>
      <c r="B3989" t="s">
        <v>51</v>
      </c>
      <c r="C3989" t="s">
        <v>32</v>
      </c>
      <c r="D3989" t="s">
        <v>522</v>
      </c>
      <c r="F3989" t="s">
        <v>35</v>
      </c>
      <c r="G3989" t="s">
        <v>35</v>
      </c>
      <c r="H3989" t="s">
        <v>35</v>
      </c>
      <c r="J3989" t="s">
        <v>4422</v>
      </c>
      <c r="K3989" t="s">
        <v>1092</v>
      </c>
      <c r="M3989">
        <v>2.35</v>
      </c>
      <c r="N3989">
        <v>36</v>
      </c>
      <c r="O3989" t="s">
        <v>52</v>
      </c>
      <c r="Q3989" t="s">
        <v>2005</v>
      </c>
      <c r="R3989" t="s">
        <v>4122</v>
      </c>
      <c r="S3989" t="s">
        <v>549</v>
      </c>
    </row>
    <row r="3990" spans="1:19" x14ac:dyDescent="0.25">
      <c r="A3990" t="s">
        <v>59</v>
      </c>
      <c r="B3990" t="s">
        <v>60</v>
      </c>
      <c r="C3990" t="s">
        <v>32</v>
      </c>
      <c r="D3990" t="s">
        <v>522</v>
      </c>
      <c r="F3990" t="s">
        <v>35</v>
      </c>
      <c r="G3990" t="s">
        <v>35</v>
      </c>
      <c r="H3990" t="s">
        <v>35</v>
      </c>
      <c r="J3990" t="s">
        <v>4423</v>
      </c>
      <c r="K3990" t="s">
        <v>1092</v>
      </c>
      <c r="M3990">
        <v>0.5</v>
      </c>
      <c r="N3990">
        <v>347</v>
      </c>
      <c r="O3990" t="s">
        <v>5</v>
      </c>
      <c r="Q3990" t="s">
        <v>4424</v>
      </c>
      <c r="R3990" t="s">
        <v>559</v>
      </c>
      <c r="S3990" t="s">
        <v>554</v>
      </c>
    </row>
    <row r="3991" spans="1:19" x14ac:dyDescent="0.25">
      <c r="A3991" t="s">
        <v>30</v>
      </c>
      <c r="B3991" t="s">
        <v>31</v>
      </c>
      <c r="C3991" t="s">
        <v>32</v>
      </c>
      <c r="D3991" t="s">
        <v>522</v>
      </c>
      <c r="F3991" t="s">
        <v>35</v>
      </c>
      <c r="G3991" t="s">
        <v>35</v>
      </c>
      <c r="H3991" t="s">
        <v>35</v>
      </c>
      <c r="J3991" t="s">
        <v>4425</v>
      </c>
      <c r="K3991" t="s">
        <v>1092</v>
      </c>
      <c r="M3991">
        <v>21.375</v>
      </c>
      <c r="N3991">
        <v>32</v>
      </c>
      <c r="O3991" t="s">
        <v>52</v>
      </c>
      <c r="Q3991" t="s">
        <v>547</v>
      </c>
      <c r="R3991" t="s">
        <v>548</v>
      </c>
      <c r="S3991" t="s">
        <v>524</v>
      </c>
    </row>
    <row r="3992" spans="1:19" x14ac:dyDescent="0.25">
      <c r="A3992" t="s">
        <v>30</v>
      </c>
      <c r="B3992" t="s">
        <v>31</v>
      </c>
      <c r="C3992" t="s">
        <v>32</v>
      </c>
      <c r="D3992" t="s">
        <v>522</v>
      </c>
      <c r="F3992" t="s">
        <v>35</v>
      </c>
      <c r="G3992" t="s">
        <v>35</v>
      </c>
      <c r="H3992" t="s">
        <v>35</v>
      </c>
      <c r="J3992" t="s">
        <v>4426</v>
      </c>
      <c r="K3992" t="s">
        <v>1092</v>
      </c>
      <c r="M3992">
        <v>7.0000000000000001E-3</v>
      </c>
      <c r="N3992">
        <v>2673</v>
      </c>
      <c r="O3992" t="s">
        <v>575</v>
      </c>
      <c r="Q3992" t="s">
        <v>1486</v>
      </c>
      <c r="R3992" t="s">
        <v>1487</v>
      </c>
      <c r="S3992" t="s">
        <v>1488</v>
      </c>
    </row>
    <row r="3993" spans="1:19" x14ac:dyDescent="0.25">
      <c r="A3993" t="s">
        <v>30</v>
      </c>
      <c r="B3993" t="s">
        <v>31</v>
      </c>
      <c r="C3993" t="s">
        <v>32</v>
      </c>
      <c r="D3993" t="s">
        <v>522</v>
      </c>
      <c r="F3993" t="s">
        <v>35</v>
      </c>
      <c r="G3993" t="s">
        <v>35</v>
      </c>
      <c r="H3993" t="s">
        <v>35</v>
      </c>
      <c r="J3993" t="s">
        <v>4427</v>
      </c>
      <c r="K3993" t="s">
        <v>1092</v>
      </c>
      <c r="M3993">
        <v>6.5000000000000002E-2</v>
      </c>
      <c r="N3993">
        <v>2673</v>
      </c>
      <c r="O3993" t="s">
        <v>575</v>
      </c>
      <c r="Q3993" t="s">
        <v>1486</v>
      </c>
      <c r="R3993" t="s">
        <v>1487</v>
      </c>
      <c r="S3993" t="s">
        <v>1488</v>
      </c>
    </row>
    <row r="3994" spans="1:19" x14ac:dyDescent="0.25">
      <c r="A3994" t="s">
        <v>30</v>
      </c>
      <c r="B3994" t="s">
        <v>31</v>
      </c>
      <c r="C3994" t="s">
        <v>32</v>
      </c>
      <c r="D3994" t="s">
        <v>522</v>
      </c>
      <c r="F3994" t="s">
        <v>35</v>
      </c>
      <c r="G3994" t="s">
        <v>35</v>
      </c>
      <c r="H3994" t="s">
        <v>35</v>
      </c>
      <c r="J3994" t="s">
        <v>3689</v>
      </c>
      <c r="K3994" t="s">
        <v>1092</v>
      </c>
      <c r="M3994">
        <v>5.085</v>
      </c>
      <c r="N3994">
        <v>1222</v>
      </c>
      <c r="O3994" t="s">
        <v>575</v>
      </c>
      <c r="Q3994" t="s">
        <v>2434</v>
      </c>
      <c r="R3994" t="s">
        <v>548</v>
      </c>
      <c r="S3994" t="s">
        <v>524</v>
      </c>
    </row>
    <row r="3995" spans="1:19" x14ac:dyDescent="0.25">
      <c r="A3995" t="s">
        <v>59</v>
      </c>
      <c r="B3995" t="s">
        <v>31</v>
      </c>
      <c r="C3995" t="s">
        <v>32</v>
      </c>
      <c r="D3995" t="s">
        <v>522</v>
      </c>
      <c r="F3995" t="s">
        <v>35</v>
      </c>
      <c r="G3995" t="s">
        <v>35</v>
      </c>
      <c r="H3995" t="s">
        <v>35</v>
      </c>
      <c r="J3995" t="s">
        <v>4428</v>
      </c>
      <c r="K3995" t="s">
        <v>1092</v>
      </c>
      <c r="M3995">
        <v>0.45</v>
      </c>
      <c r="N3995">
        <v>1869</v>
      </c>
      <c r="O3995" t="s">
        <v>575</v>
      </c>
      <c r="Q3995" t="s">
        <v>4429</v>
      </c>
      <c r="R3995" t="s">
        <v>538</v>
      </c>
      <c r="S3995" t="s">
        <v>539</v>
      </c>
    </row>
    <row r="3996" spans="1:19" x14ac:dyDescent="0.25">
      <c r="A3996" t="s">
        <v>59</v>
      </c>
      <c r="B3996" t="s">
        <v>31</v>
      </c>
      <c r="C3996" t="s">
        <v>32</v>
      </c>
      <c r="D3996" t="s">
        <v>522</v>
      </c>
      <c r="F3996" t="s">
        <v>35</v>
      </c>
      <c r="G3996" t="s">
        <v>35</v>
      </c>
      <c r="H3996" t="s">
        <v>35</v>
      </c>
      <c r="J3996" t="s">
        <v>4430</v>
      </c>
      <c r="K3996" t="s">
        <v>1092</v>
      </c>
      <c r="M3996">
        <v>0.191</v>
      </c>
      <c r="N3996">
        <v>1477</v>
      </c>
      <c r="O3996" t="s">
        <v>575</v>
      </c>
      <c r="Q3996" t="s">
        <v>4432</v>
      </c>
      <c r="R3996" t="s">
        <v>3938</v>
      </c>
      <c r="S3996" t="s">
        <v>3939</v>
      </c>
    </row>
    <row r="3997" spans="1:19" x14ac:dyDescent="0.25">
      <c r="A3997" t="s">
        <v>30</v>
      </c>
      <c r="B3997" t="s">
        <v>31</v>
      </c>
      <c r="C3997" t="s">
        <v>32</v>
      </c>
      <c r="D3997" t="s">
        <v>522</v>
      </c>
      <c r="F3997" t="s">
        <v>35</v>
      </c>
      <c r="G3997" t="s">
        <v>35</v>
      </c>
      <c r="H3997" t="s">
        <v>35</v>
      </c>
      <c r="J3997" t="s">
        <v>4430</v>
      </c>
      <c r="K3997" t="s">
        <v>1092</v>
      </c>
      <c r="M3997">
        <v>0.97</v>
      </c>
      <c r="N3997">
        <v>1294</v>
      </c>
      <c r="O3997" t="s">
        <v>575</v>
      </c>
      <c r="Q3997" t="s">
        <v>4431</v>
      </c>
      <c r="R3997" t="s">
        <v>3938</v>
      </c>
      <c r="S3997" t="s">
        <v>3939</v>
      </c>
    </row>
    <row r="3998" spans="1:19" x14ac:dyDescent="0.25">
      <c r="A3998" t="s">
        <v>30</v>
      </c>
      <c r="B3998" t="s">
        <v>31</v>
      </c>
      <c r="C3998" t="s">
        <v>32</v>
      </c>
      <c r="D3998" t="s">
        <v>522</v>
      </c>
      <c r="F3998" t="s">
        <v>35</v>
      </c>
      <c r="G3998" t="s">
        <v>35</v>
      </c>
      <c r="H3998" t="s">
        <v>35</v>
      </c>
      <c r="J3998" t="s">
        <v>4433</v>
      </c>
      <c r="K3998" t="s">
        <v>1092</v>
      </c>
      <c r="M3998">
        <v>2.9249999999999998</v>
      </c>
      <c r="N3998">
        <v>49</v>
      </c>
      <c r="O3998" t="s">
        <v>52</v>
      </c>
      <c r="Q3998" t="s">
        <v>219</v>
      </c>
      <c r="R3998" t="s">
        <v>538</v>
      </c>
      <c r="S3998" t="s">
        <v>539</v>
      </c>
    </row>
    <row r="3999" spans="1:19" x14ac:dyDescent="0.25">
      <c r="A3999" t="s">
        <v>30</v>
      </c>
      <c r="B3999" t="s">
        <v>31</v>
      </c>
      <c r="C3999" t="s">
        <v>32</v>
      </c>
      <c r="D3999" t="s">
        <v>522</v>
      </c>
      <c r="F3999" t="s">
        <v>35</v>
      </c>
      <c r="G3999" t="s">
        <v>35</v>
      </c>
      <c r="H3999" t="s">
        <v>35</v>
      </c>
      <c r="J3999" t="s">
        <v>4434</v>
      </c>
      <c r="K3999" t="s">
        <v>1092</v>
      </c>
      <c r="M3999">
        <v>0.85499999999999998</v>
      </c>
      <c r="N3999">
        <v>2244</v>
      </c>
      <c r="O3999" t="s">
        <v>575</v>
      </c>
      <c r="Q3999" t="s">
        <v>4435</v>
      </c>
      <c r="R3999" t="s">
        <v>4190</v>
      </c>
      <c r="S3999" t="s">
        <v>581</v>
      </c>
    </row>
    <row r="4000" spans="1:19" x14ac:dyDescent="0.25">
      <c r="A4000" t="s">
        <v>30</v>
      </c>
      <c r="B4000" t="s">
        <v>31</v>
      </c>
      <c r="C4000" t="s">
        <v>32</v>
      </c>
      <c r="D4000" t="s">
        <v>522</v>
      </c>
      <c r="F4000" t="s">
        <v>35</v>
      </c>
      <c r="G4000" t="s">
        <v>35</v>
      </c>
      <c r="H4000" t="s">
        <v>35</v>
      </c>
      <c r="J4000" t="s">
        <v>4436</v>
      </c>
      <c r="K4000" t="s">
        <v>1092</v>
      </c>
      <c r="M4000">
        <v>0.05</v>
      </c>
      <c r="N4000">
        <v>1507</v>
      </c>
      <c r="O4000" t="s">
        <v>575</v>
      </c>
      <c r="Q4000" t="s">
        <v>4437</v>
      </c>
      <c r="R4000" t="s">
        <v>559</v>
      </c>
      <c r="S4000" t="s">
        <v>554</v>
      </c>
    </row>
    <row r="4001" spans="1:19" x14ac:dyDescent="0.25">
      <c r="A4001" t="s">
        <v>30</v>
      </c>
      <c r="B4001" t="s">
        <v>31</v>
      </c>
      <c r="C4001" t="s">
        <v>32</v>
      </c>
      <c r="D4001" t="s">
        <v>522</v>
      </c>
      <c r="F4001" t="s">
        <v>35</v>
      </c>
      <c r="G4001" t="s">
        <v>35</v>
      </c>
      <c r="H4001" t="s">
        <v>35</v>
      </c>
      <c r="J4001" t="s">
        <v>4438</v>
      </c>
      <c r="K4001" t="s">
        <v>1092</v>
      </c>
      <c r="M4001">
        <v>1.35</v>
      </c>
      <c r="N4001">
        <v>16</v>
      </c>
      <c r="O4001" t="s">
        <v>46</v>
      </c>
      <c r="Q4001" t="s">
        <v>323</v>
      </c>
      <c r="R4001" t="s">
        <v>548</v>
      </c>
      <c r="S4001" t="s">
        <v>524</v>
      </c>
    </row>
    <row r="4002" spans="1:19" x14ac:dyDescent="0.25">
      <c r="A4002" t="s">
        <v>30</v>
      </c>
      <c r="B4002" t="s">
        <v>31</v>
      </c>
      <c r="C4002" t="s">
        <v>32</v>
      </c>
      <c r="D4002" t="s">
        <v>522</v>
      </c>
      <c r="F4002" t="s">
        <v>35</v>
      </c>
      <c r="G4002" t="s">
        <v>35</v>
      </c>
      <c r="H4002" t="s">
        <v>35</v>
      </c>
      <c r="J4002" t="s">
        <v>4438</v>
      </c>
      <c r="K4002" t="s">
        <v>1092</v>
      </c>
      <c r="M4002">
        <v>0.67500000000000004</v>
      </c>
      <c r="N4002">
        <v>33</v>
      </c>
      <c r="O4002" t="s">
        <v>52</v>
      </c>
      <c r="Q4002" t="s">
        <v>137</v>
      </c>
      <c r="R4002" t="s">
        <v>548</v>
      </c>
      <c r="S4002" t="s">
        <v>524</v>
      </c>
    </row>
    <row r="4003" spans="1:19" x14ac:dyDescent="0.25">
      <c r="A4003" t="s">
        <v>30</v>
      </c>
      <c r="B4003" t="s">
        <v>31</v>
      </c>
      <c r="C4003" t="s">
        <v>32</v>
      </c>
      <c r="D4003" t="s">
        <v>522</v>
      </c>
      <c r="F4003" t="s">
        <v>35</v>
      </c>
      <c r="G4003" t="s">
        <v>35</v>
      </c>
      <c r="H4003" t="s">
        <v>35</v>
      </c>
      <c r="J4003" t="s">
        <v>4438</v>
      </c>
      <c r="K4003" t="s">
        <v>1092</v>
      </c>
      <c r="M4003">
        <v>2.7</v>
      </c>
      <c r="N4003">
        <v>32</v>
      </c>
      <c r="O4003" t="s">
        <v>52</v>
      </c>
      <c r="Q4003" t="s">
        <v>547</v>
      </c>
      <c r="R4003" t="s">
        <v>548</v>
      </c>
      <c r="S4003" t="s">
        <v>524</v>
      </c>
    </row>
    <row r="4004" spans="1:19" x14ac:dyDescent="0.25">
      <c r="A4004" t="s">
        <v>59</v>
      </c>
      <c r="B4004" t="s">
        <v>60</v>
      </c>
      <c r="C4004" t="s">
        <v>32</v>
      </c>
      <c r="D4004" t="s">
        <v>522</v>
      </c>
      <c r="F4004" t="s">
        <v>35</v>
      </c>
      <c r="G4004" t="s">
        <v>35</v>
      </c>
      <c r="H4004" t="s">
        <v>35</v>
      </c>
      <c r="J4004" t="s">
        <v>4439</v>
      </c>
      <c r="K4004" t="s">
        <v>1092</v>
      </c>
      <c r="M4004">
        <v>0.4</v>
      </c>
      <c r="N4004">
        <v>27</v>
      </c>
      <c r="O4004" t="s">
        <v>46</v>
      </c>
      <c r="Q4004" t="s">
        <v>1011</v>
      </c>
      <c r="R4004" t="s">
        <v>4139</v>
      </c>
      <c r="S4004" t="s">
        <v>544</v>
      </c>
    </row>
    <row r="4005" spans="1:19" x14ac:dyDescent="0.25">
      <c r="A4005" t="s">
        <v>59</v>
      </c>
      <c r="B4005" t="s">
        <v>60</v>
      </c>
      <c r="C4005" t="s">
        <v>32</v>
      </c>
      <c r="D4005" t="s">
        <v>522</v>
      </c>
      <c r="F4005" t="s">
        <v>35</v>
      </c>
      <c r="G4005" t="s">
        <v>35</v>
      </c>
      <c r="H4005" t="s">
        <v>35</v>
      </c>
      <c r="J4005" t="s">
        <v>4440</v>
      </c>
      <c r="K4005" t="s">
        <v>1092</v>
      </c>
      <c r="M4005">
        <v>0.5</v>
      </c>
      <c r="N4005">
        <v>27</v>
      </c>
      <c r="O4005" t="s">
        <v>46</v>
      </c>
      <c r="Q4005" t="s">
        <v>1011</v>
      </c>
      <c r="R4005" t="s">
        <v>4139</v>
      </c>
      <c r="S4005" t="s">
        <v>544</v>
      </c>
    </row>
    <row r="4006" spans="1:19" x14ac:dyDescent="0.25">
      <c r="A4006" t="s">
        <v>30</v>
      </c>
      <c r="B4006" t="s">
        <v>31</v>
      </c>
      <c r="C4006" t="s">
        <v>32</v>
      </c>
      <c r="D4006" t="s">
        <v>584</v>
      </c>
      <c r="E4006" t="s">
        <v>4441</v>
      </c>
      <c r="F4006" t="s">
        <v>35</v>
      </c>
      <c r="G4006" t="s">
        <v>35</v>
      </c>
      <c r="H4006" t="s">
        <v>35</v>
      </c>
      <c r="J4006" t="s">
        <v>4442</v>
      </c>
      <c r="K4006" t="s">
        <v>1092</v>
      </c>
      <c r="M4006">
        <v>2.4750000000000001</v>
      </c>
      <c r="N4006">
        <v>71</v>
      </c>
      <c r="O4006" t="s">
        <v>61</v>
      </c>
      <c r="Q4006" t="s">
        <v>102</v>
      </c>
      <c r="R4006" t="s">
        <v>610</v>
      </c>
      <c r="S4006" t="s">
        <v>539</v>
      </c>
    </row>
    <row r="4007" spans="1:19" x14ac:dyDescent="0.25">
      <c r="A4007" t="s">
        <v>59</v>
      </c>
      <c r="B4007" t="s">
        <v>60</v>
      </c>
      <c r="C4007" t="s">
        <v>32</v>
      </c>
      <c r="D4007" t="s">
        <v>584</v>
      </c>
      <c r="E4007" t="s">
        <v>4441</v>
      </c>
      <c r="F4007" t="s">
        <v>35</v>
      </c>
      <c r="G4007" t="s">
        <v>35</v>
      </c>
      <c r="H4007" t="s">
        <v>35</v>
      </c>
      <c r="J4007" t="s">
        <v>4443</v>
      </c>
      <c r="K4007" t="s">
        <v>1092</v>
      </c>
      <c r="M4007">
        <v>0.85</v>
      </c>
      <c r="N4007">
        <v>53</v>
      </c>
      <c r="O4007" t="s">
        <v>52</v>
      </c>
      <c r="Q4007" t="s">
        <v>332</v>
      </c>
      <c r="R4007" t="s">
        <v>631</v>
      </c>
      <c r="S4007" t="s">
        <v>632</v>
      </c>
    </row>
    <row r="4008" spans="1:19" x14ac:dyDescent="0.25">
      <c r="A4008" t="s">
        <v>59</v>
      </c>
      <c r="B4008" t="s">
        <v>60</v>
      </c>
      <c r="C4008" t="s">
        <v>32</v>
      </c>
      <c r="D4008" t="s">
        <v>584</v>
      </c>
      <c r="E4008" t="s">
        <v>4441</v>
      </c>
      <c r="F4008" t="s">
        <v>35</v>
      </c>
      <c r="G4008" t="s">
        <v>35</v>
      </c>
      <c r="H4008" t="s">
        <v>35</v>
      </c>
      <c r="J4008" t="s">
        <v>4443</v>
      </c>
      <c r="K4008" t="s">
        <v>1092</v>
      </c>
      <c r="M4008">
        <v>0.5</v>
      </c>
      <c r="N4008">
        <v>52</v>
      </c>
      <c r="O4008" t="s">
        <v>52</v>
      </c>
      <c r="Q4008" t="s">
        <v>1230</v>
      </c>
      <c r="R4008" t="s">
        <v>4444</v>
      </c>
      <c r="S4008" t="s">
        <v>593</v>
      </c>
    </row>
    <row r="4009" spans="1:19" x14ac:dyDescent="0.25">
      <c r="A4009" t="s">
        <v>59</v>
      </c>
      <c r="B4009" t="s">
        <v>31</v>
      </c>
      <c r="C4009" t="s">
        <v>32</v>
      </c>
      <c r="D4009" t="s">
        <v>584</v>
      </c>
      <c r="E4009" t="s">
        <v>4441</v>
      </c>
      <c r="F4009" t="s">
        <v>35</v>
      </c>
      <c r="G4009" t="s">
        <v>35</v>
      </c>
      <c r="H4009" t="s">
        <v>35</v>
      </c>
      <c r="J4009" t="s">
        <v>4445</v>
      </c>
      <c r="K4009" t="s">
        <v>1092</v>
      </c>
      <c r="M4009">
        <v>7.7750000000000004</v>
      </c>
      <c r="N4009">
        <v>200</v>
      </c>
      <c r="O4009" t="s">
        <v>5</v>
      </c>
      <c r="Q4009" t="s">
        <v>3691</v>
      </c>
      <c r="R4009" t="s">
        <v>4446</v>
      </c>
      <c r="S4009" t="s">
        <v>4447</v>
      </c>
    </row>
    <row r="4010" spans="1:19" x14ac:dyDescent="0.25">
      <c r="A4010" t="s">
        <v>59</v>
      </c>
      <c r="B4010" t="s">
        <v>60</v>
      </c>
      <c r="C4010" t="s">
        <v>32</v>
      </c>
      <c r="D4010" t="s">
        <v>584</v>
      </c>
      <c r="E4010" t="s">
        <v>4441</v>
      </c>
      <c r="F4010" t="s">
        <v>35</v>
      </c>
      <c r="G4010" t="s">
        <v>35</v>
      </c>
      <c r="H4010" t="s">
        <v>35</v>
      </c>
      <c r="J4010" t="s">
        <v>4449</v>
      </c>
      <c r="K4010" t="s">
        <v>1092</v>
      </c>
      <c r="M4010">
        <v>3</v>
      </c>
      <c r="N4010">
        <v>45</v>
      </c>
      <c r="O4010" t="s">
        <v>52</v>
      </c>
      <c r="Q4010" t="s">
        <v>716</v>
      </c>
      <c r="R4010" t="s">
        <v>631</v>
      </c>
      <c r="S4010" t="s">
        <v>632</v>
      </c>
    </row>
    <row r="4011" spans="1:19" x14ac:dyDescent="0.25">
      <c r="A4011" t="s">
        <v>30</v>
      </c>
      <c r="B4011" t="s">
        <v>31</v>
      </c>
      <c r="C4011" t="s">
        <v>32</v>
      </c>
      <c r="D4011" t="s">
        <v>584</v>
      </c>
      <c r="E4011" t="s">
        <v>4441</v>
      </c>
      <c r="F4011" t="s">
        <v>35</v>
      </c>
      <c r="G4011" t="s">
        <v>35</v>
      </c>
      <c r="H4011" t="s">
        <v>35</v>
      </c>
      <c r="J4011" t="s">
        <v>4450</v>
      </c>
      <c r="K4011" t="s">
        <v>1092</v>
      </c>
      <c r="M4011">
        <v>10.845000000000001</v>
      </c>
      <c r="N4011">
        <v>53</v>
      </c>
      <c r="O4011" t="s">
        <v>52</v>
      </c>
      <c r="Q4011" t="s">
        <v>332</v>
      </c>
      <c r="R4011" t="s">
        <v>631</v>
      </c>
      <c r="S4011" t="s">
        <v>632</v>
      </c>
    </row>
    <row r="4012" spans="1:19" x14ac:dyDescent="0.25">
      <c r="A4012" t="s">
        <v>59</v>
      </c>
      <c r="B4012" t="s">
        <v>60</v>
      </c>
      <c r="C4012" t="s">
        <v>32</v>
      </c>
      <c r="D4012" t="s">
        <v>584</v>
      </c>
      <c r="E4012" t="s">
        <v>4441</v>
      </c>
      <c r="F4012" t="s">
        <v>35</v>
      </c>
      <c r="G4012" t="s">
        <v>35</v>
      </c>
      <c r="H4012" t="s">
        <v>35</v>
      </c>
      <c r="J4012" t="s">
        <v>4451</v>
      </c>
      <c r="K4012" t="s">
        <v>1092</v>
      </c>
      <c r="M4012">
        <v>0.8</v>
      </c>
      <c r="N4012">
        <v>198</v>
      </c>
      <c r="O4012" t="s">
        <v>5</v>
      </c>
      <c r="Q4012" t="s">
        <v>4086</v>
      </c>
      <c r="R4012" t="s">
        <v>610</v>
      </c>
      <c r="S4012" t="s">
        <v>539</v>
      </c>
    </row>
    <row r="4013" spans="1:19" x14ac:dyDescent="0.25">
      <c r="A4013" t="s">
        <v>30</v>
      </c>
      <c r="B4013" t="s">
        <v>31</v>
      </c>
      <c r="C4013" t="s">
        <v>32</v>
      </c>
      <c r="D4013" t="s">
        <v>584</v>
      </c>
      <c r="E4013" t="s">
        <v>4441</v>
      </c>
      <c r="F4013" t="s">
        <v>35</v>
      </c>
      <c r="G4013" t="s">
        <v>35</v>
      </c>
      <c r="H4013" t="s">
        <v>35</v>
      </c>
      <c r="J4013" t="s">
        <v>4452</v>
      </c>
      <c r="K4013" t="s">
        <v>1092</v>
      </c>
      <c r="M4013">
        <v>7.4249999999999998</v>
      </c>
      <c r="N4013">
        <v>48</v>
      </c>
      <c r="O4013" t="s">
        <v>52</v>
      </c>
      <c r="Q4013" t="s">
        <v>496</v>
      </c>
      <c r="R4013" t="s">
        <v>4444</v>
      </c>
      <c r="S4013" t="s">
        <v>593</v>
      </c>
    </row>
    <row r="4014" spans="1:19" x14ac:dyDescent="0.25">
      <c r="A4014" t="s">
        <v>44</v>
      </c>
      <c r="B4014" t="s">
        <v>3</v>
      </c>
      <c r="C4014" t="s">
        <v>32</v>
      </c>
      <c r="D4014" t="s">
        <v>584</v>
      </c>
      <c r="E4014" t="s">
        <v>4441</v>
      </c>
      <c r="F4014" t="s">
        <v>35</v>
      </c>
      <c r="G4014" t="s">
        <v>35</v>
      </c>
      <c r="H4014" t="s">
        <v>35</v>
      </c>
      <c r="J4014" t="s">
        <v>4453</v>
      </c>
      <c r="K4014" t="s">
        <v>1092</v>
      </c>
      <c r="M4014">
        <v>0.9</v>
      </c>
      <c r="N4014">
        <v>522</v>
      </c>
      <c r="O4014" t="s">
        <v>294</v>
      </c>
      <c r="Q4014" t="s">
        <v>2158</v>
      </c>
      <c r="R4014" t="s">
        <v>4454</v>
      </c>
      <c r="S4014" t="s">
        <v>4455</v>
      </c>
    </row>
    <row r="4015" spans="1:19" x14ac:dyDescent="0.25">
      <c r="A4015" t="s">
        <v>59</v>
      </c>
      <c r="B4015" t="s">
        <v>60</v>
      </c>
      <c r="C4015" t="s">
        <v>32</v>
      </c>
      <c r="D4015" t="s">
        <v>584</v>
      </c>
      <c r="E4015" t="s">
        <v>4441</v>
      </c>
      <c r="F4015" t="s">
        <v>35</v>
      </c>
      <c r="G4015" t="s">
        <v>35</v>
      </c>
      <c r="H4015" t="s">
        <v>35</v>
      </c>
      <c r="J4015" t="s">
        <v>4457</v>
      </c>
      <c r="K4015" t="s">
        <v>1092</v>
      </c>
      <c r="M4015">
        <v>1</v>
      </c>
      <c r="N4015">
        <v>33</v>
      </c>
      <c r="O4015" t="s">
        <v>52</v>
      </c>
      <c r="Q4015" t="s">
        <v>137</v>
      </c>
      <c r="R4015" t="s">
        <v>4444</v>
      </c>
      <c r="S4015" t="s">
        <v>593</v>
      </c>
    </row>
    <row r="4016" spans="1:19" x14ac:dyDescent="0.25">
      <c r="A4016" t="s">
        <v>59</v>
      </c>
      <c r="B4016" t="s">
        <v>60</v>
      </c>
      <c r="C4016" t="s">
        <v>32</v>
      </c>
      <c r="D4016" t="s">
        <v>584</v>
      </c>
      <c r="E4016" t="s">
        <v>4441</v>
      </c>
      <c r="F4016" t="s">
        <v>35</v>
      </c>
      <c r="G4016" t="s">
        <v>35</v>
      </c>
      <c r="H4016" t="s">
        <v>35</v>
      </c>
      <c r="J4016" t="s">
        <v>4458</v>
      </c>
      <c r="K4016" t="s">
        <v>1092</v>
      </c>
      <c r="M4016">
        <v>8</v>
      </c>
      <c r="N4016">
        <v>44</v>
      </c>
      <c r="O4016" t="s">
        <v>52</v>
      </c>
      <c r="Q4016" t="s">
        <v>192</v>
      </c>
      <c r="R4016" t="s">
        <v>4459</v>
      </c>
      <c r="S4016" t="s">
        <v>4460</v>
      </c>
    </row>
    <row r="4017" spans="1:19" x14ac:dyDescent="0.25">
      <c r="A4017" t="s">
        <v>44</v>
      </c>
      <c r="B4017" t="s">
        <v>3</v>
      </c>
      <c r="C4017" t="s">
        <v>32</v>
      </c>
      <c r="D4017" t="s">
        <v>584</v>
      </c>
      <c r="E4017" t="s">
        <v>4441</v>
      </c>
      <c r="F4017" t="s">
        <v>35</v>
      </c>
      <c r="G4017" t="s">
        <v>35</v>
      </c>
      <c r="H4017" t="s">
        <v>35</v>
      </c>
      <c r="J4017" t="s">
        <v>4462</v>
      </c>
      <c r="K4017" t="s">
        <v>1092</v>
      </c>
      <c r="M4017">
        <v>1</v>
      </c>
      <c r="N4017">
        <v>290</v>
      </c>
      <c r="O4017" t="s">
        <v>5</v>
      </c>
      <c r="Q4017" t="s">
        <v>4463</v>
      </c>
      <c r="R4017" t="s">
        <v>4464</v>
      </c>
      <c r="S4017" t="s">
        <v>4465</v>
      </c>
    </row>
    <row r="4018" spans="1:19" x14ac:dyDescent="0.25">
      <c r="A4018" t="s">
        <v>59</v>
      </c>
      <c r="B4018" t="s">
        <v>60</v>
      </c>
      <c r="C4018" t="s">
        <v>32</v>
      </c>
      <c r="D4018" t="s">
        <v>584</v>
      </c>
      <c r="E4018" t="s">
        <v>4441</v>
      </c>
      <c r="F4018" t="s">
        <v>35</v>
      </c>
      <c r="G4018" t="s">
        <v>35</v>
      </c>
      <c r="H4018" t="s">
        <v>35</v>
      </c>
      <c r="J4018" t="s">
        <v>4467</v>
      </c>
      <c r="K4018" t="s">
        <v>1092</v>
      </c>
      <c r="M4018">
        <v>2.4</v>
      </c>
      <c r="N4018">
        <v>163</v>
      </c>
      <c r="O4018" t="s">
        <v>38</v>
      </c>
      <c r="Q4018" t="s">
        <v>1632</v>
      </c>
      <c r="R4018" t="s">
        <v>4468</v>
      </c>
      <c r="S4018" t="s">
        <v>4469</v>
      </c>
    </row>
    <row r="4019" spans="1:19" x14ac:dyDescent="0.25">
      <c r="A4019" t="s">
        <v>59</v>
      </c>
      <c r="B4019" t="s">
        <v>60</v>
      </c>
      <c r="C4019" t="s">
        <v>32</v>
      </c>
      <c r="D4019" t="s">
        <v>584</v>
      </c>
      <c r="E4019" t="s">
        <v>4441</v>
      </c>
      <c r="F4019" t="s">
        <v>35</v>
      </c>
      <c r="G4019" t="s">
        <v>35</v>
      </c>
      <c r="H4019" t="s">
        <v>35</v>
      </c>
      <c r="J4019" t="s">
        <v>4471</v>
      </c>
      <c r="K4019" t="s">
        <v>1092</v>
      </c>
      <c r="M4019">
        <v>1.5</v>
      </c>
      <c r="N4019">
        <v>18</v>
      </c>
      <c r="O4019" t="s">
        <v>46</v>
      </c>
      <c r="Q4019" t="s">
        <v>1476</v>
      </c>
      <c r="R4019" t="s">
        <v>4444</v>
      </c>
      <c r="S4019" t="s">
        <v>593</v>
      </c>
    </row>
    <row r="4020" spans="1:19" x14ac:dyDescent="0.25">
      <c r="A4020" t="s">
        <v>59</v>
      </c>
      <c r="B4020" t="s">
        <v>60</v>
      </c>
      <c r="C4020" t="s">
        <v>32</v>
      </c>
      <c r="D4020" t="s">
        <v>584</v>
      </c>
      <c r="E4020" t="s">
        <v>4441</v>
      </c>
      <c r="F4020" t="s">
        <v>35</v>
      </c>
      <c r="G4020" t="s">
        <v>35</v>
      </c>
      <c r="H4020" t="s">
        <v>35</v>
      </c>
      <c r="J4020" t="s">
        <v>4472</v>
      </c>
      <c r="K4020" t="s">
        <v>1092</v>
      </c>
      <c r="M4020">
        <v>0.5</v>
      </c>
      <c r="N4020">
        <v>34</v>
      </c>
      <c r="O4020" t="s">
        <v>52</v>
      </c>
      <c r="Q4020" t="s">
        <v>809</v>
      </c>
      <c r="R4020" t="s">
        <v>4444</v>
      </c>
      <c r="S4020" t="s">
        <v>593</v>
      </c>
    </row>
    <row r="4021" spans="1:19" x14ac:dyDescent="0.25">
      <c r="A4021" t="s">
        <v>30</v>
      </c>
      <c r="B4021" t="s">
        <v>31</v>
      </c>
      <c r="C4021" t="s">
        <v>32</v>
      </c>
      <c r="D4021" t="s">
        <v>584</v>
      </c>
      <c r="E4021" t="s">
        <v>4441</v>
      </c>
      <c r="F4021" t="s">
        <v>35</v>
      </c>
      <c r="G4021" t="s">
        <v>35</v>
      </c>
      <c r="H4021" t="s">
        <v>35</v>
      </c>
      <c r="J4021" t="s">
        <v>4472</v>
      </c>
      <c r="K4021" t="s">
        <v>1092</v>
      </c>
      <c r="M4021">
        <v>5.0000000000000001E-3</v>
      </c>
      <c r="N4021">
        <v>1335</v>
      </c>
      <c r="O4021" t="s">
        <v>575</v>
      </c>
      <c r="Q4021" t="s">
        <v>4473</v>
      </c>
      <c r="R4021" t="s">
        <v>631</v>
      </c>
      <c r="S4021" t="s">
        <v>632</v>
      </c>
    </row>
    <row r="4022" spans="1:19" x14ac:dyDescent="0.25">
      <c r="A4022" t="s">
        <v>30</v>
      </c>
      <c r="B4022" t="s">
        <v>31</v>
      </c>
      <c r="C4022" t="s">
        <v>32</v>
      </c>
      <c r="D4022" t="s">
        <v>584</v>
      </c>
      <c r="E4022" t="s">
        <v>4441</v>
      </c>
      <c r="F4022" t="s">
        <v>35</v>
      </c>
      <c r="G4022" t="s">
        <v>35</v>
      </c>
      <c r="H4022" t="s">
        <v>35</v>
      </c>
      <c r="J4022" t="s">
        <v>4474</v>
      </c>
      <c r="K4022" t="s">
        <v>1092</v>
      </c>
      <c r="M4022">
        <v>22.05</v>
      </c>
      <c r="N4022">
        <v>71</v>
      </c>
      <c r="O4022" t="s">
        <v>61</v>
      </c>
      <c r="Q4022" t="s">
        <v>102</v>
      </c>
      <c r="R4022" t="s">
        <v>610</v>
      </c>
      <c r="S4022" t="s">
        <v>539</v>
      </c>
    </row>
    <row r="4023" spans="1:19" x14ac:dyDescent="0.25">
      <c r="A4023" t="s">
        <v>30</v>
      </c>
      <c r="B4023" t="s">
        <v>31</v>
      </c>
      <c r="C4023" t="s">
        <v>32</v>
      </c>
      <c r="D4023" t="s">
        <v>584</v>
      </c>
      <c r="E4023" t="s">
        <v>4441</v>
      </c>
      <c r="F4023" t="s">
        <v>35</v>
      </c>
      <c r="G4023" t="s">
        <v>35</v>
      </c>
      <c r="H4023" t="s">
        <v>35</v>
      </c>
      <c r="J4023" t="s">
        <v>4474</v>
      </c>
      <c r="K4023" t="s">
        <v>1092</v>
      </c>
      <c r="M4023">
        <v>8.2349999999999994</v>
      </c>
      <c r="N4023">
        <v>132</v>
      </c>
      <c r="O4023" t="s">
        <v>38</v>
      </c>
      <c r="Q4023" t="s">
        <v>2901</v>
      </c>
      <c r="R4023" t="s">
        <v>610</v>
      </c>
      <c r="S4023" t="s">
        <v>539</v>
      </c>
    </row>
    <row r="4024" spans="1:19" x14ac:dyDescent="0.25">
      <c r="A4024" t="s">
        <v>59</v>
      </c>
      <c r="B4024" t="s">
        <v>31</v>
      </c>
      <c r="C4024" t="s">
        <v>32</v>
      </c>
      <c r="D4024" t="s">
        <v>584</v>
      </c>
      <c r="E4024" t="s">
        <v>4441</v>
      </c>
      <c r="F4024" t="s">
        <v>35</v>
      </c>
      <c r="G4024" t="s">
        <v>35</v>
      </c>
      <c r="H4024" t="s">
        <v>35</v>
      </c>
      <c r="J4024" t="s">
        <v>4474</v>
      </c>
      <c r="K4024" t="s">
        <v>1092</v>
      </c>
      <c r="M4024">
        <v>0.315</v>
      </c>
      <c r="N4024">
        <v>415</v>
      </c>
      <c r="O4024" t="s">
        <v>294</v>
      </c>
      <c r="Q4024" t="s">
        <v>4475</v>
      </c>
      <c r="R4024" t="s">
        <v>4446</v>
      </c>
      <c r="S4024" t="s">
        <v>4447</v>
      </c>
    </row>
    <row r="4025" spans="1:19" x14ac:dyDescent="0.25">
      <c r="A4025" t="s">
        <v>30</v>
      </c>
      <c r="B4025" t="s">
        <v>31</v>
      </c>
      <c r="C4025" t="s">
        <v>32</v>
      </c>
      <c r="D4025" t="s">
        <v>584</v>
      </c>
      <c r="E4025" t="s">
        <v>4441</v>
      </c>
      <c r="F4025" t="s">
        <v>35</v>
      </c>
      <c r="G4025" t="s">
        <v>35</v>
      </c>
      <c r="H4025" t="s">
        <v>35</v>
      </c>
      <c r="J4025" t="s">
        <v>4476</v>
      </c>
      <c r="K4025" t="s">
        <v>1092</v>
      </c>
      <c r="M4025">
        <v>8.91</v>
      </c>
      <c r="N4025">
        <v>51</v>
      </c>
      <c r="O4025" t="s">
        <v>52</v>
      </c>
      <c r="Q4025" t="s">
        <v>54</v>
      </c>
      <c r="R4025" t="s">
        <v>631</v>
      </c>
      <c r="S4025" t="s">
        <v>632</v>
      </c>
    </row>
    <row r="4026" spans="1:19" x14ac:dyDescent="0.25">
      <c r="A4026" t="s">
        <v>30</v>
      </c>
      <c r="B4026" t="s">
        <v>31</v>
      </c>
      <c r="C4026" t="s">
        <v>32</v>
      </c>
      <c r="D4026" t="s">
        <v>584</v>
      </c>
      <c r="E4026" t="s">
        <v>4441</v>
      </c>
      <c r="F4026" t="s">
        <v>35</v>
      </c>
      <c r="G4026" t="s">
        <v>35</v>
      </c>
      <c r="H4026" t="s">
        <v>35</v>
      </c>
      <c r="J4026" t="s">
        <v>4477</v>
      </c>
      <c r="K4026" t="s">
        <v>1092</v>
      </c>
      <c r="M4026">
        <v>0.18</v>
      </c>
      <c r="N4026">
        <v>53</v>
      </c>
      <c r="O4026" t="s">
        <v>52</v>
      </c>
      <c r="Q4026" t="s">
        <v>332</v>
      </c>
      <c r="R4026" t="s">
        <v>631</v>
      </c>
      <c r="S4026" t="s">
        <v>632</v>
      </c>
    </row>
    <row r="4027" spans="1:19" x14ac:dyDescent="0.25">
      <c r="A4027" t="s">
        <v>30</v>
      </c>
      <c r="B4027" t="s">
        <v>31</v>
      </c>
      <c r="C4027" t="s">
        <v>32</v>
      </c>
      <c r="D4027" t="s">
        <v>584</v>
      </c>
      <c r="E4027" t="s">
        <v>4441</v>
      </c>
      <c r="F4027" t="s">
        <v>35</v>
      </c>
      <c r="G4027" t="s">
        <v>35</v>
      </c>
      <c r="H4027" t="s">
        <v>35</v>
      </c>
      <c r="J4027" t="s">
        <v>4478</v>
      </c>
      <c r="K4027" t="s">
        <v>1092</v>
      </c>
      <c r="M4027">
        <v>33.075000000000003</v>
      </c>
      <c r="N4027">
        <v>71</v>
      </c>
      <c r="O4027" t="s">
        <v>61</v>
      </c>
      <c r="Q4027" t="s">
        <v>102</v>
      </c>
      <c r="R4027" t="s">
        <v>610</v>
      </c>
      <c r="S4027" t="s">
        <v>539</v>
      </c>
    </row>
    <row r="4028" spans="1:19" x14ac:dyDescent="0.25">
      <c r="A4028" t="s">
        <v>59</v>
      </c>
      <c r="B4028" t="s">
        <v>31</v>
      </c>
      <c r="C4028" t="s">
        <v>32</v>
      </c>
      <c r="D4028" t="s">
        <v>584</v>
      </c>
      <c r="E4028" t="s">
        <v>4441</v>
      </c>
      <c r="F4028" t="s">
        <v>35</v>
      </c>
      <c r="G4028" t="s">
        <v>35</v>
      </c>
      <c r="H4028" t="s">
        <v>35</v>
      </c>
      <c r="J4028" t="s">
        <v>4478</v>
      </c>
      <c r="K4028" t="s">
        <v>1092</v>
      </c>
      <c r="M4028">
        <v>1.3049999999999999</v>
      </c>
      <c r="N4028">
        <v>81</v>
      </c>
      <c r="O4028" t="s">
        <v>61</v>
      </c>
      <c r="Q4028" t="s">
        <v>527</v>
      </c>
      <c r="R4028" t="s">
        <v>631</v>
      </c>
      <c r="S4028" t="s">
        <v>632</v>
      </c>
    </row>
    <row r="4029" spans="1:19" x14ac:dyDescent="0.25">
      <c r="A4029" t="s">
        <v>30</v>
      </c>
      <c r="B4029" t="s">
        <v>31</v>
      </c>
      <c r="C4029" t="s">
        <v>32</v>
      </c>
      <c r="D4029" t="s">
        <v>584</v>
      </c>
      <c r="E4029" t="s">
        <v>4441</v>
      </c>
      <c r="F4029" t="s">
        <v>35</v>
      </c>
      <c r="G4029" t="s">
        <v>35</v>
      </c>
      <c r="H4029" t="s">
        <v>35</v>
      </c>
      <c r="J4029" t="s">
        <v>4478</v>
      </c>
      <c r="K4029" t="s">
        <v>1092</v>
      </c>
      <c r="M4029">
        <v>32.94</v>
      </c>
      <c r="N4029">
        <v>53</v>
      </c>
      <c r="O4029" t="s">
        <v>52</v>
      </c>
      <c r="Q4029" t="s">
        <v>332</v>
      </c>
      <c r="R4029" t="s">
        <v>631</v>
      </c>
      <c r="S4029" t="s">
        <v>632</v>
      </c>
    </row>
    <row r="4030" spans="1:19" x14ac:dyDescent="0.25">
      <c r="A4030" t="s">
        <v>30</v>
      </c>
      <c r="B4030" t="s">
        <v>31</v>
      </c>
      <c r="C4030" t="s">
        <v>32</v>
      </c>
      <c r="D4030" t="s">
        <v>584</v>
      </c>
      <c r="E4030" t="s">
        <v>4441</v>
      </c>
      <c r="F4030" t="s">
        <v>35</v>
      </c>
      <c r="G4030" t="s">
        <v>35</v>
      </c>
      <c r="H4030" t="s">
        <v>35</v>
      </c>
      <c r="J4030" t="s">
        <v>4478</v>
      </c>
      <c r="K4030" t="s">
        <v>1092</v>
      </c>
      <c r="M4030">
        <v>9.1349999999999998</v>
      </c>
      <c r="N4030">
        <v>175</v>
      </c>
      <c r="O4030" t="s">
        <v>38</v>
      </c>
      <c r="Q4030" t="s">
        <v>1692</v>
      </c>
      <c r="R4030" t="s">
        <v>631</v>
      </c>
      <c r="S4030" t="s">
        <v>632</v>
      </c>
    </row>
    <row r="4031" spans="1:19" x14ac:dyDescent="0.25">
      <c r="A4031" t="s">
        <v>30</v>
      </c>
      <c r="B4031" t="s">
        <v>31</v>
      </c>
      <c r="C4031" t="s">
        <v>32</v>
      </c>
      <c r="D4031" t="s">
        <v>584</v>
      </c>
      <c r="E4031" t="s">
        <v>4441</v>
      </c>
      <c r="F4031" t="s">
        <v>35</v>
      </c>
      <c r="G4031" t="s">
        <v>35</v>
      </c>
      <c r="H4031" t="s">
        <v>35</v>
      </c>
      <c r="J4031" t="s">
        <v>4479</v>
      </c>
      <c r="K4031" t="s">
        <v>1092</v>
      </c>
      <c r="M4031">
        <v>1.98</v>
      </c>
      <c r="N4031">
        <v>95</v>
      </c>
      <c r="O4031" t="s">
        <v>106</v>
      </c>
      <c r="Q4031" t="s">
        <v>724</v>
      </c>
      <c r="R4031" t="s">
        <v>610</v>
      </c>
      <c r="S4031" t="s">
        <v>539</v>
      </c>
    </row>
    <row r="4032" spans="1:19" x14ac:dyDescent="0.25">
      <c r="A4032" t="s">
        <v>59</v>
      </c>
      <c r="B4032" t="s">
        <v>60</v>
      </c>
      <c r="C4032" t="s">
        <v>32</v>
      </c>
      <c r="D4032" t="s">
        <v>584</v>
      </c>
      <c r="E4032" t="s">
        <v>4441</v>
      </c>
      <c r="F4032" t="s">
        <v>35</v>
      </c>
      <c r="G4032" t="s">
        <v>35</v>
      </c>
      <c r="H4032" t="s">
        <v>35</v>
      </c>
      <c r="J4032" t="s">
        <v>4479</v>
      </c>
      <c r="K4032" t="s">
        <v>1092</v>
      </c>
      <c r="M4032">
        <v>8</v>
      </c>
      <c r="N4032">
        <v>43</v>
      </c>
      <c r="O4032" t="s">
        <v>52</v>
      </c>
      <c r="Q4032" t="s">
        <v>892</v>
      </c>
      <c r="R4032" t="s">
        <v>4454</v>
      </c>
      <c r="S4032" t="s">
        <v>4455</v>
      </c>
    </row>
    <row r="4033" spans="1:19" x14ac:dyDescent="0.25">
      <c r="A4033" t="s">
        <v>30</v>
      </c>
      <c r="B4033" t="s">
        <v>31</v>
      </c>
      <c r="C4033" t="s">
        <v>32</v>
      </c>
      <c r="D4033" t="s">
        <v>584</v>
      </c>
      <c r="E4033" t="s">
        <v>4441</v>
      </c>
      <c r="F4033" t="s">
        <v>35</v>
      </c>
      <c r="G4033" t="s">
        <v>35</v>
      </c>
      <c r="H4033" t="s">
        <v>35</v>
      </c>
      <c r="J4033" t="s">
        <v>4480</v>
      </c>
      <c r="K4033" t="s">
        <v>1092</v>
      </c>
      <c r="M4033">
        <v>11.025</v>
      </c>
      <c r="N4033">
        <v>97</v>
      </c>
      <c r="O4033" t="s">
        <v>106</v>
      </c>
      <c r="Q4033" t="s">
        <v>557</v>
      </c>
      <c r="R4033" t="s">
        <v>610</v>
      </c>
      <c r="S4033" t="s">
        <v>539</v>
      </c>
    </row>
    <row r="4034" spans="1:19" x14ac:dyDescent="0.25">
      <c r="A4034" t="s">
        <v>59</v>
      </c>
      <c r="B4034" t="s">
        <v>60</v>
      </c>
      <c r="C4034" t="s">
        <v>32</v>
      </c>
      <c r="D4034" t="s">
        <v>584</v>
      </c>
      <c r="E4034" t="s">
        <v>4441</v>
      </c>
      <c r="F4034" t="s">
        <v>35</v>
      </c>
      <c r="G4034" t="s">
        <v>35</v>
      </c>
      <c r="H4034" t="s">
        <v>35</v>
      </c>
      <c r="J4034" t="s">
        <v>4481</v>
      </c>
      <c r="K4034" t="s">
        <v>1092</v>
      </c>
      <c r="M4034">
        <v>0.5</v>
      </c>
      <c r="N4034">
        <v>34</v>
      </c>
      <c r="O4034" t="s">
        <v>52</v>
      </c>
      <c r="Q4034" t="s">
        <v>809</v>
      </c>
      <c r="R4034" t="s">
        <v>4468</v>
      </c>
      <c r="S4034" t="s">
        <v>4469</v>
      </c>
    </row>
    <row r="4035" spans="1:19" x14ac:dyDescent="0.25">
      <c r="A4035" t="s">
        <v>59</v>
      </c>
      <c r="B4035" t="s">
        <v>60</v>
      </c>
      <c r="C4035" t="s">
        <v>32</v>
      </c>
      <c r="D4035" t="s">
        <v>584</v>
      </c>
      <c r="E4035" t="s">
        <v>4441</v>
      </c>
      <c r="F4035" t="s">
        <v>35</v>
      </c>
      <c r="G4035" t="s">
        <v>35</v>
      </c>
      <c r="H4035" t="s">
        <v>35</v>
      </c>
      <c r="J4035" t="s">
        <v>4481</v>
      </c>
      <c r="K4035" t="s">
        <v>1092</v>
      </c>
      <c r="M4035">
        <v>0.5</v>
      </c>
      <c r="N4035">
        <v>131</v>
      </c>
      <c r="O4035" t="s">
        <v>38</v>
      </c>
      <c r="Q4035" t="s">
        <v>646</v>
      </c>
      <c r="R4035" t="s">
        <v>4468</v>
      </c>
      <c r="S4035" t="s">
        <v>4469</v>
      </c>
    </row>
    <row r="4036" spans="1:19" x14ac:dyDescent="0.25">
      <c r="A4036" t="s">
        <v>59</v>
      </c>
      <c r="B4036" t="s">
        <v>60</v>
      </c>
      <c r="C4036" t="s">
        <v>32</v>
      </c>
      <c r="D4036" t="s">
        <v>584</v>
      </c>
      <c r="E4036" t="s">
        <v>4441</v>
      </c>
      <c r="F4036" t="s">
        <v>35</v>
      </c>
      <c r="G4036" t="s">
        <v>35</v>
      </c>
      <c r="H4036" t="s">
        <v>35</v>
      </c>
      <c r="J4036" t="s">
        <v>4481</v>
      </c>
      <c r="K4036" t="s">
        <v>1092</v>
      </c>
      <c r="M4036">
        <v>0.25</v>
      </c>
      <c r="N4036">
        <v>193</v>
      </c>
      <c r="O4036" t="s">
        <v>5</v>
      </c>
      <c r="Q4036" t="s">
        <v>1894</v>
      </c>
      <c r="R4036" t="s">
        <v>4468</v>
      </c>
      <c r="S4036" t="s">
        <v>4469</v>
      </c>
    </row>
    <row r="4037" spans="1:19" x14ac:dyDescent="0.25">
      <c r="A4037" t="s">
        <v>59</v>
      </c>
      <c r="B4037" t="s">
        <v>60</v>
      </c>
      <c r="C4037" t="s">
        <v>32</v>
      </c>
      <c r="D4037" t="s">
        <v>584</v>
      </c>
      <c r="E4037" t="s">
        <v>4441</v>
      </c>
      <c r="F4037" t="s">
        <v>35</v>
      </c>
      <c r="G4037" t="s">
        <v>35</v>
      </c>
      <c r="H4037" t="s">
        <v>35</v>
      </c>
      <c r="J4037" t="s">
        <v>4481</v>
      </c>
      <c r="K4037" t="s">
        <v>1092</v>
      </c>
      <c r="M4037">
        <v>0.25</v>
      </c>
      <c r="N4037">
        <v>497</v>
      </c>
      <c r="O4037" t="s">
        <v>294</v>
      </c>
      <c r="Q4037" t="s">
        <v>3653</v>
      </c>
      <c r="R4037" t="s">
        <v>4468</v>
      </c>
      <c r="S4037" t="s">
        <v>4469</v>
      </c>
    </row>
    <row r="4038" spans="1:19" x14ac:dyDescent="0.25">
      <c r="A4038" t="s">
        <v>59</v>
      </c>
      <c r="B4038" t="s">
        <v>60</v>
      </c>
      <c r="C4038" t="s">
        <v>32</v>
      </c>
      <c r="D4038" t="s">
        <v>584</v>
      </c>
      <c r="E4038" t="s">
        <v>4441</v>
      </c>
      <c r="F4038" t="s">
        <v>35</v>
      </c>
      <c r="G4038" t="s">
        <v>35</v>
      </c>
      <c r="H4038" t="s">
        <v>35</v>
      </c>
      <c r="J4038" t="s">
        <v>4482</v>
      </c>
      <c r="K4038" t="s">
        <v>1092</v>
      </c>
      <c r="M4038">
        <v>2</v>
      </c>
      <c r="N4038">
        <v>74</v>
      </c>
      <c r="O4038" t="s">
        <v>61</v>
      </c>
      <c r="Q4038" t="s">
        <v>488</v>
      </c>
      <c r="R4038" t="s">
        <v>4444</v>
      </c>
      <c r="S4038" t="s">
        <v>593</v>
      </c>
    </row>
    <row r="4039" spans="1:19" x14ac:dyDescent="0.25">
      <c r="A4039" t="s">
        <v>30</v>
      </c>
      <c r="B4039" t="s">
        <v>31</v>
      </c>
      <c r="C4039" t="s">
        <v>32</v>
      </c>
      <c r="D4039" t="s">
        <v>584</v>
      </c>
      <c r="E4039" t="s">
        <v>4441</v>
      </c>
      <c r="F4039" t="s">
        <v>35</v>
      </c>
      <c r="G4039" t="s">
        <v>35</v>
      </c>
      <c r="H4039" t="s">
        <v>35</v>
      </c>
      <c r="J4039" t="s">
        <v>4482</v>
      </c>
      <c r="K4039" t="s">
        <v>1092</v>
      </c>
      <c r="M4039">
        <v>1.665</v>
      </c>
      <c r="N4039">
        <v>48</v>
      </c>
      <c r="O4039" t="s">
        <v>52</v>
      </c>
      <c r="Q4039" t="s">
        <v>496</v>
      </c>
      <c r="R4039" t="s">
        <v>4444</v>
      </c>
      <c r="S4039" t="s">
        <v>593</v>
      </c>
    </row>
    <row r="4040" spans="1:19" x14ac:dyDescent="0.25">
      <c r="A4040" t="s">
        <v>59</v>
      </c>
      <c r="B4040" t="s">
        <v>31</v>
      </c>
      <c r="C4040" t="s">
        <v>32</v>
      </c>
      <c r="D4040" t="s">
        <v>584</v>
      </c>
      <c r="E4040" t="s">
        <v>4441</v>
      </c>
      <c r="F4040" t="s">
        <v>35</v>
      </c>
      <c r="G4040" t="s">
        <v>35</v>
      </c>
      <c r="H4040" t="s">
        <v>35</v>
      </c>
      <c r="J4040" t="s">
        <v>4483</v>
      </c>
      <c r="K4040" t="s">
        <v>1092</v>
      </c>
      <c r="M4040">
        <v>0.54</v>
      </c>
      <c r="N4040">
        <v>489</v>
      </c>
      <c r="O4040" t="s">
        <v>294</v>
      </c>
      <c r="Q4040" t="s">
        <v>2729</v>
      </c>
      <c r="R4040" t="s">
        <v>4446</v>
      </c>
      <c r="S4040" t="s">
        <v>4447</v>
      </c>
    </row>
    <row r="4041" spans="1:19" x14ac:dyDescent="0.25">
      <c r="A4041" t="s">
        <v>59</v>
      </c>
      <c r="B4041" t="s">
        <v>60</v>
      </c>
      <c r="C4041" t="s">
        <v>32</v>
      </c>
      <c r="D4041" t="s">
        <v>584</v>
      </c>
      <c r="E4041" t="s">
        <v>4441</v>
      </c>
      <c r="F4041" t="s">
        <v>35</v>
      </c>
      <c r="G4041" t="s">
        <v>35</v>
      </c>
      <c r="H4041" t="s">
        <v>35</v>
      </c>
      <c r="J4041" t="s">
        <v>4484</v>
      </c>
      <c r="K4041" t="s">
        <v>1092</v>
      </c>
      <c r="M4041">
        <v>6</v>
      </c>
      <c r="N4041">
        <v>496</v>
      </c>
      <c r="O4041" t="s">
        <v>294</v>
      </c>
      <c r="Q4041" t="s">
        <v>3602</v>
      </c>
      <c r="R4041" t="s">
        <v>631</v>
      </c>
      <c r="S4041" t="s">
        <v>632</v>
      </c>
    </row>
    <row r="4042" spans="1:19" x14ac:dyDescent="0.25">
      <c r="A4042" t="s">
        <v>59</v>
      </c>
      <c r="B4042" t="s">
        <v>31</v>
      </c>
      <c r="C4042" t="s">
        <v>32</v>
      </c>
      <c r="D4042" t="s">
        <v>584</v>
      </c>
      <c r="E4042" t="s">
        <v>4441</v>
      </c>
      <c r="F4042" t="s">
        <v>35</v>
      </c>
      <c r="G4042" t="s">
        <v>35</v>
      </c>
      <c r="H4042" t="s">
        <v>35</v>
      </c>
      <c r="J4042" t="s">
        <v>4484</v>
      </c>
      <c r="K4042" t="s">
        <v>1092</v>
      </c>
      <c r="M4042">
        <v>1.665</v>
      </c>
      <c r="N4042">
        <v>496</v>
      </c>
      <c r="O4042" t="s">
        <v>294</v>
      </c>
      <c r="Q4042" t="s">
        <v>3602</v>
      </c>
      <c r="R4042" t="s">
        <v>631</v>
      </c>
      <c r="S4042" t="s">
        <v>632</v>
      </c>
    </row>
    <row r="4043" spans="1:19" x14ac:dyDescent="0.25">
      <c r="A4043" t="s">
        <v>59</v>
      </c>
      <c r="B4043" t="s">
        <v>60</v>
      </c>
      <c r="C4043" t="s">
        <v>32</v>
      </c>
      <c r="D4043" t="s">
        <v>584</v>
      </c>
      <c r="E4043" t="s">
        <v>4486</v>
      </c>
      <c r="F4043" t="s">
        <v>35</v>
      </c>
      <c r="G4043" t="s">
        <v>35</v>
      </c>
      <c r="H4043" t="s">
        <v>35</v>
      </c>
      <c r="J4043" t="s">
        <v>4487</v>
      </c>
      <c r="K4043" t="s">
        <v>1092</v>
      </c>
      <c r="M4043">
        <v>0.25</v>
      </c>
      <c r="N4043">
        <v>128</v>
      </c>
      <c r="O4043" t="s">
        <v>38</v>
      </c>
      <c r="Q4043" t="s">
        <v>1170</v>
      </c>
      <c r="R4043" t="s">
        <v>4459</v>
      </c>
      <c r="S4043" t="s">
        <v>4460</v>
      </c>
    </row>
    <row r="4044" spans="1:19" x14ac:dyDescent="0.25">
      <c r="A4044" t="s">
        <v>59</v>
      </c>
      <c r="B4044" t="s">
        <v>31</v>
      </c>
      <c r="C4044" t="s">
        <v>32</v>
      </c>
      <c r="D4044" t="s">
        <v>584</v>
      </c>
      <c r="E4044" t="s">
        <v>4486</v>
      </c>
      <c r="F4044" t="s">
        <v>35</v>
      </c>
      <c r="G4044" t="s">
        <v>35</v>
      </c>
      <c r="H4044" t="s">
        <v>35</v>
      </c>
      <c r="J4044" t="s">
        <v>4488</v>
      </c>
      <c r="K4044" t="s">
        <v>1092</v>
      </c>
      <c r="M4044">
        <v>3.105</v>
      </c>
      <c r="N4044">
        <v>97</v>
      </c>
      <c r="O4044" t="s">
        <v>106</v>
      </c>
      <c r="Q4044" t="s">
        <v>557</v>
      </c>
      <c r="R4044" t="s">
        <v>610</v>
      </c>
      <c r="S4044" t="s">
        <v>539</v>
      </c>
    </row>
    <row r="4045" spans="1:19" x14ac:dyDescent="0.25">
      <c r="A4045" t="s">
        <v>30</v>
      </c>
      <c r="B4045" t="s">
        <v>31</v>
      </c>
      <c r="C4045" t="s">
        <v>32</v>
      </c>
      <c r="D4045" t="s">
        <v>584</v>
      </c>
      <c r="E4045" t="s">
        <v>4486</v>
      </c>
      <c r="F4045" t="s">
        <v>35</v>
      </c>
      <c r="G4045" t="s">
        <v>35</v>
      </c>
      <c r="H4045" t="s">
        <v>35</v>
      </c>
      <c r="J4045" t="s">
        <v>4488</v>
      </c>
      <c r="K4045" t="s">
        <v>1092</v>
      </c>
      <c r="M4045">
        <v>16.11</v>
      </c>
      <c r="N4045">
        <v>71</v>
      </c>
      <c r="O4045" t="s">
        <v>61</v>
      </c>
      <c r="Q4045" t="s">
        <v>102</v>
      </c>
      <c r="R4045" t="s">
        <v>610</v>
      </c>
      <c r="S4045" t="s">
        <v>539</v>
      </c>
    </row>
    <row r="4046" spans="1:19" x14ac:dyDescent="0.25">
      <c r="A4046" t="s">
        <v>30</v>
      </c>
      <c r="B4046" t="s">
        <v>31</v>
      </c>
      <c r="C4046" t="s">
        <v>32</v>
      </c>
      <c r="D4046" t="s">
        <v>584</v>
      </c>
      <c r="E4046" t="s">
        <v>4486</v>
      </c>
      <c r="F4046" t="s">
        <v>35</v>
      </c>
      <c r="G4046" t="s">
        <v>35</v>
      </c>
      <c r="H4046" t="s">
        <v>35</v>
      </c>
      <c r="J4046" t="s">
        <v>4488</v>
      </c>
      <c r="K4046" t="s">
        <v>1092</v>
      </c>
      <c r="M4046">
        <v>11.025</v>
      </c>
      <c r="N4046">
        <v>68</v>
      </c>
      <c r="O4046" t="s">
        <v>61</v>
      </c>
      <c r="Q4046" t="s">
        <v>146</v>
      </c>
      <c r="R4046" t="s">
        <v>610</v>
      </c>
      <c r="S4046" t="s">
        <v>539</v>
      </c>
    </row>
    <row r="4047" spans="1:19" x14ac:dyDescent="0.25">
      <c r="A4047" t="s">
        <v>30</v>
      </c>
      <c r="B4047" t="s">
        <v>31</v>
      </c>
      <c r="C4047" t="s">
        <v>32</v>
      </c>
      <c r="D4047" t="s">
        <v>584</v>
      </c>
      <c r="E4047" t="s">
        <v>4486</v>
      </c>
      <c r="F4047" t="s">
        <v>35</v>
      </c>
      <c r="G4047" t="s">
        <v>35</v>
      </c>
      <c r="H4047" t="s">
        <v>35</v>
      </c>
      <c r="J4047" t="s">
        <v>4488</v>
      </c>
      <c r="K4047" t="s">
        <v>1092</v>
      </c>
      <c r="M4047">
        <v>27.495000000000001</v>
      </c>
      <c r="N4047">
        <v>95</v>
      </c>
      <c r="O4047" t="s">
        <v>106</v>
      </c>
      <c r="Q4047" t="s">
        <v>724</v>
      </c>
      <c r="R4047" t="s">
        <v>610</v>
      </c>
      <c r="S4047" t="s">
        <v>539</v>
      </c>
    </row>
    <row r="4048" spans="1:19" x14ac:dyDescent="0.25">
      <c r="A4048" t="s">
        <v>30</v>
      </c>
      <c r="B4048" t="s">
        <v>31</v>
      </c>
      <c r="C4048" t="s">
        <v>32</v>
      </c>
      <c r="D4048" t="s">
        <v>584</v>
      </c>
      <c r="E4048" t="s">
        <v>4486</v>
      </c>
      <c r="F4048" t="s">
        <v>35</v>
      </c>
      <c r="G4048" t="s">
        <v>35</v>
      </c>
      <c r="H4048" t="s">
        <v>35</v>
      </c>
      <c r="J4048" t="s">
        <v>4489</v>
      </c>
      <c r="K4048" t="s">
        <v>1092</v>
      </c>
      <c r="M4048">
        <v>7.6749999999999998</v>
      </c>
      <c r="N4048">
        <v>49</v>
      </c>
      <c r="O4048" t="s">
        <v>52</v>
      </c>
      <c r="Q4048" t="s">
        <v>219</v>
      </c>
      <c r="R4048" t="s">
        <v>610</v>
      </c>
      <c r="S4048" t="s">
        <v>539</v>
      </c>
    </row>
    <row r="4049" spans="1:19" x14ac:dyDescent="0.25">
      <c r="A4049" t="s">
        <v>30</v>
      </c>
      <c r="B4049" t="s">
        <v>31</v>
      </c>
      <c r="C4049" t="s">
        <v>32</v>
      </c>
      <c r="D4049" t="s">
        <v>584</v>
      </c>
      <c r="E4049" t="s">
        <v>4486</v>
      </c>
      <c r="F4049" t="s">
        <v>35</v>
      </c>
      <c r="G4049" t="s">
        <v>35</v>
      </c>
      <c r="H4049" t="s">
        <v>35</v>
      </c>
      <c r="J4049" t="s">
        <v>4490</v>
      </c>
      <c r="K4049" t="s">
        <v>404</v>
      </c>
      <c r="M4049">
        <v>19.664999999999999</v>
      </c>
      <c r="N4049">
        <v>133</v>
      </c>
      <c r="O4049" t="s">
        <v>38</v>
      </c>
      <c r="Q4049" t="s">
        <v>68</v>
      </c>
      <c r="R4049" t="s">
        <v>610</v>
      </c>
      <c r="S4049" t="s">
        <v>539</v>
      </c>
    </row>
    <row r="4050" spans="1:19" x14ac:dyDescent="0.25">
      <c r="A4050" t="s">
        <v>30</v>
      </c>
      <c r="B4050" t="s">
        <v>31</v>
      </c>
      <c r="C4050" t="s">
        <v>32</v>
      </c>
      <c r="D4050" t="s">
        <v>584</v>
      </c>
      <c r="E4050" t="s">
        <v>4486</v>
      </c>
      <c r="F4050" t="s">
        <v>35</v>
      </c>
      <c r="G4050" t="s">
        <v>35</v>
      </c>
      <c r="H4050" t="s">
        <v>35</v>
      </c>
      <c r="J4050" t="s">
        <v>4491</v>
      </c>
      <c r="K4050" t="s">
        <v>1092</v>
      </c>
      <c r="M4050">
        <v>6.4349999999999996</v>
      </c>
      <c r="N4050">
        <v>71</v>
      </c>
      <c r="O4050" t="s">
        <v>61</v>
      </c>
      <c r="Q4050" t="s">
        <v>102</v>
      </c>
      <c r="R4050" t="s">
        <v>610</v>
      </c>
      <c r="S4050" t="s">
        <v>539</v>
      </c>
    </row>
    <row r="4051" spans="1:19" x14ac:dyDescent="0.25">
      <c r="A4051" t="s">
        <v>30</v>
      </c>
      <c r="B4051" t="s">
        <v>31</v>
      </c>
      <c r="C4051" t="s">
        <v>32</v>
      </c>
      <c r="D4051" t="s">
        <v>584</v>
      </c>
      <c r="E4051" t="s">
        <v>4486</v>
      </c>
      <c r="F4051" t="s">
        <v>35</v>
      </c>
      <c r="G4051" t="s">
        <v>35</v>
      </c>
      <c r="H4051" t="s">
        <v>35</v>
      </c>
      <c r="J4051" t="s">
        <v>4492</v>
      </c>
      <c r="K4051" t="s">
        <v>1092</v>
      </c>
      <c r="M4051">
        <v>8.3249999999999993</v>
      </c>
      <c r="N4051">
        <v>71</v>
      </c>
      <c r="O4051" t="s">
        <v>61</v>
      </c>
      <c r="Q4051" t="s">
        <v>102</v>
      </c>
      <c r="R4051" t="s">
        <v>610</v>
      </c>
      <c r="S4051" t="s">
        <v>539</v>
      </c>
    </row>
    <row r="4052" spans="1:19" x14ac:dyDescent="0.25">
      <c r="A4052" t="s">
        <v>30</v>
      </c>
      <c r="B4052" t="s">
        <v>31</v>
      </c>
      <c r="C4052" t="s">
        <v>32</v>
      </c>
      <c r="D4052" t="s">
        <v>584</v>
      </c>
      <c r="E4052" t="s">
        <v>4486</v>
      </c>
      <c r="F4052" t="s">
        <v>35</v>
      </c>
      <c r="G4052" t="s">
        <v>35</v>
      </c>
      <c r="H4052" t="s">
        <v>35</v>
      </c>
      <c r="J4052" t="s">
        <v>4493</v>
      </c>
      <c r="K4052" t="s">
        <v>1092</v>
      </c>
      <c r="M4052">
        <v>1.2150000000000001</v>
      </c>
      <c r="N4052">
        <v>94</v>
      </c>
      <c r="O4052" t="s">
        <v>106</v>
      </c>
      <c r="Q4052" t="s">
        <v>394</v>
      </c>
      <c r="R4052" t="s">
        <v>610</v>
      </c>
      <c r="S4052" t="s">
        <v>539</v>
      </c>
    </row>
    <row r="4053" spans="1:19" x14ac:dyDescent="0.25">
      <c r="A4053" t="s">
        <v>30</v>
      </c>
      <c r="B4053" t="s">
        <v>31</v>
      </c>
      <c r="C4053" t="s">
        <v>32</v>
      </c>
      <c r="D4053" t="s">
        <v>584</v>
      </c>
      <c r="E4053" t="s">
        <v>4486</v>
      </c>
      <c r="F4053" t="s">
        <v>35</v>
      </c>
      <c r="G4053" t="s">
        <v>35</v>
      </c>
      <c r="H4053" t="s">
        <v>35</v>
      </c>
      <c r="J4053" t="s">
        <v>4494</v>
      </c>
      <c r="K4053" t="s">
        <v>404</v>
      </c>
      <c r="M4053">
        <v>0.315</v>
      </c>
      <c r="N4053">
        <v>94</v>
      </c>
      <c r="O4053" t="s">
        <v>106</v>
      </c>
      <c r="Q4053" t="s">
        <v>394</v>
      </c>
      <c r="R4053" t="s">
        <v>610</v>
      </c>
      <c r="S4053" t="s">
        <v>539</v>
      </c>
    </row>
    <row r="4054" spans="1:19" x14ac:dyDescent="0.25">
      <c r="A4054" t="s">
        <v>44</v>
      </c>
      <c r="B4054" t="s">
        <v>3</v>
      </c>
      <c r="C4054" t="s">
        <v>32</v>
      </c>
      <c r="D4054" t="s">
        <v>584</v>
      </c>
      <c r="E4054" t="s">
        <v>4486</v>
      </c>
      <c r="F4054" t="s">
        <v>35</v>
      </c>
      <c r="G4054" t="s">
        <v>35</v>
      </c>
      <c r="H4054" t="s">
        <v>35</v>
      </c>
      <c r="J4054" t="s">
        <v>4495</v>
      </c>
      <c r="K4054" t="s">
        <v>1092</v>
      </c>
      <c r="M4054">
        <v>2.0499999999999998</v>
      </c>
      <c r="N4054">
        <v>591</v>
      </c>
      <c r="O4054" t="s">
        <v>575</v>
      </c>
      <c r="Q4054" t="s">
        <v>4496</v>
      </c>
      <c r="R4054" t="s">
        <v>4459</v>
      </c>
      <c r="S4054" t="s">
        <v>4460</v>
      </c>
    </row>
    <row r="4055" spans="1:19" x14ac:dyDescent="0.25">
      <c r="A4055" t="s">
        <v>44</v>
      </c>
      <c r="B4055" t="s">
        <v>3</v>
      </c>
      <c r="C4055" t="s">
        <v>32</v>
      </c>
      <c r="D4055" t="s">
        <v>584</v>
      </c>
      <c r="E4055" t="s">
        <v>4486</v>
      </c>
      <c r="F4055" t="s">
        <v>35</v>
      </c>
      <c r="G4055" t="s">
        <v>35</v>
      </c>
      <c r="H4055" t="s">
        <v>35</v>
      </c>
      <c r="J4055" t="s">
        <v>4495</v>
      </c>
      <c r="K4055" t="s">
        <v>1092</v>
      </c>
      <c r="M4055">
        <v>1</v>
      </c>
      <c r="N4055">
        <v>533</v>
      </c>
      <c r="O4055" t="s">
        <v>294</v>
      </c>
      <c r="Q4055" t="s">
        <v>4047</v>
      </c>
      <c r="R4055" t="s">
        <v>4459</v>
      </c>
      <c r="S4055" t="s">
        <v>4460</v>
      </c>
    </row>
    <row r="4056" spans="1:19" x14ac:dyDescent="0.25">
      <c r="A4056" t="s">
        <v>30</v>
      </c>
      <c r="B4056" t="s">
        <v>31</v>
      </c>
      <c r="C4056" t="s">
        <v>32</v>
      </c>
      <c r="D4056" t="s">
        <v>584</v>
      </c>
      <c r="E4056" t="s">
        <v>4486</v>
      </c>
      <c r="F4056" t="s">
        <v>35</v>
      </c>
      <c r="G4056" t="s">
        <v>35</v>
      </c>
      <c r="H4056" t="s">
        <v>35</v>
      </c>
      <c r="J4056" t="s">
        <v>4497</v>
      </c>
      <c r="K4056" t="s">
        <v>1092</v>
      </c>
      <c r="M4056">
        <v>10.26</v>
      </c>
      <c r="N4056">
        <v>133</v>
      </c>
      <c r="O4056" t="s">
        <v>38</v>
      </c>
      <c r="Q4056" t="s">
        <v>68</v>
      </c>
      <c r="R4056" t="s">
        <v>610</v>
      </c>
      <c r="S4056" t="s">
        <v>539</v>
      </c>
    </row>
    <row r="4057" spans="1:19" x14ac:dyDescent="0.25">
      <c r="A4057" t="s">
        <v>59</v>
      </c>
      <c r="B4057" t="s">
        <v>60</v>
      </c>
      <c r="C4057" t="s">
        <v>32</v>
      </c>
      <c r="D4057" t="s">
        <v>584</v>
      </c>
      <c r="E4057" t="s">
        <v>4486</v>
      </c>
      <c r="F4057" t="s">
        <v>35</v>
      </c>
      <c r="G4057" t="s">
        <v>35</v>
      </c>
      <c r="H4057" t="s">
        <v>35</v>
      </c>
      <c r="J4057" t="s">
        <v>4498</v>
      </c>
      <c r="K4057" t="s">
        <v>1092</v>
      </c>
      <c r="M4057">
        <v>1</v>
      </c>
      <c r="N4057">
        <v>500</v>
      </c>
      <c r="O4057" t="s">
        <v>294</v>
      </c>
      <c r="Q4057" t="s">
        <v>2051</v>
      </c>
      <c r="R4057" t="s">
        <v>4499</v>
      </c>
      <c r="S4057" t="s">
        <v>4500</v>
      </c>
    </row>
    <row r="4058" spans="1:19" x14ac:dyDescent="0.25">
      <c r="A4058" t="s">
        <v>59</v>
      </c>
      <c r="B4058" t="s">
        <v>60</v>
      </c>
      <c r="C4058" t="s">
        <v>32</v>
      </c>
      <c r="D4058" t="s">
        <v>584</v>
      </c>
      <c r="E4058" t="s">
        <v>4486</v>
      </c>
      <c r="F4058" t="s">
        <v>35</v>
      </c>
      <c r="G4058" t="s">
        <v>35</v>
      </c>
      <c r="H4058" t="s">
        <v>35</v>
      </c>
      <c r="J4058" t="s">
        <v>4502</v>
      </c>
      <c r="K4058" t="s">
        <v>1092</v>
      </c>
      <c r="M4058">
        <v>1.45</v>
      </c>
      <c r="N4058">
        <v>533</v>
      </c>
      <c r="O4058" t="s">
        <v>294</v>
      </c>
      <c r="Q4058" t="s">
        <v>4047</v>
      </c>
      <c r="R4058" t="s">
        <v>4503</v>
      </c>
      <c r="S4058" t="s">
        <v>4504</v>
      </c>
    </row>
    <row r="4059" spans="1:19" x14ac:dyDescent="0.25">
      <c r="A4059" t="s">
        <v>59</v>
      </c>
      <c r="B4059" t="s">
        <v>60</v>
      </c>
      <c r="C4059" t="s">
        <v>32</v>
      </c>
      <c r="D4059" t="s">
        <v>584</v>
      </c>
      <c r="E4059" t="s">
        <v>4486</v>
      </c>
      <c r="F4059" t="s">
        <v>35</v>
      </c>
      <c r="G4059" t="s">
        <v>35</v>
      </c>
      <c r="H4059" t="s">
        <v>35</v>
      </c>
      <c r="J4059" t="s">
        <v>4506</v>
      </c>
      <c r="K4059" t="s">
        <v>1092</v>
      </c>
      <c r="M4059">
        <v>0.15</v>
      </c>
      <c r="N4059">
        <v>877</v>
      </c>
      <c r="O4059" t="s">
        <v>575</v>
      </c>
      <c r="Q4059" t="s">
        <v>4507</v>
      </c>
      <c r="R4059" t="s">
        <v>4508</v>
      </c>
      <c r="S4059" t="s">
        <v>4509</v>
      </c>
    </row>
    <row r="4060" spans="1:19" x14ac:dyDescent="0.25">
      <c r="A4060" t="s">
        <v>59</v>
      </c>
      <c r="B4060" t="s">
        <v>31</v>
      </c>
      <c r="C4060" t="s">
        <v>32</v>
      </c>
      <c r="D4060" t="s">
        <v>584</v>
      </c>
      <c r="E4060" t="s">
        <v>4486</v>
      </c>
      <c r="F4060" t="s">
        <v>35</v>
      </c>
      <c r="G4060" t="s">
        <v>35</v>
      </c>
      <c r="H4060" t="s">
        <v>35</v>
      </c>
      <c r="J4060" t="s">
        <v>4506</v>
      </c>
      <c r="K4060" t="s">
        <v>1092</v>
      </c>
      <c r="M4060">
        <v>3.51</v>
      </c>
      <c r="N4060">
        <v>131</v>
      </c>
      <c r="O4060" t="s">
        <v>38</v>
      </c>
      <c r="Q4060" t="s">
        <v>646</v>
      </c>
      <c r="R4060" t="s">
        <v>610</v>
      </c>
      <c r="S4060" t="s">
        <v>539</v>
      </c>
    </row>
    <row r="4061" spans="1:19" x14ac:dyDescent="0.25">
      <c r="A4061" t="s">
        <v>44</v>
      </c>
      <c r="B4061" t="s">
        <v>51</v>
      </c>
      <c r="C4061" t="s">
        <v>32</v>
      </c>
      <c r="D4061" t="s">
        <v>584</v>
      </c>
      <c r="E4061" t="s">
        <v>4486</v>
      </c>
      <c r="F4061" t="s">
        <v>35</v>
      </c>
      <c r="G4061" t="s">
        <v>35</v>
      </c>
      <c r="H4061" t="s">
        <v>35</v>
      </c>
      <c r="J4061" t="s">
        <v>4511</v>
      </c>
      <c r="K4061" t="s">
        <v>1092</v>
      </c>
      <c r="M4061">
        <v>0.05</v>
      </c>
      <c r="N4061">
        <v>867</v>
      </c>
      <c r="O4061" t="s">
        <v>575</v>
      </c>
      <c r="Q4061" t="s">
        <v>4512</v>
      </c>
      <c r="R4061" t="s">
        <v>4508</v>
      </c>
      <c r="S4061" t="s">
        <v>4509</v>
      </c>
    </row>
    <row r="4062" spans="1:19" x14ac:dyDescent="0.25">
      <c r="A4062" t="s">
        <v>59</v>
      </c>
      <c r="B4062" t="s">
        <v>60</v>
      </c>
      <c r="C4062" t="s">
        <v>32</v>
      </c>
      <c r="D4062" t="s">
        <v>584</v>
      </c>
      <c r="E4062" t="s">
        <v>4486</v>
      </c>
      <c r="F4062" t="s">
        <v>35</v>
      </c>
      <c r="G4062" t="s">
        <v>35</v>
      </c>
      <c r="H4062" t="s">
        <v>35</v>
      </c>
      <c r="J4062" t="s">
        <v>4513</v>
      </c>
      <c r="K4062" t="s">
        <v>1092</v>
      </c>
      <c r="M4062">
        <v>4.4999999999999998E-2</v>
      </c>
      <c r="N4062">
        <v>878</v>
      </c>
      <c r="O4062" t="s">
        <v>575</v>
      </c>
      <c r="Q4062" t="s">
        <v>3531</v>
      </c>
      <c r="R4062" t="s">
        <v>4508</v>
      </c>
      <c r="S4062" t="s">
        <v>4509</v>
      </c>
    </row>
    <row r="4063" spans="1:19" x14ac:dyDescent="0.25">
      <c r="A4063" t="s">
        <v>44</v>
      </c>
      <c r="B4063" t="s">
        <v>51</v>
      </c>
      <c r="C4063" t="s">
        <v>32</v>
      </c>
      <c r="D4063" t="s">
        <v>584</v>
      </c>
      <c r="E4063" t="s">
        <v>4514</v>
      </c>
      <c r="F4063" t="s">
        <v>35</v>
      </c>
      <c r="G4063" t="s">
        <v>35</v>
      </c>
      <c r="H4063" t="s">
        <v>35</v>
      </c>
      <c r="J4063" t="s">
        <v>4515</v>
      </c>
      <c r="K4063" t="s">
        <v>1092</v>
      </c>
      <c r="M4063">
        <v>5.75</v>
      </c>
      <c r="N4063">
        <v>53</v>
      </c>
      <c r="O4063" t="s">
        <v>52</v>
      </c>
      <c r="Q4063" t="s">
        <v>332</v>
      </c>
      <c r="R4063" t="s">
        <v>4517</v>
      </c>
      <c r="S4063" t="s">
        <v>4515</v>
      </c>
    </row>
    <row r="4064" spans="1:19" x14ac:dyDescent="0.25">
      <c r="A4064" t="s">
        <v>30</v>
      </c>
      <c r="B4064" t="s">
        <v>31</v>
      </c>
      <c r="C4064" t="s">
        <v>32</v>
      </c>
      <c r="D4064" t="s">
        <v>584</v>
      </c>
      <c r="E4064" t="s">
        <v>4514</v>
      </c>
      <c r="F4064" t="s">
        <v>35</v>
      </c>
      <c r="G4064" t="s">
        <v>35</v>
      </c>
      <c r="H4064" t="s">
        <v>35</v>
      </c>
      <c r="J4064" t="s">
        <v>4518</v>
      </c>
      <c r="K4064" t="s">
        <v>1092</v>
      </c>
      <c r="M4064">
        <v>22.05</v>
      </c>
      <c r="N4064">
        <v>68</v>
      </c>
      <c r="O4064" t="s">
        <v>61</v>
      </c>
      <c r="Q4064" t="s">
        <v>146</v>
      </c>
      <c r="R4064" t="s">
        <v>610</v>
      </c>
      <c r="S4064" t="s">
        <v>539</v>
      </c>
    </row>
    <row r="4065" spans="1:19" x14ac:dyDescent="0.25">
      <c r="A4065" t="s">
        <v>30</v>
      </c>
      <c r="B4065" t="s">
        <v>31</v>
      </c>
      <c r="C4065" t="s">
        <v>32</v>
      </c>
      <c r="D4065" t="s">
        <v>584</v>
      </c>
      <c r="E4065" t="s">
        <v>4514</v>
      </c>
      <c r="F4065" t="s">
        <v>35</v>
      </c>
      <c r="G4065" t="s">
        <v>35</v>
      </c>
      <c r="H4065" t="s">
        <v>35</v>
      </c>
      <c r="J4065" t="s">
        <v>4518</v>
      </c>
      <c r="K4065" t="s">
        <v>1092</v>
      </c>
      <c r="M4065">
        <v>0.54</v>
      </c>
      <c r="N4065">
        <v>71</v>
      </c>
      <c r="O4065" t="s">
        <v>61</v>
      </c>
      <c r="Q4065" t="s">
        <v>102</v>
      </c>
      <c r="R4065" t="s">
        <v>610</v>
      </c>
      <c r="S4065" t="s">
        <v>539</v>
      </c>
    </row>
    <row r="4066" spans="1:19" x14ac:dyDescent="0.25">
      <c r="A4066" t="s">
        <v>44</v>
      </c>
      <c r="B4066" t="s">
        <v>51</v>
      </c>
      <c r="C4066" t="s">
        <v>32</v>
      </c>
      <c r="D4066" t="s">
        <v>584</v>
      </c>
      <c r="E4066" t="s">
        <v>4514</v>
      </c>
      <c r="F4066" t="s">
        <v>35</v>
      </c>
      <c r="G4066" t="s">
        <v>35</v>
      </c>
      <c r="H4066" t="s">
        <v>35</v>
      </c>
      <c r="J4066" t="s">
        <v>4519</v>
      </c>
      <c r="K4066" t="s">
        <v>1092</v>
      </c>
      <c r="M4066">
        <v>4.25</v>
      </c>
      <c r="N4066">
        <v>53</v>
      </c>
      <c r="O4066" t="s">
        <v>52</v>
      </c>
      <c r="Q4066" t="s">
        <v>332</v>
      </c>
      <c r="R4066" t="s">
        <v>4517</v>
      </c>
      <c r="S4066" t="s">
        <v>4515</v>
      </c>
    </row>
    <row r="4067" spans="1:19" x14ac:dyDescent="0.25">
      <c r="A4067" t="s">
        <v>30</v>
      </c>
      <c r="B4067" t="s">
        <v>31</v>
      </c>
      <c r="C4067" t="s">
        <v>32</v>
      </c>
      <c r="D4067" t="s">
        <v>584</v>
      </c>
      <c r="E4067" t="s">
        <v>4514</v>
      </c>
      <c r="F4067" t="s">
        <v>35</v>
      </c>
      <c r="G4067" t="s">
        <v>35</v>
      </c>
      <c r="H4067" t="s">
        <v>35</v>
      </c>
      <c r="J4067" t="s">
        <v>4520</v>
      </c>
      <c r="K4067" t="s">
        <v>1092</v>
      </c>
      <c r="M4067">
        <v>5.8949999999999996</v>
      </c>
      <c r="N4067">
        <v>133</v>
      </c>
      <c r="O4067" t="s">
        <v>38</v>
      </c>
      <c r="Q4067" t="s">
        <v>68</v>
      </c>
      <c r="R4067" t="s">
        <v>610</v>
      </c>
      <c r="S4067" t="s">
        <v>539</v>
      </c>
    </row>
    <row r="4068" spans="1:19" x14ac:dyDescent="0.25">
      <c r="A4068" t="s">
        <v>30</v>
      </c>
      <c r="B4068" t="s">
        <v>31</v>
      </c>
      <c r="C4068" t="s">
        <v>32</v>
      </c>
      <c r="D4068" t="s">
        <v>584</v>
      </c>
      <c r="E4068" t="s">
        <v>4514</v>
      </c>
      <c r="F4068" t="s">
        <v>35</v>
      </c>
      <c r="G4068" t="s">
        <v>35</v>
      </c>
      <c r="H4068" t="s">
        <v>35</v>
      </c>
      <c r="J4068" t="s">
        <v>4521</v>
      </c>
      <c r="K4068" t="s">
        <v>1092</v>
      </c>
      <c r="M4068">
        <v>11.744999999999999</v>
      </c>
      <c r="N4068">
        <v>94</v>
      </c>
      <c r="O4068" t="s">
        <v>106</v>
      </c>
      <c r="Q4068" t="s">
        <v>394</v>
      </c>
      <c r="R4068" t="s">
        <v>610</v>
      </c>
      <c r="S4068" t="s">
        <v>539</v>
      </c>
    </row>
    <row r="4069" spans="1:19" x14ac:dyDescent="0.25">
      <c r="A4069" t="s">
        <v>30</v>
      </c>
      <c r="B4069" t="s">
        <v>31</v>
      </c>
      <c r="C4069" t="s">
        <v>32</v>
      </c>
      <c r="D4069" t="s">
        <v>584</v>
      </c>
      <c r="E4069" t="s">
        <v>4514</v>
      </c>
      <c r="F4069" t="s">
        <v>35</v>
      </c>
      <c r="G4069" t="s">
        <v>35</v>
      </c>
      <c r="H4069" t="s">
        <v>35</v>
      </c>
      <c r="J4069" t="s">
        <v>4522</v>
      </c>
      <c r="K4069" t="s">
        <v>1092</v>
      </c>
      <c r="M4069">
        <v>4.6349999999999998</v>
      </c>
      <c r="N4069">
        <v>133</v>
      </c>
      <c r="O4069" t="s">
        <v>38</v>
      </c>
      <c r="Q4069" t="s">
        <v>68</v>
      </c>
      <c r="R4069" t="s">
        <v>610</v>
      </c>
      <c r="S4069" t="s">
        <v>539</v>
      </c>
    </row>
    <row r="4070" spans="1:19" x14ac:dyDescent="0.25">
      <c r="A4070" t="s">
        <v>30</v>
      </c>
      <c r="B4070" t="s">
        <v>31</v>
      </c>
      <c r="C4070" t="s">
        <v>32</v>
      </c>
      <c r="D4070" t="s">
        <v>584</v>
      </c>
      <c r="E4070" t="s">
        <v>4514</v>
      </c>
      <c r="F4070" t="s">
        <v>35</v>
      </c>
      <c r="G4070" t="s">
        <v>35</v>
      </c>
      <c r="H4070" t="s">
        <v>35</v>
      </c>
      <c r="J4070" t="s">
        <v>4522</v>
      </c>
      <c r="K4070" t="s">
        <v>1092</v>
      </c>
      <c r="M4070">
        <v>44.1</v>
      </c>
      <c r="N4070">
        <v>71</v>
      </c>
      <c r="O4070" t="s">
        <v>61</v>
      </c>
      <c r="Q4070" t="s">
        <v>102</v>
      </c>
      <c r="R4070" t="s">
        <v>610</v>
      </c>
      <c r="S4070" t="s">
        <v>539</v>
      </c>
    </row>
    <row r="4071" spans="1:19" x14ac:dyDescent="0.25">
      <c r="A4071" t="s">
        <v>59</v>
      </c>
      <c r="B4071" t="s">
        <v>31</v>
      </c>
      <c r="C4071" t="s">
        <v>32</v>
      </c>
      <c r="D4071" t="s">
        <v>584</v>
      </c>
      <c r="E4071" t="s">
        <v>4514</v>
      </c>
      <c r="F4071" t="s">
        <v>35</v>
      </c>
      <c r="G4071" t="s">
        <v>35</v>
      </c>
      <c r="H4071" t="s">
        <v>35</v>
      </c>
      <c r="J4071" t="s">
        <v>4522</v>
      </c>
      <c r="K4071" t="s">
        <v>1092</v>
      </c>
      <c r="M4071">
        <v>11.025</v>
      </c>
      <c r="N4071">
        <v>132</v>
      </c>
      <c r="O4071" t="s">
        <v>38</v>
      </c>
      <c r="Q4071" t="s">
        <v>2901</v>
      </c>
      <c r="R4071" t="s">
        <v>610</v>
      </c>
      <c r="S4071" t="s">
        <v>539</v>
      </c>
    </row>
    <row r="4072" spans="1:19" x14ac:dyDescent="0.25">
      <c r="A4072" t="s">
        <v>30</v>
      </c>
      <c r="B4072" t="s">
        <v>31</v>
      </c>
      <c r="C4072" t="s">
        <v>32</v>
      </c>
      <c r="D4072" t="s">
        <v>584</v>
      </c>
      <c r="E4072" t="s">
        <v>4514</v>
      </c>
      <c r="F4072" t="s">
        <v>35</v>
      </c>
      <c r="G4072" t="s">
        <v>35</v>
      </c>
      <c r="H4072" t="s">
        <v>35</v>
      </c>
      <c r="J4072" t="s">
        <v>4523</v>
      </c>
      <c r="K4072" t="s">
        <v>1092</v>
      </c>
      <c r="M4072">
        <v>2.25</v>
      </c>
      <c r="N4072">
        <v>133</v>
      </c>
      <c r="O4072" t="s">
        <v>38</v>
      </c>
      <c r="Q4072" t="s">
        <v>68</v>
      </c>
      <c r="R4072" t="s">
        <v>610</v>
      </c>
      <c r="S4072" t="s">
        <v>539</v>
      </c>
    </row>
    <row r="4073" spans="1:19" x14ac:dyDescent="0.25">
      <c r="A4073" t="s">
        <v>59</v>
      </c>
      <c r="B4073" t="s">
        <v>60</v>
      </c>
      <c r="C4073" t="s">
        <v>32</v>
      </c>
      <c r="D4073" t="s">
        <v>584</v>
      </c>
      <c r="E4073" t="s">
        <v>4514</v>
      </c>
      <c r="F4073" t="s">
        <v>35</v>
      </c>
      <c r="G4073" t="s">
        <v>35</v>
      </c>
      <c r="H4073" t="s">
        <v>35</v>
      </c>
      <c r="J4073" t="s">
        <v>4524</v>
      </c>
      <c r="K4073" t="s">
        <v>1092</v>
      </c>
      <c r="M4073">
        <v>4.3</v>
      </c>
      <c r="N4073">
        <v>76</v>
      </c>
      <c r="O4073" t="s">
        <v>61</v>
      </c>
      <c r="Q4073" t="s">
        <v>234</v>
      </c>
      <c r="R4073" t="s">
        <v>463</v>
      </c>
      <c r="S4073" t="s">
        <v>464</v>
      </c>
    </row>
    <row r="4074" spans="1:19" x14ac:dyDescent="0.25">
      <c r="A4074" t="s">
        <v>30</v>
      </c>
      <c r="B4074" t="s">
        <v>31</v>
      </c>
      <c r="C4074" t="s">
        <v>32</v>
      </c>
      <c r="D4074" t="s">
        <v>584</v>
      </c>
      <c r="E4074" t="s">
        <v>4514</v>
      </c>
      <c r="F4074" t="s">
        <v>35</v>
      </c>
      <c r="G4074" t="s">
        <v>35</v>
      </c>
      <c r="H4074" t="s">
        <v>35</v>
      </c>
      <c r="J4074" t="s">
        <v>4525</v>
      </c>
      <c r="K4074" t="s">
        <v>1092</v>
      </c>
      <c r="M4074">
        <v>10.53</v>
      </c>
      <c r="N4074">
        <v>71</v>
      </c>
      <c r="O4074" t="s">
        <v>61</v>
      </c>
      <c r="Q4074" t="s">
        <v>102</v>
      </c>
      <c r="R4074" t="s">
        <v>610</v>
      </c>
      <c r="S4074" t="s">
        <v>539</v>
      </c>
    </row>
    <row r="4075" spans="1:19" x14ac:dyDescent="0.25">
      <c r="A4075" t="s">
        <v>30</v>
      </c>
      <c r="B4075" t="s">
        <v>31</v>
      </c>
      <c r="C4075" t="s">
        <v>32</v>
      </c>
      <c r="D4075" t="s">
        <v>584</v>
      </c>
      <c r="E4075" t="s">
        <v>4514</v>
      </c>
      <c r="F4075" t="s">
        <v>35</v>
      </c>
      <c r="G4075" t="s">
        <v>35</v>
      </c>
      <c r="H4075" t="s">
        <v>35</v>
      </c>
      <c r="J4075" t="s">
        <v>4526</v>
      </c>
      <c r="K4075" t="s">
        <v>1092</v>
      </c>
      <c r="M4075">
        <v>0.315</v>
      </c>
      <c r="N4075">
        <v>241</v>
      </c>
      <c r="O4075" t="s">
        <v>5</v>
      </c>
      <c r="Q4075" t="s">
        <v>3415</v>
      </c>
      <c r="R4075" t="s">
        <v>463</v>
      </c>
      <c r="S4075" t="s">
        <v>464</v>
      </c>
    </row>
    <row r="4076" spans="1:19" x14ac:dyDescent="0.25">
      <c r="A4076" t="s">
        <v>30</v>
      </c>
      <c r="B4076" t="s">
        <v>31</v>
      </c>
      <c r="C4076" t="s">
        <v>32</v>
      </c>
      <c r="D4076" t="s">
        <v>584</v>
      </c>
      <c r="E4076" t="s">
        <v>4514</v>
      </c>
      <c r="F4076" t="s">
        <v>35</v>
      </c>
      <c r="G4076" t="s">
        <v>35</v>
      </c>
      <c r="H4076" t="s">
        <v>35</v>
      </c>
      <c r="J4076" t="s">
        <v>4527</v>
      </c>
      <c r="K4076" t="s">
        <v>1092</v>
      </c>
      <c r="M4076">
        <v>3.105</v>
      </c>
      <c r="N4076">
        <v>132</v>
      </c>
      <c r="O4076" t="s">
        <v>38</v>
      </c>
      <c r="Q4076" t="s">
        <v>2901</v>
      </c>
      <c r="R4076" t="s">
        <v>610</v>
      </c>
      <c r="S4076" t="s">
        <v>539</v>
      </c>
    </row>
    <row r="4077" spans="1:19" x14ac:dyDescent="0.25">
      <c r="A4077" t="s">
        <v>30</v>
      </c>
      <c r="B4077" t="s">
        <v>31</v>
      </c>
      <c r="C4077" t="s">
        <v>32</v>
      </c>
      <c r="D4077" t="s">
        <v>584</v>
      </c>
      <c r="E4077" t="s">
        <v>4514</v>
      </c>
      <c r="F4077" t="s">
        <v>35</v>
      </c>
      <c r="G4077" t="s">
        <v>35</v>
      </c>
      <c r="H4077" t="s">
        <v>35</v>
      </c>
      <c r="J4077" t="s">
        <v>4528</v>
      </c>
      <c r="K4077" t="s">
        <v>1092</v>
      </c>
      <c r="M4077">
        <v>3.6</v>
      </c>
      <c r="N4077">
        <v>71</v>
      </c>
      <c r="O4077" t="s">
        <v>61</v>
      </c>
      <c r="Q4077" t="s">
        <v>102</v>
      </c>
      <c r="R4077" t="s">
        <v>610</v>
      </c>
      <c r="S4077" t="s">
        <v>539</v>
      </c>
    </row>
    <row r="4078" spans="1:19" x14ac:dyDescent="0.25">
      <c r="A4078" t="s">
        <v>30</v>
      </c>
      <c r="B4078" t="s">
        <v>31</v>
      </c>
      <c r="C4078" t="s">
        <v>32</v>
      </c>
      <c r="D4078" t="s">
        <v>584</v>
      </c>
      <c r="E4078" t="s">
        <v>4514</v>
      </c>
      <c r="F4078" t="s">
        <v>35</v>
      </c>
      <c r="G4078" t="s">
        <v>35</v>
      </c>
      <c r="H4078" t="s">
        <v>35</v>
      </c>
      <c r="J4078" t="s">
        <v>4530</v>
      </c>
      <c r="K4078" t="s">
        <v>1092</v>
      </c>
      <c r="M4078">
        <v>3.6</v>
      </c>
      <c r="N4078">
        <v>133</v>
      </c>
      <c r="O4078" t="s">
        <v>38</v>
      </c>
      <c r="Q4078" t="s">
        <v>68</v>
      </c>
      <c r="R4078" t="s">
        <v>610</v>
      </c>
      <c r="S4078" t="s">
        <v>539</v>
      </c>
    </row>
    <row r="4079" spans="1:19" x14ac:dyDescent="0.25">
      <c r="A4079" t="s">
        <v>30</v>
      </c>
      <c r="B4079" t="s">
        <v>31</v>
      </c>
      <c r="C4079" t="s">
        <v>32</v>
      </c>
      <c r="D4079" t="s">
        <v>584</v>
      </c>
      <c r="E4079" t="s">
        <v>4514</v>
      </c>
      <c r="F4079" t="s">
        <v>35</v>
      </c>
      <c r="G4079" t="s">
        <v>35</v>
      </c>
      <c r="H4079" t="s">
        <v>35</v>
      </c>
      <c r="J4079" t="s">
        <v>4531</v>
      </c>
      <c r="K4079" t="s">
        <v>1092</v>
      </c>
      <c r="M4079">
        <v>8.3249999999999993</v>
      </c>
      <c r="N4079">
        <v>71</v>
      </c>
      <c r="O4079" t="s">
        <v>61</v>
      </c>
      <c r="Q4079" t="s">
        <v>102</v>
      </c>
      <c r="R4079" t="s">
        <v>610</v>
      </c>
      <c r="S4079" t="s">
        <v>539</v>
      </c>
    </row>
    <row r="4080" spans="1:19" x14ac:dyDescent="0.25">
      <c r="A4080" t="s">
        <v>30</v>
      </c>
      <c r="B4080" t="s">
        <v>31</v>
      </c>
      <c r="C4080" t="s">
        <v>32</v>
      </c>
      <c r="D4080" t="s">
        <v>584</v>
      </c>
      <c r="E4080" t="s">
        <v>4514</v>
      </c>
      <c r="F4080" t="s">
        <v>35</v>
      </c>
      <c r="G4080" t="s">
        <v>35</v>
      </c>
      <c r="H4080" t="s">
        <v>35</v>
      </c>
      <c r="J4080" t="s">
        <v>4532</v>
      </c>
      <c r="K4080" t="s">
        <v>1092</v>
      </c>
      <c r="M4080">
        <v>4.4999999999999998E-2</v>
      </c>
      <c r="N4080">
        <v>95</v>
      </c>
      <c r="O4080" t="s">
        <v>106</v>
      </c>
      <c r="Q4080" t="s">
        <v>724</v>
      </c>
      <c r="R4080" t="s">
        <v>610</v>
      </c>
      <c r="S4080" t="s">
        <v>539</v>
      </c>
    </row>
    <row r="4081" spans="1:19" x14ac:dyDescent="0.25">
      <c r="A4081" t="s">
        <v>59</v>
      </c>
      <c r="B4081" t="s">
        <v>60</v>
      </c>
      <c r="C4081" t="s">
        <v>32</v>
      </c>
      <c r="D4081" t="s">
        <v>584</v>
      </c>
      <c r="E4081" t="s">
        <v>4514</v>
      </c>
      <c r="F4081" t="s">
        <v>35</v>
      </c>
      <c r="G4081" t="s">
        <v>35</v>
      </c>
      <c r="H4081" t="s">
        <v>35</v>
      </c>
      <c r="J4081" t="s">
        <v>4533</v>
      </c>
      <c r="K4081" t="s">
        <v>1092</v>
      </c>
      <c r="M4081">
        <v>2</v>
      </c>
      <c r="N4081">
        <v>41</v>
      </c>
      <c r="O4081" t="s">
        <v>52</v>
      </c>
      <c r="Q4081" t="s">
        <v>249</v>
      </c>
      <c r="R4081" t="s">
        <v>4459</v>
      </c>
      <c r="S4081" t="s">
        <v>4460</v>
      </c>
    </row>
    <row r="4082" spans="1:19" x14ac:dyDescent="0.25">
      <c r="A4082" t="s">
        <v>59</v>
      </c>
      <c r="B4082" t="s">
        <v>60</v>
      </c>
      <c r="C4082" t="s">
        <v>32</v>
      </c>
      <c r="D4082" t="s">
        <v>584</v>
      </c>
      <c r="E4082" t="s">
        <v>4514</v>
      </c>
      <c r="F4082" t="s">
        <v>35</v>
      </c>
      <c r="G4082" t="s">
        <v>35</v>
      </c>
      <c r="H4082" t="s">
        <v>35</v>
      </c>
      <c r="J4082" t="s">
        <v>4533</v>
      </c>
      <c r="K4082" t="s">
        <v>1092</v>
      </c>
      <c r="M4082">
        <v>0.85</v>
      </c>
      <c r="N4082">
        <v>149</v>
      </c>
      <c r="O4082" t="s">
        <v>38</v>
      </c>
      <c r="Q4082" t="s">
        <v>73</v>
      </c>
      <c r="R4082" t="s">
        <v>4459</v>
      </c>
      <c r="S4082" t="s">
        <v>4460</v>
      </c>
    </row>
    <row r="4083" spans="1:19" x14ac:dyDescent="0.25">
      <c r="A4083" t="s">
        <v>30</v>
      </c>
      <c r="B4083" t="s">
        <v>31</v>
      </c>
      <c r="C4083" t="s">
        <v>32</v>
      </c>
      <c r="D4083" t="s">
        <v>584</v>
      </c>
      <c r="E4083" t="s">
        <v>4514</v>
      </c>
      <c r="F4083" t="s">
        <v>35</v>
      </c>
      <c r="G4083" t="s">
        <v>35</v>
      </c>
      <c r="H4083" t="s">
        <v>35</v>
      </c>
      <c r="J4083" t="s">
        <v>4534</v>
      </c>
      <c r="K4083" t="s">
        <v>1092</v>
      </c>
      <c r="M4083">
        <v>0.13500000000000001</v>
      </c>
      <c r="N4083">
        <v>241</v>
      </c>
      <c r="O4083" t="s">
        <v>5</v>
      </c>
      <c r="Q4083" t="s">
        <v>3415</v>
      </c>
      <c r="R4083" t="s">
        <v>463</v>
      </c>
      <c r="S4083" t="s">
        <v>464</v>
      </c>
    </row>
    <row r="4084" spans="1:19" x14ac:dyDescent="0.25">
      <c r="A4084" t="s">
        <v>59</v>
      </c>
      <c r="B4084" t="s">
        <v>60</v>
      </c>
      <c r="C4084" t="s">
        <v>32</v>
      </c>
      <c r="D4084" t="s">
        <v>584</v>
      </c>
      <c r="E4084" t="s">
        <v>585</v>
      </c>
      <c r="F4084" t="s">
        <v>35</v>
      </c>
      <c r="G4084" t="s">
        <v>35</v>
      </c>
      <c r="H4084" t="s">
        <v>35</v>
      </c>
      <c r="J4084" t="s">
        <v>4535</v>
      </c>
      <c r="K4084" t="s">
        <v>1092</v>
      </c>
      <c r="M4084">
        <v>0.9</v>
      </c>
      <c r="N4084">
        <v>23</v>
      </c>
      <c r="O4084" t="s">
        <v>46</v>
      </c>
      <c r="Q4084" t="s">
        <v>1819</v>
      </c>
      <c r="R4084" t="s">
        <v>4536</v>
      </c>
      <c r="S4084" t="s">
        <v>4537</v>
      </c>
    </row>
    <row r="4085" spans="1:19" x14ac:dyDescent="0.25">
      <c r="A4085" t="s">
        <v>59</v>
      </c>
      <c r="B4085" t="s">
        <v>60</v>
      </c>
      <c r="C4085" t="s">
        <v>32</v>
      </c>
      <c r="D4085" t="s">
        <v>584</v>
      </c>
      <c r="E4085" t="s">
        <v>585</v>
      </c>
      <c r="F4085" t="s">
        <v>35</v>
      </c>
      <c r="G4085" t="s">
        <v>35</v>
      </c>
      <c r="H4085" t="s">
        <v>35</v>
      </c>
      <c r="J4085" t="s">
        <v>4539</v>
      </c>
      <c r="K4085" t="s">
        <v>1092</v>
      </c>
      <c r="M4085">
        <v>1.85</v>
      </c>
      <c r="N4085">
        <v>1221</v>
      </c>
      <c r="O4085" t="s">
        <v>575</v>
      </c>
      <c r="Q4085" t="s">
        <v>4540</v>
      </c>
      <c r="R4085" t="s">
        <v>4541</v>
      </c>
      <c r="S4085" t="s">
        <v>4542</v>
      </c>
    </row>
    <row r="4086" spans="1:19" x14ac:dyDescent="0.25">
      <c r="A4086" t="s">
        <v>44</v>
      </c>
      <c r="B4086" t="s">
        <v>51</v>
      </c>
      <c r="C4086" t="s">
        <v>32</v>
      </c>
      <c r="D4086" t="s">
        <v>584</v>
      </c>
      <c r="E4086" t="s">
        <v>585</v>
      </c>
      <c r="F4086" t="s">
        <v>35</v>
      </c>
      <c r="G4086" t="s">
        <v>35</v>
      </c>
      <c r="H4086" t="s">
        <v>35</v>
      </c>
      <c r="J4086" t="s">
        <v>4544</v>
      </c>
      <c r="K4086" t="s">
        <v>1092</v>
      </c>
      <c r="M4086">
        <v>0.25</v>
      </c>
      <c r="N4086">
        <v>46</v>
      </c>
      <c r="O4086" t="s">
        <v>52</v>
      </c>
      <c r="Q4086" t="s">
        <v>493</v>
      </c>
      <c r="R4086" t="s">
        <v>4545</v>
      </c>
      <c r="S4086" t="s">
        <v>586</v>
      </c>
    </row>
    <row r="4087" spans="1:19" x14ac:dyDescent="0.25">
      <c r="A4087" t="s">
        <v>44</v>
      </c>
      <c r="B4087" t="s">
        <v>51</v>
      </c>
      <c r="C4087" t="s">
        <v>32</v>
      </c>
      <c r="D4087" t="s">
        <v>584</v>
      </c>
      <c r="E4087" t="s">
        <v>585</v>
      </c>
      <c r="F4087" t="s">
        <v>35</v>
      </c>
      <c r="G4087" t="s">
        <v>35</v>
      </c>
      <c r="H4087" t="s">
        <v>35</v>
      </c>
      <c r="J4087" t="s">
        <v>4546</v>
      </c>
      <c r="K4087" t="s">
        <v>1092</v>
      </c>
      <c r="M4087">
        <v>0.15</v>
      </c>
      <c r="N4087">
        <v>23</v>
      </c>
      <c r="O4087" t="s">
        <v>46</v>
      </c>
      <c r="Q4087" t="s">
        <v>1819</v>
      </c>
      <c r="R4087" t="s">
        <v>4545</v>
      </c>
      <c r="S4087" t="s">
        <v>586</v>
      </c>
    </row>
    <row r="4088" spans="1:19" x14ac:dyDescent="0.25">
      <c r="A4088" t="s">
        <v>59</v>
      </c>
      <c r="B4088" t="s">
        <v>31</v>
      </c>
      <c r="C4088" t="s">
        <v>32</v>
      </c>
      <c r="D4088" t="s">
        <v>584</v>
      </c>
      <c r="E4088" t="s">
        <v>585</v>
      </c>
      <c r="F4088" t="s">
        <v>35</v>
      </c>
      <c r="G4088" t="s">
        <v>35</v>
      </c>
      <c r="H4088" t="s">
        <v>35</v>
      </c>
      <c r="J4088" t="s">
        <v>4547</v>
      </c>
      <c r="K4088" t="s">
        <v>1092</v>
      </c>
      <c r="M4088">
        <v>0.09</v>
      </c>
      <c r="N4088">
        <v>473</v>
      </c>
      <c r="O4088" t="s">
        <v>294</v>
      </c>
      <c r="Q4088" t="s">
        <v>1187</v>
      </c>
      <c r="R4088" t="s">
        <v>4548</v>
      </c>
      <c r="S4088" t="s">
        <v>4549</v>
      </c>
    </row>
    <row r="4089" spans="1:19" x14ac:dyDescent="0.25">
      <c r="A4089" t="s">
        <v>59</v>
      </c>
      <c r="B4089" t="s">
        <v>31</v>
      </c>
      <c r="C4089" t="s">
        <v>32</v>
      </c>
      <c r="D4089" t="s">
        <v>584</v>
      </c>
      <c r="E4089" t="s">
        <v>585</v>
      </c>
      <c r="F4089" t="s">
        <v>35</v>
      </c>
      <c r="G4089" t="s">
        <v>35</v>
      </c>
      <c r="H4089" t="s">
        <v>35</v>
      </c>
      <c r="J4089" t="s">
        <v>4547</v>
      </c>
      <c r="K4089" t="s">
        <v>1092</v>
      </c>
      <c r="M4089">
        <v>2.25</v>
      </c>
      <c r="N4089">
        <v>72</v>
      </c>
      <c r="O4089" t="s">
        <v>61</v>
      </c>
      <c r="Q4089" t="s">
        <v>63</v>
      </c>
      <c r="R4089" t="s">
        <v>4545</v>
      </c>
      <c r="S4089" t="s">
        <v>586</v>
      </c>
    </row>
    <row r="4090" spans="1:19" x14ac:dyDescent="0.25">
      <c r="A4090" t="s">
        <v>44</v>
      </c>
      <c r="B4090" t="s">
        <v>51</v>
      </c>
      <c r="C4090" t="s">
        <v>32</v>
      </c>
      <c r="D4090" t="s">
        <v>584</v>
      </c>
      <c r="E4090" t="s">
        <v>585</v>
      </c>
      <c r="F4090" t="s">
        <v>35</v>
      </c>
      <c r="G4090" t="s">
        <v>35</v>
      </c>
      <c r="H4090" t="s">
        <v>35</v>
      </c>
      <c r="J4090" t="s">
        <v>4547</v>
      </c>
      <c r="K4090" t="s">
        <v>1092</v>
      </c>
      <c r="M4090">
        <v>0.25</v>
      </c>
      <c r="N4090">
        <v>72</v>
      </c>
      <c r="O4090" t="s">
        <v>61</v>
      </c>
      <c r="Q4090" t="s">
        <v>63</v>
      </c>
      <c r="R4090" t="s">
        <v>4545</v>
      </c>
      <c r="S4090" t="s">
        <v>586</v>
      </c>
    </row>
    <row r="4091" spans="1:19" x14ac:dyDescent="0.25">
      <c r="A4091" t="s">
        <v>44</v>
      </c>
      <c r="B4091" t="s">
        <v>51</v>
      </c>
      <c r="C4091" t="s">
        <v>32</v>
      </c>
      <c r="D4091" t="s">
        <v>584</v>
      </c>
      <c r="E4091" t="s">
        <v>585</v>
      </c>
      <c r="F4091" t="s">
        <v>35</v>
      </c>
      <c r="G4091" t="s">
        <v>35</v>
      </c>
      <c r="H4091" t="s">
        <v>35</v>
      </c>
      <c r="J4091" t="s">
        <v>4547</v>
      </c>
      <c r="K4091" t="s">
        <v>1092</v>
      </c>
      <c r="M4091">
        <v>0.25</v>
      </c>
      <c r="N4091">
        <v>76</v>
      </c>
      <c r="O4091" t="s">
        <v>61</v>
      </c>
      <c r="Q4091" t="s">
        <v>234</v>
      </c>
      <c r="R4091" t="s">
        <v>4545</v>
      </c>
      <c r="S4091" t="s">
        <v>586</v>
      </c>
    </row>
    <row r="4092" spans="1:19" x14ac:dyDescent="0.25">
      <c r="A4092" t="s">
        <v>44</v>
      </c>
      <c r="B4092" t="s">
        <v>51</v>
      </c>
      <c r="C4092" t="s">
        <v>32</v>
      </c>
      <c r="D4092" t="s">
        <v>584</v>
      </c>
      <c r="E4092" t="s">
        <v>585</v>
      </c>
      <c r="F4092" t="s">
        <v>35</v>
      </c>
      <c r="G4092" t="s">
        <v>35</v>
      </c>
      <c r="H4092" t="s">
        <v>35</v>
      </c>
      <c r="J4092" t="s">
        <v>4551</v>
      </c>
      <c r="K4092" t="s">
        <v>1092</v>
      </c>
      <c r="M4092">
        <v>0.15</v>
      </c>
      <c r="N4092">
        <v>31</v>
      </c>
      <c r="O4092" t="s">
        <v>52</v>
      </c>
      <c r="Q4092" t="s">
        <v>972</v>
      </c>
      <c r="R4092" t="s">
        <v>4552</v>
      </c>
      <c r="S4092" t="s">
        <v>4553</v>
      </c>
    </row>
    <row r="4093" spans="1:19" x14ac:dyDescent="0.25">
      <c r="A4093" t="s">
        <v>59</v>
      </c>
      <c r="B4093" t="s">
        <v>31</v>
      </c>
      <c r="C4093" t="s">
        <v>32</v>
      </c>
      <c r="D4093" t="s">
        <v>584</v>
      </c>
      <c r="E4093" t="s">
        <v>585</v>
      </c>
      <c r="F4093" t="s">
        <v>35</v>
      </c>
      <c r="G4093" t="s">
        <v>35</v>
      </c>
      <c r="H4093" t="s">
        <v>35</v>
      </c>
      <c r="J4093" t="s">
        <v>4555</v>
      </c>
      <c r="K4093" t="s">
        <v>1092</v>
      </c>
      <c r="M4093">
        <v>1.53</v>
      </c>
      <c r="N4093">
        <v>171</v>
      </c>
      <c r="O4093" t="s">
        <v>38</v>
      </c>
      <c r="Q4093" t="s">
        <v>3930</v>
      </c>
      <c r="R4093" t="s">
        <v>610</v>
      </c>
      <c r="S4093" t="s">
        <v>539</v>
      </c>
    </row>
    <row r="4094" spans="1:19" x14ac:dyDescent="0.25">
      <c r="A4094" t="s">
        <v>30</v>
      </c>
      <c r="B4094" t="s">
        <v>31</v>
      </c>
      <c r="C4094" t="s">
        <v>32</v>
      </c>
      <c r="D4094" t="s">
        <v>584</v>
      </c>
      <c r="E4094" t="s">
        <v>585</v>
      </c>
      <c r="F4094" t="s">
        <v>35</v>
      </c>
      <c r="G4094" t="s">
        <v>35</v>
      </c>
      <c r="H4094" t="s">
        <v>35</v>
      </c>
      <c r="J4094" t="s">
        <v>4556</v>
      </c>
      <c r="K4094" t="s">
        <v>1092</v>
      </c>
      <c r="M4094">
        <v>2.3849999999999998</v>
      </c>
      <c r="N4094">
        <v>49</v>
      </c>
      <c r="O4094" t="s">
        <v>52</v>
      </c>
      <c r="Q4094" t="s">
        <v>219</v>
      </c>
      <c r="R4094" t="s">
        <v>610</v>
      </c>
      <c r="S4094" t="s">
        <v>539</v>
      </c>
    </row>
    <row r="4095" spans="1:19" x14ac:dyDescent="0.25">
      <c r="A4095" t="s">
        <v>44</v>
      </c>
      <c r="B4095" t="s">
        <v>51</v>
      </c>
      <c r="C4095" t="s">
        <v>32</v>
      </c>
      <c r="D4095" t="s">
        <v>584</v>
      </c>
      <c r="E4095" t="s">
        <v>585</v>
      </c>
      <c r="F4095" t="s">
        <v>35</v>
      </c>
      <c r="G4095" t="s">
        <v>35</v>
      </c>
      <c r="H4095" t="s">
        <v>35</v>
      </c>
      <c r="J4095" t="s">
        <v>4556</v>
      </c>
      <c r="K4095" t="s">
        <v>1092</v>
      </c>
      <c r="M4095">
        <v>2.7</v>
      </c>
      <c r="N4095">
        <v>73</v>
      </c>
      <c r="O4095" t="s">
        <v>61</v>
      </c>
      <c r="Q4095" t="s">
        <v>552</v>
      </c>
      <c r="R4095" t="s">
        <v>4552</v>
      </c>
      <c r="S4095" t="s">
        <v>4553</v>
      </c>
    </row>
    <row r="4096" spans="1:19" x14ac:dyDescent="0.25">
      <c r="A4096" t="s">
        <v>59</v>
      </c>
      <c r="B4096" t="s">
        <v>60</v>
      </c>
      <c r="C4096" t="s">
        <v>32</v>
      </c>
      <c r="D4096" t="s">
        <v>584</v>
      </c>
      <c r="E4096" t="s">
        <v>585</v>
      </c>
      <c r="F4096" t="s">
        <v>35</v>
      </c>
      <c r="G4096" t="s">
        <v>35</v>
      </c>
      <c r="H4096" t="s">
        <v>35</v>
      </c>
      <c r="J4096" t="s">
        <v>4556</v>
      </c>
      <c r="K4096" t="s">
        <v>1092</v>
      </c>
      <c r="M4096">
        <v>2.1</v>
      </c>
      <c r="N4096">
        <v>137</v>
      </c>
      <c r="O4096" t="s">
        <v>38</v>
      </c>
      <c r="Q4096" t="s">
        <v>1602</v>
      </c>
      <c r="R4096" t="s">
        <v>4557</v>
      </c>
      <c r="S4096" t="s">
        <v>4558</v>
      </c>
    </row>
    <row r="4097" spans="1:19" x14ac:dyDescent="0.25">
      <c r="A4097" t="s">
        <v>30</v>
      </c>
      <c r="B4097" t="s">
        <v>31</v>
      </c>
      <c r="C4097" t="s">
        <v>32</v>
      </c>
      <c r="D4097" t="s">
        <v>584</v>
      </c>
      <c r="E4097" t="s">
        <v>585</v>
      </c>
      <c r="F4097" t="s">
        <v>35</v>
      </c>
      <c r="G4097" t="s">
        <v>35</v>
      </c>
      <c r="H4097" t="s">
        <v>35</v>
      </c>
      <c r="J4097" t="s">
        <v>4562</v>
      </c>
      <c r="K4097" t="s">
        <v>1092</v>
      </c>
      <c r="M4097">
        <v>4.5250000000000004</v>
      </c>
      <c r="N4097">
        <v>499</v>
      </c>
      <c r="O4097" t="s">
        <v>294</v>
      </c>
      <c r="Q4097" t="s">
        <v>1503</v>
      </c>
      <c r="R4097" t="s">
        <v>4541</v>
      </c>
      <c r="S4097" t="s">
        <v>4542</v>
      </c>
    </row>
    <row r="4098" spans="1:19" x14ac:dyDescent="0.25">
      <c r="A4098" t="s">
        <v>44</v>
      </c>
      <c r="B4098" t="s">
        <v>3</v>
      </c>
      <c r="C4098" t="s">
        <v>32</v>
      </c>
      <c r="D4098" t="s">
        <v>584</v>
      </c>
      <c r="E4098" t="s">
        <v>585</v>
      </c>
      <c r="F4098" t="s">
        <v>35</v>
      </c>
      <c r="G4098" t="s">
        <v>35</v>
      </c>
      <c r="H4098" t="s">
        <v>35</v>
      </c>
      <c r="J4098" t="s">
        <v>4562</v>
      </c>
      <c r="K4098" t="s">
        <v>1092</v>
      </c>
      <c r="M4098">
        <v>0.70499999999999996</v>
      </c>
      <c r="N4098">
        <v>527</v>
      </c>
      <c r="O4098" t="s">
        <v>294</v>
      </c>
      <c r="Q4098" t="s">
        <v>4563</v>
      </c>
      <c r="R4098" t="s">
        <v>4564</v>
      </c>
      <c r="S4098" t="s">
        <v>4565</v>
      </c>
    </row>
    <row r="4099" spans="1:19" x14ac:dyDescent="0.25">
      <c r="A4099" t="s">
        <v>30</v>
      </c>
      <c r="B4099" t="s">
        <v>31</v>
      </c>
      <c r="C4099" t="s">
        <v>32</v>
      </c>
      <c r="D4099" t="s">
        <v>584</v>
      </c>
      <c r="E4099" t="s">
        <v>585</v>
      </c>
      <c r="F4099" t="s">
        <v>35</v>
      </c>
      <c r="G4099" t="s">
        <v>35</v>
      </c>
      <c r="H4099" t="s">
        <v>35</v>
      </c>
      <c r="J4099" t="s">
        <v>4562</v>
      </c>
      <c r="K4099" t="s">
        <v>1092</v>
      </c>
      <c r="M4099">
        <v>11.025</v>
      </c>
      <c r="N4099">
        <v>133</v>
      </c>
      <c r="O4099" t="s">
        <v>38</v>
      </c>
      <c r="Q4099" t="s">
        <v>68</v>
      </c>
      <c r="R4099" t="s">
        <v>610</v>
      </c>
      <c r="S4099" t="s">
        <v>539</v>
      </c>
    </row>
    <row r="4100" spans="1:19" x14ac:dyDescent="0.25">
      <c r="A4100" t="s">
        <v>59</v>
      </c>
      <c r="B4100" t="s">
        <v>60</v>
      </c>
      <c r="C4100" t="s">
        <v>32</v>
      </c>
      <c r="D4100" t="s">
        <v>584</v>
      </c>
      <c r="E4100" t="s">
        <v>585</v>
      </c>
      <c r="F4100" t="s">
        <v>35</v>
      </c>
      <c r="G4100" t="s">
        <v>35</v>
      </c>
      <c r="H4100" t="s">
        <v>35</v>
      </c>
      <c r="J4100" t="s">
        <v>4562</v>
      </c>
      <c r="K4100" t="s">
        <v>1092</v>
      </c>
      <c r="M4100">
        <v>0.75</v>
      </c>
      <c r="N4100">
        <v>77</v>
      </c>
      <c r="O4100" t="s">
        <v>61</v>
      </c>
      <c r="Q4100" t="s">
        <v>305</v>
      </c>
      <c r="R4100" t="s">
        <v>4545</v>
      </c>
      <c r="S4100" t="s">
        <v>586</v>
      </c>
    </row>
    <row r="4101" spans="1:19" x14ac:dyDescent="0.25">
      <c r="A4101" t="s">
        <v>44</v>
      </c>
      <c r="B4101" t="s">
        <v>51</v>
      </c>
      <c r="C4101" t="s">
        <v>32</v>
      </c>
      <c r="D4101" t="s">
        <v>584</v>
      </c>
      <c r="E4101" t="s">
        <v>585</v>
      </c>
      <c r="F4101" t="s">
        <v>35</v>
      </c>
      <c r="G4101" t="s">
        <v>35</v>
      </c>
      <c r="H4101" t="s">
        <v>35</v>
      </c>
      <c r="J4101" t="s">
        <v>4562</v>
      </c>
      <c r="K4101" t="s">
        <v>1092</v>
      </c>
      <c r="M4101">
        <v>0.75</v>
      </c>
      <c r="N4101">
        <v>68</v>
      </c>
      <c r="O4101" t="s">
        <v>61</v>
      </c>
      <c r="Q4101" t="s">
        <v>146</v>
      </c>
      <c r="R4101" t="s">
        <v>4545</v>
      </c>
      <c r="S4101" t="s">
        <v>586</v>
      </c>
    </row>
    <row r="4102" spans="1:19" x14ac:dyDescent="0.25">
      <c r="A4102" t="s">
        <v>59</v>
      </c>
      <c r="B4102" t="s">
        <v>60</v>
      </c>
      <c r="C4102" t="s">
        <v>32</v>
      </c>
      <c r="D4102" t="s">
        <v>584</v>
      </c>
      <c r="E4102" t="s">
        <v>585</v>
      </c>
      <c r="F4102" t="s">
        <v>35</v>
      </c>
      <c r="G4102" t="s">
        <v>35</v>
      </c>
      <c r="H4102" t="s">
        <v>35</v>
      </c>
      <c r="J4102" t="s">
        <v>4567</v>
      </c>
      <c r="K4102" t="s">
        <v>1092</v>
      </c>
      <c r="M4102">
        <v>0.5</v>
      </c>
      <c r="N4102">
        <v>76</v>
      </c>
      <c r="O4102" t="s">
        <v>61</v>
      </c>
      <c r="Q4102" t="s">
        <v>234</v>
      </c>
      <c r="R4102" t="s">
        <v>4545</v>
      </c>
      <c r="S4102" t="s">
        <v>586</v>
      </c>
    </row>
    <row r="4103" spans="1:19" x14ac:dyDescent="0.25">
      <c r="A4103" t="s">
        <v>30</v>
      </c>
      <c r="B4103" t="s">
        <v>31</v>
      </c>
      <c r="C4103" t="s">
        <v>32</v>
      </c>
      <c r="D4103" t="s">
        <v>584</v>
      </c>
      <c r="E4103" t="s">
        <v>585</v>
      </c>
      <c r="F4103" t="s">
        <v>35</v>
      </c>
      <c r="G4103" t="s">
        <v>35</v>
      </c>
      <c r="H4103" t="s">
        <v>35</v>
      </c>
      <c r="J4103" t="s">
        <v>4568</v>
      </c>
      <c r="K4103" t="s">
        <v>1092</v>
      </c>
      <c r="M4103">
        <v>0.315</v>
      </c>
      <c r="N4103">
        <v>1375</v>
      </c>
      <c r="O4103" t="s">
        <v>575</v>
      </c>
      <c r="Q4103" t="s">
        <v>4569</v>
      </c>
      <c r="R4103" t="s">
        <v>4564</v>
      </c>
      <c r="S4103" t="s">
        <v>4565</v>
      </c>
    </row>
    <row r="4104" spans="1:19" x14ac:dyDescent="0.25">
      <c r="A4104" t="s">
        <v>59</v>
      </c>
      <c r="B4104" t="s">
        <v>31</v>
      </c>
      <c r="C4104" t="s">
        <v>32</v>
      </c>
      <c r="D4104" t="s">
        <v>584</v>
      </c>
      <c r="E4104" t="s">
        <v>585</v>
      </c>
      <c r="F4104" t="s">
        <v>35</v>
      </c>
      <c r="G4104" t="s">
        <v>35</v>
      </c>
      <c r="H4104" t="s">
        <v>35</v>
      </c>
      <c r="J4104" t="s">
        <v>4570</v>
      </c>
      <c r="K4104" t="s">
        <v>1092</v>
      </c>
      <c r="M4104">
        <v>0.09</v>
      </c>
      <c r="N4104">
        <v>285</v>
      </c>
      <c r="O4104" t="s">
        <v>5</v>
      </c>
      <c r="Q4104" t="s">
        <v>1687</v>
      </c>
      <c r="R4104" t="s">
        <v>610</v>
      </c>
      <c r="S4104" t="s">
        <v>539</v>
      </c>
    </row>
    <row r="4105" spans="1:19" x14ac:dyDescent="0.25">
      <c r="A4105" t="s">
        <v>59</v>
      </c>
      <c r="B4105" t="s">
        <v>60</v>
      </c>
      <c r="C4105" t="s">
        <v>32</v>
      </c>
      <c r="D4105" t="s">
        <v>584</v>
      </c>
      <c r="E4105" t="s">
        <v>585</v>
      </c>
      <c r="F4105" t="s">
        <v>35</v>
      </c>
      <c r="G4105" t="s">
        <v>35</v>
      </c>
      <c r="H4105" t="s">
        <v>35</v>
      </c>
      <c r="J4105" t="s">
        <v>4570</v>
      </c>
      <c r="K4105" t="s">
        <v>1092</v>
      </c>
      <c r="M4105">
        <v>3.05</v>
      </c>
      <c r="N4105">
        <v>279</v>
      </c>
      <c r="O4105" t="s">
        <v>5</v>
      </c>
      <c r="Q4105" t="s">
        <v>1717</v>
      </c>
      <c r="R4105" t="s">
        <v>4571</v>
      </c>
      <c r="S4105" t="s">
        <v>628</v>
      </c>
    </row>
    <row r="4106" spans="1:19" x14ac:dyDescent="0.25">
      <c r="A4106" t="s">
        <v>59</v>
      </c>
      <c r="B4106" t="s">
        <v>60</v>
      </c>
      <c r="C4106" t="s">
        <v>32</v>
      </c>
      <c r="D4106" t="s">
        <v>584</v>
      </c>
      <c r="E4106" t="s">
        <v>585</v>
      </c>
      <c r="F4106" t="s">
        <v>35</v>
      </c>
      <c r="G4106" t="s">
        <v>35</v>
      </c>
      <c r="H4106" t="s">
        <v>35</v>
      </c>
      <c r="J4106" t="s">
        <v>4572</v>
      </c>
      <c r="K4106" t="s">
        <v>1092</v>
      </c>
      <c r="M4106">
        <v>0.25</v>
      </c>
      <c r="N4106">
        <v>91</v>
      </c>
      <c r="O4106" t="s">
        <v>106</v>
      </c>
      <c r="Q4106" t="s">
        <v>1147</v>
      </c>
      <c r="R4106" t="s">
        <v>4545</v>
      </c>
      <c r="S4106" t="s">
        <v>586</v>
      </c>
    </row>
    <row r="4107" spans="1:19" x14ac:dyDescent="0.25">
      <c r="A4107" t="s">
        <v>44</v>
      </c>
      <c r="B4107" t="s">
        <v>51</v>
      </c>
      <c r="C4107" t="s">
        <v>32</v>
      </c>
      <c r="D4107" t="s">
        <v>584</v>
      </c>
      <c r="E4107" t="s">
        <v>585</v>
      </c>
      <c r="F4107" t="s">
        <v>35</v>
      </c>
      <c r="G4107" t="s">
        <v>35</v>
      </c>
      <c r="H4107" t="s">
        <v>35</v>
      </c>
      <c r="J4107" t="s">
        <v>4573</v>
      </c>
      <c r="K4107" t="s">
        <v>1092</v>
      </c>
      <c r="M4107">
        <v>0.2</v>
      </c>
      <c r="N4107">
        <v>51</v>
      </c>
      <c r="O4107" t="s">
        <v>52</v>
      </c>
      <c r="Q4107" t="s">
        <v>54</v>
      </c>
      <c r="R4107" t="s">
        <v>4545</v>
      </c>
      <c r="S4107" t="s">
        <v>586</v>
      </c>
    </row>
    <row r="4108" spans="1:19" x14ac:dyDescent="0.25">
      <c r="A4108" t="s">
        <v>44</v>
      </c>
      <c r="B4108" t="s">
        <v>51</v>
      </c>
      <c r="C4108" t="s">
        <v>32</v>
      </c>
      <c r="D4108" t="s">
        <v>584</v>
      </c>
      <c r="E4108" t="s">
        <v>585</v>
      </c>
      <c r="F4108" t="s">
        <v>35</v>
      </c>
      <c r="G4108" t="s">
        <v>35</v>
      </c>
      <c r="H4108" t="s">
        <v>35</v>
      </c>
      <c r="J4108" t="s">
        <v>4573</v>
      </c>
      <c r="K4108" t="s">
        <v>1092</v>
      </c>
      <c r="M4108">
        <v>0.5</v>
      </c>
      <c r="N4108">
        <v>46</v>
      </c>
      <c r="O4108" t="s">
        <v>52</v>
      </c>
      <c r="Q4108" t="s">
        <v>493</v>
      </c>
      <c r="R4108" t="s">
        <v>4545</v>
      </c>
      <c r="S4108" t="s">
        <v>586</v>
      </c>
    </row>
    <row r="4109" spans="1:19" x14ac:dyDescent="0.25">
      <c r="A4109" t="s">
        <v>44</v>
      </c>
      <c r="B4109" t="s">
        <v>51</v>
      </c>
      <c r="C4109" t="s">
        <v>32</v>
      </c>
      <c r="D4109" t="s">
        <v>584</v>
      </c>
      <c r="E4109" t="s">
        <v>585</v>
      </c>
      <c r="F4109" t="s">
        <v>35</v>
      </c>
      <c r="G4109" t="s">
        <v>35</v>
      </c>
      <c r="H4109" t="s">
        <v>35</v>
      </c>
      <c r="J4109" t="s">
        <v>4574</v>
      </c>
      <c r="K4109" t="s">
        <v>1092</v>
      </c>
      <c r="M4109">
        <v>0.15</v>
      </c>
      <c r="N4109">
        <v>65</v>
      </c>
      <c r="O4109" t="s">
        <v>61</v>
      </c>
      <c r="Q4109" t="s">
        <v>128</v>
      </c>
      <c r="R4109" t="s">
        <v>4545</v>
      </c>
      <c r="S4109" t="s">
        <v>586</v>
      </c>
    </row>
    <row r="4110" spans="1:19" x14ac:dyDescent="0.25">
      <c r="A4110" t="s">
        <v>59</v>
      </c>
      <c r="B4110" t="s">
        <v>60</v>
      </c>
      <c r="C4110" t="s">
        <v>32</v>
      </c>
      <c r="D4110" t="s">
        <v>584</v>
      </c>
      <c r="E4110" t="s">
        <v>585</v>
      </c>
      <c r="F4110" t="s">
        <v>35</v>
      </c>
      <c r="G4110" t="s">
        <v>35</v>
      </c>
      <c r="H4110" t="s">
        <v>35</v>
      </c>
      <c r="J4110" t="s">
        <v>4575</v>
      </c>
      <c r="K4110" t="s">
        <v>1092</v>
      </c>
      <c r="M4110">
        <v>1.55</v>
      </c>
      <c r="N4110">
        <v>133</v>
      </c>
      <c r="O4110" t="s">
        <v>38</v>
      </c>
      <c r="Q4110" t="s">
        <v>68</v>
      </c>
      <c r="R4110" t="s">
        <v>4541</v>
      </c>
      <c r="S4110" t="s">
        <v>4542</v>
      </c>
    </row>
    <row r="4111" spans="1:19" x14ac:dyDescent="0.25">
      <c r="A4111" t="s">
        <v>59</v>
      </c>
      <c r="B4111" t="s">
        <v>60</v>
      </c>
      <c r="C4111" t="s">
        <v>32</v>
      </c>
      <c r="D4111" t="s">
        <v>584</v>
      </c>
      <c r="E4111" t="s">
        <v>585</v>
      </c>
      <c r="F4111" t="s">
        <v>35</v>
      </c>
      <c r="G4111" t="s">
        <v>35</v>
      </c>
      <c r="H4111" t="s">
        <v>35</v>
      </c>
      <c r="J4111" t="s">
        <v>4576</v>
      </c>
      <c r="K4111" t="s">
        <v>1092</v>
      </c>
      <c r="M4111">
        <v>2.95</v>
      </c>
      <c r="N4111">
        <v>165</v>
      </c>
      <c r="O4111" t="s">
        <v>38</v>
      </c>
      <c r="Q4111" t="s">
        <v>1548</v>
      </c>
      <c r="R4111" t="s">
        <v>4541</v>
      </c>
      <c r="S4111" t="s">
        <v>4542</v>
      </c>
    </row>
    <row r="4112" spans="1:19" x14ac:dyDescent="0.25">
      <c r="A4112" t="s">
        <v>59</v>
      </c>
      <c r="B4112" t="s">
        <v>60</v>
      </c>
      <c r="C4112" t="s">
        <v>32</v>
      </c>
      <c r="D4112" t="s">
        <v>584</v>
      </c>
      <c r="E4112" t="s">
        <v>585</v>
      </c>
      <c r="F4112" t="s">
        <v>35</v>
      </c>
      <c r="G4112" t="s">
        <v>35</v>
      </c>
      <c r="H4112" t="s">
        <v>35</v>
      </c>
      <c r="J4112" t="s">
        <v>4577</v>
      </c>
      <c r="K4112" t="s">
        <v>1092</v>
      </c>
      <c r="M4112">
        <v>0.1</v>
      </c>
      <c r="N4112">
        <v>85</v>
      </c>
      <c r="O4112" t="s">
        <v>61</v>
      </c>
      <c r="Q4112" t="s">
        <v>1202</v>
      </c>
      <c r="R4112" t="s">
        <v>4545</v>
      </c>
      <c r="S4112" t="s">
        <v>586</v>
      </c>
    </row>
    <row r="4113" spans="1:19" x14ac:dyDescent="0.25">
      <c r="A4113" t="s">
        <v>59</v>
      </c>
      <c r="B4113" t="s">
        <v>60</v>
      </c>
      <c r="C4113" t="s">
        <v>32</v>
      </c>
      <c r="D4113" t="s">
        <v>584</v>
      </c>
      <c r="E4113" t="s">
        <v>585</v>
      </c>
      <c r="F4113" t="s">
        <v>35</v>
      </c>
      <c r="G4113" t="s">
        <v>35</v>
      </c>
      <c r="H4113" t="s">
        <v>35</v>
      </c>
      <c r="J4113" t="s">
        <v>4578</v>
      </c>
      <c r="K4113" t="s">
        <v>1092</v>
      </c>
      <c r="M4113">
        <v>0.05</v>
      </c>
      <c r="N4113">
        <v>1383</v>
      </c>
      <c r="O4113" t="s">
        <v>575</v>
      </c>
      <c r="Q4113" t="s">
        <v>4579</v>
      </c>
      <c r="R4113" t="s">
        <v>4536</v>
      </c>
      <c r="S4113" t="s">
        <v>4537</v>
      </c>
    </row>
    <row r="4114" spans="1:19" x14ac:dyDescent="0.25">
      <c r="A4114" t="s">
        <v>44</v>
      </c>
      <c r="B4114" t="s">
        <v>3</v>
      </c>
      <c r="C4114" t="s">
        <v>32</v>
      </c>
      <c r="D4114" t="s">
        <v>584</v>
      </c>
      <c r="E4114" t="s">
        <v>585</v>
      </c>
      <c r="F4114" t="s">
        <v>35</v>
      </c>
      <c r="G4114" t="s">
        <v>35</v>
      </c>
      <c r="H4114" t="s">
        <v>35</v>
      </c>
      <c r="J4114" t="s">
        <v>4580</v>
      </c>
      <c r="K4114" t="s">
        <v>1092</v>
      </c>
      <c r="M4114">
        <v>0.25</v>
      </c>
      <c r="N4114">
        <v>539</v>
      </c>
      <c r="O4114" t="s">
        <v>294</v>
      </c>
      <c r="Q4114" t="s">
        <v>4581</v>
      </c>
      <c r="R4114" t="s">
        <v>4545</v>
      </c>
      <c r="S4114" t="s">
        <v>586</v>
      </c>
    </row>
    <row r="4115" spans="1:19" x14ac:dyDescent="0.25">
      <c r="A4115" t="s">
        <v>59</v>
      </c>
      <c r="B4115" t="s">
        <v>60</v>
      </c>
      <c r="C4115" t="s">
        <v>32</v>
      </c>
      <c r="D4115" t="s">
        <v>584</v>
      </c>
      <c r="E4115" t="s">
        <v>585</v>
      </c>
      <c r="F4115" t="s">
        <v>35</v>
      </c>
      <c r="G4115" t="s">
        <v>35</v>
      </c>
      <c r="H4115" t="s">
        <v>35</v>
      </c>
      <c r="J4115" t="s">
        <v>4582</v>
      </c>
      <c r="K4115" t="s">
        <v>1092</v>
      </c>
      <c r="M4115">
        <v>0.154</v>
      </c>
      <c r="N4115">
        <v>296</v>
      </c>
      <c r="O4115" t="s">
        <v>5</v>
      </c>
      <c r="Q4115" t="s">
        <v>4253</v>
      </c>
      <c r="R4115" t="s">
        <v>4536</v>
      </c>
      <c r="S4115" t="s">
        <v>4537</v>
      </c>
    </row>
    <row r="4116" spans="1:19" x14ac:dyDescent="0.25">
      <c r="A4116" t="s">
        <v>59</v>
      </c>
      <c r="B4116" t="s">
        <v>60</v>
      </c>
      <c r="C4116" t="s">
        <v>32</v>
      </c>
      <c r="D4116" t="s">
        <v>584</v>
      </c>
      <c r="E4116" t="s">
        <v>585</v>
      </c>
      <c r="F4116" t="s">
        <v>35</v>
      </c>
      <c r="G4116" t="s">
        <v>35</v>
      </c>
      <c r="H4116" t="s">
        <v>35</v>
      </c>
      <c r="J4116" t="s">
        <v>4582</v>
      </c>
      <c r="K4116" t="s">
        <v>1092</v>
      </c>
      <c r="M4116">
        <v>0.5</v>
      </c>
      <c r="N4116">
        <v>278</v>
      </c>
      <c r="O4116" t="s">
        <v>5</v>
      </c>
      <c r="Q4116" t="s">
        <v>1724</v>
      </c>
      <c r="R4116" t="s">
        <v>4536</v>
      </c>
      <c r="S4116" t="s">
        <v>4537</v>
      </c>
    </row>
    <row r="4117" spans="1:19" x14ac:dyDescent="0.25">
      <c r="A4117" t="s">
        <v>59</v>
      </c>
      <c r="B4117" t="s">
        <v>60</v>
      </c>
      <c r="C4117" t="s">
        <v>32</v>
      </c>
      <c r="D4117" t="s">
        <v>584</v>
      </c>
      <c r="E4117" t="s">
        <v>585</v>
      </c>
      <c r="F4117" t="s">
        <v>35</v>
      </c>
      <c r="G4117" t="s">
        <v>35</v>
      </c>
      <c r="H4117" t="s">
        <v>35</v>
      </c>
      <c r="J4117" t="s">
        <v>4583</v>
      </c>
      <c r="K4117" t="s">
        <v>1092</v>
      </c>
      <c r="M4117">
        <v>0.15</v>
      </c>
      <c r="N4117">
        <v>51</v>
      </c>
      <c r="O4117" t="s">
        <v>52</v>
      </c>
      <c r="Q4117" t="s">
        <v>54</v>
      </c>
      <c r="R4117" t="s">
        <v>4545</v>
      </c>
      <c r="S4117" t="s">
        <v>586</v>
      </c>
    </row>
    <row r="4118" spans="1:19" x14ac:dyDescent="0.25">
      <c r="A4118" t="s">
        <v>44</v>
      </c>
      <c r="B4118" t="s">
        <v>3</v>
      </c>
      <c r="C4118" t="s">
        <v>32</v>
      </c>
      <c r="D4118" t="s">
        <v>584</v>
      </c>
      <c r="E4118" t="s">
        <v>585</v>
      </c>
      <c r="F4118" t="s">
        <v>35</v>
      </c>
      <c r="G4118" t="s">
        <v>35</v>
      </c>
      <c r="H4118" t="s">
        <v>35</v>
      </c>
      <c r="J4118" t="s">
        <v>4584</v>
      </c>
      <c r="K4118" t="s">
        <v>1092</v>
      </c>
      <c r="M4118">
        <v>0.25</v>
      </c>
      <c r="N4118">
        <v>520</v>
      </c>
      <c r="O4118" t="s">
        <v>294</v>
      </c>
      <c r="Q4118" t="s">
        <v>2816</v>
      </c>
      <c r="R4118" t="s">
        <v>4564</v>
      </c>
      <c r="S4118" t="s">
        <v>4565</v>
      </c>
    </row>
    <row r="4119" spans="1:19" x14ac:dyDescent="0.25">
      <c r="A4119" t="s">
        <v>59</v>
      </c>
      <c r="B4119" t="s">
        <v>60</v>
      </c>
      <c r="C4119" t="s">
        <v>32</v>
      </c>
      <c r="D4119" t="s">
        <v>584</v>
      </c>
      <c r="E4119" t="s">
        <v>585</v>
      </c>
      <c r="F4119" t="s">
        <v>35</v>
      </c>
      <c r="G4119" t="s">
        <v>35</v>
      </c>
      <c r="H4119" t="s">
        <v>35</v>
      </c>
      <c r="J4119" t="s">
        <v>4585</v>
      </c>
      <c r="K4119" t="s">
        <v>1092</v>
      </c>
      <c r="M4119">
        <v>1.1000000000000001</v>
      </c>
      <c r="N4119">
        <v>270</v>
      </c>
      <c r="O4119" t="s">
        <v>5</v>
      </c>
      <c r="Q4119" t="s">
        <v>2486</v>
      </c>
      <c r="R4119" t="s">
        <v>610</v>
      </c>
      <c r="S4119" t="s">
        <v>539</v>
      </c>
    </row>
    <row r="4120" spans="1:19" x14ac:dyDescent="0.25">
      <c r="A4120" t="s">
        <v>44</v>
      </c>
      <c r="B4120" t="s">
        <v>3</v>
      </c>
      <c r="C4120" t="s">
        <v>32</v>
      </c>
      <c r="D4120" t="s">
        <v>584</v>
      </c>
      <c r="E4120" t="s">
        <v>585</v>
      </c>
      <c r="F4120" t="s">
        <v>35</v>
      </c>
      <c r="G4120" t="s">
        <v>35</v>
      </c>
      <c r="H4120" t="s">
        <v>35</v>
      </c>
      <c r="J4120" t="s">
        <v>4586</v>
      </c>
      <c r="K4120" t="s">
        <v>1092</v>
      </c>
      <c r="M4120">
        <v>1.1499999999999999</v>
      </c>
      <c r="N4120">
        <v>539</v>
      </c>
      <c r="O4120" t="s">
        <v>294</v>
      </c>
      <c r="Q4120" t="s">
        <v>4581</v>
      </c>
      <c r="R4120" t="s">
        <v>4545</v>
      </c>
      <c r="S4120" t="s">
        <v>586</v>
      </c>
    </row>
    <row r="4121" spans="1:19" x14ac:dyDescent="0.25">
      <c r="A4121" t="s">
        <v>59</v>
      </c>
      <c r="B4121" t="s">
        <v>60</v>
      </c>
      <c r="C4121" t="s">
        <v>32</v>
      </c>
      <c r="D4121" t="s">
        <v>584</v>
      </c>
      <c r="E4121" t="s">
        <v>585</v>
      </c>
      <c r="F4121" t="s">
        <v>35</v>
      </c>
      <c r="G4121" t="s">
        <v>35</v>
      </c>
      <c r="H4121" t="s">
        <v>35</v>
      </c>
      <c r="J4121" t="s">
        <v>4587</v>
      </c>
      <c r="K4121" t="s">
        <v>1092</v>
      </c>
      <c r="M4121">
        <v>0.05</v>
      </c>
      <c r="N4121">
        <v>278</v>
      </c>
      <c r="O4121" t="s">
        <v>5</v>
      </c>
      <c r="Q4121" t="s">
        <v>1724</v>
      </c>
      <c r="R4121" t="s">
        <v>4536</v>
      </c>
      <c r="S4121" t="s">
        <v>4537</v>
      </c>
    </row>
    <row r="4122" spans="1:19" x14ac:dyDescent="0.25">
      <c r="A4122" t="s">
        <v>59</v>
      </c>
      <c r="B4122" t="s">
        <v>60</v>
      </c>
      <c r="C4122" t="s">
        <v>32</v>
      </c>
      <c r="D4122" t="s">
        <v>584</v>
      </c>
      <c r="E4122" t="s">
        <v>585</v>
      </c>
      <c r="F4122" t="s">
        <v>35</v>
      </c>
      <c r="G4122" t="s">
        <v>35</v>
      </c>
      <c r="H4122" t="s">
        <v>35</v>
      </c>
      <c r="J4122" t="s">
        <v>4588</v>
      </c>
      <c r="K4122" t="s">
        <v>1092</v>
      </c>
      <c r="M4122">
        <v>0.5</v>
      </c>
      <c r="N4122">
        <v>44</v>
      </c>
      <c r="O4122" t="s">
        <v>52</v>
      </c>
      <c r="Q4122" t="s">
        <v>192</v>
      </c>
      <c r="R4122" t="s">
        <v>4536</v>
      </c>
      <c r="S4122" t="s">
        <v>4537</v>
      </c>
    </row>
    <row r="4123" spans="1:19" x14ac:dyDescent="0.25">
      <c r="A4123" t="s">
        <v>59</v>
      </c>
      <c r="B4123" t="s">
        <v>60</v>
      </c>
      <c r="C4123" t="s">
        <v>32</v>
      </c>
      <c r="D4123" t="s">
        <v>584</v>
      </c>
      <c r="E4123" t="s">
        <v>585</v>
      </c>
      <c r="F4123" t="s">
        <v>35</v>
      </c>
      <c r="G4123" t="s">
        <v>35</v>
      </c>
      <c r="H4123" t="s">
        <v>35</v>
      </c>
      <c r="J4123" t="s">
        <v>1898</v>
      </c>
      <c r="K4123" t="s">
        <v>1092</v>
      </c>
      <c r="M4123">
        <v>0.1</v>
      </c>
      <c r="N4123">
        <v>39</v>
      </c>
      <c r="O4123" t="s">
        <v>52</v>
      </c>
      <c r="Q4123" t="s">
        <v>816</v>
      </c>
      <c r="R4123" t="s">
        <v>4545</v>
      </c>
      <c r="S4123" t="s">
        <v>586</v>
      </c>
    </row>
    <row r="4124" spans="1:19" x14ac:dyDescent="0.25">
      <c r="A4124" t="s">
        <v>59</v>
      </c>
      <c r="B4124" t="s">
        <v>60</v>
      </c>
      <c r="C4124" t="s">
        <v>32</v>
      </c>
      <c r="D4124" t="s">
        <v>584</v>
      </c>
      <c r="E4124" t="s">
        <v>585</v>
      </c>
      <c r="F4124" t="s">
        <v>35</v>
      </c>
      <c r="G4124" t="s">
        <v>35</v>
      </c>
      <c r="H4124" t="s">
        <v>35</v>
      </c>
      <c r="J4124" t="s">
        <v>4589</v>
      </c>
      <c r="K4124" t="s">
        <v>1092</v>
      </c>
      <c r="M4124">
        <v>5.5</v>
      </c>
      <c r="N4124">
        <v>126</v>
      </c>
      <c r="O4124" t="s">
        <v>38</v>
      </c>
      <c r="Q4124" t="s">
        <v>1813</v>
      </c>
      <c r="R4124" t="s">
        <v>4541</v>
      </c>
      <c r="S4124" t="s">
        <v>4542</v>
      </c>
    </row>
    <row r="4125" spans="1:19" x14ac:dyDescent="0.25">
      <c r="A4125" t="s">
        <v>59</v>
      </c>
      <c r="B4125" t="s">
        <v>31</v>
      </c>
      <c r="C4125" t="s">
        <v>32</v>
      </c>
      <c r="D4125" t="s">
        <v>584</v>
      </c>
      <c r="E4125" t="s">
        <v>585</v>
      </c>
      <c r="F4125" t="s">
        <v>35</v>
      </c>
      <c r="G4125" t="s">
        <v>35</v>
      </c>
      <c r="H4125" t="s">
        <v>35</v>
      </c>
      <c r="J4125" t="s">
        <v>4589</v>
      </c>
      <c r="K4125" t="s">
        <v>1092</v>
      </c>
      <c r="M4125">
        <v>0.36</v>
      </c>
      <c r="N4125">
        <v>131</v>
      </c>
      <c r="O4125" t="s">
        <v>38</v>
      </c>
      <c r="Q4125" t="s">
        <v>646</v>
      </c>
      <c r="R4125" t="s">
        <v>610</v>
      </c>
      <c r="S4125" t="s">
        <v>539</v>
      </c>
    </row>
    <row r="4126" spans="1:19" x14ac:dyDescent="0.25">
      <c r="A4126" t="s">
        <v>30</v>
      </c>
      <c r="B4126" t="s">
        <v>31</v>
      </c>
      <c r="C4126" t="s">
        <v>32</v>
      </c>
      <c r="D4126" t="s">
        <v>584</v>
      </c>
      <c r="E4126" t="s">
        <v>585</v>
      </c>
      <c r="F4126" t="s">
        <v>35</v>
      </c>
      <c r="G4126" t="s">
        <v>35</v>
      </c>
      <c r="H4126" t="s">
        <v>35</v>
      </c>
      <c r="J4126" t="s">
        <v>4589</v>
      </c>
      <c r="K4126" t="s">
        <v>1092</v>
      </c>
      <c r="M4126">
        <v>1.9350000000000001</v>
      </c>
      <c r="N4126">
        <v>94</v>
      </c>
      <c r="O4126" t="s">
        <v>106</v>
      </c>
      <c r="Q4126" t="s">
        <v>394</v>
      </c>
      <c r="R4126" t="s">
        <v>610</v>
      </c>
      <c r="S4126" t="s">
        <v>539</v>
      </c>
    </row>
    <row r="4127" spans="1:19" x14ac:dyDescent="0.25">
      <c r="A4127" t="s">
        <v>30</v>
      </c>
      <c r="B4127" t="s">
        <v>31</v>
      </c>
      <c r="C4127" t="s">
        <v>32</v>
      </c>
      <c r="D4127" t="s">
        <v>584</v>
      </c>
      <c r="E4127" t="s">
        <v>585</v>
      </c>
      <c r="F4127" t="s">
        <v>35</v>
      </c>
      <c r="G4127" t="s">
        <v>35</v>
      </c>
      <c r="H4127" t="s">
        <v>35</v>
      </c>
      <c r="J4127" t="s">
        <v>4590</v>
      </c>
      <c r="K4127" t="s">
        <v>1092</v>
      </c>
      <c r="M4127">
        <v>2.5649999999999999</v>
      </c>
      <c r="N4127">
        <v>266</v>
      </c>
      <c r="O4127" t="s">
        <v>5</v>
      </c>
      <c r="Q4127" t="s">
        <v>117</v>
      </c>
      <c r="R4127" t="s">
        <v>610</v>
      </c>
      <c r="S4127" t="s">
        <v>539</v>
      </c>
    </row>
    <row r="4128" spans="1:19" x14ac:dyDescent="0.25">
      <c r="A4128" t="s">
        <v>59</v>
      </c>
      <c r="B4128" t="s">
        <v>31</v>
      </c>
      <c r="C4128" t="s">
        <v>32</v>
      </c>
      <c r="D4128" t="s">
        <v>584</v>
      </c>
      <c r="E4128" t="s">
        <v>585</v>
      </c>
      <c r="F4128" t="s">
        <v>35</v>
      </c>
      <c r="G4128" t="s">
        <v>35</v>
      </c>
      <c r="H4128" t="s">
        <v>35</v>
      </c>
      <c r="J4128" t="s">
        <v>4591</v>
      </c>
      <c r="K4128" t="s">
        <v>1092</v>
      </c>
      <c r="M4128">
        <v>0.27</v>
      </c>
      <c r="N4128">
        <v>171</v>
      </c>
      <c r="O4128" t="s">
        <v>38</v>
      </c>
      <c r="Q4128" t="s">
        <v>3930</v>
      </c>
      <c r="R4128" t="s">
        <v>610</v>
      </c>
      <c r="S4128" t="s">
        <v>539</v>
      </c>
    </row>
    <row r="4129" spans="1:19" x14ac:dyDescent="0.25">
      <c r="A4129" t="s">
        <v>44</v>
      </c>
      <c r="B4129" t="s">
        <v>51</v>
      </c>
      <c r="C4129" t="s">
        <v>32</v>
      </c>
      <c r="D4129" t="s">
        <v>584</v>
      </c>
      <c r="E4129" t="s">
        <v>585</v>
      </c>
      <c r="F4129" t="s">
        <v>35</v>
      </c>
      <c r="G4129" t="s">
        <v>35</v>
      </c>
      <c r="H4129" t="s">
        <v>35</v>
      </c>
      <c r="J4129" t="s">
        <v>4592</v>
      </c>
      <c r="K4129" t="s">
        <v>1092</v>
      </c>
      <c r="M4129">
        <v>2.5</v>
      </c>
      <c r="N4129">
        <v>31</v>
      </c>
      <c r="O4129" t="s">
        <v>52</v>
      </c>
      <c r="Q4129" t="s">
        <v>972</v>
      </c>
      <c r="R4129" t="s">
        <v>4552</v>
      </c>
      <c r="S4129" t="s">
        <v>4553</v>
      </c>
    </row>
    <row r="4130" spans="1:19" x14ac:dyDescent="0.25">
      <c r="A4130" t="s">
        <v>59</v>
      </c>
      <c r="B4130" t="s">
        <v>60</v>
      </c>
      <c r="C4130" t="s">
        <v>32</v>
      </c>
      <c r="D4130" t="s">
        <v>584</v>
      </c>
      <c r="E4130" t="s">
        <v>585</v>
      </c>
      <c r="F4130" t="s">
        <v>35</v>
      </c>
      <c r="G4130" t="s">
        <v>35</v>
      </c>
      <c r="H4130" t="s">
        <v>35</v>
      </c>
      <c r="J4130" t="s">
        <v>4593</v>
      </c>
      <c r="K4130" t="s">
        <v>1092</v>
      </c>
      <c r="M4130">
        <v>1.55</v>
      </c>
      <c r="N4130">
        <v>282</v>
      </c>
      <c r="O4130" t="s">
        <v>5</v>
      </c>
      <c r="Q4130" t="s">
        <v>1225</v>
      </c>
      <c r="R4130" t="s">
        <v>4541</v>
      </c>
      <c r="S4130" t="s">
        <v>4542</v>
      </c>
    </row>
    <row r="4131" spans="1:19" x14ac:dyDescent="0.25">
      <c r="A4131" t="s">
        <v>30</v>
      </c>
      <c r="B4131" t="s">
        <v>31</v>
      </c>
      <c r="C4131" t="s">
        <v>32</v>
      </c>
      <c r="D4131" t="s">
        <v>584</v>
      </c>
      <c r="E4131" t="s">
        <v>585</v>
      </c>
      <c r="F4131" t="s">
        <v>35</v>
      </c>
      <c r="G4131" t="s">
        <v>35</v>
      </c>
      <c r="H4131" t="s">
        <v>35</v>
      </c>
      <c r="J4131" t="s">
        <v>4593</v>
      </c>
      <c r="K4131" t="s">
        <v>1092</v>
      </c>
      <c r="M4131">
        <v>4.9050000000000002</v>
      </c>
      <c r="N4131">
        <v>451</v>
      </c>
      <c r="O4131" t="s">
        <v>294</v>
      </c>
      <c r="Q4131" t="s">
        <v>2102</v>
      </c>
      <c r="R4131" t="s">
        <v>610</v>
      </c>
      <c r="S4131" t="s">
        <v>539</v>
      </c>
    </row>
    <row r="4132" spans="1:19" x14ac:dyDescent="0.25">
      <c r="A4132" t="s">
        <v>59</v>
      </c>
      <c r="B4132" t="s">
        <v>31</v>
      </c>
      <c r="C4132" t="s">
        <v>32</v>
      </c>
      <c r="D4132" t="s">
        <v>584</v>
      </c>
      <c r="E4132" t="s">
        <v>585</v>
      </c>
      <c r="F4132" t="s">
        <v>35</v>
      </c>
      <c r="G4132" t="s">
        <v>35</v>
      </c>
      <c r="H4132" t="s">
        <v>35</v>
      </c>
      <c r="J4132" t="s">
        <v>4593</v>
      </c>
      <c r="K4132" t="s">
        <v>1092</v>
      </c>
      <c r="M4132">
        <v>6.84</v>
      </c>
      <c r="N4132">
        <v>285</v>
      </c>
      <c r="O4132" t="s">
        <v>5</v>
      </c>
      <c r="Q4132" t="s">
        <v>1687</v>
      </c>
      <c r="R4132" t="s">
        <v>610</v>
      </c>
      <c r="S4132" t="s">
        <v>539</v>
      </c>
    </row>
    <row r="4133" spans="1:19" x14ac:dyDescent="0.25">
      <c r="A4133" t="s">
        <v>44</v>
      </c>
      <c r="B4133" t="s">
        <v>51</v>
      </c>
      <c r="C4133" t="s">
        <v>32</v>
      </c>
      <c r="D4133" t="s">
        <v>584</v>
      </c>
      <c r="E4133" t="s">
        <v>585</v>
      </c>
      <c r="F4133" t="s">
        <v>35</v>
      </c>
      <c r="G4133" t="s">
        <v>35</v>
      </c>
      <c r="H4133" t="s">
        <v>35</v>
      </c>
      <c r="J4133" t="s">
        <v>4593</v>
      </c>
      <c r="K4133" t="s">
        <v>1092</v>
      </c>
      <c r="M4133">
        <v>0.8</v>
      </c>
      <c r="N4133">
        <v>500</v>
      </c>
      <c r="O4133" t="s">
        <v>294</v>
      </c>
      <c r="Q4133" t="s">
        <v>2051</v>
      </c>
      <c r="R4133" t="s">
        <v>4571</v>
      </c>
      <c r="S4133" t="s">
        <v>628</v>
      </c>
    </row>
    <row r="4134" spans="1:19" x14ac:dyDescent="0.25">
      <c r="A4134" t="s">
        <v>30</v>
      </c>
      <c r="B4134" t="s">
        <v>31</v>
      </c>
      <c r="C4134" t="s">
        <v>32</v>
      </c>
      <c r="D4134" t="s">
        <v>584</v>
      </c>
      <c r="E4134" t="s">
        <v>585</v>
      </c>
      <c r="F4134" t="s">
        <v>35</v>
      </c>
      <c r="G4134" t="s">
        <v>35</v>
      </c>
      <c r="H4134" t="s">
        <v>35</v>
      </c>
      <c r="J4134" t="s">
        <v>4593</v>
      </c>
      <c r="K4134" t="s">
        <v>1092</v>
      </c>
      <c r="M4134">
        <v>5.5350000000000001</v>
      </c>
      <c r="N4134">
        <v>264</v>
      </c>
      <c r="O4134" t="s">
        <v>5</v>
      </c>
      <c r="Q4134" t="s">
        <v>1721</v>
      </c>
      <c r="R4134" t="s">
        <v>610</v>
      </c>
      <c r="S4134" t="s">
        <v>539</v>
      </c>
    </row>
    <row r="4135" spans="1:19" x14ac:dyDescent="0.25">
      <c r="A4135" t="s">
        <v>59</v>
      </c>
      <c r="B4135" t="s">
        <v>60</v>
      </c>
      <c r="C4135" t="s">
        <v>32</v>
      </c>
      <c r="D4135" t="s">
        <v>584</v>
      </c>
      <c r="E4135" t="s">
        <v>585</v>
      </c>
      <c r="F4135" t="s">
        <v>35</v>
      </c>
      <c r="G4135" t="s">
        <v>35</v>
      </c>
      <c r="H4135" t="s">
        <v>35</v>
      </c>
      <c r="J4135" t="s">
        <v>4594</v>
      </c>
      <c r="K4135" t="s">
        <v>1092</v>
      </c>
      <c r="M4135">
        <v>0.25</v>
      </c>
      <c r="N4135">
        <v>280</v>
      </c>
      <c r="O4135" t="s">
        <v>5</v>
      </c>
      <c r="Q4135" t="s">
        <v>4595</v>
      </c>
      <c r="R4135" t="s">
        <v>4545</v>
      </c>
      <c r="S4135" t="s">
        <v>586</v>
      </c>
    </row>
    <row r="4136" spans="1:19" x14ac:dyDescent="0.25">
      <c r="A4136" t="s">
        <v>59</v>
      </c>
      <c r="B4136" t="s">
        <v>60</v>
      </c>
      <c r="C4136" t="s">
        <v>32</v>
      </c>
      <c r="D4136" t="s">
        <v>584</v>
      </c>
      <c r="E4136" t="s">
        <v>592</v>
      </c>
      <c r="F4136" t="s">
        <v>35</v>
      </c>
      <c r="G4136" t="s">
        <v>35</v>
      </c>
      <c r="H4136" t="s">
        <v>35</v>
      </c>
      <c r="J4136" t="s">
        <v>4596</v>
      </c>
      <c r="K4136" t="s">
        <v>1092</v>
      </c>
      <c r="M4136">
        <v>0.25</v>
      </c>
      <c r="N4136">
        <v>1986</v>
      </c>
      <c r="O4136" t="s">
        <v>575</v>
      </c>
      <c r="Q4136" t="s">
        <v>4597</v>
      </c>
      <c r="R4136" t="s">
        <v>4598</v>
      </c>
      <c r="S4136" t="s">
        <v>596</v>
      </c>
    </row>
    <row r="4137" spans="1:19" x14ac:dyDescent="0.25">
      <c r="A4137" t="s">
        <v>59</v>
      </c>
      <c r="B4137" t="s">
        <v>60</v>
      </c>
      <c r="C4137" t="s">
        <v>32</v>
      </c>
      <c r="D4137" t="s">
        <v>584</v>
      </c>
      <c r="E4137" t="s">
        <v>592</v>
      </c>
      <c r="F4137" t="s">
        <v>35</v>
      </c>
      <c r="G4137" t="s">
        <v>35</v>
      </c>
      <c r="H4137" t="s">
        <v>35</v>
      </c>
      <c r="J4137" t="s">
        <v>4599</v>
      </c>
      <c r="K4137" t="s">
        <v>1092</v>
      </c>
      <c r="M4137">
        <v>0.25</v>
      </c>
      <c r="N4137">
        <v>69</v>
      </c>
      <c r="O4137" t="s">
        <v>61</v>
      </c>
      <c r="Q4137" t="s">
        <v>139</v>
      </c>
      <c r="R4137" t="s">
        <v>4459</v>
      </c>
      <c r="S4137" t="s">
        <v>4460</v>
      </c>
    </row>
    <row r="4138" spans="1:19" x14ac:dyDescent="0.25">
      <c r="A4138" t="s">
        <v>59</v>
      </c>
      <c r="B4138" t="s">
        <v>60</v>
      </c>
      <c r="C4138" t="s">
        <v>32</v>
      </c>
      <c r="D4138" t="s">
        <v>584</v>
      </c>
      <c r="E4138" t="s">
        <v>592</v>
      </c>
      <c r="F4138" t="s">
        <v>35</v>
      </c>
      <c r="G4138" t="s">
        <v>35</v>
      </c>
      <c r="H4138" t="s">
        <v>35</v>
      </c>
      <c r="J4138" t="s">
        <v>4600</v>
      </c>
      <c r="K4138" t="s">
        <v>1092</v>
      </c>
      <c r="M4138">
        <v>4.6500000000000004</v>
      </c>
      <c r="N4138">
        <v>81</v>
      </c>
      <c r="O4138" t="s">
        <v>61</v>
      </c>
      <c r="Q4138" t="s">
        <v>527</v>
      </c>
      <c r="R4138" t="s">
        <v>631</v>
      </c>
      <c r="S4138" t="s">
        <v>632</v>
      </c>
    </row>
    <row r="4139" spans="1:19" x14ac:dyDescent="0.25">
      <c r="A4139" t="s">
        <v>59</v>
      </c>
      <c r="B4139" t="s">
        <v>60</v>
      </c>
      <c r="C4139" t="s">
        <v>32</v>
      </c>
      <c r="D4139" t="s">
        <v>584</v>
      </c>
      <c r="E4139" t="s">
        <v>592</v>
      </c>
      <c r="F4139" t="s">
        <v>35</v>
      </c>
      <c r="G4139" t="s">
        <v>35</v>
      </c>
      <c r="H4139" t="s">
        <v>35</v>
      </c>
      <c r="J4139" t="s">
        <v>4601</v>
      </c>
      <c r="K4139" t="s">
        <v>1092</v>
      </c>
      <c r="M4139">
        <v>1.6</v>
      </c>
      <c r="N4139">
        <v>32</v>
      </c>
      <c r="O4139" t="s">
        <v>52</v>
      </c>
      <c r="Q4139" t="s">
        <v>547</v>
      </c>
      <c r="R4139" t="s">
        <v>4598</v>
      </c>
      <c r="S4139" t="s">
        <v>596</v>
      </c>
    </row>
    <row r="4140" spans="1:19" x14ac:dyDescent="0.25">
      <c r="A4140" t="s">
        <v>59</v>
      </c>
      <c r="B4140" t="s">
        <v>31</v>
      </c>
      <c r="C4140" t="s">
        <v>32</v>
      </c>
      <c r="D4140" t="s">
        <v>584</v>
      </c>
      <c r="E4140" t="s">
        <v>592</v>
      </c>
      <c r="F4140" t="s">
        <v>35</v>
      </c>
      <c r="G4140" t="s">
        <v>35</v>
      </c>
      <c r="H4140" t="s">
        <v>35</v>
      </c>
      <c r="J4140" t="s">
        <v>4602</v>
      </c>
      <c r="K4140" t="s">
        <v>1092</v>
      </c>
      <c r="M4140">
        <v>11.025</v>
      </c>
      <c r="N4140">
        <v>131</v>
      </c>
      <c r="O4140" t="s">
        <v>38</v>
      </c>
      <c r="Q4140" t="s">
        <v>646</v>
      </c>
      <c r="R4140" t="s">
        <v>610</v>
      </c>
      <c r="S4140" t="s">
        <v>539</v>
      </c>
    </row>
    <row r="4141" spans="1:19" x14ac:dyDescent="0.25">
      <c r="A4141" t="s">
        <v>44</v>
      </c>
      <c r="B4141" t="s">
        <v>3</v>
      </c>
      <c r="C4141" t="s">
        <v>32</v>
      </c>
      <c r="D4141" t="s">
        <v>584</v>
      </c>
      <c r="E4141" t="s">
        <v>592</v>
      </c>
      <c r="F4141" t="s">
        <v>35</v>
      </c>
      <c r="G4141" t="s">
        <v>35</v>
      </c>
      <c r="H4141" t="s">
        <v>35</v>
      </c>
      <c r="J4141" t="s">
        <v>4602</v>
      </c>
      <c r="K4141" t="s">
        <v>1092</v>
      </c>
      <c r="M4141">
        <v>4.25</v>
      </c>
      <c r="N4141">
        <v>572</v>
      </c>
      <c r="O4141" t="s">
        <v>575</v>
      </c>
      <c r="Q4141" t="s">
        <v>4603</v>
      </c>
      <c r="R4141" t="s">
        <v>4604</v>
      </c>
      <c r="S4141" t="s">
        <v>4605</v>
      </c>
    </row>
    <row r="4142" spans="1:19" x14ac:dyDescent="0.25">
      <c r="A4142" t="s">
        <v>30</v>
      </c>
      <c r="B4142" t="s">
        <v>31</v>
      </c>
      <c r="C4142" t="s">
        <v>32</v>
      </c>
      <c r="D4142" t="s">
        <v>584</v>
      </c>
      <c r="E4142" t="s">
        <v>592</v>
      </c>
      <c r="F4142" t="s">
        <v>35</v>
      </c>
      <c r="G4142" t="s">
        <v>35</v>
      </c>
      <c r="H4142" t="s">
        <v>35</v>
      </c>
      <c r="J4142" t="s">
        <v>4607</v>
      </c>
      <c r="K4142" t="s">
        <v>1092</v>
      </c>
      <c r="M4142">
        <v>4.4999999999999998E-2</v>
      </c>
      <c r="N4142">
        <v>338</v>
      </c>
      <c r="O4142" t="s">
        <v>5</v>
      </c>
      <c r="Q4142" t="s">
        <v>4608</v>
      </c>
      <c r="R4142" t="s">
        <v>631</v>
      </c>
      <c r="S4142" t="s">
        <v>632</v>
      </c>
    </row>
    <row r="4143" spans="1:19" x14ac:dyDescent="0.25">
      <c r="A4143" t="s">
        <v>59</v>
      </c>
      <c r="B4143" t="s">
        <v>31</v>
      </c>
      <c r="C4143" t="s">
        <v>32</v>
      </c>
      <c r="D4143" t="s">
        <v>584</v>
      </c>
      <c r="E4143" t="s">
        <v>592</v>
      </c>
      <c r="F4143" t="s">
        <v>35</v>
      </c>
      <c r="G4143" t="s">
        <v>35</v>
      </c>
      <c r="H4143" t="s">
        <v>35</v>
      </c>
      <c r="J4143" t="s">
        <v>4609</v>
      </c>
      <c r="K4143" t="s">
        <v>1092</v>
      </c>
      <c r="M4143">
        <v>0.72</v>
      </c>
      <c r="N4143">
        <v>72</v>
      </c>
      <c r="O4143" t="s">
        <v>61</v>
      </c>
      <c r="Q4143" t="s">
        <v>63</v>
      </c>
      <c r="R4143" t="s">
        <v>631</v>
      </c>
      <c r="S4143" t="s">
        <v>632</v>
      </c>
    </row>
    <row r="4144" spans="1:19" x14ac:dyDescent="0.25">
      <c r="A4144" t="s">
        <v>30</v>
      </c>
      <c r="B4144" t="s">
        <v>31</v>
      </c>
      <c r="C4144" t="s">
        <v>32</v>
      </c>
      <c r="D4144" t="s">
        <v>584</v>
      </c>
      <c r="E4144" t="s">
        <v>592</v>
      </c>
      <c r="F4144" t="s">
        <v>35</v>
      </c>
      <c r="G4144" t="s">
        <v>35</v>
      </c>
      <c r="H4144" t="s">
        <v>35</v>
      </c>
      <c r="J4144" t="s">
        <v>4610</v>
      </c>
      <c r="K4144" t="s">
        <v>404</v>
      </c>
      <c r="M4144">
        <v>8.01</v>
      </c>
      <c r="N4144">
        <v>264</v>
      </c>
      <c r="O4144" t="s">
        <v>5</v>
      </c>
      <c r="Q4144" t="s">
        <v>1721</v>
      </c>
      <c r="R4144" t="s">
        <v>610</v>
      </c>
      <c r="S4144" t="s">
        <v>539</v>
      </c>
    </row>
    <row r="4145" spans="1:19" x14ac:dyDescent="0.25">
      <c r="A4145" t="s">
        <v>59</v>
      </c>
      <c r="B4145" t="s">
        <v>60</v>
      </c>
      <c r="C4145" t="s">
        <v>32</v>
      </c>
      <c r="D4145" t="s">
        <v>584</v>
      </c>
      <c r="E4145" t="s">
        <v>592</v>
      </c>
      <c r="F4145" t="s">
        <v>35</v>
      </c>
      <c r="G4145" t="s">
        <v>35</v>
      </c>
      <c r="H4145" t="s">
        <v>35</v>
      </c>
      <c r="J4145" t="s">
        <v>4611</v>
      </c>
      <c r="K4145" t="s">
        <v>1092</v>
      </c>
      <c r="M4145">
        <v>2</v>
      </c>
      <c r="N4145">
        <v>41</v>
      </c>
      <c r="O4145" t="s">
        <v>52</v>
      </c>
      <c r="Q4145" t="s">
        <v>249</v>
      </c>
      <c r="R4145" t="s">
        <v>631</v>
      </c>
      <c r="S4145" t="s">
        <v>632</v>
      </c>
    </row>
    <row r="4146" spans="1:19" x14ac:dyDescent="0.25">
      <c r="A4146" t="s">
        <v>59</v>
      </c>
      <c r="B4146" t="s">
        <v>60</v>
      </c>
      <c r="C4146" t="s">
        <v>32</v>
      </c>
      <c r="D4146" t="s">
        <v>584</v>
      </c>
      <c r="E4146" t="s">
        <v>592</v>
      </c>
      <c r="F4146" t="s">
        <v>35</v>
      </c>
      <c r="G4146" t="s">
        <v>35</v>
      </c>
      <c r="H4146" t="s">
        <v>35</v>
      </c>
      <c r="J4146" t="s">
        <v>4612</v>
      </c>
      <c r="K4146" t="s">
        <v>1092</v>
      </c>
      <c r="M4146">
        <v>7.3</v>
      </c>
      <c r="N4146">
        <v>81</v>
      </c>
      <c r="O4146" t="s">
        <v>61</v>
      </c>
      <c r="Q4146" t="s">
        <v>527</v>
      </c>
      <c r="R4146" t="s">
        <v>631</v>
      </c>
      <c r="S4146" t="s">
        <v>632</v>
      </c>
    </row>
    <row r="4147" spans="1:19" x14ac:dyDescent="0.25">
      <c r="A4147" t="s">
        <v>59</v>
      </c>
      <c r="B4147" t="s">
        <v>31</v>
      </c>
      <c r="C4147" t="s">
        <v>32</v>
      </c>
      <c r="D4147" t="s">
        <v>584</v>
      </c>
      <c r="E4147" t="s">
        <v>592</v>
      </c>
      <c r="F4147" t="s">
        <v>35</v>
      </c>
      <c r="G4147" t="s">
        <v>35</v>
      </c>
      <c r="H4147" t="s">
        <v>35</v>
      </c>
      <c r="J4147" t="s">
        <v>4613</v>
      </c>
      <c r="K4147" t="s">
        <v>1092</v>
      </c>
      <c r="M4147">
        <v>4.4999999999999998E-2</v>
      </c>
      <c r="N4147">
        <v>1603</v>
      </c>
      <c r="O4147" t="s">
        <v>575</v>
      </c>
      <c r="Q4147" t="s">
        <v>4614</v>
      </c>
      <c r="R4147" t="s">
        <v>4508</v>
      </c>
      <c r="S4147" t="s">
        <v>4509</v>
      </c>
    </row>
    <row r="4148" spans="1:19" x14ac:dyDescent="0.25">
      <c r="A4148" t="s">
        <v>44</v>
      </c>
      <c r="B4148" t="s">
        <v>3</v>
      </c>
      <c r="C4148" t="s">
        <v>32</v>
      </c>
      <c r="D4148" t="s">
        <v>584</v>
      </c>
      <c r="E4148" t="s">
        <v>592</v>
      </c>
      <c r="F4148" t="s">
        <v>35</v>
      </c>
      <c r="G4148" t="s">
        <v>35</v>
      </c>
      <c r="H4148" t="s">
        <v>35</v>
      </c>
      <c r="J4148" t="s">
        <v>4615</v>
      </c>
      <c r="K4148" t="s">
        <v>1092</v>
      </c>
      <c r="M4148">
        <v>9.75</v>
      </c>
      <c r="N4148">
        <v>450</v>
      </c>
      <c r="O4148" t="s">
        <v>294</v>
      </c>
      <c r="Q4148" t="s">
        <v>4616</v>
      </c>
      <c r="R4148" t="s">
        <v>4604</v>
      </c>
      <c r="S4148" t="s">
        <v>4605</v>
      </c>
    </row>
    <row r="4149" spans="1:19" x14ac:dyDescent="0.25">
      <c r="A4149" t="s">
        <v>59</v>
      </c>
      <c r="B4149" t="s">
        <v>31</v>
      </c>
      <c r="C4149" t="s">
        <v>32</v>
      </c>
      <c r="D4149" t="s">
        <v>584</v>
      </c>
      <c r="E4149" t="s">
        <v>592</v>
      </c>
      <c r="F4149" t="s">
        <v>35</v>
      </c>
      <c r="G4149" t="s">
        <v>35</v>
      </c>
      <c r="H4149" t="s">
        <v>35</v>
      </c>
      <c r="J4149" t="s">
        <v>4617</v>
      </c>
      <c r="K4149" t="s">
        <v>1092</v>
      </c>
      <c r="M4149">
        <v>0.67500000000000004</v>
      </c>
      <c r="N4149">
        <v>72</v>
      </c>
      <c r="O4149" t="s">
        <v>61</v>
      </c>
      <c r="Q4149" t="s">
        <v>63</v>
      </c>
      <c r="R4149" t="s">
        <v>631</v>
      </c>
      <c r="S4149" t="s">
        <v>632</v>
      </c>
    </row>
    <row r="4150" spans="1:19" x14ac:dyDescent="0.25">
      <c r="A4150" t="s">
        <v>59</v>
      </c>
      <c r="B4150" t="s">
        <v>60</v>
      </c>
      <c r="C4150" t="s">
        <v>32</v>
      </c>
      <c r="D4150" t="s">
        <v>584</v>
      </c>
      <c r="E4150" t="s">
        <v>592</v>
      </c>
      <c r="F4150" t="s">
        <v>35</v>
      </c>
      <c r="G4150" t="s">
        <v>35</v>
      </c>
      <c r="H4150" t="s">
        <v>35</v>
      </c>
      <c r="J4150" t="s">
        <v>4618</v>
      </c>
      <c r="K4150" t="s">
        <v>1092</v>
      </c>
      <c r="M4150">
        <v>0.5</v>
      </c>
      <c r="N4150">
        <v>59</v>
      </c>
      <c r="O4150" t="s">
        <v>52</v>
      </c>
      <c r="Q4150" t="s">
        <v>84</v>
      </c>
      <c r="R4150" t="s">
        <v>4444</v>
      </c>
      <c r="S4150" t="s">
        <v>593</v>
      </c>
    </row>
    <row r="4151" spans="1:19" x14ac:dyDescent="0.25">
      <c r="A4151" t="s">
        <v>59</v>
      </c>
      <c r="B4151" t="s">
        <v>60</v>
      </c>
      <c r="C4151" t="s">
        <v>32</v>
      </c>
      <c r="D4151" t="s">
        <v>584</v>
      </c>
      <c r="E4151" t="s">
        <v>592</v>
      </c>
      <c r="F4151" t="s">
        <v>35</v>
      </c>
      <c r="G4151" t="s">
        <v>35</v>
      </c>
      <c r="H4151" t="s">
        <v>35</v>
      </c>
      <c r="J4151" t="s">
        <v>4619</v>
      </c>
      <c r="K4151" t="s">
        <v>1092</v>
      </c>
      <c r="M4151">
        <v>1</v>
      </c>
      <c r="N4151">
        <v>501</v>
      </c>
      <c r="O4151" t="s">
        <v>294</v>
      </c>
      <c r="Q4151" t="s">
        <v>4620</v>
      </c>
      <c r="R4151" t="s">
        <v>4499</v>
      </c>
      <c r="S4151" t="s">
        <v>4500</v>
      </c>
    </row>
    <row r="4152" spans="1:19" x14ac:dyDescent="0.25">
      <c r="A4152" t="s">
        <v>59</v>
      </c>
      <c r="B4152" t="s">
        <v>60</v>
      </c>
      <c r="C4152" t="s">
        <v>32</v>
      </c>
      <c r="D4152" t="s">
        <v>584</v>
      </c>
      <c r="E4152" t="s">
        <v>592</v>
      </c>
      <c r="F4152" t="s">
        <v>35</v>
      </c>
      <c r="G4152" t="s">
        <v>35</v>
      </c>
      <c r="H4152" t="s">
        <v>35</v>
      </c>
      <c r="J4152" t="s">
        <v>4621</v>
      </c>
      <c r="K4152" t="s">
        <v>1092</v>
      </c>
      <c r="M4152">
        <v>1.5</v>
      </c>
      <c r="N4152">
        <v>69</v>
      </c>
      <c r="O4152" t="s">
        <v>61</v>
      </c>
      <c r="Q4152" t="s">
        <v>139</v>
      </c>
      <c r="R4152" t="s">
        <v>4459</v>
      </c>
      <c r="S4152" t="s">
        <v>4460</v>
      </c>
    </row>
    <row r="4153" spans="1:19" x14ac:dyDescent="0.25">
      <c r="A4153" t="s">
        <v>59</v>
      </c>
      <c r="B4153" t="s">
        <v>31</v>
      </c>
      <c r="C4153" t="s">
        <v>32</v>
      </c>
      <c r="D4153" t="s">
        <v>584</v>
      </c>
      <c r="E4153" t="s">
        <v>592</v>
      </c>
      <c r="F4153" t="s">
        <v>35</v>
      </c>
      <c r="G4153" t="s">
        <v>35</v>
      </c>
      <c r="H4153" t="s">
        <v>35</v>
      </c>
      <c r="J4153" t="s">
        <v>4622</v>
      </c>
      <c r="K4153" t="s">
        <v>1092</v>
      </c>
      <c r="M4153">
        <v>0.45</v>
      </c>
      <c r="N4153">
        <v>132</v>
      </c>
      <c r="O4153" t="s">
        <v>38</v>
      </c>
      <c r="Q4153" t="s">
        <v>2901</v>
      </c>
      <c r="R4153" t="s">
        <v>610</v>
      </c>
      <c r="S4153" t="s">
        <v>539</v>
      </c>
    </row>
    <row r="4154" spans="1:19" x14ac:dyDescent="0.25">
      <c r="A4154" t="s">
        <v>59</v>
      </c>
      <c r="B4154" t="s">
        <v>31</v>
      </c>
      <c r="C4154" t="s">
        <v>32</v>
      </c>
      <c r="D4154" t="s">
        <v>584</v>
      </c>
      <c r="E4154" t="s">
        <v>599</v>
      </c>
      <c r="F4154" t="s">
        <v>35</v>
      </c>
      <c r="G4154" t="s">
        <v>35</v>
      </c>
      <c r="H4154" t="s">
        <v>35</v>
      </c>
      <c r="J4154" t="s">
        <v>8244</v>
      </c>
      <c r="K4154" t="s">
        <v>1092</v>
      </c>
      <c r="M4154">
        <v>11.025</v>
      </c>
      <c r="N4154">
        <v>4</v>
      </c>
      <c r="O4154" t="s">
        <v>46</v>
      </c>
      <c r="Q4154" t="s">
        <v>8230</v>
      </c>
      <c r="R4154" t="s">
        <v>610</v>
      </c>
      <c r="S4154" t="s">
        <v>539</v>
      </c>
    </row>
    <row r="4155" spans="1:19" x14ac:dyDescent="0.25">
      <c r="A4155" t="s">
        <v>30</v>
      </c>
      <c r="B4155" t="s">
        <v>31</v>
      </c>
      <c r="C4155" t="s">
        <v>32</v>
      </c>
      <c r="D4155" t="s">
        <v>584</v>
      </c>
      <c r="E4155" t="s">
        <v>599</v>
      </c>
      <c r="F4155" t="s">
        <v>35</v>
      </c>
      <c r="G4155" t="s">
        <v>35</v>
      </c>
      <c r="H4155" t="s">
        <v>35</v>
      </c>
      <c r="J4155" t="s">
        <v>4623</v>
      </c>
      <c r="K4155" t="s">
        <v>1092</v>
      </c>
      <c r="M4155">
        <v>11.025</v>
      </c>
      <c r="N4155">
        <v>49</v>
      </c>
      <c r="O4155" t="s">
        <v>52</v>
      </c>
      <c r="Q4155" t="s">
        <v>219</v>
      </c>
      <c r="R4155" t="s">
        <v>610</v>
      </c>
      <c r="S4155" t="s">
        <v>539</v>
      </c>
    </row>
    <row r="4156" spans="1:19" x14ac:dyDescent="0.25">
      <c r="A4156" t="s">
        <v>30</v>
      </c>
      <c r="B4156" t="s">
        <v>31</v>
      </c>
      <c r="C4156" t="s">
        <v>32</v>
      </c>
      <c r="D4156" t="s">
        <v>584</v>
      </c>
      <c r="E4156" t="s">
        <v>599</v>
      </c>
      <c r="F4156" t="s">
        <v>35</v>
      </c>
      <c r="G4156" t="s">
        <v>35</v>
      </c>
      <c r="H4156" t="s">
        <v>35</v>
      </c>
      <c r="J4156" t="s">
        <v>4623</v>
      </c>
      <c r="K4156" t="s">
        <v>1092</v>
      </c>
      <c r="M4156">
        <v>21.69</v>
      </c>
      <c r="N4156">
        <v>155</v>
      </c>
      <c r="O4156" t="s">
        <v>38</v>
      </c>
      <c r="Q4156" t="s">
        <v>3942</v>
      </c>
      <c r="R4156" t="s">
        <v>610</v>
      </c>
      <c r="S4156" t="s">
        <v>539</v>
      </c>
    </row>
    <row r="4157" spans="1:19" x14ac:dyDescent="0.25">
      <c r="A4157" t="s">
        <v>59</v>
      </c>
      <c r="B4157" t="s">
        <v>60</v>
      </c>
      <c r="C4157" t="s">
        <v>32</v>
      </c>
      <c r="D4157" t="s">
        <v>584</v>
      </c>
      <c r="E4157" t="s">
        <v>599</v>
      </c>
      <c r="F4157" t="s">
        <v>35</v>
      </c>
      <c r="G4157" t="s">
        <v>35</v>
      </c>
      <c r="H4157" t="s">
        <v>35</v>
      </c>
      <c r="J4157" t="s">
        <v>4624</v>
      </c>
      <c r="K4157" t="s">
        <v>1092</v>
      </c>
      <c r="M4157">
        <v>0.81499999999999995</v>
      </c>
      <c r="N4157">
        <v>184</v>
      </c>
      <c r="O4157" t="s">
        <v>5</v>
      </c>
      <c r="Q4157" t="s">
        <v>4625</v>
      </c>
      <c r="R4157" t="s">
        <v>4571</v>
      </c>
      <c r="S4157" t="s">
        <v>628</v>
      </c>
    </row>
    <row r="4158" spans="1:19" x14ac:dyDescent="0.25">
      <c r="A4158" t="s">
        <v>59</v>
      </c>
      <c r="B4158" t="s">
        <v>60</v>
      </c>
      <c r="C4158" t="s">
        <v>32</v>
      </c>
      <c r="D4158" t="s">
        <v>584</v>
      </c>
      <c r="E4158" t="s">
        <v>599</v>
      </c>
      <c r="F4158" t="s">
        <v>35</v>
      </c>
      <c r="G4158" t="s">
        <v>35</v>
      </c>
      <c r="H4158" t="s">
        <v>35</v>
      </c>
      <c r="J4158" t="s">
        <v>4627</v>
      </c>
      <c r="K4158" t="s">
        <v>1092</v>
      </c>
      <c r="M4158">
        <v>5</v>
      </c>
      <c r="N4158">
        <v>75</v>
      </c>
      <c r="O4158" t="s">
        <v>61</v>
      </c>
      <c r="Q4158" t="s">
        <v>805</v>
      </c>
      <c r="R4158" t="s">
        <v>4571</v>
      </c>
      <c r="S4158" t="s">
        <v>628</v>
      </c>
    </row>
    <row r="4159" spans="1:19" x14ac:dyDescent="0.25">
      <c r="A4159" t="s">
        <v>59</v>
      </c>
      <c r="B4159" t="s">
        <v>60</v>
      </c>
      <c r="C4159" t="s">
        <v>32</v>
      </c>
      <c r="D4159" t="s">
        <v>584</v>
      </c>
      <c r="E4159" t="s">
        <v>599</v>
      </c>
      <c r="F4159" t="s">
        <v>35</v>
      </c>
      <c r="G4159" t="s">
        <v>35</v>
      </c>
      <c r="H4159" t="s">
        <v>35</v>
      </c>
      <c r="J4159" t="s">
        <v>4628</v>
      </c>
      <c r="K4159" t="s">
        <v>1092</v>
      </c>
      <c r="M4159">
        <v>3.25</v>
      </c>
      <c r="N4159">
        <v>12</v>
      </c>
      <c r="O4159" t="s">
        <v>46</v>
      </c>
      <c r="Q4159" t="s">
        <v>1865</v>
      </c>
      <c r="R4159" t="s">
        <v>637</v>
      </c>
      <c r="S4159" t="s">
        <v>602</v>
      </c>
    </row>
    <row r="4160" spans="1:19" x14ac:dyDescent="0.25">
      <c r="A4160" t="s">
        <v>30</v>
      </c>
      <c r="B4160" t="s">
        <v>31</v>
      </c>
      <c r="C4160" t="s">
        <v>32</v>
      </c>
      <c r="D4160" t="s">
        <v>584</v>
      </c>
      <c r="E4160" t="s">
        <v>599</v>
      </c>
      <c r="F4160" t="s">
        <v>35</v>
      </c>
      <c r="G4160" t="s">
        <v>35</v>
      </c>
      <c r="H4160" t="s">
        <v>35</v>
      </c>
      <c r="J4160" t="s">
        <v>4629</v>
      </c>
      <c r="K4160" t="s">
        <v>1092</v>
      </c>
      <c r="M4160">
        <v>4.2750000000000004</v>
      </c>
      <c r="N4160">
        <v>95</v>
      </c>
      <c r="O4160" t="s">
        <v>106</v>
      </c>
      <c r="Q4160" t="s">
        <v>724</v>
      </c>
      <c r="R4160" t="s">
        <v>610</v>
      </c>
      <c r="S4160" t="s">
        <v>539</v>
      </c>
    </row>
    <row r="4161" spans="1:19" x14ac:dyDescent="0.25">
      <c r="A4161" t="s">
        <v>44</v>
      </c>
      <c r="B4161" t="s">
        <v>3</v>
      </c>
      <c r="C4161" t="s">
        <v>32</v>
      </c>
      <c r="D4161" t="s">
        <v>584</v>
      </c>
      <c r="E4161" t="s">
        <v>599</v>
      </c>
      <c r="F4161" t="s">
        <v>35</v>
      </c>
      <c r="G4161" t="s">
        <v>35</v>
      </c>
      <c r="H4161" t="s">
        <v>35</v>
      </c>
      <c r="J4161" t="s">
        <v>4630</v>
      </c>
      <c r="K4161" t="s">
        <v>1092</v>
      </c>
      <c r="M4161">
        <v>2</v>
      </c>
      <c r="N4161">
        <v>215</v>
      </c>
      <c r="O4161" t="s">
        <v>5</v>
      </c>
      <c r="Q4161" t="s">
        <v>3122</v>
      </c>
      <c r="R4161" t="s">
        <v>4632</v>
      </c>
      <c r="S4161" t="s">
        <v>4633</v>
      </c>
    </row>
    <row r="4162" spans="1:19" x14ac:dyDescent="0.25">
      <c r="A4162" t="s">
        <v>30</v>
      </c>
      <c r="B4162" t="s">
        <v>31</v>
      </c>
      <c r="C4162" t="s">
        <v>32</v>
      </c>
      <c r="D4162" t="s">
        <v>584</v>
      </c>
      <c r="E4162" t="s">
        <v>599</v>
      </c>
      <c r="F4162" t="s">
        <v>35</v>
      </c>
      <c r="G4162" t="s">
        <v>35</v>
      </c>
      <c r="H4162" t="s">
        <v>35</v>
      </c>
      <c r="J4162" t="s">
        <v>4630</v>
      </c>
      <c r="K4162" t="s">
        <v>1092</v>
      </c>
      <c r="M4162">
        <v>10.574999999999999</v>
      </c>
      <c r="N4162">
        <v>94</v>
      </c>
      <c r="O4162" t="s">
        <v>106</v>
      </c>
      <c r="Q4162" t="s">
        <v>394</v>
      </c>
      <c r="R4162" t="s">
        <v>610</v>
      </c>
      <c r="S4162" t="s">
        <v>539</v>
      </c>
    </row>
    <row r="4163" spans="1:19" x14ac:dyDescent="0.25">
      <c r="A4163" t="s">
        <v>44</v>
      </c>
      <c r="B4163" t="s">
        <v>3</v>
      </c>
      <c r="C4163" t="s">
        <v>32</v>
      </c>
      <c r="D4163" t="s">
        <v>584</v>
      </c>
      <c r="E4163" t="s">
        <v>599</v>
      </c>
      <c r="F4163" t="s">
        <v>35</v>
      </c>
      <c r="G4163" t="s">
        <v>35</v>
      </c>
      <c r="H4163" t="s">
        <v>35</v>
      </c>
      <c r="J4163" t="s">
        <v>4630</v>
      </c>
      <c r="K4163" t="s">
        <v>1092</v>
      </c>
      <c r="M4163">
        <v>2</v>
      </c>
      <c r="N4163">
        <v>186</v>
      </c>
      <c r="O4163" t="s">
        <v>5</v>
      </c>
      <c r="Q4163" t="s">
        <v>1363</v>
      </c>
      <c r="R4163" t="s">
        <v>4632</v>
      </c>
      <c r="S4163" t="s">
        <v>4633</v>
      </c>
    </row>
    <row r="4164" spans="1:19" x14ac:dyDescent="0.25">
      <c r="A4164" t="s">
        <v>30</v>
      </c>
      <c r="B4164" t="s">
        <v>31</v>
      </c>
      <c r="C4164" t="s">
        <v>32</v>
      </c>
      <c r="D4164" t="s">
        <v>584</v>
      </c>
      <c r="E4164" t="s">
        <v>599</v>
      </c>
      <c r="F4164" t="s">
        <v>35</v>
      </c>
      <c r="G4164" t="s">
        <v>35</v>
      </c>
      <c r="H4164" t="s">
        <v>35</v>
      </c>
      <c r="J4164" t="s">
        <v>4634</v>
      </c>
      <c r="K4164" t="s">
        <v>1092</v>
      </c>
      <c r="M4164">
        <v>0.72</v>
      </c>
      <c r="N4164">
        <v>49</v>
      </c>
      <c r="O4164" t="s">
        <v>52</v>
      </c>
      <c r="Q4164" t="s">
        <v>219</v>
      </c>
      <c r="R4164" t="s">
        <v>610</v>
      </c>
      <c r="S4164" t="s">
        <v>539</v>
      </c>
    </row>
    <row r="4165" spans="1:19" x14ac:dyDescent="0.25">
      <c r="A4165" t="s">
        <v>30</v>
      </c>
      <c r="B4165" t="s">
        <v>31</v>
      </c>
      <c r="C4165" t="s">
        <v>32</v>
      </c>
      <c r="D4165" t="s">
        <v>584</v>
      </c>
      <c r="E4165" t="s">
        <v>599</v>
      </c>
      <c r="F4165" t="s">
        <v>35</v>
      </c>
      <c r="G4165" t="s">
        <v>35</v>
      </c>
      <c r="H4165" t="s">
        <v>35</v>
      </c>
      <c r="J4165" t="s">
        <v>4635</v>
      </c>
      <c r="K4165" t="s">
        <v>1092</v>
      </c>
      <c r="M4165">
        <v>5.5350000000000001</v>
      </c>
      <c r="N4165">
        <v>49</v>
      </c>
      <c r="O4165" t="s">
        <v>52</v>
      </c>
      <c r="Q4165" t="s">
        <v>219</v>
      </c>
      <c r="R4165" t="s">
        <v>610</v>
      </c>
      <c r="S4165" t="s">
        <v>539</v>
      </c>
    </row>
    <row r="4166" spans="1:19" x14ac:dyDescent="0.25">
      <c r="A4166" t="s">
        <v>30</v>
      </c>
      <c r="B4166" t="s">
        <v>31</v>
      </c>
      <c r="C4166" t="s">
        <v>32</v>
      </c>
      <c r="D4166" t="s">
        <v>584</v>
      </c>
      <c r="E4166" t="s">
        <v>599</v>
      </c>
      <c r="F4166" t="s">
        <v>35</v>
      </c>
      <c r="G4166" t="s">
        <v>35</v>
      </c>
      <c r="H4166" t="s">
        <v>35</v>
      </c>
      <c r="J4166" t="s">
        <v>4635</v>
      </c>
      <c r="K4166" t="s">
        <v>1092</v>
      </c>
      <c r="M4166">
        <v>6.6150000000000002</v>
      </c>
      <c r="N4166">
        <v>228</v>
      </c>
      <c r="O4166" t="s">
        <v>5</v>
      </c>
      <c r="Q4166" t="s">
        <v>1979</v>
      </c>
      <c r="R4166" t="s">
        <v>610</v>
      </c>
      <c r="S4166" t="s">
        <v>539</v>
      </c>
    </row>
    <row r="4167" spans="1:19" x14ac:dyDescent="0.25">
      <c r="A4167" t="s">
        <v>59</v>
      </c>
      <c r="B4167" t="s">
        <v>60</v>
      </c>
      <c r="C4167" t="s">
        <v>32</v>
      </c>
      <c r="D4167" t="s">
        <v>584</v>
      </c>
      <c r="E4167" t="s">
        <v>599</v>
      </c>
      <c r="F4167" t="s">
        <v>35</v>
      </c>
      <c r="G4167" t="s">
        <v>35</v>
      </c>
      <c r="H4167" t="s">
        <v>35</v>
      </c>
      <c r="J4167" t="s">
        <v>4635</v>
      </c>
      <c r="K4167" t="s">
        <v>1092</v>
      </c>
      <c r="M4167">
        <v>4.75</v>
      </c>
      <c r="N4167">
        <v>75</v>
      </c>
      <c r="O4167" t="s">
        <v>61</v>
      </c>
      <c r="Q4167" t="s">
        <v>805</v>
      </c>
      <c r="R4167" t="s">
        <v>4571</v>
      </c>
      <c r="S4167" t="s">
        <v>628</v>
      </c>
    </row>
    <row r="4168" spans="1:19" x14ac:dyDescent="0.25">
      <c r="A4168" t="s">
        <v>30</v>
      </c>
      <c r="B4168" t="s">
        <v>31</v>
      </c>
      <c r="C4168" t="s">
        <v>32</v>
      </c>
      <c r="D4168" t="s">
        <v>584</v>
      </c>
      <c r="E4168" t="s">
        <v>599</v>
      </c>
      <c r="F4168" t="s">
        <v>35</v>
      </c>
      <c r="G4168" t="s">
        <v>35</v>
      </c>
      <c r="H4168" t="s">
        <v>35</v>
      </c>
      <c r="J4168" t="s">
        <v>4636</v>
      </c>
      <c r="K4168" t="s">
        <v>1092</v>
      </c>
      <c r="M4168">
        <v>4.32</v>
      </c>
      <c r="N4168">
        <v>49</v>
      </c>
      <c r="O4168" t="s">
        <v>52</v>
      </c>
      <c r="Q4168" t="s">
        <v>219</v>
      </c>
      <c r="R4168" t="s">
        <v>610</v>
      </c>
      <c r="S4168" t="s">
        <v>539</v>
      </c>
    </row>
    <row r="4169" spans="1:19" x14ac:dyDescent="0.25">
      <c r="A4169" t="s">
        <v>59</v>
      </c>
      <c r="B4169" t="s">
        <v>60</v>
      </c>
      <c r="C4169" t="s">
        <v>32</v>
      </c>
      <c r="D4169" t="s">
        <v>584</v>
      </c>
      <c r="E4169" t="s">
        <v>599</v>
      </c>
      <c r="F4169" t="s">
        <v>35</v>
      </c>
      <c r="G4169" t="s">
        <v>35</v>
      </c>
      <c r="H4169" t="s">
        <v>35</v>
      </c>
      <c r="J4169" t="s">
        <v>4637</v>
      </c>
      <c r="K4169" t="s">
        <v>404</v>
      </c>
      <c r="M4169">
        <v>0.3</v>
      </c>
      <c r="N4169">
        <v>1376</v>
      </c>
      <c r="O4169" t="s">
        <v>575</v>
      </c>
      <c r="Q4169" t="s">
        <v>4638</v>
      </c>
      <c r="R4169" t="s">
        <v>4571</v>
      </c>
      <c r="S4169" t="s">
        <v>628</v>
      </c>
    </row>
    <row r="4170" spans="1:19" x14ac:dyDescent="0.25">
      <c r="A4170" t="s">
        <v>30</v>
      </c>
      <c r="B4170" t="s">
        <v>31</v>
      </c>
      <c r="C4170" t="s">
        <v>32</v>
      </c>
      <c r="D4170" t="s">
        <v>584</v>
      </c>
      <c r="E4170" t="s">
        <v>599</v>
      </c>
      <c r="F4170" t="s">
        <v>35</v>
      </c>
      <c r="G4170" t="s">
        <v>35</v>
      </c>
      <c r="H4170" t="s">
        <v>35</v>
      </c>
      <c r="J4170" t="s">
        <v>4637</v>
      </c>
      <c r="K4170" t="s">
        <v>404</v>
      </c>
      <c r="M4170">
        <v>0.315</v>
      </c>
      <c r="N4170">
        <v>1611</v>
      </c>
      <c r="O4170" t="s">
        <v>575</v>
      </c>
      <c r="Q4170" t="s">
        <v>4639</v>
      </c>
      <c r="R4170" t="s">
        <v>4640</v>
      </c>
      <c r="S4170" t="s">
        <v>4641</v>
      </c>
    </row>
    <row r="4171" spans="1:19" x14ac:dyDescent="0.25">
      <c r="A4171" t="s">
        <v>30</v>
      </c>
      <c r="B4171" t="s">
        <v>31</v>
      </c>
      <c r="C4171" t="s">
        <v>32</v>
      </c>
      <c r="D4171" t="s">
        <v>584</v>
      </c>
      <c r="E4171" t="s">
        <v>599</v>
      </c>
      <c r="F4171" t="s">
        <v>35</v>
      </c>
      <c r="G4171" t="s">
        <v>35</v>
      </c>
      <c r="H4171" t="s">
        <v>35</v>
      </c>
      <c r="J4171" t="s">
        <v>4643</v>
      </c>
      <c r="K4171" t="s">
        <v>1092</v>
      </c>
      <c r="M4171">
        <v>1.9350000000000001</v>
      </c>
      <c r="N4171">
        <v>394</v>
      </c>
      <c r="O4171" t="s">
        <v>294</v>
      </c>
      <c r="Q4171" t="s">
        <v>1410</v>
      </c>
      <c r="R4171" t="s">
        <v>610</v>
      </c>
      <c r="S4171" t="s">
        <v>539</v>
      </c>
    </row>
    <row r="4172" spans="1:19" x14ac:dyDescent="0.25">
      <c r="A4172" t="s">
        <v>44</v>
      </c>
      <c r="B4172" t="s">
        <v>3</v>
      </c>
      <c r="C4172" t="s">
        <v>32</v>
      </c>
      <c r="D4172" t="s">
        <v>584</v>
      </c>
      <c r="E4172" t="s">
        <v>599</v>
      </c>
      <c r="F4172" t="s">
        <v>35</v>
      </c>
      <c r="G4172" t="s">
        <v>35</v>
      </c>
      <c r="H4172" t="s">
        <v>35</v>
      </c>
      <c r="J4172" t="s">
        <v>4643</v>
      </c>
      <c r="K4172" t="s">
        <v>1092</v>
      </c>
      <c r="M4172">
        <v>5.5</v>
      </c>
      <c r="N4172">
        <v>505</v>
      </c>
      <c r="O4172" t="s">
        <v>294</v>
      </c>
      <c r="Q4172" t="s">
        <v>3749</v>
      </c>
      <c r="R4172" t="s">
        <v>4644</v>
      </c>
      <c r="S4172" t="s">
        <v>606</v>
      </c>
    </row>
    <row r="4173" spans="1:19" x14ac:dyDescent="0.25">
      <c r="A4173" t="s">
        <v>44</v>
      </c>
      <c r="B4173" t="s">
        <v>51</v>
      </c>
      <c r="C4173" t="s">
        <v>32</v>
      </c>
      <c r="D4173" t="s">
        <v>584</v>
      </c>
      <c r="E4173" t="s">
        <v>599</v>
      </c>
      <c r="F4173" t="s">
        <v>35</v>
      </c>
      <c r="G4173" t="s">
        <v>35</v>
      </c>
      <c r="H4173" t="s">
        <v>35</v>
      </c>
      <c r="J4173" t="s">
        <v>4643</v>
      </c>
      <c r="K4173" t="s">
        <v>1092</v>
      </c>
      <c r="M4173">
        <v>5</v>
      </c>
      <c r="N4173">
        <v>510</v>
      </c>
      <c r="O4173" t="s">
        <v>294</v>
      </c>
      <c r="Q4173" t="s">
        <v>4279</v>
      </c>
      <c r="R4173" t="s">
        <v>4644</v>
      </c>
      <c r="S4173" t="s">
        <v>606</v>
      </c>
    </row>
    <row r="4174" spans="1:19" x14ac:dyDescent="0.25">
      <c r="A4174" t="s">
        <v>30</v>
      </c>
      <c r="B4174" t="s">
        <v>31</v>
      </c>
      <c r="C4174" t="s">
        <v>32</v>
      </c>
      <c r="D4174" t="s">
        <v>584</v>
      </c>
      <c r="E4174" t="s">
        <v>599</v>
      </c>
      <c r="F4174" t="s">
        <v>35</v>
      </c>
      <c r="G4174" t="s">
        <v>35</v>
      </c>
      <c r="H4174" t="s">
        <v>35</v>
      </c>
      <c r="J4174" t="s">
        <v>4643</v>
      </c>
      <c r="K4174" t="s">
        <v>1092</v>
      </c>
      <c r="M4174">
        <v>11.025</v>
      </c>
      <c r="N4174">
        <v>49</v>
      </c>
      <c r="O4174" t="s">
        <v>52</v>
      </c>
      <c r="Q4174" t="s">
        <v>219</v>
      </c>
      <c r="R4174" t="s">
        <v>610</v>
      </c>
      <c r="S4174" t="s">
        <v>539</v>
      </c>
    </row>
    <row r="4175" spans="1:19" x14ac:dyDescent="0.25">
      <c r="A4175" t="s">
        <v>30</v>
      </c>
      <c r="B4175" t="s">
        <v>31</v>
      </c>
      <c r="C4175" t="s">
        <v>32</v>
      </c>
      <c r="D4175" t="s">
        <v>584</v>
      </c>
      <c r="E4175" t="s">
        <v>599</v>
      </c>
      <c r="F4175" t="s">
        <v>35</v>
      </c>
      <c r="G4175" t="s">
        <v>35</v>
      </c>
      <c r="H4175" t="s">
        <v>35</v>
      </c>
      <c r="J4175" t="s">
        <v>4643</v>
      </c>
      <c r="K4175" t="s">
        <v>1092</v>
      </c>
      <c r="M4175">
        <v>5.4</v>
      </c>
      <c r="N4175">
        <v>155</v>
      </c>
      <c r="O4175" t="s">
        <v>38</v>
      </c>
      <c r="Q4175" t="s">
        <v>3942</v>
      </c>
      <c r="R4175" t="s">
        <v>610</v>
      </c>
      <c r="S4175" t="s">
        <v>539</v>
      </c>
    </row>
    <row r="4176" spans="1:19" x14ac:dyDescent="0.25">
      <c r="A4176" t="s">
        <v>44</v>
      </c>
      <c r="B4176" t="s">
        <v>51</v>
      </c>
      <c r="C4176" t="s">
        <v>32</v>
      </c>
      <c r="D4176" t="s">
        <v>584</v>
      </c>
      <c r="E4176" t="s">
        <v>599</v>
      </c>
      <c r="F4176" t="s">
        <v>35</v>
      </c>
      <c r="G4176" t="s">
        <v>35</v>
      </c>
      <c r="H4176" t="s">
        <v>35</v>
      </c>
      <c r="J4176" t="s">
        <v>4643</v>
      </c>
      <c r="K4176" t="s">
        <v>1092</v>
      </c>
      <c r="M4176">
        <v>3.95</v>
      </c>
      <c r="N4176">
        <v>512</v>
      </c>
      <c r="O4176" t="s">
        <v>294</v>
      </c>
      <c r="Q4176" t="s">
        <v>4645</v>
      </c>
      <c r="R4176" t="s">
        <v>610</v>
      </c>
      <c r="S4176" t="s">
        <v>539</v>
      </c>
    </row>
    <row r="4177" spans="1:19" x14ac:dyDescent="0.25">
      <c r="A4177" t="s">
        <v>30</v>
      </c>
      <c r="B4177" t="s">
        <v>31</v>
      </c>
      <c r="C4177" t="s">
        <v>32</v>
      </c>
      <c r="D4177" t="s">
        <v>584</v>
      </c>
      <c r="E4177" t="s">
        <v>599</v>
      </c>
      <c r="F4177" t="s">
        <v>35</v>
      </c>
      <c r="G4177" t="s">
        <v>35</v>
      </c>
      <c r="H4177" t="s">
        <v>35</v>
      </c>
      <c r="J4177" t="s">
        <v>4643</v>
      </c>
      <c r="K4177" t="s">
        <v>1092</v>
      </c>
      <c r="M4177">
        <v>7.4249999999999998</v>
      </c>
      <c r="N4177">
        <v>266</v>
      </c>
      <c r="O4177" t="s">
        <v>5</v>
      </c>
      <c r="Q4177" t="s">
        <v>117</v>
      </c>
      <c r="R4177" t="s">
        <v>610</v>
      </c>
      <c r="S4177" t="s">
        <v>539</v>
      </c>
    </row>
    <row r="4178" spans="1:19" x14ac:dyDescent="0.25">
      <c r="A4178" t="s">
        <v>30</v>
      </c>
      <c r="B4178" t="s">
        <v>31</v>
      </c>
      <c r="C4178" t="s">
        <v>32</v>
      </c>
      <c r="D4178" t="s">
        <v>584</v>
      </c>
      <c r="E4178" t="s">
        <v>599</v>
      </c>
      <c r="F4178" t="s">
        <v>35</v>
      </c>
      <c r="G4178" t="s">
        <v>35</v>
      </c>
      <c r="H4178" t="s">
        <v>35</v>
      </c>
      <c r="J4178" t="s">
        <v>4643</v>
      </c>
      <c r="K4178" t="s">
        <v>1092</v>
      </c>
      <c r="M4178">
        <v>5.625</v>
      </c>
      <c r="N4178">
        <v>338</v>
      </c>
      <c r="O4178" t="s">
        <v>5</v>
      </c>
      <c r="Q4178" t="s">
        <v>4608</v>
      </c>
      <c r="R4178" t="s">
        <v>610</v>
      </c>
      <c r="S4178" t="s">
        <v>539</v>
      </c>
    </row>
    <row r="4179" spans="1:19" x14ac:dyDescent="0.25">
      <c r="A4179" t="s">
        <v>59</v>
      </c>
      <c r="B4179" t="s">
        <v>60</v>
      </c>
      <c r="C4179" t="s">
        <v>32</v>
      </c>
      <c r="D4179" t="s">
        <v>584</v>
      </c>
      <c r="E4179" t="s">
        <v>599</v>
      </c>
      <c r="F4179" t="s">
        <v>35</v>
      </c>
      <c r="G4179" t="s">
        <v>35</v>
      </c>
      <c r="H4179" t="s">
        <v>35</v>
      </c>
      <c r="J4179" t="s">
        <v>4646</v>
      </c>
      <c r="K4179" t="s">
        <v>1092</v>
      </c>
      <c r="M4179">
        <v>0.04</v>
      </c>
      <c r="N4179">
        <v>159</v>
      </c>
      <c r="O4179" t="s">
        <v>38</v>
      </c>
      <c r="Q4179" t="s">
        <v>40</v>
      </c>
      <c r="R4179" t="s">
        <v>4647</v>
      </c>
      <c r="S4179" t="s">
        <v>590</v>
      </c>
    </row>
    <row r="4180" spans="1:19" x14ac:dyDescent="0.25">
      <c r="A4180" t="s">
        <v>59</v>
      </c>
      <c r="B4180" t="s">
        <v>60</v>
      </c>
      <c r="C4180" t="s">
        <v>32</v>
      </c>
      <c r="D4180" t="s">
        <v>584</v>
      </c>
      <c r="E4180" t="s">
        <v>599</v>
      </c>
      <c r="F4180" t="s">
        <v>35</v>
      </c>
      <c r="G4180" t="s">
        <v>35</v>
      </c>
      <c r="H4180" t="s">
        <v>35</v>
      </c>
      <c r="J4180" t="s">
        <v>4648</v>
      </c>
      <c r="K4180" t="s">
        <v>1092</v>
      </c>
      <c r="M4180">
        <v>1</v>
      </c>
      <c r="N4180">
        <v>16</v>
      </c>
      <c r="O4180" t="s">
        <v>46</v>
      </c>
      <c r="Q4180" t="s">
        <v>323</v>
      </c>
      <c r="R4180" t="s">
        <v>4571</v>
      </c>
      <c r="S4180" t="s">
        <v>628</v>
      </c>
    </row>
    <row r="4181" spans="1:19" x14ac:dyDescent="0.25">
      <c r="A4181" t="s">
        <v>59</v>
      </c>
      <c r="B4181" t="s">
        <v>31</v>
      </c>
      <c r="C4181" t="s">
        <v>32</v>
      </c>
      <c r="D4181" t="s">
        <v>584</v>
      </c>
      <c r="E4181" t="s">
        <v>599</v>
      </c>
      <c r="F4181" t="s">
        <v>35</v>
      </c>
      <c r="G4181" t="s">
        <v>35</v>
      </c>
      <c r="H4181" t="s">
        <v>35</v>
      </c>
      <c r="J4181" t="s">
        <v>4649</v>
      </c>
      <c r="K4181" t="s">
        <v>1092</v>
      </c>
      <c r="M4181">
        <v>0.01</v>
      </c>
      <c r="N4181">
        <v>1234</v>
      </c>
      <c r="O4181" t="s">
        <v>575</v>
      </c>
      <c r="Q4181" t="s">
        <v>2186</v>
      </c>
      <c r="R4181" t="s">
        <v>4650</v>
      </c>
      <c r="S4181" t="s">
        <v>4651</v>
      </c>
    </row>
    <row r="4182" spans="1:19" x14ac:dyDescent="0.25">
      <c r="A4182" t="s">
        <v>30</v>
      </c>
      <c r="B4182" t="s">
        <v>31</v>
      </c>
      <c r="C4182" t="s">
        <v>32</v>
      </c>
      <c r="D4182" t="s">
        <v>584</v>
      </c>
      <c r="E4182" t="s">
        <v>599</v>
      </c>
      <c r="F4182" t="s">
        <v>35</v>
      </c>
      <c r="G4182" t="s">
        <v>35</v>
      </c>
      <c r="H4182" t="s">
        <v>35</v>
      </c>
      <c r="J4182" t="s">
        <v>4653</v>
      </c>
      <c r="K4182" t="s">
        <v>1092</v>
      </c>
      <c r="M4182">
        <v>3.15</v>
      </c>
      <c r="N4182">
        <v>133</v>
      </c>
      <c r="O4182" t="s">
        <v>38</v>
      </c>
      <c r="Q4182" t="s">
        <v>68</v>
      </c>
      <c r="R4182" t="s">
        <v>610</v>
      </c>
      <c r="S4182" t="s">
        <v>539</v>
      </c>
    </row>
    <row r="4183" spans="1:19" x14ac:dyDescent="0.25">
      <c r="A4183" t="s">
        <v>30</v>
      </c>
      <c r="B4183" t="s">
        <v>31</v>
      </c>
      <c r="C4183" t="s">
        <v>32</v>
      </c>
      <c r="D4183" t="s">
        <v>584</v>
      </c>
      <c r="E4183" t="s">
        <v>599</v>
      </c>
      <c r="F4183" t="s">
        <v>35</v>
      </c>
      <c r="G4183" t="s">
        <v>35</v>
      </c>
      <c r="H4183" t="s">
        <v>35</v>
      </c>
      <c r="J4183" t="s">
        <v>4654</v>
      </c>
      <c r="K4183" t="s">
        <v>1092</v>
      </c>
      <c r="M4183">
        <v>4.68</v>
      </c>
      <c r="N4183">
        <v>266</v>
      </c>
      <c r="O4183" t="s">
        <v>5</v>
      </c>
      <c r="Q4183" t="s">
        <v>117</v>
      </c>
      <c r="R4183" t="s">
        <v>610</v>
      </c>
      <c r="S4183" t="s">
        <v>539</v>
      </c>
    </row>
    <row r="4184" spans="1:19" x14ac:dyDescent="0.25">
      <c r="A4184" t="s">
        <v>30</v>
      </c>
      <c r="B4184" t="s">
        <v>31</v>
      </c>
      <c r="C4184" t="s">
        <v>32</v>
      </c>
      <c r="D4184" t="s">
        <v>584</v>
      </c>
      <c r="E4184" t="s">
        <v>599</v>
      </c>
      <c r="F4184" t="s">
        <v>35</v>
      </c>
      <c r="G4184" t="s">
        <v>35</v>
      </c>
      <c r="H4184" t="s">
        <v>35</v>
      </c>
      <c r="J4184" t="s">
        <v>4655</v>
      </c>
      <c r="K4184" t="s">
        <v>1092</v>
      </c>
      <c r="M4184">
        <v>3.5550000000000002</v>
      </c>
      <c r="N4184">
        <v>49</v>
      </c>
      <c r="O4184" t="s">
        <v>52</v>
      </c>
      <c r="Q4184" t="s">
        <v>219</v>
      </c>
      <c r="R4184" t="s">
        <v>610</v>
      </c>
      <c r="S4184" t="s">
        <v>539</v>
      </c>
    </row>
    <row r="4185" spans="1:19" x14ac:dyDescent="0.25">
      <c r="A4185" t="s">
        <v>59</v>
      </c>
      <c r="B4185" t="s">
        <v>31</v>
      </c>
      <c r="C4185" t="s">
        <v>32</v>
      </c>
      <c r="D4185" t="s">
        <v>584</v>
      </c>
      <c r="E4185" t="s">
        <v>599</v>
      </c>
      <c r="F4185" t="s">
        <v>35</v>
      </c>
      <c r="G4185" t="s">
        <v>35</v>
      </c>
      <c r="H4185" t="s">
        <v>35</v>
      </c>
      <c r="J4185" t="s">
        <v>4655</v>
      </c>
      <c r="K4185" t="s">
        <v>1092</v>
      </c>
      <c r="M4185">
        <v>0.40500000000000003</v>
      </c>
      <c r="N4185">
        <v>369</v>
      </c>
      <c r="O4185" t="s">
        <v>294</v>
      </c>
      <c r="Q4185" t="s">
        <v>2769</v>
      </c>
      <c r="R4185" t="s">
        <v>610</v>
      </c>
      <c r="S4185" t="s">
        <v>539</v>
      </c>
    </row>
    <row r="4186" spans="1:19" x14ac:dyDescent="0.25">
      <c r="A4186" t="s">
        <v>59</v>
      </c>
      <c r="B4186" t="s">
        <v>60</v>
      </c>
      <c r="C4186" t="s">
        <v>32</v>
      </c>
      <c r="D4186" t="s">
        <v>584</v>
      </c>
      <c r="E4186" t="s">
        <v>599</v>
      </c>
      <c r="F4186" t="s">
        <v>35</v>
      </c>
      <c r="G4186" t="s">
        <v>35</v>
      </c>
      <c r="H4186" t="s">
        <v>35</v>
      </c>
      <c r="J4186" t="s">
        <v>4656</v>
      </c>
      <c r="K4186" t="s">
        <v>1092</v>
      </c>
      <c r="M4186">
        <v>2</v>
      </c>
      <c r="N4186">
        <v>177</v>
      </c>
      <c r="O4186" t="s">
        <v>38</v>
      </c>
      <c r="Q4186" t="s">
        <v>4657</v>
      </c>
      <c r="R4186" t="s">
        <v>637</v>
      </c>
      <c r="S4186" t="s">
        <v>602</v>
      </c>
    </row>
    <row r="4187" spans="1:19" x14ac:dyDescent="0.25">
      <c r="A4187" t="s">
        <v>59</v>
      </c>
      <c r="B4187" t="s">
        <v>31</v>
      </c>
      <c r="C4187" t="s">
        <v>32</v>
      </c>
      <c r="D4187" t="s">
        <v>584</v>
      </c>
      <c r="E4187" t="s">
        <v>599</v>
      </c>
      <c r="F4187" t="s">
        <v>35</v>
      </c>
      <c r="G4187" t="s">
        <v>35</v>
      </c>
      <c r="H4187" t="s">
        <v>35</v>
      </c>
      <c r="J4187" t="s">
        <v>3508</v>
      </c>
      <c r="K4187" t="s">
        <v>1092</v>
      </c>
      <c r="M4187">
        <v>1.3049999999999999</v>
      </c>
      <c r="N4187">
        <v>285</v>
      </c>
      <c r="O4187" t="s">
        <v>5</v>
      </c>
      <c r="Q4187" t="s">
        <v>1687</v>
      </c>
      <c r="R4187" t="s">
        <v>610</v>
      </c>
      <c r="S4187" t="s">
        <v>539</v>
      </c>
    </row>
    <row r="4188" spans="1:19" x14ac:dyDescent="0.25">
      <c r="A4188" t="s">
        <v>59</v>
      </c>
      <c r="B4188" t="s">
        <v>60</v>
      </c>
      <c r="C4188" t="s">
        <v>32</v>
      </c>
      <c r="D4188" t="s">
        <v>584</v>
      </c>
      <c r="E4188" t="s">
        <v>599</v>
      </c>
      <c r="F4188" t="s">
        <v>35</v>
      </c>
      <c r="G4188" t="s">
        <v>35</v>
      </c>
      <c r="H4188" t="s">
        <v>35</v>
      </c>
      <c r="J4188" t="s">
        <v>3508</v>
      </c>
      <c r="K4188" t="s">
        <v>1092</v>
      </c>
      <c r="M4188">
        <v>2</v>
      </c>
      <c r="N4188">
        <v>165</v>
      </c>
      <c r="O4188" t="s">
        <v>38</v>
      </c>
      <c r="Q4188" t="s">
        <v>1548</v>
      </c>
      <c r="R4188" t="s">
        <v>637</v>
      </c>
      <c r="S4188" t="s">
        <v>602</v>
      </c>
    </row>
    <row r="4189" spans="1:19" x14ac:dyDescent="0.25">
      <c r="A4189" t="s">
        <v>59</v>
      </c>
      <c r="B4189" t="s">
        <v>60</v>
      </c>
      <c r="C4189" t="s">
        <v>32</v>
      </c>
      <c r="D4189" t="s">
        <v>584</v>
      </c>
      <c r="E4189" t="s">
        <v>599</v>
      </c>
      <c r="F4189" t="s">
        <v>35</v>
      </c>
      <c r="G4189" t="s">
        <v>35</v>
      </c>
      <c r="H4189" t="s">
        <v>35</v>
      </c>
      <c r="J4189" t="s">
        <v>3508</v>
      </c>
      <c r="K4189" t="s">
        <v>1092</v>
      </c>
      <c r="M4189">
        <v>2</v>
      </c>
      <c r="N4189">
        <v>175</v>
      </c>
      <c r="O4189" t="s">
        <v>38</v>
      </c>
      <c r="Q4189" t="s">
        <v>1692</v>
      </c>
      <c r="R4189" t="s">
        <v>637</v>
      </c>
      <c r="S4189" t="s">
        <v>602</v>
      </c>
    </row>
    <row r="4190" spans="1:19" x14ac:dyDescent="0.25">
      <c r="A4190" t="s">
        <v>59</v>
      </c>
      <c r="B4190" t="s">
        <v>60</v>
      </c>
      <c r="C4190" t="s">
        <v>32</v>
      </c>
      <c r="D4190" t="s">
        <v>584</v>
      </c>
      <c r="E4190" t="s">
        <v>599</v>
      </c>
      <c r="F4190" t="s">
        <v>35</v>
      </c>
      <c r="G4190" t="s">
        <v>35</v>
      </c>
      <c r="H4190" t="s">
        <v>35</v>
      </c>
      <c r="J4190" t="s">
        <v>3508</v>
      </c>
      <c r="K4190" t="s">
        <v>1092</v>
      </c>
      <c r="M4190">
        <v>0.45</v>
      </c>
      <c r="N4190">
        <v>270</v>
      </c>
      <c r="O4190" t="s">
        <v>5</v>
      </c>
      <c r="Q4190" t="s">
        <v>2486</v>
      </c>
      <c r="R4190" t="s">
        <v>637</v>
      </c>
      <c r="S4190" t="s">
        <v>602</v>
      </c>
    </row>
    <row r="4191" spans="1:19" x14ac:dyDescent="0.25">
      <c r="A4191" t="s">
        <v>59</v>
      </c>
      <c r="B4191" t="s">
        <v>60</v>
      </c>
      <c r="C4191" t="s">
        <v>32</v>
      </c>
      <c r="D4191" t="s">
        <v>584</v>
      </c>
      <c r="E4191" t="s">
        <v>599</v>
      </c>
      <c r="F4191" t="s">
        <v>35</v>
      </c>
      <c r="G4191" t="s">
        <v>35</v>
      </c>
      <c r="H4191" t="s">
        <v>35</v>
      </c>
      <c r="J4191" t="s">
        <v>3508</v>
      </c>
      <c r="K4191" t="s">
        <v>1092</v>
      </c>
      <c r="M4191">
        <v>1</v>
      </c>
      <c r="N4191">
        <v>13</v>
      </c>
      <c r="O4191" t="s">
        <v>46</v>
      </c>
      <c r="Q4191" t="s">
        <v>310</v>
      </c>
      <c r="R4191" t="s">
        <v>637</v>
      </c>
      <c r="S4191" t="s">
        <v>602</v>
      </c>
    </row>
    <row r="4192" spans="1:19" x14ac:dyDescent="0.25">
      <c r="A4192" t="s">
        <v>59</v>
      </c>
      <c r="B4192" t="s">
        <v>60</v>
      </c>
      <c r="C4192" t="s">
        <v>32</v>
      </c>
      <c r="D4192" t="s">
        <v>584</v>
      </c>
      <c r="E4192" t="s">
        <v>599</v>
      </c>
      <c r="F4192" t="s">
        <v>35</v>
      </c>
      <c r="G4192" t="s">
        <v>35</v>
      </c>
      <c r="H4192" t="s">
        <v>35</v>
      </c>
      <c r="J4192" t="s">
        <v>4658</v>
      </c>
      <c r="K4192" t="s">
        <v>1092</v>
      </c>
      <c r="M4192">
        <v>0.8</v>
      </c>
      <c r="N4192">
        <v>12</v>
      </c>
      <c r="O4192" t="s">
        <v>46</v>
      </c>
      <c r="Q4192" t="s">
        <v>1865</v>
      </c>
      <c r="R4192" t="s">
        <v>637</v>
      </c>
      <c r="S4192" t="s">
        <v>602</v>
      </c>
    </row>
    <row r="4193" spans="1:19" x14ac:dyDescent="0.25">
      <c r="A4193" t="s">
        <v>59</v>
      </c>
      <c r="B4193" t="s">
        <v>60</v>
      </c>
      <c r="C4193" t="s">
        <v>32</v>
      </c>
      <c r="D4193" t="s">
        <v>584</v>
      </c>
      <c r="E4193" t="s">
        <v>599</v>
      </c>
      <c r="F4193" t="s">
        <v>35</v>
      </c>
      <c r="G4193" t="s">
        <v>35</v>
      </c>
      <c r="H4193" t="s">
        <v>35</v>
      </c>
      <c r="J4193" t="s">
        <v>4659</v>
      </c>
      <c r="K4193" t="s">
        <v>1092</v>
      </c>
      <c r="M4193">
        <v>1.5</v>
      </c>
      <c r="N4193">
        <v>67</v>
      </c>
      <c r="O4193" t="s">
        <v>61</v>
      </c>
      <c r="Q4193" t="s">
        <v>1311</v>
      </c>
      <c r="R4193" t="s">
        <v>637</v>
      </c>
      <c r="S4193" t="s">
        <v>602</v>
      </c>
    </row>
    <row r="4194" spans="1:19" x14ac:dyDescent="0.25">
      <c r="A4194" t="s">
        <v>30</v>
      </c>
      <c r="B4194" t="s">
        <v>31</v>
      </c>
      <c r="C4194" t="s">
        <v>32</v>
      </c>
      <c r="D4194" t="s">
        <v>584</v>
      </c>
      <c r="E4194" t="s">
        <v>599</v>
      </c>
      <c r="F4194" t="s">
        <v>35</v>
      </c>
      <c r="G4194" t="s">
        <v>35</v>
      </c>
      <c r="H4194" t="s">
        <v>35</v>
      </c>
      <c r="J4194" t="s">
        <v>4027</v>
      </c>
      <c r="K4194" t="s">
        <v>1092</v>
      </c>
      <c r="M4194">
        <v>0.09</v>
      </c>
      <c r="N4194">
        <v>155</v>
      </c>
      <c r="O4194" t="s">
        <v>38</v>
      </c>
      <c r="Q4194" t="s">
        <v>3942</v>
      </c>
      <c r="R4194" t="s">
        <v>610</v>
      </c>
      <c r="S4194" t="s">
        <v>539</v>
      </c>
    </row>
    <row r="4195" spans="1:19" x14ac:dyDescent="0.25">
      <c r="A4195" t="s">
        <v>44</v>
      </c>
      <c r="B4195" t="s">
        <v>51</v>
      </c>
      <c r="C4195" t="s">
        <v>32</v>
      </c>
      <c r="D4195" t="s">
        <v>584</v>
      </c>
      <c r="E4195" t="s">
        <v>599</v>
      </c>
      <c r="F4195" t="s">
        <v>35</v>
      </c>
      <c r="G4195" t="s">
        <v>35</v>
      </c>
      <c r="H4195" t="s">
        <v>35</v>
      </c>
      <c r="J4195" t="s">
        <v>4027</v>
      </c>
      <c r="K4195" t="s">
        <v>1092</v>
      </c>
      <c r="M4195">
        <v>7</v>
      </c>
      <c r="N4195">
        <v>70</v>
      </c>
      <c r="O4195" t="s">
        <v>61</v>
      </c>
      <c r="Q4195" t="s">
        <v>126</v>
      </c>
      <c r="R4195" t="s">
        <v>4644</v>
      </c>
      <c r="S4195" t="s">
        <v>606</v>
      </c>
    </row>
    <row r="4196" spans="1:19" x14ac:dyDescent="0.25">
      <c r="A4196" t="s">
        <v>59</v>
      </c>
      <c r="B4196" t="s">
        <v>60</v>
      </c>
      <c r="C4196" t="s">
        <v>32</v>
      </c>
      <c r="D4196" t="s">
        <v>584</v>
      </c>
      <c r="E4196" t="s">
        <v>599</v>
      </c>
      <c r="F4196" t="s">
        <v>35</v>
      </c>
      <c r="G4196" t="s">
        <v>35</v>
      </c>
      <c r="H4196" t="s">
        <v>35</v>
      </c>
      <c r="J4196" t="s">
        <v>4660</v>
      </c>
      <c r="K4196" t="s">
        <v>1092</v>
      </c>
      <c r="M4196">
        <v>0.5</v>
      </c>
      <c r="N4196">
        <v>44</v>
      </c>
      <c r="O4196" t="s">
        <v>52</v>
      </c>
      <c r="Q4196" t="s">
        <v>192</v>
      </c>
      <c r="R4196" t="s">
        <v>637</v>
      </c>
      <c r="S4196" t="s">
        <v>602</v>
      </c>
    </row>
    <row r="4197" spans="1:19" x14ac:dyDescent="0.25">
      <c r="A4197" t="s">
        <v>30</v>
      </c>
      <c r="B4197" t="s">
        <v>31</v>
      </c>
      <c r="C4197" t="s">
        <v>32</v>
      </c>
      <c r="D4197" t="s">
        <v>584</v>
      </c>
      <c r="E4197" t="s">
        <v>599</v>
      </c>
      <c r="F4197" t="s">
        <v>35</v>
      </c>
      <c r="G4197" t="s">
        <v>35</v>
      </c>
      <c r="H4197" t="s">
        <v>35</v>
      </c>
      <c r="J4197" t="s">
        <v>4660</v>
      </c>
      <c r="K4197" t="s">
        <v>1092</v>
      </c>
      <c r="M4197">
        <v>3.15</v>
      </c>
      <c r="N4197">
        <v>49</v>
      </c>
      <c r="O4197" t="s">
        <v>52</v>
      </c>
      <c r="Q4197" t="s">
        <v>219</v>
      </c>
      <c r="R4197" t="s">
        <v>610</v>
      </c>
      <c r="S4197" t="s">
        <v>539</v>
      </c>
    </row>
    <row r="4198" spans="1:19" x14ac:dyDescent="0.25">
      <c r="A4198" t="s">
        <v>59</v>
      </c>
      <c r="B4198" t="s">
        <v>60</v>
      </c>
      <c r="C4198" t="s">
        <v>32</v>
      </c>
      <c r="D4198" t="s">
        <v>584</v>
      </c>
      <c r="E4198" t="s">
        <v>599</v>
      </c>
      <c r="F4198" t="s">
        <v>35</v>
      </c>
      <c r="G4198" t="s">
        <v>35</v>
      </c>
      <c r="H4198" t="s">
        <v>35</v>
      </c>
      <c r="J4198" t="s">
        <v>4661</v>
      </c>
      <c r="K4198" t="s">
        <v>1092</v>
      </c>
      <c r="M4198">
        <v>0.25</v>
      </c>
      <c r="N4198">
        <v>194</v>
      </c>
      <c r="O4198" t="s">
        <v>5</v>
      </c>
      <c r="Q4198" t="s">
        <v>2315</v>
      </c>
      <c r="R4198" t="s">
        <v>4571</v>
      </c>
      <c r="S4198" t="s">
        <v>628</v>
      </c>
    </row>
    <row r="4199" spans="1:19" x14ac:dyDescent="0.25">
      <c r="A4199" t="s">
        <v>30</v>
      </c>
      <c r="B4199" t="s">
        <v>31</v>
      </c>
      <c r="C4199" t="s">
        <v>32</v>
      </c>
      <c r="D4199" t="s">
        <v>584</v>
      </c>
      <c r="E4199" t="s">
        <v>599</v>
      </c>
      <c r="F4199" t="s">
        <v>35</v>
      </c>
      <c r="G4199" t="s">
        <v>35</v>
      </c>
      <c r="H4199" t="s">
        <v>35</v>
      </c>
      <c r="J4199" t="s">
        <v>4662</v>
      </c>
      <c r="K4199" t="s">
        <v>1092</v>
      </c>
      <c r="M4199">
        <v>0.9</v>
      </c>
      <c r="N4199">
        <v>49</v>
      </c>
      <c r="O4199" t="s">
        <v>52</v>
      </c>
      <c r="Q4199" t="s">
        <v>219</v>
      </c>
      <c r="R4199" t="s">
        <v>610</v>
      </c>
      <c r="S4199" t="s">
        <v>539</v>
      </c>
    </row>
    <row r="4200" spans="1:19" x14ac:dyDescent="0.25">
      <c r="A4200" t="s">
        <v>59</v>
      </c>
      <c r="B4200" t="s">
        <v>60</v>
      </c>
      <c r="C4200" t="s">
        <v>32</v>
      </c>
      <c r="D4200" t="s">
        <v>584</v>
      </c>
      <c r="E4200" t="s">
        <v>599</v>
      </c>
      <c r="F4200" t="s">
        <v>35</v>
      </c>
      <c r="G4200" t="s">
        <v>35</v>
      </c>
      <c r="H4200" t="s">
        <v>35</v>
      </c>
      <c r="J4200" t="s">
        <v>4662</v>
      </c>
      <c r="K4200" t="s">
        <v>1092</v>
      </c>
      <c r="M4200">
        <v>5.4</v>
      </c>
      <c r="N4200">
        <v>136</v>
      </c>
      <c r="O4200" t="s">
        <v>38</v>
      </c>
      <c r="Q4200" t="s">
        <v>157</v>
      </c>
      <c r="R4200" t="s">
        <v>4644</v>
      </c>
      <c r="S4200" t="s">
        <v>606</v>
      </c>
    </row>
    <row r="4201" spans="1:19" x14ac:dyDescent="0.25">
      <c r="A4201" t="s">
        <v>30</v>
      </c>
      <c r="B4201" t="s">
        <v>31</v>
      </c>
      <c r="C4201" t="s">
        <v>32</v>
      </c>
      <c r="D4201" t="s">
        <v>584</v>
      </c>
      <c r="E4201" t="s">
        <v>599</v>
      </c>
      <c r="F4201" t="s">
        <v>35</v>
      </c>
      <c r="G4201" t="s">
        <v>35</v>
      </c>
      <c r="H4201" t="s">
        <v>35</v>
      </c>
      <c r="J4201" t="s">
        <v>4663</v>
      </c>
      <c r="K4201" t="s">
        <v>1092</v>
      </c>
      <c r="M4201">
        <v>5.4</v>
      </c>
      <c r="N4201">
        <v>49</v>
      </c>
      <c r="O4201" t="s">
        <v>52</v>
      </c>
      <c r="Q4201" t="s">
        <v>219</v>
      </c>
      <c r="R4201" t="s">
        <v>610</v>
      </c>
      <c r="S4201" t="s">
        <v>539</v>
      </c>
    </row>
    <row r="4202" spans="1:19" x14ac:dyDescent="0.25">
      <c r="A4202" t="s">
        <v>30</v>
      </c>
      <c r="B4202" t="s">
        <v>31</v>
      </c>
      <c r="C4202" t="s">
        <v>32</v>
      </c>
      <c r="D4202" t="s">
        <v>584</v>
      </c>
      <c r="E4202" t="s">
        <v>599</v>
      </c>
      <c r="F4202" t="s">
        <v>35</v>
      </c>
      <c r="G4202" t="s">
        <v>35</v>
      </c>
      <c r="H4202" t="s">
        <v>35</v>
      </c>
      <c r="J4202" t="s">
        <v>4663</v>
      </c>
      <c r="K4202" t="s">
        <v>1092</v>
      </c>
      <c r="M4202">
        <v>5.13</v>
      </c>
      <c r="N4202">
        <v>71</v>
      </c>
      <c r="O4202" t="s">
        <v>61</v>
      </c>
      <c r="Q4202" t="s">
        <v>102</v>
      </c>
      <c r="R4202" t="s">
        <v>610</v>
      </c>
      <c r="S4202" t="s">
        <v>539</v>
      </c>
    </row>
    <row r="4203" spans="1:19" x14ac:dyDescent="0.25">
      <c r="A4203" t="s">
        <v>30</v>
      </c>
      <c r="B4203" t="s">
        <v>31</v>
      </c>
      <c r="C4203" t="s">
        <v>32</v>
      </c>
      <c r="D4203" t="s">
        <v>584</v>
      </c>
      <c r="E4203" t="s">
        <v>599</v>
      </c>
      <c r="F4203" t="s">
        <v>35</v>
      </c>
      <c r="G4203" t="s">
        <v>35</v>
      </c>
      <c r="H4203" t="s">
        <v>35</v>
      </c>
      <c r="J4203" t="s">
        <v>4664</v>
      </c>
      <c r="K4203" t="s">
        <v>1092</v>
      </c>
      <c r="M4203">
        <v>5.13</v>
      </c>
      <c r="N4203">
        <v>71</v>
      </c>
      <c r="O4203" t="s">
        <v>61</v>
      </c>
      <c r="Q4203" t="s">
        <v>102</v>
      </c>
      <c r="R4203" t="s">
        <v>610</v>
      </c>
      <c r="S4203" t="s">
        <v>539</v>
      </c>
    </row>
    <row r="4204" spans="1:19" x14ac:dyDescent="0.25">
      <c r="A4204" t="s">
        <v>44</v>
      </c>
      <c r="B4204" t="s">
        <v>51</v>
      </c>
      <c r="C4204" t="s">
        <v>32</v>
      </c>
      <c r="D4204" t="s">
        <v>584</v>
      </c>
      <c r="E4204" t="s">
        <v>599</v>
      </c>
      <c r="F4204" t="s">
        <v>35</v>
      </c>
      <c r="G4204" t="s">
        <v>35</v>
      </c>
      <c r="H4204" t="s">
        <v>35</v>
      </c>
      <c r="J4204" t="s">
        <v>4665</v>
      </c>
      <c r="K4204" t="s">
        <v>1092</v>
      </c>
      <c r="M4204">
        <v>0.55000000000000004</v>
      </c>
      <c r="N4204">
        <v>70</v>
      </c>
      <c r="O4204" t="s">
        <v>61</v>
      </c>
      <c r="Q4204" t="s">
        <v>126</v>
      </c>
      <c r="R4204" t="s">
        <v>4644</v>
      </c>
      <c r="S4204" t="s">
        <v>606</v>
      </c>
    </row>
    <row r="4205" spans="1:19" x14ac:dyDescent="0.25">
      <c r="A4205" t="s">
        <v>30</v>
      </c>
      <c r="B4205" t="s">
        <v>31</v>
      </c>
      <c r="C4205" t="s">
        <v>32</v>
      </c>
      <c r="D4205" t="s">
        <v>584</v>
      </c>
      <c r="E4205" t="s">
        <v>599</v>
      </c>
      <c r="F4205" t="s">
        <v>35</v>
      </c>
      <c r="G4205" t="s">
        <v>35</v>
      </c>
      <c r="H4205" t="s">
        <v>35</v>
      </c>
      <c r="J4205" t="s">
        <v>4665</v>
      </c>
      <c r="K4205" t="s">
        <v>1092</v>
      </c>
      <c r="M4205">
        <v>2.0699999999999998</v>
      </c>
      <c r="N4205">
        <v>49</v>
      </c>
      <c r="O4205" t="s">
        <v>52</v>
      </c>
      <c r="Q4205" t="s">
        <v>219</v>
      </c>
      <c r="R4205" t="s">
        <v>610</v>
      </c>
      <c r="S4205" t="s">
        <v>539</v>
      </c>
    </row>
    <row r="4206" spans="1:19" x14ac:dyDescent="0.25">
      <c r="A4206" t="s">
        <v>30</v>
      </c>
      <c r="B4206" t="s">
        <v>31</v>
      </c>
      <c r="C4206" t="s">
        <v>32</v>
      </c>
      <c r="D4206" t="s">
        <v>584</v>
      </c>
      <c r="E4206" t="s">
        <v>599</v>
      </c>
      <c r="F4206" t="s">
        <v>35</v>
      </c>
      <c r="G4206" t="s">
        <v>35</v>
      </c>
      <c r="H4206" t="s">
        <v>35</v>
      </c>
      <c r="J4206" t="s">
        <v>4666</v>
      </c>
      <c r="K4206" t="s">
        <v>1092</v>
      </c>
      <c r="M4206">
        <v>0.18</v>
      </c>
      <c r="N4206">
        <v>151</v>
      </c>
      <c r="O4206" t="s">
        <v>38</v>
      </c>
      <c r="Q4206" t="s">
        <v>1269</v>
      </c>
      <c r="R4206" t="s">
        <v>610</v>
      </c>
      <c r="S4206" t="s">
        <v>539</v>
      </c>
    </row>
    <row r="4207" spans="1:19" x14ac:dyDescent="0.25">
      <c r="A4207" t="s">
        <v>59</v>
      </c>
      <c r="B4207" t="s">
        <v>60</v>
      </c>
      <c r="C4207" t="s">
        <v>32</v>
      </c>
      <c r="D4207" t="s">
        <v>584</v>
      </c>
      <c r="E4207" t="s">
        <v>599</v>
      </c>
      <c r="F4207" t="s">
        <v>35</v>
      </c>
      <c r="G4207" t="s">
        <v>35</v>
      </c>
      <c r="H4207" t="s">
        <v>35</v>
      </c>
      <c r="J4207" t="s">
        <v>4667</v>
      </c>
      <c r="K4207" t="s">
        <v>1092</v>
      </c>
      <c r="M4207">
        <v>2.5</v>
      </c>
      <c r="N4207">
        <v>12</v>
      </c>
      <c r="O4207" t="s">
        <v>46</v>
      </c>
      <c r="Q4207" t="s">
        <v>1865</v>
      </c>
      <c r="R4207" t="s">
        <v>637</v>
      </c>
      <c r="S4207" t="s">
        <v>602</v>
      </c>
    </row>
    <row r="4208" spans="1:19" x14ac:dyDescent="0.25">
      <c r="A4208" t="s">
        <v>59</v>
      </c>
      <c r="B4208" t="s">
        <v>60</v>
      </c>
      <c r="C4208" t="s">
        <v>32</v>
      </c>
      <c r="D4208" t="s">
        <v>584</v>
      </c>
      <c r="E4208" t="s">
        <v>599</v>
      </c>
      <c r="F4208" t="s">
        <v>35</v>
      </c>
      <c r="G4208" t="s">
        <v>35</v>
      </c>
      <c r="H4208" t="s">
        <v>35</v>
      </c>
      <c r="J4208" t="s">
        <v>4668</v>
      </c>
      <c r="K4208" t="s">
        <v>1092</v>
      </c>
      <c r="M4208">
        <v>0.14499999999999999</v>
      </c>
      <c r="N4208">
        <v>142</v>
      </c>
      <c r="O4208" t="s">
        <v>38</v>
      </c>
      <c r="Q4208" t="s">
        <v>2067</v>
      </c>
      <c r="R4208" t="s">
        <v>4571</v>
      </c>
      <c r="S4208" t="s">
        <v>628</v>
      </c>
    </row>
    <row r="4209" spans="1:19" x14ac:dyDescent="0.25">
      <c r="A4209" t="s">
        <v>59</v>
      </c>
      <c r="B4209" t="s">
        <v>60</v>
      </c>
      <c r="C4209" t="s">
        <v>32</v>
      </c>
      <c r="D4209" t="s">
        <v>584</v>
      </c>
      <c r="E4209" t="s">
        <v>599</v>
      </c>
      <c r="F4209" t="s">
        <v>35</v>
      </c>
      <c r="G4209" t="s">
        <v>35</v>
      </c>
      <c r="H4209" t="s">
        <v>35</v>
      </c>
      <c r="J4209" t="s">
        <v>4669</v>
      </c>
      <c r="K4209" t="s">
        <v>1092</v>
      </c>
      <c r="M4209">
        <v>2</v>
      </c>
      <c r="N4209">
        <v>86</v>
      </c>
      <c r="O4209" t="s">
        <v>61</v>
      </c>
      <c r="Q4209" t="s">
        <v>1076</v>
      </c>
      <c r="R4209" t="s">
        <v>637</v>
      </c>
      <c r="S4209" t="s">
        <v>602</v>
      </c>
    </row>
    <row r="4210" spans="1:19" x14ac:dyDescent="0.25">
      <c r="A4210" t="s">
        <v>44</v>
      </c>
      <c r="B4210" t="s">
        <v>3</v>
      </c>
      <c r="C4210" t="s">
        <v>32</v>
      </c>
      <c r="D4210" t="s">
        <v>584</v>
      </c>
      <c r="E4210" t="s">
        <v>599</v>
      </c>
      <c r="F4210" t="s">
        <v>35</v>
      </c>
      <c r="G4210" t="s">
        <v>35</v>
      </c>
      <c r="H4210" t="s">
        <v>35</v>
      </c>
      <c r="J4210" t="s">
        <v>4670</v>
      </c>
      <c r="K4210" t="s">
        <v>1092</v>
      </c>
      <c r="M4210">
        <v>0.25</v>
      </c>
      <c r="N4210">
        <v>427</v>
      </c>
      <c r="O4210" t="s">
        <v>294</v>
      </c>
      <c r="Q4210" t="s">
        <v>1463</v>
      </c>
      <c r="R4210" t="s">
        <v>4671</v>
      </c>
      <c r="S4210" t="s">
        <v>4672</v>
      </c>
    </row>
    <row r="4211" spans="1:19" x14ac:dyDescent="0.25">
      <c r="A4211" t="s">
        <v>59</v>
      </c>
      <c r="B4211" t="s">
        <v>60</v>
      </c>
      <c r="C4211" t="s">
        <v>32</v>
      </c>
      <c r="D4211" t="s">
        <v>584</v>
      </c>
      <c r="E4211" t="s">
        <v>599</v>
      </c>
      <c r="F4211" t="s">
        <v>35</v>
      </c>
      <c r="G4211" t="s">
        <v>35</v>
      </c>
      <c r="H4211" t="s">
        <v>35</v>
      </c>
      <c r="J4211" t="s">
        <v>4674</v>
      </c>
      <c r="K4211" t="s">
        <v>1092</v>
      </c>
      <c r="M4211">
        <v>1</v>
      </c>
      <c r="N4211">
        <v>177</v>
      </c>
      <c r="O4211" t="s">
        <v>38</v>
      </c>
      <c r="Q4211" t="s">
        <v>4657</v>
      </c>
      <c r="R4211" t="s">
        <v>637</v>
      </c>
      <c r="S4211" t="s">
        <v>602</v>
      </c>
    </row>
    <row r="4212" spans="1:19" x14ac:dyDescent="0.25">
      <c r="A4212" t="s">
        <v>30</v>
      </c>
      <c r="B4212" t="s">
        <v>31</v>
      </c>
      <c r="C4212" t="s">
        <v>32</v>
      </c>
      <c r="D4212" t="s">
        <v>584</v>
      </c>
      <c r="E4212" t="s">
        <v>599</v>
      </c>
      <c r="F4212" t="s">
        <v>35</v>
      </c>
      <c r="G4212" t="s">
        <v>35</v>
      </c>
      <c r="H4212" t="s">
        <v>35</v>
      </c>
      <c r="J4212" t="s">
        <v>4674</v>
      </c>
      <c r="K4212" t="s">
        <v>1092</v>
      </c>
      <c r="M4212">
        <v>3.5000000000000003E-2</v>
      </c>
      <c r="N4212">
        <v>1342</v>
      </c>
      <c r="O4212" t="s">
        <v>575</v>
      </c>
      <c r="Q4212" t="s">
        <v>4675</v>
      </c>
      <c r="R4212" t="s">
        <v>637</v>
      </c>
      <c r="S4212" t="s">
        <v>602</v>
      </c>
    </row>
    <row r="4213" spans="1:19" x14ac:dyDescent="0.25">
      <c r="A4213" t="s">
        <v>59</v>
      </c>
      <c r="B4213" t="s">
        <v>60</v>
      </c>
      <c r="C4213" t="s">
        <v>32</v>
      </c>
      <c r="D4213" t="s">
        <v>584</v>
      </c>
      <c r="E4213" t="s">
        <v>599</v>
      </c>
      <c r="F4213" t="s">
        <v>35</v>
      </c>
      <c r="G4213" t="s">
        <v>35</v>
      </c>
      <c r="H4213" t="s">
        <v>35</v>
      </c>
      <c r="J4213" t="s">
        <v>4676</v>
      </c>
      <c r="K4213" t="s">
        <v>1092</v>
      </c>
      <c r="M4213">
        <v>0.2</v>
      </c>
      <c r="N4213">
        <v>177</v>
      </c>
      <c r="O4213" t="s">
        <v>38</v>
      </c>
      <c r="Q4213" t="s">
        <v>4657</v>
      </c>
      <c r="R4213" t="s">
        <v>637</v>
      </c>
      <c r="S4213" t="s">
        <v>602</v>
      </c>
    </row>
    <row r="4214" spans="1:19" x14ac:dyDescent="0.25">
      <c r="A4214" t="s">
        <v>59</v>
      </c>
      <c r="B4214" t="s">
        <v>60</v>
      </c>
      <c r="C4214" t="s">
        <v>32</v>
      </c>
      <c r="D4214" t="s">
        <v>584</v>
      </c>
      <c r="E4214" t="s">
        <v>599</v>
      </c>
      <c r="F4214" t="s">
        <v>35</v>
      </c>
      <c r="G4214" t="s">
        <v>35</v>
      </c>
      <c r="H4214" t="s">
        <v>35</v>
      </c>
      <c r="J4214" t="s">
        <v>4677</v>
      </c>
      <c r="K4214" t="s">
        <v>1092</v>
      </c>
      <c r="M4214">
        <v>5.25</v>
      </c>
      <c r="N4214">
        <v>75</v>
      </c>
      <c r="O4214" t="s">
        <v>61</v>
      </c>
      <c r="Q4214" t="s">
        <v>805</v>
      </c>
      <c r="R4214" t="s">
        <v>4571</v>
      </c>
      <c r="S4214" t="s">
        <v>628</v>
      </c>
    </row>
    <row r="4215" spans="1:19" x14ac:dyDescent="0.25">
      <c r="A4215" t="s">
        <v>30</v>
      </c>
      <c r="B4215" t="s">
        <v>31</v>
      </c>
      <c r="C4215" t="s">
        <v>32</v>
      </c>
      <c r="D4215" t="s">
        <v>584</v>
      </c>
      <c r="E4215" t="s">
        <v>599</v>
      </c>
      <c r="F4215" t="s">
        <v>35</v>
      </c>
      <c r="G4215" t="s">
        <v>35</v>
      </c>
      <c r="H4215" t="s">
        <v>35</v>
      </c>
      <c r="J4215" t="s">
        <v>4678</v>
      </c>
      <c r="K4215" t="s">
        <v>1092</v>
      </c>
      <c r="M4215">
        <v>4.6349999999999998</v>
      </c>
      <c r="N4215">
        <v>155</v>
      </c>
      <c r="O4215" t="s">
        <v>38</v>
      </c>
      <c r="Q4215" t="s">
        <v>3942</v>
      </c>
      <c r="R4215" t="s">
        <v>610</v>
      </c>
      <c r="S4215" t="s">
        <v>539</v>
      </c>
    </row>
    <row r="4216" spans="1:19" x14ac:dyDescent="0.25">
      <c r="A4216" t="s">
        <v>59</v>
      </c>
      <c r="B4216" t="s">
        <v>60</v>
      </c>
      <c r="C4216" t="s">
        <v>32</v>
      </c>
      <c r="D4216" t="s">
        <v>584</v>
      </c>
      <c r="E4216" t="s">
        <v>599</v>
      </c>
      <c r="F4216" t="s">
        <v>35</v>
      </c>
      <c r="G4216" t="s">
        <v>35</v>
      </c>
      <c r="H4216" t="s">
        <v>35</v>
      </c>
      <c r="J4216" t="s">
        <v>4679</v>
      </c>
      <c r="K4216" t="s">
        <v>1092</v>
      </c>
      <c r="M4216">
        <v>0.25</v>
      </c>
      <c r="N4216">
        <v>135</v>
      </c>
      <c r="O4216" t="s">
        <v>38</v>
      </c>
      <c r="Q4216" t="s">
        <v>98</v>
      </c>
      <c r="R4216" t="s">
        <v>637</v>
      </c>
      <c r="S4216" t="s">
        <v>602</v>
      </c>
    </row>
    <row r="4217" spans="1:19" x14ac:dyDescent="0.25">
      <c r="A4217" t="s">
        <v>44</v>
      </c>
      <c r="B4217" t="s">
        <v>51</v>
      </c>
      <c r="C4217" t="s">
        <v>32</v>
      </c>
      <c r="D4217" t="s">
        <v>584</v>
      </c>
      <c r="E4217" t="s">
        <v>599</v>
      </c>
      <c r="F4217" t="s">
        <v>35</v>
      </c>
      <c r="G4217" t="s">
        <v>35</v>
      </c>
      <c r="H4217" t="s">
        <v>35</v>
      </c>
      <c r="J4217" t="s">
        <v>4680</v>
      </c>
      <c r="K4217" t="s">
        <v>1092</v>
      </c>
      <c r="M4217">
        <v>0.3</v>
      </c>
      <c r="N4217">
        <v>509</v>
      </c>
      <c r="O4217" t="s">
        <v>294</v>
      </c>
      <c r="Q4217" t="s">
        <v>296</v>
      </c>
      <c r="R4217" t="s">
        <v>4681</v>
      </c>
      <c r="S4217" t="s">
        <v>600</v>
      </c>
    </row>
    <row r="4218" spans="1:19" x14ac:dyDescent="0.25">
      <c r="A4218" t="s">
        <v>30</v>
      </c>
      <c r="B4218" t="s">
        <v>31</v>
      </c>
      <c r="C4218" t="s">
        <v>32</v>
      </c>
      <c r="D4218" t="s">
        <v>584</v>
      </c>
      <c r="E4218" t="s">
        <v>599</v>
      </c>
      <c r="F4218" t="s">
        <v>35</v>
      </c>
      <c r="G4218" t="s">
        <v>35</v>
      </c>
      <c r="H4218" t="s">
        <v>35</v>
      </c>
      <c r="J4218" t="s">
        <v>4682</v>
      </c>
      <c r="K4218" t="s">
        <v>1092</v>
      </c>
      <c r="M4218">
        <v>0.64</v>
      </c>
      <c r="N4218">
        <v>1282</v>
      </c>
      <c r="O4218" t="s">
        <v>575</v>
      </c>
      <c r="Q4218" t="s">
        <v>4683</v>
      </c>
      <c r="R4218" t="s">
        <v>4681</v>
      </c>
      <c r="S4218" t="s">
        <v>600</v>
      </c>
    </row>
    <row r="4219" spans="1:19" x14ac:dyDescent="0.25">
      <c r="A4219" t="s">
        <v>59</v>
      </c>
      <c r="B4219" t="s">
        <v>60</v>
      </c>
      <c r="C4219" t="s">
        <v>32</v>
      </c>
      <c r="D4219" t="s">
        <v>584</v>
      </c>
      <c r="E4219" t="s">
        <v>599</v>
      </c>
      <c r="F4219" t="s">
        <v>35</v>
      </c>
      <c r="G4219" t="s">
        <v>35</v>
      </c>
      <c r="H4219" t="s">
        <v>35</v>
      </c>
      <c r="J4219" t="s">
        <v>4682</v>
      </c>
      <c r="K4219" t="s">
        <v>1092</v>
      </c>
      <c r="M4219">
        <v>0.15</v>
      </c>
      <c r="N4219">
        <v>2673</v>
      </c>
      <c r="O4219" t="s">
        <v>575</v>
      </c>
      <c r="Q4219" t="s">
        <v>1486</v>
      </c>
      <c r="R4219" t="s">
        <v>1487</v>
      </c>
      <c r="S4219" t="s">
        <v>1488</v>
      </c>
    </row>
    <row r="4220" spans="1:19" x14ac:dyDescent="0.25">
      <c r="A4220" t="s">
        <v>59</v>
      </c>
      <c r="B4220" t="s">
        <v>60</v>
      </c>
      <c r="C4220" t="s">
        <v>32</v>
      </c>
      <c r="D4220" t="s">
        <v>584</v>
      </c>
      <c r="E4220" t="s">
        <v>599</v>
      </c>
      <c r="F4220" t="s">
        <v>35</v>
      </c>
      <c r="G4220" t="s">
        <v>35</v>
      </c>
      <c r="H4220" t="s">
        <v>35</v>
      </c>
      <c r="J4220" t="s">
        <v>4684</v>
      </c>
      <c r="K4220" t="s">
        <v>1092</v>
      </c>
      <c r="M4220">
        <v>0.54800000000000004</v>
      </c>
      <c r="N4220">
        <v>1131</v>
      </c>
      <c r="O4220" t="s">
        <v>575</v>
      </c>
      <c r="Q4220" t="s">
        <v>4100</v>
      </c>
      <c r="R4220" t="s">
        <v>637</v>
      </c>
      <c r="S4220" t="s">
        <v>602</v>
      </c>
    </row>
    <row r="4221" spans="1:19" x14ac:dyDescent="0.25">
      <c r="A4221" t="s">
        <v>59</v>
      </c>
      <c r="B4221" t="s">
        <v>31</v>
      </c>
      <c r="C4221" t="s">
        <v>32</v>
      </c>
      <c r="D4221" t="s">
        <v>584</v>
      </c>
      <c r="E4221" t="s">
        <v>599</v>
      </c>
      <c r="F4221" t="s">
        <v>35</v>
      </c>
      <c r="G4221" t="s">
        <v>35</v>
      </c>
      <c r="H4221" t="s">
        <v>35</v>
      </c>
      <c r="J4221" t="s">
        <v>4684</v>
      </c>
      <c r="K4221" t="s">
        <v>1092</v>
      </c>
      <c r="M4221">
        <v>0.09</v>
      </c>
      <c r="N4221">
        <v>1276</v>
      </c>
      <c r="O4221" t="s">
        <v>575</v>
      </c>
      <c r="Q4221" t="s">
        <v>4685</v>
      </c>
      <c r="R4221" t="s">
        <v>637</v>
      </c>
      <c r="S4221" t="s">
        <v>602</v>
      </c>
    </row>
    <row r="4222" spans="1:19" x14ac:dyDescent="0.25">
      <c r="A4222" t="s">
        <v>30</v>
      </c>
      <c r="B4222" t="s">
        <v>31</v>
      </c>
      <c r="C4222" t="s">
        <v>32</v>
      </c>
      <c r="D4222" t="s">
        <v>584</v>
      </c>
      <c r="E4222" t="s">
        <v>599</v>
      </c>
      <c r="F4222" t="s">
        <v>35</v>
      </c>
      <c r="G4222" t="s">
        <v>35</v>
      </c>
      <c r="H4222" t="s">
        <v>35</v>
      </c>
      <c r="J4222" t="s">
        <v>4684</v>
      </c>
      <c r="K4222" t="s">
        <v>1092</v>
      </c>
      <c r="M4222">
        <v>0.9</v>
      </c>
      <c r="N4222">
        <v>398</v>
      </c>
      <c r="O4222" t="s">
        <v>294</v>
      </c>
      <c r="Q4222" t="s">
        <v>3592</v>
      </c>
      <c r="R4222" t="s">
        <v>4686</v>
      </c>
      <c r="S4222" t="s">
        <v>4687</v>
      </c>
    </row>
    <row r="4223" spans="1:19" x14ac:dyDescent="0.25">
      <c r="A4223" t="s">
        <v>59</v>
      </c>
      <c r="B4223" t="s">
        <v>31</v>
      </c>
      <c r="C4223" t="s">
        <v>32</v>
      </c>
      <c r="D4223" t="s">
        <v>584</v>
      </c>
      <c r="E4223" t="s">
        <v>599</v>
      </c>
      <c r="F4223" t="s">
        <v>35</v>
      </c>
      <c r="G4223" t="s">
        <v>35</v>
      </c>
      <c r="H4223" t="s">
        <v>35</v>
      </c>
      <c r="J4223" t="s">
        <v>4689</v>
      </c>
      <c r="K4223" t="s">
        <v>1092</v>
      </c>
      <c r="M4223">
        <v>10.755000000000001</v>
      </c>
      <c r="N4223">
        <v>171</v>
      </c>
      <c r="O4223" t="s">
        <v>38</v>
      </c>
      <c r="Q4223" t="s">
        <v>3930</v>
      </c>
      <c r="R4223" t="s">
        <v>610</v>
      </c>
      <c r="S4223" t="s">
        <v>539</v>
      </c>
    </row>
    <row r="4224" spans="1:19" x14ac:dyDescent="0.25">
      <c r="A4224" t="s">
        <v>30</v>
      </c>
      <c r="B4224" t="s">
        <v>31</v>
      </c>
      <c r="C4224" t="s">
        <v>32</v>
      </c>
      <c r="D4224" t="s">
        <v>584</v>
      </c>
      <c r="E4224" t="s">
        <v>599</v>
      </c>
      <c r="F4224" t="s">
        <v>35</v>
      </c>
      <c r="G4224" t="s">
        <v>35</v>
      </c>
      <c r="H4224" t="s">
        <v>35</v>
      </c>
      <c r="J4224" t="s">
        <v>4689</v>
      </c>
      <c r="K4224" t="s">
        <v>1092</v>
      </c>
      <c r="M4224">
        <v>11.025</v>
      </c>
      <c r="N4224">
        <v>49</v>
      </c>
      <c r="O4224" t="s">
        <v>52</v>
      </c>
      <c r="Q4224" t="s">
        <v>219</v>
      </c>
      <c r="R4224" t="s">
        <v>610</v>
      </c>
      <c r="S4224" t="s">
        <v>539</v>
      </c>
    </row>
    <row r="4225" spans="1:19" x14ac:dyDescent="0.25">
      <c r="A4225" t="s">
        <v>30</v>
      </c>
      <c r="B4225" t="s">
        <v>31</v>
      </c>
      <c r="C4225" t="s">
        <v>32</v>
      </c>
      <c r="D4225" t="s">
        <v>584</v>
      </c>
      <c r="E4225" t="s">
        <v>599</v>
      </c>
      <c r="F4225" t="s">
        <v>35</v>
      </c>
      <c r="G4225" t="s">
        <v>35</v>
      </c>
      <c r="H4225" t="s">
        <v>35</v>
      </c>
      <c r="J4225" t="s">
        <v>4690</v>
      </c>
      <c r="K4225" t="s">
        <v>1092</v>
      </c>
      <c r="M4225">
        <v>0.76500000000000001</v>
      </c>
      <c r="N4225">
        <v>151</v>
      </c>
      <c r="O4225" t="s">
        <v>38</v>
      </c>
      <c r="Q4225" t="s">
        <v>1269</v>
      </c>
      <c r="R4225" t="s">
        <v>610</v>
      </c>
      <c r="S4225" t="s">
        <v>539</v>
      </c>
    </row>
    <row r="4226" spans="1:19" x14ac:dyDescent="0.25">
      <c r="A4226" t="s">
        <v>59</v>
      </c>
      <c r="B4226" t="s">
        <v>60</v>
      </c>
      <c r="C4226" t="s">
        <v>32</v>
      </c>
      <c r="D4226" t="s">
        <v>584</v>
      </c>
      <c r="E4226" t="s">
        <v>599</v>
      </c>
      <c r="F4226" t="s">
        <v>35</v>
      </c>
      <c r="G4226" t="s">
        <v>35</v>
      </c>
      <c r="H4226" t="s">
        <v>35</v>
      </c>
      <c r="J4226" t="s">
        <v>4691</v>
      </c>
      <c r="K4226" t="s">
        <v>1092</v>
      </c>
      <c r="M4226">
        <v>11.4</v>
      </c>
      <c r="N4226">
        <v>65</v>
      </c>
      <c r="O4226" t="s">
        <v>61</v>
      </c>
      <c r="Q4226" t="s">
        <v>128</v>
      </c>
      <c r="R4226" t="s">
        <v>4571</v>
      </c>
      <c r="S4226" t="s">
        <v>628</v>
      </c>
    </row>
    <row r="4227" spans="1:19" x14ac:dyDescent="0.25">
      <c r="A4227" t="s">
        <v>59</v>
      </c>
      <c r="B4227" t="s">
        <v>31</v>
      </c>
      <c r="C4227" t="s">
        <v>32</v>
      </c>
      <c r="D4227" t="s">
        <v>584</v>
      </c>
      <c r="E4227" t="s">
        <v>599</v>
      </c>
      <c r="F4227" t="s">
        <v>35</v>
      </c>
      <c r="G4227" t="s">
        <v>35</v>
      </c>
      <c r="H4227" t="s">
        <v>35</v>
      </c>
      <c r="J4227" t="s">
        <v>4692</v>
      </c>
      <c r="K4227" t="s">
        <v>1092</v>
      </c>
      <c r="M4227">
        <v>10.664999999999999</v>
      </c>
      <c r="N4227">
        <v>171</v>
      </c>
      <c r="O4227" t="s">
        <v>38</v>
      </c>
      <c r="Q4227" t="s">
        <v>3930</v>
      </c>
      <c r="R4227" t="s">
        <v>610</v>
      </c>
      <c r="S4227" t="s">
        <v>539</v>
      </c>
    </row>
    <row r="4228" spans="1:19" x14ac:dyDescent="0.25">
      <c r="A4228" t="s">
        <v>30</v>
      </c>
      <c r="B4228" t="s">
        <v>31</v>
      </c>
      <c r="C4228" t="s">
        <v>32</v>
      </c>
      <c r="D4228" t="s">
        <v>584</v>
      </c>
      <c r="E4228" t="s">
        <v>599</v>
      </c>
      <c r="F4228" t="s">
        <v>35</v>
      </c>
      <c r="G4228" t="s">
        <v>35</v>
      </c>
      <c r="H4228" t="s">
        <v>35</v>
      </c>
      <c r="J4228" t="s">
        <v>4692</v>
      </c>
      <c r="K4228" t="s">
        <v>1092</v>
      </c>
      <c r="M4228">
        <v>3.5550000000000002</v>
      </c>
      <c r="N4228">
        <v>155</v>
      </c>
      <c r="O4228" t="s">
        <v>38</v>
      </c>
      <c r="Q4228" t="s">
        <v>3942</v>
      </c>
      <c r="R4228" t="s">
        <v>610</v>
      </c>
      <c r="S4228" t="s">
        <v>539</v>
      </c>
    </row>
    <row r="4229" spans="1:19" x14ac:dyDescent="0.25">
      <c r="A4229" t="s">
        <v>30</v>
      </c>
      <c r="B4229" t="s">
        <v>31</v>
      </c>
      <c r="C4229" t="s">
        <v>32</v>
      </c>
      <c r="D4229" t="s">
        <v>584</v>
      </c>
      <c r="E4229" t="s">
        <v>599</v>
      </c>
      <c r="F4229" t="s">
        <v>35</v>
      </c>
      <c r="G4229" t="s">
        <v>35</v>
      </c>
      <c r="H4229" t="s">
        <v>35</v>
      </c>
      <c r="J4229" t="s">
        <v>4693</v>
      </c>
      <c r="K4229" t="s">
        <v>1092</v>
      </c>
      <c r="M4229">
        <v>0.40500000000000003</v>
      </c>
      <c r="N4229">
        <v>71</v>
      </c>
      <c r="O4229" t="s">
        <v>61</v>
      </c>
      <c r="Q4229" t="s">
        <v>102</v>
      </c>
      <c r="R4229" t="s">
        <v>610</v>
      </c>
      <c r="S4229" t="s">
        <v>539</v>
      </c>
    </row>
    <row r="4230" spans="1:19" x14ac:dyDescent="0.25">
      <c r="A4230" t="s">
        <v>59</v>
      </c>
      <c r="B4230" t="s">
        <v>60</v>
      </c>
      <c r="C4230" t="s">
        <v>32</v>
      </c>
      <c r="D4230" t="s">
        <v>584</v>
      </c>
      <c r="E4230" t="s">
        <v>599</v>
      </c>
      <c r="F4230" t="s">
        <v>35</v>
      </c>
      <c r="G4230" t="s">
        <v>35</v>
      </c>
      <c r="H4230" t="s">
        <v>35</v>
      </c>
      <c r="J4230" t="s">
        <v>4694</v>
      </c>
      <c r="K4230" t="s">
        <v>1092</v>
      </c>
      <c r="M4230">
        <v>15</v>
      </c>
      <c r="N4230">
        <v>61</v>
      </c>
      <c r="O4230" t="s">
        <v>61</v>
      </c>
      <c r="Q4230" t="s">
        <v>671</v>
      </c>
      <c r="R4230" t="s">
        <v>637</v>
      </c>
      <c r="S4230" t="s">
        <v>602</v>
      </c>
    </row>
    <row r="4231" spans="1:19" x14ac:dyDescent="0.25">
      <c r="A4231" t="s">
        <v>30</v>
      </c>
      <c r="B4231" t="s">
        <v>31</v>
      </c>
      <c r="C4231" t="s">
        <v>32</v>
      </c>
      <c r="D4231" t="s">
        <v>584</v>
      </c>
      <c r="E4231" t="s">
        <v>599</v>
      </c>
      <c r="F4231" t="s">
        <v>35</v>
      </c>
      <c r="G4231" t="s">
        <v>35</v>
      </c>
      <c r="H4231" t="s">
        <v>35</v>
      </c>
      <c r="J4231" t="s">
        <v>4696</v>
      </c>
      <c r="K4231" t="s">
        <v>1092</v>
      </c>
      <c r="M4231">
        <v>7.65</v>
      </c>
      <c r="N4231">
        <v>71</v>
      </c>
      <c r="O4231" t="s">
        <v>61</v>
      </c>
      <c r="Q4231" t="s">
        <v>102</v>
      </c>
      <c r="R4231" t="s">
        <v>610</v>
      </c>
      <c r="S4231" t="s">
        <v>539</v>
      </c>
    </row>
    <row r="4232" spans="1:19" x14ac:dyDescent="0.25">
      <c r="A4232" t="s">
        <v>30</v>
      </c>
      <c r="B4232" t="s">
        <v>31</v>
      </c>
      <c r="C4232" t="s">
        <v>32</v>
      </c>
      <c r="D4232" t="s">
        <v>584</v>
      </c>
      <c r="E4232" t="s">
        <v>599</v>
      </c>
      <c r="F4232" t="s">
        <v>35</v>
      </c>
      <c r="G4232" t="s">
        <v>35</v>
      </c>
      <c r="H4232" t="s">
        <v>35</v>
      </c>
      <c r="J4232" t="s">
        <v>4697</v>
      </c>
      <c r="K4232" t="s">
        <v>1092</v>
      </c>
      <c r="M4232">
        <v>11.025</v>
      </c>
      <c r="N4232">
        <v>71</v>
      </c>
      <c r="O4232" t="s">
        <v>61</v>
      </c>
      <c r="Q4232" t="s">
        <v>102</v>
      </c>
      <c r="R4232" t="s">
        <v>610</v>
      </c>
      <c r="S4232" t="s">
        <v>539</v>
      </c>
    </row>
    <row r="4233" spans="1:19" x14ac:dyDescent="0.25">
      <c r="A4233" t="s">
        <v>59</v>
      </c>
      <c r="B4233" t="s">
        <v>31</v>
      </c>
      <c r="C4233" t="s">
        <v>32</v>
      </c>
      <c r="D4233" t="s">
        <v>584</v>
      </c>
      <c r="E4233" t="s">
        <v>599</v>
      </c>
      <c r="F4233" t="s">
        <v>35</v>
      </c>
      <c r="G4233" t="s">
        <v>35</v>
      </c>
      <c r="H4233" t="s">
        <v>35</v>
      </c>
      <c r="J4233" t="s">
        <v>606</v>
      </c>
      <c r="K4233" t="s">
        <v>1092</v>
      </c>
      <c r="M4233">
        <v>0.36</v>
      </c>
      <c r="N4233">
        <v>198</v>
      </c>
      <c r="O4233" t="s">
        <v>5</v>
      </c>
      <c r="Q4233" t="s">
        <v>4086</v>
      </c>
      <c r="R4233" t="s">
        <v>610</v>
      </c>
      <c r="S4233" t="s">
        <v>539</v>
      </c>
    </row>
    <row r="4234" spans="1:19" x14ac:dyDescent="0.25">
      <c r="A4234" t="s">
        <v>30</v>
      </c>
      <c r="B4234" t="s">
        <v>31</v>
      </c>
      <c r="C4234" t="s">
        <v>32</v>
      </c>
      <c r="D4234" t="s">
        <v>584</v>
      </c>
      <c r="E4234" t="s">
        <v>599</v>
      </c>
      <c r="F4234" t="s">
        <v>35</v>
      </c>
      <c r="G4234" t="s">
        <v>35</v>
      </c>
      <c r="H4234" t="s">
        <v>35</v>
      </c>
      <c r="J4234" t="s">
        <v>606</v>
      </c>
      <c r="K4234" t="s">
        <v>1092</v>
      </c>
      <c r="M4234">
        <v>4.9050000000000002</v>
      </c>
      <c r="N4234">
        <v>49</v>
      </c>
      <c r="O4234" t="s">
        <v>52</v>
      </c>
      <c r="Q4234" t="s">
        <v>219</v>
      </c>
      <c r="R4234" t="s">
        <v>610</v>
      </c>
      <c r="S4234" t="s">
        <v>539</v>
      </c>
    </row>
    <row r="4235" spans="1:19" x14ac:dyDescent="0.25">
      <c r="A4235" t="s">
        <v>30</v>
      </c>
      <c r="B4235" t="s">
        <v>31</v>
      </c>
      <c r="C4235" t="s">
        <v>32</v>
      </c>
      <c r="D4235" t="s">
        <v>584</v>
      </c>
      <c r="E4235" t="s">
        <v>599</v>
      </c>
      <c r="F4235" t="s">
        <v>35</v>
      </c>
      <c r="G4235" t="s">
        <v>35</v>
      </c>
      <c r="H4235" t="s">
        <v>35</v>
      </c>
      <c r="J4235" t="s">
        <v>4698</v>
      </c>
      <c r="K4235" t="s">
        <v>1092</v>
      </c>
      <c r="M4235">
        <v>1.62</v>
      </c>
      <c r="N4235">
        <v>49</v>
      </c>
      <c r="O4235" t="s">
        <v>52</v>
      </c>
      <c r="Q4235" t="s">
        <v>219</v>
      </c>
      <c r="R4235" t="s">
        <v>610</v>
      </c>
      <c r="S4235" t="s">
        <v>539</v>
      </c>
    </row>
    <row r="4236" spans="1:19" x14ac:dyDescent="0.25">
      <c r="A4236" t="s">
        <v>30</v>
      </c>
      <c r="B4236" t="s">
        <v>31</v>
      </c>
      <c r="C4236" t="s">
        <v>32</v>
      </c>
      <c r="D4236" t="s">
        <v>584</v>
      </c>
      <c r="E4236" t="s">
        <v>599</v>
      </c>
      <c r="F4236" t="s">
        <v>35</v>
      </c>
      <c r="G4236" t="s">
        <v>35</v>
      </c>
      <c r="H4236" t="s">
        <v>35</v>
      </c>
      <c r="J4236" t="s">
        <v>4699</v>
      </c>
      <c r="K4236" t="s">
        <v>1092</v>
      </c>
      <c r="M4236">
        <v>4.3650000000000002</v>
      </c>
      <c r="N4236">
        <v>155</v>
      </c>
      <c r="O4236" t="s">
        <v>38</v>
      </c>
      <c r="Q4236" t="s">
        <v>3942</v>
      </c>
      <c r="R4236" t="s">
        <v>610</v>
      </c>
      <c r="S4236" t="s">
        <v>539</v>
      </c>
    </row>
    <row r="4237" spans="1:19" x14ac:dyDescent="0.25">
      <c r="A4237" t="s">
        <v>30</v>
      </c>
      <c r="B4237" t="s">
        <v>31</v>
      </c>
      <c r="C4237" t="s">
        <v>32</v>
      </c>
      <c r="D4237" t="s">
        <v>584</v>
      </c>
      <c r="E4237" t="s">
        <v>599</v>
      </c>
      <c r="F4237" t="s">
        <v>35</v>
      </c>
      <c r="G4237" t="s">
        <v>35</v>
      </c>
      <c r="H4237" t="s">
        <v>35</v>
      </c>
      <c r="J4237" t="s">
        <v>4699</v>
      </c>
      <c r="K4237" t="s">
        <v>1092</v>
      </c>
      <c r="M4237">
        <v>11.025</v>
      </c>
      <c r="N4237">
        <v>95</v>
      </c>
      <c r="O4237" t="s">
        <v>106</v>
      </c>
      <c r="Q4237" t="s">
        <v>724</v>
      </c>
      <c r="R4237" t="s">
        <v>610</v>
      </c>
      <c r="S4237" t="s">
        <v>539</v>
      </c>
    </row>
    <row r="4238" spans="1:19" x14ac:dyDescent="0.25">
      <c r="A4238" t="s">
        <v>59</v>
      </c>
      <c r="B4238" t="s">
        <v>31</v>
      </c>
      <c r="C4238" t="s">
        <v>32</v>
      </c>
      <c r="D4238" t="s">
        <v>584</v>
      </c>
      <c r="E4238" t="s">
        <v>599</v>
      </c>
      <c r="F4238" t="s">
        <v>35</v>
      </c>
      <c r="G4238" t="s">
        <v>35</v>
      </c>
      <c r="H4238" t="s">
        <v>35</v>
      </c>
      <c r="J4238" t="s">
        <v>4699</v>
      </c>
      <c r="K4238" t="s">
        <v>1092</v>
      </c>
      <c r="M4238">
        <v>4.4999999999999998E-2</v>
      </c>
      <c r="N4238">
        <v>285</v>
      </c>
      <c r="O4238" t="s">
        <v>5</v>
      </c>
      <c r="Q4238" t="s">
        <v>1687</v>
      </c>
      <c r="R4238" t="s">
        <v>610</v>
      </c>
      <c r="S4238" t="s">
        <v>539</v>
      </c>
    </row>
    <row r="4239" spans="1:19" x14ac:dyDescent="0.25">
      <c r="A4239" t="s">
        <v>59</v>
      </c>
      <c r="B4239" t="s">
        <v>60</v>
      </c>
      <c r="C4239" t="s">
        <v>32</v>
      </c>
      <c r="D4239" t="s">
        <v>584</v>
      </c>
      <c r="E4239" t="s">
        <v>599</v>
      </c>
      <c r="F4239" t="s">
        <v>35</v>
      </c>
      <c r="G4239" t="s">
        <v>35</v>
      </c>
      <c r="H4239" t="s">
        <v>35</v>
      </c>
      <c r="J4239" t="s">
        <v>4699</v>
      </c>
      <c r="K4239" t="s">
        <v>1092</v>
      </c>
      <c r="M4239">
        <v>0.15</v>
      </c>
      <c r="N4239">
        <v>275</v>
      </c>
      <c r="O4239" t="s">
        <v>5</v>
      </c>
      <c r="Q4239" t="s">
        <v>4238</v>
      </c>
      <c r="R4239" t="s">
        <v>4644</v>
      </c>
      <c r="S4239" t="s">
        <v>606</v>
      </c>
    </row>
    <row r="4240" spans="1:19" x14ac:dyDescent="0.25">
      <c r="A4240" t="s">
        <v>59</v>
      </c>
      <c r="B4240" t="s">
        <v>31</v>
      </c>
      <c r="C4240" t="s">
        <v>32</v>
      </c>
      <c r="D4240" t="s">
        <v>584</v>
      </c>
      <c r="E4240" t="s">
        <v>599</v>
      </c>
      <c r="F4240" t="s">
        <v>35</v>
      </c>
      <c r="G4240" t="s">
        <v>35</v>
      </c>
      <c r="H4240" t="s">
        <v>35</v>
      </c>
      <c r="J4240" t="s">
        <v>4700</v>
      </c>
      <c r="K4240" t="s">
        <v>1092</v>
      </c>
      <c r="M4240">
        <v>5.7149999999999999</v>
      </c>
      <c r="N4240">
        <v>198</v>
      </c>
      <c r="O4240" t="s">
        <v>5</v>
      </c>
      <c r="Q4240" t="s">
        <v>4086</v>
      </c>
      <c r="R4240" t="s">
        <v>610</v>
      </c>
      <c r="S4240" t="s">
        <v>539</v>
      </c>
    </row>
    <row r="4241" spans="1:19" x14ac:dyDescent="0.25">
      <c r="A4241" t="s">
        <v>59</v>
      </c>
      <c r="B4241" t="s">
        <v>60</v>
      </c>
      <c r="C4241" t="s">
        <v>32</v>
      </c>
      <c r="D4241" t="s">
        <v>584</v>
      </c>
      <c r="E4241" t="s">
        <v>599</v>
      </c>
      <c r="F4241" t="s">
        <v>35</v>
      </c>
      <c r="G4241" t="s">
        <v>35</v>
      </c>
      <c r="H4241" t="s">
        <v>35</v>
      </c>
      <c r="J4241" t="s">
        <v>4700</v>
      </c>
      <c r="K4241" t="s">
        <v>1092</v>
      </c>
      <c r="M4241">
        <v>4.1500000000000004</v>
      </c>
      <c r="N4241">
        <v>198</v>
      </c>
      <c r="O4241" t="s">
        <v>5</v>
      </c>
      <c r="Q4241" t="s">
        <v>4086</v>
      </c>
      <c r="R4241" t="s">
        <v>610</v>
      </c>
      <c r="S4241" t="s">
        <v>539</v>
      </c>
    </row>
    <row r="4242" spans="1:19" x14ac:dyDescent="0.25">
      <c r="A4242" t="s">
        <v>59</v>
      </c>
      <c r="B4242" t="s">
        <v>60</v>
      </c>
      <c r="C4242" t="s">
        <v>32</v>
      </c>
      <c r="D4242" t="s">
        <v>584</v>
      </c>
      <c r="E4242" t="s">
        <v>599</v>
      </c>
      <c r="F4242" t="s">
        <v>35</v>
      </c>
      <c r="G4242" t="s">
        <v>35</v>
      </c>
      <c r="H4242" t="s">
        <v>35</v>
      </c>
      <c r="J4242" t="s">
        <v>4701</v>
      </c>
      <c r="K4242" t="s">
        <v>1092</v>
      </c>
      <c r="M4242">
        <v>0.25</v>
      </c>
      <c r="N4242">
        <v>1133</v>
      </c>
      <c r="O4242" t="s">
        <v>575</v>
      </c>
      <c r="Q4242" t="s">
        <v>4702</v>
      </c>
      <c r="R4242" t="s">
        <v>4686</v>
      </c>
      <c r="S4242" t="s">
        <v>4687</v>
      </c>
    </row>
    <row r="4243" spans="1:19" x14ac:dyDescent="0.25">
      <c r="A4243" t="s">
        <v>59</v>
      </c>
      <c r="B4243" t="s">
        <v>60</v>
      </c>
      <c r="C4243" t="s">
        <v>32</v>
      </c>
      <c r="D4243" t="s">
        <v>584</v>
      </c>
      <c r="E4243" t="s">
        <v>599</v>
      </c>
      <c r="F4243" t="s">
        <v>35</v>
      </c>
      <c r="G4243" t="s">
        <v>35</v>
      </c>
      <c r="H4243" t="s">
        <v>35</v>
      </c>
      <c r="J4243" t="s">
        <v>4703</v>
      </c>
      <c r="K4243" t="s">
        <v>1092</v>
      </c>
      <c r="M4243">
        <v>0.25</v>
      </c>
      <c r="N4243">
        <v>100</v>
      </c>
      <c r="O4243" t="s">
        <v>106</v>
      </c>
      <c r="Q4243" t="s">
        <v>1112</v>
      </c>
      <c r="R4243" t="s">
        <v>4571</v>
      </c>
      <c r="S4243" t="s">
        <v>628</v>
      </c>
    </row>
    <row r="4244" spans="1:19" x14ac:dyDescent="0.25">
      <c r="A4244" t="s">
        <v>59</v>
      </c>
      <c r="B4244" t="s">
        <v>60</v>
      </c>
      <c r="C4244" t="s">
        <v>32</v>
      </c>
      <c r="D4244" t="s">
        <v>584</v>
      </c>
      <c r="E4244" t="s">
        <v>599</v>
      </c>
      <c r="F4244" t="s">
        <v>35</v>
      </c>
      <c r="G4244" t="s">
        <v>35</v>
      </c>
      <c r="H4244" t="s">
        <v>35</v>
      </c>
      <c r="J4244" t="s">
        <v>4704</v>
      </c>
      <c r="K4244" t="s">
        <v>1092</v>
      </c>
      <c r="M4244">
        <v>0.2</v>
      </c>
      <c r="N4244">
        <v>505</v>
      </c>
      <c r="O4244" t="s">
        <v>294</v>
      </c>
      <c r="Q4244" t="s">
        <v>3749</v>
      </c>
      <c r="R4244" t="s">
        <v>637</v>
      </c>
      <c r="S4244" t="s">
        <v>602</v>
      </c>
    </row>
    <row r="4245" spans="1:19" x14ac:dyDescent="0.25">
      <c r="A4245" t="s">
        <v>30</v>
      </c>
      <c r="B4245" t="s">
        <v>31</v>
      </c>
      <c r="C4245" t="s">
        <v>32</v>
      </c>
      <c r="D4245" t="s">
        <v>584</v>
      </c>
      <c r="E4245" t="s">
        <v>599</v>
      </c>
      <c r="F4245" t="s">
        <v>35</v>
      </c>
      <c r="G4245" t="s">
        <v>35</v>
      </c>
      <c r="H4245" t="s">
        <v>35</v>
      </c>
      <c r="J4245" t="s">
        <v>4705</v>
      </c>
      <c r="K4245" t="s">
        <v>1092</v>
      </c>
      <c r="M4245">
        <v>33.075000000000003</v>
      </c>
      <c r="N4245">
        <v>49</v>
      </c>
      <c r="O4245" t="s">
        <v>52</v>
      </c>
      <c r="Q4245" t="s">
        <v>219</v>
      </c>
      <c r="R4245" t="s">
        <v>610</v>
      </c>
      <c r="S4245" t="s">
        <v>539</v>
      </c>
    </row>
    <row r="4246" spans="1:19" x14ac:dyDescent="0.25">
      <c r="A4246" t="s">
        <v>30</v>
      </c>
      <c r="B4246" t="s">
        <v>31</v>
      </c>
      <c r="C4246" t="s">
        <v>32</v>
      </c>
      <c r="D4246" t="s">
        <v>584</v>
      </c>
      <c r="E4246" t="s">
        <v>599</v>
      </c>
      <c r="F4246" t="s">
        <v>35</v>
      </c>
      <c r="G4246" t="s">
        <v>35</v>
      </c>
      <c r="H4246" t="s">
        <v>35</v>
      </c>
      <c r="J4246" t="s">
        <v>4705</v>
      </c>
      <c r="K4246" t="s">
        <v>1092</v>
      </c>
      <c r="M4246">
        <v>4.68</v>
      </c>
      <c r="N4246">
        <v>71</v>
      </c>
      <c r="O4246" t="s">
        <v>61</v>
      </c>
      <c r="Q4246" t="s">
        <v>102</v>
      </c>
      <c r="R4246" t="s">
        <v>610</v>
      </c>
      <c r="S4246" t="s">
        <v>539</v>
      </c>
    </row>
    <row r="4247" spans="1:19" x14ac:dyDescent="0.25">
      <c r="A4247" t="s">
        <v>30</v>
      </c>
      <c r="B4247" t="s">
        <v>31</v>
      </c>
      <c r="C4247" t="s">
        <v>32</v>
      </c>
      <c r="D4247" t="s">
        <v>584</v>
      </c>
      <c r="E4247" t="s">
        <v>599</v>
      </c>
      <c r="F4247" t="s">
        <v>35</v>
      </c>
      <c r="G4247" t="s">
        <v>35</v>
      </c>
      <c r="H4247" t="s">
        <v>35</v>
      </c>
      <c r="J4247" t="s">
        <v>4706</v>
      </c>
      <c r="K4247" t="s">
        <v>1092</v>
      </c>
      <c r="M4247">
        <v>5.49</v>
      </c>
      <c r="N4247">
        <v>94</v>
      </c>
      <c r="O4247" t="s">
        <v>106</v>
      </c>
      <c r="Q4247" t="s">
        <v>394</v>
      </c>
      <c r="R4247" t="s">
        <v>610</v>
      </c>
      <c r="S4247" t="s">
        <v>539</v>
      </c>
    </row>
    <row r="4248" spans="1:19" x14ac:dyDescent="0.25">
      <c r="A4248" t="s">
        <v>59</v>
      </c>
      <c r="B4248" t="s">
        <v>31</v>
      </c>
      <c r="C4248" t="s">
        <v>32</v>
      </c>
      <c r="D4248" t="s">
        <v>584</v>
      </c>
      <c r="E4248" t="s">
        <v>599</v>
      </c>
      <c r="F4248" t="s">
        <v>35</v>
      </c>
      <c r="G4248" t="s">
        <v>35</v>
      </c>
      <c r="H4248" t="s">
        <v>35</v>
      </c>
      <c r="J4248" t="s">
        <v>4706</v>
      </c>
      <c r="K4248" t="s">
        <v>1092</v>
      </c>
      <c r="M4248">
        <v>0.99</v>
      </c>
      <c r="N4248">
        <v>567</v>
      </c>
      <c r="O4248" t="s">
        <v>575</v>
      </c>
      <c r="Q4248" t="s">
        <v>4707</v>
      </c>
      <c r="R4248" t="s">
        <v>610</v>
      </c>
      <c r="S4248" t="s">
        <v>539</v>
      </c>
    </row>
    <row r="4249" spans="1:19" x14ac:dyDescent="0.25">
      <c r="A4249" t="s">
        <v>59</v>
      </c>
      <c r="B4249" t="s">
        <v>60</v>
      </c>
      <c r="C4249" t="s">
        <v>32</v>
      </c>
      <c r="D4249" t="s">
        <v>584</v>
      </c>
      <c r="E4249" t="s">
        <v>599</v>
      </c>
      <c r="F4249" t="s">
        <v>35</v>
      </c>
      <c r="G4249" t="s">
        <v>35</v>
      </c>
      <c r="H4249" t="s">
        <v>35</v>
      </c>
      <c r="J4249" t="s">
        <v>4708</v>
      </c>
      <c r="K4249" t="s">
        <v>1092</v>
      </c>
      <c r="M4249">
        <v>0.35</v>
      </c>
      <c r="N4249">
        <v>162</v>
      </c>
      <c r="O4249" t="s">
        <v>38</v>
      </c>
      <c r="Q4249" t="s">
        <v>2277</v>
      </c>
      <c r="R4249" t="s">
        <v>4686</v>
      </c>
      <c r="S4249" t="s">
        <v>4687</v>
      </c>
    </row>
    <row r="4250" spans="1:19" x14ac:dyDescent="0.25">
      <c r="A4250" t="s">
        <v>59</v>
      </c>
      <c r="B4250" t="s">
        <v>60</v>
      </c>
      <c r="C4250" t="s">
        <v>32</v>
      </c>
      <c r="D4250" t="s">
        <v>584</v>
      </c>
      <c r="E4250" t="s">
        <v>599</v>
      </c>
      <c r="F4250" t="s">
        <v>35</v>
      </c>
      <c r="G4250" t="s">
        <v>35</v>
      </c>
      <c r="H4250" t="s">
        <v>35</v>
      </c>
      <c r="J4250" t="s">
        <v>4708</v>
      </c>
      <c r="K4250" t="s">
        <v>1092</v>
      </c>
      <c r="M4250">
        <v>2</v>
      </c>
      <c r="N4250">
        <v>167</v>
      </c>
      <c r="O4250" t="s">
        <v>38</v>
      </c>
      <c r="Q4250" t="s">
        <v>1120</v>
      </c>
      <c r="R4250" t="s">
        <v>4686</v>
      </c>
      <c r="S4250" t="s">
        <v>4687</v>
      </c>
    </row>
    <row r="4251" spans="1:19" x14ac:dyDescent="0.25">
      <c r="A4251" t="s">
        <v>59</v>
      </c>
      <c r="B4251" t="s">
        <v>60</v>
      </c>
      <c r="C4251" t="s">
        <v>32</v>
      </c>
      <c r="D4251" t="s">
        <v>584</v>
      </c>
      <c r="E4251" t="s">
        <v>599</v>
      </c>
      <c r="F4251" t="s">
        <v>35</v>
      </c>
      <c r="G4251" t="s">
        <v>35</v>
      </c>
      <c r="H4251" t="s">
        <v>35</v>
      </c>
      <c r="J4251" t="s">
        <v>4708</v>
      </c>
      <c r="K4251" t="s">
        <v>1092</v>
      </c>
      <c r="M4251">
        <v>3</v>
      </c>
      <c r="N4251">
        <v>198</v>
      </c>
      <c r="O4251" t="s">
        <v>5</v>
      </c>
      <c r="Q4251" t="s">
        <v>4086</v>
      </c>
      <c r="R4251" t="s">
        <v>4671</v>
      </c>
      <c r="S4251" t="s">
        <v>4672</v>
      </c>
    </row>
    <row r="4252" spans="1:19" x14ac:dyDescent="0.25">
      <c r="A4252" t="s">
        <v>30</v>
      </c>
      <c r="B4252" t="s">
        <v>31</v>
      </c>
      <c r="C4252" t="s">
        <v>32</v>
      </c>
      <c r="D4252" t="s">
        <v>584</v>
      </c>
      <c r="E4252" t="s">
        <v>599</v>
      </c>
      <c r="F4252" t="s">
        <v>35</v>
      </c>
      <c r="G4252" t="s">
        <v>35</v>
      </c>
      <c r="H4252" t="s">
        <v>35</v>
      </c>
      <c r="J4252" t="s">
        <v>4709</v>
      </c>
      <c r="K4252" t="s">
        <v>1092</v>
      </c>
      <c r="M4252">
        <v>11.025</v>
      </c>
      <c r="N4252">
        <v>94</v>
      </c>
      <c r="O4252" t="s">
        <v>106</v>
      </c>
      <c r="Q4252" t="s">
        <v>394</v>
      </c>
      <c r="R4252" t="s">
        <v>610</v>
      </c>
      <c r="S4252" t="s">
        <v>539</v>
      </c>
    </row>
    <row r="4253" spans="1:19" x14ac:dyDescent="0.25">
      <c r="A4253" t="s">
        <v>30</v>
      </c>
      <c r="B4253" t="s">
        <v>31</v>
      </c>
      <c r="C4253" t="s">
        <v>32</v>
      </c>
      <c r="D4253" t="s">
        <v>584</v>
      </c>
      <c r="E4253" t="s">
        <v>599</v>
      </c>
      <c r="F4253" t="s">
        <v>35</v>
      </c>
      <c r="G4253" t="s">
        <v>35</v>
      </c>
      <c r="H4253" t="s">
        <v>35</v>
      </c>
      <c r="J4253" t="s">
        <v>4709</v>
      </c>
      <c r="K4253" t="s">
        <v>1092</v>
      </c>
      <c r="M4253">
        <v>2.4300000000000002</v>
      </c>
      <c r="N4253">
        <v>129</v>
      </c>
      <c r="O4253" t="s">
        <v>38</v>
      </c>
      <c r="Q4253" t="s">
        <v>1449</v>
      </c>
      <c r="R4253" t="s">
        <v>610</v>
      </c>
      <c r="S4253" t="s">
        <v>539</v>
      </c>
    </row>
    <row r="4254" spans="1:19" x14ac:dyDescent="0.25">
      <c r="A4254" t="s">
        <v>59</v>
      </c>
      <c r="B4254" t="s">
        <v>60</v>
      </c>
      <c r="C4254" t="s">
        <v>32</v>
      </c>
      <c r="D4254" t="s">
        <v>584</v>
      </c>
      <c r="E4254" t="s">
        <v>599</v>
      </c>
      <c r="F4254" t="s">
        <v>35</v>
      </c>
      <c r="G4254" t="s">
        <v>35</v>
      </c>
      <c r="H4254" t="s">
        <v>35</v>
      </c>
      <c r="J4254" t="s">
        <v>4710</v>
      </c>
      <c r="K4254" t="s">
        <v>1092</v>
      </c>
      <c r="M4254">
        <v>0.5</v>
      </c>
      <c r="N4254">
        <v>178</v>
      </c>
      <c r="O4254" t="s">
        <v>38</v>
      </c>
      <c r="Q4254" t="s">
        <v>2827</v>
      </c>
      <c r="R4254" t="s">
        <v>637</v>
      </c>
      <c r="S4254" t="s">
        <v>602</v>
      </c>
    </row>
    <row r="4255" spans="1:19" x14ac:dyDescent="0.25">
      <c r="A4255" t="s">
        <v>59</v>
      </c>
      <c r="B4255" t="s">
        <v>60</v>
      </c>
      <c r="C4255" t="s">
        <v>32</v>
      </c>
      <c r="D4255" t="s">
        <v>584</v>
      </c>
      <c r="E4255" t="s">
        <v>599</v>
      </c>
      <c r="F4255" t="s">
        <v>35</v>
      </c>
      <c r="G4255" t="s">
        <v>35</v>
      </c>
      <c r="H4255" t="s">
        <v>35</v>
      </c>
      <c r="J4255" t="s">
        <v>4711</v>
      </c>
      <c r="K4255" t="s">
        <v>1092</v>
      </c>
      <c r="M4255">
        <v>2.5</v>
      </c>
      <c r="N4255">
        <v>198</v>
      </c>
      <c r="O4255" t="s">
        <v>5</v>
      </c>
      <c r="Q4255" t="s">
        <v>4086</v>
      </c>
      <c r="R4255" t="s">
        <v>4671</v>
      </c>
      <c r="S4255" t="s">
        <v>4672</v>
      </c>
    </row>
    <row r="4256" spans="1:19" x14ac:dyDescent="0.25">
      <c r="A4256" t="s">
        <v>59</v>
      </c>
      <c r="B4256" t="s">
        <v>60</v>
      </c>
      <c r="C4256" t="s">
        <v>32</v>
      </c>
      <c r="D4256" t="s">
        <v>584</v>
      </c>
      <c r="E4256" t="s">
        <v>599</v>
      </c>
      <c r="F4256" t="s">
        <v>35</v>
      </c>
      <c r="G4256" t="s">
        <v>35</v>
      </c>
      <c r="H4256" t="s">
        <v>35</v>
      </c>
      <c r="J4256" t="s">
        <v>4713</v>
      </c>
      <c r="K4256" t="s">
        <v>1092</v>
      </c>
      <c r="M4256">
        <v>0.3</v>
      </c>
      <c r="N4256">
        <v>40</v>
      </c>
      <c r="O4256" t="s">
        <v>52</v>
      </c>
      <c r="Q4256" t="s">
        <v>130</v>
      </c>
      <c r="R4256" t="s">
        <v>4571</v>
      </c>
      <c r="S4256" t="s">
        <v>628</v>
      </c>
    </row>
    <row r="4257" spans="1:19" x14ac:dyDescent="0.25">
      <c r="A4257" t="s">
        <v>30</v>
      </c>
      <c r="B4257" t="s">
        <v>31</v>
      </c>
      <c r="C4257" t="s">
        <v>32</v>
      </c>
      <c r="D4257" t="s">
        <v>584</v>
      </c>
      <c r="E4257" t="s">
        <v>599</v>
      </c>
      <c r="F4257" t="s">
        <v>35</v>
      </c>
      <c r="G4257" t="s">
        <v>35</v>
      </c>
      <c r="H4257" t="s">
        <v>35</v>
      </c>
      <c r="J4257" t="s">
        <v>4714</v>
      </c>
      <c r="K4257" t="s">
        <v>1092</v>
      </c>
      <c r="M4257">
        <v>8.01</v>
      </c>
      <c r="N4257">
        <v>394</v>
      </c>
      <c r="O4257" t="s">
        <v>294</v>
      </c>
      <c r="Q4257" t="s">
        <v>1410</v>
      </c>
      <c r="R4257" t="s">
        <v>610</v>
      </c>
      <c r="S4257" t="s">
        <v>539</v>
      </c>
    </row>
    <row r="4258" spans="1:19" x14ac:dyDescent="0.25">
      <c r="A4258" t="s">
        <v>59</v>
      </c>
      <c r="B4258" t="s">
        <v>31</v>
      </c>
      <c r="C4258" t="s">
        <v>32</v>
      </c>
      <c r="D4258" t="s">
        <v>584</v>
      </c>
      <c r="E4258" t="s">
        <v>599</v>
      </c>
      <c r="F4258" t="s">
        <v>35</v>
      </c>
      <c r="G4258" t="s">
        <v>35</v>
      </c>
      <c r="H4258" t="s">
        <v>35</v>
      </c>
      <c r="J4258" t="s">
        <v>4715</v>
      </c>
      <c r="K4258" t="s">
        <v>1092</v>
      </c>
      <c r="M4258">
        <v>2.0249999999999999</v>
      </c>
      <c r="N4258">
        <v>1234</v>
      </c>
      <c r="O4258" t="s">
        <v>575</v>
      </c>
      <c r="Q4258" t="s">
        <v>2186</v>
      </c>
      <c r="R4258" t="s">
        <v>4686</v>
      </c>
      <c r="S4258" t="s">
        <v>4687</v>
      </c>
    </row>
    <row r="4259" spans="1:19" x14ac:dyDescent="0.25">
      <c r="A4259" t="s">
        <v>30</v>
      </c>
      <c r="B4259" t="s">
        <v>31</v>
      </c>
      <c r="C4259" t="s">
        <v>32</v>
      </c>
      <c r="D4259" t="s">
        <v>584</v>
      </c>
      <c r="E4259" t="s">
        <v>599</v>
      </c>
      <c r="F4259" t="s">
        <v>35</v>
      </c>
      <c r="G4259" t="s">
        <v>35</v>
      </c>
      <c r="H4259" t="s">
        <v>35</v>
      </c>
      <c r="J4259" t="s">
        <v>4715</v>
      </c>
      <c r="K4259" t="s">
        <v>1092</v>
      </c>
      <c r="M4259">
        <v>0.40500000000000003</v>
      </c>
      <c r="N4259">
        <v>1332</v>
      </c>
      <c r="O4259" t="s">
        <v>575</v>
      </c>
      <c r="Q4259" t="s">
        <v>2982</v>
      </c>
      <c r="R4259" t="s">
        <v>4686</v>
      </c>
      <c r="S4259" t="s">
        <v>4687</v>
      </c>
    </row>
    <row r="4260" spans="1:19" x14ac:dyDescent="0.25">
      <c r="A4260" t="s">
        <v>59</v>
      </c>
      <c r="B4260" t="s">
        <v>60</v>
      </c>
      <c r="C4260" t="s">
        <v>32</v>
      </c>
      <c r="D4260" t="s">
        <v>584</v>
      </c>
      <c r="E4260" t="s">
        <v>599</v>
      </c>
      <c r="F4260" t="s">
        <v>35</v>
      </c>
      <c r="G4260" t="s">
        <v>35</v>
      </c>
      <c r="H4260" t="s">
        <v>35</v>
      </c>
      <c r="J4260" t="s">
        <v>4715</v>
      </c>
      <c r="K4260" t="s">
        <v>1092</v>
      </c>
      <c r="M4260">
        <v>1.5</v>
      </c>
      <c r="N4260">
        <v>1134</v>
      </c>
      <c r="O4260" t="s">
        <v>575</v>
      </c>
      <c r="Q4260" t="s">
        <v>4716</v>
      </c>
      <c r="R4260" t="s">
        <v>4686</v>
      </c>
      <c r="S4260" t="s">
        <v>4687</v>
      </c>
    </row>
    <row r="4261" spans="1:19" x14ac:dyDescent="0.25">
      <c r="A4261" t="s">
        <v>59</v>
      </c>
      <c r="B4261" t="s">
        <v>60</v>
      </c>
      <c r="C4261" t="s">
        <v>32</v>
      </c>
      <c r="D4261" t="s">
        <v>584</v>
      </c>
      <c r="E4261" t="s">
        <v>599</v>
      </c>
      <c r="F4261" t="s">
        <v>35</v>
      </c>
      <c r="G4261" t="s">
        <v>35</v>
      </c>
      <c r="H4261" t="s">
        <v>35</v>
      </c>
      <c r="J4261" t="s">
        <v>4717</v>
      </c>
      <c r="K4261" t="s">
        <v>1092</v>
      </c>
      <c r="M4261">
        <v>2.1</v>
      </c>
      <c r="N4261">
        <v>572</v>
      </c>
      <c r="O4261" t="s">
        <v>575</v>
      </c>
      <c r="Q4261" t="s">
        <v>4603</v>
      </c>
      <c r="R4261" t="s">
        <v>4571</v>
      </c>
      <c r="S4261" t="s">
        <v>628</v>
      </c>
    </row>
    <row r="4262" spans="1:19" x14ac:dyDescent="0.25">
      <c r="A4262" t="s">
        <v>44</v>
      </c>
      <c r="B4262" t="s">
        <v>51</v>
      </c>
      <c r="C4262" t="s">
        <v>32</v>
      </c>
      <c r="D4262" t="s">
        <v>584</v>
      </c>
      <c r="E4262" t="s">
        <v>599</v>
      </c>
      <c r="F4262" t="s">
        <v>35</v>
      </c>
      <c r="G4262" t="s">
        <v>35</v>
      </c>
      <c r="H4262" t="s">
        <v>35</v>
      </c>
      <c r="J4262" t="s">
        <v>4718</v>
      </c>
      <c r="K4262" t="s">
        <v>1092</v>
      </c>
      <c r="M4262">
        <v>0.05</v>
      </c>
      <c r="N4262">
        <v>497</v>
      </c>
      <c r="O4262" t="s">
        <v>294</v>
      </c>
      <c r="Q4262" t="s">
        <v>3653</v>
      </c>
      <c r="R4262" t="s">
        <v>4686</v>
      </c>
      <c r="S4262" t="s">
        <v>4687</v>
      </c>
    </row>
    <row r="4263" spans="1:19" x14ac:dyDescent="0.25">
      <c r="A4263" t="s">
        <v>59</v>
      </c>
      <c r="B4263" t="s">
        <v>60</v>
      </c>
      <c r="C4263" t="s">
        <v>32</v>
      </c>
      <c r="D4263" t="s">
        <v>584</v>
      </c>
      <c r="E4263" t="s">
        <v>599</v>
      </c>
      <c r="F4263" t="s">
        <v>35</v>
      </c>
      <c r="G4263" t="s">
        <v>35</v>
      </c>
      <c r="H4263" t="s">
        <v>35</v>
      </c>
      <c r="J4263" t="s">
        <v>4719</v>
      </c>
      <c r="K4263" t="s">
        <v>1092</v>
      </c>
      <c r="M4263">
        <v>1.7</v>
      </c>
      <c r="N4263">
        <v>498</v>
      </c>
      <c r="O4263" t="s">
        <v>294</v>
      </c>
      <c r="Q4263" t="s">
        <v>2487</v>
      </c>
      <c r="R4263" t="s">
        <v>4720</v>
      </c>
      <c r="S4263" t="s">
        <v>634</v>
      </c>
    </row>
    <row r="4264" spans="1:19" x14ac:dyDescent="0.25">
      <c r="A4264" t="s">
        <v>59</v>
      </c>
      <c r="B4264" t="s">
        <v>60</v>
      </c>
      <c r="C4264" t="s">
        <v>32</v>
      </c>
      <c r="D4264" t="s">
        <v>584</v>
      </c>
      <c r="E4264" t="s">
        <v>599</v>
      </c>
      <c r="F4264" t="s">
        <v>35</v>
      </c>
      <c r="G4264" t="s">
        <v>35</v>
      </c>
      <c r="H4264" t="s">
        <v>35</v>
      </c>
      <c r="J4264" t="s">
        <v>4721</v>
      </c>
      <c r="K4264" t="s">
        <v>1092</v>
      </c>
      <c r="M4264">
        <v>1</v>
      </c>
      <c r="N4264">
        <v>16</v>
      </c>
      <c r="O4264" t="s">
        <v>46</v>
      </c>
      <c r="Q4264" t="s">
        <v>323</v>
      </c>
      <c r="R4264" t="s">
        <v>4571</v>
      </c>
      <c r="S4264" t="s">
        <v>628</v>
      </c>
    </row>
    <row r="4265" spans="1:19" x14ac:dyDescent="0.25">
      <c r="A4265" t="s">
        <v>30</v>
      </c>
      <c r="B4265" t="s">
        <v>31</v>
      </c>
      <c r="C4265" t="s">
        <v>32</v>
      </c>
      <c r="D4265" t="s">
        <v>584</v>
      </c>
      <c r="E4265" t="s">
        <v>599</v>
      </c>
      <c r="F4265" t="s">
        <v>35</v>
      </c>
      <c r="G4265" t="s">
        <v>35</v>
      </c>
      <c r="H4265" t="s">
        <v>35</v>
      </c>
      <c r="J4265" t="s">
        <v>4722</v>
      </c>
      <c r="K4265" t="s">
        <v>1092</v>
      </c>
      <c r="M4265">
        <v>6.5250000000000004</v>
      </c>
      <c r="N4265">
        <v>71</v>
      </c>
      <c r="O4265" t="s">
        <v>61</v>
      </c>
      <c r="Q4265" t="s">
        <v>102</v>
      </c>
      <c r="R4265" t="s">
        <v>610</v>
      </c>
      <c r="S4265" t="s">
        <v>539</v>
      </c>
    </row>
    <row r="4266" spans="1:19" x14ac:dyDescent="0.25">
      <c r="A4266" t="s">
        <v>30</v>
      </c>
      <c r="B4266" t="s">
        <v>31</v>
      </c>
      <c r="C4266" t="s">
        <v>32</v>
      </c>
      <c r="D4266" t="s">
        <v>584</v>
      </c>
      <c r="E4266" t="s">
        <v>599</v>
      </c>
      <c r="F4266" t="s">
        <v>35</v>
      </c>
      <c r="G4266" t="s">
        <v>35</v>
      </c>
      <c r="H4266" t="s">
        <v>35</v>
      </c>
      <c r="J4266" t="s">
        <v>4723</v>
      </c>
      <c r="K4266" t="s">
        <v>1092</v>
      </c>
      <c r="M4266">
        <v>5.4</v>
      </c>
      <c r="N4266">
        <v>49</v>
      </c>
      <c r="O4266" t="s">
        <v>52</v>
      </c>
      <c r="Q4266" t="s">
        <v>219</v>
      </c>
      <c r="R4266" t="s">
        <v>610</v>
      </c>
      <c r="S4266" t="s">
        <v>539</v>
      </c>
    </row>
    <row r="4267" spans="1:19" x14ac:dyDescent="0.25">
      <c r="A4267" t="s">
        <v>30</v>
      </c>
      <c r="B4267" t="s">
        <v>31</v>
      </c>
      <c r="C4267" t="s">
        <v>32</v>
      </c>
      <c r="D4267" t="s">
        <v>584</v>
      </c>
      <c r="E4267" t="s">
        <v>599</v>
      </c>
      <c r="F4267" t="s">
        <v>35</v>
      </c>
      <c r="G4267" t="s">
        <v>35</v>
      </c>
      <c r="H4267" t="s">
        <v>35</v>
      </c>
      <c r="J4267" t="s">
        <v>4724</v>
      </c>
      <c r="K4267" t="s">
        <v>1092</v>
      </c>
      <c r="M4267">
        <v>7.47</v>
      </c>
      <c r="N4267">
        <v>49</v>
      </c>
      <c r="O4267" t="s">
        <v>52</v>
      </c>
      <c r="Q4267" t="s">
        <v>219</v>
      </c>
      <c r="R4267" t="s">
        <v>610</v>
      </c>
      <c r="S4267" t="s">
        <v>539</v>
      </c>
    </row>
    <row r="4268" spans="1:19" x14ac:dyDescent="0.25">
      <c r="A4268" t="s">
        <v>30</v>
      </c>
      <c r="B4268" t="s">
        <v>31</v>
      </c>
      <c r="C4268" t="s">
        <v>32</v>
      </c>
      <c r="D4268" t="s">
        <v>584</v>
      </c>
      <c r="E4268" t="s">
        <v>599</v>
      </c>
      <c r="F4268" t="s">
        <v>35</v>
      </c>
      <c r="G4268" t="s">
        <v>35</v>
      </c>
      <c r="H4268" t="s">
        <v>35</v>
      </c>
      <c r="J4268" t="s">
        <v>4725</v>
      </c>
      <c r="K4268" t="s">
        <v>1092</v>
      </c>
      <c r="M4268">
        <v>0.40500000000000003</v>
      </c>
      <c r="N4268">
        <v>170</v>
      </c>
      <c r="O4268" t="s">
        <v>38</v>
      </c>
      <c r="Q4268" t="s">
        <v>2780</v>
      </c>
      <c r="R4268" t="s">
        <v>610</v>
      </c>
      <c r="S4268" t="s">
        <v>539</v>
      </c>
    </row>
    <row r="4269" spans="1:19" x14ac:dyDescent="0.25">
      <c r="A4269" t="s">
        <v>30</v>
      </c>
      <c r="B4269" t="s">
        <v>31</v>
      </c>
      <c r="C4269" t="s">
        <v>32</v>
      </c>
      <c r="D4269" t="s">
        <v>584</v>
      </c>
      <c r="E4269" t="s">
        <v>599</v>
      </c>
      <c r="F4269" t="s">
        <v>35</v>
      </c>
      <c r="G4269" t="s">
        <v>35</v>
      </c>
      <c r="H4269" t="s">
        <v>35</v>
      </c>
      <c r="J4269" t="s">
        <v>4726</v>
      </c>
      <c r="K4269" t="s">
        <v>1092</v>
      </c>
      <c r="M4269">
        <v>0.495</v>
      </c>
      <c r="N4269">
        <v>94</v>
      </c>
      <c r="O4269" t="s">
        <v>106</v>
      </c>
      <c r="Q4269" t="s">
        <v>394</v>
      </c>
      <c r="R4269" t="s">
        <v>610</v>
      </c>
      <c r="S4269" t="s">
        <v>539</v>
      </c>
    </row>
    <row r="4270" spans="1:19" x14ac:dyDescent="0.25">
      <c r="A4270" t="s">
        <v>59</v>
      </c>
      <c r="B4270" t="s">
        <v>60</v>
      </c>
      <c r="C4270" t="s">
        <v>32</v>
      </c>
      <c r="D4270" t="s">
        <v>584</v>
      </c>
      <c r="E4270" t="s">
        <v>599</v>
      </c>
      <c r="F4270" t="s">
        <v>35</v>
      </c>
      <c r="G4270" t="s">
        <v>35</v>
      </c>
      <c r="H4270" t="s">
        <v>35</v>
      </c>
      <c r="J4270" t="s">
        <v>4727</v>
      </c>
      <c r="K4270" t="s">
        <v>1092</v>
      </c>
      <c r="M4270">
        <v>0.95</v>
      </c>
      <c r="N4270">
        <v>77</v>
      </c>
      <c r="O4270" t="s">
        <v>61</v>
      </c>
      <c r="Q4270" t="s">
        <v>305</v>
      </c>
      <c r="R4270" t="s">
        <v>4720</v>
      </c>
      <c r="S4270" t="s">
        <v>634</v>
      </c>
    </row>
    <row r="4271" spans="1:19" x14ac:dyDescent="0.25">
      <c r="A4271" t="s">
        <v>44</v>
      </c>
      <c r="B4271" t="s">
        <v>3</v>
      </c>
      <c r="C4271" t="s">
        <v>32</v>
      </c>
      <c r="D4271" t="s">
        <v>584</v>
      </c>
      <c r="E4271" t="s">
        <v>599</v>
      </c>
      <c r="F4271" t="s">
        <v>35</v>
      </c>
      <c r="G4271" t="s">
        <v>35</v>
      </c>
      <c r="H4271" t="s">
        <v>35</v>
      </c>
      <c r="J4271" t="s">
        <v>4727</v>
      </c>
      <c r="K4271" t="s">
        <v>1092</v>
      </c>
      <c r="M4271">
        <v>0.15</v>
      </c>
      <c r="N4271">
        <v>356</v>
      </c>
      <c r="O4271" t="s">
        <v>5</v>
      </c>
      <c r="Q4271" t="s">
        <v>4728</v>
      </c>
      <c r="R4271" t="s">
        <v>4729</v>
      </c>
      <c r="S4271" t="s">
        <v>4730</v>
      </c>
    </row>
    <row r="4272" spans="1:19" x14ac:dyDescent="0.25">
      <c r="A4272" t="s">
        <v>59</v>
      </c>
      <c r="B4272" t="s">
        <v>31</v>
      </c>
      <c r="C4272" t="s">
        <v>32</v>
      </c>
      <c r="D4272" t="s">
        <v>584</v>
      </c>
      <c r="E4272" t="s">
        <v>599</v>
      </c>
      <c r="F4272" t="s">
        <v>35</v>
      </c>
      <c r="G4272" t="s">
        <v>35</v>
      </c>
      <c r="H4272" t="s">
        <v>35</v>
      </c>
      <c r="J4272" t="s">
        <v>4732</v>
      </c>
      <c r="K4272" t="s">
        <v>1092</v>
      </c>
      <c r="M4272">
        <v>4.4999999999999998E-2</v>
      </c>
      <c r="N4272">
        <v>131</v>
      </c>
      <c r="O4272" t="s">
        <v>38</v>
      </c>
      <c r="Q4272" t="s">
        <v>646</v>
      </c>
      <c r="R4272" t="s">
        <v>610</v>
      </c>
      <c r="S4272" t="s">
        <v>539</v>
      </c>
    </row>
    <row r="4273" spans="1:19" x14ac:dyDescent="0.25">
      <c r="A4273" t="s">
        <v>59</v>
      </c>
      <c r="B4273" t="s">
        <v>60</v>
      </c>
      <c r="C4273" t="s">
        <v>32</v>
      </c>
      <c r="D4273" t="s">
        <v>584</v>
      </c>
      <c r="E4273" t="s">
        <v>4733</v>
      </c>
      <c r="F4273" t="s">
        <v>35</v>
      </c>
      <c r="G4273" t="s">
        <v>35</v>
      </c>
      <c r="H4273" t="s">
        <v>35</v>
      </c>
      <c r="J4273" t="s">
        <v>4734</v>
      </c>
      <c r="K4273" t="s">
        <v>1092</v>
      </c>
      <c r="M4273">
        <v>7.4</v>
      </c>
      <c r="N4273">
        <v>126</v>
      </c>
      <c r="O4273" t="s">
        <v>38</v>
      </c>
      <c r="Q4273" t="s">
        <v>1813</v>
      </c>
      <c r="R4273" t="s">
        <v>4541</v>
      </c>
      <c r="S4273" t="s">
        <v>4542</v>
      </c>
    </row>
    <row r="4274" spans="1:19" x14ac:dyDescent="0.25">
      <c r="A4274" t="s">
        <v>30</v>
      </c>
      <c r="B4274" t="s">
        <v>31</v>
      </c>
      <c r="C4274" t="s">
        <v>32</v>
      </c>
      <c r="D4274" t="s">
        <v>584</v>
      </c>
      <c r="E4274" t="s">
        <v>4733</v>
      </c>
      <c r="F4274" t="s">
        <v>35</v>
      </c>
      <c r="G4274" t="s">
        <v>35</v>
      </c>
      <c r="H4274" t="s">
        <v>35</v>
      </c>
      <c r="J4274" t="s">
        <v>4735</v>
      </c>
      <c r="K4274" t="s">
        <v>404</v>
      </c>
      <c r="M4274">
        <v>7.92</v>
      </c>
      <c r="N4274">
        <v>53</v>
      </c>
      <c r="O4274" t="s">
        <v>52</v>
      </c>
      <c r="Q4274" t="s">
        <v>332</v>
      </c>
      <c r="R4274" t="s">
        <v>4647</v>
      </c>
      <c r="S4274" t="s">
        <v>590</v>
      </c>
    </row>
    <row r="4275" spans="1:19" x14ac:dyDescent="0.25">
      <c r="A4275" t="s">
        <v>30</v>
      </c>
      <c r="B4275" t="s">
        <v>31</v>
      </c>
      <c r="C4275" t="s">
        <v>32</v>
      </c>
      <c r="D4275" t="s">
        <v>584</v>
      </c>
      <c r="E4275" t="s">
        <v>4733</v>
      </c>
      <c r="F4275" t="s">
        <v>35</v>
      </c>
      <c r="G4275" t="s">
        <v>35</v>
      </c>
      <c r="H4275" t="s">
        <v>35</v>
      </c>
      <c r="J4275" t="s">
        <v>4736</v>
      </c>
      <c r="K4275" t="s">
        <v>404</v>
      </c>
      <c r="M4275">
        <v>11.025</v>
      </c>
      <c r="N4275">
        <v>95</v>
      </c>
      <c r="O4275" t="s">
        <v>106</v>
      </c>
      <c r="Q4275" t="s">
        <v>724</v>
      </c>
      <c r="R4275" t="s">
        <v>610</v>
      </c>
      <c r="S4275" t="s">
        <v>539</v>
      </c>
    </row>
    <row r="4276" spans="1:19" x14ac:dyDescent="0.25">
      <c r="A4276" t="s">
        <v>30</v>
      </c>
      <c r="B4276" t="s">
        <v>31</v>
      </c>
      <c r="C4276" t="s">
        <v>32</v>
      </c>
      <c r="D4276" t="s">
        <v>584</v>
      </c>
      <c r="E4276" t="s">
        <v>4733</v>
      </c>
      <c r="F4276" t="s">
        <v>35</v>
      </c>
      <c r="G4276" t="s">
        <v>35</v>
      </c>
      <c r="H4276" t="s">
        <v>35</v>
      </c>
      <c r="J4276" t="s">
        <v>4737</v>
      </c>
      <c r="K4276" t="s">
        <v>1092</v>
      </c>
      <c r="M4276">
        <v>5.31</v>
      </c>
      <c r="N4276">
        <v>133</v>
      </c>
      <c r="O4276" t="s">
        <v>38</v>
      </c>
      <c r="Q4276" t="s">
        <v>68</v>
      </c>
      <c r="R4276" t="s">
        <v>610</v>
      </c>
      <c r="S4276" t="s">
        <v>539</v>
      </c>
    </row>
    <row r="4277" spans="1:19" x14ac:dyDescent="0.25">
      <c r="A4277" t="s">
        <v>30</v>
      </c>
      <c r="B4277" t="s">
        <v>31</v>
      </c>
      <c r="C4277" t="s">
        <v>32</v>
      </c>
      <c r="D4277" t="s">
        <v>584</v>
      </c>
      <c r="E4277" t="s">
        <v>4733</v>
      </c>
      <c r="F4277" t="s">
        <v>35</v>
      </c>
      <c r="G4277" t="s">
        <v>35</v>
      </c>
      <c r="H4277" t="s">
        <v>35</v>
      </c>
      <c r="J4277" t="s">
        <v>4738</v>
      </c>
      <c r="K4277" t="s">
        <v>1092</v>
      </c>
      <c r="M4277">
        <v>5.7149999999999999</v>
      </c>
      <c r="N4277">
        <v>49</v>
      </c>
      <c r="O4277" t="s">
        <v>52</v>
      </c>
      <c r="Q4277" t="s">
        <v>219</v>
      </c>
      <c r="R4277" t="s">
        <v>610</v>
      </c>
      <c r="S4277" t="s">
        <v>539</v>
      </c>
    </row>
    <row r="4278" spans="1:19" x14ac:dyDescent="0.25">
      <c r="A4278" t="s">
        <v>59</v>
      </c>
      <c r="B4278" t="s">
        <v>60</v>
      </c>
      <c r="C4278" t="s">
        <v>32</v>
      </c>
      <c r="D4278" t="s">
        <v>584</v>
      </c>
      <c r="E4278" t="s">
        <v>4733</v>
      </c>
      <c r="F4278" t="s">
        <v>35</v>
      </c>
      <c r="G4278" t="s">
        <v>35</v>
      </c>
      <c r="H4278" t="s">
        <v>35</v>
      </c>
      <c r="J4278" t="s">
        <v>4739</v>
      </c>
      <c r="K4278" t="s">
        <v>1092</v>
      </c>
      <c r="M4278">
        <v>3.25</v>
      </c>
      <c r="N4278">
        <v>126</v>
      </c>
      <c r="O4278" t="s">
        <v>38</v>
      </c>
      <c r="Q4278" t="s">
        <v>1813</v>
      </c>
      <c r="R4278" t="s">
        <v>4541</v>
      </c>
      <c r="S4278" t="s">
        <v>4542</v>
      </c>
    </row>
    <row r="4279" spans="1:19" x14ac:dyDescent="0.25">
      <c r="A4279" t="s">
        <v>44</v>
      </c>
      <c r="B4279" t="s">
        <v>3</v>
      </c>
      <c r="C4279" t="s">
        <v>32</v>
      </c>
      <c r="D4279" t="s">
        <v>584</v>
      </c>
      <c r="E4279" t="s">
        <v>4733</v>
      </c>
      <c r="F4279" t="s">
        <v>35</v>
      </c>
      <c r="G4279" t="s">
        <v>35</v>
      </c>
      <c r="H4279" t="s">
        <v>35</v>
      </c>
      <c r="J4279" t="s">
        <v>4740</v>
      </c>
      <c r="K4279" t="s">
        <v>1092</v>
      </c>
      <c r="M4279">
        <v>0.15</v>
      </c>
      <c r="N4279">
        <v>504</v>
      </c>
      <c r="O4279" t="s">
        <v>294</v>
      </c>
      <c r="Q4279" t="s">
        <v>1614</v>
      </c>
      <c r="R4279" t="s">
        <v>4741</v>
      </c>
      <c r="S4279" t="s">
        <v>4742</v>
      </c>
    </row>
    <row r="4280" spans="1:19" x14ac:dyDescent="0.25">
      <c r="A4280" t="s">
        <v>59</v>
      </c>
      <c r="B4280" t="s">
        <v>60</v>
      </c>
      <c r="C4280" t="s">
        <v>32</v>
      </c>
      <c r="D4280" t="s">
        <v>584</v>
      </c>
      <c r="E4280" t="s">
        <v>4733</v>
      </c>
      <c r="F4280" t="s">
        <v>35</v>
      </c>
      <c r="G4280" t="s">
        <v>35</v>
      </c>
      <c r="H4280" t="s">
        <v>35</v>
      </c>
      <c r="J4280" t="s">
        <v>4744</v>
      </c>
      <c r="K4280" t="s">
        <v>1092</v>
      </c>
      <c r="M4280">
        <v>0.75</v>
      </c>
      <c r="N4280">
        <v>75</v>
      </c>
      <c r="O4280" t="s">
        <v>61</v>
      </c>
      <c r="Q4280" t="s">
        <v>805</v>
      </c>
      <c r="R4280" t="s">
        <v>4571</v>
      </c>
      <c r="S4280" t="s">
        <v>628</v>
      </c>
    </row>
    <row r="4281" spans="1:19" x14ac:dyDescent="0.25">
      <c r="A4281" t="s">
        <v>30</v>
      </c>
      <c r="B4281" t="s">
        <v>31</v>
      </c>
      <c r="C4281" t="s">
        <v>32</v>
      </c>
      <c r="D4281" t="s">
        <v>584</v>
      </c>
      <c r="E4281" t="s">
        <v>4733</v>
      </c>
      <c r="F4281" t="s">
        <v>35</v>
      </c>
      <c r="G4281" t="s">
        <v>35</v>
      </c>
      <c r="H4281" t="s">
        <v>35</v>
      </c>
      <c r="J4281" t="s">
        <v>4745</v>
      </c>
      <c r="K4281" t="s">
        <v>1092</v>
      </c>
      <c r="M4281">
        <v>7.65</v>
      </c>
      <c r="N4281">
        <v>394</v>
      </c>
      <c r="O4281" t="s">
        <v>294</v>
      </c>
      <c r="Q4281" t="s">
        <v>1410</v>
      </c>
      <c r="R4281" t="s">
        <v>610</v>
      </c>
      <c r="S4281" t="s">
        <v>539</v>
      </c>
    </row>
    <row r="4282" spans="1:19" x14ac:dyDescent="0.25">
      <c r="A4282" t="s">
        <v>30</v>
      </c>
      <c r="B4282" t="s">
        <v>31</v>
      </c>
      <c r="C4282" t="s">
        <v>32</v>
      </c>
      <c r="D4282" t="s">
        <v>584</v>
      </c>
      <c r="E4282" t="s">
        <v>4733</v>
      </c>
      <c r="F4282" t="s">
        <v>35</v>
      </c>
      <c r="G4282" t="s">
        <v>35</v>
      </c>
      <c r="H4282" t="s">
        <v>35</v>
      </c>
      <c r="J4282" t="s">
        <v>4746</v>
      </c>
      <c r="K4282" t="s">
        <v>1092</v>
      </c>
      <c r="M4282">
        <v>11.025</v>
      </c>
      <c r="N4282">
        <v>155</v>
      </c>
      <c r="O4282" t="s">
        <v>38</v>
      </c>
      <c r="Q4282" t="s">
        <v>3942</v>
      </c>
      <c r="R4282" t="s">
        <v>610</v>
      </c>
      <c r="S4282" t="s">
        <v>539</v>
      </c>
    </row>
    <row r="4283" spans="1:19" x14ac:dyDescent="0.25">
      <c r="A4283" t="s">
        <v>30</v>
      </c>
      <c r="B4283" t="s">
        <v>31</v>
      </c>
      <c r="C4283" t="s">
        <v>32</v>
      </c>
      <c r="D4283" t="s">
        <v>584</v>
      </c>
      <c r="E4283" t="s">
        <v>4733</v>
      </c>
      <c r="F4283" t="s">
        <v>35</v>
      </c>
      <c r="G4283" t="s">
        <v>35</v>
      </c>
      <c r="H4283" t="s">
        <v>35</v>
      </c>
      <c r="J4283" t="s">
        <v>4746</v>
      </c>
      <c r="K4283" t="s">
        <v>1092</v>
      </c>
      <c r="M4283">
        <v>6.93</v>
      </c>
      <c r="N4283">
        <v>264</v>
      </c>
      <c r="O4283" t="s">
        <v>5</v>
      </c>
      <c r="Q4283" t="s">
        <v>1721</v>
      </c>
      <c r="R4283" t="s">
        <v>610</v>
      </c>
      <c r="S4283" t="s">
        <v>539</v>
      </c>
    </row>
    <row r="4284" spans="1:19" x14ac:dyDescent="0.25">
      <c r="A4284" t="s">
        <v>59</v>
      </c>
      <c r="B4284" t="s">
        <v>31</v>
      </c>
      <c r="C4284" t="s">
        <v>32</v>
      </c>
      <c r="D4284" t="s">
        <v>584</v>
      </c>
      <c r="E4284" t="s">
        <v>4733</v>
      </c>
      <c r="F4284" t="s">
        <v>35</v>
      </c>
      <c r="G4284" t="s">
        <v>35</v>
      </c>
      <c r="H4284" t="s">
        <v>35</v>
      </c>
      <c r="J4284" t="s">
        <v>4746</v>
      </c>
      <c r="K4284" t="s">
        <v>1092</v>
      </c>
      <c r="M4284">
        <v>9.9</v>
      </c>
      <c r="N4284">
        <v>140</v>
      </c>
      <c r="O4284" t="s">
        <v>38</v>
      </c>
      <c r="Q4284" t="s">
        <v>609</v>
      </c>
      <c r="R4284" t="s">
        <v>610</v>
      </c>
      <c r="S4284" t="s">
        <v>539</v>
      </c>
    </row>
    <row r="4285" spans="1:19" x14ac:dyDescent="0.25">
      <c r="A4285" t="s">
        <v>59</v>
      </c>
      <c r="B4285" t="s">
        <v>60</v>
      </c>
      <c r="C4285" t="s">
        <v>32</v>
      </c>
      <c r="D4285" t="s">
        <v>584</v>
      </c>
      <c r="E4285" t="s">
        <v>4733</v>
      </c>
      <c r="F4285" t="s">
        <v>35</v>
      </c>
      <c r="G4285" t="s">
        <v>35</v>
      </c>
      <c r="H4285" t="s">
        <v>35</v>
      </c>
      <c r="J4285" t="s">
        <v>4747</v>
      </c>
      <c r="K4285" t="s">
        <v>1092</v>
      </c>
      <c r="M4285">
        <v>0.4</v>
      </c>
      <c r="N4285">
        <v>1305</v>
      </c>
      <c r="O4285" t="s">
        <v>575</v>
      </c>
      <c r="Q4285" t="s">
        <v>4748</v>
      </c>
      <c r="R4285" t="s">
        <v>4541</v>
      </c>
      <c r="S4285" t="s">
        <v>4542</v>
      </c>
    </row>
    <row r="4286" spans="1:19" x14ac:dyDescent="0.25">
      <c r="A4286" t="s">
        <v>59</v>
      </c>
      <c r="B4286" t="s">
        <v>60</v>
      </c>
      <c r="C4286" t="s">
        <v>32</v>
      </c>
      <c r="D4286" t="s">
        <v>584</v>
      </c>
      <c r="E4286" t="s">
        <v>4733</v>
      </c>
      <c r="F4286" t="s">
        <v>35</v>
      </c>
      <c r="G4286" t="s">
        <v>35</v>
      </c>
      <c r="H4286" t="s">
        <v>35</v>
      </c>
      <c r="J4286" t="s">
        <v>4749</v>
      </c>
      <c r="K4286" t="s">
        <v>1092</v>
      </c>
      <c r="M4286">
        <v>2</v>
      </c>
      <c r="N4286">
        <v>126</v>
      </c>
      <c r="O4286" t="s">
        <v>38</v>
      </c>
      <c r="Q4286" t="s">
        <v>1813</v>
      </c>
      <c r="R4286" t="s">
        <v>4541</v>
      </c>
      <c r="S4286" t="s">
        <v>4542</v>
      </c>
    </row>
    <row r="4287" spans="1:19" x14ac:dyDescent="0.25">
      <c r="A4287" t="s">
        <v>59</v>
      </c>
      <c r="B4287" t="s">
        <v>60</v>
      </c>
      <c r="C4287" t="s">
        <v>32</v>
      </c>
      <c r="D4287" t="s">
        <v>584</v>
      </c>
      <c r="E4287" t="s">
        <v>4733</v>
      </c>
      <c r="F4287" t="s">
        <v>35</v>
      </c>
      <c r="G4287" t="s">
        <v>35</v>
      </c>
      <c r="H4287" t="s">
        <v>35</v>
      </c>
      <c r="J4287" t="s">
        <v>4344</v>
      </c>
      <c r="K4287" t="s">
        <v>1092</v>
      </c>
      <c r="M4287">
        <v>1.5</v>
      </c>
      <c r="N4287">
        <v>24</v>
      </c>
      <c r="O4287" t="s">
        <v>46</v>
      </c>
      <c r="Q4287" t="s">
        <v>255</v>
      </c>
      <c r="R4287" t="s">
        <v>4750</v>
      </c>
      <c r="S4287" t="s">
        <v>625</v>
      </c>
    </row>
    <row r="4288" spans="1:19" x14ac:dyDescent="0.25">
      <c r="A4288" t="s">
        <v>30</v>
      </c>
      <c r="B4288" t="s">
        <v>31</v>
      </c>
      <c r="C4288" t="s">
        <v>32</v>
      </c>
      <c r="D4288" t="s">
        <v>584</v>
      </c>
      <c r="E4288" t="s">
        <v>4733</v>
      </c>
      <c r="F4288" t="s">
        <v>35</v>
      </c>
      <c r="G4288" t="s">
        <v>35</v>
      </c>
      <c r="H4288" t="s">
        <v>35</v>
      </c>
      <c r="J4288" t="s">
        <v>4751</v>
      </c>
      <c r="K4288" t="s">
        <v>1092</v>
      </c>
      <c r="M4288">
        <v>5.94</v>
      </c>
      <c r="N4288">
        <v>217</v>
      </c>
      <c r="O4288" t="s">
        <v>5</v>
      </c>
      <c r="Q4288" t="s">
        <v>1159</v>
      </c>
      <c r="R4288" t="s">
        <v>4752</v>
      </c>
      <c r="S4288" t="s">
        <v>4753</v>
      </c>
    </row>
    <row r="4289" spans="1:19" x14ac:dyDescent="0.25">
      <c r="A4289" t="s">
        <v>59</v>
      </c>
      <c r="B4289" t="s">
        <v>60</v>
      </c>
      <c r="C4289" t="s">
        <v>32</v>
      </c>
      <c r="D4289" t="s">
        <v>584</v>
      </c>
      <c r="E4289" t="s">
        <v>4733</v>
      </c>
      <c r="F4289" t="s">
        <v>35</v>
      </c>
      <c r="G4289" t="s">
        <v>35</v>
      </c>
      <c r="H4289" t="s">
        <v>35</v>
      </c>
      <c r="J4289" t="s">
        <v>4755</v>
      </c>
      <c r="K4289" t="s">
        <v>1092</v>
      </c>
      <c r="M4289">
        <v>3.85</v>
      </c>
      <c r="N4289">
        <v>133</v>
      </c>
      <c r="O4289" t="s">
        <v>38</v>
      </c>
      <c r="Q4289" t="s">
        <v>68</v>
      </c>
      <c r="R4289" t="s">
        <v>4541</v>
      </c>
      <c r="S4289" t="s">
        <v>4542</v>
      </c>
    </row>
    <row r="4290" spans="1:19" x14ac:dyDescent="0.25">
      <c r="A4290" t="s">
        <v>30</v>
      </c>
      <c r="B4290" t="s">
        <v>31</v>
      </c>
      <c r="C4290" t="s">
        <v>32</v>
      </c>
      <c r="D4290" t="s">
        <v>584</v>
      </c>
      <c r="E4290" t="s">
        <v>4733</v>
      </c>
      <c r="F4290" t="s">
        <v>35</v>
      </c>
      <c r="G4290" t="s">
        <v>35</v>
      </c>
      <c r="H4290" t="s">
        <v>35</v>
      </c>
      <c r="J4290" t="s">
        <v>4756</v>
      </c>
      <c r="K4290" t="s">
        <v>1092</v>
      </c>
      <c r="M4290">
        <v>8.4600000000000009</v>
      </c>
      <c r="N4290">
        <v>49</v>
      </c>
      <c r="O4290" t="s">
        <v>52</v>
      </c>
      <c r="Q4290" t="s">
        <v>219</v>
      </c>
      <c r="R4290" t="s">
        <v>610</v>
      </c>
      <c r="S4290" t="s">
        <v>539</v>
      </c>
    </row>
    <row r="4291" spans="1:19" x14ac:dyDescent="0.25">
      <c r="A4291" t="s">
        <v>59</v>
      </c>
      <c r="B4291" t="s">
        <v>60</v>
      </c>
      <c r="C4291" t="s">
        <v>32</v>
      </c>
      <c r="D4291" t="s">
        <v>584</v>
      </c>
      <c r="E4291" t="s">
        <v>4733</v>
      </c>
      <c r="F4291" t="s">
        <v>35</v>
      </c>
      <c r="G4291" t="s">
        <v>35</v>
      </c>
      <c r="H4291" t="s">
        <v>35</v>
      </c>
      <c r="J4291" t="s">
        <v>4757</v>
      </c>
      <c r="K4291" t="s">
        <v>1092</v>
      </c>
      <c r="M4291">
        <v>3.05</v>
      </c>
      <c r="N4291">
        <v>126</v>
      </c>
      <c r="O4291" t="s">
        <v>38</v>
      </c>
      <c r="Q4291" t="s">
        <v>1813</v>
      </c>
      <c r="R4291" t="s">
        <v>4541</v>
      </c>
      <c r="S4291" t="s">
        <v>4542</v>
      </c>
    </row>
    <row r="4292" spans="1:19" x14ac:dyDescent="0.25">
      <c r="A4292" t="s">
        <v>30</v>
      </c>
      <c r="B4292" t="s">
        <v>31</v>
      </c>
      <c r="C4292" t="s">
        <v>32</v>
      </c>
      <c r="D4292" t="s">
        <v>584</v>
      </c>
      <c r="E4292" t="s">
        <v>4733</v>
      </c>
      <c r="F4292" t="s">
        <v>35</v>
      </c>
      <c r="G4292" t="s">
        <v>35</v>
      </c>
      <c r="H4292" t="s">
        <v>35</v>
      </c>
      <c r="J4292" t="s">
        <v>4757</v>
      </c>
      <c r="K4292" t="s">
        <v>1092</v>
      </c>
      <c r="M4292">
        <v>4.4999999999999998E-2</v>
      </c>
      <c r="N4292">
        <v>367</v>
      </c>
      <c r="O4292" t="s">
        <v>294</v>
      </c>
      <c r="Q4292" t="s">
        <v>3978</v>
      </c>
      <c r="R4292" t="s">
        <v>610</v>
      </c>
      <c r="S4292" t="s">
        <v>539</v>
      </c>
    </row>
    <row r="4293" spans="1:19" x14ac:dyDescent="0.25">
      <c r="A4293" t="s">
        <v>59</v>
      </c>
      <c r="B4293" t="s">
        <v>31</v>
      </c>
      <c r="C4293" t="s">
        <v>32</v>
      </c>
      <c r="D4293" t="s">
        <v>584</v>
      </c>
      <c r="E4293" t="s">
        <v>4733</v>
      </c>
      <c r="F4293" t="s">
        <v>35</v>
      </c>
      <c r="G4293" t="s">
        <v>35</v>
      </c>
      <c r="H4293" t="s">
        <v>35</v>
      </c>
      <c r="J4293" t="s">
        <v>4757</v>
      </c>
      <c r="K4293" t="s">
        <v>1092</v>
      </c>
      <c r="M4293">
        <v>5.5350000000000001</v>
      </c>
      <c r="N4293">
        <v>131</v>
      </c>
      <c r="O4293" t="s">
        <v>38</v>
      </c>
      <c r="Q4293" t="s">
        <v>646</v>
      </c>
      <c r="R4293" t="s">
        <v>610</v>
      </c>
      <c r="S4293" t="s">
        <v>539</v>
      </c>
    </row>
    <row r="4294" spans="1:19" x14ac:dyDescent="0.25">
      <c r="A4294" t="s">
        <v>59</v>
      </c>
      <c r="B4294" t="s">
        <v>31</v>
      </c>
      <c r="C4294" t="s">
        <v>32</v>
      </c>
      <c r="D4294" t="s">
        <v>584</v>
      </c>
      <c r="E4294" t="s">
        <v>4733</v>
      </c>
      <c r="F4294" t="s">
        <v>35</v>
      </c>
      <c r="G4294" t="s">
        <v>35</v>
      </c>
      <c r="H4294" t="s">
        <v>35</v>
      </c>
      <c r="J4294" t="s">
        <v>4757</v>
      </c>
      <c r="K4294" t="s">
        <v>1092</v>
      </c>
      <c r="M4294">
        <v>5.9850000000000003</v>
      </c>
      <c r="N4294">
        <v>171</v>
      </c>
      <c r="O4294" t="s">
        <v>38</v>
      </c>
      <c r="Q4294" t="s">
        <v>3930</v>
      </c>
      <c r="R4294" t="s">
        <v>610</v>
      </c>
      <c r="S4294" t="s">
        <v>539</v>
      </c>
    </row>
    <row r="4295" spans="1:19" x14ac:dyDescent="0.25">
      <c r="A4295" t="s">
        <v>44</v>
      </c>
      <c r="B4295" t="s">
        <v>3</v>
      </c>
      <c r="C4295" t="s">
        <v>32</v>
      </c>
      <c r="D4295" t="s">
        <v>584</v>
      </c>
      <c r="E4295" t="s">
        <v>4733</v>
      </c>
      <c r="F4295" t="s">
        <v>35</v>
      </c>
      <c r="G4295" t="s">
        <v>35</v>
      </c>
      <c r="H4295" t="s">
        <v>35</v>
      </c>
      <c r="J4295" t="s">
        <v>4759</v>
      </c>
      <c r="K4295" t="s">
        <v>1092</v>
      </c>
      <c r="M4295">
        <v>0.05</v>
      </c>
      <c r="N4295">
        <v>467</v>
      </c>
      <c r="O4295" t="s">
        <v>294</v>
      </c>
      <c r="Q4295" t="s">
        <v>3590</v>
      </c>
      <c r="R4295" t="s">
        <v>4741</v>
      </c>
      <c r="S4295" t="s">
        <v>4742</v>
      </c>
    </row>
    <row r="4296" spans="1:19" x14ac:dyDescent="0.25">
      <c r="A4296" t="s">
        <v>44</v>
      </c>
      <c r="B4296" t="s">
        <v>51</v>
      </c>
      <c r="C4296" t="s">
        <v>32</v>
      </c>
      <c r="D4296" t="s">
        <v>584</v>
      </c>
      <c r="E4296" t="s">
        <v>4733</v>
      </c>
      <c r="F4296" t="s">
        <v>35</v>
      </c>
      <c r="G4296" t="s">
        <v>35</v>
      </c>
      <c r="H4296" t="s">
        <v>35</v>
      </c>
      <c r="J4296" t="s">
        <v>4760</v>
      </c>
      <c r="K4296" t="s">
        <v>1092</v>
      </c>
      <c r="M4296">
        <v>0.35</v>
      </c>
      <c r="N4296">
        <v>492</v>
      </c>
      <c r="O4296" t="s">
        <v>294</v>
      </c>
      <c r="Q4296" t="s">
        <v>1186</v>
      </c>
      <c r="R4296" t="s">
        <v>4752</v>
      </c>
      <c r="S4296" t="s">
        <v>4753</v>
      </c>
    </row>
    <row r="4297" spans="1:19" x14ac:dyDescent="0.25">
      <c r="A4297" t="s">
        <v>44</v>
      </c>
      <c r="B4297" t="s">
        <v>51</v>
      </c>
      <c r="C4297" t="s">
        <v>32</v>
      </c>
      <c r="D4297" t="s">
        <v>584</v>
      </c>
      <c r="E4297" t="s">
        <v>4733</v>
      </c>
      <c r="F4297" t="s">
        <v>35</v>
      </c>
      <c r="G4297" t="s">
        <v>35</v>
      </c>
      <c r="H4297" t="s">
        <v>35</v>
      </c>
      <c r="J4297" t="s">
        <v>4761</v>
      </c>
      <c r="K4297" t="s">
        <v>1092</v>
      </c>
      <c r="M4297">
        <v>0.1</v>
      </c>
      <c r="N4297">
        <v>480</v>
      </c>
      <c r="O4297" t="s">
        <v>294</v>
      </c>
      <c r="Q4297" t="s">
        <v>1405</v>
      </c>
      <c r="R4297" t="s">
        <v>4752</v>
      </c>
      <c r="S4297" t="s">
        <v>4753</v>
      </c>
    </row>
    <row r="4298" spans="1:19" x14ac:dyDescent="0.25">
      <c r="A4298" t="s">
        <v>44</v>
      </c>
      <c r="B4298" t="s">
        <v>3</v>
      </c>
      <c r="C4298" t="s">
        <v>32</v>
      </c>
      <c r="D4298" t="s">
        <v>584</v>
      </c>
      <c r="E4298" t="s">
        <v>4733</v>
      </c>
      <c r="F4298" t="s">
        <v>35</v>
      </c>
      <c r="G4298" t="s">
        <v>35</v>
      </c>
      <c r="H4298" t="s">
        <v>35</v>
      </c>
      <c r="J4298" t="s">
        <v>3921</v>
      </c>
      <c r="K4298" t="s">
        <v>1092</v>
      </c>
      <c r="M4298">
        <v>0.25</v>
      </c>
      <c r="N4298">
        <v>504</v>
      </c>
      <c r="O4298" t="s">
        <v>294</v>
      </c>
      <c r="Q4298" t="s">
        <v>1614</v>
      </c>
      <c r="R4298" t="s">
        <v>4741</v>
      </c>
      <c r="S4298" t="s">
        <v>4742</v>
      </c>
    </row>
    <row r="4299" spans="1:19" x14ac:dyDescent="0.25">
      <c r="A4299" t="s">
        <v>44</v>
      </c>
      <c r="B4299" t="s">
        <v>51</v>
      </c>
      <c r="C4299" t="s">
        <v>32</v>
      </c>
      <c r="D4299" t="s">
        <v>584</v>
      </c>
      <c r="E4299" t="s">
        <v>4733</v>
      </c>
      <c r="F4299" t="s">
        <v>35</v>
      </c>
      <c r="G4299" t="s">
        <v>35</v>
      </c>
      <c r="H4299" t="s">
        <v>35</v>
      </c>
      <c r="J4299" t="s">
        <v>4762</v>
      </c>
      <c r="K4299" t="s">
        <v>1092</v>
      </c>
      <c r="M4299">
        <v>0.2</v>
      </c>
      <c r="N4299">
        <v>492</v>
      </c>
      <c r="O4299" t="s">
        <v>294</v>
      </c>
      <c r="Q4299" t="s">
        <v>1186</v>
      </c>
      <c r="R4299" t="s">
        <v>4752</v>
      </c>
      <c r="S4299" t="s">
        <v>4753</v>
      </c>
    </row>
    <row r="4300" spans="1:19" x14ac:dyDescent="0.25">
      <c r="A4300" t="s">
        <v>44</v>
      </c>
      <c r="B4300" t="s">
        <v>51</v>
      </c>
      <c r="C4300" t="s">
        <v>32</v>
      </c>
      <c r="D4300" t="s">
        <v>584</v>
      </c>
      <c r="E4300" t="s">
        <v>4733</v>
      </c>
      <c r="F4300" t="s">
        <v>35</v>
      </c>
      <c r="G4300" t="s">
        <v>35</v>
      </c>
      <c r="H4300" t="s">
        <v>35</v>
      </c>
      <c r="J4300" t="s">
        <v>4763</v>
      </c>
      <c r="K4300" t="s">
        <v>1092</v>
      </c>
      <c r="M4300">
        <v>0.1</v>
      </c>
      <c r="N4300">
        <v>492</v>
      </c>
      <c r="O4300" t="s">
        <v>294</v>
      </c>
      <c r="Q4300" t="s">
        <v>1186</v>
      </c>
      <c r="R4300" t="s">
        <v>4752</v>
      </c>
      <c r="S4300" t="s">
        <v>4753</v>
      </c>
    </row>
    <row r="4301" spans="1:19" x14ac:dyDescent="0.25">
      <c r="A4301" t="s">
        <v>44</v>
      </c>
      <c r="B4301" t="s">
        <v>3</v>
      </c>
      <c r="C4301" t="s">
        <v>32</v>
      </c>
      <c r="D4301" t="s">
        <v>584</v>
      </c>
      <c r="E4301" t="s">
        <v>4733</v>
      </c>
      <c r="F4301" t="s">
        <v>35</v>
      </c>
      <c r="G4301" t="s">
        <v>35</v>
      </c>
      <c r="H4301" t="s">
        <v>35</v>
      </c>
      <c r="J4301" t="s">
        <v>4764</v>
      </c>
      <c r="K4301" t="s">
        <v>1092</v>
      </c>
      <c r="M4301">
        <v>0.06</v>
      </c>
      <c r="N4301">
        <v>486</v>
      </c>
      <c r="O4301" t="s">
        <v>294</v>
      </c>
      <c r="Q4301" t="s">
        <v>4765</v>
      </c>
      <c r="R4301" t="s">
        <v>4741</v>
      </c>
      <c r="S4301" t="s">
        <v>4742</v>
      </c>
    </row>
    <row r="4302" spans="1:19" x14ac:dyDescent="0.25">
      <c r="A4302" t="s">
        <v>30</v>
      </c>
      <c r="B4302" t="s">
        <v>31</v>
      </c>
      <c r="C4302" t="s">
        <v>32</v>
      </c>
      <c r="D4302" t="s">
        <v>584</v>
      </c>
      <c r="E4302" t="s">
        <v>4733</v>
      </c>
      <c r="F4302" t="s">
        <v>35</v>
      </c>
      <c r="G4302" t="s">
        <v>35</v>
      </c>
      <c r="H4302" t="s">
        <v>35</v>
      </c>
      <c r="J4302" t="s">
        <v>4766</v>
      </c>
      <c r="K4302" t="s">
        <v>1092</v>
      </c>
      <c r="M4302">
        <v>2.3849999999999998</v>
      </c>
      <c r="N4302">
        <v>170</v>
      </c>
      <c r="O4302" t="s">
        <v>38</v>
      </c>
      <c r="Q4302" t="s">
        <v>2780</v>
      </c>
      <c r="R4302" t="s">
        <v>610</v>
      </c>
      <c r="S4302" t="s">
        <v>539</v>
      </c>
    </row>
    <row r="4303" spans="1:19" x14ac:dyDescent="0.25">
      <c r="A4303" t="s">
        <v>30</v>
      </c>
      <c r="B4303" t="s">
        <v>31</v>
      </c>
      <c r="C4303" t="s">
        <v>32</v>
      </c>
      <c r="D4303" t="s">
        <v>584</v>
      </c>
      <c r="E4303" t="s">
        <v>4733</v>
      </c>
      <c r="F4303" t="s">
        <v>35</v>
      </c>
      <c r="G4303" t="s">
        <v>35</v>
      </c>
      <c r="H4303" t="s">
        <v>35</v>
      </c>
      <c r="J4303" t="s">
        <v>4767</v>
      </c>
      <c r="K4303" t="s">
        <v>1092</v>
      </c>
      <c r="M4303">
        <v>9.6300000000000008</v>
      </c>
      <c r="N4303">
        <v>49</v>
      </c>
      <c r="O4303" t="s">
        <v>52</v>
      </c>
      <c r="Q4303" t="s">
        <v>219</v>
      </c>
      <c r="R4303" t="s">
        <v>610</v>
      </c>
      <c r="S4303" t="s">
        <v>539</v>
      </c>
    </row>
    <row r="4304" spans="1:19" x14ac:dyDescent="0.25">
      <c r="A4304" t="s">
        <v>30</v>
      </c>
      <c r="B4304" t="s">
        <v>31</v>
      </c>
      <c r="C4304" t="s">
        <v>32</v>
      </c>
      <c r="D4304" t="s">
        <v>584</v>
      </c>
      <c r="E4304" t="s">
        <v>4733</v>
      </c>
      <c r="F4304" t="s">
        <v>35</v>
      </c>
      <c r="G4304" t="s">
        <v>35</v>
      </c>
      <c r="H4304" t="s">
        <v>35</v>
      </c>
      <c r="J4304" t="s">
        <v>4768</v>
      </c>
      <c r="K4304" t="s">
        <v>1092</v>
      </c>
      <c r="M4304">
        <v>3.96</v>
      </c>
      <c r="N4304">
        <v>94</v>
      </c>
      <c r="O4304" t="s">
        <v>106</v>
      </c>
      <c r="Q4304" t="s">
        <v>394</v>
      </c>
      <c r="R4304" t="s">
        <v>610</v>
      </c>
      <c r="S4304" t="s">
        <v>539</v>
      </c>
    </row>
    <row r="4305" spans="1:19" x14ac:dyDescent="0.25">
      <c r="A4305" t="s">
        <v>59</v>
      </c>
      <c r="B4305" t="s">
        <v>31</v>
      </c>
      <c r="C4305" t="s">
        <v>32</v>
      </c>
      <c r="D4305" t="s">
        <v>584</v>
      </c>
      <c r="E4305" t="s">
        <v>4769</v>
      </c>
      <c r="F4305" t="s">
        <v>35</v>
      </c>
      <c r="G4305" t="s">
        <v>35</v>
      </c>
      <c r="H4305" t="s">
        <v>35</v>
      </c>
      <c r="J4305" t="s">
        <v>8245</v>
      </c>
      <c r="K4305" t="s">
        <v>1092</v>
      </c>
      <c r="M4305">
        <v>11.025</v>
      </c>
      <c r="N4305">
        <v>4</v>
      </c>
      <c r="O4305" t="s">
        <v>46</v>
      </c>
      <c r="Q4305" t="s">
        <v>8230</v>
      </c>
      <c r="R4305" t="s">
        <v>610</v>
      </c>
      <c r="S4305" t="s">
        <v>539</v>
      </c>
    </row>
    <row r="4306" spans="1:19" x14ac:dyDescent="0.25">
      <c r="A4306" t="s">
        <v>30</v>
      </c>
      <c r="B4306" t="s">
        <v>31</v>
      </c>
      <c r="C4306" t="s">
        <v>32</v>
      </c>
      <c r="D4306" t="s">
        <v>584</v>
      </c>
      <c r="E4306" t="s">
        <v>4769</v>
      </c>
      <c r="F4306" t="s">
        <v>35</v>
      </c>
      <c r="G4306" t="s">
        <v>35</v>
      </c>
      <c r="H4306" t="s">
        <v>35</v>
      </c>
      <c r="J4306" t="s">
        <v>4771</v>
      </c>
      <c r="K4306" t="s">
        <v>1092</v>
      </c>
      <c r="M4306">
        <v>1.125</v>
      </c>
      <c r="N4306">
        <v>1220</v>
      </c>
      <c r="O4306" t="s">
        <v>575</v>
      </c>
      <c r="Q4306" t="s">
        <v>1525</v>
      </c>
      <c r="R4306" t="s">
        <v>4459</v>
      </c>
      <c r="S4306" t="s">
        <v>4460</v>
      </c>
    </row>
    <row r="4307" spans="1:19" x14ac:dyDescent="0.25">
      <c r="A4307" t="s">
        <v>59</v>
      </c>
      <c r="B4307" t="s">
        <v>31</v>
      </c>
      <c r="C4307" t="s">
        <v>32</v>
      </c>
      <c r="D4307" t="s">
        <v>584</v>
      </c>
      <c r="E4307" t="s">
        <v>4769</v>
      </c>
      <c r="F4307" t="s">
        <v>35</v>
      </c>
      <c r="G4307" t="s">
        <v>35</v>
      </c>
      <c r="H4307" t="s">
        <v>35</v>
      </c>
      <c r="J4307" t="s">
        <v>4772</v>
      </c>
      <c r="K4307" t="s">
        <v>1092</v>
      </c>
      <c r="M4307">
        <v>0.54</v>
      </c>
      <c r="N4307">
        <v>131</v>
      </c>
      <c r="O4307" t="s">
        <v>38</v>
      </c>
      <c r="Q4307" t="s">
        <v>646</v>
      </c>
      <c r="R4307" t="s">
        <v>610</v>
      </c>
      <c r="S4307" t="s">
        <v>539</v>
      </c>
    </row>
    <row r="4308" spans="1:19" x14ac:dyDescent="0.25">
      <c r="A4308" t="s">
        <v>59</v>
      </c>
      <c r="B4308" t="s">
        <v>31</v>
      </c>
      <c r="C4308" t="s">
        <v>32</v>
      </c>
      <c r="D4308" t="s">
        <v>584</v>
      </c>
      <c r="E4308" t="s">
        <v>4769</v>
      </c>
      <c r="F4308" t="s">
        <v>35</v>
      </c>
      <c r="G4308" t="s">
        <v>35</v>
      </c>
      <c r="H4308" t="s">
        <v>35</v>
      </c>
      <c r="J4308" t="s">
        <v>4773</v>
      </c>
      <c r="K4308" t="s">
        <v>1092</v>
      </c>
      <c r="M4308">
        <v>22.05</v>
      </c>
      <c r="N4308">
        <v>42</v>
      </c>
      <c r="O4308" t="s">
        <v>52</v>
      </c>
      <c r="Q4308" t="s">
        <v>991</v>
      </c>
      <c r="R4308" t="s">
        <v>610</v>
      </c>
      <c r="S4308" t="s">
        <v>539</v>
      </c>
    </row>
    <row r="4309" spans="1:19" x14ac:dyDescent="0.25">
      <c r="A4309" t="s">
        <v>59</v>
      </c>
      <c r="B4309" t="s">
        <v>60</v>
      </c>
      <c r="C4309" t="s">
        <v>32</v>
      </c>
      <c r="D4309" t="s">
        <v>584</v>
      </c>
      <c r="E4309" t="s">
        <v>4769</v>
      </c>
      <c r="F4309" t="s">
        <v>35</v>
      </c>
      <c r="G4309" t="s">
        <v>35</v>
      </c>
      <c r="H4309" t="s">
        <v>35</v>
      </c>
      <c r="J4309" t="s">
        <v>4774</v>
      </c>
      <c r="K4309" t="s">
        <v>1092</v>
      </c>
      <c r="M4309">
        <v>7.5</v>
      </c>
      <c r="N4309">
        <v>1251</v>
      </c>
      <c r="O4309" t="s">
        <v>575</v>
      </c>
      <c r="Q4309" t="s">
        <v>2549</v>
      </c>
      <c r="R4309" t="s">
        <v>4720</v>
      </c>
      <c r="S4309" t="s">
        <v>634</v>
      </c>
    </row>
    <row r="4310" spans="1:19" x14ac:dyDescent="0.25">
      <c r="A4310" t="s">
        <v>59</v>
      </c>
      <c r="B4310" t="s">
        <v>60</v>
      </c>
      <c r="C4310" t="s">
        <v>32</v>
      </c>
      <c r="D4310" t="s">
        <v>584</v>
      </c>
      <c r="E4310" t="s">
        <v>4769</v>
      </c>
      <c r="F4310" t="s">
        <v>35</v>
      </c>
      <c r="G4310" t="s">
        <v>35</v>
      </c>
      <c r="H4310" t="s">
        <v>35</v>
      </c>
      <c r="J4310" t="s">
        <v>4774</v>
      </c>
      <c r="K4310" t="s">
        <v>1092</v>
      </c>
      <c r="M4310">
        <v>3.4</v>
      </c>
      <c r="N4310">
        <v>1258</v>
      </c>
      <c r="O4310" t="s">
        <v>575</v>
      </c>
      <c r="Q4310" t="s">
        <v>2512</v>
      </c>
      <c r="R4310" t="s">
        <v>4571</v>
      </c>
      <c r="S4310" t="s">
        <v>628</v>
      </c>
    </row>
    <row r="4311" spans="1:19" x14ac:dyDescent="0.25">
      <c r="A4311" t="s">
        <v>59</v>
      </c>
      <c r="B4311" t="s">
        <v>60</v>
      </c>
      <c r="C4311" t="s">
        <v>32</v>
      </c>
      <c r="D4311" t="s">
        <v>584</v>
      </c>
      <c r="E4311" t="s">
        <v>4769</v>
      </c>
      <c r="F4311" t="s">
        <v>35</v>
      </c>
      <c r="G4311" t="s">
        <v>35</v>
      </c>
      <c r="H4311" t="s">
        <v>35</v>
      </c>
      <c r="J4311" t="s">
        <v>4775</v>
      </c>
      <c r="K4311" t="s">
        <v>1092</v>
      </c>
      <c r="M4311">
        <v>9.75</v>
      </c>
      <c r="N4311">
        <v>62</v>
      </c>
      <c r="O4311" t="s">
        <v>61</v>
      </c>
      <c r="Q4311" t="s">
        <v>90</v>
      </c>
      <c r="R4311" t="s">
        <v>631</v>
      </c>
      <c r="S4311" t="s">
        <v>632</v>
      </c>
    </row>
    <row r="4312" spans="1:19" x14ac:dyDescent="0.25">
      <c r="A4312" t="s">
        <v>30</v>
      </c>
      <c r="B4312" t="s">
        <v>31</v>
      </c>
      <c r="C4312" t="s">
        <v>32</v>
      </c>
      <c r="D4312" t="s">
        <v>584</v>
      </c>
      <c r="E4312" t="s">
        <v>4769</v>
      </c>
      <c r="F4312" t="s">
        <v>35</v>
      </c>
      <c r="G4312" t="s">
        <v>35</v>
      </c>
      <c r="H4312" t="s">
        <v>35</v>
      </c>
      <c r="J4312" t="s">
        <v>4776</v>
      </c>
      <c r="K4312" t="s">
        <v>1092</v>
      </c>
      <c r="M4312">
        <v>4.7249999999999996</v>
      </c>
      <c r="N4312">
        <v>123</v>
      </c>
      <c r="O4312" t="s">
        <v>38</v>
      </c>
      <c r="Q4312" t="s">
        <v>3534</v>
      </c>
      <c r="R4312" t="s">
        <v>610</v>
      </c>
      <c r="S4312" t="s">
        <v>539</v>
      </c>
    </row>
    <row r="4313" spans="1:19" x14ac:dyDescent="0.25">
      <c r="A4313" t="s">
        <v>30</v>
      </c>
      <c r="B4313" t="s">
        <v>31</v>
      </c>
      <c r="C4313" t="s">
        <v>32</v>
      </c>
      <c r="D4313" t="s">
        <v>584</v>
      </c>
      <c r="E4313" t="s">
        <v>4769</v>
      </c>
      <c r="F4313" t="s">
        <v>35</v>
      </c>
      <c r="G4313" t="s">
        <v>35</v>
      </c>
      <c r="H4313" t="s">
        <v>35</v>
      </c>
      <c r="J4313" t="s">
        <v>4777</v>
      </c>
      <c r="K4313" t="s">
        <v>1092</v>
      </c>
      <c r="M4313">
        <v>3.645</v>
      </c>
      <c r="N4313">
        <v>95</v>
      </c>
      <c r="O4313" t="s">
        <v>106</v>
      </c>
      <c r="Q4313" t="s">
        <v>724</v>
      </c>
      <c r="R4313" t="s">
        <v>610</v>
      </c>
      <c r="S4313" t="s">
        <v>539</v>
      </c>
    </row>
    <row r="4314" spans="1:19" x14ac:dyDescent="0.25">
      <c r="A4314" t="s">
        <v>30</v>
      </c>
      <c r="B4314" t="s">
        <v>31</v>
      </c>
      <c r="C4314" t="s">
        <v>32</v>
      </c>
      <c r="D4314" t="s">
        <v>584</v>
      </c>
      <c r="E4314" t="s">
        <v>4769</v>
      </c>
      <c r="F4314" t="s">
        <v>35</v>
      </c>
      <c r="G4314" t="s">
        <v>35</v>
      </c>
      <c r="H4314" t="s">
        <v>35</v>
      </c>
      <c r="J4314" t="s">
        <v>4778</v>
      </c>
      <c r="K4314" t="s">
        <v>1092</v>
      </c>
      <c r="M4314">
        <v>8.3699999999999992</v>
      </c>
      <c r="N4314">
        <v>95</v>
      </c>
      <c r="O4314" t="s">
        <v>106</v>
      </c>
      <c r="Q4314" t="s">
        <v>724</v>
      </c>
      <c r="R4314" t="s">
        <v>610</v>
      </c>
      <c r="S4314" t="s">
        <v>539</v>
      </c>
    </row>
    <row r="4315" spans="1:19" x14ac:dyDescent="0.25">
      <c r="A4315" t="s">
        <v>59</v>
      </c>
      <c r="B4315" t="s">
        <v>31</v>
      </c>
      <c r="C4315" t="s">
        <v>32</v>
      </c>
      <c r="D4315" t="s">
        <v>584</v>
      </c>
      <c r="E4315" t="s">
        <v>4769</v>
      </c>
      <c r="F4315" t="s">
        <v>35</v>
      </c>
      <c r="G4315" t="s">
        <v>35</v>
      </c>
      <c r="H4315" t="s">
        <v>35</v>
      </c>
      <c r="J4315" t="s">
        <v>4779</v>
      </c>
      <c r="K4315" t="s">
        <v>1092</v>
      </c>
      <c r="M4315">
        <v>4.2750000000000004</v>
      </c>
      <c r="N4315">
        <v>132</v>
      </c>
      <c r="O4315" t="s">
        <v>38</v>
      </c>
      <c r="Q4315" t="s">
        <v>2901</v>
      </c>
      <c r="R4315" t="s">
        <v>610</v>
      </c>
      <c r="S4315" t="s">
        <v>539</v>
      </c>
    </row>
    <row r="4316" spans="1:19" x14ac:dyDescent="0.25">
      <c r="A4316" t="s">
        <v>30</v>
      </c>
      <c r="B4316" t="s">
        <v>31</v>
      </c>
      <c r="C4316" t="s">
        <v>32</v>
      </c>
      <c r="D4316" t="s">
        <v>584</v>
      </c>
      <c r="E4316" t="s">
        <v>4769</v>
      </c>
      <c r="F4316" t="s">
        <v>35</v>
      </c>
      <c r="G4316" t="s">
        <v>35</v>
      </c>
      <c r="H4316" t="s">
        <v>35</v>
      </c>
      <c r="J4316" t="s">
        <v>4780</v>
      </c>
      <c r="K4316" t="s">
        <v>1092</v>
      </c>
      <c r="M4316">
        <v>0.13500000000000001</v>
      </c>
      <c r="N4316">
        <v>1376</v>
      </c>
      <c r="O4316" t="s">
        <v>575</v>
      </c>
      <c r="Q4316" t="s">
        <v>4638</v>
      </c>
      <c r="R4316" t="s">
        <v>4459</v>
      </c>
      <c r="S4316" t="s">
        <v>4460</v>
      </c>
    </row>
    <row r="4317" spans="1:19" x14ac:dyDescent="0.25">
      <c r="A4317" t="s">
        <v>59</v>
      </c>
      <c r="B4317" t="s">
        <v>60</v>
      </c>
      <c r="C4317" t="s">
        <v>32</v>
      </c>
      <c r="D4317" t="s">
        <v>584</v>
      </c>
      <c r="E4317" t="s">
        <v>4769</v>
      </c>
      <c r="F4317" t="s">
        <v>35</v>
      </c>
      <c r="G4317" t="s">
        <v>35</v>
      </c>
      <c r="H4317" t="s">
        <v>35</v>
      </c>
      <c r="J4317" t="s">
        <v>4781</v>
      </c>
      <c r="K4317" t="s">
        <v>1092</v>
      </c>
      <c r="M4317">
        <v>0.05</v>
      </c>
      <c r="N4317">
        <v>1129</v>
      </c>
      <c r="O4317" t="s">
        <v>575</v>
      </c>
      <c r="Q4317" t="s">
        <v>4782</v>
      </c>
      <c r="R4317" t="s">
        <v>4783</v>
      </c>
      <c r="S4317" t="s">
        <v>4784</v>
      </c>
    </row>
    <row r="4318" spans="1:19" x14ac:dyDescent="0.25">
      <c r="A4318" t="s">
        <v>59</v>
      </c>
      <c r="B4318" t="s">
        <v>60</v>
      </c>
      <c r="C4318" t="s">
        <v>32</v>
      </c>
      <c r="D4318" t="s">
        <v>584</v>
      </c>
      <c r="E4318" t="s">
        <v>4769</v>
      </c>
      <c r="F4318" t="s">
        <v>35</v>
      </c>
      <c r="G4318" t="s">
        <v>35</v>
      </c>
      <c r="H4318" t="s">
        <v>35</v>
      </c>
      <c r="J4318" t="s">
        <v>4786</v>
      </c>
      <c r="K4318" t="s">
        <v>1092</v>
      </c>
      <c r="M4318">
        <v>1</v>
      </c>
      <c r="N4318">
        <v>31</v>
      </c>
      <c r="O4318" t="s">
        <v>52</v>
      </c>
      <c r="Q4318" t="s">
        <v>972</v>
      </c>
      <c r="R4318" t="s">
        <v>4459</v>
      </c>
      <c r="S4318" t="s">
        <v>4460</v>
      </c>
    </row>
    <row r="4319" spans="1:19" x14ac:dyDescent="0.25">
      <c r="A4319" t="s">
        <v>30</v>
      </c>
      <c r="B4319" t="s">
        <v>31</v>
      </c>
      <c r="C4319" t="s">
        <v>32</v>
      </c>
      <c r="D4319" t="s">
        <v>584</v>
      </c>
      <c r="E4319" t="s">
        <v>4769</v>
      </c>
      <c r="F4319" t="s">
        <v>35</v>
      </c>
      <c r="G4319" t="s">
        <v>35</v>
      </c>
      <c r="H4319" t="s">
        <v>35</v>
      </c>
      <c r="J4319" t="s">
        <v>4789</v>
      </c>
      <c r="K4319" t="s">
        <v>1092</v>
      </c>
      <c r="M4319">
        <v>8.64</v>
      </c>
      <c r="N4319">
        <v>264</v>
      </c>
      <c r="O4319" t="s">
        <v>5</v>
      </c>
      <c r="Q4319" t="s">
        <v>1721</v>
      </c>
      <c r="R4319" t="s">
        <v>610</v>
      </c>
      <c r="S4319" t="s">
        <v>539</v>
      </c>
    </row>
    <row r="4320" spans="1:19" x14ac:dyDescent="0.25">
      <c r="A4320" t="s">
        <v>30</v>
      </c>
      <c r="B4320" t="s">
        <v>31</v>
      </c>
      <c r="C4320" t="s">
        <v>32</v>
      </c>
      <c r="D4320" t="s">
        <v>584</v>
      </c>
      <c r="E4320" t="s">
        <v>4769</v>
      </c>
      <c r="F4320" t="s">
        <v>35</v>
      </c>
      <c r="G4320" t="s">
        <v>35</v>
      </c>
      <c r="H4320" t="s">
        <v>35</v>
      </c>
      <c r="J4320" t="s">
        <v>4789</v>
      </c>
      <c r="K4320" t="s">
        <v>1092</v>
      </c>
      <c r="M4320">
        <v>11.025</v>
      </c>
      <c r="N4320">
        <v>131</v>
      </c>
      <c r="O4320" t="s">
        <v>38</v>
      </c>
      <c r="Q4320" t="s">
        <v>646</v>
      </c>
      <c r="R4320" t="s">
        <v>610</v>
      </c>
      <c r="S4320" t="s">
        <v>539</v>
      </c>
    </row>
    <row r="4321" spans="1:19" x14ac:dyDescent="0.25">
      <c r="A4321" t="s">
        <v>59</v>
      </c>
      <c r="B4321" t="s">
        <v>31</v>
      </c>
      <c r="C4321" t="s">
        <v>32</v>
      </c>
      <c r="D4321" t="s">
        <v>584</v>
      </c>
      <c r="E4321" t="s">
        <v>4769</v>
      </c>
      <c r="F4321" t="s">
        <v>35</v>
      </c>
      <c r="G4321" t="s">
        <v>35</v>
      </c>
      <c r="H4321" t="s">
        <v>35</v>
      </c>
      <c r="J4321" t="s">
        <v>4790</v>
      </c>
      <c r="K4321" t="s">
        <v>1092</v>
      </c>
      <c r="M4321">
        <v>10.125</v>
      </c>
      <c r="N4321">
        <v>132</v>
      </c>
      <c r="O4321" t="s">
        <v>38</v>
      </c>
      <c r="Q4321" t="s">
        <v>2901</v>
      </c>
      <c r="R4321" t="s">
        <v>610</v>
      </c>
      <c r="S4321" t="s">
        <v>539</v>
      </c>
    </row>
    <row r="4322" spans="1:19" x14ac:dyDescent="0.25">
      <c r="A4322" t="s">
        <v>59</v>
      </c>
      <c r="B4322" t="s">
        <v>60</v>
      </c>
      <c r="C4322" t="s">
        <v>32</v>
      </c>
      <c r="D4322" t="s">
        <v>584</v>
      </c>
      <c r="E4322" t="s">
        <v>621</v>
      </c>
      <c r="F4322" t="s">
        <v>35</v>
      </c>
      <c r="G4322" t="s">
        <v>35</v>
      </c>
      <c r="H4322" t="s">
        <v>35</v>
      </c>
      <c r="J4322" t="s">
        <v>4791</v>
      </c>
      <c r="K4322" t="s">
        <v>1092</v>
      </c>
      <c r="M4322">
        <v>7</v>
      </c>
      <c r="N4322">
        <v>65</v>
      </c>
      <c r="O4322" t="s">
        <v>61</v>
      </c>
      <c r="Q4322" t="s">
        <v>128</v>
      </c>
      <c r="R4322" t="s">
        <v>4571</v>
      </c>
      <c r="S4322" t="s">
        <v>628</v>
      </c>
    </row>
    <row r="4323" spans="1:19" x14ac:dyDescent="0.25">
      <c r="A4323" t="s">
        <v>59</v>
      </c>
      <c r="B4323" t="s">
        <v>60</v>
      </c>
      <c r="C4323" t="s">
        <v>32</v>
      </c>
      <c r="D4323" t="s">
        <v>584</v>
      </c>
      <c r="E4323" t="s">
        <v>621</v>
      </c>
      <c r="F4323" t="s">
        <v>35</v>
      </c>
      <c r="G4323" t="s">
        <v>35</v>
      </c>
      <c r="H4323" t="s">
        <v>35</v>
      </c>
      <c r="J4323" t="s">
        <v>4792</v>
      </c>
      <c r="K4323" t="s">
        <v>1092</v>
      </c>
      <c r="M4323">
        <v>1</v>
      </c>
      <c r="N4323">
        <v>1141</v>
      </c>
      <c r="O4323" t="s">
        <v>575</v>
      </c>
      <c r="Q4323" t="s">
        <v>3069</v>
      </c>
      <c r="R4323" t="s">
        <v>4720</v>
      </c>
      <c r="S4323" t="s">
        <v>634</v>
      </c>
    </row>
    <row r="4324" spans="1:19" x14ac:dyDescent="0.25">
      <c r="A4324" t="s">
        <v>30</v>
      </c>
      <c r="B4324" t="s">
        <v>31</v>
      </c>
      <c r="C4324" t="s">
        <v>32</v>
      </c>
      <c r="D4324" t="s">
        <v>584</v>
      </c>
      <c r="E4324" t="s">
        <v>621</v>
      </c>
      <c r="F4324" t="s">
        <v>35</v>
      </c>
      <c r="G4324" t="s">
        <v>35</v>
      </c>
      <c r="H4324" t="s">
        <v>35</v>
      </c>
      <c r="J4324" t="s">
        <v>4793</v>
      </c>
      <c r="K4324" t="s">
        <v>1092</v>
      </c>
      <c r="M4324">
        <v>9</v>
      </c>
      <c r="N4324">
        <v>71</v>
      </c>
      <c r="O4324" t="s">
        <v>61</v>
      </c>
      <c r="Q4324" t="s">
        <v>102</v>
      </c>
      <c r="R4324" t="s">
        <v>610</v>
      </c>
      <c r="S4324" t="s">
        <v>539</v>
      </c>
    </row>
    <row r="4325" spans="1:19" x14ac:dyDescent="0.25">
      <c r="A4325" t="s">
        <v>59</v>
      </c>
      <c r="B4325" t="s">
        <v>31</v>
      </c>
      <c r="C4325" t="s">
        <v>32</v>
      </c>
      <c r="D4325" t="s">
        <v>584</v>
      </c>
      <c r="E4325" t="s">
        <v>621</v>
      </c>
      <c r="F4325" t="s">
        <v>35</v>
      </c>
      <c r="G4325" t="s">
        <v>35</v>
      </c>
      <c r="H4325" t="s">
        <v>35</v>
      </c>
      <c r="J4325" t="s">
        <v>4793</v>
      </c>
      <c r="K4325" t="s">
        <v>1092</v>
      </c>
      <c r="M4325">
        <v>9.36</v>
      </c>
      <c r="N4325">
        <v>171</v>
      </c>
      <c r="O4325" t="s">
        <v>38</v>
      </c>
      <c r="Q4325" t="s">
        <v>3930</v>
      </c>
      <c r="R4325" t="s">
        <v>610</v>
      </c>
      <c r="S4325" t="s">
        <v>539</v>
      </c>
    </row>
    <row r="4326" spans="1:19" x14ac:dyDescent="0.25">
      <c r="A4326" t="s">
        <v>59</v>
      </c>
      <c r="B4326" t="s">
        <v>60</v>
      </c>
      <c r="C4326" t="s">
        <v>32</v>
      </c>
      <c r="D4326" t="s">
        <v>584</v>
      </c>
      <c r="E4326" t="s">
        <v>621</v>
      </c>
      <c r="F4326" t="s">
        <v>35</v>
      </c>
      <c r="G4326" t="s">
        <v>35</v>
      </c>
      <c r="H4326" t="s">
        <v>35</v>
      </c>
      <c r="J4326" t="s">
        <v>4795</v>
      </c>
      <c r="K4326" t="s">
        <v>1092</v>
      </c>
      <c r="M4326">
        <v>1</v>
      </c>
      <c r="N4326">
        <v>129</v>
      </c>
      <c r="O4326" t="s">
        <v>38</v>
      </c>
      <c r="Q4326" t="s">
        <v>1449</v>
      </c>
      <c r="R4326" t="s">
        <v>4571</v>
      </c>
      <c r="S4326" t="s">
        <v>628</v>
      </c>
    </row>
    <row r="4327" spans="1:19" x14ac:dyDescent="0.25">
      <c r="A4327" t="s">
        <v>59</v>
      </c>
      <c r="B4327" t="s">
        <v>60</v>
      </c>
      <c r="C4327" t="s">
        <v>32</v>
      </c>
      <c r="D4327" t="s">
        <v>584</v>
      </c>
      <c r="E4327" t="s">
        <v>621</v>
      </c>
      <c r="F4327" t="s">
        <v>35</v>
      </c>
      <c r="G4327" t="s">
        <v>35</v>
      </c>
      <c r="H4327" t="s">
        <v>35</v>
      </c>
      <c r="J4327" t="s">
        <v>4795</v>
      </c>
      <c r="K4327" t="s">
        <v>1092</v>
      </c>
      <c r="M4327">
        <v>1.9E-2</v>
      </c>
      <c r="N4327">
        <v>263</v>
      </c>
      <c r="O4327" t="s">
        <v>5</v>
      </c>
      <c r="Q4327" t="s">
        <v>2499</v>
      </c>
      <c r="R4327" t="s">
        <v>4571</v>
      </c>
      <c r="S4327" t="s">
        <v>628</v>
      </c>
    </row>
    <row r="4328" spans="1:19" x14ac:dyDescent="0.25">
      <c r="A4328" t="s">
        <v>30</v>
      </c>
      <c r="B4328" t="s">
        <v>31</v>
      </c>
      <c r="C4328" t="s">
        <v>32</v>
      </c>
      <c r="D4328" t="s">
        <v>584</v>
      </c>
      <c r="E4328" t="s">
        <v>621</v>
      </c>
      <c r="F4328" t="s">
        <v>35</v>
      </c>
      <c r="G4328" t="s">
        <v>35</v>
      </c>
      <c r="H4328" t="s">
        <v>35</v>
      </c>
      <c r="J4328" t="s">
        <v>4796</v>
      </c>
      <c r="K4328" t="s">
        <v>404</v>
      </c>
      <c r="M4328">
        <v>4.5449999999999999</v>
      </c>
      <c r="N4328">
        <v>451</v>
      </c>
      <c r="O4328" t="s">
        <v>294</v>
      </c>
      <c r="Q4328" t="s">
        <v>2102</v>
      </c>
      <c r="R4328" t="s">
        <v>610</v>
      </c>
      <c r="S4328" t="s">
        <v>539</v>
      </c>
    </row>
    <row r="4329" spans="1:19" x14ac:dyDescent="0.25">
      <c r="A4329" t="s">
        <v>30</v>
      </c>
      <c r="B4329" t="s">
        <v>31</v>
      </c>
      <c r="C4329" t="s">
        <v>32</v>
      </c>
      <c r="D4329" t="s">
        <v>584</v>
      </c>
      <c r="E4329" t="s">
        <v>621</v>
      </c>
      <c r="F4329" t="s">
        <v>35</v>
      </c>
      <c r="G4329" t="s">
        <v>35</v>
      </c>
      <c r="H4329" t="s">
        <v>35</v>
      </c>
      <c r="J4329" t="s">
        <v>4797</v>
      </c>
      <c r="K4329" t="s">
        <v>1092</v>
      </c>
      <c r="M4329">
        <v>0.09</v>
      </c>
      <c r="N4329">
        <v>94</v>
      </c>
      <c r="O4329" t="s">
        <v>106</v>
      </c>
      <c r="Q4329" t="s">
        <v>394</v>
      </c>
      <c r="R4329" t="s">
        <v>610</v>
      </c>
      <c r="S4329" t="s">
        <v>539</v>
      </c>
    </row>
    <row r="4330" spans="1:19" x14ac:dyDescent="0.25">
      <c r="A4330" t="s">
        <v>30</v>
      </c>
      <c r="B4330" t="s">
        <v>31</v>
      </c>
      <c r="C4330" t="s">
        <v>32</v>
      </c>
      <c r="D4330" t="s">
        <v>584</v>
      </c>
      <c r="E4330" t="s">
        <v>621</v>
      </c>
      <c r="F4330" t="s">
        <v>35</v>
      </c>
      <c r="G4330" t="s">
        <v>35</v>
      </c>
      <c r="H4330" t="s">
        <v>35</v>
      </c>
      <c r="J4330" t="s">
        <v>4798</v>
      </c>
      <c r="K4330" t="s">
        <v>1092</v>
      </c>
      <c r="M4330">
        <v>3.24</v>
      </c>
      <c r="N4330">
        <v>411</v>
      </c>
      <c r="O4330" t="s">
        <v>294</v>
      </c>
      <c r="Q4330" t="s">
        <v>3336</v>
      </c>
      <c r="R4330" t="s">
        <v>610</v>
      </c>
      <c r="S4330" t="s">
        <v>539</v>
      </c>
    </row>
    <row r="4331" spans="1:19" x14ac:dyDescent="0.25">
      <c r="A4331" t="s">
        <v>59</v>
      </c>
      <c r="B4331" t="s">
        <v>60</v>
      </c>
      <c r="C4331" t="s">
        <v>32</v>
      </c>
      <c r="D4331" t="s">
        <v>584</v>
      </c>
      <c r="E4331" t="s">
        <v>621</v>
      </c>
      <c r="F4331" t="s">
        <v>35</v>
      </c>
      <c r="G4331" t="s">
        <v>35</v>
      </c>
      <c r="H4331" t="s">
        <v>35</v>
      </c>
      <c r="J4331" t="s">
        <v>4799</v>
      </c>
      <c r="K4331" t="s">
        <v>1092</v>
      </c>
      <c r="M4331">
        <v>8.5</v>
      </c>
      <c r="N4331">
        <v>126</v>
      </c>
      <c r="O4331" t="s">
        <v>38</v>
      </c>
      <c r="Q4331" t="s">
        <v>1813</v>
      </c>
      <c r="R4331" t="s">
        <v>4800</v>
      </c>
      <c r="S4331" t="s">
        <v>4799</v>
      </c>
    </row>
    <row r="4332" spans="1:19" x14ac:dyDescent="0.25">
      <c r="A4332" t="s">
        <v>59</v>
      </c>
      <c r="B4332" t="s">
        <v>60</v>
      </c>
      <c r="C4332" t="s">
        <v>32</v>
      </c>
      <c r="D4332" t="s">
        <v>584</v>
      </c>
      <c r="E4332" t="s">
        <v>621</v>
      </c>
      <c r="F4332" t="s">
        <v>35</v>
      </c>
      <c r="G4332" t="s">
        <v>35</v>
      </c>
      <c r="H4332" t="s">
        <v>35</v>
      </c>
      <c r="J4332" t="s">
        <v>4802</v>
      </c>
      <c r="K4332" t="s">
        <v>1092</v>
      </c>
      <c r="M4332">
        <v>2.25</v>
      </c>
      <c r="N4332">
        <v>46</v>
      </c>
      <c r="O4332" t="s">
        <v>52</v>
      </c>
      <c r="Q4332" t="s">
        <v>493</v>
      </c>
      <c r="R4332" t="s">
        <v>4545</v>
      </c>
      <c r="S4332" t="s">
        <v>586</v>
      </c>
    </row>
    <row r="4333" spans="1:19" x14ac:dyDescent="0.25">
      <c r="A4333" t="s">
        <v>59</v>
      </c>
      <c r="B4333" t="s">
        <v>60</v>
      </c>
      <c r="C4333" t="s">
        <v>32</v>
      </c>
      <c r="D4333" t="s">
        <v>584</v>
      </c>
      <c r="E4333" t="s">
        <v>621</v>
      </c>
      <c r="F4333" t="s">
        <v>35</v>
      </c>
      <c r="G4333" t="s">
        <v>35</v>
      </c>
      <c r="H4333" t="s">
        <v>35</v>
      </c>
      <c r="J4333" t="s">
        <v>4803</v>
      </c>
      <c r="K4333" t="s">
        <v>1092</v>
      </c>
      <c r="M4333">
        <v>0.7</v>
      </c>
      <c r="N4333">
        <v>632</v>
      </c>
      <c r="O4333" t="s">
        <v>575</v>
      </c>
      <c r="Q4333" t="s">
        <v>4805</v>
      </c>
      <c r="R4333" t="s">
        <v>4750</v>
      </c>
      <c r="S4333" t="s">
        <v>625</v>
      </c>
    </row>
    <row r="4334" spans="1:19" x14ac:dyDescent="0.25">
      <c r="A4334" t="s">
        <v>59</v>
      </c>
      <c r="B4334" t="s">
        <v>60</v>
      </c>
      <c r="C4334" t="s">
        <v>32</v>
      </c>
      <c r="D4334" t="s">
        <v>584</v>
      </c>
      <c r="E4334" t="s">
        <v>621</v>
      </c>
      <c r="F4334" t="s">
        <v>35</v>
      </c>
      <c r="G4334" t="s">
        <v>35</v>
      </c>
      <c r="H4334" t="s">
        <v>35</v>
      </c>
      <c r="J4334" t="s">
        <v>4803</v>
      </c>
      <c r="K4334" t="s">
        <v>1092</v>
      </c>
      <c r="M4334">
        <v>0.5</v>
      </c>
      <c r="N4334">
        <v>358</v>
      </c>
      <c r="O4334" t="s">
        <v>5</v>
      </c>
      <c r="Q4334" t="s">
        <v>4804</v>
      </c>
      <c r="R4334" t="s">
        <v>4557</v>
      </c>
      <c r="S4334" t="s">
        <v>4558</v>
      </c>
    </row>
    <row r="4335" spans="1:19" x14ac:dyDescent="0.25">
      <c r="A4335" t="s">
        <v>30</v>
      </c>
      <c r="B4335" t="s">
        <v>31</v>
      </c>
      <c r="C4335" t="s">
        <v>32</v>
      </c>
      <c r="D4335" t="s">
        <v>584</v>
      </c>
      <c r="E4335" t="s">
        <v>621</v>
      </c>
      <c r="F4335" t="s">
        <v>35</v>
      </c>
      <c r="G4335" t="s">
        <v>35</v>
      </c>
      <c r="H4335" t="s">
        <v>35</v>
      </c>
      <c r="J4335" t="s">
        <v>4803</v>
      </c>
      <c r="K4335" t="s">
        <v>1092</v>
      </c>
      <c r="M4335">
        <v>4.0049999999999999</v>
      </c>
      <c r="N4335">
        <v>133</v>
      </c>
      <c r="O4335" t="s">
        <v>38</v>
      </c>
      <c r="Q4335" t="s">
        <v>68</v>
      </c>
      <c r="R4335" t="s">
        <v>610</v>
      </c>
      <c r="S4335" t="s">
        <v>539</v>
      </c>
    </row>
    <row r="4336" spans="1:19" x14ac:dyDescent="0.25">
      <c r="A4336" t="s">
        <v>59</v>
      </c>
      <c r="B4336" t="s">
        <v>60</v>
      </c>
      <c r="C4336" t="s">
        <v>32</v>
      </c>
      <c r="D4336" t="s">
        <v>584</v>
      </c>
      <c r="E4336" t="s">
        <v>621</v>
      </c>
      <c r="F4336" t="s">
        <v>35</v>
      </c>
      <c r="G4336" t="s">
        <v>35</v>
      </c>
      <c r="H4336" t="s">
        <v>35</v>
      </c>
      <c r="J4336" t="s">
        <v>4806</v>
      </c>
      <c r="K4336" t="s">
        <v>1092</v>
      </c>
      <c r="M4336">
        <v>0.4</v>
      </c>
      <c r="N4336">
        <v>62</v>
      </c>
      <c r="O4336" t="s">
        <v>61</v>
      </c>
      <c r="Q4336" t="s">
        <v>90</v>
      </c>
      <c r="R4336" t="s">
        <v>4750</v>
      </c>
      <c r="S4336" t="s">
        <v>625</v>
      </c>
    </row>
    <row r="4337" spans="1:19" x14ac:dyDescent="0.25">
      <c r="A4337" t="s">
        <v>59</v>
      </c>
      <c r="B4337" t="s">
        <v>31</v>
      </c>
      <c r="C4337" t="s">
        <v>32</v>
      </c>
      <c r="D4337" t="s">
        <v>584</v>
      </c>
      <c r="E4337" t="s">
        <v>621</v>
      </c>
      <c r="F4337" t="s">
        <v>35</v>
      </c>
      <c r="G4337" t="s">
        <v>35</v>
      </c>
      <c r="H4337" t="s">
        <v>35</v>
      </c>
      <c r="J4337" t="s">
        <v>4807</v>
      </c>
      <c r="K4337" t="s">
        <v>1092</v>
      </c>
      <c r="M4337">
        <v>2.1150000000000002</v>
      </c>
      <c r="N4337">
        <v>132</v>
      </c>
      <c r="O4337" t="s">
        <v>38</v>
      </c>
      <c r="Q4337" t="s">
        <v>2901</v>
      </c>
      <c r="R4337" t="s">
        <v>610</v>
      </c>
      <c r="S4337" t="s">
        <v>539</v>
      </c>
    </row>
    <row r="4338" spans="1:19" x14ac:dyDescent="0.25">
      <c r="A4338" t="s">
        <v>59</v>
      </c>
      <c r="B4338" t="s">
        <v>60</v>
      </c>
      <c r="C4338" t="s">
        <v>32</v>
      </c>
      <c r="D4338" t="s">
        <v>584</v>
      </c>
      <c r="E4338" t="s">
        <v>621</v>
      </c>
      <c r="F4338" t="s">
        <v>35</v>
      </c>
      <c r="G4338" t="s">
        <v>35</v>
      </c>
      <c r="H4338" t="s">
        <v>35</v>
      </c>
      <c r="J4338" t="s">
        <v>4809</v>
      </c>
      <c r="K4338" t="s">
        <v>1092</v>
      </c>
      <c r="M4338">
        <v>0.9</v>
      </c>
      <c r="N4338">
        <v>82</v>
      </c>
      <c r="O4338" t="s">
        <v>61</v>
      </c>
      <c r="Q4338" t="s">
        <v>447</v>
      </c>
      <c r="R4338" t="s">
        <v>4545</v>
      </c>
      <c r="S4338" t="s">
        <v>586</v>
      </c>
    </row>
    <row r="4339" spans="1:19" x14ac:dyDescent="0.25">
      <c r="A4339" t="s">
        <v>59</v>
      </c>
      <c r="B4339" t="s">
        <v>60</v>
      </c>
      <c r="C4339" t="s">
        <v>32</v>
      </c>
      <c r="D4339" t="s">
        <v>584</v>
      </c>
      <c r="E4339" t="s">
        <v>621</v>
      </c>
      <c r="F4339" t="s">
        <v>35</v>
      </c>
      <c r="G4339" t="s">
        <v>35</v>
      </c>
      <c r="H4339" t="s">
        <v>35</v>
      </c>
      <c r="J4339" t="s">
        <v>4809</v>
      </c>
      <c r="K4339" t="s">
        <v>1092</v>
      </c>
      <c r="M4339">
        <v>0.75</v>
      </c>
      <c r="N4339">
        <v>46</v>
      </c>
      <c r="O4339" t="s">
        <v>52</v>
      </c>
      <c r="Q4339" t="s">
        <v>493</v>
      </c>
      <c r="R4339" t="s">
        <v>4545</v>
      </c>
      <c r="S4339" t="s">
        <v>586</v>
      </c>
    </row>
    <row r="4340" spans="1:19" x14ac:dyDescent="0.25">
      <c r="A4340" t="s">
        <v>59</v>
      </c>
      <c r="B4340" t="s">
        <v>60</v>
      </c>
      <c r="C4340" t="s">
        <v>32</v>
      </c>
      <c r="D4340" t="s">
        <v>584</v>
      </c>
      <c r="E4340" t="s">
        <v>621</v>
      </c>
      <c r="F4340" t="s">
        <v>35</v>
      </c>
      <c r="G4340" t="s">
        <v>35</v>
      </c>
      <c r="H4340" t="s">
        <v>35</v>
      </c>
      <c r="J4340" t="s">
        <v>4812</v>
      </c>
      <c r="K4340" t="s">
        <v>1092</v>
      </c>
      <c r="M4340">
        <v>0.2</v>
      </c>
      <c r="N4340">
        <v>1140</v>
      </c>
      <c r="O4340" t="s">
        <v>575</v>
      </c>
      <c r="Q4340" t="s">
        <v>4813</v>
      </c>
      <c r="R4340" t="s">
        <v>4681</v>
      </c>
      <c r="S4340" t="s">
        <v>600</v>
      </c>
    </row>
    <row r="4341" spans="1:19" x14ac:dyDescent="0.25">
      <c r="A4341" t="s">
        <v>30</v>
      </c>
      <c r="B4341" t="s">
        <v>31</v>
      </c>
      <c r="C4341" t="s">
        <v>32</v>
      </c>
      <c r="D4341" t="s">
        <v>584</v>
      </c>
      <c r="E4341" t="s">
        <v>621</v>
      </c>
      <c r="F4341" t="s">
        <v>35</v>
      </c>
      <c r="G4341" t="s">
        <v>35</v>
      </c>
      <c r="H4341" t="s">
        <v>35</v>
      </c>
      <c r="J4341" t="s">
        <v>4814</v>
      </c>
      <c r="K4341" t="s">
        <v>1092</v>
      </c>
      <c r="M4341">
        <v>6.48</v>
      </c>
      <c r="N4341">
        <v>451</v>
      </c>
      <c r="O4341" t="s">
        <v>294</v>
      </c>
      <c r="Q4341" t="s">
        <v>2102</v>
      </c>
      <c r="R4341" t="s">
        <v>610</v>
      </c>
      <c r="S4341" t="s">
        <v>539</v>
      </c>
    </row>
    <row r="4342" spans="1:19" x14ac:dyDescent="0.25">
      <c r="A4342" t="s">
        <v>59</v>
      </c>
      <c r="B4342" t="s">
        <v>60</v>
      </c>
      <c r="C4342" t="s">
        <v>32</v>
      </c>
      <c r="D4342" t="s">
        <v>584</v>
      </c>
      <c r="E4342" t="s">
        <v>621</v>
      </c>
      <c r="F4342" t="s">
        <v>35</v>
      </c>
      <c r="G4342" t="s">
        <v>35</v>
      </c>
      <c r="H4342" t="s">
        <v>35</v>
      </c>
      <c r="J4342" t="s">
        <v>4815</v>
      </c>
      <c r="K4342" t="s">
        <v>1092</v>
      </c>
      <c r="M4342">
        <v>0.25</v>
      </c>
      <c r="N4342">
        <v>312</v>
      </c>
      <c r="O4342" t="s">
        <v>5</v>
      </c>
      <c r="Q4342" t="s">
        <v>4818</v>
      </c>
      <c r="R4342" t="s">
        <v>4557</v>
      </c>
      <c r="S4342" t="s">
        <v>4558</v>
      </c>
    </row>
    <row r="4343" spans="1:19" x14ac:dyDescent="0.25">
      <c r="A4343" t="s">
        <v>59</v>
      </c>
      <c r="B4343" t="s">
        <v>60</v>
      </c>
      <c r="C4343" t="s">
        <v>32</v>
      </c>
      <c r="D4343" t="s">
        <v>584</v>
      </c>
      <c r="E4343" t="s">
        <v>621</v>
      </c>
      <c r="F4343" t="s">
        <v>35</v>
      </c>
      <c r="G4343" t="s">
        <v>35</v>
      </c>
      <c r="H4343" t="s">
        <v>35</v>
      </c>
      <c r="J4343" t="s">
        <v>4815</v>
      </c>
      <c r="K4343" t="s">
        <v>1092</v>
      </c>
      <c r="M4343">
        <v>0.25</v>
      </c>
      <c r="N4343">
        <v>292</v>
      </c>
      <c r="O4343" t="s">
        <v>5</v>
      </c>
      <c r="Q4343" t="s">
        <v>1234</v>
      </c>
      <c r="R4343" t="s">
        <v>4557</v>
      </c>
      <c r="S4343" t="s">
        <v>4558</v>
      </c>
    </row>
    <row r="4344" spans="1:19" x14ac:dyDescent="0.25">
      <c r="A4344" t="s">
        <v>59</v>
      </c>
      <c r="B4344" t="s">
        <v>60</v>
      </c>
      <c r="C4344" t="s">
        <v>32</v>
      </c>
      <c r="D4344" t="s">
        <v>584</v>
      </c>
      <c r="E4344" t="s">
        <v>621</v>
      </c>
      <c r="F4344" t="s">
        <v>35</v>
      </c>
      <c r="G4344" t="s">
        <v>35</v>
      </c>
      <c r="H4344" t="s">
        <v>35</v>
      </c>
      <c r="J4344" t="s">
        <v>4815</v>
      </c>
      <c r="K4344" t="s">
        <v>1092</v>
      </c>
      <c r="M4344">
        <v>0.5</v>
      </c>
      <c r="N4344">
        <v>770</v>
      </c>
      <c r="O4344" t="s">
        <v>575</v>
      </c>
      <c r="Q4344" t="s">
        <v>3669</v>
      </c>
      <c r="R4344" t="s">
        <v>4557</v>
      </c>
      <c r="S4344" t="s">
        <v>4558</v>
      </c>
    </row>
    <row r="4345" spans="1:19" x14ac:dyDescent="0.25">
      <c r="A4345" t="s">
        <v>59</v>
      </c>
      <c r="B4345" t="s">
        <v>60</v>
      </c>
      <c r="C4345" t="s">
        <v>32</v>
      </c>
      <c r="D4345" t="s">
        <v>584</v>
      </c>
      <c r="E4345" t="s">
        <v>621</v>
      </c>
      <c r="F4345" t="s">
        <v>35</v>
      </c>
      <c r="G4345" t="s">
        <v>35</v>
      </c>
      <c r="H4345" t="s">
        <v>35</v>
      </c>
      <c r="J4345" t="s">
        <v>4815</v>
      </c>
      <c r="K4345" t="s">
        <v>1092</v>
      </c>
      <c r="M4345">
        <v>0.25</v>
      </c>
      <c r="N4345">
        <v>732</v>
      </c>
      <c r="O4345" t="s">
        <v>575</v>
      </c>
      <c r="Q4345" t="s">
        <v>4816</v>
      </c>
      <c r="R4345" t="s">
        <v>4557</v>
      </c>
      <c r="S4345" t="s">
        <v>4558</v>
      </c>
    </row>
    <row r="4346" spans="1:19" x14ac:dyDescent="0.25">
      <c r="A4346" t="s">
        <v>44</v>
      </c>
      <c r="B4346" t="s">
        <v>3</v>
      </c>
      <c r="C4346" t="s">
        <v>32</v>
      </c>
      <c r="D4346" t="s">
        <v>584</v>
      </c>
      <c r="E4346" t="s">
        <v>621</v>
      </c>
      <c r="F4346" t="s">
        <v>35</v>
      </c>
      <c r="G4346" t="s">
        <v>35</v>
      </c>
      <c r="H4346" t="s">
        <v>35</v>
      </c>
      <c r="J4346" t="s">
        <v>4815</v>
      </c>
      <c r="K4346" t="s">
        <v>1092</v>
      </c>
      <c r="M4346">
        <v>0.25</v>
      </c>
      <c r="N4346">
        <v>520</v>
      </c>
      <c r="O4346" t="s">
        <v>294</v>
      </c>
      <c r="Q4346" t="s">
        <v>2816</v>
      </c>
      <c r="R4346" t="s">
        <v>4557</v>
      </c>
      <c r="S4346" t="s">
        <v>4558</v>
      </c>
    </row>
    <row r="4347" spans="1:19" x14ac:dyDescent="0.25">
      <c r="A4347" t="s">
        <v>44</v>
      </c>
      <c r="B4347" t="s">
        <v>3</v>
      </c>
      <c r="C4347" t="s">
        <v>32</v>
      </c>
      <c r="D4347" t="s">
        <v>584</v>
      </c>
      <c r="E4347" t="s">
        <v>621</v>
      </c>
      <c r="F4347" t="s">
        <v>35</v>
      </c>
      <c r="G4347" t="s">
        <v>35</v>
      </c>
      <c r="H4347" t="s">
        <v>35</v>
      </c>
      <c r="J4347" t="s">
        <v>4815</v>
      </c>
      <c r="K4347" t="s">
        <v>1092</v>
      </c>
      <c r="M4347">
        <v>0.5</v>
      </c>
      <c r="N4347">
        <v>467</v>
      </c>
      <c r="O4347" t="s">
        <v>294</v>
      </c>
      <c r="Q4347" t="s">
        <v>3590</v>
      </c>
      <c r="R4347" t="s">
        <v>4557</v>
      </c>
      <c r="S4347" t="s">
        <v>4558</v>
      </c>
    </row>
    <row r="4348" spans="1:19" x14ac:dyDescent="0.25">
      <c r="A4348" t="s">
        <v>30</v>
      </c>
      <c r="B4348" t="s">
        <v>31</v>
      </c>
      <c r="C4348" t="s">
        <v>32</v>
      </c>
      <c r="D4348" t="s">
        <v>584</v>
      </c>
      <c r="E4348" t="s">
        <v>621</v>
      </c>
      <c r="F4348" t="s">
        <v>35</v>
      </c>
      <c r="G4348" t="s">
        <v>35</v>
      </c>
      <c r="H4348" t="s">
        <v>35</v>
      </c>
      <c r="J4348" t="s">
        <v>4815</v>
      </c>
      <c r="K4348" t="s">
        <v>1092</v>
      </c>
      <c r="M4348">
        <v>0.40500000000000003</v>
      </c>
      <c r="N4348">
        <v>1137</v>
      </c>
      <c r="O4348" t="s">
        <v>575</v>
      </c>
      <c r="Q4348" t="s">
        <v>4817</v>
      </c>
      <c r="R4348" t="s">
        <v>4557</v>
      </c>
      <c r="S4348" t="s">
        <v>4558</v>
      </c>
    </row>
    <row r="4349" spans="1:19" x14ac:dyDescent="0.25">
      <c r="A4349" t="s">
        <v>44</v>
      </c>
      <c r="B4349" t="s">
        <v>3</v>
      </c>
      <c r="C4349" t="s">
        <v>32</v>
      </c>
      <c r="D4349" t="s">
        <v>584</v>
      </c>
      <c r="E4349" t="s">
        <v>621</v>
      </c>
      <c r="F4349" t="s">
        <v>35</v>
      </c>
      <c r="G4349" t="s">
        <v>35</v>
      </c>
      <c r="H4349" t="s">
        <v>35</v>
      </c>
      <c r="J4349" t="s">
        <v>4815</v>
      </c>
      <c r="K4349" t="s">
        <v>1092</v>
      </c>
      <c r="M4349">
        <v>1.75</v>
      </c>
      <c r="N4349">
        <v>581</v>
      </c>
      <c r="O4349" t="s">
        <v>575</v>
      </c>
      <c r="Q4349" t="s">
        <v>4819</v>
      </c>
      <c r="R4349" t="s">
        <v>4545</v>
      </c>
      <c r="S4349" t="s">
        <v>586</v>
      </c>
    </row>
    <row r="4350" spans="1:19" x14ac:dyDescent="0.25">
      <c r="A4350" t="s">
        <v>30</v>
      </c>
      <c r="B4350" t="s">
        <v>31</v>
      </c>
      <c r="C4350" t="s">
        <v>32</v>
      </c>
      <c r="D4350" t="s">
        <v>584</v>
      </c>
      <c r="E4350" t="s">
        <v>621</v>
      </c>
      <c r="F4350" t="s">
        <v>35</v>
      </c>
      <c r="G4350" t="s">
        <v>35</v>
      </c>
      <c r="H4350" t="s">
        <v>35</v>
      </c>
      <c r="J4350" t="s">
        <v>4820</v>
      </c>
      <c r="K4350" t="s">
        <v>1092</v>
      </c>
      <c r="M4350">
        <v>1.2150000000000001</v>
      </c>
      <c r="N4350">
        <v>460</v>
      </c>
      <c r="O4350" t="s">
        <v>294</v>
      </c>
      <c r="Q4350" t="s">
        <v>4042</v>
      </c>
      <c r="R4350" t="s">
        <v>4821</v>
      </c>
      <c r="S4350" t="s">
        <v>4822</v>
      </c>
    </row>
    <row r="4351" spans="1:19" x14ac:dyDescent="0.25">
      <c r="A4351" t="s">
        <v>44</v>
      </c>
      <c r="B4351" t="s">
        <v>3</v>
      </c>
      <c r="C4351" t="s">
        <v>32</v>
      </c>
      <c r="D4351" t="s">
        <v>584</v>
      </c>
      <c r="E4351" t="s">
        <v>621</v>
      </c>
      <c r="F4351" t="s">
        <v>35</v>
      </c>
      <c r="G4351" t="s">
        <v>35</v>
      </c>
      <c r="H4351" t="s">
        <v>35</v>
      </c>
      <c r="J4351" t="s">
        <v>4820</v>
      </c>
      <c r="K4351" t="s">
        <v>1092</v>
      </c>
      <c r="M4351">
        <v>0.95</v>
      </c>
      <c r="N4351">
        <v>446</v>
      </c>
      <c r="O4351" t="s">
        <v>294</v>
      </c>
      <c r="Q4351" t="s">
        <v>3152</v>
      </c>
      <c r="R4351" t="s">
        <v>4821</v>
      </c>
      <c r="S4351" t="s">
        <v>4822</v>
      </c>
    </row>
    <row r="4352" spans="1:19" x14ac:dyDescent="0.25">
      <c r="A4352" t="s">
        <v>59</v>
      </c>
      <c r="B4352" t="s">
        <v>31</v>
      </c>
      <c r="C4352" t="s">
        <v>32</v>
      </c>
      <c r="D4352" t="s">
        <v>584</v>
      </c>
      <c r="E4352" t="s">
        <v>621</v>
      </c>
      <c r="F4352" t="s">
        <v>35</v>
      </c>
      <c r="G4352" t="s">
        <v>35</v>
      </c>
      <c r="H4352" t="s">
        <v>35</v>
      </c>
      <c r="J4352" t="s">
        <v>4823</v>
      </c>
      <c r="K4352" t="s">
        <v>1092</v>
      </c>
      <c r="M4352">
        <v>0.67500000000000004</v>
      </c>
      <c r="N4352">
        <v>72</v>
      </c>
      <c r="O4352" t="s">
        <v>61</v>
      </c>
      <c r="Q4352" t="s">
        <v>63</v>
      </c>
      <c r="R4352" t="s">
        <v>4571</v>
      </c>
      <c r="S4352" t="s">
        <v>628</v>
      </c>
    </row>
    <row r="4353" spans="1:19" x14ac:dyDescent="0.25">
      <c r="A4353" t="s">
        <v>30</v>
      </c>
      <c r="B4353" t="s">
        <v>31</v>
      </c>
      <c r="C4353" t="s">
        <v>32</v>
      </c>
      <c r="D4353" t="s">
        <v>584</v>
      </c>
      <c r="E4353" t="s">
        <v>621</v>
      </c>
      <c r="F4353" t="s">
        <v>35</v>
      </c>
      <c r="G4353" t="s">
        <v>35</v>
      </c>
      <c r="H4353" t="s">
        <v>35</v>
      </c>
      <c r="J4353" t="s">
        <v>4824</v>
      </c>
      <c r="K4353" t="s">
        <v>1092</v>
      </c>
      <c r="M4353">
        <v>2.3849999999999998</v>
      </c>
      <c r="N4353">
        <v>145</v>
      </c>
      <c r="O4353" t="s">
        <v>38</v>
      </c>
      <c r="Q4353" t="s">
        <v>1149</v>
      </c>
      <c r="R4353" t="s">
        <v>610</v>
      </c>
      <c r="S4353" t="s">
        <v>539</v>
      </c>
    </row>
    <row r="4354" spans="1:19" x14ac:dyDescent="0.25">
      <c r="A4354" t="s">
        <v>30</v>
      </c>
      <c r="B4354" t="s">
        <v>31</v>
      </c>
      <c r="C4354" t="s">
        <v>32</v>
      </c>
      <c r="D4354" t="s">
        <v>584</v>
      </c>
      <c r="E4354" t="s">
        <v>621</v>
      </c>
      <c r="F4354" t="s">
        <v>35</v>
      </c>
      <c r="G4354" t="s">
        <v>35</v>
      </c>
      <c r="H4354" t="s">
        <v>35</v>
      </c>
      <c r="J4354" t="s">
        <v>4824</v>
      </c>
      <c r="K4354" t="s">
        <v>1092</v>
      </c>
      <c r="M4354">
        <v>11.025</v>
      </c>
      <c r="N4354">
        <v>71</v>
      </c>
      <c r="O4354" t="s">
        <v>61</v>
      </c>
      <c r="Q4354" t="s">
        <v>102</v>
      </c>
      <c r="R4354" t="s">
        <v>610</v>
      </c>
      <c r="S4354" t="s">
        <v>539</v>
      </c>
    </row>
    <row r="4355" spans="1:19" x14ac:dyDescent="0.25">
      <c r="A4355" t="s">
        <v>59</v>
      </c>
      <c r="B4355" t="s">
        <v>60</v>
      </c>
      <c r="C4355" t="s">
        <v>32</v>
      </c>
      <c r="D4355" t="s">
        <v>584</v>
      </c>
      <c r="E4355" t="s">
        <v>621</v>
      </c>
      <c r="F4355" t="s">
        <v>35</v>
      </c>
      <c r="G4355" t="s">
        <v>35</v>
      </c>
      <c r="H4355" t="s">
        <v>35</v>
      </c>
      <c r="J4355" t="s">
        <v>4825</v>
      </c>
      <c r="K4355" t="s">
        <v>1092</v>
      </c>
      <c r="M4355">
        <v>5.5</v>
      </c>
      <c r="N4355">
        <v>279</v>
      </c>
      <c r="O4355" t="s">
        <v>5</v>
      </c>
      <c r="Q4355" t="s">
        <v>1717</v>
      </c>
      <c r="R4355" t="s">
        <v>4571</v>
      </c>
      <c r="S4355" t="s">
        <v>628</v>
      </c>
    </row>
    <row r="4356" spans="1:19" x14ac:dyDescent="0.25">
      <c r="A4356" t="s">
        <v>59</v>
      </c>
      <c r="B4356" t="s">
        <v>60</v>
      </c>
      <c r="C4356" t="s">
        <v>32</v>
      </c>
      <c r="D4356" t="s">
        <v>584</v>
      </c>
      <c r="E4356" t="s">
        <v>621</v>
      </c>
      <c r="F4356" t="s">
        <v>35</v>
      </c>
      <c r="G4356" t="s">
        <v>35</v>
      </c>
      <c r="H4356" t="s">
        <v>35</v>
      </c>
      <c r="J4356" t="s">
        <v>4826</v>
      </c>
      <c r="K4356" t="s">
        <v>1092</v>
      </c>
      <c r="M4356">
        <v>1.35</v>
      </c>
      <c r="N4356">
        <v>285</v>
      </c>
      <c r="O4356" t="s">
        <v>5</v>
      </c>
      <c r="Q4356" t="s">
        <v>1687</v>
      </c>
      <c r="R4356" t="s">
        <v>610</v>
      </c>
      <c r="S4356" t="s">
        <v>539</v>
      </c>
    </row>
    <row r="4357" spans="1:19" x14ac:dyDescent="0.25">
      <c r="A4357" t="s">
        <v>30</v>
      </c>
      <c r="B4357" t="s">
        <v>31</v>
      </c>
      <c r="C4357" t="s">
        <v>32</v>
      </c>
      <c r="D4357" t="s">
        <v>584</v>
      </c>
      <c r="E4357" t="s">
        <v>621</v>
      </c>
      <c r="F4357" t="s">
        <v>35</v>
      </c>
      <c r="G4357" t="s">
        <v>35</v>
      </c>
      <c r="H4357" t="s">
        <v>35</v>
      </c>
      <c r="J4357" t="s">
        <v>4827</v>
      </c>
      <c r="K4357" t="s">
        <v>1092</v>
      </c>
      <c r="M4357">
        <v>5.9850000000000003</v>
      </c>
      <c r="N4357">
        <v>94</v>
      </c>
      <c r="O4357" t="s">
        <v>106</v>
      </c>
      <c r="Q4357" t="s">
        <v>394</v>
      </c>
      <c r="R4357" t="s">
        <v>610</v>
      </c>
      <c r="S4357" t="s">
        <v>539</v>
      </c>
    </row>
    <row r="4358" spans="1:19" x14ac:dyDescent="0.25">
      <c r="A4358" t="s">
        <v>30</v>
      </c>
      <c r="B4358" t="s">
        <v>31</v>
      </c>
      <c r="C4358" t="s">
        <v>32</v>
      </c>
      <c r="D4358" t="s">
        <v>584</v>
      </c>
      <c r="E4358" t="s">
        <v>621</v>
      </c>
      <c r="F4358" t="s">
        <v>35</v>
      </c>
      <c r="G4358" t="s">
        <v>35</v>
      </c>
      <c r="H4358" t="s">
        <v>35</v>
      </c>
      <c r="J4358" t="s">
        <v>3808</v>
      </c>
      <c r="K4358" t="s">
        <v>1092</v>
      </c>
      <c r="M4358">
        <v>9.9450000000000003</v>
      </c>
      <c r="N4358">
        <v>264</v>
      </c>
      <c r="O4358" t="s">
        <v>5</v>
      </c>
      <c r="Q4358" t="s">
        <v>1721</v>
      </c>
      <c r="R4358" t="s">
        <v>610</v>
      </c>
      <c r="S4358" t="s">
        <v>539</v>
      </c>
    </row>
    <row r="4359" spans="1:19" x14ac:dyDescent="0.25">
      <c r="A4359" t="s">
        <v>59</v>
      </c>
      <c r="B4359" t="s">
        <v>31</v>
      </c>
      <c r="C4359" t="s">
        <v>32</v>
      </c>
      <c r="D4359" t="s">
        <v>584</v>
      </c>
      <c r="E4359" t="s">
        <v>621</v>
      </c>
      <c r="F4359" t="s">
        <v>35</v>
      </c>
      <c r="G4359" t="s">
        <v>35</v>
      </c>
      <c r="H4359" t="s">
        <v>35</v>
      </c>
      <c r="J4359" t="s">
        <v>4828</v>
      </c>
      <c r="K4359" t="s">
        <v>1092</v>
      </c>
      <c r="M4359">
        <v>3.8250000000000002</v>
      </c>
      <c r="N4359">
        <v>123</v>
      </c>
      <c r="O4359" t="s">
        <v>38</v>
      </c>
      <c r="Q4359" t="s">
        <v>3534</v>
      </c>
      <c r="R4359" t="s">
        <v>610</v>
      </c>
      <c r="S4359" t="s">
        <v>539</v>
      </c>
    </row>
    <row r="4360" spans="1:19" x14ac:dyDescent="0.25">
      <c r="A4360" t="s">
        <v>30</v>
      </c>
      <c r="B4360" t="s">
        <v>31</v>
      </c>
      <c r="C4360" t="s">
        <v>32</v>
      </c>
      <c r="D4360" t="s">
        <v>584</v>
      </c>
      <c r="E4360" t="s">
        <v>621</v>
      </c>
      <c r="F4360" t="s">
        <v>35</v>
      </c>
      <c r="G4360" t="s">
        <v>35</v>
      </c>
      <c r="H4360" t="s">
        <v>35</v>
      </c>
      <c r="J4360" t="s">
        <v>4829</v>
      </c>
      <c r="K4360" t="s">
        <v>1092</v>
      </c>
      <c r="M4360">
        <v>4.0049999999999999</v>
      </c>
      <c r="N4360">
        <v>153</v>
      </c>
      <c r="O4360" t="s">
        <v>38</v>
      </c>
      <c r="Q4360" t="s">
        <v>569</v>
      </c>
      <c r="R4360" t="s">
        <v>4830</v>
      </c>
      <c r="S4360" t="s">
        <v>4831</v>
      </c>
    </row>
    <row r="4361" spans="1:19" x14ac:dyDescent="0.25">
      <c r="A4361" t="s">
        <v>44</v>
      </c>
      <c r="B4361" t="s">
        <v>51</v>
      </c>
      <c r="C4361" t="s">
        <v>32</v>
      </c>
      <c r="D4361" t="s">
        <v>584</v>
      </c>
      <c r="E4361" t="s">
        <v>621</v>
      </c>
      <c r="F4361" t="s">
        <v>35</v>
      </c>
      <c r="G4361" t="s">
        <v>35</v>
      </c>
      <c r="H4361" t="s">
        <v>35</v>
      </c>
      <c r="J4361" t="s">
        <v>4832</v>
      </c>
      <c r="K4361" t="s">
        <v>1092</v>
      </c>
      <c r="M4361">
        <v>0.25</v>
      </c>
      <c r="N4361">
        <v>58</v>
      </c>
      <c r="O4361" t="s">
        <v>52</v>
      </c>
      <c r="Q4361" t="s">
        <v>58</v>
      </c>
      <c r="R4361" t="s">
        <v>610</v>
      </c>
      <c r="S4361" t="s">
        <v>539</v>
      </c>
    </row>
    <row r="4362" spans="1:19" x14ac:dyDescent="0.25">
      <c r="A4362" t="s">
        <v>59</v>
      </c>
      <c r="B4362" t="s">
        <v>60</v>
      </c>
      <c r="C4362" t="s">
        <v>32</v>
      </c>
      <c r="D4362" t="s">
        <v>584</v>
      </c>
      <c r="E4362" t="s">
        <v>621</v>
      </c>
      <c r="F4362" t="s">
        <v>35</v>
      </c>
      <c r="G4362" t="s">
        <v>35</v>
      </c>
      <c r="H4362" t="s">
        <v>35</v>
      </c>
      <c r="J4362" t="s">
        <v>4832</v>
      </c>
      <c r="K4362" t="s">
        <v>1092</v>
      </c>
      <c r="M4362">
        <v>0.85</v>
      </c>
      <c r="N4362">
        <v>285</v>
      </c>
      <c r="O4362" t="s">
        <v>5</v>
      </c>
      <c r="Q4362" t="s">
        <v>1687</v>
      </c>
      <c r="R4362" t="s">
        <v>610</v>
      </c>
      <c r="S4362" t="s">
        <v>539</v>
      </c>
    </row>
    <row r="4363" spans="1:19" x14ac:dyDescent="0.25">
      <c r="A4363" t="s">
        <v>59</v>
      </c>
      <c r="B4363" t="s">
        <v>60</v>
      </c>
      <c r="C4363" t="s">
        <v>32</v>
      </c>
      <c r="D4363" t="s">
        <v>584</v>
      </c>
      <c r="E4363" t="s">
        <v>621</v>
      </c>
      <c r="F4363" t="s">
        <v>35</v>
      </c>
      <c r="G4363" t="s">
        <v>35</v>
      </c>
      <c r="H4363" t="s">
        <v>35</v>
      </c>
      <c r="J4363" t="s">
        <v>4833</v>
      </c>
      <c r="K4363" t="s">
        <v>1092</v>
      </c>
      <c r="M4363">
        <v>0.25</v>
      </c>
      <c r="N4363">
        <v>44</v>
      </c>
      <c r="O4363" t="s">
        <v>52</v>
      </c>
      <c r="Q4363" t="s">
        <v>192</v>
      </c>
      <c r="R4363" t="s">
        <v>4545</v>
      </c>
      <c r="S4363" t="s">
        <v>586</v>
      </c>
    </row>
    <row r="4364" spans="1:19" x14ac:dyDescent="0.25">
      <c r="A4364" t="s">
        <v>59</v>
      </c>
      <c r="B4364" t="s">
        <v>60</v>
      </c>
      <c r="C4364" t="s">
        <v>32</v>
      </c>
      <c r="D4364" t="s">
        <v>584</v>
      </c>
      <c r="E4364" t="s">
        <v>621</v>
      </c>
      <c r="F4364" t="s">
        <v>35</v>
      </c>
      <c r="G4364" t="s">
        <v>35</v>
      </c>
      <c r="H4364" t="s">
        <v>35</v>
      </c>
      <c r="J4364" t="s">
        <v>4833</v>
      </c>
      <c r="K4364" t="s">
        <v>1092</v>
      </c>
      <c r="M4364">
        <v>0.25</v>
      </c>
      <c r="N4364">
        <v>51</v>
      </c>
      <c r="O4364" t="s">
        <v>52</v>
      </c>
      <c r="Q4364" t="s">
        <v>54</v>
      </c>
      <c r="R4364" t="s">
        <v>4545</v>
      </c>
      <c r="S4364" t="s">
        <v>586</v>
      </c>
    </row>
    <row r="4365" spans="1:19" x14ac:dyDescent="0.25">
      <c r="A4365" t="s">
        <v>30</v>
      </c>
      <c r="B4365" t="s">
        <v>31</v>
      </c>
      <c r="C4365" t="s">
        <v>32</v>
      </c>
      <c r="D4365" t="s">
        <v>584</v>
      </c>
      <c r="E4365" t="s">
        <v>621</v>
      </c>
      <c r="F4365" t="s">
        <v>35</v>
      </c>
      <c r="G4365" t="s">
        <v>35</v>
      </c>
      <c r="H4365" t="s">
        <v>35</v>
      </c>
      <c r="J4365" t="s">
        <v>4834</v>
      </c>
      <c r="K4365" t="s">
        <v>1092</v>
      </c>
      <c r="M4365">
        <v>2.6549999999999998</v>
      </c>
      <c r="N4365">
        <v>228</v>
      </c>
      <c r="O4365" t="s">
        <v>5</v>
      </c>
      <c r="Q4365" t="s">
        <v>1979</v>
      </c>
      <c r="R4365" t="s">
        <v>610</v>
      </c>
      <c r="S4365" t="s">
        <v>539</v>
      </c>
    </row>
    <row r="4366" spans="1:19" x14ac:dyDescent="0.25">
      <c r="A4366" t="s">
        <v>30</v>
      </c>
      <c r="B4366" t="s">
        <v>31</v>
      </c>
      <c r="C4366" t="s">
        <v>32</v>
      </c>
      <c r="D4366" t="s">
        <v>584</v>
      </c>
      <c r="E4366" t="s">
        <v>621</v>
      </c>
      <c r="F4366" t="s">
        <v>35</v>
      </c>
      <c r="G4366" t="s">
        <v>35</v>
      </c>
      <c r="H4366" t="s">
        <v>35</v>
      </c>
      <c r="J4366" t="s">
        <v>4834</v>
      </c>
      <c r="K4366" t="s">
        <v>1092</v>
      </c>
      <c r="M4366">
        <v>22.05</v>
      </c>
      <c r="N4366">
        <v>97</v>
      </c>
      <c r="O4366" t="s">
        <v>106</v>
      </c>
      <c r="Q4366" t="s">
        <v>557</v>
      </c>
      <c r="R4366" t="s">
        <v>610</v>
      </c>
      <c r="S4366" t="s">
        <v>539</v>
      </c>
    </row>
    <row r="4367" spans="1:19" x14ac:dyDescent="0.25">
      <c r="A4367" t="s">
        <v>59</v>
      </c>
      <c r="B4367" t="s">
        <v>60</v>
      </c>
      <c r="C4367" t="s">
        <v>32</v>
      </c>
      <c r="D4367" t="s">
        <v>584</v>
      </c>
      <c r="E4367" t="s">
        <v>621</v>
      </c>
      <c r="F4367" t="s">
        <v>35</v>
      </c>
      <c r="G4367" t="s">
        <v>35</v>
      </c>
      <c r="H4367" t="s">
        <v>35</v>
      </c>
      <c r="J4367" t="s">
        <v>4835</v>
      </c>
      <c r="K4367" t="s">
        <v>1092</v>
      </c>
      <c r="M4367">
        <v>0.7</v>
      </c>
      <c r="N4367">
        <v>279</v>
      </c>
      <c r="O4367" t="s">
        <v>5</v>
      </c>
      <c r="Q4367" t="s">
        <v>1717</v>
      </c>
      <c r="R4367" t="s">
        <v>4571</v>
      </c>
      <c r="S4367" t="s">
        <v>628</v>
      </c>
    </row>
    <row r="4368" spans="1:19" x14ac:dyDescent="0.25">
      <c r="A4368" t="s">
        <v>44</v>
      </c>
      <c r="B4368" t="s">
        <v>3</v>
      </c>
      <c r="C4368" t="s">
        <v>32</v>
      </c>
      <c r="D4368" t="s">
        <v>584</v>
      </c>
      <c r="E4368" t="s">
        <v>621</v>
      </c>
      <c r="F4368" t="s">
        <v>35</v>
      </c>
      <c r="G4368" t="s">
        <v>35</v>
      </c>
      <c r="H4368" t="s">
        <v>35</v>
      </c>
      <c r="J4368" t="s">
        <v>4836</v>
      </c>
      <c r="K4368" t="s">
        <v>1092</v>
      </c>
      <c r="M4368">
        <v>0.8</v>
      </c>
      <c r="N4368">
        <v>533</v>
      </c>
      <c r="O4368" t="s">
        <v>294</v>
      </c>
      <c r="Q4368" t="s">
        <v>4047</v>
      </c>
      <c r="R4368" t="s">
        <v>4564</v>
      </c>
      <c r="S4368" t="s">
        <v>4565</v>
      </c>
    </row>
    <row r="4369" spans="1:19" x14ac:dyDescent="0.25">
      <c r="A4369" t="s">
        <v>59</v>
      </c>
      <c r="B4369" t="s">
        <v>60</v>
      </c>
      <c r="C4369" t="s">
        <v>32</v>
      </c>
      <c r="D4369" t="s">
        <v>584</v>
      </c>
      <c r="E4369" t="s">
        <v>621</v>
      </c>
      <c r="F4369" t="s">
        <v>35</v>
      </c>
      <c r="G4369" t="s">
        <v>35</v>
      </c>
      <c r="H4369" t="s">
        <v>35</v>
      </c>
      <c r="J4369" t="s">
        <v>4837</v>
      </c>
      <c r="K4369" t="s">
        <v>1092</v>
      </c>
      <c r="M4369">
        <v>0.5</v>
      </c>
      <c r="N4369">
        <v>176</v>
      </c>
      <c r="O4369" t="s">
        <v>38</v>
      </c>
      <c r="Q4369" t="s">
        <v>4838</v>
      </c>
      <c r="R4369" t="s">
        <v>4839</v>
      </c>
      <c r="S4369" t="s">
        <v>4840</v>
      </c>
    </row>
    <row r="4370" spans="1:19" x14ac:dyDescent="0.25">
      <c r="A4370" t="s">
        <v>59</v>
      </c>
      <c r="B4370" t="s">
        <v>31</v>
      </c>
      <c r="C4370" t="s">
        <v>32</v>
      </c>
      <c r="D4370" t="s">
        <v>584</v>
      </c>
      <c r="E4370" t="s">
        <v>621</v>
      </c>
      <c r="F4370" t="s">
        <v>35</v>
      </c>
      <c r="G4370" t="s">
        <v>35</v>
      </c>
      <c r="H4370" t="s">
        <v>35</v>
      </c>
      <c r="J4370" t="s">
        <v>4842</v>
      </c>
      <c r="K4370" t="s">
        <v>1092</v>
      </c>
      <c r="M4370">
        <v>8.5500000000000007</v>
      </c>
      <c r="N4370">
        <v>131</v>
      </c>
      <c r="O4370" t="s">
        <v>38</v>
      </c>
      <c r="Q4370" t="s">
        <v>646</v>
      </c>
      <c r="R4370" t="s">
        <v>610</v>
      </c>
      <c r="S4370" t="s">
        <v>539</v>
      </c>
    </row>
    <row r="4371" spans="1:19" x14ac:dyDescent="0.25">
      <c r="A4371" t="s">
        <v>59</v>
      </c>
      <c r="B4371" t="s">
        <v>31</v>
      </c>
      <c r="C4371" t="s">
        <v>32</v>
      </c>
      <c r="D4371" t="s">
        <v>584</v>
      </c>
      <c r="E4371" t="s">
        <v>621</v>
      </c>
      <c r="F4371" t="s">
        <v>35</v>
      </c>
      <c r="G4371" t="s">
        <v>35</v>
      </c>
      <c r="H4371" t="s">
        <v>35</v>
      </c>
      <c r="J4371" t="s">
        <v>4274</v>
      </c>
      <c r="K4371" t="s">
        <v>1092</v>
      </c>
      <c r="M4371">
        <v>0.63</v>
      </c>
      <c r="N4371">
        <v>524</v>
      </c>
      <c r="O4371" t="s">
        <v>294</v>
      </c>
      <c r="Q4371" t="s">
        <v>4843</v>
      </c>
      <c r="R4371" t="s">
        <v>4800</v>
      </c>
      <c r="S4371" t="s">
        <v>4799</v>
      </c>
    </row>
    <row r="4372" spans="1:19" x14ac:dyDescent="0.25">
      <c r="A4372" t="s">
        <v>44</v>
      </c>
      <c r="B4372" t="s">
        <v>3</v>
      </c>
      <c r="C4372" t="s">
        <v>32</v>
      </c>
      <c r="D4372" t="s">
        <v>584</v>
      </c>
      <c r="E4372" t="s">
        <v>621</v>
      </c>
      <c r="F4372" t="s">
        <v>35</v>
      </c>
      <c r="G4372" t="s">
        <v>35</v>
      </c>
      <c r="H4372" t="s">
        <v>35</v>
      </c>
      <c r="J4372" t="s">
        <v>4274</v>
      </c>
      <c r="K4372" t="s">
        <v>1092</v>
      </c>
      <c r="M4372">
        <v>0.7</v>
      </c>
      <c r="N4372">
        <v>524</v>
      </c>
      <c r="O4372" t="s">
        <v>294</v>
      </c>
      <c r="Q4372" t="s">
        <v>4843</v>
      </c>
      <c r="R4372" t="s">
        <v>4800</v>
      </c>
      <c r="S4372" t="s">
        <v>4799</v>
      </c>
    </row>
    <row r="4373" spans="1:19" x14ac:dyDescent="0.25">
      <c r="A4373" t="s">
        <v>59</v>
      </c>
      <c r="B4373" t="s">
        <v>60</v>
      </c>
      <c r="C4373" t="s">
        <v>32</v>
      </c>
      <c r="D4373" t="s">
        <v>584</v>
      </c>
      <c r="E4373" t="s">
        <v>621</v>
      </c>
      <c r="F4373" t="s">
        <v>35</v>
      </c>
      <c r="G4373" t="s">
        <v>35</v>
      </c>
      <c r="H4373" t="s">
        <v>35</v>
      </c>
      <c r="J4373" t="s">
        <v>4844</v>
      </c>
      <c r="K4373" t="s">
        <v>1092</v>
      </c>
      <c r="M4373">
        <v>0.45</v>
      </c>
      <c r="N4373">
        <v>1129</v>
      </c>
      <c r="O4373" t="s">
        <v>575</v>
      </c>
      <c r="Q4373" t="s">
        <v>4782</v>
      </c>
      <c r="R4373" t="s">
        <v>4640</v>
      </c>
      <c r="S4373" t="s">
        <v>4641</v>
      </c>
    </row>
    <row r="4374" spans="1:19" x14ac:dyDescent="0.25">
      <c r="A4374" t="s">
        <v>30</v>
      </c>
      <c r="B4374" t="s">
        <v>31</v>
      </c>
      <c r="C4374" t="s">
        <v>32</v>
      </c>
      <c r="D4374" t="s">
        <v>584</v>
      </c>
      <c r="E4374" t="s">
        <v>621</v>
      </c>
      <c r="F4374" t="s">
        <v>35</v>
      </c>
      <c r="G4374" t="s">
        <v>35</v>
      </c>
      <c r="H4374" t="s">
        <v>35</v>
      </c>
      <c r="J4374" t="s">
        <v>4844</v>
      </c>
      <c r="K4374" t="s">
        <v>1092</v>
      </c>
      <c r="M4374">
        <v>0.54</v>
      </c>
      <c r="N4374">
        <v>266</v>
      </c>
      <c r="O4374" t="s">
        <v>5</v>
      </c>
      <c r="Q4374" t="s">
        <v>117</v>
      </c>
      <c r="R4374" t="s">
        <v>610</v>
      </c>
      <c r="S4374" t="s">
        <v>539</v>
      </c>
    </row>
    <row r="4375" spans="1:19" x14ac:dyDescent="0.25">
      <c r="A4375" t="s">
        <v>30</v>
      </c>
      <c r="B4375" t="s">
        <v>31</v>
      </c>
      <c r="C4375" t="s">
        <v>32</v>
      </c>
      <c r="D4375" t="s">
        <v>584</v>
      </c>
      <c r="E4375" t="s">
        <v>621</v>
      </c>
      <c r="F4375" t="s">
        <v>35</v>
      </c>
      <c r="G4375" t="s">
        <v>35</v>
      </c>
      <c r="H4375" t="s">
        <v>35</v>
      </c>
      <c r="J4375" t="s">
        <v>4845</v>
      </c>
      <c r="K4375" t="s">
        <v>1092</v>
      </c>
      <c r="M4375">
        <v>2.52</v>
      </c>
      <c r="N4375">
        <v>367</v>
      </c>
      <c r="O4375" t="s">
        <v>294</v>
      </c>
      <c r="Q4375" t="s">
        <v>3978</v>
      </c>
      <c r="R4375" t="s">
        <v>610</v>
      </c>
      <c r="S4375" t="s">
        <v>539</v>
      </c>
    </row>
    <row r="4376" spans="1:19" x14ac:dyDescent="0.25">
      <c r="A4376" t="s">
        <v>30</v>
      </c>
      <c r="B4376" t="s">
        <v>31</v>
      </c>
      <c r="C4376" t="s">
        <v>32</v>
      </c>
      <c r="D4376" t="s">
        <v>584</v>
      </c>
      <c r="E4376" t="s">
        <v>621</v>
      </c>
      <c r="F4376" t="s">
        <v>35</v>
      </c>
      <c r="G4376" t="s">
        <v>35</v>
      </c>
      <c r="H4376" t="s">
        <v>35</v>
      </c>
      <c r="J4376" t="s">
        <v>4845</v>
      </c>
      <c r="K4376" t="s">
        <v>1092</v>
      </c>
      <c r="M4376">
        <v>5.5350000000000001</v>
      </c>
      <c r="N4376">
        <v>266</v>
      </c>
      <c r="O4376" t="s">
        <v>5</v>
      </c>
      <c r="Q4376" t="s">
        <v>117</v>
      </c>
      <c r="R4376" t="s">
        <v>610</v>
      </c>
      <c r="S4376" t="s">
        <v>539</v>
      </c>
    </row>
    <row r="4377" spans="1:19" x14ac:dyDescent="0.25">
      <c r="A4377" t="s">
        <v>30</v>
      </c>
      <c r="B4377" t="s">
        <v>31</v>
      </c>
      <c r="C4377" t="s">
        <v>32</v>
      </c>
      <c r="D4377" t="s">
        <v>584</v>
      </c>
      <c r="E4377" t="s">
        <v>621</v>
      </c>
      <c r="F4377" t="s">
        <v>35</v>
      </c>
      <c r="G4377" t="s">
        <v>35</v>
      </c>
      <c r="H4377" t="s">
        <v>35</v>
      </c>
      <c r="J4377" t="s">
        <v>4846</v>
      </c>
      <c r="K4377" t="s">
        <v>1092</v>
      </c>
      <c r="M4377">
        <v>1.0349999999999999</v>
      </c>
      <c r="N4377">
        <v>296</v>
      </c>
      <c r="O4377" t="s">
        <v>5</v>
      </c>
      <c r="Q4377" t="s">
        <v>4253</v>
      </c>
      <c r="R4377" t="s">
        <v>610</v>
      </c>
      <c r="S4377" t="s">
        <v>539</v>
      </c>
    </row>
    <row r="4378" spans="1:19" x14ac:dyDescent="0.25">
      <c r="A4378" t="s">
        <v>59</v>
      </c>
      <c r="B4378" t="s">
        <v>60</v>
      </c>
      <c r="C4378" t="s">
        <v>32</v>
      </c>
      <c r="D4378" t="s">
        <v>584</v>
      </c>
      <c r="E4378" t="s">
        <v>621</v>
      </c>
      <c r="F4378" t="s">
        <v>35</v>
      </c>
      <c r="G4378" t="s">
        <v>35</v>
      </c>
      <c r="H4378" t="s">
        <v>35</v>
      </c>
      <c r="J4378" t="s">
        <v>4847</v>
      </c>
      <c r="K4378" t="s">
        <v>1092</v>
      </c>
      <c r="M4378">
        <v>2.5</v>
      </c>
      <c r="N4378">
        <v>95</v>
      </c>
      <c r="O4378" t="s">
        <v>106</v>
      </c>
      <c r="Q4378" t="s">
        <v>724</v>
      </c>
      <c r="R4378" t="s">
        <v>4459</v>
      </c>
      <c r="S4378" t="s">
        <v>4460</v>
      </c>
    </row>
    <row r="4379" spans="1:19" x14ac:dyDescent="0.25">
      <c r="A4379" t="s">
        <v>59</v>
      </c>
      <c r="B4379" t="s">
        <v>60</v>
      </c>
      <c r="C4379" t="s">
        <v>32</v>
      </c>
      <c r="D4379" t="s">
        <v>584</v>
      </c>
      <c r="E4379" t="s">
        <v>621</v>
      </c>
      <c r="F4379" t="s">
        <v>35</v>
      </c>
      <c r="G4379" t="s">
        <v>35</v>
      </c>
      <c r="H4379" t="s">
        <v>35</v>
      </c>
      <c r="J4379" t="s">
        <v>4848</v>
      </c>
      <c r="K4379" t="s">
        <v>1092</v>
      </c>
      <c r="M4379">
        <v>3.8</v>
      </c>
      <c r="N4379">
        <v>138</v>
      </c>
      <c r="O4379" t="s">
        <v>38</v>
      </c>
      <c r="Q4379" t="s">
        <v>542</v>
      </c>
      <c r="R4379" t="s">
        <v>4571</v>
      </c>
      <c r="S4379" t="s">
        <v>628</v>
      </c>
    </row>
    <row r="4380" spans="1:19" x14ac:dyDescent="0.25">
      <c r="A4380" t="s">
        <v>30</v>
      </c>
      <c r="B4380" t="s">
        <v>31</v>
      </c>
      <c r="C4380" t="s">
        <v>32</v>
      </c>
      <c r="D4380" t="s">
        <v>584</v>
      </c>
      <c r="E4380" t="s">
        <v>621</v>
      </c>
      <c r="F4380" t="s">
        <v>35</v>
      </c>
      <c r="G4380" t="s">
        <v>35</v>
      </c>
      <c r="H4380" t="s">
        <v>35</v>
      </c>
      <c r="J4380" t="s">
        <v>4849</v>
      </c>
      <c r="K4380" t="s">
        <v>1092</v>
      </c>
      <c r="M4380">
        <v>7.2</v>
      </c>
      <c r="N4380">
        <v>95</v>
      </c>
      <c r="O4380" t="s">
        <v>106</v>
      </c>
      <c r="Q4380" t="s">
        <v>724</v>
      </c>
      <c r="R4380" t="s">
        <v>610</v>
      </c>
      <c r="S4380" t="s">
        <v>539</v>
      </c>
    </row>
    <row r="4381" spans="1:19" x14ac:dyDescent="0.25">
      <c r="A4381" t="s">
        <v>30</v>
      </c>
      <c r="B4381" t="s">
        <v>31</v>
      </c>
      <c r="C4381" t="s">
        <v>32</v>
      </c>
      <c r="D4381" t="s">
        <v>584</v>
      </c>
      <c r="E4381" t="s">
        <v>621</v>
      </c>
      <c r="F4381" t="s">
        <v>35</v>
      </c>
      <c r="G4381" t="s">
        <v>35</v>
      </c>
      <c r="H4381" t="s">
        <v>35</v>
      </c>
      <c r="J4381" t="s">
        <v>4849</v>
      </c>
      <c r="K4381" t="s">
        <v>1092</v>
      </c>
      <c r="M4381">
        <v>11.025</v>
      </c>
      <c r="N4381">
        <v>71</v>
      </c>
      <c r="O4381" t="s">
        <v>61</v>
      </c>
      <c r="Q4381" t="s">
        <v>102</v>
      </c>
      <c r="R4381" t="s">
        <v>610</v>
      </c>
      <c r="S4381" t="s">
        <v>539</v>
      </c>
    </row>
    <row r="4382" spans="1:19" x14ac:dyDescent="0.25">
      <c r="A4382" t="s">
        <v>59</v>
      </c>
      <c r="B4382" t="s">
        <v>60</v>
      </c>
      <c r="C4382" t="s">
        <v>32</v>
      </c>
      <c r="D4382" t="s">
        <v>584</v>
      </c>
      <c r="E4382" t="s">
        <v>621</v>
      </c>
      <c r="F4382" t="s">
        <v>35</v>
      </c>
      <c r="G4382" t="s">
        <v>35</v>
      </c>
      <c r="H4382" t="s">
        <v>35</v>
      </c>
      <c r="J4382" t="s">
        <v>4850</v>
      </c>
      <c r="K4382" t="s">
        <v>1092</v>
      </c>
      <c r="M4382">
        <v>0.5</v>
      </c>
      <c r="N4382">
        <v>78</v>
      </c>
      <c r="O4382" t="s">
        <v>61</v>
      </c>
      <c r="Q4382" t="s">
        <v>4851</v>
      </c>
      <c r="R4382" t="s">
        <v>4571</v>
      </c>
      <c r="S4382" t="s">
        <v>628</v>
      </c>
    </row>
    <row r="4383" spans="1:19" x14ac:dyDescent="0.25">
      <c r="A4383" t="s">
        <v>59</v>
      </c>
      <c r="B4383" t="s">
        <v>31</v>
      </c>
      <c r="C4383" t="s">
        <v>32</v>
      </c>
      <c r="D4383" t="s">
        <v>584</v>
      </c>
      <c r="E4383" t="s">
        <v>621</v>
      </c>
      <c r="F4383" t="s">
        <v>35</v>
      </c>
      <c r="G4383" t="s">
        <v>35</v>
      </c>
      <c r="H4383" t="s">
        <v>35</v>
      </c>
      <c r="J4383" t="s">
        <v>4852</v>
      </c>
      <c r="K4383" t="s">
        <v>1092</v>
      </c>
      <c r="M4383">
        <v>10.35</v>
      </c>
      <c r="N4383">
        <v>140</v>
      </c>
      <c r="O4383" t="s">
        <v>38</v>
      </c>
      <c r="Q4383" t="s">
        <v>609</v>
      </c>
      <c r="R4383" t="s">
        <v>610</v>
      </c>
      <c r="S4383" t="s">
        <v>539</v>
      </c>
    </row>
    <row r="4384" spans="1:19" x14ac:dyDescent="0.25">
      <c r="A4384" t="s">
        <v>30</v>
      </c>
      <c r="B4384" t="s">
        <v>31</v>
      </c>
      <c r="C4384" t="s">
        <v>32</v>
      </c>
      <c r="D4384" t="s">
        <v>584</v>
      </c>
      <c r="E4384" t="s">
        <v>621</v>
      </c>
      <c r="F4384" t="s">
        <v>35</v>
      </c>
      <c r="G4384" t="s">
        <v>35</v>
      </c>
      <c r="H4384" t="s">
        <v>35</v>
      </c>
      <c r="J4384" t="s">
        <v>4852</v>
      </c>
      <c r="K4384" t="s">
        <v>1092</v>
      </c>
      <c r="M4384">
        <v>7.2</v>
      </c>
      <c r="N4384">
        <v>95</v>
      </c>
      <c r="O4384" t="s">
        <v>106</v>
      </c>
      <c r="Q4384" t="s">
        <v>724</v>
      </c>
      <c r="R4384" t="s">
        <v>610</v>
      </c>
      <c r="S4384" t="s">
        <v>539</v>
      </c>
    </row>
    <row r="4385" spans="1:19" x14ac:dyDescent="0.25">
      <c r="A4385" t="s">
        <v>59</v>
      </c>
      <c r="B4385" t="s">
        <v>60</v>
      </c>
      <c r="C4385" t="s">
        <v>32</v>
      </c>
      <c r="D4385" t="s">
        <v>584</v>
      </c>
      <c r="E4385" t="s">
        <v>621</v>
      </c>
      <c r="F4385" t="s">
        <v>35</v>
      </c>
      <c r="G4385" t="s">
        <v>35</v>
      </c>
      <c r="H4385" t="s">
        <v>35</v>
      </c>
      <c r="J4385" t="s">
        <v>4853</v>
      </c>
      <c r="K4385" t="s">
        <v>1092</v>
      </c>
      <c r="M4385">
        <v>3</v>
      </c>
      <c r="N4385">
        <v>2464</v>
      </c>
      <c r="O4385" t="s">
        <v>575</v>
      </c>
      <c r="Q4385" t="s">
        <v>4854</v>
      </c>
      <c r="R4385" t="s">
        <v>4855</v>
      </c>
      <c r="S4385" t="s">
        <v>4856</v>
      </c>
    </row>
    <row r="4386" spans="1:19" x14ac:dyDescent="0.25">
      <c r="A4386" t="s">
        <v>30</v>
      </c>
      <c r="B4386" t="s">
        <v>31</v>
      </c>
      <c r="C4386" t="s">
        <v>32</v>
      </c>
      <c r="D4386" t="s">
        <v>584</v>
      </c>
      <c r="E4386" t="s">
        <v>621</v>
      </c>
      <c r="F4386" t="s">
        <v>35</v>
      </c>
      <c r="G4386" t="s">
        <v>35</v>
      </c>
      <c r="H4386" t="s">
        <v>35</v>
      </c>
      <c r="J4386" t="s">
        <v>4853</v>
      </c>
      <c r="K4386" t="s">
        <v>1092</v>
      </c>
      <c r="M4386">
        <v>3.3250000000000002</v>
      </c>
      <c r="N4386">
        <v>2464</v>
      </c>
      <c r="O4386" t="s">
        <v>575</v>
      </c>
      <c r="Q4386" t="s">
        <v>4854</v>
      </c>
      <c r="R4386" t="s">
        <v>4855</v>
      </c>
      <c r="S4386" t="s">
        <v>4856</v>
      </c>
    </row>
    <row r="4387" spans="1:19" x14ac:dyDescent="0.25">
      <c r="A4387" t="s">
        <v>59</v>
      </c>
      <c r="B4387" t="s">
        <v>60</v>
      </c>
      <c r="C4387" t="s">
        <v>32</v>
      </c>
      <c r="D4387" t="s">
        <v>584</v>
      </c>
      <c r="E4387" t="s">
        <v>621</v>
      </c>
      <c r="F4387" t="s">
        <v>35</v>
      </c>
      <c r="G4387" t="s">
        <v>35</v>
      </c>
      <c r="H4387" t="s">
        <v>35</v>
      </c>
      <c r="J4387" t="s">
        <v>4857</v>
      </c>
      <c r="K4387" t="s">
        <v>1092</v>
      </c>
      <c r="M4387">
        <v>0.1</v>
      </c>
      <c r="N4387">
        <v>322</v>
      </c>
      <c r="O4387" t="s">
        <v>5</v>
      </c>
      <c r="Q4387" t="s">
        <v>4859</v>
      </c>
      <c r="R4387" t="s">
        <v>4557</v>
      </c>
      <c r="S4387" t="s">
        <v>4558</v>
      </c>
    </row>
    <row r="4388" spans="1:19" x14ac:dyDescent="0.25">
      <c r="A4388" t="s">
        <v>44</v>
      </c>
      <c r="B4388" t="s">
        <v>3</v>
      </c>
      <c r="C4388" t="s">
        <v>32</v>
      </c>
      <c r="D4388" t="s">
        <v>584</v>
      </c>
      <c r="E4388" t="s">
        <v>621</v>
      </c>
      <c r="F4388" t="s">
        <v>35</v>
      </c>
      <c r="G4388" t="s">
        <v>35</v>
      </c>
      <c r="H4388" t="s">
        <v>35</v>
      </c>
      <c r="J4388" t="s">
        <v>4857</v>
      </c>
      <c r="K4388" t="s">
        <v>1092</v>
      </c>
      <c r="M4388">
        <v>0.1</v>
      </c>
      <c r="N4388">
        <v>417</v>
      </c>
      <c r="O4388" t="s">
        <v>294</v>
      </c>
      <c r="Q4388" t="s">
        <v>4858</v>
      </c>
      <c r="R4388" t="s">
        <v>4557</v>
      </c>
      <c r="S4388" t="s">
        <v>4558</v>
      </c>
    </row>
    <row r="4389" spans="1:19" x14ac:dyDescent="0.25">
      <c r="A4389" t="s">
        <v>59</v>
      </c>
      <c r="B4389" t="s">
        <v>60</v>
      </c>
      <c r="C4389" t="s">
        <v>32</v>
      </c>
      <c r="D4389" t="s">
        <v>584</v>
      </c>
      <c r="E4389" t="s">
        <v>621</v>
      </c>
      <c r="F4389" t="s">
        <v>35</v>
      </c>
      <c r="G4389" t="s">
        <v>35</v>
      </c>
      <c r="H4389" t="s">
        <v>35</v>
      </c>
      <c r="J4389" t="s">
        <v>4860</v>
      </c>
      <c r="K4389" t="s">
        <v>1092</v>
      </c>
      <c r="M4389">
        <v>0.25</v>
      </c>
      <c r="N4389">
        <v>57</v>
      </c>
      <c r="O4389" t="s">
        <v>52</v>
      </c>
      <c r="Q4389" t="s">
        <v>665</v>
      </c>
      <c r="R4389" t="s">
        <v>4545</v>
      </c>
      <c r="S4389" t="s">
        <v>586</v>
      </c>
    </row>
    <row r="4390" spans="1:19" x14ac:dyDescent="0.25">
      <c r="A4390" t="s">
        <v>59</v>
      </c>
      <c r="B4390" t="s">
        <v>60</v>
      </c>
      <c r="C4390" t="s">
        <v>32</v>
      </c>
      <c r="D4390" t="s">
        <v>584</v>
      </c>
      <c r="E4390" t="s">
        <v>621</v>
      </c>
      <c r="F4390" t="s">
        <v>35</v>
      </c>
      <c r="G4390" t="s">
        <v>35</v>
      </c>
      <c r="H4390" t="s">
        <v>35</v>
      </c>
      <c r="J4390" t="s">
        <v>4860</v>
      </c>
      <c r="K4390" t="s">
        <v>1092</v>
      </c>
      <c r="M4390">
        <v>0.75</v>
      </c>
      <c r="N4390">
        <v>294</v>
      </c>
      <c r="O4390" t="s">
        <v>5</v>
      </c>
      <c r="Q4390" t="s">
        <v>1418</v>
      </c>
      <c r="R4390" t="s">
        <v>4545</v>
      </c>
      <c r="S4390" t="s">
        <v>586</v>
      </c>
    </row>
    <row r="4391" spans="1:19" x14ac:dyDescent="0.25">
      <c r="A4391" t="s">
        <v>30</v>
      </c>
      <c r="B4391" t="s">
        <v>31</v>
      </c>
      <c r="C4391" t="s">
        <v>32</v>
      </c>
      <c r="D4391" t="s">
        <v>584</v>
      </c>
      <c r="E4391" t="s">
        <v>621</v>
      </c>
      <c r="F4391" t="s">
        <v>35</v>
      </c>
      <c r="G4391" t="s">
        <v>35</v>
      </c>
      <c r="H4391" t="s">
        <v>35</v>
      </c>
      <c r="J4391" t="s">
        <v>4861</v>
      </c>
      <c r="K4391" t="s">
        <v>1092</v>
      </c>
      <c r="M4391">
        <v>6.165</v>
      </c>
      <c r="N4391">
        <v>266</v>
      </c>
      <c r="O4391" t="s">
        <v>5</v>
      </c>
      <c r="Q4391" t="s">
        <v>117</v>
      </c>
      <c r="R4391" t="s">
        <v>610</v>
      </c>
      <c r="S4391" t="s">
        <v>539</v>
      </c>
    </row>
    <row r="4392" spans="1:19" x14ac:dyDescent="0.25">
      <c r="A4392" t="s">
        <v>44</v>
      </c>
      <c r="B4392" t="s">
        <v>3</v>
      </c>
      <c r="C4392" t="s">
        <v>32</v>
      </c>
      <c r="D4392" t="s">
        <v>584</v>
      </c>
      <c r="E4392" t="s">
        <v>621</v>
      </c>
      <c r="F4392" t="s">
        <v>35</v>
      </c>
      <c r="G4392" t="s">
        <v>35</v>
      </c>
      <c r="H4392" t="s">
        <v>35</v>
      </c>
      <c r="J4392" t="s">
        <v>4861</v>
      </c>
      <c r="K4392" t="s">
        <v>1092</v>
      </c>
      <c r="M4392">
        <v>5.5</v>
      </c>
      <c r="N4392">
        <v>497</v>
      </c>
      <c r="O4392" t="s">
        <v>294</v>
      </c>
      <c r="Q4392" t="s">
        <v>3653</v>
      </c>
      <c r="R4392" t="s">
        <v>4862</v>
      </c>
      <c r="S4392" t="s">
        <v>4863</v>
      </c>
    </row>
    <row r="4393" spans="1:19" x14ac:dyDescent="0.25">
      <c r="A4393" t="s">
        <v>59</v>
      </c>
      <c r="B4393" t="s">
        <v>60</v>
      </c>
      <c r="C4393" t="s">
        <v>32</v>
      </c>
      <c r="D4393" t="s">
        <v>584</v>
      </c>
      <c r="E4393" t="s">
        <v>621</v>
      </c>
      <c r="F4393" t="s">
        <v>35</v>
      </c>
      <c r="G4393" t="s">
        <v>35</v>
      </c>
      <c r="H4393" t="s">
        <v>35</v>
      </c>
      <c r="J4393" t="s">
        <v>4865</v>
      </c>
      <c r="K4393" t="s">
        <v>1092</v>
      </c>
      <c r="M4393">
        <v>2.0499999999999998</v>
      </c>
      <c r="N4393">
        <v>183</v>
      </c>
      <c r="O4393" t="s">
        <v>5</v>
      </c>
      <c r="Q4393" t="s">
        <v>3413</v>
      </c>
      <c r="R4393" t="s">
        <v>4867</v>
      </c>
      <c r="S4393" t="s">
        <v>4868</v>
      </c>
    </row>
    <row r="4394" spans="1:19" x14ac:dyDescent="0.25">
      <c r="A4394" t="s">
        <v>30</v>
      </c>
      <c r="B4394" t="s">
        <v>31</v>
      </c>
      <c r="C4394" t="s">
        <v>32</v>
      </c>
      <c r="D4394" t="s">
        <v>584</v>
      </c>
      <c r="E4394" t="s">
        <v>621</v>
      </c>
      <c r="F4394" t="s">
        <v>35</v>
      </c>
      <c r="G4394" t="s">
        <v>35</v>
      </c>
      <c r="H4394" t="s">
        <v>35</v>
      </c>
      <c r="J4394" t="s">
        <v>4870</v>
      </c>
      <c r="K4394" t="s">
        <v>1092</v>
      </c>
      <c r="M4394">
        <v>7.6050000000000004</v>
      </c>
      <c r="N4394">
        <v>94</v>
      </c>
      <c r="O4394" t="s">
        <v>106</v>
      </c>
      <c r="Q4394" t="s">
        <v>394</v>
      </c>
      <c r="R4394" t="s">
        <v>610</v>
      </c>
      <c r="S4394" t="s">
        <v>539</v>
      </c>
    </row>
    <row r="4395" spans="1:19" x14ac:dyDescent="0.25">
      <c r="A4395" t="s">
        <v>30</v>
      </c>
      <c r="B4395" t="s">
        <v>31</v>
      </c>
      <c r="C4395" t="s">
        <v>32</v>
      </c>
      <c r="D4395" t="s">
        <v>584</v>
      </c>
      <c r="E4395" t="s">
        <v>621</v>
      </c>
      <c r="F4395" t="s">
        <v>35</v>
      </c>
      <c r="G4395" t="s">
        <v>35</v>
      </c>
      <c r="H4395" t="s">
        <v>35</v>
      </c>
      <c r="J4395" t="s">
        <v>4870</v>
      </c>
      <c r="K4395" t="s">
        <v>1092</v>
      </c>
      <c r="M4395">
        <v>11.025</v>
      </c>
      <c r="N4395">
        <v>49</v>
      </c>
      <c r="O4395" t="s">
        <v>52</v>
      </c>
      <c r="Q4395" t="s">
        <v>219</v>
      </c>
      <c r="R4395" t="s">
        <v>610</v>
      </c>
      <c r="S4395" t="s">
        <v>539</v>
      </c>
    </row>
    <row r="4396" spans="1:19" x14ac:dyDescent="0.25">
      <c r="A4396" t="s">
        <v>30</v>
      </c>
      <c r="B4396" t="s">
        <v>31</v>
      </c>
      <c r="C4396" t="s">
        <v>32</v>
      </c>
      <c r="D4396" t="s">
        <v>584</v>
      </c>
      <c r="E4396" t="s">
        <v>621</v>
      </c>
      <c r="F4396" t="s">
        <v>35</v>
      </c>
      <c r="G4396" t="s">
        <v>35</v>
      </c>
      <c r="H4396" t="s">
        <v>35</v>
      </c>
      <c r="J4396" t="s">
        <v>4871</v>
      </c>
      <c r="K4396" t="s">
        <v>1092</v>
      </c>
      <c r="M4396">
        <v>3.7349999999999999</v>
      </c>
      <c r="N4396">
        <v>296</v>
      </c>
      <c r="O4396" t="s">
        <v>5</v>
      </c>
      <c r="Q4396" t="s">
        <v>4253</v>
      </c>
      <c r="R4396" t="s">
        <v>610</v>
      </c>
      <c r="S4396" t="s">
        <v>539</v>
      </c>
    </row>
    <row r="4397" spans="1:19" x14ac:dyDescent="0.25">
      <c r="A4397" t="s">
        <v>30</v>
      </c>
      <c r="B4397" t="s">
        <v>31</v>
      </c>
      <c r="C4397" t="s">
        <v>32</v>
      </c>
      <c r="D4397" t="s">
        <v>584</v>
      </c>
      <c r="E4397" t="s">
        <v>621</v>
      </c>
      <c r="F4397" t="s">
        <v>35</v>
      </c>
      <c r="G4397" t="s">
        <v>35</v>
      </c>
      <c r="H4397" t="s">
        <v>35</v>
      </c>
      <c r="J4397" t="s">
        <v>4871</v>
      </c>
      <c r="K4397" t="s">
        <v>1092</v>
      </c>
      <c r="M4397">
        <v>11.025</v>
      </c>
      <c r="N4397">
        <v>71</v>
      </c>
      <c r="O4397" t="s">
        <v>61</v>
      </c>
      <c r="Q4397" t="s">
        <v>102</v>
      </c>
      <c r="R4397" t="s">
        <v>610</v>
      </c>
      <c r="S4397" t="s">
        <v>539</v>
      </c>
    </row>
    <row r="4398" spans="1:19" x14ac:dyDescent="0.25">
      <c r="A4398" t="s">
        <v>59</v>
      </c>
      <c r="B4398" t="s">
        <v>60</v>
      </c>
      <c r="C4398" t="s">
        <v>32</v>
      </c>
      <c r="D4398" t="s">
        <v>584</v>
      </c>
      <c r="E4398" t="s">
        <v>621</v>
      </c>
      <c r="F4398" t="s">
        <v>35</v>
      </c>
      <c r="G4398" t="s">
        <v>35</v>
      </c>
      <c r="H4398" t="s">
        <v>35</v>
      </c>
      <c r="J4398" t="s">
        <v>4872</v>
      </c>
      <c r="K4398" t="s">
        <v>1092</v>
      </c>
      <c r="M4398">
        <v>1</v>
      </c>
      <c r="N4398">
        <v>292</v>
      </c>
      <c r="O4398" t="s">
        <v>5</v>
      </c>
      <c r="Q4398" t="s">
        <v>1234</v>
      </c>
      <c r="R4398" t="s">
        <v>4571</v>
      </c>
      <c r="S4398" t="s">
        <v>628</v>
      </c>
    </row>
    <row r="4399" spans="1:19" x14ac:dyDescent="0.25">
      <c r="A4399" t="s">
        <v>30</v>
      </c>
      <c r="B4399" t="s">
        <v>31</v>
      </c>
      <c r="C4399" t="s">
        <v>32</v>
      </c>
      <c r="D4399" t="s">
        <v>584</v>
      </c>
      <c r="E4399" t="s">
        <v>621</v>
      </c>
      <c r="F4399" t="s">
        <v>35</v>
      </c>
      <c r="G4399" t="s">
        <v>35</v>
      </c>
      <c r="H4399" t="s">
        <v>35</v>
      </c>
      <c r="J4399" t="s">
        <v>4872</v>
      </c>
      <c r="K4399" t="s">
        <v>1092</v>
      </c>
      <c r="M4399">
        <v>0.13500000000000001</v>
      </c>
      <c r="N4399">
        <v>411</v>
      </c>
      <c r="O4399" t="s">
        <v>294</v>
      </c>
      <c r="Q4399" t="s">
        <v>3336</v>
      </c>
      <c r="R4399" t="s">
        <v>610</v>
      </c>
      <c r="S4399" t="s">
        <v>539</v>
      </c>
    </row>
    <row r="4400" spans="1:19" x14ac:dyDescent="0.25">
      <c r="A4400" t="s">
        <v>59</v>
      </c>
      <c r="B4400" t="s">
        <v>60</v>
      </c>
      <c r="C4400" t="s">
        <v>32</v>
      </c>
      <c r="D4400" t="s">
        <v>584</v>
      </c>
      <c r="E4400" t="s">
        <v>621</v>
      </c>
      <c r="F4400" t="s">
        <v>35</v>
      </c>
      <c r="G4400" t="s">
        <v>35</v>
      </c>
      <c r="H4400" t="s">
        <v>35</v>
      </c>
      <c r="J4400" t="s">
        <v>4872</v>
      </c>
      <c r="K4400" t="s">
        <v>1092</v>
      </c>
      <c r="M4400">
        <v>0.7</v>
      </c>
      <c r="N4400">
        <v>791</v>
      </c>
      <c r="O4400" t="s">
        <v>575</v>
      </c>
      <c r="Q4400" t="s">
        <v>2135</v>
      </c>
      <c r="R4400" t="s">
        <v>4720</v>
      </c>
      <c r="S4400" t="s">
        <v>634</v>
      </c>
    </row>
    <row r="4401" spans="1:19" x14ac:dyDescent="0.25">
      <c r="A4401" t="s">
        <v>59</v>
      </c>
      <c r="B4401" t="s">
        <v>60</v>
      </c>
      <c r="C4401" t="s">
        <v>32</v>
      </c>
      <c r="D4401" t="s">
        <v>584</v>
      </c>
      <c r="E4401" t="s">
        <v>621</v>
      </c>
      <c r="F4401" t="s">
        <v>35</v>
      </c>
      <c r="G4401" t="s">
        <v>35</v>
      </c>
      <c r="H4401" t="s">
        <v>35</v>
      </c>
      <c r="J4401" t="s">
        <v>4873</v>
      </c>
      <c r="K4401" t="s">
        <v>1092</v>
      </c>
      <c r="M4401">
        <v>0.6</v>
      </c>
      <c r="N4401">
        <v>1693</v>
      </c>
      <c r="O4401" t="s">
        <v>575</v>
      </c>
      <c r="Q4401" t="s">
        <v>4874</v>
      </c>
      <c r="R4401" t="s">
        <v>4459</v>
      </c>
      <c r="S4401" t="s">
        <v>4460</v>
      </c>
    </row>
    <row r="4402" spans="1:19" x14ac:dyDescent="0.25">
      <c r="A4402" t="s">
        <v>59</v>
      </c>
      <c r="B4402" t="s">
        <v>60</v>
      </c>
      <c r="C4402" t="s">
        <v>32</v>
      </c>
      <c r="D4402" t="s">
        <v>584</v>
      </c>
      <c r="E4402" t="s">
        <v>621</v>
      </c>
      <c r="F4402" t="s">
        <v>35</v>
      </c>
      <c r="G4402" t="s">
        <v>35</v>
      </c>
      <c r="H4402" t="s">
        <v>35</v>
      </c>
      <c r="J4402" t="s">
        <v>4875</v>
      </c>
      <c r="K4402" t="s">
        <v>1092</v>
      </c>
      <c r="M4402">
        <v>0.35</v>
      </c>
      <c r="N4402">
        <v>658</v>
      </c>
      <c r="O4402" t="s">
        <v>575</v>
      </c>
      <c r="Q4402" t="s">
        <v>4876</v>
      </c>
      <c r="R4402" t="s">
        <v>4557</v>
      </c>
      <c r="S4402" t="s">
        <v>4558</v>
      </c>
    </row>
    <row r="4403" spans="1:19" x14ac:dyDescent="0.25">
      <c r="A4403" t="s">
        <v>30</v>
      </c>
      <c r="B4403" t="s">
        <v>31</v>
      </c>
      <c r="C4403" t="s">
        <v>32</v>
      </c>
      <c r="D4403" t="s">
        <v>584</v>
      </c>
      <c r="E4403" t="s">
        <v>621</v>
      </c>
      <c r="F4403" t="s">
        <v>35</v>
      </c>
      <c r="G4403" t="s">
        <v>35</v>
      </c>
      <c r="H4403" t="s">
        <v>35</v>
      </c>
      <c r="J4403" t="s">
        <v>4877</v>
      </c>
      <c r="K4403" t="s">
        <v>1092</v>
      </c>
      <c r="M4403">
        <v>8.5500000000000007</v>
      </c>
      <c r="N4403">
        <v>155</v>
      </c>
      <c r="O4403" t="s">
        <v>38</v>
      </c>
      <c r="Q4403" t="s">
        <v>3942</v>
      </c>
      <c r="R4403" t="s">
        <v>610</v>
      </c>
      <c r="S4403" t="s">
        <v>539</v>
      </c>
    </row>
    <row r="4404" spans="1:19" x14ac:dyDescent="0.25">
      <c r="A4404" t="s">
        <v>59</v>
      </c>
      <c r="B4404" t="s">
        <v>60</v>
      </c>
      <c r="C4404" t="s">
        <v>32</v>
      </c>
      <c r="D4404" t="s">
        <v>584</v>
      </c>
      <c r="E4404" t="s">
        <v>621</v>
      </c>
      <c r="F4404" t="s">
        <v>35</v>
      </c>
      <c r="G4404" t="s">
        <v>35</v>
      </c>
      <c r="H4404" t="s">
        <v>35</v>
      </c>
      <c r="J4404" t="s">
        <v>4877</v>
      </c>
      <c r="K4404" t="s">
        <v>1092</v>
      </c>
      <c r="M4404">
        <v>0.7</v>
      </c>
      <c r="N4404">
        <v>44</v>
      </c>
      <c r="O4404" t="s">
        <v>52</v>
      </c>
      <c r="Q4404" t="s">
        <v>192</v>
      </c>
      <c r="R4404" t="s">
        <v>637</v>
      </c>
      <c r="S4404" t="s">
        <v>602</v>
      </c>
    </row>
    <row r="4405" spans="1:19" x14ac:dyDescent="0.25">
      <c r="A4405" t="s">
        <v>59</v>
      </c>
      <c r="B4405" t="s">
        <v>60</v>
      </c>
      <c r="C4405" t="s">
        <v>32</v>
      </c>
      <c r="D4405" t="s">
        <v>584</v>
      </c>
      <c r="E4405" t="s">
        <v>621</v>
      </c>
      <c r="F4405" t="s">
        <v>35</v>
      </c>
      <c r="G4405" t="s">
        <v>35</v>
      </c>
      <c r="H4405" t="s">
        <v>35</v>
      </c>
      <c r="J4405" t="s">
        <v>4878</v>
      </c>
      <c r="K4405" t="s">
        <v>1092</v>
      </c>
      <c r="M4405">
        <v>0.05</v>
      </c>
      <c r="N4405">
        <v>1971</v>
      </c>
      <c r="O4405" t="s">
        <v>575</v>
      </c>
      <c r="Q4405" t="s">
        <v>2656</v>
      </c>
      <c r="R4405" t="s">
        <v>4879</v>
      </c>
      <c r="S4405" t="s">
        <v>4880</v>
      </c>
    </row>
    <row r="4406" spans="1:19" x14ac:dyDescent="0.25">
      <c r="A4406" t="s">
        <v>44</v>
      </c>
      <c r="B4406" t="s">
        <v>3</v>
      </c>
      <c r="C4406" t="s">
        <v>32</v>
      </c>
      <c r="D4406" t="s">
        <v>584</v>
      </c>
      <c r="E4406" t="s">
        <v>621</v>
      </c>
      <c r="F4406" t="s">
        <v>35</v>
      </c>
      <c r="G4406" t="s">
        <v>35</v>
      </c>
      <c r="H4406" t="s">
        <v>35</v>
      </c>
      <c r="J4406" t="s">
        <v>4881</v>
      </c>
      <c r="K4406" t="s">
        <v>1092</v>
      </c>
      <c r="M4406">
        <v>0.5</v>
      </c>
      <c r="N4406">
        <v>463</v>
      </c>
      <c r="O4406" t="s">
        <v>294</v>
      </c>
      <c r="Q4406" t="s">
        <v>4882</v>
      </c>
      <c r="R4406" t="s">
        <v>4564</v>
      </c>
      <c r="S4406" t="s">
        <v>4565</v>
      </c>
    </row>
    <row r="4407" spans="1:19" x14ac:dyDescent="0.25">
      <c r="A4407" t="s">
        <v>59</v>
      </c>
      <c r="B4407" t="s">
        <v>60</v>
      </c>
      <c r="C4407" t="s">
        <v>32</v>
      </c>
      <c r="D4407" t="s">
        <v>584</v>
      </c>
      <c r="E4407" t="s">
        <v>621</v>
      </c>
      <c r="F4407" t="s">
        <v>35</v>
      </c>
      <c r="G4407" t="s">
        <v>35</v>
      </c>
      <c r="H4407" t="s">
        <v>35</v>
      </c>
      <c r="J4407" t="s">
        <v>4881</v>
      </c>
      <c r="K4407" t="s">
        <v>1092</v>
      </c>
      <c r="M4407">
        <v>0.745</v>
      </c>
      <c r="N4407">
        <v>1274</v>
      </c>
      <c r="O4407" t="s">
        <v>575</v>
      </c>
      <c r="Q4407" t="s">
        <v>4886</v>
      </c>
      <c r="R4407" t="s">
        <v>4884</v>
      </c>
      <c r="S4407" t="s">
        <v>4565</v>
      </c>
    </row>
    <row r="4408" spans="1:19" x14ac:dyDescent="0.25">
      <c r="A4408" t="s">
        <v>59</v>
      </c>
      <c r="B4408" t="s">
        <v>60</v>
      </c>
      <c r="C4408" t="s">
        <v>32</v>
      </c>
      <c r="D4408" t="s">
        <v>584</v>
      </c>
      <c r="E4408" t="s">
        <v>621</v>
      </c>
      <c r="F4408" t="s">
        <v>35</v>
      </c>
      <c r="G4408" t="s">
        <v>35</v>
      </c>
      <c r="H4408" t="s">
        <v>35</v>
      </c>
      <c r="J4408" t="s">
        <v>4881</v>
      </c>
      <c r="K4408" t="s">
        <v>1092</v>
      </c>
      <c r="M4408">
        <v>0.25</v>
      </c>
      <c r="N4408">
        <v>1242</v>
      </c>
      <c r="O4408" t="s">
        <v>575</v>
      </c>
      <c r="Q4408" t="s">
        <v>4887</v>
      </c>
      <c r="R4408" t="s">
        <v>4545</v>
      </c>
      <c r="S4408" t="s">
        <v>586</v>
      </c>
    </row>
    <row r="4409" spans="1:19" x14ac:dyDescent="0.25">
      <c r="A4409" t="s">
        <v>59</v>
      </c>
      <c r="B4409" t="s">
        <v>60</v>
      </c>
      <c r="C4409" t="s">
        <v>32</v>
      </c>
      <c r="D4409" t="s">
        <v>584</v>
      </c>
      <c r="E4409" t="s">
        <v>621</v>
      </c>
      <c r="F4409" t="s">
        <v>35</v>
      </c>
      <c r="G4409" t="s">
        <v>35</v>
      </c>
      <c r="H4409" t="s">
        <v>35</v>
      </c>
      <c r="J4409" t="s">
        <v>4881</v>
      </c>
      <c r="K4409" t="s">
        <v>1092</v>
      </c>
      <c r="M4409">
        <v>0.25</v>
      </c>
      <c r="N4409">
        <v>1154</v>
      </c>
      <c r="O4409" t="s">
        <v>575</v>
      </c>
      <c r="Q4409" t="s">
        <v>4883</v>
      </c>
      <c r="R4409" t="s">
        <v>4884</v>
      </c>
      <c r="S4409" t="s">
        <v>4565</v>
      </c>
    </row>
    <row r="4410" spans="1:19" x14ac:dyDescent="0.25">
      <c r="A4410" t="s">
        <v>59</v>
      </c>
      <c r="B4410" t="s">
        <v>60</v>
      </c>
      <c r="C4410" t="s">
        <v>32</v>
      </c>
      <c r="D4410" t="s">
        <v>584</v>
      </c>
      <c r="E4410" t="s">
        <v>621</v>
      </c>
      <c r="F4410" t="s">
        <v>35</v>
      </c>
      <c r="G4410" t="s">
        <v>35</v>
      </c>
      <c r="H4410" t="s">
        <v>35</v>
      </c>
      <c r="J4410" t="s">
        <v>4888</v>
      </c>
      <c r="K4410" t="s">
        <v>1092</v>
      </c>
      <c r="M4410">
        <v>4.5</v>
      </c>
      <c r="N4410">
        <v>143</v>
      </c>
      <c r="O4410" t="s">
        <v>38</v>
      </c>
      <c r="Q4410" t="s">
        <v>2121</v>
      </c>
      <c r="R4410" t="s">
        <v>617</v>
      </c>
      <c r="S4410" t="s">
        <v>618</v>
      </c>
    </row>
    <row r="4411" spans="1:19" x14ac:dyDescent="0.25">
      <c r="A4411" t="s">
        <v>59</v>
      </c>
      <c r="B4411" t="s">
        <v>31</v>
      </c>
      <c r="C4411" t="s">
        <v>32</v>
      </c>
      <c r="D4411" t="s">
        <v>584</v>
      </c>
      <c r="E4411" t="s">
        <v>621</v>
      </c>
      <c r="F4411" t="s">
        <v>35</v>
      </c>
      <c r="G4411" t="s">
        <v>35</v>
      </c>
      <c r="H4411" t="s">
        <v>35</v>
      </c>
      <c r="J4411" t="s">
        <v>4888</v>
      </c>
      <c r="K4411" t="s">
        <v>1092</v>
      </c>
      <c r="M4411">
        <v>3.0030000000000001</v>
      </c>
      <c r="N4411">
        <v>285</v>
      </c>
      <c r="O4411" t="s">
        <v>5</v>
      </c>
      <c r="Q4411" t="s">
        <v>1687</v>
      </c>
      <c r="R4411" t="s">
        <v>610</v>
      </c>
      <c r="S4411" t="s">
        <v>539</v>
      </c>
    </row>
    <row r="4412" spans="1:19" x14ac:dyDescent="0.25">
      <c r="A4412" t="s">
        <v>59</v>
      </c>
      <c r="B4412" t="s">
        <v>60</v>
      </c>
      <c r="C4412" t="s">
        <v>32</v>
      </c>
      <c r="D4412" t="s">
        <v>584</v>
      </c>
      <c r="E4412" t="s">
        <v>621</v>
      </c>
      <c r="F4412" t="s">
        <v>35</v>
      </c>
      <c r="G4412" t="s">
        <v>35</v>
      </c>
      <c r="H4412" t="s">
        <v>35</v>
      </c>
      <c r="J4412" t="s">
        <v>4889</v>
      </c>
      <c r="K4412" t="s">
        <v>1092</v>
      </c>
      <c r="M4412">
        <v>0.5</v>
      </c>
      <c r="N4412">
        <v>51</v>
      </c>
      <c r="O4412" t="s">
        <v>52</v>
      </c>
      <c r="Q4412" t="s">
        <v>54</v>
      </c>
      <c r="R4412" t="s">
        <v>4545</v>
      </c>
      <c r="S4412" t="s">
        <v>586</v>
      </c>
    </row>
    <row r="4413" spans="1:19" x14ac:dyDescent="0.25">
      <c r="A4413" t="s">
        <v>59</v>
      </c>
      <c r="B4413" t="s">
        <v>60</v>
      </c>
      <c r="C4413" t="s">
        <v>32</v>
      </c>
      <c r="D4413" t="s">
        <v>584</v>
      </c>
      <c r="E4413" t="s">
        <v>621</v>
      </c>
      <c r="F4413" t="s">
        <v>35</v>
      </c>
      <c r="G4413" t="s">
        <v>35</v>
      </c>
      <c r="H4413" t="s">
        <v>35</v>
      </c>
      <c r="J4413" t="s">
        <v>4890</v>
      </c>
      <c r="K4413" t="s">
        <v>1092</v>
      </c>
      <c r="M4413">
        <v>3.65</v>
      </c>
      <c r="N4413">
        <v>319</v>
      </c>
      <c r="O4413" t="s">
        <v>5</v>
      </c>
      <c r="Q4413" t="s">
        <v>4192</v>
      </c>
      <c r="R4413" t="s">
        <v>4891</v>
      </c>
      <c r="S4413" t="s">
        <v>4892</v>
      </c>
    </row>
    <row r="4414" spans="1:19" x14ac:dyDescent="0.25">
      <c r="A4414" t="s">
        <v>30</v>
      </c>
      <c r="B4414" t="s">
        <v>31</v>
      </c>
      <c r="C4414" t="s">
        <v>32</v>
      </c>
      <c r="D4414" t="s">
        <v>584</v>
      </c>
      <c r="E4414" t="s">
        <v>621</v>
      </c>
      <c r="F4414" t="s">
        <v>35</v>
      </c>
      <c r="G4414" t="s">
        <v>35</v>
      </c>
      <c r="H4414" t="s">
        <v>35</v>
      </c>
      <c r="J4414" t="s">
        <v>4894</v>
      </c>
      <c r="K4414" t="s">
        <v>1092</v>
      </c>
      <c r="M4414">
        <v>8.4600000000000009</v>
      </c>
      <c r="N4414">
        <v>71</v>
      </c>
      <c r="O4414" t="s">
        <v>61</v>
      </c>
      <c r="Q4414" t="s">
        <v>102</v>
      </c>
      <c r="R4414" t="s">
        <v>610</v>
      </c>
      <c r="S4414" t="s">
        <v>539</v>
      </c>
    </row>
    <row r="4415" spans="1:19" x14ac:dyDescent="0.25">
      <c r="A4415" t="s">
        <v>59</v>
      </c>
      <c r="B4415" t="s">
        <v>31</v>
      </c>
      <c r="C4415" t="s">
        <v>32</v>
      </c>
      <c r="D4415" t="s">
        <v>584</v>
      </c>
      <c r="E4415" t="s">
        <v>621</v>
      </c>
      <c r="F4415" t="s">
        <v>35</v>
      </c>
      <c r="G4415" t="s">
        <v>35</v>
      </c>
      <c r="H4415" t="s">
        <v>35</v>
      </c>
      <c r="J4415" t="s">
        <v>4895</v>
      </c>
      <c r="K4415" t="s">
        <v>1092</v>
      </c>
      <c r="M4415">
        <v>1.8</v>
      </c>
      <c r="N4415">
        <v>141</v>
      </c>
      <c r="O4415" t="s">
        <v>38</v>
      </c>
      <c r="Q4415" t="s">
        <v>1822</v>
      </c>
      <c r="R4415" t="s">
        <v>610</v>
      </c>
      <c r="S4415" t="s">
        <v>539</v>
      </c>
    </row>
    <row r="4416" spans="1:19" x14ac:dyDescent="0.25">
      <c r="A4416" t="s">
        <v>59</v>
      </c>
      <c r="B4416" t="s">
        <v>60</v>
      </c>
      <c r="C4416" t="s">
        <v>32</v>
      </c>
      <c r="D4416" t="s">
        <v>584</v>
      </c>
      <c r="E4416" t="s">
        <v>621</v>
      </c>
      <c r="F4416" t="s">
        <v>35</v>
      </c>
      <c r="G4416" t="s">
        <v>35</v>
      </c>
      <c r="H4416" t="s">
        <v>35</v>
      </c>
      <c r="J4416" t="s">
        <v>4896</v>
      </c>
      <c r="K4416" t="s">
        <v>1092</v>
      </c>
      <c r="M4416">
        <v>0.75</v>
      </c>
      <c r="N4416">
        <v>1132</v>
      </c>
      <c r="O4416" t="s">
        <v>575</v>
      </c>
      <c r="Q4416" t="s">
        <v>2810</v>
      </c>
      <c r="R4416" t="s">
        <v>4897</v>
      </c>
      <c r="S4416" t="s">
        <v>4898</v>
      </c>
    </row>
    <row r="4417" spans="1:19" x14ac:dyDescent="0.25">
      <c r="A4417" t="s">
        <v>59</v>
      </c>
      <c r="B4417" t="s">
        <v>60</v>
      </c>
      <c r="C4417" t="s">
        <v>32</v>
      </c>
      <c r="D4417" t="s">
        <v>584</v>
      </c>
      <c r="E4417" t="s">
        <v>621</v>
      </c>
      <c r="F4417" t="s">
        <v>35</v>
      </c>
      <c r="G4417" t="s">
        <v>35</v>
      </c>
      <c r="H4417" t="s">
        <v>35</v>
      </c>
      <c r="J4417" t="s">
        <v>4900</v>
      </c>
      <c r="K4417" t="s">
        <v>1092</v>
      </c>
      <c r="M4417">
        <v>0.5</v>
      </c>
      <c r="N4417">
        <v>183</v>
      </c>
      <c r="O4417" t="s">
        <v>5</v>
      </c>
      <c r="Q4417" t="s">
        <v>3413</v>
      </c>
      <c r="R4417" t="s">
        <v>4750</v>
      </c>
      <c r="S4417" t="s">
        <v>625</v>
      </c>
    </row>
    <row r="4418" spans="1:19" x14ac:dyDescent="0.25">
      <c r="A4418" t="s">
        <v>30</v>
      </c>
      <c r="B4418" t="s">
        <v>31</v>
      </c>
      <c r="C4418" t="s">
        <v>32</v>
      </c>
      <c r="D4418" t="s">
        <v>584</v>
      </c>
      <c r="E4418" t="s">
        <v>621</v>
      </c>
      <c r="F4418" t="s">
        <v>35</v>
      </c>
      <c r="G4418" t="s">
        <v>35</v>
      </c>
      <c r="H4418" t="s">
        <v>35</v>
      </c>
      <c r="J4418" t="s">
        <v>4901</v>
      </c>
      <c r="K4418" t="s">
        <v>1092</v>
      </c>
      <c r="M4418">
        <v>0.04</v>
      </c>
      <c r="N4418">
        <v>1502</v>
      </c>
      <c r="O4418" t="s">
        <v>575</v>
      </c>
      <c r="Q4418" t="s">
        <v>2867</v>
      </c>
      <c r="R4418" t="s">
        <v>4545</v>
      </c>
      <c r="S4418" t="s">
        <v>586</v>
      </c>
    </row>
    <row r="4419" spans="1:19" x14ac:dyDescent="0.25">
      <c r="A4419" t="s">
        <v>59</v>
      </c>
      <c r="B4419" t="s">
        <v>60</v>
      </c>
      <c r="C4419" t="s">
        <v>32</v>
      </c>
      <c r="D4419" t="s">
        <v>584</v>
      </c>
      <c r="E4419" t="s">
        <v>621</v>
      </c>
      <c r="F4419" t="s">
        <v>35</v>
      </c>
      <c r="G4419" t="s">
        <v>35</v>
      </c>
      <c r="H4419" t="s">
        <v>35</v>
      </c>
      <c r="J4419" t="s">
        <v>4902</v>
      </c>
      <c r="K4419" t="s">
        <v>1092</v>
      </c>
      <c r="M4419">
        <v>0.5</v>
      </c>
      <c r="N4419">
        <v>82</v>
      </c>
      <c r="O4419" t="s">
        <v>61</v>
      </c>
      <c r="Q4419" t="s">
        <v>447</v>
      </c>
      <c r="R4419" t="s">
        <v>4545</v>
      </c>
      <c r="S4419" t="s">
        <v>586</v>
      </c>
    </row>
    <row r="4420" spans="1:19" x14ac:dyDescent="0.25">
      <c r="A4420" t="s">
        <v>59</v>
      </c>
      <c r="B4420" t="s">
        <v>60</v>
      </c>
      <c r="C4420" t="s">
        <v>32</v>
      </c>
      <c r="D4420" t="s">
        <v>584</v>
      </c>
      <c r="E4420" t="s">
        <v>621</v>
      </c>
      <c r="F4420" t="s">
        <v>35</v>
      </c>
      <c r="G4420" t="s">
        <v>35</v>
      </c>
      <c r="H4420" t="s">
        <v>35</v>
      </c>
      <c r="J4420" t="s">
        <v>4902</v>
      </c>
      <c r="K4420" t="s">
        <v>1092</v>
      </c>
      <c r="M4420">
        <v>0.25</v>
      </c>
      <c r="N4420">
        <v>44</v>
      </c>
      <c r="O4420" t="s">
        <v>52</v>
      </c>
      <c r="Q4420" t="s">
        <v>192</v>
      </c>
      <c r="R4420" t="s">
        <v>4545</v>
      </c>
      <c r="S4420" t="s">
        <v>586</v>
      </c>
    </row>
    <row r="4421" spans="1:19" x14ac:dyDescent="0.25">
      <c r="A4421" t="s">
        <v>30</v>
      </c>
      <c r="B4421" t="s">
        <v>31</v>
      </c>
      <c r="C4421" t="s">
        <v>32</v>
      </c>
      <c r="D4421" t="s">
        <v>584</v>
      </c>
      <c r="E4421" t="s">
        <v>621</v>
      </c>
      <c r="F4421" t="s">
        <v>35</v>
      </c>
      <c r="G4421" t="s">
        <v>35</v>
      </c>
      <c r="H4421" t="s">
        <v>35</v>
      </c>
      <c r="J4421" t="s">
        <v>4903</v>
      </c>
      <c r="K4421" t="s">
        <v>1092</v>
      </c>
      <c r="M4421">
        <v>0.63</v>
      </c>
      <c r="N4421">
        <v>71</v>
      </c>
      <c r="O4421" t="s">
        <v>61</v>
      </c>
      <c r="Q4421" t="s">
        <v>102</v>
      </c>
      <c r="R4421" t="s">
        <v>610</v>
      </c>
      <c r="S4421" t="s">
        <v>539</v>
      </c>
    </row>
    <row r="4422" spans="1:19" x14ac:dyDescent="0.25">
      <c r="A4422" t="s">
        <v>30</v>
      </c>
      <c r="B4422" t="s">
        <v>31</v>
      </c>
      <c r="C4422" t="s">
        <v>32</v>
      </c>
      <c r="D4422" t="s">
        <v>584</v>
      </c>
      <c r="E4422" t="s">
        <v>621</v>
      </c>
      <c r="F4422" t="s">
        <v>35</v>
      </c>
      <c r="G4422" t="s">
        <v>35</v>
      </c>
      <c r="H4422" t="s">
        <v>35</v>
      </c>
      <c r="J4422" t="s">
        <v>4903</v>
      </c>
      <c r="K4422" t="s">
        <v>1092</v>
      </c>
      <c r="M4422">
        <v>5.625</v>
      </c>
      <c r="N4422">
        <v>49</v>
      </c>
      <c r="O4422" t="s">
        <v>52</v>
      </c>
      <c r="Q4422" t="s">
        <v>219</v>
      </c>
      <c r="R4422" t="s">
        <v>610</v>
      </c>
      <c r="S4422" t="s">
        <v>539</v>
      </c>
    </row>
    <row r="4423" spans="1:19" x14ac:dyDescent="0.25">
      <c r="A4423" t="s">
        <v>30</v>
      </c>
      <c r="B4423" t="s">
        <v>31</v>
      </c>
      <c r="C4423" t="s">
        <v>32</v>
      </c>
      <c r="D4423" t="s">
        <v>584</v>
      </c>
      <c r="E4423" t="s">
        <v>621</v>
      </c>
      <c r="F4423" t="s">
        <v>35</v>
      </c>
      <c r="G4423" t="s">
        <v>35</v>
      </c>
      <c r="H4423" t="s">
        <v>35</v>
      </c>
      <c r="J4423" t="s">
        <v>4904</v>
      </c>
      <c r="K4423" t="s">
        <v>1092</v>
      </c>
      <c r="M4423">
        <v>0.02</v>
      </c>
      <c r="N4423">
        <v>217</v>
      </c>
      <c r="O4423" t="s">
        <v>5</v>
      </c>
      <c r="Q4423" t="s">
        <v>1159</v>
      </c>
      <c r="R4423" t="s">
        <v>4752</v>
      </c>
      <c r="S4423" t="s">
        <v>4753</v>
      </c>
    </row>
    <row r="4424" spans="1:19" x14ac:dyDescent="0.25">
      <c r="A4424" t="s">
        <v>59</v>
      </c>
      <c r="B4424" t="s">
        <v>60</v>
      </c>
      <c r="C4424" t="s">
        <v>32</v>
      </c>
      <c r="D4424" t="s">
        <v>584</v>
      </c>
      <c r="E4424" t="s">
        <v>621</v>
      </c>
      <c r="F4424" t="s">
        <v>35</v>
      </c>
      <c r="G4424" t="s">
        <v>35</v>
      </c>
      <c r="H4424" t="s">
        <v>35</v>
      </c>
      <c r="J4424" t="s">
        <v>4905</v>
      </c>
      <c r="K4424" t="s">
        <v>1092</v>
      </c>
      <c r="M4424">
        <v>2.35</v>
      </c>
      <c r="N4424">
        <v>51</v>
      </c>
      <c r="O4424" t="s">
        <v>52</v>
      </c>
      <c r="Q4424" t="s">
        <v>54</v>
      </c>
      <c r="R4424" t="s">
        <v>4571</v>
      </c>
      <c r="S4424" t="s">
        <v>628</v>
      </c>
    </row>
    <row r="4425" spans="1:19" x14ac:dyDescent="0.25">
      <c r="A4425" t="s">
        <v>30</v>
      </c>
      <c r="B4425" t="s">
        <v>31</v>
      </c>
      <c r="C4425" t="s">
        <v>32</v>
      </c>
      <c r="D4425" t="s">
        <v>584</v>
      </c>
      <c r="E4425" t="s">
        <v>621</v>
      </c>
      <c r="F4425" t="s">
        <v>35</v>
      </c>
      <c r="G4425" t="s">
        <v>35</v>
      </c>
      <c r="H4425" t="s">
        <v>35</v>
      </c>
      <c r="J4425" t="s">
        <v>4906</v>
      </c>
      <c r="K4425" t="s">
        <v>1092</v>
      </c>
      <c r="M4425">
        <v>0.81</v>
      </c>
      <c r="N4425">
        <v>266</v>
      </c>
      <c r="O4425" t="s">
        <v>5</v>
      </c>
      <c r="Q4425" t="s">
        <v>117</v>
      </c>
      <c r="R4425" t="s">
        <v>610</v>
      </c>
      <c r="S4425" t="s">
        <v>539</v>
      </c>
    </row>
    <row r="4426" spans="1:19" x14ac:dyDescent="0.25">
      <c r="A4426" t="s">
        <v>59</v>
      </c>
      <c r="B4426" t="s">
        <v>60</v>
      </c>
      <c r="C4426" t="s">
        <v>32</v>
      </c>
      <c r="D4426" t="s">
        <v>584</v>
      </c>
      <c r="E4426" t="s">
        <v>621</v>
      </c>
      <c r="F4426" t="s">
        <v>35</v>
      </c>
      <c r="G4426" t="s">
        <v>35</v>
      </c>
      <c r="H4426" t="s">
        <v>35</v>
      </c>
      <c r="J4426" t="s">
        <v>4907</v>
      </c>
      <c r="K4426" t="s">
        <v>1092</v>
      </c>
      <c r="M4426">
        <v>0.45</v>
      </c>
      <c r="N4426">
        <v>84</v>
      </c>
      <c r="O4426" t="s">
        <v>61</v>
      </c>
      <c r="Q4426" t="s">
        <v>778</v>
      </c>
      <c r="R4426" t="s">
        <v>4750</v>
      </c>
      <c r="S4426" t="s">
        <v>625</v>
      </c>
    </row>
    <row r="4427" spans="1:19" x14ac:dyDescent="0.25">
      <c r="A4427" t="s">
        <v>59</v>
      </c>
      <c r="B4427" t="s">
        <v>60</v>
      </c>
      <c r="C4427" t="s">
        <v>32</v>
      </c>
      <c r="D4427" t="s">
        <v>584</v>
      </c>
      <c r="E4427" t="s">
        <v>621</v>
      </c>
      <c r="F4427" t="s">
        <v>35</v>
      </c>
      <c r="G4427" t="s">
        <v>35</v>
      </c>
      <c r="H4427" t="s">
        <v>35</v>
      </c>
      <c r="J4427" t="s">
        <v>4907</v>
      </c>
      <c r="K4427" t="s">
        <v>1092</v>
      </c>
      <c r="M4427">
        <v>0.5</v>
      </c>
      <c r="N4427">
        <v>29</v>
      </c>
      <c r="O4427" t="s">
        <v>46</v>
      </c>
      <c r="Q4427" t="s">
        <v>1645</v>
      </c>
      <c r="R4427" t="s">
        <v>4750</v>
      </c>
      <c r="S4427" t="s">
        <v>625</v>
      </c>
    </row>
    <row r="4428" spans="1:19" x14ac:dyDescent="0.25">
      <c r="A4428" t="s">
        <v>59</v>
      </c>
      <c r="B4428" t="s">
        <v>60</v>
      </c>
      <c r="C4428" t="s">
        <v>32</v>
      </c>
      <c r="D4428" t="s">
        <v>584</v>
      </c>
      <c r="E4428" t="s">
        <v>621</v>
      </c>
      <c r="F4428" t="s">
        <v>35</v>
      </c>
      <c r="G4428" t="s">
        <v>35</v>
      </c>
      <c r="H4428" t="s">
        <v>35</v>
      </c>
      <c r="J4428" t="s">
        <v>4907</v>
      </c>
      <c r="K4428" t="s">
        <v>1092</v>
      </c>
      <c r="M4428">
        <v>0.75</v>
      </c>
      <c r="N4428">
        <v>57</v>
      </c>
      <c r="O4428" t="s">
        <v>52</v>
      </c>
      <c r="Q4428" t="s">
        <v>665</v>
      </c>
      <c r="R4428" t="s">
        <v>4750</v>
      </c>
      <c r="S4428" t="s">
        <v>625</v>
      </c>
    </row>
    <row r="4429" spans="1:19" x14ac:dyDescent="0.25">
      <c r="A4429" t="s">
        <v>30</v>
      </c>
      <c r="B4429" t="s">
        <v>31</v>
      </c>
      <c r="C4429" t="s">
        <v>32</v>
      </c>
      <c r="D4429" t="s">
        <v>584</v>
      </c>
      <c r="E4429" t="s">
        <v>621</v>
      </c>
      <c r="F4429" t="s">
        <v>35</v>
      </c>
      <c r="G4429" t="s">
        <v>35</v>
      </c>
      <c r="H4429" t="s">
        <v>35</v>
      </c>
      <c r="J4429" t="s">
        <v>4908</v>
      </c>
      <c r="K4429" t="s">
        <v>1092</v>
      </c>
      <c r="M4429">
        <v>0.22500000000000001</v>
      </c>
      <c r="N4429">
        <v>394</v>
      </c>
      <c r="O4429" t="s">
        <v>294</v>
      </c>
      <c r="Q4429" t="s">
        <v>1410</v>
      </c>
      <c r="R4429" t="s">
        <v>610</v>
      </c>
      <c r="S4429" t="s">
        <v>539</v>
      </c>
    </row>
    <row r="4430" spans="1:19" x14ac:dyDescent="0.25">
      <c r="A4430" t="s">
        <v>59</v>
      </c>
      <c r="B4430" t="s">
        <v>60</v>
      </c>
      <c r="C4430" t="s">
        <v>32</v>
      </c>
      <c r="D4430" t="s">
        <v>584</v>
      </c>
      <c r="E4430" t="s">
        <v>621</v>
      </c>
      <c r="F4430" t="s">
        <v>35</v>
      </c>
      <c r="G4430" t="s">
        <v>35</v>
      </c>
      <c r="H4430" t="s">
        <v>35</v>
      </c>
      <c r="J4430" t="s">
        <v>4908</v>
      </c>
      <c r="K4430" t="s">
        <v>1092</v>
      </c>
      <c r="M4430">
        <v>0.75</v>
      </c>
      <c r="N4430">
        <v>225</v>
      </c>
      <c r="O4430" t="s">
        <v>5</v>
      </c>
      <c r="Q4430" t="s">
        <v>1260</v>
      </c>
      <c r="R4430" t="s">
        <v>4897</v>
      </c>
      <c r="S4430" t="s">
        <v>4898</v>
      </c>
    </row>
    <row r="4431" spans="1:19" x14ac:dyDescent="0.25">
      <c r="A4431" t="s">
        <v>59</v>
      </c>
      <c r="B4431" t="s">
        <v>60</v>
      </c>
      <c r="C4431" t="s">
        <v>32</v>
      </c>
      <c r="D4431" t="s">
        <v>584</v>
      </c>
      <c r="E4431" t="s">
        <v>621</v>
      </c>
      <c r="F4431" t="s">
        <v>35</v>
      </c>
      <c r="G4431" t="s">
        <v>35</v>
      </c>
      <c r="H4431" t="s">
        <v>35</v>
      </c>
      <c r="J4431" t="s">
        <v>4908</v>
      </c>
      <c r="K4431" t="s">
        <v>1092</v>
      </c>
      <c r="M4431">
        <v>1.1000000000000001</v>
      </c>
      <c r="N4431">
        <v>278</v>
      </c>
      <c r="O4431" t="s">
        <v>5</v>
      </c>
      <c r="Q4431" t="s">
        <v>1724</v>
      </c>
      <c r="R4431" t="s">
        <v>4536</v>
      </c>
      <c r="S4431" t="s">
        <v>4537</v>
      </c>
    </row>
    <row r="4432" spans="1:19" x14ac:dyDescent="0.25">
      <c r="A4432" t="s">
        <v>44</v>
      </c>
      <c r="B4432" t="s">
        <v>3</v>
      </c>
      <c r="C4432" t="s">
        <v>32</v>
      </c>
      <c r="D4432" t="s">
        <v>584</v>
      </c>
      <c r="E4432" t="s">
        <v>621</v>
      </c>
      <c r="F4432" t="s">
        <v>35</v>
      </c>
      <c r="G4432" t="s">
        <v>35</v>
      </c>
      <c r="H4432" t="s">
        <v>35</v>
      </c>
      <c r="J4432" t="s">
        <v>4909</v>
      </c>
      <c r="K4432" t="s">
        <v>1092</v>
      </c>
      <c r="M4432">
        <v>1.5</v>
      </c>
      <c r="N4432">
        <v>524</v>
      </c>
      <c r="O4432" t="s">
        <v>294</v>
      </c>
      <c r="Q4432" t="s">
        <v>4843</v>
      </c>
      <c r="R4432" t="s">
        <v>4800</v>
      </c>
      <c r="S4432" t="s">
        <v>4799</v>
      </c>
    </row>
    <row r="4433" spans="1:19" x14ac:dyDescent="0.25">
      <c r="A4433" t="s">
        <v>44</v>
      </c>
      <c r="B4433" t="s">
        <v>51</v>
      </c>
      <c r="C4433" t="s">
        <v>32</v>
      </c>
      <c r="D4433" t="s">
        <v>584</v>
      </c>
      <c r="E4433" t="s">
        <v>621</v>
      </c>
      <c r="F4433" t="s">
        <v>35</v>
      </c>
      <c r="G4433" t="s">
        <v>35</v>
      </c>
      <c r="H4433" t="s">
        <v>35</v>
      </c>
      <c r="J4433" t="s">
        <v>4910</v>
      </c>
      <c r="K4433" t="s">
        <v>1092</v>
      </c>
      <c r="M4433">
        <v>0.25</v>
      </c>
      <c r="N4433">
        <v>135</v>
      </c>
      <c r="O4433" t="s">
        <v>38</v>
      </c>
      <c r="Q4433" t="s">
        <v>98</v>
      </c>
      <c r="R4433" t="s">
        <v>4912</v>
      </c>
      <c r="S4433" t="s">
        <v>622</v>
      </c>
    </row>
    <row r="4434" spans="1:19" x14ac:dyDescent="0.25">
      <c r="A4434" t="s">
        <v>59</v>
      </c>
      <c r="B4434" t="s">
        <v>60</v>
      </c>
      <c r="C4434" t="s">
        <v>32</v>
      </c>
      <c r="D4434" t="s">
        <v>584</v>
      </c>
      <c r="E4434" t="s">
        <v>621</v>
      </c>
      <c r="F4434" t="s">
        <v>35</v>
      </c>
      <c r="G4434" t="s">
        <v>35</v>
      </c>
      <c r="H4434" t="s">
        <v>35</v>
      </c>
      <c r="J4434" t="s">
        <v>4910</v>
      </c>
      <c r="K4434" t="s">
        <v>1092</v>
      </c>
      <c r="M4434">
        <v>0.5</v>
      </c>
      <c r="N4434">
        <v>403</v>
      </c>
      <c r="O4434" t="s">
        <v>294</v>
      </c>
      <c r="Q4434" t="s">
        <v>1589</v>
      </c>
      <c r="R4434" t="s">
        <v>4750</v>
      </c>
      <c r="S4434" t="s">
        <v>625</v>
      </c>
    </row>
    <row r="4435" spans="1:19" x14ac:dyDescent="0.25">
      <c r="A4435" t="s">
        <v>59</v>
      </c>
      <c r="B4435" t="s">
        <v>60</v>
      </c>
      <c r="C4435" t="s">
        <v>32</v>
      </c>
      <c r="D4435" t="s">
        <v>584</v>
      </c>
      <c r="E4435" t="s">
        <v>621</v>
      </c>
      <c r="F4435" t="s">
        <v>35</v>
      </c>
      <c r="G4435" t="s">
        <v>35</v>
      </c>
      <c r="H4435" t="s">
        <v>35</v>
      </c>
      <c r="J4435" t="s">
        <v>4910</v>
      </c>
      <c r="K4435" t="s">
        <v>1092</v>
      </c>
      <c r="M4435">
        <v>0.1</v>
      </c>
      <c r="N4435">
        <v>1091</v>
      </c>
      <c r="O4435" t="s">
        <v>575</v>
      </c>
      <c r="Q4435" t="s">
        <v>4911</v>
      </c>
      <c r="R4435" t="s">
        <v>4750</v>
      </c>
      <c r="S4435" t="s">
        <v>625</v>
      </c>
    </row>
    <row r="4436" spans="1:19" x14ac:dyDescent="0.25">
      <c r="A4436" t="s">
        <v>59</v>
      </c>
      <c r="B4436" t="s">
        <v>60</v>
      </c>
      <c r="C4436" t="s">
        <v>32</v>
      </c>
      <c r="D4436" t="s">
        <v>584</v>
      </c>
      <c r="E4436" t="s">
        <v>621</v>
      </c>
      <c r="F4436" t="s">
        <v>35</v>
      </c>
      <c r="G4436" t="s">
        <v>35</v>
      </c>
      <c r="H4436" t="s">
        <v>35</v>
      </c>
      <c r="J4436" t="s">
        <v>4910</v>
      </c>
      <c r="K4436" t="s">
        <v>1092</v>
      </c>
      <c r="M4436">
        <v>0.5</v>
      </c>
      <c r="N4436">
        <v>84</v>
      </c>
      <c r="O4436" t="s">
        <v>61</v>
      </c>
      <c r="Q4436" t="s">
        <v>778</v>
      </c>
      <c r="R4436" t="s">
        <v>4750</v>
      </c>
      <c r="S4436" t="s">
        <v>625</v>
      </c>
    </row>
    <row r="4437" spans="1:19" x14ac:dyDescent="0.25">
      <c r="A4437" t="s">
        <v>59</v>
      </c>
      <c r="B4437" t="s">
        <v>60</v>
      </c>
      <c r="C4437" t="s">
        <v>32</v>
      </c>
      <c r="D4437" t="s">
        <v>584</v>
      </c>
      <c r="E4437" t="s">
        <v>621</v>
      </c>
      <c r="F4437" t="s">
        <v>35</v>
      </c>
      <c r="G4437" t="s">
        <v>35</v>
      </c>
      <c r="H4437" t="s">
        <v>35</v>
      </c>
      <c r="J4437" t="s">
        <v>4913</v>
      </c>
      <c r="K4437" t="s">
        <v>1092</v>
      </c>
      <c r="M4437">
        <v>0.75</v>
      </c>
      <c r="N4437">
        <v>72</v>
      </c>
      <c r="O4437" t="s">
        <v>61</v>
      </c>
      <c r="Q4437" t="s">
        <v>63</v>
      </c>
      <c r="R4437" t="s">
        <v>4855</v>
      </c>
      <c r="S4437" t="s">
        <v>4856</v>
      </c>
    </row>
    <row r="4438" spans="1:19" x14ac:dyDescent="0.25">
      <c r="A4438" t="s">
        <v>59</v>
      </c>
      <c r="B4438" t="s">
        <v>60</v>
      </c>
      <c r="C4438" t="s">
        <v>32</v>
      </c>
      <c r="D4438" t="s">
        <v>584</v>
      </c>
      <c r="E4438" t="s">
        <v>621</v>
      </c>
      <c r="F4438" t="s">
        <v>35</v>
      </c>
      <c r="G4438" t="s">
        <v>35</v>
      </c>
      <c r="H4438" t="s">
        <v>35</v>
      </c>
      <c r="J4438" t="s">
        <v>4913</v>
      </c>
      <c r="K4438" t="s">
        <v>1092</v>
      </c>
      <c r="M4438">
        <v>2</v>
      </c>
      <c r="N4438">
        <v>55</v>
      </c>
      <c r="O4438" t="s">
        <v>52</v>
      </c>
      <c r="Q4438" t="s">
        <v>518</v>
      </c>
      <c r="R4438" t="s">
        <v>4855</v>
      </c>
      <c r="S4438" t="s">
        <v>4856</v>
      </c>
    </row>
    <row r="4439" spans="1:19" x14ac:dyDescent="0.25">
      <c r="A4439" t="s">
        <v>30</v>
      </c>
      <c r="B4439" t="s">
        <v>31</v>
      </c>
      <c r="C4439" t="s">
        <v>32</v>
      </c>
      <c r="D4439" t="s">
        <v>584</v>
      </c>
      <c r="E4439" t="s">
        <v>621</v>
      </c>
      <c r="F4439" t="s">
        <v>35</v>
      </c>
      <c r="G4439" t="s">
        <v>35</v>
      </c>
      <c r="H4439" t="s">
        <v>35</v>
      </c>
      <c r="J4439" t="s">
        <v>4914</v>
      </c>
      <c r="K4439" t="s">
        <v>1092</v>
      </c>
      <c r="M4439">
        <v>1.7749999999999999</v>
      </c>
      <c r="N4439">
        <v>1507</v>
      </c>
      <c r="O4439" t="s">
        <v>575</v>
      </c>
      <c r="Q4439" t="s">
        <v>4437</v>
      </c>
      <c r="R4439" t="s">
        <v>4917</v>
      </c>
      <c r="S4439" t="s">
        <v>4918</v>
      </c>
    </row>
    <row r="4440" spans="1:19" x14ac:dyDescent="0.25">
      <c r="A4440" t="s">
        <v>30</v>
      </c>
      <c r="B4440" t="s">
        <v>31</v>
      </c>
      <c r="C4440" t="s">
        <v>32</v>
      </c>
      <c r="D4440" t="s">
        <v>584</v>
      </c>
      <c r="E4440" t="s">
        <v>621</v>
      </c>
      <c r="F4440" t="s">
        <v>35</v>
      </c>
      <c r="G4440" t="s">
        <v>35</v>
      </c>
      <c r="H4440" t="s">
        <v>35</v>
      </c>
      <c r="J4440" t="s">
        <v>4914</v>
      </c>
      <c r="K4440" t="s">
        <v>1092</v>
      </c>
      <c r="M4440">
        <v>3.6</v>
      </c>
      <c r="N4440">
        <v>1204</v>
      </c>
      <c r="O4440" t="s">
        <v>575</v>
      </c>
      <c r="Q4440" t="s">
        <v>3583</v>
      </c>
      <c r="R4440" t="s">
        <v>4915</v>
      </c>
      <c r="S4440" t="s">
        <v>4916</v>
      </c>
    </row>
    <row r="4441" spans="1:19" x14ac:dyDescent="0.25">
      <c r="A4441" t="s">
        <v>59</v>
      </c>
      <c r="B4441" t="s">
        <v>31</v>
      </c>
      <c r="C4441" t="s">
        <v>32</v>
      </c>
      <c r="D4441" t="s">
        <v>584</v>
      </c>
      <c r="E4441" t="s">
        <v>621</v>
      </c>
      <c r="F4441" t="s">
        <v>35</v>
      </c>
      <c r="G4441" t="s">
        <v>35</v>
      </c>
      <c r="H4441" t="s">
        <v>35</v>
      </c>
      <c r="J4441" t="s">
        <v>4914</v>
      </c>
      <c r="K4441" t="s">
        <v>1092</v>
      </c>
      <c r="M4441">
        <v>1.395</v>
      </c>
      <c r="N4441">
        <v>1204</v>
      </c>
      <c r="O4441" t="s">
        <v>575</v>
      </c>
      <c r="Q4441" t="s">
        <v>3583</v>
      </c>
      <c r="R4441" t="s">
        <v>4915</v>
      </c>
      <c r="S4441" t="s">
        <v>4916</v>
      </c>
    </row>
    <row r="4442" spans="1:19" x14ac:dyDescent="0.25">
      <c r="A4442" t="s">
        <v>59</v>
      </c>
      <c r="B4442" t="s">
        <v>60</v>
      </c>
      <c r="C4442" t="s">
        <v>32</v>
      </c>
      <c r="D4442" t="s">
        <v>584</v>
      </c>
      <c r="E4442" t="s">
        <v>621</v>
      </c>
      <c r="F4442" t="s">
        <v>35</v>
      </c>
      <c r="G4442" t="s">
        <v>35</v>
      </c>
      <c r="H4442" t="s">
        <v>35</v>
      </c>
      <c r="J4442" t="s">
        <v>4919</v>
      </c>
      <c r="K4442" t="s">
        <v>1092</v>
      </c>
      <c r="M4442">
        <v>1</v>
      </c>
      <c r="N4442">
        <v>902</v>
      </c>
      <c r="O4442" t="s">
        <v>575</v>
      </c>
      <c r="Q4442" t="s">
        <v>4920</v>
      </c>
      <c r="R4442" t="s">
        <v>4571</v>
      </c>
      <c r="S4442" t="s">
        <v>628</v>
      </c>
    </row>
    <row r="4443" spans="1:19" x14ac:dyDescent="0.25">
      <c r="A4443" t="s">
        <v>59</v>
      </c>
      <c r="B4443" t="s">
        <v>60</v>
      </c>
      <c r="C4443" t="s">
        <v>32</v>
      </c>
      <c r="D4443" t="s">
        <v>584</v>
      </c>
      <c r="E4443" t="s">
        <v>621</v>
      </c>
      <c r="F4443" t="s">
        <v>35</v>
      </c>
      <c r="G4443" t="s">
        <v>35</v>
      </c>
      <c r="H4443" t="s">
        <v>35</v>
      </c>
      <c r="J4443" t="s">
        <v>4919</v>
      </c>
      <c r="K4443" t="s">
        <v>1092</v>
      </c>
      <c r="M4443">
        <v>0.75</v>
      </c>
      <c r="N4443">
        <v>527</v>
      </c>
      <c r="O4443" t="s">
        <v>294</v>
      </c>
      <c r="Q4443" t="s">
        <v>4563</v>
      </c>
      <c r="R4443" t="s">
        <v>4640</v>
      </c>
      <c r="S4443" t="s">
        <v>4641</v>
      </c>
    </row>
    <row r="4444" spans="1:19" x14ac:dyDescent="0.25">
      <c r="A4444" t="s">
        <v>59</v>
      </c>
      <c r="B4444" t="s">
        <v>60</v>
      </c>
      <c r="C4444" t="s">
        <v>32</v>
      </c>
      <c r="D4444" t="s">
        <v>584</v>
      </c>
      <c r="E4444" t="s">
        <v>621</v>
      </c>
      <c r="F4444" t="s">
        <v>35</v>
      </c>
      <c r="G4444" t="s">
        <v>35</v>
      </c>
      <c r="H4444" t="s">
        <v>35</v>
      </c>
      <c r="J4444" t="s">
        <v>4919</v>
      </c>
      <c r="K4444" t="s">
        <v>1092</v>
      </c>
      <c r="M4444">
        <v>1.5</v>
      </c>
      <c r="N4444">
        <v>549</v>
      </c>
      <c r="O4444" t="s">
        <v>575</v>
      </c>
      <c r="Q4444" t="s">
        <v>3873</v>
      </c>
      <c r="R4444" t="s">
        <v>4640</v>
      </c>
      <c r="S4444" t="s">
        <v>4641</v>
      </c>
    </row>
    <row r="4445" spans="1:19" x14ac:dyDescent="0.25">
      <c r="A4445" t="s">
        <v>59</v>
      </c>
      <c r="B4445" t="s">
        <v>31</v>
      </c>
      <c r="C4445" t="s">
        <v>32</v>
      </c>
      <c r="D4445" t="s">
        <v>584</v>
      </c>
      <c r="E4445" t="s">
        <v>621</v>
      </c>
      <c r="F4445" t="s">
        <v>35</v>
      </c>
      <c r="G4445" t="s">
        <v>35</v>
      </c>
      <c r="H4445" t="s">
        <v>35</v>
      </c>
      <c r="J4445" t="s">
        <v>4919</v>
      </c>
      <c r="K4445" t="s">
        <v>1092</v>
      </c>
      <c r="M4445">
        <v>0.18</v>
      </c>
      <c r="N4445">
        <v>1589</v>
      </c>
      <c r="O4445" t="s">
        <v>575</v>
      </c>
      <c r="Q4445" t="s">
        <v>4921</v>
      </c>
      <c r="R4445" t="s">
        <v>4750</v>
      </c>
      <c r="S4445" t="s">
        <v>625</v>
      </c>
    </row>
    <row r="4446" spans="1:19" x14ac:dyDescent="0.25">
      <c r="A4446" t="s">
        <v>59</v>
      </c>
      <c r="B4446" t="s">
        <v>60</v>
      </c>
      <c r="C4446" t="s">
        <v>32</v>
      </c>
      <c r="D4446" t="s">
        <v>584</v>
      </c>
      <c r="E4446" t="s">
        <v>621</v>
      </c>
      <c r="F4446" t="s">
        <v>35</v>
      </c>
      <c r="G4446" t="s">
        <v>35</v>
      </c>
      <c r="H4446" t="s">
        <v>35</v>
      </c>
      <c r="J4446" t="s">
        <v>4919</v>
      </c>
      <c r="K4446" t="s">
        <v>1092</v>
      </c>
      <c r="M4446">
        <v>0.95</v>
      </c>
      <c r="N4446">
        <v>1589</v>
      </c>
      <c r="O4446" t="s">
        <v>575</v>
      </c>
      <c r="Q4446" t="s">
        <v>4921</v>
      </c>
      <c r="R4446" t="s">
        <v>4750</v>
      </c>
      <c r="S4446" t="s">
        <v>625</v>
      </c>
    </row>
    <row r="4447" spans="1:19" x14ac:dyDescent="0.25">
      <c r="A4447" t="s">
        <v>59</v>
      </c>
      <c r="B4447" t="s">
        <v>60</v>
      </c>
      <c r="C4447" t="s">
        <v>32</v>
      </c>
      <c r="D4447" t="s">
        <v>584</v>
      </c>
      <c r="E4447" t="s">
        <v>621</v>
      </c>
      <c r="F4447" t="s">
        <v>35</v>
      </c>
      <c r="G4447" t="s">
        <v>35</v>
      </c>
      <c r="H4447" t="s">
        <v>35</v>
      </c>
      <c r="J4447" t="s">
        <v>4922</v>
      </c>
      <c r="K4447" t="s">
        <v>1092</v>
      </c>
      <c r="M4447">
        <v>1.8</v>
      </c>
      <c r="N4447">
        <v>791</v>
      </c>
      <c r="O4447" t="s">
        <v>575</v>
      </c>
      <c r="Q4447" t="s">
        <v>2135</v>
      </c>
      <c r="R4447" t="s">
        <v>4720</v>
      </c>
      <c r="S4447" t="s">
        <v>634</v>
      </c>
    </row>
    <row r="4448" spans="1:19" x14ac:dyDescent="0.25">
      <c r="A4448" t="s">
        <v>44</v>
      </c>
      <c r="B4448" t="s">
        <v>51</v>
      </c>
      <c r="C4448" t="s">
        <v>32</v>
      </c>
      <c r="D4448" t="s">
        <v>584</v>
      </c>
      <c r="E4448" t="s">
        <v>621</v>
      </c>
      <c r="F4448" t="s">
        <v>35</v>
      </c>
      <c r="G4448" t="s">
        <v>35</v>
      </c>
      <c r="H4448" t="s">
        <v>35</v>
      </c>
      <c r="J4448" t="s">
        <v>4923</v>
      </c>
      <c r="K4448" t="s">
        <v>1092</v>
      </c>
      <c r="M4448">
        <v>0.25</v>
      </c>
      <c r="N4448">
        <v>61</v>
      </c>
      <c r="O4448" t="s">
        <v>61</v>
      </c>
      <c r="Q4448" t="s">
        <v>671</v>
      </c>
      <c r="R4448" t="s">
        <v>4545</v>
      </c>
      <c r="S4448" t="s">
        <v>586</v>
      </c>
    </row>
    <row r="4449" spans="1:19" x14ac:dyDescent="0.25">
      <c r="A4449" t="s">
        <v>59</v>
      </c>
      <c r="B4449" t="s">
        <v>60</v>
      </c>
      <c r="C4449" t="s">
        <v>32</v>
      </c>
      <c r="D4449" t="s">
        <v>584</v>
      </c>
      <c r="E4449" t="s">
        <v>621</v>
      </c>
      <c r="F4449" t="s">
        <v>35</v>
      </c>
      <c r="G4449" t="s">
        <v>35</v>
      </c>
      <c r="H4449" t="s">
        <v>35</v>
      </c>
      <c r="J4449" t="s">
        <v>4924</v>
      </c>
      <c r="K4449" t="s">
        <v>1092</v>
      </c>
      <c r="M4449">
        <v>0.5</v>
      </c>
      <c r="N4449">
        <v>183</v>
      </c>
      <c r="O4449" t="s">
        <v>5</v>
      </c>
      <c r="Q4449" t="s">
        <v>3413</v>
      </c>
      <c r="R4449" t="s">
        <v>4750</v>
      </c>
      <c r="S4449" t="s">
        <v>625</v>
      </c>
    </row>
    <row r="4450" spans="1:19" x14ac:dyDescent="0.25">
      <c r="A4450" t="s">
        <v>59</v>
      </c>
      <c r="B4450" t="s">
        <v>60</v>
      </c>
      <c r="C4450" t="s">
        <v>32</v>
      </c>
      <c r="D4450" t="s">
        <v>584</v>
      </c>
      <c r="E4450" t="s">
        <v>621</v>
      </c>
      <c r="F4450" t="s">
        <v>35</v>
      </c>
      <c r="G4450" t="s">
        <v>35</v>
      </c>
      <c r="H4450" t="s">
        <v>35</v>
      </c>
      <c r="J4450" t="s">
        <v>4924</v>
      </c>
      <c r="K4450" t="s">
        <v>1092</v>
      </c>
      <c r="M4450">
        <v>1</v>
      </c>
      <c r="N4450">
        <v>57</v>
      </c>
      <c r="O4450" t="s">
        <v>52</v>
      </c>
      <c r="Q4450" t="s">
        <v>665</v>
      </c>
      <c r="R4450" t="s">
        <v>4545</v>
      </c>
      <c r="S4450" t="s">
        <v>586</v>
      </c>
    </row>
    <row r="4451" spans="1:19" x14ac:dyDescent="0.25">
      <c r="A4451" t="s">
        <v>44</v>
      </c>
      <c r="B4451" t="s">
        <v>3</v>
      </c>
      <c r="C4451" t="s">
        <v>32</v>
      </c>
      <c r="D4451" t="s">
        <v>584</v>
      </c>
      <c r="E4451" t="s">
        <v>621</v>
      </c>
      <c r="F4451" t="s">
        <v>35</v>
      </c>
      <c r="G4451" t="s">
        <v>35</v>
      </c>
      <c r="H4451" t="s">
        <v>35</v>
      </c>
      <c r="J4451" t="s">
        <v>4925</v>
      </c>
      <c r="K4451" t="s">
        <v>1092</v>
      </c>
      <c r="M4451">
        <v>1</v>
      </c>
      <c r="N4451">
        <v>500</v>
      </c>
      <c r="O4451" t="s">
        <v>294</v>
      </c>
      <c r="Q4451" t="s">
        <v>2051</v>
      </c>
      <c r="R4451" t="s">
        <v>4926</v>
      </c>
      <c r="S4451" t="s">
        <v>4927</v>
      </c>
    </row>
    <row r="4452" spans="1:19" x14ac:dyDescent="0.25">
      <c r="A4452" t="s">
        <v>30</v>
      </c>
      <c r="B4452" t="s">
        <v>31</v>
      </c>
      <c r="C4452" t="s">
        <v>32</v>
      </c>
      <c r="D4452" t="s">
        <v>584</v>
      </c>
      <c r="E4452" t="s">
        <v>621</v>
      </c>
      <c r="F4452" t="s">
        <v>35</v>
      </c>
      <c r="G4452" t="s">
        <v>35</v>
      </c>
      <c r="H4452" t="s">
        <v>35</v>
      </c>
      <c r="J4452" t="s">
        <v>4929</v>
      </c>
      <c r="K4452" t="s">
        <v>1092</v>
      </c>
      <c r="M4452">
        <v>8.3699999999999992</v>
      </c>
      <c r="N4452">
        <v>71</v>
      </c>
      <c r="O4452" t="s">
        <v>61</v>
      </c>
      <c r="Q4452" t="s">
        <v>102</v>
      </c>
      <c r="R4452" t="s">
        <v>610</v>
      </c>
      <c r="S4452" t="s">
        <v>539</v>
      </c>
    </row>
    <row r="4453" spans="1:19" x14ac:dyDescent="0.25">
      <c r="A4453" t="s">
        <v>30</v>
      </c>
      <c r="B4453" t="s">
        <v>31</v>
      </c>
      <c r="C4453" t="s">
        <v>32</v>
      </c>
      <c r="D4453" t="s">
        <v>584</v>
      </c>
      <c r="E4453" t="s">
        <v>621</v>
      </c>
      <c r="F4453" t="s">
        <v>35</v>
      </c>
      <c r="G4453" t="s">
        <v>35</v>
      </c>
      <c r="H4453" t="s">
        <v>35</v>
      </c>
      <c r="J4453" t="s">
        <v>4930</v>
      </c>
      <c r="K4453" t="s">
        <v>1092</v>
      </c>
      <c r="M4453">
        <v>0.32</v>
      </c>
      <c r="N4453">
        <v>1181</v>
      </c>
      <c r="O4453" t="s">
        <v>575</v>
      </c>
      <c r="Q4453" t="s">
        <v>4931</v>
      </c>
      <c r="R4453" t="s">
        <v>4571</v>
      </c>
      <c r="S4453" t="s">
        <v>628</v>
      </c>
    </row>
    <row r="4454" spans="1:19" x14ac:dyDescent="0.25">
      <c r="A4454" t="s">
        <v>59</v>
      </c>
      <c r="B4454" t="s">
        <v>60</v>
      </c>
      <c r="C4454" t="s">
        <v>32</v>
      </c>
      <c r="D4454" t="s">
        <v>584</v>
      </c>
      <c r="E4454" t="s">
        <v>621</v>
      </c>
      <c r="F4454" t="s">
        <v>35</v>
      </c>
      <c r="G4454" t="s">
        <v>35</v>
      </c>
      <c r="H4454" t="s">
        <v>35</v>
      </c>
      <c r="J4454" t="s">
        <v>4930</v>
      </c>
      <c r="K4454" t="s">
        <v>1092</v>
      </c>
      <c r="M4454">
        <v>2.2599999999999998</v>
      </c>
      <c r="N4454">
        <v>498</v>
      </c>
      <c r="O4454" t="s">
        <v>294</v>
      </c>
      <c r="Q4454" t="s">
        <v>2487</v>
      </c>
      <c r="R4454" t="s">
        <v>4720</v>
      </c>
      <c r="S4454" t="s">
        <v>634</v>
      </c>
    </row>
    <row r="4455" spans="1:19" x14ac:dyDescent="0.25">
      <c r="A4455" t="s">
        <v>30</v>
      </c>
      <c r="B4455" t="s">
        <v>31</v>
      </c>
      <c r="C4455" t="s">
        <v>32</v>
      </c>
      <c r="D4455" t="s">
        <v>584</v>
      </c>
      <c r="E4455" t="s">
        <v>621</v>
      </c>
      <c r="F4455" t="s">
        <v>35</v>
      </c>
      <c r="G4455" t="s">
        <v>35</v>
      </c>
      <c r="H4455" t="s">
        <v>35</v>
      </c>
      <c r="J4455" t="s">
        <v>4932</v>
      </c>
      <c r="K4455" t="s">
        <v>1092</v>
      </c>
      <c r="M4455">
        <v>9.125</v>
      </c>
      <c r="N4455">
        <v>71</v>
      </c>
      <c r="O4455" t="s">
        <v>61</v>
      </c>
      <c r="Q4455" t="s">
        <v>102</v>
      </c>
      <c r="R4455" t="s">
        <v>610</v>
      </c>
      <c r="S4455" t="s">
        <v>539</v>
      </c>
    </row>
    <row r="4456" spans="1:19" x14ac:dyDescent="0.25">
      <c r="A4456" t="s">
        <v>59</v>
      </c>
      <c r="B4456" t="s">
        <v>60</v>
      </c>
      <c r="C4456" t="s">
        <v>32</v>
      </c>
      <c r="D4456" t="s">
        <v>584</v>
      </c>
      <c r="E4456" t="s">
        <v>621</v>
      </c>
      <c r="F4456" t="s">
        <v>35</v>
      </c>
      <c r="G4456" t="s">
        <v>35</v>
      </c>
      <c r="H4456" t="s">
        <v>35</v>
      </c>
      <c r="J4456" t="s">
        <v>4932</v>
      </c>
      <c r="K4456" t="s">
        <v>1092</v>
      </c>
      <c r="M4456">
        <v>0.75</v>
      </c>
      <c r="N4456">
        <v>51</v>
      </c>
      <c r="O4456" t="s">
        <v>52</v>
      </c>
      <c r="Q4456" t="s">
        <v>54</v>
      </c>
      <c r="R4456" t="s">
        <v>4545</v>
      </c>
      <c r="S4456" t="s">
        <v>586</v>
      </c>
    </row>
    <row r="4457" spans="1:19" x14ac:dyDescent="0.25">
      <c r="A4457" t="s">
        <v>59</v>
      </c>
      <c r="B4457" t="s">
        <v>60</v>
      </c>
      <c r="C4457" t="s">
        <v>32</v>
      </c>
      <c r="D4457" t="s">
        <v>584</v>
      </c>
      <c r="E4457" t="s">
        <v>621</v>
      </c>
      <c r="F4457" t="s">
        <v>35</v>
      </c>
      <c r="G4457" t="s">
        <v>35</v>
      </c>
      <c r="H4457" t="s">
        <v>35</v>
      </c>
      <c r="J4457" t="s">
        <v>4932</v>
      </c>
      <c r="K4457" t="s">
        <v>1092</v>
      </c>
      <c r="M4457">
        <v>0.25</v>
      </c>
      <c r="N4457">
        <v>114</v>
      </c>
      <c r="O4457" t="s">
        <v>106</v>
      </c>
      <c r="Q4457" t="s">
        <v>288</v>
      </c>
      <c r="R4457" t="s">
        <v>4545</v>
      </c>
      <c r="S4457" t="s">
        <v>586</v>
      </c>
    </row>
    <row r="4458" spans="1:19" x14ac:dyDescent="0.25">
      <c r="A4458" t="s">
        <v>59</v>
      </c>
      <c r="B4458" t="s">
        <v>60</v>
      </c>
      <c r="C4458" t="s">
        <v>32</v>
      </c>
      <c r="D4458" t="s">
        <v>584</v>
      </c>
      <c r="E4458" t="s">
        <v>621</v>
      </c>
      <c r="F4458" t="s">
        <v>35</v>
      </c>
      <c r="G4458" t="s">
        <v>35</v>
      </c>
      <c r="H4458" t="s">
        <v>35</v>
      </c>
      <c r="J4458" t="s">
        <v>4933</v>
      </c>
      <c r="K4458" t="s">
        <v>1092</v>
      </c>
      <c r="M4458">
        <v>0.5</v>
      </c>
      <c r="N4458">
        <v>465</v>
      </c>
      <c r="O4458" t="s">
        <v>294</v>
      </c>
      <c r="Q4458" t="s">
        <v>4935</v>
      </c>
      <c r="R4458" t="s">
        <v>4750</v>
      </c>
      <c r="S4458" t="s">
        <v>625</v>
      </c>
    </row>
    <row r="4459" spans="1:19" x14ac:dyDescent="0.25">
      <c r="A4459" t="s">
        <v>30</v>
      </c>
      <c r="B4459" t="s">
        <v>31</v>
      </c>
      <c r="C4459" t="s">
        <v>32</v>
      </c>
      <c r="D4459" t="s">
        <v>584</v>
      </c>
      <c r="E4459" t="s">
        <v>621</v>
      </c>
      <c r="F4459" t="s">
        <v>35</v>
      </c>
      <c r="G4459" t="s">
        <v>35</v>
      </c>
      <c r="H4459" t="s">
        <v>35</v>
      </c>
      <c r="J4459" t="s">
        <v>4933</v>
      </c>
      <c r="K4459" t="s">
        <v>1092</v>
      </c>
      <c r="M4459">
        <v>4.4999999999999998E-2</v>
      </c>
      <c r="N4459">
        <v>1188</v>
      </c>
      <c r="O4459" t="s">
        <v>575</v>
      </c>
      <c r="Q4459" t="s">
        <v>4934</v>
      </c>
      <c r="R4459" t="s">
        <v>4897</v>
      </c>
      <c r="S4459" t="s">
        <v>4898</v>
      </c>
    </row>
    <row r="4460" spans="1:19" x14ac:dyDescent="0.25">
      <c r="A4460" t="s">
        <v>59</v>
      </c>
      <c r="B4460" t="s">
        <v>60</v>
      </c>
      <c r="C4460" t="s">
        <v>32</v>
      </c>
      <c r="D4460" t="s">
        <v>584</v>
      </c>
      <c r="E4460" t="s">
        <v>621</v>
      </c>
      <c r="F4460" t="s">
        <v>35</v>
      </c>
      <c r="G4460" t="s">
        <v>35</v>
      </c>
      <c r="H4460" t="s">
        <v>35</v>
      </c>
      <c r="J4460" t="s">
        <v>4933</v>
      </c>
      <c r="K4460" t="s">
        <v>1092</v>
      </c>
      <c r="M4460">
        <v>0.05</v>
      </c>
      <c r="N4460">
        <v>1130</v>
      </c>
      <c r="O4460" t="s">
        <v>575</v>
      </c>
      <c r="Q4460" t="s">
        <v>4936</v>
      </c>
      <c r="R4460" t="s">
        <v>4897</v>
      </c>
      <c r="S4460" t="s">
        <v>4898</v>
      </c>
    </row>
    <row r="4461" spans="1:19" x14ac:dyDescent="0.25">
      <c r="A4461" t="s">
        <v>44</v>
      </c>
      <c r="B4461" t="s">
        <v>3</v>
      </c>
      <c r="C4461" t="s">
        <v>32</v>
      </c>
      <c r="D4461" t="s">
        <v>584</v>
      </c>
      <c r="E4461" t="s">
        <v>621</v>
      </c>
      <c r="F4461" t="s">
        <v>35</v>
      </c>
      <c r="G4461" t="s">
        <v>35</v>
      </c>
      <c r="H4461" t="s">
        <v>35</v>
      </c>
      <c r="J4461" t="s">
        <v>4937</v>
      </c>
      <c r="K4461" t="s">
        <v>1092</v>
      </c>
      <c r="M4461">
        <v>0.05</v>
      </c>
      <c r="N4461">
        <v>534</v>
      </c>
      <c r="O4461" t="s">
        <v>294</v>
      </c>
      <c r="Q4461" t="s">
        <v>1496</v>
      </c>
      <c r="R4461" t="s">
        <v>4557</v>
      </c>
      <c r="S4461" t="s">
        <v>4558</v>
      </c>
    </row>
    <row r="4462" spans="1:19" x14ac:dyDescent="0.25">
      <c r="A4462" t="s">
        <v>30</v>
      </c>
      <c r="B4462" t="s">
        <v>31</v>
      </c>
      <c r="C4462" t="s">
        <v>32</v>
      </c>
      <c r="D4462" t="s">
        <v>584</v>
      </c>
      <c r="E4462" t="s">
        <v>621</v>
      </c>
      <c r="F4462" t="s">
        <v>35</v>
      </c>
      <c r="G4462" t="s">
        <v>35</v>
      </c>
      <c r="H4462" t="s">
        <v>35</v>
      </c>
      <c r="J4462" t="s">
        <v>4938</v>
      </c>
      <c r="K4462" t="s">
        <v>1092</v>
      </c>
      <c r="M4462">
        <v>0.63</v>
      </c>
      <c r="N4462">
        <v>492</v>
      </c>
      <c r="O4462" t="s">
        <v>294</v>
      </c>
      <c r="Q4462" t="s">
        <v>1186</v>
      </c>
      <c r="R4462" t="s">
        <v>4821</v>
      </c>
      <c r="S4462" t="s">
        <v>4822</v>
      </c>
    </row>
    <row r="4463" spans="1:19" x14ac:dyDescent="0.25">
      <c r="A4463" t="s">
        <v>59</v>
      </c>
      <c r="B4463" t="s">
        <v>60</v>
      </c>
      <c r="C4463" t="s">
        <v>32</v>
      </c>
      <c r="D4463" t="s">
        <v>584</v>
      </c>
      <c r="E4463" t="s">
        <v>621</v>
      </c>
      <c r="F4463" t="s">
        <v>35</v>
      </c>
      <c r="G4463" t="s">
        <v>35</v>
      </c>
      <c r="H4463" t="s">
        <v>35</v>
      </c>
      <c r="J4463" t="s">
        <v>4941</v>
      </c>
      <c r="K4463" t="s">
        <v>1092</v>
      </c>
      <c r="M4463">
        <v>2</v>
      </c>
      <c r="N4463">
        <v>235</v>
      </c>
      <c r="O4463" t="s">
        <v>5</v>
      </c>
      <c r="Q4463" t="s">
        <v>4942</v>
      </c>
      <c r="R4463" t="s">
        <v>4720</v>
      </c>
      <c r="S4463" t="s">
        <v>634</v>
      </c>
    </row>
    <row r="4464" spans="1:19" x14ac:dyDescent="0.25">
      <c r="A4464" t="s">
        <v>44</v>
      </c>
      <c r="B4464" t="s">
        <v>51</v>
      </c>
      <c r="C4464" t="s">
        <v>32</v>
      </c>
      <c r="D4464" t="s">
        <v>584</v>
      </c>
      <c r="E4464" t="s">
        <v>621</v>
      </c>
      <c r="F4464" t="s">
        <v>35</v>
      </c>
      <c r="G4464" t="s">
        <v>35</v>
      </c>
      <c r="H4464" t="s">
        <v>35</v>
      </c>
      <c r="J4464" t="s">
        <v>2848</v>
      </c>
      <c r="K4464" t="s">
        <v>1092</v>
      </c>
      <c r="M4464">
        <v>0.4</v>
      </c>
      <c r="N4464">
        <v>152</v>
      </c>
      <c r="O4464" t="s">
        <v>38</v>
      </c>
      <c r="Q4464" t="s">
        <v>408</v>
      </c>
      <c r="R4464" t="s">
        <v>4912</v>
      </c>
      <c r="S4464" t="s">
        <v>622</v>
      </c>
    </row>
    <row r="4465" spans="1:19" x14ac:dyDescent="0.25">
      <c r="A4465" t="s">
        <v>30</v>
      </c>
      <c r="B4465" t="s">
        <v>31</v>
      </c>
      <c r="C4465" t="s">
        <v>32</v>
      </c>
      <c r="D4465" t="s">
        <v>584</v>
      </c>
      <c r="E4465" t="s">
        <v>621</v>
      </c>
      <c r="F4465" t="s">
        <v>35</v>
      </c>
      <c r="G4465" t="s">
        <v>35</v>
      </c>
      <c r="H4465" t="s">
        <v>35</v>
      </c>
      <c r="J4465" t="s">
        <v>4943</v>
      </c>
      <c r="K4465" t="s">
        <v>1092</v>
      </c>
      <c r="M4465">
        <v>3.5999999999999997E-2</v>
      </c>
      <c r="N4465">
        <v>1407</v>
      </c>
      <c r="O4465" t="s">
        <v>575</v>
      </c>
      <c r="Q4465" t="s">
        <v>4944</v>
      </c>
      <c r="R4465" t="s">
        <v>4571</v>
      </c>
      <c r="S4465" t="s">
        <v>628</v>
      </c>
    </row>
    <row r="4466" spans="1:19" x14ac:dyDescent="0.25">
      <c r="A4466" t="s">
        <v>30</v>
      </c>
      <c r="B4466" t="s">
        <v>31</v>
      </c>
      <c r="C4466" t="s">
        <v>32</v>
      </c>
      <c r="D4466" t="s">
        <v>584</v>
      </c>
      <c r="E4466" t="s">
        <v>621</v>
      </c>
      <c r="F4466" t="s">
        <v>35</v>
      </c>
      <c r="G4466" t="s">
        <v>35</v>
      </c>
      <c r="H4466" t="s">
        <v>35</v>
      </c>
      <c r="J4466" t="s">
        <v>4945</v>
      </c>
      <c r="K4466" t="s">
        <v>1092</v>
      </c>
      <c r="M4466">
        <v>11.025</v>
      </c>
      <c r="N4466">
        <v>94</v>
      </c>
      <c r="O4466" t="s">
        <v>106</v>
      </c>
      <c r="Q4466" t="s">
        <v>394</v>
      </c>
      <c r="R4466" t="s">
        <v>610</v>
      </c>
      <c r="S4466" t="s">
        <v>539</v>
      </c>
    </row>
    <row r="4467" spans="1:19" x14ac:dyDescent="0.25">
      <c r="A4467" t="s">
        <v>59</v>
      </c>
      <c r="B4467" t="s">
        <v>31</v>
      </c>
      <c r="C4467" t="s">
        <v>32</v>
      </c>
      <c r="D4467" t="s">
        <v>584</v>
      </c>
      <c r="E4467" t="s">
        <v>621</v>
      </c>
      <c r="F4467" t="s">
        <v>35</v>
      </c>
      <c r="G4467" t="s">
        <v>35</v>
      </c>
      <c r="H4467" t="s">
        <v>35</v>
      </c>
      <c r="J4467" t="s">
        <v>4945</v>
      </c>
      <c r="K4467" t="s">
        <v>1092</v>
      </c>
      <c r="M4467">
        <v>1.35</v>
      </c>
      <c r="N4467">
        <v>426</v>
      </c>
      <c r="O4467" t="s">
        <v>294</v>
      </c>
      <c r="Q4467" t="s">
        <v>1550</v>
      </c>
      <c r="R4467" t="s">
        <v>4926</v>
      </c>
      <c r="S4467" t="s">
        <v>4927</v>
      </c>
    </row>
    <row r="4468" spans="1:19" x14ac:dyDescent="0.25">
      <c r="A4468" t="s">
        <v>30</v>
      </c>
      <c r="B4468" t="s">
        <v>31</v>
      </c>
      <c r="C4468" t="s">
        <v>32</v>
      </c>
      <c r="D4468" t="s">
        <v>584</v>
      </c>
      <c r="E4468" t="s">
        <v>621</v>
      </c>
      <c r="F4468" t="s">
        <v>35</v>
      </c>
      <c r="G4468" t="s">
        <v>35</v>
      </c>
      <c r="H4468" t="s">
        <v>35</v>
      </c>
      <c r="J4468" t="s">
        <v>4945</v>
      </c>
      <c r="K4468" t="s">
        <v>1092</v>
      </c>
      <c r="M4468">
        <v>22.05</v>
      </c>
      <c r="N4468">
        <v>49</v>
      </c>
      <c r="O4468" t="s">
        <v>52</v>
      </c>
      <c r="Q4468" t="s">
        <v>219</v>
      </c>
      <c r="R4468" t="s">
        <v>610</v>
      </c>
      <c r="S4468" t="s">
        <v>539</v>
      </c>
    </row>
    <row r="4469" spans="1:19" x14ac:dyDescent="0.25">
      <c r="A4469" t="s">
        <v>30</v>
      </c>
      <c r="B4469" t="s">
        <v>31</v>
      </c>
      <c r="C4469" t="s">
        <v>32</v>
      </c>
      <c r="D4469" t="s">
        <v>584</v>
      </c>
      <c r="E4469" t="s">
        <v>621</v>
      </c>
      <c r="F4469" t="s">
        <v>35</v>
      </c>
      <c r="G4469" t="s">
        <v>35</v>
      </c>
      <c r="H4469" t="s">
        <v>35</v>
      </c>
      <c r="J4469" t="s">
        <v>4945</v>
      </c>
      <c r="K4469" t="s">
        <v>1092</v>
      </c>
      <c r="M4469">
        <v>22.05</v>
      </c>
      <c r="N4469">
        <v>170</v>
      </c>
      <c r="O4469" t="s">
        <v>38</v>
      </c>
      <c r="Q4469" t="s">
        <v>2780</v>
      </c>
      <c r="R4469" t="s">
        <v>610</v>
      </c>
      <c r="S4469" t="s">
        <v>539</v>
      </c>
    </row>
    <row r="4470" spans="1:19" x14ac:dyDescent="0.25">
      <c r="A4470" t="s">
        <v>30</v>
      </c>
      <c r="B4470" t="s">
        <v>31</v>
      </c>
      <c r="C4470" t="s">
        <v>32</v>
      </c>
      <c r="D4470" t="s">
        <v>584</v>
      </c>
      <c r="E4470" t="s">
        <v>621</v>
      </c>
      <c r="F4470" t="s">
        <v>35</v>
      </c>
      <c r="G4470" t="s">
        <v>35</v>
      </c>
      <c r="H4470" t="s">
        <v>35</v>
      </c>
      <c r="J4470" t="s">
        <v>4945</v>
      </c>
      <c r="K4470" t="s">
        <v>1092</v>
      </c>
      <c r="M4470">
        <v>3.69</v>
      </c>
      <c r="N4470">
        <v>296</v>
      </c>
      <c r="O4470" t="s">
        <v>5</v>
      </c>
      <c r="Q4470" t="s">
        <v>4253</v>
      </c>
      <c r="R4470" t="s">
        <v>610</v>
      </c>
      <c r="S4470" t="s">
        <v>539</v>
      </c>
    </row>
    <row r="4471" spans="1:19" x14ac:dyDescent="0.25">
      <c r="A4471" t="s">
        <v>59</v>
      </c>
      <c r="B4471" t="s">
        <v>60</v>
      </c>
      <c r="C4471" t="s">
        <v>32</v>
      </c>
      <c r="D4471" t="s">
        <v>584</v>
      </c>
      <c r="E4471" t="s">
        <v>621</v>
      </c>
      <c r="F4471" t="s">
        <v>35</v>
      </c>
      <c r="G4471" t="s">
        <v>35</v>
      </c>
      <c r="H4471" t="s">
        <v>35</v>
      </c>
      <c r="J4471" t="s">
        <v>4945</v>
      </c>
      <c r="K4471" t="s">
        <v>1092</v>
      </c>
      <c r="M4471">
        <v>11</v>
      </c>
      <c r="N4471">
        <v>140</v>
      </c>
      <c r="O4471" t="s">
        <v>38</v>
      </c>
      <c r="Q4471" t="s">
        <v>609</v>
      </c>
      <c r="R4471" t="s">
        <v>610</v>
      </c>
      <c r="S4471" t="s">
        <v>539</v>
      </c>
    </row>
    <row r="4472" spans="1:19" x14ac:dyDescent="0.25">
      <c r="A4472" t="s">
        <v>30</v>
      </c>
      <c r="B4472" t="s">
        <v>31</v>
      </c>
      <c r="C4472" t="s">
        <v>32</v>
      </c>
      <c r="D4472" t="s">
        <v>584</v>
      </c>
      <c r="E4472" t="s">
        <v>621</v>
      </c>
      <c r="F4472" t="s">
        <v>35</v>
      </c>
      <c r="G4472" t="s">
        <v>35</v>
      </c>
      <c r="H4472" t="s">
        <v>35</v>
      </c>
      <c r="J4472" t="s">
        <v>4945</v>
      </c>
      <c r="K4472" t="s">
        <v>1092</v>
      </c>
      <c r="M4472">
        <v>10.215</v>
      </c>
      <c r="N4472">
        <v>68</v>
      </c>
      <c r="O4472" t="s">
        <v>61</v>
      </c>
      <c r="Q4472" t="s">
        <v>146</v>
      </c>
      <c r="R4472" t="s">
        <v>610</v>
      </c>
      <c r="S4472" t="s">
        <v>539</v>
      </c>
    </row>
    <row r="4473" spans="1:19" x14ac:dyDescent="0.25">
      <c r="A4473" t="s">
        <v>30</v>
      </c>
      <c r="B4473" t="s">
        <v>31</v>
      </c>
      <c r="C4473" t="s">
        <v>32</v>
      </c>
      <c r="D4473" t="s">
        <v>584</v>
      </c>
      <c r="E4473" t="s">
        <v>621</v>
      </c>
      <c r="F4473" t="s">
        <v>35</v>
      </c>
      <c r="G4473" t="s">
        <v>35</v>
      </c>
      <c r="H4473" t="s">
        <v>35</v>
      </c>
      <c r="J4473" t="s">
        <v>4945</v>
      </c>
      <c r="K4473" t="s">
        <v>1092</v>
      </c>
      <c r="M4473">
        <v>11.025</v>
      </c>
      <c r="N4473">
        <v>71</v>
      </c>
      <c r="O4473" t="s">
        <v>61</v>
      </c>
      <c r="Q4473" t="s">
        <v>102</v>
      </c>
      <c r="R4473" t="s">
        <v>610</v>
      </c>
      <c r="S4473" t="s">
        <v>539</v>
      </c>
    </row>
    <row r="4474" spans="1:19" x14ac:dyDescent="0.25">
      <c r="A4474" t="s">
        <v>30</v>
      </c>
      <c r="B4474" t="s">
        <v>31</v>
      </c>
      <c r="C4474" t="s">
        <v>32</v>
      </c>
      <c r="D4474" t="s">
        <v>584</v>
      </c>
      <c r="E4474" t="s">
        <v>621</v>
      </c>
      <c r="F4474" t="s">
        <v>35</v>
      </c>
      <c r="G4474" t="s">
        <v>35</v>
      </c>
      <c r="H4474" t="s">
        <v>35</v>
      </c>
      <c r="J4474" t="s">
        <v>4945</v>
      </c>
      <c r="K4474" t="s">
        <v>1092</v>
      </c>
      <c r="M4474">
        <v>22.05</v>
      </c>
      <c r="N4474">
        <v>198</v>
      </c>
      <c r="O4474" t="s">
        <v>5</v>
      </c>
      <c r="Q4474" t="s">
        <v>4086</v>
      </c>
      <c r="R4474" t="s">
        <v>610</v>
      </c>
      <c r="S4474" t="s">
        <v>539</v>
      </c>
    </row>
    <row r="4475" spans="1:19" x14ac:dyDescent="0.25">
      <c r="A4475" t="s">
        <v>30</v>
      </c>
      <c r="B4475" t="s">
        <v>31</v>
      </c>
      <c r="C4475" t="s">
        <v>32</v>
      </c>
      <c r="D4475" t="s">
        <v>584</v>
      </c>
      <c r="E4475" t="s">
        <v>621</v>
      </c>
      <c r="F4475" t="s">
        <v>35</v>
      </c>
      <c r="G4475" t="s">
        <v>35</v>
      </c>
      <c r="H4475" t="s">
        <v>35</v>
      </c>
      <c r="J4475" t="s">
        <v>4945</v>
      </c>
      <c r="K4475" t="s">
        <v>1092</v>
      </c>
      <c r="M4475">
        <v>11.025</v>
      </c>
      <c r="N4475">
        <v>110</v>
      </c>
      <c r="O4475" t="s">
        <v>106</v>
      </c>
      <c r="Q4475" t="s">
        <v>1494</v>
      </c>
      <c r="R4475" t="s">
        <v>610</v>
      </c>
      <c r="S4475" t="s">
        <v>539</v>
      </c>
    </row>
    <row r="4476" spans="1:19" x14ac:dyDescent="0.25">
      <c r="A4476" t="s">
        <v>59</v>
      </c>
      <c r="B4476" t="s">
        <v>60</v>
      </c>
      <c r="C4476" t="s">
        <v>32</v>
      </c>
      <c r="D4476" t="s">
        <v>584</v>
      </c>
      <c r="E4476" t="s">
        <v>621</v>
      </c>
      <c r="F4476" t="s">
        <v>35</v>
      </c>
      <c r="G4476" t="s">
        <v>35</v>
      </c>
      <c r="H4476" t="s">
        <v>35</v>
      </c>
      <c r="J4476" t="s">
        <v>4946</v>
      </c>
      <c r="K4476" t="s">
        <v>1092</v>
      </c>
      <c r="M4476">
        <v>0.25</v>
      </c>
      <c r="N4476">
        <v>305</v>
      </c>
      <c r="O4476" t="s">
        <v>5</v>
      </c>
      <c r="Q4476" t="s">
        <v>4947</v>
      </c>
      <c r="R4476" t="s">
        <v>4545</v>
      </c>
      <c r="S4476" t="s">
        <v>586</v>
      </c>
    </row>
    <row r="4477" spans="1:19" x14ac:dyDescent="0.25">
      <c r="A4477" t="s">
        <v>59</v>
      </c>
      <c r="B4477" t="s">
        <v>31</v>
      </c>
      <c r="C4477" t="s">
        <v>32</v>
      </c>
      <c r="D4477" t="s">
        <v>584</v>
      </c>
      <c r="E4477" t="s">
        <v>621</v>
      </c>
      <c r="F4477" t="s">
        <v>35</v>
      </c>
      <c r="G4477" t="s">
        <v>35</v>
      </c>
      <c r="H4477" t="s">
        <v>35</v>
      </c>
      <c r="J4477" t="s">
        <v>4948</v>
      </c>
      <c r="K4477" t="s">
        <v>1092</v>
      </c>
      <c r="M4477">
        <v>0.01</v>
      </c>
      <c r="N4477">
        <v>1368</v>
      </c>
      <c r="O4477" t="s">
        <v>575</v>
      </c>
      <c r="Q4477" t="s">
        <v>4949</v>
      </c>
      <c r="R4477" t="s">
        <v>4897</v>
      </c>
      <c r="S4477" t="s">
        <v>4898</v>
      </c>
    </row>
    <row r="4478" spans="1:19" x14ac:dyDescent="0.25">
      <c r="A4478" t="s">
        <v>59</v>
      </c>
      <c r="B4478" t="s">
        <v>31</v>
      </c>
      <c r="C4478" t="s">
        <v>32</v>
      </c>
      <c r="D4478" t="s">
        <v>584</v>
      </c>
      <c r="E4478" t="s">
        <v>621</v>
      </c>
      <c r="F4478" t="s">
        <v>35</v>
      </c>
      <c r="G4478" t="s">
        <v>35</v>
      </c>
      <c r="H4478" t="s">
        <v>35</v>
      </c>
      <c r="J4478" t="s">
        <v>4950</v>
      </c>
      <c r="K4478" t="s">
        <v>1092</v>
      </c>
      <c r="M4478">
        <v>0.13500000000000001</v>
      </c>
      <c r="N4478">
        <v>1590</v>
      </c>
      <c r="O4478" t="s">
        <v>575</v>
      </c>
      <c r="Q4478" t="s">
        <v>4951</v>
      </c>
      <c r="R4478" t="s">
        <v>4640</v>
      </c>
      <c r="S4478" t="s">
        <v>4641</v>
      </c>
    </row>
    <row r="4479" spans="1:19" x14ac:dyDescent="0.25">
      <c r="A4479" t="s">
        <v>59</v>
      </c>
      <c r="B4479" t="s">
        <v>60</v>
      </c>
      <c r="C4479" t="s">
        <v>32</v>
      </c>
      <c r="D4479" t="s">
        <v>584</v>
      </c>
      <c r="E4479" t="s">
        <v>621</v>
      </c>
      <c r="F4479" t="s">
        <v>35</v>
      </c>
      <c r="G4479" t="s">
        <v>35</v>
      </c>
      <c r="H4479" t="s">
        <v>35</v>
      </c>
      <c r="J4479" t="s">
        <v>4952</v>
      </c>
      <c r="K4479" t="s">
        <v>1092</v>
      </c>
      <c r="M4479">
        <v>0.4</v>
      </c>
      <c r="N4479">
        <v>322</v>
      </c>
      <c r="O4479" t="s">
        <v>5</v>
      </c>
      <c r="Q4479" t="s">
        <v>4859</v>
      </c>
      <c r="R4479" t="s">
        <v>4557</v>
      </c>
      <c r="S4479" t="s">
        <v>4558</v>
      </c>
    </row>
    <row r="4480" spans="1:19" x14ac:dyDescent="0.25">
      <c r="A4480" t="s">
        <v>30</v>
      </c>
      <c r="B4480" t="s">
        <v>31</v>
      </c>
      <c r="C4480" t="s">
        <v>32</v>
      </c>
      <c r="D4480" t="s">
        <v>584</v>
      </c>
      <c r="E4480" t="s">
        <v>621</v>
      </c>
      <c r="F4480" t="s">
        <v>35</v>
      </c>
      <c r="G4480" t="s">
        <v>35</v>
      </c>
      <c r="H4480" t="s">
        <v>35</v>
      </c>
      <c r="J4480" t="s">
        <v>4952</v>
      </c>
      <c r="K4480" t="s">
        <v>1092</v>
      </c>
      <c r="M4480">
        <v>0.09</v>
      </c>
      <c r="N4480">
        <v>1154</v>
      </c>
      <c r="O4480" t="s">
        <v>575</v>
      </c>
      <c r="Q4480" t="s">
        <v>4883</v>
      </c>
      <c r="R4480" t="s">
        <v>4557</v>
      </c>
      <c r="S4480" t="s">
        <v>4558</v>
      </c>
    </row>
    <row r="4481" spans="1:19" x14ac:dyDescent="0.25">
      <c r="A4481" t="s">
        <v>30</v>
      </c>
      <c r="B4481" t="s">
        <v>31</v>
      </c>
      <c r="C4481" t="s">
        <v>32</v>
      </c>
      <c r="D4481" t="s">
        <v>584</v>
      </c>
      <c r="E4481" t="s">
        <v>621</v>
      </c>
      <c r="F4481" t="s">
        <v>35</v>
      </c>
      <c r="G4481" t="s">
        <v>35</v>
      </c>
      <c r="H4481" t="s">
        <v>35</v>
      </c>
      <c r="J4481" t="s">
        <v>4953</v>
      </c>
      <c r="K4481" t="s">
        <v>1092</v>
      </c>
      <c r="M4481">
        <v>5.8949999999999996</v>
      </c>
      <c r="N4481">
        <v>133</v>
      </c>
      <c r="O4481" t="s">
        <v>38</v>
      </c>
      <c r="Q4481" t="s">
        <v>68</v>
      </c>
      <c r="R4481" t="s">
        <v>610</v>
      </c>
      <c r="S4481" t="s">
        <v>539</v>
      </c>
    </row>
    <row r="4482" spans="1:19" x14ac:dyDescent="0.25">
      <c r="A4482" t="s">
        <v>59</v>
      </c>
      <c r="B4482" t="s">
        <v>60</v>
      </c>
      <c r="C4482" t="s">
        <v>32</v>
      </c>
      <c r="D4482" t="s">
        <v>584</v>
      </c>
      <c r="E4482" t="s">
        <v>621</v>
      </c>
      <c r="F4482" t="s">
        <v>35</v>
      </c>
      <c r="G4482" t="s">
        <v>35</v>
      </c>
      <c r="H4482" t="s">
        <v>35</v>
      </c>
      <c r="J4482" t="s">
        <v>4954</v>
      </c>
      <c r="K4482" t="s">
        <v>1092</v>
      </c>
      <c r="M4482">
        <v>0.25</v>
      </c>
      <c r="N4482">
        <v>855</v>
      </c>
      <c r="O4482" t="s">
        <v>575</v>
      </c>
      <c r="Q4482" t="s">
        <v>4957</v>
      </c>
      <c r="R4482" t="s">
        <v>4545</v>
      </c>
      <c r="S4482" t="s">
        <v>586</v>
      </c>
    </row>
    <row r="4483" spans="1:19" x14ac:dyDescent="0.25">
      <c r="A4483" t="s">
        <v>59</v>
      </c>
      <c r="B4483" t="s">
        <v>60</v>
      </c>
      <c r="C4483" t="s">
        <v>32</v>
      </c>
      <c r="D4483" t="s">
        <v>584</v>
      </c>
      <c r="E4483" t="s">
        <v>621</v>
      </c>
      <c r="F4483" t="s">
        <v>35</v>
      </c>
      <c r="G4483" t="s">
        <v>35</v>
      </c>
      <c r="H4483" t="s">
        <v>35</v>
      </c>
      <c r="J4483" t="s">
        <v>4954</v>
      </c>
      <c r="K4483" t="s">
        <v>1092</v>
      </c>
      <c r="M4483">
        <v>0.246</v>
      </c>
      <c r="N4483">
        <v>878</v>
      </c>
      <c r="O4483" t="s">
        <v>575</v>
      </c>
      <c r="Q4483" t="s">
        <v>3531</v>
      </c>
      <c r="R4483" t="s">
        <v>4545</v>
      </c>
      <c r="S4483" t="s">
        <v>586</v>
      </c>
    </row>
    <row r="4484" spans="1:19" x14ac:dyDescent="0.25">
      <c r="A4484" t="s">
        <v>59</v>
      </c>
      <c r="B4484" t="s">
        <v>60</v>
      </c>
      <c r="C4484" t="s">
        <v>32</v>
      </c>
      <c r="D4484" t="s">
        <v>584</v>
      </c>
      <c r="E4484" t="s">
        <v>621</v>
      </c>
      <c r="F4484" t="s">
        <v>35</v>
      </c>
      <c r="G4484" t="s">
        <v>35</v>
      </c>
      <c r="H4484" t="s">
        <v>35</v>
      </c>
      <c r="J4484" t="s">
        <v>4954</v>
      </c>
      <c r="K4484" t="s">
        <v>1092</v>
      </c>
      <c r="M4484">
        <v>0.25</v>
      </c>
      <c r="N4484">
        <v>811</v>
      </c>
      <c r="O4484" t="s">
        <v>575</v>
      </c>
      <c r="Q4484" t="s">
        <v>4955</v>
      </c>
      <c r="R4484" t="s">
        <v>4545</v>
      </c>
      <c r="S4484" t="s">
        <v>586</v>
      </c>
    </row>
    <row r="4485" spans="1:19" x14ac:dyDescent="0.25">
      <c r="A4485" t="s">
        <v>59</v>
      </c>
      <c r="B4485" t="s">
        <v>60</v>
      </c>
      <c r="C4485" t="s">
        <v>32</v>
      </c>
      <c r="D4485" t="s">
        <v>584</v>
      </c>
      <c r="E4485" t="s">
        <v>621</v>
      </c>
      <c r="F4485" t="s">
        <v>35</v>
      </c>
      <c r="G4485" t="s">
        <v>35</v>
      </c>
      <c r="H4485" t="s">
        <v>35</v>
      </c>
      <c r="J4485" t="s">
        <v>4954</v>
      </c>
      <c r="K4485" t="s">
        <v>1092</v>
      </c>
      <c r="M4485">
        <v>0.25</v>
      </c>
      <c r="N4485">
        <v>782</v>
      </c>
      <c r="O4485" t="s">
        <v>575</v>
      </c>
      <c r="Q4485" t="s">
        <v>4956</v>
      </c>
      <c r="R4485" t="s">
        <v>4545</v>
      </c>
      <c r="S4485" t="s">
        <v>586</v>
      </c>
    </row>
    <row r="4486" spans="1:19" x14ac:dyDescent="0.25">
      <c r="A4486" t="s">
        <v>44</v>
      </c>
      <c r="B4486" t="s">
        <v>51</v>
      </c>
      <c r="C4486" t="s">
        <v>32</v>
      </c>
      <c r="D4486" t="s">
        <v>584</v>
      </c>
      <c r="E4486" t="s">
        <v>621</v>
      </c>
      <c r="F4486" t="s">
        <v>35</v>
      </c>
      <c r="G4486" t="s">
        <v>35</v>
      </c>
      <c r="H4486" t="s">
        <v>35</v>
      </c>
      <c r="J4486" t="s">
        <v>4958</v>
      </c>
      <c r="K4486" t="s">
        <v>1092</v>
      </c>
      <c r="M4486">
        <v>0.25</v>
      </c>
      <c r="N4486">
        <v>57</v>
      </c>
      <c r="O4486" t="s">
        <v>52</v>
      </c>
      <c r="Q4486" t="s">
        <v>665</v>
      </c>
      <c r="R4486" t="s">
        <v>4545</v>
      </c>
      <c r="S4486" t="s">
        <v>586</v>
      </c>
    </row>
    <row r="4487" spans="1:19" x14ac:dyDescent="0.25">
      <c r="A4487" t="s">
        <v>30</v>
      </c>
      <c r="B4487" t="s">
        <v>31</v>
      </c>
      <c r="C4487" t="s">
        <v>32</v>
      </c>
      <c r="D4487" t="s">
        <v>584</v>
      </c>
      <c r="E4487" t="s">
        <v>621</v>
      </c>
      <c r="F4487" t="s">
        <v>35</v>
      </c>
      <c r="G4487" t="s">
        <v>35</v>
      </c>
      <c r="H4487" t="s">
        <v>35</v>
      </c>
      <c r="J4487" t="s">
        <v>4959</v>
      </c>
      <c r="K4487" t="s">
        <v>1092</v>
      </c>
      <c r="M4487">
        <v>9.3149999999999995</v>
      </c>
      <c r="N4487">
        <v>71</v>
      </c>
      <c r="O4487" t="s">
        <v>61</v>
      </c>
      <c r="Q4487" t="s">
        <v>102</v>
      </c>
      <c r="R4487" t="s">
        <v>610</v>
      </c>
      <c r="S4487" t="s">
        <v>539</v>
      </c>
    </row>
    <row r="4488" spans="1:19" x14ac:dyDescent="0.25">
      <c r="A4488" t="s">
        <v>30</v>
      </c>
      <c r="B4488" t="s">
        <v>31</v>
      </c>
      <c r="C4488" t="s">
        <v>32</v>
      </c>
      <c r="D4488" t="s">
        <v>584</v>
      </c>
      <c r="E4488" t="s">
        <v>621</v>
      </c>
      <c r="F4488" t="s">
        <v>35</v>
      </c>
      <c r="G4488" t="s">
        <v>35</v>
      </c>
      <c r="H4488" t="s">
        <v>35</v>
      </c>
      <c r="J4488" t="s">
        <v>4960</v>
      </c>
      <c r="K4488" t="s">
        <v>1092</v>
      </c>
      <c r="M4488">
        <v>10.755000000000001</v>
      </c>
      <c r="N4488">
        <v>49</v>
      </c>
      <c r="O4488" t="s">
        <v>52</v>
      </c>
      <c r="Q4488" t="s">
        <v>219</v>
      </c>
      <c r="R4488" t="s">
        <v>610</v>
      </c>
      <c r="S4488" t="s">
        <v>539</v>
      </c>
    </row>
    <row r="4489" spans="1:19" x14ac:dyDescent="0.25">
      <c r="A4489" t="s">
        <v>30</v>
      </c>
      <c r="B4489" t="s">
        <v>31</v>
      </c>
      <c r="C4489" t="s">
        <v>32</v>
      </c>
      <c r="D4489" t="s">
        <v>584</v>
      </c>
      <c r="E4489" t="s">
        <v>621</v>
      </c>
      <c r="F4489" t="s">
        <v>35</v>
      </c>
      <c r="G4489" t="s">
        <v>35</v>
      </c>
      <c r="H4489" t="s">
        <v>35</v>
      </c>
      <c r="J4489" t="s">
        <v>4961</v>
      </c>
      <c r="K4489" t="s">
        <v>1092</v>
      </c>
      <c r="M4489">
        <v>2.34</v>
      </c>
      <c r="N4489">
        <v>133</v>
      </c>
      <c r="O4489" t="s">
        <v>38</v>
      </c>
      <c r="Q4489" t="s">
        <v>68</v>
      </c>
      <c r="R4489" t="s">
        <v>610</v>
      </c>
      <c r="S4489" t="s">
        <v>539</v>
      </c>
    </row>
    <row r="4490" spans="1:19" x14ac:dyDescent="0.25">
      <c r="A4490" t="s">
        <v>44</v>
      </c>
      <c r="B4490" t="s">
        <v>3</v>
      </c>
      <c r="C4490" t="s">
        <v>32</v>
      </c>
      <c r="D4490" t="s">
        <v>584</v>
      </c>
      <c r="E4490" t="s">
        <v>621</v>
      </c>
      <c r="F4490" t="s">
        <v>35</v>
      </c>
      <c r="G4490" t="s">
        <v>35</v>
      </c>
      <c r="H4490" t="s">
        <v>35</v>
      </c>
      <c r="J4490" t="s">
        <v>4961</v>
      </c>
      <c r="K4490" t="s">
        <v>1092</v>
      </c>
      <c r="M4490">
        <v>0.05</v>
      </c>
      <c r="N4490">
        <v>460</v>
      </c>
      <c r="O4490" t="s">
        <v>294</v>
      </c>
      <c r="Q4490" t="s">
        <v>4042</v>
      </c>
      <c r="R4490" t="s">
        <v>4821</v>
      </c>
      <c r="S4490" t="s">
        <v>4822</v>
      </c>
    </row>
    <row r="4491" spans="1:19" x14ac:dyDescent="0.25">
      <c r="A4491" t="s">
        <v>59</v>
      </c>
      <c r="B4491" t="s">
        <v>31</v>
      </c>
      <c r="C4491" t="s">
        <v>32</v>
      </c>
      <c r="D4491" t="s">
        <v>584</v>
      </c>
      <c r="E4491" t="s">
        <v>621</v>
      </c>
      <c r="F4491" t="s">
        <v>35</v>
      </c>
      <c r="G4491" t="s">
        <v>35</v>
      </c>
      <c r="H4491" t="s">
        <v>35</v>
      </c>
      <c r="J4491" t="s">
        <v>4962</v>
      </c>
      <c r="K4491" t="s">
        <v>1092</v>
      </c>
      <c r="M4491">
        <v>8.82</v>
      </c>
      <c r="N4491">
        <v>171</v>
      </c>
      <c r="O4491" t="s">
        <v>38</v>
      </c>
      <c r="Q4491" t="s">
        <v>3930</v>
      </c>
      <c r="R4491" t="s">
        <v>610</v>
      </c>
      <c r="S4491" t="s">
        <v>539</v>
      </c>
    </row>
    <row r="4492" spans="1:19" x14ac:dyDescent="0.25">
      <c r="A4492" t="s">
        <v>30</v>
      </c>
      <c r="B4492" t="s">
        <v>31</v>
      </c>
      <c r="C4492" t="s">
        <v>32</v>
      </c>
      <c r="D4492" t="s">
        <v>584</v>
      </c>
      <c r="E4492" t="s">
        <v>621</v>
      </c>
      <c r="F4492" t="s">
        <v>35</v>
      </c>
      <c r="G4492" t="s">
        <v>35</v>
      </c>
      <c r="H4492" t="s">
        <v>35</v>
      </c>
      <c r="J4492" t="s">
        <v>4549</v>
      </c>
      <c r="K4492" t="s">
        <v>1092</v>
      </c>
      <c r="M4492">
        <v>11.025</v>
      </c>
      <c r="N4492">
        <v>49</v>
      </c>
      <c r="O4492" t="s">
        <v>52</v>
      </c>
      <c r="Q4492" t="s">
        <v>219</v>
      </c>
      <c r="R4492" t="s">
        <v>610</v>
      </c>
      <c r="S4492" t="s">
        <v>539</v>
      </c>
    </row>
    <row r="4493" spans="1:19" x14ac:dyDescent="0.25">
      <c r="A4493" t="s">
        <v>59</v>
      </c>
      <c r="B4493" t="s">
        <v>60</v>
      </c>
      <c r="C4493" t="s">
        <v>32</v>
      </c>
      <c r="D4493" t="s">
        <v>584</v>
      </c>
      <c r="E4493" t="s">
        <v>621</v>
      </c>
      <c r="F4493" t="s">
        <v>35</v>
      </c>
      <c r="G4493" t="s">
        <v>35</v>
      </c>
      <c r="H4493" t="s">
        <v>35</v>
      </c>
      <c r="J4493" t="s">
        <v>4963</v>
      </c>
      <c r="K4493" t="s">
        <v>1092</v>
      </c>
      <c r="M4493">
        <v>0.25</v>
      </c>
      <c r="N4493">
        <v>57</v>
      </c>
      <c r="O4493" t="s">
        <v>52</v>
      </c>
      <c r="Q4493" t="s">
        <v>665</v>
      </c>
      <c r="R4493" t="s">
        <v>4545</v>
      </c>
      <c r="S4493" t="s">
        <v>586</v>
      </c>
    </row>
    <row r="4494" spans="1:19" x14ac:dyDescent="0.25">
      <c r="A4494" t="s">
        <v>59</v>
      </c>
      <c r="B4494" t="s">
        <v>60</v>
      </c>
      <c r="C4494" t="s">
        <v>32</v>
      </c>
      <c r="D4494" t="s">
        <v>584</v>
      </c>
      <c r="E4494" t="s">
        <v>621</v>
      </c>
      <c r="F4494" t="s">
        <v>35</v>
      </c>
      <c r="G4494" t="s">
        <v>35</v>
      </c>
      <c r="H4494" t="s">
        <v>35</v>
      </c>
      <c r="J4494" t="s">
        <v>4964</v>
      </c>
      <c r="K4494" t="s">
        <v>1092</v>
      </c>
      <c r="M4494">
        <v>0.15</v>
      </c>
      <c r="N4494">
        <v>667</v>
      </c>
      <c r="O4494" t="s">
        <v>575</v>
      </c>
      <c r="Q4494" t="s">
        <v>1518</v>
      </c>
      <c r="R4494" t="s">
        <v>4750</v>
      </c>
      <c r="S4494" t="s">
        <v>625</v>
      </c>
    </row>
    <row r="4495" spans="1:19" x14ac:dyDescent="0.25">
      <c r="A4495" t="s">
        <v>59</v>
      </c>
      <c r="B4495" t="s">
        <v>31</v>
      </c>
      <c r="C4495" t="s">
        <v>32</v>
      </c>
      <c r="D4495" t="s">
        <v>584</v>
      </c>
      <c r="E4495" t="s">
        <v>621</v>
      </c>
      <c r="F4495" t="s">
        <v>35</v>
      </c>
      <c r="G4495" t="s">
        <v>35</v>
      </c>
      <c r="H4495" t="s">
        <v>35</v>
      </c>
      <c r="J4495" t="s">
        <v>4965</v>
      </c>
      <c r="K4495" t="s">
        <v>1092</v>
      </c>
      <c r="M4495">
        <v>0.13500000000000001</v>
      </c>
      <c r="N4495">
        <v>171</v>
      </c>
      <c r="O4495" t="s">
        <v>38</v>
      </c>
      <c r="Q4495" t="s">
        <v>3930</v>
      </c>
      <c r="R4495" t="s">
        <v>610</v>
      </c>
      <c r="S4495" t="s">
        <v>539</v>
      </c>
    </row>
    <row r="4496" spans="1:19" x14ac:dyDescent="0.25">
      <c r="A4496" t="s">
        <v>59</v>
      </c>
      <c r="B4496" t="s">
        <v>60</v>
      </c>
      <c r="C4496" t="s">
        <v>32</v>
      </c>
      <c r="D4496" t="s">
        <v>584</v>
      </c>
      <c r="E4496" t="s">
        <v>621</v>
      </c>
      <c r="F4496" t="s">
        <v>35</v>
      </c>
      <c r="G4496" t="s">
        <v>35</v>
      </c>
      <c r="H4496" t="s">
        <v>35</v>
      </c>
      <c r="J4496" t="s">
        <v>4965</v>
      </c>
      <c r="K4496" t="s">
        <v>1092</v>
      </c>
      <c r="M4496">
        <v>0.15</v>
      </c>
      <c r="N4496">
        <v>165</v>
      </c>
      <c r="O4496" t="s">
        <v>38</v>
      </c>
      <c r="Q4496" t="s">
        <v>1548</v>
      </c>
      <c r="R4496" t="s">
        <v>4541</v>
      </c>
      <c r="S4496" t="s">
        <v>4542</v>
      </c>
    </row>
    <row r="4497" spans="1:19" x14ac:dyDescent="0.25">
      <c r="A4497" t="s">
        <v>59</v>
      </c>
      <c r="B4497" t="s">
        <v>60</v>
      </c>
      <c r="C4497" t="s">
        <v>32</v>
      </c>
      <c r="D4497" t="s">
        <v>584</v>
      </c>
      <c r="E4497" t="s">
        <v>621</v>
      </c>
      <c r="F4497" t="s">
        <v>35</v>
      </c>
      <c r="G4497" t="s">
        <v>35</v>
      </c>
      <c r="H4497" t="s">
        <v>35</v>
      </c>
      <c r="J4497" t="s">
        <v>4966</v>
      </c>
      <c r="K4497" t="s">
        <v>1092</v>
      </c>
      <c r="M4497">
        <v>1.75</v>
      </c>
      <c r="N4497">
        <v>215</v>
      </c>
      <c r="O4497" t="s">
        <v>5</v>
      </c>
      <c r="Q4497" t="s">
        <v>3122</v>
      </c>
      <c r="R4497" t="s">
        <v>4632</v>
      </c>
      <c r="S4497" t="s">
        <v>4633</v>
      </c>
    </row>
    <row r="4498" spans="1:19" x14ac:dyDescent="0.25">
      <c r="A4498" t="s">
        <v>30</v>
      </c>
      <c r="B4498" t="s">
        <v>31</v>
      </c>
      <c r="C4498" t="s">
        <v>32</v>
      </c>
      <c r="D4498" t="s">
        <v>584</v>
      </c>
      <c r="E4498" t="s">
        <v>621</v>
      </c>
      <c r="F4498" t="s">
        <v>35</v>
      </c>
      <c r="G4498" t="s">
        <v>35</v>
      </c>
      <c r="H4498" t="s">
        <v>35</v>
      </c>
      <c r="J4498" t="s">
        <v>4967</v>
      </c>
      <c r="K4498" t="s">
        <v>1092</v>
      </c>
      <c r="M4498">
        <v>10.574999999999999</v>
      </c>
      <c r="N4498">
        <v>94</v>
      </c>
      <c r="O4498" t="s">
        <v>106</v>
      </c>
      <c r="Q4498" t="s">
        <v>394</v>
      </c>
      <c r="R4498" t="s">
        <v>610</v>
      </c>
      <c r="S4498" t="s">
        <v>539</v>
      </c>
    </row>
    <row r="4499" spans="1:19" x14ac:dyDescent="0.25">
      <c r="A4499" t="s">
        <v>59</v>
      </c>
      <c r="B4499" t="s">
        <v>60</v>
      </c>
      <c r="C4499" t="s">
        <v>32</v>
      </c>
      <c r="D4499" t="s">
        <v>584</v>
      </c>
      <c r="E4499" t="s">
        <v>621</v>
      </c>
      <c r="F4499" t="s">
        <v>35</v>
      </c>
      <c r="G4499" t="s">
        <v>35</v>
      </c>
      <c r="H4499" t="s">
        <v>35</v>
      </c>
      <c r="J4499" t="s">
        <v>4344</v>
      </c>
      <c r="K4499" t="s">
        <v>1092</v>
      </c>
      <c r="M4499">
        <v>0.5</v>
      </c>
      <c r="N4499">
        <v>291</v>
      </c>
      <c r="O4499" t="s">
        <v>5</v>
      </c>
      <c r="Q4499" t="s">
        <v>1249</v>
      </c>
      <c r="R4499" t="s">
        <v>4571</v>
      </c>
      <c r="S4499" t="s">
        <v>628</v>
      </c>
    </row>
    <row r="4500" spans="1:19" x14ac:dyDescent="0.25">
      <c r="A4500" t="s">
        <v>59</v>
      </c>
      <c r="B4500" t="s">
        <v>60</v>
      </c>
      <c r="C4500" t="s">
        <v>32</v>
      </c>
      <c r="D4500" t="s">
        <v>584</v>
      </c>
      <c r="E4500" t="s">
        <v>621</v>
      </c>
      <c r="F4500" t="s">
        <v>35</v>
      </c>
      <c r="G4500" t="s">
        <v>35</v>
      </c>
      <c r="H4500" t="s">
        <v>35</v>
      </c>
      <c r="J4500" t="s">
        <v>4344</v>
      </c>
      <c r="K4500" t="s">
        <v>1092</v>
      </c>
      <c r="M4500">
        <v>0.75</v>
      </c>
      <c r="N4500">
        <v>521</v>
      </c>
      <c r="O4500" t="s">
        <v>294</v>
      </c>
      <c r="Q4500" t="s">
        <v>1146</v>
      </c>
      <c r="R4500" t="s">
        <v>4571</v>
      </c>
      <c r="S4500" t="s">
        <v>628</v>
      </c>
    </row>
    <row r="4501" spans="1:19" x14ac:dyDescent="0.25">
      <c r="A4501" t="s">
        <v>59</v>
      </c>
      <c r="B4501" t="s">
        <v>60</v>
      </c>
      <c r="C4501" t="s">
        <v>32</v>
      </c>
      <c r="D4501" t="s">
        <v>584</v>
      </c>
      <c r="E4501" t="s">
        <v>621</v>
      </c>
      <c r="F4501" t="s">
        <v>35</v>
      </c>
      <c r="G4501" t="s">
        <v>35</v>
      </c>
      <c r="H4501" t="s">
        <v>35</v>
      </c>
      <c r="J4501" t="s">
        <v>4344</v>
      </c>
      <c r="K4501" t="s">
        <v>1092</v>
      </c>
      <c r="M4501">
        <v>0.8</v>
      </c>
      <c r="N4501">
        <v>159</v>
      </c>
      <c r="O4501" t="s">
        <v>38</v>
      </c>
      <c r="Q4501" t="s">
        <v>40</v>
      </c>
      <c r="R4501" t="s">
        <v>4571</v>
      </c>
      <c r="S4501" t="s">
        <v>628</v>
      </c>
    </row>
    <row r="4502" spans="1:19" x14ac:dyDescent="0.25">
      <c r="A4502" t="s">
        <v>59</v>
      </c>
      <c r="B4502" t="s">
        <v>60</v>
      </c>
      <c r="C4502" t="s">
        <v>32</v>
      </c>
      <c r="D4502" t="s">
        <v>584</v>
      </c>
      <c r="E4502" t="s">
        <v>621</v>
      </c>
      <c r="F4502" t="s">
        <v>35</v>
      </c>
      <c r="G4502" t="s">
        <v>35</v>
      </c>
      <c r="H4502" t="s">
        <v>35</v>
      </c>
      <c r="J4502" t="s">
        <v>4344</v>
      </c>
      <c r="K4502" t="s">
        <v>1092</v>
      </c>
      <c r="M4502">
        <v>3</v>
      </c>
      <c r="N4502">
        <v>141</v>
      </c>
      <c r="O4502" t="s">
        <v>38</v>
      </c>
      <c r="Q4502" t="s">
        <v>1822</v>
      </c>
      <c r="R4502" t="s">
        <v>4571</v>
      </c>
      <c r="S4502" t="s">
        <v>628</v>
      </c>
    </row>
    <row r="4503" spans="1:19" x14ac:dyDescent="0.25">
      <c r="A4503" t="s">
        <v>30</v>
      </c>
      <c r="B4503" t="s">
        <v>31</v>
      </c>
      <c r="C4503" t="s">
        <v>32</v>
      </c>
      <c r="D4503" t="s">
        <v>584</v>
      </c>
      <c r="F4503" t="s">
        <v>35</v>
      </c>
      <c r="G4503" t="s">
        <v>35</v>
      </c>
      <c r="H4503" t="s">
        <v>35</v>
      </c>
      <c r="J4503" t="s">
        <v>4968</v>
      </c>
      <c r="K4503" t="s">
        <v>1092</v>
      </c>
      <c r="M4503">
        <v>8.4600000000000009</v>
      </c>
      <c r="N4503">
        <v>198</v>
      </c>
      <c r="O4503" t="s">
        <v>5</v>
      </c>
      <c r="Q4503" t="s">
        <v>4086</v>
      </c>
      <c r="R4503" t="s">
        <v>610</v>
      </c>
      <c r="S4503" t="s">
        <v>539</v>
      </c>
    </row>
    <row r="4504" spans="1:19" x14ac:dyDescent="0.25">
      <c r="A4504" t="s">
        <v>59</v>
      </c>
      <c r="B4504" t="s">
        <v>60</v>
      </c>
      <c r="C4504" t="s">
        <v>32</v>
      </c>
      <c r="D4504" t="s">
        <v>584</v>
      </c>
      <c r="F4504" t="s">
        <v>35</v>
      </c>
      <c r="G4504" t="s">
        <v>35</v>
      </c>
      <c r="H4504" t="s">
        <v>35</v>
      </c>
      <c r="J4504" t="s">
        <v>4969</v>
      </c>
      <c r="K4504" t="s">
        <v>1092</v>
      </c>
      <c r="M4504">
        <v>0.25</v>
      </c>
      <c r="N4504">
        <v>1357</v>
      </c>
      <c r="O4504" t="s">
        <v>575</v>
      </c>
      <c r="Q4504" t="s">
        <v>4295</v>
      </c>
      <c r="R4504" t="s">
        <v>4752</v>
      </c>
      <c r="S4504" t="s">
        <v>4753</v>
      </c>
    </row>
    <row r="4505" spans="1:19" x14ac:dyDescent="0.25">
      <c r="A4505" t="s">
        <v>59</v>
      </c>
      <c r="B4505" t="s">
        <v>31</v>
      </c>
      <c r="C4505" t="s">
        <v>32</v>
      </c>
      <c r="D4505" t="s">
        <v>584</v>
      </c>
      <c r="F4505" t="s">
        <v>35</v>
      </c>
      <c r="G4505" t="s">
        <v>35</v>
      </c>
      <c r="H4505" t="s">
        <v>35</v>
      </c>
      <c r="J4505" t="s">
        <v>4970</v>
      </c>
      <c r="K4505" t="s">
        <v>1092</v>
      </c>
      <c r="M4505">
        <v>4.9050000000000002</v>
      </c>
      <c r="N4505">
        <v>53</v>
      </c>
      <c r="O4505" t="s">
        <v>52</v>
      </c>
      <c r="Q4505" t="s">
        <v>332</v>
      </c>
      <c r="R4505" t="s">
        <v>4647</v>
      </c>
      <c r="S4505" t="s">
        <v>590</v>
      </c>
    </row>
    <row r="4506" spans="1:19" x14ac:dyDescent="0.25">
      <c r="A4506" t="s">
        <v>59</v>
      </c>
      <c r="B4506" t="s">
        <v>60</v>
      </c>
      <c r="C4506" t="s">
        <v>32</v>
      </c>
      <c r="D4506" t="s">
        <v>584</v>
      </c>
      <c r="F4506" t="s">
        <v>35</v>
      </c>
      <c r="G4506" t="s">
        <v>35</v>
      </c>
      <c r="H4506" t="s">
        <v>35</v>
      </c>
      <c r="J4506" t="s">
        <v>4970</v>
      </c>
      <c r="K4506" t="s">
        <v>1092</v>
      </c>
      <c r="M4506">
        <v>0.85</v>
      </c>
      <c r="N4506">
        <v>27</v>
      </c>
      <c r="O4506" t="s">
        <v>46</v>
      </c>
      <c r="Q4506" t="s">
        <v>1011</v>
      </c>
      <c r="R4506" t="s">
        <v>4867</v>
      </c>
      <c r="S4506" t="s">
        <v>4868</v>
      </c>
    </row>
    <row r="4507" spans="1:19" x14ac:dyDescent="0.25">
      <c r="A4507" t="s">
        <v>59</v>
      </c>
      <c r="B4507" t="s">
        <v>60</v>
      </c>
      <c r="C4507" t="s">
        <v>32</v>
      </c>
      <c r="D4507" t="s">
        <v>584</v>
      </c>
      <c r="F4507" t="s">
        <v>35</v>
      </c>
      <c r="G4507" t="s">
        <v>35</v>
      </c>
      <c r="H4507" t="s">
        <v>35</v>
      </c>
      <c r="J4507" t="s">
        <v>4972</v>
      </c>
      <c r="K4507" t="s">
        <v>1092</v>
      </c>
      <c r="M4507">
        <v>2</v>
      </c>
      <c r="N4507">
        <v>133</v>
      </c>
      <c r="O4507" t="s">
        <v>38</v>
      </c>
      <c r="Q4507" t="s">
        <v>68</v>
      </c>
      <c r="R4507" t="s">
        <v>4541</v>
      </c>
      <c r="S4507" t="s">
        <v>4542</v>
      </c>
    </row>
    <row r="4508" spans="1:19" x14ac:dyDescent="0.25">
      <c r="A4508" t="s">
        <v>30</v>
      </c>
      <c r="B4508" t="s">
        <v>31</v>
      </c>
      <c r="C4508" t="s">
        <v>32</v>
      </c>
      <c r="D4508" t="s">
        <v>584</v>
      </c>
      <c r="F4508" t="s">
        <v>35</v>
      </c>
      <c r="G4508" t="s">
        <v>35</v>
      </c>
      <c r="H4508" t="s">
        <v>35</v>
      </c>
      <c r="J4508" t="s">
        <v>4972</v>
      </c>
      <c r="K4508" t="s">
        <v>1092</v>
      </c>
      <c r="M4508">
        <v>8.7750000000000004</v>
      </c>
      <c r="N4508">
        <v>133</v>
      </c>
      <c r="O4508" t="s">
        <v>38</v>
      </c>
      <c r="Q4508" t="s">
        <v>68</v>
      </c>
      <c r="R4508" t="s">
        <v>610</v>
      </c>
      <c r="S4508" t="s">
        <v>539</v>
      </c>
    </row>
    <row r="4509" spans="1:19" x14ac:dyDescent="0.25">
      <c r="A4509" t="s">
        <v>44</v>
      </c>
      <c r="B4509" t="s">
        <v>3</v>
      </c>
      <c r="C4509" t="s">
        <v>32</v>
      </c>
      <c r="D4509" t="s">
        <v>584</v>
      </c>
      <c r="F4509" t="s">
        <v>35</v>
      </c>
      <c r="G4509" t="s">
        <v>35</v>
      </c>
      <c r="H4509" t="s">
        <v>35</v>
      </c>
      <c r="J4509" t="s">
        <v>4973</v>
      </c>
      <c r="K4509" t="s">
        <v>1092</v>
      </c>
      <c r="M4509">
        <v>0.15</v>
      </c>
      <c r="N4509">
        <v>555</v>
      </c>
      <c r="O4509" t="s">
        <v>575</v>
      </c>
      <c r="Q4509" t="s">
        <v>4974</v>
      </c>
      <c r="R4509" t="s">
        <v>4557</v>
      </c>
      <c r="S4509" t="s">
        <v>4558</v>
      </c>
    </row>
    <row r="4510" spans="1:19" x14ac:dyDescent="0.25">
      <c r="A4510" t="s">
        <v>59</v>
      </c>
      <c r="B4510" t="s">
        <v>60</v>
      </c>
      <c r="C4510" t="s">
        <v>32</v>
      </c>
      <c r="D4510" t="s">
        <v>584</v>
      </c>
      <c r="F4510" t="s">
        <v>35</v>
      </c>
      <c r="G4510" t="s">
        <v>35</v>
      </c>
      <c r="H4510" t="s">
        <v>35</v>
      </c>
      <c r="J4510" t="s">
        <v>4975</v>
      </c>
      <c r="K4510" t="s">
        <v>1092</v>
      </c>
      <c r="M4510">
        <v>1.86</v>
      </c>
      <c r="N4510">
        <v>2673</v>
      </c>
      <c r="O4510" t="s">
        <v>575</v>
      </c>
      <c r="Q4510" t="s">
        <v>1486</v>
      </c>
      <c r="R4510" t="s">
        <v>1487</v>
      </c>
      <c r="S4510" t="s">
        <v>1488</v>
      </c>
    </row>
    <row r="4511" spans="1:19" x14ac:dyDescent="0.25">
      <c r="A4511" t="s">
        <v>30</v>
      </c>
      <c r="B4511" t="s">
        <v>31</v>
      </c>
      <c r="C4511" t="s">
        <v>32</v>
      </c>
      <c r="D4511" t="s">
        <v>584</v>
      </c>
      <c r="F4511" t="s">
        <v>35</v>
      </c>
      <c r="G4511" t="s">
        <v>35</v>
      </c>
      <c r="H4511" t="s">
        <v>35</v>
      </c>
      <c r="J4511" t="s">
        <v>4976</v>
      </c>
      <c r="K4511" t="s">
        <v>1092</v>
      </c>
      <c r="M4511">
        <v>1.4999999999999999E-2</v>
      </c>
      <c r="N4511">
        <v>2348</v>
      </c>
      <c r="O4511" t="s">
        <v>575</v>
      </c>
      <c r="Q4511" t="s">
        <v>2231</v>
      </c>
      <c r="R4511" t="s">
        <v>610</v>
      </c>
      <c r="S4511" t="s">
        <v>539</v>
      </c>
    </row>
    <row r="4512" spans="1:19" x14ac:dyDescent="0.25">
      <c r="A4512" t="s">
        <v>30</v>
      </c>
      <c r="B4512" t="s">
        <v>31</v>
      </c>
      <c r="C4512" t="s">
        <v>32</v>
      </c>
      <c r="D4512" t="s">
        <v>584</v>
      </c>
      <c r="F4512" t="s">
        <v>35</v>
      </c>
      <c r="G4512" t="s">
        <v>35</v>
      </c>
      <c r="H4512" t="s">
        <v>35</v>
      </c>
      <c r="J4512" t="s">
        <v>4977</v>
      </c>
      <c r="K4512" t="s">
        <v>1092</v>
      </c>
      <c r="M4512">
        <v>1.8</v>
      </c>
      <c r="N4512">
        <v>2234</v>
      </c>
      <c r="O4512" t="s">
        <v>575</v>
      </c>
      <c r="Q4512" t="s">
        <v>2341</v>
      </c>
      <c r="R4512" t="s">
        <v>4571</v>
      </c>
      <c r="S4512" t="s">
        <v>628</v>
      </c>
    </row>
    <row r="4513" spans="1:19" x14ac:dyDescent="0.25">
      <c r="A4513" t="s">
        <v>30</v>
      </c>
      <c r="B4513" t="s">
        <v>31</v>
      </c>
      <c r="C4513" t="s">
        <v>32</v>
      </c>
      <c r="D4513" t="s">
        <v>584</v>
      </c>
      <c r="F4513" t="s">
        <v>35</v>
      </c>
      <c r="G4513" t="s">
        <v>35</v>
      </c>
      <c r="H4513" t="s">
        <v>35</v>
      </c>
      <c r="J4513" t="s">
        <v>4977</v>
      </c>
      <c r="K4513" t="s">
        <v>1092</v>
      </c>
      <c r="M4513">
        <v>0.77500000000000002</v>
      </c>
      <c r="N4513">
        <v>2310</v>
      </c>
      <c r="O4513" t="s">
        <v>575</v>
      </c>
      <c r="Q4513" t="s">
        <v>4978</v>
      </c>
      <c r="R4513" t="s">
        <v>4571</v>
      </c>
      <c r="S4513" t="s">
        <v>628</v>
      </c>
    </row>
    <row r="4514" spans="1:19" x14ac:dyDescent="0.25">
      <c r="A4514" t="s">
        <v>30</v>
      </c>
      <c r="B4514" t="s">
        <v>31</v>
      </c>
      <c r="C4514" t="s">
        <v>32</v>
      </c>
      <c r="D4514" t="s">
        <v>584</v>
      </c>
      <c r="F4514" t="s">
        <v>35</v>
      </c>
      <c r="G4514" t="s">
        <v>35</v>
      </c>
      <c r="H4514" t="s">
        <v>35</v>
      </c>
      <c r="J4514" t="s">
        <v>4979</v>
      </c>
      <c r="K4514" t="s">
        <v>1092</v>
      </c>
      <c r="M4514">
        <v>0.45</v>
      </c>
      <c r="N4514">
        <v>1757</v>
      </c>
      <c r="O4514" t="s">
        <v>575</v>
      </c>
      <c r="Q4514" t="s">
        <v>4980</v>
      </c>
      <c r="R4514" t="s">
        <v>4545</v>
      </c>
      <c r="S4514" t="s">
        <v>586</v>
      </c>
    </row>
    <row r="4515" spans="1:19" x14ac:dyDescent="0.25">
      <c r="A4515" t="s">
        <v>44</v>
      </c>
      <c r="B4515" t="s">
        <v>51</v>
      </c>
      <c r="C4515" t="s">
        <v>32</v>
      </c>
      <c r="D4515" t="s">
        <v>584</v>
      </c>
      <c r="F4515" t="s">
        <v>35</v>
      </c>
      <c r="G4515" t="s">
        <v>35</v>
      </c>
      <c r="H4515" t="s">
        <v>35</v>
      </c>
      <c r="J4515" t="s">
        <v>4981</v>
      </c>
      <c r="K4515" t="s">
        <v>1092</v>
      </c>
      <c r="M4515">
        <v>2</v>
      </c>
      <c r="N4515">
        <v>36</v>
      </c>
      <c r="O4515" t="s">
        <v>52</v>
      </c>
      <c r="Q4515" t="s">
        <v>2005</v>
      </c>
      <c r="R4515" t="s">
        <v>4891</v>
      </c>
      <c r="S4515" t="s">
        <v>4892</v>
      </c>
    </row>
    <row r="4516" spans="1:19" x14ac:dyDescent="0.25">
      <c r="A4516" t="s">
        <v>30</v>
      </c>
      <c r="B4516" t="s">
        <v>31</v>
      </c>
      <c r="C4516" t="s">
        <v>32</v>
      </c>
      <c r="D4516" t="s">
        <v>584</v>
      </c>
      <c r="F4516" t="s">
        <v>35</v>
      </c>
      <c r="G4516" t="s">
        <v>35</v>
      </c>
      <c r="H4516" t="s">
        <v>35</v>
      </c>
      <c r="J4516" t="s">
        <v>4982</v>
      </c>
      <c r="K4516" t="s">
        <v>1092</v>
      </c>
      <c r="M4516">
        <v>3.15</v>
      </c>
      <c r="N4516">
        <v>51</v>
      </c>
      <c r="O4516" t="s">
        <v>52</v>
      </c>
      <c r="Q4516" t="s">
        <v>54</v>
      </c>
      <c r="R4516" t="s">
        <v>631</v>
      </c>
      <c r="S4516" t="s">
        <v>632</v>
      </c>
    </row>
    <row r="4517" spans="1:19" x14ac:dyDescent="0.25">
      <c r="A4517" t="s">
        <v>59</v>
      </c>
      <c r="B4517" t="s">
        <v>60</v>
      </c>
      <c r="C4517" t="s">
        <v>32</v>
      </c>
      <c r="D4517" t="s">
        <v>584</v>
      </c>
      <c r="F4517" t="s">
        <v>35</v>
      </c>
      <c r="G4517" t="s">
        <v>35</v>
      </c>
      <c r="H4517" t="s">
        <v>35</v>
      </c>
      <c r="J4517" t="s">
        <v>4983</v>
      </c>
      <c r="K4517" t="s">
        <v>1092</v>
      </c>
      <c r="M4517">
        <v>0.09</v>
      </c>
      <c r="N4517">
        <v>2673</v>
      </c>
      <c r="O4517" t="s">
        <v>575</v>
      </c>
      <c r="Q4517" t="s">
        <v>1486</v>
      </c>
      <c r="R4517" t="s">
        <v>1487</v>
      </c>
      <c r="S4517" t="s">
        <v>1488</v>
      </c>
    </row>
    <row r="4518" spans="1:19" x14ac:dyDescent="0.25">
      <c r="A4518" t="s">
        <v>30</v>
      </c>
      <c r="B4518" t="s">
        <v>31</v>
      </c>
      <c r="C4518" t="s">
        <v>32</v>
      </c>
      <c r="D4518" t="s">
        <v>584</v>
      </c>
      <c r="F4518" t="s">
        <v>35</v>
      </c>
      <c r="G4518" t="s">
        <v>35</v>
      </c>
      <c r="H4518" t="s">
        <v>35</v>
      </c>
      <c r="J4518" t="s">
        <v>4984</v>
      </c>
      <c r="K4518" t="s">
        <v>1092</v>
      </c>
      <c r="M4518">
        <v>4.4999999999999998E-2</v>
      </c>
      <c r="N4518">
        <v>2673</v>
      </c>
      <c r="O4518" t="s">
        <v>575</v>
      </c>
      <c r="Q4518" t="s">
        <v>1486</v>
      </c>
      <c r="R4518" t="s">
        <v>1487</v>
      </c>
      <c r="S4518" t="s">
        <v>1488</v>
      </c>
    </row>
    <row r="4519" spans="1:19" x14ac:dyDescent="0.25">
      <c r="A4519" t="s">
        <v>59</v>
      </c>
      <c r="B4519" t="s">
        <v>60</v>
      </c>
      <c r="C4519" t="s">
        <v>32</v>
      </c>
      <c r="D4519" t="s">
        <v>584</v>
      </c>
      <c r="F4519" t="s">
        <v>35</v>
      </c>
      <c r="G4519" t="s">
        <v>35</v>
      </c>
      <c r="H4519" t="s">
        <v>35</v>
      </c>
      <c r="J4519" t="s">
        <v>4985</v>
      </c>
      <c r="K4519" t="s">
        <v>1092</v>
      </c>
      <c r="M4519">
        <v>1.85</v>
      </c>
      <c r="N4519">
        <v>22</v>
      </c>
      <c r="O4519" t="s">
        <v>46</v>
      </c>
      <c r="Q4519" t="s">
        <v>979</v>
      </c>
      <c r="R4519" t="s">
        <v>4446</v>
      </c>
      <c r="S4519" t="s">
        <v>4447</v>
      </c>
    </row>
    <row r="4520" spans="1:19" x14ac:dyDescent="0.25">
      <c r="A4520" t="s">
        <v>30</v>
      </c>
      <c r="B4520" t="s">
        <v>31</v>
      </c>
      <c r="C4520" t="s">
        <v>32</v>
      </c>
      <c r="D4520" t="s">
        <v>584</v>
      </c>
      <c r="F4520" t="s">
        <v>35</v>
      </c>
      <c r="G4520" t="s">
        <v>35</v>
      </c>
      <c r="H4520" t="s">
        <v>35</v>
      </c>
      <c r="J4520" t="s">
        <v>4986</v>
      </c>
      <c r="K4520" t="s">
        <v>1092</v>
      </c>
      <c r="M4520">
        <v>4.5</v>
      </c>
      <c r="N4520">
        <v>2673</v>
      </c>
      <c r="O4520" t="s">
        <v>575</v>
      </c>
      <c r="Q4520" t="s">
        <v>1486</v>
      </c>
      <c r="R4520" t="s">
        <v>1487</v>
      </c>
      <c r="S4520" t="s">
        <v>1488</v>
      </c>
    </row>
    <row r="4521" spans="1:19" x14ac:dyDescent="0.25">
      <c r="A4521" t="s">
        <v>30</v>
      </c>
      <c r="B4521" t="s">
        <v>31</v>
      </c>
      <c r="C4521" t="s">
        <v>32</v>
      </c>
      <c r="D4521" t="s">
        <v>584</v>
      </c>
      <c r="F4521" t="s">
        <v>35</v>
      </c>
      <c r="G4521" t="s">
        <v>35</v>
      </c>
      <c r="H4521" t="s">
        <v>35</v>
      </c>
      <c r="J4521" t="s">
        <v>4987</v>
      </c>
      <c r="K4521" t="s">
        <v>1092</v>
      </c>
      <c r="M4521">
        <v>8.19</v>
      </c>
      <c r="N4521">
        <v>48</v>
      </c>
      <c r="O4521" t="s">
        <v>52</v>
      </c>
      <c r="Q4521" t="s">
        <v>496</v>
      </c>
      <c r="R4521" t="s">
        <v>610</v>
      </c>
      <c r="S4521" t="s">
        <v>539</v>
      </c>
    </row>
    <row r="4522" spans="1:19" x14ac:dyDescent="0.25">
      <c r="A4522" t="s">
        <v>30</v>
      </c>
      <c r="B4522" t="s">
        <v>31</v>
      </c>
      <c r="C4522" t="s">
        <v>32</v>
      </c>
      <c r="D4522" t="s">
        <v>639</v>
      </c>
      <c r="E4522" t="s">
        <v>4988</v>
      </c>
      <c r="F4522" t="s">
        <v>35</v>
      </c>
      <c r="G4522" t="s">
        <v>35</v>
      </c>
      <c r="H4522" t="s">
        <v>35</v>
      </c>
      <c r="J4522" t="s">
        <v>4989</v>
      </c>
      <c r="K4522" t="s">
        <v>1092</v>
      </c>
      <c r="M4522">
        <v>11.97</v>
      </c>
      <c r="N4522">
        <v>76</v>
      </c>
      <c r="O4522" t="s">
        <v>61</v>
      </c>
      <c r="Q4522" t="s">
        <v>234</v>
      </c>
      <c r="R4522" t="s">
        <v>642</v>
      </c>
      <c r="S4522" t="s">
        <v>643</v>
      </c>
    </row>
    <row r="4523" spans="1:19" x14ac:dyDescent="0.25">
      <c r="A4523" t="s">
        <v>59</v>
      </c>
      <c r="B4523" t="s">
        <v>31</v>
      </c>
      <c r="C4523" t="s">
        <v>32</v>
      </c>
      <c r="D4523" t="s">
        <v>639</v>
      </c>
      <c r="E4523" t="s">
        <v>4988</v>
      </c>
      <c r="F4523" t="s">
        <v>35</v>
      </c>
      <c r="G4523" t="s">
        <v>35</v>
      </c>
      <c r="H4523" t="s">
        <v>35</v>
      </c>
      <c r="J4523" t="s">
        <v>4990</v>
      </c>
      <c r="K4523" t="s">
        <v>1092</v>
      </c>
      <c r="M4523">
        <v>8.91</v>
      </c>
      <c r="N4523">
        <v>354</v>
      </c>
      <c r="O4523" t="s">
        <v>5</v>
      </c>
      <c r="Q4523" t="s">
        <v>4994</v>
      </c>
      <c r="R4523" t="s">
        <v>4991</v>
      </c>
      <c r="S4523" t="s">
        <v>4992</v>
      </c>
    </row>
    <row r="4524" spans="1:19" x14ac:dyDescent="0.25">
      <c r="A4524" t="s">
        <v>44</v>
      </c>
      <c r="B4524" t="s">
        <v>51</v>
      </c>
      <c r="C4524" t="s">
        <v>32</v>
      </c>
      <c r="D4524" t="s">
        <v>639</v>
      </c>
      <c r="E4524" t="s">
        <v>4988</v>
      </c>
      <c r="F4524" t="s">
        <v>35</v>
      </c>
      <c r="G4524" t="s">
        <v>35</v>
      </c>
      <c r="H4524" t="s">
        <v>35</v>
      </c>
      <c r="J4524" t="s">
        <v>4990</v>
      </c>
      <c r="K4524" t="s">
        <v>1092</v>
      </c>
      <c r="M4524">
        <v>7.2</v>
      </c>
      <c r="N4524">
        <v>115</v>
      </c>
      <c r="O4524" t="s">
        <v>106</v>
      </c>
      <c r="Q4524" t="s">
        <v>1195</v>
      </c>
      <c r="R4524" t="s">
        <v>4991</v>
      </c>
      <c r="S4524" t="s">
        <v>4992</v>
      </c>
    </row>
    <row r="4525" spans="1:19" x14ac:dyDescent="0.25">
      <c r="A4525" t="s">
        <v>59</v>
      </c>
      <c r="B4525" t="s">
        <v>60</v>
      </c>
      <c r="C4525" t="s">
        <v>32</v>
      </c>
      <c r="D4525" t="s">
        <v>639</v>
      </c>
      <c r="E4525" t="s">
        <v>4988</v>
      </c>
      <c r="F4525" t="s">
        <v>35</v>
      </c>
      <c r="G4525" t="s">
        <v>35</v>
      </c>
      <c r="H4525" t="s">
        <v>35</v>
      </c>
      <c r="J4525" t="s">
        <v>4990</v>
      </c>
      <c r="K4525" t="s">
        <v>1092</v>
      </c>
      <c r="M4525">
        <v>79.3</v>
      </c>
      <c r="N4525">
        <v>88</v>
      </c>
      <c r="O4525" t="s">
        <v>61</v>
      </c>
      <c r="Q4525" t="s">
        <v>858</v>
      </c>
      <c r="R4525" t="s">
        <v>4991</v>
      </c>
      <c r="S4525" t="s">
        <v>4992</v>
      </c>
    </row>
    <row r="4526" spans="1:19" x14ac:dyDescent="0.25">
      <c r="A4526" t="s">
        <v>44</v>
      </c>
      <c r="B4526" t="s">
        <v>3</v>
      </c>
      <c r="C4526" t="s">
        <v>32</v>
      </c>
      <c r="D4526" t="s">
        <v>639</v>
      </c>
      <c r="E4526" t="s">
        <v>4988</v>
      </c>
      <c r="F4526" t="s">
        <v>35</v>
      </c>
      <c r="G4526" t="s">
        <v>35</v>
      </c>
      <c r="H4526" t="s">
        <v>35</v>
      </c>
      <c r="J4526" t="s">
        <v>4990</v>
      </c>
      <c r="K4526" t="s">
        <v>1092</v>
      </c>
      <c r="M4526">
        <v>1.25</v>
      </c>
      <c r="N4526">
        <v>343</v>
      </c>
      <c r="O4526" t="s">
        <v>5</v>
      </c>
      <c r="Q4526" t="s">
        <v>2689</v>
      </c>
      <c r="R4526" t="s">
        <v>4991</v>
      </c>
      <c r="S4526" t="s">
        <v>4992</v>
      </c>
    </row>
    <row r="4527" spans="1:19" x14ac:dyDescent="0.25">
      <c r="A4527" t="s">
        <v>30</v>
      </c>
      <c r="B4527" t="s">
        <v>31</v>
      </c>
      <c r="C4527" t="s">
        <v>32</v>
      </c>
      <c r="D4527" t="s">
        <v>639</v>
      </c>
      <c r="E4527" t="s">
        <v>4988</v>
      </c>
      <c r="F4527" t="s">
        <v>35</v>
      </c>
      <c r="G4527" t="s">
        <v>35</v>
      </c>
      <c r="H4527" t="s">
        <v>35</v>
      </c>
      <c r="J4527" t="s">
        <v>4995</v>
      </c>
      <c r="K4527" t="s">
        <v>1092</v>
      </c>
      <c r="M4527">
        <v>2.25</v>
      </c>
      <c r="N4527">
        <v>1874</v>
      </c>
      <c r="O4527" t="s">
        <v>575</v>
      </c>
      <c r="Q4527" t="s">
        <v>2999</v>
      </c>
      <c r="R4527" t="s">
        <v>4997</v>
      </c>
      <c r="S4527" t="s">
        <v>4998</v>
      </c>
    </row>
    <row r="4528" spans="1:19" x14ac:dyDescent="0.25">
      <c r="A4528" t="s">
        <v>59</v>
      </c>
      <c r="B4528" t="s">
        <v>31</v>
      </c>
      <c r="C4528" t="s">
        <v>32</v>
      </c>
      <c r="D4528" t="s">
        <v>639</v>
      </c>
      <c r="E4528" t="s">
        <v>4988</v>
      </c>
      <c r="F4528" t="s">
        <v>35</v>
      </c>
      <c r="G4528" t="s">
        <v>35</v>
      </c>
      <c r="H4528" t="s">
        <v>35</v>
      </c>
      <c r="J4528" t="s">
        <v>4995</v>
      </c>
      <c r="K4528" t="s">
        <v>1092</v>
      </c>
      <c r="M4528">
        <v>2.4300000000000002</v>
      </c>
      <c r="N4528">
        <v>1800</v>
      </c>
      <c r="O4528" t="s">
        <v>575</v>
      </c>
      <c r="Q4528" t="s">
        <v>4996</v>
      </c>
      <c r="R4528" t="s">
        <v>4997</v>
      </c>
      <c r="S4528" t="s">
        <v>4998</v>
      </c>
    </row>
    <row r="4529" spans="1:19" x14ac:dyDescent="0.25">
      <c r="A4529" t="s">
        <v>30</v>
      </c>
      <c r="B4529" t="s">
        <v>31</v>
      </c>
      <c r="C4529" t="s">
        <v>32</v>
      </c>
      <c r="D4529" t="s">
        <v>639</v>
      </c>
      <c r="E4529" t="s">
        <v>4988</v>
      </c>
      <c r="F4529" t="s">
        <v>35</v>
      </c>
      <c r="G4529" t="s">
        <v>35</v>
      </c>
      <c r="H4529" t="s">
        <v>35</v>
      </c>
      <c r="J4529" t="s">
        <v>5000</v>
      </c>
      <c r="K4529" t="s">
        <v>1092</v>
      </c>
      <c r="M4529">
        <v>0.27</v>
      </c>
      <c r="N4529">
        <v>73</v>
      </c>
      <c r="O4529" t="s">
        <v>61</v>
      </c>
      <c r="Q4529" t="s">
        <v>552</v>
      </c>
      <c r="R4529" t="s">
        <v>4997</v>
      </c>
      <c r="S4529" t="s">
        <v>4998</v>
      </c>
    </row>
    <row r="4530" spans="1:19" x14ac:dyDescent="0.25">
      <c r="A4530" t="s">
        <v>30</v>
      </c>
      <c r="B4530" t="s">
        <v>31</v>
      </c>
      <c r="C4530" t="s">
        <v>32</v>
      </c>
      <c r="D4530" t="s">
        <v>639</v>
      </c>
      <c r="E4530" t="s">
        <v>4988</v>
      </c>
      <c r="F4530" t="s">
        <v>35</v>
      </c>
      <c r="G4530" t="s">
        <v>35</v>
      </c>
      <c r="H4530" t="s">
        <v>35</v>
      </c>
      <c r="J4530" t="s">
        <v>5001</v>
      </c>
      <c r="K4530" t="s">
        <v>1092</v>
      </c>
      <c r="M4530">
        <v>0.22500000000000001</v>
      </c>
      <c r="N4530">
        <v>294</v>
      </c>
      <c r="O4530" t="s">
        <v>5</v>
      </c>
      <c r="Q4530" t="s">
        <v>1418</v>
      </c>
      <c r="R4530" t="s">
        <v>4997</v>
      </c>
      <c r="S4530" t="s">
        <v>4998</v>
      </c>
    </row>
    <row r="4531" spans="1:19" x14ac:dyDescent="0.25">
      <c r="A4531" t="s">
        <v>59</v>
      </c>
      <c r="B4531" t="s">
        <v>31</v>
      </c>
      <c r="C4531" t="s">
        <v>32</v>
      </c>
      <c r="D4531" t="s">
        <v>639</v>
      </c>
      <c r="E4531" t="s">
        <v>4988</v>
      </c>
      <c r="F4531" t="s">
        <v>35</v>
      </c>
      <c r="G4531" t="s">
        <v>35</v>
      </c>
      <c r="H4531" t="s">
        <v>35</v>
      </c>
      <c r="J4531" t="s">
        <v>5002</v>
      </c>
      <c r="K4531" t="s">
        <v>1092</v>
      </c>
      <c r="M4531">
        <v>1.98</v>
      </c>
      <c r="N4531">
        <v>125</v>
      </c>
      <c r="O4531" t="s">
        <v>38</v>
      </c>
      <c r="Q4531" t="s">
        <v>1954</v>
      </c>
      <c r="R4531" t="s">
        <v>4997</v>
      </c>
      <c r="S4531" t="s">
        <v>4998</v>
      </c>
    </row>
    <row r="4532" spans="1:19" x14ac:dyDescent="0.25">
      <c r="A4532" t="s">
        <v>30</v>
      </c>
      <c r="B4532" t="s">
        <v>31</v>
      </c>
      <c r="C4532" t="s">
        <v>32</v>
      </c>
      <c r="D4532" t="s">
        <v>639</v>
      </c>
      <c r="E4532" t="s">
        <v>4988</v>
      </c>
      <c r="F4532" t="s">
        <v>35</v>
      </c>
      <c r="G4532" t="s">
        <v>35</v>
      </c>
      <c r="H4532" t="s">
        <v>35</v>
      </c>
      <c r="J4532" t="s">
        <v>5003</v>
      </c>
      <c r="K4532" t="s">
        <v>1092</v>
      </c>
      <c r="M4532">
        <v>0.63</v>
      </c>
      <c r="N4532">
        <v>68</v>
      </c>
      <c r="O4532" t="s">
        <v>61</v>
      </c>
      <c r="Q4532" t="s">
        <v>146</v>
      </c>
      <c r="R4532" t="s">
        <v>41</v>
      </c>
      <c r="S4532" t="s">
        <v>42</v>
      </c>
    </row>
    <row r="4533" spans="1:19" x14ac:dyDescent="0.25">
      <c r="A4533" t="s">
        <v>59</v>
      </c>
      <c r="B4533" t="s">
        <v>31</v>
      </c>
      <c r="C4533" t="s">
        <v>32</v>
      </c>
      <c r="D4533" t="s">
        <v>639</v>
      </c>
      <c r="E4533" t="s">
        <v>4988</v>
      </c>
      <c r="F4533" t="s">
        <v>35</v>
      </c>
      <c r="G4533" t="s">
        <v>35</v>
      </c>
      <c r="H4533" t="s">
        <v>35</v>
      </c>
      <c r="J4533" t="s">
        <v>5004</v>
      </c>
      <c r="K4533" t="s">
        <v>1092</v>
      </c>
      <c r="M4533">
        <v>4.1000000000000002E-2</v>
      </c>
      <c r="N4533">
        <v>1783</v>
      </c>
      <c r="O4533" t="s">
        <v>575</v>
      </c>
      <c r="Q4533" t="s">
        <v>5005</v>
      </c>
      <c r="R4533" t="s">
        <v>4997</v>
      </c>
      <c r="S4533" t="s">
        <v>4998</v>
      </c>
    </row>
    <row r="4534" spans="1:19" x14ac:dyDescent="0.25">
      <c r="A4534" t="s">
        <v>30</v>
      </c>
      <c r="B4534" t="s">
        <v>31</v>
      </c>
      <c r="C4534" t="s">
        <v>32</v>
      </c>
      <c r="D4534" t="s">
        <v>639</v>
      </c>
      <c r="E4534" t="s">
        <v>4988</v>
      </c>
      <c r="F4534" t="s">
        <v>35</v>
      </c>
      <c r="G4534" t="s">
        <v>35</v>
      </c>
      <c r="H4534" t="s">
        <v>35</v>
      </c>
      <c r="J4534" t="s">
        <v>5006</v>
      </c>
      <c r="K4534" t="s">
        <v>1092</v>
      </c>
      <c r="M4534">
        <v>0.58499999999999996</v>
      </c>
      <c r="N4534">
        <v>334</v>
      </c>
      <c r="O4534" t="s">
        <v>5</v>
      </c>
      <c r="Q4534" t="s">
        <v>2926</v>
      </c>
      <c r="R4534" t="s">
        <v>4997</v>
      </c>
      <c r="S4534" t="s">
        <v>4998</v>
      </c>
    </row>
    <row r="4535" spans="1:19" x14ac:dyDescent="0.25">
      <c r="A4535" t="s">
        <v>59</v>
      </c>
      <c r="B4535" t="s">
        <v>31</v>
      </c>
      <c r="C4535" t="s">
        <v>32</v>
      </c>
      <c r="D4535" t="s">
        <v>639</v>
      </c>
      <c r="E4535" t="s">
        <v>5007</v>
      </c>
      <c r="F4535" t="s">
        <v>35</v>
      </c>
      <c r="G4535" t="s">
        <v>35</v>
      </c>
      <c r="H4535" t="s">
        <v>35</v>
      </c>
      <c r="J4535" t="s">
        <v>5008</v>
      </c>
      <c r="K4535" t="s">
        <v>1092</v>
      </c>
      <c r="M4535">
        <v>7.4999999999999997E-2</v>
      </c>
      <c r="N4535">
        <v>289</v>
      </c>
      <c r="O4535" t="s">
        <v>5</v>
      </c>
      <c r="Q4535" t="s">
        <v>1172</v>
      </c>
      <c r="R4535" t="s">
        <v>5009</v>
      </c>
      <c r="S4535" t="s">
        <v>5010</v>
      </c>
    </row>
    <row r="4536" spans="1:19" x14ac:dyDescent="0.25">
      <c r="A4536" t="s">
        <v>59</v>
      </c>
      <c r="B4536" t="s">
        <v>31</v>
      </c>
      <c r="C4536" t="s">
        <v>32</v>
      </c>
      <c r="D4536" t="s">
        <v>639</v>
      </c>
      <c r="E4536" t="s">
        <v>5007</v>
      </c>
      <c r="F4536" t="s">
        <v>35</v>
      </c>
      <c r="G4536" t="s">
        <v>35</v>
      </c>
      <c r="H4536" t="s">
        <v>35</v>
      </c>
      <c r="J4536" t="s">
        <v>5012</v>
      </c>
      <c r="K4536" t="s">
        <v>1092</v>
      </c>
      <c r="M4536">
        <v>3.97</v>
      </c>
      <c r="N4536">
        <v>289</v>
      </c>
      <c r="O4536" t="s">
        <v>5</v>
      </c>
      <c r="Q4536" t="s">
        <v>1172</v>
      </c>
      <c r="R4536" t="s">
        <v>5009</v>
      </c>
      <c r="S4536" t="s">
        <v>5010</v>
      </c>
    </row>
    <row r="4537" spans="1:19" x14ac:dyDescent="0.25">
      <c r="A4537" t="s">
        <v>44</v>
      </c>
      <c r="B4537" t="s">
        <v>3</v>
      </c>
      <c r="C4537" t="s">
        <v>32</v>
      </c>
      <c r="D4537" t="s">
        <v>639</v>
      </c>
      <c r="E4537" t="s">
        <v>5013</v>
      </c>
      <c r="F4537" t="s">
        <v>35</v>
      </c>
      <c r="G4537" t="s">
        <v>35</v>
      </c>
      <c r="H4537" t="s">
        <v>35</v>
      </c>
      <c r="J4537" t="s">
        <v>5014</v>
      </c>
      <c r="K4537" t="s">
        <v>1092</v>
      </c>
      <c r="M4537">
        <v>0.7</v>
      </c>
      <c r="N4537">
        <v>584</v>
      </c>
      <c r="O4537" t="s">
        <v>575</v>
      </c>
      <c r="Q4537" t="s">
        <v>3636</v>
      </c>
      <c r="R4537" t="s">
        <v>642</v>
      </c>
      <c r="S4537" t="s">
        <v>643</v>
      </c>
    </row>
    <row r="4538" spans="1:19" x14ac:dyDescent="0.25">
      <c r="A4538" t="s">
        <v>59</v>
      </c>
      <c r="B4538" t="s">
        <v>60</v>
      </c>
      <c r="C4538" t="s">
        <v>32</v>
      </c>
      <c r="D4538" t="s">
        <v>639</v>
      </c>
      <c r="E4538" t="s">
        <v>5013</v>
      </c>
      <c r="F4538" t="s">
        <v>35</v>
      </c>
      <c r="G4538" t="s">
        <v>35</v>
      </c>
      <c r="H4538" t="s">
        <v>35</v>
      </c>
      <c r="J4538" t="s">
        <v>5015</v>
      </c>
      <c r="K4538" t="s">
        <v>1092</v>
      </c>
      <c r="M4538">
        <v>4</v>
      </c>
      <c r="N4538">
        <v>131</v>
      </c>
      <c r="O4538" t="s">
        <v>38</v>
      </c>
      <c r="Q4538" t="s">
        <v>646</v>
      </c>
      <c r="R4538" t="s">
        <v>642</v>
      </c>
      <c r="S4538" t="s">
        <v>643</v>
      </c>
    </row>
    <row r="4539" spans="1:19" x14ac:dyDescent="0.25">
      <c r="A4539" t="s">
        <v>59</v>
      </c>
      <c r="B4539" t="s">
        <v>60</v>
      </c>
      <c r="C4539" t="s">
        <v>32</v>
      </c>
      <c r="D4539" t="s">
        <v>639</v>
      </c>
      <c r="E4539" t="s">
        <v>5013</v>
      </c>
      <c r="F4539" t="s">
        <v>35</v>
      </c>
      <c r="G4539" t="s">
        <v>35</v>
      </c>
      <c r="H4539" t="s">
        <v>35</v>
      </c>
      <c r="J4539" t="s">
        <v>5015</v>
      </c>
      <c r="K4539" t="s">
        <v>1092</v>
      </c>
      <c r="M4539">
        <v>1</v>
      </c>
      <c r="N4539">
        <v>218</v>
      </c>
      <c r="O4539" t="s">
        <v>5</v>
      </c>
      <c r="Q4539" t="s">
        <v>1504</v>
      </c>
      <c r="R4539" t="s">
        <v>642</v>
      </c>
      <c r="S4539" t="s">
        <v>643</v>
      </c>
    </row>
    <row r="4540" spans="1:19" x14ac:dyDescent="0.25">
      <c r="A4540" t="s">
        <v>44</v>
      </c>
      <c r="B4540" t="s">
        <v>51</v>
      </c>
      <c r="C4540" t="s">
        <v>32</v>
      </c>
      <c r="D4540" t="s">
        <v>639</v>
      </c>
      <c r="E4540" t="s">
        <v>5016</v>
      </c>
      <c r="F4540" t="s">
        <v>35</v>
      </c>
      <c r="G4540" t="s">
        <v>35</v>
      </c>
      <c r="H4540" t="s">
        <v>35</v>
      </c>
      <c r="J4540" t="s">
        <v>5017</v>
      </c>
      <c r="K4540" t="s">
        <v>404</v>
      </c>
      <c r="M4540">
        <v>12.75</v>
      </c>
      <c r="N4540">
        <v>168</v>
      </c>
      <c r="O4540" t="s">
        <v>38</v>
      </c>
      <c r="Q4540" t="s">
        <v>2431</v>
      </c>
      <c r="R4540" t="s">
        <v>5019</v>
      </c>
      <c r="S4540" t="s">
        <v>5020</v>
      </c>
    </row>
    <row r="4541" spans="1:19" x14ac:dyDescent="0.25">
      <c r="A4541" t="s">
        <v>44</v>
      </c>
      <c r="B4541" t="s">
        <v>51</v>
      </c>
      <c r="C4541" t="s">
        <v>32</v>
      </c>
      <c r="D4541" t="s">
        <v>639</v>
      </c>
      <c r="E4541" t="s">
        <v>5016</v>
      </c>
      <c r="F4541" t="s">
        <v>35</v>
      </c>
      <c r="G4541" t="s">
        <v>35</v>
      </c>
      <c r="H4541" t="s">
        <v>35</v>
      </c>
      <c r="J4541" t="s">
        <v>5022</v>
      </c>
      <c r="K4541" t="s">
        <v>1092</v>
      </c>
      <c r="M4541">
        <v>3.5</v>
      </c>
      <c r="N4541">
        <v>244</v>
      </c>
      <c r="O4541" t="s">
        <v>5</v>
      </c>
      <c r="Q4541" t="s">
        <v>1242</v>
      </c>
      <c r="R4541" t="s">
        <v>5023</v>
      </c>
      <c r="S4541" t="s">
        <v>5024</v>
      </c>
    </row>
    <row r="4542" spans="1:19" x14ac:dyDescent="0.25">
      <c r="A4542" t="s">
        <v>44</v>
      </c>
      <c r="B4542" t="s">
        <v>51</v>
      </c>
      <c r="C4542" t="s">
        <v>32</v>
      </c>
      <c r="D4542" t="s">
        <v>639</v>
      </c>
      <c r="E4542" t="s">
        <v>5016</v>
      </c>
      <c r="F4542" t="s">
        <v>35</v>
      </c>
      <c r="G4542" t="s">
        <v>35</v>
      </c>
      <c r="H4542" t="s">
        <v>35</v>
      </c>
      <c r="J4542" t="s">
        <v>5026</v>
      </c>
      <c r="K4542" t="s">
        <v>1092</v>
      </c>
      <c r="M4542">
        <v>1.2</v>
      </c>
      <c r="N4542">
        <v>62</v>
      </c>
      <c r="O4542" t="s">
        <v>61</v>
      </c>
      <c r="Q4542" t="s">
        <v>90</v>
      </c>
      <c r="R4542" t="s">
        <v>642</v>
      </c>
      <c r="S4542" t="s">
        <v>643</v>
      </c>
    </row>
    <row r="4543" spans="1:19" x14ac:dyDescent="0.25">
      <c r="A4543" t="s">
        <v>44</v>
      </c>
      <c r="B4543" t="s">
        <v>3</v>
      </c>
      <c r="C4543" t="s">
        <v>32</v>
      </c>
      <c r="D4543" t="s">
        <v>639</v>
      </c>
      <c r="E4543" t="s">
        <v>5016</v>
      </c>
      <c r="F4543" t="s">
        <v>35</v>
      </c>
      <c r="G4543" t="s">
        <v>35</v>
      </c>
      <c r="H4543" t="s">
        <v>35</v>
      </c>
      <c r="J4543" t="s">
        <v>5027</v>
      </c>
      <c r="K4543" t="s">
        <v>1092</v>
      </c>
      <c r="M4543">
        <v>3.3</v>
      </c>
      <c r="N4543">
        <v>584</v>
      </c>
      <c r="O4543" t="s">
        <v>575</v>
      </c>
      <c r="Q4543" t="s">
        <v>3636</v>
      </c>
      <c r="R4543" t="s">
        <v>642</v>
      </c>
      <c r="S4543" t="s">
        <v>643</v>
      </c>
    </row>
    <row r="4544" spans="1:19" x14ac:dyDescent="0.25">
      <c r="A4544" t="s">
        <v>59</v>
      </c>
      <c r="B4544" t="s">
        <v>60</v>
      </c>
      <c r="C4544" t="s">
        <v>32</v>
      </c>
      <c r="D4544" t="s">
        <v>639</v>
      </c>
      <c r="E4544" t="s">
        <v>5016</v>
      </c>
      <c r="F4544" t="s">
        <v>35</v>
      </c>
      <c r="G4544" t="s">
        <v>35</v>
      </c>
      <c r="H4544" t="s">
        <v>35</v>
      </c>
      <c r="J4544" t="s">
        <v>5027</v>
      </c>
      <c r="K4544" t="s">
        <v>1092</v>
      </c>
      <c r="M4544">
        <v>3</v>
      </c>
      <c r="N4544">
        <v>262</v>
      </c>
      <c r="O4544" t="s">
        <v>5</v>
      </c>
      <c r="Q4544" t="s">
        <v>264</v>
      </c>
      <c r="R4544" t="s">
        <v>642</v>
      </c>
      <c r="S4544" t="s">
        <v>643</v>
      </c>
    </row>
    <row r="4545" spans="1:19" x14ac:dyDescent="0.25">
      <c r="A4545" t="s">
        <v>30</v>
      </c>
      <c r="B4545" t="s">
        <v>31</v>
      </c>
      <c r="C4545" t="s">
        <v>32</v>
      </c>
      <c r="D4545" t="s">
        <v>639</v>
      </c>
      <c r="E4545" t="s">
        <v>5016</v>
      </c>
      <c r="F4545" t="s">
        <v>35</v>
      </c>
      <c r="G4545" t="s">
        <v>35</v>
      </c>
      <c r="H4545" t="s">
        <v>35</v>
      </c>
      <c r="J4545" t="s">
        <v>5028</v>
      </c>
      <c r="K4545" t="s">
        <v>1092</v>
      </c>
      <c r="M4545">
        <v>1.3049999999999999</v>
      </c>
      <c r="N4545">
        <v>73</v>
      </c>
      <c r="O4545" t="s">
        <v>61</v>
      </c>
      <c r="Q4545" t="s">
        <v>552</v>
      </c>
      <c r="R4545" t="s">
        <v>5029</v>
      </c>
      <c r="S4545" t="s">
        <v>648</v>
      </c>
    </row>
    <row r="4546" spans="1:19" x14ac:dyDescent="0.25">
      <c r="A4546" t="s">
        <v>44</v>
      </c>
      <c r="B4546" t="s">
        <v>51</v>
      </c>
      <c r="C4546" t="s">
        <v>32</v>
      </c>
      <c r="D4546" t="s">
        <v>639</v>
      </c>
      <c r="E4546" t="s">
        <v>5016</v>
      </c>
      <c r="F4546" t="s">
        <v>35</v>
      </c>
      <c r="G4546" t="s">
        <v>35</v>
      </c>
      <c r="H4546" t="s">
        <v>35</v>
      </c>
      <c r="J4546" t="s">
        <v>5028</v>
      </c>
      <c r="K4546" t="s">
        <v>1092</v>
      </c>
      <c r="M4546">
        <v>3.05</v>
      </c>
      <c r="N4546">
        <v>59</v>
      </c>
      <c r="O4546" t="s">
        <v>52</v>
      </c>
      <c r="Q4546" t="s">
        <v>84</v>
      </c>
      <c r="R4546" t="s">
        <v>5029</v>
      </c>
      <c r="S4546" t="s">
        <v>648</v>
      </c>
    </row>
    <row r="4547" spans="1:19" x14ac:dyDescent="0.25">
      <c r="A4547" t="s">
        <v>59</v>
      </c>
      <c r="B4547" t="s">
        <v>31</v>
      </c>
      <c r="C4547" t="s">
        <v>32</v>
      </c>
      <c r="D4547" t="s">
        <v>639</v>
      </c>
      <c r="E4547" t="s">
        <v>5016</v>
      </c>
      <c r="F4547" t="s">
        <v>35</v>
      </c>
      <c r="G4547" t="s">
        <v>35</v>
      </c>
      <c r="H4547" t="s">
        <v>35</v>
      </c>
      <c r="J4547" t="s">
        <v>5032</v>
      </c>
      <c r="K4547" t="s">
        <v>1092</v>
      </c>
      <c r="M4547">
        <v>6.6150000000000002</v>
      </c>
      <c r="N4547">
        <v>127</v>
      </c>
      <c r="O4547" t="s">
        <v>38</v>
      </c>
      <c r="Q4547" t="s">
        <v>2145</v>
      </c>
      <c r="R4547" t="s">
        <v>5031</v>
      </c>
      <c r="S4547" t="s">
        <v>653</v>
      </c>
    </row>
    <row r="4548" spans="1:19" x14ac:dyDescent="0.25">
      <c r="A4548" t="s">
        <v>44</v>
      </c>
      <c r="B4548" t="s">
        <v>51</v>
      </c>
      <c r="C4548" t="s">
        <v>32</v>
      </c>
      <c r="D4548" t="s">
        <v>639</v>
      </c>
      <c r="E4548" t="s">
        <v>5016</v>
      </c>
      <c r="F4548" t="s">
        <v>35</v>
      </c>
      <c r="G4548" t="s">
        <v>35</v>
      </c>
      <c r="H4548" t="s">
        <v>35</v>
      </c>
      <c r="J4548" t="s">
        <v>5033</v>
      </c>
      <c r="K4548" t="s">
        <v>1092</v>
      </c>
      <c r="M4548">
        <v>1.4</v>
      </c>
      <c r="N4548">
        <v>62</v>
      </c>
      <c r="O4548" t="s">
        <v>61</v>
      </c>
      <c r="Q4548" t="s">
        <v>90</v>
      </c>
      <c r="R4548" t="s">
        <v>642</v>
      </c>
      <c r="S4548" t="s">
        <v>643</v>
      </c>
    </row>
    <row r="4549" spans="1:19" x14ac:dyDescent="0.25">
      <c r="A4549" t="s">
        <v>59</v>
      </c>
      <c r="B4549" t="s">
        <v>60</v>
      </c>
      <c r="C4549" t="s">
        <v>32</v>
      </c>
      <c r="D4549" t="s">
        <v>639</v>
      </c>
      <c r="E4549" t="s">
        <v>647</v>
      </c>
      <c r="F4549" t="s">
        <v>35</v>
      </c>
      <c r="G4549" t="s">
        <v>35</v>
      </c>
      <c r="H4549" t="s">
        <v>35</v>
      </c>
      <c r="J4549" t="s">
        <v>5034</v>
      </c>
      <c r="K4549" t="s">
        <v>1092</v>
      </c>
      <c r="M4549">
        <v>0.05</v>
      </c>
      <c r="N4549">
        <v>470</v>
      </c>
      <c r="O4549" t="s">
        <v>294</v>
      </c>
      <c r="Q4549" t="s">
        <v>1327</v>
      </c>
      <c r="R4549" t="s">
        <v>5029</v>
      </c>
      <c r="S4549" t="s">
        <v>648</v>
      </c>
    </row>
    <row r="4550" spans="1:19" x14ac:dyDescent="0.25">
      <c r="A4550" t="s">
        <v>44</v>
      </c>
      <c r="B4550" t="s">
        <v>51</v>
      </c>
      <c r="C4550" t="s">
        <v>32</v>
      </c>
      <c r="D4550" t="s">
        <v>639</v>
      </c>
      <c r="E4550" t="s">
        <v>647</v>
      </c>
      <c r="F4550" t="s">
        <v>35</v>
      </c>
      <c r="G4550" t="s">
        <v>35</v>
      </c>
      <c r="H4550" t="s">
        <v>35</v>
      </c>
      <c r="J4550" t="s">
        <v>5035</v>
      </c>
      <c r="K4550" t="s">
        <v>1092</v>
      </c>
      <c r="M4550">
        <v>8</v>
      </c>
      <c r="N4550">
        <v>110</v>
      </c>
      <c r="O4550" t="s">
        <v>106</v>
      </c>
      <c r="Q4550" t="s">
        <v>1494</v>
      </c>
      <c r="R4550" t="s">
        <v>5037</v>
      </c>
      <c r="S4550" t="s">
        <v>5035</v>
      </c>
    </row>
    <row r="4551" spans="1:19" x14ac:dyDescent="0.25">
      <c r="A4551" t="s">
        <v>59</v>
      </c>
      <c r="B4551" t="s">
        <v>60</v>
      </c>
      <c r="C4551" t="s">
        <v>32</v>
      </c>
      <c r="D4551" t="s">
        <v>639</v>
      </c>
      <c r="E4551" t="s">
        <v>647</v>
      </c>
      <c r="F4551" t="s">
        <v>35</v>
      </c>
      <c r="G4551" t="s">
        <v>35</v>
      </c>
      <c r="H4551" t="s">
        <v>35</v>
      </c>
      <c r="J4551" t="s">
        <v>5038</v>
      </c>
      <c r="K4551" t="s">
        <v>1092</v>
      </c>
      <c r="M4551">
        <v>2.95</v>
      </c>
      <c r="N4551">
        <v>223</v>
      </c>
      <c r="O4551" t="s">
        <v>5</v>
      </c>
      <c r="Q4551" t="s">
        <v>3310</v>
      </c>
      <c r="R4551" t="s">
        <v>5029</v>
      </c>
      <c r="S4551" t="s">
        <v>648</v>
      </c>
    </row>
    <row r="4552" spans="1:19" x14ac:dyDescent="0.25">
      <c r="A4552" t="s">
        <v>30</v>
      </c>
      <c r="B4552" t="s">
        <v>31</v>
      </c>
      <c r="C4552" t="s">
        <v>32</v>
      </c>
      <c r="D4552" t="s">
        <v>639</v>
      </c>
      <c r="E4552" t="s">
        <v>647</v>
      </c>
      <c r="F4552" t="s">
        <v>35</v>
      </c>
      <c r="G4552" t="s">
        <v>35</v>
      </c>
      <c r="H4552" t="s">
        <v>35</v>
      </c>
      <c r="J4552" t="s">
        <v>5038</v>
      </c>
      <c r="K4552" t="s">
        <v>1092</v>
      </c>
      <c r="M4552">
        <v>2.4750000000000001</v>
      </c>
      <c r="N4552">
        <v>165</v>
      </c>
      <c r="O4552" t="s">
        <v>38</v>
      </c>
      <c r="Q4552" t="s">
        <v>1548</v>
      </c>
      <c r="R4552" t="s">
        <v>5029</v>
      </c>
      <c r="S4552" t="s">
        <v>648</v>
      </c>
    </row>
    <row r="4553" spans="1:19" x14ac:dyDescent="0.25">
      <c r="A4553" t="s">
        <v>59</v>
      </c>
      <c r="B4553" t="s">
        <v>60</v>
      </c>
      <c r="C4553" t="s">
        <v>32</v>
      </c>
      <c r="D4553" t="s">
        <v>639</v>
      </c>
      <c r="E4553" t="s">
        <v>647</v>
      </c>
      <c r="F4553" t="s">
        <v>35</v>
      </c>
      <c r="G4553" t="s">
        <v>35</v>
      </c>
      <c r="H4553" t="s">
        <v>35</v>
      </c>
      <c r="J4553" t="s">
        <v>5039</v>
      </c>
      <c r="K4553" t="s">
        <v>1092</v>
      </c>
      <c r="M4553">
        <v>2.75</v>
      </c>
      <c r="N4553">
        <v>131</v>
      </c>
      <c r="O4553" t="s">
        <v>38</v>
      </c>
      <c r="Q4553" t="s">
        <v>646</v>
      </c>
      <c r="R4553" t="s">
        <v>642</v>
      </c>
      <c r="S4553" t="s">
        <v>643</v>
      </c>
    </row>
    <row r="4554" spans="1:19" x14ac:dyDescent="0.25">
      <c r="A4554" t="s">
        <v>59</v>
      </c>
      <c r="B4554" t="s">
        <v>60</v>
      </c>
      <c r="C4554" t="s">
        <v>32</v>
      </c>
      <c r="D4554" t="s">
        <v>639</v>
      </c>
      <c r="E4554" t="s">
        <v>647</v>
      </c>
      <c r="F4554" t="s">
        <v>35</v>
      </c>
      <c r="G4554" t="s">
        <v>35</v>
      </c>
      <c r="H4554" t="s">
        <v>35</v>
      </c>
      <c r="J4554" t="s">
        <v>5040</v>
      </c>
      <c r="K4554" t="s">
        <v>1092</v>
      </c>
      <c r="M4554">
        <v>1.35</v>
      </c>
      <c r="N4554">
        <v>499</v>
      </c>
      <c r="O4554" t="s">
        <v>294</v>
      </c>
      <c r="Q4554" t="s">
        <v>1503</v>
      </c>
      <c r="R4554" t="s">
        <v>642</v>
      </c>
      <c r="S4554" t="s">
        <v>643</v>
      </c>
    </row>
    <row r="4555" spans="1:19" x14ac:dyDescent="0.25">
      <c r="A4555" t="s">
        <v>59</v>
      </c>
      <c r="B4555" t="s">
        <v>60</v>
      </c>
      <c r="C4555" t="s">
        <v>32</v>
      </c>
      <c r="D4555" t="s">
        <v>639</v>
      </c>
      <c r="E4555" t="s">
        <v>647</v>
      </c>
      <c r="F4555" t="s">
        <v>35</v>
      </c>
      <c r="G4555" t="s">
        <v>35</v>
      </c>
      <c r="H4555" t="s">
        <v>35</v>
      </c>
      <c r="J4555" t="s">
        <v>5041</v>
      </c>
      <c r="K4555" t="s">
        <v>1092</v>
      </c>
      <c r="M4555">
        <v>0.05</v>
      </c>
      <c r="N4555">
        <v>868</v>
      </c>
      <c r="O4555" t="s">
        <v>575</v>
      </c>
      <c r="Q4555" t="s">
        <v>5042</v>
      </c>
      <c r="R4555" t="s">
        <v>642</v>
      </c>
      <c r="S4555" t="s">
        <v>643</v>
      </c>
    </row>
    <row r="4556" spans="1:19" x14ac:dyDescent="0.25">
      <c r="A4556" t="s">
        <v>30</v>
      </c>
      <c r="B4556" t="s">
        <v>31</v>
      </c>
      <c r="C4556" t="s">
        <v>32</v>
      </c>
      <c r="D4556" t="s">
        <v>639</v>
      </c>
      <c r="E4556" t="s">
        <v>647</v>
      </c>
      <c r="F4556" t="s">
        <v>35</v>
      </c>
      <c r="G4556" t="s">
        <v>35</v>
      </c>
      <c r="H4556" t="s">
        <v>35</v>
      </c>
      <c r="J4556" t="s">
        <v>5041</v>
      </c>
      <c r="K4556" t="s">
        <v>1092</v>
      </c>
      <c r="M4556">
        <v>2.7</v>
      </c>
      <c r="N4556">
        <v>585</v>
      </c>
      <c r="O4556" t="s">
        <v>575</v>
      </c>
      <c r="Q4556" t="s">
        <v>1416</v>
      </c>
      <c r="R4556" t="s">
        <v>642</v>
      </c>
      <c r="S4556" t="s">
        <v>643</v>
      </c>
    </row>
    <row r="4557" spans="1:19" x14ac:dyDescent="0.25">
      <c r="A4557" t="s">
        <v>30</v>
      </c>
      <c r="B4557" t="s">
        <v>31</v>
      </c>
      <c r="C4557" t="s">
        <v>32</v>
      </c>
      <c r="D4557" t="s">
        <v>639</v>
      </c>
      <c r="E4557" t="s">
        <v>647</v>
      </c>
      <c r="F4557" t="s">
        <v>35</v>
      </c>
      <c r="G4557" t="s">
        <v>35</v>
      </c>
      <c r="H4557" t="s">
        <v>35</v>
      </c>
      <c r="J4557" t="s">
        <v>5044</v>
      </c>
      <c r="K4557" t="s">
        <v>1092</v>
      </c>
      <c r="M4557">
        <v>0.94499999999999995</v>
      </c>
      <c r="N4557">
        <v>151</v>
      </c>
      <c r="O4557" t="s">
        <v>38</v>
      </c>
      <c r="Q4557" t="s">
        <v>1269</v>
      </c>
      <c r="R4557" t="s">
        <v>5029</v>
      </c>
      <c r="S4557" t="s">
        <v>648</v>
      </c>
    </row>
    <row r="4558" spans="1:19" x14ac:dyDescent="0.25">
      <c r="A4558" t="s">
        <v>30</v>
      </c>
      <c r="B4558" t="s">
        <v>31</v>
      </c>
      <c r="C4558" t="s">
        <v>32</v>
      </c>
      <c r="D4558" t="s">
        <v>639</v>
      </c>
      <c r="E4558" t="s">
        <v>647</v>
      </c>
      <c r="F4558" t="s">
        <v>35</v>
      </c>
      <c r="G4558" t="s">
        <v>35</v>
      </c>
      <c r="H4558" t="s">
        <v>35</v>
      </c>
      <c r="J4558" t="s">
        <v>5046</v>
      </c>
      <c r="K4558" t="s">
        <v>1092</v>
      </c>
      <c r="M4558">
        <v>0.99</v>
      </c>
      <c r="N4558">
        <v>76</v>
      </c>
      <c r="O4558" t="s">
        <v>61</v>
      </c>
      <c r="Q4558" t="s">
        <v>234</v>
      </c>
      <c r="R4558" t="s">
        <v>642</v>
      </c>
      <c r="S4558" t="s">
        <v>643</v>
      </c>
    </row>
    <row r="4559" spans="1:19" x14ac:dyDescent="0.25">
      <c r="A4559" t="s">
        <v>30</v>
      </c>
      <c r="B4559" t="s">
        <v>31</v>
      </c>
      <c r="C4559" t="s">
        <v>32</v>
      </c>
      <c r="D4559" t="s">
        <v>639</v>
      </c>
      <c r="E4559" t="s">
        <v>647</v>
      </c>
      <c r="F4559" t="s">
        <v>35</v>
      </c>
      <c r="G4559" t="s">
        <v>35</v>
      </c>
      <c r="H4559" t="s">
        <v>35</v>
      </c>
      <c r="J4559" t="s">
        <v>5047</v>
      </c>
      <c r="K4559" t="s">
        <v>1092</v>
      </c>
      <c r="M4559">
        <v>0.99</v>
      </c>
      <c r="N4559">
        <v>152</v>
      </c>
      <c r="O4559" t="s">
        <v>38</v>
      </c>
      <c r="Q4559" t="s">
        <v>408</v>
      </c>
      <c r="R4559" t="s">
        <v>642</v>
      </c>
      <c r="S4559" t="s">
        <v>643</v>
      </c>
    </row>
    <row r="4560" spans="1:19" x14ac:dyDescent="0.25">
      <c r="A4560" t="s">
        <v>44</v>
      </c>
      <c r="B4560" t="s">
        <v>51</v>
      </c>
      <c r="C4560" t="s">
        <v>32</v>
      </c>
      <c r="D4560" t="s">
        <v>639</v>
      </c>
      <c r="E4560" t="s">
        <v>647</v>
      </c>
      <c r="F4560" t="s">
        <v>35</v>
      </c>
      <c r="G4560" t="s">
        <v>35</v>
      </c>
      <c r="H4560" t="s">
        <v>35</v>
      </c>
      <c r="J4560" t="s">
        <v>5047</v>
      </c>
      <c r="K4560" t="s">
        <v>1092</v>
      </c>
      <c r="M4560">
        <v>0.25</v>
      </c>
      <c r="N4560">
        <v>511</v>
      </c>
      <c r="O4560" t="s">
        <v>294</v>
      </c>
      <c r="Q4560" t="s">
        <v>5048</v>
      </c>
      <c r="R4560" t="s">
        <v>642</v>
      </c>
      <c r="S4560" t="s">
        <v>643</v>
      </c>
    </row>
    <row r="4561" spans="1:19" x14ac:dyDescent="0.25">
      <c r="A4561" t="s">
        <v>30</v>
      </c>
      <c r="B4561" t="s">
        <v>31</v>
      </c>
      <c r="C4561" t="s">
        <v>32</v>
      </c>
      <c r="D4561" t="s">
        <v>639</v>
      </c>
      <c r="E4561" t="s">
        <v>647</v>
      </c>
      <c r="F4561" t="s">
        <v>35</v>
      </c>
      <c r="G4561" t="s">
        <v>35</v>
      </c>
      <c r="H4561" t="s">
        <v>35</v>
      </c>
      <c r="J4561" t="s">
        <v>5049</v>
      </c>
      <c r="K4561" t="s">
        <v>1092</v>
      </c>
      <c r="M4561">
        <v>2.9249999999999998</v>
      </c>
      <c r="N4561">
        <v>223</v>
      </c>
      <c r="O4561" t="s">
        <v>5</v>
      </c>
      <c r="Q4561" t="s">
        <v>3310</v>
      </c>
      <c r="R4561" t="s">
        <v>5029</v>
      </c>
      <c r="S4561" t="s">
        <v>648</v>
      </c>
    </row>
    <row r="4562" spans="1:19" x14ac:dyDescent="0.25">
      <c r="A4562" t="s">
        <v>30</v>
      </c>
      <c r="B4562" t="s">
        <v>31</v>
      </c>
      <c r="C4562" t="s">
        <v>32</v>
      </c>
      <c r="D4562" t="s">
        <v>639</v>
      </c>
      <c r="E4562" t="s">
        <v>647</v>
      </c>
      <c r="F4562" t="s">
        <v>35</v>
      </c>
      <c r="G4562" t="s">
        <v>35</v>
      </c>
      <c r="H4562" t="s">
        <v>35</v>
      </c>
      <c r="J4562" t="s">
        <v>5052</v>
      </c>
      <c r="K4562" t="s">
        <v>1092</v>
      </c>
      <c r="M4562">
        <v>0.13500000000000001</v>
      </c>
      <c r="N4562">
        <v>318</v>
      </c>
      <c r="O4562" t="s">
        <v>5</v>
      </c>
      <c r="Q4562" t="s">
        <v>5053</v>
      </c>
      <c r="R4562" t="s">
        <v>5029</v>
      </c>
      <c r="S4562" t="s">
        <v>648</v>
      </c>
    </row>
    <row r="4563" spans="1:19" x14ac:dyDescent="0.25">
      <c r="A4563" t="s">
        <v>30</v>
      </c>
      <c r="B4563" t="s">
        <v>31</v>
      </c>
      <c r="C4563" t="s">
        <v>32</v>
      </c>
      <c r="D4563" t="s">
        <v>639</v>
      </c>
      <c r="E4563" t="s">
        <v>647</v>
      </c>
      <c r="F4563" t="s">
        <v>35</v>
      </c>
      <c r="G4563" t="s">
        <v>35</v>
      </c>
      <c r="H4563" t="s">
        <v>35</v>
      </c>
      <c r="J4563" t="s">
        <v>5054</v>
      </c>
      <c r="K4563" t="s">
        <v>1092</v>
      </c>
      <c r="M4563">
        <v>0.45</v>
      </c>
      <c r="N4563">
        <v>152</v>
      </c>
      <c r="O4563" t="s">
        <v>38</v>
      </c>
      <c r="Q4563" t="s">
        <v>408</v>
      </c>
      <c r="R4563" t="s">
        <v>642</v>
      </c>
      <c r="S4563" t="s">
        <v>643</v>
      </c>
    </row>
    <row r="4564" spans="1:19" x14ac:dyDescent="0.25">
      <c r="A4564" t="s">
        <v>30</v>
      </c>
      <c r="B4564" t="s">
        <v>31</v>
      </c>
      <c r="C4564" t="s">
        <v>32</v>
      </c>
      <c r="D4564" t="s">
        <v>639</v>
      </c>
      <c r="E4564" t="s">
        <v>5055</v>
      </c>
      <c r="F4564" t="s">
        <v>35</v>
      </c>
      <c r="G4564" t="s">
        <v>35</v>
      </c>
      <c r="H4564" t="s">
        <v>35</v>
      </c>
      <c r="J4564" t="s">
        <v>5056</v>
      </c>
      <c r="K4564" t="s">
        <v>1092</v>
      </c>
      <c r="M4564">
        <v>2.4300000000000002</v>
      </c>
      <c r="N4564">
        <v>896</v>
      </c>
      <c r="O4564" t="s">
        <v>575</v>
      </c>
      <c r="Q4564" t="s">
        <v>5057</v>
      </c>
      <c r="R4564" t="s">
        <v>642</v>
      </c>
      <c r="S4564" t="s">
        <v>643</v>
      </c>
    </row>
    <row r="4565" spans="1:19" x14ac:dyDescent="0.25">
      <c r="A4565" t="s">
        <v>30</v>
      </c>
      <c r="B4565" t="s">
        <v>31</v>
      </c>
      <c r="C4565" t="s">
        <v>32</v>
      </c>
      <c r="D4565" t="s">
        <v>639</v>
      </c>
      <c r="E4565" t="s">
        <v>5055</v>
      </c>
      <c r="F4565" t="s">
        <v>35</v>
      </c>
      <c r="G4565" t="s">
        <v>35</v>
      </c>
      <c r="H4565" t="s">
        <v>35</v>
      </c>
      <c r="J4565" t="s">
        <v>5058</v>
      </c>
      <c r="K4565" t="s">
        <v>1092</v>
      </c>
      <c r="M4565">
        <v>2.97</v>
      </c>
      <c r="N4565">
        <v>73</v>
      </c>
      <c r="O4565" t="s">
        <v>61</v>
      </c>
      <c r="Q4565" t="s">
        <v>552</v>
      </c>
      <c r="R4565" t="s">
        <v>5029</v>
      </c>
      <c r="S4565" t="s">
        <v>648</v>
      </c>
    </row>
    <row r="4566" spans="1:19" x14ac:dyDescent="0.25">
      <c r="A4566" t="s">
        <v>44</v>
      </c>
      <c r="B4566" t="s">
        <v>51</v>
      </c>
      <c r="C4566" t="s">
        <v>32</v>
      </c>
      <c r="D4566" t="s">
        <v>639</v>
      </c>
      <c r="E4566" t="s">
        <v>5055</v>
      </c>
      <c r="F4566" t="s">
        <v>35</v>
      </c>
      <c r="G4566" t="s">
        <v>35</v>
      </c>
      <c r="H4566" t="s">
        <v>35</v>
      </c>
      <c r="J4566" t="s">
        <v>5059</v>
      </c>
      <c r="K4566" t="s">
        <v>1092</v>
      </c>
      <c r="M4566">
        <v>12</v>
      </c>
      <c r="N4566">
        <v>59</v>
      </c>
      <c r="O4566" t="s">
        <v>52</v>
      </c>
      <c r="Q4566" t="s">
        <v>84</v>
      </c>
      <c r="R4566" t="s">
        <v>5029</v>
      </c>
      <c r="S4566" t="s">
        <v>648</v>
      </c>
    </row>
    <row r="4567" spans="1:19" x14ac:dyDescent="0.25">
      <c r="A4567" t="s">
        <v>59</v>
      </c>
      <c r="B4567" t="s">
        <v>31</v>
      </c>
      <c r="C4567" t="s">
        <v>32</v>
      </c>
      <c r="D4567" t="s">
        <v>639</v>
      </c>
      <c r="E4567" t="s">
        <v>5055</v>
      </c>
      <c r="F4567" t="s">
        <v>35</v>
      </c>
      <c r="G4567" t="s">
        <v>35</v>
      </c>
      <c r="H4567" t="s">
        <v>35</v>
      </c>
      <c r="J4567" t="s">
        <v>5060</v>
      </c>
      <c r="K4567" t="s">
        <v>1092</v>
      </c>
      <c r="M4567">
        <v>0.68</v>
      </c>
      <c r="N4567">
        <v>247</v>
      </c>
      <c r="O4567" t="s">
        <v>5</v>
      </c>
      <c r="Q4567" t="s">
        <v>574</v>
      </c>
      <c r="R4567" t="s">
        <v>5009</v>
      </c>
      <c r="S4567" t="s">
        <v>5010</v>
      </c>
    </row>
    <row r="4568" spans="1:19" x14ac:dyDescent="0.25">
      <c r="A4568" t="s">
        <v>30</v>
      </c>
      <c r="B4568" t="s">
        <v>31</v>
      </c>
      <c r="C4568" t="s">
        <v>32</v>
      </c>
      <c r="D4568" t="s">
        <v>639</v>
      </c>
      <c r="E4568" t="s">
        <v>5055</v>
      </c>
      <c r="F4568" t="s">
        <v>35</v>
      </c>
      <c r="G4568" t="s">
        <v>35</v>
      </c>
      <c r="H4568" t="s">
        <v>35</v>
      </c>
      <c r="J4568" t="s">
        <v>5061</v>
      </c>
      <c r="K4568" t="s">
        <v>1092</v>
      </c>
      <c r="M4568">
        <v>0.72</v>
      </c>
      <c r="N4568">
        <v>73</v>
      </c>
      <c r="O4568" t="s">
        <v>61</v>
      </c>
      <c r="Q4568" t="s">
        <v>552</v>
      </c>
      <c r="R4568" t="s">
        <v>5029</v>
      </c>
      <c r="S4568" t="s">
        <v>648</v>
      </c>
    </row>
    <row r="4569" spans="1:19" x14ac:dyDescent="0.25">
      <c r="A4569" t="s">
        <v>30</v>
      </c>
      <c r="B4569" t="s">
        <v>31</v>
      </c>
      <c r="C4569" t="s">
        <v>32</v>
      </c>
      <c r="D4569" t="s">
        <v>639</v>
      </c>
      <c r="E4569" t="s">
        <v>5055</v>
      </c>
      <c r="F4569" t="s">
        <v>35</v>
      </c>
      <c r="G4569" t="s">
        <v>35</v>
      </c>
      <c r="H4569" t="s">
        <v>35</v>
      </c>
      <c r="J4569" t="s">
        <v>5062</v>
      </c>
      <c r="K4569" t="s">
        <v>1092</v>
      </c>
      <c r="M4569">
        <v>3.7349999999999999</v>
      </c>
      <c r="N4569">
        <v>585</v>
      </c>
      <c r="O4569" t="s">
        <v>575</v>
      </c>
      <c r="Q4569" t="s">
        <v>1416</v>
      </c>
      <c r="R4569" t="s">
        <v>642</v>
      </c>
      <c r="S4569" t="s">
        <v>643</v>
      </c>
    </row>
    <row r="4570" spans="1:19" x14ac:dyDescent="0.25">
      <c r="A4570" t="s">
        <v>30</v>
      </c>
      <c r="B4570" t="s">
        <v>31</v>
      </c>
      <c r="C4570" t="s">
        <v>32</v>
      </c>
      <c r="D4570" t="s">
        <v>639</v>
      </c>
      <c r="E4570" t="s">
        <v>5055</v>
      </c>
      <c r="F4570" t="s">
        <v>35</v>
      </c>
      <c r="G4570" t="s">
        <v>35</v>
      </c>
      <c r="H4570" t="s">
        <v>35</v>
      </c>
      <c r="J4570" t="s">
        <v>5063</v>
      </c>
      <c r="K4570" t="s">
        <v>1092</v>
      </c>
      <c r="M4570">
        <v>0.63</v>
      </c>
      <c r="N4570">
        <v>76</v>
      </c>
      <c r="O4570" t="s">
        <v>61</v>
      </c>
      <c r="Q4570" t="s">
        <v>234</v>
      </c>
      <c r="R4570" t="s">
        <v>642</v>
      </c>
      <c r="S4570" t="s">
        <v>643</v>
      </c>
    </row>
    <row r="4571" spans="1:19" x14ac:dyDescent="0.25">
      <c r="A4571" t="s">
        <v>44</v>
      </c>
      <c r="B4571" t="s">
        <v>51</v>
      </c>
      <c r="C4571" t="s">
        <v>32</v>
      </c>
      <c r="D4571" t="s">
        <v>639</v>
      </c>
      <c r="E4571" t="s">
        <v>5064</v>
      </c>
      <c r="F4571" t="s">
        <v>35</v>
      </c>
      <c r="G4571" t="s">
        <v>35</v>
      </c>
      <c r="H4571" t="s">
        <v>35</v>
      </c>
      <c r="J4571" t="s">
        <v>5065</v>
      </c>
      <c r="K4571" t="s">
        <v>404</v>
      </c>
      <c r="M4571">
        <v>4.7</v>
      </c>
      <c r="N4571">
        <v>507</v>
      </c>
      <c r="O4571" t="s">
        <v>294</v>
      </c>
      <c r="Q4571" t="s">
        <v>3822</v>
      </c>
      <c r="R4571" t="s">
        <v>5066</v>
      </c>
      <c r="S4571" t="s">
        <v>5067</v>
      </c>
    </row>
    <row r="4572" spans="1:19" x14ac:dyDescent="0.25">
      <c r="A4572" t="s">
        <v>44</v>
      </c>
      <c r="B4572" t="s">
        <v>51</v>
      </c>
      <c r="C4572" t="s">
        <v>32</v>
      </c>
      <c r="D4572" t="s">
        <v>639</v>
      </c>
      <c r="E4572" t="s">
        <v>5064</v>
      </c>
      <c r="F4572" t="s">
        <v>35</v>
      </c>
      <c r="G4572" t="s">
        <v>35</v>
      </c>
      <c r="H4572" t="s">
        <v>35</v>
      </c>
      <c r="J4572" t="s">
        <v>5069</v>
      </c>
      <c r="K4572" t="s">
        <v>1092</v>
      </c>
      <c r="M4572">
        <v>21.05</v>
      </c>
      <c r="N4572">
        <v>62</v>
      </c>
      <c r="O4572" t="s">
        <v>61</v>
      </c>
      <c r="Q4572" t="s">
        <v>90</v>
      </c>
      <c r="R4572" t="s">
        <v>642</v>
      </c>
      <c r="S4572" t="s">
        <v>643</v>
      </c>
    </row>
    <row r="4573" spans="1:19" x14ac:dyDescent="0.25">
      <c r="A4573" t="s">
        <v>30</v>
      </c>
      <c r="B4573" t="s">
        <v>31</v>
      </c>
      <c r="C4573" t="s">
        <v>32</v>
      </c>
      <c r="D4573" t="s">
        <v>639</v>
      </c>
      <c r="E4573" t="s">
        <v>5064</v>
      </c>
      <c r="F4573" t="s">
        <v>35</v>
      </c>
      <c r="G4573" t="s">
        <v>35</v>
      </c>
      <c r="H4573" t="s">
        <v>35</v>
      </c>
      <c r="J4573" t="s">
        <v>5069</v>
      </c>
      <c r="K4573" t="s">
        <v>1092</v>
      </c>
      <c r="M4573">
        <v>16.829999999999998</v>
      </c>
      <c r="N4573">
        <v>76</v>
      </c>
      <c r="O4573" t="s">
        <v>61</v>
      </c>
      <c r="Q4573" t="s">
        <v>234</v>
      </c>
      <c r="R4573" t="s">
        <v>642</v>
      </c>
      <c r="S4573" t="s">
        <v>643</v>
      </c>
    </row>
    <row r="4574" spans="1:19" x14ac:dyDescent="0.25">
      <c r="A4574" t="s">
        <v>59</v>
      </c>
      <c r="B4574" t="s">
        <v>31</v>
      </c>
      <c r="C4574" t="s">
        <v>32</v>
      </c>
      <c r="D4574" t="s">
        <v>639</v>
      </c>
      <c r="E4574" t="s">
        <v>5064</v>
      </c>
      <c r="F4574" t="s">
        <v>35</v>
      </c>
      <c r="G4574" t="s">
        <v>35</v>
      </c>
      <c r="H4574" t="s">
        <v>35</v>
      </c>
      <c r="J4574" t="s">
        <v>5070</v>
      </c>
      <c r="K4574" t="s">
        <v>1092</v>
      </c>
      <c r="M4574">
        <v>2.835</v>
      </c>
      <c r="N4574">
        <v>114</v>
      </c>
      <c r="O4574" t="s">
        <v>106</v>
      </c>
      <c r="Q4574" t="s">
        <v>288</v>
      </c>
      <c r="R4574" t="s">
        <v>642</v>
      </c>
      <c r="S4574" t="s">
        <v>643</v>
      </c>
    </row>
    <row r="4575" spans="1:19" x14ac:dyDescent="0.25">
      <c r="A4575" t="s">
        <v>30</v>
      </c>
      <c r="B4575" t="s">
        <v>31</v>
      </c>
      <c r="C4575" t="s">
        <v>32</v>
      </c>
      <c r="D4575" t="s">
        <v>639</v>
      </c>
      <c r="E4575" t="s">
        <v>5071</v>
      </c>
      <c r="F4575" t="s">
        <v>35</v>
      </c>
      <c r="G4575" t="s">
        <v>35</v>
      </c>
      <c r="H4575" t="s">
        <v>35</v>
      </c>
      <c r="J4575" t="s">
        <v>5072</v>
      </c>
      <c r="K4575" t="s">
        <v>1092</v>
      </c>
      <c r="M4575">
        <v>9.5000000000000001E-2</v>
      </c>
      <c r="N4575">
        <v>1247</v>
      </c>
      <c r="O4575" t="s">
        <v>575</v>
      </c>
      <c r="Q4575" t="s">
        <v>5073</v>
      </c>
      <c r="R4575" t="s">
        <v>5074</v>
      </c>
      <c r="S4575" t="s">
        <v>5075</v>
      </c>
    </row>
    <row r="4576" spans="1:19" x14ac:dyDescent="0.25">
      <c r="A4576" t="s">
        <v>30</v>
      </c>
      <c r="B4576" t="s">
        <v>31</v>
      </c>
      <c r="C4576" t="s">
        <v>32</v>
      </c>
      <c r="D4576" t="s">
        <v>639</v>
      </c>
      <c r="E4576" t="s">
        <v>5071</v>
      </c>
      <c r="F4576" t="s">
        <v>35</v>
      </c>
      <c r="G4576" t="s">
        <v>35</v>
      </c>
      <c r="H4576" t="s">
        <v>35</v>
      </c>
      <c r="J4576" t="s">
        <v>5077</v>
      </c>
      <c r="K4576" t="s">
        <v>1092</v>
      </c>
      <c r="M4576">
        <v>3.2850000000000001</v>
      </c>
      <c r="N4576">
        <v>75</v>
      </c>
      <c r="O4576" t="s">
        <v>61</v>
      </c>
      <c r="Q4576" t="s">
        <v>805</v>
      </c>
      <c r="R4576" t="s">
        <v>666</v>
      </c>
      <c r="S4576" t="s">
        <v>667</v>
      </c>
    </row>
    <row r="4577" spans="1:19" x14ac:dyDescent="0.25">
      <c r="A4577" t="s">
        <v>44</v>
      </c>
      <c r="B4577" t="s">
        <v>51</v>
      </c>
      <c r="C4577" t="s">
        <v>32</v>
      </c>
      <c r="D4577" t="s">
        <v>639</v>
      </c>
      <c r="E4577" t="s">
        <v>5071</v>
      </c>
      <c r="F4577" t="s">
        <v>35</v>
      </c>
      <c r="G4577" t="s">
        <v>35</v>
      </c>
      <c r="H4577" t="s">
        <v>35</v>
      </c>
      <c r="J4577" t="s">
        <v>5077</v>
      </c>
      <c r="K4577" t="s">
        <v>1092</v>
      </c>
      <c r="M4577">
        <v>4.8499999999999996</v>
      </c>
      <c r="N4577">
        <v>61</v>
      </c>
      <c r="O4577" t="s">
        <v>61</v>
      </c>
      <c r="Q4577" t="s">
        <v>671</v>
      </c>
      <c r="R4577" t="s">
        <v>666</v>
      </c>
      <c r="S4577" t="s">
        <v>667</v>
      </c>
    </row>
    <row r="4578" spans="1:19" x14ac:dyDescent="0.25">
      <c r="A4578" t="s">
        <v>30</v>
      </c>
      <c r="B4578" t="s">
        <v>31</v>
      </c>
      <c r="C4578" t="s">
        <v>32</v>
      </c>
      <c r="D4578" t="s">
        <v>639</v>
      </c>
      <c r="E4578" t="s">
        <v>5078</v>
      </c>
      <c r="F4578" t="s">
        <v>35</v>
      </c>
      <c r="G4578" t="s">
        <v>35</v>
      </c>
      <c r="H4578" t="s">
        <v>35</v>
      </c>
      <c r="J4578" t="s">
        <v>5079</v>
      </c>
      <c r="K4578" t="s">
        <v>1092</v>
      </c>
      <c r="M4578">
        <v>2.25</v>
      </c>
      <c r="N4578">
        <v>63</v>
      </c>
      <c r="O4578" t="s">
        <v>61</v>
      </c>
      <c r="Q4578" t="s">
        <v>423</v>
      </c>
      <c r="R4578" t="s">
        <v>5080</v>
      </c>
      <c r="S4578" t="s">
        <v>5081</v>
      </c>
    </row>
    <row r="4579" spans="1:19" x14ac:dyDescent="0.25">
      <c r="A4579" t="s">
        <v>30</v>
      </c>
      <c r="B4579" t="s">
        <v>31</v>
      </c>
      <c r="C4579" t="s">
        <v>32</v>
      </c>
      <c r="D4579" t="s">
        <v>639</v>
      </c>
      <c r="E4579" t="s">
        <v>5078</v>
      </c>
      <c r="F4579" t="s">
        <v>35</v>
      </c>
      <c r="G4579" t="s">
        <v>35</v>
      </c>
      <c r="H4579" t="s">
        <v>35</v>
      </c>
      <c r="J4579" t="s">
        <v>5079</v>
      </c>
      <c r="K4579" t="s">
        <v>1092</v>
      </c>
      <c r="M4579">
        <v>0.99</v>
      </c>
      <c r="N4579">
        <v>126</v>
      </c>
      <c r="O4579" t="s">
        <v>38</v>
      </c>
      <c r="Q4579" t="s">
        <v>1813</v>
      </c>
      <c r="R4579" t="s">
        <v>5080</v>
      </c>
      <c r="S4579" t="s">
        <v>5081</v>
      </c>
    </row>
    <row r="4580" spans="1:19" x14ac:dyDescent="0.25">
      <c r="A4580" t="s">
        <v>30</v>
      </c>
      <c r="B4580" t="s">
        <v>31</v>
      </c>
      <c r="C4580" t="s">
        <v>32</v>
      </c>
      <c r="D4580" t="s">
        <v>639</v>
      </c>
      <c r="E4580" t="s">
        <v>5078</v>
      </c>
      <c r="F4580" t="s">
        <v>35</v>
      </c>
      <c r="G4580" t="s">
        <v>35</v>
      </c>
      <c r="H4580" t="s">
        <v>35</v>
      </c>
      <c r="J4580" t="s">
        <v>5079</v>
      </c>
      <c r="K4580" t="s">
        <v>1092</v>
      </c>
      <c r="M4580">
        <v>1.08</v>
      </c>
      <c r="N4580">
        <v>107</v>
      </c>
      <c r="O4580" t="s">
        <v>106</v>
      </c>
      <c r="Q4580" t="s">
        <v>1621</v>
      </c>
      <c r="R4580" t="s">
        <v>5080</v>
      </c>
      <c r="S4580" t="s">
        <v>5081</v>
      </c>
    </row>
    <row r="4581" spans="1:19" x14ac:dyDescent="0.25">
      <c r="A4581" t="s">
        <v>30</v>
      </c>
      <c r="B4581" t="s">
        <v>31</v>
      </c>
      <c r="C4581" t="s">
        <v>32</v>
      </c>
      <c r="D4581" t="s">
        <v>639</v>
      </c>
      <c r="E4581" t="s">
        <v>5078</v>
      </c>
      <c r="F4581" t="s">
        <v>35</v>
      </c>
      <c r="G4581" t="s">
        <v>35</v>
      </c>
      <c r="H4581" t="s">
        <v>35</v>
      </c>
      <c r="J4581" t="s">
        <v>5079</v>
      </c>
      <c r="K4581" t="s">
        <v>1092</v>
      </c>
      <c r="M4581">
        <v>1.125</v>
      </c>
      <c r="N4581">
        <v>121</v>
      </c>
      <c r="O4581" t="s">
        <v>38</v>
      </c>
      <c r="Q4581" t="s">
        <v>2895</v>
      </c>
      <c r="R4581" t="s">
        <v>5080</v>
      </c>
      <c r="S4581" t="s">
        <v>5081</v>
      </c>
    </row>
    <row r="4582" spans="1:19" x14ac:dyDescent="0.25">
      <c r="A4582" t="s">
        <v>30</v>
      </c>
      <c r="B4582" t="s">
        <v>31</v>
      </c>
      <c r="C4582" t="s">
        <v>32</v>
      </c>
      <c r="D4582" t="s">
        <v>639</v>
      </c>
      <c r="E4582" t="s">
        <v>5078</v>
      </c>
      <c r="F4582" t="s">
        <v>35</v>
      </c>
      <c r="G4582" t="s">
        <v>35</v>
      </c>
      <c r="H4582" t="s">
        <v>35</v>
      </c>
      <c r="J4582" t="s">
        <v>5079</v>
      </c>
      <c r="K4582" t="s">
        <v>1092</v>
      </c>
      <c r="M4582">
        <v>1.8</v>
      </c>
      <c r="N4582">
        <v>145</v>
      </c>
      <c r="O4582" t="s">
        <v>38</v>
      </c>
      <c r="Q4582" t="s">
        <v>1149</v>
      </c>
      <c r="R4582" t="s">
        <v>5080</v>
      </c>
      <c r="S4582" t="s">
        <v>5081</v>
      </c>
    </row>
    <row r="4583" spans="1:19" x14ac:dyDescent="0.25">
      <c r="A4583" t="s">
        <v>30</v>
      </c>
      <c r="B4583" t="s">
        <v>31</v>
      </c>
      <c r="C4583" t="s">
        <v>32</v>
      </c>
      <c r="D4583" t="s">
        <v>639</v>
      </c>
      <c r="E4583" t="s">
        <v>5078</v>
      </c>
      <c r="F4583" t="s">
        <v>35</v>
      </c>
      <c r="G4583" t="s">
        <v>35</v>
      </c>
      <c r="H4583" t="s">
        <v>35</v>
      </c>
      <c r="J4583" t="s">
        <v>5079</v>
      </c>
      <c r="K4583" t="s">
        <v>1092</v>
      </c>
      <c r="M4583">
        <v>2.79</v>
      </c>
      <c r="N4583">
        <v>240</v>
      </c>
      <c r="O4583" t="s">
        <v>5</v>
      </c>
      <c r="Q4583" t="s">
        <v>2516</v>
      </c>
      <c r="R4583" t="s">
        <v>41</v>
      </c>
      <c r="S4583" t="s">
        <v>42</v>
      </c>
    </row>
    <row r="4584" spans="1:19" x14ac:dyDescent="0.25">
      <c r="A4584" t="s">
        <v>30</v>
      </c>
      <c r="B4584" t="s">
        <v>31</v>
      </c>
      <c r="C4584" t="s">
        <v>32</v>
      </c>
      <c r="D4584" t="s">
        <v>639</v>
      </c>
      <c r="E4584" t="s">
        <v>5078</v>
      </c>
      <c r="F4584" t="s">
        <v>35</v>
      </c>
      <c r="G4584" t="s">
        <v>35</v>
      </c>
      <c r="H4584" t="s">
        <v>35</v>
      </c>
      <c r="J4584" t="s">
        <v>5079</v>
      </c>
      <c r="K4584" t="s">
        <v>1092</v>
      </c>
      <c r="M4584">
        <v>1.8</v>
      </c>
      <c r="N4584">
        <v>410</v>
      </c>
      <c r="O4584" t="s">
        <v>294</v>
      </c>
      <c r="Q4584" t="s">
        <v>4301</v>
      </c>
      <c r="R4584" t="s">
        <v>41</v>
      </c>
      <c r="S4584" t="s">
        <v>42</v>
      </c>
    </row>
    <row r="4585" spans="1:19" x14ac:dyDescent="0.25">
      <c r="A4585" t="s">
        <v>30</v>
      </c>
      <c r="B4585" t="s">
        <v>31</v>
      </c>
      <c r="C4585" t="s">
        <v>32</v>
      </c>
      <c r="D4585" t="s">
        <v>639</v>
      </c>
      <c r="E4585" t="s">
        <v>5078</v>
      </c>
      <c r="F4585" t="s">
        <v>35</v>
      </c>
      <c r="G4585" t="s">
        <v>35</v>
      </c>
      <c r="H4585" t="s">
        <v>35</v>
      </c>
      <c r="J4585" t="s">
        <v>5083</v>
      </c>
      <c r="K4585" t="s">
        <v>1092</v>
      </c>
      <c r="M4585">
        <v>1.395</v>
      </c>
      <c r="N4585">
        <v>262</v>
      </c>
      <c r="O4585" t="s">
        <v>5</v>
      </c>
      <c r="Q4585" t="s">
        <v>264</v>
      </c>
      <c r="R4585" t="s">
        <v>5031</v>
      </c>
      <c r="S4585" t="s">
        <v>653</v>
      </c>
    </row>
    <row r="4586" spans="1:19" x14ac:dyDescent="0.25">
      <c r="A4586" t="s">
        <v>30</v>
      </c>
      <c r="B4586" t="s">
        <v>31</v>
      </c>
      <c r="C4586" t="s">
        <v>32</v>
      </c>
      <c r="D4586" t="s">
        <v>639</v>
      </c>
      <c r="E4586" t="s">
        <v>5078</v>
      </c>
      <c r="F4586" t="s">
        <v>35</v>
      </c>
      <c r="G4586" t="s">
        <v>35</v>
      </c>
      <c r="H4586" t="s">
        <v>35</v>
      </c>
      <c r="J4586" t="s">
        <v>5084</v>
      </c>
      <c r="K4586" t="s">
        <v>1092</v>
      </c>
      <c r="M4586">
        <v>2.2050000000000001</v>
      </c>
      <c r="N4586">
        <v>163</v>
      </c>
      <c r="O4586" t="s">
        <v>38</v>
      </c>
      <c r="Q4586" t="s">
        <v>1632</v>
      </c>
      <c r="R4586" t="s">
        <v>5031</v>
      </c>
      <c r="S4586" t="s">
        <v>653</v>
      </c>
    </row>
    <row r="4587" spans="1:19" x14ac:dyDescent="0.25">
      <c r="A4587" t="s">
        <v>59</v>
      </c>
      <c r="B4587" t="s">
        <v>31</v>
      </c>
      <c r="C4587" t="s">
        <v>32</v>
      </c>
      <c r="D4587" t="s">
        <v>639</v>
      </c>
      <c r="E4587" t="s">
        <v>5078</v>
      </c>
      <c r="F4587" t="s">
        <v>35</v>
      </c>
      <c r="G4587" t="s">
        <v>35</v>
      </c>
      <c r="H4587" t="s">
        <v>35</v>
      </c>
      <c r="J4587" t="s">
        <v>5085</v>
      </c>
      <c r="K4587" t="s">
        <v>1092</v>
      </c>
      <c r="M4587">
        <v>5.49</v>
      </c>
      <c r="N4587">
        <v>1067</v>
      </c>
      <c r="O4587" t="s">
        <v>575</v>
      </c>
      <c r="Q4587" t="s">
        <v>1407</v>
      </c>
      <c r="R4587" t="s">
        <v>642</v>
      </c>
      <c r="S4587" t="s">
        <v>643</v>
      </c>
    </row>
    <row r="4588" spans="1:19" x14ac:dyDescent="0.25">
      <c r="A4588" t="s">
        <v>30</v>
      </c>
      <c r="B4588" t="s">
        <v>31</v>
      </c>
      <c r="C4588" t="s">
        <v>32</v>
      </c>
      <c r="D4588" t="s">
        <v>639</v>
      </c>
      <c r="E4588" t="s">
        <v>5078</v>
      </c>
      <c r="F4588" t="s">
        <v>35</v>
      </c>
      <c r="G4588" t="s">
        <v>35</v>
      </c>
      <c r="H4588" t="s">
        <v>35</v>
      </c>
      <c r="J4588" t="s">
        <v>5085</v>
      </c>
      <c r="K4588" t="s">
        <v>1092</v>
      </c>
      <c r="M4588">
        <v>3.69</v>
      </c>
      <c r="N4588">
        <v>1183</v>
      </c>
      <c r="O4588" t="s">
        <v>575</v>
      </c>
      <c r="Q4588" t="s">
        <v>5087</v>
      </c>
      <c r="R4588" t="s">
        <v>642</v>
      </c>
      <c r="S4588" t="s">
        <v>643</v>
      </c>
    </row>
    <row r="4589" spans="1:19" x14ac:dyDescent="0.25">
      <c r="A4589" t="s">
        <v>59</v>
      </c>
      <c r="B4589" t="s">
        <v>31</v>
      </c>
      <c r="C4589" t="s">
        <v>32</v>
      </c>
      <c r="D4589" t="s">
        <v>639</v>
      </c>
      <c r="E4589" t="s">
        <v>5078</v>
      </c>
      <c r="F4589" t="s">
        <v>35</v>
      </c>
      <c r="G4589" t="s">
        <v>35</v>
      </c>
      <c r="H4589" t="s">
        <v>35</v>
      </c>
      <c r="J4589" t="s">
        <v>5085</v>
      </c>
      <c r="K4589" t="s">
        <v>1092</v>
      </c>
      <c r="M4589">
        <v>1.98</v>
      </c>
      <c r="N4589">
        <v>1284</v>
      </c>
      <c r="O4589" t="s">
        <v>575</v>
      </c>
      <c r="Q4589" t="s">
        <v>5086</v>
      </c>
      <c r="R4589" t="s">
        <v>642</v>
      </c>
      <c r="S4589" t="s">
        <v>643</v>
      </c>
    </row>
    <row r="4590" spans="1:19" x14ac:dyDescent="0.25">
      <c r="A4590" t="s">
        <v>30</v>
      </c>
      <c r="B4590" t="s">
        <v>31</v>
      </c>
      <c r="C4590" t="s">
        <v>32</v>
      </c>
      <c r="D4590" t="s">
        <v>639</v>
      </c>
      <c r="E4590" t="s">
        <v>5078</v>
      </c>
      <c r="F4590" t="s">
        <v>35</v>
      </c>
      <c r="G4590" t="s">
        <v>35</v>
      </c>
      <c r="H4590" t="s">
        <v>35</v>
      </c>
      <c r="J4590" t="s">
        <v>5088</v>
      </c>
      <c r="K4590" t="s">
        <v>1092</v>
      </c>
      <c r="M4590">
        <v>2.61</v>
      </c>
      <c r="N4590">
        <v>144</v>
      </c>
      <c r="O4590" t="s">
        <v>38</v>
      </c>
      <c r="Q4590" t="s">
        <v>2929</v>
      </c>
      <c r="R4590" t="s">
        <v>5089</v>
      </c>
      <c r="S4590" t="s">
        <v>2633</v>
      </c>
    </row>
    <row r="4591" spans="1:19" x14ac:dyDescent="0.25">
      <c r="A4591" t="s">
        <v>30</v>
      </c>
      <c r="B4591" t="s">
        <v>31</v>
      </c>
      <c r="C4591" t="s">
        <v>32</v>
      </c>
      <c r="D4591" t="s">
        <v>639</v>
      </c>
      <c r="E4591" t="s">
        <v>5078</v>
      </c>
      <c r="F4591" t="s">
        <v>35</v>
      </c>
      <c r="G4591" t="s">
        <v>35</v>
      </c>
      <c r="H4591" t="s">
        <v>35</v>
      </c>
      <c r="J4591" t="s">
        <v>5091</v>
      </c>
      <c r="K4591" t="s">
        <v>1092</v>
      </c>
      <c r="M4591">
        <v>0.99</v>
      </c>
      <c r="N4591">
        <v>67</v>
      </c>
      <c r="O4591" t="s">
        <v>61</v>
      </c>
      <c r="Q4591" t="s">
        <v>1311</v>
      </c>
      <c r="R4591" t="s">
        <v>5080</v>
      </c>
      <c r="S4591" t="s">
        <v>5081</v>
      </c>
    </row>
    <row r="4592" spans="1:19" x14ac:dyDescent="0.25">
      <c r="A4592" t="s">
        <v>44</v>
      </c>
      <c r="B4592" t="s">
        <v>51</v>
      </c>
      <c r="C4592" t="s">
        <v>32</v>
      </c>
      <c r="D4592" t="s">
        <v>639</v>
      </c>
      <c r="E4592" t="s">
        <v>5078</v>
      </c>
      <c r="F4592" t="s">
        <v>35</v>
      </c>
      <c r="G4592" t="s">
        <v>35</v>
      </c>
      <c r="H4592" t="s">
        <v>35</v>
      </c>
      <c r="J4592" t="s">
        <v>5092</v>
      </c>
      <c r="K4592" t="s">
        <v>1092</v>
      </c>
      <c r="M4592">
        <v>0.56999999999999995</v>
      </c>
      <c r="N4592">
        <v>133</v>
      </c>
      <c r="O4592" t="s">
        <v>38</v>
      </c>
      <c r="Q4592" t="s">
        <v>68</v>
      </c>
      <c r="R4592" t="s">
        <v>5089</v>
      </c>
      <c r="S4592" t="s">
        <v>2633</v>
      </c>
    </row>
    <row r="4593" spans="1:19" x14ac:dyDescent="0.25">
      <c r="A4593" t="s">
        <v>30</v>
      </c>
      <c r="B4593" t="s">
        <v>31</v>
      </c>
      <c r="C4593" t="s">
        <v>32</v>
      </c>
      <c r="D4593" t="s">
        <v>639</v>
      </c>
      <c r="E4593" t="s">
        <v>5078</v>
      </c>
      <c r="F4593" t="s">
        <v>35</v>
      </c>
      <c r="G4593" t="s">
        <v>35</v>
      </c>
      <c r="H4593" t="s">
        <v>35</v>
      </c>
      <c r="J4593" t="s">
        <v>5093</v>
      </c>
      <c r="K4593" t="s">
        <v>1092</v>
      </c>
      <c r="M4593">
        <v>6.75</v>
      </c>
      <c r="N4593">
        <v>152</v>
      </c>
      <c r="O4593" t="s">
        <v>38</v>
      </c>
      <c r="Q4593" t="s">
        <v>408</v>
      </c>
      <c r="R4593" t="s">
        <v>5094</v>
      </c>
      <c r="S4593" t="s">
        <v>5095</v>
      </c>
    </row>
    <row r="4594" spans="1:19" x14ac:dyDescent="0.25">
      <c r="A4594" t="s">
        <v>30</v>
      </c>
      <c r="B4594" t="s">
        <v>31</v>
      </c>
      <c r="C4594" t="s">
        <v>32</v>
      </c>
      <c r="D4594" t="s">
        <v>639</v>
      </c>
      <c r="E4594" t="s">
        <v>5078</v>
      </c>
      <c r="F4594" t="s">
        <v>35</v>
      </c>
      <c r="G4594" t="s">
        <v>35</v>
      </c>
      <c r="H4594" t="s">
        <v>35</v>
      </c>
      <c r="J4594" t="s">
        <v>5093</v>
      </c>
      <c r="K4594" t="s">
        <v>1092</v>
      </c>
      <c r="M4594">
        <v>0.45</v>
      </c>
      <c r="N4594">
        <v>173</v>
      </c>
      <c r="O4594" t="s">
        <v>38</v>
      </c>
      <c r="Q4594" t="s">
        <v>1345</v>
      </c>
      <c r="R4594" t="s">
        <v>5094</v>
      </c>
      <c r="S4594" t="s">
        <v>5095</v>
      </c>
    </row>
    <row r="4595" spans="1:19" x14ac:dyDescent="0.25">
      <c r="A4595" t="s">
        <v>30</v>
      </c>
      <c r="B4595" t="s">
        <v>31</v>
      </c>
      <c r="C4595" t="s">
        <v>32</v>
      </c>
      <c r="D4595" t="s">
        <v>639</v>
      </c>
      <c r="E4595" t="s">
        <v>5078</v>
      </c>
      <c r="F4595" t="s">
        <v>35</v>
      </c>
      <c r="G4595" t="s">
        <v>35</v>
      </c>
      <c r="H4595" t="s">
        <v>35</v>
      </c>
      <c r="J4595" t="s">
        <v>5093</v>
      </c>
      <c r="K4595" t="s">
        <v>1092</v>
      </c>
      <c r="M4595">
        <v>2.25</v>
      </c>
      <c r="N4595">
        <v>63</v>
      </c>
      <c r="O4595" t="s">
        <v>61</v>
      </c>
      <c r="Q4595" t="s">
        <v>423</v>
      </c>
      <c r="R4595" t="s">
        <v>5094</v>
      </c>
      <c r="S4595" t="s">
        <v>5095</v>
      </c>
    </row>
    <row r="4596" spans="1:19" x14ac:dyDescent="0.25">
      <c r="A4596" t="s">
        <v>30</v>
      </c>
      <c r="B4596" t="s">
        <v>31</v>
      </c>
      <c r="C4596" t="s">
        <v>32</v>
      </c>
      <c r="D4596" t="s">
        <v>639</v>
      </c>
      <c r="E4596" t="s">
        <v>652</v>
      </c>
      <c r="F4596" t="s">
        <v>35</v>
      </c>
      <c r="G4596" t="s">
        <v>35</v>
      </c>
      <c r="H4596" t="s">
        <v>35</v>
      </c>
      <c r="J4596" t="s">
        <v>5097</v>
      </c>
      <c r="K4596" t="s">
        <v>1092</v>
      </c>
      <c r="M4596">
        <v>0.67500000000000004</v>
      </c>
      <c r="N4596">
        <v>76</v>
      </c>
      <c r="O4596" t="s">
        <v>61</v>
      </c>
      <c r="Q4596" t="s">
        <v>234</v>
      </c>
      <c r="R4596" t="s">
        <v>642</v>
      </c>
      <c r="S4596" t="s">
        <v>643</v>
      </c>
    </row>
    <row r="4597" spans="1:19" x14ac:dyDescent="0.25">
      <c r="A4597" t="s">
        <v>44</v>
      </c>
      <c r="B4597" t="s">
        <v>51</v>
      </c>
      <c r="C4597" t="s">
        <v>32</v>
      </c>
      <c r="D4597" t="s">
        <v>639</v>
      </c>
      <c r="E4597" t="s">
        <v>652</v>
      </c>
      <c r="F4597" t="s">
        <v>35</v>
      </c>
      <c r="G4597" t="s">
        <v>35</v>
      </c>
      <c r="H4597" t="s">
        <v>35</v>
      </c>
      <c r="J4597" t="s">
        <v>5098</v>
      </c>
      <c r="K4597" t="s">
        <v>1092</v>
      </c>
      <c r="M4597">
        <v>12</v>
      </c>
      <c r="N4597">
        <v>61</v>
      </c>
      <c r="O4597" t="s">
        <v>61</v>
      </c>
      <c r="Q4597" t="s">
        <v>671</v>
      </c>
      <c r="R4597" t="s">
        <v>5031</v>
      </c>
      <c r="S4597" t="s">
        <v>653</v>
      </c>
    </row>
    <row r="4598" spans="1:19" x14ac:dyDescent="0.25">
      <c r="A4598" t="s">
        <v>59</v>
      </c>
      <c r="B4598" t="s">
        <v>60</v>
      </c>
      <c r="C4598" t="s">
        <v>32</v>
      </c>
      <c r="D4598" t="s">
        <v>639</v>
      </c>
      <c r="E4598" t="s">
        <v>652</v>
      </c>
      <c r="F4598" t="s">
        <v>35</v>
      </c>
      <c r="G4598" t="s">
        <v>35</v>
      </c>
      <c r="H4598" t="s">
        <v>35</v>
      </c>
      <c r="J4598" t="s">
        <v>5099</v>
      </c>
      <c r="K4598" t="s">
        <v>1092</v>
      </c>
      <c r="M4598">
        <v>0.7</v>
      </c>
      <c r="N4598">
        <v>218</v>
      </c>
      <c r="O4598" t="s">
        <v>5</v>
      </c>
      <c r="Q4598" t="s">
        <v>1504</v>
      </c>
      <c r="R4598" t="s">
        <v>642</v>
      </c>
      <c r="S4598" t="s">
        <v>643</v>
      </c>
    </row>
    <row r="4599" spans="1:19" x14ac:dyDescent="0.25">
      <c r="A4599" t="s">
        <v>59</v>
      </c>
      <c r="B4599" t="s">
        <v>60</v>
      </c>
      <c r="C4599" t="s">
        <v>32</v>
      </c>
      <c r="D4599" t="s">
        <v>639</v>
      </c>
      <c r="E4599" t="s">
        <v>652</v>
      </c>
      <c r="F4599" t="s">
        <v>35</v>
      </c>
      <c r="G4599" t="s">
        <v>35</v>
      </c>
      <c r="H4599" t="s">
        <v>35</v>
      </c>
      <c r="J4599" t="s">
        <v>5099</v>
      </c>
      <c r="K4599" t="s">
        <v>1092</v>
      </c>
      <c r="M4599">
        <v>6</v>
      </c>
      <c r="N4599">
        <v>131</v>
      </c>
      <c r="O4599" t="s">
        <v>38</v>
      </c>
      <c r="Q4599" t="s">
        <v>646</v>
      </c>
      <c r="R4599" t="s">
        <v>642</v>
      </c>
      <c r="S4599" t="s">
        <v>643</v>
      </c>
    </row>
    <row r="4600" spans="1:19" x14ac:dyDescent="0.25">
      <c r="A4600" t="s">
        <v>30</v>
      </c>
      <c r="B4600" t="s">
        <v>31</v>
      </c>
      <c r="C4600" t="s">
        <v>32</v>
      </c>
      <c r="D4600" t="s">
        <v>639</v>
      </c>
      <c r="E4600" t="s">
        <v>652</v>
      </c>
      <c r="F4600" t="s">
        <v>35</v>
      </c>
      <c r="G4600" t="s">
        <v>35</v>
      </c>
      <c r="H4600" t="s">
        <v>35</v>
      </c>
      <c r="J4600" t="s">
        <v>5100</v>
      </c>
      <c r="K4600" t="s">
        <v>1092</v>
      </c>
      <c r="M4600">
        <v>1.125</v>
      </c>
      <c r="N4600">
        <v>63</v>
      </c>
      <c r="O4600" t="s">
        <v>61</v>
      </c>
      <c r="Q4600" t="s">
        <v>423</v>
      </c>
      <c r="R4600" t="s">
        <v>5094</v>
      </c>
      <c r="S4600" t="s">
        <v>5095</v>
      </c>
    </row>
    <row r="4601" spans="1:19" x14ac:dyDescent="0.25">
      <c r="A4601" t="s">
        <v>59</v>
      </c>
      <c r="B4601" t="s">
        <v>31</v>
      </c>
      <c r="C4601" t="s">
        <v>32</v>
      </c>
      <c r="D4601" t="s">
        <v>639</v>
      </c>
      <c r="E4601" t="s">
        <v>652</v>
      </c>
      <c r="F4601" t="s">
        <v>35</v>
      </c>
      <c r="G4601" t="s">
        <v>35</v>
      </c>
      <c r="H4601" t="s">
        <v>35</v>
      </c>
      <c r="J4601" t="s">
        <v>5101</v>
      </c>
      <c r="K4601" t="s">
        <v>1092</v>
      </c>
      <c r="M4601">
        <v>0.13500000000000001</v>
      </c>
      <c r="N4601">
        <v>638</v>
      </c>
      <c r="O4601" t="s">
        <v>575</v>
      </c>
      <c r="Q4601" t="s">
        <v>5102</v>
      </c>
      <c r="R4601" t="s">
        <v>5103</v>
      </c>
      <c r="S4601" t="s">
        <v>5104</v>
      </c>
    </row>
    <row r="4602" spans="1:19" x14ac:dyDescent="0.25">
      <c r="A4602" t="s">
        <v>44</v>
      </c>
      <c r="B4602" t="s">
        <v>51</v>
      </c>
      <c r="C4602" t="s">
        <v>32</v>
      </c>
      <c r="D4602" t="s">
        <v>639</v>
      </c>
      <c r="E4602" t="s">
        <v>652</v>
      </c>
      <c r="F4602" t="s">
        <v>35</v>
      </c>
      <c r="G4602" t="s">
        <v>35</v>
      </c>
      <c r="H4602" t="s">
        <v>35</v>
      </c>
      <c r="J4602" t="s">
        <v>5101</v>
      </c>
      <c r="K4602" t="s">
        <v>1092</v>
      </c>
      <c r="M4602">
        <v>3.5</v>
      </c>
      <c r="N4602">
        <v>241</v>
      </c>
      <c r="O4602" t="s">
        <v>5</v>
      </c>
      <c r="Q4602" t="s">
        <v>3415</v>
      </c>
      <c r="R4602" t="s">
        <v>5031</v>
      </c>
      <c r="S4602" t="s">
        <v>653</v>
      </c>
    </row>
    <row r="4603" spans="1:19" x14ac:dyDescent="0.25">
      <c r="A4603" t="s">
        <v>30</v>
      </c>
      <c r="B4603" t="s">
        <v>31</v>
      </c>
      <c r="C4603" t="s">
        <v>32</v>
      </c>
      <c r="D4603" t="s">
        <v>639</v>
      </c>
      <c r="E4603" t="s">
        <v>652</v>
      </c>
      <c r="F4603" t="s">
        <v>35</v>
      </c>
      <c r="G4603" t="s">
        <v>35</v>
      </c>
      <c r="H4603" t="s">
        <v>35</v>
      </c>
      <c r="J4603" t="s">
        <v>5101</v>
      </c>
      <c r="K4603" t="s">
        <v>1092</v>
      </c>
      <c r="M4603">
        <v>4.8150000000000004</v>
      </c>
      <c r="N4603">
        <v>241</v>
      </c>
      <c r="O4603" t="s">
        <v>5</v>
      </c>
      <c r="Q4603" t="s">
        <v>3415</v>
      </c>
      <c r="R4603" t="s">
        <v>5031</v>
      </c>
      <c r="S4603" t="s">
        <v>653</v>
      </c>
    </row>
    <row r="4604" spans="1:19" x14ac:dyDescent="0.25">
      <c r="A4604" t="s">
        <v>59</v>
      </c>
      <c r="B4604" t="s">
        <v>31</v>
      </c>
      <c r="C4604" t="s">
        <v>32</v>
      </c>
      <c r="D4604" t="s">
        <v>639</v>
      </c>
      <c r="E4604" t="s">
        <v>652</v>
      </c>
      <c r="F4604" t="s">
        <v>35</v>
      </c>
      <c r="G4604" t="s">
        <v>35</v>
      </c>
      <c r="H4604" t="s">
        <v>35</v>
      </c>
      <c r="J4604" t="s">
        <v>5101</v>
      </c>
      <c r="K4604" t="s">
        <v>1092</v>
      </c>
      <c r="M4604">
        <v>12</v>
      </c>
      <c r="N4604">
        <v>260</v>
      </c>
      <c r="O4604" t="s">
        <v>5</v>
      </c>
      <c r="Q4604" t="s">
        <v>5106</v>
      </c>
      <c r="R4604" t="s">
        <v>5031</v>
      </c>
      <c r="S4604" t="s">
        <v>653</v>
      </c>
    </row>
    <row r="4605" spans="1:19" x14ac:dyDescent="0.25">
      <c r="A4605" t="s">
        <v>30</v>
      </c>
      <c r="B4605" t="s">
        <v>31</v>
      </c>
      <c r="C4605" t="s">
        <v>32</v>
      </c>
      <c r="D4605" t="s">
        <v>639</v>
      </c>
      <c r="E4605" t="s">
        <v>652</v>
      </c>
      <c r="F4605" t="s">
        <v>35</v>
      </c>
      <c r="G4605" t="s">
        <v>35</v>
      </c>
      <c r="H4605" t="s">
        <v>35</v>
      </c>
      <c r="J4605" t="s">
        <v>5107</v>
      </c>
      <c r="K4605" t="s">
        <v>1092</v>
      </c>
      <c r="M4605">
        <v>9.6300000000000008</v>
      </c>
      <c r="N4605">
        <v>170</v>
      </c>
      <c r="O4605" t="s">
        <v>38</v>
      </c>
      <c r="Q4605" t="s">
        <v>2780</v>
      </c>
      <c r="R4605" t="s">
        <v>642</v>
      </c>
      <c r="S4605" t="s">
        <v>643</v>
      </c>
    </row>
    <row r="4606" spans="1:19" x14ac:dyDescent="0.25">
      <c r="A4606" t="s">
        <v>30</v>
      </c>
      <c r="B4606" t="s">
        <v>31</v>
      </c>
      <c r="C4606" t="s">
        <v>32</v>
      </c>
      <c r="D4606" t="s">
        <v>639</v>
      </c>
      <c r="E4606" t="s">
        <v>652</v>
      </c>
      <c r="F4606" t="s">
        <v>35</v>
      </c>
      <c r="G4606" t="s">
        <v>35</v>
      </c>
      <c r="H4606" t="s">
        <v>35</v>
      </c>
      <c r="J4606" t="s">
        <v>5108</v>
      </c>
      <c r="K4606" t="s">
        <v>1092</v>
      </c>
      <c r="M4606">
        <v>0.13500000000000001</v>
      </c>
      <c r="N4606">
        <v>76</v>
      </c>
      <c r="O4606" t="s">
        <v>61</v>
      </c>
      <c r="Q4606" t="s">
        <v>234</v>
      </c>
      <c r="R4606" t="s">
        <v>642</v>
      </c>
      <c r="S4606" t="s">
        <v>643</v>
      </c>
    </row>
    <row r="4607" spans="1:19" x14ac:dyDescent="0.25">
      <c r="A4607" t="s">
        <v>30</v>
      </c>
      <c r="B4607" t="s">
        <v>31</v>
      </c>
      <c r="C4607" t="s">
        <v>32</v>
      </c>
      <c r="D4607" t="s">
        <v>639</v>
      </c>
      <c r="E4607" t="s">
        <v>652</v>
      </c>
      <c r="F4607" t="s">
        <v>35</v>
      </c>
      <c r="G4607" t="s">
        <v>35</v>
      </c>
      <c r="H4607" t="s">
        <v>35</v>
      </c>
      <c r="J4607" t="s">
        <v>5109</v>
      </c>
      <c r="K4607" t="s">
        <v>1092</v>
      </c>
      <c r="M4607">
        <v>0.13500000000000001</v>
      </c>
      <c r="N4607">
        <v>60</v>
      </c>
      <c r="O4607" t="s">
        <v>52</v>
      </c>
      <c r="Q4607" t="s">
        <v>1734</v>
      </c>
      <c r="R4607" t="s">
        <v>5031</v>
      </c>
      <c r="S4607" t="s">
        <v>653</v>
      </c>
    </row>
    <row r="4608" spans="1:19" x14ac:dyDescent="0.25">
      <c r="A4608" t="s">
        <v>59</v>
      </c>
      <c r="B4608" t="s">
        <v>60</v>
      </c>
      <c r="C4608" t="s">
        <v>32</v>
      </c>
      <c r="D4608" t="s">
        <v>639</v>
      </c>
      <c r="E4608" t="s">
        <v>652</v>
      </c>
      <c r="F4608" t="s">
        <v>35</v>
      </c>
      <c r="G4608" t="s">
        <v>35</v>
      </c>
      <c r="H4608" t="s">
        <v>35</v>
      </c>
      <c r="J4608" t="s">
        <v>5110</v>
      </c>
      <c r="K4608" t="s">
        <v>1092</v>
      </c>
      <c r="M4608">
        <v>0.3</v>
      </c>
      <c r="N4608">
        <v>467</v>
      </c>
      <c r="O4608" t="s">
        <v>294</v>
      </c>
      <c r="Q4608" t="s">
        <v>3590</v>
      </c>
      <c r="R4608" t="s">
        <v>5031</v>
      </c>
      <c r="S4608" t="s">
        <v>653</v>
      </c>
    </row>
    <row r="4609" spans="1:19" x14ac:dyDescent="0.25">
      <c r="A4609" t="s">
        <v>30</v>
      </c>
      <c r="B4609" t="s">
        <v>31</v>
      </c>
      <c r="C4609" t="s">
        <v>32</v>
      </c>
      <c r="D4609" t="s">
        <v>639</v>
      </c>
      <c r="E4609" t="s">
        <v>652</v>
      </c>
      <c r="F4609" t="s">
        <v>35</v>
      </c>
      <c r="G4609" t="s">
        <v>35</v>
      </c>
      <c r="H4609" t="s">
        <v>35</v>
      </c>
      <c r="J4609" t="s">
        <v>5110</v>
      </c>
      <c r="K4609" t="s">
        <v>1092</v>
      </c>
      <c r="M4609">
        <v>0.36</v>
      </c>
      <c r="N4609">
        <v>262</v>
      </c>
      <c r="O4609" t="s">
        <v>5</v>
      </c>
      <c r="Q4609" t="s">
        <v>264</v>
      </c>
      <c r="R4609" t="s">
        <v>5031</v>
      </c>
      <c r="S4609" t="s">
        <v>653</v>
      </c>
    </row>
    <row r="4610" spans="1:19" x14ac:dyDescent="0.25">
      <c r="A4610" t="s">
        <v>44</v>
      </c>
      <c r="B4610" t="s">
        <v>51</v>
      </c>
      <c r="C4610" t="s">
        <v>32</v>
      </c>
      <c r="D4610" t="s">
        <v>639</v>
      </c>
      <c r="E4610" t="s">
        <v>652</v>
      </c>
      <c r="F4610" t="s">
        <v>35</v>
      </c>
      <c r="G4610" t="s">
        <v>35</v>
      </c>
      <c r="H4610" t="s">
        <v>35</v>
      </c>
      <c r="J4610" t="s">
        <v>5111</v>
      </c>
      <c r="K4610" t="s">
        <v>1092</v>
      </c>
      <c r="M4610">
        <v>6</v>
      </c>
      <c r="N4610">
        <v>59</v>
      </c>
      <c r="O4610" t="s">
        <v>52</v>
      </c>
      <c r="Q4610" t="s">
        <v>84</v>
      </c>
      <c r="R4610" t="s">
        <v>5029</v>
      </c>
      <c r="S4610" t="s">
        <v>648</v>
      </c>
    </row>
    <row r="4611" spans="1:19" x14ac:dyDescent="0.25">
      <c r="A4611" t="s">
        <v>30</v>
      </c>
      <c r="B4611" t="s">
        <v>31</v>
      </c>
      <c r="C4611" t="s">
        <v>32</v>
      </c>
      <c r="D4611" t="s">
        <v>639</v>
      </c>
      <c r="E4611" t="s">
        <v>652</v>
      </c>
      <c r="F4611" t="s">
        <v>35</v>
      </c>
      <c r="G4611" t="s">
        <v>35</v>
      </c>
      <c r="H4611" t="s">
        <v>35</v>
      </c>
      <c r="J4611" t="s">
        <v>5111</v>
      </c>
      <c r="K4611" t="s">
        <v>1092</v>
      </c>
      <c r="M4611">
        <v>5.9850000000000003</v>
      </c>
      <c r="N4611">
        <v>73</v>
      </c>
      <c r="O4611" t="s">
        <v>61</v>
      </c>
      <c r="Q4611" t="s">
        <v>552</v>
      </c>
      <c r="R4611" t="s">
        <v>5029</v>
      </c>
      <c r="S4611" t="s">
        <v>648</v>
      </c>
    </row>
    <row r="4612" spans="1:19" x14ac:dyDescent="0.25">
      <c r="A4612" t="s">
        <v>30</v>
      </c>
      <c r="B4612" t="s">
        <v>31</v>
      </c>
      <c r="C4612" t="s">
        <v>32</v>
      </c>
      <c r="D4612" t="s">
        <v>639</v>
      </c>
      <c r="E4612" t="s">
        <v>652</v>
      </c>
      <c r="F4612" t="s">
        <v>35</v>
      </c>
      <c r="G4612" t="s">
        <v>35</v>
      </c>
      <c r="H4612" t="s">
        <v>35</v>
      </c>
      <c r="J4612" t="s">
        <v>5111</v>
      </c>
      <c r="K4612" t="s">
        <v>1092</v>
      </c>
      <c r="M4612">
        <v>11.385</v>
      </c>
      <c r="N4612">
        <v>230</v>
      </c>
      <c r="O4612" t="s">
        <v>5</v>
      </c>
      <c r="Q4612" t="s">
        <v>1544</v>
      </c>
      <c r="R4612" t="s">
        <v>5113</v>
      </c>
      <c r="S4612" t="s">
        <v>5111</v>
      </c>
    </row>
    <row r="4613" spans="1:19" x14ac:dyDescent="0.25">
      <c r="A4613" t="s">
        <v>30</v>
      </c>
      <c r="B4613" t="s">
        <v>31</v>
      </c>
      <c r="C4613" t="s">
        <v>32</v>
      </c>
      <c r="D4613" t="s">
        <v>639</v>
      </c>
      <c r="E4613" t="s">
        <v>652</v>
      </c>
      <c r="F4613" t="s">
        <v>35</v>
      </c>
      <c r="G4613" t="s">
        <v>35</v>
      </c>
      <c r="H4613" t="s">
        <v>35</v>
      </c>
      <c r="J4613" t="s">
        <v>8246</v>
      </c>
      <c r="K4613" t="s">
        <v>1092</v>
      </c>
      <c r="M4613">
        <v>5.9850000000000003</v>
      </c>
      <c r="N4613">
        <v>20</v>
      </c>
      <c r="O4613" t="s">
        <v>46</v>
      </c>
      <c r="Q4613" t="s">
        <v>1004</v>
      </c>
      <c r="R4613" t="s">
        <v>5029</v>
      </c>
      <c r="S4613" t="s">
        <v>648</v>
      </c>
    </row>
    <row r="4614" spans="1:19" x14ac:dyDescent="0.25">
      <c r="A4614" t="s">
        <v>30</v>
      </c>
      <c r="B4614" t="s">
        <v>31</v>
      </c>
      <c r="C4614" t="s">
        <v>32</v>
      </c>
      <c r="D4614" t="s">
        <v>639</v>
      </c>
      <c r="E4614" t="s">
        <v>652</v>
      </c>
      <c r="F4614" t="s">
        <v>35</v>
      </c>
      <c r="G4614" t="s">
        <v>35</v>
      </c>
      <c r="H4614" t="s">
        <v>35</v>
      </c>
      <c r="J4614" t="s">
        <v>5114</v>
      </c>
      <c r="K4614" t="s">
        <v>1092</v>
      </c>
      <c r="M4614">
        <v>5.9850000000000003</v>
      </c>
      <c r="N4614">
        <v>114</v>
      </c>
      <c r="O4614" t="s">
        <v>106</v>
      </c>
      <c r="Q4614" t="s">
        <v>288</v>
      </c>
      <c r="R4614" t="s">
        <v>642</v>
      </c>
      <c r="S4614" t="s">
        <v>643</v>
      </c>
    </row>
    <row r="4615" spans="1:19" x14ac:dyDescent="0.25">
      <c r="A4615" t="s">
        <v>44</v>
      </c>
      <c r="B4615" t="s">
        <v>51</v>
      </c>
      <c r="C4615" t="s">
        <v>32</v>
      </c>
      <c r="D4615" t="s">
        <v>639</v>
      </c>
      <c r="E4615" t="s">
        <v>652</v>
      </c>
      <c r="F4615" t="s">
        <v>35</v>
      </c>
      <c r="G4615" t="s">
        <v>35</v>
      </c>
      <c r="H4615" t="s">
        <v>35</v>
      </c>
      <c r="J4615" t="s">
        <v>5115</v>
      </c>
      <c r="K4615" t="s">
        <v>1092</v>
      </c>
      <c r="M4615">
        <v>5</v>
      </c>
      <c r="N4615">
        <v>58</v>
      </c>
      <c r="O4615" t="s">
        <v>52</v>
      </c>
      <c r="Q4615" t="s">
        <v>58</v>
      </c>
      <c r="R4615" t="s">
        <v>5031</v>
      </c>
      <c r="S4615" t="s">
        <v>653</v>
      </c>
    </row>
    <row r="4616" spans="1:19" x14ac:dyDescent="0.25">
      <c r="A4616" t="s">
        <v>30</v>
      </c>
      <c r="B4616" t="s">
        <v>31</v>
      </c>
      <c r="C4616" t="s">
        <v>32</v>
      </c>
      <c r="D4616" t="s">
        <v>639</v>
      </c>
      <c r="E4616" t="s">
        <v>652</v>
      </c>
      <c r="F4616" t="s">
        <v>35</v>
      </c>
      <c r="G4616" t="s">
        <v>35</v>
      </c>
      <c r="H4616" t="s">
        <v>35</v>
      </c>
      <c r="J4616" t="s">
        <v>5116</v>
      </c>
      <c r="K4616" t="s">
        <v>1092</v>
      </c>
      <c r="M4616">
        <v>4.1849999999999996</v>
      </c>
      <c r="N4616">
        <v>1181</v>
      </c>
      <c r="O4616" t="s">
        <v>575</v>
      </c>
      <c r="Q4616" t="s">
        <v>4931</v>
      </c>
      <c r="R4616" t="s">
        <v>5117</v>
      </c>
      <c r="S4616" t="s">
        <v>5118</v>
      </c>
    </row>
    <row r="4617" spans="1:19" x14ac:dyDescent="0.25">
      <c r="A4617" t="s">
        <v>30</v>
      </c>
      <c r="B4617" t="s">
        <v>31</v>
      </c>
      <c r="C4617" t="s">
        <v>32</v>
      </c>
      <c r="D4617" t="s">
        <v>639</v>
      </c>
      <c r="E4617" t="s">
        <v>652</v>
      </c>
      <c r="F4617" t="s">
        <v>35</v>
      </c>
      <c r="G4617" t="s">
        <v>35</v>
      </c>
      <c r="H4617" t="s">
        <v>35</v>
      </c>
      <c r="J4617" t="s">
        <v>5120</v>
      </c>
      <c r="K4617" t="s">
        <v>1092</v>
      </c>
      <c r="M4617">
        <v>0.67500000000000004</v>
      </c>
      <c r="N4617">
        <v>94</v>
      </c>
      <c r="O4617" t="s">
        <v>106</v>
      </c>
      <c r="Q4617" t="s">
        <v>394</v>
      </c>
      <c r="R4617" t="s">
        <v>5031</v>
      </c>
      <c r="S4617" t="s">
        <v>653</v>
      </c>
    </row>
    <row r="4618" spans="1:19" x14ac:dyDescent="0.25">
      <c r="A4618" t="s">
        <v>44</v>
      </c>
      <c r="B4618" t="s">
        <v>51</v>
      </c>
      <c r="C4618" t="s">
        <v>32</v>
      </c>
      <c r="D4618" t="s">
        <v>639</v>
      </c>
      <c r="E4618" t="s">
        <v>652</v>
      </c>
      <c r="F4618" t="s">
        <v>35</v>
      </c>
      <c r="G4618" t="s">
        <v>35</v>
      </c>
      <c r="H4618" t="s">
        <v>35</v>
      </c>
      <c r="J4618" t="s">
        <v>5121</v>
      </c>
      <c r="K4618" t="s">
        <v>1092</v>
      </c>
      <c r="M4618">
        <v>2.65</v>
      </c>
      <c r="N4618">
        <v>62</v>
      </c>
      <c r="O4618" t="s">
        <v>61</v>
      </c>
      <c r="Q4618" t="s">
        <v>90</v>
      </c>
      <c r="R4618" t="s">
        <v>642</v>
      </c>
      <c r="S4618" t="s">
        <v>643</v>
      </c>
    </row>
    <row r="4619" spans="1:19" x14ac:dyDescent="0.25">
      <c r="A4619" t="s">
        <v>59</v>
      </c>
      <c r="B4619" t="s">
        <v>60</v>
      </c>
      <c r="C4619" t="s">
        <v>32</v>
      </c>
      <c r="D4619" t="s">
        <v>639</v>
      </c>
      <c r="E4619" t="s">
        <v>652</v>
      </c>
      <c r="F4619" t="s">
        <v>35</v>
      </c>
      <c r="G4619" t="s">
        <v>35</v>
      </c>
      <c r="H4619" t="s">
        <v>35</v>
      </c>
      <c r="J4619" t="s">
        <v>5121</v>
      </c>
      <c r="K4619" t="s">
        <v>1092</v>
      </c>
      <c r="M4619">
        <v>1.85</v>
      </c>
      <c r="N4619">
        <v>131</v>
      </c>
      <c r="O4619" t="s">
        <v>38</v>
      </c>
      <c r="Q4619" t="s">
        <v>646</v>
      </c>
      <c r="R4619" t="s">
        <v>642</v>
      </c>
      <c r="S4619" t="s">
        <v>643</v>
      </c>
    </row>
    <row r="4620" spans="1:19" x14ac:dyDescent="0.25">
      <c r="A4620" t="s">
        <v>30</v>
      </c>
      <c r="B4620" t="s">
        <v>31</v>
      </c>
      <c r="C4620" t="s">
        <v>32</v>
      </c>
      <c r="D4620" t="s">
        <v>639</v>
      </c>
      <c r="E4620" t="s">
        <v>652</v>
      </c>
      <c r="F4620" t="s">
        <v>35</v>
      </c>
      <c r="G4620" t="s">
        <v>35</v>
      </c>
      <c r="H4620" t="s">
        <v>35</v>
      </c>
      <c r="J4620" t="s">
        <v>5122</v>
      </c>
      <c r="K4620" t="s">
        <v>1092</v>
      </c>
      <c r="M4620">
        <v>2.0699999999999998</v>
      </c>
      <c r="N4620">
        <v>163</v>
      </c>
      <c r="O4620" t="s">
        <v>38</v>
      </c>
      <c r="Q4620" t="s">
        <v>1632</v>
      </c>
      <c r="R4620" t="s">
        <v>5031</v>
      </c>
      <c r="S4620" t="s">
        <v>653</v>
      </c>
    </row>
    <row r="4621" spans="1:19" x14ac:dyDescent="0.25">
      <c r="A4621" t="s">
        <v>44</v>
      </c>
      <c r="B4621" t="s">
        <v>3</v>
      </c>
      <c r="C4621" t="s">
        <v>32</v>
      </c>
      <c r="D4621" t="s">
        <v>639</v>
      </c>
      <c r="E4621" t="s">
        <v>652</v>
      </c>
      <c r="F4621" t="s">
        <v>35</v>
      </c>
      <c r="G4621" t="s">
        <v>35</v>
      </c>
      <c r="H4621" t="s">
        <v>35</v>
      </c>
      <c r="J4621" t="s">
        <v>5122</v>
      </c>
      <c r="K4621" t="s">
        <v>1092</v>
      </c>
      <c r="M4621">
        <v>0.45</v>
      </c>
      <c r="N4621">
        <v>430</v>
      </c>
      <c r="O4621" t="s">
        <v>294</v>
      </c>
      <c r="Q4621" t="s">
        <v>1712</v>
      </c>
      <c r="R4621" t="s">
        <v>5031</v>
      </c>
      <c r="S4621" t="s">
        <v>653</v>
      </c>
    </row>
    <row r="4622" spans="1:19" x14ac:dyDescent="0.25">
      <c r="A4622" t="s">
        <v>30</v>
      </c>
      <c r="B4622" t="s">
        <v>31</v>
      </c>
      <c r="C4622" t="s">
        <v>32</v>
      </c>
      <c r="D4622" t="s">
        <v>639</v>
      </c>
      <c r="E4622" t="s">
        <v>652</v>
      </c>
      <c r="F4622" t="s">
        <v>35</v>
      </c>
      <c r="G4622" t="s">
        <v>35</v>
      </c>
      <c r="H4622" t="s">
        <v>35</v>
      </c>
      <c r="J4622" t="s">
        <v>5123</v>
      </c>
      <c r="K4622" t="s">
        <v>1092</v>
      </c>
      <c r="M4622">
        <v>5.04</v>
      </c>
      <c r="N4622">
        <v>63</v>
      </c>
      <c r="O4622" t="s">
        <v>61</v>
      </c>
      <c r="Q4622" t="s">
        <v>423</v>
      </c>
      <c r="R4622" t="s">
        <v>5094</v>
      </c>
      <c r="S4622" t="s">
        <v>5095</v>
      </c>
    </row>
    <row r="4623" spans="1:19" x14ac:dyDescent="0.25">
      <c r="A4623" t="s">
        <v>59</v>
      </c>
      <c r="B4623" t="s">
        <v>31</v>
      </c>
      <c r="C4623" t="s">
        <v>32</v>
      </c>
      <c r="D4623" t="s">
        <v>639</v>
      </c>
      <c r="E4623" t="s">
        <v>652</v>
      </c>
      <c r="F4623" t="s">
        <v>35</v>
      </c>
      <c r="G4623" t="s">
        <v>35</v>
      </c>
      <c r="H4623" t="s">
        <v>35</v>
      </c>
      <c r="J4623" t="s">
        <v>5124</v>
      </c>
      <c r="K4623" t="s">
        <v>1092</v>
      </c>
      <c r="M4623">
        <v>7.2</v>
      </c>
      <c r="N4623">
        <v>99</v>
      </c>
      <c r="O4623" t="s">
        <v>106</v>
      </c>
      <c r="Q4623" t="s">
        <v>1216</v>
      </c>
      <c r="R4623" t="s">
        <v>5031</v>
      </c>
      <c r="S4623" t="s">
        <v>653</v>
      </c>
    </row>
    <row r="4624" spans="1:19" x14ac:dyDescent="0.25">
      <c r="A4624" t="s">
        <v>30</v>
      </c>
      <c r="B4624" t="s">
        <v>31</v>
      </c>
      <c r="C4624" t="s">
        <v>32</v>
      </c>
      <c r="D4624" t="s">
        <v>639</v>
      </c>
      <c r="E4624" t="s">
        <v>652</v>
      </c>
      <c r="F4624" t="s">
        <v>35</v>
      </c>
      <c r="G4624" t="s">
        <v>35</v>
      </c>
      <c r="H4624" t="s">
        <v>35</v>
      </c>
      <c r="J4624" t="s">
        <v>5124</v>
      </c>
      <c r="K4624" t="s">
        <v>1092</v>
      </c>
      <c r="M4624">
        <v>8.7449999999999992</v>
      </c>
      <c r="N4624">
        <v>154</v>
      </c>
      <c r="O4624" t="s">
        <v>38</v>
      </c>
      <c r="Q4624" t="s">
        <v>3398</v>
      </c>
      <c r="R4624" t="s">
        <v>5031</v>
      </c>
      <c r="S4624" t="s">
        <v>653</v>
      </c>
    </row>
    <row r="4625" spans="1:19" x14ac:dyDescent="0.25">
      <c r="A4625" t="s">
        <v>44</v>
      </c>
      <c r="B4625" t="s">
        <v>51</v>
      </c>
      <c r="C4625" t="s">
        <v>32</v>
      </c>
      <c r="D4625" t="s">
        <v>639</v>
      </c>
      <c r="E4625" t="s">
        <v>652</v>
      </c>
      <c r="F4625" t="s">
        <v>35</v>
      </c>
      <c r="G4625" t="s">
        <v>35</v>
      </c>
      <c r="H4625" t="s">
        <v>35</v>
      </c>
      <c r="J4625" t="s">
        <v>5124</v>
      </c>
      <c r="K4625" t="s">
        <v>1092</v>
      </c>
      <c r="M4625">
        <v>2.6</v>
      </c>
      <c r="N4625">
        <v>103</v>
      </c>
      <c r="O4625" t="s">
        <v>106</v>
      </c>
      <c r="Q4625" t="s">
        <v>2601</v>
      </c>
      <c r="R4625" t="s">
        <v>5125</v>
      </c>
      <c r="S4625" t="s">
        <v>5126</v>
      </c>
    </row>
    <row r="4626" spans="1:19" x14ac:dyDescent="0.25">
      <c r="A4626" t="s">
        <v>1439</v>
      </c>
      <c r="B4626" t="s">
        <v>1440</v>
      </c>
      <c r="C4626" t="s">
        <v>32</v>
      </c>
      <c r="D4626" t="s">
        <v>639</v>
      </c>
      <c r="E4626" t="s">
        <v>5128</v>
      </c>
      <c r="F4626" t="s">
        <v>35</v>
      </c>
      <c r="G4626" t="s">
        <v>35</v>
      </c>
      <c r="H4626" t="s">
        <v>35</v>
      </c>
      <c r="J4626" t="s">
        <v>5129</v>
      </c>
      <c r="K4626" t="s">
        <v>1092</v>
      </c>
      <c r="M4626">
        <v>0.8</v>
      </c>
      <c r="N4626">
        <v>474</v>
      </c>
      <c r="O4626" t="s">
        <v>294</v>
      </c>
      <c r="Q4626" t="s">
        <v>1498</v>
      </c>
      <c r="R4626" t="s">
        <v>642</v>
      </c>
      <c r="S4626" t="s">
        <v>643</v>
      </c>
    </row>
    <row r="4627" spans="1:19" x14ac:dyDescent="0.25">
      <c r="A4627" t="s">
        <v>59</v>
      </c>
      <c r="B4627" t="s">
        <v>31</v>
      </c>
      <c r="C4627" t="s">
        <v>32</v>
      </c>
      <c r="D4627" t="s">
        <v>639</v>
      </c>
      <c r="E4627" t="s">
        <v>5128</v>
      </c>
      <c r="F4627" t="s">
        <v>35</v>
      </c>
      <c r="G4627" t="s">
        <v>35</v>
      </c>
      <c r="H4627" t="s">
        <v>35</v>
      </c>
      <c r="J4627" t="s">
        <v>5130</v>
      </c>
      <c r="K4627" t="s">
        <v>1092</v>
      </c>
      <c r="M4627">
        <v>0.09</v>
      </c>
      <c r="N4627">
        <v>989</v>
      </c>
      <c r="O4627" t="s">
        <v>575</v>
      </c>
      <c r="Q4627" t="s">
        <v>5131</v>
      </c>
      <c r="R4627" t="s">
        <v>5029</v>
      </c>
      <c r="S4627" t="s">
        <v>648</v>
      </c>
    </row>
    <row r="4628" spans="1:19" x14ac:dyDescent="0.25">
      <c r="A4628" t="s">
        <v>30</v>
      </c>
      <c r="B4628" t="s">
        <v>31</v>
      </c>
      <c r="C4628" t="s">
        <v>32</v>
      </c>
      <c r="D4628" t="s">
        <v>639</v>
      </c>
      <c r="E4628" t="s">
        <v>5132</v>
      </c>
      <c r="F4628" t="s">
        <v>35</v>
      </c>
      <c r="G4628" t="s">
        <v>35</v>
      </c>
      <c r="H4628" t="s">
        <v>35</v>
      </c>
      <c r="J4628" t="s">
        <v>5133</v>
      </c>
      <c r="K4628" t="s">
        <v>1092</v>
      </c>
      <c r="M4628">
        <v>5.49</v>
      </c>
      <c r="N4628">
        <v>73</v>
      </c>
      <c r="O4628" t="s">
        <v>61</v>
      </c>
      <c r="Q4628" t="s">
        <v>552</v>
      </c>
      <c r="R4628" t="s">
        <v>4997</v>
      </c>
      <c r="S4628" t="s">
        <v>4998</v>
      </c>
    </row>
    <row r="4629" spans="1:19" x14ac:dyDescent="0.25">
      <c r="A4629" t="s">
        <v>30</v>
      </c>
      <c r="B4629" t="s">
        <v>31</v>
      </c>
      <c r="C4629" t="s">
        <v>32</v>
      </c>
      <c r="D4629" t="s">
        <v>639</v>
      </c>
      <c r="E4629" t="s">
        <v>5132</v>
      </c>
      <c r="F4629" t="s">
        <v>35</v>
      </c>
      <c r="G4629" t="s">
        <v>35</v>
      </c>
      <c r="H4629" t="s">
        <v>35</v>
      </c>
      <c r="J4629" t="s">
        <v>5134</v>
      </c>
      <c r="K4629" t="s">
        <v>1092</v>
      </c>
      <c r="M4629">
        <v>2.5649999999999999</v>
      </c>
      <c r="N4629">
        <v>63</v>
      </c>
      <c r="O4629" t="s">
        <v>61</v>
      </c>
      <c r="Q4629" t="s">
        <v>423</v>
      </c>
      <c r="R4629" t="s">
        <v>5094</v>
      </c>
      <c r="S4629" t="s">
        <v>5095</v>
      </c>
    </row>
    <row r="4630" spans="1:19" x14ac:dyDescent="0.25">
      <c r="A4630" t="s">
        <v>30</v>
      </c>
      <c r="B4630" t="s">
        <v>31</v>
      </c>
      <c r="C4630" t="s">
        <v>32</v>
      </c>
      <c r="D4630" t="s">
        <v>639</v>
      </c>
      <c r="E4630" t="s">
        <v>5132</v>
      </c>
      <c r="F4630" t="s">
        <v>35</v>
      </c>
      <c r="G4630" t="s">
        <v>35</v>
      </c>
      <c r="H4630" t="s">
        <v>35</v>
      </c>
      <c r="J4630" t="s">
        <v>5135</v>
      </c>
      <c r="K4630" t="s">
        <v>1092</v>
      </c>
      <c r="M4630">
        <v>0.18</v>
      </c>
      <c r="N4630">
        <v>111</v>
      </c>
      <c r="O4630" t="s">
        <v>106</v>
      </c>
      <c r="Q4630" t="s">
        <v>4219</v>
      </c>
      <c r="R4630" t="s">
        <v>5094</v>
      </c>
      <c r="S4630" t="s">
        <v>5095</v>
      </c>
    </row>
    <row r="4631" spans="1:19" x14ac:dyDescent="0.25">
      <c r="A4631" t="s">
        <v>30</v>
      </c>
      <c r="B4631" t="s">
        <v>31</v>
      </c>
      <c r="C4631" t="s">
        <v>32</v>
      </c>
      <c r="D4631" t="s">
        <v>639</v>
      </c>
      <c r="E4631" t="s">
        <v>5132</v>
      </c>
      <c r="F4631" t="s">
        <v>35</v>
      </c>
      <c r="G4631" t="s">
        <v>35</v>
      </c>
      <c r="H4631" t="s">
        <v>35</v>
      </c>
      <c r="J4631" t="s">
        <v>5135</v>
      </c>
      <c r="K4631" t="s">
        <v>1092</v>
      </c>
      <c r="M4631">
        <v>1.8</v>
      </c>
      <c r="N4631">
        <v>63</v>
      </c>
      <c r="O4631" t="s">
        <v>61</v>
      </c>
      <c r="Q4631" t="s">
        <v>423</v>
      </c>
      <c r="R4631" t="s">
        <v>5094</v>
      </c>
      <c r="S4631" t="s">
        <v>5095</v>
      </c>
    </row>
    <row r="4632" spans="1:19" x14ac:dyDescent="0.25">
      <c r="A4632" t="s">
        <v>30</v>
      </c>
      <c r="B4632" t="s">
        <v>31</v>
      </c>
      <c r="C4632" t="s">
        <v>32</v>
      </c>
      <c r="D4632" t="s">
        <v>639</v>
      </c>
      <c r="E4632" t="s">
        <v>5132</v>
      </c>
      <c r="F4632" t="s">
        <v>35</v>
      </c>
      <c r="G4632" t="s">
        <v>35</v>
      </c>
      <c r="H4632" t="s">
        <v>35</v>
      </c>
      <c r="J4632" t="s">
        <v>5135</v>
      </c>
      <c r="K4632" t="s">
        <v>1092</v>
      </c>
      <c r="M4632">
        <v>1.8</v>
      </c>
      <c r="N4632">
        <v>36</v>
      </c>
      <c r="O4632" t="s">
        <v>52</v>
      </c>
      <c r="Q4632" t="s">
        <v>2005</v>
      </c>
      <c r="R4632" t="s">
        <v>41</v>
      </c>
      <c r="S4632" t="s">
        <v>42</v>
      </c>
    </row>
    <row r="4633" spans="1:19" x14ac:dyDescent="0.25">
      <c r="A4633" t="s">
        <v>59</v>
      </c>
      <c r="B4633" t="s">
        <v>31</v>
      </c>
      <c r="C4633" t="s">
        <v>32</v>
      </c>
      <c r="D4633" t="s">
        <v>639</v>
      </c>
      <c r="E4633" t="s">
        <v>5132</v>
      </c>
      <c r="F4633" t="s">
        <v>35</v>
      </c>
      <c r="G4633" t="s">
        <v>35</v>
      </c>
      <c r="H4633" t="s">
        <v>35</v>
      </c>
      <c r="J4633" t="s">
        <v>5136</v>
      </c>
      <c r="K4633" t="s">
        <v>1092</v>
      </c>
      <c r="M4633">
        <v>3.15</v>
      </c>
      <c r="N4633">
        <v>127</v>
      </c>
      <c r="O4633" t="s">
        <v>38</v>
      </c>
      <c r="Q4633" t="s">
        <v>2145</v>
      </c>
      <c r="R4633" t="s">
        <v>41</v>
      </c>
      <c r="S4633" t="s">
        <v>42</v>
      </c>
    </row>
    <row r="4634" spans="1:19" x14ac:dyDescent="0.25">
      <c r="A4634" t="s">
        <v>59</v>
      </c>
      <c r="B4634" t="s">
        <v>60</v>
      </c>
      <c r="C4634" t="s">
        <v>32</v>
      </c>
      <c r="D4634" t="s">
        <v>639</v>
      </c>
      <c r="E4634" t="s">
        <v>5137</v>
      </c>
      <c r="F4634" t="s">
        <v>35</v>
      </c>
      <c r="G4634" t="s">
        <v>35</v>
      </c>
      <c r="H4634" t="s">
        <v>35</v>
      </c>
      <c r="J4634" t="s">
        <v>5138</v>
      </c>
      <c r="K4634" t="s">
        <v>404</v>
      </c>
      <c r="M4634">
        <v>4.3499999999999996</v>
      </c>
      <c r="N4634">
        <v>223</v>
      </c>
      <c r="O4634" t="s">
        <v>5</v>
      </c>
      <c r="Q4634" t="s">
        <v>3310</v>
      </c>
      <c r="R4634" t="s">
        <v>5029</v>
      </c>
      <c r="S4634" t="s">
        <v>648</v>
      </c>
    </row>
    <row r="4635" spans="1:19" x14ac:dyDescent="0.25">
      <c r="A4635" t="s">
        <v>30</v>
      </c>
      <c r="B4635" t="s">
        <v>31</v>
      </c>
      <c r="C4635" t="s">
        <v>32</v>
      </c>
      <c r="D4635" t="s">
        <v>639</v>
      </c>
      <c r="E4635" t="s">
        <v>5137</v>
      </c>
      <c r="F4635" t="s">
        <v>35</v>
      </c>
      <c r="G4635" t="s">
        <v>35</v>
      </c>
      <c r="H4635" t="s">
        <v>35</v>
      </c>
      <c r="J4635" t="s">
        <v>5139</v>
      </c>
      <c r="K4635" t="s">
        <v>404</v>
      </c>
      <c r="M4635">
        <v>4.46</v>
      </c>
      <c r="N4635">
        <v>76</v>
      </c>
      <c r="O4635" t="s">
        <v>61</v>
      </c>
      <c r="Q4635" t="s">
        <v>234</v>
      </c>
      <c r="R4635" t="s">
        <v>642</v>
      </c>
      <c r="S4635" t="s">
        <v>643</v>
      </c>
    </row>
    <row r="4636" spans="1:19" x14ac:dyDescent="0.25">
      <c r="A4636" t="s">
        <v>59</v>
      </c>
      <c r="B4636" t="s">
        <v>60</v>
      </c>
      <c r="C4636" t="s">
        <v>32</v>
      </c>
      <c r="D4636" t="s">
        <v>639</v>
      </c>
      <c r="E4636" t="s">
        <v>5137</v>
      </c>
      <c r="F4636" t="s">
        <v>35</v>
      </c>
      <c r="G4636" t="s">
        <v>35</v>
      </c>
      <c r="H4636" t="s">
        <v>35</v>
      </c>
      <c r="J4636" t="s">
        <v>5139</v>
      </c>
      <c r="K4636" t="s">
        <v>404</v>
      </c>
      <c r="M4636">
        <v>0.105</v>
      </c>
      <c r="N4636">
        <v>131</v>
      </c>
      <c r="O4636" t="s">
        <v>38</v>
      </c>
      <c r="Q4636" t="s">
        <v>646</v>
      </c>
      <c r="R4636" t="s">
        <v>642</v>
      </c>
      <c r="S4636" t="s">
        <v>643</v>
      </c>
    </row>
    <row r="4637" spans="1:19" x14ac:dyDescent="0.25">
      <c r="A4637" t="s">
        <v>59</v>
      </c>
      <c r="B4637" t="s">
        <v>60</v>
      </c>
      <c r="C4637" t="s">
        <v>32</v>
      </c>
      <c r="D4637" t="s">
        <v>639</v>
      </c>
      <c r="E4637" t="s">
        <v>5137</v>
      </c>
      <c r="F4637" t="s">
        <v>35</v>
      </c>
      <c r="G4637" t="s">
        <v>35</v>
      </c>
      <c r="H4637" t="s">
        <v>35</v>
      </c>
      <c r="J4637" t="s">
        <v>5140</v>
      </c>
      <c r="K4637" t="s">
        <v>404</v>
      </c>
      <c r="M4637">
        <v>14.95</v>
      </c>
      <c r="N4637">
        <v>127</v>
      </c>
      <c r="O4637" t="s">
        <v>38</v>
      </c>
      <c r="Q4637" t="s">
        <v>2145</v>
      </c>
      <c r="R4637" t="s">
        <v>5031</v>
      </c>
      <c r="S4637" t="s">
        <v>653</v>
      </c>
    </row>
    <row r="4638" spans="1:19" x14ac:dyDescent="0.25">
      <c r="A4638" t="s">
        <v>44</v>
      </c>
      <c r="B4638" t="s">
        <v>51</v>
      </c>
      <c r="C4638" t="s">
        <v>32</v>
      </c>
      <c r="D4638" t="s">
        <v>639</v>
      </c>
      <c r="E4638" t="s">
        <v>5137</v>
      </c>
      <c r="F4638" t="s">
        <v>35</v>
      </c>
      <c r="G4638" t="s">
        <v>35</v>
      </c>
      <c r="H4638" t="s">
        <v>35</v>
      </c>
      <c r="J4638" t="s">
        <v>5140</v>
      </c>
      <c r="K4638" t="s">
        <v>404</v>
      </c>
      <c r="M4638">
        <v>36</v>
      </c>
      <c r="N4638">
        <v>59</v>
      </c>
      <c r="O4638" t="s">
        <v>52</v>
      </c>
      <c r="Q4638" t="s">
        <v>84</v>
      </c>
      <c r="R4638" t="s">
        <v>5029</v>
      </c>
      <c r="S4638" t="s">
        <v>648</v>
      </c>
    </row>
    <row r="4639" spans="1:19" x14ac:dyDescent="0.25">
      <c r="A4639" t="s">
        <v>44</v>
      </c>
      <c r="B4639" t="s">
        <v>51</v>
      </c>
      <c r="C4639" t="s">
        <v>32</v>
      </c>
      <c r="D4639" t="s">
        <v>639</v>
      </c>
      <c r="E4639" t="s">
        <v>5137</v>
      </c>
      <c r="F4639" t="s">
        <v>35</v>
      </c>
      <c r="G4639" t="s">
        <v>35</v>
      </c>
      <c r="H4639" t="s">
        <v>35</v>
      </c>
      <c r="J4639" t="s">
        <v>5140</v>
      </c>
      <c r="K4639" t="s">
        <v>404</v>
      </c>
      <c r="M4639">
        <v>36</v>
      </c>
      <c r="N4639">
        <v>58</v>
      </c>
      <c r="O4639" t="s">
        <v>52</v>
      </c>
      <c r="Q4639" t="s">
        <v>58</v>
      </c>
      <c r="R4639" t="s">
        <v>5031</v>
      </c>
      <c r="S4639" t="s">
        <v>653</v>
      </c>
    </row>
    <row r="4640" spans="1:19" x14ac:dyDescent="0.25">
      <c r="A4640" t="s">
        <v>59</v>
      </c>
      <c r="B4640" t="s">
        <v>60</v>
      </c>
      <c r="C4640" t="s">
        <v>32</v>
      </c>
      <c r="D4640" t="s">
        <v>639</v>
      </c>
      <c r="E4640" t="s">
        <v>5137</v>
      </c>
      <c r="F4640" t="s">
        <v>35</v>
      </c>
      <c r="G4640" t="s">
        <v>35</v>
      </c>
      <c r="H4640" t="s">
        <v>35</v>
      </c>
      <c r="J4640" t="s">
        <v>5141</v>
      </c>
      <c r="K4640" t="s">
        <v>1092</v>
      </c>
      <c r="M4640">
        <v>2.5</v>
      </c>
      <c r="N4640">
        <v>130</v>
      </c>
      <c r="O4640" t="s">
        <v>38</v>
      </c>
      <c r="Q4640" t="s">
        <v>1656</v>
      </c>
      <c r="R4640" t="s">
        <v>5029</v>
      </c>
      <c r="S4640" t="s">
        <v>648</v>
      </c>
    </row>
    <row r="4641" spans="1:19" x14ac:dyDescent="0.25">
      <c r="A4641" t="s">
        <v>30</v>
      </c>
      <c r="B4641" t="s">
        <v>31</v>
      </c>
      <c r="C4641" t="s">
        <v>32</v>
      </c>
      <c r="D4641" t="s">
        <v>639</v>
      </c>
      <c r="E4641" t="s">
        <v>5137</v>
      </c>
      <c r="F4641" t="s">
        <v>35</v>
      </c>
      <c r="G4641" t="s">
        <v>35</v>
      </c>
      <c r="H4641" t="s">
        <v>35</v>
      </c>
      <c r="J4641" t="s">
        <v>5143</v>
      </c>
      <c r="K4641" t="s">
        <v>1092</v>
      </c>
      <c r="M4641">
        <v>0.18</v>
      </c>
      <c r="N4641">
        <v>76</v>
      </c>
      <c r="O4641" t="s">
        <v>61</v>
      </c>
      <c r="Q4641" t="s">
        <v>234</v>
      </c>
      <c r="R4641" t="s">
        <v>642</v>
      </c>
      <c r="S4641" t="s">
        <v>643</v>
      </c>
    </row>
    <row r="4642" spans="1:19" x14ac:dyDescent="0.25">
      <c r="A4642" t="s">
        <v>44</v>
      </c>
      <c r="B4642" t="s">
        <v>51</v>
      </c>
      <c r="C4642" t="s">
        <v>32</v>
      </c>
      <c r="D4642" t="s">
        <v>639</v>
      </c>
      <c r="E4642" t="s">
        <v>5137</v>
      </c>
      <c r="F4642" t="s">
        <v>35</v>
      </c>
      <c r="G4642" t="s">
        <v>35</v>
      </c>
      <c r="H4642" t="s">
        <v>35</v>
      </c>
      <c r="J4642" t="s">
        <v>5144</v>
      </c>
      <c r="K4642" t="s">
        <v>1092</v>
      </c>
      <c r="M4642">
        <v>1</v>
      </c>
      <c r="N4642">
        <v>59</v>
      </c>
      <c r="O4642" t="s">
        <v>52</v>
      </c>
      <c r="Q4642" t="s">
        <v>84</v>
      </c>
      <c r="R4642" t="s">
        <v>5029</v>
      </c>
      <c r="S4642" t="s">
        <v>648</v>
      </c>
    </row>
    <row r="4643" spans="1:19" x14ac:dyDescent="0.25">
      <c r="A4643" t="s">
        <v>59</v>
      </c>
      <c r="B4643" t="s">
        <v>60</v>
      </c>
      <c r="C4643" t="s">
        <v>32</v>
      </c>
      <c r="D4643" t="s">
        <v>639</v>
      </c>
      <c r="E4643" t="s">
        <v>5137</v>
      </c>
      <c r="F4643" t="s">
        <v>35</v>
      </c>
      <c r="G4643" t="s">
        <v>35</v>
      </c>
      <c r="H4643" t="s">
        <v>35</v>
      </c>
      <c r="J4643" t="s">
        <v>5145</v>
      </c>
      <c r="K4643" t="s">
        <v>1092</v>
      </c>
      <c r="M4643">
        <v>2.7</v>
      </c>
      <c r="N4643">
        <v>130</v>
      </c>
      <c r="O4643" t="s">
        <v>38</v>
      </c>
      <c r="Q4643" t="s">
        <v>1656</v>
      </c>
      <c r="R4643" t="s">
        <v>5029</v>
      </c>
      <c r="S4643" t="s">
        <v>648</v>
      </c>
    </row>
    <row r="4644" spans="1:19" x14ac:dyDescent="0.25">
      <c r="A4644" t="s">
        <v>59</v>
      </c>
      <c r="B4644" t="s">
        <v>60</v>
      </c>
      <c r="C4644" t="s">
        <v>32</v>
      </c>
      <c r="D4644" t="s">
        <v>639</v>
      </c>
      <c r="E4644" t="s">
        <v>5137</v>
      </c>
      <c r="F4644" t="s">
        <v>35</v>
      </c>
      <c r="G4644" t="s">
        <v>35</v>
      </c>
      <c r="H4644" t="s">
        <v>35</v>
      </c>
      <c r="J4644" t="s">
        <v>5146</v>
      </c>
      <c r="K4644" t="s">
        <v>1092</v>
      </c>
      <c r="M4644">
        <v>3.3</v>
      </c>
      <c r="N4644">
        <v>125</v>
      </c>
      <c r="O4644" t="s">
        <v>38</v>
      </c>
      <c r="Q4644" t="s">
        <v>1954</v>
      </c>
      <c r="R4644" t="s">
        <v>5031</v>
      </c>
      <c r="S4644" t="s">
        <v>653</v>
      </c>
    </row>
    <row r="4645" spans="1:19" x14ac:dyDescent="0.25">
      <c r="A4645" t="s">
        <v>30</v>
      </c>
      <c r="B4645" t="s">
        <v>31</v>
      </c>
      <c r="C4645" t="s">
        <v>32</v>
      </c>
      <c r="D4645" t="s">
        <v>639</v>
      </c>
      <c r="E4645" t="s">
        <v>5137</v>
      </c>
      <c r="F4645" t="s">
        <v>35</v>
      </c>
      <c r="G4645" t="s">
        <v>35</v>
      </c>
      <c r="H4645" t="s">
        <v>35</v>
      </c>
      <c r="J4645" t="s">
        <v>5146</v>
      </c>
      <c r="K4645" t="s">
        <v>1092</v>
      </c>
      <c r="M4645">
        <v>1.51</v>
      </c>
      <c r="N4645">
        <v>76</v>
      </c>
      <c r="O4645" t="s">
        <v>61</v>
      </c>
      <c r="Q4645" t="s">
        <v>234</v>
      </c>
      <c r="R4645" t="s">
        <v>642</v>
      </c>
      <c r="S4645" t="s">
        <v>643</v>
      </c>
    </row>
    <row r="4646" spans="1:19" x14ac:dyDescent="0.25">
      <c r="A4646" t="s">
        <v>59</v>
      </c>
      <c r="B4646" t="s">
        <v>60</v>
      </c>
      <c r="C4646" t="s">
        <v>32</v>
      </c>
      <c r="D4646" t="s">
        <v>639</v>
      </c>
      <c r="E4646" t="s">
        <v>5137</v>
      </c>
      <c r="F4646" t="s">
        <v>35</v>
      </c>
      <c r="G4646" t="s">
        <v>35</v>
      </c>
      <c r="H4646" t="s">
        <v>35</v>
      </c>
      <c r="J4646" t="s">
        <v>5147</v>
      </c>
      <c r="K4646" t="s">
        <v>1092</v>
      </c>
      <c r="M4646">
        <v>3.7</v>
      </c>
      <c r="N4646">
        <v>131</v>
      </c>
      <c r="O4646" t="s">
        <v>38</v>
      </c>
      <c r="Q4646" t="s">
        <v>646</v>
      </c>
      <c r="R4646" t="s">
        <v>642</v>
      </c>
      <c r="S4646" t="s">
        <v>643</v>
      </c>
    </row>
    <row r="4647" spans="1:19" x14ac:dyDescent="0.25">
      <c r="A4647" t="s">
        <v>59</v>
      </c>
      <c r="B4647" t="s">
        <v>60</v>
      </c>
      <c r="C4647" t="s">
        <v>32</v>
      </c>
      <c r="D4647" t="s">
        <v>639</v>
      </c>
      <c r="E4647" t="s">
        <v>5137</v>
      </c>
      <c r="F4647" t="s">
        <v>35</v>
      </c>
      <c r="G4647" t="s">
        <v>35</v>
      </c>
      <c r="H4647" t="s">
        <v>35</v>
      </c>
      <c r="J4647" t="s">
        <v>5148</v>
      </c>
      <c r="K4647" t="s">
        <v>1092</v>
      </c>
      <c r="M4647">
        <v>2.2000000000000002</v>
      </c>
      <c r="N4647">
        <v>218</v>
      </c>
      <c r="O4647" t="s">
        <v>5</v>
      </c>
      <c r="Q4647" t="s">
        <v>1504</v>
      </c>
      <c r="R4647" t="s">
        <v>642</v>
      </c>
      <c r="S4647" t="s">
        <v>643</v>
      </c>
    </row>
    <row r="4648" spans="1:19" x14ac:dyDescent="0.25">
      <c r="A4648" t="s">
        <v>59</v>
      </c>
      <c r="B4648" t="s">
        <v>60</v>
      </c>
      <c r="C4648" t="s">
        <v>32</v>
      </c>
      <c r="D4648" t="s">
        <v>639</v>
      </c>
      <c r="E4648" t="s">
        <v>5137</v>
      </c>
      <c r="F4648" t="s">
        <v>35</v>
      </c>
      <c r="G4648" t="s">
        <v>35</v>
      </c>
      <c r="H4648" t="s">
        <v>35</v>
      </c>
      <c r="J4648" t="s">
        <v>5149</v>
      </c>
      <c r="K4648" t="s">
        <v>1092</v>
      </c>
      <c r="M4648">
        <v>2</v>
      </c>
      <c r="N4648">
        <v>131</v>
      </c>
      <c r="O4648" t="s">
        <v>38</v>
      </c>
      <c r="Q4648" t="s">
        <v>646</v>
      </c>
      <c r="R4648" t="s">
        <v>642</v>
      </c>
      <c r="S4648" t="s">
        <v>643</v>
      </c>
    </row>
    <row r="4649" spans="1:19" x14ac:dyDescent="0.25">
      <c r="A4649" t="s">
        <v>30</v>
      </c>
      <c r="B4649" t="s">
        <v>31</v>
      </c>
      <c r="C4649" t="s">
        <v>32</v>
      </c>
      <c r="D4649" t="s">
        <v>639</v>
      </c>
      <c r="E4649" t="s">
        <v>5137</v>
      </c>
      <c r="F4649" t="s">
        <v>35</v>
      </c>
      <c r="G4649" t="s">
        <v>35</v>
      </c>
      <c r="H4649" t="s">
        <v>35</v>
      </c>
      <c r="J4649" t="s">
        <v>5149</v>
      </c>
      <c r="K4649" t="s">
        <v>1092</v>
      </c>
      <c r="M4649">
        <v>3.645</v>
      </c>
      <c r="N4649">
        <v>153</v>
      </c>
      <c r="O4649" t="s">
        <v>38</v>
      </c>
      <c r="Q4649" t="s">
        <v>569</v>
      </c>
      <c r="R4649" t="s">
        <v>642</v>
      </c>
      <c r="S4649" t="s">
        <v>643</v>
      </c>
    </row>
    <row r="4650" spans="1:19" x14ac:dyDescent="0.25">
      <c r="A4650" t="s">
        <v>30</v>
      </c>
      <c r="B4650" t="s">
        <v>31</v>
      </c>
      <c r="C4650" t="s">
        <v>32</v>
      </c>
      <c r="D4650" t="s">
        <v>639</v>
      </c>
      <c r="E4650" t="s">
        <v>5137</v>
      </c>
      <c r="F4650" t="s">
        <v>35</v>
      </c>
      <c r="G4650" t="s">
        <v>35</v>
      </c>
      <c r="H4650" t="s">
        <v>35</v>
      </c>
      <c r="J4650" t="s">
        <v>5150</v>
      </c>
      <c r="K4650" t="s">
        <v>1092</v>
      </c>
      <c r="M4650">
        <v>1.35</v>
      </c>
      <c r="N4650">
        <v>472</v>
      </c>
      <c r="O4650" t="s">
        <v>294</v>
      </c>
      <c r="Q4650" t="s">
        <v>5151</v>
      </c>
      <c r="R4650" t="s">
        <v>5029</v>
      </c>
      <c r="S4650" t="s">
        <v>648</v>
      </c>
    </row>
    <row r="4651" spans="1:19" x14ac:dyDescent="0.25">
      <c r="A4651" t="s">
        <v>30</v>
      </c>
      <c r="B4651" t="s">
        <v>31</v>
      </c>
      <c r="C4651" t="s">
        <v>32</v>
      </c>
      <c r="D4651" t="s">
        <v>639</v>
      </c>
      <c r="E4651" t="s">
        <v>5137</v>
      </c>
      <c r="F4651" t="s">
        <v>35</v>
      </c>
      <c r="G4651" t="s">
        <v>35</v>
      </c>
      <c r="H4651" t="s">
        <v>35</v>
      </c>
      <c r="J4651" t="s">
        <v>5152</v>
      </c>
      <c r="K4651" t="s">
        <v>1092</v>
      </c>
      <c r="M4651">
        <v>0.22500000000000001</v>
      </c>
      <c r="N4651">
        <v>76</v>
      </c>
      <c r="O4651" t="s">
        <v>61</v>
      </c>
      <c r="Q4651" t="s">
        <v>234</v>
      </c>
      <c r="R4651" t="s">
        <v>642</v>
      </c>
      <c r="S4651" t="s">
        <v>643</v>
      </c>
    </row>
    <row r="4652" spans="1:19" x14ac:dyDescent="0.25">
      <c r="A4652" t="s">
        <v>44</v>
      </c>
      <c r="B4652" t="s">
        <v>51</v>
      </c>
      <c r="C4652" t="s">
        <v>32</v>
      </c>
      <c r="D4652" t="s">
        <v>639</v>
      </c>
      <c r="E4652" t="s">
        <v>5137</v>
      </c>
      <c r="F4652" t="s">
        <v>35</v>
      </c>
      <c r="G4652" t="s">
        <v>35</v>
      </c>
      <c r="H4652" t="s">
        <v>35</v>
      </c>
      <c r="J4652" t="s">
        <v>5152</v>
      </c>
      <c r="K4652" t="s">
        <v>1092</v>
      </c>
      <c r="M4652">
        <v>1.3</v>
      </c>
      <c r="N4652">
        <v>62</v>
      </c>
      <c r="O4652" t="s">
        <v>61</v>
      </c>
      <c r="Q4652" t="s">
        <v>90</v>
      </c>
      <c r="R4652" t="s">
        <v>642</v>
      </c>
      <c r="S4652" t="s">
        <v>643</v>
      </c>
    </row>
    <row r="4653" spans="1:19" x14ac:dyDescent="0.25">
      <c r="A4653" t="s">
        <v>59</v>
      </c>
      <c r="B4653" t="s">
        <v>60</v>
      </c>
      <c r="C4653" t="s">
        <v>32</v>
      </c>
      <c r="D4653" t="s">
        <v>639</v>
      </c>
      <c r="E4653" t="s">
        <v>5137</v>
      </c>
      <c r="F4653" t="s">
        <v>35</v>
      </c>
      <c r="G4653" t="s">
        <v>35</v>
      </c>
      <c r="H4653" t="s">
        <v>35</v>
      </c>
      <c r="J4653" t="s">
        <v>5152</v>
      </c>
      <c r="K4653" t="s">
        <v>1092</v>
      </c>
      <c r="M4653">
        <v>0.2</v>
      </c>
      <c r="N4653">
        <v>131</v>
      </c>
      <c r="O4653" t="s">
        <v>38</v>
      </c>
      <c r="Q4653" t="s">
        <v>646</v>
      </c>
      <c r="R4653" t="s">
        <v>642</v>
      </c>
      <c r="S4653" t="s">
        <v>643</v>
      </c>
    </row>
    <row r="4654" spans="1:19" x14ac:dyDescent="0.25">
      <c r="A4654" t="s">
        <v>59</v>
      </c>
      <c r="B4654" t="s">
        <v>31</v>
      </c>
      <c r="C4654" t="s">
        <v>32</v>
      </c>
      <c r="D4654" t="s">
        <v>639</v>
      </c>
      <c r="E4654" t="s">
        <v>5137</v>
      </c>
      <c r="F4654" t="s">
        <v>35</v>
      </c>
      <c r="G4654" t="s">
        <v>35</v>
      </c>
      <c r="H4654" t="s">
        <v>35</v>
      </c>
      <c r="J4654" t="s">
        <v>5153</v>
      </c>
      <c r="K4654" t="s">
        <v>1092</v>
      </c>
      <c r="M4654">
        <v>0.9</v>
      </c>
      <c r="N4654">
        <v>116</v>
      </c>
      <c r="O4654" t="s">
        <v>106</v>
      </c>
      <c r="Q4654" t="s">
        <v>1256</v>
      </c>
      <c r="R4654" t="s">
        <v>5029</v>
      </c>
      <c r="S4654" t="s">
        <v>648</v>
      </c>
    </row>
    <row r="4655" spans="1:19" x14ac:dyDescent="0.25">
      <c r="A4655" t="s">
        <v>59</v>
      </c>
      <c r="B4655" t="s">
        <v>60</v>
      </c>
      <c r="C4655" t="s">
        <v>32</v>
      </c>
      <c r="D4655" t="s">
        <v>639</v>
      </c>
      <c r="E4655" t="s">
        <v>5137</v>
      </c>
      <c r="F4655" t="s">
        <v>35</v>
      </c>
      <c r="G4655" t="s">
        <v>35</v>
      </c>
      <c r="H4655" t="s">
        <v>35</v>
      </c>
      <c r="J4655" t="s">
        <v>5154</v>
      </c>
      <c r="K4655" t="s">
        <v>1092</v>
      </c>
      <c r="M4655">
        <v>2.6</v>
      </c>
      <c r="N4655">
        <v>223</v>
      </c>
      <c r="O4655" t="s">
        <v>5</v>
      </c>
      <c r="Q4655" t="s">
        <v>3310</v>
      </c>
      <c r="R4655" t="s">
        <v>5029</v>
      </c>
      <c r="S4655" t="s">
        <v>648</v>
      </c>
    </row>
    <row r="4656" spans="1:19" x14ac:dyDescent="0.25">
      <c r="A4656" t="s">
        <v>30</v>
      </c>
      <c r="B4656" t="s">
        <v>31</v>
      </c>
      <c r="C4656" t="s">
        <v>32</v>
      </c>
      <c r="D4656" t="s">
        <v>639</v>
      </c>
      <c r="E4656" t="s">
        <v>5155</v>
      </c>
      <c r="F4656" t="s">
        <v>35</v>
      </c>
      <c r="G4656" t="s">
        <v>35</v>
      </c>
      <c r="H4656" t="s">
        <v>35</v>
      </c>
      <c r="J4656" t="s">
        <v>5156</v>
      </c>
      <c r="K4656" t="s">
        <v>1092</v>
      </c>
      <c r="M4656">
        <v>3.8250000000000002</v>
      </c>
      <c r="N4656">
        <v>153</v>
      </c>
      <c r="O4656" t="s">
        <v>38</v>
      </c>
      <c r="Q4656" t="s">
        <v>569</v>
      </c>
      <c r="R4656" t="s">
        <v>642</v>
      </c>
      <c r="S4656" t="s">
        <v>643</v>
      </c>
    </row>
    <row r="4657" spans="1:19" x14ac:dyDescent="0.25">
      <c r="A4657" t="s">
        <v>59</v>
      </c>
      <c r="B4657" t="s">
        <v>60</v>
      </c>
      <c r="C4657" t="s">
        <v>32</v>
      </c>
      <c r="D4657" t="s">
        <v>639</v>
      </c>
      <c r="E4657" t="s">
        <v>5155</v>
      </c>
      <c r="F4657" t="s">
        <v>35</v>
      </c>
      <c r="G4657" t="s">
        <v>35</v>
      </c>
      <c r="H4657" t="s">
        <v>35</v>
      </c>
      <c r="J4657" t="s">
        <v>5157</v>
      </c>
      <c r="K4657" t="s">
        <v>1092</v>
      </c>
      <c r="M4657">
        <v>6</v>
      </c>
      <c r="N4657">
        <v>497</v>
      </c>
      <c r="O4657" t="s">
        <v>294</v>
      </c>
      <c r="Q4657" t="s">
        <v>3653</v>
      </c>
      <c r="R4657" t="s">
        <v>5029</v>
      </c>
      <c r="S4657" t="s">
        <v>648</v>
      </c>
    </row>
    <row r="4658" spans="1:19" x14ac:dyDescent="0.25">
      <c r="A4658" t="s">
        <v>44</v>
      </c>
      <c r="B4658" t="s">
        <v>51</v>
      </c>
      <c r="C4658" t="s">
        <v>32</v>
      </c>
      <c r="D4658" t="s">
        <v>639</v>
      </c>
      <c r="E4658" t="s">
        <v>5155</v>
      </c>
      <c r="F4658" t="s">
        <v>35</v>
      </c>
      <c r="G4658" t="s">
        <v>35</v>
      </c>
      <c r="H4658" t="s">
        <v>35</v>
      </c>
      <c r="J4658" t="s">
        <v>5158</v>
      </c>
      <c r="K4658" t="s">
        <v>1092</v>
      </c>
      <c r="M4658">
        <v>0.05</v>
      </c>
      <c r="N4658">
        <v>510</v>
      </c>
      <c r="O4658" t="s">
        <v>294</v>
      </c>
      <c r="Q4658" t="s">
        <v>4279</v>
      </c>
      <c r="R4658" t="s">
        <v>5029</v>
      </c>
      <c r="S4658" t="s">
        <v>648</v>
      </c>
    </row>
    <row r="4659" spans="1:19" x14ac:dyDescent="0.25">
      <c r="A4659" t="s">
        <v>44</v>
      </c>
      <c r="B4659" t="s">
        <v>51</v>
      </c>
      <c r="C4659" t="s">
        <v>32</v>
      </c>
      <c r="D4659" t="s">
        <v>639</v>
      </c>
      <c r="E4659" t="s">
        <v>5155</v>
      </c>
      <c r="F4659" t="s">
        <v>35</v>
      </c>
      <c r="G4659" t="s">
        <v>35</v>
      </c>
      <c r="H4659" t="s">
        <v>35</v>
      </c>
      <c r="J4659" t="s">
        <v>5159</v>
      </c>
      <c r="K4659" t="s">
        <v>1092</v>
      </c>
      <c r="M4659">
        <v>0.75</v>
      </c>
      <c r="N4659">
        <v>248</v>
      </c>
      <c r="O4659" t="s">
        <v>5</v>
      </c>
      <c r="Q4659" t="s">
        <v>1154</v>
      </c>
      <c r="R4659" t="s">
        <v>5160</v>
      </c>
      <c r="S4659" t="s">
        <v>5161</v>
      </c>
    </row>
    <row r="4660" spans="1:19" x14ac:dyDescent="0.25">
      <c r="A4660" t="s">
        <v>44</v>
      </c>
      <c r="B4660" t="s">
        <v>51</v>
      </c>
      <c r="C4660" t="s">
        <v>32</v>
      </c>
      <c r="D4660" t="s">
        <v>639</v>
      </c>
      <c r="F4660" t="s">
        <v>35</v>
      </c>
      <c r="G4660" t="s">
        <v>35</v>
      </c>
      <c r="H4660" t="s">
        <v>35</v>
      </c>
      <c r="J4660" t="s">
        <v>5163</v>
      </c>
      <c r="K4660" t="s">
        <v>404</v>
      </c>
      <c r="M4660">
        <v>4.75</v>
      </c>
      <c r="N4660">
        <v>61</v>
      </c>
      <c r="O4660" t="s">
        <v>61</v>
      </c>
      <c r="Q4660" t="s">
        <v>671</v>
      </c>
      <c r="R4660" t="s">
        <v>666</v>
      </c>
      <c r="S4660" t="s">
        <v>667</v>
      </c>
    </row>
    <row r="4661" spans="1:19" x14ac:dyDescent="0.25">
      <c r="A4661" t="s">
        <v>44</v>
      </c>
      <c r="B4661" t="s">
        <v>51</v>
      </c>
      <c r="C4661" t="s">
        <v>32</v>
      </c>
      <c r="D4661" t="s">
        <v>639</v>
      </c>
      <c r="F4661" t="s">
        <v>35</v>
      </c>
      <c r="G4661" t="s">
        <v>35</v>
      </c>
      <c r="H4661" t="s">
        <v>35</v>
      </c>
      <c r="J4661" t="s">
        <v>5164</v>
      </c>
      <c r="K4661" t="s">
        <v>1092</v>
      </c>
      <c r="M4661">
        <v>11.55</v>
      </c>
      <c r="N4661">
        <v>59</v>
      </c>
      <c r="O4661" t="s">
        <v>52</v>
      </c>
      <c r="Q4661" t="s">
        <v>84</v>
      </c>
      <c r="R4661" t="s">
        <v>5029</v>
      </c>
      <c r="S4661" t="s">
        <v>648</v>
      </c>
    </row>
    <row r="4662" spans="1:19" x14ac:dyDescent="0.25">
      <c r="A4662" t="s">
        <v>44</v>
      </c>
      <c r="B4662" t="s">
        <v>3</v>
      </c>
      <c r="C4662" t="s">
        <v>32</v>
      </c>
      <c r="D4662" t="s">
        <v>639</v>
      </c>
      <c r="F4662" t="s">
        <v>35</v>
      </c>
      <c r="G4662" t="s">
        <v>35</v>
      </c>
      <c r="H4662" t="s">
        <v>35</v>
      </c>
      <c r="J4662" t="s">
        <v>5165</v>
      </c>
      <c r="K4662" t="s">
        <v>1092</v>
      </c>
      <c r="M4662">
        <v>0.55000000000000004</v>
      </c>
      <c r="N4662">
        <v>435</v>
      </c>
      <c r="O4662" t="s">
        <v>294</v>
      </c>
      <c r="Q4662" t="s">
        <v>1350</v>
      </c>
      <c r="R4662" t="s">
        <v>642</v>
      </c>
      <c r="S4662" t="s">
        <v>643</v>
      </c>
    </row>
    <row r="4663" spans="1:19" x14ac:dyDescent="0.25">
      <c r="A4663" t="s">
        <v>59</v>
      </c>
      <c r="B4663" t="s">
        <v>60</v>
      </c>
      <c r="C4663" t="s">
        <v>32</v>
      </c>
      <c r="D4663" t="s">
        <v>639</v>
      </c>
      <c r="F4663" t="s">
        <v>35</v>
      </c>
      <c r="G4663" t="s">
        <v>35</v>
      </c>
      <c r="H4663" t="s">
        <v>35</v>
      </c>
      <c r="J4663" t="s">
        <v>5166</v>
      </c>
      <c r="K4663" t="s">
        <v>1092</v>
      </c>
      <c r="M4663">
        <v>5.4</v>
      </c>
      <c r="N4663">
        <v>223</v>
      </c>
      <c r="O4663" t="s">
        <v>5</v>
      </c>
      <c r="Q4663" t="s">
        <v>3310</v>
      </c>
      <c r="R4663" t="s">
        <v>5029</v>
      </c>
      <c r="S4663" t="s">
        <v>648</v>
      </c>
    </row>
    <row r="4664" spans="1:19" x14ac:dyDescent="0.25">
      <c r="A4664" t="s">
        <v>44</v>
      </c>
      <c r="B4664" t="s">
        <v>3</v>
      </c>
      <c r="C4664" t="s">
        <v>32</v>
      </c>
      <c r="D4664" t="s">
        <v>639</v>
      </c>
      <c r="F4664" t="s">
        <v>35</v>
      </c>
      <c r="G4664" t="s">
        <v>35</v>
      </c>
      <c r="H4664" t="s">
        <v>35</v>
      </c>
      <c r="J4664" t="s">
        <v>5166</v>
      </c>
      <c r="K4664" t="s">
        <v>1092</v>
      </c>
      <c r="M4664">
        <v>0.45</v>
      </c>
      <c r="N4664">
        <v>430</v>
      </c>
      <c r="O4664" t="s">
        <v>294</v>
      </c>
      <c r="Q4664" t="s">
        <v>1712</v>
      </c>
      <c r="R4664" t="s">
        <v>5031</v>
      </c>
      <c r="S4664" t="s">
        <v>653</v>
      </c>
    </row>
    <row r="4665" spans="1:19" x14ac:dyDescent="0.25">
      <c r="A4665" t="s">
        <v>30</v>
      </c>
      <c r="B4665" t="s">
        <v>31</v>
      </c>
      <c r="C4665" t="s">
        <v>32</v>
      </c>
      <c r="D4665" t="s">
        <v>639</v>
      </c>
      <c r="F4665" t="s">
        <v>35</v>
      </c>
      <c r="G4665" t="s">
        <v>35</v>
      </c>
      <c r="H4665" t="s">
        <v>35</v>
      </c>
      <c r="J4665" t="s">
        <v>5166</v>
      </c>
      <c r="K4665" t="s">
        <v>1092</v>
      </c>
      <c r="M4665">
        <v>0.76500000000000001</v>
      </c>
      <c r="N4665">
        <v>71</v>
      </c>
      <c r="O4665" t="s">
        <v>61</v>
      </c>
      <c r="Q4665" t="s">
        <v>102</v>
      </c>
      <c r="R4665" t="s">
        <v>5031</v>
      </c>
      <c r="S4665" t="s">
        <v>653</v>
      </c>
    </row>
    <row r="4666" spans="1:19" x14ac:dyDescent="0.25">
      <c r="A4666" t="s">
        <v>59</v>
      </c>
      <c r="B4666" t="s">
        <v>60</v>
      </c>
      <c r="C4666" t="s">
        <v>32</v>
      </c>
      <c r="D4666" t="s">
        <v>639</v>
      </c>
      <c r="F4666" t="s">
        <v>35</v>
      </c>
      <c r="G4666" t="s">
        <v>35</v>
      </c>
      <c r="H4666" t="s">
        <v>35</v>
      </c>
      <c r="J4666" t="s">
        <v>5167</v>
      </c>
      <c r="K4666" t="s">
        <v>1092</v>
      </c>
      <c r="M4666">
        <v>5</v>
      </c>
      <c r="N4666">
        <v>2673</v>
      </c>
      <c r="O4666" t="s">
        <v>575</v>
      </c>
      <c r="Q4666" t="s">
        <v>1486</v>
      </c>
      <c r="R4666" t="s">
        <v>1487</v>
      </c>
      <c r="S4666" t="s">
        <v>1488</v>
      </c>
    </row>
    <row r="4667" spans="1:19" x14ac:dyDescent="0.25">
      <c r="A4667" t="s">
        <v>59</v>
      </c>
      <c r="B4667" t="s">
        <v>31</v>
      </c>
      <c r="C4667" t="s">
        <v>32</v>
      </c>
      <c r="D4667" t="s">
        <v>639</v>
      </c>
      <c r="F4667" t="s">
        <v>35</v>
      </c>
      <c r="G4667" t="s">
        <v>35</v>
      </c>
      <c r="H4667" t="s">
        <v>35</v>
      </c>
      <c r="J4667" t="s">
        <v>5168</v>
      </c>
      <c r="K4667" t="s">
        <v>1092</v>
      </c>
      <c r="M4667">
        <v>0.19</v>
      </c>
      <c r="N4667">
        <v>2139</v>
      </c>
      <c r="O4667" t="s">
        <v>575</v>
      </c>
      <c r="Q4667" t="s">
        <v>5169</v>
      </c>
      <c r="R4667" t="s">
        <v>5170</v>
      </c>
      <c r="S4667" t="s">
        <v>5171</v>
      </c>
    </row>
    <row r="4668" spans="1:19" x14ac:dyDescent="0.25">
      <c r="A4668" t="s">
        <v>30</v>
      </c>
      <c r="B4668" t="s">
        <v>31</v>
      </c>
      <c r="C4668" t="s">
        <v>32</v>
      </c>
      <c r="D4668" t="s">
        <v>639</v>
      </c>
      <c r="F4668" t="s">
        <v>35</v>
      </c>
      <c r="G4668" t="s">
        <v>35</v>
      </c>
      <c r="H4668" t="s">
        <v>35</v>
      </c>
      <c r="J4668" t="s">
        <v>5168</v>
      </c>
      <c r="K4668" t="s">
        <v>1092</v>
      </c>
      <c r="M4668">
        <v>0.06</v>
      </c>
      <c r="N4668">
        <v>2139</v>
      </c>
      <c r="O4668" t="s">
        <v>575</v>
      </c>
      <c r="Q4668" t="s">
        <v>5169</v>
      </c>
      <c r="R4668" t="s">
        <v>5170</v>
      </c>
      <c r="S4668" t="s">
        <v>5171</v>
      </c>
    </row>
    <row r="4669" spans="1:19" x14ac:dyDescent="0.25">
      <c r="A4669" t="s">
        <v>30</v>
      </c>
      <c r="B4669" t="s">
        <v>31</v>
      </c>
      <c r="C4669" t="s">
        <v>32</v>
      </c>
      <c r="D4669" t="s">
        <v>639</v>
      </c>
      <c r="F4669" t="s">
        <v>35</v>
      </c>
      <c r="G4669" t="s">
        <v>35</v>
      </c>
      <c r="H4669" t="s">
        <v>35</v>
      </c>
      <c r="J4669" t="s">
        <v>5173</v>
      </c>
      <c r="K4669" t="s">
        <v>1092</v>
      </c>
      <c r="M4669">
        <v>0.27</v>
      </c>
      <c r="N4669">
        <v>163</v>
      </c>
      <c r="O4669" t="s">
        <v>38</v>
      </c>
      <c r="Q4669" t="s">
        <v>1632</v>
      </c>
      <c r="R4669" t="s">
        <v>4997</v>
      </c>
      <c r="S4669" t="s">
        <v>4998</v>
      </c>
    </row>
    <row r="4670" spans="1:19" x14ac:dyDescent="0.25">
      <c r="A4670" t="s">
        <v>59</v>
      </c>
      <c r="B4670" t="s">
        <v>31</v>
      </c>
      <c r="C4670" t="s">
        <v>32</v>
      </c>
      <c r="D4670" t="s">
        <v>639</v>
      </c>
      <c r="F4670" t="s">
        <v>35</v>
      </c>
      <c r="G4670" t="s">
        <v>35</v>
      </c>
      <c r="H4670" t="s">
        <v>35</v>
      </c>
      <c r="J4670" t="s">
        <v>5174</v>
      </c>
      <c r="K4670" t="s">
        <v>1092</v>
      </c>
      <c r="M4670">
        <v>14.67</v>
      </c>
      <c r="N4670">
        <v>1486</v>
      </c>
      <c r="O4670" t="s">
        <v>575</v>
      </c>
      <c r="Q4670" t="s">
        <v>5176</v>
      </c>
      <c r="R4670" t="s">
        <v>5177</v>
      </c>
      <c r="S4670" t="s">
        <v>5178</v>
      </c>
    </row>
    <row r="4671" spans="1:19" x14ac:dyDescent="0.25">
      <c r="A4671" t="s">
        <v>59</v>
      </c>
      <c r="B4671" t="s">
        <v>31</v>
      </c>
      <c r="C4671" t="s">
        <v>32</v>
      </c>
      <c r="D4671" t="s">
        <v>639</v>
      </c>
      <c r="F4671" t="s">
        <v>35</v>
      </c>
      <c r="G4671" t="s">
        <v>35</v>
      </c>
      <c r="H4671" t="s">
        <v>35</v>
      </c>
      <c r="J4671" t="s">
        <v>5179</v>
      </c>
      <c r="K4671" t="s">
        <v>1092</v>
      </c>
      <c r="M4671">
        <v>17.774999999999999</v>
      </c>
      <c r="N4671">
        <v>1918</v>
      </c>
      <c r="O4671" t="s">
        <v>575</v>
      </c>
      <c r="Q4671" t="s">
        <v>5181</v>
      </c>
      <c r="R4671" t="s">
        <v>5170</v>
      </c>
      <c r="S4671" t="s">
        <v>5171</v>
      </c>
    </row>
    <row r="4672" spans="1:19" x14ac:dyDescent="0.25">
      <c r="A4672" t="s">
        <v>59</v>
      </c>
      <c r="B4672" t="s">
        <v>60</v>
      </c>
      <c r="C4672" t="s">
        <v>32</v>
      </c>
      <c r="D4672" t="s">
        <v>639</v>
      </c>
      <c r="F4672" t="s">
        <v>35</v>
      </c>
      <c r="G4672" t="s">
        <v>35</v>
      </c>
      <c r="H4672" t="s">
        <v>35</v>
      </c>
      <c r="J4672" t="s">
        <v>5179</v>
      </c>
      <c r="K4672" t="s">
        <v>1092</v>
      </c>
      <c r="M4672">
        <v>5.8</v>
      </c>
      <c r="N4672">
        <v>1909</v>
      </c>
      <c r="O4672" t="s">
        <v>575</v>
      </c>
      <c r="Q4672" t="s">
        <v>5180</v>
      </c>
      <c r="R4672" t="s">
        <v>5170</v>
      </c>
      <c r="S4672" t="s">
        <v>5171</v>
      </c>
    </row>
    <row r="4673" spans="1:19" x14ac:dyDescent="0.25">
      <c r="A4673" t="s">
        <v>30</v>
      </c>
      <c r="B4673" t="s">
        <v>31</v>
      </c>
      <c r="C4673" t="s">
        <v>32</v>
      </c>
      <c r="D4673" t="s">
        <v>639</v>
      </c>
      <c r="F4673" t="s">
        <v>35</v>
      </c>
      <c r="G4673" t="s">
        <v>35</v>
      </c>
      <c r="H4673" t="s">
        <v>35</v>
      </c>
      <c r="J4673" t="s">
        <v>5182</v>
      </c>
      <c r="K4673" t="s">
        <v>1092</v>
      </c>
      <c r="M4673">
        <v>3.06</v>
      </c>
      <c r="N4673">
        <v>2056</v>
      </c>
      <c r="O4673" t="s">
        <v>575</v>
      </c>
      <c r="Q4673" t="s">
        <v>4359</v>
      </c>
      <c r="R4673" t="s">
        <v>642</v>
      </c>
      <c r="S4673" t="s">
        <v>643</v>
      </c>
    </row>
    <row r="4674" spans="1:19" x14ac:dyDescent="0.25">
      <c r="A4674" t="s">
        <v>30</v>
      </c>
      <c r="B4674" t="s">
        <v>31</v>
      </c>
      <c r="C4674" t="s">
        <v>32</v>
      </c>
      <c r="D4674" t="s">
        <v>639</v>
      </c>
      <c r="F4674" t="s">
        <v>35</v>
      </c>
      <c r="G4674" t="s">
        <v>35</v>
      </c>
      <c r="H4674" t="s">
        <v>35</v>
      </c>
      <c r="J4674" t="s">
        <v>5183</v>
      </c>
      <c r="K4674" t="s">
        <v>1092</v>
      </c>
      <c r="M4674">
        <v>0.54</v>
      </c>
      <c r="N4674">
        <v>2314</v>
      </c>
      <c r="O4674" t="s">
        <v>575</v>
      </c>
      <c r="Q4674" t="s">
        <v>5184</v>
      </c>
      <c r="R4674" t="s">
        <v>5185</v>
      </c>
      <c r="S4674" t="s">
        <v>5186</v>
      </c>
    </row>
    <row r="4675" spans="1:19" x14ac:dyDescent="0.25">
      <c r="A4675" t="s">
        <v>59</v>
      </c>
      <c r="B4675" t="s">
        <v>31</v>
      </c>
      <c r="C4675" t="s">
        <v>32</v>
      </c>
      <c r="D4675" t="s">
        <v>639</v>
      </c>
      <c r="F4675" t="s">
        <v>35</v>
      </c>
      <c r="G4675" t="s">
        <v>35</v>
      </c>
      <c r="H4675" t="s">
        <v>35</v>
      </c>
      <c r="J4675" t="s">
        <v>5188</v>
      </c>
      <c r="K4675" t="s">
        <v>1092</v>
      </c>
      <c r="M4675">
        <v>0.495</v>
      </c>
      <c r="N4675">
        <v>2656</v>
      </c>
      <c r="O4675" t="s">
        <v>575</v>
      </c>
      <c r="Q4675" t="s">
        <v>2605</v>
      </c>
      <c r="R4675" t="s">
        <v>5170</v>
      </c>
      <c r="S4675" t="s">
        <v>5171</v>
      </c>
    </row>
    <row r="4676" spans="1:19" x14ac:dyDescent="0.25">
      <c r="A4676" t="s">
        <v>30</v>
      </c>
      <c r="B4676" t="s">
        <v>31</v>
      </c>
      <c r="C4676" t="s">
        <v>32</v>
      </c>
      <c r="D4676" t="s">
        <v>639</v>
      </c>
      <c r="F4676" t="s">
        <v>35</v>
      </c>
      <c r="G4676" t="s">
        <v>35</v>
      </c>
      <c r="H4676" t="s">
        <v>35</v>
      </c>
      <c r="J4676" t="s">
        <v>5188</v>
      </c>
      <c r="K4676" t="s">
        <v>1092</v>
      </c>
      <c r="M4676">
        <v>3.24</v>
      </c>
      <c r="N4676">
        <v>2343</v>
      </c>
      <c r="O4676" t="s">
        <v>575</v>
      </c>
      <c r="Q4676" t="s">
        <v>3103</v>
      </c>
      <c r="R4676" t="s">
        <v>5170</v>
      </c>
      <c r="S4676" t="s">
        <v>5171</v>
      </c>
    </row>
    <row r="4677" spans="1:19" x14ac:dyDescent="0.25">
      <c r="A4677" t="s">
        <v>44</v>
      </c>
      <c r="B4677" t="s">
        <v>51</v>
      </c>
      <c r="C4677" t="s">
        <v>32</v>
      </c>
      <c r="D4677" t="s">
        <v>639</v>
      </c>
      <c r="F4677" t="s">
        <v>35</v>
      </c>
      <c r="G4677" t="s">
        <v>35</v>
      </c>
      <c r="H4677" t="s">
        <v>35</v>
      </c>
      <c r="J4677" t="s">
        <v>5189</v>
      </c>
      <c r="K4677" t="s">
        <v>1092</v>
      </c>
      <c r="M4677">
        <v>3.05</v>
      </c>
      <c r="N4677">
        <v>59</v>
      </c>
      <c r="O4677" t="s">
        <v>52</v>
      </c>
      <c r="Q4677" t="s">
        <v>84</v>
      </c>
      <c r="R4677" t="s">
        <v>5029</v>
      </c>
      <c r="S4677" t="s">
        <v>648</v>
      </c>
    </row>
    <row r="4678" spans="1:19" x14ac:dyDescent="0.25">
      <c r="A4678" t="s">
        <v>44</v>
      </c>
      <c r="B4678" t="s">
        <v>51</v>
      </c>
      <c r="C4678" t="s">
        <v>32</v>
      </c>
      <c r="D4678" t="s">
        <v>639</v>
      </c>
      <c r="F4678" t="s">
        <v>35</v>
      </c>
      <c r="G4678" t="s">
        <v>35</v>
      </c>
      <c r="H4678" t="s">
        <v>35</v>
      </c>
      <c r="J4678" t="s">
        <v>5190</v>
      </c>
      <c r="K4678" t="s">
        <v>1092</v>
      </c>
      <c r="M4678">
        <v>2</v>
      </c>
      <c r="N4678">
        <v>60</v>
      </c>
      <c r="O4678" t="s">
        <v>52</v>
      </c>
      <c r="Q4678" t="s">
        <v>1734</v>
      </c>
      <c r="R4678" t="s">
        <v>666</v>
      </c>
      <c r="S4678" t="s">
        <v>667</v>
      </c>
    </row>
    <row r="4679" spans="1:19" x14ac:dyDescent="0.25">
      <c r="A4679" t="s">
        <v>44</v>
      </c>
      <c r="B4679" t="s">
        <v>51</v>
      </c>
      <c r="C4679" t="s">
        <v>32</v>
      </c>
      <c r="D4679" t="s">
        <v>660</v>
      </c>
      <c r="E4679" t="s">
        <v>5191</v>
      </c>
      <c r="F4679" t="s">
        <v>35</v>
      </c>
      <c r="G4679" t="s">
        <v>35</v>
      </c>
      <c r="H4679" t="s">
        <v>35</v>
      </c>
      <c r="J4679" t="s">
        <v>5192</v>
      </c>
      <c r="K4679" t="s">
        <v>1092</v>
      </c>
      <c r="M4679">
        <v>5</v>
      </c>
      <c r="N4679">
        <v>61</v>
      </c>
      <c r="O4679" t="s">
        <v>61</v>
      </c>
      <c r="Q4679" t="s">
        <v>671</v>
      </c>
      <c r="R4679" t="s">
        <v>672</v>
      </c>
      <c r="S4679" t="s">
        <v>662</v>
      </c>
    </row>
    <row r="4680" spans="1:19" x14ac:dyDescent="0.25">
      <c r="A4680" t="s">
        <v>30</v>
      </c>
      <c r="B4680" t="s">
        <v>31</v>
      </c>
      <c r="C4680" t="s">
        <v>32</v>
      </c>
      <c r="D4680" t="s">
        <v>660</v>
      </c>
      <c r="E4680" t="s">
        <v>5191</v>
      </c>
      <c r="F4680" t="s">
        <v>35</v>
      </c>
      <c r="G4680" t="s">
        <v>35</v>
      </c>
      <c r="H4680" t="s">
        <v>35</v>
      </c>
      <c r="J4680" t="s">
        <v>5193</v>
      </c>
      <c r="K4680" t="s">
        <v>1092</v>
      </c>
      <c r="M4680">
        <v>2.61</v>
      </c>
      <c r="N4680">
        <v>172</v>
      </c>
      <c r="O4680" t="s">
        <v>38</v>
      </c>
      <c r="Q4680" t="s">
        <v>1124</v>
      </c>
      <c r="R4680" t="s">
        <v>672</v>
      </c>
      <c r="S4680" t="s">
        <v>662</v>
      </c>
    </row>
    <row r="4681" spans="1:19" x14ac:dyDescent="0.25">
      <c r="A4681" t="s">
        <v>44</v>
      </c>
      <c r="B4681" t="s">
        <v>51</v>
      </c>
      <c r="C4681" t="s">
        <v>32</v>
      </c>
      <c r="D4681" t="s">
        <v>660</v>
      </c>
      <c r="E4681" t="s">
        <v>5194</v>
      </c>
      <c r="F4681" t="s">
        <v>35</v>
      </c>
      <c r="G4681" t="s">
        <v>35</v>
      </c>
      <c r="H4681" t="s">
        <v>35</v>
      </c>
      <c r="J4681" t="s">
        <v>5195</v>
      </c>
      <c r="K4681" t="s">
        <v>1092</v>
      </c>
      <c r="M4681">
        <v>6</v>
      </c>
      <c r="N4681">
        <v>61</v>
      </c>
      <c r="O4681" t="s">
        <v>61</v>
      </c>
      <c r="Q4681" t="s">
        <v>671</v>
      </c>
      <c r="R4681" t="s">
        <v>672</v>
      </c>
      <c r="S4681" t="s">
        <v>662</v>
      </c>
    </row>
    <row r="4682" spans="1:19" x14ac:dyDescent="0.25">
      <c r="A4682" t="s">
        <v>44</v>
      </c>
      <c r="B4682" t="s">
        <v>51</v>
      </c>
      <c r="C4682" t="s">
        <v>32</v>
      </c>
      <c r="D4682" t="s">
        <v>660</v>
      </c>
      <c r="E4682" t="s">
        <v>5194</v>
      </c>
      <c r="F4682" t="s">
        <v>35</v>
      </c>
      <c r="G4682" t="s">
        <v>35</v>
      </c>
      <c r="H4682" t="s">
        <v>35</v>
      </c>
      <c r="J4682" t="s">
        <v>5196</v>
      </c>
      <c r="K4682" t="s">
        <v>1092</v>
      </c>
      <c r="M4682">
        <v>3</v>
      </c>
      <c r="N4682">
        <v>57</v>
      </c>
      <c r="O4682" t="s">
        <v>52</v>
      </c>
      <c r="Q4682" t="s">
        <v>665</v>
      </c>
      <c r="R4682" t="s">
        <v>672</v>
      </c>
      <c r="S4682" t="s">
        <v>662</v>
      </c>
    </row>
    <row r="4683" spans="1:19" x14ac:dyDescent="0.25">
      <c r="A4683" t="s">
        <v>30</v>
      </c>
      <c r="B4683" t="s">
        <v>31</v>
      </c>
      <c r="C4683" t="s">
        <v>32</v>
      </c>
      <c r="D4683" t="s">
        <v>660</v>
      </c>
      <c r="E4683" t="s">
        <v>5197</v>
      </c>
      <c r="F4683" t="s">
        <v>35</v>
      </c>
      <c r="G4683" t="s">
        <v>35</v>
      </c>
      <c r="H4683" t="s">
        <v>35</v>
      </c>
      <c r="J4683" t="s">
        <v>5198</v>
      </c>
      <c r="K4683" t="s">
        <v>1092</v>
      </c>
      <c r="M4683">
        <v>4.4999999999999998E-2</v>
      </c>
      <c r="N4683">
        <v>173</v>
      </c>
      <c r="O4683" t="s">
        <v>38</v>
      </c>
      <c r="Q4683" t="s">
        <v>1345</v>
      </c>
      <c r="R4683" t="s">
        <v>672</v>
      </c>
      <c r="S4683" t="s">
        <v>662</v>
      </c>
    </row>
    <row r="4684" spans="1:19" x14ac:dyDescent="0.25">
      <c r="A4684" t="s">
        <v>59</v>
      </c>
      <c r="B4684" t="s">
        <v>31</v>
      </c>
      <c r="C4684" t="s">
        <v>32</v>
      </c>
      <c r="D4684" t="s">
        <v>660</v>
      </c>
      <c r="E4684" t="s">
        <v>5199</v>
      </c>
      <c r="F4684" t="s">
        <v>35</v>
      </c>
      <c r="G4684" t="s">
        <v>35</v>
      </c>
      <c r="H4684" t="s">
        <v>35</v>
      </c>
      <c r="J4684" t="s">
        <v>5200</v>
      </c>
      <c r="K4684" t="s">
        <v>1092</v>
      </c>
      <c r="M4684">
        <v>0.18</v>
      </c>
      <c r="N4684">
        <v>234</v>
      </c>
      <c r="O4684" t="s">
        <v>5</v>
      </c>
      <c r="Q4684" t="s">
        <v>1780</v>
      </c>
      <c r="R4684" t="s">
        <v>672</v>
      </c>
      <c r="S4684" t="s">
        <v>662</v>
      </c>
    </row>
    <row r="4685" spans="1:19" x14ac:dyDescent="0.25">
      <c r="A4685" t="s">
        <v>59</v>
      </c>
      <c r="B4685" t="s">
        <v>31</v>
      </c>
      <c r="C4685" t="s">
        <v>32</v>
      </c>
      <c r="D4685" t="s">
        <v>660</v>
      </c>
      <c r="E4685" t="s">
        <v>661</v>
      </c>
      <c r="F4685" t="s">
        <v>35</v>
      </c>
      <c r="G4685" t="s">
        <v>35</v>
      </c>
      <c r="H4685" t="s">
        <v>35</v>
      </c>
      <c r="J4685" t="s">
        <v>5201</v>
      </c>
      <c r="K4685" t="s">
        <v>1092</v>
      </c>
      <c r="M4685">
        <v>1.44</v>
      </c>
      <c r="N4685">
        <v>234</v>
      </c>
      <c r="O4685" t="s">
        <v>5</v>
      </c>
      <c r="Q4685" t="s">
        <v>1780</v>
      </c>
      <c r="R4685" t="s">
        <v>672</v>
      </c>
      <c r="S4685" t="s">
        <v>662</v>
      </c>
    </row>
    <row r="4686" spans="1:19" x14ac:dyDescent="0.25">
      <c r="A4686" t="s">
        <v>30</v>
      </c>
      <c r="B4686" t="s">
        <v>31</v>
      </c>
      <c r="C4686" t="s">
        <v>32</v>
      </c>
      <c r="D4686" t="s">
        <v>660</v>
      </c>
      <c r="E4686" t="s">
        <v>661</v>
      </c>
      <c r="F4686" t="s">
        <v>35</v>
      </c>
      <c r="G4686" t="s">
        <v>35</v>
      </c>
      <c r="H4686" t="s">
        <v>35</v>
      </c>
      <c r="J4686" t="s">
        <v>5202</v>
      </c>
      <c r="K4686" t="s">
        <v>1092</v>
      </c>
      <c r="M4686">
        <v>0.27</v>
      </c>
      <c r="N4686">
        <v>75</v>
      </c>
      <c r="O4686" t="s">
        <v>61</v>
      </c>
      <c r="Q4686" t="s">
        <v>805</v>
      </c>
      <c r="R4686" t="s">
        <v>672</v>
      </c>
      <c r="S4686" t="s">
        <v>662</v>
      </c>
    </row>
    <row r="4687" spans="1:19" x14ac:dyDescent="0.25">
      <c r="A4687" t="s">
        <v>44</v>
      </c>
      <c r="B4687" t="s">
        <v>51</v>
      </c>
      <c r="C4687" t="s">
        <v>32</v>
      </c>
      <c r="D4687" t="s">
        <v>660</v>
      </c>
      <c r="E4687" t="s">
        <v>5203</v>
      </c>
      <c r="F4687" t="s">
        <v>35</v>
      </c>
      <c r="G4687" t="s">
        <v>35</v>
      </c>
      <c r="H4687" t="s">
        <v>35</v>
      </c>
      <c r="J4687" t="s">
        <v>5204</v>
      </c>
      <c r="K4687" t="s">
        <v>1144</v>
      </c>
      <c r="M4687">
        <v>4.55</v>
      </c>
      <c r="N4687">
        <v>59</v>
      </c>
      <c r="O4687" t="s">
        <v>52</v>
      </c>
      <c r="Q4687" t="s">
        <v>84</v>
      </c>
      <c r="R4687" t="s">
        <v>5205</v>
      </c>
      <c r="S4687" t="s">
        <v>5075</v>
      </c>
    </row>
    <row r="4688" spans="1:19" x14ac:dyDescent="0.25">
      <c r="A4688" t="s">
        <v>30</v>
      </c>
      <c r="B4688" t="s">
        <v>31</v>
      </c>
      <c r="C4688" t="s">
        <v>32</v>
      </c>
      <c r="D4688" t="s">
        <v>660</v>
      </c>
      <c r="E4688" t="s">
        <v>5206</v>
      </c>
      <c r="F4688" t="s">
        <v>35</v>
      </c>
      <c r="G4688" t="s">
        <v>35</v>
      </c>
      <c r="H4688" t="s">
        <v>35</v>
      </c>
      <c r="J4688" t="s">
        <v>3153</v>
      </c>
      <c r="K4688" t="s">
        <v>1092</v>
      </c>
      <c r="M4688">
        <v>0.22500000000000001</v>
      </c>
      <c r="N4688">
        <v>254</v>
      </c>
      <c r="O4688" t="s">
        <v>5</v>
      </c>
      <c r="Q4688" t="s">
        <v>367</v>
      </c>
      <c r="R4688" t="s">
        <v>672</v>
      </c>
      <c r="S4688" t="s">
        <v>662</v>
      </c>
    </row>
    <row r="4689" spans="1:19" x14ac:dyDescent="0.25">
      <c r="A4689" t="s">
        <v>44</v>
      </c>
      <c r="B4689" t="s">
        <v>51</v>
      </c>
      <c r="C4689" t="s">
        <v>32</v>
      </c>
      <c r="D4689" t="s">
        <v>660</v>
      </c>
      <c r="E4689" t="s">
        <v>5206</v>
      </c>
      <c r="F4689" t="s">
        <v>35</v>
      </c>
      <c r="G4689" t="s">
        <v>35</v>
      </c>
      <c r="H4689" t="s">
        <v>35</v>
      </c>
      <c r="J4689" t="s">
        <v>5207</v>
      </c>
      <c r="K4689" t="s">
        <v>1092</v>
      </c>
      <c r="M4689">
        <v>6</v>
      </c>
      <c r="N4689">
        <v>59</v>
      </c>
      <c r="O4689" t="s">
        <v>52</v>
      </c>
      <c r="Q4689" t="s">
        <v>84</v>
      </c>
      <c r="R4689" t="s">
        <v>5205</v>
      </c>
      <c r="S4689" t="s">
        <v>5075</v>
      </c>
    </row>
    <row r="4690" spans="1:19" x14ac:dyDescent="0.25">
      <c r="A4690" t="s">
        <v>30</v>
      </c>
      <c r="B4690" t="s">
        <v>31</v>
      </c>
      <c r="C4690" t="s">
        <v>32</v>
      </c>
      <c r="D4690" t="s">
        <v>660</v>
      </c>
      <c r="E4690" t="s">
        <v>5206</v>
      </c>
      <c r="F4690" t="s">
        <v>35</v>
      </c>
      <c r="G4690" t="s">
        <v>35</v>
      </c>
      <c r="H4690" t="s">
        <v>35</v>
      </c>
      <c r="J4690" t="s">
        <v>5207</v>
      </c>
      <c r="K4690" t="s">
        <v>1092</v>
      </c>
      <c r="M4690">
        <v>0.76500000000000001</v>
      </c>
      <c r="N4690">
        <v>72</v>
      </c>
      <c r="O4690" t="s">
        <v>61</v>
      </c>
      <c r="Q4690" t="s">
        <v>63</v>
      </c>
      <c r="R4690" t="s">
        <v>5205</v>
      </c>
      <c r="S4690" t="s">
        <v>5075</v>
      </c>
    </row>
    <row r="4691" spans="1:19" x14ac:dyDescent="0.25">
      <c r="A4691" t="s">
        <v>44</v>
      </c>
      <c r="B4691" t="s">
        <v>3</v>
      </c>
      <c r="C4691" t="s">
        <v>32</v>
      </c>
      <c r="D4691" t="s">
        <v>673</v>
      </c>
      <c r="E4691" t="s">
        <v>5208</v>
      </c>
      <c r="F4691" t="s">
        <v>35</v>
      </c>
      <c r="G4691" t="s">
        <v>35</v>
      </c>
      <c r="H4691" t="s">
        <v>35</v>
      </c>
      <c r="J4691" t="s">
        <v>5209</v>
      </c>
      <c r="K4691" t="s">
        <v>1092</v>
      </c>
      <c r="M4691">
        <v>0.3</v>
      </c>
      <c r="N4691">
        <v>154</v>
      </c>
      <c r="O4691" t="s">
        <v>38</v>
      </c>
      <c r="Q4691" t="s">
        <v>3398</v>
      </c>
      <c r="R4691" t="s">
        <v>478</v>
      </c>
      <c r="S4691" t="s">
        <v>479</v>
      </c>
    </row>
    <row r="4692" spans="1:19" x14ac:dyDescent="0.25">
      <c r="A4692" t="s">
        <v>59</v>
      </c>
      <c r="B4692" t="s">
        <v>60</v>
      </c>
      <c r="C4692" t="s">
        <v>32</v>
      </c>
      <c r="D4692" t="s">
        <v>673</v>
      </c>
      <c r="E4692" t="s">
        <v>5208</v>
      </c>
      <c r="F4692" t="s">
        <v>35</v>
      </c>
      <c r="G4692" t="s">
        <v>35</v>
      </c>
      <c r="H4692" t="s">
        <v>35</v>
      </c>
      <c r="J4692" t="s">
        <v>5210</v>
      </c>
      <c r="K4692" t="s">
        <v>1092</v>
      </c>
      <c r="M4692">
        <v>0.5</v>
      </c>
      <c r="N4692">
        <v>110</v>
      </c>
      <c r="O4692" t="s">
        <v>106</v>
      </c>
      <c r="Q4692" t="s">
        <v>1494</v>
      </c>
      <c r="R4692" t="s">
        <v>478</v>
      </c>
      <c r="S4692" t="s">
        <v>479</v>
      </c>
    </row>
    <row r="4693" spans="1:19" x14ac:dyDescent="0.25">
      <c r="A4693" t="s">
        <v>59</v>
      </c>
      <c r="B4693" t="s">
        <v>60</v>
      </c>
      <c r="C4693" t="s">
        <v>32</v>
      </c>
      <c r="D4693" t="s">
        <v>673</v>
      </c>
      <c r="E4693" t="s">
        <v>5208</v>
      </c>
      <c r="F4693" t="s">
        <v>35</v>
      </c>
      <c r="G4693" t="s">
        <v>35</v>
      </c>
      <c r="H4693" t="s">
        <v>35</v>
      </c>
      <c r="J4693" t="s">
        <v>5211</v>
      </c>
      <c r="K4693" t="s">
        <v>1092</v>
      </c>
      <c r="M4693">
        <v>0.1</v>
      </c>
      <c r="N4693">
        <v>59</v>
      </c>
      <c r="O4693" t="s">
        <v>52</v>
      </c>
      <c r="Q4693" t="s">
        <v>84</v>
      </c>
      <c r="R4693" t="s">
        <v>306</v>
      </c>
      <c r="S4693" t="s">
        <v>307</v>
      </c>
    </row>
    <row r="4694" spans="1:19" x14ac:dyDescent="0.25">
      <c r="A4694" t="s">
        <v>44</v>
      </c>
      <c r="B4694" t="s">
        <v>51</v>
      </c>
      <c r="C4694" t="s">
        <v>32</v>
      </c>
      <c r="D4694" t="s">
        <v>673</v>
      </c>
      <c r="E4694" t="s">
        <v>5208</v>
      </c>
      <c r="F4694" t="s">
        <v>35</v>
      </c>
      <c r="G4694" t="s">
        <v>35</v>
      </c>
      <c r="H4694" t="s">
        <v>35</v>
      </c>
      <c r="J4694" t="s">
        <v>5212</v>
      </c>
      <c r="K4694" t="s">
        <v>1092</v>
      </c>
      <c r="M4694">
        <v>0.5</v>
      </c>
      <c r="N4694">
        <v>891</v>
      </c>
      <c r="O4694" t="s">
        <v>575</v>
      </c>
      <c r="Q4694" t="s">
        <v>5213</v>
      </c>
      <c r="R4694" t="s">
        <v>5214</v>
      </c>
      <c r="S4694" t="s">
        <v>5215</v>
      </c>
    </row>
    <row r="4695" spans="1:19" x14ac:dyDescent="0.25">
      <c r="A4695" t="s">
        <v>59</v>
      </c>
      <c r="B4695" t="s">
        <v>60</v>
      </c>
      <c r="C4695" t="s">
        <v>32</v>
      </c>
      <c r="D4695" t="s">
        <v>673</v>
      </c>
      <c r="E4695" t="s">
        <v>5208</v>
      </c>
      <c r="F4695" t="s">
        <v>35</v>
      </c>
      <c r="G4695" t="s">
        <v>35</v>
      </c>
      <c r="H4695" t="s">
        <v>35</v>
      </c>
      <c r="J4695" t="s">
        <v>5217</v>
      </c>
      <c r="K4695" t="s">
        <v>1092</v>
      </c>
      <c r="M4695">
        <v>0.15</v>
      </c>
      <c r="N4695">
        <v>836</v>
      </c>
      <c r="O4695" t="s">
        <v>575</v>
      </c>
      <c r="Q4695" t="s">
        <v>5218</v>
      </c>
      <c r="R4695" t="s">
        <v>5219</v>
      </c>
      <c r="S4695" t="s">
        <v>5220</v>
      </c>
    </row>
    <row r="4696" spans="1:19" x14ac:dyDescent="0.25">
      <c r="A4696" t="s">
        <v>44</v>
      </c>
      <c r="B4696" t="s">
        <v>3</v>
      </c>
      <c r="C4696" t="s">
        <v>32</v>
      </c>
      <c r="D4696" t="s">
        <v>673</v>
      </c>
      <c r="E4696" t="s">
        <v>5208</v>
      </c>
      <c r="F4696" t="s">
        <v>35</v>
      </c>
      <c r="G4696" t="s">
        <v>35</v>
      </c>
      <c r="H4696" t="s">
        <v>35</v>
      </c>
      <c r="J4696" t="s">
        <v>5222</v>
      </c>
      <c r="K4696" t="s">
        <v>1092</v>
      </c>
      <c r="M4696">
        <v>2</v>
      </c>
      <c r="N4696">
        <v>515</v>
      </c>
      <c r="O4696" t="s">
        <v>294</v>
      </c>
      <c r="Q4696" t="s">
        <v>2573</v>
      </c>
      <c r="R4696" t="s">
        <v>5219</v>
      </c>
      <c r="S4696" t="s">
        <v>5220</v>
      </c>
    </row>
    <row r="4697" spans="1:19" x14ac:dyDescent="0.25">
      <c r="A4697" t="s">
        <v>59</v>
      </c>
      <c r="B4697" t="s">
        <v>60</v>
      </c>
      <c r="C4697" t="s">
        <v>32</v>
      </c>
      <c r="D4697" t="s">
        <v>673</v>
      </c>
      <c r="E4697" t="s">
        <v>5208</v>
      </c>
      <c r="F4697" t="s">
        <v>35</v>
      </c>
      <c r="G4697" t="s">
        <v>35</v>
      </c>
      <c r="H4697" t="s">
        <v>35</v>
      </c>
      <c r="J4697" t="s">
        <v>5223</v>
      </c>
      <c r="K4697" t="s">
        <v>1092</v>
      </c>
      <c r="M4697">
        <v>1.55</v>
      </c>
      <c r="N4697">
        <v>80</v>
      </c>
      <c r="O4697" t="s">
        <v>61</v>
      </c>
      <c r="Q4697" t="s">
        <v>477</v>
      </c>
      <c r="R4697" t="s">
        <v>478</v>
      </c>
      <c r="S4697" t="s">
        <v>479</v>
      </c>
    </row>
    <row r="4698" spans="1:19" x14ac:dyDescent="0.25">
      <c r="A4698" t="s">
        <v>44</v>
      </c>
      <c r="B4698" t="s">
        <v>51</v>
      </c>
      <c r="C4698" t="s">
        <v>32</v>
      </c>
      <c r="D4698" t="s">
        <v>673</v>
      </c>
      <c r="E4698" t="s">
        <v>5208</v>
      </c>
      <c r="F4698" t="s">
        <v>35</v>
      </c>
      <c r="G4698" t="s">
        <v>35</v>
      </c>
      <c r="H4698" t="s">
        <v>35</v>
      </c>
      <c r="J4698" t="s">
        <v>5224</v>
      </c>
      <c r="K4698" t="s">
        <v>1092</v>
      </c>
      <c r="M4698">
        <v>0.2</v>
      </c>
      <c r="N4698">
        <v>853</v>
      </c>
      <c r="O4698" t="s">
        <v>575</v>
      </c>
      <c r="Q4698" t="s">
        <v>5226</v>
      </c>
      <c r="R4698" t="s">
        <v>5219</v>
      </c>
      <c r="S4698" t="s">
        <v>5220</v>
      </c>
    </row>
    <row r="4699" spans="1:19" x14ac:dyDescent="0.25">
      <c r="A4699" t="s">
        <v>44</v>
      </c>
      <c r="B4699" t="s">
        <v>51</v>
      </c>
      <c r="C4699" t="s">
        <v>32</v>
      </c>
      <c r="D4699" t="s">
        <v>673</v>
      </c>
      <c r="E4699" t="s">
        <v>5208</v>
      </c>
      <c r="F4699" t="s">
        <v>35</v>
      </c>
      <c r="G4699" t="s">
        <v>35</v>
      </c>
      <c r="H4699" t="s">
        <v>35</v>
      </c>
      <c r="J4699" t="s">
        <v>5224</v>
      </c>
      <c r="K4699" t="s">
        <v>1092</v>
      </c>
      <c r="M4699">
        <v>0.4</v>
      </c>
      <c r="N4699">
        <v>873</v>
      </c>
      <c r="O4699" t="s">
        <v>575</v>
      </c>
      <c r="Q4699" t="s">
        <v>5225</v>
      </c>
      <c r="R4699" t="s">
        <v>5219</v>
      </c>
      <c r="S4699" t="s">
        <v>5220</v>
      </c>
    </row>
    <row r="4700" spans="1:19" x14ac:dyDescent="0.25">
      <c r="A4700" t="s">
        <v>44</v>
      </c>
      <c r="B4700" t="s">
        <v>51</v>
      </c>
      <c r="C4700" t="s">
        <v>32</v>
      </c>
      <c r="D4700" t="s">
        <v>673</v>
      </c>
      <c r="E4700" t="s">
        <v>5208</v>
      </c>
      <c r="F4700" t="s">
        <v>35</v>
      </c>
      <c r="G4700" t="s">
        <v>35</v>
      </c>
      <c r="H4700" t="s">
        <v>35</v>
      </c>
      <c r="J4700" t="s">
        <v>5224</v>
      </c>
      <c r="K4700" t="s">
        <v>1092</v>
      </c>
      <c r="M4700">
        <v>0.1</v>
      </c>
      <c r="N4700">
        <v>850</v>
      </c>
      <c r="O4700" t="s">
        <v>575</v>
      </c>
      <c r="Q4700" t="s">
        <v>5227</v>
      </c>
      <c r="R4700" t="s">
        <v>5219</v>
      </c>
      <c r="S4700" t="s">
        <v>5220</v>
      </c>
    </row>
    <row r="4701" spans="1:19" x14ac:dyDescent="0.25">
      <c r="A4701" t="s">
        <v>30</v>
      </c>
      <c r="B4701" t="s">
        <v>31</v>
      </c>
      <c r="C4701" t="s">
        <v>32</v>
      </c>
      <c r="D4701" t="s">
        <v>673</v>
      </c>
      <c r="E4701" t="s">
        <v>5208</v>
      </c>
      <c r="F4701" t="s">
        <v>35</v>
      </c>
      <c r="G4701" t="s">
        <v>35</v>
      </c>
      <c r="H4701" t="s">
        <v>35</v>
      </c>
      <c r="J4701" t="s">
        <v>5228</v>
      </c>
      <c r="K4701" t="s">
        <v>1092</v>
      </c>
      <c r="M4701">
        <v>1.08</v>
      </c>
      <c r="N4701">
        <v>142</v>
      </c>
      <c r="O4701" t="s">
        <v>38</v>
      </c>
      <c r="Q4701" t="s">
        <v>2067</v>
      </c>
      <c r="R4701" t="s">
        <v>5229</v>
      </c>
      <c r="S4701" t="s">
        <v>5230</v>
      </c>
    </row>
    <row r="4702" spans="1:19" x14ac:dyDescent="0.25">
      <c r="A4702" t="s">
        <v>30</v>
      </c>
      <c r="B4702" t="s">
        <v>31</v>
      </c>
      <c r="C4702" t="s">
        <v>32</v>
      </c>
      <c r="D4702" t="s">
        <v>673</v>
      </c>
      <c r="E4702" t="s">
        <v>5208</v>
      </c>
      <c r="F4702" t="s">
        <v>35</v>
      </c>
      <c r="G4702" t="s">
        <v>35</v>
      </c>
      <c r="H4702" t="s">
        <v>35</v>
      </c>
      <c r="J4702" t="s">
        <v>5232</v>
      </c>
      <c r="K4702" t="s">
        <v>1092</v>
      </c>
      <c r="M4702">
        <v>0.54</v>
      </c>
      <c r="N4702">
        <v>1076</v>
      </c>
      <c r="O4702" t="s">
        <v>575</v>
      </c>
      <c r="Q4702" t="s">
        <v>5233</v>
      </c>
      <c r="R4702" t="s">
        <v>306</v>
      </c>
      <c r="S4702" t="s">
        <v>307</v>
      </c>
    </row>
    <row r="4703" spans="1:19" x14ac:dyDescent="0.25">
      <c r="A4703" t="s">
        <v>44</v>
      </c>
      <c r="B4703" t="s">
        <v>3</v>
      </c>
      <c r="C4703" t="s">
        <v>32</v>
      </c>
      <c r="D4703" t="s">
        <v>673</v>
      </c>
      <c r="E4703" t="s">
        <v>5208</v>
      </c>
      <c r="F4703" t="s">
        <v>35</v>
      </c>
      <c r="G4703" t="s">
        <v>35</v>
      </c>
      <c r="H4703" t="s">
        <v>35</v>
      </c>
      <c r="J4703" t="s">
        <v>5234</v>
      </c>
      <c r="K4703" t="s">
        <v>1092</v>
      </c>
      <c r="M4703">
        <v>0.25</v>
      </c>
      <c r="N4703">
        <v>496</v>
      </c>
      <c r="O4703" t="s">
        <v>294</v>
      </c>
      <c r="Q4703" t="s">
        <v>3602</v>
      </c>
      <c r="R4703" t="s">
        <v>5229</v>
      </c>
      <c r="S4703" t="s">
        <v>5230</v>
      </c>
    </row>
    <row r="4704" spans="1:19" x14ac:dyDescent="0.25">
      <c r="A4704" t="s">
        <v>30</v>
      </c>
      <c r="B4704" t="s">
        <v>31</v>
      </c>
      <c r="C4704" t="s">
        <v>32</v>
      </c>
      <c r="D4704" t="s">
        <v>673</v>
      </c>
      <c r="E4704" t="s">
        <v>5208</v>
      </c>
      <c r="F4704" t="s">
        <v>35</v>
      </c>
      <c r="G4704" t="s">
        <v>35</v>
      </c>
      <c r="H4704" t="s">
        <v>35</v>
      </c>
      <c r="J4704" t="s">
        <v>5235</v>
      </c>
      <c r="K4704" t="s">
        <v>1092</v>
      </c>
      <c r="M4704">
        <v>0.63</v>
      </c>
      <c r="N4704">
        <v>143</v>
      </c>
      <c r="O4704" t="s">
        <v>38</v>
      </c>
      <c r="Q4704" t="s">
        <v>2121</v>
      </c>
      <c r="R4704" t="s">
        <v>5229</v>
      </c>
      <c r="S4704" t="s">
        <v>5230</v>
      </c>
    </row>
    <row r="4705" spans="1:19" x14ac:dyDescent="0.25">
      <c r="A4705" t="s">
        <v>59</v>
      </c>
      <c r="B4705" t="s">
        <v>60</v>
      </c>
      <c r="C4705" t="s">
        <v>32</v>
      </c>
      <c r="D4705" t="s">
        <v>673</v>
      </c>
      <c r="E4705" t="s">
        <v>5208</v>
      </c>
      <c r="F4705" t="s">
        <v>35</v>
      </c>
      <c r="G4705" t="s">
        <v>35</v>
      </c>
      <c r="H4705" t="s">
        <v>35</v>
      </c>
      <c r="J4705" t="s">
        <v>5236</v>
      </c>
      <c r="K4705" t="s">
        <v>1092</v>
      </c>
      <c r="M4705">
        <v>1</v>
      </c>
      <c r="N4705">
        <v>898</v>
      </c>
      <c r="O4705" t="s">
        <v>575</v>
      </c>
      <c r="Q4705" t="s">
        <v>5237</v>
      </c>
      <c r="R4705" t="s">
        <v>5219</v>
      </c>
      <c r="S4705" t="s">
        <v>5220</v>
      </c>
    </row>
    <row r="4706" spans="1:19" x14ac:dyDescent="0.25">
      <c r="A4706" t="s">
        <v>30</v>
      </c>
      <c r="B4706" t="s">
        <v>31</v>
      </c>
      <c r="C4706" t="s">
        <v>32</v>
      </c>
      <c r="D4706" t="s">
        <v>673</v>
      </c>
      <c r="E4706" t="s">
        <v>673</v>
      </c>
      <c r="F4706" t="s">
        <v>35</v>
      </c>
      <c r="G4706" t="s">
        <v>35</v>
      </c>
      <c r="H4706" t="s">
        <v>35</v>
      </c>
      <c r="J4706" t="s">
        <v>5238</v>
      </c>
      <c r="K4706" t="s">
        <v>1092</v>
      </c>
      <c r="M4706">
        <v>3.8250000000000002</v>
      </c>
      <c r="N4706">
        <v>50</v>
      </c>
      <c r="O4706" t="s">
        <v>52</v>
      </c>
      <c r="Q4706" t="s">
        <v>425</v>
      </c>
      <c r="R4706" t="s">
        <v>5239</v>
      </c>
      <c r="S4706" t="s">
        <v>5240</v>
      </c>
    </row>
    <row r="4707" spans="1:19" x14ac:dyDescent="0.25">
      <c r="A4707" t="s">
        <v>30</v>
      </c>
      <c r="B4707" t="s">
        <v>31</v>
      </c>
      <c r="C4707" t="s">
        <v>32</v>
      </c>
      <c r="D4707" t="s">
        <v>673</v>
      </c>
      <c r="E4707" t="s">
        <v>673</v>
      </c>
      <c r="F4707" t="s">
        <v>35</v>
      </c>
      <c r="G4707" t="s">
        <v>35</v>
      </c>
      <c r="H4707" t="s">
        <v>35</v>
      </c>
      <c r="J4707" t="s">
        <v>5242</v>
      </c>
      <c r="K4707" t="s">
        <v>1092</v>
      </c>
      <c r="M4707">
        <v>4.4999999999999998E-2</v>
      </c>
      <c r="N4707">
        <v>35</v>
      </c>
      <c r="O4707" t="s">
        <v>52</v>
      </c>
      <c r="Q4707" t="s">
        <v>48</v>
      </c>
      <c r="R4707" t="s">
        <v>5243</v>
      </c>
      <c r="S4707" t="s">
        <v>5244</v>
      </c>
    </row>
    <row r="4708" spans="1:19" x14ac:dyDescent="0.25">
      <c r="A4708" t="s">
        <v>59</v>
      </c>
      <c r="B4708" t="s">
        <v>60</v>
      </c>
      <c r="C4708" t="s">
        <v>32</v>
      </c>
      <c r="D4708" t="s">
        <v>673</v>
      </c>
      <c r="E4708" t="s">
        <v>673</v>
      </c>
      <c r="F4708" t="s">
        <v>35</v>
      </c>
      <c r="G4708" t="s">
        <v>35</v>
      </c>
      <c r="H4708" t="s">
        <v>35</v>
      </c>
      <c r="J4708" t="s">
        <v>5246</v>
      </c>
      <c r="K4708" t="s">
        <v>1092</v>
      </c>
      <c r="M4708">
        <v>4.1500000000000004</v>
      </c>
      <c r="N4708">
        <v>202</v>
      </c>
      <c r="O4708" t="s">
        <v>5</v>
      </c>
      <c r="Q4708" t="s">
        <v>1299</v>
      </c>
      <c r="R4708" t="s">
        <v>5248</v>
      </c>
      <c r="S4708" t="s">
        <v>5246</v>
      </c>
    </row>
    <row r="4709" spans="1:19" x14ac:dyDescent="0.25">
      <c r="A4709" t="s">
        <v>59</v>
      </c>
      <c r="B4709" t="s">
        <v>31</v>
      </c>
      <c r="C4709" t="s">
        <v>32</v>
      </c>
      <c r="D4709" t="s">
        <v>673</v>
      </c>
      <c r="E4709" t="s">
        <v>673</v>
      </c>
      <c r="F4709" t="s">
        <v>35</v>
      </c>
      <c r="G4709" t="s">
        <v>35</v>
      </c>
      <c r="H4709" t="s">
        <v>35</v>
      </c>
      <c r="J4709" t="s">
        <v>5249</v>
      </c>
      <c r="K4709" t="s">
        <v>1092</v>
      </c>
      <c r="M4709">
        <v>0.22500000000000001</v>
      </c>
      <c r="N4709">
        <v>1995</v>
      </c>
      <c r="O4709" t="s">
        <v>575</v>
      </c>
      <c r="Q4709" t="s">
        <v>5254</v>
      </c>
      <c r="R4709" t="s">
        <v>5251</v>
      </c>
      <c r="S4709" t="s">
        <v>5252</v>
      </c>
    </row>
    <row r="4710" spans="1:19" x14ac:dyDescent="0.25">
      <c r="A4710" t="s">
        <v>30</v>
      </c>
      <c r="B4710" t="s">
        <v>31</v>
      </c>
      <c r="C4710" t="s">
        <v>32</v>
      </c>
      <c r="D4710" t="s">
        <v>673</v>
      </c>
      <c r="E4710" t="s">
        <v>673</v>
      </c>
      <c r="F4710" t="s">
        <v>35</v>
      </c>
      <c r="G4710" t="s">
        <v>35</v>
      </c>
      <c r="H4710" t="s">
        <v>35</v>
      </c>
      <c r="J4710" t="s">
        <v>5249</v>
      </c>
      <c r="K4710" t="s">
        <v>1092</v>
      </c>
      <c r="M4710">
        <v>0.45</v>
      </c>
      <c r="N4710">
        <v>2010</v>
      </c>
      <c r="O4710" t="s">
        <v>575</v>
      </c>
      <c r="Q4710" t="s">
        <v>5250</v>
      </c>
      <c r="R4710" t="s">
        <v>5251</v>
      </c>
      <c r="S4710" t="s">
        <v>5252</v>
      </c>
    </row>
    <row r="4711" spans="1:19" x14ac:dyDescent="0.25">
      <c r="A4711" t="s">
        <v>59</v>
      </c>
      <c r="B4711" t="s">
        <v>31</v>
      </c>
      <c r="C4711" t="s">
        <v>32</v>
      </c>
      <c r="D4711" t="s">
        <v>673</v>
      </c>
      <c r="E4711" t="s">
        <v>673</v>
      </c>
      <c r="F4711" t="s">
        <v>35</v>
      </c>
      <c r="G4711" t="s">
        <v>35</v>
      </c>
      <c r="H4711" t="s">
        <v>35</v>
      </c>
      <c r="J4711" t="s">
        <v>5255</v>
      </c>
      <c r="K4711" t="s">
        <v>1092</v>
      </c>
      <c r="M4711">
        <v>0.495</v>
      </c>
      <c r="N4711">
        <v>66</v>
      </c>
      <c r="O4711" t="s">
        <v>61</v>
      </c>
      <c r="Q4711" t="s">
        <v>203</v>
      </c>
      <c r="R4711" t="s">
        <v>5256</v>
      </c>
      <c r="S4711" t="s">
        <v>5257</v>
      </c>
    </row>
    <row r="4712" spans="1:19" x14ac:dyDescent="0.25">
      <c r="A4712" t="s">
        <v>44</v>
      </c>
      <c r="B4712" t="s">
        <v>3</v>
      </c>
      <c r="C4712" t="s">
        <v>32</v>
      </c>
      <c r="D4712" t="s">
        <v>673</v>
      </c>
      <c r="E4712" t="s">
        <v>673</v>
      </c>
      <c r="F4712" t="s">
        <v>35</v>
      </c>
      <c r="G4712" t="s">
        <v>35</v>
      </c>
      <c r="H4712" t="s">
        <v>35</v>
      </c>
      <c r="J4712" t="s">
        <v>5259</v>
      </c>
      <c r="K4712" t="s">
        <v>1092</v>
      </c>
      <c r="M4712">
        <v>1</v>
      </c>
      <c r="N4712">
        <v>496</v>
      </c>
      <c r="O4712" t="s">
        <v>294</v>
      </c>
      <c r="Q4712" t="s">
        <v>3602</v>
      </c>
      <c r="R4712" t="s">
        <v>5229</v>
      </c>
      <c r="S4712" t="s">
        <v>5230</v>
      </c>
    </row>
    <row r="4713" spans="1:19" x14ac:dyDescent="0.25">
      <c r="A4713" t="s">
        <v>30</v>
      </c>
      <c r="B4713" t="s">
        <v>31</v>
      </c>
      <c r="C4713" t="s">
        <v>32</v>
      </c>
      <c r="D4713" t="s">
        <v>673</v>
      </c>
      <c r="E4713" t="s">
        <v>673</v>
      </c>
      <c r="F4713" t="s">
        <v>35</v>
      </c>
      <c r="G4713" t="s">
        <v>35</v>
      </c>
      <c r="H4713" t="s">
        <v>35</v>
      </c>
      <c r="J4713" t="s">
        <v>5260</v>
      </c>
      <c r="K4713" t="s">
        <v>1092</v>
      </c>
      <c r="M4713">
        <v>10.484999999999999</v>
      </c>
      <c r="N4713">
        <v>50</v>
      </c>
      <c r="O4713" t="s">
        <v>52</v>
      </c>
      <c r="Q4713" t="s">
        <v>425</v>
      </c>
      <c r="R4713" t="s">
        <v>5239</v>
      </c>
      <c r="S4713" t="s">
        <v>5240</v>
      </c>
    </row>
    <row r="4714" spans="1:19" x14ac:dyDescent="0.25">
      <c r="A4714" t="s">
        <v>59</v>
      </c>
      <c r="B4714" t="s">
        <v>31</v>
      </c>
      <c r="C4714" t="s">
        <v>32</v>
      </c>
      <c r="D4714" t="s">
        <v>673</v>
      </c>
      <c r="E4714" t="s">
        <v>673</v>
      </c>
      <c r="F4714" t="s">
        <v>35</v>
      </c>
      <c r="G4714" t="s">
        <v>35</v>
      </c>
      <c r="H4714" t="s">
        <v>35</v>
      </c>
      <c r="J4714" t="s">
        <v>5261</v>
      </c>
      <c r="K4714" t="s">
        <v>1092</v>
      </c>
      <c r="M4714">
        <v>0.99</v>
      </c>
      <c r="N4714">
        <v>1459</v>
      </c>
      <c r="O4714" t="s">
        <v>575</v>
      </c>
      <c r="Q4714" t="s">
        <v>5262</v>
      </c>
      <c r="R4714" t="s">
        <v>5263</v>
      </c>
      <c r="S4714" t="s">
        <v>5264</v>
      </c>
    </row>
    <row r="4715" spans="1:19" x14ac:dyDescent="0.25">
      <c r="A4715" t="s">
        <v>59</v>
      </c>
      <c r="B4715" t="s">
        <v>31</v>
      </c>
      <c r="C4715" t="s">
        <v>32</v>
      </c>
      <c r="D4715" t="s">
        <v>673</v>
      </c>
      <c r="E4715" t="s">
        <v>673</v>
      </c>
      <c r="F4715" t="s">
        <v>35</v>
      </c>
      <c r="G4715" t="s">
        <v>35</v>
      </c>
      <c r="H4715" t="s">
        <v>35</v>
      </c>
      <c r="J4715" t="s">
        <v>3127</v>
      </c>
      <c r="K4715" t="s">
        <v>1092</v>
      </c>
      <c r="M4715">
        <v>4.4999999999999998E-2</v>
      </c>
      <c r="N4715">
        <v>1560</v>
      </c>
      <c r="O4715" t="s">
        <v>575</v>
      </c>
      <c r="Q4715" t="s">
        <v>5266</v>
      </c>
      <c r="R4715" t="s">
        <v>5251</v>
      </c>
      <c r="S4715" t="s">
        <v>5252</v>
      </c>
    </row>
    <row r="4716" spans="1:19" x14ac:dyDescent="0.25">
      <c r="A4716" t="s">
        <v>30</v>
      </c>
      <c r="B4716" t="s">
        <v>31</v>
      </c>
      <c r="C4716" t="s">
        <v>32</v>
      </c>
      <c r="D4716" t="s">
        <v>673</v>
      </c>
      <c r="E4716" t="s">
        <v>673</v>
      </c>
      <c r="F4716" t="s">
        <v>35</v>
      </c>
      <c r="G4716" t="s">
        <v>35</v>
      </c>
      <c r="H4716" t="s">
        <v>35</v>
      </c>
      <c r="J4716" t="s">
        <v>3127</v>
      </c>
      <c r="K4716" t="s">
        <v>1092</v>
      </c>
      <c r="M4716">
        <v>0.18</v>
      </c>
      <c r="N4716">
        <v>1222</v>
      </c>
      <c r="O4716" t="s">
        <v>575</v>
      </c>
      <c r="Q4716" t="s">
        <v>2434</v>
      </c>
      <c r="R4716" t="s">
        <v>5251</v>
      </c>
      <c r="S4716" t="s">
        <v>5252</v>
      </c>
    </row>
    <row r="4717" spans="1:19" x14ac:dyDescent="0.25">
      <c r="A4717" t="s">
        <v>30</v>
      </c>
      <c r="B4717" t="s">
        <v>31</v>
      </c>
      <c r="C4717" t="s">
        <v>32</v>
      </c>
      <c r="D4717" t="s">
        <v>673</v>
      </c>
      <c r="E4717" t="s">
        <v>673</v>
      </c>
      <c r="F4717" t="s">
        <v>35</v>
      </c>
      <c r="G4717" t="s">
        <v>35</v>
      </c>
      <c r="H4717" t="s">
        <v>35</v>
      </c>
      <c r="J4717" t="s">
        <v>5267</v>
      </c>
      <c r="K4717" t="s">
        <v>1092</v>
      </c>
      <c r="M4717">
        <v>7.1999999999999995E-2</v>
      </c>
      <c r="N4717">
        <v>2090</v>
      </c>
      <c r="O4717" t="s">
        <v>575</v>
      </c>
      <c r="Q4717" t="s">
        <v>3262</v>
      </c>
      <c r="R4717" t="s">
        <v>5268</v>
      </c>
      <c r="S4717" t="s">
        <v>5269</v>
      </c>
    </row>
    <row r="4718" spans="1:19" x14ac:dyDescent="0.25">
      <c r="A4718" t="s">
        <v>59</v>
      </c>
      <c r="B4718" t="s">
        <v>31</v>
      </c>
      <c r="C4718" t="s">
        <v>32</v>
      </c>
      <c r="D4718" t="s">
        <v>673</v>
      </c>
      <c r="E4718" t="s">
        <v>673</v>
      </c>
      <c r="F4718" t="s">
        <v>35</v>
      </c>
      <c r="G4718" t="s">
        <v>35</v>
      </c>
      <c r="H4718" t="s">
        <v>35</v>
      </c>
      <c r="J4718" t="s">
        <v>1491</v>
      </c>
      <c r="K4718" t="s">
        <v>1092</v>
      </c>
      <c r="M4718">
        <v>1.08</v>
      </c>
      <c r="N4718">
        <v>52</v>
      </c>
      <c r="O4718" t="s">
        <v>52</v>
      </c>
      <c r="Q4718" t="s">
        <v>1230</v>
      </c>
      <c r="R4718" t="s">
        <v>5271</v>
      </c>
      <c r="S4718" t="s">
        <v>711</v>
      </c>
    </row>
    <row r="4719" spans="1:19" x14ac:dyDescent="0.25">
      <c r="A4719" t="s">
        <v>30</v>
      </c>
      <c r="B4719" t="s">
        <v>31</v>
      </c>
      <c r="C4719" t="s">
        <v>32</v>
      </c>
      <c r="D4719" t="s">
        <v>673</v>
      </c>
      <c r="E4719" t="s">
        <v>673</v>
      </c>
      <c r="F4719" t="s">
        <v>35</v>
      </c>
      <c r="G4719" t="s">
        <v>35</v>
      </c>
      <c r="H4719" t="s">
        <v>35</v>
      </c>
      <c r="J4719" t="s">
        <v>5272</v>
      </c>
      <c r="K4719" t="s">
        <v>1092</v>
      </c>
      <c r="M4719">
        <v>0.03</v>
      </c>
      <c r="N4719">
        <v>1188</v>
      </c>
      <c r="O4719" t="s">
        <v>575</v>
      </c>
      <c r="Q4719" t="s">
        <v>4934</v>
      </c>
      <c r="R4719" t="s">
        <v>5273</v>
      </c>
      <c r="S4719" t="s">
        <v>5274</v>
      </c>
    </row>
    <row r="4720" spans="1:19" x14ac:dyDescent="0.25">
      <c r="A4720" t="s">
        <v>30</v>
      </c>
      <c r="B4720" t="s">
        <v>31</v>
      </c>
      <c r="C4720" t="s">
        <v>32</v>
      </c>
      <c r="D4720" t="s">
        <v>673</v>
      </c>
      <c r="E4720" t="s">
        <v>673</v>
      </c>
      <c r="F4720" t="s">
        <v>35</v>
      </c>
      <c r="G4720" t="s">
        <v>35</v>
      </c>
      <c r="H4720" t="s">
        <v>35</v>
      </c>
      <c r="J4720" t="s">
        <v>5276</v>
      </c>
      <c r="K4720" t="s">
        <v>1092</v>
      </c>
      <c r="M4720">
        <v>0.13500000000000001</v>
      </c>
      <c r="N4720">
        <v>1613</v>
      </c>
      <c r="O4720" t="s">
        <v>575</v>
      </c>
      <c r="Q4720" t="s">
        <v>5277</v>
      </c>
      <c r="R4720" t="s">
        <v>5273</v>
      </c>
      <c r="S4720" t="s">
        <v>5274</v>
      </c>
    </row>
    <row r="4721" spans="1:19" x14ac:dyDescent="0.25">
      <c r="A4721" t="s">
        <v>59</v>
      </c>
      <c r="B4721" t="s">
        <v>60</v>
      </c>
      <c r="C4721" t="s">
        <v>32</v>
      </c>
      <c r="D4721" t="s">
        <v>673</v>
      </c>
      <c r="E4721" t="s">
        <v>673</v>
      </c>
      <c r="F4721" t="s">
        <v>35</v>
      </c>
      <c r="G4721" t="s">
        <v>35</v>
      </c>
      <c r="H4721" t="s">
        <v>35</v>
      </c>
      <c r="J4721" t="s">
        <v>5278</v>
      </c>
      <c r="K4721" t="s">
        <v>1092</v>
      </c>
      <c r="M4721">
        <v>0.15</v>
      </c>
      <c r="N4721">
        <v>81</v>
      </c>
      <c r="O4721" t="s">
        <v>61</v>
      </c>
      <c r="Q4721" t="s">
        <v>527</v>
      </c>
      <c r="R4721" t="s">
        <v>315</v>
      </c>
      <c r="S4721" t="s">
        <v>316</v>
      </c>
    </row>
    <row r="4722" spans="1:19" x14ac:dyDescent="0.25">
      <c r="A4722" t="s">
        <v>59</v>
      </c>
      <c r="B4722" t="s">
        <v>60</v>
      </c>
      <c r="C4722" t="s">
        <v>32</v>
      </c>
      <c r="D4722" t="s">
        <v>673</v>
      </c>
      <c r="E4722" t="s">
        <v>673</v>
      </c>
      <c r="F4722" t="s">
        <v>35</v>
      </c>
      <c r="G4722" t="s">
        <v>35</v>
      </c>
      <c r="H4722" t="s">
        <v>35</v>
      </c>
      <c r="J4722" t="s">
        <v>5278</v>
      </c>
      <c r="K4722" t="s">
        <v>1092</v>
      </c>
      <c r="M4722">
        <v>1.5</v>
      </c>
      <c r="N4722">
        <v>21</v>
      </c>
      <c r="O4722" t="s">
        <v>46</v>
      </c>
      <c r="Q4722" t="s">
        <v>1874</v>
      </c>
      <c r="R4722" t="s">
        <v>315</v>
      </c>
      <c r="S4722" t="s">
        <v>316</v>
      </c>
    </row>
    <row r="4723" spans="1:19" x14ac:dyDescent="0.25">
      <c r="A4723" t="s">
        <v>59</v>
      </c>
      <c r="B4723" t="s">
        <v>31</v>
      </c>
      <c r="C4723" t="s">
        <v>32</v>
      </c>
      <c r="D4723" t="s">
        <v>673</v>
      </c>
      <c r="E4723" t="s">
        <v>673</v>
      </c>
      <c r="F4723" t="s">
        <v>35</v>
      </c>
      <c r="G4723" t="s">
        <v>35</v>
      </c>
      <c r="H4723" t="s">
        <v>35</v>
      </c>
      <c r="J4723" t="s">
        <v>5279</v>
      </c>
      <c r="K4723" t="s">
        <v>1092</v>
      </c>
      <c r="M4723">
        <v>0.125</v>
      </c>
      <c r="N4723">
        <v>1154</v>
      </c>
      <c r="O4723" t="s">
        <v>575</v>
      </c>
      <c r="Q4723" t="s">
        <v>4883</v>
      </c>
      <c r="R4723" t="s">
        <v>5268</v>
      </c>
      <c r="S4723" t="s">
        <v>5269</v>
      </c>
    </row>
    <row r="4724" spans="1:19" x14ac:dyDescent="0.25">
      <c r="A4724" t="s">
        <v>59</v>
      </c>
      <c r="B4724" t="s">
        <v>60</v>
      </c>
      <c r="C4724" t="s">
        <v>32</v>
      </c>
      <c r="D4724" t="s">
        <v>673</v>
      </c>
      <c r="E4724" t="s">
        <v>673</v>
      </c>
      <c r="F4724" t="s">
        <v>35</v>
      </c>
      <c r="G4724" t="s">
        <v>35</v>
      </c>
      <c r="H4724" t="s">
        <v>35</v>
      </c>
      <c r="J4724" t="s">
        <v>5280</v>
      </c>
      <c r="K4724" t="s">
        <v>1092</v>
      </c>
      <c r="M4724">
        <v>7</v>
      </c>
      <c r="N4724">
        <v>74</v>
      </c>
      <c r="O4724" t="s">
        <v>61</v>
      </c>
      <c r="Q4724" t="s">
        <v>488</v>
      </c>
      <c r="R4724" t="s">
        <v>5281</v>
      </c>
      <c r="S4724" t="s">
        <v>5282</v>
      </c>
    </row>
    <row r="4725" spans="1:19" x14ac:dyDescent="0.25">
      <c r="A4725" t="s">
        <v>59</v>
      </c>
      <c r="B4725" t="s">
        <v>31</v>
      </c>
      <c r="C4725" t="s">
        <v>32</v>
      </c>
      <c r="D4725" t="s">
        <v>673</v>
      </c>
      <c r="E4725" t="s">
        <v>673</v>
      </c>
      <c r="F4725" t="s">
        <v>35</v>
      </c>
      <c r="G4725" t="s">
        <v>35</v>
      </c>
      <c r="H4725" t="s">
        <v>35</v>
      </c>
      <c r="J4725" t="s">
        <v>5284</v>
      </c>
      <c r="K4725" t="s">
        <v>1092</v>
      </c>
      <c r="M4725">
        <v>8.3249999999999993</v>
      </c>
      <c r="N4725">
        <v>80</v>
      </c>
      <c r="O4725" t="s">
        <v>61</v>
      </c>
      <c r="Q4725" t="s">
        <v>477</v>
      </c>
      <c r="R4725" t="s">
        <v>478</v>
      </c>
      <c r="S4725" t="s">
        <v>479</v>
      </c>
    </row>
    <row r="4726" spans="1:19" x14ac:dyDescent="0.25">
      <c r="A4726" t="s">
        <v>59</v>
      </c>
      <c r="B4726" t="s">
        <v>60</v>
      </c>
      <c r="C4726" t="s">
        <v>32</v>
      </c>
      <c r="D4726" t="s">
        <v>673</v>
      </c>
      <c r="E4726" t="s">
        <v>673</v>
      </c>
      <c r="F4726" t="s">
        <v>35</v>
      </c>
      <c r="G4726" t="s">
        <v>35</v>
      </c>
      <c r="H4726" t="s">
        <v>35</v>
      </c>
      <c r="J4726" t="s">
        <v>5285</v>
      </c>
      <c r="K4726" t="s">
        <v>1092</v>
      </c>
      <c r="M4726">
        <v>2.1999999999999999E-2</v>
      </c>
      <c r="N4726">
        <v>296</v>
      </c>
      <c r="O4726" t="s">
        <v>5</v>
      </c>
      <c r="Q4726" t="s">
        <v>4253</v>
      </c>
      <c r="R4726" t="s">
        <v>315</v>
      </c>
      <c r="S4726" t="s">
        <v>316</v>
      </c>
    </row>
    <row r="4727" spans="1:19" x14ac:dyDescent="0.25">
      <c r="A4727" t="s">
        <v>59</v>
      </c>
      <c r="B4727" t="s">
        <v>60</v>
      </c>
      <c r="C4727" t="s">
        <v>32</v>
      </c>
      <c r="D4727" t="s">
        <v>673</v>
      </c>
      <c r="E4727" t="s">
        <v>673</v>
      </c>
      <c r="F4727" t="s">
        <v>35</v>
      </c>
      <c r="G4727" t="s">
        <v>35</v>
      </c>
      <c r="H4727" t="s">
        <v>35</v>
      </c>
      <c r="J4727" t="s">
        <v>5286</v>
      </c>
      <c r="K4727" t="s">
        <v>1092</v>
      </c>
      <c r="M4727">
        <v>4.4999999999999998E-2</v>
      </c>
      <c r="N4727">
        <v>1579</v>
      </c>
      <c r="O4727" t="s">
        <v>575</v>
      </c>
      <c r="Q4727" t="s">
        <v>5287</v>
      </c>
      <c r="R4727" t="s">
        <v>5251</v>
      </c>
      <c r="S4727" t="s">
        <v>5252</v>
      </c>
    </row>
    <row r="4728" spans="1:19" x14ac:dyDescent="0.25">
      <c r="A4728" t="s">
        <v>59</v>
      </c>
      <c r="B4728" t="s">
        <v>31</v>
      </c>
      <c r="C4728" t="s">
        <v>32</v>
      </c>
      <c r="D4728" t="s">
        <v>673</v>
      </c>
      <c r="E4728" t="s">
        <v>673</v>
      </c>
      <c r="F4728" t="s">
        <v>35</v>
      </c>
      <c r="G4728" t="s">
        <v>35</v>
      </c>
      <c r="H4728" t="s">
        <v>35</v>
      </c>
      <c r="J4728" t="s">
        <v>5288</v>
      </c>
      <c r="K4728" t="s">
        <v>1092</v>
      </c>
      <c r="M4728">
        <v>0.13</v>
      </c>
      <c r="N4728">
        <v>466</v>
      </c>
      <c r="O4728" t="s">
        <v>294</v>
      </c>
      <c r="Q4728" t="s">
        <v>1114</v>
      </c>
      <c r="R4728" t="s">
        <v>5289</v>
      </c>
      <c r="S4728" t="s">
        <v>5290</v>
      </c>
    </row>
    <row r="4729" spans="1:19" x14ac:dyDescent="0.25">
      <c r="A4729" t="s">
        <v>30</v>
      </c>
      <c r="B4729" t="s">
        <v>31</v>
      </c>
      <c r="C4729" t="s">
        <v>32</v>
      </c>
      <c r="D4729" t="s">
        <v>673</v>
      </c>
      <c r="E4729" t="s">
        <v>673</v>
      </c>
      <c r="F4729" t="s">
        <v>35</v>
      </c>
      <c r="G4729" t="s">
        <v>35</v>
      </c>
      <c r="H4729" t="s">
        <v>35</v>
      </c>
      <c r="J4729" t="s">
        <v>5292</v>
      </c>
      <c r="K4729" t="s">
        <v>1092</v>
      </c>
      <c r="M4729">
        <v>0.13500000000000001</v>
      </c>
      <c r="N4729">
        <v>2323</v>
      </c>
      <c r="O4729" t="s">
        <v>575</v>
      </c>
      <c r="Q4729" t="s">
        <v>5293</v>
      </c>
      <c r="R4729" t="s">
        <v>5294</v>
      </c>
      <c r="S4729" t="s">
        <v>330</v>
      </c>
    </row>
    <row r="4730" spans="1:19" x14ac:dyDescent="0.25">
      <c r="A4730" t="s">
        <v>30</v>
      </c>
      <c r="B4730" t="s">
        <v>31</v>
      </c>
      <c r="C4730" t="s">
        <v>32</v>
      </c>
      <c r="D4730" t="s">
        <v>673</v>
      </c>
      <c r="E4730" t="s">
        <v>673</v>
      </c>
      <c r="F4730" t="s">
        <v>35</v>
      </c>
      <c r="G4730" t="s">
        <v>35</v>
      </c>
      <c r="H4730" t="s">
        <v>35</v>
      </c>
      <c r="J4730" t="s">
        <v>5296</v>
      </c>
      <c r="K4730" t="s">
        <v>1092</v>
      </c>
      <c r="M4730">
        <v>0.27</v>
      </c>
      <c r="N4730">
        <v>139</v>
      </c>
      <c r="O4730" t="s">
        <v>38</v>
      </c>
      <c r="Q4730" t="s">
        <v>1696</v>
      </c>
      <c r="R4730" t="s">
        <v>315</v>
      </c>
      <c r="S4730" t="s">
        <v>316</v>
      </c>
    </row>
    <row r="4731" spans="1:19" x14ac:dyDescent="0.25">
      <c r="A4731" t="s">
        <v>59</v>
      </c>
      <c r="B4731" t="s">
        <v>31</v>
      </c>
      <c r="C4731" t="s">
        <v>32</v>
      </c>
      <c r="D4731" t="s">
        <v>673</v>
      </c>
      <c r="E4731" t="s">
        <v>673</v>
      </c>
      <c r="F4731" t="s">
        <v>35</v>
      </c>
      <c r="G4731" t="s">
        <v>35</v>
      </c>
      <c r="H4731" t="s">
        <v>35</v>
      </c>
      <c r="J4731" t="s">
        <v>5296</v>
      </c>
      <c r="K4731" t="s">
        <v>1092</v>
      </c>
      <c r="M4731">
        <v>0.40500000000000003</v>
      </c>
      <c r="N4731">
        <v>75</v>
      </c>
      <c r="O4731" t="s">
        <v>61</v>
      </c>
      <c r="Q4731" t="s">
        <v>805</v>
      </c>
      <c r="R4731" t="s">
        <v>315</v>
      </c>
      <c r="S4731" t="s">
        <v>316</v>
      </c>
    </row>
    <row r="4732" spans="1:19" x14ac:dyDescent="0.25">
      <c r="A4732" t="s">
        <v>59</v>
      </c>
      <c r="B4732" t="s">
        <v>31</v>
      </c>
      <c r="C4732" t="s">
        <v>32</v>
      </c>
      <c r="D4732" t="s">
        <v>673</v>
      </c>
      <c r="E4732" t="s">
        <v>673</v>
      </c>
      <c r="F4732" t="s">
        <v>35</v>
      </c>
      <c r="G4732" t="s">
        <v>35</v>
      </c>
      <c r="H4732" t="s">
        <v>35</v>
      </c>
      <c r="J4732" t="s">
        <v>5297</v>
      </c>
      <c r="K4732" t="s">
        <v>1092</v>
      </c>
      <c r="M4732">
        <v>0.54</v>
      </c>
      <c r="N4732">
        <v>339</v>
      </c>
      <c r="O4732" t="s">
        <v>5</v>
      </c>
      <c r="Q4732" t="s">
        <v>5298</v>
      </c>
      <c r="R4732" t="s">
        <v>315</v>
      </c>
      <c r="S4732" t="s">
        <v>316</v>
      </c>
    </row>
    <row r="4733" spans="1:19" x14ac:dyDescent="0.25">
      <c r="A4733" t="s">
        <v>30</v>
      </c>
      <c r="B4733" t="s">
        <v>31</v>
      </c>
      <c r="C4733" t="s">
        <v>32</v>
      </c>
      <c r="D4733" t="s">
        <v>673</v>
      </c>
      <c r="E4733" t="s">
        <v>673</v>
      </c>
      <c r="F4733" t="s">
        <v>35</v>
      </c>
      <c r="G4733" t="s">
        <v>35</v>
      </c>
      <c r="H4733" t="s">
        <v>35</v>
      </c>
      <c r="J4733" t="s">
        <v>5299</v>
      </c>
      <c r="K4733" t="s">
        <v>1092</v>
      </c>
      <c r="M4733">
        <v>8.9999999999999993E-3</v>
      </c>
      <c r="N4733">
        <v>1321</v>
      </c>
      <c r="O4733" t="s">
        <v>575</v>
      </c>
      <c r="Q4733" t="s">
        <v>5300</v>
      </c>
      <c r="R4733" t="s">
        <v>5301</v>
      </c>
      <c r="S4733" t="s">
        <v>5302</v>
      </c>
    </row>
    <row r="4734" spans="1:19" x14ac:dyDescent="0.25">
      <c r="A4734" t="s">
        <v>59</v>
      </c>
      <c r="B4734" t="s">
        <v>60</v>
      </c>
      <c r="C4734" t="s">
        <v>32</v>
      </c>
      <c r="D4734" t="s">
        <v>673</v>
      </c>
      <c r="E4734" t="s">
        <v>673</v>
      </c>
      <c r="F4734" t="s">
        <v>35</v>
      </c>
      <c r="G4734" t="s">
        <v>35</v>
      </c>
      <c r="H4734" t="s">
        <v>35</v>
      </c>
      <c r="J4734" t="s">
        <v>5304</v>
      </c>
      <c r="K4734" t="s">
        <v>1092</v>
      </c>
      <c r="M4734">
        <v>8.9499999999999993</v>
      </c>
      <c r="N4734">
        <v>82</v>
      </c>
      <c r="O4734" t="s">
        <v>61</v>
      </c>
      <c r="Q4734" t="s">
        <v>447</v>
      </c>
      <c r="R4734" t="s">
        <v>306</v>
      </c>
      <c r="S4734" t="s">
        <v>307</v>
      </c>
    </row>
    <row r="4735" spans="1:19" x14ac:dyDescent="0.25">
      <c r="A4735" t="s">
        <v>59</v>
      </c>
      <c r="B4735" t="s">
        <v>60</v>
      </c>
      <c r="C4735" t="s">
        <v>32</v>
      </c>
      <c r="D4735" t="s">
        <v>673</v>
      </c>
      <c r="E4735" t="s">
        <v>673</v>
      </c>
      <c r="F4735" t="s">
        <v>35</v>
      </c>
      <c r="G4735" t="s">
        <v>35</v>
      </c>
      <c r="H4735" t="s">
        <v>35</v>
      </c>
      <c r="J4735" t="s">
        <v>5305</v>
      </c>
      <c r="K4735" t="s">
        <v>1092</v>
      </c>
      <c r="M4735">
        <v>1.75</v>
      </c>
      <c r="N4735">
        <v>70</v>
      </c>
      <c r="O4735" t="s">
        <v>61</v>
      </c>
      <c r="Q4735" t="s">
        <v>126</v>
      </c>
      <c r="R4735" t="s">
        <v>5271</v>
      </c>
      <c r="S4735" t="s">
        <v>711</v>
      </c>
    </row>
    <row r="4736" spans="1:19" x14ac:dyDescent="0.25">
      <c r="A4736" t="s">
        <v>30</v>
      </c>
      <c r="B4736" t="s">
        <v>31</v>
      </c>
      <c r="C4736" t="s">
        <v>32</v>
      </c>
      <c r="D4736" t="s">
        <v>673</v>
      </c>
      <c r="E4736" t="s">
        <v>673</v>
      </c>
      <c r="F4736" t="s">
        <v>35</v>
      </c>
      <c r="G4736" t="s">
        <v>35</v>
      </c>
      <c r="H4736" t="s">
        <v>35</v>
      </c>
      <c r="J4736" t="s">
        <v>5306</v>
      </c>
      <c r="K4736" t="s">
        <v>1092</v>
      </c>
      <c r="M4736">
        <v>0.495</v>
      </c>
      <c r="N4736">
        <v>24</v>
      </c>
      <c r="O4736" t="s">
        <v>46</v>
      </c>
      <c r="Q4736" t="s">
        <v>255</v>
      </c>
      <c r="R4736" t="s">
        <v>306</v>
      </c>
      <c r="S4736" t="s">
        <v>307</v>
      </c>
    </row>
    <row r="4737" spans="1:19" x14ac:dyDescent="0.25">
      <c r="A4737" t="s">
        <v>59</v>
      </c>
      <c r="B4737" t="s">
        <v>60</v>
      </c>
      <c r="C4737" t="s">
        <v>32</v>
      </c>
      <c r="D4737" t="s">
        <v>673</v>
      </c>
      <c r="E4737" t="s">
        <v>673</v>
      </c>
      <c r="F4737" t="s">
        <v>35</v>
      </c>
      <c r="G4737" t="s">
        <v>35</v>
      </c>
      <c r="H4737" t="s">
        <v>35</v>
      </c>
      <c r="J4737" t="s">
        <v>5306</v>
      </c>
      <c r="K4737" t="s">
        <v>1092</v>
      </c>
      <c r="M4737">
        <v>0.25</v>
      </c>
      <c r="N4737">
        <v>41</v>
      </c>
      <c r="O4737" t="s">
        <v>52</v>
      </c>
      <c r="Q4737" t="s">
        <v>249</v>
      </c>
      <c r="R4737" t="s">
        <v>315</v>
      </c>
      <c r="S4737" t="s">
        <v>316</v>
      </c>
    </row>
    <row r="4738" spans="1:19" x14ac:dyDescent="0.25">
      <c r="A4738" t="s">
        <v>59</v>
      </c>
      <c r="B4738" t="s">
        <v>31</v>
      </c>
      <c r="C4738" t="s">
        <v>32</v>
      </c>
      <c r="D4738" t="s">
        <v>673</v>
      </c>
      <c r="E4738" t="s">
        <v>673</v>
      </c>
      <c r="F4738" t="s">
        <v>35</v>
      </c>
      <c r="G4738" t="s">
        <v>35</v>
      </c>
      <c r="H4738" t="s">
        <v>35</v>
      </c>
      <c r="J4738" t="s">
        <v>5306</v>
      </c>
      <c r="K4738" t="s">
        <v>1092</v>
      </c>
      <c r="M4738">
        <v>0.315</v>
      </c>
      <c r="N4738">
        <v>80</v>
      </c>
      <c r="O4738" t="s">
        <v>61</v>
      </c>
      <c r="Q4738" t="s">
        <v>477</v>
      </c>
      <c r="R4738" t="s">
        <v>315</v>
      </c>
      <c r="S4738" t="s">
        <v>316</v>
      </c>
    </row>
    <row r="4739" spans="1:19" x14ac:dyDescent="0.25">
      <c r="A4739" t="s">
        <v>44</v>
      </c>
      <c r="B4739" t="s">
        <v>3</v>
      </c>
      <c r="C4739" t="s">
        <v>32</v>
      </c>
      <c r="D4739" t="s">
        <v>673</v>
      </c>
      <c r="E4739" t="s">
        <v>673</v>
      </c>
      <c r="F4739" t="s">
        <v>35</v>
      </c>
      <c r="G4739" t="s">
        <v>35</v>
      </c>
      <c r="H4739" t="s">
        <v>35</v>
      </c>
      <c r="J4739" t="s">
        <v>5307</v>
      </c>
      <c r="K4739" t="s">
        <v>1092</v>
      </c>
      <c r="M4739">
        <v>0.15</v>
      </c>
      <c r="N4739">
        <v>245</v>
      </c>
      <c r="O4739" t="s">
        <v>5</v>
      </c>
      <c r="Q4739" t="s">
        <v>111</v>
      </c>
      <c r="R4739" t="s">
        <v>478</v>
      </c>
      <c r="S4739" t="s">
        <v>479</v>
      </c>
    </row>
    <row r="4740" spans="1:19" x14ac:dyDescent="0.25">
      <c r="A4740" t="s">
        <v>59</v>
      </c>
      <c r="B4740" t="s">
        <v>31</v>
      </c>
      <c r="C4740" t="s">
        <v>32</v>
      </c>
      <c r="D4740" t="s">
        <v>673</v>
      </c>
      <c r="E4740" t="s">
        <v>673</v>
      </c>
      <c r="F4740" t="s">
        <v>35</v>
      </c>
      <c r="G4740" t="s">
        <v>35</v>
      </c>
      <c r="H4740" t="s">
        <v>35</v>
      </c>
      <c r="J4740" t="s">
        <v>5307</v>
      </c>
      <c r="K4740" t="s">
        <v>1092</v>
      </c>
      <c r="M4740">
        <v>0.22500000000000001</v>
      </c>
      <c r="N4740">
        <v>279</v>
      </c>
      <c r="O4740" t="s">
        <v>5</v>
      </c>
      <c r="Q4740" t="s">
        <v>1717</v>
      </c>
      <c r="R4740" t="s">
        <v>478</v>
      </c>
      <c r="S4740" t="s">
        <v>479</v>
      </c>
    </row>
    <row r="4741" spans="1:19" x14ac:dyDescent="0.25">
      <c r="A4741" t="s">
        <v>44</v>
      </c>
      <c r="B4741" t="s">
        <v>3</v>
      </c>
      <c r="C4741" t="s">
        <v>32</v>
      </c>
      <c r="D4741" t="s">
        <v>673</v>
      </c>
      <c r="E4741" t="s">
        <v>673</v>
      </c>
      <c r="F4741" t="s">
        <v>35</v>
      </c>
      <c r="G4741" t="s">
        <v>35</v>
      </c>
      <c r="H4741" t="s">
        <v>35</v>
      </c>
      <c r="J4741" t="s">
        <v>5308</v>
      </c>
      <c r="K4741" t="s">
        <v>1092</v>
      </c>
      <c r="M4741">
        <v>4.4999999999999998E-2</v>
      </c>
      <c r="N4741">
        <v>194</v>
      </c>
      <c r="O4741" t="s">
        <v>5</v>
      </c>
      <c r="Q4741" t="s">
        <v>2315</v>
      </c>
      <c r="R4741" t="s">
        <v>478</v>
      </c>
      <c r="S4741" t="s">
        <v>479</v>
      </c>
    </row>
    <row r="4742" spans="1:19" x14ac:dyDescent="0.25">
      <c r="A4742" t="s">
        <v>44</v>
      </c>
      <c r="B4742" t="s">
        <v>51</v>
      </c>
      <c r="C4742" t="s">
        <v>32</v>
      </c>
      <c r="D4742" t="s">
        <v>673</v>
      </c>
      <c r="E4742" t="s">
        <v>673</v>
      </c>
      <c r="F4742" t="s">
        <v>35</v>
      </c>
      <c r="G4742" t="s">
        <v>35</v>
      </c>
      <c r="H4742" t="s">
        <v>35</v>
      </c>
      <c r="J4742" t="s">
        <v>5309</v>
      </c>
      <c r="K4742" t="s">
        <v>1092</v>
      </c>
      <c r="M4742">
        <v>0.75</v>
      </c>
      <c r="N4742">
        <v>912</v>
      </c>
      <c r="O4742" t="s">
        <v>575</v>
      </c>
      <c r="Q4742" t="s">
        <v>5310</v>
      </c>
      <c r="R4742" t="s">
        <v>678</v>
      </c>
      <c r="S4742" t="s">
        <v>679</v>
      </c>
    </row>
    <row r="4743" spans="1:19" x14ac:dyDescent="0.25">
      <c r="A4743" t="s">
        <v>30</v>
      </c>
      <c r="B4743" t="s">
        <v>31</v>
      </c>
      <c r="C4743" t="s">
        <v>32</v>
      </c>
      <c r="D4743" t="s">
        <v>673</v>
      </c>
      <c r="E4743" t="s">
        <v>674</v>
      </c>
      <c r="F4743" t="s">
        <v>35</v>
      </c>
      <c r="G4743" t="s">
        <v>35</v>
      </c>
      <c r="H4743" t="s">
        <v>35</v>
      </c>
      <c r="J4743" t="s">
        <v>4958</v>
      </c>
      <c r="K4743" t="s">
        <v>1092</v>
      </c>
      <c r="M4743">
        <v>0.67500000000000004</v>
      </c>
      <c r="N4743">
        <v>52</v>
      </c>
      <c r="O4743" t="s">
        <v>52</v>
      </c>
      <c r="Q4743" t="s">
        <v>1230</v>
      </c>
      <c r="R4743" t="s">
        <v>315</v>
      </c>
      <c r="S4743" t="s">
        <v>316</v>
      </c>
    </row>
    <row r="4744" spans="1:19" x14ac:dyDescent="0.25">
      <c r="A4744" t="s">
        <v>30</v>
      </c>
      <c r="B4744" t="s">
        <v>31</v>
      </c>
      <c r="C4744" t="s">
        <v>32</v>
      </c>
      <c r="D4744" t="s">
        <v>673</v>
      </c>
      <c r="E4744" t="s">
        <v>674</v>
      </c>
      <c r="F4744" t="s">
        <v>35</v>
      </c>
      <c r="G4744" t="s">
        <v>35</v>
      </c>
      <c r="H4744" t="s">
        <v>35</v>
      </c>
      <c r="J4744" t="s">
        <v>5311</v>
      </c>
      <c r="K4744" t="s">
        <v>1092</v>
      </c>
      <c r="M4744">
        <v>0.315</v>
      </c>
      <c r="N4744">
        <v>53</v>
      </c>
      <c r="O4744" t="s">
        <v>52</v>
      </c>
      <c r="Q4744" t="s">
        <v>332</v>
      </c>
      <c r="R4744" t="s">
        <v>315</v>
      </c>
      <c r="S4744" t="s">
        <v>316</v>
      </c>
    </row>
    <row r="4745" spans="1:19" x14ac:dyDescent="0.25">
      <c r="A4745" t="s">
        <v>59</v>
      </c>
      <c r="B4745" t="s">
        <v>60</v>
      </c>
      <c r="C4745" t="s">
        <v>32</v>
      </c>
      <c r="D4745" t="s">
        <v>673</v>
      </c>
      <c r="E4745" t="s">
        <v>674</v>
      </c>
      <c r="F4745" t="s">
        <v>35</v>
      </c>
      <c r="G4745" t="s">
        <v>35</v>
      </c>
      <c r="H4745" t="s">
        <v>35</v>
      </c>
      <c r="J4745" t="s">
        <v>5312</v>
      </c>
      <c r="K4745" t="s">
        <v>1092</v>
      </c>
      <c r="M4745">
        <v>10.5</v>
      </c>
      <c r="N4745">
        <v>80</v>
      </c>
      <c r="O4745" t="s">
        <v>61</v>
      </c>
      <c r="Q4745" t="s">
        <v>477</v>
      </c>
      <c r="R4745" t="s">
        <v>478</v>
      </c>
      <c r="S4745" t="s">
        <v>479</v>
      </c>
    </row>
    <row r="4746" spans="1:19" x14ac:dyDescent="0.25">
      <c r="A4746" t="s">
        <v>59</v>
      </c>
      <c r="B4746" t="s">
        <v>60</v>
      </c>
      <c r="C4746" t="s">
        <v>32</v>
      </c>
      <c r="D4746" t="s">
        <v>673</v>
      </c>
      <c r="E4746" t="s">
        <v>674</v>
      </c>
      <c r="F4746" t="s">
        <v>35</v>
      </c>
      <c r="G4746" t="s">
        <v>35</v>
      </c>
      <c r="H4746" t="s">
        <v>35</v>
      </c>
      <c r="J4746" t="s">
        <v>5313</v>
      </c>
      <c r="K4746" t="s">
        <v>1092</v>
      </c>
      <c r="M4746">
        <v>2.5</v>
      </c>
      <c r="N4746">
        <v>74</v>
      </c>
      <c r="O4746" t="s">
        <v>61</v>
      </c>
      <c r="Q4746" t="s">
        <v>488</v>
      </c>
      <c r="R4746" t="s">
        <v>5281</v>
      </c>
      <c r="S4746" t="s">
        <v>5282</v>
      </c>
    </row>
    <row r="4747" spans="1:19" x14ac:dyDescent="0.25">
      <c r="A4747" t="s">
        <v>59</v>
      </c>
      <c r="B4747" t="s">
        <v>60</v>
      </c>
      <c r="C4747" t="s">
        <v>32</v>
      </c>
      <c r="D4747" t="s">
        <v>673</v>
      </c>
      <c r="E4747" t="s">
        <v>674</v>
      </c>
      <c r="F4747" t="s">
        <v>35</v>
      </c>
      <c r="G4747" t="s">
        <v>35</v>
      </c>
      <c r="H4747" t="s">
        <v>35</v>
      </c>
      <c r="J4747" t="s">
        <v>5313</v>
      </c>
      <c r="K4747" t="s">
        <v>1092</v>
      </c>
      <c r="M4747">
        <v>11</v>
      </c>
      <c r="N4747">
        <v>82</v>
      </c>
      <c r="O4747" t="s">
        <v>61</v>
      </c>
      <c r="Q4747" t="s">
        <v>447</v>
      </c>
      <c r="R4747" t="s">
        <v>678</v>
      </c>
      <c r="S4747" t="s">
        <v>679</v>
      </c>
    </row>
    <row r="4748" spans="1:19" x14ac:dyDescent="0.25">
      <c r="A4748" t="s">
        <v>30</v>
      </c>
      <c r="B4748" t="s">
        <v>31</v>
      </c>
      <c r="C4748" t="s">
        <v>32</v>
      </c>
      <c r="D4748" t="s">
        <v>673</v>
      </c>
      <c r="E4748" t="s">
        <v>674</v>
      </c>
      <c r="F4748" t="s">
        <v>35</v>
      </c>
      <c r="G4748" t="s">
        <v>35</v>
      </c>
      <c r="H4748" t="s">
        <v>35</v>
      </c>
      <c r="J4748" t="s">
        <v>5314</v>
      </c>
      <c r="K4748" t="s">
        <v>1092</v>
      </c>
      <c r="M4748">
        <v>0.36</v>
      </c>
      <c r="N4748">
        <v>52</v>
      </c>
      <c r="O4748" t="s">
        <v>52</v>
      </c>
      <c r="Q4748" t="s">
        <v>1230</v>
      </c>
      <c r="R4748" t="s">
        <v>5281</v>
      </c>
      <c r="S4748" t="s">
        <v>5282</v>
      </c>
    </row>
    <row r="4749" spans="1:19" x14ac:dyDescent="0.25">
      <c r="A4749" t="s">
        <v>59</v>
      </c>
      <c r="B4749" t="s">
        <v>60</v>
      </c>
      <c r="C4749" t="s">
        <v>32</v>
      </c>
      <c r="D4749" t="s">
        <v>673</v>
      </c>
      <c r="E4749" t="s">
        <v>674</v>
      </c>
      <c r="F4749" t="s">
        <v>35</v>
      </c>
      <c r="G4749" t="s">
        <v>35</v>
      </c>
      <c r="H4749" t="s">
        <v>35</v>
      </c>
      <c r="J4749" t="s">
        <v>5315</v>
      </c>
      <c r="K4749" t="s">
        <v>1092</v>
      </c>
      <c r="M4749">
        <v>1.9</v>
      </c>
      <c r="N4749">
        <v>81</v>
      </c>
      <c r="O4749" t="s">
        <v>61</v>
      </c>
      <c r="Q4749" t="s">
        <v>527</v>
      </c>
      <c r="R4749" t="s">
        <v>315</v>
      </c>
      <c r="S4749" t="s">
        <v>316</v>
      </c>
    </row>
    <row r="4750" spans="1:19" x14ac:dyDescent="0.25">
      <c r="A4750" t="s">
        <v>30</v>
      </c>
      <c r="B4750" t="s">
        <v>31</v>
      </c>
      <c r="C4750" t="s">
        <v>32</v>
      </c>
      <c r="D4750" t="s">
        <v>673</v>
      </c>
      <c r="E4750" t="s">
        <v>674</v>
      </c>
      <c r="F4750" t="s">
        <v>35</v>
      </c>
      <c r="G4750" t="s">
        <v>35</v>
      </c>
      <c r="H4750" t="s">
        <v>35</v>
      </c>
      <c r="J4750" t="s">
        <v>5316</v>
      </c>
      <c r="K4750" t="s">
        <v>1092</v>
      </c>
      <c r="M4750">
        <v>11.115</v>
      </c>
      <c r="N4750">
        <v>52</v>
      </c>
      <c r="O4750" t="s">
        <v>52</v>
      </c>
      <c r="Q4750" t="s">
        <v>1230</v>
      </c>
      <c r="R4750" t="s">
        <v>5281</v>
      </c>
      <c r="S4750" t="s">
        <v>5282</v>
      </c>
    </row>
    <row r="4751" spans="1:19" x14ac:dyDescent="0.25">
      <c r="A4751" t="s">
        <v>59</v>
      </c>
      <c r="B4751" t="s">
        <v>60</v>
      </c>
      <c r="C4751" t="s">
        <v>32</v>
      </c>
      <c r="D4751" t="s">
        <v>673</v>
      </c>
      <c r="E4751" t="s">
        <v>674</v>
      </c>
      <c r="F4751" t="s">
        <v>35</v>
      </c>
      <c r="G4751" t="s">
        <v>35</v>
      </c>
      <c r="H4751" t="s">
        <v>35</v>
      </c>
      <c r="J4751" t="s">
        <v>680</v>
      </c>
      <c r="K4751" t="s">
        <v>1092</v>
      </c>
      <c r="M4751">
        <v>31.25</v>
      </c>
      <c r="N4751">
        <v>63</v>
      </c>
      <c r="O4751" t="s">
        <v>61</v>
      </c>
      <c r="Q4751" t="s">
        <v>423</v>
      </c>
      <c r="R4751" t="s">
        <v>5317</v>
      </c>
      <c r="S4751" t="s">
        <v>680</v>
      </c>
    </row>
    <row r="4752" spans="1:19" x14ac:dyDescent="0.25">
      <c r="A4752" t="s">
        <v>59</v>
      </c>
      <c r="B4752" t="s">
        <v>31</v>
      </c>
      <c r="C4752" t="s">
        <v>32</v>
      </c>
      <c r="D4752" t="s">
        <v>673</v>
      </c>
      <c r="E4752" t="s">
        <v>674</v>
      </c>
      <c r="F4752" t="s">
        <v>35</v>
      </c>
      <c r="G4752" t="s">
        <v>35</v>
      </c>
      <c r="H4752" t="s">
        <v>35</v>
      </c>
      <c r="J4752" t="s">
        <v>680</v>
      </c>
      <c r="K4752" t="s">
        <v>1092</v>
      </c>
      <c r="M4752">
        <v>19.98</v>
      </c>
      <c r="N4752">
        <v>63</v>
      </c>
      <c r="O4752" t="s">
        <v>61</v>
      </c>
      <c r="Q4752" t="s">
        <v>423</v>
      </c>
      <c r="R4752" t="s">
        <v>5317</v>
      </c>
      <c r="S4752" t="s">
        <v>680</v>
      </c>
    </row>
    <row r="4753" spans="1:19" x14ac:dyDescent="0.25">
      <c r="A4753" t="s">
        <v>44</v>
      </c>
      <c r="B4753" t="s">
        <v>51</v>
      </c>
      <c r="C4753" t="s">
        <v>32</v>
      </c>
      <c r="D4753" t="s">
        <v>673</v>
      </c>
      <c r="E4753" t="s">
        <v>674</v>
      </c>
      <c r="F4753" t="s">
        <v>35</v>
      </c>
      <c r="G4753" t="s">
        <v>35</v>
      </c>
      <c r="H4753" t="s">
        <v>35</v>
      </c>
      <c r="J4753" t="s">
        <v>5318</v>
      </c>
      <c r="K4753" t="s">
        <v>1092</v>
      </c>
      <c r="M4753">
        <v>0.5</v>
      </c>
      <c r="N4753">
        <v>870</v>
      </c>
      <c r="O4753" t="s">
        <v>575</v>
      </c>
      <c r="Q4753" t="s">
        <v>5319</v>
      </c>
      <c r="R4753" t="s">
        <v>5320</v>
      </c>
      <c r="S4753" t="s">
        <v>675</v>
      </c>
    </row>
    <row r="4754" spans="1:19" x14ac:dyDescent="0.25">
      <c r="A4754" t="s">
        <v>30</v>
      </c>
      <c r="B4754" t="s">
        <v>31</v>
      </c>
      <c r="C4754" t="s">
        <v>32</v>
      </c>
      <c r="D4754" t="s">
        <v>673</v>
      </c>
      <c r="E4754" t="s">
        <v>674</v>
      </c>
      <c r="F4754" t="s">
        <v>35</v>
      </c>
      <c r="G4754" t="s">
        <v>35</v>
      </c>
      <c r="H4754" t="s">
        <v>35</v>
      </c>
      <c r="J4754" t="s">
        <v>5321</v>
      </c>
      <c r="K4754" t="s">
        <v>1092</v>
      </c>
      <c r="M4754">
        <v>0.67500000000000004</v>
      </c>
      <c r="N4754">
        <v>37</v>
      </c>
      <c r="O4754" t="s">
        <v>52</v>
      </c>
      <c r="Q4754" t="s">
        <v>3499</v>
      </c>
      <c r="R4754" t="s">
        <v>5317</v>
      </c>
      <c r="S4754" t="s">
        <v>680</v>
      </c>
    </row>
    <row r="4755" spans="1:19" x14ac:dyDescent="0.25">
      <c r="A4755" t="s">
        <v>59</v>
      </c>
      <c r="B4755" t="s">
        <v>60</v>
      </c>
      <c r="C4755" t="s">
        <v>32</v>
      </c>
      <c r="D4755" t="s">
        <v>673</v>
      </c>
      <c r="E4755" t="s">
        <v>674</v>
      </c>
      <c r="F4755" t="s">
        <v>35</v>
      </c>
      <c r="G4755" t="s">
        <v>35</v>
      </c>
      <c r="H4755" t="s">
        <v>35</v>
      </c>
      <c r="J4755" t="s">
        <v>5322</v>
      </c>
      <c r="K4755" t="s">
        <v>1092</v>
      </c>
      <c r="M4755">
        <v>11</v>
      </c>
      <c r="N4755">
        <v>80</v>
      </c>
      <c r="O4755" t="s">
        <v>61</v>
      </c>
      <c r="Q4755" t="s">
        <v>477</v>
      </c>
      <c r="R4755" t="s">
        <v>478</v>
      </c>
      <c r="S4755" t="s">
        <v>479</v>
      </c>
    </row>
    <row r="4756" spans="1:19" x14ac:dyDescent="0.25">
      <c r="A4756" t="s">
        <v>30</v>
      </c>
      <c r="B4756" t="s">
        <v>31</v>
      </c>
      <c r="C4756" t="s">
        <v>32</v>
      </c>
      <c r="D4756" t="s">
        <v>673</v>
      </c>
      <c r="E4756" t="s">
        <v>674</v>
      </c>
      <c r="F4756" t="s">
        <v>35</v>
      </c>
      <c r="G4756" t="s">
        <v>35</v>
      </c>
      <c r="H4756" t="s">
        <v>35</v>
      </c>
      <c r="J4756" t="s">
        <v>4291</v>
      </c>
      <c r="K4756" t="s">
        <v>1092</v>
      </c>
      <c r="M4756">
        <v>22.05</v>
      </c>
      <c r="N4756">
        <v>53</v>
      </c>
      <c r="O4756" t="s">
        <v>52</v>
      </c>
      <c r="Q4756" t="s">
        <v>332</v>
      </c>
      <c r="R4756" t="s">
        <v>315</v>
      </c>
      <c r="S4756" t="s">
        <v>316</v>
      </c>
    </row>
    <row r="4757" spans="1:19" x14ac:dyDescent="0.25">
      <c r="A4757" t="s">
        <v>30</v>
      </c>
      <c r="B4757" t="s">
        <v>31</v>
      </c>
      <c r="C4757" t="s">
        <v>32</v>
      </c>
      <c r="D4757" t="s">
        <v>673</v>
      </c>
      <c r="E4757" t="s">
        <v>674</v>
      </c>
      <c r="F4757" t="s">
        <v>35</v>
      </c>
      <c r="G4757" t="s">
        <v>35</v>
      </c>
      <c r="H4757" t="s">
        <v>35</v>
      </c>
      <c r="J4757" t="s">
        <v>4291</v>
      </c>
      <c r="K4757" t="s">
        <v>1092</v>
      </c>
      <c r="M4757">
        <v>1.53</v>
      </c>
      <c r="N4757">
        <v>95</v>
      </c>
      <c r="O4757" t="s">
        <v>106</v>
      </c>
      <c r="Q4757" t="s">
        <v>724</v>
      </c>
      <c r="R4757" t="s">
        <v>315</v>
      </c>
      <c r="S4757" t="s">
        <v>316</v>
      </c>
    </row>
    <row r="4758" spans="1:19" x14ac:dyDescent="0.25">
      <c r="A4758" t="s">
        <v>30</v>
      </c>
      <c r="B4758" t="s">
        <v>31</v>
      </c>
      <c r="C4758" t="s">
        <v>32</v>
      </c>
      <c r="D4758" t="s">
        <v>673</v>
      </c>
      <c r="E4758" t="s">
        <v>674</v>
      </c>
      <c r="F4758" t="s">
        <v>35</v>
      </c>
      <c r="G4758" t="s">
        <v>35</v>
      </c>
      <c r="H4758" t="s">
        <v>35</v>
      </c>
      <c r="J4758" t="s">
        <v>5323</v>
      </c>
      <c r="K4758" t="s">
        <v>404</v>
      </c>
      <c r="M4758">
        <v>3.15</v>
      </c>
      <c r="N4758">
        <v>31</v>
      </c>
      <c r="O4758" t="s">
        <v>52</v>
      </c>
      <c r="Q4758" t="s">
        <v>972</v>
      </c>
      <c r="R4758" t="s">
        <v>306</v>
      </c>
      <c r="S4758" t="s">
        <v>307</v>
      </c>
    </row>
    <row r="4759" spans="1:19" x14ac:dyDescent="0.25">
      <c r="A4759" t="s">
        <v>30</v>
      </c>
      <c r="B4759" t="s">
        <v>31</v>
      </c>
      <c r="C4759" t="s">
        <v>32</v>
      </c>
      <c r="D4759" t="s">
        <v>673</v>
      </c>
      <c r="E4759" t="s">
        <v>674</v>
      </c>
      <c r="F4759" t="s">
        <v>35</v>
      </c>
      <c r="G4759" t="s">
        <v>35</v>
      </c>
      <c r="H4759" t="s">
        <v>35</v>
      </c>
      <c r="J4759" t="s">
        <v>5324</v>
      </c>
      <c r="K4759" t="s">
        <v>1092</v>
      </c>
      <c r="M4759">
        <v>3.375</v>
      </c>
      <c r="N4759">
        <v>33</v>
      </c>
      <c r="O4759" t="s">
        <v>52</v>
      </c>
      <c r="Q4759" t="s">
        <v>137</v>
      </c>
      <c r="R4759" t="s">
        <v>306</v>
      </c>
      <c r="S4759" t="s">
        <v>307</v>
      </c>
    </row>
    <row r="4760" spans="1:19" x14ac:dyDescent="0.25">
      <c r="A4760" t="s">
        <v>59</v>
      </c>
      <c r="B4760" t="s">
        <v>60</v>
      </c>
      <c r="C4760" t="s">
        <v>32</v>
      </c>
      <c r="D4760" t="s">
        <v>673</v>
      </c>
      <c r="E4760" t="s">
        <v>691</v>
      </c>
      <c r="F4760" t="s">
        <v>35</v>
      </c>
      <c r="G4760" t="s">
        <v>35</v>
      </c>
      <c r="H4760" t="s">
        <v>35</v>
      </c>
      <c r="J4760" t="s">
        <v>5325</v>
      </c>
      <c r="K4760" t="s">
        <v>1092</v>
      </c>
      <c r="M4760">
        <v>11</v>
      </c>
      <c r="N4760">
        <v>82</v>
      </c>
      <c r="O4760" t="s">
        <v>61</v>
      </c>
      <c r="Q4760" t="s">
        <v>447</v>
      </c>
      <c r="R4760" t="s">
        <v>306</v>
      </c>
      <c r="S4760" t="s">
        <v>307</v>
      </c>
    </row>
    <row r="4761" spans="1:19" x14ac:dyDescent="0.25">
      <c r="A4761" t="s">
        <v>30</v>
      </c>
      <c r="B4761" t="s">
        <v>31</v>
      </c>
      <c r="C4761" t="s">
        <v>32</v>
      </c>
      <c r="D4761" t="s">
        <v>673</v>
      </c>
      <c r="E4761" t="s">
        <v>691</v>
      </c>
      <c r="F4761" t="s">
        <v>35</v>
      </c>
      <c r="G4761" t="s">
        <v>35</v>
      </c>
      <c r="H4761" t="s">
        <v>35</v>
      </c>
      <c r="J4761" t="s">
        <v>5326</v>
      </c>
      <c r="K4761" t="s">
        <v>1092</v>
      </c>
      <c r="M4761">
        <v>3.4649999999999999</v>
      </c>
      <c r="N4761">
        <v>53</v>
      </c>
      <c r="O4761" t="s">
        <v>52</v>
      </c>
      <c r="Q4761" t="s">
        <v>332</v>
      </c>
      <c r="R4761" t="s">
        <v>315</v>
      </c>
      <c r="S4761" t="s">
        <v>316</v>
      </c>
    </row>
    <row r="4762" spans="1:19" x14ac:dyDescent="0.25">
      <c r="A4762" t="s">
        <v>30</v>
      </c>
      <c r="B4762" t="s">
        <v>31</v>
      </c>
      <c r="C4762" t="s">
        <v>32</v>
      </c>
      <c r="D4762" t="s">
        <v>673</v>
      </c>
      <c r="E4762" t="s">
        <v>691</v>
      </c>
      <c r="F4762" t="s">
        <v>35</v>
      </c>
      <c r="G4762" t="s">
        <v>35</v>
      </c>
      <c r="H4762" t="s">
        <v>35</v>
      </c>
      <c r="J4762" t="s">
        <v>5327</v>
      </c>
      <c r="K4762" t="s">
        <v>1092</v>
      </c>
      <c r="M4762">
        <v>1.4999999999999999E-2</v>
      </c>
      <c r="N4762">
        <v>1672</v>
      </c>
      <c r="O4762" t="s">
        <v>575</v>
      </c>
      <c r="Q4762" t="s">
        <v>5328</v>
      </c>
      <c r="R4762" t="s">
        <v>478</v>
      </c>
      <c r="S4762" t="s">
        <v>479</v>
      </c>
    </row>
    <row r="4763" spans="1:19" x14ac:dyDescent="0.25">
      <c r="A4763" t="s">
        <v>59</v>
      </c>
      <c r="B4763" t="s">
        <v>60</v>
      </c>
      <c r="C4763" t="s">
        <v>32</v>
      </c>
      <c r="D4763" t="s">
        <v>673</v>
      </c>
      <c r="E4763" t="s">
        <v>691</v>
      </c>
      <c r="F4763" t="s">
        <v>35</v>
      </c>
      <c r="G4763" t="s">
        <v>35</v>
      </c>
      <c r="H4763" t="s">
        <v>35</v>
      </c>
      <c r="J4763" t="s">
        <v>5327</v>
      </c>
      <c r="K4763" t="s">
        <v>1092</v>
      </c>
      <c r="M4763">
        <v>0.5</v>
      </c>
      <c r="N4763">
        <v>122</v>
      </c>
      <c r="O4763" t="s">
        <v>38</v>
      </c>
      <c r="Q4763" t="s">
        <v>3430</v>
      </c>
      <c r="R4763" t="s">
        <v>478</v>
      </c>
      <c r="S4763" t="s">
        <v>479</v>
      </c>
    </row>
    <row r="4764" spans="1:19" x14ac:dyDescent="0.25">
      <c r="A4764" t="s">
        <v>59</v>
      </c>
      <c r="B4764" t="s">
        <v>60</v>
      </c>
      <c r="C4764" t="s">
        <v>32</v>
      </c>
      <c r="D4764" t="s">
        <v>673</v>
      </c>
      <c r="E4764" t="s">
        <v>691</v>
      </c>
      <c r="F4764" t="s">
        <v>35</v>
      </c>
      <c r="G4764" t="s">
        <v>35</v>
      </c>
      <c r="H4764" t="s">
        <v>35</v>
      </c>
      <c r="J4764" t="s">
        <v>5329</v>
      </c>
      <c r="K4764" t="s">
        <v>1092</v>
      </c>
      <c r="M4764">
        <v>0.25</v>
      </c>
      <c r="N4764">
        <v>250</v>
      </c>
      <c r="O4764" t="s">
        <v>5</v>
      </c>
      <c r="Q4764" t="s">
        <v>3296</v>
      </c>
      <c r="R4764" t="s">
        <v>478</v>
      </c>
      <c r="S4764" t="s">
        <v>479</v>
      </c>
    </row>
    <row r="4765" spans="1:19" x14ac:dyDescent="0.25">
      <c r="A4765" t="s">
        <v>30</v>
      </c>
      <c r="B4765" t="s">
        <v>31</v>
      </c>
      <c r="C4765" t="s">
        <v>32</v>
      </c>
      <c r="D4765" t="s">
        <v>673</v>
      </c>
      <c r="E4765" t="s">
        <v>691</v>
      </c>
      <c r="F4765" t="s">
        <v>35</v>
      </c>
      <c r="G4765" t="s">
        <v>35</v>
      </c>
      <c r="H4765" t="s">
        <v>35</v>
      </c>
      <c r="J4765" t="s">
        <v>5330</v>
      </c>
      <c r="K4765" t="s">
        <v>1092</v>
      </c>
      <c r="M4765">
        <v>1.35</v>
      </c>
      <c r="N4765">
        <v>44</v>
      </c>
      <c r="O4765" t="s">
        <v>52</v>
      </c>
      <c r="Q4765" t="s">
        <v>192</v>
      </c>
      <c r="R4765" t="s">
        <v>5271</v>
      </c>
      <c r="S4765" t="s">
        <v>711</v>
      </c>
    </row>
    <row r="4766" spans="1:19" x14ac:dyDescent="0.25">
      <c r="A4766" t="s">
        <v>30</v>
      </c>
      <c r="B4766" t="s">
        <v>31</v>
      </c>
      <c r="C4766" t="s">
        <v>32</v>
      </c>
      <c r="D4766" t="s">
        <v>673</v>
      </c>
      <c r="E4766" t="s">
        <v>691</v>
      </c>
      <c r="F4766" t="s">
        <v>35</v>
      </c>
      <c r="G4766" t="s">
        <v>35</v>
      </c>
      <c r="H4766" t="s">
        <v>35</v>
      </c>
      <c r="J4766" t="s">
        <v>5330</v>
      </c>
      <c r="K4766" t="s">
        <v>1092</v>
      </c>
      <c r="M4766">
        <v>10.26</v>
      </c>
      <c r="N4766">
        <v>49</v>
      </c>
      <c r="O4766" t="s">
        <v>52</v>
      </c>
      <c r="Q4766" t="s">
        <v>219</v>
      </c>
      <c r="R4766" t="s">
        <v>5271</v>
      </c>
      <c r="S4766" t="s">
        <v>711</v>
      </c>
    </row>
    <row r="4767" spans="1:19" x14ac:dyDescent="0.25">
      <c r="A4767" t="s">
        <v>30</v>
      </c>
      <c r="B4767" t="s">
        <v>31</v>
      </c>
      <c r="C4767" t="s">
        <v>32</v>
      </c>
      <c r="D4767" t="s">
        <v>673</v>
      </c>
      <c r="E4767" t="s">
        <v>694</v>
      </c>
      <c r="F4767" t="s">
        <v>35</v>
      </c>
      <c r="G4767" t="s">
        <v>35</v>
      </c>
      <c r="H4767" t="s">
        <v>35</v>
      </c>
      <c r="J4767" t="s">
        <v>5331</v>
      </c>
      <c r="K4767" t="s">
        <v>1092</v>
      </c>
      <c r="M4767">
        <v>5.1749999999999998</v>
      </c>
      <c r="N4767">
        <v>13</v>
      </c>
      <c r="O4767" t="s">
        <v>46</v>
      </c>
      <c r="Q4767" t="s">
        <v>310</v>
      </c>
      <c r="R4767" t="s">
        <v>5332</v>
      </c>
      <c r="S4767" t="s">
        <v>709</v>
      </c>
    </row>
    <row r="4768" spans="1:19" x14ac:dyDescent="0.25">
      <c r="A4768" t="s">
        <v>59</v>
      </c>
      <c r="B4768" t="s">
        <v>60</v>
      </c>
      <c r="C4768" t="s">
        <v>32</v>
      </c>
      <c r="D4768" t="s">
        <v>673</v>
      </c>
      <c r="E4768" t="s">
        <v>704</v>
      </c>
      <c r="F4768" t="s">
        <v>35</v>
      </c>
      <c r="G4768" t="s">
        <v>35</v>
      </c>
      <c r="H4768" t="s">
        <v>35</v>
      </c>
      <c r="J4768" t="s">
        <v>5333</v>
      </c>
      <c r="K4768" t="s">
        <v>1092</v>
      </c>
      <c r="M4768">
        <v>0.3</v>
      </c>
      <c r="N4768">
        <v>139</v>
      </c>
      <c r="O4768" t="s">
        <v>38</v>
      </c>
      <c r="Q4768" t="s">
        <v>1696</v>
      </c>
      <c r="R4768" t="s">
        <v>478</v>
      </c>
      <c r="S4768" t="s">
        <v>479</v>
      </c>
    </row>
    <row r="4769" spans="1:19" x14ac:dyDescent="0.25">
      <c r="A4769" t="s">
        <v>44</v>
      </c>
      <c r="B4769" t="s">
        <v>3</v>
      </c>
      <c r="C4769" t="s">
        <v>32</v>
      </c>
      <c r="D4769" t="s">
        <v>673</v>
      </c>
      <c r="E4769" t="s">
        <v>704</v>
      </c>
      <c r="F4769" t="s">
        <v>35</v>
      </c>
      <c r="G4769" t="s">
        <v>35</v>
      </c>
      <c r="H4769" t="s">
        <v>35</v>
      </c>
      <c r="J4769" t="s">
        <v>5334</v>
      </c>
      <c r="K4769" t="s">
        <v>1092</v>
      </c>
      <c r="M4769">
        <v>0.15</v>
      </c>
      <c r="N4769">
        <v>219</v>
      </c>
      <c r="O4769" t="s">
        <v>5</v>
      </c>
      <c r="Q4769" t="s">
        <v>1578</v>
      </c>
      <c r="R4769" t="s">
        <v>478</v>
      </c>
      <c r="S4769" t="s">
        <v>479</v>
      </c>
    </row>
    <row r="4770" spans="1:19" x14ac:dyDescent="0.25">
      <c r="A4770" t="s">
        <v>59</v>
      </c>
      <c r="B4770" t="s">
        <v>60</v>
      </c>
      <c r="C4770" t="s">
        <v>32</v>
      </c>
      <c r="D4770" t="s">
        <v>673</v>
      </c>
      <c r="E4770" t="s">
        <v>704</v>
      </c>
      <c r="F4770" t="s">
        <v>35</v>
      </c>
      <c r="G4770" t="s">
        <v>35</v>
      </c>
      <c r="H4770" t="s">
        <v>35</v>
      </c>
      <c r="J4770" t="s">
        <v>5335</v>
      </c>
      <c r="K4770" t="s">
        <v>1092</v>
      </c>
      <c r="M4770">
        <v>0.5</v>
      </c>
      <c r="N4770">
        <v>70</v>
      </c>
      <c r="O4770" t="s">
        <v>61</v>
      </c>
      <c r="Q4770" t="s">
        <v>126</v>
      </c>
      <c r="R4770" t="s">
        <v>478</v>
      </c>
      <c r="S4770" t="s">
        <v>479</v>
      </c>
    </row>
    <row r="4771" spans="1:19" x14ac:dyDescent="0.25">
      <c r="A4771" t="s">
        <v>59</v>
      </c>
      <c r="B4771" t="s">
        <v>31</v>
      </c>
      <c r="C4771" t="s">
        <v>32</v>
      </c>
      <c r="D4771" t="s">
        <v>673</v>
      </c>
      <c r="E4771" t="s">
        <v>704</v>
      </c>
      <c r="F4771" t="s">
        <v>35</v>
      </c>
      <c r="G4771" t="s">
        <v>35</v>
      </c>
      <c r="H4771" t="s">
        <v>35</v>
      </c>
      <c r="J4771" t="s">
        <v>5336</v>
      </c>
      <c r="K4771" t="s">
        <v>1092</v>
      </c>
      <c r="M4771">
        <v>0.47499999999999998</v>
      </c>
      <c r="N4771">
        <v>68</v>
      </c>
      <c r="O4771" t="s">
        <v>61</v>
      </c>
      <c r="Q4771" t="s">
        <v>146</v>
      </c>
      <c r="R4771" t="s">
        <v>5256</v>
      </c>
      <c r="S4771" t="s">
        <v>5257</v>
      </c>
    </row>
    <row r="4772" spans="1:19" x14ac:dyDescent="0.25">
      <c r="A4772" t="s">
        <v>59</v>
      </c>
      <c r="B4772" t="s">
        <v>60</v>
      </c>
      <c r="C4772" t="s">
        <v>32</v>
      </c>
      <c r="D4772" t="s">
        <v>673</v>
      </c>
      <c r="E4772" t="s">
        <v>704</v>
      </c>
      <c r="F4772" t="s">
        <v>35</v>
      </c>
      <c r="G4772" t="s">
        <v>35</v>
      </c>
      <c r="H4772" t="s">
        <v>35</v>
      </c>
      <c r="J4772" t="s">
        <v>5337</v>
      </c>
      <c r="K4772" t="s">
        <v>1092</v>
      </c>
      <c r="M4772">
        <v>0.25</v>
      </c>
      <c r="N4772">
        <v>35</v>
      </c>
      <c r="O4772" t="s">
        <v>52</v>
      </c>
      <c r="Q4772" t="s">
        <v>48</v>
      </c>
      <c r="R4772" t="s">
        <v>5256</v>
      </c>
      <c r="S4772" t="s">
        <v>5257</v>
      </c>
    </row>
    <row r="4773" spans="1:19" x14ac:dyDescent="0.25">
      <c r="A4773" t="s">
        <v>30</v>
      </c>
      <c r="B4773" t="s">
        <v>31</v>
      </c>
      <c r="C4773" t="s">
        <v>32</v>
      </c>
      <c r="D4773" t="s">
        <v>673</v>
      </c>
      <c r="E4773" t="s">
        <v>704</v>
      </c>
      <c r="F4773" t="s">
        <v>35</v>
      </c>
      <c r="G4773" t="s">
        <v>35</v>
      </c>
      <c r="H4773" t="s">
        <v>35</v>
      </c>
      <c r="J4773" t="s">
        <v>5337</v>
      </c>
      <c r="K4773" t="s">
        <v>1092</v>
      </c>
      <c r="M4773">
        <v>1.8</v>
      </c>
      <c r="N4773">
        <v>35</v>
      </c>
      <c r="O4773" t="s">
        <v>52</v>
      </c>
      <c r="Q4773" t="s">
        <v>48</v>
      </c>
      <c r="R4773" t="s">
        <v>5256</v>
      </c>
      <c r="S4773" t="s">
        <v>5257</v>
      </c>
    </row>
    <row r="4774" spans="1:19" x14ac:dyDescent="0.25">
      <c r="A4774" t="s">
        <v>59</v>
      </c>
      <c r="B4774" t="s">
        <v>60</v>
      </c>
      <c r="C4774" t="s">
        <v>32</v>
      </c>
      <c r="D4774" t="s">
        <v>673</v>
      </c>
      <c r="E4774" t="s">
        <v>704</v>
      </c>
      <c r="F4774" t="s">
        <v>35</v>
      </c>
      <c r="G4774" t="s">
        <v>35</v>
      </c>
      <c r="H4774" t="s">
        <v>35</v>
      </c>
      <c r="J4774" t="s">
        <v>5338</v>
      </c>
      <c r="K4774" t="s">
        <v>1092</v>
      </c>
      <c r="M4774">
        <v>0.75</v>
      </c>
      <c r="N4774">
        <v>63</v>
      </c>
      <c r="O4774" t="s">
        <v>61</v>
      </c>
      <c r="Q4774" t="s">
        <v>423</v>
      </c>
      <c r="R4774" t="s">
        <v>5256</v>
      </c>
      <c r="S4774" t="s">
        <v>5257</v>
      </c>
    </row>
    <row r="4775" spans="1:19" x14ac:dyDescent="0.25">
      <c r="A4775" t="s">
        <v>30</v>
      </c>
      <c r="B4775" t="s">
        <v>31</v>
      </c>
      <c r="C4775" t="s">
        <v>32</v>
      </c>
      <c r="D4775" t="s">
        <v>673</v>
      </c>
      <c r="E4775" t="s">
        <v>704</v>
      </c>
      <c r="F4775" t="s">
        <v>35</v>
      </c>
      <c r="G4775" t="s">
        <v>35</v>
      </c>
      <c r="H4775" t="s">
        <v>35</v>
      </c>
      <c r="J4775" t="s">
        <v>5338</v>
      </c>
      <c r="K4775" t="s">
        <v>1092</v>
      </c>
      <c r="M4775">
        <v>0.09</v>
      </c>
      <c r="N4775">
        <v>40</v>
      </c>
      <c r="O4775" t="s">
        <v>52</v>
      </c>
      <c r="Q4775" t="s">
        <v>130</v>
      </c>
      <c r="R4775" t="s">
        <v>5256</v>
      </c>
      <c r="S4775" t="s">
        <v>5257</v>
      </c>
    </row>
    <row r="4776" spans="1:19" x14ac:dyDescent="0.25">
      <c r="A4776" t="s">
        <v>59</v>
      </c>
      <c r="B4776" t="s">
        <v>60</v>
      </c>
      <c r="C4776" t="s">
        <v>32</v>
      </c>
      <c r="D4776" t="s">
        <v>673</v>
      </c>
      <c r="E4776" t="s">
        <v>704</v>
      </c>
      <c r="F4776" t="s">
        <v>35</v>
      </c>
      <c r="G4776" t="s">
        <v>35</v>
      </c>
      <c r="H4776" t="s">
        <v>35</v>
      </c>
      <c r="J4776" t="s">
        <v>5338</v>
      </c>
      <c r="K4776" t="s">
        <v>1092</v>
      </c>
      <c r="M4776">
        <v>1</v>
      </c>
      <c r="N4776">
        <v>21</v>
      </c>
      <c r="O4776" t="s">
        <v>46</v>
      </c>
      <c r="Q4776" t="s">
        <v>1874</v>
      </c>
      <c r="R4776" t="s">
        <v>5256</v>
      </c>
      <c r="S4776" t="s">
        <v>5257</v>
      </c>
    </row>
    <row r="4777" spans="1:19" x14ac:dyDescent="0.25">
      <c r="A4777" t="s">
        <v>59</v>
      </c>
      <c r="B4777" t="s">
        <v>31</v>
      </c>
      <c r="C4777" t="s">
        <v>32</v>
      </c>
      <c r="D4777" t="s">
        <v>673</v>
      </c>
      <c r="E4777" t="s">
        <v>704</v>
      </c>
      <c r="F4777" t="s">
        <v>35</v>
      </c>
      <c r="G4777" t="s">
        <v>35</v>
      </c>
      <c r="H4777" t="s">
        <v>35</v>
      </c>
      <c r="J4777" t="s">
        <v>5339</v>
      </c>
      <c r="K4777" t="s">
        <v>1092</v>
      </c>
      <c r="M4777">
        <v>1.845</v>
      </c>
      <c r="N4777">
        <v>70</v>
      </c>
      <c r="O4777" t="s">
        <v>61</v>
      </c>
      <c r="Q4777" t="s">
        <v>126</v>
      </c>
      <c r="R4777" t="s">
        <v>5256</v>
      </c>
      <c r="S4777" t="s">
        <v>5257</v>
      </c>
    </row>
    <row r="4778" spans="1:19" x14ac:dyDescent="0.25">
      <c r="A4778" t="s">
        <v>30</v>
      </c>
      <c r="B4778" t="s">
        <v>31</v>
      </c>
      <c r="C4778" t="s">
        <v>32</v>
      </c>
      <c r="D4778" t="s">
        <v>673</v>
      </c>
      <c r="E4778" t="s">
        <v>704</v>
      </c>
      <c r="F4778" t="s">
        <v>35</v>
      </c>
      <c r="G4778" t="s">
        <v>35</v>
      </c>
      <c r="H4778" t="s">
        <v>35</v>
      </c>
      <c r="J4778" t="s">
        <v>5339</v>
      </c>
      <c r="K4778" t="s">
        <v>1092</v>
      </c>
      <c r="M4778">
        <v>1.575</v>
      </c>
      <c r="N4778">
        <v>40</v>
      </c>
      <c r="O4778" t="s">
        <v>52</v>
      </c>
      <c r="Q4778" t="s">
        <v>130</v>
      </c>
      <c r="R4778" t="s">
        <v>5256</v>
      </c>
      <c r="S4778" t="s">
        <v>5257</v>
      </c>
    </row>
    <row r="4779" spans="1:19" x14ac:dyDescent="0.25">
      <c r="A4779" t="s">
        <v>59</v>
      </c>
      <c r="B4779" t="s">
        <v>31</v>
      </c>
      <c r="C4779" t="s">
        <v>32</v>
      </c>
      <c r="D4779" t="s">
        <v>673</v>
      </c>
      <c r="E4779" t="s">
        <v>704</v>
      </c>
      <c r="F4779" t="s">
        <v>35</v>
      </c>
      <c r="G4779" t="s">
        <v>35</v>
      </c>
      <c r="H4779" t="s">
        <v>35</v>
      </c>
      <c r="J4779" t="s">
        <v>5339</v>
      </c>
      <c r="K4779" t="s">
        <v>1092</v>
      </c>
      <c r="M4779">
        <v>2.25</v>
      </c>
      <c r="N4779">
        <v>66</v>
      </c>
      <c r="O4779" t="s">
        <v>61</v>
      </c>
      <c r="Q4779" t="s">
        <v>203</v>
      </c>
      <c r="R4779" t="s">
        <v>5256</v>
      </c>
      <c r="S4779" t="s">
        <v>5257</v>
      </c>
    </row>
    <row r="4780" spans="1:19" x14ac:dyDescent="0.25">
      <c r="A4780" t="s">
        <v>59</v>
      </c>
      <c r="B4780" t="s">
        <v>60</v>
      </c>
      <c r="C4780" t="s">
        <v>32</v>
      </c>
      <c r="D4780" t="s">
        <v>673</v>
      </c>
      <c r="E4780" t="s">
        <v>704</v>
      </c>
      <c r="F4780" t="s">
        <v>35</v>
      </c>
      <c r="G4780" t="s">
        <v>35</v>
      </c>
      <c r="H4780" t="s">
        <v>35</v>
      </c>
      <c r="J4780" t="s">
        <v>5339</v>
      </c>
      <c r="K4780" t="s">
        <v>1092</v>
      </c>
      <c r="M4780">
        <v>0.5</v>
      </c>
      <c r="N4780">
        <v>118</v>
      </c>
      <c r="O4780" t="s">
        <v>106</v>
      </c>
      <c r="Q4780" t="s">
        <v>1469</v>
      </c>
      <c r="R4780" t="s">
        <v>470</v>
      </c>
      <c r="S4780" t="s">
        <v>471</v>
      </c>
    </row>
    <row r="4781" spans="1:19" x14ac:dyDescent="0.25">
      <c r="A4781" t="s">
        <v>30</v>
      </c>
      <c r="B4781" t="s">
        <v>31</v>
      </c>
      <c r="C4781" t="s">
        <v>32</v>
      </c>
      <c r="D4781" t="s">
        <v>673</v>
      </c>
      <c r="E4781" t="s">
        <v>704</v>
      </c>
      <c r="F4781" t="s">
        <v>35</v>
      </c>
      <c r="G4781" t="s">
        <v>35</v>
      </c>
      <c r="H4781" t="s">
        <v>35</v>
      </c>
      <c r="J4781" t="s">
        <v>5339</v>
      </c>
      <c r="K4781" t="s">
        <v>1092</v>
      </c>
      <c r="M4781">
        <v>0.45</v>
      </c>
      <c r="N4781">
        <v>51</v>
      </c>
      <c r="O4781" t="s">
        <v>52</v>
      </c>
      <c r="Q4781" t="s">
        <v>54</v>
      </c>
      <c r="R4781" t="s">
        <v>5256</v>
      </c>
      <c r="S4781" t="s">
        <v>5257</v>
      </c>
    </row>
    <row r="4782" spans="1:19" x14ac:dyDescent="0.25">
      <c r="A4782" t="s">
        <v>59</v>
      </c>
      <c r="B4782" t="s">
        <v>60</v>
      </c>
      <c r="C4782" t="s">
        <v>32</v>
      </c>
      <c r="D4782" t="s">
        <v>673</v>
      </c>
      <c r="E4782" t="s">
        <v>704</v>
      </c>
      <c r="F4782" t="s">
        <v>35</v>
      </c>
      <c r="G4782" t="s">
        <v>35</v>
      </c>
      <c r="H4782" t="s">
        <v>35</v>
      </c>
      <c r="J4782" t="s">
        <v>5340</v>
      </c>
      <c r="K4782" t="s">
        <v>1092</v>
      </c>
      <c r="M4782">
        <v>1.7</v>
      </c>
      <c r="N4782">
        <v>56</v>
      </c>
      <c r="O4782" t="s">
        <v>52</v>
      </c>
      <c r="Q4782" t="s">
        <v>453</v>
      </c>
      <c r="R4782" t="s">
        <v>470</v>
      </c>
      <c r="S4782" t="s">
        <v>471</v>
      </c>
    </row>
    <row r="4783" spans="1:19" x14ac:dyDescent="0.25">
      <c r="A4783" t="s">
        <v>59</v>
      </c>
      <c r="B4783" t="s">
        <v>60</v>
      </c>
      <c r="C4783" t="s">
        <v>32</v>
      </c>
      <c r="D4783" t="s">
        <v>673</v>
      </c>
      <c r="E4783" t="s">
        <v>704</v>
      </c>
      <c r="F4783" t="s">
        <v>35</v>
      </c>
      <c r="G4783" t="s">
        <v>35</v>
      </c>
      <c r="H4783" t="s">
        <v>35</v>
      </c>
      <c r="J4783" t="s">
        <v>5340</v>
      </c>
      <c r="K4783" t="s">
        <v>1092</v>
      </c>
      <c r="M4783">
        <v>1.5</v>
      </c>
      <c r="N4783">
        <v>9</v>
      </c>
      <c r="O4783" t="s">
        <v>46</v>
      </c>
      <c r="Q4783" t="s">
        <v>2009</v>
      </c>
      <c r="R4783" t="s">
        <v>470</v>
      </c>
      <c r="S4783" t="s">
        <v>471</v>
      </c>
    </row>
    <row r="4784" spans="1:19" x14ac:dyDescent="0.25">
      <c r="A4784" t="s">
        <v>59</v>
      </c>
      <c r="B4784" t="s">
        <v>60</v>
      </c>
      <c r="C4784" t="s">
        <v>32</v>
      </c>
      <c r="D4784" t="s">
        <v>673</v>
      </c>
      <c r="E4784" t="s">
        <v>704</v>
      </c>
      <c r="F4784" t="s">
        <v>35</v>
      </c>
      <c r="G4784" t="s">
        <v>35</v>
      </c>
      <c r="H4784" t="s">
        <v>35</v>
      </c>
      <c r="J4784" t="s">
        <v>5340</v>
      </c>
      <c r="K4784" t="s">
        <v>1092</v>
      </c>
      <c r="M4784">
        <v>0.25</v>
      </c>
      <c r="N4784">
        <v>100</v>
      </c>
      <c r="O4784" t="s">
        <v>106</v>
      </c>
      <c r="Q4784" t="s">
        <v>1112</v>
      </c>
      <c r="R4784" t="s">
        <v>478</v>
      </c>
      <c r="S4784" t="s">
        <v>479</v>
      </c>
    </row>
    <row r="4785" spans="1:19" x14ac:dyDescent="0.25">
      <c r="A4785" t="s">
        <v>30</v>
      </c>
      <c r="B4785" t="s">
        <v>31</v>
      </c>
      <c r="C4785" t="s">
        <v>32</v>
      </c>
      <c r="D4785" t="s">
        <v>673</v>
      </c>
      <c r="E4785" t="s">
        <v>704</v>
      </c>
      <c r="F4785" t="s">
        <v>35</v>
      </c>
      <c r="G4785" t="s">
        <v>35</v>
      </c>
      <c r="H4785" t="s">
        <v>35</v>
      </c>
      <c r="J4785" t="s">
        <v>5342</v>
      </c>
      <c r="K4785" t="s">
        <v>1092</v>
      </c>
      <c r="M4785">
        <v>1E-3</v>
      </c>
      <c r="N4785">
        <v>1221</v>
      </c>
      <c r="O4785" t="s">
        <v>575</v>
      </c>
      <c r="Q4785" t="s">
        <v>4540</v>
      </c>
      <c r="R4785" t="s">
        <v>5273</v>
      </c>
      <c r="S4785" t="s">
        <v>5274</v>
      </c>
    </row>
    <row r="4786" spans="1:19" x14ac:dyDescent="0.25">
      <c r="A4786" t="s">
        <v>30</v>
      </c>
      <c r="B4786" t="s">
        <v>31</v>
      </c>
      <c r="C4786" t="s">
        <v>32</v>
      </c>
      <c r="D4786" t="s">
        <v>673</v>
      </c>
      <c r="E4786" t="s">
        <v>704</v>
      </c>
      <c r="F4786" t="s">
        <v>35</v>
      </c>
      <c r="G4786" t="s">
        <v>35</v>
      </c>
      <c r="H4786" t="s">
        <v>35</v>
      </c>
      <c r="J4786" t="s">
        <v>5343</v>
      </c>
      <c r="K4786" t="s">
        <v>1092</v>
      </c>
      <c r="M4786">
        <v>4.0949999999999998</v>
      </c>
      <c r="N4786">
        <v>56</v>
      </c>
      <c r="O4786" t="s">
        <v>52</v>
      </c>
      <c r="Q4786" t="s">
        <v>453</v>
      </c>
      <c r="R4786" t="s">
        <v>478</v>
      </c>
      <c r="S4786" t="s">
        <v>479</v>
      </c>
    </row>
    <row r="4787" spans="1:19" x14ac:dyDescent="0.25">
      <c r="A4787" t="s">
        <v>44</v>
      </c>
      <c r="B4787" t="s">
        <v>3</v>
      </c>
      <c r="C4787" t="s">
        <v>32</v>
      </c>
      <c r="D4787" t="s">
        <v>673</v>
      </c>
      <c r="E4787" t="s">
        <v>704</v>
      </c>
      <c r="F4787" t="s">
        <v>35</v>
      </c>
      <c r="G4787" t="s">
        <v>35</v>
      </c>
      <c r="H4787" t="s">
        <v>35</v>
      </c>
      <c r="J4787" t="s">
        <v>5344</v>
      </c>
      <c r="K4787" t="s">
        <v>1092</v>
      </c>
      <c r="M4787">
        <v>0.1</v>
      </c>
      <c r="N4787">
        <v>553</v>
      </c>
      <c r="O4787" t="s">
        <v>575</v>
      </c>
      <c r="Q4787" t="s">
        <v>5345</v>
      </c>
      <c r="R4787" t="s">
        <v>478</v>
      </c>
      <c r="S4787" t="s">
        <v>479</v>
      </c>
    </row>
    <row r="4788" spans="1:19" x14ac:dyDescent="0.25">
      <c r="A4788" t="s">
        <v>44</v>
      </c>
      <c r="B4788" t="s">
        <v>3</v>
      </c>
      <c r="C4788" t="s">
        <v>32</v>
      </c>
      <c r="D4788" t="s">
        <v>673</v>
      </c>
      <c r="E4788" t="s">
        <v>704</v>
      </c>
      <c r="F4788" t="s">
        <v>35</v>
      </c>
      <c r="G4788" t="s">
        <v>35</v>
      </c>
      <c r="H4788" t="s">
        <v>35</v>
      </c>
      <c r="J4788" t="s">
        <v>5344</v>
      </c>
      <c r="K4788" t="s">
        <v>1092</v>
      </c>
      <c r="M4788">
        <v>0.25</v>
      </c>
      <c r="N4788">
        <v>550</v>
      </c>
      <c r="O4788" t="s">
        <v>575</v>
      </c>
      <c r="Q4788" t="s">
        <v>3383</v>
      </c>
      <c r="R4788" t="s">
        <v>478</v>
      </c>
      <c r="S4788" t="s">
        <v>479</v>
      </c>
    </row>
    <row r="4789" spans="1:19" x14ac:dyDescent="0.25">
      <c r="A4789" t="s">
        <v>59</v>
      </c>
      <c r="B4789" t="s">
        <v>60</v>
      </c>
      <c r="C4789" t="s">
        <v>32</v>
      </c>
      <c r="D4789" t="s">
        <v>673</v>
      </c>
      <c r="E4789" t="s">
        <v>704</v>
      </c>
      <c r="F4789" t="s">
        <v>35</v>
      </c>
      <c r="G4789" t="s">
        <v>35</v>
      </c>
      <c r="H4789" t="s">
        <v>35</v>
      </c>
      <c r="J4789" t="s">
        <v>5346</v>
      </c>
      <c r="K4789" t="s">
        <v>1092</v>
      </c>
      <c r="M4789">
        <v>2.9</v>
      </c>
      <c r="N4789">
        <v>11</v>
      </c>
      <c r="O4789" t="s">
        <v>46</v>
      </c>
      <c r="Q4789" t="s">
        <v>1053</v>
      </c>
      <c r="R4789" t="s">
        <v>470</v>
      </c>
      <c r="S4789" t="s">
        <v>471</v>
      </c>
    </row>
    <row r="4790" spans="1:19" x14ac:dyDescent="0.25">
      <c r="A4790" t="s">
        <v>59</v>
      </c>
      <c r="B4790" t="s">
        <v>60</v>
      </c>
      <c r="C4790" t="s">
        <v>32</v>
      </c>
      <c r="D4790" t="s">
        <v>673</v>
      </c>
      <c r="E4790" t="s">
        <v>704</v>
      </c>
      <c r="F4790" t="s">
        <v>35</v>
      </c>
      <c r="G4790" t="s">
        <v>35</v>
      </c>
      <c r="H4790" t="s">
        <v>35</v>
      </c>
      <c r="J4790" t="s">
        <v>5347</v>
      </c>
      <c r="K4790" t="s">
        <v>1092</v>
      </c>
      <c r="M4790">
        <v>0.15</v>
      </c>
      <c r="N4790">
        <v>9</v>
      </c>
      <c r="O4790" t="s">
        <v>46</v>
      </c>
      <c r="Q4790" t="s">
        <v>2009</v>
      </c>
      <c r="R4790" t="s">
        <v>470</v>
      </c>
      <c r="S4790" t="s">
        <v>471</v>
      </c>
    </row>
    <row r="4791" spans="1:19" x14ac:dyDescent="0.25">
      <c r="A4791" t="s">
        <v>59</v>
      </c>
      <c r="B4791" t="s">
        <v>60</v>
      </c>
      <c r="C4791" t="s">
        <v>32</v>
      </c>
      <c r="D4791" t="s">
        <v>673</v>
      </c>
      <c r="E4791" t="s">
        <v>704</v>
      </c>
      <c r="F4791" t="s">
        <v>35</v>
      </c>
      <c r="G4791" t="s">
        <v>35</v>
      </c>
      <c r="H4791" t="s">
        <v>35</v>
      </c>
      <c r="J4791" t="s">
        <v>5348</v>
      </c>
      <c r="K4791" t="s">
        <v>1092</v>
      </c>
      <c r="M4791">
        <v>1.05</v>
      </c>
      <c r="N4791">
        <v>114</v>
      </c>
      <c r="O4791" t="s">
        <v>106</v>
      </c>
      <c r="Q4791" t="s">
        <v>288</v>
      </c>
      <c r="R4791" t="s">
        <v>478</v>
      </c>
      <c r="S4791" t="s">
        <v>479</v>
      </c>
    </row>
    <row r="4792" spans="1:19" x14ac:dyDescent="0.25">
      <c r="A4792" t="s">
        <v>30</v>
      </c>
      <c r="B4792" t="s">
        <v>31</v>
      </c>
      <c r="C4792" t="s">
        <v>32</v>
      </c>
      <c r="D4792" t="s">
        <v>673</v>
      </c>
      <c r="E4792" t="s">
        <v>704</v>
      </c>
      <c r="F4792" t="s">
        <v>35</v>
      </c>
      <c r="G4792" t="s">
        <v>35</v>
      </c>
      <c r="H4792" t="s">
        <v>35</v>
      </c>
      <c r="J4792" t="s">
        <v>5348</v>
      </c>
      <c r="K4792" t="s">
        <v>1092</v>
      </c>
      <c r="M4792">
        <v>11.025</v>
      </c>
      <c r="N4792">
        <v>51</v>
      </c>
      <c r="O4792" t="s">
        <v>52</v>
      </c>
      <c r="Q4792" t="s">
        <v>54</v>
      </c>
      <c r="R4792" t="s">
        <v>5349</v>
      </c>
      <c r="S4792" t="s">
        <v>5350</v>
      </c>
    </row>
    <row r="4793" spans="1:19" x14ac:dyDescent="0.25">
      <c r="A4793" t="s">
        <v>59</v>
      </c>
      <c r="B4793" t="s">
        <v>60</v>
      </c>
      <c r="C4793" t="s">
        <v>32</v>
      </c>
      <c r="D4793" t="s">
        <v>673</v>
      </c>
      <c r="E4793" t="s">
        <v>704</v>
      </c>
      <c r="F4793" t="s">
        <v>35</v>
      </c>
      <c r="G4793" t="s">
        <v>35</v>
      </c>
      <c r="H4793" t="s">
        <v>35</v>
      </c>
      <c r="J4793" t="s">
        <v>5352</v>
      </c>
      <c r="K4793" t="s">
        <v>1092</v>
      </c>
      <c r="M4793">
        <v>0.25</v>
      </c>
      <c r="N4793">
        <v>58</v>
      </c>
      <c r="O4793" t="s">
        <v>52</v>
      </c>
      <c r="Q4793" t="s">
        <v>58</v>
      </c>
      <c r="R4793" t="s">
        <v>5256</v>
      </c>
      <c r="S4793" t="s">
        <v>5257</v>
      </c>
    </row>
    <row r="4794" spans="1:19" x14ac:dyDescent="0.25">
      <c r="A4794" t="s">
        <v>59</v>
      </c>
      <c r="B4794" t="s">
        <v>31</v>
      </c>
      <c r="C4794" t="s">
        <v>32</v>
      </c>
      <c r="D4794" t="s">
        <v>673</v>
      </c>
      <c r="E4794" t="s">
        <v>704</v>
      </c>
      <c r="F4794" t="s">
        <v>35</v>
      </c>
      <c r="G4794" t="s">
        <v>35</v>
      </c>
      <c r="H4794" t="s">
        <v>35</v>
      </c>
      <c r="J4794" t="s">
        <v>5352</v>
      </c>
      <c r="K4794" t="s">
        <v>1092</v>
      </c>
      <c r="M4794">
        <v>0.58499999999999996</v>
      </c>
      <c r="N4794">
        <v>66</v>
      </c>
      <c r="O4794" t="s">
        <v>61</v>
      </c>
      <c r="Q4794" t="s">
        <v>203</v>
      </c>
      <c r="R4794" t="s">
        <v>5256</v>
      </c>
      <c r="S4794" t="s">
        <v>5257</v>
      </c>
    </row>
    <row r="4795" spans="1:19" x14ac:dyDescent="0.25">
      <c r="A4795" t="s">
        <v>30</v>
      </c>
      <c r="B4795" t="s">
        <v>31</v>
      </c>
      <c r="C4795" t="s">
        <v>32</v>
      </c>
      <c r="D4795" t="s">
        <v>673</v>
      </c>
      <c r="E4795" t="s">
        <v>704</v>
      </c>
      <c r="F4795" t="s">
        <v>35</v>
      </c>
      <c r="G4795" t="s">
        <v>35</v>
      </c>
      <c r="H4795" t="s">
        <v>35</v>
      </c>
      <c r="J4795" t="s">
        <v>5353</v>
      </c>
      <c r="K4795" t="s">
        <v>1092</v>
      </c>
      <c r="M4795">
        <v>5.0000000000000001E-3</v>
      </c>
      <c r="N4795">
        <v>1224</v>
      </c>
      <c r="O4795" t="s">
        <v>575</v>
      </c>
      <c r="Q4795" t="s">
        <v>3614</v>
      </c>
      <c r="R4795" t="s">
        <v>5256</v>
      </c>
      <c r="S4795" t="s">
        <v>5257</v>
      </c>
    </row>
    <row r="4796" spans="1:19" x14ac:dyDescent="0.25">
      <c r="A4796" t="s">
        <v>59</v>
      </c>
      <c r="B4796" t="s">
        <v>31</v>
      </c>
      <c r="C4796" t="s">
        <v>32</v>
      </c>
      <c r="D4796" t="s">
        <v>673</v>
      </c>
      <c r="E4796" t="s">
        <v>704</v>
      </c>
      <c r="F4796" t="s">
        <v>35</v>
      </c>
      <c r="G4796" t="s">
        <v>35</v>
      </c>
      <c r="H4796" t="s">
        <v>35</v>
      </c>
      <c r="J4796" t="s">
        <v>5353</v>
      </c>
      <c r="K4796" t="s">
        <v>1092</v>
      </c>
      <c r="M4796">
        <v>5.0000000000000001E-3</v>
      </c>
      <c r="N4796">
        <v>878</v>
      </c>
      <c r="O4796" t="s">
        <v>575</v>
      </c>
      <c r="Q4796" t="s">
        <v>3531</v>
      </c>
      <c r="R4796" t="s">
        <v>5256</v>
      </c>
      <c r="S4796" t="s">
        <v>5257</v>
      </c>
    </row>
    <row r="4797" spans="1:19" x14ac:dyDescent="0.25">
      <c r="A4797" t="s">
        <v>59</v>
      </c>
      <c r="B4797" t="s">
        <v>31</v>
      </c>
      <c r="C4797" t="s">
        <v>32</v>
      </c>
      <c r="D4797" t="s">
        <v>673</v>
      </c>
      <c r="E4797" t="s">
        <v>704</v>
      </c>
      <c r="F4797" t="s">
        <v>35</v>
      </c>
      <c r="G4797" t="s">
        <v>35</v>
      </c>
      <c r="H4797" t="s">
        <v>35</v>
      </c>
      <c r="J4797" t="s">
        <v>5354</v>
      </c>
      <c r="K4797" t="s">
        <v>1092</v>
      </c>
      <c r="M4797">
        <v>0.9</v>
      </c>
      <c r="N4797">
        <v>68</v>
      </c>
      <c r="O4797" t="s">
        <v>61</v>
      </c>
      <c r="Q4797" t="s">
        <v>146</v>
      </c>
      <c r="R4797" t="s">
        <v>5256</v>
      </c>
      <c r="S4797" t="s">
        <v>5257</v>
      </c>
    </row>
    <row r="4798" spans="1:19" x14ac:dyDescent="0.25">
      <c r="A4798" t="s">
        <v>59</v>
      </c>
      <c r="B4798" t="s">
        <v>31</v>
      </c>
      <c r="C4798" t="s">
        <v>32</v>
      </c>
      <c r="D4798" t="s">
        <v>673</v>
      </c>
      <c r="E4798" t="s">
        <v>704</v>
      </c>
      <c r="F4798" t="s">
        <v>35</v>
      </c>
      <c r="G4798" t="s">
        <v>35</v>
      </c>
      <c r="H4798" t="s">
        <v>35</v>
      </c>
      <c r="J4798" t="s">
        <v>5355</v>
      </c>
      <c r="K4798" t="s">
        <v>1092</v>
      </c>
      <c r="M4798">
        <v>0.45</v>
      </c>
      <c r="N4798">
        <v>68</v>
      </c>
      <c r="O4798" t="s">
        <v>61</v>
      </c>
      <c r="Q4798" t="s">
        <v>146</v>
      </c>
      <c r="R4798" t="s">
        <v>5256</v>
      </c>
      <c r="S4798" t="s">
        <v>5257</v>
      </c>
    </row>
    <row r="4799" spans="1:19" x14ac:dyDescent="0.25">
      <c r="A4799" t="s">
        <v>30</v>
      </c>
      <c r="B4799" t="s">
        <v>31</v>
      </c>
      <c r="C4799" t="s">
        <v>32</v>
      </c>
      <c r="D4799" t="s">
        <v>673</v>
      </c>
      <c r="E4799" t="s">
        <v>704</v>
      </c>
      <c r="F4799" t="s">
        <v>35</v>
      </c>
      <c r="G4799" t="s">
        <v>35</v>
      </c>
      <c r="H4799" t="s">
        <v>35</v>
      </c>
      <c r="J4799" t="s">
        <v>5356</v>
      </c>
      <c r="K4799" t="s">
        <v>1092</v>
      </c>
      <c r="M4799">
        <v>0.67500000000000004</v>
      </c>
      <c r="N4799">
        <v>34</v>
      </c>
      <c r="O4799" t="s">
        <v>52</v>
      </c>
      <c r="Q4799" t="s">
        <v>809</v>
      </c>
      <c r="R4799" t="s">
        <v>5256</v>
      </c>
      <c r="S4799" t="s">
        <v>5257</v>
      </c>
    </row>
    <row r="4800" spans="1:19" x14ac:dyDescent="0.25">
      <c r="A4800" t="s">
        <v>59</v>
      </c>
      <c r="B4800" t="s">
        <v>31</v>
      </c>
      <c r="C4800" t="s">
        <v>32</v>
      </c>
      <c r="D4800" t="s">
        <v>673</v>
      </c>
      <c r="E4800" t="s">
        <v>704</v>
      </c>
      <c r="F4800" t="s">
        <v>35</v>
      </c>
      <c r="G4800" t="s">
        <v>35</v>
      </c>
      <c r="H4800" t="s">
        <v>35</v>
      </c>
      <c r="J4800" t="s">
        <v>5356</v>
      </c>
      <c r="K4800" t="s">
        <v>1092</v>
      </c>
      <c r="M4800">
        <v>0.54</v>
      </c>
      <c r="N4800">
        <v>72</v>
      </c>
      <c r="O4800" t="s">
        <v>61</v>
      </c>
      <c r="Q4800" t="s">
        <v>63</v>
      </c>
      <c r="R4800" t="s">
        <v>5256</v>
      </c>
      <c r="S4800" t="s">
        <v>5257</v>
      </c>
    </row>
    <row r="4801" spans="1:19" x14ac:dyDescent="0.25">
      <c r="A4801" t="s">
        <v>59</v>
      </c>
      <c r="B4801" t="s">
        <v>60</v>
      </c>
      <c r="C4801" t="s">
        <v>32</v>
      </c>
      <c r="D4801" t="s">
        <v>673</v>
      </c>
      <c r="E4801" t="s">
        <v>704</v>
      </c>
      <c r="F4801" t="s">
        <v>35</v>
      </c>
      <c r="G4801" t="s">
        <v>35</v>
      </c>
      <c r="H4801" t="s">
        <v>35</v>
      </c>
      <c r="J4801" t="s">
        <v>5357</v>
      </c>
      <c r="K4801" t="s">
        <v>1092</v>
      </c>
      <c r="M4801">
        <v>0.1</v>
      </c>
      <c r="N4801">
        <v>18</v>
      </c>
      <c r="O4801" t="s">
        <v>46</v>
      </c>
      <c r="Q4801" t="s">
        <v>1476</v>
      </c>
      <c r="R4801" t="s">
        <v>5256</v>
      </c>
      <c r="S4801" t="s">
        <v>5257</v>
      </c>
    </row>
    <row r="4802" spans="1:19" x14ac:dyDescent="0.25">
      <c r="A4802" t="s">
        <v>30</v>
      </c>
      <c r="B4802" t="s">
        <v>31</v>
      </c>
      <c r="C4802" t="s">
        <v>32</v>
      </c>
      <c r="D4802" t="s">
        <v>673</v>
      </c>
      <c r="E4802" t="s">
        <v>704</v>
      </c>
      <c r="F4802" t="s">
        <v>35</v>
      </c>
      <c r="G4802" t="s">
        <v>35</v>
      </c>
      <c r="H4802" t="s">
        <v>35</v>
      </c>
      <c r="J4802" t="s">
        <v>5357</v>
      </c>
      <c r="K4802" t="s">
        <v>1092</v>
      </c>
      <c r="M4802">
        <v>0.67500000000000004</v>
      </c>
      <c r="N4802">
        <v>48</v>
      </c>
      <c r="O4802" t="s">
        <v>52</v>
      </c>
      <c r="Q4802" t="s">
        <v>496</v>
      </c>
      <c r="R4802" t="s">
        <v>5256</v>
      </c>
      <c r="S4802" t="s">
        <v>5257</v>
      </c>
    </row>
    <row r="4803" spans="1:19" x14ac:dyDescent="0.25">
      <c r="A4803" t="s">
        <v>30</v>
      </c>
      <c r="B4803" t="s">
        <v>31</v>
      </c>
      <c r="C4803" t="s">
        <v>32</v>
      </c>
      <c r="D4803" t="s">
        <v>673</v>
      </c>
      <c r="E4803" t="s">
        <v>704</v>
      </c>
      <c r="F4803" t="s">
        <v>35</v>
      </c>
      <c r="G4803" t="s">
        <v>35</v>
      </c>
      <c r="H4803" t="s">
        <v>35</v>
      </c>
      <c r="J4803" t="s">
        <v>5357</v>
      </c>
      <c r="K4803" t="s">
        <v>1092</v>
      </c>
      <c r="M4803">
        <v>0.45</v>
      </c>
      <c r="N4803">
        <v>18</v>
      </c>
      <c r="O4803" t="s">
        <v>46</v>
      </c>
      <c r="Q4803" t="s">
        <v>1476</v>
      </c>
      <c r="R4803" t="s">
        <v>5256</v>
      </c>
      <c r="S4803" t="s">
        <v>5257</v>
      </c>
    </row>
    <row r="4804" spans="1:19" x14ac:dyDescent="0.25">
      <c r="A4804" t="s">
        <v>59</v>
      </c>
      <c r="B4804" t="s">
        <v>31</v>
      </c>
      <c r="C4804" t="s">
        <v>32</v>
      </c>
      <c r="D4804" t="s">
        <v>673</v>
      </c>
      <c r="E4804" t="s">
        <v>704</v>
      </c>
      <c r="F4804" t="s">
        <v>35</v>
      </c>
      <c r="G4804" t="s">
        <v>35</v>
      </c>
      <c r="H4804" t="s">
        <v>35</v>
      </c>
      <c r="J4804" t="s">
        <v>8247</v>
      </c>
      <c r="K4804" t="s">
        <v>1092</v>
      </c>
      <c r="M4804">
        <v>0.45</v>
      </c>
      <c r="N4804">
        <v>18</v>
      </c>
      <c r="O4804" t="s">
        <v>46</v>
      </c>
      <c r="Q4804" t="s">
        <v>1476</v>
      </c>
      <c r="R4804" t="s">
        <v>5256</v>
      </c>
      <c r="S4804" t="s">
        <v>5257</v>
      </c>
    </row>
    <row r="4805" spans="1:19" x14ac:dyDescent="0.25">
      <c r="A4805" t="s">
        <v>59</v>
      </c>
      <c r="B4805" t="s">
        <v>60</v>
      </c>
      <c r="C4805" t="s">
        <v>32</v>
      </c>
      <c r="D4805" t="s">
        <v>673</v>
      </c>
      <c r="E4805" t="s">
        <v>704</v>
      </c>
      <c r="F4805" t="s">
        <v>35</v>
      </c>
      <c r="G4805" t="s">
        <v>35</v>
      </c>
      <c r="H4805" t="s">
        <v>35</v>
      </c>
      <c r="J4805" t="s">
        <v>5359</v>
      </c>
      <c r="K4805" t="s">
        <v>1092</v>
      </c>
      <c r="M4805">
        <v>0.1</v>
      </c>
      <c r="N4805">
        <v>72</v>
      </c>
      <c r="O4805" t="s">
        <v>61</v>
      </c>
      <c r="Q4805" t="s">
        <v>63</v>
      </c>
      <c r="R4805" t="s">
        <v>5360</v>
      </c>
      <c r="S4805" t="s">
        <v>5361</v>
      </c>
    </row>
    <row r="4806" spans="1:19" x14ac:dyDescent="0.25">
      <c r="A4806" t="s">
        <v>59</v>
      </c>
      <c r="B4806" t="s">
        <v>31</v>
      </c>
      <c r="C4806" t="s">
        <v>32</v>
      </c>
      <c r="D4806" t="s">
        <v>673</v>
      </c>
      <c r="E4806" t="s">
        <v>704</v>
      </c>
      <c r="F4806" t="s">
        <v>35</v>
      </c>
      <c r="G4806" t="s">
        <v>35</v>
      </c>
      <c r="H4806" t="s">
        <v>35</v>
      </c>
      <c r="J4806" t="s">
        <v>5363</v>
      </c>
      <c r="K4806" t="s">
        <v>1092</v>
      </c>
      <c r="M4806">
        <v>0.67500000000000004</v>
      </c>
      <c r="N4806">
        <v>68</v>
      </c>
      <c r="O4806" t="s">
        <v>61</v>
      </c>
      <c r="Q4806" t="s">
        <v>146</v>
      </c>
      <c r="R4806" t="s">
        <v>5256</v>
      </c>
      <c r="S4806" t="s">
        <v>5257</v>
      </c>
    </row>
    <row r="4807" spans="1:19" x14ac:dyDescent="0.25">
      <c r="A4807" t="s">
        <v>30</v>
      </c>
      <c r="B4807" t="s">
        <v>31</v>
      </c>
      <c r="C4807" t="s">
        <v>32</v>
      </c>
      <c r="D4807" t="s">
        <v>673</v>
      </c>
      <c r="E4807" t="s">
        <v>704</v>
      </c>
      <c r="F4807" t="s">
        <v>35</v>
      </c>
      <c r="G4807" t="s">
        <v>35</v>
      </c>
      <c r="H4807" t="s">
        <v>35</v>
      </c>
      <c r="J4807" t="s">
        <v>5364</v>
      </c>
      <c r="K4807" t="s">
        <v>1092</v>
      </c>
      <c r="M4807">
        <v>1.125</v>
      </c>
      <c r="N4807">
        <v>34</v>
      </c>
      <c r="O4807" t="s">
        <v>52</v>
      </c>
      <c r="Q4807" t="s">
        <v>809</v>
      </c>
      <c r="R4807" t="s">
        <v>5256</v>
      </c>
      <c r="S4807" t="s">
        <v>5257</v>
      </c>
    </row>
    <row r="4808" spans="1:19" x14ac:dyDescent="0.25">
      <c r="A4808" t="s">
        <v>59</v>
      </c>
      <c r="B4808" t="s">
        <v>60</v>
      </c>
      <c r="C4808" t="s">
        <v>32</v>
      </c>
      <c r="D4808" t="s">
        <v>673</v>
      </c>
      <c r="E4808" t="s">
        <v>704</v>
      </c>
      <c r="F4808" t="s">
        <v>35</v>
      </c>
      <c r="G4808" t="s">
        <v>35</v>
      </c>
      <c r="H4808" t="s">
        <v>35</v>
      </c>
      <c r="J4808" t="s">
        <v>5364</v>
      </c>
      <c r="K4808" t="s">
        <v>1092</v>
      </c>
      <c r="M4808">
        <v>0.5</v>
      </c>
      <c r="N4808">
        <v>48</v>
      </c>
      <c r="O4808" t="s">
        <v>52</v>
      </c>
      <c r="Q4808" t="s">
        <v>496</v>
      </c>
      <c r="R4808" t="s">
        <v>5256</v>
      </c>
      <c r="S4808" t="s">
        <v>5257</v>
      </c>
    </row>
    <row r="4809" spans="1:19" x14ac:dyDescent="0.25">
      <c r="A4809" t="s">
        <v>30</v>
      </c>
      <c r="B4809" t="s">
        <v>31</v>
      </c>
      <c r="C4809" t="s">
        <v>32</v>
      </c>
      <c r="D4809" t="s">
        <v>673</v>
      </c>
      <c r="E4809" t="s">
        <v>704</v>
      </c>
      <c r="F4809" t="s">
        <v>35</v>
      </c>
      <c r="G4809" t="s">
        <v>35</v>
      </c>
      <c r="H4809" t="s">
        <v>35</v>
      </c>
      <c r="J4809" t="s">
        <v>5365</v>
      </c>
      <c r="K4809" t="s">
        <v>1092</v>
      </c>
      <c r="M4809">
        <v>0.04</v>
      </c>
      <c r="N4809">
        <v>1315</v>
      </c>
      <c r="O4809" t="s">
        <v>575</v>
      </c>
      <c r="Q4809" t="s">
        <v>5366</v>
      </c>
      <c r="R4809" t="s">
        <v>5256</v>
      </c>
      <c r="S4809" t="s">
        <v>5257</v>
      </c>
    </row>
    <row r="4810" spans="1:19" x14ac:dyDescent="0.25">
      <c r="A4810" t="s">
        <v>59</v>
      </c>
      <c r="B4810" t="s">
        <v>31</v>
      </c>
      <c r="C4810" t="s">
        <v>32</v>
      </c>
      <c r="D4810" t="s">
        <v>673</v>
      </c>
      <c r="E4810" t="s">
        <v>704</v>
      </c>
      <c r="F4810" t="s">
        <v>35</v>
      </c>
      <c r="G4810" t="s">
        <v>35</v>
      </c>
      <c r="H4810" t="s">
        <v>35</v>
      </c>
      <c r="J4810" t="s">
        <v>5367</v>
      </c>
      <c r="K4810" t="s">
        <v>1092</v>
      </c>
      <c r="M4810">
        <v>0.85499999999999998</v>
      </c>
      <c r="N4810">
        <v>1222</v>
      </c>
      <c r="O4810" t="s">
        <v>575</v>
      </c>
      <c r="Q4810" t="s">
        <v>2434</v>
      </c>
      <c r="R4810" t="s">
        <v>470</v>
      </c>
      <c r="S4810" t="s">
        <v>471</v>
      </c>
    </row>
    <row r="4811" spans="1:19" x14ac:dyDescent="0.25">
      <c r="A4811" t="s">
        <v>59</v>
      </c>
      <c r="B4811" t="s">
        <v>31</v>
      </c>
      <c r="C4811" t="s">
        <v>32</v>
      </c>
      <c r="D4811" t="s">
        <v>673</v>
      </c>
      <c r="E4811" t="s">
        <v>704</v>
      </c>
      <c r="F4811" t="s">
        <v>35</v>
      </c>
      <c r="G4811" t="s">
        <v>35</v>
      </c>
      <c r="H4811" t="s">
        <v>35</v>
      </c>
      <c r="J4811" t="s">
        <v>5368</v>
      </c>
      <c r="K4811" t="s">
        <v>1092</v>
      </c>
      <c r="M4811">
        <v>1.0349999999999999</v>
      </c>
      <c r="N4811">
        <v>72</v>
      </c>
      <c r="O4811" t="s">
        <v>61</v>
      </c>
      <c r="Q4811" t="s">
        <v>63</v>
      </c>
      <c r="R4811" t="s">
        <v>5256</v>
      </c>
      <c r="S4811" t="s">
        <v>5257</v>
      </c>
    </row>
    <row r="4812" spans="1:19" x14ac:dyDescent="0.25">
      <c r="A4812" t="s">
        <v>44</v>
      </c>
      <c r="B4812" t="s">
        <v>3</v>
      </c>
      <c r="C4812" t="s">
        <v>32</v>
      </c>
      <c r="D4812" t="s">
        <v>673</v>
      </c>
      <c r="E4812" t="s">
        <v>704</v>
      </c>
      <c r="F4812" t="s">
        <v>35</v>
      </c>
      <c r="G4812" t="s">
        <v>35</v>
      </c>
      <c r="H4812" t="s">
        <v>35</v>
      </c>
      <c r="J4812" t="s">
        <v>5369</v>
      </c>
      <c r="K4812" t="s">
        <v>1092</v>
      </c>
      <c r="M4812">
        <v>0.1</v>
      </c>
      <c r="N4812">
        <v>576</v>
      </c>
      <c r="O4812" t="s">
        <v>575</v>
      </c>
      <c r="Q4812" t="s">
        <v>2557</v>
      </c>
      <c r="R4812" t="s">
        <v>5256</v>
      </c>
      <c r="S4812" t="s">
        <v>5257</v>
      </c>
    </row>
    <row r="4813" spans="1:19" x14ac:dyDescent="0.25">
      <c r="A4813" t="s">
        <v>59</v>
      </c>
      <c r="B4813" t="s">
        <v>60</v>
      </c>
      <c r="C4813" t="s">
        <v>32</v>
      </c>
      <c r="D4813" t="s">
        <v>673</v>
      </c>
      <c r="E4813" t="s">
        <v>5370</v>
      </c>
      <c r="F4813" t="s">
        <v>35</v>
      </c>
      <c r="G4813" t="s">
        <v>35</v>
      </c>
      <c r="H4813" t="s">
        <v>35</v>
      </c>
      <c r="J4813" t="s">
        <v>5371</v>
      </c>
      <c r="K4813" t="s">
        <v>1092</v>
      </c>
      <c r="M4813">
        <v>0.25</v>
      </c>
      <c r="N4813">
        <v>1210</v>
      </c>
      <c r="O4813" t="s">
        <v>575</v>
      </c>
      <c r="Q4813" t="s">
        <v>2291</v>
      </c>
      <c r="R4813" t="s">
        <v>678</v>
      </c>
      <c r="S4813" t="s">
        <v>679</v>
      </c>
    </row>
    <row r="4814" spans="1:19" x14ac:dyDescent="0.25">
      <c r="A4814" t="s">
        <v>59</v>
      </c>
      <c r="B4814" t="s">
        <v>60</v>
      </c>
      <c r="C4814" t="s">
        <v>32</v>
      </c>
      <c r="D4814" t="s">
        <v>673</v>
      </c>
      <c r="E4814" t="s">
        <v>5370</v>
      </c>
      <c r="F4814" t="s">
        <v>35</v>
      </c>
      <c r="G4814" t="s">
        <v>35</v>
      </c>
      <c r="H4814" t="s">
        <v>35</v>
      </c>
      <c r="J4814" t="s">
        <v>5372</v>
      </c>
      <c r="K4814" t="s">
        <v>1092</v>
      </c>
      <c r="M4814">
        <v>0.45</v>
      </c>
      <c r="N4814">
        <v>24</v>
      </c>
      <c r="O4814" t="s">
        <v>46</v>
      </c>
      <c r="Q4814" t="s">
        <v>255</v>
      </c>
      <c r="R4814" t="s">
        <v>315</v>
      </c>
      <c r="S4814" t="s">
        <v>316</v>
      </c>
    </row>
    <row r="4815" spans="1:19" x14ac:dyDescent="0.25">
      <c r="A4815" t="s">
        <v>30</v>
      </c>
      <c r="B4815" t="s">
        <v>31</v>
      </c>
      <c r="C4815" t="s">
        <v>32</v>
      </c>
      <c r="D4815" t="s">
        <v>673</v>
      </c>
      <c r="E4815" t="s">
        <v>5370</v>
      </c>
      <c r="F4815" t="s">
        <v>35</v>
      </c>
      <c r="G4815" t="s">
        <v>35</v>
      </c>
      <c r="H4815" t="s">
        <v>35</v>
      </c>
      <c r="J4815" t="s">
        <v>5373</v>
      </c>
      <c r="K4815" t="s">
        <v>1092</v>
      </c>
      <c r="M4815">
        <v>4.68</v>
      </c>
      <c r="N4815">
        <v>49</v>
      </c>
      <c r="O4815" t="s">
        <v>52</v>
      </c>
      <c r="Q4815" t="s">
        <v>219</v>
      </c>
      <c r="R4815" t="s">
        <v>5271</v>
      </c>
      <c r="S4815" t="s">
        <v>711</v>
      </c>
    </row>
    <row r="4816" spans="1:19" x14ac:dyDescent="0.25">
      <c r="A4816" t="s">
        <v>30</v>
      </c>
      <c r="B4816" t="s">
        <v>31</v>
      </c>
      <c r="C4816" t="s">
        <v>32</v>
      </c>
      <c r="D4816" t="s">
        <v>673</v>
      </c>
      <c r="E4816" t="s">
        <v>5370</v>
      </c>
      <c r="F4816" t="s">
        <v>35</v>
      </c>
      <c r="G4816" t="s">
        <v>35</v>
      </c>
      <c r="H4816" t="s">
        <v>35</v>
      </c>
      <c r="J4816" t="s">
        <v>5373</v>
      </c>
      <c r="K4816" t="s">
        <v>1092</v>
      </c>
      <c r="M4816">
        <v>0.36</v>
      </c>
      <c r="N4816">
        <v>44</v>
      </c>
      <c r="O4816" t="s">
        <v>52</v>
      </c>
      <c r="Q4816" t="s">
        <v>192</v>
      </c>
      <c r="R4816" t="s">
        <v>5271</v>
      </c>
      <c r="S4816" t="s">
        <v>711</v>
      </c>
    </row>
    <row r="4817" spans="1:19" x14ac:dyDescent="0.25">
      <c r="A4817" t="s">
        <v>59</v>
      </c>
      <c r="B4817" t="s">
        <v>60</v>
      </c>
      <c r="C4817" t="s">
        <v>32</v>
      </c>
      <c r="D4817" t="s">
        <v>673</v>
      </c>
      <c r="E4817" t="s">
        <v>5370</v>
      </c>
      <c r="F4817" t="s">
        <v>35</v>
      </c>
      <c r="G4817" t="s">
        <v>35</v>
      </c>
      <c r="H4817" t="s">
        <v>35</v>
      </c>
      <c r="J4817" t="s">
        <v>5373</v>
      </c>
      <c r="K4817" t="s">
        <v>1092</v>
      </c>
      <c r="M4817">
        <v>1</v>
      </c>
      <c r="N4817">
        <v>44</v>
      </c>
      <c r="O4817" t="s">
        <v>52</v>
      </c>
      <c r="Q4817" t="s">
        <v>192</v>
      </c>
      <c r="R4817" t="s">
        <v>5271</v>
      </c>
      <c r="S4817" t="s">
        <v>711</v>
      </c>
    </row>
    <row r="4818" spans="1:19" x14ac:dyDescent="0.25">
      <c r="A4818" t="s">
        <v>30</v>
      </c>
      <c r="B4818" t="s">
        <v>31</v>
      </c>
      <c r="C4818" t="s">
        <v>32</v>
      </c>
      <c r="D4818" t="s">
        <v>673</v>
      </c>
      <c r="E4818" t="s">
        <v>707</v>
      </c>
      <c r="F4818" t="s">
        <v>35</v>
      </c>
      <c r="G4818" t="s">
        <v>35</v>
      </c>
      <c r="H4818" t="s">
        <v>35</v>
      </c>
      <c r="J4818" t="s">
        <v>316</v>
      </c>
      <c r="K4818" t="s">
        <v>1092</v>
      </c>
      <c r="M4818">
        <v>0.22500000000000001</v>
      </c>
      <c r="N4818">
        <v>27</v>
      </c>
      <c r="O4818" t="s">
        <v>46</v>
      </c>
      <c r="Q4818" t="s">
        <v>1011</v>
      </c>
      <c r="R4818" t="s">
        <v>315</v>
      </c>
      <c r="S4818" t="s">
        <v>316</v>
      </c>
    </row>
    <row r="4819" spans="1:19" x14ac:dyDescent="0.25">
      <c r="A4819" t="s">
        <v>59</v>
      </c>
      <c r="B4819" t="s">
        <v>60</v>
      </c>
      <c r="C4819" t="s">
        <v>32</v>
      </c>
      <c r="D4819" t="s">
        <v>673</v>
      </c>
      <c r="E4819" t="s">
        <v>707</v>
      </c>
      <c r="F4819" t="s">
        <v>35</v>
      </c>
      <c r="G4819" t="s">
        <v>35</v>
      </c>
      <c r="H4819" t="s">
        <v>35</v>
      </c>
      <c r="J4819" t="s">
        <v>5374</v>
      </c>
      <c r="K4819" t="s">
        <v>1092</v>
      </c>
      <c r="M4819">
        <v>10.050000000000001</v>
      </c>
      <c r="N4819">
        <v>82</v>
      </c>
      <c r="O4819" t="s">
        <v>61</v>
      </c>
      <c r="Q4819" t="s">
        <v>447</v>
      </c>
      <c r="R4819" t="s">
        <v>306</v>
      </c>
      <c r="S4819" t="s">
        <v>307</v>
      </c>
    </row>
    <row r="4820" spans="1:19" x14ac:dyDescent="0.25">
      <c r="A4820" t="s">
        <v>30</v>
      </c>
      <c r="B4820" t="s">
        <v>31</v>
      </c>
      <c r="C4820" t="s">
        <v>32</v>
      </c>
      <c r="D4820" t="s">
        <v>673</v>
      </c>
      <c r="E4820" t="s">
        <v>707</v>
      </c>
      <c r="F4820" t="s">
        <v>35</v>
      </c>
      <c r="G4820" t="s">
        <v>35</v>
      </c>
      <c r="H4820" t="s">
        <v>35</v>
      </c>
      <c r="J4820" t="s">
        <v>5375</v>
      </c>
      <c r="K4820" t="s">
        <v>1092</v>
      </c>
      <c r="M4820">
        <v>11.025</v>
      </c>
      <c r="N4820">
        <v>49</v>
      </c>
      <c r="O4820" t="s">
        <v>52</v>
      </c>
      <c r="Q4820" t="s">
        <v>219</v>
      </c>
      <c r="R4820" t="s">
        <v>5271</v>
      </c>
      <c r="S4820" t="s">
        <v>711</v>
      </c>
    </row>
    <row r="4821" spans="1:19" x14ac:dyDescent="0.25">
      <c r="A4821" t="s">
        <v>59</v>
      </c>
      <c r="B4821" t="s">
        <v>60</v>
      </c>
      <c r="C4821" t="s">
        <v>32</v>
      </c>
      <c r="D4821" t="s">
        <v>673</v>
      </c>
      <c r="E4821" t="s">
        <v>707</v>
      </c>
      <c r="F4821" t="s">
        <v>35</v>
      </c>
      <c r="G4821" t="s">
        <v>35</v>
      </c>
      <c r="H4821" t="s">
        <v>35</v>
      </c>
      <c r="J4821" t="s">
        <v>5376</v>
      </c>
      <c r="K4821" t="s">
        <v>1092</v>
      </c>
      <c r="M4821">
        <v>3.4</v>
      </c>
      <c r="N4821">
        <v>350</v>
      </c>
      <c r="O4821" t="s">
        <v>5</v>
      </c>
      <c r="Q4821" t="s">
        <v>1988</v>
      </c>
      <c r="R4821" t="s">
        <v>678</v>
      </c>
      <c r="S4821" t="s">
        <v>679</v>
      </c>
    </row>
    <row r="4822" spans="1:19" x14ac:dyDescent="0.25">
      <c r="A4822" t="s">
        <v>59</v>
      </c>
      <c r="B4822" t="s">
        <v>31</v>
      </c>
      <c r="C4822" t="s">
        <v>32</v>
      </c>
      <c r="D4822" t="s">
        <v>673</v>
      </c>
      <c r="E4822" t="s">
        <v>707</v>
      </c>
      <c r="F4822" t="s">
        <v>35</v>
      </c>
      <c r="G4822" t="s">
        <v>35</v>
      </c>
      <c r="H4822" t="s">
        <v>35</v>
      </c>
      <c r="J4822" t="s">
        <v>3808</v>
      </c>
      <c r="K4822" t="s">
        <v>1092</v>
      </c>
      <c r="M4822">
        <v>0.315</v>
      </c>
      <c r="N4822">
        <v>70</v>
      </c>
      <c r="O4822" t="s">
        <v>61</v>
      </c>
      <c r="Q4822" t="s">
        <v>126</v>
      </c>
      <c r="R4822" t="s">
        <v>315</v>
      </c>
      <c r="S4822" t="s">
        <v>316</v>
      </c>
    </row>
    <row r="4823" spans="1:19" x14ac:dyDescent="0.25">
      <c r="A4823" t="s">
        <v>59</v>
      </c>
      <c r="B4823" t="s">
        <v>31</v>
      </c>
      <c r="C4823" t="s">
        <v>32</v>
      </c>
      <c r="D4823" t="s">
        <v>673</v>
      </c>
      <c r="E4823" t="s">
        <v>707</v>
      </c>
      <c r="F4823" t="s">
        <v>35</v>
      </c>
      <c r="G4823" t="s">
        <v>35</v>
      </c>
      <c r="H4823" t="s">
        <v>35</v>
      </c>
      <c r="J4823" t="s">
        <v>3808</v>
      </c>
      <c r="K4823" t="s">
        <v>1092</v>
      </c>
      <c r="M4823">
        <v>0.495</v>
      </c>
      <c r="N4823">
        <v>75</v>
      </c>
      <c r="O4823" t="s">
        <v>61</v>
      </c>
      <c r="Q4823" t="s">
        <v>805</v>
      </c>
      <c r="R4823" t="s">
        <v>315</v>
      </c>
      <c r="S4823" t="s">
        <v>316</v>
      </c>
    </row>
    <row r="4824" spans="1:19" x14ac:dyDescent="0.25">
      <c r="A4824" t="s">
        <v>30</v>
      </c>
      <c r="B4824" t="s">
        <v>31</v>
      </c>
      <c r="C4824" t="s">
        <v>32</v>
      </c>
      <c r="D4824" t="s">
        <v>673</v>
      </c>
      <c r="E4824" t="s">
        <v>707</v>
      </c>
      <c r="F4824" t="s">
        <v>35</v>
      </c>
      <c r="G4824" t="s">
        <v>35</v>
      </c>
      <c r="H4824" t="s">
        <v>35</v>
      </c>
      <c r="J4824" t="s">
        <v>3808</v>
      </c>
      <c r="K4824" t="s">
        <v>1092</v>
      </c>
      <c r="M4824">
        <v>0.67500000000000004</v>
      </c>
      <c r="N4824">
        <v>52</v>
      </c>
      <c r="O4824" t="s">
        <v>52</v>
      </c>
      <c r="Q4824" t="s">
        <v>1230</v>
      </c>
      <c r="R4824" t="s">
        <v>315</v>
      </c>
      <c r="S4824" t="s">
        <v>316</v>
      </c>
    </row>
    <row r="4825" spans="1:19" x14ac:dyDescent="0.25">
      <c r="A4825" t="s">
        <v>30</v>
      </c>
      <c r="B4825" t="s">
        <v>31</v>
      </c>
      <c r="C4825" t="s">
        <v>32</v>
      </c>
      <c r="D4825" t="s">
        <v>673</v>
      </c>
      <c r="E4825" t="s">
        <v>707</v>
      </c>
      <c r="F4825" t="s">
        <v>35</v>
      </c>
      <c r="G4825" t="s">
        <v>35</v>
      </c>
      <c r="H4825" t="s">
        <v>35</v>
      </c>
      <c r="J4825" t="s">
        <v>5377</v>
      </c>
      <c r="K4825" t="s">
        <v>1092</v>
      </c>
      <c r="M4825">
        <v>0.22500000000000001</v>
      </c>
      <c r="N4825">
        <v>53</v>
      </c>
      <c r="O4825" t="s">
        <v>52</v>
      </c>
      <c r="Q4825" t="s">
        <v>332</v>
      </c>
      <c r="R4825" t="s">
        <v>315</v>
      </c>
      <c r="S4825" t="s">
        <v>316</v>
      </c>
    </row>
    <row r="4826" spans="1:19" x14ac:dyDescent="0.25">
      <c r="A4826" t="s">
        <v>30</v>
      </c>
      <c r="B4826" t="s">
        <v>31</v>
      </c>
      <c r="C4826" t="s">
        <v>32</v>
      </c>
      <c r="D4826" t="s">
        <v>673</v>
      </c>
      <c r="E4826" t="s">
        <v>707</v>
      </c>
      <c r="F4826" t="s">
        <v>35</v>
      </c>
      <c r="G4826" t="s">
        <v>35</v>
      </c>
      <c r="H4826" t="s">
        <v>35</v>
      </c>
      <c r="J4826" t="s">
        <v>1128</v>
      </c>
      <c r="K4826" t="s">
        <v>1092</v>
      </c>
      <c r="M4826">
        <v>0.85499999999999998</v>
      </c>
      <c r="N4826">
        <v>46</v>
      </c>
      <c r="O4826" t="s">
        <v>52</v>
      </c>
      <c r="Q4826" t="s">
        <v>493</v>
      </c>
      <c r="R4826" t="s">
        <v>315</v>
      </c>
      <c r="S4826" t="s">
        <v>316</v>
      </c>
    </row>
    <row r="4827" spans="1:19" x14ac:dyDescent="0.25">
      <c r="A4827" t="s">
        <v>59</v>
      </c>
      <c r="B4827" t="s">
        <v>60</v>
      </c>
      <c r="C4827" t="s">
        <v>32</v>
      </c>
      <c r="D4827" t="s">
        <v>673</v>
      </c>
      <c r="E4827" t="s">
        <v>707</v>
      </c>
      <c r="F4827" t="s">
        <v>35</v>
      </c>
      <c r="G4827" t="s">
        <v>35</v>
      </c>
      <c r="H4827" t="s">
        <v>35</v>
      </c>
      <c r="J4827" t="s">
        <v>1128</v>
      </c>
      <c r="K4827" t="s">
        <v>1092</v>
      </c>
      <c r="M4827">
        <v>0.5</v>
      </c>
      <c r="N4827">
        <v>32</v>
      </c>
      <c r="O4827" t="s">
        <v>52</v>
      </c>
      <c r="Q4827" t="s">
        <v>547</v>
      </c>
      <c r="R4827" t="s">
        <v>315</v>
      </c>
      <c r="S4827" t="s">
        <v>316</v>
      </c>
    </row>
    <row r="4828" spans="1:19" x14ac:dyDescent="0.25">
      <c r="A4828" t="s">
        <v>30</v>
      </c>
      <c r="B4828" t="s">
        <v>31</v>
      </c>
      <c r="C4828" t="s">
        <v>32</v>
      </c>
      <c r="D4828" t="s">
        <v>673</v>
      </c>
      <c r="E4828" t="s">
        <v>707</v>
      </c>
      <c r="F4828" t="s">
        <v>35</v>
      </c>
      <c r="G4828" t="s">
        <v>35</v>
      </c>
      <c r="H4828" t="s">
        <v>35</v>
      </c>
      <c r="J4828" t="s">
        <v>5204</v>
      </c>
      <c r="K4828" t="s">
        <v>1092</v>
      </c>
      <c r="M4828">
        <v>5.58</v>
      </c>
      <c r="N4828">
        <v>53</v>
      </c>
      <c r="O4828" t="s">
        <v>52</v>
      </c>
      <c r="Q4828" t="s">
        <v>332</v>
      </c>
      <c r="R4828" t="s">
        <v>678</v>
      </c>
      <c r="S4828" t="s">
        <v>679</v>
      </c>
    </row>
    <row r="4829" spans="1:19" x14ac:dyDescent="0.25">
      <c r="A4829" t="s">
        <v>30</v>
      </c>
      <c r="B4829" t="s">
        <v>31</v>
      </c>
      <c r="C4829" t="s">
        <v>32</v>
      </c>
      <c r="D4829" t="s">
        <v>673</v>
      </c>
      <c r="E4829" t="s">
        <v>707</v>
      </c>
      <c r="F4829" t="s">
        <v>35</v>
      </c>
      <c r="G4829" t="s">
        <v>35</v>
      </c>
      <c r="H4829" t="s">
        <v>35</v>
      </c>
      <c r="J4829" t="s">
        <v>5378</v>
      </c>
      <c r="K4829" t="s">
        <v>1092</v>
      </c>
      <c r="M4829">
        <v>5.85</v>
      </c>
      <c r="N4829">
        <v>53</v>
      </c>
      <c r="O4829" t="s">
        <v>52</v>
      </c>
      <c r="Q4829" t="s">
        <v>332</v>
      </c>
      <c r="R4829" t="s">
        <v>315</v>
      </c>
      <c r="S4829" t="s">
        <v>316</v>
      </c>
    </row>
    <row r="4830" spans="1:19" x14ac:dyDescent="0.25">
      <c r="A4830" t="s">
        <v>30</v>
      </c>
      <c r="B4830" t="s">
        <v>31</v>
      </c>
      <c r="C4830" t="s">
        <v>32</v>
      </c>
      <c r="D4830" t="s">
        <v>673</v>
      </c>
      <c r="E4830" t="s">
        <v>707</v>
      </c>
      <c r="F4830" t="s">
        <v>35</v>
      </c>
      <c r="G4830" t="s">
        <v>35</v>
      </c>
      <c r="H4830" t="s">
        <v>35</v>
      </c>
      <c r="J4830" t="s">
        <v>5379</v>
      </c>
      <c r="K4830" t="s">
        <v>1092</v>
      </c>
      <c r="M4830">
        <v>1.125</v>
      </c>
      <c r="N4830">
        <v>48</v>
      </c>
      <c r="O4830" t="s">
        <v>52</v>
      </c>
      <c r="Q4830" t="s">
        <v>496</v>
      </c>
      <c r="R4830" t="s">
        <v>315</v>
      </c>
      <c r="S4830" t="s">
        <v>316</v>
      </c>
    </row>
    <row r="4831" spans="1:19" x14ac:dyDescent="0.25">
      <c r="A4831" t="s">
        <v>59</v>
      </c>
      <c r="B4831" t="s">
        <v>60</v>
      </c>
      <c r="C4831" t="s">
        <v>32</v>
      </c>
      <c r="D4831" t="s">
        <v>673</v>
      </c>
      <c r="E4831" t="s">
        <v>707</v>
      </c>
      <c r="F4831" t="s">
        <v>35</v>
      </c>
      <c r="G4831" t="s">
        <v>35</v>
      </c>
      <c r="H4831" t="s">
        <v>35</v>
      </c>
      <c r="J4831" t="s">
        <v>5380</v>
      </c>
      <c r="K4831" t="s">
        <v>1092</v>
      </c>
      <c r="M4831">
        <v>3</v>
      </c>
      <c r="N4831">
        <v>13</v>
      </c>
      <c r="O4831" t="s">
        <v>46</v>
      </c>
      <c r="Q4831" t="s">
        <v>310</v>
      </c>
      <c r="R4831" t="s">
        <v>478</v>
      </c>
      <c r="S4831" t="s">
        <v>479</v>
      </c>
    </row>
    <row r="4832" spans="1:19" x14ac:dyDescent="0.25">
      <c r="A4832" t="s">
        <v>59</v>
      </c>
      <c r="B4832" t="s">
        <v>60</v>
      </c>
      <c r="C4832" t="s">
        <v>32</v>
      </c>
      <c r="D4832" t="s">
        <v>673</v>
      </c>
      <c r="E4832" t="s">
        <v>707</v>
      </c>
      <c r="F4832" t="s">
        <v>35</v>
      </c>
      <c r="G4832" t="s">
        <v>35</v>
      </c>
      <c r="H4832" t="s">
        <v>35</v>
      </c>
      <c r="J4832" t="s">
        <v>5380</v>
      </c>
      <c r="K4832" t="s">
        <v>1092</v>
      </c>
      <c r="M4832">
        <v>6.5</v>
      </c>
      <c r="N4832">
        <v>80</v>
      </c>
      <c r="O4832" t="s">
        <v>61</v>
      </c>
      <c r="Q4832" t="s">
        <v>477</v>
      </c>
      <c r="R4832" t="s">
        <v>478</v>
      </c>
      <c r="S4832" t="s">
        <v>479</v>
      </c>
    </row>
    <row r="4833" spans="1:19" x14ac:dyDescent="0.25">
      <c r="A4833" t="s">
        <v>30</v>
      </c>
      <c r="B4833" t="s">
        <v>31</v>
      </c>
      <c r="C4833" t="s">
        <v>32</v>
      </c>
      <c r="D4833" t="s">
        <v>673</v>
      </c>
      <c r="E4833" t="s">
        <v>707</v>
      </c>
      <c r="F4833" t="s">
        <v>35</v>
      </c>
      <c r="G4833" t="s">
        <v>35</v>
      </c>
      <c r="H4833" t="s">
        <v>35</v>
      </c>
      <c r="J4833" t="s">
        <v>5381</v>
      </c>
      <c r="K4833" t="s">
        <v>1092</v>
      </c>
      <c r="M4833">
        <v>3.375</v>
      </c>
      <c r="N4833">
        <v>44</v>
      </c>
      <c r="O4833" t="s">
        <v>52</v>
      </c>
      <c r="Q4833" t="s">
        <v>192</v>
      </c>
      <c r="R4833" t="s">
        <v>315</v>
      </c>
      <c r="S4833" t="s">
        <v>316</v>
      </c>
    </row>
    <row r="4834" spans="1:19" x14ac:dyDescent="0.25">
      <c r="A4834" t="s">
        <v>59</v>
      </c>
      <c r="B4834" t="s">
        <v>60</v>
      </c>
      <c r="C4834" t="s">
        <v>32</v>
      </c>
      <c r="D4834" t="s">
        <v>673</v>
      </c>
      <c r="E4834" t="s">
        <v>707</v>
      </c>
      <c r="F4834" t="s">
        <v>35</v>
      </c>
      <c r="G4834" t="s">
        <v>35</v>
      </c>
      <c r="H4834" t="s">
        <v>35</v>
      </c>
      <c r="J4834" t="s">
        <v>5376</v>
      </c>
      <c r="K4834" t="s">
        <v>1092</v>
      </c>
      <c r="M4834">
        <v>3</v>
      </c>
      <c r="N4834">
        <v>9</v>
      </c>
      <c r="O4834" t="s">
        <v>46</v>
      </c>
      <c r="Q4834" t="s">
        <v>2009</v>
      </c>
      <c r="R4834" t="s">
        <v>678</v>
      </c>
      <c r="S4834" t="s">
        <v>679</v>
      </c>
    </row>
    <row r="4835" spans="1:19" x14ac:dyDescent="0.25">
      <c r="A4835" t="s">
        <v>30</v>
      </c>
      <c r="B4835" t="s">
        <v>31</v>
      </c>
      <c r="C4835" t="s">
        <v>32</v>
      </c>
      <c r="D4835" t="s">
        <v>673</v>
      </c>
      <c r="E4835" t="s">
        <v>707</v>
      </c>
      <c r="F4835" t="s">
        <v>35</v>
      </c>
      <c r="G4835" t="s">
        <v>35</v>
      </c>
      <c r="H4835" t="s">
        <v>35</v>
      </c>
      <c r="J4835" t="s">
        <v>5382</v>
      </c>
      <c r="K4835" t="s">
        <v>1092</v>
      </c>
      <c r="M4835">
        <v>22.05</v>
      </c>
      <c r="N4835">
        <v>49</v>
      </c>
      <c r="O4835" t="s">
        <v>52</v>
      </c>
      <c r="Q4835" t="s">
        <v>219</v>
      </c>
      <c r="R4835" t="s">
        <v>5271</v>
      </c>
      <c r="S4835" t="s">
        <v>711</v>
      </c>
    </row>
    <row r="4836" spans="1:19" x14ac:dyDescent="0.25">
      <c r="A4836" t="s">
        <v>30</v>
      </c>
      <c r="B4836" t="s">
        <v>31</v>
      </c>
      <c r="C4836" t="s">
        <v>32</v>
      </c>
      <c r="D4836" t="s">
        <v>673</v>
      </c>
      <c r="E4836" t="s">
        <v>707</v>
      </c>
      <c r="F4836" t="s">
        <v>35</v>
      </c>
      <c r="G4836" t="s">
        <v>35</v>
      </c>
      <c r="H4836" t="s">
        <v>35</v>
      </c>
      <c r="J4836" t="s">
        <v>5383</v>
      </c>
      <c r="K4836" t="s">
        <v>1092</v>
      </c>
      <c r="M4836">
        <v>5.625</v>
      </c>
      <c r="N4836">
        <v>53</v>
      </c>
      <c r="O4836" t="s">
        <v>52</v>
      </c>
      <c r="Q4836" t="s">
        <v>332</v>
      </c>
      <c r="R4836" t="s">
        <v>315</v>
      </c>
      <c r="S4836" t="s">
        <v>316</v>
      </c>
    </row>
    <row r="4837" spans="1:19" x14ac:dyDescent="0.25">
      <c r="A4837" t="s">
        <v>30</v>
      </c>
      <c r="B4837" t="s">
        <v>31</v>
      </c>
      <c r="C4837" t="s">
        <v>32</v>
      </c>
      <c r="D4837" t="s">
        <v>673</v>
      </c>
      <c r="E4837" t="s">
        <v>707</v>
      </c>
      <c r="F4837" t="s">
        <v>35</v>
      </c>
      <c r="G4837" t="s">
        <v>35</v>
      </c>
      <c r="H4837" t="s">
        <v>35</v>
      </c>
      <c r="J4837" t="s">
        <v>5385</v>
      </c>
      <c r="K4837" t="s">
        <v>1092</v>
      </c>
      <c r="M4837">
        <v>1.125</v>
      </c>
      <c r="N4837">
        <v>49</v>
      </c>
      <c r="O4837" t="s">
        <v>52</v>
      </c>
      <c r="Q4837" t="s">
        <v>219</v>
      </c>
      <c r="R4837" t="s">
        <v>306</v>
      </c>
      <c r="S4837" t="s">
        <v>307</v>
      </c>
    </row>
    <row r="4838" spans="1:19" x14ac:dyDescent="0.25">
      <c r="A4838" t="s">
        <v>59</v>
      </c>
      <c r="B4838" t="s">
        <v>60</v>
      </c>
      <c r="C4838" t="s">
        <v>32</v>
      </c>
      <c r="D4838" t="s">
        <v>673</v>
      </c>
      <c r="E4838" t="s">
        <v>707</v>
      </c>
      <c r="F4838" t="s">
        <v>35</v>
      </c>
      <c r="G4838" t="s">
        <v>35</v>
      </c>
      <c r="H4838" t="s">
        <v>35</v>
      </c>
      <c r="J4838" t="s">
        <v>5386</v>
      </c>
      <c r="K4838" t="s">
        <v>1092</v>
      </c>
      <c r="M4838">
        <v>0.75</v>
      </c>
      <c r="N4838">
        <v>212</v>
      </c>
      <c r="O4838" t="s">
        <v>5</v>
      </c>
      <c r="Q4838" t="s">
        <v>1711</v>
      </c>
      <c r="R4838" t="s">
        <v>478</v>
      </c>
      <c r="S4838" t="s">
        <v>479</v>
      </c>
    </row>
    <row r="4839" spans="1:19" x14ac:dyDescent="0.25">
      <c r="A4839" t="s">
        <v>30</v>
      </c>
      <c r="B4839" t="s">
        <v>31</v>
      </c>
      <c r="C4839" t="s">
        <v>32</v>
      </c>
      <c r="D4839" t="s">
        <v>673</v>
      </c>
      <c r="E4839" t="s">
        <v>707</v>
      </c>
      <c r="F4839" t="s">
        <v>35</v>
      </c>
      <c r="G4839" t="s">
        <v>35</v>
      </c>
      <c r="H4839" t="s">
        <v>35</v>
      </c>
      <c r="J4839" t="s">
        <v>5386</v>
      </c>
      <c r="K4839" t="s">
        <v>1092</v>
      </c>
      <c r="M4839">
        <v>5.085</v>
      </c>
      <c r="N4839">
        <v>175</v>
      </c>
      <c r="O4839" t="s">
        <v>38</v>
      </c>
      <c r="Q4839" t="s">
        <v>1692</v>
      </c>
      <c r="R4839" t="s">
        <v>478</v>
      </c>
      <c r="S4839" t="s">
        <v>479</v>
      </c>
    </row>
    <row r="4840" spans="1:19" x14ac:dyDescent="0.25">
      <c r="A4840" t="s">
        <v>59</v>
      </c>
      <c r="B4840" t="s">
        <v>60</v>
      </c>
      <c r="C4840" t="s">
        <v>32</v>
      </c>
      <c r="D4840" t="s">
        <v>673</v>
      </c>
      <c r="E4840" t="s">
        <v>707</v>
      </c>
      <c r="F4840" t="s">
        <v>35</v>
      </c>
      <c r="G4840" t="s">
        <v>35</v>
      </c>
      <c r="H4840" t="s">
        <v>35</v>
      </c>
      <c r="J4840" t="s">
        <v>5387</v>
      </c>
      <c r="K4840" t="s">
        <v>1092</v>
      </c>
      <c r="M4840">
        <v>0.75</v>
      </c>
      <c r="N4840">
        <v>44</v>
      </c>
      <c r="O4840" t="s">
        <v>52</v>
      </c>
      <c r="Q4840" t="s">
        <v>192</v>
      </c>
      <c r="R4840" t="s">
        <v>5271</v>
      </c>
      <c r="S4840" t="s">
        <v>711</v>
      </c>
    </row>
    <row r="4841" spans="1:19" x14ac:dyDescent="0.25">
      <c r="A4841" t="s">
        <v>30</v>
      </c>
      <c r="B4841" t="s">
        <v>31</v>
      </c>
      <c r="C4841" t="s">
        <v>32</v>
      </c>
      <c r="D4841" t="s">
        <v>673</v>
      </c>
      <c r="E4841" t="s">
        <v>707</v>
      </c>
      <c r="F4841" t="s">
        <v>35</v>
      </c>
      <c r="G4841" t="s">
        <v>35</v>
      </c>
      <c r="H4841" t="s">
        <v>35</v>
      </c>
      <c r="J4841" t="s">
        <v>5387</v>
      </c>
      <c r="K4841" t="s">
        <v>1092</v>
      </c>
      <c r="M4841">
        <v>3.6</v>
      </c>
      <c r="N4841">
        <v>32</v>
      </c>
      <c r="O4841" t="s">
        <v>52</v>
      </c>
      <c r="Q4841" t="s">
        <v>547</v>
      </c>
      <c r="R4841" t="s">
        <v>5271</v>
      </c>
      <c r="S4841" t="s">
        <v>711</v>
      </c>
    </row>
    <row r="4842" spans="1:19" x14ac:dyDescent="0.25">
      <c r="A4842" t="s">
        <v>30</v>
      </c>
      <c r="B4842" t="s">
        <v>31</v>
      </c>
      <c r="C4842" t="s">
        <v>32</v>
      </c>
      <c r="D4842" t="s">
        <v>673</v>
      </c>
      <c r="E4842" t="s">
        <v>707</v>
      </c>
      <c r="F4842" t="s">
        <v>35</v>
      </c>
      <c r="G4842" t="s">
        <v>35</v>
      </c>
      <c r="H4842" t="s">
        <v>35</v>
      </c>
      <c r="J4842" t="s">
        <v>5388</v>
      </c>
      <c r="K4842" t="s">
        <v>1092</v>
      </c>
      <c r="M4842">
        <v>0.45</v>
      </c>
      <c r="N4842">
        <v>124</v>
      </c>
      <c r="O4842" t="s">
        <v>38</v>
      </c>
      <c r="Q4842" t="s">
        <v>406</v>
      </c>
      <c r="R4842" t="s">
        <v>315</v>
      </c>
      <c r="S4842" t="s">
        <v>316</v>
      </c>
    </row>
    <row r="4843" spans="1:19" x14ac:dyDescent="0.25">
      <c r="A4843" t="s">
        <v>59</v>
      </c>
      <c r="B4843" t="s">
        <v>60</v>
      </c>
      <c r="C4843" t="s">
        <v>32</v>
      </c>
      <c r="D4843" t="s">
        <v>673</v>
      </c>
      <c r="E4843" t="s">
        <v>717</v>
      </c>
      <c r="F4843" t="s">
        <v>35</v>
      </c>
      <c r="G4843" t="s">
        <v>35</v>
      </c>
      <c r="H4843" t="s">
        <v>35</v>
      </c>
      <c r="J4843" t="s">
        <v>1491</v>
      </c>
      <c r="K4843" t="s">
        <v>1092</v>
      </c>
      <c r="M4843">
        <v>0.05</v>
      </c>
      <c r="N4843">
        <v>349</v>
      </c>
      <c r="O4843" t="s">
        <v>5</v>
      </c>
      <c r="Q4843" t="s">
        <v>3644</v>
      </c>
      <c r="R4843" t="s">
        <v>478</v>
      </c>
      <c r="S4843" t="s">
        <v>479</v>
      </c>
    </row>
    <row r="4844" spans="1:19" x14ac:dyDescent="0.25">
      <c r="A4844" t="s">
        <v>30</v>
      </c>
      <c r="B4844" t="s">
        <v>31</v>
      </c>
      <c r="C4844" t="s">
        <v>32</v>
      </c>
      <c r="D4844" t="s">
        <v>673</v>
      </c>
      <c r="E4844" t="s">
        <v>717</v>
      </c>
      <c r="F4844" t="s">
        <v>35</v>
      </c>
      <c r="G4844" t="s">
        <v>35</v>
      </c>
      <c r="H4844" t="s">
        <v>35</v>
      </c>
      <c r="J4844" t="s">
        <v>5389</v>
      </c>
      <c r="K4844" t="s">
        <v>1092</v>
      </c>
      <c r="M4844">
        <v>4.4999999999999998E-2</v>
      </c>
      <c r="N4844">
        <v>174</v>
      </c>
      <c r="O4844" t="s">
        <v>38</v>
      </c>
      <c r="Q4844" t="s">
        <v>1565</v>
      </c>
      <c r="R4844" t="s">
        <v>315</v>
      </c>
      <c r="S4844" t="s">
        <v>316</v>
      </c>
    </row>
    <row r="4845" spans="1:19" x14ac:dyDescent="0.25">
      <c r="A4845" t="s">
        <v>59</v>
      </c>
      <c r="B4845" t="s">
        <v>60</v>
      </c>
      <c r="C4845" t="s">
        <v>32</v>
      </c>
      <c r="D4845" t="s">
        <v>673</v>
      </c>
      <c r="E4845" t="s">
        <v>717</v>
      </c>
      <c r="F4845" t="s">
        <v>35</v>
      </c>
      <c r="G4845" t="s">
        <v>35</v>
      </c>
      <c r="H4845" t="s">
        <v>35</v>
      </c>
      <c r="J4845" t="s">
        <v>5390</v>
      </c>
      <c r="K4845" t="s">
        <v>1092</v>
      </c>
      <c r="M4845">
        <v>0.1</v>
      </c>
      <c r="N4845">
        <v>167</v>
      </c>
      <c r="O4845" t="s">
        <v>38</v>
      </c>
      <c r="Q4845" t="s">
        <v>1120</v>
      </c>
      <c r="R4845" t="s">
        <v>478</v>
      </c>
      <c r="S4845" t="s">
        <v>479</v>
      </c>
    </row>
    <row r="4846" spans="1:19" x14ac:dyDescent="0.25">
      <c r="A4846" t="s">
        <v>30</v>
      </c>
      <c r="B4846" t="s">
        <v>31</v>
      </c>
      <c r="C4846" t="s">
        <v>32</v>
      </c>
      <c r="D4846" t="s">
        <v>673</v>
      </c>
      <c r="E4846" t="s">
        <v>717</v>
      </c>
      <c r="F4846" t="s">
        <v>35</v>
      </c>
      <c r="G4846" t="s">
        <v>35</v>
      </c>
      <c r="H4846" t="s">
        <v>35</v>
      </c>
      <c r="J4846" t="s">
        <v>5391</v>
      </c>
      <c r="K4846" t="s">
        <v>1092</v>
      </c>
      <c r="M4846">
        <v>4.1849999999999996</v>
      </c>
      <c r="N4846">
        <v>50</v>
      </c>
      <c r="O4846" t="s">
        <v>52</v>
      </c>
      <c r="Q4846" t="s">
        <v>425</v>
      </c>
      <c r="R4846" t="s">
        <v>5239</v>
      </c>
      <c r="S4846" t="s">
        <v>5240</v>
      </c>
    </row>
    <row r="4847" spans="1:19" x14ac:dyDescent="0.25">
      <c r="A4847" t="s">
        <v>59</v>
      </c>
      <c r="B4847" t="s">
        <v>31</v>
      </c>
      <c r="C4847" t="s">
        <v>32</v>
      </c>
      <c r="D4847" t="s">
        <v>673</v>
      </c>
      <c r="E4847" t="s">
        <v>717</v>
      </c>
      <c r="F4847" t="s">
        <v>35</v>
      </c>
      <c r="G4847" t="s">
        <v>35</v>
      </c>
      <c r="H4847" t="s">
        <v>35</v>
      </c>
      <c r="J4847" t="s">
        <v>5392</v>
      </c>
      <c r="K4847" t="s">
        <v>1092</v>
      </c>
      <c r="M4847">
        <v>2.3849999999999998</v>
      </c>
      <c r="N4847">
        <v>75</v>
      </c>
      <c r="O4847" t="s">
        <v>61</v>
      </c>
      <c r="Q4847" t="s">
        <v>805</v>
      </c>
      <c r="R4847" t="s">
        <v>315</v>
      </c>
      <c r="S4847" t="s">
        <v>316</v>
      </c>
    </row>
    <row r="4848" spans="1:19" x14ac:dyDescent="0.25">
      <c r="A4848" t="s">
        <v>59</v>
      </c>
      <c r="B4848" t="s">
        <v>60</v>
      </c>
      <c r="C4848" t="s">
        <v>32</v>
      </c>
      <c r="D4848" t="s">
        <v>673</v>
      </c>
      <c r="E4848" t="s">
        <v>717</v>
      </c>
      <c r="F4848" t="s">
        <v>35</v>
      </c>
      <c r="G4848" t="s">
        <v>35</v>
      </c>
      <c r="H4848" t="s">
        <v>35</v>
      </c>
      <c r="J4848" t="s">
        <v>5393</v>
      </c>
      <c r="K4848" t="s">
        <v>1092</v>
      </c>
      <c r="M4848">
        <v>5.0000000000000001E-3</v>
      </c>
      <c r="N4848">
        <v>2453</v>
      </c>
      <c r="O4848" t="s">
        <v>575</v>
      </c>
      <c r="Q4848" t="s">
        <v>5394</v>
      </c>
      <c r="R4848" t="s">
        <v>5320</v>
      </c>
      <c r="S4848" t="s">
        <v>675</v>
      </c>
    </row>
    <row r="4849" spans="1:19" x14ac:dyDescent="0.25">
      <c r="A4849" t="s">
        <v>30</v>
      </c>
      <c r="B4849" t="s">
        <v>31</v>
      </c>
      <c r="C4849" t="s">
        <v>32</v>
      </c>
      <c r="D4849" t="s">
        <v>673</v>
      </c>
      <c r="E4849" t="s">
        <v>717</v>
      </c>
      <c r="F4849" t="s">
        <v>35</v>
      </c>
      <c r="G4849" t="s">
        <v>35</v>
      </c>
      <c r="H4849" t="s">
        <v>35</v>
      </c>
      <c r="J4849" t="s">
        <v>5395</v>
      </c>
      <c r="K4849" t="s">
        <v>1092</v>
      </c>
      <c r="M4849">
        <v>1.125</v>
      </c>
      <c r="N4849">
        <v>41</v>
      </c>
      <c r="O4849" t="s">
        <v>52</v>
      </c>
      <c r="Q4849" t="s">
        <v>249</v>
      </c>
      <c r="R4849" t="s">
        <v>315</v>
      </c>
      <c r="S4849" t="s">
        <v>316</v>
      </c>
    </row>
    <row r="4850" spans="1:19" x14ac:dyDescent="0.25">
      <c r="A4850" t="s">
        <v>30</v>
      </c>
      <c r="B4850" t="s">
        <v>31</v>
      </c>
      <c r="C4850" t="s">
        <v>32</v>
      </c>
      <c r="D4850" t="s">
        <v>673</v>
      </c>
      <c r="E4850" t="s">
        <v>717</v>
      </c>
      <c r="F4850" t="s">
        <v>35</v>
      </c>
      <c r="G4850" t="s">
        <v>35</v>
      </c>
      <c r="H4850" t="s">
        <v>35</v>
      </c>
      <c r="J4850" t="s">
        <v>5395</v>
      </c>
      <c r="K4850" t="s">
        <v>1092</v>
      </c>
      <c r="M4850">
        <v>2.4750000000000001</v>
      </c>
      <c r="N4850">
        <v>49</v>
      </c>
      <c r="O4850" t="s">
        <v>52</v>
      </c>
      <c r="Q4850" t="s">
        <v>219</v>
      </c>
      <c r="R4850" t="s">
        <v>5271</v>
      </c>
      <c r="S4850" t="s">
        <v>711</v>
      </c>
    </row>
    <row r="4851" spans="1:19" x14ac:dyDescent="0.25">
      <c r="A4851" t="s">
        <v>30</v>
      </c>
      <c r="B4851" t="s">
        <v>31</v>
      </c>
      <c r="C4851" t="s">
        <v>32</v>
      </c>
      <c r="D4851" t="s">
        <v>673</v>
      </c>
      <c r="F4851" t="s">
        <v>35</v>
      </c>
      <c r="G4851" t="s">
        <v>35</v>
      </c>
      <c r="H4851" t="s">
        <v>35</v>
      </c>
      <c r="J4851" t="s">
        <v>5396</v>
      </c>
      <c r="K4851" t="s">
        <v>1092</v>
      </c>
      <c r="M4851">
        <v>2.0249999999999999</v>
      </c>
      <c r="N4851">
        <v>35</v>
      </c>
      <c r="O4851" t="s">
        <v>52</v>
      </c>
      <c r="Q4851" t="s">
        <v>48</v>
      </c>
      <c r="R4851" t="s">
        <v>5256</v>
      </c>
      <c r="S4851" t="s">
        <v>5257</v>
      </c>
    </row>
    <row r="4852" spans="1:19" x14ac:dyDescent="0.25">
      <c r="A4852" t="s">
        <v>30</v>
      </c>
      <c r="B4852" t="s">
        <v>31</v>
      </c>
      <c r="C4852" t="s">
        <v>32</v>
      </c>
      <c r="D4852" t="s">
        <v>673</v>
      </c>
      <c r="F4852" t="s">
        <v>35</v>
      </c>
      <c r="G4852" t="s">
        <v>35</v>
      </c>
      <c r="H4852" t="s">
        <v>35</v>
      </c>
      <c r="J4852" t="s">
        <v>5204</v>
      </c>
      <c r="K4852" t="s">
        <v>1092</v>
      </c>
      <c r="M4852">
        <v>0.22500000000000001</v>
      </c>
      <c r="N4852">
        <v>2673</v>
      </c>
      <c r="O4852" t="s">
        <v>575</v>
      </c>
      <c r="Q4852" t="s">
        <v>1486</v>
      </c>
      <c r="R4852" t="s">
        <v>1487</v>
      </c>
      <c r="S4852" t="s">
        <v>1488</v>
      </c>
    </row>
    <row r="4853" spans="1:19" x14ac:dyDescent="0.25">
      <c r="A4853" t="s">
        <v>59</v>
      </c>
      <c r="B4853" t="s">
        <v>60</v>
      </c>
      <c r="C4853" t="s">
        <v>32</v>
      </c>
      <c r="D4853" t="s">
        <v>673</v>
      </c>
      <c r="F4853" t="s">
        <v>35</v>
      </c>
      <c r="G4853" t="s">
        <v>35</v>
      </c>
      <c r="H4853" t="s">
        <v>35</v>
      </c>
      <c r="J4853" t="s">
        <v>3870</v>
      </c>
      <c r="K4853" t="s">
        <v>1092</v>
      </c>
      <c r="M4853">
        <v>0.75</v>
      </c>
      <c r="N4853">
        <v>1603</v>
      </c>
      <c r="O4853" t="s">
        <v>575</v>
      </c>
      <c r="Q4853" t="s">
        <v>4614</v>
      </c>
      <c r="R4853" t="s">
        <v>5273</v>
      </c>
      <c r="S4853" t="s">
        <v>5274</v>
      </c>
    </row>
    <row r="4854" spans="1:19" x14ac:dyDescent="0.25">
      <c r="A4854" t="s">
        <v>59</v>
      </c>
      <c r="B4854" t="s">
        <v>60</v>
      </c>
      <c r="C4854" t="s">
        <v>32</v>
      </c>
      <c r="D4854" t="s">
        <v>673</v>
      </c>
      <c r="F4854" t="s">
        <v>35</v>
      </c>
      <c r="G4854" t="s">
        <v>35</v>
      </c>
      <c r="H4854" t="s">
        <v>35</v>
      </c>
      <c r="J4854" t="s">
        <v>3870</v>
      </c>
      <c r="K4854" t="s">
        <v>1092</v>
      </c>
      <c r="M4854">
        <v>0.85</v>
      </c>
      <c r="N4854">
        <v>1594</v>
      </c>
      <c r="O4854" t="s">
        <v>575</v>
      </c>
      <c r="Q4854" t="s">
        <v>5397</v>
      </c>
      <c r="R4854" t="s">
        <v>5273</v>
      </c>
      <c r="S4854" t="s">
        <v>5274</v>
      </c>
    </row>
    <row r="4855" spans="1:19" x14ac:dyDescent="0.25">
      <c r="A4855" t="s">
        <v>59</v>
      </c>
      <c r="B4855" t="s">
        <v>60</v>
      </c>
      <c r="C4855" t="s">
        <v>32</v>
      </c>
      <c r="D4855" t="s">
        <v>673</v>
      </c>
      <c r="F4855" t="s">
        <v>35</v>
      </c>
      <c r="G4855" t="s">
        <v>35</v>
      </c>
      <c r="H4855" t="s">
        <v>35</v>
      </c>
      <c r="J4855" t="s">
        <v>8248</v>
      </c>
      <c r="K4855" t="s">
        <v>1092</v>
      </c>
      <c r="M4855">
        <v>2.5</v>
      </c>
      <c r="N4855">
        <v>18</v>
      </c>
      <c r="O4855" t="s">
        <v>46</v>
      </c>
      <c r="Q4855" t="s">
        <v>1476</v>
      </c>
      <c r="R4855" t="s">
        <v>5271</v>
      </c>
      <c r="S4855" t="s">
        <v>711</v>
      </c>
    </row>
    <row r="4856" spans="1:19" x14ac:dyDescent="0.25">
      <c r="A4856" t="s">
        <v>59</v>
      </c>
      <c r="B4856" t="s">
        <v>60</v>
      </c>
      <c r="C4856" t="s">
        <v>32</v>
      </c>
      <c r="D4856" t="s">
        <v>673</v>
      </c>
      <c r="F4856" t="s">
        <v>35</v>
      </c>
      <c r="G4856" t="s">
        <v>35</v>
      </c>
      <c r="H4856" t="s">
        <v>35</v>
      </c>
      <c r="J4856" t="s">
        <v>5398</v>
      </c>
      <c r="K4856" t="s">
        <v>1092</v>
      </c>
      <c r="M4856">
        <v>4.4000000000000004</v>
      </c>
      <c r="N4856">
        <v>81</v>
      </c>
      <c r="O4856" t="s">
        <v>61</v>
      </c>
      <c r="Q4856" t="s">
        <v>527</v>
      </c>
      <c r="R4856" t="s">
        <v>315</v>
      </c>
      <c r="S4856" t="s">
        <v>316</v>
      </c>
    </row>
    <row r="4857" spans="1:19" x14ac:dyDescent="0.25">
      <c r="A4857" t="s">
        <v>30</v>
      </c>
      <c r="B4857" t="s">
        <v>31</v>
      </c>
      <c r="C4857" t="s">
        <v>32</v>
      </c>
      <c r="D4857" t="s">
        <v>673</v>
      </c>
      <c r="F4857" t="s">
        <v>35</v>
      </c>
      <c r="G4857" t="s">
        <v>35</v>
      </c>
      <c r="H4857" t="s">
        <v>35</v>
      </c>
      <c r="J4857" t="s">
        <v>5398</v>
      </c>
      <c r="K4857" t="s">
        <v>1092</v>
      </c>
      <c r="M4857">
        <v>2.52</v>
      </c>
      <c r="N4857">
        <v>53</v>
      </c>
      <c r="O4857" t="s">
        <v>52</v>
      </c>
      <c r="Q4857" t="s">
        <v>332</v>
      </c>
      <c r="R4857" t="s">
        <v>315</v>
      </c>
      <c r="S4857" t="s">
        <v>316</v>
      </c>
    </row>
    <row r="4858" spans="1:19" x14ac:dyDescent="0.25">
      <c r="A4858" t="s">
        <v>59</v>
      </c>
      <c r="B4858" t="s">
        <v>60</v>
      </c>
      <c r="C4858" t="s">
        <v>32</v>
      </c>
      <c r="D4858" t="s">
        <v>673</v>
      </c>
      <c r="F4858" t="s">
        <v>35</v>
      </c>
      <c r="G4858" t="s">
        <v>35</v>
      </c>
      <c r="H4858" t="s">
        <v>35</v>
      </c>
      <c r="J4858" t="s">
        <v>5314</v>
      </c>
      <c r="K4858" t="s">
        <v>1092</v>
      </c>
      <c r="M4858">
        <v>0.1</v>
      </c>
      <c r="N4858">
        <v>247</v>
      </c>
      <c r="O4858" t="s">
        <v>5</v>
      </c>
      <c r="Q4858" t="s">
        <v>574</v>
      </c>
      <c r="R4858" t="s">
        <v>5360</v>
      </c>
      <c r="S4858" t="s">
        <v>5361</v>
      </c>
    </row>
    <row r="4859" spans="1:19" x14ac:dyDescent="0.25">
      <c r="A4859" t="s">
        <v>30</v>
      </c>
      <c r="B4859" t="s">
        <v>31</v>
      </c>
      <c r="C4859" t="s">
        <v>32</v>
      </c>
      <c r="D4859" t="s">
        <v>673</v>
      </c>
      <c r="F4859" t="s">
        <v>35</v>
      </c>
      <c r="G4859" t="s">
        <v>35</v>
      </c>
      <c r="H4859" t="s">
        <v>35</v>
      </c>
      <c r="J4859" t="s">
        <v>5399</v>
      </c>
      <c r="K4859" t="s">
        <v>1092</v>
      </c>
      <c r="M4859">
        <v>1.125</v>
      </c>
      <c r="N4859">
        <v>1312</v>
      </c>
      <c r="O4859" t="s">
        <v>575</v>
      </c>
      <c r="Q4859" t="s">
        <v>5401</v>
      </c>
      <c r="R4859" t="s">
        <v>5256</v>
      </c>
      <c r="S4859" t="s">
        <v>5257</v>
      </c>
    </row>
    <row r="4860" spans="1:19" x14ac:dyDescent="0.25">
      <c r="A4860" t="s">
        <v>30</v>
      </c>
      <c r="B4860" t="s">
        <v>31</v>
      </c>
      <c r="C4860" t="s">
        <v>32</v>
      </c>
      <c r="D4860" t="s">
        <v>673</v>
      </c>
      <c r="F4860" t="s">
        <v>35</v>
      </c>
      <c r="G4860" t="s">
        <v>35</v>
      </c>
      <c r="H4860" t="s">
        <v>35</v>
      </c>
      <c r="J4860" t="s">
        <v>5399</v>
      </c>
      <c r="K4860" t="s">
        <v>1092</v>
      </c>
      <c r="M4860">
        <v>0.45</v>
      </c>
      <c r="N4860">
        <v>1489</v>
      </c>
      <c r="O4860" t="s">
        <v>575</v>
      </c>
      <c r="Q4860" t="s">
        <v>5400</v>
      </c>
      <c r="R4860" t="s">
        <v>5256</v>
      </c>
      <c r="S4860" t="s">
        <v>5257</v>
      </c>
    </row>
    <row r="4861" spans="1:19" x14ac:dyDescent="0.25">
      <c r="A4861" t="s">
        <v>30</v>
      </c>
      <c r="B4861" t="s">
        <v>31</v>
      </c>
      <c r="C4861" t="s">
        <v>32</v>
      </c>
      <c r="D4861" t="s">
        <v>673</v>
      </c>
      <c r="F4861" t="s">
        <v>35</v>
      </c>
      <c r="G4861" t="s">
        <v>35</v>
      </c>
      <c r="H4861" t="s">
        <v>35</v>
      </c>
      <c r="J4861" t="s">
        <v>5399</v>
      </c>
      <c r="K4861" t="s">
        <v>1092</v>
      </c>
      <c r="M4861">
        <v>1.125</v>
      </c>
      <c r="N4861">
        <v>1197</v>
      </c>
      <c r="O4861" t="s">
        <v>575</v>
      </c>
      <c r="Q4861" t="s">
        <v>2473</v>
      </c>
      <c r="R4861" t="s">
        <v>5273</v>
      </c>
      <c r="S4861" t="s">
        <v>5274</v>
      </c>
    </row>
    <row r="4862" spans="1:19" x14ac:dyDescent="0.25">
      <c r="A4862" t="s">
        <v>59</v>
      </c>
      <c r="B4862" t="s">
        <v>60</v>
      </c>
      <c r="C4862" t="s">
        <v>32</v>
      </c>
      <c r="D4862" t="s">
        <v>673</v>
      </c>
      <c r="F4862" t="s">
        <v>35</v>
      </c>
      <c r="G4862" t="s">
        <v>35</v>
      </c>
      <c r="H4862" t="s">
        <v>35</v>
      </c>
      <c r="J4862" t="s">
        <v>5399</v>
      </c>
      <c r="K4862" t="s">
        <v>1092</v>
      </c>
      <c r="M4862">
        <v>0.25</v>
      </c>
      <c r="N4862">
        <v>312</v>
      </c>
      <c r="O4862" t="s">
        <v>5</v>
      </c>
      <c r="Q4862" t="s">
        <v>4818</v>
      </c>
      <c r="R4862" t="s">
        <v>5256</v>
      </c>
      <c r="S4862" t="s">
        <v>5257</v>
      </c>
    </row>
    <row r="4863" spans="1:19" x14ac:dyDescent="0.25">
      <c r="A4863" t="s">
        <v>59</v>
      </c>
      <c r="B4863" t="s">
        <v>60</v>
      </c>
      <c r="C4863" t="s">
        <v>32</v>
      </c>
      <c r="D4863" t="s">
        <v>673</v>
      </c>
      <c r="F4863" t="s">
        <v>35</v>
      </c>
      <c r="G4863" t="s">
        <v>35</v>
      </c>
      <c r="H4863" t="s">
        <v>35</v>
      </c>
      <c r="J4863" t="s">
        <v>5402</v>
      </c>
      <c r="K4863" t="s">
        <v>1092</v>
      </c>
      <c r="M4863">
        <v>1.5</v>
      </c>
      <c r="N4863">
        <v>1973</v>
      </c>
      <c r="O4863" t="s">
        <v>575</v>
      </c>
      <c r="Q4863" t="s">
        <v>5403</v>
      </c>
      <c r="R4863" t="s">
        <v>478</v>
      </c>
      <c r="S4863" t="s">
        <v>479</v>
      </c>
    </row>
    <row r="4864" spans="1:19" x14ac:dyDescent="0.25">
      <c r="A4864" t="s">
        <v>30</v>
      </c>
      <c r="B4864" t="s">
        <v>31</v>
      </c>
      <c r="C4864" t="s">
        <v>32</v>
      </c>
      <c r="D4864" t="s">
        <v>673</v>
      </c>
      <c r="F4864" t="s">
        <v>35</v>
      </c>
      <c r="G4864" t="s">
        <v>35</v>
      </c>
      <c r="H4864" t="s">
        <v>35</v>
      </c>
      <c r="J4864" t="s">
        <v>5404</v>
      </c>
      <c r="K4864" t="s">
        <v>1092</v>
      </c>
      <c r="M4864">
        <v>0.40500000000000003</v>
      </c>
      <c r="N4864">
        <v>2532</v>
      </c>
      <c r="O4864" t="s">
        <v>575</v>
      </c>
      <c r="Q4864" t="s">
        <v>5405</v>
      </c>
      <c r="R4864" t="s">
        <v>5406</v>
      </c>
      <c r="S4864" t="s">
        <v>5407</v>
      </c>
    </row>
    <row r="4865" spans="1:19" x14ac:dyDescent="0.25">
      <c r="A4865" t="s">
        <v>59</v>
      </c>
      <c r="B4865" t="s">
        <v>60</v>
      </c>
      <c r="C4865" t="s">
        <v>32</v>
      </c>
      <c r="D4865" t="s">
        <v>673</v>
      </c>
      <c r="F4865" t="s">
        <v>35</v>
      </c>
      <c r="G4865" t="s">
        <v>35</v>
      </c>
      <c r="H4865" t="s">
        <v>35</v>
      </c>
      <c r="J4865" t="s">
        <v>5409</v>
      </c>
      <c r="K4865" t="s">
        <v>1092</v>
      </c>
      <c r="M4865">
        <v>0.65</v>
      </c>
      <c r="N4865">
        <v>1595</v>
      </c>
      <c r="O4865" t="s">
        <v>575</v>
      </c>
      <c r="Q4865" t="s">
        <v>5410</v>
      </c>
      <c r="R4865" t="s">
        <v>5406</v>
      </c>
      <c r="S4865" t="s">
        <v>5407</v>
      </c>
    </row>
    <row r="4866" spans="1:19" x14ac:dyDescent="0.25">
      <c r="A4866" t="s">
        <v>30</v>
      </c>
      <c r="B4866" t="s">
        <v>31</v>
      </c>
      <c r="C4866" t="s">
        <v>32</v>
      </c>
      <c r="D4866" t="s">
        <v>673</v>
      </c>
      <c r="F4866" t="s">
        <v>35</v>
      </c>
      <c r="G4866" t="s">
        <v>35</v>
      </c>
      <c r="H4866" t="s">
        <v>35</v>
      </c>
      <c r="J4866" t="s">
        <v>5411</v>
      </c>
      <c r="K4866" t="s">
        <v>1092</v>
      </c>
      <c r="M4866">
        <v>0.01</v>
      </c>
      <c r="N4866">
        <v>2574</v>
      </c>
      <c r="O4866" t="s">
        <v>575</v>
      </c>
      <c r="Q4866" t="s">
        <v>5412</v>
      </c>
      <c r="R4866" t="s">
        <v>5273</v>
      </c>
      <c r="S4866" t="s">
        <v>5274</v>
      </c>
    </row>
    <row r="4867" spans="1:19" x14ac:dyDescent="0.25">
      <c r="A4867" t="s">
        <v>30</v>
      </c>
      <c r="B4867" t="s">
        <v>31</v>
      </c>
      <c r="C4867" t="s">
        <v>32</v>
      </c>
      <c r="D4867" t="s">
        <v>673</v>
      </c>
      <c r="F4867" t="s">
        <v>35</v>
      </c>
      <c r="G4867" t="s">
        <v>35</v>
      </c>
      <c r="H4867" t="s">
        <v>35</v>
      </c>
      <c r="J4867" t="s">
        <v>5413</v>
      </c>
      <c r="K4867" t="s">
        <v>1092</v>
      </c>
      <c r="M4867">
        <v>2.3849999999999998</v>
      </c>
      <c r="N4867">
        <v>2539</v>
      </c>
      <c r="O4867" t="s">
        <v>575</v>
      </c>
      <c r="Q4867" t="s">
        <v>5414</v>
      </c>
      <c r="R4867" t="s">
        <v>315</v>
      </c>
      <c r="S4867" t="s">
        <v>316</v>
      </c>
    </row>
    <row r="4868" spans="1:19" x14ac:dyDescent="0.25">
      <c r="A4868" t="s">
        <v>30</v>
      </c>
      <c r="B4868" t="s">
        <v>31</v>
      </c>
      <c r="C4868" t="s">
        <v>32</v>
      </c>
      <c r="D4868" t="s">
        <v>673</v>
      </c>
      <c r="F4868" t="s">
        <v>35</v>
      </c>
      <c r="G4868" t="s">
        <v>35</v>
      </c>
      <c r="H4868" t="s">
        <v>35</v>
      </c>
      <c r="J4868" t="s">
        <v>5415</v>
      </c>
      <c r="K4868" t="s">
        <v>1092</v>
      </c>
      <c r="M4868">
        <v>3.33</v>
      </c>
      <c r="N4868">
        <v>53</v>
      </c>
      <c r="O4868" t="s">
        <v>52</v>
      </c>
      <c r="Q4868" t="s">
        <v>332</v>
      </c>
      <c r="R4868" t="s">
        <v>315</v>
      </c>
      <c r="S4868" t="s">
        <v>316</v>
      </c>
    </row>
    <row r="4869" spans="1:19" x14ac:dyDescent="0.25">
      <c r="A4869" t="s">
        <v>59</v>
      </c>
      <c r="B4869" t="s">
        <v>31</v>
      </c>
      <c r="C4869" t="s">
        <v>32</v>
      </c>
      <c r="D4869" t="s">
        <v>673</v>
      </c>
      <c r="F4869" t="s">
        <v>35</v>
      </c>
      <c r="G4869" t="s">
        <v>35</v>
      </c>
      <c r="H4869" t="s">
        <v>35</v>
      </c>
      <c r="J4869" t="s">
        <v>5416</v>
      </c>
      <c r="K4869" t="s">
        <v>1092</v>
      </c>
      <c r="M4869">
        <v>3.33</v>
      </c>
      <c r="N4869">
        <v>923</v>
      </c>
      <c r="O4869" t="s">
        <v>575</v>
      </c>
      <c r="Q4869" t="s">
        <v>5417</v>
      </c>
      <c r="R4869" t="s">
        <v>5271</v>
      </c>
      <c r="S4869" t="s">
        <v>711</v>
      </c>
    </row>
    <row r="4870" spans="1:19" x14ac:dyDescent="0.25">
      <c r="A4870" t="s">
        <v>59</v>
      </c>
      <c r="B4870" t="s">
        <v>60</v>
      </c>
      <c r="C4870" t="s">
        <v>32</v>
      </c>
      <c r="D4870" t="s">
        <v>673</v>
      </c>
      <c r="F4870" t="s">
        <v>35</v>
      </c>
      <c r="G4870" t="s">
        <v>35</v>
      </c>
      <c r="H4870" t="s">
        <v>35</v>
      </c>
      <c r="J4870" t="s">
        <v>5418</v>
      </c>
      <c r="K4870" t="s">
        <v>1092</v>
      </c>
      <c r="M4870">
        <v>0.05</v>
      </c>
      <c r="N4870">
        <v>33</v>
      </c>
      <c r="O4870" t="s">
        <v>52</v>
      </c>
      <c r="Q4870" t="s">
        <v>137</v>
      </c>
      <c r="R4870" t="s">
        <v>5360</v>
      </c>
      <c r="S4870" t="s">
        <v>5361</v>
      </c>
    </row>
    <row r="4871" spans="1:19" x14ac:dyDescent="0.25">
      <c r="A4871" t="s">
        <v>30</v>
      </c>
      <c r="B4871" t="s">
        <v>31</v>
      </c>
      <c r="C4871" t="s">
        <v>32</v>
      </c>
      <c r="D4871" t="s">
        <v>719</v>
      </c>
      <c r="E4871" t="s">
        <v>720</v>
      </c>
      <c r="F4871" t="s">
        <v>35</v>
      </c>
      <c r="G4871" t="s">
        <v>35</v>
      </c>
      <c r="H4871" t="s">
        <v>35</v>
      </c>
      <c r="J4871" t="s">
        <v>5419</v>
      </c>
      <c r="K4871" t="s">
        <v>1092</v>
      </c>
      <c r="M4871">
        <v>38.475000000000001</v>
      </c>
      <c r="N4871">
        <v>49</v>
      </c>
      <c r="O4871" t="s">
        <v>52</v>
      </c>
      <c r="Q4871" t="s">
        <v>219</v>
      </c>
      <c r="R4871" t="s">
        <v>730</v>
      </c>
      <c r="S4871" t="s">
        <v>731</v>
      </c>
    </row>
    <row r="4872" spans="1:19" x14ac:dyDescent="0.25">
      <c r="A4872" t="s">
        <v>30</v>
      </c>
      <c r="B4872" t="s">
        <v>31</v>
      </c>
      <c r="C4872" t="s">
        <v>32</v>
      </c>
      <c r="D4872" t="s">
        <v>719</v>
      </c>
      <c r="E4872" t="s">
        <v>720</v>
      </c>
      <c r="F4872" t="s">
        <v>35</v>
      </c>
      <c r="G4872" t="s">
        <v>35</v>
      </c>
      <c r="H4872" t="s">
        <v>35</v>
      </c>
      <c r="J4872" t="s">
        <v>5419</v>
      </c>
      <c r="K4872" t="s">
        <v>1092</v>
      </c>
      <c r="M4872">
        <v>4.4999999999999998E-2</v>
      </c>
      <c r="N4872">
        <v>76</v>
      </c>
      <c r="O4872" t="s">
        <v>61</v>
      </c>
      <c r="Q4872" t="s">
        <v>234</v>
      </c>
      <c r="R4872" t="s">
        <v>5420</v>
      </c>
      <c r="S4872" t="s">
        <v>721</v>
      </c>
    </row>
    <row r="4873" spans="1:19" x14ac:dyDescent="0.25">
      <c r="A4873" t="s">
        <v>59</v>
      </c>
      <c r="B4873" t="s">
        <v>31</v>
      </c>
      <c r="C4873" t="s">
        <v>32</v>
      </c>
      <c r="D4873" t="s">
        <v>719</v>
      </c>
      <c r="E4873" t="s">
        <v>720</v>
      </c>
      <c r="F4873" t="s">
        <v>35</v>
      </c>
      <c r="G4873" t="s">
        <v>35</v>
      </c>
      <c r="H4873" t="s">
        <v>35</v>
      </c>
      <c r="J4873" t="s">
        <v>5421</v>
      </c>
      <c r="K4873" t="s">
        <v>1092</v>
      </c>
      <c r="M4873">
        <v>2.6549999999999998</v>
      </c>
      <c r="N4873">
        <v>198</v>
      </c>
      <c r="O4873" t="s">
        <v>5</v>
      </c>
      <c r="Q4873" t="s">
        <v>4086</v>
      </c>
      <c r="R4873" t="s">
        <v>730</v>
      </c>
      <c r="S4873" t="s">
        <v>731</v>
      </c>
    </row>
    <row r="4874" spans="1:19" x14ac:dyDescent="0.25">
      <c r="A4874" t="s">
        <v>30</v>
      </c>
      <c r="B4874" t="s">
        <v>31</v>
      </c>
      <c r="C4874" t="s">
        <v>32</v>
      </c>
      <c r="D4874" t="s">
        <v>719</v>
      </c>
      <c r="E4874" t="s">
        <v>720</v>
      </c>
      <c r="F4874" t="s">
        <v>35</v>
      </c>
      <c r="G4874" t="s">
        <v>35</v>
      </c>
      <c r="H4874" t="s">
        <v>35</v>
      </c>
      <c r="J4874" t="s">
        <v>5421</v>
      </c>
      <c r="K4874" t="s">
        <v>1092</v>
      </c>
      <c r="M4874">
        <v>7.7850000000000001</v>
      </c>
      <c r="N4874">
        <v>156</v>
      </c>
      <c r="O4874" t="s">
        <v>38</v>
      </c>
      <c r="Q4874" t="s">
        <v>75</v>
      </c>
      <c r="R4874" t="s">
        <v>725</v>
      </c>
      <c r="S4874" t="s">
        <v>726</v>
      </c>
    </row>
    <row r="4875" spans="1:19" x14ac:dyDescent="0.25">
      <c r="A4875" t="s">
        <v>30</v>
      </c>
      <c r="B4875" t="s">
        <v>31</v>
      </c>
      <c r="C4875" t="s">
        <v>32</v>
      </c>
      <c r="D4875" t="s">
        <v>719</v>
      </c>
      <c r="E4875" t="s">
        <v>720</v>
      </c>
      <c r="F4875" t="s">
        <v>35</v>
      </c>
      <c r="G4875" t="s">
        <v>35</v>
      </c>
      <c r="H4875" t="s">
        <v>35</v>
      </c>
      <c r="J4875" t="s">
        <v>5422</v>
      </c>
      <c r="K4875" t="s">
        <v>1092</v>
      </c>
      <c r="M4875">
        <v>4.32</v>
      </c>
      <c r="N4875">
        <v>171</v>
      </c>
      <c r="O4875" t="s">
        <v>38</v>
      </c>
      <c r="Q4875" t="s">
        <v>3930</v>
      </c>
      <c r="R4875" t="s">
        <v>730</v>
      </c>
      <c r="S4875" t="s">
        <v>731</v>
      </c>
    </row>
    <row r="4876" spans="1:19" x14ac:dyDescent="0.25">
      <c r="A4876" t="s">
        <v>30</v>
      </c>
      <c r="B4876" t="s">
        <v>31</v>
      </c>
      <c r="C4876" t="s">
        <v>32</v>
      </c>
      <c r="D4876" t="s">
        <v>719</v>
      </c>
      <c r="E4876" t="s">
        <v>720</v>
      </c>
      <c r="F4876" t="s">
        <v>35</v>
      </c>
      <c r="G4876" t="s">
        <v>35</v>
      </c>
      <c r="H4876" t="s">
        <v>35</v>
      </c>
      <c r="J4876" t="s">
        <v>5422</v>
      </c>
      <c r="K4876" t="s">
        <v>1092</v>
      </c>
      <c r="M4876">
        <v>11.025</v>
      </c>
      <c r="N4876">
        <v>69</v>
      </c>
      <c r="O4876" t="s">
        <v>61</v>
      </c>
      <c r="Q4876" t="s">
        <v>139</v>
      </c>
      <c r="R4876" t="s">
        <v>730</v>
      </c>
      <c r="S4876" t="s">
        <v>731</v>
      </c>
    </row>
    <row r="4877" spans="1:19" x14ac:dyDescent="0.25">
      <c r="A4877" t="s">
        <v>30</v>
      </c>
      <c r="B4877" t="s">
        <v>31</v>
      </c>
      <c r="C4877" t="s">
        <v>32</v>
      </c>
      <c r="D4877" t="s">
        <v>719</v>
      </c>
      <c r="E4877" t="s">
        <v>720</v>
      </c>
      <c r="F4877" t="s">
        <v>35</v>
      </c>
      <c r="G4877" t="s">
        <v>35</v>
      </c>
      <c r="H4877" t="s">
        <v>35</v>
      </c>
      <c r="J4877" t="s">
        <v>5424</v>
      </c>
      <c r="K4877" t="s">
        <v>1092</v>
      </c>
      <c r="M4877">
        <v>5.85</v>
      </c>
      <c r="N4877">
        <v>147</v>
      </c>
      <c r="O4877" t="s">
        <v>38</v>
      </c>
      <c r="Q4877" t="s">
        <v>1229</v>
      </c>
      <c r="R4877" t="s">
        <v>730</v>
      </c>
      <c r="S4877" t="s">
        <v>731</v>
      </c>
    </row>
    <row r="4878" spans="1:19" x14ac:dyDescent="0.25">
      <c r="A4878" t="s">
        <v>59</v>
      </c>
      <c r="B4878" t="s">
        <v>60</v>
      </c>
      <c r="C4878" t="s">
        <v>32</v>
      </c>
      <c r="D4878" t="s">
        <v>719</v>
      </c>
      <c r="E4878" t="s">
        <v>720</v>
      </c>
      <c r="F4878" t="s">
        <v>35</v>
      </c>
      <c r="G4878" t="s">
        <v>35</v>
      </c>
      <c r="H4878" t="s">
        <v>35</v>
      </c>
      <c r="J4878" t="s">
        <v>5424</v>
      </c>
      <c r="K4878" t="s">
        <v>1092</v>
      </c>
      <c r="M4878">
        <v>5</v>
      </c>
      <c r="N4878">
        <v>137</v>
      </c>
      <c r="O4878" t="s">
        <v>38</v>
      </c>
      <c r="Q4878" t="s">
        <v>1602</v>
      </c>
      <c r="R4878" t="s">
        <v>5425</v>
      </c>
      <c r="S4878" t="s">
        <v>5426</v>
      </c>
    </row>
    <row r="4879" spans="1:19" x14ac:dyDescent="0.25">
      <c r="A4879" t="s">
        <v>30</v>
      </c>
      <c r="B4879" t="s">
        <v>31</v>
      </c>
      <c r="C4879" t="s">
        <v>32</v>
      </c>
      <c r="D4879" t="s">
        <v>719</v>
      </c>
      <c r="E4879" t="s">
        <v>720</v>
      </c>
      <c r="F4879" t="s">
        <v>35</v>
      </c>
      <c r="G4879" t="s">
        <v>35</v>
      </c>
      <c r="H4879" t="s">
        <v>35</v>
      </c>
      <c r="J4879" t="s">
        <v>5424</v>
      </c>
      <c r="K4879" t="s">
        <v>1092</v>
      </c>
      <c r="M4879">
        <v>11.07</v>
      </c>
      <c r="N4879">
        <v>49</v>
      </c>
      <c r="O4879" t="s">
        <v>52</v>
      </c>
      <c r="Q4879" t="s">
        <v>219</v>
      </c>
      <c r="R4879" t="s">
        <v>725</v>
      </c>
      <c r="S4879" t="s">
        <v>726</v>
      </c>
    </row>
    <row r="4880" spans="1:19" x14ac:dyDescent="0.25">
      <c r="A4880" t="s">
        <v>30</v>
      </c>
      <c r="B4880" t="s">
        <v>31</v>
      </c>
      <c r="C4880" t="s">
        <v>32</v>
      </c>
      <c r="D4880" t="s">
        <v>719</v>
      </c>
      <c r="E4880" t="s">
        <v>720</v>
      </c>
      <c r="F4880" t="s">
        <v>35</v>
      </c>
      <c r="G4880" t="s">
        <v>35</v>
      </c>
      <c r="H4880" t="s">
        <v>35</v>
      </c>
      <c r="J4880" t="s">
        <v>5427</v>
      </c>
      <c r="K4880" t="s">
        <v>1092</v>
      </c>
      <c r="M4880">
        <v>0.13500000000000001</v>
      </c>
      <c r="N4880">
        <v>147</v>
      </c>
      <c r="O4880" t="s">
        <v>38</v>
      </c>
      <c r="Q4880" t="s">
        <v>1229</v>
      </c>
      <c r="R4880" t="s">
        <v>730</v>
      </c>
      <c r="S4880" t="s">
        <v>731</v>
      </c>
    </row>
    <row r="4881" spans="1:19" x14ac:dyDescent="0.25">
      <c r="A4881" t="s">
        <v>30</v>
      </c>
      <c r="B4881" t="s">
        <v>31</v>
      </c>
      <c r="C4881" t="s">
        <v>32</v>
      </c>
      <c r="D4881" t="s">
        <v>719</v>
      </c>
      <c r="E4881" t="s">
        <v>720</v>
      </c>
      <c r="F4881" t="s">
        <v>35</v>
      </c>
      <c r="G4881" t="s">
        <v>35</v>
      </c>
      <c r="H4881" t="s">
        <v>35</v>
      </c>
      <c r="J4881" t="s">
        <v>5429</v>
      </c>
      <c r="K4881" t="s">
        <v>1092</v>
      </c>
      <c r="M4881">
        <v>8.5050000000000008</v>
      </c>
      <c r="N4881">
        <v>503</v>
      </c>
      <c r="O4881" t="s">
        <v>294</v>
      </c>
      <c r="Q4881" t="s">
        <v>3139</v>
      </c>
      <c r="R4881" t="s">
        <v>730</v>
      </c>
      <c r="S4881" t="s">
        <v>731</v>
      </c>
    </row>
    <row r="4882" spans="1:19" x14ac:dyDescent="0.25">
      <c r="A4882" t="s">
        <v>59</v>
      </c>
      <c r="B4882" t="s">
        <v>60</v>
      </c>
      <c r="C4882" t="s">
        <v>32</v>
      </c>
      <c r="D4882" t="s">
        <v>719</v>
      </c>
      <c r="E4882" t="s">
        <v>720</v>
      </c>
      <c r="F4882" t="s">
        <v>35</v>
      </c>
      <c r="G4882" t="s">
        <v>35</v>
      </c>
      <c r="H4882" t="s">
        <v>35</v>
      </c>
      <c r="J4882" t="s">
        <v>5430</v>
      </c>
      <c r="K4882" t="s">
        <v>1092</v>
      </c>
      <c r="M4882">
        <v>10.25</v>
      </c>
      <c r="N4882">
        <v>284</v>
      </c>
      <c r="O4882" t="s">
        <v>5</v>
      </c>
      <c r="Q4882" t="s">
        <v>1220</v>
      </c>
      <c r="R4882" t="s">
        <v>730</v>
      </c>
      <c r="S4882" t="s">
        <v>731</v>
      </c>
    </row>
    <row r="4883" spans="1:19" x14ac:dyDescent="0.25">
      <c r="A4883" t="s">
        <v>59</v>
      </c>
      <c r="B4883" t="s">
        <v>60</v>
      </c>
      <c r="C4883" t="s">
        <v>32</v>
      </c>
      <c r="D4883" t="s">
        <v>719</v>
      </c>
      <c r="E4883" t="s">
        <v>720</v>
      </c>
      <c r="F4883" t="s">
        <v>35</v>
      </c>
      <c r="G4883" t="s">
        <v>35</v>
      </c>
      <c r="H4883" t="s">
        <v>35</v>
      </c>
      <c r="J4883" t="s">
        <v>5431</v>
      </c>
      <c r="K4883" t="s">
        <v>1092</v>
      </c>
      <c r="M4883">
        <v>0.9</v>
      </c>
      <c r="N4883">
        <v>216</v>
      </c>
      <c r="O4883" t="s">
        <v>5</v>
      </c>
      <c r="Q4883" t="s">
        <v>1492</v>
      </c>
      <c r="R4883" t="s">
        <v>5432</v>
      </c>
      <c r="S4883" t="s">
        <v>759</v>
      </c>
    </row>
    <row r="4884" spans="1:19" x14ac:dyDescent="0.25">
      <c r="A4884" t="s">
        <v>30</v>
      </c>
      <c r="B4884" t="s">
        <v>31</v>
      </c>
      <c r="C4884" t="s">
        <v>32</v>
      </c>
      <c r="D4884" t="s">
        <v>719</v>
      </c>
      <c r="E4884" t="s">
        <v>720</v>
      </c>
      <c r="F4884" t="s">
        <v>35</v>
      </c>
      <c r="G4884" t="s">
        <v>35</v>
      </c>
      <c r="H4884" t="s">
        <v>35</v>
      </c>
      <c r="J4884" t="s">
        <v>5431</v>
      </c>
      <c r="K4884" t="s">
        <v>1092</v>
      </c>
      <c r="M4884">
        <v>5.04</v>
      </c>
      <c r="N4884">
        <v>72</v>
      </c>
      <c r="O4884" t="s">
        <v>61</v>
      </c>
      <c r="Q4884" t="s">
        <v>63</v>
      </c>
      <c r="R4884" t="s">
        <v>725</v>
      </c>
      <c r="S4884" t="s">
        <v>726</v>
      </c>
    </row>
    <row r="4885" spans="1:19" x14ac:dyDescent="0.25">
      <c r="A4885" t="s">
        <v>59</v>
      </c>
      <c r="B4885" t="s">
        <v>31</v>
      </c>
      <c r="C4885" t="s">
        <v>32</v>
      </c>
      <c r="D4885" t="s">
        <v>719</v>
      </c>
      <c r="E4885" t="s">
        <v>720</v>
      </c>
      <c r="F4885" t="s">
        <v>35</v>
      </c>
      <c r="G4885" t="s">
        <v>35</v>
      </c>
      <c r="H4885" t="s">
        <v>35</v>
      </c>
      <c r="J4885" t="s">
        <v>5433</v>
      </c>
      <c r="K4885" t="s">
        <v>1092</v>
      </c>
      <c r="M4885">
        <v>5.13</v>
      </c>
      <c r="N4885">
        <v>141</v>
      </c>
      <c r="O4885" t="s">
        <v>38</v>
      </c>
      <c r="Q4885" t="s">
        <v>1822</v>
      </c>
      <c r="R4885" t="s">
        <v>730</v>
      </c>
      <c r="S4885" t="s">
        <v>731</v>
      </c>
    </row>
    <row r="4886" spans="1:19" x14ac:dyDescent="0.25">
      <c r="A4886" t="s">
        <v>59</v>
      </c>
      <c r="B4886" t="s">
        <v>60</v>
      </c>
      <c r="C4886" t="s">
        <v>32</v>
      </c>
      <c r="D4886" t="s">
        <v>719</v>
      </c>
      <c r="E4886" t="s">
        <v>720</v>
      </c>
      <c r="F4886" t="s">
        <v>35</v>
      </c>
      <c r="G4886" t="s">
        <v>35</v>
      </c>
      <c r="H4886" t="s">
        <v>35</v>
      </c>
      <c r="J4886" t="s">
        <v>5433</v>
      </c>
      <c r="K4886" t="s">
        <v>1092</v>
      </c>
      <c r="M4886">
        <v>0.75</v>
      </c>
      <c r="N4886">
        <v>166</v>
      </c>
      <c r="O4886" t="s">
        <v>38</v>
      </c>
      <c r="Q4886" t="s">
        <v>2316</v>
      </c>
      <c r="R4886" t="s">
        <v>5420</v>
      </c>
      <c r="S4886" t="s">
        <v>721</v>
      </c>
    </row>
    <row r="4887" spans="1:19" x14ac:dyDescent="0.25">
      <c r="A4887" t="s">
        <v>30</v>
      </c>
      <c r="B4887" t="s">
        <v>31</v>
      </c>
      <c r="C4887" t="s">
        <v>32</v>
      </c>
      <c r="D4887" t="s">
        <v>719</v>
      </c>
      <c r="E4887" t="s">
        <v>720</v>
      </c>
      <c r="F4887" t="s">
        <v>35</v>
      </c>
      <c r="G4887" t="s">
        <v>35</v>
      </c>
      <c r="H4887" t="s">
        <v>35</v>
      </c>
      <c r="J4887" t="s">
        <v>5434</v>
      </c>
      <c r="K4887" t="s">
        <v>1092</v>
      </c>
      <c r="M4887">
        <v>11.07</v>
      </c>
      <c r="N4887">
        <v>49</v>
      </c>
      <c r="O4887" t="s">
        <v>52</v>
      </c>
      <c r="Q4887" t="s">
        <v>219</v>
      </c>
      <c r="R4887" t="s">
        <v>725</v>
      </c>
      <c r="S4887" t="s">
        <v>726</v>
      </c>
    </row>
    <row r="4888" spans="1:19" x14ac:dyDescent="0.25">
      <c r="A4888" t="s">
        <v>59</v>
      </c>
      <c r="B4888" t="s">
        <v>31</v>
      </c>
      <c r="C4888" t="s">
        <v>32</v>
      </c>
      <c r="D4888" t="s">
        <v>719</v>
      </c>
      <c r="E4888" t="s">
        <v>720</v>
      </c>
      <c r="F4888" t="s">
        <v>35</v>
      </c>
      <c r="G4888" t="s">
        <v>35</v>
      </c>
      <c r="H4888" t="s">
        <v>35</v>
      </c>
      <c r="J4888" t="s">
        <v>5434</v>
      </c>
      <c r="K4888" t="s">
        <v>1092</v>
      </c>
      <c r="M4888">
        <v>5.22</v>
      </c>
      <c r="N4888">
        <v>172</v>
      </c>
      <c r="O4888" t="s">
        <v>38</v>
      </c>
      <c r="Q4888" t="s">
        <v>1124</v>
      </c>
      <c r="R4888" t="s">
        <v>5432</v>
      </c>
      <c r="S4888" t="s">
        <v>759</v>
      </c>
    </row>
    <row r="4889" spans="1:19" x14ac:dyDescent="0.25">
      <c r="A4889" t="s">
        <v>30</v>
      </c>
      <c r="B4889" t="s">
        <v>31</v>
      </c>
      <c r="C4889" t="s">
        <v>32</v>
      </c>
      <c r="D4889" t="s">
        <v>719</v>
      </c>
      <c r="E4889" t="s">
        <v>720</v>
      </c>
      <c r="F4889" t="s">
        <v>35</v>
      </c>
      <c r="G4889" t="s">
        <v>35</v>
      </c>
      <c r="H4889" t="s">
        <v>35</v>
      </c>
      <c r="J4889" t="s">
        <v>5434</v>
      </c>
      <c r="K4889" t="s">
        <v>1092</v>
      </c>
      <c r="M4889">
        <v>3.915</v>
      </c>
      <c r="N4889">
        <v>95</v>
      </c>
      <c r="O4889" t="s">
        <v>106</v>
      </c>
      <c r="Q4889" t="s">
        <v>724</v>
      </c>
      <c r="R4889" t="s">
        <v>730</v>
      </c>
      <c r="S4889" t="s">
        <v>731</v>
      </c>
    </row>
    <row r="4890" spans="1:19" x14ac:dyDescent="0.25">
      <c r="A4890" t="s">
        <v>30</v>
      </c>
      <c r="B4890" t="s">
        <v>31</v>
      </c>
      <c r="C4890" t="s">
        <v>32</v>
      </c>
      <c r="D4890" t="s">
        <v>719</v>
      </c>
      <c r="E4890" t="s">
        <v>720</v>
      </c>
      <c r="F4890" t="s">
        <v>35</v>
      </c>
      <c r="G4890" t="s">
        <v>35</v>
      </c>
      <c r="H4890" t="s">
        <v>35</v>
      </c>
      <c r="J4890" t="s">
        <v>5435</v>
      </c>
      <c r="K4890" t="s">
        <v>1092</v>
      </c>
      <c r="M4890">
        <v>9.1349999999999998</v>
      </c>
      <c r="N4890">
        <v>133</v>
      </c>
      <c r="O4890" t="s">
        <v>38</v>
      </c>
      <c r="Q4890" t="s">
        <v>68</v>
      </c>
      <c r="R4890" t="s">
        <v>730</v>
      </c>
      <c r="S4890" t="s">
        <v>731</v>
      </c>
    </row>
    <row r="4891" spans="1:19" x14ac:dyDescent="0.25">
      <c r="A4891" t="s">
        <v>30</v>
      </c>
      <c r="B4891" t="s">
        <v>31</v>
      </c>
      <c r="C4891" t="s">
        <v>32</v>
      </c>
      <c r="D4891" t="s">
        <v>719</v>
      </c>
      <c r="E4891" t="s">
        <v>720</v>
      </c>
      <c r="F4891" t="s">
        <v>35</v>
      </c>
      <c r="G4891" t="s">
        <v>35</v>
      </c>
      <c r="H4891" t="s">
        <v>35</v>
      </c>
      <c r="J4891" t="s">
        <v>5436</v>
      </c>
      <c r="K4891" t="s">
        <v>1092</v>
      </c>
      <c r="M4891">
        <v>4.8600000000000003</v>
      </c>
      <c r="N4891">
        <v>72</v>
      </c>
      <c r="O4891" t="s">
        <v>61</v>
      </c>
      <c r="Q4891" t="s">
        <v>63</v>
      </c>
      <c r="R4891" t="s">
        <v>725</v>
      </c>
      <c r="S4891" t="s">
        <v>726</v>
      </c>
    </row>
    <row r="4892" spans="1:19" x14ac:dyDescent="0.25">
      <c r="A4892" t="s">
        <v>59</v>
      </c>
      <c r="B4892" t="s">
        <v>31</v>
      </c>
      <c r="C4892" t="s">
        <v>32</v>
      </c>
      <c r="D4892" t="s">
        <v>719</v>
      </c>
      <c r="E4892" t="s">
        <v>720</v>
      </c>
      <c r="F4892" t="s">
        <v>35</v>
      </c>
      <c r="G4892" t="s">
        <v>35</v>
      </c>
      <c r="H4892" t="s">
        <v>35</v>
      </c>
      <c r="J4892" t="s">
        <v>5437</v>
      </c>
      <c r="K4892" t="s">
        <v>1092</v>
      </c>
      <c r="M4892">
        <v>9.3149999999999995</v>
      </c>
      <c r="N4892">
        <v>141</v>
      </c>
      <c r="O4892" t="s">
        <v>38</v>
      </c>
      <c r="Q4892" t="s">
        <v>1822</v>
      </c>
      <c r="R4892" t="s">
        <v>730</v>
      </c>
      <c r="S4892" t="s">
        <v>731</v>
      </c>
    </row>
    <row r="4893" spans="1:19" x14ac:dyDescent="0.25">
      <c r="A4893" t="s">
        <v>44</v>
      </c>
      <c r="B4893" t="s">
        <v>51</v>
      </c>
      <c r="C4893" t="s">
        <v>32</v>
      </c>
      <c r="D4893" t="s">
        <v>719</v>
      </c>
      <c r="E4893" t="s">
        <v>720</v>
      </c>
      <c r="F4893" t="s">
        <v>35</v>
      </c>
      <c r="G4893" t="s">
        <v>35</v>
      </c>
      <c r="H4893" t="s">
        <v>35</v>
      </c>
      <c r="J4893" t="s">
        <v>5438</v>
      </c>
      <c r="K4893" t="s">
        <v>1092</v>
      </c>
      <c r="M4893">
        <v>0.35</v>
      </c>
      <c r="N4893">
        <v>506</v>
      </c>
      <c r="O4893" t="s">
        <v>294</v>
      </c>
      <c r="Q4893" t="s">
        <v>2101</v>
      </c>
      <c r="R4893" t="s">
        <v>5439</v>
      </c>
      <c r="S4893" t="s">
        <v>5440</v>
      </c>
    </row>
    <row r="4894" spans="1:19" x14ac:dyDescent="0.25">
      <c r="A4894" t="s">
        <v>30</v>
      </c>
      <c r="B4894" t="s">
        <v>31</v>
      </c>
      <c r="C4894" t="s">
        <v>32</v>
      </c>
      <c r="D4894" t="s">
        <v>719</v>
      </c>
      <c r="E4894" t="s">
        <v>720</v>
      </c>
      <c r="F4894" t="s">
        <v>35</v>
      </c>
      <c r="G4894" t="s">
        <v>35</v>
      </c>
      <c r="H4894" t="s">
        <v>35</v>
      </c>
      <c r="J4894" t="s">
        <v>5442</v>
      </c>
      <c r="K4894" t="s">
        <v>1092</v>
      </c>
      <c r="M4894">
        <v>5.67</v>
      </c>
      <c r="N4894">
        <v>97</v>
      </c>
      <c r="O4894" t="s">
        <v>106</v>
      </c>
      <c r="Q4894" t="s">
        <v>557</v>
      </c>
      <c r="R4894" t="s">
        <v>730</v>
      </c>
      <c r="S4894" t="s">
        <v>731</v>
      </c>
    </row>
    <row r="4895" spans="1:19" x14ac:dyDescent="0.25">
      <c r="A4895" t="s">
        <v>30</v>
      </c>
      <c r="B4895" t="s">
        <v>31</v>
      </c>
      <c r="C4895" t="s">
        <v>32</v>
      </c>
      <c r="D4895" t="s">
        <v>719</v>
      </c>
      <c r="E4895" t="s">
        <v>720</v>
      </c>
      <c r="F4895" t="s">
        <v>35</v>
      </c>
      <c r="G4895" t="s">
        <v>35</v>
      </c>
      <c r="H4895" t="s">
        <v>35</v>
      </c>
      <c r="J4895" t="s">
        <v>5443</v>
      </c>
      <c r="K4895" t="s">
        <v>1092</v>
      </c>
      <c r="M4895">
        <v>9.6750000000000007</v>
      </c>
      <c r="N4895">
        <v>49</v>
      </c>
      <c r="O4895" t="s">
        <v>52</v>
      </c>
      <c r="Q4895" t="s">
        <v>219</v>
      </c>
      <c r="R4895" t="s">
        <v>730</v>
      </c>
      <c r="S4895" t="s">
        <v>731</v>
      </c>
    </row>
    <row r="4896" spans="1:19" x14ac:dyDescent="0.25">
      <c r="A4896" t="s">
        <v>30</v>
      </c>
      <c r="B4896" t="s">
        <v>31</v>
      </c>
      <c r="C4896" t="s">
        <v>32</v>
      </c>
      <c r="D4896" t="s">
        <v>719</v>
      </c>
      <c r="E4896" t="s">
        <v>720</v>
      </c>
      <c r="F4896" t="s">
        <v>35</v>
      </c>
      <c r="G4896" t="s">
        <v>35</v>
      </c>
      <c r="H4896" t="s">
        <v>35</v>
      </c>
      <c r="J4896" t="s">
        <v>5444</v>
      </c>
      <c r="K4896" t="s">
        <v>1092</v>
      </c>
      <c r="M4896">
        <v>0.63</v>
      </c>
      <c r="N4896">
        <v>95</v>
      </c>
      <c r="O4896" t="s">
        <v>106</v>
      </c>
      <c r="Q4896" t="s">
        <v>724</v>
      </c>
      <c r="R4896" t="s">
        <v>5432</v>
      </c>
      <c r="S4896" t="s">
        <v>759</v>
      </c>
    </row>
    <row r="4897" spans="1:19" x14ac:dyDescent="0.25">
      <c r="A4897" t="s">
        <v>30</v>
      </c>
      <c r="B4897" t="s">
        <v>31</v>
      </c>
      <c r="C4897" t="s">
        <v>32</v>
      </c>
      <c r="D4897" t="s">
        <v>719</v>
      </c>
      <c r="E4897" t="s">
        <v>720</v>
      </c>
      <c r="F4897" t="s">
        <v>35</v>
      </c>
      <c r="G4897" t="s">
        <v>35</v>
      </c>
      <c r="H4897" t="s">
        <v>35</v>
      </c>
      <c r="J4897" t="s">
        <v>5444</v>
      </c>
      <c r="K4897" t="s">
        <v>1092</v>
      </c>
      <c r="M4897">
        <v>5.625</v>
      </c>
      <c r="N4897">
        <v>49</v>
      </c>
      <c r="O4897" t="s">
        <v>52</v>
      </c>
      <c r="Q4897" t="s">
        <v>219</v>
      </c>
      <c r="R4897" t="s">
        <v>730</v>
      </c>
      <c r="S4897" t="s">
        <v>731</v>
      </c>
    </row>
    <row r="4898" spans="1:19" x14ac:dyDescent="0.25">
      <c r="A4898" t="s">
        <v>30</v>
      </c>
      <c r="B4898" t="s">
        <v>31</v>
      </c>
      <c r="C4898" t="s">
        <v>32</v>
      </c>
      <c r="D4898" t="s">
        <v>719</v>
      </c>
      <c r="E4898" t="s">
        <v>720</v>
      </c>
      <c r="F4898" t="s">
        <v>35</v>
      </c>
      <c r="G4898" t="s">
        <v>35</v>
      </c>
      <c r="H4898" t="s">
        <v>35</v>
      </c>
      <c r="J4898" t="s">
        <v>5445</v>
      </c>
      <c r="K4898" t="s">
        <v>1092</v>
      </c>
      <c r="M4898">
        <v>2.0699999999999998</v>
      </c>
      <c r="N4898">
        <v>227</v>
      </c>
      <c r="O4898" t="s">
        <v>5</v>
      </c>
      <c r="Q4898" t="s">
        <v>2236</v>
      </c>
      <c r="R4898" t="s">
        <v>730</v>
      </c>
      <c r="S4898" t="s">
        <v>731</v>
      </c>
    </row>
    <row r="4899" spans="1:19" x14ac:dyDescent="0.25">
      <c r="A4899" t="s">
        <v>44</v>
      </c>
      <c r="B4899" t="s">
        <v>51</v>
      </c>
      <c r="C4899" t="s">
        <v>32</v>
      </c>
      <c r="D4899" t="s">
        <v>719</v>
      </c>
      <c r="E4899" t="s">
        <v>720</v>
      </c>
      <c r="F4899" t="s">
        <v>35</v>
      </c>
      <c r="G4899" t="s">
        <v>35</v>
      </c>
      <c r="H4899" t="s">
        <v>35</v>
      </c>
      <c r="J4899" t="s">
        <v>5446</v>
      </c>
      <c r="K4899" t="s">
        <v>1092</v>
      </c>
      <c r="M4899">
        <v>0.5</v>
      </c>
      <c r="N4899">
        <v>507</v>
      </c>
      <c r="O4899" t="s">
        <v>294</v>
      </c>
      <c r="Q4899" t="s">
        <v>3822</v>
      </c>
      <c r="R4899" t="s">
        <v>5447</v>
      </c>
      <c r="S4899" t="s">
        <v>5448</v>
      </c>
    </row>
    <row r="4900" spans="1:19" x14ac:dyDescent="0.25">
      <c r="A4900" t="s">
        <v>59</v>
      </c>
      <c r="B4900" t="s">
        <v>60</v>
      </c>
      <c r="C4900" t="s">
        <v>32</v>
      </c>
      <c r="D4900" t="s">
        <v>719</v>
      </c>
      <c r="E4900" t="s">
        <v>720</v>
      </c>
      <c r="F4900" t="s">
        <v>35</v>
      </c>
      <c r="G4900" t="s">
        <v>35</v>
      </c>
      <c r="H4900" t="s">
        <v>35</v>
      </c>
      <c r="J4900" t="s">
        <v>5449</v>
      </c>
      <c r="K4900" t="s">
        <v>1092</v>
      </c>
      <c r="M4900">
        <v>0.9</v>
      </c>
      <c r="N4900">
        <v>566</v>
      </c>
      <c r="O4900" t="s">
        <v>575</v>
      </c>
      <c r="Q4900" t="s">
        <v>5450</v>
      </c>
      <c r="R4900" t="s">
        <v>730</v>
      </c>
      <c r="S4900" t="s">
        <v>731</v>
      </c>
    </row>
    <row r="4901" spans="1:19" x14ac:dyDescent="0.25">
      <c r="A4901" t="s">
        <v>44</v>
      </c>
      <c r="B4901" t="s">
        <v>51</v>
      </c>
      <c r="C4901" t="s">
        <v>32</v>
      </c>
      <c r="D4901" t="s">
        <v>719</v>
      </c>
      <c r="E4901" t="s">
        <v>720</v>
      </c>
      <c r="F4901" t="s">
        <v>35</v>
      </c>
      <c r="G4901" t="s">
        <v>35</v>
      </c>
      <c r="H4901" t="s">
        <v>35</v>
      </c>
      <c r="J4901" t="s">
        <v>5449</v>
      </c>
      <c r="K4901" t="s">
        <v>1092</v>
      </c>
      <c r="M4901">
        <v>2.5</v>
      </c>
      <c r="N4901">
        <v>507</v>
      </c>
      <c r="O4901" t="s">
        <v>294</v>
      </c>
      <c r="Q4901" t="s">
        <v>3822</v>
      </c>
      <c r="R4901" t="s">
        <v>5447</v>
      </c>
      <c r="S4901" t="s">
        <v>5448</v>
      </c>
    </row>
    <row r="4902" spans="1:19" x14ac:dyDescent="0.25">
      <c r="A4902" t="s">
        <v>59</v>
      </c>
      <c r="B4902" t="s">
        <v>60</v>
      </c>
      <c r="C4902" t="s">
        <v>32</v>
      </c>
      <c r="D4902" t="s">
        <v>719</v>
      </c>
      <c r="E4902" t="s">
        <v>720</v>
      </c>
      <c r="F4902" t="s">
        <v>35</v>
      </c>
      <c r="G4902" t="s">
        <v>35</v>
      </c>
      <c r="H4902" t="s">
        <v>35</v>
      </c>
      <c r="J4902" t="s">
        <v>5451</v>
      </c>
      <c r="K4902" t="s">
        <v>1092</v>
      </c>
      <c r="M4902">
        <v>0.2</v>
      </c>
      <c r="N4902">
        <v>459</v>
      </c>
      <c r="O4902" t="s">
        <v>294</v>
      </c>
      <c r="Q4902" t="s">
        <v>1199</v>
      </c>
      <c r="R4902" t="s">
        <v>5420</v>
      </c>
      <c r="S4902" t="s">
        <v>721</v>
      </c>
    </row>
    <row r="4903" spans="1:19" x14ac:dyDescent="0.25">
      <c r="A4903" t="s">
        <v>30</v>
      </c>
      <c r="B4903" t="s">
        <v>31</v>
      </c>
      <c r="C4903" t="s">
        <v>32</v>
      </c>
      <c r="D4903" t="s">
        <v>719</v>
      </c>
      <c r="E4903" t="s">
        <v>720</v>
      </c>
      <c r="F4903" t="s">
        <v>35</v>
      </c>
      <c r="G4903" t="s">
        <v>35</v>
      </c>
      <c r="H4903" t="s">
        <v>35</v>
      </c>
      <c r="J4903" t="s">
        <v>5451</v>
      </c>
      <c r="K4903" t="s">
        <v>1092</v>
      </c>
      <c r="M4903">
        <v>0.48599999999999999</v>
      </c>
      <c r="N4903">
        <v>147</v>
      </c>
      <c r="O4903" t="s">
        <v>38</v>
      </c>
      <c r="Q4903" t="s">
        <v>1229</v>
      </c>
      <c r="R4903" t="s">
        <v>730</v>
      </c>
      <c r="S4903" t="s">
        <v>731</v>
      </c>
    </row>
    <row r="4904" spans="1:19" x14ac:dyDescent="0.25">
      <c r="A4904" t="s">
        <v>59</v>
      </c>
      <c r="B4904" t="s">
        <v>60</v>
      </c>
      <c r="C4904" t="s">
        <v>32</v>
      </c>
      <c r="D4904" t="s">
        <v>719</v>
      </c>
      <c r="E4904" t="s">
        <v>720</v>
      </c>
      <c r="F4904" t="s">
        <v>35</v>
      </c>
      <c r="G4904" t="s">
        <v>35</v>
      </c>
      <c r="H4904" t="s">
        <v>35</v>
      </c>
      <c r="J4904" t="s">
        <v>5452</v>
      </c>
      <c r="K4904" t="s">
        <v>1092</v>
      </c>
      <c r="M4904">
        <v>1</v>
      </c>
      <c r="N4904">
        <v>194</v>
      </c>
      <c r="O4904" t="s">
        <v>5</v>
      </c>
      <c r="Q4904" t="s">
        <v>2315</v>
      </c>
      <c r="R4904" t="s">
        <v>5425</v>
      </c>
      <c r="S4904" t="s">
        <v>5426</v>
      </c>
    </row>
    <row r="4905" spans="1:19" x14ac:dyDescent="0.25">
      <c r="A4905" t="s">
        <v>30</v>
      </c>
      <c r="B4905" t="s">
        <v>31</v>
      </c>
      <c r="C4905" t="s">
        <v>32</v>
      </c>
      <c r="D4905" t="s">
        <v>719</v>
      </c>
      <c r="E4905" t="s">
        <v>720</v>
      </c>
      <c r="F4905" t="s">
        <v>35</v>
      </c>
      <c r="G4905" t="s">
        <v>35</v>
      </c>
      <c r="H4905" t="s">
        <v>35</v>
      </c>
      <c r="J4905" t="s">
        <v>5453</v>
      </c>
      <c r="K4905" t="s">
        <v>1092</v>
      </c>
      <c r="M4905">
        <v>1.7549999999999999</v>
      </c>
      <c r="N4905">
        <v>508</v>
      </c>
      <c r="O4905" t="s">
        <v>294</v>
      </c>
      <c r="Q4905" t="s">
        <v>3696</v>
      </c>
      <c r="R4905" t="s">
        <v>5454</v>
      </c>
      <c r="S4905" t="s">
        <v>756</v>
      </c>
    </row>
    <row r="4906" spans="1:19" x14ac:dyDescent="0.25">
      <c r="A4906" t="s">
        <v>30</v>
      </c>
      <c r="B4906" t="s">
        <v>31</v>
      </c>
      <c r="C4906" t="s">
        <v>32</v>
      </c>
      <c r="D4906" t="s">
        <v>719</v>
      </c>
      <c r="E4906" t="s">
        <v>720</v>
      </c>
      <c r="F4906" t="s">
        <v>35</v>
      </c>
      <c r="G4906" t="s">
        <v>35</v>
      </c>
      <c r="H4906" t="s">
        <v>35</v>
      </c>
      <c r="J4906" t="s">
        <v>5455</v>
      </c>
      <c r="K4906" t="s">
        <v>1092</v>
      </c>
      <c r="M4906">
        <v>17.864999999999998</v>
      </c>
      <c r="N4906">
        <v>49</v>
      </c>
      <c r="O4906" t="s">
        <v>52</v>
      </c>
      <c r="Q4906" t="s">
        <v>219</v>
      </c>
      <c r="R4906" t="s">
        <v>730</v>
      </c>
      <c r="S4906" t="s">
        <v>731</v>
      </c>
    </row>
    <row r="4907" spans="1:19" x14ac:dyDescent="0.25">
      <c r="A4907" t="s">
        <v>59</v>
      </c>
      <c r="B4907" t="s">
        <v>31</v>
      </c>
      <c r="C4907" t="s">
        <v>32</v>
      </c>
      <c r="D4907" t="s">
        <v>719</v>
      </c>
      <c r="E4907" t="s">
        <v>720</v>
      </c>
      <c r="F4907" t="s">
        <v>35</v>
      </c>
      <c r="G4907" t="s">
        <v>35</v>
      </c>
      <c r="H4907" t="s">
        <v>35</v>
      </c>
      <c r="J4907" t="s">
        <v>5455</v>
      </c>
      <c r="K4907" t="s">
        <v>1092</v>
      </c>
      <c r="M4907">
        <v>3.1949999999999998</v>
      </c>
      <c r="N4907">
        <v>141</v>
      </c>
      <c r="O4907" t="s">
        <v>38</v>
      </c>
      <c r="Q4907" t="s">
        <v>1822</v>
      </c>
      <c r="R4907" t="s">
        <v>730</v>
      </c>
      <c r="S4907" t="s">
        <v>731</v>
      </c>
    </row>
    <row r="4908" spans="1:19" x14ac:dyDescent="0.25">
      <c r="A4908" t="s">
        <v>30</v>
      </c>
      <c r="B4908" t="s">
        <v>31</v>
      </c>
      <c r="C4908" t="s">
        <v>32</v>
      </c>
      <c r="D4908" t="s">
        <v>719</v>
      </c>
      <c r="E4908" t="s">
        <v>720</v>
      </c>
      <c r="F4908" t="s">
        <v>35</v>
      </c>
      <c r="G4908" t="s">
        <v>35</v>
      </c>
      <c r="H4908" t="s">
        <v>35</v>
      </c>
      <c r="J4908" t="s">
        <v>5456</v>
      </c>
      <c r="K4908" t="s">
        <v>1092</v>
      </c>
      <c r="M4908">
        <v>1.125</v>
      </c>
      <c r="N4908">
        <v>95</v>
      </c>
      <c r="O4908" t="s">
        <v>106</v>
      </c>
      <c r="Q4908" t="s">
        <v>724</v>
      </c>
      <c r="R4908" t="s">
        <v>5432</v>
      </c>
      <c r="S4908" t="s">
        <v>759</v>
      </c>
    </row>
    <row r="4909" spans="1:19" x14ac:dyDescent="0.25">
      <c r="A4909" t="s">
        <v>59</v>
      </c>
      <c r="B4909" t="s">
        <v>60</v>
      </c>
      <c r="C4909" t="s">
        <v>32</v>
      </c>
      <c r="D4909" t="s">
        <v>719</v>
      </c>
      <c r="E4909" t="s">
        <v>720</v>
      </c>
      <c r="F4909" t="s">
        <v>35</v>
      </c>
      <c r="G4909" t="s">
        <v>35</v>
      </c>
      <c r="H4909" t="s">
        <v>35</v>
      </c>
      <c r="J4909" t="s">
        <v>5456</v>
      </c>
      <c r="K4909" t="s">
        <v>1092</v>
      </c>
      <c r="M4909">
        <v>2.4</v>
      </c>
      <c r="N4909">
        <v>217</v>
      </c>
      <c r="O4909" t="s">
        <v>5</v>
      </c>
      <c r="Q4909" t="s">
        <v>1159</v>
      </c>
      <c r="R4909" t="s">
        <v>725</v>
      </c>
      <c r="S4909" t="s">
        <v>726</v>
      </c>
    </row>
    <row r="4910" spans="1:19" x14ac:dyDescent="0.25">
      <c r="A4910" t="s">
        <v>59</v>
      </c>
      <c r="B4910" t="s">
        <v>31</v>
      </c>
      <c r="C4910" t="s">
        <v>32</v>
      </c>
      <c r="D4910" t="s">
        <v>719</v>
      </c>
      <c r="E4910" t="s">
        <v>720</v>
      </c>
      <c r="F4910" t="s">
        <v>35</v>
      </c>
      <c r="G4910" t="s">
        <v>35</v>
      </c>
      <c r="H4910" t="s">
        <v>35</v>
      </c>
      <c r="J4910" t="s">
        <v>5457</v>
      </c>
      <c r="K4910" t="s">
        <v>1092</v>
      </c>
      <c r="M4910">
        <v>0.94499999999999995</v>
      </c>
      <c r="N4910">
        <v>214</v>
      </c>
      <c r="O4910" t="s">
        <v>5</v>
      </c>
      <c r="Q4910" t="s">
        <v>537</v>
      </c>
      <c r="R4910" t="s">
        <v>730</v>
      </c>
      <c r="S4910" t="s">
        <v>731</v>
      </c>
    </row>
    <row r="4911" spans="1:19" x14ac:dyDescent="0.25">
      <c r="A4911" t="s">
        <v>30</v>
      </c>
      <c r="B4911" t="s">
        <v>31</v>
      </c>
      <c r="C4911" t="s">
        <v>32</v>
      </c>
      <c r="D4911" t="s">
        <v>719</v>
      </c>
      <c r="E4911" t="s">
        <v>720</v>
      </c>
      <c r="F4911" t="s">
        <v>35</v>
      </c>
      <c r="G4911" t="s">
        <v>35</v>
      </c>
      <c r="H4911" t="s">
        <v>35</v>
      </c>
      <c r="J4911" t="s">
        <v>5458</v>
      </c>
      <c r="K4911" t="s">
        <v>1092</v>
      </c>
      <c r="M4911">
        <v>11.025</v>
      </c>
      <c r="N4911">
        <v>24</v>
      </c>
      <c r="O4911" t="s">
        <v>46</v>
      </c>
      <c r="Q4911" t="s">
        <v>255</v>
      </c>
      <c r="R4911" t="s">
        <v>730</v>
      </c>
      <c r="S4911" t="s">
        <v>731</v>
      </c>
    </row>
    <row r="4912" spans="1:19" x14ac:dyDescent="0.25">
      <c r="A4912" t="s">
        <v>59</v>
      </c>
      <c r="B4912" t="s">
        <v>60</v>
      </c>
      <c r="C4912" t="s">
        <v>32</v>
      </c>
      <c r="D4912" t="s">
        <v>719</v>
      </c>
      <c r="E4912" t="s">
        <v>5459</v>
      </c>
      <c r="F4912" t="s">
        <v>35</v>
      </c>
      <c r="G4912" t="s">
        <v>35</v>
      </c>
      <c r="H4912" t="s">
        <v>35</v>
      </c>
      <c r="J4912" t="s">
        <v>5462</v>
      </c>
      <c r="K4912" t="s">
        <v>1092</v>
      </c>
      <c r="M4912">
        <v>5.4</v>
      </c>
      <c r="N4912">
        <v>144</v>
      </c>
      <c r="O4912" t="s">
        <v>38</v>
      </c>
      <c r="Q4912" t="s">
        <v>2929</v>
      </c>
      <c r="R4912" t="s">
        <v>5461</v>
      </c>
      <c r="S4912" t="s">
        <v>479</v>
      </c>
    </row>
    <row r="4913" spans="1:19" x14ac:dyDescent="0.25">
      <c r="A4913" t="s">
        <v>30</v>
      </c>
      <c r="B4913" t="s">
        <v>31</v>
      </c>
      <c r="C4913" t="s">
        <v>32</v>
      </c>
      <c r="D4913" t="s">
        <v>719</v>
      </c>
      <c r="E4913" t="s">
        <v>5459</v>
      </c>
      <c r="F4913" t="s">
        <v>35</v>
      </c>
      <c r="G4913" t="s">
        <v>35</v>
      </c>
      <c r="H4913" t="s">
        <v>35</v>
      </c>
      <c r="J4913" t="s">
        <v>5463</v>
      </c>
      <c r="K4913" t="s">
        <v>1092</v>
      </c>
      <c r="M4913">
        <v>6.165</v>
      </c>
      <c r="N4913">
        <v>49</v>
      </c>
      <c r="O4913" t="s">
        <v>52</v>
      </c>
      <c r="Q4913" t="s">
        <v>219</v>
      </c>
      <c r="R4913" t="s">
        <v>730</v>
      </c>
      <c r="S4913" t="s">
        <v>731</v>
      </c>
    </row>
    <row r="4914" spans="1:19" x14ac:dyDescent="0.25">
      <c r="A4914" t="s">
        <v>30</v>
      </c>
      <c r="B4914" t="s">
        <v>31</v>
      </c>
      <c r="C4914" t="s">
        <v>32</v>
      </c>
      <c r="D4914" t="s">
        <v>719</v>
      </c>
      <c r="E4914" t="s">
        <v>5459</v>
      </c>
      <c r="F4914" t="s">
        <v>35</v>
      </c>
      <c r="G4914" t="s">
        <v>35</v>
      </c>
      <c r="H4914" t="s">
        <v>35</v>
      </c>
      <c r="J4914" t="s">
        <v>5464</v>
      </c>
      <c r="K4914" t="s">
        <v>1092</v>
      </c>
      <c r="M4914">
        <v>1.4850000000000001</v>
      </c>
      <c r="N4914">
        <v>68</v>
      </c>
      <c r="O4914" t="s">
        <v>61</v>
      </c>
      <c r="Q4914" t="s">
        <v>146</v>
      </c>
      <c r="R4914" t="s">
        <v>5461</v>
      </c>
      <c r="S4914" t="s">
        <v>479</v>
      </c>
    </row>
    <row r="4915" spans="1:19" x14ac:dyDescent="0.25">
      <c r="A4915" t="s">
        <v>59</v>
      </c>
      <c r="B4915" t="s">
        <v>31</v>
      </c>
      <c r="C4915" t="s">
        <v>32</v>
      </c>
      <c r="D4915" t="s">
        <v>719</v>
      </c>
      <c r="E4915" t="s">
        <v>5459</v>
      </c>
      <c r="F4915" t="s">
        <v>35</v>
      </c>
      <c r="G4915" t="s">
        <v>35</v>
      </c>
      <c r="H4915" t="s">
        <v>35</v>
      </c>
      <c r="J4915" t="s">
        <v>5465</v>
      </c>
      <c r="K4915" t="s">
        <v>1092</v>
      </c>
      <c r="M4915">
        <v>0.03</v>
      </c>
      <c r="N4915">
        <v>1537</v>
      </c>
      <c r="O4915" t="s">
        <v>575</v>
      </c>
      <c r="Q4915" t="s">
        <v>5466</v>
      </c>
      <c r="R4915" t="s">
        <v>5461</v>
      </c>
      <c r="S4915" t="s">
        <v>479</v>
      </c>
    </row>
    <row r="4916" spans="1:19" x14ac:dyDescent="0.25">
      <c r="A4916" t="s">
        <v>59</v>
      </c>
      <c r="B4916" t="s">
        <v>60</v>
      </c>
      <c r="C4916" t="s">
        <v>32</v>
      </c>
      <c r="D4916" t="s">
        <v>719</v>
      </c>
      <c r="E4916" t="s">
        <v>5459</v>
      </c>
      <c r="F4916" t="s">
        <v>35</v>
      </c>
      <c r="G4916" t="s">
        <v>35</v>
      </c>
      <c r="H4916" t="s">
        <v>35</v>
      </c>
      <c r="J4916" t="s">
        <v>5467</v>
      </c>
      <c r="K4916" t="s">
        <v>1092</v>
      </c>
      <c r="M4916">
        <v>0.85</v>
      </c>
      <c r="N4916">
        <v>553</v>
      </c>
      <c r="O4916" t="s">
        <v>575</v>
      </c>
      <c r="Q4916" t="s">
        <v>5345</v>
      </c>
      <c r="R4916" t="s">
        <v>5468</v>
      </c>
      <c r="S4916" t="s">
        <v>5469</v>
      </c>
    </row>
    <row r="4917" spans="1:19" x14ac:dyDescent="0.25">
      <c r="A4917" t="s">
        <v>30</v>
      </c>
      <c r="B4917" t="s">
        <v>31</v>
      </c>
      <c r="C4917" t="s">
        <v>32</v>
      </c>
      <c r="D4917" t="s">
        <v>719</v>
      </c>
      <c r="E4917" t="s">
        <v>5459</v>
      </c>
      <c r="F4917" t="s">
        <v>35</v>
      </c>
      <c r="G4917" t="s">
        <v>35</v>
      </c>
      <c r="H4917" t="s">
        <v>35</v>
      </c>
      <c r="J4917" t="s">
        <v>5471</v>
      </c>
      <c r="K4917" t="s">
        <v>1092</v>
      </c>
      <c r="M4917">
        <v>4.95</v>
      </c>
      <c r="N4917">
        <v>93</v>
      </c>
      <c r="O4917" t="s">
        <v>106</v>
      </c>
      <c r="Q4917" t="s">
        <v>941</v>
      </c>
      <c r="R4917" t="s">
        <v>5461</v>
      </c>
      <c r="S4917" t="s">
        <v>479</v>
      </c>
    </row>
    <row r="4918" spans="1:19" x14ac:dyDescent="0.25">
      <c r="A4918" t="s">
        <v>59</v>
      </c>
      <c r="B4918" t="s">
        <v>60</v>
      </c>
      <c r="C4918" t="s">
        <v>32</v>
      </c>
      <c r="D4918" t="s">
        <v>719</v>
      </c>
      <c r="E4918" t="s">
        <v>5459</v>
      </c>
      <c r="F4918" t="s">
        <v>35</v>
      </c>
      <c r="G4918" t="s">
        <v>35</v>
      </c>
      <c r="H4918" t="s">
        <v>35</v>
      </c>
      <c r="J4918" t="s">
        <v>5472</v>
      </c>
      <c r="K4918" t="s">
        <v>1092</v>
      </c>
      <c r="M4918">
        <v>0.45</v>
      </c>
      <c r="N4918">
        <v>214</v>
      </c>
      <c r="O4918" t="s">
        <v>5</v>
      </c>
      <c r="Q4918" t="s">
        <v>537</v>
      </c>
      <c r="R4918" t="s">
        <v>730</v>
      </c>
      <c r="S4918" t="s">
        <v>731</v>
      </c>
    </row>
    <row r="4919" spans="1:19" x14ac:dyDescent="0.25">
      <c r="A4919" t="s">
        <v>30</v>
      </c>
      <c r="B4919" t="s">
        <v>31</v>
      </c>
      <c r="C4919" t="s">
        <v>32</v>
      </c>
      <c r="D4919" t="s">
        <v>719</v>
      </c>
      <c r="E4919" t="s">
        <v>5459</v>
      </c>
      <c r="F4919" t="s">
        <v>35</v>
      </c>
      <c r="G4919" t="s">
        <v>35</v>
      </c>
      <c r="H4919" t="s">
        <v>35</v>
      </c>
      <c r="J4919" t="s">
        <v>5472</v>
      </c>
      <c r="K4919" t="s">
        <v>1092</v>
      </c>
      <c r="M4919">
        <v>3.0150000000000001</v>
      </c>
      <c r="N4919">
        <v>49</v>
      </c>
      <c r="O4919" t="s">
        <v>52</v>
      </c>
      <c r="Q4919" t="s">
        <v>219</v>
      </c>
      <c r="R4919" t="s">
        <v>730</v>
      </c>
      <c r="S4919" t="s">
        <v>731</v>
      </c>
    </row>
    <row r="4920" spans="1:19" x14ac:dyDescent="0.25">
      <c r="A4920" t="s">
        <v>30</v>
      </c>
      <c r="B4920" t="s">
        <v>31</v>
      </c>
      <c r="C4920" t="s">
        <v>32</v>
      </c>
      <c r="D4920" t="s">
        <v>719</v>
      </c>
      <c r="E4920" t="s">
        <v>5459</v>
      </c>
      <c r="F4920" t="s">
        <v>35</v>
      </c>
      <c r="G4920" t="s">
        <v>35</v>
      </c>
      <c r="H4920" t="s">
        <v>35</v>
      </c>
      <c r="J4920" t="s">
        <v>5473</v>
      </c>
      <c r="K4920" t="s">
        <v>1092</v>
      </c>
      <c r="M4920">
        <v>9.4499999999999993</v>
      </c>
      <c r="N4920">
        <v>129</v>
      </c>
      <c r="O4920" t="s">
        <v>38</v>
      </c>
      <c r="Q4920" t="s">
        <v>1449</v>
      </c>
      <c r="R4920" t="s">
        <v>5454</v>
      </c>
      <c r="S4920" t="s">
        <v>756</v>
      </c>
    </row>
    <row r="4921" spans="1:19" x14ac:dyDescent="0.25">
      <c r="A4921" t="s">
        <v>30</v>
      </c>
      <c r="B4921" t="s">
        <v>31</v>
      </c>
      <c r="C4921" t="s">
        <v>32</v>
      </c>
      <c r="D4921" t="s">
        <v>719</v>
      </c>
      <c r="E4921" t="s">
        <v>5459</v>
      </c>
      <c r="F4921" t="s">
        <v>35</v>
      </c>
      <c r="G4921" t="s">
        <v>35</v>
      </c>
      <c r="H4921" t="s">
        <v>35</v>
      </c>
      <c r="J4921" t="s">
        <v>5474</v>
      </c>
      <c r="K4921" t="s">
        <v>1092</v>
      </c>
      <c r="M4921">
        <v>0.81</v>
      </c>
      <c r="N4921">
        <v>1344</v>
      </c>
      <c r="O4921" t="s">
        <v>575</v>
      </c>
      <c r="Q4921" t="s">
        <v>5475</v>
      </c>
      <c r="R4921" t="s">
        <v>5461</v>
      </c>
      <c r="S4921" t="s">
        <v>479</v>
      </c>
    </row>
    <row r="4922" spans="1:19" x14ac:dyDescent="0.25">
      <c r="A4922" t="s">
        <v>59</v>
      </c>
      <c r="B4922" t="s">
        <v>60</v>
      </c>
      <c r="C4922" t="s">
        <v>32</v>
      </c>
      <c r="D4922" t="s">
        <v>719</v>
      </c>
      <c r="E4922" t="s">
        <v>5459</v>
      </c>
      <c r="F4922" t="s">
        <v>35</v>
      </c>
      <c r="G4922" t="s">
        <v>35</v>
      </c>
      <c r="H4922" t="s">
        <v>35</v>
      </c>
      <c r="J4922" t="s">
        <v>5474</v>
      </c>
      <c r="K4922" t="s">
        <v>1092</v>
      </c>
      <c r="M4922">
        <v>0.1</v>
      </c>
      <c r="N4922">
        <v>1855</v>
      </c>
      <c r="O4922" t="s">
        <v>575</v>
      </c>
      <c r="Q4922" t="s">
        <v>5476</v>
      </c>
      <c r="R4922" t="s">
        <v>5461</v>
      </c>
      <c r="S4922" t="s">
        <v>479</v>
      </c>
    </row>
    <row r="4923" spans="1:19" x14ac:dyDescent="0.25">
      <c r="A4923" t="s">
        <v>59</v>
      </c>
      <c r="B4923" t="s">
        <v>60</v>
      </c>
      <c r="C4923" t="s">
        <v>32</v>
      </c>
      <c r="D4923" t="s">
        <v>719</v>
      </c>
      <c r="E4923" t="s">
        <v>5459</v>
      </c>
      <c r="F4923" t="s">
        <v>35</v>
      </c>
      <c r="G4923" t="s">
        <v>35</v>
      </c>
      <c r="H4923" t="s">
        <v>35</v>
      </c>
      <c r="J4923" t="s">
        <v>5477</v>
      </c>
      <c r="K4923" t="s">
        <v>1092</v>
      </c>
      <c r="M4923">
        <v>1.23</v>
      </c>
      <c r="N4923">
        <v>1123</v>
      </c>
      <c r="O4923" t="s">
        <v>575</v>
      </c>
      <c r="Q4923" t="s">
        <v>5478</v>
      </c>
      <c r="R4923" t="s">
        <v>5461</v>
      </c>
      <c r="S4923" t="s">
        <v>479</v>
      </c>
    </row>
    <row r="4924" spans="1:19" x14ac:dyDescent="0.25">
      <c r="A4924" t="s">
        <v>59</v>
      </c>
      <c r="B4924" t="s">
        <v>31</v>
      </c>
      <c r="C4924" t="s">
        <v>32</v>
      </c>
      <c r="D4924" t="s">
        <v>719</v>
      </c>
      <c r="E4924" t="s">
        <v>5459</v>
      </c>
      <c r="F4924" t="s">
        <v>35</v>
      </c>
      <c r="G4924" t="s">
        <v>35</v>
      </c>
      <c r="H4924" t="s">
        <v>35</v>
      </c>
      <c r="J4924" t="s">
        <v>5479</v>
      </c>
      <c r="K4924" t="s">
        <v>1092</v>
      </c>
      <c r="M4924">
        <v>9</v>
      </c>
      <c r="N4924">
        <v>131</v>
      </c>
      <c r="O4924" t="s">
        <v>38</v>
      </c>
      <c r="Q4924" t="s">
        <v>646</v>
      </c>
      <c r="R4924" t="s">
        <v>730</v>
      </c>
      <c r="S4924" t="s">
        <v>731</v>
      </c>
    </row>
    <row r="4925" spans="1:19" x14ac:dyDescent="0.25">
      <c r="A4925" t="s">
        <v>59</v>
      </c>
      <c r="B4925" t="s">
        <v>60</v>
      </c>
      <c r="C4925" t="s">
        <v>32</v>
      </c>
      <c r="D4925" t="s">
        <v>719</v>
      </c>
      <c r="E4925" t="s">
        <v>5459</v>
      </c>
      <c r="F4925" t="s">
        <v>35</v>
      </c>
      <c r="G4925" t="s">
        <v>35</v>
      </c>
      <c r="H4925" t="s">
        <v>35</v>
      </c>
      <c r="J4925" t="s">
        <v>5480</v>
      </c>
      <c r="K4925" t="s">
        <v>1092</v>
      </c>
      <c r="M4925">
        <v>4.6500000000000004</v>
      </c>
      <c r="N4925">
        <v>1220</v>
      </c>
      <c r="O4925" t="s">
        <v>575</v>
      </c>
      <c r="Q4925" t="s">
        <v>1525</v>
      </c>
      <c r="R4925" t="s">
        <v>5481</v>
      </c>
      <c r="S4925" t="s">
        <v>4452</v>
      </c>
    </row>
    <row r="4926" spans="1:19" x14ac:dyDescent="0.25">
      <c r="A4926" t="s">
        <v>30</v>
      </c>
      <c r="B4926" t="s">
        <v>31</v>
      </c>
      <c r="C4926" t="s">
        <v>32</v>
      </c>
      <c r="D4926" t="s">
        <v>719</v>
      </c>
      <c r="E4926" t="s">
        <v>5459</v>
      </c>
      <c r="F4926" t="s">
        <v>35</v>
      </c>
      <c r="G4926" t="s">
        <v>35</v>
      </c>
      <c r="H4926" t="s">
        <v>35</v>
      </c>
      <c r="J4926" t="s">
        <v>5483</v>
      </c>
      <c r="K4926" t="s">
        <v>1092</v>
      </c>
      <c r="M4926">
        <v>5.5350000000000001</v>
      </c>
      <c r="N4926">
        <v>97</v>
      </c>
      <c r="O4926" t="s">
        <v>106</v>
      </c>
      <c r="Q4926" t="s">
        <v>557</v>
      </c>
      <c r="R4926" t="s">
        <v>730</v>
      </c>
      <c r="S4926" t="s">
        <v>731</v>
      </c>
    </row>
    <row r="4927" spans="1:19" x14ac:dyDescent="0.25">
      <c r="A4927" t="s">
        <v>30</v>
      </c>
      <c r="B4927" t="s">
        <v>31</v>
      </c>
      <c r="C4927" t="s">
        <v>32</v>
      </c>
      <c r="D4927" t="s">
        <v>719</v>
      </c>
      <c r="E4927" t="s">
        <v>5459</v>
      </c>
      <c r="F4927" t="s">
        <v>35</v>
      </c>
      <c r="G4927" t="s">
        <v>35</v>
      </c>
      <c r="H4927" t="s">
        <v>35</v>
      </c>
      <c r="J4927" t="s">
        <v>5483</v>
      </c>
      <c r="K4927" t="s">
        <v>1092</v>
      </c>
      <c r="M4927">
        <v>10.26</v>
      </c>
      <c r="N4927">
        <v>198</v>
      </c>
      <c r="O4927" t="s">
        <v>5</v>
      </c>
      <c r="Q4927" t="s">
        <v>4086</v>
      </c>
      <c r="R4927" t="s">
        <v>730</v>
      </c>
      <c r="S4927" t="s">
        <v>731</v>
      </c>
    </row>
    <row r="4928" spans="1:19" x14ac:dyDescent="0.25">
      <c r="A4928" t="s">
        <v>59</v>
      </c>
      <c r="B4928" t="s">
        <v>31</v>
      </c>
      <c r="C4928" t="s">
        <v>32</v>
      </c>
      <c r="D4928" t="s">
        <v>719</v>
      </c>
      <c r="E4928" t="s">
        <v>5459</v>
      </c>
      <c r="F4928" t="s">
        <v>35</v>
      </c>
      <c r="G4928" t="s">
        <v>35</v>
      </c>
      <c r="H4928" t="s">
        <v>35</v>
      </c>
      <c r="J4928" t="s">
        <v>5484</v>
      </c>
      <c r="K4928" t="s">
        <v>1092</v>
      </c>
      <c r="M4928">
        <v>7.875</v>
      </c>
      <c r="N4928">
        <v>173</v>
      </c>
      <c r="O4928" t="s">
        <v>38</v>
      </c>
      <c r="Q4928" t="s">
        <v>1345</v>
      </c>
      <c r="R4928" t="s">
        <v>5461</v>
      </c>
      <c r="S4928" t="s">
        <v>479</v>
      </c>
    </row>
    <row r="4929" spans="1:19" x14ac:dyDescent="0.25">
      <c r="A4929" t="s">
        <v>59</v>
      </c>
      <c r="B4929" t="s">
        <v>60</v>
      </c>
      <c r="C4929" t="s">
        <v>32</v>
      </c>
      <c r="D4929" t="s">
        <v>719</v>
      </c>
      <c r="E4929" t="s">
        <v>5459</v>
      </c>
      <c r="F4929" t="s">
        <v>35</v>
      </c>
      <c r="G4929" t="s">
        <v>35</v>
      </c>
      <c r="H4929" t="s">
        <v>35</v>
      </c>
      <c r="J4929" t="s">
        <v>5485</v>
      </c>
      <c r="K4929" t="s">
        <v>1092</v>
      </c>
      <c r="M4929">
        <v>0.04</v>
      </c>
      <c r="N4929">
        <v>2673</v>
      </c>
      <c r="O4929" t="s">
        <v>575</v>
      </c>
      <c r="Q4929" t="s">
        <v>1486</v>
      </c>
      <c r="R4929" t="s">
        <v>1487</v>
      </c>
      <c r="S4929" t="s">
        <v>1488</v>
      </c>
    </row>
    <row r="4930" spans="1:19" x14ac:dyDescent="0.25">
      <c r="A4930" t="s">
        <v>44</v>
      </c>
      <c r="B4930" t="s">
        <v>3005</v>
      </c>
      <c r="C4930" t="s">
        <v>32</v>
      </c>
      <c r="D4930" t="s">
        <v>719</v>
      </c>
      <c r="E4930" t="s">
        <v>5459</v>
      </c>
      <c r="F4930" t="s">
        <v>35</v>
      </c>
      <c r="G4930" t="s">
        <v>35</v>
      </c>
      <c r="H4930" t="s">
        <v>35</v>
      </c>
      <c r="J4930" t="s">
        <v>5486</v>
      </c>
      <c r="K4930" t="s">
        <v>1092</v>
      </c>
      <c r="M4930">
        <v>0.85</v>
      </c>
      <c r="N4930">
        <v>1480</v>
      </c>
      <c r="O4930" t="s">
        <v>575</v>
      </c>
      <c r="Q4930" t="s">
        <v>5487</v>
      </c>
      <c r="R4930" t="s">
        <v>5461</v>
      </c>
      <c r="S4930" t="s">
        <v>479</v>
      </c>
    </row>
    <row r="4931" spans="1:19" x14ac:dyDescent="0.25">
      <c r="A4931" t="s">
        <v>30</v>
      </c>
      <c r="B4931" t="s">
        <v>31</v>
      </c>
      <c r="C4931" t="s">
        <v>32</v>
      </c>
      <c r="D4931" t="s">
        <v>719</v>
      </c>
      <c r="E4931" t="s">
        <v>5459</v>
      </c>
      <c r="F4931" t="s">
        <v>35</v>
      </c>
      <c r="G4931" t="s">
        <v>35</v>
      </c>
      <c r="H4931" t="s">
        <v>35</v>
      </c>
      <c r="J4931" t="s">
        <v>5486</v>
      </c>
      <c r="K4931" t="s">
        <v>1092</v>
      </c>
      <c r="M4931">
        <v>5.8949999999999996</v>
      </c>
      <c r="N4931">
        <v>1510</v>
      </c>
      <c r="O4931" t="s">
        <v>575</v>
      </c>
      <c r="Q4931" t="s">
        <v>5489</v>
      </c>
      <c r="R4931" t="s">
        <v>5461</v>
      </c>
      <c r="S4931" t="s">
        <v>479</v>
      </c>
    </row>
    <row r="4932" spans="1:19" x14ac:dyDescent="0.25">
      <c r="A4932" t="s">
        <v>59</v>
      </c>
      <c r="B4932" t="s">
        <v>60</v>
      </c>
      <c r="C4932" t="s">
        <v>32</v>
      </c>
      <c r="D4932" t="s">
        <v>719</v>
      </c>
      <c r="E4932" t="s">
        <v>5459</v>
      </c>
      <c r="F4932" t="s">
        <v>35</v>
      </c>
      <c r="G4932" t="s">
        <v>35</v>
      </c>
      <c r="H4932" t="s">
        <v>35</v>
      </c>
      <c r="J4932" t="s">
        <v>5486</v>
      </c>
      <c r="K4932" t="s">
        <v>1092</v>
      </c>
      <c r="M4932">
        <v>1</v>
      </c>
      <c r="N4932">
        <v>1480</v>
      </c>
      <c r="O4932" t="s">
        <v>575</v>
      </c>
      <c r="Q4932" t="s">
        <v>5487</v>
      </c>
      <c r="R4932" t="s">
        <v>5461</v>
      </c>
      <c r="S4932" t="s">
        <v>479</v>
      </c>
    </row>
    <row r="4933" spans="1:19" x14ac:dyDescent="0.25">
      <c r="A4933" t="s">
        <v>59</v>
      </c>
      <c r="B4933" t="s">
        <v>31</v>
      </c>
      <c r="C4933" t="s">
        <v>32</v>
      </c>
      <c r="D4933" t="s">
        <v>719</v>
      </c>
      <c r="E4933" t="s">
        <v>5459</v>
      </c>
      <c r="F4933" t="s">
        <v>35</v>
      </c>
      <c r="G4933" t="s">
        <v>35</v>
      </c>
      <c r="H4933" t="s">
        <v>35</v>
      </c>
      <c r="J4933" t="s">
        <v>5486</v>
      </c>
      <c r="K4933" t="s">
        <v>1092</v>
      </c>
      <c r="M4933">
        <v>0.72</v>
      </c>
      <c r="N4933">
        <v>1522</v>
      </c>
      <c r="O4933" t="s">
        <v>575</v>
      </c>
      <c r="Q4933" t="s">
        <v>5488</v>
      </c>
      <c r="R4933" t="s">
        <v>5461</v>
      </c>
      <c r="S4933" t="s">
        <v>479</v>
      </c>
    </row>
    <row r="4934" spans="1:19" x14ac:dyDescent="0.25">
      <c r="A4934" t="s">
        <v>59</v>
      </c>
      <c r="B4934" t="s">
        <v>60</v>
      </c>
      <c r="C4934" t="s">
        <v>32</v>
      </c>
      <c r="D4934" t="s">
        <v>719</v>
      </c>
      <c r="E4934" t="s">
        <v>5459</v>
      </c>
      <c r="F4934" t="s">
        <v>35</v>
      </c>
      <c r="G4934" t="s">
        <v>35</v>
      </c>
      <c r="H4934" t="s">
        <v>35</v>
      </c>
      <c r="J4934" t="s">
        <v>5486</v>
      </c>
      <c r="K4934" t="s">
        <v>1092</v>
      </c>
      <c r="M4934">
        <v>0.55000000000000004</v>
      </c>
      <c r="N4934">
        <v>1501</v>
      </c>
      <c r="O4934" t="s">
        <v>575</v>
      </c>
      <c r="Q4934" t="s">
        <v>5490</v>
      </c>
      <c r="R4934" t="s">
        <v>5461</v>
      </c>
      <c r="S4934" t="s">
        <v>479</v>
      </c>
    </row>
    <row r="4935" spans="1:19" x14ac:dyDescent="0.25">
      <c r="A4935" t="s">
        <v>59</v>
      </c>
      <c r="B4935" t="s">
        <v>31</v>
      </c>
      <c r="C4935" t="s">
        <v>32</v>
      </c>
      <c r="D4935" t="s">
        <v>719</v>
      </c>
      <c r="E4935" t="s">
        <v>5459</v>
      </c>
      <c r="F4935" t="s">
        <v>35</v>
      </c>
      <c r="G4935" t="s">
        <v>35</v>
      </c>
      <c r="H4935" t="s">
        <v>35</v>
      </c>
      <c r="J4935" t="s">
        <v>5491</v>
      </c>
      <c r="K4935" t="s">
        <v>1092</v>
      </c>
      <c r="M4935">
        <v>9.9450000000000003</v>
      </c>
      <c r="N4935">
        <v>143</v>
      </c>
      <c r="O4935" t="s">
        <v>38</v>
      </c>
      <c r="Q4935" t="s">
        <v>2121</v>
      </c>
      <c r="R4935" t="s">
        <v>5432</v>
      </c>
      <c r="S4935" t="s">
        <v>759</v>
      </c>
    </row>
    <row r="4936" spans="1:19" x14ac:dyDescent="0.25">
      <c r="A4936" t="s">
        <v>30</v>
      </c>
      <c r="B4936" t="s">
        <v>31</v>
      </c>
      <c r="C4936" t="s">
        <v>32</v>
      </c>
      <c r="D4936" t="s">
        <v>719</v>
      </c>
      <c r="E4936" t="s">
        <v>5459</v>
      </c>
      <c r="F4936" t="s">
        <v>35</v>
      </c>
      <c r="G4936" t="s">
        <v>35</v>
      </c>
      <c r="H4936" t="s">
        <v>35</v>
      </c>
      <c r="J4936" t="s">
        <v>5492</v>
      </c>
      <c r="K4936" t="s">
        <v>1092</v>
      </c>
      <c r="M4936">
        <v>2.5649999999999999</v>
      </c>
      <c r="N4936">
        <v>69</v>
      </c>
      <c r="O4936" t="s">
        <v>61</v>
      </c>
      <c r="Q4936" t="s">
        <v>139</v>
      </c>
      <c r="R4936" t="s">
        <v>730</v>
      </c>
      <c r="S4936" t="s">
        <v>731</v>
      </c>
    </row>
    <row r="4937" spans="1:19" x14ac:dyDescent="0.25">
      <c r="A4937" t="s">
        <v>59</v>
      </c>
      <c r="B4937" t="s">
        <v>60</v>
      </c>
      <c r="C4937" t="s">
        <v>32</v>
      </c>
      <c r="D4937" t="s">
        <v>719</v>
      </c>
      <c r="E4937" t="s">
        <v>5459</v>
      </c>
      <c r="F4937" t="s">
        <v>35</v>
      </c>
      <c r="G4937" t="s">
        <v>35</v>
      </c>
      <c r="H4937" t="s">
        <v>35</v>
      </c>
      <c r="J4937" t="s">
        <v>5493</v>
      </c>
      <c r="K4937" t="s">
        <v>1092</v>
      </c>
      <c r="M4937">
        <v>0.41</v>
      </c>
      <c r="N4937">
        <v>1525</v>
      </c>
      <c r="O4937" t="s">
        <v>575</v>
      </c>
      <c r="Q4937" t="s">
        <v>5494</v>
      </c>
      <c r="R4937" t="s">
        <v>5461</v>
      </c>
      <c r="S4937" t="s">
        <v>479</v>
      </c>
    </row>
    <row r="4938" spans="1:19" x14ac:dyDescent="0.25">
      <c r="A4938" t="s">
        <v>59</v>
      </c>
      <c r="B4938" t="s">
        <v>60</v>
      </c>
      <c r="C4938" t="s">
        <v>32</v>
      </c>
      <c r="D4938" t="s">
        <v>719</v>
      </c>
      <c r="E4938" t="s">
        <v>5459</v>
      </c>
      <c r="F4938" t="s">
        <v>35</v>
      </c>
      <c r="G4938" t="s">
        <v>35</v>
      </c>
      <c r="H4938" t="s">
        <v>35</v>
      </c>
      <c r="J4938" t="s">
        <v>5493</v>
      </c>
      <c r="K4938" t="s">
        <v>1092</v>
      </c>
      <c r="M4938">
        <v>0.5</v>
      </c>
      <c r="N4938">
        <v>759</v>
      </c>
      <c r="O4938" t="s">
        <v>575</v>
      </c>
      <c r="Q4938" t="s">
        <v>2176</v>
      </c>
      <c r="R4938" t="s">
        <v>5461</v>
      </c>
      <c r="S4938" t="s">
        <v>479</v>
      </c>
    </row>
    <row r="4939" spans="1:19" x14ac:dyDescent="0.25">
      <c r="A4939" t="s">
        <v>30</v>
      </c>
      <c r="B4939" t="s">
        <v>31</v>
      </c>
      <c r="C4939" t="s">
        <v>32</v>
      </c>
      <c r="D4939" t="s">
        <v>719</v>
      </c>
      <c r="E4939" t="s">
        <v>5459</v>
      </c>
      <c r="F4939" t="s">
        <v>35</v>
      </c>
      <c r="G4939" t="s">
        <v>35</v>
      </c>
      <c r="H4939" t="s">
        <v>35</v>
      </c>
      <c r="J4939" t="s">
        <v>5495</v>
      </c>
      <c r="K4939" t="s">
        <v>1092</v>
      </c>
      <c r="M4939">
        <v>3.8250000000000002</v>
      </c>
      <c r="N4939">
        <v>69</v>
      </c>
      <c r="O4939" t="s">
        <v>61</v>
      </c>
      <c r="Q4939" t="s">
        <v>139</v>
      </c>
      <c r="R4939" t="s">
        <v>730</v>
      </c>
      <c r="S4939" t="s">
        <v>731</v>
      </c>
    </row>
    <row r="4940" spans="1:19" x14ac:dyDescent="0.25">
      <c r="A4940" t="s">
        <v>30</v>
      </c>
      <c r="B4940" t="s">
        <v>31</v>
      </c>
      <c r="C4940" t="s">
        <v>32</v>
      </c>
      <c r="D4940" t="s">
        <v>719</v>
      </c>
      <c r="E4940" t="s">
        <v>5459</v>
      </c>
      <c r="F4940" t="s">
        <v>35</v>
      </c>
      <c r="G4940" t="s">
        <v>35</v>
      </c>
      <c r="H4940" t="s">
        <v>35</v>
      </c>
      <c r="J4940" t="s">
        <v>5496</v>
      </c>
      <c r="K4940" t="s">
        <v>1092</v>
      </c>
      <c r="M4940">
        <v>5.8049999999999997</v>
      </c>
      <c r="N4940">
        <v>24</v>
      </c>
      <c r="O4940" t="s">
        <v>46</v>
      </c>
      <c r="Q4940" t="s">
        <v>255</v>
      </c>
      <c r="R4940" t="s">
        <v>730</v>
      </c>
      <c r="S4940" t="s">
        <v>731</v>
      </c>
    </row>
    <row r="4941" spans="1:19" x14ac:dyDescent="0.25">
      <c r="A4941" t="s">
        <v>30</v>
      </c>
      <c r="B4941" t="s">
        <v>31</v>
      </c>
      <c r="C4941" t="s">
        <v>32</v>
      </c>
      <c r="D4941" t="s">
        <v>719</v>
      </c>
      <c r="E4941" t="s">
        <v>5497</v>
      </c>
      <c r="F4941" t="s">
        <v>35</v>
      </c>
      <c r="G4941" t="s">
        <v>35</v>
      </c>
      <c r="H4941" t="s">
        <v>35</v>
      </c>
      <c r="J4941" t="s">
        <v>5498</v>
      </c>
      <c r="K4941" t="s">
        <v>1092</v>
      </c>
      <c r="M4941">
        <v>1.2649999999999999</v>
      </c>
      <c r="N4941">
        <v>499</v>
      </c>
      <c r="O4941" t="s">
        <v>294</v>
      </c>
      <c r="Q4941" t="s">
        <v>1503</v>
      </c>
      <c r="R4941" t="s">
        <v>5439</v>
      </c>
      <c r="S4941" t="s">
        <v>5440</v>
      </c>
    </row>
    <row r="4942" spans="1:19" x14ac:dyDescent="0.25">
      <c r="A4942" t="s">
        <v>30</v>
      </c>
      <c r="B4942" t="s">
        <v>31</v>
      </c>
      <c r="C4942" t="s">
        <v>32</v>
      </c>
      <c r="D4942" t="s">
        <v>719</v>
      </c>
      <c r="E4942" t="s">
        <v>5497</v>
      </c>
      <c r="F4942" t="s">
        <v>35</v>
      </c>
      <c r="G4942" t="s">
        <v>35</v>
      </c>
      <c r="H4942" t="s">
        <v>35</v>
      </c>
      <c r="J4942" t="s">
        <v>5498</v>
      </c>
      <c r="K4942" t="s">
        <v>1092</v>
      </c>
      <c r="M4942">
        <v>4.05</v>
      </c>
      <c r="N4942">
        <v>447</v>
      </c>
      <c r="O4942" t="s">
        <v>294</v>
      </c>
      <c r="Q4942" t="s">
        <v>5499</v>
      </c>
      <c r="R4942" t="s">
        <v>5461</v>
      </c>
      <c r="S4942" t="s">
        <v>479</v>
      </c>
    </row>
    <row r="4943" spans="1:19" x14ac:dyDescent="0.25">
      <c r="A4943" t="s">
        <v>30</v>
      </c>
      <c r="B4943" t="s">
        <v>31</v>
      </c>
      <c r="C4943" t="s">
        <v>32</v>
      </c>
      <c r="D4943" t="s">
        <v>719</v>
      </c>
      <c r="E4943" t="s">
        <v>5497</v>
      </c>
      <c r="F4943" t="s">
        <v>35</v>
      </c>
      <c r="G4943" t="s">
        <v>35</v>
      </c>
      <c r="H4943" t="s">
        <v>35</v>
      </c>
      <c r="J4943" t="s">
        <v>5500</v>
      </c>
      <c r="K4943" t="s">
        <v>1092</v>
      </c>
      <c r="M4943">
        <v>2.52</v>
      </c>
      <c r="N4943">
        <v>49</v>
      </c>
      <c r="O4943" t="s">
        <v>52</v>
      </c>
      <c r="Q4943" t="s">
        <v>219</v>
      </c>
      <c r="R4943" t="s">
        <v>5454</v>
      </c>
      <c r="S4943" t="s">
        <v>756</v>
      </c>
    </row>
    <row r="4944" spans="1:19" x14ac:dyDescent="0.25">
      <c r="A4944" t="s">
        <v>59</v>
      </c>
      <c r="B4944" t="s">
        <v>31</v>
      </c>
      <c r="C4944" t="s">
        <v>32</v>
      </c>
      <c r="D4944" t="s">
        <v>719</v>
      </c>
      <c r="E4944" t="s">
        <v>5497</v>
      </c>
      <c r="F4944" t="s">
        <v>35</v>
      </c>
      <c r="G4944" t="s">
        <v>35</v>
      </c>
      <c r="H4944" t="s">
        <v>35</v>
      </c>
      <c r="J4944" t="s">
        <v>5501</v>
      </c>
      <c r="K4944" t="s">
        <v>1092</v>
      </c>
      <c r="M4944">
        <v>9.2249999999999996</v>
      </c>
      <c r="N4944">
        <v>143</v>
      </c>
      <c r="O4944" t="s">
        <v>38</v>
      </c>
      <c r="Q4944" t="s">
        <v>2121</v>
      </c>
      <c r="R4944" t="s">
        <v>5432</v>
      </c>
      <c r="S4944" t="s">
        <v>759</v>
      </c>
    </row>
    <row r="4945" spans="1:19" x14ac:dyDescent="0.25">
      <c r="A4945" t="s">
        <v>30</v>
      </c>
      <c r="B4945" t="s">
        <v>31</v>
      </c>
      <c r="C4945" t="s">
        <v>32</v>
      </c>
      <c r="D4945" t="s">
        <v>719</v>
      </c>
      <c r="E4945" t="s">
        <v>5497</v>
      </c>
      <c r="F4945" t="s">
        <v>35</v>
      </c>
      <c r="G4945" t="s">
        <v>35</v>
      </c>
      <c r="H4945" t="s">
        <v>35</v>
      </c>
      <c r="J4945" t="s">
        <v>5501</v>
      </c>
      <c r="K4945" t="s">
        <v>1092</v>
      </c>
      <c r="M4945">
        <v>6.39</v>
      </c>
      <c r="N4945">
        <v>154</v>
      </c>
      <c r="O4945" t="s">
        <v>38</v>
      </c>
      <c r="Q4945" t="s">
        <v>3398</v>
      </c>
      <c r="R4945" t="s">
        <v>5432</v>
      </c>
      <c r="S4945" t="s">
        <v>759</v>
      </c>
    </row>
    <row r="4946" spans="1:19" x14ac:dyDescent="0.25">
      <c r="A4946" t="s">
        <v>30</v>
      </c>
      <c r="B4946" t="s">
        <v>31</v>
      </c>
      <c r="C4946" t="s">
        <v>32</v>
      </c>
      <c r="D4946" t="s">
        <v>719</v>
      </c>
      <c r="E4946" t="s">
        <v>5497</v>
      </c>
      <c r="F4946" t="s">
        <v>35</v>
      </c>
      <c r="G4946" t="s">
        <v>35</v>
      </c>
      <c r="H4946" t="s">
        <v>35</v>
      </c>
      <c r="J4946" t="s">
        <v>5501</v>
      </c>
      <c r="K4946" t="s">
        <v>1092</v>
      </c>
      <c r="M4946">
        <v>11.025</v>
      </c>
      <c r="N4946">
        <v>68</v>
      </c>
      <c r="O4946" t="s">
        <v>61</v>
      </c>
      <c r="Q4946" t="s">
        <v>146</v>
      </c>
      <c r="R4946" t="s">
        <v>5432</v>
      </c>
      <c r="S4946" t="s">
        <v>759</v>
      </c>
    </row>
    <row r="4947" spans="1:19" x14ac:dyDescent="0.25">
      <c r="A4947" t="s">
        <v>30</v>
      </c>
      <c r="B4947" t="s">
        <v>31</v>
      </c>
      <c r="C4947" t="s">
        <v>32</v>
      </c>
      <c r="D4947" t="s">
        <v>719</v>
      </c>
      <c r="E4947" t="s">
        <v>5497</v>
      </c>
      <c r="F4947" t="s">
        <v>35</v>
      </c>
      <c r="G4947" t="s">
        <v>35</v>
      </c>
      <c r="H4947" t="s">
        <v>35</v>
      </c>
      <c r="J4947" t="s">
        <v>5502</v>
      </c>
      <c r="K4947" t="s">
        <v>1092</v>
      </c>
      <c r="M4947">
        <v>11.025</v>
      </c>
      <c r="N4947">
        <v>155</v>
      </c>
      <c r="O4947" t="s">
        <v>38</v>
      </c>
      <c r="Q4947" t="s">
        <v>3942</v>
      </c>
      <c r="R4947" t="s">
        <v>730</v>
      </c>
      <c r="S4947" t="s">
        <v>731</v>
      </c>
    </row>
    <row r="4948" spans="1:19" x14ac:dyDescent="0.25">
      <c r="A4948" t="s">
        <v>59</v>
      </c>
      <c r="B4948" t="s">
        <v>31</v>
      </c>
      <c r="C4948" t="s">
        <v>32</v>
      </c>
      <c r="D4948" t="s">
        <v>719</v>
      </c>
      <c r="E4948" t="s">
        <v>5497</v>
      </c>
      <c r="F4948" t="s">
        <v>35</v>
      </c>
      <c r="G4948" t="s">
        <v>35</v>
      </c>
      <c r="H4948" t="s">
        <v>35</v>
      </c>
      <c r="J4948" t="s">
        <v>5503</v>
      </c>
      <c r="K4948" t="s">
        <v>1092</v>
      </c>
      <c r="M4948">
        <v>0.67500000000000004</v>
      </c>
      <c r="N4948">
        <v>172</v>
      </c>
      <c r="O4948" t="s">
        <v>38</v>
      </c>
      <c r="Q4948" t="s">
        <v>1124</v>
      </c>
      <c r="R4948" t="s">
        <v>730</v>
      </c>
      <c r="S4948" t="s">
        <v>731</v>
      </c>
    </row>
    <row r="4949" spans="1:19" x14ac:dyDescent="0.25">
      <c r="A4949" t="s">
        <v>30</v>
      </c>
      <c r="B4949" t="s">
        <v>31</v>
      </c>
      <c r="C4949" t="s">
        <v>32</v>
      </c>
      <c r="D4949" t="s">
        <v>719</v>
      </c>
      <c r="E4949" t="s">
        <v>5497</v>
      </c>
      <c r="F4949" t="s">
        <v>35</v>
      </c>
      <c r="G4949" t="s">
        <v>35</v>
      </c>
      <c r="H4949" t="s">
        <v>35</v>
      </c>
      <c r="J4949" t="s">
        <v>5503</v>
      </c>
      <c r="K4949" t="s">
        <v>1092</v>
      </c>
      <c r="M4949">
        <v>6.48</v>
      </c>
      <c r="N4949">
        <v>292</v>
      </c>
      <c r="O4949" t="s">
        <v>5</v>
      </c>
      <c r="Q4949" t="s">
        <v>1234</v>
      </c>
      <c r="R4949" t="s">
        <v>5454</v>
      </c>
      <c r="S4949" t="s">
        <v>756</v>
      </c>
    </row>
    <row r="4950" spans="1:19" x14ac:dyDescent="0.25">
      <c r="A4950" t="s">
        <v>30</v>
      </c>
      <c r="B4950" t="s">
        <v>31</v>
      </c>
      <c r="C4950" t="s">
        <v>32</v>
      </c>
      <c r="D4950" t="s">
        <v>719</v>
      </c>
      <c r="E4950" t="s">
        <v>5497</v>
      </c>
      <c r="F4950" t="s">
        <v>35</v>
      </c>
      <c r="G4950" t="s">
        <v>35</v>
      </c>
      <c r="H4950" t="s">
        <v>35</v>
      </c>
      <c r="J4950" t="s">
        <v>3512</v>
      </c>
      <c r="K4950" t="s">
        <v>1092</v>
      </c>
      <c r="M4950">
        <v>5.13</v>
      </c>
      <c r="N4950">
        <v>49</v>
      </c>
      <c r="O4950" t="s">
        <v>52</v>
      </c>
      <c r="Q4950" t="s">
        <v>219</v>
      </c>
      <c r="R4950" t="s">
        <v>730</v>
      </c>
      <c r="S4950" t="s">
        <v>731</v>
      </c>
    </row>
    <row r="4951" spans="1:19" x14ac:dyDescent="0.25">
      <c r="A4951" t="s">
        <v>30</v>
      </c>
      <c r="B4951" t="s">
        <v>31</v>
      </c>
      <c r="C4951" t="s">
        <v>32</v>
      </c>
      <c r="D4951" t="s">
        <v>719</v>
      </c>
      <c r="E4951" t="s">
        <v>5497</v>
      </c>
      <c r="F4951" t="s">
        <v>35</v>
      </c>
      <c r="G4951" t="s">
        <v>35</v>
      </c>
      <c r="H4951" t="s">
        <v>35</v>
      </c>
      <c r="J4951" t="s">
        <v>5504</v>
      </c>
      <c r="K4951" t="s">
        <v>1092</v>
      </c>
      <c r="M4951">
        <v>1.9350000000000001</v>
      </c>
      <c r="N4951">
        <v>68</v>
      </c>
      <c r="O4951" t="s">
        <v>61</v>
      </c>
      <c r="Q4951" t="s">
        <v>146</v>
      </c>
      <c r="R4951" t="s">
        <v>5461</v>
      </c>
      <c r="S4951" t="s">
        <v>479</v>
      </c>
    </row>
    <row r="4952" spans="1:19" x14ac:dyDescent="0.25">
      <c r="A4952" t="s">
        <v>59</v>
      </c>
      <c r="B4952" t="s">
        <v>31</v>
      </c>
      <c r="C4952" t="s">
        <v>32</v>
      </c>
      <c r="D4952" t="s">
        <v>719</v>
      </c>
      <c r="E4952" t="s">
        <v>5497</v>
      </c>
      <c r="F4952" t="s">
        <v>35</v>
      </c>
      <c r="G4952" t="s">
        <v>35</v>
      </c>
      <c r="H4952" t="s">
        <v>35</v>
      </c>
      <c r="J4952" t="s">
        <v>8249</v>
      </c>
      <c r="K4952" t="s">
        <v>1092</v>
      </c>
      <c r="M4952">
        <v>5.31</v>
      </c>
      <c r="N4952">
        <v>2</v>
      </c>
      <c r="O4952" t="s">
        <v>46</v>
      </c>
      <c r="Q4952" t="s">
        <v>8155</v>
      </c>
      <c r="R4952" t="s">
        <v>5461</v>
      </c>
      <c r="S4952" t="s">
        <v>479</v>
      </c>
    </row>
    <row r="4953" spans="1:19" x14ac:dyDescent="0.25">
      <c r="A4953" t="s">
        <v>30</v>
      </c>
      <c r="B4953" t="s">
        <v>31</v>
      </c>
      <c r="C4953" t="s">
        <v>32</v>
      </c>
      <c r="D4953" t="s">
        <v>719</v>
      </c>
      <c r="E4953" t="s">
        <v>5497</v>
      </c>
      <c r="F4953" t="s">
        <v>35</v>
      </c>
      <c r="G4953" t="s">
        <v>35</v>
      </c>
      <c r="H4953" t="s">
        <v>35</v>
      </c>
      <c r="J4953" t="s">
        <v>5505</v>
      </c>
      <c r="K4953" t="s">
        <v>1092</v>
      </c>
      <c r="M4953">
        <v>4.1399999999999997</v>
      </c>
      <c r="N4953">
        <v>49</v>
      </c>
      <c r="O4953" t="s">
        <v>52</v>
      </c>
      <c r="Q4953" t="s">
        <v>219</v>
      </c>
      <c r="R4953" t="s">
        <v>730</v>
      </c>
      <c r="S4953" t="s">
        <v>731</v>
      </c>
    </row>
    <row r="4954" spans="1:19" x14ac:dyDescent="0.25">
      <c r="A4954" t="s">
        <v>30</v>
      </c>
      <c r="B4954" t="s">
        <v>31</v>
      </c>
      <c r="C4954" t="s">
        <v>32</v>
      </c>
      <c r="D4954" t="s">
        <v>719</v>
      </c>
      <c r="E4954" t="s">
        <v>5497</v>
      </c>
      <c r="F4954" t="s">
        <v>35</v>
      </c>
      <c r="G4954" t="s">
        <v>35</v>
      </c>
      <c r="H4954" t="s">
        <v>35</v>
      </c>
      <c r="J4954" t="s">
        <v>5506</v>
      </c>
      <c r="K4954" t="s">
        <v>1092</v>
      </c>
      <c r="M4954">
        <v>3.87</v>
      </c>
      <c r="N4954">
        <v>49</v>
      </c>
      <c r="O4954" t="s">
        <v>52</v>
      </c>
      <c r="Q4954" t="s">
        <v>219</v>
      </c>
      <c r="R4954" t="s">
        <v>730</v>
      </c>
      <c r="S4954" t="s">
        <v>731</v>
      </c>
    </row>
    <row r="4955" spans="1:19" x14ac:dyDescent="0.25">
      <c r="A4955" t="s">
        <v>30</v>
      </c>
      <c r="B4955" t="s">
        <v>31</v>
      </c>
      <c r="C4955" t="s">
        <v>32</v>
      </c>
      <c r="D4955" t="s">
        <v>719</v>
      </c>
      <c r="E4955" t="s">
        <v>5497</v>
      </c>
      <c r="F4955" t="s">
        <v>35</v>
      </c>
      <c r="G4955" t="s">
        <v>35</v>
      </c>
      <c r="H4955" t="s">
        <v>35</v>
      </c>
      <c r="J4955" t="s">
        <v>5507</v>
      </c>
      <c r="K4955" t="s">
        <v>1092</v>
      </c>
      <c r="M4955">
        <v>0.09</v>
      </c>
      <c r="N4955">
        <v>1546</v>
      </c>
      <c r="O4955" t="s">
        <v>575</v>
      </c>
      <c r="Q4955" t="s">
        <v>3577</v>
      </c>
      <c r="R4955" t="s">
        <v>5508</v>
      </c>
      <c r="S4955" t="s">
        <v>5509</v>
      </c>
    </row>
    <row r="4956" spans="1:19" x14ac:dyDescent="0.25">
      <c r="A4956" t="s">
        <v>30</v>
      </c>
      <c r="B4956" t="s">
        <v>31</v>
      </c>
      <c r="C4956" t="s">
        <v>32</v>
      </c>
      <c r="D4956" t="s">
        <v>719</v>
      </c>
      <c r="E4956" t="s">
        <v>5497</v>
      </c>
      <c r="F4956" t="s">
        <v>35</v>
      </c>
      <c r="G4956" t="s">
        <v>35</v>
      </c>
      <c r="H4956" t="s">
        <v>35</v>
      </c>
      <c r="J4956" t="s">
        <v>5511</v>
      </c>
      <c r="K4956" t="s">
        <v>1092</v>
      </c>
      <c r="M4956">
        <v>0.40500000000000003</v>
      </c>
      <c r="N4956">
        <v>410</v>
      </c>
      <c r="O4956" t="s">
        <v>294</v>
      </c>
      <c r="Q4956" t="s">
        <v>4301</v>
      </c>
      <c r="R4956" t="s">
        <v>5432</v>
      </c>
      <c r="S4956" t="s">
        <v>759</v>
      </c>
    </row>
    <row r="4957" spans="1:19" x14ac:dyDescent="0.25">
      <c r="A4957" t="s">
        <v>30</v>
      </c>
      <c r="B4957" t="s">
        <v>31</v>
      </c>
      <c r="C4957" t="s">
        <v>32</v>
      </c>
      <c r="D4957" t="s">
        <v>719</v>
      </c>
      <c r="E4957" t="s">
        <v>5497</v>
      </c>
      <c r="F4957" t="s">
        <v>35</v>
      </c>
      <c r="G4957" t="s">
        <v>35</v>
      </c>
      <c r="H4957" t="s">
        <v>35</v>
      </c>
      <c r="J4957" t="s">
        <v>5512</v>
      </c>
      <c r="K4957" t="s">
        <v>1092</v>
      </c>
      <c r="M4957">
        <v>2.5000000000000001E-2</v>
      </c>
      <c r="N4957">
        <v>292</v>
      </c>
      <c r="O4957" t="s">
        <v>5</v>
      </c>
      <c r="Q4957" t="s">
        <v>1234</v>
      </c>
      <c r="R4957" t="s">
        <v>5454</v>
      </c>
      <c r="S4957" t="s">
        <v>756</v>
      </c>
    </row>
    <row r="4958" spans="1:19" x14ac:dyDescent="0.25">
      <c r="A4958" t="s">
        <v>30</v>
      </c>
      <c r="B4958" t="s">
        <v>31</v>
      </c>
      <c r="C4958" t="s">
        <v>32</v>
      </c>
      <c r="D4958" t="s">
        <v>719</v>
      </c>
      <c r="E4958" t="s">
        <v>5497</v>
      </c>
      <c r="F4958" t="s">
        <v>35</v>
      </c>
      <c r="G4958" t="s">
        <v>35</v>
      </c>
      <c r="H4958" t="s">
        <v>35</v>
      </c>
      <c r="J4958" t="s">
        <v>5513</v>
      </c>
      <c r="K4958" t="s">
        <v>1092</v>
      </c>
      <c r="M4958">
        <v>2.4750000000000001</v>
      </c>
      <c r="N4958">
        <v>1546</v>
      </c>
      <c r="O4958" t="s">
        <v>575</v>
      </c>
      <c r="Q4958" t="s">
        <v>3577</v>
      </c>
      <c r="R4958" t="s">
        <v>5508</v>
      </c>
      <c r="S4958" t="s">
        <v>5509</v>
      </c>
    </row>
    <row r="4959" spans="1:19" x14ac:dyDescent="0.25">
      <c r="A4959" t="s">
        <v>30</v>
      </c>
      <c r="B4959" t="s">
        <v>31</v>
      </c>
      <c r="C4959" t="s">
        <v>32</v>
      </c>
      <c r="D4959" t="s">
        <v>719</v>
      </c>
      <c r="E4959" t="s">
        <v>5497</v>
      </c>
      <c r="F4959" t="s">
        <v>35</v>
      </c>
      <c r="G4959" t="s">
        <v>35</v>
      </c>
      <c r="H4959" t="s">
        <v>35</v>
      </c>
      <c r="J4959" t="s">
        <v>5514</v>
      </c>
      <c r="K4959" t="s">
        <v>1092</v>
      </c>
      <c r="M4959">
        <v>0.54</v>
      </c>
      <c r="N4959">
        <v>49</v>
      </c>
      <c r="O4959" t="s">
        <v>52</v>
      </c>
      <c r="Q4959" t="s">
        <v>219</v>
      </c>
      <c r="R4959" t="s">
        <v>730</v>
      </c>
      <c r="S4959" t="s">
        <v>731</v>
      </c>
    </row>
    <row r="4960" spans="1:19" x14ac:dyDescent="0.25">
      <c r="A4960" t="s">
        <v>30</v>
      </c>
      <c r="B4960" t="s">
        <v>31</v>
      </c>
      <c r="C4960" t="s">
        <v>32</v>
      </c>
      <c r="D4960" t="s">
        <v>719</v>
      </c>
      <c r="E4960" t="s">
        <v>5497</v>
      </c>
      <c r="F4960" t="s">
        <v>35</v>
      </c>
      <c r="G4960" t="s">
        <v>35</v>
      </c>
      <c r="H4960" t="s">
        <v>35</v>
      </c>
      <c r="J4960" t="s">
        <v>5515</v>
      </c>
      <c r="K4960" t="s">
        <v>1092</v>
      </c>
      <c r="M4960">
        <v>5.625</v>
      </c>
      <c r="N4960">
        <v>69</v>
      </c>
      <c r="O4960" t="s">
        <v>61</v>
      </c>
      <c r="Q4960" t="s">
        <v>139</v>
      </c>
      <c r="R4960" t="s">
        <v>730</v>
      </c>
      <c r="S4960" t="s">
        <v>731</v>
      </c>
    </row>
    <row r="4961" spans="1:19" x14ac:dyDescent="0.25">
      <c r="A4961" t="s">
        <v>30</v>
      </c>
      <c r="B4961" t="s">
        <v>31</v>
      </c>
      <c r="C4961" t="s">
        <v>32</v>
      </c>
      <c r="D4961" t="s">
        <v>719</v>
      </c>
      <c r="E4961" t="s">
        <v>5497</v>
      </c>
      <c r="F4961" t="s">
        <v>35</v>
      </c>
      <c r="G4961" t="s">
        <v>35</v>
      </c>
      <c r="H4961" t="s">
        <v>35</v>
      </c>
      <c r="J4961" t="s">
        <v>5515</v>
      </c>
      <c r="K4961" t="s">
        <v>1092</v>
      </c>
      <c r="M4961">
        <v>0.02</v>
      </c>
      <c r="N4961">
        <v>1149</v>
      </c>
      <c r="O4961" t="s">
        <v>575</v>
      </c>
      <c r="Q4961" t="s">
        <v>5516</v>
      </c>
      <c r="R4961" t="s">
        <v>5508</v>
      </c>
      <c r="S4961" t="s">
        <v>5509</v>
      </c>
    </row>
    <row r="4962" spans="1:19" x14ac:dyDescent="0.25">
      <c r="A4962" t="s">
        <v>30</v>
      </c>
      <c r="B4962" t="s">
        <v>31</v>
      </c>
      <c r="C4962" t="s">
        <v>32</v>
      </c>
      <c r="D4962" t="s">
        <v>719</v>
      </c>
      <c r="E4962" t="s">
        <v>5497</v>
      </c>
      <c r="F4962" t="s">
        <v>35</v>
      </c>
      <c r="G4962" t="s">
        <v>35</v>
      </c>
      <c r="H4962" t="s">
        <v>35</v>
      </c>
      <c r="J4962" t="s">
        <v>5517</v>
      </c>
      <c r="K4962" t="s">
        <v>1092</v>
      </c>
      <c r="M4962">
        <v>4.95</v>
      </c>
      <c r="N4962">
        <v>49</v>
      </c>
      <c r="O4962" t="s">
        <v>52</v>
      </c>
      <c r="Q4962" t="s">
        <v>219</v>
      </c>
      <c r="R4962" t="s">
        <v>730</v>
      </c>
      <c r="S4962" t="s">
        <v>731</v>
      </c>
    </row>
    <row r="4963" spans="1:19" x14ac:dyDescent="0.25">
      <c r="A4963" t="s">
        <v>59</v>
      </c>
      <c r="B4963" t="s">
        <v>31</v>
      </c>
      <c r="C4963" t="s">
        <v>32</v>
      </c>
      <c r="D4963" t="s">
        <v>719</v>
      </c>
      <c r="E4963" t="s">
        <v>5497</v>
      </c>
      <c r="F4963" t="s">
        <v>35</v>
      </c>
      <c r="G4963" t="s">
        <v>35</v>
      </c>
      <c r="H4963" t="s">
        <v>35</v>
      </c>
      <c r="J4963" t="s">
        <v>5518</v>
      </c>
      <c r="K4963" t="s">
        <v>1092</v>
      </c>
      <c r="M4963">
        <v>4.6349999999999998</v>
      </c>
      <c r="N4963">
        <v>173</v>
      </c>
      <c r="O4963" t="s">
        <v>38</v>
      </c>
      <c r="Q4963" t="s">
        <v>1345</v>
      </c>
      <c r="R4963" t="s">
        <v>5461</v>
      </c>
      <c r="S4963" t="s">
        <v>479</v>
      </c>
    </row>
    <row r="4964" spans="1:19" x14ac:dyDescent="0.25">
      <c r="A4964" t="s">
        <v>30</v>
      </c>
      <c r="B4964" t="s">
        <v>31</v>
      </c>
      <c r="C4964" t="s">
        <v>32</v>
      </c>
      <c r="D4964" t="s">
        <v>719</v>
      </c>
      <c r="E4964" t="s">
        <v>5497</v>
      </c>
      <c r="F4964" t="s">
        <v>35</v>
      </c>
      <c r="G4964" t="s">
        <v>35</v>
      </c>
      <c r="H4964" t="s">
        <v>35</v>
      </c>
      <c r="J4964" t="s">
        <v>5519</v>
      </c>
      <c r="K4964" t="s">
        <v>1092</v>
      </c>
      <c r="M4964">
        <v>2.36</v>
      </c>
      <c r="N4964">
        <v>154</v>
      </c>
      <c r="O4964" t="s">
        <v>38</v>
      </c>
      <c r="Q4964" t="s">
        <v>3398</v>
      </c>
      <c r="R4964" t="s">
        <v>5432</v>
      </c>
      <c r="S4964" t="s">
        <v>759</v>
      </c>
    </row>
    <row r="4965" spans="1:19" x14ac:dyDescent="0.25">
      <c r="A4965" t="s">
        <v>30</v>
      </c>
      <c r="B4965" t="s">
        <v>31</v>
      </c>
      <c r="C4965" t="s">
        <v>32</v>
      </c>
      <c r="D4965" t="s">
        <v>719</v>
      </c>
      <c r="E4965" t="s">
        <v>5497</v>
      </c>
      <c r="F4965" t="s">
        <v>35</v>
      </c>
      <c r="G4965" t="s">
        <v>35</v>
      </c>
      <c r="H4965" t="s">
        <v>35</v>
      </c>
      <c r="J4965" t="s">
        <v>5519</v>
      </c>
      <c r="K4965" t="s">
        <v>1092</v>
      </c>
      <c r="M4965">
        <v>5.625</v>
      </c>
      <c r="N4965">
        <v>68</v>
      </c>
      <c r="O4965" t="s">
        <v>61</v>
      </c>
      <c r="Q4965" t="s">
        <v>146</v>
      </c>
      <c r="R4965" t="s">
        <v>5432</v>
      </c>
      <c r="S4965" t="s">
        <v>759</v>
      </c>
    </row>
    <row r="4966" spans="1:19" x14ac:dyDescent="0.25">
      <c r="A4966" t="s">
        <v>30</v>
      </c>
      <c r="B4966" t="s">
        <v>31</v>
      </c>
      <c r="C4966" t="s">
        <v>32</v>
      </c>
      <c r="D4966" t="s">
        <v>719</v>
      </c>
      <c r="E4966" t="s">
        <v>5497</v>
      </c>
      <c r="F4966" t="s">
        <v>35</v>
      </c>
      <c r="G4966" t="s">
        <v>35</v>
      </c>
      <c r="H4966" t="s">
        <v>35</v>
      </c>
      <c r="J4966" t="s">
        <v>5519</v>
      </c>
      <c r="K4966" t="s">
        <v>1092</v>
      </c>
      <c r="M4966">
        <v>5.625</v>
      </c>
      <c r="N4966">
        <v>49</v>
      </c>
      <c r="O4966" t="s">
        <v>52</v>
      </c>
      <c r="Q4966" t="s">
        <v>219</v>
      </c>
      <c r="R4966" t="s">
        <v>730</v>
      </c>
      <c r="S4966" t="s">
        <v>731</v>
      </c>
    </row>
    <row r="4967" spans="1:19" x14ac:dyDescent="0.25">
      <c r="A4967" t="s">
        <v>30</v>
      </c>
      <c r="B4967" t="s">
        <v>31</v>
      </c>
      <c r="C4967" t="s">
        <v>32</v>
      </c>
      <c r="D4967" t="s">
        <v>719</v>
      </c>
      <c r="E4967" t="s">
        <v>5497</v>
      </c>
      <c r="F4967" t="s">
        <v>35</v>
      </c>
      <c r="G4967" t="s">
        <v>35</v>
      </c>
      <c r="H4967" t="s">
        <v>35</v>
      </c>
      <c r="J4967" t="s">
        <v>5520</v>
      </c>
      <c r="K4967" t="s">
        <v>1092</v>
      </c>
      <c r="M4967">
        <v>5.49</v>
      </c>
      <c r="N4967">
        <v>22</v>
      </c>
      <c r="O4967" t="s">
        <v>46</v>
      </c>
      <c r="Q4967" t="s">
        <v>979</v>
      </c>
      <c r="R4967" t="s">
        <v>730</v>
      </c>
      <c r="S4967" t="s">
        <v>731</v>
      </c>
    </row>
    <row r="4968" spans="1:19" x14ac:dyDescent="0.25">
      <c r="A4968" t="s">
        <v>59</v>
      </c>
      <c r="B4968" t="s">
        <v>31</v>
      </c>
      <c r="C4968" t="s">
        <v>32</v>
      </c>
      <c r="D4968" t="s">
        <v>719</v>
      </c>
      <c r="E4968" t="s">
        <v>5497</v>
      </c>
      <c r="F4968" t="s">
        <v>35</v>
      </c>
      <c r="G4968" t="s">
        <v>35</v>
      </c>
      <c r="H4968" t="s">
        <v>35</v>
      </c>
      <c r="J4968" t="s">
        <v>5520</v>
      </c>
      <c r="K4968" t="s">
        <v>1092</v>
      </c>
      <c r="M4968">
        <v>4.0949999999999998</v>
      </c>
      <c r="N4968">
        <v>1892</v>
      </c>
      <c r="O4968" t="s">
        <v>575</v>
      </c>
      <c r="Q4968" t="s">
        <v>1094</v>
      </c>
      <c r="R4968" t="s">
        <v>730</v>
      </c>
      <c r="S4968" t="s">
        <v>731</v>
      </c>
    </row>
    <row r="4969" spans="1:19" x14ac:dyDescent="0.25">
      <c r="A4969" t="s">
        <v>30</v>
      </c>
      <c r="B4969" t="s">
        <v>31</v>
      </c>
      <c r="C4969" t="s">
        <v>32</v>
      </c>
      <c r="D4969" t="s">
        <v>719</v>
      </c>
      <c r="E4969" t="s">
        <v>5497</v>
      </c>
      <c r="F4969" t="s">
        <v>35</v>
      </c>
      <c r="G4969" t="s">
        <v>35</v>
      </c>
      <c r="H4969" t="s">
        <v>35</v>
      </c>
      <c r="J4969" t="s">
        <v>5521</v>
      </c>
      <c r="K4969" t="s">
        <v>1092</v>
      </c>
      <c r="M4969">
        <v>3.645</v>
      </c>
      <c r="N4969">
        <v>69</v>
      </c>
      <c r="O4969" t="s">
        <v>61</v>
      </c>
      <c r="Q4969" t="s">
        <v>139</v>
      </c>
      <c r="R4969" t="s">
        <v>730</v>
      </c>
      <c r="S4969" t="s">
        <v>731</v>
      </c>
    </row>
    <row r="4970" spans="1:19" x14ac:dyDescent="0.25">
      <c r="A4970" t="s">
        <v>30</v>
      </c>
      <c r="B4970" t="s">
        <v>31</v>
      </c>
      <c r="C4970" t="s">
        <v>32</v>
      </c>
      <c r="D4970" t="s">
        <v>719</v>
      </c>
      <c r="E4970" t="s">
        <v>5497</v>
      </c>
      <c r="F4970" t="s">
        <v>35</v>
      </c>
      <c r="G4970" t="s">
        <v>35</v>
      </c>
      <c r="H4970" t="s">
        <v>35</v>
      </c>
      <c r="J4970" t="s">
        <v>5522</v>
      </c>
      <c r="K4970" t="s">
        <v>1092</v>
      </c>
      <c r="M4970">
        <v>5.4</v>
      </c>
      <c r="N4970">
        <v>69</v>
      </c>
      <c r="O4970" t="s">
        <v>61</v>
      </c>
      <c r="Q4970" t="s">
        <v>139</v>
      </c>
      <c r="R4970" t="s">
        <v>730</v>
      </c>
      <c r="S4970" t="s">
        <v>731</v>
      </c>
    </row>
    <row r="4971" spans="1:19" x14ac:dyDescent="0.25">
      <c r="A4971" t="s">
        <v>30</v>
      </c>
      <c r="B4971" t="s">
        <v>31</v>
      </c>
      <c r="C4971" t="s">
        <v>32</v>
      </c>
      <c r="D4971" t="s">
        <v>719</v>
      </c>
      <c r="E4971" t="s">
        <v>5497</v>
      </c>
      <c r="F4971" t="s">
        <v>35</v>
      </c>
      <c r="G4971" t="s">
        <v>35</v>
      </c>
      <c r="H4971" t="s">
        <v>35</v>
      </c>
      <c r="J4971" t="s">
        <v>5523</v>
      </c>
      <c r="K4971" t="s">
        <v>1092</v>
      </c>
      <c r="M4971">
        <v>1.665</v>
      </c>
      <c r="N4971">
        <v>49</v>
      </c>
      <c r="O4971" t="s">
        <v>52</v>
      </c>
      <c r="Q4971" t="s">
        <v>219</v>
      </c>
      <c r="R4971" t="s">
        <v>730</v>
      </c>
      <c r="S4971" t="s">
        <v>731</v>
      </c>
    </row>
    <row r="4972" spans="1:19" x14ac:dyDescent="0.25">
      <c r="A4972" t="s">
        <v>59</v>
      </c>
      <c r="B4972" t="s">
        <v>60</v>
      </c>
      <c r="C4972" t="s">
        <v>32</v>
      </c>
      <c r="D4972" t="s">
        <v>719</v>
      </c>
      <c r="E4972" t="s">
        <v>5497</v>
      </c>
      <c r="F4972" t="s">
        <v>35</v>
      </c>
      <c r="G4972" t="s">
        <v>35</v>
      </c>
      <c r="H4972" t="s">
        <v>35</v>
      </c>
      <c r="J4972" t="s">
        <v>5524</v>
      </c>
      <c r="K4972" t="s">
        <v>1092</v>
      </c>
      <c r="M4972">
        <v>0.55000000000000004</v>
      </c>
      <c r="N4972">
        <v>1157</v>
      </c>
      <c r="O4972" t="s">
        <v>575</v>
      </c>
      <c r="Q4972" t="s">
        <v>5525</v>
      </c>
      <c r="R4972" t="s">
        <v>5526</v>
      </c>
      <c r="S4972" t="s">
        <v>5527</v>
      </c>
    </row>
    <row r="4973" spans="1:19" x14ac:dyDescent="0.25">
      <c r="A4973" t="s">
        <v>59</v>
      </c>
      <c r="B4973" t="s">
        <v>60</v>
      </c>
      <c r="C4973" t="s">
        <v>32</v>
      </c>
      <c r="D4973" t="s">
        <v>719</v>
      </c>
      <c r="E4973" t="s">
        <v>5497</v>
      </c>
      <c r="F4973" t="s">
        <v>35</v>
      </c>
      <c r="G4973" t="s">
        <v>35</v>
      </c>
      <c r="H4973" t="s">
        <v>35</v>
      </c>
      <c r="J4973" t="s">
        <v>5529</v>
      </c>
      <c r="K4973" t="s">
        <v>1092</v>
      </c>
      <c r="M4973">
        <v>5.4</v>
      </c>
      <c r="N4973">
        <v>150</v>
      </c>
      <c r="O4973" t="s">
        <v>38</v>
      </c>
      <c r="Q4973" t="s">
        <v>1612</v>
      </c>
      <c r="R4973" t="s">
        <v>5530</v>
      </c>
      <c r="S4973" t="s">
        <v>5531</v>
      </c>
    </row>
    <row r="4974" spans="1:19" x14ac:dyDescent="0.25">
      <c r="A4974" t="s">
        <v>30</v>
      </c>
      <c r="B4974" t="s">
        <v>31</v>
      </c>
      <c r="C4974" t="s">
        <v>32</v>
      </c>
      <c r="D4974" t="s">
        <v>719</v>
      </c>
      <c r="E4974" t="s">
        <v>5497</v>
      </c>
      <c r="F4974" t="s">
        <v>35</v>
      </c>
      <c r="G4974" t="s">
        <v>35</v>
      </c>
      <c r="H4974" t="s">
        <v>35</v>
      </c>
      <c r="J4974" t="s">
        <v>5533</v>
      </c>
      <c r="K4974" t="s">
        <v>1092</v>
      </c>
      <c r="M4974">
        <v>4.9050000000000002</v>
      </c>
      <c r="N4974">
        <v>49</v>
      </c>
      <c r="O4974" t="s">
        <v>52</v>
      </c>
      <c r="Q4974" t="s">
        <v>219</v>
      </c>
      <c r="R4974" t="s">
        <v>730</v>
      </c>
      <c r="S4974" t="s">
        <v>731</v>
      </c>
    </row>
    <row r="4975" spans="1:19" x14ac:dyDescent="0.25">
      <c r="A4975" t="s">
        <v>30</v>
      </c>
      <c r="B4975" t="s">
        <v>31</v>
      </c>
      <c r="C4975" t="s">
        <v>32</v>
      </c>
      <c r="D4975" t="s">
        <v>719</v>
      </c>
      <c r="E4975" t="s">
        <v>733</v>
      </c>
      <c r="F4975" t="s">
        <v>35</v>
      </c>
      <c r="G4975" t="s">
        <v>35</v>
      </c>
      <c r="H4975" t="s">
        <v>35</v>
      </c>
      <c r="J4975" t="s">
        <v>5534</v>
      </c>
      <c r="K4975" t="s">
        <v>1092</v>
      </c>
      <c r="M4975">
        <v>3.5550000000000002</v>
      </c>
      <c r="N4975">
        <v>47</v>
      </c>
      <c r="O4975" t="s">
        <v>52</v>
      </c>
      <c r="Q4975" t="s">
        <v>132</v>
      </c>
      <c r="R4975" t="s">
        <v>725</v>
      </c>
      <c r="S4975" t="s">
        <v>726</v>
      </c>
    </row>
    <row r="4976" spans="1:19" x14ac:dyDescent="0.25">
      <c r="A4976" t="s">
        <v>59</v>
      </c>
      <c r="B4976" t="s">
        <v>31</v>
      </c>
      <c r="C4976" t="s">
        <v>32</v>
      </c>
      <c r="D4976" t="s">
        <v>719</v>
      </c>
      <c r="E4976" t="s">
        <v>733</v>
      </c>
      <c r="F4976" t="s">
        <v>35</v>
      </c>
      <c r="G4976" t="s">
        <v>35</v>
      </c>
      <c r="H4976" t="s">
        <v>35</v>
      </c>
      <c r="J4976" t="s">
        <v>5535</v>
      </c>
      <c r="K4976" t="s">
        <v>1092</v>
      </c>
      <c r="M4976">
        <v>11.025</v>
      </c>
      <c r="N4976">
        <v>3</v>
      </c>
      <c r="O4976" t="s">
        <v>46</v>
      </c>
      <c r="Q4976" t="s">
        <v>8153</v>
      </c>
      <c r="R4976" t="s">
        <v>730</v>
      </c>
      <c r="S4976" t="s">
        <v>731</v>
      </c>
    </row>
    <row r="4977" spans="1:19" x14ac:dyDescent="0.25">
      <c r="A4977" t="s">
        <v>30</v>
      </c>
      <c r="B4977" t="s">
        <v>31</v>
      </c>
      <c r="C4977" t="s">
        <v>32</v>
      </c>
      <c r="D4977" t="s">
        <v>719</v>
      </c>
      <c r="E4977" t="s">
        <v>733</v>
      </c>
      <c r="F4977" t="s">
        <v>35</v>
      </c>
      <c r="G4977" t="s">
        <v>35</v>
      </c>
      <c r="H4977" t="s">
        <v>35</v>
      </c>
      <c r="J4977" t="s">
        <v>5535</v>
      </c>
      <c r="K4977" t="s">
        <v>1092</v>
      </c>
      <c r="M4977">
        <v>1.845</v>
      </c>
      <c r="N4977">
        <v>49</v>
      </c>
      <c r="O4977" t="s">
        <v>52</v>
      </c>
      <c r="Q4977" t="s">
        <v>219</v>
      </c>
      <c r="R4977" t="s">
        <v>730</v>
      </c>
      <c r="S4977" t="s">
        <v>731</v>
      </c>
    </row>
    <row r="4978" spans="1:19" x14ac:dyDescent="0.25">
      <c r="A4978" t="s">
        <v>30</v>
      </c>
      <c r="B4978" t="s">
        <v>31</v>
      </c>
      <c r="C4978" t="s">
        <v>32</v>
      </c>
      <c r="D4978" t="s">
        <v>719</v>
      </c>
      <c r="E4978" t="s">
        <v>733</v>
      </c>
      <c r="F4978" t="s">
        <v>35</v>
      </c>
      <c r="G4978" t="s">
        <v>35</v>
      </c>
      <c r="H4978" t="s">
        <v>35</v>
      </c>
      <c r="J4978" t="s">
        <v>5536</v>
      </c>
      <c r="K4978" t="s">
        <v>1092</v>
      </c>
      <c r="M4978">
        <v>11.025</v>
      </c>
      <c r="N4978">
        <v>49</v>
      </c>
      <c r="O4978" t="s">
        <v>52</v>
      </c>
      <c r="Q4978" t="s">
        <v>219</v>
      </c>
      <c r="R4978" t="s">
        <v>730</v>
      </c>
      <c r="S4978" t="s">
        <v>731</v>
      </c>
    </row>
    <row r="4979" spans="1:19" x14ac:dyDescent="0.25">
      <c r="A4979" t="s">
        <v>30</v>
      </c>
      <c r="B4979" t="s">
        <v>31</v>
      </c>
      <c r="C4979" t="s">
        <v>32</v>
      </c>
      <c r="D4979" t="s">
        <v>719</v>
      </c>
      <c r="E4979" t="s">
        <v>733</v>
      </c>
      <c r="F4979" t="s">
        <v>35</v>
      </c>
      <c r="G4979" t="s">
        <v>35</v>
      </c>
      <c r="H4979" t="s">
        <v>35</v>
      </c>
      <c r="J4979" t="s">
        <v>5536</v>
      </c>
      <c r="K4979" t="s">
        <v>1092</v>
      </c>
      <c r="M4979">
        <v>1.17</v>
      </c>
      <c r="N4979">
        <v>170</v>
      </c>
      <c r="O4979" t="s">
        <v>38</v>
      </c>
      <c r="Q4979" t="s">
        <v>2780</v>
      </c>
      <c r="R4979" t="s">
        <v>730</v>
      </c>
      <c r="S4979" t="s">
        <v>731</v>
      </c>
    </row>
    <row r="4980" spans="1:19" x14ac:dyDescent="0.25">
      <c r="A4980" t="s">
        <v>44</v>
      </c>
      <c r="B4980" t="s">
        <v>51</v>
      </c>
      <c r="C4980" t="s">
        <v>32</v>
      </c>
      <c r="D4980" t="s">
        <v>719</v>
      </c>
      <c r="E4980" t="s">
        <v>733</v>
      </c>
      <c r="F4980" t="s">
        <v>35</v>
      </c>
      <c r="G4980" t="s">
        <v>35</v>
      </c>
      <c r="H4980" t="s">
        <v>35</v>
      </c>
      <c r="J4980" t="s">
        <v>5537</v>
      </c>
      <c r="K4980" t="s">
        <v>1092</v>
      </c>
      <c r="M4980">
        <v>0.3</v>
      </c>
      <c r="N4980">
        <v>478</v>
      </c>
      <c r="O4980" t="s">
        <v>294</v>
      </c>
      <c r="Q4980" t="s">
        <v>5538</v>
      </c>
      <c r="R4980" t="s">
        <v>5539</v>
      </c>
      <c r="S4980" t="s">
        <v>5540</v>
      </c>
    </row>
    <row r="4981" spans="1:19" x14ac:dyDescent="0.25">
      <c r="A4981" t="s">
        <v>30</v>
      </c>
      <c r="B4981" t="s">
        <v>31</v>
      </c>
      <c r="C4981" t="s">
        <v>32</v>
      </c>
      <c r="D4981" t="s">
        <v>719</v>
      </c>
      <c r="E4981" t="s">
        <v>733</v>
      </c>
      <c r="F4981" t="s">
        <v>35</v>
      </c>
      <c r="G4981" t="s">
        <v>35</v>
      </c>
      <c r="H4981" t="s">
        <v>35</v>
      </c>
      <c r="J4981" t="s">
        <v>5542</v>
      </c>
      <c r="K4981" t="s">
        <v>1092</v>
      </c>
      <c r="M4981">
        <v>0.46500000000000002</v>
      </c>
      <c r="N4981">
        <v>156</v>
      </c>
      <c r="O4981" t="s">
        <v>38</v>
      </c>
      <c r="Q4981" t="s">
        <v>75</v>
      </c>
      <c r="R4981" t="s">
        <v>725</v>
      </c>
      <c r="S4981" t="s">
        <v>726</v>
      </c>
    </row>
    <row r="4982" spans="1:19" x14ac:dyDescent="0.25">
      <c r="A4982" t="s">
        <v>30</v>
      </c>
      <c r="B4982" t="s">
        <v>31</v>
      </c>
      <c r="C4982" t="s">
        <v>32</v>
      </c>
      <c r="D4982" t="s">
        <v>719</v>
      </c>
      <c r="E4982" t="s">
        <v>733</v>
      </c>
      <c r="F4982" t="s">
        <v>35</v>
      </c>
      <c r="G4982" t="s">
        <v>35</v>
      </c>
      <c r="H4982" t="s">
        <v>35</v>
      </c>
      <c r="J4982" t="s">
        <v>5543</v>
      </c>
      <c r="K4982" t="s">
        <v>1092</v>
      </c>
      <c r="M4982">
        <v>4.95</v>
      </c>
      <c r="N4982">
        <v>72</v>
      </c>
      <c r="O4982" t="s">
        <v>61</v>
      </c>
      <c r="Q4982" t="s">
        <v>63</v>
      </c>
      <c r="R4982" t="s">
        <v>5454</v>
      </c>
      <c r="S4982" t="s">
        <v>756</v>
      </c>
    </row>
    <row r="4983" spans="1:19" x14ac:dyDescent="0.25">
      <c r="A4983" t="s">
        <v>30</v>
      </c>
      <c r="B4983" t="s">
        <v>31</v>
      </c>
      <c r="C4983" t="s">
        <v>32</v>
      </c>
      <c r="D4983" t="s">
        <v>719</v>
      </c>
      <c r="E4983" t="s">
        <v>733</v>
      </c>
      <c r="F4983" t="s">
        <v>35</v>
      </c>
      <c r="G4983" t="s">
        <v>35</v>
      </c>
      <c r="H4983" t="s">
        <v>35</v>
      </c>
      <c r="J4983" t="s">
        <v>5544</v>
      </c>
      <c r="K4983" t="s">
        <v>1092</v>
      </c>
      <c r="M4983">
        <v>12.15</v>
      </c>
      <c r="N4983">
        <v>68</v>
      </c>
      <c r="O4983" t="s">
        <v>61</v>
      </c>
      <c r="Q4983" t="s">
        <v>146</v>
      </c>
      <c r="R4983" t="s">
        <v>5432</v>
      </c>
      <c r="S4983" t="s">
        <v>759</v>
      </c>
    </row>
    <row r="4984" spans="1:19" x14ac:dyDescent="0.25">
      <c r="A4984" t="s">
        <v>44</v>
      </c>
      <c r="B4984" t="s">
        <v>51</v>
      </c>
      <c r="C4984" t="s">
        <v>32</v>
      </c>
      <c r="D4984" t="s">
        <v>719</v>
      </c>
      <c r="E4984" t="s">
        <v>738</v>
      </c>
      <c r="F4984" t="s">
        <v>35</v>
      </c>
      <c r="G4984" t="s">
        <v>35</v>
      </c>
      <c r="H4984" t="s">
        <v>35</v>
      </c>
      <c r="J4984" t="s">
        <v>5545</v>
      </c>
      <c r="K4984" t="s">
        <v>404</v>
      </c>
      <c r="M4984">
        <v>3.45</v>
      </c>
      <c r="N4984">
        <v>513</v>
      </c>
      <c r="O4984" t="s">
        <v>294</v>
      </c>
      <c r="Q4984" t="s">
        <v>1651</v>
      </c>
      <c r="R4984" t="s">
        <v>5481</v>
      </c>
      <c r="S4984" t="s">
        <v>4452</v>
      </c>
    </row>
    <row r="4985" spans="1:19" x14ac:dyDescent="0.25">
      <c r="A4985" t="s">
        <v>44</v>
      </c>
      <c r="B4985" t="s">
        <v>51</v>
      </c>
      <c r="C4985" t="s">
        <v>32</v>
      </c>
      <c r="D4985" t="s">
        <v>719</v>
      </c>
      <c r="E4985" t="s">
        <v>738</v>
      </c>
      <c r="F4985" t="s">
        <v>35</v>
      </c>
      <c r="G4985" t="s">
        <v>35</v>
      </c>
      <c r="H4985" t="s">
        <v>35</v>
      </c>
      <c r="J4985" t="s">
        <v>5546</v>
      </c>
      <c r="K4985" t="s">
        <v>1092</v>
      </c>
      <c r="M4985">
        <v>2.5499999999999998</v>
      </c>
      <c r="N4985">
        <v>80</v>
      </c>
      <c r="O4985" t="s">
        <v>61</v>
      </c>
      <c r="Q4985" t="s">
        <v>477</v>
      </c>
      <c r="R4985" t="s">
        <v>5461</v>
      </c>
      <c r="S4985" t="s">
        <v>479</v>
      </c>
    </row>
    <row r="4986" spans="1:19" x14ac:dyDescent="0.25">
      <c r="A4986" t="s">
        <v>30</v>
      </c>
      <c r="B4986" t="s">
        <v>31</v>
      </c>
      <c r="C4986" t="s">
        <v>32</v>
      </c>
      <c r="D4986" t="s">
        <v>719</v>
      </c>
      <c r="E4986" t="s">
        <v>738</v>
      </c>
      <c r="F4986" t="s">
        <v>35</v>
      </c>
      <c r="G4986" t="s">
        <v>35</v>
      </c>
      <c r="H4986" t="s">
        <v>35</v>
      </c>
      <c r="J4986" t="s">
        <v>5546</v>
      </c>
      <c r="K4986" t="s">
        <v>1092</v>
      </c>
      <c r="M4986">
        <v>1.395</v>
      </c>
      <c r="N4986">
        <v>68</v>
      </c>
      <c r="O4986" t="s">
        <v>61</v>
      </c>
      <c r="Q4986" t="s">
        <v>146</v>
      </c>
      <c r="R4986" t="s">
        <v>5461</v>
      </c>
      <c r="S4986" t="s">
        <v>479</v>
      </c>
    </row>
    <row r="4987" spans="1:19" x14ac:dyDescent="0.25">
      <c r="A4987" t="s">
        <v>30</v>
      </c>
      <c r="B4987" t="s">
        <v>31</v>
      </c>
      <c r="C4987" t="s">
        <v>32</v>
      </c>
      <c r="D4987" t="s">
        <v>719</v>
      </c>
      <c r="E4987" t="s">
        <v>738</v>
      </c>
      <c r="F4987" t="s">
        <v>35</v>
      </c>
      <c r="G4987" t="s">
        <v>35</v>
      </c>
      <c r="H4987" t="s">
        <v>35</v>
      </c>
      <c r="J4987" t="s">
        <v>5547</v>
      </c>
      <c r="K4987" t="s">
        <v>1092</v>
      </c>
      <c r="M4987">
        <v>3.2850000000000001</v>
      </c>
      <c r="N4987">
        <v>136</v>
      </c>
      <c r="O4987" t="s">
        <v>38</v>
      </c>
      <c r="Q4987" t="s">
        <v>157</v>
      </c>
      <c r="R4987" t="s">
        <v>5432</v>
      </c>
      <c r="S4987" t="s">
        <v>759</v>
      </c>
    </row>
    <row r="4988" spans="1:19" x14ac:dyDescent="0.25">
      <c r="A4988" t="s">
        <v>30</v>
      </c>
      <c r="B4988" t="s">
        <v>31</v>
      </c>
      <c r="C4988" t="s">
        <v>32</v>
      </c>
      <c r="D4988" t="s">
        <v>719</v>
      </c>
      <c r="E4988" t="s">
        <v>738</v>
      </c>
      <c r="F4988" t="s">
        <v>35</v>
      </c>
      <c r="G4988" t="s">
        <v>35</v>
      </c>
      <c r="H4988" t="s">
        <v>35</v>
      </c>
      <c r="J4988" t="s">
        <v>5548</v>
      </c>
      <c r="K4988" t="s">
        <v>1092</v>
      </c>
      <c r="M4988">
        <v>3.24</v>
      </c>
      <c r="N4988">
        <v>93</v>
      </c>
      <c r="O4988" t="s">
        <v>106</v>
      </c>
      <c r="Q4988" t="s">
        <v>941</v>
      </c>
      <c r="R4988" t="s">
        <v>5461</v>
      </c>
      <c r="S4988" t="s">
        <v>479</v>
      </c>
    </row>
    <row r="4989" spans="1:19" x14ac:dyDescent="0.25">
      <c r="A4989" t="s">
        <v>44</v>
      </c>
      <c r="B4989" t="s">
        <v>51</v>
      </c>
      <c r="C4989" t="s">
        <v>32</v>
      </c>
      <c r="D4989" t="s">
        <v>719</v>
      </c>
      <c r="E4989" t="s">
        <v>738</v>
      </c>
      <c r="F4989" t="s">
        <v>35</v>
      </c>
      <c r="G4989" t="s">
        <v>35</v>
      </c>
      <c r="H4989" t="s">
        <v>35</v>
      </c>
      <c r="J4989" t="s">
        <v>5549</v>
      </c>
      <c r="K4989" t="s">
        <v>1092</v>
      </c>
      <c r="M4989">
        <v>0.45</v>
      </c>
      <c r="N4989">
        <v>58</v>
      </c>
      <c r="O4989" t="s">
        <v>52</v>
      </c>
      <c r="Q4989" t="s">
        <v>58</v>
      </c>
      <c r="R4989" t="s">
        <v>730</v>
      </c>
      <c r="S4989" t="s">
        <v>731</v>
      </c>
    </row>
    <row r="4990" spans="1:19" x14ac:dyDescent="0.25">
      <c r="A4990" t="s">
        <v>59</v>
      </c>
      <c r="B4990" t="s">
        <v>60</v>
      </c>
      <c r="C4990" t="s">
        <v>32</v>
      </c>
      <c r="D4990" t="s">
        <v>719</v>
      </c>
      <c r="E4990" t="s">
        <v>738</v>
      </c>
      <c r="F4990" t="s">
        <v>35</v>
      </c>
      <c r="G4990" t="s">
        <v>35</v>
      </c>
      <c r="H4990" t="s">
        <v>35</v>
      </c>
      <c r="J4990" t="s">
        <v>5549</v>
      </c>
      <c r="K4990" t="s">
        <v>1092</v>
      </c>
      <c r="M4990">
        <v>0.85</v>
      </c>
      <c r="N4990">
        <v>146</v>
      </c>
      <c r="O4990" t="s">
        <v>38</v>
      </c>
      <c r="Q4990" t="s">
        <v>1335</v>
      </c>
      <c r="R4990" t="s">
        <v>5550</v>
      </c>
      <c r="S4990" t="s">
        <v>5551</v>
      </c>
    </row>
    <row r="4991" spans="1:19" x14ac:dyDescent="0.25">
      <c r="A4991" t="s">
        <v>30</v>
      </c>
      <c r="B4991" t="s">
        <v>31</v>
      </c>
      <c r="C4991" t="s">
        <v>32</v>
      </c>
      <c r="D4991" t="s">
        <v>719</v>
      </c>
      <c r="E4991" t="s">
        <v>738</v>
      </c>
      <c r="F4991" t="s">
        <v>35</v>
      </c>
      <c r="G4991" t="s">
        <v>35</v>
      </c>
      <c r="H4991" t="s">
        <v>35</v>
      </c>
      <c r="J4991" t="s">
        <v>5549</v>
      </c>
      <c r="K4991" t="s">
        <v>1092</v>
      </c>
      <c r="M4991">
        <v>10.395</v>
      </c>
      <c r="N4991">
        <v>49</v>
      </c>
      <c r="O4991" t="s">
        <v>52</v>
      </c>
      <c r="Q4991" t="s">
        <v>219</v>
      </c>
      <c r="R4991" t="s">
        <v>730</v>
      </c>
      <c r="S4991" t="s">
        <v>731</v>
      </c>
    </row>
    <row r="4992" spans="1:19" x14ac:dyDescent="0.25">
      <c r="A4992" t="s">
        <v>30</v>
      </c>
      <c r="B4992" t="s">
        <v>31</v>
      </c>
      <c r="C4992" t="s">
        <v>32</v>
      </c>
      <c r="D4992" t="s">
        <v>719</v>
      </c>
      <c r="E4992" t="s">
        <v>738</v>
      </c>
      <c r="F4992" t="s">
        <v>35</v>
      </c>
      <c r="G4992" t="s">
        <v>35</v>
      </c>
      <c r="H4992" t="s">
        <v>35</v>
      </c>
      <c r="J4992" t="s">
        <v>5552</v>
      </c>
      <c r="K4992" t="s">
        <v>1092</v>
      </c>
      <c r="M4992">
        <v>11.025</v>
      </c>
      <c r="N4992">
        <v>97</v>
      </c>
      <c r="O4992" t="s">
        <v>106</v>
      </c>
      <c r="Q4992" t="s">
        <v>557</v>
      </c>
      <c r="R4992" t="s">
        <v>730</v>
      </c>
      <c r="S4992" t="s">
        <v>731</v>
      </c>
    </row>
    <row r="4993" spans="1:19" x14ac:dyDescent="0.25">
      <c r="A4993" t="s">
        <v>30</v>
      </c>
      <c r="B4993" t="s">
        <v>31</v>
      </c>
      <c r="C4993" t="s">
        <v>32</v>
      </c>
      <c r="D4993" t="s">
        <v>719</v>
      </c>
      <c r="E4993" t="s">
        <v>738</v>
      </c>
      <c r="F4993" t="s">
        <v>35</v>
      </c>
      <c r="G4993" t="s">
        <v>35</v>
      </c>
      <c r="H4993" t="s">
        <v>35</v>
      </c>
      <c r="J4993" t="s">
        <v>5552</v>
      </c>
      <c r="K4993" t="s">
        <v>1092</v>
      </c>
      <c r="M4993">
        <v>8.2349999999999994</v>
      </c>
      <c r="N4993">
        <v>145</v>
      </c>
      <c r="O4993" t="s">
        <v>38</v>
      </c>
      <c r="Q4993" t="s">
        <v>1149</v>
      </c>
      <c r="R4993" t="s">
        <v>5461</v>
      </c>
      <c r="S4993" t="s">
        <v>479</v>
      </c>
    </row>
    <row r="4994" spans="1:19" x14ac:dyDescent="0.25">
      <c r="A4994" t="s">
        <v>44</v>
      </c>
      <c r="B4994" t="s">
        <v>51</v>
      </c>
      <c r="C4994" t="s">
        <v>32</v>
      </c>
      <c r="D4994" t="s">
        <v>719</v>
      </c>
      <c r="E4994" t="s">
        <v>738</v>
      </c>
      <c r="F4994" t="s">
        <v>35</v>
      </c>
      <c r="G4994" t="s">
        <v>35</v>
      </c>
      <c r="H4994" t="s">
        <v>35</v>
      </c>
      <c r="J4994" t="s">
        <v>5553</v>
      </c>
      <c r="K4994" t="s">
        <v>1092</v>
      </c>
      <c r="M4994">
        <v>3.75</v>
      </c>
      <c r="N4994">
        <v>77</v>
      </c>
      <c r="O4994" t="s">
        <v>61</v>
      </c>
      <c r="Q4994" t="s">
        <v>305</v>
      </c>
      <c r="R4994" t="s">
        <v>5432</v>
      </c>
      <c r="S4994" t="s">
        <v>759</v>
      </c>
    </row>
    <row r="4995" spans="1:19" x14ac:dyDescent="0.25">
      <c r="A4995" t="s">
        <v>59</v>
      </c>
      <c r="B4995" t="s">
        <v>60</v>
      </c>
      <c r="C4995" t="s">
        <v>32</v>
      </c>
      <c r="D4995" t="s">
        <v>719</v>
      </c>
      <c r="E4995" t="s">
        <v>738</v>
      </c>
      <c r="F4995" t="s">
        <v>35</v>
      </c>
      <c r="G4995" t="s">
        <v>35</v>
      </c>
      <c r="H4995" t="s">
        <v>35</v>
      </c>
      <c r="J4995" t="s">
        <v>5553</v>
      </c>
      <c r="K4995" t="s">
        <v>1092</v>
      </c>
      <c r="M4995">
        <v>3.15</v>
      </c>
      <c r="N4995">
        <v>138</v>
      </c>
      <c r="O4995" t="s">
        <v>38</v>
      </c>
      <c r="Q4995" t="s">
        <v>542</v>
      </c>
      <c r="R4995" t="s">
        <v>5554</v>
      </c>
      <c r="S4995" t="s">
        <v>5555</v>
      </c>
    </row>
    <row r="4996" spans="1:19" x14ac:dyDescent="0.25">
      <c r="A4996" t="s">
        <v>30</v>
      </c>
      <c r="B4996" t="s">
        <v>31</v>
      </c>
      <c r="C4996" t="s">
        <v>32</v>
      </c>
      <c r="D4996" t="s">
        <v>719</v>
      </c>
      <c r="E4996" t="s">
        <v>738</v>
      </c>
      <c r="F4996" t="s">
        <v>35</v>
      </c>
      <c r="G4996" t="s">
        <v>35</v>
      </c>
      <c r="H4996" t="s">
        <v>35</v>
      </c>
      <c r="J4996" t="s">
        <v>5557</v>
      </c>
      <c r="K4996" t="s">
        <v>1092</v>
      </c>
      <c r="M4996">
        <v>10.89</v>
      </c>
      <c r="N4996">
        <v>49</v>
      </c>
      <c r="O4996" t="s">
        <v>52</v>
      </c>
      <c r="Q4996" t="s">
        <v>219</v>
      </c>
      <c r="R4996" t="s">
        <v>5454</v>
      </c>
      <c r="S4996" t="s">
        <v>756</v>
      </c>
    </row>
    <row r="4997" spans="1:19" x14ac:dyDescent="0.25">
      <c r="A4997" t="s">
        <v>30</v>
      </c>
      <c r="B4997" t="s">
        <v>31</v>
      </c>
      <c r="C4997" t="s">
        <v>32</v>
      </c>
      <c r="D4997" t="s">
        <v>719</v>
      </c>
      <c r="E4997" t="s">
        <v>738</v>
      </c>
      <c r="F4997" t="s">
        <v>35</v>
      </c>
      <c r="G4997" t="s">
        <v>35</v>
      </c>
      <c r="H4997" t="s">
        <v>35</v>
      </c>
      <c r="J4997" t="s">
        <v>5558</v>
      </c>
      <c r="K4997" t="s">
        <v>1092</v>
      </c>
      <c r="M4997">
        <v>6.5250000000000004</v>
      </c>
      <c r="N4997">
        <v>98</v>
      </c>
      <c r="O4997" t="s">
        <v>106</v>
      </c>
      <c r="Q4997" t="s">
        <v>108</v>
      </c>
      <c r="R4997" t="s">
        <v>5454</v>
      </c>
      <c r="S4997" t="s">
        <v>756</v>
      </c>
    </row>
    <row r="4998" spans="1:19" x14ac:dyDescent="0.25">
      <c r="A4998" t="s">
        <v>30</v>
      </c>
      <c r="B4998" t="s">
        <v>31</v>
      </c>
      <c r="C4998" t="s">
        <v>32</v>
      </c>
      <c r="D4998" t="s">
        <v>719</v>
      </c>
      <c r="E4998" t="s">
        <v>738</v>
      </c>
      <c r="F4998" t="s">
        <v>35</v>
      </c>
      <c r="G4998" t="s">
        <v>35</v>
      </c>
      <c r="H4998" t="s">
        <v>35</v>
      </c>
      <c r="J4998" t="s">
        <v>5559</v>
      </c>
      <c r="K4998" t="s">
        <v>1092</v>
      </c>
      <c r="M4998">
        <v>5.5350000000000001</v>
      </c>
      <c r="N4998">
        <v>47</v>
      </c>
      <c r="O4998" t="s">
        <v>52</v>
      </c>
      <c r="Q4998" t="s">
        <v>132</v>
      </c>
      <c r="R4998" t="s">
        <v>5432</v>
      </c>
      <c r="S4998" t="s">
        <v>759</v>
      </c>
    </row>
    <row r="4999" spans="1:19" x14ac:dyDescent="0.25">
      <c r="A4999" t="s">
        <v>44</v>
      </c>
      <c r="B4999" t="s">
        <v>51</v>
      </c>
      <c r="C4999" t="s">
        <v>32</v>
      </c>
      <c r="D4999" t="s">
        <v>719</v>
      </c>
      <c r="E4999" t="s">
        <v>738</v>
      </c>
      <c r="F4999" t="s">
        <v>35</v>
      </c>
      <c r="G4999" t="s">
        <v>35</v>
      </c>
      <c r="H4999" t="s">
        <v>35</v>
      </c>
      <c r="J4999" t="s">
        <v>5559</v>
      </c>
      <c r="K4999" t="s">
        <v>1092</v>
      </c>
      <c r="M4999">
        <v>11</v>
      </c>
      <c r="N4999">
        <v>52</v>
      </c>
      <c r="O4999" t="s">
        <v>52</v>
      </c>
      <c r="Q4999" t="s">
        <v>1230</v>
      </c>
      <c r="R4999" t="s">
        <v>589</v>
      </c>
      <c r="S4999" t="s">
        <v>590</v>
      </c>
    </row>
    <row r="5000" spans="1:19" x14ac:dyDescent="0.25">
      <c r="A5000" t="s">
        <v>44</v>
      </c>
      <c r="B5000" t="s">
        <v>51</v>
      </c>
      <c r="C5000" t="s">
        <v>32</v>
      </c>
      <c r="D5000" t="s">
        <v>719</v>
      </c>
      <c r="E5000" t="s">
        <v>738</v>
      </c>
      <c r="F5000" t="s">
        <v>35</v>
      </c>
      <c r="G5000" t="s">
        <v>35</v>
      </c>
      <c r="H5000" t="s">
        <v>35</v>
      </c>
      <c r="J5000" t="s">
        <v>5560</v>
      </c>
      <c r="K5000" t="s">
        <v>404</v>
      </c>
      <c r="M5000">
        <v>0.45</v>
      </c>
      <c r="N5000">
        <v>511</v>
      </c>
      <c r="O5000" t="s">
        <v>294</v>
      </c>
      <c r="Q5000" t="s">
        <v>5048</v>
      </c>
      <c r="R5000" t="s">
        <v>5481</v>
      </c>
      <c r="S5000" t="s">
        <v>4452</v>
      </c>
    </row>
    <row r="5001" spans="1:19" x14ac:dyDescent="0.25">
      <c r="A5001" t="s">
        <v>44</v>
      </c>
      <c r="B5001" t="s">
        <v>51</v>
      </c>
      <c r="C5001" t="s">
        <v>32</v>
      </c>
      <c r="D5001" t="s">
        <v>719</v>
      </c>
      <c r="E5001" t="s">
        <v>738</v>
      </c>
      <c r="F5001" t="s">
        <v>35</v>
      </c>
      <c r="G5001" t="s">
        <v>35</v>
      </c>
      <c r="H5001" t="s">
        <v>35</v>
      </c>
      <c r="J5001" t="s">
        <v>5561</v>
      </c>
      <c r="K5001" t="s">
        <v>1092</v>
      </c>
      <c r="M5001">
        <v>6.2</v>
      </c>
      <c r="N5001">
        <v>80</v>
      </c>
      <c r="O5001" t="s">
        <v>61</v>
      </c>
      <c r="Q5001" t="s">
        <v>477</v>
      </c>
      <c r="R5001" t="s">
        <v>5461</v>
      </c>
      <c r="S5001" t="s">
        <v>479</v>
      </c>
    </row>
    <row r="5002" spans="1:19" x14ac:dyDescent="0.25">
      <c r="A5002" t="s">
        <v>30</v>
      </c>
      <c r="B5002" t="s">
        <v>31</v>
      </c>
      <c r="C5002" t="s">
        <v>32</v>
      </c>
      <c r="D5002" t="s">
        <v>719</v>
      </c>
      <c r="E5002" t="s">
        <v>738</v>
      </c>
      <c r="F5002" t="s">
        <v>35</v>
      </c>
      <c r="G5002" t="s">
        <v>35</v>
      </c>
      <c r="H5002" t="s">
        <v>35</v>
      </c>
      <c r="J5002" t="s">
        <v>5562</v>
      </c>
      <c r="K5002" t="s">
        <v>1092</v>
      </c>
      <c r="M5002">
        <v>5.4450000000000003</v>
      </c>
      <c r="N5002">
        <v>61</v>
      </c>
      <c r="O5002" t="s">
        <v>61</v>
      </c>
      <c r="Q5002" t="s">
        <v>671</v>
      </c>
      <c r="R5002" t="s">
        <v>735</v>
      </c>
      <c r="S5002" t="s">
        <v>736</v>
      </c>
    </row>
    <row r="5003" spans="1:19" x14ac:dyDescent="0.25">
      <c r="A5003" t="s">
        <v>30</v>
      </c>
      <c r="B5003" t="s">
        <v>31</v>
      </c>
      <c r="C5003" t="s">
        <v>32</v>
      </c>
      <c r="D5003" t="s">
        <v>719</v>
      </c>
      <c r="E5003" t="s">
        <v>738</v>
      </c>
      <c r="F5003" t="s">
        <v>35</v>
      </c>
      <c r="G5003" t="s">
        <v>35</v>
      </c>
      <c r="H5003" t="s">
        <v>35</v>
      </c>
      <c r="J5003" t="s">
        <v>5562</v>
      </c>
      <c r="K5003" t="s">
        <v>1092</v>
      </c>
      <c r="M5003">
        <v>0.63</v>
      </c>
      <c r="N5003">
        <v>171</v>
      </c>
      <c r="O5003" t="s">
        <v>38</v>
      </c>
      <c r="Q5003" t="s">
        <v>3930</v>
      </c>
      <c r="R5003" t="s">
        <v>5461</v>
      </c>
      <c r="S5003" t="s">
        <v>479</v>
      </c>
    </row>
    <row r="5004" spans="1:19" x14ac:dyDescent="0.25">
      <c r="A5004" t="s">
        <v>30</v>
      </c>
      <c r="B5004" t="s">
        <v>31</v>
      </c>
      <c r="C5004" t="s">
        <v>32</v>
      </c>
      <c r="D5004" t="s">
        <v>719</v>
      </c>
      <c r="E5004" t="s">
        <v>738</v>
      </c>
      <c r="F5004" t="s">
        <v>35</v>
      </c>
      <c r="G5004" t="s">
        <v>35</v>
      </c>
      <c r="H5004" t="s">
        <v>35</v>
      </c>
      <c r="J5004" t="s">
        <v>4096</v>
      </c>
      <c r="K5004" t="s">
        <v>1092</v>
      </c>
      <c r="M5004">
        <v>2.6549999999999998</v>
      </c>
      <c r="N5004">
        <v>136</v>
      </c>
      <c r="O5004" t="s">
        <v>38</v>
      </c>
      <c r="Q5004" t="s">
        <v>157</v>
      </c>
      <c r="R5004" t="s">
        <v>5461</v>
      </c>
      <c r="S5004" t="s">
        <v>479</v>
      </c>
    </row>
    <row r="5005" spans="1:19" x14ac:dyDescent="0.25">
      <c r="A5005" t="s">
        <v>30</v>
      </c>
      <c r="B5005" t="s">
        <v>31</v>
      </c>
      <c r="C5005" t="s">
        <v>32</v>
      </c>
      <c r="D5005" t="s">
        <v>719</v>
      </c>
      <c r="E5005" t="s">
        <v>738</v>
      </c>
      <c r="F5005" t="s">
        <v>35</v>
      </c>
      <c r="G5005" t="s">
        <v>35</v>
      </c>
      <c r="H5005" t="s">
        <v>35</v>
      </c>
      <c r="J5005" t="s">
        <v>5563</v>
      </c>
      <c r="K5005" t="s">
        <v>1092</v>
      </c>
      <c r="M5005">
        <v>1.9350000000000001</v>
      </c>
      <c r="N5005">
        <v>228</v>
      </c>
      <c r="O5005" t="s">
        <v>5</v>
      </c>
      <c r="Q5005" t="s">
        <v>1979</v>
      </c>
      <c r="R5005" t="s">
        <v>5432</v>
      </c>
      <c r="S5005" t="s">
        <v>759</v>
      </c>
    </row>
    <row r="5006" spans="1:19" x14ac:dyDescent="0.25">
      <c r="A5006" t="s">
        <v>30</v>
      </c>
      <c r="B5006" t="s">
        <v>31</v>
      </c>
      <c r="C5006" t="s">
        <v>32</v>
      </c>
      <c r="D5006" t="s">
        <v>719</v>
      </c>
      <c r="E5006" t="s">
        <v>738</v>
      </c>
      <c r="F5006" t="s">
        <v>35</v>
      </c>
      <c r="G5006" t="s">
        <v>35</v>
      </c>
      <c r="H5006" t="s">
        <v>35</v>
      </c>
      <c r="J5006" t="s">
        <v>5564</v>
      </c>
      <c r="K5006" t="s">
        <v>1092</v>
      </c>
      <c r="M5006">
        <v>0.63</v>
      </c>
      <c r="N5006">
        <v>133</v>
      </c>
      <c r="O5006" t="s">
        <v>38</v>
      </c>
      <c r="Q5006" t="s">
        <v>68</v>
      </c>
      <c r="R5006" t="s">
        <v>730</v>
      </c>
      <c r="S5006" t="s">
        <v>731</v>
      </c>
    </row>
    <row r="5007" spans="1:19" x14ac:dyDescent="0.25">
      <c r="A5007" t="s">
        <v>30</v>
      </c>
      <c r="B5007" t="s">
        <v>31</v>
      </c>
      <c r="C5007" t="s">
        <v>32</v>
      </c>
      <c r="D5007" t="s">
        <v>719</v>
      </c>
      <c r="E5007" t="s">
        <v>738</v>
      </c>
      <c r="F5007" t="s">
        <v>35</v>
      </c>
      <c r="G5007" t="s">
        <v>35</v>
      </c>
      <c r="H5007" t="s">
        <v>35</v>
      </c>
      <c r="J5007" t="s">
        <v>5565</v>
      </c>
      <c r="K5007" t="s">
        <v>1092</v>
      </c>
      <c r="M5007">
        <v>11.025</v>
      </c>
      <c r="N5007">
        <v>49</v>
      </c>
      <c r="O5007" t="s">
        <v>52</v>
      </c>
      <c r="Q5007" t="s">
        <v>219</v>
      </c>
      <c r="R5007" t="s">
        <v>730</v>
      </c>
      <c r="S5007" t="s">
        <v>731</v>
      </c>
    </row>
    <row r="5008" spans="1:19" x14ac:dyDescent="0.25">
      <c r="A5008" t="s">
        <v>30</v>
      </c>
      <c r="B5008" t="s">
        <v>31</v>
      </c>
      <c r="C5008" t="s">
        <v>32</v>
      </c>
      <c r="D5008" t="s">
        <v>719</v>
      </c>
      <c r="E5008" t="s">
        <v>738</v>
      </c>
      <c r="F5008" t="s">
        <v>35</v>
      </c>
      <c r="G5008" t="s">
        <v>35</v>
      </c>
      <c r="H5008" t="s">
        <v>35</v>
      </c>
      <c r="J5008" t="s">
        <v>5565</v>
      </c>
      <c r="K5008" t="s">
        <v>1092</v>
      </c>
      <c r="M5008">
        <v>9.5850000000000009</v>
      </c>
      <c r="N5008">
        <v>93</v>
      </c>
      <c r="O5008" t="s">
        <v>106</v>
      </c>
      <c r="Q5008" t="s">
        <v>941</v>
      </c>
      <c r="R5008" t="s">
        <v>730</v>
      </c>
      <c r="S5008" t="s">
        <v>731</v>
      </c>
    </row>
    <row r="5009" spans="1:19" x14ac:dyDescent="0.25">
      <c r="A5009" t="s">
        <v>30</v>
      </c>
      <c r="B5009" t="s">
        <v>31</v>
      </c>
      <c r="C5009" t="s">
        <v>32</v>
      </c>
      <c r="D5009" t="s">
        <v>719</v>
      </c>
      <c r="E5009" t="s">
        <v>738</v>
      </c>
      <c r="F5009" t="s">
        <v>35</v>
      </c>
      <c r="G5009" t="s">
        <v>35</v>
      </c>
      <c r="H5009" t="s">
        <v>35</v>
      </c>
      <c r="J5009" t="s">
        <v>5566</v>
      </c>
      <c r="K5009" t="s">
        <v>1092</v>
      </c>
      <c r="M5009">
        <v>1.62</v>
      </c>
      <c r="N5009">
        <v>172</v>
      </c>
      <c r="O5009" t="s">
        <v>38</v>
      </c>
      <c r="Q5009" t="s">
        <v>1124</v>
      </c>
      <c r="R5009" t="s">
        <v>5432</v>
      </c>
      <c r="S5009" t="s">
        <v>759</v>
      </c>
    </row>
    <row r="5010" spans="1:19" x14ac:dyDescent="0.25">
      <c r="A5010" t="s">
        <v>30</v>
      </c>
      <c r="B5010" t="s">
        <v>31</v>
      </c>
      <c r="C5010" t="s">
        <v>32</v>
      </c>
      <c r="D5010" t="s">
        <v>719</v>
      </c>
      <c r="E5010" t="s">
        <v>738</v>
      </c>
      <c r="F5010" t="s">
        <v>35</v>
      </c>
      <c r="G5010" t="s">
        <v>35</v>
      </c>
      <c r="H5010" t="s">
        <v>35</v>
      </c>
      <c r="J5010" t="s">
        <v>2677</v>
      </c>
      <c r="K5010" t="s">
        <v>1092</v>
      </c>
      <c r="M5010">
        <v>5.67</v>
      </c>
      <c r="N5010">
        <v>46</v>
      </c>
      <c r="O5010" t="s">
        <v>52</v>
      </c>
      <c r="Q5010" t="s">
        <v>493</v>
      </c>
      <c r="R5010" t="s">
        <v>5432</v>
      </c>
      <c r="S5010" t="s">
        <v>759</v>
      </c>
    </row>
    <row r="5011" spans="1:19" x14ac:dyDescent="0.25">
      <c r="A5011" t="s">
        <v>59</v>
      </c>
      <c r="B5011" t="s">
        <v>31</v>
      </c>
      <c r="C5011" t="s">
        <v>32</v>
      </c>
      <c r="D5011" t="s">
        <v>719</v>
      </c>
      <c r="E5011" t="s">
        <v>738</v>
      </c>
      <c r="F5011" t="s">
        <v>35</v>
      </c>
      <c r="G5011" t="s">
        <v>35</v>
      </c>
      <c r="H5011" t="s">
        <v>35</v>
      </c>
      <c r="J5011" t="s">
        <v>5567</v>
      </c>
      <c r="K5011" t="s">
        <v>1092</v>
      </c>
      <c r="M5011">
        <v>11.025</v>
      </c>
      <c r="N5011">
        <v>3</v>
      </c>
      <c r="O5011" t="s">
        <v>46</v>
      </c>
      <c r="Q5011" t="s">
        <v>8153</v>
      </c>
      <c r="R5011" t="s">
        <v>730</v>
      </c>
      <c r="S5011" t="s">
        <v>731</v>
      </c>
    </row>
    <row r="5012" spans="1:19" x14ac:dyDescent="0.25">
      <c r="A5012" t="s">
        <v>44</v>
      </c>
      <c r="B5012" t="s">
        <v>3</v>
      </c>
      <c r="C5012" t="s">
        <v>32</v>
      </c>
      <c r="D5012" t="s">
        <v>719</v>
      </c>
      <c r="E5012" t="s">
        <v>738</v>
      </c>
      <c r="F5012" t="s">
        <v>35</v>
      </c>
      <c r="G5012" t="s">
        <v>35</v>
      </c>
      <c r="H5012" t="s">
        <v>35</v>
      </c>
      <c r="J5012" t="s">
        <v>5568</v>
      </c>
      <c r="K5012" t="s">
        <v>1092</v>
      </c>
      <c r="M5012">
        <v>0.75</v>
      </c>
      <c r="N5012">
        <v>522</v>
      </c>
      <c r="O5012" t="s">
        <v>294</v>
      </c>
      <c r="Q5012" t="s">
        <v>2158</v>
      </c>
      <c r="R5012" t="s">
        <v>725</v>
      </c>
      <c r="S5012" t="s">
        <v>726</v>
      </c>
    </row>
    <row r="5013" spans="1:19" x14ac:dyDescent="0.25">
      <c r="A5013" t="s">
        <v>30</v>
      </c>
      <c r="B5013" t="s">
        <v>31</v>
      </c>
      <c r="C5013" t="s">
        <v>32</v>
      </c>
      <c r="D5013" t="s">
        <v>719</v>
      </c>
      <c r="E5013" t="s">
        <v>738</v>
      </c>
      <c r="F5013" t="s">
        <v>35</v>
      </c>
      <c r="G5013" t="s">
        <v>35</v>
      </c>
      <c r="H5013" t="s">
        <v>35</v>
      </c>
      <c r="J5013" t="s">
        <v>5568</v>
      </c>
      <c r="K5013" t="s">
        <v>1092</v>
      </c>
      <c r="M5013">
        <v>2.61</v>
      </c>
      <c r="N5013">
        <v>229</v>
      </c>
      <c r="O5013" t="s">
        <v>5</v>
      </c>
      <c r="Q5013" t="s">
        <v>1562</v>
      </c>
      <c r="R5013" t="s">
        <v>725</v>
      </c>
      <c r="S5013" t="s">
        <v>726</v>
      </c>
    </row>
    <row r="5014" spans="1:19" x14ac:dyDescent="0.25">
      <c r="A5014" t="s">
        <v>30</v>
      </c>
      <c r="B5014" t="s">
        <v>31</v>
      </c>
      <c r="C5014" t="s">
        <v>32</v>
      </c>
      <c r="D5014" t="s">
        <v>719</v>
      </c>
      <c r="E5014" t="s">
        <v>738</v>
      </c>
      <c r="F5014" t="s">
        <v>35</v>
      </c>
      <c r="G5014" t="s">
        <v>35</v>
      </c>
      <c r="H5014" t="s">
        <v>35</v>
      </c>
      <c r="J5014" t="s">
        <v>5569</v>
      </c>
      <c r="K5014" t="s">
        <v>1092</v>
      </c>
      <c r="M5014">
        <v>8.2349999999999994</v>
      </c>
      <c r="N5014">
        <v>133</v>
      </c>
      <c r="O5014" t="s">
        <v>38</v>
      </c>
      <c r="Q5014" t="s">
        <v>68</v>
      </c>
      <c r="R5014" t="s">
        <v>730</v>
      </c>
      <c r="S5014" t="s">
        <v>731</v>
      </c>
    </row>
    <row r="5015" spans="1:19" x14ac:dyDescent="0.25">
      <c r="A5015" t="s">
        <v>30</v>
      </c>
      <c r="B5015" t="s">
        <v>31</v>
      </c>
      <c r="C5015" t="s">
        <v>32</v>
      </c>
      <c r="D5015" t="s">
        <v>719</v>
      </c>
      <c r="E5015" t="s">
        <v>738</v>
      </c>
      <c r="F5015" t="s">
        <v>35</v>
      </c>
      <c r="G5015" t="s">
        <v>35</v>
      </c>
      <c r="H5015" t="s">
        <v>35</v>
      </c>
      <c r="J5015" t="s">
        <v>5570</v>
      </c>
      <c r="K5015" t="s">
        <v>1092</v>
      </c>
      <c r="M5015">
        <v>1.3049999999999999</v>
      </c>
      <c r="N5015">
        <v>1868</v>
      </c>
      <c r="O5015" t="s">
        <v>575</v>
      </c>
      <c r="Q5015" t="s">
        <v>5571</v>
      </c>
      <c r="R5015" t="s">
        <v>725</v>
      </c>
      <c r="S5015" t="s">
        <v>726</v>
      </c>
    </row>
    <row r="5016" spans="1:19" x14ac:dyDescent="0.25">
      <c r="A5016" t="s">
        <v>30</v>
      </c>
      <c r="B5016" t="s">
        <v>31</v>
      </c>
      <c r="C5016" t="s">
        <v>32</v>
      </c>
      <c r="D5016" t="s">
        <v>719</v>
      </c>
      <c r="E5016" t="s">
        <v>738</v>
      </c>
      <c r="F5016" t="s">
        <v>35</v>
      </c>
      <c r="G5016" t="s">
        <v>35</v>
      </c>
      <c r="H5016" t="s">
        <v>35</v>
      </c>
      <c r="J5016" t="s">
        <v>5572</v>
      </c>
      <c r="K5016" t="s">
        <v>1092</v>
      </c>
      <c r="M5016">
        <v>5.0000000000000001E-3</v>
      </c>
      <c r="N5016">
        <v>1217</v>
      </c>
      <c r="O5016" t="s">
        <v>575</v>
      </c>
      <c r="Q5016" t="s">
        <v>4334</v>
      </c>
      <c r="R5016" t="s">
        <v>5554</v>
      </c>
      <c r="S5016" t="s">
        <v>5555</v>
      </c>
    </row>
    <row r="5017" spans="1:19" x14ac:dyDescent="0.25">
      <c r="A5017" t="s">
        <v>59</v>
      </c>
      <c r="B5017" t="s">
        <v>31</v>
      </c>
      <c r="C5017" t="s">
        <v>32</v>
      </c>
      <c r="D5017" t="s">
        <v>719</v>
      </c>
      <c r="E5017" t="s">
        <v>738</v>
      </c>
      <c r="F5017" t="s">
        <v>35</v>
      </c>
      <c r="G5017" t="s">
        <v>35</v>
      </c>
      <c r="H5017" t="s">
        <v>35</v>
      </c>
      <c r="J5017" t="s">
        <v>5572</v>
      </c>
      <c r="K5017" t="s">
        <v>1092</v>
      </c>
      <c r="M5017">
        <v>7.4999999999999997E-2</v>
      </c>
      <c r="N5017">
        <v>1253</v>
      </c>
      <c r="O5017" t="s">
        <v>575</v>
      </c>
      <c r="Q5017" t="s">
        <v>5573</v>
      </c>
      <c r="R5017" t="s">
        <v>5554</v>
      </c>
      <c r="S5017" t="s">
        <v>5555</v>
      </c>
    </row>
    <row r="5018" spans="1:19" x14ac:dyDescent="0.25">
      <c r="A5018" t="s">
        <v>30</v>
      </c>
      <c r="B5018" t="s">
        <v>31</v>
      </c>
      <c r="C5018" t="s">
        <v>32</v>
      </c>
      <c r="D5018" t="s">
        <v>719</v>
      </c>
      <c r="E5018" t="s">
        <v>738</v>
      </c>
      <c r="F5018" t="s">
        <v>35</v>
      </c>
      <c r="G5018" t="s">
        <v>35</v>
      </c>
      <c r="H5018" t="s">
        <v>35</v>
      </c>
      <c r="J5018" t="s">
        <v>5574</v>
      </c>
      <c r="K5018" t="s">
        <v>1092</v>
      </c>
      <c r="M5018">
        <v>7.0650000000000004</v>
      </c>
      <c r="N5018">
        <v>500</v>
      </c>
      <c r="O5018" t="s">
        <v>294</v>
      </c>
      <c r="Q5018" t="s">
        <v>2051</v>
      </c>
      <c r="R5018" t="s">
        <v>735</v>
      </c>
      <c r="S5018" t="s">
        <v>736</v>
      </c>
    </row>
    <row r="5019" spans="1:19" x14ac:dyDescent="0.25">
      <c r="A5019" t="s">
        <v>30</v>
      </c>
      <c r="B5019" t="s">
        <v>31</v>
      </c>
      <c r="C5019" t="s">
        <v>32</v>
      </c>
      <c r="D5019" t="s">
        <v>719</v>
      </c>
      <c r="E5019" t="s">
        <v>738</v>
      </c>
      <c r="F5019" t="s">
        <v>35</v>
      </c>
      <c r="G5019" t="s">
        <v>35</v>
      </c>
      <c r="H5019" t="s">
        <v>35</v>
      </c>
      <c r="J5019" t="s">
        <v>5575</v>
      </c>
      <c r="K5019" t="s">
        <v>1092</v>
      </c>
      <c r="M5019">
        <v>9.8550000000000004</v>
      </c>
      <c r="N5019">
        <v>37</v>
      </c>
      <c r="O5019" t="s">
        <v>52</v>
      </c>
      <c r="Q5019" t="s">
        <v>3499</v>
      </c>
      <c r="R5019" t="s">
        <v>5461</v>
      </c>
      <c r="S5019" t="s">
        <v>479</v>
      </c>
    </row>
    <row r="5020" spans="1:19" x14ac:dyDescent="0.25">
      <c r="A5020" t="s">
        <v>44</v>
      </c>
      <c r="B5020" t="s">
        <v>51</v>
      </c>
      <c r="C5020" t="s">
        <v>32</v>
      </c>
      <c r="D5020" t="s">
        <v>719</v>
      </c>
      <c r="E5020" t="s">
        <v>738</v>
      </c>
      <c r="F5020" t="s">
        <v>35</v>
      </c>
      <c r="G5020" t="s">
        <v>35</v>
      </c>
      <c r="H5020" t="s">
        <v>35</v>
      </c>
      <c r="J5020" t="s">
        <v>5575</v>
      </c>
      <c r="K5020" t="s">
        <v>1092</v>
      </c>
      <c r="M5020">
        <v>11</v>
      </c>
      <c r="N5020">
        <v>81</v>
      </c>
      <c r="O5020" t="s">
        <v>61</v>
      </c>
      <c r="Q5020" t="s">
        <v>527</v>
      </c>
      <c r="R5020" t="s">
        <v>730</v>
      </c>
      <c r="S5020" t="s">
        <v>731</v>
      </c>
    </row>
    <row r="5021" spans="1:19" x14ac:dyDescent="0.25">
      <c r="A5021" t="s">
        <v>30</v>
      </c>
      <c r="B5021" t="s">
        <v>31</v>
      </c>
      <c r="C5021" t="s">
        <v>32</v>
      </c>
      <c r="D5021" t="s">
        <v>719</v>
      </c>
      <c r="E5021" t="s">
        <v>738</v>
      </c>
      <c r="F5021" t="s">
        <v>35</v>
      </c>
      <c r="G5021" t="s">
        <v>35</v>
      </c>
      <c r="H5021" t="s">
        <v>35</v>
      </c>
      <c r="J5021" t="s">
        <v>5576</v>
      </c>
      <c r="K5021" t="s">
        <v>1092</v>
      </c>
      <c r="M5021">
        <v>0.40500000000000003</v>
      </c>
      <c r="N5021">
        <v>263</v>
      </c>
      <c r="O5021" t="s">
        <v>5</v>
      </c>
      <c r="Q5021" t="s">
        <v>2499</v>
      </c>
      <c r="R5021" t="s">
        <v>5432</v>
      </c>
      <c r="S5021" t="s">
        <v>759</v>
      </c>
    </row>
    <row r="5022" spans="1:19" x14ac:dyDescent="0.25">
      <c r="A5022" t="s">
        <v>59</v>
      </c>
      <c r="B5022" t="s">
        <v>31</v>
      </c>
      <c r="C5022" t="s">
        <v>32</v>
      </c>
      <c r="D5022" t="s">
        <v>719</v>
      </c>
      <c r="E5022" t="s">
        <v>738</v>
      </c>
      <c r="F5022" t="s">
        <v>35</v>
      </c>
      <c r="G5022" t="s">
        <v>35</v>
      </c>
      <c r="H5022" t="s">
        <v>35</v>
      </c>
      <c r="J5022" t="s">
        <v>5577</v>
      </c>
      <c r="K5022" t="s">
        <v>1092</v>
      </c>
      <c r="M5022">
        <v>10.305</v>
      </c>
      <c r="N5022">
        <v>131</v>
      </c>
      <c r="O5022" t="s">
        <v>38</v>
      </c>
      <c r="Q5022" t="s">
        <v>646</v>
      </c>
      <c r="R5022" t="s">
        <v>730</v>
      </c>
      <c r="S5022" t="s">
        <v>731</v>
      </c>
    </row>
    <row r="5023" spans="1:19" x14ac:dyDescent="0.25">
      <c r="A5023" t="s">
        <v>30</v>
      </c>
      <c r="B5023" t="s">
        <v>31</v>
      </c>
      <c r="C5023" t="s">
        <v>32</v>
      </c>
      <c r="D5023" t="s">
        <v>719</v>
      </c>
      <c r="E5023" t="s">
        <v>738</v>
      </c>
      <c r="F5023" t="s">
        <v>35</v>
      </c>
      <c r="G5023" t="s">
        <v>35</v>
      </c>
      <c r="H5023" t="s">
        <v>35</v>
      </c>
      <c r="J5023" t="s">
        <v>5578</v>
      </c>
      <c r="K5023" t="s">
        <v>1092</v>
      </c>
      <c r="M5023">
        <v>2.7450000000000001</v>
      </c>
      <c r="N5023">
        <v>136</v>
      </c>
      <c r="O5023" t="s">
        <v>38</v>
      </c>
      <c r="Q5023" t="s">
        <v>157</v>
      </c>
      <c r="R5023" t="s">
        <v>5432</v>
      </c>
      <c r="S5023" t="s">
        <v>759</v>
      </c>
    </row>
    <row r="5024" spans="1:19" x14ac:dyDescent="0.25">
      <c r="A5024" t="s">
        <v>59</v>
      </c>
      <c r="B5024" t="s">
        <v>31</v>
      </c>
      <c r="C5024" t="s">
        <v>32</v>
      </c>
      <c r="D5024" t="s">
        <v>719</v>
      </c>
      <c r="E5024" t="s">
        <v>738</v>
      </c>
      <c r="F5024" t="s">
        <v>35</v>
      </c>
      <c r="G5024" t="s">
        <v>35</v>
      </c>
      <c r="H5024" t="s">
        <v>35</v>
      </c>
      <c r="J5024" t="s">
        <v>5579</v>
      </c>
      <c r="K5024" t="s">
        <v>1092</v>
      </c>
      <c r="M5024">
        <v>3.2850000000000001</v>
      </c>
      <c r="N5024">
        <v>198</v>
      </c>
      <c r="O5024" t="s">
        <v>5</v>
      </c>
      <c r="Q5024" t="s">
        <v>4086</v>
      </c>
      <c r="R5024" t="s">
        <v>730</v>
      </c>
      <c r="S5024" t="s">
        <v>731</v>
      </c>
    </row>
    <row r="5025" spans="1:19" x14ac:dyDescent="0.25">
      <c r="A5025" t="s">
        <v>30</v>
      </c>
      <c r="B5025" t="s">
        <v>31</v>
      </c>
      <c r="C5025" t="s">
        <v>32</v>
      </c>
      <c r="D5025" t="s">
        <v>719</v>
      </c>
      <c r="E5025" t="s">
        <v>738</v>
      </c>
      <c r="F5025" t="s">
        <v>35</v>
      </c>
      <c r="G5025" t="s">
        <v>35</v>
      </c>
      <c r="H5025" t="s">
        <v>35</v>
      </c>
      <c r="J5025" t="s">
        <v>5579</v>
      </c>
      <c r="K5025" t="s">
        <v>1092</v>
      </c>
      <c r="M5025">
        <v>2.3849999999999998</v>
      </c>
      <c r="N5025">
        <v>97</v>
      </c>
      <c r="O5025" t="s">
        <v>106</v>
      </c>
      <c r="Q5025" t="s">
        <v>557</v>
      </c>
      <c r="R5025" t="s">
        <v>730</v>
      </c>
      <c r="S5025" t="s">
        <v>731</v>
      </c>
    </row>
    <row r="5026" spans="1:19" x14ac:dyDescent="0.25">
      <c r="A5026" t="s">
        <v>44</v>
      </c>
      <c r="B5026" t="s">
        <v>51</v>
      </c>
      <c r="C5026" t="s">
        <v>32</v>
      </c>
      <c r="D5026" t="s">
        <v>719</v>
      </c>
      <c r="E5026" t="s">
        <v>738</v>
      </c>
      <c r="F5026" t="s">
        <v>35</v>
      </c>
      <c r="G5026" t="s">
        <v>35</v>
      </c>
      <c r="H5026" t="s">
        <v>35</v>
      </c>
      <c r="J5026" t="s">
        <v>5580</v>
      </c>
      <c r="K5026" t="s">
        <v>1092</v>
      </c>
      <c r="M5026">
        <v>3.35</v>
      </c>
      <c r="N5026">
        <v>80</v>
      </c>
      <c r="O5026" t="s">
        <v>61</v>
      </c>
      <c r="Q5026" t="s">
        <v>477</v>
      </c>
      <c r="R5026" t="s">
        <v>5461</v>
      </c>
      <c r="S5026" t="s">
        <v>479</v>
      </c>
    </row>
    <row r="5027" spans="1:19" x14ac:dyDescent="0.25">
      <c r="A5027" t="s">
        <v>59</v>
      </c>
      <c r="B5027" t="s">
        <v>31</v>
      </c>
      <c r="C5027" t="s">
        <v>32</v>
      </c>
      <c r="D5027" t="s">
        <v>719</v>
      </c>
      <c r="E5027" t="s">
        <v>738</v>
      </c>
      <c r="F5027" t="s">
        <v>35</v>
      </c>
      <c r="G5027" t="s">
        <v>35</v>
      </c>
      <c r="H5027" t="s">
        <v>35</v>
      </c>
      <c r="J5027" t="s">
        <v>5581</v>
      </c>
      <c r="K5027" t="s">
        <v>1092</v>
      </c>
      <c r="M5027">
        <v>1.7549999999999999</v>
      </c>
      <c r="N5027">
        <v>143</v>
      </c>
      <c r="O5027" t="s">
        <v>38</v>
      </c>
      <c r="Q5027" t="s">
        <v>2121</v>
      </c>
      <c r="R5027" t="s">
        <v>5432</v>
      </c>
      <c r="S5027" t="s">
        <v>759</v>
      </c>
    </row>
    <row r="5028" spans="1:19" x14ac:dyDescent="0.25">
      <c r="A5028" t="s">
        <v>30</v>
      </c>
      <c r="B5028" t="s">
        <v>31</v>
      </c>
      <c r="C5028" t="s">
        <v>32</v>
      </c>
      <c r="D5028" t="s">
        <v>719</v>
      </c>
      <c r="E5028" t="s">
        <v>738</v>
      </c>
      <c r="F5028" t="s">
        <v>35</v>
      </c>
      <c r="G5028" t="s">
        <v>35</v>
      </c>
      <c r="H5028" t="s">
        <v>35</v>
      </c>
      <c r="J5028" t="s">
        <v>5582</v>
      </c>
      <c r="K5028" t="s">
        <v>1092</v>
      </c>
      <c r="M5028">
        <v>0.04</v>
      </c>
      <c r="N5028">
        <v>1217</v>
      </c>
      <c r="O5028" t="s">
        <v>575</v>
      </c>
      <c r="Q5028" t="s">
        <v>4334</v>
      </c>
      <c r="R5028" t="s">
        <v>5554</v>
      </c>
      <c r="S5028" t="s">
        <v>5555</v>
      </c>
    </row>
    <row r="5029" spans="1:19" x14ac:dyDescent="0.25">
      <c r="A5029" t="s">
        <v>30</v>
      </c>
      <c r="B5029" t="s">
        <v>31</v>
      </c>
      <c r="C5029" t="s">
        <v>32</v>
      </c>
      <c r="D5029" t="s">
        <v>719</v>
      </c>
      <c r="E5029" t="s">
        <v>738</v>
      </c>
      <c r="F5029" t="s">
        <v>35</v>
      </c>
      <c r="G5029" t="s">
        <v>35</v>
      </c>
      <c r="H5029" t="s">
        <v>35</v>
      </c>
      <c r="J5029" t="s">
        <v>5583</v>
      </c>
      <c r="K5029" t="s">
        <v>1092</v>
      </c>
      <c r="M5029">
        <v>0.36</v>
      </c>
      <c r="N5029">
        <v>153</v>
      </c>
      <c r="O5029" t="s">
        <v>38</v>
      </c>
      <c r="Q5029" t="s">
        <v>569</v>
      </c>
      <c r="R5029" t="s">
        <v>5454</v>
      </c>
      <c r="S5029" t="s">
        <v>756</v>
      </c>
    </row>
    <row r="5030" spans="1:19" x14ac:dyDescent="0.25">
      <c r="A5030" t="s">
        <v>30</v>
      </c>
      <c r="B5030" t="s">
        <v>31</v>
      </c>
      <c r="C5030" t="s">
        <v>32</v>
      </c>
      <c r="D5030" t="s">
        <v>719</v>
      </c>
      <c r="E5030" t="s">
        <v>738</v>
      </c>
      <c r="F5030" t="s">
        <v>35</v>
      </c>
      <c r="G5030" t="s">
        <v>35</v>
      </c>
      <c r="H5030" t="s">
        <v>35</v>
      </c>
      <c r="J5030" t="s">
        <v>5584</v>
      </c>
      <c r="K5030" t="s">
        <v>1092</v>
      </c>
      <c r="M5030">
        <v>2.7</v>
      </c>
      <c r="N5030">
        <v>91</v>
      </c>
      <c r="O5030" t="s">
        <v>106</v>
      </c>
      <c r="Q5030" t="s">
        <v>1147</v>
      </c>
      <c r="R5030" t="s">
        <v>5585</v>
      </c>
      <c r="S5030" t="s">
        <v>739</v>
      </c>
    </row>
    <row r="5031" spans="1:19" x14ac:dyDescent="0.25">
      <c r="A5031" t="s">
        <v>30</v>
      </c>
      <c r="B5031" t="s">
        <v>31</v>
      </c>
      <c r="C5031" t="s">
        <v>32</v>
      </c>
      <c r="D5031" t="s">
        <v>719</v>
      </c>
      <c r="E5031" t="s">
        <v>738</v>
      </c>
      <c r="F5031" t="s">
        <v>35</v>
      </c>
      <c r="G5031" t="s">
        <v>35</v>
      </c>
      <c r="H5031" t="s">
        <v>35</v>
      </c>
      <c r="J5031" t="s">
        <v>5584</v>
      </c>
      <c r="K5031" t="s">
        <v>1092</v>
      </c>
      <c r="M5031">
        <v>3.5550000000000002</v>
      </c>
      <c r="N5031">
        <v>97</v>
      </c>
      <c r="O5031" t="s">
        <v>106</v>
      </c>
      <c r="Q5031" t="s">
        <v>557</v>
      </c>
      <c r="R5031" t="s">
        <v>730</v>
      </c>
      <c r="S5031" t="s">
        <v>731</v>
      </c>
    </row>
    <row r="5032" spans="1:19" x14ac:dyDescent="0.25">
      <c r="A5032" t="s">
        <v>30</v>
      </c>
      <c r="B5032" t="s">
        <v>31</v>
      </c>
      <c r="C5032" t="s">
        <v>32</v>
      </c>
      <c r="D5032" t="s">
        <v>719</v>
      </c>
      <c r="E5032" t="s">
        <v>738</v>
      </c>
      <c r="F5032" t="s">
        <v>35</v>
      </c>
      <c r="G5032" t="s">
        <v>35</v>
      </c>
      <c r="H5032" t="s">
        <v>35</v>
      </c>
      <c r="J5032" t="s">
        <v>5586</v>
      </c>
      <c r="K5032" t="s">
        <v>1092</v>
      </c>
      <c r="M5032">
        <v>3.87</v>
      </c>
      <c r="N5032">
        <v>49</v>
      </c>
      <c r="O5032" t="s">
        <v>52</v>
      </c>
      <c r="Q5032" t="s">
        <v>219</v>
      </c>
      <c r="R5032" t="s">
        <v>730</v>
      </c>
      <c r="S5032" t="s">
        <v>731</v>
      </c>
    </row>
    <row r="5033" spans="1:19" x14ac:dyDescent="0.25">
      <c r="A5033" t="s">
        <v>30</v>
      </c>
      <c r="B5033" t="s">
        <v>31</v>
      </c>
      <c r="C5033" t="s">
        <v>32</v>
      </c>
      <c r="D5033" t="s">
        <v>719</v>
      </c>
      <c r="E5033" t="s">
        <v>738</v>
      </c>
      <c r="F5033" t="s">
        <v>35</v>
      </c>
      <c r="G5033" t="s">
        <v>35</v>
      </c>
      <c r="H5033" t="s">
        <v>35</v>
      </c>
      <c r="J5033" t="s">
        <v>5588</v>
      </c>
      <c r="K5033" t="s">
        <v>1092</v>
      </c>
      <c r="M5033">
        <v>6.48</v>
      </c>
      <c r="N5033">
        <v>170</v>
      </c>
      <c r="O5033" t="s">
        <v>38</v>
      </c>
      <c r="Q5033" t="s">
        <v>2780</v>
      </c>
      <c r="R5033" t="s">
        <v>730</v>
      </c>
      <c r="S5033" t="s">
        <v>731</v>
      </c>
    </row>
    <row r="5034" spans="1:19" x14ac:dyDescent="0.25">
      <c r="A5034" t="s">
        <v>30</v>
      </c>
      <c r="B5034" t="s">
        <v>31</v>
      </c>
      <c r="C5034" t="s">
        <v>32</v>
      </c>
      <c r="D5034" t="s">
        <v>719</v>
      </c>
      <c r="E5034" t="s">
        <v>738</v>
      </c>
      <c r="F5034" t="s">
        <v>35</v>
      </c>
      <c r="G5034" t="s">
        <v>35</v>
      </c>
      <c r="H5034" t="s">
        <v>35</v>
      </c>
      <c r="J5034" t="s">
        <v>5589</v>
      </c>
      <c r="K5034" t="s">
        <v>1092</v>
      </c>
      <c r="M5034">
        <v>0.85499999999999998</v>
      </c>
      <c r="N5034">
        <v>133</v>
      </c>
      <c r="O5034" t="s">
        <v>38</v>
      </c>
      <c r="Q5034" t="s">
        <v>68</v>
      </c>
      <c r="R5034" t="s">
        <v>730</v>
      </c>
      <c r="S5034" t="s">
        <v>731</v>
      </c>
    </row>
    <row r="5035" spans="1:19" x14ac:dyDescent="0.25">
      <c r="A5035" t="s">
        <v>30</v>
      </c>
      <c r="B5035" t="s">
        <v>31</v>
      </c>
      <c r="C5035" t="s">
        <v>32</v>
      </c>
      <c r="D5035" t="s">
        <v>719</v>
      </c>
      <c r="E5035" t="s">
        <v>738</v>
      </c>
      <c r="F5035" t="s">
        <v>35</v>
      </c>
      <c r="G5035" t="s">
        <v>35</v>
      </c>
      <c r="H5035" t="s">
        <v>35</v>
      </c>
      <c r="J5035" t="s">
        <v>5590</v>
      </c>
      <c r="K5035" t="s">
        <v>1092</v>
      </c>
      <c r="M5035">
        <v>4.95</v>
      </c>
      <c r="N5035">
        <v>161</v>
      </c>
      <c r="O5035" t="s">
        <v>38</v>
      </c>
      <c r="Q5035" t="s">
        <v>2639</v>
      </c>
      <c r="R5035" t="s">
        <v>589</v>
      </c>
      <c r="S5035" t="s">
        <v>590</v>
      </c>
    </row>
    <row r="5036" spans="1:19" x14ac:dyDescent="0.25">
      <c r="A5036" t="s">
        <v>59</v>
      </c>
      <c r="B5036" t="s">
        <v>31</v>
      </c>
      <c r="C5036" t="s">
        <v>32</v>
      </c>
      <c r="D5036" t="s">
        <v>719</v>
      </c>
      <c r="E5036" t="s">
        <v>738</v>
      </c>
      <c r="F5036" t="s">
        <v>35</v>
      </c>
      <c r="G5036" t="s">
        <v>35</v>
      </c>
      <c r="H5036" t="s">
        <v>35</v>
      </c>
      <c r="J5036" t="s">
        <v>5590</v>
      </c>
      <c r="K5036" t="s">
        <v>1092</v>
      </c>
      <c r="M5036">
        <v>4.7249999999999996</v>
      </c>
      <c r="N5036">
        <v>161</v>
      </c>
      <c r="O5036" t="s">
        <v>38</v>
      </c>
      <c r="Q5036" t="s">
        <v>2639</v>
      </c>
      <c r="R5036" t="s">
        <v>589</v>
      </c>
      <c r="S5036" t="s">
        <v>590</v>
      </c>
    </row>
    <row r="5037" spans="1:19" x14ac:dyDescent="0.25">
      <c r="A5037" t="s">
        <v>30</v>
      </c>
      <c r="B5037" t="s">
        <v>31</v>
      </c>
      <c r="C5037" t="s">
        <v>32</v>
      </c>
      <c r="D5037" t="s">
        <v>719</v>
      </c>
      <c r="E5037" t="s">
        <v>738</v>
      </c>
      <c r="F5037" t="s">
        <v>35</v>
      </c>
      <c r="G5037" t="s">
        <v>35</v>
      </c>
      <c r="H5037" t="s">
        <v>35</v>
      </c>
      <c r="J5037" t="s">
        <v>5590</v>
      </c>
      <c r="K5037" t="s">
        <v>1092</v>
      </c>
      <c r="M5037">
        <v>4.68</v>
      </c>
      <c r="N5037">
        <v>171</v>
      </c>
      <c r="O5037" t="s">
        <v>38</v>
      </c>
      <c r="Q5037" t="s">
        <v>3930</v>
      </c>
      <c r="R5037" t="s">
        <v>5461</v>
      </c>
      <c r="S5037" t="s">
        <v>479</v>
      </c>
    </row>
    <row r="5038" spans="1:19" x14ac:dyDescent="0.25">
      <c r="A5038" t="s">
        <v>30</v>
      </c>
      <c r="B5038" t="s">
        <v>31</v>
      </c>
      <c r="C5038" t="s">
        <v>32</v>
      </c>
      <c r="D5038" t="s">
        <v>719</v>
      </c>
      <c r="E5038" t="s">
        <v>738</v>
      </c>
      <c r="F5038" t="s">
        <v>35</v>
      </c>
      <c r="G5038" t="s">
        <v>35</v>
      </c>
      <c r="H5038" t="s">
        <v>35</v>
      </c>
      <c r="J5038" t="s">
        <v>5591</v>
      </c>
      <c r="K5038" t="s">
        <v>1092</v>
      </c>
      <c r="M5038">
        <v>0.99</v>
      </c>
      <c r="N5038">
        <v>507</v>
      </c>
      <c r="O5038" t="s">
        <v>294</v>
      </c>
      <c r="Q5038" t="s">
        <v>3822</v>
      </c>
      <c r="R5038" t="s">
        <v>5585</v>
      </c>
      <c r="S5038" t="s">
        <v>739</v>
      </c>
    </row>
    <row r="5039" spans="1:19" x14ac:dyDescent="0.25">
      <c r="A5039" t="s">
        <v>30</v>
      </c>
      <c r="B5039" t="s">
        <v>31</v>
      </c>
      <c r="C5039" t="s">
        <v>32</v>
      </c>
      <c r="D5039" t="s">
        <v>719</v>
      </c>
      <c r="E5039" t="s">
        <v>738</v>
      </c>
      <c r="F5039" t="s">
        <v>35</v>
      </c>
      <c r="G5039" t="s">
        <v>35</v>
      </c>
      <c r="H5039" t="s">
        <v>35</v>
      </c>
      <c r="J5039" t="s">
        <v>5591</v>
      </c>
      <c r="K5039" t="s">
        <v>1092</v>
      </c>
      <c r="M5039">
        <v>5.4</v>
      </c>
      <c r="N5039">
        <v>503</v>
      </c>
      <c r="O5039" t="s">
        <v>294</v>
      </c>
      <c r="Q5039" t="s">
        <v>3139</v>
      </c>
      <c r="R5039" t="s">
        <v>730</v>
      </c>
      <c r="S5039" t="s">
        <v>731</v>
      </c>
    </row>
    <row r="5040" spans="1:19" x14ac:dyDescent="0.25">
      <c r="A5040" t="s">
        <v>30</v>
      </c>
      <c r="B5040" t="s">
        <v>31</v>
      </c>
      <c r="C5040" t="s">
        <v>32</v>
      </c>
      <c r="D5040" t="s">
        <v>719</v>
      </c>
      <c r="E5040" t="s">
        <v>738</v>
      </c>
      <c r="F5040" t="s">
        <v>35</v>
      </c>
      <c r="G5040" t="s">
        <v>35</v>
      </c>
      <c r="H5040" t="s">
        <v>35</v>
      </c>
      <c r="J5040" t="s">
        <v>5592</v>
      </c>
      <c r="K5040" t="s">
        <v>1092</v>
      </c>
      <c r="M5040">
        <v>8.82</v>
      </c>
      <c r="N5040">
        <v>133</v>
      </c>
      <c r="O5040" t="s">
        <v>38</v>
      </c>
      <c r="Q5040" t="s">
        <v>68</v>
      </c>
      <c r="R5040" t="s">
        <v>730</v>
      </c>
      <c r="S5040" t="s">
        <v>731</v>
      </c>
    </row>
    <row r="5041" spans="1:19" x14ac:dyDescent="0.25">
      <c r="A5041" t="s">
        <v>30</v>
      </c>
      <c r="B5041" t="s">
        <v>31</v>
      </c>
      <c r="C5041" t="s">
        <v>32</v>
      </c>
      <c r="D5041" t="s">
        <v>719</v>
      </c>
      <c r="E5041" t="s">
        <v>738</v>
      </c>
      <c r="F5041" t="s">
        <v>35</v>
      </c>
      <c r="G5041" t="s">
        <v>35</v>
      </c>
      <c r="H5041" t="s">
        <v>35</v>
      </c>
      <c r="J5041" t="s">
        <v>4394</v>
      </c>
      <c r="K5041" t="s">
        <v>1092</v>
      </c>
      <c r="M5041">
        <v>4.05</v>
      </c>
      <c r="N5041">
        <v>136</v>
      </c>
      <c r="O5041" t="s">
        <v>38</v>
      </c>
      <c r="Q5041" t="s">
        <v>157</v>
      </c>
      <c r="R5041" t="s">
        <v>5454</v>
      </c>
      <c r="S5041" t="s">
        <v>756</v>
      </c>
    </row>
    <row r="5042" spans="1:19" x14ac:dyDescent="0.25">
      <c r="A5042" t="s">
        <v>30</v>
      </c>
      <c r="B5042" t="s">
        <v>31</v>
      </c>
      <c r="C5042" t="s">
        <v>32</v>
      </c>
      <c r="D5042" t="s">
        <v>719</v>
      </c>
      <c r="E5042" t="s">
        <v>738</v>
      </c>
      <c r="F5042" t="s">
        <v>35</v>
      </c>
      <c r="G5042" t="s">
        <v>35</v>
      </c>
      <c r="H5042" t="s">
        <v>35</v>
      </c>
      <c r="J5042" t="s">
        <v>5593</v>
      </c>
      <c r="K5042" t="s">
        <v>1092</v>
      </c>
      <c r="M5042">
        <v>10.71</v>
      </c>
      <c r="N5042">
        <v>47</v>
      </c>
      <c r="O5042" t="s">
        <v>52</v>
      </c>
      <c r="Q5042" t="s">
        <v>132</v>
      </c>
      <c r="R5042" t="s">
        <v>725</v>
      </c>
      <c r="S5042" t="s">
        <v>726</v>
      </c>
    </row>
    <row r="5043" spans="1:19" x14ac:dyDescent="0.25">
      <c r="A5043" t="s">
        <v>59</v>
      </c>
      <c r="B5043" t="s">
        <v>60</v>
      </c>
      <c r="C5043" t="s">
        <v>32</v>
      </c>
      <c r="D5043" t="s">
        <v>719</v>
      </c>
      <c r="E5043" t="s">
        <v>738</v>
      </c>
      <c r="F5043" t="s">
        <v>35</v>
      </c>
      <c r="G5043" t="s">
        <v>35</v>
      </c>
      <c r="H5043" t="s">
        <v>35</v>
      </c>
      <c r="J5043" t="s">
        <v>5594</v>
      </c>
      <c r="K5043" t="s">
        <v>1092</v>
      </c>
      <c r="M5043">
        <v>4</v>
      </c>
      <c r="N5043">
        <v>198</v>
      </c>
      <c r="O5043" t="s">
        <v>5</v>
      </c>
      <c r="Q5043" t="s">
        <v>4086</v>
      </c>
      <c r="R5043" t="s">
        <v>730</v>
      </c>
      <c r="S5043" t="s">
        <v>731</v>
      </c>
    </row>
    <row r="5044" spans="1:19" x14ac:dyDescent="0.25">
      <c r="A5044" t="s">
        <v>59</v>
      </c>
      <c r="B5044" t="s">
        <v>31</v>
      </c>
      <c r="C5044" t="s">
        <v>32</v>
      </c>
      <c r="D5044" t="s">
        <v>719</v>
      </c>
      <c r="E5044" t="s">
        <v>738</v>
      </c>
      <c r="F5044" t="s">
        <v>35</v>
      </c>
      <c r="G5044" t="s">
        <v>35</v>
      </c>
      <c r="H5044" t="s">
        <v>35</v>
      </c>
      <c r="J5044" t="s">
        <v>5594</v>
      </c>
      <c r="K5044" t="s">
        <v>1092</v>
      </c>
      <c r="M5044">
        <v>5.31</v>
      </c>
      <c r="N5044">
        <v>143</v>
      </c>
      <c r="O5044" t="s">
        <v>38</v>
      </c>
      <c r="Q5044" t="s">
        <v>2121</v>
      </c>
      <c r="R5044" t="s">
        <v>5432</v>
      </c>
      <c r="S5044" t="s">
        <v>759</v>
      </c>
    </row>
    <row r="5045" spans="1:19" x14ac:dyDescent="0.25">
      <c r="A5045" t="s">
        <v>30</v>
      </c>
      <c r="B5045" t="s">
        <v>31</v>
      </c>
      <c r="C5045" t="s">
        <v>32</v>
      </c>
      <c r="D5045" t="s">
        <v>719</v>
      </c>
      <c r="E5045" t="s">
        <v>738</v>
      </c>
      <c r="F5045" t="s">
        <v>35</v>
      </c>
      <c r="G5045" t="s">
        <v>35</v>
      </c>
      <c r="H5045" t="s">
        <v>35</v>
      </c>
      <c r="J5045" t="s">
        <v>5594</v>
      </c>
      <c r="K5045" t="s">
        <v>1092</v>
      </c>
      <c r="M5045">
        <v>11.025</v>
      </c>
      <c r="N5045">
        <v>49</v>
      </c>
      <c r="O5045" t="s">
        <v>52</v>
      </c>
      <c r="Q5045" t="s">
        <v>219</v>
      </c>
      <c r="R5045" t="s">
        <v>730</v>
      </c>
      <c r="S5045" t="s">
        <v>731</v>
      </c>
    </row>
    <row r="5046" spans="1:19" x14ac:dyDescent="0.25">
      <c r="A5046" t="s">
        <v>30</v>
      </c>
      <c r="B5046" t="s">
        <v>31</v>
      </c>
      <c r="C5046" t="s">
        <v>32</v>
      </c>
      <c r="D5046" t="s">
        <v>719</v>
      </c>
      <c r="E5046" t="s">
        <v>738</v>
      </c>
      <c r="F5046" t="s">
        <v>35</v>
      </c>
      <c r="G5046" t="s">
        <v>35</v>
      </c>
      <c r="H5046" t="s">
        <v>35</v>
      </c>
      <c r="J5046" t="s">
        <v>5594</v>
      </c>
      <c r="K5046" t="s">
        <v>1092</v>
      </c>
      <c r="M5046">
        <v>4.3650000000000002</v>
      </c>
      <c r="N5046">
        <v>69</v>
      </c>
      <c r="O5046" t="s">
        <v>61</v>
      </c>
      <c r="Q5046" t="s">
        <v>139</v>
      </c>
      <c r="R5046" t="s">
        <v>730</v>
      </c>
      <c r="S5046" t="s">
        <v>731</v>
      </c>
    </row>
    <row r="5047" spans="1:19" x14ac:dyDescent="0.25">
      <c r="A5047" t="s">
        <v>30</v>
      </c>
      <c r="B5047" t="s">
        <v>31</v>
      </c>
      <c r="C5047" t="s">
        <v>32</v>
      </c>
      <c r="D5047" t="s">
        <v>719</v>
      </c>
      <c r="E5047" t="s">
        <v>738</v>
      </c>
      <c r="F5047" t="s">
        <v>35</v>
      </c>
      <c r="G5047" t="s">
        <v>35</v>
      </c>
      <c r="H5047" t="s">
        <v>35</v>
      </c>
      <c r="J5047" t="s">
        <v>5595</v>
      </c>
      <c r="K5047" t="s">
        <v>1092</v>
      </c>
      <c r="M5047">
        <v>11.025</v>
      </c>
      <c r="N5047">
        <v>98</v>
      </c>
      <c r="O5047" t="s">
        <v>106</v>
      </c>
      <c r="Q5047" t="s">
        <v>108</v>
      </c>
      <c r="R5047" t="s">
        <v>725</v>
      </c>
      <c r="S5047" t="s">
        <v>726</v>
      </c>
    </row>
    <row r="5048" spans="1:19" x14ac:dyDescent="0.25">
      <c r="A5048" t="s">
        <v>44</v>
      </c>
      <c r="B5048" t="s">
        <v>51</v>
      </c>
      <c r="C5048" t="s">
        <v>32</v>
      </c>
      <c r="D5048" t="s">
        <v>719</v>
      </c>
      <c r="E5048" t="s">
        <v>738</v>
      </c>
      <c r="F5048" t="s">
        <v>35</v>
      </c>
      <c r="G5048" t="s">
        <v>35</v>
      </c>
      <c r="H5048" t="s">
        <v>35</v>
      </c>
      <c r="J5048" t="s">
        <v>5596</v>
      </c>
      <c r="K5048" t="s">
        <v>1092</v>
      </c>
      <c r="M5048">
        <v>0.45</v>
      </c>
      <c r="N5048">
        <v>80</v>
      </c>
      <c r="O5048" t="s">
        <v>61</v>
      </c>
      <c r="Q5048" t="s">
        <v>477</v>
      </c>
      <c r="R5048" t="s">
        <v>5461</v>
      </c>
      <c r="S5048" t="s">
        <v>479</v>
      </c>
    </row>
    <row r="5049" spans="1:19" x14ac:dyDescent="0.25">
      <c r="A5049" t="s">
        <v>30</v>
      </c>
      <c r="B5049" t="s">
        <v>31</v>
      </c>
      <c r="C5049" t="s">
        <v>32</v>
      </c>
      <c r="D5049" t="s">
        <v>719</v>
      </c>
      <c r="E5049" t="s">
        <v>738</v>
      </c>
      <c r="F5049" t="s">
        <v>35</v>
      </c>
      <c r="G5049" t="s">
        <v>35</v>
      </c>
      <c r="H5049" t="s">
        <v>35</v>
      </c>
      <c r="J5049" t="s">
        <v>5597</v>
      </c>
      <c r="K5049" t="s">
        <v>1092</v>
      </c>
      <c r="M5049">
        <v>11.025</v>
      </c>
      <c r="N5049">
        <v>39</v>
      </c>
      <c r="O5049" t="s">
        <v>52</v>
      </c>
      <c r="Q5049" t="s">
        <v>816</v>
      </c>
      <c r="R5049" t="s">
        <v>735</v>
      </c>
      <c r="S5049" t="s">
        <v>736</v>
      </c>
    </row>
    <row r="5050" spans="1:19" x14ac:dyDescent="0.25">
      <c r="A5050" t="s">
        <v>30</v>
      </c>
      <c r="B5050" t="s">
        <v>31</v>
      </c>
      <c r="C5050" t="s">
        <v>32</v>
      </c>
      <c r="D5050" t="s">
        <v>719</v>
      </c>
      <c r="E5050" t="s">
        <v>738</v>
      </c>
      <c r="F5050" t="s">
        <v>35</v>
      </c>
      <c r="G5050" t="s">
        <v>35</v>
      </c>
      <c r="H5050" t="s">
        <v>35</v>
      </c>
      <c r="J5050" t="s">
        <v>5597</v>
      </c>
      <c r="K5050" t="s">
        <v>1092</v>
      </c>
      <c r="M5050">
        <v>1.2150000000000001</v>
      </c>
      <c r="N5050">
        <v>69</v>
      </c>
      <c r="O5050" t="s">
        <v>61</v>
      </c>
      <c r="Q5050" t="s">
        <v>139</v>
      </c>
      <c r="R5050" t="s">
        <v>730</v>
      </c>
      <c r="S5050" t="s">
        <v>731</v>
      </c>
    </row>
    <row r="5051" spans="1:19" x14ac:dyDescent="0.25">
      <c r="A5051" t="s">
        <v>30</v>
      </c>
      <c r="B5051" t="s">
        <v>31</v>
      </c>
      <c r="C5051" t="s">
        <v>32</v>
      </c>
      <c r="D5051" t="s">
        <v>719</v>
      </c>
      <c r="E5051" t="s">
        <v>738</v>
      </c>
      <c r="F5051" t="s">
        <v>35</v>
      </c>
      <c r="G5051" t="s">
        <v>35</v>
      </c>
      <c r="H5051" t="s">
        <v>35</v>
      </c>
      <c r="J5051" t="s">
        <v>5598</v>
      </c>
      <c r="K5051" t="s">
        <v>1092</v>
      </c>
      <c r="M5051">
        <v>7.0000000000000007E-2</v>
      </c>
      <c r="N5051">
        <v>154</v>
      </c>
      <c r="O5051" t="s">
        <v>38</v>
      </c>
      <c r="Q5051" t="s">
        <v>3398</v>
      </c>
      <c r="R5051" t="s">
        <v>5432</v>
      </c>
      <c r="S5051" t="s">
        <v>759</v>
      </c>
    </row>
    <row r="5052" spans="1:19" x14ac:dyDescent="0.25">
      <c r="A5052" t="s">
        <v>59</v>
      </c>
      <c r="B5052" t="s">
        <v>31</v>
      </c>
      <c r="C5052" t="s">
        <v>32</v>
      </c>
      <c r="D5052" t="s">
        <v>719</v>
      </c>
      <c r="E5052" t="s">
        <v>738</v>
      </c>
      <c r="F5052" t="s">
        <v>35</v>
      </c>
      <c r="G5052" t="s">
        <v>35</v>
      </c>
      <c r="H5052" t="s">
        <v>35</v>
      </c>
      <c r="J5052" t="s">
        <v>5599</v>
      </c>
      <c r="K5052" t="s">
        <v>1092</v>
      </c>
      <c r="M5052">
        <v>0.17</v>
      </c>
      <c r="N5052">
        <v>152</v>
      </c>
      <c r="O5052" t="s">
        <v>38</v>
      </c>
      <c r="Q5052" t="s">
        <v>408</v>
      </c>
      <c r="R5052" t="s">
        <v>725</v>
      </c>
      <c r="S5052" t="s">
        <v>726</v>
      </c>
    </row>
    <row r="5053" spans="1:19" x14ac:dyDescent="0.25">
      <c r="A5053" t="s">
        <v>59</v>
      </c>
      <c r="B5053" t="s">
        <v>31</v>
      </c>
      <c r="C5053" t="s">
        <v>32</v>
      </c>
      <c r="D5053" t="s">
        <v>719</v>
      </c>
      <c r="E5053" t="s">
        <v>738</v>
      </c>
      <c r="F5053" t="s">
        <v>35</v>
      </c>
      <c r="G5053" t="s">
        <v>35</v>
      </c>
      <c r="H5053" t="s">
        <v>35</v>
      </c>
      <c r="J5053" t="s">
        <v>8250</v>
      </c>
      <c r="K5053" t="s">
        <v>1092</v>
      </c>
      <c r="M5053">
        <v>11.025</v>
      </c>
      <c r="N5053">
        <v>3</v>
      </c>
      <c r="O5053" t="s">
        <v>46</v>
      </c>
      <c r="Q5053" t="s">
        <v>8153</v>
      </c>
      <c r="R5053" t="s">
        <v>730</v>
      </c>
      <c r="S5053" t="s">
        <v>731</v>
      </c>
    </row>
    <row r="5054" spans="1:19" x14ac:dyDescent="0.25">
      <c r="A5054" t="s">
        <v>30</v>
      </c>
      <c r="B5054" t="s">
        <v>31</v>
      </c>
      <c r="C5054" t="s">
        <v>32</v>
      </c>
      <c r="D5054" t="s">
        <v>719</v>
      </c>
      <c r="E5054" t="s">
        <v>738</v>
      </c>
      <c r="F5054" t="s">
        <v>35</v>
      </c>
      <c r="G5054" t="s">
        <v>35</v>
      </c>
      <c r="H5054" t="s">
        <v>35</v>
      </c>
      <c r="J5054" t="s">
        <v>5600</v>
      </c>
      <c r="K5054" t="s">
        <v>1092</v>
      </c>
      <c r="M5054">
        <v>0.45</v>
      </c>
      <c r="N5054">
        <v>1195</v>
      </c>
      <c r="O5054" t="s">
        <v>575</v>
      </c>
      <c r="Q5054" t="s">
        <v>2433</v>
      </c>
      <c r="R5054" t="s">
        <v>5601</v>
      </c>
      <c r="S5054" t="s">
        <v>5602</v>
      </c>
    </row>
    <row r="5055" spans="1:19" x14ac:dyDescent="0.25">
      <c r="A5055" t="s">
        <v>30</v>
      </c>
      <c r="B5055" t="s">
        <v>31</v>
      </c>
      <c r="C5055" t="s">
        <v>32</v>
      </c>
      <c r="D5055" t="s">
        <v>719</v>
      </c>
      <c r="E5055" t="s">
        <v>738</v>
      </c>
      <c r="F5055" t="s">
        <v>35</v>
      </c>
      <c r="G5055" t="s">
        <v>35</v>
      </c>
      <c r="H5055" t="s">
        <v>35</v>
      </c>
      <c r="J5055" t="s">
        <v>5604</v>
      </c>
      <c r="K5055" t="s">
        <v>1092</v>
      </c>
      <c r="M5055">
        <v>22.05</v>
      </c>
      <c r="N5055">
        <v>46</v>
      </c>
      <c r="O5055" t="s">
        <v>52</v>
      </c>
      <c r="Q5055" t="s">
        <v>493</v>
      </c>
      <c r="R5055" t="s">
        <v>5432</v>
      </c>
      <c r="S5055" t="s">
        <v>759</v>
      </c>
    </row>
    <row r="5056" spans="1:19" x14ac:dyDescent="0.25">
      <c r="A5056" t="s">
        <v>30</v>
      </c>
      <c r="B5056" t="s">
        <v>31</v>
      </c>
      <c r="C5056" t="s">
        <v>32</v>
      </c>
      <c r="D5056" t="s">
        <v>719</v>
      </c>
      <c r="E5056" t="s">
        <v>738</v>
      </c>
      <c r="F5056" t="s">
        <v>35</v>
      </c>
      <c r="G5056" t="s">
        <v>35</v>
      </c>
      <c r="H5056" t="s">
        <v>35</v>
      </c>
      <c r="J5056" t="s">
        <v>5604</v>
      </c>
      <c r="K5056" t="s">
        <v>1092</v>
      </c>
      <c r="M5056">
        <v>4.8600000000000003</v>
      </c>
      <c r="N5056">
        <v>1220</v>
      </c>
      <c r="O5056" t="s">
        <v>575</v>
      </c>
      <c r="Q5056" t="s">
        <v>1525</v>
      </c>
      <c r="R5056" t="s">
        <v>5481</v>
      </c>
      <c r="S5056" t="s">
        <v>4452</v>
      </c>
    </row>
    <row r="5057" spans="1:19" x14ac:dyDescent="0.25">
      <c r="A5057" t="s">
        <v>30</v>
      </c>
      <c r="B5057" t="s">
        <v>31</v>
      </c>
      <c r="C5057" t="s">
        <v>32</v>
      </c>
      <c r="D5057" t="s">
        <v>719</v>
      </c>
      <c r="E5057" t="s">
        <v>738</v>
      </c>
      <c r="F5057" t="s">
        <v>35</v>
      </c>
      <c r="G5057" t="s">
        <v>35</v>
      </c>
      <c r="H5057" t="s">
        <v>35</v>
      </c>
      <c r="J5057" t="s">
        <v>5605</v>
      </c>
      <c r="K5057" t="s">
        <v>1092</v>
      </c>
      <c r="M5057">
        <v>0.55000000000000004</v>
      </c>
      <c r="N5057">
        <v>1600</v>
      </c>
      <c r="O5057" t="s">
        <v>575</v>
      </c>
      <c r="Q5057" t="s">
        <v>5606</v>
      </c>
      <c r="R5057" t="s">
        <v>5601</v>
      </c>
      <c r="S5057" t="s">
        <v>5602</v>
      </c>
    </row>
    <row r="5058" spans="1:19" x14ac:dyDescent="0.25">
      <c r="A5058" t="s">
        <v>30</v>
      </c>
      <c r="B5058" t="s">
        <v>31</v>
      </c>
      <c r="C5058" t="s">
        <v>32</v>
      </c>
      <c r="D5058" t="s">
        <v>719</v>
      </c>
      <c r="E5058" t="s">
        <v>738</v>
      </c>
      <c r="F5058" t="s">
        <v>35</v>
      </c>
      <c r="G5058" t="s">
        <v>35</v>
      </c>
      <c r="H5058" t="s">
        <v>35</v>
      </c>
      <c r="J5058" t="s">
        <v>5607</v>
      </c>
      <c r="K5058" t="s">
        <v>1092</v>
      </c>
      <c r="M5058">
        <v>2.9249999999999998</v>
      </c>
      <c r="N5058">
        <v>89</v>
      </c>
      <c r="O5058" t="s">
        <v>61</v>
      </c>
      <c r="Q5058" t="s">
        <v>299</v>
      </c>
      <c r="R5058" t="s">
        <v>5432</v>
      </c>
      <c r="S5058" t="s">
        <v>759</v>
      </c>
    </row>
    <row r="5059" spans="1:19" x14ac:dyDescent="0.25">
      <c r="A5059" t="s">
        <v>30</v>
      </c>
      <c r="B5059" t="s">
        <v>31</v>
      </c>
      <c r="C5059" t="s">
        <v>32</v>
      </c>
      <c r="D5059" t="s">
        <v>719</v>
      </c>
      <c r="E5059" t="s">
        <v>738</v>
      </c>
      <c r="F5059" t="s">
        <v>35</v>
      </c>
      <c r="G5059" t="s">
        <v>35</v>
      </c>
      <c r="H5059" t="s">
        <v>35</v>
      </c>
      <c r="J5059" t="s">
        <v>586</v>
      </c>
      <c r="K5059" t="s">
        <v>1092</v>
      </c>
      <c r="M5059">
        <v>11.025</v>
      </c>
      <c r="N5059">
        <v>68</v>
      </c>
      <c r="O5059" t="s">
        <v>61</v>
      </c>
      <c r="Q5059" t="s">
        <v>146</v>
      </c>
      <c r="R5059" t="s">
        <v>5461</v>
      </c>
      <c r="S5059" t="s">
        <v>479</v>
      </c>
    </row>
    <row r="5060" spans="1:19" x14ac:dyDescent="0.25">
      <c r="A5060" t="s">
        <v>44</v>
      </c>
      <c r="B5060" t="s">
        <v>3</v>
      </c>
      <c r="C5060" t="s">
        <v>32</v>
      </c>
      <c r="D5060" t="s">
        <v>719</v>
      </c>
      <c r="E5060" t="s">
        <v>738</v>
      </c>
      <c r="F5060" t="s">
        <v>35</v>
      </c>
      <c r="G5060" t="s">
        <v>35</v>
      </c>
      <c r="H5060" t="s">
        <v>35</v>
      </c>
      <c r="J5060" t="s">
        <v>5608</v>
      </c>
      <c r="K5060" t="s">
        <v>1092</v>
      </c>
      <c r="M5060">
        <v>0.55000000000000004</v>
      </c>
      <c r="N5060">
        <v>594</v>
      </c>
      <c r="O5060" t="s">
        <v>575</v>
      </c>
      <c r="Q5060" t="s">
        <v>1321</v>
      </c>
      <c r="R5060" t="s">
        <v>730</v>
      </c>
      <c r="S5060" t="s">
        <v>731</v>
      </c>
    </row>
    <row r="5061" spans="1:19" x14ac:dyDescent="0.25">
      <c r="A5061" t="s">
        <v>59</v>
      </c>
      <c r="B5061" t="s">
        <v>31</v>
      </c>
      <c r="C5061" t="s">
        <v>32</v>
      </c>
      <c r="D5061" t="s">
        <v>719</v>
      </c>
      <c r="E5061" t="s">
        <v>738</v>
      </c>
      <c r="F5061" t="s">
        <v>35</v>
      </c>
      <c r="G5061" t="s">
        <v>35</v>
      </c>
      <c r="H5061" t="s">
        <v>35</v>
      </c>
      <c r="J5061" t="s">
        <v>5609</v>
      </c>
      <c r="K5061" t="s">
        <v>1092</v>
      </c>
      <c r="M5061">
        <v>7.29</v>
      </c>
      <c r="N5061">
        <v>198</v>
      </c>
      <c r="O5061" t="s">
        <v>5</v>
      </c>
      <c r="Q5061" t="s">
        <v>4086</v>
      </c>
      <c r="R5061" t="s">
        <v>730</v>
      </c>
      <c r="S5061" t="s">
        <v>731</v>
      </c>
    </row>
    <row r="5062" spans="1:19" x14ac:dyDescent="0.25">
      <c r="A5062" t="s">
        <v>30</v>
      </c>
      <c r="B5062" t="s">
        <v>31</v>
      </c>
      <c r="C5062" t="s">
        <v>32</v>
      </c>
      <c r="D5062" t="s">
        <v>719</v>
      </c>
      <c r="E5062" t="s">
        <v>738</v>
      </c>
      <c r="F5062" t="s">
        <v>35</v>
      </c>
      <c r="G5062" t="s">
        <v>35</v>
      </c>
      <c r="H5062" t="s">
        <v>35</v>
      </c>
      <c r="J5062" t="s">
        <v>5610</v>
      </c>
      <c r="K5062" t="s">
        <v>1092</v>
      </c>
      <c r="M5062">
        <v>5.4450000000000003</v>
      </c>
      <c r="N5062">
        <v>61</v>
      </c>
      <c r="O5062" t="s">
        <v>61</v>
      </c>
      <c r="Q5062" t="s">
        <v>671</v>
      </c>
      <c r="R5062" t="s">
        <v>735</v>
      </c>
      <c r="S5062" t="s">
        <v>736</v>
      </c>
    </row>
    <row r="5063" spans="1:19" x14ac:dyDescent="0.25">
      <c r="A5063" t="s">
        <v>30</v>
      </c>
      <c r="B5063" t="s">
        <v>31</v>
      </c>
      <c r="C5063" t="s">
        <v>32</v>
      </c>
      <c r="D5063" t="s">
        <v>719</v>
      </c>
      <c r="E5063" t="s">
        <v>738</v>
      </c>
      <c r="F5063" t="s">
        <v>35</v>
      </c>
      <c r="G5063" t="s">
        <v>35</v>
      </c>
      <c r="H5063" t="s">
        <v>35</v>
      </c>
      <c r="J5063" t="s">
        <v>5611</v>
      </c>
      <c r="K5063" t="s">
        <v>1092</v>
      </c>
      <c r="M5063">
        <v>8.3249999999999993</v>
      </c>
      <c r="N5063">
        <v>95</v>
      </c>
      <c r="O5063" t="s">
        <v>106</v>
      </c>
      <c r="Q5063" t="s">
        <v>724</v>
      </c>
      <c r="R5063" t="s">
        <v>5432</v>
      </c>
      <c r="S5063" t="s">
        <v>759</v>
      </c>
    </row>
    <row r="5064" spans="1:19" x14ac:dyDescent="0.25">
      <c r="A5064" t="s">
        <v>59</v>
      </c>
      <c r="B5064" t="s">
        <v>31</v>
      </c>
      <c r="C5064" t="s">
        <v>32</v>
      </c>
      <c r="D5064" t="s">
        <v>719</v>
      </c>
      <c r="E5064" t="s">
        <v>738</v>
      </c>
      <c r="F5064" t="s">
        <v>35</v>
      </c>
      <c r="G5064" t="s">
        <v>35</v>
      </c>
      <c r="H5064" t="s">
        <v>35</v>
      </c>
      <c r="J5064" t="s">
        <v>5612</v>
      </c>
      <c r="K5064" t="s">
        <v>1092</v>
      </c>
      <c r="M5064">
        <v>10.845000000000001</v>
      </c>
      <c r="N5064">
        <v>143</v>
      </c>
      <c r="O5064" t="s">
        <v>38</v>
      </c>
      <c r="Q5064" t="s">
        <v>2121</v>
      </c>
      <c r="R5064" t="s">
        <v>5432</v>
      </c>
      <c r="S5064" t="s">
        <v>759</v>
      </c>
    </row>
    <row r="5065" spans="1:19" x14ac:dyDescent="0.25">
      <c r="A5065" t="s">
        <v>30</v>
      </c>
      <c r="B5065" t="s">
        <v>31</v>
      </c>
      <c r="C5065" t="s">
        <v>32</v>
      </c>
      <c r="D5065" t="s">
        <v>719</v>
      </c>
      <c r="E5065" t="s">
        <v>738</v>
      </c>
      <c r="F5065" t="s">
        <v>35</v>
      </c>
      <c r="G5065" t="s">
        <v>35</v>
      </c>
      <c r="H5065" t="s">
        <v>35</v>
      </c>
      <c r="J5065" t="s">
        <v>5612</v>
      </c>
      <c r="K5065" t="s">
        <v>1092</v>
      </c>
      <c r="M5065">
        <v>8.1449999999999996</v>
      </c>
      <c r="N5065">
        <v>69</v>
      </c>
      <c r="O5065" t="s">
        <v>61</v>
      </c>
      <c r="Q5065" t="s">
        <v>139</v>
      </c>
      <c r="R5065" t="s">
        <v>730</v>
      </c>
      <c r="S5065" t="s">
        <v>731</v>
      </c>
    </row>
    <row r="5066" spans="1:19" x14ac:dyDescent="0.25">
      <c r="A5066" t="s">
        <v>30</v>
      </c>
      <c r="B5066" t="s">
        <v>31</v>
      </c>
      <c r="C5066" t="s">
        <v>32</v>
      </c>
      <c r="D5066" t="s">
        <v>719</v>
      </c>
      <c r="E5066" t="s">
        <v>738</v>
      </c>
      <c r="F5066" t="s">
        <v>35</v>
      </c>
      <c r="G5066" t="s">
        <v>35</v>
      </c>
      <c r="H5066" t="s">
        <v>35</v>
      </c>
      <c r="J5066" t="s">
        <v>5613</v>
      </c>
      <c r="K5066" t="s">
        <v>1092</v>
      </c>
      <c r="M5066">
        <v>5.31</v>
      </c>
      <c r="N5066">
        <v>170</v>
      </c>
      <c r="O5066" t="s">
        <v>38</v>
      </c>
      <c r="Q5066" t="s">
        <v>2780</v>
      </c>
      <c r="R5066" t="s">
        <v>730</v>
      </c>
      <c r="S5066" t="s">
        <v>731</v>
      </c>
    </row>
    <row r="5067" spans="1:19" x14ac:dyDescent="0.25">
      <c r="A5067" t="s">
        <v>30</v>
      </c>
      <c r="B5067" t="s">
        <v>31</v>
      </c>
      <c r="C5067" t="s">
        <v>32</v>
      </c>
      <c r="D5067" t="s">
        <v>719</v>
      </c>
      <c r="E5067" t="s">
        <v>738</v>
      </c>
      <c r="F5067" t="s">
        <v>35</v>
      </c>
      <c r="G5067" t="s">
        <v>35</v>
      </c>
      <c r="H5067" t="s">
        <v>35</v>
      </c>
      <c r="J5067" t="s">
        <v>5614</v>
      </c>
      <c r="K5067" t="s">
        <v>1092</v>
      </c>
      <c r="M5067">
        <v>5.3550000000000004</v>
      </c>
      <c r="N5067">
        <v>72</v>
      </c>
      <c r="O5067" t="s">
        <v>61</v>
      </c>
      <c r="Q5067" t="s">
        <v>63</v>
      </c>
      <c r="R5067" t="s">
        <v>5454</v>
      </c>
      <c r="S5067" t="s">
        <v>756</v>
      </c>
    </row>
    <row r="5068" spans="1:19" x14ac:dyDescent="0.25">
      <c r="A5068" t="s">
        <v>59</v>
      </c>
      <c r="B5068" t="s">
        <v>31</v>
      </c>
      <c r="C5068" t="s">
        <v>32</v>
      </c>
      <c r="D5068" t="s">
        <v>719</v>
      </c>
      <c r="E5068" t="s">
        <v>738</v>
      </c>
      <c r="F5068" t="s">
        <v>35</v>
      </c>
      <c r="G5068" t="s">
        <v>35</v>
      </c>
      <c r="H5068" t="s">
        <v>35</v>
      </c>
      <c r="J5068" t="s">
        <v>5615</v>
      </c>
      <c r="K5068" t="s">
        <v>1092</v>
      </c>
      <c r="M5068">
        <v>4.5</v>
      </c>
      <c r="N5068">
        <v>196</v>
      </c>
      <c r="O5068" t="s">
        <v>5</v>
      </c>
      <c r="Q5068" t="s">
        <v>5616</v>
      </c>
      <c r="R5068" t="s">
        <v>5432</v>
      </c>
      <c r="S5068" t="s">
        <v>759</v>
      </c>
    </row>
    <row r="5069" spans="1:19" x14ac:dyDescent="0.25">
      <c r="A5069" t="s">
        <v>30</v>
      </c>
      <c r="B5069" t="s">
        <v>31</v>
      </c>
      <c r="C5069" t="s">
        <v>32</v>
      </c>
      <c r="D5069" t="s">
        <v>719</v>
      </c>
      <c r="E5069" t="s">
        <v>738</v>
      </c>
      <c r="F5069" t="s">
        <v>35</v>
      </c>
      <c r="G5069" t="s">
        <v>35</v>
      </c>
      <c r="H5069" t="s">
        <v>35</v>
      </c>
      <c r="J5069" t="s">
        <v>5615</v>
      </c>
      <c r="K5069" t="s">
        <v>1092</v>
      </c>
      <c r="M5069">
        <v>5.085</v>
      </c>
      <c r="N5069">
        <v>503</v>
      </c>
      <c r="O5069" t="s">
        <v>294</v>
      </c>
      <c r="Q5069" t="s">
        <v>3139</v>
      </c>
      <c r="R5069" t="s">
        <v>730</v>
      </c>
      <c r="S5069" t="s">
        <v>731</v>
      </c>
    </row>
    <row r="5070" spans="1:19" x14ac:dyDescent="0.25">
      <c r="A5070" t="s">
        <v>30</v>
      </c>
      <c r="B5070" t="s">
        <v>31</v>
      </c>
      <c r="C5070" t="s">
        <v>32</v>
      </c>
      <c r="D5070" t="s">
        <v>719</v>
      </c>
      <c r="E5070" t="s">
        <v>738</v>
      </c>
      <c r="F5070" t="s">
        <v>35</v>
      </c>
      <c r="G5070" t="s">
        <v>35</v>
      </c>
      <c r="H5070" t="s">
        <v>35</v>
      </c>
      <c r="J5070" t="s">
        <v>5617</v>
      </c>
      <c r="K5070" t="s">
        <v>1092</v>
      </c>
      <c r="M5070">
        <v>11.025</v>
      </c>
      <c r="N5070">
        <v>133</v>
      </c>
      <c r="O5070" t="s">
        <v>38</v>
      </c>
      <c r="Q5070" t="s">
        <v>68</v>
      </c>
      <c r="R5070" t="s">
        <v>5432</v>
      </c>
      <c r="S5070" t="s">
        <v>759</v>
      </c>
    </row>
    <row r="5071" spans="1:19" x14ac:dyDescent="0.25">
      <c r="A5071" t="s">
        <v>30</v>
      </c>
      <c r="B5071" t="s">
        <v>31</v>
      </c>
      <c r="C5071" t="s">
        <v>32</v>
      </c>
      <c r="D5071" t="s">
        <v>719</v>
      </c>
      <c r="E5071" t="s">
        <v>738</v>
      </c>
      <c r="F5071" t="s">
        <v>35</v>
      </c>
      <c r="G5071" t="s">
        <v>35</v>
      </c>
      <c r="H5071" t="s">
        <v>35</v>
      </c>
      <c r="J5071" t="s">
        <v>5618</v>
      </c>
      <c r="K5071" t="s">
        <v>1092</v>
      </c>
      <c r="M5071">
        <v>0.27</v>
      </c>
      <c r="N5071">
        <v>367</v>
      </c>
      <c r="O5071" t="s">
        <v>294</v>
      </c>
      <c r="Q5071" t="s">
        <v>3978</v>
      </c>
      <c r="R5071" t="s">
        <v>730</v>
      </c>
      <c r="S5071" t="s">
        <v>731</v>
      </c>
    </row>
    <row r="5072" spans="1:19" x14ac:dyDescent="0.25">
      <c r="A5072" t="s">
        <v>30</v>
      </c>
      <c r="B5072" t="s">
        <v>31</v>
      </c>
      <c r="C5072" t="s">
        <v>32</v>
      </c>
      <c r="D5072" t="s">
        <v>719</v>
      </c>
      <c r="E5072" t="s">
        <v>738</v>
      </c>
      <c r="F5072" t="s">
        <v>35</v>
      </c>
      <c r="G5072" t="s">
        <v>35</v>
      </c>
      <c r="H5072" t="s">
        <v>35</v>
      </c>
      <c r="J5072" t="s">
        <v>5619</v>
      </c>
      <c r="K5072" t="s">
        <v>1092</v>
      </c>
      <c r="M5072">
        <v>3.375</v>
      </c>
      <c r="N5072">
        <v>133</v>
      </c>
      <c r="O5072" t="s">
        <v>38</v>
      </c>
      <c r="Q5072" t="s">
        <v>68</v>
      </c>
      <c r="R5072" t="s">
        <v>730</v>
      </c>
      <c r="S5072" t="s">
        <v>731</v>
      </c>
    </row>
    <row r="5073" spans="1:19" x14ac:dyDescent="0.25">
      <c r="A5073" t="s">
        <v>30</v>
      </c>
      <c r="B5073" t="s">
        <v>31</v>
      </c>
      <c r="C5073" t="s">
        <v>32</v>
      </c>
      <c r="D5073" t="s">
        <v>719</v>
      </c>
      <c r="E5073" t="s">
        <v>738</v>
      </c>
      <c r="F5073" t="s">
        <v>35</v>
      </c>
      <c r="G5073" t="s">
        <v>35</v>
      </c>
      <c r="H5073" t="s">
        <v>35</v>
      </c>
      <c r="J5073" t="s">
        <v>5620</v>
      </c>
      <c r="K5073" t="s">
        <v>1092</v>
      </c>
      <c r="M5073">
        <v>7.335</v>
      </c>
      <c r="N5073">
        <v>69</v>
      </c>
      <c r="O5073" t="s">
        <v>61</v>
      </c>
      <c r="Q5073" t="s">
        <v>139</v>
      </c>
      <c r="R5073" t="s">
        <v>730</v>
      </c>
      <c r="S5073" t="s">
        <v>731</v>
      </c>
    </row>
    <row r="5074" spans="1:19" x14ac:dyDescent="0.25">
      <c r="A5074" t="s">
        <v>30</v>
      </c>
      <c r="B5074" t="s">
        <v>31</v>
      </c>
      <c r="C5074" t="s">
        <v>32</v>
      </c>
      <c r="D5074" t="s">
        <v>719</v>
      </c>
      <c r="E5074" t="s">
        <v>738</v>
      </c>
      <c r="F5074" t="s">
        <v>35</v>
      </c>
      <c r="G5074" t="s">
        <v>35</v>
      </c>
      <c r="H5074" t="s">
        <v>35</v>
      </c>
      <c r="J5074" t="s">
        <v>5620</v>
      </c>
      <c r="K5074" t="s">
        <v>1092</v>
      </c>
      <c r="M5074">
        <v>11.025</v>
      </c>
      <c r="N5074">
        <v>47</v>
      </c>
      <c r="O5074" t="s">
        <v>52</v>
      </c>
      <c r="Q5074" t="s">
        <v>132</v>
      </c>
      <c r="R5074" t="s">
        <v>5432</v>
      </c>
      <c r="S5074" t="s">
        <v>759</v>
      </c>
    </row>
    <row r="5075" spans="1:19" x14ac:dyDescent="0.25">
      <c r="A5075" t="s">
        <v>59</v>
      </c>
      <c r="B5075" t="s">
        <v>31</v>
      </c>
      <c r="C5075" t="s">
        <v>32</v>
      </c>
      <c r="D5075" t="s">
        <v>719</v>
      </c>
      <c r="E5075" t="s">
        <v>738</v>
      </c>
      <c r="F5075" t="s">
        <v>35</v>
      </c>
      <c r="G5075" t="s">
        <v>35</v>
      </c>
      <c r="H5075" t="s">
        <v>35</v>
      </c>
      <c r="J5075" t="s">
        <v>5620</v>
      </c>
      <c r="K5075" t="s">
        <v>1092</v>
      </c>
      <c r="M5075">
        <v>11.025</v>
      </c>
      <c r="N5075">
        <v>131</v>
      </c>
      <c r="O5075" t="s">
        <v>38</v>
      </c>
      <c r="Q5075" t="s">
        <v>646</v>
      </c>
      <c r="R5075" t="s">
        <v>730</v>
      </c>
      <c r="S5075" t="s">
        <v>731</v>
      </c>
    </row>
    <row r="5076" spans="1:19" x14ac:dyDescent="0.25">
      <c r="A5076" t="s">
        <v>30</v>
      </c>
      <c r="B5076" t="s">
        <v>31</v>
      </c>
      <c r="C5076" t="s">
        <v>32</v>
      </c>
      <c r="D5076" t="s">
        <v>719</v>
      </c>
      <c r="E5076" t="s">
        <v>738</v>
      </c>
      <c r="F5076" t="s">
        <v>35</v>
      </c>
      <c r="G5076" t="s">
        <v>35</v>
      </c>
      <c r="H5076" t="s">
        <v>35</v>
      </c>
      <c r="J5076" t="s">
        <v>5621</v>
      </c>
      <c r="K5076" t="s">
        <v>1092</v>
      </c>
      <c r="M5076">
        <v>1.3049999999999999</v>
      </c>
      <c r="N5076">
        <v>89</v>
      </c>
      <c r="O5076" t="s">
        <v>61</v>
      </c>
      <c r="Q5076" t="s">
        <v>299</v>
      </c>
      <c r="R5076" t="s">
        <v>5432</v>
      </c>
      <c r="S5076" t="s">
        <v>759</v>
      </c>
    </row>
    <row r="5077" spans="1:19" x14ac:dyDescent="0.25">
      <c r="A5077" t="s">
        <v>59</v>
      </c>
      <c r="B5077" t="s">
        <v>31</v>
      </c>
      <c r="C5077" t="s">
        <v>32</v>
      </c>
      <c r="D5077" t="s">
        <v>719</v>
      </c>
      <c r="E5077" t="s">
        <v>738</v>
      </c>
      <c r="F5077" t="s">
        <v>35</v>
      </c>
      <c r="G5077" t="s">
        <v>35</v>
      </c>
      <c r="H5077" t="s">
        <v>35</v>
      </c>
      <c r="J5077" t="s">
        <v>5622</v>
      </c>
      <c r="K5077" t="s">
        <v>1092</v>
      </c>
      <c r="M5077">
        <v>0.9</v>
      </c>
      <c r="N5077">
        <v>141</v>
      </c>
      <c r="O5077" t="s">
        <v>38</v>
      </c>
      <c r="Q5077" t="s">
        <v>1822</v>
      </c>
      <c r="R5077" t="s">
        <v>730</v>
      </c>
      <c r="S5077" t="s">
        <v>731</v>
      </c>
    </row>
    <row r="5078" spans="1:19" x14ac:dyDescent="0.25">
      <c r="A5078" t="s">
        <v>30</v>
      </c>
      <c r="B5078" t="s">
        <v>31</v>
      </c>
      <c r="C5078" t="s">
        <v>32</v>
      </c>
      <c r="D5078" t="s">
        <v>719</v>
      </c>
      <c r="E5078" t="s">
        <v>738</v>
      </c>
      <c r="F5078" t="s">
        <v>35</v>
      </c>
      <c r="G5078" t="s">
        <v>35</v>
      </c>
      <c r="H5078" t="s">
        <v>35</v>
      </c>
      <c r="J5078" t="s">
        <v>5623</v>
      </c>
      <c r="K5078" t="s">
        <v>1092</v>
      </c>
      <c r="M5078">
        <v>5.49</v>
      </c>
      <c r="N5078">
        <v>47</v>
      </c>
      <c r="O5078" t="s">
        <v>52</v>
      </c>
      <c r="Q5078" t="s">
        <v>132</v>
      </c>
      <c r="R5078" t="s">
        <v>5432</v>
      </c>
      <c r="S5078" t="s">
        <v>759</v>
      </c>
    </row>
    <row r="5079" spans="1:19" x14ac:dyDescent="0.25">
      <c r="A5079" t="s">
        <v>30</v>
      </c>
      <c r="B5079" t="s">
        <v>31</v>
      </c>
      <c r="C5079" t="s">
        <v>32</v>
      </c>
      <c r="D5079" t="s">
        <v>719</v>
      </c>
      <c r="E5079" t="s">
        <v>738</v>
      </c>
      <c r="F5079" t="s">
        <v>35</v>
      </c>
      <c r="G5079" t="s">
        <v>35</v>
      </c>
      <c r="H5079" t="s">
        <v>35</v>
      </c>
      <c r="J5079" t="s">
        <v>5624</v>
      </c>
      <c r="K5079" t="s">
        <v>1092</v>
      </c>
      <c r="M5079">
        <v>4.2750000000000004</v>
      </c>
      <c r="N5079">
        <v>97</v>
      </c>
      <c r="O5079" t="s">
        <v>106</v>
      </c>
      <c r="Q5079" t="s">
        <v>557</v>
      </c>
      <c r="R5079" t="s">
        <v>730</v>
      </c>
      <c r="S5079" t="s">
        <v>731</v>
      </c>
    </row>
    <row r="5080" spans="1:19" x14ac:dyDescent="0.25">
      <c r="A5080" t="s">
        <v>44</v>
      </c>
      <c r="B5080" t="s">
        <v>51</v>
      </c>
      <c r="C5080" t="s">
        <v>32</v>
      </c>
      <c r="D5080" t="s">
        <v>719</v>
      </c>
      <c r="E5080" t="s">
        <v>738</v>
      </c>
      <c r="F5080" t="s">
        <v>35</v>
      </c>
      <c r="G5080" t="s">
        <v>35</v>
      </c>
      <c r="H5080" t="s">
        <v>35</v>
      </c>
      <c r="J5080" t="s">
        <v>5625</v>
      </c>
      <c r="K5080" t="s">
        <v>1092</v>
      </c>
      <c r="M5080">
        <v>0.1</v>
      </c>
      <c r="N5080">
        <v>56</v>
      </c>
      <c r="O5080" t="s">
        <v>52</v>
      </c>
      <c r="Q5080" t="s">
        <v>453</v>
      </c>
      <c r="R5080" t="s">
        <v>5432</v>
      </c>
      <c r="S5080" t="s">
        <v>759</v>
      </c>
    </row>
    <row r="5081" spans="1:19" x14ac:dyDescent="0.25">
      <c r="A5081" t="s">
        <v>30</v>
      </c>
      <c r="B5081" t="s">
        <v>31</v>
      </c>
      <c r="C5081" t="s">
        <v>32</v>
      </c>
      <c r="D5081" t="s">
        <v>719</v>
      </c>
      <c r="E5081" t="s">
        <v>738</v>
      </c>
      <c r="F5081" t="s">
        <v>35</v>
      </c>
      <c r="G5081" t="s">
        <v>35</v>
      </c>
      <c r="H5081" t="s">
        <v>35</v>
      </c>
      <c r="J5081" t="s">
        <v>5626</v>
      </c>
      <c r="K5081" t="s">
        <v>1092</v>
      </c>
      <c r="M5081">
        <v>0.27</v>
      </c>
      <c r="N5081">
        <v>413</v>
      </c>
      <c r="O5081" t="s">
        <v>294</v>
      </c>
      <c r="Q5081" t="s">
        <v>5627</v>
      </c>
      <c r="R5081" t="s">
        <v>730</v>
      </c>
      <c r="S5081" t="s">
        <v>731</v>
      </c>
    </row>
    <row r="5082" spans="1:19" x14ac:dyDescent="0.25">
      <c r="A5082" t="s">
        <v>44</v>
      </c>
      <c r="B5082" t="s">
        <v>51</v>
      </c>
      <c r="C5082" t="s">
        <v>32</v>
      </c>
      <c r="D5082" t="s">
        <v>719</v>
      </c>
      <c r="E5082" t="s">
        <v>738</v>
      </c>
      <c r="F5082" t="s">
        <v>35</v>
      </c>
      <c r="G5082" t="s">
        <v>35</v>
      </c>
      <c r="H5082" t="s">
        <v>35</v>
      </c>
      <c r="J5082" t="s">
        <v>5626</v>
      </c>
      <c r="K5082" t="s">
        <v>1092</v>
      </c>
      <c r="M5082">
        <v>0.4</v>
      </c>
      <c r="N5082">
        <v>511</v>
      </c>
      <c r="O5082" t="s">
        <v>294</v>
      </c>
      <c r="Q5082" t="s">
        <v>5048</v>
      </c>
      <c r="R5082" t="s">
        <v>730</v>
      </c>
      <c r="S5082" t="s">
        <v>731</v>
      </c>
    </row>
    <row r="5083" spans="1:19" x14ac:dyDescent="0.25">
      <c r="A5083" t="s">
        <v>30</v>
      </c>
      <c r="B5083" t="s">
        <v>31</v>
      </c>
      <c r="C5083" t="s">
        <v>32</v>
      </c>
      <c r="D5083" t="s">
        <v>719</v>
      </c>
      <c r="E5083" t="s">
        <v>738</v>
      </c>
      <c r="F5083" t="s">
        <v>35</v>
      </c>
      <c r="G5083" t="s">
        <v>35</v>
      </c>
      <c r="H5083" t="s">
        <v>35</v>
      </c>
      <c r="J5083" t="s">
        <v>5628</v>
      </c>
      <c r="K5083" t="s">
        <v>1092</v>
      </c>
      <c r="M5083">
        <v>3.51</v>
      </c>
      <c r="N5083">
        <v>49</v>
      </c>
      <c r="O5083" t="s">
        <v>52</v>
      </c>
      <c r="Q5083" t="s">
        <v>219</v>
      </c>
      <c r="R5083" t="s">
        <v>730</v>
      </c>
      <c r="S5083" t="s">
        <v>731</v>
      </c>
    </row>
    <row r="5084" spans="1:19" x14ac:dyDescent="0.25">
      <c r="A5084" t="s">
        <v>30</v>
      </c>
      <c r="B5084" t="s">
        <v>31</v>
      </c>
      <c r="C5084" t="s">
        <v>32</v>
      </c>
      <c r="D5084" t="s">
        <v>719</v>
      </c>
      <c r="E5084" t="s">
        <v>738</v>
      </c>
      <c r="F5084" t="s">
        <v>35</v>
      </c>
      <c r="G5084" t="s">
        <v>35</v>
      </c>
      <c r="H5084" t="s">
        <v>35</v>
      </c>
      <c r="J5084" t="s">
        <v>5629</v>
      </c>
      <c r="K5084" t="s">
        <v>1092</v>
      </c>
      <c r="M5084">
        <v>2.5649999999999999</v>
      </c>
      <c r="N5084">
        <v>49</v>
      </c>
      <c r="O5084" t="s">
        <v>52</v>
      </c>
      <c r="Q5084" t="s">
        <v>219</v>
      </c>
      <c r="R5084" t="s">
        <v>730</v>
      </c>
      <c r="S5084" t="s">
        <v>731</v>
      </c>
    </row>
    <row r="5085" spans="1:19" x14ac:dyDescent="0.25">
      <c r="A5085" t="s">
        <v>30</v>
      </c>
      <c r="B5085" t="s">
        <v>31</v>
      </c>
      <c r="C5085" t="s">
        <v>32</v>
      </c>
      <c r="D5085" t="s">
        <v>719</v>
      </c>
      <c r="E5085" t="s">
        <v>738</v>
      </c>
      <c r="F5085" t="s">
        <v>35</v>
      </c>
      <c r="G5085" t="s">
        <v>35</v>
      </c>
      <c r="H5085" t="s">
        <v>35</v>
      </c>
      <c r="J5085" t="s">
        <v>5630</v>
      </c>
      <c r="K5085" t="s">
        <v>1092</v>
      </c>
      <c r="M5085">
        <v>4.5</v>
      </c>
      <c r="N5085">
        <v>97</v>
      </c>
      <c r="O5085" t="s">
        <v>106</v>
      </c>
      <c r="Q5085" t="s">
        <v>557</v>
      </c>
      <c r="R5085" t="s">
        <v>730</v>
      </c>
      <c r="S5085" t="s">
        <v>731</v>
      </c>
    </row>
    <row r="5086" spans="1:19" x14ac:dyDescent="0.25">
      <c r="A5086" t="s">
        <v>59</v>
      </c>
      <c r="B5086" t="s">
        <v>31</v>
      </c>
      <c r="C5086" t="s">
        <v>32</v>
      </c>
      <c r="D5086" t="s">
        <v>719</v>
      </c>
      <c r="E5086" t="s">
        <v>738</v>
      </c>
      <c r="F5086" t="s">
        <v>35</v>
      </c>
      <c r="G5086" t="s">
        <v>35</v>
      </c>
      <c r="H5086" t="s">
        <v>35</v>
      </c>
      <c r="J5086" t="s">
        <v>5631</v>
      </c>
      <c r="K5086" t="s">
        <v>404</v>
      </c>
      <c r="M5086">
        <v>5.94</v>
      </c>
      <c r="N5086">
        <v>285</v>
      </c>
      <c r="O5086" t="s">
        <v>5</v>
      </c>
      <c r="Q5086" t="s">
        <v>1687</v>
      </c>
      <c r="R5086" t="s">
        <v>730</v>
      </c>
      <c r="S5086" t="s">
        <v>731</v>
      </c>
    </row>
    <row r="5087" spans="1:19" x14ac:dyDescent="0.25">
      <c r="A5087" t="s">
        <v>44</v>
      </c>
      <c r="B5087" t="s">
        <v>51</v>
      </c>
      <c r="C5087" t="s">
        <v>32</v>
      </c>
      <c r="D5087" t="s">
        <v>719</v>
      </c>
      <c r="E5087" t="s">
        <v>738</v>
      </c>
      <c r="F5087" t="s">
        <v>35</v>
      </c>
      <c r="G5087" t="s">
        <v>35</v>
      </c>
      <c r="H5087" t="s">
        <v>35</v>
      </c>
      <c r="J5087" t="s">
        <v>5632</v>
      </c>
      <c r="K5087" t="s">
        <v>1092</v>
      </c>
      <c r="M5087">
        <v>0.4</v>
      </c>
      <c r="N5087">
        <v>509</v>
      </c>
      <c r="O5087" t="s">
        <v>294</v>
      </c>
      <c r="Q5087" t="s">
        <v>296</v>
      </c>
      <c r="R5087" t="s">
        <v>5432</v>
      </c>
      <c r="S5087" t="s">
        <v>759</v>
      </c>
    </row>
    <row r="5088" spans="1:19" x14ac:dyDescent="0.25">
      <c r="A5088" t="s">
        <v>30</v>
      </c>
      <c r="B5088" t="s">
        <v>31</v>
      </c>
      <c r="C5088" t="s">
        <v>32</v>
      </c>
      <c r="D5088" t="s">
        <v>719</v>
      </c>
      <c r="E5088" t="s">
        <v>738</v>
      </c>
      <c r="F5088" t="s">
        <v>35</v>
      </c>
      <c r="G5088" t="s">
        <v>35</v>
      </c>
      <c r="H5088" t="s">
        <v>35</v>
      </c>
      <c r="J5088" t="s">
        <v>5632</v>
      </c>
      <c r="K5088" t="s">
        <v>1092</v>
      </c>
      <c r="M5088">
        <v>12.78</v>
      </c>
      <c r="N5088">
        <v>145</v>
      </c>
      <c r="O5088" t="s">
        <v>38</v>
      </c>
      <c r="Q5088" t="s">
        <v>1149</v>
      </c>
      <c r="R5088" t="s">
        <v>5461</v>
      </c>
      <c r="S5088" t="s">
        <v>479</v>
      </c>
    </row>
    <row r="5089" spans="1:19" x14ac:dyDescent="0.25">
      <c r="A5089" t="s">
        <v>44</v>
      </c>
      <c r="B5089" t="s">
        <v>51</v>
      </c>
      <c r="C5089" t="s">
        <v>32</v>
      </c>
      <c r="D5089" t="s">
        <v>719</v>
      </c>
      <c r="E5089" t="s">
        <v>738</v>
      </c>
      <c r="F5089" t="s">
        <v>35</v>
      </c>
      <c r="G5089" t="s">
        <v>35</v>
      </c>
      <c r="H5089" t="s">
        <v>35</v>
      </c>
      <c r="J5089" t="s">
        <v>5632</v>
      </c>
      <c r="K5089" t="s">
        <v>1092</v>
      </c>
      <c r="M5089">
        <v>5.5</v>
      </c>
      <c r="N5089">
        <v>81</v>
      </c>
      <c r="O5089" t="s">
        <v>61</v>
      </c>
      <c r="Q5089" t="s">
        <v>527</v>
      </c>
      <c r="R5089" t="s">
        <v>730</v>
      </c>
      <c r="S5089" t="s">
        <v>731</v>
      </c>
    </row>
    <row r="5090" spans="1:19" x14ac:dyDescent="0.25">
      <c r="A5090" t="s">
        <v>30</v>
      </c>
      <c r="B5090" t="s">
        <v>31</v>
      </c>
      <c r="C5090" t="s">
        <v>32</v>
      </c>
      <c r="D5090" t="s">
        <v>719</v>
      </c>
      <c r="E5090" t="s">
        <v>738</v>
      </c>
      <c r="F5090" t="s">
        <v>35</v>
      </c>
      <c r="G5090" t="s">
        <v>35</v>
      </c>
      <c r="H5090" t="s">
        <v>35</v>
      </c>
      <c r="J5090" t="s">
        <v>5632</v>
      </c>
      <c r="K5090" t="s">
        <v>1092</v>
      </c>
      <c r="M5090">
        <v>11.025</v>
      </c>
      <c r="N5090">
        <v>137</v>
      </c>
      <c r="O5090" t="s">
        <v>38</v>
      </c>
      <c r="Q5090" t="s">
        <v>1602</v>
      </c>
      <c r="R5090" t="s">
        <v>735</v>
      </c>
      <c r="S5090" t="s">
        <v>736</v>
      </c>
    </row>
    <row r="5091" spans="1:19" x14ac:dyDescent="0.25">
      <c r="A5091" t="s">
        <v>59</v>
      </c>
      <c r="B5091" t="s">
        <v>31</v>
      </c>
      <c r="C5091" t="s">
        <v>32</v>
      </c>
      <c r="D5091" t="s">
        <v>719</v>
      </c>
      <c r="E5091" t="s">
        <v>738</v>
      </c>
      <c r="F5091" t="s">
        <v>35</v>
      </c>
      <c r="G5091" t="s">
        <v>35</v>
      </c>
      <c r="H5091" t="s">
        <v>35</v>
      </c>
      <c r="J5091" t="s">
        <v>5632</v>
      </c>
      <c r="K5091" t="s">
        <v>1092</v>
      </c>
      <c r="M5091">
        <v>6.66</v>
      </c>
      <c r="N5091">
        <v>202</v>
      </c>
      <c r="O5091" t="s">
        <v>5</v>
      </c>
      <c r="Q5091" t="s">
        <v>1299</v>
      </c>
      <c r="R5091" t="s">
        <v>589</v>
      </c>
      <c r="S5091" t="s">
        <v>590</v>
      </c>
    </row>
    <row r="5092" spans="1:19" x14ac:dyDescent="0.25">
      <c r="A5092" t="s">
        <v>30</v>
      </c>
      <c r="B5092" t="s">
        <v>31</v>
      </c>
      <c r="C5092" t="s">
        <v>32</v>
      </c>
      <c r="D5092" t="s">
        <v>719</v>
      </c>
      <c r="E5092" t="s">
        <v>738</v>
      </c>
      <c r="F5092" t="s">
        <v>35</v>
      </c>
      <c r="G5092" t="s">
        <v>35</v>
      </c>
      <c r="H5092" t="s">
        <v>35</v>
      </c>
      <c r="J5092" t="s">
        <v>5633</v>
      </c>
      <c r="K5092" t="s">
        <v>1092</v>
      </c>
      <c r="M5092">
        <v>10.89</v>
      </c>
      <c r="N5092">
        <v>49</v>
      </c>
      <c r="O5092" t="s">
        <v>52</v>
      </c>
      <c r="Q5092" t="s">
        <v>219</v>
      </c>
      <c r="R5092" t="s">
        <v>5454</v>
      </c>
      <c r="S5092" t="s">
        <v>756</v>
      </c>
    </row>
    <row r="5093" spans="1:19" x14ac:dyDescent="0.25">
      <c r="A5093" t="s">
        <v>30</v>
      </c>
      <c r="B5093" t="s">
        <v>31</v>
      </c>
      <c r="C5093" t="s">
        <v>32</v>
      </c>
      <c r="D5093" t="s">
        <v>719</v>
      </c>
      <c r="E5093" t="s">
        <v>738</v>
      </c>
      <c r="F5093" t="s">
        <v>35</v>
      </c>
      <c r="G5093" t="s">
        <v>35</v>
      </c>
      <c r="H5093" t="s">
        <v>35</v>
      </c>
      <c r="J5093" t="s">
        <v>5633</v>
      </c>
      <c r="K5093" t="s">
        <v>1092</v>
      </c>
      <c r="M5093">
        <v>3.69</v>
      </c>
      <c r="N5093">
        <v>72</v>
      </c>
      <c r="O5093" t="s">
        <v>61</v>
      </c>
      <c r="Q5093" t="s">
        <v>63</v>
      </c>
      <c r="R5093" t="s">
        <v>5454</v>
      </c>
      <c r="S5093" t="s">
        <v>756</v>
      </c>
    </row>
    <row r="5094" spans="1:19" x14ac:dyDescent="0.25">
      <c r="A5094" t="s">
        <v>30</v>
      </c>
      <c r="B5094" t="s">
        <v>31</v>
      </c>
      <c r="C5094" t="s">
        <v>32</v>
      </c>
      <c r="D5094" t="s">
        <v>719</v>
      </c>
      <c r="E5094" t="s">
        <v>738</v>
      </c>
      <c r="F5094" t="s">
        <v>35</v>
      </c>
      <c r="G5094" t="s">
        <v>35</v>
      </c>
      <c r="H5094" t="s">
        <v>35</v>
      </c>
      <c r="J5094" t="s">
        <v>5634</v>
      </c>
      <c r="K5094" t="s">
        <v>1092</v>
      </c>
      <c r="M5094">
        <v>8.19</v>
      </c>
      <c r="N5094">
        <v>296</v>
      </c>
      <c r="O5094" t="s">
        <v>5</v>
      </c>
      <c r="Q5094" t="s">
        <v>4253</v>
      </c>
      <c r="R5094" t="s">
        <v>730</v>
      </c>
      <c r="S5094" t="s">
        <v>731</v>
      </c>
    </row>
    <row r="5095" spans="1:19" x14ac:dyDescent="0.25">
      <c r="A5095" t="s">
        <v>30</v>
      </c>
      <c r="B5095" t="s">
        <v>31</v>
      </c>
      <c r="C5095" t="s">
        <v>32</v>
      </c>
      <c r="D5095" t="s">
        <v>719</v>
      </c>
      <c r="E5095" t="s">
        <v>738</v>
      </c>
      <c r="F5095" t="s">
        <v>35</v>
      </c>
      <c r="G5095" t="s">
        <v>35</v>
      </c>
      <c r="H5095" t="s">
        <v>35</v>
      </c>
      <c r="J5095" t="s">
        <v>5635</v>
      </c>
      <c r="K5095" t="s">
        <v>1092</v>
      </c>
      <c r="M5095">
        <v>2.2949999999999999</v>
      </c>
      <c r="N5095">
        <v>136</v>
      </c>
      <c r="O5095" t="s">
        <v>38</v>
      </c>
      <c r="Q5095" t="s">
        <v>157</v>
      </c>
      <c r="R5095" t="s">
        <v>5432</v>
      </c>
      <c r="S5095" t="s">
        <v>759</v>
      </c>
    </row>
    <row r="5096" spans="1:19" x14ac:dyDescent="0.25">
      <c r="A5096" t="s">
        <v>44</v>
      </c>
      <c r="B5096" t="s">
        <v>51</v>
      </c>
      <c r="C5096" t="s">
        <v>32</v>
      </c>
      <c r="D5096" t="s">
        <v>719</v>
      </c>
      <c r="E5096" t="s">
        <v>738</v>
      </c>
      <c r="F5096" t="s">
        <v>35</v>
      </c>
      <c r="G5096" t="s">
        <v>35</v>
      </c>
      <c r="H5096" t="s">
        <v>35</v>
      </c>
      <c r="J5096" t="s">
        <v>5636</v>
      </c>
      <c r="K5096" t="s">
        <v>1092</v>
      </c>
      <c r="M5096">
        <v>0.45</v>
      </c>
      <c r="N5096">
        <v>495</v>
      </c>
      <c r="O5096" t="s">
        <v>294</v>
      </c>
      <c r="Q5096" t="s">
        <v>2610</v>
      </c>
      <c r="R5096" t="s">
        <v>735</v>
      </c>
      <c r="S5096" t="s">
        <v>736</v>
      </c>
    </row>
    <row r="5097" spans="1:19" x14ac:dyDescent="0.25">
      <c r="A5097" t="s">
        <v>59</v>
      </c>
      <c r="B5097" t="s">
        <v>31</v>
      </c>
      <c r="C5097" t="s">
        <v>32</v>
      </c>
      <c r="D5097" t="s">
        <v>719</v>
      </c>
      <c r="E5097" t="s">
        <v>738</v>
      </c>
      <c r="F5097" t="s">
        <v>35</v>
      </c>
      <c r="G5097" t="s">
        <v>35</v>
      </c>
      <c r="H5097" t="s">
        <v>35</v>
      </c>
      <c r="J5097" t="s">
        <v>5637</v>
      </c>
      <c r="K5097" t="s">
        <v>1092</v>
      </c>
      <c r="M5097">
        <v>4.9050000000000002</v>
      </c>
      <c r="N5097">
        <v>172</v>
      </c>
      <c r="O5097" t="s">
        <v>38</v>
      </c>
      <c r="Q5097" t="s">
        <v>1124</v>
      </c>
      <c r="R5097" t="s">
        <v>5432</v>
      </c>
      <c r="S5097" t="s">
        <v>759</v>
      </c>
    </row>
    <row r="5098" spans="1:19" x14ac:dyDescent="0.25">
      <c r="A5098" t="s">
        <v>30</v>
      </c>
      <c r="B5098" t="s">
        <v>31</v>
      </c>
      <c r="C5098" t="s">
        <v>32</v>
      </c>
      <c r="D5098" t="s">
        <v>719</v>
      </c>
      <c r="E5098" t="s">
        <v>738</v>
      </c>
      <c r="F5098" t="s">
        <v>35</v>
      </c>
      <c r="G5098" t="s">
        <v>35</v>
      </c>
      <c r="H5098" t="s">
        <v>35</v>
      </c>
      <c r="J5098" t="s">
        <v>5638</v>
      </c>
      <c r="K5098" t="s">
        <v>1092</v>
      </c>
      <c r="M5098">
        <v>3.8250000000000002</v>
      </c>
      <c r="N5098">
        <v>136</v>
      </c>
      <c r="O5098" t="s">
        <v>38</v>
      </c>
      <c r="Q5098" t="s">
        <v>157</v>
      </c>
      <c r="R5098" t="s">
        <v>5432</v>
      </c>
      <c r="S5098" t="s">
        <v>759</v>
      </c>
    </row>
    <row r="5099" spans="1:19" x14ac:dyDescent="0.25">
      <c r="A5099" t="s">
        <v>44</v>
      </c>
      <c r="B5099" t="s">
        <v>3</v>
      </c>
      <c r="C5099" t="s">
        <v>32</v>
      </c>
      <c r="D5099" t="s">
        <v>719</v>
      </c>
      <c r="E5099" t="s">
        <v>738</v>
      </c>
      <c r="F5099" t="s">
        <v>35</v>
      </c>
      <c r="G5099" t="s">
        <v>35</v>
      </c>
      <c r="H5099" t="s">
        <v>35</v>
      </c>
      <c r="J5099" t="s">
        <v>5639</v>
      </c>
      <c r="K5099" t="s">
        <v>1092</v>
      </c>
      <c r="M5099">
        <v>0.3</v>
      </c>
      <c r="N5099">
        <v>503</v>
      </c>
      <c r="O5099" t="s">
        <v>294</v>
      </c>
      <c r="Q5099" t="s">
        <v>3139</v>
      </c>
      <c r="R5099" t="s">
        <v>589</v>
      </c>
      <c r="S5099" t="s">
        <v>590</v>
      </c>
    </row>
    <row r="5100" spans="1:19" x14ac:dyDescent="0.25">
      <c r="A5100" t="s">
        <v>30</v>
      </c>
      <c r="B5100" t="s">
        <v>31</v>
      </c>
      <c r="C5100" t="s">
        <v>32</v>
      </c>
      <c r="D5100" t="s">
        <v>719</v>
      </c>
      <c r="E5100" t="s">
        <v>738</v>
      </c>
      <c r="F5100" t="s">
        <v>35</v>
      </c>
      <c r="G5100" t="s">
        <v>35</v>
      </c>
      <c r="H5100" t="s">
        <v>35</v>
      </c>
      <c r="J5100" t="s">
        <v>5640</v>
      </c>
      <c r="K5100" t="s">
        <v>1092</v>
      </c>
      <c r="M5100">
        <v>5.31</v>
      </c>
      <c r="N5100">
        <v>154</v>
      </c>
      <c r="O5100" t="s">
        <v>38</v>
      </c>
      <c r="Q5100" t="s">
        <v>3398</v>
      </c>
      <c r="R5100" t="s">
        <v>730</v>
      </c>
      <c r="S5100" t="s">
        <v>731</v>
      </c>
    </row>
    <row r="5101" spans="1:19" x14ac:dyDescent="0.25">
      <c r="A5101" t="s">
        <v>59</v>
      </c>
      <c r="B5101" t="s">
        <v>31</v>
      </c>
      <c r="C5101" t="s">
        <v>32</v>
      </c>
      <c r="D5101" t="s">
        <v>719</v>
      </c>
      <c r="E5101" t="s">
        <v>738</v>
      </c>
      <c r="F5101" t="s">
        <v>35</v>
      </c>
      <c r="G5101" t="s">
        <v>35</v>
      </c>
      <c r="H5101" t="s">
        <v>35</v>
      </c>
      <c r="J5101" t="s">
        <v>5591</v>
      </c>
      <c r="K5101" t="s">
        <v>1092</v>
      </c>
      <c r="M5101">
        <v>3.7349999999999999</v>
      </c>
      <c r="N5101">
        <v>141</v>
      </c>
      <c r="O5101" t="s">
        <v>38</v>
      </c>
      <c r="Q5101" t="s">
        <v>1822</v>
      </c>
      <c r="R5101" t="s">
        <v>730</v>
      </c>
      <c r="S5101" t="s">
        <v>731</v>
      </c>
    </row>
    <row r="5102" spans="1:19" x14ac:dyDescent="0.25">
      <c r="A5102" t="s">
        <v>30</v>
      </c>
      <c r="B5102" t="s">
        <v>31</v>
      </c>
      <c r="C5102" t="s">
        <v>32</v>
      </c>
      <c r="D5102" t="s">
        <v>719</v>
      </c>
      <c r="E5102" t="s">
        <v>738</v>
      </c>
      <c r="F5102" t="s">
        <v>35</v>
      </c>
      <c r="G5102" t="s">
        <v>35</v>
      </c>
      <c r="H5102" t="s">
        <v>35</v>
      </c>
      <c r="J5102" t="s">
        <v>5591</v>
      </c>
      <c r="K5102" t="s">
        <v>1092</v>
      </c>
      <c r="M5102">
        <v>3.06</v>
      </c>
      <c r="N5102">
        <v>136</v>
      </c>
      <c r="O5102" t="s">
        <v>38</v>
      </c>
      <c r="Q5102" t="s">
        <v>157</v>
      </c>
      <c r="R5102" t="s">
        <v>5432</v>
      </c>
      <c r="S5102" t="s">
        <v>759</v>
      </c>
    </row>
    <row r="5103" spans="1:19" x14ac:dyDescent="0.25">
      <c r="A5103" t="s">
        <v>30</v>
      </c>
      <c r="B5103" t="s">
        <v>31</v>
      </c>
      <c r="C5103" t="s">
        <v>32</v>
      </c>
      <c r="D5103" t="s">
        <v>719</v>
      </c>
      <c r="E5103" t="s">
        <v>742</v>
      </c>
      <c r="F5103" t="s">
        <v>35</v>
      </c>
      <c r="G5103" t="s">
        <v>35</v>
      </c>
      <c r="H5103" t="s">
        <v>35</v>
      </c>
      <c r="J5103" t="s">
        <v>5641</v>
      </c>
      <c r="K5103" t="s">
        <v>404</v>
      </c>
      <c r="M5103">
        <v>9.4949999999999992</v>
      </c>
      <c r="N5103">
        <v>69</v>
      </c>
      <c r="O5103" t="s">
        <v>61</v>
      </c>
      <c r="Q5103" t="s">
        <v>139</v>
      </c>
      <c r="R5103" t="s">
        <v>730</v>
      </c>
      <c r="S5103" t="s">
        <v>731</v>
      </c>
    </row>
    <row r="5104" spans="1:19" x14ac:dyDescent="0.25">
      <c r="A5104" t="s">
        <v>59</v>
      </c>
      <c r="B5104" t="s">
        <v>60</v>
      </c>
      <c r="C5104" t="s">
        <v>32</v>
      </c>
      <c r="D5104" t="s">
        <v>719</v>
      </c>
      <c r="E5104" t="s">
        <v>742</v>
      </c>
      <c r="F5104" t="s">
        <v>35</v>
      </c>
      <c r="G5104" t="s">
        <v>35</v>
      </c>
      <c r="H5104" t="s">
        <v>35</v>
      </c>
      <c r="J5104" t="s">
        <v>5642</v>
      </c>
      <c r="K5104" t="s">
        <v>404</v>
      </c>
      <c r="M5104">
        <v>0.05</v>
      </c>
      <c r="N5104">
        <v>172</v>
      </c>
      <c r="O5104" t="s">
        <v>38</v>
      </c>
      <c r="Q5104" t="s">
        <v>1124</v>
      </c>
      <c r="R5104" t="s">
        <v>730</v>
      </c>
      <c r="S5104" t="s">
        <v>731</v>
      </c>
    </row>
    <row r="5105" spans="1:19" x14ac:dyDescent="0.25">
      <c r="A5105" t="s">
        <v>30</v>
      </c>
      <c r="B5105" t="s">
        <v>31</v>
      </c>
      <c r="C5105" t="s">
        <v>32</v>
      </c>
      <c r="D5105" t="s">
        <v>719</v>
      </c>
      <c r="E5105" t="s">
        <v>742</v>
      </c>
      <c r="F5105" t="s">
        <v>35</v>
      </c>
      <c r="G5105" t="s">
        <v>35</v>
      </c>
      <c r="H5105" t="s">
        <v>35</v>
      </c>
      <c r="J5105" t="s">
        <v>5642</v>
      </c>
      <c r="K5105" t="s">
        <v>404</v>
      </c>
      <c r="M5105">
        <v>4.9050000000000002</v>
      </c>
      <c r="N5105">
        <v>49</v>
      </c>
      <c r="O5105" t="s">
        <v>52</v>
      </c>
      <c r="Q5105" t="s">
        <v>219</v>
      </c>
      <c r="R5105" t="s">
        <v>730</v>
      </c>
      <c r="S5105" t="s">
        <v>731</v>
      </c>
    </row>
    <row r="5106" spans="1:19" x14ac:dyDescent="0.25">
      <c r="A5106" t="s">
        <v>30</v>
      </c>
      <c r="B5106" t="s">
        <v>31</v>
      </c>
      <c r="C5106" t="s">
        <v>32</v>
      </c>
      <c r="D5106" t="s">
        <v>719</v>
      </c>
      <c r="E5106" t="s">
        <v>742</v>
      </c>
      <c r="F5106" t="s">
        <v>35</v>
      </c>
      <c r="G5106" t="s">
        <v>35</v>
      </c>
      <c r="H5106" t="s">
        <v>35</v>
      </c>
      <c r="J5106" t="s">
        <v>5643</v>
      </c>
      <c r="K5106" t="s">
        <v>1092</v>
      </c>
      <c r="M5106">
        <v>16.47</v>
      </c>
      <c r="N5106">
        <v>49</v>
      </c>
      <c r="O5106" t="s">
        <v>52</v>
      </c>
      <c r="Q5106" t="s">
        <v>219</v>
      </c>
      <c r="R5106" t="s">
        <v>730</v>
      </c>
      <c r="S5106" t="s">
        <v>731</v>
      </c>
    </row>
    <row r="5107" spans="1:19" x14ac:dyDescent="0.25">
      <c r="A5107" t="s">
        <v>59</v>
      </c>
      <c r="B5107" t="s">
        <v>31</v>
      </c>
      <c r="C5107" t="s">
        <v>32</v>
      </c>
      <c r="D5107" t="s">
        <v>719</v>
      </c>
      <c r="E5107" t="s">
        <v>742</v>
      </c>
      <c r="F5107" t="s">
        <v>35</v>
      </c>
      <c r="G5107" t="s">
        <v>35</v>
      </c>
      <c r="H5107" t="s">
        <v>35</v>
      </c>
      <c r="J5107" t="s">
        <v>5643</v>
      </c>
      <c r="K5107" t="s">
        <v>1092</v>
      </c>
      <c r="M5107">
        <v>5.31</v>
      </c>
      <c r="N5107">
        <v>141</v>
      </c>
      <c r="O5107" t="s">
        <v>38</v>
      </c>
      <c r="Q5107" t="s">
        <v>1822</v>
      </c>
      <c r="R5107" t="s">
        <v>730</v>
      </c>
      <c r="S5107" t="s">
        <v>731</v>
      </c>
    </row>
    <row r="5108" spans="1:19" x14ac:dyDescent="0.25">
      <c r="A5108" t="s">
        <v>59</v>
      </c>
      <c r="B5108" t="s">
        <v>60</v>
      </c>
      <c r="C5108" t="s">
        <v>32</v>
      </c>
      <c r="D5108" t="s">
        <v>719</v>
      </c>
      <c r="E5108" t="s">
        <v>742</v>
      </c>
      <c r="F5108" t="s">
        <v>35</v>
      </c>
      <c r="G5108" t="s">
        <v>35</v>
      </c>
      <c r="H5108" t="s">
        <v>35</v>
      </c>
      <c r="J5108" t="s">
        <v>5643</v>
      </c>
      <c r="K5108" t="s">
        <v>1092</v>
      </c>
      <c r="M5108">
        <v>4</v>
      </c>
      <c r="N5108">
        <v>141</v>
      </c>
      <c r="O5108" t="s">
        <v>38</v>
      </c>
      <c r="Q5108" t="s">
        <v>1822</v>
      </c>
      <c r="R5108" t="s">
        <v>730</v>
      </c>
      <c r="S5108" t="s">
        <v>731</v>
      </c>
    </row>
    <row r="5109" spans="1:19" x14ac:dyDescent="0.25">
      <c r="A5109" t="s">
        <v>59</v>
      </c>
      <c r="B5109" t="s">
        <v>60</v>
      </c>
      <c r="C5109" t="s">
        <v>32</v>
      </c>
      <c r="D5109" t="s">
        <v>719</v>
      </c>
      <c r="E5109" t="s">
        <v>742</v>
      </c>
      <c r="F5109" t="s">
        <v>35</v>
      </c>
      <c r="G5109" t="s">
        <v>35</v>
      </c>
      <c r="H5109" t="s">
        <v>35</v>
      </c>
      <c r="J5109" t="s">
        <v>5644</v>
      </c>
      <c r="K5109" t="s">
        <v>404</v>
      </c>
      <c r="M5109">
        <v>2.4500000000000002</v>
      </c>
      <c r="N5109">
        <v>284</v>
      </c>
      <c r="O5109" t="s">
        <v>5</v>
      </c>
      <c r="Q5109" t="s">
        <v>1220</v>
      </c>
      <c r="R5109" t="s">
        <v>730</v>
      </c>
      <c r="S5109" t="s">
        <v>731</v>
      </c>
    </row>
    <row r="5110" spans="1:19" x14ac:dyDescent="0.25">
      <c r="A5110" t="s">
        <v>59</v>
      </c>
      <c r="B5110" t="s">
        <v>31</v>
      </c>
      <c r="C5110" t="s">
        <v>32</v>
      </c>
      <c r="D5110" t="s">
        <v>719</v>
      </c>
      <c r="E5110" t="s">
        <v>742</v>
      </c>
      <c r="F5110" t="s">
        <v>35</v>
      </c>
      <c r="G5110" t="s">
        <v>35</v>
      </c>
      <c r="H5110" t="s">
        <v>35</v>
      </c>
      <c r="J5110" t="s">
        <v>5644</v>
      </c>
      <c r="K5110" t="s">
        <v>404</v>
      </c>
      <c r="M5110">
        <v>9.99</v>
      </c>
      <c r="N5110">
        <v>141</v>
      </c>
      <c r="O5110" t="s">
        <v>38</v>
      </c>
      <c r="Q5110" t="s">
        <v>1822</v>
      </c>
      <c r="R5110" t="s">
        <v>730</v>
      </c>
      <c r="S5110" t="s">
        <v>731</v>
      </c>
    </row>
    <row r="5111" spans="1:19" x14ac:dyDescent="0.25">
      <c r="A5111" t="s">
        <v>30</v>
      </c>
      <c r="B5111" t="s">
        <v>31</v>
      </c>
      <c r="C5111" t="s">
        <v>32</v>
      </c>
      <c r="D5111" t="s">
        <v>719</v>
      </c>
      <c r="E5111" t="s">
        <v>742</v>
      </c>
      <c r="F5111" t="s">
        <v>35</v>
      </c>
      <c r="G5111" t="s">
        <v>35</v>
      </c>
      <c r="H5111" t="s">
        <v>35</v>
      </c>
      <c r="J5111" t="s">
        <v>5644</v>
      </c>
      <c r="K5111" t="s">
        <v>404</v>
      </c>
      <c r="M5111">
        <v>10.71</v>
      </c>
      <c r="N5111">
        <v>49</v>
      </c>
      <c r="O5111" t="s">
        <v>52</v>
      </c>
      <c r="Q5111" t="s">
        <v>219</v>
      </c>
      <c r="R5111" t="s">
        <v>730</v>
      </c>
      <c r="S5111" t="s">
        <v>731</v>
      </c>
    </row>
    <row r="5112" spans="1:19" x14ac:dyDescent="0.25">
      <c r="A5112" t="s">
        <v>59</v>
      </c>
      <c r="B5112" t="s">
        <v>31</v>
      </c>
      <c r="C5112" t="s">
        <v>32</v>
      </c>
      <c r="D5112" t="s">
        <v>719</v>
      </c>
      <c r="E5112" t="s">
        <v>742</v>
      </c>
      <c r="F5112" t="s">
        <v>35</v>
      </c>
      <c r="G5112" t="s">
        <v>35</v>
      </c>
      <c r="H5112" t="s">
        <v>35</v>
      </c>
      <c r="J5112" t="s">
        <v>5645</v>
      </c>
      <c r="K5112" t="s">
        <v>404</v>
      </c>
      <c r="M5112">
        <v>1.4850000000000001</v>
      </c>
      <c r="N5112">
        <v>135</v>
      </c>
      <c r="O5112" t="s">
        <v>38</v>
      </c>
      <c r="Q5112" t="s">
        <v>98</v>
      </c>
      <c r="R5112" t="s">
        <v>730</v>
      </c>
      <c r="S5112" t="s">
        <v>731</v>
      </c>
    </row>
    <row r="5113" spans="1:19" x14ac:dyDescent="0.25">
      <c r="A5113" t="s">
        <v>30</v>
      </c>
      <c r="B5113" t="s">
        <v>31</v>
      </c>
      <c r="C5113" t="s">
        <v>32</v>
      </c>
      <c r="D5113" t="s">
        <v>719</v>
      </c>
      <c r="E5113" t="s">
        <v>742</v>
      </c>
      <c r="F5113" t="s">
        <v>35</v>
      </c>
      <c r="G5113" t="s">
        <v>35</v>
      </c>
      <c r="H5113" t="s">
        <v>35</v>
      </c>
      <c r="J5113" t="s">
        <v>5646</v>
      </c>
      <c r="K5113" t="s">
        <v>1092</v>
      </c>
      <c r="M5113">
        <v>5.3949999999999996</v>
      </c>
      <c r="N5113">
        <v>155</v>
      </c>
      <c r="O5113" t="s">
        <v>38</v>
      </c>
      <c r="Q5113" t="s">
        <v>3942</v>
      </c>
      <c r="R5113" t="s">
        <v>730</v>
      </c>
      <c r="S5113" t="s">
        <v>731</v>
      </c>
    </row>
    <row r="5114" spans="1:19" x14ac:dyDescent="0.25">
      <c r="A5114" t="s">
        <v>30</v>
      </c>
      <c r="B5114" t="s">
        <v>31</v>
      </c>
      <c r="C5114" t="s">
        <v>32</v>
      </c>
      <c r="D5114" t="s">
        <v>719</v>
      </c>
      <c r="E5114" t="s">
        <v>742</v>
      </c>
      <c r="F5114" t="s">
        <v>35</v>
      </c>
      <c r="G5114" t="s">
        <v>35</v>
      </c>
      <c r="H5114" t="s">
        <v>35</v>
      </c>
      <c r="J5114" t="s">
        <v>5647</v>
      </c>
      <c r="K5114" t="s">
        <v>1092</v>
      </c>
      <c r="M5114">
        <v>6.3449999999999998</v>
      </c>
      <c r="N5114">
        <v>49</v>
      </c>
      <c r="O5114" t="s">
        <v>52</v>
      </c>
      <c r="Q5114" t="s">
        <v>219</v>
      </c>
      <c r="R5114" t="s">
        <v>730</v>
      </c>
      <c r="S5114" t="s">
        <v>731</v>
      </c>
    </row>
    <row r="5115" spans="1:19" x14ac:dyDescent="0.25">
      <c r="A5115" t="s">
        <v>44</v>
      </c>
      <c r="B5115" t="s">
        <v>51</v>
      </c>
      <c r="C5115" t="s">
        <v>32</v>
      </c>
      <c r="D5115" t="s">
        <v>719</v>
      </c>
      <c r="E5115" t="s">
        <v>742</v>
      </c>
      <c r="F5115" t="s">
        <v>35</v>
      </c>
      <c r="G5115" t="s">
        <v>35</v>
      </c>
      <c r="H5115" t="s">
        <v>35</v>
      </c>
      <c r="J5115" t="s">
        <v>5647</v>
      </c>
      <c r="K5115" t="s">
        <v>1092</v>
      </c>
      <c r="M5115">
        <v>5.3</v>
      </c>
      <c r="N5115">
        <v>58</v>
      </c>
      <c r="O5115" t="s">
        <v>52</v>
      </c>
      <c r="Q5115" t="s">
        <v>58</v>
      </c>
      <c r="R5115" t="s">
        <v>730</v>
      </c>
      <c r="S5115" t="s">
        <v>731</v>
      </c>
    </row>
    <row r="5116" spans="1:19" x14ac:dyDescent="0.25">
      <c r="A5116" t="s">
        <v>44</v>
      </c>
      <c r="B5116" t="s">
        <v>51</v>
      </c>
      <c r="C5116" t="s">
        <v>32</v>
      </c>
      <c r="D5116" t="s">
        <v>719</v>
      </c>
      <c r="E5116" t="s">
        <v>742</v>
      </c>
      <c r="F5116" t="s">
        <v>35</v>
      </c>
      <c r="G5116" t="s">
        <v>35</v>
      </c>
      <c r="H5116" t="s">
        <v>35</v>
      </c>
      <c r="J5116" t="s">
        <v>5648</v>
      </c>
      <c r="K5116" t="s">
        <v>1092</v>
      </c>
      <c r="M5116">
        <v>22.95</v>
      </c>
      <c r="N5116">
        <v>49</v>
      </c>
      <c r="O5116" t="s">
        <v>52</v>
      </c>
      <c r="Q5116" t="s">
        <v>219</v>
      </c>
      <c r="R5116" t="s">
        <v>730</v>
      </c>
      <c r="S5116" t="s">
        <v>731</v>
      </c>
    </row>
    <row r="5117" spans="1:19" x14ac:dyDescent="0.25">
      <c r="A5117" t="s">
        <v>30</v>
      </c>
      <c r="B5117" t="s">
        <v>31</v>
      </c>
      <c r="C5117" t="s">
        <v>32</v>
      </c>
      <c r="D5117" t="s">
        <v>719</v>
      </c>
      <c r="E5117" t="s">
        <v>742</v>
      </c>
      <c r="F5117" t="s">
        <v>35</v>
      </c>
      <c r="G5117" t="s">
        <v>35</v>
      </c>
      <c r="H5117" t="s">
        <v>35</v>
      </c>
      <c r="J5117" t="s">
        <v>5649</v>
      </c>
      <c r="K5117" t="s">
        <v>1092</v>
      </c>
      <c r="M5117">
        <v>8.5950000000000006</v>
      </c>
      <c r="N5117">
        <v>72</v>
      </c>
      <c r="O5117" t="s">
        <v>61</v>
      </c>
      <c r="Q5117" t="s">
        <v>63</v>
      </c>
      <c r="R5117" t="s">
        <v>725</v>
      </c>
      <c r="S5117" t="s">
        <v>726</v>
      </c>
    </row>
    <row r="5118" spans="1:19" x14ac:dyDescent="0.25">
      <c r="A5118" t="s">
        <v>59</v>
      </c>
      <c r="B5118" t="s">
        <v>60</v>
      </c>
      <c r="C5118" t="s">
        <v>32</v>
      </c>
      <c r="D5118" t="s">
        <v>719</v>
      </c>
      <c r="E5118" t="s">
        <v>742</v>
      </c>
      <c r="F5118" t="s">
        <v>35</v>
      </c>
      <c r="G5118" t="s">
        <v>35</v>
      </c>
      <c r="H5118" t="s">
        <v>35</v>
      </c>
      <c r="J5118" t="s">
        <v>5649</v>
      </c>
      <c r="K5118" t="s">
        <v>1092</v>
      </c>
      <c r="M5118">
        <v>3.75</v>
      </c>
      <c r="N5118">
        <v>141</v>
      </c>
      <c r="O5118" t="s">
        <v>38</v>
      </c>
      <c r="Q5118" t="s">
        <v>1822</v>
      </c>
      <c r="R5118" t="s">
        <v>730</v>
      </c>
      <c r="S5118" t="s">
        <v>731</v>
      </c>
    </row>
    <row r="5119" spans="1:19" x14ac:dyDescent="0.25">
      <c r="A5119" t="s">
        <v>30</v>
      </c>
      <c r="B5119" t="s">
        <v>31</v>
      </c>
      <c r="C5119" t="s">
        <v>32</v>
      </c>
      <c r="D5119" t="s">
        <v>719</v>
      </c>
      <c r="E5119" t="s">
        <v>742</v>
      </c>
      <c r="F5119" t="s">
        <v>35</v>
      </c>
      <c r="G5119" t="s">
        <v>35</v>
      </c>
      <c r="H5119" t="s">
        <v>35</v>
      </c>
      <c r="J5119" t="s">
        <v>5650</v>
      </c>
      <c r="K5119" t="s">
        <v>1092</v>
      </c>
      <c r="M5119">
        <v>11.025</v>
      </c>
      <c r="N5119">
        <v>69</v>
      </c>
      <c r="O5119" t="s">
        <v>61</v>
      </c>
      <c r="Q5119" t="s">
        <v>139</v>
      </c>
      <c r="R5119" t="s">
        <v>730</v>
      </c>
      <c r="S5119" t="s">
        <v>731</v>
      </c>
    </row>
    <row r="5120" spans="1:19" x14ac:dyDescent="0.25">
      <c r="A5120" t="s">
        <v>59</v>
      </c>
      <c r="B5120" t="s">
        <v>60</v>
      </c>
      <c r="C5120" t="s">
        <v>32</v>
      </c>
      <c r="D5120" t="s">
        <v>719</v>
      </c>
      <c r="E5120" t="s">
        <v>742</v>
      </c>
      <c r="F5120" t="s">
        <v>35</v>
      </c>
      <c r="G5120" t="s">
        <v>35</v>
      </c>
      <c r="H5120" t="s">
        <v>35</v>
      </c>
      <c r="J5120" t="s">
        <v>5650</v>
      </c>
      <c r="K5120" t="s">
        <v>1092</v>
      </c>
      <c r="M5120">
        <v>13</v>
      </c>
      <c r="N5120">
        <v>129</v>
      </c>
      <c r="O5120" t="s">
        <v>38</v>
      </c>
      <c r="Q5120" t="s">
        <v>1449</v>
      </c>
      <c r="R5120" t="s">
        <v>5454</v>
      </c>
      <c r="S5120" t="s">
        <v>756</v>
      </c>
    </row>
    <row r="5121" spans="1:19" x14ac:dyDescent="0.25">
      <c r="A5121" t="s">
        <v>59</v>
      </c>
      <c r="B5121" t="s">
        <v>31</v>
      </c>
      <c r="C5121" t="s">
        <v>32</v>
      </c>
      <c r="D5121" t="s">
        <v>719</v>
      </c>
      <c r="E5121" t="s">
        <v>742</v>
      </c>
      <c r="F5121" t="s">
        <v>35</v>
      </c>
      <c r="G5121" t="s">
        <v>35</v>
      </c>
      <c r="H5121" t="s">
        <v>35</v>
      </c>
      <c r="J5121" t="s">
        <v>5650</v>
      </c>
      <c r="K5121" t="s">
        <v>1092</v>
      </c>
      <c r="M5121">
        <v>6.12</v>
      </c>
      <c r="N5121">
        <v>131</v>
      </c>
      <c r="O5121" t="s">
        <v>38</v>
      </c>
      <c r="Q5121" t="s">
        <v>646</v>
      </c>
      <c r="R5121" t="s">
        <v>5454</v>
      </c>
      <c r="S5121" t="s">
        <v>756</v>
      </c>
    </row>
    <row r="5122" spans="1:19" x14ac:dyDescent="0.25">
      <c r="A5122" t="s">
        <v>30</v>
      </c>
      <c r="B5122" t="s">
        <v>31</v>
      </c>
      <c r="C5122" t="s">
        <v>32</v>
      </c>
      <c r="D5122" t="s">
        <v>719</v>
      </c>
      <c r="E5122" t="s">
        <v>742</v>
      </c>
      <c r="F5122" t="s">
        <v>35</v>
      </c>
      <c r="G5122" t="s">
        <v>35</v>
      </c>
      <c r="H5122" t="s">
        <v>35</v>
      </c>
      <c r="J5122" t="s">
        <v>5650</v>
      </c>
      <c r="K5122" t="s">
        <v>1092</v>
      </c>
      <c r="M5122">
        <v>5.085</v>
      </c>
      <c r="N5122">
        <v>153</v>
      </c>
      <c r="O5122" t="s">
        <v>38</v>
      </c>
      <c r="Q5122" t="s">
        <v>569</v>
      </c>
      <c r="R5122" t="s">
        <v>5454</v>
      </c>
      <c r="S5122" t="s">
        <v>756</v>
      </c>
    </row>
    <row r="5123" spans="1:19" x14ac:dyDescent="0.25">
      <c r="A5123" t="s">
        <v>30</v>
      </c>
      <c r="B5123" t="s">
        <v>31</v>
      </c>
      <c r="C5123" t="s">
        <v>32</v>
      </c>
      <c r="D5123" t="s">
        <v>719</v>
      </c>
      <c r="E5123" t="s">
        <v>742</v>
      </c>
      <c r="F5123" t="s">
        <v>35</v>
      </c>
      <c r="G5123" t="s">
        <v>35</v>
      </c>
      <c r="H5123" t="s">
        <v>35</v>
      </c>
      <c r="J5123" t="s">
        <v>5650</v>
      </c>
      <c r="K5123" t="s">
        <v>1092</v>
      </c>
      <c r="M5123">
        <v>6.7050000000000001</v>
      </c>
      <c r="N5123">
        <v>97</v>
      </c>
      <c r="O5123" t="s">
        <v>106</v>
      </c>
      <c r="Q5123" t="s">
        <v>557</v>
      </c>
      <c r="R5123" t="s">
        <v>730</v>
      </c>
      <c r="S5123" t="s">
        <v>731</v>
      </c>
    </row>
    <row r="5124" spans="1:19" x14ac:dyDescent="0.25">
      <c r="A5124" t="s">
        <v>59</v>
      </c>
      <c r="B5124" t="s">
        <v>31</v>
      </c>
      <c r="C5124" t="s">
        <v>32</v>
      </c>
      <c r="D5124" t="s">
        <v>719</v>
      </c>
      <c r="E5124" t="s">
        <v>742</v>
      </c>
      <c r="F5124" t="s">
        <v>35</v>
      </c>
      <c r="G5124" t="s">
        <v>35</v>
      </c>
      <c r="H5124" t="s">
        <v>35</v>
      </c>
      <c r="J5124" t="s">
        <v>5651</v>
      </c>
      <c r="K5124" t="s">
        <v>1092</v>
      </c>
      <c r="M5124">
        <v>0.36</v>
      </c>
      <c r="N5124">
        <v>285</v>
      </c>
      <c r="O5124" t="s">
        <v>5</v>
      </c>
      <c r="Q5124" t="s">
        <v>1687</v>
      </c>
      <c r="R5124" t="s">
        <v>730</v>
      </c>
      <c r="S5124" t="s">
        <v>731</v>
      </c>
    </row>
    <row r="5125" spans="1:19" x14ac:dyDescent="0.25">
      <c r="A5125" t="s">
        <v>44</v>
      </c>
      <c r="B5125" t="s">
        <v>51</v>
      </c>
      <c r="C5125" t="s">
        <v>32</v>
      </c>
      <c r="D5125" t="s">
        <v>719</v>
      </c>
      <c r="E5125" t="s">
        <v>742</v>
      </c>
      <c r="F5125" t="s">
        <v>35</v>
      </c>
      <c r="G5125" t="s">
        <v>35</v>
      </c>
      <c r="H5125" t="s">
        <v>35</v>
      </c>
      <c r="J5125" t="s">
        <v>5652</v>
      </c>
      <c r="K5125" t="s">
        <v>1092</v>
      </c>
      <c r="M5125">
        <v>10.9</v>
      </c>
      <c r="N5125">
        <v>71</v>
      </c>
      <c r="O5125" t="s">
        <v>61</v>
      </c>
      <c r="Q5125" t="s">
        <v>102</v>
      </c>
      <c r="R5125" t="s">
        <v>5454</v>
      </c>
      <c r="S5125" t="s">
        <v>756</v>
      </c>
    </row>
    <row r="5126" spans="1:19" x14ac:dyDescent="0.25">
      <c r="A5126" t="s">
        <v>59</v>
      </c>
      <c r="B5126" t="s">
        <v>60</v>
      </c>
      <c r="C5126" t="s">
        <v>32</v>
      </c>
      <c r="D5126" t="s">
        <v>719</v>
      </c>
      <c r="E5126" t="s">
        <v>742</v>
      </c>
      <c r="F5126" t="s">
        <v>35</v>
      </c>
      <c r="G5126" t="s">
        <v>35</v>
      </c>
      <c r="H5126" t="s">
        <v>35</v>
      </c>
      <c r="J5126" t="s">
        <v>5653</v>
      </c>
      <c r="K5126" t="s">
        <v>1092</v>
      </c>
      <c r="M5126">
        <v>10.5</v>
      </c>
      <c r="N5126">
        <v>133</v>
      </c>
      <c r="O5126" t="s">
        <v>38</v>
      </c>
      <c r="Q5126" t="s">
        <v>68</v>
      </c>
      <c r="R5126" t="s">
        <v>5432</v>
      </c>
      <c r="S5126" t="s">
        <v>759</v>
      </c>
    </row>
    <row r="5127" spans="1:19" x14ac:dyDescent="0.25">
      <c r="A5127" t="s">
        <v>30</v>
      </c>
      <c r="B5127" t="s">
        <v>31</v>
      </c>
      <c r="C5127" t="s">
        <v>32</v>
      </c>
      <c r="D5127" t="s">
        <v>719</v>
      </c>
      <c r="E5127" t="s">
        <v>742</v>
      </c>
      <c r="F5127" t="s">
        <v>35</v>
      </c>
      <c r="G5127" t="s">
        <v>35</v>
      </c>
      <c r="H5127" t="s">
        <v>35</v>
      </c>
      <c r="J5127" t="s">
        <v>5653</v>
      </c>
      <c r="K5127" t="s">
        <v>1092</v>
      </c>
      <c r="M5127">
        <v>4.32</v>
      </c>
      <c r="N5127">
        <v>47</v>
      </c>
      <c r="O5127" t="s">
        <v>52</v>
      </c>
      <c r="Q5127" t="s">
        <v>132</v>
      </c>
      <c r="R5127" t="s">
        <v>5432</v>
      </c>
      <c r="S5127" t="s">
        <v>759</v>
      </c>
    </row>
    <row r="5128" spans="1:19" x14ac:dyDescent="0.25">
      <c r="A5128" t="s">
        <v>59</v>
      </c>
      <c r="B5128" t="s">
        <v>60</v>
      </c>
      <c r="C5128" t="s">
        <v>32</v>
      </c>
      <c r="D5128" t="s">
        <v>719</v>
      </c>
      <c r="E5128" t="s">
        <v>742</v>
      </c>
      <c r="F5128" t="s">
        <v>35</v>
      </c>
      <c r="G5128" t="s">
        <v>35</v>
      </c>
      <c r="H5128" t="s">
        <v>35</v>
      </c>
      <c r="J5128" t="s">
        <v>5653</v>
      </c>
      <c r="K5128" t="s">
        <v>1092</v>
      </c>
      <c r="M5128">
        <v>11</v>
      </c>
      <c r="N5128">
        <v>7</v>
      </c>
      <c r="O5128" t="s">
        <v>46</v>
      </c>
      <c r="Q5128" t="s">
        <v>8164</v>
      </c>
      <c r="R5128" t="s">
        <v>5432</v>
      </c>
      <c r="S5128" t="s">
        <v>759</v>
      </c>
    </row>
    <row r="5129" spans="1:19" x14ac:dyDescent="0.25">
      <c r="A5129" t="s">
        <v>44</v>
      </c>
      <c r="B5129" t="s">
        <v>51</v>
      </c>
      <c r="C5129" t="s">
        <v>32</v>
      </c>
      <c r="D5129" t="s">
        <v>719</v>
      </c>
      <c r="E5129" t="s">
        <v>742</v>
      </c>
      <c r="F5129" t="s">
        <v>35</v>
      </c>
      <c r="G5129" t="s">
        <v>35</v>
      </c>
      <c r="H5129" t="s">
        <v>35</v>
      </c>
      <c r="J5129" t="s">
        <v>5653</v>
      </c>
      <c r="K5129" t="s">
        <v>1092</v>
      </c>
      <c r="M5129">
        <v>0.4</v>
      </c>
      <c r="N5129">
        <v>58</v>
      </c>
      <c r="O5129" t="s">
        <v>52</v>
      </c>
      <c r="Q5129" t="s">
        <v>58</v>
      </c>
      <c r="R5129" t="s">
        <v>730</v>
      </c>
      <c r="S5129" t="s">
        <v>731</v>
      </c>
    </row>
    <row r="5130" spans="1:19" x14ac:dyDescent="0.25">
      <c r="A5130" t="s">
        <v>59</v>
      </c>
      <c r="B5130" t="s">
        <v>60</v>
      </c>
      <c r="C5130" t="s">
        <v>32</v>
      </c>
      <c r="D5130" t="s">
        <v>719</v>
      </c>
      <c r="E5130" t="s">
        <v>742</v>
      </c>
      <c r="F5130" t="s">
        <v>35</v>
      </c>
      <c r="G5130" t="s">
        <v>35</v>
      </c>
      <c r="H5130" t="s">
        <v>35</v>
      </c>
      <c r="J5130" t="s">
        <v>5654</v>
      </c>
      <c r="K5130" t="s">
        <v>1092</v>
      </c>
      <c r="M5130">
        <v>0.05</v>
      </c>
      <c r="N5130">
        <v>284</v>
      </c>
      <c r="O5130" t="s">
        <v>5</v>
      </c>
      <c r="Q5130" t="s">
        <v>1220</v>
      </c>
      <c r="R5130" t="s">
        <v>730</v>
      </c>
      <c r="S5130" t="s">
        <v>731</v>
      </c>
    </row>
    <row r="5131" spans="1:19" x14ac:dyDescent="0.25">
      <c r="A5131" t="s">
        <v>59</v>
      </c>
      <c r="B5131" t="s">
        <v>31</v>
      </c>
      <c r="C5131" t="s">
        <v>32</v>
      </c>
      <c r="D5131" t="s">
        <v>719</v>
      </c>
      <c r="E5131" t="s">
        <v>742</v>
      </c>
      <c r="F5131" t="s">
        <v>35</v>
      </c>
      <c r="G5131" t="s">
        <v>35</v>
      </c>
      <c r="H5131" t="s">
        <v>35</v>
      </c>
      <c r="J5131" t="s">
        <v>5654</v>
      </c>
      <c r="K5131" t="s">
        <v>1092</v>
      </c>
      <c r="M5131">
        <v>1.395</v>
      </c>
      <c r="N5131">
        <v>285</v>
      </c>
      <c r="O5131" t="s">
        <v>5</v>
      </c>
      <c r="Q5131" t="s">
        <v>1687</v>
      </c>
      <c r="R5131" t="s">
        <v>730</v>
      </c>
      <c r="S5131" t="s">
        <v>731</v>
      </c>
    </row>
    <row r="5132" spans="1:19" x14ac:dyDescent="0.25">
      <c r="A5132" t="s">
        <v>59</v>
      </c>
      <c r="B5132" t="s">
        <v>60</v>
      </c>
      <c r="C5132" t="s">
        <v>32</v>
      </c>
      <c r="D5132" t="s">
        <v>719</v>
      </c>
      <c r="E5132" t="s">
        <v>742</v>
      </c>
      <c r="F5132" t="s">
        <v>35</v>
      </c>
      <c r="G5132" t="s">
        <v>35</v>
      </c>
      <c r="H5132" t="s">
        <v>35</v>
      </c>
      <c r="J5132" t="s">
        <v>8251</v>
      </c>
      <c r="K5132" t="s">
        <v>1092</v>
      </c>
      <c r="M5132">
        <v>11</v>
      </c>
      <c r="N5132">
        <v>7</v>
      </c>
      <c r="O5132" t="s">
        <v>46</v>
      </c>
      <c r="Q5132" t="s">
        <v>8164</v>
      </c>
      <c r="R5132" t="s">
        <v>5432</v>
      </c>
      <c r="S5132" t="s">
        <v>759</v>
      </c>
    </row>
    <row r="5133" spans="1:19" x14ac:dyDescent="0.25">
      <c r="A5133" t="s">
        <v>59</v>
      </c>
      <c r="B5133" t="s">
        <v>31</v>
      </c>
      <c r="C5133" t="s">
        <v>32</v>
      </c>
      <c r="D5133" t="s">
        <v>719</v>
      </c>
      <c r="E5133" t="s">
        <v>742</v>
      </c>
      <c r="F5133" t="s">
        <v>35</v>
      </c>
      <c r="G5133" t="s">
        <v>35</v>
      </c>
      <c r="H5133" t="s">
        <v>35</v>
      </c>
      <c r="J5133" t="s">
        <v>8251</v>
      </c>
      <c r="K5133" t="s">
        <v>1092</v>
      </c>
      <c r="M5133">
        <v>11.025</v>
      </c>
      <c r="N5133">
        <v>7</v>
      </c>
      <c r="O5133" t="s">
        <v>46</v>
      </c>
      <c r="Q5133" t="s">
        <v>8164</v>
      </c>
      <c r="R5133" t="s">
        <v>5432</v>
      </c>
      <c r="S5133" t="s">
        <v>759</v>
      </c>
    </row>
    <row r="5134" spans="1:19" x14ac:dyDescent="0.25">
      <c r="A5134" t="s">
        <v>59</v>
      </c>
      <c r="B5134" t="s">
        <v>31</v>
      </c>
      <c r="C5134" t="s">
        <v>32</v>
      </c>
      <c r="D5134" t="s">
        <v>719</v>
      </c>
      <c r="E5134" t="s">
        <v>742</v>
      </c>
      <c r="F5134" t="s">
        <v>35</v>
      </c>
      <c r="G5134" t="s">
        <v>35</v>
      </c>
      <c r="H5134" t="s">
        <v>35</v>
      </c>
      <c r="J5134" t="s">
        <v>5655</v>
      </c>
      <c r="K5134" t="s">
        <v>1092</v>
      </c>
      <c r="M5134">
        <v>10.305</v>
      </c>
      <c r="N5134">
        <v>172</v>
      </c>
      <c r="O5134" t="s">
        <v>38</v>
      </c>
      <c r="Q5134" t="s">
        <v>1124</v>
      </c>
      <c r="R5134" t="s">
        <v>730</v>
      </c>
      <c r="S5134" t="s">
        <v>731</v>
      </c>
    </row>
    <row r="5135" spans="1:19" x14ac:dyDescent="0.25">
      <c r="A5135" t="s">
        <v>30</v>
      </c>
      <c r="B5135" t="s">
        <v>31</v>
      </c>
      <c r="C5135" t="s">
        <v>32</v>
      </c>
      <c r="D5135" t="s">
        <v>719</v>
      </c>
      <c r="E5135" t="s">
        <v>742</v>
      </c>
      <c r="F5135" t="s">
        <v>35</v>
      </c>
      <c r="G5135" t="s">
        <v>35</v>
      </c>
      <c r="H5135" t="s">
        <v>35</v>
      </c>
      <c r="J5135" t="s">
        <v>5655</v>
      </c>
      <c r="K5135" t="s">
        <v>1092</v>
      </c>
      <c r="M5135">
        <v>5.94</v>
      </c>
      <c r="N5135">
        <v>49</v>
      </c>
      <c r="O5135" t="s">
        <v>52</v>
      </c>
      <c r="Q5135" t="s">
        <v>219</v>
      </c>
      <c r="R5135" t="s">
        <v>730</v>
      </c>
      <c r="S5135" t="s">
        <v>731</v>
      </c>
    </row>
    <row r="5136" spans="1:19" x14ac:dyDescent="0.25">
      <c r="A5136" t="s">
        <v>44</v>
      </c>
      <c r="B5136" t="s">
        <v>51</v>
      </c>
      <c r="C5136" t="s">
        <v>32</v>
      </c>
      <c r="D5136" t="s">
        <v>719</v>
      </c>
      <c r="E5136" t="s">
        <v>742</v>
      </c>
      <c r="F5136" t="s">
        <v>35</v>
      </c>
      <c r="G5136" t="s">
        <v>35</v>
      </c>
      <c r="H5136" t="s">
        <v>35</v>
      </c>
      <c r="J5136" t="s">
        <v>5656</v>
      </c>
      <c r="K5136" t="s">
        <v>1092</v>
      </c>
      <c r="M5136">
        <v>0.65</v>
      </c>
      <c r="N5136">
        <v>58</v>
      </c>
      <c r="O5136" t="s">
        <v>52</v>
      </c>
      <c r="Q5136" t="s">
        <v>58</v>
      </c>
      <c r="R5136" t="s">
        <v>730</v>
      </c>
      <c r="S5136" t="s">
        <v>731</v>
      </c>
    </row>
    <row r="5137" spans="1:19" x14ac:dyDescent="0.25">
      <c r="A5137" t="s">
        <v>30</v>
      </c>
      <c r="B5137" t="s">
        <v>31</v>
      </c>
      <c r="C5137" t="s">
        <v>32</v>
      </c>
      <c r="D5137" t="s">
        <v>719</v>
      </c>
      <c r="E5137" t="s">
        <v>742</v>
      </c>
      <c r="F5137" t="s">
        <v>35</v>
      </c>
      <c r="G5137" t="s">
        <v>35</v>
      </c>
      <c r="H5137" t="s">
        <v>35</v>
      </c>
      <c r="J5137" t="s">
        <v>5656</v>
      </c>
      <c r="K5137" t="s">
        <v>1092</v>
      </c>
      <c r="M5137">
        <v>2.4300000000000002</v>
      </c>
      <c r="N5137">
        <v>69</v>
      </c>
      <c r="O5137" t="s">
        <v>61</v>
      </c>
      <c r="Q5137" t="s">
        <v>139</v>
      </c>
      <c r="R5137" t="s">
        <v>730</v>
      </c>
      <c r="S5137" t="s">
        <v>731</v>
      </c>
    </row>
    <row r="5138" spans="1:19" x14ac:dyDescent="0.25">
      <c r="A5138" t="s">
        <v>59</v>
      </c>
      <c r="B5138" t="s">
        <v>60</v>
      </c>
      <c r="C5138" t="s">
        <v>32</v>
      </c>
      <c r="D5138" t="s">
        <v>719</v>
      </c>
      <c r="E5138" t="s">
        <v>742</v>
      </c>
      <c r="F5138" t="s">
        <v>35</v>
      </c>
      <c r="G5138" t="s">
        <v>35</v>
      </c>
      <c r="H5138" t="s">
        <v>35</v>
      </c>
      <c r="J5138" t="s">
        <v>5657</v>
      </c>
      <c r="K5138" t="s">
        <v>1092</v>
      </c>
      <c r="M5138">
        <v>0.35</v>
      </c>
      <c r="N5138">
        <v>198</v>
      </c>
      <c r="O5138" t="s">
        <v>5</v>
      </c>
      <c r="Q5138" t="s">
        <v>4086</v>
      </c>
      <c r="R5138" t="s">
        <v>730</v>
      </c>
      <c r="S5138" t="s">
        <v>731</v>
      </c>
    </row>
    <row r="5139" spans="1:19" x14ac:dyDescent="0.25">
      <c r="A5139" t="s">
        <v>59</v>
      </c>
      <c r="B5139" t="s">
        <v>31</v>
      </c>
      <c r="C5139" t="s">
        <v>32</v>
      </c>
      <c r="D5139" t="s">
        <v>719</v>
      </c>
      <c r="E5139" t="s">
        <v>742</v>
      </c>
      <c r="F5139" t="s">
        <v>35</v>
      </c>
      <c r="G5139" t="s">
        <v>35</v>
      </c>
      <c r="H5139" t="s">
        <v>35</v>
      </c>
      <c r="J5139" t="s">
        <v>5657</v>
      </c>
      <c r="K5139" t="s">
        <v>1092</v>
      </c>
      <c r="M5139">
        <v>1.395</v>
      </c>
      <c r="N5139">
        <v>172</v>
      </c>
      <c r="O5139" t="s">
        <v>38</v>
      </c>
      <c r="Q5139" t="s">
        <v>1124</v>
      </c>
      <c r="R5139" t="s">
        <v>730</v>
      </c>
      <c r="S5139" t="s">
        <v>731</v>
      </c>
    </row>
    <row r="5140" spans="1:19" x14ac:dyDescent="0.25">
      <c r="A5140" t="s">
        <v>30</v>
      </c>
      <c r="B5140" t="s">
        <v>31</v>
      </c>
      <c r="C5140" t="s">
        <v>32</v>
      </c>
      <c r="D5140" t="s">
        <v>719</v>
      </c>
      <c r="E5140" t="s">
        <v>742</v>
      </c>
      <c r="F5140" t="s">
        <v>35</v>
      </c>
      <c r="G5140" t="s">
        <v>35</v>
      </c>
      <c r="H5140" t="s">
        <v>35</v>
      </c>
      <c r="J5140" t="s">
        <v>5657</v>
      </c>
      <c r="K5140" t="s">
        <v>1092</v>
      </c>
      <c r="M5140">
        <v>2.835</v>
      </c>
      <c r="N5140">
        <v>97</v>
      </c>
      <c r="O5140" t="s">
        <v>106</v>
      </c>
      <c r="Q5140" t="s">
        <v>557</v>
      </c>
      <c r="R5140" t="s">
        <v>730</v>
      </c>
      <c r="S5140" t="s">
        <v>731</v>
      </c>
    </row>
    <row r="5141" spans="1:19" x14ac:dyDescent="0.25">
      <c r="A5141" t="s">
        <v>30</v>
      </c>
      <c r="B5141" t="s">
        <v>31</v>
      </c>
      <c r="C5141" t="s">
        <v>32</v>
      </c>
      <c r="D5141" t="s">
        <v>719</v>
      </c>
      <c r="E5141" t="s">
        <v>742</v>
      </c>
      <c r="F5141" t="s">
        <v>35</v>
      </c>
      <c r="G5141" t="s">
        <v>35</v>
      </c>
      <c r="H5141" t="s">
        <v>35</v>
      </c>
      <c r="J5141" t="s">
        <v>5657</v>
      </c>
      <c r="K5141" t="s">
        <v>1092</v>
      </c>
      <c r="M5141">
        <v>11.025</v>
      </c>
      <c r="N5141">
        <v>49</v>
      </c>
      <c r="O5141" t="s">
        <v>52</v>
      </c>
      <c r="Q5141" t="s">
        <v>219</v>
      </c>
      <c r="R5141" t="s">
        <v>730</v>
      </c>
      <c r="S5141" t="s">
        <v>731</v>
      </c>
    </row>
    <row r="5142" spans="1:19" x14ac:dyDescent="0.25">
      <c r="A5142" t="s">
        <v>30</v>
      </c>
      <c r="B5142" t="s">
        <v>31</v>
      </c>
      <c r="C5142" t="s">
        <v>32</v>
      </c>
      <c r="D5142" t="s">
        <v>719</v>
      </c>
      <c r="E5142" t="s">
        <v>742</v>
      </c>
      <c r="F5142" t="s">
        <v>35</v>
      </c>
      <c r="G5142" t="s">
        <v>35</v>
      </c>
      <c r="H5142" t="s">
        <v>35</v>
      </c>
      <c r="J5142" t="s">
        <v>5658</v>
      </c>
      <c r="K5142" t="s">
        <v>1092</v>
      </c>
      <c r="M5142">
        <v>7.92</v>
      </c>
      <c r="N5142">
        <v>49</v>
      </c>
      <c r="O5142" t="s">
        <v>52</v>
      </c>
      <c r="Q5142" t="s">
        <v>219</v>
      </c>
      <c r="R5142" t="s">
        <v>730</v>
      </c>
      <c r="S5142" t="s">
        <v>731</v>
      </c>
    </row>
    <row r="5143" spans="1:19" x14ac:dyDescent="0.25">
      <c r="A5143" t="s">
        <v>59</v>
      </c>
      <c r="B5143" t="s">
        <v>31</v>
      </c>
      <c r="C5143" t="s">
        <v>32</v>
      </c>
      <c r="D5143" t="s">
        <v>719</v>
      </c>
      <c r="E5143" t="s">
        <v>742</v>
      </c>
      <c r="F5143" t="s">
        <v>35</v>
      </c>
      <c r="G5143" t="s">
        <v>35</v>
      </c>
      <c r="H5143" t="s">
        <v>35</v>
      </c>
      <c r="J5143" t="s">
        <v>5658</v>
      </c>
      <c r="K5143" t="s">
        <v>1092</v>
      </c>
      <c r="M5143">
        <v>2.52</v>
      </c>
      <c r="N5143">
        <v>135</v>
      </c>
      <c r="O5143" t="s">
        <v>38</v>
      </c>
      <c r="Q5143" t="s">
        <v>98</v>
      </c>
      <c r="R5143" t="s">
        <v>730</v>
      </c>
      <c r="S5143" t="s">
        <v>731</v>
      </c>
    </row>
    <row r="5144" spans="1:19" x14ac:dyDescent="0.25">
      <c r="A5144" t="s">
        <v>59</v>
      </c>
      <c r="B5144" t="s">
        <v>60</v>
      </c>
      <c r="C5144" t="s">
        <v>32</v>
      </c>
      <c r="D5144" t="s">
        <v>719</v>
      </c>
      <c r="E5144" t="s">
        <v>742</v>
      </c>
      <c r="F5144" t="s">
        <v>35</v>
      </c>
      <c r="G5144" t="s">
        <v>35</v>
      </c>
      <c r="H5144" t="s">
        <v>35</v>
      </c>
      <c r="J5144" t="s">
        <v>5659</v>
      </c>
      <c r="K5144" t="s">
        <v>1092</v>
      </c>
      <c r="M5144">
        <v>12</v>
      </c>
      <c r="N5144">
        <v>141</v>
      </c>
      <c r="O5144" t="s">
        <v>38</v>
      </c>
      <c r="Q5144" t="s">
        <v>1822</v>
      </c>
      <c r="R5144" t="s">
        <v>730</v>
      </c>
      <c r="S5144" t="s">
        <v>731</v>
      </c>
    </row>
    <row r="5145" spans="1:19" x14ac:dyDescent="0.25">
      <c r="A5145" t="s">
        <v>44</v>
      </c>
      <c r="B5145" t="s">
        <v>51</v>
      </c>
      <c r="C5145" t="s">
        <v>32</v>
      </c>
      <c r="D5145" t="s">
        <v>719</v>
      </c>
      <c r="E5145" t="s">
        <v>742</v>
      </c>
      <c r="F5145" t="s">
        <v>35</v>
      </c>
      <c r="G5145" t="s">
        <v>35</v>
      </c>
      <c r="H5145" t="s">
        <v>35</v>
      </c>
      <c r="J5145" t="s">
        <v>5659</v>
      </c>
      <c r="K5145" t="s">
        <v>1092</v>
      </c>
      <c r="M5145">
        <v>11</v>
      </c>
      <c r="N5145">
        <v>81</v>
      </c>
      <c r="O5145" t="s">
        <v>61</v>
      </c>
      <c r="Q5145" t="s">
        <v>527</v>
      </c>
      <c r="R5145" t="s">
        <v>730</v>
      </c>
      <c r="S5145" t="s">
        <v>731</v>
      </c>
    </row>
    <row r="5146" spans="1:19" x14ac:dyDescent="0.25">
      <c r="A5146" t="s">
        <v>59</v>
      </c>
      <c r="B5146" t="s">
        <v>60</v>
      </c>
      <c r="C5146" t="s">
        <v>32</v>
      </c>
      <c r="D5146" t="s">
        <v>719</v>
      </c>
      <c r="E5146" t="s">
        <v>742</v>
      </c>
      <c r="F5146" t="s">
        <v>35</v>
      </c>
      <c r="G5146" t="s">
        <v>35</v>
      </c>
      <c r="H5146" t="s">
        <v>35</v>
      </c>
      <c r="J5146" t="s">
        <v>5659</v>
      </c>
      <c r="K5146" t="s">
        <v>1092</v>
      </c>
      <c r="M5146">
        <v>13.75</v>
      </c>
      <c r="N5146">
        <v>198</v>
      </c>
      <c r="O5146" t="s">
        <v>5</v>
      </c>
      <c r="Q5146" t="s">
        <v>4086</v>
      </c>
      <c r="R5146" t="s">
        <v>730</v>
      </c>
      <c r="S5146" t="s">
        <v>731</v>
      </c>
    </row>
    <row r="5147" spans="1:19" x14ac:dyDescent="0.25">
      <c r="A5147" t="s">
        <v>30</v>
      </c>
      <c r="B5147" t="s">
        <v>31</v>
      </c>
      <c r="C5147" t="s">
        <v>32</v>
      </c>
      <c r="D5147" t="s">
        <v>719</v>
      </c>
      <c r="E5147" t="s">
        <v>742</v>
      </c>
      <c r="F5147" t="s">
        <v>35</v>
      </c>
      <c r="G5147" t="s">
        <v>35</v>
      </c>
      <c r="H5147" t="s">
        <v>35</v>
      </c>
      <c r="J5147" t="s">
        <v>5659</v>
      </c>
      <c r="K5147" t="s">
        <v>1092</v>
      </c>
      <c r="M5147">
        <v>11.025</v>
      </c>
      <c r="N5147">
        <v>49</v>
      </c>
      <c r="O5147" t="s">
        <v>52</v>
      </c>
      <c r="Q5147" t="s">
        <v>219</v>
      </c>
      <c r="R5147" t="s">
        <v>730</v>
      </c>
      <c r="S5147" t="s">
        <v>731</v>
      </c>
    </row>
    <row r="5148" spans="1:19" x14ac:dyDescent="0.25">
      <c r="A5148" t="s">
        <v>30</v>
      </c>
      <c r="B5148" t="s">
        <v>31</v>
      </c>
      <c r="C5148" t="s">
        <v>32</v>
      </c>
      <c r="D5148" t="s">
        <v>719</v>
      </c>
      <c r="E5148" t="s">
        <v>742</v>
      </c>
      <c r="F5148" t="s">
        <v>35</v>
      </c>
      <c r="G5148" t="s">
        <v>35</v>
      </c>
      <c r="H5148" t="s">
        <v>35</v>
      </c>
      <c r="J5148" t="s">
        <v>5659</v>
      </c>
      <c r="K5148" t="s">
        <v>1092</v>
      </c>
      <c r="M5148">
        <v>5.3550000000000004</v>
      </c>
      <c r="N5148">
        <v>97</v>
      </c>
      <c r="O5148" t="s">
        <v>106</v>
      </c>
      <c r="Q5148" t="s">
        <v>557</v>
      </c>
      <c r="R5148" t="s">
        <v>730</v>
      </c>
      <c r="S5148" t="s">
        <v>731</v>
      </c>
    </row>
    <row r="5149" spans="1:19" x14ac:dyDescent="0.25">
      <c r="A5149" t="s">
        <v>59</v>
      </c>
      <c r="B5149" t="s">
        <v>60</v>
      </c>
      <c r="C5149" t="s">
        <v>32</v>
      </c>
      <c r="D5149" t="s">
        <v>719</v>
      </c>
      <c r="E5149" t="s">
        <v>742</v>
      </c>
      <c r="F5149" t="s">
        <v>35</v>
      </c>
      <c r="G5149" t="s">
        <v>35</v>
      </c>
      <c r="H5149" t="s">
        <v>35</v>
      </c>
      <c r="J5149" t="s">
        <v>5660</v>
      </c>
      <c r="K5149" t="s">
        <v>1092</v>
      </c>
      <c r="M5149">
        <v>0.7</v>
      </c>
      <c r="N5149">
        <v>214</v>
      </c>
      <c r="O5149" t="s">
        <v>5</v>
      </c>
      <c r="Q5149" t="s">
        <v>537</v>
      </c>
      <c r="R5149" t="s">
        <v>730</v>
      </c>
      <c r="S5149" t="s">
        <v>731</v>
      </c>
    </row>
    <row r="5150" spans="1:19" x14ac:dyDescent="0.25">
      <c r="A5150" t="s">
        <v>59</v>
      </c>
      <c r="B5150" t="s">
        <v>60</v>
      </c>
      <c r="C5150" t="s">
        <v>32</v>
      </c>
      <c r="D5150" t="s">
        <v>719</v>
      </c>
      <c r="E5150" t="s">
        <v>742</v>
      </c>
      <c r="F5150" t="s">
        <v>35</v>
      </c>
      <c r="G5150" t="s">
        <v>35</v>
      </c>
      <c r="H5150" t="s">
        <v>35</v>
      </c>
      <c r="J5150" t="s">
        <v>5661</v>
      </c>
      <c r="K5150" t="s">
        <v>1092</v>
      </c>
      <c r="M5150">
        <v>8.35</v>
      </c>
      <c r="N5150">
        <v>140</v>
      </c>
      <c r="O5150" t="s">
        <v>38</v>
      </c>
      <c r="Q5150" t="s">
        <v>609</v>
      </c>
      <c r="R5150" t="s">
        <v>730</v>
      </c>
      <c r="S5150" t="s">
        <v>731</v>
      </c>
    </row>
    <row r="5151" spans="1:19" x14ac:dyDescent="0.25">
      <c r="A5151" t="s">
        <v>59</v>
      </c>
      <c r="B5151" t="s">
        <v>60</v>
      </c>
      <c r="C5151" t="s">
        <v>32</v>
      </c>
      <c r="D5151" t="s">
        <v>719</v>
      </c>
      <c r="E5151" t="s">
        <v>742</v>
      </c>
      <c r="F5151" t="s">
        <v>35</v>
      </c>
      <c r="G5151" t="s">
        <v>35</v>
      </c>
      <c r="H5151" t="s">
        <v>35</v>
      </c>
      <c r="J5151" t="s">
        <v>5662</v>
      </c>
      <c r="K5151" t="s">
        <v>1092</v>
      </c>
      <c r="M5151">
        <v>1.5</v>
      </c>
      <c r="N5151">
        <v>141</v>
      </c>
      <c r="O5151" t="s">
        <v>38</v>
      </c>
      <c r="Q5151" t="s">
        <v>1822</v>
      </c>
      <c r="R5151" t="s">
        <v>730</v>
      </c>
      <c r="S5151" t="s">
        <v>731</v>
      </c>
    </row>
    <row r="5152" spans="1:19" x14ac:dyDescent="0.25">
      <c r="A5152" t="s">
        <v>30</v>
      </c>
      <c r="B5152" t="s">
        <v>31</v>
      </c>
      <c r="C5152" t="s">
        <v>32</v>
      </c>
      <c r="D5152" t="s">
        <v>719</v>
      </c>
      <c r="E5152" t="s">
        <v>742</v>
      </c>
      <c r="F5152" t="s">
        <v>35</v>
      </c>
      <c r="G5152" t="s">
        <v>35</v>
      </c>
      <c r="H5152" t="s">
        <v>35</v>
      </c>
      <c r="J5152" t="s">
        <v>5662</v>
      </c>
      <c r="K5152" t="s">
        <v>1092</v>
      </c>
      <c r="M5152">
        <v>5.22</v>
      </c>
      <c r="N5152">
        <v>49</v>
      </c>
      <c r="O5152" t="s">
        <v>52</v>
      </c>
      <c r="Q5152" t="s">
        <v>219</v>
      </c>
      <c r="R5152" t="s">
        <v>730</v>
      </c>
      <c r="S5152" t="s">
        <v>731</v>
      </c>
    </row>
    <row r="5153" spans="1:19" x14ac:dyDescent="0.25">
      <c r="A5153" t="s">
        <v>30</v>
      </c>
      <c r="B5153" t="s">
        <v>31</v>
      </c>
      <c r="C5153" t="s">
        <v>32</v>
      </c>
      <c r="D5153" t="s">
        <v>719</v>
      </c>
      <c r="E5153" t="s">
        <v>742</v>
      </c>
      <c r="F5153" t="s">
        <v>35</v>
      </c>
      <c r="G5153" t="s">
        <v>35</v>
      </c>
      <c r="H5153" t="s">
        <v>35</v>
      </c>
      <c r="J5153" t="s">
        <v>5663</v>
      </c>
      <c r="K5153" t="s">
        <v>1092</v>
      </c>
      <c r="M5153">
        <v>11.025</v>
      </c>
      <c r="N5153">
        <v>49</v>
      </c>
      <c r="O5153" t="s">
        <v>52</v>
      </c>
      <c r="Q5153" t="s">
        <v>219</v>
      </c>
      <c r="R5153" t="s">
        <v>730</v>
      </c>
      <c r="S5153" t="s">
        <v>731</v>
      </c>
    </row>
    <row r="5154" spans="1:19" x14ac:dyDescent="0.25">
      <c r="A5154" t="s">
        <v>59</v>
      </c>
      <c r="B5154" t="s">
        <v>31</v>
      </c>
      <c r="C5154" t="s">
        <v>32</v>
      </c>
      <c r="D5154" t="s">
        <v>719</v>
      </c>
      <c r="E5154" t="s">
        <v>742</v>
      </c>
      <c r="F5154" t="s">
        <v>35</v>
      </c>
      <c r="G5154" t="s">
        <v>35</v>
      </c>
      <c r="H5154" t="s">
        <v>35</v>
      </c>
      <c r="J5154" t="s">
        <v>5663</v>
      </c>
      <c r="K5154" t="s">
        <v>1092</v>
      </c>
      <c r="M5154">
        <v>6.0570000000000004</v>
      </c>
      <c r="N5154">
        <v>172</v>
      </c>
      <c r="O5154" t="s">
        <v>38</v>
      </c>
      <c r="Q5154" t="s">
        <v>1124</v>
      </c>
      <c r="R5154" t="s">
        <v>730</v>
      </c>
      <c r="S5154" t="s">
        <v>731</v>
      </c>
    </row>
    <row r="5155" spans="1:19" x14ac:dyDescent="0.25">
      <c r="A5155" t="s">
        <v>30</v>
      </c>
      <c r="B5155" t="s">
        <v>31</v>
      </c>
      <c r="C5155" t="s">
        <v>32</v>
      </c>
      <c r="D5155" t="s">
        <v>719</v>
      </c>
      <c r="E5155" t="s">
        <v>742</v>
      </c>
      <c r="F5155" t="s">
        <v>35</v>
      </c>
      <c r="G5155" t="s">
        <v>35</v>
      </c>
      <c r="H5155" t="s">
        <v>35</v>
      </c>
      <c r="J5155" t="s">
        <v>5663</v>
      </c>
      <c r="K5155" t="s">
        <v>1092</v>
      </c>
      <c r="M5155">
        <v>2.52</v>
      </c>
      <c r="N5155">
        <v>69</v>
      </c>
      <c r="O5155" t="s">
        <v>61</v>
      </c>
      <c r="Q5155" t="s">
        <v>139</v>
      </c>
      <c r="R5155" t="s">
        <v>730</v>
      </c>
      <c r="S5155" t="s">
        <v>731</v>
      </c>
    </row>
    <row r="5156" spans="1:19" x14ac:dyDescent="0.25">
      <c r="A5156" t="s">
        <v>44</v>
      </c>
      <c r="B5156" t="s">
        <v>51</v>
      </c>
      <c r="C5156" t="s">
        <v>32</v>
      </c>
      <c r="D5156" t="s">
        <v>719</v>
      </c>
      <c r="E5156" t="s">
        <v>742</v>
      </c>
      <c r="F5156" t="s">
        <v>35</v>
      </c>
      <c r="G5156" t="s">
        <v>35</v>
      </c>
      <c r="H5156" t="s">
        <v>35</v>
      </c>
      <c r="J5156" t="s">
        <v>5664</v>
      </c>
      <c r="K5156" t="s">
        <v>1092</v>
      </c>
      <c r="M5156">
        <v>15.35</v>
      </c>
      <c r="N5156">
        <v>81</v>
      </c>
      <c r="O5156" t="s">
        <v>61</v>
      </c>
      <c r="Q5156" t="s">
        <v>527</v>
      </c>
      <c r="R5156" t="s">
        <v>730</v>
      </c>
      <c r="S5156" t="s">
        <v>731</v>
      </c>
    </row>
    <row r="5157" spans="1:19" x14ac:dyDescent="0.25">
      <c r="A5157" t="s">
        <v>30</v>
      </c>
      <c r="B5157" t="s">
        <v>31</v>
      </c>
      <c r="C5157" t="s">
        <v>32</v>
      </c>
      <c r="D5157" t="s">
        <v>719</v>
      </c>
      <c r="E5157" t="s">
        <v>742</v>
      </c>
      <c r="F5157" t="s">
        <v>35</v>
      </c>
      <c r="G5157" t="s">
        <v>35</v>
      </c>
      <c r="H5157" t="s">
        <v>35</v>
      </c>
      <c r="J5157" t="s">
        <v>5665</v>
      </c>
      <c r="K5157" t="s">
        <v>1092</v>
      </c>
      <c r="M5157">
        <v>2.88</v>
      </c>
      <c r="N5157">
        <v>49</v>
      </c>
      <c r="O5157" t="s">
        <v>52</v>
      </c>
      <c r="Q5157" t="s">
        <v>219</v>
      </c>
      <c r="R5157" t="s">
        <v>730</v>
      </c>
      <c r="S5157" t="s">
        <v>731</v>
      </c>
    </row>
    <row r="5158" spans="1:19" x14ac:dyDescent="0.25">
      <c r="A5158" t="s">
        <v>30</v>
      </c>
      <c r="B5158" t="s">
        <v>31</v>
      </c>
      <c r="C5158" t="s">
        <v>32</v>
      </c>
      <c r="D5158" t="s">
        <v>719</v>
      </c>
      <c r="E5158" t="s">
        <v>742</v>
      </c>
      <c r="F5158" t="s">
        <v>35</v>
      </c>
      <c r="G5158" t="s">
        <v>35</v>
      </c>
      <c r="H5158" t="s">
        <v>35</v>
      </c>
      <c r="J5158" t="s">
        <v>5666</v>
      </c>
      <c r="K5158" t="s">
        <v>1092</v>
      </c>
      <c r="M5158">
        <v>11.025</v>
      </c>
      <c r="N5158">
        <v>69</v>
      </c>
      <c r="O5158" t="s">
        <v>61</v>
      </c>
      <c r="Q5158" t="s">
        <v>139</v>
      </c>
      <c r="R5158" t="s">
        <v>730</v>
      </c>
      <c r="S5158" t="s">
        <v>731</v>
      </c>
    </row>
    <row r="5159" spans="1:19" x14ac:dyDescent="0.25">
      <c r="A5159" t="s">
        <v>30</v>
      </c>
      <c r="B5159" t="s">
        <v>31</v>
      </c>
      <c r="C5159" t="s">
        <v>32</v>
      </c>
      <c r="D5159" t="s">
        <v>719</v>
      </c>
      <c r="E5159" t="s">
        <v>742</v>
      </c>
      <c r="F5159" t="s">
        <v>35</v>
      </c>
      <c r="G5159" t="s">
        <v>35</v>
      </c>
      <c r="H5159" t="s">
        <v>35</v>
      </c>
      <c r="J5159" t="s">
        <v>5666</v>
      </c>
      <c r="K5159" t="s">
        <v>1092</v>
      </c>
      <c r="M5159">
        <v>9.1349999999999998</v>
      </c>
      <c r="N5159">
        <v>97</v>
      </c>
      <c r="O5159" t="s">
        <v>106</v>
      </c>
      <c r="Q5159" t="s">
        <v>557</v>
      </c>
      <c r="R5159" t="s">
        <v>730</v>
      </c>
      <c r="S5159" t="s">
        <v>731</v>
      </c>
    </row>
    <row r="5160" spans="1:19" x14ac:dyDescent="0.25">
      <c r="A5160" t="s">
        <v>30</v>
      </c>
      <c r="B5160" t="s">
        <v>31</v>
      </c>
      <c r="C5160" t="s">
        <v>32</v>
      </c>
      <c r="D5160" t="s">
        <v>719</v>
      </c>
      <c r="E5160" t="s">
        <v>742</v>
      </c>
      <c r="F5160" t="s">
        <v>35</v>
      </c>
      <c r="G5160" t="s">
        <v>35</v>
      </c>
      <c r="H5160" t="s">
        <v>35</v>
      </c>
      <c r="J5160" t="s">
        <v>5667</v>
      </c>
      <c r="K5160" t="s">
        <v>1092</v>
      </c>
      <c r="M5160">
        <v>0.81</v>
      </c>
      <c r="N5160">
        <v>47</v>
      </c>
      <c r="O5160" t="s">
        <v>52</v>
      </c>
      <c r="Q5160" t="s">
        <v>132</v>
      </c>
      <c r="R5160" t="s">
        <v>5432</v>
      </c>
      <c r="S5160" t="s">
        <v>759</v>
      </c>
    </row>
    <row r="5161" spans="1:19" x14ac:dyDescent="0.25">
      <c r="A5161" t="s">
        <v>30</v>
      </c>
      <c r="B5161" t="s">
        <v>31</v>
      </c>
      <c r="C5161" t="s">
        <v>32</v>
      </c>
      <c r="D5161" t="s">
        <v>719</v>
      </c>
      <c r="E5161" t="s">
        <v>742</v>
      </c>
      <c r="F5161" t="s">
        <v>35</v>
      </c>
      <c r="G5161" t="s">
        <v>35</v>
      </c>
      <c r="H5161" t="s">
        <v>35</v>
      </c>
      <c r="J5161" t="s">
        <v>5668</v>
      </c>
      <c r="K5161" t="s">
        <v>1092</v>
      </c>
      <c r="M5161">
        <v>6.66</v>
      </c>
      <c r="N5161">
        <v>69</v>
      </c>
      <c r="O5161" t="s">
        <v>61</v>
      </c>
      <c r="Q5161" t="s">
        <v>139</v>
      </c>
      <c r="R5161" t="s">
        <v>730</v>
      </c>
      <c r="S5161" t="s">
        <v>731</v>
      </c>
    </row>
    <row r="5162" spans="1:19" x14ac:dyDescent="0.25">
      <c r="A5162" t="s">
        <v>59</v>
      </c>
      <c r="B5162" t="s">
        <v>60</v>
      </c>
      <c r="C5162" t="s">
        <v>32</v>
      </c>
      <c r="D5162" t="s">
        <v>719</v>
      </c>
      <c r="E5162" t="s">
        <v>742</v>
      </c>
      <c r="F5162" t="s">
        <v>35</v>
      </c>
      <c r="G5162" t="s">
        <v>35</v>
      </c>
      <c r="H5162" t="s">
        <v>35</v>
      </c>
      <c r="J5162" t="s">
        <v>5669</v>
      </c>
      <c r="K5162" t="s">
        <v>1092</v>
      </c>
      <c r="M5162">
        <v>3.4</v>
      </c>
      <c r="N5162">
        <v>131</v>
      </c>
      <c r="O5162" t="s">
        <v>38</v>
      </c>
      <c r="Q5162" t="s">
        <v>646</v>
      </c>
      <c r="R5162" t="s">
        <v>730</v>
      </c>
      <c r="S5162" t="s">
        <v>731</v>
      </c>
    </row>
    <row r="5163" spans="1:19" x14ac:dyDescent="0.25">
      <c r="A5163" t="s">
        <v>30</v>
      </c>
      <c r="B5163" t="s">
        <v>31</v>
      </c>
      <c r="C5163" t="s">
        <v>32</v>
      </c>
      <c r="D5163" t="s">
        <v>719</v>
      </c>
      <c r="E5163" t="s">
        <v>742</v>
      </c>
      <c r="F5163" t="s">
        <v>35</v>
      </c>
      <c r="G5163" t="s">
        <v>35</v>
      </c>
      <c r="H5163" t="s">
        <v>35</v>
      </c>
      <c r="J5163" t="s">
        <v>5670</v>
      </c>
      <c r="K5163" t="s">
        <v>1092</v>
      </c>
      <c r="M5163">
        <v>0.36</v>
      </c>
      <c r="N5163">
        <v>94</v>
      </c>
      <c r="O5163" t="s">
        <v>106</v>
      </c>
      <c r="Q5163" t="s">
        <v>394</v>
      </c>
      <c r="R5163" t="s">
        <v>730</v>
      </c>
      <c r="S5163" t="s">
        <v>731</v>
      </c>
    </row>
    <row r="5164" spans="1:19" x14ac:dyDescent="0.25">
      <c r="A5164" t="s">
        <v>30</v>
      </c>
      <c r="B5164" t="s">
        <v>31</v>
      </c>
      <c r="C5164" t="s">
        <v>32</v>
      </c>
      <c r="D5164" t="s">
        <v>719</v>
      </c>
      <c r="E5164" t="s">
        <v>742</v>
      </c>
      <c r="F5164" t="s">
        <v>35</v>
      </c>
      <c r="G5164" t="s">
        <v>35</v>
      </c>
      <c r="H5164" t="s">
        <v>35</v>
      </c>
      <c r="J5164" t="s">
        <v>4007</v>
      </c>
      <c r="K5164" t="s">
        <v>1092</v>
      </c>
      <c r="M5164">
        <v>13.904999999999999</v>
      </c>
      <c r="N5164">
        <v>49</v>
      </c>
      <c r="O5164" t="s">
        <v>52</v>
      </c>
      <c r="Q5164" t="s">
        <v>219</v>
      </c>
      <c r="R5164" t="s">
        <v>730</v>
      </c>
      <c r="S5164" t="s">
        <v>731</v>
      </c>
    </row>
    <row r="5165" spans="1:19" x14ac:dyDescent="0.25">
      <c r="A5165" t="s">
        <v>30</v>
      </c>
      <c r="B5165" t="s">
        <v>31</v>
      </c>
      <c r="C5165" t="s">
        <v>32</v>
      </c>
      <c r="D5165" t="s">
        <v>719</v>
      </c>
      <c r="E5165" t="s">
        <v>742</v>
      </c>
      <c r="F5165" t="s">
        <v>35</v>
      </c>
      <c r="G5165" t="s">
        <v>35</v>
      </c>
      <c r="H5165" t="s">
        <v>35</v>
      </c>
      <c r="J5165" t="s">
        <v>5671</v>
      </c>
      <c r="K5165" t="s">
        <v>1092</v>
      </c>
      <c r="M5165">
        <v>8.5950000000000006</v>
      </c>
      <c r="N5165">
        <v>155</v>
      </c>
      <c r="O5165" t="s">
        <v>38</v>
      </c>
      <c r="Q5165" t="s">
        <v>3942</v>
      </c>
      <c r="R5165" t="s">
        <v>730</v>
      </c>
      <c r="S5165" t="s">
        <v>731</v>
      </c>
    </row>
    <row r="5166" spans="1:19" x14ac:dyDescent="0.25">
      <c r="A5166" t="s">
        <v>30</v>
      </c>
      <c r="B5166" t="s">
        <v>31</v>
      </c>
      <c r="C5166" t="s">
        <v>32</v>
      </c>
      <c r="D5166" t="s">
        <v>719</v>
      </c>
      <c r="E5166" t="s">
        <v>742</v>
      </c>
      <c r="F5166" t="s">
        <v>35</v>
      </c>
      <c r="G5166" t="s">
        <v>35</v>
      </c>
      <c r="H5166" t="s">
        <v>35</v>
      </c>
      <c r="J5166" t="s">
        <v>5672</v>
      </c>
      <c r="K5166" t="s">
        <v>1092</v>
      </c>
      <c r="M5166">
        <v>11.025</v>
      </c>
      <c r="N5166">
        <v>69</v>
      </c>
      <c r="O5166" t="s">
        <v>61</v>
      </c>
      <c r="Q5166" t="s">
        <v>139</v>
      </c>
      <c r="R5166" t="s">
        <v>730</v>
      </c>
      <c r="S5166" t="s">
        <v>731</v>
      </c>
    </row>
    <row r="5167" spans="1:19" x14ac:dyDescent="0.25">
      <c r="A5167" t="s">
        <v>30</v>
      </c>
      <c r="B5167" t="s">
        <v>31</v>
      </c>
      <c r="C5167" t="s">
        <v>32</v>
      </c>
      <c r="D5167" t="s">
        <v>719</v>
      </c>
      <c r="E5167" t="s">
        <v>742</v>
      </c>
      <c r="F5167" t="s">
        <v>35</v>
      </c>
      <c r="G5167" t="s">
        <v>35</v>
      </c>
      <c r="H5167" t="s">
        <v>35</v>
      </c>
      <c r="J5167" t="s">
        <v>5672</v>
      </c>
      <c r="K5167" t="s">
        <v>1092</v>
      </c>
      <c r="M5167">
        <v>2.7</v>
      </c>
      <c r="N5167">
        <v>265</v>
      </c>
      <c r="O5167" t="s">
        <v>5</v>
      </c>
      <c r="Q5167" t="s">
        <v>1754</v>
      </c>
      <c r="R5167" t="s">
        <v>730</v>
      </c>
      <c r="S5167" t="s">
        <v>731</v>
      </c>
    </row>
    <row r="5168" spans="1:19" x14ac:dyDescent="0.25">
      <c r="A5168" t="s">
        <v>30</v>
      </c>
      <c r="B5168" t="s">
        <v>31</v>
      </c>
      <c r="C5168" t="s">
        <v>32</v>
      </c>
      <c r="D5168" t="s">
        <v>719</v>
      </c>
      <c r="E5168" t="s">
        <v>742</v>
      </c>
      <c r="F5168" t="s">
        <v>35</v>
      </c>
      <c r="G5168" t="s">
        <v>35</v>
      </c>
      <c r="H5168" t="s">
        <v>35</v>
      </c>
      <c r="J5168" t="s">
        <v>5672</v>
      </c>
      <c r="K5168" t="s">
        <v>1092</v>
      </c>
      <c r="M5168">
        <v>11.025</v>
      </c>
      <c r="N5168">
        <v>198</v>
      </c>
      <c r="O5168" t="s">
        <v>5</v>
      </c>
      <c r="Q5168" t="s">
        <v>4086</v>
      </c>
      <c r="R5168" t="s">
        <v>730</v>
      </c>
      <c r="S5168" t="s">
        <v>731</v>
      </c>
    </row>
    <row r="5169" spans="1:19" x14ac:dyDescent="0.25">
      <c r="A5169" t="s">
        <v>59</v>
      </c>
      <c r="B5169" t="s">
        <v>60</v>
      </c>
      <c r="C5169" t="s">
        <v>32</v>
      </c>
      <c r="D5169" t="s">
        <v>719</v>
      </c>
      <c r="E5169" t="s">
        <v>742</v>
      </c>
      <c r="F5169" t="s">
        <v>35</v>
      </c>
      <c r="G5169" t="s">
        <v>35</v>
      </c>
      <c r="H5169" t="s">
        <v>35</v>
      </c>
      <c r="J5169" t="s">
        <v>5673</v>
      </c>
      <c r="K5169" t="s">
        <v>1092</v>
      </c>
      <c r="M5169">
        <v>0.65</v>
      </c>
      <c r="N5169">
        <v>108</v>
      </c>
      <c r="O5169" t="s">
        <v>106</v>
      </c>
      <c r="Q5169" t="s">
        <v>1450</v>
      </c>
      <c r="R5169" t="s">
        <v>725</v>
      </c>
      <c r="S5169" t="s">
        <v>726</v>
      </c>
    </row>
    <row r="5170" spans="1:19" x14ac:dyDescent="0.25">
      <c r="A5170" t="s">
        <v>30</v>
      </c>
      <c r="B5170" t="s">
        <v>31</v>
      </c>
      <c r="C5170" t="s">
        <v>32</v>
      </c>
      <c r="D5170" t="s">
        <v>719</v>
      </c>
      <c r="E5170" t="s">
        <v>742</v>
      </c>
      <c r="F5170" t="s">
        <v>35</v>
      </c>
      <c r="G5170" t="s">
        <v>35</v>
      </c>
      <c r="H5170" t="s">
        <v>35</v>
      </c>
      <c r="J5170" t="s">
        <v>5674</v>
      </c>
      <c r="K5170" t="s">
        <v>1092</v>
      </c>
      <c r="M5170">
        <v>7.5149999999999997</v>
      </c>
      <c r="N5170">
        <v>49</v>
      </c>
      <c r="O5170" t="s">
        <v>52</v>
      </c>
      <c r="Q5170" t="s">
        <v>219</v>
      </c>
      <c r="R5170" t="s">
        <v>5454</v>
      </c>
      <c r="S5170" t="s">
        <v>756</v>
      </c>
    </row>
    <row r="5171" spans="1:19" x14ac:dyDescent="0.25">
      <c r="A5171" t="s">
        <v>30</v>
      </c>
      <c r="B5171" t="s">
        <v>31</v>
      </c>
      <c r="C5171" t="s">
        <v>32</v>
      </c>
      <c r="D5171" t="s">
        <v>719</v>
      </c>
      <c r="E5171" t="s">
        <v>742</v>
      </c>
      <c r="F5171" t="s">
        <v>35</v>
      </c>
      <c r="G5171" t="s">
        <v>35</v>
      </c>
      <c r="H5171" t="s">
        <v>35</v>
      </c>
      <c r="J5171" t="s">
        <v>5675</v>
      </c>
      <c r="K5171" t="s">
        <v>1092</v>
      </c>
      <c r="M5171">
        <v>10.26</v>
      </c>
      <c r="N5171">
        <v>49</v>
      </c>
      <c r="O5171" t="s">
        <v>52</v>
      </c>
      <c r="Q5171" t="s">
        <v>219</v>
      </c>
      <c r="R5171" t="s">
        <v>730</v>
      </c>
      <c r="S5171" t="s">
        <v>731</v>
      </c>
    </row>
    <row r="5172" spans="1:19" x14ac:dyDescent="0.25">
      <c r="A5172" t="s">
        <v>30</v>
      </c>
      <c r="B5172" t="s">
        <v>31</v>
      </c>
      <c r="C5172" t="s">
        <v>32</v>
      </c>
      <c r="D5172" t="s">
        <v>719</v>
      </c>
      <c r="E5172" t="s">
        <v>742</v>
      </c>
      <c r="F5172" t="s">
        <v>35</v>
      </c>
      <c r="G5172" t="s">
        <v>35</v>
      </c>
      <c r="H5172" t="s">
        <v>35</v>
      </c>
      <c r="J5172" t="s">
        <v>5676</v>
      </c>
      <c r="K5172" t="s">
        <v>1092</v>
      </c>
      <c r="M5172">
        <v>6.9749999999999996</v>
      </c>
      <c r="N5172">
        <v>68</v>
      </c>
      <c r="O5172" t="s">
        <v>61</v>
      </c>
      <c r="Q5172" t="s">
        <v>146</v>
      </c>
      <c r="R5172" t="s">
        <v>5432</v>
      </c>
      <c r="S5172" t="s">
        <v>759</v>
      </c>
    </row>
    <row r="5173" spans="1:19" x14ac:dyDescent="0.25">
      <c r="A5173" t="s">
        <v>30</v>
      </c>
      <c r="B5173" t="s">
        <v>31</v>
      </c>
      <c r="C5173" t="s">
        <v>32</v>
      </c>
      <c r="D5173" t="s">
        <v>719</v>
      </c>
      <c r="E5173" t="s">
        <v>742</v>
      </c>
      <c r="F5173" t="s">
        <v>35</v>
      </c>
      <c r="G5173" t="s">
        <v>35</v>
      </c>
      <c r="H5173" t="s">
        <v>35</v>
      </c>
      <c r="J5173" t="s">
        <v>5676</v>
      </c>
      <c r="K5173" t="s">
        <v>1092</v>
      </c>
      <c r="M5173">
        <v>11.025</v>
      </c>
      <c r="N5173">
        <v>47</v>
      </c>
      <c r="O5173" t="s">
        <v>52</v>
      </c>
      <c r="Q5173" t="s">
        <v>132</v>
      </c>
      <c r="R5173" t="s">
        <v>5432</v>
      </c>
      <c r="S5173" t="s">
        <v>759</v>
      </c>
    </row>
    <row r="5174" spans="1:19" x14ac:dyDescent="0.25">
      <c r="A5174" t="s">
        <v>30</v>
      </c>
      <c r="B5174" t="s">
        <v>31</v>
      </c>
      <c r="C5174" t="s">
        <v>32</v>
      </c>
      <c r="D5174" t="s">
        <v>719</v>
      </c>
      <c r="E5174" t="s">
        <v>742</v>
      </c>
      <c r="F5174" t="s">
        <v>35</v>
      </c>
      <c r="G5174" t="s">
        <v>35</v>
      </c>
      <c r="H5174" t="s">
        <v>35</v>
      </c>
      <c r="J5174" t="s">
        <v>5677</v>
      </c>
      <c r="K5174" t="s">
        <v>1092</v>
      </c>
      <c r="M5174">
        <v>0.36</v>
      </c>
      <c r="N5174">
        <v>69</v>
      </c>
      <c r="O5174" t="s">
        <v>61</v>
      </c>
      <c r="Q5174" t="s">
        <v>139</v>
      </c>
      <c r="R5174" t="s">
        <v>730</v>
      </c>
      <c r="S5174" t="s">
        <v>731</v>
      </c>
    </row>
    <row r="5175" spans="1:19" x14ac:dyDescent="0.25">
      <c r="A5175" t="s">
        <v>59</v>
      </c>
      <c r="B5175" t="s">
        <v>60</v>
      </c>
      <c r="C5175" t="s">
        <v>32</v>
      </c>
      <c r="D5175" t="s">
        <v>719</v>
      </c>
      <c r="E5175" t="s">
        <v>742</v>
      </c>
      <c r="F5175" t="s">
        <v>35</v>
      </c>
      <c r="G5175" t="s">
        <v>35</v>
      </c>
      <c r="H5175" t="s">
        <v>35</v>
      </c>
      <c r="J5175" t="s">
        <v>5677</v>
      </c>
      <c r="K5175" t="s">
        <v>1092</v>
      </c>
      <c r="M5175">
        <v>0.25</v>
      </c>
      <c r="N5175">
        <v>214</v>
      </c>
      <c r="O5175" t="s">
        <v>5</v>
      </c>
      <c r="Q5175" t="s">
        <v>537</v>
      </c>
      <c r="R5175" t="s">
        <v>730</v>
      </c>
      <c r="S5175" t="s">
        <v>731</v>
      </c>
    </row>
    <row r="5176" spans="1:19" x14ac:dyDescent="0.25">
      <c r="A5176" t="s">
        <v>30</v>
      </c>
      <c r="B5176" t="s">
        <v>31</v>
      </c>
      <c r="C5176" t="s">
        <v>32</v>
      </c>
      <c r="D5176" t="s">
        <v>719</v>
      </c>
      <c r="E5176" t="s">
        <v>742</v>
      </c>
      <c r="F5176" t="s">
        <v>35</v>
      </c>
      <c r="G5176" t="s">
        <v>35</v>
      </c>
      <c r="H5176" t="s">
        <v>35</v>
      </c>
      <c r="J5176" t="s">
        <v>5678</v>
      </c>
      <c r="K5176" t="s">
        <v>1092</v>
      </c>
      <c r="M5176">
        <v>5.4</v>
      </c>
      <c r="N5176">
        <v>49</v>
      </c>
      <c r="O5176" t="s">
        <v>52</v>
      </c>
      <c r="Q5176" t="s">
        <v>219</v>
      </c>
      <c r="R5176" t="s">
        <v>730</v>
      </c>
      <c r="S5176" t="s">
        <v>731</v>
      </c>
    </row>
    <row r="5177" spans="1:19" x14ac:dyDescent="0.25">
      <c r="A5177" t="s">
        <v>30</v>
      </c>
      <c r="B5177" t="s">
        <v>31</v>
      </c>
      <c r="C5177" t="s">
        <v>32</v>
      </c>
      <c r="D5177" t="s">
        <v>719</v>
      </c>
      <c r="E5177" t="s">
        <v>742</v>
      </c>
      <c r="F5177" t="s">
        <v>35</v>
      </c>
      <c r="G5177" t="s">
        <v>35</v>
      </c>
      <c r="H5177" t="s">
        <v>35</v>
      </c>
      <c r="J5177" t="s">
        <v>5679</v>
      </c>
      <c r="K5177" t="s">
        <v>1092</v>
      </c>
      <c r="M5177">
        <v>5.1749999999999998</v>
      </c>
      <c r="N5177">
        <v>49</v>
      </c>
      <c r="O5177" t="s">
        <v>52</v>
      </c>
      <c r="Q5177" t="s">
        <v>219</v>
      </c>
      <c r="R5177" t="s">
        <v>725</v>
      </c>
      <c r="S5177" t="s">
        <v>726</v>
      </c>
    </row>
    <row r="5178" spans="1:19" x14ac:dyDescent="0.25">
      <c r="A5178" t="s">
        <v>59</v>
      </c>
      <c r="B5178" t="s">
        <v>31</v>
      </c>
      <c r="C5178" t="s">
        <v>32</v>
      </c>
      <c r="D5178" t="s">
        <v>719</v>
      </c>
      <c r="E5178" t="s">
        <v>742</v>
      </c>
      <c r="F5178" t="s">
        <v>35</v>
      </c>
      <c r="G5178" t="s">
        <v>35</v>
      </c>
      <c r="H5178" t="s">
        <v>35</v>
      </c>
      <c r="J5178" t="s">
        <v>5680</v>
      </c>
      <c r="K5178" t="s">
        <v>1092</v>
      </c>
      <c r="M5178">
        <v>4.4999999999999998E-2</v>
      </c>
      <c r="N5178">
        <v>97</v>
      </c>
      <c r="O5178" t="s">
        <v>106</v>
      </c>
      <c r="Q5178" t="s">
        <v>557</v>
      </c>
      <c r="R5178" t="s">
        <v>730</v>
      </c>
      <c r="S5178" t="s">
        <v>731</v>
      </c>
    </row>
    <row r="5179" spans="1:19" x14ac:dyDescent="0.25">
      <c r="A5179" t="s">
        <v>44</v>
      </c>
      <c r="B5179" t="s">
        <v>51</v>
      </c>
      <c r="C5179" t="s">
        <v>32</v>
      </c>
      <c r="D5179" t="s">
        <v>719</v>
      </c>
      <c r="E5179" t="s">
        <v>742</v>
      </c>
      <c r="F5179" t="s">
        <v>35</v>
      </c>
      <c r="G5179" t="s">
        <v>35</v>
      </c>
      <c r="H5179" t="s">
        <v>35</v>
      </c>
      <c r="J5179" t="s">
        <v>5681</v>
      </c>
      <c r="K5179" t="s">
        <v>1092</v>
      </c>
      <c r="M5179">
        <v>2.7</v>
      </c>
      <c r="N5179">
        <v>58</v>
      </c>
      <c r="O5179" t="s">
        <v>52</v>
      </c>
      <c r="Q5179" t="s">
        <v>58</v>
      </c>
      <c r="R5179" t="s">
        <v>730</v>
      </c>
      <c r="S5179" t="s">
        <v>731</v>
      </c>
    </row>
    <row r="5180" spans="1:19" x14ac:dyDescent="0.25">
      <c r="A5180" t="s">
        <v>30</v>
      </c>
      <c r="B5180" t="s">
        <v>31</v>
      </c>
      <c r="C5180" t="s">
        <v>32</v>
      </c>
      <c r="D5180" t="s">
        <v>719</v>
      </c>
      <c r="E5180" t="s">
        <v>742</v>
      </c>
      <c r="F5180" t="s">
        <v>35</v>
      </c>
      <c r="G5180" t="s">
        <v>35</v>
      </c>
      <c r="H5180" t="s">
        <v>35</v>
      </c>
      <c r="J5180" t="s">
        <v>5681</v>
      </c>
      <c r="K5180" t="s">
        <v>1092</v>
      </c>
      <c r="M5180">
        <v>0.67500000000000004</v>
      </c>
      <c r="N5180">
        <v>97</v>
      </c>
      <c r="O5180" t="s">
        <v>106</v>
      </c>
      <c r="Q5180" t="s">
        <v>557</v>
      </c>
      <c r="R5180" t="s">
        <v>730</v>
      </c>
      <c r="S5180" t="s">
        <v>731</v>
      </c>
    </row>
    <row r="5181" spans="1:19" x14ac:dyDescent="0.25">
      <c r="A5181" t="s">
        <v>59</v>
      </c>
      <c r="B5181" t="s">
        <v>60</v>
      </c>
      <c r="C5181" t="s">
        <v>32</v>
      </c>
      <c r="D5181" t="s">
        <v>719</v>
      </c>
      <c r="E5181" t="s">
        <v>742</v>
      </c>
      <c r="F5181" t="s">
        <v>35</v>
      </c>
      <c r="G5181" t="s">
        <v>35</v>
      </c>
      <c r="H5181" t="s">
        <v>35</v>
      </c>
      <c r="J5181" t="s">
        <v>5682</v>
      </c>
      <c r="K5181" t="s">
        <v>1092</v>
      </c>
      <c r="M5181">
        <v>1.5</v>
      </c>
      <c r="N5181">
        <v>141</v>
      </c>
      <c r="O5181" t="s">
        <v>38</v>
      </c>
      <c r="Q5181" t="s">
        <v>1822</v>
      </c>
      <c r="R5181" t="s">
        <v>730</v>
      </c>
      <c r="S5181" t="s">
        <v>731</v>
      </c>
    </row>
    <row r="5182" spans="1:19" x14ac:dyDescent="0.25">
      <c r="A5182" t="s">
        <v>30</v>
      </c>
      <c r="B5182" t="s">
        <v>31</v>
      </c>
      <c r="C5182" t="s">
        <v>32</v>
      </c>
      <c r="D5182" t="s">
        <v>719</v>
      </c>
      <c r="E5182" t="s">
        <v>5683</v>
      </c>
      <c r="F5182" t="s">
        <v>35</v>
      </c>
      <c r="G5182" t="s">
        <v>35</v>
      </c>
      <c r="H5182" t="s">
        <v>35</v>
      </c>
      <c r="J5182" t="s">
        <v>5684</v>
      </c>
      <c r="K5182" t="s">
        <v>1092</v>
      </c>
      <c r="M5182">
        <v>6.93</v>
      </c>
      <c r="N5182">
        <v>39</v>
      </c>
      <c r="O5182" t="s">
        <v>52</v>
      </c>
      <c r="Q5182" t="s">
        <v>816</v>
      </c>
      <c r="R5182" t="s">
        <v>735</v>
      </c>
      <c r="S5182" t="s">
        <v>736</v>
      </c>
    </row>
    <row r="5183" spans="1:19" x14ac:dyDescent="0.25">
      <c r="A5183" t="s">
        <v>59</v>
      </c>
      <c r="B5183" t="s">
        <v>60</v>
      </c>
      <c r="C5183" t="s">
        <v>32</v>
      </c>
      <c r="D5183" t="s">
        <v>719</v>
      </c>
      <c r="E5183" t="s">
        <v>5683</v>
      </c>
      <c r="F5183" t="s">
        <v>35</v>
      </c>
      <c r="G5183" t="s">
        <v>35</v>
      </c>
      <c r="H5183" t="s">
        <v>35</v>
      </c>
      <c r="J5183" t="s">
        <v>5684</v>
      </c>
      <c r="K5183" t="s">
        <v>1092</v>
      </c>
      <c r="M5183">
        <v>6</v>
      </c>
      <c r="N5183">
        <v>2</v>
      </c>
      <c r="O5183" t="s">
        <v>46</v>
      </c>
      <c r="Q5183" t="s">
        <v>8155</v>
      </c>
      <c r="R5183" t="s">
        <v>5461</v>
      </c>
      <c r="S5183" t="s">
        <v>479</v>
      </c>
    </row>
    <row r="5184" spans="1:19" x14ac:dyDescent="0.25">
      <c r="A5184" t="s">
        <v>30</v>
      </c>
      <c r="B5184" t="s">
        <v>31</v>
      </c>
      <c r="C5184" t="s">
        <v>32</v>
      </c>
      <c r="D5184" t="s">
        <v>719</v>
      </c>
      <c r="E5184" t="s">
        <v>5683</v>
      </c>
      <c r="F5184" t="s">
        <v>35</v>
      </c>
      <c r="G5184" t="s">
        <v>35</v>
      </c>
      <c r="H5184" t="s">
        <v>35</v>
      </c>
      <c r="J5184" t="s">
        <v>5685</v>
      </c>
      <c r="K5184" t="s">
        <v>1092</v>
      </c>
      <c r="M5184">
        <v>2.2050000000000001</v>
      </c>
      <c r="N5184">
        <v>49</v>
      </c>
      <c r="O5184" t="s">
        <v>52</v>
      </c>
      <c r="Q5184" t="s">
        <v>219</v>
      </c>
      <c r="R5184" t="s">
        <v>730</v>
      </c>
      <c r="S5184" t="s">
        <v>731</v>
      </c>
    </row>
    <row r="5185" spans="1:19" x14ac:dyDescent="0.25">
      <c r="A5185" t="s">
        <v>30</v>
      </c>
      <c r="B5185" t="s">
        <v>31</v>
      </c>
      <c r="C5185" t="s">
        <v>32</v>
      </c>
      <c r="D5185" t="s">
        <v>719</v>
      </c>
      <c r="E5185" t="s">
        <v>5683</v>
      </c>
      <c r="F5185" t="s">
        <v>35</v>
      </c>
      <c r="G5185" t="s">
        <v>35</v>
      </c>
      <c r="H5185" t="s">
        <v>35</v>
      </c>
      <c r="J5185" t="s">
        <v>5686</v>
      </c>
      <c r="K5185" t="s">
        <v>1092</v>
      </c>
      <c r="M5185">
        <v>10.35</v>
      </c>
      <c r="N5185">
        <v>49</v>
      </c>
      <c r="O5185" t="s">
        <v>52</v>
      </c>
      <c r="Q5185" t="s">
        <v>219</v>
      </c>
      <c r="R5185" t="s">
        <v>730</v>
      </c>
      <c r="S5185" t="s">
        <v>731</v>
      </c>
    </row>
    <row r="5186" spans="1:19" x14ac:dyDescent="0.25">
      <c r="A5186" t="s">
        <v>30</v>
      </c>
      <c r="B5186" t="s">
        <v>31</v>
      </c>
      <c r="C5186" t="s">
        <v>32</v>
      </c>
      <c r="D5186" t="s">
        <v>719</v>
      </c>
      <c r="E5186" t="s">
        <v>5683</v>
      </c>
      <c r="F5186" t="s">
        <v>35</v>
      </c>
      <c r="G5186" t="s">
        <v>35</v>
      </c>
      <c r="H5186" t="s">
        <v>35</v>
      </c>
      <c r="J5186" t="s">
        <v>5688</v>
      </c>
      <c r="K5186" t="s">
        <v>1092</v>
      </c>
      <c r="M5186">
        <v>10.17</v>
      </c>
      <c r="N5186">
        <v>49</v>
      </c>
      <c r="O5186" t="s">
        <v>52</v>
      </c>
      <c r="Q5186" t="s">
        <v>219</v>
      </c>
      <c r="R5186" t="s">
        <v>730</v>
      </c>
      <c r="S5186" t="s">
        <v>731</v>
      </c>
    </row>
    <row r="5187" spans="1:19" x14ac:dyDescent="0.25">
      <c r="A5187" t="s">
        <v>44</v>
      </c>
      <c r="B5187" t="s">
        <v>51</v>
      </c>
      <c r="C5187" t="s">
        <v>32</v>
      </c>
      <c r="D5187" t="s">
        <v>719</v>
      </c>
      <c r="E5187" t="s">
        <v>5683</v>
      </c>
      <c r="F5187" t="s">
        <v>35</v>
      </c>
      <c r="G5187" t="s">
        <v>35</v>
      </c>
      <c r="H5187" t="s">
        <v>35</v>
      </c>
      <c r="J5187" t="s">
        <v>5689</v>
      </c>
      <c r="K5187" t="s">
        <v>1092</v>
      </c>
      <c r="M5187">
        <v>3</v>
      </c>
      <c r="N5187">
        <v>12</v>
      </c>
      <c r="O5187" t="s">
        <v>46</v>
      </c>
      <c r="Q5187" t="s">
        <v>1865</v>
      </c>
      <c r="R5187" t="s">
        <v>730</v>
      </c>
      <c r="S5187" t="s">
        <v>731</v>
      </c>
    </row>
    <row r="5188" spans="1:19" x14ac:dyDescent="0.25">
      <c r="A5188" t="s">
        <v>30</v>
      </c>
      <c r="B5188" t="s">
        <v>31</v>
      </c>
      <c r="C5188" t="s">
        <v>32</v>
      </c>
      <c r="D5188" t="s">
        <v>719</v>
      </c>
      <c r="E5188" t="s">
        <v>5683</v>
      </c>
      <c r="F5188" t="s">
        <v>35</v>
      </c>
      <c r="G5188" t="s">
        <v>35</v>
      </c>
      <c r="H5188" t="s">
        <v>35</v>
      </c>
      <c r="J5188" t="s">
        <v>5690</v>
      </c>
      <c r="K5188" t="s">
        <v>1092</v>
      </c>
      <c r="M5188">
        <v>5.8049999999999997</v>
      </c>
      <c r="N5188">
        <v>133</v>
      </c>
      <c r="O5188" t="s">
        <v>38</v>
      </c>
      <c r="Q5188" t="s">
        <v>68</v>
      </c>
      <c r="R5188" t="s">
        <v>730</v>
      </c>
      <c r="S5188" t="s">
        <v>731</v>
      </c>
    </row>
    <row r="5189" spans="1:19" x14ac:dyDescent="0.25">
      <c r="A5189" t="s">
        <v>59</v>
      </c>
      <c r="B5189" t="s">
        <v>31</v>
      </c>
      <c r="C5189" t="s">
        <v>32</v>
      </c>
      <c r="D5189" t="s">
        <v>719</v>
      </c>
      <c r="E5189" t="s">
        <v>5683</v>
      </c>
      <c r="F5189" t="s">
        <v>35</v>
      </c>
      <c r="G5189" t="s">
        <v>35</v>
      </c>
      <c r="H5189" t="s">
        <v>35</v>
      </c>
      <c r="J5189" t="s">
        <v>5691</v>
      </c>
      <c r="K5189" t="s">
        <v>1092</v>
      </c>
      <c r="M5189">
        <v>2.5000000000000001E-2</v>
      </c>
      <c r="N5189">
        <v>1237</v>
      </c>
      <c r="O5189" t="s">
        <v>575</v>
      </c>
      <c r="Q5189" t="s">
        <v>5692</v>
      </c>
      <c r="R5189" t="s">
        <v>5693</v>
      </c>
      <c r="S5189" t="s">
        <v>5686</v>
      </c>
    </row>
    <row r="5190" spans="1:19" x14ac:dyDescent="0.25">
      <c r="A5190" t="s">
        <v>59</v>
      </c>
      <c r="B5190" t="s">
        <v>60</v>
      </c>
      <c r="C5190" t="s">
        <v>32</v>
      </c>
      <c r="D5190" t="s">
        <v>719</v>
      </c>
      <c r="E5190" t="s">
        <v>5683</v>
      </c>
      <c r="F5190" t="s">
        <v>35</v>
      </c>
      <c r="G5190" t="s">
        <v>35</v>
      </c>
      <c r="H5190" t="s">
        <v>35</v>
      </c>
      <c r="J5190" t="s">
        <v>5694</v>
      </c>
      <c r="K5190" t="s">
        <v>1092</v>
      </c>
      <c r="M5190">
        <v>2.5000000000000001E-2</v>
      </c>
      <c r="N5190">
        <v>1653</v>
      </c>
      <c r="O5190" t="s">
        <v>575</v>
      </c>
      <c r="Q5190" t="s">
        <v>5695</v>
      </c>
      <c r="R5190" t="s">
        <v>5693</v>
      </c>
      <c r="S5190" t="s">
        <v>5686</v>
      </c>
    </row>
    <row r="5191" spans="1:19" x14ac:dyDescent="0.25">
      <c r="A5191" t="s">
        <v>30</v>
      </c>
      <c r="B5191" t="s">
        <v>31</v>
      </c>
      <c r="C5191" t="s">
        <v>32</v>
      </c>
      <c r="D5191" t="s">
        <v>719</v>
      </c>
      <c r="E5191" t="s">
        <v>5683</v>
      </c>
      <c r="F5191" t="s">
        <v>35</v>
      </c>
      <c r="G5191" t="s">
        <v>35</v>
      </c>
      <c r="H5191" t="s">
        <v>35</v>
      </c>
      <c r="J5191" t="s">
        <v>5696</v>
      </c>
      <c r="K5191" t="s">
        <v>1092</v>
      </c>
      <c r="M5191">
        <v>7.38</v>
      </c>
      <c r="N5191">
        <v>153</v>
      </c>
      <c r="O5191" t="s">
        <v>38</v>
      </c>
      <c r="Q5191" t="s">
        <v>569</v>
      </c>
      <c r="R5191" t="s">
        <v>5432</v>
      </c>
      <c r="S5191" t="s">
        <v>759</v>
      </c>
    </row>
    <row r="5192" spans="1:19" x14ac:dyDescent="0.25">
      <c r="A5192" t="s">
        <v>30</v>
      </c>
      <c r="B5192" t="s">
        <v>31</v>
      </c>
      <c r="C5192" t="s">
        <v>32</v>
      </c>
      <c r="D5192" t="s">
        <v>719</v>
      </c>
      <c r="E5192" t="s">
        <v>5683</v>
      </c>
      <c r="F5192" t="s">
        <v>35</v>
      </c>
      <c r="G5192" t="s">
        <v>35</v>
      </c>
      <c r="H5192" t="s">
        <v>35</v>
      </c>
      <c r="J5192" t="s">
        <v>5697</v>
      </c>
      <c r="K5192" t="s">
        <v>1092</v>
      </c>
      <c r="M5192">
        <v>11.025</v>
      </c>
      <c r="N5192">
        <v>136</v>
      </c>
      <c r="O5192" t="s">
        <v>38</v>
      </c>
      <c r="Q5192" t="s">
        <v>157</v>
      </c>
      <c r="R5192" t="s">
        <v>735</v>
      </c>
      <c r="S5192" t="s">
        <v>736</v>
      </c>
    </row>
    <row r="5193" spans="1:19" x14ac:dyDescent="0.25">
      <c r="A5193" t="s">
        <v>30</v>
      </c>
      <c r="B5193" t="s">
        <v>31</v>
      </c>
      <c r="C5193" t="s">
        <v>32</v>
      </c>
      <c r="D5193" t="s">
        <v>719</v>
      </c>
      <c r="E5193" t="s">
        <v>5683</v>
      </c>
      <c r="F5193" t="s">
        <v>35</v>
      </c>
      <c r="G5193" t="s">
        <v>35</v>
      </c>
      <c r="H5193" t="s">
        <v>35</v>
      </c>
      <c r="J5193" t="s">
        <v>5698</v>
      </c>
      <c r="K5193" t="s">
        <v>1092</v>
      </c>
      <c r="M5193">
        <v>2.7450000000000001</v>
      </c>
      <c r="N5193">
        <v>49</v>
      </c>
      <c r="O5193" t="s">
        <v>52</v>
      </c>
      <c r="Q5193" t="s">
        <v>219</v>
      </c>
      <c r="R5193" t="s">
        <v>730</v>
      </c>
      <c r="S5193" t="s">
        <v>731</v>
      </c>
    </row>
    <row r="5194" spans="1:19" x14ac:dyDescent="0.25">
      <c r="A5194" t="s">
        <v>30</v>
      </c>
      <c r="B5194" t="s">
        <v>31</v>
      </c>
      <c r="C5194" t="s">
        <v>32</v>
      </c>
      <c r="D5194" t="s">
        <v>719</v>
      </c>
      <c r="E5194" t="s">
        <v>5683</v>
      </c>
      <c r="F5194" t="s">
        <v>35</v>
      </c>
      <c r="G5194" t="s">
        <v>35</v>
      </c>
      <c r="H5194" t="s">
        <v>35</v>
      </c>
      <c r="J5194" t="s">
        <v>5698</v>
      </c>
      <c r="K5194" t="s">
        <v>1092</v>
      </c>
      <c r="M5194">
        <v>11.025</v>
      </c>
      <c r="N5194">
        <v>47</v>
      </c>
      <c r="O5194" t="s">
        <v>52</v>
      </c>
      <c r="Q5194" t="s">
        <v>132</v>
      </c>
      <c r="R5194" t="s">
        <v>5432</v>
      </c>
      <c r="S5194" t="s">
        <v>759</v>
      </c>
    </row>
    <row r="5195" spans="1:19" x14ac:dyDescent="0.25">
      <c r="A5195" t="s">
        <v>30</v>
      </c>
      <c r="B5195" t="s">
        <v>31</v>
      </c>
      <c r="C5195" t="s">
        <v>32</v>
      </c>
      <c r="D5195" t="s">
        <v>719</v>
      </c>
      <c r="E5195" t="s">
        <v>5683</v>
      </c>
      <c r="F5195" t="s">
        <v>35</v>
      </c>
      <c r="G5195" t="s">
        <v>35</v>
      </c>
      <c r="H5195" t="s">
        <v>35</v>
      </c>
      <c r="J5195" t="s">
        <v>5699</v>
      </c>
      <c r="K5195" t="s">
        <v>1092</v>
      </c>
      <c r="M5195">
        <v>10.574999999999999</v>
      </c>
      <c r="N5195">
        <v>65</v>
      </c>
      <c r="O5195" t="s">
        <v>61</v>
      </c>
      <c r="Q5195" t="s">
        <v>128</v>
      </c>
      <c r="R5195" t="s">
        <v>5432</v>
      </c>
      <c r="S5195" t="s">
        <v>759</v>
      </c>
    </row>
    <row r="5196" spans="1:19" x14ac:dyDescent="0.25">
      <c r="A5196" t="s">
        <v>30</v>
      </c>
      <c r="B5196" t="s">
        <v>31</v>
      </c>
      <c r="C5196" t="s">
        <v>32</v>
      </c>
      <c r="D5196" t="s">
        <v>719</v>
      </c>
      <c r="E5196" t="s">
        <v>5683</v>
      </c>
      <c r="F5196" t="s">
        <v>35</v>
      </c>
      <c r="G5196" t="s">
        <v>35</v>
      </c>
      <c r="H5196" t="s">
        <v>35</v>
      </c>
      <c r="J5196" t="s">
        <v>5700</v>
      </c>
      <c r="K5196" t="s">
        <v>1092</v>
      </c>
      <c r="M5196">
        <v>0.76500000000000001</v>
      </c>
      <c r="N5196">
        <v>37</v>
      </c>
      <c r="O5196" t="s">
        <v>52</v>
      </c>
      <c r="Q5196" t="s">
        <v>3499</v>
      </c>
      <c r="R5196" t="s">
        <v>5461</v>
      </c>
      <c r="S5196" t="s">
        <v>479</v>
      </c>
    </row>
    <row r="5197" spans="1:19" x14ac:dyDescent="0.25">
      <c r="A5197" t="s">
        <v>30</v>
      </c>
      <c r="B5197" t="s">
        <v>31</v>
      </c>
      <c r="C5197" t="s">
        <v>32</v>
      </c>
      <c r="D5197" t="s">
        <v>719</v>
      </c>
      <c r="E5197" t="s">
        <v>5701</v>
      </c>
      <c r="F5197" t="s">
        <v>35</v>
      </c>
      <c r="G5197" t="s">
        <v>35</v>
      </c>
      <c r="H5197" t="s">
        <v>35</v>
      </c>
      <c r="J5197" t="s">
        <v>5702</v>
      </c>
      <c r="K5197" t="s">
        <v>1092</v>
      </c>
      <c r="M5197">
        <v>4.1399999999999997</v>
      </c>
      <c r="N5197">
        <v>49</v>
      </c>
      <c r="O5197" t="s">
        <v>52</v>
      </c>
      <c r="Q5197" t="s">
        <v>219</v>
      </c>
      <c r="R5197" t="s">
        <v>5454</v>
      </c>
      <c r="S5197" t="s">
        <v>756</v>
      </c>
    </row>
    <row r="5198" spans="1:19" x14ac:dyDescent="0.25">
      <c r="A5198" t="s">
        <v>30</v>
      </c>
      <c r="B5198" t="s">
        <v>31</v>
      </c>
      <c r="C5198" t="s">
        <v>32</v>
      </c>
      <c r="D5198" t="s">
        <v>719</v>
      </c>
      <c r="E5198" t="s">
        <v>5701</v>
      </c>
      <c r="F5198" t="s">
        <v>35</v>
      </c>
      <c r="G5198" t="s">
        <v>35</v>
      </c>
      <c r="H5198" t="s">
        <v>35</v>
      </c>
      <c r="J5198" t="s">
        <v>5703</v>
      </c>
      <c r="K5198" t="s">
        <v>1092</v>
      </c>
      <c r="M5198">
        <v>18.495000000000001</v>
      </c>
      <c r="N5198">
        <v>130</v>
      </c>
      <c r="O5198" t="s">
        <v>38</v>
      </c>
      <c r="Q5198" t="s">
        <v>1656</v>
      </c>
      <c r="R5198" t="s">
        <v>5454</v>
      </c>
      <c r="S5198" t="s">
        <v>756</v>
      </c>
    </row>
    <row r="5199" spans="1:19" x14ac:dyDescent="0.25">
      <c r="A5199" t="s">
        <v>30</v>
      </c>
      <c r="B5199" t="s">
        <v>31</v>
      </c>
      <c r="C5199" t="s">
        <v>32</v>
      </c>
      <c r="D5199" t="s">
        <v>719</v>
      </c>
      <c r="E5199" t="s">
        <v>5701</v>
      </c>
      <c r="F5199" t="s">
        <v>35</v>
      </c>
      <c r="G5199" t="s">
        <v>35</v>
      </c>
      <c r="H5199" t="s">
        <v>35</v>
      </c>
      <c r="J5199" t="s">
        <v>5704</v>
      </c>
      <c r="K5199" t="s">
        <v>1092</v>
      </c>
      <c r="M5199">
        <v>8.4499999999999993</v>
      </c>
      <c r="N5199">
        <v>41</v>
      </c>
      <c r="O5199" t="s">
        <v>52</v>
      </c>
      <c r="Q5199" t="s">
        <v>249</v>
      </c>
      <c r="R5199" t="s">
        <v>501</v>
      </c>
      <c r="S5199" t="s">
        <v>502</v>
      </c>
    </row>
    <row r="5200" spans="1:19" x14ac:dyDescent="0.25">
      <c r="A5200" t="s">
        <v>30</v>
      </c>
      <c r="B5200" t="s">
        <v>31</v>
      </c>
      <c r="C5200" t="s">
        <v>32</v>
      </c>
      <c r="D5200" t="s">
        <v>719</v>
      </c>
      <c r="E5200" t="s">
        <v>5701</v>
      </c>
      <c r="F5200" t="s">
        <v>35</v>
      </c>
      <c r="G5200" t="s">
        <v>35</v>
      </c>
      <c r="H5200" t="s">
        <v>35</v>
      </c>
      <c r="J5200" t="s">
        <v>5705</v>
      </c>
      <c r="K5200" t="s">
        <v>1092</v>
      </c>
      <c r="M5200">
        <v>2.79</v>
      </c>
      <c r="N5200">
        <v>47</v>
      </c>
      <c r="O5200" t="s">
        <v>52</v>
      </c>
      <c r="Q5200" t="s">
        <v>132</v>
      </c>
      <c r="R5200" t="s">
        <v>5439</v>
      </c>
      <c r="S5200" t="s">
        <v>5440</v>
      </c>
    </row>
    <row r="5201" spans="1:19" x14ac:dyDescent="0.25">
      <c r="A5201" t="s">
        <v>30</v>
      </c>
      <c r="B5201" t="s">
        <v>31</v>
      </c>
      <c r="C5201" t="s">
        <v>32</v>
      </c>
      <c r="D5201" t="s">
        <v>719</v>
      </c>
      <c r="E5201" t="s">
        <v>5701</v>
      </c>
      <c r="F5201" t="s">
        <v>35</v>
      </c>
      <c r="G5201" t="s">
        <v>35</v>
      </c>
      <c r="H5201" t="s">
        <v>35</v>
      </c>
      <c r="J5201" t="s">
        <v>5706</v>
      </c>
      <c r="K5201" t="s">
        <v>1092</v>
      </c>
      <c r="M5201">
        <v>4.2750000000000004</v>
      </c>
      <c r="N5201">
        <v>37</v>
      </c>
      <c r="O5201" t="s">
        <v>52</v>
      </c>
      <c r="Q5201" t="s">
        <v>3499</v>
      </c>
      <c r="R5201" t="s">
        <v>5461</v>
      </c>
      <c r="S5201" t="s">
        <v>479</v>
      </c>
    </row>
    <row r="5202" spans="1:19" x14ac:dyDescent="0.25">
      <c r="A5202" t="s">
        <v>30</v>
      </c>
      <c r="B5202" t="s">
        <v>31</v>
      </c>
      <c r="C5202" t="s">
        <v>32</v>
      </c>
      <c r="D5202" t="s">
        <v>719</v>
      </c>
      <c r="E5202" t="s">
        <v>5701</v>
      </c>
      <c r="F5202" t="s">
        <v>35</v>
      </c>
      <c r="G5202" t="s">
        <v>35</v>
      </c>
      <c r="H5202" t="s">
        <v>35</v>
      </c>
      <c r="J5202" t="s">
        <v>5204</v>
      </c>
      <c r="K5202" t="s">
        <v>1092</v>
      </c>
      <c r="M5202">
        <v>0.45</v>
      </c>
      <c r="N5202">
        <v>150</v>
      </c>
      <c r="O5202" t="s">
        <v>38</v>
      </c>
      <c r="Q5202" t="s">
        <v>1612</v>
      </c>
      <c r="R5202" t="s">
        <v>5461</v>
      </c>
      <c r="S5202" t="s">
        <v>479</v>
      </c>
    </row>
    <row r="5203" spans="1:19" x14ac:dyDescent="0.25">
      <c r="A5203" t="s">
        <v>30</v>
      </c>
      <c r="B5203" t="s">
        <v>31</v>
      </c>
      <c r="C5203" t="s">
        <v>32</v>
      </c>
      <c r="D5203" t="s">
        <v>719</v>
      </c>
      <c r="E5203" t="s">
        <v>5701</v>
      </c>
      <c r="F5203" t="s">
        <v>35</v>
      </c>
      <c r="G5203" t="s">
        <v>35</v>
      </c>
      <c r="H5203" t="s">
        <v>35</v>
      </c>
      <c r="J5203" t="s">
        <v>5708</v>
      </c>
      <c r="K5203" t="s">
        <v>1092</v>
      </c>
      <c r="M5203">
        <v>4.4999999999999998E-2</v>
      </c>
      <c r="N5203">
        <v>49</v>
      </c>
      <c r="O5203" t="s">
        <v>52</v>
      </c>
      <c r="Q5203" t="s">
        <v>219</v>
      </c>
      <c r="R5203" t="s">
        <v>730</v>
      </c>
      <c r="S5203" t="s">
        <v>731</v>
      </c>
    </row>
    <row r="5204" spans="1:19" x14ac:dyDescent="0.25">
      <c r="A5204" t="s">
        <v>59</v>
      </c>
      <c r="B5204" t="s">
        <v>31</v>
      </c>
      <c r="C5204" t="s">
        <v>32</v>
      </c>
      <c r="D5204" t="s">
        <v>719</v>
      </c>
      <c r="E5204" t="s">
        <v>5701</v>
      </c>
      <c r="F5204" t="s">
        <v>35</v>
      </c>
      <c r="G5204" t="s">
        <v>35</v>
      </c>
      <c r="H5204" t="s">
        <v>35</v>
      </c>
      <c r="J5204" t="s">
        <v>5709</v>
      </c>
      <c r="K5204" t="s">
        <v>1092</v>
      </c>
      <c r="M5204">
        <v>2.52</v>
      </c>
      <c r="N5204">
        <v>895</v>
      </c>
      <c r="O5204" t="s">
        <v>575</v>
      </c>
      <c r="Q5204" t="s">
        <v>5710</v>
      </c>
      <c r="R5204" t="s">
        <v>589</v>
      </c>
      <c r="S5204" t="s">
        <v>590</v>
      </c>
    </row>
    <row r="5205" spans="1:19" x14ac:dyDescent="0.25">
      <c r="A5205" t="s">
        <v>30</v>
      </c>
      <c r="B5205" t="s">
        <v>31</v>
      </c>
      <c r="C5205" t="s">
        <v>32</v>
      </c>
      <c r="D5205" t="s">
        <v>719</v>
      </c>
      <c r="E5205" t="s">
        <v>5701</v>
      </c>
      <c r="F5205" t="s">
        <v>35</v>
      </c>
      <c r="G5205" t="s">
        <v>35</v>
      </c>
      <c r="H5205" t="s">
        <v>35</v>
      </c>
      <c r="J5205" t="s">
        <v>5711</v>
      </c>
      <c r="K5205" t="s">
        <v>1092</v>
      </c>
      <c r="M5205">
        <v>1.365</v>
      </c>
      <c r="N5205">
        <v>49</v>
      </c>
      <c r="O5205" t="s">
        <v>52</v>
      </c>
      <c r="Q5205" t="s">
        <v>219</v>
      </c>
      <c r="R5205" t="s">
        <v>730</v>
      </c>
      <c r="S5205" t="s">
        <v>731</v>
      </c>
    </row>
    <row r="5206" spans="1:19" x14ac:dyDescent="0.25">
      <c r="A5206" t="s">
        <v>59</v>
      </c>
      <c r="B5206" t="s">
        <v>31</v>
      </c>
      <c r="C5206" t="s">
        <v>32</v>
      </c>
      <c r="D5206" t="s">
        <v>719</v>
      </c>
      <c r="E5206" t="s">
        <v>5701</v>
      </c>
      <c r="F5206" t="s">
        <v>35</v>
      </c>
      <c r="G5206" t="s">
        <v>35</v>
      </c>
      <c r="H5206" t="s">
        <v>35</v>
      </c>
      <c r="J5206" t="s">
        <v>5712</v>
      </c>
      <c r="K5206" t="s">
        <v>1092</v>
      </c>
      <c r="M5206">
        <v>4.95</v>
      </c>
      <c r="N5206">
        <v>2</v>
      </c>
      <c r="O5206" t="s">
        <v>46</v>
      </c>
      <c r="Q5206" t="s">
        <v>8155</v>
      </c>
      <c r="R5206" t="s">
        <v>5461</v>
      </c>
      <c r="S5206" t="s">
        <v>479</v>
      </c>
    </row>
    <row r="5207" spans="1:19" x14ac:dyDescent="0.25">
      <c r="A5207" t="s">
        <v>30</v>
      </c>
      <c r="B5207" t="s">
        <v>31</v>
      </c>
      <c r="C5207" t="s">
        <v>32</v>
      </c>
      <c r="D5207" t="s">
        <v>719</v>
      </c>
      <c r="E5207" t="s">
        <v>5701</v>
      </c>
      <c r="F5207" t="s">
        <v>35</v>
      </c>
      <c r="G5207" t="s">
        <v>35</v>
      </c>
      <c r="H5207" t="s">
        <v>35</v>
      </c>
      <c r="J5207" t="s">
        <v>5712</v>
      </c>
      <c r="K5207" t="s">
        <v>1092</v>
      </c>
      <c r="M5207">
        <v>11.025</v>
      </c>
      <c r="N5207">
        <v>37</v>
      </c>
      <c r="O5207" t="s">
        <v>52</v>
      </c>
      <c r="Q5207" t="s">
        <v>3499</v>
      </c>
      <c r="R5207" t="s">
        <v>5461</v>
      </c>
      <c r="S5207" t="s">
        <v>479</v>
      </c>
    </row>
    <row r="5208" spans="1:19" x14ac:dyDescent="0.25">
      <c r="A5208" t="s">
        <v>30</v>
      </c>
      <c r="B5208" t="s">
        <v>31</v>
      </c>
      <c r="C5208" t="s">
        <v>32</v>
      </c>
      <c r="D5208" t="s">
        <v>719</v>
      </c>
      <c r="E5208" t="s">
        <v>5701</v>
      </c>
      <c r="F5208" t="s">
        <v>35</v>
      </c>
      <c r="G5208" t="s">
        <v>35</v>
      </c>
      <c r="H5208" t="s">
        <v>35</v>
      </c>
      <c r="J5208" t="s">
        <v>5713</v>
      </c>
      <c r="K5208" t="s">
        <v>1092</v>
      </c>
      <c r="M5208">
        <v>11.025</v>
      </c>
      <c r="N5208">
        <v>68</v>
      </c>
      <c r="O5208" t="s">
        <v>61</v>
      </c>
      <c r="Q5208" t="s">
        <v>146</v>
      </c>
      <c r="R5208" t="s">
        <v>5432</v>
      </c>
      <c r="S5208" t="s">
        <v>759</v>
      </c>
    </row>
    <row r="5209" spans="1:19" x14ac:dyDescent="0.25">
      <c r="A5209" t="s">
        <v>30</v>
      </c>
      <c r="B5209" t="s">
        <v>31</v>
      </c>
      <c r="C5209" t="s">
        <v>32</v>
      </c>
      <c r="D5209" t="s">
        <v>719</v>
      </c>
      <c r="E5209" t="s">
        <v>5701</v>
      </c>
      <c r="F5209" t="s">
        <v>35</v>
      </c>
      <c r="G5209" t="s">
        <v>35</v>
      </c>
      <c r="H5209" t="s">
        <v>35</v>
      </c>
      <c r="J5209" t="s">
        <v>5714</v>
      </c>
      <c r="K5209" t="s">
        <v>1092</v>
      </c>
      <c r="M5209">
        <v>4.7699999999999996</v>
      </c>
      <c r="N5209">
        <v>149</v>
      </c>
      <c r="O5209" t="s">
        <v>38</v>
      </c>
      <c r="Q5209" t="s">
        <v>73</v>
      </c>
      <c r="R5209" t="s">
        <v>730</v>
      </c>
      <c r="S5209" t="s">
        <v>731</v>
      </c>
    </row>
    <row r="5210" spans="1:19" x14ac:dyDescent="0.25">
      <c r="A5210" t="s">
        <v>59</v>
      </c>
      <c r="B5210" t="s">
        <v>31</v>
      </c>
      <c r="C5210" t="s">
        <v>32</v>
      </c>
      <c r="D5210" t="s">
        <v>719</v>
      </c>
      <c r="E5210" t="s">
        <v>5701</v>
      </c>
      <c r="F5210" t="s">
        <v>35</v>
      </c>
      <c r="G5210" t="s">
        <v>35</v>
      </c>
      <c r="H5210" t="s">
        <v>35</v>
      </c>
      <c r="J5210" t="s">
        <v>5715</v>
      </c>
      <c r="K5210" t="s">
        <v>1092</v>
      </c>
      <c r="M5210">
        <v>0.18</v>
      </c>
      <c r="N5210">
        <v>283</v>
      </c>
      <c r="O5210" t="s">
        <v>5</v>
      </c>
      <c r="Q5210" t="s">
        <v>1771</v>
      </c>
      <c r="R5210" t="s">
        <v>5454</v>
      </c>
      <c r="S5210" t="s">
        <v>756</v>
      </c>
    </row>
    <row r="5211" spans="1:19" x14ac:dyDescent="0.25">
      <c r="A5211" t="s">
        <v>30</v>
      </c>
      <c r="B5211" t="s">
        <v>31</v>
      </c>
      <c r="C5211" t="s">
        <v>32</v>
      </c>
      <c r="D5211" t="s">
        <v>719</v>
      </c>
      <c r="E5211" t="s">
        <v>5701</v>
      </c>
      <c r="F5211" t="s">
        <v>35</v>
      </c>
      <c r="G5211" t="s">
        <v>35</v>
      </c>
      <c r="H5211" t="s">
        <v>35</v>
      </c>
      <c r="J5211" t="s">
        <v>5716</v>
      </c>
      <c r="K5211" t="s">
        <v>1092</v>
      </c>
      <c r="M5211">
        <v>0.27</v>
      </c>
      <c r="N5211">
        <v>49</v>
      </c>
      <c r="O5211" t="s">
        <v>52</v>
      </c>
      <c r="Q5211" t="s">
        <v>219</v>
      </c>
      <c r="R5211" t="s">
        <v>730</v>
      </c>
      <c r="S5211" t="s">
        <v>731</v>
      </c>
    </row>
    <row r="5212" spans="1:19" x14ac:dyDescent="0.25">
      <c r="A5212" t="s">
        <v>59</v>
      </c>
      <c r="B5212" t="s">
        <v>31</v>
      </c>
      <c r="C5212" t="s">
        <v>32</v>
      </c>
      <c r="D5212" t="s">
        <v>719</v>
      </c>
      <c r="E5212" t="s">
        <v>5701</v>
      </c>
      <c r="F5212" t="s">
        <v>35</v>
      </c>
      <c r="G5212" t="s">
        <v>35</v>
      </c>
      <c r="H5212" t="s">
        <v>35</v>
      </c>
      <c r="J5212" t="s">
        <v>5718</v>
      </c>
      <c r="K5212" t="s">
        <v>1092</v>
      </c>
      <c r="M5212">
        <v>9.9</v>
      </c>
      <c r="N5212">
        <v>124</v>
      </c>
      <c r="O5212" t="s">
        <v>38</v>
      </c>
      <c r="Q5212" t="s">
        <v>406</v>
      </c>
      <c r="R5212" t="s">
        <v>730</v>
      </c>
      <c r="S5212" t="s">
        <v>731</v>
      </c>
    </row>
    <row r="5213" spans="1:19" x14ac:dyDescent="0.25">
      <c r="A5213" t="s">
        <v>30</v>
      </c>
      <c r="B5213" t="s">
        <v>31</v>
      </c>
      <c r="C5213" t="s">
        <v>32</v>
      </c>
      <c r="D5213" t="s">
        <v>719</v>
      </c>
      <c r="E5213" t="s">
        <v>5701</v>
      </c>
      <c r="F5213" t="s">
        <v>35</v>
      </c>
      <c r="G5213" t="s">
        <v>35</v>
      </c>
      <c r="H5213" t="s">
        <v>35</v>
      </c>
      <c r="J5213" t="s">
        <v>5718</v>
      </c>
      <c r="K5213" t="s">
        <v>1092</v>
      </c>
      <c r="M5213">
        <v>0.99</v>
      </c>
      <c r="N5213">
        <v>68</v>
      </c>
      <c r="O5213" t="s">
        <v>61</v>
      </c>
      <c r="Q5213" t="s">
        <v>146</v>
      </c>
      <c r="R5213" t="s">
        <v>5432</v>
      </c>
      <c r="S5213" t="s">
        <v>759</v>
      </c>
    </row>
    <row r="5214" spans="1:19" x14ac:dyDescent="0.25">
      <c r="A5214" t="s">
        <v>30</v>
      </c>
      <c r="B5214" t="s">
        <v>31</v>
      </c>
      <c r="C5214" t="s">
        <v>32</v>
      </c>
      <c r="D5214" t="s">
        <v>719</v>
      </c>
      <c r="E5214" t="s">
        <v>755</v>
      </c>
      <c r="F5214" t="s">
        <v>35</v>
      </c>
      <c r="G5214" t="s">
        <v>35</v>
      </c>
      <c r="H5214" t="s">
        <v>35</v>
      </c>
      <c r="J5214" t="s">
        <v>8252</v>
      </c>
      <c r="K5214" t="s">
        <v>1092</v>
      </c>
      <c r="M5214">
        <v>10.664999999999999</v>
      </c>
      <c r="N5214">
        <v>6</v>
      </c>
      <c r="O5214" t="s">
        <v>46</v>
      </c>
      <c r="Q5214" t="s">
        <v>8168</v>
      </c>
      <c r="R5214" t="s">
        <v>5454</v>
      </c>
      <c r="S5214" t="s">
        <v>756</v>
      </c>
    </row>
    <row r="5215" spans="1:19" x14ac:dyDescent="0.25">
      <c r="A5215" t="s">
        <v>30</v>
      </c>
      <c r="B5215" t="s">
        <v>31</v>
      </c>
      <c r="C5215" t="s">
        <v>32</v>
      </c>
      <c r="D5215" t="s">
        <v>719</v>
      </c>
      <c r="E5215" t="s">
        <v>755</v>
      </c>
      <c r="F5215" t="s">
        <v>35</v>
      </c>
      <c r="G5215" t="s">
        <v>35</v>
      </c>
      <c r="H5215" t="s">
        <v>35</v>
      </c>
      <c r="J5215" t="s">
        <v>5719</v>
      </c>
      <c r="K5215" t="s">
        <v>1092</v>
      </c>
      <c r="M5215">
        <v>4.0000000000000001E-3</v>
      </c>
      <c r="N5215">
        <v>1811</v>
      </c>
      <c r="O5215" t="s">
        <v>575</v>
      </c>
      <c r="Q5215" t="s">
        <v>5720</v>
      </c>
      <c r="R5215" t="s">
        <v>5432</v>
      </c>
      <c r="S5215" t="s">
        <v>759</v>
      </c>
    </row>
    <row r="5216" spans="1:19" x14ac:dyDescent="0.25">
      <c r="A5216" t="s">
        <v>59</v>
      </c>
      <c r="B5216" t="s">
        <v>31</v>
      </c>
      <c r="C5216" t="s">
        <v>32</v>
      </c>
      <c r="D5216" t="s">
        <v>719</v>
      </c>
      <c r="E5216" t="s">
        <v>755</v>
      </c>
      <c r="F5216" t="s">
        <v>35</v>
      </c>
      <c r="G5216" t="s">
        <v>35</v>
      </c>
      <c r="H5216" t="s">
        <v>35</v>
      </c>
      <c r="J5216" t="s">
        <v>5721</v>
      </c>
      <c r="K5216" t="s">
        <v>1092</v>
      </c>
      <c r="M5216">
        <v>3.2850000000000001</v>
      </c>
      <c r="N5216">
        <v>131</v>
      </c>
      <c r="O5216" t="s">
        <v>38</v>
      </c>
      <c r="Q5216" t="s">
        <v>646</v>
      </c>
      <c r="R5216" t="s">
        <v>5432</v>
      </c>
      <c r="S5216" t="s">
        <v>759</v>
      </c>
    </row>
    <row r="5217" spans="1:19" x14ac:dyDescent="0.25">
      <c r="A5217" t="s">
        <v>30</v>
      </c>
      <c r="B5217" t="s">
        <v>31</v>
      </c>
      <c r="C5217" t="s">
        <v>32</v>
      </c>
      <c r="D5217" t="s">
        <v>719</v>
      </c>
      <c r="E5217" t="s">
        <v>755</v>
      </c>
      <c r="F5217" t="s">
        <v>35</v>
      </c>
      <c r="G5217" t="s">
        <v>35</v>
      </c>
      <c r="H5217" t="s">
        <v>35</v>
      </c>
      <c r="J5217" t="s">
        <v>5722</v>
      </c>
      <c r="K5217" t="s">
        <v>1092</v>
      </c>
      <c r="M5217">
        <v>11.025</v>
      </c>
      <c r="N5217">
        <v>24</v>
      </c>
      <c r="O5217" t="s">
        <v>46</v>
      </c>
      <c r="Q5217" t="s">
        <v>255</v>
      </c>
      <c r="R5217" t="s">
        <v>730</v>
      </c>
      <c r="S5217" t="s">
        <v>731</v>
      </c>
    </row>
    <row r="5218" spans="1:19" x14ac:dyDescent="0.25">
      <c r="A5218" t="s">
        <v>30</v>
      </c>
      <c r="B5218" t="s">
        <v>31</v>
      </c>
      <c r="C5218" t="s">
        <v>32</v>
      </c>
      <c r="D5218" t="s">
        <v>719</v>
      </c>
      <c r="E5218" t="s">
        <v>755</v>
      </c>
      <c r="F5218" t="s">
        <v>35</v>
      </c>
      <c r="G5218" t="s">
        <v>35</v>
      </c>
      <c r="H5218" t="s">
        <v>35</v>
      </c>
      <c r="J5218" t="s">
        <v>5722</v>
      </c>
      <c r="K5218" t="s">
        <v>1092</v>
      </c>
      <c r="M5218">
        <v>32.715000000000003</v>
      </c>
      <c r="N5218">
        <v>69</v>
      </c>
      <c r="O5218" t="s">
        <v>61</v>
      </c>
      <c r="Q5218" t="s">
        <v>139</v>
      </c>
      <c r="R5218" t="s">
        <v>730</v>
      </c>
      <c r="S5218" t="s">
        <v>731</v>
      </c>
    </row>
    <row r="5219" spans="1:19" x14ac:dyDescent="0.25">
      <c r="A5219" t="s">
        <v>30</v>
      </c>
      <c r="B5219" t="s">
        <v>31</v>
      </c>
      <c r="C5219" t="s">
        <v>32</v>
      </c>
      <c r="D5219" t="s">
        <v>719</v>
      </c>
      <c r="E5219" t="s">
        <v>755</v>
      </c>
      <c r="F5219" t="s">
        <v>35</v>
      </c>
      <c r="G5219" t="s">
        <v>35</v>
      </c>
      <c r="H5219" t="s">
        <v>35</v>
      </c>
      <c r="J5219" t="s">
        <v>590</v>
      </c>
      <c r="K5219" t="s">
        <v>1092</v>
      </c>
      <c r="M5219">
        <v>9.2249999999999996</v>
      </c>
      <c r="N5219">
        <v>68</v>
      </c>
      <c r="O5219" t="s">
        <v>61</v>
      </c>
      <c r="Q5219" t="s">
        <v>146</v>
      </c>
      <c r="R5219" t="s">
        <v>5432</v>
      </c>
      <c r="S5219" t="s">
        <v>759</v>
      </c>
    </row>
    <row r="5220" spans="1:19" x14ac:dyDescent="0.25">
      <c r="A5220" t="s">
        <v>30</v>
      </c>
      <c r="B5220" t="s">
        <v>31</v>
      </c>
      <c r="C5220" t="s">
        <v>32</v>
      </c>
      <c r="D5220" t="s">
        <v>719</v>
      </c>
      <c r="E5220" t="s">
        <v>755</v>
      </c>
      <c r="F5220" t="s">
        <v>35</v>
      </c>
      <c r="G5220" t="s">
        <v>35</v>
      </c>
      <c r="H5220" t="s">
        <v>35</v>
      </c>
      <c r="J5220" t="s">
        <v>5723</v>
      </c>
      <c r="K5220" t="s">
        <v>1092</v>
      </c>
      <c r="M5220">
        <v>0.01</v>
      </c>
      <c r="N5220">
        <v>510</v>
      </c>
      <c r="O5220" t="s">
        <v>294</v>
      </c>
      <c r="Q5220" t="s">
        <v>4279</v>
      </c>
      <c r="R5220" t="s">
        <v>5454</v>
      </c>
      <c r="S5220" t="s">
        <v>756</v>
      </c>
    </row>
    <row r="5221" spans="1:19" x14ac:dyDescent="0.25">
      <c r="A5221" t="s">
        <v>30</v>
      </c>
      <c r="B5221" t="s">
        <v>31</v>
      </c>
      <c r="C5221" t="s">
        <v>32</v>
      </c>
      <c r="D5221" t="s">
        <v>719</v>
      </c>
      <c r="E5221" t="s">
        <v>763</v>
      </c>
      <c r="F5221" t="s">
        <v>35</v>
      </c>
      <c r="G5221" t="s">
        <v>35</v>
      </c>
      <c r="H5221" t="s">
        <v>35</v>
      </c>
      <c r="J5221" t="s">
        <v>8253</v>
      </c>
      <c r="K5221" t="s">
        <v>1092</v>
      </c>
      <c r="M5221">
        <v>5.9850000000000003</v>
      </c>
      <c r="N5221">
        <v>6</v>
      </c>
      <c r="O5221" t="s">
        <v>46</v>
      </c>
      <c r="Q5221" t="s">
        <v>8168</v>
      </c>
      <c r="R5221" t="s">
        <v>5439</v>
      </c>
      <c r="S5221" t="s">
        <v>5440</v>
      </c>
    </row>
    <row r="5222" spans="1:19" x14ac:dyDescent="0.25">
      <c r="A5222" t="s">
        <v>30</v>
      </c>
      <c r="B5222" t="s">
        <v>31</v>
      </c>
      <c r="C5222" t="s">
        <v>32</v>
      </c>
      <c r="D5222" t="s">
        <v>719</v>
      </c>
      <c r="E5222" t="s">
        <v>763</v>
      </c>
      <c r="F5222" t="s">
        <v>35</v>
      </c>
      <c r="G5222" t="s">
        <v>35</v>
      </c>
      <c r="H5222" t="s">
        <v>35</v>
      </c>
      <c r="J5222" t="s">
        <v>5724</v>
      </c>
      <c r="K5222" t="s">
        <v>1092</v>
      </c>
      <c r="M5222">
        <v>2.7450000000000001</v>
      </c>
      <c r="N5222">
        <v>96</v>
      </c>
      <c r="O5222" t="s">
        <v>106</v>
      </c>
      <c r="Q5222" t="s">
        <v>4243</v>
      </c>
      <c r="R5222" t="s">
        <v>735</v>
      </c>
      <c r="S5222" t="s">
        <v>736</v>
      </c>
    </row>
    <row r="5223" spans="1:19" x14ac:dyDescent="0.25">
      <c r="A5223" t="s">
        <v>30</v>
      </c>
      <c r="B5223" t="s">
        <v>31</v>
      </c>
      <c r="C5223" t="s">
        <v>32</v>
      </c>
      <c r="D5223" t="s">
        <v>719</v>
      </c>
      <c r="E5223" t="s">
        <v>763</v>
      </c>
      <c r="F5223" t="s">
        <v>35</v>
      </c>
      <c r="G5223" t="s">
        <v>35</v>
      </c>
      <c r="H5223" t="s">
        <v>35</v>
      </c>
      <c r="J5223" t="s">
        <v>5725</v>
      </c>
      <c r="K5223" t="s">
        <v>1092</v>
      </c>
      <c r="M5223">
        <v>2.2949999999999999</v>
      </c>
      <c r="N5223">
        <v>483</v>
      </c>
      <c r="O5223" t="s">
        <v>294</v>
      </c>
      <c r="Q5223" t="s">
        <v>3195</v>
      </c>
      <c r="R5223" t="s">
        <v>725</v>
      </c>
      <c r="S5223" t="s">
        <v>726</v>
      </c>
    </row>
    <row r="5224" spans="1:19" x14ac:dyDescent="0.25">
      <c r="A5224" t="s">
        <v>30</v>
      </c>
      <c r="B5224" t="s">
        <v>31</v>
      </c>
      <c r="C5224" t="s">
        <v>32</v>
      </c>
      <c r="D5224" t="s">
        <v>719</v>
      </c>
      <c r="E5224" t="s">
        <v>763</v>
      </c>
      <c r="F5224" t="s">
        <v>35</v>
      </c>
      <c r="G5224" t="s">
        <v>35</v>
      </c>
      <c r="H5224" t="s">
        <v>35</v>
      </c>
      <c r="J5224" t="s">
        <v>5726</v>
      </c>
      <c r="K5224" t="s">
        <v>1092</v>
      </c>
      <c r="M5224">
        <v>9.4049999999999994</v>
      </c>
      <c r="N5224">
        <v>49</v>
      </c>
      <c r="O5224" t="s">
        <v>52</v>
      </c>
      <c r="Q5224" t="s">
        <v>219</v>
      </c>
      <c r="R5224" t="s">
        <v>5454</v>
      </c>
      <c r="S5224" t="s">
        <v>756</v>
      </c>
    </row>
    <row r="5225" spans="1:19" x14ac:dyDescent="0.25">
      <c r="A5225" t="s">
        <v>30</v>
      </c>
      <c r="B5225" t="s">
        <v>31</v>
      </c>
      <c r="C5225" t="s">
        <v>32</v>
      </c>
      <c r="D5225" t="s">
        <v>719</v>
      </c>
      <c r="E5225" t="s">
        <v>763</v>
      </c>
      <c r="F5225" t="s">
        <v>35</v>
      </c>
      <c r="G5225" t="s">
        <v>35</v>
      </c>
      <c r="H5225" t="s">
        <v>35</v>
      </c>
      <c r="J5225" t="s">
        <v>5727</v>
      </c>
      <c r="K5225" t="s">
        <v>1092</v>
      </c>
      <c r="M5225">
        <v>10.125</v>
      </c>
      <c r="N5225">
        <v>80</v>
      </c>
      <c r="O5225" t="s">
        <v>61</v>
      </c>
      <c r="Q5225" t="s">
        <v>477</v>
      </c>
      <c r="R5225" t="s">
        <v>735</v>
      </c>
      <c r="S5225" t="s">
        <v>736</v>
      </c>
    </row>
    <row r="5226" spans="1:19" x14ac:dyDescent="0.25">
      <c r="A5226" t="s">
        <v>59</v>
      </c>
      <c r="B5226" t="s">
        <v>31</v>
      </c>
      <c r="C5226" t="s">
        <v>32</v>
      </c>
      <c r="D5226" t="s">
        <v>719</v>
      </c>
      <c r="E5226" t="s">
        <v>763</v>
      </c>
      <c r="F5226" t="s">
        <v>35</v>
      </c>
      <c r="G5226" t="s">
        <v>35</v>
      </c>
      <c r="H5226" t="s">
        <v>35</v>
      </c>
      <c r="J5226" t="s">
        <v>5727</v>
      </c>
      <c r="K5226" t="s">
        <v>1092</v>
      </c>
      <c r="M5226">
        <v>11.025</v>
      </c>
      <c r="N5226">
        <v>7</v>
      </c>
      <c r="O5226" t="s">
        <v>46</v>
      </c>
      <c r="Q5226" t="s">
        <v>8164</v>
      </c>
      <c r="R5226" t="s">
        <v>5432</v>
      </c>
      <c r="S5226" t="s">
        <v>759</v>
      </c>
    </row>
    <row r="5227" spans="1:19" x14ac:dyDescent="0.25">
      <c r="A5227" t="s">
        <v>30</v>
      </c>
      <c r="B5227" t="s">
        <v>31</v>
      </c>
      <c r="C5227" t="s">
        <v>32</v>
      </c>
      <c r="D5227" t="s">
        <v>719</v>
      </c>
      <c r="E5227" t="s">
        <v>763</v>
      </c>
      <c r="F5227" t="s">
        <v>35</v>
      </c>
      <c r="G5227" t="s">
        <v>35</v>
      </c>
      <c r="H5227" t="s">
        <v>35</v>
      </c>
      <c r="J5227" t="s">
        <v>5727</v>
      </c>
      <c r="K5227" t="s">
        <v>1092</v>
      </c>
      <c r="M5227">
        <v>3.6</v>
      </c>
      <c r="N5227">
        <v>98</v>
      </c>
      <c r="O5227" t="s">
        <v>106</v>
      </c>
      <c r="Q5227" t="s">
        <v>108</v>
      </c>
      <c r="R5227" t="s">
        <v>5454</v>
      </c>
      <c r="S5227" t="s">
        <v>756</v>
      </c>
    </row>
    <row r="5228" spans="1:19" x14ac:dyDescent="0.25">
      <c r="A5228" t="s">
        <v>59</v>
      </c>
      <c r="B5228" t="s">
        <v>31</v>
      </c>
      <c r="C5228" t="s">
        <v>32</v>
      </c>
      <c r="D5228" t="s">
        <v>719</v>
      </c>
      <c r="E5228" t="s">
        <v>763</v>
      </c>
      <c r="F5228" t="s">
        <v>35</v>
      </c>
      <c r="G5228" t="s">
        <v>35</v>
      </c>
      <c r="H5228" t="s">
        <v>35</v>
      </c>
      <c r="J5228" t="s">
        <v>5728</v>
      </c>
      <c r="K5228" t="s">
        <v>1092</v>
      </c>
      <c r="M5228">
        <v>8.82</v>
      </c>
      <c r="N5228">
        <v>143</v>
      </c>
      <c r="O5228" t="s">
        <v>38</v>
      </c>
      <c r="Q5228" t="s">
        <v>2121</v>
      </c>
      <c r="R5228" t="s">
        <v>5454</v>
      </c>
      <c r="S5228" t="s">
        <v>756</v>
      </c>
    </row>
    <row r="5229" spans="1:19" x14ac:dyDescent="0.25">
      <c r="A5229" t="s">
        <v>30</v>
      </c>
      <c r="B5229" t="s">
        <v>31</v>
      </c>
      <c r="C5229" t="s">
        <v>32</v>
      </c>
      <c r="D5229" t="s">
        <v>719</v>
      </c>
      <c r="E5229" t="s">
        <v>763</v>
      </c>
      <c r="F5229" t="s">
        <v>35</v>
      </c>
      <c r="G5229" t="s">
        <v>35</v>
      </c>
      <c r="H5229" t="s">
        <v>35</v>
      </c>
      <c r="J5229" t="s">
        <v>5728</v>
      </c>
      <c r="K5229" t="s">
        <v>1092</v>
      </c>
      <c r="M5229">
        <v>7.65</v>
      </c>
      <c r="N5229">
        <v>72</v>
      </c>
      <c r="O5229" t="s">
        <v>61</v>
      </c>
      <c r="Q5229" t="s">
        <v>63</v>
      </c>
      <c r="R5229" t="s">
        <v>5454</v>
      </c>
      <c r="S5229" t="s">
        <v>756</v>
      </c>
    </row>
    <row r="5230" spans="1:19" x14ac:dyDescent="0.25">
      <c r="A5230" t="s">
        <v>30</v>
      </c>
      <c r="B5230" t="s">
        <v>31</v>
      </c>
      <c r="C5230" t="s">
        <v>32</v>
      </c>
      <c r="D5230" t="s">
        <v>719</v>
      </c>
      <c r="E5230" t="s">
        <v>763</v>
      </c>
      <c r="F5230" t="s">
        <v>35</v>
      </c>
      <c r="G5230" t="s">
        <v>35</v>
      </c>
      <c r="H5230" t="s">
        <v>35</v>
      </c>
      <c r="J5230" t="s">
        <v>5729</v>
      </c>
      <c r="K5230" t="s">
        <v>1092</v>
      </c>
      <c r="M5230">
        <v>8.82</v>
      </c>
      <c r="N5230">
        <v>61</v>
      </c>
      <c r="O5230" t="s">
        <v>61</v>
      </c>
      <c r="Q5230" t="s">
        <v>671</v>
      </c>
      <c r="R5230" t="s">
        <v>735</v>
      </c>
      <c r="S5230" t="s">
        <v>736</v>
      </c>
    </row>
    <row r="5231" spans="1:19" x14ac:dyDescent="0.25">
      <c r="A5231" t="s">
        <v>30</v>
      </c>
      <c r="B5231" t="s">
        <v>31</v>
      </c>
      <c r="C5231" t="s">
        <v>32</v>
      </c>
      <c r="D5231" t="s">
        <v>719</v>
      </c>
      <c r="E5231" t="s">
        <v>763</v>
      </c>
      <c r="F5231" t="s">
        <v>35</v>
      </c>
      <c r="G5231" t="s">
        <v>35</v>
      </c>
      <c r="H5231" t="s">
        <v>35</v>
      </c>
      <c r="J5231" t="s">
        <v>5730</v>
      </c>
      <c r="K5231" t="s">
        <v>1092</v>
      </c>
      <c r="M5231">
        <v>0.315</v>
      </c>
      <c r="N5231">
        <v>1168</v>
      </c>
      <c r="O5231" t="s">
        <v>575</v>
      </c>
      <c r="Q5231" t="s">
        <v>5731</v>
      </c>
      <c r="R5231" t="s">
        <v>5732</v>
      </c>
      <c r="S5231" t="s">
        <v>5733</v>
      </c>
    </row>
    <row r="5232" spans="1:19" x14ac:dyDescent="0.25">
      <c r="A5232" t="s">
        <v>59</v>
      </c>
      <c r="B5232" t="s">
        <v>31</v>
      </c>
      <c r="C5232" t="s">
        <v>32</v>
      </c>
      <c r="D5232" t="s">
        <v>719</v>
      </c>
      <c r="E5232" t="s">
        <v>763</v>
      </c>
      <c r="F5232" t="s">
        <v>35</v>
      </c>
      <c r="G5232" t="s">
        <v>35</v>
      </c>
      <c r="H5232" t="s">
        <v>35</v>
      </c>
      <c r="J5232" t="s">
        <v>5730</v>
      </c>
      <c r="K5232" t="s">
        <v>1092</v>
      </c>
      <c r="M5232">
        <v>0.22500000000000001</v>
      </c>
      <c r="N5232">
        <v>1083</v>
      </c>
      <c r="O5232" t="s">
        <v>575</v>
      </c>
      <c r="Q5232" t="s">
        <v>1214</v>
      </c>
      <c r="R5232" t="s">
        <v>735</v>
      </c>
      <c r="S5232" t="s">
        <v>736</v>
      </c>
    </row>
    <row r="5233" spans="1:19" x14ac:dyDescent="0.25">
      <c r="A5233" t="s">
        <v>59</v>
      </c>
      <c r="B5233" t="s">
        <v>31</v>
      </c>
      <c r="C5233" t="s">
        <v>32</v>
      </c>
      <c r="D5233" t="s">
        <v>719</v>
      </c>
      <c r="E5233" t="s">
        <v>763</v>
      </c>
      <c r="F5233" t="s">
        <v>35</v>
      </c>
      <c r="G5233" t="s">
        <v>35</v>
      </c>
      <c r="H5233" t="s">
        <v>35</v>
      </c>
      <c r="J5233" t="s">
        <v>5735</v>
      </c>
      <c r="K5233" t="s">
        <v>1092</v>
      </c>
      <c r="M5233">
        <v>2.0249999999999999</v>
      </c>
      <c r="N5233">
        <v>763</v>
      </c>
      <c r="O5233" t="s">
        <v>575</v>
      </c>
      <c r="Q5233" t="s">
        <v>5736</v>
      </c>
      <c r="R5233" t="s">
        <v>5454</v>
      </c>
      <c r="S5233" t="s">
        <v>756</v>
      </c>
    </row>
    <row r="5234" spans="1:19" x14ac:dyDescent="0.25">
      <c r="A5234" t="s">
        <v>30</v>
      </c>
      <c r="B5234" t="s">
        <v>31</v>
      </c>
      <c r="C5234" t="s">
        <v>32</v>
      </c>
      <c r="D5234" t="s">
        <v>719</v>
      </c>
      <c r="E5234" t="s">
        <v>763</v>
      </c>
      <c r="F5234" t="s">
        <v>35</v>
      </c>
      <c r="G5234" t="s">
        <v>35</v>
      </c>
      <c r="H5234" t="s">
        <v>35</v>
      </c>
      <c r="J5234" t="s">
        <v>5737</v>
      </c>
      <c r="K5234" t="s">
        <v>1092</v>
      </c>
      <c r="M5234">
        <v>1.65</v>
      </c>
      <c r="N5234">
        <v>1850</v>
      </c>
      <c r="O5234" t="s">
        <v>575</v>
      </c>
      <c r="Q5234" t="s">
        <v>5738</v>
      </c>
      <c r="R5234" t="s">
        <v>5739</v>
      </c>
      <c r="S5234" t="s">
        <v>5740</v>
      </c>
    </row>
    <row r="5235" spans="1:19" x14ac:dyDescent="0.25">
      <c r="A5235" t="s">
        <v>30</v>
      </c>
      <c r="B5235" t="s">
        <v>31</v>
      </c>
      <c r="C5235" t="s">
        <v>32</v>
      </c>
      <c r="D5235" t="s">
        <v>719</v>
      </c>
      <c r="E5235" t="s">
        <v>763</v>
      </c>
      <c r="F5235" t="s">
        <v>35</v>
      </c>
      <c r="G5235" t="s">
        <v>35</v>
      </c>
      <c r="H5235" t="s">
        <v>35</v>
      </c>
      <c r="J5235" t="s">
        <v>5742</v>
      </c>
      <c r="K5235" t="s">
        <v>1092</v>
      </c>
      <c r="M5235">
        <v>4.5</v>
      </c>
      <c r="N5235">
        <v>49</v>
      </c>
      <c r="O5235" t="s">
        <v>52</v>
      </c>
      <c r="Q5235" t="s">
        <v>219</v>
      </c>
      <c r="R5235" t="s">
        <v>730</v>
      </c>
      <c r="S5235" t="s">
        <v>731</v>
      </c>
    </row>
    <row r="5236" spans="1:19" x14ac:dyDescent="0.25">
      <c r="A5236" t="s">
        <v>30</v>
      </c>
      <c r="B5236" t="s">
        <v>31</v>
      </c>
      <c r="C5236" t="s">
        <v>32</v>
      </c>
      <c r="D5236" t="s">
        <v>719</v>
      </c>
      <c r="E5236" t="s">
        <v>763</v>
      </c>
      <c r="F5236" t="s">
        <v>35</v>
      </c>
      <c r="G5236" t="s">
        <v>35</v>
      </c>
      <c r="H5236" t="s">
        <v>35</v>
      </c>
      <c r="J5236" t="s">
        <v>5742</v>
      </c>
      <c r="K5236" t="s">
        <v>1092</v>
      </c>
      <c r="M5236">
        <v>5.4</v>
      </c>
      <c r="N5236">
        <v>65</v>
      </c>
      <c r="O5236" t="s">
        <v>61</v>
      </c>
      <c r="Q5236" t="s">
        <v>128</v>
      </c>
      <c r="R5236" t="s">
        <v>5432</v>
      </c>
      <c r="S5236" t="s">
        <v>759</v>
      </c>
    </row>
    <row r="5237" spans="1:19" x14ac:dyDescent="0.25">
      <c r="A5237" t="s">
        <v>59</v>
      </c>
      <c r="B5237" t="s">
        <v>31</v>
      </c>
      <c r="C5237" t="s">
        <v>32</v>
      </c>
      <c r="D5237" t="s">
        <v>719</v>
      </c>
      <c r="E5237" t="s">
        <v>5743</v>
      </c>
      <c r="F5237" t="s">
        <v>35</v>
      </c>
      <c r="G5237" t="s">
        <v>35</v>
      </c>
      <c r="H5237" t="s">
        <v>35</v>
      </c>
      <c r="J5237" t="s">
        <v>5744</v>
      </c>
      <c r="K5237" t="s">
        <v>285</v>
      </c>
      <c r="M5237">
        <v>0.18</v>
      </c>
      <c r="N5237">
        <v>129</v>
      </c>
      <c r="O5237" t="s">
        <v>38</v>
      </c>
      <c r="Q5237" t="s">
        <v>1449</v>
      </c>
      <c r="R5237" t="s">
        <v>5454</v>
      </c>
      <c r="S5237" t="s">
        <v>756</v>
      </c>
    </row>
    <row r="5238" spans="1:19" x14ac:dyDescent="0.25">
      <c r="A5238" t="s">
        <v>30</v>
      </c>
      <c r="B5238" t="s">
        <v>31</v>
      </c>
      <c r="C5238" t="s">
        <v>32</v>
      </c>
      <c r="D5238" t="s">
        <v>719</v>
      </c>
      <c r="E5238" t="s">
        <v>5743</v>
      </c>
      <c r="F5238" t="s">
        <v>35</v>
      </c>
      <c r="G5238" t="s">
        <v>35</v>
      </c>
      <c r="H5238" t="s">
        <v>35</v>
      </c>
      <c r="J5238" t="s">
        <v>5745</v>
      </c>
      <c r="K5238" t="s">
        <v>1092</v>
      </c>
      <c r="M5238">
        <v>6.3</v>
      </c>
      <c r="N5238">
        <v>72</v>
      </c>
      <c r="O5238" t="s">
        <v>61</v>
      </c>
      <c r="Q5238" t="s">
        <v>63</v>
      </c>
      <c r="R5238" t="s">
        <v>5454</v>
      </c>
      <c r="S5238" t="s">
        <v>756</v>
      </c>
    </row>
    <row r="5239" spans="1:19" x14ac:dyDescent="0.25">
      <c r="A5239" t="s">
        <v>30</v>
      </c>
      <c r="B5239" t="s">
        <v>31</v>
      </c>
      <c r="C5239" t="s">
        <v>32</v>
      </c>
      <c r="D5239" t="s">
        <v>719</v>
      </c>
      <c r="E5239" t="s">
        <v>5743</v>
      </c>
      <c r="F5239" t="s">
        <v>35</v>
      </c>
      <c r="G5239" t="s">
        <v>35</v>
      </c>
      <c r="H5239" t="s">
        <v>35</v>
      </c>
      <c r="J5239" t="s">
        <v>5746</v>
      </c>
      <c r="K5239" t="s">
        <v>1092</v>
      </c>
      <c r="M5239">
        <v>0.13500000000000001</v>
      </c>
      <c r="N5239">
        <v>2300</v>
      </c>
      <c r="O5239" t="s">
        <v>575</v>
      </c>
      <c r="Q5239" t="s">
        <v>3061</v>
      </c>
      <c r="R5239" t="s">
        <v>5432</v>
      </c>
      <c r="S5239" t="s">
        <v>759</v>
      </c>
    </row>
    <row r="5240" spans="1:19" x14ac:dyDescent="0.25">
      <c r="A5240" t="s">
        <v>30</v>
      </c>
      <c r="B5240" t="s">
        <v>31</v>
      </c>
      <c r="C5240" t="s">
        <v>32</v>
      </c>
      <c r="D5240" t="s">
        <v>719</v>
      </c>
      <c r="E5240" t="s">
        <v>5743</v>
      </c>
      <c r="F5240" t="s">
        <v>35</v>
      </c>
      <c r="G5240" t="s">
        <v>35</v>
      </c>
      <c r="H5240" t="s">
        <v>35</v>
      </c>
      <c r="J5240" t="s">
        <v>5747</v>
      </c>
      <c r="K5240" t="s">
        <v>1092</v>
      </c>
      <c r="M5240">
        <v>3.42</v>
      </c>
      <c r="N5240">
        <v>93</v>
      </c>
      <c r="O5240" t="s">
        <v>106</v>
      </c>
      <c r="Q5240" t="s">
        <v>941</v>
      </c>
      <c r="R5240" t="s">
        <v>735</v>
      </c>
      <c r="S5240" t="s">
        <v>736</v>
      </c>
    </row>
    <row r="5241" spans="1:19" x14ac:dyDescent="0.25">
      <c r="A5241" t="s">
        <v>30</v>
      </c>
      <c r="B5241" t="s">
        <v>31</v>
      </c>
      <c r="C5241" t="s">
        <v>32</v>
      </c>
      <c r="D5241" t="s">
        <v>719</v>
      </c>
      <c r="E5241" t="s">
        <v>5743</v>
      </c>
      <c r="F5241" t="s">
        <v>35</v>
      </c>
      <c r="G5241" t="s">
        <v>35</v>
      </c>
      <c r="H5241" t="s">
        <v>35</v>
      </c>
      <c r="J5241" t="s">
        <v>5748</v>
      </c>
      <c r="K5241" t="s">
        <v>1092</v>
      </c>
      <c r="M5241">
        <v>7.0650000000000004</v>
      </c>
      <c r="N5241">
        <v>39</v>
      </c>
      <c r="O5241" t="s">
        <v>52</v>
      </c>
      <c r="Q5241" t="s">
        <v>816</v>
      </c>
      <c r="R5241" t="s">
        <v>735</v>
      </c>
      <c r="S5241" t="s">
        <v>736</v>
      </c>
    </row>
    <row r="5242" spans="1:19" x14ac:dyDescent="0.25">
      <c r="A5242" t="s">
        <v>30</v>
      </c>
      <c r="B5242" t="s">
        <v>31</v>
      </c>
      <c r="C5242" t="s">
        <v>32</v>
      </c>
      <c r="D5242" t="s">
        <v>719</v>
      </c>
      <c r="E5242" t="s">
        <v>5743</v>
      </c>
      <c r="F5242" t="s">
        <v>35</v>
      </c>
      <c r="G5242" t="s">
        <v>35</v>
      </c>
      <c r="H5242" t="s">
        <v>35</v>
      </c>
      <c r="J5242" t="s">
        <v>5749</v>
      </c>
      <c r="K5242" t="s">
        <v>1092</v>
      </c>
      <c r="M5242">
        <v>4.4550000000000001</v>
      </c>
      <c r="N5242">
        <v>97</v>
      </c>
      <c r="O5242" t="s">
        <v>106</v>
      </c>
      <c r="Q5242" t="s">
        <v>557</v>
      </c>
      <c r="R5242" t="s">
        <v>730</v>
      </c>
      <c r="S5242" t="s">
        <v>731</v>
      </c>
    </row>
    <row r="5243" spans="1:19" x14ac:dyDescent="0.25">
      <c r="A5243" t="s">
        <v>30</v>
      </c>
      <c r="B5243" t="s">
        <v>31</v>
      </c>
      <c r="C5243" t="s">
        <v>32</v>
      </c>
      <c r="D5243" t="s">
        <v>719</v>
      </c>
      <c r="E5243" t="s">
        <v>5743</v>
      </c>
      <c r="F5243" t="s">
        <v>35</v>
      </c>
      <c r="G5243" t="s">
        <v>35</v>
      </c>
      <c r="H5243" t="s">
        <v>35</v>
      </c>
      <c r="J5243" t="s">
        <v>5750</v>
      </c>
      <c r="K5243" t="s">
        <v>1092</v>
      </c>
      <c r="M5243">
        <v>22.05</v>
      </c>
      <c r="N5243">
        <v>69</v>
      </c>
      <c r="O5243" t="s">
        <v>61</v>
      </c>
      <c r="Q5243" t="s">
        <v>139</v>
      </c>
      <c r="R5243" t="s">
        <v>730</v>
      </c>
      <c r="S5243" t="s">
        <v>731</v>
      </c>
    </row>
    <row r="5244" spans="1:19" x14ac:dyDescent="0.25">
      <c r="A5244" t="s">
        <v>30</v>
      </c>
      <c r="B5244" t="s">
        <v>31</v>
      </c>
      <c r="C5244" t="s">
        <v>32</v>
      </c>
      <c r="D5244" t="s">
        <v>719</v>
      </c>
      <c r="E5244" t="s">
        <v>5743</v>
      </c>
      <c r="F5244" t="s">
        <v>35</v>
      </c>
      <c r="G5244" t="s">
        <v>35</v>
      </c>
      <c r="H5244" t="s">
        <v>35</v>
      </c>
      <c r="J5244" t="s">
        <v>5750</v>
      </c>
      <c r="K5244" t="s">
        <v>1092</v>
      </c>
      <c r="M5244">
        <v>12.6</v>
      </c>
      <c r="N5244">
        <v>136</v>
      </c>
      <c r="O5244" t="s">
        <v>38</v>
      </c>
      <c r="Q5244" t="s">
        <v>157</v>
      </c>
      <c r="R5244" t="s">
        <v>5432</v>
      </c>
      <c r="S5244" t="s">
        <v>759</v>
      </c>
    </row>
    <row r="5245" spans="1:19" x14ac:dyDescent="0.25">
      <c r="A5245" t="s">
        <v>59</v>
      </c>
      <c r="B5245" t="s">
        <v>60</v>
      </c>
      <c r="C5245" t="s">
        <v>32</v>
      </c>
      <c r="D5245" t="s">
        <v>719</v>
      </c>
      <c r="E5245" t="s">
        <v>5743</v>
      </c>
      <c r="F5245" t="s">
        <v>35</v>
      </c>
      <c r="G5245" t="s">
        <v>35</v>
      </c>
      <c r="H5245" t="s">
        <v>35</v>
      </c>
      <c r="J5245" t="s">
        <v>5751</v>
      </c>
      <c r="K5245" t="s">
        <v>1092</v>
      </c>
      <c r="M5245">
        <v>9.5</v>
      </c>
      <c r="N5245">
        <v>87</v>
      </c>
      <c r="O5245" t="s">
        <v>61</v>
      </c>
      <c r="Q5245" t="s">
        <v>1639</v>
      </c>
      <c r="R5245" t="s">
        <v>5732</v>
      </c>
      <c r="S5245" t="s">
        <v>5733</v>
      </c>
    </row>
    <row r="5246" spans="1:19" x14ac:dyDescent="0.25">
      <c r="A5246" t="s">
        <v>30</v>
      </c>
      <c r="B5246" t="s">
        <v>31</v>
      </c>
      <c r="C5246" t="s">
        <v>32</v>
      </c>
      <c r="D5246" t="s">
        <v>719</v>
      </c>
      <c r="E5246" t="s">
        <v>5743</v>
      </c>
      <c r="F5246" t="s">
        <v>35</v>
      </c>
      <c r="G5246" t="s">
        <v>35</v>
      </c>
      <c r="H5246" t="s">
        <v>35</v>
      </c>
      <c r="J5246" t="s">
        <v>5751</v>
      </c>
      <c r="K5246" t="s">
        <v>1092</v>
      </c>
      <c r="M5246">
        <v>9.5850000000000009</v>
      </c>
      <c r="N5246">
        <v>68</v>
      </c>
      <c r="O5246" t="s">
        <v>61</v>
      </c>
      <c r="Q5246" t="s">
        <v>146</v>
      </c>
      <c r="R5246" t="s">
        <v>5432</v>
      </c>
      <c r="S5246" t="s">
        <v>759</v>
      </c>
    </row>
    <row r="5247" spans="1:19" x14ac:dyDescent="0.25">
      <c r="A5247" t="s">
        <v>30</v>
      </c>
      <c r="B5247" t="s">
        <v>31</v>
      </c>
      <c r="C5247" t="s">
        <v>32</v>
      </c>
      <c r="D5247" t="s">
        <v>719</v>
      </c>
      <c r="E5247" t="s">
        <v>5743</v>
      </c>
      <c r="F5247" t="s">
        <v>35</v>
      </c>
      <c r="G5247" t="s">
        <v>35</v>
      </c>
      <c r="H5247" t="s">
        <v>35</v>
      </c>
      <c r="J5247" t="s">
        <v>5752</v>
      </c>
      <c r="K5247" t="s">
        <v>1092</v>
      </c>
      <c r="M5247">
        <v>0.09</v>
      </c>
      <c r="N5247">
        <v>146</v>
      </c>
      <c r="O5247" t="s">
        <v>38</v>
      </c>
      <c r="Q5247" t="s">
        <v>1335</v>
      </c>
      <c r="R5247" t="s">
        <v>5432</v>
      </c>
      <c r="S5247" t="s">
        <v>759</v>
      </c>
    </row>
    <row r="5248" spans="1:19" x14ac:dyDescent="0.25">
      <c r="A5248" t="s">
        <v>30</v>
      </c>
      <c r="B5248" t="s">
        <v>31</v>
      </c>
      <c r="C5248" t="s">
        <v>32</v>
      </c>
      <c r="D5248" t="s">
        <v>719</v>
      </c>
      <c r="E5248" t="s">
        <v>5743</v>
      </c>
      <c r="F5248" t="s">
        <v>35</v>
      </c>
      <c r="G5248" t="s">
        <v>35</v>
      </c>
      <c r="H5248" t="s">
        <v>35</v>
      </c>
      <c r="J5248" t="s">
        <v>5753</v>
      </c>
      <c r="K5248" t="s">
        <v>1092</v>
      </c>
      <c r="M5248">
        <v>7.7850000000000001</v>
      </c>
      <c r="N5248">
        <v>533</v>
      </c>
      <c r="O5248" t="s">
        <v>294</v>
      </c>
      <c r="Q5248" t="s">
        <v>4047</v>
      </c>
      <c r="R5248" t="s">
        <v>730</v>
      </c>
      <c r="S5248" t="s">
        <v>731</v>
      </c>
    </row>
    <row r="5249" spans="1:19" x14ac:dyDescent="0.25">
      <c r="A5249" t="s">
        <v>30</v>
      </c>
      <c r="B5249" t="s">
        <v>31</v>
      </c>
      <c r="C5249" t="s">
        <v>32</v>
      </c>
      <c r="D5249" t="s">
        <v>719</v>
      </c>
      <c r="E5249" t="s">
        <v>5743</v>
      </c>
      <c r="F5249" t="s">
        <v>35</v>
      </c>
      <c r="G5249" t="s">
        <v>35</v>
      </c>
      <c r="H5249" t="s">
        <v>35</v>
      </c>
      <c r="J5249" t="s">
        <v>5754</v>
      </c>
      <c r="K5249" t="s">
        <v>1092</v>
      </c>
      <c r="M5249">
        <v>21.24</v>
      </c>
      <c r="N5249">
        <v>261</v>
      </c>
      <c r="O5249" t="s">
        <v>5</v>
      </c>
      <c r="Q5249" t="s">
        <v>2522</v>
      </c>
      <c r="R5249" t="s">
        <v>5432</v>
      </c>
      <c r="S5249" t="s">
        <v>759</v>
      </c>
    </row>
    <row r="5250" spans="1:19" x14ac:dyDescent="0.25">
      <c r="A5250" t="s">
        <v>30</v>
      </c>
      <c r="B5250" t="s">
        <v>31</v>
      </c>
      <c r="C5250" t="s">
        <v>32</v>
      </c>
      <c r="D5250" t="s">
        <v>719</v>
      </c>
      <c r="E5250" t="s">
        <v>5743</v>
      </c>
      <c r="F5250" t="s">
        <v>35</v>
      </c>
      <c r="G5250" t="s">
        <v>35</v>
      </c>
      <c r="H5250" t="s">
        <v>35</v>
      </c>
      <c r="J5250" t="s">
        <v>5755</v>
      </c>
      <c r="K5250" t="s">
        <v>1092</v>
      </c>
      <c r="M5250">
        <v>11.025</v>
      </c>
      <c r="N5250">
        <v>68</v>
      </c>
      <c r="O5250" t="s">
        <v>61</v>
      </c>
      <c r="Q5250" t="s">
        <v>146</v>
      </c>
      <c r="R5250" t="s">
        <v>5432</v>
      </c>
      <c r="S5250" t="s">
        <v>759</v>
      </c>
    </row>
    <row r="5251" spans="1:19" x14ac:dyDescent="0.25">
      <c r="A5251" t="s">
        <v>30</v>
      </c>
      <c r="B5251" t="s">
        <v>31</v>
      </c>
      <c r="C5251" t="s">
        <v>32</v>
      </c>
      <c r="D5251" t="s">
        <v>719</v>
      </c>
      <c r="E5251" t="s">
        <v>5756</v>
      </c>
      <c r="F5251" t="s">
        <v>35</v>
      </c>
      <c r="G5251" t="s">
        <v>35</v>
      </c>
      <c r="H5251" t="s">
        <v>35</v>
      </c>
      <c r="J5251" t="s">
        <v>5757</v>
      </c>
      <c r="K5251" t="s">
        <v>1092</v>
      </c>
      <c r="M5251">
        <v>6.21</v>
      </c>
      <c r="N5251">
        <v>69</v>
      </c>
      <c r="O5251" t="s">
        <v>61</v>
      </c>
      <c r="Q5251" t="s">
        <v>139</v>
      </c>
      <c r="R5251" t="s">
        <v>730</v>
      </c>
      <c r="S5251" t="s">
        <v>731</v>
      </c>
    </row>
    <row r="5252" spans="1:19" x14ac:dyDescent="0.25">
      <c r="A5252" t="s">
        <v>30</v>
      </c>
      <c r="B5252" t="s">
        <v>31</v>
      </c>
      <c r="C5252" t="s">
        <v>32</v>
      </c>
      <c r="D5252" t="s">
        <v>719</v>
      </c>
      <c r="E5252" t="s">
        <v>5756</v>
      </c>
      <c r="F5252" t="s">
        <v>35</v>
      </c>
      <c r="G5252" t="s">
        <v>35</v>
      </c>
      <c r="H5252" t="s">
        <v>35</v>
      </c>
      <c r="J5252" t="s">
        <v>5758</v>
      </c>
      <c r="K5252" t="s">
        <v>1092</v>
      </c>
      <c r="M5252">
        <v>7.0650000000000004</v>
      </c>
      <c r="N5252">
        <v>69</v>
      </c>
      <c r="O5252" t="s">
        <v>61</v>
      </c>
      <c r="Q5252" t="s">
        <v>139</v>
      </c>
      <c r="R5252" t="s">
        <v>730</v>
      </c>
      <c r="S5252" t="s">
        <v>731</v>
      </c>
    </row>
    <row r="5253" spans="1:19" x14ac:dyDescent="0.25">
      <c r="A5253" t="s">
        <v>30</v>
      </c>
      <c r="B5253" t="s">
        <v>31</v>
      </c>
      <c r="C5253" t="s">
        <v>32</v>
      </c>
      <c r="D5253" t="s">
        <v>719</v>
      </c>
      <c r="E5253" t="s">
        <v>5756</v>
      </c>
      <c r="F5253" t="s">
        <v>35</v>
      </c>
      <c r="G5253" t="s">
        <v>35</v>
      </c>
      <c r="H5253" t="s">
        <v>35</v>
      </c>
      <c r="J5253" t="s">
        <v>5759</v>
      </c>
      <c r="K5253" t="s">
        <v>1092</v>
      </c>
      <c r="M5253">
        <v>4.8150000000000004</v>
      </c>
      <c r="N5253">
        <v>69</v>
      </c>
      <c r="O5253" t="s">
        <v>61</v>
      </c>
      <c r="Q5253" t="s">
        <v>139</v>
      </c>
      <c r="R5253" t="s">
        <v>730</v>
      </c>
      <c r="S5253" t="s">
        <v>731</v>
      </c>
    </row>
    <row r="5254" spans="1:19" x14ac:dyDescent="0.25">
      <c r="A5254" t="s">
        <v>30</v>
      </c>
      <c r="B5254" t="s">
        <v>31</v>
      </c>
      <c r="C5254" t="s">
        <v>32</v>
      </c>
      <c r="D5254" t="s">
        <v>719</v>
      </c>
      <c r="E5254" t="s">
        <v>5756</v>
      </c>
      <c r="F5254" t="s">
        <v>35</v>
      </c>
      <c r="G5254" t="s">
        <v>35</v>
      </c>
      <c r="H5254" t="s">
        <v>35</v>
      </c>
      <c r="J5254" t="s">
        <v>5760</v>
      </c>
      <c r="K5254" t="s">
        <v>1092</v>
      </c>
      <c r="M5254">
        <v>3.8250000000000002</v>
      </c>
      <c r="N5254">
        <v>94</v>
      </c>
      <c r="O5254" t="s">
        <v>106</v>
      </c>
      <c r="Q5254" t="s">
        <v>394</v>
      </c>
      <c r="R5254" t="s">
        <v>730</v>
      </c>
      <c r="S5254" t="s">
        <v>731</v>
      </c>
    </row>
    <row r="5255" spans="1:19" x14ac:dyDescent="0.25">
      <c r="A5255" t="s">
        <v>30</v>
      </c>
      <c r="B5255" t="s">
        <v>31</v>
      </c>
      <c r="C5255" t="s">
        <v>32</v>
      </c>
      <c r="D5255" t="s">
        <v>719</v>
      </c>
      <c r="E5255" t="s">
        <v>5756</v>
      </c>
      <c r="F5255" t="s">
        <v>35</v>
      </c>
      <c r="G5255" t="s">
        <v>35</v>
      </c>
      <c r="H5255" t="s">
        <v>35</v>
      </c>
      <c r="J5255" t="s">
        <v>5761</v>
      </c>
      <c r="K5255" t="s">
        <v>1092</v>
      </c>
      <c r="M5255">
        <v>9.81</v>
      </c>
      <c r="N5255">
        <v>49</v>
      </c>
      <c r="O5255" t="s">
        <v>52</v>
      </c>
      <c r="Q5255" t="s">
        <v>219</v>
      </c>
      <c r="R5255" t="s">
        <v>730</v>
      </c>
      <c r="S5255" t="s">
        <v>731</v>
      </c>
    </row>
    <row r="5256" spans="1:19" x14ac:dyDescent="0.25">
      <c r="A5256" t="s">
        <v>30</v>
      </c>
      <c r="B5256" t="s">
        <v>31</v>
      </c>
      <c r="C5256" t="s">
        <v>32</v>
      </c>
      <c r="D5256" t="s">
        <v>719</v>
      </c>
      <c r="E5256" t="s">
        <v>5756</v>
      </c>
      <c r="F5256" t="s">
        <v>35</v>
      </c>
      <c r="G5256" t="s">
        <v>35</v>
      </c>
      <c r="H5256" t="s">
        <v>35</v>
      </c>
      <c r="J5256" t="s">
        <v>5762</v>
      </c>
      <c r="K5256" t="s">
        <v>1092</v>
      </c>
      <c r="M5256">
        <v>4.32</v>
      </c>
      <c r="N5256">
        <v>138</v>
      </c>
      <c r="O5256" t="s">
        <v>38</v>
      </c>
      <c r="Q5256" t="s">
        <v>542</v>
      </c>
      <c r="R5256" t="s">
        <v>725</v>
      </c>
      <c r="S5256" t="s">
        <v>726</v>
      </c>
    </row>
    <row r="5257" spans="1:19" x14ac:dyDescent="0.25">
      <c r="A5257" t="s">
        <v>30</v>
      </c>
      <c r="B5257" t="s">
        <v>31</v>
      </c>
      <c r="C5257" t="s">
        <v>32</v>
      </c>
      <c r="D5257" t="s">
        <v>719</v>
      </c>
      <c r="E5257" t="s">
        <v>5756</v>
      </c>
      <c r="F5257" t="s">
        <v>35</v>
      </c>
      <c r="G5257" t="s">
        <v>35</v>
      </c>
      <c r="H5257" t="s">
        <v>35</v>
      </c>
      <c r="J5257" t="s">
        <v>5763</v>
      </c>
      <c r="K5257" t="s">
        <v>1092</v>
      </c>
      <c r="M5257">
        <v>0.36</v>
      </c>
      <c r="N5257">
        <v>170</v>
      </c>
      <c r="O5257" t="s">
        <v>38</v>
      </c>
      <c r="Q5257" t="s">
        <v>2780</v>
      </c>
      <c r="R5257" t="s">
        <v>725</v>
      </c>
      <c r="S5257" t="s">
        <v>726</v>
      </c>
    </row>
    <row r="5258" spans="1:19" x14ac:dyDescent="0.25">
      <c r="A5258" t="s">
        <v>30</v>
      </c>
      <c r="B5258" t="s">
        <v>31</v>
      </c>
      <c r="C5258" t="s">
        <v>32</v>
      </c>
      <c r="D5258" t="s">
        <v>719</v>
      </c>
      <c r="E5258" t="s">
        <v>5756</v>
      </c>
      <c r="F5258" t="s">
        <v>35</v>
      </c>
      <c r="G5258" t="s">
        <v>35</v>
      </c>
      <c r="H5258" t="s">
        <v>35</v>
      </c>
      <c r="J5258" t="s">
        <v>5764</v>
      </c>
      <c r="K5258" t="s">
        <v>1092</v>
      </c>
      <c r="M5258">
        <v>2.7450000000000001</v>
      </c>
      <c r="N5258">
        <v>69</v>
      </c>
      <c r="O5258" t="s">
        <v>61</v>
      </c>
      <c r="Q5258" t="s">
        <v>139</v>
      </c>
      <c r="R5258" t="s">
        <v>730</v>
      </c>
      <c r="S5258" t="s">
        <v>731</v>
      </c>
    </row>
    <row r="5259" spans="1:19" x14ac:dyDescent="0.25">
      <c r="A5259" t="s">
        <v>30</v>
      </c>
      <c r="B5259" t="s">
        <v>31</v>
      </c>
      <c r="C5259" t="s">
        <v>32</v>
      </c>
      <c r="D5259" t="s">
        <v>719</v>
      </c>
      <c r="E5259" t="s">
        <v>5756</v>
      </c>
      <c r="F5259" t="s">
        <v>35</v>
      </c>
      <c r="G5259" t="s">
        <v>35</v>
      </c>
      <c r="H5259" t="s">
        <v>35</v>
      </c>
      <c r="J5259" t="s">
        <v>5765</v>
      </c>
      <c r="K5259" t="s">
        <v>1092</v>
      </c>
      <c r="M5259">
        <v>11.025</v>
      </c>
      <c r="N5259">
        <v>69</v>
      </c>
      <c r="O5259" t="s">
        <v>61</v>
      </c>
      <c r="Q5259" t="s">
        <v>139</v>
      </c>
      <c r="R5259" t="s">
        <v>730</v>
      </c>
      <c r="S5259" t="s">
        <v>731</v>
      </c>
    </row>
    <row r="5260" spans="1:19" x14ac:dyDescent="0.25">
      <c r="A5260" t="s">
        <v>30</v>
      </c>
      <c r="B5260" t="s">
        <v>31</v>
      </c>
      <c r="C5260" t="s">
        <v>32</v>
      </c>
      <c r="D5260" t="s">
        <v>719</v>
      </c>
      <c r="E5260" t="s">
        <v>5756</v>
      </c>
      <c r="F5260" t="s">
        <v>35</v>
      </c>
      <c r="G5260" t="s">
        <v>35</v>
      </c>
      <c r="H5260" t="s">
        <v>35</v>
      </c>
      <c r="J5260" t="s">
        <v>5765</v>
      </c>
      <c r="K5260" t="s">
        <v>1092</v>
      </c>
      <c r="M5260">
        <v>8.3699999999999992</v>
      </c>
      <c r="N5260">
        <v>72</v>
      </c>
      <c r="O5260" t="s">
        <v>61</v>
      </c>
      <c r="Q5260" t="s">
        <v>63</v>
      </c>
      <c r="R5260" t="s">
        <v>725</v>
      </c>
      <c r="S5260" t="s">
        <v>726</v>
      </c>
    </row>
    <row r="5261" spans="1:19" x14ac:dyDescent="0.25">
      <c r="A5261" t="s">
        <v>30</v>
      </c>
      <c r="B5261" t="s">
        <v>31</v>
      </c>
      <c r="C5261" t="s">
        <v>32</v>
      </c>
      <c r="D5261" t="s">
        <v>719</v>
      </c>
      <c r="E5261" t="s">
        <v>5756</v>
      </c>
      <c r="F5261" t="s">
        <v>35</v>
      </c>
      <c r="G5261" t="s">
        <v>35</v>
      </c>
      <c r="H5261" t="s">
        <v>35</v>
      </c>
      <c r="J5261" t="s">
        <v>5766</v>
      </c>
      <c r="K5261" t="s">
        <v>1092</v>
      </c>
      <c r="M5261">
        <v>4.6349999999999998</v>
      </c>
      <c r="N5261">
        <v>507</v>
      </c>
      <c r="O5261" t="s">
        <v>294</v>
      </c>
      <c r="Q5261" t="s">
        <v>3822</v>
      </c>
      <c r="R5261" t="s">
        <v>735</v>
      </c>
      <c r="S5261" t="s">
        <v>736</v>
      </c>
    </row>
    <row r="5262" spans="1:19" x14ac:dyDescent="0.25">
      <c r="A5262" t="s">
        <v>30</v>
      </c>
      <c r="B5262" t="s">
        <v>31</v>
      </c>
      <c r="C5262" t="s">
        <v>32</v>
      </c>
      <c r="D5262" t="s">
        <v>719</v>
      </c>
      <c r="E5262" t="s">
        <v>5756</v>
      </c>
      <c r="F5262" t="s">
        <v>35</v>
      </c>
      <c r="G5262" t="s">
        <v>35</v>
      </c>
      <c r="H5262" t="s">
        <v>35</v>
      </c>
      <c r="J5262" t="s">
        <v>5766</v>
      </c>
      <c r="K5262" t="s">
        <v>1092</v>
      </c>
      <c r="M5262">
        <v>11.25</v>
      </c>
      <c r="N5262">
        <v>98</v>
      </c>
      <c r="O5262" t="s">
        <v>106</v>
      </c>
      <c r="Q5262" t="s">
        <v>108</v>
      </c>
      <c r="R5262" t="s">
        <v>725</v>
      </c>
      <c r="S5262" t="s">
        <v>726</v>
      </c>
    </row>
    <row r="5263" spans="1:19" x14ac:dyDescent="0.25">
      <c r="A5263" t="s">
        <v>44</v>
      </c>
      <c r="B5263" t="s">
        <v>3</v>
      </c>
      <c r="C5263" t="s">
        <v>32</v>
      </c>
      <c r="D5263" t="s">
        <v>719</v>
      </c>
      <c r="E5263" t="s">
        <v>5756</v>
      </c>
      <c r="F5263" t="s">
        <v>35</v>
      </c>
      <c r="G5263" t="s">
        <v>35</v>
      </c>
      <c r="H5263" t="s">
        <v>35</v>
      </c>
      <c r="J5263" t="s">
        <v>5767</v>
      </c>
      <c r="K5263" t="s">
        <v>1092</v>
      </c>
      <c r="M5263">
        <v>0.05</v>
      </c>
      <c r="N5263">
        <v>524</v>
      </c>
      <c r="O5263" t="s">
        <v>294</v>
      </c>
      <c r="Q5263" t="s">
        <v>4843</v>
      </c>
      <c r="R5263" t="s">
        <v>725</v>
      </c>
      <c r="S5263" t="s">
        <v>726</v>
      </c>
    </row>
    <row r="5264" spans="1:19" x14ac:dyDescent="0.25">
      <c r="A5264" t="s">
        <v>59</v>
      </c>
      <c r="B5264" t="s">
        <v>31</v>
      </c>
      <c r="C5264" t="s">
        <v>32</v>
      </c>
      <c r="D5264" t="s">
        <v>719</v>
      </c>
      <c r="E5264" t="s">
        <v>5756</v>
      </c>
      <c r="F5264" t="s">
        <v>35</v>
      </c>
      <c r="G5264" t="s">
        <v>35</v>
      </c>
      <c r="H5264" t="s">
        <v>35</v>
      </c>
      <c r="J5264" t="s">
        <v>5767</v>
      </c>
      <c r="K5264" t="s">
        <v>1092</v>
      </c>
      <c r="M5264">
        <v>0.13500000000000001</v>
      </c>
      <c r="N5264">
        <v>135</v>
      </c>
      <c r="O5264" t="s">
        <v>38</v>
      </c>
      <c r="Q5264" t="s">
        <v>98</v>
      </c>
      <c r="R5264" t="s">
        <v>725</v>
      </c>
      <c r="S5264" t="s">
        <v>726</v>
      </c>
    </row>
    <row r="5265" spans="1:19" x14ac:dyDescent="0.25">
      <c r="A5265" t="s">
        <v>30</v>
      </c>
      <c r="B5265" t="s">
        <v>31</v>
      </c>
      <c r="C5265" t="s">
        <v>32</v>
      </c>
      <c r="D5265" t="s">
        <v>719</v>
      </c>
      <c r="E5265" t="s">
        <v>5756</v>
      </c>
      <c r="F5265" t="s">
        <v>35</v>
      </c>
      <c r="G5265" t="s">
        <v>35</v>
      </c>
      <c r="H5265" t="s">
        <v>35</v>
      </c>
      <c r="J5265" t="s">
        <v>5768</v>
      </c>
      <c r="K5265" t="s">
        <v>1092</v>
      </c>
      <c r="M5265">
        <v>7.335</v>
      </c>
      <c r="N5265">
        <v>48</v>
      </c>
      <c r="O5265" t="s">
        <v>52</v>
      </c>
      <c r="Q5265" t="s">
        <v>496</v>
      </c>
      <c r="R5265" t="s">
        <v>730</v>
      </c>
      <c r="S5265" t="s">
        <v>731</v>
      </c>
    </row>
    <row r="5266" spans="1:19" x14ac:dyDescent="0.25">
      <c r="A5266" t="s">
        <v>59</v>
      </c>
      <c r="B5266" t="s">
        <v>31</v>
      </c>
      <c r="C5266" t="s">
        <v>32</v>
      </c>
      <c r="D5266" t="s">
        <v>719</v>
      </c>
      <c r="E5266" t="s">
        <v>5756</v>
      </c>
      <c r="F5266" t="s">
        <v>35</v>
      </c>
      <c r="G5266" t="s">
        <v>35</v>
      </c>
      <c r="H5266" t="s">
        <v>35</v>
      </c>
      <c r="J5266" t="s">
        <v>5769</v>
      </c>
      <c r="K5266" t="s">
        <v>1092</v>
      </c>
      <c r="M5266">
        <v>2.16</v>
      </c>
      <c r="N5266">
        <v>131</v>
      </c>
      <c r="O5266" t="s">
        <v>38</v>
      </c>
      <c r="Q5266" t="s">
        <v>646</v>
      </c>
      <c r="R5266" t="s">
        <v>730</v>
      </c>
      <c r="S5266" t="s">
        <v>731</v>
      </c>
    </row>
    <row r="5267" spans="1:19" x14ac:dyDescent="0.25">
      <c r="A5267" t="s">
        <v>30</v>
      </c>
      <c r="B5267" t="s">
        <v>31</v>
      </c>
      <c r="C5267" t="s">
        <v>32</v>
      </c>
      <c r="D5267" t="s">
        <v>719</v>
      </c>
      <c r="E5267" t="s">
        <v>5756</v>
      </c>
      <c r="F5267" t="s">
        <v>35</v>
      </c>
      <c r="G5267" t="s">
        <v>35</v>
      </c>
      <c r="H5267" t="s">
        <v>35</v>
      </c>
      <c r="J5267" t="s">
        <v>5770</v>
      </c>
      <c r="K5267" t="s">
        <v>1092</v>
      </c>
      <c r="M5267">
        <v>3.51</v>
      </c>
      <c r="N5267">
        <v>133</v>
      </c>
      <c r="O5267" t="s">
        <v>38</v>
      </c>
      <c r="Q5267" t="s">
        <v>68</v>
      </c>
      <c r="R5267" t="s">
        <v>730</v>
      </c>
      <c r="S5267" t="s">
        <v>731</v>
      </c>
    </row>
    <row r="5268" spans="1:19" x14ac:dyDescent="0.25">
      <c r="A5268" t="s">
        <v>59</v>
      </c>
      <c r="B5268" t="s">
        <v>31</v>
      </c>
      <c r="C5268" t="s">
        <v>32</v>
      </c>
      <c r="D5268" t="s">
        <v>719</v>
      </c>
      <c r="E5268" t="s">
        <v>5756</v>
      </c>
      <c r="F5268" t="s">
        <v>35</v>
      </c>
      <c r="G5268" t="s">
        <v>35</v>
      </c>
      <c r="H5268" t="s">
        <v>35</v>
      </c>
      <c r="J5268" t="s">
        <v>8119</v>
      </c>
      <c r="K5268" t="s">
        <v>1092</v>
      </c>
      <c r="M5268">
        <v>9.7200000000000006</v>
      </c>
      <c r="N5268">
        <v>3</v>
      </c>
      <c r="O5268" t="s">
        <v>46</v>
      </c>
      <c r="Q5268" t="s">
        <v>8153</v>
      </c>
      <c r="R5268" t="s">
        <v>730</v>
      </c>
      <c r="S5268" t="s">
        <v>731</v>
      </c>
    </row>
    <row r="5269" spans="1:19" x14ac:dyDescent="0.25">
      <c r="A5269" t="s">
        <v>30</v>
      </c>
      <c r="B5269" t="s">
        <v>31</v>
      </c>
      <c r="C5269" t="s">
        <v>32</v>
      </c>
      <c r="D5269" t="s">
        <v>719</v>
      </c>
      <c r="E5269" t="s">
        <v>5756</v>
      </c>
      <c r="F5269" t="s">
        <v>35</v>
      </c>
      <c r="G5269" t="s">
        <v>35</v>
      </c>
      <c r="H5269" t="s">
        <v>35</v>
      </c>
      <c r="J5269" t="s">
        <v>5771</v>
      </c>
      <c r="K5269" t="s">
        <v>1092</v>
      </c>
      <c r="M5269">
        <v>4.5</v>
      </c>
      <c r="N5269">
        <v>503</v>
      </c>
      <c r="O5269" t="s">
        <v>294</v>
      </c>
      <c r="Q5269" t="s">
        <v>3139</v>
      </c>
      <c r="R5269" t="s">
        <v>730</v>
      </c>
      <c r="S5269" t="s">
        <v>731</v>
      </c>
    </row>
    <row r="5270" spans="1:19" x14ac:dyDescent="0.25">
      <c r="A5270" t="s">
        <v>30</v>
      </c>
      <c r="B5270" t="s">
        <v>31</v>
      </c>
      <c r="C5270" t="s">
        <v>32</v>
      </c>
      <c r="D5270" t="s">
        <v>719</v>
      </c>
      <c r="E5270" t="s">
        <v>5756</v>
      </c>
      <c r="F5270" t="s">
        <v>35</v>
      </c>
      <c r="G5270" t="s">
        <v>35</v>
      </c>
      <c r="H5270" t="s">
        <v>35</v>
      </c>
      <c r="J5270" t="s">
        <v>5772</v>
      </c>
      <c r="K5270" t="s">
        <v>1092</v>
      </c>
      <c r="M5270">
        <v>11.025</v>
      </c>
      <c r="N5270">
        <v>64</v>
      </c>
      <c r="O5270" t="s">
        <v>61</v>
      </c>
      <c r="Q5270" t="s">
        <v>381</v>
      </c>
      <c r="R5270" t="s">
        <v>730</v>
      </c>
      <c r="S5270" t="s">
        <v>731</v>
      </c>
    </row>
    <row r="5271" spans="1:19" x14ac:dyDescent="0.25">
      <c r="A5271" t="s">
        <v>30</v>
      </c>
      <c r="B5271" t="s">
        <v>31</v>
      </c>
      <c r="C5271" t="s">
        <v>32</v>
      </c>
      <c r="D5271" t="s">
        <v>719</v>
      </c>
      <c r="E5271" t="s">
        <v>5756</v>
      </c>
      <c r="F5271" t="s">
        <v>35</v>
      </c>
      <c r="G5271" t="s">
        <v>35</v>
      </c>
      <c r="H5271" t="s">
        <v>35</v>
      </c>
      <c r="J5271" t="s">
        <v>5772</v>
      </c>
      <c r="K5271" t="s">
        <v>1092</v>
      </c>
      <c r="M5271">
        <v>1.44</v>
      </c>
      <c r="N5271">
        <v>482</v>
      </c>
      <c r="O5271" t="s">
        <v>294</v>
      </c>
      <c r="Q5271" t="s">
        <v>3207</v>
      </c>
      <c r="R5271" t="s">
        <v>730</v>
      </c>
      <c r="S5271" t="s">
        <v>731</v>
      </c>
    </row>
    <row r="5272" spans="1:19" x14ac:dyDescent="0.25">
      <c r="A5272" t="s">
        <v>30</v>
      </c>
      <c r="B5272" t="s">
        <v>31</v>
      </c>
      <c r="C5272" t="s">
        <v>32</v>
      </c>
      <c r="D5272" t="s">
        <v>719</v>
      </c>
      <c r="E5272" t="s">
        <v>5756</v>
      </c>
      <c r="F5272" t="s">
        <v>35</v>
      </c>
      <c r="G5272" t="s">
        <v>35</v>
      </c>
      <c r="H5272" t="s">
        <v>35</v>
      </c>
      <c r="J5272" t="s">
        <v>5773</v>
      </c>
      <c r="K5272" t="s">
        <v>1092</v>
      </c>
      <c r="M5272">
        <v>11.025</v>
      </c>
      <c r="N5272">
        <v>68</v>
      </c>
      <c r="O5272" t="s">
        <v>61</v>
      </c>
      <c r="Q5272" t="s">
        <v>146</v>
      </c>
      <c r="R5272" t="s">
        <v>5461</v>
      </c>
      <c r="S5272" t="s">
        <v>479</v>
      </c>
    </row>
    <row r="5273" spans="1:19" x14ac:dyDescent="0.25">
      <c r="A5273" t="s">
        <v>30</v>
      </c>
      <c r="B5273" t="s">
        <v>31</v>
      </c>
      <c r="C5273" t="s">
        <v>32</v>
      </c>
      <c r="D5273" t="s">
        <v>719</v>
      </c>
      <c r="E5273" t="s">
        <v>5756</v>
      </c>
      <c r="F5273" t="s">
        <v>35</v>
      </c>
      <c r="G5273" t="s">
        <v>35</v>
      </c>
      <c r="H5273" t="s">
        <v>35</v>
      </c>
      <c r="J5273" t="s">
        <v>5773</v>
      </c>
      <c r="K5273" t="s">
        <v>1092</v>
      </c>
      <c r="M5273">
        <v>0.40500000000000003</v>
      </c>
      <c r="N5273">
        <v>138</v>
      </c>
      <c r="O5273" t="s">
        <v>38</v>
      </c>
      <c r="Q5273" t="s">
        <v>542</v>
      </c>
      <c r="R5273" t="s">
        <v>725</v>
      </c>
      <c r="S5273" t="s">
        <v>726</v>
      </c>
    </row>
    <row r="5274" spans="1:19" x14ac:dyDescent="0.25">
      <c r="A5274" t="s">
        <v>59</v>
      </c>
      <c r="B5274" t="s">
        <v>31</v>
      </c>
      <c r="C5274" t="s">
        <v>32</v>
      </c>
      <c r="D5274" t="s">
        <v>719</v>
      </c>
      <c r="E5274" t="s">
        <v>5756</v>
      </c>
      <c r="F5274" t="s">
        <v>35</v>
      </c>
      <c r="G5274" t="s">
        <v>35</v>
      </c>
      <c r="H5274" t="s">
        <v>35</v>
      </c>
      <c r="J5274" t="s">
        <v>5773</v>
      </c>
      <c r="K5274" t="s">
        <v>1092</v>
      </c>
      <c r="M5274">
        <v>4.4999999999999998E-2</v>
      </c>
      <c r="N5274">
        <v>198</v>
      </c>
      <c r="O5274" t="s">
        <v>5</v>
      </c>
      <c r="Q5274" t="s">
        <v>4086</v>
      </c>
      <c r="R5274" t="s">
        <v>730</v>
      </c>
      <c r="S5274" t="s">
        <v>731</v>
      </c>
    </row>
    <row r="5275" spans="1:19" x14ac:dyDescent="0.25">
      <c r="A5275" t="s">
        <v>59</v>
      </c>
      <c r="B5275" t="s">
        <v>31</v>
      </c>
      <c r="C5275" t="s">
        <v>32</v>
      </c>
      <c r="D5275" t="s">
        <v>719</v>
      </c>
      <c r="E5275" t="s">
        <v>5756</v>
      </c>
      <c r="F5275" t="s">
        <v>35</v>
      </c>
      <c r="G5275" t="s">
        <v>35</v>
      </c>
      <c r="H5275" t="s">
        <v>35</v>
      </c>
      <c r="J5275" t="s">
        <v>5774</v>
      </c>
      <c r="K5275" t="s">
        <v>1092</v>
      </c>
      <c r="M5275">
        <v>5.49</v>
      </c>
      <c r="N5275">
        <v>172</v>
      </c>
      <c r="O5275" t="s">
        <v>38</v>
      </c>
      <c r="Q5275" t="s">
        <v>1124</v>
      </c>
      <c r="R5275" t="s">
        <v>730</v>
      </c>
      <c r="S5275" t="s">
        <v>731</v>
      </c>
    </row>
    <row r="5276" spans="1:19" x14ac:dyDescent="0.25">
      <c r="A5276" t="s">
        <v>30</v>
      </c>
      <c r="B5276" t="s">
        <v>31</v>
      </c>
      <c r="C5276" t="s">
        <v>32</v>
      </c>
      <c r="D5276" t="s">
        <v>719</v>
      </c>
      <c r="E5276" t="s">
        <v>5756</v>
      </c>
      <c r="F5276" t="s">
        <v>35</v>
      </c>
      <c r="G5276" t="s">
        <v>35</v>
      </c>
      <c r="H5276" t="s">
        <v>35</v>
      </c>
      <c r="J5276" t="s">
        <v>5775</v>
      </c>
      <c r="K5276" t="s">
        <v>1092</v>
      </c>
      <c r="M5276">
        <v>11.025</v>
      </c>
      <c r="N5276">
        <v>98</v>
      </c>
      <c r="O5276" t="s">
        <v>106</v>
      </c>
      <c r="Q5276" t="s">
        <v>108</v>
      </c>
      <c r="R5276" t="s">
        <v>725</v>
      </c>
      <c r="S5276" t="s">
        <v>726</v>
      </c>
    </row>
    <row r="5277" spans="1:19" x14ac:dyDescent="0.25">
      <c r="A5277" t="s">
        <v>30</v>
      </c>
      <c r="B5277" t="s">
        <v>31</v>
      </c>
      <c r="C5277" t="s">
        <v>32</v>
      </c>
      <c r="D5277" t="s">
        <v>719</v>
      </c>
      <c r="E5277" t="s">
        <v>5756</v>
      </c>
      <c r="F5277" t="s">
        <v>35</v>
      </c>
      <c r="G5277" t="s">
        <v>35</v>
      </c>
      <c r="H5277" t="s">
        <v>35</v>
      </c>
      <c r="J5277" t="s">
        <v>5599</v>
      </c>
      <c r="K5277" t="s">
        <v>1092</v>
      </c>
      <c r="M5277">
        <v>10.664999999999999</v>
      </c>
      <c r="N5277">
        <v>98</v>
      </c>
      <c r="O5277" t="s">
        <v>106</v>
      </c>
      <c r="Q5277" t="s">
        <v>108</v>
      </c>
      <c r="R5277" t="s">
        <v>5454</v>
      </c>
      <c r="S5277" t="s">
        <v>756</v>
      </c>
    </row>
    <row r="5278" spans="1:19" x14ac:dyDescent="0.25">
      <c r="A5278" t="s">
        <v>59</v>
      </c>
      <c r="B5278" t="s">
        <v>60</v>
      </c>
      <c r="C5278" t="s">
        <v>32</v>
      </c>
      <c r="D5278" t="s">
        <v>719</v>
      </c>
      <c r="E5278" t="s">
        <v>5756</v>
      </c>
      <c r="F5278" t="s">
        <v>35</v>
      </c>
      <c r="G5278" t="s">
        <v>35</v>
      </c>
      <c r="H5278" t="s">
        <v>35</v>
      </c>
      <c r="J5278" t="s">
        <v>5776</v>
      </c>
      <c r="K5278" t="s">
        <v>1092</v>
      </c>
      <c r="M5278">
        <v>9.65</v>
      </c>
      <c r="N5278">
        <v>214</v>
      </c>
      <c r="O5278" t="s">
        <v>5</v>
      </c>
      <c r="Q5278" t="s">
        <v>537</v>
      </c>
      <c r="R5278" t="s">
        <v>730</v>
      </c>
      <c r="S5278" t="s">
        <v>731</v>
      </c>
    </row>
    <row r="5279" spans="1:19" x14ac:dyDescent="0.25">
      <c r="A5279" t="s">
        <v>59</v>
      </c>
      <c r="B5279" t="s">
        <v>31</v>
      </c>
      <c r="C5279" t="s">
        <v>32</v>
      </c>
      <c r="D5279" t="s">
        <v>719</v>
      </c>
      <c r="E5279" t="s">
        <v>5756</v>
      </c>
      <c r="F5279" t="s">
        <v>35</v>
      </c>
      <c r="G5279" t="s">
        <v>35</v>
      </c>
      <c r="H5279" t="s">
        <v>35</v>
      </c>
      <c r="J5279" t="s">
        <v>5777</v>
      </c>
      <c r="K5279" t="s">
        <v>1092</v>
      </c>
      <c r="M5279">
        <v>0.34</v>
      </c>
      <c r="N5279">
        <v>1221</v>
      </c>
      <c r="O5279" t="s">
        <v>575</v>
      </c>
      <c r="Q5279" t="s">
        <v>4540</v>
      </c>
      <c r="R5279" t="s">
        <v>5601</v>
      </c>
      <c r="S5279" t="s">
        <v>5602</v>
      </c>
    </row>
    <row r="5280" spans="1:19" x14ac:dyDescent="0.25">
      <c r="A5280" t="s">
        <v>59</v>
      </c>
      <c r="B5280" t="s">
        <v>31</v>
      </c>
      <c r="C5280" t="s">
        <v>32</v>
      </c>
      <c r="D5280" t="s">
        <v>719</v>
      </c>
      <c r="E5280" t="s">
        <v>5756</v>
      </c>
      <c r="F5280" t="s">
        <v>35</v>
      </c>
      <c r="G5280" t="s">
        <v>35</v>
      </c>
      <c r="H5280" t="s">
        <v>35</v>
      </c>
      <c r="J5280" t="s">
        <v>5778</v>
      </c>
      <c r="K5280" t="s">
        <v>1092</v>
      </c>
      <c r="M5280">
        <v>0.22500000000000001</v>
      </c>
      <c r="N5280">
        <v>172</v>
      </c>
      <c r="O5280" t="s">
        <v>38</v>
      </c>
      <c r="Q5280" t="s">
        <v>1124</v>
      </c>
      <c r="R5280" t="s">
        <v>730</v>
      </c>
      <c r="S5280" t="s">
        <v>731</v>
      </c>
    </row>
    <row r="5281" spans="1:19" x14ac:dyDescent="0.25">
      <c r="A5281" t="s">
        <v>30</v>
      </c>
      <c r="B5281" t="s">
        <v>31</v>
      </c>
      <c r="C5281" t="s">
        <v>32</v>
      </c>
      <c r="D5281" t="s">
        <v>719</v>
      </c>
      <c r="E5281" t="s">
        <v>5756</v>
      </c>
      <c r="F5281" t="s">
        <v>35</v>
      </c>
      <c r="G5281" t="s">
        <v>35</v>
      </c>
      <c r="H5281" t="s">
        <v>35</v>
      </c>
      <c r="J5281" t="s">
        <v>5779</v>
      </c>
      <c r="K5281" t="s">
        <v>1092</v>
      </c>
      <c r="M5281">
        <v>6.3449999999999998</v>
      </c>
      <c r="N5281">
        <v>155</v>
      </c>
      <c r="O5281" t="s">
        <v>38</v>
      </c>
      <c r="Q5281" t="s">
        <v>3942</v>
      </c>
      <c r="R5281" t="s">
        <v>730</v>
      </c>
      <c r="S5281" t="s">
        <v>731</v>
      </c>
    </row>
    <row r="5282" spans="1:19" x14ac:dyDescent="0.25">
      <c r="A5282" t="s">
        <v>30</v>
      </c>
      <c r="B5282" t="s">
        <v>31</v>
      </c>
      <c r="C5282" t="s">
        <v>32</v>
      </c>
      <c r="D5282" t="s">
        <v>719</v>
      </c>
      <c r="E5282" t="s">
        <v>5756</v>
      </c>
      <c r="F5282" t="s">
        <v>35</v>
      </c>
      <c r="G5282" t="s">
        <v>35</v>
      </c>
      <c r="H5282" t="s">
        <v>35</v>
      </c>
      <c r="J5282" t="s">
        <v>5780</v>
      </c>
      <c r="K5282" t="s">
        <v>1092</v>
      </c>
      <c r="M5282">
        <v>0.18</v>
      </c>
      <c r="N5282">
        <v>43</v>
      </c>
      <c r="O5282" t="s">
        <v>52</v>
      </c>
      <c r="Q5282" t="s">
        <v>892</v>
      </c>
      <c r="R5282" t="s">
        <v>5585</v>
      </c>
      <c r="S5282" t="s">
        <v>739</v>
      </c>
    </row>
    <row r="5283" spans="1:19" x14ac:dyDescent="0.25">
      <c r="A5283" t="s">
        <v>30</v>
      </c>
      <c r="B5283" t="s">
        <v>31</v>
      </c>
      <c r="C5283" t="s">
        <v>32</v>
      </c>
      <c r="D5283" t="s">
        <v>719</v>
      </c>
      <c r="E5283" t="s">
        <v>5756</v>
      </c>
      <c r="F5283" t="s">
        <v>35</v>
      </c>
      <c r="G5283" t="s">
        <v>35</v>
      </c>
      <c r="H5283" t="s">
        <v>35</v>
      </c>
      <c r="J5283" t="s">
        <v>5781</v>
      </c>
      <c r="K5283" t="s">
        <v>1092</v>
      </c>
      <c r="M5283">
        <v>0.54</v>
      </c>
      <c r="N5283">
        <v>43</v>
      </c>
      <c r="O5283" t="s">
        <v>52</v>
      </c>
      <c r="Q5283" t="s">
        <v>892</v>
      </c>
      <c r="R5283" t="s">
        <v>5585</v>
      </c>
      <c r="S5283" t="s">
        <v>739</v>
      </c>
    </row>
    <row r="5284" spans="1:19" x14ac:dyDescent="0.25">
      <c r="A5284" t="s">
        <v>59</v>
      </c>
      <c r="B5284" t="s">
        <v>31</v>
      </c>
      <c r="C5284" t="s">
        <v>32</v>
      </c>
      <c r="D5284" t="s">
        <v>719</v>
      </c>
      <c r="E5284" t="s">
        <v>5782</v>
      </c>
      <c r="F5284" t="s">
        <v>35</v>
      </c>
      <c r="G5284" t="s">
        <v>35</v>
      </c>
      <c r="H5284" t="s">
        <v>35</v>
      </c>
      <c r="J5284" t="s">
        <v>8254</v>
      </c>
      <c r="K5284" t="s">
        <v>1092</v>
      </c>
      <c r="M5284">
        <v>11.025</v>
      </c>
      <c r="N5284">
        <v>3</v>
      </c>
      <c r="O5284" t="s">
        <v>46</v>
      </c>
      <c r="Q5284" t="s">
        <v>8153</v>
      </c>
      <c r="R5284" t="s">
        <v>730</v>
      </c>
      <c r="S5284" t="s">
        <v>731</v>
      </c>
    </row>
    <row r="5285" spans="1:19" x14ac:dyDescent="0.25">
      <c r="A5285" t="s">
        <v>59</v>
      </c>
      <c r="B5285" t="s">
        <v>60</v>
      </c>
      <c r="C5285" t="s">
        <v>32</v>
      </c>
      <c r="D5285" t="s">
        <v>719</v>
      </c>
      <c r="E5285" t="s">
        <v>5782</v>
      </c>
      <c r="F5285" t="s">
        <v>35</v>
      </c>
      <c r="G5285" t="s">
        <v>35</v>
      </c>
      <c r="H5285" t="s">
        <v>35</v>
      </c>
      <c r="J5285" t="s">
        <v>5783</v>
      </c>
      <c r="K5285" t="s">
        <v>1092</v>
      </c>
      <c r="M5285">
        <v>1.4</v>
      </c>
      <c r="N5285">
        <v>217</v>
      </c>
      <c r="O5285" t="s">
        <v>5</v>
      </c>
      <c r="Q5285" t="s">
        <v>1159</v>
      </c>
      <c r="R5285" t="s">
        <v>725</v>
      </c>
      <c r="S5285" t="s">
        <v>726</v>
      </c>
    </row>
    <row r="5286" spans="1:19" x14ac:dyDescent="0.25">
      <c r="A5286" t="s">
        <v>59</v>
      </c>
      <c r="B5286" t="s">
        <v>31</v>
      </c>
      <c r="C5286" t="s">
        <v>32</v>
      </c>
      <c r="D5286" t="s">
        <v>719</v>
      </c>
      <c r="E5286" t="s">
        <v>5782</v>
      </c>
      <c r="F5286" t="s">
        <v>35</v>
      </c>
      <c r="G5286" t="s">
        <v>35</v>
      </c>
      <c r="H5286" t="s">
        <v>35</v>
      </c>
      <c r="J5286" t="s">
        <v>5784</v>
      </c>
      <c r="K5286" t="s">
        <v>1092</v>
      </c>
      <c r="M5286">
        <v>8.73</v>
      </c>
      <c r="N5286">
        <v>131</v>
      </c>
      <c r="O5286" t="s">
        <v>38</v>
      </c>
      <c r="Q5286" t="s">
        <v>646</v>
      </c>
      <c r="R5286" t="s">
        <v>730</v>
      </c>
      <c r="S5286" t="s">
        <v>731</v>
      </c>
    </row>
    <row r="5287" spans="1:19" x14ac:dyDescent="0.25">
      <c r="A5287" t="s">
        <v>30</v>
      </c>
      <c r="B5287" t="s">
        <v>31</v>
      </c>
      <c r="C5287" t="s">
        <v>32</v>
      </c>
      <c r="D5287" t="s">
        <v>719</v>
      </c>
      <c r="E5287" t="s">
        <v>5782</v>
      </c>
      <c r="F5287" t="s">
        <v>35</v>
      </c>
      <c r="G5287" t="s">
        <v>35</v>
      </c>
      <c r="H5287" t="s">
        <v>35</v>
      </c>
      <c r="J5287" t="s">
        <v>2063</v>
      </c>
      <c r="K5287" t="s">
        <v>1092</v>
      </c>
      <c r="M5287">
        <v>3.6</v>
      </c>
      <c r="N5287">
        <v>130</v>
      </c>
      <c r="O5287" t="s">
        <v>38</v>
      </c>
      <c r="Q5287" t="s">
        <v>1656</v>
      </c>
      <c r="R5287" t="s">
        <v>5454</v>
      </c>
      <c r="S5287" t="s">
        <v>756</v>
      </c>
    </row>
    <row r="5288" spans="1:19" x14ac:dyDescent="0.25">
      <c r="A5288" t="s">
        <v>59</v>
      </c>
      <c r="B5288" t="s">
        <v>31</v>
      </c>
      <c r="C5288" t="s">
        <v>32</v>
      </c>
      <c r="D5288" t="s">
        <v>719</v>
      </c>
      <c r="E5288" t="s">
        <v>5782</v>
      </c>
      <c r="F5288" t="s">
        <v>35</v>
      </c>
      <c r="G5288" t="s">
        <v>35</v>
      </c>
      <c r="H5288" t="s">
        <v>35</v>
      </c>
      <c r="J5288" t="s">
        <v>5785</v>
      </c>
      <c r="K5288" t="s">
        <v>1092</v>
      </c>
      <c r="M5288">
        <v>9.9</v>
      </c>
      <c r="N5288">
        <v>131</v>
      </c>
      <c r="O5288" t="s">
        <v>38</v>
      </c>
      <c r="Q5288" t="s">
        <v>646</v>
      </c>
      <c r="R5288" t="s">
        <v>730</v>
      </c>
      <c r="S5288" t="s">
        <v>731</v>
      </c>
    </row>
    <row r="5289" spans="1:19" x14ac:dyDescent="0.25">
      <c r="A5289" t="s">
        <v>30</v>
      </c>
      <c r="B5289" t="s">
        <v>31</v>
      </c>
      <c r="C5289" t="s">
        <v>32</v>
      </c>
      <c r="D5289" t="s">
        <v>719</v>
      </c>
      <c r="E5289" t="s">
        <v>5782</v>
      </c>
      <c r="F5289" t="s">
        <v>35</v>
      </c>
      <c r="G5289" t="s">
        <v>35</v>
      </c>
      <c r="H5289" t="s">
        <v>35</v>
      </c>
      <c r="J5289" t="s">
        <v>5786</v>
      </c>
      <c r="K5289" t="s">
        <v>1092</v>
      </c>
      <c r="M5289">
        <v>11.025</v>
      </c>
      <c r="N5289">
        <v>97</v>
      </c>
      <c r="O5289" t="s">
        <v>106</v>
      </c>
      <c r="Q5289" t="s">
        <v>557</v>
      </c>
      <c r="R5289" t="s">
        <v>730</v>
      </c>
      <c r="S5289" t="s">
        <v>731</v>
      </c>
    </row>
    <row r="5290" spans="1:19" x14ac:dyDescent="0.25">
      <c r="A5290" t="s">
        <v>30</v>
      </c>
      <c r="B5290" t="s">
        <v>31</v>
      </c>
      <c r="C5290" t="s">
        <v>32</v>
      </c>
      <c r="D5290" t="s">
        <v>719</v>
      </c>
      <c r="E5290" t="s">
        <v>5782</v>
      </c>
      <c r="F5290" t="s">
        <v>35</v>
      </c>
      <c r="G5290" t="s">
        <v>35</v>
      </c>
      <c r="H5290" t="s">
        <v>35</v>
      </c>
      <c r="J5290" t="s">
        <v>5786</v>
      </c>
      <c r="K5290" t="s">
        <v>1092</v>
      </c>
      <c r="M5290">
        <v>5.9850000000000003</v>
      </c>
      <c r="N5290">
        <v>6</v>
      </c>
      <c r="O5290" t="s">
        <v>46</v>
      </c>
      <c r="Q5290" t="s">
        <v>8168</v>
      </c>
      <c r="R5290" t="s">
        <v>5439</v>
      </c>
      <c r="S5290" t="s">
        <v>5440</v>
      </c>
    </row>
    <row r="5291" spans="1:19" x14ac:dyDescent="0.25">
      <c r="A5291" t="s">
        <v>30</v>
      </c>
      <c r="B5291" t="s">
        <v>31</v>
      </c>
      <c r="C5291" t="s">
        <v>32</v>
      </c>
      <c r="D5291" t="s">
        <v>719</v>
      </c>
      <c r="E5291" t="s">
        <v>5782</v>
      </c>
      <c r="F5291" t="s">
        <v>35</v>
      </c>
      <c r="G5291" t="s">
        <v>35</v>
      </c>
      <c r="H5291" t="s">
        <v>35</v>
      </c>
      <c r="J5291" t="s">
        <v>5787</v>
      </c>
      <c r="K5291" t="s">
        <v>1092</v>
      </c>
      <c r="M5291">
        <v>13.5</v>
      </c>
      <c r="N5291">
        <v>77</v>
      </c>
      <c r="O5291" t="s">
        <v>61</v>
      </c>
      <c r="Q5291" t="s">
        <v>305</v>
      </c>
      <c r="R5291" t="s">
        <v>5432</v>
      </c>
      <c r="S5291" t="s">
        <v>759</v>
      </c>
    </row>
    <row r="5292" spans="1:19" x14ac:dyDescent="0.25">
      <c r="A5292" t="s">
        <v>30</v>
      </c>
      <c r="B5292" t="s">
        <v>31</v>
      </c>
      <c r="C5292" t="s">
        <v>32</v>
      </c>
      <c r="D5292" t="s">
        <v>719</v>
      </c>
      <c r="E5292" t="s">
        <v>5782</v>
      </c>
      <c r="F5292" t="s">
        <v>35</v>
      </c>
      <c r="G5292" t="s">
        <v>35</v>
      </c>
      <c r="H5292" t="s">
        <v>35</v>
      </c>
      <c r="J5292" t="s">
        <v>5788</v>
      </c>
      <c r="K5292" t="s">
        <v>1092</v>
      </c>
      <c r="M5292">
        <v>3.4649999999999999</v>
      </c>
      <c r="N5292">
        <v>97</v>
      </c>
      <c r="O5292" t="s">
        <v>106</v>
      </c>
      <c r="Q5292" t="s">
        <v>557</v>
      </c>
      <c r="R5292" t="s">
        <v>730</v>
      </c>
      <c r="S5292" t="s">
        <v>731</v>
      </c>
    </row>
    <row r="5293" spans="1:19" x14ac:dyDescent="0.25">
      <c r="A5293" t="s">
        <v>30</v>
      </c>
      <c r="B5293" t="s">
        <v>31</v>
      </c>
      <c r="C5293" t="s">
        <v>32</v>
      </c>
      <c r="D5293" t="s">
        <v>719</v>
      </c>
      <c r="E5293" t="s">
        <v>5782</v>
      </c>
      <c r="F5293" t="s">
        <v>35</v>
      </c>
      <c r="G5293" t="s">
        <v>35</v>
      </c>
      <c r="H5293" t="s">
        <v>35</v>
      </c>
      <c r="J5293" t="s">
        <v>5788</v>
      </c>
      <c r="K5293" t="s">
        <v>1092</v>
      </c>
      <c r="M5293">
        <v>11.025</v>
      </c>
      <c r="N5293">
        <v>94</v>
      </c>
      <c r="O5293" t="s">
        <v>106</v>
      </c>
      <c r="Q5293" t="s">
        <v>394</v>
      </c>
      <c r="R5293" t="s">
        <v>730</v>
      </c>
      <c r="S5293" t="s">
        <v>731</v>
      </c>
    </row>
    <row r="5294" spans="1:19" x14ac:dyDescent="0.25">
      <c r="A5294" t="s">
        <v>30</v>
      </c>
      <c r="B5294" t="s">
        <v>31</v>
      </c>
      <c r="C5294" t="s">
        <v>32</v>
      </c>
      <c r="D5294" t="s">
        <v>719</v>
      </c>
      <c r="E5294" t="s">
        <v>5782</v>
      </c>
      <c r="F5294" t="s">
        <v>35</v>
      </c>
      <c r="G5294" t="s">
        <v>35</v>
      </c>
      <c r="H5294" t="s">
        <v>35</v>
      </c>
      <c r="J5294" t="s">
        <v>5789</v>
      </c>
      <c r="K5294" t="s">
        <v>1092</v>
      </c>
      <c r="M5294">
        <v>8.01</v>
      </c>
      <c r="N5294">
        <v>229</v>
      </c>
      <c r="O5294" t="s">
        <v>5</v>
      </c>
      <c r="Q5294" t="s">
        <v>1562</v>
      </c>
      <c r="R5294" t="s">
        <v>5432</v>
      </c>
      <c r="S5294" t="s">
        <v>759</v>
      </c>
    </row>
    <row r="5295" spans="1:19" x14ac:dyDescent="0.25">
      <c r="A5295" t="s">
        <v>59</v>
      </c>
      <c r="B5295" t="s">
        <v>31</v>
      </c>
      <c r="C5295" t="s">
        <v>32</v>
      </c>
      <c r="D5295" t="s">
        <v>719</v>
      </c>
      <c r="E5295" t="s">
        <v>5782</v>
      </c>
      <c r="F5295" t="s">
        <v>35</v>
      </c>
      <c r="G5295" t="s">
        <v>35</v>
      </c>
      <c r="H5295" t="s">
        <v>35</v>
      </c>
      <c r="J5295" t="s">
        <v>8255</v>
      </c>
      <c r="K5295" t="s">
        <v>1092</v>
      </c>
      <c r="M5295">
        <v>8.3249999999999993</v>
      </c>
      <c r="N5295">
        <v>7</v>
      </c>
      <c r="O5295" t="s">
        <v>46</v>
      </c>
      <c r="Q5295" t="s">
        <v>8164</v>
      </c>
      <c r="R5295" t="s">
        <v>5432</v>
      </c>
      <c r="S5295" t="s">
        <v>759</v>
      </c>
    </row>
    <row r="5296" spans="1:19" x14ac:dyDescent="0.25">
      <c r="A5296" t="s">
        <v>30</v>
      </c>
      <c r="B5296" t="s">
        <v>31</v>
      </c>
      <c r="C5296" t="s">
        <v>32</v>
      </c>
      <c r="D5296" t="s">
        <v>719</v>
      </c>
      <c r="E5296" t="s">
        <v>5782</v>
      </c>
      <c r="F5296" t="s">
        <v>35</v>
      </c>
      <c r="G5296" t="s">
        <v>35</v>
      </c>
      <c r="H5296" t="s">
        <v>35</v>
      </c>
      <c r="J5296" t="s">
        <v>5790</v>
      </c>
      <c r="K5296" t="s">
        <v>1092</v>
      </c>
      <c r="M5296">
        <v>9.5850000000000009</v>
      </c>
      <c r="N5296">
        <v>68</v>
      </c>
      <c r="O5296" t="s">
        <v>61</v>
      </c>
      <c r="Q5296" t="s">
        <v>146</v>
      </c>
      <c r="R5296" t="s">
        <v>5432</v>
      </c>
      <c r="S5296" t="s">
        <v>759</v>
      </c>
    </row>
    <row r="5297" spans="1:19" x14ac:dyDescent="0.25">
      <c r="A5297" t="s">
        <v>30</v>
      </c>
      <c r="B5297" t="s">
        <v>31</v>
      </c>
      <c r="C5297" t="s">
        <v>32</v>
      </c>
      <c r="D5297" t="s">
        <v>719</v>
      </c>
      <c r="E5297" t="s">
        <v>5782</v>
      </c>
      <c r="F5297" t="s">
        <v>35</v>
      </c>
      <c r="G5297" t="s">
        <v>35</v>
      </c>
      <c r="H5297" t="s">
        <v>35</v>
      </c>
      <c r="J5297" t="s">
        <v>5791</v>
      </c>
      <c r="K5297" t="s">
        <v>1092</v>
      </c>
      <c r="M5297">
        <v>4.7249999999999996</v>
      </c>
      <c r="N5297">
        <v>97</v>
      </c>
      <c r="O5297" t="s">
        <v>106</v>
      </c>
      <c r="Q5297" t="s">
        <v>557</v>
      </c>
      <c r="R5297" t="s">
        <v>730</v>
      </c>
      <c r="S5297" t="s">
        <v>731</v>
      </c>
    </row>
    <row r="5298" spans="1:19" x14ac:dyDescent="0.25">
      <c r="A5298" t="s">
        <v>59</v>
      </c>
      <c r="B5298" t="s">
        <v>31</v>
      </c>
      <c r="C5298" t="s">
        <v>32</v>
      </c>
      <c r="D5298" t="s">
        <v>719</v>
      </c>
      <c r="E5298" t="s">
        <v>5782</v>
      </c>
      <c r="F5298" t="s">
        <v>35</v>
      </c>
      <c r="G5298" t="s">
        <v>35</v>
      </c>
      <c r="H5298" t="s">
        <v>35</v>
      </c>
      <c r="J5298" t="s">
        <v>5792</v>
      </c>
      <c r="K5298" t="s">
        <v>1092</v>
      </c>
      <c r="M5298">
        <v>16.29</v>
      </c>
      <c r="N5298">
        <v>132</v>
      </c>
      <c r="O5298" t="s">
        <v>38</v>
      </c>
      <c r="Q5298" t="s">
        <v>2901</v>
      </c>
      <c r="R5298" t="s">
        <v>5432</v>
      </c>
      <c r="S5298" t="s">
        <v>759</v>
      </c>
    </row>
    <row r="5299" spans="1:19" x14ac:dyDescent="0.25">
      <c r="A5299" t="s">
        <v>30</v>
      </c>
      <c r="B5299" t="s">
        <v>31</v>
      </c>
      <c r="C5299" t="s">
        <v>32</v>
      </c>
      <c r="D5299" t="s">
        <v>719</v>
      </c>
      <c r="E5299" t="s">
        <v>5782</v>
      </c>
      <c r="F5299" t="s">
        <v>35</v>
      </c>
      <c r="G5299" t="s">
        <v>35</v>
      </c>
      <c r="H5299" t="s">
        <v>35</v>
      </c>
      <c r="J5299" t="s">
        <v>5793</v>
      </c>
      <c r="K5299" t="s">
        <v>1092</v>
      </c>
      <c r="M5299">
        <v>10.215</v>
      </c>
      <c r="N5299">
        <v>98</v>
      </c>
      <c r="O5299" t="s">
        <v>106</v>
      </c>
      <c r="Q5299" t="s">
        <v>108</v>
      </c>
      <c r="R5299" t="s">
        <v>5454</v>
      </c>
      <c r="S5299" t="s">
        <v>756</v>
      </c>
    </row>
    <row r="5300" spans="1:19" x14ac:dyDescent="0.25">
      <c r="A5300" t="s">
        <v>30</v>
      </c>
      <c r="B5300" t="s">
        <v>31</v>
      </c>
      <c r="C5300" t="s">
        <v>32</v>
      </c>
      <c r="D5300" t="s">
        <v>719</v>
      </c>
      <c r="E5300" t="s">
        <v>5782</v>
      </c>
      <c r="F5300" t="s">
        <v>35</v>
      </c>
      <c r="G5300" t="s">
        <v>35</v>
      </c>
      <c r="H5300" t="s">
        <v>35</v>
      </c>
      <c r="J5300" t="s">
        <v>5794</v>
      </c>
      <c r="K5300" t="s">
        <v>1092</v>
      </c>
      <c r="M5300">
        <v>5.1749999999999998</v>
      </c>
      <c r="N5300">
        <v>133</v>
      </c>
      <c r="O5300" t="s">
        <v>38</v>
      </c>
      <c r="Q5300" t="s">
        <v>68</v>
      </c>
      <c r="R5300" t="s">
        <v>5454</v>
      </c>
      <c r="S5300" t="s">
        <v>756</v>
      </c>
    </row>
    <row r="5301" spans="1:19" x14ac:dyDescent="0.25">
      <c r="A5301" t="s">
        <v>59</v>
      </c>
      <c r="B5301" t="s">
        <v>31</v>
      </c>
      <c r="C5301" t="s">
        <v>32</v>
      </c>
      <c r="D5301" t="s">
        <v>719</v>
      </c>
      <c r="E5301" t="s">
        <v>5782</v>
      </c>
      <c r="F5301" t="s">
        <v>35</v>
      </c>
      <c r="G5301" t="s">
        <v>35</v>
      </c>
      <c r="H5301" t="s">
        <v>35</v>
      </c>
      <c r="J5301" t="s">
        <v>5794</v>
      </c>
      <c r="K5301" t="s">
        <v>1092</v>
      </c>
      <c r="M5301">
        <v>4.8150000000000004</v>
      </c>
      <c r="N5301">
        <v>131</v>
      </c>
      <c r="O5301" t="s">
        <v>38</v>
      </c>
      <c r="Q5301" t="s">
        <v>646</v>
      </c>
      <c r="R5301" t="s">
        <v>5454</v>
      </c>
      <c r="S5301" t="s">
        <v>756</v>
      </c>
    </row>
    <row r="5302" spans="1:19" x14ac:dyDescent="0.25">
      <c r="A5302" t="s">
        <v>59</v>
      </c>
      <c r="B5302" t="s">
        <v>31</v>
      </c>
      <c r="C5302" t="s">
        <v>32</v>
      </c>
      <c r="D5302" t="s">
        <v>719</v>
      </c>
      <c r="E5302" t="s">
        <v>5795</v>
      </c>
      <c r="F5302" t="s">
        <v>35</v>
      </c>
      <c r="G5302" t="s">
        <v>35</v>
      </c>
      <c r="H5302" t="s">
        <v>35</v>
      </c>
      <c r="J5302" t="s">
        <v>8256</v>
      </c>
      <c r="K5302" t="s">
        <v>1092</v>
      </c>
      <c r="M5302">
        <v>10.125</v>
      </c>
      <c r="N5302">
        <v>7</v>
      </c>
      <c r="O5302" t="s">
        <v>46</v>
      </c>
      <c r="Q5302" t="s">
        <v>8164</v>
      </c>
      <c r="R5302" t="s">
        <v>5454</v>
      </c>
      <c r="S5302" t="s">
        <v>756</v>
      </c>
    </row>
    <row r="5303" spans="1:19" x14ac:dyDescent="0.25">
      <c r="A5303" t="s">
        <v>30</v>
      </c>
      <c r="B5303" t="s">
        <v>31</v>
      </c>
      <c r="C5303" t="s">
        <v>32</v>
      </c>
      <c r="D5303" t="s">
        <v>719</v>
      </c>
      <c r="E5303" t="s">
        <v>5795</v>
      </c>
      <c r="F5303" t="s">
        <v>35</v>
      </c>
      <c r="G5303" t="s">
        <v>35</v>
      </c>
      <c r="H5303" t="s">
        <v>35</v>
      </c>
      <c r="J5303" t="s">
        <v>5796</v>
      </c>
      <c r="K5303" t="s">
        <v>1092</v>
      </c>
      <c r="M5303">
        <v>6.5000000000000002E-2</v>
      </c>
      <c r="N5303">
        <v>98</v>
      </c>
      <c r="O5303" t="s">
        <v>106</v>
      </c>
      <c r="Q5303" t="s">
        <v>108</v>
      </c>
      <c r="R5303" t="s">
        <v>5454</v>
      </c>
      <c r="S5303" t="s">
        <v>756</v>
      </c>
    </row>
    <row r="5304" spans="1:19" x14ac:dyDescent="0.25">
      <c r="A5304" t="s">
        <v>30</v>
      </c>
      <c r="B5304" t="s">
        <v>31</v>
      </c>
      <c r="C5304" t="s">
        <v>32</v>
      </c>
      <c r="D5304" t="s">
        <v>719</v>
      </c>
      <c r="E5304" t="s">
        <v>5795</v>
      </c>
      <c r="F5304" t="s">
        <v>35</v>
      </c>
      <c r="G5304" t="s">
        <v>35</v>
      </c>
      <c r="H5304" t="s">
        <v>35</v>
      </c>
      <c r="J5304" t="s">
        <v>5797</v>
      </c>
      <c r="K5304" t="s">
        <v>1092</v>
      </c>
      <c r="M5304">
        <v>2.61</v>
      </c>
      <c r="N5304">
        <v>37</v>
      </c>
      <c r="O5304" t="s">
        <v>52</v>
      </c>
      <c r="Q5304" t="s">
        <v>3499</v>
      </c>
      <c r="R5304" t="s">
        <v>5461</v>
      </c>
      <c r="S5304" t="s">
        <v>479</v>
      </c>
    </row>
    <row r="5305" spans="1:19" x14ac:dyDescent="0.25">
      <c r="A5305" t="s">
        <v>59</v>
      </c>
      <c r="B5305" t="s">
        <v>60</v>
      </c>
      <c r="C5305" t="s">
        <v>32</v>
      </c>
      <c r="D5305" t="s">
        <v>719</v>
      </c>
      <c r="E5305" t="s">
        <v>5795</v>
      </c>
      <c r="F5305" t="s">
        <v>35</v>
      </c>
      <c r="G5305" t="s">
        <v>35</v>
      </c>
      <c r="H5305" t="s">
        <v>35</v>
      </c>
      <c r="J5305" t="s">
        <v>5798</v>
      </c>
      <c r="K5305" t="s">
        <v>1092</v>
      </c>
      <c r="M5305">
        <v>6.5</v>
      </c>
      <c r="N5305">
        <v>151</v>
      </c>
      <c r="O5305" t="s">
        <v>38</v>
      </c>
      <c r="Q5305" t="s">
        <v>1269</v>
      </c>
      <c r="R5305" t="s">
        <v>501</v>
      </c>
      <c r="S5305" t="s">
        <v>502</v>
      </c>
    </row>
    <row r="5306" spans="1:19" x14ac:dyDescent="0.25">
      <c r="A5306" t="s">
        <v>30</v>
      </c>
      <c r="B5306" t="s">
        <v>31</v>
      </c>
      <c r="C5306" t="s">
        <v>32</v>
      </c>
      <c r="D5306" t="s">
        <v>719</v>
      </c>
      <c r="E5306" t="s">
        <v>5795</v>
      </c>
      <c r="F5306" t="s">
        <v>35</v>
      </c>
      <c r="G5306" t="s">
        <v>35</v>
      </c>
      <c r="H5306" t="s">
        <v>35</v>
      </c>
      <c r="J5306" t="s">
        <v>5799</v>
      </c>
      <c r="K5306" t="s">
        <v>1092</v>
      </c>
      <c r="M5306">
        <v>11.025</v>
      </c>
      <c r="N5306">
        <v>94</v>
      </c>
      <c r="O5306" t="s">
        <v>106</v>
      </c>
      <c r="Q5306" t="s">
        <v>394</v>
      </c>
      <c r="R5306" t="s">
        <v>730</v>
      </c>
      <c r="S5306" t="s">
        <v>731</v>
      </c>
    </row>
    <row r="5307" spans="1:19" x14ac:dyDescent="0.25">
      <c r="A5307" t="s">
        <v>59</v>
      </c>
      <c r="B5307" t="s">
        <v>31</v>
      </c>
      <c r="C5307" t="s">
        <v>32</v>
      </c>
      <c r="D5307" t="s">
        <v>719</v>
      </c>
      <c r="E5307" t="s">
        <v>5795</v>
      </c>
      <c r="F5307" t="s">
        <v>35</v>
      </c>
      <c r="G5307" t="s">
        <v>35</v>
      </c>
      <c r="H5307" t="s">
        <v>35</v>
      </c>
      <c r="J5307" t="s">
        <v>5799</v>
      </c>
      <c r="K5307" t="s">
        <v>1092</v>
      </c>
      <c r="M5307">
        <v>0.72</v>
      </c>
      <c r="N5307">
        <v>898</v>
      </c>
      <c r="O5307" t="s">
        <v>575</v>
      </c>
      <c r="Q5307" t="s">
        <v>5237</v>
      </c>
      <c r="R5307" t="s">
        <v>730</v>
      </c>
      <c r="S5307" t="s">
        <v>731</v>
      </c>
    </row>
    <row r="5308" spans="1:19" x14ac:dyDescent="0.25">
      <c r="A5308" t="s">
        <v>59</v>
      </c>
      <c r="B5308" t="s">
        <v>60</v>
      </c>
      <c r="C5308" t="s">
        <v>32</v>
      </c>
      <c r="D5308" t="s">
        <v>719</v>
      </c>
      <c r="E5308" t="s">
        <v>5795</v>
      </c>
      <c r="F5308" t="s">
        <v>35</v>
      </c>
      <c r="G5308" t="s">
        <v>35</v>
      </c>
      <c r="H5308" t="s">
        <v>35</v>
      </c>
      <c r="J5308" t="s">
        <v>5799</v>
      </c>
      <c r="K5308" t="s">
        <v>1092</v>
      </c>
      <c r="M5308">
        <v>0.95</v>
      </c>
      <c r="N5308">
        <v>899</v>
      </c>
      <c r="O5308" t="s">
        <v>575</v>
      </c>
      <c r="Q5308" t="s">
        <v>5800</v>
      </c>
      <c r="R5308" t="s">
        <v>730</v>
      </c>
      <c r="S5308" t="s">
        <v>731</v>
      </c>
    </row>
    <row r="5309" spans="1:19" x14ac:dyDescent="0.25">
      <c r="A5309" t="s">
        <v>30</v>
      </c>
      <c r="B5309" t="s">
        <v>31</v>
      </c>
      <c r="C5309" t="s">
        <v>32</v>
      </c>
      <c r="D5309" t="s">
        <v>719</v>
      </c>
      <c r="E5309" t="s">
        <v>5795</v>
      </c>
      <c r="F5309" t="s">
        <v>35</v>
      </c>
      <c r="G5309" t="s">
        <v>35</v>
      </c>
      <c r="H5309" t="s">
        <v>35</v>
      </c>
      <c r="J5309" t="s">
        <v>5799</v>
      </c>
      <c r="K5309" t="s">
        <v>1092</v>
      </c>
      <c r="M5309">
        <v>4.6349999999999998</v>
      </c>
      <c r="N5309">
        <v>227</v>
      </c>
      <c r="O5309" t="s">
        <v>5</v>
      </c>
      <c r="Q5309" t="s">
        <v>2236</v>
      </c>
      <c r="R5309" t="s">
        <v>730</v>
      </c>
      <c r="S5309" t="s">
        <v>731</v>
      </c>
    </row>
    <row r="5310" spans="1:19" x14ac:dyDescent="0.25">
      <c r="A5310" t="s">
        <v>30</v>
      </c>
      <c r="B5310" t="s">
        <v>31</v>
      </c>
      <c r="C5310" t="s">
        <v>32</v>
      </c>
      <c r="D5310" t="s">
        <v>719</v>
      </c>
      <c r="E5310" t="s">
        <v>5795</v>
      </c>
      <c r="F5310" t="s">
        <v>35</v>
      </c>
      <c r="G5310" t="s">
        <v>35</v>
      </c>
      <c r="H5310" t="s">
        <v>35</v>
      </c>
      <c r="J5310" t="s">
        <v>5801</v>
      </c>
      <c r="K5310" t="s">
        <v>1092</v>
      </c>
      <c r="M5310">
        <v>0.9</v>
      </c>
      <c r="N5310">
        <v>532</v>
      </c>
      <c r="O5310" t="s">
        <v>294</v>
      </c>
      <c r="Q5310" t="s">
        <v>2400</v>
      </c>
      <c r="R5310" t="s">
        <v>5432</v>
      </c>
      <c r="S5310" t="s">
        <v>759</v>
      </c>
    </row>
    <row r="5311" spans="1:19" x14ac:dyDescent="0.25">
      <c r="A5311" t="s">
        <v>30</v>
      </c>
      <c r="B5311" t="s">
        <v>31</v>
      </c>
      <c r="C5311" t="s">
        <v>32</v>
      </c>
      <c r="D5311" t="s">
        <v>719</v>
      </c>
      <c r="E5311" t="s">
        <v>5795</v>
      </c>
      <c r="F5311" t="s">
        <v>35</v>
      </c>
      <c r="G5311" t="s">
        <v>35</v>
      </c>
      <c r="H5311" t="s">
        <v>35</v>
      </c>
      <c r="J5311" t="s">
        <v>5802</v>
      </c>
      <c r="K5311" t="s">
        <v>1092</v>
      </c>
      <c r="M5311">
        <v>11.025</v>
      </c>
      <c r="N5311">
        <v>49</v>
      </c>
      <c r="O5311" t="s">
        <v>52</v>
      </c>
      <c r="Q5311" t="s">
        <v>219</v>
      </c>
      <c r="R5311" t="s">
        <v>730</v>
      </c>
      <c r="S5311" t="s">
        <v>731</v>
      </c>
    </row>
    <row r="5312" spans="1:19" x14ac:dyDescent="0.25">
      <c r="A5312" t="s">
        <v>30</v>
      </c>
      <c r="B5312" t="s">
        <v>31</v>
      </c>
      <c r="C5312" t="s">
        <v>32</v>
      </c>
      <c r="D5312" t="s">
        <v>719</v>
      </c>
      <c r="E5312" t="s">
        <v>5795</v>
      </c>
      <c r="F5312" t="s">
        <v>35</v>
      </c>
      <c r="G5312" t="s">
        <v>35</v>
      </c>
      <c r="H5312" t="s">
        <v>35</v>
      </c>
      <c r="J5312" t="s">
        <v>5802</v>
      </c>
      <c r="K5312" t="s">
        <v>1092</v>
      </c>
      <c r="M5312">
        <v>11.025</v>
      </c>
      <c r="N5312">
        <v>94</v>
      </c>
      <c r="O5312" t="s">
        <v>106</v>
      </c>
      <c r="Q5312" t="s">
        <v>394</v>
      </c>
      <c r="R5312" t="s">
        <v>730</v>
      </c>
      <c r="S5312" t="s">
        <v>731</v>
      </c>
    </row>
    <row r="5313" spans="1:19" x14ac:dyDescent="0.25">
      <c r="A5313" t="s">
        <v>30</v>
      </c>
      <c r="B5313" t="s">
        <v>31</v>
      </c>
      <c r="C5313" t="s">
        <v>32</v>
      </c>
      <c r="D5313" t="s">
        <v>719</v>
      </c>
      <c r="E5313" t="s">
        <v>5795</v>
      </c>
      <c r="F5313" t="s">
        <v>35</v>
      </c>
      <c r="G5313" t="s">
        <v>35</v>
      </c>
      <c r="H5313" t="s">
        <v>35</v>
      </c>
      <c r="J5313" t="s">
        <v>5802</v>
      </c>
      <c r="K5313" t="s">
        <v>1092</v>
      </c>
      <c r="M5313">
        <v>3.69</v>
      </c>
      <c r="N5313">
        <v>222</v>
      </c>
      <c r="O5313" t="s">
        <v>5</v>
      </c>
      <c r="Q5313" t="s">
        <v>1746</v>
      </c>
      <c r="R5313" t="s">
        <v>5461</v>
      </c>
      <c r="S5313" t="s">
        <v>479</v>
      </c>
    </row>
    <row r="5314" spans="1:19" x14ac:dyDescent="0.25">
      <c r="A5314" t="s">
        <v>30</v>
      </c>
      <c r="B5314" t="s">
        <v>31</v>
      </c>
      <c r="C5314" t="s">
        <v>32</v>
      </c>
      <c r="D5314" t="s">
        <v>719</v>
      </c>
      <c r="E5314" t="s">
        <v>5795</v>
      </c>
      <c r="F5314" t="s">
        <v>35</v>
      </c>
      <c r="G5314" t="s">
        <v>35</v>
      </c>
      <c r="H5314" t="s">
        <v>35</v>
      </c>
      <c r="J5314" t="s">
        <v>5803</v>
      </c>
      <c r="K5314" t="s">
        <v>1092</v>
      </c>
      <c r="M5314">
        <v>5.49</v>
      </c>
      <c r="N5314">
        <v>49</v>
      </c>
      <c r="O5314" t="s">
        <v>52</v>
      </c>
      <c r="Q5314" t="s">
        <v>219</v>
      </c>
      <c r="R5314" t="s">
        <v>730</v>
      </c>
      <c r="S5314" t="s">
        <v>731</v>
      </c>
    </row>
    <row r="5315" spans="1:19" x14ac:dyDescent="0.25">
      <c r="A5315" t="s">
        <v>30</v>
      </c>
      <c r="B5315" t="s">
        <v>31</v>
      </c>
      <c r="C5315" t="s">
        <v>32</v>
      </c>
      <c r="D5315" t="s">
        <v>719</v>
      </c>
      <c r="E5315" t="s">
        <v>5795</v>
      </c>
      <c r="F5315" t="s">
        <v>35</v>
      </c>
      <c r="G5315" t="s">
        <v>35</v>
      </c>
      <c r="H5315" t="s">
        <v>35</v>
      </c>
      <c r="J5315" t="s">
        <v>5805</v>
      </c>
      <c r="K5315" t="s">
        <v>1092</v>
      </c>
      <c r="M5315">
        <v>7.65</v>
      </c>
      <c r="N5315">
        <v>49</v>
      </c>
      <c r="O5315" t="s">
        <v>52</v>
      </c>
      <c r="Q5315" t="s">
        <v>219</v>
      </c>
      <c r="R5315" t="s">
        <v>730</v>
      </c>
      <c r="S5315" t="s">
        <v>731</v>
      </c>
    </row>
    <row r="5316" spans="1:19" x14ac:dyDescent="0.25">
      <c r="A5316" t="s">
        <v>59</v>
      </c>
      <c r="B5316" t="s">
        <v>60</v>
      </c>
      <c r="C5316" t="s">
        <v>32</v>
      </c>
      <c r="D5316" t="s">
        <v>719</v>
      </c>
      <c r="E5316" t="s">
        <v>5795</v>
      </c>
      <c r="F5316" t="s">
        <v>35</v>
      </c>
      <c r="G5316" t="s">
        <v>35</v>
      </c>
      <c r="H5316" t="s">
        <v>35</v>
      </c>
      <c r="J5316" t="s">
        <v>5806</v>
      </c>
      <c r="K5316" t="s">
        <v>1092</v>
      </c>
      <c r="M5316">
        <v>0.3</v>
      </c>
      <c r="N5316">
        <v>1171</v>
      </c>
      <c r="O5316" t="s">
        <v>575</v>
      </c>
      <c r="Q5316" t="s">
        <v>5807</v>
      </c>
      <c r="R5316" t="s">
        <v>5526</v>
      </c>
      <c r="S5316" t="s">
        <v>5527</v>
      </c>
    </row>
    <row r="5317" spans="1:19" x14ac:dyDescent="0.25">
      <c r="A5317" t="s">
        <v>30</v>
      </c>
      <c r="B5317" t="s">
        <v>31</v>
      </c>
      <c r="C5317" t="s">
        <v>32</v>
      </c>
      <c r="D5317" t="s">
        <v>719</v>
      </c>
      <c r="E5317" t="s">
        <v>5795</v>
      </c>
      <c r="F5317" t="s">
        <v>35</v>
      </c>
      <c r="G5317" t="s">
        <v>35</v>
      </c>
      <c r="H5317" t="s">
        <v>35</v>
      </c>
      <c r="J5317" t="s">
        <v>5808</v>
      </c>
      <c r="K5317" t="s">
        <v>1092</v>
      </c>
      <c r="M5317">
        <v>10.8</v>
      </c>
      <c r="N5317">
        <v>60</v>
      </c>
      <c r="O5317" t="s">
        <v>52</v>
      </c>
      <c r="Q5317" t="s">
        <v>1734</v>
      </c>
      <c r="R5317" t="s">
        <v>735</v>
      </c>
      <c r="S5317" t="s">
        <v>736</v>
      </c>
    </row>
    <row r="5318" spans="1:19" x14ac:dyDescent="0.25">
      <c r="A5318" t="s">
        <v>30</v>
      </c>
      <c r="B5318" t="s">
        <v>31</v>
      </c>
      <c r="C5318" t="s">
        <v>32</v>
      </c>
      <c r="D5318" t="s">
        <v>719</v>
      </c>
      <c r="E5318" t="s">
        <v>5795</v>
      </c>
      <c r="F5318" t="s">
        <v>35</v>
      </c>
      <c r="G5318" t="s">
        <v>35</v>
      </c>
      <c r="H5318" t="s">
        <v>35</v>
      </c>
      <c r="J5318" t="s">
        <v>5808</v>
      </c>
      <c r="K5318" t="s">
        <v>1092</v>
      </c>
      <c r="M5318">
        <v>2.2050000000000001</v>
      </c>
      <c r="N5318">
        <v>68</v>
      </c>
      <c r="O5318" t="s">
        <v>61</v>
      </c>
      <c r="Q5318" t="s">
        <v>146</v>
      </c>
      <c r="R5318" t="s">
        <v>5432</v>
      </c>
      <c r="S5318" t="s">
        <v>759</v>
      </c>
    </row>
    <row r="5319" spans="1:19" x14ac:dyDescent="0.25">
      <c r="A5319" t="s">
        <v>30</v>
      </c>
      <c r="B5319" t="s">
        <v>31</v>
      </c>
      <c r="C5319" t="s">
        <v>32</v>
      </c>
      <c r="D5319" t="s">
        <v>719</v>
      </c>
      <c r="E5319" t="s">
        <v>5795</v>
      </c>
      <c r="F5319" t="s">
        <v>35</v>
      </c>
      <c r="G5319" t="s">
        <v>35</v>
      </c>
      <c r="H5319" t="s">
        <v>35</v>
      </c>
      <c r="J5319" t="s">
        <v>5809</v>
      </c>
      <c r="K5319" t="s">
        <v>1092</v>
      </c>
      <c r="M5319">
        <v>0.18</v>
      </c>
      <c r="N5319">
        <v>72</v>
      </c>
      <c r="O5319" t="s">
        <v>61</v>
      </c>
      <c r="Q5319" t="s">
        <v>63</v>
      </c>
      <c r="R5319" t="s">
        <v>725</v>
      </c>
      <c r="S5319" t="s">
        <v>726</v>
      </c>
    </row>
    <row r="5320" spans="1:19" x14ac:dyDescent="0.25">
      <c r="A5320" t="s">
        <v>59</v>
      </c>
      <c r="B5320" t="s">
        <v>60</v>
      </c>
      <c r="C5320" t="s">
        <v>32</v>
      </c>
      <c r="D5320" t="s">
        <v>719</v>
      </c>
      <c r="E5320" t="s">
        <v>5795</v>
      </c>
      <c r="F5320" t="s">
        <v>35</v>
      </c>
      <c r="G5320" t="s">
        <v>35</v>
      </c>
      <c r="H5320" t="s">
        <v>35</v>
      </c>
      <c r="J5320" t="s">
        <v>5809</v>
      </c>
      <c r="K5320" t="s">
        <v>1092</v>
      </c>
      <c r="M5320">
        <v>11</v>
      </c>
      <c r="N5320">
        <v>151</v>
      </c>
      <c r="O5320" t="s">
        <v>38</v>
      </c>
      <c r="Q5320" t="s">
        <v>1269</v>
      </c>
      <c r="R5320" t="s">
        <v>501</v>
      </c>
      <c r="S5320" t="s">
        <v>502</v>
      </c>
    </row>
    <row r="5321" spans="1:19" x14ac:dyDescent="0.25">
      <c r="A5321" t="s">
        <v>30</v>
      </c>
      <c r="B5321" t="s">
        <v>31</v>
      </c>
      <c r="C5321" t="s">
        <v>32</v>
      </c>
      <c r="D5321" t="s">
        <v>719</v>
      </c>
      <c r="E5321" t="s">
        <v>5795</v>
      </c>
      <c r="F5321" t="s">
        <v>35</v>
      </c>
      <c r="G5321" t="s">
        <v>35</v>
      </c>
      <c r="H5321" t="s">
        <v>35</v>
      </c>
      <c r="J5321" t="s">
        <v>5810</v>
      </c>
      <c r="K5321" t="s">
        <v>1092</v>
      </c>
      <c r="M5321">
        <v>6.39</v>
      </c>
      <c r="N5321">
        <v>367</v>
      </c>
      <c r="O5321" t="s">
        <v>294</v>
      </c>
      <c r="Q5321" t="s">
        <v>3978</v>
      </c>
      <c r="R5321" t="s">
        <v>730</v>
      </c>
      <c r="S5321" t="s">
        <v>731</v>
      </c>
    </row>
    <row r="5322" spans="1:19" x14ac:dyDescent="0.25">
      <c r="A5322" t="s">
        <v>59</v>
      </c>
      <c r="B5322" t="s">
        <v>31</v>
      </c>
      <c r="C5322" t="s">
        <v>32</v>
      </c>
      <c r="D5322" t="s">
        <v>719</v>
      </c>
      <c r="E5322" t="s">
        <v>5795</v>
      </c>
      <c r="F5322" t="s">
        <v>35</v>
      </c>
      <c r="G5322" t="s">
        <v>35</v>
      </c>
      <c r="H5322" t="s">
        <v>35</v>
      </c>
      <c r="J5322" t="s">
        <v>5811</v>
      </c>
      <c r="K5322" t="s">
        <v>1092</v>
      </c>
      <c r="M5322">
        <v>1.4999999999999999E-2</v>
      </c>
      <c r="N5322">
        <v>277</v>
      </c>
      <c r="O5322" t="s">
        <v>5</v>
      </c>
      <c r="Q5322" t="s">
        <v>5812</v>
      </c>
      <c r="R5322" t="s">
        <v>501</v>
      </c>
      <c r="S5322" t="s">
        <v>502</v>
      </c>
    </row>
    <row r="5323" spans="1:19" x14ac:dyDescent="0.25">
      <c r="A5323" t="s">
        <v>30</v>
      </c>
      <c r="B5323" t="s">
        <v>31</v>
      </c>
      <c r="C5323" t="s">
        <v>32</v>
      </c>
      <c r="D5323" t="s">
        <v>719</v>
      </c>
      <c r="E5323" t="s">
        <v>5795</v>
      </c>
      <c r="F5323" t="s">
        <v>35</v>
      </c>
      <c r="G5323" t="s">
        <v>35</v>
      </c>
      <c r="H5323" t="s">
        <v>35</v>
      </c>
      <c r="J5323" t="s">
        <v>5813</v>
      </c>
      <c r="K5323" t="s">
        <v>1092</v>
      </c>
      <c r="M5323">
        <v>8.1449999999999996</v>
      </c>
      <c r="N5323">
        <v>49</v>
      </c>
      <c r="O5323" t="s">
        <v>52</v>
      </c>
      <c r="Q5323" t="s">
        <v>219</v>
      </c>
      <c r="R5323" t="s">
        <v>730</v>
      </c>
      <c r="S5323" t="s">
        <v>731</v>
      </c>
    </row>
    <row r="5324" spans="1:19" x14ac:dyDescent="0.25">
      <c r="A5324" t="s">
        <v>30</v>
      </c>
      <c r="B5324" t="s">
        <v>31</v>
      </c>
      <c r="C5324" t="s">
        <v>32</v>
      </c>
      <c r="D5324" t="s">
        <v>719</v>
      </c>
      <c r="E5324" t="s">
        <v>5795</v>
      </c>
      <c r="F5324" t="s">
        <v>35</v>
      </c>
      <c r="G5324" t="s">
        <v>35</v>
      </c>
      <c r="H5324" t="s">
        <v>35</v>
      </c>
      <c r="J5324" t="s">
        <v>5814</v>
      </c>
      <c r="K5324" t="s">
        <v>1092</v>
      </c>
      <c r="M5324">
        <v>2.7E-2</v>
      </c>
      <c r="N5324">
        <v>1868</v>
      </c>
      <c r="O5324" t="s">
        <v>575</v>
      </c>
      <c r="Q5324" t="s">
        <v>5571</v>
      </c>
      <c r="R5324" t="s">
        <v>5454</v>
      </c>
      <c r="S5324" t="s">
        <v>756</v>
      </c>
    </row>
    <row r="5325" spans="1:19" x14ac:dyDescent="0.25">
      <c r="A5325" t="s">
        <v>30</v>
      </c>
      <c r="B5325" t="s">
        <v>31</v>
      </c>
      <c r="C5325" t="s">
        <v>32</v>
      </c>
      <c r="D5325" t="s">
        <v>719</v>
      </c>
      <c r="E5325" t="s">
        <v>5795</v>
      </c>
      <c r="F5325" t="s">
        <v>35</v>
      </c>
      <c r="G5325" t="s">
        <v>35</v>
      </c>
      <c r="H5325" t="s">
        <v>35</v>
      </c>
      <c r="J5325" t="s">
        <v>5815</v>
      </c>
      <c r="K5325" t="s">
        <v>1092</v>
      </c>
      <c r="M5325">
        <v>0.85499999999999998</v>
      </c>
      <c r="N5325">
        <v>482</v>
      </c>
      <c r="O5325" t="s">
        <v>294</v>
      </c>
      <c r="Q5325" t="s">
        <v>3207</v>
      </c>
      <c r="R5325" t="s">
        <v>730</v>
      </c>
      <c r="S5325" t="s">
        <v>731</v>
      </c>
    </row>
    <row r="5326" spans="1:19" x14ac:dyDescent="0.25">
      <c r="A5326" t="s">
        <v>30</v>
      </c>
      <c r="B5326" t="s">
        <v>31</v>
      </c>
      <c r="C5326" t="s">
        <v>32</v>
      </c>
      <c r="D5326" t="s">
        <v>719</v>
      </c>
      <c r="E5326" t="s">
        <v>5795</v>
      </c>
      <c r="F5326" t="s">
        <v>35</v>
      </c>
      <c r="G5326" t="s">
        <v>35</v>
      </c>
      <c r="H5326" t="s">
        <v>35</v>
      </c>
      <c r="J5326" t="s">
        <v>5816</v>
      </c>
      <c r="K5326" t="s">
        <v>1092</v>
      </c>
      <c r="M5326">
        <v>4.9950000000000001</v>
      </c>
      <c r="N5326">
        <v>196</v>
      </c>
      <c r="O5326" t="s">
        <v>5</v>
      </c>
      <c r="Q5326" t="s">
        <v>5616</v>
      </c>
      <c r="R5326" t="s">
        <v>5432</v>
      </c>
      <c r="S5326" t="s">
        <v>759</v>
      </c>
    </row>
    <row r="5327" spans="1:19" x14ac:dyDescent="0.25">
      <c r="A5327" t="s">
        <v>30</v>
      </c>
      <c r="B5327" t="s">
        <v>31</v>
      </c>
      <c r="C5327" t="s">
        <v>32</v>
      </c>
      <c r="D5327" t="s">
        <v>719</v>
      </c>
      <c r="E5327" t="s">
        <v>5795</v>
      </c>
      <c r="F5327" t="s">
        <v>35</v>
      </c>
      <c r="G5327" t="s">
        <v>35</v>
      </c>
      <c r="H5327" t="s">
        <v>35</v>
      </c>
      <c r="J5327" t="s">
        <v>5817</v>
      </c>
      <c r="K5327" t="s">
        <v>1092</v>
      </c>
      <c r="M5327">
        <v>5.49</v>
      </c>
      <c r="N5327">
        <v>37</v>
      </c>
      <c r="O5327" t="s">
        <v>52</v>
      </c>
      <c r="Q5327" t="s">
        <v>3499</v>
      </c>
      <c r="R5327" t="s">
        <v>5461</v>
      </c>
      <c r="S5327" t="s">
        <v>479</v>
      </c>
    </row>
    <row r="5328" spans="1:19" x14ac:dyDescent="0.25">
      <c r="A5328" t="s">
        <v>30</v>
      </c>
      <c r="B5328" t="s">
        <v>31</v>
      </c>
      <c r="C5328" t="s">
        <v>32</v>
      </c>
      <c r="D5328" t="s">
        <v>719</v>
      </c>
      <c r="E5328" t="s">
        <v>5795</v>
      </c>
      <c r="F5328" t="s">
        <v>35</v>
      </c>
      <c r="G5328" t="s">
        <v>35</v>
      </c>
      <c r="H5328" t="s">
        <v>35</v>
      </c>
      <c r="J5328" t="s">
        <v>5817</v>
      </c>
      <c r="K5328" t="s">
        <v>1092</v>
      </c>
      <c r="M5328">
        <v>16.155000000000001</v>
      </c>
      <c r="N5328">
        <v>229</v>
      </c>
      <c r="O5328" t="s">
        <v>5</v>
      </c>
      <c r="Q5328" t="s">
        <v>1562</v>
      </c>
      <c r="R5328" t="s">
        <v>5432</v>
      </c>
      <c r="S5328" t="s">
        <v>759</v>
      </c>
    </row>
    <row r="5329" spans="1:19" x14ac:dyDescent="0.25">
      <c r="A5329" t="s">
        <v>59</v>
      </c>
      <c r="B5329" t="s">
        <v>31</v>
      </c>
      <c r="C5329" t="s">
        <v>32</v>
      </c>
      <c r="D5329" t="s">
        <v>719</v>
      </c>
      <c r="E5329" t="s">
        <v>5818</v>
      </c>
      <c r="F5329" t="s">
        <v>35</v>
      </c>
      <c r="G5329" t="s">
        <v>35</v>
      </c>
      <c r="H5329" t="s">
        <v>35</v>
      </c>
      <c r="J5329" t="s">
        <v>5819</v>
      </c>
      <c r="K5329" t="s">
        <v>1092</v>
      </c>
      <c r="M5329">
        <v>1.2150000000000001</v>
      </c>
      <c r="N5329">
        <v>566</v>
      </c>
      <c r="O5329" t="s">
        <v>575</v>
      </c>
      <c r="Q5329" t="s">
        <v>5450</v>
      </c>
      <c r="R5329" t="s">
        <v>5432</v>
      </c>
      <c r="S5329" t="s">
        <v>759</v>
      </c>
    </row>
    <row r="5330" spans="1:19" x14ac:dyDescent="0.25">
      <c r="A5330" t="s">
        <v>30</v>
      </c>
      <c r="B5330" t="s">
        <v>31</v>
      </c>
      <c r="C5330" t="s">
        <v>32</v>
      </c>
      <c r="D5330" t="s">
        <v>719</v>
      </c>
      <c r="E5330" t="s">
        <v>5818</v>
      </c>
      <c r="F5330" t="s">
        <v>35</v>
      </c>
      <c r="G5330" t="s">
        <v>35</v>
      </c>
      <c r="H5330" t="s">
        <v>35</v>
      </c>
      <c r="J5330" t="s">
        <v>5820</v>
      </c>
      <c r="K5330" t="s">
        <v>1092</v>
      </c>
      <c r="M5330">
        <v>3.5550000000000002</v>
      </c>
      <c r="N5330">
        <v>135</v>
      </c>
      <c r="O5330" t="s">
        <v>38</v>
      </c>
      <c r="Q5330" t="s">
        <v>98</v>
      </c>
      <c r="R5330" t="s">
        <v>735</v>
      </c>
      <c r="S5330" t="s">
        <v>736</v>
      </c>
    </row>
    <row r="5331" spans="1:19" x14ac:dyDescent="0.25">
      <c r="A5331" t="s">
        <v>30</v>
      </c>
      <c r="B5331" t="s">
        <v>31</v>
      </c>
      <c r="C5331" t="s">
        <v>32</v>
      </c>
      <c r="D5331" t="s">
        <v>719</v>
      </c>
      <c r="E5331" t="s">
        <v>5818</v>
      </c>
      <c r="F5331" t="s">
        <v>35</v>
      </c>
      <c r="G5331" t="s">
        <v>35</v>
      </c>
      <c r="H5331" t="s">
        <v>35</v>
      </c>
      <c r="J5331" t="s">
        <v>5821</v>
      </c>
      <c r="K5331" t="s">
        <v>1092</v>
      </c>
      <c r="M5331">
        <v>9.5399999999999991</v>
      </c>
      <c r="N5331">
        <v>48</v>
      </c>
      <c r="O5331" t="s">
        <v>52</v>
      </c>
      <c r="Q5331" t="s">
        <v>496</v>
      </c>
      <c r="R5331" t="s">
        <v>5481</v>
      </c>
      <c r="S5331" t="s">
        <v>4452</v>
      </c>
    </row>
    <row r="5332" spans="1:19" x14ac:dyDescent="0.25">
      <c r="A5332" t="s">
        <v>30</v>
      </c>
      <c r="B5332" t="s">
        <v>31</v>
      </c>
      <c r="C5332" t="s">
        <v>32</v>
      </c>
      <c r="D5332" t="s">
        <v>719</v>
      </c>
      <c r="E5332" t="s">
        <v>5818</v>
      </c>
      <c r="F5332" t="s">
        <v>35</v>
      </c>
      <c r="G5332" t="s">
        <v>35</v>
      </c>
      <c r="H5332" t="s">
        <v>35</v>
      </c>
      <c r="J5332" t="s">
        <v>5822</v>
      </c>
      <c r="K5332" t="s">
        <v>1092</v>
      </c>
      <c r="M5332">
        <v>4.3650000000000002</v>
      </c>
      <c r="N5332">
        <v>49</v>
      </c>
      <c r="O5332" t="s">
        <v>52</v>
      </c>
      <c r="Q5332" t="s">
        <v>219</v>
      </c>
      <c r="R5332" t="s">
        <v>730</v>
      </c>
      <c r="S5332" t="s">
        <v>731</v>
      </c>
    </row>
    <row r="5333" spans="1:19" x14ac:dyDescent="0.25">
      <c r="A5333" t="s">
        <v>59</v>
      </c>
      <c r="B5333" t="s">
        <v>31</v>
      </c>
      <c r="C5333" t="s">
        <v>32</v>
      </c>
      <c r="D5333" t="s">
        <v>719</v>
      </c>
      <c r="E5333" t="s">
        <v>5818</v>
      </c>
      <c r="F5333" t="s">
        <v>35</v>
      </c>
      <c r="G5333" t="s">
        <v>35</v>
      </c>
      <c r="H5333" t="s">
        <v>35</v>
      </c>
      <c r="J5333" t="s">
        <v>5823</v>
      </c>
      <c r="K5333" t="s">
        <v>1092</v>
      </c>
      <c r="M5333">
        <v>0.81</v>
      </c>
      <c r="N5333">
        <v>1291</v>
      </c>
      <c r="O5333" t="s">
        <v>575</v>
      </c>
      <c r="Q5333" t="s">
        <v>5824</v>
      </c>
      <c r="R5333" t="s">
        <v>5539</v>
      </c>
      <c r="S5333" t="s">
        <v>5540</v>
      </c>
    </row>
    <row r="5334" spans="1:19" x14ac:dyDescent="0.25">
      <c r="A5334" t="s">
        <v>30</v>
      </c>
      <c r="B5334" t="s">
        <v>31</v>
      </c>
      <c r="C5334" t="s">
        <v>32</v>
      </c>
      <c r="D5334" t="s">
        <v>719</v>
      </c>
      <c r="E5334" t="s">
        <v>5818</v>
      </c>
      <c r="F5334" t="s">
        <v>35</v>
      </c>
      <c r="G5334" t="s">
        <v>35</v>
      </c>
      <c r="H5334" t="s">
        <v>35</v>
      </c>
      <c r="J5334" t="s">
        <v>5825</v>
      </c>
      <c r="K5334" t="s">
        <v>1092</v>
      </c>
      <c r="M5334">
        <v>0.64500000000000002</v>
      </c>
      <c r="N5334">
        <v>1795</v>
      </c>
      <c r="O5334" t="s">
        <v>575</v>
      </c>
      <c r="Q5334" t="s">
        <v>5826</v>
      </c>
      <c r="R5334" t="s">
        <v>5539</v>
      </c>
      <c r="S5334" t="s">
        <v>5540</v>
      </c>
    </row>
    <row r="5335" spans="1:19" x14ac:dyDescent="0.25">
      <c r="A5335" t="s">
        <v>59</v>
      </c>
      <c r="B5335" t="s">
        <v>31</v>
      </c>
      <c r="C5335" t="s">
        <v>32</v>
      </c>
      <c r="D5335" t="s">
        <v>719</v>
      </c>
      <c r="E5335" t="s">
        <v>5818</v>
      </c>
      <c r="F5335" t="s">
        <v>35</v>
      </c>
      <c r="G5335" t="s">
        <v>35</v>
      </c>
      <c r="H5335" t="s">
        <v>35</v>
      </c>
      <c r="J5335" t="s">
        <v>5827</v>
      </c>
      <c r="K5335" t="s">
        <v>1092</v>
      </c>
      <c r="M5335">
        <v>6.84</v>
      </c>
      <c r="N5335">
        <v>141</v>
      </c>
      <c r="O5335" t="s">
        <v>38</v>
      </c>
      <c r="Q5335" t="s">
        <v>1822</v>
      </c>
      <c r="R5335" t="s">
        <v>730</v>
      </c>
      <c r="S5335" t="s">
        <v>731</v>
      </c>
    </row>
    <row r="5336" spans="1:19" x14ac:dyDescent="0.25">
      <c r="A5336" t="s">
        <v>30</v>
      </c>
      <c r="B5336" t="s">
        <v>31</v>
      </c>
      <c r="C5336" t="s">
        <v>32</v>
      </c>
      <c r="D5336" t="s">
        <v>719</v>
      </c>
      <c r="E5336" t="s">
        <v>5818</v>
      </c>
      <c r="F5336" t="s">
        <v>35</v>
      </c>
      <c r="G5336" t="s">
        <v>35</v>
      </c>
      <c r="H5336" t="s">
        <v>35</v>
      </c>
      <c r="J5336" t="s">
        <v>5827</v>
      </c>
      <c r="K5336" t="s">
        <v>1092</v>
      </c>
      <c r="M5336">
        <v>22.05</v>
      </c>
      <c r="N5336">
        <v>27</v>
      </c>
      <c r="O5336" t="s">
        <v>46</v>
      </c>
      <c r="Q5336" t="s">
        <v>1011</v>
      </c>
      <c r="R5336" t="s">
        <v>730</v>
      </c>
      <c r="S5336" t="s">
        <v>731</v>
      </c>
    </row>
    <row r="5337" spans="1:19" x14ac:dyDescent="0.25">
      <c r="A5337" t="s">
        <v>30</v>
      </c>
      <c r="B5337" t="s">
        <v>31</v>
      </c>
      <c r="C5337" t="s">
        <v>32</v>
      </c>
      <c r="D5337" t="s">
        <v>719</v>
      </c>
      <c r="E5337" t="s">
        <v>5818</v>
      </c>
      <c r="F5337" t="s">
        <v>35</v>
      </c>
      <c r="G5337" t="s">
        <v>35</v>
      </c>
      <c r="H5337" t="s">
        <v>35</v>
      </c>
      <c r="J5337" t="s">
        <v>5827</v>
      </c>
      <c r="K5337" t="s">
        <v>1092</v>
      </c>
      <c r="M5337">
        <v>11.025</v>
      </c>
      <c r="N5337">
        <v>49</v>
      </c>
      <c r="O5337" t="s">
        <v>52</v>
      </c>
      <c r="Q5337" t="s">
        <v>219</v>
      </c>
      <c r="R5337" t="s">
        <v>730</v>
      </c>
      <c r="S5337" t="s">
        <v>731</v>
      </c>
    </row>
    <row r="5338" spans="1:19" x14ac:dyDescent="0.25">
      <c r="A5338" t="s">
        <v>30</v>
      </c>
      <c r="B5338" t="s">
        <v>31</v>
      </c>
      <c r="C5338" t="s">
        <v>32</v>
      </c>
      <c r="D5338" t="s">
        <v>719</v>
      </c>
      <c r="E5338" t="s">
        <v>5818</v>
      </c>
      <c r="F5338" t="s">
        <v>35</v>
      </c>
      <c r="G5338" t="s">
        <v>35</v>
      </c>
      <c r="H5338" t="s">
        <v>35</v>
      </c>
      <c r="J5338" t="s">
        <v>5827</v>
      </c>
      <c r="K5338" t="s">
        <v>1092</v>
      </c>
      <c r="M5338">
        <v>4.32</v>
      </c>
      <c r="N5338">
        <v>94</v>
      </c>
      <c r="O5338" t="s">
        <v>106</v>
      </c>
      <c r="Q5338" t="s">
        <v>394</v>
      </c>
      <c r="R5338" t="s">
        <v>730</v>
      </c>
      <c r="S5338" t="s">
        <v>731</v>
      </c>
    </row>
    <row r="5339" spans="1:19" x14ac:dyDescent="0.25">
      <c r="A5339" t="s">
        <v>30</v>
      </c>
      <c r="B5339" t="s">
        <v>31</v>
      </c>
      <c r="C5339" t="s">
        <v>32</v>
      </c>
      <c r="D5339" t="s">
        <v>719</v>
      </c>
      <c r="E5339" t="s">
        <v>5818</v>
      </c>
      <c r="F5339" t="s">
        <v>35</v>
      </c>
      <c r="G5339" t="s">
        <v>35</v>
      </c>
      <c r="H5339" t="s">
        <v>35</v>
      </c>
      <c r="J5339" t="s">
        <v>5828</v>
      </c>
      <c r="K5339" t="s">
        <v>1092</v>
      </c>
      <c r="M5339">
        <v>11.025</v>
      </c>
      <c r="N5339">
        <v>49</v>
      </c>
      <c r="O5339" t="s">
        <v>52</v>
      </c>
      <c r="Q5339" t="s">
        <v>219</v>
      </c>
      <c r="R5339" t="s">
        <v>730</v>
      </c>
      <c r="S5339" t="s">
        <v>731</v>
      </c>
    </row>
    <row r="5340" spans="1:19" x14ac:dyDescent="0.25">
      <c r="A5340" t="s">
        <v>30</v>
      </c>
      <c r="B5340" t="s">
        <v>31</v>
      </c>
      <c r="C5340" t="s">
        <v>32</v>
      </c>
      <c r="D5340" t="s">
        <v>719</v>
      </c>
      <c r="E5340" t="s">
        <v>5818</v>
      </c>
      <c r="F5340" t="s">
        <v>35</v>
      </c>
      <c r="G5340" t="s">
        <v>35</v>
      </c>
      <c r="H5340" t="s">
        <v>35</v>
      </c>
      <c r="J5340" t="s">
        <v>5829</v>
      </c>
      <c r="K5340" t="s">
        <v>1092</v>
      </c>
      <c r="M5340">
        <v>10.215</v>
      </c>
      <c r="N5340">
        <v>49</v>
      </c>
      <c r="O5340" t="s">
        <v>52</v>
      </c>
      <c r="Q5340" t="s">
        <v>219</v>
      </c>
      <c r="R5340" t="s">
        <v>730</v>
      </c>
      <c r="S5340" t="s">
        <v>731</v>
      </c>
    </row>
    <row r="5341" spans="1:19" x14ac:dyDescent="0.25">
      <c r="A5341" t="s">
        <v>59</v>
      </c>
      <c r="B5341" t="s">
        <v>31</v>
      </c>
      <c r="C5341" t="s">
        <v>32</v>
      </c>
      <c r="D5341" t="s">
        <v>719</v>
      </c>
      <c r="E5341" t="s">
        <v>5818</v>
      </c>
      <c r="F5341" t="s">
        <v>35</v>
      </c>
      <c r="G5341" t="s">
        <v>35</v>
      </c>
      <c r="H5341" t="s">
        <v>35</v>
      </c>
      <c r="J5341" t="s">
        <v>5829</v>
      </c>
      <c r="K5341" t="s">
        <v>1092</v>
      </c>
      <c r="M5341">
        <v>0.18</v>
      </c>
      <c r="N5341">
        <v>217</v>
      </c>
      <c r="O5341" t="s">
        <v>5</v>
      </c>
      <c r="Q5341" t="s">
        <v>1159</v>
      </c>
      <c r="R5341" t="s">
        <v>5454</v>
      </c>
      <c r="S5341" t="s">
        <v>756</v>
      </c>
    </row>
    <row r="5342" spans="1:19" x14ac:dyDescent="0.25">
      <c r="A5342" t="s">
        <v>59</v>
      </c>
      <c r="B5342" t="s">
        <v>31</v>
      </c>
      <c r="C5342" t="s">
        <v>32</v>
      </c>
      <c r="D5342" t="s">
        <v>719</v>
      </c>
      <c r="E5342" t="s">
        <v>5818</v>
      </c>
      <c r="F5342" t="s">
        <v>35</v>
      </c>
      <c r="G5342" t="s">
        <v>35</v>
      </c>
      <c r="H5342" t="s">
        <v>35</v>
      </c>
      <c r="J5342" t="s">
        <v>5830</v>
      </c>
      <c r="K5342" t="s">
        <v>1092</v>
      </c>
      <c r="M5342">
        <v>5.31</v>
      </c>
      <c r="N5342">
        <v>144</v>
      </c>
      <c r="O5342" t="s">
        <v>38</v>
      </c>
      <c r="Q5342" t="s">
        <v>2929</v>
      </c>
      <c r="R5342" t="s">
        <v>5432</v>
      </c>
      <c r="S5342" t="s">
        <v>759</v>
      </c>
    </row>
    <row r="5343" spans="1:19" x14ac:dyDescent="0.25">
      <c r="A5343" t="s">
        <v>30</v>
      </c>
      <c r="B5343" t="s">
        <v>31</v>
      </c>
      <c r="C5343" t="s">
        <v>32</v>
      </c>
      <c r="D5343" t="s">
        <v>719</v>
      </c>
      <c r="E5343" t="s">
        <v>5818</v>
      </c>
      <c r="F5343" t="s">
        <v>35</v>
      </c>
      <c r="G5343" t="s">
        <v>35</v>
      </c>
      <c r="H5343" t="s">
        <v>35</v>
      </c>
      <c r="J5343" t="s">
        <v>5831</v>
      </c>
      <c r="K5343" t="s">
        <v>1092</v>
      </c>
      <c r="M5343">
        <v>9.9450000000000003</v>
      </c>
      <c r="N5343">
        <v>155</v>
      </c>
      <c r="O5343" t="s">
        <v>38</v>
      </c>
      <c r="Q5343" t="s">
        <v>3942</v>
      </c>
      <c r="R5343" t="s">
        <v>730</v>
      </c>
      <c r="S5343" t="s">
        <v>731</v>
      </c>
    </row>
    <row r="5344" spans="1:19" x14ac:dyDescent="0.25">
      <c r="A5344" t="s">
        <v>59</v>
      </c>
      <c r="B5344" t="s">
        <v>31</v>
      </c>
      <c r="C5344" t="s">
        <v>32</v>
      </c>
      <c r="D5344" t="s">
        <v>719</v>
      </c>
      <c r="E5344" t="s">
        <v>5818</v>
      </c>
      <c r="F5344" t="s">
        <v>35</v>
      </c>
      <c r="G5344" t="s">
        <v>35</v>
      </c>
      <c r="H5344" t="s">
        <v>35</v>
      </c>
      <c r="J5344" t="s">
        <v>5832</v>
      </c>
      <c r="K5344" t="s">
        <v>1092</v>
      </c>
      <c r="M5344">
        <v>9.3149999999999995</v>
      </c>
      <c r="N5344">
        <v>567</v>
      </c>
      <c r="O5344" t="s">
        <v>575</v>
      </c>
      <c r="Q5344" t="s">
        <v>4707</v>
      </c>
      <c r="R5344" t="s">
        <v>730</v>
      </c>
      <c r="S5344" t="s">
        <v>731</v>
      </c>
    </row>
    <row r="5345" spans="1:19" x14ac:dyDescent="0.25">
      <c r="A5345" t="s">
        <v>30</v>
      </c>
      <c r="B5345" t="s">
        <v>31</v>
      </c>
      <c r="C5345" t="s">
        <v>32</v>
      </c>
      <c r="D5345" t="s">
        <v>719</v>
      </c>
      <c r="E5345" t="s">
        <v>5818</v>
      </c>
      <c r="F5345" t="s">
        <v>35</v>
      </c>
      <c r="G5345" t="s">
        <v>35</v>
      </c>
      <c r="H5345" t="s">
        <v>35</v>
      </c>
      <c r="J5345" t="s">
        <v>5832</v>
      </c>
      <c r="K5345" t="s">
        <v>1092</v>
      </c>
      <c r="M5345">
        <v>19.125</v>
      </c>
      <c r="N5345">
        <v>296</v>
      </c>
      <c r="O5345" t="s">
        <v>5</v>
      </c>
      <c r="Q5345" t="s">
        <v>4253</v>
      </c>
      <c r="R5345" t="s">
        <v>730</v>
      </c>
      <c r="S5345" t="s">
        <v>731</v>
      </c>
    </row>
    <row r="5346" spans="1:19" x14ac:dyDescent="0.25">
      <c r="A5346" t="s">
        <v>59</v>
      </c>
      <c r="B5346" t="s">
        <v>31</v>
      </c>
      <c r="C5346" t="s">
        <v>32</v>
      </c>
      <c r="D5346" t="s">
        <v>719</v>
      </c>
      <c r="E5346" t="s">
        <v>5818</v>
      </c>
      <c r="F5346" t="s">
        <v>35</v>
      </c>
      <c r="G5346" t="s">
        <v>35</v>
      </c>
      <c r="H5346" t="s">
        <v>35</v>
      </c>
      <c r="J5346" t="s">
        <v>5833</v>
      </c>
      <c r="K5346" t="s">
        <v>1092</v>
      </c>
      <c r="M5346">
        <v>11.025</v>
      </c>
      <c r="N5346">
        <v>233</v>
      </c>
      <c r="O5346" t="s">
        <v>5</v>
      </c>
      <c r="Q5346" t="s">
        <v>2002</v>
      </c>
      <c r="R5346" t="s">
        <v>5432</v>
      </c>
      <c r="S5346" t="s">
        <v>759</v>
      </c>
    </row>
    <row r="5347" spans="1:19" x14ac:dyDescent="0.25">
      <c r="A5347" t="s">
        <v>30</v>
      </c>
      <c r="B5347" t="s">
        <v>31</v>
      </c>
      <c r="C5347" t="s">
        <v>32</v>
      </c>
      <c r="D5347" t="s">
        <v>719</v>
      </c>
      <c r="E5347" t="s">
        <v>5818</v>
      </c>
      <c r="F5347" t="s">
        <v>35</v>
      </c>
      <c r="G5347" t="s">
        <v>35</v>
      </c>
      <c r="H5347" t="s">
        <v>35</v>
      </c>
      <c r="J5347" t="s">
        <v>5834</v>
      </c>
      <c r="K5347" t="s">
        <v>1092</v>
      </c>
      <c r="M5347">
        <v>0.27</v>
      </c>
      <c r="N5347">
        <v>60</v>
      </c>
      <c r="O5347" t="s">
        <v>52</v>
      </c>
      <c r="Q5347" t="s">
        <v>1734</v>
      </c>
      <c r="R5347" t="s">
        <v>735</v>
      </c>
      <c r="S5347" t="s">
        <v>736</v>
      </c>
    </row>
    <row r="5348" spans="1:19" x14ac:dyDescent="0.25">
      <c r="A5348" t="s">
        <v>30</v>
      </c>
      <c r="B5348" t="s">
        <v>31</v>
      </c>
      <c r="C5348" t="s">
        <v>32</v>
      </c>
      <c r="D5348" t="s">
        <v>719</v>
      </c>
      <c r="E5348" t="s">
        <v>5818</v>
      </c>
      <c r="F5348" t="s">
        <v>35</v>
      </c>
      <c r="G5348" t="s">
        <v>35</v>
      </c>
      <c r="H5348" t="s">
        <v>35</v>
      </c>
      <c r="J5348" t="s">
        <v>5835</v>
      </c>
      <c r="K5348" t="s">
        <v>1092</v>
      </c>
      <c r="M5348">
        <v>26.145</v>
      </c>
      <c r="N5348">
        <v>69</v>
      </c>
      <c r="O5348" t="s">
        <v>61</v>
      </c>
      <c r="Q5348" t="s">
        <v>139</v>
      </c>
      <c r="R5348" t="s">
        <v>730</v>
      </c>
      <c r="S5348" t="s">
        <v>731</v>
      </c>
    </row>
    <row r="5349" spans="1:19" x14ac:dyDescent="0.25">
      <c r="A5349" t="s">
        <v>30</v>
      </c>
      <c r="B5349" t="s">
        <v>31</v>
      </c>
      <c r="C5349" t="s">
        <v>32</v>
      </c>
      <c r="D5349" t="s">
        <v>719</v>
      </c>
      <c r="E5349" t="s">
        <v>5818</v>
      </c>
      <c r="F5349" t="s">
        <v>35</v>
      </c>
      <c r="G5349" t="s">
        <v>35</v>
      </c>
      <c r="H5349" t="s">
        <v>35</v>
      </c>
      <c r="J5349" t="s">
        <v>5835</v>
      </c>
      <c r="K5349" t="s">
        <v>1092</v>
      </c>
      <c r="M5349">
        <v>13.95</v>
      </c>
      <c r="N5349">
        <v>47</v>
      </c>
      <c r="O5349" t="s">
        <v>52</v>
      </c>
      <c r="Q5349" t="s">
        <v>132</v>
      </c>
      <c r="R5349" t="s">
        <v>5432</v>
      </c>
      <c r="S5349" t="s">
        <v>759</v>
      </c>
    </row>
    <row r="5350" spans="1:19" x14ac:dyDescent="0.25">
      <c r="A5350" t="s">
        <v>30</v>
      </c>
      <c r="B5350" t="s">
        <v>31</v>
      </c>
      <c r="C5350" t="s">
        <v>32</v>
      </c>
      <c r="D5350" t="s">
        <v>719</v>
      </c>
      <c r="E5350" t="s">
        <v>5818</v>
      </c>
      <c r="F5350" t="s">
        <v>35</v>
      </c>
      <c r="G5350" t="s">
        <v>35</v>
      </c>
      <c r="H5350" t="s">
        <v>35</v>
      </c>
      <c r="J5350" t="s">
        <v>5835</v>
      </c>
      <c r="K5350" t="s">
        <v>1092</v>
      </c>
      <c r="M5350">
        <v>22.05</v>
      </c>
      <c r="N5350">
        <v>49</v>
      </c>
      <c r="O5350" t="s">
        <v>52</v>
      </c>
      <c r="Q5350" t="s">
        <v>219</v>
      </c>
      <c r="R5350" t="s">
        <v>730</v>
      </c>
      <c r="S5350" t="s">
        <v>731</v>
      </c>
    </row>
    <row r="5351" spans="1:19" x14ac:dyDescent="0.25">
      <c r="A5351" t="s">
        <v>30</v>
      </c>
      <c r="B5351" t="s">
        <v>31</v>
      </c>
      <c r="C5351" t="s">
        <v>32</v>
      </c>
      <c r="D5351" t="s">
        <v>719</v>
      </c>
      <c r="E5351" t="s">
        <v>5818</v>
      </c>
      <c r="F5351" t="s">
        <v>35</v>
      </c>
      <c r="G5351" t="s">
        <v>35</v>
      </c>
      <c r="H5351" t="s">
        <v>35</v>
      </c>
      <c r="J5351" t="s">
        <v>5835</v>
      </c>
      <c r="K5351" t="s">
        <v>1092</v>
      </c>
      <c r="M5351">
        <v>5.4</v>
      </c>
      <c r="N5351">
        <v>68</v>
      </c>
      <c r="O5351" t="s">
        <v>61</v>
      </c>
      <c r="Q5351" t="s">
        <v>146</v>
      </c>
      <c r="R5351" t="s">
        <v>5432</v>
      </c>
      <c r="S5351" t="s">
        <v>759</v>
      </c>
    </row>
    <row r="5352" spans="1:19" x14ac:dyDescent="0.25">
      <c r="A5352" t="s">
        <v>30</v>
      </c>
      <c r="B5352" t="s">
        <v>31</v>
      </c>
      <c r="C5352" t="s">
        <v>32</v>
      </c>
      <c r="D5352" t="s">
        <v>719</v>
      </c>
      <c r="E5352" t="s">
        <v>5818</v>
      </c>
      <c r="F5352" t="s">
        <v>35</v>
      </c>
      <c r="G5352" t="s">
        <v>35</v>
      </c>
      <c r="H5352" t="s">
        <v>35</v>
      </c>
      <c r="J5352" t="s">
        <v>5836</v>
      </c>
      <c r="K5352" t="s">
        <v>1092</v>
      </c>
      <c r="M5352">
        <v>2.79</v>
      </c>
      <c r="N5352">
        <v>97</v>
      </c>
      <c r="O5352" t="s">
        <v>106</v>
      </c>
      <c r="Q5352" t="s">
        <v>557</v>
      </c>
      <c r="R5352" t="s">
        <v>730</v>
      </c>
      <c r="S5352" t="s">
        <v>731</v>
      </c>
    </row>
    <row r="5353" spans="1:19" x14ac:dyDescent="0.25">
      <c r="A5353" t="s">
        <v>59</v>
      </c>
      <c r="B5353" t="s">
        <v>60</v>
      </c>
      <c r="C5353" t="s">
        <v>32</v>
      </c>
      <c r="D5353" t="s">
        <v>719</v>
      </c>
      <c r="E5353" t="s">
        <v>5818</v>
      </c>
      <c r="F5353" t="s">
        <v>35</v>
      </c>
      <c r="G5353" t="s">
        <v>35</v>
      </c>
      <c r="H5353" t="s">
        <v>35</v>
      </c>
      <c r="J5353" t="s">
        <v>5837</v>
      </c>
      <c r="K5353" t="s">
        <v>1092</v>
      </c>
      <c r="M5353">
        <v>0.35</v>
      </c>
      <c r="N5353">
        <v>156</v>
      </c>
      <c r="O5353" t="s">
        <v>38</v>
      </c>
      <c r="Q5353" t="s">
        <v>75</v>
      </c>
      <c r="R5353" t="s">
        <v>5838</v>
      </c>
      <c r="S5353" t="s">
        <v>5839</v>
      </c>
    </row>
    <row r="5354" spans="1:19" x14ac:dyDescent="0.25">
      <c r="A5354" t="s">
        <v>30</v>
      </c>
      <c r="B5354" t="s">
        <v>31</v>
      </c>
      <c r="C5354" t="s">
        <v>32</v>
      </c>
      <c r="D5354" t="s">
        <v>719</v>
      </c>
      <c r="E5354" t="s">
        <v>5818</v>
      </c>
      <c r="F5354" t="s">
        <v>35</v>
      </c>
      <c r="G5354" t="s">
        <v>35</v>
      </c>
      <c r="H5354" t="s">
        <v>35</v>
      </c>
      <c r="J5354" t="s">
        <v>5837</v>
      </c>
      <c r="K5354" t="s">
        <v>1092</v>
      </c>
      <c r="M5354">
        <v>13.5</v>
      </c>
      <c r="N5354">
        <v>68</v>
      </c>
      <c r="O5354" t="s">
        <v>61</v>
      </c>
      <c r="Q5354" t="s">
        <v>146</v>
      </c>
      <c r="R5354" t="s">
        <v>5432</v>
      </c>
      <c r="S5354" t="s">
        <v>759</v>
      </c>
    </row>
    <row r="5355" spans="1:19" x14ac:dyDescent="0.25">
      <c r="A5355" t="s">
        <v>59</v>
      </c>
      <c r="B5355" t="s">
        <v>60</v>
      </c>
      <c r="C5355" t="s">
        <v>32</v>
      </c>
      <c r="D5355" t="s">
        <v>719</v>
      </c>
      <c r="F5355" t="s">
        <v>35</v>
      </c>
      <c r="G5355" t="s">
        <v>35</v>
      </c>
      <c r="H5355" t="s">
        <v>35</v>
      </c>
      <c r="J5355" t="s">
        <v>5841</v>
      </c>
      <c r="K5355" t="s">
        <v>1092</v>
      </c>
      <c r="M5355">
        <v>0.25</v>
      </c>
      <c r="N5355">
        <v>214</v>
      </c>
      <c r="O5355" t="s">
        <v>5</v>
      </c>
      <c r="Q5355" t="s">
        <v>537</v>
      </c>
      <c r="R5355" t="s">
        <v>730</v>
      </c>
      <c r="S5355" t="s">
        <v>731</v>
      </c>
    </row>
    <row r="5356" spans="1:19" x14ac:dyDescent="0.25">
      <c r="A5356" t="s">
        <v>30</v>
      </c>
      <c r="B5356" t="s">
        <v>31</v>
      </c>
      <c r="C5356" t="s">
        <v>32</v>
      </c>
      <c r="D5356" t="s">
        <v>719</v>
      </c>
      <c r="F5356" t="s">
        <v>35</v>
      </c>
      <c r="G5356" t="s">
        <v>35</v>
      </c>
      <c r="H5356" t="s">
        <v>35</v>
      </c>
      <c r="J5356" t="s">
        <v>5841</v>
      </c>
      <c r="K5356" t="s">
        <v>1092</v>
      </c>
      <c r="M5356">
        <v>9.5850000000000009</v>
      </c>
      <c r="N5356">
        <v>49</v>
      </c>
      <c r="O5356" t="s">
        <v>52</v>
      </c>
      <c r="Q5356" t="s">
        <v>219</v>
      </c>
      <c r="R5356" t="s">
        <v>730</v>
      </c>
      <c r="S5356" t="s">
        <v>731</v>
      </c>
    </row>
    <row r="5357" spans="1:19" x14ac:dyDescent="0.25">
      <c r="A5357" t="s">
        <v>30</v>
      </c>
      <c r="B5357" t="s">
        <v>31</v>
      </c>
      <c r="C5357" t="s">
        <v>32</v>
      </c>
      <c r="D5357" t="s">
        <v>719</v>
      </c>
      <c r="F5357" t="s">
        <v>35</v>
      </c>
      <c r="G5357" t="s">
        <v>35</v>
      </c>
      <c r="H5357" t="s">
        <v>35</v>
      </c>
      <c r="J5357" t="s">
        <v>5842</v>
      </c>
      <c r="K5357" t="s">
        <v>1092</v>
      </c>
      <c r="M5357">
        <v>5.49</v>
      </c>
      <c r="N5357">
        <v>1284</v>
      </c>
      <c r="O5357" t="s">
        <v>575</v>
      </c>
      <c r="Q5357" t="s">
        <v>5086</v>
      </c>
      <c r="R5357" t="s">
        <v>5461</v>
      </c>
      <c r="S5357" t="s">
        <v>479</v>
      </c>
    </row>
    <row r="5358" spans="1:19" x14ac:dyDescent="0.25">
      <c r="A5358" t="s">
        <v>59</v>
      </c>
      <c r="B5358" t="s">
        <v>31</v>
      </c>
      <c r="C5358" t="s">
        <v>32</v>
      </c>
      <c r="D5358" t="s">
        <v>719</v>
      </c>
      <c r="F5358" t="s">
        <v>35</v>
      </c>
      <c r="G5358" t="s">
        <v>35</v>
      </c>
      <c r="H5358" t="s">
        <v>35</v>
      </c>
      <c r="J5358" t="s">
        <v>5843</v>
      </c>
      <c r="K5358" t="s">
        <v>1092</v>
      </c>
      <c r="M5358">
        <v>0.58499999999999996</v>
      </c>
      <c r="N5358">
        <v>1975</v>
      </c>
      <c r="O5358" t="s">
        <v>575</v>
      </c>
      <c r="Q5358" t="s">
        <v>3532</v>
      </c>
      <c r="R5358" t="s">
        <v>730</v>
      </c>
      <c r="S5358" t="s">
        <v>731</v>
      </c>
    </row>
    <row r="5359" spans="1:19" x14ac:dyDescent="0.25">
      <c r="A5359" t="s">
        <v>30</v>
      </c>
      <c r="B5359" t="s">
        <v>31</v>
      </c>
      <c r="C5359" t="s">
        <v>32</v>
      </c>
      <c r="D5359" t="s">
        <v>719</v>
      </c>
      <c r="F5359" t="s">
        <v>35</v>
      </c>
      <c r="G5359" t="s">
        <v>35</v>
      </c>
      <c r="H5359" t="s">
        <v>35</v>
      </c>
      <c r="J5359" t="s">
        <v>5843</v>
      </c>
      <c r="K5359" t="s">
        <v>1092</v>
      </c>
      <c r="M5359">
        <v>0.09</v>
      </c>
      <c r="N5359">
        <v>1868</v>
      </c>
      <c r="O5359" t="s">
        <v>575</v>
      </c>
      <c r="Q5359" t="s">
        <v>5571</v>
      </c>
      <c r="R5359" t="s">
        <v>730</v>
      </c>
      <c r="S5359" t="s">
        <v>731</v>
      </c>
    </row>
    <row r="5360" spans="1:19" x14ac:dyDescent="0.25">
      <c r="A5360" t="s">
        <v>59</v>
      </c>
      <c r="B5360" t="s">
        <v>60</v>
      </c>
      <c r="C5360" t="s">
        <v>32</v>
      </c>
      <c r="D5360" t="s">
        <v>719</v>
      </c>
      <c r="F5360" t="s">
        <v>35</v>
      </c>
      <c r="G5360" t="s">
        <v>35</v>
      </c>
      <c r="H5360" t="s">
        <v>35</v>
      </c>
      <c r="J5360" t="s">
        <v>5843</v>
      </c>
      <c r="K5360" t="s">
        <v>1092</v>
      </c>
      <c r="M5360">
        <v>0.45</v>
      </c>
      <c r="N5360">
        <v>1635</v>
      </c>
      <c r="O5360" t="s">
        <v>575</v>
      </c>
      <c r="Q5360" t="s">
        <v>2313</v>
      </c>
      <c r="R5360" t="s">
        <v>730</v>
      </c>
      <c r="S5360" t="s">
        <v>731</v>
      </c>
    </row>
    <row r="5361" spans="1:19" x14ac:dyDescent="0.25">
      <c r="A5361" t="s">
        <v>30</v>
      </c>
      <c r="B5361" t="s">
        <v>31</v>
      </c>
      <c r="C5361" t="s">
        <v>32</v>
      </c>
      <c r="D5361" t="s">
        <v>719</v>
      </c>
      <c r="F5361" t="s">
        <v>35</v>
      </c>
      <c r="G5361" t="s">
        <v>35</v>
      </c>
      <c r="H5361" t="s">
        <v>35</v>
      </c>
      <c r="J5361" t="s">
        <v>5844</v>
      </c>
      <c r="K5361" t="s">
        <v>1092</v>
      </c>
      <c r="M5361">
        <v>1.575</v>
      </c>
      <c r="N5361">
        <v>1929</v>
      </c>
      <c r="O5361" t="s">
        <v>575</v>
      </c>
      <c r="Q5361" t="s">
        <v>5845</v>
      </c>
      <c r="R5361" t="s">
        <v>5454</v>
      </c>
      <c r="S5361" t="s">
        <v>756</v>
      </c>
    </row>
    <row r="5362" spans="1:19" x14ac:dyDescent="0.25">
      <c r="A5362" t="s">
        <v>30</v>
      </c>
      <c r="B5362" t="s">
        <v>31</v>
      </c>
      <c r="C5362" t="s">
        <v>32</v>
      </c>
      <c r="D5362" t="s">
        <v>719</v>
      </c>
      <c r="F5362" t="s">
        <v>35</v>
      </c>
      <c r="G5362" t="s">
        <v>35</v>
      </c>
      <c r="H5362" t="s">
        <v>35</v>
      </c>
      <c r="J5362" t="s">
        <v>5846</v>
      </c>
      <c r="K5362" t="s">
        <v>1092</v>
      </c>
      <c r="M5362">
        <v>19.260000000000002</v>
      </c>
      <c r="N5362">
        <v>2440</v>
      </c>
      <c r="O5362" t="s">
        <v>575</v>
      </c>
      <c r="Q5362" t="s">
        <v>5847</v>
      </c>
      <c r="R5362" t="s">
        <v>5481</v>
      </c>
      <c r="S5362" t="s">
        <v>4452</v>
      </c>
    </row>
    <row r="5363" spans="1:19" x14ac:dyDescent="0.25">
      <c r="A5363" t="s">
        <v>30</v>
      </c>
      <c r="B5363" t="s">
        <v>31</v>
      </c>
      <c r="C5363" t="s">
        <v>32</v>
      </c>
      <c r="D5363" t="s">
        <v>719</v>
      </c>
      <c r="F5363" t="s">
        <v>35</v>
      </c>
      <c r="G5363" t="s">
        <v>35</v>
      </c>
      <c r="H5363" t="s">
        <v>35</v>
      </c>
      <c r="J5363" t="s">
        <v>5848</v>
      </c>
      <c r="K5363" t="s">
        <v>1092</v>
      </c>
      <c r="M5363">
        <v>9.41</v>
      </c>
      <c r="N5363">
        <v>69</v>
      </c>
      <c r="O5363" t="s">
        <v>61</v>
      </c>
      <c r="Q5363" t="s">
        <v>139</v>
      </c>
      <c r="R5363" t="s">
        <v>730</v>
      </c>
      <c r="S5363" t="s">
        <v>731</v>
      </c>
    </row>
    <row r="5364" spans="1:19" x14ac:dyDescent="0.25">
      <c r="A5364" t="s">
        <v>59</v>
      </c>
      <c r="B5364" t="s">
        <v>31</v>
      </c>
      <c r="C5364" t="s">
        <v>32</v>
      </c>
      <c r="D5364" t="s">
        <v>719</v>
      </c>
      <c r="F5364" t="s">
        <v>35</v>
      </c>
      <c r="G5364" t="s">
        <v>35</v>
      </c>
      <c r="H5364" t="s">
        <v>35</v>
      </c>
      <c r="J5364" t="s">
        <v>5848</v>
      </c>
      <c r="K5364" t="s">
        <v>1092</v>
      </c>
      <c r="M5364">
        <v>0.18</v>
      </c>
      <c r="N5364">
        <v>1535</v>
      </c>
      <c r="O5364" t="s">
        <v>575</v>
      </c>
      <c r="Q5364" t="s">
        <v>3072</v>
      </c>
      <c r="R5364" t="s">
        <v>5601</v>
      </c>
      <c r="S5364" t="s">
        <v>5602</v>
      </c>
    </row>
    <row r="5365" spans="1:19" x14ac:dyDescent="0.25">
      <c r="A5365" t="s">
        <v>59</v>
      </c>
      <c r="B5365" t="s">
        <v>60</v>
      </c>
      <c r="C5365" t="s">
        <v>32</v>
      </c>
      <c r="D5365" t="s">
        <v>719</v>
      </c>
      <c r="F5365" t="s">
        <v>35</v>
      </c>
      <c r="G5365" t="s">
        <v>35</v>
      </c>
      <c r="H5365" t="s">
        <v>35</v>
      </c>
      <c r="J5365" t="s">
        <v>5850</v>
      </c>
      <c r="K5365" t="s">
        <v>1092</v>
      </c>
      <c r="M5365">
        <v>2</v>
      </c>
      <c r="N5365">
        <v>1305</v>
      </c>
      <c r="O5365" t="s">
        <v>575</v>
      </c>
      <c r="Q5365" t="s">
        <v>4748</v>
      </c>
      <c r="R5365" t="s">
        <v>5432</v>
      </c>
      <c r="S5365" t="s">
        <v>759</v>
      </c>
    </row>
    <row r="5366" spans="1:19" x14ac:dyDescent="0.25">
      <c r="A5366" t="s">
        <v>30</v>
      </c>
      <c r="B5366" t="s">
        <v>31</v>
      </c>
      <c r="C5366" t="s">
        <v>32</v>
      </c>
      <c r="D5366" t="s">
        <v>719</v>
      </c>
      <c r="F5366" t="s">
        <v>35</v>
      </c>
      <c r="G5366" t="s">
        <v>35</v>
      </c>
      <c r="H5366" t="s">
        <v>35</v>
      </c>
      <c r="J5366" t="s">
        <v>5851</v>
      </c>
      <c r="K5366" t="s">
        <v>1092</v>
      </c>
      <c r="M5366">
        <v>7.5149999999999997</v>
      </c>
      <c r="N5366">
        <v>31</v>
      </c>
      <c r="O5366" t="s">
        <v>52</v>
      </c>
      <c r="Q5366" t="s">
        <v>972</v>
      </c>
      <c r="R5366" t="s">
        <v>5432</v>
      </c>
      <c r="S5366" t="s">
        <v>759</v>
      </c>
    </row>
    <row r="5367" spans="1:19" x14ac:dyDescent="0.25">
      <c r="A5367" t="s">
        <v>30</v>
      </c>
      <c r="B5367" t="s">
        <v>31</v>
      </c>
      <c r="C5367" t="s">
        <v>32</v>
      </c>
      <c r="D5367" t="s">
        <v>719</v>
      </c>
      <c r="F5367" t="s">
        <v>35</v>
      </c>
      <c r="G5367" t="s">
        <v>35</v>
      </c>
      <c r="H5367" t="s">
        <v>35</v>
      </c>
      <c r="J5367" t="s">
        <v>5852</v>
      </c>
      <c r="K5367" t="s">
        <v>1092</v>
      </c>
      <c r="M5367">
        <v>0.72</v>
      </c>
      <c r="N5367">
        <v>1979</v>
      </c>
      <c r="O5367" t="s">
        <v>575</v>
      </c>
      <c r="Q5367" t="s">
        <v>5853</v>
      </c>
      <c r="R5367" t="s">
        <v>5461</v>
      </c>
      <c r="S5367" t="s">
        <v>479</v>
      </c>
    </row>
    <row r="5368" spans="1:19" x14ac:dyDescent="0.25">
      <c r="A5368" t="s">
        <v>30</v>
      </c>
      <c r="B5368" t="s">
        <v>31</v>
      </c>
      <c r="C5368" t="s">
        <v>32</v>
      </c>
      <c r="D5368" t="s">
        <v>719</v>
      </c>
      <c r="F5368" t="s">
        <v>35</v>
      </c>
      <c r="G5368" t="s">
        <v>35</v>
      </c>
      <c r="H5368" t="s">
        <v>35</v>
      </c>
      <c r="J5368" t="s">
        <v>5854</v>
      </c>
      <c r="K5368" t="s">
        <v>1092</v>
      </c>
      <c r="M5368">
        <v>11.654999999999999</v>
      </c>
      <c r="N5368">
        <v>2430</v>
      </c>
      <c r="O5368" t="s">
        <v>575</v>
      </c>
      <c r="Q5368" t="s">
        <v>5855</v>
      </c>
      <c r="R5368" t="s">
        <v>730</v>
      </c>
      <c r="S5368" t="s">
        <v>731</v>
      </c>
    </row>
    <row r="5369" spans="1:19" x14ac:dyDescent="0.25">
      <c r="A5369" t="s">
        <v>59</v>
      </c>
      <c r="B5369" t="s">
        <v>60</v>
      </c>
      <c r="C5369" t="s">
        <v>32</v>
      </c>
      <c r="D5369" t="s">
        <v>719</v>
      </c>
      <c r="F5369" t="s">
        <v>35</v>
      </c>
      <c r="G5369" t="s">
        <v>35</v>
      </c>
      <c r="H5369" t="s">
        <v>35</v>
      </c>
      <c r="J5369" t="s">
        <v>5856</v>
      </c>
      <c r="K5369" t="s">
        <v>1092</v>
      </c>
      <c r="M5369">
        <v>2</v>
      </c>
      <c r="N5369">
        <v>1257</v>
      </c>
      <c r="O5369" t="s">
        <v>575</v>
      </c>
      <c r="Q5369" t="s">
        <v>4071</v>
      </c>
      <c r="R5369" t="s">
        <v>730</v>
      </c>
      <c r="S5369" t="s">
        <v>731</v>
      </c>
    </row>
    <row r="5370" spans="1:19" x14ac:dyDescent="0.25">
      <c r="A5370" t="s">
        <v>59</v>
      </c>
      <c r="B5370" t="s">
        <v>31</v>
      </c>
      <c r="C5370" t="s">
        <v>32</v>
      </c>
      <c r="D5370" t="s">
        <v>719</v>
      </c>
      <c r="F5370" t="s">
        <v>35</v>
      </c>
      <c r="G5370" t="s">
        <v>35</v>
      </c>
      <c r="H5370" t="s">
        <v>35</v>
      </c>
      <c r="J5370" t="s">
        <v>5856</v>
      </c>
      <c r="K5370" t="s">
        <v>1092</v>
      </c>
      <c r="M5370">
        <v>4.41</v>
      </c>
      <c r="N5370">
        <v>1244</v>
      </c>
      <c r="O5370" t="s">
        <v>575</v>
      </c>
      <c r="Q5370" t="s">
        <v>3487</v>
      </c>
      <c r="R5370" t="s">
        <v>730</v>
      </c>
      <c r="S5370" t="s">
        <v>731</v>
      </c>
    </row>
    <row r="5371" spans="1:19" x14ac:dyDescent="0.25">
      <c r="A5371" t="s">
        <v>30</v>
      </c>
      <c r="B5371" t="s">
        <v>31</v>
      </c>
      <c r="C5371" t="s">
        <v>32</v>
      </c>
      <c r="D5371" t="s">
        <v>719</v>
      </c>
      <c r="F5371" t="s">
        <v>35</v>
      </c>
      <c r="G5371" t="s">
        <v>35</v>
      </c>
      <c r="H5371" t="s">
        <v>35</v>
      </c>
      <c r="J5371" t="s">
        <v>5856</v>
      </c>
      <c r="K5371" t="s">
        <v>1092</v>
      </c>
      <c r="M5371">
        <v>8.5050000000000008</v>
      </c>
      <c r="N5371">
        <v>1224</v>
      </c>
      <c r="O5371" t="s">
        <v>575</v>
      </c>
      <c r="Q5371" t="s">
        <v>3614</v>
      </c>
      <c r="R5371" t="s">
        <v>730</v>
      </c>
      <c r="S5371" t="s">
        <v>731</v>
      </c>
    </row>
    <row r="5372" spans="1:19" x14ac:dyDescent="0.25">
      <c r="A5372" t="s">
        <v>59</v>
      </c>
      <c r="B5372" t="s">
        <v>31</v>
      </c>
      <c r="C5372" t="s">
        <v>32</v>
      </c>
      <c r="D5372" t="s">
        <v>719</v>
      </c>
      <c r="F5372" t="s">
        <v>35</v>
      </c>
      <c r="G5372" t="s">
        <v>35</v>
      </c>
      <c r="H5372" t="s">
        <v>35</v>
      </c>
      <c r="J5372" t="s">
        <v>5857</v>
      </c>
      <c r="K5372" t="s">
        <v>1092</v>
      </c>
      <c r="M5372">
        <v>0.85499999999999998</v>
      </c>
      <c r="N5372">
        <v>1967</v>
      </c>
      <c r="O5372" t="s">
        <v>575</v>
      </c>
      <c r="Q5372" t="s">
        <v>5858</v>
      </c>
      <c r="R5372" t="s">
        <v>5461</v>
      </c>
      <c r="S5372" t="s">
        <v>479</v>
      </c>
    </row>
    <row r="5373" spans="1:19" x14ac:dyDescent="0.25">
      <c r="A5373" t="s">
        <v>59</v>
      </c>
      <c r="B5373" t="s">
        <v>31</v>
      </c>
      <c r="C5373" t="s">
        <v>32</v>
      </c>
      <c r="D5373" t="s">
        <v>719</v>
      </c>
      <c r="F5373" t="s">
        <v>35</v>
      </c>
      <c r="G5373" t="s">
        <v>35</v>
      </c>
      <c r="H5373" t="s">
        <v>35</v>
      </c>
      <c r="J5373" t="s">
        <v>5859</v>
      </c>
      <c r="K5373" t="s">
        <v>1092</v>
      </c>
      <c r="M5373">
        <v>9.4949999999999992</v>
      </c>
      <c r="N5373">
        <v>1458</v>
      </c>
      <c r="O5373" t="s">
        <v>575</v>
      </c>
      <c r="Q5373" t="s">
        <v>2993</v>
      </c>
      <c r="R5373" t="s">
        <v>589</v>
      </c>
      <c r="S5373" t="s">
        <v>590</v>
      </c>
    </row>
    <row r="5374" spans="1:19" x14ac:dyDescent="0.25">
      <c r="A5374" t="s">
        <v>59</v>
      </c>
      <c r="B5374" t="s">
        <v>60</v>
      </c>
      <c r="C5374" t="s">
        <v>32</v>
      </c>
      <c r="D5374" t="s">
        <v>719</v>
      </c>
      <c r="F5374" t="s">
        <v>35</v>
      </c>
      <c r="G5374" t="s">
        <v>35</v>
      </c>
      <c r="H5374" t="s">
        <v>35</v>
      </c>
      <c r="J5374" t="s">
        <v>5860</v>
      </c>
      <c r="K5374" t="s">
        <v>1092</v>
      </c>
      <c r="M5374">
        <v>1.2749999999999999</v>
      </c>
      <c r="N5374">
        <v>2236</v>
      </c>
      <c r="O5374" t="s">
        <v>575</v>
      </c>
      <c r="Q5374" t="s">
        <v>5861</v>
      </c>
      <c r="R5374" t="s">
        <v>5461</v>
      </c>
      <c r="S5374" t="s">
        <v>479</v>
      </c>
    </row>
    <row r="5375" spans="1:19" x14ac:dyDescent="0.25">
      <c r="A5375" t="s">
        <v>30</v>
      </c>
      <c r="B5375" t="s">
        <v>31</v>
      </c>
      <c r="C5375" t="s">
        <v>32</v>
      </c>
      <c r="D5375" t="s">
        <v>719</v>
      </c>
      <c r="F5375" t="s">
        <v>35</v>
      </c>
      <c r="G5375" t="s">
        <v>35</v>
      </c>
      <c r="H5375" t="s">
        <v>35</v>
      </c>
      <c r="J5375" t="s">
        <v>5862</v>
      </c>
      <c r="K5375" t="s">
        <v>1092</v>
      </c>
      <c r="M5375">
        <v>2.3090000000000002</v>
      </c>
      <c r="N5375">
        <v>1932</v>
      </c>
      <c r="O5375" t="s">
        <v>575</v>
      </c>
      <c r="Q5375" t="s">
        <v>5863</v>
      </c>
      <c r="R5375" t="s">
        <v>5864</v>
      </c>
      <c r="S5375" t="s">
        <v>5865</v>
      </c>
    </row>
    <row r="5376" spans="1:19" x14ac:dyDescent="0.25">
      <c r="A5376" t="s">
        <v>30</v>
      </c>
      <c r="B5376" t="s">
        <v>31</v>
      </c>
      <c r="C5376" t="s">
        <v>32</v>
      </c>
      <c r="D5376" t="s">
        <v>719</v>
      </c>
      <c r="F5376" t="s">
        <v>35</v>
      </c>
      <c r="G5376" t="s">
        <v>35</v>
      </c>
      <c r="H5376" t="s">
        <v>35</v>
      </c>
      <c r="J5376" t="s">
        <v>5867</v>
      </c>
      <c r="K5376" t="s">
        <v>1092</v>
      </c>
      <c r="M5376">
        <v>0.54</v>
      </c>
      <c r="N5376">
        <v>2215</v>
      </c>
      <c r="O5376" t="s">
        <v>575</v>
      </c>
      <c r="Q5376" t="s">
        <v>5869</v>
      </c>
      <c r="R5376" t="s">
        <v>5539</v>
      </c>
      <c r="S5376" t="s">
        <v>5540</v>
      </c>
    </row>
    <row r="5377" spans="1:19" x14ac:dyDescent="0.25">
      <c r="A5377" t="s">
        <v>30</v>
      </c>
      <c r="B5377" t="s">
        <v>31</v>
      </c>
      <c r="C5377" t="s">
        <v>32</v>
      </c>
      <c r="D5377" t="s">
        <v>719</v>
      </c>
      <c r="F5377" t="s">
        <v>35</v>
      </c>
      <c r="G5377" t="s">
        <v>35</v>
      </c>
      <c r="H5377" t="s">
        <v>35</v>
      </c>
      <c r="J5377" t="s">
        <v>5867</v>
      </c>
      <c r="K5377" t="s">
        <v>1092</v>
      </c>
      <c r="M5377">
        <v>1.125</v>
      </c>
      <c r="N5377">
        <v>2032</v>
      </c>
      <c r="O5377" t="s">
        <v>575</v>
      </c>
      <c r="Q5377" t="s">
        <v>5868</v>
      </c>
      <c r="R5377" t="s">
        <v>5539</v>
      </c>
      <c r="S5377" t="s">
        <v>5540</v>
      </c>
    </row>
    <row r="5378" spans="1:19" x14ac:dyDescent="0.25">
      <c r="A5378" t="s">
        <v>30</v>
      </c>
      <c r="B5378" t="s">
        <v>31</v>
      </c>
      <c r="C5378" t="s">
        <v>32</v>
      </c>
      <c r="D5378" t="s">
        <v>719</v>
      </c>
      <c r="F5378" t="s">
        <v>35</v>
      </c>
      <c r="G5378" t="s">
        <v>35</v>
      </c>
      <c r="H5378" t="s">
        <v>35</v>
      </c>
      <c r="J5378" t="s">
        <v>5870</v>
      </c>
      <c r="K5378" t="s">
        <v>1092</v>
      </c>
      <c r="M5378">
        <v>4.4999999999999998E-2</v>
      </c>
      <c r="N5378">
        <v>1735</v>
      </c>
      <c r="O5378" t="s">
        <v>575</v>
      </c>
      <c r="Q5378" t="s">
        <v>5871</v>
      </c>
      <c r="R5378" t="s">
        <v>5454</v>
      </c>
      <c r="S5378" t="s">
        <v>756</v>
      </c>
    </row>
    <row r="5379" spans="1:19" x14ac:dyDescent="0.25">
      <c r="A5379" t="s">
        <v>30</v>
      </c>
      <c r="B5379" t="s">
        <v>31</v>
      </c>
      <c r="C5379" t="s">
        <v>32</v>
      </c>
      <c r="D5379" t="s">
        <v>719</v>
      </c>
      <c r="F5379" t="s">
        <v>35</v>
      </c>
      <c r="G5379" t="s">
        <v>35</v>
      </c>
      <c r="H5379" t="s">
        <v>35</v>
      </c>
      <c r="J5379" t="s">
        <v>5872</v>
      </c>
      <c r="K5379" t="s">
        <v>1092</v>
      </c>
      <c r="M5379">
        <v>5.85</v>
      </c>
      <c r="N5379">
        <v>2108</v>
      </c>
      <c r="O5379" t="s">
        <v>575</v>
      </c>
      <c r="Q5379" t="s">
        <v>5874</v>
      </c>
      <c r="R5379" t="s">
        <v>730</v>
      </c>
      <c r="S5379" t="s">
        <v>731</v>
      </c>
    </row>
    <row r="5380" spans="1:19" x14ac:dyDescent="0.25">
      <c r="A5380" t="s">
        <v>59</v>
      </c>
      <c r="B5380" t="s">
        <v>31</v>
      </c>
      <c r="C5380" t="s">
        <v>32</v>
      </c>
      <c r="D5380" t="s">
        <v>719</v>
      </c>
      <c r="F5380" t="s">
        <v>35</v>
      </c>
      <c r="G5380" t="s">
        <v>35</v>
      </c>
      <c r="H5380" t="s">
        <v>35</v>
      </c>
      <c r="J5380" t="s">
        <v>5872</v>
      </c>
      <c r="K5380" t="s">
        <v>1092</v>
      </c>
      <c r="M5380">
        <v>0.04</v>
      </c>
      <c r="N5380">
        <v>2301</v>
      </c>
      <c r="O5380" t="s">
        <v>575</v>
      </c>
      <c r="Q5380" t="s">
        <v>2727</v>
      </c>
      <c r="R5380" t="s">
        <v>730</v>
      </c>
      <c r="S5380" t="s">
        <v>731</v>
      </c>
    </row>
    <row r="5381" spans="1:19" x14ac:dyDescent="0.25">
      <c r="A5381" t="s">
        <v>30</v>
      </c>
      <c r="B5381" t="s">
        <v>31</v>
      </c>
      <c r="C5381" t="s">
        <v>32</v>
      </c>
      <c r="D5381" t="s">
        <v>719</v>
      </c>
      <c r="F5381" t="s">
        <v>35</v>
      </c>
      <c r="G5381" t="s">
        <v>35</v>
      </c>
      <c r="H5381" t="s">
        <v>35</v>
      </c>
      <c r="J5381" t="s">
        <v>5872</v>
      </c>
      <c r="K5381" t="s">
        <v>1092</v>
      </c>
      <c r="M5381">
        <v>9</v>
      </c>
      <c r="N5381">
        <v>1946</v>
      </c>
      <c r="O5381" t="s">
        <v>575</v>
      </c>
      <c r="Q5381" t="s">
        <v>5873</v>
      </c>
      <c r="R5381" t="s">
        <v>730</v>
      </c>
      <c r="S5381" t="s">
        <v>731</v>
      </c>
    </row>
    <row r="5382" spans="1:19" x14ac:dyDescent="0.25">
      <c r="A5382" t="s">
        <v>30</v>
      </c>
      <c r="B5382" t="s">
        <v>31</v>
      </c>
      <c r="C5382" t="s">
        <v>32</v>
      </c>
      <c r="D5382" t="s">
        <v>719</v>
      </c>
      <c r="F5382" t="s">
        <v>35</v>
      </c>
      <c r="G5382" t="s">
        <v>35</v>
      </c>
      <c r="H5382" t="s">
        <v>35</v>
      </c>
      <c r="J5382" t="s">
        <v>5872</v>
      </c>
      <c r="K5382" t="s">
        <v>1092</v>
      </c>
      <c r="M5382">
        <v>4.5</v>
      </c>
      <c r="N5382">
        <v>1967</v>
      </c>
      <c r="O5382" t="s">
        <v>575</v>
      </c>
      <c r="Q5382" t="s">
        <v>5858</v>
      </c>
      <c r="R5382" t="s">
        <v>730</v>
      </c>
      <c r="S5382" t="s">
        <v>731</v>
      </c>
    </row>
    <row r="5383" spans="1:19" x14ac:dyDescent="0.25">
      <c r="A5383" t="s">
        <v>30</v>
      </c>
      <c r="B5383" t="s">
        <v>31</v>
      </c>
      <c r="C5383" t="s">
        <v>32</v>
      </c>
      <c r="D5383" t="s">
        <v>719</v>
      </c>
      <c r="F5383" t="s">
        <v>35</v>
      </c>
      <c r="G5383" t="s">
        <v>35</v>
      </c>
      <c r="H5383" t="s">
        <v>35</v>
      </c>
      <c r="J5383" t="s">
        <v>5875</v>
      </c>
      <c r="K5383" t="s">
        <v>1092</v>
      </c>
      <c r="M5383">
        <v>4.5</v>
      </c>
      <c r="N5383">
        <v>1868</v>
      </c>
      <c r="O5383" t="s">
        <v>575</v>
      </c>
      <c r="Q5383" t="s">
        <v>5571</v>
      </c>
      <c r="R5383" t="s">
        <v>730</v>
      </c>
      <c r="S5383" t="s">
        <v>731</v>
      </c>
    </row>
    <row r="5384" spans="1:19" x14ac:dyDescent="0.25">
      <c r="A5384" t="s">
        <v>30</v>
      </c>
      <c r="B5384" t="s">
        <v>31</v>
      </c>
      <c r="C5384" t="s">
        <v>32</v>
      </c>
      <c r="D5384" t="s">
        <v>719</v>
      </c>
      <c r="F5384" t="s">
        <v>35</v>
      </c>
      <c r="G5384" t="s">
        <v>35</v>
      </c>
      <c r="H5384" t="s">
        <v>35</v>
      </c>
      <c r="J5384" t="s">
        <v>5875</v>
      </c>
      <c r="K5384" t="s">
        <v>1092</v>
      </c>
      <c r="M5384">
        <v>1.665</v>
      </c>
      <c r="N5384">
        <v>2013</v>
      </c>
      <c r="O5384" t="s">
        <v>575</v>
      </c>
      <c r="Q5384" t="s">
        <v>5876</v>
      </c>
      <c r="R5384" t="s">
        <v>730</v>
      </c>
      <c r="S5384" t="s">
        <v>731</v>
      </c>
    </row>
    <row r="5385" spans="1:19" x14ac:dyDescent="0.25">
      <c r="A5385" t="s">
        <v>30</v>
      </c>
      <c r="B5385" t="s">
        <v>31</v>
      </c>
      <c r="C5385" t="s">
        <v>32</v>
      </c>
      <c r="D5385" t="s">
        <v>719</v>
      </c>
      <c r="F5385" t="s">
        <v>35</v>
      </c>
      <c r="G5385" t="s">
        <v>35</v>
      </c>
      <c r="H5385" t="s">
        <v>35</v>
      </c>
      <c r="J5385" t="s">
        <v>5877</v>
      </c>
      <c r="K5385" t="s">
        <v>1092</v>
      </c>
      <c r="M5385">
        <v>3.375</v>
      </c>
      <c r="N5385">
        <v>2673</v>
      </c>
      <c r="O5385" t="s">
        <v>575</v>
      </c>
      <c r="Q5385" t="s">
        <v>1486</v>
      </c>
      <c r="R5385" t="s">
        <v>1487</v>
      </c>
      <c r="S5385" t="s">
        <v>1488</v>
      </c>
    </row>
    <row r="5386" spans="1:19" x14ac:dyDescent="0.25">
      <c r="A5386" t="s">
        <v>30</v>
      </c>
      <c r="B5386" t="s">
        <v>31</v>
      </c>
      <c r="C5386" t="s">
        <v>32</v>
      </c>
      <c r="D5386" t="s">
        <v>719</v>
      </c>
      <c r="F5386" t="s">
        <v>35</v>
      </c>
      <c r="G5386" t="s">
        <v>35</v>
      </c>
      <c r="H5386" t="s">
        <v>35</v>
      </c>
      <c r="J5386" t="s">
        <v>5878</v>
      </c>
      <c r="K5386" t="s">
        <v>1092</v>
      </c>
      <c r="M5386">
        <v>0.58499999999999996</v>
      </c>
      <c r="N5386">
        <v>1601</v>
      </c>
      <c r="O5386" t="s">
        <v>575</v>
      </c>
      <c r="Q5386" t="s">
        <v>3648</v>
      </c>
      <c r="R5386" t="s">
        <v>5739</v>
      </c>
      <c r="S5386" t="s">
        <v>5740</v>
      </c>
    </row>
    <row r="5387" spans="1:19" x14ac:dyDescent="0.25">
      <c r="A5387" t="s">
        <v>59</v>
      </c>
      <c r="B5387" t="s">
        <v>60</v>
      </c>
      <c r="C5387" t="s">
        <v>32</v>
      </c>
      <c r="D5387" t="s">
        <v>719</v>
      </c>
      <c r="F5387" t="s">
        <v>35</v>
      </c>
      <c r="G5387" t="s">
        <v>35</v>
      </c>
      <c r="H5387" t="s">
        <v>35</v>
      </c>
      <c r="J5387" t="s">
        <v>5879</v>
      </c>
      <c r="K5387" t="s">
        <v>1092</v>
      </c>
      <c r="M5387">
        <v>0.75</v>
      </c>
      <c r="N5387">
        <v>2595</v>
      </c>
      <c r="O5387" t="s">
        <v>575</v>
      </c>
      <c r="Q5387" t="s">
        <v>5880</v>
      </c>
      <c r="R5387" t="s">
        <v>5461</v>
      </c>
      <c r="S5387" t="s">
        <v>479</v>
      </c>
    </row>
    <row r="5388" spans="1:19" x14ac:dyDescent="0.25">
      <c r="A5388" t="s">
        <v>59</v>
      </c>
      <c r="B5388" t="s">
        <v>31</v>
      </c>
      <c r="C5388" t="s">
        <v>32</v>
      </c>
      <c r="D5388" t="s">
        <v>719</v>
      </c>
      <c r="F5388" t="s">
        <v>35</v>
      </c>
      <c r="G5388" t="s">
        <v>35</v>
      </c>
      <c r="H5388" t="s">
        <v>35</v>
      </c>
      <c r="J5388" t="s">
        <v>5881</v>
      </c>
      <c r="K5388" t="s">
        <v>1092</v>
      </c>
      <c r="M5388">
        <v>8.3249999999999993</v>
      </c>
      <c r="N5388">
        <v>2673</v>
      </c>
      <c r="O5388" t="s">
        <v>575</v>
      </c>
      <c r="Q5388" t="s">
        <v>1486</v>
      </c>
      <c r="R5388" t="s">
        <v>1487</v>
      </c>
      <c r="S5388" t="s">
        <v>1488</v>
      </c>
    </row>
    <row r="5389" spans="1:19" x14ac:dyDescent="0.25">
      <c r="A5389" t="s">
        <v>30</v>
      </c>
      <c r="B5389" t="s">
        <v>31</v>
      </c>
      <c r="C5389" t="s">
        <v>32</v>
      </c>
      <c r="D5389" t="s">
        <v>719</v>
      </c>
      <c r="F5389" t="s">
        <v>35</v>
      </c>
      <c r="G5389" t="s">
        <v>35</v>
      </c>
      <c r="H5389" t="s">
        <v>35</v>
      </c>
      <c r="J5389" t="s">
        <v>5882</v>
      </c>
      <c r="K5389" t="s">
        <v>1092</v>
      </c>
      <c r="M5389">
        <v>11.025</v>
      </c>
      <c r="N5389">
        <v>888</v>
      </c>
      <c r="O5389" t="s">
        <v>575</v>
      </c>
      <c r="Q5389" t="s">
        <v>4362</v>
      </c>
      <c r="R5389" t="s">
        <v>730</v>
      </c>
      <c r="S5389" t="s">
        <v>731</v>
      </c>
    </row>
    <row r="5390" spans="1:19" x14ac:dyDescent="0.25">
      <c r="A5390" t="s">
        <v>30</v>
      </c>
      <c r="B5390" t="s">
        <v>31</v>
      </c>
      <c r="C5390" t="s">
        <v>32</v>
      </c>
      <c r="D5390" t="s">
        <v>719</v>
      </c>
      <c r="F5390" t="s">
        <v>35</v>
      </c>
      <c r="G5390" t="s">
        <v>35</v>
      </c>
      <c r="H5390" t="s">
        <v>35</v>
      </c>
      <c r="J5390" t="s">
        <v>5883</v>
      </c>
      <c r="K5390" t="s">
        <v>1092</v>
      </c>
      <c r="M5390">
        <v>0.27</v>
      </c>
      <c r="N5390">
        <v>893</v>
      </c>
      <c r="O5390" t="s">
        <v>575</v>
      </c>
      <c r="Q5390" t="s">
        <v>2390</v>
      </c>
      <c r="R5390" t="s">
        <v>725</v>
      </c>
      <c r="S5390" t="s">
        <v>726</v>
      </c>
    </row>
    <row r="5391" spans="1:19" x14ac:dyDescent="0.25">
      <c r="A5391" t="s">
        <v>30</v>
      </c>
      <c r="B5391" t="s">
        <v>31</v>
      </c>
      <c r="C5391" t="s">
        <v>32</v>
      </c>
      <c r="D5391" t="s">
        <v>719</v>
      </c>
      <c r="F5391" t="s">
        <v>35</v>
      </c>
      <c r="G5391" t="s">
        <v>35</v>
      </c>
      <c r="H5391" t="s">
        <v>35</v>
      </c>
      <c r="J5391" t="s">
        <v>5883</v>
      </c>
      <c r="K5391" t="s">
        <v>1092</v>
      </c>
      <c r="M5391">
        <v>1.125</v>
      </c>
      <c r="N5391">
        <v>866</v>
      </c>
      <c r="O5391" t="s">
        <v>575</v>
      </c>
      <c r="Q5391" t="s">
        <v>5884</v>
      </c>
      <c r="R5391" t="s">
        <v>725</v>
      </c>
      <c r="S5391" t="s">
        <v>726</v>
      </c>
    </row>
    <row r="5392" spans="1:19" x14ac:dyDescent="0.25">
      <c r="A5392" t="s">
        <v>30</v>
      </c>
      <c r="B5392" t="s">
        <v>31</v>
      </c>
      <c r="C5392" t="s">
        <v>32</v>
      </c>
      <c r="D5392" t="s">
        <v>719</v>
      </c>
      <c r="F5392" t="s">
        <v>35</v>
      </c>
      <c r="G5392" t="s">
        <v>35</v>
      </c>
      <c r="H5392" t="s">
        <v>35</v>
      </c>
      <c r="J5392" t="s">
        <v>5504</v>
      </c>
      <c r="K5392" t="s">
        <v>1092</v>
      </c>
      <c r="M5392">
        <v>3.51</v>
      </c>
      <c r="N5392">
        <v>19</v>
      </c>
      <c r="O5392" t="s">
        <v>46</v>
      </c>
      <c r="Q5392" t="s">
        <v>1192</v>
      </c>
      <c r="R5392" t="s">
        <v>725</v>
      </c>
      <c r="S5392" t="s">
        <v>726</v>
      </c>
    </row>
    <row r="5393" spans="1:19" x14ac:dyDescent="0.25">
      <c r="A5393" t="s">
        <v>30</v>
      </c>
      <c r="B5393" t="s">
        <v>31</v>
      </c>
      <c r="C5393" t="s">
        <v>32</v>
      </c>
      <c r="D5393" t="s">
        <v>719</v>
      </c>
      <c r="F5393" t="s">
        <v>35</v>
      </c>
      <c r="G5393" t="s">
        <v>35</v>
      </c>
      <c r="H5393" t="s">
        <v>35</v>
      </c>
      <c r="J5393" t="s">
        <v>5885</v>
      </c>
      <c r="K5393" t="s">
        <v>1092</v>
      </c>
      <c r="M5393">
        <v>4.7249999999999996</v>
      </c>
      <c r="N5393">
        <v>49</v>
      </c>
      <c r="O5393" t="s">
        <v>52</v>
      </c>
      <c r="Q5393" t="s">
        <v>219</v>
      </c>
      <c r="R5393" t="s">
        <v>730</v>
      </c>
      <c r="S5393" t="s">
        <v>731</v>
      </c>
    </row>
    <row r="5394" spans="1:19" x14ac:dyDescent="0.25">
      <c r="A5394" t="s">
        <v>30</v>
      </c>
      <c r="B5394" t="s">
        <v>31</v>
      </c>
      <c r="C5394" t="s">
        <v>32</v>
      </c>
      <c r="D5394" t="s">
        <v>719</v>
      </c>
      <c r="F5394" t="s">
        <v>35</v>
      </c>
      <c r="G5394" t="s">
        <v>35</v>
      </c>
      <c r="H5394" t="s">
        <v>35</v>
      </c>
      <c r="J5394" t="s">
        <v>5886</v>
      </c>
      <c r="K5394" t="s">
        <v>1092</v>
      </c>
      <c r="M5394">
        <v>7.7850000000000001</v>
      </c>
      <c r="N5394">
        <v>46</v>
      </c>
      <c r="O5394" t="s">
        <v>52</v>
      </c>
      <c r="Q5394" t="s">
        <v>493</v>
      </c>
      <c r="R5394" t="s">
        <v>5432</v>
      </c>
      <c r="S5394" t="s">
        <v>759</v>
      </c>
    </row>
    <row r="5395" spans="1:19" x14ac:dyDescent="0.25">
      <c r="A5395" t="s">
        <v>59</v>
      </c>
      <c r="B5395" t="s">
        <v>31</v>
      </c>
      <c r="C5395" t="s">
        <v>32</v>
      </c>
      <c r="D5395" t="s">
        <v>719</v>
      </c>
      <c r="F5395" t="s">
        <v>35</v>
      </c>
      <c r="G5395" t="s">
        <v>35</v>
      </c>
      <c r="H5395" t="s">
        <v>35</v>
      </c>
      <c r="J5395" t="s">
        <v>8257</v>
      </c>
      <c r="K5395" t="s">
        <v>1092</v>
      </c>
      <c r="M5395">
        <v>10.8</v>
      </c>
      <c r="N5395">
        <v>2</v>
      </c>
      <c r="O5395" t="s">
        <v>46</v>
      </c>
      <c r="Q5395" t="s">
        <v>8155</v>
      </c>
      <c r="R5395" t="s">
        <v>5461</v>
      </c>
      <c r="S5395" t="s">
        <v>479</v>
      </c>
    </row>
    <row r="5396" spans="1:19" x14ac:dyDescent="0.25">
      <c r="A5396" t="s">
        <v>59</v>
      </c>
      <c r="B5396" t="s">
        <v>31</v>
      </c>
      <c r="C5396" t="s">
        <v>32</v>
      </c>
      <c r="D5396" t="s">
        <v>765</v>
      </c>
      <c r="E5396" t="s">
        <v>5887</v>
      </c>
      <c r="F5396" t="s">
        <v>35</v>
      </c>
      <c r="G5396" t="s">
        <v>35</v>
      </c>
      <c r="H5396" t="s">
        <v>35</v>
      </c>
      <c r="J5396" t="s">
        <v>5888</v>
      </c>
      <c r="K5396" t="s">
        <v>1092</v>
      </c>
      <c r="M5396">
        <v>3.4649999999999999</v>
      </c>
      <c r="N5396">
        <v>131</v>
      </c>
      <c r="O5396" t="s">
        <v>38</v>
      </c>
      <c r="Q5396" t="s">
        <v>646</v>
      </c>
      <c r="R5396" t="s">
        <v>5889</v>
      </c>
      <c r="S5396" t="s">
        <v>767</v>
      </c>
    </row>
    <row r="5397" spans="1:19" x14ac:dyDescent="0.25">
      <c r="A5397" t="s">
        <v>30</v>
      </c>
      <c r="B5397" t="s">
        <v>31</v>
      </c>
      <c r="C5397" t="s">
        <v>32</v>
      </c>
      <c r="D5397" t="s">
        <v>765</v>
      </c>
      <c r="E5397" t="s">
        <v>5887</v>
      </c>
      <c r="F5397" t="s">
        <v>35</v>
      </c>
      <c r="G5397" t="s">
        <v>35</v>
      </c>
      <c r="H5397" t="s">
        <v>35</v>
      </c>
      <c r="J5397" t="s">
        <v>5888</v>
      </c>
      <c r="K5397" t="s">
        <v>1092</v>
      </c>
      <c r="M5397">
        <v>5.58</v>
      </c>
      <c r="N5397">
        <v>73</v>
      </c>
      <c r="O5397" t="s">
        <v>61</v>
      </c>
      <c r="Q5397" t="s">
        <v>552</v>
      </c>
      <c r="R5397" t="s">
        <v>5889</v>
      </c>
      <c r="S5397" t="s">
        <v>767</v>
      </c>
    </row>
    <row r="5398" spans="1:19" x14ac:dyDescent="0.25">
      <c r="A5398" t="s">
        <v>59</v>
      </c>
      <c r="B5398" t="s">
        <v>60</v>
      </c>
      <c r="C5398" t="s">
        <v>32</v>
      </c>
      <c r="D5398" t="s">
        <v>765</v>
      </c>
      <c r="E5398" t="s">
        <v>5890</v>
      </c>
      <c r="F5398" t="s">
        <v>35</v>
      </c>
      <c r="G5398" t="s">
        <v>35</v>
      </c>
      <c r="H5398" t="s">
        <v>35</v>
      </c>
      <c r="J5398" t="s">
        <v>5891</v>
      </c>
      <c r="K5398" t="s">
        <v>1092</v>
      </c>
      <c r="M5398">
        <v>1.5</v>
      </c>
      <c r="N5398">
        <v>265</v>
      </c>
      <c r="O5398" t="s">
        <v>5</v>
      </c>
      <c r="Q5398" t="s">
        <v>1754</v>
      </c>
      <c r="R5398" t="s">
        <v>5892</v>
      </c>
      <c r="S5398" t="s">
        <v>5893</v>
      </c>
    </row>
    <row r="5399" spans="1:19" x14ac:dyDescent="0.25">
      <c r="A5399" t="s">
        <v>59</v>
      </c>
      <c r="B5399" t="s">
        <v>60</v>
      </c>
      <c r="C5399" t="s">
        <v>32</v>
      </c>
      <c r="D5399" t="s">
        <v>765</v>
      </c>
      <c r="E5399" t="s">
        <v>5890</v>
      </c>
      <c r="F5399" t="s">
        <v>35</v>
      </c>
      <c r="G5399" t="s">
        <v>35</v>
      </c>
      <c r="H5399" t="s">
        <v>35</v>
      </c>
      <c r="J5399" t="s">
        <v>5891</v>
      </c>
      <c r="K5399" t="s">
        <v>1092</v>
      </c>
      <c r="M5399">
        <v>5.5</v>
      </c>
      <c r="N5399">
        <v>129</v>
      </c>
      <c r="O5399" t="s">
        <v>38</v>
      </c>
      <c r="Q5399" t="s">
        <v>1449</v>
      </c>
      <c r="R5399" t="s">
        <v>5892</v>
      </c>
      <c r="S5399" t="s">
        <v>5893</v>
      </c>
    </row>
    <row r="5400" spans="1:19" x14ac:dyDescent="0.25">
      <c r="A5400" t="s">
        <v>59</v>
      </c>
      <c r="B5400" t="s">
        <v>31</v>
      </c>
      <c r="C5400" t="s">
        <v>32</v>
      </c>
      <c r="D5400" t="s">
        <v>765</v>
      </c>
      <c r="E5400" t="s">
        <v>5890</v>
      </c>
      <c r="F5400" t="s">
        <v>35</v>
      </c>
      <c r="G5400" t="s">
        <v>35</v>
      </c>
      <c r="H5400" t="s">
        <v>35</v>
      </c>
      <c r="J5400" t="s">
        <v>5895</v>
      </c>
      <c r="K5400" t="s">
        <v>1092</v>
      </c>
      <c r="M5400">
        <v>5.49</v>
      </c>
      <c r="N5400">
        <v>129</v>
      </c>
      <c r="O5400" t="s">
        <v>38</v>
      </c>
      <c r="Q5400" t="s">
        <v>1449</v>
      </c>
      <c r="R5400" t="s">
        <v>5892</v>
      </c>
      <c r="S5400" t="s">
        <v>5893</v>
      </c>
    </row>
    <row r="5401" spans="1:19" x14ac:dyDescent="0.25">
      <c r="A5401" t="s">
        <v>59</v>
      </c>
      <c r="B5401" t="s">
        <v>60</v>
      </c>
      <c r="C5401" t="s">
        <v>32</v>
      </c>
      <c r="D5401" t="s">
        <v>765</v>
      </c>
      <c r="E5401" t="s">
        <v>5890</v>
      </c>
      <c r="F5401" t="s">
        <v>35</v>
      </c>
      <c r="G5401" t="s">
        <v>35</v>
      </c>
      <c r="H5401" t="s">
        <v>35</v>
      </c>
      <c r="J5401" t="s">
        <v>5895</v>
      </c>
      <c r="K5401" t="s">
        <v>1092</v>
      </c>
      <c r="M5401">
        <v>4.5</v>
      </c>
      <c r="N5401">
        <v>129</v>
      </c>
      <c r="O5401" t="s">
        <v>38</v>
      </c>
      <c r="Q5401" t="s">
        <v>1449</v>
      </c>
      <c r="R5401" t="s">
        <v>5892</v>
      </c>
      <c r="S5401" t="s">
        <v>5893</v>
      </c>
    </row>
    <row r="5402" spans="1:19" x14ac:dyDescent="0.25">
      <c r="A5402" t="s">
        <v>30</v>
      </c>
      <c r="B5402" t="s">
        <v>31</v>
      </c>
      <c r="C5402" t="s">
        <v>32</v>
      </c>
      <c r="D5402" t="s">
        <v>765</v>
      </c>
      <c r="E5402" t="s">
        <v>5890</v>
      </c>
      <c r="F5402" t="s">
        <v>35</v>
      </c>
      <c r="G5402" t="s">
        <v>35</v>
      </c>
      <c r="H5402" t="s">
        <v>35</v>
      </c>
      <c r="J5402" t="s">
        <v>5895</v>
      </c>
      <c r="K5402" t="s">
        <v>1092</v>
      </c>
      <c r="M5402">
        <v>3.78</v>
      </c>
      <c r="N5402">
        <v>75</v>
      </c>
      <c r="O5402" t="s">
        <v>61</v>
      </c>
      <c r="Q5402" t="s">
        <v>805</v>
      </c>
      <c r="R5402" t="s">
        <v>5892</v>
      </c>
      <c r="S5402" t="s">
        <v>5893</v>
      </c>
    </row>
    <row r="5403" spans="1:19" x14ac:dyDescent="0.25">
      <c r="A5403" t="s">
        <v>44</v>
      </c>
      <c r="B5403" t="s">
        <v>51</v>
      </c>
      <c r="C5403" t="s">
        <v>32</v>
      </c>
      <c r="D5403" t="s">
        <v>765</v>
      </c>
      <c r="E5403" t="s">
        <v>5890</v>
      </c>
      <c r="F5403" t="s">
        <v>35</v>
      </c>
      <c r="G5403" t="s">
        <v>35</v>
      </c>
      <c r="H5403" t="s">
        <v>35</v>
      </c>
      <c r="J5403" t="s">
        <v>5895</v>
      </c>
      <c r="K5403" t="s">
        <v>1092</v>
      </c>
      <c r="M5403">
        <v>6</v>
      </c>
      <c r="N5403">
        <v>62</v>
      </c>
      <c r="O5403" t="s">
        <v>61</v>
      </c>
      <c r="Q5403" t="s">
        <v>90</v>
      </c>
      <c r="R5403" t="s">
        <v>5892</v>
      </c>
      <c r="S5403" t="s">
        <v>5893</v>
      </c>
    </row>
    <row r="5404" spans="1:19" x14ac:dyDescent="0.25">
      <c r="A5404" t="s">
        <v>30</v>
      </c>
      <c r="B5404" t="s">
        <v>31</v>
      </c>
      <c r="C5404" t="s">
        <v>32</v>
      </c>
      <c r="D5404" t="s">
        <v>765</v>
      </c>
      <c r="E5404" t="s">
        <v>5890</v>
      </c>
      <c r="F5404" t="s">
        <v>35</v>
      </c>
      <c r="G5404" t="s">
        <v>35</v>
      </c>
      <c r="H5404" t="s">
        <v>35</v>
      </c>
      <c r="J5404" t="s">
        <v>5896</v>
      </c>
      <c r="K5404" t="s">
        <v>1092</v>
      </c>
      <c r="M5404">
        <v>0.27</v>
      </c>
      <c r="N5404">
        <v>158</v>
      </c>
      <c r="O5404" t="s">
        <v>38</v>
      </c>
      <c r="Q5404" t="s">
        <v>1593</v>
      </c>
      <c r="R5404" t="s">
        <v>5892</v>
      </c>
      <c r="S5404" t="s">
        <v>5893</v>
      </c>
    </row>
    <row r="5405" spans="1:19" x14ac:dyDescent="0.25">
      <c r="A5405" t="s">
        <v>30</v>
      </c>
      <c r="B5405" t="s">
        <v>31</v>
      </c>
      <c r="C5405" t="s">
        <v>32</v>
      </c>
      <c r="D5405" t="s">
        <v>765</v>
      </c>
      <c r="E5405" t="s">
        <v>5890</v>
      </c>
      <c r="F5405" t="s">
        <v>35</v>
      </c>
      <c r="G5405" t="s">
        <v>35</v>
      </c>
      <c r="H5405" t="s">
        <v>35</v>
      </c>
      <c r="J5405" t="s">
        <v>5897</v>
      </c>
      <c r="K5405" t="s">
        <v>1092</v>
      </c>
      <c r="M5405">
        <v>3.8250000000000002</v>
      </c>
      <c r="N5405">
        <v>73</v>
      </c>
      <c r="O5405" t="s">
        <v>61</v>
      </c>
      <c r="Q5405" t="s">
        <v>552</v>
      </c>
      <c r="R5405" t="s">
        <v>5889</v>
      </c>
      <c r="S5405" t="s">
        <v>767</v>
      </c>
    </row>
    <row r="5406" spans="1:19" x14ac:dyDescent="0.25">
      <c r="A5406" t="s">
        <v>59</v>
      </c>
      <c r="B5406" t="s">
        <v>31</v>
      </c>
      <c r="C5406" t="s">
        <v>32</v>
      </c>
      <c r="D5406" t="s">
        <v>765</v>
      </c>
      <c r="E5406" t="s">
        <v>5890</v>
      </c>
      <c r="F5406" t="s">
        <v>35</v>
      </c>
      <c r="G5406" t="s">
        <v>35</v>
      </c>
      <c r="H5406" t="s">
        <v>35</v>
      </c>
      <c r="J5406" t="s">
        <v>5897</v>
      </c>
      <c r="K5406" t="s">
        <v>1092</v>
      </c>
      <c r="M5406">
        <v>0.13100000000000001</v>
      </c>
      <c r="N5406">
        <v>185</v>
      </c>
      <c r="O5406" t="s">
        <v>5</v>
      </c>
      <c r="Q5406" t="s">
        <v>5898</v>
      </c>
      <c r="R5406" t="s">
        <v>5889</v>
      </c>
      <c r="S5406" t="s">
        <v>767</v>
      </c>
    </row>
    <row r="5407" spans="1:19" x14ac:dyDescent="0.25">
      <c r="A5407" t="s">
        <v>59</v>
      </c>
      <c r="B5407" t="s">
        <v>31</v>
      </c>
      <c r="C5407" t="s">
        <v>32</v>
      </c>
      <c r="D5407" t="s">
        <v>765</v>
      </c>
      <c r="E5407" t="s">
        <v>5890</v>
      </c>
      <c r="F5407" t="s">
        <v>35</v>
      </c>
      <c r="G5407" t="s">
        <v>35</v>
      </c>
      <c r="H5407" t="s">
        <v>35</v>
      </c>
      <c r="J5407" t="s">
        <v>5899</v>
      </c>
      <c r="K5407" t="s">
        <v>1092</v>
      </c>
      <c r="M5407">
        <v>6.3</v>
      </c>
      <c r="N5407">
        <v>131</v>
      </c>
      <c r="O5407" t="s">
        <v>38</v>
      </c>
      <c r="Q5407" t="s">
        <v>646</v>
      </c>
      <c r="R5407" t="s">
        <v>5889</v>
      </c>
      <c r="S5407" t="s">
        <v>767</v>
      </c>
    </row>
    <row r="5408" spans="1:19" x14ac:dyDescent="0.25">
      <c r="A5408" t="s">
        <v>30</v>
      </c>
      <c r="B5408" t="s">
        <v>31</v>
      </c>
      <c r="C5408" t="s">
        <v>32</v>
      </c>
      <c r="D5408" t="s">
        <v>765</v>
      </c>
      <c r="E5408" t="s">
        <v>5890</v>
      </c>
      <c r="F5408" t="s">
        <v>35</v>
      </c>
      <c r="G5408" t="s">
        <v>35</v>
      </c>
      <c r="H5408" t="s">
        <v>35</v>
      </c>
      <c r="J5408" t="s">
        <v>5899</v>
      </c>
      <c r="K5408" t="s">
        <v>1092</v>
      </c>
      <c r="M5408">
        <v>6.57</v>
      </c>
      <c r="N5408">
        <v>174</v>
      </c>
      <c r="O5408" t="s">
        <v>38</v>
      </c>
      <c r="Q5408" t="s">
        <v>1565</v>
      </c>
      <c r="R5408" t="s">
        <v>5892</v>
      </c>
      <c r="S5408" t="s">
        <v>5893</v>
      </c>
    </row>
    <row r="5409" spans="1:19" x14ac:dyDescent="0.25">
      <c r="A5409" t="s">
        <v>59</v>
      </c>
      <c r="B5409" t="s">
        <v>60</v>
      </c>
      <c r="C5409" t="s">
        <v>32</v>
      </c>
      <c r="D5409" t="s">
        <v>765</v>
      </c>
      <c r="E5409" t="s">
        <v>5890</v>
      </c>
      <c r="F5409" t="s">
        <v>35</v>
      </c>
      <c r="G5409" t="s">
        <v>35</v>
      </c>
      <c r="H5409" t="s">
        <v>35</v>
      </c>
      <c r="J5409" t="s">
        <v>5899</v>
      </c>
      <c r="K5409" t="s">
        <v>1092</v>
      </c>
      <c r="M5409">
        <v>5.25</v>
      </c>
      <c r="N5409">
        <v>131</v>
      </c>
      <c r="O5409" t="s">
        <v>38</v>
      </c>
      <c r="Q5409" t="s">
        <v>646</v>
      </c>
      <c r="R5409" t="s">
        <v>5889</v>
      </c>
      <c r="S5409" t="s">
        <v>767</v>
      </c>
    </row>
    <row r="5410" spans="1:19" x14ac:dyDescent="0.25">
      <c r="A5410" t="s">
        <v>30</v>
      </c>
      <c r="B5410" t="s">
        <v>31</v>
      </c>
      <c r="C5410" t="s">
        <v>32</v>
      </c>
      <c r="D5410" t="s">
        <v>765</v>
      </c>
      <c r="E5410" t="s">
        <v>5890</v>
      </c>
      <c r="F5410" t="s">
        <v>35</v>
      </c>
      <c r="G5410" t="s">
        <v>35</v>
      </c>
      <c r="H5410" t="s">
        <v>35</v>
      </c>
      <c r="J5410" t="s">
        <v>5900</v>
      </c>
      <c r="K5410" t="s">
        <v>1092</v>
      </c>
      <c r="M5410">
        <v>1.4850000000000001</v>
      </c>
      <c r="N5410">
        <v>178</v>
      </c>
      <c r="O5410" t="s">
        <v>38</v>
      </c>
      <c r="Q5410" t="s">
        <v>2827</v>
      </c>
      <c r="R5410" t="s">
        <v>5889</v>
      </c>
      <c r="S5410" t="s">
        <v>767</v>
      </c>
    </row>
    <row r="5411" spans="1:19" x14ac:dyDescent="0.25">
      <c r="A5411" t="s">
        <v>44</v>
      </c>
      <c r="B5411" t="s">
        <v>51</v>
      </c>
      <c r="C5411" t="s">
        <v>32</v>
      </c>
      <c r="D5411" t="s">
        <v>765</v>
      </c>
      <c r="E5411" t="s">
        <v>5890</v>
      </c>
      <c r="F5411" t="s">
        <v>35</v>
      </c>
      <c r="G5411" t="s">
        <v>35</v>
      </c>
      <c r="H5411" t="s">
        <v>35</v>
      </c>
      <c r="J5411" t="s">
        <v>5901</v>
      </c>
      <c r="K5411" t="s">
        <v>1092</v>
      </c>
      <c r="M5411">
        <v>2.2000000000000002</v>
      </c>
      <c r="N5411">
        <v>62</v>
      </c>
      <c r="O5411" t="s">
        <v>61</v>
      </c>
      <c r="Q5411" t="s">
        <v>90</v>
      </c>
      <c r="R5411" t="s">
        <v>5892</v>
      </c>
      <c r="S5411" t="s">
        <v>5893</v>
      </c>
    </row>
    <row r="5412" spans="1:19" x14ac:dyDescent="0.25">
      <c r="A5412" t="s">
        <v>30</v>
      </c>
      <c r="B5412" t="s">
        <v>31</v>
      </c>
      <c r="C5412" t="s">
        <v>32</v>
      </c>
      <c r="D5412" t="s">
        <v>765</v>
      </c>
      <c r="E5412" t="s">
        <v>5890</v>
      </c>
      <c r="F5412" t="s">
        <v>35</v>
      </c>
      <c r="G5412" t="s">
        <v>35</v>
      </c>
      <c r="H5412" t="s">
        <v>35</v>
      </c>
      <c r="J5412" t="s">
        <v>5901</v>
      </c>
      <c r="K5412" t="s">
        <v>1092</v>
      </c>
      <c r="M5412">
        <v>0.9</v>
      </c>
      <c r="N5412">
        <v>75</v>
      </c>
      <c r="O5412" t="s">
        <v>61</v>
      </c>
      <c r="Q5412" t="s">
        <v>805</v>
      </c>
      <c r="R5412" t="s">
        <v>5892</v>
      </c>
      <c r="S5412" t="s">
        <v>5893</v>
      </c>
    </row>
    <row r="5413" spans="1:19" x14ac:dyDescent="0.25">
      <c r="A5413" t="s">
        <v>30</v>
      </c>
      <c r="B5413" t="s">
        <v>31</v>
      </c>
      <c r="C5413" t="s">
        <v>32</v>
      </c>
      <c r="D5413" t="s">
        <v>765</v>
      </c>
      <c r="E5413" t="s">
        <v>5890</v>
      </c>
      <c r="F5413" t="s">
        <v>35</v>
      </c>
      <c r="G5413" t="s">
        <v>35</v>
      </c>
      <c r="H5413" t="s">
        <v>35</v>
      </c>
      <c r="J5413" t="s">
        <v>5902</v>
      </c>
      <c r="K5413" t="s">
        <v>1092</v>
      </c>
      <c r="M5413">
        <v>6.57</v>
      </c>
      <c r="N5413">
        <v>75</v>
      </c>
      <c r="O5413" t="s">
        <v>61</v>
      </c>
      <c r="Q5413" t="s">
        <v>805</v>
      </c>
      <c r="R5413" t="s">
        <v>5892</v>
      </c>
      <c r="S5413" t="s">
        <v>5893</v>
      </c>
    </row>
    <row r="5414" spans="1:19" x14ac:dyDescent="0.25">
      <c r="A5414" t="s">
        <v>59</v>
      </c>
      <c r="B5414" t="s">
        <v>60</v>
      </c>
      <c r="C5414" t="s">
        <v>32</v>
      </c>
      <c r="D5414" t="s">
        <v>765</v>
      </c>
      <c r="E5414" t="s">
        <v>5903</v>
      </c>
      <c r="F5414" t="s">
        <v>35</v>
      </c>
      <c r="G5414" t="s">
        <v>35</v>
      </c>
      <c r="H5414" t="s">
        <v>35</v>
      </c>
      <c r="J5414" t="s">
        <v>5904</v>
      </c>
      <c r="K5414" t="s">
        <v>1092</v>
      </c>
      <c r="M5414">
        <v>2.5</v>
      </c>
      <c r="N5414">
        <v>129</v>
      </c>
      <c r="O5414" t="s">
        <v>38</v>
      </c>
      <c r="Q5414" t="s">
        <v>1449</v>
      </c>
      <c r="R5414" t="s">
        <v>5892</v>
      </c>
      <c r="S5414" t="s">
        <v>5893</v>
      </c>
    </row>
    <row r="5415" spans="1:19" x14ac:dyDescent="0.25">
      <c r="A5415" t="s">
        <v>59</v>
      </c>
      <c r="B5415" t="s">
        <v>31</v>
      </c>
      <c r="C5415" t="s">
        <v>32</v>
      </c>
      <c r="D5415" t="s">
        <v>765</v>
      </c>
      <c r="E5415" t="s">
        <v>5903</v>
      </c>
      <c r="F5415" t="s">
        <v>35</v>
      </c>
      <c r="G5415" t="s">
        <v>35</v>
      </c>
      <c r="H5415" t="s">
        <v>35</v>
      </c>
      <c r="J5415" t="s">
        <v>5904</v>
      </c>
      <c r="K5415" t="s">
        <v>1092</v>
      </c>
      <c r="M5415">
        <v>4.41</v>
      </c>
      <c r="N5415">
        <v>131</v>
      </c>
      <c r="O5415" t="s">
        <v>38</v>
      </c>
      <c r="Q5415" t="s">
        <v>646</v>
      </c>
      <c r="R5415" t="s">
        <v>5889</v>
      </c>
      <c r="S5415" t="s">
        <v>767</v>
      </c>
    </row>
    <row r="5416" spans="1:19" x14ac:dyDescent="0.25">
      <c r="A5416" t="s">
        <v>59</v>
      </c>
      <c r="B5416" t="s">
        <v>60</v>
      </c>
      <c r="C5416" t="s">
        <v>32</v>
      </c>
      <c r="D5416" t="s">
        <v>765</v>
      </c>
      <c r="E5416" t="s">
        <v>5903</v>
      </c>
      <c r="F5416" t="s">
        <v>35</v>
      </c>
      <c r="G5416" t="s">
        <v>35</v>
      </c>
      <c r="H5416" t="s">
        <v>35</v>
      </c>
      <c r="J5416" t="s">
        <v>5905</v>
      </c>
      <c r="K5416" t="s">
        <v>1092</v>
      </c>
      <c r="M5416">
        <v>0.03</v>
      </c>
      <c r="N5416">
        <v>2673</v>
      </c>
      <c r="O5416" t="s">
        <v>575</v>
      </c>
      <c r="Q5416" t="s">
        <v>1486</v>
      </c>
      <c r="R5416" t="s">
        <v>1487</v>
      </c>
      <c r="S5416" t="s">
        <v>1488</v>
      </c>
    </row>
    <row r="5417" spans="1:19" x14ac:dyDescent="0.25">
      <c r="A5417" t="s">
        <v>59</v>
      </c>
      <c r="B5417" t="s">
        <v>60</v>
      </c>
      <c r="C5417" t="s">
        <v>32</v>
      </c>
      <c r="D5417" t="s">
        <v>765</v>
      </c>
      <c r="E5417" t="s">
        <v>5906</v>
      </c>
      <c r="F5417" t="s">
        <v>35</v>
      </c>
      <c r="G5417" t="s">
        <v>35</v>
      </c>
      <c r="H5417" t="s">
        <v>35</v>
      </c>
      <c r="J5417" t="s">
        <v>5907</v>
      </c>
      <c r="K5417" t="s">
        <v>1092</v>
      </c>
      <c r="M5417">
        <v>3.5</v>
      </c>
      <c r="N5417">
        <v>129</v>
      </c>
      <c r="O5417" t="s">
        <v>38</v>
      </c>
      <c r="Q5417" t="s">
        <v>1449</v>
      </c>
      <c r="R5417" t="s">
        <v>5892</v>
      </c>
      <c r="S5417" t="s">
        <v>5893</v>
      </c>
    </row>
    <row r="5418" spans="1:19" x14ac:dyDescent="0.25">
      <c r="A5418" t="s">
        <v>30</v>
      </c>
      <c r="B5418" t="s">
        <v>31</v>
      </c>
      <c r="C5418" t="s">
        <v>32</v>
      </c>
      <c r="D5418" t="s">
        <v>765</v>
      </c>
      <c r="E5418" t="s">
        <v>766</v>
      </c>
      <c r="F5418" t="s">
        <v>35</v>
      </c>
      <c r="G5418" t="s">
        <v>35</v>
      </c>
      <c r="H5418" t="s">
        <v>35</v>
      </c>
      <c r="J5418" t="s">
        <v>5908</v>
      </c>
      <c r="K5418" t="s">
        <v>1092</v>
      </c>
      <c r="M5418">
        <v>0.40500000000000003</v>
      </c>
      <c r="N5418">
        <v>157</v>
      </c>
      <c r="O5418" t="s">
        <v>38</v>
      </c>
      <c r="Q5418" t="s">
        <v>1145</v>
      </c>
      <c r="R5418" t="s">
        <v>5889</v>
      </c>
      <c r="S5418" t="s">
        <v>767</v>
      </c>
    </row>
    <row r="5419" spans="1:19" x14ac:dyDescent="0.25">
      <c r="A5419" t="s">
        <v>59</v>
      </c>
      <c r="B5419" t="s">
        <v>31</v>
      </c>
      <c r="C5419" t="s">
        <v>32</v>
      </c>
      <c r="D5419" t="s">
        <v>765</v>
      </c>
      <c r="E5419" t="s">
        <v>766</v>
      </c>
      <c r="F5419" t="s">
        <v>35</v>
      </c>
      <c r="G5419" t="s">
        <v>35</v>
      </c>
      <c r="H5419" t="s">
        <v>35</v>
      </c>
      <c r="J5419" t="s">
        <v>5909</v>
      </c>
      <c r="K5419" t="s">
        <v>1092</v>
      </c>
      <c r="M5419">
        <v>1.35</v>
      </c>
      <c r="N5419">
        <v>92</v>
      </c>
      <c r="O5419" t="s">
        <v>106</v>
      </c>
      <c r="Q5419" t="s">
        <v>1100</v>
      </c>
      <c r="R5419" t="s">
        <v>5889</v>
      </c>
      <c r="S5419" t="s">
        <v>767</v>
      </c>
    </row>
    <row r="5420" spans="1:19" x14ac:dyDescent="0.25">
      <c r="A5420" t="s">
        <v>30</v>
      </c>
      <c r="B5420" t="s">
        <v>31</v>
      </c>
      <c r="C5420" t="s">
        <v>32</v>
      </c>
      <c r="D5420" t="s">
        <v>765</v>
      </c>
      <c r="E5420" t="s">
        <v>766</v>
      </c>
      <c r="F5420" t="s">
        <v>35</v>
      </c>
      <c r="G5420" t="s">
        <v>35</v>
      </c>
      <c r="H5420" t="s">
        <v>35</v>
      </c>
      <c r="J5420" t="s">
        <v>5909</v>
      </c>
      <c r="K5420" t="s">
        <v>1092</v>
      </c>
      <c r="M5420">
        <v>0.99</v>
      </c>
      <c r="N5420">
        <v>87</v>
      </c>
      <c r="O5420" t="s">
        <v>61</v>
      </c>
      <c r="Q5420" t="s">
        <v>1639</v>
      </c>
      <c r="R5420" t="s">
        <v>5889</v>
      </c>
      <c r="S5420" t="s">
        <v>767</v>
      </c>
    </row>
    <row r="5421" spans="1:19" x14ac:dyDescent="0.25">
      <c r="A5421" t="s">
        <v>30</v>
      </c>
      <c r="B5421" t="s">
        <v>31</v>
      </c>
      <c r="C5421" t="s">
        <v>32</v>
      </c>
      <c r="D5421" t="s">
        <v>765</v>
      </c>
      <c r="E5421" t="s">
        <v>766</v>
      </c>
      <c r="F5421" t="s">
        <v>35</v>
      </c>
      <c r="G5421" t="s">
        <v>35</v>
      </c>
      <c r="H5421" t="s">
        <v>35</v>
      </c>
      <c r="J5421" t="s">
        <v>5910</v>
      </c>
      <c r="K5421" t="s">
        <v>1092</v>
      </c>
      <c r="M5421">
        <v>12.6</v>
      </c>
      <c r="N5421">
        <v>951</v>
      </c>
      <c r="O5421" t="s">
        <v>575</v>
      </c>
      <c r="Q5421" t="s">
        <v>5911</v>
      </c>
      <c r="R5421" t="s">
        <v>5889</v>
      </c>
      <c r="S5421" t="s">
        <v>767</v>
      </c>
    </row>
    <row r="5422" spans="1:19" x14ac:dyDescent="0.25">
      <c r="A5422" t="s">
        <v>44</v>
      </c>
      <c r="B5422" t="s">
        <v>51</v>
      </c>
      <c r="C5422" t="s">
        <v>32</v>
      </c>
      <c r="D5422" t="s">
        <v>765</v>
      </c>
      <c r="E5422" t="s">
        <v>766</v>
      </c>
      <c r="F5422" t="s">
        <v>35</v>
      </c>
      <c r="G5422" t="s">
        <v>35</v>
      </c>
      <c r="H5422" t="s">
        <v>35</v>
      </c>
      <c r="J5422" t="s">
        <v>5912</v>
      </c>
      <c r="K5422" t="s">
        <v>1092</v>
      </c>
      <c r="M5422">
        <v>0.25</v>
      </c>
      <c r="N5422">
        <v>62</v>
      </c>
      <c r="O5422" t="s">
        <v>61</v>
      </c>
      <c r="Q5422" t="s">
        <v>90</v>
      </c>
      <c r="R5422" t="s">
        <v>5892</v>
      </c>
      <c r="S5422" t="s">
        <v>5893</v>
      </c>
    </row>
    <row r="5423" spans="1:19" x14ac:dyDescent="0.25">
      <c r="A5423" t="s">
        <v>59</v>
      </c>
      <c r="B5423" t="s">
        <v>31</v>
      </c>
      <c r="C5423" t="s">
        <v>32</v>
      </c>
      <c r="D5423" t="s">
        <v>765</v>
      </c>
      <c r="E5423" t="s">
        <v>766</v>
      </c>
      <c r="F5423" t="s">
        <v>35</v>
      </c>
      <c r="G5423" t="s">
        <v>35</v>
      </c>
      <c r="H5423" t="s">
        <v>35</v>
      </c>
      <c r="J5423" t="s">
        <v>5913</v>
      </c>
      <c r="K5423" t="s">
        <v>1092</v>
      </c>
      <c r="M5423">
        <v>0.94499999999999995</v>
      </c>
      <c r="N5423">
        <v>129</v>
      </c>
      <c r="O5423" t="s">
        <v>38</v>
      </c>
      <c r="Q5423" t="s">
        <v>1449</v>
      </c>
      <c r="R5423" t="s">
        <v>5892</v>
      </c>
      <c r="S5423" t="s">
        <v>5893</v>
      </c>
    </row>
    <row r="5424" spans="1:19" x14ac:dyDescent="0.25">
      <c r="A5424" t="s">
        <v>30</v>
      </c>
      <c r="B5424" t="s">
        <v>31</v>
      </c>
      <c r="C5424" t="s">
        <v>32</v>
      </c>
      <c r="D5424" t="s">
        <v>765</v>
      </c>
      <c r="E5424" t="s">
        <v>766</v>
      </c>
      <c r="F5424" t="s">
        <v>35</v>
      </c>
      <c r="G5424" t="s">
        <v>35</v>
      </c>
      <c r="H5424" t="s">
        <v>35</v>
      </c>
      <c r="J5424" t="s">
        <v>5914</v>
      </c>
      <c r="K5424" t="s">
        <v>1092</v>
      </c>
      <c r="M5424">
        <v>4.4999999999999998E-2</v>
      </c>
      <c r="N5424">
        <v>600</v>
      </c>
      <c r="O5424" t="s">
        <v>575</v>
      </c>
      <c r="Q5424" t="s">
        <v>5915</v>
      </c>
      <c r="R5424" t="s">
        <v>5889</v>
      </c>
      <c r="S5424" t="s">
        <v>767</v>
      </c>
    </row>
    <row r="5425" spans="1:19" x14ac:dyDescent="0.25">
      <c r="A5425" t="s">
        <v>44</v>
      </c>
      <c r="B5425" t="s">
        <v>3</v>
      </c>
      <c r="C5425" t="s">
        <v>32</v>
      </c>
      <c r="D5425" t="s">
        <v>765</v>
      </c>
      <c r="E5425" t="s">
        <v>766</v>
      </c>
      <c r="F5425" t="s">
        <v>35</v>
      </c>
      <c r="G5425" t="s">
        <v>35</v>
      </c>
      <c r="H5425" t="s">
        <v>35</v>
      </c>
      <c r="J5425" t="s">
        <v>5916</v>
      </c>
      <c r="K5425" t="s">
        <v>1092</v>
      </c>
      <c r="M5425">
        <v>0.1</v>
      </c>
      <c r="N5425">
        <v>387</v>
      </c>
      <c r="O5425" t="s">
        <v>294</v>
      </c>
      <c r="Q5425" t="s">
        <v>3142</v>
      </c>
      <c r="R5425" t="s">
        <v>5889</v>
      </c>
      <c r="S5425" t="s">
        <v>767</v>
      </c>
    </row>
    <row r="5426" spans="1:19" x14ac:dyDescent="0.25">
      <c r="A5426" t="s">
        <v>30</v>
      </c>
      <c r="B5426" t="s">
        <v>31</v>
      </c>
      <c r="C5426" t="s">
        <v>32</v>
      </c>
      <c r="D5426" t="s">
        <v>765</v>
      </c>
      <c r="E5426" t="s">
        <v>766</v>
      </c>
      <c r="F5426" t="s">
        <v>35</v>
      </c>
      <c r="G5426" t="s">
        <v>35</v>
      </c>
      <c r="H5426" t="s">
        <v>35</v>
      </c>
      <c r="J5426" t="s">
        <v>5917</v>
      </c>
      <c r="K5426" t="s">
        <v>1092</v>
      </c>
      <c r="M5426">
        <v>1.7549999999999999</v>
      </c>
      <c r="N5426">
        <v>75</v>
      </c>
      <c r="O5426" t="s">
        <v>61</v>
      </c>
      <c r="Q5426" t="s">
        <v>805</v>
      </c>
      <c r="R5426" t="s">
        <v>5892</v>
      </c>
      <c r="S5426" t="s">
        <v>5893</v>
      </c>
    </row>
    <row r="5427" spans="1:19" x14ac:dyDescent="0.25">
      <c r="A5427" t="s">
        <v>44</v>
      </c>
      <c r="B5427" t="s">
        <v>51</v>
      </c>
      <c r="C5427" t="s">
        <v>32</v>
      </c>
      <c r="D5427" t="s">
        <v>765</v>
      </c>
      <c r="E5427" t="s">
        <v>766</v>
      </c>
      <c r="F5427" t="s">
        <v>35</v>
      </c>
      <c r="G5427" t="s">
        <v>35</v>
      </c>
      <c r="H5427" t="s">
        <v>35</v>
      </c>
      <c r="J5427" t="s">
        <v>5917</v>
      </c>
      <c r="K5427" t="s">
        <v>1092</v>
      </c>
      <c r="M5427">
        <v>3.8</v>
      </c>
      <c r="N5427">
        <v>62</v>
      </c>
      <c r="O5427" t="s">
        <v>61</v>
      </c>
      <c r="Q5427" t="s">
        <v>90</v>
      </c>
      <c r="R5427" t="s">
        <v>5892</v>
      </c>
      <c r="S5427" t="s">
        <v>5893</v>
      </c>
    </row>
    <row r="5428" spans="1:19" x14ac:dyDescent="0.25">
      <c r="A5428" t="s">
        <v>30</v>
      </c>
      <c r="B5428" t="s">
        <v>31</v>
      </c>
      <c r="C5428" t="s">
        <v>32</v>
      </c>
      <c r="D5428" t="s">
        <v>765</v>
      </c>
      <c r="E5428" t="s">
        <v>766</v>
      </c>
      <c r="F5428" t="s">
        <v>35</v>
      </c>
      <c r="G5428" t="s">
        <v>35</v>
      </c>
      <c r="H5428" t="s">
        <v>35</v>
      </c>
      <c r="J5428" t="s">
        <v>5918</v>
      </c>
      <c r="K5428" t="s">
        <v>1092</v>
      </c>
      <c r="M5428">
        <v>1.0349999999999999</v>
      </c>
      <c r="N5428">
        <v>160</v>
      </c>
      <c r="O5428" t="s">
        <v>38</v>
      </c>
      <c r="Q5428" t="s">
        <v>260</v>
      </c>
      <c r="R5428" t="s">
        <v>5889</v>
      </c>
      <c r="S5428" t="s">
        <v>767</v>
      </c>
    </row>
    <row r="5429" spans="1:19" x14ac:dyDescent="0.25">
      <c r="A5429" t="s">
        <v>59</v>
      </c>
      <c r="B5429" t="s">
        <v>60</v>
      </c>
      <c r="C5429" t="s">
        <v>32</v>
      </c>
      <c r="D5429" t="s">
        <v>765</v>
      </c>
      <c r="E5429" t="s">
        <v>766</v>
      </c>
      <c r="F5429" t="s">
        <v>35</v>
      </c>
      <c r="G5429" t="s">
        <v>35</v>
      </c>
      <c r="H5429" t="s">
        <v>35</v>
      </c>
      <c r="J5429" t="s">
        <v>5919</v>
      </c>
      <c r="K5429" t="s">
        <v>1092</v>
      </c>
      <c r="M5429">
        <v>1.5</v>
      </c>
      <c r="N5429">
        <v>258</v>
      </c>
      <c r="O5429" t="s">
        <v>5</v>
      </c>
      <c r="Q5429" t="s">
        <v>5051</v>
      </c>
      <c r="R5429" t="s">
        <v>5889</v>
      </c>
      <c r="S5429" t="s">
        <v>767</v>
      </c>
    </row>
    <row r="5430" spans="1:19" x14ac:dyDescent="0.25">
      <c r="A5430" t="s">
        <v>30</v>
      </c>
      <c r="B5430" t="s">
        <v>31</v>
      </c>
      <c r="C5430" t="s">
        <v>32</v>
      </c>
      <c r="D5430" t="s">
        <v>765</v>
      </c>
      <c r="E5430" t="s">
        <v>766</v>
      </c>
      <c r="F5430" t="s">
        <v>35</v>
      </c>
      <c r="G5430" t="s">
        <v>35</v>
      </c>
      <c r="H5430" t="s">
        <v>35</v>
      </c>
      <c r="J5430" t="s">
        <v>5920</v>
      </c>
      <c r="K5430" t="s">
        <v>1092</v>
      </c>
      <c r="M5430">
        <v>0.18</v>
      </c>
      <c r="N5430">
        <v>610</v>
      </c>
      <c r="O5430" t="s">
        <v>575</v>
      </c>
      <c r="Q5430" t="s">
        <v>5921</v>
      </c>
      <c r="R5430" t="s">
        <v>5889</v>
      </c>
      <c r="S5430" t="s">
        <v>767</v>
      </c>
    </row>
    <row r="5431" spans="1:19" x14ac:dyDescent="0.25">
      <c r="A5431" t="s">
        <v>30</v>
      </c>
      <c r="B5431" t="s">
        <v>31</v>
      </c>
      <c r="C5431" t="s">
        <v>32</v>
      </c>
      <c r="D5431" t="s">
        <v>765</v>
      </c>
      <c r="E5431" t="s">
        <v>766</v>
      </c>
      <c r="F5431" t="s">
        <v>35</v>
      </c>
      <c r="G5431" t="s">
        <v>35</v>
      </c>
      <c r="H5431" t="s">
        <v>35</v>
      </c>
      <c r="J5431" t="s">
        <v>5922</v>
      </c>
      <c r="K5431" t="s">
        <v>1092</v>
      </c>
      <c r="M5431">
        <v>0.9</v>
      </c>
      <c r="N5431">
        <v>74</v>
      </c>
      <c r="O5431" t="s">
        <v>61</v>
      </c>
      <c r="Q5431" t="s">
        <v>488</v>
      </c>
      <c r="R5431" t="s">
        <v>5889</v>
      </c>
      <c r="S5431" t="s">
        <v>767</v>
      </c>
    </row>
    <row r="5432" spans="1:19" x14ac:dyDescent="0.25">
      <c r="A5432" t="s">
        <v>30</v>
      </c>
      <c r="B5432" t="s">
        <v>31</v>
      </c>
      <c r="C5432" t="s">
        <v>32</v>
      </c>
      <c r="D5432" t="s">
        <v>765</v>
      </c>
      <c r="E5432" t="s">
        <v>766</v>
      </c>
      <c r="F5432" t="s">
        <v>35</v>
      </c>
      <c r="G5432" t="s">
        <v>35</v>
      </c>
      <c r="H5432" t="s">
        <v>35</v>
      </c>
      <c r="J5432" t="s">
        <v>5923</v>
      </c>
      <c r="K5432" t="s">
        <v>1092</v>
      </c>
      <c r="M5432">
        <v>1.8</v>
      </c>
      <c r="N5432">
        <v>150</v>
      </c>
      <c r="O5432" t="s">
        <v>38</v>
      </c>
      <c r="Q5432" t="s">
        <v>1612</v>
      </c>
      <c r="R5432" t="s">
        <v>5889</v>
      </c>
      <c r="S5432" t="s">
        <v>767</v>
      </c>
    </row>
    <row r="5433" spans="1:19" x14ac:dyDescent="0.25">
      <c r="A5433" t="s">
        <v>30</v>
      </c>
      <c r="B5433" t="s">
        <v>31</v>
      </c>
      <c r="C5433" t="s">
        <v>32</v>
      </c>
      <c r="D5433" t="s">
        <v>765</v>
      </c>
      <c r="E5433" t="s">
        <v>766</v>
      </c>
      <c r="F5433" t="s">
        <v>35</v>
      </c>
      <c r="G5433" t="s">
        <v>35</v>
      </c>
      <c r="H5433" t="s">
        <v>35</v>
      </c>
      <c r="J5433" t="s">
        <v>5925</v>
      </c>
      <c r="K5433" t="s">
        <v>1092</v>
      </c>
      <c r="M5433">
        <v>2.97</v>
      </c>
      <c r="N5433">
        <v>75</v>
      </c>
      <c r="O5433" t="s">
        <v>61</v>
      </c>
      <c r="Q5433" t="s">
        <v>805</v>
      </c>
      <c r="R5433" t="s">
        <v>5892</v>
      </c>
      <c r="S5433" t="s">
        <v>5893</v>
      </c>
    </row>
    <row r="5434" spans="1:19" x14ac:dyDescent="0.25">
      <c r="A5434" t="s">
        <v>30</v>
      </c>
      <c r="B5434" t="s">
        <v>31</v>
      </c>
      <c r="C5434" t="s">
        <v>32</v>
      </c>
      <c r="D5434" t="s">
        <v>765</v>
      </c>
      <c r="E5434" t="s">
        <v>5926</v>
      </c>
      <c r="F5434" t="s">
        <v>35</v>
      </c>
      <c r="G5434" t="s">
        <v>35</v>
      </c>
      <c r="H5434" t="s">
        <v>35</v>
      </c>
      <c r="J5434" t="s">
        <v>5927</v>
      </c>
      <c r="K5434" t="s">
        <v>1092</v>
      </c>
      <c r="M5434">
        <v>0.495</v>
      </c>
      <c r="N5434">
        <v>951</v>
      </c>
      <c r="O5434" t="s">
        <v>575</v>
      </c>
      <c r="Q5434" t="s">
        <v>5911</v>
      </c>
      <c r="R5434" t="s">
        <v>5892</v>
      </c>
      <c r="S5434" t="s">
        <v>5893</v>
      </c>
    </row>
    <row r="5435" spans="1:19" x14ac:dyDescent="0.25">
      <c r="A5435" t="s">
        <v>30</v>
      </c>
      <c r="B5435" t="s">
        <v>31</v>
      </c>
      <c r="C5435" t="s">
        <v>32</v>
      </c>
      <c r="D5435" t="s">
        <v>765</v>
      </c>
      <c r="E5435" t="s">
        <v>5926</v>
      </c>
      <c r="F5435" t="s">
        <v>35</v>
      </c>
      <c r="G5435" t="s">
        <v>35</v>
      </c>
      <c r="H5435" t="s">
        <v>35</v>
      </c>
      <c r="J5435" t="s">
        <v>5928</v>
      </c>
      <c r="K5435" t="s">
        <v>1092</v>
      </c>
      <c r="M5435">
        <v>3.0150000000000001</v>
      </c>
      <c r="N5435">
        <v>75</v>
      </c>
      <c r="O5435" t="s">
        <v>61</v>
      </c>
      <c r="Q5435" t="s">
        <v>805</v>
      </c>
      <c r="R5435" t="s">
        <v>5892</v>
      </c>
      <c r="S5435" t="s">
        <v>5893</v>
      </c>
    </row>
    <row r="5436" spans="1:19" x14ac:dyDescent="0.25">
      <c r="A5436" t="s">
        <v>30</v>
      </c>
      <c r="B5436" t="s">
        <v>31</v>
      </c>
      <c r="C5436" t="s">
        <v>32</v>
      </c>
      <c r="D5436" t="s">
        <v>765</v>
      </c>
      <c r="E5436" t="s">
        <v>5926</v>
      </c>
      <c r="F5436" t="s">
        <v>35</v>
      </c>
      <c r="G5436" t="s">
        <v>35</v>
      </c>
      <c r="H5436" t="s">
        <v>35</v>
      </c>
      <c r="J5436" t="s">
        <v>5929</v>
      </c>
      <c r="K5436" t="s">
        <v>1092</v>
      </c>
      <c r="M5436">
        <v>0.18</v>
      </c>
      <c r="N5436">
        <v>73</v>
      </c>
      <c r="O5436" t="s">
        <v>61</v>
      </c>
      <c r="Q5436" t="s">
        <v>552</v>
      </c>
      <c r="R5436" t="s">
        <v>5889</v>
      </c>
      <c r="S5436" t="s">
        <v>767</v>
      </c>
    </row>
    <row r="5437" spans="1:19" x14ac:dyDescent="0.25">
      <c r="A5437" t="s">
        <v>30</v>
      </c>
      <c r="B5437" t="s">
        <v>31</v>
      </c>
      <c r="C5437" t="s">
        <v>32</v>
      </c>
      <c r="D5437" t="s">
        <v>765</v>
      </c>
      <c r="E5437" t="s">
        <v>5926</v>
      </c>
      <c r="F5437" t="s">
        <v>35</v>
      </c>
      <c r="G5437" t="s">
        <v>35</v>
      </c>
      <c r="H5437" t="s">
        <v>35</v>
      </c>
      <c r="J5437" t="s">
        <v>5930</v>
      </c>
      <c r="K5437" t="s">
        <v>1092</v>
      </c>
      <c r="M5437">
        <v>0.27</v>
      </c>
      <c r="N5437">
        <v>73</v>
      </c>
      <c r="O5437" t="s">
        <v>61</v>
      </c>
      <c r="Q5437" t="s">
        <v>552</v>
      </c>
      <c r="R5437" t="s">
        <v>5889</v>
      </c>
      <c r="S5437" t="s">
        <v>767</v>
      </c>
    </row>
    <row r="5438" spans="1:19" x14ac:dyDescent="0.25">
      <c r="A5438" t="s">
        <v>30</v>
      </c>
      <c r="B5438" t="s">
        <v>31</v>
      </c>
      <c r="C5438" t="s">
        <v>32</v>
      </c>
      <c r="D5438" t="s">
        <v>765</v>
      </c>
      <c r="E5438" t="s">
        <v>5931</v>
      </c>
      <c r="F5438" t="s">
        <v>35</v>
      </c>
      <c r="G5438" t="s">
        <v>35</v>
      </c>
      <c r="H5438" t="s">
        <v>35</v>
      </c>
      <c r="J5438" t="s">
        <v>5932</v>
      </c>
      <c r="K5438" t="s">
        <v>1092</v>
      </c>
      <c r="M5438">
        <v>1.0249999999999999</v>
      </c>
      <c r="N5438">
        <v>167</v>
      </c>
      <c r="O5438" t="s">
        <v>38</v>
      </c>
      <c r="Q5438" t="s">
        <v>1120</v>
      </c>
      <c r="R5438" t="s">
        <v>5892</v>
      </c>
      <c r="S5438" t="s">
        <v>5893</v>
      </c>
    </row>
    <row r="5439" spans="1:19" x14ac:dyDescent="0.25">
      <c r="A5439" t="s">
        <v>30</v>
      </c>
      <c r="B5439" t="s">
        <v>31</v>
      </c>
      <c r="C5439" t="s">
        <v>32</v>
      </c>
      <c r="D5439" t="s">
        <v>765</v>
      </c>
      <c r="E5439" t="s">
        <v>5931</v>
      </c>
      <c r="F5439" t="s">
        <v>35</v>
      </c>
      <c r="G5439" t="s">
        <v>35</v>
      </c>
      <c r="H5439" t="s">
        <v>35</v>
      </c>
      <c r="J5439" t="s">
        <v>5933</v>
      </c>
      <c r="K5439" t="s">
        <v>1092</v>
      </c>
      <c r="M5439">
        <v>0.09</v>
      </c>
      <c r="N5439">
        <v>1864</v>
      </c>
      <c r="O5439" t="s">
        <v>575</v>
      </c>
      <c r="Q5439" t="s">
        <v>5934</v>
      </c>
      <c r="R5439" t="s">
        <v>5935</v>
      </c>
      <c r="S5439" t="s">
        <v>5936</v>
      </c>
    </row>
    <row r="5440" spans="1:19" x14ac:dyDescent="0.25">
      <c r="A5440" t="s">
        <v>59</v>
      </c>
      <c r="B5440" t="s">
        <v>60</v>
      </c>
      <c r="C5440" t="s">
        <v>32</v>
      </c>
      <c r="D5440" t="s">
        <v>765</v>
      </c>
      <c r="E5440" t="s">
        <v>5931</v>
      </c>
      <c r="F5440" t="s">
        <v>35</v>
      </c>
      <c r="G5440" t="s">
        <v>35</v>
      </c>
      <c r="H5440" t="s">
        <v>35</v>
      </c>
      <c r="J5440" t="s">
        <v>5938</v>
      </c>
      <c r="K5440" t="s">
        <v>1092</v>
      </c>
      <c r="M5440">
        <v>0.4</v>
      </c>
      <c r="N5440">
        <v>2485</v>
      </c>
      <c r="O5440" t="s">
        <v>575</v>
      </c>
      <c r="Q5440" t="s">
        <v>5939</v>
      </c>
      <c r="R5440" t="s">
        <v>5940</v>
      </c>
      <c r="S5440" t="s">
        <v>5941</v>
      </c>
    </row>
    <row r="5441" spans="1:19" x14ac:dyDescent="0.25">
      <c r="A5441" t="s">
        <v>30</v>
      </c>
      <c r="B5441" t="s">
        <v>31</v>
      </c>
      <c r="C5441" t="s">
        <v>32</v>
      </c>
      <c r="D5441" t="s">
        <v>765</v>
      </c>
      <c r="E5441" t="s">
        <v>5943</v>
      </c>
      <c r="F5441" t="s">
        <v>35</v>
      </c>
      <c r="G5441" t="s">
        <v>35</v>
      </c>
      <c r="H5441" t="s">
        <v>35</v>
      </c>
      <c r="J5441" t="s">
        <v>5944</v>
      </c>
      <c r="K5441" t="s">
        <v>1092</v>
      </c>
      <c r="M5441">
        <v>0.81</v>
      </c>
      <c r="N5441">
        <v>174</v>
      </c>
      <c r="O5441" t="s">
        <v>38</v>
      </c>
      <c r="Q5441" t="s">
        <v>1565</v>
      </c>
      <c r="R5441" t="s">
        <v>5892</v>
      </c>
      <c r="S5441" t="s">
        <v>5893</v>
      </c>
    </row>
    <row r="5442" spans="1:19" x14ac:dyDescent="0.25">
      <c r="A5442" t="s">
        <v>30</v>
      </c>
      <c r="B5442" t="s">
        <v>31</v>
      </c>
      <c r="C5442" t="s">
        <v>32</v>
      </c>
      <c r="D5442" t="s">
        <v>765</v>
      </c>
      <c r="E5442" t="s">
        <v>5945</v>
      </c>
      <c r="F5442" t="s">
        <v>35</v>
      </c>
      <c r="G5442" t="s">
        <v>35</v>
      </c>
      <c r="H5442" t="s">
        <v>35</v>
      </c>
      <c r="J5442" t="s">
        <v>5946</v>
      </c>
      <c r="K5442" t="s">
        <v>1092</v>
      </c>
      <c r="M5442">
        <v>4.41</v>
      </c>
      <c r="N5442">
        <v>254</v>
      </c>
      <c r="O5442" t="s">
        <v>5</v>
      </c>
      <c r="Q5442" t="s">
        <v>367</v>
      </c>
      <c r="R5442" t="s">
        <v>5892</v>
      </c>
      <c r="S5442" t="s">
        <v>5893</v>
      </c>
    </row>
    <row r="5443" spans="1:19" x14ac:dyDescent="0.25">
      <c r="A5443" t="s">
        <v>30</v>
      </c>
      <c r="B5443" t="s">
        <v>31</v>
      </c>
      <c r="C5443" t="s">
        <v>32</v>
      </c>
      <c r="D5443" t="s">
        <v>765</v>
      </c>
      <c r="E5443" t="s">
        <v>5945</v>
      </c>
      <c r="F5443" t="s">
        <v>35</v>
      </c>
      <c r="G5443" t="s">
        <v>35</v>
      </c>
      <c r="H5443" t="s">
        <v>35</v>
      </c>
      <c r="J5443" t="s">
        <v>5947</v>
      </c>
      <c r="K5443" t="s">
        <v>1092</v>
      </c>
      <c r="M5443">
        <v>6.84</v>
      </c>
      <c r="N5443">
        <v>244</v>
      </c>
      <c r="O5443" t="s">
        <v>5</v>
      </c>
      <c r="Q5443" t="s">
        <v>1242</v>
      </c>
      <c r="R5443" t="s">
        <v>5892</v>
      </c>
      <c r="S5443" t="s">
        <v>5893</v>
      </c>
    </row>
    <row r="5444" spans="1:19" x14ac:dyDescent="0.25">
      <c r="A5444" t="s">
        <v>59</v>
      </c>
      <c r="B5444" t="s">
        <v>60</v>
      </c>
      <c r="C5444" t="s">
        <v>32</v>
      </c>
      <c r="D5444" t="s">
        <v>765</v>
      </c>
      <c r="E5444" t="s">
        <v>5948</v>
      </c>
      <c r="F5444" t="s">
        <v>35</v>
      </c>
      <c r="G5444" t="s">
        <v>35</v>
      </c>
      <c r="H5444" t="s">
        <v>35</v>
      </c>
      <c r="J5444" t="s">
        <v>5949</v>
      </c>
      <c r="K5444" t="s">
        <v>1092</v>
      </c>
      <c r="M5444">
        <v>0.85</v>
      </c>
      <c r="N5444">
        <v>129</v>
      </c>
      <c r="O5444" t="s">
        <v>38</v>
      </c>
      <c r="Q5444" t="s">
        <v>1449</v>
      </c>
      <c r="R5444" t="s">
        <v>5892</v>
      </c>
      <c r="S5444" t="s">
        <v>5893</v>
      </c>
    </row>
    <row r="5445" spans="1:19" x14ac:dyDescent="0.25">
      <c r="A5445" t="s">
        <v>59</v>
      </c>
      <c r="B5445" t="s">
        <v>31</v>
      </c>
      <c r="C5445" t="s">
        <v>32</v>
      </c>
      <c r="D5445" t="s">
        <v>765</v>
      </c>
      <c r="E5445" t="s">
        <v>5948</v>
      </c>
      <c r="F5445" t="s">
        <v>35</v>
      </c>
      <c r="G5445" t="s">
        <v>35</v>
      </c>
      <c r="H5445" t="s">
        <v>35</v>
      </c>
      <c r="J5445" t="s">
        <v>5949</v>
      </c>
      <c r="K5445" t="s">
        <v>1092</v>
      </c>
      <c r="M5445">
        <v>0.54</v>
      </c>
      <c r="N5445">
        <v>100</v>
      </c>
      <c r="O5445" t="s">
        <v>106</v>
      </c>
      <c r="Q5445" t="s">
        <v>1112</v>
      </c>
      <c r="R5445" t="s">
        <v>5892</v>
      </c>
      <c r="S5445" t="s">
        <v>5893</v>
      </c>
    </row>
    <row r="5446" spans="1:19" x14ac:dyDescent="0.25">
      <c r="A5446" t="s">
        <v>59</v>
      </c>
      <c r="B5446" t="s">
        <v>60</v>
      </c>
      <c r="C5446" t="s">
        <v>32</v>
      </c>
      <c r="D5446" t="s">
        <v>765</v>
      </c>
      <c r="E5446" t="s">
        <v>5948</v>
      </c>
      <c r="F5446" t="s">
        <v>35</v>
      </c>
      <c r="G5446" t="s">
        <v>35</v>
      </c>
      <c r="H5446" t="s">
        <v>35</v>
      </c>
      <c r="J5446" t="s">
        <v>5949</v>
      </c>
      <c r="K5446" t="s">
        <v>1092</v>
      </c>
      <c r="M5446">
        <v>5.5</v>
      </c>
      <c r="N5446">
        <v>100</v>
      </c>
      <c r="O5446" t="s">
        <v>106</v>
      </c>
      <c r="Q5446" t="s">
        <v>1112</v>
      </c>
      <c r="R5446" t="s">
        <v>5892</v>
      </c>
      <c r="S5446" t="s">
        <v>5893</v>
      </c>
    </row>
    <row r="5447" spans="1:19" x14ac:dyDescent="0.25">
      <c r="A5447" t="s">
        <v>30</v>
      </c>
      <c r="B5447" t="s">
        <v>31</v>
      </c>
      <c r="C5447" t="s">
        <v>32</v>
      </c>
      <c r="D5447" t="s">
        <v>765</v>
      </c>
      <c r="E5447" t="s">
        <v>5948</v>
      </c>
      <c r="F5447" t="s">
        <v>35</v>
      </c>
      <c r="G5447" t="s">
        <v>35</v>
      </c>
      <c r="H5447" t="s">
        <v>35</v>
      </c>
      <c r="J5447" t="s">
        <v>5950</v>
      </c>
      <c r="K5447" t="s">
        <v>1092</v>
      </c>
      <c r="M5447">
        <v>0.94499999999999995</v>
      </c>
      <c r="N5447">
        <v>73</v>
      </c>
      <c r="O5447" t="s">
        <v>61</v>
      </c>
      <c r="Q5447" t="s">
        <v>552</v>
      </c>
      <c r="R5447" t="s">
        <v>5889</v>
      </c>
      <c r="S5447" t="s">
        <v>767</v>
      </c>
    </row>
    <row r="5448" spans="1:19" x14ac:dyDescent="0.25">
      <c r="A5448" t="s">
        <v>30</v>
      </c>
      <c r="B5448" t="s">
        <v>31</v>
      </c>
      <c r="C5448" t="s">
        <v>32</v>
      </c>
      <c r="D5448" t="s">
        <v>765</v>
      </c>
      <c r="E5448" t="s">
        <v>5948</v>
      </c>
      <c r="F5448" t="s">
        <v>35</v>
      </c>
      <c r="G5448" t="s">
        <v>35</v>
      </c>
      <c r="H5448" t="s">
        <v>35</v>
      </c>
      <c r="J5448" t="s">
        <v>5951</v>
      </c>
      <c r="K5448" t="s">
        <v>1092</v>
      </c>
      <c r="M5448">
        <v>2.0699999999999998</v>
      </c>
      <c r="N5448">
        <v>153</v>
      </c>
      <c r="O5448" t="s">
        <v>38</v>
      </c>
      <c r="Q5448" t="s">
        <v>569</v>
      </c>
      <c r="R5448" t="s">
        <v>5889</v>
      </c>
      <c r="S5448" t="s">
        <v>767</v>
      </c>
    </row>
    <row r="5449" spans="1:19" x14ac:dyDescent="0.25">
      <c r="A5449" t="s">
        <v>59</v>
      </c>
      <c r="B5449" t="s">
        <v>31</v>
      </c>
      <c r="C5449" t="s">
        <v>32</v>
      </c>
      <c r="D5449" t="s">
        <v>765</v>
      </c>
      <c r="E5449" t="s">
        <v>5948</v>
      </c>
      <c r="F5449" t="s">
        <v>35</v>
      </c>
      <c r="G5449" t="s">
        <v>35</v>
      </c>
      <c r="H5449" t="s">
        <v>35</v>
      </c>
      <c r="J5449" t="s">
        <v>5952</v>
      </c>
      <c r="K5449" t="s">
        <v>1092</v>
      </c>
      <c r="M5449">
        <v>3.84</v>
      </c>
      <c r="N5449">
        <v>90</v>
      </c>
      <c r="O5449" t="s">
        <v>61</v>
      </c>
      <c r="Q5449" t="s">
        <v>897</v>
      </c>
      <c r="R5449" t="s">
        <v>5889</v>
      </c>
      <c r="S5449" t="s">
        <v>767</v>
      </c>
    </row>
    <row r="5450" spans="1:19" x14ac:dyDescent="0.25">
      <c r="A5450" t="s">
        <v>30</v>
      </c>
      <c r="B5450" t="s">
        <v>31</v>
      </c>
      <c r="C5450" t="s">
        <v>32</v>
      </c>
      <c r="D5450" t="s">
        <v>765</v>
      </c>
      <c r="E5450" t="s">
        <v>5953</v>
      </c>
      <c r="F5450" t="s">
        <v>35</v>
      </c>
      <c r="G5450" t="s">
        <v>35</v>
      </c>
      <c r="H5450" t="s">
        <v>35</v>
      </c>
      <c r="J5450" t="s">
        <v>5954</v>
      </c>
      <c r="K5450" t="s">
        <v>1092</v>
      </c>
      <c r="M5450">
        <v>0.19500000000000001</v>
      </c>
      <c r="N5450">
        <v>166</v>
      </c>
      <c r="O5450" t="s">
        <v>38</v>
      </c>
      <c r="Q5450" t="s">
        <v>2316</v>
      </c>
      <c r="R5450" t="s">
        <v>5889</v>
      </c>
      <c r="S5450" t="s">
        <v>767</v>
      </c>
    </row>
    <row r="5451" spans="1:19" x14ac:dyDescent="0.25">
      <c r="A5451" t="s">
        <v>59</v>
      </c>
      <c r="B5451" t="s">
        <v>31</v>
      </c>
      <c r="C5451" t="s">
        <v>32</v>
      </c>
      <c r="D5451" t="s">
        <v>765</v>
      </c>
      <c r="F5451" t="s">
        <v>35</v>
      </c>
      <c r="G5451" t="s">
        <v>35</v>
      </c>
      <c r="H5451" t="s">
        <v>35</v>
      </c>
      <c r="J5451" t="s">
        <v>5955</v>
      </c>
      <c r="K5451" t="s">
        <v>1092</v>
      </c>
      <c r="M5451">
        <v>1.8</v>
      </c>
      <c r="N5451">
        <v>1912</v>
      </c>
      <c r="O5451" t="s">
        <v>575</v>
      </c>
      <c r="Q5451" t="s">
        <v>5956</v>
      </c>
      <c r="R5451" t="s">
        <v>5889</v>
      </c>
      <c r="S5451" t="s">
        <v>767</v>
      </c>
    </row>
    <row r="5452" spans="1:19" x14ac:dyDescent="0.25">
      <c r="A5452" t="s">
        <v>59</v>
      </c>
      <c r="B5452" t="s">
        <v>60</v>
      </c>
      <c r="C5452" t="s">
        <v>32</v>
      </c>
      <c r="D5452" t="s">
        <v>765</v>
      </c>
      <c r="F5452" t="s">
        <v>35</v>
      </c>
      <c r="G5452" t="s">
        <v>35</v>
      </c>
      <c r="H5452" t="s">
        <v>35</v>
      </c>
      <c r="J5452" t="s">
        <v>5957</v>
      </c>
      <c r="K5452" t="s">
        <v>404</v>
      </c>
      <c r="M5452">
        <v>2.1999999999999999E-2</v>
      </c>
      <c r="N5452">
        <v>2673</v>
      </c>
      <c r="O5452" t="s">
        <v>575</v>
      </c>
      <c r="Q5452" t="s">
        <v>1486</v>
      </c>
      <c r="R5452" t="s">
        <v>1487</v>
      </c>
      <c r="S5452" t="s">
        <v>1488</v>
      </c>
    </row>
    <row r="5453" spans="1:19" x14ac:dyDescent="0.25">
      <c r="A5453" t="s">
        <v>59</v>
      </c>
      <c r="B5453" t="s">
        <v>31</v>
      </c>
      <c r="C5453" t="s">
        <v>32</v>
      </c>
      <c r="D5453" t="s">
        <v>765</v>
      </c>
      <c r="F5453" t="s">
        <v>35</v>
      </c>
      <c r="G5453" t="s">
        <v>35</v>
      </c>
      <c r="H5453" t="s">
        <v>35</v>
      </c>
      <c r="J5453" t="s">
        <v>5958</v>
      </c>
      <c r="K5453" t="s">
        <v>1092</v>
      </c>
      <c r="M5453">
        <v>1.8</v>
      </c>
      <c r="N5453">
        <v>1728</v>
      </c>
      <c r="O5453" t="s">
        <v>575</v>
      </c>
      <c r="Q5453" t="s">
        <v>5959</v>
      </c>
      <c r="R5453" t="s">
        <v>5889</v>
      </c>
      <c r="S5453" t="s">
        <v>767</v>
      </c>
    </row>
    <row r="5454" spans="1:19" x14ac:dyDescent="0.25">
      <c r="A5454" t="s">
        <v>59</v>
      </c>
      <c r="B5454" t="s">
        <v>60</v>
      </c>
      <c r="C5454" t="s">
        <v>32</v>
      </c>
      <c r="D5454" t="s">
        <v>765</v>
      </c>
      <c r="F5454" t="s">
        <v>35</v>
      </c>
      <c r="G5454" t="s">
        <v>35</v>
      </c>
      <c r="H5454" t="s">
        <v>35</v>
      </c>
      <c r="J5454" t="s">
        <v>5960</v>
      </c>
      <c r="K5454" t="s">
        <v>404</v>
      </c>
      <c r="M5454">
        <v>0.2</v>
      </c>
      <c r="N5454">
        <v>2673</v>
      </c>
      <c r="O5454" t="s">
        <v>575</v>
      </c>
      <c r="Q5454" t="s">
        <v>1486</v>
      </c>
      <c r="R5454" t="s">
        <v>1487</v>
      </c>
      <c r="S5454" t="s">
        <v>1488</v>
      </c>
    </row>
    <row r="5455" spans="1:19" x14ac:dyDescent="0.25">
      <c r="A5455" t="s">
        <v>59</v>
      </c>
      <c r="B5455" t="s">
        <v>60</v>
      </c>
      <c r="C5455" t="s">
        <v>32</v>
      </c>
      <c r="D5455" t="s">
        <v>765</v>
      </c>
      <c r="F5455" t="s">
        <v>35</v>
      </c>
      <c r="G5455" t="s">
        <v>35</v>
      </c>
      <c r="H5455" t="s">
        <v>35</v>
      </c>
      <c r="J5455" t="s">
        <v>5961</v>
      </c>
      <c r="K5455" t="s">
        <v>1092</v>
      </c>
      <c r="M5455">
        <v>0.05</v>
      </c>
      <c r="N5455">
        <v>1744</v>
      </c>
      <c r="O5455" t="s">
        <v>575</v>
      </c>
      <c r="Q5455" t="s">
        <v>5962</v>
      </c>
      <c r="R5455" t="s">
        <v>5889</v>
      </c>
      <c r="S5455" t="s">
        <v>767</v>
      </c>
    </row>
    <row r="5456" spans="1:19" x14ac:dyDescent="0.25">
      <c r="A5456" t="s">
        <v>30</v>
      </c>
      <c r="B5456" t="s">
        <v>31</v>
      </c>
      <c r="C5456" t="s">
        <v>32</v>
      </c>
      <c r="D5456" t="s">
        <v>765</v>
      </c>
      <c r="F5456" t="s">
        <v>35</v>
      </c>
      <c r="G5456" t="s">
        <v>35</v>
      </c>
      <c r="H5456" t="s">
        <v>35</v>
      </c>
      <c r="J5456" t="s">
        <v>5963</v>
      </c>
      <c r="K5456" t="s">
        <v>1092</v>
      </c>
      <c r="M5456">
        <v>3.69</v>
      </c>
      <c r="N5456">
        <v>2471</v>
      </c>
      <c r="O5456" t="s">
        <v>575</v>
      </c>
      <c r="Q5456" t="s">
        <v>5964</v>
      </c>
      <c r="R5456" t="s">
        <v>5889</v>
      </c>
      <c r="S5456" t="s">
        <v>767</v>
      </c>
    </row>
    <row r="5457" spans="1:19" x14ac:dyDescent="0.25">
      <c r="A5457" t="s">
        <v>59</v>
      </c>
      <c r="B5457" t="s">
        <v>31</v>
      </c>
      <c r="C5457" t="s">
        <v>32</v>
      </c>
      <c r="D5457" t="s">
        <v>765</v>
      </c>
      <c r="F5457" t="s">
        <v>35</v>
      </c>
      <c r="G5457" t="s">
        <v>35</v>
      </c>
      <c r="H5457" t="s">
        <v>35</v>
      </c>
      <c r="J5457" t="s">
        <v>5965</v>
      </c>
      <c r="K5457" t="s">
        <v>1092</v>
      </c>
      <c r="M5457">
        <v>4.4999999999999998E-2</v>
      </c>
      <c r="N5457">
        <v>36</v>
      </c>
      <c r="O5457" t="s">
        <v>52</v>
      </c>
      <c r="Q5457" t="s">
        <v>2005</v>
      </c>
      <c r="R5457" t="s">
        <v>5892</v>
      </c>
      <c r="S5457" t="s">
        <v>5893</v>
      </c>
    </row>
    <row r="5458" spans="1:19" x14ac:dyDescent="0.25">
      <c r="A5458" t="s">
        <v>30</v>
      </c>
      <c r="B5458" t="s">
        <v>31</v>
      </c>
      <c r="C5458" t="s">
        <v>32</v>
      </c>
      <c r="D5458" t="s">
        <v>5966</v>
      </c>
      <c r="E5458" t="s">
        <v>5967</v>
      </c>
      <c r="F5458" t="s">
        <v>35</v>
      </c>
      <c r="G5458" t="s">
        <v>35</v>
      </c>
      <c r="H5458" t="s">
        <v>35</v>
      </c>
      <c r="J5458" t="s">
        <v>5968</v>
      </c>
      <c r="K5458" t="s">
        <v>1092</v>
      </c>
      <c r="M5458">
        <v>0.01</v>
      </c>
      <c r="N5458">
        <v>545</v>
      </c>
      <c r="O5458" t="s">
        <v>294</v>
      </c>
      <c r="Q5458" t="s">
        <v>1472</v>
      </c>
      <c r="R5458" t="s">
        <v>5969</v>
      </c>
      <c r="S5458" t="s">
        <v>5970</v>
      </c>
    </row>
    <row r="5459" spans="1:19" x14ac:dyDescent="0.25">
      <c r="A5459" t="s">
        <v>59</v>
      </c>
      <c r="B5459" t="s">
        <v>31</v>
      </c>
      <c r="C5459" t="s">
        <v>32</v>
      </c>
      <c r="D5459" t="s">
        <v>5966</v>
      </c>
      <c r="E5459" t="s">
        <v>5972</v>
      </c>
      <c r="F5459" t="s">
        <v>35</v>
      </c>
      <c r="G5459" t="s">
        <v>35</v>
      </c>
      <c r="H5459" t="s">
        <v>35</v>
      </c>
      <c r="J5459" t="s">
        <v>5973</v>
      </c>
      <c r="K5459" t="s">
        <v>1092</v>
      </c>
      <c r="M5459">
        <v>4.9950000000000001</v>
      </c>
      <c r="N5459">
        <v>856</v>
      </c>
      <c r="O5459" t="s">
        <v>575</v>
      </c>
      <c r="Q5459" t="s">
        <v>5974</v>
      </c>
      <c r="R5459" t="s">
        <v>5975</v>
      </c>
      <c r="S5459" t="s">
        <v>5976</v>
      </c>
    </row>
    <row r="5460" spans="1:19" x14ac:dyDescent="0.25">
      <c r="A5460" t="s">
        <v>59</v>
      </c>
      <c r="B5460" t="s">
        <v>60</v>
      </c>
      <c r="C5460" t="s">
        <v>32</v>
      </c>
      <c r="D5460" t="s">
        <v>5966</v>
      </c>
      <c r="E5460" t="s">
        <v>5972</v>
      </c>
      <c r="F5460" t="s">
        <v>35</v>
      </c>
      <c r="G5460" t="s">
        <v>35</v>
      </c>
      <c r="H5460" t="s">
        <v>35</v>
      </c>
      <c r="J5460" t="s">
        <v>5973</v>
      </c>
      <c r="K5460" t="s">
        <v>1092</v>
      </c>
      <c r="M5460">
        <v>0.6</v>
      </c>
      <c r="N5460">
        <v>855</v>
      </c>
      <c r="O5460" t="s">
        <v>575</v>
      </c>
      <c r="Q5460" t="s">
        <v>4957</v>
      </c>
      <c r="R5460" t="s">
        <v>5975</v>
      </c>
      <c r="S5460" t="s">
        <v>5976</v>
      </c>
    </row>
    <row r="5461" spans="1:19" x14ac:dyDescent="0.25">
      <c r="A5461" t="s">
        <v>30</v>
      </c>
      <c r="B5461" t="s">
        <v>31</v>
      </c>
      <c r="C5461" t="s">
        <v>32</v>
      </c>
      <c r="D5461" t="s">
        <v>5966</v>
      </c>
      <c r="E5461" t="s">
        <v>5972</v>
      </c>
      <c r="F5461" t="s">
        <v>35</v>
      </c>
      <c r="G5461" t="s">
        <v>35</v>
      </c>
      <c r="H5461" t="s">
        <v>35</v>
      </c>
      <c r="J5461" t="s">
        <v>5978</v>
      </c>
      <c r="K5461" t="s">
        <v>1092</v>
      </c>
      <c r="M5461">
        <v>1.575</v>
      </c>
      <c r="N5461">
        <v>1146</v>
      </c>
      <c r="O5461" t="s">
        <v>575</v>
      </c>
      <c r="Q5461" t="s">
        <v>4197</v>
      </c>
      <c r="R5461" t="s">
        <v>5975</v>
      </c>
      <c r="S5461" t="s">
        <v>5976</v>
      </c>
    </row>
    <row r="5462" spans="1:19" x14ac:dyDescent="0.25">
      <c r="A5462" t="s">
        <v>30</v>
      </c>
      <c r="B5462" t="s">
        <v>31</v>
      </c>
      <c r="C5462" t="s">
        <v>32</v>
      </c>
      <c r="D5462" t="s">
        <v>5966</v>
      </c>
      <c r="E5462" t="s">
        <v>5972</v>
      </c>
      <c r="F5462" t="s">
        <v>35</v>
      </c>
      <c r="G5462" t="s">
        <v>35</v>
      </c>
      <c r="H5462" t="s">
        <v>35</v>
      </c>
      <c r="J5462" t="s">
        <v>5979</v>
      </c>
      <c r="K5462" t="s">
        <v>1092</v>
      </c>
      <c r="M5462">
        <v>6.8849999999999998</v>
      </c>
      <c r="N5462">
        <v>196</v>
      </c>
      <c r="O5462" t="s">
        <v>5</v>
      </c>
      <c r="Q5462" t="s">
        <v>5616</v>
      </c>
      <c r="R5462" t="s">
        <v>5980</v>
      </c>
      <c r="S5462" t="s">
        <v>5981</v>
      </c>
    </row>
    <row r="5463" spans="1:19" x14ac:dyDescent="0.25">
      <c r="A5463" t="s">
        <v>59</v>
      </c>
      <c r="B5463" t="s">
        <v>31</v>
      </c>
      <c r="C5463" t="s">
        <v>32</v>
      </c>
      <c r="D5463" t="s">
        <v>5966</v>
      </c>
      <c r="E5463" t="s">
        <v>5972</v>
      </c>
      <c r="F5463" t="s">
        <v>35</v>
      </c>
      <c r="G5463" t="s">
        <v>35</v>
      </c>
      <c r="H5463" t="s">
        <v>35</v>
      </c>
      <c r="J5463" t="s">
        <v>5979</v>
      </c>
      <c r="K5463" t="s">
        <v>1092</v>
      </c>
      <c r="M5463">
        <v>0.85499999999999998</v>
      </c>
      <c r="N5463">
        <v>196</v>
      </c>
      <c r="O5463" t="s">
        <v>5</v>
      </c>
      <c r="Q5463" t="s">
        <v>5616</v>
      </c>
      <c r="R5463" t="s">
        <v>5980</v>
      </c>
      <c r="S5463" t="s">
        <v>5981</v>
      </c>
    </row>
    <row r="5464" spans="1:19" x14ac:dyDescent="0.25">
      <c r="A5464" t="s">
        <v>30</v>
      </c>
      <c r="B5464" t="s">
        <v>31</v>
      </c>
      <c r="C5464" t="s">
        <v>32</v>
      </c>
      <c r="D5464" t="s">
        <v>5966</v>
      </c>
      <c r="E5464" t="s">
        <v>5972</v>
      </c>
      <c r="F5464" t="s">
        <v>35</v>
      </c>
      <c r="G5464" t="s">
        <v>35</v>
      </c>
      <c r="H5464" t="s">
        <v>35</v>
      </c>
      <c r="J5464" t="s">
        <v>5983</v>
      </c>
      <c r="K5464" t="s">
        <v>1092</v>
      </c>
      <c r="M5464">
        <v>0.85499999999999998</v>
      </c>
      <c r="N5464">
        <v>163</v>
      </c>
      <c r="O5464" t="s">
        <v>38</v>
      </c>
      <c r="Q5464" t="s">
        <v>1632</v>
      </c>
      <c r="R5464" t="s">
        <v>5984</v>
      </c>
      <c r="S5464" t="s">
        <v>5985</v>
      </c>
    </row>
    <row r="5465" spans="1:19" x14ac:dyDescent="0.25">
      <c r="A5465" t="s">
        <v>30</v>
      </c>
      <c r="B5465" t="s">
        <v>31</v>
      </c>
      <c r="C5465" t="s">
        <v>32</v>
      </c>
      <c r="D5465" t="s">
        <v>5966</v>
      </c>
      <c r="E5465" t="s">
        <v>5972</v>
      </c>
      <c r="F5465" t="s">
        <v>35</v>
      </c>
      <c r="G5465" t="s">
        <v>35</v>
      </c>
      <c r="H5465" t="s">
        <v>35</v>
      </c>
      <c r="J5465" t="s">
        <v>5987</v>
      </c>
      <c r="K5465" t="s">
        <v>1092</v>
      </c>
      <c r="M5465">
        <v>1.9350000000000001</v>
      </c>
      <c r="N5465">
        <v>177</v>
      </c>
      <c r="O5465" t="s">
        <v>38</v>
      </c>
      <c r="Q5465" t="s">
        <v>4657</v>
      </c>
      <c r="R5465" t="s">
        <v>5984</v>
      </c>
      <c r="S5465" t="s">
        <v>5985</v>
      </c>
    </row>
    <row r="5466" spans="1:19" x14ac:dyDescent="0.25">
      <c r="A5466" t="s">
        <v>30</v>
      </c>
      <c r="B5466" t="s">
        <v>31</v>
      </c>
      <c r="C5466" t="s">
        <v>32</v>
      </c>
      <c r="D5466" t="s">
        <v>5966</v>
      </c>
      <c r="E5466" t="s">
        <v>5972</v>
      </c>
      <c r="F5466" t="s">
        <v>35</v>
      </c>
      <c r="G5466" t="s">
        <v>35</v>
      </c>
      <c r="H5466" t="s">
        <v>35</v>
      </c>
      <c r="J5466" t="s">
        <v>5988</v>
      </c>
      <c r="K5466" t="s">
        <v>1092</v>
      </c>
      <c r="M5466">
        <v>8.2349999999999994</v>
      </c>
      <c r="N5466">
        <v>175</v>
      </c>
      <c r="O5466" t="s">
        <v>38</v>
      </c>
      <c r="Q5466" t="s">
        <v>1692</v>
      </c>
      <c r="R5466" t="s">
        <v>5980</v>
      </c>
      <c r="S5466" t="s">
        <v>5981</v>
      </c>
    </row>
    <row r="5467" spans="1:19" x14ac:dyDescent="0.25">
      <c r="A5467" t="s">
        <v>30</v>
      </c>
      <c r="B5467" t="s">
        <v>31</v>
      </c>
      <c r="C5467" t="s">
        <v>32</v>
      </c>
      <c r="D5467" t="s">
        <v>5966</v>
      </c>
      <c r="E5467" t="s">
        <v>5989</v>
      </c>
      <c r="F5467" t="s">
        <v>35</v>
      </c>
      <c r="G5467" t="s">
        <v>35</v>
      </c>
      <c r="H5467" t="s">
        <v>35</v>
      </c>
      <c r="J5467" t="s">
        <v>1646</v>
      </c>
      <c r="K5467" t="s">
        <v>1092</v>
      </c>
      <c r="M5467">
        <v>2.4300000000000002</v>
      </c>
      <c r="N5467">
        <v>76</v>
      </c>
      <c r="O5467" t="s">
        <v>61</v>
      </c>
      <c r="Q5467" t="s">
        <v>234</v>
      </c>
      <c r="R5467" t="s">
        <v>5984</v>
      </c>
      <c r="S5467" t="s">
        <v>5985</v>
      </c>
    </row>
    <row r="5468" spans="1:19" x14ac:dyDescent="0.25">
      <c r="A5468" t="s">
        <v>59</v>
      </c>
      <c r="B5468" t="s">
        <v>60</v>
      </c>
      <c r="C5468" t="s">
        <v>32</v>
      </c>
      <c r="D5468" t="s">
        <v>5966</v>
      </c>
      <c r="F5468" t="s">
        <v>35</v>
      </c>
      <c r="G5468" t="s">
        <v>35</v>
      </c>
      <c r="H5468" t="s">
        <v>35</v>
      </c>
      <c r="J5468" t="s">
        <v>1838</v>
      </c>
      <c r="K5468" t="s">
        <v>1092</v>
      </c>
      <c r="M5468">
        <v>0.55000000000000004</v>
      </c>
      <c r="N5468">
        <v>2585</v>
      </c>
      <c r="O5468" t="s">
        <v>575</v>
      </c>
      <c r="Q5468" t="s">
        <v>2294</v>
      </c>
      <c r="R5468" t="s">
        <v>5975</v>
      </c>
      <c r="S5468" t="s">
        <v>5976</v>
      </c>
    </row>
    <row r="5469" spans="1:19" x14ac:dyDescent="0.25">
      <c r="A5469" t="s">
        <v>30</v>
      </c>
      <c r="B5469" t="s">
        <v>31</v>
      </c>
      <c r="C5469" t="s">
        <v>32</v>
      </c>
      <c r="D5469" t="s">
        <v>5966</v>
      </c>
      <c r="F5469" t="s">
        <v>35</v>
      </c>
      <c r="G5469" t="s">
        <v>35</v>
      </c>
      <c r="H5469" t="s">
        <v>35</v>
      </c>
      <c r="J5469" t="s">
        <v>5990</v>
      </c>
      <c r="K5469" t="s">
        <v>1092</v>
      </c>
      <c r="M5469">
        <v>7.47</v>
      </c>
      <c r="N5469">
        <v>76</v>
      </c>
      <c r="O5469" t="s">
        <v>61</v>
      </c>
      <c r="Q5469" t="s">
        <v>234</v>
      </c>
      <c r="R5469" t="s">
        <v>5984</v>
      </c>
      <c r="S5469" t="s">
        <v>5985</v>
      </c>
    </row>
    <row r="5470" spans="1:19" x14ac:dyDescent="0.25">
      <c r="A5470" t="s">
        <v>30</v>
      </c>
      <c r="B5470" t="s">
        <v>31</v>
      </c>
      <c r="C5470" t="s">
        <v>32</v>
      </c>
      <c r="D5470" t="s">
        <v>5966</v>
      </c>
      <c r="F5470" t="s">
        <v>35</v>
      </c>
      <c r="G5470" t="s">
        <v>35</v>
      </c>
      <c r="H5470" t="s">
        <v>35</v>
      </c>
      <c r="J5470" t="s">
        <v>5990</v>
      </c>
      <c r="K5470" t="s">
        <v>1092</v>
      </c>
      <c r="M5470">
        <v>0.72</v>
      </c>
      <c r="N5470">
        <v>254</v>
      </c>
      <c r="O5470" t="s">
        <v>5</v>
      </c>
      <c r="Q5470" t="s">
        <v>367</v>
      </c>
      <c r="R5470" t="s">
        <v>5984</v>
      </c>
      <c r="S5470" t="s">
        <v>5985</v>
      </c>
    </row>
    <row r="5471" spans="1:19" x14ac:dyDescent="0.25">
      <c r="A5471" t="s">
        <v>30</v>
      </c>
      <c r="B5471" t="s">
        <v>31</v>
      </c>
      <c r="C5471" t="s">
        <v>32</v>
      </c>
      <c r="D5471" t="s">
        <v>771</v>
      </c>
      <c r="E5471" t="s">
        <v>772</v>
      </c>
      <c r="F5471" t="s">
        <v>35</v>
      </c>
      <c r="G5471" t="s">
        <v>35</v>
      </c>
      <c r="H5471" t="s">
        <v>35</v>
      </c>
      <c r="J5471" t="s">
        <v>817</v>
      </c>
      <c r="K5471" t="s">
        <v>285</v>
      </c>
      <c r="M5471">
        <v>2.25</v>
      </c>
      <c r="N5471">
        <v>213</v>
      </c>
      <c r="O5471" t="s">
        <v>5</v>
      </c>
      <c r="Q5471" t="s">
        <v>1298</v>
      </c>
      <c r="R5471" t="s">
        <v>5992</v>
      </c>
      <c r="S5471" t="s">
        <v>817</v>
      </c>
    </row>
    <row r="5472" spans="1:19" x14ac:dyDescent="0.25">
      <c r="A5472" t="s">
        <v>30</v>
      </c>
      <c r="B5472" t="s">
        <v>31</v>
      </c>
      <c r="C5472" t="s">
        <v>32</v>
      </c>
      <c r="D5472" t="s">
        <v>771</v>
      </c>
      <c r="E5472" t="s">
        <v>772</v>
      </c>
      <c r="F5472" t="s">
        <v>35</v>
      </c>
      <c r="G5472" t="s">
        <v>35</v>
      </c>
      <c r="H5472" t="s">
        <v>35</v>
      </c>
      <c r="J5472" t="s">
        <v>817</v>
      </c>
      <c r="K5472" t="s">
        <v>285</v>
      </c>
      <c r="M5472">
        <v>0.02</v>
      </c>
      <c r="N5472">
        <v>35</v>
      </c>
      <c r="O5472" t="s">
        <v>52</v>
      </c>
      <c r="Q5472" t="s">
        <v>48</v>
      </c>
      <c r="R5472" t="s">
        <v>5992</v>
      </c>
      <c r="S5472" t="s">
        <v>817</v>
      </c>
    </row>
    <row r="5473" spans="1:19" x14ac:dyDescent="0.25">
      <c r="A5473" t="s">
        <v>44</v>
      </c>
      <c r="B5473" t="s">
        <v>51</v>
      </c>
      <c r="C5473" t="s">
        <v>32</v>
      </c>
      <c r="D5473" t="s">
        <v>771</v>
      </c>
      <c r="E5473" t="s">
        <v>772</v>
      </c>
      <c r="F5473" t="s">
        <v>35</v>
      </c>
      <c r="G5473" t="s">
        <v>35</v>
      </c>
      <c r="H5473" t="s">
        <v>35</v>
      </c>
      <c r="J5473" t="s">
        <v>817</v>
      </c>
      <c r="K5473" t="s">
        <v>285</v>
      </c>
      <c r="M5473">
        <v>10</v>
      </c>
      <c r="N5473">
        <v>80</v>
      </c>
      <c r="O5473" t="s">
        <v>61</v>
      </c>
      <c r="Q5473" t="s">
        <v>477</v>
      </c>
      <c r="R5473" t="s">
        <v>5992</v>
      </c>
      <c r="S5473" t="s">
        <v>817</v>
      </c>
    </row>
    <row r="5474" spans="1:19" x14ac:dyDescent="0.25">
      <c r="A5474" t="s">
        <v>59</v>
      </c>
      <c r="B5474" t="s">
        <v>60</v>
      </c>
      <c r="C5474" t="s">
        <v>32</v>
      </c>
      <c r="D5474" t="s">
        <v>771</v>
      </c>
      <c r="E5474" t="s">
        <v>772</v>
      </c>
      <c r="F5474" t="s">
        <v>35</v>
      </c>
      <c r="G5474" t="s">
        <v>35</v>
      </c>
      <c r="H5474" t="s">
        <v>35</v>
      </c>
      <c r="J5474" t="s">
        <v>817</v>
      </c>
      <c r="K5474" t="s">
        <v>285</v>
      </c>
      <c r="M5474">
        <v>10.85</v>
      </c>
      <c r="N5474">
        <v>80</v>
      </c>
      <c r="O5474" t="s">
        <v>61</v>
      </c>
      <c r="Q5474" t="s">
        <v>477</v>
      </c>
      <c r="R5474" t="s">
        <v>5992</v>
      </c>
      <c r="S5474" t="s">
        <v>817</v>
      </c>
    </row>
    <row r="5475" spans="1:19" x14ac:dyDescent="0.25">
      <c r="A5475" t="s">
        <v>59</v>
      </c>
      <c r="B5475" t="s">
        <v>31</v>
      </c>
      <c r="C5475" t="s">
        <v>32</v>
      </c>
      <c r="D5475" t="s">
        <v>771</v>
      </c>
      <c r="E5475" t="s">
        <v>772</v>
      </c>
      <c r="F5475" t="s">
        <v>35</v>
      </c>
      <c r="G5475" t="s">
        <v>35</v>
      </c>
      <c r="H5475" t="s">
        <v>35</v>
      </c>
      <c r="J5475" t="s">
        <v>817</v>
      </c>
      <c r="K5475" t="s">
        <v>285</v>
      </c>
      <c r="M5475">
        <v>1.2949999999999999</v>
      </c>
      <c r="N5475">
        <v>279</v>
      </c>
      <c r="O5475" t="s">
        <v>5</v>
      </c>
      <c r="Q5475" t="s">
        <v>1717</v>
      </c>
      <c r="R5475" t="s">
        <v>5992</v>
      </c>
      <c r="S5475" t="s">
        <v>817</v>
      </c>
    </row>
    <row r="5476" spans="1:19" x14ac:dyDescent="0.25">
      <c r="A5476" t="s">
        <v>30</v>
      </c>
      <c r="B5476" t="s">
        <v>31</v>
      </c>
      <c r="C5476" t="s">
        <v>32</v>
      </c>
      <c r="D5476" t="s">
        <v>771</v>
      </c>
      <c r="E5476" t="s">
        <v>772</v>
      </c>
      <c r="F5476" t="s">
        <v>35</v>
      </c>
      <c r="G5476" t="s">
        <v>35</v>
      </c>
      <c r="H5476" t="s">
        <v>35</v>
      </c>
      <c r="J5476" t="s">
        <v>5993</v>
      </c>
      <c r="K5476" t="s">
        <v>1092</v>
      </c>
      <c r="M5476">
        <v>0.54</v>
      </c>
      <c r="N5476">
        <v>455</v>
      </c>
      <c r="O5476" t="s">
        <v>294</v>
      </c>
      <c r="Q5476" t="s">
        <v>1760</v>
      </c>
      <c r="R5476" t="s">
        <v>436</v>
      </c>
      <c r="S5476" t="s">
        <v>437</v>
      </c>
    </row>
    <row r="5477" spans="1:19" x14ac:dyDescent="0.25">
      <c r="A5477" t="s">
        <v>30</v>
      </c>
      <c r="B5477" t="s">
        <v>31</v>
      </c>
      <c r="C5477" t="s">
        <v>32</v>
      </c>
      <c r="D5477" t="s">
        <v>771</v>
      </c>
      <c r="E5477" t="s">
        <v>772</v>
      </c>
      <c r="F5477" t="s">
        <v>35</v>
      </c>
      <c r="G5477" t="s">
        <v>35</v>
      </c>
      <c r="H5477" t="s">
        <v>35</v>
      </c>
      <c r="J5477" t="s">
        <v>5994</v>
      </c>
      <c r="K5477" t="s">
        <v>1092</v>
      </c>
      <c r="M5477">
        <v>0.18</v>
      </c>
      <c r="N5477">
        <v>452</v>
      </c>
      <c r="O5477" t="s">
        <v>294</v>
      </c>
      <c r="Q5477" t="s">
        <v>2713</v>
      </c>
      <c r="R5477" t="s">
        <v>5995</v>
      </c>
      <c r="S5477" t="s">
        <v>5996</v>
      </c>
    </row>
    <row r="5478" spans="1:19" x14ac:dyDescent="0.25">
      <c r="A5478" t="s">
        <v>59</v>
      </c>
      <c r="B5478" t="s">
        <v>60</v>
      </c>
      <c r="C5478" t="s">
        <v>32</v>
      </c>
      <c r="D5478" t="s">
        <v>771</v>
      </c>
      <c r="E5478" t="s">
        <v>772</v>
      </c>
      <c r="F5478" t="s">
        <v>35</v>
      </c>
      <c r="G5478" t="s">
        <v>35</v>
      </c>
      <c r="H5478" t="s">
        <v>35</v>
      </c>
      <c r="J5478" t="s">
        <v>5998</v>
      </c>
      <c r="K5478" t="s">
        <v>1092</v>
      </c>
      <c r="M5478">
        <v>0.35</v>
      </c>
      <c r="N5478">
        <v>2608</v>
      </c>
      <c r="O5478" t="s">
        <v>575</v>
      </c>
      <c r="Q5478" t="s">
        <v>4412</v>
      </c>
      <c r="R5478" t="s">
        <v>5995</v>
      </c>
      <c r="S5478" t="s">
        <v>5996</v>
      </c>
    </row>
    <row r="5479" spans="1:19" x14ac:dyDescent="0.25">
      <c r="A5479" t="s">
        <v>59</v>
      </c>
      <c r="B5479" t="s">
        <v>31</v>
      </c>
      <c r="C5479" t="s">
        <v>32</v>
      </c>
      <c r="D5479" t="s">
        <v>771</v>
      </c>
      <c r="E5479" t="s">
        <v>772</v>
      </c>
      <c r="F5479" t="s">
        <v>35</v>
      </c>
      <c r="G5479" t="s">
        <v>35</v>
      </c>
      <c r="H5479" t="s">
        <v>35</v>
      </c>
      <c r="J5479" t="s">
        <v>5999</v>
      </c>
      <c r="K5479" t="s">
        <v>1092</v>
      </c>
      <c r="M5479">
        <v>0.67500000000000004</v>
      </c>
      <c r="N5479">
        <v>27</v>
      </c>
      <c r="O5479" t="s">
        <v>46</v>
      </c>
      <c r="Q5479" t="s">
        <v>1011</v>
      </c>
      <c r="R5479" t="s">
        <v>844</v>
      </c>
      <c r="S5479" t="s">
        <v>806</v>
      </c>
    </row>
    <row r="5480" spans="1:19" x14ac:dyDescent="0.25">
      <c r="A5480" t="s">
        <v>59</v>
      </c>
      <c r="B5480" t="s">
        <v>60</v>
      </c>
      <c r="C5480" t="s">
        <v>32</v>
      </c>
      <c r="D5480" t="s">
        <v>771</v>
      </c>
      <c r="E5480" t="s">
        <v>772</v>
      </c>
      <c r="F5480" t="s">
        <v>35</v>
      </c>
      <c r="G5480" t="s">
        <v>35</v>
      </c>
      <c r="H5480" t="s">
        <v>35</v>
      </c>
      <c r="J5480" t="s">
        <v>5999</v>
      </c>
      <c r="K5480" t="s">
        <v>1092</v>
      </c>
      <c r="M5480">
        <v>2.15</v>
      </c>
      <c r="N5480">
        <v>13</v>
      </c>
      <c r="O5480" t="s">
        <v>46</v>
      </c>
      <c r="Q5480" t="s">
        <v>310</v>
      </c>
      <c r="R5480" t="s">
        <v>844</v>
      </c>
      <c r="S5480" t="s">
        <v>806</v>
      </c>
    </row>
    <row r="5481" spans="1:19" x14ac:dyDescent="0.25">
      <c r="A5481" t="s">
        <v>44</v>
      </c>
      <c r="B5481" t="s">
        <v>51</v>
      </c>
      <c r="C5481" t="s">
        <v>32</v>
      </c>
      <c r="D5481" t="s">
        <v>771</v>
      </c>
      <c r="E5481" t="s">
        <v>772</v>
      </c>
      <c r="F5481" t="s">
        <v>35</v>
      </c>
      <c r="G5481" t="s">
        <v>35</v>
      </c>
      <c r="H5481" t="s">
        <v>35</v>
      </c>
      <c r="J5481" t="s">
        <v>5999</v>
      </c>
      <c r="K5481" t="s">
        <v>1092</v>
      </c>
      <c r="M5481">
        <v>0.4</v>
      </c>
      <c r="N5481">
        <v>27</v>
      </c>
      <c r="O5481" t="s">
        <v>46</v>
      </c>
      <c r="Q5481" t="s">
        <v>1011</v>
      </c>
      <c r="R5481" t="s">
        <v>844</v>
      </c>
      <c r="S5481" t="s">
        <v>806</v>
      </c>
    </row>
    <row r="5482" spans="1:19" x14ac:dyDescent="0.25">
      <c r="A5482" t="s">
        <v>30</v>
      </c>
      <c r="B5482" t="s">
        <v>31</v>
      </c>
      <c r="C5482" t="s">
        <v>32</v>
      </c>
      <c r="D5482" t="s">
        <v>771</v>
      </c>
      <c r="E5482" t="s">
        <v>772</v>
      </c>
      <c r="F5482" t="s">
        <v>35</v>
      </c>
      <c r="G5482" t="s">
        <v>35</v>
      </c>
      <c r="H5482" t="s">
        <v>35</v>
      </c>
      <c r="J5482" t="s">
        <v>6000</v>
      </c>
      <c r="K5482" t="s">
        <v>1092</v>
      </c>
      <c r="M5482">
        <v>7.02</v>
      </c>
      <c r="N5482">
        <v>48</v>
      </c>
      <c r="O5482" t="s">
        <v>52</v>
      </c>
      <c r="Q5482" t="s">
        <v>496</v>
      </c>
      <c r="R5482" t="s">
        <v>5992</v>
      </c>
      <c r="S5482" t="s">
        <v>817</v>
      </c>
    </row>
    <row r="5483" spans="1:19" x14ac:dyDescent="0.25">
      <c r="A5483" t="s">
        <v>59</v>
      </c>
      <c r="B5483" t="s">
        <v>31</v>
      </c>
      <c r="C5483" t="s">
        <v>32</v>
      </c>
      <c r="D5483" t="s">
        <v>771</v>
      </c>
      <c r="E5483" t="s">
        <v>772</v>
      </c>
      <c r="F5483" t="s">
        <v>35</v>
      </c>
      <c r="G5483" t="s">
        <v>35</v>
      </c>
      <c r="H5483" t="s">
        <v>35</v>
      </c>
      <c r="J5483" t="s">
        <v>6000</v>
      </c>
      <c r="K5483" t="s">
        <v>1092</v>
      </c>
      <c r="M5483">
        <v>4.4999999999999998E-2</v>
      </c>
      <c r="N5483">
        <v>46</v>
      </c>
      <c r="O5483" t="s">
        <v>52</v>
      </c>
      <c r="Q5483" t="s">
        <v>493</v>
      </c>
      <c r="R5483" t="s">
        <v>5992</v>
      </c>
      <c r="S5483" t="s">
        <v>817</v>
      </c>
    </row>
    <row r="5484" spans="1:19" x14ac:dyDescent="0.25">
      <c r="A5484" t="s">
        <v>30</v>
      </c>
      <c r="B5484" t="s">
        <v>31</v>
      </c>
      <c r="C5484" t="s">
        <v>32</v>
      </c>
      <c r="D5484" t="s">
        <v>771</v>
      </c>
      <c r="E5484" t="s">
        <v>772</v>
      </c>
      <c r="F5484" t="s">
        <v>35</v>
      </c>
      <c r="G5484" t="s">
        <v>35</v>
      </c>
      <c r="H5484" t="s">
        <v>35</v>
      </c>
      <c r="J5484" t="s">
        <v>6001</v>
      </c>
      <c r="K5484" t="s">
        <v>1092</v>
      </c>
      <c r="M5484">
        <v>2.2050000000000001</v>
      </c>
      <c r="N5484">
        <v>272</v>
      </c>
      <c r="O5484" t="s">
        <v>5</v>
      </c>
      <c r="Q5484" t="s">
        <v>1264</v>
      </c>
      <c r="R5484" t="s">
        <v>6002</v>
      </c>
      <c r="S5484" t="s">
        <v>6003</v>
      </c>
    </row>
    <row r="5485" spans="1:19" x14ac:dyDescent="0.25">
      <c r="A5485" t="s">
        <v>30</v>
      </c>
      <c r="B5485" t="s">
        <v>31</v>
      </c>
      <c r="C5485" t="s">
        <v>32</v>
      </c>
      <c r="D5485" t="s">
        <v>771</v>
      </c>
      <c r="E5485" t="s">
        <v>772</v>
      </c>
      <c r="F5485" t="s">
        <v>35</v>
      </c>
      <c r="G5485" t="s">
        <v>35</v>
      </c>
      <c r="H5485" t="s">
        <v>35</v>
      </c>
      <c r="J5485" t="s">
        <v>6005</v>
      </c>
      <c r="K5485" t="s">
        <v>1092</v>
      </c>
      <c r="M5485">
        <v>9.99</v>
      </c>
      <c r="N5485">
        <v>116</v>
      </c>
      <c r="O5485" t="s">
        <v>106</v>
      </c>
      <c r="Q5485" t="s">
        <v>1256</v>
      </c>
      <c r="R5485" t="s">
        <v>436</v>
      </c>
      <c r="S5485" t="s">
        <v>437</v>
      </c>
    </row>
    <row r="5486" spans="1:19" x14ac:dyDescent="0.25">
      <c r="A5486" t="s">
        <v>59</v>
      </c>
      <c r="B5486" t="s">
        <v>31</v>
      </c>
      <c r="C5486" t="s">
        <v>32</v>
      </c>
      <c r="D5486" t="s">
        <v>771</v>
      </c>
      <c r="E5486" t="s">
        <v>772</v>
      </c>
      <c r="F5486" t="s">
        <v>35</v>
      </c>
      <c r="G5486" t="s">
        <v>35</v>
      </c>
      <c r="H5486" t="s">
        <v>35</v>
      </c>
      <c r="J5486" t="s">
        <v>6005</v>
      </c>
      <c r="K5486" t="s">
        <v>1092</v>
      </c>
      <c r="M5486">
        <v>4.99</v>
      </c>
      <c r="N5486">
        <v>238</v>
      </c>
      <c r="O5486" t="s">
        <v>5</v>
      </c>
      <c r="Q5486" t="s">
        <v>933</v>
      </c>
      <c r="R5486" t="s">
        <v>6007</v>
      </c>
      <c r="S5486" t="s">
        <v>6008</v>
      </c>
    </row>
    <row r="5487" spans="1:19" x14ac:dyDescent="0.25">
      <c r="A5487" t="s">
        <v>59</v>
      </c>
      <c r="B5487" t="s">
        <v>31</v>
      </c>
      <c r="C5487" t="s">
        <v>32</v>
      </c>
      <c r="D5487" t="s">
        <v>771</v>
      </c>
      <c r="E5487" t="s">
        <v>772</v>
      </c>
      <c r="F5487" t="s">
        <v>35</v>
      </c>
      <c r="G5487" t="s">
        <v>35</v>
      </c>
      <c r="H5487" t="s">
        <v>35</v>
      </c>
      <c r="J5487" t="s">
        <v>6005</v>
      </c>
      <c r="K5487" t="s">
        <v>1092</v>
      </c>
      <c r="M5487">
        <v>12.015000000000001</v>
      </c>
      <c r="N5487">
        <v>36</v>
      </c>
      <c r="O5487" t="s">
        <v>52</v>
      </c>
      <c r="Q5487" t="s">
        <v>2005</v>
      </c>
      <c r="R5487" t="s">
        <v>849</v>
      </c>
      <c r="S5487" t="s">
        <v>850</v>
      </c>
    </row>
    <row r="5488" spans="1:19" x14ac:dyDescent="0.25">
      <c r="A5488" t="s">
        <v>30</v>
      </c>
      <c r="B5488" t="s">
        <v>31</v>
      </c>
      <c r="C5488" t="s">
        <v>32</v>
      </c>
      <c r="D5488" t="s">
        <v>771</v>
      </c>
      <c r="E5488" t="s">
        <v>772</v>
      </c>
      <c r="F5488" t="s">
        <v>35</v>
      </c>
      <c r="G5488" t="s">
        <v>35</v>
      </c>
      <c r="H5488" t="s">
        <v>35</v>
      </c>
      <c r="J5488" t="s">
        <v>6005</v>
      </c>
      <c r="K5488" t="s">
        <v>1092</v>
      </c>
      <c r="M5488">
        <v>11.61</v>
      </c>
      <c r="N5488">
        <v>119</v>
      </c>
      <c r="O5488" t="s">
        <v>106</v>
      </c>
      <c r="Q5488" t="s">
        <v>3465</v>
      </c>
      <c r="R5488" t="s">
        <v>934</v>
      </c>
      <c r="S5488" t="s">
        <v>935</v>
      </c>
    </row>
    <row r="5489" spans="1:19" x14ac:dyDescent="0.25">
      <c r="A5489" t="s">
        <v>59</v>
      </c>
      <c r="B5489" t="s">
        <v>31</v>
      </c>
      <c r="C5489" t="s">
        <v>32</v>
      </c>
      <c r="D5489" t="s">
        <v>771</v>
      </c>
      <c r="E5489" t="s">
        <v>772</v>
      </c>
      <c r="F5489" t="s">
        <v>35</v>
      </c>
      <c r="G5489" t="s">
        <v>35</v>
      </c>
      <c r="H5489" t="s">
        <v>35</v>
      </c>
      <c r="J5489" t="s">
        <v>6009</v>
      </c>
      <c r="K5489" t="s">
        <v>1092</v>
      </c>
      <c r="M5489">
        <v>9.99</v>
      </c>
      <c r="N5489">
        <v>84</v>
      </c>
      <c r="O5489" t="s">
        <v>61</v>
      </c>
      <c r="Q5489" t="s">
        <v>778</v>
      </c>
      <c r="R5489" t="s">
        <v>436</v>
      </c>
      <c r="S5489" t="s">
        <v>437</v>
      </c>
    </row>
    <row r="5490" spans="1:19" x14ac:dyDescent="0.25">
      <c r="A5490" t="s">
        <v>30</v>
      </c>
      <c r="B5490" t="s">
        <v>31</v>
      </c>
      <c r="C5490" t="s">
        <v>32</v>
      </c>
      <c r="D5490" t="s">
        <v>771</v>
      </c>
      <c r="E5490" t="s">
        <v>779</v>
      </c>
      <c r="F5490" t="s">
        <v>35</v>
      </c>
      <c r="G5490" t="s">
        <v>35</v>
      </c>
      <c r="H5490" t="s">
        <v>35</v>
      </c>
      <c r="J5490" t="s">
        <v>6010</v>
      </c>
      <c r="K5490" t="s">
        <v>1092</v>
      </c>
      <c r="M5490">
        <v>0.99</v>
      </c>
      <c r="N5490">
        <v>17</v>
      </c>
      <c r="O5490" t="s">
        <v>46</v>
      </c>
      <c r="Q5490" t="s">
        <v>1302</v>
      </c>
      <c r="R5490" t="s">
        <v>6011</v>
      </c>
      <c r="S5490" t="s">
        <v>780</v>
      </c>
    </row>
    <row r="5491" spans="1:19" x14ac:dyDescent="0.25">
      <c r="A5491" t="s">
        <v>44</v>
      </c>
      <c r="B5491" t="s">
        <v>51</v>
      </c>
      <c r="C5491" t="s">
        <v>32</v>
      </c>
      <c r="D5491" t="s">
        <v>771</v>
      </c>
      <c r="E5491" t="s">
        <v>779</v>
      </c>
      <c r="F5491" t="s">
        <v>35</v>
      </c>
      <c r="G5491" t="s">
        <v>35</v>
      </c>
      <c r="H5491" t="s">
        <v>35</v>
      </c>
      <c r="J5491" t="s">
        <v>3127</v>
      </c>
      <c r="K5491" t="s">
        <v>1092</v>
      </c>
      <c r="M5491">
        <v>1</v>
      </c>
      <c r="N5491">
        <v>263</v>
      </c>
      <c r="O5491" t="s">
        <v>5</v>
      </c>
      <c r="Q5491" t="s">
        <v>2499</v>
      </c>
      <c r="R5491" t="s">
        <v>844</v>
      </c>
      <c r="S5491" t="s">
        <v>806</v>
      </c>
    </row>
    <row r="5492" spans="1:19" x14ac:dyDescent="0.25">
      <c r="A5492" t="s">
        <v>44</v>
      </c>
      <c r="B5492" t="s">
        <v>51</v>
      </c>
      <c r="C5492" t="s">
        <v>32</v>
      </c>
      <c r="D5492" t="s">
        <v>771</v>
      </c>
      <c r="E5492" t="s">
        <v>779</v>
      </c>
      <c r="F5492" t="s">
        <v>35</v>
      </c>
      <c r="G5492" t="s">
        <v>35</v>
      </c>
      <c r="H5492" t="s">
        <v>35</v>
      </c>
      <c r="J5492" t="s">
        <v>3127</v>
      </c>
      <c r="K5492" t="s">
        <v>1092</v>
      </c>
      <c r="M5492">
        <v>1</v>
      </c>
      <c r="N5492">
        <v>153</v>
      </c>
      <c r="O5492" t="s">
        <v>38</v>
      </c>
      <c r="Q5492" t="s">
        <v>569</v>
      </c>
      <c r="R5492" t="s">
        <v>844</v>
      </c>
      <c r="S5492" t="s">
        <v>806</v>
      </c>
    </row>
    <row r="5493" spans="1:19" x14ac:dyDescent="0.25">
      <c r="A5493" t="s">
        <v>59</v>
      </c>
      <c r="B5493" t="s">
        <v>60</v>
      </c>
      <c r="C5493" t="s">
        <v>32</v>
      </c>
      <c r="D5493" t="s">
        <v>771</v>
      </c>
      <c r="E5493" t="s">
        <v>779</v>
      </c>
      <c r="F5493" t="s">
        <v>35</v>
      </c>
      <c r="G5493" t="s">
        <v>35</v>
      </c>
      <c r="H5493" t="s">
        <v>35</v>
      </c>
      <c r="J5493" t="s">
        <v>3127</v>
      </c>
      <c r="K5493" t="s">
        <v>1092</v>
      </c>
      <c r="M5493">
        <v>1</v>
      </c>
      <c r="N5493">
        <v>153</v>
      </c>
      <c r="O5493" t="s">
        <v>38</v>
      </c>
      <c r="Q5493" t="s">
        <v>569</v>
      </c>
      <c r="R5493" t="s">
        <v>844</v>
      </c>
      <c r="S5493" t="s">
        <v>806</v>
      </c>
    </row>
    <row r="5494" spans="1:19" x14ac:dyDescent="0.25">
      <c r="A5494" t="s">
        <v>30</v>
      </c>
      <c r="B5494" t="s">
        <v>31</v>
      </c>
      <c r="C5494" t="s">
        <v>32</v>
      </c>
      <c r="D5494" t="s">
        <v>771</v>
      </c>
      <c r="E5494" t="s">
        <v>779</v>
      </c>
      <c r="F5494" t="s">
        <v>35</v>
      </c>
      <c r="G5494" t="s">
        <v>35</v>
      </c>
      <c r="H5494" t="s">
        <v>35</v>
      </c>
      <c r="J5494" t="s">
        <v>6012</v>
      </c>
      <c r="K5494" t="s">
        <v>1092</v>
      </c>
      <c r="M5494">
        <v>0.495</v>
      </c>
      <c r="N5494">
        <v>45</v>
      </c>
      <c r="O5494" t="s">
        <v>52</v>
      </c>
      <c r="Q5494" t="s">
        <v>716</v>
      </c>
      <c r="R5494" t="s">
        <v>6011</v>
      </c>
      <c r="S5494" t="s">
        <v>780</v>
      </c>
    </row>
    <row r="5495" spans="1:19" x14ac:dyDescent="0.25">
      <c r="A5495" t="s">
        <v>30</v>
      </c>
      <c r="B5495" t="s">
        <v>31</v>
      </c>
      <c r="C5495" t="s">
        <v>32</v>
      </c>
      <c r="D5495" t="s">
        <v>771</v>
      </c>
      <c r="E5495" t="s">
        <v>779</v>
      </c>
      <c r="F5495" t="s">
        <v>35</v>
      </c>
      <c r="G5495" t="s">
        <v>35</v>
      </c>
      <c r="H5495" t="s">
        <v>35</v>
      </c>
      <c r="J5495" t="s">
        <v>6013</v>
      </c>
      <c r="K5495" t="s">
        <v>1092</v>
      </c>
      <c r="M5495">
        <v>0.495</v>
      </c>
      <c r="N5495">
        <v>864</v>
      </c>
      <c r="O5495" t="s">
        <v>575</v>
      </c>
      <c r="Q5495" t="s">
        <v>6014</v>
      </c>
      <c r="R5495" t="s">
        <v>934</v>
      </c>
      <c r="S5495" t="s">
        <v>935</v>
      </c>
    </row>
    <row r="5496" spans="1:19" x14ac:dyDescent="0.25">
      <c r="A5496" t="s">
        <v>30</v>
      </c>
      <c r="B5496" t="s">
        <v>31</v>
      </c>
      <c r="C5496" t="s">
        <v>32</v>
      </c>
      <c r="D5496" t="s">
        <v>771</v>
      </c>
      <c r="E5496" t="s">
        <v>779</v>
      </c>
      <c r="F5496" t="s">
        <v>35</v>
      </c>
      <c r="G5496" t="s">
        <v>35</v>
      </c>
      <c r="H5496" t="s">
        <v>35</v>
      </c>
      <c r="J5496" t="s">
        <v>6015</v>
      </c>
      <c r="K5496" t="s">
        <v>1092</v>
      </c>
      <c r="M5496">
        <v>0.315</v>
      </c>
      <c r="N5496">
        <v>610</v>
      </c>
      <c r="O5496" t="s">
        <v>575</v>
      </c>
      <c r="Q5496" t="s">
        <v>5921</v>
      </c>
      <c r="R5496" t="s">
        <v>6011</v>
      </c>
      <c r="S5496" t="s">
        <v>780</v>
      </c>
    </row>
    <row r="5497" spans="1:19" x14ac:dyDescent="0.25">
      <c r="A5497" t="s">
        <v>30</v>
      </c>
      <c r="B5497" t="s">
        <v>31</v>
      </c>
      <c r="C5497" t="s">
        <v>32</v>
      </c>
      <c r="D5497" t="s">
        <v>771</v>
      </c>
      <c r="E5497" t="s">
        <v>779</v>
      </c>
      <c r="F5497" t="s">
        <v>35</v>
      </c>
      <c r="G5497" t="s">
        <v>35</v>
      </c>
      <c r="H5497" t="s">
        <v>35</v>
      </c>
      <c r="J5497" t="s">
        <v>6016</v>
      </c>
      <c r="K5497" t="s">
        <v>1092</v>
      </c>
      <c r="M5497">
        <v>1.08</v>
      </c>
      <c r="N5497">
        <v>116</v>
      </c>
      <c r="O5497" t="s">
        <v>106</v>
      </c>
      <c r="Q5497" t="s">
        <v>1256</v>
      </c>
      <c r="R5497" t="s">
        <v>5995</v>
      </c>
      <c r="S5497" t="s">
        <v>5996</v>
      </c>
    </row>
    <row r="5498" spans="1:19" x14ac:dyDescent="0.25">
      <c r="A5498" t="s">
        <v>30</v>
      </c>
      <c r="B5498" t="s">
        <v>31</v>
      </c>
      <c r="C5498" t="s">
        <v>32</v>
      </c>
      <c r="D5498" t="s">
        <v>771</v>
      </c>
      <c r="E5498" t="s">
        <v>779</v>
      </c>
      <c r="F5498" t="s">
        <v>35</v>
      </c>
      <c r="G5498" t="s">
        <v>35</v>
      </c>
      <c r="H5498" t="s">
        <v>35</v>
      </c>
      <c r="J5498" t="s">
        <v>6017</v>
      </c>
      <c r="K5498" t="s">
        <v>1092</v>
      </c>
      <c r="M5498">
        <v>2.0699999999999998</v>
      </c>
      <c r="N5498">
        <v>45</v>
      </c>
      <c r="O5498" t="s">
        <v>52</v>
      </c>
      <c r="Q5498" t="s">
        <v>716</v>
      </c>
      <c r="R5498" t="s">
        <v>6011</v>
      </c>
      <c r="S5498" t="s">
        <v>780</v>
      </c>
    </row>
    <row r="5499" spans="1:19" x14ac:dyDescent="0.25">
      <c r="A5499" t="s">
        <v>30</v>
      </c>
      <c r="B5499" t="s">
        <v>31</v>
      </c>
      <c r="C5499" t="s">
        <v>32</v>
      </c>
      <c r="D5499" t="s">
        <v>771</v>
      </c>
      <c r="E5499" t="s">
        <v>779</v>
      </c>
      <c r="F5499" t="s">
        <v>35</v>
      </c>
      <c r="G5499" t="s">
        <v>35</v>
      </c>
      <c r="H5499" t="s">
        <v>35</v>
      </c>
      <c r="J5499" t="s">
        <v>6018</v>
      </c>
      <c r="K5499" t="s">
        <v>1092</v>
      </c>
      <c r="M5499">
        <v>4.4550000000000001</v>
      </c>
      <c r="N5499">
        <v>48</v>
      </c>
      <c r="O5499" t="s">
        <v>52</v>
      </c>
      <c r="Q5499" t="s">
        <v>496</v>
      </c>
      <c r="R5499" t="s">
        <v>5992</v>
      </c>
      <c r="S5499" t="s">
        <v>817</v>
      </c>
    </row>
    <row r="5500" spans="1:19" x14ac:dyDescent="0.25">
      <c r="A5500" t="s">
        <v>44</v>
      </c>
      <c r="B5500" t="s">
        <v>51</v>
      </c>
      <c r="C5500" t="s">
        <v>32</v>
      </c>
      <c r="D5500" t="s">
        <v>771</v>
      </c>
      <c r="E5500" t="s">
        <v>779</v>
      </c>
      <c r="F5500" t="s">
        <v>35</v>
      </c>
      <c r="G5500" t="s">
        <v>35</v>
      </c>
      <c r="H5500" t="s">
        <v>35</v>
      </c>
      <c r="J5500" t="s">
        <v>6018</v>
      </c>
      <c r="K5500" t="s">
        <v>1092</v>
      </c>
      <c r="M5500">
        <v>1.4</v>
      </c>
      <c r="N5500">
        <v>84</v>
      </c>
      <c r="O5500" t="s">
        <v>61</v>
      </c>
      <c r="Q5500" t="s">
        <v>778</v>
      </c>
      <c r="R5500" t="s">
        <v>5992</v>
      </c>
      <c r="S5500" t="s">
        <v>817</v>
      </c>
    </row>
    <row r="5501" spans="1:19" x14ac:dyDescent="0.25">
      <c r="A5501" t="s">
        <v>59</v>
      </c>
      <c r="B5501" t="s">
        <v>60</v>
      </c>
      <c r="C5501" t="s">
        <v>32</v>
      </c>
      <c r="D5501" t="s">
        <v>771</v>
      </c>
      <c r="E5501" t="s">
        <v>779</v>
      </c>
      <c r="F5501" t="s">
        <v>35</v>
      </c>
      <c r="G5501" t="s">
        <v>35</v>
      </c>
      <c r="H5501" t="s">
        <v>35</v>
      </c>
      <c r="J5501" t="s">
        <v>6018</v>
      </c>
      <c r="K5501" t="s">
        <v>1092</v>
      </c>
      <c r="M5501">
        <v>4</v>
      </c>
      <c r="N5501">
        <v>46</v>
      </c>
      <c r="O5501" t="s">
        <v>52</v>
      </c>
      <c r="Q5501" t="s">
        <v>493</v>
      </c>
      <c r="R5501" t="s">
        <v>5992</v>
      </c>
      <c r="S5501" t="s">
        <v>817</v>
      </c>
    </row>
    <row r="5502" spans="1:19" x14ac:dyDescent="0.25">
      <c r="A5502" t="s">
        <v>59</v>
      </c>
      <c r="B5502" t="s">
        <v>31</v>
      </c>
      <c r="C5502" t="s">
        <v>32</v>
      </c>
      <c r="D5502" t="s">
        <v>771</v>
      </c>
      <c r="E5502" t="s">
        <v>779</v>
      </c>
      <c r="F5502" t="s">
        <v>35</v>
      </c>
      <c r="G5502" t="s">
        <v>35</v>
      </c>
      <c r="H5502" t="s">
        <v>35</v>
      </c>
      <c r="J5502" t="s">
        <v>6018</v>
      </c>
      <c r="K5502" t="s">
        <v>1092</v>
      </c>
      <c r="M5502">
        <v>3.06</v>
      </c>
      <c r="N5502">
        <v>46</v>
      </c>
      <c r="O5502" t="s">
        <v>52</v>
      </c>
      <c r="Q5502" t="s">
        <v>493</v>
      </c>
      <c r="R5502" t="s">
        <v>5992</v>
      </c>
      <c r="S5502" t="s">
        <v>817</v>
      </c>
    </row>
    <row r="5503" spans="1:19" x14ac:dyDescent="0.25">
      <c r="A5503" t="s">
        <v>30</v>
      </c>
      <c r="B5503" t="s">
        <v>31</v>
      </c>
      <c r="C5503" t="s">
        <v>32</v>
      </c>
      <c r="D5503" t="s">
        <v>771</v>
      </c>
      <c r="E5503" t="s">
        <v>779</v>
      </c>
      <c r="F5503" t="s">
        <v>35</v>
      </c>
      <c r="G5503" t="s">
        <v>35</v>
      </c>
      <c r="H5503" t="s">
        <v>35</v>
      </c>
      <c r="J5503" t="s">
        <v>6019</v>
      </c>
      <c r="K5503" t="s">
        <v>1092</v>
      </c>
      <c r="M5503">
        <v>7.29</v>
      </c>
      <c r="N5503">
        <v>46</v>
      </c>
      <c r="O5503" t="s">
        <v>52</v>
      </c>
      <c r="Q5503" t="s">
        <v>493</v>
      </c>
      <c r="R5503" t="s">
        <v>6020</v>
      </c>
      <c r="S5503" t="s">
        <v>921</v>
      </c>
    </row>
    <row r="5504" spans="1:19" x14ac:dyDescent="0.25">
      <c r="A5504" t="s">
        <v>59</v>
      </c>
      <c r="B5504" t="s">
        <v>31</v>
      </c>
      <c r="C5504" t="s">
        <v>32</v>
      </c>
      <c r="D5504" t="s">
        <v>771</v>
      </c>
      <c r="E5504" t="s">
        <v>783</v>
      </c>
      <c r="F5504" t="s">
        <v>35</v>
      </c>
      <c r="G5504" t="s">
        <v>35</v>
      </c>
      <c r="H5504" t="s">
        <v>35</v>
      </c>
      <c r="J5504" t="s">
        <v>6021</v>
      </c>
      <c r="K5504" t="s">
        <v>1092</v>
      </c>
      <c r="M5504">
        <v>4.4550000000000001</v>
      </c>
      <c r="N5504">
        <v>154</v>
      </c>
      <c r="O5504" t="s">
        <v>38</v>
      </c>
      <c r="Q5504" t="s">
        <v>3398</v>
      </c>
      <c r="R5504" t="s">
        <v>436</v>
      </c>
      <c r="S5504" t="s">
        <v>437</v>
      </c>
    </row>
    <row r="5505" spans="1:19" x14ac:dyDescent="0.25">
      <c r="A5505" t="s">
        <v>59</v>
      </c>
      <c r="B5505" t="s">
        <v>60</v>
      </c>
      <c r="C5505" t="s">
        <v>32</v>
      </c>
      <c r="D5505" t="s">
        <v>771</v>
      </c>
      <c r="E5505" t="s">
        <v>783</v>
      </c>
      <c r="F5505" t="s">
        <v>35</v>
      </c>
      <c r="G5505" t="s">
        <v>35</v>
      </c>
      <c r="H5505" t="s">
        <v>35</v>
      </c>
      <c r="J5505" t="s">
        <v>937</v>
      </c>
      <c r="K5505" t="s">
        <v>1092</v>
      </c>
      <c r="M5505">
        <v>55</v>
      </c>
      <c r="N5505">
        <v>9</v>
      </c>
      <c r="O5505" t="s">
        <v>46</v>
      </c>
      <c r="Q5505" t="s">
        <v>2009</v>
      </c>
      <c r="R5505" t="s">
        <v>6022</v>
      </c>
      <c r="S5505" t="s">
        <v>937</v>
      </c>
    </row>
    <row r="5506" spans="1:19" x14ac:dyDescent="0.25">
      <c r="A5506" t="s">
        <v>44</v>
      </c>
      <c r="B5506" t="s">
        <v>51</v>
      </c>
      <c r="C5506" t="s">
        <v>32</v>
      </c>
      <c r="D5506" t="s">
        <v>771</v>
      </c>
      <c r="E5506" t="s">
        <v>783</v>
      </c>
      <c r="F5506" t="s">
        <v>35</v>
      </c>
      <c r="G5506" t="s">
        <v>35</v>
      </c>
      <c r="H5506" t="s">
        <v>35</v>
      </c>
      <c r="J5506" t="s">
        <v>937</v>
      </c>
      <c r="K5506" t="s">
        <v>1092</v>
      </c>
      <c r="M5506">
        <v>20</v>
      </c>
      <c r="N5506">
        <v>9</v>
      </c>
      <c r="O5506" t="s">
        <v>46</v>
      </c>
      <c r="Q5506" t="s">
        <v>2009</v>
      </c>
      <c r="R5506" t="s">
        <v>6022</v>
      </c>
      <c r="S5506" t="s">
        <v>937</v>
      </c>
    </row>
    <row r="5507" spans="1:19" x14ac:dyDescent="0.25">
      <c r="A5507" t="s">
        <v>59</v>
      </c>
      <c r="B5507" t="s">
        <v>60</v>
      </c>
      <c r="C5507" t="s">
        <v>32</v>
      </c>
      <c r="D5507" t="s">
        <v>771</v>
      </c>
      <c r="E5507" t="s">
        <v>783</v>
      </c>
      <c r="F5507" t="s">
        <v>35</v>
      </c>
      <c r="G5507" t="s">
        <v>35</v>
      </c>
      <c r="H5507" t="s">
        <v>35</v>
      </c>
      <c r="J5507" t="s">
        <v>6023</v>
      </c>
      <c r="K5507" t="s">
        <v>1092</v>
      </c>
      <c r="M5507">
        <v>2.9</v>
      </c>
      <c r="N5507">
        <v>11</v>
      </c>
      <c r="O5507" t="s">
        <v>46</v>
      </c>
      <c r="Q5507" t="s">
        <v>1053</v>
      </c>
      <c r="R5507" t="s">
        <v>6024</v>
      </c>
      <c r="S5507" t="s">
        <v>820</v>
      </c>
    </row>
    <row r="5508" spans="1:19" x14ac:dyDescent="0.25">
      <c r="A5508" t="s">
        <v>30</v>
      </c>
      <c r="B5508" t="s">
        <v>31</v>
      </c>
      <c r="C5508" t="s">
        <v>32</v>
      </c>
      <c r="D5508" t="s">
        <v>771</v>
      </c>
      <c r="E5508" t="s">
        <v>783</v>
      </c>
      <c r="F5508" t="s">
        <v>35</v>
      </c>
      <c r="G5508" t="s">
        <v>35</v>
      </c>
      <c r="H5508" t="s">
        <v>35</v>
      </c>
      <c r="J5508" t="s">
        <v>6023</v>
      </c>
      <c r="K5508" t="s">
        <v>1092</v>
      </c>
      <c r="M5508">
        <v>9.99</v>
      </c>
      <c r="N5508">
        <v>48</v>
      </c>
      <c r="O5508" t="s">
        <v>52</v>
      </c>
      <c r="Q5508" t="s">
        <v>496</v>
      </c>
      <c r="R5508" t="s">
        <v>919</v>
      </c>
      <c r="S5508" t="s">
        <v>784</v>
      </c>
    </row>
    <row r="5509" spans="1:19" x14ac:dyDescent="0.25">
      <c r="A5509" t="s">
        <v>30</v>
      </c>
      <c r="B5509" t="s">
        <v>31</v>
      </c>
      <c r="C5509" t="s">
        <v>32</v>
      </c>
      <c r="D5509" t="s">
        <v>771</v>
      </c>
      <c r="E5509" t="s">
        <v>783</v>
      </c>
      <c r="F5509" t="s">
        <v>35</v>
      </c>
      <c r="G5509" t="s">
        <v>35</v>
      </c>
      <c r="H5509" t="s">
        <v>35</v>
      </c>
      <c r="J5509" t="s">
        <v>6023</v>
      </c>
      <c r="K5509" t="s">
        <v>1092</v>
      </c>
      <c r="M5509">
        <v>4.3650000000000002</v>
      </c>
      <c r="N5509">
        <v>116</v>
      </c>
      <c r="O5509" t="s">
        <v>106</v>
      </c>
      <c r="Q5509" t="s">
        <v>1256</v>
      </c>
      <c r="R5509" t="s">
        <v>436</v>
      </c>
      <c r="S5509" t="s">
        <v>437</v>
      </c>
    </row>
    <row r="5510" spans="1:19" x14ac:dyDescent="0.25">
      <c r="A5510" t="s">
        <v>30</v>
      </c>
      <c r="B5510" t="s">
        <v>31</v>
      </c>
      <c r="C5510" t="s">
        <v>32</v>
      </c>
      <c r="D5510" t="s">
        <v>771</v>
      </c>
      <c r="E5510" t="s">
        <v>783</v>
      </c>
      <c r="F5510" t="s">
        <v>35</v>
      </c>
      <c r="G5510" t="s">
        <v>35</v>
      </c>
      <c r="H5510" t="s">
        <v>35</v>
      </c>
      <c r="J5510" t="s">
        <v>6025</v>
      </c>
      <c r="K5510" t="s">
        <v>1092</v>
      </c>
      <c r="M5510">
        <v>0.36</v>
      </c>
      <c r="N5510">
        <v>280</v>
      </c>
      <c r="O5510" t="s">
        <v>5</v>
      </c>
      <c r="Q5510" t="s">
        <v>4595</v>
      </c>
      <c r="R5510" t="s">
        <v>844</v>
      </c>
      <c r="S5510" t="s">
        <v>806</v>
      </c>
    </row>
    <row r="5511" spans="1:19" x14ac:dyDescent="0.25">
      <c r="A5511" t="s">
        <v>44</v>
      </c>
      <c r="B5511" t="s">
        <v>51</v>
      </c>
      <c r="C5511" t="s">
        <v>32</v>
      </c>
      <c r="D5511" t="s">
        <v>771</v>
      </c>
      <c r="E5511" t="s">
        <v>783</v>
      </c>
      <c r="F5511" t="s">
        <v>35</v>
      </c>
      <c r="G5511" t="s">
        <v>35</v>
      </c>
      <c r="H5511" t="s">
        <v>35</v>
      </c>
      <c r="J5511" t="s">
        <v>6025</v>
      </c>
      <c r="K5511" t="s">
        <v>1092</v>
      </c>
      <c r="M5511">
        <v>1.5</v>
      </c>
      <c r="N5511">
        <v>59</v>
      </c>
      <c r="O5511" t="s">
        <v>52</v>
      </c>
      <c r="Q5511" t="s">
        <v>84</v>
      </c>
      <c r="R5511" t="s">
        <v>844</v>
      </c>
      <c r="S5511" t="s">
        <v>806</v>
      </c>
    </row>
    <row r="5512" spans="1:19" x14ac:dyDescent="0.25">
      <c r="A5512" t="s">
        <v>59</v>
      </c>
      <c r="B5512" t="s">
        <v>31</v>
      </c>
      <c r="C5512" t="s">
        <v>32</v>
      </c>
      <c r="D5512" t="s">
        <v>771</v>
      </c>
      <c r="E5512" t="s">
        <v>783</v>
      </c>
      <c r="F5512" t="s">
        <v>35</v>
      </c>
      <c r="G5512" t="s">
        <v>35</v>
      </c>
      <c r="H5512" t="s">
        <v>35</v>
      </c>
      <c r="J5512" t="s">
        <v>6026</v>
      </c>
      <c r="K5512" t="s">
        <v>1092</v>
      </c>
      <c r="M5512">
        <v>9.99</v>
      </c>
      <c r="N5512">
        <v>44</v>
      </c>
      <c r="O5512" t="s">
        <v>52</v>
      </c>
      <c r="Q5512" t="s">
        <v>192</v>
      </c>
      <c r="R5512" t="s">
        <v>436</v>
      </c>
      <c r="S5512" t="s">
        <v>437</v>
      </c>
    </row>
    <row r="5513" spans="1:19" x14ac:dyDescent="0.25">
      <c r="A5513" t="s">
        <v>30</v>
      </c>
      <c r="B5513" t="s">
        <v>31</v>
      </c>
      <c r="C5513" t="s">
        <v>32</v>
      </c>
      <c r="D5513" t="s">
        <v>771</v>
      </c>
      <c r="E5513" t="s">
        <v>783</v>
      </c>
      <c r="F5513" t="s">
        <v>35</v>
      </c>
      <c r="G5513" t="s">
        <v>35</v>
      </c>
      <c r="H5513" t="s">
        <v>35</v>
      </c>
      <c r="J5513" t="s">
        <v>6026</v>
      </c>
      <c r="K5513" t="s">
        <v>1092</v>
      </c>
      <c r="M5513">
        <v>9.3149999999999995</v>
      </c>
      <c r="N5513">
        <v>41</v>
      </c>
      <c r="O5513" t="s">
        <v>52</v>
      </c>
      <c r="Q5513" t="s">
        <v>249</v>
      </c>
      <c r="R5513" t="s">
        <v>436</v>
      </c>
      <c r="S5513" t="s">
        <v>437</v>
      </c>
    </row>
    <row r="5514" spans="1:19" x14ac:dyDescent="0.25">
      <c r="A5514" t="s">
        <v>59</v>
      </c>
      <c r="B5514" t="s">
        <v>60</v>
      </c>
      <c r="C5514" t="s">
        <v>32</v>
      </c>
      <c r="D5514" t="s">
        <v>771</v>
      </c>
      <c r="E5514" t="s">
        <v>783</v>
      </c>
      <c r="F5514" t="s">
        <v>35</v>
      </c>
      <c r="G5514" t="s">
        <v>35</v>
      </c>
      <c r="H5514" t="s">
        <v>35</v>
      </c>
      <c r="J5514" t="s">
        <v>6027</v>
      </c>
      <c r="K5514" t="s">
        <v>1092</v>
      </c>
      <c r="M5514">
        <v>0.75</v>
      </c>
      <c r="N5514">
        <v>14</v>
      </c>
      <c r="O5514" t="s">
        <v>46</v>
      </c>
      <c r="Q5514" t="s">
        <v>2440</v>
      </c>
      <c r="R5514" t="s">
        <v>6029</v>
      </c>
      <c r="S5514" t="s">
        <v>6030</v>
      </c>
    </row>
    <row r="5515" spans="1:19" x14ac:dyDescent="0.25">
      <c r="A5515" t="s">
        <v>59</v>
      </c>
      <c r="B5515" t="s">
        <v>60</v>
      </c>
      <c r="C5515" t="s">
        <v>32</v>
      </c>
      <c r="D5515" t="s">
        <v>771</v>
      </c>
      <c r="E5515" t="s">
        <v>783</v>
      </c>
      <c r="F5515" t="s">
        <v>35</v>
      </c>
      <c r="G5515" t="s">
        <v>35</v>
      </c>
      <c r="H5515" t="s">
        <v>35</v>
      </c>
      <c r="J5515" t="s">
        <v>6027</v>
      </c>
      <c r="K5515" t="s">
        <v>1092</v>
      </c>
      <c r="M5515">
        <v>0.15</v>
      </c>
      <c r="N5515">
        <v>297</v>
      </c>
      <c r="O5515" t="s">
        <v>5</v>
      </c>
      <c r="Q5515" t="s">
        <v>6028</v>
      </c>
      <c r="R5515" t="s">
        <v>6029</v>
      </c>
      <c r="S5515" t="s">
        <v>6030</v>
      </c>
    </row>
    <row r="5516" spans="1:19" x14ac:dyDescent="0.25">
      <c r="A5516" t="s">
        <v>59</v>
      </c>
      <c r="B5516" t="s">
        <v>60</v>
      </c>
      <c r="C5516" t="s">
        <v>32</v>
      </c>
      <c r="D5516" t="s">
        <v>771</v>
      </c>
      <c r="E5516" t="s">
        <v>783</v>
      </c>
      <c r="F5516" t="s">
        <v>35</v>
      </c>
      <c r="G5516" t="s">
        <v>35</v>
      </c>
      <c r="H5516" t="s">
        <v>35</v>
      </c>
      <c r="J5516" t="s">
        <v>6027</v>
      </c>
      <c r="K5516" t="s">
        <v>1092</v>
      </c>
      <c r="M5516">
        <v>3</v>
      </c>
      <c r="N5516">
        <v>18</v>
      </c>
      <c r="O5516" t="s">
        <v>46</v>
      </c>
      <c r="Q5516" t="s">
        <v>1476</v>
      </c>
      <c r="R5516" t="s">
        <v>6029</v>
      </c>
      <c r="S5516" t="s">
        <v>6030</v>
      </c>
    </row>
    <row r="5517" spans="1:19" x14ac:dyDescent="0.25">
      <c r="A5517" t="s">
        <v>59</v>
      </c>
      <c r="B5517" t="s">
        <v>31</v>
      </c>
      <c r="C5517" t="s">
        <v>32</v>
      </c>
      <c r="D5517" t="s">
        <v>771</v>
      </c>
      <c r="E5517" t="s">
        <v>783</v>
      </c>
      <c r="F5517" t="s">
        <v>35</v>
      </c>
      <c r="G5517" t="s">
        <v>35</v>
      </c>
      <c r="H5517" t="s">
        <v>35</v>
      </c>
      <c r="J5517" t="s">
        <v>6032</v>
      </c>
      <c r="K5517" t="s">
        <v>1092</v>
      </c>
      <c r="M5517">
        <v>4.7699999999999996</v>
      </c>
      <c r="N5517">
        <v>37</v>
      </c>
      <c r="O5517" t="s">
        <v>52</v>
      </c>
      <c r="Q5517" t="s">
        <v>3499</v>
      </c>
      <c r="R5517" t="s">
        <v>6033</v>
      </c>
      <c r="S5517" t="s">
        <v>6034</v>
      </c>
    </row>
    <row r="5518" spans="1:19" x14ac:dyDescent="0.25">
      <c r="A5518" t="s">
        <v>30</v>
      </c>
      <c r="B5518" t="s">
        <v>31</v>
      </c>
      <c r="C5518" t="s">
        <v>32</v>
      </c>
      <c r="D5518" t="s">
        <v>771</v>
      </c>
      <c r="E5518" t="s">
        <v>783</v>
      </c>
      <c r="F5518" t="s">
        <v>35</v>
      </c>
      <c r="G5518" t="s">
        <v>35</v>
      </c>
      <c r="H5518" t="s">
        <v>35</v>
      </c>
      <c r="J5518" t="s">
        <v>6036</v>
      </c>
      <c r="K5518" t="s">
        <v>1092</v>
      </c>
      <c r="M5518">
        <v>0.495</v>
      </c>
      <c r="N5518">
        <v>112</v>
      </c>
      <c r="O5518" t="s">
        <v>106</v>
      </c>
      <c r="Q5518" t="s">
        <v>171</v>
      </c>
      <c r="R5518" t="s">
        <v>849</v>
      </c>
      <c r="S5518" t="s">
        <v>850</v>
      </c>
    </row>
    <row r="5519" spans="1:19" x14ac:dyDescent="0.25">
      <c r="A5519" t="s">
        <v>59</v>
      </c>
      <c r="B5519" t="s">
        <v>60</v>
      </c>
      <c r="C5519" t="s">
        <v>32</v>
      </c>
      <c r="D5519" t="s">
        <v>771</v>
      </c>
      <c r="E5519" t="s">
        <v>783</v>
      </c>
      <c r="F5519" t="s">
        <v>35</v>
      </c>
      <c r="G5519" t="s">
        <v>35</v>
      </c>
      <c r="H5519" t="s">
        <v>35</v>
      </c>
      <c r="J5519" t="s">
        <v>6037</v>
      </c>
      <c r="K5519" t="s">
        <v>1092</v>
      </c>
      <c r="M5519">
        <v>3.5999999999999997E-2</v>
      </c>
      <c r="N5519">
        <v>196</v>
      </c>
      <c r="O5519" t="s">
        <v>5</v>
      </c>
      <c r="Q5519" t="s">
        <v>5616</v>
      </c>
      <c r="R5519" t="s">
        <v>934</v>
      </c>
      <c r="S5519" t="s">
        <v>935</v>
      </c>
    </row>
    <row r="5520" spans="1:19" x14ac:dyDescent="0.25">
      <c r="A5520" t="s">
        <v>30</v>
      </c>
      <c r="B5520" t="s">
        <v>31</v>
      </c>
      <c r="C5520" t="s">
        <v>32</v>
      </c>
      <c r="D5520" t="s">
        <v>771</v>
      </c>
      <c r="E5520" t="s">
        <v>783</v>
      </c>
      <c r="F5520" t="s">
        <v>35</v>
      </c>
      <c r="G5520" t="s">
        <v>35</v>
      </c>
      <c r="H5520" t="s">
        <v>35</v>
      </c>
      <c r="J5520" t="s">
        <v>6037</v>
      </c>
      <c r="K5520" t="s">
        <v>1092</v>
      </c>
      <c r="M5520">
        <v>6.0750000000000002</v>
      </c>
      <c r="N5520">
        <v>119</v>
      </c>
      <c r="O5520" t="s">
        <v>106</v>
      </c>
      <c r="Q5520" t="s">
        <v>3465</v>
      </c>
      <c r="R5520" t="s">
        <v>934</v>
      </c>
      <c r="S5520" t="s">
        <v>935</v>
      </c>
    </row>
    <row r="5521" spans="1:19" x14ac:dyDescent="0.25">
      <c r="A5521" t="s">
        <v>59</v>
      </c>
      <c r="B5521" t="s">
        <v>31</v>
      </c>
      <c r="C5521" t="s">
        <v>32</v>
      </c>
      <c r="D5521" t="s">
        <v>771</v>
      </c>
      <c r="E5521" t="s">
        <v>783</v>
      </c>
      <c r="F5521" t="s">
        <v>35</v>
      </c>
      <c r="G5521" t="s">
        <v>35</v>
      </c>
      <c r="H5521" t="s">
        <v>35</v>
      </c>
      <c r="J5521" t="s">
        <v>6038</v>
      </c>
      <c r="K5521" t="s">
        <v>1092</v>
      </c>
      <c r="M5521">
        <v>2.7</v>
      </c>
      <c r="N5521">
        <v>89</v>
      </c>
      <c r="O5521" t="s">
        <v>61</v>
      </c>
      <c r="Q5521" t="s">
        <v>299</v>
      </c>
      <c r="R5521" t="s">
        <v>844</v>
      </c>
      <c r="S5521" t="s">
        <v>806</v>
      </c>
    </row>
    <row r="5522" spans="1:19" x14ac:dyDescent="0.25">
      <c r="A5522" t="s">
        <v>44</v>
      </c>
      <c r="B5522" t="s">
        <v>51</v>
      </c>
      <c r="C5522" t="s">
        <v>32</v>
      </c>
      <c r="D5522" t="s">
        <v>771</v>
      </c>
      <c r="E5522" t="s">
        <v>783</v>
      </c>
      <c r="F5522" t="s">
        <v>35</v>
      </c>
      <c r="G5522" t="s">
        <v>35</v>
      </c>
      <c r="H5522" t="s">
        <v>35</v>
      </c>
      <c r="J5522" t="s">
        <v>6038</v>
      </c>
      <c r="K5522" t="s">
        <v>1092</v>
      </c>
      <c r="M5522">
        <v>3.5</v>
      </c>
      <c r="N5522">
        <v>62</v>
      </c>
      <c r="O5522" t="s">
        <v>61</v>
      </c>
      <c r="Q5522" t="s">
        <v>90</v>
      </c>
      <c r="R5522" t="s">
        <v>844</v>
      </c>
      <c r="S5522" t="s">
        <v>806</v>
      </c>
    </row>
    <row r="5523" spans="1:19" x14ac:dyDescent="0.25">
      <c r="A5523" t="s">
        <v>30</v>
      </c>
      <c r="B5523" t="s">
        <v>31</v>
      </c>
      <c r="C5523" t="s">
        <v>32</v>
      </c>
      <c r="D5523" t="s">
        <v>771</v>
      </c>
      <c r="E5523" t="s">
        <v>783</v>
      </c>
      <c r="F5523" t="s">
        <v>35</v>
      </c>
      <c r="G5523" t="s">
        <v>35</v>
      </c>
      <c r="H5523" t="s">
        <v>35</v>
      </c>
      <c r="J5523" t="s">
        <v>6038</v>
      </c>
      <c r="K5523" t="s">
        <v>1092</v>
      </c>
      <c r="M5523">
        <v>2.79</v>
      </c>
      <c r="N5523">
        <v>48</v>
      </c>
      <c r="O5523" t="s">
        <v>52</v>
      </c>
      <c r="Q5523" t="s">
        <v>496</v>
      </c>
      <c r="R5523" t="s">
        <v>844</v>
      </c>
      <c r="S5523" t="s">
        <v>806</v>
      </c>
    </row>
    <row r="5524" spans="1:19" x14ac:dyDescent="0.25">
      <c r="A5524" t="s">
        <v>59</v>
      </c>
      <c r="B5524" t="s">
        <v>31</v>
      </c>
      <c r="C5524" t="s">
        <v>32</v>
      </c>
      <c r="D5524" t="s">
        <v>771</v>
      </c>
      <c r="E5524" t="s">
        <v>783</v>
      </c>
      <c r="F5524" t="s">
        <v>35</v>
      </c>
      <c r="G5524" t="s">
        <v>35</v>
      </c>
      <c r="H5524" t="s">
        <v>35</v>
      </c>
      <c r="J5524" t="s">
        <v>6039</v>
      </c>
      <c r="K5524" t="s">
        <v>1092</v>
      </c>
      <c r="M5524">
        <v>2.5000000000000001E-2</v>
      </c>
      <c r="N5524">
        <v>1029</v>
      </c>
      <c r="O5524" t="s">
        <v>575</v>
      </c>
      <c r="Q5524" t="s">
        <v>6040</v>
      </c>
      <c r="R5524" t="s">
        <v>6024</v>
      </c>
      <c r="S5524" t="s">
        <v>820</v>
      </c>
    </row>
    <row r="5525" spans="1:19" x14ac:dyDescent="0.25">
      <c r="A5525" t="s">
        <v>44</v>
      </c>
      <c r="B5525" t="s">
        <v>51</v>
      </c>
      <c r="C5525" t="s">
        <v>32</v>
      </c>
      <c r="D5525" t="s">
        <v>771</v>
      </c>
      <c r="E5525" t="s">
        <v>783</v>
      </c>
      <c r="F5525" t="s">
        <v>35</v>
      </c>
      <c r="G5525" t="s">
        <v>35</v>
      </c>
      <c r="H5525" t="s">
        <v>35</v>
      </c>
      <c r="J5525" t="s">
        <v>6041</v>
      </c>
      <c r="K5525" t="s">
        <v>1092</v>
      </c>
      <c r="M5525">
        <v>0.65</v>
      </c>
      <c r="N5525">
        <v>131</v>
      </c>
      <c r="O5525" t="s">
        <v>38</v>
      </c>
      <c r="Q5525" t="s">
        <v>646</v>
      </c>
      <c r="R5525" t="s">
        <v>844</v>
      </c>
      <c r="S5525" t="s">
        <v>806</v>
      </c>
    </row>
    <row r="5526" spans="1:19" x14ac:dyDescent="0.25">
      <c r="A5526" t="s">
        <v>30</v>
      </c>
      <c r="B5526" t="s">
        <v>31</v>
      </c>
      <c r="C5526" t="s">
        <v>32</v>
      </c>
      <c r="D5526" t="s">
        <v>771</v>
      </c>
      <c r="E5526" t="s">
        <v>783</v>
      </c>
      <c r="F5526" t="s">
        <v>35</v>
      </c>
      <c r="G5526" t="s">
        <v>35</v>
      </c>
      <c r="H5526" t="s">
        <v>35</v>
      </c>
      <c r="J5526" t="s">
        <v>6042</v>
      </c>
      <c r="K5526" t="s">
        <v>1092</v>
      </c>
      <c r="M5526">
        <v>0.22500000000000001</v>
      </c>
      <c r="N5526">
        <v>45</v>
      </c>
      <c r="O5526" t="s">
        <v>52</v>
      </c>
      <c r="Q5526" t="s">
        <v>716</v>
      </c>
      <c r="R5526" t="s">
        <v>6011</v>
      </c>
      <c r="S5526" t="s">
        <v>780</v>
      </c>
    </row>
    <row r="5527" spans="1:19" x14ac:dyDescent="0.25">
      <c r="A5527" t="s">
        <v>30</v>
      </c>
      <c r="B5527" t="s">
        <v>31</v>
      </c>
      <c r="C5527" t="s">
        <v>32</v>
      </c>
      <c r="D5527" t="s">
        <v>771</v>
      </c>
      <c r="E5527" t="s">
        <v>783</v>
      </c>
      <c r="F5527" t="s">
        <v>35</v>
      </c>
      <c r="G5527" t="s">
        <v>35</v>
      </c>
      <c r="H5527" t="s">
        <v>35</v>
      </c>
      <c r="J5527" t="s">
        <v>6043</v>
      </c>
      <c r="K5527" t="s">
        <v>1092</v>
      </c>
      <c r="M5527">
        <v>1.98</v>
      </c>
      <c r="N5527">
        <v>112</v>
      </c>
      <c r="O5527" t="s">
        <v>106</v>
      </c>
      <c r="Q5527" t="s">
        <v>171</v>
      </c>
      <c r="R5527" t="s">
        <v>6022</v>
      </c>
      <c r="S5527" t="s">
        <v>937</v>
      </c>
    </row>
    <row r="5528" spans="1:19" x14ac:dyDescent="0.25">
      <c r="A5528" t="s">
        <v>30</v>
      </c>
      <c r="B5528" t="s">
        <v>31</v>
      </c>
      <c r="C5528" t="s">
        <v>32</v>
      </c>
      <c r="D5528" t="s">
        <v>771</v>
      </c>
      <c r="E5528" t="s">
        <v>783</v>
      </c>
      <c r="F5528" t="s">
        <v>35</v>
      </c>
      <c r="G5528" t="s">
        <v>35</v>
      </c>
      <c r="H5528" t="s">
        <v>35</v>
      </c>
      <c r="J5528" t="s">
        <v>6044</v>
      </c>
      <c r="K5528" t="s">
        <v>1092</v>
      </c>
      <c r="M5528">
        <v>2.61</v>
      </c>
      <c r="N5528">
        <v>45</v>
      </c>
      <c r="O5528" t="s">
        <v>52</v>
      </c>
      <c r="Q5528" t="s">
        <v>716</v>
      </c>
      <c r="R5528" t="s">
        <v>844</v>
      </c>
      <c r="S5528" t="s">
        <v>806</v>
      </c>
    </row>
    <row r="5529" spans="1:19" x14ac:dyDescent="0.25">
      <c r="A5529" t="s">
        <v>59</v>
      </c>
      <c r="B5529" t="s">
        <v>31</v>
      </c>
      <c r="C5529" t="s">
        <v>32</v>
      </c>
      <c r="D5529" t="s">
        <v>771</v>
      </c>
      <c r="E5529" t="s">
        <v>783</v>
      </c>
      <c r="F5529" t="s">
        <v>35</v>
      </c>
      <c r="G5529" t="s">
        <v>35</v>
      </c>
      <c r="H5529" t="s">
        <v>35</v>
      </c>
      <c r="J5529" t="s">
        <v>6045</v>
      </c>
      <c r="K5529" t="s">
        <v>1092</v>
      </c>
      <c r="M5529">
        <v>7.0650000000000004</v>
      </c>
      <c r="N5529">
        <v>45</v>
      </c>
      <c r="O5529" t="s">
        <v>52</v>
      </c>
      <c r="Q5529" t="s">
        <v>716</v>
      </c>
      <c r="R5529" t="s">
        <v>919</v>
      </c>
      <c r="S5529" t="s">
        <v>784</v>
      </c>
    </row>
    <row r="5530" spans="1:19" x14ac:dyDescent="0.25">
      <c r="A5530" t="s">
        <v>30</v>
      </c>
      <c r="B5530" t="s">
        <v>31</v>
      </c>
      <c r="C5530" t="s">
        <v>32</v>
      </c>
      <c r="D5530" t="s">
        <v>771</v>
      </c>
      <c r="E5530" t="s">
        <v>783</v>
      </c>
      <c r="F5530" t="s">
        <v>35</v>
      </c>
      <c r="G5530" t="s">
        <v>35</v>
      </c>
      <c r="H5530" t="s">
        <v>35</v>
      </c>
      <c r="J5530" t="s">
        <v>6046</v>
      </c>
      <c r="K5530" t="s">
        <v>1092</v>
      </c>
      <c r="M5530">
        <v>1.2150000000000001</v>
      </c>
      <c r="N5530">
        <v>118</v>
      </c>
      <c r="O5530" t="s">
        <v>106</v>
      </c>
      <c r="Q5530" t="s">
        <v>1469</v>
      </c>
      <c r="R5530" t="s">
        <v>844</v>
      </c>
      <c r="S5530" t="s">
        <v>806</v>
      </c>
    </row>
    <row r="5531" spans="1:19" x14ac:dyDescent="0.25">
      <c r="A5531" t="s">
        <v>59</v>
      </c>
      <c r="B5531" t="s">
        <v>60</v>
      </c>
      <c r="C5531" t="s">
        <v>32</v>
      </c>
      <c r="D5531" t="s">
        <v>771</v>
      </c>
      <c r="E5531" t="s">
        <v>783</v>
      </c>
      <c r="F5531" t="s">
        <v>35</v>
      </c>
      <c r="G5531" t="s">
        <v>35</v>
      </c>
      <c r="H5531" t="s">
        <v>35</v>
      </c>
      <c r="J5531" t="s">
        <v>6046</v>
      </c>
      <c r="K5531" t="s">
        <v>1092</v>
      </c>
      <c r="M5531">
        <v>1.1499999999999999</v>
      </c>
      <c r="N5531">
        <v>153</v>
      </c>
      <c r="O5531" t="s">
        <v>38</v>
      </c>
      <c r="Q5531" t="s">
        <v>569</v>
      </c>
      <c r="R5531" t="s">
        <v>844</v>
      </c>
      <c r="S5531" t="s">
        <v>806</v>
      </c>
    </row>
    <row r="5532" spans="1:19" x14ac:dyDescent="0.25">
      <c r="A5532" t="s">
        <v>44</v>
      </c>
      <c r="B5532" t="s">
        <v>51</v>
      </c>
      <c r="C5532" t="s">
        <v>32</v>
      </c>
      <c r="D5532" t="s">
        <v>771</v>
      </c>
      <c r="E5532" t="s">
        <v>783</v>
      </c>
      <c r="F5532" t="s">
        <v>35</v>
      </c>
      <c r="G5532" t="s">
        <v>35</v>
      </c>
      <c r="H5532" t="s">
        <v>35</v>
      </c>
      <c r="J5532" t="s">
        <v>6047</v>
      </c>
      <c r="K5532" t="s">
        <v>1092</v>
      </c>
      <c r="M5532">
        <v>3.5</v>
      </c>
      <c r="N5532">
        <v>73</v>
      </c>
      <c r="O5532" t="s">
        <v>61</v>
      </c>
      <c r="Q5532" t="s">
        <v>552</v>
      </c>
      <c r="R5532" t="s">
        <v>6048</v>
      </c>
      <c r="S5532" t="s">
        <v>833</v>
      </c>
    </row>
    <row r="5533" spans="1:19" x14ac:dyDescent="0.25">
      <c r="A5533" t="s">
        <v>30</v>
      </c>
      <c r="B5533" t="s">
        <v>31</v>
      </c>
      <c r="C5533" t="s">
        <v>32</v>
      </c>
      <c r="D5533" t="s">
        <v>771</v>
      </c>
      <c r="E5533" t="s">
        <v>783</v>
      </c>
      <c r="F5533" t="s">
        <v>35</v>
      </c>
      <c r="G5533" t="s">
        <v>35</v>
      </c>
      <c r="H5533" t="s">
        <v>35</v>
      </c>
      <c r="J5533" t="s">
        <v>6049</v>
      </c>
      <c r="K5533" t="s">
        <v>1092</v>
      </c>
      <c r="M5533">
        <v>3.0150000000000001</v>
      </c>
      <c r="N5533">
        <v>49</v>
      </c>
      <c r="O5533" t="s">
        <v>52</v>
      </c>
      <c r="Q5533" t="s">
        <v>219</v>
      </c>
      <c r="R5533" t="s">
        <v>6050</v>
      </c>
      <c r="S5533" t="s">
        <v>872</v>
      </c>
    </row>
    <row r="5534" spans="1:19" x14ac:dyDescent="0.25">
      <c r="A5534" t="s">
        <v>44</v>
      </c>
      <c r="B5534" t="s">
        <v>51</v>
      </c>
      <c r="C5534" t="s">
        <v>32</v>
      </c>
      <c r="D5534" t="s">
        <v>771</v>
      </c>
      <c r="E5534" t="s">
        <v>783</v>
      </c>
      <c r="F5534" t="s">
        <v>35</v>
      </c>
      <c r="G5534" t="s">
        <v>35</v>
      </c>
      <c r="H5534" t="s">
        <v>35</v>
      </c>
      <c r="J5534" t="s">
        <v>6049</v>
      </c>
      <c r="K5534" t="s">
        <v>1092</v>
      </c>
      <c r="M5534">
        <v>1.75</v>
      </c>
      <c r="N5534">
        <v>84</v>
      </c>
      <c r="O5534" t="s">
        <v>61</v>
      </c>
      <c r="Q5534" t="s">
        <v>778</v>
      </c>
      <c r="R5534" t="s">
        <v>5992</v>
      </c>
      <c r="S5534" t="s">
        <v>817</v>
      </c>
    </row>
    <row r="5535" spans="1:19" x14ac:dyDescent="0.25">
      <c r="A5535" t="s">
        <v>30</v>
      </c>
      <c r="B5535" t="s">
        <v>31</v>
      </c>
      <c r="C5535" t="s">
        <v>32</v>
      </c>
      <c r="D5535" t="s">
        <v>771</v>
      </c>
      <c r="E5535" t="s">
        <v>783</v>
      </c>
      <c r="F5535" t="s">
        <v>35</v>
      </c>
      <c r="G5535" t="s">
        <v>35</v>
      </c>
      <c r="H5535" t="s">
        <v>35</v>
      </c>
      <c r="J5535" t="s">
        <v>6049</v>
      </c>
      <c r="K5535" t="s">
        <v>1092</v>
      </c>
      <c r="M5535">
        <v>5.625</v>
      </c>
      <c r="N5535">
        <v>119</v>
      </c>
      <c r="O5535" t="s">
        <v>106</v>
      </c>
      <c r="Q5535" t="s">
        <v>3465</v>
      </c>
      <c r="R5535" t="s">
        <v>5992</v>
      </c>
      <c r="S5535" t="s">
        <v>817</v>
      </c>
    </row>
    <row r="5536" spans="1:19" x14ac:dyDescent="0.25">
      <c r="A5536" t="s">
        <v>59</v>
      </c>
      <c r="B5536" t="s">
        <v>31</v>
      </c>
      <c r="C5536" t="s">
        <v>32</v>
      </c>
      <c r="D5536" t="s">
        <v>771</v>
      </c>
      <c r="E5536" t="s">
        <v>783</v>
      </c>
      <c r="F5536" t="s">
        <v>35</v>
      </c>
      <c r="G5536" t="s">
        <v>35</v>
      </c>
      <c r="H5536" t="s">
        <v>35</v>
      </c>
      <c r="J5536" t="s">
        <v>6049</v>
      </c>
      <c r="K5536" t="s">
        <v>1092</v>
      </c>
      <c r="M5536">
        <v>6.6150000000000002</v>
      </c>
      <c r="N5536">
        <v>45</v>
      </c>
      <c r="O5536" t="s">
        <v>52</v>
      </c>
      <c r="Q5536" t="s">
        <v>716</v>
      </c>
      <c r="R5536" t="s">
        <v>844</v>
      </c>
      <c r="S5536" t="s">
        <v>806</v>
      </c>
    </row>
    <row r="5537" spans="1:19" x14ac:dyDescent="0.25">
      <c r="A5537" t="s">
        <v>59</v>
      </c>
      <c r="B5537" t="s">
        <v>60</v>
      </c>
      <c r="C5537" t="s">
        <v>32</v>
      </c>
      <c r="D5537" t="s">
        <v>771</v>
      </c>
      <c r="E5537" t="s">
        <v>783</v>
      </c>
      <c r="F5537" t="s">
        <v>35</v>
      </c>
      <c r="G5537" t="s">
        <v>35</v>
      </c>
      <c r="H5537" t="s">
        <v>35</v>
      </c>
      <c r="J5537" t="s">
        <v>6051</v>
      </c>
      <c r="K5537" t="s">
        <v>1092</v>
      </c>
      <c r="M5537">
        <v>1.9</v>
      </c>
      <c r="N5537">
        <v>44</v>
      </c>
      <c r="O5537" t="s">
        <v>52</v>
      </c>
      <c r="Q5537" t="s">
        <v>192</v>
      </c>
      <c r="R5537" t="s">
        <v>5992</v>
      </c>
      <c r="S5537" t="s">
        <v>817</v>
      </c>
    </row>
    <row r="5538" spans="1:19" x14ac:dyDescent="0.25">
      <c r="A5538" t="s">
        <v>59</v>
      </c>
      <c r="B5538" t="s">
        <v>31</v>
      </c>
      <c r="C5538" t="s">
        <v>32</v>
      </c>
      <c r="D5538" t="s">
        <v>771</v>
      </c>
      <c r="E5538" t="s">
        <v>783</v>
      </c>
      <c r="F5538" t="s">
        <v>35</v>
      </c>
      <c r="G5538" t="s">
        <v>35</v>
      </c>
      <c r="H5538" t="s">
        <v>35</v>
      </c>
      <c r="J5538" t="s">
        <v>6051</v>
      </c>
      <c r="K5538" t="s">
        <v>1092</v>
      </c>
      <c r="M5538">
        <v>0.99</v>
      </c>
      <c r="N5538">
        <v>44</v>
      </c>
      <c r="O5538" t="s">
        <v>52</v>
      </c>
      <c r="Q5538" t="s">
        <v>192</v>
      </c>
      <c r="R5538" t="s">
        <v>5992</v>
      </c>
      <c r="S5538" t="s">
        <v>817</v>
      </c>
    </row>
    <row r="5539" spans="1:19" x14ac:dyDescent="0.25">
      <c r="A5539" t="s">
        <v>59</v>
      </c>
      <c r="B5539" t="s">
        <v>60</v>
      </c>
      <c r="C5539" t="s">
        <v>32</v>
      </c>
      <c r="D5539" t="s">
        <v>771</v>
      </c>
      <c r="E5539" t="s">
        <v>783</v>
      </c>
      <c r="F5539" t="s">
        <v>35</v>
      </c>
      <c r="G5539" t="s">
        <v>35</v>
      </c>
      <c r="H5539" t="s">
        <v>35</v>
      </c>
      <c r="J5539" t="s">
        <v>6052</v>
      </c>
      <c r="K5539" t="s">
        <v>1092</v>
      </c>
      <c r="M5539">
        <v>8.5</v>
      </c>
      <c r="N5539">
        <v>20</v>
      </c>
      <c r="O5539" t="s">
        <v>46</v>
      </c>
      <c r="Q5539" t="s">
        <v>1004</v>
      </c>
      <c r="R5539" t="s">
        <v>6053</v>
      </c>
      <c r="S5539" t="s">
        <v>773</v>
      </c>
    </row>
    <row r="5540" spans="1:19" x14ac:dyDescent="0.25">
      <c r="A5540" t="s">
        <v>30</v>
      </c>
      <c r="B5540" t="s">
        <v>31</v>
      </c>
      <c r="C5540" t="s">
        <v>32</v>
      </c>
      <c r="D5540" t="s">
        <v>771</v>
      </c>
      <c r="E5540" t="s">
        <v>783</v>
      </c>
      <c r="F5540" t="s">
        <v>35</v>
      </c>
      <c r="G5540" t="s">
        <v>35</v>
      </c>
      <c r="H5540" t="s">
        <v>35</v>
      </c>
      <c r="J5540" t="s">
        <v>6054</v>
      </c>
      <c r="K5540" t="s">
        <v>1092</v>
      </c>
      <c r="M5540">
        <v>2.97</v>
      </c>
      <c r="N5540">
        <v>48</v>
      </c>
      <c r="O5540" t="s">
        <v>52</v>
      </c>
      <c r="Q5540" t="s">
        <v>496</v>
      </c>
      <c r="R5540" t="s">
        <v>934</v>
      </c>
      <c r="S5540" t="s">
        <v>935</v>
      </c>
    </row>
    <row r="5541" spans="1:19" x14ac:dyDescent="0.25">
      <c r="A5541" t="s">
        <v>44</v>
      </c>
      <c r="B5541" t="s">
        <v>51</v>
      </c>
      <c r="C5541" t="s">
        <v>32</v>
      </c>
      <c r="D5541" t="s">
        <v>771</v>
      </c>
      <c r="E5541" t="s">
        <v>783</v>
      </c>
      <c r="F5541" t="s">
        <v>35</v>
      </c>
      <c r="G5541" t="s">
        <v>35</v>
      </c>
      <c r="H5541" t="s">
        <v>35</v>
      </c>
      <c r="J5541" t="s">
        <v>6055</v>
      </c>
      <c r="K5541" t="s">
        <v>1092</v>
      </c>
      <c r="M5541">
        <v>0.55000000000000004</v>
      </c>
      <c r="N5541">
        <v>313</v>
      </c>
      <c r="O5541" t="s">
        <v>5</v>
      </c>
      <c r="Q5541" t="s">
        <v>6056</v>
      </c>
      <c r="R5541" t="s">
        <v>934</v>
      </c>
      <c r="S5541" t="s">
        <v>935</v>
      </c>
    </row>
    <row r="5542" spans="1:19" x14ac:dyDescent="0.25">
      <c r="A5542" t="s">
        <v>59</v>
      </c>
      <c r="B5542" t="s">
        <v>60</v>
      </c>
      <c r="C5542" t="s">
        <v>32</v>
      </c>
      <c r="D5542" t="s">
        <v>771</v>
      </c>
      <c r="E5542" t="s">
        <v>783</v>
      </c>
      <c r="F5542" t="s">
        <v>35</v>
      </c>
      <c r="G5542" t="s">
        <v>35</v>
      </c>
      <c r="H5542" t="s">
        <v>35</v>
      </c>
      <c r="J5542" t="s">
        <v>6057</v>
      </c>
      <c r="K5542" t="s">
        <v>1092</v>
      </c>
      <c r="M5542">
        <v>10</v>
      </c>
      <c r="N5542">
        <v>45</v>
      </c>
      <c r="O5542" t="s">
        <v>52</v>
      </c>
      <c r="Q5542" t="s">
        <v>716</v>
      </c>
      <c r="R5542" t="s">
        <v>919</v>
      </c>
      <c r="S5542" t="s">
        <v>784</v>
      </c>
    </row>
    <row r="5543" spans="1:19" x14ac:dyDescent="0.25">
      <c r="A5543" t="s">
        <v>44</v>
      </c>
      <c r="B5543" t="s">
        <v>51</v>
      </c>
      <c r="C5543" t="s">
        <v>32</v>
      </c>
      <c r="D5543" t="s">
        <v>771</v>
      </c>
      <c r="E5543" t="s">
        <v>783</v>
      </c>
      <c r="F5543" t="s">
        <v>35</v>
      </c>
      <c r="G5543" t="s">
        <v>35</v>
      </c>
      <c r="H5543" t="s">
        <v>35</v>
      </c>
      <c r="J5543" t="s">
        <v>6058</v>
      </c>
      <c r="K5543" t="s">
        <v>1092</v>
      </c>
      <c r="M5543">
        <v>0.5</v>
      </c>
      <c r="N5543">
        <v>14</v>
      </c>
      <c r="O5543" t="s">
        <v>46</v>
      </c>
      <c r="Q5543" t="s">
        <v>2440</v>
      </c>
      <c r="R5543" t="s">
        <v>6050</v>
      </c>
      <c r="S5543" t="s">
        <v>872</v>
      </c>
    </row>
    <row r="5544" spans="1:19" x14ac:dyDescent="0.25">
      <c r="A5544" t="s">
        <v>59</v>
      </c>
      <c r="B5544" t="s">
        <v>60</v>
      </c>
      <c r="C5544" t="s">
        <v>32</v>
      </c>
      <c r="D5544" t="s">
        <v>771</v>
      </c>
      <c r="E5544" t="s">
        <v>783</v>
      </c>
      <c r="F5544" t="s">
        <v>35</v>
      </c>
      <c r="G5544" t="s">
        <v>35</v>
      </c>
      <c r="H5544" t="s">
        <v>35</v>
      </c>
      <c r="J5544" t="s">
        <v>6059</v>
      </c>
      <c r="K5544" t="s">
        <v>1092</v>
      </c>
      <c r="M5544">
        <v>20</v>
      </c>
      <c r="N5544">
        <v>41</v>
      </c>
      <c r="O5544" t="s">
        <v>52</v>
      </c>
      <c r="Q5544" t="s">
        <v>249</v>
      </c>
      <c r="R5544" t="s">
        <v>6024</v>
      </c>
      <c r="S5544" t="s">
        <v>820</v>
      </c>
    </row>
    <row r="5545" spans="1:19" x14ac:dyDescent="0.25">
      <c r="A5545" t="s">
        <v>30</v>
      </c>
      <c r="B5545" t="s">
        <v>31</v>
      </c>
      <c r="C5545" t="s">
        <v>32</v>
      </c>
      <c r="D5545" t="s">
        <v>771</v>
      </c>
      <c r="E5545" t="s">
        <v>783</v>
      </c>
      <c r="F5545" t="s">
        <v>35</v>
      </c>
      <c r="G5545" t="s">
        <v>35</v>
      </c>
      <c r="H5545" t="s">
        <v>35</v>
      </c>
      <c r="J5545" t="s">
        <v>6059</v>
      </c>
      <c r="K5545" t="s">
        <v>1092</v>
      </c>
      <c r="M5545">
        <v>7.79</v>
      </c>
      <c r="N5545">
        <v>116</v>
      </c>
      <c r="O5545" t="s">
        <v>106</v>
      </c>
      <c r="Q5545" t="s">
        <v>1256</v>
      </c>
      <c r="R5545" t="s">
        <v>436</v>
      </c>
      <c r="S5545" t="s">
        <v>437</v>
      </c>
    </row>
    <row r="5546" spans="1:19" x14ac:dyDescent="0.25">
      <c r="A5546" t="s">
        <v>30</v>
      </c>
      <c r="B5546" t="s">
        <v>31</v>
      </c>
      <c r="C5546" t="s">
        <v>32</v>
      </c>
      <c r="D5546" t="s">
        <v>771</v>
      </c>
      <c r="E5546" t="s">
        <v>783</v>
      </c>
      <c r="F5546" t="s">
        <v>35</v>
      </c>
      <c r="G5546" t="s">
        <v>35</v>
      </c>
      <c r="H5546" t="s">
        <v>35</v>
      </c>
      <c r="J5546" t="s">
        <v>6060</v>
      </c>
      <c r="K5546" t="s">
        <v>1092</v>
      </c>
      <c r="M5546">
        <v>39.96</v>
      </c>
      <c r="N5546">
        <v>105</v>
      </c>
      <c r="O5546" t="s">
        <v>106</v>
      </c>
      <c r="Q5546" t="s">
        <v>4971</v>
      </c>
      <c r="R5546" t="s">
        <v>6022</v>
      </c>
      <c r="S5546" t="s">
        <v>937</v>
      </c>
    </row>
    <row r="5547" spans="1:19" x14ac:dyDescent="0.25">
      <c r="A5547" t="s">
        <v>30</v>
      </c>
      <c r="B5547" t="s">
        <v>31</v>
      </c>
      <c r="C5547" t="s">
        <v>32</v>
      </c>
      <c r="D5547" t="s">
        <v>771</v>
      </c>
      <c r="E5547" t="s">
        <v>783</v>
      </c>
      <c r="F5547" t="s">
        <v>35</v>
      </c>
      <c r="G5547" t="s">
        <v>35</v>
      </c>
      <c r="H5547" t="s">
        <v>35</v>
      </c>
      <c r="J5547" t="s">
        <v>6060</v>
      </c>
      <c r="K5547" t="s">
        <v>1092</v>
      </c>
      <c r="M5547">
        <v>6.12</v>
      </c>
      <c r="N5547">
        <v>39</v>
      </c>
      <c r="O5547" t="s">
        <v>52</v>
      </c>
      <c r="Q5547" t="s">
        <v>816</v>
      </c>
      <c r="R5547" t="s">
        <v>919</v>
      </c>
      <c r="S5547" t="s">
        <v>784</v>
      </c>
    </row>
    <row r="5548" spans="1:19" x14ac:dyDescent="0.25">
      <c r="A5548" t="s">
        <v>59</v>
      </c>
      <c r="B5548" t="s">
        <v>31</v>
      </c>
      <c r="C5548" t="s">
        <v>32</v>
      </c>
      <c r="D5548" t="s">
        <v>771</v>
      </c>
      <c r="E5548" t="s">
        <v>783</v>
      </c>
      <c r="F5548" t="s">
        <v>35</v>
      </c>
      <c r="G5548" t="s">
        <v>35</v>
      </c>
      <c r="H5548" t="s">
        <v>35</v>
      </c>
      <c r="J5548" t="s">
        <v>6060</v>
      </c>
      <c r="K5548" t="s">
        <v>1092</v>
      </c>
      <c r="M5548">
        <v>9.6050000000000004</v>
      </c>
      <c r="N5548">
        <v>131</v>
      </c>
      <c r="O5548" t="s">
        <v>38</v>
      </c>
      <c r="Q5548" t="s">
        <v>646</v>
      </c>
      <c r="R5548" t="s">
        <v>6022</v>
      </c>
      <c r="S5548" t="s">
        <v>937</v>
      </c>
    </row>
    <row r="5549" spans="1:19" x14ac:dyDescent="0.25">
      <c r="A5549" t="s">
        <v>59</v>
      </c>
      <c r="B5549" t="s">
        <v>31</v>
      </c>
      <c r="C5549" t="s">
        <v>32</v>
      </c>
      <c r="D5549" t="s">
        <v>771</v>
      </c>
      <c r="E5549" t="s">
        <v>783</v>
      </c>
      <c r="F5549" t="s">
        <v>35</v>
      </c>
      <c r="G5549" t="s">
        <v>35</v>
      </c>
      <c r="H5549" t="s">
        <v>35</v>
      </c>
      <c r="J5549" t="s">
        <v>6060</v>
      </c>
      <c r="K5549" t="s">
        <v>1092</v>
      </c>
      <c r="M5549">
        <v>36.225000000000001</v>
      </c>
      <c r="N5549">
        <v>141</v>
      </c>
      <c r="O5549" t="s">
        <v>38</v>
      </c>
      <c r="Q5549" t="s">
        <v>1822</v>
      </c>
      <c r="R5549" t="s">
        <v>919</v>
      </c>
      <c r="S5549" t="s">
        <v>784</v>
      </c>
    </row>
    <row r="5550" spans="1:19" x14ac:dyDescent="0.25">
      <c r="A5550" t="s">
        <v>44</v>
      </c>
      <c r="B5550" t="s">
        <v>51</v>
      </c>
      <c r="C5550" t="s">
        <v>32</v>
      </c>
      <c r="D5550" t="s">
        <v>771</v>
      </c>
      <c r="E5550" t="s">
        <v>783</v>
      </c>
      <c r="F5550" t="s">
        <v>35</v>
      </c>
      <c r="G5550" t="s">
        <v>35</v>
      </c>
      <c r="H5550" t="s">
        <v>35</v>
      </c>
      <c r="J5550" t="s">
        <v>806</v>
      </c>
      <c r="K5550" t="s">
        <v>1092</v>
      </c>
      <c r="M5550">
        <v>0.2</v>
      </c>
      <c r="N5550">
        <v>129</v>
      </c>
      <c r="O5550" t="s">
        <v>38</v>
      </c>
      <c r="Q5550" t="s">
        <v>1449</v>
      </c>
      <c r="R5550" t="s">
        <v>844</v>
      </c>
      <c r="S5550" t="s">
        <v>806</v>
      </c>
    </row>
    <row r="5551" spans="1:19" x14ac:dyDescent="0.25">
      <c r="A5551" t="s">
        <v>44</v>
      </c>
      <c r="B5551" t="s">
        <v>51</v>
      </c>
      <c r="C5551" t="s">
        <v>32</v>
      </c>
      <c r="D5551" t="s">
        <v>771</v>
      </c>
      <c r="E5551" t="s">
        <v>783</v>
      </c>
      <c r="F5551" t="s">
        <v>35</v>
      </c>
      <c r="G5551" t="s">
        <v>35</v>
      </c>
      <c r="H5551" t="s">
        <v>35</v>
      </c>
      <c r="J5551" t="s">
        <v>806</v>
      </c>
      <c r="K5551" t="s">
        <v>1092</v>
      </c>
      <c r="M5551">
        <v>3.05</v>
      </c>
      <c r="N5551">
        <v>188</v>
      </c>
      <c r="O5551" t="s">
        <v>5</v>
      </c>
      <c r="Q5551" t="s">
        <v>1277</v>
      </c>
      <c r="R5551" t="s">
        <v>844</v>
      </c>
      <c r="S5551" t="s">
        <v>806</v>
      </c>
    </row>
    <row r="5552" spans="1:19" x14ac:dyDescent="0.25">
      <c r="A5552" t="s">
        <v>59</v>
      </c>
      <c r="B5552" t="s">
        <v>60</v>
      </c>
      <c r="C5552" t="s">
        <v>32</v>
      </c>
      <c r="D5552" t="s">
        <v>771</v>
      </c>
      <c r="E5552" t="s">
        <v>783</v>
      </c>
      <c r="F5552" t="s">
        <v>35</v>
      </c>
      <c r="G5552" t="s">
        <v>35</v>
      </c>
      <c r="H5552" t="s">
        <v>35</v>
      </c>
      <c r="J5552" t="s">
        <v>806</v>
      </c>
      <c r="K5552" t="s">
        <v>1092</v>
      </c>
      <c r="M5552">
        <v>6</v>
      </c>
      <c r="N5552">
        <v>27</v>
      </c>
      <c r="O5552" t="s">
        <v>46</v>
      </c>
      <c r="Q5552" t="s">
        <v>1011</v>
      </c>
      <c r="R5552" t="s">
        <v>844</v>
      </c>
      <c r="S5552" t="s">
        <v>806</v>
      </c>
    </row>
    <row r="5553" spans="1:19" x14ac:dyDescent="0.25">
      <c r="A5553" t="s">
        <v>30</v>
      </c>
      <c r="B5553" t="s">
        <v>31</v>
      </c>
      <c r="C5553" t="s">
        <v>32</v>
      </c>
      <c r="D5553" t="s">
        <v>771</v>
      </c>
      <c r="E5553" t="s">
        <v>783</v>
      </c>
      <c r="F5553" t="s">
        <v>35</v>
      </c>
      <c r="G5553" t="s">
        <v>35</v>
      </c>
      <c r="H5553" t="s">
        <v>35</v>
      </c>
      <c r="J5553" t="s">
        <v>6061</v>
      </c>
      <c r="K5553" t="s">
        <v>1092</v>
      </c>
      <c r="M5553">
        <v>16.829999999999998</v>
      </c>
      <c r="N5553">
        <v>71</v>
      </c>
      <c r="O5553" t="s">
        <v>61</v>
      </c>
      <c r="Q5553" t="s">
        <v>102</v>
      </c>
      <c r="R5553" t="s">
        <v>436</v>
      </c>
      <c r="S5553" t="s">
        <v>437</v>
      </c>
    </row>
    <row r="5554" spans="1:19" x14ac:dyDescent="0.25">
      <c r="A5554" t="s">
        <v>59</v>
      </c>
      <c r="B5554" t="s">
        <v>31</v>
      </c>
      <c r="C5554" t="s">
        <v>32</v>
      </c>
      <c r="D5554" t="s">
        <v>771</v>
      </c>
      <c r="E5554" t="s">
        <v>783</v>
      </c>
      <c r="F5554" t="s">
        <v>35</v>
      </c>
      <c r="G5554" t="s">
        <v>35</v>
      </c>
      <c r="H5554" t="s">
        <v>35</v>
      </c>
      <c r="J5554" t="s">
        <v>6061</v>
      </c>
      <c r="K5554" t="s">
        <v>1092</v>
      </c>
      <c r="M5554">
        <v>13.86</v>
      </c>
      <c r="N5554">
        <v>290</v>
      </c>
      <c r="O5554" t="s">
        <v>5</v>
      </c>
      <c r="Q5554" t="s">
        <v>4463</v>
      </c>
      <c r="R5554" t="s">
        <v>6022</v>
      </c>
      <c r="S5554" t="s">
        <v>937</v>
      </c>
    </row>
    <row r="5555" spans="1:19" x14ac:dyDescent="0.25">
      <c r="A5555" t="s">
        <v>30</v>
      </c>
      <c r="B5555" t="s">
        <v>31</v>
      </c>
      <c r="C5555" t="s">
        <v>32</v>
      </c>
      <c r="D5555" t="s">
        <v>771</v>
      </c>
      <c r="E5555" t="s">
        <v>783</v>
      </c>
      <c r="F5555" t="s">
        <v>35</v>
      </c>
      <c r="G5555" t="s">
        <v>35</v>
      </c>
      <c r="H5555" t="s">
        <v>35</v>
      </c>
      <c r="J5555" t="s">
        <v>6061</v>
      </c>
      <c r="K5555" t="s">
        <v>1092</v>
      </c>
      <c r="M5555">
        <v>27</v>
      </c>
      <c r="N5555">
        <v>105</v>
      </c>
      <c r="O5555" t="s">
        <v>106</v>
      </c>
      <c r="Q5555" t="s">
        <v>4971</v>
      </c>
      <c r="R5555" t="s">
        <v>6022</v>
      </c>
      <c r="S5555" t="s">
        <v>937</v>
      </c>
    </row>
    <row r="5556" spans="1:19" x14ac:dyDescent="0.25">
      <c r="A5556" t="s">
        <v>30</v>
      </c>
      <c r="B5556" t="s">
        <v>31</v>
      </c>
      <c r="C5556" t="s">
        <v>32</v>
      </c>
      <c r="D5556" t="s">
        <v>771</v>
      </c>
      <c r="E5556" t="s">
        <v>783</v>
      </c>
      <c r="F5556" t="s">
        <v>35</v>
      </c>
      <c r="G5556" t="s">
        <v>35</v>
      </c>
      <c r="H5556" t="s">
        <v>35</v>
      </c>
      <c r="J5556" t="s">
        <v>6062</v>
      </c>
      <c r="K5556" t="s">
        <v>1092</v>
      </c>
      <c r="M5556">
        <v>7.02</v>
      </c>
      <c r="N5556">
        <v>48</v>
      </c>
      <c r="O5556" t="s">
        <v>52</v>
      </c>
      <c r="Q5556" t="s">
        <v>496</v>
      </c>
      <c r="R5556" t="s">
        <v>934</v>
      </c>
      <c r="S5556" t="s">
        <v>935</v>
      </c>
    </row>
    <row r="5557" spans="1:19" x14ac:dyDescent="0.25">
      <c r="A5557" t="s">
        <v>59</v>
      </c>
      <c r="B5557" t="s">
        <v>60</v>
      </c>
      <c r="C5557" t="s">
        <v>32</v>
      </c>
      <c r="D5557" t="s">
        <v>771</v>
      </c>
      <c r="E5557" t="s">
        <v>783</v>
      </c>
      <c r="F5557" t="s">
        <v>35</v>
      </c>
      <c r="G5557" t="s">
        <v>35</v>
      </c>
      <c r="H5557" t="s">
        <v>35</v>
      </c>
      <c r="J5557" t="s">
        <v>6063</v>
      </c>
      <c r="K5557" t="s">
        <v>1092</v>
      </c>
      <c r="M5557">
        <v>5.0000000000000001E-3</v>
      </c>
      <c r="N5557">
        <v>156</v>
      </c>
      <c r="O5557" t="s">
        <v>38</v>
      </c>
      <c r="Q5557" t="s">
        <v>75</v>
      </c>
      <c r="R5557" t="s">
        <v>893</v>
      </c>
      <c r="S5557" t="s">
        <v>894</v>
      </c>
    </row>
    <row r="5558" spans="1:19" x14ac:dyDescent="0.25">
      <c r="A5558" t="s">
        <v>59</v>
      </c>
      <c r="B5558" t="s">
        <v>31</v>
      </c>
      <c r="C5558" t="s">
        <v>32</v>
      </c>
      <c r="D5558" t="s">
        <v>771</v>
      </c>
      <c r="E5558" t="s">
        <v>783</v>
      </c>
      <c r="F5558" t="s">
        <v>35</v>
      </c>
      <c r="G5558" t="s">
        <v>35</v>
      </c>
      <c r="H5558" t="s">
        <v>35</v>
      </c>
      <c r="J5558" t="s">
        <v>6063</v>
      </c>
      <c r="K5558" t="s">
        <v>1092</v>
      </c>
      <c r="M5558">
        <v>4.4999999999999998E-2</v>
      </c>
      <c r="N5558">
        <v>156</v>
      </c>
      <c r="O5558" t="s">
        <v>38</v>
      </c>
      <c r="Q5558" t="s">
        <v>75</v>
      </c>
      <c r="R5558" t="s">
        <v>893</v>
      </c>
      <c r="S5558" t="s">
        <v>894</v>
      </c>
    </row>
    <row r="5559" spans="1:19" x14ac:dyDescent="0.25">
      <c r="A5559" t="s">
        <v>59</v>
      </c>
      <c r="B5559" t="s">
        <v>60</v>
      </c>
      <c r="C5559" t="s">
        <v>32</v>
      </c>
      <c r="D5559" t="s">
        <v>771</v>
      </c>
      <c r="E5559" t="s">
        <v>783</v>
      </c>
      <c r="F5559" t="s">
        <v>35</v>
      </c>
      <c r="G5559" t="s">
        <v>35</v>
      </c>
      <c r="H5559" t="s">
        <v>35</v>
      </c>
      <c r="J5559" t="s">
        <v>1885</v>
      </c>
      <c r="K5559" t="s">
        <v>1092</v>
      </c>
      <c r="M5559">
        <v>3</v>
      </c>
      <c r="N5559">
        <v>45</v>
      </c>
      <c r="O5559" t="s">
        <v>52</v>
      </c>
      <c r="Q5559" t="s">
        <v>716</v>
      </c>
      <c r="R5559" t="s">
        <v>844</v>
      </c>
      <c r="S5559" t="s">
        <v>806</v>
      </c>
    </row>
    <row r="5560" spans="1:19" x14ac:dyDescent="0.25">
      <c r="A5560" t="s">
        <v>59</v>
      </c>
      <c r="B5560" t="s">
        <v>60</v>
      </c>
      <c r="C5560" t="s">
        <v>32</v>
      </c>
      <c r="D5560" t="s">
        <v>771</v>
      </c>
      <c r="E5560" t="s">
        <v>783</v>
      </c>
      <c r="F5560" t="s">
        <v>35</v>
      </c>
      <c r="G5560" t="s">
        <v>35</v>
      </c>
      <c r="H5560" t="s">
        <v>35</v>
      </c>
      <c r="J5560" t="s">
        <v>6064</v>
      </c>
      <c r="K5560" t="s">
        <v>1092</v>
      </c>
      <c r="M5560">
        <v>0.1</v>
      </c>
      <c r="N5560">
        <v>156</v>
      </c>
      <c r="O5560" t="s">
        <v>38</v>
      </c>
      <c r="Q5560" t="s">
        <v>75</v>
      </c>
      <c r="R5560" t="s">
        <v>893</v>
      </c>
      <c r="S5560" t="s">
        <v>894</v>
      </c>
    </row>
    <row r="5561" spans="1:19" x14ac:dyDescent="0.25">
      <c r="A5561" t="s">
        <v>59</v>
      </c>
      <c r="B5561" t="s">
        <v>31</v>
      </c>
      <c r="C5561" t="s">
        <v>32</v>
      </c>
      <c r="D5561" t="s">
        <v>771</v>
      </c>
      <c r="E5561" t="s">
        <v>783</v>
      </c>
      <c r="F5561" t="s">
        <v>35</v>
      </c>
      <c r="G5561" t="s">
        <v>35</v>
      </c>
      <c r="H5561" t="s">
        <v>35</v>
      </c>
      <c r="J5561" t="s">
        <v>6064</v>
      </c>
      <c r="K5561" t="s">
        <v>1092</v>
      </c>
      <c r="M5561">
        <v>0.1</v>
      </c>
      <c r="N5561">
        <v>156</v>
      </c>
      <c r="O5561" t="s">
        <v>38</v>
      </c>
      <c r="Q5561" t="s">
        <v>75</v>
      </c>
      <c r="R5561" t="s">
        <v>893</v>
      </c>
      <c r="S5561" t="s">
        <v>894</v>
      </c>
    </row>
    <row r="5562" spans="1:19" x14ac:dyDescent="0.25">
      <c r="A5562" t="s">
        <v>59</v>
      </c>
      <c r="B5562" t="s">
        <v>31</v>
      </c>
      <c r="C5562" t="s">
        <v>32</v>
      </c>
      <c r="D5562" t="s">
        <v>771</v>
      </c>
      <c r="E5562" t="s">
        <v>783</v>
      </c>
      <c r="F5562" t="s">
        <v>35</v>
      </c>
      <c r="G5562" t="s">
        <v>35</v>
      </c>
      <c r="H5562" t="s">
        <v>35</v>
      </c>
      <c r="J5562" t="s">
        <v>6065</v>
      </c>
      <c r="K5562" t="s">
        <v>1092</v>
      </c>
      <c r="M5562">
        <v>2.5649999999999999</v>
      </c>
      <c r="N5562">
        <v>82</v>
      </c>
      <c r="O5562" t="s">
        <v>61</v>
      </c>
      <c r="Q5562" t="s">
        <v>447</v>
      </c>
      <c r="R5562" t="s">
        <v>6011</v>
      </c>
      <c r="S5562" t="s">
        <v>780</v>
      </c>
    </row>
    <row r="5563" spans="1:19" x14ac:dyDescent="0.25">
      <c r="A5563" t="s">
        <v>30</v>
      </c>
      <c r="B5563" t="s">
        <v>31</v>
      </c>
      <c r="C5563" t="s">
        <v>32</v>
      </c>
      <c r="D5563" t="s">
        <v>771</v>
      </c>
      <c r="E5563" t="s">
        <v>783</v>
      </c>
      <c r="F5563" t="s">
        <v>35</v>
      </c>
      <c r="G5563" t="s">
        <v>35</v>
      </c>
      <c r="H5563" t="s">
        <v>35</v>
      </c>
      <c r="J5563" t="s">
        <v>6065</v>
      </c>
      <c r="K5563" t="s">
        <v>1092</v>
      </c>
      <c r="M5563">
        <v>0.27</v>
      </c>
      <c r="N5563">
        <v>113</v>
      </c>
      <c r="O5563" t="s">
        <v>106</v>
      </c>
      <c r="Q5563" t="s">
        <v>6066</v>
      </c>
      <c r="R5563" t="s">
        <v>6048</v>
      </c>
      <c r="S5563" t="s">
        <v>833</v>
      </c>
    </row>
    <row r="5564" spans="1:19" x14ac:dyDescent="0.25">
      <c r="A5564" t="s">
        <v>59</v>
      </c>
      <c r="B5564" t="s">
        <v>60</v>
      </c>
      <c r="C5564" t="s">
        <v>32</v>
      </c>
      <c r="D5564" t="s">
        <v>771</v>
      </c>
      <c r="E5564" t="s">
        <v>783</v>
      </c>
      <c r="F5564" t="s">
        <v>35</v>
      </c>
      <c r="G5564" t="s">
        <v>35</v>
      </c>
      <c r="H5564" t="s">
        <v>35</v>
      </c>
      <c r="J5564" t="s">
        <v>6067</v>
      </c>
      <c r="K5564" t="s">
        <v>1092</v>
      </c>
      <c r="M5564">
        <v>0.24299999999999999</v>
      </c>
      <c r="N5564">
        <v>2015</v>
      </c>
      <c r="O5564" t="s">
        <v>575</v>
      </c>
      <c r="Q5564" t="s">
        <v>6069</v>
      </c>
      <c r="R5564" t="s">
        <v>6029</v>
      </c>
      <c r="S5564" t="s">
        <v>6030</v>
      </c>
    </row>
    <row r="5565" spans="1:19" x14ac:dyDescent="0.25">
      <c r="A5565" t="s">
        <v>59</v>
      </c>
      <c r="B5565" t="s">
        <v>31</v>
      </c>
      <c r="C5565" t="s">
        <v>32</v>
      </c>
      <c r="D5565" t="s">
        <v>771</v>
      </c>
      <c r="E5565" t="s">
        <v>783</v>
      </c>
      <c r="F5565" t="s">
        <v>35</v>
      </c>
      <c r="G5565" t="s">
        <v>35</v>
      </c>
      <c r="H5565" t="s">
        <v>35</v>
      </c>
      <c r="J5565" t="s">
        <v>6067</v>
      </c>
      <c r="K5565" t="s">
        <v>1092</v>
      </c>
      <c r="M5565">
        <v>6.3E-2</v>
      </c>
      <c r="N5565">
        <v>2096</v>
      </c>
      <c r="O5565" t="s">
        <v>575</v>
      </c>
      <c r="Q5565" t="s">
        <v>6068</v>
      </c>
      <c r="R5565" t="s">
        <v>6029</v>
      </c>
      <c r="S5565" t="s">
        <v>6030</v>
      </c>
    </row>
    <row r="5566" spans="1:19" x14ac:dyDescent="0.25">
      <c r="A5566" t="s">
        <v>30</v>
      </c>
      <c r="B5566" t="s">
        <v>31</v>
      </c>
      <c r="C5566" t="s">
        <v>32</v>
      </c>
      <c r="D5566" t="s">
        <v>771</v>
      </c>
      <c r="E5566" t="s">
        <v>783</v>
      </c>
      <c r="F5566" t="s">
        <v>35</v>
      </c>
      <c r="G5566" t="s">
        <v>35</v>
      </c>
      <c r="H5566" t="s">
        <v>35</v>
      </c>
      <c r="J5566" t="s">
        <v>6067</v>
      </c>
      <c r="K5566" t="s">
        <v>1092</v>
      </c>
      <c r="M5566">
        <v>3.6999999999999998E-2</v>
      </c>
      <c r="N5566">
        <v>2671</v>
      </c>
      <c r="O5566" t="s">
        <v>575</v>
      </c>
      <c r="Q5566" t="s">
        <v>6070</v>
      </c>
      <c r="R5566" t="s">
        <v>6029</v>
      </c>
      <c r="S5566" t="s">
        <v>6030</v>
      </c>
    </row>
    <row r="5567" spans="1:19" x14ac:dyDescent="0.25">
      <c r="A5567" t="s">
        <v>30</v>
      </c>
      <c r="B5567" t="s">
        <v>31</v>
      </c>
      <c r="C5567" t="s">
        <v>32</v>
      </c>
      <c r="D5567" t="s">
        <v>771</v>
      </c>
      <c r="E5567" t="s">
        <v>783</v>
      </c>
      <c r="F5567" t="s">
        <v>35</v>
      </c>
      <c r="G5567" t="s">
        <v>35</v>
      </c>
      <c r="H5567" t="s">
        <v>35</v>
      </c>
      <c r="J5567" t="s">
        <v>6071</v>
      </c>
      <c r="K5567" t="s">
        <v>1092</v>
      </c>
      <c r="M5567">
        <v>3.08</v>
      </c>
      <c r="N5567">
        <v>262</v>
      </c>
      <c r="O5567" t="s">
        <v>5</v>
      </c>
      <c r="Q5567" t="s">
        <v>264</v>
      </c>
      <c r="R5567" t="s">
        <v>6022</v>
      </c>
      <c r="S5567" t="s">
        <v>937</v>
      </c>
    </row>
    <row r="5568" spans="1:19" x14ac:dyDescent="0.25">
      <c r="A5568" t="s">
        <v>59</v>
      </c>
      <c r="B5568" t="s">
        <v>60</v>
      </c>
      <c r="C5568" t="s">
        <v>32</v>
      </c>
      <c r="D5568" t="s">
        <v>771</v>
      </c>
      <c r="E5568" t="s">
        <v>783</v>
      </c>
      <c r="F5568" t="s">
        <v>35</v>
      </c>
      <c r="G5568" t="s">
        <v>35</v>
      </c>
      <c r="H5568" t="s">
        <v>35</v>
      </c>
      <c r="J5568" t="s">
        <v>6072</v>
      </c>
      <c r="K5568" t="s">
        <v>1092</v>
      </c>
      <c r="M5568">
        <v>0.5</v>
      </c>
      <c r="N5568">
        <v>585</v>
      </c>
      <c r="O5568" t="s">
        <v>575</v>
      </c>
      <c r="Q5568" t="s">
        <v>1416</v>
      </c>
      <c r="R5568" t="s">
        <v>844</v>
      </c>
      <c r="S5568" t="s">
        <v>806</v>
      </c>
    </row>
    <row r="5569" spans="1:19" x14ac:dyDescent="0.25">
      <c r="A5569" t="s">
        <v>44</v>
      </c>
      <c r="B5569" t="s">
        <v>51</v>
      </c>
      <c r="C5569" t="s">
        <v>32</v>
      </c>
      <c r="D5569" t="s">
        <v>771</v>
      </c>
      <c r="E5569" t="s">
        <v>783</v>
      </c>
      <c r="F5569" t="s">
        <v>35</v>
      </c>
      <c r="G5569" t="s">
        <v>35</v>
      </c>
      <c r="H5569" t="s">
        <v>35</v>
      </c>
      <c r="J5569" t="s">
        <v>6072</v>
      </c>
      <c r="K5569" t="s">
        <v>1092</v>
      </c>
      <c r="M5569">
        <v>0.75</v>
      </c>
      <c r="N5569">
        <v>331</v>
      </c>
      <c r="O5569" t="s">
        <v>5</v>
      </c>
      <c r="Q5569" t="s">
        <v>6073</v>
      </c>
      <c r="R5569" t="s">
        <v>844</v>
      </c>
      <c r="S5569" t="s">
        <v>806</v>
      </c>
    </row>
    <row r="5570" spans="1:19" x14ac:dyDescent="0.25">
      <c r="A5570" t="s">
        <v>59</v>
      </c>
      <c r="B5570" t="s">
        <v>60</v>
      </c>
      <c r="C5570" t="s">
        <v>32</v>
      </c>
      <c r="D5570" t="s">
        <v>771</v>
      </c>
      <c r="E5570" t="s">
        <v>783</v>
      </c>
      <c r="F5570" t="s">
        <v>35</v>
      </c>
      <c r="G5570" t="s">
        <v>35</v>
      </c>
      <c r="H5570" t="s">
        <v>35</v>
      </c>
      <c r="J5570" t="s">
        <v>6072</v>
      </c>
      <c r="K5570" t="s">
        <v>1092</v>
      </c>
      <c r="M5570">
        <v>0.35</v>
      </c>
      <c r="N5570">
        <v>616</v>
      </c>
      <c r="O5570" t="s">
        <v>575</v>
      </c>
      <c r="Q5570" t="s">
        <v>1849</v>
      </c>
      <c r="R5570" t="s">
        <v>844</v>
      </c>
      <c r="S5570" t="s">
        <v>806</v>
      </c>
    </row>
    <row r="5571" spans="1:19" x14ac:dyDescent="0.25">
      <c r="A5571" t="s">
        <v>59</v>
      </c>
      <c r="B5571" t="s">
        <v>60</v>
      </c>
      <c r="C5571" t="s">
        <v>32</v>
      </c>
      <c r="D5571" t="s">
        <v>771</v>
      </c>
      <c r="E5571" t="s">
        <v>783</v>
      </c>
      <c r="F5571" t="s">
        <v>35</v>
      </c>
      <c r="G5571" t="s">
        <v>35</v>
      </c>
      <c r="H5571" t="s">
        <v>35</v>
      </c>
      <c r="J5571" t="s">
        <v>6072</v>
      </c>
      <c r="K5571" t="s">
        <v>1092</v>
      </c>
      <c r="M5571">
        <v>0.1</v>
      </c>
      <c r="N5571">
        <v>839</v>
      </c>
      <c r="O5571" t="s">
        <v>575</v>
      </c>
      <c r="Q5571" t="s">
        <v>6074</v>
      </c>
      <c r="R5571" t="s">
        <v>844</v>
      </c>
      <c r="S5571" t="s">
        <v>806</v>
      </c>
    </row>
    <row r="5572" spans="1:19" x14ac:dyDescent="0.25">
      <c r="A5572" t="s">
        <v>59</v>
      </c>
      <c r="B5572" t="s">
        <v>31</v>
      </c>
      <c r="C5572" t="s">
        <v>32</v>
      </c>
      <c r="D5572" t="s">
        <v>771</v>
      </c>
      <c r="E5572" t="s">
        <v>783</v>
      </c>
      <c r="F5572" t="s">
        <v>35</v>
      </c>
      <c r="G5572" t="s">
        <v>35</v>
      </c>
      <c r="H5572" t="s">
        <v>35</v>
      </c>
      <c r="J5572" t="s">
        <v>6072</v>
      </c>
      <c r="K5572" t="s">
        <v>1092</v>
      </c>
      <c r="M5572">
        <v>3.0150000000000001</v>
      </c>
      <c r="N5572">
        <v>335</v>
      </c>
      <c r="O5572" t="s">
        <v>5</v>
      </c>
      <c r="Q5572" t="s">
        <v>1306</v>
      </c>
      <c r="R5572" t="s">
        <v>844</v>
      </c>
      <c r="S5572" t="s">
        <v>806</v>
      </c>
    </row>
    <row r="5573" spans="1:19" x14ac:dyDescent="0.25">
      <c r="A5573" t="s">
        <v>59</v>
      </c>
      <c r="B5573" t="s">
        <v>60</v>
      </c>
      <c r="C5573" t="s">
        <v>32</v>
      </c>
      <c r="D5573" t="s">
        <v>771</v>
      </c>
      <c r="E5573" t="s">
        <v>783</v>
      </c>
      <c r="F5573" t="s">
        <v>35</v>
      </c>
      <c r="G5573" t="s">
        <v>35</v>
      </c>
      <c r="H5573" t="s">
        <v>35</v>
      </c>
      <c r="J5573" t="s">
        <v>6072</v>
      </c>
      <c r="K5573" t="s">
        <v>1092</v>
      </c>
      <c r="M5573">
        <v>1.25</v>
      </c>
      <c r="N5573">
        <v>331</v>
      </c>
      <c r="O5573" t="s">
        <v>5</v>
      </c>
      <c r="Q5573" t="s">
        <v>6073</v>
      </c>
      <c r="R5573" t="s">
        <v>844</v>
      </c>
      <c r="S5573" t="s">
        <v>806</v>
      </c>
    </row>
    <row r="5574" spans="1:19" x14ac:dyDescent="0.25">
      <c r="A5574" t="s">
        <v>59</v>
      </c>
      <c r="B5574" t="s">
        <v>60</v>
      </c>
      <c r="C5574" t="s">
        <v>32</v>
      </c>
      <c r="D5574" t="s">
        <v>771</v>
      </c>
      <c r="E5574" t="s">
        <v>783</v>
      </c>
      <c r="F5574" t="s">
        <v>35</v>
      </c>
      <c r="G5574" t="s">
        <v>35</v>
      </c>
      <c r="H5574" t="s">
        <v>35</v>
      </c>
      <c r="J5574" t="s">
        <v>6072</v>
      </c>
      <c r="K5574" t="s">
        <v>1092</v>
      </c>
      <c r="M5574">
        <v>1</v>
      </c>
      <c r="N5574">
        <v>338</v>
      </c>
      <c r="O5574" t="s">
        <v>5</v>
      </c>
      <c r="Q5574" t="s">
        <v>4608</v>
      </c>
      <c r="R5574" t="s">
        <v>844</v>
      </c>
      <c r="S5574" t="s">
        <v>806</v>
      </c>
    </row>
    <row r="5575" spans="1:19" x14ac:dyDescent="0.25">
      <c r="A5575" t="s">
        <v>59</v>
      </c>
      <c r="B5575" t="s">
        <v>60</v>
      </c>
      <c r="C5575" t="s">
        <v>32</v>
      </c>
      <c r="D5575" t="s">
        <v>771</v>
      </c>
      <c r="E5575" t="s">
        <v>783</v>
      </c>
      <c r="F5575" t="s">
        <v>35</v>
      </c>
      <c r="G5575" t="s">
        <v>35</v>
      </c>
      <c r="H5575" t="s">
        <v>35</v>
      </c>
      <c r="J5575" t="s">
        <v>6072</v>
      </c>
      <c r="K5575" t="s">
        <v>1092</v>
      </c>
      <c r="M5575">
        <v>0.5</v>
      </c>
      <c r="N5575">
        <v>662</v>
      </c>
      <c r="O5575" t="s">
        <v>575</v>
      </c>
      <c r="Q5575" t="s">
        <v>6075</v>
      </c>
      <c r="R5575" t="s">
        <v>844</v>
      </c>
      <c r="S5575" t="s">
        <v>806</v>
      </c>
    </row>
    <row r="5576" spans="1:19" x14ac:dyDescent="0.25">
      <c r="A5576" t="s">
        <v>44</v>
      </c>
      <c r="B5576" t="s">
        <v>51</v>
      </c>
      <c r="C5576" t="s">
        <v>32</v>
      </c>
      <c r="D5576" t="s">
        <v>771</v>
      </c>
      <c r="E5576" t="s">
        <v>783</v>
      </c>
      <c r="F5576" t="s">
        <v>35</v>
      </c>
      <c r="G5576" t="s">
        <v>35</v>
      </c>
      <c r="H5576" t="s">
        <v>35</v>
      </c>
      <c r="J5576" t="s">
        <v>6072</v>
      </c>
      <c r="K5576" t="s">
        <v>1092</v>
      </c>
      <c r="M5576">
        <v>0.5</v>
      </c>
      <c r="N5576">
        <v>338</v>
      </c>
      <c r="O5576" t="s">
        <v>5</v>
      </c>
      <c r="Q5576" t="s">
        <v>4608</v>
      </c>
      <c r="R5576" t="s">
        <v>844</v>
      </c>
      <c r="S5576" t="s">
        <v>806</v>
      </c>
    </row>
    <row r="5577" spans="1:19" x14ac:dyDescent="0.25">
      <c r="A5577" t="s">
        <v>44</v>
      </c>
      <c r="B5577" t="s">
        <v>3</v>
      </c>
      <c r="C5577" t="s">
        <v>32</v>
      </c>
      <c r="D5577" t="s">
        <v>771</v>
      </c>
      <c r="E5577" t="s">
        <v>783</v>
      </c>
      <c r="F5577" t="s">
        <v>35</v>
      </c>
      <c r="G5577" t="s">
        <v>35</v>
      </c>
      <c r="H5577" t="s">
        <v>35</v>
      </c>
      <c r="J5577" t="s">
        <v>6072</v>
      </c>
      <c r="K5577" t="s">
        <v>1092</v>
      </c>
      <c r="M5577">
        <v>0.25</v>
      </c>
      <c r="N5577">
        <v>377</v>
      </c>
      <c r="O5577" t="s">
        <v>294</v>
      </c>
      <c r="Q5577" t="s">
        <v>6076</v>
      </c>
      <c r="R5577" t="s">
        <v>844</v>
      </c>
      <c r="S5577" t="s">
        <v>806</v>
      </c>
    </row>
    <row r="5578" spans="1:19" x14ac:dyDescent="0.25">
      <c r="A5578" t="s">
        <v>59</v>
      </c>
      <c r="B5578" t="s">
        <v>60</v>
      </c>
      <c r="C5578" t="s">
        <v>32</v>
      </c>
      <c r="D5578" t="s">
        <v>771</v>
      </c>
      <c r="E5578" t="s">
        <v>783</v>
      </c>
      <c r="F5578" t="s">
        <v>35</v>
      </c>
      <c r="G5578" t="s">
        <v>35</v>
      </c>
      <c r="H5578" t="s">
        <v>35</v>
      </c>
      <c r="J5578" t="s">
        <v>6072</v>
      </c>
      <c r="K5578" t="s">
        <v>1092</v>
      </c>
      <c r="M5578">
        <v>0.25</v>
      </c>
      <c r="N5578">
        <v>377</v>
      </c>
      <c r="O5578" t="s">
        <v>294</v>
      </c>
      <c r="Q5578" t="s">
        <v>6076</v>
      </c>
      <c r="R5578" t="s">
        <v>844</v>
      </c>
      <c r="S5578" t="s">
        <v>806</v>
      </c>
    </row>
    <row r="5579" spans="1:19" x14ac:dyDescent="0.25">
      <c r="A5579" t="s">
        <v>59</v>
      </c>
      <c r="B5579" t="s">
        <v>60</v>
      </c>
      <c r="C5579" t="s">
        <v>32</v>
      </c>
      <c r="D5579" t="s">
        <v>771</v>
      </c>
      <c r="E5579" t="s">
        <v>783</v>
      </c>
      <c r="F5579" t="s">
        <v>35</v>
      </c>
      <c r="G5579" t="s">
        <v>35</v>
      </c>
      <c r="H5579" t="s">
        <v>35</v>
      </c>
      <c r="J5579" t="s">
        <v>6077</v>
      </c>
      <c r="K5579" t="s">
        <v>1092</v>
      </c>
      <c r="M5579">
        <v>1</v>
      </c>
      <c r="N5579">
        <v>1104</v>
      </c>
      <c r="O5579" t="s">
        <v>575</v>
      </c>
      <c r="Q5579" t="s">
        <v>6078</v>
      </c>
      <c r="R5579" t="s">
        <v>6079</v>
      </c>
      <c r="S5579" t="s">
        <v>866</v>
      </c>
    </row>
    <row r="5580" spans="1:19" x14ac:dyDescent="0.25">
      <c r="A5580" t="s">
        <v>59</v>
      </c>
      <c r="B5580" t="s">
        <v>31</v>
      </c>
      <c r="C5580" t="s">
        <v>32</v>
      </c>
      <c r="D5580" t="s">
        <v>771</v>
      </c>
      <c r="E5580" t="s">
        <v>783</v>
      </c>
      <c r="F5580" t="s">
        <v>35</v>
      </c>
      <c r="G5580" t="s">
        <v>35</v>
      </c>
      <c r="H5580" t="s">
        <v>35</v>
      </c>
      <c r="J5580" t="s">
        <v>6080</v>
      </c>
      <c r="K5580" t="s">
        <v>1092</v>
      </c>
      <c r="M5580">
        <v>7.02</v>
      </c>
      <c r="N5580">
        <v>45</v>
      </c>
      <c r="O5580" t="s">
        <v>52</v>
      </c>
      <c r="Q5580" t="s">
        <v>716</v>
      </c>
      <c r="R5580" t="s">
        <v>844</v>
      </c>
      <c r="S5580" t="s">
        <v>806</v>
      </c>
    </row>
    <row r="5581" spans="1:19" x14ac:dyDescent="0.25">
      <c r="A5581" t="s">
        <v>59</v>
      </c>
      <c r="B5581" t="s">
        <v>60</v>
      </c>
      <c r="C5581" t="s">
        <v>32</v>
      </c>
      <c r="D5581" t="s">
        <v>771</v>
      </c>
      <c r="E5581" t="s">
        <v>783</v>
      </c>
      <c r="F5581" t="s">
        <v>35</v>
      </c>
      <c r="G5581" t="s">
        <v>35</v>
      </c>
      <c r="H5581" t="s">
        <v>35</v>
      </c>
      <c r="J5581" t="s">
        <v>6080</v>
      </c>
      <c r="K5581" t="s">
        <v>1092</v>
      </c>
      <c r="M5581">
        <v>2.35</v>
      </c>
      <c r="N5581">
        <v>89</v>
      </c>
      <c r="O5581" t="s">
        <v>61</v>
      </c>
      <c r="Q5581" t="s">
        <v>299</v>
      </c>
      <c r="R5581" t="s">
        <v>844</v>
      </c>
      <c r="S5581" t="s">
        <v>806</v>
      </c>
    </row>
    <row r="5582" spans="1:19" x14ac:dyDescent="0.25">
      <c r="A5582" t="s">
        <v>59</v>
      </c>
      <c r="B5582" t="s">
        <v>31</v>
      </c>
      <c r="C5582" t="s">
        <v>32</v>
      </c>
      <c r="D5582" t="s">
        <v>771</v>
      </c>
      <c r="E5582" t="s">
        <v>783</v>
      </c>
      <c r="F5582" t="s">
        <v>35</v>
      </c>
      <c r="G5582" t="s">
        <v>35</v>
      </c>
      <c r="H5582" t="s">
        <v>35</v>
      </c>
      <c r="J5582" t="s">
        <v>6080</v>
      </c>
      <c r="K5582" t="s">
        <v>1092</v>
      </c>
      <c r="M5582">
        <v>0.63</v>
      </c>
      <c r="N5582">
        <v>89</v>
      </c>
      <c r="O5582" t="s">
        <v>61</v>
      </c>
      <c r="Q5582" t="s">
        <v>299</v>
      </c>
      <c r="R5582" t="s">
        <v>844</v>
      </c>
      <c r="S5582" t="s">
        <v>806</v>
      </c>
    </row>
    <row r="5583" spans="1:19" x14ac:dyDescent="0.25">
      <c r="A5583" t="s">
        <v>44</v>
      </c>
      <c r="B5583" t="s">
        <v>51</v>
      </c>
      <c r="C5583" t="s">
        <v>32</v>
      </c>
      <c r="D5583" t="s">
        <v>771</v>
      </c>
      <c r="E5583" t="s">
        <v>783</v>
      </c>
      <c r="F5583" t="s">
        <v>35</v>
      </c>
      <c r="G5583" t="s">
        <v>35</v>
      </c>
      <c r="H5583" t="s">
        <v>35</v>
      </c>
      <c r="J5583" t="s">
        <v>6080</v>
      </c>
      <c r="K5583" t="s">
        <v>1092</v>
      </c>
      <c r="M5583">
        <v>3</v>
      </c>
      <c r="N5583">
        <v>12</v>
      </c>
      <c r="O5583" t="s">
        <v>46</v>
      </c>
      <c r="Q5583" t="s">
        <v>1865</v>
      </c>
      <c r="R5583" t="s">
        <v>844</v>
      </c>
      <c r="S5583" t="s">
        <v>806</v>
      </c>
    </row>
    <row r="5584" spans="1:19" x14ac:dyDescent="0.25">
      <c r="A5584" t="s">
        <v>30</v>
      </c>
      <c r="B5584" t="s">
        <v>31</v>
      </c>
      <c r="C5584" t="s">
        <v>32</v>
      </c>
      <c r="D5584" t="s">
        <v>771</v>
      </c>
      <c r="E5584" t="s">
        <v>783</v>
      </c>
      <c r="F5584" t="s">
        <v>35</v>
      </c>
      <c r="G5584" t="s">
        <v>35</v>
      </c>
      <c r="H5584" t="s">
        <v>35</v>
      </c>
      <c r="J5584" t="s">
        <v>6080</v>
      </c>
      <c r="K5584" t="s">
        <v>1092</v>
      </c>
      <c r="M5584">
        <v>1.71</v>
      </c>
      <c r="N5584">
        <v>118</v>
      </c>
      <c r="O5584" t="s">
        <v>106</v>
      </c>
      <c r="Q5584" t="s">
        <v>1469</v>
      </c>
      <c r="R5584" t="s">
        <v>844</v>
      </c>
      <c r="S5584" t="s">
        <v>806</v>
      </c>
    </row>
    <row r="5585" spans="1:19" x14ac:dyDescent="0.25">
      <c r="A5585" t="s">
        <v>59</v>
      </c>
      <c r="B5585" t="s">
        <v>31</v>
      </c>
      <c r="C5585" t="s">
        <v>32</v>
      </c>
      <c r="D5585" t="s">
        <v>771</v>
      </c>
      <c r="E5585" t="s">
        <v>783</v>
      </c>
      <c r="F5585" t="s">
        <v>35</v>
      </c>
      <c r="G5585" t="s">
        <v>35</v>
      </c>
      <c r="H5585" t="s">
        <v>35</v>
      </c>
      <c r="J5585" t="s">
        <v>6081</v>
      </c>
      <c r="K5585" t="s">
        <v>1092</v>
      </c>
      <c r="M5585">
        <v>10.484999999999999</v>
      </c>
      <c r="N5585">
        <v>44</v>
      </c>
      <c r="O5585" t="s">
        <v>52</v>
      </c>
      <c r="Q5585" t="s">
        <v>192</v>
      </c>
      <c r="R5585" t="s">
        <v>436</v>
      </c>
      <c r="S5585" t="s">
        <v>437</v>
      </c>
    </row>
    <row r="5586" spans="1:19" x14ac:dyDescent="0.25">
      <c r="A5586" t="s">
        <v>30</v>
      </c>
      <c r="B5586" t="s">
        <v>31</v>
      </c>
      <c r="C5586" t="s">
        <v>32</v>
      </c>
      <c r="D5586" t="s">
        <v>771</v>
      </c>
      <c r="E5586" t="s">
        <v>783</v>
      </c>
      <c r="F5586" t="s">
        <v>35</v>
      </c>
      <c r="G5586" t="s">
        <v>35</v>
      </c>
      <c r="H5586" t="s">
        <v>35</v>
      </c>
      <c r="J5586" t="s">
        <v>6082</v>
      </c>
      <c r="K5586" t="s">
        <v>1092</v>
      </c>
      <c r="M5586">
        <v>0.13500000000000001</v>
      </c>
      <c r="N5586">
        <v>186</v>
      </c>
      <c r="O5586" t="s">
        <v>5</v>
      </c>
      <c r="Q5586" t="s">
        <v>1363</v>
      </c>
      <c r="R5586" t="s">
        <v>6083</v>
      </c>
      <c r="S5586" t="s">
        <v>6084</v>
      </c>
    </row>
    <row r="5587" spans="1:19" x14ac:dyDescent="0.25">
      <c r="A5587" t="s">
        <v>59</v>
      </c>
      <c r="B5587" t="s">
        <v>31</v>
      </c>
      <c r="C5587" t="s">
        <v>32</v>
      </c>
      <c r="D5587" t="s">
        <v>771</v>
      </c>
      <c r="E5587" t="s">
        <v>783</v>
      </c>
      <c r="F5587" t="s">
        <v>35</v>
      </c>
      <c r="G5587" t="s">
        <v>35</v>
      </c>
      <c r="H5587" t="s">
        <v>35</v>
      </c>
      <c r="J5587" t="s">
        <v>6086</v>
      </c>
      <c r="K5587" t="s">
        <v>1092</v>
      </c>
      <c r="M5587">
        <v>1.0349999999999999</v>
      </c>
      <c r="N5587">
        <v>153</v>
      </c>
      <c r="O5587" t="s">
        <v>38</v>
      </c>
      <c r="Q5587" t="s">
        <v>569</v>
      </c>
      <c r="R5587" t="s">
        <v>6048</v>
      </c>
      <c r="S5587" t="s">
        <v>833</v>
      </c>
    </row>
    <row r="5588" spans="1:19" x14ac:dyDescent="0.25">
      <c r="A5588" t="s">
        <v>30</v>
      </c>
      <c r="B5588" t="s">
        <v>31</v>
      </c>
      <c r="C5588" t="s">
        <v>32</v>
      </c>
      <c r="D5588" t="s">
        <v>771</v>
      </c>
      <c r="E5588" t="s">
        <v>783</v>
      </c>
      <c r="F5588" t="s">
        <v>35</v>
      </c>
      <c r="G5588" t="s">
        <v>35</v>
      </c>
      <c r="H5588" t="s">
        <v>35</v>
      </c>
      <c r="J5588" t="s">
        <v>6086</v>
      </c>
      <c r="K5588" t="s">
        <v>1092</v>
      </c>
      <c r="M5588">
        <v>0.63</v>
      </c>
      <c r="N5588">
        <v>113</v>
      </c>
      <c r="O5588" t="s">
        <v>106</v>
      </c>
      <c r="Q5588" t="s">
        <v>6066</v>
      </c>
      <c r="R5588" t="s">
        <v>6048</v>
      </c>
      <c r="S5588" t="s">
        <v>833</v>
      </c>
    </row>
    <row r="5589" spans="1:19" x14ac:dyDescent="0.25">
      <c r="A5589" t="s">
        <v>59</v>
      </c>
      <c r="B5589" t="s">
        <v>60</v>
      </c>
      <c r="C5589" t="s">
        <v>32</v>
      </c>
      <c r="D5589" t="s">
        <v>771</v>
      </c>
      <c r="E5589" t="s">
        <v>783</v>
      </c>
      <c r="F5589" t="s">
        <v>35</v>
      </c>
      <c r="G5589" t="s">
        <v>35</v>
      </c>
      <c r="H5589" t="s">
        <v>35</v>
      </c>
      <c r="J5589" t="s">
        <v>6087</v>
      </c>
      <c r="K5589" t="s">
        <v>1092</v>
      </c>
      <c r="M5589">
        <v>0.6</v>
      </c>
      <c r="N5589">
        <v>89</v>
      </c>
      <c r="O5589" t="s">
        <v>61</v>
      </c>
      <c r="Q5589" t="s">
        <v>299</v>
      </c>
      <c r="R5589" t="s">
        <v>844</v>
      </c>
      <c r="S5589" t="s">
        <v>806</v>
      </c>
    </row>
    <row r="5590" spans="1:19" x14ac:dyDescent="0.25">
      <c r="A5590" t="s">
        <v>59</v>
      </c>
      <c r="B5590" t="s">
        <v>60</v>
      </c>
      <c r="C5590" t="s">
        <v>32</v>
      </c>
      <c r="D5590" t="s">
        <v>771</v>
      </c>
      <c r="E5590" t="s">
        <v>783</v>
      </c>
      <c r="F5590" t="s">
        <v>35</v>
      </c>
      <c r="G5590" t="s">
        <v>35</v>
      </c>
      <c r="H5590" t="s">
        <v>35</v>
      </c>
      <c r="J5590" t="s">
        <v>8258</v>
      </c>
      <c r="K5590" t="s">
        <v>1092</v>
      </c>
      <c r="M5590">
        <v>1</v>
      </c>
      <c r="N5590">
        <v>12</v>
      </c>
      <c r="O5590" t="s">
        <v>46</v>
      </c>
      <c r="Q5590" t="s">
        <v>1865</v>
      </c>
      <c r="R5590" t="s">
        <v>844</v>
      </c>
      <c r="S5590" t="s">
        <v>806</v>
      </c>
    </row>
    <row r="5591" spans="1:19" x14ac:dyDescent="0.25">
      <c r="A5591" t="s">
        <v>30</v>
      </c>
      <c r="B5591" t="s">
        <v>31</v>
      </c>
      <c r="C5591" t="s">
        <v>32</v>
      </c>
      <c r="D5591" t="s">
        <v>771</v>
      </c>
      <c r="E5591" t="s">
        <v>783</v>
      </c>
      <c r="F5591" t="s">
        <v>35</v>
      </c>
      <c r="G5591" t="s">
        <v>35</v>
      </c>
      <c r="H5591" t="s">
        <v>35</v>
      </c>
      <c r="J5591" t="s">
        <v>6088</v>
      </c>
      <c r="K5591" t="s">
        <v>1092</v>
      </c>
      <c r="M5591">
        <v>3.0150000000000001</v>
      </c>
      <c r="N5591">
        <v>45</v>
      </c>
      <c r="O5591" t="s">
        <v>52</v>
      </c>
      <c r="Q5591" t="s">
        <v>716</v>
      </c>
      <c r="R5591" t="s">
        <v>6011</v>
      </c>
      <c r="S5591" t="s">
        <v>780</v>
      </c>
    </row>
    <row r="5592" spans="1:19" x14ac:dyDescent="0.25">
      <c r="A5592" t="s">
        <v>30</v>
      </c>
      <c r="B5592" t="s">
        <v>31</v>
      </c>
      <c r="C5592" t="s">
        <v>32</v>
      </c>
      <c r="D5592" t="s">
        <v>771</v>
      </c>
      <c r="E5592" t="s">
        <v>783</v>
      </c>
      <c r="F5592" t="s">
        <v>35</v>
      </c>
      <c r="G5592" t="s">
        <v>35</v>
      </c>
      <c r="H5592" t="s">
        <v>35</v>
      </c>
      <c r="J5592" t="s">
        <v>6089</v>
      </c>
      <c r="K5592" t="s">
        <v>1092</v>
      </c>
      <c r="M5592">
        <v>0.36</v>
      </c>
      <c r="N5592">
        <v>117</v>
      </c>
      <c r="O5592" t="s">
        <v>106</v>
      </c>
      <c r="Q5592" t="s">
        <v>3342</v>
      </c>
      <c r="R5592" t="s">
        <v>6090</v>
      </c>
      <c r="S5592" t="s">
        <v>6091</v>
      </c>
    </row>
    <row r="5593" spans="1:19" x14ac:dyDescent="0.25">
      <c r="A5593" t="s">
        <v>44</v>
      </c>
      <c r="B5593" t="s">
        <v>51</v>
      </c>
      <c r="C5593" t="s">
        <v>32</v>
      </c>
      <c r="D5593" t="s">
        <v>771</v>
      </c>
      <c r="E5593" t="s">
        <v>6093</v>
      </c>
      <c r="F5593" t="s">
        <v>35</v>
      </c>
      <c r="G5593" t="s">
        <v>35</v>
      </c>
      <c r="H5593" t="s">
        <v>35</v>
      </c>
      <c r="J5593" t="s">
        <v>6094</v>
      </c>
      <c r="K5593" t="s">
        <v>1092</v>
      </c>
      <c r="M5593">
        <v>0.1</v>
      </c>
      <c r="N5593">
        <v>143</v>
      </c>
      <c r="O5593" t="s">
        <v>38</v>
      </c>
      <c r="Q5593" t="s">
        <v>2121</v>
      </c>
      <c r="R5593" t="s">
        <v>849</v>
      </c>
      <c r="S5593" t="s">
        <v>850</v>
      </c>
    </row>
    <row r="5594" spans="1:19" x14ac:dyDescent="0.25">
      <c r="A5594" t="s">
        <v>59</v>
      </c>
      <c r="B5594" t="s">
        <v>31</v>
      </c>
      <c r="C5594" t="s">
        <v>32</v>
      </c>
      <c r="D5594" t="s">
        <v>771</v>
      </c>
      <c r="E5594" t="s">
        <v>6093</v>
      </c>
      <c r="F5594" t="s">
        <v>35</v>
      </c>
      <c r="G5594" t="s">
        <v>35</v>
      </c>
      <c r="H5594" t="s">
        <v>35</v>
      </c>
      <c r="J5594" t="s">
        <v>6095</v>
      </c>
      <c r="K5594" t="s">
        <v>1092</v>
      </c>
      <c r="M5594">
        <v>7.02</v>
      </c>
      <c r="N5594">
        <v>91</v>
      </c>
      <c r="O5594" t="s">
        <v>106</v>
      </c>
      <c r="Q5594" t="s">
        <v>1147</v>
      </c>
      <c r="R5594" t="s">
        <v>934</v>
      </c>
      <c r="S5594" t="s">
        <v>935</v>
      </c>
    </row>
    <row r="5595" spans="1:19" x14ac:dyDescent="0.25">
      <c r="A5595" t="s">
        <v>30</v>
      </c>
      <c r="B5595" t="s">
        <v>31</v>
      </c>
      <c r="C5595" t="s">
        <v>32</v>
      </c>
      <c r="D5595" t="s">
        <v>771</v>
      </c>
      <c r="E5595" t="s">
        <v>6093</v>
      </c>
      <c r="F5595" t="s">
        <v>35</v>
      </c>
      <c r="G5595" t="s">
        <v>35</v>
      </c>
      <c r="H5595" t="s">
        <v>35</v>
      </c>
      <c r="J5595" t="s">
        <v>6095</v>
      </c>
      <c r="K5595" t="s">
        <v>1092</v>
      </c>
      <c r="M5595">
        <v>11.07</v>
      </c>
      <c r="N5595">
        <v>46</v>
      </c>
      <c r="O5595" t="s">
        <v>52</v>
      </c>
      <c r="Q5595" t="s">
        <v>493</v>
      </c>
      <c r="R5595" t="s">
        <v>6096</v>
      </c>
      <c r="S5595" t="s">
        <v>6097</v>
      </c>
    </row>
    <row r="5596" spans="1:19" x14ac:dyDescent="0.25">
      <c r="A5596" t="s">
        <v>59</v>
      </c>
      <c r="B5596" t="s">
        <v>60</v>
      </c>
      <c r="C5596" t="s">
        <v>32</v>
      </c>
      <c r="D5596" t="s">
        <v>771</v>
      </c>
      <c r="E5596" t="s">
        <v>6093</v>
      </c>
      <c r="F5596" t="s">
        <v>35</v>
      </c>
      <c r="G5596" t="s">
        <v>35</v>
      </c>
      <c r="H5596" t="s">
        <v>35</v>
      </c>
      <c r="J5596" t="s">
        <v>6095</v>
      </c>
      <c r="K5596" t="s">
        <v>1092</v>
      </c>
      <c r="M5596">
        <v>10</v>
      </c>
      <c r="N5596">
        <v>88</v>
      </c>
      <c r="O5596" t="s">
        <v>61</v>
      </c>
      <c r="Q5596" t="s">
        <v>858</v>
      </c>
      <c r="R5596" t="s">
        <v>6096</v>
      </c>
      <c r="S5596" t="s">
        <v>6097</v>
      </c>
    </row>
    <row r="5597" spans="1:19" x14ac:dyDescent="0.25">
      <c r="A5597" t="s">
        <v>59</v>
      </c>
      <c r="B5597" t="s">
        <v>31</v>
      </c>
      <c r="C5597" t="s">
        <v>32</v>
      </c>
      <c r="D5597" t="s">
        <v>771</v>
      </c>
      <c r="E5597" t="s">
        <v>6093</v>
      </c>
      <c r="F5597" t="s">
        <v>35</v>
      </c>
      <c r="G5597" t="s">
        <v>35</v>
      </c>
      <c r="H5597" t="s">
        <v>35</v>
      </c>
      <c r="J5597" t="s">
        <v>6095</v>
      </c>
      <c r="K5597" t="s">
        <v>1092</v>
      </c>
      <c r="M5597">
        <v>2.1150000000000002</v>
      </c>
      <c r="N5597">
        <v>88</v>
      </c>
      <c r="O5597" t="s">
        <v>61</v>
      </c>
      <c r="Q5597" t="s">
        <v>858</v>
      </c>
      <c r="R5597" t="s">
        <v>6096</v>
      </c>
      <c r="S5597" t="s">
        <v>6097</v>
      </c>
    </row>
    <row r="5598" spans="1:19" x14ac:dyDescent="0.25">
      <c r="A5598" t="s">
        <v>44</v>
      </c>
      <c r="B5598" t="s">
        <v>51</v>
      </c>
      <c r="C5598" t="s">
        <v>32</v>
      </c>
      <c r="D5598" t="s">
        <v>771</v>
      </c>
      <c r="E5598" t="s">
        <v>6093</v>
      </c>
      <c r="F5598" t="s">
        <v>35</v>
      </c>
      <c r="G5598" t="s">
        <v>35</v>
      </c>
      <c r="H5598" t="s">
        <v>35</v>
      </c>
      <c r="J5598" t="s">
        <v>6095</v>
      </c>
      <c r="K5598" t="s">
        <v>1092</v>
      </c>
      <c r="M5598">
        <v>10</v>
      </c>
      <c r="N5598">
        <v>82</v>
      </c>
      <c r="O5598" t="s">
        <v>61</v>
      </c>
      <c r="Q5598" t="s">
        <v>447</v>
      </c>
      <c r="R5598" t="s">
        <v>934</v>
      </c>
      <c r="S5598" t="s">
        <v>935</v>
      </c>
    </row>
    <row r="5599" spans="1:19" x14ac:dyDescent="0.25">
      <c r="A5599" t="s">
        <v>59</v>
      </c>
      <c r="B5599" t="s">
        <v>60</v>
      </c>
      <c r="C5599" t="s">
        <v>32</v>
      </c>
      <c r="D5599" t="s">
        <v>771</v>
      </c>
      <c r="E5599" t="s">
        <v>6093</v>
      </c>
      <c r="F5599" t="s">
        <v>35</v>
      </c>
      <c r="G5599" t="s">
        <v>35</v>
      </c>
      <c r="H5599" t="s">
        <v>35</v>
      </c>
      <c r="J5599" t="s">
        <v>6099</v>
      </c>
      <c r="K5599" t="s">
        <v>1092</v>
      </c>
      <c r="M5599">
        <v>1.7</v>
      </c>
      <c r="N5599">
        <v>90</v>
      </c>
      <c r="O5599" t="s">
        <v>61</v>
      </c>
      <c r="Q5599" t="s">
        <v>897</v>
      </c>
      <c r="R5599" t="s">
        <v>6100</v>
      </c>
      <c r="S5599" t="s">
        <v>947</v>
      </c>
    </row>
    <row r="5600" spans="1:19" x14ac:dyDescent="0.25">
      <c r="A5600" t="s">
        <v>59</v>
      </c>
      <c r="B5600" t="s">
        <v>60</v>
      </c>
      <c r="C5600" t="s">
        <v>32</v>
      </c>
      <c r="D5600" t="s">
        <v>771</v>
      </c>
      <c r="E5600" t="s">
        <v>6093</v>
      </c>
      <c r="F5600" t="s">
        <v>35</v>
      </c>
      <c r="G5600" t="s">
        <v>35</v>
      </c>
      <c r="H5600" t="s">
        <v>35</v>
      </c>
      <c r="J5600" t="s">
        <v>6099</v>
      </c>
      <c r="K5600" t="s">
        <v>1092</v>
      </c>
      <c r="M5600">
        <v>7</v>
      </c>
      <c r="N5600">
        <v>46</v>
      </c>
      <c r="O5600" t="s">
        <v>52</v>
      </c>
      <c r="Q5600" t="s">
        <v>493</v>
      </c>
      <c r="R5600" t="s">
        <v>6100</v>
      </c>
      <c r="S5600" t="s">
        <v>947</v>
      </c>
    </row>
    <row r="5601" spans="1:19" x14ac:dyDescent="0.25">
      <c r="A5601" t="s">
        <v>30</v>
      </c>
      <c r="B5601" t="s">
        <v>31</v>
      </c>
      <c r="C5601" t="s">
        <v>32</v>
      </c>
      <c r="D5601" t="s">
        <v>771</v>
      </c>
      <c r="E5601" t="s">
        <v>6093</v>
      </c>
      <c r="F5601" t="s">
        <v>35</v>
      </c>
      <c r="G5601" t="s">
        <v>35</v>
      </c>
      <c r="H5601" t="s">
        <v>35</v>
      </c>
      <c r="J5601" t="s">
        <v>6101</v>
      </c>
      <c r="K5601" t="s">
        <v>1092</v>
      </c>
      <c r="M5601">
        <v>7.02</v>
      </c>
      <c r="N5601">
        <v>48</v>
      </c>
      <c r="O5601" t="s">
        <v>52</v>
      </c>
      <c r="Q5601" t="s">
        <v>496</v>
      </c>
      <c r="R5601" t="s">
        <v>919</v>
      </c>
      <c r="S5601" t="s">
        <v>784</v>
      </c>
    </row>
    <row r="5602" spans="1:19" x14ac:dyDescent="0.25">
      <c r="A5602" t="s">
        <v>59</v>
      </c>
      <c r="B5602" t="s">
        <v>60</v>
      </c>
      <c r="C5602" t="s">
        <v>32</v>
      </c>
      <c r="D5602" t="s">
        <v>771</v>
      </c>
      <c r="E5602" t="s">
        <v>6093</v>
      </c>
      <c r="F5602" t="s">
        <v>35</v>
      </c>
      <c r="G5602" t="s">
        <v>35</v>
      </c>
      <c r="H5602" t="s">
        <v>35</v>
      </c>
      <c r="J5602" t="s">
        <v>6102</v>
      </c>
      <c r="K5602" t="s">
        <v>1092</v>
      </c>
      <c r="M5602">
        <v>2.5</v>
      </c>
      <c r="N5602">
        <v>153</v>
      </c>
      <c r="O5602" t="s">
        <v>38</v>
      </c>
      <c r="Q5602" t="s">
        <v>569</v>
      </c>
      <c r="R5602" t="s">
        <v>844</v>
      </c>
      <c r="S5602" t="s">
        <v>806</v>
      </c>
    </row>
    <row r="5603" spans="1:19" x14ac:dyDescent="0.25">
      <c r="A5603" t="s">
        <v>30</v>
      </c>
      <c r="B5603" t="s">
        <v>31</v>
      </c>
      <c r="C5603" t="s">
        <v>32</v>
      </c>
      <c r="D5603" t="s">
        <v>771</v>
      </c>
      <c r="E5603" t="s">
        <v>6093</v>
      </c>
      <c r="F5603" t="s">
        <v>35</v>
      </c>
      <c r="G5603" t="s">
        <v>35</v>
      </c>
      <c r="H5603" t="s">
        <v>35</v>
      </c>
      <c r="J5603" t="s">
        <v>6104</v>
      </c>
      <c r="K5603" t="s">
        <v>1092</v>
      </c>
      <c r="M5603">
        <v>1.98</v>
      </c>
      <c r="N5603">
        <v>47</v>
      </c>
      <c r="O5603" t="s">
        <v>52</v>
      </c>
      <c r="Q5603" t="s">
        <v>132</v>
      </c>
      <c r="R5603" t="s">
        <v>436</v>
      </c>
      <c r="S5603" t="s">
        <v>437</v>
      </c>
    </row>
    <row r="5604" spans="1:19" x14ac:dyDescent="0.25">
      <c r="A5604" t="s">
        <v>59</v>
      </c>
      <c r="B5604" t="s">
        <v>60</v>
      </c>
      <c r="C5604" t="s">
        <v>32</v>
      </c>
      <c r="D5604" t="s">
        <v>771</v>
      </c>
      <c r="E5604" t="s">
        <v>6093</v>
      </c>
      <c r="F5604" t="s">
        <v>35</v>
      </c>
      <c r="G5604" t="s">
        <v>35</v>
      </c>
      <c r="H5604" t="s">
        <v>35</v>
      </c>
      <c r="J5604" t="s">
        <v>6104</v>
      </c>
      <c r="K5604" t="s">
        <v>1092</v>
      </c>
      <c r="M5604">
        <v>2.15</v>
      </c>
      <c r="N5604">
        <v>88</v>
      </c>
      <c r="O5604" t="s">
        <v>61</v>
      </c>
      <c r="Q5604" t="s">
        <v>858</v>
      </c>
      <c r="R5604" t="s">
        <v>6096</v>
      </c>
      <c r="S5604" t="s">
        <v>6097</v>
      </c>
    </row>
    <row r="5605" spans="1:19" x14ac:dyDescent="0.25">
      <c r="A5605" t="s">
        <v>30</v>
      </c>
      <c r="B5605" t="s">
        <v>31</v>
      </c>
      <c r="C5605" t="s">
        <v>32</v>
      </c>
      <c r="D5605" t="s">
        <v>771</v>
      </c>
      <c r="E5605" t="s">
        <v>6093</v>
      </c>
      <c r="F5605" t="s">
        <v>35</v>
      </c>
      <c r="G5605" t="s">
        <v>35</v>
      </c>
      <c r="H5605" t="s">
        <v>35</v>
      </c>
      <c r="J5605" t="s">
        <v>6104</v>
      </c>
      <c r="K5605" t="s">
        <v>1092</v>
      </c>
      <c r="M5605">
        <v>1.665</v>
      </c>
      <c r="N5605">
        <v>108</v>
      </c>
      <c r="O5605" t="s">
        <v>106</v>
      </c>
      <c r="Q5605" t="s">
        <v>1450</v>
      </c>
      <c r="R5605" t="s">
        <v>436</v>
      </c>
      <c r="S5605" t="s">
        <v>437</v>
      </c>
    </row>
    <row r="5606" spans="1:19" x14ac:dyDescent="0.25">
      <c r="A5606" t="s">
        <v>59</v>
      </c>
      <c r="B5606" t="s">
        <v>60</v>
      </c>
      <c r="C5606" t="s">
        <v>32</v>
      </c>
      <c r="D5606" t="s">
        <v>771</v>
      </c>
      <c r="E5606" t="s">
        <v>6093</v>
      </c>
      <c r="F5606" t="s">
        <v>35</v>
      </c>
      <c r="G5606" t="s">
        <v>35</v>
      </c>
      <c r="H5606" t="s">
        <v>35</v>
      </c>
      <c r="J5606" t="s">
        <v>6105</v>
      </c>
      <c r="K5606" t="s">
        <v>1144</v>
      </c>
      <c r="M5606">
        <v>8</v>
      </c>
      <c r="N5606">
        <v>44</v>
      </c>
      <c r="O5606" t="s">
        <v>52</v>
      </c>
      <c r="Q5606" t="s">
        <v>192</v>
      </c>
      <c r="R5606" t="s">
        <v>6106</v>
      </c>
      <c r="S5606" t="s">
        <v>6107</v>
      </c>
    </row>
    <row r="5607" spans="1:19" x14ac:dyDescent="0.25">
      <c r="A5607" t="s">
        <v>44</v>
      </c>
      <c r="B5607" t="s">
        <v>51</v>
      </c>
      <c r="C5607" t="s">
        <v>32</v>
      </c>
      <c r="D5607" t="s">
        <v>771</v>
      </c>
      <c r="E5607" t="s">
        <v>6093</v>
      </c>
      <c r="F5607" t="s">
        <v>35</v>
      </c>
      <c r="G5607" t="s">
        <v>35</v>
      </c>
      <c r="H5607" t="s">
        <v>35</v>
      </c>
      <c r="J5607" t="s">
        <v>6105</v>
      </c>
      <c r="K5607" t="s">
        <v>1144</v>
      </c>
      <c r="M5607">
        <v>3.15</v>
      </c>
      <c r="N5607">
        <v>46</v>
      </c>
      <c r="O5607" t="s">
        <v>52</v>
      </c>
      <c r="Q5607" t="s">
        <v>493</v>
      </c>
      <c r="R5607" t="s">
        <v>919</v>
      </c>
      <c r="S5607" t="s">
        <v>784</v>
      </c>
    </row>
    <row r="5608" spans="1:19" x14ac:dyDescent="0.25">
      <c r="A5608" t="s">
        <v>30</v>
      </c>
      <c r="B5608" t="s">
        <v>31</v>
      </c>
      <c r="C5608" t="s">
        <v>32</v>
      </c>
      <c r="D5608" t="s">
        <v>771</v>
      </c>
      <c r="E5608" t="s">
        <v>6093</v>
      </c>
      <c r="F5608" t="s">
        <v>35</v>
      </c>
      <c r="G5608" t="s">
        <v>35</v>
      </c>
      <c r="H5608" t="s">
        <v>35</v>
      </c>
      <c r="J5608" t="s">
        <v>6109</v>
      </c>
      <c r="K5608" t="s">
        <v>1092</v>
      </c>
      <c r="M5608">
        <v>6.3449999999999998</v>
      </c>
      <c r="N5608">
        <v>41</v>
      </c>
      <c r="O5608" t="s">
        <v>52</v>
      </c>
      <c r="Q5608" t="s">
        <v>249</v>
      </c>
      <c r="R5608" t="s">
        <v>849</v>
      </c>
      <c r="S5608" t="s">
        <v>850</v>
      </c>
    </row>
    <row r="5609" spans="1:19" x14ac:dyDescent="0.25">
      <c r="A5609" t="s">
        <v>59</v>
      </c>
      <c r="B5609" t="s">
        <v>60</v>
      </c>
      <c r="C5609" t="s">
        <v>32</v>
      </c>
      <c r="D5609" t="s">
        <v>771</v>
      </c>
      <c r="E5609" t="s">
        <v>6093</v>
      </c>
      <c r="F5609" t="s">
        <v>35</v>
      </c>
      <c r="G5609" t="s">
        <v>35</v>
      </c>
      <c r="H5609" t="s">
        <v>35</v>
      </c>
      <c r="J5609" t="s">
        <v>6110</v>
      </c>
      <c r="K5609" t="s">
        <v>1092</v>
      </c>
      <c r="M5609">
        <v>1.75</v>
      </c>
      <c r="N5609">
        <v>47</v>
      </c>
      <c r="O5609" t="s">
        <v>52</v>
      </c>
      <c r="Q5609" t="s">
        <v>132</v>
      </c>
      <c r="R5609" t="s">
        <v>6050</v>
      </c>
      <c r="S5609" t="s">
        <v>872</v>
      </c>
    </row>
    <row r="5610" spans="1:19" x14ac:dyDescent="0.25">
      <c r="A5610" t="s">
        <v>59</v>
      </c>
      <c r="B5610" t="s">
        <v>60</v>
      </c>
      <c r="C5610" t="s">
        <v>32</v>
      </c>
      <c r="D5610" t="s">
        <v>771</v>
      </c>
      <c r="E5610" t="s">
        <v>6093</v>
      </c>
      <c r="F5610" t="s">
        <v>35</v>
      </c>
      <c r="G5610" t="s">
        <v>35</v>
      </c>
      <c r="H5610" t="s">
        <v>35</v>
      </c>
      <c r="J5610" t="s">
        <v>2376</v>
      </c>
      <c r="K5610" t="s">
        <v>1092</v>
      </c>
      <c r="M5610">
        <v>4</v>
      </c>
      <c r="N5610">
        <v>46</v>
      </c>
      <c r="O5610" t="s">
        <v>52</v>
      </c>
      <c r="Q5610" t="s">
        <v>493</v>
      </c>
      <c r="R5610" t="s">
        <v>934</v>
      </c>
      <c r="S5610" t="s">
        <v>935</v>
      </c>
    </row>
    <row r="5611" spans="1:19" x14ac:dyDescent="0.25">
      <c r="A5611" t="s">
        <v>30</v>
      </c>
      <c r="B5611" t="s">
        <v>31</v>
      </c>
      <c r="C5611" t="s">
        <v>32</v>
      </c>
      <c r="D5611" t="s">
        <v>771</v>
      </c>
      <c r="E5611" t="s">
        <v>6093</v>
      </c>
      <c r="F5611" t="s">
        <v>35</v>
      </c>
      <c r="G5611" t="s">
        <v>35</v>
      </c>
      <c r="H5611" t="s">
        <v>35</v>
      </c>
      <c r="J5611" t="s">
        <v>6111</v>
      </c>
      <c r="K5611" t="s">
        <v>1092</v>
      </c>
      <c r="M5611">
        <v>3.87</v>
      </c>
      <c r="N5611">
        <v>238</v>
      </c>
      <c r="O5611" t="s">
        <v>5</v>
      </c>
      <c r="Q5611" t="s">
        <v>933</v>
      </c>
      <c r="R5611" t="s">
        <v>934</v>
      </c>
      <c r="S5611" t="s">
        <v>935</v>
      </c>
    </row>
    <row r="5612" spans="1:19" x14ac:dyDescent="0.25">
      <c r="A5612" t="s">
        <v>59</v>
      </c>
      <c r="B5612" t="s">
        <v>31</v>
      </c>
      <c r="C5612" t="s">
        <v>32</v>
      </c>
      <c r="D5612" t="s">
        <v>771</v>
      </c>
      <c r="E5612" t="s">
        <v>6093</v>
      </c>
      <c r="F5612" t="s">
        <v>35</v>
      </c>
      <c r="G5612" t="s">
        <v>35</v>
      </c>
      <c r="H5612" t="s">
        <v>35</v>
      </c>
      <c r="J5612" t="s">
        <v>6112</v>
      </c>
      <c r="K5612" t="s">
        <v>1092</v>
      </c>
      <c r="M5612">
        <v>0.81</v>
      </c>
      <c r="N5612">
        <v>1452</v>
      </c>
      <c r="O5612" t="s">
        <v>575</v>
      </c>
      <c r="Q5612" t="s">
        <v>6115</v>
      </c>
      <c r="R5612" t="s">
        <v>6022</v>
      </c>
      <c r="S5612" t="s">
        <v>937</v>
      </c>
    </row>
    <row r="5613" spans="1:19" x14ac:dyDescent="0.25">
      <c r="A5613" t="s">
        <v>59</v>
      </c>
      <c r="B5613" t="s">
        <v>60</v>
      </c>
      <c r="C5613" t="s">
        <v>32</v>
      </c>
      <c r="D5613" t="s">
        <v>771</v>
      </c>
      <c r="E5613" t="s">
        <v>6093</v>
      </c>
      <c r="F5613" t="s">
        <v>35</v>
      </c>
      <c r="G5613" t="s">
        <v>35</v>
      </c>
      <c r="H5613" t="s">
        <v>35</v>
      </c>
      <c r="J5613" t="s">
        <v>6112</v>
      </c>
      <c r="K5613" t="s">
        <v>1092</v>
      </c>
      <c r="M5613">
        <v>1</v>
      </c>
      <c r="N5613">
        <v>553</v>
      </c>
      <c r="O5613" t="s">
        <v>575</v>
      </c>
      <c r="Q5613" t="s">
        <v>5345</v>
      </c>
      <c r="R5613" t="s">
        <v>6113</v>
      </c>
      <c r="S5613" t="s">
        <v>6114</v>
      </c>
    </row>
    <row r="5614" spans="1:19" x14ac:dyDescent="0.25">
      <c r="A5614" t="s">
        <v>30</v>
      </c>
      <c r="B5614" t="s">
        <v>31</v>
      </c>
      <c r="C5614" t="s">
        <v>32</v>
      </c>
      <c r="D5614" t="s">
        <v>771</v>
      </c>
      <c r="E5614" t="s">
        <v>6093</v>
      </c>
      <c r="F5614" t="s">
        <v>35</v>
      </c>
      <c r="G5614" t="s">
        <v>35</v>
      </c>
      <c r="H5614" t="s">
        <v>35</v>
      </c>
      <c r="J5614" t="s">
        <v>6116</v>
      </c>
      <c r="K5614" t="s">
        <v>1092</v>
      </c>
      <c r="M5614">
        <v>7.02</v>
      </c>
      <c r="N5614">
        <v>49</v>
      </c>
      <c r="O5614" t="s">
        <v>52</v>
      </c>
      <c r="Q5614" t="s">
        <v>219</v>
      </c>
      <c r="R5614" t="s">
        <v>6100</v>
      </c>
      <c r="S5614" t="s">
        <v>947</v>
      </c>
    </row>
    <row r="5615" spans="1:19" x14ac:dyDescent="0.25">
      <c r="A5615" t="s">
        <v>30</v>
      </c>
      <c r="B5615" t="s">
        <v>31</v>
      </c>
      <c r="C5615" t="s">
        <v>32</v>
      </c>
      <c r="D5615" t="s">
        <v>771</v>
      </c>
      <c r="E5615" t="s">
        <v>6093</v>
      </c>
      <c r="F5615" t="s">
        <v>35</v>
      </c>
      <c r="G5615" t="s">
        <v>35</v>
      </c>
      <c r="H5615" t="s">
        <v>35</v>
      </c>
      <c r="J5615" t="s">
        <v>6117</v>
      </c>
      <c r="K5615" t="s">
        <v>1092</v>
      </c>
      <c r="M5615">
        <v>6.5250000000000004</v>
      </c>
      <c r="N5615">
        <v>326</v>
      </c>
      <c r="O5615" t="s">
        <v>5</v>
      </c>
      <c r="Q5615" t="s">
        <v>6118</v>
      </c>
      <c r="R5615" t="s">
        <v>6119</v>
      </c>
      <c r="S5615" t="s">
        <v>6120</v>
      </c>
    </row>
    <row r="5616" spans="1:19" x14ac:dyDescent="0.25">
      <c r="A5616" t="s">
        <v>59</v>
      </c>
      <c r="B5616" t="s">
        <v>60</v>
      </c>
      <c r="C5616" t="s">
        <v>32</v>
      </c>
      <c r="D5616" t="s">
        <v>771</v>
      </c>
      <c r="E5616" t="s">
        <v>6093</v>
      </c>
      <c r="F5616" t="s">
        <v>35</v>
      </c>
      <c r="G5616" t="s">
        <v>35</v>
      </c>
      <c r="H5616" t="s">
        <v>35</v>
      </c>
      <c r="J5616" t="s">
        <v>6117</v>
      </c>
      <c r="K5616" t="s">
        <v>1092</v>
      </c>
      <c r="M5616">
        <v>3.25</v>
      </c>
      <c r="N5616">
        <v>326</v>
      </c>
      <c r="O5616" t="s">
        <v>5</v>
      </c>
      <c r="Q5616" t="s">
        <v>6118</v>
      </c>
      <c r="R5616" t="s">
        <v>6119</v>
      </c>
      <c r="S5616" t="s">
        <v>6120</v>
      </c>
    </row>
    <row r="5617" spans="1:19" x14ac:dyDescent="0.25">
      <c r="A5617" t="s">
        <v>59</v>
      </c>
      <c r="B5617" t="s">
        <v>31</v>
      </c>
      <c r="C5617" t="s">
        <v>32</v>
      </c>
      <c r="D5617" t="s">
        <v>771</v>
      </c>
      <c r="E5617" t="s">
        <v>6093</v>
      </c>
      <c r="F5617" t="s">
        <v>35</v>
      </c>
      <c r="G5617" t="s">
        <v>35</v>
      </c>
      <c r="H5617" t="s">
        <v>35</v>
      </c>
      <c r="J5617" t="s">
        <v>6122</v>
      </c>
      <c r="K5617" t="s">
        <v>1092</v>
      </c>
      <c r="M5617">
        <v>3.96</v>
      </c>
      <c r="N5617">
        <v>1108</v>
      </c>
      <c r="O5617" t="s">
        <v>575</v>
      </c>
      <c r="Q5617" t="s">
        <v>6123</v>
      </c>
      <c r="R5617" t="s">
        <v>6022</v>
      </c>
      <c r="S5617" t="s">
        <v>937</v>
      </c>
    </row>
    <row r="5618" spans="1:19" x14ac:dyDescent="0.25">
      <c r="A5618" t="s">
        <v>30</v>
      </c>
      <c r="B5618" t="s">
        <v>31</v>
      </c>
      <c r="C5618" t="s">
        <v>32</v>
      </c>
      <c r="D5618" t="s">
        <v>771</v>
      </c>
      <c r="E5618" t="s">
        <v>6093</v>
      </c>
      <c r="F5618" t="s">
        <v>35</v>
      </c>
      <c r="G5618" t="s">
        <v>35</v>
      </c>
      <c r="H5618" t="s">
        <v>35</v>
      </c>
      <c r="J5618" t="s">
        <v>6124</v>
      </c>
      <c r="K5618" t="s">
        <v>1092</v>
      </c>
      <c r="M5618">
        <v>1.53</v>
      </c>
      <c r="N5618">
        <v>119</v>
      </c>
      <c r="O5618" t="s">
        <v>106</v>
      </c>
      <c r="Q5618" t="s">
        <v>3465</v>
      </c>
      <c r="R5618" t="s">
        <v>5992</v>
      </c>
      <c r="S5618" t="s">
        <v>817</v>
      </c>
    </row>
    <row r="5619" spans="1:19" x14ac:dyDescent="0.25">
      <c r="A5619" t="s">
        <v>30</v>
      </c>
      <c r="B5619" t="s">
        <v>31</v>
      </c>
      <c r="C5619" t="s">
        <v>32</v>
      </c>
      <c r="D5619" t="s">
        <v>771</v>
      </c>
      <c r="E5619" t="s">
        <v>6093</v>
      </c>
      <c r="F5619" t="s">
        <v>35</v>
      </c>
      <c r="G5619" t="s">
        <v>35</v>
      </c>
      <c r="H5619" t="s">
        <v>35</v>
      </c>
      <c r="J5619" t="s">
        <v>6125</v>
      </c>
      <c r="K5619" t="s">
        <v>1092</v>
      </c>
      <c r="M5619">
        <v>1.2150000000000001</v>
      </c>
      <c r="N5619">
        <v>41</v>
      </c>
      <c r="O5619" t="s">
        <v>52</v>
      </c>
      <c r="Q5619" t="s">
        <v>249</v>
      </c>
      <c r="R5619" t="s">
        <v>849</v>
      </c>
      <c r="S5619" t="s">
        <v>850</v>
      </c>
    </row>
    <row r="5620" spans="1:19" x14ac:dyDescent="0.25">
      <c r="A5620" t="s">
        <v>59</v>
      </c>
      <c r="B5620" t="s">
        <v>60</v>
      </c>
      <c r="C5620" t="s">
        <v>32</v>
      </c>
      <c r="D5620" t="s">
        <v>771</v>
      </c>
      <c r="E5620" t="s">
        <v>6093</v>
      </c>
      <c r="F5620" t="s">
        <v>35</v>
      </c>
      <c r="G5620" t="s">
        <v>35</v>
      </c>
      <c r="H5620" t="s">
        <v>35</v>
      </c>
      <c r="J5620" t="s">
        <v>6126</v>
      </c>
      <c r="K5620" t="s">
        <v>1092</v>
      </c>
      <c r="M5620">
        <v>3</v>
      </c>
      <c r="N5620">
        <v>60</v>
      </c>
      <c r="O5620" t="s">
        <v>52</v>
      </c>
      <c r="Q5620" t="s">
        <v>1734</v>
      </c>
      <c r="R5620" t="s">
        <v>934</v>
      </c>
      <c r="S5620" t="s">
        <v>935</v>
      </c>
    </row>
    <row r="5621" spans="1:19" x14ac:dyDescent="0.25">
      <c r="A5621" t="s">
        <v>59</v>
      </c>
      <c r="B5621" t="s">
        <v>31</v>
      </c>
      <c r="C5621" t="s">
        <v>32</v>
      </c>
      <c r="D5621" t="s">
        <v>771</v>
      </c>
      <c r="E5621" t="s">
        <v>6093</v>
      </c>
      <c r="F5621" t="s">
        <v>35</v>
      </c>
      <c r="G5621" t="s">
        <v>35</v>
      </c>
      <c r="H5621" t="s">
        <v>35</v>
      </c>
      <c r="J5621" t="s">
        <v>6127</v>
      </c>
      <c r="K5621" t="s">
        <v>1092</v>
      </c>
      <c r="M5621">
        <v>6.21</v>
      </c>
      <c r="N5621">
        <v>131</v>
      </c>
      <c r="O5621" t="s">
        <v>38</v>
      </c>
      <c r="Q5621" t="s">
        <v>646</v>
      </c>
      <c r="R5621" t="s">
        <v>6022</v>
      </c>
      <c r="S5621" t="s">
        <v>937</v>
      </c>
    </row>
    <row r="5622" spans="1:19" x14ac:dyDescent="0.25">
      <c r="A5622" t="s">
        <v>30</v>
      </c>
      <c r="B5622" t="s">
        <v>31</v>
      </c>
      <c r="C5622" t="s">
        <v>32</v>
      </c>
      <c r="D5622" t="s">
        <v>771</v>
      </c>
      <c r="E5622" t="s">
        <v>6093</v>
      </c>
      <c r="F5622" t="s">
        <v>35</v>
      </c>
      <c r="G5622" t="s">
        <v>35</v>
      </c>
      <c r="H5622" t="s">
        <v>35</v>
      </c>
      <c r="J5622" t="s">
        <v>6129</v>
      </c>
      <c r="K5622" t="s">
        <v>1092</v>
      </c>
      <c r="M5622">
        <v>2.5649999999999999</v>
      </c>
      <c r="N5622">
        <v>119</v>
      </c>
      <c r="O5622" t="s">
        <v>106</v>
      </c>
      <c r="Q5622" t="s">
        <v>3465</v>
      </c>
      <c r="R5622" t="s">
        <v>5992</v>
      </c>
      <c r="S5622" t="s">
        <v>817</v>
      </c>
    </row>
    <row r="5623" spans="1:19" x14ac:dyDescent="0.25">
      <c r="A5623" t="s">
        <v>30</v>
      </c>
      <c r="B5623" t="s">
        <v>31</v>
      </c>
      <c r="C5623" t="s">
        <v>32</v>
      </c>
      <c r="D5623" t="s">
        <v>771</v>
      </c>
      <c r="E5623" t="s">
        <v>6093</v>
      </c>
      <c r="F5623" t="s">
        <v>35</v>
      </c>
      <c r="G5623" t="s">
        <v>35</v>
      </c>
      <c r="H5623" t="s">
        <v>35</v>
      </c>
      <c r="J5623" t="s">
        <v>6130</v>
      </c>
      <c r="K5623" t="s">
        <v>1092</v>
      </c>
      <c r="M5623">
        <v>1.53</v>
      </c>
      <c r="N5623">
        <v>293</v>
      </c>
      <c r="O5623" t="s">
        <v>5</v>
      </c>
      <c r="Q5623" t="s">
        <v>6131</v>
      </c>
      <c r="R5623" t="s">
        <v>6100</v>
      </c>
      <c r="S5623" t="s">
        <v>947</v>
      </c>
    </row>
    <row r="5624" spans="1:19" x14ac:dyDescent="0.25">
      <c r="A5624" t="s">
        <v>30</v>
      </c>
      <c r="B5624" t="s">
        <v>31</v>
      </c>
      <c r="C5624" t="s">
        <v>32</v>
      </c>
      <c r="D5624" t="s">
        <v>771</v>
      </c>
      <c r="E5624" t="s">
        <v>6093</v>
      </c>
      <c r="F5624" t="s">
        <v>35</v>
      </c>
      <c r="G5624" t="s">
        <v>35</v>
      </c>
      <c r="H5624" t="s">
        <v>35</v>
      </c>
      <c r="J5624" t="s">
        <v>6132</v>
      </c>
      <c r="K5624" t="s">
        <v>1092</v>
      </c>
      <c r="M5624">
        <v>2.52</v>
      </c>
      <c r="N5624">
        <v>47</v>
      </c>
      <c r="O5624" t="s">
        <v>52</v>
      </c>
      <c r="Q5624" t="s">
        <v>132</v>
      </c>
      <c r="R5624" t="s">
        <v>436</v>
      </c>
      <c r="S5624" t="s">
        <v>437</v>
      </c>
    </row>
    <row r="5625" spans="1:19" x14ac:dyDescent="0.25">
      <c r="A5625" t="s">
        <v>59</v>
      </c>
      <c r="B5625" t="s">
        <v>60</v>
      </c>
      <c r="C5625" t="s">
        <v>32</v>
      </c>
      <c r="D5625" t="s">
        <v>771</v>
      </c>
      <c r="E5625" t="s">
        <v>6093</v>
      </c>
      <c r="F5625" t="s">
        <v>35</v>
      </c>
      <c r="G5625" t="s">
        <v>35</v>
      </c>
      <c r="H5625" t="s">
        <v>35</v>
      </c>
      <c r="J5625" t="s">
        <v>6132</v>
      </c>
      <c r="K5625" t="s">
        <v>1092</v>
      </c>
      <c r="M5625">
        <v>2.8</v>
      </c>
      <c r="N5625">
        <v>88</v>
      </c>
      <c r="O5625" t="s">
        <v>61</v>
      </c>
      <c r="Q5625" t="s">
        <v>858</v>
      </c>
      <c r="R5625" t="s">
        <v>6096</v>
      </c>
      <c r="S5625" t="s">
        <v>6097</v>
      </c>
    </row>
    <row r="5626" spans="1:19" x14ac:dyDescent="0.25">
      <c r="A5626" t="s">
        <v>59</v>
      </c>
      <c r="B5626" t="s">
        <v>60</v>
      </c>
      <c r="C5626" t="s">
        <v>32</v>
      </c>
      <c r="D5626" t="s">
        <v>771</v>
      </c>
      <c r="E5626" t="s">
        <v>6093</v>
      </c>
      <c r="F5626" t="s">
        <v>35</v>
      </c>
      <c r="G5626" t="s">
        <v>35</v>
      </c>
      <c r="H5626" t="s">
        <v>35</v>
      </c>
      <c r="J5626" t="s">
        <v>6133</v>
      </c>
      <c r="K5626" t="s">
        <v>1092</v>
      </c>
      <c r="M5626">
        <v>0.1</v>
      </c>
      <c r="N5626">
        <v>2673</v>
      </c>
      <c r="O5626" t="s">
        <v>575</v>
      </c>
      <c r="Q5626" t="s">
        <v>1486</v>
      </c>
      <c r="R5626" t="s">
        <v>1487</v>
      </c>
      <c r="S5626" t="s">
        <v>1488</v>
      </c>
    </row>
    <row r="5627" spans="1:19" x14ac:dyDescent="0.25">
      <c r="A5627" t="s">
        <v>30</v>
      </c>
      <c r="B5627" t="s">
        <v>31</v>
      </c>
      <c r="C5627" t="s">
        <v>32</v>
      </c>
      <c r="D5627" t="s">
        <v>771</v>
      </c>
      <c r="E5627" t="s">
        <v>6093</v>
      </c>
      <c r="F5627" t="s">
        <v>35</v>
      </c>
      <c r="G5627" t="s">
        <v>35</v>
      </c>
      <c r="H5627" t="s">
        <v>35</v>
      </c>
      <c r="J5627" t="s">
        <v>6134</v>
      </c>
      <c r="K5627" t="s">
        <v>1092</v>
      </c>
      <c r="M5627">
        <v>5.31</v>
      </c>
      <c r="N5627">
        <v>32</v>
      </c>
      <c r="O5627" t="s">
        <v>52</v>
      </c>
      <c r="Q5627" t="s">
        <v>547</v>
      </c>
      <c r="R5627" t="s">
        <v>844</v>
      </c>
      <c r="S5627" t="s">
        <v>806</v>
      </c>
    </row>
    <row r="5628" spans="1:19" x14ac:dyDescent="0.25">
      <c r="A5628" t="s">
        <v>59</v>
      </c>
      <c r="B5628" t="s">
        <v>31</v>
      </c>
      <c r="C5628" t="s">
        <v>32</v>
      </c>
      <c r="D5628" t="s">
        <v>771</v>
      </c>
      <c r="E5628" t="s">
        <v>6093</v>
      </c>
      <c r="F5628" t="s">
        <v>35</v>
      </c>
      <c r="G5628" t="s">
        <v>35</v>
      </c>
      <c r="H5628" t="s">
        <v>35</v>
      </c>
      <c r="J5628" t="s">
        <v>6135</v>
      </c>
      <c r="K5628" t="s">
        <v>1092</v>
      </c>
      <c r="M5628">
        <v>0.27</v>
      </c>
      <c r="N5628">
        <v>124</v>
      </c>
      <c r="O5628" t="s">
        <v>38</v>
      </c>
      <c r="Q5628" t="s">
        <v>406</v>
      </c>
      <c r="R5628" t="s">
        <v>6022</v>
      </c>
      <c r="S5628" t="s">
        <v>937</v>
      </c>
    </row>
    <row r="5629" spans="1:19" x14ac:dyDescent="0.25">
      <c r="A5629" t="s">
        <v>30</v>
      </c>
      <c r="B5629" t="s">
        <v>31</v>
      </c>
      <c r="C5629" t="s">
        <v>32</v>
      </c>
      <c r="D5629" t="s">
        <v>771</v>
      </c>
      <c r="E5629" t="s">
        <v>6093</v>
      </c>
      <c r="F5629" t="s">
        <v>35</v>
      </c>
      <c r="G5629" t="s">
        <v>35</v>
      </c>
      <c r="H5629" t="s">
        <v>35</v>
      </c>
      <c r="J5629" t="s">
        <v>6136</v>
      </c>
      <c r="K5629" t="s">
        <v>1092</v>
      </c>
      <c r="M5629">
        <v>0.18</v>
      </c>
      <c r="N5629">
        <v>240</v>
      </c>
      <c r="O5629" t="s">
        <v>5</v>
      </c>
      <c r="Q5629" t="s">
        <v>2516</v>
      </c>
      <c r="R5629" t="s">
        <v>5992</v>
      </c>
      <c r="S5629" t="s">
        <v>817</v>
      </c>
    </row>
    <row r="5630" spans="1:19" x14ac:dyDescent="0.25">
      <c r="A5630" t="s">
        <v>30</v>
      </c>
      <c r="B5630" t="s">
        <v>31</v>
      </c>
      <c r="C5630" t="s">
        <v>32</v>
      </c>
      <c r="D5630" t="s">
        <v>771</v>
      </c>
      <c r="E5630" t="s">
        <v>6093</v>
      </c>
      <c r="F5630" t="s">
        <v>35</v>
      </c>
      <c r="G5630" t="s">
        <v>35</v>
      </c>
      <c r="H5630" t="s">
        <v>35</v>
      </c>
      <c r="J5630" t="s">
        <v>6136</v>
      </c>
      <c r="K5630" t="s">
        <v>1092</v>
      </c>
      <c r="M5630">
        <v>12.015000000000001</v>
      </c>
      <c r="N5630">
        <v>118</v>
      </c>
      <c r="O5630" t="s">
        <v>106</v>
      </c>
      <c r="Q5630" t="s">
        <v>1469</v>
      </c>
      <c r="R5630" t="s">
        <v>919</v>
      </c>
      <c r="S5630" t="s">
        <v>784</v>
      </c>
    </row>
    <row r="5631" spans="1:19" x14ac:dyDescent="0.25">
      <c r="A5631" t="s">
        <v>59</v>
      </c>
      <c r="B5631" t="s">
        <v>31</v>
      </c>
      <c r="C5631" t="s">
        <v>32</v>
      </c>
      <c r="D5631" t="s">
        <v>771</v>
      </c>
      <c r="E5631" t="s">
        <v>6093</v>
      </c>
      <c r="F5631" t="s">
        <v>35</v>
      </c>
      <c r="G5631" t="s">
        <v>35</v>
      </c>
      <c r="H5631" t="s">
        <v>35</v>
      </c>
      <c r="J5631" t="s">
        <v>6136</v>
      </c>
      <c r="K5631" t="s">
        <v>1092</v>
      </c>
      <c r="M5631">
        <v>7.47</v>
      </c>
      <c r="N5631">
        <v>249</v>
      </c>
      <c r="O5631" t="s">
        <v>5</v>
      </c>
      <c r="Q5631" t="s">
        <v>6137</v>
      </c>
      <c r="R5631" t="s">
        <v>919</v>
      </c>
      <c r="S5631" t="s">
        <v>784</v>
      </c>
    </row>
    <row r="5632" spans="1:19" x14ac:dyDescent="0.25">
      <c r="A5632" t="s">
        <v>44</v>
      </c>
      <c r="B5632" t="s">
        <v>51</v>
      </c>
      <c r="C5632" t="s">
        <v>32</v>
      </c>
      <c r="D5632" t="s">
        <v>771</v>
      </c>
      <c r="E5632" t="s">
        <v>6093</v>
      </c>
      <c r="F5632" t="s">
        <v>35</v>
      </c>
      <c r="G5632" t="s">
        <v>35</v>
      </c>
      <c r="H5632" t="s">
        <v>35</v>
      </c>
      <c r="J5632" t="s">
        <v>6138</v>
      </c>
      <c r="K5632" t="s">
        <v>1092</v>
      </c>
      <c r="M5632">
        <v>3.5</v>
      </c>
      <c r="N5632">
        <v>243</v>
      </c>
      <c r="O5632" t="s">
        <v>5</v>
      </c>
      <c r="Q5632" t="s">
        <v>1151</v>
      </c>
      <c r="R5632" t="s">
        <v>6022</v>
      </c>
      <c r="S5632" t="s">
        <v>937</v>
      </c>
    </row>
    <row r="5633" spans="1:19" x14ac:dyDescent="0.25">
      <c r="A5633" t="s">
        <v>30</v>
      </c>
      <c r="B5633" t="s">
        <v>31</v>
      </c>
      <c r="C5633" t="s">
        <v>32</v>
      </c>
      <c r="D5633" t="s">
        <v>771</v>
      </c>
      <c r="E5633" t="s">
        <v>6093</v>
      </c>
      <c r="F5633" t="s">
        <v>35</v>
      </c>
      <c r="G5633" t="s">
        <v>35</v>
      </c>
      <c r="H5633" t="s">
        <v>35</v>
      </c>
      <c r="J5633" t="s">
        <v>6139</v>
      </c>
      <c r="K5633" t="s">
        <v>1092</v>
      </c>
      <c r="M5633">
        <v>7.02</v>
      </c>
      <c r="N5633">
        <v>100</v>
      </c>
      <c r="O5633" t="s">
        <v>106</v>
      </c>
      <c r="Q5633" t="s">
        <v>1112</v>
      </c>
      <c r="R5633" t="s">
        <v>919</v>
      </c>
      <c r="S5633" t="s">
        <v>784</v>
      </c>
    </row>
    <row r="5634" spans="1:19" x14ac:dyDescent="0.25">
      <c r="A5634" t="s">
        <v>59</v>
      </c>
      <c r="B5634" t="s">
        <v>31</v>
      </c>
      <c r="C5634" t="s">
        <v>32</v>
      </c>
      <c r="D5634" t="s">
        <v>771</v>
      </c>
      <c r="E5634" t="s">
        <v>836</v>
      </c>
      <c r="F5634" t="s">
        <v>35</v>
      </c>
      <c r="G5634" t="s">
        <v>35</v>
      </c>
      <c r="H5634" t="s">
        <v>35</v>
      </c>
      <c r="J5634" t="s">
        <v>6140</v>
      </c>
      <c r="K5634" t="s">
        <v>1092</v>
      </c>
      <c r="M5634">
        <v>0.9</v>
      </c>
      <c r="N5634">
        <v>44</v>
      </c>
      <c r="O5634" t="s">
        <v>52</v>
      </c>
      <c r="Q5634" t="s">
        <v>192</v>
      </c>
      <c r="R5634" t="s">
        <v>6144</v>
      </c>
      <c r="S5634" t="s">
        <v>6145</v>
      </c>
    </row>
    <row r="5635" spans="1:19" x14ac:dyDescent="0.25">
      <c r="A5635" t="s">
        <v>59</v>
      </c>
      <c r="B5635" t="s">
        <v>31</v>
      </c>
      <c r="C5635" t="s">
        <v>32</v>
      </c>
      <c r="D5635" t="s">
        <v>771</v>
      </c>
      <c r="E5635" t="s">
        <v>836</v>
      </c>
      <c r="F5635" t="s">
        <v>35</v>
      </c>
      <c r="G5635" t="s">
        <v>35</v>
      </c>
      <c r="H5635" t="s">
        <v>35</v>
      </c>
      <c r="J5635" t="s">
        <v>6140</v>
      </c>
      <c r="K5635" t="s">
        <v>1092</v>
      </c>
      <c r="M5635">
        <v>6.165</v>
      </c>
      <c r="N5635">
        <v>130</v>
      </c>
      <c r="O5635" t="s">
        <v>38</v>
      </c>
      <c r="Q5635" t="s">
        <v>1656</v>
      </c>
      <c r="R5635" t="s">
        <v>6141</v>
      </c>
      <c r="S5635" t="s">
        <v>6142</v>
      </c>
    </row>
    <row r="5636" spans="1:19" x14ac:dyDescent="0.25">
      <c r="A5636" t="s">
        <v>30</v>
      </c>
      <c r="B5636" t="s">
        <v>31</v>
      </c>
      <c r="C5636" t="s">
        <v>32</v>
      </c>
      <c r="D5636" t="s">
        <v>771</v>
      </c>
      <c r="E5636" t="s">
        <v>836</v>
      </c>
      <c r="F5636" t="s">
        <v>35</v>
      </c>
      <c r="G5636" t="s">
        <v>35</v>
      </c>
      <c r="H5636" t="s">
        <v>35</v>
      </c>
      <c r="J5636" t="s">
        <v>6140</v>
      </c>
      <c r="K5636" t="s">
        <v>1092</v>
      </c>
      <c r="M5636">
        <v>7.02</v>
      </c>
      <c r="N5636">
        <v>47</v>
      </c>
      <c r="O5636" t="s">
        <v>52</v>
      </c>
      <c r="Q5636" t="s">
        <v>132</v>
      </c>
      <c r="R5636" t="s">
        <v>436</v>
      </c>
      <c r="S5636" t="s">
        <v>437</v>
      </c>
    </row>
    <row r="5637" spans="1:19" x14ac:dyDescent="0.25">
      <c r="A5637" t="s">
        <v>30</v>
      </c>
      <c r="B5637" t="s">
        <v>31</v>
      </c>
      <c r="C5637" t="s">
        <v>32</v>
      </c>
      <c r="D5637" t="s">
        <v>771</v>
      </c>
      <c r="E5637" t="s">
        <v>836</v>
      </c>
      <c r="F5637" t="s">
        <v>35</v>
      </c>
      <c r="G5637" t="s">
        <v>35</v>
      </c>
      <c r="H5637" t="s">
        <v>35</v>
      </c>
      <c r="J5637" t="s">
        <v>6140</v>
      </c>
      <c r="K5637" t="s">
        <v>1092</v>
      </c>
      <c r="M5637">
        <v>7.02</v>
      </c>
      <c r="N5637">
        <v>39</v>
      </c>
      <c r="O5637" t="s">
        <v>52</v>
      </c>
      <c r="Q5637" t="s">
        <v>816</v>
      </c>
      <c r="R5637" t="s">
        <v>6022</v>
      </c>
      <c r="S5637" t="s">
        <v>937</v>
      </c>
    </row>
    <row r="5638" spans="1:19" x14ac:dyDescent="0.25">
      <c r="A5638" t="s">
        <v>30</v>
      </c>
      <c r="B5638" t="s">
        <v>31</v>
      </c>
      <c r="C5638" t="s">
        <v>32</v>
      </c>
      <c r="D5638" t="s">
        <v>771</v>
      </c>
      <c r="E5638" t="s">
        <v>836</v>
      </c>
      <c r="F5638" t="s">
        <v>35</v>
      </c>
      <c r="G5638" t="s">
        <v>35</v>
      </c>
      <c r="H5638" t="s">
        <v>35</v>
      </c>
      <c r="J5638" t="s">
        <v>6148</v>
      </c>
      <c r="K5638" t="s">
        <v>1092</v>
      </c>
      <c r="M5638">
        <v>7.02</v>
      </c>
      <c r="N5638">
        <v>49</v>
      </c>
      <c r="O5638" t="s">
        <v>52</v>
      </c>
      <c r="Q5638" t="s">
        <v>219</v>
      </c>
      <c r="R5638" t="s">
        <v>6100</v>
      </c>
      <c r="S5638" t="s">
        <v>947</v>
      </c>
    </row>
    <row r="5639" spans="1:19" x14ac:dyDescent="0.25">
      <c r="A5639" t="s">
        <v>59</v>
      </c>
      <c r="B5639" t="s">
        <v>60</v>
      </c>
      <c r="C5639" t="s">
        <v>32</v>
      </c>
      <c r="D5639" t="s">
        <v>771</v>
      </c>
      <c r="E5639" t="s">
        <v>836</v>
      </c>
      <c r="F5639" t="s">
        <v>35</v>
      </c>
      <c r="G5639" t="s">
        <v>35</v>
      </c>
      <c r="H5639" t="s">
        <v>35</v>
      </c>
      <c r="J5639" t="s">
        <v>6149</v>
      </c>
      <c r="K5639" t="s">
        <v>1092</v>
      </c>
      <c r="M5639">
        <v>0.3</v>
      </c>
      <c r="N5639">
        <v>141</v>
      </c>
      <c r="O5639" t="s">
        <v>38</v>
      </c>
      <c r="Q5639" t="s">
        <v>1822</v>
      </c>
      <c r="R5639" t="s">
        <v>934</v>
      </c>
      <c r="S5639" t="s">
        <v>935</v>
      </c>
    </row>
    <row r="5640" spans="1:19" x14ac:dyDescent="0.25">
      <c r="A5640" t="s">
        <v>44</v>
      </c>
      <c r="B5640" t="s">
        <v>51</v>
      </c>
      <c r="C5640" t="s">
        <v>32</v>
      </c>
      <c r="D5640" t="s">
        <v>771</v>
      </c>
      <c r="E5640" t="s">
        <v>836</v>
      </c>
      <c r="F5640" t="s">
        <v>35</v>
      </c>
      <c r="G5640" t="s">
        <v>35</v>
      </c>
      <c r="H5640" t="s">
        <v>35</v>
      </c>
      <c r="J5640" t="s">
        <v>6149</v>
      </c>
      <c r="K5640" t="s">
        <v>1092</v>
      </c>
      <c r="M5640">
        <v>0.4</v>
      </c>
      <c r="N5640">
        <v>141</v>
      </c>
      <c r="O5640" t="s">
        <v>38</v>
      </c>
      <c r="Q5640" t="s">
        <v>1822</v>
      </c>
      <c r="R5640" t="s">
        <v>934</v>
      </c>
      <c r="S5640" t="s">
        <v>935</v>
      </c>
    </row>
    <row r="5641" spans="1:19" x14ac:dyDescent="0.25">
      <c r="A5641" t="s">
        <v>30</v>
      </c>
      <c r="B5641" t="s">
        <v>31</v>
      </c>
      <c r="C5641" t="s">
        <v>32</v>
      </c>
      <c r="D5641" t="s">
        <v>771</v>
      </c>
      <c r="E5641" t="s">
        <v>836</v>
      </c>
      <c r="F5641" t="s">
        <v>35</v>
      </c>
      <c r="G5641" t="s">
        <v>35</v>
      </c>
      <c r="H5641" t="s">
        <v>35</v>
      </c>
      <c r="J5641" t="s">
        <v>6150</v>
      </c>
      <c r="K5641" t="s">
        <v>1092</v>
      </c>
      <c r="M5641">
        <v>4.9950000000000001</v>
      </c>
      <c r="N5641">
        <v>45</v>
      </c>
      <c r="O5641" t="s">
        <v>52</v>
      </c>
      <c r="Q5641" t="s">
        <v>716</v>
      </c>
      <c r="R5641" t="s">
        <v>844</v>
      </c>
      <c r="S5641" t="s">
        <v>806</v>
      </c>
    </row>
    <row r="5642" spans="1:19" x14ac:dyDescent="0.25">
      <c r="A5642" t="s">
        <v>59</v>
      </c>
      <c r="B5642" t="s">
        <v>60</v>
      </c>
      <c r="C5642" t="s">
        <v>32</v>
      </c>
      <c r="D5642" t="s">
        <v>771</v>
      </c>
      <c r="E5642" t="s">
        <v>836</v>
      </c>
      <c r="F5642" t="s">
        <v>35</v>
      </c>
      <c r="G5642" t="s">
        <v>35</v>
      </c>
      <c r="H5642" t="s">
        <v>35</v>
      </c>
      <c r="J5642" t="s">
        <v>6151</v>
      </c>
      <c r="K5642" t="s">
        <v>1092</v>
      </c>
      <c r="M5642">
        <v>3</v>
      </c>
      <c r="N5642">
        <v>45</v>
      </c>
      <c r="O5642" t="s">
        <v>52</v>
      </c>
      <c r="Q5642" t="s">
        <v>716</v>
      </c>
      <c r="R5642" t="s">
        <v>844</v>
      </c>
      <c r="S5642" t="s">
        <v>806</v>
      </c>
    </row>
    <row r="5643" spans="1:19" x14ac:dyDescent="0.25">
      <c r="A5643" t="s">
        <v>59</v>
      </c>
      <c r="B5643" t="s">
        <v>31</v>
      </c>
      <c r="C5643" t="s">
        <v>32</v>
      </c>
      <c r="D5643" t="s">
        <v>771</v>
      </c>
      <c r="E5643" t="s">
        <v>836</v>
      </c>
      <c r="F5643" t="s">
        <v>35</v>
      </c>
      <c r="G5643" t="s">
        <v>35</v>
      </c>
      <c r="H5643" t="s">
        <v>35</v>
      </c>
      <c r="J5643" t="s">
        <v>6152</v>
      </c>
      <c r="K5643" t="s">
        <v>1092</v>
      </c>
      <c r="M5643">
        <v>3</v>
      </c>
      <c r="N5643">
        <v>46</v>
      </c>
      <c r="O5643" t="s">
        <v>52</v>
      </c>
      <c r="Q5643" t="s">
        <v>493</v>
      </c>
      <c r="R5643" t="s">
        <v>6100</v>
      </c>
      <c r="S5643" t="s">
        <v>947</v>
      </c>
    </row>
    <row r="5644" spans="1:19" x14ac:dyDescent="0.25">
      <c r="A5644" t="s">
        <v>30</v>
      </c>
      <c r="B5644" t="s">
        <v>31</v>
      </c>
      <c r="C5644" t="s">
        <v>32</v>
      </c>
      <c r="D5644" t="s">
        <v>771</v>
      </c>
      <c r="E5644" t="s">
        <v>836</v>
      </c>
      <c r="F5644" t="s">
        <v>35</v>
      </c>
      <c r="G5644" t="s">
        <v>35</v>
      </c>
      <c r="H5644" t="s">
        <v>35</v>
      </c>
      <c r="J5644" t="s">
        <v>6152</v>
      </c>
      <c r="K5644" t="s">
        <v>1092</v>
      </c>
      <c r="M5644">
        <v>7.02</v>
      </c>
      <c r="N5644">
        <v>49</v>
      </c>
      <c r="O5644" t="s">
        <v>52</v>
      </c>
      <c r="Q5644" t="s">
        <v>219</v>
      </c>
      <c r="R5644" t="s">
        <v>6100</v>
      </c>
      <c r="S5644" t="s">
        <v>947</v>
      </c>
    </row>
    <row r="5645" spans="1:19" x14ac:dyDescent="0.25">
      <c r="A5645" t="s">
        <v>30</v>
      </c>
      <c r="B5645" t="s">
        <v>31</v>
      </c>
      <c r="C5645" t="s">
        <v>32</v>
      </c>
      <c r="D5645" t="s">
        <v>771</v>
      </c>
      <c r="E5645" t="s">
        <v>836</v>
      </c>
      <c r="F5645" t="s">
        <v>35</v>
      </c>
      <c r="G5645" t="s">
        <v>35</v>
      </c>
      <c r="H5645" t="s">
        <v>35</v>
      </c>
      <c r="J5645" t="s">
        <v>6152</v>
      </c>
      <c r="K5645" t="s">
        <v>1092</v>
      </c>
      <c r="M5645">
        <v>3.15</v>
      </c>
      <c r="N5645">
        <v>115</v>
      </c>
      <c r="O5645" t="s">
        <v>106</v>
      </c>
      <c r="Q5645" t="s">
        <v>1195</v>
      </c>
      <c r="R5645" t="s">
        <v>844</v>
      </c>
      <c r="S5645" t="s">
        <v>806</v>
      </c>
    </row>
    <row r="5646" spans="1:19" x14ac:dyDescent="0.25">
      <c r="A5646" t="s">
        <v>59</v>
      </c>
      <c r="B5646" t="s">
        <v>60</v>
      </c>
      <c r="C5646" t="s">
        <v>32</v>
      </c>
      <c r="D5646" t="s">
        <v>771</v>
      </c>
      <c r="E5646" t="s">
        <v>836</v>
      </c>
      <c r="F5646" t="s">
        <v>35</v>
      </c>
      <c r="G5646" t="s">
        <v>35</v>
      </c>
      <c r="H5646" t="s">
        <v>35</v>
      </c>
      <c r="J5646" t="s">
        <v>6152</v>
      </c>
      <c r="K5646" t="s">
        <v>1092</v>
      </c>
      <c r="M5646">
        <v>7</v>
      </c>
      <c r="N5646">
        <v>46</v>
      </c>
      <c r="O5646" t="s">
        <v>52</v>
      </c>
      <c r="Q5646" t="s">
        <v>493</v>
      </c>
      <c r="R5646" t="s">
        <v>6100</v>
      </c>
      <c r="S5646" t="s">
        <v>947</v>
      </c>
    </row>
    <row r="5647" spans="1:19" x14ac:dyDescent="0.25">
      <c r="A5647" t="s">
        <v>59</v>
      </c>
      <c r="B5647" t="s">
        <v>31</v>
      </c>
      <c r="C5647" t="s">
        <v>32</v>
      </c>
      <c r="D5647" t="s">
        <v>771</v>
      </c>
      <c r="E5647" t="s">
        <v>836</v>
      </c>
      <c r="F5647" t="s">
        <v>35</v>
      </c>
      <c r="G5647" t="s">
        <v>35</v>
      </c>
      <c r="H5647" t="s">
        <v>35</v>
      </c>
      <c r="J5647" t="s">
        <v>6152</v>
      </c>
      <c r="K5647" t="s">
        <v>1092</v>
      </c>
      <c r="M5647">
        <v>7.25</v>
      </c>
      <c r="N5647">
        <v>90</v>
      </c>
      <c r="O5647" t="s">
        <v>61</v>
      </c>
      <c r="Q5647" t="s">
        <v>897</v>
      </c>
      <c r="R5647" t="s">
        <v>6100</v>
      </c>
      <c r="S5647" t="s">
        <v>947</v>
      </c>
    </row>
    <row r="5648" spans="1:19" x14ac:dyDescent="0.25">
      <c r="A5648" t="s">
        <v>59</v>
      </c>
      <c r="B5648" t="s">
        <v>60</v>
      </c>
      <c r="C5648" t="s">
        <v>32</v>
      </c>
      <c r="D5648" t="s">
        <v>771</v>
      </c>
      <c r="E5648" t="s">
        <v>836</v>
      </c>
      <c r="F5648" t="s">
        <v>35</v>
      </c>
      <c r="G5648" t="s">
        <v>35</v>
      </c>
      <c r="H5648" t="s">
        <v>35</v>
      </c>
      <c r="J5648" t="s">
        <v>6152</v>
      </c>
      <c r="K5648" t="s">
        <v>1092</v>
      </c>
      <c r="M5648">
        <v>3</v>
      </c>
      <c r="N5648">
        <v>90</v>
      </c>
      <c r="O5648" t="s">
        <v>61</v>
      </c>
      <c r="Q5648" t="s">
        <v>897</v>
      </c>
      <c r="R5648" t="s">
        <v>6100</v>
      </c>
      <c r="S5648" t="s">
        <v>947</v>
      </c>
    </row>
    <row r="5649" spans="1:19" x14ac:dyDescent="0.25">
      <c r="A5649" t="s">
        <v>30</v>
      </c>
      <c r="B5649" t="s">
        <v>31</v>
      </c>
      <c r="C5649" t="s">
        <v>32</v>
      </c>
      <c r="D5649" t="s">
        <v>771</v>
      </c>
      <c r="E5649" t="s">
        <v>836</v>
      </c>
      <c r="F5649" t="s">
        <v>35</v>
      </c>
      <c r="G5649" t="s">
        <v>35</v>
      </c>
      <c r="H5649" t="s">
        <v>35</v>
      </c>
      <c r="J5649" t="s">
        <v>6153</v>
      </c>
      <c r="K5649" t="s">
        <v>1092</v>
      </c>
      <c r="M5649">
        <v>0.08</v>
      </c>
      <c r="N5649">
        <v>861</v>
      </c>
      <c r="O5649" t="s">
        <v>575</v>
      </c>
      <c r="Q5649" t="s">
        <v>6154</v>
      </c>
      <c r="R5649" t="s">
        <v>6022</v>
      </c>
      <c r="S5649" t="s">
        <v>937</v>
      </c>
    </row>
    <row r="5650" spans="1:19" x14ac:dyDescent="0.25">
      <c r="A5650" t="s">
        <v>30</v>
      </c>
      <c r="B5650" t="s">
        <v>31</v>
      </c>
      <c r="C5650" t="s">
        <v>32</v>
      </c>
      <c r="D5650" t="s">
        <v>771</v>
      </c>
      <c r="E5650" t="s">
        <v>836</v>
      </c>
      <c r="F5650" t="s">
        <v>35</v>
      </c>
      <c r="G5650" t="s">
        <v>35</v>
      </c>
      <c r="H5650" t="s">
        <v>35</v>
      </c>
      <c r="J5650" t="s">
        <v>6155</v>
      </c>
      <c r="K5650" t="s">
        <v>1092</v>
      </c>
      <c r="M5650">
        <v>3.15</v>
      </c>
      <c r="N5650">
        <v>118</v>
      </c>
      <c r="O5650" t="s">
        <v>106</v>
      </c>
      <c r="Q5650" t="s">
        <v>1469</v>
      </c>
      <c r="R5650" t="s">
        <v>6100</v>
      </c>
      <c r="S5650" t="s">
        <v>947</v>
      </c>
    </row>
    <row r="5651" spans="1:19" x14ac:dyDescent="0.25">
      <c r="A5651" t="s">
        <v>59</v>
      </c>
      <c r="B5651" t="s">
        <v>60</v>
      </c>
      <c r="C5651" t="s">
        <v>32</v>
      </c>
      <c r="D5651" t="s">
        <v>771</v>
      </c>
      <c r="E5651" t="s">
        <v>836</v>
      </c>
      <c r="F5651" t="s">
        <v>35</v>
      </c>
      <c r="G5651" t="s">
        <v>35</v>
      </c>
      <c r="H5651" t="s">
        <v>35</v>
      </c>
      <c r="J5651" t="s">
        <v>6156</v>
      </c>
      <c r="K5651" t="s">
        <v>1092</v>
      </c>
      <c r="M5651">
        <v>1.5</v>
      </c>
      <c r="N5651">
        <v>1477</v>
      </c>
      <c r="O5651" t="s">
        <v>575</v>
      </c>
      <c r="Q5651" t="s">
        <v>4432</v>
      </c>
      <c r="R5651" t="s">
        <v>6106</v>
      </c>
      <c r="S5651" t="s">
        <v>6107</v>
      </c>
    </row>
    <row r="5652" spans="1:19" x14ac:dyDescent="0.25">
      <c r="A5652" t="s">
        <v>30</v>
      </c>
      <c r="B5652" t="s">
        <v>31</v>
      </c>
      <c r="C5652" t="s">
        <v>32</v>
      </c>
      <c r="D5652" t="s">
        <v>771</v>
      </c>
      <c r="E5652" t="s">
        <v>836</v>
      </c>
      <c r="F5652" t="s">
        <v>35</v>
      </c>
      <c r="G5652" t="s">
        <v>35</v>
      </c>
      <c r="H5652" t="s">
        <v>35</v>
      </c>
      <c r="J5652" t="s">
        <v>6156</v>
      </c>
      <c r="K5652" t="s">
        <v>1092</v>
      </c>
      <c r="M5652">
        <v>5.0000000000000001E-3</v>
      </c>
      <c r="N5652">
        <v>2670</v>
      </c>
      <c r="O5652" t="s">
        <v>575</v>
      </c>
      <c r="Q5652" t="s">
        <v>6157</v>
      </c>
      <c r="R5652" t="s">
        <v>844</v>
      </c>
      <c r="S5652" t="s">
        <v>806</v>
      </c>
    </row>
    <row r="5653" spans="1:19" x14ac:dyDescent="0.25">
      <c r="A5653" t="s">
        <v>30</v>
      </c>
      <c r="B5653" t="s">
        <v>31</v>
      </c>
      <c r="C5653" t="s">
        <v>32</v>
      </c>
      <c r="D5653" t="s">
        <v>771</v>
      </c>
      <c r="E5653" t="s">
        <v>836</v>
      </c>
      <c r="F5653" t="s">
        <v>35</v>
      </c>
      <c r="G5653" t="s">
        <v>35</v>
      </c>
      <c r="H5653" t="s">
        <v>35</v>
      </c>
      <c r="J5653" t="s">
        <v>6158</v>
      </c>
      <c r="K5653" t="s">
        <v>1092</v>
      </c>
      <c r="M5653">
        <v>0.495</v>
      </c>
      <c r="N5653">
        <v>1828</v>
      </c>
      <c r="O5653" t="s">
        <v>575</v>
      </c>
      <c r="Q5653" t="s">
        <v>6159</v>
      </c>
      <c r="R5653" t="s">
        <v>6160</v>
      </c>
      <c r="S5653" t="s">
        <v>837</v>
      </c>
    </row>
    <row r="5654" spans="1:19" x14ac:dyDescent="0.25">
      <c r="A5654" t="s">
        <v>59</v>
      </c>
      <c r="B5654" t="s">
        <v>60</v>
      </c>
      <c r="C5654" t="s">
        <v>32</v>
      </c>
      <c r="D5654" t="s">
        <v>771</v>
      </c>
      <c r="E5654" t="s">
        <v>836</v>
      </c>
      <c r="F5654" t="s">
        <v>35</v>
      </c>
      <c r="G5654" t="s">
        <v>35</v>
      </c>
      <c r="H5654" t="s">
        <v>35</v>
      </c>
      <c r="J5654" t="s">
        <v>6161</v>
      </c>
      <c r="K5654" t="s">
        <v>1092</v>
      </c>
      <c r="M5654">
        <v>0.27600000000000002</v>
      </c>
      <c r="N5654">
        <v>289</v>
      </c>
      <c r="O5654" t="s">
        <v>5</v>
      </c>
      <c r="Q5654" t="s">
        <v>1172</v>
      </c>
      <c r="R5654" t="s">
        <v>844</v>
      </c>
      <c r="S5654" t="s">
        <v>806</v>
      </c>
    </row>
    <row r="5655" spans="1:19" x14ac:dyDescent="0.25">
      <c r="A5655" t="s">
        <v>59</v>
      </c>
      <c r="B5655" t="s">
        <v>31</v>
      </c>
      <c r="C5655" t="s">
        <v>32</v>
      </c>
      <c r="D5655" t="s">
        <v>771</v>
      </c>
      <c r="E5655" t="s">
        <v>836</v>
      </c>
      <c r="F5655" t="s">
        <v>35</v>
      </c>
      <c r="G5655" t="s">
        <v>35</v>
      </c>
      <c r="H5655" t="s">
        <v>35</v>
      </c>
      <c r="J5655" t="s">
        <v>6162</v>
      </c>
      <c r="K5655" t="s">
        <v>1092</v>
      </c>
      <c r="M5655">
        <v>7.02</v>
      </c>
      <c r="N5655">
        <v>230</v>
      </c>
      <c r="O5655" t="s">
        <v>5</v>
      </c>
      <c r="Q5655" t="s">
        <v>1544</v>
      </c>
      <c r="R5655" t="s">
        <v>6163</v>
      </c>
      <c r="S5655" t="s">
        <v>823</v>
      </c>
    </row>
    <row r="5656" spans="1:19" x14ac:dyDescent="0.25">
      <c r="A5656" t="s">
        <v>30</v>
      </c>
      <c r="B5656" t="s">
        <v>31</v>
      </c>
      <c r="C5656" t="s">
        <v>32</v>
      </c>
      <c r="D5656" t="s">
        <v>771</v>
      </c>
      <c r="E5656" t="s">
        <v>836</v>
      </c>
      <c r="F5656" t="s">
        <v>35</v>
      </c>
      <c r="G5656" t="s">
        <v>35</v>
      </c>
      <c r="H5656" t="s">
        <v>35</v>
      </c>
      <c r="J5656" t="s">
        <v>6164</v>
      </c>
      <c r="K5656" t="s">
        <v>1092</v>
      </c>
      <c r="M5656">
        <v>0.85499999999999998</v>
      </c>
      <c r="N5656">
        <v>296</v>
      </c>
      <c r="O5656" t="s">
        <v>5</v>
      </c>
      <c r="Q5656" t="s">
        <v>4253</v>
      </c>
      <c r="R5656" t="s">
        <v>6096</v>
      </c>
      <c r="S5656" t="s">
        <v>6097</v>
      </c>
    </row>
    <row r="5657" spans="1:19" x14ac:dyDescent="0.25">
      <c r="A5657" t="s">
        <v>59</v>
      </c>
      <c r="B5657" t="s">
        <v>31</v>
      </c>
      <c r="C5657" t="s">
        <v>32</v>
      </c>
      <c r="D5657" t="s">
        <v>771</v>
      </c>
      <c r="E5657" t="s">
        <v>836</v>
      </c>
      <c r="F5657" t="s">
        <v>35</v>
      </c>
      <c r="G5657" t="s">
        <v>35</v>
      </c>
      <c r="H5657" t="s">
        <v>35</v>
      </c>
      <c r="J5657" t="s">
        <v>6164</v>
      </c>
      <c r="K5657" t="s">
        <v>1092</v>
      </c>
      <c r="M5657">
        <v>0.76500000000000001</v>
      </c>
      <c r="N5657">
        <v>153</v>
      </c>
      <c r="O5657" t="s">
        <v>38</v>
      </c>
      <c r="Q5657" t="s">
        <v>569</v>
      </c>
      <c r="R5657" t="s">
        <v>844</v>
      </c>
      <c r="S5657" t="s">
        <v>806</v>
      </c>
    </row>
    <row r="5658" spans="1:19" x14ac:dyDescent="0.25">
      <c r="A5658" t="s">
        <v>59</v>
      </c>
      <c r="B5658" t="s">
        <v>60</v>
      </c>
      <c r="C5658" t="s">
        <v>32</v>
      </c>
      <c r="D5658" t="s">
        <v>771</v>
      </c>
      <c r="E5658" t="s">
        <v>836</v>
      </c>
      <c r="F5658" t="s">
        <v>35</v>
      </c>
      <c r="G5658" t="s">
        <v>35</v>
      </c>
      <c r="H5658" t="s">
        <v>35</v>
      </c>
      <c r="J5658" t="s">
        <v>6164</v>
      </c>
      <c r="K5658" t="s">
        <v>1092</v>
      </c>
      <c r="M5658">
        <v>2</v>
      </c>
      <c r="N5658">
        <v>45</v>
      </c>
      <c r="O5658" t="s">
        <v>52</v>
      </c>
      <c r="Q5658" t="s">
        <v>716</v>
      </c>
      <c r="R5658" t="s">
        <v>844</v>
      </c>
      <c r="S5658" t="s">
        <v>806</v>
      </c>
    </row>
    <row r="5659" spans="1:19" x14ac:dyDescent="0.25">
      <c r="A5659" t="s">
        <v>59</v>
      </c>
      <c r="B5659" t="s">
        <v>31</v>
      </c>
      <c r="C5659" t="s">
        <v>32</v>
      </c>
      <c r="D5659" t="s">
        <v>771</v>
      </c>
      <c r="E5659" t="s">
        <v>836</v>
      </c>
      <c r="F5659" t="s">
        <v>35</v>
      </c>
      <c r="G5659" t="s">
        <v>35</v>
      </c>
      <c r="H5659" t="s">
        <v>35</v>
      </c>
      <c r="J5659" t="s">
        <v>6164</v>
      </c>
      <c r="K5659" t="s">
        <v>1092</v>
      </c>
      <c r="M5659">
        <v>2.0249999999999999</v>
      </c>
      <c r="N5659">
        <v>45</v>
      </c>
      <c r="O5659" t="s">
        <v>52</v>
      </c>
      <c r="Q5659" t="s">
        <v>716</v>
      </c>
      <c r="R5659" t="s">
        <v>844</v>
      </c>
      <c r="S5659" t="s">
        <v>806</v>
      </c>
    </row>
    <row r="5660" spans="1:19" x14ac:dyDescent="0.25">
      <c r="A5660" t="s">
        <v>30</v>
      </c>
      <c r="B5660" t="s">
        <v>31</v>
      </c>
      <c r="C5660" t="s">
        <v>32</v>
      </c>
      <c r="D5660" t="s">
        <v>771</v>
      </c>
      <c r="E5660" t="s">
        <v>836</v>
      </c>
      <c r="F5660" t="s">
        <v>35</v>
      </c>
      <c r="G5660" t="s">
        <v>35</v>
      </c>
      <c r="H5660" t="s">
        <v>35</v>
      </c>
      <c r="J5660" t="s">
        <v>6164</v>
      </c>
      <c r="K5660" t="s">
        <v>1092</v>
      </c>
      <c r="M5660">
        <v>1.98</v>
      </c>
      <c r="N5660">
        <v>237</v>
      </c>
      <c r="O5660" t="s">
        <v>5</v>
      </c>
      <c r="Q5660" t="s">
        <v>3446</v>
      </c>
      <c r="R5660" t="s">
        <v>844</v>
      </c>
      <c r="S5660" t="s">
        <v>806</v>
      </c>
    </row>
    <row r="5661" spans="1:19" x14ac:dyDescent="0.25">
      <c r="A5661" t="s">
        <v>59</v>
      </c>
      <c r="B5661" t="s">
        <v>60</v>
      </c>
      <c r="C5661" t="s">
        <v>32</v>
      </c>
      <c r="D5661" t="s">
        <v>771</v>
      </c>
      <c r="E5661" t="s">
        <v>836</v>
      </c>
      <c r="F5661" t="s">
        <v>35</v>
      </c>
      <c r="G5661" t="s">
        <v>35</v>
      </c>
      <c r="H5661" t="s">
        <v>35</v>
      </c>
      <c r="J5661" t="s">
        <v>2424</v>
      </c>
      <c r="K5661" t="s">
        <v>1092</v>
      </c>
      <c r="M5661">
        <v>0.5</v>
      </c>
      <c r="N5661">
        <v>278</v>
      </c>
      <c r="O5661" t="s">
        <v>5</v>
      </c>
      <c r="Q5661" t="s">
        <v>1724</v>
      </c>
      <c r="R5661" t="s">
        <v>6100</v>
      </c>
      <c r="S5661" t="s">
        <v>947</v>
      </c>
    </row>
    <row r="5662" spans="1:19" x14ac:dyDescent="0.25">
      <c r="A5662" t="s">
        <v>30</v>
      </c>
      <c r="B5662" t="s">
        <v>31</v>
      </c>
      <c r="C5662" t="s">
        <v>32</v>
      </c>
      <c r="D5662" t="s">
        <v>771</v>
      </c>
      <c r="E5662" t="s">
        <v>6165</v>
      </c>
      <c r="F5662" t="s">
        <v>35</v>
      </c>
      <c r="G5662" t="s">
        <v>35</v>
      </c>
      <c r="H5662" t="s">
        <v>35</v>
      </c>
      <c r="J5662" t="s">
        <v>6166</v>
      </c>
      <c r="K5662" t="s">
        <v>1092</v>
      </c>
      <c r="M5662">
        <v>10.935</v>
      </c>
      <c r="N5662">
        <v>39</v>
      </c>
      <c r="O5662" t="s">
        <v>52</v>
      </c>
      <c r="Q5662" t="s">
        <v>816</v>
      </c>
      <c r="R5662" t="s">
        <v>6022</v>
      </c>
      <c r="S5662" t="s">
        <v>937</v>
      </c>
    </row>
    <row r="5663" spans="1:19" x14ac:dyDescent="0.25">
      <c r="A5663" t="s">
        <v>30</v>
      </c>
      <c r="B5663" t="s">
        <v>31</v>
      </c>
      <c r="C5663" t="s">
        <v>32</v>
      </c>
      <c r="D5663" t="s">
        <v>771</v>
      </c>
      <c r="E5663" t="s">
        <v>6165</v>
      </c>
      <c r="F5663" t="s">
        <v>35</v>
      </c>
      <c r="G5663" t="s">
        <v>35</v>
      </c>
      <c r="H5663" t="s">
        <v>35</v>
      </c>
      <c r="J5663" t="s">
        <v>6166</v>
      </c>
      <c r="K5663" t="s">
        <v>1092</v>
      </c>
      <c r="M5663">
        <v>7.02</v>
      </c>
      <c r="N5663">
        <v>47</v>
      </c>
      <c r="O5663" t="s">
        <v>52</v>
      </c>
      <c r="Q5663" t="s">
        <v>132</v>
      </c>
      <c r="R5663" t="s">
        <v>844</v>
      </c>
      <c r="S5663" t="s">
        <v>806</v>
      </c>
    </row>
    <row r="5664" spans="1:19" x14ac:dyDescent="0.25">
      <c r="A5664" t="s">
        <v>30</v>
      </c>
      <c r="B5664" t="s">
        <v>31</v>
      </c>
      <c r="C5664" t="s">
        <v>32</v>
      </c>
      <c r="D5664" t="s">
        <v>771</v>
      </c>
      <c r="E5664" t="s">
        <v>6165</v>
      </c>
      <c r="F5664" t="s">
        <v>35</v>
      </c>
      <c r="G5664" t="s">
        <v>35</v>
      </c>
      <c r="H5664" t="s">
        <v>35</v>
      </c>
      <c r="J5664" t="s">
        <v>6167</v>
      </c>
      <c r="K5664" t="s">
        <v>1092</v>
      </c>
      <c r="M5664">
        <v>2.835</v>
      </c>
      <c r="N5664">
        <v>47</v>
      </c>
      <c r="O5664" t="s">
        <v>52</v>
      </c>
      <c r="Q5664" t="s">
        <v>132</v>
      </c>
      <c r="R5664" t="s">
        <v>934</v>
      </c>
      <c r="S5664" t="s">
        <v>935</v>
      </c>
    </row>
    <row r="5665" spans="1:19" x14ac:dyDescent="0.25">
      <c r="A5665" t="s">
        <v>59</v>
      </c>
      <c r="B5665" t="s">
        <v>31</v>
      </c>
      <c r="C5665" t="s">
        <v>32</v>
      </c>
      <c r="D5665" t="s">
        <v>771</v>
      </c>
      <c r="E5665" t="s">
        <v>6165</v>
      </c>
      <c r="F5665" t="s">
        <v>35</v>
      </c>
      <c r="G5665" t="s">
        <v>35</v>
      </c>
      <c r="H5665" t="s">
        <v>35</v>
      </c>
      <c r="J5665" t="s">
        <v>6167</v>
      </c>
      <c r="K5665" t="s">
        <v>1092</v>
      </c>
      <c r="M5665">
        <v>0.36</v>
      </c>
      <c r="N5665">
        <v>314</v>
      </c>
      <c r="O5665" t="s">
        <v>5</v>
      </c>
      <c r="Q5665" t="s">
        <v>6168</v>
      </c>
      <c r="R5665" t="s">
        <v>6169</v>
      </c>
      <c r="S5665" t="s">
        <v>904</v>
      </c>
    </row>
    <row r="5666" spans="1:19" x14ac:dyDescent="0.25">
      <c r="A5666" t="s">
        <v>30</v>
      </c>
      <c r="B5666" t="s">
        <v>31</v>
      </c>
      <c r="C5666" t="s">
        <v>32</v>
      </c>
      <c r="D5666" t="s">
        <v>771</v>
      </c>
      <c r="E5666" t="s">
        <v>6165</v>
      </c>
      <c r="F5666" t="s">
        <v>35</v>
      </c>
      <c r="G5666" t="s">
        <v>35</v>
      </c>
      <c r="H5666" t="s">
        <v>35</v>
      </c>
      <c r="J5666" t="s">
        <v>6170</v>
      </c>
      <c r="K5666" t="s">
        <v>1092</v>
      </c>
      <c r="M5666">
        <v>12.24</v>
      </c>
      <c r="N5666">
        <v>48</v>
      </c>
      <c r="O5666" t="s">
        <v>52</v>
      </c>
      <c r="Q5666" t="s">
        <v>496</v>
      </c>
      <c r="R5666" t="s">
        <v>934</v>
      </c>
      <c r="S5666" t="s">
        <v>935</v>
      </c>
    </row>
    <row r="5667" spans="1:19" x14ac:dyDescent="0.25">
      <c r="A5667" t="s">
        <v>30</v>
      </c>
      <c r="B5667" t="s">
        <v>31</v>
      </c>
      <c r="C5667" t="s">
        <v>32</v>
      </c>
      <c r="D5667" t="s">
        <v>771</v>
      </c>
      <c r="E5667" t="s">
        <v>6165</v>
      </c>
      <c r="F5667" t="s">
        <v>35</v>
      </c>
      <c r="G5667" t="s">
        <v>35</v>
      </c>
      <c r="H5667" t="s">
        <v>35</v>
      </c>
      <c r="J5667" t="s">
        <v>6170</v>
      </c>
      <c r="K5667" t="s">
        <v>1092</v>
      </c>
      <c r="M5667">
        <v>4.1849999999999996</v>
      </c>
      <c r="N5667">
        <v>48</v>
      </c>
      <c r="O5667" t="s">
        <v>52</v>
      </c>
      <c r="Q5667" t="s">
        <v>496</v>
      </c>
      <c r="R5667" t="s">
        <v>919</v>
      </c>
      <c r="S5667" t="s">
        <v>784</v>
      </c>
    </row>
    <row r="5668" spans="1:19" x14ac:dyDescent="0.25">
      <c r="A5668" t="s">
        <v>30</v>
      </c>
      <c r="B5668" t="s">
        <v>31</v>
      </c>
      <c r="C5668" t="s">
        <v>32</v>
      </c>
      <c r="D5668" t="s">
        <v>771</v>
      </c>
      <c r="E5668" t="s">
        <v>6165</v>
      </c>
      <c r="F5668" t="s">
        <v>35</v>
      </c>
      <c r="G5668" t="s">
        <v>35</v>
      </c>
      <c r="H5668" t="s">
        <v>35</v>
      </c>
      <c r="J5668" t="s">
        <v>6171</v>
      </c>
      <c r="K5668" t="s">
        <v>1092</v>
      </c>
      <c r="M5668">
        <v>6.8849999999999998</v>
      </c>
      <c r="N5668">
        <v>47</v>
      </c>
      <c r="O5668" t="s">
        <v>52</v>
      </c>
      <c r="Q5668" t="s">
        <v>132</v>
      </c>
      <c r="R5668" t="s">
        <v>844</v>
      </c>
      <c r="S5668" t="s">
        <v>806</v>
      </c>
    </row>
    <row r="5669" spans="1:19" x14ac:dyDescent="0.25">
      <c r="A5669" t="s">
        <v>44</v>
      </c>
      <c r="B5669" t="s">
        <v>51</v>
      </c>
      <c r="C5669" t="s">
        <v>32</v>
      </c>
      <c r="D5669" t="s">
        <v>771</v>
      </c>
      <c r="E5669" t="s">
        <v>6165</v>
      </c>
      <c r="F5669" t="s">
        <v>35</v>
      </c>
      <c r="G5669" t="s">
        <v>35</v>
      </c>
      <c r="H5669" t="s">
        <v>35</v>
      </c>
      <c r="J5669" t="s">
        <v>6171</v>
      </c>
      <c r="K5669" t="s">
        <v>1092</v>
      </c>
      <c r="M5669">
        <v>0.4</v>
      </c>
      <c r="N5669">
        <v>44</v>
      </c>
      <c r="O5669" t="s">
        <v>52</v>
      </c>
      <c r="Q5669" t="s">
        <v>192</v>
      </c>
      <c r="R5669" t="s">
        <v>844</v>
      </c>
      <c r="S5669" t="s">
        <v>806</v>
      </c>
    </row>
    <row r="5670" spans="1:19" x14ac:dyDescent="0.25">
      <c r="A5670" t="s">
        <v>44</v>
      </c>
      <c r="B5670" t="s">
        <v>51</v>
      </c>
      <c r="C5670" t="s">
        <v>32</v>
      </c>
      <c r="D5670" t="s">
        <v>771</v>
      </c>
      <c r="E5670" t="s">
        <v>6165</v>
      </c>
      <c r="F5670" t="s">
        <v>35</v>
      </c>
      <c r="G5670" t="s">
        <v>35</v>
      </c>
      <c r="H5670" t="s">
        <v>35</v>
      </c>
      <c r="J5670" t="s">
        <v>6171</v>
      </c>
      <c r="K5670" t="s">
        <v>1092</v>
      </c>
      <c r="M5670">
        <v>3.4</v>
      </c>
      <c r="N5670">
        <v>20</v>
      </c>
      <c r="O5670" t="s">
        <v>46</v>
      </c>
      <c r="Q5670" t="s">
        <v>1004</v>
      </c>
      <c r="R5670" t="s">
        <v>844</v>
      </c>
      <c r="S5670" t="s">
        <v>806</v>
      </c>
    </row>
    <row r="5671" spans="1:19" x14ac:dyDescent="0.25">
      <c r="A5671" t="s">
        <v>44</v>
      </c>
      <c r="B5671" t="s">
        <v>51</v>
      </c>
      <c r="C5671" t="s">
        <v>32</v>
      </c>
      <c r="D5671" t="s">
        <v>771</v>
      </c>
      <c r="E5671" t="s">
        <v>6165</v>
      </c>
      <c r="F5671" t="s">
        <v>35</v>
      </c>
      <c r="G5671" t="s">
        <v>35</v>
      </c>
      <c r="H5671" t="s">
        <v>35</v>
      </c>
      <c r="J5671" t="s">
        <v>6172</v>
      </c>
      <c r="K5671" t="s">
        <v>1092</v>
      </c>
      <c r="M5671">
        <v>1.9</v>
      </c>
      <c r="N5671">
        <v>336</v>
      </c>
      <c r="O5671" t="s">
        <v>5</v>
      </c>
      <c r="Q5671" t="s">
        <v>6173</v>
      </c>
      <c r="R5671" t="s">
        <v>934</v>
      </c>
      <c r="S5671" t="s">
        <v>935</v>
      </c>
    </row>
    <row r="5672" spans="1:19" x14ac:dyDescent="0.25">
      <c r="A5672" t="s">
        <v>59</v>
      </c>
      <c r="B5672" t="s">
        <v>31</v>
      </c>
      <c r="C5672" t="s">
        <v>32</v>
      </c>
      <c r="D5672" t="s">
        <v>771</v>
      </c>
      <c r="E5672" t="s">
        <v>6165</v>
      </c>
      <c r="F5672" t="s">
        <v>35</v>
      </c>
      <c r="G5672" t="s">
        <v>35</v>
      </c>
      <c r="H5672" t="s">
        <v>35</v>
      </c>
      <c r="J5672" t="s">
        <v>6174</v>
      </c>
      <c r="K5672" t="s">
        <v>1092</v>
      </c>
      <c r="M5672">
        <v>1.7549999999999999</v>
      </c>
      <c r="N5672">
        <v>45</v>
      </c>
      <c r="O5672" t="s">
        <v>52</v>
      </c>
      <c r="Q5672" t="s">
        <v>716</v>
      </c>
      <c r="R5672" t="s">
        <v>919</v>
      </c>
      <c r="S5672" t="s">
        <v>784</v>
      </c>
    </row>
    <row r="5673" spans="1:19" x14ac:dyDescent="0.25">
      <c r="A5673" t="s">
        <v>30</v>
      </c>
      <c r="B5673" t="s">
        <v>31</v>
      </c>
      <c r="C5673" t="s">
        <v>32</v>
      </c>
      <c r="D5673" t="s">
        <v>771</v>
      </c>
      <c r="E5673" t="s">
        <v>6175</v>
      </c>
      <c r="F5673" t="s">
        <v>35</v>
      </c>
      <c r="G5673" t="s">
        <v>35</v>
      </c>
      <c r="H5673" t="s">
        <v>35</v>
      </c>
      <c r="J5673" t="s">
        <v>6176</v>
      </c>
      <c r="K5673" t="s">
        <v>1092</v>
      </c>
      <c r="M5673">
        <v>9.27</v>
      </c>
      <c r="N5673">
        <v>48</v>
      </c>
      <c r="O5673" t="s">
        <v>52</v>
      </c>
      <c r="Q5673" t="s">
        <v>496</v>
      </c>
      <c r="R5673" t="s">
        <v>919</v>
      </c>
      <c r="S5673" t="s">
        <v>784</v>
      </c>
    </row>
    <row r="5674" spans="1:19" x14ac:dyDescent="0.25">
      <c r="A5674" t="s">
        <v>30</v>
      </c>
      <c r="B5674" t="s">
        <v>31</v>
      </c>
      <c r="C5674" t="s">
        <v>32</v>
      </c>
      <c r="D5674" t="s">
        <v>771</v>
      </c>
      <c r="E5674" t="s">
        <v>6175</v>
      </c>
      <c r="F5674" t="s">
        <v>35</v>
      </c>
      <c r="G5674" t="s">
        <v>35</v>
      </c>
      <c r="H5674" t="s">
        <v>35</v>
      </c>
      <c r="J5674" t="s">
        <v>6176</v>
      </c>
      <c r="K5674" t="s">
        <v>1092</v>
      </c>
      <c r="M5674">
        <v>14.04</v>
      </c>
      <c r="N5674">
        <v>47</v>
      </c>
      <c r="O5674" t="s">
        <v>52</v>
      </c>
      <c r="Q5674" t="s">
        <v>132</v>
      </c>
      <c r="R5674" t="s">
        <v>849</v>
      </c>
      <c r="S5674" t="s">
        <v>850</v>
      </c>
    </row>
    <row r="5675" spans="1:19" x14ac:dyDescent="0.25">
      <c r="A5675" t="s">
        <v>30</v>
      </c>
      <c r="B5675" t="s">
        <v>31</v>
      </c>
      <c r="C5675" t="s">
        <v>32</v>
      </c>
      <c r="D5675" t="s">
        <v>771</v>
      </c>
      <c r="E5675" t="s">
        <v>6175</v>
      </c>
      <c r="F5675" t="s">
        <v>35</v>
      </c>
      <c r="G5675" t="s">
        <v>35</v>
      </c>
      <c r="H5675" t="s">
        <v>35</v>
      </c>
      <c r="J5675" t="s">
        <v>6177</v>
      </c>
      <c r="K5675" t="s">
        <v>1092</v>
      </c>
      <c r="M5675">
        <v>1.62</v>
      </c>
      <c r="N5675">
        <v>284</v>
      </c>
      <c r="O5675" t="s">
        <v>5</v>
      </c>
      <c r="Q5675" t="s">
        <v>1220</v>
      </c>
      <c r="R5675" t="s">
        <v>849</v>
      </c>
      <c r="S5675" t="s">
        <v>850</v>
      </c>
    </row>
    <row r="5676" spans="1:19" x14ac:dyDescent="0.25">
      <c r="A5676" t="s">
        <v>30</v>
      </c>
      <c r="B5676" t="s">
        <v>31</v>
      </c>
      <c r="C5676" t="s">
        <v>32</v>
      </c>
      <c r="D5676" t="s">
        <v>771</v>
      </c>
      <c r="E5676" t="s">
        <v>6175</v>
      </c>
      <c r="F5676" t="s">
        <v>35</v>
      </c>
      <c r="G5676" t="s">
        <v>35</v>
      </c>
      <c r="H5676" t="s">
        <v>35</v>
      </c>
      <c r="J5676" t="s">
        <v>6178</v>
      </c>
      <c r="K5676" t="s">
        <v>1092</v>
      </c>
      <c r="M5676">
        <v>3.0150000000000001</v>
      </c>
      <c r="N5676">
        <v>193</v>
      </c>
      <c r="O5676" t="s">
        <v>5</v>
      </c>
      <c r="Q5676" t="s">
        <v>1894</v>
      </c>
      <c r="R5676" t="s">
        <v>844</v>
      </c>
      <c r="S5676" t="s">
        <v>806</v>
      </c>
    </row>
    <row r="5677" spans="1:19" x14ac:dyDescent="0.25">
      <c r="A5677" t="s">
        <v>30</v>
      </c>
      <c r="B5677" t="s">
        <v>31</v>
      </c>
      <c r="C5677" t="s">
        <v>32</v>
      </c>
      <c r="D5677" t="s">
        <v>771</v>
      </c>
      <c r="E5677" t="s">
        <v>6175</v>
      </c>
      <c r="F5677" t="s">
        <v>35</v>
      </c>
      <c r="G5677" t="s">
        <v>35</v>
      </c>
      <c r="H5677" t="s">
        <v>35</v>
      </c>
      <c r="J5677" t="s">
        <v>6179</v>
      </c>
      <c r="K5677" t="s">
        <v>1092</v>
      </c>
      <c r="M5677">
        <v>6.57</v>
      </c>
      <c r="N5677">
        <v>47</v>
      </c>
      <c r="O5677" t="s">
        <v>52</v>
      </c>
      <c r="Q5677" t="s">
        <v>132</v>
      </c>
      <c r="R5677" t="s">
        <v>934</v>
      </c>
      <c r="S5677" t="s">
        <v>935</v>
      </c>
    </row>
    <row r="5678" spans="1:19" x14ac:dyDescent="0.25">
      <c r="A5678" t="s">
        <v>30</v>
      </c>
      <c r="B5678" t="s">
        <v>31</v>
      </c>
      <c r="C5678" t="s">
        <v>32</v>
      </c>
      <c r="D5678" t="s">
        <v>771</v>
      </c>
      <c r="E5678" t="s">
        <v>6175</v>
      </c>
      <c r="F5678" t="s">
        <v>35</v>
      </c>
      <c r="G5678" t="s">
        <v>35</v>
      </c>
      <c r="H5678" t="s">
        <v>35</v>
      </c>
      <c r="J5678" t="s">
        <v>6180</v>
      </c>
      <c r="K5678" t="s">
        <v>1092</v>
      </c>
      <c r="M5678">
        <v>0.40500000000000003</v>
      </c>
      <c r="N5678">
        <v>47</v>
      </c>
      <c r="O5678" t="s">
        <v>52</v>
      </c>
      <c r="Q5678" t="s">
        <v>132</v>
      </c>
      <c r="R5678" t="s">
        <v>934</v>
      </c>
      <c r="S5678" t="s">
        <v>935</v>
      </c>
    </row>
    <row r="5679" spans="1:19" x14ac:dyDescent="0.25">
      <c r="A5679" t="s">
        <v>30</v>
      </c>
      <c r="B5679" t="s">
        <v>31</v>
      </c>
      <c r="C5679" t="s">
        <v>32</v>
      </c>
      <c r="D5679" t="s">
        <v>771</v>
      </c>
      <c r="E5679" t="s">
        <v>840</v>
      </c>
      <c r="F5679" t="s">
        <v>35</v>
      </c>
      <c r="G5679" t="s">
        <v>35</v>
      </c>
      <c r="H5679" t="s">
        <v>35</v>
      </c>
      <c r="J5679" t="s">
        <v>6181</v>
      </c>
      <c r="K5679" t="s">
        <v>1092</v>
      </c>
      <c r="M5679">
        <v>3.4649999999999999</v>
      </c>
      <c r="N5679">
        <v>98</v>
      </c>
      <c r="O5679" t="s">
        <v>106</v>
      </c>
      <c r="Q5679" t="s">
        <v>108</v>
      </c>
      <c r="R5679" t="s">
        <v>6182</v>
      </c>
      <c r="S5679" t="s">
        <v>841</v>
      </c>
    </row>
    <row r="5680" spans="1:19" x14ac:dyDescent="0.25">
      <c r="A5680" t="s">
        <v>59</v>
      </c>
      <c r="B5680" t="s">
        <v>31</v>
      </c>
      <c r="C5680" t="s">
        <v>32</v>
      </c>
      <c r="D5680" t="s">
        <v>771</v>
      </c>
      <c r="E5680" t="s">
        <v>840</v>
      </c>
      <c r="F5680" t="s">
        <v>35</v>
      </c>
      <c r="G5680" t="s">
        <v>35</v>
      </c>
      <c r="H5680" t="s">
        <v>35</v>
      </c>
      <c r="J5680" t="s">
        <v>6183</v>
      </c>
      <c r="K5680" t="s">
        <v>1092</v>
      </c>
      <c r="M5680">
        <v>2.25</v>
      </c>
      <c r="N5680">
        <v>132</v>
      </c>
      <c r="O5680" t="s">
        <v>38</v>
      </c>
      <c r="Q5680" t="s">
        <v>2901</v>
      </c>
      <c r="R5680" t="s">
        <v>919</v>
      </c>
      <c r="S5680" t="s">
        <v>784</v>
      </c>
    </row>
    <row r="5681" spans="1:19" x14ac:dyDescent="0.25">
      <c r="A5681" t="s">
        <v>30</v>
      </c>
      <c r="B5681" t="s">
        <v>31</v>
      </c>
      <c r="C5681" t="s">
        <v>32</v>
      </c>
      <c r="D5681" t="s">
        <v>771</v>
      </c>
      <c r="E5681" t="s">
        <v>840</v>
      </c>
      <c r="F5681" t="s">
        <v>35</v>
      </c>
      <c r="G5681" t="s">
        <v>35</v>
      </c>
      <c r="H5681" t="s">
        <v>35</v>
      </c>
      <c r="J5681" t="s">
        <v>6183</v>
      </c>
      <c r="K5681" t="s">
        <v>1092</v>
      </c>
      <c r="M5681">
        <v>4.68</v>
      </c>
      <c r="N5681">
        <v>117</v>
      </c>
      <c r="O5681" t="s">
        <v>106</v>
      </c>
      <c r="Q5681" t="s">
        <v>3342</v>
      </c>
      <c r="R5681" t="s">
        <v>6090</v>
      </c>
      <c r="S5681" t="s">
        <v>6091</v>
      </c>
    </row>
    <row r="5682" spans="1:19" x14ac:dyDescent="0.25">
      <c r="A5682" t="s">
        <v>59</v>
      </c>
      <c r="B5682" t="s">
        <v>31</v>
      </c>
      <c r="C5682" t="s">
        <v>32</v>
      </c>
      <c r="D5682" t="s">
        <v>771</v>
      </c>
      <c r="E5682" t="s">
        <v>840</v>
      </c>
      <c r="F5682" t="s">
        <v>35</v>
      </c>
      <c r="G5682" t="s">
        <v>35</v>
      </c>
      <c r="H5682" t="s">
        <v>35</v>
      </c>
      <c r="J5682" t="s">
        <v>6184</v>
      </c>
      <c r="K5682" t="s">
        <v>1092</v>
      </c>
      <c r="M5682">
        <v>5.8949999999999996</v>
      </c>
      <c r="N5682">
        <v>45</v>
      </c>
      <c r="O5682" t="s">
        <v>52</v>
      </c>
      <c r="Q5682" t="s">
        <v>716</v>
      </c>
      <c r="R5682" t="s">
        <v>844</v>
      </c>
      <c r="S5682" t="s">
        <v>806</v>
      </c>
    </row>
    <row r="5683" spans="1:19" x14ac:dyDescent="0.25">
      <c r="A5683" t="s">
        <v>30</v>
      </c>
      <c r="B5683" t="s">
        <v>31</v>
      </c>
      <c r="C5683" t="s">
        <v>32</v>
      </c>
      <c r="D5683" t="s">
        <v>771</v>
      </c>
      <c r="E5683" t="s">
        <v>840</v>
      </c>
      <c r="F5683" t="s">
        <v>35</v>
      </c>
      <c r="G5683" t="s">
        <v>35</v>
      </c>
      <c r="H5683" t="s">
        <v>35</v>
      </c>
      <c r="J5683" t="s">
        <v>6186</v>
      </c>
      <c r="K5683" t="s">
        <v>1092</v>
      </c>
      <c r="M5683">
        <v>4.32</v>
      </c>
      <c r="N5683">
        <v>290</v>
      </c>
      <c r="O5683" t="s">
        <v>5</v>
      </c>
      <c r="Q5683" t="s">
        <v>4463</v>
      </c>
      <c r="R5683" t="s">
        <v>849</v>
      </c>
      <c r="S5683" t="s">
        <v>850</v>
      </c>
    </row>
    <row r="5684" spans="1:19" x14ac:dyDescent="0.25">
      <c r="A5684" t="s">
        <v>30</v>
      </c>
      <c r="B5684" t="s">
        <v>31</v>
      </c>
      <c r="C5684" t="s">
        <v>32</v>
      </c>
      <c r="D5684" t="s">
        <v>771</v>
      </c>
      <c r="E5684" t="s">
        <v>840</v>
      </c>
      <c r="F5684" t="s">
        <v>35</v>
      </c>
      <c r="G5684" t="s">
        <v>35</v>
      </c>
      <c r="H5684" t="s">
        <v>35</v>
      </c>
      <c r="J5684" t="s">
        <v>6187</v>
      </c>
      <c r="K5684" t="s">
        <v>1092</v>
      </c>
      <c r="M5684">
        <v>10.215</v>
      </c>
      <c r="N5684">
        <v>41</v>
      </c>
      <c r="O5684" t="s">
        <v>52</v>
      </c>
      <c r="Q5684" t="s">
        <v>249</v>
      </c>
      <c r="R5684" t="s">
        <v>849</v>
      </c>
      <c r="S5684" t="s">
        <v>850</v>
      </c>
    </row>
    <row r="5685" spans="1:19" x14ac:dyDescent="0.25">
      <c r="A5685" t="s">
        <v>30</v>
      </c>
      <c r="B5685" t="s">
        <v>31</v>
      </c>
      <c r="C5685" t="s">
        <v>32</v>
      </c>
      <c r="D5685" t="s">
        <v>771</v>
      </c>
      <c r="E5685" t="s">
        <v>840</v>
      </c>
      <c r="F5685" t="s">
        <v>35</v>
      </c>
      <c r="G5685" t="s">
        <v>35</v>
      </c>
      <c r="H5685" t="s">
        <v>35</v>
      </c>
      <c r="J5685" t="s">
        <v>2541</v>
      </c>
      <c r="K5685" t="s">
        <v>1092</v>
      </c>
      <c r="M5685">
        <v>0.09</v>
      </c>
      <c r="N5685">
        <v>47</v>
      </c>
      <c r="O5685" t="s">
        <v>52</v>
      </c>
      <c r="Q5685" t="s">
        <v>132</v>
      </c>
      <c r="R5685" t="s">
        <v>436</v>
      </c>
      <c r="S5685" t="s">
        <v>437</v>
      </c>
    </row>
    <row r="5686" spans="1:19" x14ac:dyDescent="0.25">
      <c r="A5686" t="s">
        <v>44</v>
      </c>
      <c r="B5686" t="s">
        <v>51</v>
      </c>
      <c r="C5686" t="s">
        <v>32</v>
      </c>
      <c r="D5686" t="s">
        <v>771</v>
      </c>
      <c r="E5686" t="s">
        <v>840</v>
      </c>
      <c r="F5686" t="s">
        <v>35</v>
      </c>
      <c r="G5686" t="s">
        <v>35</v>
      </c>
      <c r="H5686" t="s">
        <v>35</v>
      </c>
      <c r="J5686" t="s">
        <v>2541</v>
      </c>
      <c r="K5686" t="s">
        <v>1092</v>
      </c>
      <c r="M5686">
        <v>3</v>
      </c>
      <c r="N5686">
        <v>205</v>
      </c>
      <c r="O5686" t="s">
        <v>5</v>
      </c>
      <c r="Q5686" t="s">
        <v>6188</v>
      </c>
      <c r="R5686" t="s">
        <v>436</v>
      </c>
      <c r="S5686" t="s">
        <v>437</v>
      </c>
    </row>
    <row r="5687" spans="1:19" x14ac:dyDescent="0.25">
      <c r="A5687" t="s">
        <v>59</v>
      </c>
      <c r="B5687" t="s">
        <v>31</v>
      </c>
      <c r="C5687" t="s">
        <v>32</v>
      </c>
      <c r="D5687" t="s">
        <v>771</v>
      </c>
      <c r="E5687" t="s">
        <v>840</v>
      </c>
      <c r="F5687" t="s">
        <v>35</v>
      </c>
      <c r="G5687" t="s">
        <v>35</v>
      </c>
      <c r="H5687" t="s">
        <v>35</v>
      </c>
      <c r="J5687" t="s">
        <v>6189</v>
      </c>
      <c r="K5687" t="s">
        <v>1092</v>
      </c>
      <c r="M5687">
        <v>4.4999999999999998E-2</v>
      </c>
      <c r="N5687">
        <v>1031</v>
      </c>
      <c r="O5687" t="s">
        <v>575</v>
      </c>
      <c r="Q5687" t="s">
        <v>6190</v>
      </c>
      <c r="R5687" t="s">
        <v>6182</v>
      </c>
      <c r="S5687" t="s">
        <v>841</v>
      </c>
    </row>
    <row r="5688" spans="1:19" x14ac:dyDescent="0.25">
      <c r="A5688" t="s">
        <v>59</v>
      </c>
      <c r="B5688" t="s">
        <v>60</v>
      </c>
      <c r="C5688" t="s">
        <v>32</v>
      </c>
      <c r="D5688" t="s">
        <v>771</v>
      </c>
      <c r="E5688" t="s">
        <v>840</v>
      </c>
      <c r="F5688" t="s">
        <v>35</v>
      </c>
      <c r="G5688" t="s">
        <v>35</v>
      </c>
      <c r="H5688" t="s">
        <v>35</v>
      </c>
      <c r="J5688" t="s">
        <v>6189</v>
      </c>
      <c r="K5688" t="s">
        <v>1092</v>
      </c>
      <c r="M5688">
        <v>0.5</v>
      </c>
      <c r="N5688">
        <v>468</v>
      </c>
      <c r="O5688" t="s">
        <v>294</v>
      </c>
      <c r="Q5688" t="s">
        <v>1516</v>
      </c>
      <c r="R5688" t="s">
        <v>6182</v>
      </c>
      <c r="S5688" t="s">
        <v>841</v>
      </c>
    </row>
    <row r="5689" spans="1:19" x14ac:dyDescent="0.25">
      <c r="A5689" t="s">
        <v>44</v>
      </c>
      <c r="B5689" t="s">
        <v>3</v>
      </c>
      <c r="C5689" t="s">
        <v>32</v>
      </c>
      <c r="D5689" t="s">
        <v>771</v>
      </c>
      <c r="E5689" t="s">
        <v>840</v>
      </c>
      <c r="F5689" t="s">
        <v>35</v>
      </c>
      <c r="G5689" t="s">
        <v>35</v>
      </c>
      <c r="H5689" t="s">
        <v>35</v>
      </c>
      <c r="J5689" t="s">
        <v>6189</v>
      </c>
      <c r="K5689" t="s">
        <v>1092</v>
      </c>
      <c r="M5689">
        <v>0.2</v>
      </c>
      <c r="N5689">
        <v>253</v>
      </c>
      <c r="O5689" t="s">
        <v>5</v>
      </c>
      <c r="Q5689" t="s">
        <v>1502</v>
      </c>
      <c r="R5689" t="s">
        <v>6182</v>
      </c>
      <c r="S5689" t="s">
        <v>841</v>
      </c>
    </row>
    <row r="5690" spans="1:19" x14ac:dyDescent="0.25">
      <c r="A5690" t="s">
        <v>30</v>
      </c>
      <c r="B5690" t="s">
        <v>31</v>
      </c>
      <c r="C5690" t="s">
        <v>32</v>
      </c>
      <c r="D5690" t="s">
        <v>771</v>
      </c>
      <c r="E5690" t="s">
        <v>840</v>
      </c>
      <c r="F5690" t="s">
        <v>35</v>
      </c>
      <c r="G5690" t="s">
        <v>35</v>
      </c>
      <c r="H5690" t="s">
        <v>35</v>
      </c>
      <c r="J5690" t="s">
        <v>6189</v>
      </c>
      <c r="K5690" t="s">
        <v>1092</v>
      </c>
      <c r="M5690">
        <v>0.16500000000000001</v>
      </c>
      <c r="N5690">
        <v>442</v>
      </c>
      <c r="O5690" t="s">
        <v>294</v>
      </c>
      <c r="Q5690" t="s">
        <v>6191</v>
      </c>
      <c r="R5690" t="s">
        <v>6182</v>
      </c>
      <c r="S5690" t="s">
        <v>841</v>
      </c>
    </row>
    <row r="5691" spans="1:19" x14ac:dyDescent="0.25">
      <c r="A5691" t="s">
        <v>30</v>
      </c>
      <c r="B5691" t="s">
        <v>31</v>
      </c>
      <c r="C5691" t="s">
        <v>32</v>
      </c>
      <c r="D5691" t="s">
        <v>771</v>
      </c>
      <c r="E5691" t="s">
        <v>840</v>
      </c>
      <c r="F5691" t="s">
        <v>35</v>
      </c>
      <c r="G5691" t="s">
        <v>35</v>
      </c>
      <c r="H5691" t="s">
        <v>35</v>
      </c>
      <c r="J5691" t="s">
        <v>6192</v>
      </c>
      <c r="K5691" t="s">
        <v>1092</v>
      </c>
      <c r="M5691">
        <v>0.45</v>
      </c>
      <c r="N5691">
        <v>98</v>
      </c>
      <c r="O5691" t="s">
        <v>106</v>
      </c>
      <c r="Q5691" t="s">
        <v>108</v>
      </c>
      <c r="R5691" t="s">
        <v>6182</v>
      </c>
      <c r="S5691" t="s">
        <v>841</v>
      </c>
    </row>
    <row r="5692" spans="1:19" x14ac:dyDescent="0.25">
      <c r="A5692" t="s">
        <v>59</v>
      </c>
      <c r="B5692" t="s">
        <v>31</v>
      </c>
      <c r="C5692" t="s">
        <v>32</v>
      </c>
      <c r="D5692" t="s">
        <v>771</v>
      </c>
      <c r="E5692" t="s">
        <v>840</v>
      </c>
      <c r="F5692" t="s">
        <v>35</v>
      </c>
      <c r="G5692" t="s">
        <v>35</v>
      </c>
      <c r="H5692" t="s">
        <v>35</v>
      </c>
      <c r="J5692" t="s">
        <v>6193</v>
      </c>
      <c r="K5692" t="s">
        <v>1092</v>
      </c>
      <c r="M5692">
        <v>0.63</v>
      </c>
      <c r="N5692">
        <v>91</v>
      </c>
      <c r="O5692" t="s">
        <v>106</v>
      </c>
      <c r="Q5692" t="s">
        <v>1147</v>
      </c>
      <c r="R5692" t="s">
        <v>934</v>
      </c>
      <c r="S5692" t="s">
        <v>935</v>
      </c>
    </row>
    <row r="5693" spans="1:19" x14ac:dyDescent="0.25">
      <c r="A5693" t="s">
        <v>30</v>
      </c>
      <c r="B5693" t="s">
        <v>31</v>
      </c>
      <c r="C5693" t="s">
        <v>32</v>
      </c>
      <c r="D5693" t="s">
        <v>771</v>
      </c>
      <c r="E5693" t="s">
        <v>840</v>
      </c>
      <c r="F5693" t="s">
        <v>35</v>
      </c>
      <c r="G5693" t="s">
        <v>35</v>
      </c>
      <c r="H5693" t="s">
        <v>35</v>
      </c>
      <c r="J5693" t="s">
        <v>6193</v>
      </c>
      <c r="K5693" t="s">
        <v>1092</v>
      </c>
      <c r="M5693">
        <v>14.04</v>
      </c>
      <c r="N5693">
        <v>48</v>
      </c>
      <c r="O5693" t="s">
        <v>52</v>
      </c>
      <c r="Q5693" t="s">
        <v>496</v>
      </c>
      <c r="R5693" t="s">
        <v>934</v>
      </c>
      <c r="S5693" t="s">
        <v>935</v>
      </c>
    </row>
    <row r="5694" spans="1:19" x14ac:dyDescent="0.25">
      <c r="A5694" t="s">
        <v>59</v>
      </c>
      <c r="B5694" t="s">
        <v>31</v>
      </c>
      <c r="C5694" t="s">
        <v>32</v>
      </c>
      <c r="D5694" t="s">
        <v>771</v>
      </c>
      <c r="E5694" t="s">
        <v>840</v>
      </c>
      <c r="F5694" t="s">
        <v>35</v>
      </c>
      <c r="G5694" t="s">
        <v>35</v>
      </c>
      <c r="H5694" t="s">
        <v>35</v>
      </c>
      <c r="J5694" t="s">
        <v>6193</v>
      </c>
      <c r="K5694" t="s">
        <v>1092</v>
      </c>
      <c r="M5694">
        <v>14.04</v>
      </c>
      <c r="N5694">
        <v>46</v>
      </c>
      <c r="O5694" t="s">
        <v>52</v>
      </c>
      <c r="Q5694" t="s">
        <v>493</v>
      </c>
      <c r="R5694" t="s">
        <v>934</v>
      </c>
      <c r="S5694" t="s">
        <v>935</v>
      </c>
    </row>
    <row r="5695" spans="1:19" x14ac:dyDescent="0.25">
      <c r="A5695" t="s">
        <v>30</v>
      </c>
      <c r="B5695" t="s">
        <v>31</v>
      </c>
      <c r="C5695" t="s">
        <v>32</v>
      </c>
      <c r="D5695" t="s">
        <v>771</v>
      </c>
      <c r="E5695" t="s">
        <v>840</v>
      </c>
      <c r="F5695" t="s">
        <v>35</v>
      </c>
      <c r="G5695" t="s">
        <v>35</v>
      </c>
      <c r="H5695" t="s">
        <v>35</v>
      </c>
      <c r="J5695" t="s">
        <v>6193</v>
      </c>
      <c r="K5695" t="s">
        <v>1092</v>
      </c>
      <c r="M5695">
        <v>4.1399999999999997</v>
      </c>
      <c r="N5695">
        <v>92</v>
      </c>
      <c r="O5695" t="s">
        <v>106</v>
      </c>
      <c r="Q5695" t="s">
        <v>1100</v>
      </c>
      <c r="R5695" t="s">
        <v>849</v>
      </c>
      <c r="S5695" t="s">
        <v>850</v>
      </c>
    </row>
    <row r="5696" spans="1:19" x14ac:dyDescent="0.25">
      <c r="A5696" t="s">
        <v>59</v>
      </c>
      <c r="B5696" t="s">
        <v>31</v>
      </c>
      <c r="C5696" t="s">
        <v>32</v>
      </c>
      <c r="D5696" t="s">
        <v>771</v>
      </c>
      <c r="E5696" t="s">
        <v>840</v>
      </c>
      <c r="F5696" t="s">
        <v>35</v>
      </c>
      <c r="G5696" t="s">
        <v>35</v>
      </c>
      <c r="H5696" t="s">
        <v>35</v>
      </c>
      <c r="J5696" t="s">
        <v>6194</v>
      </c>
      <c r="K5696" t="s">
        <v>1092</v>
      </c>
      <c r="M5696">
        <v>0.02</v>
      </c>
      <c r="N5696">
        <v>2593</v>
      </c>
      <c r="O5696" t="s">
        <v>575</v>
      </c>
      <c r="Q5696" t="s">
        <v>6195</v>
      </c>
      <c r="R5696" t="s">
        <v>6196</v>
      </c>
      <c r="S5696" t="s">
        <v>6197</v>
      </c>
    </row>
    <row r="5697" spans="1:19" x14ac:dyDescent="0.25">
      <c r="A5697" t="s">
        <v>44</v>
      </c>
      <c r="B5697" t="s">
        <v>51</v>
      </c>
      <c r="C5697" t="s">
        <v>32</v>
      </c>
      <c r="D5697" t="s">
        <v>771</v>
      </c>
      <c r="E5697" t="s">
        <v>840</v>
      </c>
      <c r="F5697" t="s">
        <v>35</v>
      </c>
      <c r="G5697" t="s">
        <v>35</v>
      </c>
      <c r="H5697" t="s">
        <v>35</v>
      </c>
      <c r="J5697" t="s">
        <v>6199</v>
      </c>
      <c r="K5697" t="s">
        <v>1092</v>
      </c>
      <c r="M5697">
        <v>0.25</v>
      </c>
      <c r="N5697">
        <v>282</v>
      </c>
      <c r="O5697" t="s">
        <v>5</v>
      </c>
      <c r="Q5697" t="s">
        <v>1225</v>
      </c>
      <c r="R5697" t="s">
        <v>6182</v>
      </c>
      <c r="S5697" t="s">
        <v>841</v>
      </c>
    </row>
    <row r="5698" spans="1:19" x14ac:dyDescent="0.25">
      <c r="A5698" t="s">
        <v>44</v>
      </c>
      <c r="B5698" t="s">
        <v>51</v>
      </c>
      <c r="C5698" t="s">
        <v>32</v>
      </c>
      <c r="D5698" t="s">
        <v>771</v>
      </c>
      <c r="E5698" t="s">
        <v>840</v>
      </c>
      <c r="F5698" t="s">
        <v>35</v>
      </c>
      <c r="G5698" t="s">
        <v>35</v>
      </c>
      <c r="H5698" t="s">
        <v>35</v>
      </c>
      <c r="J5698" t="s">
        <v>6199</v>
      </c>
      <c r="K5698" t="s">
        <v>1092</v>
      </c>
      <c r="M5698">
        <v>0.25</v>
      </c>
      <c r="N5698">
        <v>289</v>
      </c>
      <c r="O5698" t="s">
        <v>5</v>
      </c>
      <c r="Q5698" t="s">
        <v>1172</v>
      </c>
      <c r="R5698" t="s">
        <v>6182</v>
      </c>
      <c r="S5698" t="s">
        <v>841</v>
      </c>
    </row>
    <row r="5699" spans="1:19" x14ac:dyDescent="0.25">
      <c r="A5699" t="s">
        <v>30</v>
      </c>
      <c r="B5699" t="s">
        <v>31</v>
      </c>
      <c r="C5699" t="s">
        <v>32</v>
      </c>
      <c r="D5699" t="s">
        <v>771</v>
      </c>
      <c r="E5699" t="s">
        <v>840</v>
      </c>
      <c r="F5699" t="s">
        <v>35</v>
      </c>
      <c r="G5699" t="s">
        <v>35</v>
      </c>
      <c r="H5699" t="s">
        <v>35</v>
      </c>
      <c r="J5699" t="s">
        <v>6200</v>
      </c>
      <c r="K5699" t="s">
        <v>1092</v>
      </c>
      <c r="M5699">
        <v>0.18</v>
      </c>
      <c r="N5699">
        <v>118</v>
      </c>
      <c r="O5699" t="s">
        <v>106</v>
      </c>
      <c r="Q5699" t="s">
        <v>1469</v>
      </c>
      <c r="R5699" t="s">
        <v>844</v>
      </c>
      <c r="S5699" t="s">
        <v>806</v>
      </c>
    </row>
    <row r="5700" spans="1:19" x14ac:dyDescent="0.25">
      <c r="A5700" t="s">
        <v>59</v>
      </c>
      <c r="B5700" t="s">
        <v>31</v>
      </c>
      <c r="C5700" t="s">
        <v>32</v>
      </c>
      <c r="D5700" t="s">
        <v>771</v>
      </c>
      <c r="E5700" t="s">
        <v>840</v>
      </c>
      <c r="F5700" t="s">
        <v>35</v>
      </c>
      <c r="G5700" t="s">
        <v>35</v>
      </c>
      <c r="H5700" t="s">
        <v>35</v>
      </c>
      <c r="J5700" t="s">
        <v>6201</v>
      </c>
      <c r="K5700" t="s">
        <v>1092</v>
      </c>
      <c r="M5700">
        <v>10.035</v>
      </c>
      <c r="N5700">
        <v>13</v>
      </c>
      <c r="O5700" t="s">
        <v>46</v>
      </c>
      <c r="Q5700" t="s">
        <v>310</v>
      </c>
      <c r="R5700" t="s">
        <v>844</v>
      </c>
      <c r="S5700" t="s">
        <v>806</v>
      </c>
    </row>
    <row r="5701" spans="1:19" x14ac:dyDescent="0.25">
      <c r="A5701" t="s">
        <v>30</v>
      </c>
      <c r="B5701" t="s">
        <v>31</v>
      </c>
      <c r="C5701" t="s">
        <v>32</v>
      </c>
      <c r="D5701" t="s">
        <v>771</v>
      </c>
      <c r="E5701" t="s">
        <v>840</v>
      </c>
      <c r="F5701" t="s">
        <v>35</v>
      </c>
      <c r="G5701" t="s">
        <v>35</v>
      </c>
      <c r="H5701" t="s">
        <v>35</v>
      </c>
      <c r="J5701" t="s">
        <v>6201</v>
      </c>
      <c r="K5701" t="s">
        <v>1092</v>
      </c>
      <c r="M5701">
        <v>0.94499999999999995</v>
      </c>
      <c r="N5701">
        <v>236</v>
      </c>
      <c r="O5701" t="s">
        <v>5</v>
      </c>
      <c r="Q5701" t="s">
        <v>1140</v>
      </c>
      <c r="R5701" t="s">
        <v>6182</v>
      </c>
      <c r="S5701" t="s">
        <v>841</v>
      </c>
    </row>
    <row r="5702" spans="1:19" x14ac:dyDescent="0.25">
      <c r="A5702" t="s">
        <v>30</v>
      </c>
      <c r="B5702" t="s">
        <v>31</v>
      </c>
      <c r="C5702" t="s">
        <v>32</v>
      </c>
      <c r="D5702" t="s">
        <v>771</v>
      </c>
      <c r="E5702" t="s">
        <v>840</v>
      </c>
      <c r="F5702" t="s">
        <v>35</v>
      </c>
      <c r="G5702" t="s">
        <v>35</v>
      </c>
      <c r="H5702" t="s">
        <v>35</v>
      </c>
      <c r="J5702" t="s">
        <v>6202</v>
      </c>
      <c r="K5702" t="s">
        <v>1092</v>
      </c>
      <c r="M5702">
        <v>2.1150000000000002</v>
      </c>
      <c r="N5702">
        <v>98</v>
      </c>
      <c r="O5702" t="s">
        <v>106</v>
      </c>
      <c r="Q5702" t="s">
        <v>108</v>
      </c>
      <c r="R5702" t="s">
        <v>6182</v>
      </c>
      <c r="S5702" t="s">
        <v>841</v>
      </c>
    </row>
    <row r="5703" spans="1:19" x14ac:dyDescent="0.25">
      <c r="A5703" t="s">
        <v>30</v>
      </c>
      <c r="B5703" t="s">
        <v>31</v>
      </c>
      <c r="C5703" t="s">
        <v>32</v>
      </c>
      <c r="D5703" t="s">
        <v>771</v>
      </c>
      <c r="E5703" t="s">
        <v>840</v>
      </c>
      <c r="F5703" t="s">
        <v>35</v>
      </c>
      <c r="G5703" t="s">
        <v>35</v>
      </c>
      <c r="H5703" t="s">
        <v>35</v>
      </c>
      <c r="J5703" t="s">
        <v>6202</v>
      </c>
      <c r="K5703" t="s">
        <v>1092</v>
      </c>
      <c r="M5703">
        <v>1.665</v>
      </c>
      <c r="N5703">
        <v>289</v>
      </c>
      <c r="O5703" t="s">
        <v>5</v>
      </c>
      <c r="Q5703" t="s">
        <v>1172</v>
      </c>
      <c r="R5703" t="s">
        <v>6182</v>
      </c>
      <c r="S5703" t="s">
        <v>841</v>
      </c>
    </row>
    <row r="5704" spans="1:19" x14ac:dyDescent="0.25">
      <c r="A5704" t="s">
        <v>30</v>
      </c>
      <c r="B5704" t="s">
        <v>31</v>
      </c>
      <c r="C5704" t="s">
        <v>32</v>
      </c>
      <c r="D5704" t="s">
        <v>771</v>
      </c>
      <c r="E5704" t="s">
        <v>840</v>
      </c>
      <c r="F5704" t="s">
        <v>35</v>
      </c>
      <c r="G5704" t="s">
        <v>35</v>
      </c>
      <c r="H5704" t="s">
        <v>35</v>
      </c>
      <c r="J5704" t="s">
        <v>6202</v>
      </c>
      <c r="K5704" t="s">
        <v>1092</v>
      </c>
      <c r="M5704">
        <v>8.01</v>
      </c>
      <c r="N5704">
        <v>273</v>
      </c>
      <c r="O5704" t="s">
        <v>5</v>
      </c>
      <c r="Q5704" t="s">
        <v>1989</v>
      </c>
      <c r="R5704" t="s">
        <v>6182</v>
      </c>
      <c r="S5704" t="s">
        <v>841</v>
      </c>
    </row>
    <row r="5705" spans="1:19" x14ac:dyDescent="0.25">
      <c r="A5705" t="s">
        <v>44</v>
      </c>
      <c r="B5705" t="s">
        <v>3</v>
      </c>
      <c r="C5705" t="s">
        <v>32</v>
      </c>
      <c r="D5705" t="s">
        <v>771</v>
      </c>
      <c r="E5705" t="s">
        <v>840</v>
      </c>
      <c r="F5705" t="s">
        <v>35</v>
      </c>
      <c r="G5705" t="s">
        <v>35</v>
      </c>
      <c r="H5705" t="s">
        <v>35</v>
      </c>
      <c r="J5705" t="s">
        <v>6202</v>
      </c>
      <c r="K5705" t="s">
        <v>1092</v>
      </c>
      <c r="M5705">
        <v>1</v>
      </c>
      <c r="N5705">
        <v>405</v>
      </c>
      <c r="O5705" t="s">
        <v>294</v>
      </c>
      <c r="Q5705" t="s">
        <v>4257</v>
      </c>
      <c r="R5705" t="s">
        <v>6182</v>
      </c>
      <c r="S5705" t="s">
        <v>841</v>
      </c>
    </row>
    <row r="5706" spans="1:19" x14ac:dyDescent="0.25">
      <c r="A5706" t="s">
        <v>30</v>
      </c>
      <c r="B5706" t="s">
        <v>31</v>
      </c>
      <c r="C5706" t="s">
        <v>32</v>
      </c>
      <c r="D5706" t="s">
        <v>771</v>
      </c>
      <c r="E5706" t="s">
        <v>840</v>
      </c>
      <c r="F5706" t="s">
        <v>35</v>
      </c>
      <c r="G5706" t="s">
        <v>35</v>
      </c>
      <c r="H5706" t="s">
        <v>35</v>
      </c>
      <c r="J5706" t="s">
        <v>6203</v>
      </c>
      <c r="K5706" t="s">
        <v>1092</v>
      </c>
      <c r="M5706">
        <v>0.67500000000000004</v>
      </c>
      <c r="N5706">
        <v>98</v>
      </c>
      <c r="O5706" t="s">
        <v>106</v>
      </c>
      <c r="Q5706" t="s">
        <v>108</v>
      </c>
      <c r="R5706" t="s">
        <v>6182</v>
      </c>
      <c r="S5706" t="s">
        <v>841</v>
      </c>
    </row>
    <row r="5707" spans="1:19" x14ac:dyDescent="0.25">
      <c r="A5707" t="s">
        <v>59</v>
      </c>
      <c r="B5707" t="s">
        <v>31</v>
      </c>
      <c r="C5707" t="s">
        <v>32</v>
      </c>
      <c r="D5707" t="s">
        <v>771</v>
      </c>
      <c r="E5707" t="s">
        <v>840</v>
      </c>
      <c r="F5707" t="s">
        <v>35</v>
      </c>
      <c r="G5707" t="s">
        <v>35</v>
      </c>
      <c r="H5707" t="s">
        <v>35</v>
      </c>
      <c r="J5707" t="s">
        <v>6203</v>
      </c>
      <c r="K5707" t="s">
        <v>1092</v>
      </c>
      <c r="M5707">
        <v>4.4999999999999998E-2</v>
      </c>
      <c r="N5707">
        <v>418</v>
      </c>
      <c r="O5707" t="s">
        <v>294</v>
      </c>
      <c r="Q5707" t="s">
        <v>6204</v>
      </c>
      <c r="R5707" t="s">
        <v>6182</v>
      </c>
      <c r="S5707" t="s">
        <v>841</v>
      </c>
    </row>
    <row r="5708" spans="1:19" x14ac:dyDescent="0.25">
      <c r="A5708" t="s">
        <v>30</v>
      </c>
      <c r="B5708" t="s">
        <v>31</v>
      </c>
      <c r="C5708" t="s">
        <v>32</v>
      </c>
      <c r="D5708" t="s">
        <v>771</v>
      </c>
      <c r="E5708" t="s">
        <v>840</v>
      </c>
      <c r="F5708" t="s">
        <v>35</v>
      </c>
      <c r="G5708" t="s">
        <v>35</v>
      </c>
      <c r="H5708" t="s">
        <v>35</v>
      </c>
      <c r="J5708" t="s">
        <v>6205</v>
      </c>
      <c r="K5708" t="s">
        <v>1092</v>
      </c>
      <c r="M5708">
        <v>1.125</v>
      </c>
      <c r="N5708">
        <v>98</v>
      </c>
      <c r="O5708" t="s">
        <v>106</v>
      </c>
      <c r="Q5708" t="s">
        <v>108</v>
      </c>
      <c r="R5708" t="s">
        <v>6182</v>
      </c>
      <c r="S5708" t="s">
        <v>841</v>
      </c>
    </row>
    <row r="5709" spans="1:19" x14ac:dyDescent="0.25">
      <c r="A5709" t="s">
        <v>30</v>
      </c>
      <c r="B5709" t="s">
        <v>31</v>
      </c>
      <c r="C5709" t="s">
        <v>32</v>
      </c>
      <c r="D5709" t="s">
        <v>771</v>
      </c>
      <c r="E5709" t="s">
        <v>840</v>
      </c>
      <c r="F5709" t="s">
        <v>35</v>
      </c>
      <c r="G5709" t="s">
        <v>35</v>
      </c>
      <c r="H5709" t="s">
        <v>35</v>
      </c>
      <c r="J5709" t="s">
        <v>6205</v>
      </c>
      <c r="K5709" t="s">
        <v>1092</v>
      </c>
      <c r="M5709">
        <v>2.25</v>
      </c>
      <c r="N5709">
        <v>289</v>
      </c>
      <c r="O5709" t="s">
        <v>5</v>
      </c>
      <c r="Q5709" t="s">
        <v>1172</v>
      </c>
      <c r="R5709" t="s">
        <v>6182</v>
      </c>
      <c r="S5709" t="s">
        <v>841</v>
      </c>
    </row>
    <row r="5710" spans="1:19" x14ac:dyDescent="0.25">
      <c r="A5710" t="s">
        <v>30</v>
      </c>
      <c r="B5710" t="s">
        <v>31</v>
      </c>
      <c r="C5710" t="s">
        <v>32</v>
      </c>
      <c r="D5710" t="s">
        <v>771</v>
      </c>
      <c r="E5710" t="s">
        <v>840</v>
      </c>
      <c r="F5710" t="s">
        <v>35</v>
      </c>
      <c r="G5710" t="s">
        <v>35</v>
      </c>
      <c r="H5710" t="s">
        <v>35</v>
      </c>
      <c r="J5710" t="s">
        <v>6206</v>
      </c>
      <c r="K5710" t="s">
        <v>1092</v>
      </c>
      <c r="M5710">
        <v>1.44</v>
      </c>
      <c r="N5710">
        <v>195</v>
      </c>
      <c r="O5710" t="s">
        <v>5</v>
      </c>
      <c r="Q5710" t="s">
        <v>2075</v>
      </c>
      <c r="R5710" t="s">
        <v>6096</v>
      </c>
      <c r="S5710" t="s">
        <v>6097</v>
      </c>
    </row>
    <row r="5711" spans="1:19" x14ac:dyDescent="0.25">
      <c r="A5711" t="s">
        <v>59</v>
      </c>
      <c r="B5711" t="s">
        <v>31</v>
      </c>
      <c r="C5711" t="s">
        <v>32</v>
      </c>
      <c r="D5711" t="s">
        <v>771</v>
      </c>
      <c r="E5711" t="s">
        <v>840</v>
      </c>
      <c r="F5711" t="s">
        <v>35</v>
      </c>
      <c r="G5711" t="s">
        <v>35</v>
      </c>
      <c r="H5711" t="s">
        <v>35</v>
      </c>
      <c r="J5711" t="s">
        <v>6207</v>
      </c>
      <c r="K5711" t="s">
        <v>1092</v>
      </c>
      <c r="M5711">
        <v>0.04</v>
      </c>
      <c r="N5711">
        <v>1276</v>
      </c>
      <c r="O5711" t="s">
        <v>575</v>
      </c>
      <c r="Q5711" t="s">
        <v>4685</v>
      </c>
      <c r="R5711" t="s">
        <v>6208</v>
      </c>
      <c r="S5711" t="s">
        <v>6209</v>
      </c>
    </row>
    <row r="5712" spans="1:19" x14ac:dyDescent="0.25">
      <c r="A5712" t="s">
        <v>30</v>
      </c>
      <c r="B5712" t="s">
        <v>31</v>
      </c>
      <c r="C5712" t="s">
        <v>32</v>
      </c>
      <c r="D5712" t="s">
        <v>771</v>
      </c>
      <c r="E5712" t="s">
        <v>840</v>
      </c>
      <c r="F5712" t="s">
        <v>35</v>
      </c>
      <c r="G5712" t="s">
        <v>35</v>
      </c>
      <c r="H5712" t="s">
        <v>35</v>
      </c>
      <c r="J5712" t="s">
        <v>6211</v>
      </c>
      <c r="K5712" t="s">
        <v>1092</v>
      </c>
      <c r="M5712">
        <v>7.02</v>
      </c>
      <c r="N5712">
        <v>293</v>
      </c>
      <c r="O5712" t="s">
        <v>5</v>
      </c>
      <c r="Q5712" t="s">
        <v>6131</v>
      </c>
      <c r="R5712" t="s">
        <v>934</v>
      </c>
      <c r="S5712" t="s">
        <v>935</v>
      </c>
    </row>
    <row r="5713" spans="1:19" x14ac:dyDescent="0.25">
      <c r="A5713" t="s">
        <v>30</v>
      </c>
      <c r="B5713" t="s">
        <v>31</v>
      </c>
      <c r="C5713" t="s">
        <v>32</v>
      </c>
      <c r="D5713" t="s">
        <v>771</v>
      </c>
      <c r="E5713" t="s">
        <v>840</v>
      </c>
      <c r="F5713" t="s">
        <v>35</v>
      </c>
      <c r="G5713" t="s">
        <v>35</v>
      </c>
      <c r="H5713" t="s">
        <v>35</v>
      </c>
      <c r="J5713" t="s">
        <v>6212</v>
      </c>
      <c r="K5713" t="s">
        <v>1092</v>
      </c>
      <c r="M5713">
        <v>5.0000000000000001E-3</v>
      </c>
      <c r="N5713">
        <v>380</v>
      </c>
      <c r="O5713" t="s">
        <v>294</v>
      </c>
      <c r="Q5713" t="s">
        <v>2664</v>
      </c>
      <c r="R5713" t="s">
        <v>6182</v>
      </c>
      <c r="S5713" t="s">
        <v>841</v>
      </c>
    </row>
    <row r="5714" spans="1:19" x14ac:dyDescent="0.25">
      <c r="A5714" t="s">
        <v>30</v>
      </c>
      <c r="B5714" t="s">
        <v>31</v>
      </c>
      <c r="C5714" t="s">
        <v>32</v>
      </c>
      <c r="D5714" t="s">
        <v>771</v>
      </c>
      <c r="E5714" t="s">
        <v>840</v>
      </c>
      <c r="F5714" t="s">
        <v>35</v>
      </c>
      <c r="G5714" t="s">
        <v>35</v>
      </c>
      <c r="H5714" t="s">
        <v>35</v>
      </c>
      <c r="J5714" t="s">
        <v>6213</v>
      </c>
      <c r="K5714" t="s">
        <v>1092</v>
      </c>
      <c r="M5714">
        <v>3.2850000000000001</v>
      </c>
      <c r="N5714">
        <v>289</v>
      </c>
      <c r="O5714" t="s">
        <v>5</v>
      </c>
      <c r="Q5714" t="s">
        <v>1172</v>
      </c>
      <c r="R5714" t="s">
        <v>6196</v>
      </c>
      <c r="S5714" t="s">
        <v>6197</v>
      </c>
    </row>
    <row r="5715" spans="1:19" x14ac:dyDescent="0.25">
      <c r="A5715" t="s">
        <v>30</v>
      </c>
      <c r="B5715" t="s">
        <v>31</v>
      </c>
      <c r="C5715" t="s">
        <v>32</v>
      </c>
      <c r="D5715" t="s">
        <v>771</v>
      </c>
      <c r="E5715" t="s">
        <v>6214</v>
      </c>
      <c r="F5715" t="s">
        <v>35</v>
      </c>
      <c r="G5715" t="s">
        <v>35</v>
      </c>
      <c r="H5715" t="s">
        <v>35</v>
      </c>
      <c r="J5715" t="s">
        <v>6215</v>
      </c>
      <c r="K5715" t="s">
        <v>1092</v>
      </c>
      <c r="M5715">
        <v>0.45</v>
      </c>
      <c r="N5715">
        <v>16</v>
      </c>
      <c r="O5715" t="s">
        <v>46</v>
      </c>
      <c r="Q5715" t="s">
        <v>323</v>
      </c>
      <c r="R5715" t="s">
        <v>6217</v>
      </c>
      <c r="S5715" t="s">
        <v>6218</v>
      </c>
    </row>
    <row r="5716" spans="1:19" x14ac:dyDescent="0.25">
      <c r="A5716" t="s">
        <v>59</v>
      </c>
      <c r="B5716" t="s">
        <v>60</v>
      </c>
      <c r="C5716" t="s">
        <v>32</v>
      </c>
      <c r="D5716" t="s">
        <v>771</v>
      </c>
      <c r="E5716" t="s">
        <v>6214</v>
      </c>
      <c r="F5716" t="s">
        <v>35</v>
      </c>
      <c r="G5716" t="s">
        <v>35</v>
      </c>
      <c r="H5716" t="s">
        <v>35</v>
      </c>
      <c r="J5716" t="s">
        <v>6219</v>
      </c>
      <c r="K5716" t="s">
        <v>1092</v>
      </c>
      <c r="M5716">
        <v>2.35</v>
      </c>
      <c r="N5716">
        <v>153</v>
      </c>
      <c r="O5716" t="s">
        <v>38</v>
      </c>
      <c r="Q5716" t="s">
        <v>569</v>
      </c>
      <c r="R5716" t="s">
        <v>844</v>
      </c>
      <c r="S5716" t="s">
        <v>806</v>
      </c>
    </row>
    <row r="5717" spans="1:19" x14ac:dyDescent="0.25">
      <c r="A5717" t="s">
        <v>59</v>
      </c>
      <c r="B5717" t="s">
        <v>31</v>
      </c>
      <c r="C5717" t="s">
        <v>32</v>
      </c>
      <c r="D5717" t="s">
        <v>771</v>
      </c>
      <c r="E5717" t="s">
        <v>6214</v>
      </c>
      <c r="F5717" t="s">
        <v>35</v>
      </c>
      <c r="G5717" t="s">
        <v>35</v>
      </c>
      <c r="H5717" t="s">
        <v>35</v>
      </c>
      <c r="J5717" t="s">
        <v>1659</v>
      </c>
      <c r="K5717" t="s">
        <v>1144</v>
      </c>
      <c r="M5717">
        <v>1.845</v>
      </c>
      <c r="N5717">
        <v>1082</v>
      </c>
      <c r="O5717" t="s">
        <v>575</v>
      </c>
      <c r="Q5717" t="s">
        <v>6220</v>
      </c>
      <c r="R5717" t="s">
        <v>844</v>
      </c>
      <c r="S5717" t="s">
        <v>806</v>
      </c>
    </row>
    <row r="5718" spans="1:19" x14ac:dyDescent="0.25">
      <c r="A5718" t="s">
        <v>59</v>
      </c>
      <c r="B5718" t="s">
        <v>60</v>
      </c>
      <c r="C5718" t="s">
        <v>32</v>
      </c>
      <c r="D5718" t="s">
        <v>771</v>
      </c>
      <c r="E5718" t="s">
        <v>6214</v>
      </c>
      <c r="F5718" t="s">
        <v>35</v>
      </c>
      <c r="G5718" t="s">
        <v>35</v>
      </c>
      <c r="H5718" t="s">
        <v>35</v>
      </c>
      <c r="J5718" t="s">
        <v>1659</v>
      </c>
      <c r="K5718" t="s">
        <v>1144</v>
      </c>
      <c r="M5718">
        <v>2.75</v>
      </c>
      <c r="N5718">
        <v>1082</v>
      </c>
      <c r="O5718" t="s">
        <v>575</v>
      </c>
      <c r="Q5718" t="s">
        <v>6220</v>
      </c>
      <c r="R5718" t="s">
        <v>844</v>
      </c>
      <c r="S5718" t="s">
        <v>806</v>
      </c>
    </row>
    <row r="5719" spans="1:19" x14ac:dyDescent="0.25">
      <c r="A5719" t="s">
        <v>44</v>
      </c>
      <c r="B5719" t="s">
        <v>51</v>
      </c>
      <c r="C5719" t="s">
        <v>32</v>
      </c>
      <c r="D5719" t="s">
        <v>771</v>
      </c>
      <c r="E5719" t="s">
        <v>6214</v>
      </c>
      <c r="F5719" t="s">
        <v>35</v>
      </c>
      <c r="G5719" t="s">
        <v>35</v>
      </c>
      <c r="H5719" t="s">
        <v>35</v>
      </c>
      <c r="J5719" t="s">
        <v>6221</v>
      </c>
      <c r="K5719" t="s">
        <v>1144</v>
      </c>
      <c r="M5719">
        <v>1</v>
      </c>
      <c r="N5719">
        <v>35</v>
      </c>
      <c r="O5719" t="s">
        <v>52</v>
      </c>
      <c r="Q5719" t="s">
        <v>48</v>
      </c>
      <c r="R5719" t="s">
        <v>934</v>
      </c>
      <c r="S5719" t="s">
        <v>935</v>
      </c>
    </row>
    <row r="5720" spans="1:19" x14ac:dyDescent="0.25">
      <c r="A5720" t="s">
        <v>30</v>
      </c>
      <c r="B5720" t="s">
        <v>31</v>
      </c>
      <c r="C5720" t="s">
        <v>32</v>
      </c>
      <c r="D5720" t="s">
        <v>771</v>
      </c>
      <c r="E5720" t="s">
        <v>6214</v>
      </c>
      <c r="F5720" t="s">
        <v>35</v>
      </c>
      <c r="G5720" t="s">
        <v>35</v>
      </c>
      <c r="H5720" t="s">
        <v>35</v>
      </c>
      <c r="J5720" t="s">
        <v>6221</v>
      </c>
      <c r="K5720" t="s">
        <v>1144</v>
      </c>
      <c r="M5720">
        <v>12.015000000000001</v>
      </c>
      <c r="N5720">
        <v>47</v>
      </c>
      <c r="O5720" t="s">
        <v>52</v>
      </c>
      <c r="Q5720" t="s">
        <v>132</v>
      </c>
      <c r="R5720" t="s">
        <v>849</v>
      </c>
      <c r="S5720" t="s">
        <v>850</v>
      </c>
    </row>
    <row r="5721" spans="1:19" x14ac:dyDescent="0.25">
      <c r="A5721" t="s">
        <v>59</v>
      </c>
      <c r="B5721" t="s">
        <v>60</v>
      </c>
      <c r="C5721" t="s">
        <v>32</v>
      </c>
      <c r="D5721" t="s">
        <v>771</v>
      </c>
      <c r="E5721" t="s">
        <v>6214</v>
      </c>
      <c r="F5721" t="s">
        <v>35</v>
      </c>
      <c r="G5721" t="s">
        <v>35</v>
      </c>
      <c r="H5721" t="s">
        <v>35</v>
      </c>
      <c r="J5721" t="s">
        <v>6222</v>
      </c>
      <c r="K5721" t="s">
        <v>1092</v>
      </c>
      <c r="M5721">
        <v>2.5000000000000001E-2</v>
      </c>
      <c r="N5721">
        <v>232</v>
      </c>
      <c r="O5721" t="s">
        <v>5</v>
      </c>
      <c r="Q5721" t="s">
        <v>6223</v>
      </c>
      <c r="R5721" t="s">
        <v>6163</v>
      </c>
      <c r="S5721" t="s">
        <v>823</v>
      </c>
    </row>
    <row r="5722" spans="1:19" x14ac:dyDescent="0.25">
      <c r="A5722" t="s">
        <v>59</v>
      </c>
      <c r="B5722" t="s">
        <v>31</v>
      </c>
      <c r="C5722" t="s">
        <v>32</v>
      </c>
      <c r="D5722" t="s">
        <v>771</v>
      </c>
      <c r="E5722" t="s">
        <v>6214</v>
      </c>
      <c r="F5722" t="s">
        <v>35</v>
      </c>
      <c r="G5722" t="s">
        <v>35</v>
      </c>
      <c r="H5722" t="s">
        <v>35</v>
      </c>
      <c r="J5722" t="s">
        <v>6224</v>
      </c>
      <c r="K5722" t="s">
        <v>1092</v>
      </c>
      <c r="M5722">
        <v>1.98</v>
      </c>
      <c r="N5722">
        <v>38</v>
      </c>
      <c r="O5722" t="s">
        <v>52</v>
      </c>
      <c r="Q5722" t="s">
        <v>748</v>
      </c>
      <c r="R5722" t="s">
        <v>934</v>
      </c>
      <c r="S5722" t="s">
        <v>935</v>
      </c>
    </row>
    <row r="5723" spans="1:19" x14ac:dyDescent="0.25">
      <c r="A5723" t="s">
        <v>59</v>
      </c>
      <c r="B5723" t="s">
        <v>60</v>
      </c>
      <c r="C5723" t="s">
        <v>32</v>
      </c>
      <c r="D5723" t="s">
        <v>771</v>
      </c>
      <c r="E5723" t="s">
        <v>6214</v>
      </c>
      <c r="F5723" t="s">
        <v>35</v>
      </c>
      <c r="G5723" t="s">
        <v>35</v>
      </c>
      <c r="H5723" t="s">
        <v>35</v>
      </c>
      <c r="J5723" t="s">
        <v>1204</v>
      </c>
      <c r="K5723" t="s">
        <v>1092</v>
      </c>
      <c r="M5723">
        <v>10</v>
      </c>
      <c r="N5723">
        <v>15</v>
      </c>
      <c r="O5723" t="s">
        <v>46</v>
      </c>
      <c r="Q5723" t="s">
        <v>1944</v>
      </c>
      <c r="R5723" t="s">
        <v>6033</v>
      </c>
      <c r="S5723" t="s">
        <v>6034</v>
      </c>
    </row>
    <row r="5724" spans="1:19" x14ac:dyDescent="0.25">
      <c r="A5724" t="s">
        <v>59</v>
      </c>
      <c r="B5724" t="s">
        <v>60</v>
      </c>
      <c r="C5724" t="s">
        <v>32</v>
      </c>
      <c r="D5724" t="s">
        <v>771</v>
      </c>
      <c r="E5724" t="s">
        <v>6214</v>
      </c>
      <c r="F5724" t="s">
        <v>35</v>
      </c>
      <c r="G5724" t="s">
        <v>35</v>
      </c>
      <c r="H5724" t="s">
        <v>35</v>
      </c>
      <c r="J5724" t="s">
        <v>1204</v>
      </c>
      <c r="K5724" t="s">
        <v>1092</v>
      </c>
      <c r="M5724">
        <v>5</v>
      </c>
      <c r="N5724">
        <v>42</v>
      </c>
      <c r="O5724" t="s">
        <v>52</v>
      </c>
      <c r="Q5724" t="s">
        <v>991</v>
      </c>
      <c r="R5724" t="s">
        <v>934</v>
      </c>
      <c r="S5724" t="s">
        <v>935</v>
      </c>
    </row>
    <row r="5725" spans="1:19" x14ac:dyDescent="0.25">
      <c r="A5725" t="s">
        <v>30</v>
      </c>
      <c r="B5725" t="s">
        <v>31</v>
      </c>
      <c r="C5725" t="s">
        <v>32</v>
      </c>
      <c r="D5725" t="s">
        <v>771</v>
      </c>
      <c r="E5725" t="s">
        <v>6214</v>
      </c>
      <c r="F5725" t="s">
        <v>35</v>
      </c>
      <c r="G5725" t="s">
        <v>35</v>
      </c>
      <c r="H5725" t="s">
        <v>35</v>
      </c>
      <c r="J5725" t="s">
        <v>6225</v>
      </c>
      <c r="K5725" t="s">
        <v>1092</v>
      </c>
      <c r="M5725">
        <v>6.66</v>
      </c>
      <c r="N5725">
        <v>48</v>
      </c>
      <c r="O5725" t="s">
        <v>52</v>
      </c>
      <c r="Q5725" t="s">
        <v>496</v>
      </c>
      <c r="R5725" t="s">
        <v>934</v>
      </c>
      <c r="S5725" t="s">
        <v>935</v>
      </c>
    </row>
    <row r="5726" spans="1:19" x14ac:dyDescent="0.25">
      <c r="A5726" t="s">
        <v>59</v>
      </c>
      <c r="B5726" t="s">
        <v>31</v>
      </c>
      <c r="C5726" t="s">
        <v>32</v>
      </c>
      <c r="D5726" t="s">
        <v>771</v>
      </c>
      <c r="E5726" t="s">
        <v>6214</v>
      </c>
      <c r="F5726" t="s">
        <v>35</v>
      </c>
      <c r="G5726" t="s">
        <v>35</v>
      </c>
      <c r="H5726" t="s">
        <v>35</v>
      </c>
      <c r="J5726" t="s">
        <v>6225</v>
      </c>
      <c r="K5726" t="s">
        <v>1092</v>
      </c>
      <c r="M5726">
        <v>0.58499999999999996</v>
      </c>
      <c r="N5726">
        <v>91</v>
      </c>
      <c r="O5726" t="s">
        <v>106</v>
      </c>
      <c r="Q5726" t="s">
        <v>1147</v>
      </c>
      <c r="R5726" t="s">
        <v>934</v>
      </c>
      <c r="S5726" t="s">
        <v>935</v>
      </c>
    </row>
    <row r="5727" spans="1:19" x14ac:dyDescent="0.25">
      <c r="A5727" t="s">
        <v>59</v>
      </c>
      <c r="B5727" t="s">
        <v>60</v>
      </c>
      <c r="C5727" t="s">
        <v>32</v>
      </c>
      <c r="D5727" t="s">
        <v>771</v>
      </c>
      <c r="E5727" t="s">
        <v>6214</v>
      </c>
      <c r="F5727" t="s">
        <v>35</v>
      </c>
      <c r="G5727" t="s">
        <v>35</v>
      </c>
      <c r="H5727" t="s">
        <v>35</v>
      </c>
      <c r="J5727" t="s">
        <v>6225</v>
      </c>
      <c r="K5727" t="s">
        <v>1092</v>
      </c>
      <c r="M5727">
        <v>9.6999999999999993</v>
      </c>
      <c r="N5727">
        <v>46</v>
      </c>
      <c r="O5727" t="s">
        <v>52</v>
      </c>
      <c r="Q5727" t="s">
        <v>493</v>
      </c>
      <c r="R5727" t="s">
        <v>934</v>
      </c>
      <c r="S5727" t="s">
        <v>935</v>
      </c>
    </row>
    <row r="5728" spans="1:19" x14ac:dyDescent="0.25">
      <c r="A5728" t="s">
        <v>59</v>
      </c>
      <c r="B5728" t="s">
        <v>60</v>
      </c>
      <c r="C5728" t="s">
        <v>32</v>
      </c>
      <c r="D5728" t="s">
        <v>771</v>
      </c>
      <c r="E5728" t="s">
        <v>6214</v>
      </c>
      <c r="F5728" t="s">
        <v>35</v>
      </c>
      <c r="G5728" t="s">
        <v>35</v>
      </c>
      <c r="H5728" t="s">
        <v>35</v>
      </c>
      <c r="J5728" t="s">
        <v>6226</v>
      </c>
      <c r="K5728" t="s">
        <v>1092</v>
      </c>
      <c r="M5728">
        <v>6.05</v>
      </c>
      <c r="N5728">
        <v>76</v>
      </c>
      <c r="O5728" t="s">
        <v>61</v>
      </c>
      <c r="Q5728" t="s">
        <v>234</v>
      </c>
      <c r="R5728" t="s">
        <v>6227</v>
      </c>
      <c r="S5728" t="s">
        <v>853</v>
      </c>
    </row>
    <row r="5729" spans="1:19" x14ac:dyDescent="0.25">
      <c r="A5729" t="s">
        <v>59</v>
      </c>
      <c r="B5729" t="s">
        <v>60</v>
      </c>
      <c r="C5729" t="s">
        <v>32</v>
      </c>
      <c r="D5729" t="s">
        <v>771</v>
      </c>
      <c r="E5729" t="s">
        <v>6214</v>
      </c>
      <c r="F5729" t="s">
        <v>35</v>
      </c>
      <c r="G5729" t="s">
        <v>35</v>
      </c>
      <c r="H5729" t="s">
        <v>35</v>
      </c>
      <c r="J5729" t="s">
        <v>6228</v>
      </c>
      <c r="K5729" t="s">
        <v>1092</v>
      </c>
      <c r="M5729">
        <v>4.25</v>
      </c>
      <c r="N5729">
        <v>40</v>
      </c>
      <c r="O5729" t="s">
        <v>52</v>
      </c>
      <c r="Q5729" t="s">
        <v>130</v>
      </c>
      <c r="R5729" t="s">
        <v>6169</v>
      </c>
      <c r="S5729" t="s">
        <v>904</v>
      </c>
    </row>
    <row r="5730" spans="1:19" x14ac:dyDescent="0.25">
      <c r="A5730" t="s">
        <v>59</v>
      </c>
      <c r="B5730" t="s">
        <v>31</v>
      </c>
      <c r="C5730" t="s">
        <v>32</v>
      </c>
      <c r="D5730" t="s">
        <v>771</v>
      </c>
      <c r="E5730" t="s">
        <v>6214</v>
      </c>
      <c r="F5730" t="s">
        <v>35</v>
      </c>
      <c r="G5730" t="s">
        <v>35</v>
      </c>
      <c r="H5730" t="s">
        <v>35</v>
      </c>
      <c r="J5730" t="s">
        <v>6228</v>
      </c>
      <c r="K5730" t="s">
        <v>1092</v>
      </c>
      <c r="M5730">
        <v>0.495</v>
      </c>
      <c r="N5730">
        <v>40</v>
      </c>
      <c r="O5730" t="s">
        <v>52</v>
      </c>
      <c r="Q5730" t="s">
        <v>130</v>
      </c>
      <c r="R5730" t="s">
        <v>6169</v>
      </c>
      <c r="S5730" t="s">
        <v>904</v>
      </c>
    </row>
    <row r="5731" spans="1:19" x14ac:dyDescent="0.25">
      <c r="A5731" t="s">
        <v>59</v>
      </c>
      <c r="B5731" t="s">
        <v>60</v>
      </c>
      <c r="C5731" t="s">
        <v>32</v>
      </c>
      <c r="D5731" t="s">
        <v>771</v>
      </c>
      <c r="E5731" t="s">
        <v>6214</v>
      </c>
      <c r="F5731" t="s">
        <v>35</v>
      </c>
      <c r="G5731" t="s">
        <v>35</v>
      </c>
      <c r="H5731" t="s">
        <v>35</v>
      </c>
      <c r="J5731" t="s">
        <v>6229</v>
      </c>
      <c r="K5731" t="s">
        <v>1092</v>
      </c>
      <c r="M5731">
        <v>5</v>
      </c>
      <c r="N5731">
        <v>46</v>
      </c>
      <c r="O5731" t="s">
        <v>52</v>
      </c>
      <c r="Q5731" t="s">
        <v>493</v>
      </c>
      <c r="R5731" t="s">
        <v>919</v>
      </c>
      <c r="S5731" t="s">
        <v>784</v>
      </c>
    </row>
    <row r="5732" spans="1:19" x14ac:dyDescent="0.25">
      <c r="A5732" t="s">
        <v>59</v>
      </c>
      <c r="B5732" t="s">
        <v>60</v>
      </c>
      <c r="C5732" t="s">
        <v>32</v>
      </c>
      <c r="D5732" t="s">
        <v>771</v>
      </c>
      <c r="E5732" t="s">
        <v>6214</v>
      </c>
      <c r="F5732" t="s">
        <v>35</v>
      </c>
      <c r="G5732" t="s">
        <v>35</v>
      </c>
      <c r="H5732" t="s">
        <v>35</v>
      </c>
      <c r="J5732" t="s">
        <v>6230</v>
      </c>
      <c r="K5732" t="s">
        <v>1092</v>
      </c>
      <c r="M5732">
        <v>0.3</v>
      </c>
      <c r="N5732">
        <v>40</v>
      </c>
      <c r="O5732" t="s">
        <v>52</v>
      </c>
      <c r="Q5732" t="s">
        <v>130</v>
      </c>
      <c r="R5732" t="s">
        <v>6169</v>
      </c>
      <c r="S5732" t="s">
        <v>904</v>
      </c>
    </row>
    <row r="5733" spans="1:19" x14ac:dyDescent="0.25">
      <c r="A5733" t="s">
        <v>59</v>
      </c>
      <c r="B5733" t="s">
        <v>60</v>
      </c>
      <c r="C5733" t="s">
        <v>32</v>
      </c>
      <c r="D5733" t="s">
        <v>771</v>
      </c>
      <c r="E5733" t="s">
        <v>6214</v>
      </c>
      <c r="F5733" t="s">
        <v>35</v>
      </c>
      <c r="G5733" t="s">
        <v>35</v>
      </c>
      <c r="H5733" t="s">
        <v>35</v>
      </c>
      <c r="J5733" t="s">
        <v>6231</v>
      </c>
      <c r="K5733" t="s">
        <v>1092</v>
      </c>
      <c r="M5733">
        <v>7</v>
      </c>
      <c r="N5733">
        <v>44</v>
      </c>
      <c r="O5733" t="s">
        <v>52</v>
      </c>
      <c r="Q5733" t="s">
        <v>192</v>
      </c>
      <c r="R5733" t="s">
        <v>5992</v>
      </c>
      <c r="S5733" t="s">
        <v>817</v>
      </c>
    </row>
    <row r="5734" spans="1:19" x14ac:dyDescent="0.25">
      <c r="A5734" t="s">
        <v>59</v>
      </c>
      <c r="B5734" t="s">
        <v>60</v>
      </c>
      <c r="C5734" t="s">
        <v>32</v>
      </c>
      <c r="D5734" t="s">
        <v>771</v>
      </c>
      <c r="E5734" t="s">
        <v>6214</v>
      </c>
      <c r="F5734" t="s">
        <v>35</v>
      </c>
      <c r="G5734" t="s">
        <v>35</v>
      </c>
      <c r="H5734" t="s">
        <v>35</v>
      </c>
      <c r="J5734" t="s">
        <v>6232</v>
      </c>
      <c r="K5734" t="s">
        <v>1092</v>
      </c>
      <c r="M5734">
        <v>7</v>
      </c>
      <c r="N5734">
        <v>46</v>
      </c>
      <c r="O5734" t="s">
        <v>52</v>
      </c>
      <c r="Q5734" t="s">
        <v>493</v>
      </c>
      <c r="R5734" t="s">
        <v>919</v>
      </c>
      <c r="S5734" t="s">
        <v>784</v>
      </c>
    </row>
    <row r="5735" spans="1:19" x14ac:dyDescent="0.25">
      <c r="A5735" t="s">
        <v>30</v>
      </c>
      <c r="B5735" t="s">
        <v>31</v>
      </c>
      <c r="C5735" t="s">
        <v>32</v>
      </c>
      <c r="D5735" t="s">
        <v>771</v>
      </c>
      <c r="E5735" t="s">
        <v>6214</v>
      </c>
      <c r="F5735" t="s">
        <v>35</v>
      </c>
      <c r="G5735" t="s">
        <v>35</v>
      </c>
      <c r="H5735" t="s">
        <v>35</v>
      </c>
      <c r="J5735" t="s">
        <v>2424</v>
      </c>
      <c r="K5735" t="s">
        <v>1092</v>
      </c>
      <c r="M5735">
        <v>5.58</v>
      </c>
      <c r="N5735">
        <v>104</v>
      </c>
      <c r="O5735" t="s">
        <v>106</v>
      </c>
      <c r="Q5735" t="s">
        <v>2577</v>
      </c>
      <c r="R5735" t="s">
        <v>6163</v>
      </c>
      <c r="S5735" t="s">
        <v>823</v>
      </c>
    </row>
    <row r="5736" spans="1:19" x14ac:dyDescent="0.25">
      <c r="A5736" t="s">
        <v>59</v>
      </c>
      <c r="B5736" t="s">
        <v>31</v>
      </c>
      <c r="C5736" t="s">
        <v>32</v>
      </c>
      <c r="D5736" t="s">
        <v>771</v>
      </c>
      <c r="E5736" t="s">
        <v>6214</v>
      </c>
      <c r="F5736" t="s">
        <v>35</v>
      </c>
      <c r="G5736" t="s">
        <v>35</v>
      </c>
      <c r="H5736" t="s">
        <v>35</v>
      </c>
      <c r="J5736" t="s">
        <v>6233</v>
      </c>
      <c r="K5736" t="s">
        <v>1092</v>
      </c>
      <c r="M5736">
        <v>3.96</v>
      </c>
      <c r="N5736">
        <v>40</v>
      </c>
      <c r="O5736" t="s">
        <v>52</v>
      </c>
      <c r="Q5736" t="s">
        <v>130</v>
      </c>
      <c r="R5736" t="s">
        <v>6169</v>
      </c>
      <c r="S5736" t="s">
        <v>904</v>
      </c>
    </row>
    <row r="5737" spans="1:19" x14ac:dyDescent="0.25">
      <c r="A5737" t="s">
        <v>59</v>
      </c>
      <c r="B5737" t="s">
        <v>60</v>
      </c>
      <c r="C5737" t="s">
        <v>32</v>
      </c>
      <c r="D5737" t="s">
        <v>771</v>
      </c>
      <c r="E5737" t="s">
        <v>6214</v>
      </c>
      <c r="F5737" t="s">
        <v>35</v>
      </c>
      <c r="G5737" t="s">
        <v>35</v>
      </c>
      <c r="H5737" t="s">
        <v>35</v>
      </c>
      <c r="J5737" t="s">
        <v>6233</v>
      </c>
      <c r="K5737" t="s">
        <v>1092</v>
      </c>
      <c r="M5737">
        <v>3</v>
      </c>
      <c r="N5737">
        <v>40</v>
      </c>
      <c r="O5737" t="s">
        <v>52</v>
      </c>
      <c r="Q5737" t="s">
        <v>130</v>
      </c>
      <c r="R5737" t="s">
        <v>6169</v>
      </c>
      <c r="S5737" t="s">
        <v>904</v>
      </c>
    </row>
    <row r="5738" spans="1:19" x14ac:dyDescent="0.25">
      <c r="A5738" t="s">
        <v>59</v>
      </c>
      <c r="B5738" t="s">
        <v>60</v>
      </c>
      <c r="C5738" t="s">
        <v>32</v>
      </c>
      <c r="D5738" t="s">
        <v>771</v>
      </c>
      <c r="E5738" t="s">
        <v>6214</v>
      </c>
      <c r="F5738" t="s">
        <v>35</v>
      </c>
      <c r="G5738" t="s">
        <v>35</v>
      </c>
      <c r="H5738" t="s">
        <v>35</v>
      </c>
      <c r="J5738" t="s">
        <v>6234</v>
      </c>
      <c r="K5738" t="s">
        <v>1092</v>
      </c>
      <c r="M5738">
        <v>5.15</v>
      </c>
      <c r="N5738">
        <v>91</v>
      </c>
      <c r="O5738" t="s">
        <v>106</v>
      </c>
      <c r="Q5738" t="s">
        <v>1147</v>
      </c>
      <c r="R5738" t="s">
        <v>919</v>
      </c>
      <c r="S5738" t="s">
        <v>784</v>
      </c>
    </row>
    <row r="5739" spans="1:19" x14ac:dyDescent="0.25">
      <c r="A5739" t="s">
        <v>59</v>
      </c>
      <c r="B5739" t="s">
        <v>60</v>
      </c>
      <c r="C5739" t="s">
        <v>32</v>
      </c>
      <c r="D5739" t="s">
        <v>771</v>
      </c>
      <c r="E5739" t="s">
        <v>6214</v>
      </c>
      <c r="F5739" t="s">
        <v>35</v>
      </c>
      <c r="G5739" t="s">
        <v>35</v>
      </c>
      <c r="H5739" t="s">
        <v>35</v>
      </c>
      <c r="J5739" t="s">
        <v>6235</v>
      </c>
      <c r="K5739" t="s">
        <v>1092</v>
      </c>
      <c r="M5739">
        <v>4.5</v>
      </c>
      <c r="N5739">
        <v>89</v>
      </c>
      <c r="O5739" t="s">
        <v>61</v>
      </c>
      <c r="Q5739" t="s">
        <v>299</v>
      </c>
      <c r="R5739" t="s">
        <v>849</v>
      </c>
      <c r="S5739" t="s">
        <v>850</v>
      </c>
    </row>
    <row r="5740" spans="1:19" x14ac:dyDescent="0.25">
      <c r="A5740" t="s">
        <v>59</v>
      </c>
      <c r="B5740" t="s">
        <v>60</v>
      </c>
      <c r="C5740" t="s">
        <v>32</v>
      </c>
      <c r="D5740" t="s">
        <v>771</v>
      </c>
      <c r="E5740" t="s">
        <v>6214</v>
      </c>
      <c r="F5740" t="s">
        <v>35</v>
      </c>
      <c r="G5740" t="s">
        <v>35</v>
      </c>
      <c r="H5740" t="s">
        <v>35</v>
      </c>
      <c r="J5740" t="s">
        <v>6236</v>
      </c>
      <c r="K5740" t="s">
        <v>1092</v>
      </c>
      <c r="M5740">
        <v>4.4000000000000004</v>
      </c>
      <c r="N5740">
        <v>46</v>
      </c>
      <c r="O5740" t="s">
        <v>52</v>
      </c>
      <c r="Q5740" t="s">
        <v>493</v>
      </c>
      <c r="R5740" t="s">
        <v>919</v>
      </c>
      <c r="S5740" t="s">
        <v>784</v>
      </c>
    </row>
    <row r="5741" spans="1:19" x14ac:dyDescent="0.25">
      <c r="A5741" t="s">
        <v>59</v>
      </c>
      <c r="B5741" t="s">
        <v>31</v>
      </c>
      <c r="C5741" t="s">
        <v>32</v>
      </c>
      <c r="D5741" t="s">
        <v>771</v>
      </c>
      <c r="E5741" t="s">
        <v>6214</v>
      </c>
      <c r="F5741" t="s">
        <v>35</v>
      </c>
      <c r="G5741" t="s">
        <v>35</v>
      </c>
      <c r="H5741" t="s">
        <v>35</v>
      </c>
      <c r="J5741" t="s">
        <v>6237</v>
      </c>
      <c r="K5741" t="s">
        <v>1092</v>
      </c>
      <c r="M5741">
        <v>7.65</v>
      </c>
      <c r="N5741">
        <v>36</v>
      </c>
      <c r="O5741" t="s">
        <v>52</v>
      </c>
      <c r="Q5741" t="s">
        <v>2005</v>
      </c>
      <c r="R5741" t="s">
        <v>6227</v>
      </c>
      <c r="S5741" t="s">
        <v>853</v>
      </c>
    </row>
    <row r="5742" spans="1:19" x14ac:dyDescent="0.25">
      <c r="A5742" t="s">
        <v>30</v>
      </c>
      <c r="B5742" t="s">
        <v>31</v>
      </c>
      <c r="C5742" t="s">
        <v>32</v>
      </c>
      <c r="D5742" t="s">
        <v>771</v>
      </c>
      <c r="E5742" t="s">
        <v>6214</v>
      </c>
      <c r="F5742" t="s">
        <v>35</v>
      </c>
      <c r="G5742" t="s">
        <v>35</v>
      </c>
      <c r="H5742" t="s">
        <v>35</v>
      </c>
      <c r="J5742" t="s">
        <v>6237</v>
      </c>
      <c r="K5742" t="s">
        <v>1092</v>
      </c>
      <c r="M5742">
        <v>5.13</v>
      </c>
      <c r="N5742">
        <v>104</v>
      </c>
      <c r="O5742" t="s">
        <v>106</v>
      </c>
      <c r="Q5742" t="s">
        <v>2577</v>
      </c>
      <c r="R5742" t="s">
        <v>6163</v>
      </c>
      <c r="S5742" t="s">
        <v>823</v>
      </c>
    </row>
    <row r="5743" spans="1:19" x14ac:dyDescent="0.25">
      <c r="A5743" t="s">
        <v>59</v>
      </c>
      <c r="B5743" t="s">
        <v>31</v>
      </c>
      <c r="C5743" t="s">
        <v>32</v>
      </c>
      <c r="D5743" t="s">
        <v>771</v>
      </c>
      <c r="E5743" t="s">
        <v>6214</v>
      </c>
      <c r="F5743" t="s">
        <v>35</v>
      </c>
      <c r="G5743" t="s">
        <v>35</v>
      </c>
      <c r="H5743" t="s">
        <v>35</v>
      </c>
      <c r="J5743" t="s">
        <v>6237</v>
      </c>
      <c r="K5743" t="s">
        <v>1092</v>
      </c>
      <c r="M5743">
        <v>4.9950000000000001</v>
      </c>
      <c r="N5743">
        <v>77</v>
      </c>
      <c r="O5743" t="s">
        <v>61</v>
      </c>
      <c r="Q5743" t="s">
        <v>305</v>
      </c>
      <c r="R5743" t="s">
        <v>844</v>
      </c>
      <c r="S5743" t="s">
        <v>806</v>
      </c>
    </row>
    <row r="5744" spans="1:19" x14ac:dyDescent="0.25">
      <c r="A5744" t="s">
        <v>59</v>
      </c>
      <c r="B5744" t="s">
        <v>31</v>
      </c>
      <c r="C5744" t="s">
        <v>32</v>
      </c>
      <c r="D5744" t="s">
        <v>771</v>
      </c>
      <c r="E5744" t="s">
        <v>6214</v>
      </c>
      <c r="F5744" t="s">
        <v>35</v>
      </c>
      <c r="G5744" t="s">
        <v>35</v>
      </c>
      <c r="H5744" t="s">
        <v>35</v>
      </c>
      <c r="J5744" t="s">
        <v>6237</v>
      </c>
      <c r="K5744" t="s">
        <v>1092</v>
      </c>
      <c r="M5744">
        <v>4.8600000000000003</v>
      </c>
      <c r="N5744">
        <v>153</v>
      </c>
      <c r="O5744" t="s">
        <v>38</v>
      </c>
      <c r="Q5744" t="s">
        <v>569</v>
      </c>
      <c r="R5744" t="s">
        <v>844</v>
      </c>
      <c r="S5744" t="s">
        <v>806</v>
      </c>
    </row>
    <row r="5745" spans="1:19" x14ac:dyDescent="0.25">
      <c r="A5745" t="s">
        <v>59</v>
      </c>
      <c r="B5745" t="s">
        <v>60</v>
      </c>
      <c r="C5745" t="s">
        <v>32</v>
      </c>
      <c r="D5745" t="s">
        <v>771</v>
      </c>
      <c r="E5745" t="s">
        <v>6214</v>
      </c>
      <c r="F5745" t="s">
        <v>35</v>
      </c>
      <c r="G5745" t="s">
        <v>35</v>
      </c>
      <c r="H5745" t="s">
        <v>35</v>
      </c>
      <c r="J5745" t="s">
        <v>6238</v>
      </c>
      <c r="K5745" t="s">
        <v>1092</v>
      </c>
      <c r="M5745">
        <v>1</v>
      </c>
      <c r="N5745">
        <v>91</v>
      </c>
      <c r="O5745" t="s">
        <v>106</v>
      </c>
      <c r="Q5745" t="s">
        <v>1147</v>
      </c>
      <c r="R5745" t="s">
        <v>919</v>
      </c>
      <c r="S5745" t="s">
        <v>784</v>
      </c>
    </row>
    <row r="5746" spans="1:19" x14ac:dyDescent="0.25">
      <c r="A5746" t="s">
        <v>59</v>
      </c>
      <c r="B5746" t="s">
        <v>60</v>
      </c>
      <c r="C5746" t="s">
        <v>32</v>
      </c>
      <c r="D5746" t="s">
        <v>771</v>
      </c>
      <c r="E5746" t="s">
        <v>6214</v>
      </c>
      <c r="F5746" t="s">
        <v>35</v>
      </c>
      <c r="G5746" t="s">
        <v>35</v>
      </c>
      <c r="H5746" t="s">
        <v>35</v>
      </c>
      <c r="J5746" t="s">
        <v>6239</v>
      </c>
      <c r="K5746" t="s">
        <v>1092</v>
      </c>
      <c r="M5746">
        <v>7.5</v>
      </c>
      <c r="N5746">
        <v>91</v>
      </c>
      <c r="O5746" t="s">
        <v>106</v>
      </c>
      <c r="Q5746" t="s">
        <v>1147</v>
      </c>
      <c r="R5746" t="s">
        <v>934</v>
      </c>
      <c r="S5746" t="s">
        <v>935</v>
      </c>
    </row>
    <row r="5747" spans="1:19" x14ac:dyDescent="0.25">
      <c r="A5747" t="s">
        <v>59</v>
      </c>
      <c r="B5747" t="s">
        <v>60</v>
      </c>
      <c r="C5747" t="s">
        <v>32</v>
      </c>
      <c r="D5747" t="s">
        <v>771</v>
      </c>
      <c r="E5747" t="s">
        <v>6214</v>
      </c>
      <c r="F5747" t="s">
        <v>35</v>
      </c>
      <c r="G5747" t="s">
        <v>35</v>
      </c>
      <c r="H5747" t="s">
        <v>35</v>
      </c>
      <c r="J5747" t="s">
        <v>6240</v>
      </c>
      <c r="K5747" t="s">
        <v>1092</v>
      </c>
      <c r="M5747">
        <v>0.5</v>
      </c>
      <c r="N5747">
        <v>715</v>
      </c>
      <c r="O5747" t="s">
        <v>575</v>
      </c>
      <c r="Q5747" t="s">
        <v>6241</v>
      </c>
      <c r="R5747" t="s">
        <v>6242</v>
      </c>
      <c r="S5747" t="s">
        <v>846</v>
      </c>
    </row>
    <row r="5748" spans="1:19" x14ac:dyDescent="0.25">
      <c r="A5748" t="s">
        <v>59</v>
      </c>
      <c r="B5748" t="s">
        <v>31</v>
      </c>
      <c r="C5748" t="s">
        <v>32</v>
      </c>
      <c r="D5748" t="s">
        <v>771</v>
      </c>
      <c r="E5748" t="s">
        <v>6214</v>
      </c>
      <c r="F5748" t="s">
        <v>35</v>
      </c>
      <c r="G5748" t="s">
        <v>35</v>
      </c>
      <c r="H5748" t="s">
        <v>35</v>
      </c>
      <c r="J5748" t="s">
        <v>6243</v>
      </c>
      <c r="K5748" t="s">
        <v>1092</v>
      </c>
      <c r="M5748">
        <v>8.1000000000000003E-2</v>
      </c>
      <c r="N5748">
        <v>289</v>
      </c>
      <c r="O5748" t="s">
        <v>5</v>
      </c>
      <c r="Q5748" t="s">
        <v>1172</v>
      </c>
      <c r="R5748" t="s">
        <v>849</v>
      </c>
      <c r="S5748" t="s">
        <v>850</v>
      </c>
    </row>
    <row r="5749" spans="1:19" x14ac:dyDescent="0.25">
      <c r="A5749" t="s">
        <v>59</v>
      </c>
      <c r="B5749" t="s">
        <v>60</v>
      </c>
      <c r="C5749" t="s">
        <v>32</v>
      </c>
      <c r="D5749" t="s">
        <v>771</v>
      </c>
      <c r="E5749" t="s">
        <v>6214</v>
      </c>
      <c r="F5749" t="s">
        <v>35</v>
      </c>
      <c r="G5749" t="s">
        <v>35</v>
      </c>
      <c r="H5749" t="s">
        <v>35</v>
      </c>
      <c r="J5749" t="s">
        <v>6244</v>
      </c>
      <c r="K5749" t="s">
        <v>404</v>
      </c>
      <c r="M5749">
        <v>10</v>
      </c>
      <c r="N5749">
        <v>41</v>
      </c>
      <c r="O5749" t="s">
        <v>52</v>
      </c>
      <c r="Q5749" t="s">
        <v>249</v>
      </c>
      <c r="R5749" t="s">
        <v>6024</v>
      </c>
      <c r="S5749" t="s">
        <v>820</v>
      </c>
    </row>
    <row r="5750" spans="1:19" x14ac:dyDescent="0.25">
      <c r="A5750" t="s">
        <v>30</v>
      </c>
      <c r="B5750" t="s">
        <v>31</v>
      </c>
      <c r="C5750" t="s">
        <v>32</v>
      </c>
      <c r="D5750" t="s">
        <v>771</v>
      </c>
      <c r="E5750" t="s">
        <v>6214</v>
      </c>
      <c r="F5750" t="s">
        <v>35</v>
      </c>
      <c r="G5750" t="s">
        <v>35</v>
      </c>
      <c r="H5750" t="s">
        <v>35</v>
      </c>
      <c r="J5750" t="s">
        <v>6245</v>
      </c>
      <c r="K5750" t="s">
        <v>1092</v>
      </c>
      <c r="M5750">
        <v>0.33500000000000002</v>
      </c>
      <c r="N5750">
        <v>1917</v>
      </c>
      <c r="O5750" t="s">
        <v>575</v>
      </c>
      <c r="Q5750" t="s">
        <v>6246</v>
      </c>
      <c r="R5750" t="s">
        <v>6217</v>
      </c>
      <c r="S5750" t="s">
        <v>6218</v>
      </c>
    </row>
    <row r="5751" spans="1:19" x14ac:dyDescent="0.25">
      <c r="A5751" t="s">
        <v>30</v>
      </c>
      <c r="B5751" t="s">
        <v>31</v>
      </c>
      <c r="C5751" t="s">
        <v>32</v>
      </c>
      <c r="D5751" t="s">
        <v>771</v>
      </c>
      <c r="E5751" t="s">
        <v>6214</v>
      </c>
      <c r="F5751" t="s">
        <v>35</v>
      </c>
      <c r="G5751" t="s">
        <v>35</v>
      </c>
      <c r="H5751" t="s">
        <v>35</v>
      </c>
      <c r="J5751" t="s">
        <v>6247</v>
      </c>
      <c r="K5751" t="s">
        <v>1092</v>
      </c>
      <c r="M5751">
        <v>0.94499999999999995</v>
      </c>
      <c r="N5751">
        <v>117</v>
      </c>
      <c r="O5751" t="s">
        <v>106</v>
      </c>
      <c r="Q5751" t="s">
        <v>3342</v>
      </c>
      <c r="R5751" t="s">
        <v>849</v>
      </c>
      <c r="S5751" t="s">
        <v>850</v>
      </c>
    </row>
    <row r="5752" spans="1:19" x14ac:dyDescent="0.25">
      <c r="A5752" t="s">
        <v>44</v>
      </c>
      <c r="B5752" t="s">
        <v>51</v>
      </c>
      <c r="C5752" t="s">
        <v>32</v>
      </c>
      <c r="D5752" t="s">
        <v>771</v>
      </c>
      <c r="E5752" t="s">
        <v>6214</v>
      </c>
      <c r="F5752" t="s">
        <v>35</v>
      </c>
      <c r="G5752" t="s">
        <v>35</v>
      </c>
      <c r="H5752" t="s">
        <v>35</v>
      </c>
      <c r="J5752" t="s">
        <v>6248</v>
      </c>
      <c r="K5752" t="s">
        <v>1092</v>
      </c>
      <c r="M5752">
        <v>1</v>
      </c>
      <c r="N5752">
        <v>153</v>
      </c>
      <c r="O5752" t="s">
        <v>38</v>
      </c>
      <c r="Q5752" t="s">
        <v>569</v>
      </c>
      <c r="R5752" t="s">
        <v>844</v>
      </c>
      <c r="S5752" t="s">
        <v>806</v>
      </c>
    </row>
    <row r="5753" spans="1:19" x14ac:dyDescent="0.25">
      <c r="A5753" t="s">
        <v>59</v>
      </c>
      <c r="B5753" t="s">
        <v>31</v>
      </c>
      <c r="C5753" t="s">
        <v>32</v>
      </c>
      <c r="D5753" t="s">
        <v>771</v>
      </c>
      <c r="E5753" t="s">
        <v>6214</v>
      </c>
      <c r="F5753" t="s">
        <v>35</v>
      </c>
      <c r="G5753" t="s">
        <v>35</v>
      </c>
      <c r="H5753" t="s">
        <v>35</v>
      </c>
      <c r="J5753" t="s">
        <v>6248</v>
      </c>
      <c r="K5753" t="s">
        <v>1092</v>
      </c>
      <c r="M5753">
        <v>0.54</v>
      </c>
      <c r="N5753">
        <v>144</v>
      </c>
      <c r="O5753" t="s">
        <v>38</v>
      </c>
      <c r="Q5753" t="s">
        <v>2929</v>
      </c>
      <c r="R5753" t="s">
        <v>844</v>
      </c>
      <c r="S5753" t="s">
        <v>806</v>
      </c>
    </row>
    <row r="5754" spans="1:19" x14ac:dyDescent="0.25">
      <c r="A5754" t="s">
        <v>59</v>
      </c>
      <c r="B5754" t="s">
        <v>60</v>
      </c>
      <c r="C5754" t="s">
        <v>32</v>
      </c>
      <c r="D5754" t="s">
        <v>771</v>
      </c>
      <c r="E5754" t="s">
        <v>6214</v>
      </c>
      <c r="F5754" t="s">
        <v>35</v>
      </c>
      <c r="G5754" t="s">
        <v>35</v>
      </c>
      <c r="H5754" t="s">
        <v>35</v>
      </c>
      <c r="J5754" t="s">
        <v>6248</v>
      </c>
      <c r="K5754" t="s">
        <v>1092</v>
      </c>
      <c r="M5754">
        <v>1.25</v>
      </c>
      <c r="N5754">
        <v>153</v>
      </c>
      <c r="O5754" t="s">
        <v>38</v>
      </c>
      <c r="Q5754" t="s">
        <v>569</v>
      </c>
      <c r="R5754" t="s">
        <v>844</v>
      </c>
      <c r="S5754" t="s">
        <v>806</v>
      </c>
    </row>
    <row r="5755" spans="1:19" x14ac:dyDescent="0.25">
      <c r="A5755" t="s">
        <v>30</v>
      </c>
      <c r="B5755" t="s">
        <v>31</v>
      </c>
      <c r="C5755" t="s">
        <v>32</v>
      </c>
      <c r="D5755" t="s">
        <v>771</v>
      </c>
      <c r="E5755" t="s">
        <v>6214</v>
      </c>
      <c r="F5755" t="s">
        <v>35</v>
      </c>
      <c r="G5755" t="s">
        <v>35</v>
      </c>
      <c r="H5755" t="s">
        <v>35</v>
      </c>
      <c r="J5755" t="s">
        <v>6248</v>
      </c>
      <c r="K5755" t="s">
        <v>1092</v>
      </c>
      <c r="M5755">
        <v>6.3449999999999998</v>
      </c>
      <c r="N5755">
        <v>118</v>
      </c>
      <c r="O5755" t="s">
        <v>106</v>
      </c>
      <c r="Q5755" t="s">
        <v>1469</v>
      </c>
      <c r="R5755" t="s">
        <v>844</v>
      </c>
      <c r="S5755" t="s">
        <v>806</v>
      </c>
    </row>
    <row r="5756" spans="1:19" x14ac:dyDescent="0.25">
      <c r="A5756" t="s">
        <v>30</v>
      </c>
      <c r="B5756" t="s">
        <v>31</v>
      </c>
      <c r="C5756" t="s">
        <v>32</v>
      </c>
      <c r="D5756" t="s">
        <v>771</v>
      </c>
      <c r="E5756" t="s">
        <v>6214</v>
      </c>
      <c r="F5756" t="s">
        <v>35</v>
      </c>
      <c r="G5756" t="s">
        <v>35</v>
      </c>
      <c r="H5756" t="s">
        <v>35</v>
      </c>
      <c r="J5756" t="s">
        <v>6248</v>
      </c>
      <c r="K5756" t="s">
        <v>1092</v>
      </c>
      <c r="M5756">
        <v>3.0150000000000001</v>
      </c>
      <c r="N5756">
        <v>115</v>
      </c>
      <c r="O5756" t="s">
        <v>106</v>
      </c>
      <c r="Q5756" t="s">
        <v>1195</v>
      </c>
      <c r="R5756" t="s">
        <v>844</v>
      </c>
      <c r="S5756" t="s">
        <v>806</v>
      </c>
    </row>
    <row r="5757" spans="1:19" x14ac:dyDescent="0.25">
      <c r="A5757" t="s">
        <v>30</v>
      </c>
      <c r="B5757" t="s">
        <v>31</v>
      </c>
      <c r="C5757" t="s">
        <v>32</v>
      </c>
      <c r="D5757" t="s">
        <v>771</v>
      </c>
      <c r="E5757" t="s">
        <v>6214</v>
      </c>
      <c r="F5757" t="s">
        <v>35</v>
      </c>
      <c r="G5757" t="s">
        <v>35</v>
      </c>
      <c r="H5757" t="s">
        <v>35</v>
      </c>
      <c r="J5757" t="s">
        <v>6248</v>
      </c>
      <c r="K5757" t="s">
        <v>1092</v>
      </c>
      <c r="M5757">
        <v>7.02</v>
      </c>
      <c r="N5757">
        <v>47</v>
      </c>
      <c r="O5757" t="s">
        <v>52</v>
      </c>
      <c r="Q5757" t="s">
        <v>132</v>
      </c>
      <c r="R5757" t="s">
        <v>844</v>
      </c>
      <c r="S5757" t="s">
        <v>806</v>
      </c>
    </row>
    <row r="5758" spans="1:19" x14ac:dyDescent="0.25">
      <c r="A5758" t="s">
        <v>59</v>
      </c>
      <c r="B5758" t="s">
        <v>60</v>
      </c>
      <c r="C5758" t="s">
        <v>32</v>
      </c>
      <c r="D5758" t="s">
        <v>771</v>
      </c>
      <c r="E5758" t="s">
        <v>6214</v>
      </c>
      <c r="F5758" t="s">
        <v>35</v>
      </c>
      <c r="G5758" t="s">
        <v>35</v>
      </c>
      <c r="H5758" t="s">
        <v>35</v>
      </c>
      <c r="J5758" t="s">
        <v>6249</v>
      </c>
      <c r="K5758" t="s">
        <v>1092</v>
      </c>
      <c r="M5758">
        <v>7</v>
      </c>
      <c r="N5758">
        <v>254</v>
      </c>
      <c r="O5758" t="s">
        <v>5</v>
      </c>
      <c r="Q5758" t="s">
        <v>367</v>
      </c>
      <c r="R5758" t="s">
        <v>849</v>
      </c>
      <c r="S5758" t="s">
        <v>850</v>
      </c>
    </row>
    <row r="5759" spans="1:19" x14ac:dyDescent="0.25">
      <c r="A5759" t="s">
        <v>30</v>
      </c>
      <c r="B5759" t="s">
        <v>31</v>
      </c>
      <c r="C5759" t="s">
        <v>32</v>
      </c>
      <c r="D5759" t="s">
        <v>771</v>
      </c>
      <c r="E5759" t="s">
        <v>6214</v>
      </c>
      <c r="F5759" t="s">
        <v>35</v>
      </c>
      <c r="G5759" t="s">
        <v>35</v>
      </c>
      <c r="H5759" t="s">
        <v>35</v>
      </c>
      <c r="J5759" t="s">
        <v>6250</v>
      </c>
      <c r="K5759" t="s">
        <v>1092</v>
      </c>
      <c r="M5759">
        <v>0.22500000000000001</v>
      </c>
      <c r="N5759">
        <v>287</v>
      </c>
      <c r="O5759" t="s">
        <v>5</v>
      </c>
      <c r="Q5759" t="s">
        <v>3688</v>
      </c>
      <c r="R5759" t="s">
        <v>849</v>
      </c>
      <c r="S5759" t="s">
        <v>850</v>
      </c>
    </row>
    <row r="5760" spans="1:19" x14ac:dyDescent="0.25">
      <c r="A5760" t="s">
        <v>59</v>
      </c>
      <c r="B5760" t="s">
        <v>60</v>
      </c>
      <c r="C5760" t="s">
        <v>32</v>
      </c>
      <c r="D5760" t="s">
        <v>771</v>
      </c>
      <c r="E5760" t="s">
        <v>6214</v>
      </c>
      <c r="F5760" t="s">
        <v>35</v>
      </c>
      <c r="G5760" t="s">
        <v>35</v>
      </c>
      <c r="H5760" t="s">
        <v>35</v>
      </c>
      <c r="J5760" t="s">
        <v>6251</v>
      </c>
      <c r="K5760" t="s">
        <v>1092</v>
      </c>
      <c r="M5760">
        <v>4.5</v>
      </c>
      <c r="N5760">
        <v>46</v>
      </c>
      <c r="O5760" t="s">
        <v>52</v>
      </c>
      <c r="Q5760" t="s">
        <v>493</v>
      </c>
      <c r="R5760" t="s">
        <v>919</v>
      </c>
      <c r="S5760" t="s">
        <v>784</v>
      </c>
    </row>
    <row r="5761" spans="1:19" x14ac:dyDescent="0.25">
      <c r="A5761" t="s">
        <v>59</v>
      </c>
      <c r="B5761" t="s">
        <v>31</v>
      </c>
      <c r="C5761" t="s">
        <v>32</v>
      </c>
      <c r="D5761" t="s">
        <v>771</v>
      </c>
      <c r="E5761" t="s">
        <v>6214</v>
      </c>
      <c r="F5761" t="s">
        <v>35</v>
      </c>
      <c r="G5761" t="s">
        <v>35</v>
      </c>
      <c r="H5761" t="s">
        <v>35</v>
      </c>
      <c r="J5761" t="s">
        <v>4661</v>
      </c>
      <c r="K5761" t="s">
        <v>1092</v>
      </c>
      <c r="M5761">
        <v>7.02</v>
      </c>
      <c r="N5761">
        <v>44</v>
      </c>
      <c r="O5761" t="s">
        <v>52</v>
      </c>
      <c r="Q5761" t="s">
        <v>192</v>
      </c>
      <c r="R5761" t="s">
        <v>6163</v>
      </c>
      <c r="S5761" t="s">
        <v>823</v>
      </c>
    </row>
    <row r="5762" spans="1:19" x14ac:dyDescent="0.25">
      <c r="A5762" t="s">
        <v>59</v>
      </c>
      <c r="B5762" t="s">
        <v>31</v>
      </c>
      <c r="C5762" t="s">
        <v>32</v>
      </c>
      <c r="D5762" t="s">
        <v>771</v>
      </c>
      <c r="E5762" t="s">
        <v>6214</v>
      </c>
      <c r="F5762" t="s">
        <v>35</v>
      </c>
      <c r="G5762" t="s">
        <v>35</v>
      </c>
      <c r="H5762" t="s">
        <v>35</v>
      </c>
      <c r="J5762" t="s">
        <v>4661</v>
      </c>
      <c r="K5762" t="s">
        <v>1092</v>
      </c>
      <c r="M5762">
        <v>4.5</v>
      </c>
      <c r="N5762">
        <v>36</v>
      </c>
      <c r="O5762" t="s">
        <v>52</v>
      </c>
      <c r="Q5762" t="s">
        <v>2005</v>
      </c>
      <c r="R5762" t="s">
        <v>6227</v>
      </c>
      <c r="S5762" t="s">
        <v>853</v>
      </c>
    </row>
    <row r="5763" spans="1:19" x14ac:dyDescent="0.25">
      <c r="A5763" t="s">
        <v>59</v>
      </c>
      <c r="B5763" t="s">
        <v>60</v>
      </c>
      <c r="C5763" t="s">
        <v>32</v>
      </c>
      <c r="D5763" t="s">
        <v>771</v>
      </c>
      <c r="E5763" t="s">
        <v>6214</v>
      </c>
      <c r="F5763" t="s">
        <v>35</v>
      </c>
      <c r="G5763" t="s">
        <v>35</v>
      </c>
      <c r="H5763" t="s">
        <v>35</v>
      </c>
      <c r="J5763" t="s">
        <v>4661</v>
      </c>
      <c r="K5763" t="s">
        <v>1092</v>
      </c>
      <c r="M5763">
        <v>5</v>
      </c>
      <c r="N5763">
        <v>9</v>
      </c>
      <c r="O5763" t="s">
        <v>46</v>
      </c>
      <c r="Q5763" t="s">
        <v>2009</v>
      </c>
      <c r="R5763" t="s">
        <v>6227</v>
      </c>
      <c r="S5763" t="s">
        <v>853</v>
      </c>
    </row>
    <row r="5764" spans="1:19" x14ac:dyDescent="0.25">
      <c r="A5764" t="s">
        <v>59</v>
      </c>
      <c r="B5764" t="s">
        <v>60</v>
      </c>
      <c r="C5764" t="s">
        <v>32</v>
      </c>
      <c r="D5764" t="s">
        <v>771</v>
      </c>
      <c r="E5764" t="s">
        <v>6214</v>
      </c>
      <c r="F5764" t="s">
        <v>35</v>
      </c>
      <c r="G5764" t="s">
        <v>35</v>
      </c>
      <c r="H5764" t="s">
        <v>35</v>
      </c>
      <c r="J5764" t="s">
        <v>6252</v>
      </c>
      <c r="K5764" t="s">
        <v>1092</v>
      </c>
      <c r="M5764">
        <v>0.75</v>
      </c>
      <c r="N5764">
        <v>253</v>
      </c>
      <c r="O5764" t="s">
        <v>5</v>
      </c>
      <c r="Q5764" t="s">
        <v>1502</v>
      </c>
      <c r="R5764" t="s">
        <v>6227</v>
      </c>
      <c r="S5764" t="s">
        <v>853</v>
      </c>
    </row>
    <row r="5765" spans="1:19" x14ac:dyDescent="0.25">
      <c r="A5765" t="s">
        <v>59</v>
      </c>
      <c r="B5765" t="s">
        <v>60</v>
      </c>
      <c r="C5765" t="s">
        <v>32</v>
      </c>
      <c r="D5765" t="s">
        <v>771</v>
      </c>
      <c r="E5765" t="s">
        <v>6214</v>
      </c>
      <c r="F5765" t="s">
        <v>35</v>
      </c>
      <c r="G5765" t="s">
        <v>35</v>
      </c>
      <c r="H5765" t="s">
        <v>35</v>
      </c>
      <c r="J5765" t="s">
        <v>6252</v>
      </c>
      <c r="K5765" t="s">
        <v>1092</v>
      </c>
      <c r="M5765">
        <v>7</v>
      </c>
      <c r="N5765">
        <v>91</v>
      </c>
      <c r="O5765" t="s">
        <v>106</v>
      </c>
      <c r="Q5765" t="s">
        <v>1147</v>
      </c>
      <c r="R5765" t="s">
        <v>919</v>
      </c>
      <c r="S5765" t="s">
        <v>784</v>
      </c>
    </row>
    <row r="5766" spans="1:19" x14ac:dyDescent="0.25">
      <c r="A5766" t="s">
        <v>30</v>
      </c>
      <c r="B5766" t="s">
        <v>31</v>
      </c>
      <c r="C5766" t="s">
        <v>32</v>
      </c>
      <c r="D5766" t="s">
        <v>771</v>
      </c>
      <c r="E5766" t="s">
        <v>6214</v>
      </c>
      <c r="F5766" t="s">
        <v>35</v>
      </c>
      <c r="G5766" t="s">
        <v>35</v>
      </c>
      <c r="H5766" t="s">
        <v>35</v>
      </c>
      <c r="J5766" t="s">
        <v>6253</v>
      </c>
      <c r="K5766" t="s">
        <v>1092</v>
      </c>
      <c r="M5766">
        <v>2.1150000000000002</v>
      </c>
      <c r="N5766">
        <v>117</v>
      </c>
      <c r="O5766" t="s">
        <v>106</v>
      </c>
      <c r="Q5766" t="s">
        <v>3342</v>
      </c>
      <c r="R5766" t="s">
        <v>6096</v>
      </c>
      <c r="S5766" t="s">
        <v>6097</v>
      </c>
    </row>
    <row r="5767" spans="1:19" x14ac:dyDescent="0.25">
      <c r="A5767" t="s">
        <v>59</v>
      </c>
      <c r="B5767" t="s">
        <v>60</v>
      </c>
      <c r="C5767" t="s">
        <v>32</v>
      </c>
      <c r="D5767" t="s">
        <v>771</v>
      </c>
      <c r="E5767" t="s">
        <v>6214</v>
      </c>
      <c r="F5767" t="s">
        <v>35</v>
      </c>
      <c r="G5767" t="s">
        <v>35</v>
      </c>
      <c r="H5767" t="s">
        <v>35</v>
      </c>
      <c r="J5767" t="s">
        <v>6253</v>
      </c>
      <c r="K5767" t="s">
        <v>1092</v>
      </c>
      <c r="M5767">
        <v>7</v>
      </c>
      <c r="N5767">
        <v>40</v>
      </c>
      <c r="O5767" t="s">
        <v>52</v>
      </c>
      <c r="Q5767" t="s">
        <v>130</v>
      </c>
      <c r="R5767" t="s">
        <v>6169</v>
      </c>
      <c r="S5767" t="s">
        <v>904</v>
      </c>
    </row>
    <row r="5768" spans="1:19" x14ac:dyDescent="0.25">
      <c r="A5768" t="s">
        <v>59</v>
      </c>
      <c r="B5768" t="s">
        <v>31</v>
      </c>
      <c r="C5768" t="s">
        <v>32</v>
      </c>
      <c r="D5768" t="s">
        <v>771</v>
      </c>
      <c r="E5768" t="s">
        <v>6214</v>
      </c>
      <c r="F5768" t="s">
        <v>35</v>
      </c>
      <c r="G5768" t="s">
        <v>35</v>
      </c>
      <c r="H5768" t="s">
        <v>35</v>
      </c>
      <c r="J5768" t="s">
        <v>6253</v>
      </c>
      <c r="K5768" t="s">
        <v>1092</v>
      </c>
      <c r="M5768">
        <v>7.02</v>
      </c>
      <c r="N5768">
        <v>40</v>
      </c>
      <c r="O5768" t="s">
        <v>52</v>
      </c>
      <c r="Q5768" t="s">
        <v>130</v>
      </c>
      <c r="R5768" t="s">
        <v>6169</v>
      </c>
      <c r="S5768" t="s">
        <v>904</v>
      </c>
    </row>
    <row r="5769" spans="1:19" x14ac:dyDescent="0.25">
      <c r="A5769" t="s">
        <v>59</v>
      </c>
      <c r="B5769" t="s">
        <v>60</v>
      </c>
      <c r="C5769" t="s">
        <v>32</v>
      </c>
      <c r="D5769" t="s">
        <v>771</v>
      </c>
      <c r="E5769" t="s">
        <v>6214</v>
      </c>
      <c r="F5769" t="s">
        <v>35</v>
      </c>
      <c r="G5769" t="s">
        <v>35</v>
      </c>
      <c r="H5769" t="s">
        <v>35</v>
      </c>
      <c r="J5769" t="s">
        <v>6254</v>
      </c>
      <c r="K5769" t="s">
        <v>1092</v>
      </c>
      <c r="M5769">
        <v>15</v>
      </c>
      <c r="N5769">
        <v>41</v>
      </c>
      <c r="O5769" t="s">
        <v>52</v>
      </c>
      <c r="Q5769" t="s">
        <v>249</v>
      </c>
      <c r="R5769" t="s">
        <v>6024</v>
      </c>
      <c r="S5769" t="s">
        <v>820</v>
      </c>
    </row>
    <row r="5770" spans="1:19" x14ac:dyDescent="0.25">
      <c r="A5770" t="s">
        <v>59</v>
      </c>
      <c r="B5770" t="s">
        <v>31</v>
      </c>
      <c r="C5770" t="s">
        <v>32</v>
      </c>
      <c r="D5770" t="s">
        <v>771</v>
      </c>
      <c r="E5770" t="s">
        <v>6255</v>
      </c>
      <c r="F5770" t="s">
        <v>35</v>
      </c>
      <c r="G5770" t="s">
        <v>35</v>
      </c>
      <c r="H5770" t="s">
        <v>35</v>
      </c>
      <c r="J5770" t="s">
        <v>6256</v>
      </c>
      <c r="K5770" t="s">
        <v>1092</v>
      </c>
      <c r="M5770">
        <v>5.49</v>
      </c>
      <c r="N5770">
        <v>1478</v>
      </c>
      <c r="O5770" t="s">
        <v>575</v>
      </c>
      <c r="Q5770" t="s">
        <v>6257</v>
      </c>
      <c r="R5770" t="s">
        <v>6022</v>
      </c>
      <c r="S5770" t="s">
        <v>937</v>
      </c>
    </row>
    <row r="5771" spans="1:19" x14ac:dyDescent="0.25">
      <c r="A5771" t="s">
        <v>30</v>
      </c>
      <c r="B5771" t="s">
        <v>31</v>
      </c>
      <c r="C5771" t="s">
        <v>32</v>
      </c>
      <c r="D5771" t="s">
        <v>771</v>
      </c>
      <c r="E5771" t="s">
        <v>6255</v>
      </c>
      <c r="F5771" t="s">
        <v>35</v>
      </c>
      <c r="G5771" t="s">
        <v>35</v>
      </c>
      <c r="H5771" t="s">
        <v>35</v>
      </c>
      <c r="J5771" t="s">
        <v>6256</v>
      </c>
      <c r="K5771" t="s">
        <v>1092</v>
      </c>
      <c r="M5771">
        <v>9.99</v>
      </c>
      <c r="N5771">
        <v>247</v>
      </c>
      <c r="O5771" t="s">
        <v>5</v>
      </c>
      <c r="Q5771" t="s">
        <v>574</v>
      </c>
      <c r="R5771" t="s">
        <v>6022</v>
      </c>
      <c r="S5771" t="s">
        <v>937</v>
      </c>
    </row>
    <row r="5772" spans="1:19" x14ac:dyDescent="0.25">
      <c r="A5772" t="s">
        <v>30</v>
      </c>
      <c r="B5772" t="s">
        <v>31</v>
      </c>
      <c r="C5772" t="s">
        <v>32</v>
      </c>
      <c r="D5772" t="s">
        <v>771</v>
      </c>
      <c r="E5772" t="s">
        <v>6255</v>
      </c>
      <c r="F5772" t="s">
        <v>35</v>
      </c>
      <c r="G5772" t="s">
        <v>35</v>
      </c>
      <c r="H5772" t="s">
        <v>35</v>
      </c>
      <c r="J5772" t="s">
        <v>6258</v>
      </c>
      <c r="K5772" t="s">
        <v>1092</v>
      </c>
      <c r="M5772">
        <v>0.22500000000000001</v>
      </c>
      <c r="N5772">
        <v>1224</v>
      </c>
      <c r="O5772" t="s">
        <v>575</v>
      </c>
      <c r="Q5772" t="s">
        <v>3614</v>
      </c>
      <c r="R5772" t="s">
        <v>6020</v>
      </c>
      <c r="S5772" t="s">
        <v>921</v>
      </c>
    </row>
    <row r="5773" spans="1:19" x14ac:dyDescent="0.25">
      <c r="A5773" t="s">
        <v>30</v>
      </c>
      <c r="B5773" t="s">
        <v>31</v>
      </c>
      <c r="C5773" t="s">
        <v>32</v>
      </c>
      <c r="D5773" t="s">
        <v>771</v>
      </c>
      <c r="E5773" t="s">
        <v>6255</v>
      </c>
      <c r="F5773" t="s">
        <v>35</v>
      </c>
      <c r="G5773" t="s">
        <v>35</v>
      </c>
      <c r="H5773" t="s">
        <v>35</v>
      </c>
      <c r="J5773" t="s">
        <v>6259</v>
      </c>
      <c r="K5773" t="s">
        <v>1092</v>
      </c>
      <c r="M5773">
        <v>0.36499999999999999</v>
      </c>
      <c r="N5773">
        <v>238</v>
      </c>
      <c r="O5773" t="s">
        <v>5</v>
      </c>
      <c r="Q5773" t="s">
        <v>933</v>
      </c>
      <c r="R5773" t="s">
        <v>6260</v>
      </c>
      <c r="S5773" t="s">
        <v>930</v>
      </c>
    </row>
    <row r="5774" spans="1:19" x14ac:dyDescent="0.25">
      <c r="A5774" t="s">
        <v>30</v>
      </c>
      <c r="B5774" t="s">
        <v>31</v>
      </c>
      <c r="C5774" t="s">
        <v>32</v>
      </c>
      <c r="D5774" t="s">
        <v>771</v>
      </c>
      <c r="E5774" t="s">
        <v>6261</v>
      </c>
      <c r="F5774" t="s">
        <v>35</v>
      </c>
      <c r="G5774" t="s">
        <v>35</v>
      </c>
      <c r="H5774" t="s">
        <v>35</v>
      </c>
      <c r="J5774" t="s">
        <v>6263</v>
      </c>
      <c r="K5774" t="s">
        <v>1092</v>
      </c>
      <c r="M5774">
        <v>6.6150000000000002</v>
      </c>
      <c r="N5774">
        <v>47</v>
      </c>
      <c r="O5774" t="s">
        <v>52</v>
      </c>
      <c r="Q5774" t="s">
        <v>132</v>
      </c>
      <c r="R5774" t="s">
        <v>436</v>
      </c>
      <c r="S5774" t="s">
        <v>437</v>
      </c>
    </row>
    <row r="5775" spans="1:19" x14ac:dyDescent="0.25">
      <c r="A5775" t="s">
        <v>59</v>
      </c>
      <c r="B5775" t="s">
        <v>31</v>
      </c>
      <c r="C5775" t="s">
        <v>32</v>
      </c>
      <c r="D5775" t="s">
        <v>771</v>
      </c>
      <c r="E5775" t="s">
        <v>6261</v>
      </c>
      <c r="F5775" t="s">
        <v>35</v>
      </c>
      <c r="G5775" t="s">
        <v>35</v>
      </c>
      <c r="H5775" t="s">
        <v>35</v>
      </c>
      <c r="J5775" t="s">
        <v>6264</v>
      </c>
      <c r="K5775" t="s">
        <v>1092</v>
      </c>
      <c r="M5775">
        <v>9.5850000000000009</v>
      </c>
      <c r="N5775">
        <v>303</v>
      </c>
      <c r="O5775" t="s">
        <v>5</v>
      </c>
      <c r="Q5775" t="s">
        <v>6265</v>
      </c>
      <c r="R5775" t="s">
        <v>844</v>
      </c>
      <c r="S5775" t="s">
        <v>806</v>
      </c>
    </row>
    <row r="5776" spans="1:19" x14ac:dyDescent="0.25">
      <c r="A5776" t="s">
        <v>30</v>
      </c>
      <c r="B5776" t="s">
        <v>31</v>
      </c>
      <c r="C5776" t="s">
        <v>32</v>
      </c>
      <c r="D5776" t="s">
        <v>771</v>
      </c>
      <c r="E5776" t="s">
        <v>6261</v>
      </c>
      <c r="F5776" t="s">
        <v>35</v>
      </c>
      <c r="G5776" t="s">
        <v>35</v>
      </c>
      <c r="H5776" t="s">
        <v>35</v>
      </c>
      <c r="J5776" t="s">
        <v>6264</v>
      </c>
      <c r="K5776" t="s">
        <v>1092</v>
      </c>
      <c r="M5776">
        <v>4.1399999999999997</v>
      </c>
      <c r="N5776">
        <v>237</v>
      </c>
      <c r="O5776" t="s">
        <v>5</v>
      </c>
      <c r="Q5776" t="s">
        <v>3446</v>
      </c>
      <c r="R5776" t="s">
        <v>844</v>
      </c>
      <c r="S5776" t="s">
        <v>806</v>
      </c>
    </row>
    <row r="5777" spans="1:19" x14ac:dyDescent="0.25">
      <c r="A5777" t="s">
        <v>30</v>
      </c>
      <c r="B5777" t="s">
        <v>31</v>
      </c>
      <c r="C5777" t="s">
        <v>32</v>
      </c>
      <c r="D5777" t="s">
        <v>771</v>
      </c>
      <c r="E5777" t="s">
        <v>6261</v>
      </c>
      <c r="F5777" t="s">
        <v>35</v>
      </c>
      <c r="G5777" t="s">
        <v>35</v>
      </c>
      <c r="H5777" t="s">
        <v>35</v>
      </c>
      <c r="J5777" t="s">
        <v>6264</v>
      </c>
      <c r="K5777" t="s">
        <v>1092</v>
      </c>
      <c r="M5777">
        <v>3.0150000000000001</v>
      </c>
      <c r="N5777">
        <v>115</v>
      </c>
      <c r="O5777" t="s">
        <v>106</v>
      </c>
      <c r="Q5777" t="s">
        <v>1195</v>
      </c>
      <c r="R5777" t="s">
        <v>844</v>
      </c>
      <c r="S5777" t="s">
        <v>806</v>
      </c>
    </row>
    <row r="5778" spans="1:19" x14ac:dyDescent="0.25">
      <c r="A5778" t="s">
        <v>59</v>
      </c>
      <c r="B5778" t="s">
        <v>31</v>
      </c>
      <c r="C5778" t="s">
        <v>32</v>
      </c>
      <c r="D5778" t="s">
        <v>771</v>
      </c>
      <c r="E5778" t="s">
        <v>6261</v>
      </c>
      <c r="F5778" t="s">
        <v>35</v>
      </c>
      <c r="G5778" t="s">
        <v>35</v>
      </c>
      <c r="H5778" t="s">
        <v>35</v>
      </c>
      <c r="J5778" t="s">
        <v>6264</v>
      </c>
      <c r="K5778" t="s">
        <v>1092</v>
      </c>
      <c r="M5778">
        <v>6.0750000000000002</v>
      </c>
      <c r="N5778">
        <v>252</v>
      </c>
      <c r="O5778" t="s">
        <v>5</v>
      </c>
      <c r="Q5778" t="s">
        <v>1222</v>
      </c>
      <c r="R5778" t="s">
        <v>844</v>
      </c>
      <c r="S5778" t="s">
        <v>806</v>
      </c>
    </row>
    <row r="5779" spans="1:19" x14ac:dyDescent="0.25">
      <c r="A5779" t="s">
        <v>59</v>
      </c>
      <c r="B5779" t="s">
        <v>31</v>
      </c>
      <c r="C5779" t="s">
        <v>32</v>
      </c>
      <c r="D5779" t="s">
        <v>771</v>
      </c>
      <c r="E5779" t="s">
        <v>6261</v>
      </c>
      <c r="F5779" t="s">
        <v>35</v>
      </c>
      <c r="G5779" t="s">
        <v>35</v>
      </c>
      <c r="H5779" t="s">
        <v>35</v>
      </c>
      <c r="J5779" t="s">
        <v>6266</v>
      </c>
      <c r="K5779" t="s">
        <v>1092</v>
      </c>
      <c r="M5779">
        <v>12.69</v>
      </c>
      <c r="N5779">
        <v>36</v>
      </c>
      <c r="O5779" t="s">
        <v>52</v>
      </c>
      <c r="Q5779" t="s">
        <v>2005</v>
      </c>
      <c r="R5779" t="s">
        <v>849</v>
      </c>
      <c r="S5779" t="s">
        <v>850</v>
      </c>
    </row>
    <row r="5780" spans="1:19" x14ac:dyDescent="0.25">
      <c r="A5780" t="s">
        <v>30</v>
      </c>
      <c r="B5780" t="s">
        <v>31</v>
      </c>
      <c r="C5780" t="s">
        <v>32</v>
      </c>
      <c r="D5780" t="s">
        <v>771</v>
      </c>
      <c r="E5780" t="s">
        <v>6261</v>
      </c>
      <c r="F5780" t="s">
        <v>35</v>
      </c>
      <c r="G5780" t="s">
        <v>35</v>
      </c>
      <c r="H5780" t="s">
        <v>35</v>
      </c>
      <c r="J5780" t="s">
        <v>6267</v>
      </c>
      <c r="K5780" t="s">
        <v>1092</v>
      </c>
      <c r="M5780">
        <v>2.79</v>
      </c>
      <c r="N5780">
        <v>118</v>
      </c>
      <c r="O5780" t="s">
        <v>106</v>
      </c>
      <c r="Q5780" t="s">
        <v>1469</v>
      </c>
      <c r="R5780" t="s">
        <v>849</v>
      </c>
      <c r="S5780" t="s">
        <v>850</v>
      </c>
    </row>
    <row r="5781" spans="1:19" x14ac:dyDescent="0.25">
      <c r="A5781" t="s">
        <v>59</v>
      </c>
      <c r="B5781" t="s">
        <v>60</v>
      </c>
      <c r="C5781" t="s">
        <v>32</v>
      </c>
      <c r="D5781" t="s">
        <v>771</v>
      </c>
      <c r="E5781" t="s">
        <v>6261</v>
      </c>
      <c r="F5781" t="s">
        <v>35</v>
      </c>
      <c r="G5781" t="s">
        <v>35</v>
      </c>
      <c r="H5781" t="s">
        <v>35</v>
      </c>
      <c r="J5781" t="s">
        <v>8259</v>
      </c>
      <c r="K5781" t="s">
        <v>1092</v>
      </c>
      <c r="M5781">
        <v>4</v>
      </c>
      <c r="N5781">
        <v>6</v>
      </c>
      <c r="O5781" t="s">
        <v>46</v>
      </c>
      <c r="Q5781" t="s">
        <v>8168</v>
      </c>
      <c r="R5781" t="s">
        <v>6489</v>
      </c>
      <c r="S5781" t="s">
        <v>889</v>
      </c>
    </row>
    <row r="5782" spans="1:19" x14ac:dyDescent="0.25">
      <c r="A5782" t="s">
        <v>59</v>
      </c>
      <c r="B5782" t="s">
        <v>60</v>
      </c>
      <c r="C5782" t="s">
        <v>32</v>
      </c>
      <c r="D5782" t="s">
        <v>771</v>
      </c>
      <c r="E5782" t="s">
        <v>6261</v>
      </c>
      <c r="F5782" t="s">
        <v>35</v>
      </c>
      <c r="G5782" t="s">
        <v>35</v>
      </c>
      <c r="H5782" t="s">
        <v>35</v>
      </c>
      <c r="J5782" t="s">
        <v>1885</v>
      </c>
      <c r="K5782" t="s">
        <v>1092</v>
      </c>
      <c r="M5782">
        <v>2.5</v>
      </c>
      <c r="N5782">
        <v>44</v>
      </c>
      <c r="O5782" t="s">
        <v>52</v>
      </c>
      <c r="Q5782" t="s">
        <v>192</v>
      </c>
      <c r="R5782" t="s">
        <v>6029</v>
      </c>
      <c r="S5782" t="s">
        <v>6030</v>
      </c>
    </row>
    <row r="5783" spans="1:19" x14ac:dyDescent="0.25">
      <c r="A5783" t="s">
        <v>30</v>
      </c>
      <c r="B5783" t="s">
        <v>31</v>
      </c>
      <c r="C5783" t="s">
        <v>32</v>
      </c>
      <c r="D5783" t="s">
        <v>771</v>
      </c>
      <c r="E5783" t="s">
        <v>6261</v>
      </c>
      <c r="F5783" t="s">
        <v>35</v>
      </c>
      <c r="G5783" t="s">
        <v>35</v>
      </c>
      <c r="H5783" t="s">
        <v>35</v>
      </c>
      <c r="J5783" t="s">
        <v>4661</v>
      </c>
      <c r="K5783" t="s">
        <v>1092</v>
      </c>
      <c r="M5783">
        <v>6.0750000000000002</v>
      </c>
      <c r="N5783">
        <v>112</v>
      </c>
      <c r="O5783" t="s">
        <v>106</v>
      </c>
      <c r="Q5783" t="s">
        <v>171</v>
      </c>
      <c r="R5783" t="s">
        <v>849</v>
      </c>
      <c r="S5783" t="s">
        <v>850</v>
      </c>
    </row>
    <row r="5784" spans="1:19" x14ac:dyDescent="0.25">
      <c r="A5784" t="s">
        <v>30</v>
      </c>
      <c r="B5784" t="s">
        <v>31</v>
      </c>
      <c r="C5784" t="s">
        <v>32</v>
      </c>
      <c r="D5784" t="s">
        <v>771</v>
      </c>
      <c r="E5784" t="s">
        <v>6261</v>
      </c>
      <c r="F5784" t="s">
        <v>35</v>
      </c>
      <c r="G5784" t="s">
        <v>35</v>
      </c>
      <c r="H5784" t="s">
        <v>35</v>
      </c>
      <c r="J5784" t="s">
        <v>6268</v>
      </c>
      <c r="K5784" t="s">
        <v>1092</v>
      </c>
      <c r="M5784">
        <v>3.24</v>
      </c>
      <c r="N5784">
        <v>47</v>
      </c>
      <c r="O5784" t="s">
        <v>52</v>
      </c>
      <c r="Q5784" t="s">
        <v>132</v>
      </c>
      <c r="R5784" t="s">
        <v>849</v>
      </c>
      <c r="S5784" t="s">
        <v>850</v>
      </c>
    </row>
    <row r="5785" spans="1:19" x14ac:dyDescent="0.25">
      <c r="A5785" t="s">
        <v>30</v>
      </c>
      <c r="B5785" t="s">
        <v>31</v>
      </c>
      <c r="C5785" t="s">
        <v>32</v>
      </c>
      <c r="D5785" t="s">
        <v>771</v>
      </c>
      <c r="E5785" t="s">
        <v>6261</v>
      </c>
      <c r="F5785" t="s">
        <v>35</v>
      </c>
      <c r="G5785" t="s">
        <v>35</v>
      </c>
      <c r="H5785" t="s">
        <v>35</v>
      </c>
      <c r="J5785" t="s">
        <v>6269</v>
      </c>
      <c r="K5785" t="s">
        <v>1092</v>
      </c>
      <c r="M5785">
        <v>0.76500000000000001</v>
      </c>
      <c r="N5785">
        <v>460</v>
      </c>
      <c r="O5785" t="s">
        <v>294</v>
      </c>
      <c r="Q5785" t="s">
        <v>4042</v>
      </c>
      <c r="R5785" t="s">
        <v>849</v>
      </c>
      <c r="S5785" t="s">
        <v>850</v>
      </c>
    </row>
    <row r="5786" spans="1:19" x14ac:dyDescent="0.25">
      <c r="A5786" t="s">
        <v>59</v>
      </c>
      <c r="B5786" t="s">
        <v>31</v>
      </c>
      <c r="C5786" t="s">
        <v>32</v>
      </c>
      <c r="D5786" t="s">
        <v>771</v>
      </c>
      <c r="E5786" t="s">
        <v>6261</v>
      </c>
      <c r="F5786" t="s">
        <v>35</v>
      </c>
      <c r="G5786" t="s">
        <v>35</v>
      </c>
      <c r="H5786" t="s">
        <v>35</v>
      </c>
      <c r="J5786" t="s">
        <v>6270</v>
      </c>
      <c r="K5786" t="s">
        <v>1092</v>
      </c>
      <c r="M5786">
        <v>11.71</v>
      </c>
      <c r="N5786">
        <v>164</v>
      </c>
      <c r="O5786" t="s">
        <v>38</v>
      </c>
      <c r="Q5786" t="s">
        <v>1587</v>
      </c>
      <c r="R5786" t="s">
        <v>6022</v>
      </c>
      <c r="S5786" t="s">
        <v>937</v>
      </c>
    </row>
    <row r="5787" spans="1:19" x14ac:dyDescent="0.25">
      <c r="A5787" t="s">
        <v>30</v>
      </c>
      <c r="B5787" t="s">
        <v>31</v>
      </c>
      <c r="C5787" t="s">
        <v>32</v>
      </c>
      <c r="D5787" t="s">
        <v>771</v>
      </c>
      <c r="E5787" t="s">
        <v>6261</v>
      </c>
      <c r="F5787" t="s">
        <v>35</v>
      </c>
      <c r="G5787" t="s">
        <v>35</v>
      </c>
      <c r="H5787" t="s">
        <v>35</v>
      </c>
      <c r="J5787" t="s">
        <v>6270</v>
      </c>
      <c r="K5787" t="s">
        <v>1092</v>
      </c>
      <c r="M5787">
        <v>7.165</v>
      </c>
      <c r="N5787">
        <v>164</v>
      </c>
      <c r="O5787" t="s">
        <v>38</v>
      </c>
      <c r="Q5787" t="s">
        <v>1587</v>
      </c>
      <c r="R5787" t="s">
        <v>6022</v>
      </c>
      <c r="S5787" t="s">
        <v>937</v>
      </c>
    </row>
    <row r="5788" spans="1:19" x14ac:dyDescent="0.25">
      <c r="A5788" t="s">
        <v>30</v>
      </c>
      <c r="B5788" t="s">
        <v>31</v>
      </c>
      <c r="C5788" t="s">
        <v>32</v>
      </c>
      <c r="D5788" t="s">
        <v>771</v>
      </c>
      <c r="E5788" t="s">
        <v>6261</v>
      </c>
      <c r="F5788" t="s">
        <v>35</v>
      </c>
      <c r="G5788" t="s">
        <v>35</v>
      </c>
      <c r="H5788" t="s">
        <v>35</v>
      </c>
      <c r="J5788" t="s">
        <v>6271</v>
      </c>
      <c r="K5788" t="s">
        <v>1092</v>
      </c>
      <c r="M5788">
        <v>0.435</v>
      </c>
      <c r="N5788">
        <v>251</v>
      </c>
      <c r="O5788" t="s">
        <v>5</v>
      </c>
      <c r="Q5788" t="s">
        <v>1688</v>
      </c>
      <c r="R5788" t="s">
        <v>6272</v>
      </c>
      <c r="S5788" t="s">
        <v>6273</v>
      </c>
    </row>
    <row r="5789" spans="1:19" x14ac:dyDescent="0.25">
      <c r="A5789" t="s">
        <v>30</v>
      </c>
      <c r="B5789" t="s">
        <v>31</v>
      </c>
      <c r="C5789" t="s">
        <v>32</v>
      </c>
      <c r="D5789" t="s">
        <v>771</v>
      </c>
      <c r="E5789" t="s">
        <v>6261</v>
      </c>
      <c r="F5789" t="s">
        <v>35</v>
      </c>
      <c r="G5789" t="s">
        <v>35</v>
      </c>
      <c r="H5789" t="s">
        <v>35</v>
      </c>
      <c r="J5789" t="s">
        <v>6275</v>
      </c>
      <c r="K5789" t="s">
        <v>1092</v>
      </c>
      <c r="M5789">
        <v>8.64</v>
      </c>
      <c r="N5789">
        <v>118</v>
      </c>
      <c r="O5789" t="s">
        <v>106</v>
      </c>
      <c r="Q5789" t="s">
        <v>1469</v>
      </c>
      <c r="R5789" t="s">
        <v>849</v>
      </c>
      <c r="S5789" t="s">
        <v>850</v>
      </c>
    </row>
    <row r="5790" spans="1:19" x14ac:dyDescent="0.25">
      <c r="A5790" t="s">
        <v>30</v>
      </c>
      <c r="B5790" t="s">
        <v>31</v>
      </c>
      <c r="C5790" t="s">
        <v>32</v>
      </c>
      <c r="D5790" t="s">
        <v>771</v>
      </c>
      <c r="E5790" t="s">
        <v>6261</v>
      </c>
      <c r="F5790" t="s">
        <v>35</v>
      </c>
      <c r="G5790" t="s">
        <v>35</v>
      </c>
      <c r="H5790" t="s">
        <v>35</v>
      </c>
      <c r="J5790" t="s">
        <v>6275</v>
      </c>
      <c r="K5790" t="s">
        <v>1092</v>
      </c>
      <c r="M5790">
        <v>19.035</v>
      </c>
      <c r="N5790">
        <v>118</v>
      </c>
      <c r="O5790" t="s">
        <v>106</v>
      </c>
      <c r="Q5790" t="s">
        <v>1469</v>
      </c>
      <c r="R5790" t="s">
        <v>919</v>
      </c>
      <c r="S5790" t="s">
        <v>784</v>
      </c>
    </row>
    <row r="5791" spans="1:19" x14ac:dyDescent="0.25">
      <c r="A5791" t="s">
        <v>59</v>
      </c>
      <c r="B5791" t="s">
        <v>31</v>
      </c>
      <c r="C5791" t="s">
        <v>32</v>
      </c>
      <c r="D5791" t="s">
        <v>771</v>
      </c>
      <c r="E5791" t="s">
        <v>6261</v>
      </c>
      <c r="F5791" t="s">
        <v>35</v>
      </c>
      <c r="G5791" t="s">
        <v>35</v>
      </c>
      <c r="H5791" t="s">
        <v>35</v>
      </c>
      <c r="J5791" t="s">
        <v>6276</v>
      </c>
      <c r="K5791" t="s">
        <v>1092</v>
      </c>
      <c r="M5791">
        <v>2.97</v>
      </c>
      <c r="N5791">
        <v>360</v>
      </c>
      <c r="O5791" t="s">
        <v>5</v>
      </c>
      <c r="Q5791" t="s">
        <v>1435</v>
      </c>
      <c r="R5791" t="s">
        <v>934</v>
      </c>
      <c r="S5791" t="s">
        <v>935</v>
      </c>
    </row>
    <row r="5792" spans="1:19" x14ac:dyDescent="0.25">
      <c r="A5792" t="s">
        <v>59</v>
      </c>
      <c r="B5792" t="s">
        <v>60</v>
      </c>
      <c r="C5792" t="s">
        <v>32</v>
      </c>
      <c r="D5792" t="s">
        <v>771</v>
      </c>
      <c r="E5792" t="s">
        <v>6261</v>
      </c>
      <c r="F5792" t="s">
        <v>35</v>
      </c>
      <c r="G5792" t="s">
        <v>35</v>
      </c>
      <c r="H5792" t="s">
        <v>35</v>
      </c>
      <c r="J5792" t="s">
        <v>6276</v>
      </c>
      <c r="K5792" t="s">
        <v>1092</v>
      </c>
      <c r="M5792">
        <v>1</v>
      </c>
      <c r="N5792">
        <v>356</v>
      </c>
      <c r="O5792" t="s">
        <v>5</v>
      </c>
      <c r="Q5792" t="s">
        <v>4728</v>
      </c>
      <c r="R5792" t="s">
        <v>934</v>
      </c>
      <c r="S5792" t="s">
        <v>935</v>
      </c>
    </row>
    <row r="5793" spans="1:19" x14ac:dyDescent="0.25">
      <c r="A5793" t="s">
        <v>44</v>
      </c>
      <c r="B5793" t="s">
        <v>51</v>
      </c>
      <c r="C5793" t="s">
        <v>32</v>
      </c>
      <c r="D5793" t="s">
        <v>771</v>
      </c>
      <c r="E5793" t="s">
        <v>6261</v>
      </c>
      <c r="F5793" t="s">
        <v>35</v>
      </c>
      <c r="G5793" t="s">
        <v>35</v>
      </c>
      <c r="H5793" t="s">
        <v>35</v>
      </c>
      <c r="J5793" t="s">
        <v>6277</v>
      </c>
      <c r="K5793" t="s">
        <v>1092</v>
      </c>
      <c r="M5793">
        <v>7</v>
      </c>
      <c r="N5793">
        <v>66</v>
      </c>
      <c r="O5793" t="s">
        <v>61</v>
      </c>
      <c r="Q5793" t="s">
        <v>203</v>
      </c>
      <c r="R5793" t="s">
        <v>934</v>
      </c>
      <c r="S5793" t="s">
        <v>935</v>
      </c>
    </row>
    <row r="5794" spans="1:19" x14ac:dyDescent="0.25">
      <c r="A5794" t="s">
        <v>59</v>
      </c>
      <c r="B5794" t="s">
        <v>60</v>
      </c>
      <c r="C5794" t="s">
        <v>32</v>
      </c>
      <c r="D5794" t="s">
        <v>771</v>
      </c>
      <c r="E5794" t="s">
        <v>845</v>
      </c>
      <c r="F5794" t="s">
        <v>35</v>
      </c>
      <c r="G5794" t="s">
        <v>35</v>
      </c>
      <c r="H5794" t="s">
        <v>35</v>
      </c>
      <c r="J5794" t="s">
        <v>6278</v>
      </c>
      <c r="K5794" t="s">
        <v>1092</v>
      </c>
      <c r="M5794">
        <v>2.75</v>
      </c>
      <c r="N5794">
        <v>44</v>
      </c>
      <c r="O5794" t="s">
        <v>52</v>
      </c>
      <c r="Q5794" t="s">
        <v>192</v>
      </c>
      <c r="R5794" t="s">
        <v>6163</v>
      </c>
      <c r="S5794" t="s">
        <v>823</v>
      </c>
    </row>
    <row r="5795" spans="1:19" x14ac:dyDescent="0.25">
      <c r="A5795" t="s">
        <v>30</v>
      </c>
      <c r="B5795" t="s">
        <v>31</v>
      </c>
      <c r="C5795" t="s">
        <v>32</v>
      </c>
      <c r="D5795" t="s">
        <v>771</v>
      </c>
      <c r="E5795" t="s">
        <v>845</v>
      </c>
      <c r="F5795" t="s">
        <v>35</v>
      </c>
      <c r="G5795" t="s">
        <v>35</v>
      </c>
      <c r="H5795" t="s">
        <v>35</v>
      </c>
      <c r="J5795" t="s">
        <v>6279</v>
      </c>
      <c r="K5795" t="s">
        <v>1092</v>
      </c>
      <c r="M5795">
        <v>7.02</v>
      </c>
      <c r="N5795">
        <v>108</v>
      </c>
      <c r="O5795" t="s">
        <v>106</v>
      </c>
      <c r="Q5795" t="s">
        <v>1450</v>
      </c>
      <c r="R5795" t="s">
        <v>6011</v>
      </c>
      <c r="S5795" t="s">
        <v>780</v>
      </c>
    </row>
    <row r="5796" spans="1:19" x14ac:dyDescent="0.25">
      <c r="A5796" t="s">
        <v>44</v>
      </c>
      <c r="B5796" t="s">
        <v>51</v>
      </c>
      <c r="C5796" t="s">
        <v>32</v>
      </c>
      <c r="D5796" t="s">
        <v>771</v>
      </c>
      <c r="E5796" t="s">
        <v>845</v>
      </c>
      <c r="F5796" t="s">
        <v>35</v>
      </c>
      <c r="G5796" t="s">
        <v>35</v>
      </c>
      <c r="H5796" t="s">
        <v>35</v>
      </c>
      <c r="J5796" t="s">
        <v>6279</v>
      </c>
      <c r="K5796" t="s">
        <v>1092</v>
      </c>
      <c r="M5796">
        <v>3.5</v>
      </c>
      <c r="N5796">
        <v>62</v>
      </c>
      <c r="O5796" t="s">
        <v>61</v>
      </c>
      <c r="Q5796" t="s">
        <v>90</v>
      </c>
      <c r="R5796" t="s">
        <v>844</v>
      </c>
      <c r="S5796" t="s">
        <v>806</v>
      </c>
    </row>
    <row r="5797" spans="1:19" x14ac:dyDescent="0.25">
      <c r="A5797" t="s">
        <v>30</v>
      </c>
      <c r="B5797" t="s">
        <v>31</v>
      </c>
      <c r="C5797" t="s">
        <v>32</v>
      </c>
      <c r="D5797" t="s">
        <v>771</v>
      </c>
      <c r="E5797" t="s">
        <v>845</v>
      </c>
      <c r="F5797" t="s">
        <v>35</v>
      </c>
      <c r="G5797" t="s">
        <v>35</v>
      </c>
      <c r="H5797" t="s">
        <v>35</v>
      </c>
      <c r="J5797" t="s">
        <v>6279</v>
      </c>
      <c r="K5797" t="s">
        <v>1092</v>
      </c>
      <c r="M5797">
        <v>7.02</v>
      </c>
      <c r="N5797">
        <v>47</v>
      </c>
      <c r="O5797" t="s">
        <v>52</v>
      </c>
      <c r="Q5797" t="s">
        <v>132</v>
      </c>
      <c r="R5797" t="s">
        <v>844</v>
      </c>
      <c r="S5797" t="s">
        <v>806</v>
      </c>
    </row>
    <row r="5798" spans="1:19" x14ac:dyDescent="0.25">
      <c r="A5798" t="s">
        <v>30</v>
      </c>
      <c r="B5798" t="s">
        <v>31</v>
      </c>
      <c r="C5798" t="s">
        <v>32</v>
      </c>
      <c r="D5798" t="s">
        <v>771</v>
      </c>
      <c r="E5798" t="s">
        <v>845</v>
      </c>
      <c r="F5798" t="s">
        <v>35</v>
      </c>
      <c r="G5798" t="s">
        <v>35</v>
      </c>
      <c r="H5798" t="s">
        <v>35</v>
      </c>
      <c r="J5798" t="s">
        <v>6279</v>
      </c>
      <c r="K5798" t="s">
        <v>1092</v>
      </c>
      <c r="M5798">
        <v>3.1949999999999998</v>
      </c>
      <c r="N5798">
        <v>118</v>
      </c>
      <c r="O5798" t="s">
        <v>106</v>
      </c>
      <c r="Q5798" t="s">
        <v>1469</v>
      </c>
      <c r="R5798" t="s">
        <v>844</v>
      </c>
      <c r="S5798" t="s">
        <v>806</v>
      </c>
    </row>
    <row r="5799" spans="1:19" x14ac:dyDescent="0.25">
      <c r="A5799" t="s">
        <v>44</v>
      </c>
      <c r="B5799" t="s">
        <v>51</v>
      </c>
      <c r="C5799" t="s">
        <v>32</v>
      </c>
      <c r="D5799" t="s">
        <v>771</v>
      </c>
      <c r="E5799" t="s">
        <v>845</v>
      </c>
      <c r="F5799" t="s">
        <v>35</v>
      </c>
      <c r="G5799" t="s">
        <v>35</v>
      </c>
      <c r="H5799" t="s">
        <v>35</v>
      </c>
      <c r="J5799" t="s">
        <v>6280</v>
      </c>
      <c r="K5799" t="s">
        <v>1092</v>
      </c>
      <c r="M5799">
        <v>5.6</v>
      </c>
      <c r="N5799">
        <v>82</v>
      </c>
      <c r="O5799" t="s">
        <v>61</v>
      </c>
      <c r="Q5799" t="s">
        <v>447</v>
      </c>
      <c r="R5799" t="s">
        <v>934</v>
      </c>
      <c r="S5799" t="s">
        <v>935</v>
      </c>
    </row>
    <row r="5800" spans="1:19" x14ac:dyDescent="0.25">
      <c r="A5800" t="s">
        <v>59</v>
      </c>
      <c r="B5800" t="s">
        <v>60</v>
      </c>
      <c r="C5800" t="s">
        <v>32</v>
      </c>
      <c r="D5800" t="s">
        <v>771</v>
      </c>
      <c r="E5800" t="s">
        <v>845</v>
      </c>
      <c r="F5800" t="s">
        <v>35</v>
      </c>
      <c r="G5800" t="s">
        <v>35</v>
      </c>
      <c r="H5800" t="s">
        <v>35</v>
      </c>
      <c r="J5800" t="s">
        <v>6280</v>
      </c>
      <c r="K5800" t="s">
        <v>1092</v>
      </c>
      <c r="M5800">
        <v>0.7</v>
      </c>
      <c r="N5800">
        <v>141</v>
      </c>
      <c r="O5800" t="s">
        <v>38</v>
      </c>
      <c r="Q5800" t="s">
        <v>1822</v>
      </c>
      <c r="R5800" t="s">
        <v>934</v>
      </c>
      <c r="S5800" t="s">
        <v>935</v>
      </c>
    </row>
    <row r="5801" spans="1:19" x14ac:dyDescent="0.25">
      <c r="A5801" t="s">
        <v>30</v>
      </c>
      <c r="B5801" t="s">
        <v>31</v>
      </c>
      <c r="C5801" t="s">
        <v>32</v>
      </c>
      <c r="D5801" t="s">
        <v>771</v>
      </c>
      <c r="E5801" t="s">
        <v>845</v>
      </c>
      <c r="F5801" t="s">
        <v>35</v>
      </c>
      <c r="G5801" t="s">
        <v>35</v>
      </c>
      <c r="H5801" t="s">
        <v>35</v>
      </c>
      <c r="J5801" t="s">
        <v>6281</v>
      </c>
      <c r="K5801" t="s">
        <v>1092</v>
      </c>
      <c r="M5801">
        <v>2.16</v>
      </c>
      <c r="N5801">
        <v>47</v>
      </c>
      <c r="O5801" t="s">
        <v>52</v>
      </c>
      <c r="Q5801" t="s">
        <v>132</v>
      </c>
      <c r="R5801" t="s">
        <v>844</v>
      </c>
      <c r="S5801" t="s">
        <v>806</v>
      </c>
    </row>
    <row r="5802" spans="1:19" x14ac:dyDescent="0.25">
      <c r="A5802" t="s">
        <v>59</v>
      </c>
      <c r="B5802" t="s">
        <v>60</v>
      </c>
      <c r="C5802" t="s">
        <v>32</v>
      </c>
      <c r="D5802" t="s">
        <v>771</v>
      </c>
      <c r="E5802" t="s">
        <v>845</v>
      </c>
      <c r="F5802" t="s">
        <v>35</v>
      </c>
      <c r="G5802" t="s">
        <v>35</v>
      </c>
      <c r="H5802" t="s">
        <v>35</v>
      </c>
      <c r="J5802" t="s">
        <v>6282</v>
      </c>
      <c r="K5802" t="s">
        <v>1092</v>
      </c>
      <c r="M5802">
        <v>1</v>
      </c>
      <c r="N5802">
        <v>153</v>
      </c>
      <c r="O5802" t="s">
        <v>38</v>
      </c>
      <c r="Q5802" t="s">
        <v>569</v>
      </c>
      <c r="R5802" t="s">
        <v>844</v>
      </c>
      <c r="S5802" t="s">
        <v>806</v>
      </c>
    </row>
    <row r="5803" spans="1:19" x14ac:dyDescent="0.25">
      <c r="A5803" t="s">
        <v>59</v>
      </c>
      <c r="B5803" t="s">
        <v>60</v>
      </c>
      <c r="C5803" t="s">
        <v>32</v>
      </c>
      <c r="D5803" t="s">
        <v>771</v>
      </c>
      <c r="E5803" t="s">
        <v>845</v>
      </c>
      <c r="F5803" t="s">
        <v>35</v>
      </c>
      <c r="G5803" t="s">
        <v>35</v>
      </c>
      <c r="H5803" t="s">
        <v>35</v>
      </c>
      <c r="J5803" t="s">
        <v>6283</v>
      </c>
      <c r="K5803" t="s">
        <v>1092</v>
      </c>
      <c r="M5803">
        <v>7</v>
      </c>
      <c r="N5803">
        <v>64</v>
      </c>
      <c r="O5803" t="s">
        <v>61</v>
      </c>
      <c r="Q5803" t="s">
        <v>381</v>
      </c>
      <c r="R5803" t="s">
        <v>6163</v>
      </c>
      <c r="S5803" t="s">
        <v>823</v>
      </c>
    </row>
    <row r="5804" spans="1:19" x14ac:dyDescent="0.25">
      <c r="A5804" t="s">
        <v>59</v>
      </c>
      <c r="B5804" t="s">
        <v>31</v>
      </c>
      <c r="C5804" t="s">
        <v>32</v>
      </c>
      <c r="D5804" t="s">
        <v>771</v>
      </c>
      <c r="E5804" t="s">
        <v>845</v>
      </c>
      <c r="F5804" t="s">
        <v>35</v>
      </c>
      <c r="G5804" t="s">
        <v>35</v>
      </c>
      <c r="H5804" t="s">
        <v>35</v>
      </c>
      <c r="J5804" t="s">
        <v>6284</v>
      </c>
      <c r="K5804" t="s">
        <v>1092</v>
      </c>
      <c r="M5804">
        <v>2.97</v>
      </c>
      <c r="N5804">
        <v>153</v>
      </c>
      <c r="O5804" t="s">
        <v>38</v>
      </c>
      <c r="Q5804" t="s">
        <v>569</v>
      </c>
      <c r="R5804" t="s">
        <v>844</v>
      </c>
      <c r="S5804" t="s">
        <v>806</v>
      </c>
    </row>
    <row r="5805" spans="1:19" x14ac:dyDescent="0.25">
      <c r="A5805" t="s">
        <v>59</v>
      </c>
      <c r="B5805" t="s">
        <v>60</v>
      </c>
      <c r="C5805" t="s">
        <v>32</v>
      </c>
      <c r="D5805" t="s">
        <v>771</v>
      </c>
      <c r="E5805" t="s">
        <v>845</v>
      </c>
      <c r="F5805" t="s">
        <v>35</v>
      </c>
      <c r="G5805" t="s">
        <v>35</v>
      </c>
      <c r="H5805" t="s">
        <v>35</v>
      </c>
      <c r="J5805" t="s">
        <v>6285</v>
      </c>
      <c r="K5805" t="s">
        <v>1092</v>
      </c>
      <c r="M5805">
        <v>1.5</v>
      </c>
      <c r="N5805">
        <v>290</v>
      </c>
      <c r="O5805" t="s">
        <v>5</v>
      </c>
      <c r="Q5805" t="s">
        <v>4463</v>
      </c>
      <c r="R5805" t="s">
        <v>6227</v>
      </c>
      <c r="S5805" t="s">
        <v>853</v>
      </c>
    </row>
    <row r="5806" spans="1:19" x14ac:dyDescent="0.25">
      <c r="A5806" t="s">
        <v>44</v>
      </c>
      <c r="B5806" t="s">
        <v>51</v>
      </c>
      <c r="C5806" t="s">
        <v>32</v>
      </c>
      <c r="D5806" t="s">
        <v>771</v>
      </c>
      <c r="E5806" t="s">
        <v>845</v>
      </c>
      <c r="F5806" t="s">
        <v>35</v>
      </c>
      <c r="G5806" t="s">
        <v>35</v>
      </c>
      <c r="H5806" t="s">
        <v>35</v>
      </c>
      <c r="J5806" t="s">
        <v>6286</v>
      </c>
      <c r="K5806" t="s">
        <v>1092</v>
      </c>
      <c r="M5806">
        <v>7</v>
      </c>
      <c r="N5806">
        <v>82</v>
      </c>
      <c r="O5806" t="s">
        <v>61</v>
      </c>
      <c r="Q5806" t="s">
        <v>447</v>
      </c>
      <c r="R5806" t="s">
        <v>934</v>
      </c>
      <c r="S5806" t="s">
        <v>935</v>
      </c>
    </row>
    <row r="5807" spans="1:19" x14ac:dyDescent="0.25">
      <c r="A5807" t="s">
        <v>59</v>
      </c>
      <c r="B5807" t="s">
        <v>31</v>
      </c>
      <c r="C5807" t="s">
        <v>32</v>
      </c>
      <c r="D5807" t="s">
        <v>771</v>
      </c>
      <c r="E5807" t="s">
        <v>845</v>
      </c>
      <c r="F5807" t="s">
        <v>35</v>
      </c>
      <c r="G5807" t="s">
        <v>35</v>
      </c>
      <c r="H5807" t="s">
        <v>35</v>
      </c>
      <c r="J5807" t="s">
        <v>6287</v>
      </c>
      <c r="K5807" t="s">
        <v>1092</v>
      </c>
      <c r="M5807">
        <v>0.27</v>
      </c>
      <c r="N5807">
        <v>191</v>
      </c>
      <c r="O5807" t="s">
        <v>5</v>
      </c>
      <c r="Q5807" t="s">
        <v>1569</v>
      </c>
      <c r="R5807" t="s">
        <v>6169</v>
      </c>
      <c r="S5807" t="s">
        <v>904</v>
      </c>
    </row>
    <row r="5808" spans="1:19" x14ac:dyDescent="0.25">
      <c r="A5808" t="s">
        <v>30</v>
      </c>
      <c r="B5808" t="s">
        <v>31</v>
      </c>
      <c r="C5808" t="s">
        <v>32</v>
      </c>
      <c r="D5808" t="s">
        <v>771</v>
      </c>
      <c r="E5808" t="s">
        <v>845</v>
      </c>
      <c r="F5808" t="s">
        <v>35</v>
      </c>
      <c r="G5808" t="s">
        <v>35</v>
      </c>
      <c r="H5808" t="s">
        <v>35</v>
      </c>
      <c r="J5808" t="s">
        <v>4479</v>
      </c>
      <c r="K5808" t="s">
        <v>1092</v>
      </c>
      <c r="M5808">
        <v>0.64800000000000002</v>
      </c>
      <c r="N5808">
        <v>47</v>
      </c>
      <c r="O5808" t="s">
        <v>52</v>
      </c>
      <c r="Q5808" t="s">
        <v>132</v>
      </c>
      <c r="R5808" t="s">
        <v>844</v>
      </c>
      <c r="S5808" t="s">
        <v>806</v>
      </c>
    </row>
    <row r="5809" spans="1:19" x14ac:dyDescent="0.25">
      <c r="A5809" t="s">
        <v>59</v>
      </c>
      <c r="B5809" t="s">
        <v>60</v>
      </c>
      <c r="C5809" t="s">
        <v>32</v>
      </c>
      <c r="D5809" t="s">
        <v>771</v>
      </c>
      <c r="E5809" t="s">
        <v>845</v>
      </c>
      <c r="F5809" t="s">
        <v>35</v>
      </c>
      <c r="G5809" t="s">
        <v>35</v>
      </c>
      <c r="H5809" t="s">
        <v>35</v>
      </c>
      <c r="J5809" t="s">
        <v>4479</v>
      </c>
      <c r="K5809" t="s">
        <v>1092</v>
      </c>
      <c r="M5809">
        <v>7</v>
      </c>
      <c r="N5809">
        <v>45</v>
      </c>
      <c r="O5809" t="s">
        <v>52</v>
      </c>
      <c r="Q5809" t="s">
        <v>716</v>
      </c>
      <c r="R5809" t="s">
        <v>844</v>
      </c>
      <c r="S5809" t="s">
        <v>806</v>
      </c>
    </row>
    <row r="5810" spans="1:19" x14ac:dyDescent="0.25">
      <c r="A5810" t="s">
        <v>44</v>
      </c>
      <c r="B5810" t="s">
        <v>51</v>
      </c>
      <c r="C5810" t="s">
        <v>32</v>
      </c>
      <c r="D5810" t="s">
        <v>771</v>
      </c>
      <c r="E5810" t="s">
        <v>845</v>
      </c>
      <c r="F5810" t="s">
        <v>35</v>
      </c>
      <c r="G5810" t="s">
        <v>35</v>
      </c>
      <c r="H5810" t="s">
        <v>35</v>
      </c>
      <c r="J5810" t="s">
        <v>4479</v>
      </c>
      <c r="K5810" t="s">
        <v>1092</v>
      </c>
      <c r="M5810">
        <v>3.5</v>
      </c>
      <c r="N5810">
        <v>62</v>
      </c>
      <c r="O5810" t="s">
        <v>61</v>
      </c>
      <c r="Q5810" t="s">
        <v>90</v>
      </c>
      <c r="R5810" t="s">
        <v>844</v>
      </c>
      <c r="S5810" t="s">
        <v>806</v>
      </c>
    </row>
    <row r="5811" spans="1:19" x14ac:dyDescent="0.25">
      <c r="A5811" t="s">
        <v>59</v>
      </c>
      <c r="B5811" t="s">
        <v>60</v>
      </c>
      <c r="C5811" t="s">
        <v>32</v>
      </c>
      <c r="D5811" t="s">
        <v>771</v>
      </c>
      <c r="E5811" t="s">
        <v>845</v>
      </c>
      <c r="F5811" t="s">
        <v>35</v>
      </c>
      <c r="G5811" t="s">
        <v>35</v>
      </c>
      <c r="H5811" t="s">
        <v>35</v>
      </c>
      <c r="J5811" t="s">
        <v>6288</v>
      </c>
      <c r="K5811" t="s">
        <v>1092</v>
      </c>
      <c r="M5811">
        <v>6</v>
      </c>
      <c r="N5811">
        <v>84</v>
      </c>
      <c r="O5811" t="s">
        <v>61</v>
      </c>
      <c r="Q5811" t="s">
        <v>778</v>
      </c>
      <c r="R5811" t="s">
        <v>436</v>
      </c>
      <c r="S5811" t="s">
        <v>437</v>
      </c>
    </row>
    <row r="5812" spans="1:19" x14ac:dyDescent="0.25">
      <c r="A5812" t="s">
        <v>30</v>
      </c>
      <c r="B5812" t="s">
        <v>31</v>
      </c>
      <c r="C5812" t="s">
        <v>32</v>
      </c>
      <c r="D5812" t="s">
        <v>771</v>
      </c>
      <c r="E5812" t="s">
        <v>845</v>
      </c>
      <c r="F5812" t="s">
        <v>35</v>
      </c>
      <c r="G5812" t="s">
        <v>35</v>
      </c>
      <c r="H5812" t="s">
        <v>35</v>
      </c>
      <c r="J5812" t="s">
        <v>6288</v>
      </c>
      <c r="K5812" t="s">
        <v>1092</v>
      </c>
      <c r="M5812">
        <v>14.04</v>
      </c>
      <c r="N5812">
        <v>48</v>
      </c>
      <c r="O5812" t="s">
        <v>52</v>
      </c>
      <c r="Q5812" t="s">
        <v>496</v>
      </c>
      <c r="R5812" t="s">
        <v>919</v>
      </c>
      <c r="S5812" t="s">
        <v>784</v>
      </c>
    </row>
    <row r="5813" spans="1:19" x14ac:dyDescent="0.25">
      <c r="A5813" t="s">
        <v>30</v>
      </c>
      <c r="B5813" t="s">
        <v>31</v>
      </c>
      <c r="C5813" t="s">
        <v>32</v>
      </c>
      <c r="D5813" t="s">
        <v>771</v>
      </c>
      <c r="E5813" t="s">
        <v>845</v>
      </c>
      <c r="F5813" t="s">
        <v>35</v>
      </c>
      <c r="G5813" t="s">
        <v>35</v>
      </c>
      <c r="H5813" t="s">
        <v>35</v>
      </c>
      <c r="J5813" t="s">
        <v>4247</v>
      </c>
      <c r="K5813" t="s">
        <v>1092</v>
      </c>
      <c r="M5813">
        <v>7.02</v>
      </c>
      <c r="N5813">
        <v>202</v>
      </c>
      <c r="O5813" t="s">
        <v>5</v>
      </c>
      <c r="Q5813" t="s">
        <v>1299</v>
      </c>
      <c r="R5813" t="s">
        <v>844</v>
      </c>
      <c r="S5813" t="s">
        <v>806</v>
      </c>
    </row>
    <row r="5814" spans="1:19" x14ac:dyDescent="0.25">
      <c r="A5814" t="s">
        <v>30</v>
      </c>
      <c r="B5814" t="s">
        <v>31</v>
      </c>
      <c r="C5814" t="s">
        <v>32</v>
      </c>
      <c r="D5814" t="s">
        <v>771</v>
      </c>
      <c r="E5814" t="s">
        <v>861</v>
      </c>
      <c r="F5814" t="s">
        <v>35</v>
      </c>
      <c r="G5814" t="s">
        <v>35</v>
      </c>
      <c r="H5814" t="s">
        <v>35</v>
      </c>
      <c r="J5814" t="s">
        <v>6290</v>
      </c>
      <c r="K5814" t="s">
        <v>1092</v>
      </c>
      <c r="M5814">
        <v>3.15</v>
      </c>
      <c r="N5814">
        <v>289</v>
      </c>
      <c r="O5814" t="s">
        <v>5</v>
      </c>
      <c r="Q5814" t="s">
        <v>1172</v>
      </c>
      <c r="R5814" t="s">
        <v>6182</v>
      </c>
      <c r="S5814" t="s">
        <v>841</v>
      </c>
    </row>
    <row r="5815" spans="1:19" x14ac:dyDescent="0.25">
      <c r="A5815" t="s">
        <v>44</v>
      </c>
      <c r="B5815" t="s">
        <v>51</v>
      </c>
      <c r="C5815" t="s">
        <v>32</v>
      </c>
      <c r="D5815" t="s">
        <v>771</v>
      </c>
      <c r="E5815" t="s">
        <v>861</v>
      </c>
      <c r="F5815" t="s">
        <v>35</v>
      </c>
      <c r="G5815" t="s">
        <v>35</v>
      </c>
      <c r="H5815" t="s">
        <v>35</v>
      </c>
      <c r="J5815" t="s">
        <v>6290</v>
      </c>
      <c r="K5815" t="s">
        <v>1092</v>
      </c>
      <c r="M5815">
        <v>2.5</v>
      </c>
      <c r="N5815">
        <v>282</v>
      </c>
      <c r="O5815" t="s">
        <v>5</v>
      </c>
      <c r="Q5815" t="s">
        <v>1225</v>
      </c>
      <c r="R5815" t="s">
        <v>6182</v>
      </c>
      <c r="S5815" t="s">
        <v>841</v>
      </c>
    </row>
    <row r="5816" spans="1:19" x14ac:dyDescent="0.25">
      <c r="A5816" t="s">
        <v>30</v>
      </c>
      <c r="B5816" t="s">
        <v>31</v>
      </c>
      <c r="C5816" t="s">
        <v>32</v>
      </c>
      <c r="D5816" t="s">
        <v>771</v>
      </c>
      <c r="E5816" t="s">
        <v>861</v>
      </c>
      <c r="F5816" t="s">
        <v>35</v>
      </c>
      <c r="G5816" t="s">
        <v>35</v>
      </c>
      <c r="H5816" t="s">
        <v>35</v>
      </c>
      <c r="J5816" t="s">
        <v>6291</v>
      </c>
      <c r="K5816" t="s">
        <v>1092</v>
      </c>
      <c r="M5816">
        <v>1.125</v>
      </c>
      <c r="N5816">
        <v>116</v>
      </c>
      <c r="O5816" t="s">
        <v>106</v>
      </c>
      <c r="Q5816" t="s">
        <v>1256</v>
      </c>
      <c r="R5816" t="s">
        <v>436</v>
      </c>
      <c r="S5816" t="s">
        <v>437</v>
      </c>
    </row>
    <row r="5817" spans="1:19" x14ac:dyDescent="0.25">
      <c r="A5817" t="s">
        <v>59</v>
      </c>
      <c r="B5817" t="s">
        <v>31</v>
      </c>
      <c r="C5817" t="s">
        <v>32</v>
      </c>
      <c r="D5817" t="s">
        <v>771</v>
      </c>
      <c r="E5817" t="s">
        <v>861</v>
      </c>
      <c r="F5817" t="s">
        <v>35</v>
      </c>
      <c r="G5817" t="s">
        <v>35</v>
      </c>
      <c r="H5817" t="s">
        <v>35</v>
      </c>
      <c r="J5817" t="s">
        <v>6291</v>
      </c>
      <c r="K5817" t="s">
        <v>1092</v>
      </c>
      <c r="M5817">
        <v>3.5550000000000002</v>
      </c>
      <c r="N5817">
        <v>89</v>
      </c>
      <c r="O5817" t="s">
        <v>61</v>
      </c>
      <c r="Q5817" t="s">
        <v>299</v>
      </c>
      <c r="R5817" t="s">
        <v>844</v>
      </c>
      <c r="S5817" t="s">
        <v>806</v>
      </c>
    </row>
    <row r="5818" spans="1:19" x14ac:dyDescent="0.25">
      <c r="A5818" t="s">
        <v>30</v>
      </c>
      <c r="B5818" t="s">
        <v>31</v>
      </c>
      <c r="C5818" t="s">
        <v>32</v>
      </c>
      <c r="D5818" t="s">
        <v>771</v>
      </c>
      <c r="E5818" t="s">
        <v>861</v>
      </c>
      <c r="F5818" t="s">
        <v>35</v>
      </c>
      <c r="G5818" t="s">
        <v>35</v>
      </c>
      <c r="H5818" t="s">
        <v>35</v>
      </c>
      <c r="J5818" t="s">
        <v>6292</v>
      </c>
      <c r="K5818" t="s">
        <v>1092</v>
      </c>
      <c r="M5818">
        <v>7.02</v>
      </c>
      <c r="N5818">
        <v>47</v>
      </c>
      <c r="O5818" t="s">
        <v>52</v>
      </c>
      <c r="Q5818" t="s">
        <v>132</v>
      </c>
      <c r="R5818" t="s">
        <v>844</v>
      </c>
      <c r="S5818" t="s">
        <v>806</v>
      </c>
    </row>
    <row r="5819" spans="1:19" x14ac:dyDescent="0.25">
      <c r="A5819" t="s">
        <v>30</v>
      </c>
      <c r="B5819" t="s">
        <v>31</v>
      </c>
      <c r="C5819" t="s">
        <v>32</v>
      </c>
      <c r="D5819" t="s">
        <v>771</v>
      </c>
      <c r="E5819" t="s">
        <v>861</v>
      </c>
      <c r="F5819" t="s">
        <v>35</v>
      </c>
      <c r="G5819" t="s">
        <v>35</v>
      </c>
      <c r="H5819" t="s">
        <v>35</v>
      </c>
      <c r="J5819" t="s">
        <v>6292</v>
      </c>
      <c r="K5819" t="s">
        <v>1092</v>
      </c>
      <c r="M5819">
        <v>0.01</v>
      </c>
      <c r="N5819">
        <v>115</v>
      </c>
      <c r="O5819" t="s">
        <v>106</v>
      </c>
      <c r="Q5819" t="s">
        <v>1195</v>
      </c>
      <c r="R5819" t="s">
        <v>844</v>
      </c>
      <c r="S5819" t="s">
        <v>806</v>
      </c>
    </row>
    <row r="5820" spans="1:19" x14ac:dyDescent="0.25">
      <c r="A5820" t="s">
        <v>59</v>
      </c>
      <c r="B5820" t="s">
        <v>60</v>
      </c>
      <c r="C5820" t="s">
        <v>32</v>
      </c>
      <c r="D5820" t="s">
        <v>771</v>
      </c>
      <c r="E5820" t="s">
        <v>861</v>
      </c>
      <c r="F5820" t="s">
        <v>35</v>
      </c>
      <c r="G5820" t="s">
        <v>35</v>
      </c>
      <c r="H5820" t="s">
        <v>35</v>
      </c>
      <c r="J5820" t="s">
        <v>6293</v>
      </c>
      <c r="K5820" t="s">
        <v>1092</v>
      </c>
      <c r="M5820">
        <v>3.3</v>
      </c>
      <c r="N5820">
        <v>98</v>
      </c>
      <c r="O5820" t="s">
        <v>106</v>
      </c>
      <c r="Q5820" t="s">
        <v>108</v>
      </c>
      <c r="R5820" t="s">
        <v>844</v>
      </c>
      <c r="S5820" t="s">
        <v>806</v>
      </c>
    </row>
    <row r="5821" spans="1:19" x14ac:dyDescent="0.25">
      <c r="A5821" t="s">
        <v>30</v>
      </c>
      <c r="B5821" t="s">
        <v>31</v>
      </c>
      <c r="C5821" t="s">
        <v>32</v>
      </c>
      <c r="D5821" t="s">
        <v>771</v>
      </c>
      <c r="E5821" t="s">
        <v>861</v>
      </c>
      <c r="F5821" t="s">
        <v>35</v>
      </c>
      <c r="G5821" t="s">
        <v>35</v>
      </c>
      <c r="H5821" t="s">
        <v>35</v>
      </c>
      <c r="J5821" t="s">
        <v>6294</v>
      </c>
      <c r="K5821" t="s">
        <v>1092</v>
      </c>
      <c r="M5821">
        <v>1.62</v>
      </c>
      <c r="N5821">
        <v>48</v>
      </c>
      <c r="O5821" t="s">
        <v>52</v>
      </c>
      <c r="Q5821" t="s">
        <v>496</v>
      </c>
      <c r="R5821" t="s">
        <v>934</v>
      </c>
      <c r="S5821" t="s">
        <v>935</v>
      </c>
    </row>
    <row r="5822" spans="1:19" x14ac:dyDescent="0.25">
      <c r="A5822" t="s">
        <v>30</v>
      </c>
      <c r="B5822" t="s">
        <v>31</v>
      </c>
      <c r="C5822" t="s">
        <v>32</v>
      </c>
      <c r="D5822" t="s">
        <v>771</v>
      </c>
      <c r="E5822" t="s">
        <v>861</v>
      </c>
      <c r="F5822" t="s">
        <v>35</v>
      </c>
      <c r="G5822" t="s">
        <v>35</v>
      </c>
      <c r="H5822" t="s">
        <v>35</v>
      </c>
      <c r="J5822" t="s">
        <v>6295</v>
      </c>
      <c r="K5822" t="s">
        <v>1092</v>
      </c>
      <c r="M5822">
        <v>0.58499999999999996</v>
      </c>
      <c r="N5822">
        <v>238</v>
      </c>
      <c r="O5822" t="s">
        <v>5</v>
      </c>
      <c r="Q5822" t="s">
        <v>933</v>
      </c>
      <c r="R5822" t="s">
        <v>934</v>
      </c>
      <c r="S5822" t="s">
        <v>935</v>
      </c>
    </row>
    <row r="5823" spans="1:19" x14ac:dyDescent="0.25">
      <c r="A5823" t="s">
        <v>44</v>
      </c>
      <c r="B5823" t="s">
        <v>51</v>
      </c>
      <c r="C5823" t="s">
        <v>32</v>
      </c>
      <c r="D5823" t="s">
        <v>771</v>
      </c>
      <c r="E5823" t="s">
        <v>861</v>
      </c>
      <c r="F5823" t="s">
        <v>35</v>
      </c>
      <c r="G5823" t="s">
        <v>35</v>
      </c>
      <c r="H5823" t="s">
        <v>35</v>
      </c>
      <c r="J5823" t="s">
        <v>6296</v>
      </c>
      <c r="K5823" t="s">
        <v>1092</v>
      </c>
      <c r="M5823">
        <v>0.7</v>
      </c>
      <c r="N5823">
        <v>263</v>
      </c>
      <c r="O5823" t="s">
        <v>5</v>
      </c>
      <c r="Q5823" t="s">
        <v>2499</v>
      </c>
      <c r="R5823" t="s">
        <v>844</v>
      </c>
      <c r="S5823" t="s">
        <v>806</v>
      </c>
    </row>
    <row r="5824" spans="1:19" x14ac:dyDescent="0.25">
      <c r="A5824" t="s">
        <v>44</v>
      </c>
      <c r="B5824" t="s">
        <v>3</v>
      </c>
      <c r="C5824" t="s">
        <v>32</v>
      </c>
      <c r="D5824" t="s">
        <v>771</v>
      </c>
      <c r="E5824" t="s">
        <v>861</v>
      </c>
      <c r="F5824" t="s">
        <v>35</v>
      </c>
      <c r="G5824" t="s">
        <v>35</v>
      </c>
      <c r="H5824" t="s">
        <v>35</v>
      </c>
      <c r="J5824" t="s">
        <v>6296</v>
      </c>
      <c r="K5824" t="s">
        <v>1092</v>
      </c>
      <c r="M5824">
        <v>0.25</v>
      </c>
      <c r="N5824">
        <v>263</v>
      </c>
      <c r="O5824" t="s">
        <v>5</v>
      </c>
      <c r="Q5824" t="s">
        <v>2499</v>
      </c>
      <c r="R5824" t="s">
        <v>844</v>
      </c>
      <c r="S5824" t="s">
        <v>806</v>
      </c>
    </row>
    <row r="5825" spans="1:19" x14ac:dyDescent="0.25">
      <c r="A5825" t="s">
        <v>30</v>
      </c>
      <c r="B5825" t="s">
        <v>31</v>
      </c>
      <c r="C5825" t="s">
        <v>32</v>
      </c>
      <c r="D5825" t="s">
        <v>771</v>
      </c>
      <c r="E5825" t="s">
        <v>861</v>
      </c>
      <c r="F5825" t="s">
        <v>35</v>
      </c>
      <c r="G5825" t="s">
        <v>35</v>
      </c>
      <c r="H5825" t="s">
        <v>35</v>
      </c>
      <c r="J5825" t="s">
        <v>6296</v>
      </c>
      <c r="K5825" t="s">
        <v>1092</v>
      </c>
      <c r="M5825">
        <v>2.0249999999999999</v>
      </c>
      <c r="N5825">
        <v>237</v>
      </c>
      <c r="O5825" t="s">
        <v>5</v>
      </c>
      <c r="Q5825" t="s">
        <v>3446</v>
      </c>
      <c r="R5825" t="s">
        <v>844</v>
      </c>
      <c r="S5825" t="s">
        <v>806</v>
      </c>
    </row>
    <row r="5826" spans="1:19" x14ac:dyDescent="0.25">
      <c r="A5826" t="s">
        <v>59</v>
      </c>
      <c r="B5826" t="s">
        <v>60</v>
      </c>
      <c r="C5826" t="s">
        <v>32</v>
      </c>
      <c r="D5826" t="s">
        <v>771</v>
      </c>
      <c r="E5826" t="s">
        <v>861</v>
      </c>
      <c r="F5826" t="s">
        <v>35</v>
      </c>
      <c r="G5826" t="s">
        <v>35</v>
      </c>
      <c r="H5826" t="s">
        <v>35</v>
      </c>
      <c r="J5826" t="s">
        <v>6297</v>
      </c>
      <c r="K5826" t="s">
        <v>1092</v>
      </c>
      <c r="M5826">
        <v>7.35</v>
      </c>
      <c r="N5826">
        <v>156</v>
      </c>
      <c r="O5826" t="s">
        <v>38</v>
      </c>
      <c r="Q5826" t="s">
        <v>75</v>
      </c>
      <c r="R5826" t="s">
        <v>6029</v>
      </c>
      <c r="S5826" t="s">
        <v>6030</v>
      </c>
    </row>
    <row r="5827" spans="1:19" x14ac:dyDescent="0.25">
      <c r="A5827" t="s">
        <v>44</v>
      </c>
      <c r="B5827" t="s">
        <v>51</v>
      </c>
      <c r="C5827" t="s">
        <v>32</v>
      </c>
      <c r="D5827" t="s">
        <v>771</v>
      </c>
      <c r="E5827" t="s">
        <v>861</v>
      </c>
      <c r="F5827" t="s">
        <v>35</v>
      </c>
      <c r="G5827" t="s">
        <v>35</v>
      </c>
      <c r="H5827" t="s">
        <v>35</v>
      </c>
      <c r="J5827" t="s">
        <v>6297</v>
      </c>
      <c r="K5827" t="s">
        <v>1092</v>
      </c>
      <c r="M5827">
        <v>11</v>
      </c>
      <c r="N5827">
        <v>83</v>
      </c>
      <c r="O5827" t="s">
        <v>61</v>
      </c>
      <c r="Q5827" t="s">
        <v>455</v>
      </c>
      <c r="R5827" t="s">
        <v>6029</v>
      </c>
      <c r="S5827" t="s">
        <v>6030</v>
      </c>
    </row>
    <row r="5828" spans="1:19" x14ac:dyDescent="0.25">
      <c r="A5828" t="s">
        <v>59</v>
      </c>
      <c r="B5828" t="s">
        <v>60</v>
      </c>
      <c r="C5828" t="s">
        <v>32</v>
      </c>
      <c r="D5828" t="s">
        <v>771</v>
      </c>
      <c r="E5828" t="s">
        <v>861</v>
      </c>
      <c r="F5828" t="s">
        <v>35</v>
      </c>
      <c r="G5828" t="s">
        <v>35</v>
      </c>
      <c r="H5828" t="s">
        <v>35</v>
      </c>
      <c r="J5828" t="s">
        <v>6297</v>
      </c>
      <c r="K5828" t="s">
        <v>1092</v>
      </c>
      <c r="M5828">
        <v>10.25</v>
      </c>
      <c r="N5828">
        <v>38</v>
      </c>
      <c r="O5828" t="s">
        <v>52</v>
      </c>
      <c r="Q5828" t="s">
        <v>748</v>
      </c>
      <c r="R5828" t="s">
        <v>6029</v>
      </c>
      <c r="S5828" t="s">
        <v>6030</v>
      </c>
    </row>
    <row r="5829" spans="1:19" x14ac:dyDescent="0.25">
      <c r="A5829" t="s">
        <v>59</v>
      </c>
      <c r="B5829" t="s">
        <v>31</v>
      </c>
      <c r="C5829" t="s">
        <v>32</v>
      </c>
      <c r="D5829" t="s">
        <v>771</v>
      </c>
      <c r="E5829" t="s">
        <v>861</v>
      </c>
      <c r="F5829" t="s">
        <v>35</v>
      </c>
      <c r="G5829" t="s">
        <v>35</v>
      </c>
      <c r="H5829" t="s">
        <v>35</v>
      </c>
      <c r="J5829" t="s">
        <v>6297</v>
      </c>
      <c r="K5829" t="s">
        <v>1092</v>
      </c>
      <c r="M5829">
        <v>8.2349999999999994</v>
      </c>
      <c r="N5829">
        <v>44</v>
      </c>
      <c r="O5829" t="s">
        <v>52</v>
      </c>
      <c r="Q5829" t="s">
        <v>192</v>
      </c>
      <c r="R5829" t="s">
        <v>6029</v>
      </c>
      <c r="S5829" t="s">
        <v>6030</v>
      </c>
    </row>
    <row r="5830" spans="1:19" x14ac:dyDescent="0.25">
      <c r="A5830" t="s">
        <v>30</v>
      </c>
      <c r="B5830" t="s">
        <v>31</v>
      </c>
      <c r="C5830" t="s">
        <v>32</v>
      </c>
      <c r="D5830" t="s">
        <v>771</v>
      </c>
      <c r="E5830" t="s">
        <v>861</v>
      </c>
      <c r="F5830" t="s">
        <v>35</v>
      </c>
      <c r="G5830" t="s">
        <v>35</v>
      </c>
      <c r="H5830" t="s">
        <v>35</v>
      </c>
      <c r="J5830" t="s">
        <v>6297</v>
      </c>
      <c r="K5830" t="s">
        <v>1092</v>
      </c>
      <c r="M5830">
        <v>4.05</v>
      </c>
      <c r="N5830">
        <v>44</v>
      </c>
      <c r="O5830" t="s">
        <v>52</v>
      </c>
      <c r="Q5830" t="s">
        <v>192</v>
      </c>
      <c r="R5830" t="s">
        <v>6029</v>
      </c>
      <c r="S5830" t="s">
        <v>6030</v>
      </c>
    </row>
    <row r="5831" spans="1:19" x14ac:dyDescent="0.25">
      <c r="A5831" t="s">
        <v>30</v>
      </c>
      <c r="B5831" t="s">
        <v>31</v>
      </c>
      <c r="C5831" t="s">
        <v>32</v>
      </c>
      <c r="D5831" t="s">
        <v>771</v>
      </c>
      <c r="E5831" t="s">
        <v>861</v>
      </c>
      <c r="F5831" t="s">
        <v>35</v>
      </c>
      <c r="G5831" t="s">
        <v>35</v>
      </c>
      <c r="H5831" t="s">
        <v>35</v>
      </c>
      <c r="J5831" t="s">
        <v>6298</v>
      </c>
      <c r="K5831" t="s">
        <v>1092</v>
      </c>
      <c r="M5831">
        <v>9.99</v>
      </c>
      <c r="N5831">
        <v>47</v>
      </c>
      <c r="O5831" t="s">
        <v>52</v>
      </c>
      <c r="Q5831" t="s">
        <v>132</v>
      </c>
      <c r="R5831" t="s">
        <v>849</v>
      </c>
      <c r="S5831" t="s">
        <v>850</v>
      </c>
    </row>
    <row r="5832" spans="1:19" x14ac:dyDescent="0.25">
      <c r="A5832" t="s">
        <v>30</v>
      </c>
      <c r="B5832" t="s">
        <v>31</v>
      </c>
      <c r="C5832" t="s">
        <v>32</v>
      </c>
      <c r="D5832" t="s">
        <v>771</v>
      </c>
      <c r="E5832" t="s">
        <v>861</v>
      </c>
      <c r="F5832" t="s">
        <v>35</v>
      </c>
      <c r="G5832" t="s">
        <v>35</v>
      </c>
      <c r="H5832" t="s">
        <v>35</v>
      </c>
      <c r="J5832" t="s">
        <v>6298</v>
      </c>
      <c r="K5832" t="s">
        <v>1092</v>
      </c>
      <c r="M5832">
        <v>9.99</v>
      </c>
      <c r="N5832">
        <v>48</v>
      </c>
      <c r="O5832" t="s">
        <v>52</v>
      </c>
      <c r="Q5832" t="s">
        <v>496</v>
      </c>
      <c r="R5832" t="s">
        <v>934</v>
      </c>
      <c r="S5832" t="s">
        <v>935</v>
      </c>
    </row>
    <row r="5833" spans="1:19" x14ac:dyDescent="0.25">
      <c r="A5833" t="s">
        <v>30</v>
      </c>
      <c r="B5833" t="s">
        <v>31</v>
      </c>
      <c r="C5833" t="s">
        <v>32</v>
      </c>
      <c r="D5833" t="s">
        <v>771</v>
      </c>
      <c r="E5833" t="s">
        <v>861</v>
      </c>
      <c r="F5833" t="s">
        <v>35</v>
      </c>
      <c r="G5833" t="s">
        <v>35</v>
      </c>
      <c r="H5833" t="s">
        <v>35</v>
      </c>
      <c r="J5833" t="s">
        <v>6299</v>
      </c>
      <c r="K5833" t="s">
        <v>1092</v>
      </c>
      <c r="M5833">
        <v>8.5050000000000008</v>
      </c>
      <c r="N5833">
        <v>46</v>
      </c>
      <c r="O5833" t="s">
        <v>52</v>
      </c>
      <c r="Q5833" t="s">
        <v>493</v>
      </c>
      <c r="R5833" t="s">
        <v>934</v>
      </c>
      <c r="S5833" t="s">
        <v>935</v>
      </c>
    </row>
    <row r="5834" spans="1:19" x14ac:dyDescent="0.25">
      <c r="A5834" t="s">
        <v>30</v>
      </c>
      <c r="B5834" t="s">
        <v>31</v>
      </c>
      <c r="C5834" t="s">
        <v>32</v>
      </c>
      <c r="D5834" t="s">
        <v>771</v>
      </c>
      <c r="E5834" t="s">
        <v>861</v>
      </c>
      <c r="F5834" t="s">
        <v>35</v>
      </c>
      <c r="G5834" t="s">
        <v>35</v>
      </c>
      <c r="H5834" t="s">
        <v>35</v>
      </c>
      <c r="J5834" t="s">
        <v>6300</v>
      </c>
      <c r="K5834" t="s">
        <v>1092</v>
      </c>
      <c r="M5834">
        <v>3.33</v>
      </c>
      <c r="N5834">
        <v>45</v>
      </c>
      <c r="O5834" t="s">
        <v>52</v>
      </c>
      <c r="Q5834" t="s">
        <v>716</v>
      </c>
      <c r="R5834" t="s">
        <v>844</v>
      </c>
      <c r="S5834" t="s">
        <v>806</v>
      </c>
    </row>
    <row r="5835" spans="1:19" x14ac:dyDescent="0.25">
      <c r="A5835" t="s">
        <v>59</v>
      </c>
      <c r="B5835" t="s">
        <v>60</v>
      </c>
      <c r="C5835" t="s">
        <v>32</v>
      </c>
      <c r="D5835" t="s">
        <v>771</v>
      </c>
      <c r="E5835" t="s">
        <v>861</v>
      </c>
      <c r="F5835" t="s">
        <v>35</v>
      </c>
      <c r="G5835" t="s">
        <v>35</v>
      </c>
      <c r="H5835" t="s">
        <v>35</v>
      </c>
      <c r="J5835" t="s">
        <v>6301</v>
      </c>
      <c r="K5835" t="s">
        <v>1092</v>
      </c>
      <c r="M5835">
        <v>1.65</v>
      </c>
      <c r="N5835">
        <v>221</v>
      </c>
      <c r="O5835" t="s">
        <v>5</v>
      </c>
      <c r="Q5835" t="s">
        <v>79</v>
      </c>
      <c r="R5835" t="s">
        <v>844</v>
      </c>
      <c r="S5835" t="s">
        <v>806</v>
      </c>
    </row>
    <row r="5836" spans="1:19" x14ac:dyDescent="0.25">
      <c r="A5836" t="s">
        <v>44</v>
      </c>
      <c r="B5836" t="s">
        <v>51</v>
      </c>
      <c r="C5836" t="s">
        <v>32</v>
      </c>
      <c r="D5836" t="s">
        <v>771</v>
      </c>
      <c r="E5836" t="s">
        <v>861</v>
      </c>
      <c r="F5836" t="s">
        <v>35</v>
      </c>
      <c r="G5836" t="s">
        <v>35</v>
      </c>
      <c r="H5836" t="s">
        <v>35</v>
      </c>
      <c r="J5836" t="s">
        <v>6301</v>
      </c>
      <c r="K5836" t="s">
        <v>1092</v>
      </c>
      <c r="M5836">
        <v>3.25</v>
      </c>
      <c r="N5836">
        <v>57</v>
      </c>
      <c r="O5836" t="s">
        <v>52</v>
      </c>
      <c r="Q5836" t="s">
        <v>665</v>
      </c>
      <c r="R5836" t="s">
        <v>6196</v>
      </c>
      <c r="S5836" t="s">
        <v>6197</v>
      </c>
    </row>
    <row r="5837" spans="1:19" x14ac:dyDescent="0.25">
      <c r="A5837" t="s">
        <v>30</v>
      </c>
      <c r="B5837" t="s">
        <v>31</v>
      </c>
      <c r="C5837" t="s">
        <v>32</v>
      </c>
      <c r="D5837" t="s">
        <v>771</v>
      </c>
      <c r="E5837" t="s">
        <v>861</v>
      </c>
      <c r="F5837" t="s">
        <v>35</v>
      </c>
      <c r="G5837" t="s">
        <v>35</v>
      </c>
      <c r="H5837" t="s">
        <v>35</v>
      </c>
      <c r="J5837" t="s">
        <v>6302</v>
      </c>
      <c r="K5837" t="s">
        <v>1092</v>
      </c>
      <c r="M5837">
        <v>7.02</v>
      </c>
      <c r="N5837">
        <v>119</v>
      </c>
      <c r="O5837" t="s">
        <v>106</v>
      </c>
      <c r="Q5837" t="s">
        <v>3465</v>
      </c>
      <c r="R5837" t="s">
        <v>934</v>
      </c>
      <c r="S5837" t="s">
        <v>935</v>
      </c>
    </row>
    <row r="5838" spans="1:19" x14ac:dyDescent="0.25">
      <c r="A5838" t="s">
        <v>44</v>
      </c>
      <c r="B5838" t="s">
        <v>51</v>
      </c>
      <c r="C5838" t="s">
        <v>32</v>
      </c>
      <c r="D5838" t="s">
        <v>771</v>
      </c>
      <c r="E5838" t="s">
        <v>861</v>
      </c>
      <c r="F5838" t="s">
        <v>35</v>
      </c>
      <c r="G5838" t="s">
        <v>35</v>
      </c>
      <c r="H5838" t="s">
        <v>35</v>
      </c>
      <c r="J5838" t="s">
        <v>6302</v>
      </c>
      <c r="K5838" t="s">
        <v>1092</v>
      </c>
      <c r="M5838">
        <v>3.5</v>
      </c>
      <c r="N5838">
        <v>66</v>
      </c>
      <c r="O5838" t="s">
        <v>61</v>
      </c>
      <c r="Q5838" t="s">
        <v>203</v>
      </c>
      <c r="R5838" t="s">
        <v>934</v>
      </c>
      <c r="S5838" t="s">
        <v>935</v>
      </c>
    </row>
    <row r="5839" spans="1:19" x14ac:dyDescent="0.25">
      <c r="A5839" t="s">
        <v>59</v>
      </c>
      <c r="B5839" t="s">
        <v>31</v>
      </c>
      <c r="C5839" t="s">
        <v>32</v>
      </c>
      <c r="D5839" t="s">
        <v>771</v>
      </c>
      <c r="E5839" t="s">
        <v>861</v>
      </c>
      <c r="F5839" t="s">
        <v>35</v>
      </c>
      <c r="G5839" t="s">
        <v>35</v>
      </c>
      <c r="H5839" t="s">
        <v>35</v>
      </c>
      <c r="J5839" t="s">
        <v>6302</v>
      </c>
      <c r="K5839" t="s">
        <v>1092</v>
      </c>
      <c r="M5839">
        <v>7.02</v>
      </c>
      <c r="N5839">
        <v>46</v>
      </c>
      <c r="O5839" t="s">
        <v>52</v>
      </c>
      <c r="Q5839" t="s">
        <v>493</v>
      </c>
      <c r="R5839" t="s">
        <v>934</v>
      </c>
      <c r="S5839" t="s">
        <v>935</v>
      </c>
    </row>
    <row r="5840" spans="1:19" x14ac:dyDescent="0.25">
      <c r="A5840" t="s">
        <v>30</v>
      </c>
      <c r="B5840" t="s">
        <v>31</v>
      </c>
      <c r="C5840" t="s">
        <v>32</v>
      </c>
      <c r="D5840" t="s">
        <v>771</v>
      </c>
      <c r="E5840" t="s">
        <v>861</v>
      </c>
      <c r="F5840" t="s">
        <v>35</v>
      </c>
      <c r="G5840" t="s">
        <v>35</v>
      </c>
      <c r="H5840" t="s">
        <v>35</v>
      </c>
      <c r="J5840" t="s">
        <v>6303</v>
      </c>
      <c r="K5840" t="s">
        <v>1092</v>
      </c>
      <c r="M5840">
        <v>3.51</v>
      </c>
      <c r="N5840">
        <v>118</v>
      </c>
      <c r="O5840" t="s">
        <v>106</v>
      </c>
      <c r="Q5840" t="s">
        <v>1469</v>
      </c>
      <c r="R5840" t="s">
        <v>844</v>
      </c>
      <c r="S5840" t="s">
        <v>806</v>
      </c>
    </row>
    <row r="5841" spans="1:19" x14ac:dyDescent="0.25">
      <c r="A5841" t="s">
        <v>30</v>
      </c>
      <c r="B5841" t="s">
        <v>31</v>
      </c>
      <c r="C5841" t="s">
        <v>32</v>
      </c>
      <c r="D5841" t="s">
        <v>771</v>
      </c>
      <c r="E5841" t="s">
        <v>861</v>
      </c>
      <c r="F5841" t="s">
        <v>35</v>
      </c>
      <c r="G5841" t="s">
        <v>35</v>
      </c>
      <c r="H5841" t="s">
        <v>35</v>
      </c>
      <c r="J5841" t="s">
        <v>6304</v>
      </c>
      <c r="K5841" t="s">
        <v>1092</v>
      </c>
      <c r="M5841">
        <v>3.7349999999999999</v>
      </c>
      <c r="N5841">
        <v>113</v>
      </c>
      <c r="O5841" t="s">
        <v>106</v>
      </c>
      <c r="Q5841" t="s">
        <v>6066</v>
      </c>
      <c r="R5841" t="s">
        <v>6048</v>
      </c>
      <c r="S5841" t="s">
        <v>833</v>
      </c>
    </row>
    <row r="5842" spans="1:19" x14ac:dyDescent="0.25">
      <c r="A5842" t="s">
        <v>30</v>
      </c>
      <c r="B5842" t="s">
        <v>31</v>
      </c>
      <c r="C5842" t="s">
        <v>32</v>
      </c>
      <c r="D5842" t="s">
        <v>771</v>
      </c>
      <c r="E5842" t="s">
        <v>861</v>
      </c>
      <c r="F5842" t="s">
        <v>35</v>
      </c>
      <c r="G5842" t="s">
        <v>35</v>
      </c>
      <c r="H5842" t="s">
        <v>35</v>
      </c>
      <c r="J5842" t="s">
        <v>6304</v>
      </c>
      <c r="K5842" t="s">
        <v>1092</v>
      </c>
      <c r="M5842">
        <v>14.04</v>
      </c>
      <c r="N5842">
        <v>45</v>
      </c>
      <c r="O5842" t="s">
        <v>52</v>
      </c>
      <c r="Q5842" t="s">
        <v>716</v>
      </c>
      <c r="R5842" t="s">
        <v>6048</v>
      </c>
      <c r="S5842" t="s">
        <v>833</v>
      </c>
    </row>
    <row r="5843" spans="1:19" x14ac:dyDescent="0.25">
      <c r="A5843" t="s">
        <v>59</v>
      </c>
      <c r="B5843" t="s">
        <v>60</v>
      </c>
      <c r="C5843" t="s">
        <v>32</v>
      </c>
      <c r="D5843" t="s">
        <v>771</v>
      </c>
      <c r="E5843" t="s">
        <v>861</v>
      </c>
      <c r="F5843" t="s">
        <v>35</v>
      </c>
      <c r="G5843" t="s">
        <v>35</v>
      </c>
      <c r="H5843" t="s">
        <v>35</v>
      </c>
      <c r="J5843" t="s">
        <v>6305</v>
      </c>
      <c r="K5843" t="s">
        <v>1092</v>
      </c>
      <c r="M5843">
        <v>2</v>
      </c>
      <c r="N5843">
        <v>77</v>
      </c>
      <c r="O5843" t="s">
        <v>61</v>
      </c>
      <c r="Q5843" t="s">
        <v>305</v>
      </c>
      <c r="R5843" t="s">
        <v>934</v>
      </c>
      <c r="S5843" t="s">
        <v>935</v>
      </c>
    </row>
    <row r="5844" spans="1:19" x14ac:dyDescent="0.25">
      <c r="A5844" t="s">
        <v>59</v>
      </c>
      <c r="B5844" t="s">
        <v>60</v>
      </c>
      <c r="C5844" t="s">
        <v>32</v>
      </c>
      <c r="D5844" t="s">
        <v>771</v>
      </c>
      <c r="E5844" t="s">
        <v>861</v>
      </c>
      <c r="F5844" t="s">
        <v>35</v>
      </c>
      <c r="G5844" t="s">
        <v>35</v>
      </c>
      <c r="H5844" t="s">
        <v>35</v>
      </c>
      <c r="J5844" t="s">
        <v>6305</v>
      </c>
      <c r="K5844" t="s">
        <v>1092</v>
      </c>
      <c r="M5844">
        <v>1</v>
      </c>
      <c r="N5844">
        <v>79</v>
      </c>
      <c r="O5844" t="s">
        <v>61</v>
      </c>
      <c r="Q5844" t="s">
        <v>1156</v>
      </c>
      <c r="R5844" t="s">
        <v>934</v>
      </c>
      <c r="S5844" t="s">
        <v>935</v>
      </c>
    </row>
    <row r="5845" spans="1:19" x14ac:dyDescent="0.25">
      <c r="A5845" t="s">
        <v>30</v>
      </c>
      <c r="B5845" t="s">
        <v>31</v>
      </c>
      <c r="C5845" t="s">
        <v>32</v>
      </c>
      <c r="D5845" t="s">
        <v>771</v>
      </c>
      <c r="E5845" t="s">
        <v>861</v>
      </c>
      <c r="F5845" t="s">
        <v>35</v>
      </c>
      <c r="G5845" t="s">
        <v>35</v>
      </c>
      <c r="H5845" t="s">
        <v>35</v>
      </c>
      <c r="J5845" t="s">
        <v>6306</v>
      </c>
      <c r="K5845" t="s">
        <v>1092</v>
      </c>
      <c r="M5845">
        <v>3.7349999999999999</v>
      </c>
      <c r="N5845">
        <v>113</v>
      </c>
      <c r="O5845" t="s">
        <v>106</v>
      </c>
      <c r="Q5845" t="s">
        <v>6066</v>
      </c>
      <c r="R5845" t="s">
        <v>6048</v>
      </c>
      <c r="S5845" t="s">
        <v>833</v>
      </c>
    </row>
    <row r="5846" spans="1:19" x14ac:dyDescent="0.25">
      <c r="A5846" t="s">
        <v>30</v>
      </c>
      <c r="B5846" t="s">
        <v>31</v>
      </c>
      <c r="C5846" t="s">
        <v>32</v>
      </c>
      <c r="D5846" t="s">
        <v>771</v>
      </c>
      <c r="E5846" t="s">
        <v>861</v>
      </c>
      <c r="F5846" t="s">
        <v>35</v>
      </c>
      <c r="G5846" t="s">
        <v>35</v>
      </c>
      <c r="H5846" t="s">
        <v>35</v>
      </c>
      <c r="J5846" t="s">
        <v>6307</v>
      </c>
      <c r="K5846" t="s">
        <v>1092</v>
      </c>
      <c r="M5846">
        <v>3.1949999999999998</v>
      </c>
      <c r="N5846">
        <v>45</v>
      </c>
      <c r="O5846" t="s">
        <v>52</v>
      </c>
      <c r="Q5846" t="s">
        <v>716</v>
      </c>
      <c r="R5846" t="s">
        <v>6048</v>
      </c>
      <c r="S5846" t="s">
        <v>833</v>
      </c>
    </row>
    <row r="5847" spans="1:19" x14ac:dyDescent="0.25">
      <c r="A5847" t="s">
        <v>44</v>
      </c>
      <c r="B5847" t="s">
        <v>3</v>
      </c>
      <c r="C5847" t="s">
        <v>32</v>
      </c>
      <c r="D5847" t="s">
        <v>771</v>
      </c>
      <c r="E5847" t="s">
        <v>861</v>
      </c>
      <c r="F5847" t="s">
        <v>35</v>
      </c>
      <c r="G5847" t="s">
        <v>35</v>
      </c>
      <c r="H5847" t="s">
        <v>35</v>
      </c>
      <c r="J5847" t="s">
        <v>6307</v>
      </c>
      <c r="K5847" t="s">
        <v>1092</v>
      </c>
      <c r="M5847">
        <v>0.1</v>
      </c>
      <c r="N5847">
        <v>450</v>
      </c>
      <c r="O5847" t="s">
        <v>294</v>
      </c>
      <c r="Q5847" t="s">
        <v>4616</v>
      </c>
      <c r="R5847" t="s">
        <v>6022</v>
      </c>
      <c r="S5847" t="s">
        <v>937</v>
      </c>
    </row>
    <row r="5848" spans="1:19" x14ac:dyDescent="0.25">
      <c r="A5848" t="s">
        <v>44</v>
      </c>
      <c r="B5848" t="s">
        <v>3</v>
      </c>
      <c r="C5848" t="s">
        <v>32</v>
      </c>
      <c r="D5848" t="s">
        <v>771</v>
      </c>
      <c r="E5848" t="s">
        <v>861</v>
      </c>
      <c r="F5848" t="s">
        <v>35</v>
      </c>
      <c r="G5848" t="s">
        <v>35</v>
      </c>
      <c r="H5848" t="s">
        <v>35</v>
      </c>
      <c r="J5848" t="s">
        <v>6308</v>
      </c>
      <c r="K5848" t="s">
        <v>1092</v>
      </c>
      <c r="M5848">
        <v>1</v>
      </c>
      <c r="N5848">
        <v>228</v>
      </c>
      <c r="O5848" t="s">
        <v>5</v>
      </c>
      <c r="Q5848" t="s">
        <v>1979</v>
      </c>
      <c r="R5848" t="s">
        <v>6182</v>
      </c>
      <c r="S5848" t="s">
        <v>841</v>
      </c>
    </row>
    <row r="5849" spans="1:19" x14ac:dyDescent="0.25">
      <c r="A5849" t="s">
        <v>44</v>
      </c>
      <c r="B5849" t="s">
        <v>3</v>
      </c>
      <c r="C5849" t="s">
        <v>32</v>
      </c>
      <c r="D5849" t="s">
        <v>771</v>
      </c>
      <c r="E5849" t="s">
        <v>861</v>
      </c>
      <c r="F5849" t="s">
        <v>35</v>
      </c>
      <c r="G5849" t="s">
        <v>35</v>
      </c>
      <c r="H5849" t="s">
        <v>35</v>
      </c>
      <c r="J5849" t="s">
        <v>6308</v>
      </c>
      <c r="K5849" t="s">
        <v>1092</v>
      </c>
      <c r="M5849">
        <v>0.2</v>
      </c>
      <c r="N5849">
        <v>236</v>
      </c>
      <c r="O5849" t="s">
        <v>5</v>
      </c>
      <c r="Q5849" t="s">
        <v>1140</v>
      </c>
      <c r="R5849" t="s">
        <v>6182</v>
      </c>
      <c r="S5849" t="s">
        <v>841</v>
      </c>
    </row>
    <row r="5850" spans="1:19" x14ac:dyDescent="0.25">
      <c r="A5850" t="s">
        <v>44</v>
      </c>
      <c r="B5850" t="s">
        <v>51</v>
      </c>
      <c r="C5850" t="s">
        <v>32</v>
      </c>
      <c r="D5850" t="s">
        <v>771</v>
      </c>
      <c r="E5850" t="s">
        <v>861</v>
      </c>
      <c r="F5850" t="s">
        <v>35</v>
      </c>
      <c r="G5850" t="s">
        <v>35</v>
      </c>
      <c r="H5850" t="s">
        <v>35</v>
      </c>
      <c r="J5850" t="s">
        <v>6309</v>
      </c>
      <c r="K5850" t="s">
        <v>1092</v>
      </c>
      <c r="M5850">
        <v>5.4</v>
      </c>
      <c r="N5850">
        <v>66</v>
      </c>
      <c r="O5850" t="s">
        <v>61</v>
      </c>
      <c r="Q5850" t="s">
        <v>203</v>
      </c>
      <c r="R5850" t="s">
        <v>934</v>
      </c>
      <c r="S5850" t="s">
        <v>935</v>
      </c>
    </row>
    <row r="5851" spans="1:19" x14ac:dyDescent="0.25">
      <c r="A5851" t="s">
        <v>59</v>
      </c>
      <c r="B5851" t="s">
        <v>60</v>
      </c>
      <c r="C5851" t="s">
        <v>32</v>
      </c>
      <c r="D5851" t="s">
        <v>771</v>
      </c>
      <c r="E5851" t="s">
        <v>861</v>
      </c>
      <c r="F5851" t="s">
        <v>35</v>
      </c>
      <c r="G5851" t="s">
        <v>35</v>
      </c>
      <c r="H5851" t="s">
        <v>35</v>
      </c>
      <c r="J5851" t="s">
        <v>6309</v>
      </c>
      <c r="K5851" t="s">
        <v>1092</v>
      </c>
      <c r="M5851">
        <v>1</v>
      </c>
      <c r="N5851">
        <v>79</v>
      </c>
      <c r="O5851" t="s">
        <v>61</v>
      </c>
      <c r="Q5851" t="s">
        <v>1156</v>
      </c>
      <c r="R5851" t="s">
        <v>934</v>
      </c>
      <c r="S5851" t="s">
        <v>935</v>
      </c>
    </row>
    <row r="5852" spans="1:19" x14ac:dyDescent="0.25">
      <c r="A5852" t="s">
        <v>59</v>
      </c>
      <c r="B5852" t="s">
        <v>31</v>
      </c>
      <c r="C5852" t="s">
        <v>32</v>
      </c>
      <c r="D5852" t="s">
        <v>771</v>
      </c>
      <c r="E5852" t="s">
        <v>861</v>
      </c>
      <c r="F5852" t="s">
        <v>35</v>
      </c>
      <c r="G5852" t="s">
        <v>35</v>
      </c>
      <c r="H5852" t="s">
        <v>35</v>
      </c>
      <c r="J5852" t="s">
        <v>6309</v>
      </c>
      <c r="K5852" t="s">
        <v>1092</v>
      </c>
      <c r="M5852">
        <v>6.3</v>
      </c>
      <c r="N5852">
        <v>43</v>
      </c>
      <c r="O5852" t="s">
        <v>52</v>
      </c>
      <c r="Q5852" t="s">
        <v>892</v>
      </c>
      <c r="R5852" t="s">
        <v>6048</v>
      </c>
      <c r="S5852" t="s">
        <v>833</v>
      </c>
    </row>
    <row r="5853" spans="1:19" x14ac:dyDescent="0.25">
      <c r="A5853" t="s">
        <v>30</v>
      </c>
      <c r="B5853" t="s">
        <v>31</v>
      </c>
      <c r="C5853" t="s">
        <v>32</v>
      </c>
      <c r="D5853" t="s">
        <v>771</v>
      </c>
      <c r="E5853" t="s">
        <v>861</v>
      </c>
      <c r="F5853" t="s">
        <v>35</v>
      </c>
      <c r="G5853" t="s">
        <v>35</v>
      </c>
      <c r="H5853" t="s">
        <v>35</v>
      </c>
      <c r="J5853" t="s">
        <v>6310</v>
      </c>
      <c r="K5853" t="s">
        <v>1092</v>
      </c>
      <c r="M5853">
        <v>1.665</v>
      </c>
      <c r="N5853">
        <v>45</v>
      </c>
      <c r="O5853" t="s">
        <v>52</v>
      </c>
      <c r="Q5853" t="s">
        <v>716</v>
      </c>
      <c r="R5853" t="s">
        <v>844</v>
      </c>
      <c r="S5853" t="s">
        <v>806</v>
      </c>
    </row>
    <row r="5854" spans="1:19" x14ac:dyDescent="0.25">
      <c r="A5854" t="s">
        <v>59</v>
      </c>
      <c r="B5854" t="s">
        <v>31</v>
      </c>
      <c r="C5854" t="s">
        <v>32</v>
      </c>
      <c r="D5854" t="s">
        <v>771</v>
      </c>
      <c r="E5854" t="s">
        <v>861</v>
      </c>
      <c r="F5854" t="s">
        <v>35</v>
      </c>
      <c r="G5854" t="s">
        <v>35</v>
      </c>
      <c r="H5854" t="s">
        <v>35</v>
      </c>
      <c r="J5854" t="s">
        <v>6311</v>
      </c>
      <c r="K5854" t="s">
        <v>1092</v>
      </c>
      <c r="M5854">
        <v>7.02</v>
      </c>
      <c r="N5854">
        <v>81</v>
      </c>
      <c r="O5854" t="s">
        <v>61</v>
      </c>
      <c r="Q5854" t="s">
        <v>527</v>
      </c>
      <c r="R5854" t="s">
        <v>6048</v>
      </c>
      <c r="S5854" t="s">
        <v>833</v>
      </c>
    </row>
    <row r="5855" spans="1:19" x14ac:dyDescent="0.25">
      <c r="A5855" t="s">
        <v>59</v>
      </c>
      <c r="B5855" t="s">
        <v>60</v>
      </c>
      <c r="C5855" t="s">
        <v>32</v>
      </c>
      <c r="D5855" t="s">
        <v>771</v>
      </c>
      <c r="E5855" t="s">
        <v>861</v>
      </c>
      <c r="F5855" t="s">
        <v>35</v>
      </c>
      <c r="G5855" t="s">
        <v>35</v>
      </c>
      <c r="H5855" t="s">
        <v>35</v>
      </c>
      <c r="J5855" t="s">
        <v>6312</v>
      </c>
      <c r="K5855" t="s">
        <v>1092</v>
      </c>
      <c r="M5855">
        <v>0.7</v>
      </c>
      <c r="N5855">
        <v>156</v>
      </c>
      <c r="O5855" t="s">
        <v>38</v>
      </c>
      <c r="Q5855" t="s">
        <v>75</v>
      </c>
      <c r="R5855" t="s">
        <v>934</v>
      </c>
      <c r="S5855" t="s">
        <v>935</v>
      </c>
    </row>
    <row r="5856" spans="1:19" x14ac:dyDescent="0.25">
      <c r="A5856" t="s">
        <v>30</v>
      </c>
      <c r="B5856" t="s">
        <v>31</v>
      </c>
      <c r="C5856" t="s">
        <v>32</v>
      </c>
      <c r="D5856" t="s">
        <v>771</v>
      </c>
      <c r="E5856" t="s">
        <v>861</v>
      </c>
      <c r="F5856" t="s">
        <v>35</v>
      </c>
      <c r="G5856" t="s">
        <v>35</v>
      </c>
      <c r="H5856" t="s">
        <v>35</v>
      </c>
      <c r="J5856" t="s">
        <v>6313</v>
      </c>
      <c r="K5856" t="s">
        <v>1092</v>
      </c>
      <c r="M5856">
        <v>2.97</v>
      </c>
      <c r="N5856">
        <v>129</v>
      </c>
      <c r="O5856" t="s">
        <v>38</v>
      </c>
      <c r="Q5856" t="s">
        <v>1449</v>
      </c>
      <c r="R5856" t="s">
        <v>844</v>
      </c>
      <c r="S5856" t="s">
        <v>806</v>
      </c>
    </row>
    <row r="5857" spans="1:19" x14ac:dyDescent="0.25">
      <c r="A5857" t="s">
        <v>59</v>
      </c>
      <c r="B5857" t="s">
        <v>31</v>
      </c>
      <c r="C5857" t="s">
        <v>32</v>
      </c>
      <c r="D5857" t="s">
        <v>771</v>
      </c>
      <c r="E5857" t="s">
        <v>861</v>
      </c>
      <c r="F5857" t="s">
        <v>35</v>
      </c>
      <c r="G5857" t="s">
        <v>35</v>
      </c>
      <c r="H5857" t="s">
        <v>35</v>
      </c>
      <c r="J5857" t="s">
        <v>6313</v>
      </c>
      <c r="K5857" t="s">
        <v>1092</v>
      </c>
      <c r="M5857">
        <v>2.97</v>
      </c>
      <c r="N5857">
        <v>264</v>
      </c>
      <c r="O5857" t="s">
        <v>5</v>
      </c>
      <c r="Q5857" t="s">
        <v>1721</v>
      </c>
      <c r="R5857" t="s">
        <v>844</v>
      </c>
      <c r="S5857" t="s">
        <v>806</v>
      </c>
    </row>
    <row r="5858" spans="1:19" x14ac:dyDescent="0.25">
      <c r="A5858" t="s">
        <v>44</v>
      </c>
      <c r="B5858" t="s">
        <v>51</v>
      </c>
      <c r="C5858" t="s">
        <v>32</v>
      </c>
      <c r="D5858" t="s">
        <v>771</v>
      </c>
      <c r="E5858" t="s">
        <v>861</v>
      </c>
      <c r="F5858" t="s">
        <v>35</v>
      </c>
      <c r="G5858" t="s">
        <v>35</v>
      </c>
      <c r="H5858" t="s">
        <v>35</v>
      </c>
      <c r="J5858" t="s">
        <v>6314</v>
      </c>
      <c r="K5858" t="s">
        <v>1092</v>
      </c>
      <c r="M5858">
        <v>2.5499999999999998</v>
      </c>
      <c r="N5858">
        <v>56</v>
      </c>
      <c r="O5858" t="s">
        <v>52</v>
      </c>
      <c r="Q5858" t="s">
        <v>453</v>
      </c>
      <c r="R5858" t="s">
        <v>6096</v>
      </c>
      <c r="S5858" t="s">
        <v>6097</v>
      </c>
    </row>
    <row r="5859" spans="1:19" x14ac:dyDescent="0.25">
      <c r="A5859" t="s">
        <v>30</v>
      </c>
      <c r="B5859" t="s">
        <v>31</v>
      </c>
      <c r="C5859" t="s">
        <v>32</v>
      </c>
      <c r="D5859" t="s">
        <v>771</v>
      </c>
      <c r="E5859" t="s">
        <v>861</v>
      </c>
      <c r="F5859" t="s">
        <v>35</v>
      </c>
      <c r="G5859" t="s">
        <v>35</v>
      </c>
      <c r="H5859" t="s">
        <v>35</v>
      </c>
      <c r="J5859" t="s">
        <v>6315</v>
      </c>
      <c r="K5859" t="s">
        <v>1092</v>
      </c>
      <c r="M5859">
        <v>4.59</v>
      </c>
      <c r="N5859">
        <v>45</v>
      </c>
      <c r="O5859" t="s">
        <v>52</v>
      </c>
      <c r="Q5859" t="s">
        <v>716</v>
      </c>
      <c r="R5859" t="s">
        <v>6048</v>
      </c>
      <c r="S5859" t="s">
        <v>833</v>
      </c>
    </row>
    <row r="5860" spans="1:19" x14ac:dyDescent="0.25">
      <c r="A5860" t="s">
        <v>30</v>
      </c>
      <c r="B5860" t="s">
        <v>31</v>
      </c>
      <c r="C5860" t="s">
        <v>32</v>
      </c>
      <c r="D5860" t="s">
        <v>771</v>
      </c>
      <c r="E5860" t="s">
        <v>861</v>
      </c>
      <c r="F5860" t="s">
        <v>35</v>
      </c>
      <c r="G5860" t="s">
        <v>35</v>
      </c>
      <c r="H5860" t="s">
        <v>35</v>
      </c>
      <c r="J5860" t="s">
        <v>6316</v>
      </c>
      <c r="K5860" t="s">
        <v>1092</v>
      </c>
      <c r="M5860">
        <v>0.67500000000000004</v>
      </c>
      <c r="N5860">
        <v>238</v>
      </c>
      <c r="O5860" t="s">
        <v>5</v>
      </c>
      <c r="Q5860" t="s">
        <v>933</v>
      </c>
      <c r="R5860" t="s">
        <v>919</v>
      </c>
      <c r="S5860" t="s">
        <v>784</v>
      </c>
    </row>
    <row r="5861" spans="1:19" x14ac:dyDescent="0.25">
      <c r="A5861" t="s">
        <v>30</v>
      </c>
      <c r="B5861" t="s">
        <v>31</v>
      </c>
      <c r="C5861" t="s">
        <v>32</v>
      </c>
      <c r="D5861" t="s">
        <v>771</v>
      </c>
      <c r="E5861" t="s">
        <v>861</v>
      </c>
      <c r="F5861" t="s">
        <v>35</v>
      </c>
      <c r="G5861" t="s">
        <v>35</v>
      </c>
      <c r="H5861" t="s">
        <v>35</v>
      </c>
      <c r="J5861" t="s">
        <v>6316</v>
      </c>
      <c r="K5861" t="s">
        <v>1092</v>
      </c>
      <c r="M5861">
        <v>7.02</v>
      </c>
      <c r="N5861">
        <v>231</v>
      </c>
      <c r="O5861" t="s">
        <v>5</v>
      </c>
      <c r="Q5861" t="s">
        <v>402</v>
      </c>
      <c r="R5861" t="s">
        <v>6083</v>
      </c>
      <c r="S5861" t="s">
        <v>6084</v>
      </c>
    </row>
    <row r="5862" spans="1:19" x14ac:dyDescent="0.25">
      <c r="A5862" t="s">
        <v>30</v>
      </c>
      <c r="B5862" t="s">
        <v>31</v>
      </c>
      <c r="C5862" t="s">
        <v>32</v>
      </c>
      <c r="D5862" t="s">
        <v>771</v>
      </c>
      <c r="E5862" t="s">
        <v>861</v>
      </c>
      <c r="F5862" t="s">
        <v>35</v>
      </c>
      <c r="G5862" t="s">
        <v>35</v>
      </c>
      <c r="H5862" t="s">
        <v>35</v>
      </c>
      <c r="J5862" t="s">
        <v>6316</v>
      </c>
      <c r="K5862" t="s">
        <v>1092</v>
      </c>
      <c r="M5862">
        <v>1.35</v>
      </c>
      <c r="N5862">
        <v>186</v>
      </c>
      <c r="O5862" t="s">
        <v>5</v>
      </c>
      <c r="Q5862" t="s">
        <v>1363</v>
      </c>
      <c r="R5862" t="s">
        <v>6083</v>
      </c>
      <c r="S5862" t="s">
        <v>6084</v>
      </c>
    </row>
    <row r="5863" spans="1:19" x14ac:dyDescent="0.25">
      <c r="A5863" t="s">
        <v>30</v>
      </c>
      <c r="B5863" t="s">
        <v>31</v>
      </c>
      <c r="C5863" t="s">
        <v>32</v>
      </c>
      <c r="D5863" t="s">
        <v>771</v>
      </c>
      <c r="E5863" t="s">
        <v>861</v>
      </c>
      <c r="F5863" t="s">
        <v>35</v>
      </c>
      <c r="G5863" t="s">
        <v>35</v>
      </c>
      <c r="H5863" t="s">
        <v>35</v>
      </c>
      <c r="J5863" t="s">
        <v>6317</v>
      </c>
      <c r="K5863" t="s">
        <v>1092</v>
      </c>
      <c r="M5863">
        <v>7.02</v>
      </c>
      <c r="N5863">
        <v>42</v>
      </c>
      <c r="O5863" t="s">
        <v>52</v>
      </c>
      <c r="Q5863" t="s">
        <v>991</v>
      </c>
      <c r="R5863" t="s">
        <v>6318</v>
      </c>
      <c r="S5863" t="s">
        <v>800</v>
      </c>
    </row>
    <row r="5864" spans="1:19" x14ac:dyDescent="0.25">
      <c r="A5864" t="s">
        <v>30</v>
      </c>
      <c r="B5864" t="s">
        <v>31</v>
      </c>
      <c r="C5864" t="s">
        <v>32</v>
      </c>
      <c r="D5864" t="s">
        <v>771</v>
      </c>
      <c r="E5864" t="s">
        <v>6319</v>
      </c>
      <c r="F5864" t="s">
        <v>35</v>
      </c>
      <c r="G5864" t="s">
        <v>35</v>
      </c>
      <c r="H5864" t="s">
        <v>35</v>
      </c>
      <c r="J5864" t="s">
        <v>6320</v>
      </c>
      <c r="K5864" t="s">
        <v>1092</v>
      </c>
      <c r="M5864">
        <v>7.02</v>
      </c>
      <c r="N5864">
        <v>47</v>
      </c>
      <c r="O5864" t="s">
        <v>52</v>
      </c>
      <c r="Q5864" t="s">
        <v>132</v>
      </c>
      <c r="R5864" t="s">
        <v>849</v>
      </c>
      <c r="S5864" t="s">
        <v>850</v>
      </c>
    </row>
    <row r="5865" spans="1:19" x14ac:dyDescent="0.25">
      <c r="A5865" t="s">
        <v>30</v>
      </c>
      <c r="B5865" t="s">
        <v>31</v>
      </c>
      <c r="C5865" t="s">
        <v>32</v>
      </c>
      <c r="D5865" t="s">
        <v>771</v>
      </c>
      <c r="E5865" t="s">
        <v>6319</v>
      </c>
      <c r="F5865" t="s">
        <v>35</v>
      </c>
      <c r="G5865" t="s">
        <v>35</v>
      </c>
      <c r="H5865" t="s">
        <v>35</v>
      </c>
      <c r="J5865" t="s">
        <v>6321</v>
      </c>
      <c r="K5865" t="s">
        <v>1092</v>
      </c>
      <c r="M5865">
        <v>2.3849999999999998</v>
      </c>
      <c r="N5865">
        <v>46</v>
      </c>
      <c r="O5865" t="s">
        <v>52</v>
      </c>
      <c r="Q5865" t="s">
        <v>493</v>
      </c>
      <c r="R5865" t="s">
        <v>5992</v>
      </c>
      <c r="S5865" t="s">
        <v>817</v>
      </c>
    </row>
    <row r="5866" spans="1:19" x14ac:dyDescent="0.25">
      <c r="A5866" t="s">
        <v>59</v>
      </c>
      <c r="B5866" t="s">
        <v>31</v>
      </c>
      <c r="C5866" t="s">
        <v>32</v>
      </c>
      <c r="D5866" t="s">
        <v>771</v>
      </c>
      <c r="E5866" t="s">
        <v>6319</v>
      </c>
      <c r="F5866" t="s">
        <v>35</v>
      </c>
      <c r="G5866" t="s">
        <v>35</v>
      </c>
      <c r="H5866" t="s">
        <v>35</v>
      </c>
      <c r="J5866" t="s">
        <v>6321</v>
      </c>
      <c r="K5866" t="s">
        <v>1092</v>
      </c>
      <c r="M5866">
        <v>4.59</v>
      </c>
      <c r="N5866">
        <v>44</v>
      </c>
      <c r="O5866" t="s">
        <v>52</v>
      </c>
      <c r="Q5866" t="s">
        <v>192</v>
      </c>
      <c r="R5866" t="s">
        <v>436</v>
      </c>
      <c r="S5866" t="s">
        <v>437</v>
      </c>
    </row>
    <row r="5867" spans="1:19" x14ac:dyDescent="0.25">
      <c r="A5867" t="s">
        <v>59</v>
      </c>
      <c r="B5867" t="s">
        <v>60</v>
      </c>
      <c r="C5867" t="s">
        <v>32</v>
      </c>
      <c r="D5867" t="s">
        <v>771</v>
      </c>
      <c r="E5867" t="s">
        <v>6319</v>
      </c>
      <c r="F5867" t="s">
        <v>35</v>
      </c>
      <c r="G5867" t="s">
        <v>35</v>
      </c>
      <c r="H5867" t="s">
        <v>35</v>
      </c>
      <c r="J5867" t="s">
        <v>6321</v>
      </c>
      <c r="K5867" t="s">
        <v>1092</v>
      </c>
      <c r="M5867">
        <v>7</v>
      </c>
      <c r="N5867">
        <v>44</v>
      </c>
      <c r="O5867" t="s">
        <v>52</v>
      </c>
      <c r="Q5867" t="s">
        <v>192</v>
      </c>
      <c r="R5867" t="s">
        <v>436</v>
      </c>
      <c r="S5867" t="s">
        <v>437</v>
      </c>
    </row>
    <row r="5868" spans="1:19" x14ac:dyDescent="0.25">
      <c r="A5868" t="s">
        <v>30</v>
      </c>
      <c r="B5868" t="s">
        <v>31</v>
      </c>
      <c r="C5868" t="s">
        <v>32</v>
      </c>
      <c r="D5868" t="s">
        <v>771</v>
      </c>
      <c r="E5868" t="s">
        <v>6319</v>
      </c>
      <c r="F5868" t="s">
        <v>35</v>
      </c>
      <c r="G5868" t="s">
        <v>35</v>
      </c>
      <c r="H5868" t="s">
        <v>35</v>
      </c>
      <c r="J5868" t="s">
        <v>6322</v>
      </c>
      <c r="K5868" t="s">
        <v>1092</v>
      </c>
      <c r="M5868">
        <v>0.18</v>
      </c>
      <c r="N5868">
        <v>48</v>
      </c>
      <c r="O5868" t="s">
        <v>52</v>
      </c>
      <c r="Q5868" t="s">
        <v>496</v>
      </c>
      <c r="R5868" t="s">
        <v>934</v>
      </c>
      <c r="S5868" t="s">
        <v>935</v>
      </c>
    </row>
    <row r="5869" spans="1:19" x14ac:dyDescent="0.25">
      <c r="A5869" t="s">
        <v>59</v>
      </c>
      <c r="B5869" t="s">
        <v>31</v>
      </c>
      <c r="C5869" t="s">
        <v>32</v>
      </c>
      <c r="D5869" t="s">
        <v>771</v>
      </c>
      <c r="E5869" t="s">
        <v>6319</v>
      </c>
      <c r="F5869" t="s">
        <v>35</v>
      </c>
      <c r="G5869" t="s">
        <v>35</v>
      </c>
      <c r="H5869" t="s">
        <v>35</v>
      </c>
      <c r="J5869" t="s">
        <v>6323</v>
      </c>
      <c r="K5869" t="s">
        <v>1092</v>
      </c>
      <c r="M5869">
        <v>0.45</v>
      </c>
      <c r="N5869">
        <v>46</v>
      </c>
      <c r="O5869" t="s">
        <v>52</v>
      </c>
      <c r="Q5869" t="s">
        <v>493</v>
      </c>
      <c r="R5869" t="s">
        <v>934</v>
      </c>
      <c r="S5869" t="s">
        <v>935</v>
      </c>
    </row>
    <row r="5870" spans="1:19" x14ac:dyDescent="0.25">
      <c r="A5870" t="s">
        <v>59</v>
      </c>
      <c r="B5870" t="s">
        <v>60</v>
      </c>
      <c r="C5870" t="s">
        <v>32</v>
      </c>
      <c r="D5870" t="s">
        <v>771</v>
      </c>
      <c r="E5870" t="s">
        <v>6319</v>
      </c>
      <c r="F5870" t="s">
        <v>35</v>
      </c>
      <c r="G5870" t="s">
        <v>35</v>
      </c>
      <c r="H5870" t="s">
        <v>35</v>
      </c>
      <c r="J5870" t="s">
        <v>6324</v>
      </c>
      <c r="K5870" t="s">
        <v>1092</v>
      </c>
      <c r="M5870">
        <v>1</v>
      </c>
      <c r="N5870">
        <v>315</v>
      </c>
      <c r="O5870" t="s">
        <v>5</v>
      </c>
      <c r="Q5870" t="s">
        <v>6325</v>
      </c>
      <c r="R5870" t="s">
        <v>934</v>
      </c>
      <c r="S5870" t="s">
        <v>935</v>
      </c>
    </row>
    <row r="5871" spans="1:19" x14ac:dyDescent="0.25">
      <c r="A5871" t="s">
        <v>59</v>
      </c>
      <c r="B5871" t="s">
        <v>31</v>
      </c>
      <c r="C5871" t="s">
        <v>32</v>
      </c>
      <c r="D5871" t="s">
        <v>771</v>
      </c>
      <c r="E5871" t="s">
        <v>6319</v>
      </c>
      <c r="F5871" t="s">
        <v>35</v>
      </c>
      <c r="G5871" t="s">
        <v>35</v>
      </c>
      <c r="H5871" t="s">
        <v>35</v>
      </c>
      <c r="J5871" t="s">
        <v>6324</v>
      </c>
      <c r="K5871" t="s">
        <v>1092</v>
      </c>
      <c r="M5871">
        <v>5.8049999999999997</v>
      </c>
      <c r="N5871">
        <v>46</v>
      </c>
      <c r="O5871" t="s">
        <v>52</v>
      </c>
      <c r="Q5871" t="s">
        <v>493</v>
      </c>
      <c r="R5871" t="s">
        <v>934</v>
      </c>
      <c r="S5871" t="s">
        <v>935</v>
      </c>
    </row>
    <row r="5872" spans="1:19" x14ac:dyDescent="0.25">
      <c r="A5872" t="s">
        <v>30</v>
      </c>
      <c r="B5872" t="s">
        <v>31</v>
      </c>
      <c r="C5872" t="s">
        <v>32</v>
      </c>
      <c r="D5872" t="s">
        <v>771</v>
      </c>
      <c r="E5872" t="s">
        <v>6319</v>
      </c>
      <c r="F5872" t="s">
        <v>35</v>
      </c>
      <c r="G5872" t="s">
        <v>35</v>
      </c>
      <c r="H5872" t="s">
        <v>35</v>
      </c>
      <c r="J5872" t="s">
        <v>6326</v>
      </c>
      <c r="K5872" t="s">
        <v>1092</v>
      </c>
      <c r="M5872">
        <v>6.12</v>
      </c>
      <c r="N5872">
        <v>41</v>
      </c>
      <c r="O5872" t="s">
        <v>52</v>
      </c>
      <c r="Q5872" t="s">
        <v>249</v>
      </c>
      <c r="R5872" t="s">
        <v>849</v>
      </c>
      <c r="S5872" t="s">
        <v>850</v>
      </c>
    </row>
    <row r="5873" spans="1:19" x14ac:dyDescent="0.25">
      <c r="A5873" t="s">
        <v>30</v>
      </c>
      <c r="B5873" t="s">
        <v>31</v>
      </c>
      <c r="C5873" t="s">
        <v>32</v>
      </c>
      <c r="D5873" t="s">
        <v>771</v>
      </c>
      <c r="E5873" t="s">
        <v>6319</v>
      </c>
      <c r="F5873" t="s">
        <v>35</v>
      </c>
      <c r="G5873" t="s">
        <v>35</v>
      </c>
      <c r="H5873" t="s">
        <v>35</v>
      </c>
      <c r="J5873" t="s">
        <v>6327</v>
      </c>
      <c r="K5873" t="s">
        <v>1092</v>
      </c>
      <c r="M5873">
        <v>7.02</v>
      </c>
      <c r="N5873">
        <v>47</v>
      </c>
      <c r="O5873" t="s">
        <v>52</v>
      </c>
      <c r="Q5873" t="s">
        <v>132</v>
      </c>
      <c r="R5873" t="s">
        <v>849</v>
      </c>
      <c r="S5873" t="s">
        <v>850</v>
      </c>
    </row>
    <row r="5874" spans="1:19" x14ac:dyDescent="0.25">
      <c r="A5874" t="s">
        <v>59</v>
      </c>
      <c r="B5874" t="s">
        <v>31</v>
      </c>
      <c r="C5874" t="s">
        <v>32</v>
      </c>
      <c r="D5874" t="s">
        <v>771</v>
      </c>
      <c r="E5874" t="s">
        <v>6319</v>
      </c>
      <c r="F5874" t="s">
        <v>35</v>
      </c>
      <c r="G5874" t="s">
        <v>35</v>
      </c>
      <c r="H5874" t="s">
        <v>35</v>
      </c>
      <c r="J5874" t="s">
        <v>6328</v>
      </c>
      <c r="K5874" t="s">
        <v>1092</v>
      </c>
      <c r="M5874">
        <v>7.02</v>
      </c>
      <c r="N5874">
        <v>89</v>
      </c>
      <c r="O5874" t="s">
        <v>61</v>
      </c>
      <c r="Q5874" t="s">
        <v>299</v>
      </c>
      <c r="R5874" t="s">
        <v>849</v>
      </c>
      <c r="S5874" t="s">
        <v>850</v>
      </c>
    </row>
    <row r="5875" spans="1:19" x14ac:dyDescent="0.25">
      <c r="A5875" t="s">
        <v>59</v>
      </c>
      <c r="B5875" t="s">
        <v>31</v>
      </c>
      <c r="C5875" t="s">
        <v>32</v>
      </c>
      <c r="D5875" t="s">
        <v>771</v>
      </c>
      <c r="E5875" t="s">
        <v>6319</v>
      </c>
      <c r="F5875" t="s">
        <v>35</v>
      </c>
      <c r="G5875" t="s">
        <v>35</v>
      </c>
      <c r="H5875" t="s">
        <v>35</v>
      </c>
      <c r="J5875" t="s">
        <v>6329</v>
      </c>
      <c r="K5875" t="s">
        <v>1092</v>
      </c>
      <c r="M5875">
        <v>3.69</v>
      </c>
      <c r="N5875">
        <v>880</v>
      </c>
      <c r="O5875" t="s">
        <v>575</v>
      </c>
      <c r="Q5875" t="s">
        <v>1531</v>
      </c>
      <c r="R5875" t="s">
        <v>934</v>
      </c>
      <c r="S5875" t="s">
        <v>935</v>
      </c>
    </row>
    <row r="5876" spans="1:19" x14ac:dyDescent="0.25">
      <c r="A5876" t="s">
        <v>30</v>
      </c>
      <c r="B5876" t="s">
        <v>31</v>
      </c>
      <c r="C5876" t="s">
        <v>32</v>
      </c>
      <c r="D5876" t="s">
        <v>771</v>
      </c>
      <c r="E5876" t="s">
        <v>6319</v>
      </c>
      <c r="F5876" t="s">
        <v>35</v>
      </c>
      <c r="G5876" t="s">
        <v>35</v>
      </c>
      <c r="H5876" t="s">
        <v>35</v>
      </c>
      <c r="J5876" t="s">
        <v>6330</v>
      </c>
      <c r="K5876" t="s">
        <v>1092</v>
      </c>
      <c r="M5876">
        <v>1.7549999999999999</v>
      </c>
      <c r="N5876">
        <v>118</v>
      </c>
      <c r="O5876" t="s">
        <v>106</v>
      </c>
      <c r="Q5876" t="s">
        <v>1469</v>
      </c>
      <c r="R5876" t="s">
        <v>849</v>
      </c>
      <c r="S5876" t="s">
        <v>850</v>
      </c>
    </row>
    <row r="5877" spans="1:19" x14ac:dyDescent="0.25">
      <c r="A5877" t="s">
        <v>30</v>
      </c>
      <c r="B5877" t="s">
        <v>31</v>
      </c>
      <c r="C5877" t="s">
        <v>32</v>
      </c>
      <c r="D5877" t="s">
        <v>771</v>
      </c>
      <c r="E5877" t="s">
        <v>6319</v>
      </c>
      <c r="F5877" t="s">
        <v>35</v>
      </c>
      <c r="G5877" t="s">
        <v>35</v>
      </c>
      <c r="H5877" t="s">
        <v>35</v>
      </c>
      <c r="J5877" t="s">
        <v>6331</v>
      </c>
      <c r="K5877" t="s">
        <v>1092</v>
      </c>
      <c r="M5877">
        <v>8.4149999999999991</v>
      </c>
      <c r="N5877">
        <v>41</v>
      </c>
      <c r="O5877" t="s">
        <v>52</v>
      </c>
      <c r="Q5877" t="s">
        <v>249</v>
      </c>
      <c r="R5877" t="s">
        <v>436</v>
      </c>
      <c r="S5877" t="s">
        <v>437</v>
      </c>
    </row>
    <row r="5878" spans="1:19" x14ac:dyDescent="0.25">
      <c r="A5878" t="s">
        <v>59</v>
      </c>
      <c r="B5878" t="s">
        <v>31</v>
      </c>
      <c r="C5878" t="s">
        <v>32</v>
      </c>
      <c r="D5878" t="s">
        <v>771</v>
      </c>
      <c r="E5878" t="s">
        <v>6319</v>
      </c>
      <c r="F5878" t="s">
        <v>35</v>
      </c>
      <c r="G5878" t="s">
        <v>35</v>
      </c>
      <c r="H5878" t="s">
        <v>35</v>
      </c>
      <c r="J5878" t="s">
        <v>951</v>
      </c>
      <c r="K5878" t="s">
        <v>1092</v>
      </c>
      <c r="M5878">
        <v>9.99</v>
      </c>
      <c r="N5878">
        <v>37</v>
      </c>
      <c r="O5878" t="s">
        <v>52</v>
      </c>
      <c r="Q5878" t="s">
        <v>3499</v>
      </c>
      <c r="R5878" t="s">
        <v>6033</v>
      </c>
      <c r="S5878" t="s">
        <v>6034</v>
      </c>
    </row>
    <row r="5879" spans="1:19" x14ac:dyDescent="0.25">
      <c r="A5879" t="s">
        <v>59</v>
      </c>
      <c r="B5879" t="s">
        <v>31</v>
      </c>
      <c r="C5879" t="s">
        <v>32</v>
      </c>
      <c r="D5879" t="s">
        <v>771</v>
      </c>
      <c r="E5879" t="s">
        <v>6319</v>
      </c>
      <c r="F5879" t="s">
        <v>35</v>
      </c>
      <c r="G5879" t="s">
        <v>35</v>
      </c>
      <c r="H5879" t="s">
        <v>35</v>
      </c>
      <c r="J5879" t="s">
        <v>951</v>
      </c>
      <c r="K5879" t="s">
        <v>1092</v>
      </c>
      <c r="M5879">
        <v>9.99</v>
      </c>
      <c r="N5879">
        <v>40</v>
      </c>
      <c r="O5879" t="s">
        <v>52</v>
      </c>
      <c r="Q5879" t="s">
        <v>130</v>
      </c>
      <c r="R5879" t="s">
        <v>6169</v>
      </c>
      <c r="S5879" t="s">
        <v>904</v>
      </c>
    </row>
    <row r="5880" spans="1:19" x14ac:dyDescent="0.25">
      <c r="A5880" t="s">
        <v>44</v>
      </c>
      <c r="B5880" t="s">
        <v>51</v>
      </c>
      <c r="C5880" t="s">
        <v>32</v>
      </c>
      <c r="D5880" t="s">
        <v>771</v>
      </c>
      <c r="E5880" t="s">
        <v>6319</v>
      </c>
      <c r="F5880" t="s">
        <v>35</v>
      </c>
      <c r="G5880" t="s">
        <v>35</v>
      </c>
      <c r="H5880" t="s">
        <v>35</v>
      </c>
      <c r="J5880" t="s">
        <v>6332</v>
      </c>
      <c r="K5880" t="s">
        <v>1092</v>
      </c>
      <c r="M5880">
        <v>7</v>
      </c>
      <c r="N5880">
        <v>66</v>
      </c>
      <c r="O5880" t="s">
        <v>61</v>
      </c>
      <c r="Q5880" t="s">
        <v>203</v>
      </c>
      <c r="R5880" t="s">
        <v>934</v>
      </c>
      <c r="S5880" t="s">
        <v>935</v>
      </c>
    </row>
    <row r="5881" spans="1:19" x14ac:dyDescent="0.25">
      <c r="A5881" t="s">
        <v>30</v>
      </c>
      <c r="B5881" t="s">
        <v>31</v>
      </c>
      <c r="C5881" t="s">
        <v>32</v>
      </c>
      <c r="D5881" t="s">
        <v>771</v>
      </c>
      <c r="E5881" t="s">
        <v>6319</v>
      </c>
      <c r="F5881" t="s">
        <v>35</v>
      </c>
      <c r="G5881" t="s">
        <v>35</v>
      </c>
      <c r="H5881" t="s">
        <v>35</v>
      </c>
      <c r="J5881" t="s">
        <v>6333</v>
      </c>
      <c r="K5881" t="s">
        <v>3132</v>
      </c>
      <c r="M5881">
        <v>3.51</v>
      </c>
      <c r="N5881">
        <v>48</v>
      </c>
      <c r="O5881" t="s">
        <v>52</v>
      </c>
      <c r="Q5881" t="s">
        <v>496</v>
      </c>
      <c r="R5881" t="s">
        <v>844</v>
      </c>
      <c r="S5881" t="s">
        <v>806</v>
      </c>
    </row>
    <row r="5882" spans="1:19" x14ac:dyDescent="0.25">
      <c r="A5882" t="s">
        <v>44</v>
      </c>
      <c r="B5882" t="s">
        <v>51</v>
      </c>
      <c r="C5882" t="s">
        <v>32</v>
      </c>
      <c r="D5882" t="s">
        <v>771</v>
      </c>
      <c r="E5882" t="s">
        <v>6319</v>
      </c>
      <c r="F5882" t="s">
        <v>35</v>
      </c>
      <c r="G5882" t="s">
        <v>35</v>
      </c>
      <c r="H5882" t="s">
        <v>35</v>
      </c>
      <c r="J5882" t="s">
        <v>6333</v>
      </c>
      <c r="K5882" t="s">
        <v>3132</v>
      </c>
      <c r="M5882">
        <v>3.5</v>
      </c>
      <c r="N5882">
        <v>62</v>
      </c>
      <c r="O5882" t="s">
        <v>61</v>
      </c>
      <c r="Q5882" t="s">
        <v>90</v>
      </c>
      <c r="R5882" t="s">
        <v>844</v>
      </c>
      <c r="S5882" t="s">
        <v>806</v>
      </c>
    </row>
    <row r="5883" spans="1:19" x14ac:dyDescent="0.25">
      <c r="A5883" t="s">
        <v>30</v>
      </c>
      <c r="B5883" t="s">
        <v>31</v>
      </c>
      <c r="C5883" t="s">
        <v>32</v>
      </c>
      <c r="D5883" t="s">
        <v>771</v>
      </c>
      <c r="E5883" t="s">
        <v>6319</v>
      </c>
      <c r="F5883" t="s">
        <v>35</v>
      </c>
      <c r="G5883" t="s">
        <v>35</v>
      </c>
      <c r="H5883" t="s">
        <v>35</v>
      </c>
      <c r="J5883" t="s">
        <v>6334</v>
      </c>
      <c r="K5883" t="s">
        <v>1092</v>
      </c>
      <c r="M5883">
        <v>1.26</v>
      </c>
      <c r="N5883">
        <v>119</v>
      </c>
      <c r="O5883" t="s">
        <v>106</v>
      </c>
      <c r="Q5883" t="s">
        <v>3465</v>
      </c>
      <c r="R5883" t="s">
        <v>934</v>
      </c>
      <c r="S5883" t="s">
        <v>935</v>
      </c>
    </row>
    <row r="5884" spans="1:19" x14ac:dyDescent="0.25">
      <c r="A5884" t="s">
        <v>30</v>
      </c>
      <c r="B5884" t="s">
        <v>31</v>
      </c>
      <c r="C5884" t="s">
        <v>32</v>
      </c>
      <c r="D5884" t="s">
        <v>771</v>
      </c>
      <c r="E5884" t="s">
        <v>6319</v>
      </c>
      <c r="F5884" t="s">
        <v>35</v>
      </c>
      <c r="G5884" t="s">
        <v>35</v>
      </c>
      <c r="H5884" t="s">
        <v>35</v>
      </c>
      <c r="J5884" t="s">
        <v>6335</v>
      </c>
      <c r="K5884" t="s">
        <v>1092</v>
      </c>
      <c r="M5884">
        <v>9.09</v>
      </c>
      <c r="N5884">
        <v>47</v>
      </c>
      <c r="O5884" t="s">
        <v>52</v>
      </c>
      <c r="Q5884" t="s">
        <v>132</v>
      </c>
      <c r="R5884" t="s">
        <v>849</v>
      </c>
      <c r="S5884" t="s">
        <v>850</v>
      </c>
    </row>
    <row r="5885" spans="1:19" x14ac:dyDescent="0.25">
      <c r="A5885" t="s">
        <v>59</v>
      </c>
      <c r="B5885" t="s">
        <v>31</v>
      </c>
      <c r="C5885" t="s">
        <v>32</v>
      </c>
      <c r="D5885" t="s">
        <v>771</v>
      </c>
      <c r="E5885" t="s">
        <v>6319</v>
      </c>
      <c r="F5885" t="s">
        <v>35</v>
      </c>
      <c r="G5885" t="s">
        <v>35</v>
      </c>
      <c r="H5885" t="s">
        <v>35</v>
      </c>
      <c r="J5885" t="s">
        <v>6335</v>
      </c>
      <c r="K5885" t="s">
        <v>1092</v>
      </c>
      <c r="M5885">
        <v>4.4999999999999998E-2</v>
      </c>
      <c r="N5885">
        <v>136</v>
      </c>
      <c r="O5885" t="s">
        <v>38</v>
      </c>
      <c r="Q5885" t="s">
        <v>157</v>
      </c>
      <c r="R5885" t="s">
        <v>849</v>
      </c>
      <c r="S5885" t="s">
        <v>850</v>
      </c>
    </row>
    <row r="5886" spans="1:19" x14ac:dyDescent="0.25">
      <c r="A5886" t="s">
        <v>59</v>
      </c>
      <c r="B5886" t="s">
        <v>31</v>
      </c>
      <c r="C5886" t="s">
        <v>32</v>
      </c>
      <c r="D5886" t="s">
        <v>771</v>
      </c>
      <c r="E5886" t="s">
        <v>6319</v>
      </c>
      <c r="F5886" t="s">
        <v>35</v>
      </c>
      <c r="G5886" t="s">
        <v>35</v>
      </c>
      <c r="H5886" t="s">
        <v>35</v>
      </c>
      <c r="J5886" t="s">
        <v>6335</v>
      </c>
      <c r="K5886" t="s">
        <v>1092</v>
      </c>
      <c r="M5886">
        <v>3.51</v>
      </c>
      <c r="N5886">
        <v>36</v>
      </c>
      <c r="O5886" t="s">
        <v>52</v>
      </c>
      <c r="Q5886" t="s">
        <v>2005</v>
      </c>
      <c r="R5886" t="s">
        <v>849</v>
      </c>
      <c r="S5886" t="s">
        <v>850</v>
      </c>
    </row>
    <row r="5887" spans="1:19" x14ac:dyDescent="0.25">
      <c r="A5887" t="s">
        <v>30</v>
      </c>
      <c r="B5887" t="s">
        <v>31</v>
      </c>
      <c r="C5887" t="s">
        <v>32</v>
      </c>
      <c r="D5887" t="s">
        <v>771</v>
      </c>
      <c r="E5887" t="s">
        <v>6319</v>
      </c>
      <c r="F5887" t="s">
        <v>35</v>
      </c>
      <c r="G5887" t="s">
        <v>35</v>
      </c>
      <c r="H5887" t="s">
        <v>35</v>
      </c>
      <c r="J5887" t="s">
        <v>6336</v>
      </c>
      <c r="K5887" t="s">
        <v>1092</v>
      </c>
      <c r="M5887">
        <v>19.98</v>
      </c>
      <c r="N5887">
        <v>25</v>
      </c>
      <c r="O5887" t="s">
        <v>46</v>
      </c>
      <c r="Q5887" t="s">
        <v>831</v>
      </c>
      <c r="R5887" t="s">
        <v>6169</v>
      </c>
      <c r="S5887" t="s">
        <v>904</v>
      </c>
    </row>
    <row r="5888" spans="1:19" x14ac:dyDescent="0.25">
      <c r="A5888" t="s">
        <v>30</v>
      </c>
      <c r="B5888" t="s">
        <v>31</v>
      </c>
      <c r="C5888" t="s">
        <v>32</v>
      </c>
      <c r="D5888" t="s">
        <v>771</v>
      </c>
      <c r="E5888" t="s">
        <v>6319</v>
      </c>
      <c r="F5888" t="s">
        <v>35</v>
      </c>
      <c r="G5888" t="s">
        <v>35</v>
      </c>
      <c r="H5888" t="s">
        <v>35</v>
      </c>
      <c r="J5888" t="s">
        <v>6337</v>
      </c>
      <c r="K5888" t="s">
        <v>1092</v>
      </c>
      <c r="M5888">
        <v>3.42</v>
      </c>
      <c r="N5888">
        <v>42</v>
      </c>
      <c r="O5888" t="s">
        <v>52</v>
      </c>
      <c r="Q5888" t="s">
        <v>991</v>
      </c>
      <c r="R5888" t="s">
        <v>6020</v>
      </c>
      <c r="S5888" t="s">
        <v>921</v>
      </c>
    </row>
    <row r="5889" spans="1:19" x14ac:dyDescent="0.25">
      <c r="A5889" t="s">
        <v>30</v>
      </c>
      <c r="B5889" t="s">
        <v>31</v>
      </c>
      <c r="C5889" t="s">
        <v>32</v>
      </c>
      <c r="D5889" t="s">
        <v>771</v>
      </c>
      <c r="E5889" t="s">
        <v>6319</v>
      </c>
      <c r="F5889" t="s">
        <v>35</v>
      </c>
      <c r="G5889" t="s">
        <v>35</v>
      </c>
      <c r="H5889" t="s">
        <v>35</v>
      </c>
      <c r="J5889" t="s">
        <v>6338</v>
      </c>
      <c r="K5889" t="s">
        <v>1092</v>
      </c>
      <c r="M5889">
        <v>0.99</v>
      </c>
      <c r="N5889">
        <v>113</v>
      </c>
      <c r="O5889" t="s">
        <v>106</v>
      </c>
      <c r="Q5889" t="s">
        <v>6066</v>
      </c>
      <c r="R5889" t="s">
        <v>6048</v>
      </c>
      <c r="S5889" t="s">
        <v>833</v>
      </c>
    </row>
    <row r="5890" spans="1:19" x14ac:dyDescent="0.25">
      <c r="A5890" t="s">
        <v>59</v>
      </c>
      <c r="B5890" t="s">
        <v>31</v>
      </c>
      <c r="C5890" t="s">
        <v>32</v>
      </c>
      <c r="D5890" t="s">
        <v>771</v>
      </c>
      <c r="E5890" t="s">
        <v>6319</v>
      </c>
      <c r="F5890" t="s">
        <v>35</v>
      </c>
      <c r="G5890" t="s">
        <v>35</v>
      </c>
      <c r="H5890" t="s">
        <v>35</v>
      </c>
      <c r="J5890" t="s">
        <v>6339</v>
      </c>
      <c r="K5890" t="s">
        <v>1092</v>
      </c>
      <c r="M5890">
        <v>4.41</v>
      </c>
      <c r="N5890">
        <v>271</v>
      </c>
      <c r="O5890" t="s">
        <v>5</v>
      </c>
      <c r="Q5890" t="s">
        <v>1881</v>
      </c>
      <c r="R5890" t="s">
        <v>6340</v>
      </c>
      <c r="S5890" t="s">
        <v>884</v>
      </c>
    </row>
    <row r="5891" spans="1:19" x14ac:dyDescent="0.25">
      <c r="A5891" t="s">
        <v>30</v>
      </c>
      <c r="B5891" t="s">
        <v>31</v>
      </c>
      <c r="C5891" t="s">
        <v>32</v>
      </c>
      <c r="D5891" t="s">
        <v>771</v>
      </c>
      <c r="E5891" t="s">
        <v>6319</v>
      </c>
      <c r="F5891" t="s">
        <v>35</v>
      </c>
      <c r="G5891" t="s">
        <v>35</v>
      </c>
      <c r="H5891" t="s">
        <v>35</v>
      </c>
      <c r="J5891" t="s">
        <v>6341</v>
      </c>
      <c r="K5891" t="s">
        <v>1092</v>
      </c>
      <c r="M5891">
        <v>2.97</v>
      </c>
      <c r="N5891">
        <v>42</v>
      </c>
      <c r="O5891" t="s">
        <v>52</v>
      </c>
      <c r="Q5891" t="s">
        <v>991</v>
      </c>
      <c r="R5891" t="s">
        <v>6318</v>
      </c>
      <c r="S5891" t="s">
        <v>800</v>
      </c>
    </row>
    <row r="5892" spans="1:19" x14ac:dyDescent="0.25">
      <c r="A5892" t="s">
        <v>30</v>
      </c>
      <c r="B5892" t="s">
        <v>31</v>
      </c>
      <c r="C5892" t="s">
        <v>32</v>
      </c>
      <c r="D5892" t="s">
        <v>771</v>
      </c>
      <c r="E5892" t="s">
        <v>6319</v>
      </c>
      <c r="F5892" t="s">
        <v>35</v>
      </c>
      <c r="G5892" t="s">
        <v>35</v>
      </c>
      <c r="H5892" t="s">
        <v>35</v>
      </c>
      <c r="J5892" t="s">
        <v>6341</v>
      </c>
      <c r="K5892" t="s">
        <v>1092</v>
      </c>
      <c r="M5892">
        <v>4.7699999999999996</v>
      </c>
      <c r="N5892">
        <v>219</v>
      </c>
      <c r="O5892" t="s">
        <v>5</v>
      </c>
      <c r="Q5892" t="s">
        <v>1578</v>
      </c>
      <c r="R5892" t="s">
        <v>934</v>
      </c>
      <c r="S5892" t="s">
        <v>935</v>
      </c>
    </row>
    <row r="5893" spans="1:19" x14ac:dyDescent="0.25">
      <c r="A5893" t="s">
        <v>59</v>
      </c>
      <c r="B5893" t="s">
        <v>31</v>
      </c>
      <c r="C5893" t="s">
        <v>32</v>
      </c>
      <c r="D5893" t="s">
        <v>771</v>
      </c>
      <c r="E5893" t="s">
        <v>865</v>
      </c>
      <c r="F5893" t="s">
        <v>35</v>
      </c>
      <c r="G5893" t="s">
        <v>35</v>
      </c>
      <c r="H5893" t="s">
        <v>35</v>
      </c>
      <c r="J5893" t="s">
        <v>6342</v>
      </c>
      <c r="K5893" t="s">
        <v>1092</v>
      </c>
      <c r="M5893">
        <v>0.04</v>
      </c>
      <c r="N5893">
        <v>277</v>
      </c>
      <c r="O5893" t="s">
        <v>5</v>
      </c>
      <c r="Q5893" t="s">
        <v>5812</v>
      </c>
      <c r="R5893" t="s">
        <v>6344</v>
      </c>
      <c r="S5893" t="s">
        <v>6345</v>
      </c>
    </row>
    <row r="5894" spans="1:19" x14ac:dyDescent="0.25">
      <c r="A5894" t="s">
        <v>30</v>
      </c>
      <c r="B5894" t="s">
        <v>31</v>
      </c>
      <c r="C5894" t="s">
        <v>32</v>
      </c>
      <c r="D5894" t="s">
        <v>771</v>
      </c>
      <c r="E5894" t="s">
        <v>865</v>
      </c>
      <c r="F5894" t="s">
        <v>35</v>
      </c>
      <c r="G5894" t="s">
        <v>35</v>
      </c>
      <c r="H5894" t="s">
        <v>35</v>
      </c>
      <c r="J5894" t="s">
        <v>6342</v>
      </c>
      <c r="K5894" t="s">
        <v>1092</v>
      </c>
      <c r="M5894">
        <v>8.52</v>
      </c>
      <c r="N5894">
        <v>132</v>
      </c>
      <c r="O5894" t="s">
        <v>38</v>
      </c>
      <c r="Q5894" t="s">
        <v>2901</v>
      </c>
      <c r="R5894" t="s">
        <v>6344</v>
      </c>
      <c r="S5894" t="s">
        <v>6345</v>
      </c>
    </row>
    <row r="5895" spans="1:19" x14ac:dyDescent="0.25">
      <c r="A5895" t="s">
        <v>30</v>
      </c>
      <c r="B5895" t="s">
        <v>31</v>
      </c>
      <c r="C5895" t="s">
        <v>32</v>
      </c>
      <c r="D5895" t="s">
        <v>771</v>
      </c>
      <c r="E5895" t="s">
        <v>865</v>
      </c>
      <c r="F5895" t="s">
        <v>35</v>
      </c>
      <c r="G5895" t="s">
        <v>35</v>
      </c>
      <c r="H5895" t="s">
        <v>35</v>
      </c>
      <c r="J5895" t="s">
        <v>6342</v>
      </c>
      <c r="K5895" t="s">
        <v>1092</v>
      </c>
      <c r="M5895">
        <v>7.02</v>
      </c>
      <c r="N5895">
        <v>119</v>
      </c>
      <c r="O5895" t="s">
        <v>106</v>
      </c>
      <c r="Q5895" t="s">
        <v>3465</v>
      </c>
      <c r="R5895" t="s">
        <v>934</v>
      </c>
      <c r="S5895" t="s">
        <v>935</v>
      </c>
    </row>
    <row r="5896" spans="1:19" x14ac:dyDescent="0.25">
      <c r="A5896" t="s">
        <v>59</v>
      </c>
      <c r="B5896" t="s">
        <v>60</v>
      </c>
      <c r="C5896" t="s">
        <v>32</v>
      </c>
      <c r="D5896" t="s">
        <v>771</v>
      </c>
      <c r="E5896" t="s">
        <v>865</v>
      </c>
      <c r="F5896" t="s">
        <v>35</v>
      </c>
      <c r="G5896" t="s">
        <v>35</v>
      </c>
      <c r="H5896" t="s">
        <v>35</v>
      </c>
      <c r="J5896" t="s">
        <v>6346</v>
      </c>
      <c r="K5896" t="s">
        <v>1092</v>
      </c>
      <c r="M5896">
        <v>2.0499999999999998</v>
      </c>
      <c r="N5896">
        <v>834</v>
      </c>
      <c r="O5896" t="s">
        <v>575</v>
      </c>
      <c r="Q5896" t="s">
        <v>6347</v>
      </c>
      <c r="R5896" t="s">
        <v>6348</v>
      </c>
      <c r="S5896" t="s">
        <v>899</v>
      </c>
    </row>
    <row r="5897" spans="1:19" x14ac:dyDescent="0.25">
      <c r="A5897" t="s">
        <v>30</v>
      </c>
      <c r="B5897" t="s">
        <v>31</v>
      </c>
      <c r="C5897" t="s">
        <v>32</v>
      </c>
      <c r="D5897" t="s">
        <v>771</v>
      </c>
      <c r="E5897" t="s">
        <v>865</v>
      </c>
      <c r="F5897" t="s">
        <v>35</v>
      </c>
      <c r="G5897" t="s">
        <v>35</v>
      </c>
      <c r="H5897" t="s">
        <v>35</v>
      </c>
      <c r="J5897" t="s">
        <v>6349</v>
      </c>
      <c r="K5897" t="s">
        <v>1092</v>
      </c>
      <c r="M5897">
        <v>9.99</v>
      </c>
      <c r="N5897">
        <v>39</v>
      </c>
      <c r="O5897" t="s">
        <v>52</v>
      </c>
      <c r="Q5897" t="s">
        <v>816</v>
      </c>
      <c r="R5897" t="s">
        <v>6022</v>
      </c>
      <c r="S5897" t="s">
        <v>937</v>
      </c>
    </row>
    <row r="5898" spans="1:19" x14ac:dyDescent="0.25">
      <c r="A5898" t="s">
        <v>59</v>
      </c>
      <c r="B5898" t="s">
        <v>60</v>
      </c>
      <c r="C5898" t="s">
        <v>32</v>
      </c>
      <c r="D5898" t="s">
        <v>771</v>
      </c>
      <c r="E5898" t="s">
        <v>865</v>
      </c>
      <c r="F5898" t="s">
        <v>35</v>
      </c>
      <c r="G5898" t="s">
        <v>35</v>
      </c>
      <c r="H5898" t="s">
        <v>35</v>
      </c>
      <c r="J5898" t="s">
        <v>6350</v>
      </c>
      <c r="K5898" t="s">
        <v>1092</v>
      </c>
      <c r="M5898">
        <v>6.5</v>
      </c>
      <c r="N5898">
        <v>45</v>
      </c>
      <c r="O5898" t="s">
        <v>52</v>
      </c>
      <c r="Q5898" t="s">
        <v>716</v>
      </c>
      <c r="R5898" t="s">
        <v>844</v>
      </c>
      <c r="S5898" t="s">
        <v>806</v>
      </c>
    </row>
    <row r="5899" spans="1:19" x14ac:dyDescent="0.25">
      <c r="A5899" t="s">
        <v>59</v>
      </c>
      <c r="B5899" t="s">
        <v>60</v>
      </c>
      <c r="C5899" t="s">
        <v>32</v>
      </c>
      <c r="D5899" t="s">
        <v>771</v>
      </c>
      <c r="E5899" t="s">
        <v>865</v>
      </c>
      <c r="F5899" t="s">
        <v>35</v>
      </c>
      <c r="G5899" t="s">
        <v>35</v>
      </c>
      <c r="H5899" t="s">
        <v>35</v>
      </c>
      <c r="J5899" t="s">
        <v>6352</v>
      </c>
      <c r="K5899" t="s">
        <v>1092</v>
      </c>
      <c r="M5899">
        <v>0.05</v>
      </c>
      <c r="N5899">
        <v>305</v>
      </c>
      <c r="O5899" t="s">
        <v>5</v>
      </c>
      <c r="Q5899" t="s">
        <v>4947</v>
      </c>
      <c r="R5899" t="s">
        <v>6024</v>
      </c>
      <c r="S5899" t="s">
        <v>820</v>
      </c>
    </row>
    <row r="5900" spans="1:19" x14ac:dyDescent="0.25">
      <c r="A5900" t="s">
        <v>59</v>
      </c>
      <c r="B5900" t="s">
        <v>31</v>
      </c>
      <c r="C5900" t="s">
        <v>32</v>
      </c>
      <c r="D5900" t="s">
        <v>771</v>
      </c>
      <c r="E5900" t="s">
        <v>865</v>
      </c>
      <c r="F5900" t="s">
        <v>35</v>
      </c>
      <c r="G5900" t="s">
        <v>35</v>
      </c>
      <c r="H5900" t="s">
        <v>35</v>
      </c>
      <c r="J5900" t="s">
        <v>6353</v>
      </c>
      <c r="K5900" t="s">
        <v>1092</v>
      </c>
      <c r="M5900">
        <v>0.2</v>
      </c>
      <c r="N5900">
        <v>90</v>
      </c>
      <c r="O5900" t="s">
        <v>61</v>
      </c>
      <c r="Q5900" t="s">
        <v>897</v>
      </c>
      <c r="R5900" t="s">
        <v>919</v>
      </c>
      <c r="S5900" t="s">
        <v>784</v>
      </c>
    </row>
    <row r="5901" spans="1:19" x14ac:dyDescent="0.25">
      <c r="A5901" t="s">
        <v>59</v>
      </c>
      <c r="B5901" t="s">
        <v>60</v>
      </c>
      <c r="C5901" t="s">
        <v>32</v>
      </c>
      <c r="D5901" t="s">
        <v>771</v>
      </c>
      <c r="E5901" t="s">
        <v>865</v>
      </c>
      <c r="F5901" t="s">
        <v>35</v>
      </c>
      <c r="G5901" t="s">
        <v>35</v>
      </c>
      <c r="H5901" t="s">
        <v>35</v>
      </c>
      <c r="J5901" t="s">
        <v>6354</v>
      </c>
      <c r="K5901" t="s">
        <v>1092</v>
      </c>
      <c r="M5901">
        <v>3.2</v>
      </c>
      <c r="N5901">
        <v>47</v>
      </c>
      <c r="O5901" t="s">
        <v>52</v>
      </c>
      <c r="Q5901" t="s">
        <v>132</v>
      </c>
      <c r="R5901" t="s">
        <v>6050</v>
      </c>
      <c r="S5901" t="s">
        <v>872</v>
      </c>
    </row>
    <row r="5902" spans="1:19" x14ac:dyDescent="0.25">
      <c r="A5902" t="s">
        <v>59</v>
      </c>
      <c r="B5902" t="s">
        <v>31</v>
      </c>
      <c r="C5902" t="s">
        <v>32</v>
      </c>
      <c r="D5902" t="s">
        <v>771</v>
      </c>
      <c r="E5902" t="s">
        <v>865</v>
      </c>
      <c r="F5902" t="s">
        <v>35</v>
      </c>
      <c r="G5902" t="s">
        <v>35</v>
      </c>
      <c r="H5902" t="s">
        <v>35</v>
      </c>
      <c r="J5902" t="s">
        <v>6355</v>
      </c>
      <c r="K5902" t="s">
        <v>1092</v>
      </c>
      <c r="M5902">
        <v>1.8</v>
      </c>
      <c r="N5902">
        <v>74</v>
      </c>
      <c r="O5902" t="s">
        <v>61</v>
      </c>
      <c r="Q5902" t="s">
        <v>488</v>
      </c>
      <c r="R5902" t="s">
        <v>6356</v>
      </c>
      <c r="S5902" t="s">
        <v>943</v>
      </c>
    </row>
    <row r="5903" spans="1:19" x14ac:dyDescent="0.25">
      <c r="A5903" t="s">
        <v>44</v>
      </c>
      <c r="B5903" t="s">
        <v>51</v>
      </c>
      <c r="C5903" t="s">
        <v>32</v>
      </c>
      <c r="D5903" t="s">
        <v>771</v>
      </c>
      <c r="E5903" t="s">
        <v>865</v>
      </c>
      <c r="F5903" t="s">
        <v>35</v>
      </c>
      <c r="G5903" t="s">
        <v>35</v>
      </c>
      <c r="H5903" t="s">
        <v>35</v>
      </c>
      <c r="J5903" t="s">
        <v>6357</v>
      </c>
      <c r="K5903" t="s">
        <v>1092</v>
      </c>
      <c r="M5903">
        <v>5.85</v>
      </c>
      <c r="N5903">
        <v>79</v>
      </c>
      <c r="O5903" t="s">
        <v>61</v>
      </c>
      <c r="Q5903" t="s">
        <v>1156</v>
      </c>
      <c r="R5903" t="s">
        <v>6090</v>
      </c>
      <c r="S5903" t="s">
        <v>6091</v>
      </c>
    </row>
    <row r="5904" spans="1:19" x14ac:dyDescent="0.25">
      <c r="A5904" t="s">
        <v>59</v>
      </c>
      <c r="B5904" t="s">
        <v>60</v>
      </c>
      <c r="C5904" t="s">
        <v>32</v>
      </c>
      <c r="D5904" t="s">
        <v>771</v>
      </c>
      <c r="E5904" t="s">
        <v>865</v>
      </c>
      <c r="F5904" t="s">
        <v>35</v>
      </c>
      <c r="G5904" t="s">
        <v>35</v>
      </c>
      <c r="H5904" t="s">
        <v>35</v>
      </c>
      <c r="J5904" t="s">
        <v>6357</v>
      </c>
      <c r="K5904" t="s">
        <v>1092</v>
      </c>
      <c r="M5904">
        <v>4</v>
      </c>
      <c r="N5904">
        <v>91</v>
      </c>
      <c r="O5904" t="s">
        <v>106</v>
      </c>
      <c r="Q5904" t="s">
        <v>1147</v>
      </c>
      <c r="R5904" t="s">
        <v>6050</v>
      </c>
      <c r="S5904" t="s">
        <v>872</v>
      </c>
    </row>
    <row r="5905" spans="1:19" x14ac:dyDescent="0.25">
      <c r="A5905" t="s">
        <v>59</v>
      </c>
      <c r="B5905" t="s">
        <v>60</v>
      </c>
      <c r="C5905" t="s">
        <v>32</v>
      </c>
      <c r="D5905" t="s">
        <v>771</v>
      </c>
      <c r="E5905" t="s">
        <v>865</v>
      </c>
      <c r="F5905" t="s">
        <v>35</v>
      </c>
      <c r="G5905" t="s">
        <v>35</v>
      </c>
      <c r="H5905" t="s">
        <v>35</v>
      </c>
      <c r="J5905" t="s">
        <v>6357</v>
      </c>
      <c r="K5905" t="s">
        <v>1092</v>
      </c>
      <c r="M5905">
        <v>3.5</v>
      </c>
      <c r="N5905">
        <v>47</v>
      </c>
      <c r="O5905" t="s">
        <v>52</v>
      </c>
      <c r="Q5905" t="s">
        <v>132</v>
      </c>
      <c r="R5905" t="s">
        <v>6050</v>
      </c>
      <c r="S5905" t="s">
        <v>872</v>
      </c>
    </row>
    <row r="5906" spans="1:19" x14ac:dyDescent="0.25">
      <c r="A5906" t="s">
        <v>44</v>
      </c>
      <c r="B5906" t="s">
        <v>51</v>
      </c>
      <c r="C5906" t="s">
        <v>32</v>
      </c>
      <c r="D5906" t="s">
        <v>771</v>
      </c>
      <c r="E5906" t="s">
        <v>865</v>
      </c>
      <c r="F5906" t="s">
        <v>35</v>
      </c>
      <c r="G5906" t="s">
        <v>35</v>
      </c>
      <c r="H5906" t="s">
        <v>35</v>
      </c>
      <c r="J5906" t="s">
        <v>6358</v>
      </c>
      <c r="K5906" t="s">
        <v>1092</v>
      </c>
      <c r="M5906">
        <v>7</v>
      </c>
      <c r="N5906">
        <v>44</v>
      </c>
      <c r="O5906" t="s">
        <v>52</v>
      </c>
      <c r="Q5906" t="s">
        <v>192</v>
      </c>
      <c r="R5906" t="s">
        <v>844</v>
      </c>
      <c r="S5906" t="s">
        <v>806</v>
      </c>
    </row>
    <row r="5907" spans="1:19" x14ac:dyDescent="0.25">
      <c r="A5907" t="s">
        <v>30</v>
      </c>
      <c r="B5907" t="s">
        <v>31</v>
      </c>
      <c r="C5907" t="s">
        <v>32</v>
      </c>
      <c r="D5907" t="s">
        <v>771</v>
      </c>
      <c r="E5907" t="s">
        <v>865</v>
      </c>
      <c r="F5907" t="s">
        <v>35</v>
      </c>
      <c r="G5907" t="s">
        <v>35</v>
      </c>
      <c r="H5907" t="s">
        <v>35</v>
      </c>
      <c r="J5907" t="s">
        <v>6358</v>
      </c>
      <c r="K5907" t="s">
        <v>1092</v>
      </c>
      <c r="M5907">
        <v>11.025</v>
      </c>
      <c r="N5907">
        <v>115</v>
      </c>
      <c r="O5907" t="s">
        <v>106</v>
      </c>
      <c r="Q5907" t="s">
        <v>1195</v>
      </c>
      <c r="R5907" t="s">
        <v>844</v>
      </c>
      <c r="S5907" t="s">
        <v>806</v>
      </c>
    </row>
    <row r="5908" spans="1:19" x14ac:dyDescent="0.25">
      <c r="A5908" t="s">
        <v>30</v>
      </c>
      <c r="B5908" t="s">
        <v>31</v>
      </c>
      <c r="C5908" t="s">
        <v>32</v>
      </c>
      <c r="D5908" t="s">
        <v>771</v>
      </c>
      <c r="E5908" t="s">
        <v>865</v>
      </c>
      <c r="F5908" t="s">
        <v>35</v>
      </c>
      <c r="G5908" t="s">
        <v>35</v>
      </c>
      <c r="H5908" t="s">
        <v>35</v>
      </c>
      <c r="J5908" t="s">
        <v>6358</v>
      </c>
      <c r="K5908" t="s">
        <v>1092</v>
      </c>
      <c r="M5908">
        <v>7.02</v>
      </c>
      <c r="N5908">
        <v>47</v>
      </c>
      <c r="O5908" t="s">
        <v>52</v>
      </c>
      <c r="Q5908" t="s">
        <v>132</v>
      </c>
      <c r="R5908" t="s">
        <v>844</v>
      </c>
      <c r="S5908" t="s">
        <v>806</v>
      </c>
    </row>
    <row r="5909" spans="1:19" x14ac:dyDescent="0.25">
      <c r="A5909" t="s">
        <v>59</v>
      </c>
      <c r="B5909" t="s">
        <v>60</v>
      </c>
      <c r="C5909" t="s">
        <v>32</v>
      </c>
      <c r="D5909" t="s">
        <v>771</v>
      </c>
      <c r="E5909" t="s">
        <v>865</v>
      </c>
      <c r="F5909" t="s">
        <v>35</v>
      </c>
      <c r="G5909" t="s">
        <v>35</v>
      </c>
      <c r="H5909" t="s">
        <v>35</v>
      </c>
      <c r="J5909" t="s">
        <v>6358</v>
      </c>
      <c r="K5909" t="s">
        <v>1092</v>
      </c>
      <c r="M5909">
        <v>3</v>
      </c>
      <c r="N5909">
        <v>89</v>
      </c>
      <c r="O5909" t="s">
        <v>61</v>
      </c>
      <c r="Q5909" t="s">
        <v>299</v>
      </c>
      <c r="R5909" t="s">
        <v>844</v>
      </c>
      <c r="S5909" t="s">
        <v>806</v>
      </c>
    </row>
    <row r="5910" spans="1:19" x14ac:dyDescent="0.25">
      <c r="A5910" t="s">
        <v>59</v>
      </c>
      <c r="B5910" t="s">
        <v>31</v>
      </c>
      <c r="C5910" t="s">
        <v>32</v>
      </c>
      <c r="D5910" t="s">
        <v>771</v>
      </c>
      <c r="E5910" t="s">
        <v>865</v>
      </c>
      <c r="F5910" t="s">
        <v>35</v>
      </c>
      <c r="G5910" t="s">
        <v>35</v>
      </c>
      <c r="H5910" t="s">
        <v>35</v>
      </c>
      <c r="J5910" t="s">
        <v>6358</v>
      </c>
      <c r="K5910" t="s">
        <v>1092</v>
      </c>
      <c r="M5910">
        <v>7.02</v>
      </c>
      <c r="N5910">
        <v>89</v>
      </c>
      <c r="O5910" t="s">
        <v>61</v>
      </c>
      <c r="Q5910" t="s">
        <v>299</v>
      </c>
      <c r="R5910" t="s">
        <v>844</v>
      </c>
      <c r="S5910" t="s">
        <v>806</v>
      </c>
    </row>
    <row r="5911" spans="1:19" x14ac:dyDescent="0.25">
      <c r="A5911" t="s">
        <v>44</v>
      </c>
      <c r="B5911" t="s">
        <v>51</v>
      </c>
      <c r="C5911" t="s">
        <v>32</v>
      </c>
      <c r="D5911" t="s">
        <v>771</v>
      </c>
      <c r="E5911" t="s">
        <v>865</v>
      </c>
      <c r="F5911" t="s">
        <v>35</v>
      </c>
      <c r="G5911" t="s">
        <v>35</v>
      </c>
      <c r="H5911" t="s">
        <v>35</v>
      </c>
      <c r="J5911" t="s">
        <v>6358</v>
      </c>
      <c r="K5911" t="s">
        <v>1092</v>
      </c>
      <c r="M5911">
        <v>0.4</v>
      </c>
      <c r="N5911">
        <v>233</v>
      </c>
      <c r="O5911" t="s">
        <v>5</v>
      </c>
      <c r="Q5911" t="s">
        <v>2002</v>
      </c>
      <c r="R5911" t="s">
        <v>844</v>
      </c>
      <c r="S5911" t="s">
        <v>806</v>
      </c>
    </row>
    <row r="5912" spans="1:19" x14ac:dyDescent="0.25">
      <c r="A5912" t="s">
        <v>59</v>
      </c>
      <c r="B5912" t="s">
        <v>60</v>
      </c>
      <c r="C5912" t="s">
        <v>32</v>
      </c>
      <c r="D5912" t="s">
        <v>771</v>
      </c>
      <c r="E5912" t="s">
        <v>865</v>
      </c>
      <c r="F5912" t="s">
        <v>35</v>
      </c>
      <c r="G5912" t="s">
        <v>35</v>
      </c>
      <c r="H5912" t="s">
        <v>35</v>
      </c>
      <c r="J5912" t="s">
        <v>6360</v>
      </c>
      <c r="K5912" t="s">
        <v>1092</v>
      </c>
      <c r="M5912">
        <v>0.25</v>
      </c>
      <c r="N5912">
        <v>853</v>
      </c>
      <c r="O5912" t="s">
        <v>575</v>
      </c>
      <c r="Q5912" t="s">
        <v>5226</v>
      </c>
      <c r="R5912" t="s">
        <v>6361</v>
      </c>
      <c r="S5912" t="s">
        <v>6179</v>
      </c>
    </row>
    <row r="5913" spans="1:19" x14ac:dyDescent="0.25">
      <c r="A5913" t="s">
        <v>30</v>
      </c>
      <c r="B5913" t="s">
        <v>31</v>
      </c>
      <c r="C5913" t="s">
        <v>32</v>
      </c>
      <c r="D5913" t="s">
        <v>771</v>
      </c>
      <c r="E5913" t="s">
        <v>865</v>
      </c>
      <c r="F5913" t="s">
        <v>35</v>
      </c>
      <c r="G5913" t="s">
        <v>35</v>
      </c>
      <c r="H5913" t="s">
        <v>35</v>
      </c>
      <c r="J5913" t="s">
        <v>6362</v>
      </c>
      <c r="K5913" t="s">
        <v>1092</v>
      </c>
      <c r="M5913">
        <v>5.0000000000000001E-3</v>
      </c>
      <c r="N5913">
        <v>910</v>
      </c>
      <c r="O5913" t="s">
        <v>575</v>
      </c>
      <c r="Q5913" t="s">
        <v>6363</v>
      </c>
      <c r="R5913" t="s">
        <v>6160</v>
      </c>
      <c r="S5913" t="s">
        <v>837</v>
      </c>
    </row>
    <row r="5914" spans="1:19" x14ac:dyDescent="0.25">
      <c r="A5914" t="s">
        <v>59</v>
      </c>
      <c r="B5914" t="s">
        <v>31</v>
      </c>
      <c r="C5914" t="s">
        <v>32</v>
      </c>
      <c r="D5914" t="s">
        <v>771</v>
      </c>
      <c r="E5914" t="s">
        <v>865</v>
      </c>
      <c r="F5914" t="s">
        <v>35</v>
      </c>
      <c r="G5914" t="s">
        <v>35</v>
      </c>
      <c r="H5914" t="s">
        <v>35</v>
      </c>
      <c r="J5914" t="s">
        <v>6362</v>
      </c>
      <c r="K5914" t="s">
        <v>1092</v>
      </c>
      <c r="M5914">
        <v>0.01</v>
      </c>
      <c r="N5914">
        <v>911</v>
      </c>
      <c r="O5914" t="s">
        <v>575</v>
      </c>
      <c r="Q5914" t="s">
        <v>6364</v>
      </c>
      <c r="R5914" t="s">
        <v>6160</v>
      </c>
      <c r="S5914" t="s">
        <v>837</v>
      </c>
    </row>
    <row r="5915" spans="1:19" x14ac:dyDescent="0.25">
      <c r="A5915" t="s">
        <v>59</v>
      </c>
      <c r="B5915" t="s">
        <v>60</v>
      </c>
      <c r="C5915" t="s">
        <v>32</v>
      </c>
      <c r="D5915" t="s">
        <v>771</v>
      </c>
      <c r="E5915" t="s">
        <v>865</v>
      </c>
      <c r="F5915" t="s">
        <v>35</v>
      </c>
      <c r="G5915" t="s">
        <v>35</v>
      </c>
      <c r="H5915" t="s">
        <v>35</v>
      </c>
      <c r="J5915" t="s">
        <v>6365</v>
      </c>
      <c r="K5915" t="s">
        <v>1092</v>
      </c>
      <c r="M5915">
        <v>7</v>
      </c>
      <c r="N5915">
        <v>88</v>
      </c>
      <c r="O5915" t="s">
        <v>61</v>
      </c>
      <c r="Q5915" t="s">
        <v>858</v>
      </c>
      <c r="R5915" t="s">
        <v>6096</v>
      </c>
      <c r="S5915" t="s">
        <v>6097</v>
      </c>
    </row>
    <row r="5916" spans="1:19" x14ac:dyDescent="0.25">
      <c r="A5916" t="s">
        <v>59</v>
      </c>
      <c r="B5916" t="s">
        <v>60</v>
      </c>
      <c r="C5916" t="s">
        <v>32</v>
      </c>
      <c r="D5916" t="s">
        <v>771</v>
      </c>
      <c r="E5916" t="s">
        <v>865</v>
      </c>
      <c r="F5916" t="s">
        <v>35</v>
      </c>
      <c r="G5916" t="s">
        <v>35</v>
      </c>
      <c r="H5916" t="s">
        <v>35</v>
      </c>
      <c r="J5916" t="s">
        <v>6366</v>
      </c>
      <c r="K5916" t="s">
        <v>1092</v>
      </c>
      <c r="M5916">
        <v>4</v>
      </c>
      <c r="N5916">
        <v>44</v>
      </c>
      <c r="O5916" t="s">
        <v>52</v>
      </c>
      <c r="Q5916" t="s">
        <v>192</v>
      </c>
      <c r="R5916" t="s">
        <v>6160</v>
      </c>
      <c r="S5916" t="s">
        <v>837</v>
      </c>
    </row>
    <row r="5917" spans="1:19" x14ac:dyDescent="0.25">
      <c r="A5917" t="s">
        <v>59</v>
      </c>
      <c r="B5917" t="s">
        <v>60</v>
      </c>
      <c r="C5917" t="s">
        <v>32</v>
      </c>
      <c r="D5917" t="s">
        <v>771</v>
      </c>
      <c r="E5917" t="s">
        <v>865</v>
      </c>
      <c r="F5917" t="s">
        <v>35</v>
      </c>
      <c r="G5917" t="s">
        <v>35</v>
      </c>
      <c r="H5917" t="s">
        <v>35</v>
      </c>
      <c r="J5917" t="s">
        <v>6367</v>
      </c>
      <c r="K5917" t="s">
        <v>1092</v>
      </c>
      <c r="M5917">
        <v>0.4</v>
      </c>
      <c r="N5917">
        <v>431</v>
      </c>
      <c r="O5917" t="s">
        <v>294</v>
      </c>
      <c r="Q5917" t="s">
        <v>3381</v>
      </c>
      <c r="R5917" t="s">
        <v>6368</v>
      </c>
      <c r="S5917" t="s">
        <v>6369</v>
      </c>
    </row>
    <row r="5918" spans="1:19" x14ac:dyDescent="0.25">
      <c r="A5918" t="s">
        <v>30</v>
      </c>
      <c r="B5918" t="s">
        <v>31</v>
      </c>
      <c r="C5918" t="s">
        <v>32</v>
      </c>
      <c r="D5918" t="s">
        <v>771</v>
      </c>
      <c r="E5918" t="s">
        <v>865</v>
      </c>
      <c r="F5918" t="s">
        <v>35</v>
      </c>
      <c r="G5918" t="s">
        <v>35</v>
      </c>
      <c r="H5918" t="s">
        <v>35</v>
      </c>
      <c r="J5918" t="s">
        <v>6371</v>
      </c>
      <c r="K5918" t="s">
        <v>1092</v>
      </c>
      <c r="M5918">
        <v>0.27</v>
      </c>
      <c r="N5918">
        <v>119</v>
      </c>
      <c r="O5918" t="s">
        <v>106</v>
      </c>
      <c r="Q5918" t="s">
        <v>3465</v>
      </c>
      <c r="R5918" t="s">
        <v>5992</v>
      </c>
      <c r="S5918" t="s">
        <v>817</v>
      </c>
    </row>
    <row r="5919" spans="1:19" x14ac:dyDescent="0.25">
      <c r="A5919" t="s">
        <v>59</v>
      </c>
      <c r="B5919" t="s">
        <v>60</v>
      </c>
      <c r="C5919" t="s">
        <v>32</v>
      </c>
      <c r="D5919" t="s">
        <v>771</v>
      </c>
      <c r="E5919" t="s">
        <v>865</v>
      </c>
      <c r="F5919" t="s">
        <v>35</v>
      </c>
      <c r="G5919" t="s">
        <v>35</v>
      </c>
      <c r="H5919" t="s">
        <v>35</v>
      </c>
      <c r="J5919" t="s">
        <v>6372</v>
      </c>
      <c r="K5919" t="s">
        <v>1092</v>
      </c>
      <c r="M5919">
        <v>7</v>
      </c>
      <c r="N5919">
        <v>30</v>
      </c>
      <c r="O5919" t="s">
        <v>46</v>
      </c>
      <c r="Q5919" t="s">
        <v>793</v>
      </c>
      <c r="R5919" t="s">
        <v>6020</v>
      </c>
      <c r="S5919" t="s">
        <v>921</v>
      </c>
    </row>
    <row r="5920" spans="1:19" x14ac:dyDescent="0.25">
      <c r="A5920" t="s">
        <v>30</v>
      </c>
      <c r="B5920" t="s">
        <v>31</v>
      </c>
      <c r="C5920" t="s">
        <v>32</v>
      </c>
      <c r="D5920" t="s">
        <v>771</v>
      </c>
      <c r="E5920" t="s">
        <v>865</v>
      </c>
      <c r="F5920" t="s">
        <v>35</v>
      </c>
      <c r="G5920" t="s">
        <v>35</v>
      </c>
      <c r="H5920" t="s">
        <v>35</v>
      </c>
      <c r="J5920" t="s">
        <v>6372</v>
      </c>
      <c r="K5920" t="s">
        <v>1092</v>
      </c>
      <c r="M5920">
        <v>9.99</v>
      </c>
      <c r="N5920">
        <v>25</v>
      </c>
      <c r="O5920" t="s">
        <v>46</v>
      </c>
      <c r="Q5920" t="s">
        <v>831</v>
      </c>
      <c r="R5920" t="s">
        <v>6169</v>
      </c>
      <c r="S5920" t="s">
        <v>904</v>
      </c>
    </row>
    <row r="5921" spans="1:19" x14ac:dyDescent="0.25">
      <c r="A5921" t="s">
        <v>59</v>
      </c>
      <c r="B5921" t="s">
        <v>31</v>
      </c>
      <c r="C5921" t="s">
        <v>32</v>
      </c>
      <c r="D5921" t="s">
        <v>771</v>
      </c>
      <c r="E5921" t="s">
        <v>865</v>
      </c>
      <c r="F5921" t="s">
        <v>35</v>
      </c>
      <c r="G5921" t="s">
        <v>35</v>
      </c>
      <c r="H5921" t="s">
        <v>35</v>
      </c>
      <c r="J5921" t="s">
        <v>6373</v>
      </c>
      <c r="K5921" t="s">
        <v>1092</v>
      </c>
      <c r="M5921">
        <v>4.5449999999999999</v>
      </c>
      <c r="N5921">
        <v>45</v>
      </c>
      <c r="O5921" t="s">
        <v>52</v>
      </c>
      <c r="Q5921" t="s">
        <v>716</v>
      </c>
      <c r="R5921" t="s">
        <v>919</v>
      </c>
      <c r="S5921" t="s">
        <v>784</v>
      </c>
    </row>
    <row r="5922" spans="1:19" x14ac:dyDescent="0.25">
      <c r="A5922" t="s">
        <v>59</v>
      </c>
      <c r="B5922" t="s">
        <v>60</v>
      </c>
      <c r="C5922" t="s">
        <v>32</v>
      </c>
      <c r="D5922" t="s">
        <v>771</v>
      </c>
      <c r="E5922" t="s">
        <v>865</v>
      </c>
      <c r="F5922" t="s">
        <v>35</v>
      </c>
      <c r="G5922" t="s">
        <v>35</v>
      </c>
      <c r="H5922" t="s">
        <v>35</v>
      </c>
      <c r="J5922" t="s">
        <v>6373</v>
      </c>
      <c r="K5922" t="s">
        <v>1092</v>
      </c>
      <c r="M5922">
        <v>0.65</v>
      </c>
      <c r="N5922">
        <v>30</v>
      </c>
      <c r="O5922" t="s">
        <v>46</v>
      </c>
      <c r="Q5922" t="s">
        <v>793</v>
      </c>
      <c r="R5922" t="s">
        <v>6020</v>
      </c>
      <c r="S5922" t="s">
        <v>921</v>
      </c>
    </row>
    <row r="5923" spans="1:19" x14ac:dyDescent="0.25">
      <c r="A5923" t="s">
        <v>59</v>
      </c>
      <c r="B5923" t="s">
        <v>31</v>
      </c>
      <c r="C5923" t="s">
        <v>32</v>
      </c>
      <c r="D5923" t="s">
        <v>771</v>
      </c>
      <c r="E5923" t="s">
        <v>865</v>
      </c>
      <c r="F5923" t="s">
        <v>35</v>
      </c>
      <c r="G5923" t="s">
        <v>35</v>
      </c>
      <c r="H5923" t="s">
        <v>35</v>
      </c>
      <c r="J5923" t="s">
        <v>6374</v>
      </c>
      <c r="K5923" t="s">
        <v>1092</v>
      </c>
      <c r="M5923">
        <v>5.13</v>
      </c>
      <c r="N5923">
        <v>518</v>
      </c>
      <c r="O5923" t="s">
        <v>294</v>
      </c>
      <c r="Q5923" t="s">
        <v>6375</v>
      </c>
      <c r="R5923" t="s">
        <v>849</v>
      </c>
      <c r="S5923" t="s">
        <v>850</v>
      </c>
    </row>
    <row r="5924" spans="1:19" x14ac:dyDescent="0.25">
      <c r="A5924" t="s">
        <v>59</v>
      </c>
      <c r="B5924" t="s">
        <v>60</v>
      </c>
      <c r="C5924" t="s">
        <v>32</v>
      </c>
      <c r="D5924" t="s">
        <v>771</v>
      </c>
      <c r="E5924" t="s">
        <v>865</v>
      </c>
      <c r="F5924" t="s">
        <v>35</v>
      </c>
      <c r="G5924" t="s">
        <v>35</v>
      </c>
      <c r="H5924" t="s">
        <v>35</v>
      </c>
      <c r="J5924" t="s">
        <v>6374</v>
      </c>
      <c r="K5924" t="s">
        <v>1092</v>
      </c>
      <c r="M5924">
        <v>0.5</v>
      </c>
      <c r="N5924">
        <v>461</v>
      </c>
      <c r="O5924" t="s">
        <v>294</v>
      </c>
      <c r="Q5924" t="s">
        <v>1509</v>
      </c>
      <c r="R5924" t="s">
        <v>849</v>
      </c>
      <c r="S5924" t="s">
        <v>850</v>
      </c>
    </row>
    <row r="5925" spans="1:19" x14ac:dyDescent="0.25">
      <c r="A5925" t="s">
        <v>59</v>
      </c>
      <c r="B5925" t="s">
        <v>31</v>
      </c>
      <c r="C5925" t="s">
        <v>32</v>
      </c>
      <c r="D5925" t="s">
        <v>771</v>
      </c>
      <c r="E5925" t="s">
        <v>865</v>
      </c>
      <c r="F5925" t="s">
        <v>35</v>
      </c>
      <c r="G5925" t="s">
        <v>35</v>
      </c>
      <c r="H5925" t="s">
        <v>35</v>
      </c>
      <c r="J5925" t="s">
        <v>6374</v>
      </c>
      <c r="K5925" t="s">
        <v>1092</v>
      </c>
      <c r="M5925">
        <v>7.02</v>
      </c>
      <c r="N5925">
        <v>461</v>
      </c>
      <c r="O5925" t="s">
        <v>294</v>
      </c>
      <c r="Q5925" t="s">
        <v>1509</v>
      </c>
      <c r="R5925" t="s">
        <v>849</v>
      </c>
      <c r="S5925" t="s">
        <v>850</v>
      </c>
    </row>
    <row r="5926" spans="1:19" x14ac:dyDescent="0.25">
      <c r="A5926" t="s">
        <v>59</v>
      </c>
      <c r="B5926" t="s">
        <v>60</v>
      </c>
      <c r="C5926" t="s">
        <v>32</v>
      </c>
      <c r="D5926" t="s">
        <v>771</v>
      </c>
      <c r="E5926" t="s">
        <v>865</v>
      </c>
      <c r="F5926" t="s">
        <v>35</v>
      </c>
      <c r="G5926" t="s">
        <v>35</v>
      </c>
      <c r="H5926" t="s">
        <v>35</v>
      </c>
      <c r="J5926" t="s">
        <v>6376</v>
      </c>
      <c r="K5926" t="s">
        <v>1092</v>
      </c>
      <c r="M5926">
        <v>3</v>
      </c>
      <c r="N5926">
        <v>44</v>
      </c>
      <c r="O5926" t="s">
        <v>52</v>
      </c>
      <c r="Q5926" t="s">
        <v>192</v>
      </c>
      <c r="R5926" t="s">
        <v>6079</v>
      </c>
      <c r="S5926" t="s">
        <v>866</v>
      </c>
    </row>
    <row r="5927" spans="1:19" x14ac:dyDescent="0.25">
      <c r="A5927" t="s">
        <v>59</v>
      </c>
      <c r="B5927" t="s">
        <v>60</v>
      </c>
      <c r="C5927" t="s">
        <v>32</v>
      </c>
      <c r="D5927" t="s">
        <v>771</v>
      </c>
      <c r="E5927" t="s">
        <v>865</v>
      </c>
      <c r="F5927" t="s">
        <v>35</v>
      </c>
      <c r="G5927" t="s">
        <v>35</v>
      </c>
      <c r="H5927" t="s">
        <v>35</v>
      </c>
      <c r="J5927" t="s">
        <v>6377</v>
      </c>
      <c r="K5927" t="s">
        <v>1092</v>
      </c>
      <c r="M5927">
        <v>9.25</v>
      </c>
      <c r="N5927">
        <v>82</v>
      </c>
      <c r="O5927" t="s">
        <v>61</v>
      </c>
      <c r="Q5927" t="s">
        <v>447</v>
      </c>
      <c r="R5927" t="s">
        <v>6020</v>
      </c>
      <c r="S5927" t="s">
        <v>921</v>
      </c>
    </row>
    <row r="5928" spans="1:19" x14ac:dyDescent="0.25">
      <c r="A5928" t="s">
        <v>59</v>
      </c>
      <c r="B5928" t="s">
        <v>60</v>
      </c>
      <c r="C5928" t="s">
        <v>32</v>
      </c>
      <c r="D5928" t="s">
        <v>771</v>
      </c>
      <c r="E5928" t="s">
        <v>865</v>
      </c>
      <c r="F5928" t="s">
        <v>35</v>
      </c>
      <c r="G5928" t="s">
        <v>35</v>
      </c>
      <c r="H5928" t="s">
        <v>35</v>
      </c>
      <c r="J5928" t="s">
        <v>6378</v>
      </c>
      <c r="K5928" t="s">
        <v>1092</v>
      </c>
      <c r="M5928">
        <v>1</v>
      </c>
      <c r="N5928">
        <v>510</v>
      </c>
      <c r="O5928" t="s">
        <v>294</v>
      </c>
      <c r="Q5928" t="s">
        <v>4279</v>
      </c>
      <c r="R5928" t="s">
        <v>6379</v>
      </c>
      <c r="S5928" t="s">
        <v>6380</v>
      </c>
    </row>
    <row r="5929" spans="1:19" x14ac:dyDescent="0.25">
      <c r="A5929" t="s">
        <v>59</v>
      </c>
      <c r="B5929" t="s">
        <v>60</v>
      </c>
      <c r="C5929" t="s">
        <v>32</v>
      </c>
      <c r="D5929" t="s">
        <v>771</v>
      </c>
      <c r="E5929" t="s">
        <v>865</v>
      </c>
      <c r="F5929" t="s">
        <v>35</v>
      </c>
      <c r="G5929" t="s">
        <v>35</v>
      </c>
      <c r="H5929" t="s">
        <v>35</v>
      </c>
      <c r="J5929" t="s">
        <v>6381</v>
      </c>
      <c r="K5929" t="s">
        <v>1092</v>
      </c>
      <c r="M5929">
        <v>1.5</v>
      </c>
      <c r="N5929">
        <v>517</v>
      </c>
      <c r="O5929" t="s">
        <v>294</v>
      </c>
      <c r="Q5929" t="s">
        <v>2509</v>
      </c>
      <c r="R5929" t="s">
        <v>6113</v>
      </c>
      <c r="S5929" t="s">
        <v>6114</v>
      </c>
    </row>
    <row r="5930" spans="1:19" x14ac:dyDescent="0.25">
      <c r="A5930" t="s">
        <v>59</v>
      </c>
      <c r="B5930" t="s">
        <v>60</v>
      </c>
      <c r="C5930" t="s">
        <v>32</v>
      </c>
      <c r="D5930" t="s">
        <v>771</v>
      </c>
      <c r="E5930" t="s">
        <v>865</v>
      </c>
      <c r="F5930" t="s">
        <v>35</v>
      </c>
      <c r="G5930" t="s">
        <v>35</v>
      </c>
      <c r="H5930" t="s">
        <v>35</v>
      </c>
      <c r="J5930" t="s">
        <v>866</v>
      </c>
      <c r="K5930" t="s">
        <v>1092</v>
      </c>
      <c r="M5930">
        <v>4</v>
      </c>
      <c r="N5930">
        <v>44</v>
      </c>
      <c r="O5930" t="s">
        <v>52</v>
      </c>
      <c r="Q5930" t="s">
        <v>192</v>
      </c>
      <c r="R5930" t="s">
        <v>6079</v>
      </c>
      <c r="S5930" t="s">
        <v>866</v>
      </c>
    </row>
    <row r="5931" spans="1:19" x14ac:dyDescent="0.25">
      <c r="A5931" t="s">
        <v>30</v>
      </c>
      <c r="B5931" t="s">
        <v>31</v>
      </c>
      <c r="C5931" t="s">
        <v>32</v>
      </c>
      <c r="D5931" t="s">
        <v>771</v>
      </c>
      <c r="E5931" t="s">
        <v>865</v>
      </c>
      <c r="F5931" t="s">
        <v>35</v>
      </c>
      <c r="G5931" t="s">
        <v>35</v>
      </c>
      <c r="H5931" t="s">
        <v>35</v>
      </c>
      <c r="J5931" t="s">
        <v>866</v>
      </c>
      <c r="K5931" t="s">
        <v>1092</v>
      </c>
      <c r="M5931">
        <v>6.6150000000000002</v>
      </c>
      <c r="N5931">
        <v>116</v>
      </c>
      <c r="O5931" t="s">
        <v>106</v>
      </c>
      <c r="Q5931" t="s">
        <v>1256</v>
      </c>
      <c r="R5931" t="s">
        <v>436</v>
      </c>
      <c r="S5931" t="s">
        <v>437</v>
      </c>
    </row>
    <row r="5932" spans="1:19" x14ac:dyDescent="0.25">
      <c r="A5932" t="s">
        <v>44</v>
      </c>
      <c r="B5932" t="s">
        <v>3</v>
      </c>
      <c r="C5932" t="s">
        <v>32</v>
      </c>
      <c r="D5932" t="s">
        <v>771</v>
      </c>
      <c r="E5932" t="s">
        <v>865</v>
      </c>
      <c r="F5932" t="s">
        <v>35</v>
      </c>
      <c r="G5932" t="s">
        <v>35</v>
      </c>
      <c r="H5932" t="s">
        <v>35</v>
      </c>
      <c r="J5932" t="s">
        <v>6382</v>
      </c>
      <c r="K5932" t="s">
        <v>1092</v>
      </c>
      <c r="M5932">
        <v>1.1000000000000001</v>
      </c>
      <c r="N5932">
        <v>441</v>
      </c>
      <c r="O5932" t="s">
        <v>294</v>
      </c>
      <c r="Q5932" t="s">
        <v>1888</v>
      </c>
      <c r="R5932" t="s">
        <v>844</v>
      </c>
      <c r="S5932" t="s">
        <v>806</v>
      </c>
    </row>
    <row r="5933" spans="1:19" x14ac:dyDescent="0.25">
      <c r="A5933" t="s">
        <v>30</v>
      </c>
      <c r="B5933" t="s">
        <v>31</v>
      </c>
      <c r="C5933" t="s">
        <v>32</v>
      </c>
      <c r="D5933" t="s">
        <v>771</v>
      </c>
      <c r="E5933" t="s">
        <v>865</v>
      </c>
      <c r="F5933" t="s">
        <v>35</v>
      </c>
      <c r="G5933" t="s">
        <v>35</v>
      </c>
      <c r="H5933" t="s">
        <v>35</v>
      </c>
      <c r="J5933" t="s">
        <v>6383</v>
      </c>
      <c r="K5933" t="s">
        <v>1092</v>
      </c>
      <c r="M5933">
        <v>3</v>
      </c>
      <c r="N5933">
        <v>104</v>
      </c>
      <c r="O5933" t="s">
        <v>106</v>
      </c>
      <c r="Q5933" t="s">
        <v>2577</v>
      </c>
      <c r="R5933" t="s">
        <v>6160</v>
      </c>
      <c r="S5933" t="s">
        <v>837</v>
      </c>
    </row>
    <row r="5934" spans="1:19" x14ac:dyDescent="0.25">
      <c r="A5934" t="s">
        <v>30</v>
      </c>
      <c r="B5934" t="s">
        <v>31</v>
      </c>
      <c r="C5934" t="s">
        <v>32</v>
      </c>
      <c r="D5934" t="s">
        <v>771</v>
      </c>
      <c r="E5934" t="s">
        <v>865</v>
      </c>
      <c r="F5934" t="s">
        <v>35</v>
      </c>
      <c r="G5934" t="s">
        <v>35</v>
      </c>
      <c r="H5934" t="s">
        <v>35</v>
      </c>
      <c r="J5934" t="s">
        <v>6384</v>
      </c>
      <c r="K5934" t="s">
        <v>1092</v>
      </c>
      <c r="M5934">
        <v>0.45</v>
      </c>
      <c r="N5934">
        <v>238</v>
      </c>
      <c r="O5934" t="s">
        <v>5</v>
      </c>
      <c r="Q5934" t="s">
        <v>933</v>
      </c>
      <c r="R5934" t="s">
        <v>934</v>
      </c>
      <c r="S5934" t="s">
        <v>935</v>
      </c>
    </row>
    <row r="5935" spans="1:19" x14ac:dyDescent="0.25">
      <c r="A5935" t="s">
        <v>30</v>
      </c>
      <c r="B5935" t="s">
        <v>31</v>
      </c>
      <c r="C5935" t="s">
        <v>32</v>
      </c>
      <c r="D5935" t="s">
        <v>771</v>
      </c>
      <c r="E5935" t="s">
        <v>865</v>
      </c>
      <c r="F5935" t="s">
        <v>35</v>
      </c>
      <c r="G5935" t="s">
        <v>35</v>
      </c>
      <c r="H5935" t="s">
        <v>35</v>
      </c>
      <c r="J5935" t="s">
        <v>6385</v>
      </c>
      <c r="K5935" t="s">
        <v>1092</v>
      </c>
      <c r="M5935">
        <v>4.5</v>
      </c>
      <c r="N5935">
        <v>287</v>
      </c>
      <c r="O5935" t="s">
        <v>5</v>
      </c>
      <c r="Q5935" t="s">
        <v>3688</v>
      </c>
      <c r="R5935" t="s">
        <v>6079</v>
      </c>
      <c r="S5935" t="s">
        <v>866</v>
      </c>
    </row>
    <row r="5936" spans="1:19" x14ac:dyDescent="0.25">
      <c r="A5936" t="s">
        <v>59</v>
      </c>
      <c r="B5936" t="s">
        <v>31</v>
      </c>
      <c r="C5936" t="s">
        <v>32</v>
      </c>
      <c r="D5936" t="s">
        <v>771</v>
      </c>
      <c r="E5936" t="s">
        <v>865</v>
      </c>
      <c r="F5936" t="s">
        <v>35</v>
      </c>
      <c r="G5936" t="s">
        <v>35</v>
      </c>
      <c r="H5936" t="s">
        <v>35</v>
      </c>
      <c r="J5936" t="s">
        <v>8260</v>
      </c>
      <c r="K5936" t="s">
        <v>1092</v>
      </c>
      <c r="M5936">
        <v>0.9</v>
      </c>
      <c r="N5936">
        <v>5</v>
      </c>
      <c r="O5936" t="s">
        <v>46</v>
      </c>
      <c r="Q5936" t="s">
        <v>8229</v>
      </c>
      <c r="R5936" t="s">
        <v>6318</v>
      </c>
      <c r="S5936" t="s">
        <v>800</v>
      </c>
    </row>
    <row r="5937" spans="1:19" x14ac:dyDescent="0.25">
      <c r="A5937" t="s">
        <v>59</v>
      </c>
      <c r="B5937" t="s">
        <v>31</v>
      </c>
      <c r="C5937" t="s">
        <v>32</v>
      </c>
      <c r="D5937" t="s">
        <v>771</v>
      </c>
      <c r="E5937" t="s">
        <v>865</v>
      </c>
      <c r="F5937" t="s">
        <v>35</v>
      </c>
      <c r="G5937" t="s">
        <v>35</v>
      </c>
      <c r="H5937" t="s">
        <v>35</v>
      </c>
      <c r="J5937" t="s">
        <v>6386</v>
      </c>
      <c r="K5937" t="s">
        <v>1092</v>
      </c>
      <c r="M5937">
        <v>0.45</v>
      </c>
      <c r="N5937">
        <v>90</v>
      </c>
      <c r="O5937" t="s">
        <v>61</v>
      </c>
      <c r="Q5937" t="s">
        <v>897</v>
      </c>
      <c r="R5937" t="s">
        <v>919</v>
      </c>
      <c r="S5937" t="s">
        <v>784</v>
      </c>
    </row>
    <row r="5938" spans="1:19" x14ac:dyDescent="0.25">
      <c r="A5938" t="s">
        <v>59</v>
      </c>
      <c r="B5938" t="s">
        <v>31</v>
      </c>
      <c r="C5938" t="s">
        <v>32</v>
      </c>
      <c r="D5938" t="s">
        <v>771</v>
      </c>
      <c r="E5938" t="s">
        <v>865</v>
      </c>
      <c r="F5938" t="s">
        <v>35</v>
      </c>
      <c r="G5938" t="s">
        <v>35</v>
      </c>
      <c r="H5938" t="s">
        <v>35</v>
      </c>
      <c r="J5938" t="s">
        <v>6387</v>
      </c>
      <c r="K5938" t="s">
        <v>1092</v>
      </c>
      <c r="M5938">
        <v>0.09</v>
      </c>
      <c r="N5938">
        <v>90</v>
      </c>
      <c r="O5938" t="s">
        <v>61</v>
      </c>
      <c r="Q5938" t="s">
        <v>897</v>
      </c>
      <c r="R5938" t="s">
        <v>919</v>
      </c>
      <c r="S5938" t="s">
        <v>784</v>
      </c>
    </row>
    <row r="5939" spans="1:19" x14ac:dyDescent="0.25">
      <c r="A5939" t="s">
        <v>30</v>
      </c>
      <c r="B5939" t="s">
        <v>31</v>
      </c>
      <c r="C5939" t="s">
        <v>32</v>
      </c>
      <c r="D5939" t="s">
        <v>771</v>
      </c>
      <c r="E5939" t="s">
        <v>865</v>
      </c>
      <c r="F5939" t="s">
        <v>35</v>
      </c>
      <c r="G5939" t="s">
        <v>35</v>
      </c>
      <c r="H5939" t="s">
        <v>35</v>
      </c>
      <c r="J5939" t="s">
        <v>6388</v>
      </c>
      <c r="K5939" t="s">
        <v>1092</v>
      </c>
      <c r="M5939">
        <v>2.7E-2</v>
      </c>
      <c r="N5939">
        <v>235</v>
      </c>
      <c r="O5939" t="s">
        <v>5</v>
      </c>
      <c r="Q5939" t="s">
        <v>4942</v>
      </c>
      <c r="R5939" t="s">
        <v>6344</v>
      </c>
      <c r="S5939" t="s">
        <v>6345</v>
      </c>
    </row>
    <row r="5940" spans="1:19" x14ac:dyDescent="0.25">
      <c r="A5940" t="s">
        <v>59</v>
      </c>
      <c r="B5940" t="s">
        <v>60</v>
      </c>
      <c r="C5940" t="s">
        <v>32</v>
      </c>
      <c r="D5940" t="s">
        <v>771</v>
      </c>
      <c r="E5940" t="s">
        <v>865</v>
      </c>
      <c r="F5940" t="s">
        <v>35</v>
      </c>
      <c r="G5940" t="s">
        <v>35</v>
      </c>
      <c r="H5940" t="s">
        <v>35</v>
      </c>
      <c r="J5940" t="s">
        <v>6389</v>
      </c>
      <c r="K5940" t="s">
        <v>1092</v>
      </c>
      <c r="M5940">
        <v>0.6</v>
      </c>
      <c r="N5940">
        <v>90</v>
      </c>
      <c r="O5940" t="s">
        <v>61</v>
      </c>
      <c r="Q5940" t="s">
        <v>897</v>
      </c>
      <c r="R5940" t="s">
        <v>6100</v>
      </c>
      <c r="S5940" t="s">
        <v>947</v>
      </c>
    </row>
    <row r="5941" spans="1:19" x14ac:dyDescent="0.25">
      <c r="A5941" t="s">
        <v>44</v>
      </c>
      <c r="B5941" t="s">
        <v>51</v>
      </c>
      <c r="C5941" t="s">
        <v>32</v>
      </c>
      <c r="D5941" t="s">
        <v>771</v>
      </c>
      <c r="E5941" t="s">
        <v>871</v>
      </c>
      <c r="F5941" t="s">
        <v>35</v>
      </c>
      <c r="G5941" t="s">
        <v>35</v>
      </c>
      <c r="H5941" t="s">
        <v>35</v>
      </c>
      <c r="J5941" t="s">
        <v>6390</v>
      </c>
      <c r="K5941" t="s">
        <v>1092</v>
      </c>
      <c r="M5941">
        <v>4.05</v>
      </c>
      <c r="N5941">
        <v>84</v>
      </c>
      <c r="O5941" t="s">
        <v>61</v>
      </c>
      <c r="Q5941" t="s">
        <v>778</v>
      </c>
      <c r="R5941" t="s">
        <v>5992</v>
      </c>
      <c r="S5941" t="s">
        <v>817</v>
      </c>
    </row>
    <row r="5942" spans="1:19" x14ac:dyDescent="0.25">
      <c r="A5942" t="s">
        <v>59</v>
      </c>
      <c r="B5942" t="s">
        <v>60</v>
      </c>
      <c r="C5942" t="s">
        <v>32</v>
      </c>
      <c r="D5942" t="s">
        <v>771</v>
      </c>
      <c r="E5942" t="s">
        <v>871</v>
      </c>
      <c r="F5942" t="s">
        <v>35</v>
      </c>
      <c r="G5942" t="s">
        <v>35</v>
      </c>
      <c r="H5942" t="s">
        <v>35</v>
      </c>
      <c r="J5942" t="s">
        <v>6391</v>
      </c>
      <c r="K5942" t="s">
        <v>1092</v>
      </c>
      <c r="M5942">
        <v>0.5</v>
      </c>
      <c r="N5942">
        <v>91</v>
      </c>
      <c r="O5942" t="s">
        <v>106</v>
      </c>
      <c r="Q5942" t="s">
        <v>1147</v>
      </c>
      <c r="R5942" t="s">
        <v>6050</v>
      </c>
      <c r="S5942" t="s">
        <v>872</v>
      </c>
    </row>
    <row r="5943" spans="1:19" x14ac:dyDescent="0.25">
      <c r="A5943" t="s">
        <v>30</v>
      </c>
      <c r="B5943" t="s">
        <v>31</v>
      </c>
      <c r="C5943" t="s">
        <v>32</v>
      </c>
      <c r="D5943" t="s">
        <v>771</v>
      </c>
      <c r="E5943" t="s">
        <v>871</v>
      </c>
      <c r="F5943" t="s">
        <v>35</v>
      </c>
      <c r="G5943" t="s">
        <v>35</v>
      </c>
      <c r="H5943" t="s">
        <v>35</v>
      </c>
      <c r="J5943" t="s">
        <v>6392</v>
      </c>
      <c r="K5943" t="s">
        <v>1092</v>
      </c>
      <c r="M5943">
        <v>6.57</v>
      </c>
      <c r="N5943">
        <v>119</v>
      </c>
      <c r="O5943" t="s">
        <v>106</v>
      </c>
      <c r="Q5943" t="s">
        <v>3465</v>
      </c>
      <c r="R5943" t="s">
        <v>5992</v>
      </c>
      <c r="S5943" t="s">
        <v>817</v>
      </c>
    </row>
    <row r="5944" spans="1:19" x14ac:dyDescent="0.25">
      <c r="A5944" t="s">
        <v>59</v>
      </c>
      <c r="B5944" t="s">
        <v>31</v>
      </c>
      <c r="C5944" t="s">
        <v>32</v>
      </c>
      <c r="D5944" t="s">
        <v>771</v>
      </c>
      <c r="E5944" t="s">
        <v>871</v>
      </c>
      <c r="F5944" t="s">
        <v>35</v>
      </c>
      <c r="G5944" t="s">
        <v>35</v>
      </c>
      <c r="H5944" t="s">
        <v>35</v>
      </c>
      <c r="J5944" t="s">
        <v>6392</v>
      </c>
      <c r="K5944" t="s">
        <v>1092</v>
      </c>
      <c r="M5944">
        <v>9.99</v>
      </c>
      <c r="N5944">
        <v>84</v>
      </c>
      <c r="O5944" t="s">
        <v>61</v>
      </c>
      <c r="Q5944" t="s">
        <v>778</v>
      </c>
      <c r="R5944" t="s">
        <v>436</v>
      </c>
      <c r="S5944" t="s">
        <v>437</v>
      </c>
    </row>
    <row r="5945" spans="1:19" x14ac:dyDescent="0.25">
      <c r="A5945" t="s">
        <v>44</v>
      </c>
      <c r="B5945" t="s">
        <v>51</v>
      </c>
      <c r="C5945" t="s">
        <v>32</v>
      </c>
      <c r="D5945" t="s">
        <v>771</v>
      </c>
      <c r="E5945" t="s">
        <v>871</v>
      </c>
      <c r="F5945" t="s">
        <v>35</v>
      </c>
      <c r="G5945" t="s">
        <v>35</v>
      </c>
      <c r="H5945" t="s">
        <v>35</v>
      </c>
      <c r="J5945" t="s">
        <v>6392</v>
      </c>
      <c r="K5945" t="s">
        <v>1092</v>
      </c>
      <c r="M5945">
        <v>3.5</v>
      </c>
      <c r="N5945">
        <v>75</v>
      </c>
      <c r="O5945" t="s">
        <v>61</v>
      </c>
      <c r="Q5945" t="s">
        <v>805</v>
      </c>
      <c r="R5945" t="s">
        <v>436</v>
      </c>
      <c r="S5945" t="s">
        <v>437</v>
      </c>
    </row>
    <row r="5946" spans="1:19" x14ac:dyDescent="0.25">
      <c r="A5946" t="s">
        <v>30</v>
      </c>
      <c r="B5946" t="s">
        <v>31</v>
      </c>
      <c r="C5946" t="s">
        <v>32</v>
      </c>
      <c r="D5946" t="s">
        <v>771</v>
      </c>
      <c r="E5946" t="s">
        <v>871</v>
      </c>
      <c r="F5946" t="s">
        <v>35</v>
      </c>
      <c r="G5946" t="s">
        <v>35</v>
      </c>
      <c r="H5946" t="s">
        <v>35</v>
      </c>
      <c r="J5946" t="s">
        <v>3886</v>
      </c>
      <c r="K5946" t="s">
        <v>1092</v>
      </c>
      <c r="M5946">
        <v>10.035</v>
      </c>
      <c r="N5946">
        <v>49</v>
      </c>
      <c r="O5946" t="s">
        <v>52</v>
      </c>
      <c r="Q5946" t="s">
        <v>219</v>
      </c>
      <c r="R5946" t="s">
        <v>6050</v>
      </c>
      <c r="S5946" t="s">
        <v>872</v>
      </c>
    </row>
    <row r="5947" spans="1:19" x14ac:dyDescent="0.25">
      <c r="A5947" t="s">
        <v>59</v>
      </c>
      <c r="B5947" t="s">
        <v>60</v>
      </c>
      <c r="C5947" t="s">
        <v>32</v>
      </c>
      <c r="D5947" t="s">
        <v>771</v>
      </c>
      <c r="E5947" t="s">
        <v>871</v>
      </c>
      <c r="F5947" t="s">
        <v>35</v>
      </c>
      <c r="G5947" t="s">
        <v>35</v>
      </c>
      <c r="H5947" t="s">
        <v>35</v>
      </c>
      <c r="J5947" t="s">
        <v>3886</v>
      </c>
      <c r="K5947" t="s">
        <v>1092</v>
      </c>
      <c r="M5947">
        <v>1.3</v>
      </c>
      <c r="N5947">
        <v>157</v>
      </c>
      <c r="O5947" t="s">
        <v>38</v>
      </c>
      <c r="Q5947" t="s">
        <v>1145</v>
      </c>
      <c r="R5947" t="s">
        <v>6050</v>
      </c>
      <c r="S5947" t="s">
        <v>872</v>
      </c>
    </row>
    <row r="5948" spans="1:19" x14ac:dyDescent="0.25">
      <c r="A5948" t="s">
        <v>44</v>
      </c>
      <c r="B5948" t="s">
        <v>51</v>
      </c>
      <c r="C5948" t="s">
        <v>32</v>
      </c>
      <c r="D5948" t="s">
        <v>771</v>
      </c>
      <c r="E5948" t="s">
        <v>871</v>
      </c>
      <c r="F5948" t="s">
        <v>35</v>
      </c>
      <c r="G5948" t="s">
        <v>35</v>
      </c>
      <c r="H5948" t="s">
        <v>35</v>
      </c>
      <c r="J5948" t="s">
        <v>3886</v>
      </c>
      <c r="K5948" t="s">
        <v>1092</v>
      </c>
      <c r="M5948">
        <v>3.25</v>
      </c>
      <c r="N5948">
        <v>84</v>
      </c>
      <c r="O5948" t="s">
        <v>61</v>
      </c>
      <c r="Q5948" t="s">
        <v>778</v>
      </c>
      <c r="R5948" t="s">
        <v>6050</v>
      </c>
      <c r="S5948" t="s">
        <v>872</v>
      </c>
    </row>
    <row r="5949" spans="1:19" x14ac:dyDescent="0.25">
      <c r="A5949" t="s">
        <v>30</v>
      </c>
      <c r="B5949" t="s">
        <v>31</v>
      </c>
      <c r="C5949" t="s">
        <v>32</v>
      </c>
      <c r="D5949" t="s">
        <v>771</v>
      </c>
      <c r="E5949" t="s">
        <v>871</v>
      </c>
      <c r="F5949" t="s">
        <v>35</v>
      </c>
      <c r="G5949" t="s">
        <v>35</v>
      </c>
      <c r="H5949" t="s">
        <v>35</v>
      </c>
      <c r="J5949" t="s">
        <v>6393</v>
      </c>
      <c r="K5949" t="s">
        <v>1092</v>
      </c>
      <c r="M5949">
        <v>0.02</v>
      </c>
      <c r="N5949">
        <v>1243</v>
      </c>
      <c r="O5949" t="s">
        <v>575</v>
      </c>
      <c r="Q5949" t="s">
        <v>2998</v>
      </c>
      <c r="R5949" t="s">
        <v>6141</v>
      </c>
      <c r="S5949" t="s">
        <v>6142</v>
      </c>
    </row>
    <row r="5950" spans="1:19" x14ac:dyDescent="0.25">
      <c r="A5950" t="s">
        <v>59</v>
      </c>
      <c r="B5950" t="s">
        <v>31</v>
      </c>
      <c r="C5950" t="s">
        <v>32</v>
      </c>
      <c r="D5950" t="s">
        <v>771</v>
      </c>
      <c r="E5950" t="s">
        <v>871</v>
      </c>
      <c r="F5950" t="s">
        <v>35</v>
      </c>
      <c r="G5950" t="s">
        <v>35</v>
      </c>
      <c r="H5950" t="s">
        <v>35</v>
      </c>
      <c r="J5950" t="s">
        <v>6394</v>
      </c>
      <c r="K5950" t="s">
        <v>1092</v>
      </c>
      <c r="M5950">
        <v>0.27</v>
      </c>
      <c r="N5950">
        <v>47</v>
      </c>
      <c r="O5950" t="s">
        <v>52</v>
      </c>
      <c r="Q5950" t="s">
        <v>132</v>
      </c>
      <c r="R5950" t="s">
        <v>6050</v>
      </c>
      <c r="S5950" t="s">
        <v>872</v>
      </c>
    </row>
    <row r="5951" spans="1:19" x14ac:dyDescent="0.25">
      <c r="A5951" t="s">
        <v>59</v>
      </c>
      <c r="B5951" t="s">
        <v>60</v>
      </c>
      <c r="C5951" t="s">
        <v>32</v>
      </c>
      <c r="D5951" t="s">
        <v>771</v>
      </c>
      <c r="E5951" t="s">
        <v>871</v>
      </c>
      <c r="F5951" t="s">
        <v>35</v>
      </c>
      <c r="G5951" t="s">
        <v>35</v>
      </c>
      <c r="H5951" t="s">
        <v>35</v>
      </c>
      <c r="J5951" t="s">
        <v>6394</v>
      </c>
      <c r="K5951" t="s">
        <v>1092</v>
      </c>
      <c r="M5951">
        <v>1.75</v>
      </c>
      <c r="N5951">
        <v>47</v>
      </c>
      <c r="O5951" t="s">
        <v>52</v>
      </c>
      <c r="Q5951" t="s">
        <v>132</v>
      </c>
      <c r="R5951" t="s">
        <v>6050</v>
      </c>
      <c r="S5951" t="s">
        <v>872</v>
      </c>
    </row>
    <row r="5952" spans="1:19" x14ac:dyDescent="0.25">
      <c r="A5952" t="s">
        <v>59</v>
      </c>
      <c r="B5952" t="s">
        <v>60</v>
      </c>
      <c r="C5952" t="s">
        <v>32</v>
      </c>
      <c r="D5952" t="s">
        <v>771</v>
      </c>
      <c r="E5952" t="s">
        <v>871</v>
      </c>
      <c r="F5952" t="s">
        <v>35</v>
      </c>
      <c r="G5952" t="s">
        <v>35</v>
      </c>
      <c r="H5952" t="s">
        <v>35</v>
      </c>
      <c r="J5952" t="s">
        <v>6395</v>
      </c>
      <c r="K5952" t="s">
        <v>1092</v>
      </c>
      <c r="M5952">
        <v>4.5</v>
      </c>
      <c r="N5952">
        <v>46</v>
      </c>
      <c r="O5952" t="s">
        <v>52</v>
      </c>
      <c r="Q5952" t="s">
        <v>493</v>
      </c>
      <c r="R5952" t="s">
        <v>5992</v>
      </c>
      <c r="S5952" t="s">
        <v>817</v>
      </c>
    </row>
    <row r="5953" spans="1:19" x14ac:dyDescent="0.25">
      <c r="A5953" t="s">
        <v>44</v>
      </c>
      <c r="B5953" t="s">
        <v>51</v>
      </c>
      <c r="C5953" t="s">
        <v>32</v>
      </c>
      <c r="D5953" t="s">
        <v>771</v>
      </c>
      <c r="E5953" t="s">
        <v>871</v>
      </c>
      <c r="F5953" t="s">
        <v>35</v>
      </c>
      <c r="G5953" t="s">
        <v>35</v>
      </c>
      <c r="H5953" t="s">
        <v>35</v>
      </c>
      <c r="J5953" t="s">
        <v>6395</v>
      </c>
      <c r="K5953" t="s">
        <v>1092</v>
      </c>
      <c r="M5953">
        <v>0.9</v>
      </c>
      <c r="N5953">
        <v>84</v>
      </c>
      <c r="O5953" t="s">
        <v>61</v>
      </c>
      <c r="Q5953" t="s">
        <v>778</v>
      </c>
      <c r="R5953" t="s">
        <v>5992</v>
      </c>
      <c r="S5953" t="s">
        <v>817</v>
      </c>
    </row>
    <row r="5954" spans="1:19" x14ac:dyDescent="0.25">
      <c r="A5954" t="s">
        <v>30</v>
      </c>
      <c r="B5954" t="s">
        <v>31</v>
      </c>
      <c r="C5954" t="s">
        <v>32</v>
      </c>
      <c r="D5954" t="s">
        <v>771</v>
      </c>
      <c r="E5954" t="s">
        <v>871</v>
      </c>
      <c r="F5954" t="s">
        <v>35</v>
      </c>
      <c r="G5954" t="s">
        <v>35</v>
      </c>
      <c r="H5954" t="s">
        <v>35</v>
      </c>
      <c r="J5954" t="s">
        <v>6395</v>
      </c>
      <c r="K5954" t="s">
        <v>1092</v>
      </c>
      <c r="M5954">
        <v>2.0249999999999999</v>
      </c>
      <c r="N5954">
        <v>108</v>
      </c>
      <c r="O5954" t="s">
        <v>106</v>
      </c>
      <c r="Q5954" t="s">
        <v>1450</v>
      </c>
      <c r="R5954" t="s">
        <v>849</v>
      </c>
      <c r="S5954" t="s">
        <v>850</v>
      </c>
    </row>
    <row r="5955" spans="1:19" x14ac:dyDescent="0.25">
      <c r="A5955" t="s">
        <v>30</v>
      </c>
      <c r="B5955" t="s">
        <v>31</v>
      </c>
      <c r="C5955" t="s">
        <v>32</v>
      </c>
      <c r="D5955" t="s">
        <v>771</v>
      </c>
      <c r="E5955" t="s">
        <v>871</v>
      </c>
      <c r="F5955" t="s">
        <v>35</v>
      </c>
      <c r="G5955" t="s">
        <v>35</v>
      </c>
      <c r="H5955" t="s">
        <v>35</v>
      </c>
      <c r="J5955" t="s">
        <v>6395</v>
      </c>
      <c r="K5955" t="s">
        <v>1092</v>
      </c>
      <c r="M5955">
        <v>7.11</v>
      </c>
      <c r="N5955">
        <v>48</v>
      </c>
      <c r="O5955" t="s">
        <v>52</v>
      </c>
      <c r="Q5955" t="s">
        <v>496</v>
      </c>
      <c r="R5955" t="s">
        <v>5992</v>
      </c>
      <c r="S5955" t="s">
        <v>817</v>
      </c>
    </row>
    <row r="5956" spans="1:19" x14ac:dyDescent="0.25">
      <c r="A5956" t="s">
        <v>59</v>
      </c>
      <c r="B5956" t="s">
        <v>31</v>
      </c>
      <c r="C5956" t="s">
        <v>32</v>
      </c>
      <c r="D5956" t="s">
        <v>771</v>
      </c>
      <c r="E5956" t="s">
        <v>871</v>
      </c>
      <c r="F5956" t="s">
        <v>35</v>
      </c>
      <c r="G5956" t="s">
        <v>35</v>
      </c>
      <c r="H5956" t="s">
        <v>35</v>
      </c>
      <c r="J5956" t="s">
        <v>6262</v>
      </c>
      <c r="K5956" t="s">
        <v>1092</v>
      </c>
      <c r="M5956">
        <v>4.68</v>
      </c>
      <c r="N5956">
        <v>230</v>
      </c>
      <c r="O5956" t="s">
        <v>5</v>
      </c>
      <c r="Q5956" t="s">
        <v>1544</v>
      </c>
      <c r="R5956" t="s">
        <v>6163</v>
      </c>
      <c r="S5956" t="s">
        <v>823</v>
      </c>
    </row>
    <row r="5957" spans="1:19" x14ac:dyDescent="0.25">
      <c r="A5957" t="s">
        <v>59</v>
      </c>
      <c r="B5957" t="s">
        <v>31</v>
      </c>
      <c r="C5957" t="s">
        <v>32</v>
      </c>
      <c r="D5957" t="s">
        <v>771</v>
      </c>
      <c r="E5957" t="s">
        <v>871</v>
      </c>
      <c r="F5957" t="s">
        <v>35</v>
      </c>
      <c r="G5957" t="s">
        <v>35</v>
      </c>
      <c r="H5957" t="s">
        <v>35</v>
      </c>
      <c r="J5957" t="s">
        <v>6396</v>
      </c>
      <c r="K5957" t="s">
        <v>1092</v>
      </c>
      <c r="M5957">
        <v>1.0349999999999999</v>
      </c>
      <c r="N5957">
        <v>45</v>
      </c>
      <c r="O5957" t="s">
        <v>52</v>
      </c>
      <c r="Q5957" t="s">
        <v>716</v>
      </c>
      <c r="R5957" t="s">
        <v>844</v>
      </c>
      <c r="S5957" t="s">
        <v>806</v>
      </c>
    </row>
    <row r="5958" spans="1:19" x14ac:dyDescent="0.25">
      <c r="A5958" t="s">
        <v>30</v>
      </c>
      <c r="B5958" t="s">
        <v>31</v>
      </c>
      <c r="C5958" t="s">
        <v>32</v>
      </c>
      <c r="D5958" t="s">
        <v>771</v>
      </c>
      <c r="E5958" t="s">
        <v>871</v>
      </c>
      <c r="F5958" t="s">
        <v>35</v>
      </c>
      <c r="G5958" t="s">
        <v>35</v>
      </c>
      <c r="H5958" t="s">
        <v>35</v>
      </c>
      <c r="J5958" t="s">
        <v>6396</v>
      </c>
      <c r="K5958" t="s">
        <v>1092</v>
      </c>
      <c r="M5958">
        <v>2.25</v>
      </c>
      <c r="N5958">
        <v>47</v>
      </c>
      <c r="O5958" t="s">
        <v>52</v>
      </c>
      <c r="Q5958" t="s">
        <v>132</v>
      </c>
      <c r="R5958" t="s">
        <v>844</v>
      </c>
      <c r="S5958" t="s">
        <v>806</v>
      </c>
    </row>
    <row r="5959" spans="1:19" x14ac:dyDescent="0.25">
      <c r="A5959" t="s">
        <v>59</v>
      </c>
      <c r="B5959" t="s">
        <v>60</v>
      </c>
      <c r="C5959" t="s">
        <v>32</v>
      </c>
      <c r="D5959" t="s">
        <v>771</v>
      </c>
      <c r="E5959" t="s">
        <v>871</v>
      </c>
      <c r="F5959" t="s">
        <v>35</v>
      </c>
      <c r="G5959" t="s">
        <v>35</v>
      </c>
      <c r="H5959" t="s">
        <v>35</v>
      </c>
      <c r="J5959" t="s">
        <v>6396</v>
      </c>
      <c r="K5959" t="s">
        <v>1092</v>
      </c>
      <c r="M5959">
        <v>2</v>
      </c>
      <c r="N5959">
        <v>45</v>
      </c>
      <c r="O5959" t="s">
        <v>52</v>
      </c>
      <c r="Q5959" t="s">
        <v>716</v>
      </c>
      <c r="R5959" t="s">
        <v>844</v>
      </c>
      <c r="S5959" t="s">
        <v>806</v>
      </c>
    </row>
    <row r="5960" spans="1:19" x14ac:dyDescent="0.25">
      <c r="A5960" t="s">
        <v>30</v>
      </c>
      <c r="B5960" t="s">
        <v>31</v>
      </c>
      <c r="C5960" t="s">
        <v>32</v>
      </c>
      <c r="D5960" t="s">
        <v>771</v>
      </c>
      <c r="E5960" t="s">
        <v>871</v>
      </c>
      <c r="F5960" t="s">
        <v>35</v>
      </c>
      <c r="G5960" t="s">
        <v>35</v>
      </c>
      <c r="H5960" t="s">
        <v>35</v>
      </c>
      <c r="J5960" t="s">
        <v>6397</v>
      </c>
      <c r="K5960" t="s">
        <v>1092</v>
      </c>
      <c r="M5960">
        <v>0.36</v>
      </c>
      <c r="N5960">
        <v>44</v>
      </c>
      <c r="O5960" t="s">
        <v>52</v>
      </c>
      <c r="Q5960" t="s">
        <v>192</v>
      </c>
      <c r="R5960" t="s">
        <v>6106</v>
      </c>
      <c r="S5960" t="s">
        <v>6107</v>
      </c>
    </row>
    <row r="5961" spans="1:19" x14ac:dyDescent="0.25">
      <c r="A5961" t="s">
        <v>30</v>
      </c>
      <c r="B5961" t="s">
        <v>31</v>
      </c>
      <c r="C5961" t="s">
        <v>32</v>
      </c>
      <c r="D5961" t="s">
        <v>771</v>
      </c>
      <c r="E5961" t="s">
        <v>871</v>
      </c>
      <c r="F5961" t="s">
        <v>35</v>
      </c>
      <c r="G5961" t="s">
        <v>35</v>
      </c>
      <c r="H5961" t="s">
        <v>35</v>
      </c>
      <c r="J5961" t="s">
        <v>6398</v>
      </c>
      <c r="K5961" t="s">
        <v>1092</v>
      </c>
      <c r="M5961">
        <v>6.9749999999999996</v>
      </c>
      <c r="N5961">
        <v>18</v>
      </c>
      <c r="O5961" t="s">
        <v>46</v>
      </c>
      <c r="Q5961" t="s">
        <v>1476</v>
      </c>
      <c r="R5961" t="s">
        <v>6090</v>
      </c>
      <c r="S5961" t="s">
        <v>6091</v>
      </c>
    </row>
    <row r="5962" spans="1:19" x14ac:dyDescent="0.25">
      <c r="A5962" t="s">
        <v>30</v>
      </c>
      <c r="B5962" t="s">
        <v>31</v>
      </c>
      <c r="C5962" t="s">
        <v>32</v>
      </c>
      <c r="D5962" t="s">
        <v>771</v>
      </c>
      <c r="E5962" t="s">
        <v>871</v>
      </c>
      <c r="F5962" t="s">
        <v>35</v>
      </c>
      <c r="G5962" t="s">
        <v>35</v>
      </c>
      <c r="H5962" t="s">
        <v>35</v>
      </c>
      <c r="J5962" t="s">
        <v>6398</v>
      </c>
      <c r="K5962" t="s">
        <v>1092</v>
      </c>
      <c r="M5962">
        <v>3.2850000000000001</v>
      </c>
      <c r="N5962">
        <v>269</v>
      </c>
      <c r="O5962" t="s">
        <v>5</v>
      </c>
      <c r="Q5962" t="s">
        <v>6399</v>
      </c>
      <c r="R5962" t="s">
        <v>6090</v>
      </c>
      <c r="S5962" t="s">
        <v>6091</v>
      </c>
    </row>
    <row r="5963" spans="1:19" x14ac:dyDescent="0.25">
      <c r="A5963" t="s">
        <v>59</v>
      </c>
      <c r="B5963" t="s">
        <v>31</v>
      </c>
      <c r="C5963" t="s">
        <v>32</v>
      </c>
      <c r="D5963" t="s">
        <v>771</v>
      </c>
      <c r="E5963" t="s">
        <v>871</v>
      </c>
      <c r="F5963" t="s">
        <v>35</v>
      </c>
      <c r="G5963" t="s">
        <v>35</v>
      </c>
      <c r="H5963" t="s">
        <v>35</v>
      </c>
      <c r="J5963" t="s">
        <v>6401</v>
      </c>
      <c r="K5963" t="s">
        <v>1092</v>
      </c>
      <c r="M5963">
        <v>2.6549999999999998</v>
      </c>
      <c r="N5963">
        <v>153</v>
      </c>
      <c r="O5963" t="s">
        <v>38</v>
      </c>
      <c r="Q5963" t="s">
        <v>569</v>
      </c>
      <c r="R5963" t="s">
        <v>6356</v>
      </c>
      <c r="S5963" t="s">
        <v>943</v>
      </c>
    </row>
    <row r="5964" spans="1:19" x14ac:dyDescent="0.25">
      <c r="A5964" t="s">
        <v>30</v>
      </c>
      <c r="B5964" t="s">
        <v>31</v>
      </c>
      <c r="C5964" t="s">
        <v>32</v>
      </c>
      <c r="D5964" t="s">
        <v>771</v>
      </c>
      <c r="E5964" t="s">
        <v>871</v>
      </c>
      <c r="F5964" t="s">
        <v>35</v>
      </c>
      <c r="G5964" t="s">
        <v>35</v>
      </c>
      <c r="H5964" t="s">
        <v>35</v>
      </c>
      <c r="J5964" t="s">
        <v>6402</v>
      </c>
      <c r="K5964" t="s">
        <v>1092</v>
      </c>
      <c r="M5964">
        <v>5.3550000000000004</v>
      </c>
      <c r="N5964">
        <v>28</v>
      </c>
      <c r="O5964" t="s">
        <v>46</v>
      </c>
      <c r="Q5964" t="s">
        <v>176</v>
      </c>
      <c r="R5964" t="s">
        <v>6090</v>
      </c>
      <c r="S5964" t="s">
        <v>6091</v>
      </c>
    </row>
    <row r="5965" spans="1:19" x14ac:dyDescent="0.25">
      <c r="A5965" t="s">
        <v>44</v>
      </c>
      <c r="B5965" t="s">
        <v>51</v>
      </c>
      <c r="C5965" t="s">
        <v>32</v>
      </c>
      <c r="D5965" t="s">
        <v>771</v>
      </c>
      <c r="E5965" t="s">
        <v>871</v>
      </c>
      <c r="F5965" t="s">
        <v>35</v>
      </c>
      <c r="G5965" t="s">
        <v>35</v>
      </c>
      <c r="H5965" t="s">
        <v>35</v>
      </c>
      <c r="J5965" t="s">
        <v>6402</v>
      </c>
      <c r="K5965" t="s">
        <v>1092</v>
      </c>
      <c r="M5965">
        <v>2.25</v>
      </c>
      <c r="N5965">
        <v>30</v>
      </c>
      <c r="O5965" t="s">
        <v>46</v>
      </c>
      <c r="Q5965" t="s">
        <v>793</v>
      </c>
      <c r="R5965" t="s">
        <v>6090</v>
      </c>
      <c r="S5965" t="s">
        <v>6091</v>
      </c>
    </row>
    <row r="5966" spans="1:19" x14ac:dyDescent="0.25">
      <c r="A5966" t="s">
        <v>30</v>
      </c>
      <c r="B5966" t="s">
        <v>31</v>
      </c>
      <c r="C5966" t="s">
        <v>32</v>
      </c>
      <c r="D5966" t="s">
        <v>771</v>
      </c>
      <c r="E5966" t="s">
        <v>871</v>
      </c>
      <c r="F5966" t="s">
        <v>35</v>
      </c>
      <c r="G5966" t="s">
        <v>35</v>
      </c>
      <c r="H5966" t="s">
        <v>35</v>
      </c>
      <c r="J5966" t="s">
        <v>6403</v>
      </c>
      <c r="K5966" t="s">
        <v>1092</v>
      </c>
      <c r="M5966">
        <v>5.4450000000000003</v>
      </c>
      <c r="N5966">
        <v>48</v>
      </c>
      <c r="O5966" t="s">
        <v>52</v>
      </c>
      <c r="Q5966" t="s">
        <v>496</v>
      </c>
      <c r="R5966" t="s">
        <v>919</v>
      </c>
      <c r="S5966" t="s">
        <v>784</v>
      </c>
    </row>
    <row r="5967" spans="1:19" x14ac:dyDescent="0.25">
      <c r="A5967" t="s">
        <v>44</v>
      </c>
      <c r="B5967" t="s">
        <v>51</v>
      </c>
      <c r="C5967" t="s">
        <v>32</v>
      </c>
      <c r="D5967" t="s">
        <v>771</v>
      </c>
      <c r="E5967" t="s">
        <v>871</v>
      </c>
      <c r="F5967" t="s">
        <v>35</v>
      </c>
      <c r="G5967" t="s">
        <v>35</v>
      </c>
      <c r="H5967" t="s">
        <v>35</v>
      </c>
      <c r="J5967" t="s">
        <v>6403</v>
      </c>
      <c r="K5967" t="s">
        <v>1092</v>
      </c>
      <c r="M5967">
        <v>2.5</v>
      </c>
      <c r="N5967">
        <v>27</v>
      </c>
      <c r="O5967" t="s">
        <v>46</v>
      </c>
      <c r="Q5967" t="s">
        <v>1011</v>
      </c>
      <c r="R5967" t="s">
        <v>436</v>
      </c>
      <c r="S5967" t="s">
        <v>437</v>
      </c>
    </row>
    <row r="5968" spans="1:19" x14ac:dyDescent="0.25">
      <c r="A5968" t="s">
        <v>59</v>
      </c>
      <c r="B5968" t="s">
        <v>60</v>
      </c>
      <c r="C5968" t="s">
        <v>32</v>
      </c>
      <c r="D5968" t="s">
        <v>771</v>
      </c>
      <c r="E5968" t="s">
        <v>871</v>
      </c>
      <c r="F5968" t="s">
        <v>35</v>
      </c>
      <c r="G5968" t="s">
        <v>35</v>
      </c>
      <c r="H5968" t="s">
        <v>35</v>
      </c>
      <c r="J5968" t="s">
        <v>947</v>
      </c>
      <c r="K5968" t="s">
        <v>1092</v>
      </c>
      <c r="M5968">
        <v>0.7</v>
      </c>
      <c r="N5968">
        <v>11</v>
      </c>
      <c r="O5968" t="s">
        <v>46</v>
      </c>
      <c r="Q5968" t="s">
        <v>1053</v>
      </c>
      <c r="R5968" t="s">
        <v>6100</v>
      </c>
      <c r="S5968" t="s">
        <v>947</v>
      </c>
    </row>
    <row r="5969" spans="1:19" x14ac:dyDescent="0.25">
      <c r="A5969" t="s">
        <v>59</v>
      </c>
      <c r="B5969" t="s">
        <v>31</v>
      </c>
      <c r="C5969" t="s">
        <v>32</v>
      </c>
      <c r="D5969" t="s">
        <v>771</v>
      </c>
      <c r="E5969" t="s">
        <v>871</v>
      </c>
      <c r="F5969" t="s">
        <v>35</v>
      </c>
      <c r="G5969" t="s">
        <v>35</v>
      </c>
      <c r="H5969" t="s">
        <v>35</v>
      </c>
      <c r="J5969" t="s">
        <v>947</v>
      </c>
      <c r="K5969" t="s">
        <v>1092</v>
      </c>
      <c r="M5969">
        <v>6.92</v>
      </c>
      <c r="N5969">
        <v>23</v>
      </c>
      <c r="O5969" t="s">
        <v>46</v>
      </c>
      <c r="Q5969" t="s">
        <v>1819</v>
      </c>
      <c r="R5969" t="s">
        <v>6100</v>
      </c>
      <c r="S5969" t="s">
        <v>947</v>
      </c>
    </row>
    <row r="5970" spans="1:19" x14ac:dyDescent="0.25">
      <c r="A5970" t="s">
        <v>59</v>
      </c>
      <c r="B5970" t="s">
        <v>31</v>
      </c>
      <c r="C5970" t="s">
        <v>32</v>
      </c>
      <c r="D5970" t="s">
        <v>771</v>
      </c>
      <c r="E5970" t="s">
        <v>871</v>
      </c>
      <c r="F5970" t="s">
        <v>35</v>
      </c>
      <c r="G5970" t="s">
        <v>35</v>
      </c>
      <c r="H5970" t="s">
        <v>35</v>
      </c>
      <c r="J5970" t="s">
        <v>6405</v>
      </c>
      <c r="K5970" t="s">
        <v>1092</v>
      </c>
      <c r="M5970">
        <v>3.15</v>
      </c>
      <c r="N5970">
        <v>87</v>
      </c>
      <c r="O5970" t="s">
        <v>61</v>
      </c>
      <c r="Q5970" t="s">
        <v>1639</v>
      </c>
      <c r="R5970" t="s">
        <v>6106</v>
      </c>
      <c r="S5970" t="s">
        <v>6107</v>
      </c>
    </row>
    <row r="5971" spans="1:19" x14ac:dyDescent="0.25">
      <c r="A5971" t="s">
        <v>30</v>
      </c>
      <c r="B5971" t="s">
        <v>31</v>
      </c>
      <c r="C5971" t="s">
        <v>32</v>
      </c>
      <c r="D5971" t="s">
        <v>771</v>
      </c>
      <c r="E5971" t="s">
        <v>871</v>
      </c>
      <c r="F5971" t="s">
        <v>35</v>
      </c>
      <c r="G5971" t="s">
        <v>35</v>
      </c>
      <c r="H5971" t="s">
        <v>35</v>
      </c>
      <c r="J5971" t="s">
        <v>6405</v>
      </c>
      <c r="K5971" t="s">
        <v>1092</v>
      </c>
      <c r="M5971">
        <v>7.74</v>
      </c>
      <c r="N5971">
        <v>116</v>
      </c>
      <c r="O5971" t="s">
        <v>106</v>
      </c>
      <c r="Q5971" t="s">
        <v>1256</v>
      </c>
      <c r="R5971" t="s">
        <v>436</v>
      </c>
      <c r="S5971" t="s">
        <v>437</v>
      </c>
    </row>
    <row r="5972" spans="1:19" x14ac:dyDescent="0.25">
      <c r="A5972" t="s">
        <v>30</v>
      </c>
      <c r="B5972" t="s">
        <v>31</v>
      </c>
      <c r="C5972" t="s">
        <v>32</v>
      </c>
      <c r="D5972" t="s">
        <v>771</v>
      </c>
      <c r="E5972" t="s">
        <v>871</v>
      </c>
      <c r="F5972" t="s">
        <v>35</v>
      </c>
      <c r="G5972" t="s">
        <v>35</v>
      </c>
      <c r="H5972" t="s">
        <v>35</v>
      </c>
      <c r="J5972" t="s">
        <v>6406</v>
      </c>
      <c r="K5972" t="s">
        <v>1092</v>
      </c>
      <c r="M5972">
        <v>2.3149999999999999</v>
      </c>
      <c r="N5972">
        <v>115</v>
      </c>
      <c r="O5972" t="s">
        <v>106</v>
      </c>
      <c r="Q5972" t="s">
        <v>1195</v>
      </c>
      <c r="R5972" t="s">
        <v>6144</v>
      </c>
      <c r="S5972" t="s">
        <v>6145</v>
      </c>
    </row>
    <row r="5973" spans="1:19" x14ac:dyDescent="0.25">
      <c r="A5973" t="s">
        <v>30</v>
      </c>
      <c r="B5973" t="s">
        <v>31</v>
      </c>
      <c r="C5973" t="s">
        <v>32</v>
      </c>
      <c r="D5973" t="s">
        <v>771</v>
      </c>
      <c r="E5973" t="s">
        <v>871</v>
      </c>
      <c r="F5973" t="s">
        <v>35</v>
      </c>
      <c r="G5973" t="s">
        <v>35</v>
      </c>
      <c r="H5973" t="s">
        <v>35</v>
      </c>
      <c r="J5973" t="s">
        <v>6406</v>
      </c>
      <c r="K5973" t="s">
        <v>1092</v>
      </c>
      <c r="M5973">
        <v>3.6</v>
      </c>
      <c r="N5973">
        <v>34</v>
      </c>
      <c r="O5973" t="s">
        <v>52</v>
      </c>
      <c r="Q5973" t="s">
        <v>809</v>
      </c>
      <c r="R5973" t="s">
        <v>6144</v>
      </c>
      <c r="S5973" t="s">
        <v>6145</v>
      </c>
    </row>
    <row r="5974" spans="1:19" x14ac:dyDescent="0.25">
      <c r="A5974" t="s">
        <v>44</v>
      </c>
      <c r="B5974" t="s">
        <v>51</v>
      </c>
      <c r="C5974" t="s">
        <v>32</v>
      </c>
      <c r="D5974" t="s">
        <v>771</v>
      </c>
      <c r="E5974" t="s">
        <v>871</v>
      </c>
      <c r="F5974" t="s">
        <v>35</v>
      </c>
      <c r="G5974" t="s">
        <v>35</v>
      </c>
      <c r="H5974" t="s">
        <v>35</v>
      </c>
      <c r="J5974" t="s">
        <v>6406</v>
      </c>
      <c r="K5974" t="s">
        <v>1092</v>
      </c>
      <c r="M5974">
        <v>0.85</v>
      </c>
      <c r="N5974">
        <v>61</v>
      </c>
      <c r="O5974" t="s">
        <v>61</v>
      </c>
      <c r="Q5974" t="s">
        <v>671</v>
      </c>
      <c r="R5974" t="s">
        <v>6144</v>
      </c>
      <c r="S5974" t="s">
        <v>6145</v>
      </c>
    </row>
    <row r="5975" spans="1:19" x14ac:dyDescent="0.25">
      <c r="A5975" t="s">
        <v>44</v>
      </c>
      <c r="B5975" t="s">
        <v>51</v>
      </c>
      <c r="C5975" t="s">
        <v>32</v>
      </c>
      <c r="D5975" t="s">
        <v>771</v>
      </c>
      <c r="E5975" t="s">
        <v>871</v>
      </c>
      <c r="F5975" t="s">
        <v>35</v>
      </c>
      <c r="G5975" t="s">
        <v>35</v>
      </c>
      <c r="H5975" t="s">
        <v>35</v>
      </c>
      <c r="J5975" t="s">
        <v>6407</v>
      </c>
      <c r="K5975" t="s">
        <v>1092</v>
      </c>
      <c r="M5975">
        <v>0.5</v>
      </c>
      <c r="N5975">
        <v>215</v>
      </c>
      <c r="O5975" t="s">
        <v>5</v>
      </c>
      <c r="Q5975" t="s">
        <v>3122</v>
      </c>
      <c r="R5975" t="s">
        <v>844</v>
      </c>
      <c r="S5975" t="s">
        <v>806</v>
      </c>
    </row>
    <row r="5976" spans="1:19" x14ac:dyDescent="0.25">
      <c r="A5976" t="s">
        <v>44</v>
      </c>
      <c r="B5976" t="s">
        <v>51</v>
      </c>
      <c r="C5976" t="s">
        <v>32</v>
      </c>
      <c r="D5976" t="s">
        <v>771</v>
      </c>
      <c r="E5976" t="s">
        <v>871</v>
      </c>
      <c r="F5976" t="s">
        <v>35</v>
      </c>
      <c r="G5976" t="s">
        <v>35</v>
      </c>
      <c r="H5976" t="s">
        <v>35</v>
      </c>
      <c r="J5976" t="s">
        <v>6407</v>
      </c>
      <c r="K5976" t="s">
        <v>1092</v>
      </c>
      <c r="M5976">
        <v>0.5</v>
      </c>
      <c r="N5976">
        <v>233</v>
      </c>
      <c r="O5976" t="s">
        <v>5</v>
      </c>
      <c r="Q5976" t="s">
        <v>2002</v>
      </c>
      <c r="R5976" t="s">
        <v>844</v>
      </c>
      <c r="S5976" t="s">
        <v>806</v>
      </c>
    </row>
    <row r="5977" spans="1:19" x14ac:dyDescent="0.25">
      <c r="A5977" t="s">
        <v>30</v>
      </c>
      <c r="B5977" t="s">
        <v>31</v>
      </c>
      <c r="C5977" t="s">
        <v>32</v>
      </c>
      <c r="D5977" t="s">
        <v>771</v>
      </c>
      <c r="E5977" t="s">
        <v>871</v>
      </c>
      <c r="F5977" t="s">
        <v>35</v>
      </c>
      <c r="G5977" t="s">
        <v>35</v>
      </c>
      <c r="H5977" t="s">
        <v>35</v>
      </c>
      <c r="J5977" t="s">
        <v>6407</v>
      </c>
      <c r="K5977" t="s">
        <v>1092</v>
      </c>
      <c r="M5977">
        <v>1.98</v>
      </c>
      <c r="N5977">
        <v>20</v>
      </c>
      <c r="O5977" t="s">
        <v>46</v>
      </c>
      <c r="Q5977" t="s">
        <v>1004</v>
      </c>
      <c r="R5977" t="s">
        <v>844</v>
      </c>
      <c r="S5977" t="s">
        <v>806</v>
      </c>
    </row>
    <row r="5978" spans="1:19" x14ac:dyDescent="0.25">
      <c r="A5978" t="s">
        <v>30</v>
      </c>
      <c r="B5978" t="s">
        <v>31</v>
      </c>
      <c r="C5978" t="s">
        <v>32</v>
      </c>
      <c r="D5978" t="s">
        <v>771</v>
      </c>
      <c r="E5978" t="s">
        <v>871</v>
      </c>
      <c r="F5978" t="s">
        <v>35</v>
      </c>
      <c r="G5978" t="s">
        <v>35</v>
      </c>
      <c r="H5978" t="s">
        <v>35</v>
      </c>
      <c r="J5978" t="s">
        <v>6407</v>
      </c>
      <c r="K5978" t="s">
        <v>1092</v>
      </c>
      <c r="M5978">
        <v>2.5649999999999999</v>
      </c>
      <c r="N5978">
        <v>47</v>
      </c>
      <c r="O5978" t="s">
        <v>52</v>
      </c>
      <c r="Q5978" t="s">
        <v>132</v>
      </c>
      <c r="R5978" t="s">
        <v>844</v>
      </c>
      <c r="S5978" t="s">
        <v>806</v>
      </c>
    </row>
    <row r="5979" spans="1:19" x14ac:dyDescent="0.25">
      <c r="A5979" t="s">
        <v>59</v>
      </c>
      <c r="B5979" t="s">
        <v>31</v>
      </c>
      <c r="C5979" t="s">
        <v>32</v>
      </c>
      <c r="D5979" t="s">
        <v>771</v>
      </c>
      <c r="E5979" t="s">
        <v>871</v>
      </c>
      <c r="F5979" t="s">
        <v>35</v>
      </c>
      <c r="G5979" t="s">
        <v>35</v>
      </c>
      <c r="H5979" t="s">
        <v>35</v>
      </c>
      <c r="J5979" t="s">
        <v>6408</v>
      </c>
      <c r="K5979" t="s">
        <v>1092</v>
      </c>
      <c r="M5979">
        <v>0.45</v>
      </c>
      <c r="N5979">
        <v>47</v>
      </c>
      <c r="O5979" t="s">
        <v>52</v>
      </c>
      <c r="Q5979" t="s">
        <v>132</v>
      </c>
      <c r="R5979" t="s">
        <v>6050</v>
      </c>
      <c r="S5979" t="s">
        <v>872</v>
      </c>
    </row>
    <row r="5980" spans="1:19" x14ac:dyDescent="0.25">
      <c r="A5980" t="s">
        <v>59</v>
      </c>
      <c r="B5980" t="s">
        <v>60</v>
      </c>
      <c r="C5980" t="s">
        <v>32</v>
      </c>
      <c r="D5980" t="s">
        <v>771</v>
      </c>
      <c r="E5980" t="s">
        <v>871</v>
      </c>
      <c r="F5980" t="s">
        <v>35</v>
      </c>
      <c r="G5980" t="s">
        <v>35</v>
      </c>
      <c r="H5980" t="s">
        <v>35</v>
      </c>
      <c r="J5980" t="s">
        <v>6408</v>
      </c>
      <c r="K5980" t="s">
        <v>1092</v>
      </c>
      <c r="M5980">
        <v>1.45</v>
      </c>
      <c r="N5980">
        <v>157</v>
      </c>
      <c r="O5980" t="s">
        <v>38</v>
      </c>
      <c r="Q5980" t="s">
        <v>1145</v>
      </c>
      <c r="R5980" t="s">
        <v>6050</v>
      </c>
      <c r="S5980" t="s">
        <v>872</v>
      </c>
    </row>
    <row r="5981" spans="1:19" x14ac:dyDescent="0.25">
      <c r="A5981" t="s">
        <v>59</v>
      </c>
      <c r="B5981" t="s">
        <v>60</v>
      </c>
      <c r="C5981" t="s">
        <v>32</v>
      </c>
      <c r="D5981" t="s">
        <v>771</v>
      </c>
      <c r="E5981" t="s">
        <v>871</v>
      </c>
      <c r="F5981" t="s">
        <v>35</v>
      </c>
      <c r="G5981" t="s">
        <v>35</v>
      </c>
      <c r="H5981" t="s">
        <v>35</v>
      </c>
      <c r="J5981" t="s">
        <v>6408</v>
      </c>
      <c r="K5981" t="s">
        <v>1092</v>
      </c>
      <c r="M5981">
        <v>1.5</v>
      </c>
      <c r="N5981">
        <v>47</v>
      </c>
      <c r="O5981" t="s">
        <v>52</v>
      </c>
      <c r="Q5981" t="s">
        <v>132</v>
      </c>
      <c r="R5981" t="s">
        <v>6050</v>
      </c>
      <c r="S5981" t="s">
        <v>872</v>
      </c>
    </row>
    <row r="5982" spans="1:19" x14ac:dyDescent="0.25">
      <c r="A5982" t="s">
        <v>30</v>
      </c>
      <c r="B5982" t="s">
        <v>31</v>
      </c>
      <c r="C5982" t="s">
        <v>32</v>
      </c>
      <c r="D5982" t="s">
        <v>771</v>
      </c>
      <c r="E5982" t="s">
        <v>871</v>
      </c>
      <c r="F5982" t="s">
        <v>35</v>
      </c>
      <c r="G5982" t="s">
        <v>35</v>
      </c>
      <c r="H5982" t="s">
        <v>35</v>
      </c>
      <c r="J5982" t="s">
        <v>6409</v>
      </c>
      <c r="K5982" t="s">
        <v>1092</v>
      </c>
      <c r="M5982">
        <v>3.0150000000000001</v>
      </c>
      <c r="N5982">
        <v>111</v>
      </c>
      <c r="O5982" t="s">
        <v>106</v>
      </c>
      <c r="Q5982" t="s">
        <v>4219</v>
      </c>
      <c r="R5982" t="s">
        <v>844</v>
      </c>
      <c r="S5982" t="s">
        <v>806</v>
      </c>
    </row>
    <row r="5983" spans="1:19" x14ac:dyDescent="0.25">
      <c r="A5983" t="s">
        <v>44</v>
      </c>
      <c r="B5983" t="s">
        <v>3</v>
      </c>
      <c r="C5983" t="s">
        <v>32</v>
      </c>
      <c r="D5983" t="s">
        <v>771</v>
      </c>
      <c r="E5983" t="s">
        <v>871</v>
      </c>
      <c r="F5983" t="s">
        <v>35</v>
      </c>
      <c r="G5983" t="s">
        <v>35</v>
      </c>
      <c r="H5983" t="s">
        <v>35</v>
      </c>
      <c r="J5983" t="s">
        <v>6410</v>
      </c>
      <c r="K5983" t="s">
        <v>1092</v>
      </c>
      <c r="M5983">
        <v>1</v>
      </c>
      <c r="N5983">
        <v>292</v>
      </c>
      <c r="O5983" t="s">
        <v>5</v>
      </c>
      <c r="Q5983" t="s">
        <v>1234</v>
      </c>
      <c r="R5983" t="s">
        <v>844</v>
      </c>
      <c r="S5983" t="s">
        <v>806</v>
      </c>
    </row>
    <row r="5984" spans="1:19" x14ac:dyDescent="0.25">
      <c r="A5984" t="s">
        <v>30</v>
      </c>
      <c r="B5984" t="s">
        <v>31</v>
      </c>
      <c r="C5984" t="s">
        <v>32</v>
      </c>
      <c r="D5984" t="s">
        <v>771</v>
      </c>
      <c r="E5984" t="s">
        <v>871</v>
      </c>
      <c r="F5984" t="s">
        <v>35</v>
      </c>
      <c r="G5984" t="s">
        <v>35</v>
      </c>
      <c r="H5984" t="s">
        <v>35</v>
      </c>
      <c r="J5984" t="s">
        <v>6412</v>
      </c>
      <c r="K5984" t="s">
        <v>1092</v>
      </c>
      <c r="M5984">
        <v>4.1500000000000004</v>
      </c>
      <c r="N5984">
        <v>49</v>
      </c>
      <c r="O5984" t="s">
        <v>52</v>
      </c>
      <c r="Q5984" t="s">
        <v>219</v>
      </c>
      <c r="R5984" t="s">
        <v>6100</v>
      </c>
      <c r="S5984" t="s">
        <v>947</v>
      </c>
    </row>
    <row r="5985" spans="1:19" x14ac:dyDescent="0.25">
      <c r="A5985" t="s">
        <v>59</v>
      </c>
      <c r="B5985" t="s">
        <v>60</v>
      </c>
      <c r="C5985" t="s">
        <v>32</v>
      </c>
      <c r="D5985" t="s">
        <v>771</v>
      </c>
      <c r="E5985" t="s">
        <v>871</v>
      </c>
      <c r="F5985" t="s">
        <v>35</v>
      </c>
      <c r="G5985" t="s">
        <v>35</v>
      </c>
      <c r="H5985" t="s">
        <v>35</v>
      </c>
      <c r="J5985" t="s">
        <v>6413</v>
      </c>
      <c r="K5985" t="s">
        <v>1092</v>
      </c>
      <c r="M5985">
        <v>3.15</v>
      </c>
      <c r="N5985">
        <v>91</v>
      </c>
      <c r="O5985" t="s">
        <v>106</v>
      </c>
      <c r="Q5985" t="s">
        <v>1147</v>
      </c>
      <c r="R5985" t="s">
        <v>919</v>
      </c>
      <c r="S5985" t="s">
        <v>784</v>
      </c>
    </row>
    <row r="5986" spans="1:19" x14ac:dyDescent="0.25">
      <c r="A5986" t="s">
        <v>30</v>
      </c>
      <c r="B5986" t="s">
        <v>31</v>
      </c>
      <c r="C5986" t="s">
        <v>32</v>
      </c>
      <c r="D5986" t="s">
        <v>771</v>
      </c>
      <c r="E5986" t="s">
        <v>871</v>
      </c>
      <c r="F5986" t="s">
        <v>35</v>
      </c>
      <c r="G5986" t="s">
        <v>35</v>
      </c>
      <c r="H5986" t="s">
        <v>35</v>
      </c>
      <c r="J5986" t="s">
        <v>6414</v>
      </c>
      <c r="K5986" t="s">
        <v>1092</v>
      </c>
      <c r="M5986">
        <v>0.27</v>
      </c>
      <c r="N5986">
        <v>232</v>
      </c>
      <c r="O5986" t="s">
        <v>5</v>
      </c>
      <c r="Q5986" t="s">
        <v>6223</v>
      </c>
      <c r="R5986" t="s">
        <v>6318</v>
      </c>
      <c r="S5986" t="s">
        <v>800</v>
      </c>
    </row>
    <row r="5987" spans="1:19" x14ac:dyDescent="0.25">
      <c r="A5987" t="s">
        <v>59</v>
      </c>
      <c r="B5987" t="s">
        <v>60</v>
      </c>
      <c r="C5987" t="s">
        <v>32</v>
      </c>
      <c r="D5987" t="s">
        <v>771</v>
      </c>
      <c r="E5987" t="s">
        <v>871</v>
      </c>
      <c r="F5987" t="s">
        <v>35</v>
      </c>
      <c r="G5987" t="s">
        <v>35</v>
      </c>
      <c r="H5987" t="s">
        <v>35</v>
      </c>
      <c r="J5987" t="s">
        <v>6415</v>
      </c>
      <c r="K5987" t="s">
        <v>1092</v>
      </c>
      <c r="M5987">
        <v>1.3049999999999999</v>
      </c>
      <c r="N5987">
        <v>356</v>
      </c>
      <c r="O5987" t="s">
        <v>5</v>
      </c>
      <c r="Q5987" t="s">
        <v>4728</v>
      </c>
      <c r="R5987" t="s">
        <v>6119</v>
      </c>
      <c r="S5987" t="s">
        <v>6120</v>
      </c>
    </row>
    <row r="5988" spans="1:19" x14ac:dyDescent="0.25">
      <c r="A5988" t="s">
        <v>59</v>
      </c>
      <c r="B5988" t="s">
        <v>31</v>
      </c>
      <c r="C5988" t="s">
        <v>32</v>
      </c>
      <c r="D5988" t="s">
        <v>771</v>
      </c>
      <c r="E5988" t="s">
        <v>871</v>
      </c>
      <c r="F5988" t="s">
        <v>35</v>
      </c>
      <c r="G5988" t="s">
        <v>35</v>
      </c>
      <c r="H5988" t="s">
        <v>35</v>
      </c>
      <c r="J5988" t="s">
        <v>6416</v>
      </c>
      <c r="K5988" t="s">
        <v>1092</v>
      </c>
      <c r="M5988">
        <v>3.87</v>
      </c>
      <c r="N5988">
        <v>154</v>
      </c>
      <c r="O5988" t="s">
        <v>38</v>
      </c>
      <c r="Q5988" t="s">
        <v>3398</v>
      </c>
      <c r="R5988" t="s">
        <v>849</v>
      </c>
      <c r="S5988" t="s">
        <v>850</v>
      </c>
    </row>
    <row r="5989" spans="1:19" x14ac:dyDescent="0.25">
      <c r="A5989" t="s">
        <v>30</v>
      </c>
      <c r="B5989" t="s">
        <v>31</v>
      </c>
      <c r="C5989" t="s">
        <v>32</v>
      </c>
      <c r="D5989" t="s">
        <v>771</v>
      </c>
      <c r="E5989" t="s">
        <v>871</v>
      </c>
      <c r="F5989" t="s">
        <v>35</v>
      </c>
      <c r="G5989" t="s">
        <v>35</v>
      </c>
      <c r="H5989" t="s">
        <v>35</v>
      </c>
      <c r="J5989" t="s">
        <v>6417</v>
      </c>
      <c r="K5989" t="s">
        <v>1092</v>
      </c>
      <c r="M5989">
        <v>0.54</v>
      </c>
      <c r="N5989">
        <v>229</v>
      </c>
      <c r="O5989" t="s">
        <v>5</v>
      </c>
      <c r="Q5989" t="s">
        <v>1562</v>
      </c>
      <c r="R5989" t="s">
        <v>6356</v>
      </c>
      <c r="S5989" t="s">
        <v>943</v>
      </c>
    </row>
    <row r="5990" spans="1:19" x14ac:dyDescent="0.25">
      <c r="A5990" t="s">
        <v>30</v>
      </c>
      <c r="B5990" t="s">
        <v>31</v>
      </c>
      <c r="C5990" t="s">
        <v>32</v>
      </c>
      <c r="D5990" t="s">
        <v>771</v>
      </c>
      <c r="E5990" t="s">
        <v>871</v>
      </c>
      <c r="F5990" t="s">
        <v>35</v>
      </c>
      <c r="G5990" t="s">
        <v>35</v>
      </c>
      <c r="H5990" t="s">
        <v>35</v>
      </c>
      <c r="J5990" t="s">
        <v>6418</v>
      </c>
      <c r="K5990" t="s">
        <v>1092</v>
      </c>
      <c r="M5990">
        <v>0.09</v>
      </c>
      <c r="N5990">
        <v>42</v>
      </c>
      <c r="O5990" t="s">
        <v>52</v>
      </c>
      <c r="Q5990" t="s">
        <v>991</v>
      </c>
      <c r="R5990" t="s">
        <v>6356</v>
      </c>
      <c r="S5990" t="s">
        <v>943</v>
      </c>
    </row>
    <row r="5991" spans="1:19" x14ac:dyDescent="0.25">
      <c r="A5991" t="s">
        <v>59</v>
      </c>
      <c r="B5991" t="s">
        <v>60</v>
      </c>
      <c r="C5991" t="s">
        <v>32</v>
      </c>
      <c r="D5991" t="s">
        <v>771</v>
      </c>
      <c r="E5991" t="s">
        <v>871</v>
      </c>
      <c r="F5991" t="s">
        <v>35</v>
      </c>
      <c r="G5991" t="s">
        <v>35</v>
      </c>
      <c r="H5991" t="s">
        <v>35</v>
      </c>
      <c r="J5991" t="s">
        <v>6419</v>
      </c>
      <c r="K5991" t="s">
        <v>1092</v>
      </c>
      <c r="M5991">
        <v>1</v>
      </c>
      <c r="N5991">
        <v>153</v>
      </c>
      <c r="O5991" t="s">
        <v>38</v>
      </c>
      <c r="Q5991" t="s">
        <v>569</v>
      </c>
      <c r="R5991" t="s">
        <v>6356</v>
      </c>
      <c r="S5991" t="s">
        <v>943</v>
      </c>
    </row>
    <row r="5992" spans="1:19" x14ac:dyDescent="0.25">
      <c r="A5992" t="s">
        <v>59</v>
      </c>
      <c r="B5992" t="s">
        <v>60</v>
      </c>
      <c r="C5992" t="s">
        <v>32</v>
      </c>
      <c r="D5992" t="s">
        <v>771</v>
      </c>
      <c r="E5992" t="s">
        <v>871</v>
      </c>
      <c r="F5992" t="s">
        <v>35</v>
      </c>
      <c r="G5992" t="s">
        <v>35</v>
      </c>
      <c r="H5992" t="s">
        <v>35</v>
      </c>
      <c r="J5992" t="s">
        <v>6420</v>
      </c>
      <c r="K5992" t="s">
        <v>1092</v>
      </c>
      <c r="M5992">
        <v>3</v>
      </c>
      <c r="N5992">
        <v>30</v>
      </c>
      <c r="O5992" t="s">
        <v>46</v>
      </c>
      <c r="Q5992" t="s">
        <v>793</v>
      </c>
      <c r="R5992" t="s">
        <v>6020</v>
      </c>
      <c r="S5992" t="s">
        <v>921</v>
      </c>
    </row>
    <row r="5993" spans="1:19" x14ac:dyDescent="0.25">
      <c r="A5993" t="s">
        <v>59</v>
      </c>
      <c r="B5993" t="s">
        <v>60</v>
      </c>
      <c r="C5993" t="s">
        <v>32</v>
      </c>
      <c r="D5993" t="s">
        <v>771</v>
      </c>
      <c r="E5993" t="s">
        <v>871</v>
      </c>
      <c r="F5993" t="s">
        <v>35</v>
      </c>
      <c r="G5993" t="s">
        <v>35</v>
      </c>
      <c r="H5993" t="s">
        <v>35</v>
      </c>
      <c r="J5993" t="s">
        <v>6420</v>
      </c>
      <c r="K5993" t="s">
        <v>1092</v>
      </c>
      <c r="M5993">
        <v>5.5</v>
      </c>
      <c r="N5993">
        <v>91</v>
      </c>
      <c r="O5993" t="s">
        <v>106</v>
      </c>
      <c r="Q5993" t="s">
        <v>1147</v>
      </c>
      <c r="R5993" t="s">
        <v>5992</v>
      </c>
      <c r="S5993" t="s">
        <v>817</v>
      </c>
    </row>
    <row r="5994" spans="1:19" x14ac:dyDescent="0.25">
      <c r="A5994" t="s">
        <v>44</v>
      </c>
      <c r="B5994" t="s">
        <v>3</v>
      </c>
      <c r="C5994" t="s">
        <v>32</v>
      </c>
      <c r="D5994" t="s">
        <v>771</v>
      </c>
      <c r="E5994" t="s">
        <v>871</v>
      </c>
      <c r="F5994" t="s">
        <v>35</v>
      </c>
      <c r="G5994" t="s">
        <v>35</v>
      </c>
      <c r="H5994" t="s">
        <v>35</v>
      </c>
      <c r="J5994" t="s">
        <v>6421</v>
      </c>
      <c r="K5994" t="s">
        <v>1092</v>
      </c>
      <c r="M5994">
        <v>0.5</v>
      </c>
      <c r="N5994">
        <v>265</v>
      </c>
      <c r="O5994" t="s">
        <v>5</v>
      </c>
      <c r="Q5994" t="s">
        <v>1754</v>
      </c>
      <c r="R5994" t="s">
        <v>849</v>
      </c>
      <c r="S5994" t="s">
        <v>850</v>
      </c>
    </row>
    <row r="5995" spans="1:19" x14ac:dyDescent="0.25">
      <c r="A5995" t="s">
        <v>30</v>
      </c>
      <c r="B5995" t="s">
        <v>31</v>
      </c>
      <c r="C5995" t="s">
        <v>32</v>
      </c>
      <c r="D5995" t="s">
        <v>771</v>
      </c>
      <c r="E5995" t="s">
        <v>871</v>
      </c>
      <c r="F5995" t="s">
        <v>35</v>
      </c>
      <c r="G5995" t="s">
        <v>35</v>
      </c>
      <c r="H5995" t="s">
        <v>35</v>
      </c>
      <c r="J5995" t="s">
        <v>6422</v>
      </c>
      <c r="K5995" t="s">
        <v>1092</v>
      </c>
      <c r="M5995">
        <v>1.53</v>
      </c>
      <c r="N5995">
        <v>199</v>
      </c>
      <c r="O5995" t="s">
        <v>5</v>
      </c>
      <c r="Q5995" t="s">
        <v>1720</v>
      </c>
      <c r="R5995" t="s">
        <v>6356</v>
      </c>
      <c r="S5995" t="s">
        <v>943</v>
      </c>
    </row>
    <row r="5996" spans="1:19" x14ac:dyDescent="0.25">
      <c r="A5996" t="s">
        <v>30</v>
      </c>
      <c r="B5996" t="s">
        <v>31</v>
      </c>
      <c r="C5996" t="s">
        <v>32</v>
      </c>
      <c r="D5996" t="s">
        <v>771</v>
      </c>
      <c r="E5996" t="s">
        <v>871</v>
      </c>
      <c r="F5996" t="s">
        <v>35</v>
      </c>
      <c r="G5996" t="s">
        <v>35</v>
      </c>
      <c r="H5996" t="s">
        <v>35</v>
      </c>
      <c r="J5996" t="s">
        <v>6422</v>
      </c>
      <c r="K5996" t="s">
        <v>1092</v>
      </c>
      <c r="M5996">
        <v>2.0699999999999998</v>
      </c>
      <c r="N5996">
        <v>42</v>
      </c>
      <c r="O5996" t="s">
        <v>52</v>
      </c>
      <c r="Q5996" t="s">
        <v>991</v>
      </c>
      <c r="R5996" t="s">
        <v>6356</v>
      </c>
      <c r="S5996" t="s">
        <v>943</v>
      </c>
    </row>
    <row r="5997" spans="1:19" x14ac:dyDescent="0.25">
      <c r="A5997" t="s">
        <v>30</v>
      </c>
      <c r="B5997" t="s">
        <v>31</v>
      </c>
      <c r="C5997" t="s">
        <v>32</v>
      </c>
      <c r="D5997" t="s">
        <v>771</v>
      </c>
      <c r="E5997" t="s">
        <v>871</v>
      </c>
      <c r="F5997" t="s">
        <v>35</v>
      </c>
      <c r="G5997" t="s">
        <v>35</v>
      </c>
      <c r="H5997" t="s">
        <v>35</v>
      </c>
      <c r="J5997" t="s">
        <v>6423</v>
      </c>
      <c r="K5997" t="s">
        <v>1092</v>
      </c>
      <c r="M5997">
        <v>4.9950000000000001</v>
      </c>
      <c r="N5997">
        <v>42</v>
      </c>
      <c r="O5997" t="s">
        <v>52</v>
      </c>
      <c r="Q5997" t="s">
        <v>991</v>
      </c>
      <c r="R5997" t="s">
        <v>6356</v>
      </c>
      <c r="S5997" t="s">
        <v>943</v>
      </c>
    </row>
    <row r="5998" spans="1:19" x14ac:dyDescent="0.25">
      <c r="A5998" t="s">
        <v>30</v>
      </c>
      <c r="B5998" t="s">
        <v>31</v>
      </c>
      <c r="C5998" t="s">
        <v>32</v>
      </c>
      <c r="D5998" t="s">
        <v>771</v>
      </c>
      <c r="E5998" t="s">
        <v>871</v>
      </c>
      <c r="F5998" t="s">
        <v>35</v>
      </c>
      <c r="G5998" t="s">
        <v>35</v>
      </c>
      <c r="H5998" t="s">
        <v>35</v>
      </c>
      <c r="J5998" t="s">
        <v>6423</v>
      </c>
      <c r="K5998" t="s">
        <v>1092</v>
      </c>
      <c r="M5998">
        <v>0.13500000000000001</v>
      </c>
      <c r="N5998">
        <v>234</v>
      </c>
      <c r="O5998" t="s">
        <v>5</v>
      </c>
      <c r="Q5998" t="s">
        <v>1780</v>
      </c>
      <c r="R5998" t="s">
        <v>6011</v>
      </c>
      <c r="S5998" t="s">
        <v>780</v>
      </c>
    </row>
    <row r="5999" spans="1:19" x14ac:dyDescent="0.25">
      <c r="A5999" t="s">
        <v>59</v>
      </c>
      <c r="B5999" t="s">
        <v>60</v>
      </c>
      <c r="C5999" t="s">
        <v>32</v>
      </c>
      <c r="D5999" t="s">
        <v>771</v>
      </c>
      <c r="E5999" t="s">
        <v>871</v>
      </c>
      <c r="F5999" t="s">
        <v>35</v>
      </c>
      <c r="G5999" t="s">
        <v>35</v>
      </c>
      <c r="H5999" t="s">
        <v>35</v>
      </c>
      <c r="J5999" t="s">
        <v>6424</v>
      </c>
      <c r="K5999" t="s">
        <v>1092</v>
      </c>
      <c r="M5999">
        <v>0.05</v>
      </c>
      <c r="N5999">
        <v>305</v>
      </c>
      <c r="O5999" t="s">
        <v>5</v>
      </c>
      <c r="Q5999" t="s">
        <v>4947</v>
      </c>
      <c r="R5999" t="s">
        <v>6024</v>
      </c>
      <c r="S5999" t="s">
        <v>820</v>
      </c>
    </row>
    <row r="6000" spans="1:19" x14ac:dyDescent="0.25">
      <c r="A6000" t="s">
        <v>30</v>
      </c>
      <c r="B6000" t="s">
        <v>31</v>
      </c>
      <c r="C6000" t="s">
        <v>32</v>
      </c>
      <c r="D6000" t="s">
        <v>771</v>
      </c>
      <c r="E6000" t="s">
        <v>871</v>
      </c>
      <c r="F6000" t="s">
        <v>35</v>
      </c>
      <c r="G6000" t="s">
        <v>35</v>
      </c>
      <c r="H6000" t="s">
        <v>35</v>
      </c>
      <c r="J6000" t="s">
        <v>6425</v>
      </c>
      <c r="K6000" t="s">
        <v>1092</v>
      </c>
      <c r="M6000">
        <v>12.645</v>
      </c>
      <c r="N6000">
        <v>118</v>
      </c>
      <c r="O6000" t="s">
        <v>106</v>
      </c>
      <c r="Q6000" t="s">
        <v>1469</v>
      </c>
      <c r="R6000" t="s">
        <v>919</v>
      </c>
      <c r="S6000" t="s">
        <v>784</v>
      </c>
    </row>
    <row r="6001" spans="1:19" x14ac:dyDescent="0.25">
      <c r="A6001" t="s">
        <v>44</v>
      </c>
      <c r="B6001" t="s">
        <v>51</v>
      </c>
      <c r="C6001" t="s">
        <v>32</v>
      </c>
      <c r="D6001" t="s">
        <v>771</v>
      </c>
      <c r="E6001" t="s">
        <v>871</v>
      </c>
      <c r="F6001" t="s">
        <v>35</v>
      </c>
      <c r="G6001" t="s">
        <v>35</v>
      </c>
      <c r="H6001" t="s">
        <v>35</v>
      </c>
      <c r="J6001" t="s">
        <v>6426</v>
      </c>
      <c r="K6001" t="s">
        <v>1092</v>
      </c>
      <c r="M6001">
        <v>3</v>
      </c>
      <c r="N6001">
        <v>82</v>
      </c>
      <c r="O6001" t="s">
        <v>61</v>
      </c>
      <c r="Q6001" t="s">
        <v>447</v>
      </c>
      <c r="R6001" t="s">
        <v>934</v>
      </c>
      <c r="S6001" t="s">
        <v>935</v>
      </c>
    </row>
    <row r="6002" spans="1:19" x14ac:dyDescent="0.25">
      <c r="A6002" t="s">
        <v>30</v>
      </c>
      <c r="B6002" t="s">
        <v>31</v>
      </c>
      <c r="C6002" t="s">
        <v>32</v>
      </c>
      <c r="D6002" t="s">
        <v>771</v>
      </c>
      <c r="E6002" t="s">
        <v>871</v>
      </c>
      <c r="F6002" t="s">
        <v>35</v>
      </c>
      <c r="G6002" t="s">
        <v>35</v>
      </c>
      <c r="H6002" t="s">
        <v>35</v>
      </c>
      <c r="J6002" t="s">
        <v>6427</v>
      </c>
      <c r="K6002" t="s">
        <v>1092</v>
      </c>
      <c r="M6002">
        <v>6.49</v>
      </c>
      <c r="N6002">
        <v>48</v>
      </c>
      <c r="O6002" t="s">
        <v>52</v>
      </c>
      <c r="Q6002" t="s">
        <v>496</v>
      </c>
      <c r="R6002" t="s">
        <v>844</v>
      </c>
      <c r="S6002" t="s">
        <v>806</v>
      </c>
    </row>
    <row r="6003" spans="1:19" x14ac:dyDescent="0.25">
      <c r="A6003" t="s">
        <v>59</v>
      </c>
      <c r="B6003" t="s">
        <v>60</v>
      </c>
      <c r="C6003" t="s">
        <v>32</v>
      </c>
      <c r="D6003" t="s">
        <v>771</v>
      </c>
      <c r="E6003" t="s">
        <v>871</v>
      </c>
      <c r="F6003" t="s">
        <v>35</v>
      </c>
      <c r="G6003" t="s">
        <v>35</v>
      </c>
      <c r="H6003" t="s">
        <v>35</v>
      </c>
      <c r="J6003" t="s">
        <v>6427</v>
      </c>
      <c r="K6003" t="s">
        <v>1092</v>
      </c>
      <c r="M6003">
        <v>0.5</v>
      </c>
      <c r="N6003">
        <v>12</v>
      </c>
      <c r="O6003" t="s">
        <v>46</v>
      </c>
      <c r="Q6003" t="s">
        <v>1865</v>
      </c>
      <c r="R6003" t="s">
        <v>844</v>
      </c>
      <c r="S6003" t="s">
        <v>806</v>
      </c>
    </row>
    <row r="6004" spans="1:19" x14ac:dyDescent="0.25">
      <c r="A6004" t="s">
        <v>30</v>
      </c>
      <c r="B6004" t="s">
        <v>31</v>
      </c>
      <c r="C6004" t="s">
        <v>32</v>
      </c>
      <c r="D6004" t="s">
        <v>771</v>
      </c>
      <c r="E6004" t="s">
        <v>871</v>
      </c>
      <c r="F6004" t="s">
        <v>35</v>
      </c>
      <c r="G6004" t="s">
        <v>35</v>
      </c>
      <c r="H6004" t="s">
        <v>35</v>
      </c>
      <c r="J6004" t="s">
        <v>6428</v>
      </c>
      <c r="K6004" t="s">
        <v>1092</v>
      </c>
      <c r="M6004">
        <v>0.03</v>
      </c>
      <c r="N6004">
        <v>1885</v>
      </c>
      <c r="O6004" t="s">
        <v>575</v>
      </c>
      <c r="Q6004" t="s">
        <v>3033</v>
      </c>
      <c r="R6004" t="s">
        <v>6144</v>
      </c>
      <c r="S6004" t="s">
        <v>6145</v>
      </c>
    </row>
    <row r="6005" spans="1:19" x14ac:dyDescent="0.25">
      <c r="A6005" t="s">
        <v>59</v>
      </c>
      <c r="B6005" t="s">
        <v>31</v>
      </c>
      <c r="C6005" t="s">
        <v>32</v>
      </c>
      <c r="D6005" t="s">
        <v>771</v>
      </c>
      <c r="E6005" t="s">
        <v>871</v>
      </c>
      <c r="F6005" t="s">
        <v>35</v>
      </c>
      <c r="G6005" t="s">
        <v>35</v>
      </c>
      <c r="H6005" t="s">
        <v>35</v>
      </c>
      <c r="J6005" t="s">
        <v>6428</v>
      </c>
      <c r="K6005" t="s">
        <v>1092</v>
      </c>
      <c r="M6005">
        <v>1.17</v>
      </c>
      <c r="N6005">
        <v>1901</v>
      </c>
      <c r="O6005" t="s">
        <v>575</v>
      </c>
      <c r="Q6005" t="s">
        <v>3566</v>
      </c>
      <c r="R6005" t="s">
        <v>6144</v>
      </c>
      <c r="S6005" t="s">
        <v>6145</v>
      </c>
    </row>
    <row r="6006" spans="1:19" x14ac:dyDescent="0.25">
      <c r="A6006" t="s">
        <v>59</v>
      </c>
      <c r="B6006" t="s">
        <v>31</v>
      </c>
      <c r="C6006" t="s">
        <v>32</v>
      </c>
      <c r="D6006" t="s">
        <v>771</v>
      </c>
      <c r="E6006" t="s">
        <v>871</v>
      </c>
      <c r="F6006" t="s">
        <v>35</v>
      </c>
      <c r="G6006" t="s">
        <v>35</v>
      </c>
      <c r="H6006" t="s">
        <v>35</v>
      </c>
      <c r="J6006" t="s">
        <v>6429</v>
      </c>
      <c r="K6006" t="s">
        <v>1092</v>
      </c>
      <c r="M6006">
        <v>4.32</v>
      </c>
      <c r="N6006">
        <v>301</v>
      </c>
      <c r="O6006" t="s">
        <v>5</v>
      </c>
      <c r="Q6006" t="s">
        <v>6430</v>
      </c>
      <c r="R6006" t="s">
        <v>6022</v>
      </c>
      <c r="S6006" t="s">
        <v>937</v>
      </c>
    </row>
    <row r="6007" spans="1:19" x14ac:dyDescent="0.25">
      <c r="A6007" t="s">
        <v>59</v>
      </c>
      <c r="B6007" t="s">
        <v>60</v>
      </c>
      <c r="C6007" t="s">
        <v>32</v>
      </c>
      <c r="D6007" t="s">
        <v>771</v>
      </c>
      <c r="E6007" t="s">
        <v>871</v>
      </c>
      <c r="F6007" t="s">
        <v>35</v>
      </c>
      <c r="G6007" t="s">
        <v>35</v>
      </c>
      <c r="H6007" t="s">
        <v>35</v>
      </c>
      <c r="J6007" t="s">
        <v>6429</v>
      </c>
      <c r="K6007" t="s">
        <v>1092</v>
      </c>
      <c r="M6007">
        <v>0.6</v>
      </c>
      <c r="N6007">
        <v>301</v>
      </c>
      <c r="O6007" t="s">
        <v>5</v>
      </c>
      <c r="Q6007" t="s">
        <v>6430</v>
      </c>
      <c r="R6007" t="s">
        <v>6022</v>
      </c>
      <c r="S6007" t="s">
        <v>937</v>
      </c>
    </row>
    <row r="6008" spans="1:19" x14ac:dyDescent="0.25">
      <c r="A6008" t="s">
        <v>59</v>
      </c>
      <c r="B6008" t="s">
        <v>60</v>
      </c>
      <c r="C6008" t="s">
        <v>32</v>
      </c>
      <c r="D6008" t="s">
        <v>771</v>
      </c>
      <c r="E6008" t="s">
        <v>871</v>
      </c>
      <c r="F6008" t="s">
        <v>35</v>
      </c>
      <c r="G6008" t="s">
        <v>35</v>
      </c>
      <c r="H6008" t="s">
        <v>35</v>
      </c>
      <c r="J6008" t="s">
        <v>6431</v>
      </c>
      <c r="K6008" t="s">
        <v>1092</v>
      </c>
      <c r="M6008">
        <v>1</v>
      </c>
      <c r="N6008">
        <v>44</v>
      </c>
      <c r="O6008" t="s">
        <v>52</v>
      </c>
      <c r="Q6008" t="s">
        <v>192</v>
      </c>
      <c r="R6008" t="s">
        <v>934</v>
      </c>
      <c r="S6008" t="s">
        <v>935</v>
      </c>
    </row>
    <row r="6009" spans="1:19" x14ac:dyDescent="0.25">
      <c r="A6009" t="s">
        <v>30</v>
      </c>
      <c r="B6009" t="s">
        <v>31</v>
      </c>
      <c r="C6009" t="s">
        <v>32</v>
      </c>
      <c r="D6009" t="s">
        <v>771</v>
      </c>
      <c r="E6009" t="s">
        <v>871</v>
      </c>
      <c r="F6009" t="s">
        <v>35</v>
      </c>
      <c r="G6009" t="s">
        <v>35</v>
      </c>
      <c r="H6009" t="s">
        <v>35</v>
      </c>
      <c r="J6009" t="s">
        <v>6432</v>
      </c>
      <c r="K6009" t="s">
        <v>1092</v>
      </c>
      <c r="M6009">
        <v>9.99</v>
      </c>
      <c r="N6009">
        <v>118</v>
      </c>
      <c r="O6009" t="s">
        <v>106</v>
      </c>
      <c r="Q6009" t="s">
        <v>1469</v>
      </c>
      <c r="R6009" t="s">
        <v>919</v>
      </c>
      <c r="S6009" t="s">
        <v>784</v>
      </c>
    </row>
    <row r="6010" spans="1:19" x14ac:dyDescent="0.25">
      <c r="A6010" t="s">
        <v>30</v>
      </c>
      <c r="B6010" t="s">
        <v>31</v>
      </c>
      <c r="C6010" t="s">
        <v>32</v>
      </c>
      <c r="D6010" t="s">
        <v>771</v>
      </c>
      <c r="E6010" t="s">
        <v>871</v>
      </c>
      <c r="F6010" t="s">
        <v>35</v>
      </c>
      <c r="G6010" t="s">
        <v>35</v>
      </c>
      <c r="H6010" t="s">
        <v>35</v>
      </c>
      <c r="J6010" t="s">
        <v>6432</v>
      </c>
      <c r="K6010" t="s">
        <v>1092</v>
      </c>
      <c r="M6010">
        <v>11.43</v>
      </c>
      <c r="N6010">
        <v>119</v>
      </c>
      <c r="O6010" t="s">
        <v>106</v>
      </c>
      <c r="Q6010" t="s">
        <v>3465</v>
      </c>
      <c r="R6010" t="s">
        <v>919</v>
      </c>
      <c r="S6010" t="s">
        <v>784</v>
      </c>
    </row>
    <row r="6011" spans="1:19" x14ac:dyDescent="0.25">
      <c r="A6011" t="s">
        <v>59</v>
      </c>
      <c r="B6011" t="s">
        <v>60</v>
      </c>
      <c r="C6011" t="s">
        <v>32</v>
      </c>
      <c r="D6011" t="s">
        <v>771</v>
      </c>
      <c r="E6011" t="s">
        <v>871</v>
      </c>
      <c r="F6011" t="s">
        <v>35</v>
      </c>
      <c r="G6011" t="s">
        <v>35</v>
      </c>
      <c r="H6011" t="s">
        <v>35</v>
      </c>
      <c r="J6011" t="s">
        <v>6434</v>
      </c>
      <c r="K6011" t="s">
        <v>1092</v>
      </c>
      <c r="M6011">
        <v>1</v>
      </c>
      <c r="N6011">
        <v>90</v>
      </c>
      <c r="O6011" t="s">
        <v>61</v>
      </c>
      <c r="Q6011" t="s">
        <v>897</v>
      </c>
      <c r="R6011" t="s">
        <v>6100</v>
      </c>
      <c r="S6011" t="s">
        <v>947</v>
      </c>
    </row>
    <row r="6012" spans="1:19" x14ac:dyDescent="0.25">
      <c r="A6012" t="s">
        <v>59</v>
      </c>
      <c r="B6012" t="s">
        <v>31</v>
      </c>
      <c r="C6012" t="s">
        <v>32</v>
      </c>
      <c r="D6012" t="s">
        <v>771</v>
      </c>
      <c r="E6012" t="s">
        <v>871</v>
      </c>
      <c r="F6012" t="s">
        <v>35</v>
      </c>
      <c r="G6012" t="s">
        <v>35</v>
      </c>
      <c r="H6012" t="s">
        <v>35</v>
      </c>
      <c r="J6012" t="s">
        <v>6435</v>
      </c>
      <c r="K6012" t="s">
        <v>1092</v>
      </c>
      <c r="M6012">
        <v>2.5649999999999999</v>
      </c>
      <c r="N6012">
        <v>1452</v>
      </c>
      <c r="O6012" t="s">
        <v>575</v>
      </c>
      <c r="Q6012" t="s">
        <v>6115</v>
      </c>
      <c r="R6012" t="s">
        <v>6090</v>
      </c>
      <c r="S6012" t="s">
        <v>6091</v>
      </c>
    </row>
    <row r="6013" spans="1:19" x14ac:dyDescent="0.25">
      <c r="A6013" t="s">
        <v>30</v>
      </c>
      <c r="B6013" t="s">
        <v>31</v>
      </c>
      <c r="C6013" t="s">
        <v>32</v>
      </c>
      <c r="D6013" t="s">
        <v>771</v>
      </c>
      <c r="E6013" t="s">
        <v>871</v>
      </c>
      <c r="F6013" t="s">
        <v>35</v>
      </c>
      <c r="G6013" t="s">
        <v>35</v>
      </c>
      <c r="H6013" t="s">
        <v>35</v>
      </c>
      <c r="J6013" t="s">
        <v>6436</v>
      </c>
      <c r="K6013" t="s">
        <v>1092</v>
      </c>
      <c r="M6013">
        <v>9.5850000000000009</v>
      </c>
      <c r="N6013">
        <v>118</v>
      </c>
      <c r="O6013" t="s">
        <v>106</v>
      </c>
      <c r="Q6013" t="s">
        <v>1469</v>
      </c>
      <c r="R6013" t="s">
        <v>844</v>
      </c>
      <c r="S6013" t="s">
        <v>806</v>
      </c>
    </row>
    <row r="6014" spans="1:19" x14ac:dyDescent="0.25">
      <c r="A6014" t="s">
        <v>59</v>
      </c>
      <c r="B6014" t="s">
        <v>60</v>
      </c>
      <c r="C6014" t="s">
        <v>32</v>
      </c>
      <c r="D6014" t="s">
        <v>771</v>
      </c>
      <c r="E6014" t="s">
        <v>871</v>
      </c>
      <c r="F6014" t="s">
        <v>35</v>
      </c>
      <c r="G6014" t="s">
        <v>35</v>
      </c>
      <c r="H6014" t="s">
        <v>35</v>
      </c>
      <c r="J6014" t="s">
        <v>6437</v>
      </c>
      <c r="K6014" t="s">
        <v>1092</v>
      </c>
      <c r="M6014">
        <v>0.5</v>
      </c>
      <c r="N6014">
        <v>153</v>
      </c>
      <c r="O6014" t="s">
        <v>38</v>
      </c>
      <c r="Q6014" t="s">
        <v>569</v>
      </c>
      <c r="R6014" t="s">
        <v>844</v>
      </c>
      <c r="S6014" t="s">
        <v>806</v>
      </c>
    </row>
    <row r="6015" spans="1:19" x14ac:dyDescent="0.25">
      <c r="A6015" t="s">
        <v>59</v>
      </c>
      <c r="B6015" t="s">
        <v>31</v>
      </c>
      <c r="C6015" t="s">
        <v>32</v>
      </c>
      <c r="D6015" t="s">
        <v>771</v>
      </c>
      <c r="E6015" t="s">
        <v>871</v>
      </c>
      <c r="F6015" t="s">
        <v>35</v>
      </c>
      <c r="G6015" t="s">
        <v>35</v>
      </c>
      <c r="H6015" t="s">
        <v>35</v>
      </c>
      <c r="J6015" t="s">
        <v>6437</v>
      </c>
      <c r="K6015" t="s">
        <v>1092</v>
      </c>
      <c r="M6015">
        <v>2.97</v>
      </c>
      <c r="N6015">
        <v>77</v>
      </c>
      <c r="O6015" t="s">
        <v>61</v>
      </c>
      <c r="Q6015" t="s">
        <v>305</v>
      </c>
      <c r="R6015" t="s">
        <v>844</v>
      </c>
      <c r="S6015" t="s">
        <v>806</v>
      </c>
    </row>
    <row r="6016" spans="1:19" x14ac:dyDescent="0.25">
      <c r="A6016" t="s">
        <v>30</v>
      </c>
      <c r="B6016" t="s">
        <v>31</v>
      </c>
      <c r="C6016" t="s">
        <v>32</v>
      </c>
      <c r="D6016" t="s">
        <v>771</v>
      </c>
      <c r="E6016" t="s">
        <v>871</v>
      </c>
      <c r="F6016" t="s">
        <v>35</v>
      </c>
      <c r="G6016" t="s">
        <v>35</v>
      </c>
      <c r="H6016" t="s">
        <v>35</v>
      </c>
      <c r="J6016" t="s">
        <v>6438</v>
      </c>
      <c r="K6016" t="s">
        <v>1092</v>
      </c>
      <c r="M6016">
        <v>2.7450000000000001</v>
      </c>
      <c r="N6016">
        <v>49</v>
      </c>
      <c r="O6016" t="s">
        <v>52</v>
      </c>
      <c r="Q6016" t="s">
        <v>219</v>
      </c>
      <c r="R6016" t="s">
        <v>6100</v>
      </c>
      <c r="S6016" t="s">
        <v>947</v>
      </c>
    </row>
    <row r="6017" spans="1:19" x14ac:dyDescent="0.25">
      <c r="A6017" t="s">
        <v>59</v>
      </c>
      <c r="B6017" t="s">
        <v>31</v>
      </c>
      <c r="C6017" t="s">
        <v>32</v>
      </c>
      <c r="D6017" t="s">
        <v>771</v>
      </c>
      <c r="E6017" t="s">
        <v>871</v>
      </c>
      <c r="F6017" t="s">
        <v>35</v>
      </c>
      <c r="G6017" t="s">
        <v>35</v>
      </c>
      <c r="H6017" t="s">
        <v>35</v>
      </c>
      <c r="J6017" t="s">
        <v>6439</v>
      </c>
      <c r="K6017" t="s">
        <v>1092</v>
      </c>
      <c r="M6017">
        <v>3.96</v>
      </c>
      <c r="N6017">
        <v>288</v>
      </c>
      <c r="O6017" t="s">
        <v>5</v>
      </c>
      <c r="Q6017" t="s">
        <v>1421</v>
      </c>
      <c r="R6017" t="s">
        <v>6096</v>
      </c>
      <c r="S6017" t="s">
        <v>6097</v>
      </c>
    </row>
    <row r="6018" spans="1:19" x14ac:dyDescent="0.25">
      <c r="A6018" t="s">
        <v>30</v>
      </c>
      <c r="B6018" t="s">
        <v>31</v>
      </c>
      <c r="C6018" t="s">
        <v>32</v>
      </c>
      <c r="D6018" t="s">
        <v>771</v>
      </c>
      <c r="E6018" t="s">
        <v>875</v>
      </c>
      <c r="F6018" t="s">
        <v>35</v>
      </c>
      <c r="G6018" t="s">
        <v>35</v>
      </c>
      <c r="H6018" t="s">
        <v>35</v>
      </c>
      <c r="J6018" t="s">
        <v>6440</v>
      </c>
      <c r="K6018" t="s">
        <v>1092</v>
      </c>
      <c r="M6018">
        <v>8.5500000000000007</v>
      </c>
      <c r="N6018">
        <v>45</v>
      </c>
      <c r="O6018" t="s">
        <v>52</v>
      </c>
      <c r="Q6018" t="s">
        <v>716</v>
      </c>
      <c r="R6018" t="s">
        <v>6356</v>
      </c>
      <c r="S6018" t="s">
        <v>943</v>
      </c>
    </row>
    <row r="6019" spans="1:19" x14ac:dyDescent="0.25">
      <c r="A6019" t="s">
        <v>30</v>
      </c>
      <c r="B6019" t="s">
        <v>31</v>
      </c>
      <c r="C6019" t="s">
        <v>32</v>
      </c>
      <c r="D6019" t="s">
        <v>771</v>
      </c>
      <c r="E6019" t="s">
        <v>875</v>
      </c>
      <c r="F6019" t="s">
        <v>35</v>
      </c>
      <c r="G6019" t="s">
        <v>35</v>
      </c>
      <c r="H6019" t="s">
        <v>35</v>
      </c>
      <c r="J6019" t="s">
        <v>6441</v>
      </c>
      <c r="K6019" t="s">
        <v>1092</v>
      </c>
      <c r="M6019">
        <v>4.95</v>
      </c>
      <c r="N6019">
        <v>47</v>
      </c>
      <c r="O6019" t="s">
        <v>52</v>
      </c>
      <c r="Q6019" t="s">
        <v>132</v>
      </c>
      <c r="R6019" t="s">
        <v>849</v>
      </c>
      <c r="S6019" t="s">
        <v>850</v>
      </c>
    </row>
    <row r="6020" spans="1:19" x14ac:dyDescent="0.25">
      <c r="A6020" t="s">
        <v>59</v>
      </c>
      <c r="B6020" t="s">
        <v>31</v>
      </c>
      <c r="C6020" t="s">
        <v>32</v>
      </c>
      <c r="D6020" t="s">
        <v>771</v>
      </c>
      <c r="E6020" t="s">
        <v>875</v>
      </c>
      <c r="F6020" t="s">
        <v>35</v>
      </c>
      <c r="G6020" t="s">
        <v>35</v>
      </c>
      <c r="H6020" t="s">
        <v>35</v>
      </c>
      <c r="J6020" t="s">
        <v>6442</v>
      </c>
      <c r="K6020" t="s">
        <v>1092</v>
      </c>
      <c r="M6020">
        <v>12.015000000000001</v>
      </c>
      <c r="N6020">
        <v>36</v>
      </c>
      <c r="O6020" t="s">
        <v>52</v>
      </c>
      <c r="Q6020" t="s">
        <v>2005</v>
      </c>
      <c r="R6020" t="s">
        <v>849</v>
      </c>
      <c r="S6020" t="s">
        <v>850</v>
      </c>
    </row>
    <row r="6021" spans="1:19" x14ac:dyDescent="0.25">
      <c r="A6021" t="s">
        <v>30</v>
      </c>
      <c r="B6021" t="s">
        <v>31</v>
      </c>
      <c r="C6021" t="s">
        <v>32</v>
      </c>
      <c r="D6021" t="s">
        <v>771</v>
      </c>
      <c r="E6021" t="s">
        <v>875</v>
      </c>
      <c r="F6021" t="s">
        <v>35</v>
      </c>
      <c r="G6021" t="s">
        <v>35</v>
      </c>
      <c r="H6021" t="s">
        <v>35</v>
      </c>
      <c r="J6021" t="s">
        <v>6443</v>
      </c>
      <c r="K6021" t="s">
        <v>1092</v>
      </c>
      <c r="M6021">
        <v>9.99</v>
      </c>
      <c r="N6021">
        <v>41</v>
      </c>
      <c r="O6021" t="s">
        <v>52</v>
      </c>
      <c r="Q6021" t="s">
        <v>249</v>
      </c>
      <c r="R6021" t="s">
        <v>849</v>
      </c>
      <c r="S6021" t="s">
        <v>850</v>
      </c>
    </row>
    <row r="6022" spans="1:19" x14ac:dyDescent="0.25">
      <c r="A6022" t="s">
        <v>30</v>
      </c>
      <c r="B6022" t="s">
        <v>31</v>
      </c>
      <c r="C6022" t="s">
        <v>32</v>
      </c>
      <c r="D6022" t="s">
        <v>771</v>
      </c>
      <c r="E6022" t="s">
        <v>875</v>
      </c>
      <c r="F6022" t="s">
        <v>35</v>
      </c>
      <c r="G6022" t="s">
        <v>35</v>
      </c>
      <c r="H6022" t="s">
        <v>35</v>
      </c>
      <c r="J6022" t="s">
        <v>6443</v>
      </c>
      <c r="K6022" t="s">
        <v>1092</v>
      </c>
      <c r="M6022">
        <v>2.0249999999999999</v>
      </c>
      <c r="N6022">
        <v>165</v>
      </c>
      <c r="O6022" t="s">
        <v>38</v>
      </c>
      <c r="Q6022" t="s">
        <v>1548</v>
      </c>
      <c r="R6022" t="s">
        <v>849</v>
      </c>
      <c r="S6022" t="s">
        <v>850</v>
      </c>
    </row>
    <row r="6023" spans="1:19" x14ac:dyDescent="0.25">
      <c r="A6023" t="s">
        <v>30</v>
      </c>
      <c r="B6023" t="s">
        <v>31</v>
      </c>
      <c r="C6023" t="s">
        <v>32</v>
      </c>
      <c r="D6023" t="s">
        <v>771</v>
      </c>
      <c r="E6023" t="s">
        <v>875</v>
      </c>
      <c r="F6023" t="s">
        <v>35</v>
      </c>
      <c r="G6023" t="s">
        <v>35</v>
      </c>
      <c r="H6023" t="s">
        <v>35</v>
      </c>
      <c r="J6023" t="s">
        <v>6444</v>
      </c>
      <c r="K6023" t="s">
        <v>1092</v>
      </c>
      <c r="M6023">
        <v>7.02</v>
      </c>
      <c r="N6023">
        <v>48</v>
      </c>
      <c r="O6023" t="s">
        <v>52</v>
      </c>
      <c r="Q6023" t="s">
        <v>496</v>
      </c>
      <c r="R6023" t="s">
        <v>934</v>
      </c>
      <c r="S6023" t="s">
        <v>935</v>
      </c>
    </row>
    <row r="6024" spans="1:19" x14ac:dyDescent="0.25">
      <c r="A6024" t="s">
        <v>59</v>
      </c>
      <c r="B6024" t="s">
        <v>31</v>
      </c>
      <c r="C6024" t="s">
        <v>32</v>
      </c>
      <c r="D6024" t="s">
        <v>771</v>
      </c>
      <c r="E6024" t="s">
        <v>875</v>
      </c>
      <c r="F6024" t="s">
        <v>35</v>
      </c>
      <c r="G6024" t="s">
        <v>35</v>
      </c>
      <c r="H6024" t="s">
        <v>35</v>
      </c>
      <c r="J6024" t="s">
        <v>6444</v>
      </c>
      <c r="K6024" t="s">
        <v>1092</v>
      </c>
      <c r="M6024">
        <v>7.02</v>
      </c>
      <c r="N6024">
        <v>45</v>
      </c>
      <c r="O6024" t="s">
        <v>52</v>
      </c>
      <c r="Q6024" t="s">
        <v>716</v>
      </c>
      <c r="R6024" t="s">
        <v>844</v>
      </c>
      <c r="S6024" t="s">
        <v>806</v>
      </c>
    </row>
    <row r="6025" spans="1:19" x14ac:dyDescent="0.25">
      <c r="A6025" t="s">
        <v>59</v>
      </c>
      <c r="B6025" t="s">
        <v>60</v>
      </c>
      <c r="C6025" t="s">
        <v>32</v>
      </c>
      <c r="D6025" t="s">
        <v>771</v>
      </c>
      <c r="E6025" t="s">
        <v>875</v>
      </c>
      <c r="F6025" t="s">
        <v>35</v>
      </c>
      <c r="G6025" t="s">
        <v>35</v>
      </c>
      <c r="H6025" t="s">
        <v>35</v>
      </c>
      <c r="J6025" t="s">
        <v>6444</v>
      </c>
      <c r="K6025" t="s">
        <v>1092</v>
      </c>
      <c r="M6025">
        <v>0.25</v>
      </c>
      <c r="N6025">
        <v>45</v>
      </c>
      <c r="O6025" t="s">
        <v>52</v>
      </c>
      <c r="Q6025" t="s">
        <v>716</v>
      </c>
      <c r="R6025" t="s">
        <v>844</v>
      </c>
      <c r="S6025" t="s">
        <v>806</v>
      </c>
    </row>
    <row r="6026" spans="1:19" x14ac:dyDescent="0.25">
      <c r="A6026" t="s">
        <v>59</v>
      </c>
      <c r="B6026" t="s">
        <v>31</v>
      </c>
      <c r="C6026" t="s">
        <v>32</v>
      </c>
      <c r="D6026" t="s">
        <v>771</v>
      </c>
      <c r="E6026" t="s">
        <v>875</v>
      </c>
      <c r="F6026" t="s">
        <v>35</v>
      </c>
      <c r="G6026" t="s">
        <v>35</v>
      </c>
      <c r="H6026" t="s">
        <v>35</v>
      </c>
      <c r="J6026" t="s">
        <v>6444</v>
      </c>
      <c r="K6026" t="s">
        <v>1092</v>
      </c>
      <c r="M6026">
        <v>3.915</v>
      </c>
      <c r="N6026">
        <v>37</v>
      </c>
      <c r="O6026" t="s">
        <v>52</v>
      </c>
      <c r="Q6026" t="s">
        <v>3499</v>
      </c>
      <c r="R6026" t="s">
        <v>6033</v>
      </c>
      <c r="S6026" t="s">
        <v>6034</v>
      </c>
    </row>
    <row r="6027" spans="1:19" x14ac:dyDescent="0.25">
      <c r="A6027" t="s">
        <v>59</v>
      </c>
      <c r="B6027" t="s">
        <v>31</v>
      </c>
      <c r="C6027" t="s">
        <v>32</v>
      </c>
      <c r="D6027" t="s">
        <v>771</v>
      </c>
      <c r="E6027" t="s">
        <v>875</v>
      </c>
      <c r="F6027" t="s">
        <v>35</v>
      </c>
      <c r="G6027" t="s">
        <v>35</v>
      </c>
      <c r="H6027" t="s">
        <v>35</v>
      </c>
      <c r="J6027" t="s">
        <v>6444</v>
      </c>
      <c r="K6027" t="s">
        <v>1092</v>
      </c>
      <c r="M6027">
        <v>4.1849999999999996</v>
      </c>
      <c r="N6027">
        <v>89</v>
      </c>
      <c r="O6027" t="s">
        <v>61</v>
      </c>
      <c r="Q6027" t="s">
        <v>299</v>
      </c>
      <c r="R6027" t="s">
        <v>844</v>
      </c>
      <c r="S6027" t="s">
        <v>806</v>
      </c>
    </row>
    <row r="6028" spans="1:19" x14ac:dyDescent="0.25">
      <c r="A6028" t="s">
        <v>30</v>
      </c>
      <c r="B6028" t="s">
        <v>31</v>
      </c>
      <c r="C6028" t="s">
        <v>32</v>
      </c>
      <c r="D6028" t="s">
        <v>771</v>
      </c>
      <c r="E6028" t="s">
        <v>875</v>
      </c>
      <c r="F6028" t="s">
        <v>35</v>
      </c>
      <c r="G6028" t="s">
        <v>35</v>
      </c>
      <c r="H6028" t="s">
        <v>35</v>
      </c>
      <c r="J6028" t="s">
        <v>6444</v>
      </c>
      <c r="K6028" t="s">
        <v>1092</v>
      </c>
      <c r="M6028">
        <v>7.7850000000000001</v>
      </c>
      <c r="N6028">
        <v>48</v>
      </c>
      <c r="O6028" t="s">
        <v>52</v>
      </c>
      <c r="Q6028" t="s">
        <v>496</v>
      </c>
      <c r="R6028" t="s">
        <v>919</v>
      </c>
      <c r="S6028" t="s">
        <v>784</v>
      </c>
    </row>
    <row r="6029" spans="1:19" x14ac:dyDescent="0.25">
      <c r="A6029" t="s">
        <v>30</v>
      </c>
      <c r="B6029" t="s">
        <v>31</v>
      </c>
      <c r="C6029" t="s">
        <v>32</v>
      </c>
      <c r="D6029" t="s">
        <v>771</v>
      </c>
      <c r="E6029" t="s">
        <v>875</v>
      </c>
      <c r="F6029" t="s">
        <v>35</v>
      </c>
      <c r="G6029" t="s">
        <v>35</v>
      </c>
      <c r="H6029" t="s">
        <v>35</v>
      </c>
      <c r="J6029" t="s">
        <v>6445</v>
      </c>
      <c r="K6029" t="s">
        <v>1092</v>
      </c>
      <c r="M6029">
        <v>9.99</v>
      </c>
      <c r="N6029">
        <v>48</v>
      </c>
      <c r="O6029" t="s">
        <v>52</v>
      </c>
      <c r="Q6029" t="s">
        <v>496</v>
      </c>
      <c r="R6029" t="s">
        <v>5992</v>
      </c>
      <c r="S6029" t="s">
        <v>817</v>
      </c>
    </row>
    <row r="6030" spans="1:19" x14ac:dyDescent="0.25">
      <c r="A6030" t="s">
        <v>59</v>
      </c>
      <c r="B6030" t="s">
        <v>60</v>
      </c>
      <c r="C6030" t="s">
        <v>32</v>
      </c>
      <c r="D6030" t="s">
        <v>771</v>
      </c>
      <c r="E6030" t="s">
        <v>875</v>
      </c>
      <c r="F6030" t="s">
        <v>35</v>
      </c>
      <c r="G6030" t="s">
        <v>35</v>
      </c>
      <c r="H6030" t="s">
        <v>35</v>
      </c>
      <c r="J6030" t="s">
        <v>6445</v>
      </c>
      <c r="K6030" t="s">
        <v>1092</v>
      </c>
      <c r="M6030">
        <v>5</v>
      </c>
      <c r="N6030">
        <v>46</v>
      </c>
      <c r="O6030" t="s">
        <v>52</v>
      </c>
      <c r="Q6030" t="s">
        <v>493</v>
      </c>
      <c r="R6030" t="s">
        <v>934</v>
      </c>
      <c r="S6030" t="s">
        <v>935</v>
      </c>
    </row>
    <row r="6031" spans="1:19" x14ac:dyDescent="0.25">
      <c r="A6031" t="s">
        <v>59</v>
      </c>
      <c r="B6031" t="s">
        <v>31</v>
      </c>
      <c r="C6031" t="s">
        <v>32</v>
      </c>
      <c r="D6031" t="s">
        <v>771</v>
      </c>
      <c r="E6031" t="s">
        <v>875</v>
      </c>
      <c r="F6031" t="s">
        <v>35</v>
      </c>
      <c r="G6031" t="s">
        <v>35</v>
      </c>
      <c r="H6031" t="s">
        <v>35</v>
      </c>
      <c r="J6031" t="s">
        <v>6445</v>
      </c>
      <c r="K6031" t="s">
        <v>1092</v>
      </c>
      <c r="M6031">
        <v>6.2549999999999999</v>
      </c>
      <c r="N6031">
        <v>46</v>
      </c>
      <c r="O6031" t="s">
        <v>52</v>
      </c>
      <c r="Q6031" t="s">
        <v>493</v>
      </c>
      <c r="R6031" t="s">
        <v>934</v>
      </c>
      <c r="S6031" t="s">
        <v>935</v>
      </c>
    </row>
    <row r="6032" spans="1:19" x14ac:dyDescent="0.25">
      <c r="A6032" t="s">
        <v>30</v>
      </c>
      <c r="B6032" t="s">
        <v>31</v>
      </c>
      <c r="C6032" t="s">
        <v>32</v>
      </c>
      <c r="D6032" t="s">
        <v>771</v>
      </c>
      <c r="E6032" t="s">
        <v>875</v>
      </c>
      <c r="F6032" t="s">
        <v>35</v>
      </c>
      <c r="G6032" t="s">
        <v>35</v>
      </c>
      <c r="H6032" t="s">
        <v>35</v>
      </c>
      <c r="J6032" t="s">
        <v>6445</v>
      </c>
      <c r="K6032" t="s">
        <v>1092</v>
      </c>
      <c r="M6032">
        <v>0.72</v>
      </c>
      <c r="N6032">
        <v>119</v>
      </c>
      <c r="O6032" t="s">
        <v>106</v>
      </c>
      <c r="Q6032" t="s">
        <v>3465</v>
      </c>
      <c r="R6032" t="s">
        <v>934</v>
      </c>
      <c r="S6032" t="s">
        <v>935</v>
      </c>
    </row>
    <row r="6033" spans="1:19" x14ac:dyDescent="0.25">
      <c r="A6033" t="s">
        <v>59</v>
      </c>
      <c r="B6033" t="s">
        <v>31</v>
      </c>
      <c r="C6033" t="s">
        <v>32</v>
      </c>
      <c r="D6033" t="s">
        <v>771</v>
      </c>
      <c r="E6033" t="s">
        <v>875</v>
      </c>
      <c r="F6033" t="s">
        <v>35</v>
      </c>
      <c r="G6033" t="s">
        <v>35</v>
      </c>
      <c r="H6033" t="s">
        <v>35</v>
      </c>
      <c r="J6033" t="s">
        <v>6446</v>
      </c>
      <c r="K6033" t="s">
        <v>1092</v>
      </c>
      <c r="M6033">
        <v>0.67500000000000004</v>
      </c>
      <c r="N6033">
        <v>212</v>
      </c>
      <c r="O6033" t="s">
        <v>5</v>
      </c>
      <c r="Q6033" t="s">
        <v>1711</v>
      </c>
      <c r="R6033" t="s">
        <v>849</v>
      </c>
      <c r="S6033" t="s">
        <v>850</v>
      </c>
    </row>
    <row r="6034" spans="1:19" x14ac:dyDescent="0.25">
      <c r="A6034" t="s">
        <v>59</v>
      </c>
      <c r="B6034" t="s">
        <v>31</v>
      </c>
      <c r="C6034" t="s">
        <v>32</v>
      </c>
      <c r="D6034" t="s">
        <v>771</v>
      </c>
      <c r="E6034" t="s">
        <v>875</v>
      </c>
      <c r="F6034" t="s">
        <v>35</v>
      </c>
      <c r="G6034" t="s">
        <v>35</v>
      </c>
      <c r="H6034" t="s">
        <v>35</v>
      </c>
      <c r="J6034" t="s">
        <v>6446</v>
      </c>
      <c r="K6034" t="s">
        <v>1092</v>
      </c>
      <c r="M6034">
        <v>4.0049999999999999</v>
      </c>
      <c r="N6034">
        <v>312</v>
      </c>
      <c r="O6034" t="s">
        <v>5</v>
      </c>
      <c r="Q6034" t="s">
        <v>4818</v>
      </c>
      <c r="R6034" t="s">
        <v>849</v>
      </c>
      <c r="S6034" t="s">
        <v>850</v>
      </c>
    </row>
    <row r="6035" spans="1:19" x14ac:dyDescent="0.25">
      <c r="A6035" t="s">
        <v>30</v>
      </c>
      <c r="B6035" t="s">
        <v>31</v>
      </c>
      <c r="C6035" t="s">
        <v>32</v>
      </c>
      <c r="D6035" t="s">
        <v>771</v>
      </c>
      <c r="E6035" t="s">
        <v>875</v>
      </c>
      <c r="F6035" t="s">
        <v>35</v>
      </c>
      <c r="G6035" t="s">
        <v>35</v>
      </c>
      <c r="H6035" t="s">
        <v>35</v>
      </c>
      <c r="J6035" t="s">
        <v>6446</v>
      </c>
      <c r="K6035" t="s">
        <v>1092</v>
      </c>
      <c r="M6035">
        <v>7.02</v>
      </c>
      <c r="N6035">
        <v>47</v>
      </c>
      <c r="O6035" t="s">
        <v>52</v>
      </c>
      <c r="Q6035" t="s">
        <v>132</v>
      </c>
      <c r="R6035" t="s">
        <v>849</v>
      </c>
      <c r="S6035" t="s">
        <v>850</v>
      </c>
    </row>
    <row r="6036" spans="1:19" x14ac:dyDescent="0.25">
      <c r="A6036" t="s">
        <v>44</v>
      </c>
      <c r="B6036" t="s">
        <v>3</v>
      </c>
      <c r="C6036" t="s">
        <v>32</v>
      </c>
      <c r="D6036" t="s">
        <v>771</v>
      </c>
      <c r="E6036" t="s">
        <v>875</v>
      </c>
      <c r="F6036" t="s">
        <v>35</v>
      </c>
      <c r="G6036" t="s">
        <v>35</v>
      </c>
      <c r="H6036" t="s">
        <v>35</v>
      </c>
      <c r="J6036" t="s">
        <v>6446</v>
      </c>
      <c r="K6036" t="s">
        <v>1092</v>
      </c>
      <c r="M6036">
        <v>0.25</v>
      </c>
      <c r="N6036">
        <v>269</v>
      </c>
      <c r="O6036" t="s">
        <v>5</v>
      </c>
      <c r="Q6036" t="s">
        <v>6399</v>
      </c>
      <c r="R6036" t="s">
        <v>849</v>
      </c>
      <c r="S6036" t="s">
        <v>850</v>
      </c>
    </row>
    <row r="6037" spans="1:19" x14ac:dyDescent="0.25">
      <c r="A6037" t="s">
        <v>59</v>
      </c>
      <c r="B6037" t="s">
        <v>60</v>
      </c>
      <c r="C6037" t="s">
        <v>32</v>
      </c>
      <c r="D6037" t="s">
        <v>771</v>
      </c>
      <c r="E6037" t="s">
        <v>875</v>
      </c>
      <c r="F6037" t="s">
        <v>35</v>
      </c>
      <c r="G6037" t="s">
        <v>35</v>
      </c>
      <c r="H6037" t="s">
        <v>35</v>
      </c>
      <c r="J6037" t="s">
        <v>6446</v>
      </c>
      <c r="K6037" t="s">
        <v>1092</v>
      </c>
      <c r="M6037">
        <v>0.45</v>
      </c>
      <c r="N6037">
        <v>240</v>
      </c>
      <c r="O6037" t="s">
        <v>5</v>
      </c>
      <c r="Q6037" t="s">
        <v>2516</v>
      </c>
      <c r="R6037" t="s">
        <v>849</v>
      </c>
      <c r="S6037" t="s">
        <v>850</v>
      </c>
    </row>
    <row r="6038" spans="1:19" x14ac:dyDescent="0.25">
      <c r="A6038" t="s">
        <v>59</v>
      </c>
      <c r="B6038" t="s">
        <v>31</v>
      </c>
      <c r="C6038" t="s">
        <v>32</v>
      </c>
      <c r="D6038" t="s">
        <v>771</v>
      </c>
      <c r="E6038" t="s">
        <v>875</v>
      </c>
      <c r="F6038" t="s">
        <v>35</v>
      </c>
      <c r="G6038" t="s">
        <v>35</v>
      </c>
      <c r="H6038" t="s">
        <v>35</v>
      </c>
      <c r="J6038" t="s">
        <v>6446</v>
      </c>
      <c r="K6038" t="s">
        <v>1092</v>
      </c>
      <c r="M6038">
        <v>7.02</v>
      </c>
      <c r="N6038">
        <v>36</v>
      </c>
      <c r="O6038" t="s">
        <v>52</v>
      </c>
      <c r="Q6038" t="s">
        <v>2005</v>
      </c>
      <c r="R6038" t="s">
        <v>849</v>
      </c>
      <c r="S6038" t="s">
        <v>850</v>
      </c>
    </row>
    <row r="6039" spans="1:19" x14ac:dyDescent="0.25">
      <c r="A6039" t="s">
        <v>30</v>
      </c>
      <c r="B6039" t="s">
        <v>31</v>
      </c>
      <c r="C6039" t="s">
        <v>32</v>
      </c>
      <c r="D6039" t="s">
        <v>771</v>
      </c>
      <c r="E6039" t="s">
        <v>875</v>
      </c>
      <c r="F6039" t="s">
        <v>35</v>
      </c>
      <c r="G6039" t="s">
        <v>35</v>
      </c>
      <c r="H6039" t="s">
        <v>35</v>
      </c>
      <c r="J6039" t="s">
        <v>6446</v>
      </c>
      <c r="K6039" t="s">
        <v>1092</v>
      </c>
      <c r="M6039">
        <v>0.9</v>
      </c>
      <c r="N6039">
        <v>413</v>
      </c>
      <c r="O6039" t="s">
        <v>294</v>
      </c>
      <c r="Q6039" t="s">
        <v>5627</v>
      </c>
      <c r="R6039" t="s">
        <v>849</v>
      </c>
      <c r="S6039" t="s">
        <v>850</v>
      </c>
    </row>
    <row r="6040" spans="1:19" x14ac:dyDescent="0.25">
      <c r="A6040" t="s">
        <v>59</v>
      </c>
      <c r="B6040" t="s">
        <v>31</v>
      </c>
      <c r="C6040" t="s">
        <v>32</v>
      </c>
      <c r="D6040" t="s">
        <v>771</v>
      </c>
      <c r="E6040" t="s">
        <v>875</v>
      </c>
      <c r="F6040" t="s">
        <v>35</v>
      </c>
      <c r="G6040" t="s">
        <v>35</v>
      </c>
      <c r="H6040" t="s">
        <v>35</v>
      </c>
      <c r="J6040" t="s">
        <v>6446</v>
      </c>
      <c r="K6040" t="s">
        <v>1092</v>
      </c>
      <c r="M6040">
        <v>0.81</v>
      </c>
      <c r="N6040">
        <v>518</v>
      </c>
      <c r="O6040" t="s">
        <v>294</v>
      </c>
      <c r="Q6040" t="s">
        <v>6375</v>
      </c>
      <c r="R6040" t="s">
        <v>849</v>
      </c>
      <c r="S6040" t="s">
        <v>850</v>
      </c>
    </row>
    <row r="6041" spans="1:19" x14ac:dyDescent="0.25">
      <c r="A6041" t="s">
        <v>44</v>
      </c>
      <c r="B6041" t="s">
        <v>51</v>
      </c>
      <c r="C6041" t="s">
        <v>32</v>
      </c>
      <c r="D6041" t="s">
        <v>771</v>
      </c>
      <c r="E6041" t="s">
        <v>875</v>
      </c>
      <c r="F6041" t="s">
        <v>35</v>
      </c>
      <c r="G6041" t="s">
        <v>35</v>
      </c>
      <c r="H6041" t="s">
        <v>35</v>
      </c>
      <c r="J6041" t="s">
        <v>6446</v>
      </c>
      <c r="K6041" t="s">
        <v>1092</v>
      </c>
      <c r="M6041">
        <v>6</v>
      </c>
      <c r="N6041">
        <v>52</v>
      </c>
      <c r="O6041" t="s">
        <v>52</v>
      </c>
      <c r="Q6041" t="s">
        <v>1230</v>
      </c>
      <c r="R6041" t="s">
        <v>849</v>
      </c>
      <c r="S6041" t="s">
        <v>850</v>
      </c>
    </row>
    <row r="6042" spans="1:19" x14ac:dyDescent="0.25">
      <c r="A6042" t="s">
        <v>30</v>
      </c>
      <c r="B6042" t="s">
        <v>31</v>
      </c>
      <c r="C6042" t="s">
        <v>32</v>
      </c>
      <c r="D6042" t="s">
        <v>771</v>
      </c>
      <c r="E6042" t="s">
        <v>875</v>
      </c>
      <c r="F6042" t="s">
        <v>35</v>
      </c>
      <c r="G6042" t="s">
        <v>35</v>
      </c>
      <c r="H6042" t="s">
        <v>35</v>
      </c>
      <c r="J6042" t="s">
        <v>6447</v>
      </c>
      <c r="K6042" t="s">
        <v>1092</v>
      </c>
      <c r="M6042">
        <v>9.99</v>
      </c>
      <c r="N6042">
        <v>47</v>
      </c>
      <c r="O6042" t="s">
        <v>52</v>
      </c>
      <c r="Q6042" t="s">
        <v>132</v>
      </c>
      <c r="R6042" t="s">
        <v>849</v>
      </c>
      <c r="S6042" t="s">
        <v>850</v>
      </c>
    </row>
    <row r="6043" spans="1:19" x14ac:dyDescent="0.25">
      <c r="A6043" t="s">
        <v>59</v>
      </c>
      <c r="B6043" t="s">
        <v>31</v>
      </c>
      <c r="C6043" t="s">
        <v>32</v>
      </c>
      <c r="D6043" t="s">
        <v>771</v>
      </c>
      <c r="E6043" t="s">
        <v>875</v>
      </c>
      <c r="F6043" t="s">
        <v>35</v>
      </c>
      <c r="G6043" t="s">
        <v>35</v>
      </c>
      <c r="H6043" t="s">
        <v>35</v>
      </c>
      <c r="J6043" t="s">
        <v>6448</v>
      </c>
      <c r="K6043" t="s">
        <v>1092</v>
      </c>
      <c r="M6043">
        <v>4.6349999999999998</v>
      </c>
      <c r="N6043">
        <v>42</v>
      </c>
      <c r="O6043" t="s">
        <v>52</v>
      </c>
      <c r="Q6043" t="s">
        <v>991</v>
      </c>
      <c r="R6043" t="s">
        <v>6318</v>
      </c>
      <c r="S6043" t="s">
        <v>800</v>
      </c>
    </row>
    <row r="6044" spans="1:19" x14ac:dyDescent="0.25">
      <c r="A6044" t="s">
        <v>59</v>
      </c>
      <c r="B6044" t="s">
        <v>31</v>
      </c>
      <c r="C6044" t="s">
        <v>32</v>
      </c>
      <c r="D6044" t="s">
        <v>771</v>
      </c>
      <c r="E6044" t="s">
        <v>875</v>
      </c>
      <c r="F6044" t="s">
        <v>35</v>
      </c>
      <c r="G6044" t="s">
        <v>35</v>
      </c>
      <c r="H6044" t="s">
        <v>35</v>
      </c>
      <c r="J6044" t="s">
        <v>6449</v>
      </c>
      <c r="K6044" t="s">
        <v>1092</v>
      </c>
      <c r="M6044">
        <v>0.03</v>
      </c>
      <c r="N6044">
        <v>156</v>
      </c>
      <c r="O6044" t="s">
        <v>38</v>
      </c>
      <c r="Q6044" t="s">
        <v>75</v>
      </c>
      <c r="R6044" t="s">
        <v>6100</v>
      </c>
      <c r="S6044" t="s">
        <v>947</v>
      </c>
    </row>
    <row r="6045" spans="1:19" x14ac:dyDescent="0.25">
      <c r="A6045" t="s">
        <v>30</v>
      </c>
      <c r="B6045" t="s">
        <v>31</v>
      </c>
      <c r="C6045" t="s">
        <v>32</v>
      </c>
      <c r="D6045" t="s">
        <v>771</v>
      </c>
      <c r="E6045" t="s">
        <v>875</v>
      </c>
      <c r="F6045" t="s">
        <v>35</v>
      </c>
      <c r="G6045" t="s">
        <v>35</v>
      </c>
      <c r="H6045" t="s">
        <v>35</v>
      </c>
      <c r="J6045" t="s">
        <v>6449</v>
      </c>
      <c r="K6045" t="s">
        <v>1092</v>
      </c>
      <c r="M6045">
        <v>8.2799999999999994</v>
      </c>
      <c r="N6045">
        <v>38</v>
      </c>
      <c r="O6045" t="s">
        <v>52</v>
      </c>
      <c r="Q6045" t="s">
        <v>748</v>
      </c>
      <c r="R6045" t="s">
        <v>6090</v>
      </c>
      <c r="S6045" t="s">
        <v>6091</v>
      </c>
    </row>
    <row r="6046" spans="1:19" x14ac:dyDescent="0.25">
      <c r="A6046" t="s">
        <v>30</v>
      </c>
      <c r="B6046" t="s">
        <v>31</v>
      </c>
      <c r="C6046" t="s">
        <v>32</v>
      </c>
      <c r="D6046" t="s">
        <v>771</v>
      </c>
      <c r="E6046" t="s">
        <v>875</v>
      </c>
      <c r="F6046" t="s">
        <v>35</v>
      </c>
      <c r="G6046" t="s">
        <v>35</v>
      </c>
      <c r="H6046" t="s">
        <v>35</v>
      </c>
      <c r="J6046" t="s">
        <v>6449</v>
      </c>
      <c r="K6046" t="s">
        <v>1092</v>
      </c>
      <c r="M6046">
        <v>4.9950000000000001</v>
      </c>
      <c r="N6046">
        <v>42</v>
      </c>
      <c r="O6046" t="s">
        <v>52</v>
      </c>
      <c r="Q6046" t="s">
        <v>991</v>
      </c>
      <c r="R6046" t="s">
        <v>6356</v>
      </c>
      <c r="S6046" t="s">
        <v>943</v>
      </c>
    </row>
    <row r="6047" spans="1:19" x14ac:dyDescent="0.25">
      <c r="A6047" t="s">
        <v>30</v>
      </c>
      <c r="B6047" t="s">
        <v>31</v>
      </c>
      <c r="C6047" t="s">
        <v>32</v>
      </c>
      <c r="D6047" t="s">
        <v>771</v>
      </c>
      <c r="E6047" t="s">
        <v>875</v>
      </c>
      <c r="F6047" t="s">
        <v>35</v>
      </c>
      <c r="G6047" t="s">
        <v>35</v>
      </c>
      <c r="H6047" t="s">
        <v>35</v>
      </c>
      <c r="J6047" t="s">
        <v>6449</v>
      </c>
      <c r="K6047" t="s">
        <v>1092</v>
      </c>
      <c r="M6047">
        <v>4.4999999999999998E-2</v>
      </c>
      <c r="N6047">
        <v>228</v>
      </c>
      <c r="O6047" t="s">
        <v>5</v>
      </c>
      <c r="Q6047" t="s">
        <v>1979</v>
      </c>
      <c r="R6047" t="s">
        <v>6356</v>
      </c>
      <c r="S6047" t="s">
        <v>943</v>
      </c>
    </row>
    <row r="6048" spans="1:19" x14ac:dyDescent="0.25">
      <c r="A6048" t="s">
        <v>44</v>
      </c>
      <c r="B6048" t="s">
        <v>51</v>
      </c>
      <c r="C6048" t="s">
        <v>32</v>
      </c>
      <c r="D6048" t="s">
        <v>771</v>
      </c>
      <c r="E6048" t="s">
        <v>875</v>
      </c>
      <c r="F6048" t="s">
        <v>35</v>
      </c>
      <c r="G6048" t="s">
        <v>35</v>
      </c>
      <c r="H6048" t="s">
        <v>35</v>
      </c>
      <c r="J6048" t="s">
        <v>6449</v>
      </c>
      <c r="K6048" t="s">
        <v>1092</v>
      </c>
      <c r="M6048">
        <v>2.5</v>
      </c>
      <c r="N6048">
        <v>38</v>
      </c>
      <c r="O6048" t="s">
        <v>52</v>
      </c>
      <c r="Q6048" t="s">
        <v>748</v>
      </c>
      <c r="R6048" t="s">
        <v>6090</v>
      </c>
      <c r="S6048" t="s">
        <v>6091</v>
      </c>
    </row>
    <row r="6049" spans="1:19" x14ac:dyDescent="0.25">
      <c r="A6049" t="s">
        <v>59</v>
      </c>
      <c r="B6049" t="s">
        <v>60</v>
      </c>
      <c r="C6049" t="s">
        <v>32</v>
      </c>
      <c r="D6049" t="s">
        <v>771</v>
      </c>
      <c r="E6049" t="s">
        <v>875</v>
      </c>
      <c r="F6049" t="s">
        <v>35</v>
      </c>
      <c r="G6049" t="s">
        <v>35</v>
      </c>
      <c r="H6049" t="s">
        <v>35</v>
      </c>
      <c r="J6049" t="s">
        <v>6450</v>
      </c>
      <c r="K6049" t="s">
        <v>1092</v>
      </c>
      <c r="M6049">
        <v>2.5000000000000001E-2</v>
      </c>
      <c r="N6049">
        <v>814</v>
      </c>
      <c r="O6049" t="s">
        <v>575</v>
      </c>
      <c r="Q6049" t="s">
        <v>2539</v>
      </c>
      <c r="R6049" t="s">
        <v>6090</v>
      </c>
      <c r="S6049" t="s">
        <v>6091</v>
      </c>
    </row>
    <row r="6050" spans="1:19" x14ac:dyDescent="0.25">
      <c r="A6050" t="s">
        <v>30</v>
      </c>
      <c r="B6050" t="s">
        <v>31</v>
      </c>
      <c r="C6050" t="s">
        <v>32</v>
      </c>
      <c r="D6050" t="s">
        <v>771</v>
      </c>
      <c r="E6050" t="s">
        <v>875</v>
      </c>
      <c r="F6050" t="s">
        <v>35</v>
      </c>
      <c r="G6050" t="s">
        <v>35</v>
      </c>
      <c r="H6050" t="s">
        <v>35</v>
      </c>
      <c r="J6050" t="s">
        <v>6451</v>
      </c>
      <c r="K6050" t="s">
        <v>1092</v>
      </c>
      <c r="M6050">
        <v>0.9</v>
      </c>
      <c r="N6050">
        <v>234</v>
      </c>
      <c r="O6050" t="s">
        <v>5</v>
      </c>
      <c r="Q6050" t="s">
        <v>1780</v>
      </c>
      <c r="R6050" t="s">
        <v>6011</v>
      </c>
      <c r="S6050" t="s">
        <v>780</v>
      </c>
    </row>
    <row r="6051" spans="1:19" x14ac:dyDescent="0.25">
      <c r="A6051" t="s">
        <v>44</v>
      </c>
      <c r="B6051" t="s">
        <v>51</v>
      </c>
      <c r="C6051" t="s">
        <v>32</v>
      </c>
      <c r="D6051" t="s">
        <v>771</v>
      </c>
      <c r="E6051" t="s">
        <v>875</v>
      </c>
      <c r="F6051" t="s">
        <v>35</v>
      </c>
      <c r="G6051" t="s">
        <v>35</v>
      </c>
      <c r="H6051" t="s">
        <v>35</v>
      </c>
      <c r="J6051" t="s">
        <v>6451</v>
      </c>
      <c r="K6051" t="s">
        <v>1092</v>
      </c>
      <c r="M6051">
        <v>1.45</v>
      </c>
      <c r="N6051">
        <v>283</v>
      </c>
      <c r="O6051" t="s">
        <v>5</v>
      </c>
      <c r="Q6051" t="s">
        <v>1771</v>
      </c>
      <c r="R6051" t="s">
        <v>436</v>
      </c>
      <c r="S6051" t="s">
        <v>437</v>
      </c>
    </row>
    <row r="6052" spans="1:19" x14ac:dyDescent="0.25">
      <c r="A6052" t="s">
        <v>44</v>
      </c>
      <c r="B6052" t="s">
        <v>51</v>
      </c>
      <c r="C6052" t="s">
        <v>32</v>
      </c>
      <c r="D6052" t="s">
        <v>771</v>
      </c>
      <c r="E6052" t="s">
        <v>875</v>
      </c>
      <c r="F6052" t="s">
        <v>35</v>
      </c>
      <c r="G6052" t="s">
        <v>35</v>
      </c>
      <c r="H6052" t="s">
        <v>35</v>
      </c>
      <c r="J6052" t="s">
        <v>6451</v>
      </c>
      <c r="K6052" t="s">
        <v>1092</v>
      </c>
      <c r="M6052">
        <v>3.5</v>
      </c>
      <c r="N6052">
        <v>273</v>
      </c>
      <c r="O6052" t="s">
        <v>5</v>
      </c>
      <c r="Q6052" t="s">
        <v>1989</v>
      </c>
      <c r="R6052" t="s">
        <v>436</v>
      </c>
      <c r="S6052" t="s">
        <v>437</v>
      </c>
    </row>
    <row r="6053" spans="1:19" x14ac:dyDescent="0.25">
      <c r="A6053" t="s">
        <v>30</v>
      </c>
      <c r="B6053" t="s">
        <v>31</v>
      </c>
      <c r="C6053" t="s">
        <v>32</v>
      </c>
      <c r="D6053" t="s">
        <v>771</v>
      </c>
      <c r="E6053" t="s">
        <v>875</v>
      </c>
      <c r="F6053" t="s">
        <v>35</v>
      </c>
      <c r="G6053" t="s">
        <v>35</v>
      </c>
      <c r="H6053" t="s">
        <v>35</v>
      </c>
      <c r="J6053" t="s">
        <v>6452</v>
      </c>
      <c r="K6053" t="s">
        <v>1092</v>
      </c>
      <c r="M6053">
        <v>12.015000000000001</v>
      </c>
      <c r="N6053">
        <v>47</v>
      </c>
      <c r="O6053" t="s">
        <v>52</v>
      </c>
      <c r="Q6053" t="s">
        <v>132</v>
      </c>
      <c r="R6053" t="s">
        <v>849</v>
      </c>
      <c r="S6053" t="s">
        <v>850</v>
      </c>
    </row>
    <row r="6054" spans="1:19" x14ac:dyDescent="0.25">
      <c r="A6054" t="s">
        <v>59</v>
      </c>
      <c r="B6054" t="s">
        <v>31</v>
      </c>
      <c r="C6054" t="s">
        <v>32</v>
      </c>
      <c r="D6054" t="s">
        <v>771</v>
      </c>
      <c r="E6054" t="s">
        <v>875</v>
      </c>
      <c r="F6054" t="s">
        <v>35</v>
      </c>
      <c r="G6054" t="s">
        <v>35</v>
      </c>
      <c r="H6054" t="s">
        <v>35</v>
      </c>
      <c r="J6054" t="s">
        <v>6452</v>
      </c>
      <c r="K6054" t="s">
        <v>1092</v>
      </c>
      <c r="M6054">
        <v>8.8650000000000002</v>
      </c>
      <c r="N6054">
        <v>36</v>
      </c>
      <c r="O6054" t="s">
        <v>52</v>
      </c>
      <c r="Q6054" t="s">
        <v>2005</v>
      </c>
      <c r="R6054" t="s">
        <v>849</v>
      </c>
      <c r="S6054" t="s">
        <v>850</v>
      </c>
    </row>
    <row r="6055" spans="1:19" x14ac:dyDescent="0.25">
      <c r="A6055" t="s">
        <v>59</v>
      </c>
      <c r="B6055" t="s">
        <v>60</v>
      </c>
      <c r="C6055" t="s">
        <v>32</v>
      </c>
      <c r="D6055" t="s">
        <v>771</v>
      </c>
      <c r="E6055" t="s">
        <v>875</v>
      </c>
      <c r="F6055" t="s">
        <v>35</v>
      </c>
      <c r="G6055" t="s">
        <v>35</v>
      </c>
      <c r="H6055" t="s">
        <v>35</v>
      </c>
      <c r="J6055" t="s">
        <v>6453</v>
      </c>
      <c r="K6055" t="s">
        <v>1092</v>
      </c>
      <c r="M6055">
        <v>15</v>
      </c>
      <c r="N6055">
        <v>33</v>
      </c>
      <c r="O6055" t="s">
        <v>52</v>
      </c>
      <c r="Q6055" t="s">
        <v>137</v>
      </c>
      <c r="R6055" t="s">
        <v>849</v>
      </c>
      <c r="S6055" t="s">
        <v>850</v>
      </c>
    </row>
    <row r="6056" spans="1:19" x14ac:dyDescent="0.25">
      <c r="A6056" t="s">
        <v>30</v>
      </c>
      <c r="B6056" t="s">
        <v>31</v>
      </c>
      <c r="C6056" t="s">
        <v>32</v>
      </c>
      <c r="D6056" t="s">
        <v>771</v>
      </c>
      <c r="E6056" t="s">
        <v>875</v>
      </c>
      <c r="F6056" t="s">
        <v>35</v>
      </c>
      <c r="G6056" t="s">
        <v>35</v>
      </c>
      <c r="H6056" t="s">
        <v>35</v>
      </c>
      <c r="J6056" t="s">
        <v>6453</v>
      </c>
      <c r="K6056" t="s">
        <v>1092</v>
      </c>
      <c r="M6056">
        <v>4.4999999999999998E-2</v>
      </c>
      <c r="N6056">
        <v>36</v>
      </c>
      <c r="O6056" t="s">
        <v>52</v>
      </c>
      <c r="Q6056" t="s">
        <v>2005</v>
      </c>
      <c r="R6056" t="s">
        <v>849</v>
      </c>
      <c r="S6056" t="s">
        <v>850</v>
      </c>
    </row>
    <row r="6057" spans="1:19" x14ac:dyDescent="0.25">
      <c r="A6057" t="s">
        <v>59</v>
      </c>
      <c r="B6057" t="s">
        <v>31</v>
      </c>
      <c r="C6057" t="s">
        <v>32</v>
      </c>
      <c r="D6057" t="s">
        <v>771</v>
      </c>
      <c r="E6057" t="s">
        <v>875</v>
      </c>
      <c r="F6057" t="s">
        <v>35</v>
      </c>
      <c r="G6057" t="s">
        <v>35</v>
      </c>
      <c r="H6057" t="s">
        <v>35</v>
      </c>
      <c r="J6057" t="s">
        <v>6453</v>
      </c>
      <c r="K6057" t="s">
        <v>1092</v>
      </c>
      <c r="M6057">
        <v>0.85499999999999998</v>
      </c>
      <c r="N6057">
        <v>36</v>
      </c>
      <c r="O6057" t="s">
        <v>52</v>
      </c>
      <c r="Q6057" t="s">
        <v>2005</v>
      </c>
      <c r="R6057" t="s">
        <v>849</v>
      </c>
      <c r="S6057" t="s">
        <v>850</v>
      </c>
    </row>
    <row r="6058" spans="1:19" x14ac:dyDescent="0.25">
      <c r="A6058" t="s">
        <v>59</v>
      </c>
      <c r="B6058" t="s">
        <v>60</v>
      </c>
      <c r="C6058" t="s">
        <v>32</v>
      </c>
      <c r="D6058" t="s">
        <v>771</v>
      </c>
      <c r="E6058" t="s">
        <v>875</v>
      </c>
      <c r="F6058" t="s">
        <v>35</v>
      </c>
      <c r="G6058" t="s">
        <v>35</v>
      </c>
      <c r="H6058" t="s">
        <v>35</v>
      </c>
      <c r="J6058" t="s">
        <v>6453</v>
      </c>
      <c r="K6058" t="s">
        <v>1092</v>
      </c>
      <c r="M6058">
        <v>15</v>
      </c>
      <c r="N6058">
        <v>34</v>
      </c>
      <c r="O6058" t="s">
        <v>52</v>
      </c>
      <c r="Q6058" t="s">
        <v>809</v>
      </c>
      <c r="R6058" t="s">
        <v>849</v>
      </c>
      <c r="S6058" t="s">
        <v>850</v>
      </c>
    </row>
    <row r="6059" spans="1:19" x14ac:dyDescent="0.25">
      <c r="A6059" t="s">
        <v>44</v>
      </c>
      <c r="B6059" t="s">
        <v>3</v>
      </c>
      <c r="C6059" t="s">
        <v>32</v>
      </c>
      <c r="D6059" t="s">
        <v>771</v>
      </c>
      <c r="E6059" t="s">
        <v>875</v>
      </c>
      <c r="F6059" t="s">
        <v>35</v>
      </c>
      <c r="G6059" t="s">
        <v>35</v>
      </c>
      <c r="H6059" t="s">
        <v>35</v>
      </c>
      <c r="J6059" t="s">
        <v>6454</v>
      </c>
      <c r="K6059" t="s">
        <v>1092</v>
      </c>
      <c r="M6059">
        <v>0.65</v>
      </c>
      <c r="N6059">
        <v>258</v>
      </c>
      <c r="O6059" t="s">
        <v>5</v>
      </c>
      <c r="Q6059" t="s">
        <v>5051</v>
      </c>
      <c r="R6059" t="s">
        <v>849</v>
      </c>
      <c r="S6059" t="s">
        <v>850</v>
      </c>
    </row>
    <row r="6060" spans="1:19" x14ac:dyDescent="0.25">
      <c r="A6060" t="s">
        <v>30</v>
      </c>
      <c r="B6060" t="s">
        <v>31</v>
      </c>
      <c r="C6060" t="s">
        <v>32</v>
      </c>
      <c r="D6060" t="s">
        <v>771</v>
      </c>
      <c r="E6060" t="s">
        <v>875</v>
      </c>
      <c r="F6060" t="s">
        <v>35</v>
      </c>
      <c r="G6060" t="s">
        <v>35</v>
      </c>
      <c r="H6060" t="s">
        <v>35</v>
      </c>
      <c r="J6060" t="s">
        <v>6455</v>
      </c>
      <c r="K6060" t="s">
        <v>1092</v>
      </c>
      <c r="M6060">
        <v>5.8049999999999997</v>
      </c>
      <c r="N6060">
        <v>46</v>
      </c>
      <c r="O6060" t="s">
        <v>52</v>
      </c>
      <c r="Q6060" t="s">
        <v>493</v>
      </c>
      <c r="R6060" t="s">
        <v>5992</v>
      </c>
      <c r="S6060" t="s">
        <v>817</v>
      </c>
    </row>
    <row r="6061" spans="1:19" x14ac:dyDescent="0.25">
      <c r="A6061" t="s">
        <v>30</v>
      </c>
      <c r="B6061" t="s">
        <v>31</v>
      </c>
      <c r="C6061" t="s">
        <v>32</v>
      </c>
      <c r="D6061" t="s">
        <v>771</v>
      </c>
      <c r="E6061" t="s">
        <v>875</v>
      </c>
      <c r="F6061" t="s">
        <v>35</v>
      </c>
      <c r="G6061" t="s">
        <v>35</v>
      </c>
      <c r="H6061" t="s">
        <v>35</v>
      </c>
      <c r="J6061" t="s">
        <v>6456</v>
      </c>
      <c r="K6061" t="s">
        <v>1092</v>
      </c>
      <c r="M6061">
        <v>0.13500000000000001</v>
      </c>
      <c r="N6061">
        <v>42</v>
      </c>
      <c r="O6061" t="s">
        <v>52</v>
      </c>
      <c r="Q6061" t="s">
        <v>991</v>
      </c>
      <c r="R6061" t="s">
        <v>6020</v>
      </c>
      <c r="S6061" t="s">
        <v>921</v>
      </c>
    </row>
    <row r="6062" spans="1:19" x14ac:dyDescent="0.25">
      <c r="A6062" t="s">
        <v>30</v>
      </c>
      <c r="B6062" t="s">
        <v>31</v>
      </c>
      <c r="C6062" t="s">
        <v>32</v>
      </c>
      <c r="D6062" t="s">
        <v>771</v>
      </c>
      <c r="E6062" t="s">
        <v>875</v>
      </c>
      <c r="F6062" t="s">
        <v>35</v>
      </c>
      <c r="G6062" t="s">
        <v>35</v>
      </c>
      <c r="H6062" t="s">
        <v>35</v>
      </c>
      <c r="J6062" t="s">
        <v>6457</v>
      </c>
      <c r="K6062" t="s">
        <v>1092</v>
      </c>
      <c r="M6062">
        <v>0.45</v>
      </c>
      <c r="N6062">
        <v>40</v>
      </c>
      <c r="O6062" t="s">
        <v>52</v>
      </c>
      <c r="Q6062" t="s">
        <v>130</v>
      </c>
      <c r="R6062" t="s">
        <v>6020</v>
      </c>
      <c r="S6062" t="s">
        <v>921</v>
      </c>
    </row>
    <row r="6063" spans="1:19" x14ac:dyDescent="0.25">
      <c r="A6063" t="s">
        <v>59</v>
      </c>
      <c r="B6063" t="s">
        <v>60</v>
      </c>
      <c r="C6063" t="s">
        <v>32</v>
      </c>
      <c r="D6063" t="s">
        <v>771</v>
      </c>
      <c r="E6063" t="s">
        <v>875</v>
      </c>
      <c r="F6063" t="s">
        <v>35</v>
      </c>
      <c r="G6063" t="s">
        <v>35</v>
      </c>
      <c r="H6063" t="s">
        <v>35</v>
      </c>
      <c r="J6063" t="s">
        <v>6458</v>
      </c>
      <c r="K6063" t="s">
        <v>1092</v>
      </c>
      <c r="M6063">
        <v>1.5</v>
      </c>
      <c r="N6063">
        <v>37</v>
      </c>
      <c r="O6063" t="s">
        <v>52</v>
      </c>
      <c r="Q6063" t="s">
        <v>3499</v>
      </c>
      <c r="R6063" t="s">
        <v>849</v>
      </c>
      <c r="S6063" t="s">
        <v>850</v>
      </c>
    </row>
    <row r="6064" spans="1:19" x14ac:dyDescent="0.25">
      <c r="A6064" t="s">
        <v>30</v>
      </c>
      <c r="B6064" t="s">
        <v>31</v>
      </c>
      <c r="C6064" t="s">
        <v>32</v>
      </c>
      <c r="D6064" t="s">
        <v>771</v>
      </c>
      <c r="E6064" t="s">
        <v>875</v>
      </c>
      <c r="F6064" t="s">
        <v>35</v>
      </c>
      <c r="G6064" t="s">
        <v>35</v>
      </c>
      <c r="H6064" t="s">
        <v>35</v>
      </c>
      <c r="J6064" t="s">
        <v>6459</v>
      </c>
      <c r="K6064" t="s">
        <v>1092</v>
      </c>
      <c r="M6064">
        <v>1.26</v>
      </c>
      <c r="N6064">
        <v>42</v>
      </c>
      <c r="O6064" t="s">
        <v>52</v>
      </c>
      <c r="Q6064" t="s">
        <v>991</v>
      </c>
      <c r="R6064" t="s">
        <v>6318</v>
      </c>
      <c r="S6064" t="s">
        <v>800</v>
      </c>
    </row>
    <row r="6065" spans="1:19" x14ac:dyDescent="0.25">
      <c r="A6065" t="s">
        <v>59</v>
      </c>
      <c r="B6065" t="s">
        <v>31</v>
      </c>
      <c r="C6065" t="s">
        <v>32</v>
      </c>
      <c r="D6065" t="s">
        <v>771</v>
      </c>
      <c r="E6065" t="s">
        <v>875</v>
      </c>
      <c r="F6065" t="s">
        <v>35</v>
      </c>
      <c r="G6065" t="s">
        <v>35</v>
      </c>
      <c r="H6065" t="s">
        <v>35</v>
      </c>
      <c r="J6065" t="s">
        <v>6459</v>
      </c>
      <c r="K6065" t="s">
        <v>1092</v>
      </c>
      <c r="M6065">
        <v>2.5649999999999999</v>
      </c>
      <c r="N6065">
        <v>42</v>
      </c>
      <c r="O6065" t="s">
        <v>52</v>
      </c>
      <c r="Q6065" t="s">
        <v>991</v>
      </c>
      <c r="R6065" t="s">
        <v>6318</v>
      </c>
      <c r="S6065" t="s">
        <v>800</v>
      </c>
    </row>
    <row r="6066" spans="1:19" x14ac:dyDescent="0.25">
      <c r="A6066" t="s">
        <v>30</v>
      </c>
      <c r="B6066" t="s">
        <v>31</v>
      </c>
      <c r="C6066" t="s">
        <v>32</v>
      </c>
      <c r="D6066" t="s">
        <v>771</v>
      </c>
      <c r="E6066" t="s">
        <v>875</v>
      </c>
      <c r="F6066" t="s">
        <v>35</v>
      </c>
      <c r="G6066" t="s">
        <v>35</v>
      </c>
      <c r="H6066" t="s">
        <v>35</v>
      </c>
      <c r="J6066" t="s">
        <v>6460</v>
      </c>
      <c r="K6066" t="s">
        <v>1092</v>
      </c>
      <c r="M6066">
        <v>0.99</v>
      </c>
      <c r="N6066">
        <v>42</v>
      </c>
      <c r="O6066" t="s">
        <v>52</v>
      </c>
      <c r="Q6066" t="s">
        <v>991</v>
      </c>
      <c r="R6066" t="s">
        <v>6318</v>
      </c>
      <c r="S6066" t="s">
        <v>800</v>
      </c>
    </row>
    <row r="6067" spans="1:19" x14ac:dyDescent="0.25">
      <c r="A6067" t="s">
        <v>59</v>
      </c>
      <c r="B6067" t="s">
        <v>60</v>
      </c>
      <c r="C6067" t="s">
        <v>32</v>
      </c>
      <c r="D6067" t="s">
        <v>771</v>
      </c>
      <c r="E6067" t="s">
        <v>875</v>
      </c>
      <c r="F6067" t="s">
        <v>35</v>
      </c>
      <c r="G6067" t="s">
        <v>35</v>
      </c>
      <c r="H6067" t="s">
        <v>35</v>
      </c>
      <c r="J6067" t="s">
        <v>6461</v>
      </c>
      <c r="K6067" t="s">
        <v>1092</v>
      </c>
      <c r="M6067">
        <v>0.7</v>
      </c>
      <c r="N6067">
        <v>89</v>
      </c>
      <c r="O6067" t="s">
        <v>61</v>
      </c>
      <c r="Q6067" t="s">
        <v>299</v>
      </c>
      <c r="R6067" t="s">
        <v>934</v>
      </c>
      <c r="S6067" t="s">
        <v>935</v>
      </c>
    </row>
    <row r="6068" spans="1:19" x14ac:dyDescent="0.25">
      <c r="A6068" t="s">
        <v>59</v>
      </c>
      <c r="B6068" t="s">
        <v>31</v>
      </c>
      <c r="C6068" t="s">
        <v>32</v>
      </c>
      <c r="D6068" t="s">
        <v>771</v>
      </c>
      <c r="E6068" t="s">
        <v>875</v>
      </c>
      <c r="F6068" t="s">
        <v>35</v>
      </c>
      <c r="G6068" t="s">
        <v>35</v>
      </c>
      <c r="H6068" t="s">
        <v>35</v>
      </c>
      <c r="J6068" t="s">
        <v>6461</v>
      </c>
      <c r="K6068" t="s">
        <v>1092</v>
      </c>
      <c r="M6068">
        <v>3.42</v>
      </c>
      <c r="N6068">
        <v>156</v>
      </c>
      <c r="O6068" t="s">
        <v>38</v>
      </c>
      <c r="Q6068" t="s">
        <v>75</v>
      </c>
      <c r="R6068" t="s">
        <v>934</v>
      </c>
      <c r="S6068" t="s">
        <v>935</v>
      </c>
    </row>
    <row r="6069" spans="1:19" x14ac:dyDescent="0.25">
      <c r="A6069" t="s">
        <v>44</v>
      </c>
      <c r="B6069" t="s">
        <v>51</v>
      </c>
      <c r="C6069" t="s">
        <v>32</v>
      </c>
      <c r="D6069" t="s">
        <v>771</v>
      </c>
      <c r="E6069" t="s">
        <v>875</v>
      </c>
      <c r="F6069" t="s">
        <v>35</v>
      </c>
      <c r="G6069" t="s">
        <v>35</v>
      </c>
      <c r="H6069" t="s">
        <v>35</v>
      </c>
      <c r="J6069" t="s">
        <v>6461</v>
      </c>
      <c r="K6069" t="s">
        <v>1092</v>
      </c>
      <c r="M6069">
        <v>3</v>
      </c>
      <c r="N6069">
        <v>77</v>
      </c>
      <c r="O6069" t="s">
        <v>61</v>
      </c>
      <c r="Q6069" t="s">
        <v>305</v>
      </c>
      <c r="R6069" t="s">
        <v>934</v>
      </c>
      <c r="S6069" t="s">
        <v>935</v>
      </c>
    </row>
    <row r="6070" spans="1:19" x14ac:dyDescent="0.25">
      <c r="A6070" t="s">
        <v>59</v>
      </c>
      <c r="B6070" t="s">
        <v>60</v>
      </c>
      <c r="C6070" t="s">
        <v>32</v>
      </c>
      <c r="D6070" t="s">
        <v>771</v>
      </c>
      <c r="E6070" t="s">
        <v>875</v>
      </c>
      <c r="F6070" t="s">
        <v>35</v>
      </c>
      <c r="G6070" t="s">
        <v>35</v>
      </c>
      <c r="H6070" t="s">
        <v>35</v>
      </c>
      <c r="J6070" t="s">
        <v>6462</v>
      </c>
      <c r="K6070" t="s">
        <v>1092</v>
      </c>
      <c r="M6070">
        <v>0.9</v>
      </c>
      <c r="N6070">
        <v>212</v>
      </c>
      <c r="O6070" t="s">
        <v>5</v>
      </c>
      <c r="Q6070" t="s">
        <v>1711</v>
      </c>
      <c r="R6070" t="s">
        <v>844</v>
      </c>
      <c r="S6070" t="s">
        <v>806</v>
      </c>
    </row>
    <row r="6071" spans="1:19" x14ac:dyDescent="0.25">
      <c r="A6071" t="s">
        <v>30</v>
      </c>
      <c r="B6071" t="s">
        <v>31</v>
      </c>
      <c r="C6071" t="s">
        <v>32</v>
      </c>
      <c r="D6071" t="s">
        <v>771</v>
      </c>
      <c r="E6071" t="s">
        <v>875</v>
      </c>
      <c r="F6071" t="s">
        <v>35</v>
      </c>
      <c r="G6071" t="s">
        <v>35</v>
      </c>
      <c r="H6071" t="s">
        <v>35</v>
      </c>
      <c r="J6071" t="s">
        <v>6463</v>
      </c>
      <c r="K6071" t="s">
        <v>1092</v>
      </c>
      <c r="M6071">
        <v>8.2799999999999994</v>
      </c>
      <c r="N6071">
        <v>108</v>
      </c>
      <c r="O6071" t="s">
        <v>106</v>
      </c>
      <c r="Q6071" t="s">
        <v>1450</v>
      </c>
      <c r="R6071" t="s">
        <v>6011</v>
      </c>
      <c r="S6071" t="s">
        <v>780</v>
      </c>
    </row>
    <row r="6072" spans="1:19" x14ac:dyDescent="0.25">
      <c r="A6072" t="s">
        <v>30</v>
      </c>
      <c r="B6072" t="s">
        <v>31</v>
      </c>
      <c r="C6072" t="s">
        <v>32</v>
      </c>
      <c r="D6072" t="s">
        <v>771</v>
      </c>
      <c r="E6072" t="s">
        <v>875</v>
      </c>
      <c r="F6072" t="s">
        <v>35</v>
      </c>
      <c r="G6072" t="s">
        <v>35</v>
      </c>
      <c r="H6072" t="s">
        <v>35</v>
      </c>
      <c r="J6072" t="s">
        <v>6464</v>
      </c>
      <c r="K6072" t="s">
        <v>1092</v>
      </c>
      <c r="M6072">
        <v>5.58</v>
      </c>
      <c r="N6072">
        <v>453</v>
      </c>
      <c r="O6072" t="s">
        <v>294</v>
      </c>
      <c r="Q6072" t="s">
        <v>6465</v>
      </c>
      <c r="R6072" t="s">
        <v>849</v>
      </c>
      <c r="S6072" t="s">
        <v>850</v>
      </c>
    </row>
    <row r="6073" spans="1:19" x14ac:dyDescent="0.25">
      <c r="A6073" t="s">
        <v>59</v>
      </c>
      <c r="B6073" t="s">
        <v>60</v>
      </c>
      <c r="C6073" t="s">
        <v>32</v>
      </c>
      <c r="D6073" t="s">
        <v>771</v>
      </c>
      <c r="E6073" t="s">
        <v>875</v>
      </c>
      <c r="F6073" t="s">
        <v>35</v>
      </c>
      <c r="G6073" t="s">
        <v>35</v>
      </c>
      <c r="H6073" t="s">
        <v>35</v>
      </c>
      <c r="J6073" t="s">
        <v>6464</v>
      </c>
      <c r="K6073" t="s">
        <v>1092</v>
      </c>
      <c r="M6073">
        <v>0.75</v>
      </c>
      <c r="N6073">
        <v>453</v>
      </c>
      <c r="O6073" t="s">
        <v>294</v>
      </c>
      <c r="Q6073" t="s">
        <v>6465</v>
      </c>
      <c r="R6073" t="s">
        <v>849</v>
      </c>
      <c r="S6073" t="s">
        <v>850</v>
      </c>
    </row>
    <row r="6074" spans="1:19" x14ac:dyDescent="0.25">
      <c r="A6074" t="s">
        <v>30</v>
      </c>
      <c r="B6074" t="s">
        <v>31</v>
      </c>
      <c r="C6074" t="s">
        <v>32</v>
      </c>
      <c r="D6074" t="s">
        <v>771</v>
      </c>
      <c r="E6074" t="s">
        <v>875</v>
      </c>
      <c r="F6074" t="s">
        <v>35</v>
      </c>
      <c r="G6074" t="s">
        <v>35</v>
      </c>
      <c r="H6074" t="s">
        <v>35</v>
      </c>
      <c r="J6074" t="s">
        <v>6466</v>
      </c>
      <c r="K6074" t="s">
        <v>1092</v>
      </c>
      <c r="M6074">
        <v>1.53</v>
      </c>
      <c r="N6074">
        <v>42</v>
      </c>
      <c r="O6074" t="s">
        <v>52</v>
      </c>
      <c r="Q6074" t="s">
        <v>991</v>
      </c>
      <c r="R6074" t="s">
        <v>6020</v>
      </c>
      <c r="S6074" t="s">
        <v>921</v>
      </c>
    </row>
    <row r="6075" spans="1:19" x14ac:dyDescent="0.25">
      <c r="A6075" t="s">
        <v>59</v>
      </c>
      <c r="B6075" t="s">
        <v>31</v>
      </c>
      <c r="C6075" t="s">
        <v>32</v>
      </c>
      <c r="D6075" t="s">
        <v>771</v>
      </c>
      <c r="E6075" t="s">
        <v>875</v>
      </c>
      <c r="F6075" t="s">
        <v>35</v>
      </c>
      <c r="G6075" t="s">
        <v>35</v>
      </c>
      <c r="H6075" t="s">
        <v>35</v>
      </c>
      <c r="J6075" t="s">
        <v>6467</v>
      </c>
      <c r="K6075" t="s">
        <v>1092</v>
      </c>
      <c r="M6075">
        <v>3.51</v>
      </c>
      <c r="N6075">
        <v>45</v>
      </c>
      <c r="O6075" t="s">
        <v>52</v>
      </c>
      <c r="Q6075" t="s">
        <v>716</v>
      </c>
      <c r="R6075" t="s">
        <v>919</v>
      </c>
      <c r="S6075" t="s">
        <v>784</v>
      </c>
    </row>
    <row r="6076" spans="1:19" x14ac:dyDescent="0.25">
      <c r="A6076" t="s">
        <v>30</v>
      </c>
      <c r="B6076" t="s">
        <v>31</v>
      </c>
      <c r="C6076" t="s">
        <v>32</v>
      </c>
      <c r="D6076" t="s">
        <v>771</v>
      </c>
      <c r="E6076" t="s">
        <v>875</v>
      </c>
      <c r="F6076" t="s">
        <v>35</v>
      </c>
      <c r="G6076" t="s">
        <v>35</v>
      </c>
      <c r="H6076" t="s">
        <v>35</v>
      </c>
      <c r="J6076" t="s">
        <v>6468</v>
      </c>
      <c r="K6076" t="s">
        <v>1092</v>
      </c>
      <c r="M6076">
        <v>6.6150000000000002</v>
      </c>
      <c r="N6076">
        <v>46</v>
      </c>
      <c r="O6076" t="s">
        <v>52</v>
      </c>
      <c r="Q6076" t="s">
        <v>493</v>
      </c>
      <c r="R6076" t="s">
        <v>6020</v>
      </c>
      <c r="S6076" t="s">
        <v>921</v>
      </c>
    </row>
    <row r="6077" spans="1:19" x14ac:dyDescent="0.25">
      <c r="A6077" t="s">
        <v>30</v>
      </c>
      <c r="B6077" t="s">
        <v>31</v>
      </c>
      <c r="C6077" t="s">
        <v>32</v>
      </c>
      <c r="D6077" t="s">
        <v>771</v>
      </c>
      <c r="E6077" t="s">
        <v>875</v>
      </c>
      <c r="F6077" t="s">
        <v>35</v>
      </c>
      <c r="G6077" t="s">
        <v>35</v>
      </c>
      <c r="H6077" t="s">
        <v>35</v>
      </c>
      <c r="J6077" t="s">
        <v>6469</v>
      </c>
      <c r="K6077" t="s">
        <v>1092</v>
      </c>
      <c r="M6077">
        <v>4.9050000000000002</v>
      </c>
      <c r="N6077">
        <v>117</v>
      </c>
      <c r="O6077" t="s">
        <v>106</v>
      </c>
      <c r="Q6077" t="s">
        <v>3342</v>
      </c>
      <c r="R6077" t="s">
        <v>849</v>
      </c>
      <c r="S6077" t="s">
        <v>850</v>
      </c>
    </row>
    <row r="6078" spans="1:19" x14ac:dyDescent="0.25">
      <c r="A6078" t="s">
        <v>30</v>
      </c>
      <c r="B6078" t="s">
        <v>31</v>
      </c>
      <c r="C6078" t="s">
        <v>32</v>
      </c>
      <c r="D6078" t="s">
        <v>771</v>
      </c>
      <c r="E6078" t="s">
        <v>875</v>
      </c>
      <c r="F6078" t="s">
        <v>35</v>
      </c>
      <c r="G6078" t="s">
        <v>35</v>
      </c>
      <c r="H6078" t="s">
        <v>35</v>
      </c>
      <c r="J6078" t="s">
        <v>6469</v>
      </c>
      <c r="K6078" t="s">
        <v>1092</v>
      </c>
      <c r="M6078">
        <v>7.02</v>
      </c>
      <c r="N6078">
        <v>47</v>
      </c>
      <c r="O6078" t="s">
        <v>52</v>
      </c>
      <c r="Q6078" t="s">
        <v>132</v>
      </c>
      <c r="R6078" t="s">
        <v>849</v>
      </c>
      <c r="S6078" t="s">
        <v>850</v>
      </c>
    </row>
    <row r="6079" spans="1:19" x14ac:dyDescent="0.25">
      <c r="A6079" t="s">
        <v>59</v>
      </c>
      <c r="B6079" t="s">
        <v>60</v>
      </c>
      <c r="C6079" t="s">
        <v>32</v>
      </c>
      <c r="D6079" t="s">
        <v>771</v>
      </c>
      <c r="E6079" t="s">
        <v>875</v>
      </c>
      <c r="F6079" t="s">
        <v>35</v>
      </c>
      <c r="G6079" t="s">
        <v>35</v>
      </c>
      <c r="H6079" t="s">
        <v>35</v>
      </c>
      <c r="J6079" t="s">
        <v>6470</v>
      </c>
      <c r="K6079" t="s">
        <v>1092</v>
      </c>
      <c r="M6079">
        <v>0.3</v>
      </c>
      <c r="N6079">
        <v>1240</v>
      </c>
      <c r="O6079" t="s">
        <v>575</v>
      </c>
      <c r="Q6079" t="s">
        <v>6471</v>
      </c>
      <c r="R6079" t="s">
        <v>6022</v>
      </c>
      <c r="S6079" t="s">
        <v>937</v>
      </c>
    </row>
    <row r="6080" spans="1:19" x14ac:dyDescent="0.25">
      <c r="A6080" t="s">
        <v>30</v>
      </c>
      <c r="B6080" t="s">
        <v>31</v>
      </c>
      <c r="C6080" t="s">
        <v>32</v>
      </c>
      <c r="D6080" t="s">
        <v>771</v>
      </c>
      <c r="E6080" t="s">
        <v>875</v>
      </c>
      <c r="F6080" t="s">
        <v>35</v>
      </c>
      <c r="G6080" t="s">
        <v>35</v>
      </c>
      <c r="H6080" t="s">
        <v>35</v>
      </c>
      <c r="J6080" t="s">
        <v>6470</v>
      </c>
      <c r="K6080" t="s">
        <v>1092</v>
      </c>
      <c r="M6080">
        <v>1.08</v>
      </c>
      <c r="N6080">
        <v>1240</v>
      </c>
      <c r="O6080" t="s">
        <v>575</v>
      </c>
      <c r="Q6080" t="s">
        <v>6471</v>
      </c>
      <c r="R6080" t="s">
        <v>6022</v>
      </c>
      <c r="S6080" t="s">
        <v>937</v>
      </c>
    </row>
    <row r="6081" spans="1:19" x14ac:dyDescent="0.25">
      <c r="A6081" t="s">
        <v>30</v>
      </c>
      <c r="B6081" t="s">
        <v>31</v>
      </c>
      <c r="C6081" t="s">
        <v>32</v>
      </c>
      <c r="D6081" t="s">
        <v>771</v>
      </c>
      <c r="E6081" t="s">
        <v>875</v>
      </c>
      <c r="F6081" t="s">
        <v>35</v>
      </c>
      <c r="G6081" t="s">
        <v>35</v>
      </c>
      <c r="H6081" t="s">
        <v>35</v>
      </c>
      <c r="J6081" t="s">
        <v>6472</v>
      </c>
      <c r="K6081" t="s">
        <v>1092</v>
      </c>
      <c r="M6081">
        <v>9.99</v>
      </c>
      <c r="N6081">
        <v>47</v>
      </c>
      <c r="O6081" t="s">
        <v>52</v>
      </c>
      <c r="Q6081" t="s">
        <v>132</v>
      </c>
      <c r="R6081" t="s">
        <v>849</v>
      </c>
      <c r="S6081" t="s">
        <v>850</v>
      </c>
    </row>
    <row r="6082" spans="1:19" x14ac:dyDescent="0.25">
      <c r="A6082" t="s">
        <v>59</v>
      </c>
      <c r="B6082" t="s">
        <v>31</v>
      </c>
      <c r="C6082" t="s">
        <v>32</v>
      </c>
      <c r="D6082" t="s">
        <v>771</v>
      </c>
      <c r="E6082" t="s">
        <v>875</v>
      </c>
      <c r="F6082" t="s">
        <v>35</v>
      </c>
      <c r="G6082" t="s">
        <v>35</v>
      </c>
      <c r="H6082" t="s">
        <v>35</v>
      </c>
      <c r="J6082" t="s">
        <v>6472</v>
      </c>
      <c r="K6082" t="s">
        <v>1092</v>
      </c>
      <c r="M6082">
        <v>13.23</v>
      </c>
      <c r="N6082">
        <v>41</v>
      </c>
      <c r="O6082" t="s">
        <v>52</v>
      </c>
      <c r="Q6082" t="s">
        <v>249</v>
      </c>
      <c r="R6082" t="s">
        <v>849</v>
      </c>
      <c r="S6082" t="s">
        <v>850</v>
      </c>
    </row>
    <row r="6083" spans="1:19" x14ac:dyDescent="0.25">
      <c r="A6083" t="s">
        <v>59</v>
      </c>
      <c r="B6083" t="s">
        <v>60</v>
      </c>
      <c r="C6083" t="s">
        <v>32</v>
      </c>
      <c r="D6083" t="s">
        <v>771</v>
      </c>
      <c r="E6083" t="s">
        <v>875</v>
      </c>
      <c r="F6083" t="s">
        <v>35</v>
      </c>
      <c r="G6083" t="s">
        <v>35</v>
      </c>
      <c r="H6083" t="s">
        <v>35</v>
      </c>
      <c r="J6083" t="s">
        <v>6472</v>
      </c>
      <c r="K6083" t="s">
        <v>1092</v>
      </c>
      <c r="M6083">
        <v>0.75</v>
      </c>
      <c r="N6083">
        <v>431</v>
      </c>
      <c r="O6083" t="s">
        <v>294</v>
      </c>
      <c r="Q6083" t="s">
        <v>3381</v>
      </c>
      <c r="R6083" t="s">
        <v>849</v>
      </c>
      <c r="S6083" t="s">
        <v>850</v>
      </c>
    </row>
    <row r="6084" spans="1:19" x14ac:dyDescent="0.25">
      <c r="A6084" t="s">
        <v>30</v>
      </c>
      <c r="B6084" t="s">
        <v>31</v>
      </c>
      <c r="C6084" t="s">
        <v>32</v>
      </c>
      <c r="D6084" t="s">
        <v>771</v>
      </c>
      <c r="E6084" t="s">
        <v>875</v>
      </c>
      <c r="F6084" t="s">
        <v>35</v>
      </c>
      <c r="G6084" t="s">
        <v>35</v>
      </c>
      <c r="H6084" t="s">
        <v>35</v>
      </c>
      <c r="J6084" t="s">
        <v>6473</v>
      </c>
      <c r="K6084" t="s">
        <v>1092</v>
      </c>
      <c r="M6084">
        <v>8.5950000000000006</v>
      </c>
      <c r="N6084">
        <v>100</v>
      </c>
      <c r="O6084" t="s">
        <v>106</v>
      </c>
      <c r="Q6084" t="s">
        <v>1112</v>
      </c>
      <c r="R6084" t="s">
        <v>919</v>
      </c>
      <c r="S6084" t="s">
        <v>784</v>
      </c>
    </row>
    <row r="6085" spans="1:19" x14ac:dyDescent="0.25">
      <c r="A6085" t="s">
        <v>30</v>
      </c>
      <c r="B6085" t="s">
        <v>31</v>
      </c>
      <c r="C6085" t="s">
        <v>32</v>
      </c>
      <c r="D6085" t="s">
        <v>771</v>
      </c>
      <c r="E6085" t="s">
        <v>875</v>
      </c>
      <c r="F6085" t="s">
        <v>35</v>
      </c>
      <c r="G6085" t="s">
        <v>35</v>
      </c>
      <c r="H6085" t="s">
        <v>35</v>
      </c>
      <c r="J6085" t="s">
        <v>6474</v>
      </c>
      <c r="K6085" t="s">
        <v>1092</v>
      </c>
      <c r="M6085">
        <v>9.1349999999999998</v>
      </c>
      <c r="N6085">
        <v>47</v>
      </c>
      <c r="O6085" t="s">
        <v>52</v>
      </c>
      <c r="Q6085" t="s">
        <v>132</v>
      </c>
      <c r="R6085" t="s">
        <v>849</v>
      </c>
      <c r="S6085" t="s">
        <v>850</v>
      </c>
    </row>
    <row r="6086" spans="1:19" x14ac:dyDescent="0.25">
      <c r="A6086" t="s">
        <v>30</v>
      </c>
      <c r="B6086" t="s">
        <v>31</v>
      </c>
      <c r="C6086" t="s">
        <v>32</v>
      </c>
      <c r="D6086" t="s">
        <v>771</v>
      </c>
      <c r="E6086" t="s">
        <v>875</v>
      </c>
      <c r="F6086" t="s">
        <v>35</v>
      </c>
      <c r="G6086" t="s">
        <v>35</v>
      </c>
      <c r="H6086" t="s">
        <v>35</v>
      </c>
      <c r="J6086" t="s">
        <v>1484</v>
      </c>
      <c r="K6086" t="s">
        <v>1092</v>
      </c>
      <c r="M6086">
        <v>2.0699999999999998</v>
      </c>
      <c r="N6086">
        <v>41</v>
      </c>
      <c r="O6086" t="s">
        <v>52</v>
      </c>
      <c r="Q6086" t="s">
        <v>249</v>
      </c>
      <c r="R6086" t="s">
        <v>849</v>
      </c>
      <c r="S6086" t="s">
        <v>850</v>
      </c>
    </row>
    <row r="6087" spans="1:19" x14ac:dyDescent="0.25">
      <c r="A6087" t="s">
        <v>30</v>
      </c>
      <c r="B6087" t="s">
        <v>31</v>
      </c>
      <c r="C6087" t="s">
        <v>32</v>
      </c>
      <c r="D6087" t="s">
        <v>771</v>
      </c>
      <c r="E6087" t="s">
        <v>875</v>
      </c>
      <c r="F6087" t="s">
        <v>35</v>
      </c>
      <c r="G6087" t="s">
        <v>35</v>
      </c>
      <c r="H6087" t="s">
        <v>35</v>
      </c>
      <c r="J6087" t="s">
        <v>6475</v>
      </c>
      <c r="K6087" t="s">
        <v>1092</v>
      </c>
      <c r="M6087">
        <v>1.2</v>
      </c>
      <c r="N6087">
        <v>563</v>
      </c>
      <c r="O6087" t="s">
        <v>575</v>
      </c>
      <c r="Q6087" t="s">
        <v>6476</v>
      </c>
      <c r="R6087" t="s">
        <v>6318</v>
      </c>
      <c r="S6087" t="s">
        <v>800</v>
      </c>
    </row>
    <row r="6088" spans="1:19" x14ac:dyDescent="0.25">
      <c r="A6088" t="s">
        <v>30</v>
      </c>
      <c r="B6088" t="s">
        <v>31</v>
      </c>
      <c r="C6088" t="s">
        <v>32</v>
      </c>
      <c r="D6088" t="s">
        <v>771</v>
      </c>
      <c r="E6088" t="s">
        <v>875</v>
      </c>
      <c r="F6088" t="s">
        <v>35</v>
      </c>
      <c r="G6088" t="s">
        <v>35</v>
      </c>
      <c r="H6088" t="s">
        <v>35</v>
      </c>
      <c r="J6088" t="s">
        <v>6477</v>
      </c>
      <c r="K6088" t="s">
        <v>1092</v>
      </c>
      <c r="M6088">
        <v>2.1850000000000001</v>
      </c>
      <c r="N6088">
        <v>45</v>
      </c>
      <c r="O6088" t="s">
        <v>52</v>
      </c>
      <c r="Q6088" t="s">
        <v>716</v>
      </c>
      <c r="R6088" t="s">
        <v>6356</v>
      </c>
      <c r="S6088" t="s">
        <v>943</v>
      </c>
    </row>
    <row r="6089" spans="1:19" x14ac:dyDescent="0.25">
      <c r="A6089" t="s">
        <v>59</v>
      </c>
      <c r="B6089" t="s">
        <v>31</v>
      </c>
      <c r="C6089" t="s">
        <v>32</v>
      </c>
      <c r="D6089" t="s">
        <v>771</v>
      </c>
      <c r="E6089" t="s">
        <v>875</v>
      </c>
      <c r="F6089" t="s">
        <v>35</v>
      </c>
      <c r="G6089" t="s">
        <v>35</v>
      </c>
      <c r="H6089" t="s">
        <v>35</v>
      </c>
      <c r="J6089" t="s">
        <v>6478</v>
      </c>
      <c r="K6089" t="s">
        <v>1092</v>
      </c>
      <c r="M6089">
        <v>3.51</v>
      </c>
      <c r="N6089">
        <v>45</v>
      </c>
      <c r="O6089" t="s">
        <v>52</v>
      </c>
      <c r="Q6089" t="s">
        <v>716</v>
      </c>
      <c r="R6089" t="s">
        <v>919</v>
      </c>
      <c r="S6089" t="s">
        <v>784</v>
      </c>
    </row>
    <row r="6090" spans="1:19" x14ac:dyDescent="0.25">
      <c r="A6090" t="s">
        <v>30</v>
      </c>
      <c r="B6090" t="s">
        <v>31</v>
      </c>
      <c r="C6090" t="s">
        <v>32</v>
      </c>
      <c r="D6090" t="s">
        <v>771</v>
      </c>
      <c r="E6090" t="s">
        <v>875</v>
      </c>
      <c r="F6090" t="s">
        <v>35</v>
      </c>
      <c r="G6090" t="s">
        <v>35</v>
      </c>
      <c r="H6090" t="s">
        <v>35</v>
      </c>
      <c r="J6090" t="s">
        <v>6478</v>
      </c>
      <c r="K6090" t="s">
        <v>1092</v>
      </c>
      <c r="M6090">
        <v>0.94499999999999995</v>
      </c>
      <c r="N6090">
        <v>46</v>
      </c>
      <c r="O6090" t="s">
        <v>52</v>
      </c>
      <c r="Q6090" t="s">
        <v>493</v>
      </c>
      <c r="R6090" t="s">
        <v>6020</v>
      </c>
      <c r="S6090" t="s">
        <v>921</v>
      </c>
    </row>
    <row r="6091" spans="1:19" x14ac:dyDescent="0.25">
      <c r="A6091" t="s">
        <v>44</v>
      </c>
      <c r="B6091" t="s">
        <v>51</v>
      </c>
      <c r="C6091" t="s">
        <v>32</v>
      </c>
      <c r="D6091" t="s">
        <v>771</v>
      </c>
      <c r="E6091" t="s">
        <v>875</v>
      </c>
      <c r="F6091" t="s">
        <v>35</v>
      </c>
      <c r="G6091" t="s">
        <v>35</v>
      </c>
      <c r="H6091" t="s">
        <v>35</v>
      </c>
      <c r="J6091" t="s">
        <v>6478</v>
      </c>
      <c r="K6091" t="s">
        <v>1092</v>
      </c>
      <c r="M6091">
        <v>0.5</v>
      </c>
      <c r="N6091">
        <v>53</v>
      </c>
      <c r="O6091" t="s">
        <v>52</v>
      </c>
      <c r="Q6091" t="s">
        <v>332</v>
      </c>
      <c r="R6091" t="s">
        <v>6020</v>
      </c>
      <c r="S6091" t="s">
        <v>921</v>
      </c>
    </row>
    <row r="6092" spans="1:19" x14ac:dyDescent="0.25">
      <c r="A6092" t="s">
        <v>44</v>
      </c>
      <c r="B6092" t="s">
        <v>3</v>
      </c>
      <c r="C6092" t="s">
        <v>32</v>
      </c>
      <c r="D6092" t="s">
        <v>771</v>
      </c>
      <c r="E6092" t="s">
        <v>875</v>
      </c>
      <c r="F6092" t="s">
        <v>35</v>
      </c>
      <c r="G6092" t="s">
        <v>35</v>
      </c>
      <c r="H6092" t="s">
        <v>35</v>
      </c>
      <c r="J6092" t="s">
        <v>6479</v>
      </c>
      <c r="K6092" t="s">
        <v>1092</v>
      </c>
      <c r="M6092">
        <v>0.4</v>
      </c>
      <c r="N6092">
        <v>276</v>
      </c>
      <c r="O6092" t="s">
        <v>5</v>
      </c>
      <c r="Q6092" t="s">
        <v>1952</v>
      </c>
      <c r="R6092" t="s">
        <v>849</v>
      </c>
      <c r="S6092" t="s">
        <v>850</v>
      </c>
    </row>
    <row r="6093" spans="1:19" x14ac:dyDescent="0.25">
      <c r="A6093" t="s">
        <v>59</v>
      </c>
      <c r="B6093" t="s">
        <v>31</v>
      </c>
      <c r="C6093" t="s">
        <v>32</v>
      </c>
      <c r="D6093" t="s">
        <v>771</v>
      </c>
      <c r="E6093" t="s">
        <v>875</v>
      </c>
      <c r="F6093" t="s">
        <v>35</v>
      </c>
      <c r="G6093" t="s">
        <v>35</v>
      </c>
      <c r="H6093" t="s">
        <v>35</v>
      </c>
      <c r="J6093" t="s">
        <v>6479</v>
      </c>
      <c r="K6093" t="s">
        <v>1092</v>
      </c>
      <c r="M6093">
        <v>1.3049999999999999</v>
      </c>
      <c r="N6093">
        <v>412</v>
      </c>
      <c r="O6093" t="s">
        <v>294</v>
      </c>
      <c r="Q6093" t="s">
        <v>3472</v>
      </c>
      <c r="R6093" t="s">
        <v>849</v>
      </c>
      <c r="S6093" t="s">
        <v>850</v>
      </c>
    </row>
    <row r="6094" spans="1:19" x14ac:dyDescent="0.25">
      <c r="A6094" t="s">
        <v>30</v>
      </c>
      <c r="B6094" t="s">
        <v>31</v>
      </c>
      <c r="C6094" t="s">
        <v>32</v>
      </c>
      <c r="D6094" t="s">
        <v>771</v>
      </c>
      <c r="E6094" t="s">
        <v>875</v>
      </c>
      <c r="F6094" t="s">
        <v>35</v>
      </c>
      <c r="G6094" t="s">
        <v>35</v>
      </c>
      <c r="H6094" t="s">
        <v>35</v>
      </c>
      <c r="J6094" t="s">
        <v>6479</v>
      </c>
      <c r="K6094" t="s">
        <v>1092</v>
      </c>
      <c r="M6094">
        <v>6.75</v>
      </c>
      <c r="N6094">
        <v>27</v>
      </c>
      <c r="O6094" t="s">
        <v>46</v>
      </c>
      <c r="Q6094" t="s">
        <v>1011</v>
      </c>
      <c r="R6094" t="s">
        <v>849</v>
      </c>
      <c r="S6094" t="s">
        <v>850</v>
      </c>
    </row>
    <row r="6095" spans="1:19" x14ac:dyDescent="0.25">
      <c r="A6095" t="s">
        <v>59</v>
      </c>
      <c r="B6095" t="s">
        <v>31</v>
      </c>
      <c r="C6095" t="s">
        <v>32</v>
      </c>
      <c r="D6095" t="s">
        <v>771</v>
      </c>
      <c r="E6095" t="s">
        <v>875</v>
      </c>
      <c r="F6095" t="s">
        <v>35</v>
      </c>
      <c r="G6095" t="s">
        <v>35</v>
      </c>
      <c r="H6095" t="s">
        <v>35</v>
      </c>
      <c r="J6095" t="s">
        <v>6479</v>
      </c>
      <c r="K6095" t="s">
        <v>1092</v>
      </c>
      <c r="M6095">
        <v>2.0249999999999999</v>
      </c>
      <c r="N6095">
        <v>143</v>
      </c>
      <c r="O6095" t="s">
        <v>38</v>
      </c>
      <c r="Q6095" t="s">
        <v>2121</v>
      </c>
      <c r="R6095" t="s">
        <v>849</v>
      </c>
      <c r="S6095" t="s">
        <v>850</v>
      </c>
    </row>
    <row r="6096" spans="1:19" x14ac:dyDescent="0.25">
      <c r="A6096" t="s">
        <v>30</v>
      </c>
      <c r="B6096" t="s">
        <v>31</v>
      </c>
      <c r="C6096" t="s">
        <v>32</v>
      </c>
      <c r="D6096" t="s">
        <v>771</v>
      </c>
      <c r="E6096" t="s">
        <v>875</v>
      </c>
      <c r="F6096" t="s">
        <v>35</v>
      </c>
      <c r="G6096" t="s">
        <v>35</v>
      </c>
      <c r="H6096" t="s">
        <v>35</v>
      </c>
      <c r="J6096" t="s">
        <v>6480</v>
      </c>
      <c r="K6096" t="s">
        <v>1092</v>
      </c>
      <c r="M6096">
        <v>0.18</v>
      </c>
      <c r="N6096">
        <v>235</v>
      </c>
      <c r="O6096" t="s">
        <v>5</v>
      </c>
      <c r="Q6096" t="s">
        <v>4942</v>
      </c>
      <c r="R6096" t="s">
        <v>6090</v>
      </c>
      <c r="S6096" t="s">
        <v>6091</v>
      </c>
    </row>
    <row r="6097" spans="1:19" x14ac:dyDescent="0.25">
      <c r="A6097" t="s">
        <v>30</v>
      </c>
      <c r="B6097" t="s">
        <v>31</v>
      </c>
      <c r="C6097" t="s">
        <v>32</v>
      </c>
      <c r="D6097" t="s">
        <v>771</v>
      </c>
      <c r="E6097" t="s">
        <v>875</v>
      </c>
      <c r="F6097" t="s">
        <v>35</v>
      </c>
      <c r="G6097" t="s">
        <v>35</v>
      </c>
      <c r="H6097" t="s">
        <v>35</v>
      </c>
      <c r="J6097" t="s">
        <v>6481</v>
      </c>
      <c r="K6097" t="s">
        <v>1092</v>
      </c>
      <c r="M6097">
        <v>5.8949999999999996</v>
      </c>
      <c r="N6097">
        <v>47</v>
      </c>
      <c r="O6097" t="s">
        <v>52</v>
      </c>
      <c r="Q6097" t="s">
        <v>132</v>
      </c>
      <c r="R6097" t="s">
        <v>849</v>
      </c>
      <c r="S6097" t="s">
        <v>850</v>
      </c>
    </row>
    <row r="6098" spans="1:19" x14ac:dyDescent="0.25">
      <c r="A6098" t="s">
        <v>59</v>
      </c>
      <c r="B6098" t="s">
        <v>60</v>
      </c>
      <c r="C6098" t="s">
        <v>32</v>
      </c>
      <c r="D6098" t="s">
        <v>771</v>
      </c>
      <c r="E6098" t="s">
        <v>875</v>
      </c>
      <c r="F6098" t="s">
        <v>35</v>
      </c>
      <c r="G6098" t="s">
        <v>35</v>
      </c>
      <c r="H6098" t="s">
        <v>35</v>
      </c>
      <c r="J6098" t="s">
        <v>6481</v>
      </c>
      <c r="K6098" t="s">
        <v>1092</v>
      </c>
      <c r="M6098">
        <v>8.5</v>
      </c>
      <c r="N6098">
        <v>32</v>
      </c>
      <c r="O6098" t="s">
        <v>52</v>
      </c>
      <c r="Q6098" t="s">
        <v>547</v>
      </c>
      <c r="R6098" t="s">
        <v>849</v>
      </c>
      <c r="S6098" t="s">
        <v>850</v>
      </c>
    </row>
    <row r="6099" spans="1:19" x14ac:dyDescent="0.25">
      <c r="A6099" t="s">
        <v>59</v>
      </c>
      <c r="B6099" t="s">
        <v>31</v>
      </c>
      <c r="C6099" t="s">
        <v>32</v>
      </c>
      <c r="D6099" t="s">
        <v>771</v>
      </c>
      <c r="E6099" t="s">
        <v>888</v>
      </c>
      <c r="F6099" t="s">
        <v>35</v>
      </c>
      <c r="G6099" t="s">
        <v>35</v>
      </c>
      <c r="H6099" t="s">
        <v>35</v>
      </c>
      <c r="J6099" t="s">
        <v>6482</v>
      </c>
      <c r="K6099" t="s">
        <v>1092</v>
      </c>
      <c r="M6099">
        <v>3.33</v>
      </c>
      <c r="N6099">
        <v>156</v>
      </c>
      <c r="O6099" t="s">
        <v>38</v>
      </c>
      <c r="Q6099" t="s">
        <v>75</v>
      </c>
      <c r="R6099" t="s">
        <v>934</v>
      </c>
      <c r="S6099" t="s">
        <v>935</v>
      </c>
    </row>
    <row r="6100" spans="1:19" x14ac:dyDescent="0.25">
      <c r="A6100" t="s">
        <v>59</v>
      </c>
      <c r="B6100" t="s">
        <v>60</v>
      </c>
      <c r="C6100" t="s">
        <v>32</v>
      </c>
      <c r="D6100" t="s">
        <v>771</v>
      </c>
      <c r="E6100" t="s">
        <v>888</v>
      </c>
      <c r="F6100" t="s">
        <v>35</v>
      </c>
      <c r="G6100" t="s">
        <v>35</v>
      </c>
      <c r="H6100" t="s">
        <v>35</v>
      </c>
      <c r="J6100" t="s">
        <v>6482</v>
      </c>
      <c r="K6100" t="s">
        <v>1092</v>
      </c>
      <c r="M6100">
        <v>3</v>
      </c>
      <c r="N6100">
        <v>156</v>
      </c>
      <c r="O6100" t="s">
        <v>38</v>
      </c>
      <c r="Q6100" t="s">
        <v>75</v>
      </c>
      <c r="R6100" t="s">
        <v>934</v>
      </c>
      <c r="S6100" t="s">
        <v>935</v>
      </c>
    </row>
    <row r="6101" spans="1:19" x14ac:dyDescent="0.25">
      <c r="A6101" t="s">
        <v>30</v>
      </c>
      <c r="B6101" t="s">
        <v>31</v>
      </c>
      <c r="C6101" t="s">
        <v>32</v>
      </c>
      <c r="D6101" t="s">
        <v>771</v>
      </c>
      <c r="E6101" t="s">
        <v>888</v>
      </c>
      <c r="F6101" t="s">
        <v>35</v>
      </c>
      <c r="G6101" t="s">
        <v>35</v>
      </c>
      <c r="H6101" t="s">
        <v>35</v>
      </c>
      <c r="J6101" t="s">
        <v>6483</v>
      </c>
      <c r="K6101" t="s">
        <v>1092</v>
      </c>
      <c r="M6101">
        <v>6.6150000000000002</v>
      </c>
      <c r="N6101">
        <v>117</v>
      </c>
      <c r="O6101" t="s">
        <v>106</v>
      </c>
      <c r="Q6101" t="s">
        <v>3342</v>
      </c>
      <c r="R6101" t="s">
        <v>849</v>
      </c>
      <c r="S6101" t="s">
        <v>850</v>
      </c>
    </row>
    <row r="6102" spans="1:19" x14ac:dyDescent="0.25">
      <c r="A6102" t="s">
        <v>59</v>
      </c>
      <c r="B6102" t="s">
        <v>60</v>
      </c>
      <c r="C6102" t="s">
        <v>32</v>
      </c>
      <c r="D6102" t="s">
        <v>771</v>
      </c>
      <c r="E6102" t="s">
        <v>888</v>
      </c>
      <c r="F6102" t="s">
        <v>35</v>
      </c>
      <c r="G6102" t="s">
        <v>35</v>
      </c>
      <c r="H6102" t="s">
        <v>35</v>
      </c>
      <c r="J6102" t="s">
        <v>6484</v>
      </c>
      <c r="K6102" t="s">
        <v>1092</v>
      </c>
      <c r="M6102">
        <v>0.5</v>
      </c>
      <c r="N6102">
        <v>153</v>
      </c>
      <c r="O6102" t="s">
        <v>38</v>
      </c>
      <c r="Q6102" t="s">
        <v>569</v>
      </c>
      <c r="R6102" t="s">
        <v>844</v>
      </c>
      <c r="S6102" t="s">
        <v>806</v>
      </c>
    </row>
    <row r="6103" spans="1:19" x14ac:dyDescent="0.25">
      <c r="A6103" t="s">
        <v>59</v>
      </c>
      <c r="B6103" t="s">
        <v>60</v>
      </c>
      <c r="C6103" t="s">
        <v>32</v>
      </c>
      <c r="D6103" t="s">
        <v>771</v>
      </c>
      <c r="E6103" t="s">
        <v>888</v>
      </c>
      <c r="F6103" t="s">
        <v>35</v>
      </c>
      <c r="G6103" t="s">
        <v>35</v>
      </c>
      <c r="H6103" t="s">
        <v>35</v>
      </c>
      <c r="J6103" t="s">
        <v>6484</v>
      </c>
      <c r="K6103" t="s">
        <v>1092</v>
      </c>
      <c r="M6103">
        <v>8</v>
      </c>
      <c r="N6103">
        <v>27</v>
      </c>
      <c r="O6103" t="s">
        <v>46</v>
      </c>
      <c r="Q6103" t="s">
        <v>1011</v>
      </c>
      <c r="R6103" t="s">
        <v>844</v>
      </c>
      <c r="S6103" t="s">
        <v>806</v>
      </c>
    </row>
    <row r="6104" spans="1:19" x14ac:dyDescent="0.25">
      <c r="A6104" t="s">
        <v>30</v>
      </c>
      <c r="B6104" t="s">
        <v>31</v>
      </c>
      <c r="C6104" t="s">
        <v>32</v>
      </c>
      <c r="D6104" t="s">
        <v>771</v>
      </c>
      <c r="E6104" t="s">
        <v>888</v>
      </c>
      <c r="F6104" t="s">
        <v>35</v>
      </c>
      <c r="G6104" t="s">
        <v>35</v>
      </c>
      <c r="H6104" t="s">
        <v>35</v>
      </c>
      <c r="J6104" t="s">
        <v>6484</v>
      </c>
      <c r="K6104" t="s">
        <v>1092</v>
      </c>
      <c r="M6104">
        <v>1.0349999999999999</v>
      </c>
      <c r="N6104">
        <v>111</v>
      </c>
      <c r="O6104" t="s">
        <v>106</v>
      </c>
      <c r="Q6104" t="s">
        <v>4219</v>
      </c>
      <c r="R6104" t="s">
        <v>844</v>
      </c>
      <c r="S6104" t="s">
        <v>806</v>
      </c>
    </row>
    <row r="6105" spans="1:19" x14ac:dyDescent="0.25">
      <c r="A6105" t="s">
        <v>59</v>
      </c>
      <c r="B6105" t="s">
        <v>31</v>
      </c>
      <c r="C6105" t="s">
        <v>32</v>
      </c>
      <c r="D6105" t="s">
        <v>771</v>
      </c>
      <c r="E6105" t="s">
        <v>888</v>
      </c>
      <c r="F6105" t="s">
        <v>35</v>
      </c>
      <c r="G6105" t="s">
        <v>35</v>
      </c>
      <c r="H6105" t="s">
        <v>35</v>
      </c>
      <c r="J6105" t="s">
        <v>6484</v>
      </c>
      <c r="K6105" t="s">
        <v>1092</v>
      </c>
      <c r="M6105">
        <v>3.0150000000000001</v>
      </c>
      <c r="N6105">
        <v>27</v>
      </c>
      <c r="O6105" t="s">
        <v>46</v>
      </c>
      <c r="Q6105" t="s">
        <v>1011</v>
      </c>
      <c r="R6105" t="s">
        <v>844</v>
      </c>
      <c r="S6105" t="s">
        <v>806</v>
      </c>
    </row>
    <row r="6106" spans="1:19" x14ac:dyDescent="0.25">
      <c r="A6106" t="s">
        <v>44</v>
      </c>
      <c r="B6106" t="s">
        <v>51</v>
      </c>
      <c r="C6106" t="s">
        <v>32</v>
      </c>
      <c r="D6106" t="s">
        <v>771</v>
      </c>
      <c r="E6106" t="s">
        <v>888</v>
      </c>
      <c r="F6106" t="s">
        <v>35</v>
      </c>
      <c r="G6106" t="s">
        <v>35</v>
      </c>
      <c r="H6106" t="s">
        <v>35</v>
      </c>
      <c r="J6106" t="s">
        <v>6485</v>
      </c>
      <c r="K6106" t="s">
        <v>1092</v>
      </c>
      <c r="M6106">
        <v>12</v>
      </c>
      <c r="N6106">
        <v>82</v>
      </c>
      <c r="O6106" t="s">
        <v>61</v>
      </c>
      <c r="Q6106" t="s">
        <v>447</v>
      </c>
      <c r="R6106" t="s">
        <v>893</v>
      </c>
      <c r="S6106" t="s">
        <v>894</v>
      </c>
    </row>
    <row r="6107" spans="1:19" x14ac:dyDescent="0.25">
      <c r="A6107" t="s">
        <v>59</v>
      </c>
      <c r="B6107" t="s">
        <v>31</v>
      </c>
      <c r="C6107" t="s">
        <v>32</v>
      </c>
      <c r="D6107" t="s">
        <v>771</v>
      </c>
      <c r="E6107" t="s">
        <v>888</v>
      </c>
      <c r="F6107" t="s">
        <v>35</v>
      </c>
      <c r="G6107" t="s">
        <v>35</v>
      </c>
      <c r="H6107" t="s">
        <v>35</v>
      </c>
      <c r="J6107" t="s">
        <v>6485</v>
      </c>
      <c r="K6107" t="s">
        <v>1092</v>
      </c>
      <c r="M6107">
        <v>9.99</v>
      </c>
      <c r="N6107">
        <v>89</v>
      </c>
      <c r="O6107" t="s">
        <v>61</v>
      </c>
      <c r="Q6107" t="s">
        <v>299</v>
      </c>
      <c r="R6107" t="s">
        <v>844</v>
      </c>
      <c r="S6107" t="s">
        <v>806</v>
      </c>
    </row>
    <row r="6108" spans="1:19" x14ac:dyDescent="0.25">
      <c r="A6108" t="s">
        <v>59</v>
      </c>
      <c r="B6108" t="s">
        <v>31</v>
      </c>
      <c r="C6108" t="s">
        <v>32</v>
      </c>
      <c r="D6108" t="s">
        <v>771</v>
      </c>
      <c r="E6108" t="s">
        <v>888</v>
      </c>
      <c r="F6108" t="s">
        <v>35</v>
      </c>
      <c r="G6108" t="s">
        <v>35</v>
      </c>
      <c r="H6108" t="s">
        <v>35</v>
      </c>
      <c r="J6108" t="s">
        <v>6485</v>
      </c>
      <c r="K6108" t="s">
        <v>1092</v>
      </c>
      <c r="M6108">
        <v>7.9649999999999999</v>
      </c>
      <c r="N6108">
        <v>43</v>
      </c>
      <c r="O6108" t="s">
        <v>52</v>
      </c>
      <c r="Q6108" t="s">
        <v>892</v>
      </c>
      <c r="R6108" t="s">
        <v>893</v>
      </c>
      <c r="S6108" t="s">
        <v>894</v>
      </c>
    </row>
    <row r="6109" spans="1:19" x14ac:dyDescent="0.25">
      <c r="A6109" t="s">
        <v>59</v>
      </c>
      <c r="B6109" t="s">
        <v>60</v>
      </c>
      <c r="C6109" t="s">
        <v>32</v>
      </c>
      <c r="D6109" t="s">
        <v>771</v>
      </c>
      <c r="E6109" t="s">
        <v>888</v>
      </c>
      <c r="F6109" t="s">
        <v>35</v>
      </c>
      <c r="G6109" t="s">
        <v>35</v>
      </c>
      <c r="H6109" t="s">
        <v>35</v>
      </c>
      <c r="J6109" t="s">
        <v>6485</v>
      </c>
      <c r="K6109" t="s">
        <v>1092</v>
      </c>
      <c r="M6109">
        <v>8</v>
      </c>
      <c r="N6109">
        <v>34</v>
      </c>
      <c r="O6109" t="s">
        <v>52</v>
      </c>
      <c r="Q6109" t="s">
        <v>809</v>
      </c>
      <c r="R6109" t="s">
        <v>844</v>
      </c>
      <c r="S6109" t="s">
        <v>806</v>
      </c>
    </row>
    <row r="6110" spans="1:19" x14ac:dyDescent="0.25">
      <c r="A6110" t="s">
        <v>59</v>
      </c>
      <c r="B6110" t="s">
        <v>60</v>
      </c>
      <c r="C6110" t="s">
        <v>32</v>
      </c>
      <c r="D6110" t="s">
        <v>771</v>
      </c>
      <c r="E6110" t="s">
        <v>888</v>
      </c>
      <c r="F6110" t="s">
        <v>35</v>
      </c>
      <c r="G6110" t="s">
        <v>35</v>
      </c>
      <c r="H6110" t="s">
        <v>35</v>
      </c>
      <c r="J6110" t="s">
        <v>6485</v>
      </c>
      <c r="K6110" t="s">
        <v>1092</v>
      </c>
      <c r="M6110">
        <v>6.25</v>
      </c>
      <c r="N6110">
        <v>43</v>
      </c>
      <c r="O6110" t="s">
        <v>52</v>
      </c>
      <c r="Q6110" t="s">
        <v>892</v>
      </c>
      <c r="R6110" t="s">
        <v>893</v>
      </c>
      <c r="S6110" t="s">
        <v>894</v>
      </c>
    </row>
    <row r="6111" spans="1:19" x14ac:dyDescent="0.25">
      <c r="A6111" t="s">
        <v>59</v>
      </c>
      <c r="B6111" t="s">
        <v>31</v>
      </c>
      <c r="C6111" t="s">
        <v>32</v>
      </c>
      <c r="D6111" t="s">
        <v>771</v>
      </c>
      <c r="E6111" t="s">
        <v>888</v>
      </c>
      <c r="F6111" t="s">
        <v>35</v>
      </c>
      <c r="G6111" t="s">
        <v>35</v>
      </c>
      <c r="H6111" t="s">
        <v>35</v>
      </c>
      <c r="J6111" t="s">
        <v>6485</v>
      </c>
      <c r="K6111" t="s">
        <v>1092</v>
      </c>
      <c r="M6111">
        <v>9.0449999999999999</v>
      </c>
      <c r="N6111">
        <v>90</v>
      </c>
      <c r="O6111" t="s">
        <v>61</v>
      </c>
      <c r="Q6111" t="s">
        <v>897</v>
      </c>
      <c r="R6111" t="s">
        <v>893</v>
      </c>
      <c r="S6111" t="s">
        <v>894</v>
      </c>
    </row>
    <row r="6112" spans="1:19" x14ac:dyDescent="0.25">
      <c r="A6112" t="s">
        <v>30</v>
      </c>
      <c r="B6112" t="s">
        <v>31</v>
      </c>
      <c r="C6112" t="s">
        <v>32</v>
      </c>
      <c r="D6112" t="s">
        <v>771</v>
      </c>
      <c r="E6112" t="s">
        <v>888</v>
      </c>
      <c r="F6112" t="s">
        <v>35</v>
      </c>
      <c r="G6112" t="s">
        <v>35</v>
      </c>
      <c r="H6112" t="s">
        <v>35</v>
      </c>
      <c r="J6112" t="s">
        <v>6485</v>
      </c>
      <c r="K6112" t="s">
        <v>1092</v>
      </c>
      <c r="M6112">
        <v>6.7949999999999999</v>
      </c>
      <c r="N6112">
        <v>48</v>
      </c>
      <c r="O6112" t="s">
        <v>52</v>
      </c>
      <c r="Q6112" t="s">
        <v>496</v>
      </c>
      <c r="R6112" t="s">
        <v>844</v>
      </c>
      <c r="S6112" t="s">
        <v>806</v>
      </c>
    </row>
    <row r="6113" spans="1:19" x14ac:dyDescent="0.25">
      <c r="A6113" t="s">
        <v>44</v>
      </c>
      <c r="B6113" t="s">
        <v>51</v>
      </c>
      <c r="C6113" t="s">
        <v>32</v>
      </c>
      <c r="D6113" t="s">
        <v>771</v>
      </c>
      <c r="E6113" t="s">
        <v>888</v>
      </c>
      <c r="F6113" t="s">
        <v>35</v>
      </c>
      <c r="G6113" t="s">
        <v>35</v>
      </c>
      <c r="H6113" t="s">
        <v>35</v>
      </c>
      <c r="J6113" t="s">
        <v>6485</v>
      </c>
      <c r="K6113" t="s">
        <v>1092</v>
      </c>
      <c r="M6113">
        <v>10</v>
      </c>
      <c r="N6113">
        <v>62</v>
      </c>
      <c r="O6113" t="s">
        <v>61</v>
      </c>
      <c r="Q6113" t="s">
        <v>90</v>
      </c>
      <c r="R6113" t="s">
        <v>844</v>
      </c>
      <c r="S6113" t="s">
        <v>806</v>
      </c>
    </row>
    <row r="6114" spans="1:19" x14ac:dyDescent="0.25">
      <c r="A6114" t="s">
        <v>30</v>
      </c>
      <c r="B6114" t="s">
        <v>31</v>
      </c>
      <c r="C6114" t="s">
        <v>32</v>
      </c>
      <c r="D6114" t="s">
        <v>771</v>
      </c>
      <c r="E6114" t="s">
        <v>888</v>
      </c>
      <c r="F6114" t="s">
        <v>35</v>
      </c>
      <c r="G6114" t="s">
        <v>35</v>
      </c>
      <c r="H6114" t="s">
        <v>35</v>
      </c>
      <c r="J6114" t="s">
        <v>6486</v>
      </c>
      <c r="K6114" t="s">
        <v>1092</v>
      </c>
      <c r="M6114">
        <v>1.98</v>
      </c>
      <c r="N6114">
        <v>164</v>
      </c>
      <c r="O6114" t="s">
        <v>38</v>
      </c>
      <c r="Q6114" t="s">
        <v>1587</v>
      </c>
      <c r="R6114" t="s">
        <v>6022</v>
      </c>
      <c r="S6114" t="s">
        <v>937</v>
      </c>
    </row>
    <row r="6115" spans="1:19" x14ac:dyDescent="0.25">
      <c r="A6115" t="s">
        <v>30</v>
      </c>
      <c r="B6115" t="s">
        <v>31</v>
      </c>
      <c r="C6115" t="s">
        <v>32</v>
      </c>
      <c r="D6115" t="s">
        <v>771</v>
      </c>
      <c r="E6115" t="s">
        <v>888</v>
      </c>
      <c r="F6115" t="s">
        <v>35</v>
      </c>
      <c r="G6115" t="s">
        <v>35</v>
      </c>
      <c r="H6115" t="s">
        <v>35</v>
      </c>
      <c r="J6115" t="s">
        <v>6486</v>
      </c>
      <c r="K6115" t="s">
        <v>1092</v>
      </c>
      <c r="M6115">
        <v>9.99</v>
      </c>
      <c r="N6115">
        <v>116</v>
      </c>
      <c r="O6115" t="s">
        <v>106</v>
      </c>
      <c r="Q6115" t="s">
        <v>1256</v>
      </c>
      <c r="R6115" t="s">
        <v>436</v>
      </c>
      <c r="S6115" t="s">
        <v>437</v>
      </c>
    </row>
    <row r="6116" spans="1:19" x14ac:dyDescent="0.25">
      <c r="A6116" t="s">
        <v>59</v>
      </c>
      <c r="B6116" t="s">
        <v>31</v>
      </c>
      <c r="C6116" t="s">
        <v>32</v>
      </c>
      <c r="D6116" t="s">
        <v>771</v>
      </c>
      <c r="E6116" t="s">
        <v>888</v>
      </c>
      <c r="F6116" t="s">
        <v>35</v>
      </c>
      <c r="G6116" t="s">
        <v>35</v>
      </c>
      <c r="H6116" t="s">
        <v>35</v>
      </c>
      <c r="J6116" t="s">
        <v>6486</v>
      </c>
      <c r="K6116" t="s">
        <v>1092</v>
      </c>
      <c r="M6116">
        <v>6.39</v>
      </c>
      <c r="N6116">
        <v>84</v>
      </c>
      <c r="O6116" t="s">
        <v>61</v>
      </c>
      <c r="Q6116" t="s">
        <v>778</v>
      </c>
      <c r="R6116" t="s">
        <v>436</v>
      </c>
      <c r="S6116" t="s">
        <v>437</v>
      </c>
    </row>
    <row r="6117" spans="1:19" x14ac:dyDescent="0.25">
      <c r="A6117" t="s">
        <v>59</v>
      </c>
      <c r="B6117" t="s">
        <v>60</v>
      </c>
      <c r="C6117" t="s">
        <v>32</v>
      </c>
      <c r="D6117" t="s">
        <v>771</v>
      </c>
      <c r="E6117" t="s">
        <v>888</v>
      </c>
      <c r="F6117" t="s">
        <v>35</v>
      </c>
      <c r="G6117" t="s">
        <v>35</v>
      </c>
      <c r="H6117" t="s">
        <v>35</v>
      </c>
      <c r="J6117" t="s">
        <v>6487</v>
      </c>
      <c r="K6117" t="s">
        <v>1092</v>
      </c>
      <c r="M6117">
        <v>0.2</v>
      </c>
      <c r="N6117">
        <v>224</v>
      </c>
      <c r="O6117" t="s">
        <v>5</v>
      </c>
      <c r="Q6117" t="s">
        <v>1150</v>
      </c>
      <c r="R6117" t="s">
        <v>6272</v>
      </c>
      <c r="S6117" t="s">
        <v>6273</v>
      </c>
    </row>
    <row r="6118" spans="1:19" x14ac:dyDescent="0.25">
      <c r="A6118" t="s">
        <v>30</v>
      </c>
      <c r="B6118" t="s">
        <v>31</v>
      </c>
      <c r="C6118" t="s">
        <v>32</v>
      </c>
      <c r="D6118" t="s">
        <v>771</v>
      </c>
      <c r="E6118" t="s">
        <v>888</v>
      </c>
      <c r="F6118" t="s">
        <v>35</v>
      </c>
      <c r="G6118" t="s">
        <v>35</v>
      </c>
      <c r="H6118" t="s">
        <v>35</v>
      </c>
      <c r="J6118" t="s">
        <v>6487</v>
      </c>
      <c r="K6118" t="s">
        <v>1092</v>
      </c>
      <c r="M6118">
        <v>9.5000000000000001E-2</v>
      </c>
      <c r="N6118">
        <v>409</v>
      </c>
      <c r="O6118" t="s">
        <v>294</v>
      </c>
      <c r="Q6118" t="s">
        <v>2800</v>
      </c>
      <c r="R6118" t="s">
        <v>6272</v>
      </c>
      <c r="S6118" t="s">
        <v>6273</v>
      </c>
    </row>
    <row r="6119" spans="1:19" x14ac:dyDescent="0.25">
      <c r="A6119" t="s">
        <v>59</v>
      </c>
      <c r="B6119" t="s">
        <v>60</v>
      </c>
      <c r="C6119" t="s">
        <v>32</v>
      </c>
      <c r="D6119" t="s">
        <v>771</v>
      </c>
      <c r="E6119" t="s">
        <v>888</v>
      </c>
      <c r="F6119" t="s">
        <v>35</v>
      </c>
      <c r="G6119" t="s">
        <v>35</v>
      </c>
      <c r="H6119" t="s">
        <v>35</v>
      </c>
      <c r="J6119" t="s">
        <v>6488</v>
      </c>
      <c r="K6119" t="s">
        <v>1092</v>
      </c>
      <c r="M6119">
        <v>2</v>
      </c>
      <c r="N6119">
        <v>183</v>
      </c>
      <c r="O6119" t="s">
        <v>5</v>
      </c>
      <c r="Q6119" t="s">
        <v>3413</v>
      </c>
      <c r="R6119" t="s">
        <v>6489</v>
      </c>
      <c r="S6119" t="s">
        <v>889</v>
      </c>
    </row>
    <row r="6120" spans="1:19" x14ac:dyDescent="0.25">
      <c r="A6120" t="s">
        <v>30</v>
      </c>
      <c r="B6120" t="s">
        <v>31</v>
      </c>
      <c r="C6120" t="s">
        <v>32</v>
      </c>
      <c r="D6120" t="s">
        <v>771</v>
      </c>
      <c r="E6120" t="s">
        <v>888</v>
      </c>
      <c r="F6120" t="s">
        <v>35</v>
      </c>
      <c r="G6120" t="s">
        <v>35</v>
      </c>
      <c r="H6120" t="s">
        <v>35</v>
      </c>
      <c r="J6120" t="s">
        <v>6490</v>
      </c>
      <c r="K6120" t="s">
        <v>1092</v>
      </c>
      <c r="M6120">
        <v>3.15</v>
      </c>
      <c r="N6120">
        <v>251</v>
      </c>
      <c r="O6120" t="s">
        <v>5</v>
      </c>
      <c r="Q6120" t="s">
        <v>1688</v>
      </c>
      <c r="R6120" t="s">
        <v>919</v>
      </c>
      <c r="S6120" t="s">
        <v>784</v>
      </c>
    </row>
    <row r="6121" spans="1:19" x14ac:dyDescent="0.25">
      <c r="A6121" t="s">
        <v>59</v>
      </c>
      <c r="B6121" t="s">
        <v>60</v>
      </c>
      <c r="C6121" t="s">
        <v>32</v>
      </c>
      <c r="D6121" t="s">
        <v>771</v>
      </c>
      <c r="E6121" t="s">
        <v>888</v>
      </c>
      <c r="F6121" t="s">
        <v>35</v>
      </c>
      <c r="G6121" t="s">
        <v>35</v>
      </c>
      <c r="H6121" t="s">
        <v>35</v>
      </c>
      <c r="J6121" t="s">
        <v>6491</v>
      </c>
      <c r="K6121" t="s">
        <v>1092</v>
      </c>
      <c r="M6121">
        <v>2.8</v>
      </c>
      <c r="N6121">
        <v>487</v>
      </c>
      <c r="O6121" t="s">
        <v>294</v>
      </c>
      <c r="Q6121" t="s">
        <v>6492</v>
      </c>
      <c r="R6121" t="s">
        <v>6489</v>
      </c>
      <c r="S6121" t="s">
        <v>889</v>
      </c>
    </row>
    <row r="6122" spans="1:19" x14ac:dyDescent="0.25">
      <c r="A6122" t="s">
        <v>44</v>
      </c>
      <c r="B6122" t="s">
        <v>51</v>
      </c>
      <c r="C6122" t="s">
        <v>32</v>
      </c>
      <c r="D6122" t="s">
        <v>771</v>
      </c>
      <c r="E6122" t="s">
        <v>888</v>
      </c>
      <c r="F6122" t="s">
        <v>35</v>
      </c>
      <c r="G6122" t="s">
        <v>35</v>
      </c>
      <c r="H6122" t="s">
        <v>35</v>
      </c>
      <c r="J6122" t="s">
        <v>6491</v>
      </c>
      <c r="K6122" t="s">
        <v>1092</v>
      </c>
      <c r="M6122">
        <v>2.2000000000000002</v>
      </c>
      <c r="N6122">
        <v>487</v>
      </c>
      <c r="O6122" t="s">
        <v>294</v>
      </c>
      <c r="Q6122" t="s">
        <v>6492</v>
      </c>
      <c r="R6122" t="s">
        <v>6489</v>
      </c>
      <c r="S6122" t="s">
        <v>889</v>
      </c>
    </row>
    <row r="6123" spans="1:19" x14ac:dyDescent="0.25">
      <c r="A6123" t="s">
        <v>30</v>
      </c>
      <c r="B6123" t="s">
        <v>31</v>
      </c>
      <c r="C6123" t="s">
        <v>32</v>
      </c>
      <c r="D6123" t="s">
        <v>771</v>
      </c>
      <c r="E6123" t="s">
        <v>888</v>
      </c>
      <c r="F6123" t="s">
        <v>35</v>
      </c>
      <c r="G6123" t="s">
        <v>35</v>
      </c>
      <c r="H6123" t="s">
        <v>35</v>
      </c>
      <c r="J6123" t="s">
        <v>6493</v>
      </c>
      <c r="K6123" t="s">
        <v>1092</v>
      </c>
      <c r="M6123">
        <v>3.87</v>
      </c>
      <c r="N6123">
        <v>112</v>
      </c>
      <c r="O6123" t="s">
        <v>106</v>
      </c>
      <c r="Q6123" t="s">
        <v>171</v>
      </c>
      <c r="R6123" t="s">
        <v>849</v>
      </c>
      <c r="S6123" t="s">
        <v>850</v>
      </c>
    </row>
    <row r="6124" spans="1:19" x14ac:dyDescent="0.25">
      <c r="A6124" t="s">
        <v>30</v>
      </c>
      <c r="B6124" t="s">
        <v>31</v>
      </c>
      <c r="C6124" t="s">
        <v>32</v>
      </c>
      <c r="D6124" t="s">
        <v>771</v>
      </c>
      <c r="E6124" t="s">
        <v>888</v>
      </c>
      <c r="F6124" t="s">
        <v>35</v>
      </c>
      <c r="G6124" t="s">
        <v>35</v>
      </c>
      <c r="H6124" t="s">
        <v>35</v>
      </c>
      <c r="J6124" t="s">
        <v>6494</v>
      </c>
      <c r="K6124" t="s">
        <v>1092</v>
      </c>
      <c r="M6124">
        <v>6.3449999999999998</v>
      </c>
      <c r="N6124">
        <v>111</v>
      </c>
      <c r="O6124" t="s">
        <v>106</v>
      </c>
      <c r="Q6124" t="s">
        <v>4219</v>
      </c>
      <c r="R6124" t="s">
        <v>844</v>
      </c>
      <c r="S6124" t="s">
        <v>806</v>
      </c>
    </row>
    <row r="6125" spans="1:19" x14ac:dyDescent="0.25">
      <c r="A6125" t="s">
        <v>59</v>
      </c>
      <c r="B6125" t="s">
        <v>60</v>
      </c>
      <c r="C6125" t="s">
        <v>32</v>
      </c>
      <c r="D6125" t="s">
        <v>771</v>
      </c>
      <c r="E6125" t="s">
        <v>888</v>
      </c>
      <c r="F6125" t="s">
        <v>35</v>
      </c>
      <c r="G6125" t="s">
        <v>35</v>
      </c>
      <c r="H6125" t="s">
        <v>35</v>
      </c>
      <c r="J6125" t="s">
        <v>6294</v>
      </c>
      <c r="K6125" t="s">
        <v>1092</v>
      </c>
      <c r="M6125">
        <v>6</v>
      </c>
      <c r="N6125">
        <v>91</v>
      </c>
      <c r="O6125" t="s">
        <v>106</v>
      </c>
      <c r="Q6125" t="s">
        <v>1147</v>
      </c>
      <c r="R6125" t="s">
        <v>5992</v>
      </c>
      <c r="S6125" t="s">
        <v>817</v>
      </c>
    </row>
    <row r="6126" spans="1:19" x14ac:dyDescent="0.25">
      <c r="A6126" t="s">
        <v>30</v>
      </c>
      <c r="B6126" t="s">
        <v>31</v>
      </c>
      <c r="C6126" t="s">
        <v>32</v>
      </c>
      <c r="D6126" t="s">
        <v>771</v>
      </c>
      <c r="E6126" t="s">
        <v>888</v>
      </c>
      <c r="F6126" t="s">
        <v>35</v>
      </c>
      <c r="G6126" t="s">
        <v>35</v>
      </c>
      <c r="H6126" t="s">
        <v>35</v>
      </c>
      <c r="J6126" t="s">
        <v>6495</v>
      </c>
      <c r="K6126" t="s">
        <v>1092</v>
      </c>
      <c r="M6126">
        <v>2.1150000000000002</v>
      </c>
      <c r="N6126">
        <v>113</v>
      </c>
      <c r="O6126" t="s">
        <v>106</v>
      </c>
      <c r="Q6126" t="s">
        <v>6066</v>
      </c>
      <c r="R6126" t="s">
        <v>5995</v>
      </c>
      <c r="S6126" t="s">
        <v>5996</v>
      </c>
    </row>
    <row r="6127" spans="1:19" x14ac:dyDescent="0.25">
      <c r="A6127" t="s">
        <v>30</v>
      </c>
      <c r="B6127" t="s">
        <v>31</v>
      </c>
      <c r="C6127" t="s">
        <v>32</v>
      </c>
      <c r="D6127" t="s">
        <v>771</v>
      </c>
      <c r="E6127" t="s">
        <v>888</v>
      </c>
      <c r="F6127" t="s">
        <v>35</v>
      </c>
      <c r="G6127" t="s">
        <v>35</v>
      </c>
      <c r="H6127" t="s">
        <v>35</v>
      </c>
      <c r="J6127" t="s">
        <v>6496</v>
      </c>
      <c r="K6127" t="s">
        <v>1092</v>
      </c>
      <c r="M6127">
        <v>3</v>
      </c>
      <c r="N6127">
        <v>251</v>
      </c>
      <c r="O6127" t="s">
        <v>5</v>
      </c>
      <c r="Q6127" t="s">
        <v>1688</v>
      </c>
      <c r="R6127" t="s">
        <v>6272</v>
      </c>
      <c r="S6127" t="s">
        <v>6273</v>
      </c>
    </row>
    <row r="6128" spans="1:19" x14ac:dyDescent="0.25">
      <c r="A6128" t="s">
        <v>30</v>
      </c>
      <c r="B6128" t="s">
        <v>31</v>
      </c>
      <c r="C6128" t="s">
        <v>32</v>
      </c>
      <c r="D6128" t="s">
        <v>771</v>
      </c>
      <c r="E6128" t="s">
        <v>888</v>
      </c>
      <c r="F6128" t="s">
        <v>35</v>
      </c>
      <c r="G6128" t="s">
        <v>35</v>
      </c>
      <c r="H6128" t="s">
        <v>35</v>
      </c>
      <c r="J6128" t="s">
        <v>6497</v>
      </c>
      <c r="K6128" t="s">
        <v>1092</v>
      </c>
      <c r="M6128">
        <v>2.3250000000000002</v>
      </c>
      <c r="N6128">
        <v>264</v>
      </c>
      <c r="O6128" t="s">
        <v>5</v>
      </c>
      <c r="Q6128" t="s">
        <v>1721</v>
      </c>
      <c r="R6128" t="s">
        <v>6272</v>
      </c>
      <c r="S6128" t="s">
        <v>6273</v>
      </c>
    </row>
    <row r="6129" spans="1:19" x14ac:dyDescent="0.25">
      <c r="A6129" t="s">
        <v>59</v>
      </c>
      <c r="B6129" t="s">
        <v>60</v>
      </c>
      <c r="C6129" t="s">
        <v>32</v>
      </c>
      <c r="D6129" t="s">
        <v>771</v>
      </c>
      <c r="E6129" t="s">
        <v>888</v>
      </c>
      <c r="F6129" t="s">
        <v>35</v>
      </c>
      <c r="G6129" t="s">
        <v>35</v>
      </c>
      <c r="H6129" t="s">
        <v>35</v>
      </c>
      <c r="J6129" t="s">
        <v>6497</v>
      </c>
      <c r="K6129" t="s">
        <v>1092</v>
      </c>
      <c r="M6129">
        <v>12</v>
      </c>
      <c r="N6129">
        <v>91</v>
      </c>
      <c r="O6129" t="s">
        <v>106</v>
      </c>
      <c r="Q6129" t="s">
        <v>1147</v>
      </c>
      <c r="R6129" t="s">
        <v>5992</v>
      </c>
      <c r="S6129" t="s">
        <v>817</v>
      </c>
    </row>
    <row r="6130" spans="1:19" x14ac:dyDescent="0.25">
      <c r="A6130" t="s">
        <v>59</v>
      </c>
      <c r="B6130" t="s">
        <v>31</v>
      </c>
      <c r="C6130" t="s">
        <v>32</v>
      </c>
      <c r="D6130" t="s">
        <v>771</v>
      </c>
      <c r="E6130" t="s">
        <v>888</v>
      </c>
      <c r="F6130" t="s">
        <v>35</v>
      </c>
      <c r="G6130" t="s">
        <v>35</v>
      </c>
      <c r="H6130" t="s">
        <v>35</v>
      </c>
      <c r="J6130" t="s">
        <v>6497</v>
      </c>
      <c r="K6130" t="s">
        <v>1092</v>
      </c>
      <c r="M6130">
        <v>6.66</v>
      </c>
      <c r="N6130">
        <v>91</v>
      </c>
      <c r="O6130" t="s">
        <v>106</v>
      </c>
      <c r="Q6130" t="s">
        <v>1147</v>
      </c>
      <c r="R6130" t="s">
        <v>5992</v>
      </c>
      <c r="S6130" t="s">
        <v>817</v>
      </c>
    </row>
    <row r="6131" spans="1:19" x14ac:dyDescent="0.25">
      <c r="A6131" t="s">
        <v>30</v>
      </c>
      <c r="B6131" t="s">
        <v>31</v>
      </c>
      <c r="C6131" t="s">
        <v>32</v>
      </c>
      <c r="D6131" t="s">
        <v>771</v>
      </c>
      <c r="E6131" t="s">
        <v>888</v>
      </c>
      <c r="F6131" t="s">
        <v>35</v>
      </c>
      <c r="G6131" t="s">
        <v>35</v>
      </c>
      <c r="H6131" t="s">
        <v>35</v>
      </c>
      <c r="J6131" t="s">
        <v>6497</v>
      </c>
      <c r="K6131" t="s">
        <v>1092</v>
      </c>
      <c r="M6131">
        <v>9.99</v>
      </c>
      <c r="N6131">
        <v>119</v>
      </c>
      <c r="O6131" t="s">
        <v>106</v>
      </c>
      <c r="Q6131" t="s">
        <v>3465</v>
      </c>
      <c r="R6131" t="s">
        <v>5992</v>
      </c>
      <c r="S6131" t="s">
        <v>817</v>
      </c>
    </row>
    <row r="6132" spans="1:19" x14ac:dyDescent="0.25">
      <c r="A6132" t="s">
        <v>59</v>
      </c>
      <c r="B6132" t="s">
        <v>60</v>
      </c>
      <c r="C6132" t="s">
        <v>32</v>
      </c>
      <c r="D6132" t="s">
        <v>771</v>
      </c>
      <c r="E6132" t="s">
        <v>888</v>
      </c>
      <c r="F6132" t="s">
        <v>35</v>
      </c>
      <c r="G6132" t="s">
        <v>35</v>
      </c>
      <c r="H6132" t="s">
        <v>35</v>
      </c>
      <c r="J6132" t="s">
        <v>6497</v>
      </c>
      <c r="K6132" t="s">
        <v>1092</v>
      </c>
      <c r="M6132">
        <v>10</v>
      </c>
      <c r="N6132">
        <v>46</v>
      </c>
      <c r="O6132" t="s">
        <v>52</v>
      </c>
      <c r="Q6132" t="s">
        <v>493</v>
      </c>
      <c r="R6132" t="s">
        <v>5992</v>
      </c>
      <c r="S6132" t="s">
        <v>817</v>
      </c>
    </row>
    <row r="6133" spans="1:19" x14ac:dyDescent="0.25">
      <c r="A6133" t="s">
        <v>59</v>
      </c>
      <c r="B6133" t="s">
        <v>31</v>
      </c>
      <c r="C6133" t="s">
        <v>32</v>
      </c>
      <c r="D6133" t="s">
        <v>771</v>
      </c>
      <c r="E6133" t="s">
        <v>888</v>
      </c>
      <c r="F6133" t="s">
        <v>35</v>
      </c>
      <c r="G6133" t="s">
        <v>35</v>
      </c>
      <c r="H6133" t="s">
        <v>35</v>
      </c>
      <c r="J6133" t="s">
        <v>6497</v>
      </c>
      <c r="K6133" t="s">
        <v>1092</v>
      </c>
      <c r="M6133">
        <v>7.02</v>
      </c>
      <c r="N6133">
        <v>46</v>
      </c>
      <c r="O6133" t="s">
        <v>52</v>
      </c>
      <c r="Q6133" t="s">
        <v>493</v>
      </c>
      <c r="R6133" t="s">
        <v>5992</v>
      </c>
      <c r="S6133" t="s">
        <v>817</v>
      </c>
    </row>
    <row r="6134" spans="1:19" x14ac:dyDescent="0.25">
      <c r="A6134" t="s">
        <v>30</v>
      </c>
      <c r="B6134" t="s">
        <v>31</v>
      </c>
      <c r="C6134" t="s">
        <v>32</v>
      </c>
      <c r="D6134" t="s">
        <v>771</v>
      </c>
      <c r="E6134" t="s">
        <v>888</v>
      </c>
      <c r="F6134" t="s">
        <v>35</v>
      </c>
      <c r="G6134" t="s">
        <v>35</v>
      </c>
      <c r="H6134" t="s">
        <v>35</v>
      </c>
      <c r="J6134" t="s">
        <v>6497</v>
      </c>
      <c r="K6134" t="s">
        <v>1092</v>
      </c>
      <c r="M6134">
        <v>19.98</v>
      </c>
      <c r="N6134">
        <v>48</v>
      </c>
      <c r="O6134" t="s">
        <v>52</v>
      </c>
      <c r="Q6134" t="s">
        <v>496</v>
      </c>
      <c r="R6134" t="s">
        <v>5992</v>
      </c>
      <c r="S6134" t="s">
        <v>817</v>
      </c>
    </row>
    <row r="6135" spans="1:19" x14ac:dyDescent="0.25">
      <c r="A6135" t="s">
        <v>30</v>
      </c>
      <c r="B6135" t="s">
        <v>31</v>
      </c>
      <c r="C6135" t="s">
        <v>32</v>
      </c>
      <c r="D6135" t="s">
        <v>771</v>
      </c>
      <c r="E6135" t="s">
        <v>888</v>
      </c>
      <c r="F6135" t="s">
        <v>35</v>
      </c>
      <c r="G6135" t="s">
        <v>35</v>
      </c>
      <c r="H6135" t="s">
        <v>35</v>
      </c>
      <c r="J6135" t="s">
        <v>6498</v>
      </c>
      <c r="K6135" t="s">
        <v>1092</v>
      </c>
      <c r="M6135">
        <v>1.4999999999999999E-2</v>
      </c>
      <c r="N6135">
        <v>412</v>
      </c>
      <c r="O6135" t="s">
        <v>294</v>
      </c>
      <c r="Q6135" t="s">
        <v>3472</v>
      </c>
      <c r="R6135" t="s">
        <v>919</v>
      </c>
      <c r="S6135" t="s">
        <v>784</v>
      </c>
    </row>
    <row r="6136" spans="1:19" x14ac:dyDescent="0.25">
      <c r="A6136" t="s">
        <v>30</v>
      </c>
      <c r="B6136" t="s">
        <v>31</v>
      </c>
      <c r="C6136" t="s">
        <v>32</v>
      </c>
      <c r="D6136" t="s">
        <v>771</v>
      </c>
      <c r="E6136" t="s">
        <v>888</v>
      </c>
      <c r="F6136" t="s">
        <v>35</v>
      </c>
      <c r="G6136" t="s">
        <v>35</v>
      </c>
      <c r="H6136" t="s">
        <v>35</v>
      </c>
      <c r="J6136" t="s">
        <v>6499</v>
      </c>
      <c r="K6136" t="s">
        <v>1092</v>
      </c>
      <c r="M6136">
        <v>3.5000000000000003E-2</v>
      </c>
      <c r="N6136">
        <v>177</v>
      </c>
      <c r="O6136" t="s">
        <v>38</v>
      </c>
      <c r="Q6136" t="s">
        <v>4657</v>
      </c>
      <c r="R6136" t="s">
        <v>5995</v>
      </c>
      <c r="S6136" t="s">
        <v>5996</v>
      </c>
    </row>
    <row r="6137" spans="1:19" x14ac:dyDescent="0.25">
      <c r="A6137" t="s">
        <v>59</v>
      </c>
      <c r="B6137" t="s">
        <v>60</v>
      </c>
      <c r="C6137" t="s">
        <v>32</v>
      </c>
      <c r="D6137" t="s">
        <v>771</v>
      </c>
      <c r="E6137" t="s">
        <v>888</v>
      </c>
      <c r="F6137" t="s">
        <v>35</v>
      </c>
      <c r="G6137" t="s">
        <v>35</v>
      </c>
      <c r="H6137" t="s">
        <v>35</v>
      </c>
      <c r="J6137" t="s">
        <v>6500</v>
      </c>
      <c r="K6137" t="s">
        <v>1092</v>
      </c>
      <c r="M6137">
        <v>7</v>
      </c>
      <c r="N6137">
        <v>6</v>
      </c>
      <c r="O6137" t="s">
        <v>46</v>
      </c>
      <c r="Q6137" t="s">
        <v>8168</v>
      </c>
      <c r="R6137" t="s">
        <v>6489</v>
      </c>
      <c r="S6137" t="s">
        <v>889</v>
      </c>
    </row>
    <row r="6138" spans="1:19" x14ac:dyDescent="0.25">
      <c r="A6138" t="s">
        <v>59</v>
      </c>
      <c r="B6138" t="s">
        <v>60</v>
      </c>
      <c r="C6138" t="s">
        <v>32</v>
      </c>
      <c r="D6138" t="s">
        <v>771</v>
      </c>
      <c r="E6138" t="s">
        <v>888</v>
      </c>
      <c r="F6138" t="s">
        <v>35</v>
      </c>
      <c r="G6138" t="s">
        <v>35</v>
      </c>
      <c r="H6138" t="s">
        <v>35</v>
      </c>
      <c r="J6138" t="s">
        <v>6500</v>
      </c>
      <c r="K6138" t="s">
        <v>1092</v>
      </c>
      <c r="M6138">
        <v>1.5</v>
      </c>
      <c r="N6138">
        <v>165</v>
      </c>
      <c r="O6138" t="s">
        <v>38</v>
      </c>
      <c r="Q6138" t="s">
        <v>1548</v>
      </c>
      <c r="R6138" t="s">
        <v>6489</v>
      </c>
      <c r="S6138" t="s">
        <v>889</v>
      </c>
    </row>
    <row r="6139" spans="1:19" x14ac:dyDescent="0.25">
      <c r="A6139" t="s">
        <v>59</v>
      </c>
      <c r="B6139" t="s">
        <v>60</v>
      </c>
      <c r="C6139" t="s">
        <v>32</v>
      </c>
      <c r="D6139" t="s">
        <v>771</v>
      </c>
      <c r="E6139" t="s">
        <v>888</v>
      </c>
      <c r="F6139" t="s">
        <v>35</v>
      </c>
      <c r="G6139" t="s">
        <v>35</v>
      </c>
      <c r="H6139" t="s">
        <v>35</v>
      </c>
      <c r="J6139" t="s">
        <v>6501</v>
      </c>
      <c r="K6139" t="s">
        <v>1092</v>
      </c>
      <c r="M6139">
        <v>3</v>
      </c>
      <c r="N6139">
        <v>165</v>
      </c>
      <c r="O6139" t="s">
        <v>38</v>
      </c>
      <c r="Q6139" t="s">
        <v>1548</v>
      </c>
      <c r="R6139" t="s">
        <v>6489</v>
      </c>
      <c r="S6139" t="s">
        <v>889</v>
      </c>
    </row>
    <row r="6140" spans="1:19" x14ac:dyDescent="0.25">
      <c r="A6140" t="s">
        <v>59</v>
      </c>
      <c r="B6140" t="s">
        <v>60</v>
      </c>
      <c r="C6140" t="s">
        <v>32</v>
      </c>
      <c r="D6140" t="s">
        <v>771</v>
      </c>
      <c r="E6140" t="s">
        <v>888</v>
      </c>
      <c r="F6140" t="s">
        <v>35</v>
      </c>
      <c r="G6140" t="s">
        <v>35</v>
      </c>
      <c r="H6140" t="s">
        <v>35</v>
      </c>
      <c r="J6140" t="s">
        <v>6502</v>
      </c>
      <c r="K6140" t="s">
        <v>1092</v>
      </c>
      <c r="M6140">
        <v>0.35</v>
      </c>
      <c r="N6140">
        <v>338</v>
      </c>
      <c r="O6140" t="s">
        <v>5</v>
      </c>
      <c r="Q6140" t="s">
        <v>4608</v>
      </c>
      <c r="R6140" t="s">
        <v>849</v>
      </c>
      <c r="S6140" t="s">
        <v>850</v>
      </c>
    </row>
    <row r="6141" spans="1:19" x14ac:dyDescent="0.25">
      <c r="A6141" t="s">
        <v>44</v>
      </c>
      <c r="B6141" t="s">
        <v>51</v>
      </c>
      <c r="C6141" t="s">
        <v>32</v>
      </c>
      <c r="D6141" t="s">
        <v>771</v>
      </c>
      <c r="E6141" t="s">
        <v>888</v>
      </c>
      <c r="F6141" t="s">
        <v>35</v>
      </c>
      <c r="G6141" t="s">
        <v>35</v>
      </c>
      <c r="H6141" t="s">
        <v>35</v>
      </c>
      <c r="J6141" t="s">
        <v>6503</v>
      </c>
      <c r="K6141" t="s">
        <v>1092</v>
      </c>
      <c r="M6141">
        <v>10</v>
      </c>
      <c r="N6141">
        <v>150</v>
      </c>
      <c r="O6141" t="s">
        <v>38</v>
      </c>
      <c r="Q6141" t="s">
        <v>1612</v>
      </c>
      <c r="R6141" t="s">
        <v>6504</v>
      </c>
      <c r="S6141" t="s">
        <v>6505</v>
      </c>
    </row>
    <row r="6142" spans="1:19" x14ac:dyDescent="0.25">
      <c r="A6142" t="s">
        <v>30</v>
      </c>
      <c r="B6142" t="s">
        <v>31</v>
      </c>
      <c r="C6142" t="s">
        <v>32</v>
      </c>
      <c r="D6142" t="s">
        <v>771</v>
      </c>
      <c r="E6142" t="s">
        <v>888</v>
      </c>
      <c r="F6142" t="s">
        <v>35</v>
      </c>
      <c r="G6142" t="s">
        <v>35</v>
      </c>
      <c r="H6142" t="s">
        <v>35</v>
      </c>
      <c r="J6142" t="s">
        <v>6507</v>
      </c>
      <c r="K6142" t="s">
        <v>1092</v>
      </c>
      <c r="M6142">
        <v>0.255</v>
      </c>
      <c r="N6142">
        <v>251</v>
      </c>
      <c r="O6142" t="s">
        <v>5</v>
      </c>
      <c r="Q6142" t="s">
        <v>1688</v>
      </c>
      <c r="R6142" t="s">
        <v>6272</v>
      </c>
      <c r="S6142" t="s">
        <v>6273</v>
      </c>
    </row>
    <row r="6143" spans="1:19" x14ac:dyDescent="0.25">
      <c r="A6143" t="s">
        <v>44</v>
      </c>
      <c r="B6143" t="s">
        <v>51</v>
      </c>
      <c r="C6143" t="s">
        <v>32</v>
      </c>
      <c r="D6143" t="s">
        <v>771</v>
      </c>
      <c r="E6143" t="s">
        <v>888</v>
      </c>
      <c r="F6143" t="s">
        <v>35</v>
      </c>
      <c r="G6143" t="s">
        <v>35</v>
      </c>
      <c r="H6143" t="s">
        <v>35</v>
      </c>
      <c r="J6143" t="s">
        <v>6507</v>
      </c>
      <c r="K6143" t="s">
        <v>1092</v>
      </c>
      <c r="M6143">
        <v>0.1</v>
      </c>
      <c r="N6143">
        <v>456</v>
      </c>
      <c r="O6143" t="s">
        <v>294</v>
      </c>
      <c r="Q6143" t="s">
        <v>3661</v>
      </c>
      <c r="R6143" t="s">
        <v>6272</v>
      </c>
      <c r="S6143" t="s">
        <v>6273</v>
      </c>
    </row>
    <row r="6144" spans="1:19" x14ac:dyDescent="0.25">
      <c r="A6144" t="s">
        <v>30</v>
      </c>
      <c r="B6144" t="s">
        <v>31</v>
      </c>
      <c r="C6144" t="s">
        <v>32</v>
      </c>
      <c r="D6144" t="s">
        <v>771</v>
      </c>
      <c r="E6144" t="s">
        <v>888</v>
      </c>
      <c r="F6144" t="s">
        <v>35</v>
      </c>
      <c r="G6144" t="s">
        <v>35</v>
      </c>
      <c r="H6144" t="s">
        <v>35</v>
      </c>
      <c r="J6144" t="s">
        <v>6508</v>
      </c>
      <c r="K6144" t="s">
        <v>1092</v>
      </c>
      <c r="M6144">
        <v>0.02</v>
      </c>
      <c r="N6144">
        <v>409</v>
      </c>
      <c r="O6144" t="s">
        <v>294</v>
      </c>
      <c r="Q6144" t="s">
        <v>2800</v>
      </c>
      <c r="R6144" t="s">
        <v>6272</v>
      </c>
      <c r="S6144" t="s">
        <v>6273</v>
      </c>
    </row>
    <row r="6145" spans="1:19" x14ac:dyDescent="0.25">
      <c r="A6145" t="s">
        <v>59</v>
      </c>
      <c r="B6145" t="s">
        <v>60</v>
      </c>
      <c r="C6145" t="s">
        <v>32</v>
      </c>
      <c r="D6145" t="s">
        <v>771</v>
      </c>
      <c r="E6145" t="s">
        <v>888</v>
      </c>
      <c r="F6145" t="s">
        <v>35</v>
      </c>
      <c r="G6145" t="s">
        <v>35</v>
      </c>
      <c r="H6145" t="s">
        <v>35</v>
      </c>
      <c r="J6145" t="s">
        <v>6509</v>
      </c>
      <c r="K6145" t="s">
        <v>1092</v>
      </c>
      <c r="M6145">
        <v>0.05</v>
      </c>
      <c r="N6145">
        <v>584</v>
      </c>
      <c r="O6145" t="s">
        <v>575</v>
      </c>
      <c r="Q6145" t="s">
        <v>3636</v>
      </c>
      <c r="R6145" t="s">
        <v>6272</v>
      </c>
      <c r="S6145" t="s">
        <v>6273</v>
      </c>
    </row>
    <row r="6146" spans="1:19" x14ac:dyDescent="0.25">
      <c r="A6146" t="s">
        <v>30</v>
      </c>
      <c r="B6146" t="s">
        <v>31</v>
      </c>
      <c r="C6146" t="s">
        <v>32</v>
      </c>
      <c r="D6146" t="s">
        <v>771</v>
      </c>
      <c r="E6146" t="s">
        <v>888</v>
      </c>
      <c r="F6146" t="s">
        <v>35</v>
      </c>
      <c r="G6146" t="s">
        <v>35</v>
      </c>
      <c r="H6146" t="s">
        <v>35</v>
      </c>
      <c r="J6146" t="s">
        <v>6510</v>
      </c>
      <c r="K6146" t="s">
        <v>1092</v>
      </c>
      <c r="M6146">
        <v>2.16</v>
      </c>
      <c r="N6146">
        <v>112</v>
      </c>
      <c r="O6146" t="s">
        <v>106</v>
      </c>
      <c r="Q6146" t="s">
        <v>171</v>
      </c>
      <c r="R6146" t="s">
        <v>849</v>
      </c>
      <c r="S6146" t="s">
        <v>850</v>
      </c>
    </row>
    <row r="6147" spans="1:19" x14ac:dyDescent="0.25">
      <c r="A6147" t="s">
        <v>59</v>
      </c>
      <c r="B6147" t="s">
        <v>60</v>
      </c>
      <c r="C6147" t="s">
        <v>32</v>
      </c>
      <c r="D6147" t="s">
        <v>771</v>
      </c>
      <c r="E6147" t="s">
        <v>888</v>
      </c>
      <c r="F6147" t="s">
        <v>35</v>
      </c>
      <c r="G6147" t="s">
        <v>35</v>
      </c>
      <c r="H6147" t="s">
        <v>35</v>
      </c>
      <c r="J6147" t="s">
        <v>8261</v>
      </c>
      <c r="K6147" t="s">
        <v>1092</v>
      </c>
      <c r="M6147">
        <v>8</v>
      </c>
      <c r="N6147">
        <v>6</v>
      </c>
      <c r="O6147" t="s">
        <v>46</v>
      </c>
      <c r="Q6147" t="s">
        <v>8168</v>
      </c>
      <c r="R6147" t="s">
        <v>6489</v>
      </c>
      <c r="S6147" t="s">
        <v>889</v>
      </c>
    </row>
    <row r="6148" spans="1:19" x14ac:dyDescent="0.25">
      <c r="A6148" t="s">
        <v>59</v>
      </c>
      <c r="B6148" t="s">
        <v>31</v>
      </c>
      <c r="C6148" t="s">
        <v>32</v>
      </c>
      <c r="D6148" t="s">
        <v>771</v>
      </c>
      <c r="E6148" t="s">
        <v>6511</v>
      </c>
      <c r="F6148" t="s">
        <v>35</v>
      </c>
      <c r="G6148" t="s">
        <v>35</v>
      </c>
      <c r="H6148" t="s">
        <v>35</v>
      </c>
      <c r="J6148" t="s">
        <v>6512</v>
      </c>
      <c r="K6148" t="s">
        <v>1092</v>
      </c>
      <c r="M6148">
        <v>3.33</v>
      </c>
      <c r="N6148">
        <v>42</v>
      </c>
      <c r="O6148" t="s">
        <v>52</v>
      </c>
      <c r="Q6148" t="s">
        <v>991</v>
      </c>
      <c r="R6148" t="s">
        <v>6020</v>
      </c>
      <c r="S6148" t="s">
        <v>921</v>
      </c>
    </row>
    <row r="6149" spans="1:19" x14ac:dyDescent="0.25">
      <c r="A6149" t="s">
        <v>59</v>
      </c>
      <c r="B6149" t="s">
        <v>31</v>
      </c>
      <c r="C6149" t="s">
        <v>32</v>
      </c>
      <c r="D6149" t="s">
        <v>771</v>
      </c>
      <c r="E6149" t="s">
        <v>6511</v>
      </c>
      <c r="F6149" t="s">
        <v>35</v>
      </c>
      <c r="G6149" t="s">
        <v>35</v>
      </c>
      <c r="H6149" t="s">
        <v>35</v>
      </c>
      <c r="J6149" t="s">
        <v>6513</v>
      </c>
      <c r="K6149" t="s">
        <v>1092</v>
      </c>
      <c r="M6149">
        <v>0.495</v>
      </c>
      <c r="N6149">
        <v>79</v>
      </c>
      <c r="O6149" t="s">
        <v>61</v>
      </c>
      <c r="Q6149" t="s">
        <v>1156</v>
      </c>
      <c r="R6149" t="s">
        <v>926</v>
      </c>
      <c r="S6149" t="s">
        <v>911</v>
      </c>
    </row>
    <row r="6150" spans="1:19" x14ac:dyDescent="0.25">
      <c r="A6150" t="s">
        <v>30</v>
      </c>
      <c r="B6150" t="s">
        <v>31</v>
      </c>
      <c r="C6150" t="s">
        <v>32</v>
      </c>
      <c r="D6150" t="s">
        <v>771</v>
      </c>
      <c r="E6150" t="s">
        <v>6511</v>
      </c>
      <c r="F6150" t="s">
        <v>35</v>
      </c>
      <c r="G6150" t="s">
        <v>35</v>
      </c>
      <c r="H6150" t="s">
        <v>35</v>
      </c>
      <c r="J6150" t="s">
        <v>6513</v>
      </c>
      <c r="K6150" t="s">
        <v>1092</v>
      </c>
      <c r="M6150">
        <v>1.125</v>
      </c>
      <c r="N6150">
        <v>45</v>
      </c>
      <c r="O6150" t="s">
        <v>52</v>
      </c>
      <c r="Q6150" t="s">
        <v>716</v>
      </c>
      <c r="R6150" t="s">
        <v>926</v>
      </c>
      <c r="S6150" t="s">
        <v>911</v>
      </c>
    </row>
    <row r="6151" spans="1:19" x14ac:dyDescent="0.25">
      <c r="A6151" t="s">
        <v>30</v>
      </c>
      <c r="B6151" t="s">
        <v>31</v>
      </c>
      <c r="C6151" t="s">
        <v>32</v>
      </c>
      <c r="D6151" t="s">
        <v>771</v>
      </c>
      <c r="E6151" t="s">
        <v>6511</v>
      </c>
      <c r="F6151" t="s">
        <v>35</v>
      </c>
      <c r="G6151" t="s">
        <v>35</v>
      </c>
      <c r="H6151" t="s">
        <v>35</v>
      </c>
      <c r="J6151" t="s">
        <v>6514</v>
      </c>
      <c r="K6151" t="s">
        <v>1092</v>
      </c>
      <c r="M6151">
        <v>4.7699999999999996</v>
      </c>
      <c r="N6151">
        <v>47</v>
      </c>
      <c r="O6151" t="s">
        <v>52</v>
      </c>
      <c r="Q6151" t="s">
        <v>132</v>
      </c>
      <c r="R6151" t="s">
        <v>849</v>
      </c>
      <c r="S6151" t="s">
        <v>850</v>
      </c>
    </row>
    <row r="6152" spans="1:19" x14ac:dyDescent="0.25">
      <c r="A6152" t="s">
        <v>59</v>
      </c>
      <c r="B6152" t="s">
        <v>31</v>
      </c>
      <c r="C6152" t="s">
        <v>32</v>
      </c>
      <c r="D6152" t="s">
        <v>771</v>
      </c>
      <c r="E6152" t="s">
        <v>6511</v>
      </c>
      <c r="F6152" t="s">
        <v>35</v>
      </c>
      <c r="G6152" t="s">
        <v>35</v>
      </c>
      <c r="H6152" t="s">
        <v>35</v>
      </c>
      <c r="J6152" t="s">
        <v>6515</v>
      </c>
      <c r="K6152" t="s">
        <v>1092</v>
      </c>
      <c r="M6152">
        <v>4.9950000000000001</v>
      </c>
      <c r="N6152">
        <v>42</v>
      </c>
      <c r="O6152" t="s">
        <v>52</v>
      </c>
      <c r="Q6152" t="s">
        <v>991</v>
      </c>
      <c r="R6152" t="s">
        <v>6020</v>
      </c>
      <c r="S6152" t="s">
        <v>921</v>
      </c>
    </row>
    <row r="6153" spans="1:19" x14ac:dyDescent="0.25">
      <c r="A6153" t="s">
        <v>44</v>
      </c>
      <c r="B6153" t="s">
        <v>51</v>
      </c>
      <c r="C6153" t="s">
        <v>32</v>
      </c>
      <c r="D6153" t="s">
        <v>771</v>
      </c>
      <c r="E6153" t="s">
        <v>6511</v>
      </c>
      <c r="F6153" t="s">
        <v>35</v>
      </c>
      <c r="G6153" t="s">
        <v>35</v>
      </c>
      <c r="H6153" t="s">
        <v>35</v>
      </c>
      <c r="J6153" t="s">
        <v>6516</v>
      </c>
      <c r="K6153" t="s">
        <v>1092</v>
      </c>
      <c r="M6153">
        <v>2</v>
      </c>
      <c r="N6153">
        <v>143</v>
      </c>
      <c r="O6153" t="s">
        <v>38</v>
      </c>
      <c r="Q6153" t="s">
        <v>2121</v>
      </c>
      <c r="R6153" t="s">
        <v>849</v>
      </c>
      <c r="S6153" t="s">
        <v>850</v>
      </c>
    </row>
    <row r="6154" spans="1:19" x14ac:dyDescent="0.25">
      <c r="A6154" t="s">
        <v>44</v>
      </c>
      <c r="B6154" t="s">
        <v>3</v>
      </c>
      <c r="C6154" t="s">
        <v>32</v>
      </c>
      <c r="D6154" t="s">
        <v>771</v>
      </c>
      <c r="E6154" t="s">
        <v>6511</v>
      </c>
      <c r="F6154" t="s">
        <v>35</v>
      </c>
      <c r="G6154" t="s">
        <v>35</v>
      </c>
      <c r="H6154" t="s">
        <v>35</v>
      </c>
      <c r="J6154" t="s">
        <v>6516</v>
      </c>
      <c r="K6154" t="s">
        <v>1092</v>
      </c>
      <c r="M6154">
        <v>0.35</v>
      </c>
      <c r="N6154">
        <v>474</v>
      </c>
      <c r="O6154" t="s">
        <v>294</v>
      </c>
      <c r="Q6154" t="s">
        <v>1498</v>
      </c>
      <c r="R6154" t="s">
        <v>849</v>
      </c>
      <c r="S6154" t="s">
        <v>850</v>
      </c>
    </row>
    <row r="6155" spans="1:19" x14ac:dyDescent="0.25">
      <c r="A6155" t="s">
        <v>30</v>
      </c>
      <c r="B6155" t="s">
        <v>31</v>
      </c>
      <c r="C6155" t="s">
        <v>32</v>
      </c>
      <c r="D6155" t="s">
        <v>771</v>
      </c>
      <c r="E6155" t="s">
        <v>6511</v>
      </c>
      <c r="F6155" t="s">
        <v>35</v>
      </c>
      <c r="G6155" t="s">
        <v>35</v>
      </c>
      <c r="H6155" t="s">
        <v>35</v>
      </c>
      <c r="J6155" t="s">
        <v>6516</v>
      </c>
      <c r="K6155" t="s">
        <v>1092</v>
      </c>
      <c r="M6155">
        <v>7.02</v>
      </c>
      <c r="N6155">
        <v>47</v>
      </c>
      <c r="O6155" t="s">
        <v>52</v>
      </c>
      <c r="Q6155" t="s">
        <v>132</v>
      </c>
      <c r="R6155" t="s">
        <v>849</v>
      </c>
      <c r="S6155" t="s">
        <v>850</v>
      </c>
    </row>
    <row r="6156" spans="1:19" x14ac:dyDescent="0.25">
      <c r="A6156" t="s">
        <v>30</v>
      </c>
      <c r="B6156" t="s">
        <v>31</v>
      </c>
      <c r="C6156" t="s">
        <v>32</v>
      </c>
      <c r="D6156" t="s">
        <v>771</v>
      </c>
      <c r="E6156" t="s">
        <v>6511</v>
      </c>
      <c r="F6156" t="s">
        <v>35</v>
      </c>
      <c r="G6156" t="s">
        <v>35</v>
      </c>
      <c r="H6156" t="s">
        <v>35</v>
      </c>
      <c r="J6156" t="s">
        <v>2052</v>
      </c>
      <c r="K6156" t="s">
        <v>1092</v>
      </c>
      <c r="M6156">
        <v>0.9</v>
      </c>
      <c r="N6156">
        <v>235</v>
      </c>
      <c r="O6156" t="s">
        <v>5</v>
      </c>
      <c r="Q6156" t="s">
        <v>4942</v>
      </c>
      <c r="R6156" t="s">
        <v>6340</v>
      </c>
      <c r="S6156" t="s">
        <v>884</v>
      </c>
    </row>
    <row r="6157" spans="1:19" x14ac:dyDescent="0.25">
      <c r="A6157" t="s">
        <v>30</v>
      </c>
      <c r="B6157" t="s">
        <v>31</v>
      </c>
      <c r="C6157" t="s">
        <v>32</v>
      </c>
      <c r="D6157" t="s">
        <v>771</v>
      </c>
      <c r="E6157" t="s">
        <v>6511</v>
      </c>
      <c r="F6157" t="s">
        <v>35</v>
      </c>
      <c r="G6157" t="s">
        <v>35</v>
      </c>
      <c r="H6157" t="s">
        <v>35</v>
      </c>
      <c r="J6157" t="s">
        <v>6517</v>
      </c>
      <c r="K6157" t="s">
        <v>1092</v>
      </c>
      <c r="M6157">
        <v>3.15</v>
      </c>
      <c r="N6157">
        <v>279</v>
      </c>
      <c r="O6157" t="s">
        <v>5</v>
      </c>
      <c r="Q6157" t="s">
        <v>1717</v>
      </c>
      <c r="R6157" t="s">
        <v>6340</v>
      </c>
      <c r="S6157" t="s">
        <v>884</v>
      </c>
    </row>
    <row r="6158" spans="1:19" x14ac:dyDescent="0.25">
      <c r="A6158" t="s">
        <v>30</v>
      </c>
      <c r="B6158" t="s">
        <v>31</v>
      </c>
      <c r="C6158" t="s">
        <v>32</v>
      </c>
      <c r="D6158" t="s">
        <v>771</v>
      </c>
      <c r="E6158" t="s">
        <v>6511</v>
      </c>
      <c r="F6158" t="s">
        <v>35</v>
      </c>
      <c r="G6158" t="s">
        <v>35</v>
      </c>
      <c r="H6158" t="s">
        <v>35</v>
      </c>
      <c r="J6158" t="s">
        <v>6237</v>
      </c>
      <c r="K6158" t="s">
        <v>1092</v>
      </c>
      <c r="M6158">
        <v>7.02</v>
      </c>
      <c r="N6158">
        <v>46</v>
      </c>
      <c r="O6158" t="s">
        <v>52</v>
      </c>
      <c r="Q6158" t="s">
        <v>493</v>
      </c>
      <c r="R6158" t="s">
        <v>934</v>
      </c>
      <c r="S6158" t="s">
        <v>935</v>
      </c>
    </row>
    <row r="6159" spans="1:19" x14ac:dyDescent="0.25">
      <c r="A6159" t="s">
        <v>30</v>
      </c>
      <c r="B6159" t="s">
        <v>31</v>
      </c>
      <c r="C6159" t="s">
        <v>32</v>
      </c>
      <c r="D6159" t="s">
        <v>771</v>
      </c>
      <c r="E6159" t="s">
        <v>6511</v>
      </c>
      <c r="F6159" t="s">
        <v>35</v>
      </c>
      <c r="G6159" t="s">
        <v>35</v>
      </c>
      <c r="H6159" t="s">
        <v>35</v>
      </c>
      <c r="J6159" t="s">
        <v>6518</v>
      </c>
      <c r="K6159" t="s">
        <v>1092</v>
      </c>
      <c r="M6159">
        <v>2.97</v>
      </c>
      <c r="N6159">
        <v>46</v>
      </c>
      <c r="O6159" t="s">
        <v>52</v>
      </c>
      <c r="Q6159" t="s">
        <v>493</v>
      </c>
      <c r="R6159" t="s">
        <v>934</v>
      </c>
      <c r="S6159" t="s">
        <v>935</v>
      </c>
    </row>
    <row r="6160" spans="1:19" x14ac:dyDescent="0.25">
      <c r="A6160" t="s">
        <v>44</v>
      </c>
      <c r="B6160" t="s">
        <v>51</v>
      </c>
      <c r="C6160" t="s">
        <v>32</v>
      </c>
      <c r="D6160" t="s">
        <v>771</v>
      </c>
      <c r="E6160" t="s">
        <v>6511</v>
      </c>
      <c r="F6160" t="s">
        <v>35</v>
      </c>
      <c r="G6160" t="s">
        <v>35</v>
      </c>
      <c r="H6160" t="s">
        <v>35</v>
      </c>
      <c r="J6160" t="s">
        <v>6519</v>
      </c>
      <c r="K6160" t="s">
        <v>1092</v>
      </c>
      <c r="M6160">
        <v>0.95</v>
      </c>
      <c r="N6160">
        <v>240</v>
      </c>
      <c r="O6160" t="s">
        <v>5</v>
      </c>
      <c r="Q6160" t="s">
        <v>2516</v>
      </c>
      <c r="R6160" t="s">
        <v>926</v>
      </c>
      <c r="S6160" t="s">
        <v>911</v>
      </c>
    </row>
    <row r="6161" spans="1:19" x14ac:dyDescent="0.25">
      <c r="A6161" t="s">
        <v>30</v>
      </c>
      <c r="B6161" t="s">
        <v>31</v>
      </c>
      <c r="C6161" t="s">
        <v>32</v>
      </c>
      <c r="D6161" t="s">
        <v>771</v>
      </c>
      <c r="E6161" t="s">
        <v>6511</v>
      </c>
      <c r="F6161" t="s">
        <v>35</v>
      </c>
      <c r="G6161" t="s">
        <v>35</v>
      </c>
      <c r="H6161" t="s">
        <v>35</v>
      </c>
      <c r="J6161" t="s">
        <v>6520</v>
      </c>
      <c r="K6161" t="s">
        <v>1092</v>
      </c>
      <c r="M6161">
        <v>0.81</v>
      </c>
      <c r="N6161">
        <v>234</v>
      </c>
      <c r="O6161" t="s">
        <v>5</v>
      </c>
      <c r="Q6161" t="s">
        <v>1780</v>
      </c>
      <c r="R6161" t="s">
        <v>6340</v>
      </c>
      <c r="S6161" t="s">
        <v>884</v>
      </c>
    </row>
    <row r="6162" spans="1:19" x14ac:dyDescent="0.25">
      <c r="A6162" t="s">
        <v>59</v>
      </c>
      <c r="B6162" t="s">
        <v>31</v>
      </c>
      <c r="C6162" t="s">
        <v>32</v>
      </c>
      <c r="D6162" t="s">
        <v>771</v>
      </c>
      <c r="E6162" t="s">
        <v>6511</v>
      </c>
      <c r="F6162" t="s">
        <v>35</v>
      </c>
      <c r="G6162" t="s">
        <v>35</v>
      </c>
      <c r="H6162" t="s">
        <v>35</v>
      </c>
      <c r="J6162" t="s">
        <v>6522</v>
      </c>
      <c r="K6162" t="s">
        <v>1092</v>
      </c>
      <c r="M6162">
        <v>3.2850000000000001</v>
      </c>
      <c r="N6162">
        <v>150</v>
      </c>
      <c r="O6162" t="s">
        <v>38</v>
      </c>
      <c r="Q6162" t="s">
        <v>1612</v>
      </c>
      <c r="R6162" t="s">
        <v>5992</v>
      </c>
      <c r="S6162" t="s">
        <v>817</v>
      </c>
    </row>
    <row r="6163" spans="1:19" x14ac:dyDescent="0.25">
      <c r="A6163" t="s">
        <v>44</v>
      </c>
      <c r="B6163" t="s">
        <v>51</v>
      </c>
      <c r="C6163" t="s">
        <v>32</v>
      </c>
      <c r="D6163" t="s">
        <v>771</v>
      </c>
      <c r="E6163" t="s">
        <v>6511</v>
      </c>
      <c r="F6163" t="s">
        <v>35</v>
      </c>
      <c r="G6163" t="s">
        <v>35</v>
      </c>
      <c r="H6163" t="s">
        <v>35</v>
      </c>
      <c r="J6163" t="s">
        <v>6523</v>
      </c>
      <c r="K6163" t="s">
        <v>1092</v>
      </c>
      <c r="M6163">
        <v>2.5</v>
      </c>
      <c r="N6163">
        <v>38</v>
      </c>
      <c r="O6163" t="s">
        <v>52</v>
      </c>
      <c r="Q6163" t="s">
        <v>748</v>
      </c>
      <c r="R6163" t="s">
        <v>849</v>
      </c>
      <c r="S6163" t="s">
        <v>850</v>
      </c>
    </row>
    <row r="6164" spans="1:19" x14ac:dyDescent="0.25">
      <c r="A6164" t="s">
        <v>59</v>
      </c>
      <c r="B6164" t="s">
        <v>31</v>
      </c>
      <c r="C6164" t="s">
        <v>32</v>
      </c>
      <c r="D6164" t="s">
        <v>771</v>
      </c>
      <c r="E6164" t="s">
        <v>6511</v>
      </c>
      <c r="F6164" t="s">
        <v>35</v>
      </c>
      <c r="G6164" t="s">
        <v>35</v>
      </c>
      <c r="H6164" t="s">
        <v>35</v>
      </c>
      <c r="J6164" t="s">
        <v>6523</v>
      </c>
      <c r="K6164" t="s">
        <v>1092</v>
      </c>
      <c r="M6164">
        <v>6.0750000000000002</v>
      </c>
      <c r="N6164">
        <v>151</v>
      </c>
      <c r="O6164" t="s">
        <v>38</v>
      </c>
      <c r="Q6164" t="s">
        <v>1269</v>
      </c>
      <c r="R6164" t="s">
        <v>849</v>
      </c>
      <c r="S6164" t="s">
        <v>850</v>
      </c>
    </row>
    <row r="6165" spans="1:19" x14ac:dyDescent="0.25">
      <c r="A6165" t="s">
        <v>59</v>
      </c>
      <c r="B6165" t="s">
        <v>60</v>
      </c>
      <c r="C6165" t="s">
        <v>32</v>
      </c>
      <c r="D6165" t="s">
        <v>771</v>
      </c>
      <c r="E6165" t="s">
        <v>6511</v>
      </c>
      <c r="F6165" t="s">
        <v>35</v>
      </c>
      <c r="G6165" t="s">
        <v>35</v>
      </c>
      <c r="H6165" t="s">
        <v>35</v>
      </c>
      <c r="J6165" t="s">
        <v>6523</v>
      </c>
      <c r="K6165" t="s">
        <v>1092</v>
      </c>
      <c r="M6165">
        <v>2.75</v>
      </c>
      <c r="N6165">
        <v>38</v>
      </c>
      <c r="O6165" t="s">
        <v>52</v>
      </c>
      <c r="Q6165" t="s">
        <v>748</v>
      </c>
      <c r="R6165" t="s">
        <v>849</v>
      </c>
      <c r="S6165" t="s">
        <v>850</v>
      </c>
    </row>
    <row r="6166" spans="1:19" x14ac:dyDescent="0.25">
      <c r="A6166" t="s">
        <v>44</v>
      </c>
      <c r="B6166" t="s">
        <v>3</v>
      </c>
      <c r="C6166" t="s">
        <v>32</v>
      </c>
      <c r="D6166" t="s">
        <v>771</v>
      </c>
      <c r="E6166" t="s">
        <v>6511</v>
      </c>
      <c r="F6166" t="s">
        <v>35</v>
      </c>
      <c r="G6166" t="s">
        <v>35</v>
      </c>
      <c r="H6166" t="s">
        <v>35</v>
      </c>
      <c r="J6166" t="s">
        <v>6523</v>
      </c>
      <c r="K6166" t="s">
        <v>1092</v>
      </c>
      <c r="M6166">
        <v>1.1499999999999999</v>
      </c>
      <c r="N6166">
        <v>215</v>
      </c>
      <c r="O6166" t="s">
        <v>5</v>
      </c>
      <c r="Q6166" t="s">
        <v>3122</v>
      </c>
      <c r="R6166" t="s">
        <v>849</v>
      </c>
      <c r="S6166" t="s">
        <v>850</v>
      </c>
    </row>
    <row r="6167" spans="1:19" x14ac:dyDescent="0.25">
      <c r="A6167" t="s">
        <v>30</v>
      </c>
      <c r="B6167" t="s">
        <v>31</v>
      </c>
      <c r="C6167" t="s">
        <v>32</v>
      </c>
      <c r="D6167" t="s">
        <v>771</v>
      </c>
      <c r="E6167" t="s">
        <v>6511</v>
      </c>
      <c r="F6167" t="s">
        <v>35</v>
      </c>
      <c r="G6167" t="s">
        <v>35</v>
      </c>
      <c r="H6167" t="s">
        <v>35</v>
      </c>
      <c r="J6167" t="s">
        <v>6524</v>
      </c>
      <c r="K6167" t="s">
        <v>1092</v>
      </c>
      <c r="M6167">
        <v>5.3550000000000004</v>
      </c>
      <c r="N6167">
        <v>47</v>
      </c>
      <c r="O6167" t="s">
        <v>52</v>
      </c>
      <c r="Q6167" t="s">
        <v>132</v>
      </c>
      <c r="R6167" t="s">
        <v>934</v>
      </c>
      <c r="S6167" t="s">
        <v>935</v>
      </c>
    </row>
    <row r="6168" spans="1:19" x14ac:dyDescent="0.25">
      <c r="A6168" t="s">
        <v>59</v>
      </c>
      <c r="B6168" t="s">
        <v>31</v>
      </c>
      <c r="C6168" t="s">
        <v>32</v>
      </c>
      <c r="D6168" t="s">
        <v>771</v>
      </c>
      <c r="E6168" t="s">
        <v>6525</v>
      </c>
      <c r="F6168" t="s">
        <v>35</v>
      </c>
      <c r="G6168" t="s">
        <v>35</v>
      </c>
      <c r="H6168" t="s">
        <v>35</v>
      </c>
      <c r="J6168" t="s">
        <v>6526</v>
      </c>
      <c r="K6168" t="s">
        <v>1092</v>
      </c>
      <c r="M6168">
        <v>4.2750000000000004</v>
      </c>
      <c r="N6168">
        <v>45</v>
      </c>
      <c r="O6168" t="s">
        <v>52</v>
      </c>
      <c r="Q6168" t="s">
        <v>716</v>
      </c>
      <c r="R6168" t="s">
        <v>844</v>
      </c>
      <c r="S6168" t="s">
        <v>806</v>
      </c>
    </row>
    <row r="6169" spans="1:19" x14ac:dyDescent="0.25">
      <c r="A6169" t="s">
        <v>59</v>
      </c>
      <c r="B6169" t="s">
        <v>31</v>
      </c>
      <c r="C6169" t="s">
        <v>32</v>
      </c>
      <c r="D6169" t="s">
        <v>771</v>
      </c>
      <c r="E6169" t="s">
        <v>6525</v>
      </c>
      <c r="F6169" t="s">
        <v>35</v>
      </c>
      <c r="G6169" t="s">
        <v>35</v>
      </c>
      <c r="H6169" t="s">
        <v>35</v>
      </c>
      <c r="J6169" t="s">
        <v>6527</v>
      </c>
      <c r="K6169" t="s">
        <v>1092</v>
      </c>
      <c r="M6169">
        <v>9.99</v>
      </c>
      <c r="N6169">
        <v>90</v>
      </c>
      <c r="O6169" t="s">
        <v>61</v>
      </c>
      <c r="Q6169" t="s">
        <v>897</v>
      </c>
      <c r="R6169" t="s">
        <v>919</v>
      </c>
      <c r="S6169" t="s">
        <v>784</v>
      </c>
    </row>
    <row r="6170" spans="1:19" x14ac:dyDescent="0.25">
      <c r="A6170" t="s">
        <v>30</v>
      </c>
      <c r="B6170" t="s">
        <v>31</v>
      </c>
      <c r="C6170" t="s">
        <v>32</v>
      </c>
      <c r="D6170" t="s">
        <v>771</v>
      </c>
      <c r="E6170" t="s">
        <v>6525</v>
      </c>
      <c r="F6170" t="s">
        <v>35</v>
      </c>
      <c r="G6170" t="s">
        <v>35</v>
      </c>
      <c r="H6170" t="s">
        <v>35</v>
      </c>
      <c r="J6170" t="s">
        <v>6527</v>
      </c>
      <c r="K6170" t="s">
        <v>1092</v>
      </c>
      <c r="M6170">
        <v>6.12</v>
      </c>
      <c r="N6170">
        <v>236</v>
      </c>
      <c r="O6170" t="s">
        <v>5</v>
      </c>
      <c r="Q6170" t="s">
        <v>1140</v>
      </c>
      <c r="R6170" t="s">
        <v>844</v>
      </c>
      <c r="S6170" t="s">
        <v>806</v>
      </c>
    </row>
    <row r="6171" spans="1:19" x14ac:dyDescent="0.25">
      <c r="A6171" t="s">
        <v>44</v>
      </c>
      <c r="B6171" t="s">
        <v>51</v>
      </c>
      <c r="C6171" t="s">
        <v>32</v>
      </c>
      <c r="D6171" t="s">
        <v>771</v>
      </c>
      <c r="E6171" t="s">
        <v>6525</v>
      </c>
      <c r="F6171" t="s">
        <v>35</v>
      </c>
      <c r="G6171" t="s">
        <v>35</v>
      </c>
      <c r="H6171" t="s">
        <v>35</v>
      </c>
      <c r="J6171" t="s">
        <v>6528</v>
      </c>
      <c r="K6171" t="s">
        <v>1092</v>
      </c>
      <c r="M6171">
        <v>0.25</v>
      </c>
      <c r="N6171">
        <v>131</v>
      </c>
      <c r="O6171" t="s">
        <v>38</v>
      </c>
      <c r="Q6171" t="s">
        <v>646</v>
      </c>
      <c r="R6171" t="s">
        <v>844</v>
      </c>
      <c r="S6171" t="s">
        <v>806</v>
      </c>
    </row>
    <row r="6172" spans="1:19" x14ac:dyDescent="0.25">
      <c r="A6172" t="s">
        <v>30</v>
      </c>
      <c r="B6172" t="s">
        <v>31</v>
      </c>
      <c r="C6172" t="s">
        <v>32</v>
      </c>
      <c r="D6172" t="s">
        <v>771</v>
      </c>
      <c r="E6172" t="s">
        <v>6525</v>
      </c>
      <c r="F6172" t="s">
        <v>35</v>
      </c>
      <c r="G6172" t="s">
        <v>35</v>
      </c>
      <c r="H6172" t="s">
        <v>35</v>
      </c>
      <c r="J6172" t="s">
        <v>6529</v>
      </c>
      <c r="K6172" t="s">
        <v>1092</v>
      </c>
      <c r="M6172">
        <v>1.365</v>
      </c>
      <c r="N6172">
        <v>871</v>
      </c>
      <c r="O6172" t="s">
        <v>575</v>
      </c>
      <c r="Q6172" t="s">
        <v>6530</v>
      </c>
      <c r="R6172" t="s">
        <v>6340</v>
      </c>
      <c r="S6172" t="s">
        <v>884</v>
      </c>
    </row>
    <row r="6173" spans="1:19" x14ac:dyDescent="0.25">
      <c r="A6173" t="s">
        <v>59</v>
      </c>
      <c r="B6173" t="s">
        <v>60</v>
      </c>
      <c r="C6173" t="s">
        <v>32</v>
      </c>
      <c r="D6173" t="s">
        <v>771</v>
      </c>
      <c r="E6173" t="s">
        <v>6525</v>
      </c>
      <c r="F6173" t="s">
        <v>35</v>
      </c>
      <c r="G6173" t="s">
        <v>35</v>
      </c>
      <c r="H6173" t="s">
        <v>35</v>
      </c>
      <c r="J6173" t="s">
        <v>6531</v>
      </c>
      <c r="K6173" t="s">
        <v>1092</v>
      </c>
      <c r="M6173">
        <v>1.95</v>
      </c>
      <c r="N6173">
        <v>1048</v>
      </c>
      <c r="O6173" t="s">
        <v>575</v>
      </c>
      <c r="Q6173" t="s">
        <v>6532</v>
      </c>
      <c r="R6173" t="s">
        <v>6533</v>
      </c>
      <c r="S6173" t="s">
        <v>6432</v>
      </c>
    </row>
    <row r="6174" spans="1:19" x14ac:dyDescent="0.25">
      <c r="A6174" t="s">
        <v>44</v>
      </c>
      <c r="B6174" t="s">
        <v>3</v>
      </c>
      <c r="C6174" t="s">
        <v>32</v>
      </c>
      <c r="D6174" t="s">
        <v>771</v>
      </c>
      <c r="E6174" t="s">
        <v>6525</v>
      </c>
      <c r="F6174" t="s">
        <v>35</v>
      </c>
      <c r="G6174" t="s">
        <v>35</v>
      </c>
      <c r="H6174" t="s">
        <v>35</v>
      </c>
      <c r="J6174" t="s">
        <v>6534</v>
      </c>
      <c r="K6174" t="s">
        <v>1092</v>
      </c>
      <c r="M6174">
        <v>0.55000000000000004</v>
      </c>
      <c r="N6174">
        <v>481</v>
      </c>
      <c r="O6174" t="s">
        <v>294</v>
      </c>
      <c r="Q6174" t="s">
        <v>1682</v>
      </c>
      <c r="R6174" t="s">
        <v>6100</v>
      </c>
      <c r="S6174" t="s">
        <v>947</v>
      </c>
    </row>
    <row r="6175" spans="1:19" x14ac:dyDescent="0.25">
      <c r="A6175" t="s">
        <v>59</v>
      </c>
      <c r="B6175" t="s">
        <v>31</v>
      </c>
      <c r="C6175" t="s">
        <v>32</v>
      </c>
      <c r="D6175" t="s">
        <v>771</v>
      </c>
      <c r="E6175" t="s">
        <v>898</v>
      </c>
      <c r="F6175" t="s">
        <v>35</v>
      </c>
      <c r="G6175" t="s">
        <v>35</v>
      </c>
      <c r="H6175" t="s">
        <v>35</v>
      </c>
      <c r="J6175" t="s">
        <v>6535</v>
      </c>
      <c r="K6175" t="s">
        <v>1092</v>
      </c>
      <c r="M6175">
        <v>3.5550000000000002</v>
      </c>
      <c r="N6175">
        <v>44</v>
      </c>
      <c r="O6175" t="s">
        <v>52</v>
      </c>
      <c r="Q6175" t="s">
        <v>192</v>
      </c>
      <c r="R6175" t="s">
        <v>5992</v>
      </c>
      <c r="S6175" t="s">
        <v>817</v>
      </c>
    </row>
    <row r="6176" spans="1:19" x14ac:dyDescent="0.25">
      <c r="A6176" t="s">
        <v>59</v>
      </c>
      <c r="B6176" t="s">
        <v>60</v>
      </c>
      <c r="C6176" t="s">
        <v>32</v>
      </c>
      <c r="D6176" t="s">
        <v>771</v>
      </c>
      <c r="E6176" t="s">
        <v>898</v>
      </c>
      <c r="F6176" t="s">
        <v>35</v>
      </c>
      <c r="G6176" t="s">
        <v>35</v>
      </c>
      <c r="H6176" t="s">
        <v>35</v>
      </c>
      <c r="J6176" t="s">
        <v>6535</v>
      </c>
      <c r="K6176" t="s">
        <v>1092</v>
      </c>
      <c r="M6176">
        <v>4.2</v>
      </c>
      <c r="N6176">
        <v>44</v>
      </c>
      <c r="O6176" t="s">
        <v>52</v>
      </c>
      <c r="Q6176" t="s">
        <v>192</v>
      </c>
      <c r="R6176" t="s">
        <v>5992</v>
      </c>
      <c r="S6176" t="s">
        <v>817</v>
      </c>
    </row>
    <row r="6177" spans="1:19" x14ac:dyDescent="0.25">
      <c r="A6177" t="s">
        <v>59</v>
      </c>
      <c r="B6177" t="s">
        <v>60</v>
      </c>
      <c r="C6177" t="s">
        <v>32</v>
      </c>
      <c r="D6177" t="s">
        <v>771</v>
      </c>
      <c r="E6177" t="s">
        <v>898</v>
      </c>
      <c r="F6177" t="s">
        <v>35</v>
      </c>
      <c r="G6177" t="s">
        <v>35</v>
      </c>
      <c r="H6177" t="s">
        <v>35</v>
      </c>
      <c r="J6177" t="s">
        <v>899</v>
      </c>
      <c r="K6177" t="s">
        <v>1092</v>
      </c>
      <c r="M6177">
        <v>15</v>
      </c>
      <c r="N6177">
        <v>44</v>
      </c>
      <c r="O6177" t="s">
        <v>52</v>
      </c>
      <c r="Q6177" t="s">
        <v>192</v>
      </c>
      <c r="R6177" t="s">
        <v>5992</v>
      </c>
      <c r="S6177" t="s">
        <v>817</v>
      </c>
    </row>
    <row r="6178" spans="1:19" x14ac:dyDescent="0.25">
      <c r="A6178" t="s">
        <v>59</v>
      </c>
      <c r="B6178" t="s">
        <v>60</v>
      </c>
      <c r="C6178" t="s">
        <v>32</v>
      </c>
      <c r="D6178" t="s">
        <v>771</v>
      </c>
      <c r="E6178" t="s">
        <v>898</v>
      </c>
      <c r="F6178" t="s">
        <v>35</v>
      </c>
      <c r="G6178" t="s">
        <v>35</v>
      </c>
      <c r="H6178" t="s">
        <v>35</v>
      </c>
      <c r="J6178" t="s">
        <v>5472</v>
      </c>
      <c r="K6178" t="s">
        <v>1092</v>
      </c>
      <c r="M6178">
        <v>25</v>
      </c>
      <c r="N6178">
        <v>21</v>
      </c>
      <c r="O6178" t="s">
        <v>46</v>
      </c>
      <c r="Q6178" t="s">
        <v>1874</v>
      </c>
      <c r="R6178" t="s">
        <v>934</v>
      </c>
      <c r="S6178" t="s">
        <v>935</v>
      </c>
    </row>
    <row r="6179" spans="1:19" x14ac:dyDescent="0.25">
      <c r="A6179" t="s">
        <v>44</v>
      </c>
      <c r="B6179" t="s">
        <v>51</v>
      </c>
      <c r="C6179" t="s">
        <v>32</v>
      </c>
      <c r="D6179" t="s">
        <v>771</v>
      </c>
      <c r="E6179" t="s">
        <v>898</v>
      </c>
      <c r="F6179" t="s">
        <v>35</v>
      </c>
      <c r="G6179" t="s">
        <v>35</v>
      </c>
      <c r="H6179" t="s">
        <v>35</v>
      </c>
      <c r="J6179" t="s">
        <v>6537</v>
      </c>
      <c r="K6179" t="s">
        <v>1092</v>
      </c>
      <c r="M6179">
        <v>4</v>
      </c>
      <c r="N6179">
        <v>46</v>
      </c>
      <c r="O6179" t="s">
        <v>52</v>
      </c>
      <c r="Q6179" t="s">
        <v>493</v>
      </c>
      <c r="R6179" t="s">
        <v>919</v>
      </c>
      <c r="S6179" t="s">
        <v>784</v>
      </c>
    </row>
    <row r="6180" spans="1:19" x14ac:dyDescent="0.25">
      <c r="A6180" t="s">
        <v>59</v>
      </c>
      <c r="B6180" t="s">
        <v>60</v>
      </c>
      <c r="C6180" t="s">
        <v>32</v>
      </c>
      <c r="D6180" t="s">
        <v>771</v>
      </c>
      <c r="E6180" t="s">
        <v>898</v>
      </c>
      <c r="F6180" t="s">
        <v>35</v>
      </c>
      <c r="G6180" t="s">
        <v>35</v>
      </c>
      <c r="H6180" t="s">
        <v>35</v>
      </c>
      <c r="J6180" t="s">
        <v>6538</v>
      </c>
      <c r="K6180" t="s">
        <v>1092</v>
      </c>
      <c r="M6180">
        <v>1.9750000000000001</v>
      </c>
      <c r="N6180">
        <v>44</v>
      </c>
      <c r="O6180" t="s">
        <v>52</v>
      </c>
      <c r="Q6180" t="s">
        <v>192</v>
      </c>
      <c r="R6180" t="s">
        <v>5992</v>
      </c>
      <c r="S6180" t="s">
        <v>817</v>
      </c>
    </row>
    <row r="6181" spans="1:19" x14ac:dyDescent="0.25">
      <c r="A6181" t="s">
        <v>59</v>
      </c>
      <c r="B6181" t="s">
        <v>31</v>
      </c>
      <c r="C6181" t="s">
        <v>32</v>
      </c>
      <c r="D6181" t="s">
        <v>771</v>
      </c>
      <c r="E6181" t="s">
        <v>898</v>
      </c>
      <c r="F6181" t="s">
        <v>35</v>
      </c>
      <c r="G6181" t="s">
        <v>35</v>
      </c>
      <c r="H6181" t="s">
        <v>35</v>
      </c>
      <c r="J6181" t="s">
        <v>6539</v>
      </c>
      <c r="K6181" t="s">
        <v>1092</v>
      </c>
      <c r="M6181">
        <v>0.28999999999999998</v>
      </c>
      <c r="N6181">
        <v>90</v>
      </c>
      <c r="O6181" t="s">
        <v>61</v>
      </c>
      <c r="Q6181" t="s">
        <v>897</v>
      </c>
      <c r="R6181" t="s">
        <v>6100</v>
      </c>
      <c r="S6181" t="s">
        <v>947</v>
      </c>
    </row>
    <row r="6182" spans="1:19" x14ac:dyDescent="0.25">
      <c r="A6182" t="s">
        <v>59</v>
      </c>
      <c r="B6182" t="s">
        <v>60</v>
      </c>
      <c r="C6182" t="s">
        <v>32</v>
      </c>
      <c r="D6182" t="s">
        <v>771</v>
      </c>
      <c r="E6182" t="s">
        <v>898</v>
      </c>
      <c r="F6182" t="s">
        <v>35</v>
      </c>
      <c r="G6182" t="s">
        <v>35</v>
      </c>
      <c r="H6182" t="s">
        <v>35</v>
      </c>
      <c r="J6182" t="s">
        <v>6539</v>
      </c>
      <c r="K6182" t="s">
        <v>1092</v>
      </c>
      <c r="M6182">
        <v>2.5</v>
      </c>
      <c r="N6182">
        <v>90</v>
      </c>
      <c r="O6182" t="s">
        <v>61</v>
      </c>
      <c r="Q6182" t="s">
        <v>897</v>
      </c>
      <c r="R6182" t="s">
        <v>6100</v>
      </c>
      <c r="S6182" t="s">
        <v>947</v>
      </c>
    </row>
    <row r="6183" spans="1:19" x14ac:dyDescent="0.25">
      <c r="A6183" t="s">
        <v>30</v>
      </c>
      <c r="B6183" t="s">
        <v>31</v>
      </c>
      <c r="C6183" t="s">
        <v>32</v>
      </c>
      <c r="D6183" t="s">
        <v>771</v>
      </c>
      <c r="E6183" t="s">
        <v>898</v>
      </c>
      <c r="F6183" t="s">
        <v>35</v>
      </c>
      <c r="G6183" t="s">
        <v>35</v>
      </c>
      <c r="H6183" t="s">
        <v>35</v>
      </c>
      <c r="J6183" t="s">
        <v>6540</v>
      </c>
      <c r="K6183" t="s">
        <v>1092</v>
      </c>
      <c r="M6183">
        <v>1.62</v>
      </c>
      <c r="N6183">
        <v>49</v>
      </c>
      <c r="O6183" t="s">
        <v>52</v>
      </c>
      <c r="Q6183" t="s">
        <v>219</v>
      </c>
      <c r="R6183" t="s">
        <v>6100</v>
      </c>
      <c r="S6183" t="s">
        <v>947</v>
      </c>
    </row>
    <row r="6184" spans="1:19" x14ac:dyDescent="0.25">
      <c r="A6184" t="s">
        <v>59</v>
      </c>
      <c r="B6184" t="s">
        <v>60</v>
      </c>
      <c r="C6184" t="s">
        <v>32</v>
      </c>
      <c r="D6184" t="s">
        <v>771</v>
      </c>
      <c r="E6184" t="s">
        <v>898</v>
      </c>
      <c r="F6184" t="s">
        <v>35</v>
      </c>
      <c r="G6184" t="s">
        <v>35</v>
      </c>
      <c r="H6184" t="s">
        <v>35</v>
      </c>
      <c r="J6184" t="s">
        <v>6541</v>
      </c>
      <c r="K6184" t="s">
        <v>1092</v>
      </c>
      <c r="M6184">
        <v>3</v>
      </c>
      <c r="N6184">
        <v>46</v>
      </c>
      <c r="O6184" t="s">
        <v>52</v>
      </c>
      <c r="Q6184" t="s">
        <v>493</v>
      </c>
      <c r="R6184" t="s">
        <v>919</v>
      </c>
      <c r="S6184" t="s">
        <v>784</v>
      </c>
    </row>
    <row r="6185" spans="1:19" x14ac:dyDescent="0.25">
      <c r="A6185" t="s">
        <v>59</v>
      </c>
      <c r="B6185" t="s">
        <v>60</v>
      </c>
      <c r="C6185" t="s">
        <v>32</v>
      </c>
      <c r="D6185" t="s">
        <v>771</v>
      </c>
      <c r="E6185" t="s">
        <v>898</v>
      </c>
      <c r="F6185" t="s">
        <v>35</v>
      </c>
      <c r="G6185" t="s">
        <v>35</v>
      </c>
      <c r="H6185" t="s">
        <v>35</v>
      </c>
      <c r="J6185" t="s">
        <v>6542</v>
      </c>
      <c r="K6185" t="s">
        <v>1092</v>
      </c>
      <c r="M6185">
        <v>1.95</v>
      </c>
      <c r="N6185">
        <v>40</v>
      </c>
      <c r="O6185" t="s">
        <v>52</v>
      </c>
      <c r="Q6185" t="s">
        <v>130</v>
      </c>
      <c r="R6185" t="s">
        <v>6348</v>
      </c>
      <c r="S6185" t="s">
        <v>899</v>
      </c>
    </row>
    <row r="6186" spans="1:19" x14ac:dyDescent="0.25">
      <c r="A6186" t="s">
        <v>59</v>
      </c>
      <c r="B6186" t="s">
        <v>60</v>
      </c>
      <c r="C6186" t="s">
        <v>32</v>
      </c>
      <c r="D6186" t="s">
        <v>771</v>
      </c>
      <c r="E6186" t="s">
        <v>898</v>
      </c>
      <c r="F6186" t="s">
        <v>35</v>
      </c>
      <c r="G6186" t="s">
        <v>35</v>
      </c>
      <c r="H6186" t="s">
        <v>35</v>
      </c>
      <c r="J6186" t="s">
        <v>6543</v>
      </c>
      <c r="K6186" t="s">
        <v>1092</v>
      </c>
      <c r="M6186">
        <v>3.8</v>
      </c>
      <c r="N6186">
        <v>46</v>
      </c>
      <c r="O6186" t="s">
        <v>52</v>
      </c>
      <c r="Q6186" t="s">
        <v>493</v>
      </c>
      <c r="R6186" t="s">
        <v>919</v>
      </c>
      <c r="S6186" t="s">
        <v>784</v>
      </c>
    </row>
    <row r="6187" spans="1:19" x14ac:dyDescent="0.25">
      <c r="A6187" t="s">
        <v>30</v>
      </c>
      <c r="B6187" t="s">
        <v>31</v>
      </c>
      <c r="C6187" t="s">
        <v>32</v>
      </c>
      <c r="D6187" t="s">
        <v>771</v>
      </c>
      <c r="E6187" t="s">
        <v>898</v>
      </c>
      <c r="F6187" t="s">
        <v>35</v>
      </c>
      <c r="G6187" t="s">
        <v>35</v>
      </c>
      <c r="H6187" t="s">
        <v>35</v>
      </c>
      <c r="J6187" t="s">
        <v>6544</v>
      </c>
      <c r="K6187" t="s">
        <v>1092</v>
      </c>
      <c r="M6187">
        <v>9.99</v>
      </c>
      <c r="N6187">
        <v>47</v>
      </c>
      <c r="O6187" t="s">
        <v>52</v>
      </c>
      <c r="Q6187" t="s">
        <v>132</v>
      </c>
      <c r="R6187" t="s">
        <v>844</v>
      </c>
      <c r="S6187" t="s">
        <v>806</v>
      </c>
    </row>
    <row r="6188" spans="1:19" x14ac:dyDescent="0.25">
      <c r="A6188" t="s">
        <v>59</v>
      </c>
      <c r="B6188" t="s">
        <v>60</v>
      </c>
      <c r="C6188" t="s">
        <v>32</v>
      </c>
      <c r="D6188" t="s">
        <v>771</v>
      </c>
      <c r="E6188" t="s">
        <v>898</v>
      </c>
      <c r="F6188" t="s">
        <v>35</v>
      </c>
      <c r="G6188" t="s">
        <v>35</v>
      </c>
      <c r="H6188" t="s">
        <v>35</v>
      </c>
      <c r="J6188" t="s">
        <v>6544</v>
      </c>
      <c r="K6188" t="s">
        <v>1092</v>
      </c>
      <c r="M6188">
        <v>0.6</v>
      </c>
      <c r="N6188">
        <v>89</v>
      </c>
      <c r="O6188" t="s">
        <v>61</v>
      </c>
      <c r="Q6188" t="s">
        <v>299</v>
      </c>
      <c r="R6188" t="s">
        <v>849</v>
      </c>
      <c r="S6188" t="s">
        <v>850</v>
      </c>
    </row>
    <row r="6189" spans="1:19" x14ac:dyDescent="0.25">
      <c r="A6189" t="s">
        <v>59</v>
      </c>
      <c r="B6189" t="s">
        <v>60</v>
      </c>
      <c r="C6189" t="s">
        <v>32</v>
      </c>
      <c r="D6189" t="s">
        <v>771</v>
      </c>
      <c r="E6189" t="s">
        <v>898</v>
      </c>
      <c r="F6189" t="s">
        <v>35</v>
      </c>
      <c r="G6189" t="s">
        <v>35</v>
      </c>
      <c r="H6189" t="s">
        <v>35</v>
      </c>
      <c r="J6189" t="s">
        <v>6545</v>
      </c>
      <c r="K6189" t="s">
        <v>1092</v>
      </c>
      <c r="M6189">
        <v>1</v>
      </c>
      <c r="N6189">
        <v>260</v>
      </c>
      <c r="O6189" t="s">
        <v>5</v>
      </c>
      <c r="Q6189" t="s">
        <v>5106</v>
      </c>
      <c r="R6189" t="s">
        <v>6024</v>
      </c>
      <c r="S6189" t="s">
        <v>820</v>
      </c>
    </row>
    <row r="6190" spans="1:19" x14ac:dyDescent="0.25">
      <c r="A6190" t="s">
        <v>59</v>
      </c>
      <c r="B6190" t="s">
        <v>31</v>
      </c>
      <c r="C6190" t="s">
        <v>32</v>
      </c>
      <c r="D6190" t="s">
        <v>771</v>
      </c>
      <c r="E6190" t="s">
        <v>898</v>
      </c>
      <c r="F6190" t="s">
        <v>35</v>
      </c>
      <c r="G6190" t="s">
        <v>35</v>
      </c>
      <c r="H6190" t="s">
        <v>35</v>
      </c>
      <c r="J6190" t="s">
        <v>6546</v>
      </c>
      <c r="K6190" t="s">
        <v>1092</v>
      </c>
      <c r="M6190">
        <v>0.01</v>
      </c>
      <c r="N6190">
        <v>1070</v>
      </c>
      <c r="O6190" t="s">
        <v>575</v>
      </c>
      <c r="Q6190" t="s">
        <v>6547</v>
      </c>
      <c r="R6190" t="s">
        <v>6141</v>
      </c>
      <c r="S6190" t="s">
        <v>6142</v>
      </c>
    </row>
    <row r="6191" spans="1:19" x14ac:dyDescent="0.25">
      <c r="A6191" t="s">
        <v>30</v>
      </c>
      <c r="B6191" t="s">
        <v>31</v>
      </c>
      <c r="C6191" t="s">
        <v>32</v>
      </c>
      <c r="D6191" t="s">
        <v>771</v>
      </c>
      <c r="E6191" t="s">
        <v>898</v>
      </c>
      <c r="F6191" t="s">
        <v>35</v>
      </c>
      <c r="G6191" t="s">
        <v>35</v>
      </c>
      <c r="H6191" t="s">
        <v>35</v>
      </c>
      <c r="J6191" t="s">
        <v>6548</v>
      </c>
      <c r="K6191" t="s">
        <v>1092</v>
      </c>
      <c r="M6191">
        <v>0.72</v>
      </c>
      <c r="N6191">
        <v>104</v>
      </c>
      <c r="O6191" t="s">
        <v>106</v>
      </c>
      <c r="Q6191" t="s">
        <v>2577</v>
      </c>
      <c r="R6191" t="s">
        <v>6163</v>
      </c>
      <c r="S6191" t="s">
        <v>823</v>
      </c>
    </row>
    <row r="6192" spans="1:19" x14ac:dyDescent="0.25">
      <c r="A6192" t="s">
        <v>30</v>
      </c>
      <c r="B6192" t="s">
        <v>31</v>
      </c>
      <c r="C6192" t="s">
        <v>32</v>
      </c>
      <c r="D6192" t="s">
        <v>771</v>
      </c>
      <c r="E6192" t="s">
        <v>898</v>
      </c>
      <c r="F6192" t="s">
        <v>35</v>
      </c>
      <c r="G6192" t="s">
        <v>35</v>
      </c>
      <c r="H6192" t="s">
        <v>35</v>
      </c>
      <c r="J6192" t="s">
        <v>6548</v>
      </c>
      <c r="K6192" t="s">
        <v>1092</v>
      </c>
      <c r="M6192">
        <v>14.04</v>
      </c>
      <c r="N6192">
        <v>44</v>
      </c>
      <c r="O6192" t="s">
        <v>52</v>
      </c>
      <c r="Q6192" t="s">
        <v>192</v>
      </c>
      <c r="R6192" t="s">
        <v>6163</v>
      </c>
      <c r="S6192" t="s">
        <v>823</v>
      </c>
    </row>
    <row r="6193" spans="1:19" x14ac:dyDescent="0.25">
      <c r="A6193" t="s">
        <v>59</v>
      </c>
      <c r="B6193" t="s">
        <v>60</v>
      </c>
      <c r="C6193" t="s">
        <v>32</v>
      </c>
      <c r="D6193" t="s">
        <v>771</v>
      </c>
      <c r="E6193" t="s">
        <v>903</v>
      </c>
      <c r="F6193" t="s">
        <v>35</v>
      </c>
      <c r="G6193" t="s">
        <v>35</v>
      </c>
      <c r="H6193" t="s">
        <v>35</v>
      </c>
      <c r="J6193" t="s">
        <v>6549</v>
      </c>
      <c r="K6193" t="s">
        <v>1092</v>
      </c>
      <c r="M6193">
        <v>4.4000000000000004</v>
      </c>
      <c r="N6193">
        <v>1308</v>
      </c>
      <c r="O6193" t="s">
        <v>575</v>
      </c>
      <c r="Q6193" t="s">
        <v>6550</v>
      </c>
      <c r="R6193" t="s">
        <v>6551</v>
      </c>
      <c r="S6193" t="s">
        <v>6552</v>
      </c>
    </row>
    <row r="6194" spans="1:19" x14ac:dyDescent="0.25">
      <c r="A6194" t="s">
        <v>30</v>
      </c>
      <c r="B6194" t="s">
        <v>31</v>
      </c>
      <c r="C6194" t="s">
        <v>32</v>
      </c>
      <c r="D6194" t="s">
        <v>771</v>
      </c>
      <c r="E6194" t="s">
        <v>903</v>
      </c>
      <c r="F6194" t="s">
        <v>35</v>
      </c>
      <c r="G6194" t="s">
        <v>35</v>
      </c>
      <c r="H6194" t="s">
        <v>35</v>
      </c>
      <c r="J6194" t="s">
        <v>6553</v>
      </c>
      <c r="K6194" t="s">
        <v>1144</v>
      </c>
      <c r="M6194">
        <v>5.94</v>
      </c>
      <c r="N6194">
        <v>119</v>
      </c>
      <c r="O6194" t="s">
        <v>106</v>
      </c>
      <c r="Q6194" t="s">
        <v>3465</v>
      </c>
      <c r="R6194" t="s">
        <v>934</v>
      </c>
      <c r="S6194" t="s">
        <v>935</v>
      </c>
    </row>
    <row r="6195" spans="1:19" x14ac:dyDescent="0.25">
      <c r="A6195" t="s">
        <v>59</v>
      </c>
      <c r="B6195" t="s">
        <v>60</v>
      </c>
      <c r="C6195" t="s">
        <v>32</v>
      </c>
      <c r="D6195" t="s">
        <v>771</v>
      </c>
      <c r="E6195" t="s">
        <v>903</v>
      </c>
      <c r="F6195" t="s">
        <v>35</v>
      </c>
      <c r="G6195" t="s">
        <v>35</v>
      </c>
      <c r="H6195" t="s">
        <v>35</v>
      </c>
      <c r="J6195" t="s">
        <v>6553</v>
      </c>
      <c r="K6195" t="s">
        <v>1144</v>
      </c>
      <c r="M6195">
        <v>1</v>
      </c>
      <c r="N6195">
        <v>91</v>
      </c>
      <c r="O6195" t="s">
        <v>106</v>
      </c>
      <c r="Q6195" t="s">
        <v>1147</v>
      </c>
      <c r="R6195" t="s">
        <v>934</v>
      </c>
      <c r="S6195" t="s">
        <v>935</v>
      </c>
    </row>
    <row r="6196" spans="1:19" x14ac:dyDescent="0.25">
      <c r="A6196" t="s">
        <v>44</v>
      </c>
      <c r="B6196" t="s">
        <v>51</v>
      </c>
      <c r="C6196" t="s">
        <v>32</v>
      </c>
      <c r="D6196" t="s">
        <v>771</v>
      </c>
      <c r="E6196" t="s">
        <v>903</v>
      </c>
      <c r="F6196" t="s">
        <v>35</v>
      </c>
      <c r="G6196" t="s">
        <v>35</v>
      </c>
      <c r="H6196" t="s">
        <v>35</v>
      </c>
      <c r="J6196" t="s">
        <v>6553</v>
      </c>
      <c r="K6196" t="s">
        <v>1144</v>
      </c>
      <c r="M6196">
        <v>7</v>
      </c>
      <c r="N6196">
        <v>35</v>
      </c>
      <c r="O6196" t="s">
        <v>52</v>
      </c>
      <c r="Q6196" t="s">
        <v>48</v>
      </c>
      <c r="R6196" t="s">
        <v>934</v>
      </c>
      <c r="S6196" t="s">
        <v>935</v>
      </c>
    </row>
    <row r="6197" spans="1:19" x14ac:dyDescent="0.25">
      <c r="A6197" t="s">
        <v>59</v>
      </c>
      <c r="B6197" t="s">
        <v>60</v>
      </c>
      <c r="C6197" t="s">
        <v>32</v>
      </c>
      <c r="D6197" t="s">
        <v>771</v>
      </c>
      <c r="E6197" t="s">
        <v>903</v>
      </c>
      <c r="F6197" t="s">
        <v>35</v>
      </c>
      <c r="G6197" t="s">
        <v>35</v>
      </c>
      <c r="H6197" t="s">
        <v>35</v>
      </c>
      <c r="J6197" t="s">
        <v>6553</v>
      </c>
      <c r="K6197" t="s">
        <v>1144</v>
      </c>
      <c r="M6197">
        <v>1E-3</v>
      </c>
      <c r="N6197">
        <v>156</v>
      </c>
      <c r="O6197" t="s">
        <v>38</v>
      </c>
      <c r="Q6197" t="s">
        <v>75</v>
      </c>
      <c r="R6197" t="s">
        <v>934</v>
      </c>
      <c r="S6197" t="s">
        <v>935</v>
      </c>
    </row>
    <row r="6198" spans="1:19" x14ac:dyDescent="0.25">
      <c r="A6198" t="s">
        <v>59</v>
      </c>
      <c r="B6198" t="s">
        <v>31</v>
      </c>
      <c r="C6198" t="s">
        <v>32</v>
      </c>
      <c r="D6198" t="s">
        <v>771</v>
      </c>
      <c r="E6198" t="s">
        <v>903</v>
      </c>
      <c r="F6198" t="s">
        <v>35</v>
      </c>
      <c r="G6198" t="s">
        <v>35</v>
      </c>
      <c r="H6198" t="s">
        <v>35</v>
      </c>
      <c r="J6198" t="s">
        <v>6553</v>
      </c>
      <c r="K6198" t="s">
        <v>1144</v>
      </c>
      <c r="M6198">
        <v>5.9850000000000003</v>
      </c>
      <c r="N6198">
        <v>91</v>
      </c>
      <c r="O6198" t="s">
        <v>106</v>
      </c>
      <c r="Q6198" t="s">
        <v>1147</v>
      </c>
      <c r="R6198" t="s">
        <v>934</v>
      </c>
      <c r="S6198" t="s">
        <v>935</v>
      </c>
    </row>
    <row r="6199" spans="1:19" x14ac:dyDescent="0.25">
      <c r="A6199" t="s">
        <v>59</v>
      </c>
      <c r="B6199" t="s">
        <v>31</v>
      </c>
      <c r="C6199" t="s">
        <v>32</v>
      </c>
      <c r="D6199" t="s">
        <v>771</v>
      </c>
      <c r="E6199" t="s">
        <v>903</v>
      </c>
      <c r="F6199" t="s">
        <v>35</v>
      </c>
      <c r="G6199" t="s">
        <v>35</v>
      </c>
      <c r="H6199" t="s">
        <v>35</v>
      </c>
      <c r="J6199" t="s">
        <v>6554</v>
      </c>
      <c r="K6199" t="s">
        <v>1092</v>
      </c>
      <c r="M6199">
        <v>4.8600000000000003</v>
      </c>
      <c r="N6199">
        <v>40</v>
      </c>
      <c r="O6199" t="s">
        <v>52</v>
      </c>
      <c r="Q6199" t="s">
        <v>130</v>
      </c>
      <c r="R6199" t="s">
        <v>6169</v>
      </c>
      <c r="S6199" t="s">
        <v>904</v>
      </c>
    </row>
    <row r="6200" spans="1:19" x14ac:dyDescent="0.25">
      <c r="A6200" t="s">
        <v>59</v>
      </c>
      <c r="B6200" t="s">
        <v>60</v>
      </c>
      <c r="C6200" t="s">
        <v>32</v>
      </c>
      <c r="D6200" t="s">
        <v>771</v>
      </c>
      <c r="E6200" t="s">
        <v>903</v>
      </c>
      <c r="F6200" t="s">
        <v>35</v>
      </c>
      <c r="G6200" t="s">
        <v>35</v>
      </c>
      <c r="H6200" t="s">
        <v>35</v>
      </c>
      <c r="J6200" t="s">
        <v>6555</v>
      </c>
      <c r="K6200" t="s">
        <v>1092</v>
      </c>
      <c r="M6200">
        <v>6.1</v>
      </c>
      <c r="N6200">
        <v>40</v>
      </c>
      <c r="O6200" t="s">
        <v>52</v>
      </c>
      <c r="Q6200" t="s">
        <v>130</v>
      </c>
      <c r="R6200" t="s">
        <v>6169</v>
      </c>
      <c r="S6200" t="s">
        <v>904</v>
      </c>
    </row>
    <row r="6201" spans="1:19" x14ac:dyDescent="0.25">
      <c r="A6201" t="s">
        <v>30</v>
      </c>
      <c r="B6201" t="s">
        <v>31</v>
      </c>
      <c r="C6201" t="s">
        <v>32</v>
      </c>
      <c r="D6201" t="s">
        <v>771</v>
      </c>
      <c r="E6201" t="s">
        <v>903</v>
      </c>
      <c r="F6201" t="s">
        <v>35</v>
      </c>
      <c r="G6201" t="s">
        <v>35</v>
      </c>
      <c r="H6201" t="s">
        <v>35</v>
      </c>
      <c r="J6201" t="s">
        <v>6556</v>
      </c>
      <c r="K6201" t="s">
        <v>1092</v>
      </c>
      <c r="M6201">
        <v>3.42</v>
      </c>
      <c r="N6201">
        <v>47</v>
      </c>
      <c r="O6201" t="s">
        <v>52</v>
      </c>
      <c r="Q6201" t="s">
        <v>132</v>
      </c>
      <c r="R6201" t="s">
        <v>436</v>
      </c>
      <c r="S6201" t="s">
        <v>437</v>
      </c>
    </row>
    <row r="6202" spans="1:19" x14ac:dyDescent="0.25">
      <c r="A6202" t="s">
        <v>59</v>
      </c>
      <c r="B6202" t="s">
        <v>60</v>
      </c>
      <c r="C6202" t="s">
        <v>32</v>
      </c>
      <c r="D6202" t="s">
        <v>771</v>
      </c>
      <c r="E6202" t="s">
        <v>903</v>
      </c>
      <c r="F6202" t="s">
        <v>35</v>
      </c>
      <c r="G6202" t="s">
        <v>35</v>
      </c>
      <c r="H6202" t="s">
        <v>35</v>
      </c>
      <c r="J6202" t="s">
        <v>6556</v>
      </c>
      <c r="K6202" t="s">
        <v>1092</v>
      </c>
      <c r="M6202">
        <v>3.5</v>
      </c>
      <c r="N6202">
        <v>155</v>
      </c>
      <c r="O6202" t="s">
        <v>38</v>
      </c>
      <c r="Q6202" t="s">
        <v>3942</v>
      </c>
      <c r="R6202" t="s">
        <v>436</v>
      </c>
      <c r="S6202" t="s">
        <v>437</v>
      </c>
    </row>
    <row r="6203" spans="1:19" x14ac:dyDescent="0.25">
      <c r="A6203" t="s">
        <v>59</v>
      </c>
      <c r="B6203" t="s">
        <v>60</v>
      </c>
      <c r="C6203" t="s">
        <v>32</v>
      </c>
      <c r="D6203" t="s">
        <v>771</v>
      </c>
      <c r="E6203" t="s">
        <v>903</v>
      </c>
      <c r="F6203" t="s">
        <v>35</v>
      </c>
      <c r="G6203" t="s">
        <v>35</v>
      </c>
      <c r="H6203" t="s">
        <v>35</v>
      </c>
      <c r="J6203" t="s">
        <v>6558</v>
      </c>
      <c r="K6203" t="s">
        <v>1092</v>
      </c>
      <c r="M6203">
        <v>6.3</v>
      </c>
      <c r="N6203">
        <v>153</v>
      </c>
      <c r="O6203" t="s">
        <v>38</v>
      </c>
      <c r="Q6203" t="s">
        <v>569</v>
      </c>
      <c r="R6203" t="s">
        <v>844</v>
      </c>
      <c r="S6203" t="s">
        <v>806</v>
      </c>
    </row>
    <row r="6204" spans="1:19" x14ac:dyDescent="0.25">
      <c r="A6204" t="s">
        <v>59</v>
      </c>
      <c r="B6204" t="s">
        <v>60</v>
      </c>
      <c r="C6204" t="s">
        <v>32</v>
      </c>
      <c r="D6204" t="s">
        <v>771</v>
      </c>
      <c r="E6204" t="s">
        <v>903</v>
      </c>
      <c r="F6204" t="s">
        <v>35</v>
      </c>
      <c r="G6204" t="s">
        <v>35</v>
      </c>
      <c r="H6204" t="s">
        <v>35</v>
      </c>
      <c r="J6204" t="s">
        <v>6559</v>
      </c>
      <c r="K6204" t="s">
        <v>1092</v>
      </c>
      <c r="M6204">
        <v>0.35</v>
      </c>
      <c r="N6204">
        <v>711</v>
      </c>
      <c r="O6204" t="s">
        <v>575</v>
      </c>
      <c r="Q6204" t="s">
        <v>1853</v>
      </c>
      <c r="R6204" t="s">
        <v>934</v>
      </c>
      <c r="S6204" t="s">
        <v>935</v>
      </c>
    </row>
    <row r="6205" spans="1:19" x14ac:dyDescent="0.25">
      <c r="A6205" t="s">
        <v>30</v>
      </c>
      <c r="B6205" t="s">
        <v>31</v>
      </c>
      <c r="C6205" t="s">
        <v>32</v>
      </c>
      <c r="D6205" t="s">
        <v>771</v>
      </c>
      <c r="E6205" t="s">
        <v>903</v>
      </c>
      <c r="F6205" t="s">
        <v>35</v>
      </c>
      <c r="G6205" t="s">
        <v>35</v>
      </c>
      <c r="H6205" t="s">
        <v>35</v>
      </c>
      <c r="J6205" t="s">
        <v>6560</v>
      </c>
      <c r="K6205" t="s">
        <v>1092</v>
      </c>
      <c r="M6205">
        <v>8.19</v>
      </c>
      <c r="N6205">
        <v>48</v>
      </c>
      <c r="O6205" t="s">
        <v>52</v>
      </c>
      <c r="Q6205" t="s">
        <v>496</v>
      </c>
      <c r="R6205" t="s">
        <v>919</v>
      </c>
      <c r="S6205" t="s">
        <v>784</v>
      </c>
    </row>
    <row r="6206" spans="1:19" x14ac:dyDescent="0.25">
      <c r="A6206" t="s">
        <v>59</v>
      </c>
      <c r="B6206" t="s">
        <v>31</v>
      </c>
      <c r="C6206" t="s">
        <v>32</v>
      </c>
      <c r="D6206" t="s">
        <v>771</v>
      </c>
      <c r="E6206" t="s">
        <v>903</v>
      </c>
      <c r="F6206" t="s">
        <v>35</v>
      </c>
      <c r="G6206" t="s">
        <v>35</v>
      </c>
      <c r="H6206" t="s">
        <v>35</v>
      </c>
      <c r="J6206" t="s">
        <v>6561</v>
      </c>
      <c r="K6206" t="s">
        <v>1092</v>
      </c>
      <c r="M6206">
        <v>3.06</v>
      </c>
      <c r="N6206">
        <v>46</v>
      </c>
      <c r="O6206" t="s">
        <v>52</v>
      </c>
      <c r="Q6206" t="s">
        <v>493</v>
      </c>
      <c r="R6206" t="s">
        <v>5992</v>
      </c>
      <c r="S6206" t="s">
        <v>817</v>
      </c>
    </row>
    <row r="6207" spans="1:19" x14ac:dyDescent="0.25">
      <c r="A6207" t="s">
        <v>59</v>
      </c>
      <c r="B6207" t="s">
        <v>60</v>
      </c>
      <c r="C6207" t="s">
        <v>32</v>
      </c>
      <c r="D6207" t="s">
        <v>771</v>
      </c>
      <c r="E6207" t="s">
        <v>903</v>
      </c>
      <c r="F6207" t="s">
        <v>35</v>
      </c>
      <c r="G6207" t="s">
        <v>35</v>
      </c>
      <c r="H6207" t="s">
        <v>35</v>
      </c>
      <c r="J6207" t="s">
        <v>6561</v>
      </c>
      <c r="K6207" t="s">
        <v>1092</v>
      </c>
      <c r="M6207">
        <v>0.75</v>
      </c>
      <c r="N6207">
        <v>91</v>
      </c>
      <c r="O6207" t="s">
        <v>106</v>
      </c>
      <c r="Q6207" t="s">
        <v>1147</v>
      </c>
      <c r="R6207" t="s">
        <v>5992</v>
      </c>
      <c r="S6207" t="s">
        <v>817</v>
      </c>
    </row>
    <row r="6208" spans="1:19" x14ac:dyDescent="0.25">
      <c r="A6208" t="s">
        <v>59</v>
      </c>
      <c r="B6208" t="s">
        <v>31</v>
      </c>
      <c r="C6208" t="s">
        <v>32</v>
      </c>
      <c r="D6208" t="s">
        <v>771</v>
      </c>
      <c r="E6208" t="s">
        <v>903</v>
      </c>
      <c r="F6208" t="s">
        <v>35</v>
      </c>
      <c r="G6208" t="s">
        <v>35</v>
      </c>
      <c r="H6208" t="s">
        <v>35</v>
      </c>
      <c r="J6208" t="s">
        <v>6561</v>
      </c>
      <c r="K6208" t="s">
        <v>1092</v>
      </c>
      <c r="M6208">
        <v>5.22</v>
      </c>
      <c r="N6208">
        <v>91</v>
      </c>
      <c r="O6208" t="s">
        <v>106</v>
      </c>
      <c r="Q6208" t="s">
        <v>1147</v>
      </c>
      <c r="R6208" t="s">
        <v>5992</v>
      </c>
      <c r="S6208" t="s">
        <v>817</v>
      </c>
    </row>
    <row r="6209" spans="1:19" x14ac:dyDescent="0.25">
      <c r="A6209" t="s">
        <v>59</v>
      </c>
      <c r="B6209" t="s">
        <v>60</v>
      </c>
      <c r="C6209" t="s">
        <v>32</v>
      </c>
      <c r="D6209" t="s">
        <v>771</v>
      </c>
      <c r="E6209" t="s">
        <v>903</v>
      </c>
      <c r="F6209" t="s">
        <v>35</v>
      </c>
      <c r="G6209" t="s">
        <v>35</v>
      </c>
      <c r="H6209" t="s">
        <v>35</v>
      </c>
      <c r="J6209" t="s">
        <v>6561</v>
      </c>
      <c r="K6209" t="s">
        <v>1092</v>
      </c>
      <c r="M6209">
        <v>7</v>
      </c>
      <c r="N6209">
        <v>46</v>
      </c>
      <c r="O6209" t="s">
        <v>52</v>
      </c>
      <c r="Q6209" t="s">
        <v>493</v>
      </c>
      <c r="R6209" t="s">
        <v>5992</v>
      </c>
      <c r="S6209" t="s">
        <v>817</v>
      </c>
    </row>
    <row r="6210" spans="1:19" x14ac:dyDescent="0.25">
      <c r="A6210" t="s">
        <v>30</v>
      </c>
      <c r="B6210" t="s">
        <v>31</v>
      </c>
      <c r="C6210" t="s">
        <v>32</v>
      </c>
      <c r="D6210" t="s">
        <v>771</v>
      </c>
      <c r="E6210" t="s">
        <v>903</v>
      </c>
      <c r="F6210" t="s">
        <v>35</v>
      </c>
      <c r="G6210" t="s">
        <v>35</v>
      </c>
      <c r="H6210" t="s">
        <v>35</v>
      </c>
      <c r="J6210" t="s">
        <v>6561</v>
      </c>
      <c r="K6210" t="s">
        <v>1092</v>
      </c>
      <c r="M6210">
        <v>3.87</v>
      </c>
      <c r="N6210">
        <v>48</v>
      </c>
      <c r="O6210" t="s">
        <v>52</v>
      </c>
      <c r="Q6210" t="s">
        <v>496</v>
      </c>
      <c r="R6210" t="s">
        <v>5992</v>
      </c>
      <c r="S6210" t="s">
        <v>817</v>
      </c>
    </row>
    <row r="6211" spans="1:19" x14ac:dyDescent="0.25">
      <c r="A6211" t="s">
        <v>59</v>
      </c>
      <c r="B6211" t="s">
        <v>60</v>
      </c>
      <c r="C6211" t="s">
        <v>32</v>
      </c>
      <c r="D6211" t="s">
        <v>771</v>
      </c>
      <c r="E6211" t="s">
        <v>903</v>
      </c>
      <c r="F6211" t="s">
        <v>35</v>
      </c>
      <c r="G6211" t="s">
        <v>35</v>
      </c>
      <c r="H6211" t="s">
        <v>35</v>
      </c>
      <c r="J6211" t="s">
        <v>904</v>
      </c>
      <c r="K6211" t="s">
        <v>1092</v>
      </c>
      <c r="M6211">
        <v>72.25</v>
      </c>
      <c r="N6211">
        <v>12</v>
      </c>
      <c r="O6211" t="s">
        <v>46</v>
      </c>
      <c r="Q6211" t="s">
        <v>1865</v>
      </c>
      <c r="R6211" t="s">
        <v>6169</v>
      </c>
      <c r="S6211" t="s">
        <v>904</v>
      </c>
    </row>
    <row r="6212" spans="1:19" x14ac:dyDescent="0.25">
      <c r="A6212" t="s">
        <v>59</v>
      </c>
      <c r="B6212" t="s">
        <v>31</v>
      </c>
      <c r="C6212" t="s">
        <v>32</v>
      </c>
      <c r="D6212" t="s">
        <v>771</v>
      </c>
      <c r="E6212" t="s">
        <v>903</v>
      </c>
      <c r="F6212" t="s">
        <v>35</v>
      </c>
      <c r="G6212" t="s">
        <v>35</v>
      </c>
      <c r="H6212" t="s">
        <v>35</v>
      </c>
      <c r="J6212" t="s">
        <v>904</v>
      </c>
      <c r="K6212" t="s">
        <v>1092</v>
      </c>
      <c r="M6212">
        <v>19.215</v>
      </c>
      <c r="N6212">
        <v>23</v>
      </c>
      <c r="O6212" t="s">
        <v>46</v>
      </c>
      <c r="Q6212" t="s">
        <v>1819</v>
      </c>
      <c r="R6212" t="s">
        <v>6169</v>
      </c>
      <c r="S6212" t="s">
        <v>904</v>
      </c>
    </row>
    <row r="6213" spans="1:19" x14ac:dyDescent="0.25">
      <c r="A6213" t="s">
        <v>59</v>
      </c>
      <c r="B6213" t="s">
        <v>60</v>
      </c>
      <c r="C6213" t="s">
        <v>32</v>
      </c>
      <c r="D6213" t="s">
        <v>771</v>
      </c>
      <c r="E6213" t="s">
        <v>903</v>
      </c>
      <c r="F6213" t="s">
        <v>35</v>
      </c>
      <c r="G6213" t="s">
        <v>35</v>
      </c>
      <c r="H6213" t="s">
        <v>35</v>
      </c>
      <c r="J6213" t="s">
        <v>6562</v>
      </c>
      <c r="K6213" t="s">
        <v>1092</v>
      </c>
      <c r="M6213">
        <v>5</v>
      </c>
      <c r="N6213">
        <v>154</v>
      </c>
      <c r="O6213" t="s">
        <v>38</v>
      </c>
      <c r="Q6213" t="s">
        <v>3398</v>
      </c>
      <c r="R6213" t="s">
        <v>849</v>
      </c>
      <c r="S6213" t="s">
        <v>850</v>
      </c>
    </row>
    <row r="6214" spans="1:19" x14ac:dyDescent="0.25">
      <c r="A6214" t="s">
        <v>30</v>
      </c>
      <c r="B6214" t="s">
        <v>31</v>
      </c>
      <c r="C6214" t="s">
        <v>32</v>
      </c>
      <c r="D6214" t="s">
        <v>771</v>
      </c>
      <c r="E6214" t="s">
        <v>910</v>
      </c>
      <c r="F6214" t="s">
        <v>35</v>
      </c>
      <c r="G6214" t="s">
        <v>35</v>
      </c>
      <c r="H6214" t="s">
        <v>35</v>
      </c>
      <c r="J6214" t="s">
        <v>6345</v>
      </c>
      <c r="K6214" t="s">
        <v>1092</v>
      </c>
      <c r="M6214">
        <v>1.79</v>
      </c>
      <c r="N6214">
        <v>46</v>
      </c>
      <c r="O6214" t="s">
        <v>52</v>
      </c>
      <c r="Q6214" t="s">
        <v>493</v>
      </c>
      <c r="R6214" t="s">
        <v>6020</v>
      </c>
      <c r="S6214" t="s">
        <v>921</v>
      </c>
    </row>
    <row r="6215" spans="1:19" x14ac:dyDescent="0.25">
      <c r="A6215" t="s">
        <v>44</v>
      </c>
      <c r="B6215" t="s">
        <v>51</v>
      </c>
      <c r="C6215" t="s">
        <v>32</v>
      </c>
      <c r="D6215" t="s">
        <v>771</v>
      </c>
      <c r="E6215" t="s">
        <v>910</v>
      </c>
      <c r="F6215" t="s">
        <v>35</v>
      </c>
      <c r="G6215" t="s">
        <v>35</v>
      </c>
      <c r="H6215" t="s">
        <v>35</v>
      </c>
      <c r="J6215" t="s">
        <v>6563</v>
      </c>
      <c r="K6215" t="s">
        <v>1092</v>
      </c>
      <c r="M6215">
        <v>10</v>
      </c>
      <c r="N6215">
        <v>75</v>
      </c>
      <c r="O6215" t="s">
        <v>61</v>
      </c>
      <c r="Q6215" t="s">
        <v>805</v>
      </c>
      <c r="R6215" t="s">
        <v>5992</v>
      </c>
      <c r="S6215" t="s">
        <v>817</v>
      </c>
    </row>
    <row r="6216" spans="1:19" x14ac:dyDescent="0.25">
      <c r="A6216" t="s">
        <v>30</v>
      </c>
      <c r="B6216" t="s">
        <v>31</v>
      </c>
      <c r="C6216" t="s">
        <v>32</v>
      </c>
      <c r="D6216" t="s">
        <v>771</v>
      </c>
      <c r="E6216" t="s">
        <v>910</v>
      </c>
      <c r="F6216" t="s">
        <v>35</v>
      </c>
      <c r="G6216" t="s">
        <v>35</v>
      </c>
      <c r="H6216" t="s">
        <v>35</v>
      </c>
      <c r="J6216" t="s">
        <v>6564</v>
      </c>
      <c r="K6216" t="s">
        <v>1092</v>
      </c>
      <c r="M6216">
        <v>0.27</v>
      </c>
      <c r="N6216">
        <v>235</v>
      </c>
      <c r="O6216" t="s">
        <v>5</v>
      </c>
      <c r="Q6216" t="s">
        <v>4942</v>
      </c>
      <c r="R6216" t="s">
        <v>6090</v>
      </c>
      <c r="S6216" t="s">
        <v>6091</v>
      </c>
    </row>
    <row r="6217" spans="1:19" x14ac:dyDescent="0.25">
      <c r="A6217" t="s">
        <v>59</v>
      </c>
      <c r="B6217" t="s">
        <v>31</v>
      </c>
      <c r="C6217" t="s">
        <v>32</v>
      </c>
      <c r="D6217" t="s">
        <v>771</v>
      </c>
      <c r="E6217" t="s">
        <v>910</v>
      </c>
      <c r="F6217" t="s">
        <v>35</v>
      </c>
      <c r="G6217" t="s">
        <v>35</v>
      </c>
      <c r="H6217" t="s">
        <v>35</v>
      </c>
      <c r="J6217" t="s">
        <v>6564</v>
      </c>
      <c r="K6217" t="s">
        <v>1092</v>
      </c>
      <c r="M6217">
        <v>0.99</v>
      </c>
      <c r="N6217">
        <v>152</v>
      </c>
      <c r="O6217" t="s">
        <v>38</v>
      </c>
      <c r="Q6217" t="s">
        <v>408</v>
      </c>
      <c r="R6217" t="s">
        <v>6090</v>
      </c>
      <c r="S6217" t="s">
        <v>6091</v>
      </c>
    </row>
    <row r="6218" spans="1:19" x14ac:dyDescent="0.25">
      <c r="A6218" t="s">
        <v>59</v>
      </c>
      <c r="B6218" t="s">
        <v>60</v>
      </c>
      <c r="C6218" t="s">
        <v>32</v>
      </c>
      <c r="D6218" t="s">
        <v>771</v>
      </c>
      <c r="E6218" t="s">
        <v>910</v>
      </c>
      <c r="F6218" t="s">
        <v>35</v>
      </c>
      <c r="G6218" t="s">
        <v>35</v>
      </c>
      <c r="H6218" t="s">
        <v>35</v>
      </c>
      <c r="J6218" t="s">
        <v>6564</v>
      </c>
      <c r="K6218" t="s">
        <v>1092</v>
      </c>
      <c r="M6218">
        <v>0.05</v>
      </c>
      <c r="N6218">
        <v>361</v>
      </c>
      <c r="O6218" t="s">
        <v>5</v>
      </c>
      <c r="Q6218" t="s">
        <v>1685</v>
      </c>
      <c r="R6218" t="s">
        <v>6050</v>
      </c>
      <c r="S6218" t="s">
        <v>872</v>
      </c>
    </row>
    <row r="6219" spans="1:19" x14ac:dyDescent="0.25">
      <c r="A6219" t="s">
        <v>30</v>
      </c>
      <c r="B6219" t="s">
        <v>31</v>
      </c>
      <c r="C6219" t="s">
        <v>32</v>
      </c>
      <c r="D6219" t="s">
        <v>771</v>
      </c>
      <c r="E6219" t="s">
        <v>910</v>
      </c>
      <c r="F6219" t="s">
        <v>35</v>
      </c>
      <c r="G6219" t="s">
        <v>35</v>
      </c>
      <c r="H6219" t="s">
        <v>35</v>
      </c>
      <c r="J6219" t="s">
        <v>6564</v>
      </c>
      <c r="K6219" t="s">
        <v>1092</v>
      </c>
      <c r="M6219">
        <v>3.51</v>
      </c>
      <c r="N6219">
        <v>46</v>
      </c>
      <c r="O6219" t="s">
        <v>52</v>
      </c>
      <c r="Q6219" t="s">
        <v>493</v>
      </c>
      <c r="R6219" t="s">
        <v>6020</v>
      </c>
      <c r="S6219" t="s">
        <v>921</v>
      </c>
    </row>
    <row r="6220" spans="1:19" x14ac:dyDescent="0.25">
      <c r="A6220" t="s">
        <v>30</v>
      </c>
      <c r="B6220" t="s">
        <v>31</v>
      </c>
      <c r="C6220" t="s">
        <v>32</v>
      </c>
      <c r="D6220" t="s">
        <v>771</v>
      </c>
      <c r="E6220" t="s">
        <v>910</v>
      </c>
      <c r="F6220" t="s">
        <v>35</v>
      </c>
      <c r="G6220" t="s">
        <v>35</v>
      </c>
      <c r="H6220" t="s">
        <v>35</v>
      </c>
      <c r="J6220" t="s">
        <v>6565</v>
      </c>
      <c r="K6220" t="s">
        <v>1092</v>
      </c>
      <c r="M6220">
        <v>3.15</v>
      </c>
      <c r="N6220">
        <v>14</v>
      </c>
      <c r="O6220" t="s">
        <v>46</v>
      </c>
      <c r="Q6220" t="s">
        <v>2440</v>
      </c>
      <c r="R6220" t="s">
        <v>6020</v>
      </c>
      <c r="S6220" t="s">
        <v>921</v>
      </c>
    </row>
    <row r="6221" spans="1:19" x14ac:dyDescent="0.25">
      <c r="A6221" t="s">
        <v>44</v>
      </c>
      <c r="B6221" t="s">
        <v>51</v>
      </c>
      <c r="C6221" t="s">
        <v>32</v>
      </c>
      <c r="D6221" t="s">
        <v>771</v>
      </c>
      <c r="E6221" t="s">
        <v>910</v>
      </c>
      <c r="F6221" t="s">
        <v>35</v>
      </c>
      <c r="G6221" t="s">
        <v>35</v>
      </c>
      <c r="H6221" t="s">
        <v>35</v>
      </c>
      <c r="J6221" t="s">
        <v>6565</v>
      </c>
      <c r="K6221" t="s">
        <v>1092</v>
      </c>
      <c r="M6221">
        <v>12.5</v>
      </c>
      <c r="N6221">
        <v>39</v>
      </c>
      <c r="O6221" t="s">
        <v>52</v>
      </c>
      <c r="Q6221" t="s">
        <v>816</v>
      </c>
      <c r="R6221" t="s">
        <v>919</v>
      </c>
      <c r="S6221" t="s">
        <v>784</v>
      </c>
    </row>
    <row r="6222" spans="1:19" x14ac:dyDescent="0.25">
      <c r="A6222" t="s">
        <v>44</v>
      </c>
      <c r="B6222" t="s">
        <v>51</v>
      </c>
      <c r="C6222" t="s">
        <v>32</v>
      </c>
      <c r="D6222" t="s">
        <v>771</v>
      </c>
      <c r="E6222" t="s">
        <v>910</v>
      </c>
      <c r="F6222" t="s">
        <v>35</v>
      </c>
      <c r="G6222" t="s">
        <v>35</v>
      </c>
      <c r="H6222" t="s">
        <v>35</v>
      </c>
      <c r="J6222" t="s">
        <v>6565</v>
      </c>
      <c r="K6222" t="s">
        <v>1092</v>
      </c>
      <c r="M6222">
        <v>0.05</v>
      </c>
      <c r="N6222">
        <v>14</v>
      </c>
      <c r="O6222" t="s">
        <v>46</v>
      </c>
      <c r="Q6222" t="s">
        <v>2440</v>
      </c>
      <c r="R6222" t="s">
        <v>6020</v>
      </c>
      <c r="S6222" t="s">
        <v>921</v>
      </c>
    </row>
    <row r="6223" spans="1:19" x14ac:dyDescent="0.25">
      <c r="A6223" t="s">
        <v>59</v>
      </c>
      <c r="B6223" t="s">
        <v>31</v>
      </c>
      <c r="C6223" t="s">
        <v>32</v>
      </c>
      <c r="D6223" t="s">
        <v>771</v>
      </c>
      <c r="E6223" t="s">
        <v>910</v>
      </c>
      <c r="F6223" t="s">
        <v>35</v>
      </c>
      <c r="G6223" t="s">
        <v>35</v>
      </c>
      <c r="H6223" t="s">
        <v>35</v>
      </c>
      <c r="J6223" t="s">
        <v>6566</v>
      </c>
      <c r="K6223" t="s">
        <v>404</v>
      </c>
      <c r="M6223">
        <v>8.4149999999999991</v>
      </c>
      <c r="N6223">
        <v>36</v>
      </c>
      <c r="O6223" t="s">
        <v>52</v>
      </c>
      <c r="Q6223" t="s">
        <v>2005</v>
      </c>
      <c r="R6223" t="s">
        <v>6568</v>
      </c>
      <c r="S6223" t="s">
        <v>6569</v>
      </c>
    </row>
    <row r="6224" spans="1:19" x14ac:dyDescent="0.25">
      <c r="A6224" t="s">
        <v>44</v>
      </c>
      <c r="B6224" t="s">
        <v>51</v>
      </c>
      <c r="C6224" t="s">
        <v>32</v>
      </c>
      <c r="D6224" t="s">
        <v>771</v>
      </c>
      <c r="E6224" t="s">
        <v>910</v>
      </c>
      <c r="F6224" t="s">
        <v>35</v>
      </c>
      <c r="G6224" t="s">
        <v>35</v>
      </c>
      <c r="H6224" t="s">
        <v>35</v>
      </c>
      <c r="J6224" t="s">
        <v>6566</v>
      </c>
      <c r="K6224" t="s">
        <v>404</v>
      </c>
      <c r="M6224">
        <v>11.35</v>
      </c>
      <c r="N6224">
        <v>39</v>
      </c>
      <c r="O6224" t="s">
        <v>52</v>
      </c>
      <c r="Q6224" t="s">
        <v>816</v>
      </c>
      <c r="R6224" t="s">
        <v>919</v>
      </c>
      <c r="S6224" t="s">
        <v>784</v>
      </c>
    </row>
    <row r="6225" spans="1:19" x14ac:dyDescent="0.25">
      <c r="A6225" t="s">
        <v>44</v>
      </c>
      <c r="B6225" t="s">
        <v>51</v>
      </c>
      <c r="C6225" t="s">
        <v>32</v>
      </c>
      <c r="D6225" t="s">
        <v>771</v>
      </c>
      <c r="E6225" t="s">
        <v>910</v>
      </c>
      <c r="F6225" t="s">
        <v>35</v>
      </c>
      <c r="G6225" t="s">
        <v>35</v>
      </c>
      <c r="H6225" t="s">
        <v>35</v>
      </c>
      <c r="J6225" t="s">
        <v>6570</v>
      </c>
      <c r="K6225" t="s">
        <v>1092</v>
      </c>
      <c r="M6225">
        <v>3.05</v>
      </c>
      <c r="N6225">
        <v>164</v>
      </c>
      <c r="O6225" t="s">
        <v>38</v>
      </c>
      <c r="Q6225" t="s">
        <v>1587</v>
      </c>
      <c r="R6225" t="s">
        <v>926</v>
      </c>
      <c r="S6225" t="s">
        <v>911</v>
      </c>
    </row>
    <row r="6226" spans="1:19" x14ac:dyDescent="0.25">
      <c r="A6226" t="s">
        <v>59</v>
      </c>
      <c r="B6226" t="s">
        <v>31</v>
      </c>
      <c r="C6226" t="s">
        <v>32</v>
      </c>
      <c r="D6226" t="s">
        <v>771</v>
      </c>
      <c r="E6226" t="s">
        <v>910</v>
      </c>
      <c r="F6226" t="s">
        <v>35</v>
      </c>
      <c r="G6226" t="s">
        <v>35</v>
      </c>
      <c r="H6226" t="s">
        <v>35</v>
      </c>
      <c r="J6226" t="s">
        <v>6570</v>
      </c>
      <c r="K6226" t="s">
        <v>1092</v>
      </c>
      <c r="M6226">
        <v>2.88</v>
      </c>
      <c r="N6226">
        <v>30</v>
      </c>
      <c r="O6226" t="s">
        <v>46</v>
      </c>
      <c r="Q6226" t="s">
        <v>793</v>
      </c>
      <c r="R6226" t="s">
        <v>926</v>
      </c>
      <c r="S6226" t="s">
        <v>911</v>
      </c>
    </row>
    <row r="6227" spans="1:19" x14ac:dyDescent="0.25">
      <c r="A6227" t="s">
        <v>30</v>
      </c>
      <c r="B6227" t="s">
        <v>31</v>
      </c>
      <c r="C6227" t="s">
        <v>32</v>
      </c>
      <c r="D6227" t="s">
        <v>771</v>
      </c>
      <c r="E6227" t="s">
        <v>910</v>
      </c>
      <c r="F6227" t="s">
        <v>35</v>
      </c>
      <c r="G6227" t="s">
        <v>35</v>
      </c>
      <c r="H6227" t="s">
        <v>35</v>
      </c>
      <c r="J6227" t="s">
        <v>6571</v>
      </c>
      <c r="K6227" t="s">
        <v>1092</v>
      </c>
      <c r="M6227">
        <v>6.4349999999999996</v>
      </c>
      <c r="N6227">
        <v>47</v>
      </c>
      <c r="O6227" t="s">
        <v>52</v>
      </c>
      <c r="Q6227" t="s">
        <v>132</v>
      </c>
      <c r="R6227" t="s">
        <v>849</v>
      </c>
      <c r="S6227" t="s">
        <v>850</v>
      </c>
    </row>
    <row r="6228" spans="1:19" x14ac:dyDescent="0.25">
      <c r="A6228" t="s">
        <v>30</v>
      </c>
      <c r="B6228" t="s">
        <v>31</v>
      </c>
      <c r="C6228" t="s">
        <v>32</v>
      </c>
      <c r="D6228" t="s">
        <v>771</v>
      </c>
      <c r="E6228" t="s">
        <v>910</v>
      </c>
      <c r="F6228" t="s">
        <v>35</v>
      </c>
      <c r="G6228" t="s">
        <v>35</v>
      </c>
      <c r="H6228" t="s">
        <v>35</v>
      </c>
      <c r="J6228" t="s">
        <v>6572</v>
      </c>
      <c r="K6228" t="s">
        <v>1092</v>
      </c>
      <c r="M6228">
        <v>0.56499999999999995</v>
      </c>
      <c r="N6228">
        <v>44</v>
      </c>
      <c r="O6228" t="s">
        <v>52</v>
      </c>
      <c r="Q6228" t="s">
        <v>192</v>
      </c>
      <c r="R6228" t="s">
        <v>5992</v>
      </c>
      <c r="S6228" t="s">
        <v>817</v>
      </c>
    </row>
    <row r="6229" spans="1:19" x14ac:dyDescent="0.25">
      <c r="A6229" t="s">
        <v>59</v>
      </c>
      <c r="B6229" t="s">
        <v>31</v>
      </c>
      <c r="C6229" t="s">
        <v>32</v>
      </c>
      <c r="D6229" t="s">
        <v>771</v>
      </c>
      <c r="E6229" t="s">
        <v>910</v>
      </c>
      <c r="F6229" t="s">
        <v>35</v>
      </c>
      <c r="G6229" t="s">
        <v>35</v>
      </c>
      <c r="H6229" t="s">
        <v>35</v>
      </c>
      <c r="J6229" t="s">
        <v>6572</v>
      </c>
      <c r="K6229" t="s">
        <v>1092</v>
      </c>
      <c r="M6229">
        <v>4.68</v>
      </c>
      <c r="N6229">
        <v>44</v>
      </c>
      <c r="O6229" t="s">
        <v>52</v>
      </c>
      <c r="Q6229" t="s">
        <v>192</v>
      </c>
      <c r="R6229" t="s">
        <v>5992</v>
      </c>
      <c r="S6229" t="s">
        <v>817</v>
      </c>
    </row>
    <row r="6230" spans="1:19" x14ac:dyDescent="0.25">
      <c r="A6230" t="s">
        <v>30</v>
      </c>
      <c r="B6230" t="s">
        <v>31</v>
      </c>
      <c r="C6230" t="s">
        <v>32</v>
      </c>
      <c r="D6230" t="s">
        <v>771</v>
      </c>
      <c r="E6230" t="s">
        <v>910</v>
      </c>
      <c r="F6230" t="s">
        <v>35</v>
      </c>
      <c r="G6230" t="s">
        <v>35</v>
      </c>
      <c r="H6230" t="s">
        <v>35</v>
      </c>
      <c r="J6230" t="s">
        <v>6573</v>
      </c>
      <c r="K6230" t="s">
        <v>1092</v>
      </c>
      <c r="M6230">
        <v>4.4999999999999998E-2</v>
      </c>
      <c r="N6230">
        <v>446</v>
      </c>
      <c r="O6230" t="s">
        <v>294</v>
      </c>
      <c r="Q6230" t="s">
        <v>3152</v>
      </c>
      <c r="R6230" t="s">
        <v>6020</v>
      </c>
      <c r="S6230" t="s">
        <v>921</v>
      </c>
    </row>
    <row r="6231" spans="1:19" x14ac:dyDescent="0.25">
      <c r="A6231" t="s">
        <v>30</v>
      </c>
      <c r="B6231" t="s">
        <v>31</v>
      </c>
      <c r="C6231" t="s">
        <v>32</v>
      </c>
      <c r="D6231" t="s">
        <v>771</v>
      </c>
      <c r="E6231" t="s">
        <v>910</v>
      </c>
      <c r="F6231" t="s">
        <v>35</v>
      </c>
      <c r="G6231" t="s">
        <v>35</v>
      </c>
      <c r="H6231" t="s">
        <v>35</v>
      </c>
      <c r="J6231" t="s">
        <v>6574</v>
      </c>
      <c r="K6231" t="s">
        <v>1092</v>
      </c>
      <c r="M6231">
        <v>0.13500000000000001</v>
      </c>
      <c r="N6231">
        <v>47</v>
      </c>
      <c r="O6231" t="s">
        <v>52</v>
      </c>
      <c r="Q6231" t="s">
        <v>132</v>
      </c>
      <c r="R6231" t="s">
        <v>849</v>
      </c>
      <c r="S6231" t="s">
        <v>850</v>
      </c>
    </row>
    <row r="6232" spans="1:19" x14ac:dyDescent="0.25">
      <c r="A6232" t="s">
        <v>44</v>
      </c>
      <c r="B6232" t="s">
        <v>51</v>
      </c>
      <c r="C6232" t="s">
        <v>32</v>
      </c>
      <c r="D6232" t="s">
        <v>771</v>
      </c>
      <c r="E6232" t="s">
        <v>910</v>
      </c>
      <c r="F6232" t="s">
        <v>35</v>
      </c>
      <c r="G6232" t="s">
        <v>35</v>
      </c>
      <c r="H6232" t="s">
        <v>35</v>
      </c>
      <c r="J6232" t="s">
        <v>6575</v>
      </c>
      <c r="K6232" t="s">
        <v>1092</v>
      </c>
      <c r="M6232">
        <v>0.5</v>
      </c>
      <c r="N6232">
        <v>290</v>
      </c>
      <c r="O6232" t="s">
        <v>5</v>
      </c>
      <c r="Q6232" t="s">
        <v>4463</v>
      </c>
      <c r="R6232" t="s">
        <v>926</v>
      </c>
      <c r="S6232" t="s">
        <v>911</v>
      </c>
    </row>
    <row r="6233" spans="1:19" x14ac:dyDescent="0.25">
      <c r="A6233" t="s">
        <v>59</v>
      </c>
      <c r="B6233" t="s">
        <v>31</v>
      </c>
      <c r="C6233" t="s">
        <v>32</v>
      </c>
      <c r="D6233" t="s">
        <v>771</v>
      </c>
      <c r="E6233" t="s">
        <v>910</v>
      </c>
      <c r="F6233" t="s">
        <v>35</v>
      </c>
      <c r="G6233" t="s">
        <v>35</v>
      </c>
      <c r="H6233" t="s">
        <v>35</v>
      </c>
      <c r="J6233" t="s">
        <v>6575</v>
      </c>
      <c r="K6233" t="s">
        <v>1092</v>
      </c>
      <c r="M6233">
        <v>4.4999999999999998E-2</v>
      </c>
      <c r="N6233">
        <v>80</v>
      </c>
      <c r="O6233" t="s">
        <v>61</v>
      </c>
      <c r="Q6233" t="s">
        <v>477</v>
      </c>
      <c r="R6233" t="s">
        <v>926</v>
      </c>
      <c r="S6233" t="s">
        <v>911</v>
      </c>
    </row>
    <row r="6234" spans="1:19" x14ac:dyDescent="0.25">
      <c r="A6234" t="s">
        <v>44</v>
      </c>
      <c r="B6234" t="s">
        <v>3</v>
      </c>
      <c r="C6234" t="s">
        <v>32</v>
      </c>
      <c r="D6234" t="s">
        <v>771</v>
      </c>
      <c r="E6234" t="s">
        <v>910</v>
      </c>
      <c r="F6234" t="s">
        <v>35</v>
      </c>
      <c r="G6234" t="s">
        <v>35</v>
      </c>
      <c r="H6234" t="s">
        <v>35</v>
      </c>
      <c r="J6234" t="s">
        <v>6575</v>
      </c>
      <c r="K6234" t="s">
        <v>1092</v>
      </c>
      <c r="M6234">
        <v>0.05</v>
      </c>
      <c r="N6234">
        <v>296</v>
      </c>
      <c r="O6234" t="s">
        <v>5</v>
      </c>
      <c r="Q6234" t="s">
        <v>4253</v>
      </c>
      <c r="R6234" t="s">
        <v>926</v>
      </c>
      <c r="S6234" t="s">
        <v>911</v>
      </c>
    </row>
    <row r="6235" spans="1:19" x14ac:dyDescent="0.25">
      <c r="A6235" t="s">
        <v>44</v>
      </c>
      <c r="B6235" t="s">
        <v>3</v>
      </c>
      <c r="C6235" t="s">
        <v>32</v>
      </c>
      <c r="D6235" t="s">
        <v>771</v>
      </c>
      <c r="E6235" t="s">
        <v>910</v>
      </c>
      <c r="F6235" t="s">
        <v>35</v>
      </c>
      <c r="G6235" t="s">
        <v>35</v>
      </c>
      <c r="H6235" t="s">
        <v>35</v>
      </c>
      <c r="J6235" t="s">
        <v>6575</v>
      </c>
      <c r="K6235" t="s">
        <v>1092</v>
      </c>
      <c r="M6235">
        <v>0.5</v>
      </c>
      <c r="N6235">
        <v>258</v>
      </c>
      <c r="O6235" t="s">
        <v>5</v>
      </c>
      <c r="Q6235" t="s">
        <v>5051</v>
      </c>
      <c r="R6235" t="s">
        <v>6020</v>
      </c>
      <c r="S6235" t="s">
        <v>921</v>
      </c>
    </row>
    <row r="6236" spans="1:19" x14ac:dyDescent="0.25">
      <c r="A6236" t="s">
        <v>59</v>
      </c>
      <c r="B6236" t="s">
        <v>60</v>
      </c>
      <c r="C6236" t="s">
        <v>32</v>
      </c>
      <c r="D6236" t="s">
        <v>771</v>
      </c>
      <c r="E6236" t="s">
        <v>910</v>
      </c>
      <c r="F6236" t="s">
        <v>35</v>
      </c>
      <c r="G6236" t="s">
        <v>35</v>
      </c>
      <c r="H6236" t="s">
        <v>35</v>
      </c>
      <c r="J6236" t="s">
        <v>6576</v>
      </c>
      <c r="K6236" t="s">
        <v>1092</v>
      </c>
      <c r="M6236">
        <v>0.45</v>
      </c>
      <c r="N6236">
        <v>147</v>
      </c>
      <c r="O6236" t="s">
        <v>38</v>
      </c>
      <c r="Q6236" t="s">
        <v>1229</v>
      </c>
      <c r="R6236" t="s">
        <v>849</v>
      </c>
      <c r="S6236" t="s">
        <v>850</v>
      </c>
    </row>
    <row r="6237" spans="1:19" x14ac:dyDescent="0.25">
      <c r="A6237" t="s">
        <v>59</v>
      </c>
      <c r="B6237" t="s">
        <v>31</v>
      </c>
      <c r="C6237" t="s">
        <v>32</v>
      </c>
      <c r="D6237" t="s">
        <v>771</v>
      </c>
      <c r="E6237" t="s">
        <v>910</v>
      </c>
      <c r="F6237" t="s">
        <v>35</v>
      </c>
      <c r="G6237" t="s">
        <v>35</v>
      </c>
      <c r="H6237" t="s">
        <v>35</v>
      </c>
      <c r="J6237" t="s">
        <v>6577</v>
      </c>
      <c r="K6237" t="s">
        <v>1092</v>
      </c>
      <c r="M6237">
        <v>1.0349999999999999</v>
      </c>
      <c r="N6237">
        <v>45</v>
      </c>
      <c r="O6237" t="s">
        <v>52</v>
      </c>
      <c r="Q6237" t="s">
        <v>716</v>
      </c>
      <c r="R6237" t="s">
        <v>919</v>
      </c>
      <c r="S6237" t="s">
        <v>784</v>
      </c>
    </row>
    <row r="6238" spans="1:19" x14ac:dyDescent="0.25">
      <c r="A6238" t="s">
        <v>59</v>
      </c>
      <c r="B6238" t="s">
        <v>31</v>
      </c>
      <c r="C6238" t="s">
        <v>32</v>
      </c>
      <c r="D6238" t="s">
        <v>771</v>
      </c>
      <c r="E6238" t="s">
        <v>910</v>
      </c>
      <c r="F6238" t="s">
        <v>35</v>
      </c>
      <c r="G6238" t="s">
        <v>35</v>
      </c>
      <c r="H6238" t="s">
        <v>35</v>
      </c>
      <c r="J6238" t="s">
        <v>6578</v>
      </c>
      <c r="K6238" t="s">
        <v>1092</v>
      </c>
      <c r="M6238">
        <v>2.88</v>
      </c>
      <c r="N6238">
        <v>45</v>
      </c>
      <c r="O6238" t="s">
        <v>52</v>
      </c>
      <c r="Q6238" t="s">
        <v>716</v>
      </c>
      <c r="R6238" t="s">
        <v>919</v>
      </c>
      <c r="S6238" t="s">
        <v>784</v>
      </c>
    </row>
    <row r="6239" spans="1:19" x14ac:dyDescent="0.25">
      <c r="A6239" t="s">
        <v>59</v>
      </c>
      <c r="B6239" t="s">
        <v>60</v>
      </c>
      <c r="C6239" t="s">
        <v>32</v>
      </c>
      <c r="D6239" t="s">
        <v>771</v>
      </c>
      <c r="E6239" t="s">
        <v>910</v>
      </c>
      <c r="F6239" t="s">
        <v>35</v>
      </c>
      <c r="G6239" t="s">
        <v>35</v>
      </c>
      <c r="H6239" t="s">
        <v>35</v>
      </c>
      <c r="J6239" t="s">
        <v>6578</v>
      </c>
      <c r="K6239" t="s">
        <v>1092</v>
      </c>
      <c r="M6239">
        <v>0.1</v>
      </c>
      <c r="N6239">
        <v>347</v>
      </c>
      <c r="O6239" t="s">
        <v>5</v>
      </c>
      <c r="Q6239" t="s">
        <v>4424</v>
      </c>
      <c r="R6239" t="s">
        <v>6020</v>
      </c>
      <c r="S6239" t="s">
        <v>921</v>
      </c>
    </row>
    <row r="6240" spans="1:19" x14ac:dyDescent="0.25">
      <c r="A6240" t="s">
        <v>30</v>
      </c>
      <c r="B6240" t="s">
        <v>31</v>
      </c>
      <c r="C6240" t="s">
        <v>32</v>
      </c>
      <c r="D6240" t="s">
        <v>771</v>
      </c>
      <c r="E6240" t="s">
        <v>910</v>
      </c>
      <c r="F6240" t="s">
        <v>35</v>
      </c>
      <c r="G6240" t="s">
        <v>35</v>
      </c>
      <c r="H6240" t="s">
        <v>35</v>
      </c>
      <c r="J6240" t="s">
        <v>6579</v>
      </c>
      <c r="K6240" t="s">
        <v>1092</v>
      </c>
      <c r="M6240">
        <v>7.02</v>
      </c>
      <c r="N6240">
        <v>16</v>
      </c>
      <c r="O6240" t="s">
        <v>46</v>
      </c>
      <c r="Q6240" t="s">
        <v>323</v>
      </c>
      <c r="R6240" t="s">
        <v>934</v>
      </c>
      <c r="S6240" t="s">
        <v>935</v>
      </c>
    </row>
    <row r="6241" spans="1:19" x14ac:dyDescent="0.25">
      <c r="A6241" t="s">
        <v>44</v>
      </c>
      <c r="B6241" t="s">
        <v>51</v>
      </c>
      <c r="C6241" t="s">
        <v>32</v>
      </c>
      <c r="D6241" t="s">
        <v>771</v>
      </c>
      <c r="E6241" t="s">
        <v>910</v>
      </c>
      <c r="F6241" t="s">
        <v>35</v>
      </c>
      <c r="G6241" t="s">
        <v>35</v>
      </c>
      <c r="H6241" t="s">
        <v>35</v>
      </c>
      <c r="J6241" t="s">
        <v>6580</v>
      </c>
      <c r="K6241" t="s">
        <v>1092</v>
      </c>
      <c r="M6241">
        <v>0.5</v>
      </c>
      <c r="N6241">
        <v>251</v>
      </c>
      <c r="O6241" t="s">
        <v>5</v>
      </c>
      <c r="Q6241" t="s">
        <v>1688</v>
      </c>
      <c r="R6241" t="s">
        <v>934</v>
      </c>
      <c r="S6241" t="s">
        <v>935</v>
      </c>
    </row>
    <row r="6242" spans="1:19" x14ac:dyDescent="0.25">
      <c r="A6242" t="s">
        <v>59</v>
      </c>
      <c r="B6242" t="s">
        <v>60</v>
      </c>
      <c r="C6242" t="s">
        <v>32</v>
      </c>
      <c r="D6242" t="s">
        <v>771</v>
      </c>
      <c r="E6242" t="s">
        <v>910</v>
      </c>
      <c r="F6242" t="s">
        <v>35</v>
      </c>
      <c r="G6242" t="s">
        <v>35</v>
      </c>
      <c r="H6242" t="s">
        <v>35</v>
      </c>
      <c r="J6242" t="s">
        <v>6580</v>
      </c>
      <c r="K6242" t="s">
        <v>1092</v>
      </c>
      <c r="M6242">
        <v>1</v>
      </c>
      <c r="N6242">
        <v>46</v>
      </c>
      <c r="O6242" t="s">
        <v>52</v>
      </c>
      <c r="Q6242" t="s">
        <v>493</v>
      </c>
      <c r="R6242" t="s">
        <v>934</v>
      </c>
      <c r="S6242" t="s">
        <v>935</v>
      </c>
    </row>
    <row r="6243" spans="1:19" x14ac:dyDescent="0.25">
      <c r="A6243" t="s">
        <v>59</v>
      </c>
      <c r="B6243" t="s">
        <v>60</v>
      </c>
      <c r="C6243" t="s">
        <v>32</v>
      </c>
      <c r="D6243" t="s">
        <v>771</v>
      </c>
      <c r="E6243" t="s">
        <v>910</v>
      </c>
      <c r="F6243" t="s">
        <v>35</v>
      </c>
      <c r="G6243" t="s">
        <v>35</v>
      </c>
      <c r="H6243" t="s">
        <v>35</v>
      </c>
      <c r="J6243" t="s">
        <v>6580</v>
      </c>
      <c r="K6243" t="s">
        <v>1092</v>
      </c>
      <c r="M6243">
        <v>1</v>
      </c>
      <c r="N6243">
        <v>44</v>
      </c>
      <c r="O6243" t="s">
        <v>52</v>
      </c>
      <c r="Q6243" t="s">
        <v>192</v>
      </c>
      <c r="R6243" t="s">
        <v>934</v>
      </c>
      <c r="S6243" t="s">
        <v>935</v>
      </c>
    </row>
    <row r="6244" spans="1:19" x14ac:dyDescent="0.25">
      <c r="A6244" t="s">
        <v>30</v>
      </c>
      <c r="B6244" t="s">
        <v>31</v>
      </c>
      <c r="C6244" t="s">
        <v>32</v>
      </c>
      <c r="D6244" t="s">
        <v>771</v>
      </c>
      <c r="E6244" t="s">
        <v>910</v>
      </c>
      <c r="F6244" t="s">
        <v>35</v>
      </c>
      <c r="G6244" t="s">
        <v>35</v>
      </c>
      <c r="H6244" t="s">
        <v>35</v>
      </c>
      <c r="J6244" t="s">
        <v>6580</v>
      </c>
      <c r="K6244" t="s">
        <v>1092</v>
      </c>
      <c r="M6244">
        <v>14.04</v>
      </c>
      <c r="N6244">
        <v>47</v>
      </c>
      <c r="O6244" t="s">
        <v>52</v>
      </c>
      <c r="Q6244" t="s">
        <v>132</v>
      </c>
      <c r="R6244" t="s">
        <v>436</v>
      </c>
      <c r="S6244" t="s">
        <v>437</v>
      </c>
    </row>
    <row r="6245" spans="1:19" x14ac:dyDescent="0.25">
      <c r="A6245" t="s">
        <v>30</v>
      </c>
      <c r="B6245" t="s">
        <v>31</v>
      </c>
      <c r="C6245" t="s">
        <v>32</v>
      </c>
      <c r="D6245" t="s">
        <v>771</v>
      </c>
      <c r="E6245" t="s">
        <v>910</v>
      </c>
      <c r="F6245" t="s">
        <v>35</v>
      </c>
      <c r="G6245" t="s">
        <v>35</v>
      </c>
      <c r="H6245" t="s">
        <v>35</v>
      </c>
      <c r="J6245" t="s">
        <v>6581</v>
      </c>
      <c r="K6245" t="s">
        <v>1092</v>
      </c>
      <c r="M6245">
        <v>14.04</v>
      </c>
      <c r="N6245">
        <v>47</v>
      </c>
      <c r="O6245" t="s">
        <v>52</v>
      </c>
      <c r="Q6245" t="s">
        <v>132</v>
      </c>
      <c r="R6245" t="s">
        <v>849</v>
      </c>
      <c r="S6245" t="s">
        <v>850</v>
      </c>
    </row>
    <row r="6246" spans="1:19" x14ac:dyDescent="0.25">
      <c r="A6246" t="s">
        <v>30</v>
      </c>
      <c r="B6246" t="s">
        <v>31</v>
      </c>
      <c r="C6246" t="s">
        <v>32</v>
      </c>
      <c r="D6246" t="s">
        <v>771</v>
      </c>
      <c r="E6246" t="s">
        <v>910</v>
      </c>
      <c r="F6246" t="s">
        <v>35</v>
      </c>
      <c r="G6246" t="s">
        <v>35</v>
      </c>
      <c r="H6246" t="s">
        <v>35</v>
      </c>
      <c r="J6246" t="s">
        <v>6582</v>
      </c>
      <c r="K6246" t="s">
        <v>1092</v>
      </c>
      <c r="M6246">
        <v>9.99</v>
      </c>
      <c r="N6246">
        <v>47</v>
      </c>
      <c r="O6246" t="s">
        <v>52</v>
      </c>
      <c r="Q6246" t="s">
        <v>132</v>
      </c>
      <c r="R6246" t="s">
        <v>849</v>
      </c>
      <c r="S6246" t="s">
        <v>850</v>
      </c>
    </row>
    <row r="6247" spans="1:19" x14ac:dyDescent="0.25">
      <c r="A6247" t="s">
        <v>30</v>
      </c>
      <c r="B6247" t="s">
        <v>31</v>
      </c>
      <c r="C6247" t="s">
        <v>32</v>
      </c>
      <c r="D6247" t="s">
        <v>771</v>
      </c>
      <c r="E6247" t="s">
        <v>910</v>
      </c>
      <c r="F6247" t="s">
        <v>35</v>
      </c>
      <c r="G6247" t="s">
        <v>35</v>
      </c>
      <c r="H6247" t="s">
        <v>35</v>
      </c>
      <c r="J6247" t="s">
        <v>6583</v>
      </c>
      <c r="K6247" t="s">
        <v>1092</v>
      </c>
      <c r="M6247">
        <v>0.495</v>
      </c>
      <c r="N6247">
        <v>280</v>
      </c>
      <c r="O6247" t="s">
        <v>5</v>
      </c>
      <c r="Q6247" t="s">
        <v>4595</v>
      </c>
      <c r="R6247" t="s">
        <v>6020</v>
      </c>
      <c r="S6247" t="s">
        <v>921</v>
      </c>
    </row>
    <row r="6248" spans="1:19" x14ac:dyDescent="0.25">
      <c r="A6248" t="s">
        <v>30</v>
      </c>
      <c r="B6248" t="s">
        <v>31</v>
      </c>
      <c r="C6248" t="s">
        <v>32</v>
      </c>
      <c r="D6248" t="s">
        <v>771</v>
      </c>
      <c r="E6248" t="s">
        <v>910</v>
      </c>
      <c r="F6248" t="s">
        <v>35</v>
      </c>
      <c r="G6248" t="s">
        <v>35</v>
      </c>
      <c r="H6248" t="s">
        <v>35</v>
      </c>
      <c r="J6248" t="s">
        <v>6584</v>
      </c>
      <c r="K6248" t="s">
        <v>1092</v>
      </c>
      <c r="M6248">
        <v>6.4349999999999996</v>
      </c>
      <c r="N6248">
        <v>47</v>
      </c>
      <c r="O6248" t="s">
        <v>52</v>
      </c>
      <c r="Q6248" t="s">
        <v>132</v>
      </c>
      <c r="R6248" t="s">
        <v>436</v>
      </c>
      <c r="S6248" t="s">
        <v>437</v>
      </c>
    </row>
    <row r="6249" spans="1:19" x14ac:dyDescent="0.25">
      <c r="A6249" t="s">
        <v>44</v>
      </c>
      <c r="B6249" t="s">
        <v>51</v>
      </c>
      <c r="C6249" t="s">
        <v>32</v>
      </c>
      <c r="D6249" t="s">
        <v>771</v>
      </c>
      <c r="E6249" t="s">
        <v>910</v>
      </c>
      <c r="F6249" t="s">
        <v>35</v>
      </c>
      <c r="G6249" t="s">
        <v>35</v>
      </c>
      <c r="H6249" t="s">
        <v>35</v>
      </c>
      <c r="J6249" t="s">
        <v>6584</v>
      </c>
      <c r="K6249" t="s">
        <v>1092</v>
      </c>
      <c r="M6249">
        <v>0.4</v>
      </c>
      <c r="N6249">
        <v>262</v>
      </c>
      <c r="O6249" t="s">
        <v>5</v>
      </c>
      <c r="Q6249" t="s">
        <v>264</v>
      </c>
      <c r="R6249" t="s">
        <v>6022</v>
      </c>
      <c r="S6249" t="s">
        <v>937</v>
      </c>
    </row>
    <row r="6250" spans="1:19" x14ac:dyDescent="0.25">
      <c r="A6250" t="s">
        <v>30</v>
      </c>
      <c r="B6250" t="s">
        <v>31</v>
      </c>
      <c r="C6250" t="s">
        <v>32</v>
      </c>
      <c r="D6250" t="s">
        <v>771</v>
      </c>
      <c r="E6250" t="s">
        <v>910</v>
      </c>
      <c r="F6250" t="s">
        <v>35</v>
      </c>
      <c r="G6250" t="s">
        <v>35</v>
      </c>
      <c r="H6250" t="s">
        <v>35</v>
      </c>
      <c r="J6250" t="s">
        <v>6585</v>
      </c>
      <c r="K6250" t="s">
        <v>1092</v>
      </c>
      <c r="M6250">
        <v>3.69</v>
      </c>
      <c r="N6250">
        <v>47</v>
      </c>
      <c r="O6250" t="s">
        <v>52</v>
      </c>
      <c r="Q6250" t="s">
        <v>132</v>
      </c>
      <c r="R6250" t="s">
        <v>934</v>
      </c>
      <c r="S6250" t="s">
        <v>935</v>
      </c>
    </row>
    <row r="6251" spans="1:19" x14ac:dyDescent="0.25">
      <c r="A6251" t="s">
        <v>30</v>
      </c>
      <c r="B6251" t="s">
        <v>31</v>
      </c>
      <c r="C6251" t="s">
        <v>32</v>
      </c>
      <c r="D6251" t="s">
        <v>771</v>
      </c>
      <c r="E6251" t="s">
        <v>910</v>
      </c>
      <c r="F6251" t="s">
        <v>35</v>
      </c>
      <c r="G6251" t="s">
        <v>35</v>
      </c>
      <c r="H6251" t="s">
        <v>35</v>
      </c>
      <c r="J6251" t="s">
        <v>6585</v>
      </c>
      <c r="K6251" t="s">
        <v>1092</v>
      </c>
      <c r="M6251">
        <v>1.98</v>
      </c>
      <c r="N6251">
        <v>39</v>
      </c>
      <c r="O6251" t="s">
        <v>52</v>
      </c>
      <c r="Q6251" t="s">
        <v>816</v>
      </c>
      <c r="R6251" t="s">
        <v>6020</v>
      </c>
      <c r="S6251" t="s">
        <v>921</v>
      </c>
    </row>
    <row r="6252" spans="1:19" x14ac:dyDescent="0.25">
      <c r="A6252" t="s">
        <v>30</v>
      </c>
      <c r="B6252" t="s">
        <v>31</v>
      </c>
      <c r="C6252" t="s">
        <v>32</v>
      </c>
      <c r="D6252" t="s">
        <v>771</v>
      </c>
      <c r="E6252" t="s">
        <v>910</v>
      </c>
      <c r="F6252" t="s">
        <v>35</v>
      </c>
      <c r="G6252" t="s">
        <v>35</v>
      </c>
      <c r="H6252" t="s">
        <v>35</v>
      </c>
      <c r="J6252" t="s">
        <v>6586</v>
      </c>
      <c r="K6252" t="s">
        <v>1092</v>
      </c>
      <c r="M6252">
        <v>0.09</v>
      </c>
      <c r="N6252">
        <v>46</v>
      </c>
      <c r="O6252" t="s">
        <v>52</v>
      </c>
      <c r="Q6252" t="s">
        <v>493</v>
      </c>
      <c r="R6252" t="s">
        <v>6020</v>
      </c>
      <c r="S6252" t="s">
        <v>921</v>
      </c>
    </row>
    <row r="6253" spans="1:19" x14ac:dyDescent="0.25">
      <c r="A6253" t="s">
        <v>59</v>
      </c>
      <c r="B6253" t="s">
        <v>31</v>
      </c>
      <c r="C6253" t="s">
        <v>32</v>
      </c>
      <c r="D6253" t="s">
        <v>771</v>
      </c>
      <c r="E6253" t="s">
        <v>910</v>
      </c>
      <c r="F6253" t="s">
        <v>35</v>
      </c>
      <c r="G6253" t="s">
        <v>35</v>
      </c>
      <c r="H6253" t="s">
        <v>35</v>
      </c>
      <c r="J6253" t="s">
        <v>6587</v>
      </c>
      <c r="K6253" t="s">
        <v>1092</v>
      </c>
      <c r="M6253">
        <v>5.67</v>
      </c>
      <c r="N6253">
        <v>89</v>
      </c>
      <c r="O6253" t="s">
        <v>61</v>
      </c>
      <c r="Q6253" t="s">
        <v>299</v>
      </c>
      <c r="R6253" t="s">
        <v>849</v>
      </c>
      <c r="S6253" t="s">
        <v>850</v>
      </c>
    </row>
    <row r="6254" spans="1:19" x14ac:dyDescent="0.25">
      <c r="A6254" t="s">
        <v>44</v>
      </c>
      <c r="B6254" t="s">
        <v>51</v>
      </c>
      <c r="C6254" t="s">
        <v>32</v>
      </c>
      <c r="D6254" t="s">
        <v>771</v>
      </c>
      <c r="E6254" t="s">
        <v>910</v>
      </c>
      <c r="F6254" t="s">
        <v>35</v>
      </c>
      <c r="G6254" t="s">
        <v>35</v>
      </c>
      <c r="H6254" t="s">
        <v>35</v>
      </c>
      <c r="J6254" t="s">
        <v>6587</v>
      </c>
      <c r="K6254" t="s">
        <v>1092</v>
      </c>
      <c r="M6254">
        <v>7</v>
      </c>
      <c r="N6254">
        <v>74</v>
      </c>
      <c r="O6254" t="s">
        <v>61</v>
      </c>
      <c r="Q6254" t="s">
        <v>488</v>
      </c>
      <c r="R6254" t="s">
        <v>849</v>
      </c>
      <c r="S6254" t="s">
        <v>850</v>
      </c>
    </row>
    <row r="6255" spans="1:19" x14ac:dyDescent="0.25">
      <c r="A6255" t="s">
        <v>30</v>
      </c>
      <c r="B6255" t="s">
        <v>31</v>
      </c>
      <c r="C6255" t="s">
        <v>32</v>
      </c>
      <c r="D6255" t="s">
        <v>771</v>
      </c>
      <c r="E6255" t="s">
        <v>910</v>
      </c>
      <c r="F6255" t="s">
        <v>35</v>
      </c>
      <c r="G6255" t="s">
        <v>35</v>
      </c>
      <c r="H6255" t="s">
        <v>35</v>
      </c>
      <c r="J6255" t="s">
        <v>6587</v>
      </c>
      <c r="K6255" t="s">
        <v>1092</v>
      </c>
      <c r="M6255">
        <v>14.04</v>
      </c>
      <c r="N6255">
        <v>47</v>
      </c>
      <c r="O6255" t="s">
        <v>52</v>
      </c>
      <c r="Q6255" t="s">
        <v>132</v>
      </c>
      <c r="R6255" t="s">
        <v>849</v>
      </c>
      <c r="S6255" t="s">
        <v>850</v>
      </c>
    </row>
    <row r="6256" spans="1:19" x14ac:dyDescent="0.25">
      <c r="A6256" t="s">
        <v>59</v>
      </c>
      <c r="B6256" t="s">
        <v>31</v>
      </c>
      <c r="C6256" t="s">
        <v>32</v>
      </c>
      <c r="D6256" t="s">
        <v>771</v>
      </c>
      <c r="E6256" t="s">
        <v>910</v>
      </c>
      <c r="F6256" t="s">
        <v>35</v>
      </c>
      <c r="G6256" t="s">
        <v>35</v>
      </c>
      <c r="H6256" t="s">
        <v>35</v>
      </c>
      <c r="J6256" t="s">
        <v>6589</v>
      </c>
      <c r="K6256" t="s">
        <v>1092</v>
      </c>
      <c r="M6256">
        <v>1.4850000000000001</v>
      </c>
      <c r="N6256">
        <v>829</v>
      </c>
      <c r="O6256" t="s">
        <v>575</v>
      </c>
      <c r="Q6256" t="s">
        <v>6590</v>
      </c>
      <c r="R6256" t="s">
        <v>849</v>
      </c>
      <c r="S6256" t="s">
        <v>850</v>
      </c>
    </row>
    <row r="6257" spans="1:19" x14ac:dyDescent="0.25">
      <c r="A6257" t="s">
        <v>44</v>
      </c>
      <c r="B6257" t="s">
        <v>3</v>
      </c>
      <c r="C6257" t="s">
        <v>32</v>
      </c>
      <c r="D6257" t="s">
        <v>771</v>
      </c>
      <c r="E6257" t="s">
        <v>910</v>
      </c>
      <c r="F6257" t="s">
        <v>35</v>
      </c>
      <c r="G6257" t="s">
        <v>35</v>
      </c>
      <c r="H6257" t="s">
        <v>35</v>
      </c>
      <c r="J6257" t="s">
        <v>6589</v>
      </c>
      <c r="K6257" t="s">
        <v>1092</v>
      </c>
      <c r="M6257">
        <v>0.5</v>
      </c>
      <c r="N6257">
        <v>395</v>
      </c>
      <c r="O6257" t="s">
        <v>294</v>
      </c>
      <c r="Q6257" t="s">
        <v>1713</v>
      </c>
      <c r="R6257" t="s">
        <v>849</v>
      </c>
      <c r="S6257" t="s">
        <v>850</v>
      </c>
    </row>
    <row r="6258" spans="1:19" x14ac:dyDescent="0.25">
      <c r="A6258" t="s">
        <v>59</v>
      </c>
      <c r="B6258" t="s">
        <v>31</v>
      </c>
      <c r="C6258" t="s">
        <v>32</v>
      </c>
      <c r="D6258" t="s">
        <v>771</v>
      </c>
      <c r="E6258" t="s">
        <v>910</v>
      </c>
      <c r="F6258" t="s">
        <v>35</v>
      </c>
      <c r="G6258" t="s">
        <v>35</v>
      </c>
      <c r="H6258" t="s">
        <v>35</v>
      </c>
      <c r="J6258" t="s">
        <v>6591</v>
      </c>
      <c r="K6258" t="s">
        <v>1092</v>
      </c>
      <c r="M6258">
        <v>2.25</v>
      </c>
      <c r="N6258">
        <v>30</v>
      </c>
      <c r="O6258" t="s">
        <v>46</v>
      </c>
      <c r="Q6258" t="s">
        <v>793</v>
      </c>
      <c r="R6258" t="s">
        <v>849</v>
      </c>
      <c r="S6258" t="s">
        <v>850</v>
      </c>
    </row>
    <row r="6259" spans="1:19" x14ac:dyDescent="0.25">
      <c r="A6259" t="s">
        <v>30</v>
      </c>
      <c r="B6259" t="s">
        <v>31</v>
      </c>
      <c r="C6259" t="s">
        <v>32</v>
      </c>
      <c r="D6259" t="s">
        <v>771</v>
      </c>
      <c r="E6259" t="s">
        <v>910</v>
      </c>
      <c r="F6259" t="s">
        <v>35</v>
      </c>
      <c r="G6259" t="s">
        <v>35</v>
      </c>
      <c r="H6259" t="s">
        <v>35</v>
      </c>
      <c r="J6259" t="s">
        <v>6591</v>
      </c>
      <c r="K6259" t="s">
        <v>1092</v>
      </c>
      <c r="M6259">
        <v>4.1399999999999997</v>
      </c>
      <c r="N6259">
        <v>37</v>
      </c>
      <c r="O6259" t="s">
        <v>52</v>
      </c>
      <c r="Q6259" t="s">
        <v>3499</v>
      </c>
      <c r="R6259" t="s">
        <v>849</v>
      </c>
      <c r="S6259" t="s">
        <v>850</v>
      </c>
    </row>
    <row r="6260" spans="1:19" x14ac:dyDescent="0.25">
      <c r="A6260" t="s">
        <v>59</v>
      </c>
      <c r="B6260" t="s">
        <v>31</v>
      </c>
      <c r="C6260" t="s">
        <v>32</v>
      </c>
      <c r="D6260" t="s">
        <v>771</v>
      </c>
      <c r="E6260" t="s">
        <v>910</v>
      </c>
      <c r="F6260" t="s">
        <v>35</v>
      </c>
      <c r="G6260" t="s">
        <v>35</v>
      </c>
      <c r="H6260" t="s">
        <v>35</v>
      </c>
      <c r="J6260" t="s">
        <v>6592</v>
      </c>
      <c r="K6260" t="s">
        <v>1092</v>
      </c>
      <c r="M6260">
        <v>0.72</v>
      </c>
      <c r="N6260">
        <v>44</v>
      </c>
      <c r="O6260" t="s">
        <v>52</v>
      </c>
      <c r="Q6260" t="s">
        <v>192</v>
      </c>
      <c r="R6260" t="s">
        <v>6020</v>
      </c>
      <c r="S6260" t="s">
        <v>921</v>
      </c>
    </row>
    <row r="6261" spans="1:19" x14ac:dyDescent="0.25">
      <c r="A6261" t="s">
        <v>30</v>
      </c>
      <c r="B6261" t="s">
        <v>31</v>
      </c>
      <c r="C6261" t="s">
        <v>32</v>
      </c>
      <c r="D6261" t="s">
        <v>771</v>
      </c>
      <c r="E6261" t="s">
        <v>910</v>
      </c>
      <c r="F6261" t="s">
        <v>35</v>
      </c>
      <c r="G6261" t="s">
        <v>35</v>
      </c>
      <c r="H6261" t="s">
        <v>35</v>
      </c>
      <c r="J6261" t="s">
        <v>6593</v>
      </c>
      <c r="K6261" t="s">
        <v>1092</v>
      </c>
      <c r="M6261">
        <v>3.06</v>
      </c>
      <c r="N6261">
        <v>47</v>
      </c>
      <c r="O6261" t="s">
        <v>52</v>
      </c>
      <c r="Q6261" t="s">
        <v>132</v>
      </c>
      <c r="R6261" t="s">
        <v>849</v>
      </c>
      <c r="S6261" t="s">
        <v>850</v>
      </c>
    </row>
    <row r="6262" spans="1:19" x14ac:dyDescent="0.25">
      <c r="A6262" t="s">
        <v>44</v>
      </c>
      <c r="B6262" t="s">
        <v>3</v>
      </c>
      <c r="C6262" t="s">
        <v>32</v>
      </c>
      <c r="D6262" t="s">
        <v>771</v>
      </c>
      <c r="E6262" t="s">
        <v>910</v>
      </c>
      <c r="F6262" t="s">
        <v>35</v>
      </c>
      <c r="G6262" t="s">
        <v>35</v>
      </c>
      <c r="H6262" t="s">
        <v>35</v>
      </c>
      <c r="J6262" t="s">
        <v>6593</v>
      </c>
      <c r="K6262" t="s">
        <v>1092</v>
      </c>
      <c r="M6262">
        <v>0.25</v>
      </c>
      <c r="N6262">
        <v>215</v>
      </c>
      <c r="O6262" t="s">
        <v>5</v>
      </c>
      <c r="Q6262" t="s">
        <v>3122</v>
      </c>
      <c r="R6262" t="s">
        <v>849</v>
      </c>
      <c r="S6262" t="s">
        <v>850</v>
      </c>
    </row>
    <row r="6263" spans="1:19" x14ac:dyDescent="0.25">
      <c r="A6263" t="s">
        <v>59</v>
      </c>
      <c r="B6263" t="s">
        <v>31</v>
      </c>
      <c r="C6263" t="s">
        <v>32</v>
      </c>
      <c r="D6263" t="s">
        <v>771</v>
      </c>
      <c r="E6263" t="s">
        <v>910</v>
      </c>
      <c r="F6263" t="s">
        <v>35</v>
      </c>
      <c r="G6263" t="s">
        <v>35</v>
      </c>
      <c r="H6263" t="s">
        <v>35</v>
      </c>
      <c r="J6263" t="s">
        <v>6593</v>
      </c>
      <c r="K6263" t="s">
        <v>1092</v>
      </c>
      <c r="M6263">
        <v>1.89</v>
      </c>
      <c r="N6263">
        <v>125</v>
      </c>
      <c r="O6263" t="s">
        <v>38</v>
      </c>
      <c r="Q6263" t="s">
        <v>1954</v>
      </c>
      <c r="R6263" t="s">
        <v>849</v>
      </c>
      <c r="S6263" t="s">
        <v>850</v>
      </c>
    </row>
    <row r="6264" spans="1:19" x14ac:dyDescent="0.25">
      <c r="A6264" t="s">
        <v>30</v>
      </c>
      <c r="B6264" t="s">
        <v>31</v>
      </c>
      <c r="C6264" t="s">
        <v>32</v>
      </c>
      <c r="D6264" t="s">
        <v>771</v>
      </c>
      <c r="E6264" t="s">
        <v>910</v>
      </c>
      <c r="F6264" t="s">
        <v>35</v>
      </c>
      <c r="G6264" t="s">
        <v>35</v>
      </c>
      <c r="H6264" t="s">
        <v>35</v>
      </c>
      <c r="J6264" t="s">
        <v>6594</v>
      </c>
      <c r="K6264" t="s">
        <v>1092</v>
      </c>
      <c r="M6264">
        <v>2.25</v>
      </c>
      <c r="N6264">
        <v>42</v>
      </c>
      <c r="O6264" t="s">
        <v>52</v>
      </c>
      <c r="Q6264" t="s">
        <v>991</v>
      </c>
      <c r="R6264" t="s">
        <v>6020</v>
      </c>
      <c r="S6264" t="s">
        <v>921</v>
      </c>
    </row>
    <row r="6265" spans="1:19" x14ac:dyDescent="0.25">
      <c r="A6265" t="s">
        <v>30</v>
      </c>
      <c r="B6265" t="s">
        <v>31</v>
      </c>
      <c r="C6265" t="s">
        <v>32</v>
      </c>
      <c r="D6265" t="s">
        <v>771</v>
      </c>
      <c r="E6265" t="s">
        <v>910</v>
      </c>
      <c r="F6265" t="s">
        <v>35</v>
      </c>
      <c r="G6265" t="s">
        <v>35</v>
      </c>
      <c r="H6265" t="s">
        <v>35</v>
      </c>
      <c r="J6265" t="s">
        <v>6594</v>
      </c>
      <c r="K6265" t="s">
        <v>1092</v>
      </c>
      <c r="M6265">
        <v>0.9</v>
      </c>
      <c r="N6265">
        <v>39</v>
      </c>
      <c r="O6265" t="s">
        <v>52</v>
      </c>
      <c r="Q6265" t="s">
        <v>816</v>
      </c>
      <c r="R6265" t="s">
        <v>6020</v>
      </c>
      <c r="S6265" t="s">
        <v>921</v>
      </c>
    </row>
    <row r="6266" spans="1:19" x14ac:dyDescent="0.25">
      <c r="A6266" t="s">
        <v>59</v>
      </c>
      <c r="B6266" t="s">
        <v>31</v>
      </c>
      <c r="C6266" t="s">
        <v>32</v>
      </c>
      <c r="D6266" t="s">
        <v>771</v>
      </c>
      <c r="E6266" t="s">
        <v>910</v>
      </c>
      <c r="F6266" t="s">
        <v>35</v>
      </c>
      <c r="G6266" t="s">
        <v>35</v>
      </c>
      <c r="H6266" t="s">
        <v>35</v>
      </c>
      <c r="J6266" t="s">
        <v>6595</v>
      </c>
      <c r="K6266" t="s">
        <v>1092</v>
      </c>
      <c r="M6266">
        <v>1.71</v>
      </c>
      <c r="N6266">
        <v>44</v>
      </c>
      <c r="O6266" t="s">
        <v>52</v>
      </c>
      <c r="Q6266" t="s">
        <v>192</v>
      </c>
      <c r="R6266" t="s">
        <v>6020</v>
      </c>
      <c r="S6266" t="s">
        <v>921</v>
      </c>
    </row>
    <row r="6267" spans="1:19" x14ac:dyDescent="0.25">
      <c r="A6267" t="s">
        <v>59</v>
      </c>
      <c r="B6267" t="s">
        <v>31</v>
      </c>
      <c r="C6267" t="s">
        <v>32</v>
      </c>
      <c r="D6267" t="s">
        <v>771</v>
      </c>
      <c r="E6267" t="s">
        <v>910</v>
      </c>
      <c r="F6267" t="s">
        <v>35</v>
      </c>
      <c r="G6267" t="s">
        <v>35</v>
      </c>
      <c r="H6267" t="s">
        <v>35</v>
      </c>
      <c r="J6267" t="s">
        <v>6596</v>
      </c>
      <c r="K6267" t="s">
        <v>1092</v>
      </c>
      <c r="M6267">
        <v>0.58499999999999996</v>
      </c>
      <c r="N6267">
        <v>156</v>
      </c>
      <c r="O6267" t="s">
        <v>38</v>
      </c>
      <c r="Q6267" t="s">
        <v>75</v>
      </c>
      <c r="R6267" t="s">
        <v>926</v>
      </c>
      <c r="S6267" t="s">
        <v>911</v>
      </c>
    </row>
    <row r="6268" spans="1:19" x14ac:dyDescent="0.25">
      <c r="A6268" t="s">
        <v>59</v>
      </c>
      <c r="B6268" t="s">
        <v>31</v>
      </c>
      <c r="C6268" t="s">
        <v>32</v>
      </c>
      <c r="D6268" t="s">
        <v>771</v>
      </c>
      <c r="E6268" t="s">
        <v>910</v>
      </c>
      <c r="F6268" t="s">
        <v>35</v>
      </c>
      <c r="G6268" t="s">
        <v>35</v>
      </c>
      <c r="H6268" t="s">
        <v>35</v>
      </c>
      <c r="J6268" t="s">
        <v>6596</v>
      </c>
      <c r="K6268" t="s">
        <v>1092</v>
      </c>
      <c r="M6268">
        <v>2.79</v>
      </c>
      <c r="N6268">
        <v>79</v>
      </c>
      <c r="O6268" t="s">
        <v>61</v>
      </c>
      <c r="Q6268" t="s">
        <v>1156</v>
      </c>
      <c r="R6268" t="s">
        <v>926</v>
      </c>
      <c r="S6268" t="s">
        <v>911</v>
      </c>
    </row>
    <row r="6269" spans="1:19" x14ac:dyDescent="0.25">
      <c r="A6269" t="s">
        <v>30</v>
      </c>
      <c r="B6269" t="s">
        <v>31</v>
      </c>
      <c r="C6269" t="s">
        <v>32</v>
      </c>
      <c r="D6269" t="s">
        <v>771</v>
      </c>
      <c r="E6269" t="s">
        <v>910</v>
      </c>
      <c r="F6269" t="s">
        <v>35</v>
      </c>
      <c r="G6269" t="s">
        <v>35</v>
      </c>
      <c r="H6269" t="s">
        <v>35</v>
      </c>
      <c r="J6269" t="s">
        <v>6597</v>
      </c>
      <c r="K6269" t="s">
        <v>1092</v>
      </c>
      <c r="M6269">
        <v>6.93</v>
      </c>
      <c r="N6269">
        <v>46</v>
      </c>
      <c r="O6269" t="s">
        <v>52</v>
      </c>
      <c r="Q6269" t="s">
        <v>493</v>
      </c>
      <c r="R6269" t="s">
        <v>934</v>
      </c>
      <c r="S6269" t="s">
        <v>935</v>
      </c>
    </row>
    <row r="6270" spans="1:19" x14ac:dyDescent="0.25">
      <c r="A6270" t="s">
        <v>59</v>
      </c>
      <c r="B6270" t="s">
        <v>60</v>
      </c>
      <c r="C6270" t="s">
        <v>32</v>
      </c>
      <c r="D6270" t="s">
        <v>771</v>
      </c>
      <c r="E6270" t="s">
        <v>910</v>
      </c>
      <c r="F6270" t="s">
        <v>35</v>
      </c>
      <c r="G6270" t="s">
        <v>35</v>
      </c>
      <c r="H6270" t="s">
        <v>35</v>
      </c>
      <c r="J6270" t="s">
        <v>6598</v>
      </c>
      <c r="K6270" t="s">
        <v>1092</v>
      </c>
      <c r="M6270">
        <v>0.75</v>
      </c>
      <c r="N6270">
        <v>68</v>
      </c>
      <c r="O6270" t="s">
        <v>61</v>
      </c>
      <c r="Q6270" t="s">
        <v>146</v>
      </c>
      <c r="R6270" t="s">
        <v>6020</v>
      </c>
      <c r="S6270" t="s">
        <v>921</v>
      </c>
    </row>
    <row r="6271" spans="1:19" x14ac:dyDescent="0.25">
      <c r="A6271" t="s">
        <v>59</v>
      </c>
      <c r="B6271" t="s">
        <v>31</v>
      </c>
      <c r="C6271" t="s">
        <v>32</v>
      </c>
      <c r="D6271" t="s">
        <v>771</v>
      </c>
      <c r="E6271" t="s">
        <v>910</v>
      </c>
      <c r="F6271" t="s">
        <v>35</v>
      </c>
      <c r="G6271" t="s">
        <v>35</v>
      </c>
      <c r="H6271" t="s">
        <v>35</v>
      </c>
      <c r="J6271" t="s">
        <v>6598</v>
      </c>
      <c r="K6271" t="s">
        <v>1092</v>
      </c>
      <c r="M6271">
        <v>2.25</v>
      </c>
      <c r="N6271">
        <v>42</v>
      </c>
      <c r="O6271" t="s">
        <v>52</v>
      </c>
      <c r="Q6271" t="s">
        <v>991</v>
      </c>
      <c r="R6271" t="s">
        <v>6020</v>
      </c>
      <c r="S6271" t="s">
        <v>921</v>
      </c>
    </row>
    <row r="6272" spans="1:19" x14ac:dyDescent="0.25">
      <c r="A6272" t="s">
        <v>30</v>
      </c>
      <c r="B6272" t="s">
        <v>31</v>
      </c>
      <c r="C6272" t="s">
        <v>32</v>
      </c>
      <c r="D6272" t="s">
        <v>771</v>
      </c>
      <c r="E6272" t="s">
        <v>910</v>
      </c>
      <c r="F6272" t="s">
        <v>35</v>
      </c>
      <c r="G6272" t="s">
        <v>35</v>
      </c>
      <c r="H6272" t="s">
        <v>35</v>
      </c>
      <c r="J6272" t="s">
        <v>6599</v>
      </c>
      <c r="K6272" t="s">
        <v>1092</v>
      </c>
      <c r="M6272">
        <v>0.45</v>
      </c>
      <c r="N6272">
        <v>33</v>
      </c>
      <c r="O6272" t="s">
        <v>52</v>
      </c>
      <c r="Q6272" t="s">
        <v>137</v>
      </c>
      <c r="R6272" t="s">
        <v>6020</v>
      </c>
      <c r="S6272" t="s">
        <v>921</v>
      </c>
    </row>
    <row r="6273" spans="1:19" x14ac:dyDescent="0.25">
      <c r="A6273" t="s">
        <v>59</v>
      </c>
      <c r="B6273" t="s">
        <v>31</v>
      </c>
      <c r="C6273" t="s">
        <v>32</v>
      </c>
      <c r="D6273" t="s">
        <v>771</v>
      </c>
      <c r="E6273" t="s">
        <v>910</v>
      </c>
      <c r="F6273" t="s">
        <v>35</v>
      </c>
      <c r="G6273" t="s">
        <v>35</v>
      </c>
      <c r="H6273" t="s">
        <v>35</v>
      </c>
      <c r="J6273" t="s">
        <v>6599</v>
      </c>
      <c r="K6273" t="s">
        <v>1092</v>
      </c>
      <c r="M6273">
        <v>1.125</v>
      </c>
      <c r="N6273">
        <v>42</v>
      </c>
      <c r="O6273" t="s">
        <v>52</v>
      </c>
      <c r="Q6273" t="s">
        <v>991</v>
      </c>
      <c r="R6273" t="s">
        <v>6020</v>
      </c>
      <c r="S6273" t="s">
        <v>921</v>
      </c>
    </row>
    <row r="6274" spans="1:19" x14ac:dyDescent="0.25">
      <c r="A6274" t="s">
        <v>44</v>
      </c>
      <c r="B6274" t="s">
        <v>51</v>
      </c>
      <c r="C6274" t="s">
        <v>32</v>
      </c>
      <c r="D6274" t="s">
        <v>771</v>
      </c>
      <c r="E6274" t="s">
        <v>910</v>
      </c>
      <c r="F6274" t="s">
        <v>35</v>
      </c>
      <c r="G6274" t="s">
        <v>35</v>
      </c>
      <c r="H6274" t="s">
        <v>35</v>
      </c>
      <c r="J6274" t="s">
        <v>6600</v>
      </c>
      <c r="K6274" t="s">
        <v>1092</v>
      </c>
      <c r="M6274">
        <v>0.5</v>
      </c>
      <c r="N6274">
        <v>258</v>
      </c>
      <c r="O6274" t="s">
        <v>5</v>
      </c>
      <c r="Q6274" t="s">
        <v>5051</v>
      </c>
      <c r="R6274" t="s">
        <v>6020</v>
      </c>
      <c r="S6274" t="s">
        <v>921</v>
      </c>
    </row>
    <row r="6275" spans="1:19" x14ac:dyDescent="0.25">
      <c r="A6275" t="s">
        <v>59</v>
      </c>
      <c r="B6275" t="s">
        <v>31</v>
      </c>
      <c r="C6275" t="s">
        <v>32</v>
      </c>
      <c r="D6275" t="s">
        <v>771</v>
      </c>
      <c r="E6275" t="s">
        <v>910</v>
      </c>
      <c r="F6275" t="s">
        <v>35</v>
      </c>
      <c r="G6275" t="s">
        <v>35</v>
      </c>
      <c r="H6275" t="s">
        <v>35</v>
      </c>
      <c r="J6275" t="s">
        <v>6600</v>
      </c>
      <c r="K6275" t="s">
        <v>1092</v>
      </c>
      <c r="M6275">
        <v>0.96499999999999997</v>
      </c>
      <c r="N6275">
        <v>45</v>
      </c>
      <c r="O6275" t="s">
        <v>52</v>
      </c>
      <c r="Q6275" t="s">
        <v>716</v>
      </c>
      <c r="R6275" t="s">
        <v>934</v>
      </c>
      <c r="S6275" t="s">
        <v>935</v>
      </c>
    </row>
    <row r="6276" spans="1:19" x14ac:dyDescent="0.25">
      <c r="A6276" t="s">
        <v>44</v>
      </c>
      <c r="B6276" t="s">
        <v>51</v>
      </c>
      <c r="C6276" t="s">
        <v>32</v>
      </c>
      <c r="D6276" t="s">
        <v>771</v>
      </c>
      <c r="E6276" t="s">
        <v>910</v>
      </c>
      <c r="F6276" t="s">
        <v>35</v>
      </c>
      <c r="G6276" t="s">
        <v>35</v>
      </c>
      <c r="H6276" t="s">
        <v>35</v>
      </c>
      <c r="J6276" t="s">
        <v>6600</v>
      </c>
      <c r="K6276" t="s">
        <v>1092</v>
      </c>
      <c r="M6276">
        <v>0.75</v>
      </c>
      <c r="N6276">
        <v>59</v>
      </c>
      <c r="O6276" t="s">
        <v>52</v>
      </c>
      <c r="Q6276" t="s">
        <v>84</v>
      </c>
      <c r="R6276" t="s">
        <v>6020</v>
      </c>
      <c r="S6276" t="s">
        <v>921</v>
      </c>
    </row>
    <row r="6277" spans="1:19" x14ac:dyDescent="0.25">
      <c r="A6277" t="s">
        <v>30</v>
      </c>
      <c r="B6277" t="s">
        <v>31</v>
      </c>
      <c r="C6277" t="s">
        <v>32</v>
      </c>
      <c r="D6277" t="s">
        <v>771</v>
      </c>
      <c r="E6277" t="s">
        <v>910</v>
      </c>
      <c r="F6277" t="s">
        <v>35</v>
      </c>
      <c r="G6277" t="s">
        <v>35</v>
      </c>
      <c r="H6277" t="s">
        <v>35</v>
      </c>
      <c r="J6277" t="s">
        <v>6600</v>
      </c>
      <c r="K6277" t="s">
        <v>1092</v>
      </c>
      <c r="M6277">
        <v>1.26</v>
      </c>
      <c r="N6277">
        <v>46</v>
      </c>
      <c r="O6277" t="s">
        <v>52</v>
      </c>
      <c r="Q6277" t="s">
        <v>493</v>
      </c>
      <c r="R6277" t="s">
        <v>6020</v>
      </c>
      <c r="S6277" t="s">
        <v>921</v>
      </c>
    </row>
    <row r="6278" spans="1:19" x14ac:dyDescent="0.25">
      <c r="A6278" t="s">
        <v>44</v>
      </c>
      <c r="B6278" t="s">
        <v>51</v>
      </c>
      <c r="C6278" t="s">
        <v>32</v>
      </c>
      <c r="D6278" t="s">
        <v>771</v>
      </c>
      <c r="E6278" t="s">
        <v>910</v>
      </c>
      <c r="F6278" t="s">
        <v>35</v>
      </c>
      <c r="G6278" t="s">
        <v>35</v>
      </c>
      <c r="H6278" t="s">
        <v>35</v>
      </c>
      <c r="J6278" t="s">
        <v>6600</v>
      </c>
      <c r="K6278" t="s">
        <v>1092</v>
      </c>
      <c r="M6278">
        <v>0.5</v>
      </c>
      <c r="N6278">
        <v>254</v>
      </c>
      <c r="O6278" t="s">
        <v>5</v>
      </c>
      <c r="Q6278" t="s">
        <v>367</v>
      </c>
      <c r="R6278" t="s">
        <v>6020</v>
      </c>
      <c r="S6278" t="s">
        <v>921</v>
      </c>
    </row>
    <row r="6279" spans="1:19" x14ac:dyDescent="0.25">
      <c r="A6279" t="s">
        <v>44</v>
      </c>
      <c r="B6279" t="s">
        <v>51</v>
      </c>
      <c r="C6279" t="s">
        <v>32</v>
      </c>
      <c r="D6279" t="s">
        <v>771</v>
      </c>
      <c r="E6279" t="s">
        <v>910</v>
      </c>
      <c r="F6279" t="s">
        <v>35</v>
      </c>
      <c r="G6279" t="s">
        <v>35</v>
      </c>
      <c r="H6279" t="s">
        <v>35</v>
      </c>
      <c r="J6279" t="s">
        <v>6600</v>
      </c>
      <c r="K6279" t="s">
        <v>1092</v>
      </c>
      <c r="M6279">
        <v>0.5</v>
      </c>
      <c r="N6279">
        <v>256</v>
      </c>
      <c r="O6279" t="s">
        <v>5</v>
      </c>
      <c r="Q6279" t="s">
        <v>4299</v>
      </c>
      <c r="R6279" t="s">
        <v>6020</v>
      </c>
      <c r="S6279" t="s">
        <v>921</v>
      </c>
    </row>
    <row r="6280" spans="1:19" x14ac:dyDescent="0.25">
      <c r="A6280" t="s">
        <v>44</v>
      </c>
      <c r="B6280" t="s">
        <v>51</v>
      </c>
      <c r="C6280" t="s">
        <v>32</v>
      </c>
      <c r="D6280" t="s">
        <v>771</v>
      </c>
      <c r="E6280" t="s">
        <v>910</v>
      </c>
      <c r="F6280" t="s">
        <v>35</v>
      </c>
      <c r="G6280" t="s">
        <v>35</v>
      </c>
      <c r="H6280" t="s">
        <v>35</v>
      </c>
      <c r="J6280" t="s">
        <v>6600</v>
      </c>
      <c r="K6280" t="s">
        <v>1092</v>
      </c>
      <c r="M6280">
        <v>1</v>
      </c>
      <c r="N6280">
        <v>53</v>
      </c>
      <c r="O6280" t="s">
        <v>52</v>
      </c>
      <c r="Q6280" t="s">
        <v>332</v>
      </c>
      <c r="R6280" t="s">
        <v>6020</v>
      </c>
      <c r="S6280" t="s">
        <v>921</v>
      </c>
    </row>
    <row r="6281" spans="1:19" x14ac:dyDescent="0.25">
      <c r="A6281" t="s">
        <v>59</v>
      </c>
      <c r="B6281" t="s">
        <v>31</v>
      </c>
      <c r="C6281" t="s">
        <v>32</v>
      </c>
      <c r="D6281" t="s">
        <v>771</v>
      </c>
      <c r="E6281" t="s">
        <v>910</v>
      </c>
      <c r="F6281" t="s">
        <v>35</v>
      </c>
      <c r="G6281" t="s">
        <v>35</v>
      </c>
      <c r="H6281" t="s">
        <v>35</v>
      </c>
      <c r="J6281" t="s">
        <v>6601</v>
      </c>
      <c r="K6281" t="s">
        <v>1092</v>
      </c>
      <c r="M6281">
        <v>4.59</v>
      </c>
      <c r="N6281">
        <v>42</v>
      </c>
      <c r="O6281" t="s">
        <v>52</v>
      </c>
      <c r="Q6281" t="s">
        <v>991</v>
      </c>
      <c r="R6281" t="s">
        <v>6020</v>
      </c>
      <c r="S6281" t="s">
        <v>921</v>
      </c>
    </row>
    <row r="6282" spans="1:19" x14ac:dyDescent="0.25">
      <c r="A6282" t="s">
        <v>59</v>
      </c>
      <c r="B6282" t="s">
        <v>31</v>
      </c>
      <c r="C6282" t="s">
        <v>32</v>
      </c>
      <c r="D6282" t="s">
        <v>771</v>
      </c>
      <c r="E6282" t="s">
        <v>910</v>
      </c>
      <c r="F6282" t="s">
        <v>35</v>
      </c>
      <c r="G6282" t="s">
        <v>35</v>
      </c>
      <c r="H6282" t="s">
        <v>35</v>
      </c>
      <c r="J6282" t="s">
        <v>6602</v>
      </c>
      <c r="K6282" t="s">
        <v>1092</v>
      </c>
      <c r="M6282">
        <v>4.5</v>
      </c>
      <c r="N6282">
        <v>45</v>
      </c>
      <c r="O6282" t="s">
        <v>52</v>
      </c>
      <c r="Q6282" t="s">
        <v>716</v>
      </c>
      <c r="R6282" t="s">
        <v>919</v>
      </c>
      <c r="S6282" t="s">
        <v>784</v>
      </c>
    </row>
    <row r="6283" spans="1:19" x14ac:dyDescent="0.25">
      <c r="A6283" t="s">
        <v>30</v>
      </c>
      <c r="B6283" t="s">
        <v>31</v>
      </c>
      <c r="C6283" t="s">
        <v>32</v>
      </c>
      <c r="D6283" t="s">
        <v>771</v>
      </c>
      <c r="E6283" t="s">
        <v>910</v>
      </c>
      <c r="F6283" t="s">
        <v>35</v>
      </c>
      <c r="G6283" t="s">
        <v>35</v>
      </c>
      <c r="H6283" t="s">
        <v>35</v>
      </c>
      <c r="J6283" t="s">
        <v>6602</v>
      </c>
      <c r="K6283" t="s">
        <v>1092</v>
      </c>
      <c r="M6283">
        <v>4.5</v>
      </c>
      <c r="N6283">
        <v>46</v>
      </c>
      <c r="O6283" t="s">
        <v>52</v>
      </c>
      <c r="Q6283" t="s">
        <v>493</v>
      </c>
      <c r="R6283" t="s">
        <v>6020</v>
      </c>
      <c r="S6283" t="s">
        <v>921</v>
      </c>
    </row>
    <row r="6284" spans="1:19" x14ac:dyDescent="0.25">
      <c r="A6284" t="s">
        <v>59</v>
      </c>
      <c r="B6284" t="s">
        <v>31</v>
      </c>
      <c r="C6284" t="s">
        <v>32</v>
      </c>
      <c r="D6284" t="s">
        <v>771</v>
      </c>
      <c r="E6284" t="s">
        <v>910</v>
      </c>
      <c r="F6284" t="s">
        <v>35</v>
      </c>
      <c r="G6284" t="s">
        <v>35</v>
      </c>
      <c r="H6284" t="s">
        <v>35</v>
      </c>
      <c r="J6284" t="s">
        <v>6603</v>
      </c>
      <c r="K6284" t="s">
        <v>1092</v>
      </c>
      <c r="M6284">
        <v>1.845</v>
      </c>
      <c r="N6284">
        <v>45</v>
      </c>
      <c r="O6284" t="s">
        <v>52</v>
      </c>
      <c r="Q6284" t="s">
        <v>716</v>
      </c>
      <c r="R6284" t="s">
        <v>919</v>
      </c>
      <c r="S6284" t="s">
        <v>784</v>
      </c>
    </row>
    <row r="6285" spans="1:19" x14ac:dyDescent="0.25">
      <c r="A6285" t="s">
        <v>30</v>
      </c>
      <c r="B6285" t="s">
        <v>31</v>
      </c>
      <c r="C6285" t="s">
        <v>32</v>
      </c>
      <c r="D6285" t="s">
        <v>771</v>
      </c>
      <c r="E6285" t="s">
        <v>910</v>
      </c>
      <c r="F6285" t="s">
        <v>35</v>
      </c>
      <c r="G6285" t="s">
        <v>35</v>
      </c>
      <c r="H6285" t="s">
        <v>35</v>
      </c>
      <c r="J6285" t="s">
        <v>6604</v>
      </c>
      <c r="K6285" t="s">
        <v>1092</v>
      </c>
      <c r="M6285">
        <v>1.8</v>
      </c>
      <c r="N6285">
        <v>46</v>
      </c>
      <c r="O6285" t="s">
        <v>52</v>
      </c>
      <c r="Q6285" t="s">
        <v>493</v>
      </c>
      <c r="R6285" t="s">
        <v>6020</v>
      </c>
      <c r="S6285" t="s">
        <v>921</v>
      </c>
    </row>
    <row r="6286" spans="1:19" x14ac:dyDescent="0.25">
      <c r="A6286" t="s">
        <v>30</v>
      </c>
      <c r="B6286" t="s">
        <v>31</v>
      </c>
      <c r="C6286" t="s">
        <v>32</v>
      </c>
      <c r="D6286" t="s">
        <v>771</v>
      </c>
      <c r="E6286" t="s">
        <v>910</v>
      </c>
      <c r="F6286" t="s">
        <v>35</v>
      </c>
      <c r="G6286" t="s">
        <v>35</v>
      </c>
      <c r="H6286" t="s">
        <v>35</v>
      </c>
      <c r="J6286" t="s">
        <v>6605</v>
      </c>
      <c r="K6286" t="s">
        <v>1092</v>
      </c>
      <c r="M6286">
        <v>0.9</v>
      </c>
      <c r="N6286">
        <v>44</v>
      </c>
      <c r="O6286" t="s">
        <v>52</v>
      </c>
      <c r="Q6286" t="s">
        <v>192</v>
      </c>
      <c r="R6286" t="s">
        <v>5992</v>
      </c>
      <c r="S6286" t="s">
        <v>817</v>
      </c>
    </row>
    <row r="6287" spans="1:19" x14ac:dyDescent="0.25">
      <c r="A6287" t="s">
        <v>59</v>
      </c>
      <c r="B6287" t="s">
        <v>31</v>
      </c>
      <c r="C6287" t="s">
        <v>32</v>
      </c>
      <c r="D6287" t="s">
        <v>771</v>
      </c>
      <c r="E6287" t="s">
        <v>910</v>
      </c>
      <c r="F6287" t="s">
        <v>35</v>
      </c>
      <c r="G6287" t="s">
        <v>35</v>
      </c>
      <c r="H6287" t="s">
        <v>35</v>
      </c>
      <c r="J6287" t="s">
        <v>6606</v>
      </c>
      <c r="K6287" t="s">
        <v>1092</v>
      </c>
      <c r="M6287">
        <v>0.22500000000000001</v>
      </c>
      <c r="N6287">
        <v>45</v>
      </c>
      <c r="O6287" t="s">
        <v>52</v>
      </c>
      <c r="Q6287" t="s">
        <v>716</v>
      </c>
      <c r="R6287" t="s">
        <v>919</v>
      </c>
      <c r="S6287" t="s">
        <v>784</v>
      </c>
    </row>
    <row r="6288" spans="1:19" x14ac:dyDescent="0.25">
      <c r="A6288" t="s">
        <v>30</v>
      </c>
      <c r="B6288" t="s">
        <v>31</v>
      </c>
      <c r="C6288" t="s">
        <v>32</v>
      </c>
      <c r="D6288" t="s">
        <v>771</v>
      </c>
      <c r="E6288" t="s">
        <v>910</v>
      </c>
      <c r="F6288" t="s">
        <v>35</v>
      </c>
      <c r="G6288" t="s">
        <v>35</v>
      </c>
      <c r="H6288" t="s">
        <v>35</v>
      </c>
      <c r="J6288" t="s">
        <v>6608</v>
      </c>
      <c r="K6288" t="s">
        <v>1092</v>
      </c>
      <c r="M6288">
        <v>1.17</v>
      </c>
      <c r="N6288">
        <v>109</v>
      </c>
      <c r="O6288" t="s">
        <v>106</v>
      </c>
      <c r="Q6288" t="s">
        <v>2624</v>
      </c>
      <c r="R6288" t="s">
        <v>6020</v>
      </c>
      <c r="S6288" t="s">
        <v>921</v>
      </c>
    </row>
    <row r="6289" spans="1:19" x14ac:dyDescent="0.25">
      <c r="A6289" t="s">
        <v>59</v>
      </c>
      <c r="B6289" t="s">
        <v>31</v>
      </c>
      <c r="C6289" t="s">
        <v>32</v>
      </c>
      <c r="D6289" t="s">
        <v>771</v>
      </c>
      <c r="E6289" t="s">
        <v>910</v>
      </c>
      <c r="F6289" t="s">
        <v>35</v>
      </c>
      <c r="G6289" t="s">
        <v>35</v>
      </c>
      <c r="H6289" t="s">
        <v>35</v>
      </c>
      <c r="J6289" t="s">
        <v>6608</v>
      </c>
      <c r="K6289" t="s">
        <v>1092</v>
      </c>
      <c r="M6289">
        <v>7.02</v>
      </c>
      <c r="N6289">
        <v>44</v>
      </c>
      <c r="O6289" t="s">
        <v>52</v>
      </c>
      <c r="Q6289" t="s">
        <v>192</v>
      </c>
      <c r="R6289" t="s">
        <v>6020</v>
      </c>
      <c r="S6289" t="s">
        <v>921</v>
      </c>
    </row>
    <row r="6290" spans="1:19" x14ac:dyDescent="0.25">
      <c r="A6290" t="s">
        <v>30</v>
      </c>
      <c r="B6290" t="s">
        <v>31</v>
      </c>
      <c r="C6290" t="s">
        <v>32</v>
      </c>
      <c r="D6290" t="s">
        <v>771</v>
      </c>
      <c r="E6290" t="s">
        <v>910</v>
      </c>
      <c r="F6290" t="s">
        <v>35</v>
      </c>
      <c r="G6290" t="s">
        <v>35</v>
      </c>
      <c r="H6290" t="s">
        <v>35</v>
      </c>
      <c r="J6290" t="s">
        <v>6609</v>
      </c>
      <c r="K6290" t="s">
        <v>1092</v>
      </c>
      <c r="M6290">
        <v>4.6349999999999998</v>
      </c>
      <c r="N6290">
        <v>42</v>
      </c>
      <c r="O6290" t="s">
        <v>52</v>
      </c>
      <c r="Q6290" t="s">
        <v>991</v>
      </c>
      <c r="R6290" t="s">
        <v>6020</v>
      </c>
      <c r="S6290" t="s">
        <v>921</v>
      </c>
    </row>
    <row r="6291" spans="1:19" x14ac:dyDescent="0.25">
      <c r="A6291" t="s">
        <v>59</v>
      </c>
      <c r="B6291" t="s">
        <v>31</v>
      </c>
      <c r="C6291" t="s">
        <v>32</v>
      </c>
      <c r="D6291" t="s">
        <v>771</v>
      </c>
      <c r="E6291" t="s">
        <v>910</v>
      </c>
      <c r="F6291" t="s">
        <v>35</v>
      </c>
      <c r="G6291" t="s">
        <v>35</v>
      </c>
      <c r="H6291" t="s">
        <v>35</v>
      </c>
      <c r="J6291" t="s">
        <v>6610</v>
      </c>
      <c r="K6291" t="s">
        <v>1092</v>
      </c>
      <c r="M6291">
        <v>21.33</v>
      </c>
      <c r="N6291">
        <v>45</v>
      </c>
      <c r="O6291" t="s">
        <v>52</v>
      </c>
      <c r="Q6291" t="s">
        <v>716</v>
      </c>
      <c r="R6291" t="s">
        <v>844</v>
      </c>
      <c r="S6291" t="s">
        <v>806</v>
      </c>
    </row>
    <row r="6292" spans="1:19" x14ac:dyDescent="0.25">
      <c r="A6292" t="s">
        <v>30</v>
      </c>
      <c r="B6292" t="s">
        <v>31</v>
      </c>
      <c r="C6292" t="s">
        <v>32</v>
      </c>
      <c r="D6292" t="s">
        <v>771</v>
      </c>
      <c r="E6292" t="s">
        <v>910</v>
      </c>
      <c r="F6292" t="s">
        <v>35</v>
      </c>
      <c r="G6292" t="s">
        <v>35</v>
      </c>
      <c r="H6292" t="s">
        <v>35</v>
      </c>
      <c r="J6292" t="s">
        <v>6610</v>
      </c>
      <c r="K6292" t="s">
        <v>1092</v>
      </c>
      <c r="M6292">
        <v>15.615</v>
      </c>
      <c r="N6292">
        <v>45</v>
      </c>
      <c r="O6292" t="s">
        <v>52</v>
      </c>
      <c r="Q6292" t="s">
        <v>716</v>
      </c>
      <c r="R6292" t="s">
        <v>844</v>
      </c>
      <c r="S6292" t="s">
        <v>806</v>
      </c>
    </row>
    <row r="6293" spans="1:19" x14ac:dyDescent="0.25">
      <c r="A6293" t="s">
        <v>59</v>
      </c>
      <c r="B6293" t="s">
        <v>31</v>
      </c>
      <c r="C6293" t="s">
        <v>32</v>
      </c>
      <c r="D6293" t="s">
        <v>771</v>
      </c>
      <c r="E6293" t="s">
        <v>910</v>
      </c>
      <c r="F6293" t="s">
        <v>35</v>
      </c>
      <c r="G6293" t="s">
        <v>35</v>
      </c>
      <c r="H6293" t="s">
        <v>35</v>
      </c>
      <c r="J6293" t="s">
        <v>6595</v>
      </c>
      <c r="K6293" t="s">
        <v>1092</v>
      </c>
      <c r="M6293">
        <v>1.35</v>
      </c>
      <c r="N6293">
        <v>88</v>
      </c>
      <c r="O6293" t="s">
        <v>61</v>
      </c>
      <c r="Q6293" t="s">
        <v>858</v>
      </c>
      <c r="R6293" t="s">
        <v>6090</v>
      </c>
      <c r="S6293" t="s">
        <v>6091</v>
      </c>
    </row>
    <row r="6294" spans="1:19" x14ac:dyDescent="0.25">
      <c r="A6294" t="s">
        <v>30</v>
      </c>
      <c r="B6294" t="s">
        <v>31</v>
      </c>
      <c r="C6294" t="s">
        <v>32</v>
      </c>
      <c r="D6294" t="s">
        <v>771</v>
      </c>
      <c r="E6294" t="s">
        <v>910</v>
      </c>
      <c r="F6294" t="s">
        <v>35</v>
      </c>
      <c r="G6294" t="s">
        <v>35</v>
      </c>
      <c r="H6294" t="s">
        <v>35</v>
      </c>
      <c r="J6294" t="s">
        <v>6595</v>
      </c>
      <c r="K6294" t="s">
        <v>1092</v>
      </c>
      <c r="M6294">
        <v>0.72</v>
      </c>
      <c r="N6294">
        <v>46</v>
      </c>
      <c r="O6294" t="s">
        <v>52</v>
      </c>
      <c r="Q6294" t="s">
        <v>493</v>
      </c>
      <c r="R6294" t="s">
        <v>6020</v>
      </c>
      <c r="S6294" t="s">
        <v>921</v>
      </c>
    </row>
    <row r="6295" spans="1:19" x14ac:dyDescent="0.25">
      <c r="A6295" t="s">
        <v>59</v>
      </c>
      <c r="B6295" t="s">
        <v>31</v>
      </c>
      <c r="C6295" t="s">
        <v>32</v>
      </c>
      <c r="D6295" t="s">
        <v>771</v>
      </c>
      <c r="E6295" t="s">
        <v>910</v>
      </c>
      <c r="F6295" t="s">
        <v>35</v>
      </c>
      <c r="G6295" t="s">
        <v>35</v>
      </c>
      <c r="H6295" t="s">
        <v>35</v>
      </c>
      <c r="J6295" t="s">
        <v>6611</v>
      </c>
      <c r="K6295" t="s">
        <v>1092</v>
      </c>
      <c r="M6295">
        <v>0.45</v>
      </c>
      <c r="N6295">
        <v>42</v>
      </c>
      <c r="O6295" t="s">
        <v>52</v>
      </c>
      <c r="Q6295" t="s">
        <v>991</v>
      </c>
      <c r="R6295" t="s">
        <v>6020</v>
      </c>
      <c r="S6295" t="s">
        <v>921</v>
      </c>
    </row>
    <row r="6296" spans="1:19" x14ac:dyDescent="0.25">
      <c r="A6296" t="s">
        <v>59</v>
      </c>
      <c r="B6296" t="s">
        <v>31</v>
      </c>
      <c r="C6296" t="s">
        <v>32</v>
      </c>
      <c r="D6296" t="s">
        <v>771</v>
      </c>
      <c r="E6296" t="s">
        <v>910</v>
      </c>
      <c r="F6296" t="s">
        <v>35</v>
      </c>
      <c r="G6296" t="s">
        <v>35</v>
      </c>
      <c r="H6296" t="s">
        <v>35</v>
      </c>
      <c r="J6296" t="s">
        <v>6612</v>
      </c>
      <c r="K6296" t="s">
        <v>1092</v>
      </c>
      <c r="M6296">
        <v>4.9950000000000001</v>
      </c>
      <c r="N6296">
        <v>44</v>
      </c>
      <c r="O6296" t="s">
        <v>52</v>
      </c>
      <c r="Q6296" t="s">
        <v>192</v>
      </c>
      <c r="R6296" t="s">
        <v>6020</v>
      </c>
      <c r="S6296" t="s">
        <v>921</v>
      </c>
    </row>
    <row r="6297" spans="1:19" x14ac:dyDescent="0.25">
      <c r="A6297" t="s">
        <v>44</v>
      </c>
      <c r="B6297" t="s">
        <v>51</v>
      </c>
      <c r="C6297" t="s">
        <v>32</v>
      </c>
      <c r="D6297" t="s">
        <v>771</v>
      </c>
      <c r="E6297" t="s">
        <v>910</v>
      </c>
      <c r="F6297" t="s">
        <v>35</v>
      </c>
      <c r="G6297" t="s">
        <v>35</v>
      </c>
      <c r="H6297" t="s">
        <v>35</v>
      </c>
      <c r="J6297" t="s">
        <v>6612</v>
      </c>
      <c r="K6297" t="s">
        <v>1092</v>
      </c>
      <c r="M6297">
        <v>1</v>
      </c>
      <c r="N6297">
        <v>44</v>
      </c>
      <c r="O6297" t="s">
        <v>52</v>
      </c>
      <c r="Q6297" t="s">
        <v>192</v>
      </c>
      <c r="R6297" t="s">
        <v>6020</v>
      </c>
      <c r="S6297" t="s">
        <v>921</v>
      </c>
    </row>
    <row r="6298" spans="1:19" x14ac:dyDescent="0.25">
      <c r="A6298" t="s">
        <v>44</v>
      </c>
      <c r="B6298" t="s">
        <v>51</v>
      </c>
      <c r="C6298" t="s">
        <v>32</v>
      </c>
      <c r="D6298" t="s">
        <v>771</v>
      </c>
      <c r="E6298" t="s">
        <v>910</v>
      </c>
      <c r="F6298" t="s">
        <v>35</v>
      </c>
      <c r="G6298" t="s">
        <v>35</v>
      </c>
      <c r="H6298" t="s">
        <v>35</v>
      </c>
      <c r="J6298" t="s">
        <v>6612</v>
      </c>
      <c r="K6298" t="s">
        <v>1092</v>
      </c>
      <c r="M6298">
        <v>0.5</v>
      </c>
      <c r="N6298">
        <v>59</v>
      </c>
      <c r="O6298" t="s">
        <v>52</v>
      </c>
      <c r="Q6298" t="s">
        <v>84</v>
      </c>
      <c r="R6298" t="s">
        <v>6020</v>
      </c>
      <c r="S6298" t="s">
        <v>921</v>
      </c>
    </row>
    <row r="6299" spans="1:19" x14ac:dyDescent="0.25">
      <c r="A6299" t="s">
        <v>59</v>
      </c>
      <c r="B6299" t="s">
        <v>31</v>
      </c>
      <c r="C6299" t="s">
        <v>32</v>
      </c>
      <c r="D6299" t="s">
        <v>771</v>
      </c>
      <c r="E6299" t="s">
        <v>910</v>
      </c>
      <c r="F6299" t="s">
        <v>35</v>
      </c>
      <c r="G6299" t="s">
        <v>35</v>
      </c>
      <c r="H6299" t="s">
        <v>35</v>
      </c>
      <c r="J6299" t="s">
        <v>6612</v>
      </c>
      <c r="K6299" t="s">
        <v>1092</v>
      </c>
      <c r="M6299">
        <v>3.42</v>
      </c>
      <c r="N6299">
        <v>45</v>
      </c>
      <c r="O6299" t="s">
        <v>52</v>
      </c>
      <c r="Q6299" t="s">
        <v>716</v>
      </c>
      <c r="R6299" t="s">
        <v>919</v>
      </c>
      <c r="S6299" t="s">
        <v>784</v>
      </c>
    </row>
    <row r="6300" spans="1:19" x14ac:dyDescent="0.25">
      <c r="A6300" t="s">
        <v>30</v>
      </c>
      <c r="B6300" t="s">
        <v>31</v>
      </c>
      <c r="C6300" t="s">
        <v>32</v>
      </c>
      <c r="D6300" t="s">
        <v>771</v>
      </c>
      <c r="E6300" t="s">
        <v>910</v>
      </c>
      <c r="F6300" t="s">
        <v>35</v>
      </c>
      <c r="G6300" t="s">
        <v>35</v>
      </c>
      <c r="H6300" t="s">
        <v>35</v>
      </c>
      <c r="J6300" t="s">
        <v>6613</v>
      </c>
      <c r="K6300" t="s">
        <v>1092</v>
      </c>
      <c r="M6300">
        <v>2.97</v>
      </c>
      <c r="N6300">
        <v>46</v>
      </c>
      <c r="O6300" t="s">
        <v>52</v>
      </c>
      <c r="Q6300" t="s">
        <v>493</v>
      </c>
      <c r="R6300" t="s">
        <v>6020</v>
      </c>
      <c r="S6300" t="s">
        <v>921</v>
      </c>
    </row>
    <row r="6301" spans="1:19" x14ac:dyDescent="0.25">
      <c r="A6301" t="s">
        <v>44</v>
      </c>
      <c r="B6301" t="s">
        <v>3</v>
      </c>
      <c r="C6301" t="s">
        <v>32</v>
      </c>
      <c r="D6301" t="s">
        <v>771</v>
      </c>
      <c r="E6301" t="s">
        <v>910</v>
      </c>
      <c r="F6301" t="s">
        <v>35</v>
      </c>
      <c r="G6301" t="s">
        <v>35</v>
      </c>
      <c r="H6301" t="s">
        <v>35</v>
      </c>
      <c r="J6301" t="s">
        <v>6614</v>
      </c>
      <c r="K6301" t="s">
        <v>1092</v>
      </c>
      <c r="M6301">
        <v>0.5</v>
      </c>
      <c r="N6301">
        <v>247</v>
      </c>
      <c r="O6301" t="s">
        <v>5</v>
      </c>
      <c r="Q6301" t="s">
        <v>574</v>
      </c>
      <c r="R6301" t="s">
        <v>849</v>
      </c>
      <c r="S6301" t="s">
        <v>850</v>
      </c>
    </row>
    <row r="6302" spans="1:19" x14ac:dyDescent="0.25">
      <c r="A6302" t="s">
        <v>30</v>
      </c>
      <c r="B6302" t="s">
        <v>31</v>
      </c>
      <c r="C6302" t="s">
        <v>32</v>
      </c>
      <c r="D6302" t="s">
        <v>771</v>
      </c>
      <c r="E6302" t="s">
        <v>910</v>
      </c>
      <c r="F6302" t="s">
        <v>35</v>
      </c>
      <c r="G6302" t="s">
        <v>35</v>
      </c>
      <c r="H6302" t="s">
        <v>35</v>
      </c>
      <c r="J6302" t="s">
        <v>6614</v>
      </c>
      <c r="K6302" t="s">
        <v>1092</v>
      </c>
      <c r="M6302">
        <v>2.25</v>
      </c>
      <c r="N6302">
        <v>36</v>
      </c>
      <c r="O6302" t="s">
        <v>52</v>
      </c>
      <c r="Q6302" t="s">
        <v>2005</v>
      </c>
      <c r="R6302" t="s">
        <v>849</v>
      </c>
      <c r="S6302" t="s">
        <v>850</v>
      </c>
    </row>
    <row r="6303" spans="1:19" x14ac:dyDescent="0.25">
      <c r="A6303" t="s">
        <v>44</v>
      </c>
      <c r="B6303" t="s">
        <v>3</v>
      </c>
      <c r="C6303" t="s">
        <v>32</v>
      </c>
      <c r="D6303" t="s">
        <v>771</v>
      </c>
      <c r="E6303" t="s">
        <v>910</v>
      </c>
      <c r="F6303" t="s">
        <v>35</v>
      </c>
      <c r="G6303" t="s">
        <v>35</v>
      </c>
      <c r="H6303" t="s">
        <v>35</v>
      </c>
      <c r="J6303" t="s">
        <v>6614</v>
      </c>
      <c r="K6303" t="s">
        <v>1092</v>
      </c>
      <c r="M6303">
        <v>0.35</v>
      </c>
      <c r="N6303">
        <v>262</v>
      </c>
      <c r="O6303" t="s">
        <v>5</v>
      </c>
      <c r="Q6303" t="s">
        <v>264</v>
      </c>
      <c r="R6303" t="s">
        <v>849</v>
      </c>
      <c r="S6303" t="s">
        <v>850</v>
      </c>
    </row>
    <row r="6304" spans="1:19" x14ac:dyDescent="0.25">
      <c r="A6304" t="s">
        <v>59</v>
      </c>
      <c r="B6304" t="s">
        <v>31</v>
      </c>
      <c r="C6304" t="s">
        <v>32</v>
      </c>
      <c r="D6304" t="s">
        <v>771</v>
      </c>
      <c r="E6304" t="s">
        <v>910</v>
      </c>
      <c r="F6304" t="s">
        <v>35</v>
      </c>
      <c r="G6304" t="s">
        <v>35</v>
      </c>
      <c r="H6304" t="s">
        <v>35</v>
      </c>
      <c r="J6304" t="s">
        <v>6615</v>
      </c>
      <c r="K6304" t="s">
        <v>1092</v>
      </c>
      <c r="M6304">
        <v>0.495</v>
      </c>
      <c r="N6304">
        <v>79</v>
      </c>
      <c r="O6304" t="s">
        <v>61</v>
      </c>
      <c r="Q6304" t="s">
        <v>1156</v>
      </c>
      <c r="R6304" t="s">
        <v>926</v>
      </c>
      <c r="S6304" t="s">
        <v>911</v>
      </c>
    </row>
    <row r="6305" spans="1:19" x14ac:dyDescent="0.25">
      <c r="A6305" t="s">
        <v>30</v>
      </c>
      <c r="B6305" t="s">
        <v>31</v>
      </c>
      <c r="C6305" t="s">
        <v>32</v>
      </c>
      <c r="D6305" t="s">
        <v>771</v>
      </c>
      <c r="E6305" t="s">
        <v>910</v>
      </c>
      <c r="F6305" t="s">
        <v>35</v>
      </c>
      <c r="G6305" t="s">
        <v>35</v>
      </c>
      <c r="H6305" t="s">
        <v>35</v>
      </c>
      <c r="J6305" t="s">
        <v>6617</v>
      </c>
      <c r="K6305" t="s">
        <v>1092</v>
      </c>
      <c r="M6305">
        <v>4.4999999999999998E-2</v>
      </c>
      <c r="N6305">
        <v>94</v>
      </c>
      <c r="O6305" t="s">
        <v>106</v>
      </c>
      <c r="Q6305" t="s">
        <v>394</v>
      </c>
      <c r="R6305" t="s">
        <v>436</v>
      </c>
      <c r="S6305" t="s">
        <v>437</v>
      </c>
    </row>
    <row r="6306" spans="1:19" x14ac:dyDescent="0.25">
      <c r="A6306" t="s">
        <v>30</v>
      </c>
      <c r="B6306" t="s">
        <v>31</v>
      </c>
      <c r="C6306" t="s">
        <v>32</v>
      </c>
      <c r="D6306" t="s">
        <v>771</v>
      </c>
      <c r="E6306" t="s">
        <v>910</v>
      </c>
      <c r="F6306" t="s">
        <v>35</v>
      </c>
      <c r="G6306" t="s">
        <v>35</v>
      </c>
      <c r="H6306" t="s">
        <v>35</v>
      </c>
      <c r="J6306" t="s">
        <v>6618</v>
      </c>
      <c r="K6306" t="s">
        <v>1092</v>
      </c>
      <c r="M6306">
        <v>3.42</v>
      </c>
      <c r="N6306">
        <v>47</v>
      </c>
      <c r="O6306" t="s">
        <v>52</v>
      </c>
      <c r="Q6306" t="s">
        <v>132</v>
      </c>
      <c r="R6306" t="s">
        <v>849</v>
      </c>
      <c r="S6306" t="s">
        <v>850</v>
      </c>
    </row>
    <row r="6307" spans="1:19" x14ac:dyDescent="0.25">
      <c r="A6307" t="s">
        <v>59</v>
      </c>
      <c r="B6307" t="s">
        <v>31</v>
      </c>
      <c r="C6307" t="s">
        <v>32</v>
      </c>
      <c r="D6307" t="s">
        <v>771</v>
      </c>
      <c r="E6307" t="s">
        <v>910</v>
      </c>
      <c r="F6307" t="s">
        <v>35</v>
      </c>
      <c r="G6307" t="s">
        <v>35</v>
      </c>
      <c r="H6307" t="s">
        <v>35</v>
      </c>
      <c r="J6307" t="s">
        <v>4072</v>
      </c>
      <c r="K6307" t="s">
        <v>1092</v>
      </c>
      <c r="M6307">
        <v>6.84</v>
      </c>
      <c r="N6307">
        <v>36</v>
      </c>
      <c r="O6307" t="s">
        <v>52</v>
      </c>
      <c r="Q6307" t="s">
        <v>2005</v>
      </c>
      <c r="R6307" t="s">
        <v>849</v>
      </c>
      <c r="S6307" t="s">
        <v>850</v>
      </c>
    </row>
    <row r="6308" spans="1:19" x14ac:dyDescent="0.25">
      <c r="A6308" t="s">
        <v>59</v>
      </c>
      <c r="B6308" t="s">
        <v>31</v>
      </c>
      <c r="C6308" t="s">
        <v>32</v>
      </c>
      <c r="D6308" t="s">
        <v>771</v>
      </c>
      <c r="E6308" t="s">
        <v>929</v>
      </c>
      <c r="F6308" t="s">
        <v>35</v>
      </c>
      <c r="G6308" t="s">
        <v>35</v>
      </c>
      <c r="H6308" t="s">
        <v>35</v>
      </c>
      <c r="J6308" t="s">
        <v>6619</v>
      </c>
      <c r="K6308" t="s">
        <v>1092</v>
      </c>
      <c r="M6308">
        <v>0.495</v>
      </c>
      <c r="N6308">
        <v>357</v>
      </c>
      <c r="O6308" t="s">
        <v>5</v>
      </c>
      <c r="Q6308" t="s">
        <v>6620</v>
      </c>
      <c r="R6308" t="s">
        <v>6020</v>
      </c>
      <c r="S6308" t="s">
        <v>921</v>
      </c>
    </row>
    <row r="6309" spans="1:19" x14ac:dyDescent="0.25">
      <c r="A6309" t="s">
        <v>30</v>
      </c>
      <c r="B6309" t="s">
        <v>31</v>
      </c>
      <c r="C6309" t="s">
        <v>32</v>
      </c>
      <c r="D6309" t="s">
        <v>771</v>
      </c>
      <c r="E6309" t="s">
        <v>6621</v>
      </c>
      <c r="F6309" t="s">
        <v>35</v>
      </c>
      <c r="G6309" t="s">
        <v>35</v>
      </c>
      <c r="H6309" t="s">
        <v>35</v>
      </c>
      <c r="J6309" t="s">
        <v>6622</v>
      </c>
      <c r="K6309" t="s">
        <v>1092</v>
      </c>
      <c r="M6309">
        <v>9.4499999999999993</v>
      </c>
      <c r="N6309">
        <v>47</v>
      </c>
      <c r="O6309" t="s">
        <v>52</v>
      </c>
      <c r="Q6309" t="s">
        <v>132</v>
      </c>
      <c r="R6309" t="s">
        <v>849</v>
      </c>
      <c r="S6309" t="s">
        <v>850</v>
      </c>
    </row>
    <row r="6310" spans="1:19" x14ac:dyDescent="0.25">
      <c r="A6310" t="s">
        <v>30</v>
      </c>
      <c r="B6310" t="s">
        <v>31</v>
      </c>
      <c r="C6310" t="s">
        <v>32</v>
      </c>
      <c r="D6310" t="s">
        <v>771</v>
      </c>
      <c r="E6310" t="s">
        <v>6621</v>
      </c>
      <c r="F6310" t="s">
        <v>35</v>
      </c>
      <c r="G6310" t="s">
        <v>35</v>
      </c>
      <c r="H6310" t="s">
        <v>35</v>
      </c>
      <c r="J6310" t="s">
        <v>6623</v>
      </c>
      <c r="K6310" t="s">
        <v>1092</v>
      </c>
      <c r="M6310">
        <v>1.4850000000000001</v>
      </c>
      <c r="N6310">
        <v>37</v>
      </c>
      <c r="O6310" t="s">
        <v>52</v>
      </c>
      <c r="Q6310" t="s">
        <v>3499</v>
      </c>
      <c r="R6310" t="s">
        <v>849</v>
      </c>
      <c r="S6310" t="s">
        <v>850</v>
      </c>
    </row>
    <row r="6311" spans="1:19" x14ac:dyDescent="0.25">
      <c r="A6311" t="s">
        <v>30</v>
      </c>
      <c r="B6311" t="s">
        <v>31</v>
      </c>
      <c r="C6311" t="s">
        <v>32</v>
      </c>
      <c r="D6311" t="s">
        <v>771</v>
      </c>
      <c r="E6311" t="s">
        <v>6621</v>
      </c>
      <c r="F6311" t="s">
        <v>35</v>
      </c>
      <c r="G6311" t="s">
        <v>35</v>
      </c>
      <c r="H6311" t="s">
        <v>35</v>
      </c>
      <c r="J6311" t="s">
        <v>6624</v>
      </c>
      <c r="K6311" t="s">
        <v>1092</v>
      </c>
      <c r="M6311">
        <v>3.2850000000000001</v>
      </c>
      <c r="N6311">
        <v>118</v>
      </c>
      <c r="O6311" t="s">
        <v>106</v>
      </c>
      <c r="Q6311" t="s">
        <v>1469</v>
      </c>
      <c r="R6311" t="s">
        <v>919</v>
      </c>
      <c r="S6311" t="s">
        <v>784</v>
      </c>
    </row>
    <row r="6312" spans="1:19" x14ac:dyDescent="0.25">
      <c r="A6312" t="s">
        <v>30</v>
      </c>
      <c r="B6312" t="s">
        <v>31</v>
      </c>
      <c r="C6312" t="s">
        <v>32</v>
      </c>
      <c r="D6312" t="s">
        <v>771</v>
      </c>
      <c r="E6312" t="s">
        <v>6621</v>
      </c>
      <c r="F6312" t="s">
        <v>35</v>
      </c>
      <c r="G6312" t="s">
        <v>35</v>
      </c>
      <c r="H6312" t="s">
        <v>35</v>
      </c>
      <c r="J6312" t="s">
        <v>6625</v>
      </c>
      <c r="K6312" t="s">
        <v>1092</v>
      </c>
      <c r="M6312">
        <v>7.335</v>
      </c>
      <c r="N6312">
        <v>201</v>
      </c>
      <c r="O6312" t="s">
        <v>5</v>
      </c>
      <c r="Q6312" t="s">
        <v>1428</v>
      </c>
      <c r="R6312" t="s">
        <v>6169</v>
      </c>
      <c r="S6312" t="s">
        <v>904</v>
      </c>
    </row>
    <row r="6313" spans="1:19" x14ac:dyDescent="0.25">
      <c r="A6313" t="s">
        <v>30</v>
      </c>
      <c r="B6313" t="s">
        <v>31</v>
      </c>
      <c r="C6313" t="s">
        <v>32</v>
      </c>
      <c r="D6313" t="s">
        <v>771</v>
      </c>
      <c r="E6313" t="s">
        <v>6621</v>
      </c>
      <c r="F6313" t="s">
        <v>35</v>
      </c>
      <c r="G6313" t="s">
        <v>35</v>
      </c>
      <c r="H6313" t="s">
        <v>35</v>
      </c>
      <c r="J6313" t="s">
        <v>6626</v>
      </c>
      <c r="K6313" t="s">
        <v>1092</v>
      </c>
      <c r="M6313">
        <v>4.95</v>
      </c>
      <c r="N6313">
        <v>16</v>
      </c>
      <c r="O6313" t="s">
        <v>46</v>
      </c>
      <c r="Q6313" t="s">
        <v>323</v>
      </c>
      <c r="R6313" t="s">
        <v>919</v>
      </c>
      <c r="S6313" t="s">
        <v>784</v>
      </c>
    </row>
    <row r="6314" spans="1:19" x14ac:dyDescent="0.25">
      <c r="A6314" t="s">
        <v>30</v>
      </c>
      <c r="B6314" t="s">
        <v>31</v>
      </c>
      <c r="C6314" t="s">
        <v>32</v>
      </c>
      <c r="D6314" t="s">
        <v>771</v>
      </c>
      <c r="E6314" t="s">
        <v>6621</v>
      </c>
      <c r="F6314" t="s">
        <v>35</v>
      </c>
      <c r="G6314" t="s">
        <v>35</v>
      </c>
      <c r="H6314" t="s">
        <v>35</v>
      </c>
      <c r="J6314" t="s">
        <v>6627</v>
      </c>
      <c r="K6314" t="s">
        <v>1092</v>
      </c>
      <c r="M6314">
        <v>4.2000000000000003E-2</v>
      </c>
      <c r="N6314">
        <v>723</v>
      </c>
      <c r="O6314" t="s">
        <v>575</v>
      </c>
      <c r="Q6314" t="s">
        <v>6628</v>
      </c>
      <c r="R6314" t="s">
        <v>6260</v>
      </c>
      <c r="S6314" t="s">
        <v>930</v>
      </c>
    </row>
    <row r="6315" spans="1:19" x14ac:dyDescent="0.25">
      <c r="A6315" t="s">
        <v>30</v>
      </c>
      <c r="B6315" t="s">
        <v>31</v>
      </c>
      <c r="C6315" t="s">
        <v>32</v>
      </c>
      <c r="D6315" t="s">
        <v>771</v>
      </c>
      <c r="E6315" t="s">
        <v>6621</v>
      </c>
      <c r="F6315" t="s">
        <v>35</v>
      </c>
      <c r="G6315" t="s">
        <v>35</v>
      </c>
      <c r="H6315" t="s">
        <v>35</v>
      </c>
      <c r="J6315" t="s">
        <v>1420</v>
      </c>
      <c r="K6315" t="s">
        <v>1092</v>
      </c>
      <c r="M6315">
        <v>16.515000000000001</v>
      </c>
      <c r="N6315">
        <v>41</v>
      </c>
      <c r="O6315" t="s">
        <v>52</v>
      </c>
      <c r="Q6315" t="s">
        <v>249</v>
      </c>
      <c r="R6315" t="s">
        <v>436</v>
      </c>
      <c r="S6315" t="s">
        <v>437</v>
      </c>
    </row>
    <row r="6316" spans="1:19" x14ac:dyDescent="0.25">
      <c r="A6316" t="s">
        <v>30</v>
      </c>
      <c r="B6316" t="s">
        <v>31</v>
      </c>
      <c r="C6316" t="s">
        <v>32</v>
      </c>
      <c r="D6316" t="s">
        <v>771</v>
      </c>
      <c r="E6316" t="s">
        <v>6621</v>
      </c>
      <c r="F6316" t="s">
        <v>35</v>
      </c>
      <c r="G6316" t="s">
        <v>35</v>
      </c>
      <c r="H6316" t="s">
        <v>35</v>
      </c>
      <c r="J6316" t="s">
        <v>6629</v>
      </c>
      <c r="K6316" t="s">
        <v>1092</v>
      </c>
      <c r="M6316">
        <v>7.02</v>
      </c>
      <c r="N6316">
        <v>38</v>
      </c>
      <c r="O6316" t="s">
        <v>52</v>
      </c>
      <c r="Q6316" t="s">
        <v>748</v>
      </c>
      <c r="R6316" t="s">
        <v>6020</v>
      </c>
      <c r="S6316" t="s">
        <v>921</v>
      </c>
    </row>
    <row r="6317" spans="1:19" x14ac:dyDescent="0.25">
      <c r="A6317" t="s">
        <v>30</v>
      </c>
      <c r="B6317" t="s">
        <v>31</v>
      </c>
      <c r="C6317" t="s">
        <v>32</v>
      </c>
      <c r="D6317" t="s">
        <v>771</v>
      </c>
      <c r="E6317" t="s">
        <v>6621</v>
      </c>
      <c r="F6317" t="s">
        <v>35</v>
      </c>
      <c r="G6317" t="s">
        <v>35</v>
      </c>
      <c r="H6317" t="s">
        <v>35</v>
      </c>
      <c r="J6317" t="s">
        <v>6630</v>
      </c>
      <c r="K6317" t="s">
        <v>1092</v>
      </c>
      <c r="M6317">
        <v>14.984999999999999</v>
      </c>
      <c r="N6317">
        <v>45</v>
      </c>
      <c r="O6317" t="s">
        <v>52</v>
      </c>
      <c r="Q6317" t="s">
        <v>716</v>
      </c>
      <c r="R6317" t="s">
        <v>6340</v>
      </c>
      <c r="S6317" t="s">
        <v>884</v>
      </c>
    </row>
    <row r="6318" spans="1:19" x14ac:dyDescent="0.25">
      <c r="A6318" t="s">
        <v>44</v>
      </c>
      <c r="B6318" t="s">
        <v>51</v>
      </c>
      <c r="C6318" t="s">
        <v>32</v>
      </c>
      <c r="D6318" t="s">
        <v>771</v>
      </c>
      <c r="E6318" t="s">
        <v>6631</v>
      </c>
      <c r="F6318" t="s">
        <v>35</v>
      </c>
      <c r="G6318" t="s">
        <v>35</v>
      </c>
      <c r="H6318" t="s">
        <v>35</v>
      </c>
      <c r="J6318" t="s">
        <v>6632</v>
      </c>
      <c r="K6318" t="s">
        <v>1092</v>
      </c>
      <c r="M6318">
        <v>0.5</v>
      </c>
      <c r="N6318">
        <v>147</v>
      </c>
      <c r="O6318" t="s">
        <v>38</v>
      </c>
      <c r="Q6318" t="s">
        <v>1229</v>
      </c>
      <c r="R6318" t="s">
        <v>849</v>
      </c>
      <c r="S6318" t="s">
        <v>850</v>
      </c>
    </row>
    <row r="6319" spans="1:19" x14ac:dyDescent="0.25">
      <c r="A6319" t="s">
        <v>59</v>
      </c>
      <c r="B6319" t="s">
        <v>31</v>
      </c>
      <c r="C6319" t="s">
        <v>32</v>
      </c>
      <c r="D6319" t="s">
        <v>771</v>
      </c>
      <c r="E6319" t="s">
        <v>6631</v>
      </c>
      <c r="F6319" t="s">
        <v>35</v>
      </c>
      <c r="G6319" t="s">
        <v>35</v>
      </c>
      <c r="H6319" t="s">
        <v>35</v>
      </c>
      <c r="J6319" t="s">
        <v>6633</v>
      </c>
      <c r="K6319" t="s">
        <v>1092</v>
      </c>
      <c r="M6319">
        <v>0.54</v>
      </c>
      <c r="N6319">
        <v>90</v>
      </c>
      <c r="O6319" t="s">
        <v>61</v>
      </c>
      <c r="Q6319" t="s">
        <v>897</v>
      </c>
      <c r="R6319" t="s">
        <v>919</v>
      </c>
      <c r="S6319" t="s">
        <v>784</v>
      </c>
    </row>
    <row r="6320" spans="1:19" x14ac:dyDescent="0.25">
      <c r="A6320" t="s">
        <v>30</v>
      </c>
      <c r="B6320" t="s">
        <v>31</v>
      </c>
      <c r="C6320" t="s">
        <v>32</v>
      </c>
      <c r="D6320" t="s">
        <v>771</v>
      </c>
      <c r="E6320" t="s">
        <v>6631</v>
      </c>
      <c r="F6320" t="s">
        <v>35</v>
      </c>
      <c r="G6320" t="s">
        <v>35</v>
      </c>
      <c r="H6320" t="s">
        <v>35</v>
      </c>
      <c r="J6320" t="s">
        <v>6634</v>
      </c>
      <c r="K6320" t="s">
        <v>1092</v>
      </c>
      <c r="M6320">
        <v>5.085</v>
      </c>
      <c r="N6320">
        <v>105</v>
      </c>
      <c r="O6320" t="s">
        <v>106</v>
      </c>
      <c r="Q6320" t="s">
        <v>4971</v>
      </c>
      <c r="R6320" t="s">
        <v>849</v>
      </c>
      <c r="S6320" t="s">
        <v>850</v>
      </c>
    </row>
    <row r="6321" spans="1:19" x14ac:dyDescent="0.25">
      <c r="A6321" t="s">
        <v>30</v>
      </c>
      <c r="B6321" t="s">
        <v>31</v>
      </c>
      <c r="C6321" t="s">
        <v>32</v>
      </c>
      <c r="D6321" t="s">
        <v>771</v>
      </c>
      <c r="E6321" t="s">
        <v>6631</v>
      </c>
      <c r="F6321" t="s">
        <v>35</v>
      </c>
      <c r="G6321" t="s">
        <v>35</v>
      </c>
      <c r="H6321" t="s">
        <v>35</v>
      </c>
      <c r="J6321" t="s">
        <v>8262</v>
      </c>
      <c r="K6321" t="s">
        <v>1092</v>
      </c>
      <c r="M6321">
        <v>5.49</v>
      </c>
      <c r="N6321">
        <v>8</v>
      </c>
      <c r="O6321" t="s">
        <v>46</v>
      </c>
      <c r="Q6321" t="s">
        <v>8225</v>
      </c>
      <c r="R6321" t="s">
        <v>436</v>
      </c>
      <c r="S6321" t="s">
        <v>437</v>
      </c>
    </row>
    <row r="6322" spans="1:19" x14ac:dyDescent="0.25">
      <c r="A6322" t="s">
        <v>30</v>
      </c>
      <c r="B6322" t="s">
        <v>31</v>
      </c>
      <c r="C6322" t="s">
        <v>32</v>
      </c>
      <c r="D6322" t="s">
        <v>771</v>
      </c>
      <c r="E6322" t="s">
        <v>6631</v>
      </c>
      <c r="F6322" t="s">
        <v>35</v>
      </c>
      <c r="G6322" t="s">
        <v>35</v>
      </c>
      <c r="H6322" t="s">
        <v>35</v>
      </c>
      <c r="J6322" t="s">
        <v>6635</v>
      </c>
      <c r="K6322" t="s">
        <v>1092</v>
      </c>
      <c r="M6322">
        <v>0.58499999999999996</v>
      </c>
      <c r="N6322">
        <v>119</v>
      </c>
      <c r="O6322" t="s">
        <v>106</v>
      </c>
      <c r="Q6322" t="s">
        <v>3465</v>
      </c>
      <c r="R6322" t="s">
        <v>919</v>
      </c>
      <c r="S6322" t="s">
        <v>784</v>
      </c>
    </row>
    <row r="6323" spans="1:19" x14ac:dyDescent="0.25">
      <c r="A6323" t="s">
        <v>30</v>
      </c>
      <c r="B6323" t="s">
        <v>31</v>
      </c>
      <c r="C6323" t="s">
        <v>32</v>
      </c>
      <c r="D6323" t="s">
        <v>771</v>
      </c>
      <c r="E6323" t="s">
        <v>6631</v>
      </c>
      <c r="F6323" t="s">
        <v>35</v>
      </c>
      <c r="G6323" t="s">
        <v>35</v>
      </c>
      <c r="H6323" t="s">
        <v>35</v>
      </c>
      <c r="J6323" t="s">
        <v>6636</v>
      </c>
      <c r="K6323" t="s">
        <v>1092</v>
      </c>
      <c r="M6323">
        <v>7.02</v>
      </c>
      <c r="N6323">
        <v>46</v>
      </c>
      <c r="O6323" t="s">
        <v>52</v>
      </c>
      <c r="Q6323" t="s">
        <v>493</v>
      </c>
      <c r="R6323" t="s">
        <v>934</v>
      </c>
      <c r="S6323" t="s">
        <v>935</v>
      </c>
    </row>
    <row r="6324" spans="1:19" x14ac:dyDescent="0.25">
      <c r="A6324" t="s">
        <v>59</v>
      </c>
      <c r="B6324" t="s">
        <v>31</v>
      </c>
      <c r="C6324" t="s">
        <v>32</v>
      </c>
      <c r="D6324" t="s">
        <v>771</v>
      </c>
      <c r="E6324" t="s">
        <v>6631</v>
      </c>
      <c r="F6324" t="s">
        <v>35</v>
      </c>
      <c r="G6324" t="s">
        <v>35</v>
      </c>
      <c r="H6324" t="s">
        <v>35</v>
      </c>
      <c r="J6324" t="s">
        <v>6636</v>
      </c>
      <c r="K6324" t="s">
        <v>1092</v>
      </c>
      <c r="M6324">
        <v>9.99</v>
      </c>
      <c r="N6324">
        <v>90</v>
      </c>
      <c r="O6324" t="s">
        <v>61</v>
      </c>
      <c r="Q6324" t="s">
        <v>897</v>
      </c>
      <c r="R6324" t="s">
        <v>919</v>
      </c>
      <c r="S6324" t="s">
        <v>784</v>
      </c>
    </row>
    <row r="6325" spans="1:19" x14ac:dyDescent="0.25">
      <c r="A6325" t="s">
        <v>59</v>
      </c>
      <c r="B6325" t="s">
        <v>31</v>
      </c>
      <c r="C6325" t="s">
        <v>32</v>
      </c>
      <c r="D6325" t="s">
        <v>771</v>
      </c>
      <c r="F6325" t="s">
        <v>35</v>
      </c>
      <c r="G6325" t="s">
        <v>35</v>
      </c>
      <c r="H6325" t="s">
        <v>35</v>
      </c>
      <c r="J6325" t="s">
        <v>6637</v>
      </c>
      <c r="K6325" t="s">
        <v>285</v>
      </c>
      <c r="M6325">
        <v>2.16</v>
      </c>
      <c r="N6325">
        <v>45</v>
      </c>
      <c r="O6325" t="s">
        <v>52</v>
      </c>
      <c r="Q6325" t="s">
        <v>716</v>
      </c>
      <c r="R6325" t="s">
        <v>844</v>
      </c>
      <c r="S6325" t="s">
        <v>806</v>
      </c>
    </row>
    <row r="6326" spans="1:19" x14ac:dyDescent="0.25">
      <c r="A6326" t="s">
        <v>44</v>
      </c>
      <c r="B6326" t="s">
        <v>51</v>
      </c>
      <c r="C6326" t="s">
        <v>32</v>
      </c>
      <c r="D6326" t="s">
        <v>771</v>
      </c>
      <c r="F6326" t="s">
        <v>35</v>
      </c>
      <c r="G6326" t="s">
        <v>35</v>
      </c>
      <c r="H6326" t="s">
        <v>35</v>
      </c>
      <c r="J6326" t="s">
        <v>6637</v>
      </c>
      <c r="K6326" t="s">
        <v>285</v>
      </c>
      <c r="M6326">
        <v>0.5</v>
      </c>
      <c r="N6326">
        <v>60</v>
      </c>
      <c r="O6326" t="s">
        <v>52</v>
      </c>
      <c r="Q6326" t="s">
        <v>1734</v>
      </c>
      <c r="R6326" t="s">
        <v>844</v>
      </c>
      <c r="S6326" t="s">
        <v>806</v>
      </c>
    </row>
    <row r="6327" spans="1:19" x14ac:dyDescent="0.25">
      <c r="A6327" t="s">
        <v>59</v>
      </c>
      <c r="B6327" t="s">
        <v>31</v>
      </c>
      <c r="C6327" t="s">
        <v>32</v>
      </c>
      <c r="D6327" t="s">
        <v>771</v>
      </c>
      <c r="F6327" t="s">
        <v>35</v>
      </c>
      <c r="G6327" t="s">
        <v>35</v>
      </c>
      <c r="H6327" t="s">
        <v>35</v>
      </c>
      <c r="J6327" t="s">
        <v>6637</v>
      </c>
      <c r="K6327" t="s">
        <v>285</v>
      </c>
      <c r="M6327">
        <v>2.0249999999999999</v>
      </c>
      <c r="N6327">
        <v>37</v>
      </c>
      <c r="O6327" t="s">
        <v>52</v>
      </c>
      <c r="Q6327" t="s">
        <v>3499</v>
      </c>
      <c r="R6327" t="s">
        <v>6033</v>
      </c>
      <c r="S6327" t="s">
        <v>6034</v>
      </c>
    </row>
    <row r="6328" spans="1:19" x14ac:dyDescent="0.25">
      <c r="A6328" t="s">
        <v>59</v>
      </c>
      <c r="B6328" t="s">
        <v>60</v>
      </c>
      <c r="C6328" t="s">
        <v>32</v>
      </c>
      <c r="D6328" t="s">
        <v>771</v>
      </c>
      <c r="F6328" t="s">
        <v>35</v>
      </c>
      <c r="G6328" t="s">
        <v>35</v>
      </c>
      <c r="H6328" t="s">
        <v>35</v>
      </c>
      <c r="J6328" t="s">
        <v>6637</v>
      </c>
      <c r="K6328" t="s">
        <v>285</v>
      </c>
      <c r="M6328">
        <v>2.75</v>
      </c>
      <c r="N6328">
        <v>45</v>
      </c>
      <c r="O6328" t="s">
        <v>52</v>
      </c>
      <c r="Q6328" t="s">
        <v>716</v>
      </c>
      <c r="R6328" t="s">
        <v>844</v>
      </c>
      <c r="S6328" t="s">
        <v>806</v>
      </c>
    </row>
    <row r="6329" spans="1:19" x14ac:dyDescent="0.25">
      <c r="A6329" t="s">
        <v>30</v>
      </c>
      <c r="B6329" t="s">
        <v>31</v>
      </c>
      <c r="C6329" t="s">
        <v>32</v>
      </c>
      <c r="D6329" t="s">
        <v>771</v>
      </c>
      <c r="F6329" t="s">
        <v>35</v>
      </c>
      <c r="G6329" t="s">
        <v>35</v>
      </c>
      <c r="H6329" t="s">
        <v>35</v>
      </c>
      <c r="J6329" t="s">
        <v>6638</v>
      </c>
      <c r="K6329" t="s">
        <v>1092</v>
      </c>
      <c r="M6329">
        <v>0.02</v>
      </c>
      <c r="N6329">
        <v>2417</v>
      </c>
      <c r="O6329" t="s">
        <v>575</v>
      </c>
      <c r="Q6329" t="s">
        <v>2908</v>
      </c>
      <c r="R6329" t="s">
        <v>844</v>
      </c>
      <c r="S6329" t="s">
        <v>806</v>
      </c>
    </row>
    <row r="6330" spans="1:19" x14ac:dyDescent="0.25">
      <c r="A6330" t="s">
        <v>59</v>
      </c>
      <c r="B6330" t="s">
        <v>60</v>
      </c>
      <c r="C6330" t="s">
        <v>32</v>
      </c>
      <c r="D6330" t="s">
        <v>771</v>
      </c>
      <c r="F6330" t="s">
        <v>35</v>
      </c>
      <c r="G6330" t="s">
        <v>35</v>
      </c>
      <c r="H6330" t="s">
        <v>35</v>
      </c>
      <c r="J6330" t="s">
        <v>6639</v>
      </c>
      <c r="K6330" t="s">
        <v>1092</v>
      </c>
      <c r="M6330">
        <v>2.5000000000000001E-2</v>
      </c>
      <c r="N6330">
        <v>2673</v>
      </c>
      <c r="O6330" t="s">
        <v>575</v>
      </c>
      <c r="Q6330" t="s">
        <v>1486</v>
      </c>
      <c r="R6330" t="s">
        <v>1487</v>
      </c>
      <c r="S6330" t="s">
        <v>1488</v>
      </c>
    </row>
    <row r="6331" spans="1:19" x14ac:dyDescent="0.25">
      <c r="A6331" t="s">
        <v>30</v>
      </c>
      <c r="B6331" t="s">
        <v>31</v>
      </c>
      <c r="C6331" t="s">
        <v>32</v>
      </c>
      <c r="D6331" t="s">
        <v>771</v>
      </c>
      <c r="F6331" t="s">
        <v>35</v>
      </c>
      <c r="G6331" t="s">
        <v>35</v>
      </c>
      <c r="H6331" t="s">
        <v>35</v>
      </c>
      <c r="J6331" t="s">
        <v>6639</v>
      </c>
      <c r="K6331" t="s">
        <v>1092</v>
      </c>
      <c r="M6331">
        <v>0.214</v>
      </c>
      <c r="N6331">
        <v>2490</v>
      </c>
      <c r="O6331" t="s">
        <v>575</v>
      </c>
      <c r="Q6331" t="s">
        <v>2955</v>
      </c>
      <c r="R6331" t="s">
        <v>6029</v>
      </c>
      <c r="S6331" t="s">
        <v>6030</v>
      </c>
    </row>
    <row r="6332" spans="1:19" x14ac:dyDescent="0.25">
      <c r="A6332" t="s">
        <v>30</v>
      </c>
      <c r="B6332" t="s">
        <v>31</v>
      </c>
      <c r="C6332" t="s">
        <v>32</v>
      </c>
      <c r="D6332" t="s">
        <v>771</v>
      </c>
      <c r="F6332" t="s">
        <v>35</v>
      </c>
      <c r="G6332" t="s">
        <v>35</v>
      </c>
      <c r="H6332" t="s">
        <v>35</v>
      </c>
      <c r="J6332" t="s">
        <v>6640</v>
      </c>
      <c r="K6332" t="s">
        <v>1092</v>
      </c>
      <c r="M6332">
        <v>0.315</v>
      </c>
      <c r="N6332">
        <v>119</v>
      </c>
      <c r="O6332" t="s">
        <v>106</v>
      </c>
      <c r="Q6332" t="s">
        <v>3465</v>
      </c>
      <c r="R6332" t="s">
        <v>934</v>
      </c>
      <c r="S6332" t="s">
        <v>935</v>
      </c>
    </row>
    <row r="6333" spans="1:19" x14ac:dyDescent="0.25">
      <c r="A6333" t="s">
        <v>44</v>
      </c>
      <c r="B6333" t="s">
        <v>51</v>
      </c>
      <c r="C6333" t="s">
        <v>32</v>
      </c>
      <c r="D6333" t="s">
        <v>771</v>
      </c>
      <c r="F6333" t="s">
        <v>35</v>
      </c>
      <c r="G6333" t="s">
        <v>35</v>
      </c>
      <c r="H6333" t="s">
        <v>35</v>
      </c>
      <c r="J6333" t="s">
        <v>6640</v>
      </c>
      <c r="K6333" t="s">
        <v>1092</v>
      </c>
      <c r="M6333">
        <v>4.4000000000000004</v>
      </c>
      <c r="N6333">
        <v>75</v>
      </c>
      <c r="O6333" t="s">
        <v>61</v>
      </c>
      <c r="Q6333" t="s">
        <v>805</v>
      </c>
      <c r="R6333" t="s">
        <v>844</v>
      </c>
      <c r="S6333" t="s">
        <v>806</v>
      </c>
    </row>
    <row r="6334" spans="1:19" x14ac:dyDescent="0.25">
      <c r="A6334" t="s">
        <v>59</v>
      </c>
      <c r="B6334" t="s">
        <v>31</v>
      </c>
      <c r="C6334" t="s">
        <v>32</v>
      </c>
      <c r="D6334" t="s">
        <v>771</v>
      </c>
      <c r="F6334" t="s">
        <v>35</v>
      </c>
      <c r="G6334" t="s">
        <v>35</v>
      </c>
      <c r="H6334" t="s">
        <v>35</v>
      </c>
      <c r="J6334" t="s">
        <v>6641</v>
      </c>
      <c r="K6334" t="s">
        <v>1092</v>
      </c>
      <c r="M6334">
        <v>0.45</v>
      </c>
      <c r="N6334">
        <v>2673</v>
      </c>
      <c r="O6334" t="s">
        <v>575</v>
      </c>
      <c r="Q6334" t="s">
        <v>1486</v>
      </c>
      <c r="R6334" t="s">
        <v>1487</v>
      </c>
      <c r="S6334" t="s">
        <v>1488</v>
      </c>
    </row>
    <row r="6335" spans="1:19" x14ac:dyDescent="0.25">
      <c r="A6335" t="s">
        <v>59</v>
      </c>
      <c r="B6335" t="s">
        <v>60</v>
      </c>
      <c r="C6335" t="s">
        <v>32</v>
      </c>
      <c r="D6335" t="s">
        <v>771</v>
      </c>
      <c r="F6335" t="s">
        <v>35</v>
      </c>
      <c r="G6335" t="s">
        <v>35</v>
      </c>
      <c r="H6335" t="s">
        <v>35</v>
      </c>
      <c r="J6335" t="s">
        <v>6641</v>
      </c>
      <c r="K6335" t="s">
        <v>1092</v>
      </c>
      <c r="M6335">
        <v>0.3</v>
      </c>
      <c r="N6335">
        <v>2673</v>
      </c>
      <c r="O6335" t="s">
        <v>575</v>
      </c>
      <c r="Q6335" t="s">
        <v>1486</v>
      </c>
      <c r="R6335" t="s">
        <v>1487</v>
      </c>
      <c r="S6335" t="s">
        <v>1488</v>
      </c>
    </row>
    <row r="6336" spans="1:19" x14ac:dyDescent="0.25">
      <c r="A6336" t="s">
        <v>59</v>
      </c>
      <c r="B6336" t="s">
        <v>60</v>
      </c>
      <c r="C6336" t="s">
        <v>32</v>
      </c>
      <c r="D6336" t="s">
        <v>771</v>
      </c>
      <c r="F6336" t="s">
        <v>35</v>
      </c>
      <c r="G6336" t="s">
        <v>35</v>
      </c>
      <c r="H6336" t="s">
        <v>35</v>
      </c>
      <c r="J6336" t="s">
        <v>6641</v>
      </c>
      <c r="K6336" t="s">
        <v>1092</v>
      </c>
      <c r="M6336">
        <v>0.25</v>
      </c>
      <c r="N6336">
        <v>2673</v>
      </c>
      <c r="O6336" t="s">
        <v>575</v>
      </c>
      <c r="Q6336" t="s">
        <v>1486</v>
      </c>
      <c r="R6336" t="s">
        <v>6029</v>
      </c>
      <c r="S6336" t="s">
        <v>6030</v>
      </c>
    </row>
    <row r="6337" spans="1:19" x14ac:dyDescent="0.25">
      <c r="A6337" t="s">
        <v>59</v>
      </c>
      <c r="B6337" t="s">
        <v>60</v>
      </c>
      <c r="C6337" t="s">
        <v>32</v>
      </c>
      <c r="D6337" t="s">
        <v>771</v>
      </c>
      <c r="F6337" t="s">
        <v>35</v>
      </c>
      <c r="G6337" t="s">
        <v>35</v>
      </c>
      <c r="H6337" t="s">
        <v>35</v>
      </c>
      <c r="J6337" t="s">
        <v>6641</v>
      </c>
      <c r="K6337" t="s">
        <v>1092</v>
      </c>
      <c r="M6337">
        <v>0.5</v>
      </c>
      <c r="N6337">
        <v>2581</v>
      </c>
      <c r="O6337" t="s">
        <v>575</v>
      </c>
      <c r="Q6337" t="s">
        <v>6642</v>
      </c>
      <c r="R6337" t="s">
        <v>6029</v>
      </c>
      <c r="S6337" t="s">
        <v>6030</v>
      </c>
    </row>
    <row r="6338" spans="1:19" x14ac:dyDescent="0.25">
      <c r="A6338" t="s">
        <v>59</v>
      </c>
      <c r="B6338" t="s">
        <v>60</v>
      </c>
      <c r="C6338" t="s">
        <v>32</v>
      </c>
      <c r="D6338" t="s">
        <v>771</v>
      </c>
      <c r="F6338" t="s">
        <v>35</v>
      </c>
      <c r="G6338" t="s">
        <v>35</v>
      </c>
      <c r="H6338" t="s">
        <v>35</v>
      </c>
      <c r="J6338" t="s">
        <v>6643</v>
      </c>
      <c r="K6338" t="s">
        <v>1092</v>
      </c>
      <c r="M6338">
        <v>0.3</v>
      </c>
      <c r="N6338">
        <v>368</v>
      </c>
      <c r="O6338" t="s">
        <v>294</v>
      </c>
      <c r="Q6338" t="s">
        <v>6644</v>
      </c>
      <c r="R6338" t="s">
        <v>6050</v>
      </c>
      <c r="S6338" t="s">
        <v>872</v>
      </c>
    </row>
    <row r="6339" spans="1:19" x14ac:dyDescent="0.25">
      <c r="A6339" t="s">
        <v>59</v>
      </c>
      <c r="B6339" t="s">
        <v>60</v>
      </c>
      <c r="C6339" t="s">
        <v>32</v>
      </c>
      <c r="D6339" t="s">
        <v>771</v>
      </c>
      <c r="F6339" t="s">
        <v>35</v>
      </c>
      <c r="G6339" t="s">
        <v>35</v>
      </c>
      <c r="H6339" t="s">
        <v>35</v>
      </c>
      <c r="J6339" t="s">
        <v>6645</v>
      </c>
      <c r="K6339" t="s">
        <v>1092</v>
      </c>
      <c r="M6339">
        <v>2</v>
      </c>
      <c r="N6339">
        <v>1327</v>
      </c>
      <c r="O6339" t="s">
        <v>575</v>
      </c>
      <c r="Q6339" t="s">
        <v>6646</v>
      </c>
      <c r="R6339" t="s">
        <v>6551</v>
      </c>
      <c r="S6339" t="s">
        <v>6552</v>
      </c>
    </row>
    <row r="6340" spans="1:19" x14ac:dyDescent="0.25">
      <c r="A6340" t="s">
        <v>59</v>
      </c>
      <c r="B6340" t="s">
        <v>60</v>
      </c>
      <c r="C6340" t="s">
        <v>32</v>
      </c>
      <c r="D6340" t="s">
        <v>771</v>
      </c>
      <c r="F6340" t="s">
        <v>35</v>
      </c>
      <c r="G6340" t="s">
        <v>35</v>
      </c>
      <c r="H6340" t="s">
        <v>35</v>
      </c>
      <c r="J6340" t="s">
        <v>6645</v>
      </c>
      <c r="K6340" t="s">
        <v>1092</v>
      </c>
      <c r="M6340">
        <v>0.80900000000000005</v>
      </c>
      <c r="N6340">
        <v>1359</v>
      </c>
      <c r="O6340" t="s">
        <v>575</v>
      </c>
      <c r="Q6340" t="s">
        <v>6647</v>
      </c>
      <c r="R6340" t="s">
        <v>6551</v>
      </c>
      <c r="S6340" t="s">
        <v>6552</v>
      </c>
    </row>
    <row r="6341" spans="1:19" x14ac:dyDescent="0.25">
      <c r="A6341" t="s">
        <v>59</v>
      </c>
      <c r="B6341" t="s">
        <v>31</v>
      </c>
      <c r="C6341" t="s">
        <v>32</v>
      </c>
      <c r="D6341" t="s">
        <v>771</v>
      </c>
      <c r="F6341" t="s">
        <v>35</v>
      </c>
      <c r="G6341" t="s">
        <v>35</v>
      </c>
      <c r="H6341" t="s">
        <v>35</v>
      </c>
      <c r="J6341" t="s">
        <v>4256</v>
      </c>
      <c r="K6341" t="s">
        <v>1092</v>
      </c>
      <c r="M6341">
        <v>4.4999999999999998E-2</v>
      </c>
      <c r="N6341">
        <v>1246</v>
      </c>
      <c r="O6341" t="s">
        <v>575</v>
      </c>
      <c r="Q6341" t="s">
        <v>3026</v>
      </c>
      <c r="R6341" t="s">
        <v>6368</v>
      </c>
      <c r="S6341" t="s">
        <v>6369</v>
      </c>
    </row>
    <row r="6342" spans="1:19" x14ac:dyDescent="0.25">
      <c r="A6342" t="s">
        <v>30</v>
      </c>
      <c r="B6342" t="s">
        <v>31</v>
      </c>
      <c r="C6342" t="s">
        <v>32</v>
      </c>
      <c r="D6342" t="s">
        <v>771</v>
      </c>
      <c r="F6342" t="s">
        <v>35</v>
      </c>
      <c r="G6342" t="s">
        <v>35</v>
      </c>
      <c r="H6342" t="s">
        <v>35</v>
      </c>
      <c r="J6342" t="s">
        <v>6648</v>
      </c>
      <c r="K6342" t="s">
        <v>1144</v>
      </c>
      <c r="M6342">
        <v>7.02</v>
      </c>
      <c r="N6342">
        <v>48</v>
      </c>
      <c r="O6342" t="s">
        <v>52</v>
      </c>
      <c r="Q6342" t="s">
        <v>496</v>
      </c>
      <c r="R6342" t="s">
        <v>919</v>
      </c>
      <c r="S6342" t="s">
        <v>784</v>
      </c>
    </row>
    <row r="6343" spans="1:19" x14ac:dyDescent="0.25">
      <c r="A6343" t="s">
        <v>30</v>
      </c>
      <c r="B6343" t="s">
        <v>31</v>
      </c>
      <c r="C6343" t="s">
        <v>32</v>
      </c>
      <c r="D6343" t="s">
        <v>771</v>
      </c>
      <c r="F6343" t="s">
        <v>35</v>
      </c>
      <c r="G6343" t="s">
        <v>35</v>
      </c>
      <c r="H6343" t="s">
        <v>35</v>
      </c>
      <c r="J6343" t="s">
        <v>6648</v>
      </c>
      <c r="K6343" t="s">
        <v>1144</v>
      </c>
      <c r="M6343">
        <v>9.99</v>
      </c>
      <c r="N6343">
        <v>47</v>
      </c>
      <c r="O6343" t="s">
        <v>52</v>
      </c>
      <c r="Q6343" t="s">
        <v>132</v>
      </c>
      <c r="R6343" t="s">
        <v>849</v>
      </c>
      <c r="S6343" t="s">
        <v>850</v>
      </c>
    </row>
    <row r="6344" spans="1:19" x14ac:dyDescent="0.25">
      <c r="A6344" t="s">
        <v>30</v>
      </c>
      <c r="B6344" t="s">
        <v>31</v>
      </c>
      <c r="C6344" t="s">
        <v>32</v>
      </c>
      <c r="D6344" t="s">
        <v>771</v>
      </c>
      <c r="F6344" t="s">
        <v>35</v>
      </c>
      <c r="G6344" t="s">
        <v>35</v>
      </c>
      <c r="H6344" t="s">
        <v>35</v>
      </c>
      <c r="J6344" t="s">
        <v>6649</v>
      </c>
      <c r="K6344" t="s">
        <v>1092</v>
      </c>
      <c r="M6344">
        <v>6.7949999999999999</v>
      </c>
      <c r="N6344">
        <v>48</v>
      </c>
      <c r="O6344" t="s">
        <v>52</v>
      </c>
      <c r="Q6344" t="s">
        <v>496</v>
      </c>
      <c r="R6344" t="s">
        <v>934</v>
      </c>
      <c r="S6344" t="s">
        <v>935</v>
      </c>
    </row>
    <row r="6345" spans="1:19" x14ac:dyDescent="0.25">
      <c r="A6345" t="s">
        <v>44</v>
      </c>
      <c r="B6345" t="s">
        <v>51</v>
      </c>
      <c r="C6345" t="s">
        <v>32</v>
      </c>
      <c r="D6345" t="s">
        <v>771</v>
      </c>
      <c r="F6345" t="s">
        <v>35</v>
      </c>
      <c r="G6345" t="s">
        <v>35</v>
      </c>
      <c r="H6345" t="s">
        <v>35</v>
      </c>
      <c r="J6345" t="s">
        <v>6649</v>
      </c>
      <c r="K6345" t="s">
        <v>1092</v>
      </c>
      <c r="M6345">
        <v>2.1</v>
      </c>
      <c r="N6345">
        <v>66</v>
      </c>
      <c r="O6345" t="s">
        <v>61</v>
      </c>
      <c r="Q6345" t="s">
        <v>203</v>
      </c>
      <c r="R6345" t="s">
        <v>934</v>
      </c>
      <c r="S6345" t="s">
        <v>935</v>
      </c>
    </row>
    <row r="6346" spans="1:19" x14ac:dyDescent="0.25">
      <c r="A6346" t="s">
        <v>30</v>
      </c>
      <c r="B6346" t="s">
        <v>31</v>
      </c>
      <c r="C6346" t="s">
        <v>32</v>
      </c>
      <c r="D6346" t="s">
        <v>771</v>
      </c>
      <c r="F6346" t="s">
        <v>35</v>
      </c>
      <c r="G6346" t="s">
        <v>35</v>
      </c>
      <c r="H6346" t="s">
        <v>35</v>
      </c>
      <c r="J6346" t="s">
        <v>6650</v>
      </c>
      <c r="K6346" t="s">
        <v>1092</v>
      </c>
      <c r="M6346">
        <v>4.0000000000000001E-3</v>
      </c>
      <c r="N6346">
        <v>2673</v>
      </c>
      <c r="O6346" t="s">
        <v>575</v>
      </c>
      <c r="Q6346" t="s">
        <v>1486</v>
      </c>
      <c r="R6346" t="s">
        <v>1487</v>
      </c>
      <c r="S6346" t="s">
        <v>1488</v>
      </c>
    </row>
    <row r="6347" spans="1:19" x14ac:dyDescent="0.25">
      <c r="A6347" t="s">
        <v>59</v>
      </c>
      <c r="B6347" t="s">
        <v>31</v>
      </c>
      <c r="C6347" t="s">
        <v>32</v>
      </c>
      <c r="D6347" t="s">
        <v>771</v>
      </c>
      <c r="F6347" t="s">
        <v>35</v>
      </c>
      <c r="G6347" t="s">
        <v>35</v>
      </c>
      <c r="H6347" t="s">
        <v>35</v>
      </c>
      <c r="J6347" t="s">
        <v>2541</v>
      </c>
      <c r="K6347" t="s">
        <v>1092</v>
      </c>
      <c r="M6347">
        <v>5.0000000000000001E-3</v>
      </c>
      <c r="N6347">
        <v>619</v>
      </c>
      <c r="O6347" t="s">
        <v>575</v>
      </c>
      <c r="Q6347" t="s">
        <v>6652</v>
      </c>
      <c r="R6347" t="s">
        <v>6653</v>
      </c>
      <c r="S6347" t="s">
        <v>2541</v>
      </c>
    </row>
    <row r="6348" spans="1:19" x14ac:dyDescent="0.25">
      <c r="A6348" t="s">
        <v>59</v>
      </c>
      <c r="B6348" t="s">
        <v>60</v>
      </c>
      <c r="C6348" t="s">
        <v>32</v>
      </c>
      <c r="D6348" t="s">
        <v>771</v>
      </c>
      <c r="F6348" t="s">
        <v>35</v>
      </c>
      <c r="G6348" t="s">
        <v>35</v>
      </c>
      <c r="H6348" t="s">
        <v>35</v>
      </c>
      <c r="J6348" t="s">
        <v>6654</v>
      </c>
      <c r="K6348" t="s">
        <v>1092</v>
      </c>
      <c r="M6348">
        <v>0.85</v>
      </c>
      <c r="N6348">
        <v>40</v>
      </c>
      <c r="O6348" t="s">
        <v>52</v>
      </c>
      <c r="Q6348" t="s">
        <v>130</v>
      </c>
      <c r="R6348" t="s">
        <v>6169</v>
      </c>
      <c r="S6348" t="s">
        <v>904</v>
      </c>
    </row>
    <row r="6349" spans="1:19" x14ac:dyDescent="0.25">
      <c r="A6349" t="s">
        <v>30</v>
      </c>
      <c r="B6349" t="s">
        <v>31</v>
      </c>
      <c r="C6349" t="s">
        <v>32</v>
      </c>
      <c r="D6349" t="s">
        <v>771</v>
      </c>
      <c r="F6349" t="s">
        <v>35</v>
      </c>
      <c r="G6349" t="s">
        <v>35</v>
      </c>
      <c r="H6349" t="s">
        <v>35</v>
      </c>
      <c r="J6349" t="s">
        <v>6655</v>
      </c>
      <c r="K6349" t="s">
        <v>1092</v>
      </c>
      <c r="M6349">
        <v>4.4999999999999998E-2</v>
      </c>
      <c r="N6349">
        <v>2555</v>
      </c>
      <c r="O6349" t="s">
        <v>575</v>
      </c>
      <c r="Q6349" t="s">
        <v>6656</v>
      </c>
      <c r="R6349" t="s">
        <v>6022</v>
      </c>
      <c r="S6349" t="s">
        <v>937</v>
      </c>
    </row>
    <row r="6350" spans="1:19" x14ac:dyDescent="0.25">
      <c r="A6350" t="s">
        <v>59</v>
      </c>
      <c r="B6350" t="s">
        <v>60</v>
      </c>
      <c r="C6350" t="s">
        <v>32</v>
      </c>
      <c r="D6350" t="s">
        <v>771</v>
      </c>
      <c r="F6350" t="s">
        <v>35</v>
      </c>
      <c r="G6350" t="s">
        <v>35</v>
      </c>
      <c r="H6350" t="s">
        <v>35</v>
      </c>
      <c r="J6350" t="s">
        <v>6655</v>
      </c>
      <c r="K6350" t="s">
        <v>1092</v>
      </c>
      <c r="M6350">
        <v>0.15</v>
      </c>
      <c r="N6350">
        <v>2555</v>
      </c>
      <c r="O6350" t="s">
        <v>575</v>
      </c>
      <c r="Q6350" t="s">
        <v>6656</v>
      </c>
      <c r="R6350" t="s">
        <v>6022</v>
      </c>
      <c r="S6350" t="s">
        <v>937</v>
      </c>
    </row>
    <row r="6351" spans="1:19" x14ac:dyDescent="0.25">
      <c r="A6351" t="s">
        <v>30</v>
      </c>
      <c r="B6351" t="s">
        <v>31</v>
      </c>
      <c r="C6351" t="s">
        <v>32</v>
      </c>
      <c r="D6351" t="s">
        <v>771</v>
      </c>
      <c r="F6351" t="s">
        <v>35</v>
      </c>
      <c r="G6351" t="s">
        <v>35</v>
      </c>
      <c r="H6351" t="s">
        <v>35</v>
      </c>
      <c r="J6351" t="s">
        <v>6657</v>
      </c>
      <c r="K6351" t="s">
        <v>1092</v>
      </c>
      <c r="M6351">
        <v>5.2649999999999997</v>
      </c>
      <c r="N6351">
        <v>2342</v>
      </c>
      <c r="O6351" t="s">
        <v>575</v>
      </c>
      <c r="Q6351" t="s">
        <v>6658</v>
      </c>
      <c r="R6351" t="s">
        <v>6659</v>
      </c>
      <c r="S6351" t="s">
        <v>6660</v>
      </c>
    </row>
    <row r="6352" spans="1:19" x14ac:dyDescent="0.25">
      <c r="A6352" t="s">
        <v>59</v>
      </c>
      <c r="B6352" t="s">
        <v>31</v>
      </c>
      <c r="C6352" t="s">
        <v>32</v>
      </c>
      <c r="D6352" t="s">
        <v>771</v>
      </c>
      <c r="F6352" t="s">
        <v>35</v>
      </c>
      <c r="G6352" t="s">
        <v>35</v>
      </c>
      <c r="H6352" t="s">
        <v>35</v>
      </c>
      <c r="J6352" t="s">
        <v>6657</v>
      </c>
      <c r="K6352" t="s">
        <v>1092</v>
      </c>
      <c r="M6352">
        <v>0.03</v>
      </c>
      <c r="N6352">
        <v>2673</v>
      </c>
      <c r="O6352" t="s">
        <v>575</v>
      </c>
      <c r="Q6352" t="s">
        <v>1486</v>
      </c>
      <c r="R6352" t="s">
        <v>1487</v>
      </c>
      <c r="S6352" t="s">
        <v>1488</v>
      </c>
    </row>
    <row r="6353" spans="1:19" x14ac:dyDescent="0.25">
      <c r="A6353" t="s">
        <v>30</v>
      </c>
      <c r="B6353" t="s">
        <v>31</v>
      </c>
      <c r="C6353" t="s">
        <v>32</v>
      </c>
      <c r="D6353" t="s">
        <v>771</v>
      </c>
      <c r="F6353" t="s">
        <v>35</v>
      </c>
      <c r="G6353" t="s">
        <v>35</v>
      </c>
      <c r="H6353" t="s">
        <v>35</v>
      </c>
      <c r="J6353" t="s">
        <v>6661</v>
      </c>
      <c r="K6353" t="s">
        <v>1092</v>
      </c>
      <c r="M6353">
        <v>2.0099999999999998</v>
      </c>
      <c r="N6353">
        <v>1885</v>
      </c>
      <c r="O6353" t="s">
        <v>575</v>
      </c>
      <c r="Q6353" t="s">
        <v>3033</v>
      </c>
      <c r="R6353" t="s">
        <v>6217</v>
      </c>
      <c r="S6353" t="s">
        <v>6218</v>
      </c>
    </row>
    <row r="6354" spans="1:19" x14ac:dyDescent="0.25">
      <c r="A6354" t="s">
        <v>30</v>
      </c>
      <c r="B6354" t="s">
        <v>31</v>
      </c>
      <c r="C6354" t="s">
        <v>32</v>
      </c>
      <c r="D6354" t="s">
        <v>771</v>
      </c>
      <c r="F6354" t="s">
        <v>35</v>
      </c>
      <c r="G6354" t="s">
        <v>35</v>
      </c>
      <c r="H6354" t="s">
        <v>35</v>
      </c>
      <c r="J6354" t="s">
        <v>6662</v>
      </c>
      <c r="K6354" t="s">
        <v>1092</v>
      </c>
      <c r="M6354">
        <v>0.51</v>
      </c>
      <c r="N6354">
        <v>1951</v>
      </c>
      <c r="O6354" t="s">
        <v>575</v>
      </c>
      <c r="Q6354" t="s">
        <v>3016</v>
      </c>
      <c r="R6354" t="s">
        <v>919</v>
      </c>
      <c r="S6354" t="s">
        <v>784</v>
      </c>
    </row>
    <row r="6355" spans="1:19" x14ac:dyDescent="0.25">
      <c r="A6355" t="s">
        <v>59</v>
      </c>
      <c r="B6355" t="s">
        <v>31</v>
      </c>
      <c r="C6355" t="s">
        <v>32</v>
      </c>
      <c r="D6355" t="s">
        <v>771</v>
      </c>
      <c r="F6355" t="s">
        <v>35</v>
      </c>
      <c r="G6355" t="s">
        <v>35</v>
      </c>
      <c r="H6355" t="s">
        <v>35</v>
      </c>
      <c r="J6355" t="s">
        <v>6662</v>
      </c>
      <c r="K6355" t="s">
        <v>1092</v>
      </c>
      <c r="M6355">
        <v>6.165</v>
      </c>
      <c r="N6355">
        <v>1274</v>
      </c>
      <c r="O6355" t="s">
        <v>575</v>
      </c>
      <c r="Q6355" t="s">
        <v>4886</v>
      </c>
      <c r="R6355" t="s">
        <v>6096</v>
      </c>
      <c r="S6355" t="s">
        <v>6097</v>
      </c>
    </row>
    <row r="6356" spans="1:19" x14ac:dyDescent="0.25">
      <c r="A6356" t="s">
        <v>30</v>
      </c>
      <c r="B6356" t="s">
        <v>31</v>
      </c>
      <c r="C6356" t="s">
        <v>32</v>
      </c>
      <c r="D6356" t="s">
        <v>771</v>
      </c>
      <c r="F6356" t="s">
        <v>35</v>
      </c>
      <c r="G6356" t="s">
        <v>35</v>
      </c>
      <c r="H6356" t="s">
        <v>35</v>
      </c>
      <c r="J6356" t="s">
        <v>6663</v>
      </c>
      <c r="K6356" t="s">
        <v>1092</v>
      </c>
      <c r="M6356">
        <v>7.02</v>
      </c>
      <c r="N6356">
        <v>1188</v>
      </c>
      <c r="O6356" t="s">
        <v>575</v>
      </c>
      <c r="Q6356" t="s">
        <v>4934</v>
      </c>
      <c r="R6356" t="s">
        <v>844</v>
      </c>
      <c r="S6356" t="s">
        <v>806</v>
      </c>
    </row>
    <row r="6357" spans="1:19" x14ac:dyDescent="0.25">
      <c r="A6357" t="s">
        <v>6664</v>
      </c>
      <c r="B6357" t="s">
        <v>6665</v>
      </c>
      <c r="C6357" t="s">
        <v>32</v>
      </c>
      <c r="D6357" t="s">
        <v>771</v>
      </c>
      <c r="F6357" t="s">
        <v>35</v>
      </c>
      <c r="G6357" t="s">
        <v>35</v>
      </c>
      <c r="H6357" t="s">
        <v>35</v>
      </c>
      <c r="J6357" t="s">
        <v>6666</v>
      </c>
      <c r="K6357" t="s">
        <v>1092</v>
      </c>
      <c r="M6357">
        <v>0.5</v>
      </c>
      <c r="N6357">
        <v>2286</v>
      </c>
      <c r="O6357" t="s">
        <v>575</v>
      </c>
      <c r="Q6357" t="s">
        <v>6667</v>
      </c>
      <c r="R6357" t="s">
        <v>6029</v>
      </c>
      <c r="S6357" t="s">
        <v>6030</v>
      </c>
    </row>
    <row r="6358" spans="1:19" x14ac:dyDescent="0.25">
      <c r="A6358" t="s">
        <v>30</v>
      </c>
      <c r="B6358" t="s">
        <v>31</v>
      </c>
      <c r="C6358" t="s">
        <v>32</v>
      </c>
      <c r="D6358" t="s">
        <v>771</v>
      </c>
      <c r="F6358" t="s">
        <v>35</v>
      </c>
      <c r="G6358" t="s">
        <v>35</v>
      </c>
      <c r="H6358" t="s">
        <v>35</v>
      </c>
      <c r="J6358" t="s">
        <v>6668</v>
      </c>
      <c r="K6358" t="s">
        <v>1092</v>
      </c>
      <c r="M6358">
        <v>6.93</v>
      </c>
      <c r="N6358">
        <v>2008</v>
      </c>
      <c r="O6358" t="s">
        <v>575</v>
      </c>
      <c r="Q6358" t="s">
        <v>6669</v>
      </c>
      <c r="R6358" t="s">
        <v>436</v>
      </c>
      <c r="S6358" t="s">
        <v>437</v>
      </c>
    </row>
    <row r="6359" spans="1:19" x14ac:dyDescent="0.25">
      <c r="A6359" t="s">
        <v>30</v>
      </c>
      <c r="B6359" t="s">
        <v>31</v>
      </c>
      <c r="C6359" t="s">
        <v>32</v>
      </c>
      <c r="D6359" t="s">
        <v>771</v>
      </c>
      <c r="F6359" t="s">
        <v>35</v>
      </c>
      <c r="G6359" t="s">
        <v>35</v>
      </c>
      <c r="H6359" t="s">
        <v>35</v>
      </c>
      <c r="J6359" t="s">
        <v>6670</v>
      </c>
      <c r="K6359" t="s">
        <v>1092</v>
      </c>
      <c r="M6359">
        <v>7.02</v>
      </c>
      <c r="N6359">
        <v>47</v>
      </c>
      <c r="O6359" t="s">
        <v>52</v>
      </c>
      <c r="Q6359" t="s">
        <v>132</v>
      </c>
      <c r="R6359" t="s">
        <v>6671</v>
      </c>
      <c r="S6359" t="s">
        <v>6672</v>
      </c>
    </row>
    <row r="6360" spans="1:19" x14ac:dyDescent="0.25">
      <c r="A6360" t="s">
        <v>30</v>
      </c>
      <c r="B6360" t="s">
        <v>31</v>
      </c>
      <c r="C6360" t="s">
        <v>32</v>
      </c>
      <c r="D6360" t="s">
        <v>771</v>
      </c>
      <c r="F6360" t="s">
        <v>35</v>
      </c>
      <c r="G6360" t="s">
        <v>35</v>
      </c>
      <c r="H6360" t="s">
        <v>35</v>
      </c>
      <c r="J6360" t="s">
        <v>6674</v>
      </c>
      <c r="K6360" t="s">
        <v>1092</v>
      </c>
      <c r="M6360">
        <v>0.01</v>
      </c>
      <c r="N6360">
        <v>1761</v>
      </c>
      <c r="O6360" t="s">
        <v>575</v>
      </c>
      <c r="Q6360" t="s">
        <v>6675</v>
      </c>
      <c r="R6360" t="s">
        <v>6318</v>
      </c>
      <c r="S6360" t="s">
        <v>800</v>
      </c>
    </row>
    <row r="6361" spans="1:19" x14ac:dyDescent="0.25">
      <c r="A6361" t="s">
        <v>59</v>
      </c>
      <c r="B6361" t="s">
        <v>31</v>
      </c>
      <c r="C6361" t="s">
        <v>32</v>
      </c>
      <c r="D6361" t="s">
        <v>771</v>
      </c>
      <c r="F6361" t="s">
        <v>35</v>
      </c>
      <c r="G6361" t="s">
        <v>35</v>
      </c>
      <c r="H6361" t="s">
        <v>35</v>
      </c>
      <c r="J6361" t="s">
        <v>2419</v>
      </c>
      <c r="K6361" t="s">
        <v>1092</v>
      </c>
      <c r="M6361">
        <v>0.45</v>
      </c>
      <c r="N6361">
        <v>2417</v>
      </c>
      <c r="O6361" t="s">
        <v>575</v>
      </c>
      <c r="Q6361" t="s">
        <v>2908</v>
      </c>
      <c r="R6361" t="s">
        <v>6022</v>
      </c>
      <c r="S6361" t="s">
        <v>937</v>
      </c>
    </row>
    <row r="6362" spans="1:19" x14ac:dyDescent="0.25">
      <c r="A6362" t="s">
        <v>30</v>
      </c>
      <c r="B6362" t="s">
        <v>31</v>
      </c>
      <c r="C6362" t="s">
        <v>32</v>
      </c>
      <c r="D6362" t="s">
        <v>771</v>
      </c>
      <c r="F6362" t="s">
        <v>35</v>
      </c>
      <c r="G6362" t="s">
        <v>35</v>
      </c>
      <c r="H6362" t="s">
        <v>35</v>
      </c>
      <c r="J6362" t="s">
        <v>6676</v>
      </c>
      <c r="K6362" t="s">
        <v>1092</v>
      </c>
      <c r="M6362">
        <v>1.575</v>
      </c>
      <c r="N6362">
        <v>2673</v>
      </c>
      <c r="O6362" t="s">
        <v>575</v>
      </c>
      <c r="Q6362" t="s">
        <v>1486</v>
      </c>
      <c r="R6362" t="s">
        <v>1487</v>
      </c>
      <c r="S6362" t="s">
        <v>1488</v>
      </c>
    </row>
    <row r="6363" spans="1:19" x14ac:dyDescent="0.25">
      <c r="A6363" t="s">
        <v>59</v>
      </c>
      <c r="B6363" t="s">
        <v>31</v>
      </c>
      <c r="C6363" t="s">
        <v>32</v>
      </c>
      <c r="D6363" t="s">
        <v>771</v>
      </c>
      <c r="F6363" t="s">
        <v>35</v>
      </c>
      <c r="G6363" t="s">
        <v>35</v>
      </c>
      <c r="H6363" t="s">
        <v>35</v>
      </c>
      <c r="J6363" t="s">
        <v>6677</v>
      </c>
      <c r="K6363" t="s">
        <v>1092</v>
      </c>
      <c r="M6363">
        <v>0.51500000000000001</v>
      </c>
      <c r="N6363">
        <v>1446</v>
      </c>
      <c r="O6363" t="s">
        <v>575</v>
      </c>
      <c r="Q6363" t="s">
        <v>6678</v>
      </c>
      <c r="R6363" t="s">
        <v>6551</v>
      </c>
      <c r="S6363" t="s">
        <v>6552</v>
      </c>
    </row>
    <row r="6364" spans="1:19" x14ac:dyDescent="0.25">
      <c r="A6364" t="s">
        <v>59</v>
      </c>
      <c r="B6364" t="s">
        <v>60</v>
      </c>
      <c r="C6364" t="s">
        <v>32</v>
      </c>
      <c r="D6364" t="s">
        <v>771</v>
      </c>
      <c r="F6364" t="s">
        <v>35</v>
      </c>
      <c r="G6364" t="s">
        <v>35</v>
      </c>
      <c r="H6364" t="s">
        <v>35</v>
      </c>
      <c r="J6364" t="s">
        <v>6677</v>
      </c>
      <c r="K6364" t="s">
        <v>1092</v>
      </c>
      <c r="M6364">
        <v>0.7</v>
      </c>
      <c r="N6364">
        <v>1446</v>
      </c>
      <c r="O6364" t="s">
        <v>575</v>
      </c>
      <c r="Q6364" t="s">
        <v>6678</v>
      </c>
      <c r="R6364" t="s">
        <v>6551</v>
      </c>
      <c r="S6364" t="s">
        <v>6552</v>
      </c>
    </row>
    <row r="6365" spans="1:19" x14ac:dyDescent="0.25">
      <c r="A6365" t="s">
        <v>30</v>
      </c>
      <c r="B6365" t="s">
        <v>31</v>
      </c>
      <c r="C6365" t="s">
        <v>32</v>
      </c>
      <c r="D6365" t="s">
        <v>771</v>
      </c>
      <c r="F6365" t="s">
        <v>35</v>
      </c>
      <c r="G6365" t="s">
        <v>35</v>
      </c>
      <c r="H6365" t="s">
        <v>35</v>
      </c>
      <c r="J6365" t="s">
        <v>6679</v>
      </c>
      <c r="K6365" t="s">
        <v>1092</v>
      </c>
      <c r="M6365">
        <v>0.22500000000000001</v>
      </c>
      <c r="N6365">
        <v>2291</v>
      </c>
      <c r="O6365" t="s">
        <v>575</v>
      </c>
      <c r="Q6365" t="s">
        <v>6680</v>
      </c>
      <c r="R6365" t="s">
        <v>849</v>
      </c>
      <c r="S6365" t="s">
        <v>850</v>
      </c>
    </row>
    <row r="6366" spans="1:19" x14ac:dyDescent="0.25">
      <c r="A6366" t="s">
        <v>59</v>
      </c>
      <c r="B6366" t="s">
        <v>60</v>
      </c>
      <c r="C6366" t="s">
        <v>32</v>
      </c>
      <c r="D6366" t="s">
        <v>771</v>
      </c>
      <c r="F6366" t="s">
        <v>35</v>
      </c>
      <c r="G6366" t="s">
        <v>35</v>
      </c>
      <c r="H6366" t="s">
        <v>35</v>
      </c>
      <c r="J6366" t="s">
        <v>6681</v>
      </c>
      <c r="K6366" t="s">
        <v>1092</v>
      </c>
      <c r="M6366">
        <v>0.25</v>
      </c>
      <c r="N6366">
        <v>2673</v>
      </c>
      <c r="O6366" t="s">
        <v>575</v>
      </c>
      <c r="Q6366" t="s">
        <v>1486</v>
      </c>
      <c r="R6366" t="s">
        <v>1487</v>
      </c>
      <c r="S6366" t="s">
        <v>1488</v>
      </c>
    </row>
    <row r="6367" spans="1:19" x14ac:dyDescent="0.25">
      <c r="A6367" t="s">
        <v>59</v>
      </c>
      <c r="B6367" t="s">
        <v>60</v>
      </c>
      <c r="C6367" t="s">
        <v>32</v>
      </c>
      <c r="D6367" t="s">
        <v>771</v>
      </c>
      <c r="F6367" t="s">
        <v>35</v>
      </c>
      <c r="G6367" t="s">
        <v>35</v>
      </c>
      <c r="H6367" t="s">
        <v>35</v>
      </c>
      <c r="J6367" t="s">
        <v>6682</v>
      </c>
      <c r="K6367" t="s">
        <v>1092</v>
      </c>
      <c r="M6367">
        <v>0.05</v>
      </c>
      <c r="N6367">
        <v>2673</v>
      </c>
      <c r="O6367" t="s">
        <v>575</v>
      </c>
      <c r="Q6367" t="s">
        <v>1486</v>
      </c>
      <c r="R6367" t="s">
        <v>1487</v>
      </c>
      <c r="S6367" t="s">
        <v>1488</v>
      </c>
    </row>
    <row r="6368" spans="1:19" x14ac:dyDescent="0.25">
      <c r="A6368" t="s">
        <v>30</v>
      </c>
      <c r="B6368" t="s">
        <v>31</v>
      </c>
      <c r="C6368" t="s">
        <v>32</v>
      </c>
      <c r="D6368" t="s">
        <v>771</v>
      </c>
      <c r="F6368" t="s">
        <v>35</v>
      </c>
      <c r="G6368" t="s">
        <v>35</v>
      </c>
      <c r="H6368" t="s">
        <v>35</v>
      </c>
      <c r="J6368" t="s">
        <v>6683</v>
      </c>
      <c r="K6368" t="s">
        <v>1092</v>
      </c>
      <c r="M6368">
        <v>0.72</v>
      </c>
      <c r="N6368">
        <v>1951</v>
      </c>
      <c r="O6368" t="s">
        <v>575</v>
      </c>
      <c r="Q6368" t="s">
        <v>3016</v>
      </c>
      <c r="R6368" t="s">
        <v>436</v>
      </c>
      <c r="S6368" t="s">
        <v>437</v>
      </c>
    </row>
    <row r="6369" spans="1:19" x14ac:dyDescent="0.25">
      <c r="A6369" t="s">
        <v>30</v>
      </c>
      <c r="B6369" t="s">
        <v>31</v>
      </c>
      <c r="C6369" t="s">
        <v>32</v>
      </c>
      <c r="D6369" t="s">
        <v>771</v>
      </c>
      <c r="F6369" t="s">
        <v>35</v>
      </c>
      <c r="G6369" t="s">
        <v>35</v>
      </c>
      <c r="H6369" t="s">
        <v>35</v>
      </c>
      <c r="J6369" t="s">
        <v>4661</v>
      </c>
      <c r="K6369" t="s">
        <v>1092</v>
      </c>
      <c r="M6369">
        <v>6.11</v>
      </c>
      <c r="N6369">
        <v>1344</v>
      </c>
      <c r="O6369" t="s">
        <v>575</v>
      </c>
      <c r="Q6369" t="s">
        <v>5475</v>
      </c>
      <c r="R6369" t="s">
        <v>6684</v>
      </c>
      <c r="S6369" t="s">
        <v>6685</v>
      </c>
    </row>
    <row r="6370" spans="1:19" x14ac:dyDescent="0.25">
      <c r="A6370" t="s">
        <v>59</v>
      </c>
      <c r="B6370" t="s">
        <v>60</v>
      </c>
      <c r="C6370" t="s">
        <v>32</v>
      </c>
      <c r="D6370" t="s">
        <v>771</v>
      </c>
      <c r="F6370" t="s">
        <v>35</v>
      </c>
      <c r="G6370" t="s">
        <v>35</v>
      </c>
      <c r="H6370" t="s">
        <v>35</v>
      </c>
      <c r="J6370" t="s">
        <v>6687</v>
      </c>
      <c r="K6370" t="s">
        <v>1092</v>
      </c>
      <c r="M6370">
        <v>1.4</v>
      </c>
      <c r="N6370">
        <v>2119</v>
      </c>
      <c r="O6370" t="s">
        <v>575</v>
      </c>
      <c r="Q6370" t="s">
        <v>6688</v>
      </c>
      <c r="R6370" t="s">
        <v>849</v>
      </c>
      <c r="S6370" t="s">
        <v>850</v>
      </c>
    </row>
    <row r="6371" spans="1:19" x14ac:dyDescent="0.25">
      <c r="A6371" t="s">
        <v>59</v>
      </c>
      <c r="B6371" t="s">
        <v>60</v>
      </c>
      <c r="C6371" t="s">
        <v>32</v>
      </c>
      <c r="D6371" t="s">
        <v>771</v>
      </c>
      <c r="F6371" t="s">
        <v>35</v>
      </c>
      <c r="G6371" t="s">
        <v>35</v>
      </c>
      <c r="H6371" t="s">
        <v>35</v>
      </c>
      <c r="J6371" t="s">
        <v>6689</v>
      </c>
      <c r="K6371" t="s">
        <v>1092</v>
      </c>
      <c r="M6371">
        <v>0.01</v>
      </c>
      <c r="N6371">
        <v>2586</v>
      </c>
      <c r="O6371" t="s">
        <v>575</v>
      </c>
      <c r="Q6371" t="s">
        <v>6690</v>
      </c>
      <c r="R6371" t="s">
        <v>934</v>
      </c>
      <c r="S6371" t="s">
        <v>935</v>
      </c>
    </row>
    <row r="6372" spans="1:19" x14ac:dyDescent="0.25">
      <c r="A6372" t="s">
        <v>59</v>
      </c>
      <c r="B6372" t="s">
        <v>60</v>
      </c>
      <c r="C6372" t="s">
        <v>32</v>
      </c>
      <c r="D6372" t="s">
        <v>771</v>
      </c>
      <c r="F6372" t="s">
        <v>35</v>
      </c>
      <c r="G6372" t="s">
        <v>35</v>
      </c>
      <c r="H6372" t="s">
        <v>35</v>
      </c>
      <c r="J6372" t="s">
        <v>6691</v>
      </c>
      <c r="K6372" t="s">
        <v>1092</v>
      </c>
      <c r="M6372">
        <v>0.2</v>
      </c>
      <c r="N6372">
        <v>1701</v>
      </c>
      <c r="O6372" t="s">
        <v>575</v>
      </c>
      <c r="Q6372" t="s">
        <v>2873</v>
      </c>
      <c r="R6372" t="s">
        <v>6242</v>
      </c>
      <c r="S6372" t="s">
        <v>846</v>
      </c>
    </row>
    <row r="6373" spans="1:19" x14ac:dyDescent="0.25">
      <c r="A6373" t="s">
        <v>59</v>
      </c>
      <c r="B6373" t="s">
        <v>31</v>
      </c>
      <c r="C6373" t="s">
        <v>32</v>
      </c>
      <c r="D6373" t="s">
        <v>771</v>
      </c>
      <c r="F6373" t="s">
        <v>35</v>
      </c>
      <c r="G6373" t="s">
        <v>35</v>
      </c>
      <c r="H6373" t="s">
        <v>35</v>
      </c>
      <c r="J6373" t="s">
        <v>3052</v>
      </c>
      <c r="K6373" t="s">
        <v>1092</v>
      </c>
      <c r="M6373">
        <v>0.04</v>
      </c>
      <c r="N6373">
        <v>2286</v>
      </c>
      <c r="O6373" t="s">
        <v>575</v>
      </c>
      <c r="Q6373" t="s">
        <v>6667</v>
      </c>
      <c r="R6373" t="s">
        <v>6119</v>
      </c>
      <c r="S6373" t="s">
        <v>6120</v>
      </c>
    </row>
    <row r="6374" spans="1:19" x14ac:dyDescent="0.25">
      <c r="A6374" t="s">
        <v>59</v>
      </c>
      <c r="B6374" t="s">
        <v>60</v>
      </c>
      <c r="C6374" t="s">
        <v>32</v>
      </c>
      <c r="D6374" t="s">
        <v>771</v>
      </c>
      <c r="F6374" t="s">
        <v>35</v>
      </c>
      <c r="G6374" t="s">
        <v>35</v>
      </c>
      <c r="H6374" t="s">
        <v>35</v>
      </c>
      <c r="J6374" t="s">
        <v>3052</v>
      </c>
      <c r="K6374" t="s">
        <v>1092</v>
      </c>
      <c r="M6374">
        <v>0.1</v>
      </c>
      <c r="N6374">
        <v>2286</v>
      </c>
      <c r="O6374" t="s">
        <v>575</v>
      </c>
      <c r="Q6374" t="s">
        <v>6667</v>
      </c>
      <c r="R6374" t="s">
        <v>6119</v>
      </c>
      <c r="S6374" t="s">
        <v>6120</v>
      </c>
    </row>
    <row r="6375" spans="1:19" x14ac:dyDescent="0.25">
      <c r="A6375" t="s">
        <v>59</v>
      </c>
      <c r="B6375" t="s">
        <v>60</v>
      </c>
      <c r="C6375" t="s">
        <v>32</v>
      </c>
      <c r="D6375" t="s">
        <v>771</v>
      </c>
      <c r="F6375" t="s">
        <v>35</v>
      </c>
      <c r="G6375" t="s">
        <v>35</v>
      </c>
      <c r="H6375" t="s">
        <v>35</v>
      </c>
      <c r="J6375" t="s">
        <v>628</v>
      </c>
      <c r="K6375" t="s">
        <v>1092</v>
      </c>
      <c r="M6375">
        <v>2.25</v>
      </c>
      <c r="N6375">
        <v>1403</v>
      </c>
      <c r="O6375" t="s">
        <v>575</v>
      </c>
      <c r="Q6375" t="s">
        <v>6692</v>
      </c>
      <c r="R6375" t="s">
        <v>6079</v>
      </c>
      <c r="S6375" t="s">
        <v>866</v>
      </c>
    </row>
    <row r="6376" spans="1:19" x14ac:dyDescent="0.25">
      <c r="A6376" t="s">
        <v>59</v>
      </c>
      <c r="B6376" t="s">
        <v>31</v>
      </c>
      <c r="C6376" t="s">
        <v>32</v>
      </c>
      <c r="D6376" t="s">
        <v>771</v>
      </c>
      <c r="F6376" t="s">
        <v>35</v>
      </c>
      <c r="G6376" t="s">
        <v>35</v>
      </c>
      <c r="H6376" t="s">
        <v>35</v>
      </c>
      <c r="J6376" t="s">
        <v>628</v>
      </c>
      <c r="K6376" t="s">
        <v>1092</v>
      </c>
      <c r="M6376">
        <v>6.12</v>
      </c>
      <c r="N6376">
        <v>1403</v>
      </c>
      <c r="O6376" t="s">
        <v>575</v>
      </c>
      <c r="Q6376" t="s">
        <v>6692</v>
      </c>
      <c r="R6376" t="s">
        <v>6079</v>
      </c>
      <c r="S6376" t="s">
        <v>866</v>
      </c>
    </row>
    <row r="6377" spans="1:19" x14ac:dyDescent="0.25">
      <c r="A6377" t="s">
        <v>59</v>
      </c>
      <c r="B6377" t="s">
        <v>31</v>
      </c>
      <c r="C6377" t="s">
        <v>32</v>
      </c>
      <c r="D6377" t="s">
        <v>771</v>
      </c>
      <c r="F6377" t="s">
        <v>35</v>
      </c>
      <c r="G6377" t="s">
        <v>35</v>
      </c>
      <c r="H6377" t="s">
        <v>35</v>
      </c>
      <c r="J6377" t="s">
        <v>6693</v>
      </c>
      <c r="K6377" t="s">
        <v>1092</v>
      </c>
      <c r="M6377">
        <v>9.5399999999999991</v>
      </c>
      <c r="N6377">
        <v>846</v>
      </c>
      <c r="O6377" t="s">
        <v>575</v>
      </c>
      <c r="Q6377" t="s">
        <v>6694</v>
      </c>
      <c r="R6377" t="s">
        <v>934</v>
      </c>
      <c r="S6377" t="s">
        <v>935</v>
      </c>
    </row>
    <row r="6378" spans="1:19" x14ac:dyDescent="0.25">
      <c r="A6378" t="s">
        <v>30</v>
      </c>
      <c r="B6378" t="s">
        <v>31</v>
      </c>
      <c r="C6378" t="s">
        <v>32</v>
      </c>
      <c r="D6378" t="s">
        <v>771</v>
      </c>
      <c r="F6378" t="s">
        <v>35</v>
      </c>
      <c r="G6378" t="s">
        <v>35</v>
      </c>
      <c r="H6378" t="s">
        <v>35</v>
      </c>
      <c r="J6378" t="s">
        <v>6695</v>
      </c>
      <c r="K6378" t="s">
        <v>1092</v>
      </c>
      <c r="M6378">
        <v>1.35</v>
      </c>
      <c r="N6378">
        <v>856</v>
      </c>
      <c r="O6378" t="s">
        <v>575</v>
      </c>
      <c r="Q6378" t="s">
        <v>5974</v>
      </c>
      <c r="R6378" t="s">
        <v>6260</v>
      </c>
      <c r="S6378" t="s">
        <v>930</v>
      </c>
    </row>
    <row r="6379" spans="1:19" x14ac:dyDescent="0.25">
      <c r="A6379" t="s">
        <v>30</v>
      </c>
      <c r="B6379" t="s">
        <v>31</v>
      </c>
      <c r="C6379" t="s">
        <v>32</v>
      </c>
      <c r="D6379" t="s">
        <v>771</v>
      </c>
      <c r="F6379" t="s">
        <v>35</v>
      </c>
      <c r="G6379" t="s">
        <v>35</v>
      </c>
      <c r="H6379" t="s">
        <v>35</v>
      </c>
      <c r="J6379" t="s">
        <v>6696</v>
      </c>
      <c r="K6379" t="s">
        <v>1092</v>
      </c>
      <c r="M6379">
        <v>7.02</v>
      </c>
      <c r="N6379">
        <v>46</v>
      </c>
      <c r="O6379" t="s">
        <v>52</v>
      </c>
      <c r="Q6379" t="s">
        <v>493</v>
      </c>
      <c r="R6379" t="s">
        <v>934</v>
      </c>
      <c r="S6379" t="s">
        <v>935</v>
      </c>
    </row>
    <row r="6380" spans="1:19" x14ac:dyDescent="0.25">
      <c r="A6380" t="s">
        <v>30</v>
      </c>
      <c r="B6380" t="s">
        <v>31</v>
      </c>
      <c r="C6380" t="s">
        <v>32</v>
      </c>
      <c r="D6380" t="s">
        <v>771</v>
      </c>
      <c r="F6380" t="s">
        <v>35</v>
      </c>
      <c r="G6380" t="s">
        <v>35</v>
      </c>
      <c r="H6380" t="s">
        <v>35</v>
      </c>
      <c r="J6380" t="s">
        <v>6697</v>
      </c>
      <c r="K6380" t="s">
        <v>1092</v>
      </c>
      <c r="M6380">
        <v>3.96</v>
      </c>
      <c r="N6380">
        <v>45</v>
      </c>
      <c r="O6380" t="s">
        <v>52</v>
      </c>
      <c r="Q6380" t="s">
        <v>716</v>
      </c>
      <c r="R6380" t="s">
        <v>844</v>
      </c>
      <c r="S6380" t="s">
        <v>806</v>
      </c>
    </row>
    <row r="6381" spans="1:19" x14ac:dyDescent="0.25">
      <c r="A6381" t="s">
        <v>30</v>
      </c>
      <c r="B6381" t="s">
        <v>31</v>
      </c>
      <c r="C6381" t="s">
        <v>32</v>
      </c>
      <c r="D6381" t="s">
        <v>771</v>
      </c>
      <c r="F6381" t="s">
        <v>35</v>
      </c>
      <c r="G6381" t="s">
        <v>35</v>
      </c>
      <c r="H6381" t="s">
        <v>35</v>
      </c>
      <c r="J6381" t="s">
        <v>6698</v>
      </c>
      <c r="K6381" t="s">
        <v>1092</v>
      </c>
      <c r="M6381">
        <v>0.09</v>
      </c>
      <c r="N6381">
        <v>33</v>
      </c>
      <c r="O6381" t="s">
        <v>52</v>
      </c>
      <c r="Q6381" t="s">
        <v>137</v>
      </c>
      <c r="R6381" t="s">
        <v>6340</v>
      </c>
      <c r="S6381" t="s">
        <v>884</v>
      </c>
    </row>
    <row r="6382" spans="1:19" x14ac:dyDescent="0.25">
      <c r="A6382" t="s">
        <v>30</v>
      </c>
      <c r="B6382" t="s">
        <v>31</v>
      </c>
      <c r="C6382" t="s">
        <v>32</v>
      </c>
      <c r="D6382" t="s">
        <v>771</v>
      </c>
      <c r="F6382" t="s">
        <v>35</v>
      </c>
      <c r="G6382" t="s">
        <v>35</v>
      </c>
      <c r="H6382" t="s">
        <v>35</v>
      </c>
      <c r="J6382" t="s">
        <v>3127</v>
      </c>
      <c r="K6382" t="s">
        <v>1092</v>
      </c>
      <c r="M6382">
        <v>6.6150000000000002</v>
      </c>
      <c r="N6382">
        <v>42</v>
      </c>
      <c r="O6382" t="s">
        <v>52</v>
      </c>
      <c r="Q6382" t="s">
        <v>991</v>
      </c>
      <c r="R6382" t="s">
        <v>6318</v>
      </c>
      <c r="S6382" t="s">
        <v>800</v>
      </c>
    </row>
    <row r="6383" spans="1:19" x14ac:dyDescent="0.25">
      <c r="A6383" t="s">
        <v>30</v>
      </c>
      <c r="B6383" t="s">
        <v>31</v>
      </c>
      <c r="C6383" t="s">
        <v>32</v>
      </c>
      <c r="D6383" t="s">
        <v>771</v>
      </c>
      <c r="F6383" t="s">
        <v>35</v>
      </c>
      <c r="G6383" t="s">
        <v>35</v>
      </c>
      <c r="H6383" t="s">
        <v>35</v>
      </c>
      <c r="J6383" t="s">
        <v>6699</v>
      </c>
      <c r="K6383" t="s">
        <v>1092</v>
      </c>
      <c r="M6383">
        <v>1.89</v>
      </c>
      <c r="N6383">
        <v>46</v>
      </c>
      <c r="O6383" t="s">
        <v>52</v>
      </c>
      <c r="Q6383" t="s">
        <v>493</v>
      </c>
      <c r="R6383" t="s">
        <v>6020</v>
      </c>
      <c r="S6383" t="s">
        <v>921</v>
      </c>
    </row>
    <row r="6384" spans="1:19" x14ac:dyDescent="0.25">
      <c r="A6384" t="s">
        <v>30</v>
      </c>
      <c r="B6384" t="s">
        <v>31</v>
      </c>
      <c r="C6384" t="s">
        <v>32</v>
      </c>
      <c r="D6384" t="s">
        <v>771</v>
      </c>
      <c r="F6384" t="s">
        <v>35</v>
      </c>
      <c r="G6384" t="s">
        <v>35</v>
      </c>
      <c r="H6384" t="s">
        <v>35</v>
      </c>
      <c r="J6384" t="s">
        <v>6700</v>
      </c>
      <c r="K6384" t="s">
        <v>1092</v>
      </c>
      <c r="M6384">
        <v>0.45</v>
      </c>
      <c r="N6384">
        <v>46</v>
      </c>
      <c r="O6384" t="s">
        <v>52</v>
      </c>
      <c r="Q6384" t="s">
        <v>493</v>
      </c>
      <c r="R6384" t="s">
        <v>6020</v>
      </c>
      <c r="S6384" t="s">
        <v>921</v>
      </c>
    </row>
    <row r="6385" spans="1:19" x14ac:dyDescent="0.25">
      <c r="A6385" t="s">
        <v>30</v>
      </c>
      <c r="B6385" t="s">
        <v>31</v>
      </c>
      <c r="C6385" t="s">
        <v>32</v>
      </c>
      <c r="D6385" t="s">
        <v>771</v>
      </c>
      <c r="F6385" t="s">
        <v>35</v>
      </c>
      <c r="G6385" t="s">
        <v>35</v>
      </c>
      <c r="H6385" t="s">
        <v>35</v>
      </c>
      <c r="J6385" t="s">
        <v>6701</v>
      </c>
      <c r="K6385" t="s">
        <v>1092</v>
      </c>
      <c r="M6385">
        <v>2.97</v>
      </c>
      <c r="N6385">
        <v>47</v>
      </c>
      <c r="O6385" t="s">
        <v>52</v>
      </c>
      <c r="Q6385" t="s">
        <v>132</v>
      </c>
      <c r="R6385" t="s">
        <v>934</v>
      </c>
      <c r="S6385" t="s">
        <v>935</v>
      </c>
    </row>
    <row r="6386" spans="1:19" x14ac:dyDescent="0.25">
      <c r="A6386" t="s">
        <v>30</v>
      </c>
      <c r="B6386" t="s">
        <v>31</v>
      </c>
      <c r="C6386" t="s">
        <v>32</v>
      </c>
      <c r="D6386" t="s">
        <v>771</v>
      </c>
      <c r="F6386" t="s">
        <v>35</v>
      </c>
      <c r="G6386" t="s">
        <v>35</v>
      </c>
      <c r="H6386" t="s">
        <v>35</v>
      </c>
      <c r="J6386" t="s">
        <v>6702</v>
      </c>
      <c r="K6386" t="s">
        <v>1092</v>
      </c>
      <c r="M6386">
        <v>0.53</v>
      </c>
      <c r="N6386">
        <v>44</v>
      </c>
      <c r="O6386" t="s">
        <v>52</v>
      </c>
      <c r="Q6386" t="s">
        <v>192</v>
      </c>
      <c r="R6386" t="s">
        <v>6160</v>
      </c>
      <c r="S6386" t="s">
        <v>837</v>
      </c>
    </row>
    <row r="6387" spans="1:19" x14ac:dyDescent="0.25">
      <c r="A6387" t="s">
        <v>30</v>
      </c>
      <c r="B6387" t="s">
        <v>31</v>
      </c>
      <c r="C6387" t="s">
        <v>32</v>
      </c>
      <c r="D6387" t="s">
        <v>771</v>
      </c>
      <c r="F6387" t="s">
        <v>35</v>
      </c>
      <c r="G6387" t="s">
        <v>35</v>
      </c>
      <c r="H6387" t="s">
        <v>35</v>
      </c>
      <c r="J6387" t="s">
        <v>6703</v>
      </c>
      <c r="K6387" t="s">
        <v>1092</v>
      </c>
      <c r="M6387">
        <v>7.02</v>
      </c>
      <c r="N6387">
        <v>40</v>
      </c>
      <c r="O6387" t="s">
        <v>52</v>
      </c>
      <c r="Q6387" t="s">
        <v>130</v>
      </c>
      <c r="R6387" t="s">
        <v>6318</v>
      </c>
      <c r="S6387" t="s">
        <v>800</v>
      </c>
    </row>
    <row r="6388" spans="1:19" x14ac:dyDescent="0.25">
      <c r="A6388" t="s">
        <v>30</v>
      </c>
      <c r="B6388" t="s">
        <v>31</v>
      </c>
      <c r="C6388" t="s">
        <v>32</v>
      </c>
      <c r="D6388" t="s">
        <v>771</v>
      </c>
      <c r="F6388" t="s">
        <v>35</v>
      </c>
      <c r="G6388" t="s">
        <v>35</v>
      </c>
      <c r="H6388" t="s">
        <v>35</v>
      </c>
      <c r="J6388" t="s">
        <v>6703</v>
      </c>
      <c r="K6388" t="s">
        <v>1092</v>
      </c>
      <c r="M6388">
        <v>7.02</v>
      </c>
      <c r="N6388">
        <v>9</v>
      </c>
      <c r="O6388" t="s">
        <v>46</v>
      </c>
      <c r="Q6388" t="s">
        <v>2009</v>
      </c>
      <c r="R6388" t="s">
        <v>6048</v>
      </c>
      <c r="S6388" t="s">
        <v>833</v>
      </c>
    </row>
    <row r="6389" spans="1:19" x14ac:dyDescent="0.25">
      <c r="A6389" t="s">
        <v>59</v>
      </c>
      <c r="B6389" t="s">
        <v>31</v>
      </c>
      <c r="C6389" t="s">
        <v>32</v>
      </c>
      <c r="D6389" t="s">
        <v>953</v>
      </c>
      <c r="E6389" t="s">
        <v>954</v>
      </c>
      <c r="F6389" t="s">
        <v>35</v>
      </c>
      <c r="G6389" t="s">
        <v>35</v>
      </c>
      <c r="H6389" t="s">
        <v>35</v>
      </c>
      <c r="J6389" t="s">
        <v>6704</v>
      </c>
      <c r="K6389" t="s">
        <v>285</v>
      </c>
      <c r="M6389">
        <v>4.8949999999999996</v>
      </c>
      <c r="N6389">
        <v>243</v>
      </c>
      <c r="O6389" t="s">
        <v>5</v>
      </c>
      <c r="Q6389" t="s">
        <v>1151</v>
      </c>
      <c r="R6389" t="s">
        <v>6705</v>
      </c>
      <c r="S6389" t="s">
        <v>981</v>
      </c>
    </row>
    <row r="6390" spans="1:19" x14ac:dyDescent="0.25">
      <c r="A6390" t="s">
        <v>59</v>
      </c>
      <c r="B6390" t="s">
        <v>31</v>
      </c>
      <c r="C6390" t="s">
        <v>32</v>
      </c>
      <c r="D6390" t="s">
        <v>953</v>
      </c>
      <c r="E6390" t="s">
        <v>954</v>
      </c>
      <c r="F6390" t="s">
        <v>35</v>
      </c>
      <c r="G6390" t="s">
        <v>35</v>
      </c>
      <c r="H6390" t="s">
        <v>35</v>
      </c>
      <c r="J6390" t="s">
        <v>6706</v>
      </c>
      <c r="K6390" t="s">
        <v>1092</v>
      </c>
      <c r="M6390">
        <v>1.8</v>
      </c>
      <c r="N6390">
        <v>49</v>
      </c>
      <c r="O6390" t="s">
        <v>52</v>
      </c>
      <c r="Q6390" t="s">
        <v>219</v>
      </c>
      <c r="R6390" t="s">
        <v>6707</v>
      </c>
      <c r="S6390" t="s">
        <v>955</v>
      </c>
    </row>
    <row r="6391" spans="1:19" x14ac:dyDescent="0.25">
      <c r="A6391" t="s">
        <v>30</v>
      </c>
      <c r="B6391" t="s">
        <v>31</v>
      </c>
      <c r="C6391" t="s">
        <v>32</v>
      </c>
      <c r="D6391" t="s">
        <v>953</v>
      </c>
      <c r="E6391" t="s">
        <v>954</v>
      </c>
      <c r="F6391" t="s">
        <v>35</v>
      </c>
      <c r="G6391" t="s">
        <v>35</v>
      </c>
      <c r="H6391" t="s">
        <v>35</v>
      </c>
      <c r="J6391" t="s">
        <v>6706</v>
      </c>
      <c r="K6391" t="s">
        <v>1092</v>
      </c>
      <c r="M6391">
        <v>4.8600000000000003</v>
      </c>
      <c r="N6391">
        <v>214</v>
      </c>
      <c r="O6391" t="s">
        <v>5</v>
      </c>
      <c r="Q6391" t="s">
        <v>537</v>
      </c>
      <c r="R6391" t="s">
        <v>6707</v>
      </c>
      <c r="S6391" t="s">
        <v>955</v>
      </c>
    </row>
    <row r="6392" spans="1:19" x14ac:dyDescent="0.25">
      <c r="A6392" t="s">
        <v>30</v>
      </c>
      <c r="B6392" t="s">
        <v>31</v>
      </c>
      <c r="C6392" t="s">
        <v>32</v>
      </c>
      <c r="D6392" t="s">
        <v>953</v>
      </c>
      <c r="E6392" t="s">
        <v>954</v>
      </c>
      <c r="F6392" t="s">
        <v>35</v>
      </c>
      <c r="G6392" t="s">
        <v>35</v>
      </c>
      <c r="H6392" t="s">
        <v>35</v>
      </c>
      <c r="J6392" t="s">
        <v>6706</v>
      </c>
      <c r="K6392" t="s">
        <v>1092</v>
      </c>
      <c r="M6392">
        <v>1.35</v>
      </c>
      <c r="N6392">
        <v>43</v>
      </c>
      <c r="O6392" t="s">
        <v>52</v>
      </c>
      <c r="Q6392" t="s">
        <v>892</v>
      </c>
      <c r="R6392" t="s">
        <v>6707</v>
      </c>
      <c r="S6392" t="s">
        <v>955</v>
      </c>
    </row>
    <row r="6393" spans="1:19" x14ac:dyDescent="0.25">
      <c r="A6393" t="s">
        <v>59</v>
      </c>
      <c r="B6393" t="s">
        <v>60</v>
      </c>
      <c r="C6393" t="s">
        <v>32</v>
      </c>
      <c r="D6393" t="s">
        <v>953</v>
      </c>
      <c r="E6393" t="s">
        <v>954</v>
      </c>
      <c r="F6393" t="s">
        <v>35</v>
      </c>
      <c r="G6393" t="s">
        <v>35</v>
      </c>
      <c r="H6393" t="s">
        <v>35</v>
      </c>
      <c r="J6393" t="s">
        <v>6706</v>
      </c>
      <c r="K6393" t="s">
        <v>1092</v>
      </c>
      <c r="M6393">
        <v>0.43</v>
      </c>
      <c r="N6393">
        <v>74</v>
      </c>
      <c r="O6393" t="s">
        <v>61</v>
      </c>
      <c r="Q6393" t="s">
        <v>488</v>
      </c>
      <c r="R6393" t="s">
        <v>6707</v>
      </c>
      <c r="S6393" t="s">
        <v>955</v>
      </c>
    </row>
    <row r="6394" spans="1:19" x14ac:dyDescent="0.25">
      <c r="A6394" t="s">
        <v>44</v>
      </c>
      <c r="B6394" t="s">
        <v>51</v>
      </c>
      <c r="C6394" t="s">
        <v>32</v>
      </c>
      <c r="D6394" t="s">
        <v>953</v>
      </c>
      <c r="E6394" t="s">
        <v>954</v>
      </c>
      <c r="F6394" t="s">
        <v>35</v>
      </c>
      <c r="G6394" t="s">
        <v>35</v>
      </c>
      <c r="H6394" t="s">
        <v>35</v>
      </c>
      <c r="J6394" t="s">
        <v>6706</v>
      </c>
      <c r="K6394" t="s">
        <v>1092</v>
      </c>
      <c r="M6394">
        <v>0.5</v>
      </c>
      <c r="N6394">
        <v>20</v>
      </c>
      <c r="O6394" t="s">
        <v>46</v>
      </c>
      <c r="Q6394" t="s">
        <v>1004</v>
      </c>
      <c r="R6394" t="s">
        <v>6707</v>
      </c>
      <c r="S6394" t="s">
        <v>955</v>
      </c>
    </row>
    <row r="6395" spans="1:19" x14ac:dyDescent="0.25">
      <c r="A6395" t="s">
        <v>30</v>
      </c>
      <c r="B6395" t="s">
        <v>31</v>
      </c>
      <c r="C6395" t="s">
        <v>32</v>
      </c>
      <c r="D6395" t="s">
        <v>953</v>
      </c>
      <c r="E6395" t="s">
        <v>954</v>
      </c>
      <c r="F6395" t="s">
        <v>35</v>
      </c>
      <c r="G6395" t="s">
        <v>35</v>
      </c>
      <c r="H6395" t="s">
        <v>35</v>
      </c>
      <c r="J6395" t="s">
        <v>6706</v>
      </c>
      <c r="K6395" t="s">
        <v>1092</v>
      </c>
      <c r="M6395">
        <v>9.99</v>
      </c>
      <c r="N6395">
        <v>20</v>
      </c>
      <c r="O6395" t="s">
        <v>46</v>
      </c>
      <c r="Q6395" t="s">
        <v>1004</v>
      </c>
      <c r="R6395" t="s">
        <v>6707</v>
      </c>
      <c r="S6395" t="s">
        <v>955</v>
      </c>
    </row>
    <row r="6396" spans="1:19" x14ac:dyDescent="0.25">
      <c r="A6396" t="s">
        <v>59</v>
      </c>
      <c r="B6396" t="s">
        <v>31</v>
      </c>
      <c r="C6396" t="s">
        <v>32</v>
      </c>
      <c r="D6396" t="s">
        <v>953</v>
      </c>
      <c r="E6396" t="s">
        <v>954</v>
      </c>
      <c r="F6396" t="s">
        <v>35</v>
      </c>
      <c r="G6396" t="s">
        <v>35</v>
      </c>
      <c r="H6396" t="s">
        <v>35</v>
      </c>
      <c r="J6396" t="s">
        <v>6706</v>
      </c>
      <c r="K6396" t="s">
        <v>1092</v>
      </c>
      <c r="M6396">
        <v>1.2150000000000001</v>
      </c>
      <c r="N6396">
        <v>62</v>
      </c>
      <c r="O6396" t="s">
        <v>61</v>
      </c>
      <c r="Q6396" t="s">
        <v>90</v>
      </c>
      <c r="R6396" t="s">
        <v>6707</v>
      </c>
      <c r="S6396" t="s">
        <v>955</v>
      </c>
    </row>
    <row r="6397" spans="1:19" x14ac:dyDescent="0.25">
      <c r="A6397" t="s">
        <v>59</v>
      </c>
      <c r="B6397" t="s">
        <v>60</v>
      </c>
      <c r="C6397" t="s">
        <v>32</v>
      </c>
      <c r="D6397" t="s">
        <v>953</v>
      </c>
      <c r="E6397" t="s">
        <v>954</v>
      </c>
      <c r="F6397" t="s">
        <v>35</v>
      </c>
      <c r="G6397" t="s">
        <v>35</v>
      </c>
      <c r="H6397" t="s">
        <v>35</v>
      </c>
      <c r="J6397" t="s">
        <v>6708</v>
      </c>
      <c r="K6397" t="s">
        <v>1092</v>
      </c>
      <c r="M6397">
        <v>0.2</v>
      </c>
      <c r="N6397">
        <v>60</v>
      </c>
      <c r="O6397" t="s">
        <v>52</v>
      </c>
      <c r="Q6397" t="s">
        <v>1734</v>
      </c>
      <c r="R6397" t="s">
        <v>6709</v>
      </c>
      <c r="S6397" t="s">
        <v>1022</v>
      </c>
    </row>
    <row r="6398" spans="1:19" x14ac:dyDescent="0.25">
      <c r="A6398" t="s">
        <v>44</v>
      </c>
      <c r="B6398" t="s">
        <v>3</v>
      </c>
      <c r="C6398" t="s">
        <v>32</v>
      </c>
      <c r="D6398" t="s">
        <v>953</v>
      </c>
      <c r="E6398" t="s">
        <v>954</v>
      </c>
      <c r="F6398" t="s">
        <v>35</v>
      </c>
      <c r="G6398" t="s">
        <v>35</v>
      </c>
      <c r="H6398" t="s">
        <v>35</v>
      </c>
      <c r="J6398" t="s">
        <v>6708</v>
      </c>
      <c r="K6398" t="s">
        <v>1092</v>
      </c>
      <c r="M6398">
        <v>5</v>
      </c>
      <c r="N6398">
        <v>28</v>
      </c>
      <c r="O6398" t="s">
        <v>46</v>
      </c>
      <c r="Q6398" t="s">
        <v>176</v>
      </c>
      <c r="R6398" t="s">
        <v>6709</v>
      </c>
      <c r="S6398" t="s">
        <v>1022</v>
      </c>
    </row>
    <row r="6399" spans="1:19" x14ac:dyDescent="0.25">
      <c r="A6399" t="s">
        <v>30</v>
      </c>
      <c r="B6399" t="s">
        <v>31</v>
      </c>
      <c r="C6399" t="s">
        <v>32</v>
      </c>
      <c r="D6399" t="s">
        <v>953</v>
      </c>
      <c r="E6399" t="s">
        <v>954</v>
      </c>
      <c r="F6399" t="s">
        <v>35</v>
      </c>
      <c r="G6399" t="s">
        <v>35</v>
      </c>
      <c r="H6399" t="s">
        <v>35</v>
      </c>
      <c r="J6399" t="s">
        <v>6708</v>
      </c>
      <c r="K6399" t="s">
        <v>1092</v>
      </c>
      <c r="M6399">
        <v>9.98</v>
      </c>
      <c r="N6399">
        <v>45</v>
      </c>
      <c r="O6399" t="s">
        <v>52</v>
      </c>
      <c r="Q6399" t="s">
        <v>716</v>
      </c>
      <c r="R6399" t="s">
        <v>6709</v>
      </c>
      <c r="S6399" t="s">
        <v>1022</v>
      </c>
    </row>
    <row r="6400" spans="1:19" x14ac:dyDescent="0.25">
      <c r="A6400" t="s">
        <v>44</v>
      </c>
      <c r="B6400" t="s">
        <v>3</v>
      </c>
      <c r="C6400" t="s">
        <v>32</v>
      </c>
      <c r="D6400" t="s">
        <v>953</v>
      </c>
      <c r="E6400" t="s">
        <v>954</v>
      </c>
      <c r="F6400" t="s">
        <v>35</v>
      </c>
      <c r="G6400" t="s">
        <v>35</v>
      </c>
      <c r="H6400" t="s">
        <v>35</v>
      </c>
      <c r="J6400" t="s">
        <v>6708</v>
      </c>
      <c r="K6400" t="s">
        <v>1092</v>
      </c>
      <c r="M6400">
        <v>3.2</v>
      </c>
      <c r="N6400">
        <v>62</v>
      </c>
      <c r="O6400" t="s">
        <v>61</v>
      </c>
      <c r="Q6400" t="s">
        <v>90</v>
      </c>
      <c r="R6400" t="s">
        <v>6709</v>
      </c>
      <c r="S6400" t="s">
        <v>1022</v>
      </c>
    </row>
    <row r="6401" spans="1:19" x14ac:dyDescent="0.25">
      <c r="A6401" t="s">
        <v>59</v>
      </c>
      <c r="B6401" t="s">
        <v>60</v>
      </c>
      <c r="C6401" t="s">
        <v>32</v>
      </c>
      <c r="D6401" t="s">
        <v>953</v>
      </c>
      <c r="E6401" t="s">
        <v>954</v>
      </c>
      <c r="F6401" t="s">
        <v>35</v>
      </c>
      <c r="G6401" t="s">
        <v>35</v>
      </c>
      <c r="H6401" t="s">
        <v>35</v>
      </c>
      <c r="J6401" t="s">
        <v>6710</v>
      </c>
      <c r="K6401" t="s">
        <v>1092</v>
      </c>
      <c r="M6401">
        <v>0.1</v>
      </c>
      <c r="N6401">
        <v>252</v>
      </c>
      <c r="O6401" t="s">
        <v>5</v>
      </c>
      <c r="Q6401" t="s">
        <v>1222</v>
      </c>
      <c r="R6401" t="s">
        <v>6709</v>
      </c>
      <c r="S6401" t="s">
        <v>1022</v>
      </c>
    </row>
    <row r="6402" spans="1:19" x14ac:dyDescent="0.25">
      <c r="A6402" t="s">
        <v>44</v>
      </c>
      <c r="B6402" t="s">
        <v>3</v>
      </c>
      <c r="C6402" t="s">
        <v>32</v>
      </c>
      <c r="D6402" t="s">
        <v>953</v>
      </c>
      <c r="E6402" t="s">
        <v>954</v>
      </c>
      <c r="F6402" t="s">
        <v>35</v>
      </c>
      <c r="G6402" t="s">
        <v>35</v>
      </c>
      <c r="H6402" t="s">
        <v>35</v>
      </c>
      <c r="J6402" t="s">
        <v>6710</v>
      </c>
      <c r="K6402" t="s">
        <v>1092</v>
      </c>
      <c r="M6402">
        <v>0.6</v>
      </c>
      <c r="N6402">
        <v>59</v>
      </c>
      <c r="O6402" t="s">
        <v>52</v>
      </c>
      <c r="Q6402" t="s">
        <v>84</v>
      </c>
      <c r="R6402" t="s">
        <v>6711</v>
      </c>
      <c r="S6402" t="s">
        <v>6712</v>
      </c>
    </row>
    <row r="6403" spans="1:19" x14ac:dyDescent="0.25">
      <c r="A6403" t="s">
        <v>44</v>
      </c>
      <c r="B6403" t="s">
        <v>51</v>
      </c>
      <c r="C6403" t="s">
        <v>32</v>
      </c>
      <c r="D6403" t="s">
        <v>953</v>
      </c>
      <c r="E6403" t="s">
        <v>954</v>
      </c>
      <c r="F6403" t="s">
        <v>35</v>
      </c>
      <c r="G6403" t="s">
        <v>35</v>
      </c>
      <c r="H6403" t="s">
        <v>35</v>
      </c>
      <c r="J6403" t="s">
        <v>6714</v>
      </c>
      <c r="K6403" t="s">
        <v>1092</v>
      </c>
      <c r="M6403">
        <v>0.5</v>
      </c>
      <c r="N6403">
        <v>20</v>
      </c>
      <c r="O6403" t="s">
        <v>46</v>
      </c>
      <c r="Q6403" t="s">
        <v>1004</v>
      </c>
      <c r="R6403" t="s">
        <v>6707</v>
      </c>
      <c r="S6403" t="s">
        <v>955</v>
      </c>
    </row>
    <row r="6404" spans="1:19" x14ac:dyDescent="0.25">
      <c r="A6404" t="s">
        <v>30</v>
      </c>
      <c r="B6404" t="s">
        <v>31</v>
      </c>
      <c r="C6404" t="s">
        <v>32</v>
      </c>
      <c r="D6404" t="s">
        <v>953</v>
      </c>
      <c r="E6404" t="s">
        <v>954</v>
      </c>
      <c r="F6404" t="s">
        <v>35</v>
      </c>
      <c r="G6404" t="s">
        <v>35</v>
      </c>
      <c r="H6404" t="s">
        <v>35</v>
      </c>
      <c r="J6404" t="s">
        <v>6714</v>
      </c>
      <c r="K6404" t="s">
        <v>1092</v>
      </c>
      <c r="M6404">
        <v>5.085</v>
      </c>
      <c r="N6404">
        <v>42</v>
      </c>
      <c r="O6404" t="s">
        <v>52</v>
      </c>
      <c r="Q6404" t="s">
        <v>991</v>
      </c>
      <c r="R6404" t="s">
        <v>133</v>
      </c>
      <c r="S6404" t="s">
        <v>134</v>
      </c>
    </row>
    <row r="6405" spans="1:19" x14ac:dyDescent="0.25">
      <c r="A6405" t="s">
        <v>59</v>
      </c>
      <c r="B6405" t="s">
        <v>60</v>
      </c>
      <c r="C6405" t="s">
        <v>32</v>
      </c>
      <c r="D6405" t="s">
        <v>953</v>
      </c>
      <c r="E6405" t="s">
        <v>954</v>
      </c>
      <c r="F6405" t="s">
        <v>35</v>
      </c>
      <c r="G6405" t="s">
        <v>35</v>
      </c>
      <c r="H6405" t="s">
        <v>35</v>
      </c>
      <c r="J6405" t="s">
        <v>6714</v>
      </c>
      <c r="K6405" t="s">
        <v>1092</v>
      </c>
      <c r="M6405">
        <v>0.05</v>
      </c>
      <c r="N6405">
        <v>59</v>
      </c>
      <c r="O6405" t="s">
        <v>52</v>
      </c>
      <c r="Q6405" t="s">
        <v>84</v>
      </c>
      <c r="R6405" t="s">
        <v>6707</v>
      </c>
      <c r="S6405" t="s">
        <v>955</v>
      </c>
    </row>
    <row r="6406" spans="1:19" x14ac:dyDescent="0.25">
      <c r="A6406" t="s">
        <v>59</v>
      </c>
      <c r="B6406" t="s">
        <v>60</v>
      </c>
      <c r="C6406" t="s">
        <v>32</v>
      </c>
      <c r="D6406" t="s">
        <v>953</v>
      </c>
      <c r="E6406" t="s">
        <v>954</v>
      </c>
      <c r="F6406" t="s">
        <v>35</v>
      </c>
      <c r="G6406" t="s">
        <v>35</v>
      </c>
      <c r="H6406" t="s">
        <v>35</v>
      </c>
      <c r="J6406" t="s">
        <v>6714</v>
      </c>
      <c r="K6406" t="s">
        <v>1092</v>
      </c>
      <c r="M6406">
        <v>0.5</v>
      </c>
      <c r="N6406">
        <v>49</v>
      </c>
      <c r="O6406" t="s">
        <v>52</v>
      </c>
      <c r="Q6406" t="s">
        <v>219</v>
      </c>
      <c r="R6406" t="s">
        <v>6707</v>
      </c>
      <c r="S6406" t="s">
        <v>955</v>
      </c>
    </row>
    <row r="6407" spans="1:19" x14ac:dyDescent="0.25">
      <c r="A6407" t="s">
        <v>30</v>
      </c>
      <c r="B6407" t="s">
        <v>31</v>
      </c>
      <c r="C6407" t="s">
        <v>32</v>
      </c>
      <c r="D6407" t="s">
        <v>953</v>
      </c>
      <c r="E6407" t="s">
        <v>954</v>
      </c>
      <c r="F6407" t="s">
        <v>35</v>
      </c>
      <c r="G6407" t="s">
        <v>35</v>
      </c>
      <c r="H6407" t="s">
        <v>35</v>
      </c>
      <c r="J6407" t="s">
        <v>6715</v>
      </c>
      <c r="K6407" t="s">
        <v>1092</v>
      </c>
      <c r="M6407">
        <v>3.2850000000000001</v>
      </c>
      <c r="N6407">
        <v>4</v>
      </c>
      <c r="O6407" t="s">
        <v>46</v>
      </c>
      <c r="Q6407" t="s">
        <v>8230</v>
      </c>
      <c r="R6407" t="s">
        <v>6705</v>
      </c>
      <c r="S6407" t="s">
        <v>981</v>
      </c>
    </row>
    <row r="6408" spans="1:19" x14ac:dyDescent="0.25">
      <c r="A6408" t="s">
        <v>59</v>
      </c>
      <c r="B6408" t="s">
        <v>60</v>
      </c>
      <c r="C6408" t="s">
        <v>32</v>
      </c>
      <c r="D6408" t="s">
        <v>953</v>
      </c>
      <c r="E6408" t="s">
        <v>954</v>
      </c>
      <c r="F6408" t="s">
        <v>35</v>
      </c>
      <c r="G6408" t="s">
        <v>35</v>
      </c>
      <c r="H6408" t="s">
        <v>35</v>
      </c>
      <c r="J6408" t="s">
        <v>6715</v>
      </c>
      <c r="K6408" t="s">
        <v>1092</v>
      </c>
      <c r="M6408">
        <v>0.65</v>
      </c>
      <c r="N6408">
        <v>88</v>
      </c>
      <c r="O6408" t="s">
        <v>61</v>
      </c>
      <c r="Q6408" t="s">
        <v>858</v>
      </c>
      <c r="R6408" t="s">
        <v>6716</v>
      </c>
      <c r="S6408" t="s">
        <v>6717</v>
      </c>
    </row>
    <row r="6409" spans="1:19" x14ac:dyDescent="0.25">
      <c r="A6409" t="s">
        <v>59</v>
      </c>
      <c r="B6409" t="s">
        <v>60</v>
      </c>
      <c r="C6409" t="s">
        <v>32</v>
      </c>
      <c r="D6409" t="s">
        <v>953</v>
      </c>
      <c r="E6409" t="s">
        <v>954</v>
      </c>
      <c r="F6409" t="s">
        <v>35</v>
      </c>
      <c r="G6409" t="s">
        <v>35</v>
      </c>
      <c r="H6409" t="s">
        <v>35</v>
      </c>
      <c r="J6409" t="s">
        <v>6719</v>
      </c>
      <c r="K6409" t="s">
        <v>1092</v>
      </c>
      <c r="M6409">
        <v>0.25</v>
      </c>
      <c r="N6409">
        <v>68</v>
      </c>
      <c r="O6409" t="s">
        <v>61</v>
      </c>
      <c r="Q6409" t="s">
        <v>146</v>
      </c>
      <c r="R6409" t="s">
        <v>6720</v>
      </c>
      <c r="S6409" t="s">
        <v>961</v>
      </c>
    </row>
    <row r="6410" spans="1:19" x14ac:dyDescent="0.25">
      <c r="A6410" t="s">
        <v>59</v>
      </c>
      <c r="B6410" t="s">
        <v>31</v>
      </c>
      <c r="C6410" t="s">
        <v>32</v>
      </c>
      <c r="D6410" t="s">
        <v>953</v>
      </c>
      <c r="E6410" t="s">
        <v>954</v>
      </c>
      <c r="F6410" t="s">
        <v>35</v>
      </c>
      <c r="G6410" t="s">
        <v>35</v>
      </c>
      <c r="H6410" t="s">
        <v>35</v>
      </c>
      <c r="J6410" t="s">
        <v>6719</v>
      </c>
      <c r="K6410" t="s">
        <v>1092</v>
      </c>
      <c r="M6410">
        <v>0.58499999999999996</v>
      </c>
      <c r="N6410">
        <v>60</v>
      </c>
      <c r="O6410" t="s">
        <v>52</v>
      </c>
      <c r="Q6410" t="s">
        <v>1734</v>
      </c>
      <c r="R6410" t="s">
        <v>6720</v>
      </c>
      <c r="S6410" t="s">
        <v>961</v>
      </c>
    </row>
    <row r="6411" spans="1:19" x14ac:dyDescent="0.25">
      <c r="A6411" t="s">
        <v>44</v>
      </c>
      <c r="B6411" t="s">
        <v>3</v>
      </c>
      <c r="C6411" t="s">
        <v>32</v>
      </c>
      <c r="D6411" t="s">
        <v>953</v>
      </c>
      <c r="E6411" t="s">
        <v>954</v>
      </c>
      <c r="F6411" t="s">
        <v>35</v>
      </c>
      <c r="G6411" t="s">
        <v>35</v>
      </c>
      <c r="H6411" t="s">
        <v>35</v>
      </c>
      <c r="J6411" t="s">
        <v>6719</v>
      </c>
      <c r="K6411" t="s">
        <v>1092</v>
      </c>
      <c r="M6411">
        <v>0.85</v>
      </c>
      <c r="N6411">
        <v>44</v>
      </c>
      <c r="O6411" t="s">
        <v>52</v>
      </c>
      <c r="Q6411" t="s">
        <v>192</v>
      </c>
      <c r="R6411" t="s">
        <v>6720</v>
      </c>
      <c r="S6411" t="s">
        <v>961</v>
      </c>
    </row>
    <row r="6412" spans="1:19" x14ac:dyDescent="0.25">
      <c r="A6412" t="s">
        <v>59</v>
      </c>
      <c r="B6412" t="s">
        <v>60</v>
      </c>
      <c r="C6412" t="s">
        <v>32</v>
      </c>
      <c r="D6412" t="s">
        <v>953</v>
      </c>
      <c r="E6412" t="s">
        <v>954</v>
      </c>
      <c r="F6412" t="s">
        <v>35</v>
      </c>
      <c r="G6412" t="s">
        <v>35</v>
      </c>
      <c r="H6412" t="s">
        <v>35</v>
      </c>
      <c r="J6412" t="s">
        <v>6719</v>
      </c>
      <c r="K6412" t="s">
        <v>1092</v>
      </c>
      <c r="M6412">
        <v>0.25</v>
      </c>
      <c r="N6412">
        <v>75</v>
      </c>
      <c r="O6412" t="s">
        <v>61</v>
      </c>
      <c r="Q6412" t="s">
        <v>805</v>
      </c>
      <c r="R6412" t="s">
        <v>6721</v>
      </c>
      <c r="S6412" t="s">
        <v>1078</v>
      </c>
    </row>
    <row r="6413" spans="1:19" x14ac:dyDescent="0.25">
      <c r="A6413" t="s">
        <v>59</v>
      </c>
      <c r="B6413" t="s">
        <v>60</v>
      </c>
      <c r="C6413" t="s">
        <v>32</v>
      </c>
      <c r="D6413" t="s">
        <v>953</v>
      </c>
      <c r="E6413" t="s">
        <v>954</v>
      </c>
      <c r="F6413" t="s">
        <v>35</v>
      </c>
      <c r="G6413" t="s">
        <v>35</v>
      </c>
      <c r="H6413" t="s">
        <v>35</v>
      </c>
      <c r="J6413" t="s">
        <v>6719</v>
      </c>
      <c r="K6413" t="s">
        <v>1092</v>
      </c>
      <c r="M6413">
        <v>0.5</v>
      </c>
      <c r="N6413">
        <v>64</v>
      </c>
      <c r="O6413" t="s">
        <v>61</v>
      </c>
      <c r="Q6413" t="s">
        <v>381</v>
      </c>
      <c r="R6413" t="s">
        <v>6721</v>
      </c>
      <c r="S6413" t="s">
        <v>1078</v>
      </c>
    </row>
    <row r="6414" spans="1:19" x14ac:dyDescent="0.25">
      <c r="A6414" t="s">
        <v>44</v>
      </c>
      <c r="B6414" t="s">
        <v>3</v>
      </c>
      <c r="C6414" t="s">
        <v>32</v>
      </c>
      <c r="D6414" t="s">
        <v>953</v>
      </c>
      <c r="E6414" t="s">
        <v>954</v>
      </c>
      <c r="F6414" t="s">
        <v>35</v>
      </c>
      <c r="G6414" t="s">
        <v>35</v>
      </c>
      <c r="H6414" t="s">
        <v>35</v>
      </c>
      <c r="J6414" t="s">
        <v>6719</v>
      </c>
      <c r="K6414" t="s">
        <v>1092</v>
      </c>
      <c r="M6414">
        <v>0.5</v>
      </c>
      <c r="N6414">
        <v>30</v>
      </c>
      <c r="O6414" t="s">
        <v>46</v>
      </c>
      <c r="Q6414" t="s">
        <v>793</v>
      </c>
      <c r="R6414" t="s">
        <v>6720</v>
      </c>
      <c r="S6414" t="s">
        <v>961</v>
      </c>
    </row>
    <row r="6415" spans="1:19" x14ac:dyDescent="0.25">
      <c r="A6415" t="s">
        <v>59</v>
      </c>
      <c r="B6415" t="s">
        <v>60</v>
      </c>
      <c r="C6415" t="s">
        <v>32</v>
      </c>
      <c r="D6415" t="s">
        <v>953</v>
      </c>
      <c r="E6415" t="s">
        <v>954</v>
      </c>
      <c r="F6415" t="s">
        <v>35</v>
      </c>
      <c r="G6415" t="s">
        <v>35</v>
      </c>
      <c r="H6415" t="s">
        <v>35</v>
      </c>
      <c r="J6415" t="s">
        <v>6719</v>
      </c>
      <c r="K6415" t="s">
        <v>1092</v>
      </c>
      <c r="M6415">
        <v>0.5</v>
      </c>
      <c r="N6415">
        <v>22</v>
      </c>
      <c r="O6415" t="s">
        <v>46</v>
      </c>
      <c r="Q6415" t="s">
        <v>979</v>
      </c>
      <c r="R6415" t="s">
        <v>6721</v>
      </c>
      <c r="S6415" t="s">
        <v>1078</v>
      </c>
    </row>
    <row r="6416" spans="1:19" x14ac:dyDescent="0.25">
      <c r="A6416" t="s">
        <v>59</v>
      </c>
      <c r="B6416" t="s">
        <v>60</v>
      </c>
      <c r="C6416" t="s">
        <v>32</v>
      </c>
      <c r="D6416" t="s">
        <v>953</v>
      </c>
      <c r="E6416" t="s">
        <v>954</v>
      </c>
      <c r="F6416" t="s">
        <v>35</v>
      </c>
      <c r="G6416" t="s">
        <v>35</v>
      </c>
      <c r="H6416" t="s">
        <v>35</v>
      </c>
      <c r="J6416" t="s">
        <v>6719</v>
      </c>
      <c r="K6416" t="s">
        <v>1092</v>
      </c>
      <c r="M6416">
        <v>0.1</v>
      </c>
      <c r="N6416">
        <v>84</v>
      </c>
      <c r="O6416" t="s">
        <v>61</v>
      </c>
      <c r="Q6416" t="s">
        <v>778</v>
      </c>
      <c r="R6416" t="s">
        <v>6721</v>
      </c>
      <c r="S6416" t="s">
        <v>1078</v>
      </c>
    </row>
    <row r="6417" spans="1:19" x14ac:dyDescent="0.25">
      <c r="A6417" t="s">
        <v>30</v>
      </c>
      <c r="B6417" t="s">
        <v>31</v>
      </c>
      <c r="C6417" t="s">
        <v>32</v>
      </c>
      <c r="D6417" t="s">
        <v>953</v>
      </c>
      <c r="E6417" t="s">
        <v>954</v>
      </c>
      <c r="F6417" t="s">
        <v>35</v>
      </c>
      <c r="G6417" t="s">
        <v>35</v>
      </c>
      <c r="H6417" t="s">
        <v>35</v>
      </c>
      <c r="J6417" t="s">
        <v>6722</v>
      </c>
      <c r="K6417" t="s">
        <v>1092</v>
      </c>
      <c r="M6417">
        <v>3.8250000000000002</v>
      </c>
      <c r="N6417">
        <v>43</v>
      </c>
      <c r="O6417" t="s">
        <v>52</v>
      </c>
      <c r="Q6417" t="s">
        <v>892</v>
      </c>
      <c r="R6417" t="s">
        <v>6723</v>
      </c>
      <c r="S6417" t="s">
        <v>6724</v>
      </c>
    </row>
    <row r="6418" spans="1:19" x14ac:dyDescent="0.25">
      <c r="A6418" t="s">
        <v>44</v>
      </c>
      <c r="B6418" t="s">
        <v>51</v>
      </c>
      <c r="C6418" t="s">
        <v>32</v>
      </c>
      <c r="D6418" t="s">
        <v>953</v>
      </c>
      <c r="E6418" t="s">
        <v>954</v>
      </c>
      <c r="F6418" t="s">
        <v>35</v>
      </c>
      <c r="G6418" t="s">
        <v>35</v>
      </c>
      <c r="H6418" t="s">
        <v>35</v>
      </c>
      <c r="J6418" t="s">
        <v>6726</v>
      </c>
      <c r="K6418" t="s">
        <v>1092</v>
      </c>
      <c r="M6418">
        <v>8.9999999999999993E-3</v>
      </c>
      <c r="N6418">
        <v>45</v>
      </c>
      <c r="O6418" t="s">
        <v>52</v>
      </c>
      <c r="Q6418" t="s">
        <v>716</v>
      </c>
      <c r="R6418" t="s">
        <v>6721</v>
      </c>
      <c r="S6418" t="s">
        <v>1078</v>
      </c>
    </row>
    <row r="6419" spans="1:19" x14ac:dyDescent="0.25">
      <c r="A6419" t="s">
        <v>59</v>
      </c>
      <c r="B6419" t="s">
        <v>31</v>
      </c>
      <c r="C6419" t="s">
        <v>32</v>
      </c>
      <c r="D6419" t="s">
        <v>953</v>
      </c>
      <c r="E6419" t="s">
        <v>954</v>
      </c>
      <c r="F6419" t="s">
        <v>35</v>
      </c>
      <c r="G6419" t="s">
        <v>35</v>
      </c>
      <c r="H6419" t="s">
        <v>35</v>
      </c>
      <c r="J6419" t="s">
        <v>6726</v>
      </c>
      <c r="K6419" t="s">
        <v>1092</v>
      </c>
      <c r="M6419">
        <v>9.7000000000000003E-2</v>
      </c>
      <c r="N6419">
        <v>84</v>
      </c>
      <c r="O6419" t="s">
        <v>61</v>
      </c>
      <c r="Q6419" t="s">
        <v>778</v>
      </c>
      <c r="R6419" t="s">
        <v>6721</v>
      </c>
      <c r="S6419" t="s">
        <v>1078</v>
      </c>
    </row>
    <row r="6420" spans="1:19" x14ac:dyDescent="0.25">
      <c r="A6420" t="s">
        <v>30</v>
      </c>
      <c r="B6420" t="s">
        <v>31</v>
      </c>
      <c r="C6420" t="s">
        <v>32</v>
      </c>
      <c r="D6420" t="s">
        <v>953</v>
      </c>
      <c r="E6420" t="s">
        <v>954</v>
      </c>
      <c r="F6420" t="s">
        <v>35</v>
      </c>
      <c r="G6420" t="s">
        <v>35</v>
      </c>
      <c r="H6420" t="s">
        <v>35</v>
      </c>
      <c r="J6420" t="s">
        <v>6726</v>
      </c>
      <c r="K6420" t="s">
        <v>1092</v>
      </c>
      <c r="M6420">
        <v>0.21199999999999999</v>
      </c>
      <c r="N6420">
        <v>43</v>
      </c>
      <c r="O6420" t="s">
        <v>52</v>
      </c>
      <c r="Q6420" t="s">
        <v>892</v>
      </c>
      <c r="R6420" t="s">
        <v>6721</v>
      </c>
      <c r="S6420" t="s">
        <v>1078</v>
      </c>
    </row>
    <row r="6421" spans="1:19" x14ac:dyDescent="0.25">
      <c r="A6421" t="s">
        <v>44</v>
      </c>
      <c r="B6421" t="s">
        <v>3</v>
      </c>
      <c r="C6421" t="s">
        <v>32</v>
      </c>
      <c r="D6421" t="s">
        <v>953</v>
      </c>
      <c r="E6421" t="s">
        <v>954</v>
      </c>
      <c r="F6421" t="s">
        <v>35</v>
      </c>
      <c r="G6421" t="s">
        <v>35</v>
      </c>
      <c r="H6421" t="s">
        <v>35</v>
      </c>
      <c r="J6421" t="s">
        <v>6727</v>
      </c>
      <c r="K6421" t="s">
        <v>1092</v>
      </c>
      <c r="M6421">
        <v>0.05</v>
      </c>
      <c r="N6421">
        <v>43</v>
      </c>
      <c r="O6421" t="s">
        <v>52</v>
      </c>
      <c r="Q6421" t="s">
        <v>892</v>
      </c>
      <c r="R6421" t="s">
        <v>6721</v>
      </c>
      <c r="S6421" t="s">
        <v>1078</v>
      </c>
    </row>
    <row r="6422" spans="1:19" x14ac:dyDescent="0.25">
      <c r="A6422" t="s">
        <v>44</v>
      </c>
      <c r="B6422" t="s">
        <v>51</v>
      </c>
      <c r="C6422" t="s">
        <v>32</v>
      </c>
      <c r="D6422" t="s">
        <v>953</v>
      </c>
      <c r="E6422" t="s">
        <v>954</v>
      </c>
      <c r="F6422" t="s">
        <v>35</v>
      </c>
      <c r="G6422" t="s">
        <v>35</v>
      </c>
      <c r="H6422" t="s">
        <v>35</v>
      </c>
      <c r="J6422" t="s">
        <v>6727</v>
      </c>
      <c r="K6422" t="s">
        <v>1092</v>
      </c>
      <c r="M6422">
        <v>1.5</v>
      </c>
      <c r="N6422">
        <v>20</v>
      </c>
      <c r="O6422" t="s">
        <v>46</v>
      </c>
      <c r="Q6422" t="s">
        <v>1004</v>
      </c>
      <c r="R6422" t="s">
        <v>6707</v>
      </c>
      <c r="S6422" t="s">
        <v>955</v>
      </c>
    </row>
    <row r="6423" spans="1:19" x14ac:dyDescent="0.25">
      <c r="A6423" t="s">
        <v>30</v>
      </c>
      <c r="B6423" t="s">
        <v>31</v>
      </c>
      <c r="C6423" t="s">
        <v>32</v>
      </c>
      <c r="D6423" t="s">
        <v>953</v>
      </c>
      <c r="E6423" t="s">
        <v>954</v>
      </c>
      <c r="F6423" t="s">
        <v>35</v>
      </c>
      <c r="G6423" t="s">
        <v>35</v>
      </c>
      <c r="H6423" t="s">
        <v>35</v>
      </c>
      <c r="J6423" t="s">
        <v>6728</v>
      </c>
      <c r="K6423" t="s">
        <v>1092</v>
      </c>
      <c r="M6423">
        <v>3.5000000000000003E-2</v>
      </c>
      <c r="N6423">
        <v>1201</v>
      </c>
      <c r="O6423" t="s">
        <v>575</v>
      </c>
      <c r="Q6423" t="s">
        <v>3631</v>
      </c>
      <c r="R6423" t="s">
        <v>6707</v>
      </c>
      <c r="S6423" t="s">
        <v>955</v>
      </c>
    </row>
    <row r="6424" spans="1:19" x14ac:dyDescent="0.25">
      <c r="A6424" t="s">
        <v>59</v>
      </c>
      <c r="B6424" t="s">
        <v>31</v>
      </c>
      <c r="C6424" t="s">
        <v>32</v>
      </c>
      <c r="D6424" t="s">
        <v>953</v>
      </c>
      <c r="E6424" t="s">
        <v>954</v>
      </c>
      <c r="F6424" t="s">
        <v>35</v>
      </c>
      <c r="G6424" t="s">
        <v>35</v>
      </c>
      <c r="H6424" t="s">
        <v>35</v>
      </c>
      <c r="J6424" t="s">
        <v>6728</v>
      </c>
      <c r="K6424" t="s">
        <v>1092</v>
      </c>
      <c r="M6424">
        <v>0.13500000000000001</v>
      </c>
      <c r="N6424">
        <v>771</v>
      </c>
      <c r="O6424" t="s">
        <v>575</v>
      </c>
      <c r="Q6424" t="s">
        <v>6729</v>
      </c>
      <c r="R6424" t="s">
        <v>6707</v>
      </c>
      <c r="S6424" t="s">
        <v>955</v>
      </c>
    </row>
    <row r="6425" spans="1:19" x14ac:dyDescent="0.25">
      <c r="A6425" t="s">
        <v>30</v>
      </c>
      <c r="B6425" t="s">
        <v>31</v>
      </c>
      <c r="C6425" t="s">
        <v>32</v>
      </c>
      <c r="D6425" t="s">
        <v>953</v>
      </c>
      <c r="E6425" t="s">
        <v>954</v>
      </c>
      <c r="F6425" t="s">
        <v>35</v>
      </c>
      <c r="G6425" t="s">
        <v>35</v>
      </c>
      <c r="H6425" t="s">
        <v>35</v>
      </c>
      <c r="J6425" t="s">
        <v>6730</v>
      </c>
      <c r="K6425" t="s">
        <v>1092</v>
      </c>
      <c r="M6425">
        <v>4.4999999999999998E-2</v>
      </c>
      <c r="N6425">
        <v>21</v>
      </c>
      <c r="O6425" t="s">
        <v>46</v>
      </c>
      <c r="Q6425" t="s">
        <v>1874</v>
      </c>
      <c r="R6425" t="s">
        <v>6720</v>
      </c>
      <c r="S6425" t="s">
        <v>961</v>
      </c>
    </row>
    <row r="6426" spans="1:19" x14ac:dyDescent="0.25">
      <c r="A6426" t="s">
        <v>59</v>
      </c>
      <c r="B6426" t="s">
        <v>31</v>
      </c>
      <c r="C6426" t="s">
        <v>32</v>
      </c>
      <c r="D6426" t="s">
        <v>953</v>
      </c>
      <c r="E6426" t="s">
        <v>954</v>
      </c>
      <c r="F6426" t="s">
        <v>35</v>
      </c>
      <c r="G6426" t="s">
        <v>35</v>
      </c>
      <c r="H6426" t="s">
        <v>35</v>
      </c>
      <c r="J6426" t="s">
        <v>6730</v>
      </c>
      <c r="K6426" t="s">
        <v>1092</v>
      </c>
      <c r="M6426">
        <v>0.12</v>
      </c>
      <c r="N6426">
        <v>60</v>
      </c>
      <c r="O6426" t="s">
        <v>52</v>
      </c>
      <c r="Q6426" t="s">
        <v>1734</v>
      </c>
      <c r="R6426" t="s">
        <v>6707</v>
      </c>
      <c r="S6426" t="s">
        <v>955</v>
      </c>
    </row>
    <row r="6427" spans="1:19" x14ac:dyDescent="0.25">
      <c r="A6427" t="s">
        <v>59</v>
      </c>
      <c r="B6427" t="s">
        <v>60</v>
      </c>
      <c r="C6427" t="s">
        <v>32</v>
      </c>
      <c r="D6427" t="s">
        <v>953</v>
      </c>
      <c r="E6427" t="s">
        <v>954</v>
      </c>
      <c r="F6427" t="s">
        <v>35</v>
      </c>
      <c r="G6427" t="s">
        <v>35</v>
      </c>
      <c r="H6427" t="s">
        <v>35</v>
      </c>
      <c r="J6427" t="s">
        <v>6730</v>
      </c>
      <c r="K6427" t="s">
        <v>1092</v>
      </c>
      <c r="M6427">
        <v>0.5</v>
      </c>
      <c r="N6427">
        <v>81</v>
      </c>
      <c r="O6427" t="s">
        <v>61</v>
      </c>
      <c r="Q6427" t="s">
        <v>527</v>
      </c>
      <c r="R6427" t="s">
        <v>6720</v>
      </c>
      <c r="S6427" t="s">
        <v>961</v>
      </c>
    </row>
    <row r="6428" spans="1:19" x14ac:dyDescent="0.25">
      <c r="A6428" t="s">
        <v>59</v>
      </c>
      <c r="B6428" t="s">
        <v>60</v>
      </c>
      <c r="C6428" t="s">
        <v>32</v>
      </c>
      <c r="D6428" t="s">
        <v>953</v>
      </c>
      <c r="E6428" t="s">
        <v>954</v>
      </c>
      <c r="F6428" t="s">
        <v>35</v>
      </c>
      <c r="G6428" t="s">
        <v>35</v>
      </c>
      <c r="H6428" t="s">
        <v>35</v>
      </c>
      <c r="J6428" t="s">
        <v>6730</v>
      </c>
      <c r="K6428" t="s">
        <v>1092</v>
      </c>
      <c r="M6428">
        <v>0.53500000000000003</v>
      </c>
      <c r="N6428">
        <v>142</v>
      </c>
      <c r="O6428" t="s">
        <v>38</v>
      </c>
      <c r="Q6428" t="s">
        <v>2067</v>
      </c>
      <c r="R6428" t="s">
        <v>6720</v>
      </c>
      <c r="S6428" t="s">
        <v>961</v>
      </c>
    </row>
    <row r="6429" spans="1:19" x14ac:dyDescent="0.25">
      <c r="A6429" t="s">
        <v>59</v>
      </c>
      <c r="B6429" t="s">
        <v>60</v>
      </c>
      <c r="C6429" t="s">
        <v>32</v>
      </c>
      <c r="D6429" t="s">
        <v>953</v>
      </c>
      <c r="E6429" t="s">
        <v>954</v>
      </c>
      <c r="F6429" t="s">
        <v>35</v>
      </c>
      <c r="G6429" t="s">
        <v>35</v>
      </c>
      <c r="H6429" t="s">
        <v>35</v>
      </c>
      <c r="J6429" t="s">
        <v>6731</v>
      </c>
      <c r="K6429" t="s">
        <v>1092</v>
      </c>
      <c r="M6429">
        <v>0.15</v>
      </c>
      <c r="N6429">
        <v>56</v>
      </c>
      <c r="O6429" t="s">
        <v>52</v>
      </c>
      <c r="Q6429" t="s">
        <v>453</v>
      </c>
      <c r="R6429" t="s">
        <v>6720</v>
      </c>
      <c r="S6429" t="s">
        <v>961</v>
      </c>
    </row>
    <row r="6430" spans="1:19" x14ac:dyDescent="0.25">
      <c r="A6430" t="s">
        <v>30</v>
      </c>
      <c r="B6430" t="s">
        <v>31</v>
      </c>
      <c r="C6430" t="s">
        <v>32</v>
      </c>
      <c r="D6430" t="s">
        <v>953</v>
      </c>
      <c r="E6430" t="s">
        <v>954</v>
      </c>
      <c r="F6430" t="s">
        <v>35</v>
      </c>
      <c r="G6430" t="s">
        <v>35</v>
      </c>
      <c r="H6430" t="s">
        <v>35</v>
      </c>
      <c r="J6430" t="s">
        <v>6731</v>
      </c>
      <c r="K6430" t="s">
        <v>1092</v>
      </c>
      <c r="M6430">
        <v>0.13500000000000001</v>
      </c>
      <c r="N6430">
        <v>11</v>
      </c>
      <c r="O6430" t="s">
        <v>46</v>
      </c>
      <c r="Q6430" t="s">
        <v>1053</v>
      </c>
      <c r="R6430" t="s">
        <v>6720</v>
      </c>
      <c r="S6430" t="s">
        <v>961</v>
      </c>
    </row>
    <row r="6431" spans="1:19" x14ac:dyDescent="0.25">
      <c r="A6431" t="s">
        <v>44</v>
      </c>
      <c r="B6431" t="s">
        <v>3</v>
      </c>
      <c r="C6431" t="s">
        <v>32</v>
      </c>
      <c r="D6431" t="s">
        <v>953</v>
      </c>
      <c r="E6431" t="s">
        <v>954</v>
      </c>
      <c r="F6431" t="s">
        <v>35</v>
      </c>
      <c r="G6431" t="s">
        <v>35</v>
      </c>
      <c r="H6431" t="s">
        <v>35</v>
      </c>
      <c r="J6431" t="s">
        <v>6731</v>
      </c>
      <c r="K6431" t="s">
        <v>1092</v>
      </c>
      <c r="M6431">
        <v>0.14000000000000001</v>
      </c>
      <c r="N6431">
        <v>44</v>
      </c>
      <c r="O6431" t="s">
        <v>52</v>
      </c>
      <c r="Q6431" t="s">
        <v>192</v>
      </c>
      <c r="R6431" t="s">
        <v>6720</v>
      </c>
      <c r="S6431" t="s">
        <v>961</v>
      </c>
    </row>
    <row r="6432" spans="1:19" x14ac:dyDescent="0.25">
      <c r="A6432" t="s">
        <v>44</v>
      </c>
      <c r="B6432" t="s">
        <v>3</v>
      </c>
      <c r="C6432" t="s">
        <v>32</v>
      </c>
      <c r="D6432" t="s">
        <v>953</v>
      </c>
      <c r="E6432" t="s">
        <v>954</v>
      </c>
      <c r="F6432" t="s">
        <v>35</v>
      </c>
      <c r="G6432" t="s">
        <v>35</v>
      </c>
      <c r="H6432" t="s">
        <v>35</v>
      </c>
      <c r="J6432" t="s">
        <v>6731</v>
      </c>
      <c r="K6432" t="s">
        <v>1092</v>
      </c>
      <c r="M6432">
        <v>0.15</v>
      </c>
      <c r="N6432">
        <v>39</v>
      </c>
      <c r="O6432" t="s">
        <v>52</v>
      </c>
      <c r="Q6432" t="s">
        <v>816</v>
      </c>
      <c r="R6432" t="s">
        <v>6720</v>
      </c>
      <c r="S6432" t="s">
        <v>961</v>
      </c>
    </row>
    <row r="6433" spans="1:19" x14ac:dyDescent="0.25">
      <c r="A6433" t="s">
        <v>44</v>
      </c>
      <c r="B6433" t="s">
        <v>3</v>
      </c>
      <c r="C6433" t="s">
        <v>32</v>
      </c>
      <c r="D6433" t="s">
        <v>953</v>
      </c>
      <c r="E6433" t="s">
        <v>954</v>
      </c>
      <c r="F6433" t="s">
        <v>35</v>
      </c>
      <c r="G6433" t="s">
        <v>35</v>
      </c>
      <c r="H6433" t="s">
        <v>35</v>
      </c>
      <c r="J6433" t="s">
        <v>6731</v>
      </c>
      <c r="K6433" t="s">
        <v>1092</v>
      </c>
      <c r="M6433">
        <v>0.3</v>
      </c>
      <c r="N6433">
        <v>37</v>
      </c>
      <c r="O6433" t="s">
        <v>52</v>
      </c>
      <c r="Q6433" t="s">
        <v>3499</v>
      </c>
      <c r="R6433" t="s">
        <v>6720</v>
      </c>
      <c r="S6433" t="s">
        <v>961</v>
      </c>
    </row>
    <row r="6434" spans="1:19" x14ac:dyDescent="0.25">
      <c r="A6434" t="s">
        <v>30</v>
      </c>
      <c r="B6434" t="s">
        <v>31</v>
      </c>
      <c r="C6434" t="s">
        <v>32</v>
      </c>
      <c r="D6434" t="s">
        <v>953</v>
      </c>
      <c r="E6434" t="s">
        <v>954</v>
      </c>
      <c r="F6434" t="s">
        <v>35</v>
      </c>
      <c r="G6434" t="s">
        <v>35</v>
      </c>
      <c r="H6434" t="s">
        <v>35</v>
      </c>
      <c r="J6434" t="s">
        <v>6731</v>
      </c>
      <c r="K6434" t="s">
        <v>1092</v>
      </c>
      <c r="M6434">
        <v>0.63</v>
      </c>
      <c r="N6434">
        <v>37</v>
      </c>
      <c r="O6434" t="s">
        <v>52</v>
      </c>
      <c r="Q6434" t="s">
        <v>3499</v>
      </c>
      <c r="R6434" t="s">
        <v>6720</v>
      </c>
      <c r="S6434" t="s">
        <v>961</v>
      </c>
    </row>
    <row r="6435" spans="1:19" x14ac:dyDescent="0.25">
      <c r="A6435" t="s">
        <v>59</v>
      </c>
      <c r="B6435" t="s">
        <v>60</v>
      </c>
      <c r="C6435" t="s">
        <v>32</v>
      </c>
      <c r="D6435" t="s">
        <v>953</v>
      </c>
      <c r="E6435" t="s">
        <v>954</v>
      </c>
      <c r="F6435" t="s">
        <v>35</v>
      </c>
      <c r="G6435" t="s">
        <v>35</v>
      </c>
      <c r="H6435" t="s">
        <v>35</v>
      </c>
      <c r="J6435" t="s">
        <v>6731</v>
      </c>
      <c r="K6435" t="s">
        <v>1092</v>
      </c>
      <c r="M6435">
        <v>0.1</v>
      </c>
      <c r="N6435">
        <v>44</v>
      </c>
      <c r="O6435" t="s">
        <v>52</v>
      </c>
      <c r="Q6435" t="s">
        <v>192</v>
      </c>
      <c r="R6435" t="s">
        <v>6720</v>
      </c>
      <c r="S6435" t="s">
        <v>961</v>
      </c>
    </row>
    <row r="6436" spans="1:19" x14ac:dyDescent="0.25">
      <c r="A6436" t="s">
        <v>59</v>
      </c>
      <c r="B6436" t="s">
        <v>60</v>
      </c>
      <c r="C6436" t="s">
        <v>32</v>
      </c>
      <c r="D6436" t="s">
        <v>953</v>
      </c>
      <c r="E6436" t="s">
        <v>954</v>
      </c>
      <c r="F6436" t="s">
        <v>35</v>
      </c>
      <c r="G6436" t="s">
        <v>35</v>
      </c>
      <c r="H6436" t="s">
        <v>35</v>
      </c>
      <c r="J6436" t="s">
        <v>6731</v>
      </c>
      <c r="K6436" t="s">
        <v>1092</v>
      </c>
      <c r="M6436">
        <v>0.105</v>
      </c>
      <c r="N6436">
        <v>71</v>
      </c>
      <c r="O6436" t="s">
        <v>61</v>
      </c>
      <c r="Q6436" t="s">
        <v>102</v>
      </c>
      <c r="R6436" t="s">
        <v>6720</v>
      </c>
      <c r="S6436" t="s">
        <v>961</v>
      </c>
    </row>
    <row r="6437" spans="1:19" x14ac:dyDescent="0.25">
      <c r="A6437" t="s">
        <v>44</v>
      </c>
      <c r="B6437" t="s">
        <v>3</v>
      </c>
      <c r="C6437" t="s">
        <v>32</v>
      </c>
      <c r="D6437" t="s">
        <v>953</v>
      </c>
      <c r="E6437" t="s">
        <v>954</v>
      </c>
      <c r="F6437" t="s">
        <v>35</v>
      </c>
      <c r="G6437" t="s">
        <v>35</v>
      </c>
      <c r="H6437" t="s">
        <v>35</v>
      </c>
      <c r="J6437" t="s">
        <v>6731</v>
      </c>
      <c r="K6437" t="s">
        <v>1092</v>
      </c>
      <c r="M6437">
        <v>0.25</v>
      </c>
      <c r="N6437">
        <v>27</v>
      </c>
      <c r="O6437" t="s">
        <v>46</v>
      </c>
      <c r="Q6437" t="s">
        <v>1011</v>
      </c>
      <c r="R6437" t="s">
        <v>6720</v>
      </c>
      <c r="S6437" t="s">
        <v>961</v>
      </c>
    </row>
    <row r="6438" spans="1:19" x14ac:dyDescent="0.25">
      <c r="A6438" t="s">
        <v>30</v>
      </c>
      <c r="B6438" t="s">
        <v>31</v>
      </c>
      <c r="C6438" t="s">
        <v>32</v>
      </c>
      <c r="D6438" t="s">
        <v>953</v>
      </c>
      <c r="E6438" t="s">
        <v>954</v>
      </c>
      <c r="F6438" t="s">
        <v>35</v>
      </c>
      <c r="G6438" t="s">
        <v>35</v>
      </c>
      <c r="H6438" t="s">
        <v>35</v>
      </c>
      <c r="J6438" t="s">
        <v>6731</v>
      </c>
      <c r="K6438" t="s">
        <v>1092</v>
      </c>
      <c r="M6438">
        <v>0.36</v>
      </c>
      <c r="N6438">
        <v>21</v>
      </c>
      <c r="O6438" t="s">
        <v>46</v>
      </c>
      <c r="Q6438" t="s">
        <v>1874</v>
      </c>
      <c r="R6438" t="s">
        <v>6720</v>
      </c>
      <c r="S6438" t="s">
        <v>961</v>
      </c>
    </row>
    <row r="6439" spans="1:19" x14ac:dyDescent="0.25">
      <c r="A6439" t="s">
        <v>59</v>
      </c>
      <c r="B6439" t="s">
        <v>60</v>
      </c>
      <c r="C6439" t="s">
        <v>32</v>
      </c>
      <c r="D6439" t="s">
        <v>953</v>
      </c>
      <c r="E6439" t="s">
        <v>954</v>
      </c>
      <c r="F6439" t="s">
        <v>35</v>
      </c>
      <c r="G6439" t="s">
        <v>35</v>
      </c>
      <c r="H6439" t="s">
        <v>35</v>
      </c>
      <c r="J6439" t="s">
        <v>6732</v>
      </c>
      <c r="K6439" t="s">
        <v>1092</v>
      </c>
      <c r="M6439">
        <v>0.25</v>
      </c>
      <c r="N6439">
        <v>44</v>
      </c>
      <c r="O6439" t="s">
        <v>52</v>
      </c>
      <c r="Q6439" t="s">
        <v>192</v>
      </c>
      <c r="R6439" t="s">
        <v>6707</v>
      </c>
      <c r="S6439" t="s">
        <v>955</v>
      </c>
    </row>
    <row r="6440" spans="1:19" x14ac:dyDescent="0.25">
      <c r="A6440" t="s">
        <v>59</v>
      </c>
      <c r="B6440" t="s">
        <v>60</v>
      </c>
      <c r="C6440" t="s">
        <v>32</v>
      </c>
      <c r="D6440" t="s">
        <v>953</v>
      </c>
      <c r="E6440" t="s">
        <v>954</v>
      </c>
      <c r="F6440" t="s">
        <v>35</v>
      </c>
      <c r="G6440" t="s">
        <v>35</v>
      </c>
      <c r="H6440" t="s">
        <v>35</v>
      </c>
      <c r="J6440" t="s">
        <v>6733</v>
      </c>
      <c r="K6440" t="s">
        <v>1092</v>
      </c>
      <c r="M6440">
        <v>0.4</v>
      </c>
      <c r="N6440">
        <v>426</v>
      </c>
      <c r="O6440" t="s">
        <v>294</v>
      </c>
      <c r="Q6440" t="s">
        <v>1550</v>
      </c>
      <c r="R6440" t="s">
        <v>6709</v>
      </c>
      <c r="S6440" t="s">
        <v>1022</v>
      </c>
    </row>
    <row r="6441" spans="1:19" x14ac:dyDescent="0.25">
      <c r="A6441" t="s">
        <v>30</v>
      </c>
      <c r="B6441" t="s">
        <v>31</v>
      </c>
      <c r="C6441" t="s">
        <v>32</v>
      </c>
      <c r="D6441" t="s">
        <v>953</v>
      </c>
      <c r="E6441" t="s">
        <v>954</v>
      </c>
      <c r="F6441" t="s">
        <v>35</v>
      </c>
      <c r="G6441" t="s">
        <v>35</v>
      </c>
      <c r="H6441" t="s">
        <v>35</v>
      </c>
      <c r="J6441" t="s">
        <v>6734</v>
      </c>
      <c r="K6441" t="s">
        <v>1092</v>
      </c>
      <c r="M6441">
        <v>1.8</v>
      </c>
      <c r="N6441">
        <v>36</v>
      </c>
      <c r="O6441" t="s">
        <v>52</v>
      </c>
      <c r="Q6441" t="s">
        <v>2005</v>
      </c>
      <c r="R6441" t="s">
        <v>6707</v>
      </c>
      <c r="S6441" t="s">
        <v>955</v>
      </c>
    </row>
    <row r="6442" spans="1:19" x14ac:dyDescent="0.25">
      <c r="A6442" t="s">
        <v>1439</v>
      </c>
      <c r="B6442" t="s">
        <v>1440</v>
      </c>
      <c r="C6442" t="s">
        <v>32</v>
      </c>
      <c r="D6442" t="s">
        <v>953</v>
      </c>
      <c r="E6442" t="s">
        <v>954</v>
      </c>
      <c r="F6442" t="s">
        <v>35</v>
      </c>
      <c r="G6442" t="s">
        <v>35</v>
      </c>
      <c r="H6442" t="s">
        <v>35</v>
      </c>
      <c r="J6442" t="s">
        <v>6734</v>
      </c>
      <c r="K6442" t="s">
        <v>1092</v>
      </c>
      <c r="M6442">
        <v>0.03</v>
      </c>
      <c r="N6442">
        <v>511</v>
      </c>
      <c r="O6442" t="s">
        <v>294</v>
      </c>
      <c r="Q6442" t="s">
        <v>5048</v>
      </c>
      <c r="R6442" t="s">
        <v>6707</v>
      </c>
      <c r="S6442" t="s">
        <v>955</v>
      </c>
    </row>
    <row r="6443" spans="1:19" x14ac:dyDescent="0.25">
      <c r="A6443" t="s">
        <v>30</v>
      </c>
      <c r="B6443" t="s">
        <v>31</v>
      </c>
      <c r="C6443" t="s">
        <v>32</v>
      </c>
      <c r="D6443" t="s">
        <v>953</v>
      </c>
      <c r="E6443" t="s">
        <v>954</v>
      </c>
      <c r="F6443" t="s">
        <v>35</v>
      </c>
      <c r="G6443" t="s">
        <v>35</v>
      </c>
      <c r="H6443" t="s">
        <v>35</v>
      </c>
      <c r="J6443" t="s">
        <v>6734</v>
      </c>
      <c r="K6443" t="s">
        <v>1092</v>
      </c>
      <c r="M6443">
        <v>0.45</v>
      </c>
      <c r="N6443">
        <v>45</v>
      </c>
      <c r="O6443" t="s">
        <v>52</v>
      </c>
      <c r="Q6443" t="s">
        <v>716</v>
      </c>
      <c r="R6443" t="s">
        <v>6707</v>
      </c>
      <c r="S6443" t="s">
        <v>955</v>
      </c>
    </row>
    <row r="6444" spans="1:19" x14ac:dyDescent="0.25">
      <c r="A6444" t="s">
        <v>30</v>
      </c>
      <c r="B6444" t="s">
        <v>31</v>
      </c>
      <c r="C6444" t="s">
        <v>32</v>
      </c>
      <c r="D6444" t="s">
        <v>953</v>
      </c>
      <c r="E6444" t="s">
        <v>954</v>
      </c>
      <c r="F6444" t="s">
        <v>35</v>
      </c>
      <c r="G6444" t="s">
        <v>35</v>
      </c>
      <c r="H6444" t="s">
        <v>35</v>
      </c>
      <c r="J6444" t="s">
        <v>6734</v>
      </c>
      <c r="K6444" t="s">
        <v>1092</v>
      </c>
      <c r="M6444">
        <v>1.125</v>
      </c>
      <c r="N6444">
        <v>42</v>
      </c>
      <c r="O6444" t="s">
        <v>52</v>
      </c>
      <c r="Q6444" t="s">
        <v>991</v>
      </c>
      <c r="R6444" t="s">
        <v>6707</v>
      </c>
      <c r="S6444" t="s">
        <v>955</v>
      </c>
    </row>
    <row r="6445" spans="1:19" x14ac:dyDescent="0.25">
      <c r="A6445" t="s">
        <v>30</v>
      </c>
      <c r="B6445" t="s">
        <v>31</v>
      </c>
      <c r="C6445" t="s">
        <v>32</v>
      </c>
      <c r="D6445" t="s">
        <v>953</v>
      </c>
      <c r="E6445" t="s">
        <v>954</v>
      </c>
      <c r="F6445" t="s">
        <v>35</v>
      </c>
      <c r="G6445" t="s">
        <v>35</v>
      </c>
      <c r="H6445" t="s">
        <v>35</v>
      </c>
      <c r="J6445" t="s">
        <v>6734</v>
      </c>
      <c r="K6445" t="s">
        <v>1092</v>
      </c>
      <c r="M6445">
        <v>0.22500000000000001</v>
      </c>
      <c r="N6445">
        <v>38</v>
      </c>
      <c r="O6445" t="s">
        <v>52</v>
      </c>
      <c r="Q6445" t="s">
        <v>748</v>
      </c>
      <c r="R6445" t="s">
        <v>6707</v>
      </c>
      <c r="S6445" t="s">
        <v>955</v>
      </c>
    </row>
    <row r="6446" spans="1:19" x14ac:dyDescent="0.25">
      <c r="A6446" t="s">
        <v>30</v>
      </c>
      <c r="B6446" t="s">
        <v>31</v>
      </c>
      <c r="C6446" t="s">
        <v>32</v>
      </c>
      <c r="D6446" t="s">
        <v>953</v>
      </c>
      <c r="E6446" t="s">
        <v>954</v>
      </c>
      <c r="F6446" t="s">
        <v>35</v>
      </c>
      <c r="G6446" t="s">
        <v>35</v>
      </c>
      <c r="H6446" t="s">
        <v>35</v>
      </c>
      <c r="J6446" t="s">
        <v>6735</v>
      </c>
      <c r="K6446" t="s">
        <v>1092</v>
      </c>
      <c r="M6446">
        <v>2.0249999999999999</v>
      </c>
      <c r="N6446">
        <v>21</v>
      </c>
      <c r="O6446" t="s">
        <v>46</v>
      </c>
      <c r="Q6446" t="s">
        <v>1874</v>
      </c>
      <c r="R6446" t="s">
        <v>6709</v>
      </c>
      <c r="S6446" t="s">
        <v>1022</v>
      </c>
    </row>
    <row r="6447" spans="1:19" x14ac:dyDescent="0.25">
      <c r="A6447" t="s">
        <v>59</v>
      </c>
      <c r="B6447" t="s">
        <v>31</v>
      </c>
      <c r="C6447" t="s">
        <v>32</v>
      </c>
      <c r="D6447" t="s">
        <v>953</v>
      </c>
      <c r="E6447" t="s">
        <v>954</v>
      </c>
      <c r="F6447" t="s">
        <v>35</v>
      </c>
      <c r="G6447" t="s">
        <v>35</v>
      </c>
      <c r="H6447" t="s">
        <v>35</v>
      </c>
      <c r="J6447" t="s">
        <v>6736</v>
      </c>
      <c r="K6447" t="s">
        <v>1092</v>
      </c>
      <c r="M6447">
        <v>2.25</v>
      </c>
      <c r="N6447">
        <v>91</v>
      </c>
      <c r="O6447" t="s">
        <v>106</v>
      </c>
      <c r="Q6447" t="s">
        <v>1147</v>
      </c>
      <c r="R6447" t="s">
        <v>6707</v>
      </c>
      <c r="S6447" t="s">
        <v>955</v>
      </c>
    </row>
    <row r="6448" spans="1:19" x14ac:dyDescent="0.25">
      <c r="A6448" t="s">
        <v>30</v>
      </c>
      <c r="B6448" t="s">
        <v>31</v>
      </c>
      <c r="C6448" t="s">
        <v>32</v>
      </c>
      <c r="D6448" t="s">
        <v>953</v>
      </c>
      <c r="E6448" t="s">
        <v>954</v>
      </c>
      <c r="F6448" t="s">
        <v>35</v>
      </c>
      <c r="G6448" t="s">
        <v>35</v>
      </c>
      <c r="H6448" t="s">
        <v>35</v>
      </c>
      <c r="J6448" t="s">
        <v>6736</v>
      </c>
      <c r="K6448" t="s">
        <v>1092</v>
      </c>
      <c r="M6448">
        <v>19.98</v>
      </c>
      <c r="N6448">
        <v>20</v>
      </c>
      <c r="O6448" t="s">
        <v>46</v>
      </c>
      <c r="Q6448" t="s">
        <v>1004</v>
      </c>
      <c r="R6448" t="s">
        <v>6707</v>
      </c>
      <c r="S6448" t="s">
        <v>955</v>
      </c>
    </row>
    <row r="6449" spans="1:19" x14ac:dyDescent="0.25">
      <c r="A6449" t="s">
        <v>44</v>
      </c>
      <c r="B6449" t="s">
        <v>51</v>
      </c>
      <c r="C6449" t="s">
        <v>32</v>
      </c>
      <c r="D6449" t="s">
        <v>953</v>
      </c>
      <c r="E6449" t="s">
        <v>954</v>
      </c>
      <c r="F6449" t="s">
        <v>35</v>
      </c>
      <c r="G6449" t="s">
        <v>35</v>
      </c>
      <c r="H6449" t="s">
        <v>35</v>
      </c>
      <c r="J6449" t="s">
        <v>6736</v>
      </c>
      <c r="K6449" t="s">
        <v>1092</v>
      </c>
      <c r="M6449">
        <v>1</v>
      </c>
      <c r="N6449">
        <v>20</v>
      </c>
      <c r="O6449" t="s">
        <v>46</v>
      </c>
      <c r="Q6449" t="s">
        <v>1004</v>
      </c>
      <c r="R6449" t="s">
        <v>6707</v>
      </c>
      <c r="S6449" t="s">
        <v>955</v>
      </c>
    </row>
    <row r="6450" spans="1:19" x14ac:dyDescent="0.25">
      <c r="A6450" t="s">
        <v>30</v>
      </c>
      <c r="B6450" t="s">
        <v>31</v>
      </c>
      <c r="C6450" t="s">
        <v>32</v>
      </c>
      <c r="D6450" t="s">
        <v>953</v>
      </c>
      <c r="E6450" t="s">
        <v>954</v>
      </c>
      <c r="F6450" t="s">
        <v>35</v>
      </c>
      <c r="G6450" t="s">
        <v>35</v>
      </c>
      <c r="H6450" t="s">
        <v>35</v>
      </c>
      <c r="J6450" t="s">
        <v>6736</v>
      </c>
      <c r="K6450" t="s">
        <v>1092</v>
      </c>
      <c r="M6450">
        <v>0.40500000000000003</v>
      </c>
      <c r="N6450">
        <v>30</v>
      </c>
      <c r="O6450" t="s">
        <v>46</v>
      </c>
      <c r="Q6450" t="s">
        <v>793</v>
      </c>
      <c r="R6450" t="s">
        <v>6720</v>
      </c>
      <c r="S6450" t="s">
        <v>961</v>
      </c>
    </row>
    <row r="6451" spans="1:19" x14ac:dyDescent="0.25">
      <c r="A6451" t="s">
        <v>44</v>
      </c>
      <c r="B6451" t="s">
        <v>3</v>
      </c>
      <c r="C6451" t="s">
        <v>32</v>
      </c>
      <c r="D6451" t="s">
        <v>953</v>
      </c>
      <c r="E6451" t="s">
        <v>954</v>
      </c>
      <c r="F6451" t="s">
        <v>35</v>
      </c>
      <c r="G6451" t="s">
        <v>35</v>
      </c>
      <c r="H6451" t="s">
        <v>35</v>
      </c>
      <c r="J6451" t="s">
        <v>6736</v>
      </c>
      <c r="K6451" t="s">
        <v>1092</v>
      </c>
      <c r="M6451">
        <v>0.3</v>
      </c>
      <c r="N6451">
        <v>30</v>
      </c>
      <c r="O6451" t="s">
        <v>46</v>
      </c>
      <c r="Q6451" t="s">
        <v>793</v>
      </c>
      <c r="R6451" t="s">
        <v>6720</v>
      </c>
      <c r="S6451" t="s">
        <v>961</v>
      </c>
    </row>
    <row r="6452" spans="1:19" x14ac:dyDescent="0.25">
      <c r="A6452" t="s">
        <v>44</v>
      </c>
      <c r="B6452" t="s">
        <v>3</v>
      </c>
      <c r="C6452" t="s">
        <v>32</v>
      </c>
      <c r="D6452" t="s">
        <v>953</v>
      </c>
      <c r="E6452" t="s">
        <v>954</v>
      </c>
      <c r="F6452" t="s">
        <v>35</v>
      </c>
      <c r="G6452" t="s">
        <v>35</v>
      </c>
      <c r="H6452" t="s">
        <v>35</v>
      </c>
      <c r="J6452" t="s">
        <v>6737</v>
      </c>
      <c r="K6452" t="s">
        <v>1092</v>
      </c>
      <c r="M6452">
        <v>0.25</v>
      </c>
      <c r="N6452">
        <v>60</v>
      </c>
      <c r="O6452" t="s">
        <v>52</v>
      </c>
      <c r="Q6452" t="s">
        <v>1734</v>
      </c>
      <c r="R6452" t="s">
        <v>6720</v>
      </c>
      <c r="S6452" t="s">
        <v>961</v>
      </c>
    </row>
    <row r="6453" spans="1:19" x14ac:dyDescent="0.25">
      <c r="A6453" t="s">
        <v>44</v>
      </c>
      <c r="B6453" t="s">
        <v>51</v>
      </c>
      <c r="C6453" t="s">
        <v>32</v>
      </c>
      <c r="D6453" t="s">
        <v>953</v>
      </c>
      <c r="E6453" t="s">
        <v>954</v>
      </c>
      <c r="F6453" t="s">
        <v>35</v>
      </c>
      <c r="G6453" t="s">
        <v>35</v>
      </c>
      <c r="H6453" t="s">
        <v>35</v>
      </c>
      <c r="J6453" t="s">
        <v>6737</v>
      </c>
      <c r="K6453" t="s">
        <v>1092</v>
      </c>
      <c r="M6453">
        <v>0.35</v>
      </c>
      <c r="N6453">
        <v>28</v>
      </c>
      <c r="O6453" t="s">
        <v>46</v>
      </c>
      <c r="Q6453" t="s">
        <v>176</v>
      </c>
      <c r="R6453" t="s">
        <v>6707</v>
      </c>
      <c r="S6453" t="s">
        <v>955</v>
      </c>
    </row>
    <row r="6454" spans="1:19" x14ac:dyDescent="0.25">
      <c r="A6454" t="s">
        <v>30</v>
      </c>
      <c r="B6454" t="s">
        <v>31</v>
      </c>
      <c r="C6454" t="s">
        <v>32</v>
      </c>
      <c r="D6454" t="s">
        <v>953</v>
      </c>
      <c r="E6454" t="s">
        <v>954</v>
      </c>
      <c r="F6454" t="s">
        <v>35</v>
      </c>
      <c r="G6454" t="s">
        <v>35</v>
      </c>
      <c r="H6454" t="s">
        <v>35</v>
      </c>
      <c r="J6454" t="s">
        <v>6737</v>
      </c>
      <c r="K6454" t="s">
        <v>1092</v>
      </c>
      <c r="M6454">
        <v>1.35</v>
      </c>
      <c r="N6454">
        <v>21</v>
      </c>
      <c r="O6454" t="s">
        <v>46</v>
      </c>
      <c r="Q6454" t="s">
        <v>1874</v>
      </c>
      <c r="R6454" t="s">
        <v>6720</v>
      </c>
      <c r="S6454" t="s">
        <v>961</v>
      </c>
    </row>
    <row r="6455" spans="1:19" x14ac:dyDescent="0.25">
      <c r="A6455" t="s">
        <v>44</v>
      </c>
      <c r="B6455" t="s">
        <v>3</v>
      </c>
      <c r="C6455" t="s">
        <v>32</v>
      </c>
      <c r="D6455" t="s">
        <v>953</v>
      </c>
      <c r="E6455" t="s">
        <v>954</v>
      </c>
      <c r="F6455" t="s">
        <v>35</v>
      </c>
      <c r="G6455" t="s">
        <v>35</v>
      </c>
      <c r="H6455" t="s">
        <v>35</v>
      </c>
      <c r="J6455" t="s">
        <v>6737</v>
      </c>
      <c r="K6455" t="s">
        <v>1092</v>
      </c>
      <c r="M6455">
        <v>0.25</v>
      </c>
      <c r="N6455">
        <v>64</v>
      </c>
      <c r="O6455" t="s">
        <v>61</v>
      </c>
      <c r="Q6455" t="s">
        <v>381</v>
      </c>
      <c r="R6455" t="s">
        <v>6720</v>
      </c>
      <c r="S6455" t="s">
        <v>961</v>
      </c>
    </row>
    <row r="6456" spans="1:19" x14ac:dyDescent="0.25">
      <c r="A6456" t="s">
        <v>44</v>
      </c>
      <c r="B6456" t="s">
        <v>3</v>
      </c>
      <c r="C6456" t="s">
        <v>32</v>
      </c>
      <c r="D6456" t="s">
        <v>953</v>
      </c>
      <c r="E6456" t="s">
        <v>954</v>
      </c>
      <c r="F6456" t="s">
        <v>35</v>
      </c>
      <c r="G6456" t="s">
        <v>35</v>
      </c>
      <c r="H6456" t="s">
        <v>35</v>
      </c>
      <c r="J6456" t="s">
        <v>6737</v>
      </c>
      <c r="K6456" t="s">
        <v>1092</v>
      </c>
      <c r="M6456">
        <v>0.25</v>
      </c>
      <c r="N6456">
        <v>65</v>
      </c>
      <c r="O6456" t="s">
        <v>61</v>
      </c>
      <c r="Q6456" t="s">
        <v>128</v>
      </c>
      <c r="R6456" t="s">
        <v>6720</v>
      </c>
      <c r="S6456" t="s">
        <v>961</v>
      </c>
    </row>
    <row r="6457" spans="1:19" x14ac:dyDescent="0.25">
      <c r="A6457" t="s">
        <v>44</v>
      </c>
      <c r="B6457" t="s">
        <v>3</v>
      </c>
      <c r="C6457" t="s">
        <v>32</v>
      </c>
      <c r="D6457" t="s">
        <v>953</v>
      </c>
      <c r="E6457" t="s">
        <v>954</v>
      </c>
      <c r="F6457" t="s">
        <v>35</v>
      </c>
      <c r="G6457" t="s">
        <v>35</v>
      </c>
      <c r="H6457" t="s">
        <v>35</v>
      </c>
      <c r="J6457" t="s">
        <v>6737</v>
      </c>
      <c r="K6457" t="s">
        <v>1092</v>
      </c>
      <c r="M6457">
        <v>2.5</v>
      </c>
      <c r="N6457">
        <v>39</v>
      </c>
      <c r="O6457" t="s">
        <v>52</v>
      </c>
      <c r="Q6457" t="s">
        <v>816</v>
      </c>
      <c r="R6457" t="s">
        <v>6720</v>
      </c>
      <c r="S6457" t="s">
        <v>961</v>
      </c>
    </row>
    <row r="6458" spans="1:19" x14ac:dyDescent="0.25">
      <c r="A6458" t="s">
        <v>44</v>
      </c>
      <c r="B6458" t="s">
        <v>3</v>
      </c>
      <c r="C6458" t="s">
        <v>32</v>
      </c>
      <c r="D6458" t="s">
        <v>953</v>
      </c>
      <c r="E6458" t="s">
        <v>954</v>
      </c>
      <c r="F6458" t="s">
        <v>35</v>
      </c>
      <c r="G6458" t="s">
        <v>35</v>
      </c>
      <c r="H6458" t="s">
        <v>35</v>
      </c>
      <c r="J6458" t="s">
        <v>6737</v>
      </c>
      <c r="K6458" t="s">
        <v>1092</v>
      </c>
      <c r="M6458">
        <v>0.75</v>
      </c>
      <c r="N6458">
        <v>49</v>
      </c>
      <c r="O6458" t="s">
        <v>52</v>
      </c>
      <c r="Q6458" t="s">
        <v>219</v>
      </c>
      <c r="R6458" t="s">
        <v>6720</v>
      </c>
      <c r="S6458" t="s">
        <v>961</v>
      </c>
    </row>
    <row r="6459" spans="1:19" x14ac:dyDescent="0.25">
      <c r="A6459" t="s">
        <v>44</v>
      </c>
      <c r="B6459" t="s">
        <v>3</v>
      </c>
      <c r="C6459" t="s">
        <v>32</v>
      </c>
      <c r="D6459" t="s">
        <v>953</v>
      </c>
      <c r="E6459" t="s">
        <v>954</v>
      </c>
      <c r="F6459" t="s">
        <v>35</v>
      </c>
      <c r="G6459" t="s">
        <v>35</v>
      </c>
      <c r="H6459" t="s">
        <v>35</v>
      </c>
      <c r="J6459" t="s">
        <v>6737</v>
      </c>
      <c r="K6459" t="s">
        <v>1092</v>
      </c>
      <c r="M6459">
        <v>0.25</v>
      </c>
      <c r="N6459">
        <v>52</v>
      </c>
      <c r="O6459" t="s">
        <v>52</v>
      </c>
      <c r="Q6459" t="s">
        <v>1230</v>
      </c>
      <c r="R6459" t="s">
        <v>6720</v>
      </c>
      <c r="S6459" t="s">
        <v>961</v>
      </c>
    </row>
    <row r="6460" spans="1:19" x14ac:dyDescent="0.25">
      <c r="A6460" t="s">
        <v>44</v>
      </c>
      <c r="B6460" t="s">
        <v>3</v>
      </c>
      <c r="C6460" t="s">
        <v>32</v>
      </c>
      <c r="D6460" t="s">
        <v>953</v>
      </c>
      <c r="E6460" t="s">
        <v>954</v>
      </c>
      <c r="F6460" t="s">
        <v>35</v>
      </c>
      <c r="G6460" t="s">
        <v>35</v>
      </c>
      <c r="H6460" t="s">
        <v>35</v>
      </c>
      <c r="J6460" t="s">
        <v>6737</v>
      </c>
      <c r="K6460" t="s">
        <v>1092</v>
      </c>
      <c r="M6460">
        <v>0.25</v>
      </c>
      <c r="N6460">
        <v>56</v>
      </c>
      <c r="O6460" t="s">
        <v>52</v>
      </c>
      <c r="Q6460" t="s">
        <v>453</v>
      </c>
      <c r="R6460" t="s">
        <v>6720</v>
      </c>
      <c r="S6460" t="s">
        <v>961</v>
      </c>
    </row>
    <row r="6461" spans="1:19" x14ac:dyDescent="0.25">
      <c r="A6461" t="s">
        <v>59</v>
      </c>
      <c r="B6461" t="s">
        <v>60</v>
      </c>
      <c r="C6461" t="s">
        <v>32</v>
      </c>
      <c r="D6461" t="s">
        <v>953</v>
      </c>
      <c r="E6461" t="s">
        <v>954</v>
      </c>
      <c r="F6461" t="s">
        <v>35</v>
      </c>
      <c r="G6461" t="s">
        <v>35</v>
      </c>
      <c r="H6461" t="s">
        <v>35</v>
      </c>
      <c r="J6461" t="s">
        <v>6738</v>
      </c>
      <c r="K6461" t="s">
        <v>1092</v>
      </c>
      <c r="M6461">
        <v>1.5</v>
      </c>
      <c r="N6461">
        <v>60</v>
      </c>
      <c r="O6461" t="s">
        <v>52</v>
      </c>
      <c r="Q6461" t="s">
        <v>1734</v>
      </c>
      <c r="R6461" t="s">
        <v>6720</v>
      </c>
      <c r="S6461" t="s">
        <v>961</v>
      </c>
    </row>
    <row r="6462" spans="1:19" x14ac:dyDescent="0.25">
      <c r="A6462" t="s">
        <v>59</v>
      </c>
      <c r="B6462" t="s">
        <v>31</v>
      </c>
      <c r="C6462" t="s">
        <v>32</v>
      </c>
      <c r="D6462" t="s">
        <v>953</v>
      </c>
      <c r="E6462" t="s">
        <v>954</v>
      </c>
      <c r="F6462" t="s">
        <v>35</v>
      </c>
      <c r="G6462" t="s">
        <v>35</v>
      </c>
      <c r="H6462" t="s">
        <v>35</v>
      </c>
      <c r="J6462" t="s">
        <v>6738</v>
      </c>
      <c r="K6462" t="s">
        <v>1092</v>
      </c>
      <c r="M6462">
        <v>0.22500000000000001</v>
      </c>
      <c r="N6462">
        <v>90</v>
      </c>
      <c r="O6462" t="s">
        <v>61</v>
      </c>
      <c r="Q6462" t="s">
        <v>897</v>
      </c>
      <c r="R6462" t="s">
        <v>6720</v>
      </c>
      <c r="S6462" t="s">
        <v>961</v>
      </c>
    </row>
    <row r="6463" spans="1:19" x14ac:dyDescent="0.25">
      <c r="A6463" t="s">
        <v>59</v>
      </c>
      <c r="B6463" t="s">
        <v>60</v>
      </c>
      <c r="C6463" t="s">
        <v>32</v>
      </c>
      <c r="D6463" t="s">
        <v>953</v>
      </c>
      <c r="E6463" t="s">
        <v>954</v>
      </c>
      <c r="F6463" t="s">
        <v>35</v>
      </c>
      <c r="G6463" t="s">
        <v>35</v>
      </c>
      <c r="H6463" t="s">
        <v>35</v>
      </c>
      <c r="J6463" t="s">
        <v>6738</v>
      </c>
      <c r="K6463" t="s">
        <v>1092</v>
      </c>
      <c r="M6463">
        <v>0.3</v>
      </c>
      <c r="N6463">
        <v>77</v>
      </c>
      <c r="O6463" t="s">
        <v>61</v>
      </c>
      <c r="Q6463" t="s">
        <v>305</v>
      </c>
      <c r="R6463" t="s">
        <v>6720</v>
      </c>
      <c r="S6463" t="s">
        <v>961</v>
      </c>
    </row>
    <row r="6464" spans="1:19" x14ac:dyDescent="0.25">
      <c r="A6464" t="s">
        <v>59</v>
      </c>
      <c r="B6464" t="s">
        <v>31</v>
      </c>
      <c r="C6464" t="s">
        <v>32</v>
      </c>
      <c r="D6464" t="s">
        <v>953</v>
      </c>
      <c r="E6464" t="s">
        <v>954</v>
      </c>
      <c r="F6464" t="s">
        <v>35</v>
      </c>
      <c r="G6464" t="s">
        <v>35</v>
      </c>
      <c r="H6464" t="s">
        <v>35</v>
      </c>
      <c r="J6464" t="s">
        <v>6738</v>
      </c>
      <c r="K6464" t="s">
        <v>1092</v>
      </c>
      <c r="M6464">
        <v>0.45</v>
      </c>
      <c r="N6464">
        <v>60</v>
      </c>
      <c r="O6464" t="s">
        <v>52</v>
      </c>
      <c r="Q6464" t="s">
        <v>1734</v>
      </c>
      <c r="R6464" t="s">
        <v>6720</v>
      </c>
      <c r="S6464" t="s">
        <v>961</v>
      </c>
    </row>
    <row r="6465" spans="1:19" x14ac:dyDescent="0.25">
      <c r="A6465" t="s">
        <v>59</v>
      </c>
      <c r="B6465" t="s">
        <v>60</v>
      </c>
      <c r="C6465" t="s">
        <v>32</v>
      </c>
      <c r="D6465" t="s">
        <v>953</v>
      </c>
      <c r="E6465" t="s">
        <v>954</v>
      </c>
      <c r="F6465" t="s">
        <v>35</v>
      </c>
      <c r="G6465" t="s">
        <v>35</v>
      </c>
      <c r="H6465" t="s">
        <v>35</v>
      </c>
      <c r="J6465" t="s">
        <v>6739</v>
      </c>
      <c r="K6465" t="s">
        <v>1092</v>
      </c>
      <c r="M6465">
        <v>0.3</v>
      </c>
      <c r="N6465">
        <v>37</v>
      </c>
      <c r="O6465" t="s">
        <v>52</v>
      </c>
      <c r="Q6465" t="s">
        <v>3499</v>
      </c>
      <c r="R6465" t="s">
        <v>6720</v>
      </c>
      <c r="S6465" t="s">
        <v>961</v>
      </c>
    </row>
    <row r="6466" spans="1:19" x14ac:dyDescent="0.25">
      <c r="A6466" t="s">
        <v>30</v>
      </c>
      <c r="B6466" t="s">
        <v>31</v>
      </c>
      <c r="C6466" t="s">
        <v>32</v>
      </c>
      <c r="D6466" t="s">
        <v>953</v>
      </c>
      <c r="E6466" t="s">
        <v>954</v>
      </c>
      <c r="F6466" t="s">
        <v>35</v>
      </c>
      <c r="G6466" t="s">
        <v>35</v>
      </c>
      <c r="H6466" t="s">
        <v>35</v>
      </c>
      <c r="J6466" t="s">
        <v>6739</v>
      </c>
      <c r="K6466" t="s">
        <v>1092</v>
      </c>
      <c r="M6466">
        <v>0.45</v>
      </c>
      <c r="N6466">
        <v>6</v>
      </c>
      <c r="O6466" t="s">
        <v>46</v>
      </c>
      <c r="Q6466" t="s">
        <v>8168</v>
      </c>
      <c r="R6466" t="s">
        <v>6720</v>
      </c>
      <c r="S6466" t="s">
        <v>961</v>
      </c>
    </row>
    <row r="6467" spans="1:19" x14ac:dyDescent="0.25">
      <c r="A6467" t="s">
        <v>30</v>
      </c>
      <c r="B6467" t="s">
        <v>31</v>
      </c>
      <c r="C6467" t="s">
        <v>32</v>
      </c>
      <c r="D6467" t="s">
        <v>953</v>
      </c>
      <c r="E6467" t="s">
        <v>954</v>
      </c>
      <c r="F6467" t="s">
        <v>35</v>
      </c>
      <c r="G6467" t="s">
        <v>35</v>
      </c>
      <c r="H6467" t="s">
        <v>35</v>
      </c>
      <c r="J6467" t="s">
        <v>6739</v>
      </c>
      <c r="K6467" t="s">
        <v>1092</v>
      </c>
      <c r="M6467">
        <v>0.67500000000000004</v>
      </c>
      <c r="N6467">
        <v>16</v>
      </c>
      <c r="O6467" t="s">
        <v>46</v>
      </c>
      <c r="Q6467" t="s">
        <v>323</v>
      </c>
      <c r="R6467" t="s">
        <v>6720</v>
      </c>
      <c r="S6467" t="s">
        <v>961</v>
      </c>
    </row>
    <row r="6468" spans="1:19" x14ac:dyDescent="0.25">
      <c r="A6468" t="s">
        <v>30</v>
      </c>
      <c r="B6468" t="s">
        <v>31</v>
      </c>
      <c r="C6468" t="s">
        <v>32</v>
      </c>
      <c r="D6468" t="s">
        <v>953</v>
      </c>
      <c r="E6468" t="s">
        <v>954</v>
      </c>
      <c r="F6468" t="s">
        <v>35</v>
      </c>
      <c r="G6468" t="s">
        <v>35</v>
      </c>
      <c r="H6468" t="s">
        <v>35</v>
      </c>
      <c r="J6468" t="s">
        <v>6739</v>
      </c>
      <c r="K6468" t="s">
        <v>1092</v>
      </c>
      <c r="M6468">
        <v>0.45</v>
      </c>
      <c r="N6468">
        <v>19</v>
      </c>
      <c r="O6468" t="s">
        <v>46</v>
      </c>
      <c r="Q6468" t="s">
        <v>1192</v>
      </c>
      <c r="R6468" t="s">
        <v>6720</v>
      </c>
      <c r="S6468" t="s">
        <v>961</v>
      </c>
    </row>
    <row r="6469" spans="1:19" x14ac:dyDescent="0.25">
      <c r="A6469" t="s">
        <v>30</v>
      </c>
      <c r="B6469" t="s">
        <v>31</v>
      </c>
      <c r="C6469" t="s">
        <v>32</v>
      </c>
      <c r="D6469" t="s">
        <v>953</v>
      </c>
      <c r="E6469" t="s">
        <v>954</v>
      </c>
      <c r="F6469" t="s">
        <v>35</v>
      </c>
      <c r="G6469" t="s">
        <v>35</v>
      </c>
      <c r="H6469" t="s">
        <v>35</v>
      </c>
      <c r="J6469" t="s">
        <v>6739</v>
      </c>
      <c r="K6469" t="s">
        <v>1092</v>
      </c>
      <c r="M6469">
        <v>0.67500000000000004</v>
      </c>
      <c r="N6469">
        <v>21</v>
      </c>
      <c r="O6469" t="s">
        <v>46</v>
      </c>
      <c r="Q6469" t="s">
        <v>1874</v>
      </c>
      <c r="R6469" t="s">
        <v>6720</v>
      </c>
      <c r="S6469" t="s">
        <v>961</v>
      </c>
    </row>
    <row r="6470" spans="1:19" x14ac:dyDescent="0.25">
      <c r="A6470" t="s">
        <v>59</v>
      </c>
      <c r="B6470" t="s">
        <v>60</v>
      </c>
      <c r="C6470" t="s">
        <v>32</v>
      </c>
      <c r="D6470" t="s">
        <v>953</v>
      </c>
      <c r="E6470" t="s">
        <v>954</v>
      </c>
      <c r="F6470" t="s">
        <v>35</v>
      </c>
      <c r="G6470" t="s">
        <v>35</v>
      </c>
      <c r="H6470" t="s">
        <v>35</v>
      </c>
      <c r="J6470" t="s">
        <v>6739</v>
      </c>
      <c r="K6470" t="s">
        <v>1092</v>
      </c>
      <c r="M6470">
        <v>0.45</v>
      </c>
      <c r="N6470">
        <v>29</v>
      </c>
      <c r="O6470" t="s">
        <v>46</v>
      </c>
      <c r="Q6470" t="s">
        <v>1645</v>
      </c>
      <c r="R6470" t="s">
        <v>6720</v>
      </c>
      <c r="S6470" t="s">
        <v>961</v>
      </c>
    </row>
    <row r="6471" spans="1:19" x14ac:dyDescent="0.25">
      <c r="A6471" t="s">
        <v>30</v>
      </c>
      <c r="B6471" t="s">
        <v>31</v>
      </c>
      <c r="C6471" t="s">
        <v>32</v>
      </c>
      <c r="D6471" t="s">
        <v>953</v>
      </c>
      <c r="E6471" t="s">
        <v>954</v>
      </c>
      <c r="F6471" t="s">
        <v>35</v>
      </c>
      <c r="G6471" t="s">
        <v>35</v>
      </c>
      <c r="H6471" t="s">
        <v>35</v>
      </c>
      <c r="J6471" t="s">
        <v>6740</v>
      </c>
      <c r="K6471" t="s">
        <v>1092</v>
      </c>
      <c r="M6471">
        <v>4.3650000000000002</v>
      </c>
      <c r="N6471">
        <v>44</v>
      </c>
      <c r="O6471" t="s">
        <v>52</v>
      </c>
      <c r="Q6471" t="s">
        <v>192</v>
      </c>
      <c r="R6471" t="s">
        <v>6742</v>
      </c>
      <c r="S6471" t="s">
        <v>1016</v>
      </c>
    </row>
    <row r="6472" spans="1:19" x14ac:dyDescent="0.25">
      <c r="A6472" t="s">
        <v>59</v>
      </c>
      <c r="B6472" t="s">
        <v>31</v>
      </c>
      <c r="C6472" t="s">
        <v>32</v>
      </c>
      <c r="D6472" t="s">
        <v>953</v>
      </c>
      <c r="E6472" t="s">
        <v>954</v>
      </c>
      <c r="F6472" t="s">
        <v>35</v>
      </c>
      <c r="G6472" t="s">
        <v>35</v>
      </c>
      <c r="H6472" t="s">
        <v>35</v>
      </c>
      <c r="J6472" t="s">
        <v>6740</v>
      </c>
      <c r="K6472" t="s">
        <v>1092</v>
      </c>
      <c r="M6472">
        <v>8.91</v>
      </c>
      <c r="N6472">
        <v>58</v>
      </c>
      <c r="O6472" t="s">
        <v>52</v>
      </c>
      <c r="Q6472" t="s">
        <v>58</v>
      </c>
      <c r="R6472" t="s">
        <v>6723</v>
      </c>
      <c r="S6472" t="s">
        <v>6724</v>
      </c>
    </row>
    <row r="6473" spans="1:19" x14ac:dyDescent="0.25">
      <c r="A6473" t="s">
        <v>59</v>
      </c>
      <c r="B6473" t="s">
        <v>31</v>
      </c>
      <c r="C6473" t="s">
        <v>32</v>
      </c>
      <c r="D6473" t="s">
        <v>953</v>
      </c>
      <c r="E6473" t="s">
        <v>954</v>
      </c>
      <c r="F6473" t="s">
        <v>35</v>
      </c>
      <c r="G6473" t="s">
        <v>35</v>
      </c>
      <c r="H6473" t="s">
        <v>35</v>
      </c>
      <c r="J6473" t="s">
        <v>6743</v>
      </c>
      <c r="K6473" t="s">
        <v>1092</v>
      </c>
      <c r="M6473">
        <v>3.78</v>
      </c>
      <c r="N6473">
        <v>177</v>
      </c>
      <c r="O6473" t="s">
        <v>38</v>
      </c>
      <c r="Q6473" t="s">
        <v>4657</v>
      </c>
      <c r="R6473" t="s">
        <v>6707</v>
      </c>
      <c r="S6473" t="s">
        <v>955</v>
      </c>
    </row>
    <row r="6474" spans="1:19" x14ac:dyDescent="0.25">
      <c r="A6474" t="s">
        <v>59</v>
      </c>
      <c r="B6474" t="s">
        <v>60</v>
      </c>
      <c r="C6474" t="s">
        <v>32</v>
      </c>
      <c r="D6474" t="s">
        <v>953</v>
      </c>
      <c r="E6474" t="s">
        <v>954</v>
      </c>
      <c r="F6474" t="s">
        <v>35</v>
      </c>
      <c r="G6474" t="s">
        <v>35</v>
      </c>
      <c r="H6474" t="s">
        <v>35</v>
      </c>
      <c r="J6474" t="s">
        <v>6743</v>
      </c>
      <c r="K6474" t="s">
        <v>1092</v>
      </c>
      <c r="M6474">
        <v>5.2</v>
      </c>
      <c r="N6474">
        <v>92</v>
      </c>
      <c r="O6474" t="s">
        <v>106</v>
      </c>
      <c r="Q6474" t="s">
        <v>1100</v>
      </c>
      <c r="R6474" t="s">
        <v>6721</v>
      </c>
      <c r="S6474" t="s">
        <v>1078</v>
      </c>
    </row>
    <row r="6475" spans="1:19" x14ac:dyDescent="0.25">
      <c r="A6475" t="s">
        <v>59</v>
      </c>
      <c r="B6475" t="s">
        <v>31</v>
      </c>
      <c r="C6475" t="s">
        <v>32</v>
      </c>
      <c r="D6475" t="s">
        <v>953</v>
      </c>
      <c r="E6475" t="s">
        <v>954</v>
      </c>
      <c r="F6475" t="s">
        <v>35</v>
      </c>
      <c r="G6475" t="s">
        <v>35</v>
      </c>
      <c r="H6475" t="s">
        <v>35</v>
      </c>
      <c r="J6475" t="s">
        <v>6743</v>
      </c>
      <c r="K6475" t="s">
        <v>1092</v>
      </c>
      <c r="M6475">
        <v>0.9</v>
      </c>
      <c r="N6475">
        <v>151</v>
      </c>
      <c r="O6475" t="s">
        <v>38</v>
      </c>
      <c r="Q6475" t="s">
        <v>1269</v>
      </c>
      <c r="R6475" t="s">
        <v>6707</v>
      </c>
      <c r="S6475" t="s">
        <v>955</v>
      </c>
    </row>
    <row r="6476" spans="1:19" x14ac:dyDescent="0.25">
      <c r="A6476" t="s">
        <v>59</v>
      </c>
      <c r="B6476" t="s">
        <v>31</v>
      </c>
      <c r="C6476" t="s">
        <v>32</v>
      </c>
      <c r="D6476" t="s">
        <v>953</v>
      </c>
      <c r="E6476" t="s">
        <v>954</v>
      </c>
      <c r="F6476" t="s">
        <v>35</v>
      </c>
      <c r="G6476" t="s">
        <v>35</v>
      </c>
      <c r="H6476" t="s">
        <v>35</v>
      </c>
      <c r="J6476" t="s">
        <v>6743</v>
      </c>
      <c r="K6476" t="s">
        <v>1092</v>
      </c>
      <c r="M6476">
        <v>4.9950000000000001</v>
      </c>
      <c r="N6476">
        <v>149</v>
      </c>
      <c r="O6476" t="s">
        <v>38</v>
      </c>
      <c r="Q6476" t="s">
        <v>73</v>
      </c>
      <c r="R6476" t="s">
        <v>6707</v>
      </c>
      <c r="S6476" t="s">
        <v>955</v>
      </c>
    </row>
    <row r="6477" spans="1:19" x14ac:dyDescent="0.25">
      <c r="A6477" t="s">
        <v>59</v>
      </c>
      <c r="B6477" t="s">
        <v>60</v>
      </c>
      <c r="C6477" t="s">
        <v>32</v>
      </c>
      <c r="D6477" t="s">
        <v>953</v>
      </c>
      <c r="E6477" t="s">
        <v>954</v>
      </c>
      <c r="F6477" t="s">
        <v>35</v>
      </c>
      <c r="G6477" t="s">
        <v>35</v>
      </c>
      <c r="H6477" t="s">
        <v>35</v>
      </c>
      <c r="J6477" t="s">
        <v>6744</v>
      </c>
      <c r="K6477" t="s">
        <v>1092</v>
      </c>
      <c r="M6477">
        <v>0.2</v>
      </c>
      <c r="N6477">
        <v>39</v>
      </c>
      <c r="O6477" t="s">
        <v>52</v>
      </c>
      <c r="Q6477" t="s">
        <v>816</v>
      </c>
      <c r="R6477" t="s">
        <v>6720</v>
      </c>
      <c r="S6477" t="s">
        <v>961</v>
      </c>
    </row>
    <row r="6478" spans="1:19" x14ac:dyDescent="0.25">
      <c r="A6478" t="s">
        <v>59</v>
      </c>
      <c r="B6478" t="s">
        <v>60</v>
      </c>
      <c r="C6478" t="s">
        <v>32</v>
      </c>
      <c r="D6478" t="s">
        <v>953</v>
      </c>
      <c r="E6478" t="s">
        <v>954</v>
      </c>
      <c r="F6478" t="s">
        <v>35</v>
      </c>
      <c r="G6478" t="s">
        <v>35</v>
      </c>
      <c r="H6478" t="s">
        <v>35</v>
      </c>
      <c r="J6478" t="s">
        <v>6744</v>
      </c>
      <c r="K6478" t="s">
        <v>1092</v>
      </c>
      <c r="M6478">
        <v>0.1</v>
      </c>
      <c r="N6478">
        <v>60</v>
      </c>
      <c r="O6478" t="s">
        <v>52</v>
      </c>
      <c r="Q6478" t="s">
        <v>1734</v>
      </c>
      <c r="R6478" t="s">
        <v>6720</v>
      </c>
      <c r="S6478" t="s">
        <v>961</v>
      </c>
    </row>
    <row r="6479" spans="1:19" x14ac:dyDescent="0.25">
      <c r="A6479" t="s">
        <v>59</v>
      </c>
      <c r="B6479" t="s">
        <v>60</v>
      </c>
      <c r="C6479" t="s">
        <v>32</v>
      </c>
      <c r="D6479" t="s">
        <v>953</v>
      </c>
      <c r="E6479" t="s">
        <v>954</v>
      </c>
      <c r="F6479" t="s">
        <v>35</v>
      </c>
      <c r="G6479" t="s">
        <v>35</v>
      </c>
      <c r="H6479" t="s">
        <v>35</v>
      </c>
      <c r="J6479" t="s">
        <v>6745</v>
      </c>
      <c r="K6479" t="s">
        <v>1092</v>
      </c>
      <c r="M6479">
        <v>0.05</v>
      </c>
      <c r="N6479">
        <v>130</v>
      </c>
      <c r="O6479" t="s">
        <v>38</v>
      </c>
      <c r="Q6479" t="s">
        <v>1656</v>
      </c>
      <c r="R6479" t="s">
        <v>6746</v>
      </c>
      <c r="S6479" t="s">
        <v>6747</v>
      </c>
    </row>
    <row r="6480" spans="1:19" x14ac:dyDescent="0.25">
      <c r="A6480" t="s">
        <v>59</v>
      </c>
      <c r="B6480" t="s">
        <v>60</v>
      </c>
      <c r="C6480" t="s">
        <v>32</v>
      </c>
      <c r="D6480" t="s">
        <v>953</v>
      </c>
      <c r="E6480" t="s">
        <v>954</v>
      </c>
      <c r="F6480" t="s">
        <v>35</v>
      </c>
      <c r="G6480" t="s">
        <v>35</v>
      </c>
      <c r="H6480" t="s">
        <v>35</v>
      </c>
      <c r="J6480" t="s">
        <v>6745</v>
      </c>
      <c r="K6480" t="s">
        <v>1092</v>
      </c>
      <c r="M6480">
        <v>0.1</v>
      </c>
      <c r="N6480">
        <v>102</v>
      </c>
      <c r="O6480" t="s">
        <v>106</v>
      </c>
      <c r="Q6480" t="s">
        <v>2747</v>
      </c>
      <c r="R6480" t="s">
        <v>6746</v>
      </c>
      <c r="S6480" t="s">
        <v>6747</v>
      </c>
    </row>
    <row r="6481" spans="1:19" x14ac:dyDescent="0.25">
      <c r="A6481" t="s">
        <v>59</v>
      </c>
      <c r="B6481" t="s">
        <v>60</v>
      </c>
      <c r="C6481" t="s">
        <v>32</v>
      </c>
      <c r="D6481" t="s">
        <v>953</v>
      </c>
      <c r="E6481" t="s">
        <v>954</v>
      </c>
      <c r="F6481" t="s">
        <v>35</v>
      </c>
      <c r="G6481" t="s">
        <v>35</v>
      </c>
      <c r="H6481" t="s">
        <v>35</v>
      </c>
      <c r="J6481" t="s">
        <v>6750</v>
      </c>
      <c r="K6481" t="s">
        <v>1092</v>
      </c>
      <c r="M6481">
        <v>0.1</v>
      </c>
      <c r="N6481">
        <v>175</v>
      </c>
      <c r="O6481" t="s">
        <v>38</v>
      </c>
      <c r="Q6481" t="s">
        <v>1692</v>
      </c>
      <c r="R6481" t="s">
        <v>6707</v>
      </c>
      <c r="S6481" t="s">
        <v>955</v>
      </c>
    </row>
    <row r="6482" spans="1:19" x14ac:dyDescent="0.25">
      <c r="A6482" t="s">
        <v>44</v>
      </c>
      <c r="B6482" t="s">
        <v>51</v>
      </c>
      <c r="C6482" t="s">
        <v>32</v>
      </c>
      <c r="D6482" t="s">
        <v>953</v>
      </c>
      <c r="E6482" t="s">
        <v>954</v>
      </c>
      <c r="F6482" t="s">
        <v>35</v>
      </c>
      <c r="G6482" t="s">
        <v>35</v>
      </c>
      <c r="H6482" t="s">
        <v>35</v>
      </c>
      <c r="J6482" t="s">
        <v>6750</v>
      </c>
      <c r="K6482" t="s">
        <v>1092</v>
      </c>
      <c r="M6482">
        <v>2</v>
      </c>
      <c r="N6482">
        <v>20</v>
      </c>
      <c r="O6482" t="s">
        <v>46</v>
      </c>
      <c r="Q6482" t="s">
        <v>1004</v>
      </c>
      <c r="R6482" t="s">
        <v>6707</v>
      </c>
      <c r="S6482" t="s">
        <v>955</v>
      </c>
    </row>
    <row r="6483" spans="1:19" x14ac:dyDescent="0.25">
      <c r="A6483" t="s">
        <v>30</v>
      </c>
      <c r="B6483" t="s">
        <v>31</v>
      </c>
      <c r="C6483" t="s">
        <v>32</v>
      </c>
      <c r="D6483" t="s">
        <v>953</v>
      </c>
      <c r="E6483" t="s">
        <v>954</v>
      </c>
      <c r="F6483" t="s">
        <v>35</v>
      </c>
      <c r="G6483" t="s">
        <v>35</v>
      </c>
      <c r="H6483" t="s">
        <v>35</v>
      </c>
      <c r="J6483" t="s">
        <v>6750</v>
      </c>
      <c r="K6483" t="s">
        <v>1092</v>
      </c>
      <c r="M6483">
        <v>0.85499999999999998</v>
      </c>
      <c r="N6483">
        <v>33</v>
      </c>
      <c r="O6483" t="s">
        <v>52</v>
      </c>
      <c r="Q6483" t="s">
        <v>137</v>
      </c>
      <c r="R6483" t="s">
        <v>6707</v>
      </c>
      <c r="S6483" t="s">
        <v>955</v>
      </c>
    </row>
    <row r="6484" spans="1:19" x14ac:dyDescent="0.25">
      <c r="A6484" t="s">
        <v>44</v>
      </c>
      <c r="B6484" t="s">
        <v>51</v>
      </c>
      <c r="C6484" t="s">
        <v>32</v>
      </c>
      <c r="D6484" t="s">
        <v>953</v>
      </c>
      <c r="E6484" t="s">
        <v>954</v>
      </c>
      <c r="F6484" t="s">
        <v>35</v>
      </c>
      <c r="G6484" t="s">
        <v>35</v>
      </c>
      <c r="H6484" t="s">
        <v>35</v>
      </c>
      <c r="J6484" t="s">
        <v>6751</v>
      </c>
      <c r="K6484" t="s">
        <v>1092</v>
      </c>
      <c r="M6484">
        <v>0.1</v>
      </c>
      <c r="N6484">
        <v>495</v>
      </c>
      <c r="O6484" t="s">
        <v>294</v>
      </c>
      <c r="Q6484" t="s">
        <v>2610</v>
      </c>
      <c r="R6484" t="s">
        <v>6720</v>
      </c>
      <c r="S6484" t="s">
        <v>961</v>
      </c>
    </row>
    <row r="6485" spans="1:19" x14ac:dyDescent="0.25">
      <c r="A6485" t="s">
        <v>59</v>
      </c>
      <c r="B6485" t="s">
        <v>60</v>
      </c>
      <c r="C6485" t="s">
        <v>32</v>
      </c>
      <c r="D6485" t="s">
        <v>953</v>
      </c>
      <c r="E6485" t="s">
        <v>954</v>
      </c>
      <c r="F6485" t="s">
        <v>35</v>
      </c>
      <c r="G6485" t="s">
        <v>35</v>
      </c>
      <c r="H6485" t="s">
        <v>35</v>
      </c>
      <c r="J6485" t="s">
        <v>6751</v>
      </c>
      <c r="K6485" t="s">
        <v>1092</v>
      </c>
      <c r="M6485">
        <v>0.25</v>
      </c>
      <c r="N6485">
        <v>44</v>
      </c>
      <c r="O6485" t="s">
        <v>52</v>
      </c>
      <c r="Q6485" t="s">
        <v>192</v>
      </c>
      <c r="R6485" t="s">
        <v>6720</v>
      </c>
      <c r="S6485" t="s">
        <v>961</v>
      </c>
    </row>
    <row r="6486" spans="1:19" x14ac:dyDescent="0.25">
      <c r="A6486" t="s">
        <v>30</v>
      </c>
      <c r="B6486" t="s">
        <v>31</v>
      </c>
      <c r="C6486" t="s">
        <v>32</v>
      </c>
      <c r="D6486" t="s">
        <v>953</v>
      </c>
      <c r="E6486" t="s">
        <v>954</v>
      </c>
      <c r="F6486" t="s">
        <v>35</v>
      </c>
      <c r="G6486" t="s">
        <v>35</v>
      </c>
      <c r="H6486" t="s">
        <v>35</v>
      </c>
      <c r="J6486" t="s">
        <v>6751</v>
      </c>
      <c r="K6486" t="s">
        <v>1092</v>
      </c>
      <c r="M6486">
        <v>0.9</v>
      </c>
      <c r="N6486">
        <v>39</v>
      </c>
      <c r="O6486" t="s">
        <v>52</v>
      </c>
      <c r="Q6486" t="s">
        <v>816</v>
      </c>
      <c r="R6486" t="s">
        <v>6720</v>
      </c>
      <c r="S6486" t="s">
        <v>961</v>
      </c>
    </row>
    <row r="6487" spans="1:19" x14ac:dyDescent="0.25">
      <c r="A6487" t="s">
        <v>30</v>
      </c>
      <c r="B6487" t="s">
        <v>31</v>
      </c>
      <c r="C6487" t="s">
        <v>32</v>
      </c>
      <c r="D6487" t="s">
        <v>953</v>
      </c>
      <c r="E6487" t="s">
        <v>954</v>
      </c>
      <c r="F6487" t="s">
        <v>35</v>
      </c>
      <c r="G6487" t="s">
        <v>35</v>
      </c>
      <c r="H6487" t="s">
        <v>35</v>
      </c>
      <c r="J6487" t="s">
        <v>6751</v>
      </c>
      <c r="K6487" t="s">
        <v>1092</v>
      </c>
      <c r="M6487">
        <v>0.45</v>
      </c>
      <c r="N6487">
        <v>44</v>
      </c>
      <c r="O6487" t="s">
        <v>52</v>
      </c>
      <c r="Q6487" t="s">
        <v>192</v>
      </c>
      <c r="R6487" t="s">
        <v>6720</v>
      </c>
      <c r="S6487" t="s">
        <v>961</v>
      </c>
    </row>
    <row r="6488" spans="1:19" x14ac:dyDescent="0.25">
      <c r="A6488" t="s">
        <v>44</v>
      </c>
      <c r="B6488" t="s">
        <v>51</v>
      </c>
      <c r="C6488" t="s">
        <v>32</v>
      </c>
      <c r="D6488" t="s">
        <v>953</v>
      </c>
      <c r="E6488" t="s">
        <v>954</v>
      </c>
      <c r="F6488" t="s">
        <v>35</v>
      </c>
      <c r="G6488" t="s">
        <v>35</v>
      </c>
      <c r="H6488" t="s">
        <v>35</v>
      </c>
      <c r="J6488" t="s">
        <v>6751</v>
      </c>
      <c r="K6488" t="s">
        <v>1092</v>
      </c>
      <c r="M6488">
        <v>0.1</v>
      </c>
      <c r="N6488">
        <v>44</v>
      </c>
      <c r="O6488" t="s">
        <v>52</v>
      </c>
      <c r="Q6488" t="s">
        <v>192</v>
      </c>
      <c r="R6488" t="s">
        <v>6720</v>
      </c>
      <c r="S6488" t="s">
        <v>961</v>
      </c>
    </row>
    <row r="6489" spans="1:19" x14ac:dyDescent="0.25">
      <c r="A6489" t="s">
        <v>44</v>
      </c>
      <c r="B6489" t="s">
        <v>3</v>
      </c>
      <c r="C6489" t="s">
        <v>32</v>
      </c>
      <c r="D6489" t="s">
        <v>953</v>
      </c>
      <c r="E6489" t="s">
        <v>954</v>
      </c>
      <c r="F6489" t="s">
        <v>35</v>
      </c>
      <c r="G6489" t="s">
        <v>35</v>
      </c>
      <c r="H6489" t="s">
        <v>35</v>
      </c>
      <c r="J6489" t="s">
        <v>6751</v>
      </c>
      <c r="K6489" t="s">
        <v>1092</v>
      </c>
      <c r="M6489">
        <v>0.15</v>
      </c>
      <c r="N6489">
        <v>44</v>
      </c>
      <c r="O6489" t="s">
        <v>52</v>
      </c>
      <c r="Q6489" t="s">
        <v>192</v>
      </c>
      <c r="R6489" t="s">
        <v>6720</v>
      </c>
      <c r="S6489" t="s">
        <v>961</v>
      </c>
    </row>
    <row r="6490" spans="1:19" x14ac:dyDescent="0.25">
      <c r="A6490" t="s">
        <v>44</v>
      </c>
      <c r="B6490" t="s">
        <v>3</v>
      </c>
      <c r="C6490" t="s">
        <v>32</v>
      </c>
      <c r="D6490" t="s">
        <v>953</v>
      </c>
      <c r="E6490" t="s">
        <v>954</v>
      </c>
      <c r="F6490" t="s">
        <v>35</v>
      </c>
      <c r="G6490" t="s">
        <v>35</v>
      </c>
      <c r="H6490" t="s">
        <v>35</v>
      </c>
      <c r="J6490" t="s">
        <v>6751</v>
      </c>
      <c r="K6490" t="s">
        <v>1092</v>
      </c>
      <c r="M6490">
        <v>0.25</v>
      </c>
      <c r="N6490">
        <v>11</v>
      </c>
      <c r="O6490" t="s">
        <v>46</v>
      </c>
      <c r="Q6490" t="s">
        <v>1053</v>
      </c>
      <c r="R6490" t="s">
        <v>6720</v>
      </c>
      <c r="S6490" t="s">
        <v>961</v>
      </c>
    </row>
    <row r="6491" spans="1:19" x14ac:dyDescent="0.25">
      <c r="A6491" t="s">
        <v>59</v>
      </c>
      <c r="B6491" t="s">
        <v>60</v>
      </c>
      <c r="C6491" t="s">
        <v>32</v>
      </c>
      <c r="D6491" t="s">
        <v>953</v>
      </c>
      <c r="E6491" t="s">
        <v>954</v>
      </c>
      <c r="F6491" t="s">
        <v>35</v>
      </c>
      <c r="G6491" t="s">
        <v>35</v>
      </c>
      <c r="H6491" t="s">
        <v>35</v>
      </c>
      <c r="J6491" t="s">
        <v>6751</v>
      </c>
      <c r="K6491" t="s">
        <v>1092</v>
      </c>
      <c r="M6491">
        <v>0.2</v>
      </c>
      <c r="N6491">
        <v>56</v>
      </c>
      <c r="O6491" t="s">
        <v>52</v>
      </c>
      <c r="Q6491" t="s">
        <v>453</v>
      </c>
      <c r="R6491" t="s">
        <v>6720</v>
      </c>
      <c r="S6491" t="s">
        <v>961</v>
      </c>
    </row>
    <row r="6492" spans="1:19" x14ac:dyDescent="0.25">
      <c r="A6492" t="s">
        <v>59</v>
      </c>
      <c r="B6492" t="s">
        <v>31</v>
      </c>
      <c r="C6492" t="s">
        <v>32</v>
      </c>
      <c r="D6492" t="s">
        <v>953</v>
      </c>
      <c r="E6492" t="s">
        <v>954</v>
      </c>
      <c r="F6492" t="s">
        <v>35</v>
      </c>
      <c r="G6492" t="s">
        <v>35</v>
      </c>
      <c r="H6492" t="s">
        <v>35</v>
      </c>
      <c r="J6492" t="s">
        <v>6752</v>
      </c>
      <c r="K6492" t="s">
        <v>1092</v>
      </c>
      <c r="M6492">
        <v>0.45</v>
      </c>
      <c r="N6492">
        <v>87</v>
      </c>
      <c r="O6492" t="s">
        <v>61</v>
      </c>
      <c r="Q6492" t="s">
        <v>1639</v>
      </c>
      <c r="R6492" t="s">
        <v>6720</v>
      </c>
      <c r="S6492" t="s">
        <v>961</v>
      </c>
    </row>
    <row r="6493" spans="1:19" x14ac:dyDescent="0.25">
      <c r="A6493" t="s">
        <v>59</v>
      </c>
      <c r="B6493" t="s">
        <v>60</v>
      </c>
      <c r="C6493" t="s">
        <v>32</v>
      </c>
      <c r="D6493" t="s">
        <v>953</v>
      </c>
      <c r="E6493" t="s">
        <v>954</v>
      </c>
      <c r="F6493" t="s">
        <v>35</v>
      </c>
      <c r="G6493" t="s">
        <v>35</v>
      </c>
      <c r="H6493" t="s">
        <v>35</v>
      </c>
      <c r="J6493" t="s">
        <v>6752</v>
      </c>
      <c r="K6493" t="s">
        <v>1092</v>
      </c>
      <c r="M6493">
        <v>5</v>
      </c>
      <c r="N6493">
        <v>91</v>
      </c>
      <c r="O6493" t="s">
        <v>106</v>
      </c>
      <c r="Q6493" t="s">
        <v>1147</v>
      </c>
      <c r="R6493" t="s">
        <v>133</v>
      </c>
      <c r="S6493" t="s">
        <v>134</v>
      </c>
    </row>
    <row r="6494" spans="1:19" x14ac:dyDescent="0.25">
      <c r="A6494" t="s">
        <v>59</v>
      </c>
      <c r="B6494" t="s">
        <v>60</v>
      </c>
      <c r="C6494" t="s">
        <v>32</v>
      </c>
      <c r="D6494" t="s">
        <v>953</v>
      </c>
      <c r="E6494" t="s">
        <v>954</v>
      </c>
      <c r="F6494" t="s">
        <v>35</v>
      </c>
      <c r="G6494" t="s">
        <v>35</v>
      </c>
      <c r="H6494" t="s">
        <v>35</v>
      </c>
      <c r="J6494" t="s">
        <v>6752</v>
      </c>
      <c r="K6494" t="s">
        <v>1092</v>
      </c>
      <c r="M6494">
        <v>0.25</v>
      </c>
      <c r="N6494">
        <v>46</v>
      </c>
      <c r="O6494" t="s">
        <v>52</v>
      </c>
      <c r="Q6494" t="s">
        <v>493</v>
      </c>
      <c r="R6494" t="s">
        <v>6720</v>
      </c>
      <c r="S6494" t="s">
        <v>961</v>
      </c>
    </row>
    <row r="6495" spans="1:19" x14ac:dyDescent="0.25">
      <c r="A6495" t="s">
        <v>59</v>
      </c>
      <c r="B6495" t="s">
        <v>31</v>
      </c>
      <c r="C6495" t="s">
        <v>32</v>
      </c>
      <c r="D6495" t="s">
        <v>953</v>
      </c>
      <c r="E6495" t="s">
        <v>954</v>
      </c>
      <c r="F6495" t="s">
        <v>35</v>
      </c>
      <c r="G6495" t="s">
        <v>35</v>
      </c>
      <c r="H6495" t="s">
        <v>35</v>
      </c>
      <c r="J6495" t="s">
        <v>6752</v>
      </c>
      <c r="K6495" t="s">
        <v>1092</v>
      </c>
      <c r="M6495">
        <v>1.08</v>
      </c>
      <c r="N6495">
        <v>142</v>
      </c>
      <c r="O6495" t="s">
        <v>38</v>
      </c>
      <c r="Q6495" t="s">
        <v>2067</v>
      </c>
      <c r="R6495" t="s">
        <v>6720</v>
      </c>
      <c r="S6495" t="s">
        <v>961</v>
      </c>
    </row>
    <row r="6496" spans="1:19" x14ac:dyDescent="0.25">
      <c r="A6496" t="s">
        <v>59</v>
      </c>
      <c r="B6496" t="s">
        <v>31</v>
      </c>
      <c r="C6496" t="s">
        <v>32</v>
      </c>
      <c r="D6496" t="s">
        <v>953</v>
      </c>
      <c r="E6496" t="s">
        <v>954</v>
      </c>
      <c r="F6496" t="s">
        <v>35</v>
      </c>
      <c r="G6496" t="s">
        <v>35</v>
      </c>
      <c r="H6496" t="s">
        <v>35</v>
      </c>
      <c r="J6496" t="s">
        <v>6752</v>
      </c>
      <c r="K6496" t="s">
        <v>1092</v>
      </c>
      <c r="M6496">
        <v>0.45</v>
      </c>
      <c r="N6496">
        <v>92</v>
      </c>
      <c r="O6496" t="s">
        <v>106</v>
      </c>
      <c r="Q6496" t="s">
        <v>1100</v>
      </c>
      <c r="R6496" t="s">
        <v>6720</v>
      </c>
      <c r="S6496" t="s">
        <v>961</v>
      </c>
    </row>
    <row r="6497" spans="1:19" x14ac:dyDescent="0.25">
      <c r="A6497" t="s">
        <v>44</v>
      </c>
      <c r="B6497" t="s">
        <v>51</v>
      </c>
      <c r="C6497" t="s">
        <v>32</v>
      </c>
      <c r="D6497" t="s">
        <v>953</v>
      </c>
      <c r="E6497" t="s">
        <v>954</v>
      </c>
      <c r="F6497" t="s">
        <v>35</v>
      </c>
      <c r="G6497" t="s">
        <v>35</v>
      </c>
      <c r="H6497" t="s">
        <v>35</v>
      </c>
      <c r="J6497" t="s">
        <v>6752</v>
      </c>
      <c r="K6497" t="s">
        <v>1092</v>
      </c>
      <c r="M6497">
        <v>0.5</v>
      </c>
      <c r="N6497">
        <v>239</v>
      </c>
      <c r="O6497" t="s">
        <v>5</v>
      </c>
      <c r="Q6497" t="s">
        <v>1471</v>
      </c>
      <c r="R6497" t="s">
        <v>6720</v>
      </c>
      <c r="S6497" t="s">
        <v>961</v>
      </c>
    </row>
    <row r="6498" spans="1:19" x14ac:dyDescent="0.25">
      <c r="A6498" t="s">
        <v>30</v>
      </c>
      <c r="B6498" t="s">
        <v>31</v>
      </c>
      <c r="C6498" t="s">
        <v>32</v>
      </c>
      <c r="D6498" t="s">
        <v>953</v>
      </c>
      <c r="E6498" t="s">
        <v>954</v>
      </c>
      <c r="F6498" t="s">
        <v>35</v>
      </c>
      <c r="G6498" t="s">
        <v>35</v>
      </c>
      <c r="H6498" t="s">
        <v>35</v>
      </c>
      <c r="J6498" t="s">
        <v>6752</v>
      </c>
      <c r="K6498" t="s">
        <v>1092</v>
      </c>
      <c r="M6498">
        <v>0.9</v>
      </c>
      <c r="N6498">
        <v>44</v>
      </c>
      <c r="O6498" t="s">
        <v>52</v>
      </c>
      <c r="Q6498" t="s">
        <v>192</v>
      </c>
      <c r="R6498" t="s">
        <v>6720</v>
      </c>
      <c r="S6498" t="s">
        <v>961</v>
      </c>
    </row>
    <row r="6499" spans="1:19" x14ac:dyDescent="0.25">
      <c r="A6499" t="s">
        <v>44</v>
      </c>
      <c r="B6499" t="s">
        <v>51</v>
      </c>
      <c r="C6499" t="s">
        <v>32</v>
      </c>
      <c r="D6499" t="s">
        <v>953</v>
      </c>
      <c r="E6499" t="s">
        <v>954</v>
      </c>
      <c r="F6499" t="s">
        <v>35</v>
      </c>
      <c r="G6499" t="s">
        <v>35</v>
      </c>
      <c r="H6499" t="s">
        <v>35</v>
      </c>
      <c r="J6499" t="s">
        <v>6752</v>
      </c>
      <c r="K6499" t="s">
        <v>1092</v>
      </c>
      <c r="M6499">
        <v>0.25</v>
      </c>
      <c r="N6499">
        <v>506</v>
      </c>
      <c r="O6499" t="s">
        <v>294</v>
      </c>
      <c r="Q6499" t="s">
        <v>2101</v>
      </c>
      <c r="R6499" t="s">
        <v>6720</v>
      </c>
      <c r="S6499" t="s">
        <v>961</v>
      </c>
    </row>
    <row r="6500" spans="1:19" x14ac:dyDescent="0.25">
      <c r="A6500" t="s">
        <v>44</v>
      </c>
      <c r="B6500" t="s">
        <v>51</v>
      </c>
      <c r="C6500" t="s">
        <v>32</v>
      </c>
      <c r="D6500" t="s">
        <v>953</v>
      </c>
      <c r="E6500" t="s">
        <v>954</v>
      </c>
      <c r="F6500" t="s">
        <v>35</v>
      </c>
      <c r="G6500" t="s">
        <v>35</v>
      </c>
      <c r="H6500" t="s">
        <v>35</v>
      </c>
      <c r="J6500" t="s">
        <v>6752</v>
      </c>
      <c r="K6500" t="s">
        <v>1092</v>
      </c>
      <c r="M6500">
        <v>0.25</v>
      </c>
      <c r="N6500">
        <v>495</v>
      </c>
      <c r="O6500" t="s">
        <v>294</v>
      </c>
      <c r="Q6500" t="s">
        <v>2610</v>
      </c>
      <c r="R6500" t="s">
        <v>6720</v>
      </c>
      <c r="S6500" t="s">
        <v>961</v>
      </c>
    </row>
    <row r="6501" spans="1:19" x14ac:dyDescent="0.25">
      <c r="A6501" t="s">
        <v>44</v>
      </c>
      <c r="B6501" t="s">
        <v>51</v>
      </c>
      <c r="C6501" t="s">
        <v>32</v>
      </c>
      <c r="D6501" t="s">
        <v>953</v>
      </c>
      <c r="E6501" t="s">
        <v>954</v>
      </c>
      <c r="F6501" t="s">
        <v>35</v>
      </c>
      <c r="G6501" t="s">
        <v>35</v>
      </c>
      <c r="H6501" t="s">
        <v>35</v>
      </c>
      <c r="J6501" t="s">
        <v>6752</v>
      </c>
      <c r="K6501" t="s">
        <v>1092</v>
      </c>
      <c r="M6501">
        <v>2</v>
      </c>
      <c r="N6501">
        <v>492</v>
      </c>
      <c r="O6501" t="s">
        <v>294</v>
      </c>
      <c r="Q6501" t="s">
        <v>1186</v>
      </c>
      <c r="R6501" t="s">
        <v>6720</v>
      </c>
      <c r="S6501" t="s">
        <v>961</v>
      </c>
    </row>
    <row r="6502" spans="1:19" x14ac:dyDescent="0.25">
      <c r="A6502" t="s">
        <v>44</v>
      </c>
      <c r="B6502" t="s">
        <v>51</v>
      </c>
      <c r="C6502" t="s">
        <v>32</v>
      </c>
      <c r="D6502" t="s">
        <v>953</v>
      </c>
      <c r="E6502" t="s">
        <v>954</v>
      </c>
      <c r="F6502" t="s">
        <v>35</v>
      </c>
      <c r="G6502" t="s">
        <v>35</v>
      </c>
      <c r="H6502" t="s">
        <v>35</v>
      </c>
      <c r="J6502" t="s">
        <v>6752</v>
      </c>
      <c r="K6502" t="s">
        <v>1092</v>
      </c>
      <c r="M6502">
        <v>0.5</v>
      </c>
      <c r="N6502">
        <v>477</v>
      </c>
      <c r="O6502" t="s">
        <v>294</v>
      </c>
      <c r="Q6502" t="s">
        <v>6754</v>
      </c>
      <c r="R6502" t="s">
        <v>6720</v>
      </c>
      <c r="S6502" t="s">
        <v>961</v>
      </c>
    </row>
    <row r="6503" spans="1:19" x14ac:dyDescent="0.25">
      <c r="A6503" t="s">
        <v>44</v>
      </c>
      <c r="B6503" t="s">
        <v>3</v>
      </c>
      <c r="C6503" t="s">
        <v>32</v>
      </c>
      <c r="D6503" t="s">
        <v>953</v>
      </c>
      <c r="E6503" t="s">
        <v>954</v>
      </c>
      <c r="F6503" t="s">
        <v>35</v>
      </c>
      <c r="G6503" t="s">
        <v>35</v>
      </c>
      <c r="H6503" t="s">
        <v>35</v>
      </c>
      <c r="J6503" t="s">
        <v>6752</v>
      </c>
      <c r="K6503" t="s">
        <v>1092</v>
      </c>
      <c r="M6503">
        <v>0.15</v>
      </c>
      <c r="N6503">
        <v>444</v>
      </c>
      <c r="O6503" t="s">
        <v>294</v>
      </c>
      <c r="Q6503" t="s">
        <v>6753</v>
      </c>
      <c r="R6503" t="s">
        <v>6720</v>
      </c>
      <c r="S6503" t="s">
        <v>961</v>
      </c>
    </row>
    <row r="6504" spans="1:19" x14ac:dyDescent="0.25">
      <c r="A6504" t="s">
        <v>44</v>
      </c>
      <c r="B6504" t="s">
        <v>3</v>
      </c>
      <c r="C6504" t="s">
        <v>32</v>
      </c>
      <c r="D6504" t="s">
        <v>953</v>
      </c>
      <c r="E6504" t="s">
        <v>954</v>
      </c>
      <c r="F6504" t="s">
        <v>35</v>
      </c>
      <c r="G6504" t="s">
        <v>35</v>
      </c>
      <c r="H6504" t="s">
        <v>35</v>
      </c>
      <c r="J6504" t="s">
        <v>6752</v>
      </c>
      <c r="K6504" t="s">
        <v>1092</v>
      </c>
      <c r="M6504">
        <v>0.25</v>
      </c>
      <c r="N6504">
        <v>423</v>
      </c>
      <c r="O6504" t="s">
        <v>294</v>
      </c>
      <c r="Q6504" t="s">
        <v>1607</v>
      </c>
      <c r="R6504" t="s">
        <v>6720</v>
      </c>
      <c r="S6504" t="s">
        <v>961</v>
      </c>
    </row>
    <row r="6505" spans="1:19" x14ac:dyDescent="0.25">
      <c r="A6505" t="s">
        <v>44</v>
      </c>
      <c r="B6505" t="s">
        <v>51</v>
      </c>
      <c r="C6505" t="s">
        <v>32</v>
      </c>
      <c r="D6505" t="s">
        <v>953</v>
      </c>
      <c r="E6505" t="s">
        <v>954</v>
      </c>
      <c r="F6505" t="s">
        <v>35</v>
      </c>
      <c r="G6505" t="s">
        <v>35</v>
      </c>
      <c r="H6505" t="s">
        <v>35</v>
      </c>
      <c r="J6505" t="s">
        <v>6752</v>
      </c>
      <c r="K6505" t="s">
        <v>1092</v>
      </c>
      <c r="M6505">
        <v>0.15</v>
      </c>
      <c r="N6505">
        <v>270</v>
      </c>
      <c r="O6505" t="s">
        <v>5</v>
      </c>
      <c r="Q6505" t="s">
        <v>2486</v>
      </c>
      <c r="R6505" t="s">
        <v>6720</v>
      </c>
      <c r="S6505" t="s">
        <v>961</v>
      </c>
    </row>
    <row r="6506" spans="1:19" x14ac:dyDescent="0.25">
      <c r="A6506" t="s">
        <v>44</v>
      </c>
      <c r="B6506" t="s">
        <v>51</v>
      </c>
      <c r="C6506" t="s">
        <v>32</v>
      </c>
      <c r="D6506" t="s">
        <v>953</v>
      </c>
      <c r="E6506" t="s">
        <v>954</v>
      </c>
      <c r="F6506" t="s">
        <v>35</v>
      </c>
      <c r="G6506" t="s">
        <v>35</v>
      </c>
      <c r="H6506" t="s">
        <v>35</v>
      </c>
      <c r="J6506" t="s">
        <v>6752</v>
      </c>
      <c r="K6506" t="s">
        <v>1092</v>
      </c>
      <c r="M6506">
        <v>0.35</v>
      </c>
      <c r="N6506">
        <v>165</v>
      </c>
      <c r="O6506" t="s">
        <v>38</v>
      </c>
      <c r="Q6506" t="s">
        <v>1548</v>
      </c>
      <c r="R6506" t="s">
        <v>6720</v>
      </c>
      <c r="S6506" t="s">
        <v>961</v>
      </c>
    </row>
    <row r="6507" spans="1:19" x14ac:dyDescent="0.25">
      <c r="A6507" t="s">
        <v>44</v>
      </c>
      <c r="B6507" t="s">
        <v>51</v>
      </c>
      <c r="C6507" t="s">
        <v>32</v>
      </c>
      <c r="D6507" t="s">
        <v>953</v>
      </c>
      <c r="E6507" t="s">
        <v>954</v>
      </c>
      <c r="F6507" t="s">
        <v>35</v>
      </c>
      <c r="G6507" t="s">
        <v>35</v>
      </c>
      <c r="H6507" t="s">
        <v>35</v>
      </c>
      <c r="J6507" t="s">
        <v>6752</v>
      </c>
      <c r="K6507" t="s">
        <v>1092</v>
      </c>
      <c r="M6507">
        <v>0.25</v>
      </c>
      <c r="N6507">
        <v>157</v>
      </c>
      <c r="O6507" t="s">
        <v>38</v>
      </c>
      <c r="Q6507" t="s">
        <v>1145</v>
      </c>
      <c r="R6507" t="s">
        <v>6720</v>
      </c>
      <c r="S6507" t="s">
        <v>961</v>
      </c>
    </row>
    <row r="6508" spans="1:19" x14ac:dyDescent="0.25">
      <c r="A6508" t="s">
        <v>30</v>
      </c>
      <c r="B6508" t="s">
        <v>31</v>
      </c>
      <c r="C6508" t="s">
        <v>32</v>
      </c>
      <c r="D6508" t="s">
        <v>953</v>
      </c>
      <c r="E6508" t="s">
        <v>954</v>
      </c>
      <c r="F6508" t="s">
        <v>35</v>
      </c>
      <c r="G6508" t="s">
        <v>35</v>
      </c>
      <c r="H6508" t="s">
        <v>35</v>
      </c>
      <c r="J6508" t="s">
        <v>1243</v>
      </c>
      <c r="K6508" t="s">
        <v>1092</v>
      </c>
      <c r="M6508">
        <v>3.105</v>
      </c>
      <c r="N6508">
        <v>47</v>
      </c>
      <c r="O6508" t="s">
        <v>52</v>
      </c>
      <c r="Q6508" t="s">
        <v>132</v>
      </c>
      <c r="R6508" t="s">
        <v>987</v>
      </c>
      <c r="S6508" t="s">
        <v>988</v>
      </c>
    </row>
    <row r="6509" spans="1:19" x14ac:dyDescent="0.25">
      <c r="A6509" t="s">
        <v>44</v>
      </c>
      <c r="B6509" t="s">
        <v>51</v>
      </c>
      <c r="C6509" t="s">
        <v>32</v>
      </c>
      <c r="D6509" t="s">
        <v>953</v>
      </c>
      <c r="E6509" t="s">
        <v>954</v>
      </c>
      <c r="F6509" t="s">
        <v>35</v>
      </c>
      <c r="G6509" t="s">
        <v>35</v>
      </c>
      <c r="H6509" t="s">
        <v>35</v>
      </c>
      <c r="J6509" t="s">
        <v>1243</v>
      </c>
      <c r="K6509" t="s">
        <v>1092</v>
      </c>
      <c r="M6509">
        <v>0.45</v>
      </c>
      <c r="N6509">
        <v>228</v>
      </c>
      <c r="O6509" t="s">
        <v>5</v>
      </c>
      <c r="Q6509" t="s">
        <v>1979</v>
      </c>
      <c r="R6509" t="s">
        <v>6707</v>
      </c>
      <c r="S6509" t="s">
        <v>955</v>
      </c>
    </row>
    <row r="6510" spans="1:19" x14ac:dyDescent="0.25">
      <c r="A6510" t="s">
        <v>44</v>
      </c>
      <c r="B6510" t="s">
        <v>51</v>
      </c>
      <c r="C6510" t="s">
        <v>32</v>
      </c>
      <c r="D6510" t="s">
        <v>953</v>
      </c>
      <c r="E6510" t="s">
        <v>954</v>
      </c>
      <c r="F6510" t="s">
        <v>35</v>
      </c>
      <c r="G6510" t="s">
        <v>35</v>
      </c>
      <c r="H6510" t="s">
        <v>35</v>
      </c>
      <c r="J6510" t="s">
        <v>1243</v>
      </c>
      <c r="K6510" t="s">
        <v>1092</v>
      </c>
      <c r="M6510">
        <v>1.25</v>
      </c>
      <c r="N6510">
        <v>20</v>
      </c>
      <c r="O6510" t="s">
        <v>46</v>
      </c>
      <c r="Q6510" t="s">
        <v>1004</v>
      </c>
      <c r="R6510" t="s">
        <v>6707</v>
      </c>
      <c r="S6510" t="s">
        <v>955</v>
      </c>
    </row>
    <row r="6511" spans="1:19" x14ac:dyDescent="0.25">
      <c r="A6511" t="s">
        <v>59</v>
      </c>
      <c r="B6511" t="s">
        <v>60</v>
      </c>
      <c r="C6511" t="s">
        <v>32</v>
      </c>
      <c r="D6511" t="s">
        <v>953</v>
      </c>
      <c r="E6511" t="s">
        <v>954</v>
      </c>
      <c r="F6511" t="s">
        <v>35</v>
      </c>
      <c r="G6511" t="s">
        <v>35</v>
      </c>
      <c r="H6511" t="s">
        <v>35</v>
      </c>
      <c r="J6511" t="s">
        <v>1243</v>
      </c>
      <c r="K6511" t="s">
        <v>1092</v>
      </c>
      <c r="M6511">
        <v>1.6</v>
      </c>
      <c r="N6511">
        <v>361</v>
      </c>
      <c r="O6511" t="s">
        <v>5</v>
      </c>
      <c r="Q6511" t="s">
        <v>1685</v>
      </c>
      <c r="R6511" t="s">
        <v>6707</v>
      </c>
      <c r="S6511" t="s">
        <v>955</v>
      </c>
    </row>
    <row r="6512" spans="1:19" x14ac:dyDescent="0.25">
      <c r="A6512" t="s">
        <v>44</v>
      </c>
      <c r="B6512" t="s">
        <v>51</v>
      </c>
      <c r="C6512" t="s">
        <v>32</v>
      </c>
      <c r="D6512" t="s">
        <v>953</v>
      </c>
      <c r="E6512" t="s">
        <v>954</v>
      </c>
      <c r="F6512" t="s">
        <v>35</v>
      </c>
      <c r="G6512" t="s">
        <v>35</v>
      </c>
      <c r="H6512" t="s">
        <v>35</v>
      </c>
      <c r="J6512" t="s">
        <v>6755</v>
      </c>
      <c r="K6512" t="s">
        <v>1092</v>
      </c>
      <c r="M6512">
        <v>0.25</v>
      </c>
      <c r="N6512">
        <v>299</v>
      </c>
      <c r="O6512" t="s">
        <v>5</v>
      </c>
      <c r="Q6512" t="s">
        <v>3281</v>
      </c>
      <c r="R6512" t="s">
        <v>6711</v>
      </c>
      <c r="S6512" t="s">
        <v>6712</v>
      </c>
    </row>
    <row r="6513" spans="1:19" x14ac:dyDescent="0.25">
      <c r="A6513" t="s">
        <v>59</v>
      </c>
      <c r="B6513" t="s">
        <v>60</v>
      </c>
      <c r="C6513" t="s">
        <v>32</v>
      </c>
      <c r="D6513" t="s">
        <v>953</v>
      </c>
      <c r="E6513" t="s">
        <v>954</v>
      </c>
      <c r="F6513" t="s">
        <v>35</v>
      </c>
      <c r="G6513" t="s">
        <v>35</v>
      </c>
      <c r="H6513" t="s">
        <v>35</v>
      </c>
      <c r="J6513" t="s">
        <v>6755</v>
      </c>
      <c r="K6513" t="s">
        <v>1092</v>
      </c>
      <c r="M6513">
        <v>8.0000000000000002E-3</v>
      </c>
      <c r="N6513">
        <v>299</v>
      </c>
      <c r="O6513" t="s">
        <v>5</v>
      </c>
      <c r="Q6513" t="s">
        <v>3281</v>
      </c>
      <c r="R6513" t="s">
        <v>6711</v>
      </c>
      <c r="S6513" t="s">
        <v>6712</v>
      </c>
    </row>
    <row r="6514" spans="1:19" x14ac:dyDescent="0.25">
      <c r="A6514" t="s">
        <v>30</v>
      </c>
      <c r="B6514" t="s">
        <v>31</v>
      </c>
      <c r="C6514" t="s">
        <v>32</v>
      </c>
      <c r="D6514" t="s">
        <v>953</v>
      </c>
      <c r="E6514" t="s">
        <v>954</v>
      </c>
      <c r="F6514" t="s">
        <v>35</v>
      </c>
      <c r="G6514" t="s">
        <v>35</v>
      </c>
      <c r="H6514" t="s">
        <v>35</v>
      </c>
      <c r="J6514" t="s">
        <v>6756</v>
      </c>
      <c r="K6514" t="s">
        <v>1092</v>
      </c>
      <c r="M6514">
        <v>0.13500000000000001</v>
      </c>
      <c r="N6514">
        <v>16</v>
      </c>
      <c r="O6514" t="s">
        <v>46</v>
      </c>
      <c r="Q6514" t="s">
        <v>323</v>
      </c>
      <c r="R6514" t="s">
        <v>6707</v>
      </c>
      <c r="S6514" t="s">
        <v>955</v>
      </c>
    </row>
    <row r="6515" spans="1:19" x14ac:dyDescent="0.25">
      <c r="A6515" t="s">
        <v>30</v>
      </c>
      <c r="B6515" t="s">
        <v>31</v>
      </c>
      <c r="C6515" t="s">
        <v>32</v>
      </c>
      <c r="D6515" t="s">
        <v>953</v>
      </c>
      <c r="E6515" t="s">
        <v>954</v>
      </c>
      <c r="F6515" t="s">
        <v>35</v>
      </c>
      <c r="G6515" t="s">
        <v>35</v>
      </c>
      <c r="H6515" t="s">
        <v>35</v>
      </c>
      <c r="J6515" t="s">
        <v>6756</v>
      </c>
      <c r="K6515" t="s">
        <v>1092</v>
      </c>
      <c r="M6515">
        <v>0.58499999999999996</v>
      </c>
      <c r="N6515">
        <v>21</v>
      </c>
      <c r="O6515" t="s">
        <v>46</v>
      </c>
      <c r="Q6515" t="s">
        <v>1874</v>
      </c>
      <c r="R6515" t="s">
        <v>6720</v>
      </c>
      <c r="S6515" t="s">
        <v>961</v>
      </c>
    </row>
    <row r="6516" spans="1:19" x14ac:dyDescent="0.25">
      <c r="A6516" t="s">
        <v>44</v>
      </c>
      <c r="B6516" t="s">
        <v>3</v>
      </c>
      <c r="C6516" t="s">
        <v>32</v>
      </c>
      <c r="D6516" t="s">
        <v>953</v>
      </c>
      <c r="E6516" t="s">
        <v>954</v>
      </c>
      <c r="F6516" t="s">
        <v>35</v>
      </c>
      <c r="G6516" t="s">
        <v>35</v>
      </c>
      <c r="H6516" t="s">
        <v>35</v>
      </c>
      <c r="J6516" t="s">
        <v>6757</v>
      </c>
      <c r="K6516" t="s">
        <v>1092</v>
      </c>
      <c r="M6516">
        <v>0.24299999999999999</v>
      </c>
      <c r="N6516">
        <v>45</v>
      </c>
      <c r="O6516" t="s">
        <v>52</v>
      </c>
      <c r="Q6516" t="s">
        <v>716</v>
      </c>
      <c r="R6516" t="s">
        <v>6721</v>
      </c>
      <c r="S6516" t="s">
        <v>1078</v>
      </c>
    </row>
    <row r="6517" spans="1:19" x14ac:dyDescent="0.25">
      <c r="A6517" t="s">
        <v>44</v>
      </c>
      <c r="B6517" t="s">
        <v>51</v>
      </c>
      <c r="C6517" t="s">
        <v>32</v>
      </c>
      <c r="D6517" t="s">
        <v>953</v>
      </c>
      <c r="E6517" t="s">
        <v>954</v>
      </c>
      <c r="F6517" t="s">
        <v>35</v>
      </c>
      <c r="G6517" t="s">
        <v>35</v>
      </c>
      <c r="H6517" t="s">
        <v>35</v>
      </c>
      <c r="J6517" t="s">
        <v>6757</v>
      </c>
      <c r="K6517" t="s">
        <v>1092</v>
      </c>
      <c r="M6517">
        <v>0.25</v>
      </c>
      <c r="N6517">
        <v>45</v>
      </c>
      <c r="O6517" t="s">
        <v>52</v>
      </c>
      <c r="Q6517" t="s">
        <v>716</v>
      </c>
      <c r="R6517" t="s">
        <v>6721</v>
      </c>
      <c r="S6517" t="s">
        <v>1078</v>
      </c>
    </row>
    <row r="6518" spans="1:19" x14ac:dyDescent="0.25">
      <c r="A6518" t="s">
        <v>59</v>
      </c>
      <c r="B6518" t="s">
        <v>60</v>
      </c>
      <c r="C6518" t="s">
        <v>32</v>
      </c>
      <c r="D6518" t="s">
        <v>953</v>
      </c>
      <c r="E6518" t="s">
        <v>954</v>
      </c>
      <c r="F6518" t="s">
        <v>35</v>
      </c>
      <c r="G6518" t="s">
        <v>35</v>
      </c>
      <c r="H6518" t="s">
        <v>35</v>
      </c>
      <c r="J6518" t="s">
        <v>6757</v>
      </c>
      <c r="K6518" t="s">
        <v>1092</v>
      </c>
      <c r="M6518">
        <v>9.5000000000000001E-2</v>
      </c>
      <c r="N6518">
        <v>45</v>
      </c>
      <c r="O6518" t="s">
        <v>52</v>
      </c>
      <c r="Q6518" t="s">
        <v>716</v>
      </c>
      <c r="R6518" t="s">
        <v>6721</v>
      </c>
      <c r="S6518" t="s">
        <v>1078</v>
      </c>
    </row>
    <row r="6519" spans="1:19" x14ac:dyDescent="0.25">
      <c r="A6519" t="s">
        <v>30</v>
      </c>
      <c r="B6519" t="s">
        <v>31</v>
      </c>
      <c r="C6519" t="s">
        <v>32</v>
      </c>
      <c r="D6519" t="s">
        <v>953</v>
      </c>
      <c r="E6519" t="s">
        <v>954</v>
      </c>
      <c r="F6519" t="s">
        <v>35</v>
      </c>
      <c r="G6519" t="s">
        <v>35</v>
      </c>
      <c r="H6519" t="s">
        <v>35</v>
      </c>
      <c r="J6519" t="s">
        <v>6758</v>
      </c>
      <c r="K6519" t="s">
        <v>1092</v>
      </c>
      <c r="M6519">
        <v>0.72</v>
      </c>
      <c r="N6519">
        <v>33</v>
      </c>
      <c r="O6519" t="s">
        <v>52</v>
      </c>
      <c r="Q6519" t="s">
        <v>137</v>
      </c>
      <c r="R6519" t="s">
        <v>6707</v>
      </c>
      <c r="S6519" t="s">
        <v>955</v>
      </c>
    </row>
    <row r="6520" spans="1:19" x14ac:dyDescent="0.25">
      <c r="A6520" t="s">
        <v>59</v>
      </c>
      <c r="B6520" t="s">
        <v>60</v>
      </c>
      <c r="C6520" t="s">
        <v>32</v>
      </c>
      <c r="D6520" t="s">
        <v>953</v>
      </c>
      <c r="E6520" t="s">
        <v>954</v>
      </c>
      <c r="F6520" t="s">
        <v>35</v>
      </c>
      <c r="G6520" t="s">
        <v>35</v>
      </c>
      <c r="H6520" t="s">
        <v>35</v>
      </c>
      <c r="J6520" t="s">
        <v>6758</v>
      </c>
      <c r="K6520" t="s">
        <v>1092</v>
      </c>
      <c r="M6520">
        <v>0.15</v>
      </c>
      <c r="N6520">
        <v>49</v>
      </c>
      <c r="O6520" t="s">
        <v>52</v>
      </c>
      <c r="Q6520" t="s">
        <v>219</v>
      </c>
      <c r="R6520" t="s">
        <v>6707</v>
      </c>
      <c r="S6520" t="s">
        <v>955</v>
      </c>
    </row>
    <row r="6521" spans="1:19" x14ac:dyDescent="0.25">
      <c r="A6521" t="s">
        <v>30</v>
      </c>
      <c r="B6521" t="s">
        <v>31</v>
      </c>
      <c r="C6521" t="s">
        <v>32</v>
      </c>
      <c r="D6521" t="s">
        <v>953</v>
      </c>
      <c r="E6521" t="s">
        <v>954</v>
      </c>
      <c r="F6521" t="s">
        <v>35</v>
      </c>
      <c r="G6521" t="s">
        <v>35</v>
      </c>
      <c r="H6521" t="s">
        <v>35</v>
      </c>
      <c r="J6521" t="s">
        <v>6759</v>
      </c>
      <c r="K6521" t="s">
        <v>1092</v>
      </c>
      <c r="M6521">
        <v>0.9</v>
      </c>
      <c r="N6521">
        <v>4</v>
      </c>
      <c r="O6521" t="s">
        <v>46</v>
      </c>
      <c r="Q6521" t="s">
        <v>8230</v>
      </c>
      <c r="R6521" t="s">
        <v>6705</v>
      </c>
      <c r="S6521" t="s">
        <v>981</v>
      </c>
    </row>
    <row r="6522" spans="1:19" x14ac:dyDescent="0.25">
      <c r="A6522" t="s">
        <v>44</v>
      </c>
      <c r="B6522" t="s">
        <v>3</v>
      </c>
      <c r="C6522" t="s">
        <v>32</v>
      </c>
      <c r="D6522" t="s">
        <v>953</v>
      </c>
      <c r="E6522" t="s">
        <v>954</v>
      </c>
      <c r="F6522" t="s">
        <v>35</v>
      </c>
      <c r="G6522" t="s">
        <v>35</v>
      </c>
      <c r="H6522" t="s">
        <v>35</v>
      </c>
      <c r="J6522" t="s">
        <v>6759</v>
      </c>
      <c r="K6522" t="s">
        <v>1092</v>
      </c>
      <c r="M6522">
        <v>1</v>
      </c>
      <c r="N6522">
        <v>59</v>
      </c>
      <c r="O6522" t="s">
        <v>52</v>
      </c>
      <c r="Q6522" t="s">
        <v>84</v>
      </c>
      <c r="R6522" t="s">
        <v>6711</v>
      </c>
      <c r="S6522" t="s">
        <v>6712</v>
      </c>
    </row>
    <row r="6523" spans="1:19" x14ac:dyDescent="0.25">
      <c r="A6523" t="s">
        <v>44</v>
      </c>
      <c r="B6523" t="s">
        <v>51</v>
      </c>
      <c r="C6523" t="s">
        <v>32</v>
      </c>
      <c r="D6523" t="s">
        <v>953</v>
      </c>
      <c r="E6523" t="s">
        <v>954</v>
      </c>
      <c r="F6523" t="s">
        <v>35</v>
      </c>
      <c r="G6523" t="s">
        <v>35</v>
      </c>
      <c r="H6523" t="s">
        <v>35</v>
      </c>
      <c r="J6523" t="s">
        <v>6759</v>
      </c>
      <c r="K6523" t="s">
        <v>1092</v>
      </c>
      <c r="M6523">
        <v>2.5</v>
      </c>
      <c r="N6523">
        <v>13</v>
      </c>
      <c r="O6523" t="s">
        <v>46</v>
      </c>
      <c r="Q6523" t="s">
        <v>310</v>
      </c>
      <c r="R6523" t="s">
        <v>133</v>
      </c>
      <c r="S6523" t="s">
        <v>134</v>
      </c>
    </row>
    <row r="6524" spans="1:19" x14ac:dyDescent="0.25">
      <c r="A6524" t="s">
        <v>59</v>
      </c>
      <c r="B6524" t="s">
        <v>31</v>
      </c>
      <c r="C6524" t="s">
        <v>32</v>
      </c>
      <c r="D6524" t="s">
        <v>953</v>
      </c>
      <c r="E6524" t="s">
        <v>954</v>
      </c>
      <c r="F6524" t="s">
        <v>35</v>
      </c>
      <c r="G6524" t="s">
        <v>35</v>
      </c>
      <c r="H6524" t="s">
        <v>35</v>
      </c>
      <c r="J6524" t="s">
        <v>6760</v>
      </c>
      <c r="K6524" t="s">
        <v>1092</v>
      </c>
      <c r="M6524">
        <v>3.3000000000000002E-2</v>
      </c>
      <c r="N6524">
        <v>544</v>
      </c>
      <c r="O6524" t="s">
        <v>294</v>
      </c>
      <c r="Q6524" t="s">
        <v>6761</v>
      </c>
      <c r="R6524" t="s">
        <v>6762</v>
      </c>
      <c r="S6524" t="s">
        <v>992</v>
      </c>
    </row>
    <row r="6525" spans="1:19" x14ac:dyDescent="0.25">
      <c r="A6525" t="s">
        <v>44</v>
      </c>
      <c r="B6525" t="s">
        <v>3</v>
      </c>
      <c r="C6525" t="s">
        <v>32</v>
      </c>
      <c r="D6525" t="s">
        <v>953</v>
      </c>
      <c r="E6525" t="s">
        <v>954</v>
      </c>
      <c r="F6525" t="s">
        <v>35</v>
      </c>
      <c r="G6525" t="s">
        <v>35</v>
      </c>
      <c r="H6525" t="s">
        <v>35</v>
      </c>
      <c r="J6525" t="s">
        <v>6763</v>
      </c>
      <c r="K6525" t="s">
        <v>1092</v>
      </c>
      <c r="M6525">
        <v>0.25</v>
      </c>
      <c r="N6525">
        <v>52</v>
      </c>
      <c r="O6525" t="s">
        <v>52</v>
      </c>
      <c r="Q6525" t="s">
        <v>1230</v>
      </c>
      <c r="R6525" t="s">
        <v>6720</v>
      </c>
      <c r="S6525" t="s">
        <v>961</v>
      </c>
    </row>
    <row r="6526" spans="1:19" x14ac:dyDescent="0.25">
      <c r="A6526" t="s">
        <v>44</v>
      </c>
      <c r="B6526" t="s">
        <v>3</v>
      </c>
      <c r="C6526" t="s">
        <v>32</v>
      </c>
      <c r="D6526" t="s">
        <v>953</v>
      </c>
      <c r="E6526" t="s">
        <v>954</v>
      </c>
      <c r="F6526" t="s">
        <v>35</v>
      </c>
      <c r="G6526" t="s">
        <v>35</v>
      </c>
      <c r="H6526" t="s">
        <v>35</v>
      </c>
      <c r="J6526" t="s">
        <v>6763</v>
      </c>
      <c r="K6526" t="s">
        <v>1092</v>
      </c>
      <c r="M6526">
        <v>0.15</v>
      </c>
      <c r="N6526">
        <v>44</v>
      </c>
      <c r="O6526" t="s">
        <v>52</v>
      </c>
      <c r="Q6526" t="s">
        <v>192</v>
      </c>
      <c r="R6526" t="s">
        <v>6720</v>
      </c>
      <c r="S6526" t="s">
        <v>961</v>
      </c>
    </row>
    <row r="6527" spans="1:19" x14ac:dyDescent="0.25">
      <c r="A6527" t="s">
        <v>30</v>
      </c>
      <c r="B6527" t="s">
        <v>31</v>
      </c>
      <c r="C6527" t="s">
        <v>32</v>
      </c>
      <c r="D6527" t="s">
        <v>953</v>
      </c>
      <c r="E6527" t="s">
        <v>954</v>
      </c>
      <c r="F6527" t="s">
        <v>35</v>
      </c>
      <c r="G6527" t="s">
        <v>35</v>
      </c>
      <c r="H6527" t="s">
        <v>35</v>
      </c>
      <c r="J6527" t="s">
        <v>6763</v>
      </c>
      <c r="K6527" t="s">
        <v>1092</v>
      </c>
      <c r="M6527">
        <v>0.09</v>
      </c>
      <c r="N6527">
        <v>11</v>
      </c>
      <c r="O6527" t="s">
        <v>46</v>
      </c>
      <c r="Q6527" t="s">
        <v>1053</v>
      </c>
      <c r="R6527" t="s">
        <v>6720</v>
      </c>
      <c r="S6527" t="s">
        <v>961</v>
      </c>
    </row>
    <row r="6528" spans="1:19" x14ac:dyDescent="0.25">
      <c r="A6528" t="s">
        <v>30</v>
      </c>
      <c r="B6528" t="s">
        <v>31</v>
      </c>
      <c r="C6528" t="s">
        <v>32</v>
      </c>
      <c r="D6528" t="s">
        <v>953</v>
      </c>
      <c r="E6528" t="s">
        <v>954</v>
      </c>
      <c r="F6528" t="s">
        <v>35</v>
      </c>
      <c r="G6528" t="s">
        <v>35</v>
      </c>
      <c r="H6528" t="s">
        <v>35</v>
      </c>
      <c r="J6528" t="s">
        <v>6763</v>
      </c>
      <c r="K6528" t="s">
        <v>1092</v>
      </c>
      <c r="M6528">
        <v>0.99</v>
      </c>
      <c r="N6528">
        <v>44</v>
      </c>
      <c r="O6528" t="s">
        <v>52</v>
      </c>
      <c r="Q6528" t="s">
        <v>192</v>
      </c>
      <c r="R6528" t="s">
        <v>6720</v>
      </c>
      <c r="S6528" t="s">
        <v>961</v>
      </c>
    </row>
    <row r="6529" spans="1:19" x14ac:dyDescent="0.25">
      <c r="A6529" t="s">
        <v>44</v>
      </c>
      <c r="B6529" t="s">
        <v>51</v>
      </c>
      <c r="C6529" t="s">
        <v>32</v>
      </c>
      <c r="D6529" t="s">
        <v>953</v>
      </c>
      <c r="E6529" t="s">
        <v>954</v>
      </c>
      <c r="F6529" t="s">
        <v>35</v>
      </c>
      <c r="G6529" t="s">
        <v>35</v>
      </c>
      <c r="H6529" t="s">
        <v>35</v>
      </c>
      <c r="J6529" t="s">
        <v>6763</v>
      </c>
      <c r="K6529" t="s">
        <v>1092</v>
      </c>
      <c r="M6529">
        <v>0.15</v>
      </c>
      <c r="N6529">
        <v>52</v>
      </c>
      <c r="O6529" t="s">
        <v>52</v>
      </c>
      <c r="Q6529" t="s">
        <v>1230</v>
      </c>
      <c r="R6529" t="s">
        <v>6720</v>
      </c>
      <c r="S6529" t="s">
        <v>961</v>
      </c>
    </row>
    <row r="6530" spans="1:19" x14ac:dyDescent="0.25">
      <c r="A6530" t="s">
        <v>59</v>
      </c>
      <c r="B6530" t="s">
        <v>60</v>
      </c>
      <c r="C6530" t="s">
        <v>32</v>
      </c>
      <c r="D6530" t="s">
        <v>953</v>
      </c>
      <c r="E6530" t="s">
        <v>954</v>
      </c>
      <c r="F6530" t="s">
        <v>35</v>
      </c>
      <c r="G6530" t="s">
        <v>35</v>
      </c>
      <c r="H6530" t="s">
        <v>35</v>
      </c>
      <c r="J6530" t="s">
        <v>6763</v>
      </c>
      <c r="K6530" t="s">
        <v>1092</v>
      </c>
      <c r="M6530">
        <v>0.4</v>
      </c>
      <c r="N6530">
        <v>52</v>
      </c>
      <c r="O6530" t="s">
        <v>52</v>
      </c>
      <c r="Q6530" t="s">
        <v>1230</v>
      </c>
      <c r="R6530" t="s">
        <v>6720</v>
      </c>
      <c r="S6530" t="s">
        <v>961</v>
      </c>
    </row>
    <row r="6531" spans="1:19" x14ac:dyDescent="0.25">
      <c r="A6531" t="s">
        <v>59</v>
      </c>
      <c r="B6531" t="s">
        <v>60</v>
      </c>
      <c r="C6531" t="s">
        <v>32</v>
      </c>
      <c r="D6531" t="s">
        <v>953</v>
      </c>
      <c r="E6531" t="s">
        <v>954</v>
      </c>
      <c r="F6531" t="s">
        <v>35</v>
      </c>
      <c r="G6531" t="s">
        <v>35</v>
      </c>
      <c r="H6531" t="s">
        <v>35</v>
      </c>
      <c r="J6531" t="s">
        <v>6763</v>
      </c>
      <c r="K6531" t="s">
        <v>1092</v>
      </c>
      <c r="M6531">
        <v>0.05</v>
      </c>
      <c r="N6531">
        <v>181</v>
      </c>
      <c r="O6531" t="s">
        <v>5</v>
      </c>
      <c r="Q6531" t="s">
        <v>1684</v>
      </c>
      <c r="R6531" t="s">
        <v>6720</v>
      </c>
      <c r="S6531" t="s">
        <v>961</v>
      </c>
    </row>
    <row r="6532" spans="1:19" x14ac:dyDescent="0.25">
      <c r="A6532" t="s">
        <v>59</v>
      </c>
      <c r="B6532" t="s">
        <v>60</v>
      </c>
      <c r="C6532" t="s">
        <v>32</v>
      </c>
      <c r="D6532" t="s">
        <v>953</v>
      </c>
      <c r="E6532" t="s">
        <v>954</v>
      </c>
      <c r="F6532" t="s">
        <v>35</v>
      </c>
      <c r="G6532" t="s">
        <v>35</v>
      </c>
      <c r="H6532" t="s">
        <v>35</v>
      </c>
      <c r="J6532" t="s">
        <v>6763</v>
      </c>
      <c r="K6532" t="s">
        <v>1092</v>
      </c>
      <c r="M6532">
        <v>0.15</v>
      </c>
      <c r="N6532">
        <v>140</v>
      </c>
      <c r="O6532" t="s">
        <v>38</v>
      </c>
      <c r="Q6532" t="s">
        <v>609</v>
      </c>
      <c r="R6532" t="s">
        <v>6720</v>
      </c>
      <c r="S6532" t="s">
        <v>961</v>
      </c>
    </row>
    <row r="6533" spans="1:19" x14ac:dyDescent="0.25">
      <c r="A6533" t="s">
        <v>44</v>
      </c>
      <c r="B6533" t="s">
        <v>51</v>
      </c>
      <c r="C6533" t="s">
        <v>32</v>
      </c>
      <c r="D6533" t="s">
        <v>953</v>
      </c>
      <c r="E6533" t="s">
        <v>954</v>
      </c>
      <c r="F6533" t="s">
        <v>35</v>
      </c>
      <c r="G6533" t="s">
        <v>35</v>
      </c>
      <c r="H6533" t="s">
        <v>35</v>
      </c>
      <c r="J6533" t="s">
        <v>6763</v>
      </c>
      <c r="K6533" t="s">
        <v>1092</v>
      </c>
      <c r="M6533">
        <v>0.25</v>
      </c>
      <c r="N6533">
        <v>29</v>
      </c>
      <c r="O6533" t="s">
        <v>46</v>
      </c>
      <c r="Q6533" t="s">
        <v>1645</v>
      </c>
      <c r="R6533" t="s">
        <v>6720</v>
      </c>
      <c r="S6533" t="s">
        <v>961</v>
      </c>
    </row>
    <row r="6534" spans="1:19" x14ac:dyDescent="0.25">
      <c r="A6534" t="s">
        <v>44</v>
      </c>
      <c r="B6534" t="s">
        <v>51</v>
      </c>
      <c r="C6534" t="s">
        <v>32</v>
      </c>
      <c r="D6534" t="s">
        <v>953</v>
      </c>
      <c r="E6534" t="s">
        <v>954</v>
      </c>
      <c r="F6534" t="s">
        <v>35</v>
      </c>
      <c r="G6534" t="s">
        <v>35</v>
      </c>
      <c r="H6534" t="s">
        <v>35</v>
      </c>
      <c r="J6534" t="s">
        <v>6764</v>
      </c>
      <c r="K6534" t="s">
        <v>1092</v>
      </c>
      <c r="M6534">
        <v>0.5</v>
      </c>
      <c r="N6534">
        <v>14</v>
      </c>
      <c r="O6534" t="s">
        <v>46</v>
      </c>
      <c r="Q6534" t="s">
        <v>2440</v>
      </c>
      <c r="R6534" t="s">
        <v>6707</v>
      </c>
      <c r="S6534" t="s">
        <v>955</v>
      </c>
    </row>
    <row r="6535" spans="1:19" x14ac:dyDescent="0.25">
      <c r="A6535" t="s">
        <v>44</v>
      </c>
      <c r="B6535" t="s">
        <v>51</v>
      </c>
      <c r="C6535" t="s">
        <v>32</v>
      </c>
      <c r="D6535" t="s">
        <v>953</v>
      </c>
      <c r="E6535" t="s">
        <v>954</v>
      </c>
      <c r="F6535" t="s">
        <v>35</v>
      </c>
      <c r="G6535" t="s">
        <v>35</v>
      </c>
      <c r="H6535" t="s">
        <v>35</v>
      </c>
      <c r="J6535" t="s">
        <v>6764</v>
      </c>
      <c r="K6535" t="s">
        <v>1092</v>
      </c>
      <c r="M6535">
        <v>0.45</v>
      </c>
      <c r="N6535">
        <v>20</v>
      </c>
      <c r="O6535" t="s">
        <v>46</v>
      </c>
      <c r="Q6535" t="s">
        <v>1004</v>
      </c>
      <c r="R6535" t="s">
        <v>6707</v>
      </c>
      <c r="S6535" t="s">
        <v>955</v>
      </c>
    </row>
    <row r="6536" spans="1:19" x14ac:dyDescent="0.25">
      <c r="A6536" t="s">
        <v>30</v>
      </c>
      <c r="B6536" t="s">
        <v>31</v>
      </c>
      <c r="C6536" t="s">
        <v>32</v>
      </c>
      <c r="D6536" t="s">
        <v>953</v>
      </c>
      <c r="E6536" t="s">
        <v>954</v>
      </c>
      <c r="F6536" t="s">
        <v>35</v>
      </c>
      <c r="G6536" t="s">
        <v>35</v>
      </c>
      <c r="H6536" t="s">
        <v>35</v>
      </c>
      <c r="J6536" t="s">
        <v>6765</v>
      </c>
      <c r="K6536" t="s">
        <v>1092</v>
      </c>
      <c r="M6536">
        <v>6.75</v>
      </c>
      <c r="N6536">
        <v>21</v>
      </c>
      <c r="O6536" t="s">
        <v>46</v>
      </c>
      <c r="Q6536" t="s">
        <v>1874</v>
      </c>
      <c r="R6536" t="s">
        <v>6709</v>
      </c>
      <c r="S6536" t="s">
        <v>1022</v>
      </c>
    </row>
    <row r="6537" spans="1:19" x14ac:dyDescent="0.25">
      <c r="A6537" t="s">
        <v>30</v>
      </c>
      <c r="B6537" t="s">
        <v>31</v>
      </c>
      <c r="C6537" t="s">
        <v>32</v>
      </c>
      <c r="D6537" t="s">
        <v>953</v>
      </c>
      <c r="E6537" t="s">
        <v>954</v>
      </c>
      <c r="F6537" t="s">
        <v>35</v>
      </c>
      <c r="G6537" t="s">
        <v>35</v>
      </c>
      <c r="H6537" t="s">
        <v>35</v>
      </c>
      <c r="J6537" t="s">
        <v>6765</v>
      </c>
      <c r="K6537" t="s">
        <v>1092</v>
      </c>
      <c r="M6537">
        <v>6.75</v>
      </c>
      <c r="N6537">
        <v>7</v>
      </c>
      <c r="O6537" t="s">
        <v>46</v>
      </c>
      <c r="Q6537" t="s">
        <v>8164</v>
      </c>
      <c r="R6537" t="s">
        <v>6709</v>
      </c>
      <c r="S6537" t="s">
        <v>1022</v>
      </c>
    </row>
    <row r="6538" spans="1:19" x14ac:dyDescent="0.25">
      <c r="A6538" t="s">
        <v>30</v>
      </c>
      <c r="B6538" t="s">
        <v>31</v>
      </c>
      <c r="C6538" t="s">
        <v>32</v>
      </c>
      <c r="D6538" t="s">
        <v>953</v>
      </c>
      <c r="E6538" t="s">
        <v>954</v>
      </c>
      <c r="F6538" t="s">
        <v>35</v>
      </c>
      <c r="G6538" t="s">
        <v>35</v>
      </c>
      <c r="H6538" t="s">
        <v>35</v>
      </c>
      <c r="J6538" t="s">
        <v>6766</v>
      </c>
      <c r="K6538" t="s">
        <v>1092</v>
      </c>
      <c r="M6538">
        <v>1.08</v>
      </c>
      <c r="N6538">
        <v>16</v>
      </c>
      <c r="O6538" t="s">
        <v>46</v>
      </c>
      <c r="Q6538" t="s">
        <v>323</v>
      </c>
      <c r="R6538" t="s">
        <v>6707</v>
      </c>
      <c r="S6538" t="s">
        <v>955</v>
      </c>
    </row>
    <row r="6539" spans="1:19" x14ac:dyDescent="0.25">
      <c r="A6539" t="s">
        <v>59</v>
      </c>
      <c r="B6539" t="s">
        <v>60</v>
      </c>
      <c r="C6539" t="s">
        <v>32</v>
      </c>
      <c r="D6539" t="s">
        <v>953</v>
      </c>
      <c r="E6539" t="s">
        <v>954</v>
      </c>
      <c r="F6539" t="s">
        <v>35</v>
      </c>
      <c r="G6539" t="s">
        <v>35</v>
      </c>
      <c r="H6539" t="s">
        <v>35</v>
      </c>
      <c r="J6539" t="s">
        <v>6766</v>
      </c>
      <c r="K6539" t="s">
        <v>1092</v>
      </c>
      <c r="M6539">
        <v>0.27500000000000002</v>
      </c>
      <c r="N6539">
        <v>49</v>
      </c>
      <c r="O6539" t="s">
        <v>52</v>
      </c>
      <c r="Q6539" t="s">
        <v>219</v>
      </c>
      <c r="R6539" t="s">
        <v>6707</v>
      </c>
      <c r="S6539" t="s">
        <v>955</v>
      </c>
    </row>
    <row r="6540" spans="1:19" x14ac:dyDescent="0.25">
      <c r="A6540" t="s">
        <v>44</v>
      </c>
      <c r="B6540" t="s">
        <v>51</v>
      </c>
      <c r="C6540" t="s">
        <v>32</v>
      </c>
      <c r="D6540" t="s">
        <v>953</v>
      </c>
      <c r="E6540" t="s">
        <v>954</v>
      </c>
      <c r="F6540" t="s">
        <v>35</v>
      </c>
      <c r="G6540" t="s">
        <v>35</v>
      </c>
      <c r="H6540" t="s">
        <v>35</v>
      </c>
      <c r="J6540" t="s">
        <v>6766</v>
      </c>
      <c r="K6540" t="s">
        <v>1092</v>
      </c>
      <c r="M6540">
        <v>0.25</v>
      </c>
      <c r="N6540">
        <v>16</v>
      </c>
      <c r="O6540" t="s">
        <v>46</v>
      </c>
      <c r="Q6540" t="s">
        <v>323</v>
      </c>
      <c r="R6540" t="s">
        <v>6707</v>
      </c>
      <c r="S6540" t="s">
        <v>955</v>
      </c>
    </row>
    <row r="6541" spans="1:19" x14ac:dyDescent="0.25">
      <c r="A6541" t="s">
        <v>59</v>
      </c>
      <c r="B6541" t="s">
        <v>60</v>
      </c>
      <c r="C6541" t="s">
        <v>32</v>
      </c>
      <c r="D6541" t="s">
        <v>953</v>
      </c>
      <c r="E6541" t="s">
        <v>954</v>
      </c>
      <c r="F6541" t="s">
        <v>35</v>
      </c>
      <c r="G6541" t="s">
        <v>35</v>
      </c>
      <c r="H6541" t="s">
        <v>35</v>
      </c>
      <c r="J6541" t="s">
        <v>6767</v>
      </c>
      <c r="K6541" t="s">
        <v>1092</v>
      </c>
      <c r="M6541">
        <v>1.25</v>
      </c>
      <c r="N6541">
        <v>60</v>
      </c>
      <c r="O6541" t="s">
        <v>52</v>
      </c>
      <c r="Q6541" t="s">
        <v>1734</v>
      </c>
      <c r="R6541" t="s">
        <v>6705</v>
      </c>
      <c r="S6541" t="s">
        <v>981</v>
      </c>
    </row>
    <row r="6542" spans="1:19" x14ac:dyDescent="0.25">
      <c r="A6542" t="s">
        <v>59</v>
      </c>
      <c r="B6542" t="s">
        <v>31</v>
      </c>
      <c r="C6542" t="s">
        <v>32</v>
      </c>
      <c r="D6542" t="s">
        <v>953</v>
      </c>
      <c r="E6542" t="s">
        <v>954</v>
      </c>
      <c r="F6542" t="s">
        <v>35</v>
      </c>
      <c r="G6542" t="s">
        <v>35</v>
      </c>
      <c r="H6542" t="s">
        <v>35</v>
      </c>
      <c r="J6542" t="s">
        <v>6767</v>
      </c>
      <c r="K6542" t="s">
        <v>1092</v>
      </c>
      <c r="M6542">
        <v>9.99</v>
      </c>
      <c r="N6542">
        <v>60</v>
      </c>
      <c r="O6542" t="s">
        <v>52</v>
      </c>
      <c r="Q6542" t="s">
        <v>1734</v>
      </c>
      <c r="R6542" t="s">
        <v>6705</v>
      </c>
      <c r="S6542" t="s">
        <v>981</v>
      </c>
    </row>
    <row r="6543" spans="1:19" x14ac:dyDescent="0.25">
      <c r="A6543" t="s">
        <v>59</v>
      </c>
      <c r="B6543" t="s">
        <v>31</v>
      </c>
      <c r="C6543" t="s">
        <v>32</v>
      </c>
      <c r="D6543" t="s">
        <v>953</v>
      </c>
      <c r="E6543" t="s">
        <v>954</v>
      </c>
      <c r="F6543" t="s">
        <v>35</v>
      </c>
      <c r="G6543" t="s">
        <v>35</v>
      </c>
      <c r="H6543" t="s">
        <v>35</v>
      </c>
      <c r="J6543" t="s">
        <v>6767</v>
      </c>
      <c r="K6543" t="s">
        <v>1092</v>
      </c>
      <c r="M6543">
        <v>6.8849999999999998</v>
      </c>
      <c r="N6543">
        <v>90</v>
      </c>
      <c r="O6543" t="s">
        <v>61</v>
      </c>
      <c r="Q6543" t="s">
        <v>897</v>
      </c>
      <c r="R6543" t="s">
        <v>6705</v>
      </c>
      <c r="S6543" t="s">
        <v>981</v>
      </c>
    </row>
    <row r="6544" spans="1:19" x14ac:dyDescent="0.25">
      <c r="A6544" t="s">
        <v>59</v>
      </c>
      <c r="B6544" t="s">
        <v>60</v>
      </c>
      <c r="C6544" t="s">
        <v>32</v>
      </c>
      <c r="D6544" t="s">
        <v>953</v>
      </c>
      <c r="E6544" t="s">
        <v>954</v>
      </c>
      <c r="F6544" t="s">
        <v>35</v>
      </c>
      <c r="G6544" t="s">
        <v>35</v>
      </c>
      <c r="H6544" t="s">
        <v>35</v>
      </c>
      <c r="J6544" t="s">
        <v>6768</v>
      </c>
      <c r="K6544" t="s">
        <v>1092</v>
      </c>
      <c r="M6544">
        <v>0.05</v>
      </c>
      <c r="N6544">
        <v>142</v>
      </c>
      <c r="O6544" t="s">
        <v>38</v>
      </c>
      <c r="Q6544" t="s">
        <v>2067</v>
      </c>
      <c r="R6544" t="s">
        <v>6720</v>
      </c>
      <c r="S6544" t="s">
        <v>961</v>
      </c>
    </row>
    <row r="6545" spans="1:19" x14ac:dyDescent="0.25">
      <c r="A6545" t="s">
        <v>30</v>
      </c>
      <c r="B6545" t="s">
        <v>31</v>
      </c>
      <c r="C6545" t="s">
        <v>32</v>
      </c>
      <c r="D6545" t="s">
        <v>953</v>
      </c>
      <c r="E6545" t="s">
        <v>954</v>
      </c>
      <c r="F6545" t="s">
        <v>35</v>
      </c>
      <c r="G6545" t="s">
        <v>35</v>
      </c>
      <c r="H6545" t="s">
        <v>35</v>
      </c>
      <c r="J6545" t="s">
        <v>6768</v>
      </c>
      <c r="K6545" t="s">
        <v>1092</v>
      </c>
      <c r="M6545">
        <v>0.54</v>
      </c>
      <c r="N6545">
        <v>21</v>
      </c>
      <c r="O6545" t="s">
        <v>46</v>
      </c>
      <c r="Q6545" t="s">
        <v>1874</v>
      </c>
      <c r="R6545" t="s">
        <v>6720</v>
      </c>
      <c r="S6545" t="s">
        <v>961</v>
      </c>
    </row>
    <row r="6546" spans="1:19" x14ac:dyDescent="0.25">
      <c r="A6546" t="s">
        <v>59</v>
      </c>
      <c r="B6546" t="s">
        <v>60</v>
      </c>
      <c r="C6546" t="s">
        <v>32</v>
      </c>
      <c r="D6546" t="s">
        <v>953</v>
      </c>
      <c r="E6546" t="s">
        <v>954</v>
      </c>
      <c r="F6546" t="s">
        <v>35</v>
      </c>
      <c r="G6546" t="s">
        <v>35</v>
      </c>
      <c r="H6546" t="s">
        <v>35</v>
      </c>
      <c r="J6546" t="s">
        <v>6768</v>
      </c>
      <c r="K6546" t="s">
        <v>1092</v>
      </c>
      <c r="M6546">
        <v>1</v>
      </c>
      <c r="N6546">
        <v>81</v>
      </c>
      <c r="O6546" t="s">
        <v>61</v>
      </c>
      <c r="Q6546" t="s">
        <v>527</v>
      </c>
      <c r="R6546" t="s">
        <v>6720</v>
      </c>
      <c r="S6546" t="s">
        <v>961</v>
      </c>
    </row>
    <row r="6547" spans="1:19" x14ac:dyDescent="0.25">
      <c r="A6547" t="s">
        <v>30</v>
      </c>
      <c r="B6547" t="s">
        <v>31</v>
      </c>
      <c r="C6547" t="s">
        <v>32</v>
      </c>
      <c r="D6547" t="s">
        <v>953</v>
      </c>
      <c r="E6547" t="s">
        <v>954</v>
      </c>
      <c r="F6547" t="s">
        <v>35</v>
      </c>
      <c r="G6547" t="s">
        <v>35</v>
      </c>
      <c r="H6547" t="s">
        <v>35</v>
      </c>
      <c r="J6547" t="s">
        <v>6769</v>
      </c>
      <c r="K6547" t="s">
        <v>1092</v>
      </c>
      <c r="M6547">
        <v>0.81</v>
      </c>
      <c r="N6547">
        <v>2</v>
      </c>
      <c r="O6547" t="s">
        <v>46</v>
      </c>
      <c r="Q6547" t="s">
        <v>8155</v>
      </c>
      <c r="R6547" t="s">
        <v>6720</v>
      </c>
      <c r="S6547" t="s">
        <v>961</v>
      </c>
    </row>
    <row r="6548" spans="1:19" x14ac:dyDescent="0.25">
      <c r="A6548" t="s">
        <v>59</v>
      </c>
      <c r="B6548" t="s">
        <v>60</v>
      </c>
      <c r="C6548" t="s">
        <v>32</v>
      </c>
      <c r="D6548" t="s">
        <v>953</v>
      </c>
      <c r="E6548" t="s">
        <v>954</v>
      </c>
      <c r="F6548" t="s">
        <v>35</v>
      </c>
      <c r="G6548" t="s">
        <v>35</v>
      </c>
      <c r="H6548" t="s">
        <v>35</v>
      </c>
      <c r="J6548" t="s">
        <v>6769</v>
      </c>
      <c r="K6548" t="s">
        <v>1092</v>
      </c>
      <c r="M6548">
        <v>0.3</v>
      </c>
      <c r="N6548">
        <v>52</v>
      </c>
      <c r="O6548" t="s">
        <v>52</v>
      </c>
      <c r="Q6548" t="s">
        <v>1230</v>
      </c>
      <c r="R6548" t="s">
        <v>6720</v>
      </c>
      <c r="S6548" t="s">
        <v>961</v>
      </c>
    </row>
    <row r="6549" spans="1:19" x14ac:dyDescent="0.25">
      <c r="A6549" t="s">
        <v>44</v>
      </c>
      <c r="B6549" t="s">
        <v>51</v>
      </c>
      <c r="C6549" t="s">
        <v>32</v>
      </c>
      <c r="D6549" t="s">
        <v>953</v>
      </c>
      <c r="E6549" t="s">
        <v>954</v>
      </c>
      <c r="F6549" t="s">
        <v>35</v>
      </c>
      <c r="G6549" t="s">
        <v>35</v>
      </c>
      <c r="H6549" t="s">
        <v>35</v>
      </c>
      <c r="J6549" t="s">
        <v>6769</v>
      </c>
      <c r="K6549" t="s">
        <v>1092</v>
      </c>
      <c r="M6549">
        <v>0.5</v>
      </c>
      <c r="N6549">
        <v>159</v>
      </c>
      <c r="O6549" t="s">
        <v>38</v>
      </c>
      <c r="Q6549" t="s">
        <v>40</v>
      </c>
      <c r="R6549" t="s">
        <v>6711</v>
      </c>
      <c r="S6549" t="s">
        <v>6712</v>
      </c>
    </row>
    <row r="6550" spans="1:19" x14ac:dyDescent="0.25">
      <c r="A6550" t="s">
        <v>59</v>
      </c>
      <c r="B6550" t="s">
        <v>60</v>
      </c>
      <c r="C6550" t="s">
        <v>32</v>
      </c>
      <c r="D6550" t="s">
        <v>953</v>
      </c>
      <c r="E6550" t="s">
        <v>954</v>
      </c>
      <c r="F6550" t="s">
        <v>35</v>
      </c>
      <c r="G6550" t="s">
        <v>35</v>
      </c>
      <c r="H6550" t="s">
        <v>35</v>
      </c>
      <c r="J6550" t="s">
        <v>6770</v>
      </c>
      <c r="K6550" t="s">
        <v>1092</v>
      </c>
      <c r="M6550">
        <v>0.3</v>
      </c>
      <c r="N6550">
        <v>92</v>
      </c>
      <c r="O6550" t="s">
        <v>106</v>
      </c>
      <c r="Q6550" t="s">
        <v>1100</v>
      </c>
      <c r="R6550" t="s">
        <v>6707</v>
      </c>
      <c r="S6550" t="s">
        <v>955</v>
      </c>
    </row>
    <row r="6551" spans="1:19" x14ac:dyDescent="0.25">
      <c r="A6551" t="s">
        <v>44</v>
      </c>
      <c r="B6551" t="s">
        <v>51</v>
      </c>
      <c r="C6551" t="s">
        <v>32</v>
      </c>
      <c r="D6551" t="s">
        <v>953</v>
      </c>
      <c r="E6551" t="s">
        <v>954</v>
      </c>
      <c r="F6551" t="s">
        <v>35</v>
      </c>
      <c r="G6551" t="s">
        <v>35</v>
      </c>
      <c r="H6551" t="s">
        <v>35</v>
      </c>
      <c r="J6551" t="s">
        <v>6770</v>
      </c>
      <c r="K6551" t="s">
        <v>1092</v>
      </c>
      <c r="M6551">
        <v>0.5</v>
      </c>
      <c r="N6551">
        <v>16</v>
      </c>
      <c r="O6551" t="s">
        <v>46</v>
      </c>
      <c r="Q6551" t="s">
        <v>323</v>
      </c>
      <c r="R6551" t="s">
        <v>6707</v>
      </c>
      <c r="S6551" t="s">
        <v>955</v>
      </c>
    </row>
    <row r="6552" spans="1:19" x14ac:dyDescent="0.25">
      <c r="A6552" t="s">
        <v>59</v>
      </c>
      <c r="B6552" t="s">
        <v>31</v>
      </c>
      <c r="C6552" t="s">
        <v>32</v>
      </c>
      <c r="D6552" t="s">
        <v>953</v>
      </c>
      <c r="E6552" t="s">
        <v>954</v>
      </c>
      <c r="F6552" t="s">
        <v>35</v>
      </c>
      <c r="G6552" t="s">
        <v>35</v>
      </c>
      <c r="H6552" t="s">
        <v>35</v>
      </c>
      <c r="J6552" t="s">
        <v>6770</v>
      </c>
      <c r="K6552" t="s">
        <v>1092</v>
      </c>
      <c r="M6552">
        <v>0.315</v>
      </c>
      <c r="N6552">
        <v>151</v>
      </c>
      <c r="O6552" t="s">
        <v>38</v>
      </c>
      <c r="Q6552" t="s">
        <v>1269</v>
      </c>
      <c r="R6552" t="s">
        <v>6707</v>
      </c>
      <c r="S6552" t="s">
        <v>955</v>
      </c>
    </row>
    <row r="6553" spans="1:19" x14ac:dyDescent="0.25">
      <c r="A6553" t="s">
        <v>59</v>
      </c>
      <c r="B6553" t="s">
        <v>60</v>
      </c>
      <c r="C6553" t="s">
        <v>32</v>
      </c>
      <c r="D6553" t="s">
        <v>953</v>
      </c>
      <c r="E6553" t="s">
        <v>954</v>
      </c>
      <c r="F6553" t="s">
        <v>35</v>
      </c>
      <c r="G6553" t="s">
        <v>35</v>
      </c>
      <c r="H6553" t="s">
        <v>35</v>
      </c>
      <c r="J6553" t="s">
        <v>6771</v>
      </c>
      <c r="K6553" t="s">
        <v>1092</v>
      </c>
      <c r="M6553">
        <v>1.05</v>
      </c>
      <c r="N6553">
        <v>13</v>
      </c>
      <c r="O6553" t="s">
        <v>46</v>
      </c>
      <c r="Q6553" t="s">
        <v>310</v>
      </c>
      <c r="R6553" t="s">
        <v>133</v>
      </c>
      <c r="S6553" t="s">
        <v>134</v>
      </c>
    </row>
    <row r="6554" spans="1:19" x14ac:dyDescent="0.25">
      <c r="A6554" t="s">
        <v>44</v>
      </c>
      <c r="B6554" t="s">
        <v>51</v>
      </c>
      <c r="C6554" t="s">
        <v>32</v>
      </c>
      <c r="D6554" t="s">
        <v>953</v>
      </c>
      <c r="E6554" t="s">
        <v>954</v>
      </c>
      <c r="F6554" t="s">
        <v>35</v>
      </c>
      <c r="G6554" t="s">
        <v>35</v>
      </c>
      <c r="H6554" t="s">
        <v>35</v>
      </c>
      <c r="J6554" t="s">
        <v>6771</v>
      </c>
      <c r="K6554" t="s">
        <v>1092</v>
      </c>
      <c r="M6554">
        <v>1.5</v>
      </c>
      <c r="N6554">
        <v>13</v>
      </c>
      <c r="O6554" t="s">
        <v>46</v>
      </c>
      <c r="Q6554" t="s">
        <v>310</v>
      </c>
      <c r="R6554" t="s">
        <v>133</v>
      </c>
      <c r="S6554" t="s">
        <v>134</v>
      </c>
    </row>
    <row r="6555" spans="1:19" x14ac:dyDescent="0.25">
      <c r="A6555" t="s">
        <v>30</v>
      </c>
      <c r="B6555" t="s">
        <v>31</v>
      </c>
      <c r="C6555" t="s">
        <v>32</v>
      </c>
      <c r="D6555" t="s">
        <v>953</v>
      </c>
      <c r="E6555" t="s">
        <v>954</v>
      </c>
      <c r="F6555" t="s">
        <v>35</v>
      </c>
      <c r="G6555" t="s">
        <v>35</v>
      </c>
      <c r="H6555" t="s">
        <v>35</v>
      </c>
      <c r="J6555" t="s">
        <v>6771</v>
      </c>
      <c r="K6555" t="s">
        <v>1092</v>
      </c>
      <c r="M6555">
        <v>4.9950000000000001</v>
      </c>
      <c r="N6555">
        <v>4</v>
      </c>
      <c r="O6555" t="s">
        <v>46</v>
      </c>
      <c r="Q6555" t="s">
        <v>8230</v>
      </c>
      <c r="R6555" t="s">
        <v>6705</v>
      </c>
      <c r="S6555" t="s">
        <v>981</v>
      </c>
    </row>
    <row r="6556" spans="1:19" x14ac:dyDescent="0.25">
      <c r="A6556" t="s">
        <v>59</v>
      </c>
      <c r="B6556" t="s">
        <v>31</v>
      </c>
      <c r="C6556" t="s">
        <v>32</v>
      </c>
      <c r="D6556" t="s">
        <v>953</v>
      </c>
      <c r="E6556" t="s">
        <v>954</v>
      </c>
      <c r="F6556" t="s">
        <v>35</v>
      </c>
      <c r="G6556" t="s">
        <v>35</v>
      </c>
      <c r="H6556" t="s">
        <v>35</v>
      </c>
      <c r="J6556" t="s">
        <v>6772</v>
      </c>
      <c r="K6556" t="s">
        <v>1092</v>
      </c>
      <c r="M6556">
        <v>1.35</v>
      </c>
      <c r="N6556">
        <v>511</v>
      </c>
      <c r="O6556" t="s">
        <v>294</v>
      </c>
      <c r="Q6556" t="s">
        <v>5048</v>
      </c>
      <c r="R6556" t="s">
        <v>6707</v>
      </c>
      <c r="S6556" t="s">
        <v>955</v>
      </c>
    </row>
    <row r="6557" spans="1:19" x14ac:dyDescent="0.25">
      <c r="A6557" t="s">
        <v>59</v>
      </c>
      <c r="B6557" t="s">
        <v>60</v>
      </c>
      <c r="C6557" t="s">
        <v>32</v>
      </c>
      <c r="D6557" t="s">
        <v>953</v>
      </c>
      <c r="E6557" t="s">
        <v>954</v>
      </c>
      <c r="F6557" t="s">
        <v>35</v>
      </c>
      <c r="G6557" t="s">
        <v>35</v>
      </c>
      <c r="H6557" t="s">
        <v>35</v>
      </c>
      <c r="J6557" t="s">
        <v>6772</v>
      </c>
      <c r="K6557" t="s">
        <v>1092</v>
      </c>
      <c r="M6557">
        <v>0.5</v>
      </c>
      <c r="N6557">
        <v>56</v>
      </c>
      <c r="O6557" t="s">
        <v>52</v>
      </c>
      <c r="Q6557" t="s">
        <v>453</v>
      </c>
      <c r="R6557" t="s">
        <v>6716</v>
      </c>
      <c r="S6557" t="s">
        <v>6717</v>
      </c>
    </row>
    <row r="6558" spans="1:19" x14ac:dyDescent="0.25">
      <c r="A6558" t="s">
        <v>59</v>
      </c>
      <c r="B6558" t="s">
        <v>31</v>
      </c>
      <c r="C6558" t="s">
        <v>32</v>
      </c>
      <c r="D6558" t="s">
        <v>953</v>
      </c>
      <c r="E6558" t="s">
        <v>954</v>
      </c>
      <c r="F6558" t="s">
        <v>35</v>
      </c>
      <c r="G6558" t="s">
        <v>35</v>
      </c>
      <c r="H6558" t="s">
        <v>35</v>
      </c>
      <c r="J6558" t="s">
        <v>6772</v>
      </c>
      <c r="K6558" t="s">
        <v>1092</v>
      </c>
      <c r="M6558">
        <v>0.9</v>
      </c>
      <c r="N6558">
        <v>92</v>
      </c>
      <c r="O6558" t="s">
        <v>106</v>
      </c>
      <c r="Q6558" t="s">
        <v>1100</v>
      </c>
      <c r="R6558" t="s">
        <v>6707</v>
      </c>
      <c r="S6558" t="s">
        <v>955</v>
      </c>
    </row>
    <row r="6559" spans="1:19" x14ac:dyDescent="0.25">
      <c r="A6559" t="s">
        <v>44</v>
      </c>
      <c r="B6559" t="s">
        <v>3</v>
      </c>
      <c r="C6559" t="s">
        <v>32</v>
      </c>
      <c r="D6559" t="s">
        <v>953</v>
      </c>
      <c r="E6559" t="s">
        <v>954</v>
      </c>
      <c r="F6559" t="s">
        <v>35</v>
      </c>
      <c r="G6559" t="s">
        <v>35</v>
      </c>
      <c r="H6559" t="s">
        <v>35</v>
      </c>
      <c r="J6559" t="s">
        <v>6772</v>
      </c>
      <c r="K6559" t="s">
        <v>1092</v>
      </c>
      <c r="M6559">
        <v>1</v>
      </c>
      <c r="N6559">
        <v>56</v>
      </c>
      <c r="O6559" t="s">
        <v>52</v>
      </c>
      <c r="Q6559" t="s">
        <v>453</v>
      </c>
      <c r="R6559" t="s">
        <v>6716</v>
      </c>
      <c r="S6559" t="s">
        <v>6717</v>
      </c>
    </row>
    <row r="6560" spans="1:19" x14ac:dyDescent="0.25">
      <c r="A6560" t="s">
        <v>59</v>
      </c>
      <c r="B6560" t="s">
        <v>31</v>
      </c>
      <c r="C6560" t="s">
        <v>32</v>
      </c>
      <c r="D6560" t="s">
        <v>953</v>
      </c>
      <c r="E6560" t="s">
        <v>954</v>
      </c>
      <c r="F6560" t="s">
        <v>35</v>
      </c>
      <c r="G6560" t="s">
        <v>35</v>
      </c>
      <c r="H6560" t="s">
        <v>35</v>
      </c>
      <c r="J6560" t="s">
        <v>6772</v>
      </c>
      <c r="K6560" t="s">
        <v>1092</v>
      </c>
      <c r="M6560">
        <v>2.25</v>
      </c>
      <c r="N6560">
        <v>56</v>
      </c>
      <c r="O6560" t="s">
        <v>52</v>
      </c>
      <c r="Q6560" t="s">
        <v>453</v>
      </c>
      <c r="R6560" t="s">
        <v>6716</v>
      </c>
      <c r="S6560" t="s">
        <v>6717</v>
      </c>
    </row>
    <row r="6561" spans="1:19" x14ac:dyDescent="0.25">
      <c r="A6561" t="s">
        <v>59</v>
      </c>
      <c r="B6561" t="s">
        <v>31</v>
      </c>
      <c r="C6561" t="s">
        <v>32</v>
      </c>
      <c r="D6561" t="s">
        <v>953</v>
      </c>
      <c r="E6561" t="s">
        <v>954</v>
      </c>
      <c r="F6561" t="s">
        <v>35</v>
      </c>
      <c r="G6561" t="s">
        <v>35</v>
      </c>
      <c r="H6561" t="s">
        <v>35</v>
      </c>
      <c r="J6561" t="s">
        <v>6772</v>
      </c>
      <c r="K6561" t="s">
        <v>1092</v>
      </c>
      <c r="M6561">
        <v>0.9</v>
      </c>
      <c r="N6561">
        <v>434</v>
      </c>
      <c r="O6561" t="s">
        <v>294</v>
      </c>
      <c r="Q6561" t="s">
        <v>1370</v>
      </c>
      <c r="R6561" t="s">
        <v>6707</v>
      </c>
      <c r="S6561" t="s">
        <v>955</v>
      </c>
    </row>
    <row r="6562" spans="1:19" x14ac:dyDescent="0.25">
      <c r="A6562" t="s">
        <v>59</v>
      </c>
      <c r="B6562" t="s">
        <v>31</v>
      </c>
      <c r="C6562" t="s">
        <v>32</v>
      </c>
      <c r="D6562" t="s">
        <v>953</v>
      </c>
      <c r="E6562" t="s">
        <v>954</v>
      </c>
      <c r="F6562" t="s">
        <v>35</v>
      </c>
      <c r="G6562" t="s">
        <v>35</v>
      </c>
      <c r="H6562" t="s">
        <v>35</v>
      </c>
      <c r="J6562" t="s">
        <v>6772</v>
      </c>
      <c r="K6562" t="s">
        <v>1092</v>
      </c>
      <c r="M6562">
        <v>0.9</v>
      </c>
      <c r="N6562">
        <v>59</v>
      </c>
      <c r="O6562" t="s">
        <v>52</v>
      </c>
      <c r="Q6562" t="s">
        <v>84</v>
      </c>
      <c r="R6562" t="s">
        <v>6707</v>
      </c>
      <c r="S6562" t="s">
        <v>955</v>
      </c>
    </row>
    <row r="6563" spans="1:19" x14ac:dyDescent="0.25">
      <c r="A6563" t="s">
        <v>59</v>
      </c>
      <c r="B6563" t="s">
        <v>31</v>
      </c>
      <c r="C6563" t="s">
        <v>32</v>
      </c>
      <c r="D6563" t="s">
        <v>953</v>
      </c>
      <c r="E6563" t="s">
        <v>954</v>
      </c>
      <c r="F6563" t="s">
        <v>35</v>
      </c>
      <c r="G6563" t="s">
        <v>35</v>
      </c>
      <c r="H6563" t="s">
        <v>35</v>
      </c>
      <c r="J6563" t="s">
        <v>6772</v>
      </c>
      <c r="K6563" t="s">
        <v>1092</v>
      </c>
      <c r="M6563">
        <v>0.27</v>
      </c>
      <c r="N6563">
        <v>575</v>
      </c>
      <c r="O6563" t="s">
        <v>575</v>
      </c>
      <c r="Q6563" t="s">
        <v>6773</v>
      </c>
      <c r="R6563" t="s">
        <v>6707</v>
      </c>
      <c r="S6563" t="s">
        <v>955</v>
      </c>
    </row>
    <row r="6564" spans="1:19" x14ac:dyDescent="0.25">
      <c r="A6564" t="s">
        <v>30</v>
      </c>
      <c r="B6564" t="s">
        <v>31</v>
      </c>
      <c r="C6564" t="s">
        <v>32</v>
      </c>
      <c r="D6564" t="s">
        <v>953</v>
      </c>
      <c r="E6564" t="s">
        <v>954</v>
      </c>
      <c r="F6564" t="s">
        <v>35</v>
      </c>
      <c r="G6564" t="s">
        <v>35</v>
      </c>
      <c r="H6564" t="s">
        <v>35</v>
      </c>
      <c r="J6564" t="s">
        <v>6774</v>
      </c>
      <c r="K6564" t="s">
        <v>1092</v>
      </c>
      <c r="M6564">
        <v>1.35</v>
      </c>
      <c r="N6564">
        <v>9</v>
      </c>
      <c r="O6564" t="s">
        <v>46</v>
      </c>
      <c r="Q6564" t="s">
        <v>2009</v>
      </c>
      <c r="R6564" t="s">
        <v>6720</v>
      </c>
      <c r="S6564" t="s">
        <v>961</v>
      </c>
    </row>
    <row r="6565" spans="1:19" x14ac:dyDescent="0.25">
      <c r="A6565" t="s">
        <v>30</v>
      </c>
      <c r="B6565" t="s">
        <v>31</v>
      </c>
      <c r="C6565" t="s">
        <v>32</v>
      </c>
      <c r="D6565" t="s">
        <v>953</v>
      </c>
      <c r="E6565" t="s">
        <v>954</v>
      </c>
      <c r="F6565" t="s">
        <v>35</v>
      </c>
      <c r="G6565" t="s">
        <v>35</v>
      </c>
      <c r="H6565" t="s">
        <v>35</v>
      </c>
      <c r="J6565" t="s">
        <v>6774</v>
      </c>
      <c r="K6565" t="s">
        <v>1092</v>
      </c>
      <c r="M6565">
        <v>7.29</v>
      </c>
      <c r="N6565">
        <v>20</v>
      </c>
      <c r="O6565" t="s">
        <v>46</v>
      </c>
      <c r="Q6565" t="s">
        <v>1004</v>
      </c>
      <c r="R6565" t="s">
        <v>6707</v>
      </c>
      <c r="S6565" t="s">
        <v>955</v>
      </c>
    </row>
    <row r="6566" spans="1:19" x14ac:dyDescent="0.25">
      <c r="A6566" t="s">
        <v>30</v>
      </c>
      <c r="B6566" t="s">
        <v>31</v>
      </c>
      <c r="C6566" t="s">
        <v>32</v>
      </c>
      <c r="D6566" t="s">
        <v>953</v>
      </c>
      <c r="E6566" t="s">
        <v>954</v>
      </c>
      <c r="F6566" t="s">
        <v>35</v>
      </c>
      <c r="G6566" t="s">
        <v>35</v>
      </c>
      <c r="H6566" t="s">
        <v>35</v>
      </c>
      <c r="J6566" t="s">
        <v>6774</v>
      </c>
      <c r="K6566" t="s">
        <v>1092</v>
      </c>
      <c r="M6566">
        <v>1.8</v>
      </c>
      <c r="N6566">
        <v>11</v>
      </c>
      <c r="O6566" t="s">
        <v>46</v>
      </c>
      <c r="Q6566" t="s">
        <v>1053</v>
      </c>
      <c r="R6566" t="s">
        <v>6720</v>
      </c>
      <c r="S6566" t="s">
        <v>961</v>
      </c>
    </row>
    <row r="6567" spans="1:19" x14ac:dyDescent="0.25">
      <c r="A6567" t="s">
        <v>44</v>
      </c>
      <c r="B6567" t="s">
        <v>51</v>
      </c>
      <c r="C6567" t="s">
        <v>32</v>
      </c>
      <c r="D6567" t="s">
        <v>953</v>
      </c>
      <c r="E6567" t="s">
        <v>954</v>
      </c>
      <c r="F6567" t="s">
        <v>35</v>
      </c>
      <c r="G6567" t="s">
        <v>35</v>
      </c>
      <c r="H6567" t="s">
        <v>35</v>
      </c>
      <c r="J6567" t="s">
        <v>6775</v>
      </c>
      <c r="K6567" t="s">
        <v>1092</v>
      </c>
      <c r="M6567">
        <v>0.1</v>
      </c>
      <c r="N6567">
        <v>184</v>
      </c>
      <c r="O6567" t="s">
        <v>5</v>
      </c>
      <c r="Q6567" t="s">
        <v>4625</v>
      </c>
      <c r="R6567" t="s">
        <v>6720</v>
      </c>
      <c r="S6567" t="s">
        <v>961</v>
      </c>
    </row>
    <row r="6568" spans="1:19" x14ac:dyDescent="0.25">
      <c r="A6568" t="s">
        <v>44</v>
      </c>
      <c r="B6568" t="s">
        <v>3</v>
      </c>
      <c r="C6568" t="s">
        <v>32</v>
      </c>
      <c r="D6568" t="s">
        <v>953</v>
      </c>
      <c r="E6568" t="s">
        <v>954</v>
      </c>
      <c r="F6568" t="s">
        <v>35</v>
      </c>
      <c r="G6568" t="s">
        <v>35</v>
      </c>
      <c r="H6568" t="s">
        <v>35</v>
      </c>
      <c r="J6568" t="s">
        <v>6775</v>
      </c>
      <c r="K6568" t="s">
        <v>1092</v>
      </c>
      <c r="M6568">
        <v>0.25</v>
      </c>
      <c r="N6568">
        <v>60</v>
      </c>
      <c r="O6568" t="s">
        <v>52</v>
      </c>
      <c r="Q6568" t="s">
        <v>1734</v>
      </c>
      <c r="R6568" t="s">
        <v>6720</v>
      </c>
      <c r="S6568" t="s">
        <v>961</v>
      </c>
    </row>
    <row r="6569" spans="1:19" x14ac:dyDescent="0.25">
      <c r="A6569" t="s">
        <v>30</v>
      </c>
      <c r="B6569" t="s">
        <v>31</v>
      </c>
      <c r="C6569" t="s">
        <v>32</v>
      </c>
      <c r="D6569" t="s">
        <v>953</v>
      </c>
      <c r="E6569" t="s">
        <v>954</v>
      </c>
      <c r="F6569" t="s">
        <v>35</v>
      </c>
      <c r="G6569" t="s">
        <v>35</v>
      </c>
      <c r="H6569" t="s">
        <v>35</v>
      </c>
      <c r="J6569" t="s">
        <v>6775</v>
      </c>
      <c r="K6569" t="s">
        <v>1092</v>
      </c>
      <c r="M6569">
        <v>0.36</v>
      </c>
      <c r="N6569">
        <v>16</v>
      </c>
      <c r="O6569" t="s">
        <v>46</v>
      </c>
      <c r="Q6569" t="s">
        <v>323</v>
      </c>
      <c r="R6569" t="s">
        <v>6720</v>
      </c>
      <c r="S6569" t="s">
        <v>961</v>
      </c>
    </row>
    <row r="6570" spans="1:19" x14ac:dyDescent="0.25">
      <c r="A6570" t="s">
        <v>44</v>
      </c>
      <c r="B6570" t="s">
        <v>3</v>
      </c>
      <c r="C6570" t="s">
        <v>32</v>
      </c>
      <c r="D6570" t="s">
        <v>953</v>
      </c>
      <c r="E6570" t="s">
        <v>954</v>
      </c>
      <c r="F6570" t="s">
        <v>35</v>
      </c>
      <c r="G6570" t="s">
        <v>35</v>
      </c>
      <c r="H6570" t="s">
        <v>35</v>
      </c>
      <c r="J6570" t="s">
        <v>6775</v>
      </c>
      <c r="K6570" t="s">
        <v>1092</v>
      </c>
      <c r="M6570">
        <v>0.05</v>
      </c>
      <c r="N6570">
        <v>417</v>
      </c>
      <c r="O6570" t="s">
        <v>294</v>
      </c>
      <c r="Q6570" t="s">
        <v>4858</v>
      </c>
      <c r="R6570" t="s">
        <v>6720</v>
      </c>
      <c r="S6570" t="s">
        <v>961</v>
      </c>
    </row>
    <row r="6571" spans="1:19" x14ac:dyDescent="0.25">
      <c r="A6571" t="s">
        <v>30</v>
      </c>
      <c r="B6571" t="s">
        <v>31</v>
      </c>
      <c r="C6571" t="s">
        <v>32</v>
      </c>
      <c r="D6571" t="s">
        <v>953</v>
      </c>
      <c r="E6571" t="s">
        <v>954</v>
      </c>
      <c r="F6571" t="s">
        <v>35</v>
      </c>
      <c r="G6571" t="s">
        <v>35</v>
      </c>
      <c r="H6571" t="s">
        <v>35</v>
      </c>
      <c r="J6571" t="s">
        <v>6776</v>
      </c>
      <c r="K6571" t="s">
        <v>1092</v>
      </c>
      <c r="M6571">
        <v>0.09</v>
      </c>
      <c r="N6571">
        <v>46</v>
      </c>
      <c r="O6571" t="s">
        <v>52</v>
      </c>
      <c r="Q6571" t="s">
        <v>493</v>
      </c>
      <c r="R6571" t="s">
        <v>6707</v>
      </c>
      <c r="S6571" t="s">
        <v>955</v>
      </c>
    </row>
    <row r="6572" spans="1:19" x14ac:dyDescent="0.25">
      <c r="A6572" t="s">
        <v>59</v>
      </c>
      <c r="B6572" t="s">
        <v>60</v>
      </c>
      <c r="C6572" t="s">
        <v>32</v>
      </c>
      <c r="D6572" t="s">
        <v>953</v>
      </c>
      <c r="E6572" t="s">
        <v>954</v>
      </c>
      <c r="F6572" t="s">
        <v>35</v>
      </c>
      <c r="G6572" t="s">
        <v>35</v>
      </c>
      <c r="H6572" t="s">
        <v>35</v>
      </c>
      <c r="J6572" t="s">
        <v>6776</v>
      </c>
      <c r="K6572" t="s">
        <v>1092</v>
      </c>
      <c r="M6572">
        <v>0.4</v>
      </c>
      <c r="N6572">
        <v>77</v>
      </c>
      <c r="O6572" t="s">
        <v>61</v>
      </c>
      <c r="Q6572" t="s">
        <v>305</v>
      </c>
      <c r="R6572" t="s">
        <v>6707</v>
      </c>
      <c r="S6572" t="s">
        <v>955</v>
      </c>
    </row>
    <row r="6573" spans="1:19" x14ac:dyDescent="0.25">
      <c r="A6573" t="s">
        <v>59</v>
      </c>
      <c r="B6573" t="s">
        <v>31</v>
      </c>
      <c r="C6573" t="s">
        <v>32</v>
      </c>
      <c r="D6573" t="s">
        <v>953</v>
      </c>
      <c r="E6573" t="s">
        <v>954</v>
      </c>
      <c r="F6573" t="s">
        <v>35</v>
      </c>
      <c r="G6573" t="s">
        <v>35</v>
      </c>
      <c r="H6573" t="s">
        <v>35</v>
      </c>
      <c r="J6573" t="s">
        <v>6776</v>
      </c>
      <c r="K6573" t="s">
        <v>1092</v>
      </c>
      <c r="M6573">
        <v>0.13500000000000001</v>
      </c>
      <c r="N6573">
        <v>60</v>
      </c>
      <c r="O6573" t="s">
        <v>52</v>
      </c>
      <c r="Q6573" t="s">
        <v>1734</v>
      </c>
      <c r="R6573" t="s">
        <v>6707</v>
      </c>
      <c r="S6573" t="s">
        <v>955</v>
      </c>
    </row>
    <row r="6574" spans="1:19" x14ac:dyDescent="0.25">
      <c r="A6574" t="s">
        <v>59</v>
      </c>
      <c r="B6574" t="s">
        <v>60</v>
      </c>
      <c r="C6574" t="s">
        <v>32</v>
      </c>
      <c r="D6574" t="s">
        <v>953</v>
      </c>
      <c r="E6574" t="s">
        <v>954</v>
      </c>
      <c r="F6574" t="s">
        <v>35</v>
      </c>
      <c r="G6574" t="s">
        <v>35</v>
      </c>
      <c r="H6574" t="s">
        <v>35</v>
      </c>
      <c r="J6574" t="s">
        <v>6777</v>
      </c>
      <c r="K6574" t="s">
        <v>1092</v>
      </c>
      <c r="M6574">
        <v>0.5</v>
      </c>
      <c r="N6574">
        <v>61</v>
      </c>
      <c r="O6574" t="s">
        <v>61</v>
      </c>
      <c r="Q6574" t="s">
        <v>671</v>
      </c>
      <c r="R6574" t="s">
        <v>6707</v>
      </c>
      <c r="S6574" t="s">
        <v>955</v>
      </c>
    </row>
    <row r="6575" spans="1:19" x14ac:dyDescent="0.25">
      <c r="A6575" t="s">
        <v>44</v>
      </c>
      <c r="B6575" t="s">
        <v>51</v>
      </c>
      <c r="C6575" t="s">
        <v>32</v>
      </c>
      <c r="D6575" t="s">
        <v>953</v>
      </c>
      <c r="E6575" t="s">
        <v>954</v>
      </c>
      <c r="F6575" t="s">
        <v>35</v>
      </c>
      <c r="G6575" t="s">
        <v>35</v>
      </c>
      <c r="H6575" t="s">
        <v>35</v>
      </c>
      <c r="J6575" t="s">
        <v>6777</v>
      </c>
      <c r="K6575" t="s">
        <v>1092</v>
      </c>
      <c r="M6575">
        <v>0.75</v>
      </c>
      <c r="N6575">
        <v>20</v>
      </c>
      <c r="O6575" t="s">
        <v>46</v>
      </c>
      <c r="Q6575" t="s">
        <v>1004</v>
      </c>
      <c r="R6575" t="s">
        <v>6707</v>
      </c>
      <c r="S6575" t="s">
        <v>955</v>
      </c>
    </row>
    <row r="6576" spans="1:19" x14ac:dyDescent="0.25">
      <c r="A6576" t="s">
        <v>59</v>
      </c>
      <c r="B6576" t="s">
        <v>60</v>
      </c>
      <c r="C6576" t="s">
        <v>32</v>
      </c>
      <c r="D6576" t="s">
        <v>953</v>
      </c>
      <c r="E6576" t="s">
        <v>954</v>
      </c>
      <c r="F6576" t="s">
        <v>35</v>
      </c>
      <c r="G6576" t="s">
        <v>35</v>
      </c>
      <c r="H6576" t="s">
        <v>35</v>
      </c>
      <c r="J6576" t="s">
        <v>6777</v>
      </c>
      <c r="K6576" t="s">
        <v>1092</v>
      </c>
      <c r="M6576">
        <v>0.93</v>
      </c>
      <c r="N6576">
        <v>88</v>
      </c>
      <c r="O6576" t="s">
        <v>61</v>
      </c>
      <c r="Q6576" t="s">
        <v>858</v>
      </c>
      <c r="R6576" t="s">
        <v>6707</v>
      </c>
      <c r="S6576" t="s">
        <v>955</v>
      </c>
    </row>
    <row r="6577" spans="1:19" x14ac:dyDescent="0.25">
      <c r="A6577" t="s">
        <v>59</v>
      </c>
      <c r="B6577" t="s">
        <v>60</v>
      </c>
      <c r="C6577" t="s">
        <v>32</v>
      </c>
      <c r="D6577" t="s">
        <v>953</v>
      </c>
      <c r="E6577" t="s">
        <v>954</v>
      </c>
      <c r="F6577" t="s">
        <v>35</v>
      </c>
      <c r="G6577" t="s">
        <v>35</v>
      </c>
      <c r="H6577" t="s">
        <v>35</v>
      </c>
      <c r="J6577" t="s">
        <v>6778</v>
      </c>
      <c r="K6577" t="s">
        <v>1092</v>
      </c>
      <c r="M6577">
        <v>1</v>
      </c>
      <c r="N6577">
        <v>57</v>
      </c>
      <c r="O6577" t="s">
        <v>52</v>
      </c>
      <c r="Q6577" t="s">
        <v>665</v>
      </c>
      <c r="R6577" t="s">
        <v>6721</v>
      </c>
      <c r="S6577" t="s">
        <v>1078</v>
      </c>
    </row>
    <row r="6578" spans="1:19" x14ac:dyDescent="0.25">
      <c r="A6578" t="s">
        <v>59</v>
      </c>
      <c r="B6578" t="s">
        <v>60</v>
      </c>
      <c r="C6578" t="s">
        <v>32</v>
      </c>
      <c r="D6578" t="s">
        <v>953</v>
      </c>
      <c r="E6578" t="s">
        <v>954</v>
      </c>
      <c r="F6578" t="s">
        <v>35</v>
      </c>
      <c r="G6578" t="s">
        <v>35</v>
      </c>
      <c r="H6578" t="s">
        <v>35</v>
      </c>
      <c r="J6578" t="s">
        <v>6778</v>
      </c>
      <c r="K6578" t="s">
        <v>1092</v>
      </c>
      <c r="M6578">
        <v>0.5</v>
      </c>
      <c r="N6578">
        <v>75</v>
      </c>
      <c r="O6578" t="s">
        <v>61</v>
      </c>
      <c r="Q6578" t="s">
        <v>805</v>
      </c>
      <c r="R6578" t="s">
        <v>6721</v>
      </c>
      <c r="S6578" t="s">
        <v>1078</v>
      </c>
    </row>
    <row r="6579" spans="1:19" x14ac:dyDescent="0.25">
      <c r="A6579" t="s">
        <v>59</v>
      </c>
      <c r="B6579" t="s">
        <v>60</v>
      </c>
      <c r="C6579" t="s">
        <v>32</v>
      </c>
      <c r="D6579" t="s">
        <v>953</v>
      </c>
      <c r="E6579" t="s">
        <v>954</v>
      </c>
      <c r="F6579" t="s">
        <v>35</v>
      </c>
      <c r="G6579" t="s">
        <v>35</v>
      </c>
      <c r="H6579" t="s">
        <v>35</v>
      </c>
      <c r="J6579" t="s">
        <v>6778</v>
      </c>
      <c r="K6579" t="s">
        <v>1092</v>
      </c>
      <c r="M6579">
        <v>1.25</v>
      </c>
      <c r="N6579">
        <v>92</v>
      </c>
      <c r="O6579" t="s">
        <v>106</v>
      </c>
      <c r="Q6579" t="s">
        <v>1100</v>
      </c>
      <c r="R6579" t="s">
        <v>6721</v>
      </c>
      <c r="S6579" t="s">
        <v>1078</v>
      </c>
    </row>
    <row r="6580" spans="1:19" x14ac:dyDescent="0.25">
      <c r="A6580" t="s">
        <v>59</v>
      </c>
      <c r="B6580" t="s">
        <v>60</v>
      </c>
      <c r="C6580" t="s">
        <v>32</v>
      </c>
      <c r="D6580" t="s">
        <v>953</v>
      </c>
      <c r="E6580" t="s">
        <v>954</v>
      </c>
      <c r="F6580" t="s">
        <v>35</v>
      </c>
      <c r="G6580" t="s">
        <v>35</v>
      </c>
      <c r="H6580" t="s">
        <v>35</v>
      </c>
      <c r="J6580" t="s">
        <v>6778</v>
      </c>
      <c r="K6580" t="s">
        <v>1092</v>
      </c>
      <c r="M6580">
        <v>1</v>
      </c>
      <c r="N6580">
        <v>113</v>
      </c>
      <c r="O6580" t="s">
        <v>106</v>
      </c>
      <c r="Q6580" t="s">
        <v>6066</v>
      </c>
      <c r="R6580" t="s">
        <v>6721</v>
      </c>
      <c r="S6580" t="s">
        <v>1078</v>
      </c>
    </row>
    <row r="6581" spans="1:19" x14ac:dyDescent="0.25">
      <c r="A6581" t="s">
        <v>59</v>
      </c>
      <c r="B6581" t="s">
        <v>60</v>
      </c>
      <c r="C6581" t="s">
        <v>32</v>
      </c>
      <c r="D6581" t="s">
        <v>953</v>
      </c>
      <c r="E6581" t="s">
        <v>954</v>
      </c>
      <c r="F6581" t="s">
        <v>35</v>
      </c>
      <c r="G6581" t="s">
        <v>35</v>
      </c>
      <c r="H6581" t="s">
        <v>35</v>
      </c>
      <c r="J6581" t="s">
        <v>6778</v>
      </c>
      <c r="K6581" t="s">
        <v>1092</v>
      </c>
      <c r="M6581">
        <v>2</v>
      </c>
      <c r="N6581">
        <v>145</v>
      </c>
      <c r="O6581" t="s">
        <v>38</v>
      </c>
      <c r="Q6581" t="s">
        <v>1149</v>
      </c>
      <c r="R6581" t="s">
        <v>6721</v>
      </c>
      <c r="S6581" t="s">
        <v>1078</v>
      </c>
    </row>
    <row r="6582" spans="1:19" x14ac:dyDescent="0.25">
      <c r="A6582" t="s">
        <v>59</v>
      </c>
      <c r="B6582" t="s">
        <v>60</v>
      </c>
      <c r="C6582" t="s">
        <v>32</v>
      </c>
      <c r="D6582" t="s">
        <v>953</v>
      </c>
      <c r="E6582" t="s">
        <v>954</v>
      </c>
      <c r="F6582" t="s">
        <v>35</v>
      </c>
      <c r="G6582" t="s">
        <v>35</v>
      </c>
      <c r="H6582" t="s">
        <v>35</v>
      </c>
      <c r="J6582" t="s">
        <v>6778</v>
      </c>
      <c r="K6582" t="s">
        <v>1092</v>
      </c>
      <c r="M6582">
        <v>2.5</v>
      </c>
      <c r="N6582">
        <v>173</v>
      </c>
      <c r="O6582" t="s">
        <v>38</v>
      </c>
      <c r="Q6582" t="s">
        <v>1345</v>
      </c>
      <c r="R6582" t="s">
        <v>6721</v>
      </c>
      <c r="S6582" t="s">
        <v>1078</v>
      </c>
    </row>
    <row r="6583" spans="1:19" x14ac:dyDescent="0.25">
      <c r="A6583" t="s">
        <v>59</v>
      </c>
      <c r="B6583" t="s">
        <v>31</v>
      </c>
      <c r="C6583" t="s">
        <v>32</v>
      </c>
      <c r="D6583" t="s">
        <v>953</v>
      </c>
      <c r="E6583" t="s">
        <v>954</v>
      </c>
      <c r="F6583" t="s">
        <v>35</v>
      </c>
      <c r="G6583" t="s">
        <v>35</v>
      </c>
      <c r="H6583" t="s">
        <v>35</v>
      </c>
      <c r="J6583" t="s">
        <v>6778</v>
      </c>
      <c r="K6583" t="s">
        <v>1092</v>
      </c>
      <c r="M6583">
        <v>0.85499999999999998</v>
      </c>
      <c r="N6583">
        <v>92</v>
      </c>
      <c r="O6583" t="s">
        <v>106</v>
      </c>
      <c r="Q6583" t="s">
        <v>1100</v>
      </c>
      <c r="R6583" t="s">
        <v>6721</v>
      </c>
      <c r="S6583" t="s">
        <v>1078</v>
      </c>
    </row>
    <row r="6584" spans="1:19" x14ac:dyDescent="0.25">
      <c r="A6584" t="s">
        <v>59</v>
      </c>
      <c r="B6584" t="s">
        <v>60</v>
      </c>
      <c r="C6584" t="s">
        <v>32</v>
      </c>
      <c r="D6584" t="s">
        <v>953</v>
      </c>
      <c r="E6584" t="s">
        <v>954</v>
      </c>
      <c r="F6584" t="s">
        <v>35</v>
      </c>
      <c r="G6584" t="s">
        <v>35</v>
      </c>
      <c r="H6584" t="s">
        <v>35</v>
      </c>
      <c r="J6584" t="s">
        <v>6779</v>
      </c>
      <c r="K6584" t="s">
        <v>1092</v>
      </c>
      <c r="M6584">
        <v>0.25</v>
      </c>
      <c r="N6584">
        <v>86</v>
      </c>
      <c r="O6584" t="s">
        <v>61</v>
      </c>
      <c r="Q6584" t="s">
        <v>1076</v>
      </c>
      <c r="R6584" t="s">
        <v>6720</v>
      </c>
      <c r="S6584" t="s">
        <v>961</v>
      </c>
    </row>
    <row r="6585" spans="1:19" x14ac:dyDescent="0.25">
      <c r="A6585" t="s">
        <v>44</v>
      </c>
      <c r="B6585" t="s">
        <v>51</v>
      </c>
      <c r="C6585" t="s">
        <v>32</v>
      </c>
      <c r="D6585" t="s">
        <v>953</v>
      </c>
      <c r="E6585" t="s">
        <v>954</v>
      </c>
      <c r="F6585" t="s">
        <v>35</v>
      </c>
      <c r="G6585" t="s">
        <v>35</v>
      </c>
      <c r="H6585" t="s">
        <v>35</v>
      </c>
      <c r="J6585" t="s">
        <v>6780</v>
      </c>
      <c r="K6585" t="s">
        <v>1092</v>
      </c>
      <c r="M6585">
        <v>0.75</v>
      </c>
      <c r="N6585">
        <v>323</v>
      </c>
      <c r="O6585" t="s">
        <v>5</v>
      </c>
      <c r="Q6585" t="s">
        <v>6781</v>
      </c>
      <c r="R6585" t="s">
        <v>6721</v>
      </c>
      <c r="S6585" t="s">
        <v>1078</v>
      </c>
    </row>
    <row r="6586" spans="1:19" x14ac:dyDescent="0.25">
      <c r="A6586" t="s">
        <v>59</v>
      </c>
      <c r="B6586" t="s">
        <v>60</v>
      </c>
      <c r="C6586" t="s">
        <v>32</v>
      </c>
      <c r="D6586" t="s">
        <v>953</v>
      </c>
      <c r="E6586" t="s">
        <v>954</v>
      </c>
      <c r="F6586" t="s">
        <v>35</v>
      </c>
      <c r="G6586" t="s">
        <v>35</v>
      </c>
      <c r="H6586" t="s">
        <v>35</v>
      </c>
      <c r="J6586" t="s">
        <v>6780</v>
      </c>
      <c r="K6586" t="s">
        <v>1092</v>
      </c>
      <c r="M6586">
        <v>0.25</v>
      </c>
      <c r="N6586">
        <v>402</v>
      </c>
      <c r="O6586" t="s">
        <v>294</v>
      </c>
      <c r="Q6586" t="s">
        <v>1369</v>
      </c>
      <c r="R6586" t="s">
        <v>6720</v>
      </c>
      <c r="S6586" t="s">
        <v>961</v>
      </c>
    </row>
    <row r="6587" spans="1:19" x14ac:dyDescent="0.25">
      <c r="A6587" t="s">
        <v>59</v>
      </c>
      <c r="B6587" t="s">
        <v>60</v>
      </c>
      <c r="C6587" t="s">
        <v>32</v>
      </c>
      <c r="D6587" t="s">
        <v>953</v>
      </c>
      <c r="E6587" t="s">
        <v>954</v>
      </c>
      <c r="F6587" t="s">
        <v>35</v>
      </c>
      <c r="G6587" t="s">
        <v>35</v>
      </c>
      <c r="H6587" t="s">
        <v>35</v>
      </c>
      <c r="J6587" t="s">
        <v>6780</v>
      </c>
      <c r="K6587" t="s">
        <v>1092</v>
      </c>
      <c r="M6587">
        <v>0.25</v>
      </c>
      <c r="N6587">
        <v>323</v>
      </c>
      <c r="O6587" t="s">
        <v>5</v>
      </c>
      <c r="Q6587" t="s">
        <v>6781</v>
      </c>
      <c r="R6587" t="s">
        <v>6721</v>
      </c>
      <c r="S6587" t="s">
        <v>1078</v>
      </c>
    </row>
    <row r="6588" spans="1:19" x14ac:dyDescent="0.25">
      <c r="A6588" t="s">
        <v>44</v>
      </c>
      <c r="B6588" t="s">
        <v>3</v>
      </c>
      <c r="C6588" t="s">
        <v>32</v>
      </c>
      <c r="D6588" t="s">
        <v>953</v>
      </c>
      <c r="E6588" t="s">
        <v>954</v>
      </c>
      <c r="F6588" t="s">
        <v>35</v>
      </c>
      <c r="G6588" t="s">
        <v>35</v>
      </c>
      <c r="H6588" t="s">
        <v>35</v>
      </c>
      <c r="J6588" t="s">
        <v>6782</v>
      </c>
      <c r="K6588" t="s">
        <v>1092</v>
      </c>
      <c r="M6588">
        <v>0.25</v>
      </c>
      <c r="N6588">
        <v>64</v>
      </c>
      <c r="O6588" t="s">
        <v>61</v>
      </c>
      <c r="Q6588" t="s">
        <v>381</v>
      </c>
      <c r="R6588" t="s">
        <v>6720</v>
      </c>
      <c r="S6588" t="s">
        <v>961</v>
      </c>
    </row>
    <row r="6589" spans="1:19" x14ac:dyDescent="0.25">
      <c r="A6589" t="s">
        <v>59</v>
      </c>
      <c r="B6589" t="s">
        <v>60</v>
      </c>
      <c r="C6589" t="s">
        <v>32</v>
      </c>
      <c r="D6589" t="s">
        <v>953</v>
      </c>
      <c r="E6589" t="s">
        <v>954</v>
      </c>
      <c r="F6589" t="s">
        <v>35</v>
      </c>
      <c r="G6589" t="s">
        <v>35</v>
      </c>
      <c r="H6589" t="s">
        <v>35</v>
      </c>
      <c r="J6589" t="s">
        <v>6782</v>
      </c>
      <c r="K6589" t="s">
        <v>1092</v>
      </c>
      <c r="M6589">
        <v>2.2999999999999998</v>
      </c>
      <c r="N6589">
        <v>56</v>
      </c>
      <c r="O6589" t="s">
        <v>52</v>
      </c>
      <c r="Q6589" t="s">
        <v>453</v>
      </c>
      <c r="R6589" t="s">
        <v>6716</v>
      </c>
      <c r="S6589" t="s">
        <v>6717</v>
      </c>
    </row>
    <row r="6590" spans="1:19" x14ac:dyDescent="0.25">
      <c r="A6590" t="s">
        <v>44</v>
      </c>
      <c r="B6590" t="s">
        <v>51</v>
      </c>
      <c r="C6590" t="s">
        <v>32</v>
      </c>
      <c r="D6590" t="s">
        <v>953</v>
      </c>
      <c r="E6590" t="s">
        <v>954</v>
      </c>
      <c r="F6590" t="s">
        <v>35</v>
      </c>
      <c r="G6590" t="s">
        <v>35</v>
      </c>
      <c r="H6590" t="s">
        <v>35</v>
      </c>
      <c r="J6590" t="s">
        <v>6782</v>
      </c>
      <c r="K6590" t="s">
        <v>1092</v>
      </c>
      <c r="M6590">
        <v>0.6</v>
      </c>
      <c r="N6590">
        <v>56</v>
      </c>
      <c r="O6590" t="s">
        <v>52</v>
      </c>
      <c r="Q6590" t="s">
        <v>453</v>
      </c>
      <c r="R6590" t="s">
        <v>6716</v>
      </c>
      <c r="S6590" t="s">
        <v>6717</v>
      </c>
    </row>
    <row r="6591" spans="1:19" x14ac:dyDescent="0.25">
      <c r="A6591" t="s">
        <v>44</v>
      </c>
      <c r="B6591" t="s">
        <v>3</v>
      </c>
      <c r="C6591" t="s">
        <v>32</v>
      </c>
      <c r="D6591" t="s">
        <v>953</v>
      </c>
      <c r="E6591" t="s">
        <v>954</v>
      </c>
      <c r="F6591" t="s">
        <v>35</v>
      </c>
      <c r="G6591" t="s">
        <v>35</v>
      </c>
      <c r="H6591" t="s">
        <v>35</v>
      </c>
      <c r="J6591" t="s">
        <v>6782</v>
      </c>
      <c r="K6591" t="s">
        <v>1092</v>
      </c>
      <c r="M6591">
        <v>1</v>
      </c>
      <c r="N6591">
        <v>56</v>
      </c>
      <c r="O6591" t="s">
        <v>52</v>
      </c>
      <c r="Q6591" t="s">
        <v>453</v>
      </c>
      <c r="R6591" t="s">
        <v>6716</v>
      </c>
      <c r="S6591" t="s">
        <v>6717</v>
      </c>
    </row>
    <row r="6592" spans="1:19" x14ac:dyDescent="0.25">
      <c r="A6592" t="s">
        <v>30</v>
      </c>
      <c r="B6592" t="s">
        <v>31</v>
      </c>
      <c r="C6592" t="s">
        <v>32</v>
      </c>
      <c r="D6592" t="s">
        <v>953</v>
      </c>
      <c r="E6592" t="s">
        <v>954</v>
      </c>
      <c r="F6592" t="s">
        <v>35</v>
      </c>
      <c r="G6592" t="s">
        <v>35</v>
      </c>
      <c r="H6592" t="s">
        <v>35</v>
      </c>
      <c r="J6592" t="s">
        <v>6782</v>
      </c>
      <c r="K6592" t="s">
        <v>1092</v>
      </c>
      <c r="M6592">
        <v>0.27</v>
      </c>
      <c r="N6592">
        <v>281</v>
      </c>
      <c r="O6592" t="s">
        <v>5</v>
      </c>
      <c r="Q6592" t="s">
        <v>1226</v>
      </c>
      <c r="R6592" t="s">
        <v>6720</v>
      </c>
      <c r="S6592" t="s">
        <v>961</v>
      </c>
    </row>
    <row r="6593" spans="1:19" x14ac:dyDescent="0.25">
      <c r="A6593" t="s">
        <v>44</v>
      </c>
      <c r="B6593" t="s">
        <v>3</v>
      </c>
      <c r="C6593" t="s">
        <v>32</v>
      </c>
      <c r="D6593" t="s">
        <v>953</v>
      </c>
      <c r="E6593" t="s">
        <v>954</v>
      </c>
      <c r="F6593" t="s">
        <v>35</v>
      </c>
      <c r="G6593" t="s">
        <v>35</v>
      </c>
      <c r="H6593" t="s">
        <v>35</v>
      </c>
      <c r="J6593" t="s">
        <v>6783</v>
      </c>
      <c r="K6593" t="s">
        <v>1092</v>
      </c>
      <c r="M6593">
        <v>0.25</v>
      </c>
      <c r="N6593">
        <v>52</v>
      </c>
      <c r="O6593" t="s">
        <v>52</v>
      </c>
      <c r="Q6593" t="s">
        <v>1230</v>
      </c>
      <c r="R6593" t="s">
        <v>6720</v>
      </c>
      <c r="S6593" t="s">
        <v>961</v>
      </c>
    </row>
    <row r="6594" spans="1:19" x14ac:dyDescent="0.25">
      <c r="A6594" t="s">
        <v>44</v>
      </c>
      <c r="B6594" t="s">
        <v>3</v>
      </c>
      <c r="C6594" t="s">
        <v>32</v>
      </c>
      <c r="D6594" t="s">
        <v>953</v>
      </c>
      <c r="E6594" t="s">
        <v>954</v>
      </c>
      <c r="F6594" t="s">
        <v>35</v>
      </c>
      <c r="G6594" t="s">
        <v>35</v>
      </c>
      <c r="H6594" t="s">
        <v>35</v>
      </c>
      <c r="J6594" t="s">
        <v>6783</v>
      </c>
      <c r="K6594" t="s">
        <v>1092</v>
      </c>
      <c r="M6594">
        <v>0.05</v>
      </c>
      <c r="N6594">
        <v>65</v>
      </c>
      <c r="O6594" t="s">
        <v>61</v>
      </c>
      <c r="Q6594" t="s">
        <v>128</v>
      </c>
      <c r="R6594" t="s">
        <v>6720</v>
      </c>
      <c r="S6594" t="s">
        <v>961</v>
      </c>
    </row>
    <row r="6595" spans="1:19" x14ac:dyDescent="0.25">
      <c r="A6595" t="s">
        <v>44</v>
      </c>
      <c r="B6595" t="s">
        <v>3</v>
      </c>
      <c r="C6595" t="s">
        <v>32</v>
      </c>
      <c r="D6595" t="s">
        <v>953</v>
      </c>
      <c r="E6595" t="s">
        <v>954</v>
      </c>
      <c r="F6595" t="s">
        <v>35</v>
      </c>
      <c r="G6595" t="s">
        <v>35</v>
      </c>
      <c r="H6595" t="s">
        <v>35</v>
      </c>
      <c r="J6595" t="s">
        <v>6783</v>
      </c>
      <c r="K6595" t="s">
        <v>1092</v>
      </c>
      <c r="M6595">
        <v>0.25</v>
      </c>
      <c r="N6595">
        <v>60</v>
      </c>
      <c r="O6595" t="s">
        <v>52</v>
      </c>
      <c r="Q6595" t="s">
        <v>1734</v>
      </c>
      <c r="R6595" t="s">
        <v>6720</v>
      </c>
      <c r="S6595" t="s">
        <v>961</v>
      </c>
    </row>
    <row r="6596" spans="1:19" x14ac:dyDescent="0.25">
      <c r="A6596" t="s">
        <v>44</v>
      </c>
      <c r="B6596" t="s">
        <v>3</v>
      </c>
      <c r="C6596" t="s">
        <v>32</v>
      </c>
      <c r="D6596" t="s">
        <v>953</v>
      </c>
      <c r="E6596" t="s">
        <v>954</v>
      </c>
      <c r="F6596" t="s">
        <v>35</v>
      </c>
      <c r="G6596" t="s">
        <v>35</v>
      </c>
      <c r="H6596" t="s">
        <v>35</v>
      </c>
      <c r="J6596" t="s">
        <v>6783</v>
      </c>
      <c r="K6596" t="s">
        <v>1092</v>
      </c>
      <c r="M6596">
        <v>0.25</v>
      </c>
      <c r="N6596">
        <v>44</v>
      </c>
      <c r="O6596" t="s">
        <v>52</v>
      </c>
      <c r="Q6596" t="s">
        <v>192</v>
      </c>
      <c r="R6596" t="s">
        <v>6720</v>
      </c>
      <c r="S6596" t="s">
        <v>961</v>
      </c>
    </row>
    <row r="6597" spans="1:19" x14ac:dyDescent="0.25">
      <c r="A6597" t="s">
        <v>59</v>
      </c>
      <c r="B6597" t="s">
        <v>60</v>
      </c>
      <c r="C6597" t="s">
        <v>32</v>
      </c>
      <c r="D6597" t="s">
        <v>953</v>
      </c>
      <c r="E6597" t="s">
        <v>954</v>
      </c>
      <c r="F6597" t="s">
        <v>35</v>
      </c>
      <c r="G6597" t="s">
        <v>35</v>
      </c>
      <c r="H6597" t="s">
        <v>35</v>
      </c>
      <c r="J6597" t="s">
        <v>6783</v>
      </c>
      <c r="K6597" t="s">
        <v>1092</v>
      </c>
      <c r="M6597">
        <v>0.05</v>
      </c>
      <c r="N6597">
        <v>84</v>
      </c>
      <c r="O6597" t="s">
        <v>61</v>
      </c>
      <c r="Q6597" t="s">
        <v>778</v>
      </c>
      <c r="R6597" t="s">
        <v>6707</v>
      </c>
      <c r="S6597" t="s">
        <v>955</v>
      </c>
    </row>
    <row r="6598" spans="1:19" x14ac:dyDescent="0.25">
      <c r="A6598" t="s">
        <v>59</v>
      </c>
      <c r="B6598" t="s">
        <v>60</v>
      </c>
      <c r="C6598" t="s">
        <v>32</v>
      </c>
      <c r="D6598" t="s">
        <v>953</v>
      </c>
      <c r="E6598" t="s">
        <v>954</v>
      </c>
      <c r="F6598" t="s">
        <v>35</v>
      </c>
      <c r="G6598" t="s">
        <v>35</v>
      </c>
      <c r="H6598" t="s">
        <v>35</v>
      </c>
      <c r="J6598" t="s">
        <v>6783</v>
      </c>
      <c r="K6598" t="s">
        <v>1092</v>
      </c>
      <c r="M6598">
        <v>0.5</v>
      </c>
      <c r="N6598">
        <v>48</v>
      </c>
      <c r="O6598" t="s">
        <v>52</v>
      </c>
      <c r="Q6598" t="s">
        <v>496</v>
      </c>
      <c r="R6598" t="s">
        <v>6707</v>
      </c>
      <c r="S6598" t="s">
        <v>955</v>
      </c>
    </row>
    <row r="6599" spans="1:19" x14ac:dyDescent="0.25">
      <c r="A6599" t="s">
        <v>59</v>
      </c>
      <c r="B6599" t="s">
        <v>60</v>
      </c>
      <c r="C6599" t="s">
        <v>32</v>
      </c>
      <c r="D6599" t="s">
        <v>953</v>
      </c>
      <c r="E6599" t="s">
        <v>954</v>
      </c>
      <c r="F6599" t="s">
        <v>35</v>
      </c>
      <c r="G6599" t="s">
        <v>35</v>
      </c>
      <c r="H6599" t="s">
        <v>35</v>
      </c>
      <c r="J6599" t="s">
        <v>6784</v>
      </c>
      <c r="K6599" t="s">
        <v>1092</v>
      </c>
      <c r="M6599">
        <v>2.3E-2</v>
      </c>
      <c r="N6599">
        <v>60</v>
      </c>
      <c r="O6599" t="s">
        <v>52</v>
      </c>
      <c r="Q6599" t="s">
        <v>1734</v>
      </c>
      <c r="R6599" t="s">
        <v>6705</v>
      </c>
      <c r="S6599" t="s">
        <v>981</v>
      </c>
    </row>
    <row r="6600" spans="1:19" x14ac:dyDescent="0.25">
      <c r="A6600" t="s">
        <v>30</v>
      </c>
      <c r="B6600" t="s">
        <v>31</v>
      </c>
      <c r="C6600" t="s">
        <v>32</v>
      </c>
      <c r="D6600" t="s">
        <v>953</v>
      </c>
      <c r="E6600" t="s">
        <v>954</v>
      </c>
      <c r="F6600" t="s">
        <v>35</v>
      </c>
      <c r="G6600" t="s">
        <v>35</v>
      </c>
      <c r="H6600" t="s">
        <v>35</v>
      </c>
      <c r="J6600" t="s">
        <v>6784</v>
      </c>
      <c r="K6600" t="s">
        <v>1092</v>
      </c>
      <c r="M6600">
        <v>7.2</v>
      </c>
      <c r="N6600">
        <v>4</v>
      </c>
      <c r="O6600" t="s">
        <v>46</v>
      </c>
      <c r="Q6600" t="s">
        <v>8230</v>
      </c>
      <c r="R6600" t="s">
        <v>6705</v>
      </c>
      <c r="S6600" t="s">
        <v>981</v>
      </c>
    </row>
    <row r="6601" spans="1:19" x14ac:dyDescent="0.25">
      <c r="A6601" t="s">
        <v>44</v>
      </c>
      <c r="B6601" t="s">
        <v>3</v>
      </c>
      <c r="C6601" t="s">
        <v>32</v>
      </c>
      <c r="D6601" t="s">
        <v>953</v>
      </c>
      <c r="E6601" t="s">
        <v>954</v>
      </c>
      <c r="F6601" t="s">
        <v>35</v>
      </c>
      <c r="G6601" t="s">
        <v>35</v>
      </c>
      <c r="H6601" t="s">
        <v>35</v>
      </c>
      <c r="J6601" t="s">
        <v>6784</v>
      </c>
      <c r="K6601" t="s">
        <v>1092</v>
      </c>
      <c r="M6601">
        <v>4.6500000000000004</v>
      </c>
      <c r="N6601">
        <v>59</v>
      </c>
      <c r="O6601" t="s">
        <v>52</v>
      </c>
      <c r="Q6601" t="s">
        <v>84</v>
      </c>
      <c r="R6601" t="s">
        <v>6711</v>
      </c>
      <c r="S6601" t="s">
        <v>6712</v>
      </c>
    </row>
    <row r="6602" spans="1:19" x14ac:dyDescent="0.25">
      <c r="A6602" t="s">
        <v>59</v>
      </c>
      <c r="B6602" t="s">
        <v>60</v>
      </c>
      <c r="C6602" t="s">
        <v>32</v>
      </c>
      <c r="D6602" t="s">
        <v>953</v>
      </c>
      <c r="E6602" t="s">
        <v>954</v>
      </c>
      <c r="F6602" t="s">
        <v>35</v>
      </c>
      <c r="G6602" t="s">
        <v>35</v>
      </c>
      <c r="H6602" t="s">
        <v>35</v>
      </c>
      <c r="J6602" t="s">
        <v>6785</v>
      </c>
      <c r="K6602" t="s">
        <v>1092</v>
      </c>
      <c r="M6602">
        <v>0.5</v>
      </c>
      <c r="N6602">
        <v>374</v>
      </c>
      <c r="O6602" t="s">
        <v>294</v>
      </c>
      <c r="Q6602" t="s">
        <v>6786</v>
      </c>
      <c r="R6602" t="s">
        <v>6707</v>
      </c>
      <c r="S6602" t="s">
        <v>955</v>
      </c>
    </row>
    <row r="6603" spans="1:19" x14ac:dyDescent="0.25">
      <c r="A6603" t="s">
        <v>59</v>
      </c>
      <c r="B6603" t="s">
        <v>60</v>
      </c>
      <c r="C6603" t="s">
        <v>32</v>
      </c>
      <c r="D6603" t="s">
        <v>953</v>
      </c>
      <c r="E6603" t="s">
        <v>954</v>
      </c>
      <c r="F6603" t="s">
        <v>35</v>
      </c>
      <c r="G6603" t="s">
        <v>35</v>
      </c>
      <c r="H6603" t="s">
        <v>35</v>
      </c>
      <c r="J6603" t="s">
        <v>6785</v>
      </c>
      <c r="K6603" t="s">
        <v>1092</v>
      </c>
      <c r="M6603">
        <v>0.05</v>
      </c>
      <c r="N6603">
        <v>399</v>
      </c>
      <c r="O6603" t="s">
        <v>294</v>
      </c>
      <c r="Q6603" t="s">
        <v>1707</v>
      </c>
      <c r="R6603" t="s">
        <v>6707</v>
      </c>
      <c r="S6603" t="s">
        <v>955</v>
      </c>
    </row>
    <row r="6604" spans="1:19" x14ac:dyDescent="0.25">
      <c r="A6604" t="s">
        <v>59</v>
      </c>
      <c r="B6604" t="s">
        <v>60</v>
      </c>
      <c r="C6604" t="s">
        <v>32</v>
      </c>
      <c r="D6604" t="s">
        <v>953</v>
      </c>
      <c r="E6604" t="s">
        <v>954</v>
      </c>
      <c r="F6604" t="s">
        <v>35</v>
      </c>
      <c r="G6604" t="s">
        <v>35</v>
      </c>
      <c r="H6604" t="s">
        <v>35</v>
      </c>
      <c r="J6604" t="s">
        <v>6787</v>
      </c>
      <c r="K6604" t="s">
        <v>1092</v>
      </c>
      <c r="M6604">
        <v>0.1</v>
      </c>
      <c r="N6604">
        <v>49</v>
      </c>
      <c r="O6604" t="s">
        <v>52</v>
      </c>
      <c r="Q6604" t="s">
        <v>219</v>
      </c>
      <c r="R6604" t="s">
        <v>6707</v>
      </c>
      <c r="S6604" t="s">
        <v>955</v>
      </c>
    </row>
    <row r="6605" spans="1:19" x14ac:dyDescent="0.25">
      <c r="A6605" t="s">
        <v>44</v>
      </c>
      <c r="B6605" t="s">
        <v>51</v>
      </c>
      <c r="C6605" t="s">
        <v>32</v>
      </c>
      <c r="D6605" t="s">
        <v>953</v>
      </c>
      <c r="E6605" t="s">
        <v>954</v>
      </c>
      <c r="F6605" t="s">
        <v>35</v>
      </c>
      <c r="G6605" t="s">
        <v>35</v>
      </c>
      <c r="H6605" t="s">
        <v>35</v>
      </c>
      <c r="J6605" t="s">
        <v>6787</v>
      </c>
      <c r="K6605" t="s">
        <v>1092</v>
      </c>
      <c r="M6605">
        <v>1</v>
      </c>
      <c r="N6605">
        <v>16</v>
      </c>
      <c r="O6605" t="s">
        <v>46</v>
      </c>
      <c r="Q6605" t="s">
        <v>323</v>
      </c>
      <c r="R6605" t="s">
        <v>6707</v>
      </c>
      <c r="S6605" t="s">
        <v>955</v>
      </c>
    </row>
    <row r="6606" spans="1:19" x14ac:dyDescent="0.25">
      <c r="A6606" t="s">
        <v>44</v>
      </c>
      <c r="B6606" t="s">
        <v>51</v>
      </c>
      <c r="C6606" t="s">
        <v>32</v>
      </c>
      <c r="D6606" t="s">
        <v>953</v>
      </c>
      <c r="E6606" t="s">
        <v>954</v>
      </c>
      <c r="F6606" t="s">
        <v>35</v>
      </c>
      <c r="G6606" t="s">
        <v>35</v>
      </c>
      <c r="H6606" t="s">
        <v>35</v>
      </c>
      <c r="J6606" t="s">
        <v>6787</v>
      </c>
      <c r="K6606" t="s">
        <v>1092</v>
      </c>
      <c r="M6606">
        <v>0.8</v>
      </c>
      <c r="N6606">
        <v>20</v>
      </c>
      <c r="O6606" t="s">
        <v>46</v>
      </c>
      <c r="Q6606" t="s">
        <v>1004</v>
      </c>
      <c r="R6606" t="s">
        <v>6707</v>
      </c>
      <c r="S6606" t="s">
        <v>955</v>
      </c>
    </row>
    <row r="6607" spans="1:19" x14ac:dyDescent="0.25">
      <c r="A6607" t="s">
        <v>44</v>
      </c>
      <c r="B6607" t="s">
        <v>3</v>
      </c>
      <c r="C6607" t="s">
        <v>32</v>
      </c>
      <c r="D6607" t="s">
        <v>953</v>
      </c>
      <c r="E6607" t="s">
        <v>954</v>
      </c>
      <c r="F6607" t="s">
        <v>35</v>
      </c>
      <c r="G6607" t="s">
        <v>35</v>
      </c>
      <c r="H6607" t="s">
        <v>35</v>
      </c>
      <c r="J6607" t="s">
        <v>6788</v>
      </c>
      <c r="K6607" t="s">
        <v>1092</v>
      </c>
      <c r="M6607">
        <v>0.25</v>
      </c>
      <c r="N6607">
        <v>43</v>
      </c>
      <c r="O6607" t="s">
        <v>52</v>
      </c>
      <c r="Q6607" t="s">
        <v>892</v>
      </c>
      <c r="R6607" t="s">
        <v>6721</v>
      </c>
      <c r="S6607" t="s">
        <v>1078</v>
      </c>
    </row>
    <row r="6608" spans="1:19" x14ac:dyDescent="0.25">
      <c r="A6608" t="s">
        <v>59</v>
      </c>
      <c r="B6608" t="s">
        <v>60</v>
      </c>
      <c r="C6608" t="s">
        <v>32</v>
      </c>
      <c r="D6608" t="s">
        <v>953</v>
      </c>
      <c r="E6608" t="s">
        <v>954</v>
      </c>
      <c r="F6608" t="s">
        <v>35</v>
      </c>
      <c r="G6608" t="s">
        <v>35</v>
      </c>
      <c r="H6608" t="s">
        <v>35</v>
      </c>
      <c r="J6608" t="s">
        <v>6788</v>
      </c>
      <c r="K6608" t="s">
        <v>1092</v>
      </c>
      <c r="M6608">
        <v>0.15</v>
      </c>
      <c r="N6608">
        <v>43</v>
      </c>
      <c r="O6608" t="s">
        <v>52</v>
      </c>
      <c r="Q6608" t="s">
        <v>892</v>
      </c>
      <c r="R6608" t="s">
        <v>6721</v>
      </c>
      <c r="S6608" t="s">
        <v>1078</v>
      </c>
    </row>
    <row r="6609" spans="1:19" x14ac:dyDescent="0.25">
      <c r="A6609" t="s">
        <v>59</v>
      </c>
      <c r="B6609" t="s">
        <v>60</v>
      </c>
      <c r="C6609" t="s">
        <v>32</v>
      </c>
      <c r="D6609" t="s">
        <v>953</v>
      </c>
      <c r="E6609" t="s">
        <v>954</v>
      </c>
      <c r="F6609" t="s">
        <v>35</v>
      </c>
      <c r="G6609" t="s">
        <v>35</v>
      </c>
      <c r="H6609" t="s">
        <v>35</v>
      </c>
      <c r="J6609" t="s">
        <v>6788</v>
      </c>
      <c r="K6609" t="s">
        <v>1092</v>
      </c>
      <c r="M6609">
        <v>0.15</v>
      </c>
      <c r="N6609">
        <v>75</v>
      </c>
      <c r="O6609" t="s">
        <v>61</v>
      </c>
      <c r="Q6609" t="s">
        <v>805</v>
      </c>
      <c r="R6609" t="s">
        <v>6721</v>
      </c>
      <c r="S6609" t="s">
        <v>1078</v>
      </c>
    </row>
    <row r="6610" spans="1:19" x14ac:dyDescent="0.25">
      <c r="A6610" t="s">
        <v>59</v>
      </c>
      <c r="B6610" t="s">
        <v>31</v>
      </c>
      <c r="C6610" t="s">
        <v>32</v>
      </c>
      <c r="D6610" t="s">
        <v>953</v>
      </c>
      <c r="E6610" t="s">
        <v>954</v>
      </c>
      <c r="F6610" t="s">
        <v>35</v>
      </c>
      <c r="G6610" t="s">
        <v>35</v>
      </c>
      <c r="H6610" t="s">
        <v>35</v>
      </c>
      <c r="J6610" t="s">
        <v>6789</v>
      </c>
      <c r="K6610" t="s">
        <v>1092</v>
      </c>
      <c r="M6610">
        <v>1.35</v>
      </c>
      <c r="N6610">
        <v>56</v>
      </c>
      <c r="O6610" t="s">
        <v>52</v>
      </c>
      <c r="Q6610" t="s">
        <v>453</v>
      </c>
      <c r="R6610" t="s">
        <v>6707</v>
      </c>
      <c r="S6610" t="s">
        <v>955</v>
      </c>
    </row>
    <row r="6611" spans="1:19" x14ac:dyDescent="0.25">
      <c r="A6611" t="s">
        <v>59</v>
      </c>
      <c r="B6611" t="s">
        <v>60</v>
      </c>
      <c r="C6611" t="s">
        <v>32</v>
      </c>
      <c r="D6611" t="s">
        <v>953</v>
      </c>
      <c r="E6611" t="s">
        <v>954</v>
      </c>
      <c r="F6611" t="s">
        <v>35</v>
      </c>
      <c r="G6611" t="s">
        <v>35</v>
      </c>
      <c r="H6611" t="s">
        <v>35</v>
      </c>
      <c r="J6611" t="s">
        <v>6789</v>
      </c>
      <c r="K6611" t="s">
        <v>1092</v>
      </c>
      <c r="M6611">
        <v>0.86499999999999999</v>
      </c>
      <c r="N6611">
        <v>145</v>
      </c>
      <c r="O6611" t="s">
        <v>38</v>
      </c>
      <c r="Q6611" t="s">
        <v>1149</v>
      </c>
      <c r="R6611" t="s">
        <v>6707</v>
      </c>
      <c r="S6611" t="s">
        <v>955</v>
      </c>
    </row>
    <row r="6612" spans="1:19" x14ac:dyDescent="0.25">
      <c r="A6612" t="s">
        <v>59</v>
      </c>
      <c r="B6612" t="s">
        <v>31</v>
      </c>
      <c r="C6612" t="s">
        <v>32</v>
      </c>
      <c r="D6612" t="s">
        <v>953</v>
      </c>
      <c r="E6612" t="s">
        <v>954</v>
      </c>
      <c r="F6612" t="s">
        <v>35</v>
      </c>
      <c r="G6612" t="s">
        <v>35</v>
      </c>
      <c r="H6612" t="s">
        <v>35</v>
      </c>
      <c r="J6612" t="s">
        <v>6790</v>
      </c>
      <c r="K6612" t="s">
        <v>1092</v>
      </c>
      <c r="M6612">
        <v>0.95</v>
      </c>
      <c r="N6612">
        <v>146</v>
      </c>
      <c r="O6612" t="s">
        <v>38</v>
      </c>
      <c r="Q6612" t="s">
        <v>1335</v>
      </c>
      <c r="R6612" t="s">
        <v>6709</v>
      </c>
      <c r="S6612" t="s">
        <v>1022</v>
      </c>
    </row>
    <row r="6613" spans="1:19" x14ac:dyDescent="0.25">
      <c r="A6613" t="s">
        <v>59</v>
      </c>
      <c r="B6613" t="s">
        <v>60</v>
      </c>
      <c r="C6613" t="s">
        <v>32</v>
      </c>
      <c r="D6613" t="s">
        <v>953</v>
      </c>
      <c r="E6613" t="s">
        <v>954</v>
      </c>
      <c r="F6613" t="s">
        <v>35</v>
      </c>
      <c r="G6613" t="s">
        <v>35</v>
      </c>
      <c r="H6613" t="s">
        <v>35</v>
      </c>
      <c r="J6613" t="s">
        <v>6790</v>
      </c>
      <c r="K6613" t="s">
        <v>1092</v>
      </c>
      <c r="M6613">
        <v>0.08</v>
      </c>
      <c r="N6613">
        <v>436</v>
      </c>
      <c r="O6613" t="s">
        <v>294</v>
      </c>
      <c r="Q6613" t="s">
        <v>1787</v>
      </c>
      <c r="R6613" t="s">
        <v>6746</v>
      </c>
      <c r="S6613" t="s">
        <v>6747</v>
      </c>
    </row>
    <row r="6614" spans="1:19" x14ac:dyDescent="0.25">
      <c r="A6614" t="s">
        <v>59</v>
      </c>
      <c r="B6614" t="s">
        <v>60</v>
      </c>
      <c r="C6614" t="s">
        <v>32</v>
      </c>
      <c r="D6614" t="s">
        <v>953</v>
      </c>
      <c r="E6614" t="s">
        <v>954</v>
      </c>
      <c r="F6614" t="s">
        <v>35</v>
      </c>
      <c r="G6614" t="s">
        <v>35</v>
      </c>
      <c r="H6614" t="s">
        <v>35</v>
      </c>
      <c r="J6614" t="s">
        <v>6791</v>
      </c>
      <c r="K6614" t="s">
        <v>1092</v>
      </c>
      <c r="M6614">
        <v>5</v>
      </c>
      <c r="N6614">
        <v>64</v>
      </c>
      <c r="O6614" t="s">
        <v>61</v>
      </c>
      <c r="Q6614" t="s">
        <v>381</v>
      </c>
      <c r="R6614" t="s">
        <v>6707</v>
      </c>
      <c r="S6614" t="s">
        <v>955</v>
      </c>
    </row>
    <row r="6615" spans="1:19" x14ac:dyDescent="0.25">
      <c r="A6615" t="s">
        <v>44</v>
      </c>
      <c r="B6615" t="s">
        <v>3</v>
      </c>
      <c r="C6615" t="s">
        <v>32</v>
      </c>
      <c r="D6615" t="s">
        <v>953</v>
      </c>
      <c r="E6615" t="s">
        <v>954</v>
      </c>
      <c r="F6615" t="s">
        <v>35</v>
      </c>
      <c r="G6615" t="s">
        <v>35</v>
      </c>
      <c r="H6615" t="s">
        <v>35</v>
      </c>
      <c r="J6615" t="s">
        <v>6791</v>
      </c>
      <c r="K6615" t="s">
        <v>1092</v>
      </c>
      <c r="M6615">
        <v>0.45</v>
      </c>
      <c r="N6615">
        <v>460</v>
      </c>
      <c r="O6615" t="s">
        <v>294</v>
      </c>
      <c r="Q6615" t="s">
        <v>4042</v>
      </c>
      <c r="R6615" t="s">
        <v>6707</v>
      </c>
      <c r="S6615" t="s">
        <v>955</v>
      </c>
    </row>
    <row r="6616" spans="1:19" x14ac:dyDescent="0.25">
      <c r="A6616" t="s">
        <v>59</v>
      </c>
      <c r="B6616" t="s">
        <v>60</v>
      </c>
      <c r="C6616" t="s">
        <v>32</v>
      </c>
      <c r="D6616" t="s">
        <v>953</v>
      </c>
      <c r="E6616" t="s">
        <v>954</v>
      </c>
      <c r="F6616" t="s">
        <v>35</v>
      </c>
      <c r="G6616" t="s">
        <v>35</v>
      </c>
      <c r="H6616" t="s">
        <v>35</v>
      </c>
      <c r="J6616" t="s">
        <v>6791</v>
      </c>
      <c r="K6616" t="s">
        <v>1092</v>
      </c>
      <c r="M6616">
        <v>1</v>
      </c>
      <c r="N6616">
        <v>86</v>
      </c>
      <c r="O6616" t="s">
        <v>61</v>
      </c>
      <c r="Q6616" t="s">
        <v>1076</v>
      </c>
      <c r="R6616" t="s">
        <v>6707</v>
      </c>
      <c r="S6616" t="s">
        <v>955</v>
      </c>
    </row>
    <row r="6617" spans="1:19" x14ac:dyDescent="0.25">
      <c r="A6617" t="s">
        <v>59</v>
      </c>
      <c r="B6617" t="s">
        <v>60</v>
      </c>
      <c r="C6617" t="s">
        <v>32</v>
      </c>
      <c r="D6617" t="s">
        <v>953</v>
      </c>
      <c r="E6617" t="s">
        <v>954</v>
      </c>
      <c r="F6617" t="s">
        <v>35</v>
      </c>
      <c r="G6617" t="s">
        <v>35</v>
      </c>
      <c r="H6617" t="s">
        <v>35</v>
      </c>
      <c r="J6617" t="s">
        <v>6792</v>
      </c>
      <c r="K6617" t="s">
        <v>1092</v>
      </c>
      <c r="M6617">
        <v>0.1</v>
      </c>
      <c r="N6617">
        <v>84</v>
      </c>
      <c r="O6617" t="s">
        <v>61</v>
      </c>
      <c r="Q6617" t="s">
        <v>778</v>
      </c>
      <c r="R6617" t="s">
        <v>6721</v>
      </c>
      <c r="S6617" t="s">
        <v>1078</v>
      </c>
    </row>
    <row r="6618" spans="1:19" x14ac:dyDescent="0.25">
      <c r="A6618" t="s">
        <v>44</v>
      </c>
      <c r="B6618" t="s">
        <v>3</v>
      </c>
      <c r="C6618" t="s">
        <v>32</v>
      </c>
      <c r="D6618" t="s">
        <v>953</v>
      </c>
      <c r="E6618" t="s">
        <v>954</v>
      </c>
      <c r="F6618" t="s">
        <v>35</v>
      </c>
      <c r="G6618" t="s">
        <v>35</v>
      </c>
      <c r="H6618" t="s">
        <v>35</v>
      </c>
      <c r="J6618" t="s">
        <v>6792</v>
      </c>
      <c r="K6618" t="s">
        <v>1092</v>
      </c>
      <c r="M6618">
        <v>0.1</v>
      </c>
      <c r="N6618">
        <v>480</v>
      </c>
      <c r="O6618" t="s">
        <v>294</v>
      </c>
      <c r="Q6618" t="s">
        <v>1405</v>
      </c>
      <c r="R6618" t="s">
        <v>6721</v>
      </c>
      <c r="S6618" t="s">
        <v>1078</v>
      </c>
    </row>
    <row r="6619" spans="1:19" x14ac:dyDescent="0.25">
      <c r="A6619" t="s">
        <v>44</v>
      </c>
      <c r="B6619" t="s">
        <v>3</v>
      </c>
      <c r="C6619" t="s">
        <v>32</v>
      </c>
      <c r="D6619" t="s">
        <v>953</v>
      </c>
      <c r="E6619" t="s">
        <v>954</v>
      </c>
      <c r="F6619" t="s">
        <v>35</v>
      </c>
      <c r="G6619" t="s">
        <v>35</v>
      </c>
      <c r="H6619" t="s">
        <v>35</v>
      </c>
      <c r="J6619" t="s">
        <v>6792</v>
      </c>
      <c r="K6619" t="s">
        <v>1092</v>
      </c>
      <c r="M6619">
        <v>0.1</v>
      </c>
      <c r="N6619">
        <v>469</v>
      </c>
      <c r="O6619" t="s">
        <v>294</v>
      </c>
      <c r="Q6619" t="s">
        <v>3662</v>
      </c>
      <c r="R6619" t="s">
        <v>6721</v>
      </c>
      <c r="S6619" t="s">
        <v>1078</v>
      </c>
    </row>
    <row r="6620" spans="1:19" x14ac:dyDescent="0.25">
      <c r="A6620" t="s">
        <v>59</v>
      </c>
      <c r="B6620" t="s">
        <v>60</v>
      </c>
      <c r="C6620" t="s">
        <v>32</v>
      </c>
      <c r="D6620" t="s">
        <v>953</v>
      </c>
      <c r="E6620" t="s">
        <v>954</v>
      </c>
      <c r="F6620" t="s">
        <v>35</v>
      </c>
      <c r="G6620" t="s">
        <v>35</v>
      </c>
      <c r="H6620" t="s">
        <v>35</v>
      </c>
      <c r="J6620" t="s">
        <v>6792</v>
      </c>
      <c r="K6620" t="s">
        <v>1092</v>
      </c>
      <c r="M6620">
        <v>0.25</v>
      </c>
      <c r="N6620">
        <v>43</v>
      </c>
      <c r="O6620" t="s">
        <v>52</v>
      </c>
      <c r="Q6620" t="s">
        <v>892</v>
      </c>
      <c r="R6620" t="s">
        <v>6721</v>
      </c>
      <c r="S6620" t="s">
        <v>1078</v>
      </c>
    </row>
    <row r="6621" spans="1:19" x14ac:dyDescent="0.25">
      <c r="A6621" t="s">
        <v>44</v>
      </c>
      <c r="B6621" t="s">
        <v>51</v>
      </c>
      <c r="C6621" t="s">
        <v>32</v>
      </c>
      <c r="D6621" t="s">
        <v>953</v>
      </c>
      <c r="E6621" t="s">
        <v>954</v>
      </c>
      <c r="F6621" t="s">
        <v>35</v>
      </c>
      <c r="G6621" t="s">
        <v>35</v>
      </c>
      <c r="H6621" t="s">
        <v>35</v>
      </c>
      <c r="J6621" t="s">
        <v>6792</v>
      </c>
      <c r="K6621" t="s">
        <v>1092</v>
      </c>
      <c r="M6621">
        <v>0.1</v>
      </c>
      <c r="N6621">
        <v>57</v>
      </c>
      <c r="O6621" t="s">
        <v>52</v>
      </c>
      <c r="Q6621" t="s">
        <v>665</v>
      </c>
      <c r="R6621" t="s">
        <v>6721</v>
      </c>
      <c r="S6621" t="s">
        <v>1078</v>
      </c>
    </row>
    <row r="6622" spans="1:19" x14ac:dyDescent="0.25">
      <c r="A6622" t="s">
        <v>44</v>
      </c>
      <c r="B6622" t="s">
        <v>51</v>
      </c>
      <c r="C6622" t="s">
        <v>32</v>
      </c>
      <c r="D6622" t="s">
        <v>953</v>
      </c>
      <c r="E6622" t="s">
        <v>954</v>
      </c>
      <c r="F6622" t="s">
        <v>35</v>
      </c>
      <c r="G6622" t="s">
        <v>35</v>
      </c>
      <c r="H6622" t="s">
        <v>35</v>
      </c>
      <c r="J6622" t="s">
        <v>6792</v>
      </c>
      <c r="K6622" t="s">
        <v>1092</v>
      </c>
      <c r="M6622">
        <v>0.5</v>
      </c>
      <c r="N6622">
        <v>45</v>
      </c>
      <c r="O6622" t="s">
        <v>52</v>
      </c>
      <c r="Q6622" t="s">
        <v>716</v>
      </c>
      <c r="R6622" t="s">
        <v>6721</v>
      </c>
      <c r="S6622" t="s">
        <v>1078</v>
      </c>
    </row>
    <row r="6623" spans="1:19" x14ac:dyDescent="0.25">
      <c r="A6623" t="s">
        <v>44</v>
      </c>
      <c r="B6623" t="s">
        <v>51</v>
      </c>
      <c r="C6623" t="s">
        <v>32</v>
      </c>
      <c r="D6623" t="s">
        <v>953</v>
      </c>
      <c r="E6623" t="s">
        <v>954</v>
      </c>
      <c r="F6623" t="s">
        <v>35</v>
      </c>
      <c r="G6623" t="s">
        <v>35</v>
      </c>
      <c r="H6623" t="s">
        <v>35</v>
      </c>
      <c r="J6623" t="s">
        <v>6792</v>
      </c>
      <c r="K6623" t="s">
        <v>1092</v>
      </c>
      <c r="M6623">
        <v>0.05</v>
      </c>
      <c r="N6623">
        <v>43</v>
      </c>
      <c r="O6623" t="s">
        <v>52</v>
      </c>
      <c r="Q6623" t="s">
        <v>892</v>
      </c>
      <c r="R6623" t="s">
        <v>6721</v>
      </c>
      <c r="S6623" t="s">
        <v>1078</v>
      </c>
    </row>
    <row r="6624" spans="1:19" x14ac:dyDescent="0.25">
      <c r="A6624" t="s">
        <v>44</v>
      </c>
      <c r="B6624" t="s">
        <v>3</v>
      </c>
      <c r="C6624" t="s">
        <v>32</v>
      </c>
      <c r="D6624" t="s">
        <v>953</v>
      </c>
      <c r="E6624" t="s">
        <v>954</v>
      </c>
      <c r="F6624" t="s">
        <v>35</v>
      </c>
      <c r="G6624" t="s">
        <v>35</v>
      </c>
      <c r="H6624" t="s">
        <v>35</v>
      </c>
      <c r="J6624" t="s">
        <v>6792</v>
      </c>
      <c r="K6624" t="s">
        <v>1092</v>
      </c>
      <c r="M6624">
        <v>0.05</v>
      </c>
      <c r="N6624">
        <v>43</v>
      </c>
      <c r="O6624" t="s">
        <v>52</v>
      </c>
      <c r="Q6624" t="s">
        <v>892</v>
      </c>
      <c r="R6624" t="s">
        <v>6721</v>
      </c>
      <c r="S6624" t="s">
        <v>1078</v>
      </c>
    </row>
    <row r="6625" spans="1:19" x14ac:dyDescent="0.25">
      <c r="A6625" t="s">
        <v>30</v>
      </c>
      <c r="B6625" t="s">
        <v>31</v>
      </c>
      <c r="C6625" t="s">
        <v>32</v>
      </c>
      <c r="D6625" t="s">
        <v>953</v>
      </c>
      <c r="E6625" t="s">
        <v>954</v>
      </c>
      <c r="F6625" t="s">
        <v>35</v>
      </c>
      <c r="G6625" t="s">
        <v>35</v>
      </c>
      <c r="H6625" t="s">
        <v>35</v>
      </c>
      <c r="J6625" t="s">
        <v>6792</v>
      </c>
      <c r="K6625" t="s">
        <v>1092</v>
      </c>
      <c r="M6625">
        <v>0.45</v>
      </c>
      <c r="N6625">
        <v>43</v>
      </c>
      <c r="O6625" t="s">
        <v>52</v>
      </c>
      <c r="Q6625" t="s">
        <v>892</v>
      </c>
      <c r="R6625" t="s">
        <v>6721</v>
      </c>
      <c r="S6625" t="s">
        <v>1078</v>
      </c>
    </row>
    <row r="6626" spans="1:19" x14ac:dyDescent="0.25">
      <c r="A6626" t="s">
        <v>44</v>
      </c>
      <c r="B6626" t="s">
        <v>51</v>
      </c>
      <c r="C6626" t="s">
        <v>32</v>
      </c>
      <c r="D6626" t="s">
        <v>953</v>
      </c>
      <c r="E6626" t="s">
        <v>954</v>
      </c>
      <c r="F6626" t="s">
        <v>35</v>
      </c>
      <c r="G6626" t="s">
        <v>35</v>
      </c>
      <c r="H6626" t="s">
        <v>35</v>
      </c>
      <c r="J6626" t="s">
        <v>6793</v>
      </c>
      <c r="K6626" t="s">
        <v>1092</v>
      </c>
      <c r="M6626">
        <v>0.3</v>
      </c>
      <c r="N6626">
        <v>22</v>
      </c>
      <c r="O6626" t="s">
        <v>46</v>
      </c>
      <c r="Q6626" t="s">
        <v>979</v>
      </c>
      <c r="R6626" t="s">
        <v>6716</v>
      </c>
      <c r="S6626" t="s">
        <v>6717</v>
      </c>
    </row>
    <row r="6627" spans="1:19" x14ac:dyDescent="0.25">
      <c r="A6627" t="s">
        <v>44</v>
      </c>
      <c r="B6627" t="s">
        <v>3</v>
      </c>
      <c r="C6627" t="s">
        <v>32</v>
      </c>
      <c r="D6627" t="s">
        <v>953</v>
      </c>
      <c r="E6627" t="s">
        <v>954</v>
      </c>
      <c r="F6627" t="s">
        <v>35</v>
      </c>
      <c r="G6627" t="s">
        <v>35</v>
      </c>
      <c r="H6627" t="s">
        <v>35</v>
      </c>
      <c r="J6627" t="s">
        <v>6793</v>
      </c>
      <c r="K6627" t="s">
        <v>1092</v>
      </c>
      <c r="M6627">
        <v>0.5</v>
      </c>
      <c r="N6627">
        <v>22</v>
      </c>
      <c r="O6627" t="s">
        <v>46</v>
      </c>
      <c r="Q6627" t="s">
        <v>979</v>
      </c>
      <c r="R6627" t="s">
        <v>6716</v>
      </c>
      <c r="S6627" t="s">
        <v>6717</v>
      </c>
    </row>
    <row r="6628" spans="1:19" x14ac:dyDescent="0.25">
      <c r="A6628" t="s">
        <v>59</v>
      </c>
      <c r="B6628" t="s">
        <v>60</v>
      </c>
      <c r="C6628" t="s">
        <v>32</v>
      </c>
      <c r="D6628" t="s">
        <v>953</v>
      </c>
      <c r="E6628" t="s">
        <v>954</v>
      </c>
      <c r="F6628" t="s">
        <v>35</v>
      </c>
      <c r="G6628" t="s">
        <v>35</v>
      </c>
      <c r="H6628" t="s">
        <v>35</v>
      </c>
      <c r="J6628" t="s">
        <v>6793</v>
      </c>
      <c r="K6628" t="s">
        <v>1092</v>
      </c>
      <c r="M6628">
        <v>0.35</v>
      </c>
      <c r="N6628">
        <v>168</v>
      </c>
      <c r="O6628" t="s">
        <v>38</v>
      </c>
      <c r="Q6628" t="s">
        <v>2431</v>
      </c>
      <c r="R6628" t="s">
        <v>6716</v>
      </c>
      <c r="S6628" t="s">
        <v>6717</v>
      </c>
    </row>
    <row r="6629" spans="1:19" x14ac:dyDescent="0.25">
      <c r="A6629" t="s">
        <v>30</v>
      </c>
      <c r="B6629" t="s">
        <v>31</v>
      </c>
      <c r="C6629" t="s">
        <v>32</v>
      </c>
      <c r="D6629" t="s">
        <v>953</v>
      </c>
      <c r="E6629" t="s">
        <v>954</v>
      </c>
      <c r="F6629" t="s">
        <v>35</v>
      </c>
      <c r="G6629" t="s">
        <v>35</v>
      </c>
      <c r="H6629" t="s">
        <v>35</v>
      </c>
      <c r="J6629" t="s">
        <v>6793</v>
      </c>
      <c r="K6629" t="s">
        <v>1092</v>
      </c>
      <c r="M6629">
        <v>1.125</v>
      </c>
      <c r="N6629">
        <v>22</v>
      </c>
      <c r="O6629" t="s">
        <v>46</v>
      </c>
      <c r="Q6629" t="s">
        <v>979</v>
      </c>
      <c r="R6629" t="s">
        <v>6716</v>
      </c>
      <c r="S6629" t="s">
        <v>6717</v>
      </c>
    </row>
    <row r="6630" spans="1:19" x14ac:dyDescent="0.25">
      <c r="A6630" t="s">
        <v>59</v>
      </c>
      <c r="B6630" t="s">
        <v>60</v>
      </c>
      <c r="C6630" t="s">
        <v>32</v>
      </c>
      <c r="D6630" t="s">
        <v>953</v>
      </c>
      <c r="E6630" t="s">
        <v>954</v>
      </c>
      <c r="F6630" t="s">
        <v>35</v>
      </c>
      <c r="G6630" t="s">
        <v>35</v>
      </c>
      <c r="H6630" t="s">
        <v>35</v>
      </c>
      <c r="J6630" t="s">
        <v>6794</v>
      </c>
      <c r="K6630" t="s">
        <v>1092</v>
      </c>
      <c r="M6630">
        <v>0.1</v>
      </c>
      <c r="N6630">
        <v>44</v>
      </c>
      <c r="O6630" t="s">
        <v>52</v>
      </c>
      <c r="Q6630" t="s">
        <v>192</v>
      </c>
      <c r="R6630" t="s">
        <v>6720</v>
      </c>
      <c r="S6630" t="s">
        <v>961</v>
      </c>
    </row>
    <row r="6631" spans="1:19" x14ac:dyDescent="0.25">
      <c r="A6631" t="s">
        <v>30</v>
      </c>
      <c r="B6631" t="s">
        <v>31</v>
      </c>
      <c r="C6631" t="s">
        <v>32</v>
      </c>
      <c r="D6631" t="s">
        <v>953</v>
      </c>
      <c r="E6631" t="s">
        <v>954</v>
      </c>
      <c r="F6631" t="s">
        <v>35</v>
      </c>
      <c r="G6631" t="s">
        <v>35</v>
      </c>
      <c r="H6631" t="s">
        <v>35</v>
      </c>
      <c r="J6631" t="s">
        <v>6794</v>
      </c>
      <c r="K6631" t="s">
        <v>1092</v>
      </c>
      <c r="M6631">
        <v>0.40500000000000003</v>
      </c>
      <c r="N6631">
        <v>16</v>
      </c>
      <c r="O6631" t="s">
        <v>46</v>
      </c>
      <c r="Q6631" t="s">
        <v>323</v>
      </c>
      <c r="R6631" t="s">
        <v>6720</v>
      </c>
      <c r="S6631" t="s">
        <v>961</v>
      </c>
    </row>
    <row r="6632" spans="1:19" x14ac:dyDescent="0.25">
      <c r="A6632" t="s">
        <v>44</v>
      </c>
      <c r="B6632" t="s">
        <v>3</v>
      </c>
      <c r="C6632" t="s">
        <v>32</v>
      </c>
      <c r="D6632" t="s">
        <v>953</v>
      </c>
      <c r="E6632" t="s">
        <v>954</v>
      </c>
      <c r="F6632" t="s">
        <v>35</v>
      </c>
      <c r="G6632" t="s">
        <v>35</v>
      </c>
      <c r="H6632" t="s">
        <v>35</v>
      </c>
      <c r="J6632" t="s">
        <v>6794</v>
      </c>
      <c r="K6632" t="s">
        <v>1092</v>
      </c>
      <c r="M6632">
        <v>0.1</v>
      </c>
      <c r="N6632">
        <v>44</v>
      </c>
      <c r="O6632" t="s">
        <v>52</v>
      </c>
      <c r="Q6632" t="s">
        <v>192</v>
      </c>
      <c r="R6632" t="s">
        <v>6720</v>
      </c>
      <c r="S6632" t="s">
        <v>961</v>
      </c>
    </row>
    <row r="6633" spans="1:19" x14ac:dyDescent="0.25">
      <c r="A6633" t="s">
        <v>59</v>
      </c>
      <c r="B6633" t="s">
        <v>60</v>
      </c>
      <c r="C6633" t="s">
        <v>32</v>
      </c>
      <c r="D6633" t="s">
        <v>953</v>
      </c>
      <c r="E6633" t="s">
        <v>954</v>
      </c>
      <c r="F6633" t="s">
        <v>35</v>
      </c>
      <c r="G6633" t="s">
        <v>35</v>
      </c>
      <c r="H6633" t="s">
        <v>35</v>
      </c>
      <c r="J6633" t="s">
        <v>6795</v>
      </c>
      <c r="K6633" t="s">
        <v>1092</v>
      </c>
      <c r="M6633">
        <v>0.5</v>
      </c>
      <c r="N6633">
        <v>48</v>
      </c>
      <c r="O6633" t="s">
        <v>52</v>
      </c>
      <c r="Q6633" t="s">
        <v>496</v>
      </c>
      <c r="R6633" t="s">
        <v>6707</v>
      </c>
      <c r="S6633" t="s">
        <v>955</v>
      </c>
    </row>
    <row r="6634" spans="1:19" x14ac:dyDescent="0.25">
      <c r="A6634" t="s">
        <v>59</v>
      </c>
      <c r="B6634" t="s">
        <v>60</v>
      </c>
      <c r="C6634" t="s">
        <v>32</v>
      </c>
      <c r="D6634" t="s">
        <v>953</v>
      </c>
      <c r="E6634" t="s">
        <v>954</v>
      </c>
      <c r="F6634" t="s">
        <v>35</v>
      </c>
      <c r="G6634" t="s">
        <v>35</v>
      </c>
      <c r="H6634" t="s">
        <v>35</v>
      </c>
      <c r="J6634" t="s">
        <v>6795</v>
      </c>
      <c r="K6634" t="s">
        <v>1092</v>
      </c>
      <c r="M6634">
        <v>0.5</v>
      </c>
      <c r="N6634">
        <v>65</v>
      </c>
      <c r="O6634" t="s">
        <v>61</v>
      </c>
      <c r="Q6634" t="s">
        <v>128</v>
      </c>
      <c r="R6634" t="s">
        <v>6707</v>
      </c>
      <c r="S6634" t="s">
        <v>955</v>
      </c>
    </row>
    <row r="6635" spans="1:19" x14ac:dyDescent="0.25">
      <c r="A6635" t="s">
        <v>30</v>
      </c>
      <c r="B6635" t="s">
        <v>31</v>
      </c>
      <c r="C6635" t="s">
        <v>32</v>
      </c>
      <c r="D6635" t="s">
        <v>953</v>
      </c>
      <c r="E6635" t="s">
        <v>954</v>
      </c>
      <c r="F6635" t="s">
        <v>35</v>
      </c>
      <c r="G6635" t="s">
        <v>35</v>
      </c>
      <c r="H6635" t="s">
        <v>35</v>
      </c>
      <c r="J6635" t="s">
        <v>6795</v>
      </c>
      <c r="K6635" t="s">
        <v>1092</v>
      </c>
      <c r="M6635">
        <v>3.6</v>
      </c>
      <c r="N6635">
        <v>43</v>
      </c>
      <c r="O6635" t="s">
        <v>52</v>
      </c>
      <c r="Q6635" t="s">
        <v>892</v>
      </c>
      <c r="R6635" t="s">
        <v>6707</v>
      </c>
      <c r="S6635" t="s">
        <v>955</v>
      </c>
    </row>
    <row r="6636" spans="1:19" x14ac:dyDescent="0.25">
      <c r="A6636" t="s">
        <v>59</v>
      </c>
      <c r="B6636" t="s">
        <v>31</v>
      </c>
      <c r="C6636" t="s">
        <v>32</v>
      </c>
      <c r="D6636" t="s">
        <v>953</v>
      </c>
      <c r="E6636" t="s">
        <v>954</v>
      </c>
      <c r="F6636" t="s">
        <v>35</v>
      </c>
      <c r="G6636" t="s">
        <v>35</v>
      </c>
      <c r="H6636" t="s">
        <v>35</v>
      </c>
      <c r="J6636" t="s">
        <v>6795</v>
      </c>
      <c r="K6636" t="s">
        <v>1092</v>
      </c>
      <c r="M6636">
        <v>1.71</v>
      </c>
      <c r="N6636">
        <v>56</v>
      </c>
      <c r="O6636" t="s">
        <v>52</v>
      </c>
      <c r="Q6636" t="s">
        <v>453</v>
      </c>
      <c r="R6636" t="s">
        <v>6707</v>
      </c>
      <c r="S6636" t="s">
        <v>955</v>
      </c>
    </row>
    <row r="6637" spans="1:19" x14ac:dyDescent="0.25">
      <c r="A6637" t="s">
        <v>30</v>
      </c>
      <c r="B6637" t="s">
        <v>31</v>
      </c>
      <c r="C6637" t="s">
        <v>32</v>
      </c>
      <c r="D6637" t="s">
        <v>953</v>
      </c>
      <c r="E6637" t="s">
        <v>954</v>
      </c>
      <c r="F6637" t="s">
        <v>35</v>
      </c>
      <c r="G6637" t="s">
        <v>35</v>
      </c>
      <c r="H6637" t="s">
        <v>35</v>
      </c>
      <c r="J6637" t="s">
        <v>6796</v>
      </c>
      <c r="K6637" t="s">
        <v>1092</v>
      </c>
      <c r="M6637">
        <v>0.315</v>
      </c>
      <c r="N6637">
        <v>19</v>
      </c>
      <c r="O6637" t="s">
        <v>46</v>
      </c>
      <c r="Q6637" t="s">
        <v>1192</v>
      </c>
      <c r="R6637" t="s">
        <v>6720</v>
      </c>
      <c r="S6637" t="s">
        <v>961</v>
      </c>
    </row>
    <row r="6638" spans="1:19" x14ac:dyDescent="0.25">
      <c r="A6638" t="s">
        <v>30</v>
      </c>
      <c r="B6638" t="s">
        <v>31</v>
      </c>
      <c r="C6638" t="s">
        <v>32</v>
      </c>
      <c r="D6638" t="s">
        <v>953</v>
      </c>
      <c r="E6638" t="s">
        <v>954</v>
      </c>
      <c r="F6638" t="s">
        <v>35</v>
      </c>
      <c r="G6638" t="s">
        <v>35</v>
      </c>
      <c r="H6638" t="s">
        <v>35</v>
      </c>
      <c r="J6638" t="s">
        <v>6796</v>
      </c>
      <c r="K6638" t="s">
        <v>1092</v>
      </c>
      <c r="M6638">
        <v>0.45</v>
      </c>
      <c r="N6638">
        <v>44</v>
      </c>
      <c r="O6638" t="s">
        <v>52</v>
      </c>
      <c r="Q6638" t="s">
        <v>192</v>
      </c>
      <c r="R6638" t="s">
        <v>6720</v>
      </c>
      <c r="S6638" t="s">
        <v>961</v>
      </c>
    </row>
    <row r="6639" spans="1:19" x14ac:dyDescent="0.25">
      <c r="A6639" t="s">
        <v>59</v>
      </c>
      <c r="B6639" t="s">
        <v>31</v>
      </c>
      <c r="C6639" t="s">
        <v>32</v>
      </c>
      <c r="D6639" t="s">
        <v>953</v>
      </c>
      <c r="E6639" t="s">
        <v>954</v>
      </c>
      <c r="F6639" t="s">
        <v>35</v>
      </c>
      <c r="G6639" t="s">
        <v>35</v>
      </c>
      <c r="H6639" t="s">
        <v>35</v>
      </c>
      <c r="J6639" t="s">
        <v>6796</v>
      </c>
      <c r="K6639" t="s">
        <v>1092</v>
      </c>
      <c r="M6639">
        <v>0.45</v>
      </c>
      <c r="N6639">
        <v>92</v>
      </c>
      <c r="O6639" t="s">
        <v>106</v>
      </c>
      <c r="Q6639" t="s">
        <v>1100</v>
      </c>
      <c r="R6639" t="s">
        <v>6720</v>
      </c>
      <c r="S6639" t="s">
        <v>961</v>
      </c>
    </row>
    <row r="6640" spans="1:19" x14ac:dyDescent="0.25">
      <c r="A6640" t="s">
        <v>59</v>
      </c>
      <c r="B6640" t="s">
        <v>31</v>
      </c>
      <c r="C6640" t="s">
        <v>32</v>
      </c>
      <c r="D6640" t="s">
        <v>953</v>
      </c>
      <c r="E6640" t="s">
        <v>954</v>
      </c>
      <c r="F6640" t="s">
        <v>35</v>
      </c>
      <c r="G6640" t="s">
        <v>35</v>
      </c>
      <c r="H6640" t="s">
        <v>35</v>
      </c>
      <c r="J6640" t="s">
        <v>6796</v>
      </c>
      <c r="K6640" t="s">
        <v>1092</v>
      </c>
      <c r="M6640">
        <v>0.36</v>
      </c>
      <c r="N6640">
        <v>351</v>
      </c>
      <c r="O6640" t="s">
        <v>5</v>
      </c>
      <c r="Q6640" t="s">
        <v>1375</v>
      </c>
      <c r="R6640" t="s">
        <v>6720</v>
      </c>
      <c r="S6640" t="s">
        <v>961</v>
      </c>
    </row>
    <row r="6641" spans="1:19" x14ac:dyDescent="0.25">
      <c r="A6641" t="s">
        <v>59</v>
      </c>
      <c r="B6641" t="s">
        <v>60</v>
      </c>
      <c r="C6641" t="s">
        <v>32</v>
      </c>
      <c r="D6641" t="s">
        <v>953</v>
      </c>
      <c r="E6641" t="s">
        <v>954</v>
      </c>
      <c r="F6641" t="s">
        <v>35</v>
      </c>
      <c r="G6641" t="s">
        <v>35</v>
      </c>
      <c r="H6641" t="s">
        <v>35</v>
      </c>
      <c r="J6641" t="s">
        <v>6796</v>
      </c>
      <c r="K6641" t="s">
        <v>1092</v>
      </c>
      <c r="M6641">
        <v>0.4</v>
      </c>
      <c r="N6641">
        <v>92</v>
      </c>
      <c r="O6641" t="s">
        <v>106</v>
      </c>
      <c r="Q6641" t="s">
        <v>1100</v>
      </c>
      <c r="R6641" t="s">
        <v>6720</v>
      </c>
      <c r="S6641" t="s">
        <v>961</v>
      </c>
    </row>
    <row r="6642" spans="1:19" x14ac:dyDescent="0.25">
      <c r="A6642" t="s">
        <v>59</v>
      </c>
      <c r="B6642" t="s">
        <v>60</v>
      </c>
      <c r="C6642" t="s">
        <v>32</v>
      </c>
      <c r="D6642" t="s">
        <v>953</v>
      </c>
      <c r="E6642" t="s">
        <v>954</v>
      </c>
      <c r="F6642" t="s">
        <v>35</v>
      </c>
      <c r="G6642" t="s">
        <v>35</v>
      </c>
      <c r="H6642" t="s">
        <v>35</v>
      </c>
      <c r="J6642" t="s">
        <v>6797</v>
      </c>
      <c r="K6642" t="s">
        <v>1092</v>
      </c>
      <c r="M6642">
        <v>0.02</v>
      </c>
      <c r="N6642">
        <v>360</v>
      </c>
      <c r="O6642" t="s">
        <v>5</v>
      </c>
      <c r="Q6642" t="s">
        <v>1435</v>
      </c>
      <c r="R6642" t="s">
        <v>6709</v>
      </c>
      <c r="S6642" t="s">
        <v>1022</v>
      </c>
    </row>
    <row r="6643" spans="1:19" x14ac:dyDescent="0.25">
      <c r="A6643" t="s">
        <v>30</v>
      </c>
      <c r="B6643" t="s">
        <v>31</v>
      </c>
      <c r="C6643" t="s">
        <v>32</v>
      </c>
      <c r="D6643" t="s">
        <v>953</v>
      </c>
      <c r="E6643" t="s">
        <v>954</v>
      </c>
      <c r="F6643" t="s">
        <v>35</v>
      </c>
      <c r="G6643" t="s">
        <v>35</v>
      </c>
      <c r="H6643" t="s">
        <v>35</v>
      </c>
      <c r="J6643" t="s">
        <v>6440</v>
      </c>
      <c r="K6643" t="s">
        <v>1092</v>
      </c>
      <c r="M6643">
        <v>0.67500000000000004</v>
      </c>
      <c r="N6643">
        <v>20</v>
      </c>
      <c r="O6643" t="s">
        <v>46</v>
      </c>
      <c r="Q6643" t="s">
        <v>1004</v>
      </c>
      <c r="R6643" t="s">
        <v>6707</v>
      </c>
      <c r="S6643" t="s">
        <v>955</v>
      </c>
    </row>
    <row r="6644" spans="1:19" x14ac:dyDescent="0.25">
      <c r="A6644" t="s">
        <v>59</v>
      </c>
      <c r="B6644" t="s">
        <v>31</v>
      </c>
      <c r="C6644" t="s">
        <v>32</v>
      </c>
      <c r="D6644" t="s">
        <v>953</v>
      </c>
      <c r="E6644" t="s">
        <v>954</v>
      </c>
      <c r="F6644" t="s">
        <v>35</v>
      </c>
      <c r="G6644" t="s">
        <v>35</v>
      </c>
      <c r="H6644" t="s">
        <v>35</v>
      </c>
      <c r="J6644" t="s">
        <v>6440</v>
      </c>
      <c r="K6644" t="s">
        <v>1092</v>
      </c>
      <c r="M6644">
        <v>0.45</v>
      </c>
      <c r="N6644">
        <v>85</v>
      </c>
      <c r="O6644" t="s">
        <v>61</v>
      </c>
      <c r="Q6644" t="s">
        <v>1202</v>
      </c>
      <c r="R6644" t="s">
        <v>6707</v>
      </c>
      <c r="S6644" t="s">
        <v>955</v>
      </c>
    </row>
    <row r="6645" spans="1:19" x14ac:dyDescent="0.25">
      <c r="A6645" t="s">
        <v>30</v>
      </c>
      <c r="B6645" t="s">
        <v>31</v>
      </c>
      <c r="C6645" t="s">
        <v>32</v>
      </c>
      <c r="D6645" t="s">
        <v>953</v>
      </c>
      <c r="E6645" t="s">
        <v>954</v>
      </c>
      <c r="F6645" t="s">
        <v>35</v>
      </c>
      <c r="G6645" t="s">
        <v>35</v>
      </c>
      <c r="H6645" t="s">
        <v>35</v>
      </c>
      <c r="J6645" t="s">
        <v>6440</v>
      </c>
      <c r="K6645" t="s">
        <v>1092</v>
      </c>
      <c r="M6645">
        <v>0.9</v>
      </c>
      <c r="N6645">
        <v>16</v>
      </c>
      <c r="O6645" t="s">
        <v>46</v>
      </c>
      <c r="Q6645" t="s">
        <v>323</v>
      </c>
      <c r="R6645" t="s">
        <v>6720</v>
      </c>
      <c r="S6645" t="s">
        <v>961</v>
      </c>
    </row>
    <row r="6646" spans="1:19" x14ac:dyDescent="0.25">
      <c r="A6646" t="s">
        <v>30</v>
      </c>
      <c r="B6646" t="s">
        <v>31</v>
      </c>
      <c r="C6646" t="s">
        <v>32</v>
      </c>
      <c r="D6646" t="s">
        <v>953</v>
      </c>
      <c r="E6646" t="s">
        <v>954</v>
      </c>
      <c r="F6646" t="s">
        <v>35</v>
      </c>
      <c r="G6646" t="s">
        <v>35</v>
      </c>
      <c r="H6646" t="s">
        <v>35</v>
      </c>
      <c r="J6646" t="s">
        <v>6440</v>
      </c>
      <c r="K6646" t="s">
        <v>1092</v>
      </c>
      <c r="M6646">
        <v>0.67500000000000004</v>
      </c>
      <c r="N6646">
        <v>11</v>
      </c>
      <c r="O6646" t="s">
        <v>46</v>
      </c>
      <c r="Q6646" t="s">
        <v>1053</v>
      </c>
      <c r="R6646" t="s">
        <v>6720</v>
      </c>
      <c r="S6646" t="s">
        <v>961</v>
      </c>
    </row>
    <row r="6647" spans="1:19" x14ac:dyDescent="0.25">
      <c r="A6647" t="s">
        <v>30</v>
      </c>
      <c r="B6647" t="s">
        <v>31</v>
      </c>
      <c r="C6647" t="s">
        <v>32</v>
      </c>
      <c r="D6647" t="s">
        <v>953</v>
      </c>
      <c r="E6647" t="s">
        <v>954</v>
      </c>
      <c r="F6647" t="s">
        <v>35</v>
      </c>
      <c r="G6647" t="s">
        <v>35</v>
      </c>
      <c r="H6647" t="s">
        <v>35</v>
      </c>
      <c r="J6647" t="s">
        <v>6440</v>
      </c>
      <c r="K6647" t="s">
        <v>1092</v>
      </c>
      <c r="M6647">
        <v>0.76500000000000001</v>
      </c>
      <c r="N6647">
        <v>6</v>
      </c>
      <c r="O6647" t="s">
        <v>46</v>
      </c>
      <c r="Q6647" t="s">
        <v>8168</v>
      </c>
      <c r="R6647" t="s">
        <v>6720</v>
      </c>
      <c r="S6647" t="s">
        <v>961</v>
      </c>
    </row>
    <row r="6648" spans="1:19" x14ac:dyDescent="0.25">
      <c r="A6648" t="s">
        <v>59</v>
      </c>
      <c r="B6648" t="s">
        <v>60</v>
      </c>
      <c r="C6648" t="s">
        <v>32</v>
      </c>
      <c r="D6648" t="s">
        <v>953</v>
      </c>
      <c r="E6648" t="s">
        <v>954</v>
      </c>
      <c r="F6648" t="s">
        <v>35</v>
      </c>
      <c r="G6648" t="s">
        <v>35</v>
      </c>
      <c r="H6648" t="s">
        <v>35</v>
      </c>
      <c r="J6648" t="s">
        <v>6440</v>
      </c>
      <c r="K6648" t="s">
        <v>1092</v>
      </c>
      <c r="M6648">
        <v>0.5</v>
      </c>
      <c r="N6648">
        <v>44</v>
      </c>
      <c r="O6648" t="s">
        <v>52</v>
      </c>
      <c r="Q6648" t="s">
        <v>192</v>
      </c>
      <c r="R6648" t="s">
        <v>6720</v>
      </c>
      <c r="S6648" t="s">
        <v>961</v>
      </c>
    </row>
    <row r="6649" spans="1:19" x14ac:dyDescent="0.25">
      <c r="A6649" t="s">
        <v>59</v>
      </c>
      <c r="B6649" t="s">
        <v>31</v>
      </c>
      <c r="C6649" t="s">
        <v>32</v>
      </c>
      <c r="D6649" t="s">
        <v>953</v>
      </c>
      <c r="E6649" t="s">
        <v>954</v>
      </c>
      <c r="F6649" t="s">
        <v>35</v>
      </c>
      <c r="G6649" t="s">
        <v>35</v>
      </c>
      <c r="H6649" t="s">
        <v>35</v>
      </c>
      <c r="J6649" t="s">
        <v>6440</v>
      </c>
      <c r="K6649" t="s">
        <v>1092</v>
      </c>
      <c r="M6649">
        <v>0.13500000000000001</v>
      </c>
      <c r="N6649">
        <v>86</v>
      </c>
      <c r="O6649" t="s">
        <v>61</v>
      </c>
      <c r="Q6649" t="s">
        <v>1076</v>
      </c>
      <c r="R6649" t="s">
        <v>6707</v>
      </c>
      <c r="S6649" t="s">
        <v>955</v>
      </c>
    </row>
    <row r="6650" spans="1:19" x14ac:dyDescent="0.25">
      <c r="A6650" t="s">
        <v>59</v>
      </c>
      <c r="B6650" t="s">
        <v>60</v>
      </c>
      <c r="C6650" t="s">
        <v>32</v>
      </c>
      <c r="D6650" t="s">
        <v>953</v>
      </c>
      <c r="E6650" t="s">
        <v>954</v>
      </c>
      <c r="F6650" t="s">
        <v>35</v>
      </c>
      <c r="G6650" t="s">
        <v>35</v>
      </c>
      <c r="H6650" t="s">
        <v>35</v>
      </c>
      <c r="J6650" t="s">
        <v>6798</v>
      </c>
      <c r="K6650" t="s">
        <v>1092</v>
      </c>
      <c r="M6650">
        <v>1.5</v>
      </c>
      <c r="N6650">
        <v>30</v>
      </c>
      <c r="O6650" t="s">
        <v>46</v>
      </c>
      <c r="Q6650" t="s">
        <v>793</v>
      </c>
      <c r="R6650" t="s">
        <v>6720</v>
      </c>
      <c r="S6650" t="s">
        <v>961</v>
      </c>
    </row>
    <row r="6651" spans="1:19" x14ac:dyDescent="0.25">
      <c r="A6651" t="s">
        <v>30</v>
      </c>
      <c r="B6651" t="s">
        <v>31</v>
      </c>
      <c r="C6651" t="s">
        <v>32</v>
      </c>
      <c r="D6651" t="s">
        <v>953</v>
      </c>
      <c r="E6651" t="s">
        <v>954</v>
      </c>
      <c r="F6651" t="s">
        <v>35</v>
      </c>
      <c r="G6651" t="s">
        <v>35</v>
      </c>
      <c r="H6651" t="s">
        <v>35</v>
      </c>
      <c r="J6651" t="s">
        <v>6798</v>
      </c>
      <c r="K6651" t="s">
        <v>1092</v>
      </c>
      <c r="M6651">
        <v>0.94499999999999995</v>
      </c>
      <c r="N6651">
        <v>21</v>
      </c>
      <c r="O6651" t="s">
        <v>46</v>
      </c>
      <c r="Q6651" t="s">
        <v>1874</v>
      </c>
      <c r="R6651" t="s">
        <v>6720</v>
      </c>
      <c r="S6651" t="s">
        <v>961</v>
      </c>
    </row>
    <row r="6652" spans="1:19" x14ac:dyDescent="0.25">
      <c r="A6652" t="s">
        <v>44</v>
      </c>
      <c r="B6652" t="s">
        <v>3</v>
      </c>
      <c r="C6652" t="s">
        <v>32</v>
      </c>
      <c r="D6652" t="s">
        <v>953</v>
      </c>
      <c r="E6652" t="s">
        <v>954</v>
      </c>
      <c r="F6652" t="s">
        <v>35</v>
      </c>
      <c r="G6652" t="s">
        <v>35</v>
      </c>
      <c r="H6652" t="s">
        <v>35</v>
      </c>
      <c r="J6652" t="s">
        <v>6798</v>
      </c>
      <c r="K6652" t="s">
        <v>1092</v>
      </c>
      <c r="M6652">
        <v>0.4</v>
      </c>
      <c r="N6652">
        <v>30</v>
      </c>
      <c r="O6652" t="s">
        <v>46</v>
      </c>
      <c r="Q6652" t="s">
        <v>793</v>
      </c>
      <c r="R6652" t="s">
        <v>6720</v>
      </c>
      <c r="S6652" t="s">
        <v>961</v>
      </c>
    </row>
    <row r="6653" spans="1:19" x14ac:dyDescent="0.25">
      <c r="A6653" t="s">
        <v>44</v>
      </c>
      <c r="B6653" t="s">
        <v>3</v>
      </c>
      <c r="C6653" t="s">
        <v>32</v>
      </c>
      <c r="D6653" t="s">
        <v>953</v>
      </c>
      <c r="E6653" t="s">
        <v>954</v>
      </c>
      <c r="F6653" t="s">
        <v>35</v>
      </c>
      <c r="G6653" t="s">
        <v>35</v>
      </c>
      <c r="H6653" t="s">
        <v>35</v>
      </c>
      <c r="J6653" t="s">
        <v>6799</v>
      </c>
      <c r="K6653" t="s">
        <v>1092</v>
      </c>
      <c r="M6653">
        <v>0.1</v>
      </c>
      <c r="N6653">
        <v>65</v>
      </c>
      <c r="O6653" t="s">
        <v>61</v>
      </c>
      <c r="Q6653" t="s">
        <v>128</v>
      </c>
      <c r="R6653" t="s">
        <v>6720</v>
      </c>
      <c r="S6653" t="s">
        <v>961</v>
      </c>
    </row>
    <row r="6654" spans="1:19" x14ac:dyDescent="0.25">
      <c r="A6654" t="s">
        <v>59</v>
      </c>
      <c r="B6654" t="s">
        <v>60</v>
      </c>
      <c r="C6654" t="s">
        <v>32</v>
      </c>
      <c r="D6654" t="s">
        <v>953</v>
      </c>
      <c r="E6654" t="s">
        <v>954</v>
      </c>
      <c r="F6654" t="s">
        <v>35</v>
      </c>
      <c r="G6654" t="s">
        <v>35</v>
      </c>
      <c r="H6654" t="s">
        <v>35</v>
      </c>
      <c r="J6654" t="s">
        <v>6799</v>
      </c>
      <c r="K6654" t="s">
        <v>1092</v>
      </c>
      <c r="M6654">
        <v>0.4</v>
      </c>
      <c r="N6654">
        <v>77</v>
      </c>
      <c r="O6654" t="s">
        <v>61</v>
      </c>
      <c r="Q6654" t="s">
        <v>305</v>
      </c>
      <c r="R6654" t="s">
        <v>6720</v>
      </c>
      <c r="S6654" t="s">
        <v>961</v>
      </c>
    </row>
    <row r="6655" spans="1:19" x14ac:dyDescent="0.25">
      <c r="A6655" t="s">
        <v>59</v>
      </c>
      <c r="B6655" t="s">
        <v>60</v>
      </c>
      <c r="C6655" t="s">
        <v>32</v>
      </c>
      <c r="D6655" t="s">
        <v>953</v>
      </c>
      <c r="E6655" t="s">
        <v>954</v>
      </c>
      <c r="F6655" t="s">
        <v>35</v>
      </c>
      <c r="G6655" t="s">
        <v>35</v>
      </c>
      <c r="H6655" t="s">
        <v>35</v>
      </c>
      <c r="J6655" t="s">
        <v>6799</v>
      </c>
      <c r="K6655" t="s">
        <v>1092</v>
      </c>
      <c r="M6655">
        <v>0.75</v>
      </c>
      <c r="N6655">
        <v>52</v>
      </c>
      <c r="O6655" t="s">
        <v>52</v>
      </c>
      <c r="Q6655" t="s">
        <v>1230</v>
      </c>
      <c r="R6655" t="s">
        <v>6720</v>
      </c>
      <c r="S6655" t="s">
        <v>961</v>
      </c>
    </row>
    <row r="6656" spans="1:19" x14ac:dyDescent="0.25">
      <c r="A6656" t="s">
        <v>30</v>
      </c>
      <c r="B6656" t="s">
        <v>31</v>
      </c>
      <c r="C6656" t="s">
        <v>32</v>
      </c>
      <c r="D6656" t="s">
        <v>953</v>
      </c>
      <c r="E6656" t="s">
        <v>954</v>
      </c>
      <c r="F6656" t="s">
        <v>35</v>
      </c>
      <c r="G6656" t="s">
        <v>35</v>
      </c>
      <c r="H6656" t="s">
        <v>35</v>
      </c>
      <c r="J6656" t="s">
        <v>6799</v>
      </c>
      <c r="K6656" t="s">
        <v>1092</v>
      </c>
      <c r="M6656">
        <v>1.35</v>
      </c>
      <c r="N6656">
        <v>21</v>
      </c>
      <c r="O6656" t="s">
        <v>46</v>
      </c>
      <c r="Q6656" t="s">
        <v>1874</v>
      </c>
      <c r="R6656" t="s">
        <v>6720</v>
      </c>
      <c r="S6656" t="s">
        <v>961</v>
      </c>
    </row>
    <row r="6657" spans="1:19" x14ac:dyDescent="0.25">
      <c r="A6657" t="s">
        <v>44</v>
      </c>
      <c r="B6657" t="s">
        <v>51</v>
      </c>
      <c r="C6657" t="s">
        <v>32</v>
      </c>
      <c r="D6657" t="s">
        <v>953</v>
      </c>
      <c r="E6657" t="s">
        <v>954</v>
      </c>
      <c r="F6657" t="s">
        <v>35</v>
      </c>
      <c r="G6657" t="s">
        <v>35</v>
      </c>
      <c r="H6657" t="s">
        <v>35</v>
      </c>
      <c r="J6657" t="s">
        <v>6800</v>
      </c>
      <c r="K6657" t="s">
        <v>1092</v>
      </c>
      <c r="M6657">
        <v>1</v>
      </c>
      <c r="N6657">
        <v>216</v>
      </c>
      <c r="O6657" t="s">
        <v>5</v>
      </c>
      <c r="Q6657" t="s">
        <v>1492</v>
      </c>
      <c r="R6657" t="s">
        <v>6711</v>
      </c>
      <c r="S6657" t="s">
        <v>6712</v>
      </c>
    </row>
    <row r="6658" spans="1:19" x14ac:dyDescent="0.25">
      <c r="A6658" t="s">
        <v>44</v>
      </c>
      <c r="B6658" t="s">
        <v>51</v>
      </c>
      <c r="C6658" t="s">
        <v>32</v>
      </c>
      <c r="D6658" t="s">
        <v>953</v>
      </c>
      <c r="E6658" t="s">
        <v>954</v>
      </c>
      <c r="F6658" t="s">
        <v>35</v>
      </c>
      <c r="G6658" t="s">
        <v>35</v>
      </c>
      <c r="H6658" t="s">
        <v>35</v>
      </c>
      <c r="J6658" t="s">
        <v>6800</v>
      </c>
      <c r="K6658" t="s">
        <v>1092</v>
      </c>
      <c r="M6658">
        <v>0.75</v>
      </c>
      <c r="N6658">
        <v>193</v>
      </c>
      <c r="O6658" t="s">
        <v>5</v>
      </c>
      <c r="Q6658" t="s">
        <v>1894</v>
      </c>
      <c r="R6658" t="s">
        <v>6711</v>
      </c>
      <c r="S6658" t="s">
        <v>6712</v>
      </c>
    </row>
    <row r="6659" spans="1:19" x14ac:dyDescent="0.25">
      <c r="A6659" t="s">
        <v>59</v>
      </c>
      <c r="B6659" t="s">
        <v>31</v>
      </c>
      <c r="C6659" t="s">
        <v>32</v>
      </c>
      <c r="D6659" t="s">
        <v>953</v>
      </c>
      <c r="E6659" t="s">
        <v>954</v>
      </c>
      <c r="F6659" t="s">
        <v>35</v>
      </c>
      <c r="G6659" t="s">
        <v>35</v>
      </c>
      <c r="H6659" t="s">
        <v>35</v>
      </c>
      <c r="J6659" t="s">
        <v>6801</v>
      </c>
      <c r="K6659" t="s">
        <v>1092</v>
      </c>
      <c r="M6659">
        <v>0.435</v>
      </c>
      <c r="N6659">
        <v>86</v>
      </c>
      <c r="O6659" t="s">
        <v>61</v>
      </c>
      <c r="Q6659" t="s">
        <v>1076</v>
      </c>
      <c r="R6659" t="s">
        <v>6707</v>
      </c>
      <c r="S6659" t="s">
        <v>955</v>
      </c>
    </row>
    <row r="6660" spans="1:19" x14ac:dyDescent="0.25">
      <c r="A6660" t="s">
        <v>59</v>
      </c>
      <c r="B6660" t="s">
        <v>60</v>
      </c>
      <c r="C6660" t="s">
        <v>32</v>
      </c>
      <c r="D6660" t="s">
        <v>953</v>
      </c>
      <c r="E6660" t="s">
        <v>954</v>
      </c>
      <c r="F6660" t="s">
        <v>35</v>
      </c>
      <c r="G6660" t="s">
        <v>35</v>
      </c>
      <c r="H6660" t="s">
        <v>35</v>
      </c>
      <c r="J6660" t="s">
        <v>6801</v>
      </c>
      <c r="K6660" t="s">
        <v>1092</v>
      </c>
      <c r="M6660">
        <v>0.36</v>
      </c>
      <c r="N6660">
        <v>86</v>
      </c>
      <c r="O6660" t="s">
        <v>61</v>
      </c>
      <c r="Q6660" t="s">
        <v>1076</v>
      </c>
      <c r="R6660" t="s">
        <v>6707</v>
      </c>
      <c r="S6660" t="s">
        <v>955</v>
      </c>
    </row>
    <row r="6661" spans="1:19" x14ac:dyDescent="0.25">
      <c r="A6661" t="s">
        <v>59</v>
      </c>
      <c r="B6661" t="s">
        <v>60</v>
      </c>
      <c r="C6661" t="s">
        <v>32</v>
      </c>
      <c r="D6661" t="s">
        <v>953</v>
      </c>
      <c r="E6661" t="s">
        <v>954</v>
      </c>
      <c r="F6661" t="s">
        <v>35</v>
      </c>
      <c r="G6661" t="s">
        <v>35</v>
      </c>
      <c r="H6661" t="s">
        <v>35</v>
      </c>
      <c r="J6661" t="s">
        <v>6802</v>
      </c>
      <c r="K6661" t="s">
        <v>1092</v>
      </c>
      <c r="M6661">
        <v>0.69</v>
      </c>
      <c r="N6661">
        <v>474</v>
      </c>
      <c r="O6661" t="s">
        <v>294</v>
      </c>
      <c r="Q6661" t="s">
        <v>1498</v>
      </c>
      <c r="R6661" t="s">
        <v>6711</v>
      </c>
      <c r="S6661" t="s">
        <v>6712</v>
      </c>
    </row>
    <row r="6662" spans="1:19" x14ac:dyDescent="0.25">
      <c r="A6662" t="s">
        <v>59</v>
      </c>
      <c r="B6662" t="s">
        <v>60</v>
      </c>
      <c r="C6662" t="s">
        <v>32</v>
      </c>
      <c r="D6662" t="s">
        <v>953</v>
      </c>
      <c r="E6662" t="s">
        <v>954</v>
      </c>
      <c r="F6662" t="s">
        <v>35</v>
      </c>
      <c r="G6662" t="s">
        <v>35</v>
      </c>
      <c r="H6662" t="s">
        <v>35</v>
      </c>
      <c r="J6662" t="s">
        <v>6802</v>
      </c>
      <c r="K6662" t="s">
        <v>1092</v>
      </c>
      <c r="M6662">
        <v>1</v>
      </c>
      <c r="N6662">
        <v>246</v>
      </c>
      <c r="O6662" t="s">
        <v>5</v>
      </c>
      <c r="Q6662" t="s">
        <v>1903</v>
      </c>
      <c r="R6662" t="s">
        <v>6716</v>
      </c>
      <c r="S6662" t="s">
        <v>6717</v>
      </c>
    </row>
    <row r="6663" spans="1:19" x14ac:dyDescent="0.25">
      <c r="A6663" t="s">
        <v>59</v>
      </c>
      <c r="B6663" t="s">
        <v>60</v>
      </c>
      <c r="C6663" t="s">
        <v>32</v>
      </c>
      <c r="D6663" t="s">
        <v>953</v>
      </c>
      <c r="E6663" t="s">
        <v>954</v>
      </c>
      <c r="F6663" t="s">
        <v>35</v>
      </c>
      <c r="G6663" t="s">
        <v>35</v>
      </c>
      <c r="H6663" t="s">
        <v>35</v>
      </c>
      <c r="J6663" t="s">
        <v>6803</v>
      </c>
      <c r="K6663" t="s">
        <v>1092</v>
      </c>
      <c r="M6663">
        <v>0.2</v>
      </c>
      <c r="N6663">
        <v>938</v>
      </c>
      <c r="O6663" t="s">
        <v>575</v>
      </c>
      <c r="Q6663" t="s">
        <v>2580</v>
      </c>
      <c r="R6663" t="s">
        <v>6716</v>
      </c>
      <c r="S6663" t="s">
        <v>6717</v>
      </c>
    </row>
    <row r="6664" spans="1:19" x14ac:dyDescent="0.25">
      <c r="A6664" t="s">
        <v>59</v>
      </c>
      <c r="B6664" t="s">
        <v>60</v>
      </c>
      <c r="C6664" t="s">
        <v>32</v>
      </c>
      <c r="D6664" t="s">
        <v>953</v>
      </c>
      <c r="E6664" t="s">
        <v>954</v>
      </c>
      <c r="F6664" t="s">
        <v>35</v>
      </c>
      <c r="G6664" t="s">
        <v>35</v>
      </c>
      <c r="H6664" t="s">
        <v>35</v>
      </c>
      <c r="J6664" t="s">
        <v>6804</v>
      </c>
      <c r="K6664" t="s">
        <v>1092</v>
      </c>
      <c r="M6664">
        <v>1.1499999999999999</v>
      </c>
      <c r="N6664">
        <v>45</v>
      </c>
      <c r="O6664" t="s">
        <v>52</v>
      </c>
      <c r="Q6664" t="s">
        <v>716</v>
      </c>
      <c r="R6664" t="s">
        <v>6721</v>
      </c>
      <c r="S6664" t="s">
        <v>1078</v>
      </c>
    </row>
    <row r="6665" spans="1:19" x14ac:dyDescent="0.25">
      <c r="A6665" t="s">
        <v>59</v>
      </c>
      <c r="B6665" t="s">
        <v>60</v>
      </c>
      <c r="C6665" t="s">
        <v>32</v>
      </c>
      <c r="D6665" t="s">
        <v>953</v>
      </c>
      <c r="E6665" t="s">
        <v>954</v>
      </c>
      <c r="F6665" t="s">
        <v>35</v>
      </c>
      <c r="G6665" t="s">
        <v>35</v>
      </c>
      <c r="H6665" t="s">
        <v>35</v>
      </c>
      <c r="J6665" t="s">
        <v>6804</v>
      </c>
      <c r="K6665" t="s">
        <v>1092</v>
      </c>
      <c r="M6665">
        <v>1</v>
      </c>
      <c r="N6665">
        <v>22</v>
      </c>
      <c r="O6665" t="s">
        <v>46</v>
      </c>
      <c r="Q6665" t="s">
        <v>979</v>
      </c>
      <c r="R6665" t="s">
        <v>6721</v>
      </c>
      <c r="S6665" t="s">
        <v>1078</v>
      </c>
    </row>
    <row r="6666" spans="1:19" x14ac:dyDescent="0.25">
      <c r="A6666" t="s">
        <v>30</v>
      </c>
      <c r="B6666" t="s">
        <v>31</v>
      </c>
      <c r="C6666" t="s">
        <v>32</v>
      </c>
      <c r="D6666" t="s">
        <v>953</v>
      </c>
      <c r="E6666" t="s">
        <v>954</v>
      </c>
      <c r="F6666" t="s">
        <v>35</v>
      </c>
      <c r="G6666" t="s">
        <v>35</v>
      </c>
      <c r="H6666" t="s">
        <v>35</v>
      </c>
      <c r="J6666" t="s">
        <v>6805</v>
      </c>
      <c r="K6666" t="s">
        <v>1092</v>
      </c>
      <c r="M6666">
        <v>0.9</v>
      </c>
      <c r="N6666">
        <v>800</v>
      </c>
      <c r="O6666" t="s">
        <v>575</v>
      </c>
      <c r="Q6666" t="s">
        <v>6806</v>
      </c>
      <c r="R6666" t="s">
        <v>6807</v>
      </c>
      <c r="S6666" t="s">
        <v>1066</v>
      </c>
    </row>
    <row r="6667" spans="1:19" x14ac:dyDescent="0.25">
      <c r="A6667" t="s">
        <v>30</v>
      </c>
      <c r="B6667" t="s">
        <v>31</v>
      </c>
      <c r="C6667" t="s">
        <v>32</v>
      </c>
      <c r="D6667" t="s">
        <v>953</v>
      </c>
      <c r="E6667" t="s">
        <v>954</v>
      </c>
      <c r="F6667" t="s">
        <v>35</v>
      </c>
      <c r="G6667" t="s">
        <v>35</v>
      </c>
      <c r="H6667" t="s">
        <v>35</v>
      </c>
      <c r="J6667" t="s">
        <v>6808</v>
      </c>
      <c r="K6667" t="s">
        <v>1092</v>
      </c>
      <c r="M6667">
        <v>4.4999999999999998E-2</v>
      </c>
      <c r="N6667">
        <v>29</v>
      </c>
      <c r="O6667" t="s">
        <v>46</v>
      </c>
      <c r="Q6667" t="s">
        <v>1645</v>
      </c>
      <c r="R6667" t="s">
        <v>6716</v>
      </c>
      <c r="S6667" t="s">
        <v>6717</v>
      </c>
    </row>
    <row r="6668" spans="1:19" x14ac:dyDescent="0.25">
      <c r="A6668" t="s">
        <v>59</v>
      </c>
      <c r="B6668" t="s">
        <v>60</v>
      </c>
      <c r="C6668" t="s">
        <v>32</v>
      </c>
      <c r="D6668" t="s">
        <v>953</v>
      </c>
      <c r="E6668" t="s">
        <v>954</v>
      </c>
      <c r="F6668" t="s">
        <v>35</v>
      </c>
      <c r="G6668" t="s">
        <v>35</v>
      </c>
      <c r="H6668" t="s">
        <v>35</v>
      </c>
      <c r="J6668" t="s">
        <v>6808</v>
      </c>
      <c r="K6668" t="s">
        <v>1092</v>
      </c>
      <c r="M6668">
        <v>0.8</v>
      </c>
      <c r="N6668">
        <v>28</v>
      </c>
      <c r="O6668" t="s">
        <v>46</v>
      </c>
      <c r="Q6668" t="s">
        <v>176</v>
      </c>
      <c r="R6668" t="s">
        <v>6716</v>
      </c>
      <c r="S6668" t="s">
        <v>6717</v>
      </c>
    </row>
    <row r="6669" spans="1:19" x14ac:dyDescent="0.25">
      <c r="A6669" t="s">
        <v>30</v>
      </c>
      <c r="B6669" t="s">
        <v>31</v>
      </c>
      <c r="C6669" t="s">
        <v>32</v>
      </c>
      <c r="D6669" t="s">
        <v>953</v>
      </c>
      <c r="E6669" t="s">
        <v>954</v>
      </c>
      <c r="F6669" t="s">
        <v>35</v>
      </c>
      <c r="G6669" t="s">
        <v>35</v>
      </c>
      <c r="H6669" t="s">
        <v>35</v>
      </c>
      <c r="J6669" t="s">
        <v>6809</v>
      </c>
      <c r="K6669" t="s">
        <v>1092</v>
      </c>
      <c r="M6669">
        <v>0.45</v>
      </c>
      <c r="N6669">
        <v>457</v>
      </c>
      <c r="O6669" t="s">
        <v>294</v>
      </c>
      <c r="Q6669" t="s">
        <v>2104</v>
      </c>
      <c r="R6669" t="s">
        <v>6720</v>
      </c>
      <c r="S6669" t="s">
        <v>961</v>
      </c>
    </row>
    <row r="6670" spans="1:19" x14ac:dyDescent="0.25">
      <c r="A6670" t="s">
        <v>59</v>
      </c>
      <c r="B6670" t="s">
        <v>60</v>
      </c>
      <c r="C6670" t="s">
        <v>32</v>
      </c>
      <c r="D6670" t="s">
        <v>953</v>
      </c>
      <c r="E6670" t="s">
        <v>954</v>
      </c>
      <c r="F6670" t="s">
        <v>35</v>
      </c>
      <c r="G6670" t="s">
        <v>35</v>
      </c>
      <c r="H6670" t="s">
        <v>35</v>
      </c>
      <c r="J6670" t="s">
        <v>6809</v>
      </c>
      <c r="K6670" t="s">
        <v>1092</v>
      </c>
      <c r="M6670">
        <v>0.15</v>
      </c>
      <c r="N6670">
        <v>599</v>
      </c>
      <c r="O6670" t="s">
        <v>575</v>
      </c>
      <c r="Q6670" t="s">
        <v>6810</v>
      </c>
      <c r="R6670" t="s">
        <v>6720</v>
      </c>
      <c r="S6670" t="s">
        <v>961</v>
      </c>
    </row>
    <row r="6671" spans="1:19" x14ac:dyDescent="0.25">
      <c r="A6671" t="s">
        <v>59</v>
      </c>
      <c r="B6671" t="s">
        <v>31</v>
      </c>
      <c r="C6671" t="s">
        <v>32</v>
      </c>
      <c r="D6671" t="s">
        <v>953</v>
      </c>
      <c r="E6671" t="s">
        <v>954</v>
      </c>
      <c r="F6671" t="s">
        <v>35</v>
      </c>
      <c r="G6671" t="s">
        <v>35</v>
      </c>
      <c r="H6671" t="s">
        <v>35</v>
      </c>
      <c r="J6671" t="s">
        <v>6809</v>
      </c>
      <c r="K6671" t="s">
        <v>1092</v>
      </c>
      <c r="M6671">
        <v>0.22500000000000001</v>
      </c>
      <c r="N6671">
        <v>979</v>
      </c>
      <c r="O6671" t="s">
        <v>575</v>
      </c>
      <c r="Q6671" t="s">
        <v>3814</v>
      </c>
      <c r="R6671" t="s">
        <v>6720</v>
      </c>
      <c r="S6671" t="s">
        <v>961</v>
      </c>
    </row>
    <row r="6672" spans="1:19" x14ac:dyDescent="0.25">
      <c r="A6672" t="s">
        <v>59</v>
      </c>
      <c r="B6672" t="s">
        <v>60</v>
      </c>
      <c r="C6672" t="s">
        <v>32</v>
      </c>
      <c r="D6672" t="s">
        <v>953</v>
      </c>
      <c r="E6672" t="s">
        <v>954</v>
      </c>
      <c r="F6672" t="s">
        <v>35</v>
      </c>
      <c r="G6672" t="s">
        <v>35</v>
      </c>
      <c r="H6672" t="s">
        <v>35</v>
      </c>
      <c r="J6672" t="s">
        <v>6809</v>
      </c>
      <c r="K6672" t="s">
        <v>1092</v>
      </c>
      <c r="M6672">
        <v>0.15</v>
      </c>
      <c r="N6672">
        <v>623</v>
      </c>
      <c r="O6672" t="s">
        <v>575</v>
      </c>
      <c r="Q6672" t="s">
        <v>6812</v>
      </c>
      <c r="R6672" t="s">
        <v>6720</v>
      </c>
      <c r="S6672" t="s">
        <v>961</v>
      </c>
    </row>
    <row r="6673" spans="1:19" x14ac:dyDescent="0.25">
      <c r="A6673" t="s">
        <v>44</v>
      </c>
      <c r="B6673" t="s">
        <v>3</v>
      </c>
      <c r="C6673" t="s">
        <v>32</v>
      </c>
      <c r="D6673" t="s">
        <v>953</v>
      </c>
      <c r="E6673" t="s">
        <v>954</v>
      </c>
      <c r="F6673" t="s">
        <v>35</v>
      </c>
      <c r="G6673" t="s">
        <v>35</v>
      </c>
      <c r="H6673" t="s">
        <v>35</v>
      </c>
      <c r="J6673" t="s">
        <v>6809</v>
      </c>
      <c r="K6673" t="s">
        <v>1092</v>
      </c>
      <c r="M6673">
        <v>0.2</v>
      </c>
      <c r="N6673">
        <v>457</v>
      </c>
      <c r="O6673" t="s">
        <v>294</v>
      </c>
      <c r="Q6673" t="s">
        <v>2104</v>
      </c>
      <c r="R6673" t="s">
        <v>6720</v>
      </c>
      <c r="S6673" t="s">
        <v>961</v>
      </c>
    </row>
    <row r="6674" spans="1:19" x14ac:dyDescent="0.25">
      <c r="A6674" t="s">
        <v>59</v>
      </c>
      <c r="B6674" t="s">
        <v>60</v>
      </c>
      <c r="C6674" t="s">
        <v>32</v>
      </c>
      <c r="D6674" t="s">
        <v>953</v>
      </c>
      <c r="E6674" t="s">
        <v>954</v>
      </c>
      <c r="F6674" t="s">
        <v>35</v>
      </c>
      <c r="G6674" t="s">
        <v>35</v>
      </c>
      <c r="H6674" t="s">
        <v>35</v>
      </c>
      <c r="J6674" t="s">
        <v>6809</v>
      </c>
      <c r="K6674" t="s">
        <v>1092</v>
      </c>
      <c r="M6674">
        <v>0.25</v>
      </c>
      <c r="N6674">
        <v>457</v>
      </c>
      <c r="O6674" t="s">
        <v>294</v>
      </c>
      <c r="Q6674" t="s">
        <v>2104</v>
      </c>
      <c r="R6674" t="s">
        <v>6720</v>
      </c>
      <c r="S6674" t="s">
        <v>961</v>
      </c>
    </row>
    <row r="6675" spans="1:19" x14ac:dyDescent="0.25">
      <c r="A6675" t="s">
        <v>44</v>
      </c>
      <c r="B6675" t="s">
        <v>3</v>
      </c>
      <c r="C6675" t="s">
        <v>32</v>
      </c>
      <c r="D6675" t="s">
        <v>953</v>
      </c>
      <c r="E6675" t="s">
        <v>954</v>
      </c>
      <c r="F6675" t="s">
        <v>35</v>
      </c>
      <c r="G6675" t="s">
        <v>35</v>
      </c>
      <c r="H6675" t="s">
        <v>35</v>
      </c>
      <c r="J6675" t="s">
        <v>6809</v>
      </c>
      <c r="K6675" t="s">
        <v>1092</v>
      </c>
      <c r="M6675">
        <v>0.05</v>
      </c>
      <c r="N6675">
        <v>438</v>
      </c>
      <c r="O6675" t="s">
        <v>294</v>
      </c>
      <c r="Q6675" t="s">
        <v>1663</v>
      </c>
      <c r="R6675" t="s">
        <v>6720</v>
      </c>
      <c r="S6675" t="s">
        <v>961</v>
      </c>
    </row>
    <row r="6676" spans="1:19" x14ac:dyDescent="0.25">
      <c r="A6676" t="s">
        <v>59</v>
      </c>
      <c r="B6676" t="s">
        <v>60</v>
      </c>
      <c r="C6676" t="s">
        <v>32</v>
      </c>
      <c r="D6676" t="s">
        <v>953</v>
      </c>
      <c r="E6676" t="s">
        <v>954</v>
      </c>
      <c r="F6676" t="s">
        <v>35</v>
      </c>
      <c r="G6676" t="s">
        <v>35</v>
      </c>
      <c r="H6676" t="s">
        <v>35</v>
      </c>
      <c r="J6676" t="s">
        <v>6809</v>
      </c>
      <c r="K6676" t="s">
        <v>1092</v>
      </c>
      <c r="M6676">
        <v>7.4999999999999997E-2</v>
      </c>
      <c r="N6676">
        <v>668</v>
      </c>
      <c r="O6676" t="s">
        <v>575</v>
      </c>
      <c r="Q6676" t="s">
        <v>6811</v>
      </c>
      <c r="R6676" t="s">
        <v>6720</v>
      </c>
      <c r="S6676" t="s">
        <v>961</v>
      </c>
    </row>
    <row r="6677" spans="1:19" x14ac:dyDescent="0.25">
      <c r="A6677" t="s">
        <v>59</v>
      </c>
      <c r="B6677" t="s">
        <v>60</v>
      </c>
      <c r="C6677" t="s">
        <v>32</v>
      </c>
      <c r="D6677" t="s">
        <v>953</v>
      </c>
      <c r="E6677" t="s">
        <v>954</v>
      </c>
      <c r="F6677" t="s">
        <v>35</v>
      </c>
      <c r="G6677" t="s">
        <v>35</v>
      </c>
      <c r="H6677" t="s">
        <v>35</v>
      </c>
      <c r="J6677" t="s">
        <v>6809</v>
      </c>
      <c r="K6677" t="s">
        <v>1092</v>
      </c>
      <c r="M6677">
        <v>0.15</v>
      </c>
      <c r="N6677">
        <v>253</v>
      </c>
      <c r="O6677" t="s">
        <v>5</v>
      </c>
      <c r="Q6677" t="s">
        <v>1502</v>
      </c>
      <c r="R6677" t="s">
        <v>6720</v>
      </c>
      <c r="S6677" t="s">
        <v>961</v>
      </c>
    </row>
    <row r="6678" spans="1:19" x14ac:dyDescent="0.25">
      <c r="A6678" t="s">
        <v>59</v>
      </c>
      <c r="B6678" t="s">
        <v>60</v>
      </c>
      <c r="C6678" t="s">
        <v>32</v>
      </c>
      <c r="D6678" t="s">
        <v>953</v>
      </c>
      <c r="E6678" t="s">
        <v>954</v>
      </c>
      <c r="F6678" t="s">
        <v>35</v>
      </c>
      <c r="G6678" t="s">
        <v>35</v>
      </c>
      <c r="H6678" t="s">
        <v>35</v>
      </c>
      <c r="J6678" t="s">
        <v>6813</v>
      </c>
      <c r="K6678" t="s">
        <v>1092</v>
      </c>
      <c r="M6678">
        <v>5.0000000000000001E-3</v>
      </c>
      <c r="N6678">
        <v>44</v>
      </c>
      <c r="O6678" t="s">
        <v>52</v>
      </c>
      <c r="Q6678" t="s">
        <v>192</v>
      </c>
      <c r="R6678" t="s">
        <v>6720</v>
      </c>
      <c r="S6678" t="s">
        <v>961</v>
      </c>
    </row>
    <row r="6679" spans="1:19" x14ac:dyDescent="0.25">
      <c r="A6679" t="s">
        <v>44</v>
      </c>
      <c r="B6679" t="s">
        <v>51</v>
      </c>
      <c r="C6679" t="s">
        <v>32</v>
      </c>
      <c r="D6679" t="s">
        <v>953</v>
      </c>
      <c r="E6679" t="s">
        <v>954</v>
      </c>
      <c r="F6679" t="s">
        <v>35</v>
      </c>
      <c r="G6679" t="s">
        <v>35</v>
      </c>
      <c r="H6679" t="s">
        <v>35</v>
      </c>
      <c r="J6679" t="s">
        <v>6813</v>
      </c>
      <c r="K6679" t="s">
        <v>1092</v>
      </c>
      <c r="M6679">
        <v>0.05</v>
      </c>
      <c r="N6679">
        <v>159</v>
      </c>
      <c r="O6679" t="s">
        <v>38</v>
      </c>
      <c r="Q6679" t="s">
        <v>40</v>
      </c>
      <c r="R6679" t="s">
        <v>6720</v>
      </c>
      <c r="S6679" t="s">
        <v>961</v>
      </c>
    </row>
    <row r="6680" spans="1:19" x14ac:dyDescent="0.25">
      <c r="A6680" t="s">
        <v>44</v>
      </c>
      <c r="B6680" t="s">
        <v>51</v>
      </c>
      <c r="C6680" t="s">
        <v>32</v>
      </c>
      <c r="D6680" t="s">
        <v>953</v>
      </c>
      <c r="E6680" t="s">
        <v>954</v>
      </c>
      <c r="F6680" t="s">
        <v>35</v>
      </c>
      <c r="G6680" t="s">
        <v>35</v>
      </c>
      <c r="H6680" t="s">
        <v>35</v>
      </c>
      <c r="J6680" t="s">
        <v>6813</v>
      </c>
      <c r="K6680" t="s">
        <v>1092</v>
      </c>
      <c r="M6680">
        <v>0.05</v>
      </c>
      <c r="N6680">
        <v>37</v>
      </c>
      <c r="O6680" t="s">
        <v>52</v>
      </c>
      <c r="Q6680" t="s">
        <v>3499</v>
      </c>
      <c r="R6680" t="s">
        <v>6720</v>
      </c>
      <c r="S6680" t="s">
        <v>961</v>
      </c>
    </row>
    <row r="6681" spans="1:19" x14ac:dyDescent="0.25">
      <c r="A6681" t="s">
        <v>30</v>
      </c>
      <c r="B6681" t="s">
        <v>31</v>
      </c>
      <c r="C6681" t="s">
        <v>32</v>
      </c>
      <c r="D6681" t="s">
        <v>953</v>
      </c>
      <c r="E6681" t="s">
        <v>954</v>
      </c>
      <c r="F6681" t="s">
        <v>35</v>
      </c>
      <c r="G6681" t="s">
        <v>35</v>
      </c>
      <c r="H6681" t="s">
        <v>35</v>
      </c>
      <c r="J6681" t="s">
        <v>6813</v>
      </c>
      <c r="K6681" t="s">
        <v>1092</v>
      </c>
      <c r="M6681">
        <v>0.27</v>
      </c>
      <c r="N6681">
        <v>44</v>
      </c>
      <c r="O6681" t="s">
        <v>52</v>
      </c>
      <c r="Q6681" t="s">
        <v>192</v>
      </c>
      <c r="R6681" t="s">
        <v>6720</v>
      </c>
      <c r="S6681" t="s">
        <v>961</v>
      </c>
    </row>
    <row r="6682" spans="1:19" x14ac:dyDescent="0.25">
      <c r="A6682" t="s">
        <v>30</v>
      </c>
      <c r="B6682" t="s">
        <v>31</v>
      </c>
      <c r="C6682" t="s">
        <v>32</v>
      </c>
      <c r="D6682" t="s">
        <v>953</v>
      </c>
      <c r="E6682" t="s">
        <v>954</v>
      </c>
      <c r="F6682" t="s">
        <v>35</v>
      </c>
      <c r="G6682" t="s">
        <v>35</v>
      </c>
      <c r="H6682" t="s">
        <v>35</v>
      </c>
      <c r="J6682" t="s">
        <v>6813</v>
      </c>
      <c r="K6682" t="s">
        <v>1092</v>
      </c>
      <c r="M6682">
        <v>0.09</v>
      </c>
      <c r="N6682">
        <v>37</v>
      </c>
      <c r="O6682" t="s">
        <v>52</v>
      </c>
      <c r="Q6682" t="s">
        <v>3499</v>
      </c>
      <c r="R6682" t="s">
        <v>6720</v>
      </c>
      <c r="S6682" t="s">
        <v>961</v>
      </c>
    </row>
    <row r="6683" spans="1:19" x14ac:dyDescent="0.25">
      <c r="A6683" t="s">
        <v>30</v>
      </c>
      <c r="B6683" t="s">
        <v>31</v>
      </c>
      <c r="C6683" t="s">
        <v>32</v>
      </c>
      <c r="D6683" t="s">
        <v>953</v>
      </c>
      <c r="E6683" t="s">
        <v>954</v>
      </c>
      <c r="F6683" t="s">
        <v>35</v>
      </c>
      <c r="G6683" t="s">
        <v>35</v>
      </c>
      <c r="H6683" t="s">
        <v>35</v>
      </c>
      <c r="J6683" t="s">
        <v>6813</v>
      </c>
      <c r="K6683" t="s">
        <v>1092</v>
      </c>
      <c r="M6683">
        <v>0.45</v>
      </c>
      <c r="N6683">
        <v>21</v>
      </c>
      <c r="O6683" t="s">
        <v>46</v>
      </c>
      <c r="Q6683" t="s">
        <v>1874</v>
      </c>
      <c r="R6683" t="s">
        <v>6720</v>
      </c>
      <c r="S6683" t="s">
        <v>961</v>
      </c>
    </row>
    <row r="6684" spans="1:19" x14ac:dyDescent="0.25">
      <c r="A6684" t="s">
        <v>59</v>
      </c>
      <c r="B6684" t="s">
        <v>31</v>
      </c>
      <c r="C6684" t="s">
        <v>32</v>
      </c>
      <c r="D6684" t="s">
        <v>953</v>
      </c>
      <c r="E6684" t="s">
        <v>954</v>
      </c>
      <c r="F6684" t="s">
        <v>35</v>
      </c>
      <c r="G6684" t="s">
        <v>35</v>
      </c>
      <c r="H6684" t="s">
        <v>35</v>
      </c>
      <c r="J6684" t="s">
        <v>6813</v>
      </c>
      <c r="K6684" t="s">
        <v>1092</v>
      </c>
      <c r="M6684">
        <v>0.09</v>
      </c>
      <c r="N6684">
        <v>88</v>
      </c>
      <c r="O6684" t="s">
        <v>61</v>
      </c>
      <c r="Q6684" t="s">
        <v>858</v>
      </c>
      <c r="R6684" t="s">
        <v>6720</v>
      </c>
      <c r="S6684" t="s">
        <v>961</v>
      </c>
    </row>
    <row r="6685" spans="1:19" x14ac:dyDescent="0.25">
      <c r="A6685" t="s">
        <v>59</v>
      </c>
      <c r="B6685" t="s">
        <v>60</v>
      </c>
      <c r="C6685" t="s">
        <v>32</v>
      </c>
      <c r="D6685" t="s">
        <v>953</v>
      </c>
      <c r="E6685" t="s">
        <v>954</v>
      </c>
      <c r="F6685" t="s">
        <v>35</v>
      </c>
      <c r="G6685" t="s">
        <v>35</v>
      </c>
      <c r="H6685" t="s">
        <v>35</v>
      </c>
      <c r="J6685" t="s">
        <v>6814</v>
      </c>
      <c r="K6685" t="s">
        <v>1092</v>
      </c>
      <c r="M6685">
        <v>0.5</v>
      </c>
      <c r="N6685">
        <v>142</v>
      </c>
      <c r="O6685" t="s">
        <v>38</v>
      </c>
      <c r="Q6685" t="s">
        <v>2067</v>
      </c>
      <c r="R6685" t="s">
        <v>6720</v>
      </c>
      <c r="S6685" t="s">
        <v>961</v>
      </c>
    </row>
    <row r="6686" spans="1:19" x14ac:dyDescent="0.25">
      <c r="A6686" t="s">
        <v>59</v>
      </c>
      <c r="B6686" t="s">
        <v>60</v>
      </c>
      <c r="C6686" t="s">
        <v>32</v>
      </c>
      <c r="D6686" t="s">
        <v>953</v>
      </c>
      <c r="E6686" t="s">
        <v>954</v>
      </c>
      <c r="F6686" t="s">
        <v>35</v>
      </c>
      <c r="G6686" t="s">
        <v>35</v>
      </c>
      <c r="H6686" t="s">
        <v>35</v>
      </c>
      <c r="J6686" t="s">
        <v>6814</v>
      </c>
      <c r="K6686" t="s">
        <v>1092</v>
      </c>
      <c r="M6686">
        <v>0.75</v>
      </c>
      <c r="N6686">
        <v>169</v>
      </c>
      <c r="O6686" t="s">
        <v>38</v>
      </c>
      <c r="Q6686" t="s">
        <v>1189</v>
      </c>
      <c r="R6686" t="s">
        <v>6707</v>
      </c>
      <c r="S6686" t="s">
        <v>955</v>
      </c>
    </row>
    <row r="6687" spans="1:19" x14ac:dyDescent="0.25">
      <c r="A6687" t="s">
        <v>30</v>
      </c>
      <c r="B6687" t="s">
        <v>31</v>
      </c>
      <c r="C6687" t="s">
        <v>32</v>
      </c>
      <c r="D6687" t="s">
        <v>953</v>
      </c>
      <c r="E6687" t="s">
        <v>954</v>
      </c>
      <c r="F6687" t="s">
        <v>35</v>
      </c>
      <c r="G6687" t="s">
        <v>35</v>
      </c>
      <c r="H6687" t="s">
        <v>35</v>
      </c>
      <c r="J6687" t="s">
        <v>6814</v>
      </c>
      <c r="K6687" t="s">
        <v>1092</v>
      </c>
      <c r="M6687">
        <v>0.22500000000000001</v>
      </c>
      <c r="N6687">
        <v>16</v>
      </c>
      <c r="O6687" t="s">
        <v>46</v>
      </c>
      <c r="Q6687" t="s">
        <v>323</v>
      </c>
      <c r="R6687" t="s">
        <v>6707</v>
      </c>
      <c r="S6687" t="s">
        <v>955</v>
      </c>
    </row>
    <row r="6688" spans="1:19" x14ac:dyDescent="0.25">
      <c r="A6688" t="s">
        <v>44</v>
      </c>
      <c r="B6688" t="s">
        <v>51</v>
      </c>
      <c r="C6688" t="s">
        <v>32</v>
      </c>
      <c r="D6688" t="s">
        <v>953</v>
      </c>
      <c r="E6688" t="s">
        <v>954</v>
      </c>
      <c r="F6688" t="s">
        <v>35</v>
      </c>
      <c r="G6688" t="s">
        <v>35</v>
      </c>
      <c r="H6688" t="s">
        <v>35</v>
      </c>
      <c r="J6688" t="s">
        <v>6814</v>
      </c>
      <c r="K6688" t="s">
        <v>1092</v>
      </c>
      <c r="M6688">
        <v>0.5</v>
      </c>
      <c r="N6688">
        <v>20</v>
      </c>
      <c r="O6688" t="s">
        <v>46</v>
      </c>
      <c r="Q6688" t="s">
        <v>1004</v>
      </c>
      <c r="R6688" t="s">
        <v>6707</v>
      </c>
      <c r="S6688" t="s">
        <v>955</v>
      </c>
    </row>
    <row r="6689" spans="1:19" x14ac:dyDescent="0.25">
      <c r="A6689" t="s">
        <v>59</v>
      </c>
      <c r="B6689" t="s">
        <v>31</v>
      </c>
      <c r="C6689" t="s">
        <v>32</v>
      </c>
      <c r="D6689" t="s">
        <v>953</v>
      </c>
      <c r="E6689" t="s">
        <v>954</v>
      </c>
      <c r="F6689" t="s">
        <v>35</v>
      </c>
      <c r="G6689" t="s">
        <v>35</v>
      </c>
      <c r="H6689" t="s">
        <v>35</v>
      </c>
      <c r="J6689" t="s">
        <v>6814</v>
      </c>
      <c r="K6689" t="s">
        <v>1092</v>
      </c>
      <c r="M6689">
        <v>1.575</v>
      </c>
      <c r="N6689">
        <v>151</v>
      </c>
      <c r="O6689" t="s">
        <v>38</v>
      </c>
      <c r="Q6689" t="s">
        <v>1269</v>
      </c>
      <c r="R6689" t="s">
        <v>6707</v>
      </c>
      <c r="S6689" t="s">
        <v>955</v>
      </c>
    </row>
    <row r="6690" spans="1:19" x14ac:dyDescent="0.25">
      <c r="A6690" t="s">
        <v>59</v>
      </c>
      <c r="B6690" t="s">
        <v>60</v>
      </c>
      <c r="C6690" t="s">
        <v>32</v>
      </c>
      <c r="D6690" t="s">
        <v>953</v>
      </c>
      <c r="E6690" t="s">
        <v>954</v>
      </c>
      <c r="F6690" t="s">
        <v>35</v>
      </c>
      <c r="G6690" t="s">
        <v>35</v>
      </c>
      <c r="H6690" t="s">
        <v>35</v>
      </c>
      <c r="J6690" t="s">
        <v>6814</v>
      </c>
      <c r="K6690" t="s">
        <v>1092</v>
      </c>
      <c r="M6690">
        <v>0.25</v>
      </c>
      <c r="N6690">
        <v>85</v>
      </c>
      <c r="O6690" t="s">
        <v>61</v>
      </c>
      <c r="Q6690" t="s">
        <v>1202</v>
      </c>
      <c r="R6690" t="s">
        <v>6707</v>
      </c>
      <c r="S6690" t="s">
        <v>955</v>
      </c>
    </row>
    <row r="6691" spans="1:19" x14ac:dyDescent="0.25">
      <c r="A6691" t="s">
        <v>59</v>
      </c>
      <c r="B6691" t="s">
        <v>60</v>
      </c>
      <c r="C6691" t="s">
        <v>32</v>
      </c>
      <c r="D6691" t="s">
        <v>953</v>
      </c>
      <c r="E6691" t="s">
        <v>954</v>
      </c>
      <c r="F6691" t="s">
        <v>35</v>
      </c>
      <c r="G6691" t="s">
        <v>35</v>
      </c>
      <c r="H6691" t="s">
        <v>35</v>
      </c>
      <c r="J6691" t="s">
        <v>6814</v>
      </c>
      <c r="K6691" t="s">
        <v>1092</v>
      </c>
      <c r="M6691">
        <v>0.45</v>
      </c>
      <c r="N6691">
        <v>177</v>
      </c>
      <c r="O6691" t="s">
        <v>38</v>
      </c>
      <c r="Q6691" t="s">
        <v>4657</v>
      </c>
      <c r="R6691" t="s">
        <v>6707</v>
      </c>
      <c r="S6691" t="s">
        <v>955</v>
      </c>
    </row>
    <row r="6692" spans="1:19" x14ac:dyDescent="0.25">
      <c r="A6692" t="s">
        <v>59</v>
      </c>
      <c r="B6692" t="s">
        <v>60</v>
      </c>
      <c r="C6692" t="s">
        <v>32</v>
      </c>
      <c r="D6692" t="s">
        <v>953</v>
      </c>
      <c r="E6692" t="s">
        <v>954</v>
      </c>
      <c r="F6692" t="s">
        <v>35</v>
      </c>
      <c r="G6692" t="s">
        <v>35</v>
      </c>
      <c r="H6692" t="s">
        <v>35</v>
      </c>
      <c r="J6692" t="s">
        <v>6814</v>
      </c>
      <c r="K6692" t="s">
        <v>1092</v>
      </c>
      <c r="M6692">
        <v>0.5</v>
      </c>
      <c r="N6692">
        <v>140</v>
      </c>
      <c r="O6692" t="s">
        <v>38</v>
      </c>
      <c r="Q6692" t="s">
        <v>609</v>
      </c>
      <c r="R6692" t="s">
        <v>6720</v>
      </c>
      <c r="S6692" t="s">
        <v>961</v>
      </c>
    </row>
    <row r="6693" spans="1:19" x14ac:dyDescent="0.25">
      <c r="A6693" t="s">
        <v>59</v>
      </c>
      <c r="B6693" t="s">
        <v>31</v>
      </c>
      <c r="C6693" t="s">
        <v>32</v>
      </c>
      <c r="D6693" t="s">
        <v>953</v>
      </c>
      <c r="E6693" t="s">
        <v>954</v>
      </c>
      <c r="F6693" t="s">
        <v>35</v>
      </c>
      <c r="G6693" t="s">
        <v>35</v>
      </c>
      <c r="H6693" t="s">
        <v>35</v>
      </c>
      <c r="J6693" t="s">
        <v>6815</v>
      </c>
      <c r="K6693" t="s">
        <v>1092</v>
      </c>
      <c r="M6693">
        <v>0.495</v>
      </c>
      <c r="N6693">
        <v>64</v>
      </c>
      <c r="O6693" t="s">
        <v>61</v>
      </c>
      <c r="Q6693" t="s">
        <v>381</v>
      </c>
      <c r="R6693" t="s">
        <v>6720</v>
      </c>
      <c r="S6693" t="s">
        <v>961</v>
      </c>
    </row>
    <row r="6694" spans="1:19" x14ac:dyDescent="0.25">
      <c r="A6694" t="s">
        <v>59</v>
      </c>
      <c r="B6694" t="s">
        <v>60</v>
      </c>
      <c r="C6694" t="s">
        <v>32</v>
      </c>
      <c r="D6694" t="s">
        <v>953</v>
      </c>
      <c r="E6694" t="s">
        <v>954</v>
      </c>
      <c r="F6694" t="s">
        <v>35</v>
      </c>
      <c r="G6694" t="s">
        <v>35</v>
      </c>
      <c r="H6694" t="s">
        <v>35</v>
      </c>
      <c r="J6694" t="s">
        <v>6815</v>
      </c>
      <c r="K6694" t="s">
        <v>1092</v>
      </c>
      <c r="M6694">
        <v>1</v>
      </c>
      <c r="N6694">
        <v>64</v>
      </c>
      <c r="O6694" t="s">
        <v>61</v>
      </c>
      <c r="Q6694" t="s">
        <v>381</v>
      </c>
      <c r="R6694" t="s">
        <v>6720</v>
      </c>
      <c r="S6694" t="s">
        <v>961</v>
      </c>
    </row>
    <row r="6695" spans="1:19" x14ac:dyDescent="0.25">
      <c r="A6695" t="s">
        <v>59</v>
      </c>
      <c r="B6695" t="s">
        <v>60</v>
      </c>
      <c r="C6695" t="s">
        <v>32</v>
      </c>
      <c r="D6695" t="s">
        <v>953</v>
      </c>
      <c r="E6695" t="s">
        <v>954</v>
      </c>
      <c r="F6695" t="s">
        <v>35</v>
      </c>
      <c r="G6695" t="s">
        <v>35</v>
      </c>
      <c r="H6695" t="s">
        <v>35</v>
      </c>
      <c r="J6695" t="s">
        <v>6815</v>
      </c>
      <c r="K6695" t="s">
        <v>1092</v>
      </c>
      <c r="M6695">
        <v>0.4</v>
      </c>
      <c r="N6695">
        <v>140</v>
      </c>
      <c r="O6695" t="s">
        <v>38</v>
      </c>
      <c r="Q6695" t="s">
        <v>609</v>
      </c>
      <c r="R6695" t="s">
        <v>6720</v>
      </c>
      <c r="S6695" t="s">
        <v>961</v>
      </c>
    </row>
    <row r="6696" spans="1:19" x14ac:dyDescent="0.25">
      <c r="A6696" t="s">
        <v>59</v>
      </c>
      <c r="B6696" t="s">
        <v>60</v>
      </c>
      <c r="C6696" t="s">
        <v>32</v>
      </c>
      <c r="D6696" t="s">
        <v>953</v>
      </c>
      <c r="E6696" t="s">
        <v>954</v>
      </c>
      <c r="F6696" t="s">
        <v>35</v>
      </c>
      <c r="G6696" t="s">
        <v>35</v>
      </c>
      <c r="H6696" t="s">
        <v>35</v>
      </c>
      <c r="J6696" t="s">
        <v>6816</v>
      </c>
      <c r="K6696" t="s">
        <v>1092</v>
      </c>
      <c r="M6696">
        <v>0.55000000000000004</v>
      </c>
      <c r="N6696">
        <v>62</v>
      </c>
      <c r="O6696" t="s">
        <v>61</v>
      </c>
      <c r="Q6696" t="s">
        <v>90</v>
      </c>
      <c r="R6696" t="s">
        <v>987</v>
      </c>
      <c r="S6696" t="s">
        <v>988</v>
      </c>
    </row>
    <row r="6697" spans="1:19" x14ac:dyDescent="0.25">
      <c r="A6697" t="s">
        <v>59</v>
      </c>
      <c r="B6697" t="s">
        <v>60</v>
      </c>
      <c r="C6697" t="s">
        <v>32</v>
      </c>
      <c r="D6697" t="s">
        <v>953</v>
      </c>
      <c r="E6697" t="s">
        <v>954</v>
      </c>
      <c r="F6697" t="s">
        <v>35</v>
      </c>
      <c r="G6697" t="s">
        <v>35</v>
      </c>
      <c r="H6697" t="s">
        <v>35</v>
      </c>
      <c r="J6697" t="s">
        <v>6817</v>
      </c>
      <c r="K6697" t="s">
        <v>1092</v>
      </c>
      <c r="M6697">
        <v>7.5999999999999998E-2</v>
      </c>
      <c r="N6697">
        <v>331</v>
      </c>
      <c r="O6697" t="s">
        <v>5</v>
      </c>
      <c r="Q6697" t="s">
        <v>6073</v>
      </c>
      <c r="R6697" t="s">
        <v>133</v>
      </c>
      <c r="S6697" t="s">
        <v>134</v>
      </c>
    </row>
    <row r="6698" spans="1:19" x14ac:dyDescent="0.25">
      <c r="A6698" t="s">
        <v>59</v>
      </c>
      <c r="B6698" t="s">
        <v>60</v>
      </c>
      <c r="C6698" t="s">
        <v>32</v>
      </c>
      <c r="D6698" t="s">
        <v>953</v>
      </c>
      <c r="E6698" t="s">
        <v>954</v>
      </c>
      <c r="F6698" t="s">
        <v>35</v>
      </c>
      <c r="G6698" t="s">
        <v>35</v>
      </c>
      <c r="H6698" t="s">
        <v>35</v>
      </c>
      <c r="J6698" t="s">
        <v>6818</v>
      </c>
      <c r="K6698" t="s">
        <v>1092</v>
      </c>
      <c r="M6698">
        <v>0.4</v>
      </c>
      <c r="N6698">
        <v>76</v>
      </c>
      <c r="O6698" t="s">
        <v>61</v>
      </c>
      <c r="Q6698" t="s">
        <v>234</v>
      </c>
      <c r="R6698" t="s">
        <v>6707</v>
      </c>
      <c r="S6698" t="s">
        <v>955</v>
      </c>
    </row>
    <row r="6699" spans="1:19" x14ac:dyDescent="0.25">
      <c r="A6699" t="s">
        <v>59</v>
      </c>
      <c r="B6699" t="s">
        <v>60</v>
      </c>
      <c r="C6699" t="s">
        <v>32</v>
      </c>
      <c r="D6699" t="s">
        <v>953</v>
      </c>
      <c r="E6699" t="s">
        <v>954</v>
      </c>
      <c r="F6699" t="s">
        <v>35</v>
      </c>
      <c r="G6699" t="s">
        <v>35</v>
      </c>
      <c r="H6699" t="s">
        <v>35</v>
      </c>
      <c r="J6699" t="s">
        <v>6818</v>
      </c>
      <c r="K6699" t="s">
        <v>1092</v>
      </c>
      <c r="M6699">
        <v>0.35</v>
      </c>
      <c r="N6699">
        <v>65</v>
      </c>
      <c r="O6699" t="s">
        <v>61</v>
      </c>
      <c r="Q6699" t="s">
        <v>128</v>
      </c>
      <c r="R6699" t="s">
        <v>6707</v>
      </c>
      <c r="S6699" t="s">
        <v>955</v>
      </c>
    </row>
    <row r="6700" spans="1:19" x14ac:dyDescent="0.25">
      <c r="A6700" t="s">
        <v>59</v>
      </c>
      <c r="B6700" t="s">
        <v>31</v>
      </c>
      <c r="C6700" t="s">
        <v>32</v>
      </c>
      <c r="D6700" t="s">
        <v>953</v>
      </c>
      <c r="E6700" t="s">
        <v>954</v>
      </c>
      <c r="F6700" t="s">
        <v>35</v>
      </c>
      <c r="G6700" t="s">
        <v>35</v>
      </c>
      <c r="H6700" t="s">
        <v>35</v>
      </c>
      <c r="J6700" t="s">
        <v>6818</v>
      </c>
      <c r="K6700" t="s">
        <v>1092</v>
      </c>
      <c r="M6700">
        <v>0.22500000000000001</v>
      </c>
      <c r="N6700">
        <v>49</v>
      </c>
      <c r="O6700" t="s">
        <v>52</v>
      </c>
      <c r="Q6700" t="s">
        <v>219</v>
      </c>
      <c r="R6700" t="s">
        <v>6707</v>
      </c>
      <c r="S6700" t="s">
        <v>955</v>
      </c>
    </row>
    <row r="6701" spans="1:19" x14ac:dyDescent="0.25">
      <c r="A6701" t="s">
        <v>59</v>
      </c>
      <c r="B6701" t="s">
        <v>60</v>
      </c>
      <c r="C6701" t="s">
        <v>32</v>
      </c>
      <c r="D6701" t="s">
        <v>953</v>
      </c>
      <c r="E6701" t="s">
        <v>954</v>
      </c>
      <c r="F6701" t="s">
        <v>35</v>
      </c>
      <c r="G6701" t="s">
        <v>35</v>
      </c>
      <c r="H6701" t="s">
        <v>35</v>
      </c>
      <c r="J6701" t="s">
        <v>6818</v>
      </c>
      <c r="K6701" t="s">
        <v>1092</v>
      </c>
      <c r="M6701">
        <v>0.35</v>
      </c>
      <c r="N6701">
        <v>49</v>
      </c>
      <c r="O6701" t="s">
        <v>52</v>
      </c>
      <c r="Q6701" t="s">
        <v>219</v>
      </c>
      <c r="R6701" t="s">
        <v>6707</v>
      </c>
      <c r="S6701" t="s">
        <v>955</v>
      </c>
    </row>
    <row r="6702" spans="1:19" x14ac:dyDescent="0.25">
      <c r="A6702" t="s">
        <v>59</v>
      </c>
      <c r="B6702" t="s">
        <v>60</v>
      </c>
      <c r="C6702" t="s">
        <v>32</v>
      </c>
      <c r="D6702" t="s">
        <v>953</v>
      </c>
      <c r="E6702" t="s">
        <v>954</v>
      </c>
      <c r="F6702" t="s">
        <v>35</v>
      </c>
      <c r="G6702" t="s">
        <v>35</v>
      </c>
      <c r="H6702" t="s">
        <v>35</v>
      </c>
      <c r="J6702" t="s">
        <v>6818</v>
      </c>
      <c r="K6702" t="s">
        <v>1092</v>
      </c>
      <c r="M6702">
        <v>0.1</v>
      </c>
      <c r="N6702">
        <v>82</v>
      </c>
      <c r="O6702" t="s">
        <v>61</v>
      </c>
      <c r="Q6702" t="s">
        <v>447</v>
      </c>
      <c r="R6702" t="s">
        <v>6707</v>
      </c>
      <c r="S6702" t="s">
        <v>955</v>
      </c>
    </row>
    <row r="6703" spans="1:19" x14ac:dyDescent="0.25">
      <c r="A6703" t="s">
        <v>44</v>
      </c>
      <c r="B6703" t="s">
        <v>51</v>
      </c>
      <c r="C6703" t="s">
        <v>32</v>
      </c>
      <c r="D6703" t="s">
        <v>953</v>
      </c>
      <c r="E6703" t="s">
        <v>954</v>
      </c>
      <c r="F6703" t="s">
        <v>35</v>
      </c>
      <c r="G6703" t="s">
        <v>35</v>
      </c>
      <c r="H6703" t="s">
        <v>35</v>
      </c>
      <c r="J6703" t="s">
        <v>6819</v>
      </c>
      <c r="K6703" t="s">
        <v>1092</v>
      </c>
      <c r="M6703">
        <v>1.25</v>
      </c>
      <c r="N6703">
        <v>56</v>
      </c>
      <c r="O6703" t="s">
        <v>52</v>
      </c>
      <c r="Q6703" t="s">
        <v>453</v>
      </c>
      <c r="R6703" t="s">
        <v>6716</v>
      </c>
      <c r="S6703" t="s">
        <v>6717</v>
      </c>
    </row>
    <row r="6704" spans="1:19" x14ac:dyDescent="0.25">
      <c r="A6704" t="s">
        <v>59</v>
      </c>
      <c r="B6704" t="s">
        <v>60</v>
      </c>
      <c r="C6704" t="s">
        <v>32</v>
      </c>
      <c r="D6704" t="s">
        <v>953</v>
      </c>
      <c r="E6704" t="s">
        <v>954</v>
      </c>
      <c r="F6704" t="s">
        <v>35</v>
      </c>
      <c r="G6704" t="s">
        <v>35</v>
      </c>
      <c r="H6704" t="s">
        <v>35</v>
      </c>
      <c r="J6704" t="s">
        <v>6819</v>
      </c>
      <c r="K6704" t="s">
        <v>1092</v>
      </c>
      <c r="M6704">
        <v>2.4950000000000001</v>
      </c>
      <c r="N6704">
        <v>60</v>
      </c>
      <c r="O6704" t="s">
        <v>52</v>
      </c>
      <c r="Q6704" t="s">
        <v>1734</v>
      </c>
      <c r="R6704" t="s">
        <v>6716</v>
      </c>
      <c r="S6704" t="s">
        <v>6717</v>
      </c>
    </row>
    <row r="6705" spans="1:19" x14ac:dyDescent="0.25">
      <c r="A6705" t="s">
        <v>44</v>
      </c>
      <c r="B6705" t="s">
        <v>3</v>
      </c>
      <c r="C6705" t="s">
        <v>32</v>
      </c>
      <c r="D6705" t="s">
        <v>953</v>
      </c>
      <c r="E6705" t="s">
        <v>954</v>
      </c>
      <c r="F6705" t="s">
        <v>35</v>
      </c>
      <c r="G6705" t="s">
        <v>35</v>
      </c>
      <c r="H6705" t="s">
        <v>35</v>
      </c>
      <c r="J6705" t="s">
        <v>6819</v>
      </c>
      <c r="K6705" t="s">
        <v>1092</v>
      </c>
      <c r="M6705">
        <v>1.5</v>
      </c>
      <c r="N6705">
        <v>60</v>
      </c>
      <c r="O6705" t="s">
        <v>52</v>
      </c>
      <c r="Q6705" t="s">
        <v>1734</v>
      </c>
      <c r="R6705" t="s">
        <v>6716</v>
      </c>
      <c r="S6705" t="s">
        <v>6717</v>
      </c>
    </row>
    <row r="6706" spans="1:19" x14ac:dyDescent="0.25">
      <c r="A6706" t="s">
        <v>44</v>
      </c>
      <c r="B6706" t="s">
        <v>3</v>
      </c>
      <c r="C6706" t="s">
        <v>32</v>
      </c>
      <c r="D6706" t="s">
        <v>953</v>
      </c>
      <c r="E6706" t="s">
        <v>954</v>
      </c>
      <c r="F6706" t="s">
        <v>35</v>
      </c>
      <c r="G6706" t="s">
        <v>35</v>
      </c>
      <c r="H6706" t="s">
        <v>35</v>
      </c>
      <c r="J6706" t="s">
        <v>6820</v>
      </c>
      <c r="K6706" t="s">
        <v>1092</v>
      </c>
      <c r="M6706">
        <v>0.25</v>
      </c>
      <c r="N6706">
        <v>59</v>
      </c>
      <c r="O6706" t="s">
        <v>52</v>
      </c>
      <c r="Q6706" t="s">
        <v>84</v>
      </c>
      <c r="R6706" t="s">
        <v>6711</v>
      </c>
      <c r="S6706" t="s">
        <v>6712</v>
      </c>
    </row>
    <row r="6707" spans="1:19" x14ac:dyDescent="0.25">
      <c r="A6707" t="s">
        <v>44</v>
      </c>
      <c r="B6707" t="s">
        <v>3</v>
      </c>
      <c r="C6707" t="s">
        <v>32</v>
      </c>
      <c r="D6707" t="s">
        <v>953</v>
      </c>
      <c r="E6707" t="s">
        <v>954</v>
      </c>
      <c r="F6707" t="s">
        <v>35</v>
      </c>
      <c r="G6707" t="s">
        <v>35</v>
      </c>
      <c r="H6707" t="s">
        <v>35</v>
      </c>
      <c r="J6707" t="s">
        <v>6821</v>
      </c>
      <c r="K6707" t="s">
        <v>1092</v>
      </c>
      <c r="M6707">
        <v>0.15</v>
      </c>
      <c r="N6707">
        <v>56</v>
      </c>
      <c r="O6707" t="s">
        <v>52</v>
      </c>
      <c r="Q6707" t="s">
        <v>453</v>
      </c>
      <c r="R6707" t="s">
        <v>6720</v>
      </c>
      <c r="S6707" t="s">
        <v>961</v>
      </c>
    </row>
    <row r="6708" spans="1:19" x14ac:dyDescent="0.25">
      <c r="A6708" t="s">
        <v>30</v>
      </c>
      <c r="B6708" t="s">
        <v>31</v>
      </c>
      <c r="C6708" t="s">
        <v>32</v>
      </c>
      <c r="D6708" t="s">
        <v>953</v>
      </c>
      <c r="E6708" t="s">
        <v>954</v>
      </c>
      <c r="F6708" t="s">
        <v>35</v>
      </c>
      <c r="G6708" t="s">
        <v>35</v>
      </c>
      <c r="H6708" t="s">
        <v>35</v>
      </c>
      <c r="J6708" t="s">
        <v>6821</v>
      </c>
      <c r="K6708" t="s">
        <v>1092</v>
      </c>
      <c r="M6708">
        <v>1.0349999999999999</v>
      </c>
      <c r="N6708">
        <v>44</v>
      </c>
      <c r="O6708" t="s">
        <v>52</v>
      </c>
      <c r="Q6708" t="s">
        <v>192</v>
      </c>
      <c r="R6708" t="s">
        <v>6720</v>
      </c>
      <c r="S6708" t="s">
        <v>961</v>
      </c>
    </row>
    <row r="6709" spans="1:19" x14ac:dyDescent="0.25">
      <c r="A6709" t="s">
        <v>30</v>
      </c>
      <c r="B6709" t="s">
        <v>31</v>
      </c>
      <c r="C6709" t="s">
        <v>32</v>
      </c>
      <c r="D6709" t="s">
        <v>953</v>
      </c>
      <c r="E6709" t="s">
        <v>954</v>
      </c>
      <c r="F6709" t="s">
        <v>35</v>
      </c>
      <c r="G6709" t="s">
        <v>35</v>
      </c>
      <c r="H6709" t="s">
        <v>35</v>
      </c>
      <c r="J6709" t="s">
        <v>6821</v>
      </c>
      <c r="K6709" t="s">
        <v>1092</v>
      </c>
      <c r="M6709">
        <v>0.63</v>
      </c>
      <c r="N6709">
        <v>39</v>
      </c>
      <c r="O6709" t="s">
        <v>52</v>
      </c>
      <c r="Q6709" t="s">
        <v>816</v>
      </c>
      <c r="R6709" t="s">
        <v>6720</v>
      </c>
      <c r="S6709" t="s">
        <v>961</v>
      </c>
    </row>
    <row r="6710" spans="1:19" x14ac:dyDescent="0.25">
      <c r="A6710" t="s">
        <v>44</v>
      </c>
      <c r="B6710" t="s">
        <v>51</v>
      </c>
      <c r="C6710" t="s">
        <v>32</v>
      </c>
      <c r="D6710" t="s">
        <v>953</v>
      </c>
      <c r="E6710" t="s">
        <v>954</v>
      </c>
      <c r="F6710" t="s">
        <v>35</v>
      </c>
      <c r="G6710" t="s">
        <v>35</v>
      </c>
      <c r="H6710" t="s">
        <v>35</v>
      </c>
      <c r="J6710" t="s">
        <v>6821</v>
      </c>
      <c r="K6710" t="s">
        <v>1092</v>
      </c>
      <c r="M6710">
        <v>0.1</v>
      </c>
      <c r="N6710">
        <v>30</v>
      </c>
      <c r="O6710" t="s">
        <v>46</v>
      </c>
      <c r="Q6710" t="s">
        <v>793</v>
      </c>
      <c r="R6710" t="s">
        <v>6720</v>
      </c>
      <c r="S6710" t="s">
        <v>961</v>
      </c>
    </row>
    <row r="6711" spans="1:19" x14ac:dyDescent="0.25">
      <c r="A6711" t="s">
        <v>44</v>
      </c>
      <c r="B6711" t="s">
        <v>51</v>
      </c>
      <c r="C6711" t="s">
        <v>32</v>
      </c>
      <c r="D6711" t="s">
        <v>953</v>
      </c>
      <c r="E6711" t="s">
        <v>954</v>
      </c>
      <c r="F6711" t="s">
        <v>35</v>
      </c>
      <c r="G6711" t="s">
        <v>35</v>
      </c>
      <c r="H6711" t="s">
        <v>35</v>
      </c>
      <c r="J6711" t="s">
        <v>6821</v>
      </c>
      <c r="K6711" t="s">
        <v>1092</v>
      </c>
      <c r="M6711">
        <v>0.1</v>
      </c>
      <c r="N6711">
        <v>19</v>
      </c>
      <c r="O6711" t="s">
        <v>46</v>
      </c>
      <c r="Q6711" t="s">
        <v>1192</v>
      </c>
      <c r="R6711" t="s">
        <v>6720</v>
      </c>
      <c r="S6711" t="s">
        <v>961</v>
      </c>
    </row>
    <row r="6712" spans="1:19" x14ac:dyDescent="0.25">
      <c r="A6712" t="s">
        <v>44</v>
      </c>
      <c r="B6712" t="s">
        <v>3</v>
      </c>
      <c r="C6712" t="s">
        <v>32</v>
      </c>
      <c r="D6712" t="s">
        <v>953</v>
      </c>
      <c r="E6712" t="s">
        <v>954</v>
      </c>
      <c r="F6712" t="s">
        <v>35</v>
      </c>
      <c r="G6712" t="s">
        <v>35</v>
      </c>
      <c r="H6712" t="s">
        <v>35</v>
      </c>
      <c r="J6712" t="s">
        <v>6821</v>
      </c>
      <c r="K6712" t="s">
        <v>1092</v>
      </c>
      <c r="M6712">
        <v>0.25</v>
      </c>
      <c r="N6712">
        <v>30</v>
      </c>
      <c r="O6712" t="s">
        <v>46</v>
      </c>
      <c r="Q6712" t="s">
        <v>793</v>
      </c>
      <c r="R6712" t="s">
        <v>6720</v>
      </c>
      <c r="S6712" t="s">
        <v>961</v>
      </c>
    </row>
    <row r="6713" spans="1:19" x14ac:dyDescent="0.25">
      <c r="A6713" t="s">
        <v>44</v>
      </c>
      <c r="B6713" t="s">
        <v>3</v>
      </c>
      <c r="C6713" t="s">
        <v>32</v>
      </c>
      <c r="D6713" t="s">
        <v>953</v>
      </c>
      <c r="E6713" t="s">
        <v>954</v>
      </c>
      <c r="F6713" t="s">
        <v>35</v>
      </c>
      <c r="G6713" t="s">
        <v>35</v>
      </c>
      <c r="H6713" t="s">
        <v>35</v>
      </c>
      <c r="J6713" t="s">
        <v>6821</v>
      </c>
      <c r="K6713" t="s">
        <v>1092</v>
      </c>
      <c r="M6713">
        <v>0.1</v>
      </c>
      <c r="N6713">
        <v>27</v>
      </c>
      <c r="O6713" t="s">
        <v>46</v>
      </c>
      <c r="Q6713" t="s">
        <v>1011</v>
      </c>
      <c r="R6713" t="s">
        <v>6720</v>
      </c>
      <c r="S6713" t="s">
        <v>961</v>
      </c>
    </row>
    <row r="6714" spans="1:19" x14ac:dyDescent="0.25">
      <c r="A6714" t="s">
        <v>30</v>
      </c>
      <c r="B6714" t="s">
        <v>31</v>
      </c>
      <c r="C6714" t="s">
        <v>32</v>
      </c>
      <c r="D6714" t="s">
        <v>953</v>
      </c>
      <c r="E6714" t="s">
        <v>954</v>
      </c>
      <c r="F6714" t="s">
        <v>35</v>
      </c>
      <c r="G6714" t="s">
        <v>35</v>
      </c>
      <c r="H6714" t="s">
        <v>35</v>
      </c>
      <c r="J6714" t="s">
        <v>6821</v>
      </c>
      <c r="K6714" t="s">
        <v>1092</v>
      </c>
      <c r="M6714">
        <v>0.58499999999999996</v>
      </c>
      <c r="N6714">
        <v>30</v>
      </c>
      <c r="O6714" t="s">
        <v>46</v>
      </c>
      <c r="Q6714" t="s">
        <v>793</v>
      </c>
      <c r="R6714" t="s">
        <v>6720</v>
      </c>
      <c r="S6714" t="s">
        <v>961</v>
      </c>
    </row>
    <row r="6715" spans="1:19" x14ac:dyDescent="0.25">
      <c r="A6715" t="s">
        <v>30</v>
      </c>
      <c r="B6715" t="s">
        <v>31</v>
      </c>
      <c r="C6715" t="s">
        <v>32</v>
      </c>
      <c r="D6715" t="s">
        <v>953</v>
      </c>
      <c r="E6715" t="s">
        <v>954</v>
      </c>
      <c r="F6715" t="s">
        <v>35</v>
      </c>
      <c r="G6715" t="s">
        <v>35</v>
      </c>
      <c r="H6715" t="s">
        <v>35</v>
      </c>
      <c r="J6715" t="s">
        <v>6821</v>
      </c>
      <c r="K6715" t="s">
        <v>1092</v>
      </c>
      <c r="M6715">
        <v>0.315</v>
      </c>
      <c r="N6715">
        <v>21</v>
      </c>
      <c r="O6715" t="s">
        <v>46</v>
      </c>
      <c r="Q6715" t="s">
        <v>1874</v>
      </c>
      <c r="R6715" t="s">
        <v>6720</v>
      </c>
      <c r="S6715" t="s">
        <v>961</v>
      </c>
    </row>
    <row r="6716" spans="1:19" x14ac:dyDescent="0.25">
      <c r="A6716" t="s">
        <v>59</v>
      </c>
      <c r="B6716" t="s">
        <v>31</v>
      </c>
      <c r="C6716" t="s">
        <v>32</v>
      </c>
      <c r="D6716" t="s">
        <v>953</v>
      </c>
      <c r="E6716" t="s">
        <v>954</v>
      </c>
      <c r="F6716" t="s">
        <v>35</v>
      </c>
      <c r="G6716" t="s">
        <v>35</v>
      </c>
      <c r="H6716" t="s">
        <v>35</v>
      </c>
      <c r="J6716" t="s">
        <v>6821</v>
      </c>
      <c r="K6716" t="s">
        <v>1092</v>
      </c>
      <c r="M6716">
        <v>0.22500000000000001</v>
      </c>
      <c r="N6716">
        <v>64</v>
      </c>
      <c r="O6716" t="s">
        <v>61</v>
      </c>
      <c r="Q6716" t="s">
        <v>381</v>
      </c>
      <c r="R6716" t="s">
        <v>6720</v>
      </c>
      <c r="S6716" t="s">
        <v>961</v>
      </c>
    </row>
    <row r="6717" spans="1:19" x14ac:dyDescent="0.25">
      <c r="A6717" t="s">
        <v>44</v>
      </c>
      <c r="B6717" t="s">
        <v>3</v>
      </c>
      <c r="C6717" t="s">
        <v>32</v>
      </c>
      <c r="D6717" t="s">
        <v>953</v>
      </c>
      <c r="E6717" t="s">
        <v>954</v>
      </c>
      <c r="F6717" t="s">
        <v>35</v>
      </c>
      <c r="G6717" t="s">
        <v>35</v>
      </c>
      <c r="H6717" t="s">
        <v>35</v>
      </c>
      <c r="J6717" t="s">
        <v>6821</v>
      </c>
      <c r="K6717" t="s">
        <v>1092</v>
      </c>
      <c r="M6717">
        <v>0.15</v>
      </c>
      <c r="N6717">
        <v>37</v>
      </c>
      <c r="O6717" t="s">
        <v>52</v>
      </c>
      <c r="Q6717" t="s">
        <v>3499</v>
      </c>
      <c r="R6717" t="s">
        <v>6720</v>
      </c>
      <c r="S6717" t="s">
        <v>961</v>
      </c>
    </row>
    <row r="6718" spans="1:19" x14ac:dyDescent="0.25">
      <c r="A6718" t="s">
        <v>44</v>
      </c>
      <c r="B6718" t="s">
        <v>3</v>
      </c>
      <c r="C6718" t="s">
        <v>32</v>
      </c>
      <c r="D6718" t="s">
        <v>953</v>
      </c>
      <c r="E6718" t="s">
        <v>954</v>
      </c>
      <c r="F6718" t="s">
        <v>35</v>
      </c>
      <c r="G6718" t="s">
        <v>35</v>
      </c>
      <c r="H6718" t="s">
        <v>35</v>
      </c>
      <c r="J6718" t="s">
        <v>6821</v>
      </c>
      <c r="K6718" t="s">
        <v>1092</v>
      </c>
      <c r="M6718">
        <v>0.1</v>
      </c>
      <c r="N6718">
        <v>39</v>
      </c>
      <c r="O6718" t="s">
        <v>52</v>
      </c>
      <c r="Q6718" t="s">
        <v>816</v>
      </c>
      <c r="R6718" t="s">
        <v>6720</v>
      </c>
      <c r="S6718" t="s">
        <v>961</v>
      </c>
    </row>
    <row r="6719" spans="1:19" x14ac:dyDescent="0.25">
      <c r="A6719" t="s">
        <v>44</v>
      </c>
      <c r="B6719" t="s">
        <v>3</v>
      </c>
      <c r="C6719" t="s">
        <v>32</v>
      </c>
      <c r="D6719" t="s">
        <v>953</v>
      </c>
      <c r="E6719" t="s">
        <v>954</v>
      </c>
      <c r="F6719" t="s">
        <v>35</v>
      </c>
      <c r="G6719" t="s">
        <v>35</v>
      </c>
      <c r="H6719" t="s">
        <v>35</v>
      </c>
      <c r="J6719" t="s">
        <v>6821</v>
      </c>
      <c r="K6719" t="s">
        <v>1092</v>
      </c>
      <c r="M6719">
        <v>0.5</v>
      </c>
      <c r="N6719">
        <v>44</v>
      </c>
      <c r="O6719" t="s">
        <v>52</v>
      </c>
      <c r="Q6719" t="s">
        <v>192</v>
      </c>
      <c r="R6719" t="s">
        <v>6720</v>
      </c>
      <c r="S6719" t="s">
        <v>961</v>
      </c>
    </row>
    <row r="6720" spans="1:19" x14ac:dyDescent="0.25">
      <c r="A6720" t="s">
        <v>44</v>
      </c>
      <c r="B6720" t="s">
        <v>3</v>
      </c>
      <c r="C6720" t="s">
        <v>32</v>
      </c>
      <c r="D6720" t="s">
        <v>953</v>
      </c>
      <c r="E6720" t="s">
        <v>954</v>
      </c>
      <c r="F6720" t="s">
        <v>35</v>
      </c>
      <c r="G6720" t="s">
        <v>35</v>
      </c>
      <c r="H6720" t="s">
        <v>35</v>
      </c>
      <c r="J6720" t="s">
        <v>6821</v>
      </c>
      <c r="K6720" t="s">
        <v>1092</v>
      </c>
      <c r="M6720">
        <v>0.2</v>
      </c>
      <c r="N6720">
        <v>46</v>
      </c>
      <c r="O6720" t="s">
        <v>52</v>
      </c>
      <c r="Q6720" t="s">
        <v>493</v>
      </c>
      <c r="R6720" t="s">
        <v>6720</v>
      </c>
      <c r="S6720" t="s">
        <v>961</v>
      </c>
    </row>
    <row r="6721" spans="1:19" x14ac:dyDescent="0.25">
      <c r="A6721" t="s">
        <v>44</v>
      </c>
      <c r="B6721" t="s">
        <v>3</v>
      </c>
      <c r="C6721" t="s">
        <v>32</v>
      </c>
      <c r="D6721" t="s">
        <v>953</v>
      </c>
      <c r="E6721" t="s">
        <v>954</v>
      </c>
      <c r="F6721" t="s">
        <v>35</v>
      </c>
      <c r="G6721" t="s">
        <v>35</v>
      </c>
      <c r="H6721" t="s">
        <v>35</v>
      </c>
      <c r="J6721" t="s">
        <v>6821</v>
      </c>
      <c r="K6721" t="s">
        <v>1092</v>
      </c>
      <c r="M6721">
        <v>0.3</v>
      </c>
      <c r="N6721">
        <v>49</v>
      </c>
      <c r="O6721" t="s">
        <v>52</v>
      </c>
      <c r="Q6721" t="s">
        <v>219</v>
      </c>
      <c r="R6721" t="s">
        <v>6720</v>
      </c>
      <c r="S6721" t="s">
        <v>961</v>
      </c>
    </row>
    <row r="6722" spans="1:19" x14ac:dyDescent="0.25">
      <c r="A6722" t="s">
        <v>44</v>
      </c>
      <c r="B6722" t="s">
        <v>3</v>
      </c>
      <c r="C6722" t="s">
        <v>32</v>
      </c>
      <c r="D6722" t="s">
        <v>953</v>
      </c>
      <c r="E6722" t="s">
        <v>954</v>
      </c>
      <c r="F6722" t="s">
        <v>35</v>
      </c>
      <c r="G6722" t="s">
        <v>35</v>
      </c>
      <c r="H6722" t="s">
        <v>35</v>
      </c>
      <c r="J6722" t="s">
        <v>6821</v>
      </c>
      <c r="K6722" t="s">
        <v>1092</v>
      </c>
      <c r="M6722">
        <v>0.45</v>
      </c>
      <c r="N6722">
        <v>52</v>
      </c>
      <c r="O6722" t="s">
        <v>52</v>
      </c>
      <c r="Q6722" t="s">
        <v>1230</v>
      </c>
      <c r="R6722" t="s">
        <v>6720</v>
      </c>
      <c r="S6722" t="s">
        <v>961</v>
      </c>
    </row>
    <row r="6723" spans="1:19" x14ac:dyDescent="0.25">
      <c r="A6723" t="s">
        <v>59</v>
      </c>
      <c r="B6723" t="s">
        <v>31</v>
      </c>
      <c r="C6723" t="s">
        <v>32</v>
      </c>
      <c r="D6723" t="s">
        <v>953</v>
      </c>
      <c r="E6723" t="s">
        <v>954</v>
      </c>
      <c r="F6723" t="s">
        <v>35</v>
      </c>
      <c r="G6723" t="s">
        <v>35</v>
      </c>
      <c r="H6723" t="s">
        <v>35</v>
      </c>
      <c r="J6723" t="s">
        <v>6821</v>
      </c>
      <c r="K6723" t="s">
        <v>1092</v>
      </c>
      <c r="M6723">
        <v>0.67500000000000004</v>
      </c>
      <c r="N6723">
        <v>60</v>
      </c>
      <c r="O6723" t="s">
        <v>52</v>
      </c>
      <c r="Q6723" t="s">
        <v>1734</v>
      </c>
      <c r="R6723" t="s">
        <v>6720</v>
      </c>
      <c r="S6723" t="s">
        <v>961</v>
      </c>
    </row>
    <row r="6724" spans="1:19" x14ac:dyDescent="0.25">
      <c r="A6724" t="s">
        <v>44</v>
      </c>
      <c r="B6724" t="s">
        <v>3</v>
      </c>
      <c r="C6724" t="s">
        <v>32</v>
      </c>
      <c r="D6724" t="s">
        <v>953</v>
      </c>
      <c r="E6724" t="s">
        <v>954</v>
      </c>
      <c r="F6724" t="s">
        <v>35</v>
      </c>
      <c r="G6724" t="s">
        <v>35</v>
      </c>
      <c r="H6724" t="s">
        <v>35</v>
      </c>
      <c r="J6724" t="s">
        <v>6821</v>
      </c>
      <c r="K6724" t="s">
        <v>1092</v>
      </c>
      <c r="M6724">
        <v>0.05</v>
      </c>
      <c r="N6724">
        <v>58</v>
      </c>
      <c r="O6724" t="s">
        <v>52</v>
      </c>
      <c r="Q6724" t="s">
        <v>58</v>
      </c>
      <c r="R6724" t="s">
        <v>6720</v>
      </c>
      <c r="S6724" t="s">
        <v>961</v>
      </c>
    </row>
    <row r="6725" spans="1:19" x14ac:dyDescent="0.25">
      <c r="A6725" t="s">
        <v>44</v>
      </c>
      <c r="B6725" t="s">
        <v>51</v>
      </c>
      <c r="C6725" t="s">
        <v>32</v>
      </c>
      <c r="D6725" t="s">
        <v>953</v>
      </c>
      <c r="E6725" t="s">
        <v>954</v>
      </c>
      <c r="F6725" t="s">
        <v>35</v>
      </c>
      <c r="G6725" t="s">
        <v>35</v>
      </c>
      <c r="H6725" t="s">
        <v>35</v>
      </c>
      <c r="J6725" t="s">
        <v>6821</v>
      </c>
      <c r="K6725" t="s">
        <v>1092</v>
      </c>
      <c r="M6725">
        <v>0.05</v>
      </c>
      <c r="N6725">
        <v>197</v>
      </c>
      <c r="O6725" t="s">
        <v>5</v>
      </c>
      <c r="Q6725" t="s">
        <v>6822</v>
      </c>
      <c r="R6725" t="s">
        <v>6720</v>
      </c>
      <c r="S6725" t="s">
        <v>961</v>
      </c>
    </row>
    <row r="6726" spans="1:19" x14ac:dyDescent="0.25">
      <c r="A6726" t="s">
        <v>44</v>
      </c>
      <c r="B6726" t="s">
        <v>3</v>
      </c>
      <c r="C6726" t="s">
        <v>32</v>
      </c>
      <c r="D6726" t="s">
        <v>953</v>
      </c>
      <c r="E6726" t="s">
        <v>954</v>
      </c>
      <c r="F6726" t="s">
        <v>35</v>
      </c>
      <c r="G6726" t="s">
        <v>35</v>
      </c>
      <c r="H6726" t="s">
        <v>35</v>
      </c>
      <c r="J6726" t="s">
        <v>6823</v>
      </c>
      <c r="K6726" t="s">
        <v>1092</v>
      </c>
      <c r="M6726">
        <v>0.05</v>
      </c>
      <c r="N6726">
        <v>39</v>
      </c>
      <c r="O6726" t="s">
        <v>52</v>
      </c>
      <c r="Q6726" t="s">
        <v>816</v>
      </c>
      <c r="R6726" t="s">
        <v>6720</v>
      </c>
      <c r="S6726" t="s">
        <v>961</v>
      </c>
    </row>
    <row r="6727" spans="1:19" x14ac:dyDescent="0.25">
      <c r="A6727" t="s">
        <v>44</v>
      </c>
      <c r="B6727" t="s">
        <v>3</v>
      </c>
      <c r="C6727" t="s">
        <v>32</v>
      </c>
      <c r="D6727" t="s">
        <v>953</v>
      </c>
      <c r="E6727" t="s">
        <v>954</v>
      </c>
      <c r="F6727" t="s">
        <v>35</v>
      </c>
      <c r="G6727" t="s">
        <v>35</v>
      </c>
      <c r="H6727" t="s">
        <v>35</v>
      </c>
      <c r="J6727" t="s">
        <v>6823</v>
      </c>
      <c r="K6727" t="s">
        <v>1092</v>
      </c>
      <c r="M6727">
        <v>0.05</v>
      </c>
      <c r="N6727">
        <v>30</v>
      </c>
      <c r="O6727" t="s">
        <v>46</v>
      </c>
      <c r="Q6727" t="s">
        <v>793</v>
      </c>
      <c r="R6727" t="s">
        <v>6720</v>
      </c>
      <c r="S6727" t="s">
        <v>961</v>
      </c>
    </row>
    <row r="6728" spans="1:19" x14ac:dyDescent="0.25">
      <c r="A6728" t="s">
        <v>30</v>
      </c>
      <c r="B6728" t="s">
        <v>31</v>
      </c>
      <c r="C6728" t="s">
        <v>32</v>
      </c>
      <c r="D6728" t="s">
        <v>953</v>
      </c>
      <c r="E6728" t="s">
        <v>954</v>
      </c>
      <c r="F6728" t="s">
        <v>35</v>
      </c>
      <c r="G6728" t="s">
        <v>35</v>
      </c>
      <c r="H6728" t="s">
        <v>35</v>
      </c>
      <c r="J6728" t="s">
        <v>6823</v>
      </c>
      <c r="K6728" t="s">
        <v>1092</v>
      </c>
      <c r="M6728">
        <v>0.495</v>
      </c>
      <c r="N6728">
        <v>37</v>
      </c>
      <c r="O6728" t="s">
        <v>52</v>
      </c>
      <c r="Q6728" t="s">
        <v>3499</v>
      </c>
      <c r="R6728" t="s">
        <v>6720</v>
      </c>
      <c r="S6728" t="s">
        <v>961</v>
      </c>
    </row>
    <row r="6729" spans="1:19" x14ac:dyDescent="0.25">
      <c r="A6729" t="s">
        <v>30</v>
      </c>
      <c r="B6729" t="s">
        <v>31</v>
      </c>
      <c r="C6729" t="s">
        <v>32</v>
      </c>
      <c r="D6729" t="s">
        <v>953</v>
      </c>
      <c r="E6729" t="s">
        <v>954</v>
      </c>
      <c r="F6729" t="s">
        <v>35</v>
      </c>
      <c r="G6729" t="s">
        <v>35</v>
      </c>
      <c r="H6729" t="s">
        <v>35</v>
      </c>
      <c r="J6729" t="s">
        <v>6823</v>
      </c>
      <c r="K6729" t="s">
        <v>1092</v>
      </c>
      <c r="M6729">
        <v>0.09</v>
      </c>
      <c r="N6729">
        <v>39</v>
      </c>
      <c r="O6729" t="s">
        <v>52</v>
      </c>
      <c r="Q6729" t="s">
        <v>816</v>
      </c>
      <c r="R6729" t="s">
        <v>6720</v>
      </c>
      <c r="S6729" t="s">
        <v>961</v>
      </c>
    </row>
    <row r="6730" spans="1:19" x14ac:dyDescent="0.25">
      <c r="A6730" t="s">
        <v>44</v>
      </c>
      <c r="B6730" t="s">
        <v>3</v>
      </c>
      <c r="C6730" t="s">
        <v>32</v>
      </c>
      <c r="D6730" t="s">
        <v>953</v>
      </c>
      <c r="E6730" t="s">
        <v>954</v>
      </c>
      <c r="F6730" t="s">
        <v>35</v>
      </c>
      <c r="G6730" t="s">
        <v>35</v>
      </c>
      <c r="H6730" t="s">
        <v>35</v>
      </c>
      <c r="J6730" t="s">
        <v>6823</v>
      </c>
      <c r="K6730" t="s">
        <v>1092</v>
      </c>
      <c r="M6730">
        <v>0.05</v>
      </c>
      <c r="N6730">
        <v>37</v>
      </c>
      <c r="O6730" t="s">
        <v>52</v>
      </c>
      <c r="Q6730" t="s">
        <v>3499</v>
      </c>
      <c r="R6730" t="s">
        <v>6720</v>
      </c>
      <c r="S6730" t="s">
        <v>961</v>
      </c>
    </row>
    <row r="6731" spans="1:19" x14ac:dyDescent="0.25">
      <c r="A6731" t="s">
        <v>59</v>
      </c>
      <c r="B6731" t="s">
        <v>60</v>
      </c>
      <c r="C6731" t="s">
        <v>32</v>
      </c>
      <c r="D6731" t="s">
        <v>953</v>
      </c>
      <c r="E6731" t="s">
        <v>954</v>
      </c>
      <c r="F6731" t="s">
        <v>35</v>
      </c>
      <c r="G6731" t="s">
        <v>35</v>
      </c>
      <c r="H6731" t="s">
        <v>35</v>
      </c>
      <c r="J6731" t="s">
        <v>6823</v>
      </c>
      <c r="K6731" t="s">
        <v>1092</v>
      </c>
      <c r="M6731">
        <v>0.05</v>
      </c>
      <c r="N6731">
        <v>64</v>
      </c>
      <c r="O6731" t="s">
        <v>61</v>
      </c>
      <c r="Q6731" t="s">
        <v>381</v>
      </c>
      <c r="R6731" t="s">
        <v>6720</v>
      </c>
      <c r="S6731" t="s">
        <v>961</v>
      </c>
    </row>
    <row r="6732" spans="1:19" x14ac:dyDescent="0.25">
      <c r="A6732" t="s">
        <v>59</v>
      </c>
      <c r="B6732" t="s">
        <v>60</v>
      </c>
      <c r="C6732" t="s">
        <v>32</v>
      </c>
      <c r="D6732" t="s">
        <v>953</v>
      </c>
      <c r="E6732" t="s">
        <v>954</v>
      </c>
      <c r="F6732" t="s">
        <v>35</v>
      </c>
      <c r="G6732" t="s">
        <v>35</v>
      </c>
      <c r="H6732" t="s">
        <v>35</v>
      </c>
      <c r="J6732" t="s">
        <v>6823</v>
      </c>
      <c r="K6732" t="s">
        <v>1092</v>
      </c>
      <c r="M6732">
        <v>0.05</v>
      </c>
      <c r="N6732">
        <v>68</v>
      </c>
      <c r="O6732" t="s">
        <v>61</v>
      </c>
      <c r="Q6732" t="s">
        <v>146</v>
      </c>
      <c r="R6732" t="s">
        <v>6720</v>
      </c>
      <c r="S6732" t="s">
        <v>961</v>
      </c>
    </row>
    <row r="6733" spans="1:19" x14ac:dyDescent="0.25">
      <c r="A6733" t="s">
        <v>59</v>
      </c>
      <c r="B6733" t="s">
        <v>60</v>
      </c>
      <c r="C6733" t="s">
        <v>32</v>
      </c>
      <c r="D6733" t="s">
        <v>953</v>
      </c>
      <c r="E6733" t="s">
        <v>954</v>
      </c>
      <c r="F6733" t="s">
        <v>35</v>
      </c>
      <c r="G6733" t="s">
        <v>35</v>
      </c>
      <c r="H6733" t="s">
        <v>35</v>
      </c>
      <c r="J6733" t="s">
        <v>6823</v>
      </c>
      <c r="K6733" t="s">
        <v>1092</v>
      </c>
      <c r="M6733">
        <v>0.05</v>
      </c>
      <c r="N6733">
        <v>75</v>
      </c>
      <c r="O6733" t="s">
        <v>61</v>
      </c>
      <c r="Q6733" t="s">
        <v>805</v>
      </c>
      <c r="R6733" t="s">
        <v>6720</v>
      </c>
      <c r="S6733" t="s">
        <v>961</v>
      </c>
    </row>
    <row r="6734" spans="1:19" x14ac:dyDescent="0.25">
      <c r="A6734" t="s">
        <v>30</v>
      </c>
      <c r="B6734" t="s">
        <v>31</v>
      </c>
      <c r="C6734" t="s">
        <v>32</v>
      </c>
      <c r="D6734" t="s">
        <v>953</v>
      </c>
      <c r="E6734" t="s">
        <v>954</v>
      </c>
      <c r="F6734" t="s">
        <v>35</v>
      </c>
      <c r="G6734" t="s">
        <v>35</v>
      </c>
      <c r="H6734" t="s">
        <v>35</v>
      </c>
      <c r="J6734" t="s">
        <v>6823</v>
      </c>
      <c r="K6734" t="s">
        <v>1092</v>
      </c>
      <c r="M6734">
        <v>0.09</v>
      </c>
      <c r="N6734">
        <v>30</v>
      </c>
      <c r="O6734" t="s">
        <v>46</v>
      </c>
      <c r="Q6734" t="s">
        <v>793</v>
      </c>
      <c r="R6734" t="s">
        <v>6720</v>
      </c>
      <c r="S6734" t="s">
        <v>961</v>
      </c>
    </row>
    <row r="6735" spans="1:19" x14ac:dyDescent="0.25">
      <c r="A6735" t="s">
        <v>59</v>
      </c>
      <c r="B6735" t="s">
        <v>60</v>
      </c>
      <c r="C6735" t="s">
        <v>32</v>
      </c>
      <c r="D6735" t="s">
        <v>953</v>
      </c>
      <c r="E6735" t="s">
        <v>954</v>
      </c>
      <c r="F6735" t="s">
        <v>35</v>
      </c>
      <c r="G6735" t="s">
        <v>35</v>
      </c>
      <c r="H6735" t="s">
        <v>35</v>
      </c>
      <c r="J6735" t="s">
        <v>6823</v>
      </c>
      <c r="K6735" t="s">
        <v>1092</v>
      </c>
      <c r="M6735">
        <v>0.05</v>
      </c>
      <c r="N6735">
        <v>58</v>
      </c>
      <c r="O6735" t="s">
        <v>52</v>
      </c>
      <c r="Q6735" t="s">
        <v>58</v>
      </c>
      <c r="R6735" t="s">
        <v>6720</v>
      </c>
      <c r="S6735" t="s">
        <v>961</v>
      </c>
    </row>
    <row r="6736" spans="1:19" x14ac:dyDescent="0.25">
      <c r="A6736" t="s">
        <v>59</v>
      </c>
      <c r="B6736" t="s">
        <v>60</v>
      </c>
      <c r="C6736" t="s">
        <v>32</v>
      </c>
      <c r="D6736" t="s">
        <v>953</v>
      </c>
      <c r="E6736" t="s">
        <v>954</v>
      </c>
      <c r="F6736" t="s">
        <v>35</v>
      </c>
      <c r="G6736" t="s">
        <v>35</v>
      </c>
      <c r="H6736" t="s">
        <v>35</v>
      </c>
      <c r="J6736" t="s">
        <v>6823</v>
      </c>
      <c r="K6736" t="s">
        <v>1092</v>
      </c>
      <c r="M6736">
        <v>0.05</v>
      </c>
      <c r="N6736">
        <v>52</v>
      </c>
      <c r="O6736" t="s">
        <v>52</v>
      </c>
      <c r="Q6736" t="s">
        <v>1230</v>
      </c>
      <c r="R6736" t="s">
        <v>6720</v>
      </c>
      <c r="S6736" t="s">
        <v>961</v>
      </c>
    </row>
    <row r="6737" spans="1:19" x14ac:dyDescent="0.25">
      <c r="A6737" t="s">
        <v>44</v>
      </c>
      <c r="B6737" t="s">
        <v>3</v>
      </c>
      <c r="C6737" t="s">
        <v>32</v>
      </c>
      <c r="D6737" t="s">
        <v>953</v>
      </c>
      <c r="E6737" t="s">
        <v>954</v>
      </c>
      <c r="F6737" t="s">
        <v>35</v>
      </c>
      <c r="G6737" t="s">
        <v>35</v>
      </c>
      <c r="H6737" t="s">
        <v>35</v>
      </c>
      <c r="J6737" t="s">
        <v>6823</v>
      </c>
      <c r="K6737" t="s">
        <v>1092</v>
      </c>
      <c r="M6737">
        <v>0.05</v>
      </c>
      <c r="N6737">
        <v>41</v>
      </c>
      <c r="O6737" t="s">
        <v>52</v>
      </c>
      <c r="Q6737" t="s">
        <v>249</v>
      </c>
      <c r="R6737" t="s">
        <v>6720</v>
      </c>
      <c r="S6737" t="s">
        <v>961</v>
      </c>
    </row>
    <row r="6738" spans="1:19" x14ac:dyDescent="0.25">
      <c r="A6738" t="s">
        <v>59</v>
      </c>
      <c r="B6738" t="s">
        <v>60</v>
      </c>
      <c r="C6738" t="s">
        <v>32</v>
      </c>
      <c r="D6738" t="s">
        <v>953</v>
      </c>
      <c r="E6738" t="s">
        <v>954</v>
      </c>
      <c r="F6738" t="s">
        <v>35</v>
      </c>
      <c r="G6738" t="s">
        <v>35</v>
      </c>
      <c r="H6738" t="s">
        <v>35</v>
      </c>
      <c r="J6738" t="s">
        <v>6823</v>
      </c>
      <c r="K6738" t="s">
        <v>1092</v>
      </c>
      <c r="M6738">
        <v>0.05</v>
      </c>
      <c r="N6738">
        <v>222</v>
      </c>
      <c r="O6738" t="s">
        <v>5</v>
      </c>
      <c r="Q6738" t="s">
        <v>1746</v>
      </c>
      <c r="R6738" t="s">
        <v>6720</v>
      </c>
      <c r="S6738" t="s">
        <v>961</v>
      </c>
    </row>
    <row r="6739" spans="1:19" x14ac:dyDescent="0.25">
      <c r="A6739" t="s">
        <v>59</v>
      </c>
      <c r="B6739" t="s">
        <v>60</v>
      </c>
      <c r="C6739" t="s">
        <v>32</v>
      </c>
      <c r="D6739" t="s">
        <v>953</v>
      </c>
      <c r="E6739" t="s">
        <v>954</v>
      </c>
      <c r="F6739" t="s">
        <v>35</v>
      </c>
      <c r="G6739" t="s">
        <v>35</v>
      </c>
      <c r="H6739" t="s">
        <v>35</v>
      </c>
      <c r="J6739" t="s">
        <v>6824</v>
      </c>
      <c r="K6739" t="s">
        <v>1092</v>
      </c>
      <c r="M6739">
        <v>1</v>
      </c>
      <c r="N6739">
        <v>455</v>
      </c>
      <c r="O6739" t="s">
        <v>294</v>
      </c>
      <c r="Q6739" t="s">
        <v>1760</v>
      </c>
      <c r="R6739" t="s">
        <v>6711</v>
      </c>
      <c r="S6739" t="s">
        <v>6712</v>
      </c>
    </row>
    <row r="6740" spans="1:19" x14ac:dyDescent="0.25">
      <c r="A6740" t="s">
        <v>44</v>
      </c>
      <c r="B6740" t="s">
        <v>3</v>
      </c>
      <c r="C6740" t="s">
        <v>32</v>
      </c>
      <c r="D6740" t="s">
        <v>953</v>
      </c>
      <c r="E6740" t="s">
        <v>954</v>
      </c>
      <c r="F6740" t="s">
        <v>35</v>
      </c>
      <c r="G6740" t="s">
        <v>35</v>
      </c>
      <c r="H6740" t="s">
        <v>35</v>
      </c>
      <c r="J6740" t="s">
        <v>6824</v>
      </c>
      <c r="K6740" t="s">
        <v>1092</v>
      </c>
      <c r="M6740">
        <v>0.75</v>
      </c>
      <c r="N6740">
        <v>424</v>
      </c>
      <c r="O6740" t="s">
        <v>294</v>
      </c>
      <c r="Q6740" t="s">
        <v>1749</v>
      </c>
      <c r="R6740" t="s">
        <v>6711</v>
      </c>
      <c r="S6740" t="s">
        <v>6712</v>
      </c>
    </row>
    <row r="6741" spans="1:19" x14ac:dyDescent="0.25">
      <c r="A6741" t="s">
        <v>59</v>
      </c>
      <c r="B6741" t="s">
        <v>60</v>
      </c>
      <c r="C6741" t="s">
        <v>32</v>
      </c>
      <c r="D6741" t="s">
        <v>953</v>
      </c>
      <c r="E6741" t="s">
        <v>954</v>
      </c>
      <c r="F6741" t="s">
        <v>35</v>
      </c>
      <c r="G6741" t="s">
        <v>35</v>
      </c>
      <c r="H6741" t="s">
        <v>35</v>
      </c>
      <c r="J6741" t="s">
        <v>6825</v>
      </c>
      <c r="K6741" t="s">
        <v>1092</v>
      </c>
      <c r="M6741">
        <v>0.21</v>
      </c>
      <c r="N6741">
        <v>605</v>
      </c>
      <c r="O6741" t="s">
        <v>575</v>
      </c>
      <c r="Q6741" t="s">
        <v>6826</v>
      </c>
      <c r="R6741" t="s">
        <v>6723</v>
      </c>
      <c r="S6741" t="s">
        <v>6724</v>
      </c>
    </row>
    <row r="6742" spans="1:19" x14ac:dyDescent="0.25">
      <c r="A6742" t="s">
        <v>59</v>
      </c>
      <c r="B6742" t="s">
        <v>60</v>
      </c>
      <c r="C6742" t="s">
        <v>32</v>
      </c>
      <c r="D6742" t="s">
        <v>953</v>
      </c>
      <c r="E6742" t="s">
        <v>954</v>
      </c>
      <c r="F6742" t="s">
        <v>35</v>
      </c>
      <c r="G6742" t="s">
        <v>35</v>
      </c>
      <c r="H6742" t="s">
        <v>35</v>
      </c>
      <c r="J6742" t="s">
        <v>6827</v>
      </c>
      <c r="K6742" t="s">
        <v>1092</v>
      </c>
      <c r="M6742">
        <v>0.25</v>
      </c>
      <c r="N6742">
        <v>239</v>
      </c>
      <c r="O6742" t="s">
        <v>5</v>
      </c>
      <c r="Q6742" t="s">
        <v>1471</v>
      </c>
      <c r="R6742" t="s">
        <v>6707</v>
      </c>
      <c r="S6742" t="s">
        <v>955</v>
      </c>
    </row>
    <row r="6743" spans="1:19" x14ac:dyDescent="0.25">
      <c r="A6743" t="s">
        <v>44</v>
      </c>
      <c r="B6743" t="s">
        <v>51</v>
      </c>
      <c r="C6743" t="s">
        <v>32</v>
      </c>
      <c r="D6743" t="s">
        <v>953</v>
      </c>
      <c r="E6743" t="s">
        <v>954</v>
      </c>
      <c r="F6743" t="s">
        <v>35</v>
      </c>
      <c r="G6743" t="s">
        <v>35</v>
      </c>
      <c r="H6743" t="s">
        <v>35</v>
      </c>
      <c r="J6743" t="s">
        <v>6827</v>
      </c>
      <c r="K6743" t="s">
        <v>1092</v>
      </c>
      <c r="M6743">
        <v>0.44600000000000001</v>
      </c>
      <c r="N6743">
        <v>239</v>
      </c>
      <c r="O6743" t="s">
        <v>5</v>
      </c>
      <c r="Q6743" t="s">
        <v>1471</v>
      </c>
      <c r="R6743" t="s">
        <v>6707</v>
      </c>
      <c r="S6743" t="s">
        <v>955</v>
      </c>
    </row>
    <row r="6744" spans="1:19" x14ac:dyDescent="0.25">
      <c r="A6744" t="s">
        <v>59</v>
      </c>
      <c r="B6744" t="s">
        <v>31</v>
      </c>
      <c r="C6744" t="s">
        <v>32</v>
      </c>
      <c r="D6744" t="s">
        <v>953</v>
      </c>
      <c r="E6744" t="s">
        <v>954</v>
      </c>
      <c r="F6744" t="s">
        <v>35</v>
      </c>
      <c r="G6744" t="s">
        <v>35</v>
      </c>
      <c r="H6744" t="s">
        <v>35</v>
      </c>
      <c r="J6744" t="s">
        <v>6827</v>
      </c>
      <c r="K6744" t="s">
        <v>1092</v>
      </c>
      <c r="M6744">
        <v>0.9</v>
      </c>
      <c r="N6744">
        <v>89</v>
      </c>
      <c r="O6744" t="s">
        <v>61</v>
      </c>
      <c r="Q6744" t="s">
        <v>299</v>
      </c>
      <c r="R6744" t="s">
        <v>6707</v>
      </c>
      <c r="S6744" t="s">
        <v>955</v>
      </c>
    </row>
    <row r="6745" spans="1:19" x14ac:dyDescent="0.25">
      <c r="A6745" t="s">
        <v>59</v>
      </c>
      <c r="B6745" t="s">
        <v>60</v>
      </c>
      <c r="C6745" t="s">
        <v>32</v>
      </c>
      <c r="D6745" t="s">
        <v>953</v>
      </c>
      <c r="E6745" t="s">
        <v>954</v>
      </c>
      <c r="F6745" t="s">
        <v>35</v>
      </c>
      <c r="G6745" t="s">
        <v>35</v>
      </c>
      <c r="H6745" t="s">
        <v>35</v>
      </c>
      <c r="J6745" t="s">
        <v>6827</v>
      </c>
      <c r="K6745" t="s">
        <v>1092</v>
      </c>
      <c r="M6745">
        <v>1</v>
      </c>
      <c r="N6745">
        <v>77</v>
      </c>
      <c r="O6745" t="s">
        <v>61</v>
      </c>
      <c r="Q6745" t="s">
        <v>305</v>
      </c>
      <c r="R6745" t="s">
        <v>6707</v>
      </c>
      <c r="S6745" t="s">
        <v>955</v>
      </c>
    </row>
    <row r="6746" spans="1:19" x14ac:dyDescent="0.25">
      <c r="A6746" t="s">
        <v>59</v>
      </c>
      <c r="B6746" t="s">
        <v>31</v>
      </c>
      <c r="C6746" t="s">
        <v>32</v>
      </c>
      <c r="D6746" t="s">
        <v>953</v>
      </c>
      <c r="E6746" t="s">
        <v>954</v>
      </c>
      <c r="F6746" t="s">
        <v>35</v>
      </c>
      <c r="G6746" t="s">
        <v>35</v>
      </c>
      <c r="H6746" t="s">
        <v>35</v>
      </c>
      <c r="J6746" t="s">
        <v>6827</v>
      </c>
      <c r="K6746" t="s">
        <v>1092</v>
      </c>
      <c r="M6746">
        <v>0.46500000000000002</v>
      </c>
      <c r="N6746">
        <v>220</v>
      </c>
      <c r="O6746" t="s">
        <v>5</v>
      </c>
      <c r="Q6746" t="s">
        <v>6828</v>
      </c>
      <c r="R6746" t="s">
        <v>6707</v>
      </c>
      <c r="S6746" t="s">
        <v>955</v>
      </c>
    </row>
    <row r="6747" spans="1:19" x14ac:dyDescent="0.25">
      <c r="A6747" t="s">
        <v>59</v>
      </c>
      <c r="B6747" t="s">
        <v>60</v>
      </c>
      <c r="C6747" t="s">
        <v>32</v>
      </c>
      <c r="D6747" t="s">
        <v>953</v>
      </c>
      <c r="E6747" t="s">
        <v>954</v>
      </c>
      <c r="F6747" t="s">
        <v>35</v>
      </c>
      <c r="G6747" t="s">
        <v>35</v>
      </c>
      <c r="H6747" t="s">
        <v>35</v>
      </c>
      <c r="J6747" t="s">
        <v>6827</v>
      </c>
      <c r="K6747" t="s">
        <v>1092</v>
      </c>
      <c r="M6747">
        <v>0.26500000000000001</v>
      </c>
      <c r="N6747">
        <v>263</v>
      </c>
      <c r="O6747" t="s">
        <v>5</v>
      </c>
      <c r="Q6747" t="s">
        <v>2499</v>
      </c>
      <c r="R6747" t="s">
        <v>6707</v>
      </c>
      <c r="S6747" t="s">
        <v>955</v>
      </c>
    </row>
    <row r="6748" spans="1:19" x14ac:dyDescent="0.25">
      <c r="A6748" t="s">
        <v>44</v>
      </c>
      <c r="B6748" t="s">
        <v>51</v>
      </c>
      <c r="C6748" t="s">
        <v>32</v>
      </c>
      <c r="D6748" t="s">
        <v>953</v>
      </c>
      <c r="E6748" t="s">
        <v>954</v>
      </c>
      <c r="F6748" t="s">
        <v>35</v>
      </c>
      <c r="G6748" t="s">
        <v>35</v>
      </c>
      <c r="H6748" t="s">
        <v>35</v>
      </c>
      <c r="J6748" t="s">
        <v>6829</v>
      </c>
      <c r="K6748" t="s">
        <v>1092</v>
      </c>
      <c r="M6748">
        <v>0.85</v>
      </c>
      <c r="N6748">
        <v>299</v>
      </c>
      <c r="O6748" t="s">
        <v>5</v>
      </c>
      <c r="Q6748" t="s">
        <v>3281</v>
      </c>
      <c r="R6748" t="s">
        <v>6711</v>
      </c>
      <c r="S6748" t="s">
        <v>6712</v>
      </c>
    </row>
    <row r="6749" spans="1:19" x14ac:dyDescent="0.25">
      <c r="A6749" t="s">
        <v>44</v>
      </c>
      <c r="B6749" t="s">
        <v>51</v>
      </c>
      <c r="C6749" t="s">
        <v>32</v>
      </c>
      <c r="D6749" t="s">
        <v>953</v>
      </c>
      <c r="E6749" t="s">
        <v>954</v>
      </c>
      <c r="F6749" t="s">
        <v>35</v>
      </c>
      <c r="G6749" t="s">
        <v>35</v>
      </c>
      <c r="H6749" t="s">
        <v>35</v>
      </c>
      <c r="J6749" t="s">
        <v>6829</v>
      </c>
      <c r="K6749" t="s">
        <v>1092</v>
      </c>
      <c r="M6749">
        <v>0.15</v>
      </c>
      <c r="N6749">
        <v>200</v>
      </c>
      <c r="O6749" t="s">
        <v>5</v>
      </c>
      <c r="Q6749" t="s">
        <v>3691</v>
      </c>
      <c r="R6749" t="s">
        <v>6720</v>
      </c>
      <c r="S6749" t="s">
        <v>961</v>
      </c>
    </row>
    <row r="6750" spans="1:19" x14ac:dyDescent="0.25">
      <c r="A6750" t="s">
        <v>59</v>
      </c>
      <c r="B6750" t="s">
        <v>31</v>
      </c>
      <c r="C6750" t="s">
        <v>32</v>
      </c>
      <c r="D6750" t="s">
        <v>953</v>
      </c>
      <c r="E6750" t="s">
        <v>954</v>
      </c>
      <c r="F6750" t="s">
        <v>35</v>
      </c>
      <c r="G6750" t="s">
        <v>35</v>
      </c>
      <c r="H6750" t="s">
        <v>35</v>
      </c>
      <c r="J6750" t="s">
        <v>6830</v>
      </c>
      <c r="K6750" t="s">
        <v>1092</v>
      </c>
      <c r="M6750">
        <v>0.05</v>
      </c>
      <c r="N6750">
        <v>792</v>
      </c>
      <c r="O6750" t="s">
        <v>575</v>
      </c>
      <c r="Q6750" t="s">
        <v>6831</v>
      </c>
      <c r="R6750" t="s">
        <v>6721</v>
      </c>
      <c r="S6750" t="s">
        <v>1078</v>
      </c>
    </row>
    <row r="6751" spans="1:19" x14ac:dyDescent="0.25">
      <c r="A6751" t="s">
        <v>44</v>
      </c>
      <c r="B6751" t="s">
        <v>3</v>
      </c>
      <c r="C6751" t="s">
        <v>32</v>
      </c>
      <c r="D6751" t="s">
        <v>953</v>
      </c>
      <c r="E6751" t="s">
        <v>954</v>
      </c>
      <c r="F6751" t="s">
        <v>35</v>
      </c>
      <c r="G6751" t="s">
        <v>35</v>
      </c>
      <c r="H6751" t="s">
        <v>35</v>
      </c>
      <c r="J6751" t="s">
        <v>6832</v>
      </c>
      <c r="K6751" t="s">
        <v>1092</v>
      </c>
      <c r="M6751">
        <v>0.15</v>
      </c>
      <c r="N6751">
        <v>37</v>
      </c>
      <c r="O6751" t="s">
        <v>52</v>
      </c>
      <c r="Q6751" t="s">
        <v>3499</v>
      </c>
      <c r="R6751" t="s">
        <v>6720</v>
      </c>
      <c r="S6751" t="s">
        <v>961</v>
      </c>
    </row>
    <row r="6752" spans="1:19" x14ac:dyDescent="0.25">
      <c r="A6752" t="s">
        <v>30</v>
      </c>
      <c r="B6752" t="s">
        <v>31</v>
      </c>
      <c r="C6752" t="s">
        <v>32</v>
      </c>
      <c r="D6752" t="s">
        <v>953</v>
      </c>
      <c r="E6752" t="s">
        <v>954</v>
      </c>
      <c r="F6752" t="s">
        <v>35</v>
      </c>
      <c r="G6752" t="s">
        <v>35</v>
      </c>
      <c r="H6752" t="s">
        <v>35</v>
      </c>
      <c r="J6752" t="s">
        <v>6832</v>
      </c>
      <c r="K6752" t="s">
        <v>1092</v>
      </c>
      <c r="M6752">
        <v>0.27</v>
      </c>
      <c r="N6752">
        <v>21</v>
      </c>
      <c r="O6752" t="s">
        <v>46</v>
      </c>
      <c r="Q6752" t="s">
        <v>1874</v>
      </c>
      <c r="R6752" t="s">
        <v>6720</v>
      </c>
      <c r="S6752" t="s">
        <v>961</v>
      </c>
    </row>
    <row r="6753" spans="1:19" x14ac:dyDescent="0.25">
      <c r="A6753" t="s">
        <v>59</v>
      </c>
      <c r="B6753" t="s">
        <v>60</v>
      </c>
      <c r="C6753" t="s">
        <v>32</v>
      </c>
      <c r="D6753" t="s">
        <v>953</v>
      </c>
      <c r="E6753" t="s">
        <v>954</v>
      </c>
      <c r="F6753" t="s">
        <v>35</v>
      </c>
      <c r="G6753" t="s">
        <v>35</v>
      </c>
      <c r="H6753" t="s">
        <v>35</v>
      </c>
      <c r="J6753" t="s">
        <v>6833</v>
      </c>
      <c r="K6753" t="s">
        <v>1092</v>
      </c>
      <c r="M6753">
        <v>3.45</v>
      </c>
      <c r="N6753">
        <v>54</v>
      </c>
      <c r="O6753" t="s">
        <v>52</v>
      </c>
      <c r="Q6753" t="s">
        <v>1207</v>
      </c>
      <c r="R6753" t="s">
        <v>6762</v>
      </c>
      <c r="S6753" t="s">
        <v>992</v>
      </c>
    </row>
    <row r="6754" spans="1:19" x14ac:dyDescent="0.25">
      <c r="A6754" t="s">
        <v>59</v>
      </c>
      <c r="B6754" t="s">
        <v>31</v>
      </c>
      <c r="C6754" t="s">
        <v>32</v>
      </c>
      <c r="D6754" t="s">
        <v>953</v>
      </c>
      <c r="E6754" t="s">
        <v>954</v>
      </c>
      <c r="F6754" t="s">
        <v>35</v>
      </c>
      <c r="G6754" t="s">
        <v>35</v>
      </c>
      <c r="H6754" t="s">
        <v>35</v>
      </c>
      <c r="J6754" t="s">
        <v>6834</v>
      </c>
      <c r="K6754" t="s">
        <v>1092</v>
      </c>
      <c r="M6754">
        <v>4.4999999999999998E-2</v>
      </c>
      <c r="N6754">
        <v>56</v>
      </c>
      <c r="O6754" t="s">
        <v>52</v>
      </c>
      <c r="Q6754" t="s">
        <v>453</v>
      </c>
      <c r="R6754" t="s">
        <v>6707</v>
      </c>
      <c r="S6754" t="s">
        <v>955</v>
      </c>
    </row>
    <row r="6755" spans="1:19" x14ac:dyDescent="0.25">
      <c r="A6755" t="s">
        <v>44</v>
      </c>
      <c r="B6755" t="s">
        <v>51</v>
      </c>
      <c r="C6755" t="s">
        <v>32</v>
      </c>
      <c r="D6755" t="s">
        <v>953</v>
      </c>
      <c r="E6755" t="s">
        <v>954</v>
      </c>
      <c r="F6755" t="s">
        <v>35</v>
      </c>
      <c r="G6755" t="s">
        <v>35</v>
      </c>
      <c r="H6755" t="s">
        <v>35</v>
      </c>
      <c r="J6755" t="s">
        <v>6834</v>
      </c>
      <c r="K6755" t="s">
        <v>1092</v>
      </c>
      <c r="M6755">
        <v>0.25</v>
      </c>
      <c r="N6755">
        <v>316</v>
      </c>
      <c r="O6755" t="s">
        <v>5</v>
      </c>
      <c r="Q6755" t="s">
        <v>6835</v>
      </c>
      <c r="R6755" t="s">
        <v>6746</v>
      </c>
      <c r="S6755" t="s">
        <v>6747</v>
      </c>
    </row>
    <row r="6756" spans="1:19" x14ac:dyDescent="0.25">
      <c r="A6756" t="s">
        <v>59</v>
      </c>
      <c r="B6756" t="s">
        <v>60</v>
      </c>
      <c r="C6756" t="s">
        <v>32</v>
      </c>
      <c r="D6756" t="s">
        <v>953</v>
      </c>
      <c r="E6756" t="s">
        <v>954</v>
      </c>
      <c r="F6756" t="s">
        <v>35</v>
      </c>
      <c r="G6756" t="s">
        <v>35</v>
      </c>
      <c r="H6756" t="s">
        <v>35</v>
      </c>
      <c r="J6756" t="s">
        <v>6834</v>
      </c>
      <c r="K6756" t="s">
        <v>1092</v>
      </c>
      <c r="M6756">
        <v>0.2</v>
      </c>
      <c r="N6756">
        <v>240</v>
      </c>
      <c r="O6756" t="s">
        <v>5</v>
      </c>
      <c r="Q6756" t="s">
        <v>2516</v>
      </c>
      <c r="R6756" t="s">
        <v>6707</v>
      </c>
      <c r="S6756" t="s">
        <v>955</v>
      </c>
    </row>
    <row r="6757" spans="1:19" x14ac:dyDescent="0.25">
      <c r="A6757" t="s">
        <v>44</v>
      </c>
      <c r="B6757" t="s">
        <v>51</v>
      </c>
      <c r="C6757" t="s">
        <v>32</v>
      </c>
      <c r="D6757" t="s">
        <v>953</v>
      </c>
      <c r="E6757" t="s">
        <v>954</v>
      </c>
      <c r="F6757" t="s">
        <v>35</v>
      </c>
      <c r="G6757" t="s">
        <v>35</v>
      </c>
      <c r="H6757" t="s">
        <v>35</v>
      </c>
      <c r="J6757" t="s">
        <v>6834</v>
      </c>
      <c r="K6757" t="s">
        <v>1092</v>
      </c>
      <c r="M6757">
        <v>0.1</v>
      </c>
      <c r="N6757">
        <v>240</v>
      </c>
      <c r="O6757" t="s">
        <v>5</v>
      </c>
      <c r="Q6757" t="s">
        <v>2516</v>
      </c>
      <c r="R6757" t="s">
        <v>6707</v>
      </c>
      <c r="S6757" t="s">
        <v>955</v>
      </c>
    </row>
    <row r="6758" spans="1:19" x14ac:dyDescent="0.25">
      <c r="A6758" t="s">
        <v>59</v>
      </c>
      <c r="B6758" t="s">
        <v>60</v>
      </c>
      <c r="C6758" t="s">
        <v>32</v>
      </c>
      <c r="D6758" t="s">
        <v>953</v>
      </c>
      <c r="E6758" t="s">
        <v>954</v>
      </c>
      <c r="F6758" t="s">
        <v>35</v>
      </c>
      <c r="G6758" t="s">
        <v>35</v>
      </c>
      <c r="H6758" t="s">
        <v>35</v>
      </c>
      <c r="J6758" t="s">
        <v>6834</v>
      </c>
      <c r="K6758" t="s">
        <v>1092</v>
      </c>
      <c r="M6758">
        <v>0.35</v>
      </c>
      <c r="N6758">
        <v>56</v>
      </c>
      <c r="O6758" t="s">
        <v>52</v>
      </c>
      <c r="Q6758" t="s">
        <v>453</v>
      </c>
      <c r="R6758" t="s">
        <v>6707</v>
      </c>
      <c r="S6758" t="s">
        <v>955</v>
      </c>
    </row>
    <row r="6759" spans="1:19" x14ac:dyDescent="0.25">
      <c r="A6759" t="s">
        <v>59</v>
      </c>
      <c r="B6759" t="s">
        <v>60</v>
      </c>
      <c r="C6759" t="s">
        <v>32</v>
      </c>
      <c r="D6759" t="s">
        <v>953</v>
      </c>
      <c r="E6759" t="s">
        <v>954</v>
      </c>
      <c r="F6759" t="s">
        <v>35</v>
      </c>
      <c r="G6759" t="s">
        <v>35</v>
      </c>
      <c r="H6759" t="s">
        <v>35</v>
      </c>
      <c r="J6759" t="s">
        <v>6836</v>
      </c>
      <c r="K6759" t="s">
        <v>1092</v>
      </c>
      <c r="M6759">
        <v>4.2000000000000003E-2</v>
      </c>
      <c r="N6759">
        <v>731</v>
      </c>
      <c r="O6759" t="s">
        <v>575</v>
      </c>
      <c r="Q6759" t="s">
        <v>6837</v>
      </c>
      <c r="R6759" t="s">
        <v>6838</v>
      </c>
      <c r="S6759" t="s">
        <v>6839</v>
      </c>
    </row>
    <row r="6760" spans="1:19" x14ac:dyDescent="0.25">
      <c r="A6760" t="s">
        <v>59</v>
      </c>
      <c r="B6760" t="s">
        <v>60</v>
      </c>
      <c r="C6760" t="s">
        <v>32</v>
      </c>
      <c r="D6760" t="s">
        <v>953</v>
      </c>
      <c r="E6760" t="s">
        <v>954</v>
      </c>
      <c r="F6760" t="s">
        <v>35</v>
      </c>
      <c r="G6760" t="s">
        <v>35</v>
      </c>
      <c r="H6760" t="s">
        <v>35</v>
      </c>
      <c r="J6760" t="s">
        <v>6840</v>
      </c>
      <c r="K6760" t="s">
        <v>1092</v>
      </c>
      <c r="M6760">
        <v>0.25</v>
      </c>
      <c r="N6760">
        <v>77</v>
      </c>
      <c r="O6760" t="s">
        <v>61</v>
      </c>
      <c r="Q6760" t="s">
        <v>305</v>
      </c>
      <c r="R6760" t="s">
        <v>6720</v>
      </c>
      <c r="S6760" t="s">
        <v>961</v>
      </c>
    </row>
    <row r="6761" spans="1:19" x14ac:dyDescent="0.25">
      <c r="A6761" t="s">
        <v>44</v>
      </c>
      <c r="B6761" t="s">
        <v>51</v>
      </c>
      <c r="C6761" t="s">
        <v>32</v>
      </c>
      <c r="D6761" t="s">
        <v>953</v>
      </c>
      <c r="E6761" t="s">
        <v>954</v>
      </c>
      <c r="F6761" t="s">
        <v>35</v>
      </c>
      <c r="G6761" t="s">
        <v>35</v>
      </c>
      <c r="H6761" t="s">
        <v>35</v>
      </c>
      <c r="J6761" t="s">
        <v>6840</v>
      </c>
      <c r="K6761" t="s">
        <v>1092</v>
      </c>
      <c r="M6761">
        <v>0.25</v>
      </c>
      <c r="N6761">
        <v>58</v>
      </c>
      <c r="O6761" t="s">
        <v>52</v>
      </c>
      <c r="Q6761" t="s">
        <v>58</v>
      </c>
      <c r="R6761" t="s">
        <v>6720</v>
      </c>
      <c r="S6761" t="s">
        <v>961</v>
      </c>
    </row>
    <row r="6762" spans="1:19" x14ac:dyDescent="0.25">
      <c r="A6762" t="s">
        <v>59</v>
      </c>
      <c r="B6762" t="s">
        <v>60</v>
      </c>
      <c r="C6762" t="s">
        <v>32</v>
      </c>
      <c r="D6762" t="s">
        <v>953</v>
      </c>
      <c r="E6762" t="s">
        <v>954</v>
      </c>
      <c r="F6762" t="s">
        <v>35</v>
      </c>
      <c r="G6762" t="s">
        <v>35</v>
      </c>
      <c r="H6762" t="s">
        <v>35</v>
      </c>
      <c r="J6762" t="s">
        <v>6840</v>
      </c>
      <c r="K6762" t="s">
        <v>1092</v>
      </c>
      <c r="M6762">
        <v>0.25</v>
      </c>
      <c r="N6762">
        <v>90</v>
      </c>
      <c r="O6762" t="s">
        <v>61</v>
      </c>
      <c r="Q6762" t="s">
        <v>897</v>
      </c>
      <c r="R6762" t="s">
        <v>6720</v>
      </c>
      <c r="S6762" t="s">
        <v>961</v>
      </c>
    </row>
    <row r="6763" spans="1:19" x14ac:dyDescent="0.25">
      <c r="A6763" t="s">
        <v>30</v>
      </c>
      <c r="B6763" t="s">
        <v>31</v>
      </c>
      <c r="C6763" t="s">
        <v>32</v>
      </c>
      <c r="D6763" t="s">
        <v>953</v>
      </c>
      <c r="E6763" t="s">
        <v>954</v>
      </c>
      <c r="F6763" t="s">
        <v>35</v>
      </c>
      <c r="G6763" t="s">
        <v>35</v>
      </c>
      <c r="H6763" t="s">
        <v>35</v>
      </c>
      <c r="J6763" t="s">
        <v>6840</v>
      </c>
      <c r="K6763" t="s">
        <v>1092</v>
      </c>
      <c r="M6763">
        <v>0.67500000000000004</v>
      </c>
      <c r="N6763">
        <v>39</v>
      </c>
      <c r="O6763" t="s">
        <v>52</v>
      </c>
      <c r="Q6763" t="s">
        <v>816</v>
      </c>
      <c r="R6763" t="s">
        <v>6720</v>
      </c>
      <c r="S6763" t="s">
        <v>961</v>
      </c>
    </row>
    <row r="6764" spans="1:19" x14ac:dyDescent="0.25">
      <c r="A6764" t="s">
        <v>59</v>
      </c>
      <c r="B6764" t="s">
        <v>60</v>
      </c>
      <c r="C6764" t="s">
        <v>32</v>
      </c>
      <c r="D6764" t="s">
        <v>953</v>
      </c>
      <c r="E6764" t="s">
        <v>954</v>
      </c>
      <c r="F6764" t="s">
        <v>35</v>
      </c>
      <c r="G6764" t="s">
        <v>35</v>
      </c>
      <c r="H6764" t="s">
        <v>35</v>
      </c>
      <c r="J6764" t="s">
        <v>6840</v>
      </c>
      <c r="K6764" t="s">
        <v>1092</v>
      </c>
      <c r="M6764">
        <v>0.25</v>
      </c>
      <c r="N6764">
        <v>29</v>
      </c>
      <c r="O6764" t="s">
        <v>46</v>
      </c>
      <c r="Q6764" t="s">
        <v>1645</v>
      </c>
      <c r="R6764" t="s">
        <v>6720</v>
      </c>
      <c r="S6764" t="s">
        <v>961</v>
      </c>
    </row>
    <row r="6765" spans="1:19" x14ac:dyDescent="0.25">
      <c r="A6765" t="s">
        <v>44</v>
      </c>
      <c r="B6765" t="s">
        <v>51</v>
      </c>
      <c r="C6765" t="s">
        <v>32</v>
      </c>
      <c r="D6765" t="s">
        <v>953</v>
      </c>
      <c r="E6765" t="s">
        <v>954</v>
      </c>
      <c r="F6765" t="s">
        <v>35</v>
      </c>
      <c r="G6765" t="s">
        <v>35</v>
      </c>
      <c r="H6765" t="s">
        <v>35</v>
      </c>
      <c r="J6765" t="s">
        <v>6840</v>
      </c>
      <c r="K6765" t="s">
        <v>1092</v>
      </c>
      <c r="M6765">
        <v>0.25</v>
      </c>
      <c r="N6765">
        <v>29</v>
      </c>
      <c r="O6765" t="s">
        <v>46</v>
      </c>
      <c r="Q6765" t="s">
        <v>1645</v>
      </c>
      <c r="R6765" t="s">
        <v>6720</v>
      </c>
      <c r="S6765" t="s">
        <v>961</v>
      </c>
    </row>
    <row r="6766" spans="1:19" x14ac:dyDescent="0.25">
      <c r="A6766" t="s">
        <v>44</v>
      </c>
      <c r="B6766" t="s">
        <v>51</v>
      </c>
      <c r="C6766" t="s">
        <v>32</v>
      </c>
      <c r="D6766" t="s">
        <v>953</v>
      </c>
      <c r="E6766" t="s">
        <v>954</v>
      </c>
      <c r="F6766" t="s">
        <v>35</v>
      </c>
      <c r="G6766" t="s">
        <v>35</v>
      </c>
      <c r="H6766" t="s">
        <v>35</v>
      </c>
      <c r="J6766" t="s">
        <v>6840</v>
      </c>
      <c r="K6766" t="s">
        <v>1092</v>
      </c>
      <c r="M6766">
        <v>0.25</v>
      </c>
      <c r="N6766">
        <v>21</v>
      </c>
      <c r="O6766" t="s">
        <v>46</v>
      </c>
      <c r="Q6766" t="s">
        <v>1874</v>
      </c>
      <c r="R6766" t="s">
        <v>6720</v>
      </c>
      <c r="S6766" t="s">
        <v>961</v>
      </c>
    </row>
    <row r="6767" spans="1:19" x14ac:dyDescent="0.25">
      <c r="A6767" t="s">
        <v>30</v>
      </c>
      <c r="B6767" t="s">
        <v>31</v>
      </c>
      <c r="C6767" t="s">
        <v>32</v>
      </c>
      <c r="D6767" t="s">
        <v>953</v>
      </c>
      <c r="E6767" t="s">
        <v>954</v>
      </c>
      <c r="F6767" t="s">
        <v>35</v>
      </c>
      <c r="G6767" t="s">
        <v>35</v>
      </c>
      <c r="H6767" t="s">
        <v>35</v>
      </c>
      <c r="J6767" t="s">
        <v>6840</v>
      </c>
      <c r="K6767" t="s">
        <v>1092</v>
      </c>
      <c r="M6767">
        <v>0.67500000000000004</v>
      </c>
      <c r="N6767">
        <v>11</v>
      </c>
      <c r="O6767" t="s">
        <v>46</v>
      </c>
      <c r="Q6767" t="s">
        <v>1053</v>
      </c>
      <c r="R6767" t="s">
        <v>6720</v>
      </c>
      <c r="S6767" t="s">
        <v>961</v>
      </c>
    </row>
    <row r="6768" spans="1:19" x14ac:dyDescent="0.25">
      <c r="A6768" t="s">
        <v>30</v>
      </c>
      <c r="B6768" t="s">
        <v>31</v>
      </c>
      <c r="C6768" t="s">
        <v>32</v>
      </c>
      <c r="D6768" t="s">
        <v>953</v>
      </c>
      <c r="E6768" t="s">
        <v>954</v>
      </c>
      <c r="F6768" t="s">
        <v>35</v>
      </c>
      <c r="G6768" t="s">
        <v>35</v>
      </c>
      <c r="H6768" t="s">
        <v>35</v>
      </c>
      <c r="J6768" t="s">
        <v>6840</v>
      </c>
      <c r="K6768" t="s">
        <v>1092</v>
      </c>
      <c r="M6768">
        <v>0.9</v>
      </c>
      <c r="N6768">
        <v>21</v>
      </c>
      <c r="O6768" t="s">
        <v>46</v>
      </c>
      <c r="Q6768" t="s">
        <v>1874</v>
      </c>
      <c r="R6768" t="s">
        <v>6720</v>
      </c>
      <c r="S6768" t="s">
        <v>961</v>
      </c>
    </row>
    <row r="6769" spans="1:19" x14ac:dyDescent="0.25">
      <c r="A6769" t="s">
        <v>59</v>
      </c>
      <c r="B6769" t="s">
        <v>60</v>
      </c>
      <c r="C6769" t="s">
        <v>32</v>
      </c>
      <c r="D6769" t="s">
        <v>953</v>
      </c>
      <c r="E6769" t="s">
        <v>954</v>
      </c>
      <c r="F6769" t="s">
        <v>35</v>
      </c>
      <c r="G6769" t="s">
        <v>35</v>
      </c>
      <c r="H6769" t="s">
        <v>35</v>
      </c>
      <c r="J6769" t="s">
        <v>6840</v>
      </c>
      <c r="K6769" t="s">
        <v>1092</v>
      </c>
      <c r="M6769">
        <v>0.25</v>
      </c>
      <c r="N6769">
        <v>52</v>
      </c>
      <c r="O6769" t="s">
        <v>52</v>
      </c>
      <c r="Q6769" t="s">
        <v>1230</v>
      </c>
      <c r="R6769" t="s">
        <v>6720</v>
      </c>
      <c r="S6769" t="s">
        <v>961</v>
      </c>
    </row>
    <row r="6770" spans="1:19" x14ac:dyDescent="0.25">
      <c r="A6770" t="s">
        <v>59</v>
      </c>
      <c r="B6770" t="s">
        <v>60</v>
      </c>
      <c r="C6770" t="s">
        <v>32</v>
      </c>
      <c r="D6770" t="s">
        <v>953</v>
      </c>
      <c r="E6770" t="s">
        <v>954</v>
      </c>
      <c r="F6770" t="s">
        <v>35</v>
      </c>
      <c r="G6770" t="s">
        <v>35</v>
      </c>
      <c r="H6770" t="s">
        <v>35</v>
      </c>
      <c r="J6770" t="s">
        <v>6840</v>
      </c>
      <c r="K6770" t="s">
        <v>1092</v>
      </c>
      <c r="M6770">
        <v>0.5</v>
      </c>
      <c r="N6770">
        <v>37</v>
      </c>
      <c r="O6770" t="s">
        <v>52</v>
      </c>
      <c r="Q6770" t="s">
        <v>3499</v>
      </c>
      <c r="R6770" t="s">
        <v>6720</v>
      </c>
      <c r="S6770" t="s">
        <v>961</v>
      </c>
    </row>
    <row r="6771" spans="1:19" x14ac:dyDescent="0.25">
      <c r="A6771" t="s">
        <v>59</v>
      </c>
      <c r="B6771" t="s">
        <v>60</v>
      </c>
      <c r="C6771" t="s">
        <v>32</v>
      </c>
      <c r="D6771" t="s">
        <v>953</v>
      </c>
      <c r="E6771" t="s">
        <v>954</v>
      </c>
      <c r="F6771" t="s">
        <v>35</v>
      </c>
      <c r="G6771" t="s">
        <v>35</v>
      </c>
      <c r="H6771" t="s">
        <v>35</v>
      </c>
      <c r="J6771" t="s">
        <v>6840</v>
      </c>
      <c r="K6771" t="s">
        <v>1092</v>
      </c>
      <c r="M6771">
        <v>0.25</v>
      </c>
      <c r="N6771">
        <v>64</v>
      </c>
      <c r="O6771" t="s">
        <v>61</v>
      </c>
      <c r="Q6771" t="s">
        <v>381</v>
      </c>
      <c r="R6771" t="s">
        <v>6720</v>
      </c>
      <c r="S6771" t="s">
        <v>961</v>
      </c>
    </row>
    <row r="6772" spans="1:19" x14ac:dyDescent="0.25">
      <c r="A6772" t="s">
        <v>59</v>
      </c>
      <c r="B6772" t="s">
        <v>60</v>
      </c>
      <c r="C6772" t="s">
        <v>32</v>
      </c>
      <c r="D6772" t="s">
        <v>953</v>
      </c>
      <c r="E6772" t="s">
        <v>954</v>
      </c>
      <c r="F6772" t="s">
        <v>35</v>
      </c>
      <c r="G6772" t="s">
        <v>35</v>
      </c>
      <c r="H6772" t="s">
        <v>35</v>
      </c>
      <c r="J6772" t="s">
        <v>6841</v>
      </c>
      <c r="K6772" t="s">
        <v>1092</v>
      </c>
      <c r="M6772">
        <v>0.4</v>
      </c>
      <c r="N6772">
        <v>30</v>
      </c>
      <c r="O6772" t="s">
        <v>46</v>
      </c>
      <c r="Q6772" t="s">
        <v>793</v>
      </c>
      <c r="R6772" t="s">
        <v>6720</v>
      </c>
      <c r="S6772" t="s">
        <v>961</v>
      </c>
    </row>
    <row r="6773" spans="1:19" x14ac:dyDescent="0.25">
      <c r="A6773" t="s">
        <v>44</v>
      </c>
      <c r="B6773" t="s">
        <v>3</v>
      </c>
      <c r="C6773" t="s">
        <v>32</v>
      </c>
      <c r="D6773" t="s">
        <v>953</v>
      </c>
      <c r="E6773" t="s">
        <v>954</v>
      </c>
      <c r="F6773" t="s">
        <v>35</v>
      </c>
      <c r="G6773" t="s">
        <v>35</v>
      </c>
      <c r="H6773" t="s">
        <v>35</v>
      </c>
      <c r="J6773" t="s">
        <v>6841</v>
      </c>
      <c r="K6773" t="s">
        <v>1092</v>
      </c>
      <c r="M6773">
        <v>0.25</v>
      </c>
      <c r="N6773">
        <v>30</v>
      </c>
      <c r="O6773" t="s">
        <v>46</v>
      </c>
      <c r="Q6773" t="s">
        <v>793</v>
      </c>
      <c r="R6773" t="s">
        <v>6720</v>
      </c>
      <c r="S6773" t="s">
        <v>961</v>
      </c>
    </row>
    <row r="6774" spans="1:19" x14ac:dyDescent="0.25">
      <c r="A6774" t="s">
        <v>59</v>
      </c>
      <c r="B6774" t="s">
        <v>60</v>
      </c>
      <c r="C6774" t="s">
        <v>32</v>
      </c>
      <c r="D6774" t="s">
        <v>953</v>
      </c>
      <c r="E6774" t="s">
        <v>954</v>
      </c>
      <c r="F6774" t="s">
        <v>35</v>
      </c>
      <c r="G6774" t="s">
        <v>35</v>
      </c>
      <c r="H6774" t="s">
        <v>35</v>
      </c>
      <c r="J6774" t="s">
        <v>6842</v>
      </c>
      <c r="K6774" t="s">
        <v>1092</v>
      </c>
      <c r="M6774">
        <v>0.45</v>
      </c>
      <c r="N6774">
        <v>52</v>
      </c>
      <c r="O6774" t="s">
        <v>52</v>
      </c>
      <c r="Q6774" t="s">
        <v>1230</v>
      </c>
      <c r="R6774" t="s">
        <v>6720</v>
      </c>
      <c r="S6774" t="s">
        <v>961</v>
      </c>
    </row>
    <row r="6775" spans="1:19" x14ac:dyDescent="0.25">
      <c r="A6775" t="s">
        <v>59</v>
      </c>
      <c r="B6775" t="s">
        <v>60</v>
      </c>
      <c r="C6775" t="s">
        <v>32</v>
      </c>
      <c r="D6775" t="s">
        <v>953</v>
      </c>
      <c r="E6775" t="s">
        <v>954</v>
      </c>
      <c r="F6775" t="s">
        <v>35</v>
      </c>
      <c r="G6775" t="s">
        <v>35</v>
      </c>
      <c r="H6775" t="s">
        <v>35</v>
      </c>
      <c r="J6775" t="s">
        <v>6842</v>
      </c>
      <c r="K6775" t="s">
        <v>1092</v>
      </c>
      <c r="M6775">
        <v>0.1</v>
      </c>
      <c r="N6775">
        <v>46</v>
      </c>
      <c r="O6775" t="s">
        <v>52</v>
      </c>
      <c r="Q6775" t="s">
        <v>493</v>
      </c>
      <c r="R6775" t="s">
        <v>6720</v>
      </c>
      <c r="S6775" t="s">
        <v>961</v>
      </c>
    </row>
    <row r="6776" spans="1:19" x14ac:dyDescent="0.25">
      <c r="A6776" t="s">
        <v>44</v>
      </c>
      <c r="B6776" t="s">
        <v>3</v>
      </c>
      <c r="C6776" t="s">
        <v>32</v>
      </c>
      <c r="D6776" t="s">
        <v>953</v>
      </c>
      <c r="E6776" t="s">
        <v>954</v>
      </c>
      <c r="F6776" t="s">
        <v>35</v>
      </c>
      <c r="G6776" t="s">
        <v>35</v>
      </c>
      <c r="H6776" t="s">
        <v>35</v>
      </c>
      <c r="J6776" t="s">
        <v>6842</v>
      </c>
      <c r="K6776" t="s">
        <v>1092</v>
      </c>
      <c r="M6776">
        <v>0.15</v>
      </c>
      <c r="N6776">
        <v>37</v>
      </c>
      <c r="O6776" t="s">
        <v>52</v>
      </c>
      <c r="Q6776" t="s">
        <v>3499</v>
      </c>
      <c r="R6776" t="s">
        <v>6720</v>
      </c>
      <c r="S6776" t="s">
        <v>961</v>
      </c>
    </row>
    <row r="6777" spans="1:19" x14ac:dyDescent="0.25">
      <c r="A6777" t="s">
        <v>59</v>
      </c>
      <c r="B6777" t="s">
        <v>60</v>
      </c>
      <c r="C6777" t="s">
        <v>32</v>
      </c>
      <c r="D6777" t="s">
        <v>953</v>
      </c>
      <c r="E6777" t="s">
        <v>954</v>
      </c>
      <c r="F6777" t="s">
        <v>35</v>
      </c>
      <c r="G6777" t="s">
        <v>35</v>
      </c>
      <c r="H6777" t="s">
        <v>35</v>
      </c>
      <c r="J6777" t="s">
        <v>6842</v>
      </c>
      <c r="K6777" t="s">
        <v>1092</v>
      </c>
      <c r="M6777">
        <v>0.1</v>
      </c>
      <c r="N6777">
        <v>30</v>
      </c>
      <c r="O6777" t="s">
        <v>46</v>
      </c>
      <c r="Q6777" t="s">
        <v>793</v>
      </c>
      <c r="R6777" t="s">
        <v>6720</v>
      </c>
      <c r="S6777" t="s">
        <v>961</v>
      </c>
    </row>
    <row r="6778" spans="1:19" x14ac:dyDescent="0.25">
      <c r="A6778" t="s">
        <v>59</v>
      </c>
      <c r="B6778" t="s">
        <v>60</v>
      </c>
      <c r="C6778" t="s">
        <v>32</v>
      </c>
      <c r="D6778" t="s">
        <v>953</v>
      </c>
      <c r="E6778" t="s">
        <v>954</v>
      </c>
      <c r="F6778" t="s">
        <v>35</v>
      </c>
      <c r="G6778" t="s">
        <v>35</v>
      </c>
      <c r="H6778" t="s">
        <v>35</v>
      </c>
      <c r="J6778" t="s">
        <v>6842</v>
      </c>
      <c r="K6778" t="s">
        <v>1092</v>
      </c>
      <c r="M6778">
        <v>0.05</v>
      </c>
      <c r="N6778">
        <v>48</v>
      </c>
      <c r="O6778" t="s">
        <v>52</v>
      </c>
      <c r="Q6778" t="s">
        <v>496</v>
      </c>
      <c r="R6778" t="s">
        <v>6720</v>
      </c>
      <c r="S6778" t="s">
        <v>961</v>
      </c>
    </row>
    <row r="6779" spans="1:19" x14ac:dyDescent="0.25">
      <c r="A6779" t="s">
        <v>44</v>
      </c>
      <c r="B6779" t="s">
        <v>3</v>
      </c>
      <c r="C6779" t="s">
        <v>32</v>
      </c>
      <c r="D6779" t="s">
        <v>953</v>
      </c>
      <c r="E6779" t="s">
        <v>954</v>
      </c>
      <c r="F6779" t="s">
        <v>35</v>
      </c>
      <c r="G6779" t="s">
        <v>35</v>
      </c>
      <c r="H6779" t="s">
        <v>35</v>
      </c>
      <c r="J6779" t="s">
        <v>6842</v>
      </c>
      <c r="K6779" t="s">
        <v>1092</v>
      </c>
      <c r="M6779">
        <v>0.4</v>
      </c>
      <c r="N6779">
        <v>39</v>
      </c>
      <c r="O6779" t="s">
        <v>52</v>
      </c>
      <c r="Q6779" t="s">
        <v>816</v>
      </c>
      <c r="R6779" t="s">
        <v>6720</v>
      </c>
      <c r="S6779" t="s">
        <v>961</v>
      </c>
    </row>
    <row r="6780" spans="1:19" x14ac:dyDescent="0.25">
      <c r="A6780" t="s">
        <v>44</v>
      </c>
      <c r="B6780" t="s">
        <v>3</v>
      </c>
      <c r="C6780" t="s">
        <v>32</v>
      </c>
      <c r="D6780" t="s">
        <v>953</v>
      </c>
      <c r="E6780" t="s">
        <v>954</v>
      </c>
      <c r="F6780" t="s">
        <v>35</v>
      </c>
      <c r="G6780" t="s">
        <v>35</v>
      </c>
      <c r="H6780" t="s">
        <v>35</v>
      </c>
      <c r="J6780" t="s">
        <v>6842</v>
      </c>
      <c r="K6780" t="s">
        <v>1092</v>
      </c>
      <c r="M6780">
        <v>0.25</v>
      </c>
      <c r="N6780">
        <v>30</v>
      </c>
      <c r="O6780" t="s">
        <v>46</v>
      </c>
      <c r="Q6780" t="s">
        <v>793</v>
      </c>
      <c r="R6780" t="s">
        <v>6720</v>
      </c>
      <c r="S6780" t="s">
        <v>961</v>
      </c>
    </row>
    <row r="6781" spans="1:19" x14ac:dyDescent="0.25">
      <c r="A6781" t="s">
        <v>59</v>
      </c>
      <c r="B6781" t="s">
        <v>60</v>
      </c>
      <c r="C6781" t="s">
        <v>32</v>
      </c>
      <c r="D6781" t="s">
        <v>953</v>
      </c>
      <c r="E6781" t="s">
        <v>954</v>
      </c>
      <c r="F6781" t="s">
        <v>35</v>
      </c>
      <c r="G6781" t="s">
        <v>35</v>
      </c>
      <c r="H6781" t="s">
        <v>35</v>
      </c>
      <c r="J6781" t="s">
        <v>6842</v>
      </c>
      <c r="K6781" t="s">
        <v>1092</v>
      </c>
      <c r="M6781">
        <v>0.2</v>
      </c>
      <c r="N6781">
        <v>56</v>
      </c>
      <c r="O6781" t="s">
        <v>52</v>
      </c>
      <c r="Q6781" t="s">
        <v>453</v>
      </c>
      <c r="R6781" t="s">
        <v>6720</v>
      </c>
      <c r="S6781" t="s">
        <v>961</v>
      </c>
    </row>
    <row r="6782" spans="1:19" x14ac:dyDescent="0.25">
      <c r="A6782" t="s">
        <v>59</v>
      </c>
      <c r="B6782" t="s">
        <v>60</v>
      </c>
      <c r="C6782" t="s">
        <v>32</v>
      </c>
      <c r="D6782" t="s">
        <v>953</v>
      </c>
      <c r="E6782" t="s">
        <v>954</v>
      </c>
      <c r="F6782" t="s">
        <v>35</v>
      </c>
      <c r="G6782" t="s">
        <v>35</v>
      </c>
      <c r="H6782" t="s">
        <v>35</v>
      </c>
      <c r="J6782" t="s">
        <v>6842</v>
      </c>
      <c r="K6782" t="s">
        <v>1092</v>
      </c>
      <c r="M6782">
        <v>0.05</v>
      </c>
      <c r="N6782">
        <v>60</v>
      </c>
      <c r="O6782" t="s">
        <v>52</v>
      </c>
      <c r="Q6782" t="s">
        <v>1734</v>
      </c>
      <c r="R6782" t="s">
        <v>6720</v>
      </c>
      <c r="S6782" t="s">
        <v>961</v>
      </c>
    </row>
    <row r="6783" spans="1:19" x14ac:dyDescent="0.25">
      <c r="A6783" t="s">
        <v>59</v>
      </c>
      <c r="B6783" t="s">
        <v>60</v>
      </c>
      <c r="C6783" t="s">
        <v>32</v>
      </c>
      <c r="D6783" t="s">
        <v>953</v>
      </c>
      <c r="E6783" t="s">
        <v>954</v>
      </c>
      <c r="F6783" t="s">
        <v>35</v>
      </c>
      <c r="G6783" t="s">
        <v>35</v>
      </c>
      <c r="H6783" t="s">
        <v>35</v>
      </c>
      <c r="J6783" t="s">
        <v>6842</v>
      </c>
      <c r="K6783" t="s">
        <v>1092</v>
      </c>
      <c r="M6783">
        <v>0.2</v>
      </c>
      <c r="N6783">
        <v>61</v>
      </c>
      <c r="O6783" t="s">
        <v>61</v>
      </c>
      <c r="Q6783" t="s">
        <v>671</v>
      </c>
      <c r="R6783" t="s">
        <v>6720</v>
      </c>
      <c r="S6783" t="s">
        <v>961</v>
      </c>
    </row>
    <row r="6784" spans="1:19" x14ac:dyDescent="0.25">
      <c r="A6784" t="s">
        <v>44</v>
      </c>
      <c r="B6784" t="s">
        <v>3</v>
      </c>
      <c r="C6784" t="s">
        <v>32</v>
      </c>
      <c r="D6784" t="s">
        <v>953</v>
      </c>
      <c r="E6784" t="s">
        <v>954</v>
      </c>
      <c r="F6784" t="s">
        <v>35</v>
      </c>
      <c r="G6784" t="s">
        <v>35</v>
      </c>
      <c r="H6784" t="s">
        <v>35</v>
      </c>
      <c r="J6784" t="s">
        <v>6842</v>
      </c>
      <c r="K6784" t="s">
        <v>1092</v>
      </c>
      <c r="M6784">
        <v>0.6</v>
      </c>
      <c r="N6784">
        <v>44</v>
      </c>
      <c r="O6784" t="s">
        <v>52</v>
      </c>
      <c r="Q6784" t="s">
        <v>192</v>
      </c>
      <c r="R6784" t="s">
        <v>6720</v>
      </c>
      <c r="S6784" t="s">
        <v>961</v>
      </c>
    </row>
    <row r="6785" spans="1:19" x14ac:dyDescent="0.25">
      <c r="A6785" t="s">
        <v>59</v>
      </c>
      <c r="B6785" t="s">
        <v>60</v>
      </c>
      <c r="C6785" t="s">
        <v>32</v>
      </c>
      <c r="D6785" t="s">
        <v>953</v>
      </c>
      <c r="E6785" t="s">
        <v>954</v>
      </c>
      <c r="F6785" t="s">
        <v>35</v>
      </c>
      <c r="G6785" t="s">
        <v>35</v>
      </c>
      <c r="H6785" t="s">
        <v>35</v>
      </c>
      <c r="J6785" t="s">
        <v>6842</v>
      </c>
      <c r="K6785" t="s">
        <v>1092</v>
      </c>
      <c r="M6785">
        <v>0.1</v>
      </c>
      <c r="N6785">
        <v>37</v>
      </c>
      <c r="O6785" t="s">
        <v>52</v>
      </c>
      <c r="Q6785" t="s">
        <v>3499</v>
      </c>
      <c r="R6785" t="s">
        <v>6720</v>
      </c>
      <c r="S6785" t="s">
        <v>961</v>
      </c>
    </row>
    <row r="6786" spans="1:19" x14ac:dyDescent="0.25">
      <c r="A6786" t="s">
        <v>59</v>
      </c>
      <c r="B6786" t="s">
        <v>60</v>
      </c>
      <c r="C6786" t="s">
        <v>32</v>
      </c>
      <c r="D6786" t="s">
        <v>953</v>
      </c>
      <c r="E6786" t="s">
        <v>954</v>
      </c>
      <c r="F6786" t="s">
        <v>35</v>
      </c>
      <c r="G6786" t="s">
        <v>35</v>
      </c>
      <c r="H6786" t="s">
        <v>35</v>
      </c>
      <c r="J6786" t="s">
        <v>6842</v>
      </c>
      <c r="K6786" t="s">
        <v>1092</v>
      </c>
      <c r="M6786">
        <v>0.2</v>
      </c>
      <c r="N6786">
        <v>39</v>
      </c>
      <c r="O6786" t="s">
        <v>52</v>
      </c>
      <c r="Q6786" t="s">
        <v>816</v>
      </c>
      <c r="R6786" t="s">
        <v>6720</v>
      </c>
      <c r="S6786" t="s">
        <v>961</v>
      </c>
    </row>
    <row r="6787" spans="1:19" x14ac:dyDescent="0.25">
      <c r="A6787" t="s">
        <v>59</v>
      </c>
      <c r="B6787" t="s">
        <v>60</v>
      </c>
      <c r="C6787" t="s">
        <v>32</v>
      </c>
      <c r="D6787" t="s">
        <v>953</v>
      </c>
      <c r="E6787" t="s">
        <v>954</v>
      </c>
      <c r="F6787" t="s">
        <v>35</v>
      </c>
      <c r="G6787" t="s">
        <v>35</v>
      </c>
      <c r="H6787" t="s">
        <v>35</v>
      </c>
      <c r="J6787" t="s">
        <v>6842</v>
      </c>
      <c r="K6787" t="s">
        <v>1092</v>
      </c>
      <c r="M6787">
        <v>0.2</v>
      </c>
      <c r="N6787">
        <v>44</v>
      </c>
      <c r="O6787" t="s">
        <v>52</v>
      </c>
      <c r="Q6787" t="s">
        <v>192</v>
      </c>
      <c r="R6787" t="s">
        <v>6720</v>
      </c>
      <c r="S6787" t="s">
        <v>961</v>
      </c>
    </row>
    <row r="6788" spans="1:19" x14ac:dyDescent="0.25">
      <c r="A6788" t="s">
        <v>44</v>
      </c>
      <c r="B6788" t="s">
        <v>51</v>
      </c>
      <c r="C6788" t="s">
        <v>32</v>
      </c>
      <c r="D6788" t="s">
        <v>953</v>
      </c>
      <c r="E6788" t="s">
        <v>954</v>
      </c>
      <c r="F6788" t="s">
        <v>35</v>
      </c>
      <c r="G6788" t="s">
        <v>35</v>
      </c>
      <c r="H6788" t="s">
        <v>35</v>
      </c>
      <c r="J6788" t="s">
        <v>590</v>
      </c>
      <c r="K6788" t="s">
        <v>1092</v>
      </c>
      <c r="M6788">
        <v>0.2</v>
      </c>
      <c r="N6788">
        <v>175</v>
      </c>
      <c r="O6788" t="s">
        <v>38</v>
      </c>
      <c r="Q6788" t="s">
        <v>1692</v>
      </c>
      <c r="R6788" t="s">
        <v>6711</v>
      </c>
      <c r="S6788" t="s">
        <v>6712</v>
      </c>
    </row>
    <row r="6789" spans="1:19" x14ac:dyDescent="0.25">
      <c r="A6789" t="s">
        <v>59</v>
      </c>
      <c r="B6789" t="s">
        <v>60</v>
      </c>
      <c r="C6789" t="s">
        <v>32</v>
      </c>
      <c r="D6789" t="s">
        <v>953</v>
      </c>
      <c r="E6789" t="s">
        <v>954</v>
      </c>
      <c r="F6789" t="s">
        <v>35</v>
      </c>
      <c r="G6789" t="s">
        <v>35</v>
      </c>
      <c r="H6789" t="s">
        <v>35</v>
      </c>
      <c r="J6789" t="s">
        <v>590</v>
      </c>
      <c r="K6789" t="s">
        <v>1092</v>
      </c>
      <c r="M6789">
        <v>0.1</v>
      </c>
      <c r="N6789">
        <v>327</v>
      </c>
      <c r="O6789" t="s">
        <v>5</v>
      </c>
      <c r="Q6789" t="s">
        <v>6843</v>
      </c>
      <c r="R6789" t="s">
        <v>6711</v>
      </c>
      <c r="S6789" t="s">
        <v>6712</v>
      </c>
    </row>
    <row r="6790" spans="1:19" x14ac:dyDescent="0.25">
      <c r="A6790" t="s">
        <v>59</v>
      </c>
      <c r="B6790" t="s">
        <v>60</v>
      </c>
      <c r="C6790" t="s">
        <v>32</v>
      </c>
      <c r="D6790" t="s">
        <v>953</v>
      </c>
      <c r="E6790" t="s">
        <v>954</v>
      </c>
      <c r="F6790" t="s">
        <v>35</v>
      </c>
      <c r="G6790" t="s">
        <v>35</v>
      </c>
      <c r="H6790" t="s">
        <v>35</v>
      </c>
      <c r="J6790" t="s">
        <v>6844</v>
      </c>
      <c r="K6790" t="s">
        <v>1092</v>
      </c>
      <c r="M6790">
        <v>0.04</v>
      </c>
      <c r="N6790">
        <v>552</v>
      </c>
      <c r="O6790" t="s">
        <v>575</v>
      </c>
      <c r="Q6790" t="s">
        <v>2152</v>
      </c>
      <c r="R6790" t="s">
        <v>6711</v>
      </c>
      <c r="S6790" t="s">
        <v>6712</v>
      </c>
    </row>
    <row r="6791" spans="1:19" x14ac:dyDescent="0.25">
      <c r="A6791" t="s">
        <v>44</v>
      </c>
      <c r="B6791" t="s">
        <v>51</v>
      </c>
      <c r="C6791" t="s">
        <v>32</v>
      </c>
      <c r="D6791" t="s">
        <v>953</v>
      </c>
      <c r="E6791" t="s">
        <v>954</v>
      </c>
      <c r="F6791" t="s">
        <v>35</v>
      </c>
      <c r="G6791" t="s">
        <v>35</v>
      </c>
      <c r="H6791" t="s">
        <v>35</v>
      </c>
      <c r="J6791" t="s">
        <v>6845</v>
      </c>
      <c r="K6791" t="s">
        <v>1092</v>
      </c>
      <c r="M6791">
        <v>0.25</v>
      </c>
      <c r="N6791">
        <v>182</v>
      </c>
      <c r="O6791" t="s">
        <v>5</v>
      </c>
      <c r="Q6791" t="s">
        <v>1764</v>
      </c>
      <c r="R6791" t="s">
        <v>6720</v>
      </c>
      <c r="S6791" t="s">
        <v>961</v>
      </c>
    </row>
    <row r="6792" spans="1:19" x14ac:dyDescent="0.25">
      <c r="A6792" t="s">
        <v>44</v>
      </c>
      <c r="B6792" t="s">
        <v>51</v>
      </c>
      <c r="C6792" t="s">
        <v>32</v>
      </c>
      <c r="D6792" t="s">
        <v>953</v>
      </c>
      <c r="E6792" t="s">
        <v>954</v>
      </c>
      <c r="F6792" t="s">
        <v>35</v>
      </c>
      <c r="G6792" t="s">
        <v>35</v>
      </c>
      <c r="H6792" t="s">
        <v>35</v>
      </c>
      <c r="J6792" t="s">
        <v>6845</v>
      </c>
      <c r="K6792" t="s">
        <v>1092</v>
      </c>
      <c r="M6792">
        <v>0.1</v>
      </c>
      <c r="N6792">
        <v>228</v>
      </c>
      <c r="O6792" t="s">
        <v>5</v>
      </c>
      <c r="Q6792" t="s">
        <v>1979</v>
      </c>
      <c r="R6792" t="s">
        <v>6720</v>
      </c>
      <c r="S6792" t="s">
        <v>961</v>
      </c>
    </row>
    <row r="6793" spans="1:19" x14ac:dyDescent="0.25">
      <c r="A6793" t="s">
        <v>30</v>
      </c>
      <c r="B6793" t="s">
        <v>31</v>
      </c>
      <c r="C6793" t="s">
        <v>32</v>
      </c>
      <c r="D6793" t="s">
        <v>953</v>
      </c>
      <c r="E6793" t="s">
        <v>954</v>
      </c>
      <c r="F6793" t="s">
        <v>35</v>
      </c>
      <c r="G6793" t="s">
        <v>35</v>
      </c>
      <c r="H6793" t="s">
        <v>35</v>
      </c>
      <c r="J6793" t="s">
        <v>6845</v>
      </c>
      <c r="K6793" t="s">
        <v>1092</v>
      </c>
      <c r="M6793">
        <v>0.45</v>
      </c>
      <c r="N6793">
        <v>19</v>
      </c>
      <c r="O6793" t="s">
        <v>46</v>
      </c>
      <c r="Q6793" t="s">
        <v>1192</v>
      </c>
      <c r="R6793" t="s">
        <v>6720</v>
      </c>
      <c r="S6793" t="s">
        <v>961</v>
      </c>
    </row>
    <row r="6794" spans="1:19" x14ac:dyDescent="0.25">
      <c r="A6794" t="s">
        <v>59</v>
      </c>
      <c r="B6794" t="s">
        <v>31</v>
      </c>
      <c r="C6794" t="s">
        <v>32</v>
      </c>
      <c r="D6794" t="s">
        <v>953</v>
      </c>
      <c r="E6794" t="s">
        <v>954</v>
      </c>
      <c r="F6794" t="s">
        <v>35</v>
      </c>
      <c r="G6794" t="s">
        <v>35</v>
      </c>
      <c r="H6794" t="s">
        <v>35</v>
      </c>
      <c r="J6794" t="s">
        <v>6845</v>
      </c>
      <c r="K6794" t="s">
        <v>1092</v>
      </c>
      <c r="M6794">
        <v>0.13500000000000001</v>
      </c>
      <c r="N6794">
        <v>30</v>
      </c>
      <c r="O6794" t="s">
        <v>46</v>
      </c>
      <c r="Q6794" t="s">
        <v>793</v>
      </c>
      <c r="R6794" t="s">
        <v>6720</v>
      </c>
      <c r="S6794" t="s">
        <v>961</v>
      </c>
    </row>
    <row r="6795" spans="1:19" x14ac:dyDescent="0.25">
      <c r="A6795" t="s">
        <v>44</v>
      </c>
      <c r="B6795" t="s">
        <v>3</v>
      </c>
      <c r="C6795" t="s">
        <v>32</v>
      </c>
      <c r="D6795" t="s">
        <v>953</v>
      </c>
      <c r="E6795" t="s">
        <v>954</v>
      </c>
      <c r="F6795" t="s">
        <v>35</v>
      </c>
      <c r="G6795" t="s">
        <v>35</v>
      </c>
      <c r="H6795" t="s">
        <v>35</v>
      </c>
      <c r="J6795" t="s">
        <v>6845</v>
      </c>
      <c r="K6795" t="s">
        <v>1092</v>
      </c>
      <c r="M6795">
        <v>0.15</v>
      </c>
      <c r="N6795">
        <v>2</v>
      </c>
      <c r="O6795" t="s">
        <v>46</v>
      </c>
      <c r="Q6795" t="s">
        <v>8155</v>
      </c>
      <c r="R6795" t="s">
        <v>6720</v>
      </c>
      <c r="S6795" t="s">
        <v>961</v>
      </c>
    </row>
    <row r="6796" spans="1:19" x14ac:dyDescent="0.25">
      <c r="A6796" t="s">
        <v>59</v>
      </c>
      <c r="B6796" t="s">
        <v>60</v>
      </c>
      <c r="C6796" t="s">
        <v>32</v>
      </c>
      <c r="D6796" t="s">
        <v>953</v>
      </c>
      <c r="E6796" t="s">
        <v>954</v>
      </c>
      <c r="F6796" t="s">
        <v>35</v>
      </c>
      <c r="G6796" t="s">
        <v>35</v>
      </c>
      <c r="H6796" t="s">
        <v>35</v>
      </c>
      <c r="J6796" t="s">
        <v>6845</v>
      </c>
      <c r="K6796" t="s">
        <v>1092</v>
      </c>
      <c r="M6796">
        <v>0.35</v>
      </c>
      <c r="N6796">
        <v>90</v>
      </c>
      <c r="O6796" t="s">
        <v>61</v>
      </c>
      <c r="Q6796" t="s">
        <v>897</v>
      </c>
      <c r="R6796" t="s">
        <v>6720</v>
      </c>
      <c r="S6796" t="s">
        <v>961</v>
      </c>
    </row>
    <row r="6797" spans="1:19" x14ac:dyDescent="0.25">
      <c r="A6797" t="s">
        <v>59</v>
      </c>
      <c r="B6797" t="s">
        <v>60</v>
      </c>
      <c r="C6797" t="s">
        <v>32</v>
      </c>
      <c r="D6797" t="s">
        <v>953</v>
      </c>
      <c r="E6797" t="s">
        <v>954</v>
      </c>
      <c r="F6797" t="s">
        <v>35</v>
      </c>
      <c r="G6797" t="s">
        <v>35</v>
      </c>
      <c r="H6797" t="s">
        <v>35</v>
      </c>
      <c r="J6797" t="s">
        <v>6846</v>
      </c>
      <c r="K6797" t="s">
        <v>1092</v>
      </c>
      <c r="M6797">
        <v>1.2949999999999999</v>
      </c>
      <c r="N6797">
        <v>163</v>
      </c>
      <c r="O6797" t="s">
        <v>38</v>
      </c>
      <c r="Q6797" t="s">
        <v>1632</v>
      </c>
      <c r="R6797" t="s">
        <v>6847</v>
      </c>
      <c r="S6797" t="s">
        <v>1034</v>
      </c>
    </row>
    <row r="6798" spans="1:19" x14ac:dyDescent="0.25">
      <c r="A6798" t="s">
        <v>30</v>
      </c>
      <c r="B6798" t="s">
        <v>31</v>
      </c>
      <c r="C6798" t="s">
        <v>32</v>
      </c>
      <c r="D6798" t="s">
        <v>953</v>
      </c>
      <c r="E6798" t="s">
        <v>954</v>
      </c>
      <c r="F6798" t="s">
        <v>35</v>
      </c>
      <c r="G6798" t="s">
        <v>35</v>
      </c>
      <c r="H6798" t="s">
        <v>35</v>
      </c>
      <c r="J6798" t="s">
        <v>6846</v>
      </c>
      <c r="K6798" t="s">
        <v>1092</v>
      </c>
      <c r="M6798">
        <v>5.04</v>
      </c>
      <c r="N6798">
        <v>139</v>
      </c>
      <c r="O6798" t="s">
        <v>38</v>
      </c>
      <c r="Q6798" t="s">
        <v>1696</v>
      </c>
      <c r="R6798" t="s">
        <v>133</v>
      </c>
      <c r="S6798" t="s">
        <v>134</v>
      </c>
    </row>
    <row r="6799" spans="1:19" x14ac:dyDescent="0.25">
      <c r="A6799" t="s">
        <v>30</v>
      </c>
      <c r="B6799" t="s">
        <v>31</v>
      </c>
      <c r="C6799" t="s">
        <v>32</v>
      </c>
      <c r="D6799" t="s">
        <v>953</v>
      </c>
      <c r="E6799" t="s">
        <v>954</v>
      </c>
      <c r="F6799" t="s">
        <v>35</v>
      </c>
      <c r="G6799" t="s">
        <v>35</v>
      </c>
      <c r="H6799" t="s">
        <v>35</v>
      </c>
      <c r="J6799" t="s">
        <v>6846</v>
      </c>
      <c r="K6799" t="s">
        <v>1092</v>
      </c>
      <c r="M6799">
        <v>49.95</v>
      </c>
      <c r="N6799">
        <v>20</v>
      </c>
      <c r="O6799" t="s">
        <v>46</v>
      </c>
      <c r="Q6799" t="s">
        <v>1004</v>
      </c>
      <c r="R6799" t="s">
        <v>6847</v>
      </c>
      <c r="S6799" t="s">
        <v>1034</v>
      </c>
    </row>
    <row r="6800" spans="1:19" x14ac:dyDescent="0.25">
      <c r="A6800" t="s">
        <v>59</v>
      </c>
      <c r="B6800" t="s">
        <v>31</v>
      </c>
      <c r="C6800" t="s">
        <v>32</v>
      </c>
      <c r="D6800" t="s">
        <v>953</v>
      </c>
      <c r="E6800" t="s">
        <v>954</v>
      </c>
      <c r="F6800" t="s">
        <v>35</v>
      </c>
      <c r="G6800" t="s">
        <v>35</v>
      </c>
      <c r="H6800" t="s">
        <v>35</v>
      </c>
      <c r="J6800" t="s">
        <v>6848</v>
      </c>
      <c r="K6800" t="s">
        <v>1092</v>
      </c>
      <c r="M6800">
        <v>4.4999999999999998E-2</v>
      </c>
      <c r="N6800">
        <v>168</v>
      </c>
      <c r="O6800" t="s">
        <v>38</v>
      </c>
      <c r="Q6800" t="s">
        <v>2431</v>
      </c>
      <c r="R6800" t="s">
        <v>6716</v>
      </c>
      <c r="S6800" t="s">
        <v>6717</v>
      </c>
    </row>
    <row r="6801" spans="1:19" x14ac:dyDescent="0.25">
      <c r="A6801" t="s">
        <v>59</v>
      </c>
      <c r="B6801" t="s">
        <v>60</v>
      </c>
      <c r="C6801" t="s">
        <v>32</v>
      </c>
      <c r="D6801" t="s">
        <v>953</v>
      </c>
      <c r="E6801" t="s">
        <v>954</v>
      </c>
      <c r="F6801" t="s">
        <v>35</v>
      </c>
      <c r="G6801" t="s">
        <v>35</v>
      </c>
      <c r="H6801" t="s">
        <v>35</v>
      </c>
      <c r="J6801" t="s">
        <v>6848</v>
      </c>
      <c r="K6801" t="s">
        <v>1092</v>
      </c>
      <c r="M6801">
        <v>1.048</v>
      </c>
      <c r="N6801">
        <v>88</v>
      </c>
      <c r="O6801" t="s">
        <v>61</v>
      </c>
      <c r="Q6801" t="s">
        <v>858</v>
      </c>
      <c r="R6801" t="s">
        <v>6716</v>
      </c>
      <c r="S6801" t="s">
        <v>6717</v>
      </c>
    </row>
    <row r="6802" spans="1:19" x14ac:dyDescent="0.25">
      <c r="A6802" t="s">
        <v>59</v>
      </c>
      <c r="B6802" t="s">
        <v>31</v>
      </c>
      <c r="C6802" t="s">
        <v>32</v>
      </c>
      <c r="D6802" t="s">
        <v>953</v>
      </c>
      <c r="E6802" t="s">
        <v>954</v>
      </c>
      <c r="F6802" t="s">
        <v>35</v>
      </c>
      <c r="G6802" t="s">
        <v>35</v>
      </c>
      <c r="H6802" t="s">
        <v>35</v>
      </c>
      <c r="J6802" t="s">
        <v>6849</v>
      </c>
      <c r="K6802" t="s">
        <v>1092</v>
      </c>
      <c r="M6802">
        <v>10.574999999999999</v>
      </c>
      <c r="N6802">
        <v>45</v>
      </c>
      <c r="O6802" t="s">
        <v>52</v>
      </c>
      <c r="Q6802" t="s">
        <v>716</v>
      </c>
      <c r="R6802" t="s">
        <v>6709</v>
      </c>
      <c r="S6802" t="s">
        <v>1022</v>
      </c>
    </row>
    <row r="6803" spans="1:19" x14ac:dyDescent="0.25">
      <c r="A6803" t="s">
        <v>44</v>
      </c>
      <c r="B6803" t="s">
        <v>3</v>
      </c>
      <c r="C6803" t="s">
        <v>32</v>
      </c>
      <c r="D6803" t="s">
        <v>953</v>
      </c>
      <c r="E6803" t="s">
        <v>954</v>
      </c>
      <c r="F6803" t="s">
        <v>35</v>
      </c>
      <c r="G6803" t="s">
        <v>35</v>
      </c>
      <c r="H6803" t="s">
        <v>35</v>
      </c>
      <c r="J6803" t="s">
        <v>6850</v>
      </c>
      <c r="K6803" t="s">
        <v>1092</v>
      </c>
      <c r="M6803">
        <v>0.5</v>
      </c>
      <c r="N6803">
        <v>17</v>
      </c>
      <c r="O6803" t="s">
        <v>46</v>
      </c>
      <c r="Q6803" t="s">
        <v>1302</v>
      </c>
      <c r="R6803" t="s">
        <v>6762</v>
      </c>
      <c r="S6803" t="s">
        <v>992</v>
      </c>
    </row>
    <row r="6804" spans="1:19" x14ac:dyDescent="0.25">
      <c r="A6804" t="s">
        <v>59</v>
      </c>
      <c r="B6804" t="s">
        <v>31</v>
      </c>
      <c r="C6804" t="s">
        <v>32</v>
      </c>
      <c r="D6804" t="s">
        <v>953</v>
      </c>
      <c r="E6804" t="s">
        <v>954</v>
      </c>
      <c r="F6804" t="s">
        <v>35</v>
      </c>
      <c r="G6804" t="s">
        <v>35</v>
      </c>
      <c r="H6804" t="s">
        <v>35</v>
      </c>
      <c r="J6804" t="s">
        <v>6850</v>
      </c>
      <c r="K6804" t="s">
        <v>1092</v>
      </c>
      <c r="M6804">
        <v>0.57999999999999996</v>
      </c>
      <c r="N6804">
        <v>280</v>
      </c>
      <c r="O6804" t="s">
        <v>5</v>
      </c>
      <c r="Q6804" t="s">
        <v>4595</v>
      </c>
      <c r="R6804" t="s">
        <v>6762</v>
      </c>
      <c r="S6804" t="s">
        <v>992</v>
      </c>
    </row>
    <row r="6805" spans="1:19" x14ac:dyDescent="0.25">
      <c r="A6805" t="s">
        <v>44</v>
      </c>
      <c r="B6805" t="s">
        <v>51</v>
      </c>
      <c r="C6805" t="s">
        <v>32</v>
      </c>
      <c r="D6805" t="s">
        <v>953</v>
      </c>
      <c r="E6805" t="s">
        <v>954</v>
      </c>
      <c r="F6805" t="s">
        <v>35</v>
      </c>
      <c r="G6805" t="s">
        <v>35</v>
      </c>
      <c r="H6805" t="s">
        <v>35</v>
      </c>
      <c r="J6805" t="s">
        <v>6850</v>
      </c>
      <c r="K6805" t="s">
        <v>1092</v>
      </c>
      <c r="M6805">
        <v>0.5</v>
      </c>
      <c r="N6805">
        <v>17</v>
      </c>
      <c r="O6805" t="s">
        <v>46</v>
      </c>
      <c r="Q6805" t="s">
        <v>1302</v>
      </c>
      <c r="R6805" t="s">
        <v>6762</v>
      </c>
      <c r="S6805" t="s">
        <v>992</v>
      </c>
    </row>
    <row r="6806" spans="1:19" x14ac:dyDescent="0.25">
      <c r="A6806" t="s">
        <v>59</v>
      </c>
      <c r="B6806" t="s">
        <v>31</v>
      </c>
      <c r="C6806" t="s">
        <v>32</v>
      </c>
      <c r="D6806" t="s">
        <v>953</v>
      </c>
      <c r="E6806" t="s">
        <v>954</v>
      </c>
      <c r="F6806" t="s">
        <v>35</v>
      </c>
      <c r="G6806" t="s">
        <v>35</v>
      </c>
      <c r="H6806" t="s">
        <v>35</v>
      </c>
      <c r="J6806" t="s">
        <v>6850</v>
      </c>
      <c r="K6806" t="s">
        <v>1092</v>
      </c>
      <c r="M6806">
        <v>0.9</v>
      </c>
      <c r="N6806">
        <v>17</v>
      </c>
      <c r="O6806" t="s">
        <v>46</v>
      </c>
      <c r="Q6806" t="s">
        <v>1302</v>
      </c>
      <c r="R6806" t="s">
        <v>6762</v>
      </c>
      <c r="S6806" t="s">
        <v>992</v>
      </c>
    </row>
    <row r="6807" spans="1:19" x14ac:dyDescent="0.25">
      <c r="A6807" t="s">
        <v>59</v>
      </c>
      <c r="B6807" t="s">
        <v>60</v>
      </c>
      <c r="C6807" t="s">
        <v>32</v>
      </c>
      <c r="D6807" t="s">
        <v>953</v>
      </c>
      <c r="E6807" t="s">
        <v>954</v>
      </c>
      <c r="F6807" t="s">
        <v>35</v>
      </c>
      <c r="G6807" t="s">
        <v>35</v>
      </c>
      <c r="H6807" t="s">
        <v>35</v>
      </c>
      <c r="J6807" t="s">
        <v>6850</v>
      </c>
      <c r="K6807" t="s">
        <v>1092</v>
      </c>
      <c r="M6807">
        <v>0.7</v>
      </c>
      <c r="N6807">
        <v>242</v>
      </c>
      <c r="O6807" t="s">
        <v>5</v>
      </c>
      <c r="Q6807" t="s">
        <v>2904</v>
      </c>
      <c r="R6807" t="s">
        <v>6707</v>
      </c>
      <c r="S6807" t="s">
        <v>955</v>
      </c>
    </row>
    <row r="6808" spans="1:19" x14ac:dyDescent="0.25">
      <c r="A6808" t="s">
        <v>59</v>
      </c>
      <c r="B6808" t="s">
        <v>60</v>
      </c>
      <c r="C6808" t="s">
        <v>32</v>
      </c>
      <c r="D6808" t="s">
        <v>953</v>
      </c>
      <c r="E6808" t="s">
        <v>954</v>
      </c>
      <c r="F6808" t="s">
        <v>35</v>
      </c>
      <c r="G6808" t="s">
        <v>35</v>
      </c>
      <c r="H6808" t="s">
        <v>35</v>
      </c>
      <c r="J6808" t="s">
        <v>6851</v>
      </c>
      <c r="K6808" t="s">
        <v>1092</v>
      </c>
      <c r="M6808">
        <v>2</v>
      </c>
      <c r="N6808">
        <v>62</v>
      </c>
      <c r="O6808" t="s">
        <v>61</v>
      </c>
      <c r="Q6808" t="s">
        <v>90</v>
      </c>
      <c r="R6808" t="s">
        <v>987</v>
      </c>
      <c r="S6808" t="s">
        <v>988</v>
      </c>
    </row>
    <row r="6809" spans="1:19" x14ac:dyDescent="0.25">
      <c r="A6809" t="s">
        <v>30</v>
      </c>
      <c r="B6809" t="s">
        <v>31</v>
      </c>
      <c r="C6809" t="s">
        <v>32</v>
      </c>
      <c r="D6809" t="s">
        <v>953</v>
      </c>
      <c r="E6809" t="s">
        <v>954</v>
      </c>
      <c r="F6809" t="s">
        <v>35</v>
      </c>
      <c r="G6809" t="s">
        <v>35</v>
      </c>
      <c r="H6809" t="s">
        <v>35</v>
      </c>
      <c r="J6809" t="s">
        <v>6852</v>
      </c>
      <c r="K6809" t="s">
        <v>1092</v>
      </c>
      <c r="M6809">
        <v>1.575</v>
      </c>
      <c r="N6809">
        <v>43</v>
      </c>
      <c r="O6809" t="s">
        <v>52</v>
      </c>
      <c r="Q6809" t="s">
        <v>892</v>
      </c>
      <c r="R6809" t="s">
        <v>6721</v>
      </c>
      <c r="S6809" t="s">
        <v>1078</v>
      </c>
    </row>
    <row r="6810" spans="1:19" x14ac:dyDescent="0.25">
      <c r="A6810" t="s">
        <v>59</v>
      </c>
      <c r="B6810" t="s">
        <v>60</v>
      </c>
      <c r="C6810" t="s">
        <v>32</v>
      </c>
      <c r="D6810" t="s">
        <v>953</v>
      </c>
      <c r="E6810" t="s">
        <v>954</v>
      </c>
      <c r="F6810" t="s">
        <v>35</v>
      </c>
      <c r="G6810" t="s">
        <v>35</v>
      </c>
      <c r="H6810" t="s">
        <v>35</v>
      </c>
      <c r="J6810" t="s">
        <v>6852</v>
      </c>
      <c r="K6810" t="s">
        <v>1092</v>
      </c>
      <c r="M6810">
        <v>2.5499999999999998</v>
      </c>
      <c r="N6810">
        <v>145</v>
      </c>
      <c r="O6810" t="s">
        <v>38</v>
      </c>
      <c r="Q6810" t="s">
        <v>1149</v>
      </c>
      <c r="R6810" t="s">
        <v>6721</v>
      </c>
      <c r="S6810" t="s">
        <v>1078</v>
      </c>
    </row>
    <row r="6811" spans="1:19" x14ac:dyDescent="0.25">
      <c r="A6811" t="s">
        <v>44</v>
      </c>
      <c r="B6811" t="s">
        <v>3</v>
      </c>
      <c r="C6811" t="s">
        <v>32</v>
      </c>
      <c r="D6811" t="s">
        <v>953</v>
      </c>
      <c r="E6811" t="s">
        <v>954</v>
      </c>
      <c r="F6811" t="s">
        <v>35</v>
      </c>
      <c r="G6811" t="s">
        <v>35</v>
      </c>
      <c r="H6811" t="s">
        <v>35</v>
      </c>
      <c r="J6811" t="s">
        <v>6852</v>
      </c>
      <c r="K6811" t="s">
        <v>1092</v>
      </c>
      <c r="M6811">
        <v>1.4</v>
      </c>
      <c r="N6811">
        <v>469</v>
      </c>
      <c r="O6811" t="s">
        <v>294</v>
      </c>
      <c r="Q6811" t="s">
        <v>3662</v>
      </c>
      <c r="R6811" t="s">
        <v>6721</v>
      </c>
      <c r="S6811" t="s">
        <v>1078</v>
      </c>
    </row>
    <row r="6812" spans="1:19" x14ac:dyDescent="0.25">
      <c r="A6812" t="s">
        <v>59</v>
      </c>
      <c r="B6812" t="s">
        <v>60</v>
      </c>
      <c r="C6812" t="s">
        <v>32</v>
      </c>
      <c r="D6812" t="s">
        <v>953</v>
      </c>
      <c r="E6812" t="s">
        <v>954</v>
      </c>
      <c r="F6812" t="s">
        <v>35</v>
      </c>
      <c r="G6812" t="s">
        <v>35</v>
      </c>
      <c r="H6812" t="s">
        <v>35</v>
      </c>
      <c r="J6812" t="s">
        <v>6853</v>
      </c>
      <c r="K6812" t="s">
        <v>1092</v>
      </c>
      <c r="M6812">
        <v>0.25</v>
      </c>
      <c r="N6812">
        <v>36</v>
      </c>
      <c r="O6812" t="s">
        <v>52</v>
      </c>
      <c r="Q6812" t="s">
        <v>2005</v>
      </c>
      <c r="R6812" t="s">
        <v>6721</v>
      </c>
      <c r="S6812" t="s">
        <v>1078</v>
      </c>
    </row>
    <row r="6813" spans="1:19" x14ac:dyDescent="0.25">
      <c r="A6813" t="s">
        <v>30</v>
      </c>
      <c r="B6813" t="s">
        <v>31</v>
      </c>
      <c r="C6813" t="s">
        <v>32</v>
      </c>
      <c r="D6813" t="s">
        <v>953</v>
      </c>
      <c r="E6813" t="s">
        <v>954</v>
      </c>
      <c r="F6813" t="s">
        <v>35</v>
      </c>
      <c r="G6813" t="s">
        <v>35</v>
      </c>
      <c r="H6813" t="s">
        <v>35</v>
      </c>
      <c r="J6813" t="s">
        <v>6853</v>
      </c>
      <c r="K6813" t="s">
        <v>1092</v>
      </c>
      <c r="M6813">
        <v>0.40500000000000003</v>
      </c>
      <c r="N6813">
        <v>16</v>
      </c>
      <c r="O6813" t="s">
        <v>46</v>
      </c>
      <c r="Q6813" t="s">
        <v>323</v>
      </c>
      <c r="R6813" t="s">
        <v>6720</v>
      </c>
      <c r="S6813" t="s">
        <v>961</v>
      </c>
    </row>
    <row r="6814" spans="1:19" x14ac:dyDescent="0.25">
      <c r="A6814" t="s">
        <v>59</v>
      </c>
      <c r="B6814" t="s">
        <v>60</v>
      </c>
      <c r="C6814" t="s">
        <v>32</v>
      </c>
      <c r="D6814" t="s">
        <v>953</v>
      </c>
      <c r="E6814" t="s">
        <v>954</v>
      </c>
      <c r="F6814" t="s">
        <v>35</v>
      </c>
      <c r="G6814" t="s">
        <v>35</v>
      </c>
      <c r="H6814" t="s">
        <v>35</v>
      </c>
      <c r="J6814" t="s">
        <v>6853</v>
      </c>
      <c r="K6814" t="s">
        <v>1092</v>
      </c>
      <c r="M6814">
        <v>0.01</v>
      </c>
      <c r="N6814">
        <v>43</v>
      </c>
      <c r="O6814" t="s">
        <v>52</v>
      </c>
      <c r="Q6814" t="s">
        <v>892</v>
      </c>
      <c r="R6814" t="s">
        <v>6721</v>
      </c>
      <c r="S6814" t="s">
        <v>1078</v>
      </c>
    </row>
    <row r="6815" spans="1:19" x14ac:dyDescent="0.25">
      <c r="A6815" t="s">
        <v>44</v>
      </c>
      <c r="B6815" t="s">
        <v>3</v>
      </c>
      <c r="C6815" t="s">
        <v>32</v>
      </c>
      <c r="D6815" t="s">
        <v>953</v>
      </c>
      <c r="E6815" t="s">
        <v>954</v>
      </c>
      <c r="F6815" t="s">
        <v>35</v>
      </c>
      <c r="G6815" t="s">
        <v>35</v>
      </c>
      <c r="H6815" t="s">
        <v>35</v>
      </c>
      <c r="J6815" t="s">
        <v>6853</v>
      </c>
      <c r="K6815" t="s">
        <v>1092</v>
      </c>
      <c r="M6815">
        <v>0.15</v>
      </c>
      <c r="N6815">
        <v>23</v>
      </c>
      <c r="O6815" t="s">
        <v>46</v>
      </c>
      <c r="Q6815" t="s">
        <v>1819</v>
      </c>
      <c r="R6815" t="s">
        <v>6721</v>
      </c>
      <c r="S6815" t="s">
        <v>1078</v>
      </c>
    </row>
    <row r="6816" spans="1:19" x14ac:dyDescent="0.25">
      <c r="A6816" t="s">
        <v>59</v>
      </c>
      <c r="B6816" t="s">
        <v>31</v>
      </c>
      <c r="C6816" t="s">
        <v>32</v>
      </c>
      <c r="D6816" t="s">
        <v>953</v>
      </c>
      <c r="E6816" t="s">
        <v>954</v>
      </c>
      <c r="F6816" t="s">
        <v>35</v>
      </c>
      <c r="G6816" t="s">
        <v>35</v>
      </c>
      <c r="H6816" t="s">
        <v>35</v>
      </c>
      <c r="J6816" t="s">
        <v>6853</v>
      </c>
      <c r="K6816" t="s">
        <v>1092</v>
      </c>
      <c r="M6816">
        <v>0.495</v>
      </c>
      <c r="N6816">
        <v>57</v>
      </c>
      <c r="O6816" t="s">
        <v>52</v>
      </c>
      <c r="Q6816" t="s">
        <v>665</v>
      </c>
      <c r="R6816" t="s">
        <v>6721</v>
      </c>
      <c r="S6816" t="s">
        <v>1078</v>
      </c>
    </row>
    <row r="6817" spans="1:19" x14ac:dyDescent="0.25">
      <c r="A6817" t="s">
        <v>59</v>
      </c>
      <c r="B6817" t="s">
        <v>31</v>
      </c>
      <c r="C6817" t="s">
        <v>32</v>
      </c>
      <c r="D6817" t="s">
        <v>953</v>
      </c>
      <c r="E6817" t="s">
        <v>954</v>
      </c>
      <c r="F6817" t="s">
        <v>35</v>
      </c>
      <c r="G6817" t="s">
        <v>35</v>
      </c>
      <c r="H6817" t="s">
        <v>35</v>
      </c>
      <c r="J6817" t="s">
        <v>6854</v>
      </c>
      <c r="K6817" t="s">
        <v>1092</v>
      </c>
      <c r="M6817">
        <v>1.8</v>
      </c>
      <c r="N6817">
        <v>56</v>
      </c>
      <c r="O6817" t="s">
        <v>52</v>
      </c>
      <c r="Q6817" t="s">
        <v>453</v>
      </c>
      <c r="R6817" t="s">
        <v>6707</v>
      </c>
      <c r="S6817" t="s">
        <v>955</v>
      </c>
    </row>
    <row r="6818" spans="1:19" x14ac:dyDescent="0.25">
      <c r="A6818" t="s">
        <v>59</v>
      </c>
      <c r="B6818" t="s">
        <v>31</v>
      </c>
      <c r="C6818" t="s">
        <v>32</v>
      </c>
      <c r="D6818" t="s">
        <v>953</v>
      </c>
      <c r="E6818" t="s">
        <v>954</v>
      </c>
      <c r="F6818" t="s">
        <v>35</v>
      </c>
      <c r="G6818" t="s">
        <v>35</v>
      </c>
      <c r="H6818" t="s">
        <v>35</v>
      </c>
      <c r="J6818" t="s">
        <v>6854</v>
      </c>
      <c r="K6818" t="s">
        <v>1092</v>
      </c>
      <c r="M6818">
        <v>0.18</v>
      </c>
      <c r="N6818">
        <v>57</v>
      </c>
      <c r="O6818" t="s">
        <v>52</v>
      </c>
      <c r="Q6818" t="s">
        <v>665</v>
      </c>
      <c r="R6818" t="s">
        <v>6707</v>
      </c>
      <c r="S6818" t="s">
        <v>955</v>
      </c>
    </row>
    <row r="6819" spans="1:19" x14ac:dyDescent="0.25">
      <c r="A6819" t="s">
        <v>30</v>
      </c>
      <c r="B6819" t="s">
        <v>31</v>
      </c>
      <c r="C6819" t="s">
        <v>32</v>
      </c>
      <c r="D6819" t="s">
        <v>953</v>
      </c>
      <c r="E6819" t="s">
        <v>954</v>
      </c>
      <c r="F6819" t="s">
        <v>35</v>
      </c>
      <c r="G6819" t="s">
        <v>35</v>
      </c>
      <c r="H6819" t="s">
        <v>35</v>
      </c>
      <c r="J6819" t="s">
        <v>6855</v>
      </c>
      <c r="K6819" t="s">
        <v>1092</v>
      </c>
      <c r="M6819">
        <v>0.45</v>
      </c>
      <c r="N6819">
        <v>2</v>
      </c>
      <c r="O6819" t="s">
        <v>46</v>
      </c>
      <c r="Q6819" t="s">
        <v>8155</v>
      </c>
      <c r="R6819" t="s">
        <v>6720</v>
      </c>
      <c r="S6819" t="s">
        <v>961</v>
      </c>
    </row>
    <row r="6820" spans="1:19" x14ac:dyDescent="0.25">
      <c r="A6820" t="s">
        <v>30</v>
      </c>
      <c r="B6820" t="s">
        <v>31</v>
      </c>
      <c r="C6820" t="s">
        <v>32</v>
      </c>
      <c r="D6820" t="s">
        <v>953</v>
      </c>
      <c r="E6820" t="s">
        <v>954</v>
      </c>
      <c r="F6820" t="s">
        <v>35</v>
      </c>
      <c r="G6820" t="s">
        <v>35</v>
      </c>
      <c r="H6820" t="s">
        <v>35</v>
      </c>
      <c r="J6820" t="s">
        <v>6855</v>
      </c>
      <c r="K6820" t="s">
        <v>1092</v>
      </c>
      <c r="M6820">
        <v>0.45</v>
      </c>
      <c r="N6820">
        <v>6</v>
      </c>
      <c r="O6820" t="s">
        <v>46</v>
      </c>
      <c r="Q6820" t="s">
        <v>8168</v>
      </c>
      <c r="R6820" t="s">
        <v>6720</v>
      </c>
      <c r="S6820" t="s">
        <v>961</v>
      </c>
    </row>
    <row r="6821" spans="1:19" x14ac:dyDescent="0.25">
      <c r="A6821" t="s">
        <v>30</v>
      </c>
      <c r="B6821" t="s">
        <v>31</v>
      </c>
      <c r="C6821" t="s">
        <v>32</v>
      </c>
      <c r="D6821" t="s">
        <v>953</v>
      </c>
      <c r="E6821" t="s">
        <v>954</v>
      </c>
      <c r="F6821" t="s">
        <v>35</v>
      </c>
      <c r="G6821" t="s">
        <v>35</v>
      </c>
      <c r="H6821" t="s">
        <v>35</v>
      </c>
      <c r="J6821" t="s">
        <v>6855</v>
      </c>
      <c r="K6821" t="s">
        <v>1092</v>
      </c>
      <c r="M6821">
        <v>0.18</v>
      </c>
      <c r="N6821">
        <v>11</v>
      </c>
      <c r="O6821" t="s">
        <v>46</v>
      </c>
      <c r="Q6821" t="s">
        <v>1053</v>
      </c>
      <c r="R6821" t="s">
        <v>6720</v>
      </c>
      <c r="S6821" t="s">
        <v>961</v>
      </c>
    </row>
    <row r="6822" spans="1:19" x14ac:dyDescent="0.25">
      <c r="A6822" t="s">
        <v>44</v>
      </c>
      <c r="B6822" t="s">
        <v>3</v>
      </c>
      <c r="C6822" t="s">
        <v>32</v>
      </c>
      <c r="D6822" t="s">
        <v>953</v>
      </c>
      <c r="E6822" t="s">
        <v>954</v>
      </c>
      <c r="F6822" t="s">
        <v>35</v>
      </c>
      <c r="G6822" t="s">
        <v>35</v>
      </c>
      <c r="H6822" t="s">
        <v>35</v>
      </c>
      <c r="J6822" t="s">
        <v>6855</v>
      </c>
      <c r="K6822" t="s">
        <v>1092</v>
      </c>
      <c r="M6822">
        <v>0.05</v>
      </c>
      <c r="N6822">
        <v>11</v>
      </c>
      <c r="O6822" t="s">
        <v>46</v>
      </c>
      <c r="Q6822" t="s">
        <v>1053</v>
      </c>
      <c r="R6822" t="s">
        <v>6720</v>
      </c>
      <c r="S6822" t="s">
        <v>961</v>
      </c>
    </row>
    <row r="6823" spans="1:19" x14ac:dyDescent="0.25">
      <c r="A6823" t="s">
        <v>44</v>
      </c>
      <c r="B6823" t="s">
        <v>51</v>
      </c>
      <c r="C6823" t="s">
        <v>32</v>
      </c>
      <c r="D6823" t="s">
        <v>953</v>
      </c>
      <c r="E6823" t="s">
        <v>954</v>
      </c>
      <c r="F6823" t="s">
        <v>35</v>
      </c>
      <c r="G6823" t="s">
        <v>35</v>
      </c>
      <c r="H6823" t="s">
        <v>35</v>
      </c>
      <c r="J6823" t="s">
        <v>6855</v>
      </c>
      <c r="K6823" t="s">
        <v>1092</v>
      </c>
      <c r="M6823">
        <v>0.1</v>
      </c>
      <c r="N6823">
        <v>6</v>
      </c>
      <c r="O6823" t="s">
        <v>46</v>
      </c>
      <c r="Q6823" t="s">
        <v>8168</v>
      </c>
      <c r="R6823" t="s">
        <v>6720</v>
      </c>
      <c r="S6823" t="s">
        <v>961</v>
      </c>
    </row>
    <row r="6824" spans="1:19" x14ac:dyDescent="0.25">
      <c r="A6824" t="s">
        <v>44</v>
      </c>
      <c r="B6824" t="s">
        <v>51</v>
      </c>
      <c r="C6824" t="s">
        <v>32</v>
      </c>
      <c r="D6824" t="s">
        <v>953</v>
      </c>
      <c r="E6824" t="s">
        <v>954</v>
      </c>
      <c r="F6824" t="s">
        <v>35</v>
      </c>
      <c r="G6824" t="s">
        <v>35</v>
      </c>
      <c r="H6824" t="s">
        <v>35</v>
      </c>
      <c r="J6824" t="s">
        <v>6855</v>
      </c>
      <c r="K6824" t="s">
        <v>1092</v>
      </c>
      <c r="M6824">
        <v>0.05</v>
      </c>
      <c r="N6824">
        <v>21</v>
      </c>
      <c r="O6824" t="s">
        <v>46</v>
      </c>
      <c r="Q6824" t="s">
        <v>1874</v>
      </c>
      <c r="R6824" t="s">
        <v>6720</v>
      </c>
      <c r="S6824" t="s">
        <v>961</v>
      </c>
    </row>
    <row r="6825" spans="1:19" x14ac:dyDescent="0.25">
      <c r="A6825" t="s">
        <v>59</v>
      </c>
      <c r="B6825" t="s">
        <v>60</v>
      </c>
      <c r="C6825" t="s">
        <v>32</v>
      </c>
      <c r="D6825" t="s">
        <v>953</v>
      </c>
      <c r="E6825" t="s">
        <v>954</v>
      </c>
      <c r="F6825" t="s">
        <v>35</v>
      </c>
      <c r="G6825" t="s">
        <v>35</v>
      </c>
      <c r="H6825" t="s">
        <v>35</v>
      </c>
      <c r="J6825" t="s">
        <v>6856</v>
      </c>
      <c r="K6825" t="s">
        <v>1092</v>
      </c>
      <c r="M6825">
        <v>1</v>
      </c>
      <c r="N6825">
        <v>66</v>
      </c>
      <c r="O6825" t="s">
        <v>61</v>
      </c>
      <c r="Q6825" t="s">
        <v>203</v>
      </c>
      <c r="R6825" t="s">
        <v>6720</v>
      </c>
      <c r="S6825" t="s">
        <v>961</v>
      </c>
    </row>
    <row r="6826" spans="1:19" x14ac:dyDescent="0.25">
      <c r="A6826" t="s">
        <v>59</v>
      </c>
      <c r="B6826" t="s">
        <v>31</v>
      </c>
      <c r="C6826" t="s">
        <v>32</v>
      </c>
      <c r="D6826" t="s">
        <v>953</v>
      </c>
      <c r="E6826" t="s">
        <v>954</v>
      </c>
      <c r="F6826" t="s">
        <v>35</v>
      </c>
      <c r="G6826" t="s">
        <v>35</v>
      </c>
      <c r="H6826" t="s">
        <v>35</v>
      </c>
      <c r="J6826" t="s">
        <v>6856</v>
      </c>
      <c r="K6826" t="s">
        <v>1092</v>
      </c>
      <c r="M6826">
        <v>1.35</v>
      </c>
      <c r="N6826">
        <v>142</v>
      </c>
      <c r="O6826" t="s">
        <v>38</v>
      </c>
      <c r="Q6826" t="s">
        <v>2067</v>
      </c>
      <c r="R6826" t="s">
        <v>6720</v>
      </c>
      <c r="S6826" t="s">
        <v>961</v>
      </c>
    </row>
    <row r="6827" spans="1:19" x14ac:dyDescent="0.25">
      <c r="A6827" t="s">
        <v>59</v>
      </c>
      <c r="B6827" t="s">
        <v>31</v>
      </c>
      <c r="C6827" t="s">
        <v>32</v>
      </c>
      <c r="D6827" t="s">
        <v>953</v>
      </c>
      <c r="E6827" t="s">
        <v>954</v>
      </c>
      <c r="F6827" t="s">
        <v>35</v>
      </c>
      <c r="G6827" t="s">
        <v>35</v>
      </c>
      <c r="H6827" t="s">
        <v>35</v>
      </c>
      <c r="J6827" t="s">
        <v>6856</v>
      </c>
      <c r="K6827" t="s">
        <v>1092</v>
      </c>
      <c r="M6827">
        <v>4.5</v>
      </c>
      <c r="N6827">
        <v>68</v>
      </c>
      <c r="O6827" t="s">
        <v>61</v>
      </c>
      <c r="Q6827" t="s">
        <v>146</v>
      </c>
      <c r="R6827" t="s">
        <v>6716</v>
      </c>
      <c r="S6827" t="s">
        <v>6717</v>
      </c>
    </row>
    <row r="6828" spans="1:19" x14ac:dyDescent="0.25">
      <c r="A6828" t="s">
        <v>59</v>
      </c>
      <c r="B6828" t="s">
        <v>60</v>
      </c>
      <c r="C6828" t="s">
        <v>32</v>
      </c>
      <c r="D6828" t="s">
        <v>953</v>
      </c>
      <c r="E6828" t="s">
        <v>954</v>
      </c>
      <c r="F6828" t="s">
        <v>35</v>
      </c>
      <c r="G6828" t="s">
        <v>35</v>
      </c>
      <c r="H6828" t="s">
        <v>35</v>
      </c>
      <c r="J6828" t="s">
        <v>6856</v>
      </c>
      <c r="K6828" t="s">
        <v>1092</v>
      </c>
      <c r="M6828">
        <v>2.1440000000000001</v>
      </c>
      <c r="N6828">
        <v>108</v>
      </c>
      <c r="O6828" t="s">
        <v>106</v>
      </c>
      <c r="Q6828" t="s">
        <v>1450</v>
      </c>
      <c r="R6828" t="s">
        <v>6746</v>
      </c>
      <c r="S6828" t="s">
        <v>6747</v>
      </c>
    </row>
    <row r="6829" spans="1:19" x14ac:dyDescent="0.25">
      <c r="A6829" t="s">
        <v>59</v>
      </c>
      <c r="B6829" t="s">
        <v>31</v>
      </c>
      <c r="C6829" t="s">
        <v>32</v>
      </c>
      <c r="D6829" t="s">
        <v>953</v>
      </c>
      <c r="E6829" t="s">
        <v>954</v>
      </c>
      <c r="F6829" t="s">
        <v>35</v>
      </c>
      <c r="G6829" t="s">
        <v>35</v>
      </c>
      <c r="H6829" t="s">
        <v>35</v>
      </c>
      <c r="J6829" t="s">
        <v>6856</v>
      </c>
      <c r="K6829" t="s">
        <v>1092</v>
      </c>
      <c r="M6829">
        <v>4.5</v>
      </c>
      <c r="N6829">
        <v>146</v>
      </c>
      <c r="O6829" t="s">
        <v>38</v>
      </c>
      <c r="Q6829" t="s">
        <v>1335</v>
      </c>
      <c r="R6829" t="s">
        <v>6709</v>
      </c>
      <c r="S6829" t="s">
        <v>1022</v>
      </c>
    </row>
    <row r="6830" spans="1:19" x14ac:dyDescent="0.25">
      <c r="A6830" t="s">
        <v>59</v>
      </c>
      <c r="B6830" t="s">
        <v>60</v>
      </c>
      <c r="C6830" t="s">
        <v>32</v>
      </c>
      <c r="D6830" t="s">
        <v>953</v>
      </c>
      <c r="E6830" t="s">
        <v>954</v>
      </c>
      <c r="F6830" t="s">
        <v>35</v>
      </c>
      <c r="G6830" t="s">
        <v>35</v>
      </c>
      <c r="H6830" t="s">
        <v>35</v>
      </c>
      <c r="J6830" t="s">
        <v>6856</v>
      </c>
      <c r="K6830" t="s">
        <v>1092</v>
      </c>
      <c r="M6830">
        <v>5</v>
      </c>
      <c r="N6830">
        <v>60</v>
      </c>
      <c r="O6830" t="s">
        <v>52</v>
      </c>
      <c r="Q6830" t="s">
        <v>1734</v>
      </c>
      <c r="R6830" t="s">
        <v>6720</v>
      </c>
      <c r="S6830" t="s">
        <v>961</v>
      </c>
    </row>
    <row r="6831" spans="1:19" x14ac:dyDescent="0.25">
      <c r="A6831" t="s">
        <v>59</v>
      </c>
      <c r="B6831" t="s">
        <v>31</v>
      </c>
      <c r="C6831" t="s">
        <v>32</v>
      </c>
      <c r="D6831" t="s">
        <v>953</v>
      </c>
      <c r="E6831" t="s">
        <v>954</v>
      </c>
      <c r="F6831" t="s">
        <v>35</v>
      </c>
      <c r="G6831" t="s">
        <v>35</v>
      </c>
      <c r="H6831" t="s">
        <v>35</v>
      </c>
      <c r="J6831" t="s">
        <v>6856</v>
      </c>
      <c r="K6831" t="s">
        <v>1092</v>
      </c>
      <c r="M6831">
        <v>4.9950000000000001</v>
      </c>
      <c r="N6831">
        <v>60</v>
      </c>
      <c r="O6831" t="s">
        <v>52</v>
      </c>
      <c r="Q6831" t="s">
        <v>1734</v>
      </c>
      <c r="R6831" t="s">
        <v>6720</v>
      </c>
      <c r="S6831" t="s">
        <v>961</v>
      </c>
    </row>
    <row r="6832" spans="1:19" x14ac:dyDescent="0.25">
      <c r="A6832" t="s">
        <v>30</v>
      </c>
      <c r="B6832" t="s">
        <v>31</v>
      </c>
      <c r="C6832" t="s">
        <v>32</v>
      </c>
      <c r="D6832" t="s">
        <v>953</v>
      </c>
      <c r="E6832" t="s">
        <v>954</v>
      </c>
      <c r="F6832" t="s">
        <v>35</v>
      </c>
      <c r="G6832" t="s">
        <v>35</v>
      </c>
      <c r="H6832" t="s">
        <v>35</v>
      </c>
      <c r="J6832" t="s">
        <v>6856</v>
      </c>
      <c r="K6832" t="s">
        <v>1092</v>
      </c>
      <c r="M6832">
        <v>2.2949999999999999</v>
      </c>
      <c r="N6832">
        <v>37</v>
      </c>
      <c r="O6832" t="s">
        <v>52</v>
      </c>
      <c r="Q6832" t="s">
        <v>3499</v>
      </c>
      <c r="R6832" t="s">
        <v>6720</v>
      </c>
      <c r="S6832" t="s">
        <v>961</v>
      </c>
    </row>
    <row r="6833" spans="1:19" x14ac:dyDescent="0.25">
      <c r="A6833" t="s">
        <v>30</v>
      </c>
      <c r="B6833" t="s">
        <v>31</v>
      </c>
      <c r="C6833" t="s">
        <v>32</v>
      </c>
      <c r="D6833" t="s">
        <v>953</v>
      </c>
      <c r="E6833" t="s">
        <v>954</v>
      </c>
      <c r="F6833" t="s">
        <v>35</v>
      </c>
      <c r="G6833" t="s">
        <v>35</v>
      </c>
      <c r="H6833" t="s">
        <v>35</v>
      </c>
      <c r="J6833" t="s">
        <v>6857</v>
      </c>
      <c r="K6833" t="s">
        <v>1092</v>
      </c>
      <c r="M6833">
        <v>6.39</v>
      </c>
      <c r="N6833">
        <v>22</v>
      </c>
      <c r="O6833" t="s">
        <v>46</v>
      </c>
      <c r="Q6833" t="s">
        <v>979</v>
      </c>
      <c r="R6833" t="s">
        <v>6716</v>
      </c>
      <c r="S6833" t="s">
        <v>6717</v>
      </c>
    </row>
    <row r="6834" spans="1:19" x14ac:dyDescent="0.25">
      <c r="A6834" t="s">
        <v>44</v>
      </c>
      <c r="B6834" t="s">
        <v>51</v>
      </c>
      <c r="C6834" t="s">
        <v>32</v>
      </c>
      <c r="D6834" t="s">
        <v>953</v>
      </c>
      <c r="E6834" t="s">
        <v>954</v>
      </c>
      <c r="F6834" t="s">
        <v>35</v>
      </c>
      <c r="G6834" t="s">
        <v>35</v>
      </c>
      <c r="H6834" t="s">
        <v>35</v>
      </c>
      <c r="J6834" t="s">
        <v>6858</v>
      </c>
      <c r="K6834" t="s">
        <v>1092</v>
      </c>
      <c r="M6834">
        <v>0.05</v>
      </c>
      <c r="N6834">
        <v>11</v>
      </c>
      <c r="O6834" t="s">
        <v>46</v>
      </c>
      <c r="Q6834" t="s">
        <v>1053</v>
      </c>
      <c r="R6834" t="s">
        <v>6720</v>
      </c>
      <c r="S6834" t="s">
        <v>961</v>
      </c>
    </row>
    <row r="6835" spans="1:19" x14ac:dyDescent="0.25">
      <c r="A6835" t="s">
        <v>59</v>
      </c>
      <c r="B6835" t="s">
        <v>60</v>
      </c>
      <c r="C6835" t="s">
        <v>32</v>
      </c>
      <c r="D6835" t="s">
        <v>953</v>
      </c>
      <c r="E6835" t="s">
        <v>954</v>
      </c>
      <c r="F6835" t="s">
        <v>35</v>
      </c>
      <c r="G6835" t="s">
        <v>35</v>
      </c>
      <c r="H6835" t="s">
        <v>35</v>
      </c>
      <c r="J6835" t="s">
        <v>6858</v>
      </c>
      <c r="K6835" t="s">
        <v>1092</v>
      </c>
      <c r="M6835">
        <v>0.15</v>
      </c>
      <c r="N6835">
        <v>44</v>
      </c>
      <c r="O6835" t="s">
        <v>52</v>
      </c>
      <c r="Q6835" t="s">
        <v>192</v>
      </c>
      <c r="R6835" t="s">
        <v>6720</v>
      </c>
      <c r="S6835" t="s">
        <v>961</v>
      </c>
    </row>
    <row r="6836" spans="1:19" x14ac:dyDescent="0.25">
      <c r="A6836" t="s">
        <v>30</v>
      </c>
      <c r="B6836" t="s">
        <v>31</v>
      </c>
      <c r="C6836" t="s">
        <v>32</v>
      </c>
      <c r="D6836" t="s">
        <v>953</v>
      </c>
      <c r="E6836" t="s">
        <v>954</v>
      </c>
      <c r="F6836" t="s">
        <v>35</v>
      </c>
      <c r="G6836" t="s">
        <v>35</v>
      </c>
      <c r="H6836" t="s">
        <v>35</v>
      </c>
      <c r="J6836" t="s">
        <v>6858</v>
      </c>
      <c r="K6836" t="s">
        <v>1092</v>
      </c>
      <c r="M6836">
        <v>0.67500000000000004</v>
      </c>
      <c r="N6836">
        <v>44</v>
      </c>
      <c r="O6836" t="s">
        <v>52</v>
      </c>
      <c r="Q6836" t="s">
        <v>192</v>
      </c>
      <c r="R6836" t="s">
        <v>6720</v>
      </c>
      <c r="S6836" t="s">
        <v>961</v>
      </c>
    </row>
    <row r="6837" spans="1:19" x14ac:dyDescent="0.25">
      <c r="A6837" t="s">
        <v>30</v>
      </c>
      <c r="B6837" t="s">
        <v>31</v>
      </c>
      <c r="C6837" t="s">
        <v>32</v>
      </c>
      <c r="D6837" t="s">
        <v>953</v>
      </c>
      <c r="E6837" t="s">
        <v>954</v>
      </c>
      <c r="F6837" t="s">
        <v>35</v>
      </c>
      <c r="G6837" t="s">
        <v>35</v>
      </c>
      <c r="H6837" t="s">
        <v>35</v>
      </c>
      <c r="J6837" t="s">
        <v>6859</v>
      </c>
      <c r="K6837" t="s">
        <v>1092</v>
      </c>
      <c r="M6837">
        <v>0.45</v>
      </c>
      <c r="N6837">
        <v>37</v>
      </c>
      <c r="O6837" t="s">
        <v>52</v>
      </c>
      <c r="Q6837" t="s">
        <v>3499</v>
      </c>
      <c r="R6837" t="s">
        <v>6720</v>
      </c>
      <c r="S6837" t="s">
        <v>961</v>
      </c>
    </row>
    <row r="6838" spans="1:19" x14ac:dyDescent="0.25">
      <c r="A6838" t="s">
        <v>44</v>
      </c>
      <c r="B6838" t="s">
        <v>3</v>
      </c>
      <c r="C6838" t="s">
        <v>32</v>
      </c>
      <c r="D6838" t="s">
        <v>953</v>
      </c>
      <c r="E6838" t="s">
        <v>954</v>
      </c>
      <c r="F6838" t="s">
        <v>35</v>
      </c>
      <c r="G6838" t="s">
        <v>35</v>
      </c>
      <c r="H6838" t="s">
        <v>35</v>
      </c>
      <c r="J6838" t="s">
        <v>6859</v>
      </c>
      <c r="K6838" t="s">
        <v>1092</v>
      </c>
      <c r="M6838">
        <v>0.25</v>
      </c>
      <c r="N6838">
        <v>29</v>
      </c>
      <c r="O6838" t="s">
        <v>46</v>
      </c>
      <c r="Q6838" t="s">
        <v>1645</v>
      </c>
      <c r="R6838" t="s">
        <v>6720</v>
      </c>
      <c r="S6838" t="s">
        <v>961</v>
      </c>
    </row>
    <row r="6839" spans="1:19" x14ac:dyDescent="0.25">
      <c r="A6839" t="s">
        <v>30</v>
      </c>
      <c r="B6839" t="s">
        <v>31</v>
      </c>
      <c r="C6839" t="s">
        <v>32</v>
      </c>
      <c r="D6839" t="s">
        <v>953</v>
      </c>
      <c r="E6839" t="s">
        <v>954</v>
      </c>
      <c r="F6839" t="s">
        <v>35</v>
      </c>
      <c r="G6839" t="s">
        <v>35</v>
      </c>
      <c r="H6839" t="s">
        <v>35</v>
      </c>
      <c r="J6839" t="s">
        <v>6859</v>
      </c>
      <c r="K6839" t="s">
        <v>1092</v>
      </c>
      <c r="M6839">
        <v>0.9</v>
      </c>
      <c r="N6839">
        <v>44</v>
      </c>
      <c r="O6839" t="s">
        <v>52</v>
      </c>
      <c r="Q6839" t="s">
        <v>192</v>
      </c>
      <c r="R6839" t="s">
        <v>6720</v>
      </c>
      <c r="S6839" t="s">
        <v>961</v>
      </c>
    </row>
    <row r="6840" spans="1:19" x14ac:dyDescent="0.25">
      <c r="A6840" t="s">
        <v>30</v>
      </c>
      <c r="B6840" t="s">
        <v>31</v>
      </c>
      <c r="C6840" t="s">
        <v>32</v>
      </c>
      <c r="D6840" t="s">
        <v>953</v>
      </c>
      <c r="E6840" t="s">
        <v>954</v>
      </c>
      <c r="F6840" t="s">
        <v>35</v>
      </c>
      <c r="G6840" t="s">
        <v>35</v>
      </c>
      <c r="H6840" t="s">
        <v>35</v>
      </c>
      <c r="J6840" t="s">
        <v>6859</v>
      </c>
      <c r="K6840" t="s">
        <v>1092</v>
      </c>
      <c r="M6840">
        <v>0.45</v>
      </c>
      <c r="N6840">
        <v>30</v>
      </c>
      <c r="O6840" t="s">
        <v>46</v>
      </c>
      <c r="Q6840" t="s">
        <v>793</v>
      </c>
      <c r="R6840" t="s">
        <v>6720</v>
      </c>
      <c r="S6840" t="s">
        <v>961</v>
      </c>
    </row>
    <row r="6841" spans="1:19" x14ac:dyDescent="0.25">
      <c r="A6841" t="s">
        <v>59</v>
      </c>
      <c r="B6841" t="s">
        <v>60</v>
      </c>
      <c r="C6841" t="s">
        <v>32</v>
      </c>
      <c r="D6841" t="s">
        <v>953</v>
      </c>
      <c r="E6841" t="s">
        <v>954</v>
      </c>
      <c r="F6841" t="s">
        <v>35</v>
      </c>
      <c r="G6841" t="s">
        <v>35</v>
      </c>
      <c r="H6841" t="s">
        <v>35</v>
      </c>
      <c r="J6841" t="s">
        <v>6859</v>
      </c>
      <c r="K6841" t="s">
        <v>1092</v>
      </c>
      <c r="M6841">
        <v>0.25</v>
      </c>
      <c r="N6841">
        <v>52</v>
      </c>
      <c r="O6841" t="s">
        <v>52</v>
      </c>
      <c r="Q6841" t="s">
        <v>1230</v>
      </c>
      <c r="R6841" t="s">
        <v>6720</v>
      </c>
      <c r="S6841" t="s">
        <v>961</v>
      </c>
    </row>
    <row r="6842" spans="1:19" x14ac:dyDescent="0.25">
      <c r="A6842" t="s">
        <v>44</v>
      </c>
      <c r="B6842" t="s">
        <v>3</v>
      </c>
      <c r="C6842" t="s">
        <v>32</v>
      </c>
      <c r="D6842" t="s">
        <v>953</v>
      </c>
      <c r="E6842" t="s">
        <v>954</v>
      </c>
      <c r="F6842" t="s">
        <v>35</v>
      </c>
      <c r="G6842" t="s">
        <v>35</v>
      </c>
      <c r="H6842" t="s">
        <v>35</v>
      </c>
      <c r="J6842" t="s">
        <v>6859</v>
      </c>
      <c r="K6842" t="s">
        <v>1092</v>
      </c>
      <c r="M6842">
        <v>0.25</v>
      </c>
      <c r="N6842">
        <v>37</v>
      </c>
      <c r="O6842" t="s">
        <v>52</v>
      </c>
      <c r="Q6842" t="s">
        <v>3499</v>
      </c>
      <c r="R6842" t="s">
        <v>6720</v>
      </c>
      <c r="S6842" t="s">
        <v>961</v>
      </c>
    </row>
    <row r="6843" spans="1:19" x14ac:dyDescent="0.25">
      <c r="A6843" t="s">
        <v>44</v>
      </c>
      <c r="B6843" t="s">
        <v>3</v>
      </c>
      <c r="C6843" t="s">
        <v>32</v>
      </c>
      <c r="D6843" t="s">
        <v>953</v>
      </c>
      <c r="E6843" t="s">
        <v>954</v>
      </c>
      <c r="F6843" t="s">
        <v>35</v>
      </c>
      <c r="G6843" t="s">
        <v>35</v>
      </c>
      <c r="H6843" t="s">
        <v>35</v>
      </c>
      <c r="J6843" t="s">
        <v>6859</v>
      </c>
      <c r="K6843" t="s">
        <v>1092</v>
      </c>
      <c r="M6843">
        <v>0.1</v>
      </c>
      <c r="N6843">
        <v>44</v>
      </c>
      <c r="O6843" t="s">
        <v>52</v>
      </c>
      <c r="Q6843" t="s">
        <v>192</v>
      </c>
      <c r="R6843" t="s">
        <v>6720</v>
      </c>
      <c r="S6843" t="s">
        <v>961</v>
      </c>
    </row>
    <row r="6844" spans="1:19" x14ac:dyDescent="0.25">
      <c r="A6844" t="s">
        <v>44</v>
      </c>
      <c r="B6844" t="s">
        <v>3</v>
      </c>
      <c r="C6844" t="s">
        <v>32</v>
      </c>
      <c r="D6844" t="s">
        <v>953</v>
      </c>
      <c r="E6844" t="s">
        <v>954</v>
      </c>
      <c r="F6844" t="s">
        <v>35</v>
      </c>
      <c r="G6844" t="s">
        <v>35</v>
      </c>
      <c r="H6844" t="s">
        <v>35</v>
      </c>
      <c r="J6844" t="s">
        <v>6859</v>
      </c>
      <c r="K6844" t="s">
        <v>1092</v>
      </c>
      <c r="M6844">
        <v>0.2</v>
      </c>
      <c r="N6844">
        <v>46</v>
      </c>
      <c r="O6844" t="s">
        <v>52</v>
      </c>
      <c r="Q6844" t="s">
        <v>493</v>
      </c>
      <c r="R6844" t="s">
        <v>6720</v>
      </c>
      <c r="S6844" t="s">
        <v>961</v>
      </c>
    </row>
    <row r="6845" spans="1:19" x14ac:dyDescent="0.25">
      <c r="A6845" t="s">
        <v>59</v>
      </c>
      <c r="B6845" t="s">
        <v>60</v>
      </c>
      <c r="C6845" t="s">
        <v>32</v>
      </c>
      <c r="D6845" t="s">
        <v>953</v>
      </c>
      <c r="E6845" t="s">
        <v>954</v>
      </c>
      <c r="F6845" t="s">
        <v>35</v>
      </c>
      <c r="G6845" t="s">
        <v>35</v>
      </c>
      <c r="H6845" t="s">
        <v>35</v>
      </c>
      <c r="J6845" t="s">
        <v>6859</v>
      </c>
      <c r="K6845" t="s">
        <v>1092</v>
      </c>
      <c r="M6845">
        <v>0.25</v>
      </c>
      <c r="N6845">
        <v>37</v>
      </c>
      <c r="O6845" t="s">
        <v>52</v>
      </c>
      <c r="Q6845" t="s">
        <v>3499</v>
      </c>
      <c r="R6845" t="s">
        <v>6720</v>
      </c>
      <c r="S6845" t="s">
        <v>961</v>
      </c>
    </row>
    <row r="6846" spans="1:19" x14ac:dyDescent="0.25">
      <c r="A6846" t="s">
        <v>59</v>
      </c>
      <c r="B6846" t="s">
        <v>60</v>
      </c>
      <c r="C6846" t="s">
        <v>32</v>
      </c>
      <c r="D6846" t="s">
        <v>953</v>
      </c>
      <c r="E6846" t="s">
        <v>954</v>
      </c>
      <c r="F6846" t="s">
        <v>35</v>
      </c>
      <c r="G6846" t="s">
        <v>35</v>
      </c>
      <c r="H6846" t="s">
        <v>35</v>
      </c>
      <c r="J6846" t="s">
        <v>6859</v>
      </c>
      <c r="K6846" t="s">
        <v>1092</v>
      </c>
      <c r="M6846">
        <v>0.25</v>
      </c>
      <c r="N6846">
        <v>46</v>
      </c>
      <c r="O6846" t="s">
        <v>52</v>
      </c>
      <c r="Q6846" t="s">
        <v>493</v>
      </c>
      <c r="R6846" t="s">
        <v>6720</v>
      </c>
      <c r="S6846" t="s">
        <v>961</v>
      </c>
    </row>
    <row r="6847" spans="1:19" x14ac:dyDescent="0.25">
      <c r="A6847" t="s">
        <v>30</v>
      </c>
      <c r="B6847" t="s">
        <v>31</v>
      </c>
      <c r="C6847" t="s">
        <v>32</v>
      </c>
      <c r="D6847" t="s">
        <v>953</v>
      </c>
      <c r="E6847" t="s">
        <v>954</v>
      </c>
      <c r="F6847" t="s">
        <v>35</v>
      </c>
      <c r="G6847" t="s">
        <v>35</v>
      </c>
      <c r="H6847" t="s">
        <v>35</v>
      </c>
      <c r="J6847" t="s">
        <v>6860</v>
      </c>
      <c r="K6847" t="s">
        <v>1092</v>
      </c>
      <c r="M6847">
        <v>3.87</v>
      </c>
      <c r="N6847">
        <v>20</v>
      </c>
      <c r="O6847" t="s">
        <v>46</v>
      </c>
      <c r="Q6847" t="s">
        <v>1004</v>
      </c>
      <c r="R6847" t="s">
        <v>6707</v>
      </c>
      <c r="S6847" t="s">
        <v>955</v>
      </c>
    </row>
    <row r="6848" spans="1:19" x14ac:dyDescent="0.25">
      <c r="A6848" t="s">
        <v>59</v>
      </c>
      <c r="B6848" t="s">
        <v>60</v>
      </c>
      <c r="C6848" t="s">
        <v>32</v>
      </c>
      <c r="D6848" t="s">
        <v>953</v>
      </c>
      <c r="E6848" t="s">
        <v>954</v>
      </c>
      <c r="F6848" t="s">
        <v>35</v>
      </c>
      <c r="G6848" t="s">
        <v>35</v>
      </c>
      <c r="H6848" t="s">
        <v>35</v>
      </c>
      <c r="J6848" t="s">
        <v>6860</v>
      </c>
      <c r="K6848" t="s">
        <v>1092</v>
      </c>
      <c r="M6848">
        <v>0.75</v>
      </c>
      <c r="N6848">
        <v>64</v>
      </c>
      <c r="O6848" t="s">
        <v>61</v>
      </c>
      <c r="Q6848" t="s">
        <v>381</v>
      </c>
      <c r="R6848" t="s">
        <v>6707</v>
      </c>
      <c r="S6848" t="s">
        <v>955</v>
      </c>
    </row>
    <row r="6849" spans="1:19" x14ac:dyDescent="0.25">
      <c r="A6849" t="s">
        <v>44</v>
      </c>
      <c r="B6849" t="s">
        <v>51</v>
      </c>
      <c r="C6849" t="s">
        <v>32</v>
      </c>
      <c r="D6849" t="s">
        <v>953</v>
      </c>
      <c r="E6849" t="s">
        <v>954</v>
      </c>
      <c r="F6849" t="s">
        <v>35</v>
      </c>
      <c r="G6849" t="s">
        <v>35</v>
      </c>
      <c r="H6849" t="s">
        <v>35</v>
      </c>
      <c r="J6849" t="s">
        <v>6860</v>
      </c>
      <c r="K6849" t="s">
        <v>1092</v>
      </c>
      <c r="M6849">
        <v>1.25</v>
      </c>
      <c r="N6849">
        <v>20</v>
      </c>
      <c r="O6849" t="s">
        <v>46</v>
      </c>
      <c r="Q6849" t="s">
        <v>1004</v>
      </c>
      <c r="R6849" t="s">
        <v>6707</v>
      </c>
      <c r="S6849" t="s">
        <v>955</v>
      </c>
    </row>
    <row r="6850" spans="1:19" x14ac:dyDescent="0.25">
      <c r="A6850" t="s">
        <v>44</v>
      </c>
      <c r="B6850" t="s">
        <v>51</v>
      </c>
      <c r="C6850" t="s">
        <v>32</v>
      </c>
      <c r="D6850" t="s">
        <v>953</v>
      </c>
      <c r="E6850" t="s">
        <v>954</v>
      </c>
      <c r="F6850" t="s">
        <v>35</v>
      </c>
      <c r="G6850" t="s">
        <v>35</v>
      </c>
      <c r="H6850" t="s">
        <v>35</v>
      </c>
      <c r="J6850" t="s">
        <v>6861</v>
      </c>
      <c r="K6850" t="s">
        <v>1092</v>
      </c>
      <c r="M6850">
        <v>0.5</v>
      </c>
      <c r="N6850">
        <v>302</v>
      </c>
      <c r="O6850" t="s">
        <v>5</v>
      </c>
      <c r="Q6850" t="s">
        <v>6862</v>
      </c>
      <c r="R6850" t="s">
        <v>6720</v>
      </c>
      <c r="S6850" t="s">
        <v>961</v>
      </c>
    </row>
    <row r="6851" spans="1:19" x14ac:dyDescent="0.25">
      <c r="A6851" t="s">
        <v>59</v>
      </c>
      <c r="B6851" t="s">
        <v>60</v>
      </c>
      <c r="C6851" t="s">
        <v>32</v>
      </c>
      <c r="D6851" t="s">
        <v>953</v>
      </c>
      <c r="E6851" t="s">
        <v>954</v>
      </c>
      <c r="F6851" t="s">
        <v>35</v>
      </c>
      <c r="G6851" t="s">
        <v>35</v>
      </c>
      <c r="H6851" t="s">
        <v>35</v>
      </c>
      <c r="J6851" t="s">
        <v>6861</v>
      </c>
      <c r="K6851" t="s">
        <v>1092</v>
      </c>
      <c r="M6851">
        <v>0.8</v>
      </c>
      <c r="N6851">
        <v>90</v>
      </c>
      <c r="O6851" t="s">
        <v>61</v>
      </c>
      <c r="Q6851" t="s">
        <v>897</v>
      </c>
      <c r="R6851" t="s">
        <v>6720</v>
      </c>
      <c r="S6851" t="s">
        <v>961</v>
      </c>
    </row>
    <row r="6852" spans="1:19" x14ac:dyDescent="0.25">
      <c r="A6852" t="s">
        <v>44</v>
      </c>
      <c r="B6852" t="s">
        <v>3</v>
      </c>
      <c r="C6852" t="s">
        <v>32</v>
      </c>
      <c r="D6852" t="s">
        <v>953</v>
      </c>
      <c r="E6852" t="s">
        <v>954</v>
      </c>
      <c r="F6852" t="s">
        <v>35</v>
      </c>
      <c r="G6852" t="s">
        <v>35</v>
      </c>
      <c r="H6852" t="s">
        <v>35</v>
      </c>
      <c r="J6852" t="s">
        <v>6861</v>
      </c>
      <c r="K6852" t="s">
        <v>1092</v>
      </c>
      <c r="M6852">
        <v>0.5</v>
      </c>
      <c r="N6852">
        <v>66</v>
      </c>
      <c r="O6852" t="s">
        <v>61</v>
      </c>
      <c r="Q6852" t="s">
        <v>203</v>
      </c>
      <c r="R6852" t="s">
        <v>6720</v>
      </c>
      <c r="S6852" t="s">
        <v>961</v>
      </c>
    </row>
    <row r="6853" spans="1:19" x14ac:dyDescent="0.25">
      <c r="A6853" t="s">
        <v>59</v>
      </c>
      <c r="B6853" t="s">
        <v>31</v>
      </c>
      <c r="C6853" t="s">
        <v>32</v>
      </c>
      <c r="D6853" t="s">
        <v>953</v>
      </c>
      <c r="E6853" t="s">
        <v>954</v>
      </c>
      <c r="F6853" t="s">
        <v>35</v>
      </c>
      <c r="G6853" t="s">
        <v>35</v>
      </c>
      <c r="H6853" t="s">
        <v>35</v>
      </c>
      <c r="J6853" t="s">
        <v>6861</v>
      </c>
      <c r="K6853" t="s">
        <v>1092</v>
      </c>
      <c r="M6853">
        <v>0.45</v>
      </c>
      <c r="N6853">
        <v>90</v>
      </c>
      <c r="O6853" t="s">
        <v>61</v>
      </c>
      <c r="Q6853" t="s">
        <v>897</v>
      </c>
      <c r="R6853" t="s">
        <v>6720</v>
      </c>
      <c r="S6853" t="s">
        <v>961</v>
      </c>
    </row>
    <row r="6854" spans="1:19" x14ac:dyDescent="0.25">
      <c r="A6854" t="s">
        <v>59</v>
      </c>
      <c r="B6854" t="s">
        <v>60</v>
      </c>
      <c r="C6854" t="s">
        <v>32</v>
      </c>
      <c r="D6854" t="s">
        <v>953</v>
      </c>
      <c r="E6854" t="s">
        <v>954</v>
      </c>
      <c r="F6854" t="s">
        <v>35</v>
      </c>
      <c r="G6854" t="s">
        <v>35</v>
      </c>
      <c r="H6854" t="s">
        <v>35</v>
      </c>
      <c r="J6854" t="s">
        <v>6861</v>
      </c>
      <c r="K6854" t="s">
        <v>1092</v>
      </c>
      <c r="M6854">
        <v>0.75</v>
      </c>
      <c r="N6854">
        <v>30</v>
      </c>
      <c r="O6854" t="s">
        <v>46</v>
      </c>
      <c r="Q6854" t="s">
        <v>793</v>
      </c>
      <c r="R6854" t="s">
        <v>6720</v>
      </c>
      <c r="S6854" t="s">
        <v>961</v>
      </c>
    </row>
    <row r="6855" spans="1:19" x14ac:dyDescent="0.25">
      <c r="A6855" t="s">
        <v>44</v>
      </c>
      <c r="B6855" t="s">
        <v>3</v>
      </c>
      <c r="C6855" t="s">
        <v>32</v>
      </c>
      <c r="D6855" t="s">
        <v>953</v>
      </c>
      <c r="E6855" t="s">
        <v>954</v>
      </c>
      <c r="F6855" t="s">
        <v>35</v>
      </c>
      <c r="G6855" t="s">
        <v>35</v>
      </c>
      <c r="H6855" t="s">
        <v>35</v>
      </c>
      <c r="J6855" t="s">
        <v>6861</v>
      </c>
      <c r="K6855" t="s">
        <v>1092</v>
      </c>
      <c r="M6855">
        <v>0.55000000000000004</v>
      </c>
      <c r="N6855">
        <v>30</v>
      </c>
      <c r="O6855" t="s">
        <v>46</v>
      </c>
      <c r="Q6855" t="s">
        <v>793</v>
      </c>
      <c r="R6855" t="s">
        <v>6720</v>
      </c>
      <c r="S6855" t="s">
        <v>961</v>
      </c>
    </row>
    <row r="6856" spans="1:19" x14ac:dyDescent="0.25">
      <c r="A6856" t="s">
        <v>44</v>
      </c>
      <c r="B6856" t="s">
        <v>3</v>
      </c>
      <c r="C6856" t="s">
        <v>32</v>
      </c>
      <c r="D6856" t="s">
        <v>953</v>
      </c>
      <c r="E6856" t="s">
        <v>954</v>
      </c>
      <c r="F6856" t="s">
        <v>35</v>
      </c>
      <c r="G6856" t="s">
        <v>35</v>
      </c>
      <c r="H6856" t="s">
        <v>35</v>
      </c>
      <c r="J6856" t="s">
        <v>6861</v>
      </c>
      <c r="K6856" t="s">
        <v>1092</v>
      </c>
      <c r="M6856">
        <v>0.25</v>
      </c>
      <c r="N6856">
        <v>417</v>
      </c>
      <c r="O6856" t="s">
        <v>294</v>
      </c>
      <c r="Q6856" t="s">
        <v>4858</v>
      </c>
      <c r="R6856" t="s">
        <v>6720</v>
      </c>
      <c r="S6856" t="s">
        <v>961</v>
      </c>
    </row>
    <row r="6857" spans="1:19" x14ac:dyDescent="0.25">
      <c r="A6857" t="s">
        <v>59</v>
      </c>
      <c r="B6857" t="s">
        <v>60</v>
      </c>
      <c r="C6857" t="s">
        <v>32</v>
      </c>
      <c r="D6857" t="s">
        <v>953</v>
      </c>
      <c r="E6857" t="s">
        <v>954</v>
      </c>
      <c r="F6857" t="s">
        <v>35</v>
      </c>
      <c r="G6857" t="s">
        <v>35</v>
      </c>
      <c r="H6857" t="s">
        <v>35</v>
      </c>
      <c r="J6857" t="s">
        <v>6861</v>
      </c>
      <c r="K6857" t="s">
        <v>1092</v>
      </c>
      <c r="M6857">
        <v>1.5</v>
      </c>
      <c r="N6857">
        <v>52</v>
      </c>
      <c r="O6857" t="s">
        <v>52</v>
      </c>
      <c r="Q6857" t="s">
        <v>1230</v>
      </c>
      <c r="R6857" t="s">
        <v>6720</v>
      </c>
      <c r="S6857" t="s">
        <v>961</v>
      </c>
    </row>
    <row r="6858" spans="1:19" x14ac:dyDescent="0.25">
      <c r="A6858" t="s">
        <v>59</v>
      </c>
      <c r="B6858" t="s">
        <v>60</v>
      </c>
      <c r="C6858" t="s">
        <v>32</v>
      </c>
      <c r="D6858" t="s">
        <v>953</v>
      </c>
      <c r="E6858" t="s">
        <v>954</v>
      </c>
      <c r="F6858" t="s">
        <v>35</v>
      </c>
      <c r="G6858" t="s">
        <v>35</v>
      </c>
      <c r="H6858" t="s">
        <v>35</v>
      </c>
      <c r="J6858" t="s">
        <v>6861</v>
      </c>
      <c r="K6858" t="s">
        <v>1092</v>
      </c>
      <c r="M6858">
        <v>0.25</v>
      </c>
      <c r="N6858">
        <v>58</v>
      </c>
      <c r="O6858" t="s">
        <v>52</v>
      </c>
      <c r="Q6858" t="s">
        <v>58</v>
      </c>
      <c r="R6858" t="s">
        <v>6720</v>
      </c>
      <c r="S6858" t="s">
        <v>961</v>
      </c>
    </row>
    <row r="6859" spans="1:19" x14ac:dyDescent="0.25">
      <c r="A6859" t="s">
        <v>44</v>
      </c>
      <c r="B6859" t="s">
        <v>3</v>
      </c>
      <c r="C6859" t="s">
        <v>32</v>
      </c>
      <c r="D6859" t="s">
        <v>953</v>
      </c>
      <c r="E6859" t="s">
        <v>954</v>
      </c>
      <c r="F6859" t="s">
        <v>35</v>
      </c>
      <c r="G6859" t="s">
        <v>35</v>
      </c>
      <c r="H6859" t="s">
        <v>35</v>
      </c>
      <c r="J6859" t="s">
        <v>6861</v>
      </c>
      <c r="K6859" t="s">
        <v>1092</v>
      </c>
      <c r="M6859">
        <v>1.35</v>
      </c>
      <c r="N6859">
        <v>44</v>
      </c>
      <c r="O6859" t="s">
        <v>52</v>
      </c>
      <c r="Q6859" t="s">
        <v>192</v>
      </c>
      <c r="R6859" t="s">
        <v>6720</v>
      </c>
      <c r="S6859" t="s">
        <v>961</v>
      </c>
    </row>
    <row r="6860" spans="1:19" x14ac:dyDescent="0.25">
      <c r="A6860" t="s">
        <v>44</v>
      </c>
      <c r="B6860" t="s">
        <v>3</v>
      </c>
      <c r="C6860" t="s">
        <v>32</v>
      </c>
      <c r="D6860" t="s">
        <v>953</v>
      </c>
      <c r="E6860" t="s">
        <v>954</v>
      </c>
      <c r="F6860" t="s">
        <v>35</v>
      </c>
      <c r="G6860" t="s">
        <v>35</v>
      </c>
      <c r="H6860" t="s">
        <v>35</v>
      </c>
      <c r="J6860" t="s">
        <v>6861</v>
      </c>
      <c r="K6860" t="s">
        <v>1092</v>
      </c>
      <c r="M6860">
        <v>0.5</v>
      </c>
      <c r="N6860">
        <v>58</v>
      </c>
      <c r="O6860" t="s">
        <v>52</v>
      </c>
      <c r="Q6860" t="s">
        <v>58</v>
      </c>
      <c r="R6860" t="s">
        <v>6720</v>
      </c>
      <c r="S6860" t="s">
        <v>961</v>
      </c>
    </row>
    <row r="6861" spans="1:19" x14ac:dyDescent="0.25">
      <c r="A6861" t="s">
        <v>59</v>
      </c>
      <c r="B6861" t="s">
        <v>60</v>
      </c>
      <c r="C6861" t="s">
        <v>32</v>
      </c>
      <c r="D6861" t="s">
        <v>953</v>
      </c>
      <c r="E6861" t="s">
        <v>954</v>
      </c>
      <c r="F6861" t="s">
        <v>35</v>
      </c>
      <c r="G6861" t="s">
        <v>35</v>
      </c>
      <c r="H6861" t="s">
        <v>35</v>
      </c>
      <c r="J6861" t="s">
        <v>6861</v>
      </c>
      <c r="K6861" t="s">
        <v>1092</v>
      </c>
      <c r="M6861">
        <v>1.25</v>
      </c>
      <c r="N6861">
        <v>37</v>
      </c>
      <c r="O6861" t="s">
        <v>52</v>
      </c>
      <c r="Q6861" t="s">
        <v>3499</v>
      </c>
      <c r="R6861" t="s">
        <v>6720</v>
      </c>
      <c r="S6861" t="s">
        <v>961</v>
      </c>
    </row>
    <row r="6862" spans="1:19" x14ac:dyDescent="0.25">
      <c r="A6862" t="s">
        <v>30</v>
      </c>
      <c r="B6862" t="s">
        <v>31</v>
      </c>
      <c r="C6862" t="s">
        <v>32</v>
      </c>
      <c r="D6862" t="s">
        <v>953</v>
      </c>
      <c r="E6862" t="s">
        <v>954</v>
      </c>
      <c r="F6862" t="s">
        <v>35</v>
      </c>
      <c r="G6862" t="s">
        <v>35</v>
      </c>
      <c r="H6862" t="s">
        <v>35</v>
      </c>
      <c r="J6862" t="s">
        <v>6861</v>
      </c>
      <c r="K6862" t="s">
        <v>1092</v>
      </c>
      <c r="M6862">
        <v>4.4999999999999998E-2</v>
      </c>
      <c r="N6862">
        <v>37</v>
      </c>
      <c r="O6862" t="s">
        <v>52</v>
      </c>
      <c r="Q6862" t="s">
        <v>3499</v>
      </c>
      <c r="R6862" t="s">
        <v>6720</v>
      </c>
      <c r="S6862" t="s">
        <v>961</v>
      </c>
    </row>
    <row r="6863" spans="1:19" x14ac:dyDescent="0.25">
      <c r="A6863" t="s">
        <v>44</v>
      </c>
      <c r="B6863" t="s">
        <v>51</v>
      </c>
      <c r="C6863" t="s">
        <v>32</v>
      </c>
      <c r="D6863" t="s">
        <v>953</v>
      </c>
      <c r="E6863" t="s">
        <v>954</v>
      </c>
      <c r="F6863" t="s">
        <v>35</v>
      </c>
      <c r="G6863" t="s">
        <v>35</v>
      </c>
      <c r="H6863" t="s">
        <v>35</v>
      </c>
      <c r="J6863" t="s">
        <v>6861</v>
      </c>
      <c r="K6863" t="s">
        <v>1092</v>
      </c>
      <c r="M6863">
        <v>0.05</v>
      </c>
      <c r="N6863">
        <v>470</v>
      </c>
      <c r="O6863" t="s">
        <v>294</v>
      </c>
      <c r="Q6863" t="s">
        <v>1327</v>
      </c>
      <c r="R6863" t="s">
        <v>6720</v>
      </c>
      <c r="S6863" t="s">
        <v>961</v>
      </c>
    </row>
    <row r="6864" spans="1:19" x14ac:dyDescent="0.25">
      <c r="A6864" t="s">
        <v>59</v>
      </c>
      <c r="B6864" t="s">
        <v>31</v>
      </c>
      <c r="C6864" t="s">
        <v>32</v>
      </c>
      <c r="D6864" t="s">
        <v>953</v>
      </c>
      <c r="E6864" t="s">
        <v>954</v>
      </c>
      <c r="F6864" t="s">
        <v>35</v>
      </c>
      <c r="G6864" t="s">
        <v>35</v>
      </c>
      <c r="H6864" t="s">
        <v>35</v>
      </c>
      <c r="J6864" t="s">
        <v>6861</v>
      </c>
      <c r="K6864" t="s">
        <v>1092</v>
      </c>
      <c r="M6864">
        <v>0.45</v>
      </c>
      <c r="N6864">
        <v>142</v>
      </c>
      <c r="O6864" t="s">
        <v>38</v>
      </c>
      <c r="Q6864" t="s">
        <v>2067</v>
      </c>
      <c r="R6864" t="s">
        <v>6720</v>
      </c>
      <c r="S6864" t="s">
        <v>961</v>
      </c>
    </row>
    <row r="6865" spans="1:19" x14ac:dyDescent="0.25">
      <c r="A6865" t="s">
        <v>30</v>
      </c>
      <c r="B6865" t="s">
        <v>31</v>
      </c>
      <c r="C6865" t="s">
        <v>32</v>
      </c>
      <c r="D6865" t="s">
        <v>953</v>
      </c>
      <c r="E6865" t="s">
        <v>954</v>
      </c>
      <c r="F6865" t="s">
        <v>35</v>
      </c>
      <c r="G6865" t="s">
        <v>35</v>
      </c>
      <c r="H6865" t="s">
        <v>35</v>
      </c>
      <c r="J6865" t="s">
        <v>6863</v>
      </c>
      <c r="K6865" t="s">
        <v>1092</v>
      </c>
      <c r="M6865">
        <v>1.8</v>
      </c>
      <c r="N6865">
        <v>27</v>
      </c>
      <c r="O6865" t="s">
        <v>46</v>
      </c>
      <c r="Q6865" t="s">
        <v>1011</v>
      </c>
      <c r="R6865" t="s">
        <v>6716</v>
      </c>
      <c r="S6865" t="s">
        <v>6717</v>
      </c>
    </row>
    <row r="6866" spans="1:19" x14ac:dyDescent="0.25">
      <c r="A6866" t="s">
        <v>44</v>
      </c>
      <c r="B6866" t="s">
        <v>51</v>
      </c>
      <c r="C6866" t="s">
        <v>32</v>
      </c>
      <c r="D6866" t="s">
        <v>953</v>
      </c>
      <c r="E6866" t="s">
        <v>954</v>
      </c>
      <c r="F6866" t="s">
        <v>35</v>
      </c>
      <c r="G6866" t="s">
        <v>35</v>
      </c>
      <c r="H6866" t="s">
        <v>35</v>
      </c>
      <c r="J6866" t="s">
        <v>6864</v>
      </c>
      <c r="K6866" t="s">
        <v>1092</v>
      </c>
      <c r="M6866">
        <v>0.75</v>
      </c>
      <c r="N6866">
        <v>20</v>
      </c>
      <c r="O6866" t="s">
        <v>46</v>
      </c>
      <c r="Q6866" t="s">
        <v>1004</v>
      </c>
      <c r="R6866" t="s">
        <v>6865</v>
      </c>
      <c r="S6866" t="s">
        <v>984</v>
      </c>
    </row>
    <row r="6867" spans="1:19" x14ac:dyDescent="0.25">
      <c r="A6867" t="s">
        <v>44</v>
      </c>
      <c r="B6867" t="s">
        <v>51</v>
      </c>
      <c r="C6867" t="s">
        <v>32</v>
      </c>
      <c r="D6867" t="s">
        <v>953</v>
      </c>
      <c r="E6867" t="s">
        <v>954</v>
      </c>
      <c r="F6867" t="s">
        <v>35</v>
      </c>
      <c r="G6867" t="s">
        <v>35</v>
      </c>
      <c r="H6867" t="s">
        <v>35</v>
      </c>
      <c r="J6867" t="s">
        <v>6864</v>
      </c>
      <c r="K6867" t="s">
        <v>1092</v>
      </c>
      <c r="M6867">
        <v>0.49</v>
      </c>
      <c r="N6867">
        <v>27</v>
      </c>
      <c r="O6867" t="s">
        <v>46</v>
      </c>
      <c r="Q6867" t="s">
        <v>1011</v>
      </c>
      <c r="R6867" t="s">
        <v>6865</v>
      </c>
      <c r="S6867" t="s">
        <v>984</v>
      </c>
    </row>
    <row r="6868" spans="1:19" x14ac:dyDescent="0.25">
      <c r="A6868" t="s">
        <v>59</v>
      </c>
      <c r="B6868" t="s">
        <v>60</v>
      </c>
      <c r="C6868" t="s">
        <v>32</v>
      </c>
      <c r="D6868" t="s">
        <v>953</v>
      </c>
      <c r="E6868" t="s">
        <v>954</v>
      </c>
      <c r="F6868" t="s">
        <v>35</v>
      </c>
      <c r="G6868" t="s">
        <v>35</v>
      </c>
      <c r="H6868" t="s">
        <v>35</v>
      </c>
      <c r="J6868" t="s">
        <v>6866</v>
      </c>
      <c r="K6868" t="s">
        <v>1092</v>
      </c>
      <c r="M6868">
        <v>0.25</v>
      </c>
      <c r="N6868">
        <v>36</v>
      </c>
      <c r="O6868" t="s">
        <v>52</v>
      </c>
      <c r="Q6868" t="s">
        <v>2005</v>
      </c>
      <c r="R6868" t="s">
        <v>6721</v>
      </c>
      <c r="S6868" t="s">
        <v>1078</v>
      </c>
    </row>
    <row r="6869" spans="1:19" x14ac:dyDescent="0.25">
      <c r="A6869" t="s">
        <v>59</v>
      </c>
      <c r="B6869" t="s">
        <v>60</v>
      </c>
      <c r="C6869" t="s">
        <v>32</v>
      </c>
      <c r="D6869" t="s">
        <v>953</v>
      </c>
      <c r="E6869" t="s">
        <v>954</v>
      </c>
      <c r="F6869" t="s">
        <v>35</v>
      </c>
      <c r="G6869" t="s">
        <v>35</v>
      </c>
      <c r="H6869" t="s">
        <v>35</v>
      </c>
      <c r="J6869" t="s">
        <v>6866</v>
      </c>
      <c r="K6869" t="s">
        <v>1092</v>
      </c>
      <c r="M6869">
        <v>0.5</v>
      </c>
      <c r="N6869">
        <v>57</v>
      </c>
      <c r="O6869" t="s">
        <v>52</v>
      </c>
      <c r="Q6869" t="s">
        <v>665</v>
      </c>
      <c r="R6869" t="s">
        <v>6721</v>
      </c>
      <c r="S6869" t="s">
        <v>1078</v>
      </c>
    </row>
    <row r="6870" spans="1:19" x14ac:dyDescent="0.25">
      <c r="A6870" t="s">
        <v>59</v>
      </c>
      <c r="B6870" t="s">
        <v>60</v>
      </c>
      <c r="C6870" t="s">
        <v>32</v>
      </c>
      <c r="D6870" t="s">
        <v>953</v>
      </c>
      <c r="E6870" t="s">
        <v>954</v>
      </c>
      <c r="F6870" t="s">
        <v>35</v>
      </c>
      <c r="G6870" t="s">
        <v>35</v>
      </c>
      <c r="H6870" t="s">
        <v>35</v>
      </c>
      <c r="J6870" t="s">
        <v>6866</v>
      </c>
      <c r="K6870" t="s">
        <v>1092</v>
      </c>
      <c r="M6870">
        <v>0.25</v>
      </c>
      <c r="N6870">
        <v>75</v>
      </c>
      <c r="O6870" t="s">
        <v>61</v>
      </c>
      <c r="Q6870" t="s">
        <v>805</v>
      </c>
      <c r="R6870" t="s">
        <v>6721</v>
      </c>
      <c r="S6870" t="s">
        <v>1078</v>
      </c>
    </row>
    <row r="6871" spans="1:19" x14ac:dyDescent="0.25">
      <c r="A6871" t="s">
        <v>59</v>
      </c>
      <c r="B6871" t="s">
        <v>60</v>
      </c>
      <c r="C6871" t="s">
        <v>32</v>
      </c>
      <c r="D6871" t="s">
        <v>953</v>
      </c>
      <c r="E6871" t="s">
        <v>954</v>
      </c>
      <c r="F6871" t="s">
        <v>35</v>
      </c>
      <c r="G6871" t="s">
        <v>35</v>
      </c>
      <c r="H6871" t="s">
        <v>35</v>
      </c>
      <c r="J6871" t="s">
        <v>6866</v>
      </c>
      <c r="K6871" t="s">
        <v>1092</v>
      </c>
      <c r="M6871">
        <v>7.4999999999999997E-2</v>
      </c>
      <c r="N6871">
        <v>92</v>
      </c>
      <c r="O6871" t="s">
        <v>106</v>
      </c>
      <c r="Q6871" t="s">
        <v>1100</v>
      </c>
      <c r="R6871" t="s">
        <v>6721</v>
      </c>
      <c r="S6871" t="s">
        <v>1078</v>
      </c>
    </row>
    <row r="6872" spans="1:19" x14ac:dyDescent="0.25">
      <c r="A6872" t="s">
        <v>59</v>
      </c>
      <c r="B6872" t="s">
        <v>60</v>
      </c>
      <c r="C6872" t="s">
        <v>32</v>
      </c>
      <c r="D6872" t="s">
        <v>953</v>
      </c>
      <c r="E6872" t="s">
        <v>954</v>
      </c>
      <c r="F6872" t="s">
        <v>35</v>
      </c>
      <c r="G6872" t="s">
        <v>35</v>
      </c>
      <c r="H6872" t="s">
        <v>35</v>
      </c>
      <c r="J6872" t="s">
        <v>6866</v>
      </c>
      <c r="K6872" t="s">
        <v>1092</v>
      </c>
      <c r="M6872">
        <v>0.25</v>
      </c>
      <c r="N6872">
        <v>39</v>
      </c>
      <c r="O6872" t="s">
        <v>52</v>
      </c>
      <c r="Q6872" t="s">
        <v>816</v>
      </c>
      <c r="R6872" t="s">
        <v>6720</v>
      </c>
      <c r="S6872" t="s">
        <v>961</v>
      </c>
    </row>
    <row r="6873" spans="1:19" x14ac:dyDescent="0.25">
      <c r="A6873" t="s">
        <v>44</v>
      </c>
      <c r="B6873" t="s">
        <v>3</v>
      </c>
      <c r="C6873" t="s">
        <v>32</v>
      </c>
      <c r="D6873" t="s">
        <v>953</v>
      </c>
      <c r="E6873" t="s">
        <v>954</v>
      </c>
      <c r="F6873" t="s">
        <v>35</v>
      </c>
      <c r="G6873" t="s">
        <v>35</v>
      </c>
      <c r="H6873" t="s">
        <v>35</v>
      </c>
      <c r="J6873" t="s">
        <v>6866</v>
      </c>
      <c r="K6873" t="s">
        <v>1092</v>
      </c>
      <c r="M6873">
        <v>7.0000000000000007E-2</v>
      </c>
      <c r="N6873">
        <v>43</v>
      </c>
      <c r="O6873" t="s">
        <v>52</v>
      </c>
      <c r="Q6873" t="s">
        <v>892</v>
      </c>
      <c r="R6873" t="s">
        <v>6721</v>
      </c>
      <c r="S6873" t="s">
        <v>1078</v>
      </c>
    </row>
    <row r="6874" spans="1:19" x14ac:dyDescent="0.25">
      <c r="A6874" t="s">
        <v>44</v>
      </c>
      <c r="B6874" t="s">
        <v>51</v>
      </c>
      <c r="C6874" t="s">
        <v>32</v>
      </c>
      <c r="D6874" t="s">
        <v>953</v>
      </c>
      <c r="E6874" t="s">
        <v>954</v>
      </c>
      <c r="F6874" t="s">
        <v>35</v>
      </c>
      <c r="G6874" t="s">
        <v>35</v>
      </c>
      <c r="H6874" t="s">
        <v>35</v>
      </c>
      <c r="J6874" t="s">
        <v>6866</v>
      </c>
      <c r="K6874" t="s">
        <v>1092</v>
      </c>
      <c r="M6874">
        <v>0.15</v>
      </c>
      <c r="N6874">
        <v>43</v>
      </c>
      <c r="O6874" t="s">
        <v>52</v>
      </c>
      <c r="Q6874" t="s">
        <v>892</v>
      </c>
      <c r="R6874" t="s">
        <v>6721</v>
      </c>
      <c r="S6874" t="s">
        <v>1078</v>
      </c>
    </row>
    <row r="6875" spans="1:19" x14ac:dyDescent="0.25">
      <c r="A6875" t="s">
        <v>59</v>
      </c>
      <c r="B6875" t="s">
        <v>60</v>
      </c>
      <c r="C6875" t="s">
        <v>32</v>
      </c>
      <c r="D6875" t="s">
        <v>953</v>
      </c>
      <c r="E6875" t="s">
        <v>954</v>
      </c>
      <c r="F6875" t="s">
        <v>35</v>
      </c>
      <c r="G6875" t="s">
        <v>35</v>
      </c>
      <c r="H6875" t="s">
        <v>35</v>
      </c>
      <c r="J6875" t="s">
        <v>6866</v>
      </c>
      <c r="K6875" t="s">
        <v>1092</v>
      </c>
      <c r="M6875">
        <v>0.25</v>
      </c>
      <c r="N6875">
        <v>43</v>
      </c>
      <c r="O6875" t="s">
        <v>52</v>
      </c>
      <c r="Q6875" t="s">
        <v>892</v>
      </c>
      <c r="R6875" t="s">
        <v>6721</v>
      </c>
      <c r="S6875" t="s">
        <v>1078</v>
      </c>
    </row>
    <row r="6876" spans="1:19" x14ac:dyDescent="0.25">
      <c r="A6876" t="s">
        <v>44</v>
      </c>
      <c r="B6876" t="s">
        <v>3</v>
      </c>
      <c r="C6876" t="s">
        <v>32</v>
      </c>
      <c r="D6876" t="s">
        <v>953</v>
      </c>
      <c r="E6876" t="s">
        <v>954</v>
      </c>
      <c r="F6876" t="s">
        <v>35</v>
      </c>
      <c r="G6876" t="s">
        <v>35</v>
      </c>
      <c r="H6876" t="s">
        <v>35</v>
      </c>
      <c r="J6876" t="s">
        <v>6867</v>
      </c>
      <c r="K6876" t="s">
        <v>1092</v>
      </c>
      <c r="M6876">
        <v>1</v>
      </c>
      <c r="N6876">
        <v>59</v>
      </c>
      <c r="O6876" t="s">
        <v>52</v>
      </c>
      <c r="Q6876" t="s">
        <v>84</v>
      </c>
      <c r="R6876" t="s">
        <v>6711</v>
      </c>
      <c r="S6876" t="s">
        <v>6712</v>
      </c>
    </row>
    <row r="6877" spans="1:19" x14ac:dyDescent="0.25">
      <c r="A6877" t="s">
        <v>59</v>
      </c>
      <c r="B6877" t="s">
        <v>60</v>
      </c>
      <c r="C6877" t="s">
        <v>32</v>
      </c>
      <c r="D6877" t="s">
        <v>953</v>
      </c>
      <c r="E6877" t="s">
        <v>954</v>
      </c>
      <c r="F6877" t="s">
        <v>35</v>
      </c>
      <c r="G6877" t="s">
        <v>35</v>
      </c>
      <c r="H6877" t="s">
        <v>35</v>
      </c>
      <c r="J6877" t="s">
        <v>6868</v>
      </c>
      <c r="K6877" t="s">
        <v>1092</v>
      </c>
      <c r="M6877">
        <v>3.6</v>
      </c>
      <c r="N6877">
        <v>60</v>
      </c>
      <c r="O6877" t="s">
        <v>52</v>
      </c>
      <c r="Q6877" t="s">
        <v>1734</v>
      </c>
      <c r="R6877" t="s">
        <v>6709</v>
      </c>
      <c r="S6877" t="s">
        <v>1022</v>
      </c>
    </row>
    <row r="6878" spans="1:19" x14ac:dyDescent="0.25">
      <c r="A6878" t="s">
        <v>59</v>
      </c>
      <c r="B6878" t="s">
        <v>31</v>
      </c>
      <c r="C6878" t="s">
        <v>32</v>
      </c>
      <c r="D6878" t="s">
        <v>953</v>
      </c>
      <c r="E6878" t="s">
        <v>954</v>
      </c>
      <c r="F6878" t="s">
        <v>35</v>
      </c>
      <c r="G6878" t="s">
        <v>35</v>
      </c>
      <c r="H6878" t="s">
        <v>35</v>
      </c>
      <c r="J6878" t="s">
        <v>6868</v>
      </c>
      <c r="K6878" t="s">
        <v>1092</v>
      </c>
      <c r="M6878">
        <v>0.40500000000000003</v>
      </c>
      <c r="N6878">
        <v>60</v>
      </c>
      <c r="O6878" t="s">
        <v>52</v>
      </c>
      <c r="Q6878" t="s">
        <v>1734</v>
      </c>
      <c r="R6878" t="s">
        <v>6709</v>
      </c>
      <c r="S6878" t="s">
        <v>1022</v>
      </c>
    </row>
    <row r="6879" spans="1:19" x14ac:dyDescent="0.25">
      <c r="A6879" t="s">
        <v>44</v>
      </c>
      <c r="B6879" t="s">
        <v>3</v>
      </c>
      <c r="C6879" t="s">
        <v>32</v>
      </c>
      <c r="D6879" t="s">
        <v>953</v>
      </c>
      <c r="E6879" t="s">
        <v>954</v>
      </c>
      <c r="F6879" t="s">
        <v>35</v>
      </c>
      <c r="G6879" t="s">
        <v>35</v>
      </c>
      <c r="H6879" t="s">
        <v>35</v>
      </c>
      <c r="J6879" t="s">
        <v>6868</v>
      </c>
      <c r="K6879" t="s">
        <v>1092</v>
      </c>
      <c r="M6879">
        <v>4.6500000000000004</v>
      </c>
      <c r="N6879">
        <v>62</v>
      </c>
      <c r="O6879" t="s">
        <v>61</v>
      </c>
      <c r="Q6879" t="s">
        <v>90</v>
      </c>
      <c r="R6879" t="s">
        <v>6709</v>
      </c>
      <c r="S6879" t="s">
        <v>1022</v>
      </c>
    </row>
    <row r="6880" spans="1:19" x14ac:dyDescent="0.25">
      <c r="A6880" t="s">
        <v>59</v>
      </c>
      <c r="B6880" t="s">
        <v>60</v>
      </c>
      <c r="C6880" t="s">
        <v>32</v>
      </c>
      <c r="D6880" t="s">
        <v>953</v>
      </c>
      <c r="E6880" t="s">
        <v>954</v>
      </c>
      <c r="F6880" t="s">
        <v>35</v>
      </c>
      <c r="G6880" t="s">
        <v>35</v>
      </c>
      <c r="H6880" t="s">
        <v>35</v>
      </c>
      <c r="J6880" t="s">
        <v>6869</v>
      </c>
      <c r="K6880" t="s">
        <v>1092</v>
      </c>
      <c r="M6880">
        <v>0.1</v>
      </c>
      <c r="N6880">
        <v>145</v>
      </c>
      <c r="O6880" t="s">
        <v>38</v>
      </c>
      <c r="Q6880" t="s">
        <v>1149</v>
      </c>
      <c r="R6880" t="s">
        <v>6721</v>
      </c>
      <c r="S6880" t="s">
        <v>1078</v>
      </c>
    </row>
    <row r="6881" spans="1:19" x14ac:dyDescent="0.25">
      <c r="A6881" t="s">
        <v>59</v>
      </c>
      <c r="B6881" t="s">
        <v>60</v>
      </c>
      <c r="C6881" t="s">
        <v>32</v>
      </c>
      <c r="D6881" t="s">
        <v>953</v>
      </c>
      <c r="E6881" t="s">
        <v>954</v>
      </c>
      <c r="F6881" t="s">
        <v>35</v>
      </c>
      <c r="G6881" t="s">
        <v>35</v>
      </c>
      <c r="H6881" t="s">
        <v>35</v>
      </c>
      <c r="J6881" t="s">
        <v>6869</v>
      </c>
      <c r="K6881" t="s">
        <v>1092</v>
      </c>
      <c r="M6881">
        <v>0.15</v>
      </c>
      <c r="N6881">
        <v>173</v>
      </c>
      <c r="O6881" t="s">
        <v>38</v>
      </c>
      <c r="Q6881" t="s">
        <v>1345</v>
      </c>
      <c r="R6881" t="s">
        <v>6721</v>
      </c>
      <c r="S6881" t="s">
        <v>1078</v>
      </c>
    </row>
    <row r="6882" spans="1:19" x14ac:dyDescent="0.25">
      <c r="A6882" t="s">
        <v>44</v>
      </c>
      <c r="B6882" t="s">
        <v>3</v>
      </c>
      <c r="C6882" t="s">
        <v>32</v>
      </c>
      <c r="D6882" t="s">
        <v>953</v>
      </c>
      <c r="E6882" t="s">
        <v>954</v>
      </c>
      <c r="F6882" t="s">
        <v>35</v>
      </c>
      <c r="G6882" t="s">
        <v>35</v>
      </c>
      <c r="H6882" t="s">
        <v>35</v>
      </c>
      <c r="J6882" t="s">
        <v>6869</v>
      </c>
      <c r="K6882" t="s">
        <v>1092</v>
      </c>
      <c r="M6882">
        <v>0.1</v>
      </c>
      <c r="N6882">
        <v>43</v>
      </c>
      <c r="O6882" t="s">
        <v>52</v>
      </c>
      <c r="Q6882" t="s">
        <v>892</v>
      </c>
      <c r="R6882" t="s">
        <v>6721</v>
      </c>
      <c r="S6882" t="s">
        <v>1078</v>
      </c>
    </row>
    <row r="6883" spans="1:19" x14ac:dyDescent="0.25">
      <c r="A6883" t="s">
        <v>59</v>
      </c>
      <c r="B6883" t="s">
        <v>31</v>
      </c>
      <c r="C6883" t="s">
        <v>32</v>
      </c>
      <c r="D6883" t="s">
        <v>953</v>
      </c>
      <c r="E6883" t="s">
        <v>954</v>
      </c>
      <c r="F6883" t="s">
        <v>35</v>
      </c>
      <c r="G6883" t="s">
        <v>35</v>
      </c>
      <c r="H6883" t="s">
        <v>35</v>
      </c>
      <c r="J6883" t="s">
        <v>6869</v>
      </c>
      <c r="K6883" t="s">
        <v>1092</v>
      </c>
      <c r="M6883">
        <v>0.19</v>
      </c>
      <c r="N6883">
        <v>145</v>
      </c>
      <c r="O6883" t="s">
        <v>38</v>
      </c>
      <c r="Q6883" t="s">
        <v>1149</v>
      </c>
      <c r="R6883" t="s">
        <v>6721</v>
      </c>
      <c r="S6883" t="s">
        <v>1078</v>
      </c>
    </row>
    <row r="6884" spans="1:19" x14ac:dyDescent="0.25">
      <c r="A6884" t="s">
        <v>59</v>
      </c>
      <c r="B6884" t="s">
        <v>60</v>
      </c>
      <c r="C6884" t="s">
        <v>32</v>
      </c>
      <c r="D6884" t="s">
        <v>953</v>
      </c>
      <c r="E6884" t="s">
        <v>954</v>
      </c>
      <c r="F6884" t="s">
        <v>35</v>
      </c>
      <c r="G6884" t="s">
        <v>35</v>
      </c>
      <c r="H6884" t="s">
        <v>35</v>
      </c>
      <c r="J6884" t="s">
        <v>6869</v>
      </c>
      <c r="K6884" t="s">
        <v>1092</v>
      </c>
      <c r="M6884">
        <v>0.6</v>
      </c>
      <c r="N6884">
        <v>198</v>
      </c>
      <c r="O6884" t="s">
        <v>5</v>
      </c>
      <c r="Q6884" t="s">
        <v>4086</v>
      </c>
      <c r="R6884" t="s">
        <v>6721</v>
      </c>
      <c r="S6884" t="s">
        <v>1078</v>
      </c>
    </row>
    <row r="6885" spans="1:19" x14ac:dyDescent="0.25">
      <c r="A6885" t="s">
        <v>44</v>
      </c>
      <c r="B6885" t="s">
        <v>3</v>
      </c>
      <c r="C6885" t="s">
        <v>32</v>
      </c>
      <c r="D6885" t="s">
        <v>953</v>
      </c>
      <c r="E6885" t="s">
        <v>954</v>
      </c>
      <c r="F6885" t="s">
        <v>35</v>
      </c>
      <c r="G6885" t="s">
        <v>35</v>
      </c>
      <c r="H6885" t="s">
        <v>35</v>
      </c>
      <c r="J6885" t="s">
        <v>6869</v>
      </c>
      <c r="K6885" t="s">
        <v>1092</v>
      </c>
      <c r="M6885">
        <v>0.05</v>
      </c>
      <c r="N6885">
        <v>45</v>
      </c>
      <c r="O6885" t="s">
        <v>52</v>
      </c>
      <c r="Q6885" t="s">
        <v>716</v>
      </c>
      <c r="R6885" t="s">
        <v>6721</v>
      </c>
      <c r="S6885" t="s">
        <v>1078</v>
      </c>
    </row>
    <row r="6886" spans="1:19" x14ac:dyDescent="0.25">
      <c r="A6886" t="s">
        <v>30</v>
      </c>
      <c r="B6886" t="s">
        <v>31</v>
      </c>
      <c r="C6886" t="s">
        <v>32</v>
      </c>
      <c r="D6886" t="s">
        <v>953</v>
      </c>
      <c r="E6886" t="s">
        <v>954</v>
      </c>
      <c r="F6886" t="s">
        <v>35</v>
      </c>
      <c r="G6886" t="s">
        <v>35</v>
      </c>
      <c r="H6886" t="s">
        <v>35</v>
      </c>
      <c r="J6886" t="s">
        <v>6869</v>
      </c>
      <c r="K6886" t="s">
        <v>1092</v>
      </c>
      <c r="M6886">
        <v>4.4999999999999998E-2</v>
      </c>
      <c r="N6886">
        <v>43</v>
      </c>
      <c r="O6886" t="s">
        <v>52</v>
      </c>
      <c r="Q6886" t="s">
        <v>892</v>
      </c>
      <c r="R6886" t="s">
        <v>6721</v>
      </c>
      <c r="S6886" t="s">
        <v>1078</v>
      </c>
    </row>
    <row r="6887" spans="1:19" x14ac:dyDescent="0.25">
      <c r="A6887" t="s">
        <v>59</v>
      </c>
      <c r="B6887" t="s">
        <v>60</v>
      </c>
      <c r="C6887" t="s">
        <v>32</v>
      </c>
      <c r="D6887" t="s">
        <v>953</v>
      </c>
      <c r="E6887" t="s">
        <v>954</v>
      </c>
      <c r="F6887" t="s">
        <v>35</v>
      </c>
      <c r="G6887" t="s">
        <v>35</v>
      </c>
      <c r="H6887" t="s">
        <v>35</v>
      </c>
      <c r="J6887" t="s">
        <v>6869</v>
      </c>
      <c r="K6887" t="s">
        <v>1092</v>
      </c>
      <c r="M6887">
        <v>0.1</v>
      </c>
      <c r="N6887">
        <v>43</v>
      </c>
      <c r="O6887" t="s">
        <v>52</v>
      </c>
      <c r="Q6887" t="s">
        <v>892</v>
      </c>
      <c r="R6887" t="s">
        <v>6721</v>
      </c>
      <c r="S6887" t="s">
        <v>1078</v>
      </c>
    </row>
    <row r="6888" spans="1:19" x14ac:dyDescent="0.25">
      <c r="A6888" t="s">
        <v>59</v>
      </c>
      <c r="B6888" t="s">
        <v>60</v>
      </c>
      <c r="C6888" t="s">
        <v>32</v>
      </c>
      <c r="D6888" t="s">
        <v>953</v>
      </c>
      <c r="E6888" t="s">
        <v>954</v>
      </c>
      <c r="F6888" t="s">
        <v>35</v>
      </c>
      <c r="G6888" t="s">
        <v>35</v>
      </c>
      <c r="H6888" t="s">
        <v>35</v>
      </c>
      <c r="J6888" t="s">
        <v>6869</v>
      </c>
      <c r="K6888" t="s">
        <v>1092</v>
      </c>
      <c r="M6888">
        <v>0.1</v>
      </c>
      <c r="N6888">
        <v>45</v>
      </c>
      <c r="O6888" t="s">
        <v>52</v>
      </c>
      <c r="Q6888" t="s">
        <v>716</v>
      </c>
      <c r="R6888" t="s">
        <v>6721</v>
      </c>
      <c r="S6888" t="s">
        <v>1078</v>
      </c>
    </row>
    <row r="6889" spans="1:19" x14ac:dyDescent="0.25">
      <c r="A6889" t="s">
        <v>59</v>
      </c>
      <c r="B6889" t="s">
        <v>31</v>
      </c>
      <c r="C6889" t="s">
        <v>32</v>
      </c>
      <c r="D6889" t="s">
        <v>953</v>
      </c>
      <c r="E6889" t="s">
        <v>954</v>
      </c>
      <c r="F6889" t="s">
        <v>35</v>
      </c>
      <c r="G6889" t="s">
        <v>35</v>
      </c>
      <c r="H6889" t="s">
        <v>35</v>
      </c>
      <c r="J6889" t="s">
        <v>6870</v>
      </c>
      <c r="K6889" t="s">
        <v>1092</v>
      </c>
      <c r="M6889">
        <v>0.18</v>
      </c>
      <c r="N6889">
        <v>222</v>
      </c>
      <c r="O6889" t="s">
        <v>5</v>
      </c>
      <c r="Q6889" t="s">
        <v>1746</v>
      </c>
      <c r="R6889" t="s">
        <v>6716</v>
      </c>
      <c r="S6889" t="s">
        <v>6717</v>
      </c>
    </row>
    <row r="6890" spans="1:19" x14ac:dyDescent="0.25">
      <c r="A6890" t="s">
        <v>44</v>
      </c>
      <c r="B6890" t="s">
        <v>3</v>
      </c>
      <c r="C6890" t="s">
        <v>32</v>
      </c>
      <c r="D6890" t="s">
        <v>953</v>
      </c>
      <c r="E6890" t="s">
        <v>954</v>
      </c>
      <c r="F6890" t="s">
        <v>35</v>
      </c>
      <c r="G6890" t="s">
        <v>35</v>
      </c>
      <c r="H6890" t="s">
        <v>35</v>
      </c>
      <c r="J6890" t="s">
        <v>6871</v>
      </c>
      <c r="K6890" t="s">
        <v>1092</v>
      </c>
      <c r="M6890">
        <v>0.25</v>
      </c>
      <c r="N6890">
        <v>52</v>
      </c>
      <c r="O6890" t="s">
        <v>52</v>
      </c>
      <c r="Q6890" t="s">
        <v>1230</v>
      </c>
      <c r="R6890" t="s">
        <v>6720</v>
      </c>
      <c r="S6890" t="s">
        <v>961</v>
      </c>
    </row>
    <row r="6891" spans="1:19" x14ac:dyDescent="0.25">
      <c r="A6891" t="s">
        <v>44</v>
      </c>
      <c r="B6891" t="s">
        <v>51</v>
      </c>
      <c r="C6891" t="s">
        <v>32</v>
      </c>
      <c r="D6891" t="s">
        <v>953</v>
      </c>
      <c r="E6891" t="s">
        <v>954</v>
      </c>
      <c r="F6891" t="s">
        <v>35</v>
      </c>
      <c r="G6891" t="s">
        <v>35</v>
      </c>
      <c r="H6891" t="s">
        <v>35</v>
      </c>
      <c r="J6891" t="s">
        <v>6871</v>
      </c>
      <c r="K6891" t="s">
        <v>1092</v>
      </c>
      <c r="M6891">
        <v>0.25</v>
      </c>
      <c r="N6891">
        <v>292</v>
      </c>
      <c r="O6891" t="s">
        <v>5</v>
      </c>
      <c r="Q6891" t="s">
        <v>1234</v>
      </c>
      <c r="R6891" t="s">
        <v>6720</v>
      </c>
      <c r="S6891" t="s">
        <v>961</v>
      </c>
    </row>
    <row r="6892" spans="1:19" x14ac:dyDescent="0.25">
      <c r="A6892" t="s">
        <v>44</v>
      </c>
      <c r="B6892" t="s">
        <v>3</v>
      </c>
      <c r="C6892" t="s">
        <v>32</v>
      </c>
      <c r="D6892" t="s">
        <v>953</v>
      </c>
      <c r="E6892" t="s">
        <v>954</v>
      </c>
      <c r="F6892" t="s">
        <v>35</v>
      </c>
      <c r="G6892" t="s">
        <v>35</v>
      </c>
      <c r="H6892" t="s">
        <v>35</v>
      </c>
      <c r="J6892" t="s">
        <v>6871</v>
      </c>
      <c r="K6892" t="s">
        <v>1092</v>
      </c>
      <c r="M6892">
        <v>1</v>
      </c>
      <c r="N6892">
        <v>30</v>
      </c>
      <c r="O6892" t="s">
        <v>46</v>
      </c>
      <c r="Q6892" t="s">
        <v>793</v>
      </c>
      <c r="R6892" t="s">
        <v>6720</v>
      </c>
      <c r="S6892" t="s">
        <v>961</v>
      </c>
    </row>
    <row r="6893" spans="1:19" x14ac:dyDescent="0.25">
      <c r="A6893" t="s">
        <v>44</v>
      </c>
      <c r="B6893" t="s">
        <v>51</v>
      </c>
      <c r="C6893" t="s">
        <v>32</v>
      </c>
      <c r="D6893" t="s">
        <v>953</v>
      </c>
      <c r="E6893" t="s">
        <v>954</v>
      </c>
      <c r="F6893" t="s">
        <v>35</v>
      </c>
      <c r="G6893" t="s">
        <v>35</v>
      </c>
      <c r="H6893" t="s">
        <v>35</v>
      </c>
      <c r="J6893" t="s">
        <v>6871</v>
      </c>
      <c r="K6893" t="s">
        <v>1092</v>
      </c>
      <c r="M6893">
        <v>0.25</v>
      </c>
      <c r="N6893">
        <v>21</v>
      </c>
      <c r="O6893" t="s">
        <v>46</v>
      </c>
      <c r="Q6893" t="s">
        <v>1874</v>
      </c>
      <c r="R6893" t="s">
        <v>6720</v>
      </c>
      <c r="S6893" t="s">
        <v>961</v>
      </c>
    </row>
    <row r="6894" spans="1:19" x14ac:dyDescent="0.25">
      <c r="A6894" t="s">
        <v>30</v>
      </c>
      <c r="B6894" t="s">
        <v>31</v>
      </c>
      <c r="C6894" t="s">
        <v>32</v>
      </c>
      <c r="D6894" t="s">
        <v>953</v>
      </c>
      <c r="E6894" t="s">
        <v>954</v>
      </c>
      <c r="F6894" t="s">
        <v>35</v>
      </c>
      <c r="G6894" t="s">
        <v>35</v>
      </c>
      <c r="H6894" t="s">
        <v>35</v>
      </c>
      <c r="J6894" t="s">
        <v>6871</v>
      </c>
      <c r="K6894" t="s">
        <v>1092</v>
      </c>
      <c r="M6894">
        <v>1.35</v>
      </c>
      <c r="N6894">
        <v>46</v>
      </c>
      <c r="O6894" t="s">
        <v>52</v>
      </c>
      <c r="Q6894" t="s">
        <v>493</v>
      </c>
      <c r="R6894" t="s">
        <v>6720</v>
      </c>
      <c r="S6894" t="s">
        <v>961</v>
      </c>
    </row>
    <row r="6895" spans="1:19" x14ac:dyDescent="0.25">
      <c r="A6895" t="s">
        <v>44</v>
      </c>
      <c r="B6895" t="s">
        <v>3</v>
      </c>
      <c r="C6895" t="s">
        <v>32</v>
      </c>
      <c r="D6895" t="s">
        <v>953</v>
      </c>
      <c r="E6895" t="s">
        <v>954</v>
      </c>
      <c r="F6895" t="s">
        <v>35</v>
      </c>
      <c r="G6895" t="s">
        <v>35</v>
      </c>
      <c r="H6895" t="s">
        <v>35</v>
      </c>
      <c r="J6895" t="s">
        <v>6871</v>
      </c>
      <c r="K6895" t="s">
        <v>1092</v>
      </c>
      <c r="M6895">
        <v>1</v>
      </c>
      <c r="N6895">
        <v>44</v>
      </c>
      <c r="O6895" t="s">
        <v>52</v>
      </c>
      <c r="Q6895" t="s">
        <v>192</v>
      </c>
      <c r="R6895" t="s">
        <v>6720</v>
      </c>
      <c r="S6895" t="s">
        <v>961</v>
      </c>
    </row>
    <row r="6896" spans="1:19" x14ac:dyDescent="0.25">
      <c r="A6896" t="s">
        <v>44</v>
      </c>
      <c r="B6896" t="s">
        <v>3</v>
      </c>
      <c r="C6896" t="s">
        <v>32</v>
      </c>
      <c r="D6896" t="s">
        <v>953</v>
      </c>
      <c r="E6896" t="s">
        <v>954</v>
      </c>
      <c r="F6896" t="s">
        <v>35</v>
      </c>
      <c r="G6896" t="s">
        <v>35</v>
      </c>
      <c r="H6896" t="s">
        <v>35</v>
      </c>
      <c r="J6896" t="s">
        <v>6871</v>
      </c>
      <c r="K6896" t="s">
        <v>1092</v>
      </c>
      <c r="M6896">
        <v>0.5</v>
      </c>
      <c r="N6896">
        <v>56</v>
      </c>
      <c r="O6896" t="s">
        <v>52</v>
      </c>
      <c r="Q6896" t="s">
        <v>453</v>
      </c>
      <c r="R6896" t="s">
        <v>6720</v>
      </c>
      <c r="S6896" t="s">
        <v>961</v>
      </c>
    </row>
    <row r="6897" spans="1:19" x14ac:dyDescent="0.25">
      <c r="A6897" t="s">
        <v>59</v>
      </c>
      <c r="B6897" t="s">
        <v>31</v>
      </c>
      <c r="C6897" t="s">
        <v>32</v>
      </c>
      <c r="D6897" t="s">
        <v>953</v>
      </c>
      <c r="E6897" t="s">
        <v>954</v>
      </c>
      <c r="F6897" t="s">
        <v>35</v>
      </c>
      <c r="G6897" t="s">
        <v>35</v>
      </c>
      <c r="H6897" t="s">
        <v>35</v>
      </c>
      <c r="J6897" t="s">
        <v>6871</v>
      </c>
      <c r="K6897" t="s">
        <v>1092</v>
      </c>
      <c r="M6897">
        <v>0.09</v>
      </c>
      <c r="N6897">
        <v>254</v>
      </c>
      <c r="O6897" t="s">
        <v>5</v>
      </c>
      <c r="Q6897" t="s">
        <v>367</v>
      </c>
      <c r="R6897" t="s">
        <v>6716</v>
      </c>
      <c r="S6897" t="s">
        <v>6717</v>
      </c>
    </row>
    <row r="6898" spans="1:19" x14ac:dyDescent="0.25">
      <c r="A6898" t="s">
        <v>59</v>
      </c>
      <c r="B6898" t="s">
        <v>60</v>
      </c>
      <c r="C6898" t="s">
        <v>32</v>
      </c>
      <c r="D6898" t="s">
        <v>953</v>
      </c>
      <c r="E6898" t="s">
        <v>954</v>
      </c>
      <c r="F6898" t="s">
        <v>35</v>
      </c>
      <c r="G6898" t="s">
        <v>35</v>
      </c>
      <c r="H6898" t="s">
        <v>35</v>
      </c>
      <c r="J6898" t="s">
        <v>6871</v>
      </c>
      <c r="K6898" t="s">
        <v>1092</v>
      </c>
      <c r="M6898">
        <v>1</v>
      </c>
      <c r="N6898">
        <v>254</v>
      </c>
      <c r="O6898" t="s">
        <v>5</v>
      </c>
      <c r="Q6898" t="s">
        <v>367</v>
      </c>
      <c r="R6898" t="s">
        <v>6716</v>
      </c>
      <c r="S6898" t="s">
        <v>6717</v>
      </c>
    </row>
    <row r="6899" spans="1:19" x14ac:dyDescent="0.25">
      <c r="A6899" t="s">
        <v>59</v>
      </c>
      <c r="B6899" t="s">
        <v>31</v>
      </c>
      <c r="C6899" t="s">
        <v>32</v>
      </c>
      <c r="D6899" t="s">
        <v>953</v>
      </c>
      <c r="E6899" t="s">
        <v>954</v>
      </c>
      <c r="F6899" t="s">
        <v>35</v>
      </c>
      <c r="G6899" t="s">
        <v>35</v>
      </c>
      <c r="H6899" t="s">
        <v>35</v>
      </c>
      <c r="J6899" t="s">
        <v>6872</v>
      </c>
      <c r="K6899" t="s">
        <v>1092</v>
      </c>
      <c r="M6899">
        <v>7.47</v>
      </c>
      <c r="N6899">
        <v>45</v>
      </c>
      <c r="O6899" t="s">
        <v>52</v>
      </c>
      <c r="Q6899" t="s">
        <v>716</v>
      </c>
      <c r="R6899" t="s">
        <v>6709</v>
      </c>
      <c r="S6899" t="s">
        <v>1022</v>
      </c>
    </row>
    <row r="6900" spans="1:19" x14ac:dyDescent="0.25">
      <c r="A6900" t="s">
        <v>59</v>
      </c>
      <c r="B6900" t="s">
        <v>60</v>
      </c>
      <c r="C6900" t="s">
        <v>32</v>
      </c>
      <c r="D6900" t="s">
        <v>953</v>
      </c>
      <c r="E6900" t="s">
        <v>954</v>
      </c>
      <c r="F6900" t="s">
        <v>35</v>
      </c>
      <c r="G6900" t="s">
        <v>35</v>
      </c>
      <c r="H6900" t="s">
        <v>35</v>
      </c>
      <c r="J6900" t="s">
        <v>6873</v>
      </c>
      <c r="K6900" t="s">
        <v>1092</v>
      </c>
      <c r="M6900">
        <v>0.2</v>
      </c>
      <c r="N6900">
        <v>297</v>
      </c>
      <c r="O6900" t="s">
        <v>5</v>
      </c>
      <c r="Q6900" t="s">
        <v>6028</v>
      </c>
      <c r="R6900" t="s">
        <v>6707</v>
      </c>
      <c r="S6900" t="s">
        <v>955</v>
      </c>
    </row>
    <row r="6901" spans="1:19" x14ac:dyDescent="0.25">
      <c r="A6901" t="s">
        <v>59</v>
      </c>
      <c r="B6901" t="s">
        <v>31</v>
      </c>
      <c r="C6901" t="s">
        <v>32</v>
      </c>
      <c r="D6901" t="s">
        <v>953</v>
      </c>
      <c r="E6901" t="s">
        <v>954</v>
      </c>
      <c r="F6901" t="s">
        <v>35</v>
      </c>
      <c r="G6901" t="s">
        <v>35</v>
      </c>
      <c r="H6901" t="s">
        <v>35</v>
      </c>
      <c r="J6901" t="s">
        <v>6873</v>
      </c>
      <c r="K6901" t="s">
        <v>1092</v>
      </c>
      <c r="M6901">
        <v>0.22500000000000001</v>
      </c>
      <c r="N6901">
        <v>226</v>
      </c>
      <c r="O6901" t="s">
        <v>5</v>
      </c>
      <c r="Q6901" t="s">
        <v>3300</v>
      </c>
      <c r="R6901" t="s">
        <v>6707</v>
      </c>
      <c r="S6901" t="s">
        <v>955</v>
      </c>
    </row>
    <row r="6902" spans="1:19" x14ac:dyDescent="0.25">
      <c r="A6902" t="s">
        <v>59</v>
      </c>
      <c r="B6902" t="s">
        <v>60</v>
      </c>
      <c r="C6902" t="s">
        <v>32</v>
      </c>
      <c r="D6902" t="s">
        <v>953</v>
      </c>
      <c r="E6902" t="s">
        <v>954</v>
      </c>
      <c r="F6902" t="s">
        <v>35</v>
      </c>
      <c r="G6902" t="s">
        <v>35</v>
      </c>
      <c r="H6902" t="s">
        <v>35</v>
      </c>
      <c r="J6902" t="s">
        <v>6873</v>
      </c>
      <c r="K6902" t="s">
        <v>1092</v>
      </c>
      <c r="M6902">
        <v>0.25</v>
      </c>
      <c r="N6902">
        <v>144</v>
      </c>
      <c r="O6902" t="s">
        <v>38</v>
      </c>
      <c r="Q6902" t="s">
        <v>2929</v>
      </c>
      <c r="R6902" t="s">
        <v>6707</v>
      </c>
      <c r="S6902" t="s">
        <v>955</v>
      </c>
    </row>
    <row r="6903" spans="1:19" x14ac:dyDescent="0.25">
      <c r="A6903" t="s">
        <v>30</v>
      </c>
      <c r="B6903" t="s">
        <v>31</v>
      </c>
      <c r="C6903" t="s">
        <v>32</v>
      </c>
      <c r="D6903" t="s">
        <v>953</v>
      </c>
      <c r="E6903" t="s">
        <v>954</v>
      </c>
      <c r="F6903" t="s">
        <v>35</v>
      </c>
      <c r="G6903" t="s">
        <v>35</v>
      </c>
      <c r="H6903" t="s">
        <v>35</v>
      </c>
      <c r="J6903" t="s">
        <v>6874</v>
      </c>
      <c r="K6903" t="s">
        <v>1092</v>
      </c>
      <c r="M6903">
        <v>1.35</v>
      </c>
      <c r="N6903">
        <v>10</v>
      </c>
      <c r="O6903" t="s">
        <v>46</v>
      </c>
      <c r="Q6903" t="s">
        <v>1676</v>
      </c>
      <c r="R6903" t="s">
        <v>6707</v>
      </c>
      <c r="S6903" t="s">
        <v>955</v>
      </c>
    </row>
    <row r="6904" spans="1:19" x14ac:dyDescent="0.25">
      <c r="A6904" t="s">
        <v>44</v>
      </c>
      <c r="B6904" t="s">
        <v>51</v>
      </c>
      <c r="C6904" t="s">
        <v>32</v>
      </c>
      <c r="D6904" t="s">
        <v>953</v>
      </c>
      <c r="E6904" t="s">
        <v>954</v>
      </c>
      <c r="F6904" t="s">
        <v>35</v>
      </c>
      <c r="G6904" t="s">
        <v>35</v>
      </c>
      <c r="H6904" t="s">
        <v>35</v>
      </c>
      <c r="J6904" t="s">
        <v>6874</v>
      </c>
      <c r="K6904" t="s">
        <v>1092</v>
      </c>
      <c r="M6904">
        <v>0.5</v>
      </c>
      <c r="N6904">
        <v>10</v>
      </c>
      <c r="O6904" t="s">
        <v>46</v>
      </c>
      <c r="Q6904" t="s">
        <v>1676</v>
      </c>
      <c r="R6904" t="s">
        <v>6707</v>
      </c>
      <c r="S6904" t="s">
        <v>955</v>
      </c>
    </row>
    <row r="6905" spans="1:19" x14ac:dyDescent="0.25">
      <c r="A6905" t="s">
        <v>59</v>
      </c>
      <c r="B6905" t="s">
        <v>60</v>
      </c>
      <c r="C6905" t="s">
        <v>32</v>
      </c>
      <c r="D6905" t="s">
        <v>953</v>
      </c>
      <c r="E6905" t="s">
        <v>954</v>
      </c>
      <c r="F6905" t="s">
        <v>35</v>
      </c>
      <c r="G6905" t="s">
        <v>35</v>
      </c>
      <c r="H6905" t="s">
        <v>35</v>
      </c>
      <c r="J6905" t="s">
        <v>6875</v>
      </c>
      <c r="K6905" t="s">
        <v>1092</v>
      </c>
      <c r="M6905">
        <v>0.25</v>
      </c>
      <c r="N6905">
        <v>64</v>
      </c>
      <c r="O6905" t="s">
        <v>61</v>
      </c>
      <c r="Q6905" t="s">
        <v>381</v>
      </c>
      <c r="R6905" t="s">
        <v>6720</v>
      </c>
      <c r="S6905" t="s">
        <v>961</v>
      </c>
    </row>
    <row r="6906" spans="1:19" x14ac:dyDescent="0.25">
      <c r="A6906" t="s">
        <v>30</v>
      </c>
      <c r="B6906" t="s">
        <v>31</v>
      </c>
      <c r="C6906" t="s">
        <v>32</v>
      </c>
      <c r="D6906" t="s">
        <v>953</v>
      </c>
      <c r="E6906" t="s">
        <v>954</v>
      </c>
      <c r="F6906" t="s">
        <v>35</v>
      </c>
      <c r="G6906" t="s">
        <v>35</v>
      </c>
      <c r="H6906" t="s">
        <v>35</v>
      </c>
      <c r="J6906" t="s">
        <v>6875</v>
      </c>
      <c r="K6906" t="s">
        <v>1092</v>
      </c>
      <c r="M6906">
        <v>0.67500000000000004</v>
      </c>
      <c r="N6906">
        <v>16</v>
      </c>
      <c r="O6906" t="s">
        <v>46</v>
      </c>
      <c r="Q6906" t="s">
        <v>323</v>
      </c>
      <c r="R6906" t="s">
        <v>6720</v>
      </c>
      <c r="S6906" t="s">
        <v>961</v>
      </c>
    </row>
    <row r="6907" spans="1:19" x14ac:dyDescent="0.25">
      <c r="A6907" t="s">
        <v>44</v>
      </c>
      <c r="B6907" t="s">
        <v>51</v>
      </c>
      <c r="C6907" t="s">
        <v>32</v>
      </c>
      <c r="D6907" t="s">
        <v>953</v>
      </c>
      <c r="E6907" t="s">
        <v>954</v>
      </c>
      <c r="F6907" t="s">
        <v>35</v>
      </c>
      <c r="G6907" t="s">
        <v>35</v>
      </c>
      <c r="H6907" t="s">
        <v>35</v>
      </c>
      <c r="J6907" t="s">
        <v>6875</v>
      </c>
      <c r="K6907" t="s">
        <v>1092</v>
      </c>
      <c r="M6907">
        <v>0.15</v>
      </c>
      <c r="N6907">
        <v>16</v>
      </c>
      <c r="O6907" t="s">
        <v>46</v>
      </c>
      <c r="Q6907" t="s">
        <v>323</v>
      </c>
      <c r="R6907" t="s">
        <v>6720</v>
      </c>
      <c r="S6907" t="s">
        <v>961</v>
      </c>
    </row>
    <row r="6908" spans="1:19" x14ac:dyDescent="0.25">
      <c r="A6908" t="s">
        <v>59</v>
      </c>
      <c r="B6908" t="s">
        <v>31</v>
      </c>
      <c r="C6908" t="s">
        <v>32</v>
      </c>
      <c r="D6908" t="s">
        <v>953</v>
      </c>
      <c r="E6908" t="s">
        <v>954</v>
      </c>
      <c r="F6908" t="s">
        <v>35</v>
      </c>
      <c r="G6908" t="s">
        <v>35</v>
      </c>
      <c r="H6908" t="s">
        <v>35</v>
      </c>
      <c r="J6908" t="s">
        <v>6875</v>
      </c>
      <c r="K6908" t="s">
        <v>1092</v>
      </c>
      <c r="M6908">
        <v>0.45</v>
      </c>
      <c r="N6908">
        <v>64</v>
      </c>
      <c r="O6908" t="s">
        <v>61</v>
      </c>
      <c r="Q6908" t="s">
        <v>381</v>
      </c>
      <c r="R6908" t="s">
        <v>6720</v>
      </c>
      <c r="S6908" t="s">
        <v>961</v>
      </c>
    </row>
    <row r="6909" spans="1:19" x14ac:dyDescent="0.25">
      <c r="A6909" t="s">
        <v>44</v>
      </c>
      <c r="B6909" t="s">
        <v>3</v>
      </c>
      <c r="C6909" t="s">
        <v>32</v>
      </c>
      <c r="D6909" t="s">
        <v>953</v>
      </c>
      <c r="E6909" t="s">
        <v>954</v>
      </c>
      <c r="F6909" t="s">
        <v>35</v>
      </c>
      <c r="G6909" t="s">
        <v>35</v>
      </c>
      <c r="H6909" t="s">
        <v>35</v>
      </c>
      <c r="J6909" t="s">
        <v>6875</v>
      </c>
      <c r="K6909" t="s">
        <v>1092</v>
      </c>
      <c r="M6909">
        <v>0.1</v>
      </c>
      <c r="N6909">
        <v>64</v>
      </c>
      <c r="O6909" t="s">
        <v>61</v>
      </c>
      <c r="Q6909" t="s">
        <v>381</v>
      </c>
      <c r="R6909" t="s">
        <v>6720</v>
      </c>
      <c r="S6909" t="s">
        <v>961</v>
      </c>
    </row>
    <row r="6910" spans="1:19" x14ac:dyDescent="0.25">
      <c r="A6910" t="s">
        <v>44</v>
      </c>
      <c r="B6910" t="s">
        <v>51</v>
      </c>
      <c r="C6910" t="s">
        <v>32</v>
      </c>
      <c r="D6910" t="s">
        <v>953</v>
      </c>
      <c r="E6910" t="s">
        <v>954</v>
      </c>
      <c r="F6910" t="s">
        <v>35</v>
      </c>
      <c r="G6910" t="s">
        <v>35</v>
      </c>
      <c r="H6910" t="s">
        <v>35</v>
      </c>
      <c r="J6910" t="s">
        <v>6875</v>
      </c>
      <c r="K6910" t="s">
        <v>1092</v>
      </c>
      <c r="M6910">
        <v>0.15</v>
      </c>
      <c r="N6910">
        <v>184</v>
      </c>
      <c r="O6910" t="s">
        <v>5</v>
      </c>
      <c r="Q6910" t="s">
        <v>4625</v>
      </c>
      <c r="R6910" t="s">
        <v>6720</v>
      </c>
      <c r="S6910" t="s">
        <v>961</v>
      </c>
    </row>
    <row r="6911" spans="1:19" x14ac:dyDescent="0.25">
      <c r="A6911" t="s">
        <v>30</v>
      </c>
      <c r="B6911" t="s">
        <v>31</v>
      </c>
      <c r="C6911" t="s">
        <v>32</v>
      </c>
      <c r="D6911" t="s">
        <v>953</v>
      </c>
      <c r="E6911" t="s">
        <v>954</v>
      </c>
      <c r="F6911" t="s">
        <v>35</v>
      </c>
      <c r="G6911" t="s">
        <v>35</v>
      </c>
      <c r="H6911" t="s">
        <v>35</v>
      </c>
      <c r="J6911" t="s">
        <v>6876</v>
      </c>
      <c r="K6911" t="s">
        <v>1092</v>
      </c>
      <c r="M6911">
        <v>2.97</v>
      </c>
      <c r="N6911">
        <v>202</v>
      </c>
      <c r="O6911" t="s">
        <v>5</v>
      </c>
      <c r="Q6911" t="s">
        <v>1299</v>
      </c>
      <c r="R6911" t="s">
        <v>133</v>
      </c>
      <c r="S6911" t="s">
        <v>134</v>
      </c>
    </row>
    <row r="6912" spans="1:19" x14ac:dyDescent="0.25">
      <c r="A6912" t="s">
        <v>30</v>
      </c>
      <c r="B6912" t="s">
        <v>31</v>
      </c>
      <c r="C6912" t="s">
        <v>32</v>
      </c>
      <c r="D6912" t="s">
        <v>953</v>
      </c>
      <c r="E6912" t="s">
        <v>954</v>
      </c>
      <c r="F6912" t="s">
        <v>35</v>
      </c>
      <c r="G6912" t="s">
        <v>35</v>
      </c>
      <c r="H6912" t="s">
        <v>35</v>
      </c>
      <c r="J6912" t="s">
        <v>6876</v>
      </c>
      <c r="K6912" t="s">
        <v>1092</v>
      </c>
      <c r="M6912">
        <v>10.98</v>
      </c>
      <c r="N6912">
        <v>41</v>
      </c>
      <c r="O6912" t="s">
        <v>52</v>
      </c>
      <c r="Q6912" t="s">
        <v>249</v>
      </c>
      <c r="R6912" t="s">
        <v>6877</v>
      </c>
      <c r="S6912" t="s">
        <v>1041</v>
      </c>
    </row>
    <row r="6913" spans="1:19" x14ac:dyDescent="0.25">
      <c r="A6913" t="s">
        <v>30</v>
      </c>
      <c r="B6913" t="s">
        <v>31</v>
      </c>
      <c r="C6913" t="s">
        <v>32</v>
      </c>
      <c r="D6913" t="s">
        <v>953</v>
      </c>
      <c r="E6913" t="s">
        <v>6878</v>
      </c>
      <c r="F6913" t="s">
        <v>35</v>
      </c>
      <c r="G6913" t="s">
        <v>35</v>
      </c>
      <c r="H6913" t="s">
        <v>35</v>
      </c>
      <c r="J6913" t="s">
        <v>6879</v>
      </c>
      <c r="K6913" t="s">
        <v>1092</v>
      </c>
      <c r="M6913">
        <v>9.8000000000000007</v>
      </c>
      <c r="N6913">
        <v>23</v>
      </c>
      <c r="O6913" t="s">
        <v>46</v>
      </c>
      <c r="Q6913" t="s">
        <v>1819</v>
      </c>
      <c r="R6913" t="s">
        <v>6742</v>
      </c>
      <c r="S6913" t="s">
        <v>1016</v>
      </c>
    </row>
    <row r="6914" spans="1:19" x14ac:dyDescent="0.25">
      <c r="A6914" t="s">
        <v>30</v>
      </c>
      <c r="B6914" t="s">
        <v>31</v>
      </c>
      <c r="C6914" t="s">
        <v>32</v>
      </c>
      <c r="D6914" t="s">
        <v>953</v>
      </c>
      <c r="E6914" t="s">
        <v>6878</v>
      </c>
      <c r="F6914" t="s">
        <v>35</v>
      </c>
      <c r="G6914" t="s">
        <v>35</v>
      </c>
      <c r="H6914" t="s">
        <v>35</v>
      </c>
      <c r="J6914" t="s">
        <v>6880</v>
      </c>
      <c r="K6914" t="s">
        <v>1092</v>
      </c>
      <c r="M6914">
        <v>1.8</v>
      </c>
      <c r="N6914">
        <v>18</v>
      </c>
      <c r="O6914" t="s">
        <v>46</v>
      </c>
      <c r="Q6914" t="s">
        <v>1476</v>
      </c>
      <c r="R6914" t="s">
        <v>6709</v>
      </c>
      <c r="S6914" t="s">
        <v>1022</v>
      </c>
    </row>
    <row r="6915" spans="1:19" x14ac:dyDescent="0.25">
      <c r="A6915" t="s">
        <v>59</v>
      </c>
      <c r="B6915" t="s">
        <v>60</v>
      </c>
      <c r="C6915" t="s">
        <v>32</v>
      </c>
      <c r="D6915" t="s">
        <v>953</v>
      </c>
      <c r="E6915" t="s">
        <v>6878</v>
      </c>
      <c r="F6915" t="s">
        <v>35</v>
      </c>
      <c r="G6915" t="s">
        <v>35</v>
      </c>
      <c r="H6915" t="s">
        <v>35</v>
      </c>
      <c r="J6915" t="s">
        <v>6880</v>
      </c>
      <c r="K6915" t="s">
        <v>1092</v>
      </c>
      <c r="M6915">
        <v>0.3</v>
      </c>
      <c r="N6915">
        <v>146</v>
      </c>
      <c r="O6915" t="s">
        <v>38</v>
      </c>
      <c r="Q6915" t="s">
        <v>1335</v>
      </c>
      <c r="R6915" t="s">
        <v>6709</v>
      </c>
      <c r="S6915" t="s">
        <v>1022</v>
      </c>
    </row>
    <row r="6916" spans="1:19" x14ac:dyDescent="0.25">
      <c r="A6916" t="s">
        <v>59</v>
      </c>
      <c r="B6916" t="s">
        <v>60</v>
      </c>
      <c r="C6916" t="s">
        <v>32</v>
      </c>
      <c r="D6916" t="s">
        <v>953</v>
      </c>
      <c r="E6916" t="s">
        <v>6878</v>
      </c>
      <c r="F6916" t="s">
        <v>35</v>
      </c>
      <c r="G6916" t="s">
        <v>35</v>
      </c>
      <c r="H6916" t="s">
        <v>35</v>
      </c>
      <c r="J6916" t="s">
        <v>6882</v>
      </c>
      <c r="K6916" t="s">
        <v>1092</v>
      </c>
      <c r="M6916">
        <v>0.1</v>
      </c>
      <c r="N6916">
        <v>178</v>
      </c>
      <c r="O6916" t="s">
        <v>38</v>
      </c>
      <c r="Q6916" t="s">
        <v>2827</v>
      </c>
      <c r="R6916" t="s">
        <v>6709</v>
      </c>
      <c r="S6916" t="s">
        <v>1022</v>
      </c>
    </row>
    <row r="6917" spans="1:19" x14ac:dyDescent="0.25">
      <c r="A6917" t="s">
        <v>59</v>
      </c>
      <c r="B6917" t="s">
        <v>60</v>
      </c>
      <c r="C6917" t="s">
        <v>32</v>
      </c>
      <c r="D6917" t="s">
        <v>953</v>
      </c>
      <c r="E6917" t="s">
        <v>6878</v>
      </c>
      <c r="F6917" t="s">
        <v>35</v>
      </c>
      <c r="G6917" t="s">
        <v>35</v>
      </c>
      <c r="H6917" t="s">
        <v>35</v>
      </c>
      <c r="J6917" t="s">
        <v>6882</v>
      </c>
      <c r="K6917" t="s">
        <v>1092</v>
      </c>
      <c r="M6917">
        <v>1.5</v>
      </c>
      <c r="N6917">
        <v>65</v>
      </c>
      <c r="O6917" t="s">
        <v>61</v>
      </c>
      <c r="Q6917" t="s">
        <v>128</v>
      </c>
      <c r="R6917" t="s">
        <v>6709</v>
      </c>
      <c r="S6917" t="s">
        <v>1022</v>
      </c>
    </row>
    <row r="6918" spans="1:19" x14ac:dyDescent="0.25">
      <c r="A6918" t="s">
        <v>30</v>
      </c>
      <c r="B6918" t="s">
        <v>31</v>
      </c>
      <c r="C6918" t="s">
        <v>32</v>
      </c>
      <c r="D6918" t="s">
        <v>953</v>
      </c>
      <c r="E6918" t="s">
        <v>6878</v>
      </c>
      <c r="F6918" t="s">
        <v>35</v>
      </c>
      <c r="G6918" t="s">
        <v>35</v>
      </c>
      <c r="H6918" t="s">
        <v>35</v>
      </c>
      <c r="J6918" t="s">
        <v>6883</v>
      </c>
      <c r="K6918" t="s">
        <v>1092</v>
      </c>
      <c r="M6918">
        <v>9</v>
      </c>
      <c r="N6918">
        <v>21</v>
      </c>
      <c r="O6918" t="s">
        <v>46</v>
      </c>
      <c r="Q6918" t="s">
        <v>1874</v>
      </c>
      <c r="R6918" t="s">
        <v>6705</v>
      </c>
      <c r="S6918" t="s">
        <v>981</v>
      </c>
    </row>
    <row r="6919" spans="1:19" x14ac:dyDescent="0.25">
      <c r="A6919" t="s">
        <v>59</v>
      </c>
      <c r="B6919" t="s">
        <v>60</v>
      </c>
      <c r="C6919" t="s">
        <v>32</v>
      </c>
      <c r="D6919" t="s">
        <v>953</v>
      </c>
      <c r="E6919" t="s">
        <v>6878</v>
      </c>
      <c r="F6919" t="s">
        <v>35</v>
      </c>
      <c r="G6919" t="s">
        <v>35</v>
      </c>
      <c r="H6919" t="s">
        <v>35</v>
      </c>
      <c r="J6919" t="s">
        <v>6884</v>
      </c>
      <c r="K6919" t="s">
        <v>1092</v>
      </c>
      <c r="M6919">
        <v>1.53</v>
      </c>
      <c r="N6919">
        <v>65</v>
      </c>
      <c r="O6919" t="s">
        <v>61</v>
      </c>
      <c r="Q6919" t="s">
        <v>128</v>
      </c>
      <c r="R6919" t="s">
        <v>6709</v>
      </c>
      <c r="S6919" t="s">
        <v>1022</v>
      </c>
    </row>
    <row r="6920" spans="1:19" x14ac:dyDescent="0.25">
      <c r="A6920" t="s">
        <v>59</v>
      </c>
      <c r="B6920" t="s">
        <v>60</v>
      </c>
      <c r="C6920" t="s">
        <v>32</v>
      </c>
      <c r="D6920" t="s">
        <v>953</v>
      </c>
      <c r="E6920" t="s">
        <v>6878</v>
      </c>
      <c r="F6920" t="s">
        <v>35</v>
      </c>
      <c r="G6920" t="s">
        <v>35</v>
      </c>
      <c r="H6920" t="s">
        <v>35</v>
      </c>
      <c r="J6920" t="s">
        <v>6888</v>
      </c>
      <c r="K6920" t="s">
        <v>1092</v>
      </c>
      <c r="M6920">
        <v>0.5</v>
      </c>
      <c r="N6920">
        <v>39</v>
      </c>
      <c r="O6920" t="s">
        <v>52</v>
      </c>
      <c r="Q6920" t="s">
        <v>816</v>
      </c>
      <c r="R6920" t="s">
        <v>133</v>
      </c>
      <c r="S6920" t="s">
        <v>134</v>
      </c>
    </row>
    <row r="6921" spans="1:19" x14ac:dyDescent="0.25">
      <c r="A6921" t="s">
        <v>44</v>
      </c>
      <c r="B6921" t="s">
        <v>3</v>
      </c>
      <c r="C6921" t="s">
        <v>32</v>
      </c>
      <c r="D6921" t="s">
        <v>953</v>
      </c>
      <c r="E6921" t="s">
        <v>6878</v>
      </c>
      <c r="F6921" t="s">
        <v>35</v>
      </c>
      <c r="G6921" t="s">
        <v>35</v>
      </c>
      <c r="H6921" t="s">
        <v>35</v>
      </c>
      <c r="J6921" t="s">
        <v>6888</v>
      </c>
      <c r="K6921" t="s">
        <v>1092</v>
      </c>
      <c r="M6921">
        <v>0.75</v>
      </c>
      <c r="N6921">
        <v>39</v>
      </c>
      <c r="O6921" t="s">
        <v>52</v>
      </c>
      <c r="Q6921" t="s">
        <v>816</v>
      </c>
      <c r="R6921" t="s">
        <v>133</v>
      </c>
      <c r="S6921" t="s">
        <v>134</v>
      </c>
    </row>
    <row r="6922" spans="1:19" x14ac:dyDescent="0.25">
      <c r="A6922" t="s">
        <v>59</v>
      </c>
      <c r="B6922" t="s">
        <v>31</v>
      </c>
      <c r="C6922" t="s">
        <v>32</v>
      </c>
      <c r="D6922" t="s">
        <v>953</v>
      </c>
      <c r="E6922" t="s">
        <v>6878</v>
      </c>
      <c r="F6922" t="s">
        <v>35</v>
      </c>
      <c r="G6922" t="s">
        <v>35</v>
      </c>
      <c r="H6922" t="s">
        <v>35</v>
      </c>
      <c r="J6922" t="s">
        <v>6888</v>
      </c>
      <c r="K6922" t="s">
        <v>1092</v>
      </c>
      <c r="M6922">
        <v>4.9950000000000001</v>
      </c>
      <c r="N6922">
        <v>39</v>
      </c>
      <c r="O6922" t="s">
        <v>52</v>
      </c>
      <c r="Q6922" t="s">
        <v>816</v>
      </c>
      <c r="R6922" t="s">
        <v>133</v>
      </c>
      <c r="S6922" t="s">
        <v>134</v>
      </c>
    </row>
    <row r="6923" spans="1:19" x14ac:dyDescent="0.25">
      <c r="A6923" t="s">
        <v>59</v>
      </c>
      <c r="B6923" t="s">
        <v>31</v>
      </c>
      <c r="C6923" t="s">
        <v>32</v>
      </c>
      <c r="D6923" t="s">
        <v>953</v>
      </c>
      <c r="E6923" t="s">
        <v>6878</v>
      </c>
      <c r="F6923" t="s">
        <v>35</v>
      </c>
      <c r="G6923" t="s">
        <v>35</v>
      </c>
      <c r="H6923" t="s">
        <v>35</v>
      </c>
      <c r="J6923" t="s">
        <v>6888</v>
      </c>
      <c r="K6923" t="s">
        <v>1092</v>
      </c>
      <c r="M6923">
        <v>2.7</v>
      </c>
      <c r="N6923">
        <v>89</v>
      </c>
      <c r="O6923" t="s">
        <v>61</v>
      </c>
      <c r="Q6923" t="s">
        <v>299</v>
      </c>
      <c r="R6923" t="s">
        <v>133</v>
      </c>
      <c r="S6923" t="s">
        <v>134</v>
      </c>
    </row>
    <row r="6924" spans="1:19" x14ac:dyDescent="0.25">
      <c r="A6924" t="s">
        <v>59</v>
      </c>
      <c r="B6924" t="s">
        <v>60</v>
      </c>
      <c r="C6924" t="s">
        <v>32</v>
      </c>
      <c r="D6924" t="s">
        <v>953</v>
      </c>
      <c r="E6924" t="s">
        <v>6878</v>
      </c>
      <c r="F6924" t="s">
        <v>35</v>
      </c>
      <c r="G6924" t="s">
        <v>35</v>
      </c>
      <c r="H6924" t="s">
        <v>35</v>
      </c>
      <c r="J6924" t="s">
        <v>1885</v>
      </c>
      <c r="K6924" t="s">
        <v>1092</v>
      </c>
      <c r="M6924">
        <v>0.05</v>
      </c>
      <c r="N6924">
        <v>694</v>
      </c>
      <c r="O6924" t="s">
        <v>575</v>
      </c>
      <c r="Q6924" t="s">
        <v>6889</v>
      </c>
      <c r="R6924" t="s">
        <v>6890</v>
      </c>
      <c r="S6924" t="s">
        <v>6880</v>
      </c>
    </row>
    <row r="6925" spans="1:19" x14ac:dyDescent="0.25">
      <c r="A6925" t="s">
        <v>44</v>
      </c>
      <c r="B6925" t="s">
        <v>51</v>
      </c>
      <c r="C6925" t="s">
        <v>32</v>
      </c>
      <c r="D6925" t="s">
        <v>953</v>
      </c>
      <c r="E6925" t="s">
        <v>6878</v>
      </c>
      <c r="F6925" t="s">
        <v>35</v>
      </c>
      <c r="G6925" t="s">
        <v>35</v>
      </c>
      <c r="H6925" t="s">
        <v>35</v>
      </c>
      <c r="J6925" t="s">
        <v>3798</v>
      </c>
      <c r="K6925" t="s">
        <v>1092</v>
      </c>
      <c r="M6925">
        <v>1</v>
      </c>
      <c r="N6925">
        <v>236</v>
      </c>
      <c r="O6925" t="s">
        <v>5</v>
      </c>
      <c r="Q6925" t="s">
        <v>1140</v>
      </c>
      <c r="R6925" t="s">
        <v>6891</v>
      </c>
      <c r="S6925" t="s">
        <v>1085</v>
      </c>
    </row>
    <row r="6926" spans="1:19" x14ac:dyDescent="0.25">
      <c r="A6926" t="s">
        <v>59</v>
      </c>
      <c r="B6926" t="s">
        <v>60</v>
      </c>
      <c r="C6926" t="s">
        <v>32</v>
      </c>
      <c r="D6926" t="s">
        <v>953</v>
      </c>
      <c r="E6926" t="s">
        <v>6878</v>
      </c>
      <c r="F6926" t="s">
        <v>35</v>
      </c>
      <c r="G6926" t="s">
        <v>35</v>
      </c>
      <c r="H6926" t="s">
        <v>35</v>
      </c>
      <c r="J6926" t="s">
        <v>6892</v>
      </c>
      <c r="K6926" t="s">
        <v>1092</v>
      </c>
      <c r="M6926">
        <v>0.8</v>
      </c>
      <c r="N6926">
        <v>63</v>
      </c>
      <c r="O6926" t="s">
        <v>61</v>
      </c>
      <c r="Q6926" t="s">
        <v>423</v>
      </c>
      <c r="R6926" t="s">
        <v>6723</v>
      </c>
      <c r="S6926" t="s">
        <v>6724</v>
      </c>
    </row>
    <row r="6927" spans="1:19" x14ac:dyDescent="0.25">
      <c r="A6927" t="s">
        <v>44</v>
      </c>
      <c r="B6927" t="s">
        <v>3</v>
      </c>
      <c r="C6927" t="s">
        <v>32</v>
      </c>
      <c r="D6927" t="s">
        <v>953</v>
      </c>
      <c r="E6927" t="s">
        <v>6878</v>
      </c>
      <c r="F6927" t="s">
        <v>35</v>
      </c>
      <c r="G6927" t="s">
        <v>35</v>
      </c>
      <c r="H6927" t="s">
        <v>35</v>
      </c>
      <c r="J6927" t="s">
        <v>6892</v>
      </c>
      <c r="K6927" t="s">
        <v>1092</v>
      </c>
      <c r="M6927">
        <v>4.6500000000000004</v>
      </c>
      <c r="N6927">
        <v>69</v>
      </c>
      <c r="O6927" t="s">
        <v>61</v>
      </c>
      <c r="Q6927" t="s">
        <v>139</v>
      </c>
      <c r="R6927" t="s">
        <v>6723</v>
      </c>
      <c r="S6927" t="s">
        <v>6724</v>
      </c>
    </row>
    <row r="6928" spans="1:19" x14ac:dyDescent="0.25">
      <c r="A6928" t="s">
        <v>44</v>
      </c>
      <c r="B6928" t="s">
        <v>51</v>
      </c>
      <c r="C6928" t="s">
        <v>32</v>
      </c>
      <c r="D6928" t="s">
        <v>953</v>
      </c>
      <c r="E6928" t="s">
        <v>6878</v>
      </c>
      <c r="F6928" t="s">
        <v>35</v>
      </c>
      <c r="G6928" t="s">
        <v>35</v>
      </c>
      <c r="H6928" t="s">
        <v>35</v>
      </c>
      <c r="J6928" t="s">
        <v>6892</v>
      </c>
      <c r="K6928" t="s">
        <v>1092</v>
      </c>
      <c r="M6928">
        <v>1.1499999999999999</v>
      </c>
      <c r="N6928">
        <v>53</v>
      </c>
      <c r="O6928" t="s">
        <v>52</v>
      </c>
      <c r="Q6928" t="s">
        <v>332</v>
      </c>
      <c r="R6928" t="s">
        <v>6723</v>
      </c>
      <c r="S6928" t="s">
        <v>6724</v>
      </c>
    </row>
    <row r="6929" spans="1:19" x14ac:dyDescent="0.25">
      <c r="A6929" t="s">
        <v>30</v>
      </c>
      <c r="B6929" t="s">
        <v>31</v>
      </c>
      <c r="C6929" t="s">
        <v>32</v>
      </c>
      <c r="D6929" t="s">
        <v>953</v>
      </c>
      <c r="E6929" t="s">
        <v>6878</v>
      </c>
      <c r="F6929" t="s">
        <v>35</v>
      </c>
      <c r="G6929" t="s">
        <v>35</v>
      </c>
      <c r="H6929" t="s">
        <v>35</v>
      </c>
      <c r="J6929" t="s">
        <v>6893</v>
      </c>
      <c r="K6929" t="s">
        <v>1092</v>
      </c>
      <c r="M6929">
        <v>2.2949999999999999</v>
      </c>
      <c r="N6929">
        <v>20</v>
      </c>
      <c r="O6929" t="s">
        <v>46</v>
      </c>
      <c r="Q6929" t="s">
        <v>1004</v>
      </c>
      <c r="R6929" t="s">
        <v>6723</v>
      </c>
      <c r="S6929" t="s">
        <v>6724</v>
      </c>
    </row>
    <row r="6930" spans="1:19" x14ac:dyDescent="0.25">
      <c r="A6930" t="s">
        <v>59</v>
      </c>
      <c r="B6930" t="s">
        <v>60</v>
      </c>
      <c r="C6930" t="s">
        <v>32</v>
      </c>
      <c r="D6930" t="s">
        <v>953</v>
      </c>
      <c r="E6930" t="s">
        <v>6878</v>
      </c>
      <c r="F6930" t="s">
        <v>35</v>
      </c>
      <c r="G6930" t="s">
        <v>35</v>
      </c>
      <c r="H6930" t="s">
        <v>35</v>
      </c>
      <c r="J6930" t="s">
        <v>6894</v>
      </c>
      <c r="K6930" t="s">
        <v>1092</v>
      </c>
      <c r="M6930">
        <v>3.25</v>
      </c>
      <c r="N6930">
        <v>143</v>
      </c>
      <c r="O6930" t="s">
        <v>38</v>
      </c>
      <c r="Q6930" t="s">
        <v>2121</v>
      </c>
      <c r="R6930" t="s">
        <v>133</v>
      </c>
      <c r="S6930" t="s">
        <v>134</v>
      </c>
    </row>
    <row r="6931" spans="1:19" x14ac:dyDescent="0.25">
      <c r="A6931" t="s">
        <v>59</v>
      </c>
      <c r="B6931" t="s">
        <v>60</v>
      </c>
      <c r="C6931" t="s">
        <v>32</v>
      </c>
      <c r="D6931" t="s">
        <v>953</v>
      </c>
      <c r="E6931" t="s">
        <v>6878</v>
      </c>
      <c r="F6931" t="s">
        <v>35</v>
      </c>
      <c r="G6931" t="s">
        <v>35</v>
      </c>
      <c r="H6931" t="s">
        <v>35</v>
      </c>
      <c r="J6931" t="s">
        <v>6895</v>
      </c>
      <c r="K6931" t="s">
        <v>1092</v>
      </c>
      <c r="M6931">
        <v>0.05</v>
      </c>
      <c r="N6931">
        <v>196</v>
      </c>
      <c r="O6931" t="s">
        <v>5</v>
      </c>
      <c r="Q6931" t="s">
        <v>5616</v>
      </c>
      <c r="R6931" t="s">
        <v>6807</v>
      </c>
      <c r="S6931" t="s">
        <v>1066</v>
      </c>
    </row>
    <row r="6932" spans="1:19" x14ac:dyDescent="0.25">
      <c r="A6932" t="s">
        <v>30</v>
      </c>
      <c r="B6932" t="s">
        <v>31</v>
      </c>
      <c r="C6932" t="s">
        <v>32</v>
      </c>
      <c r="D6932" t="s">
        <v>953</v>
      </c>
      <c r="E6932" t="s">
        <v>6878</v>
      </c>
      <c r="F6932" t="s">
        <v>35</v>
      </c>
      <c r="G6932" t="s">
        <v>35</v>
      </c>
      <c r="H6932" t="s">
        <v>35</v>
      </c>
      <c r="J6932" t="s">
        <v>6896</v>
      </c>
      <c r="K6932" t="s">
        <v>1092</v>
      </c>
      <c r="M6932">
        <v>9.7200000000000006</v>
      </c>
      <c r="N6932">
        <v>24</v>
      </c>
      <c r="O6932" t="s">
        <v>46</v>
      </c>
      <c r="Q6932" t="s">
        <v>255</v>
      </c>
      <c r="R6932" t="s">
        <v>6897</v>
      </c>
      <c r="S6932" t="s">
        <v>1062</v>
      </c>
    </row>
    <row r="6933" spans="1:19" x14ac:dyDescent="0.25">
      <c r="A6933" t="s">
        <v>59</v>
      </c>
      <c r="B6933" t="s">
        <v>60</v>
      </c>
      <c r="C6933" t="s">
        <v>32</v>
      </c>
      <c r="D6933" t="s">
        <v>953</v>
      </c>
      <c r="E6933" t="s">
        <v>6878</v>
      </c>
      <c r="F6933" t="s">
        <v>35</v>
      </c>
      <c r="G6933" t="s">
        <v>35</v>
      </c>
      <c r="H6933" t="s">
        <v>35</v>
      </c>
      <c r="J6933" t="s">
        <v>6896</v>
      </c>
      <c r="K6933" t="s">
        <v>1092</v>
      </c>
      <c r="M6933">
        <v>0.75</v>
      </c>
      <c r="N6933">
        <v>220</v>
      </c>
      <c r="O6933" t="s">
        <v>5</v>
      </c>
      <c r="Q6933" t="s">
        <v>6828</v>
      </c>
      <c r="R6933" t="s">
        <v>6897</v>
      </c>
      <c r="S6933" t="s">
        <v>1062</v>
      </c>
    </row>
    <row r="6934" spans="1:19" x14ac:dyDescent="0.25">
      <c r="A6934" t="s">
        <v>59</v>
      </c>
      <c r="B6934" t="s">
        <v>31</v>
      </c>
      <c r="C6934" t="s">
        <v>32</v>
      </c>
      <c r="D6934" t="s">
        <v>953</v>
      </c>
      <c r="E6934" t="s">
        <v>6878</v>
      </c>
      <c r="F6934" t="s">
        <v>35</v>
      </c>
      <c r="G6934" t="s">
        <v>35</v>
      </c>
      <c r="H6934" t="s">
        <v>35</v>
      </c>
      <c r="J6934" t="s">
        <v>6896</v>
      </c>
      <c r="K6934" t="s">
        <v>1092</v>
      </c>
      <c r="M6934">
        <v>0.67500000000000004</v>
      </c>
      <c r="N6934">
        <v>90</v>
      </c>
      <c r="O6934" t="s">
        <v>61</v>
      </c>
      <c r="Q6934" t="s">
        <v>897</v>
      </c>
      <c r="R6934" t="s">
        <v>6742</v>
      </c>
      <c r="S6934" t="s">
        <v>1016</v>
      </c>
    </row>
    <row r="6935" spans="1:19" x14ac:dyDescent="0.25">
      <c r="A6935" t="s">
        <v>44</v>
      </c>
      <c r="B6935" t="s">
        <v>51</v>
      </c>
      <c r="C6935" t="s">
        <v>32</v>
      </c>
      <c r="D6935" t="s">
        <v>953</v>
      </c>
      <c r="E6935" t="s">
        <v>6878</v>
      </c>
      <c r="F6935" t="s">
        <v>35</v>
      </c>
      <c r="G6935" t="s">
        <v>35</v>
      </c>
      <c r="H6935" t="s">
        <v>35</v>
      </c>
      <c r="J6935" t="s">
        <v>6898</v>
      </c>
      <c r="K6935" t="s">
        <v>1092</v>
      </c>
      <c r="M6935">
        <v>0.6</v>
      </c>
      <c r="N6935">
        <v>61</v>
      </c>
      <c r="O6935" t="s">
        <v>61</v>
      </c>
      <c r="Q6935" t="s">
        <v>671</v>
      </c>
      <c r="R6935" t="s">
        <v>6899</v>
      </c>
      <c r="S6935" t="s">
        <v>6900</v>
      </c>
    </row>
    <row r="6936" spans="1:19" x14ac:dyDescent="0.25">
      <c r="A6936" t="s">
        <v>59</v>
      </c>
      <c r="B6936" t="s">
        <v>31</v>
      </c>
      <c r="C6936" t="s">
        <v>32</v>
      </c>
      <c r="D6936" t="s">
        <v>953</v>
      </c>
      <c r="E6936" t="s">
        <v>6878</v>
      </c>
      <c r="F6936" t="s">
        <v>35</v>
      </c>
      <c r="G6936" t="s">
        <v>35</v>
      </c>
      <c r="H6936" t="s">
        <v>35</v>
      </c>
      <c r="J6936" t="s">
        <v>6902</v>
      </c>
      <c r="K6936" t="s">
        <v>1092</v>
      </c>
      <c r="M6936">
        <v>2.835</v>
      </c>
      <c r="N6936">
        <v>62</v>
      </c>
      <c r="O6936" t="s">
        <v>61</v>
      </c>
      <c r="Q6936" t="s">
        <v>90</v>
      </c>
      <c r="R6936" t="s">
        <v>6847</v>
      </c>
      <c r="S6936" t="s">
        <v>1034</v>
      </c>
    </row>
    <row r="6937" spans="1:19" x14ac:dyDescent="0.25">
      <c r="A6937" t="s">
        <v>59</v>
      </c>
      <c r="B6937" t="s">
        <v>60</v>
      </c>
      <c r="C6937" t="s">
        <v>32</v>
      </c>
      <c r="D6937" t="s">
        <v>953</v>
      </c>
      <c r="E6937" t="s">
        <v>6878</v>
      </c>
      <c r="F6937" t="s">
        <v>35</v>
      </c>
      <c r="G6937" t="s">
        <v>35</v>
      </c>
      <c r="H6937" t="s">
        <v>35</v>
      </c>
      <c r="J6937" t="s">
        <v>6903</v>
      </c>
      <c r="K6937" t="s">
        <v>1092</v>
      </c>
      <c r="M6937">
        <v>2.5</v>
      </c>
      <c r="N6937">
        <v>59</v>
      </c>
      <c r="O6937" t="s">
        <v>52</v>
      </c>
      <c r="Q6937" t="s">
        <v>84</v>
      </c>
      <c r="R6937" t="s">
        <v>6709</v>
      </c>
      <c r="S6937" t="s">
        <v>1022</v>
      </c>
    </row>
    <row r="6938" spans="1:19" x14ac:dyDescent="0.25">
      <c r="A6938" t="s">
        <v>59</v>
      </c>
      <c r="B6938" t="s">
        <v>60</v>
      </c>
      <c r="C6938" t="s">
        <v>32</v>
      </c>
      <c r="D6938" t="s">
        <v>953</v>
      </c>
      <c r="E6938" t="s">
        <v>6878</v>
      </c>
      <c r="F6938" t="s">
        <v>35</v>
      </c>
      <c r="G6938" t="s">
        <v>35</v>
      </c>
      <c r="H6938" t="s">
        <v>35</v>
      </c>
      <c r="J6938" t="s">
        <v>6883</v>
      </c>
      <c r="K6938" t="s">
        <v>1092</v>
      </c>
      <c r="M6938">
        <v>2.5499999999999998</v>
      </c>
      <c r="N6938">
        <v>150</v>
      </c>
      <c r="O6938" t="s">
        <v>38</v>
      </c>
      <c r="Q6938" t="s">
        <v>1612</v>
      </c>
      <c r="R6938" t="s">
        <v>6897</v>
      </c>
      <c r="S6938" t="s">
        <v>1062</v>
      </c>
    </row>
    <row r="6939" spans="1:19" x14ac:dyDescent="0.25">
      <c r="A6939" t="s">
        <v>59</v>
      </c>
      <c r="B6939" t="s">
        <v>60</v>
      </c>
      <c r="C6939" t="s">
        <v>32</v>
      </c>
      <c r="D6939" t="s">
        <v>953</v>
      </c>
      <c r="E6939" t="s">
        <v>6878</v>
      </c>
      <c r="F6939" t="s">
        <v>35</v>
      </c>
      <c r="G6939" t="s">
        <v>35</v>
      </c>
      <c r="H6939" t="s">
        <v>35</v>
      </c>
      <c r="J6939" t="s">
        <v>6883</v>
      </c>
      <c r="K6939" t="s">
        <v>1092</v>
      </c>
      <c r="M6939">
        <v>5</v>
      </c>
      <c r="N6939">
        <v>49</v>
      </c>
      <c r="O6939" t="s">
        <v>52</v>
      </c>
      <c r="Q6939" t="s">
        <v>219</v>
      </c>
      <c r="R6939" t="s">
        <v>6904</v>
      </c>
      <c r="S6939" t="s">
        <v>999</v>
      </c>
    </row>
    <row r="6940" spans="1:19" x14ac:dyDescent="0.25">
      <c r="A6940" t="s">
        <v>59</v>
      </c>
      <c r="B6940" t="s">
        <v>60</v>
      </c>
      <c r="C6940" t="s">
        <v>32</v>
      </c>
      <c r="D6940" t="s">
        <v>953</v>
      </c>
      <c r="E6940" t="s">
        <v>6878</v>
      </c>
      <c r="F6940" t="s">
        <v>35</v>
      </c>
      <c r="G6940" t="s">
        <v>35</v>
      </c>
      <c r="H6940" t="s">
        <v>35</v>
      </c>
      <c r="J6940" t="s">
        <v>6905</v>
      </c>
      <c r="K6940" t="s">
        <v>1092</v>
      </c>
      <c r="M6940">
        <v>1.75</v>
      </c>
      <c r="N6940">
        <v>90</v>
      </c>
      <c r="O6940" t="s">
        <v>61</v>
      </c>
      <c r="Q6940" t="s">
        <v>897</v>
      </c>
      <c r="R6940" t="s">
        <v>6877</v>
      </c>
      <c r="S6940" t="s">
        <v>1041</v>
      </c>
    </row>
    <row r="6941" spans="1:19" x14ac:dyDescent="0.25">
      <c r="A6941" t="s">
        <v>59</v>
      </c>
      <c r="B6941" t="s">
        <v>31</v>
      </c>
      <c r="C6941" t="s">
        <v>32</v>
      </c>
      <c r="D6941" t="s">
        <v>953</v>
      </c>
      <c r="E6941" t="s">
        <v>6878</v>
      </c>
      <c r="F6941" t="s">
        <v>35</v>
      </c>
      <c r="G6941" t="s">
        <v>35</v>
      </c>
      <c r="H6941" t="s">
        <v>35</v>
      </c>
      <c r="J6941" t="s">
        <v>1613</v>
      </c>
      <c r="K6941" t="s">
        <v>1092</v>
      </c>
      <c r="M6941">
        <v>1.2849999999999999</v>
      </c>
      <c r="N6941">
        <v>472</v>
      </c>
      <c r="O6941" t="s">
        <v>294</v>
      </c>
      <c r="Q6941" t="s">
        <v>5151</v>
      </c>
      <c r="R6941" t="s">
        <v>6709</v>
      </c>
      <c r="S6941" t="s">
        <v>1022</v>
      </c>
    </row>
    <row r="6942" spans="1:19" x14ac:dyDescent="0.25">
      <c r="A6942" t="s">
        <v>44</v>
      </c>
      <c r="B6942" t="s">
        <v>3</v>
      </c>
      <c r="C6942" t="s">
        <v>32</v>
      </c>
      <c r="D6942" t="s">
        <v>953</v>
      </c>
      <c r="E6942" t="s">
        <v>6878</v>
      </c>
      <c r="F6942" t="s">
        <v>35</v>
      </c>
      <c r="G6942" t="s">
        <v>35</v>
      </c>
      <c r="H6942" t="s">
        <v>35</v>
      </c>
      <c r="J6942" t="s">
        <v>6906</v>
      </c>
      <c r="K6942" t="s">
        <v>1092</v>
      </c>
      <c r="M6942">
        <v>2.1</v>
      </c>
      <c r="N6942">
        <v>62</v>
      </c>
      <c r="O6942" t="s">
        <v>61</v>
      </c>
      <c r="Q6942" t="s">
        <v>90</v>
      </c>
      <c r="R6942" t="s">
        <v>6709</v>
      </c>
      <c r="S6942" t="s">
        <v>1022</v>
      </c>
    </row>
    <row r="6943" spans="1:19" x14ac:dyDescent="0.25">
      <c r="A6943" t="s">
        <v>59</v>
      </c>
      <c r="B6943" t="s">
        <v>60</v>
      </c>
      <c r="C6943" t="s">
        <v>32</v>
      </c>
      <c r="D6943" t="s">
        <v>953</v>
      </c>
      <c r="E6943" t="s">
        <v>6878</v>
      </c>
      <c r="F6943" t="s">
        <v>35</v>
      </c>
      <c r="G6943" t="s">
        <v>35</v>
      </c>
      <c r="H6943" t="s">
        <v>35</v>
      </c>
      <c r="J6943" t="s">
        <v>6906</v>
      </c>
      <c r="K6943" t="s">
        <v>1092</v>
      </c>
      <c r="M6943">
        <v>2.42</v>
      </c>
      <c r="N6943">
        <v>59</v>
      </c>
      <c r="O6943" t="s">
        <v>52</v>
      </c>
      <c r="Q6943" t="s">
        <v>84</v>
      </c>
      <c r="R6943" t="s">
        <v>6709</v>
      </c>
      <c r="S6943" t="s">
        <v>1022</v>
      </c>
    </row>
    <row r="6944" spans="1:19" x14ac:dyDescent="0.25">
      <c r="A6944" t="s">
        <v>59</v>
      </c>
      <c r="B6944" t="s">
        <v>31</v>
      </c>
      <c r="C6944" t="s">
        <v>32</v>
      </c>
      <c r="D6944" t="s">
        <v>953</v>
      </c>
      <c r="E6944" t="s">
        <v>6878</v>
      </c>
      <c r="F6944" t="s">
        <v>35</v>
      </c>
      <c r="G6944" t="s">
        <v>35</v>
      </c>
      <c r="H6944" t="s">
        <v>35</v>
      </c>
      <c r="J6944" t="s">
        <v>6907</v>
      </c>
      <c r="K6944" t="s">
        <v>1092</v>
      </c>
      <c r="M6944">
        <v>1.62</v>
      </c>
      <c r="N6944">
        <v>93</v>
      </c>
      <c r="O6944" t="s">
        <v>106</v>
      </c>
      <c r="Q6944" t="s">
        <v>941</v>
      </c>
      <c r="R6944" t="s">
        <v>6742</v>
      </c>
      <c r="S6944" t="s">
        <v>1016</v>
      </c>
    </row>
    <row r="6945" spans="1:19" x14ac:dyDescent="0.25">
      <c r="A6945" t="s">
        <v>59</v>
      </c>
      <c r="B6945" t="s">
        <v>31</v>
      </c>
      <c r="C6945" t="s">
        <v>32</v>
      </c>
      <c r="D6945" t="s">
        <v>953</v>
      </c>
      <c r="E6945" t="s">
        <v>6878</v>
      </c>
      <c r="F6945" t="s">
        <v>35</v>
      </c>
      <c r="G6945" t="s">
        <v>35</v>
      </c>
      <c r="H6945" t="s">
        <v>35</v>
      </c>
      <c r="J6945" t="s">
        <v>6908</v>
      </c>
      <c r="K6945" t="s">
        <v>1092</v>
      </c>
      <c r="M6945">
        <v>0.72</v>
      </c>
      <c r="N6945">
        <v>364</v>
      </c>
      <c r="O6945" t="s">
        <v>5</v>
      </c>
      <c r="Q6945" t="s">
        <v>1742</v>
      </c>
      <c r="R6945" t="s">
        <v>987</v>
      </c>
      <c r="S6945" t="s">
        <v>988</v>
      </c>
    </row>
    <row r="6946" spans="1:19" x14ac:dyDescent="0.25">
      <c r="A6946" t="s">
        <v>59</v>
      </c>
      <c r="B6946" t="s">
        <v>60</v>
      </c>
      <c r="C6946" t="s">
        <v>32</v>
      </c>
      <c r="D6946" t="s">
        <v>953</v>
      </c>
      <c r="E6946" t="s">
        <v>6878</v>
      </c>
      <c r="F6946" t="s">
        <v>35</v>
      </c>
      <c r="G6946" t="s">
        <v>35</v>
      </c>
      <c r="H6946" t="s">
        <v>35</v>
      </c>
      <c r="J6946" t="s">
        <v>5097</v>
      </c>
      <c r="K6946" t="s">
        <v>1092</v>
      </c>
      <c r="M6946">
        <v>4</v>
      </c>
      <c r="N6946">
        <v>59</v>
      </c>
      <c r="O6946" t="s">
        <v>52</v>
      </c>
      <c r="Q6946" t="s">
        <v>84</v>
      </c>
      <c r="R6946" t="s">
        <v>133</v>
      </c>
      <c r="S6946" t="s">
        <v>134</v>
      </c>
    </row>
    <row r="6947" spans="1:19" x14ac:dyDescent="0.25">
      <c r="A6947" t="s">
        <v>59</v>
      </c>
      <c r="B6947" t="s">
        <v>60</v>
      </c>
      <c r="C6947" t="s">
        <v>32</v>
      </c>
      <c r="D6947" t="s">
        <v>953</v>
      </c>
      <c r="E6947" t="s">
        <v>6878</v>
      </c>
      <c r="F6947" t="s">
        <v>35</v>
      </c>
      <c r="G6947" t="s">
        <v>35</v>
      </c>
      <c r="H6947" t="s">
        <v>35</v>
      </c>
      <c r="J6947" t="s">
        <v>6909</v>
      </c>
      <c r="K6947" t="s">
        <v>1092</v>
      </c>
      <c r="M6947">
        <v>0.65</v>
      </c>
      <c r="N6947">
        <v>72</v>
      </c>
      <c r="O6947" t="s">
        <v>61</v>
      </c>
      <c r="Q6947" t="s">
        <v>63</v>
      </c>
      <c r="R6947" t="s">
        <v>133</v>
      </c>
      <c r="S6947" t="s">
        <v>134</v>
      </c>
    </row>
    <row r="6948" spans="1:19" x14ac:dyDescent="0.25">
      <c r="A6948" t="s">
        <v>59</v>
      </c>
      <c r="B6948" t="s">
        <v>31</v>
      </c>
      <c r="C6948" t="s">
        <v>32</v>
      </c>
      <c r="D6948" t="s">
        <v>953</v>
      </c>
      <c r="E6948" t="s">
        <v>6878</v>
      </c>
      <c r="F6948" t="s">
        <v>35</v>
      </c>
      <c r="G6948" t="s">
        <v>35</v>
      </c>
      <c r="H6948" t="s">
        <v>35</v>
      </c>
      <c r="J6948" t="s">
        <v>6909</v>
      </c>
      <c r="K6948" t="s">
        <v>1092</v>
      </c>
      <c r="M6948">
        <v>1.26</v>
      </c>
      <c r="N6948">
        <v>244</v>
      </c>
      <c r="O6948" t="s">
        <v>5</v>
      </c>
      <c r="Q6948" t="s">
        <v>1242</v>
      </c>
      <c r="R6948" t="s">
        <v>6709</v>
      </c>
      <c r="S6948" t="s">
        <v>1022</v>
      </c>
    </row>
    <row r="6949" spans="1:19" x14ac:dyDescent="0.25">
      <c r="A6949" t="s">
        <v>30</v>
      </c>
      <c r="B6949" t="s">
        <v>31</v>
      </c>
      <c r="C6949" t="s">
        <v>32</v>
      </c>
      <c r="D6949" t="s">
        <v>953</v>
      </c>
      <c r="E6949" t="s">
        <v>6878</v>
      </c>
      <c r="F6949" t="s">
        <v>35</v>
      </c>
      <c r="G6949" t="s">
        <v>35</v>
      </c>
      <c r="H6949" t="s">
        <v>35</v>
      </c>
      <c r="J6949" t="s">
        <v>6910</v>
      </c>
      <c r="K6949" t="s">
        <v>1092</v>
      </c>
      <c r="M6949">
        <v>6.6150000000000002</v>
      </c>
      <c r="N6949">
        <v>23</v>
      </c>
      <c r="O6949" t="s">
        <v>46</v>
      </c>
      <c r="Q6949" t="s">
        <v>1819</v>
      </c>
      <c r="R6949" t="s">
        <v>987</v>
      </c>
      <c r="S6949" t="s">
        <v>988</v>
      </c>
    </row>
    <row r="6950" spans="1:19" x14ac:dyDescent="0.25">
      <c r="A6950" t="s">
        <v>44</v>
      </c>
      <c r="B6950" t="s">
        <v>3</v>
      </c>
      <c r="C6950" t="s">
        <v>32</v>
      </c>
      <c r="D6950" t="s">
        <v>953</v>
      </c>
      <c r="E6950" t="s">
        <v>6878</v>
      </c>
      <c r="F6950" t="s">
        <v>35</v>
      </c>
      <c r="G6950" t="s">
        <v>35</v>
      </c>
      <c r="H6950" t="s">
        <v>35</v>
      </c>
      <c r="J6950" t="s">
        <v>6911</v>
      </c>
      <c r="K6950" t="s">
        <v>1092</v>
      </c>
      <c r="M6950">
        <v>4.75</v>
      </c>
      <c r="N6950">
        <v>62</v>
      </c>
      <c r="O6950" t="s">
        <v>61</v>
      </c>
      <c r="Q6950" t="s">
        <v>90</v>
      </c>
      <c r="R6950" t="s">
        <v>6709</v>
      </c>
      <c r="S6950" t="s">
        <v>1022</v>
      </c>
    </row>
    <row r="6951" spans="1:19" x14ac:dyDescent="0.25">
      <c r="A6951" t="s">
        <v>59</v>
      </c>
      <c r="B6951" t="s">
        <v>31</v>
      </c>
      <c r="C6951" t="s">
        <v>32</v>
      </c>
      <c r="D6951" t="s">
        <v>953</v>
      </c>
      <c r="E6951" t="s">
        <v>6878</v>
      </c>
      <c r="F6951" t="s">
        <v>35</v>
      </c>
      <c r="G6951" t="s">
        <v>35</v>
      </c>
      <c r="H6951" t="s">
        <v>35</v>
      </c>
      <c r="J6951" t="s">
        <v>6911</v>
      </c>
      <c r="K6951" t="s">
        <v>1092</v>
      </c>
      <c r="M6951">
        <v>4.9950000000000001</v>
      </c>
      <c r="N6951">
        <v>60</v>
      </c>
      <c r="O6951" t="s">
        <v>52</v>
      </c>
      <c r="Q6951" t="s">
        <v>1734</v>
      </c>
      <c r="R6951" t="s">
        <v>6709</v>
      </c>
      <c r="S6951" t="s">
        <v>1022</v>
      </c>
    </row>
    <row r="6952" spans="1:19" x14ac:dyDescent="0.25">
      <c r="A6952" t="s">
        <v>59</v>
      </c>
      <c r="B6952" t="s">
        <v>60</v>
      </c>
      <c r="C6952" t="s">
        <v>32</v>
      </c>
      <c r="D6952" t="s">
        <v>953</v>
      </c>
      <c r="E6952" t="s">
        <v>6878</v>
      </c>
      <c r="F6952" t="s">
        <v>35</v>
      </c>
      <c r="G6952" t="s">
        <v>35</v>
      </c>
      <c r="H6952" t="s">
        <v>35</v>
      </c>
      <c r="J6952" t="s">
        <v>6911</v>
      </c>
      <c r="K6952" t="s">
        <v>1092</v>
      </c>
      <c r="M6952">
        <v>1.7</v>
      </c>
      <c r="N6952">
        <v>60</v>
      </c>
      <c r="O6952" t="s">
        <v>52</v>
      </c>
      <c r="Q6952" t="s">
        <v>1734</v>
      </c>
      <c r="R6952" t="s">
        <v>6709</v>
      </c>
      <c r="S6952" t="s">
        <v>1022</v>
      </c>
    </row>
    <row r="6953" spans="1:19" x14ac:dyDescent="0.25">
      <c r="A6953" t="s">
        <v>59</v>
      </c>
      <c r="B6953" t="s">
        <v>60</v>
      </c>
      <c r="C6953" t="s">
        <v>32</v>
      </c>
      <c r="D6953" t="s">
        <v>953</v>
      </c>
      <c r="E6953" t="s">
        <v>6878</v>
      </c>
      <c r="F6953" t="s">
        <v>35</v>
      </c>
      <c r="G6953" t="s">
        <v>35</v>
      </c>
      <c r="H6953" t="s">
        <v>35</v>
      </c>
      <c r="J6953" t="s">
        <v>6912</v>
      </c>
      <c r="K6953" t="s">
        <v>1092</v>
      </c>
      <c r="M6953">
        <v>0.8</v>
      </c>
      <c r="N6953">
        <v>170</v>
      </c>
      <c r="O6953" t="s">
        <v>38</v>
      </c>
      <c r="Q6953" t="s">
        <v>2780</v>
      </c>
      <c r="R6953" t="s">
        <v>6709</v>
      </c>
      <c r="S6953" t="s">
        <v>1022</v>
      </c>
    </row>
    <row r="6954" spans="1:19" x14ac:dyDescent="0.25">
      <c r="A6954" t="s">
        <v>59</v>
      </c>
      <c r="B6954" t="s">
        <v>60</v>
      </c>
      <c r="C6954" t="s">
        <v>32</v>
      </c>
      <c r="D6954" t="s">
        <v>953</v>
      </c>
      <c r="E6954" t="s">
        <v>6878</v>
      </c>
      <c r="F6954" t="s">
        <v>35</v>
      </c>
      <c r="G6954" t="s">
        <v>35</v>
      </c>
      <c r="H6954" t="s">
        <v>35</v>
      </c>
      <c r="J6954" t="s">
        <v>6913</v>
      </c>
      <c r="K6954" t="s">
        <v>1092</v>
      </c>
      <c r="M6954">
        <v>7.0000000000000007E-2</v>
      </c>
      <c r="N6954">
        <v>245</v>
      </c>
      <c r="O6954" t="s">
        <v>5</v>
      </c>
      <c r="Q6954" t="s">
        <v>111</v>
      </c>
      <c r="R6954" t="s">
        <v>6709</v>
      </c>
      <c r="S6954" t="s">
        <v>1022</v>
      </c>
    </row>
    <row r="6955" spans="1:19" x14ac:dyDescent="0.25">
      <c r="A6955" t="s">
        <v>30</v>
      </c>
      <c r="B6955" t="s">
        <v>31</v>
      </c>
      <c r="C6955" t="s">
        <v>32</v>
      </c>
      <c r="D6955" t="s">
        <v>953</v>
      </c>
      <c r="E6955" t="s">
        <v>6878</v>
      </c>
      <c r="F6955" t="s">
        <v>35</v>
      </c>
      <c r="G6955" t="s">
        <v>35</v>
      </c>
      <c r="H6955" t="s">
        <v>35</v>
      </c>
      <c r="J6955" t="s">
        <v>6914</v>
      </c>
      <c r="K6955" t="s">
        <v>1092</v>
      </c>
      <c r="M6955">
        <v>2.25</v>
      </c>
      <c r="N6955">
        <v>18</v>
      </c>
      <c r="O6955" t="s">
        <v>46</v>
      </c>
      <c r="Q6955" t="s">
        <v>1476</v>
      </c>
      <c r="R6955" t="s">
        <v>6709</v>
      </c>
      <c r="S6955" t="s">
        <v>1022</v>
      </c>
    </row>
    <row r="6956" spans="1:19" x14ac:dyDescent="0.25">
      <c r="A6956" t="s">
        <v>30</v>
      </c>
      <c r="B6956" t="s">
        <v>31</v>
      </c>
      <c r="C6956" t="s">
        <v>32</v>
      </c>
      <c r="D6956" t="s">
        <v>953</v>
      </c>
      <c r="E6956" t="s">
        <v>6878</v>
      </c>
      <c r="F6956" t="s">
        <v>35</v>
      </c>
      <c r="G6956" t="s">
        <v>35</v>
      </c>
      <c r="H6956" t="s">
        <v>35</v>
      </c>
      <c r="J6956" t="s">
        <v>6914</v>
      </c>
      <c r="K6956" t="s">
        <v>1092</v>
      </c>
      <c r="M6956">
        <v>5.1749999999999998</v>
      </c>
      <c r="N6956">
        <v>20</v>
      </c>
      <c r="O6956" t="s">
        <v>46</v>
      </c>
      <c r="Q6956" t="s">
        <v>1004</v>
      </c>
      <c r="R6956" t="s">
        <v>6723</v>
      </c>
      <c r="S6956" t="s">
        <v>6724</v>
      </c>
    </row>
    <row r="6957" spans="1:19" x14ac:dyDescent="0.25">
      <c r="A6957" t="s">
        <v>44</v>
      </c>
      <c r="B6957" t="s">
        <v>51</v>
      </c>
      <c r="C6957" t="s">
        <v>32</v>
      </c>
      <c r="D6957" t="s">
        <v>953</v>
      </c>
      <c r="E6957" t="s">
        <v>6878</v>
      </c>
      <c r="F6957" t="s">
        <v>35</v>
      </c>
      <c r="G6957" t="s">
        <v>35</v>
      </c>
      <c r="H6957" t="s">
        <v>35</v>
      </c>
      <c r="J6957" t="s">
        <v>6915</v>
      </c>
      <c r="K6957" t="s">
        <v>1092</v>
      </c>
      <c r="M6957">
        <v>0.8</v>
      </c>
      <c r="N6957">
        <v>61</v>
      </c>
      <c r="O6957" t="s">
        <v>61</v>
      </c>
      <c r="Q6957" t="s">
        <v>671</v>
      </c>
      <c r="R6957" t="s">
        <v>6899</v>
      </c>
      <c r="S6957" t="s">
        <v>6900</v>
      </c>
    </row>
    <row r="6958" spans="1:19" x14ac:dyDescent="0.25">
      <c r="A6958" t="s">
        <v>59</v>
      </c>
      <c r="B6958" t="s">
        <v>60</v>
      </c>
      <c r="C6958" t="s">
        <v>32</v>
      </c>
      <c r="D6958" t="s">
        <v>953</v>
      </c>
      <c r="E6958" t="s">
        <v>6878</v>
      </c>
      <c r="F6958" t="s">
        <v>35</v>
      </c>
      <c r="G6958" t="s">
        <v>35</v>
      </c>
      <c r="H6958" t="s">
        <v>35</v>
      </c>
      <c r="J6958" t="s">
        <v>6915</v>
      </c>
      <c r="K6958" t="s">
        <v>1092</v>
      </c>
      <c r="M6958">
        <v>1.75</v>
      </c>
      <c r="N6958">
        <v>93</v>
      </c>
      <c r="O6958" t="s">
        <v>106</v>
      </c>
      <c r="Q6958" t="s">
        <v>941</v>
      </c>
      <c r="R6958" t="s">
        <v>987</v>
      </c>
      <c r="S6958" t="s">
        <v>988</v>
      </c>
    </row>
    <row r="6959" spans="1:19" x14ac:dyDescent="0.25">
      <c r="A6959" t="s">
        <v>59</v>
      </c>
      <c r="B6959" t="s">
        <v>31</v>
      </c>
      <c r="C6959" t="s">
        <v>32</v>
      </c>
      <c r="D6959" t="s">
        <v>953</v>
      </c>
      <c r="E6959" t="s">
        <v>6878</v>
      </c>
      <c r="F6959" t="s">
        <v>35</v>
      </c>
      <c r="G6959" t="s">
        <v>35</v>
      </c>
      <c r="H6959" t="s">
        <v>35</v>
      </c>
      <c r="J6959" t="s">
        <v>6916</v>
      </c>
      <c r="K6959" t="s">
        <v>1092</v>
      </c>
      <c r="M6959">
        <v>0.22500000000000001</v>
      </c>
      <c r="N6959">
        <v>146</v>
      </c>
      <c r="O6959" t="s">
        <v>38</v>
      </c>
      <c r="Q6959" t="s">
        <v>1335</v>
      </c>
      <c r="R6959" t="s">
        <v>6709</v>
      </c>
      <c r="S6959" t="s">
        <v>1022</v>
      </c>
    </row>
    <row r="6960" spans="1:19" x14ac:dyDescent="0.25">
      <c r="A6960" t="s">
        <v>30</v>
      </c>
      <c r="B6960" t="s">
        <v>31</v>
      </c>
      <c r="C6960" t="s">
        <v>32</v>
      </c>
      <c r="D6960" t="s">
        <v>953</v>
      </c>
      <c r="E6960" t="s">
        <v>6878</v>
      </c>
      <c r="F6960" t="s">
        <v>35</v>
      </c>
      <c r="G6960" t="s">
        <v>35</v>
      </c>
      <c r="H6960" t="s">
        <v>35</v>
      </c>
      <c r="J6960" t="s">
        <v>6917</v>
      </c>
      <c r="K6960" t="s">
        <v>1092</v>
      </c>
      <c r="M6960">
        <v>2.25</v>
      </c>
      <c r="N6960">
        <v>18</v>
      </c>
      <c r="O6960" t="s">
        <v>46</v>
      </c>
      <c r="Q6960" t="s">
        <v>1476</v>
      </c>
      <c r="R6960" t="s">
        <v>6709</v>
      </c>
      <c r="S6960" t="s">
        <v>1022</v>
      </c>
    </row>
    <row r="6961" spans="1:19" x14ac:dyDescent="0.25">
      <c r="A6961" t="s">
        <v>59</v>
      </c>
      <c r="B6961" t="s">
        <v>60</v>
      </c>
      <c r="C6961" t="s">
        <v>32</v>
      </c>
      <c r="D6961" t="s">
        <v>953</v>
      </c>
      <c r="E6961" t="s">
        <v>6878</v>
      </c>
      <c r="F6961" t="s">
        <v>35</v>
      </c>
      <c r="G6961" t="s">
        <v>35</v>
      </c>
      <c r="H6961" t="s">
        <v>35</v>
      </c>
      <c r="J6961" t="s">
        <v>6918</v>
      </c>
      <c r="K6961" t="s">
        <v>1092</v>
      </c>
      <c r="M6961">
        <v>0.95</v>
      </c>
      <c r="N6961">
        <v>166</v>
      </c>
      <c r="O6961" t="s">
        <v>38</v>
      </c>
      <c r="Q6961" t="s">
        <v>2316</v>
      </c>
      <c r="R6961" t="s">
        <v>133</v>
      </c>
      <c r="S6961" t="s">
        <v>134</v>
      </c>
    </row>
    <row r="6962" spans="1:19" x14ac:dyDescent="0.25">
      <c r="A6962" t="s">
        <v>59</v>
      </c>
      <c r="B6962" t="s">
        <v>31</v>
      </c>
      <c r="C6962" t="s">
        <v>32</v>
      </c>
      <c r="D6962" t="s">
        <v>953</v>
      </c>
      <c r="E6962" t="s">
        <v>6878</v>
      </c>
      <c r="F6962" t="s">
        <v>35</v>
      </c>
      <c r="G6962" t="s">
        <v>35</v>
      </c>
      <c r="H6962" t="s">
        <v>35</v>
      </c>
      <c r="J6962" t="s">
        <v>6919</v>
      </c>
      <c r="K6962" t="s">
        <v>1092</v>
      </c>
      <c r="M6962">
        <v>2.7</v>
      </c>
      <c r="N6962">
        <v>90</v>
      </c>
      <c r="O6962" t="s">
        <v>61</v>
      </c>
      <c r="Q6962" t="s">
        <v>897</v>
      </c>
      <c r="R6962" t="s">
        <v>6720</v>
      </c>
      <c r="S6962" t="s">
        <v>961</v>
      </c>
    </row>
    <row r="6963" spans="1:19" x14ac:dyDescent="0.25">
      <c r="A6963" t="s">
        <v>59</v>
      </c>
      <c r="B6963" t="s">
        <v>60</v>
      </c>
      <c r="C6963" t="s">
        <v>32</v>
      </c>
      <c r="D6963" t="s">
        <v>953</v>
      </c>
      <c r="E6963" t="s">
        <v>6878</v>
      </c>
      <c r="F6963" t="s">
        <v>35</v>
      </c>
      <c r="G6963" t="s">
        <v>35</v>
      </c>
      <c r="H6963" t="s">
        <v>35</v>
      </c>
      <c r="J6963" t="s">
        <v>6919</v>
      </c>
      <c r="K6963" t="s">
        <v>1092</v>
      </c>
      <c r="M6963">
        <v>8</v>
      </c>
      <c r="N6963">
        <v>199</v>
      </c>
      <c r="O6963" t="s">
        <v>5</v>
      </c>
      <c r="Q6963" t="s">
        <v>1720</v>
      </c>
      <c r="R6963" t="s">
        <v>6807</v>
      </c>
      <c r="S6963" t="s">
        <v>1066</v>
      </c>
    </row>
    <row r="6964" spans="1:19" x14ac:dyDescent="0.25">
      <c r="A6964" t="s">
        <v>59</v>
      </c>
      <c r="B6964" t="s">
        <v>60</v>
      </c>
      <c r="C6964" t="s">
        <v>32</v>
      </c>
      <c r="D6964" t="s">
        <v>953</v>
      </c>
      <c r="E6964" t="s">
        <v>6878</v>
      </c>
      <c r="F6964" t="s">
        <v>35</v>
      </c>
      <c r="G6964" t="s">
        <v>35</v>
      </c>
      <c r="H6964" t="s">
        <v>35</v>
      </c>
      <c r="J6964" t="s">
        <v>6920</v>
      </c>
      <c r="K6964" t="s">
        <v>1092</v>
      </c>
      <c r="M6964">
        <v>1</v>
      </c>
      <c r="N6964">
        <v>67</v>
      </c>
      <c r="O6964" t="s">
        <v>61</v>
      </c>
      <c r="Q6964" t="s">
        <v>1311</v>
      </c>
      <c r="R6964" t="s">
        <v>133</v>
      </c>
      <c r="S6964" t="s">
        <v>134</v>
      </c>
    </row>
    <row r="6965" spans="1:19" x14ac:dyDescent="0.25">
      <c r="A6965" t="s">
        <v>59</v>
      </c>
      <c r="B6965" t="s">
        <v>60</v>
      </c>
      <c r="C6965" t="s">
        <v>32</v>
      </c>
      <c r="D6965" t="s">
        <v>953</v>
      </c>
      <c r="E6965" t="s">
        <v>6878</v>
      </c>
      <c r="F6965" t="s">
        <v>35</v>
      </c>
      <c r="G6965" t="s">
        <v>35</v>
      </c>
      <c r="H6965" t="s">
        <v>35</v>
      </c>
      <c r="J6965" t="s">
        <v>6920</v>
      </c>
      <c r="K6965" t="s">
        <v>1092</v>
      </c>
      <c r="M6965">
        <v>5</v>
      </c>
      <c r="N6965">
        <v>59</v>
      </c>
      <c r="O6965" t="s">
        <v>52</v>
      </c>
      <c r="Q6965" t="s">
        <v>84</v>
      </c>
      <c r="R6965" t="s">
        <v>6709</v>
      </c>
      <c r="S6965" t="s">
        <v>1022</v>
      </c>
    </row>
    <row r="6966" spans="1:19" x14ac:dyDescent="0.25">
      <c r="A6966" t="s">
        <v>59</v>
      </c>
      <c r="B6966" t="s">
        <v>31</v>
      </c>
      <c r="C6966" t="s">
        <v>32</v>
      </c>
      <c r="D6966" t="s">
        <v>953</v>
      </c>
      <c r="E6966" t="s">
        <v>6878</v>
      </c>
      <c r="F6966" t="s">
        <v>35</v>
      </c>
      <c r="G6966" t="s">
        <v>35</v>
      </c>
      <c r="H6966" t="s">
        <v>35</v>
      </c>
      <c r="J6966" t="s">
        <v>6921</v>
      </c>
      <c r="K6966" t="s">
        <v>1092</v>
      </c>
      <c r="M6966">
        <v>1.8</v>
      </c>
      <c r="N6966">
        <v>54</v>
      </c>
      <c r="O6966" t="s">
        <v>52</v>
      </c>
      <c r="Q6966" t="s">
        <v>1207</v>
      </c>
      <c r="R6966" t="s">
        <v>6847</v>
      </c>
      <c r="S6966" t="s">
        <v>1034</v>
      </c>
    </row>
    <row r="6967" spans="1:19" x14ac:dyDescent="0.25">
      <c r="A6967" t="s">
        <v>44</v>
      </c>
      <c r="B6967" t="s">
        <v>3</v>
      </c>
      <c r="C6967" t="s">
        <v>32</v>
      </c>
      <c r="D6967" t="s">
        <v>953</v>
      </c>
      <c r="E6967" t="s">
        <v>6878</v>
      </c>
      <c r="F6967" t="s">
        <v>35</v>
      </c>
      <c r="G6967" t="s">
        <v>35</v>
      </c>
      <c r="H6967" t="s">
        <v>35</v>
      </c>
      <c r="J6967" t="s">
        <v>6908</v>
      </c>
      <c r="K6967" t="s">
        <v>1092</v>
      </c>
      <c r="M6967">
        <v>0.25</v>
      </c>
      <c r="N6967">
        <v>489</v>
      </c>
      <c r="O6967" t="s">
        <v>294</v>
      </c>
      <c r="Q6967" t="s">
        <v>2729</v>
      </c>
      <c r="R6967" t="s">
        <v>6922</v>
      </c>
      <c r="S6967" t="s">
        <v>6923</v>
      </c>
    </row>
    <row r="6968" spans="1:19" x14ac:dyDescent="0.25">
      <c r="A6968" t="s">
        <v>59</v>
      </c>
      <c r="B6968" t="s">
        <v>60</v>
      </c>
      <c r="C6968" t="s">
        <v>32</v>
      </c>
      <c r="D6968" t="s">
        <v>953</v>
      </c>
      <c r="E6968" t="s">
        <v>6878</v>
      </c>
      <c r="F6968" t="s">
        <v>35</v>
      </c>
      <c r="G6968" t="s">
        <v>35</v>
      </c>
      <c r="H6968" t="s">
        <v>35</v>
      </c>
      <c r="J6968" t="s">
        <v>6925</v>
      </c>
      <c r="K6968" t="s">
        <v>1092</v>
      </c>
      <c r="M6968">
        <v>4.7</v>
      </c>
      <c r="N6968">
        <v>65</v>
      </c>
      <c r="O6968" t="s">
        <v>61</v>
      </c>
      <c r="Q6968" t="s">
        <v>128</v>
      </c>
      <c r="R6968" t="s">
        <v>6742</v>
      </c>
      <c r="S6968" t="s">
        <v>1016</v>
      </c>
    </row>
    <row r="6969" spans="1:19" x14ac:dyDescent="0.25">
      <c r="A6969" t="s">
        <v>44</v>
      </c>
      <c r="B6969" t="s">
        <v>3</v>
      </c>
      <c r="C6969" t="s">
        <v>32</v>
      </c>
      <c r="D6969" t="s">
        <v>953</v>
      </c>
      <c r="E6969" t="s">
        <v>6878</v>
      </c>
      <c r="F6969" t="s">
        <v>35</v>
      </c>
      <c r="G6969" t="s">
        <v>35</v>
      </c>
      <c r="H6969" t="s">
        <v>35</v>
      </c>
      <c r="J6969" t="s">
        <v>6926</v>
      </c>
      <c r="K6969" t="s">
        <v>1092</v>
      </c>
      <c r="M6969">
        <v>0.5</v>
      </c>
      <c r="N6969">
        <v>61</v>
      </c>
      <c r="O6969" t="s">
        <v>61</v>
      </c>
      <c r="Q6969" t="s">
        <v>671</v>
      </c>
      <c r="R6969" t="s">
        <v>6847</v>
      </c>
      <c r="S6969" t="s">
        <v>1034</v>
      </c>
    </row>
    <row r="6970" spans="1:19" x14ac:dyDescent="0.25">
      <c r="A6970" t="s">
        <v>59</v>
      </c>
      <c r="B6970" t="s">
        <v>60</v>
      </c>
      <c r="C6970" t="s">
        <v>32</v>
      </c>
      <c r="D6970" t="s">
        <v>953</v>
      </c>
      <c r="E6970" t="s">
        <v>6878</v>
      </c>
      <c r="F6970" t="s">
        <v>35</v>
      </c>
      <c r="G6970" t="s">
        <v>35</v>
      </c>
      <c r="H6970" t="s">
        <v>35</v>
      </c>
      <c r="J6970" t="s">
        <v>6926</v>
      </c>
      <c r="K6970" t="s">
        <v>1092</v>
      </c>
      <c r="M6970">
        <v>1</v>
      </c>
      <c r="N6970">
        <v>76</v>
      </c>
      <c r="O6970" t="s">
        <v>61</v>
      </c>
      <c r="Q6970" t="s">
        <v>234</v>
      </c>
      <c r="R6970" t="s">
        <v>6847</v>
      </c>
      <c r="S6970" t="s">
        <v>1034</v>
      </c>
    </row>
    <row r="6971" spans="1:19" x14ac:dyDescent="0.25">
      <c r="A6971" t="s">
        <v>59</v>
      </c>
      <c r="B6971" t="s">
        <v>60</v>
      </c>
      <c r="C6971" t="s">
        <v>32</v>
      </c>
      <c r="D6971" t="s">
        <v>953</v>
      </c>
      <c r="E6971" t="s">
        <v>6878</v>
      </c>
      <c r="F6971" t="s">
        <v>35</v>
      </c>
      <c r="G6971" t="s">
        <v>35</v>
      </c>
      <c r="H6971" t="s">
        <v>35</v>
      </c>
      <c r="J6971" t="s">
        <v>6926</v>
      </c>
      <c r="K6971" t="s">
        <v>1092</v>
      </c>
      <c r="M6971">
        <v>0.65</v>
      </c>
      <c r="N6971">
        <v>175</v>
      </c>
      <c r="O6971" t="s">
        <v>38</v>
      </c>
      <c r="Q6971" t="s">
        <v>1692</v>
      </c>
      <c r="R6971" t="s">
        <v>6847</v>
      </c>
      <c r="S6971" t="s">
        <v>1034</v>
      </c>
    </row>
    <row r="6972" spans="1:19" x14ac:dyDescent="0.25">
      <c r="A6972" t="s">
        <v>59</v>
      </c>
      <c r="B6972" t="s">
        <v>60</v>
      </c>
      <c r="C6972" t="s">
        <v>32</v>
      </c>
      <c r="D6972" t="s">
        <v>953</v>
      </c>
      <c r="E6972" t="s">
        <v>6878</v>
      </c>
      <c r="F6972" t="s">
        <v>35</v>
      </c>
      <c r="G6972" t="s">
        <v>35</v>
      </c>
      <c r="H6972" t="s">
        <v>35</v>
      </c>
      <c r="J6972" t="s">
        <v>6926</v>
      </c>
      <c r="K6972" t="s">
        <v>1092</v>
      </c>
      <c r="M6972">
        <v>0.5</v>
      </c>
      <c r="N6972">
        <v>61</v>
      </c>
      <c r="O6972" t="s">
        <v>61</v>
      </c>
      <c r="Q6972" t="s">
        <v>671</v>
      </c>
      <c r="R6972" t="s">
        <v>6847</v>
      </c>
      <c r="S6972" t="s">
        <v>1034</v>
      </c>
    </row>
    <row r="6973" spans="1:19" x14ac:dyDescent="0.25">
      <c r="A6973" t="s">
        <v>44</v>
      </c>
      <c r="B6973" t="s">
        <v>3</v>
      </c>
      <c r="C6973" t="s">
        <v>32</v>
      </c>
      <c r="D6973" t="s">
        <v>953</v>
      </c>
      <c r="E6973" t="s">
        <v>6878</v>
      </c>
      <c r="F6973" t="s">
        <v>35</v>
      </c>
      <c r="G6973" t="s">
        <v>35</v>
      </c>
      <c r="H6973" t="s">
        <v>35</v>
      </c>
      <c r="J6973" t="s">
        <v>6928</v>
      </c>
      <c r="K6973" t="s">
        <v>1092</v>
      </c>
      <c r="M6973">
        <v>0.05</v>
      </c>
      <c r="N6973">
        <v>481</v>
      </c>
      <c r="O6973" t="s">
        <v>294</v>
      </c>
      <c r="Q6973" t="s">
        <v>1682</v>
      </c>
      <c r="R6973" t="s">
        <v>6922</v>
      </c>
      <c r="S6973" t="s">
        <v>6923</v>
      </c>
    </row>
    <row r="6974" spans="1:19" x14ac:dyDescent="0.25">
      <c r="A6974" t="s">
        <v>30</v>
      </c>
      <c r="B6974" t="s">
        <v>31</v>
      </c>
      <c r="C6974" t="s">
        <v>32</v>
      </c>
      <c r="D6974" t="s">
        <v>953</v>
      </c>
      <c r="E6974" t="s">
        <v>6878</v>
      </c>
      <c r="F6974" t="s">
        <v>35</v>
      </c>
      <c r="G6974" t="s">
        <v>35</v>
      </c>
      <c r="H6974" t="s">
        <v>35</v>
      </c>
      <c r="J6974" t="s">
        <v>6929</v>
      </c>
      <c r="K6974" t="s">
        <v>1092</v>
      </c>
      <c r="M6974">
        <v>0.94499999999999995</v>
      </c>
      <c r="N6974">
        <v>206</v>
      </c>
      <c r="O6974" t="s">
        <v>5</v>
      </c>
      <c r="Q6974" t="s">
        <v>1328</v>
      </c>
      <c r="R6974" t="s">
        <v>6847</v>
      </c>
      <c r="S6974" t="s">
        <v>1034</v>
      </c>
    </row>
    <row r="6975" spans="1:19" x14ac:dyDescent="0.25">
      <c r="A6975" t="s">
        <v>30</v>
      </c>
      <c r="B6975" t="s">
        <v>31</v>
      </c>
      <c r="C6975" t="s">
        <v>32</v>
      </c>
      <c r="D6975" t="s">
        <v>953</v>
      </c>
      <c r="E6975" t="s">
        <v>6878</v>
      </c>
      <c r="F6975" t="s">
        <v>35</v>
      </c>
      <c r="G6975" t="s">
        <v>35</v>
      </c>
      <c r="H6975" t="s">
        <v>35</v>
      </c>
      <c r="J6975" t="s">
        <v>6929</v>
      </c>
      <c r="K6975" t="s">
        <v>1092</v>
      </c>
      <c r="M6975">
        <v>5.49</v>
      </c>
      <c r="N6975">
        <v>48</v>
      </c>
      <c r="O6975" t="s">
        <v>52</v>
      </c>
      <c r="Q6975" t="s">
        <v>496</v>
      </c>
      <c r="R6975" t="s">
        <v>6847</v>
      </c>
      <c r="S6975" t="s">
        <v>1034</v>
      </c>
    </row>
    <row r="6976" spans="1:19" x14ac:dyDescent="0.25">
      <c r="A6976" t="s">
        <v>30</v>
      </c>
      <c r="B6976" t="s">
        <v>31</v>
      </c>
      <c r="C6976" t="s">
        <v>32</v>
      </c>
      <c r="D6976" t="s">
        <v>953</v>
      </c>
      <c r="E6976" t="s">
        <v>6878</v>
      </c>
      <c r="F6976" t="s">
        <v>35</v>
      </c>
      <c r="G6976" t="s">
        <v>35</v>
      </c>
      <c r="H6976" t="s">
        <v>35</v>
      </c>
      <c r="J6976" t="s">
        <v>6929</v>
      </c>
      <c r="K6976" t="s">
        <v>1092</v>
      </c>
      <c r="M6976">
        <v>5.49</v>
      </c>
      <c r="N6976">
        <v>34</v>
      </c>
      <c r="O6976" t="s">
        <v>52</v>
      </c>
      <c r="Q6976" t="s">
        <v>809</v>
      </c>
      <c r="R6976" t="s">
        <v>6847</v>
      </c>
      <c r="S6976" t="s">
        <v>1034</v>
      </c>
    </row>
    <row r="6977" spans="1:19" x14ac:dyDescent="0.25">
      <c r="A6977" t="s">
        <v>59</v>
      </c>
      <c r="B6977" t="s">
        <v>31</v>
      </c>
      <c r="C6977" t="s">
        <v>32</v>
      </c>
      <c r="D6977" t="s">
        <v>953</v>
      </c>
      <c r="E6977" t="s">
        <v>6878</v>
      </c>
      <c r="F6977" t="s">
        <v>35</v>
      </c>
      <c r="G6977" t="s">
        <v>35</v>
      </c>
      <c r="H6977" t="s">
        <v>35</v>
      </c>
      <c r="J6977" t="s">
        <v>6929</v>
      </c>
      <c r="K6977" t="s">
        <v>1092</v>
      </c>
      <c r="M6977">
        <v>4.9950000000000001</v>
      </c>
      <c r="N6977">
        <v>62</v>
      </c>
      <c r="O6977" t="s">
        <v>61</v>
      </c>
      <c r="Q6977" t="s">
        <v>90</v>
      </c>
      <c r="R6977" t="s">
        <v>6847</v>
      </c>
      <c r="S6977" t="s">
        <v>1034</v>
      </c>
    </row>
    <row r="6978" spans="1:19" x14ac:dyDescent="0.25">
      <c r="A6978" t="s">
        <v>44</v>
      </c>
      <c r="B6978" t="s">
        <v>3</v>
      </c>
      <c r="C6978" t="s">
        <v>32</v>
      </c>
      <c r="D6978" t="s">
        <v>953</v>
      </c>
      <c r="E6978" t="s">
        <v>6878</v>
      </c>
      <c r="F6978" t="s">
        <v>35</v>
      </c>
      <c r="G6978" t="s">
        <v>35</v>
      </c>
      <c r="H6978" t="s">
        <v>35</v>
      </c>
      <c r="J6978" t="s">
        <v>6929</v>
      </c>
      <c r="K6978" t="s">
        <v>1092</v>
      </c>
      <c r="M6978">
        <v>0.5</v>
      </c>
      <c r="N6978">
        <v>245</v>
      </c>
      <c r="O6978" t="s">
        <v>5</v>
      </c>
      <c r="Q6978" t="s">
        <v>111</v>
      </c>
      <c r="R6978" t="s">
        <v>6891</v>
      </c>
      <c r="S6978" t="s">
        <v>1085</v>
      </c>
    </row>
    <row r="6979" spans="1:19" x14ac:dyDescent="0.25">
      <c r="A6979" t="s">
        <v>59</v>
      </c>
      <c r="B6979" t="s">
        <v>60</v>
      </c>
      <c r="C6979" t="s">
        <v>32</v>
      </c>
      <c r="D6979" t="s">
        <v>953</v>
      </c>
      <c r="E6979" t="s">
        <v>6878</v>
      </c>
      <c r="F6979" t="s">
        <v>35</v>
      </c>
      <c r="G6979" t="s">
        <v>35</v>
      </c>
      <c r="H6979" t="s">
        <v>35</v>
      </c>
      <c r="J6979" t="s">
        <v>6930</v>
      </c>
      <c r="K6979" t="s">
        <v>1092</v>
      </c>
      <c r="M6979">
        <v>0.45</v>
      </c>
      <c r="N6979">
        <v>250</v>
      </c>
      <c r="O6979" t="s">
        <v>5</v>
      </c>
      <c r="Q6979" t="s">
        <v>3296</v>
      </c>
      <c r="R6979" t="s">
        <v>133</v>
      </c>
      <c r="S6979" t="s">
        <v>134</v>
      </c>
    </row>
    <row r="6980" spans="1:19" x14ac:dyDescent="0.25">
      <c r="A6980" t="s">
        <v>59</v>
      </c>
      <c r="B6980" t="s">
        <v>60</v>
      </c>
      <c r="C6980" t="s">
        <v>32</v>
      </c>
      <c r="D6980" t="s">
        <v>953</v>
      </c>
      <c r="E6980" t="s">
        <v>6878</v>
      </c>
      <c r="F6980" t="s">
        <v>35</v>
      </c>
      <c r="G6980" t="s">
        <v>35</v>
      </c>
      <c r="H6980" t="s">
        <v>35</v>
      </c>
      <c r="J6980" t="s">
        <v>6931</v>
      </c>
      <c r="K6980" t="s">
        <v>1092</v>
      </c>
      <c r="M6980">
        <v>0.05</v>
      </c>
      <c r="N6980">
        <v>2529</v>
      </c>
      <c r="O6980" t="s">
        <v>575</v>
      </c>
      <c r="Q6980" t="s">
        <v>6932</v>
      </c>
      <c r="R6980" t="s">
        <v>6933</v>
      </c>
      <c r="S6980" t="s">
        <v>6934</v>
      </c>
    </row>
    <row r="6981" spans="1:19" x14ac:dyDescent="0.25">
      <c r="A6981" t="s">
        <v>59</v>
      </c>
      <c r="B6981" t="s">
        <v>60</v>
      </c>
      <c r="C6981" t="s">
        <v>32</v>
      </c>
      <c r="D6981" t="s">
        <v>953</v>
      </c>
      <c r="E6981" t="s">
        <v>6878</v>
      </c>
      <c r="F6981" t="s">
        <v>35</v>
      </c>
      <c r="G6981" t="s">
        <v>35</v>
      </c>
      <c r="H6981" t="s">
        <v>35</v>
      </c>
      <c r="J6981" t="s">
        <v>1885</v>
      </c>
      <c r="K6981" t="s">
        <v>1092</v>
      </c>
      <c r="M6981">
        <v>0.25</v>
      </c>
      <c r="N6981">
        <v>585</v>
      </c>
      <c r="O6981" t="s">
        <v>575</v>
      </c>
      <c r="Q6981" t="s">
        <v>1416</v>
      </c>
      <c r="R6981" t="s">
        <v>6890</v>
      </c>
      <c r="S6981" t="s">
        <v>6880</v>
      </c>
    </row>
    <row r="6982" spans="1:19" x14ac:dyDescent="0.25">
      <c r="A6982" t="s">
        <v>59</v>
      </c>
      <c r="B6982" t="s">
        <v>60</v>
      </c>
      <c r="C6982" t="s">
        <v>32</v>
      </c>
      <c r="D6982" t="s">
        <v>953</v>
      </c>
      <c r="E6982" t="s">
        <v>6878</v>
      </c>
      <c r="F6982" t="s">
        <v>35</v>
      </c>
      <c r="G6982" t="s">
        <v>35</v>
      </c>
      <c r="H6982" t="s">
        <v>35</v>
      </c>
      <c r="J6982" t="s">
        <v>1885</v>
      </c>
      <c r="K6982" t="s">
        <v>1092</v>
      </c>
      <c r="M6982">
        <v>1</v>
      </c>
      <c r="N6982">
        <v>576</v>
      </c>
      <c r="O6982" t="s">
        <v>575</v>
      </c>
      <c r="Q6982" t="s">
        <v>2557</v>
      </c>
      <c r="R6982" t="s">
        <v>6890</v>
      </c>
      <c r="S6982" t="s">
        <v>6880</v>
      </c>
    </row>
    <row r="6983" spans="1:19" x14ac:dyDescent="0.25">
      <c r="A6983" t="s">
        <v>59</v>
      </c>
      <c r="B6983" t="s">
        <v>60</v>
      </c>
      <c r="C6983" t="s">
        <v>32</v>
      </c>
      <c r="D6983" t="s">
        <v>953</v>
      </c>
      <c r="E6983" t="s">
        <v>6878</v>
      </c>
      <c r="F6983" t="s">
        <v>35</v>
      </c>
      <c r="G6983" t="s">
        <v>35</v>
      </c>
      <c r="H6983" t="s">
        <v>35</v>
      </c>
      <c r="J6983" t="s">
        <v>1885</v>
      </c>
      <c r="K6983" t="s">
        <v>1092</v>
      </c>
      <c r="M6983">
        <v>0.3</v>
      </c>
      <c r="N6983">
        <v>604</v>
      </c>
      <c r="O6983" t="s">
        <v>575</v>
      </c>
      <c r="Q6983" t="s">
        <v>1854</v>
      </c>
      <c r="R6983" t="s">
        <v>6890</v>
      </c>
      <c r="S6983" t="s">
        <v>6880</v>
      </c>
    </row>
    <row r="6984" spans="1:19" x14ac:dyDescent="0.25">
      <c r="A6984" t="s">
        <v>59</v>
      </c>
      <c r="B6984" t="s">
        <v>60</v>
      </c>
      <c r="C6984" t="s">
        <v>32</v>
      </c>
      <c r="D6984" t="s">
        <v>953</v>
      </c>
      <c r="E6984" t="s">
        <v>6878</v>
      </c>
      <c r="F6984" t="s">
        <v>35</v>
      </c>
      <c r="G6984" t="s">
        <v>35</v>
      </c>
      <c r="H6984" t="s">
        <v>35</v>
      </c>
      <c r="J6984" t="s">
        <v>628</v>
      </c>
      <c r="K6984" t="s">
        <v>1092</v>
      </c>
      <c r="M6984">
        <v>1.7</v>
      </c>
      <c r="N6984">
        <v>181</v>
      </c>
      <c r="O6984" t="s">
        <v>5</v>
      </c>
      <c r="Q6984" t="s">
        <v>1684</v>
      </c>
      <c r="R6984" t="s">
        <v>6742</v>
      </c>
      <c r="S6984" t="s">
        <v>1016</v>
      </c>
    </row>
    <row r="6985" spans="1:19" x14ac:dyDescent="0.25">
      <c r="A6985" t="s">
        <v>59</v>
      </c>
      <c r="B6985" t="s">
        <v>31</v>
      </c>
      <c r="C6985" t="s">
        <v>32</v>
      </c>
      <c r="D6985" t="s">
        <v>953</v>
      </c>
      <c r="E6985" t="s">
        <v>6878</v>
      </c>
      <c r="F6985" t="s">
        <v>35</v>
      </c>
      <c r="G6985" t="s">
        <v>35</v>
      </c>
      <c r="H6985" t="s">
        <v>35</v>
      </c>
      <c r="J6985" t="s">
        <v>6936</v>
      </c>
      <c r="K6985" t="s">
        <v>1092</v>
      </c>
      <c r="M6985">
        <v>4.9950000000000001</v>
      </c>
      <c r="N6985">
        <v>60</v>
      </c>
      <c r="O6985" t="s">
        <v>52</v>
      </c>
      <c r="Q6985" t="s">
        <v>1734</v>
      </c>
      <c r="R6985" t="s">
        <v>6720</v>
      </c>
      <c r="S6985" t="s">
        <v>961</v>
      </c>
    </row>
    <row r="6986" spans="1:19" x14ac:dyDescent="0.25">
      <c r="A6986" t="s">
        <v>59</v>
      </c>
      <c r="B6986" t="s">
        <v>60</v>
      </c>
      <c r="C6986" t="s">
        <v>32</v>
      </c>
      <c r="D6986" t="s">
        <v>953</v>
      </c>
      <c r="E6986" t="s">
        <v>6878</v>
      </c>
      <c r="F6986" t="s">
        <v>35</v>
      </c>
      <c r="G6986" t="s">
        <v>35</v>
      </c>
      <c r="H6986" t="s">
        <v>35</v>
      </c>
      <c r="J6986" t="s">
        <v>6936</v>
      </c>
      <c r="K6986" t="s">
        <v>1092</v>
      </c>
      <c r="M6986">
        <v>5</v>
      </c>
      <c r="N6986">
        <v>60</v>
      </c>
      <c r="O6986" t="s">
        <v>52</v>
      </c>
      <c r="Q6986" t="s">
        <v>1734</v>
      </c>
      <c r="R6986" t="s">
        <v>6720</v>
      </c>
      <c r="S6986" t="s">
        <v>961</v>
      </c>
    </row>
    <row r="6987" spans="1:19" x14ac:dyDescent="0.25">
      <c r="A6987" t="s">
        <v>30</v>
      </c>
      <c r="B6987" t="s">
        <v>31</v>
      </c>
      <c r="C6987" t="s">
        <v>32</v>
      </c>
      <c r="D6987" t="s">
        <v>953</v>
      </c>
      <c r="E6987" t="s">
        <v>6878</v>
      </c>
      <c r="F6987" t="s">
        <v>35</v>
      </c>
      <c r="G6987" t="s">
        <v>35</v>
      </c>
      <c r="H6987" t="s">
        <v>35</v>
      </c>
      <c r="J6987" t="s">
        <v>6936</v>
      </c>
      <c r="K6987" t="s">
        <v>1092</v>
      </c>
      <c r="M6987">
        <v>9.99</v>
      </c>
      <c r="N6987">
        <v>21</v>
      </c>
      <c r="O6987" t="s">
        <v>46</v>
      </c>
      <c r="Q6987" t="s">
        <v>1874</v>
      </c>
      <c r="R6987" t="s">
        <v>6720</v>
      </c>
      <c r="S6987" t="s">
        <v>961</v>
      </c>
    </row>
    <row r="6988" spans="1:19" x14ac:dyDescent="0.25">
      <c r="A6988" t="s">
        <v>59</v>
      </c>
      <c r="B6988" t="s">
        <v>60</v>
      </c>
      <c r="C6988" t="s">
        <v>32</v>
      </c>
      <c r="D6988" t="s">
        <v>953</v>
      </c>
      <c r="E6988" t="s">
        <v>6878</v>
      </c>
      <c r="F6988" t="s">
        <v>35</v>
      </c>
      <c r="G6988" t="s">
        <v>35</v>
      </c>
      <c r="H6988" t="s">
        <v>35</v>
      </c>
      <c r="J6988" t="s">
        <v>6936</v>
      </c>
      <c r="K6988" t="s">
        <v>1092</v>
      </c>
      <c r="M6988">
        <v>3.7</v>
      </c>
      <c r="N6988">
        <v>89</v>
      </c>
      <c r="O6988" t="s">
        <v>61</v>
      </c>
      <c r="Q6988" t="s">
        <v>299</v>
      </c>
      <c r="R6988" t="s">
        <v>6720</v>
      </c>
      <c r="S6988" t="s">
        <v>961</v>
      </c>
    </row>
    <row r="6989" spans="1:19" x14ac:dyDescent="0.25">
      <c r="A6989" t="s">
        <v>30</v>
      </c>
      <c r="B6989" t="s">
        <v>31</v>
      </c>
      <c r="C6989" t="s">
        <v>32</v>
      </c>
      <c r="D6989" t="s">
        <v>953</v>
      </c>
      <c r="E6989" t="s">
        <v>6878</v>
      </c>
      <c r="F6989" t="s">
        <v>35</v>
      </c>
      <c r="G6989" t="s">
        <v>35</v>
      </c>
      <c r="H6989" t="s">
        <v>35</v>
      </c>
      <c r="J6989" t="s">
        <v>6936</v>
      </c>
      <c r="K6989" t="s">
        <v>1092</v>
      </c>
      <c r="M6989">
        <v>4.1849999999999996</v>
      </c>
      <c r="N6989">
        <v>213</v>
      </c>
      <c r="O6989" t="s">
        <v>5</v>
      </c>
      <c r="Q6989" t="s">
        <v>1298</v>
      </c>
      <c r="R6989" t="s">
        <v>6720</v>
      </c>
      <c r="S6989" t="s">
        <v>961</v>
      </c>
    </row>
    <row r="6990" spans="1:19" x14ac:dyDescent="0.25">
      <c r="A6990" t="s">
        <v>59</v>
      </c>
      <c r="B6990" t="s">
        <v>31</v>
      </c>
      <c r="C6990" t="s">
        <v>32</v>
      </c>
      <c r="D6990" t="s">
        <v>953</v>
      </c>
      <c r="E6990" t="s">
        <v>6878</v>
      </c>
      <c r="F6990" t="s">
        <v>35</v>
      </c>
      <c r="G6990" t="s">
        <v>35</v>
      </c>
      <c r="H6990" t="s">
        <v>35</v>
      </c>
      <c r="J6990" t="s">
        <v>6936</v>
      </c>
      <c r="K6990" t="s">
        <v>1092</v>
      </c>
      <c r="M6990">
        <v>0.44500000000000001</v>
      </c>
      <c r="N6990">
        <v>90</v>
      </c>
      <c r="O6990" t="s">
        <v>61</v>
      </c>
      <c r="Q6990" t="s">
        <v>897</v>
      </c>
      <c r="R6990" t="s">
        <v>6720</v>
      </c>
      <c r="S6990" t="s">
        <v>961</v>
      </c>
    </row>
    <row r="6991" spans="1:19" x14ac:dyDescent="0.25">
      <c r="A6991" t="s">
        <v>59</v>
      </c>
      <c r="B6991" t="s">
        <v>60</v>
      </c>
      <c r="C6991" t="s">
        <v>32</v>
      </c>
      <c r="D6991" t="s">
        <v>953</v>
      </c>
      <c r="E6991" t="s">
        <v>6878</v>
      </c>
      <c r="F6991" t="s">
        <v>35</v>
      </c>
      <c r="G6991" t="s">
        <v>35</v>
      </c>
      <c r="H6991" t="s">
        <v>35</v>
      </c>
      <c r="J6991" t="s">
        <v>1885</v>
      </c>
      <c r="K6991" t="s">
        <v>1092</v>
      </c>
      <c r="M6991">
        <v>1.25</v>
      </c>
      <c r="N6991">
        <v>59</v>
      </c>
      <c r="O6991" t="s">
        <v>52</v>
      </c>
      <c r="Q6991" t="s">
        <v>84</v>
      </c>
      <c r="R6991" t="s">
        <v>6709</v>
      </c>
      <c r="S6991" t="s">
        <v>1022</v>
      </c>
    </row>
    <row r="6992" spans="1:19" x14ac:dyDescent="0.25">
      <c r="A6992" t="s">
        <v>59</v>
      </c>
      <c r="B6992" t="s">
        <v>60</v>
      </c>
      <c r="C6992" t="s">
        <v>32</v>
      </c>
      <c r="D6992" t="s">
        <v>953</v>
      </c>
      <c r="E6992" t="s">
        <v>6878</v>
      </c>
      <c r="F6992" t="s">
        <v>35</v>
      </c>
      <c r="G6992" t="s">
        <v>35</v>
      </c>
      <c r="H6992" t="s">
        <v>35</v>
      </c>
      <c r="J6992" t="s">
        <v>625</v>
      </c>
      <c r="K6992" t="s">
        <v>1092</v>
      </c>
      <c r="M6992">
        <v>9.5</v>
      </c>
      <c r="N6992">
        <v>62</v>
      </c>
      <c r="O6992" t="s">
        <v>61</v>
      </c>
      <c r="Q6992" t="s">
        <v>90</v>
      </c>
      <c r="R6992" t="s">
        <v>987</v>
      </c>
      <c r="S6992" t="s">
        <v>988</v>
      </c>
    </row>
    <row r="6993" spans="1:19" x14ac:dyDescent="0.25">
      <c r="A6993" t="s">
        <v>59</v>
      </c>
      <c r="B6993" t="s">
        <v>31</v>
      </c>
      <c r="C6993" t="s">
        <v>32</v>
      </c>
      <c r="D6993" t="s">
        <v>953</v>
      </c>
      <c r="E6993" t="s">
        <v>6878</v>
      </c>
      <c r="F6993" t="s">
        <v>35</v>
      </c>
      <c r="G6993" t="s">
        <v>35</v>
      </c>
      <c r="H6993" t="s">
        <v>35</v>
      </c>
      <c r="J6993" t="s">
        <v>2384</v>
      </c>
      <c r="K6993" t="s">
        <v>1092</v>
      </c>
      <c r="M6993">
        <v>1.44</v>
      </c>
      <c r="N6993">
        <v>240</v>
      </c>
      <c r="O6993" t="s">
        <v>5</v>
      </c>
      <c r="Q6993" t="s">
        <v>2516</v>
      </c>
      <c r="R6993" t="s">
        <v>6891</v>
      </c>
      <c r="S6993" t="s">
        <v>1085</v>
      </c>
    </row>
    <row r="6994" spans="1:19" x14ac:dyDescent="0.25">
      <c r="A6994" t="s">
        <v>59</v>
      </c>
      <c r="B6994" t="s">
        <v>60</v>
      </c>
      <c r="C6994" t="s">
        <v>32</v>
      </c>
      <c r="D6994" t="s">
        <v>953</v>
      </c>
      <c r="E6994" t="s">
        <v>6878</v>
      </c>
      <c r="F6994" t="s">
        <v>35</v>
      </c>
      <c r="G6994" t="s">
        <v>35</v>
      </c>
      <c r="H6994" t="s">
        <v>35</v>
      </c>
      <c r="J6994" t="s">
        <v>6937</v>
      </c>
      <c r="K6994" t="s">
        <v>1092</v>
      </c>
      <c r="M6994">
        <v>7.05</v>
      </c>
      <c r="N6994">
        <v>138</v>
      </c>
      <c r="O6994" t="s">
        <v>38</v>
      </c>
      <c r="Q6994" t="s">
        <v>542</v>
      </c>
      <c r="R6994" t="s">
        <v>6709</v>
      </c>
      <c r="S6994" t="s">
        <v>1022</v>
      </c>
    </row>
    <row r="6995" spans="1:19" x14ac:dyDescent="0.25">
      <c r="A6995" t="s">
        <v>59</v>
      </c>
      <c r="B6995" t="s">
        <v>60</v>
      </c>
      <c r="C6995" t="s">
        <v>32</v>
      </c>
      <c r="D6995" t="s">
        <v>953</v>
      </c>
      <c r="E6995" t="s">
        <v>6878</v>
      </c>
      <c r="F6995" t="s">
        <v>35</v>
      </c>
      <c r="G6995" t="s">
        <v>35</v>
      </c>
      <c r="H6995" t="s">
        <v>35</v>
      </c>
      <c r="J6995" t="s">
        <v>6938</v>
      </c>
      <c r="K6995" t="s">
        <v>1092</v>
      </c>
      <c r="M6995">
        <v>12</v>
      </c>
      <c r="N6995">
        <v>27</v>
      </c>
      <c r="O6995" t="s">
        <v>46</v>
      </c>
      <c r="Q6995" t="s">
        <v>1011</v>
      </c>
      <c r="R6995" t="s">
        <v>6939</v>
      </c>
      <c r="S6995" t="s">
        <v>969</v>
      </c>
    </row>
    <row r="6996" spans="1:19" x14ac:dyDescent="0.25">
      <c r="A6996" t="s">
        <v>59</v>
      </c>
      <c r="B6996" t="s">
        <v>60</v>
      </c>
      <c r="C6996" t="s">
        <v>32</v>
      </c>
      <c r="D6996" t="s">
        <v>953</v>
      </c>
      <c r="E6996" t="s">
        <v>6878</v>
      </c>
      <c r="F6996" t="s">
        <v>35</v>
      </c>
      <c r="G6996" t="s">
        <v>35</v>
      </c>
      <c r="H6996" t="s">
        <v>35</v>
      </c>
      <c r="J6996" t="s">
        <v>6938</v>
      </c>
      <c r="K6996" t="s">
        <v>1092</v>
      </c>
      <c r="M6996">
        <v>11.2</v>
      </c>
      <c r="N6996">
        <v>79</v>
      </c>
      <c r="O6996" t="s">
        <v>61</v>
      </c>
      <c r="Q6996" t="s">
        <v>1156</v>
      </c>
      <c r="R6996" t="s">
        <v>6939</v>
      </c>
      <c r="S6996" t="s">
        <v>969</v>
      </c>
    </row>
    <row r="6997" spans="1:19" x14ac:dyDescent="0.25">
      <c r="A6997" t="s">
        <v>30</v>
      </c>
      <c r="B6997" t="s">
        <v>31</v>
      </c>
      <c r="C6997" t="s">
        <v>32</v>
      </c>
      <c r="D6997" t="s">
        <v>953</v>
      </c>
      <c r="E6997" t="s">
        <v>6878</v>
      </c>
      <c r="F6997" t="s">
        <v>35</v>
      </c>
      <c r="G6997" t="s">
        <v>35</v>
      </c>
      <c r="H6997" t="s">
        <v>35</v>
      </c>
      <c r="J6997" t="s">
        <v>1885</v>
      </c>
      <c r="K6997" t="s">
        <v>1092</v>
      </c>
      <c r="M6997">
        <v>4.7249999999999996</v>
      </c>
      <c r="N6997">
        <v>20</v>
      </c>
      <c r="O6997" t="s">
        <v>46</v>
      </c>
      <c r="Q6997" t="s">
        <v>1004</v>
      </c>
      <c r="R6997" t="s">
        <v>6723</v>
      </c>
      <c r="S6997" t="s">
        <v>6724</v>
      </c>
    </row>
    <row r="6998" spans="1:19" x14ac:dyDescent="0.25">
      <c r="A6998" t="s">
        <v>59</v>
      </c>
      <c r="B6998" t="s">
        <v>60</v>
      </c>
      <c r="C6998" t="s">
        <v>32</v>
      </c>
      <c r="D6998" t="s">
        <v>953</v>
      </c>
      <c r="E6998" t="s">
        <v>6878</v>
      </c>
      <c r="F6998" t="s">
        <v>35</v>
      </c>
      <c r="G6998" t="s">
        <v>35</v>
      </c>
      <c r="H6998" t="s">
        <v>35</v>
      </c>
      <c r="J6998" t="s">
        <v>6940</v>
      </c>
      <c r="K6998" t="s">
        <v>1092</v>
      </c>
      <c r="M6998">
        <v>2</v>
      </c>
      <c r="N6998">
        <v>86</v>
      </c>
      <c r="O6998" t="s">
        <v>61</v>
      </c>
      <c r="Q6998" t="s">
        <v>1076</v>
      </c>
      <c r="R6998" t="s">
        <v>133</v>
      </c>
      <c r="S6998" t="s">
        <v>134</v>
      </c>
    </row>
    <row r="6999" spans="1:19" x14ac:dyDescent="0.25">
      <c r="A6999" t="s">
        <v>59</v>
      </c>
      <c r="B6999" t="s">
        <v>60</v>
      </c>
      <c r="C6999" t="s">
        <v>32</v>
      </c>
      <c r="D6999" t="s">
        <v>953</v>
      </c>
      <c r="E6999" t="s">
        <v>6878</v>
      </c>
      <c r="F6999" t="s">
        <v>35</v>
      </c>
      <c r="G6999" t="s">
        <v>35</v>
      </c>
      <c r="H6999" t="s">
        <v>35</v>
      </c>
      <c r="J6999" t="s">
        <v>6940</v>
      </c>
      <c r="K6999" t="s">
        <v>1092</v>
      </c>
      <c r="M6999">
        <v>5.6</v>
      </c>
      <c r="N6999">
        <v>91</v>
      </c>
      <c r="O6999" t="s">
        <v>106</v>
      </c>
      <c r="Q6999" t="s">
        <v>1147</v>
      </c>
      <c r="R6999" t="s">
        <v>6807</v>
      </c>
      <c r="S6999" t="s">
        <v>1066</v>
      </c>
    </row>
    <row r="7000" spans="1:19" x14ac:dyDescent="0.25">
      <c r="A7000" t="s">
        <v>59</v>
      </c>
      <c r="B7000" t="s">
        <v>31</v>
      </c>
      <c r="C7000" t="s">
        <v>32</v>
      </c>
      <c r="D7000" t="s">
        <v>953</v>
      </c>
      <c r="E7000" t="s">
        <v>6878</v>
      </c>
      <c r="F7000" t="s">
        <v>35</v>
      </c>
      <c r="G7000" t="s">
        <v>35</v>
      </c>
      <c r="H7000" t="s">
        <v>35</v>
      </c>
      <c r="J7000" t="s">
        <v>6941</v>
      </c>
      <c r="K7000" t="s">
        <v>1092</v>
      </c>
      <c r="M7000">
        <v>2.0150000000000001</v>
      </c>
      <c r="N7000">
        <v>206</v>
      </c>
      <c r="O7000" t="s">
        <v>5</v>
      </c>
      <c r="Q7000" t="s">
        <v>1328</v>
      </c>
      <c r="R7000" t="s">
        <v>6709</v>
      </c>
      <c r="S7000" t="s">
        <v>1022</v>
      </c>
    </row>
    <row r="7001" spans="1:19" x14ac:dyDescent="0.25">
      <c r="A7001" t="s">
        <v>59</v>
      </c>
      <c r="B7001" t="s">
        <v>60</v>
      </c>
      <c r="C7001" t="s">
        <v>32</v>
      </c>
      <c r="D7001" t="s">
        <v>953</v>
      </c>
      <c r="E7001" t="s">
        <v>6878</v>
      </c>
      <c r="F7001" t="s">
        <v>35</v>
      </c>
      <c r="G7001" t="s">
        <v>35</v>
      </c>
      <c r="H7001" t="s">
        <v>35</v>
      </c>
      <c r="J7001" t="s">
        <v>628</v>
      </c>
      <c r="K7001" t="s">
        <v>1092</v>
      </c>
      <c r="M7001">
        <v>5</v>
      </c>
      <c r="N7001">
        <v>91</v>
      </c>
      <c r="O7001" t="s">
        <v>106</v>
      </c>
      <c r="Q7001" t="s">
        <v>1147</v>
      </c>
      <c r="R7001" t="s">
        <v>133</v>
      </c>
      <c r="S7001" t="s">
        <v>134</v>
      </c>
    </row>
    <row r="7002" spans="1:19" x14ac:dyDescent="0.25">
      <c r="A7002" t="s">
        <v>59</v>
      </c>
      <c r="B7002" t="s">
        <v>31</v>
      </c>
      <c r="C7002" t="s">
        <v>32</v>
      </c>
      <c r="D7002" t="s">
        <v>953</v>
      </c>
      <c r="E7002" t="s">
        <v>6878</v>
      </c>
      <c r="F7002" t="s">
        <v>35</v>
      </c>
      <c r="G7002" t="s">
        <v>35</v>
      </c>
      <c r="H7002" t="s">
        <v>35</v>
      </c>
      <c r="J7002" t="s">
        <v>628</v>
      </c>
      <c r="K7002" t="s">
        <v>1092</v>
      </c>
      <c r="M7002">
        <v>9.99</v>
      </c>
      <c r="N7002">
        <v>62</v>
      </c>
      <c r="O7002" t="s">
        <v>61</v>
      </c>
      <c r="Q7002" t="s">
        <v>90</v>
      </c>
      <c r="R7002" t="s">
        <v>987</v>
      </c>
      <c r="S7002" t="s">
        <v>988</v>
      </c>
    </row>
    <row r="7003" spans="1:19" x14ac:dyDescent="0.25">
      <c r="A7003" t="s">
        <v>44</v>
      </c>
      <c r="B7003" t="s">
        <v>51</v>
      </c>
      <c r="C7003" t="s">
        <v>32</v>
      </c>
      <c r="D7003" t="s">
        <v>953</v>
      </c>
      <c r="E7003" t="s">
        <v>6878</v>
      </c>
      <c r="F7003" t="s">
        <v>35</v>
      </c>
      <c r="G7003" t="s">
        <v>35</v>
      </c>
      <c r="H7003" t="s">
        <v>35</v>
      </c>
      <c r="J7003" t="s">
        <v>628</v>
      </c>
      <c r="K7003" t="s">
        <v>1092</v>
      </c>
      <c r="M7003">
        <v>4.7</v>
      </c>
      <c r="N7003">
        <v>27</v>
      </c>
      <c r="O7003" t="s">
        <v>46</v>
      </c>
      <c r="Q7003" t="s">
        <v>1011</v>
      </c>
      <c r="R7003" t="s">
        <v>6742</v>
      </c>
      <c r="S7003" t="s">
        <v>1016</v>
      </c>
    </row>
    <row r="7004" spans="1:19" x14ac:dyDescent="0.25">
      <c r="A7004" t="s">
        <v>59</v>
      </c>
      <c r="B7004" t="s">
        <v>60</v>
      </c>
      <c r="C7004" t="s">
        <v>32</v>
      </c>
      <c r="D7004" t="s">
        <v>953</v>
      </c>
      <c r="E7004" t="s">
        <v>6878</v>
      </c>
      <c r="F7004" t="s">
        <v>35</v>
      </c>
      <c r="G7004" t="s">
        <v>35</v>
      </c>
      <c r="H7004" t="s">
        <v>35</v>
      </c>
      <c r="J7004" t="s">
        <v>628</v>
      </c>
      <c r="K7004" t="s">
        <v>1092</v>
      </c>
      <c r="M7004">
        <v>1.1000000000000001</v>
      </c>
      <c r="N7004">
        <v>181</v>
      </c>
      <c r="O7004" t="s">
        <v>5</v>
      </c>
      <c r="Q7004" t="s">
        <v>1684</v>
      </c>
      <c r="R7004" t="s">
        <v>6742</v>
      </c>
      <c r="S7004" t="s">
        <v>1016</v>
      </c>
    </row>
    <row r="7005" spans="1:19" x14ac:dyDescent="0.25">
      <c r="A7005" t="s">
        <v>59</v>
      </c>
      <c r="B7005" t="s">
        <v>31</v>
      </c>
      <c r="C7005" t="s">
        <v>32</v>
      </c>
      <c r="D7005" t="s">
        <v>953</v>
      </c>
      <c r="E7005" t="s">
        <v>6878</v>
      </c>
      <c r="F7005" t="s">
        <v>35</v>
      </c>
      <c r="G7005" t="s">
        <v>35</v>
      </c>
      <c r="H7005" t="s">
        <v>35</v>
      </c>
      <c r="J7005" t="s">
        <v>628</v>
      </c>
      <c r="K7005" t="s">
        <v>1092</v>
      </c>
      <c r="M7005">
        <v>3.5550000000000002</v>
      </c>
      <c r="N7005">
        <v>91</v>
      </c>
      <c r="O7005" t="s">
        <v>106</v>
      </c>
      <c r="Q7005" t="s">
        <v>1147</v>
      </c>
      <c r="R7005" t="s">
        <v>133</v>
      </c>
      <c r="S7005" t="s">
        <v>134</v>
      </c>
    </row>
    <row r="7006" spans="1:19" x14ac:dyDescent="0.25">
      <c r="A7006" t="s">
        <v>59</v>
      </c>
      <c r="B7006" t="s">
        <v>60</v>
      </c>
      <c r="C7006" t="s">
        <v>32</v>
      </c>
      <c r="D7006" t="s">
        <v>953</v>
      </c>
      <c r="E7006" t="s">
        <v>6878</v>
      </c>
      <c r="F7006" t="s">
        <v>35</v>
      </c>
      <c r="G7006" t="s">
        <v>35</v>
      </c>
      <c r="H7006" t="s">
        <v>35</v>
      </c>
      <c r="J7006" t="s">
        <v>6942</v>
      </c>
      <c r="K7006" t="s">
        <v>1092</v>
      </c>
      <c r="M7006">
        <v>0.25</v>
      </c>
      <c r="N7006">
        <v>172</v>
      </c>
      <c r="O7006" t="s">
        <v>38</v>
      </c>
      <c r="Q7006" t="s">
        <v>1124</v>
      </c>
      <c r="R7006" t="s">
        <v>6807</v>
      </c>
      <c r="S7006" t="s">
        <v>1066</v>
      </c>
    </row>
    <row r="7007" spans="1:19" x14ac:dyDescent="0.25">
      <c r="A7007" t="s">
        <v>59</v>
      </c>
      <c r="B7007" t="s">
        <v>60</v>
      </c>
      <c r="C7007" t="s">
        <v>32</v>
      </c>
      <c r="D7007" t="s">
        <v>953</v>
      </c>
      <c r="E7007" t="s">
        <v>6878</v>
      </c>
      <c r="F7007" t="s">
        <v>35</v>
      </c>
      <c r="G7007" t="s">
        <v>35</v>
      </c>
      <c r="H7007" t="s">
        <v>35</v>
      </c>
      <c r="J7007" t="s">
        <v>6943</v>
      </c>
      <c r="K7007" t="s">
        <v>1092</v>
      </c>
      <c r="M7007">
        <v>3</v>
      </c>
      <c r="N7007">
        <v>49</v>
      </c>
      <c r="O7007" t="s">
        <v>52</v>
      </c>
      <c r="Q7007" t="s">
        <v>219</v>
      </c>
      <c r="R7007" t="s">
        <v>133</v>
      </c>
      <c r="S7007" t="s">
        <v>134</v>
      </c>
    </row>
    <row r="7008" spans="1:19" x14ac:dyDescent="0.25">
      <c r="A7008" t="s">
        <v>59</v>
      </c>
      <c r="B7008" t="s">
        <v>60</v>
      </c>
      <c r="C7008" t="s">
        <v>32</v>
      </c>
      <c r="D7008" t="s">
        <v>953</v>
      </c>
      <c r="E7008" t="s">
        <v>6878</v>
      </c>
      <c r="F7008" t="s">
        <v>35</v>
      </c>
      <c r="G7008" t="s">
        <v>35</v>
      </c>
      <c r="H7008" t="s">
        <v>35</v>
      </c>
      <c r="J7008" t="s">
        <v>6944</v>
      </c>
      <c r="K7008" t="s">
        <v>1092</v>
      </c>
      <c r="M7008">
        <v>0.05</v>
      </c>
      <c r="N7008">
        <v>525</v>
      </c>
      <c r="O7008" t="s">
        <v>294</v>
      </c>
      <c r="Q7008" t="s">
        <v>3776</v>
      </c>
      <c r="R7008" t="s">
        <v>6709</v>
      </c>
      <c r="S7008" t="s">
        <v>1022</v>
      </c>
    </row>
    <row r="7009" spans="1:19" x14ac:dyDescent="0.25">
      <c r="A7009" t="s">
        <v>59</v>
      </c>
      <c r="B7009" t="s">
        <v>60</v>
      </c>
      <c r="C7009" t="s">
        <v>32</v>
      </c>
      <c r="D7009" t="s">
        <v>953</v>
      </c>
      <c r="E7009" t="s">
        <v>6878</v>
      </c>
      <c r="F7009" t="s">
        <v>35</v>
      </c>
      <c r="G7009" t="s">
        <v>35</v>
      </c>
      <c r="H7009" t="s">
        <v>35</v>
      </c>
      <c r="J7009" t="s">
        <v>823</v>
      </c>
      <c r="K7009" t="s">
        <v>1092</v>
      </c>
      <c r="M7009">
        <v>0.45</v>
      </c>
      <c r="N7009">
        <v>178</v>
      </c>
      <c r="O7009" t="s">
        <v>38</v>
      </c>
      <c r="Q7009" t="s">
        <v>2827</v>
      </c>
      <c r="R7009" t="s">
        <v>6709</v>
      </c>
      <c r="S7009" t="s">
        <v>1022</v>
      </c>
    </row>
    <row r="7010" spans="1:19" x14ac:dyDescent="0.25">
      <c r="A7010" t="s">
        <v>59</v>
      </c>
      <c r="B7010" t="s">
        <v>60</v>
      </c>
      <c r="C7010" t="s">
        <v>32</v>
      </c>
      <c r="D7010" t="s">
        <v>953</v>
      </c>
      <c r="E7010" t="s">
        <v>6878</v>
      </c>
      <c r="F7010" t="s">
        <v>35</v>
      </c>
      <c r="G7010" t="s">
        <v>35</v>
      </c>
      <c r="H7010" t="s">
        <v>35</v>
      </c>
      <c r="J7010" t="s">
        <v>823</v>
      </c>
      <c r="K7010" t="s">
        <v>1092</v>
      </c>
      <c r="M7010">
        <v>1.5</v>
      </c>
      <c r="N7010">
        <v>65</v>
      </c>
      <c r="O7010" t="s">
        <v>61</v>
      </c>
      <c r="Q7010" t="s">
        <v>128</v>
      </c>
      <c r="R7010" t="s">
        <v>6709</v>
      </c>
      <c r="S7010" t="s">
        <v>1022</v>
      </c>
    </row>
    <row r="7011" spans="1:19" x14ac:dyDescent="0.25">
      <c r="A7011" t="s">
        <v>59</v>
      </c>
      <c r="B7011" t="s">
        <v>31</v>
      </c>
      <c r="C7011" t="s">
        <v>32</v>
      </c>
      <c r="D7011" t="s">
        <v>953</v>
      </c>
      <c r="E7011" t="s">
        <v>6878</v>
      </c>
      <c r="F7011" t="s">
        <v>35</v>
      </c>
      <c r="G7011" t="s">
        <v>35</v>
      </c>
      <c r="H7011" t="s">
        <v>35</v>
      </c>
      <c r="J7011" t="s">
        <v>6945</v>
      </c>
      <c r="K7011" t="s">
        <v>1092</v>
      </c>
      <c r="M7011">
        <v>1.39</v>
      </c>
      <c r="N7011">
        <v>752</v>
      </c>
      <c r="O7011" t="s">
        <v>575</v>
      </c>
      <c r="Q7011" t="s">
        <v>6946</v>
      </c>
      <c r="R7011" t="s">
        <v>6847</v>
      </c>
      <c r="S7011" t="s">
        <v>1034</v>
      </c>
    </row>
    <row r="7012" spans="1:19" x14ac:dyDescent="0.25">
      <c r="A7012" t="s">
        <v>30</v>
      </c>
      <c r="B7012" t="s">
        <v>31</v>
      </c>
      <c r="C7012" t="s">
        <v>32</v>
      </c>
      <c r="D7012" t="s">
        <v>953</v>
      </c>
      <c r="E7012" t="s">
        <v>6878</v>
      </c>
      <c r="F7012" t="s">
        <v>35</v>
      </c>
      <c r="G7012" t="s">
        <v>35</v>
      </c>
      <c r="H7012" t="s">
        <v>35</v>
      </c>
      <c r="J7012" t="s">
        <v>6947</v>
      </c>
      <c r="K7012" t="s">
        <v>1092</v>
      </c>
      <c r="M7012">
        <v>0.81</v>
      </c>
      <c r="N7012">
        <v>206</v>
      </c>
      <c r="O7012" t="s">
        <v>5</v>
      </c>
      <c r="Q7012" t="s">
        <v>1328</v>
      </c>
      <c r="R7012" t="s">
        <v>6709</v>
      </c>
      <c r="S7012" t="s">
        <v>1022</v>
      </c>
    </row>
    <row r="7013" spans="1:19" x14ac:dyDescent="0.25">
      <c r="A7013" t="s">
        <v>59</v>
      </c>
      <c r="B7013" t="s">
        <v>60</v>
      </c>
      <c r="C7013" t="s">
        <v>32</v>
      </c>
      <c r="D7013" t="s">
        <v>953</v>
      </c>
      <c r="E7013" t="s">
        <v>6878</v>
      </c>
      <c r="F7013" t="s">
        <v>35</v>
      </c>
      <c r="G7013" t="s">
        <v>35</v>
      </c>
      <c r="H7013" t="s">
        <v>35</v>
      </c>
      <c r="J7013" t="s">
        <v>1885</v>
      </c>
      <c r="K7013" t="s">
        <v>1092</v>
      </c>
      <c r="M7013">
        <v>0.3</v>
      </c>
      <c r="N7013">
        <v>1234</v>
      </c>
      <c r="O7013" t="s">
        <v>575</v>
      </c>
      <c r="Q7013" t="s">
        <v>2186</v>
      </c>
      <c r="R7013" t="s">
        <v>6922</v>
      </c>
      <c r="S7013" t="s">
        <v>6923</v>
      </c>
    </row>
    <row r="7014" spans="1:19" x14ac:dyDescent="0.25">
      <c r="A7014" t="s">
        <v>59</v>
      </c>
      <c r="B7014" t="s">
        <v>31</v>
      </c>
      <c r="C7014" t="s">
        <v>32</v>
      </c>
      <c r="D7014" t="s">
        <v>953</v>
      </c>
      <c r="E7014" t="s">
        <v>6878</v>
      </c>
      <c r="F7014" t="s">
        <v>35</v>
      </c>
      <c r="G7014" t="s">
        <v>35</v>
      </c>
      <c r="H7014" t="s">
        <v>35</v>
      </c>
      <c r="J7014" t="s">
        <v>6948</v>
      </c>
      <c r="K7014" t="s">
        <v>1092</v>
      </c>
      <c r="M7014">
        <v>2.25</v>
      </c>
      <c r="N7014">
        <v>54</v>
      </c>
      <c r="O7014" t="s">
        <v>52</v>
      </c>
      <c r="Q7014" t="s">
        <v>1207</v>
      </c>
      <c r="R7014" t="s">
        <v>6709</v>
      </c>
      <c r="S7014" t="s">
        <v>1022</v>
      </c>
    </row>
    <row r="7015" spans="1:19" x14ac:dyDescent="0.25">
      <c r="A7015" t="s">
        <v>44</v>
      </c>
      <c r="B7015" t="s">
        <v>51</v>
      </c>
      <c r="C7015" t="s">
        <v>32</v>
      </c>
      <c r="D7015" t="s">
        <v>953</v>
      </c>
      <c r="E7015" t="s">
        <v>6878</v>
      </c>
      <c r="F7015" t="s">
        <v>35</v>
      </c>
      <c r="G7015" t="s">
        <v>35</v>
      </c>
      <c r="H7015" t="s">
        <v>35</v>
      </c>
      <c r="J7015" t="s">
        <v>6949</v>
      </c>
      <c r="K7015" t="s">
        <v>1092</v>
      </c>
      <c r="M7015">
        <v>0.9</v>
      </c>
      <c r="N7015">
        <v>61</v>
      </c>
      <c r="O7015" t="s">
        <v>61</v>
      </c>
      <c r="Q7015" t="s">
        <v>671</v>
      </c>
      <c r="R7015" t="s">
        <v>6899</v>
      </c>
      <c r="S7015" t="s">
        <v>6900</v>
      </c>
    </row>
    <row r="7016" spans="1:19" x14ac:dyDescent="0.25">
      <c r="A7016" t="s">
        <v>30</v>
      </c>
      <c r="B7016" t="s">
        <v>31</v>
      </c>
      <c r="C7016" t="s">
        <v>32</v>
      </c>
      <c r="D7016" t="s">
        <v>953</v>
      </c>
      <c r="E7016" t="s">
        <v>6878</v>
      </c>
      <c r="F7016" t="s">
        <v>35</v>
      </c>
      <c r="G7016" t="s">
        <v>35</v>
      </c>
      <c r="H7016" t="s">
        <v>35</v>
      </c>
      <c r="J7016" t="s">
        <v>6949</v>
      </c>
      <c r="K7016" t="s">
        <v>1092</v>
      </c>
      <c r="M7016">
        <v>2.4750000000000001</v>
      </c>
      <c r="N7016">
        <v>20</v>
      </c>
      <c r="O7016" t="s">
        <v>46</v>
      </c>
      <c r="Q7016" t="s">
        <v>1004</v>
      </c>
      <c r="R7016" t="s">
        <v>6723</v>
      </c>
      <c r="S7016" t="s">
        <v>6724</v>
      </c>
    </row>
    <row r="7017" spans="1:19" x14ac:dyDescent="0.25">
      <c r="A7017" t="s">
        <v>59</v>
      </c>
      <c r="B7017" t="s">
        <v>60</v>
      </c>
      <c r="C7017" t="s">
        <v>32</v>
      </c>
      <c r="D7017" t="s">
        <v>953</v>
      </c>
      <c r="E7017" t="s">
        <v>6878</v>
      </c>
      <c r="F7017" t="s">
        <v>35</v>
      </c>
      <c r="G7017" t="s">
        <v>35</v>
      </c>
      <c r="H7017" t="s">
        <v>35</v>
      </c>
      <c r="J7017" t="s">
        <v>6949</v>
      </c>
      <c r="K7017" t="s">
        <v>1092</v>
      </c>
      <c r="M7017">
        <v>1.5</v>
      </c>
      <c r="N7017">
        <v>90</v>
      </c>
      <c r="O7017" t="s">
        <v>61</v>
      </c>
      <c r="Q7017" t="s">
        <v>897</v>
      </c>
      <c r="R7017" t="s">
        <v>6877</v>
      </c>
      <c r="S7017" t="s">
        <v>1041</v>
      </c>
    </row>
    <row r="7018" spans="1:19" x14ac:dyDescent="0.25">
      <c r="A7018" t="s">
        <v>59</v>
      </c>
      <c r="B7018" t="s">
        <v>60</v>
      </c>
      <c r="C7018" t="s">
        <v>32</v>
      </c>
      <c r="D7018" t="s">
        <v>953</v>
      </c>
      <c r="E7018" t="s">
        <v>6878</v>
      </c>
      <c r="F7018" t="s">
        <v>35</v>
      </c>
      <c r="G7018" t="s">
        <v>35</v>
      </c>
      <c r="H7018" t="s">
        <v>35</v>
      </c>
      <c r="J7018" t="s">
        <v>6950</v>
      </c>
      <c r="K7018" t="s">
        <v>1092</v>
      </c>
      <c r="M7018">
        <v>2.65</v>
      </c>
      <c r="N7018">
        <v>93</v>
      </c>
      <c r="O7018" t="s">
        <v>106</v>
      </c>
      <c r="Q7018" t="s">
        <v>941</v>
      </c>
      <c r="R7018" t="s">
        <v>6742</v>
      </c>
      <c r="S7018" t="s">
        <v>1016</v>
      </c>
    </row>
    <row r="7019" spans="1:19" x14ac:dyDescent="0.25">
      <c r="A7019" t="s">
        <v>59</v>
      </c>
      <c r="B7019" t="s">
        <v>60</v>
      </c>
      <c r="C7019" t="s">
        <v>32</v>
      </c>
      <c r="D7019" t="s">
        <v>953</v>
      </c>
      <c r="E7019" t="s">
        <v>6878</v>
      </c>
      <c r="F7019" t="s">
        <v>35</v>
      </c>
      <c r="G7019" t="s">
        <v>35</v>
      </c>
      <c r="H7019" t="s">
        <v>35</v>
      </c>
      <c r="J7019" t="s">
        <v>1885</v>
      </c>
      <c r="K7019" t="s">
        <v>1092</v>
      </c>
      <c r="M7019">
        <v>9.6</v>
      </c>
      <c r="N7019">
        <v>72</v>
      </c>
      <c r="O7019" t="s">
        <v>61</v>
      </c>
      <c r="Q7019" t="s">
        <v>63</v>
      </c>
      <c r="R7019" t="s">
        <v>6807</v>
      </c>
      <c r="S7019" t="s">
        <v>1066</v>
      </c>
    </row>
    <row r="7020" spans="1:19" x14ac:dyDescent="0.25">
      <c r="A7020" t="s">
        <v>30</v>
      </c>
      <c r="B7020" t="s">
        <v>31</v>
      </c>
      <c r="C7020" t="s">
        <v>32</v>
      </c>
      <c r="D7020" t="s">
        <v>953</v>
      </c>
      <c r="E7020" t="s">
        <v>6878</v>
      </c>
      <c r="F7020" t="s">
        <v>35</v>
      </c>
      <c r="G7020" t="s">
        <v>35</v>
      </c>
      <c r="H7020" t="s">
        <v>35</v>
      </c>
      <c r="J7020" t="s">
        <v>1885</v>
      </c>
      <c r="K7020" t="s">
        <v>1092</v>
      </c>
      <c r="M7020">
        <v>9.8149999999999995</v>
      </c>
      <c r="N7020">
        <v>20</v>
      </c>
      <c r="O7020" t="s">
        <v>46</v>
      </c>
      <c r="Q7020" t="s">
        <v>1004</v>
      </c>
      <c r="R7020" t="s">
        <v>6847</v>
      </c>
      <c r="S7020" t="s">
        <v>1034</v>
      </c>
    </row>
    <row r="7021" spans="1:19" x14ac:dyDescent="0.25">
      <c r="A7021" t="s">
        <v>59</v>
      </c>
      <c r="B7021" t="s">
        <v>31</v>
      </c>
      <c r="C7021" t="s">
        <v>32</v>
      </c>
      <c r="D7021" t="s">
        <v>953</v>
      </c>
      <c r="E7021" t="s">
        <v>6878</v>
      </c>
      <c r="F7021" t="s">
        <v>35</v>
      </c>
      <c r="G7021" t="s">
        <v>35</v>
      </c>
      <c r="H7021" t="s">
        <v>35</v>
      </c>
      <c r="J7021" t="s">
        <v>6951</v>
      </c>
      <c r="K7021" t="s">
        <v>1092</v>
      </c>
      <c r="M7021">
        <v>4.5</v>
      </c>
      <c r="N7021">
        <v>515</v>
      </c>
      <c r="O7021" t="s">
        <v>294</v>
      </c>
      <c r="Q7021" t="s">
        <v>2573</v>
      </c>
      <c r="R7021" t="s">
        <v>133</v>
      </c>
      <c r="S7021" t="s">
        <v>134</v>
      </c>
    </row>
    <row r="7022" spans="1:19" x14ac:dyDescent="0.25">
      <c r="A7022" t="s">
        <v>59</v>
      </c>
      <c r="B7022" t="s">
        <v>60</v>
      </c>
      <c r="C7022" t="s">
        <v>32</v>
      </c>
      <c r="D7022" t="s">
        <v>953</v>
      </c>
      <c r="E7022" t="s">
        <v>6878</v>
      </c>
      <c r="F7022" t="s">
        <v>35</v>
      </c>
      <c r="G7022" t="s">
        <v>35</v>
      </c>
      <c r="H7022" t="s">
        <v>35</v>
      </c>
      <c r="J7022" t="s">
        <v>6951</v>
      </c>
      <c r="K7022" t="s">
        <v>1092</v>
      </c>
      <c r="M7022">
        <v>1.65</v>
      </c>
      <c r="N7022">
        <v>515</v>
      </c>
      <c r="O7022" t="s">
        <v>294</v>
      </c>
      <c r="Q7022" t="s">
        <v>2573</v>
      </c>
      <c r="R7022" t="s">
        <v>133</v>
      </c>
      <c r="S7022" t="s">
        <v>134</v>
      </c>
    </row>
    <row r="7023" spans="1:19" x14ac:dyDescent="0.25">
      <c r="A7023" t="s">
        <v>59</v>
      </c>
      <c r="B7023" t="s">
        <v>31</v>
      </c>
      <c r="C7023" t="s">
        <v>32</v>
      </c>
      <c r="D7023" t="s">
        <v>953</v>
      </c>
      <c r="E7023" t="s">
        <v>6878</v>
      </c>
      <c r="F7023" t="s">
        <v>35</v>
      </c>
      <c r="G7023" t="s">
        <v>35</v>
      </c>
      <c r="H7023" t="s">
        <v>35</v>
      </c>
      <c r="J7023" t="s">
        <v>6952</v>
      </c>
      <c r="K7023" t="s">
        <v>1092</v>
      </c>
      <c r="M7023">
        <v>1.35</v>
      </c>
      <c r="N7023">
        <v>636</v>
      </c>
      <c r="O7023" t="s">
        <v>575</v>
      </c>
      <c r="Q7023" t="s">
        <v>6953</v>
      </c>
      <c r="R7023" t="s">
        <v>133</v>
      </c>
      <c r="S7023" t="s">
        <v>134</v>
      </c>
    </row>
    <row r="7024" spans="1:19" x14ac:dyDescent="0.25">
      <c r="A7024" t="s">
        <v>59</v>
      </c>
      <c r="B7024" t="s">
        <v>60</v>
      </c>
      <c r="C7024" t="s">
        <v>32</v>
      </c>
      <c r="D7024" t="s">
        <v>953</v>
      </c>
      <c r="E7024" t="s">
        <v>6878</v>
      </c>
      <c r="F7024" t="s">
        <v>35</v>
      </c>
      <c r="G7024" t="s">
        <v>35</v>
      </c>
      <c r="H7024" t="s">
        <v>35</v>
      </c>
      <c r="J7024" t="s">
        <v>625</v>
      </c>
      <c r="K7024" t="s">
        <v>1092</v>
      </c>
      <c r="M7024">
        <v>1.35</v>
      </c>
      <c r="N7024">
        <v>59</v>
      </c>
      <c r="O7024" t="s">
        <v>52</v>
      </c>
      <c r="Q7024" t="s">
        <v>84</v>
      </c>
      <c r="R7024" t="s">
        <v>133</v>
      </c>
      <c r="S7024" t="s">
        <v>134</v>
      </c>
    </row>
    <row r="7025" spans="1:19" x14ac:dyDescent="0.25">
      <c r="A7025" t="s">
        <v>59</v>
      </c>
      <c r="B7025" t="s">
        <v>31</v>
      </c>
      <c r="C7025" t="s">
        <v>32</v>
      </c>
      <c r="D7025" t="s">
        <v>953</v>
      </c>
      <c r="E7025" t="s">
        <v>6878</v>
      </c>
      <c r="F7025" t="s">
        <v>35</v>
      </c>
      <c r="G7025" t="s">
        <v>35</v>
      </c>
      <c r="H7025" t="s">
        <v>35</v>
      </c>
      <c r="J7025" t="s">
        <v>625</v>
      </c>
      <c r="K7025" t="s">
        <v>1092</v>
      </c>
      <c r="M7025">
        <v>0.13500000000000001</v>
      </c>
      <c r="N7025">
        <v>65</v>
      </c>
      <c r="O7025" t="s">
        <v>61</v>
      </c>
      <c r="Q7025" t="s">
        <v>128</v>
      </c>
      <c r="R7025" t="s">
        <v>6709</v>
      </c>
      <c r="S7025" t="s">
        <v>1022</v>
      </c>
    </row>
    <row r="7026" spans="1:19" x14ac:dyDescent="0.25">
      <c r="A7026" t="s">
        <v>59</v>
      </c>
      <c r="B7026" t="s">
        <v>60</v>
      </c>
      <c r="C7026" t="s">
        <v>32</v>
      </c>
      <c r="D7026" t="s">
        <v>953</v>
      </c>
      <c r="E7026" t="s">
        <v>6878</v>
      </c>
      <c r="F7026" t="s">
        <v>35</v>
      </c>
      <c r="G7026" t="s">
        <v>35</v>
      </c>
      <c r="H7026" t="s">
        <v>35</v>
      </c>
      <c r="J7026" t="s">
        <v>1675</v>
      </c>
      <c r="K7026" t="s">
        <v>1092</v>
      </c>
      <c r="M7026">
        <v>3.5</v>
      </c>
      <c r="N7026">
        <v>93</v>
      </c>
      <c r="O7026" t="s">
        <v>106</v>
      </c>
      <c r="Q7026" t="s">
        <v>941</v>
      </c>
      <c r="R7026" t="s">
        <v>6742</v>
      </c>
      <c r="S7026" t="s">
        <v>1016</v>
      </c>
    </row>
    <row r="7027" spans="1:19" x14ac:dyDescent="0.25">
      <c r="A7027" t="s">
        <v>59</v>
      </c>
      <c r="B7027" t="s">
        <v>60</v>
      </c>
      <c r="C7027" t="s">
        <v>32</v>
      </c>
      <c r="D7027" t="s">
        <v>953</v>
      </c>
      <c r="E7027" t="s">
        <v>6878</v>
      </c>
      <c r="F7027" t="s">
        <v>35</v>
      </c>
      <c r="G7027" t="s">
        <v>35</v>
      </c>
      <c r="H7027" t="s">
        <v>35</v>
      </c>
      <c r="J7027" t="s">
        <v>1885</v>
      </c>
      <c r="K7027" t="s">
        <v>1092</v>
      </c>
      <c r="M7027">
        <v>0.35</v>
      </c>
      <c r="N7027">
        <v>242</v>
      </c>
      <c r="O7027" t="s">
        <v>5</v>
      </c>
      <c r="Q7027" t="s">
        <v>2904</v>
      </c>
      <c r="R7027" t="s">
        <v>6723</v>
      </c>
      <c r="S7027" t="s">
        <v>6724</v>
      </c>
    </row>
    <row r="7028" spans="1:19" x14ac:dyDescent="0.25">
      <c r="A7028" t="s">
        <v>44</v>
      </c>
      <c r="B7028" t="s">
        <v>3</v>
      </c>
      <c r="C7028" t="s">
        <v>32</v>
      </c>
      <c r="D7028" t="s">
        <v>953</v>
      </c>
      <c r="E7028" t="s">
        <v>6878</v>
      </c>
      <c r="F7028" t="s">
        <v>35</v>
      </c>
      <c r="G7028" t="s">
        <v>35</v>
      </c>
      <c r="H7028" t="s">
        <v>35</v>
      </c>
      <c r="J7028" t="s">
        <v>6954</v>
      </c>
      <c r="K7028" t="s">
        <v>1092</v>
      </c>
      <c r="M7028">
        <v>7.3</v>
      </c>
      <c r="N7028">
        <v>40</v>
      </c>
      <c r="O7028" t="s">
        <v>52</v>
      </c>
      <c r="Q7028" t="s">
        <v>130</v>
      </c>
      <c r="R7028" t="s">
        <v>133</v>
      </c>
      <c r="S7028" t="s">
        <v>134</v>
      </c>
    </row>
    <row r="7029" spans="1:19" x14ac:dyDescent="0.25">
      <c r="A7029" t="s">
        <v>59</v>
      </c>
      <c r="B7029" t="s">
        <v>60</v>
      </c>
      <c r="C7029" t="s">
        <v>32</v>
      </c>
      <c r="D7029" t="s">
        <v>953</v>
      </c>
      <c r="E7029" t="s">
        <v>6878</v>
      </c>
      <c r="F7029" t="s">
        <v>35</v>
      </c>
      <c r="G7029" t="s">
        <v>35</v>
      </c>
      <c r="H7029" t="s">
        <v>35</v>
      </c>
      <c r="J7029" t="s">
        <v>628</v>
      </c>
      <c r="K7029" t="s">
        <v>1092</v>
      </c>
      <c r="M7029">
        <v>1.4999999999999999E-2</v>
      </c>
      <c r="N7029">
        <v>1249</v>
      </c>
      <c r="O7029" t="s">
        <v>575</v>
      </c>
      <c r="Q7029" t="s">
        <v>3627</v>
      </c>
      <c r="R7029" t="s">
        <v>133</v>
      </c>
      <c r="S7029" t="s">
        <v>134</v>
      </c>
    </row>
    <row r="7030" spans="1:19" x14ac:dyDescent="0.25">
      <c r="A7030" t="s">
        <v>30</v>
      </c>
      <c r="B7030" t="s">
        <v>31</v>
      </c>
      <c r="C7030" t="s">
        <v>32</v>
      </c>
      <c r="D7030" t="s">
        <v>953</v>
      </c>
      <c r="E7030" t="s">
        <v>6878</v>
      </c>
      <c r="F7030" t="s">
        <v>35</v>
      </c>
      <c r="G7030" t="s">
        <v>35</v>
      </c>
      <c r="H7030" t="s">
        <v>35</v>
      </c>
      <c r="J7030" t="s">
        <v>628</v>
      </c>
      <c r="K7030" t="s">
        <v>1092</v>
      </c>
      <c r="M7030">
        <v>5.0000000000000001E-3</v>
      </c>
      <c r="N7030">
        <v>1249</v>
      </c>
      <c r="O7030" t="s">
        <v>575</v>
      </c>
      <c r="Q7030" t="s">
        <v>3627</v>
      </c>
      <c r="R7030" t="s">
        <v>133</v>
      </c>
      <c r="S7030" t="s">
        <v>134</v>
      </c>
    </row>
    <row r="7031" spans="1:19" x14ac:dyDescent="0.25">
      <c r="A7031" t="s">
        <v>59</v>
      </c>
      <c r="B7031" t="s">
        <v>60</v>
      </c>
      <c r="C7031" t="s">
        <v>32</v>
      </c>
      <c r="D7031" t="s">
        <v>953</v>
      </c>
      <c r="E7031" t="s">
        <v>6878</v>
      </c>
      <c r="F7031" t="s">
        <v>35</v>
      </c>
      <c r="G7031" t="s">
        <v>35</v>
      </c>
      <c r="H7031" t="s">
        <v>35</v>
      </c>
      <c r="J7031" t="s">
        <v>628</v>
      </c>
      <c r="K7031" t="s">
        <v>1092</v>
      </c>
      <c r="M7031">
        <v>1.5</v>
      </c>
      <c r="N7031">
        <v>223</v>
      </c>
      <c r="O7031" t="s">
        <v>5</v>
      </c>
      <c r="Q7031" t="s">
        <v>3310</v>
      </c>
      <c r="R7031" t="s">
        <v>133</v>
      </c>
      <c r="S7031" t="s">
        <v>134</v>
      </c>
    </row>
    <row r="7032" spans="1:19" x14ac:dyDescent="0.25">
      <c r="A7032" t="s">
        <v>30</v>
      </c>
      <c r="B7032" t="s">
        <v>31</v>
      </c>
      <c r="C7032" t="s">
        <v>32</v>
      </c>
      <c r="D7032" t="s">
        <v>953</v>
      </c>
      <c r="E7032" t="s">
        <v>6878</v>
      </c>
      <c r="F7032" t="s">
        <v>35</v>
      </c>
      <c r="G7032" t="s">
        <v>35</v>
      </c>
      <c r="H7032" t="s">
        <v>35</v>
      </c>
      <c r="J7032" t="s">
        <v>6955</v>
      </c>
      <c r="K7032" t="s">
        <v>1092</v>
      </c>
      <c r="M7032">
        <v>0.122</v>
      </c>
      <c r="N7032">
        <v>206</v>
      </c>
      <c r="O7032" t="s">
        <v>5</v>
      </c>
      <c r="Q7032" t="s">
        <v>1328</v>
      </c>
      <c r="R7032" t="s">
        <v>6709</v>
      </c>
      <c r="S7032" t="s">
        <v>1022</v>
      </c>
    </row>
    <row r="7033" spans="1:19" x14ac:dyDescent="0.25">
      <c r="A7033" t="s">
        <v>30</v>
      </c>
      <c r="B7033" t="s">
        <v>31</v>
      </c>
      <c r="C7033" t="s">
        <v>32</v>
      </c>
      <c r="D7033" t="s">
        <v>953</v>
      </c>
      <c r="E7033" t="s">
        <v>6878</v>
      </c>
      <c r="F7033" t="s">
        <v>35</v>
      </c>
      <c r="G7033" t="s">
        <v>35</v>
      </c>
      <c r="H7033" t="s">
        <v>35</v>
      </c>
      <c r="J7033" t="s">
        <v>6956</v>
      </c>
      <c r="K7033" t="s">
        <v>1092</v>
      </c>
      <c r="M7033">
        <v>0.18</v>
      </c>
      <c r="N7033">
        <v>202</v>
      </c>
      <c r="O7033" t="s">
        <v>5</v>
      </c>
      <c r="Q7033" t="s">
        <v>1299</v>
      </c>
      <c r="R7033" t="s">
        <v>6709</v>
      </c>
      <c r="S7033" t="s">
        <v>1022</v>
      </c>
    </row>
    <row r="7034" spans="1:19" x14ac:dyDescent="0.25">
      <c r="A7034" t="s">
        <v>59</v>
      </c>
      <c r="B7034" t="s">
        <v>60</v>
      </c>
      <c r="C7034" t="s">
        <v>32</v>
      </c>
      <c r="D7034" t="s">
        <v>953</v>
      </c>
      <c r="E7034" t="s">
        <v>6878</v>
      </c>
      <c r="F7034" t="s">
        <v>35</v>
      </c>
      <c r="G7034" t="s">
        <v>35</v>
      </c>
      <c r="H7034" t="s">
        <v>35</v>
      </c>
      <c r="J7034" t="s">
        <v>6957</v>
      </c>
      <c r="K7034" t="s">
        <v>1092</v>
      </c>
      <c r="M7034">
        <v>2</v>
      </c>
      <c r="N7034">
        <v>248</v>
      </c>
      <c r="O7034" t="s">
        <v>5</v>
      </c>
      <c r="Q7034" t="s">
        <v>1154</v>
      </c>
      <c r="R7034" t="s">
        <v>133</v>
      </c>
      <c r="S7034" t="s">
        <v>134</v>
      </c>
    </row>
    <row r="7035" spans="1:19" x14ac:dyDescent="0.25">
      <c r="A7035" t="s">
        <v>59</v>
      </c>
      <c r="B7035" t="s">
        <v>60</v>
      </c>
      <c r="C7035" t="s">
        <v>32</v>
      </c>
      <c r="D7035" t="s">
        <v>953</v>
      </c>
      <c r="E7035" t="s">
        <v>6878</v>
      </c>
      <c r="F7035" t="s">
        <v>35</v>
      </c>
      <c r="G7035" t="s">
        <v>35</v>
      </c>
      <c r="H7035" t="s">
        <v>35</v>
      </c>
      <c r="J7035" t="s">
        <v>6957</v>
      </c>
      <c r="K7035" t="s">
        <v>1092</v>
      </c>
      <c r="M7035">
        <v>2.5</v>
      </c>
      <c r="N7035">
        <v>90</v>
      </c>
      <c r="O7035" t="s">
        <v>61</v>
      </c>
      <c r="Q7035" t="s">
        <v>897</v>
      </c>
      <c r="R7035" t="s">
        <v>133</v>
      </c>
      <c r="S7035" t="s">
        <v>134</v>
      </c>
    </row>
    <row r="7036" spans="1:19" x14ac:dyDescent="0.25">
      <c r="A7036" t="s">
        <v>59</v>
      </c>
      <c r="B7036" t="s">
        <v>60</v>
      </c>
      <c r="C7036" t="s">
        <v>32</v>
      </c>
      <c r="D7036" t="s">
        <v>953</v>
      </c>
      <c r="E7036" t="s">
        <v>6878</v>
      </c>
      <c r="F7036" t="s">
        <v>35</v>
      </c>
      <c r="G7036" t="s">
        <v>35</v>
      </c>
      <c r="H7036" t="s">
        <v>35</v>
      </c>
      <c r="J7036" t="s">
        <v>6958</v>
      </c>
      <c r="K7036" t="s">
        <v>1092</v>
      </c>
      <c r="M7036">
        <v>0.1</v>
      </c>
      <c r="N7036">
        <v>139</v>
      </c>
      <c r="O7036" t="s">
        <v>38</v>
      </c>
      <c r="Q7036" t="s">
        <v>1696</v>
      </c>
      <c r="R7036" t="s">
        <v>6709</v>
      </c>
      <c r="S7036" t="s">
        <v>1022</v>
      </c>
    </row>
    <row r="7037" spans="1:19" x14ac:dyDescent="0.25">
      <c r="A7037" t="s">
        <v>30</v>
      </c>
      <c r="B7037" t="s">
        <v>31</v>
      </c>
      <c r="C7037" t="s">
        <v>32</v>
      </c>
      <c r="D7037" t="s">
        <v>953</v>
      </c>
      <c r="E7037" t="s">
        <v>6878</v>
      </c>
      <c r="F7037" t="s">
        <v>35</v>
      </c>
      <c r="G7037" t="s">
        <v>35</v>
      </c>
      <c r="H7037" t="s">
        <v>35</v>
      </c>
      <c r="J7037" t="s">
        <v>6959</v>
      </c>
      <c r="K7037" t="s">
        <v>1092</v>
      </c>
      <c r="M7037">
        <v>0.13500000000000001</v>
      </c>
      <c r="N7037">
        <v>203</v>
      </c>
      <c r="O7037" t="s">
        <v>5</v>
      </c>
      <c r="Q7037" t="s">
        <v>6960</v>
      </c>
      <c r="R7037" t="s">
        <v>6709</v>
      </c>
      <c r="S7037" t="s">
        <v>1022</v>
      </c>
    </row>
    <row r="7038" spans="1:19" x14ac:dyDescent="0.25">
      <c r="A7038" t="s">
        <v>59</v>
      </c>
      <c r="B7038" t="s">
        <v>60</v>
      </c>
      <c r="C7038" t="s">
        <v>32</v>
      </c>
      <c r="D7038" t="s">
        <v>953</v>
      </c>
      <c r="E7038" t="s">
        <v>6878</v>
      </c>
      <c r="F7038" t="s">
        <v>35</v>
      </c>
      <c r="G7038" t="s">
        <v>35</v>
      </c>
      <c r="H7038" t="s">
        <v>35</v>
      </c>
      <c r="J7038" t="s">
        <v>6961</v>
      </c>
      <c r="K7038" t="s">
        <v>1092</v>
      </c>
      <c r="M7038">
        <v>0.25</v>
      </c>
      <c r="N7038">
        <v>1172</v>
      </c>
      <c r="O7038" t="s">
        <v>575</v>
      </c>
      <c r="Q7038" t="s">
        <v>6962</v>
      </c>
      <c r="R7038" t="s">
        <v>6723</v>
      </c>
      <c r="S7038" t="s">
        <v>6724</v>
      </c>
    </row>
    <row r="7039" spans="1:19" x14ac:dyDescent="0.25">
      <c r="A7039" t="s">
        <v>59</v>
      </c>
      <c r="B7039" t="s">
        <v>60</v>
      </c>
      <c r="C7039" t="s">
        <v>32</v>
      </c>
      <c r="D7039" t="s">
        <v>953</v>
      </c>
      <c r="E7039" t="s">
        <v>6878</v>
      </c>
      <c r="F7039" t="s">
        <v>35</v>
      </c>
      <c r="G7039" t="s">
        <v>35</v>
      </c>
      <c r="H7039" t="s">
        <v>35</v>
      </c>
      <c r="J7039" t="s">
        <v>6963</v>
      </c>
      <c r="K7039" t="s">
        <v>1092</v>
      </c>
      <c r="M7039">
        <v>2.4500000000000002</v>
      </c>
      <c r="N7039">
        <v>65</v>
      </c>
      <c r="O7039" t="s">
        <v>61</v>
      </c>
      <c r="Q7039" t="s">
        <v>128</v>
      </c>
      <c r="R7039" t="s">
        <v>6964</v>
      </c>
      <c r="S7039" t="s">
        <v>6965</v>
      </c>
    </row>
    <row r="7040" spans="1:19" x14ac:dyDescent="0.25">
      <c r="A7040" t="s">
        <v>59</v>
      </c>
      <c r="B7040" t="s">
        <v>60</v>
      </c>
      <c r="C7040" t="s">
        <v>32</v>
      </c>
      <c r="D7040" t="s">
        <v>953</v>
      </c>
      <c r="E7040" t="s">
        <v>6878</v>
      </c>
      <c r="F7040" t="s">
        <v>35</v>
      </c>
      <c r="G7040" t="s">
        <v>35</v>
      </c>
      <c r="H7040" t="s">
        <v>35</v>
      </c>
      <c r="J7040" t="s">
        <v>6967</v>
      </c>
      <c r="K7040" t="s">
        <v>1092</v>
      </c>
      <c r="M7040">
        <v>0.45</v>
      </c>
      <c r="N7040">
        <v>60</v>
      </c>
      <c r="O7040" t="s">
        <v>52</v>
      </c>
      <c r="Q7040" t="s">
        <v>1734</v>
      </c>
      <c r="R7040" t="s">
        <v>133</v>
      </c>
      <c r="S7040" t="s">
        <v>134</v>
      </c>
    </row>
    <row r="7041" spans="1:19" x14ac:dyDescent="0.25">
      <c r="A7041" t="s">
        <v>59</v>
      </c>
      <c r="B7041" t="s">
        <v>31</v>
      </c>
      <c r="C7041" t="s">
        <v>32</v>
      </c>
      <c r="D7041" t="s">
        <v>953</v>
      </c>
      <c r="E7041" t="s">
        <v>6878</v>
      </c>
      <c r="F7041" t="s">
        <v>35</v>
      </c>
      <c r="G7041" t="s">
        <v>35</v>
      </c>
      <c r="H7041" t="s">
        <v>35</v>
      </c>
      <c r="J7041" t="s">
        <v>6968</v>
      </c>
      <c r="K7041" t="s">
        <v>1092</v>
      </c>
      <c r="M7041">
        <v>3.33</v>
      </c>
      <c r="N7041">
        <v>244</v>
      </c>
      <c r="O7041" t="s">
        <v>5</v>
      </c>
      <c r="Q7041" t="s">
        <v>1242</v>
      </c>
      <c r="R7041" t="s">
        <v>6847</v>
      </c>
      <c r="S7041" t="s">
        <v>1034</v>
      </c>
    </row>
    <row r="7042" spans="1:19" x14ac:dyDescent="0.25">
      <c r="A7042" t="s">
        <v>59</v>
      </c>
      <c r="B7042" t="s">
        <v>60</v>
      </c>
      <c r="C7042" t="s">
        <v>32</v>
      </c>
      <c r="D7042" t="s">
        <v>953</v>
      </c>
      <c r="E7042" t="s">
        <v>6878</v>
      </c>
      <c r="F7042" t="s">
        <v>35</v>
      </c>
      <c r="G7042" t="s">
        <v>35</v>
      </c>
      <c r="H7042" t="s">
        <v>35</v>
      </c>
      <c r="J7042" t="s">
        <v>6969</v>
      </c>
      <c r="K7042" t="s">
        <v>1092</v>
      </c>
      <c r="M7042">
        <v>8.1</v>
      </c>
      <c r="N7042">
        <v>48</v>
      </c>
      <c r="O7042" t="s">
        <v>52</v>
      </c>
      <c r="Q7042" t="s">
        <v>496</v>
      </c>
      <c r="R7042" t="s">
        <v>6939</v>
      </c>
      <c r="S7042" t="s">
        <v>969</v>
      </c>
    </row>
    <row r="7043" spans="1:19" x14ac:dyDescent="0.25">
      <c r="A7043" t="s">
        <v>59</v>
      </c>
      <c r="B7043" t="s">
        <v>60</v>
      </c>
      <c r="C7043" t="s">
        <v>32</v>
      </c>
      <c r="D7043" t="s">
        <v>953</v>
      </c>
      <c r="E7043" t="s">
        <v>6878</v>
      </c>
      <c r="F7043" t="s">
        <v>35</v>
      </c>
      <c r="G7043" t="s">
        <v>35</v>
      </c>
      <c r="H7043" t="s">
        <v>35</v>
      </c>
      <c r="J7043" t="s">
        <v>6970</v>
      </c>
      <c r="K7043" t="s">
        <v>1092</v>
      </c>
      <c r="M7043">
        <v>0.16500000000000001</v>
      </c>
      <c r="N7043">
        <v>166</v>
      </c>
      <c r="O7043" t="s">
        <v>38</v>
      </c>
      <c r="Q7043" t="s">
        <v>2316</v>
      </c>
      <c r="R7043" t="s">
        <v>133</v>
      </c>
      <c r="S7043" t="s">
        <v>134</v>
      </c>
    </row>
    <row r="7044" spans="1:19" x14ac:dyDescent="0.25">
      <c r="A7044" t="s">
        <v>59</v>
      </c>
      <c r="B7044" t="s">
        <v>60</v>
      </c>
      <c r="C7044" t="s">
        <v>32</v>
      </c>
      <c r="D7044" t="s">
        <v>953</v>
      </c>
      <c r="E7044" t="s">
        <v>6878</v>
      </c>
      <c r="F7044" t="s">
        <v>35</v>
      </c>
      <c r="G7044" t="s">
        <v>35</v>
      </c>
      <c r="H7044" t="s">
        <v>35</v>
      </c>
      <c r="J7044" t="s">
        <v>2661</v>
      </c>
      <c r="K7044" t="s">
        <v>1092</v>
      </c>
      <c r="M7044">
        <v>2</v>
      </c>
      <c r="N7044">
        <v>72</v>
      </c>
      <c r="O7044" t="s">
        <v>61</v>
      </c>
      <c r="Q7044" t="s">
        <v>63</v>
      </c>
      <c r="R7044" t="s">
        <v>133</v>
      </c>
      <c r="S7044" t="s">
        <v>134</v>
      </c>
    </row>
    <row r="7045" spans="1:19" x14ac:dyDescent="0.25">
      <c r="A7045" t="s">
        <v>59</v>
      </c>
      <c r="B7045" t="s">
        <v>60</v>
      </c>
      <c r="C7045" t="s">
        <v>32</v>
      </c>
      <c r="D7045" t="s">
        <v>953</v>
      </c>
      <c r="E7045" t="s">
        <v>6878</v>
      </c>
      <c r="F7045" t="s">
        <v>35</v>
      </c>
      <c r="G7045" t="s">
        <v>35</v>
      </c>
      <c r="H7045" t="s">
        <v>35</v>
      </c>
      <c r="J7045" t="s">
        <v>2661</v>
      </c>
      <c r="K7045" t="s">
        <v>1092</v>
      </c>
      <c r="M7045">
        <v>1.2</v>
      </c>
      <c r="N7045">
        <v>235</v>
      </c>
      <c r="O7045" t="s">
        <v>5</v>
      </c>
      <c r="Q7045" t="s">
        <v>4942</v>
      </c>
      <c r="R7045" t="s">
        <v>133</v>
      </c>
      <c r="S7045" t="s">
        <v>134</v>
      </c>
    </row>
    <row r="7046" spans="1:19" x14ac:dyDescent="0.25">
      <c r="A7046" t="s">
        <v>59</v>
      </c>
      <c r="B7046" t="s">
        <v>31</v>
      </c>
      <c r="C7046" t="s">
        <v>32</v>
      </c>
      <c r="D7046" t="s">
        <v>953</v>
      </c>
      <c r="E7046" t="s">
        <v>6878</v>
      </c>
      <c r="F7046" t="s">
        <v>35</v>
      </c>
      <c r="G7046" t="s">
        <v>35</v>
      </c>
      <c r="H7046" t="s">
        <v>35</v>
      </c>
      <c r="J7046" t="s">
        <v>6971</v>
      </c>
      <c r="K7046" t="s">
        <v>1092</v>
      </c>
      <c r="M7046">
        <v>1.71</v>
      </c>
      <c r="N7046">
        <v>62</v>
      </c>
      <c r="O7046" t="s">
        <v>61</v>
      </c>
      <c r="Q7046" t="s">
        <v>90</v>
      </c>
      <c r="R7046" t="s">
        <v>6847</v>
      </c>
      <c r="S7046" t="s">
        <v>1034</v>
      </c>
    </row>
    <row r="7047" spans="1:19" x14ac:dyDescent="0.25">
      <c r="A7047" t="s">
        <v>44</v>
      </c>
      <c r="B7047" t="s">
        <v>3</v>
      </c>
      <c r="C7047" t="s">
        <v>32</v>
      </c>
      <c r="D7047" t="s">
        <v>953</v>
      </c>
      <c r="E7047" t="s">
        <v>6878</v>
      </c>
      <c r="F7047" t="s">
        <v>35</v>
      </c>
      <c r="G7047" t="s">
        <v>35</v>
      </c>
      <c r="H7047" t="s">
        <v>35</v>
      </c>
      <c r="J7047" t="s">
        <v>6972</v>
      </c>
      <c r="K7047" t="s">
        <v>1092</v>
      </c>
      <c r="M7047">
        <v>0.45</v>
      </c>
      <c r="N7047">
        <v>42</v>
      </c>
      <c r="O7047" t="s">
        <v>52</v>
      </c>
      <c r="Q7047" t="s">
        <v>991</v>
      </c>
      <c r="R7047" t="s">
        <v>6807</v>
      </c>
      <c r="S7047" t="s">
        <v>1066</v>
      </c>
    </row>
    <row r="7048" spans="1:19" x14ac:dyDescent="0.25">
      <c r="A7048" t="s">
        <v>59</v>
      </c>
      <c r="B7048" t="s">
        <v>60</v>
      </c>
      <c r="C7048" t="s">
        <v>32</v>
      </c>
      <c r="D7048" t="s">
        <v>953</v>
      </c>
      <c r="E7048" t="s">
        <v>6878</v>
      </c>
      <c r="F7048" t="s">
        <v>35</v>
      </c>
      <c r="G7048" t="s">
        <v>35</v>
      </c>
      <c r="H7048" t="s">
        <v>35</v>
      </c>
      <c r="J7048" t="s">
        <v>6972</v>
      </c>
      <c r="K7048" t="s">
        <v>1092</v>
      </c>
      <c r="M7048">
        <v>0.35</v>
      </c>
      <c r="N7048">
        <v>150</v>
      </c>
      <c r="O7048" t="s">
        <v>38</v>
      </c>
      <c r="Q7048" t="s">
        <v>1612</v>
      </c>
      <c r="R7048" t="s">
        <v>133</v>
      </c>
      <c r="S7048" t="s">
        <v>134</v>
      </c>
    </row>
    <row r="7049" spans="1:19" x14ac:dyDescent="0.25">
      <c r="A7049" t="s">
        <v>59</v>
      </c>
      <c r="B7049" t="s">
        <v>60</v>
      </c>
      <c r="C7049" t="s">
        <v>32</v>
      </c>
      <c r="D7049" t="s">
        <v>953</v>
      </c>
      <c r="E7049" t="s">
        <v>968</v>
      </c>
      <c r="F7049" t="s">
        <v>35</v>
      </c>
      <c r="G7049" t="s">
        <v>35</v>
      </c>
      <c r="H7049" t="s">
        <v>35</v>
      </c>
      <c r="J7049" t="s">
        <v>6973</v>
      </c>
      <c r="K7049" t="s">
        <v>404</v>
      </c>
      <c r="M7049">
        <v>9.1</v>
      </c>
      <c r="N7049">
        <v>91</v>
      </c>
      <c r="O7049" t="s">
        <v>106</v>
      </c>
      <c r="Q7049" t="s">
        <v>1147</v>
      </c>
      <c r="R7049" t="s">
        <v>133</v>
      </c>
      <c r="S7049" t="s">
        <v>134</v>
      </c>
    </row>
    <row r="7050" spans="1:19" x14ac:dyDescent="0.25">
      <c r="A7050" t="s">
        <v>44</v>
      </c>
      <c r="B7050" t="s">
        <v>3</v>
      </c>
      <c r="C7050" t="s">
        <v>32</v>
      </c>
      <c r="D7050" t="s">
        <v>953</v>
      </c>
      <c r="E7050" t="s">
        <v>968</v>
      </c>
      <c r="F7050" t="s">
        <v>35</v>
      </c>
      <c r="G7050" t="s">
        <v>35</v>
      </c>
      <c r="H7050" t="s">
        <v>35</v>
      </c>
      <c r="J7050" t="s">
        <v>6974</v>
      </c>
      <c r="K7050" t="s">
        <v>1092</v>
      </c>
      <c r="M7050">
        <v>0.75</v>
      </c>
      <c r="N7050">
        <v>175</v>
      </c>
      <c r="O7050" t="s">
        <v>38</v>
      </c>
      <c r="Q7050" t="s">
        <v>1692</v>
      </c>
      <c r="R7050" t="s">
        <v>6709</v>
      </c>
      <c r="S7050" t="s">
        <v>1022</v>
      </c>
    </row>
    <row r="7051" spans="1:19" x14ac:dyDescent="0.25">
      <c r="A7051" t="s">
        <v>44</v>
      </c>
      <c r="B7051" t="s">
        <v>3</v>
      </c>
      <c r="C7051" t="s">
        <v>32</v>
      </c>
      <c r="D7051" t="s">
        <v>953</v>
      </c>
      <c r="E7051" t="s">
        <v>968</v>
      </c>
      <c r="F7051" t="s">
        <v>35</v>
      </c>
      <c r="G7051" t="s">
        <v>35</v>
      </c>
      <c r="H7051" t="s">
        <v>35</v>
      </c>
      <c r="J7051" t="s">
        <v>6974</v>
      </c>
      <c r="K7051" t="s">
        <v>1092</v>
      </c>
      <c r="M7051">
        <v>2.5</v>
      </c>
      <c r="N7051">
        <v>62</v>
      </c>
      <c r="O7051" t="s">
        <v>61</v>
      </c>
      <c r="Q7051" t="s">
        <v>90</v>
      </c>
      <c r="R7051" t="s">
        <v>6709</v>
      </c>
      <c r="S7051" t="s">
        <v>1022</v>
      </c>
    </row>
    <row r="7052" spans="1:19" x14ac:dyDescent="0.25">
      <c r="A7052" t="s">
        <v>59</v>
      </c>
      <c r="B7052" t="s">
        <v>60</v>
      </c>
      <c r="C7052" t="s">
        <v>32</v>
      </c>
      <c r="D7052" t="s">
        <v>953</v>
      </c>
      <c r="E7052" t="s">
        <v>968</v>
      </c>
      <c r="F7052" t="s">
        <v>35</v>
      </c>
      <c r="G7052" t="s">
        <v>35</v>
      </c>
      <c r="H7052" t="s">
        <v>35</v>
      </c>
      <c r="J7052" t="s">
        <v>6974</v>
      </c>
      <c r="K7052" t="s">
        <v>1092</v>
      </c>
      <c r="M7052">
        <v>0.05</v>
      </c>
      <c r="N7052">
        <v>59</v>
      </c>
      <c r="O7052" t="s">
        <v>52</v>
      </c>
      <c r="Q7052" t="s">
        <v>84</v>
      </c>
      <c r="R7052" t="s">
        <v>6709</v>
      </c>
      <c r="S7052" t="s">
        <v>1022</v>
      </c>
    </row>
    <row r="7053" spans="1:19" x14ac:dyDescent="0.25">
      <c r="A7053" t="s">
        <v>59</v>
      </c>
      <c r="B7053" t="s">
        <v>60</v>
      </c>
      <c r="C7053" t="s">
        <v>32</v>
      </c>
      <c r="D7053" t="s">
        <v>953</v>
      </c>
      <c r="E7053" t="s">
        <v>968</v>
      </c>
      <c r="F7053" t="s">
        <v>35</v>
      </c>
      <c r="G7053" t="s">
        <v>35</v>
      </c>
      <c r="H7053" t="s">
        <v>35</v>
      </c>
      <c r="J7053" t="s">
        <v>6975</v>
      </c>
      <c r="K7053" t="s">
        <v>1092</v>
      </c>
      <c r="M7053">
        <v>2.5</v>
      </c>
      <c r="N7053">
        <v>59</v>
      </c>
      <c r="O7053" t="s">
        <v>52</v>
      </c>
      <c r="Q7053" t="s">
        <v>84</v>
      </c>
      <c r="R7053" t="s">
        <v>6709</v>
      </c>
      <c r="S7053" t="s">
        <v>1022</v>
      </c>
    </row>
    <row r="7054" spans="1:19" x14ac:dyDescent="0.25">
      <c r="A7054" t="s">
        <v>44</v>
      </c>
      <c r="B7054" t="s">
        <v>3</v>
      </c>
      <c r="C7054" t="s">
        <v>32</v>
      </c>
      <c r="D7054" t="s">
        <v>953</v>
      </c>
      <c r="E7054" t="s">
        <v>968</v>
      </c>
      <c r="F7054" t="s">
        <v>35</v>
      </c>
      <c r="G7054" t="s">
        <v>35</v>
      </c>
      <c r="H7054" t="s">
        <v>35</v>
      </c>
      <c r="J7054" t="s">
        <v>6975</v>
      </c>
      <c r="K7054" t="s">
        <v>1092</v>
      </c>
      <c r="M7054">
        <v>2.5</v>
      </c>
      <c r="N7054">
        <v>62</v>
      </c>
      <c r="O7054" t="s">
        <v>61</v>
      </c>
      <c r="Q7054" t="s">
        <v>90</v>
      </c>
      <c r="R7054" t="s">
        <v>6709</v>
      </c>
      <c r="S7054" t="s">
        <v>1022</v>
      </c>
    </row>
    <row r="7055" spans="1:19" x14ac:dyDescent="0.25">
      <c r="A7055" t="s">
        <v>59</v>
      </c>
      <c r="B7055" t="s">
        <v>31</v>
      </c>
      <c r="C7055" t="s">
        <v>32</v>
      </c>
      <c r="D7055" t="s">
        <v>953</v>
      </c>
      <c r="E7055" t="s">
        <v>968</v>
      </c>
      <c r="F7055" t="s">
        <v>35</v>
      </c>
      <c r="G7055" t="s">
        <v>35</v>
      </c>
      <c r="H7055" t="s">
        <v>35</v>
      </c>
      <c r="J7055" t="s">
        <v>6975</v>
      </c>
      <c r="K7055" t="s">
        <v>1092</v>
      </c>
      <c r="M7055">
        <v>4.3999999999999997E-2</v>
      </c>
      <c r="N7055">
        <v>234</v>
      </c>
      <c r="O7055" t="s">
        <v>5</v>
      </c>
      <c r="Q7055" t="s">
        <v>1780</v>
      </c>
      <c r="R7055" t="s">
        <v>6709</v>
      </c>
      <c r="S7055" t="s">
        <v>1022</v>
      </c>
    </row>
    <row r="7056" spans="1:19" x14ac:dyDescent="0.25">
      <c r="A7056" t="s">
        <v>59</v>
      </c>
      <c r="B7056" t="s">
        <v>60</v>
      </c>
      <c r="C7056" t="s">
        <v>32</v>
      </c>
      <c r="D7056" t="s">
        <v>953</v>
      </c>
      <c r="E7056" t="s">
        <v>968</v>
      </c>
      <c r="F7056" t="s">
        <v>35</v>
      </c>
      <c r="G7056" t="s">
        <v>35</v>
      </c>
      <c r="H7056" t="s">
        <v>35</v>
      </c>
      <c r="J7056" t="s">
        <v>6975</v>
      </c>
      <c r="K7056" t="s">
        <v>1092</v>
      </c>
      <c r="M7056">
        <v>2</v>
      </c>
      <c r="N7056">
        <v>91</v>
      </c>
      <c r="O7056" t="s">
        <v>106</v>
      </c>
      <c r="Q7056" t="s">
        <v>1147</v>
      </c>
      <c r="R7056" t="s">
        <v>6709</v>
      </c>
      <c r="S7056" t="s">
        <v>1022</v>
      </c>
    </row>
    <row r="7057" spans="1:19" x14ac:dyDescent="0.25">
      <c r="A7057" t="s">
        <v>59</v>
      </c>
      <c r="B7057" t="s">
        <v>60</v>
      </c>
      <c r="C7057" t="s">
        <v>32</v>
      </c>
      <c r="D7057" t="s">
        <v>953</v>
      </c>
      <c r="E7057" t="s">
        <v>968</v>
      </c>
      <c r="F7057" t="s">
        <v>35</v>
      </c>
      <c r="G7057" t="s">
        <v>35</v>
      </c>
      <c r="H7057" t="s">
        <v>35</v>
      </c>
      <c r="J7057" t="s">
        <v>6976</v>
      </c>
      <c r="K7057" t="s">
        <v>1092</v>
      </c>
      <c r="M7057">
        <v>0.625</v>
      </c>
      <c r="N7057">
        <v>59</v>
      </c>
      <c r="O7057" t="s">
        <v>52</v>
      </c>
      <c r="Q7057" t="s">
        <v>84</v>
      </c>
      <c r="R7057" t="s">
        <v>6709</v>
      </c>
      <c r="S7057" t="s">
        <v>1022</v>
      </c>
    </row>
    <row r="7058" spans="1:19" x14ac:dyDescent="0.25">
      <c r="A7058" t="s">
        <v>59</v>
      </c>
      <c r="B7058" t="s">
        <v>31</v>
      </c>
      <c r="C7058" t="s">
        <v>32</v>
      </c>
      <c r="D7058" t="s">
        <v>953</v>
      </c>
      <c r="E7058" t="s">
        <v>968</v>
      </c>
      <c r="F7058" t="s">
        <v>35</v>
      </c>
      <c r="G7058" t="s">
        <v>35</v>
      </c>
      <c r="H7058" t="s">
        <v>35</v>
      </c>
      <c r="J7058" t="s">
        <v>6976</v>
      </c>
      <c r="K7058" t="s">
        <v>1092</v>
      </c>
      <c r="M7058">
        <v>0.13500000000000001</v>
      </c>
      <c r="N7058">
        <v>244</v>
      </c>
      <c r="O7058" t="s">
        <v>5</v>
      </c>
      <c r="Q7058" t="s">
        <v>1242</v>
      </c>
      <c r="R7058" t="s">
        <v>6709</v>
      </c>
      <c r="S7058" t="s">
        <v>1022</v>
      </c>
    </row>
    <row r="7059" spans="1:19" x14ac:dyDescent="0.25">
      <c r="A7059" t="s">
        <v>59</v>
      </c>
      <c r="B7059" t="s">
        <v>31</v>
      </c>
      <c r="C7059" t="s">
        <v>32</v>
      </c>
      <c r="D7059" t="s">
        <v>953</v>
      </c>
      <c r="E7059" t="s">
        <v>968</v>
      </c>
      <c r="F7059" t="s">
        <v>35</v>
      </c>
      <c r="G7059" t="s">
        <v>35</v>
      </c>
      <c r="H7059" t="s">
        <v>35</v>
      </c>
      <c r="J7059" t="s">
        <v>6976</v>
      </c>
      <c r="K7059" t="s">
        <v>1092</v>
      </c>
      <c r="M7059">
        <v>1.4850000000000001</v>
      </c>
      <c r="N7059">
        <v>234</v>
      </c>
      <c r="O7059" t="s">
        <v>5</v>
      </c>
      <c r="Q7059" t="s">
        <v>1780</v>
      </c>
      <c r="R7059" t="s">
        <v>6709</v>
      </c>
      <c r="S7059" t="s">
        <v>1022</v>
      </c>
    </row>
    <row r="7060" spans="1:19" x14ac:dyDescent="0.25">
      <c r="A7060" t="s">
        <v>44</v>
      </c>
      <c r="B7060" t="s">
        <v>3</v>
      </c>
      <c r="C7060" t="s">
        <v>32</v>
      </c>
      <c r="D7060" t="s">
        <v>953</v>
      </c>
      <c r="E7060" t="s">
        <v>968</v>
      </c>
      <c r="F7060" t="s">
        <v>35</v>
      </c>
      <c r="G7060" t="s">
        <v>35</v>
      </c>
      <c r="H7060" t="s">
        <v>35</v>
      </c>
      <c r="J7060" t="s">
        <v>6976</v>
      </c>
      <c r="K7060" t="s">
        <v>1092</v>
      </c>
      <c r="M7060">
        <v>2.5</v>
      </c>
      <c r="N7060">
        <v>62</v>
      </c>
      <c r="O7060" t="s">
        <v>61</v>
      </c>
      <c r="Q7060" t="s">
        <v>90</v>
      </c>
      <c r="R7060" t="s">
        <v>6709</v>
      </c>
      <c r="S7060" t="s">
        <v>1022</v>
      </c>
    </row>
    <row r="7061" spans="1:19" x14ac:dyDescent="0.25">
      <c r="A7061" t="s">
        <v>44</v>
      </c>
      <c r="B7061" t="s">
        <v>3</v>
      </c>
      <c r="C7061" t="s">
        <v>32</v>
      </c>
      <c r="D7061" t="s">
        <v>953</v>
      </c>
      <c r="E7061" t="s">
        <v>968</v>
      </c>
      <c r="F7061" t="s">
        <v>35</v>
      </c>
      <c r="G7061" t="s">
        <v>35</v>
      </c>
      <c r="H7061" t="s">
        <v>35</v>
      </c>
      <c r="J7061" t="s">
        <v>6977</v>
      </c>
      <c r="K7061" t="s">
        <v>1092</v>
      </c>
      <c r="M7061">
        <v>4.6500000000000004</v>
      </c>
      <c r="N7061">
        <v>62</v>
      </c>
      <c r="O7061" t="s">
        <v>61</v>
      </c>
      <c r="Q7061" t="s">
        <v>90</v>
      </c>
      <c r="R7061" t="s">
        <v>6709</v>
      </c>
      <c r="S7061" t="s">
        <v>1022</v>
      </c>
    </row>
    <row r="7062" spans="1:19" x14ac:dyDescent="0.25">
      <c r="A7062" t="s">
        <v>59</v>
      </c>
      <c r="B7062" t="s">
        <v>31</v>
      </c>
      <c r="C7062" t="s">
        <v>32</v>
      </c>
      <c r="D7062" t="s">
        <v>953</v>
      </c>
      <c r="E7062" t="s">
        <v>968</v>
      </c>
      <c r="F7062" t="s">
        <v>35</v>
      </c>
      <c r="G7062" t="s">
        <v>35</v>
      </c>
      <c r="H7062" t="s">
        <v>35</v>
      </c>
      <c r="J7062" t="s">
        <v>6977</v>
      </c>
      <c r="K7062" t="s">
        <v>1092</v>
      </c>
      <c r="M7062">
        <v>2.52</v>
      </c>
      <c r="N7062">
        <v>60</v>
      </c>
      <c r="O7062" t="s">
        <v>52</v>
      </c>
      <c r="Q7062" t="s">
        <v>1734</v>
      </c>
      <c r="R7062" t="s">
        <v>6709</v>
      </c>
      <c r="S7062" t="s">
        <v>1022</v>
      </c>
    </row>
    <row r="7063" spans="1:19" x14ac:dyDescent="0.25">
      <c r="A7063" t="s">
        <v>44</v>
      </c>
      <c r="B7063" t="s">
        <v>51</v>
      </c>
      <c r="C7063" t="s">
        <v>32</v>
      </c>
      <c r="D7063" t="s">
        <v>953</v>
      </c>
      <c r="E7063" t="s">
        <v>968</v>
      </c>
      <c r="F7063" t="s">
        <v>35</v>
      </c>
      <c r="G7063" t="s">
        <v>35</v>
      </c>
      <c r="H7063" t="s">
        <v>35</v>
      </c>
      <c r="J7063" t="s">
        <v>6977</v>
      </c>
      <c r="K7063" t="s">
        <v>1092</v>
      </c>
      <c r="M7063">
        <v>0.95</v>
      </c>
      <c r="N7063">
        <v>345</v>
      </c>
      <c r="O7063" t="s">
        <v>5</v>
      </c>
      <c r="Q7063" t="s">
        <v>3421</v>
      </c>
      <c r="R7063" t="s">
        <v>6877</v>
      </c>
      <c r="S7063" t="s">
        <v>1041</v>
      </c>
    </row>
    <row r="7064" spans="1:19" x14ac:dyDescent="0.25">
      <c r="A7064" t="s">
        <v>59</v>
      </c>
      <c r="B7064" t="s">
        <v>60</v>
      </c>
      <c r="C7064" t="s">
        <v>32</v>
      </c>
      <c r="D7064" t="s">
        <v>953</v>
      </c>
      <c r="E7064" t="s">
        <v>968</v>
      </c>
      <c r="F7064" t="s">
        <v>35</v>
      </c>
      <c r="G7064" t="s">
        <v>35</v>
      </c>
      <c r="H7064" t="s">
        <v>35</v>
      </c>
      <c r="J7064" t="s">
        <v>6978</v>
      </c>
      <c r="K7064" t="s">
        <v>1092</v>
      </c>
      <c r="M7064">
        <v>3.3</v>
      </c>
      <c r="N7064">
        <v>177</v>
      </c>
      <c r="O7064" t="s">
        <v>38</v>
      </c>
      <c r="Q7064" t="s">
        <v>4657</v>
      </c>
      <c r="R7064" t="s">
        <v>6897</v>
      </c>
      <c r="S7064" t="s">
        <v>1062</v>
      </c>
    </row>
    <row r="7065" spans="1:19" x14ac:dyDescent="0.25">
      <c r="A7065" t="s">
        <v>59</v>
      </c>
      <c r="B7065" t="s">
        <v>60</v>
      </c>
      <c r="C7065" t="s">
        <v>32</v>
      </c>
      <c r="D7065" t="s">
        <v>953</v>
      </c>
      <c r="E7065" t="s">
        <v>968</v>
      </c>
      <c r="F7065" t="s">
        <v>35</v>
      </c>
      <c r="G7065" t="s">
        <v>35</v>
      </c>
      <c r="H7065" t="s">
        <v>35</v>
      </c>
      <c r="J7065" t="s">
        <v>6979</v>
      </c>
      <c r="K7065" t="s">
        <v>1092</v>
      </c>
      <c r="M7065">
        <v>3.75</v>
      </c>
      <c r="N7065">
        <v>110</v>
      </c>
      <c r="O7065" t="s">
        <v>106</v>
      </c>
      <c r="Q7065" t="s">
        <v>1494</v>
      </c>
      <c r="R7065" t="s">
        <v>6742</v>
      </c>
      <c r="S7065" t="s">
        <v>1016</v>
      </c>
    </row>
    <row r="7066" spans="1:19" x14ac:dyDescent="0.25">
      <c r="A7066" t="s">
        <v>59</v>
      </c>
      <c r="B7066" t="s">
        <v>60</v>
      </c>
      <c r="C7066" t="s">
        <v>32</v>
      </c>
      <c r="D7066" t="s">
        <v>953</v>
      </c>
      <c r="E7066" t="s">
        <v>968</v>
      </c>
      <c r="F7066" t="s">
        <v>35</v>
      </c>
      <c r="G7066" t="s">
        <v>35</v>
      </c>
      <c r="H7066" t="s">
        <v>35</v>
      </c>
      <c r="J7066" t="s">
        <v>6980</v>
      </c>
      <c r="K7066" t="s">
        <v>1092</v>
      </c>
      <c r="M7066">
        <v>0.60299999999999998</v>
      </c>
      <c r="N7066">
        <v>91</v>
      </c>
      <c r="O7066" t="s">
        <v>106</v>
      </c>
      <c r="Q7066" t="s">
        <v>1147</v>
      </c>
      <c r="R7066" t="s">
        <v>6709</v>
      </c>
      <c r="S7066" t="s">
        <v>1022</v>
      </c>
    </row>
    <row r="7067" spans="1:19" x14ac:dyDescent="0.25">
      <c r="A7067" t="s">
        <v>59</v>
      </c>
      <c r="B7067" t="s">
        <v>31</v>
      </c>
      <c r="C7067" t="s">
        <v>32</v>
      </c>
      <c r="D7067" t="s">
        <v>953</v>
      </c>
      <c r="E7067" t="s">
        <v>968</v>
      </c>
      <c r="F7067" t="s">
        <v>35</v>
      </c>
      <c r="G7067" t="s">
        <v>35</v>
      </c>
      <c r="H7067" t="s">
        <v>35</v>
      </c>
      <c r="J7067" t="s">
        <v>6980</v>
      </c>
      <c r="K7067" t="s">
        <v>1092</v>
      </c>
      <c r="M7067">
        <v>1.28</v>
      </c>
      <c r="N7067">
        <v>91</v>
      </c>
      <c r="O7067" t="s">
        <v>106</v>
      </c>
      <c r="Q7067" t="s">
        <v>1147</v>
      </c>
      <c r="R7067" t="s">
        <v>6709</v>
      </c>
      <c r="S7067" t="s">
        <v>1022</v>
      </c>
    </row>
    <row r="7068" spans="1:19" x14ac:dyDescent="0.25">
      <c r="A7068" t="s">
        <v>30</v>
      </c>
      <c r="B7068" t="s">
        <v>31</v>
      </c>
      <c r="C7068" t="s">
        <v>32</v>
      </c>
      <c r="D7068" t="s">
        <v>953</v>
      </c>
      <c r="E7068" t="s">
        <v>968</v>
      </c>
      <c r="F7068" t="s">
        <v>35</v>
      </c>
      <c r="G7068" t="s">
        <v>35</v>
      </c>
      <c r="H7068" t="s">
        <v>35</v>
      </c>
      <c r="J7068" t="s">
        <v>6980</v>
      </c>
      <c r="K7068" t="s">
        <v>1092</v>
      </c>
      <c r="M7068">
        <v>2.3849999999999998</v>
      </c>
      <c r="N7068">
        <v>35</v>
      </c>
      <c r="O7068" t="s">
        <v>52</v>
      </c>
      <c r="Q7068" t="s">
        <v>48</v>
      </c>
      <c r="R7068" t="s">
        <v>6899</v>
      </c>
      <c r="S7068" t="s">
        <v>6900</v>
      </c>
    </row>
    <row r="7069" spans="1:19" x14ac:dyDescent="0.25">
      <c r="A7069" t="s">
        <v>59</v>
      </c>
      <c r="B7069" t="s">
        <v>60</v>
      </c>
      <c r="C7069" t="s">
        <v>32</v>
      </c>
      <c r="D7069" t="s">
        <v>953</v>
      </c>
      <c r="E7069" t="s">
        <v>968</v>
      </c>
      <c r="F7069" t="s">
        <v>35</v>
      </c>
      <c r="G7069" t="s">
        <v>35</v>
      </c>
      <c r="H7069" t="s">
        <v>35</v>
      </c>
      <c r="J7069" t="s">
        <v>6981</v>
      </c>
      <c r="K7069" t="s">
        <v>1092</v>
      </c>
      <c r="M7069">
        <v>0.2</v>
      </c>
      <c r="N7069">
        <v>180</v>
      </c>
      <c r="O7069" t="s">
        <v>38</v>
      </c>
      <c r="Q7069" t="s">
        <v>2138</v>
      </c>
      <c r="R7069" t="s">
        <v>6847</v>
      </c>
      <c r="S7069" t="s">
        <v>1034</v>
      </c>
    </row>
    <row r="7070" spans="1:19" x14ac:dyDescent="0.25">
      <c r="A7070" t="s">
        <v>59</v>
      </c>
      <c r="B7070" t="s">
        <v>60</v>
      </c>
      <c r="C7070" t="s">
        <v>32</v>
      </c>
      <c r="D7070" t="s">
        <v>953</v>
      </c>
      <c r="E7070" t="s">
        <v>968</v>
      </c>
      <c r="F7070" t="s">
        <v>35</v>
      </c>
      <c r="G7070" t="s">
        <v>35</v>
      </c>
      <c r="H7070" t="s">
        <v>35</v>
      </c>
      <c r="J7070" t="s">
        <v>6982</v>
      </c>
      <c r="K7070" t="s">
        <v>1092</v>
      </c>
      <c r="M7070">
        <v>5</v>
      </c>
      <c r="N7070">
        <v>63</v>
      </c>
      <c r="O7070" t="s">
        <v>61</v>
      </c>
      <c r="Q7070" t="s">
        <v>423</v>
      </c>
      <c r="R7070" t="s">
        <v>6877</v>
      </c>
      <c r="S7070" t="s">
        <v>1041</v>
      </c>
    </row>
    <row r="7071" spans="1:19" x14ac:dyDescent="0.25">
      <c r="A7071" t="s">
        <v>59</v>
      </c>
      <c r="B7071" t="s">
        <v>31</v>
      </c>
      <c r="C7071" t="s">
        <v>32</v>
      </c>
      <c r="D7071" t="s">
        <v>953</v>
      </c>
      <c r="E7071" t="s">
        <v>968</v>
      </c>
      <c r="F7071" t="s">
        <v>35</v>
      </c>
      <c r="G7071" t="s">
        <v>35</v>
      </c>
      <c r="H7071" t="s">
        <v>35</v>
      </c>
      <c r="J7071" t="s">
        <v>6982</v>
      </c>
      <c r="K7071" t="s">
        <v>1092</v>
      </c>
      <c r="M7071">
        <v>4.9950000000000001</v>
      </c>
      <c r="N7071">
        <v>63</v>
      </c>
      <c r="O7071" t="s">
        <v>61</v>
      </c>
      <c r="Q7071" t="s">
        <v>423</v>
      </c>
      <c r="R7071" t="s">
        <v>6877</v>
      </c>
      <c r="S7071" t="s">
        <v>1041</v>
      </c>
    </row>
    <row r="7072" spans="1:19" x14ac:dyDescent="0.25">
      <c r="A7072" t="s">
        <v>59</v>
      </c>
      <c r="B7072" t="s">
        <v>60</v>
      </c>
      <c r="C7072" t="s">
        <v>32</v>
      </c>
      <c r="D7072" t="s">
        <v>953</v>
      </c>
      <c r="E7072" t="s">
        <v>968</v>
      </c>
      <c r="F7072" t="s">
        <v>35</v>
      </c>
      <c r="G7072" t="s">
        <v>35</v>
      </c>
      <c r="H7072" t="s">
        <v>35</v>
      </c>
      <c r="J7072" t="s">
        <v>6982</v>
      </c>
      <c r="K7072" t="s">
        <v>1092</v>
      </c>
      <c r="M7072">
        <v>4.2</v>
      </c>
      <c r="N7072">
        <v>243</v>
      </c>
      <c r="O7072" t="s">
        <v>5</v>
      </c>
      <c r="Q7072" t="s">
        <v>1151</v>
      </c>
      <c r="R7072" t="s">
        <v>6705</v>
      </c>
      <c r="S7072" t="s">
        <v>981</v>
      </c>
    </row>
    <row r="7073" spans="1:19" x14ac:dyDescent="0.25">
      <c r="A7073" t="s">
        <v>59</v>
      </c>
      <c r="B7073" t="s">
        <v>31</v>
      </c>
      <c r="C7073" t="s">
        <v>32</v>
      </c>
      <c r="D7073" t="s">
        <v>953</v>
      </c>
      <c r="E7073" t="s">
        <v>968</v>
      </c>
      <c r="F7073" t="s">
        <v>35</v>
      </c>
      <c r="G7073" t="s">
        <v>35</v>
      </c>
      <c r="H7073" t="s">
        <v>35</v>
      </c>
      <c r="J7073" t="s">
        <v>6982</v>
      </c>
      <c r="K7073" t="s">
        <v>1092</v>
      </c>
      <c r="M7073">
        <v>4.9950000000000001</v>
      </c>
      <c r="N7073">
        <v>243</v>
      </c>
      <c r="O7073" t="s">
        <v>5</v>
      </c>
      <c r="Q7073" t="s">
        <v>1151</v>
      </c>
      <c r="R7073" t="s">
        <v>6705</v>
      </c>
      <c r="S7073" t="s">
        <v>981</v>
      </c>
    </row>
    <row r="7074" spans="1:19" x14ac:dyDescent="0.25">
      <c r="A7074" t="s">
        <v>59</v>
      </c>
      <c r="B7074" t="s">
        <v>60</v>
      </c>
      <c r="C7074" t="s">
        <v>32</v>
      </c>
      <c r="D7074" t="s">
        <v>953</v>
      </c>
      <c r="E7074" t="s">
        <v>968</v>
      </c>
      <c r="F7074" t="s">
        <v>35</v>
      </c>
      <c r="G7074" t="s">
        <v>35</v>
      </c>
      <c r="H7074" t="s">
        <v>35</v>
      </c>
      <c r="J7074" t="s">
        <v>6983</v>
      </c>
      <c r="K7074" t="s">
        <v>1092</v>
      </c>
      <c r="M7074">
        <v>5</v>
      </c>
      <c r="N7074">
        <v>62</v>
      </c>
      <c r="O7074" t="s">
        <v>61</v>
      </c>
      <c r="Q7074" t="s">
        <v>90</v>
      </c>
      <c r="R7074" t="s">
        <v>987</v>
      </c>
      <c r="S7074" t="s">
        <v>988</v>
      </c>
    </row>
    <row r="7075" spans="1:19" x14ac:dyDescent="0.25">
      <c r="A7075" t="s">
        <v>59</v>
      </c>
      <c r="B7075" t="s">
        <v>60</v>
      </c>
      <c r="C7075" t="s">
        <v>32</v>
      </c>
      <c r="D7075" t="s">
        <v>953</v>
      </c>
      <c r="E7075" t="s">
        <v>968</v>
      </c>
      <c r="F7075" t="s">
        <v>35</v>
      </c>
      <c r="G7075" t="s">
        <v>35</v>
      </c>
      <c r="H7075" t="s">
        <v>35</v>
      </c>
      <c r="J7075" t="s">
        <v>6983</v>
      </c>
      <c r="K7075" t="s">
        <v>1092</v>
      </c>
      <c r="M7075">
        <v>6</v>
      </c>
      <c r="N7075">
        <v>93</v>
      </c>
      <c r="O7075" t="s">
        <v>106</v>
      </c>
      <c r="Q7075" t="s">
        <v>941</v>
      </c>
      <c r="R7075" t="s">
        <v>987</v>
      </c>
      <c r="S7075" t="s">
        <v>988</v>
      </c>
    </row>
    <row r="7076" spans="1:19" x14ac:dyDescent="0.25">
      <c r="A7076" t="s">
        <v>30</v>
      </c>
      <c r="B7076" t="s">
        <v>31</v>
      </c>
      <c r="C7076" t="s">
        <v>32</v>
      </c>
      <c r="D7076" t="s">
        <v>953</v>
      </c>
      <c r="E7076" t="s">
        <v>968</v>
      </c>
      <c r="F7076" t="s">
        <v>35</v>
      </c>
      <c r="G7076" t="s">
        <v>35</v>
      </c>
      <c r="H7076" t="s">
        <v>35</v>
      </c>
      <c r="J7076" t="s">
        <v>6984</v>
      </c>
      <c r="K7076" t="s">
        <v>1092</v>
      </c>
      <c r="M7076">
        <v>1.62</v>
      </c>
      <c r="N7076">
        <v>280</v>
      </c>
      <c r="O7076" t="s">
        <v>5</v>
      </c>
      <c r="Q7076" t="s">
        <v>4595</v>
      </c>
      <c r="R7076" t="s">
        <v>987</v>
      </c>
      <c r="S7076" t="s">
        <v>988</v>
      </c>
    </row>
    <row r="7077" spans="1:19" x14ac:dyDescent="0.25">
      <c r="A7077" t="s">
        <v>59</v>
      </c>
      <c r="B7077" t="s">
        <v>60</v>
      </c>
      <c r="C7077" t="s">
        <v>32</v>
      </c>
      <c r="D7077" t="s">
        <v>953</v>
      </c>
      <c r="E7077" t="s">
        <v>968</v>
      </c>
      <c r="F7077" t="s">
        <v>35</v>
      </c>
      <c r="G7077" t="s">
        <v>35</v>
      </c>
      <c r="H7077" t="s">
        <v>35</v>
      </c>
      <c r="J7077" t="s">
        <v>6985</v>
      </c>
      <c r="K7077" t="s">
        <v>1092</v>
      </c>
      <c r="M7077">
        <v>0.25</v>
      </c>
      <c r="N7077">
        <v>844</v>
      </c>
      <c r="O7077" t="s">
        <v>575</v>
      </c>
      <c r="Q7077" t="s">
        <v>6986</v>
      </c>
      <c r="R7077" t="s">
        <v>6847</v>
      </c>
      <c r="S7077" t="s">
        <v>1034</v>
      </c>
    </row>
    <row r="7078" spans="1:19" x14ac:dyDescent="0.25">
      <c r="A7078" t="s">
        <v>59</v>
      </c>
      <c r="B7078" t="s">
        <v>31</v>
      </c>
      <c r="C7078" t="s">
        <v>32</v>
      </c>
      <c r="D7078" t="s">
        <v>953</v>
      </c>
      <c r="E7078" t="s">
        <v>968</v>
      </c>
      <c r="F7078" t="s">
        <v>35</v>
      </c>
      <c r="G7078" t="s">
        <v>35</v>
      </c>
      <c r="H7078" t="s">
        <v>35</v>
      </c>
      <c r="J7078" t="s">
        <v>6987</v>
      </c>
      <c r="K7078" t="s">
        <v>1092</v>
      </c>
      <c r="M7078">
        <v>4.5449999999999999</v>
      </c>
      <c r="N7078">
        <v>54</v>
      </c>
      <c r="O7078" t="s">
        <v>52</v>
      </c>
      <c r="Q7078" t="s">
        <v>1207</v>
      </c>
      <c r="R7078" t="s">
        <v>6847</v>
      </c>
      <c r="S7078" t="s">
        <v>1034</v>
      </c>
    </row>
    <row r="7079" spans="1:19" x14ac:dyDescent="0.25">
      <c r="A7079" t="s">
        <v>59</v>
      </c>
      <c r="B7079" t="s">
        <v>60</v>
      </c>
      <c r="C7079" t="s">
        <v>32</v>
      </c>
      <c r="D7079" t="s">
        <v>953</v>
      </c>
      <c r="E7079" t="s">
        <v>968</v>
      </c>
      <c r="F7079" t="s">
        <v>35</v>
      </c>
      <c r="G7079" t="s">
        <v>35</v>
      </c>
      <c r="H7079" t="s">
        <v>35</v>
      </c>
      <c r="J7079" t="s">
        <v>6988</v>
      </c>
      <c r="K7079" t="s">
        <v>1092</v>
      </c>
      <c r="M7079">
        <v>0.16</v>
      </c>
      <c r="N7079">
        <v>2673</v>
      </c>
      <c r="O7079" t="s">
        <v>575</v>
      </c>
      <c r="Q7079" t="s">
        <v>1486</v>
      </c>
      <c r="R7079" t="s">
        <v>1487</v>
      </c>
      <c r="S7079" t="s">
        <v>1488</v>
      </c>
    </row>
    <row r="7080" spans="1:19" x14ac:dyDescent="0.25">
      <c r="A7080" t="s">
        <v>30</v>
      </c>
      <c r="B7080" t="s">
        <v>31</v>
      </c>
      <c r="C7080" t="s">
        <v>32</v>
      </c>
      <c r="D7080" t="s">
        <v>953</v>
      </c>
      <c r="E7080" t="s">
        <v>968</v>
      </c>
      <c r="F7080" t="s">
        <v>35</v>
      </c>
      <c r="G7080" t="s">
        <v>35</v>
      </c>
      <c r="H7080" t="s">
        <v>35</v>
      </c>
      <c r="J7080" t="s">
        <v>6988</v>
      </c>
      <c r="K7080" t="s">
        <v>1092</v>
      </c>
      <c r="M7080">
        <v>2.25</v>
      </c>
      <c r="N7080">
        <v>2673</v>
      </c>
      <c r="O7080" t="s">
        <v>575</v>
      </c>
      <c r="Q7080" t="s">
        <v>1486</v>
      </c>
      <c r="R7080" t="s">
        <v>1487</v>
      </c>
      <c r="S7080" t="s">
        <v>1488</v>
      </c>
    </row>
    <row r="7081" spans="1:19" x14ac:dyDescent="0.25">
      <c r="A7081" t="s">
        <v>59</v>
      </c>
      <c r="B7081" t="s">
        <v>31</v>
      </c>
      <c r="C7081" t="s">
        <v>32</v>
      </c>
      <c r="D7081" t="s">
        <v>953</v>
      </c>
      <c r="E7081" t="s">
        <v>968</v>
      </c>
      <c r="F7081" t="s">
        <v>35</v>
      </c>
      <c r="G7081" t="s">
        <v>35</v>
      </c>
      <c r="H7081" t="s">
        <v>35</v>
      </c>
      <c r="J7081" t="s">
        <v>6988</v>
      </c>
      <c r="K7081" t="s">
        <v>1092</v>
      </c>
      <c r="M7081">
        <v>0.9</v>
      </c>
      <c r="N7081">
        <v>2303</v>
      </c>
      <c r="O7081" t="s">
        <v>575</v>
      </c>
      <c r="Q7081" t="s">
        <v>2357</v>
      </c>
      <c r="R7081" t="s">
        <v>133</v>
      </c>
      <c r="S7081" t="s">
        <v>134</v>
      </c>
    </row>
    <row r="7082" spans="1:19" x14ac:dyDescent="0.25">
      <c r="A7082" t="s">
        <v>30</v>
      </c>
      <c r="B7082" t="s">
        <v>31</v>
      </c>
      <c r="C7082" t="s">
        <v>32</v>
      </c>
      <c r="D7082" t="s">
        <v>953</v>
      </c>
      <c r="E7082" t="s">
        <v>968</v>
      </c>
      <c r="F7082" t="s">
        <v>35</v>
      </c>
      <c r="G7082" t="s">
        <v>35</v>
      </c>
      <c r="H7082" t="s">
        <v>35</v>
      </c>
      <c r="J7082" t="s">
        <v>6989</v>
      </c>
      <c r="K7082" t="s">
        <v>1092</v>
      </c>
      <c r="M7082">
        <v>2.9249999999999998</v>
      </c>
      <c r="N7082">
        <v>196</v>
      </c>
      <c r="O7082" t="s">
        <v>5</v>
      </c>
      <c r="Q7082" t="s">
        <v>5616</v>
      </c>
      <c r="R7082" t="s">
        <v>133</v>
      </c>
      <c r="S7082" t="s">
        <v>134</v>
      </c>
    </row>
    <row r="7083" spans="1:19" x14ac:dyDescent="0.25">
      <c r="A7083" t="s">
        <v>44</v>
      </c>
      <c r="B7083" t="s">
        <v>3</v>
      </c>
      <c r="C7083" t="s">
        <v>32</v>
      </c>
      <c r="D7083" t="s">
        <v>953</v>
      </c>
      <c r="E7083" t="s">
        <v>968</v>
      </c>
      <c r="F7083" t="s">
        <v>35</v>
      </c>
      <c r="G7083" t="s">
        <v>35</v>
      </c>
      <c r="H7083" t="s">
        <v>35</v>
      </c>
      <c r="J7083" t="s">
        <v>6989</v>
      </c>
      <c r="K7083" t="s">
        <v>1092</v>
      </c>
      <c r="M7083">
        <v>5</v>
      </c>
      <c r="N7083">
        <v>65</v>
      </c>
      <c r="O7083" t="s">
        <v>61</v>
      </c>
      <c r="Q7083" t="s">
        <v>128</v>
      </c>
      <c r="R7083" t="s">
        <v>6742</v>
      </c>
      <c r="S7083" t="s">
        <v>1016</v>
      </c>
    </row>
    <row r="7084" spans="1:19" x14ac:dyDescent="0.25">
      <c r="A7084" t="s">
        <v>59</v>
      </c>
      <c r="B7084" t="s">
        <v>60</v>
      </c>
      <c r="C7084" t="s">
        <v>32</v>
      </c>
      <c r="D7084" t="s">
        <v>953</v>
      </c>
      <c r="E7084" t="s">
        <v>968</v>
      </c>
      <c r="F7084" t="s">
        <v>35</v>
      </c>
      <c r="G7084" t="s">
        <v>35</v>
      </c>
      <c r="H7084" t="s">
        <v>35</v>
      </c>
      <c r="J7084" t="s">
        <v>6989</v>
      </c>
      <c r="K7084" t="s">
        <v>1092</v>
      </c>
      <c r="M7084">
        <v>5</v>
      </c>
      <c r="N7084">
        <v>93</v>
      </c>
      <c r="O7084" t="s">
        <v>106</v>
      </c>
      <c r="Q7084" t="s">
        <v>941</v>
      </c>
      <c r="R7084" t="s">
        <v>6742</v>
      </c>
      <c r="S7084" t="s">
        <v>1016</v>
      </c>
    </row>
    <row r="7085" spans="1:19" x14ac:dyDescent="0.25">
      <c r="A7085" t="s">
        <v>59</v>
      </c>
      <c r="B7085" t="s">
        <v>31</v>
      </c>
      <c r="C7085" t="s">
        <v>32</v>
      </c>
      <c r="D7085" t="s">
        <v>953</v>
      </c>
      <c r="E7085" t="s">
        <v>968</v>
      </c>
      <c r="F7085" t="s">
        <v>35</v>
      </c>
      <c r="G7085" t="s">
        <v>35</v>
      </c>
      <c r="H7085" t="s">
        <v>35</v>
      </c>
      <c r="J7085" t="s">
        <v>6990</v>
      </c>
      <c r="K7085" t="s">
        <v>1092</v>
      </c>
      <c r="M7085">
        <v>3.915</v>
      </c>
      <c r="N7085">
        <v>61</v>
      </c>
      <c r="O7085" t="s">
        <v>61</v>
      </c>
      <c r="Q7085" t="s">
        <v>671</v>
      </c>
      <c r="R7085" t="s">
        <v>6709</v>
      </c>
      <c r="S7085" t="s">
        <v>1022</v>
      </c>
    </row>
    <row r="7086" spans="1:19" x14ac:dyDescent="0.25">
      <c r="A7086" t="s">
        <v>44</v>
      </c>
      <c r="B7086" t="s">
        <v>3</v>
      </c>
      <c r="C7086" t="s">
        <v>32</v>
      </c>
      <c r="D7086" t="s">
        <v>953</v>
      </c>
      <c r="E7086" t="s">
        <v>968</v>
      </c>
      <c r="F7086" t="s">
        <v>35</v>
      </c>
      <c r="G7086" t="s">
        <v>35</v>
      </c>
      <c r="H7086" t="s">
        <v>35</v>
      </c>
      <c r="J7086" t="s">
        <v>6990</v>
      </c>
      <c r="K7086" t="s">
        <v>1092</v>
      </c>
      <c r="M7086">
        <v>5</v>
      </c>
      <c r="N7086">
        <v>62</v>
      </c>
      <c r="O7086" t="s">
        <v>61</v>
      </c>
      <c r="Q7086" t="s">
        <v>90</v>
      </c>
      <c r="R7086" t="s">
        <v>6709</v>
      </c>
      <c r="S7086" t="s">
        <v>1022</v>
      </c>
    </row>
    <row r="7087" spans="1:19" x14ac:dyDescent="0.25">
      <c r="A7087" t="s">
        <v>59</v>
      </c>
      <c r="B7087" t="s">
        <v>60</v>
      </c>
      <c r="C7087" t="s">
        <v>32</v>
      </c>
      <c r="D7087" t="s">
        <v>953</v>
      </c>
      <c r="E7087" t="s">
        <v>968</v>
      </c>
      <c r="F7087" t="s">
        <v>35</v>
      </c>
      <c r="G7087" t="s">
        <v>35</v>
      </c>
      <c r="H7087" t="s">
        <v>35</v>
      </c>
      <c r="J7087" t="s">
        <v>6990</v>
      </c>
      <c r="K7087" t="s">
        <v>1092</v>
      </c>
      <c r="M7087">
        <v>5</v>
      </c>
      <c r="N7087">
        <v>61</v>
      </c>
      <c r="O7087" t="s">
        <v>61</v>
      </c>
      <c r="Q7087" t="s">
        <v>671</v>
      </c>
      <c r="R7087" t="s">
        <v>6709</v>
      </c>
      <c r="S7087" t="s">
        <v>1022</v>
      </c>
    </row>
    <row r="7088" spans="1:19" x14ac:dyDescent="0.25">
      <c r="A7088" t="s">
        <v>59</v>
      </c>
      <c r="B7088" t="s">
        <v>60</v>
      </c>
      <c r="C7088" t="s">
        <v>32</v>
      </c>
      <c r="D7088" t="s">
        <v>953</v>
      </c>
      <c r="E7088" t="s">
        <v>968</v>
      </c>
      <c r="F7088" t="s">
        <v>35</v>
      </c>
      <c r="G7088" t="s">
        <v>35</v>
      </c>
      <c r="H7088" t="s">
        <v>35</v>
      </c>
      <c r="J7088" t="s">
        <v>6990</v>
      </c>
      <c r="K7088" t="s">
        <v>1092</v>
      </c>
      <c r="M7088">
        <v>3.4</v>
      </c>
      <c r="N7088">
        <v>91</v>
      </c>
      <c r="O7088" t="s">
        <v>106</v>
      </c>
      <c r="Q7088" t="s">
        <v>1147</v>
      </c>
      <c r="R7088" t="s">
        <v>6709</v>
      </c>
      <c r="S7088" t="s">
        <v>1022</v>
      </c>
    </row>
    <row r="7089" spans="1:19" x14ac:dyDescent="0.25">
      <c r="A7089" t="s">
        <v>44</v>
      </c>
      <c r="B7089" t="s">
        <v>3</v>
      </c>
      <c r="C7089" t="s">
        <v>32</v>
      </c>
      <c r="D7089" t="s">
        <v>953</v>
      </c>
      <c r="E7089" t="s">
        <v>968</v>
      </c>
      <c r="F7089" t="s">
        <v>35</v>
      </c>
      <c r="G7089" t="s">
        <v>35</v>
      </c>
      <c r="H7089" t="s">
        <v>35</v>
      </c>
      <c r="J7089" t="s">
        <v>6991</v>
      </c>
      <c r="K7089" t="s">
        <v>1092</v>
      </c>
      <c r="M7089">
        <v>5</v>
      </c>
      <c r="N7089">
        <v>62</v>
      </c>
      <c r="O7089" t="s">
        <v>61</v>
      </c>
      <c r="Q7089" t="s">
        <v>90</v>
      </c>
      <c r="R7089" t="s">
        <v>6709</v>
      </c>
      <c r="S7089" t="s">
        <v>1022</v>
      </c>
    </row>
    <row r="7090" spans="1:19" x14ac:dyDescent="0.25">
      <c r="A7090" t="s">
        <v>59</v>
      </c>
      <c r="B7090" t="s">
        <v>31</v>
      </c>
      <c r="C7090" t="s">
        <v>32</v>
      </c>
      <c r="D7090" t="s">
        <v>953</v>
      </c>
      <c r="E7090" t="s">
        <v>968</v>
      </c>
      <c r="F7090" t="s">
        <v>35</v>
      </c>
      <c r="G7090" t="s">
        <v>35</v>
      </c>
      <c r="H7090" t="s">
        <v>35</v>
      </c>
      <c r="J7090" t="s">
        <v>6991</v>
      </c>
      <c r="K7090" t="s">
        <v>1092</v>
      </c>
      <c r="M7090">
        <v>2.4750000000000001</v>
      </c>
      <c r="N7090">
        <v>60</v>
      </c>
      <c r="O7090" t="s">
        <v>52</v>
      </c>
      <c r="Q7090" t="s">
        <v>1734</v>
      </c>
      <c r="R7090" t="s">
        <v>6709</v>
      </c>
      <c r="S7090" t="s">
        <v>1022</v>
      </c>
    </row>
    <row r="7091" spans="1:19" x14ac:dyDescent="0.25">
      <c r="A7091" t="s">
        <v>59</v>
      </c>
      <c r="B7091" t="s">
        <v>60</v>
      </c>
      <c r="C7091" t="s">
        <v>32</v>
      </c>
      <c r="D7091" t="s">
        <v>953</v>
      </c>
      <c r="E7091" t="s">
        <v>968</v>
      </c>
      <c r="F7091" t="s">
        <v>35</v>
      </c>
      <c r="G7091" t="s">
        <v>35</v>
      </c>
      <c r="H7091" t="s">
        <v>35</v>
      </c>
      <c r="J7091" t="s">
        <v>6991</v>
      </c>
      <c r="K7091" t="s">
        <v>1092</v>
      </c>
      <c r="M7091">
        <v>5</v>
      </c>
      <c r="N7091">
        <v>60</v>
      </c>
      <c r="O7091" t="s">
        <v>52</v>
      </c>
      <c r="Q7091" t="s">
        <v>1734</v>
      </c>
      <c r="R7091" t="s">
        <v>6709</v>
      </c>
      <c r="S7091" t="s">
        <v>1022</v>
      </c>
    </row>
    <row r="7092" spans="1:19" x14ac:dyDescent="0.25">
      <c r="A7092" t="s">
        <v>59</v>
      </c>
      <c r="B7092" t="s">
        <v>60</v>
      </c>
      <c r="C7092" t="s">
        <v>32</v>
      </c>
      <c r="D7092" t="s">
        <v>953</v>
      </c>
      <c r="E7092" t="s">
        <v>968</v>
      </c>
      <c r="F7092" t="s">
        <v>35</v>
      </c>
      <c r="G7092" t="s">
        <v>35</v>
      </c>
      <c r="H7092" t="s">
        <v>35</v>
      </c>
      <c r="J7092" t="s">
        <v>6991</v>
      </c>
      <c r="K7092" t="s">
        <v>1092</v>
      </c>
      <c r="M7092">
        <v>1</v>
      </c>
      <c r="N7092">
        <v>54</v>
      </c>
      <c r="O7092" t="s">
        <v>52</v>
      </c>
      <c r="Q7092" t="s">
        <v>1207</v>
      </c>
      <c r="R7092" t="s">
        <v>6709</v>
      </c>
      <c r="S7092" t="s">
        <v>1022</v>
      </c>
    </row>
    <row r="7093" spans="1:19" x14ac:dyDescent="0.25">
      <c r="A7093" t="s">
        <v>59</v>
      </c>
      <c r="B7093" t="s">
        <v>60</v>
      </c>
      <c r="C7093" t="s">
        <v>32</v>
      </c>
      <c r="D7093" t="s">
        <v>953</v>
      </c>
      <c r="E7093" t="s">
        <v>968</v>
      </c>
      <c r="F7093" t="s">
        <v>35</v>
      </c>
      <c r="G7093" t="s">
        <v>35</v>
      </c>
      <c r="H7093" t="s">
        <v>35</v>
      </c>
      <c r="J7093" t="s">
        <v>6991</v>
      </c>
      <c r="K7093" t="s">
        <v>1092</v>
      </c>
      <c r="M7093">
        <v>2</v>
      </c>
      <c r="N7093">
        <v>79</v>
      </c>
      <c r="O7093" t="s">
        <v>61</v>
      </c>
      <c r="Q7093" t="s">
        <v>1156</v>
      </c>
      <c r="R7093" t="s">
        <v>6709</v>
      </c>
      <c r="S7093" t="s">
        <v>1022</v>
      </c>
    </row>
    <row r="7094" spans="1:19" x14ac:dyDescent="0.25">
      <c r="A7094" t="s">
        <v>59</v>
      </c>
      <c r="B7094" t="s">
        <v>60</v>
      </c>
      <c r="C7094" t="s">
        <v>32</v>
      </c>
      <c r="D7094" t="s">
        <v>953</v>
      </c>
      <c r="E7094" t="s">
        <v>968</v>
      </c>
      <c r="F7094" t="s">
        <v>35</v>
      </c>
      <c r="G7094" t="s">
        <v>35</v>
      </c>
      <c r="H7094" t="s">
        <v>35</v>
      </c>
      <c r="J7094" t="s">
        <v>6992</v>
      </c>
      <c r="K7094" t="s">
        <v>1092</v>
      </c>
      <c r="M7094">
        <v>0.55000000000000004</v>
      </c>
      <c r="N7094">
        <v>62</v>
      </c>
      <c r="O7094" t="s">
        <v>61</v>
      </c>
      <c r="Q7094" t="s">
        <v>90</v>
      </c>
      <c r="R7094" t="s">
        <v>6847</v>
      </c>
      <c r="S7094" t="s">
        <v>1034</v>
      </c>
    </row>
    <row r="7095" spans="1:19" x14ac:dyDescent="0.25">
      <c r="A7095" t="s">
        <v>44</v>
      </c>
      <c r="B7095" t="s">
        <v>3</v>
      </c>
      <c r="C7095" t="s">
        <v>32</v>
      </c>
      <c r="D7095" t="s">
        <v>953</v>
      </c>
      <c r="E7095" t="s">
        <v>968</v>
      </c>
      <c r="F7095" t="s">
        <v>35</v>
      </c>
      <c r="G7095" t="s">
        <v>35</v>
      </c>
      <c r="H7095" t="s">
        <v>35</v>
      </c>
      <c r="J7095" t="s">
        <v>6992</v>
      </c>
      <c r="K7095" t="s">
        <v>1092</v>
      </c>
      <c r="M7095">
        <v>3.45</v>
      </c>
      <c r="N7095">
        <v>65</v>
      </c>
      <c r="O7095" t="s">
        <v>61</v>
      </c>
      <c r="Q7095" t="s">
        <v>128</v>
      </c>
      <c r="R7095" t="s">
        <v>6847</v>
      </c>
      <c r="S7095" t="s">
        <v>1034</v>
      </c>
    </row>
    <row r="7096" spans="1:19" x14ac:dyDescent="0.25">
      <c r="A7096" t="s">
        <v>59</v>
      </c>
      <c r="B7096" t="s">
        <v>60</v>
      </c>
      <c r="C7096" t="s">
        <v>32</v>
      </c>
      <c r="D7096" t="s">
        <v>953</v>
      </c>
      <c r="E7096" t="s">
        <v>968</v>
      </c>
      <c r="F7096" t="s">
        <v>35</v>
      </c>
      <c r="G7096" t="s">
        <v>35</v>
      </c>
      <c r="H7096" t="s">
        <v>35</v>
      </c>
      <c r="J7096" t="s">
        <v>6993</v>
      </c>
      <c r="K7096" t="s">
        <v>1092</v>
      </c>
      <c r="M7096">
        <v>0.65</v>
      </c>
      <c r="N7096">
        <v>155</v>
      </c>
      <c r="O7096" t="s">
        <v>38</v>
      </c>
      <c r="Q7096" t="s">
        <v>3942</v>
      </c>
      <c r="R7096" t="s">
        <v>6939</v>
      </c>
      <c r="S7096" t="s">
        <v>969</v>
      </c>
    </row>
    <row r="7097" spans="1:19" x14ac:dyDescent="0.25">
      <c r="A7097" t="s">
        <v>30</v>
      </c>
      <c r="B7097" t="s">
        <v>31</v>
      </c>
      <c r="C7097" t="s">
        <v>32</v>
      </c>
      <c r="D7097" t="s">
        <v>953</v>
      </c>
      <c r="E7097" t="s">
        <v>968</v>
      </c>
      <c r="F7097" t="s">
        <v>35</v>
      </c>
      <c r="G7097" t="s">
        <v>35</v>
      </c>
      <c r="H7097" t="s">
        <v>35</v>
      </c>
      <c r="J7097" t="s">
        <v>6993</v>
      </c>
      <c r="K7097" t="s">
        <v>1092</v>
      </c>
      <c r="M7097">
        <v>0.18</v>
      </c>
      <c r="N7097">
        <v>200</v>
      </c>
      <c r="O7097" t="s">
        <v>5</v>
      </c>
      <c r="Q7097" t="s">
        <v>3691</v>
      </c>
      <c r="R7097" t="s">
        <v>6939</v>
      </c>
      <c r="S7097" t="s">
        <v>969</v>
      </c>
    </row>
    <row r="7098" spans="1:19" x14ac:dyDescent="0.25">
      <c r="A7098" t="s">
        <v>59</v>
      </c>
      <c r="B7098" t="s">
        <v>60</v>
      </c>
      <c r="C7098" t="s">
        <v>32</v>
      </c>
      <c r="D7098" t="s">
        <v>953</v>
      </c>
      <c r="E7098" t="s">
        <v>968</v>
      </c>
      <c r="F7098" t="s">
        <v>35</v>
      </c>
      <c r="G7098" t="s">
        <v>35</v>
      </c>
      <c r="H7098" t="s">
        <v>35</v>
      </c>
      <c r="J7098" t="s">
        <v>6994</v>
      </c>
      <c r="K7098" t="s">
        <v>1092</v>
      </c>
      <c r="M7098">
        <v>2.2999999999999998</v>
      </c>
      <c r="N7098">
        <v>27</v>
      </c>
      <c r="O7098" t="s">
        <v>46</v>
      </c>
      <c r="Q7098" t="s">
        <v>1011</v>
      </c>
      <c r="R7098" t="s">
        <v>6939</v>
      </c>
      <c r="S7098" t="s">
        <v>969</v>
      </c>
    </row>
    <row r="7099" spans="1:19" x14ac:dyDescent="0.25">
      <c r="A7099" t="s">
        <v>44</v>
      </c>
      <c r="B7099" t="s">
        <v>3</v>
      </c>
      <c r="C7099" t="s">
        <v>32</v>
      </c>
      <c r="D7099" t="s">
        <v>953</v>
      </c>
      <c r="E7099" t="s">
        <v>968</v>
      </c>
      <c r="F7099" t="s">
        <v>35</v>
      </c>
      <c r="G7099" t="s">
        <v>35</v>
      </c>
      <c r="H7099" t="s">
        <v>35</v>
      </c>
      <c r="J7099" t="s">
        <v>6994</v>
      </c>
      <c r="K7099" t="s">
        <v>1092</v>
      </c>
      <c r="M7099">
        <v>5</v>
      </c>
      <c r="N7099">
        <v>62</v>
      </c>
      <c r="O7099" t="s">
        <v>61</v>
      </c>
      <c r="Q7099" t="s">
        <v>90</v>
      </c>
      <c r="R7099" t="s">
        <v>6709</v>
      </c>
      <c r="S7099" t="s">
        <v>1022</v>
      </c>
    </row>
    <row r="7100" spans="1:19" x14ac:dyDescent="0.25">
      <c r="A7100" t="s">
        <v>30</v>
      </c>
      <c r="B7100" t="s">
        <v>31</v>
      </c>
      <c r="C7100" t="s">
        <v>32</v>
      </c>
      <c r="D7100" t="s">
        <v>953</v>
      </c>
      <c r="E7100" t="s">
        <v>968</v>
      </c>
      <c r="F7100" t="s">
        <v>35</v>
      </c>
      <c r="G7100" t="s">
        <v>35</v>
      </c>
      <c r="H7100" t="s">
        <v>35</v>
      </c>
      <c r="J7100" t="s">
        <v>6994</v>
      </c>
      <c r="K7100" t="s">
        <v>1092</v>
      </c>
      <c r="M7100">
        <v>0.27</v>
      </c>
      <c r="N7100">
        <v>200</v>
      </c>
      <c r="O7100" t="s">
        <v>5</v>
      </c>
      <c r="Q7100" t="s">
        <v>3691</v>
      </c>
      <c r="R7100" t="s">
        <v>6939</v>
      </c>
      <c r="S7100" t="s">
        <v>969</v>
      </c>
    </row>
    <row r="7101" spans="1:19" x14ac:dyDescent="0.25">
      <c r="A7101" t="s">
        <v>59</v>
      </c>
      <c r="B7101" t="s">
        <v>60</v>
      </c>
      <c r="C7101" t="s">
        <v>32</v>
      </c>
      <c r="D7101" t="s">
        <v>953</v>
      </c>
      <c r="E7101" t="s">
        <v>968</v>
      </c>
      <c r="F7101" t="s">
        <v>35</v>
      </c>
      <c r="G7101" t="s">
        <v>35</v>
      </c>
      <c r="H7101" t="s">
        <v>35</v>
      </c>
      <c r="J7101" t="s">
        <v>6995</v>
      </c>
      <c r="K7101" t="s">
        <v>1092</v>
      </c>
      <c r="M7101">
        <v>0.1</v>
      </c>
      <c r="N7101">
        <v>178</v>
      </c>
      <c r="O7101" t="s">
        <v>38</v>
      </c>
      <c r="Q7101" t="s">
        <v>2827</v>
      </c>
      <c r="R7101" t="s">
        <v>6939</v>
      </c>
      <c r="S7101" t="s">
        <v>969</v>
      </c>
    </row>
    <row r="7102" spans="1:19" x14ac:dyDescent="0.25">
      <c r="A7102" t="s">
        <v>59</v>
      </c>
      <c r="B7102" t="s">
        <v>60</v>
      </c>
      <c r="C7102" t="s">
        <v>32</v>
      </c>
      <c r="D7102" t="s">
        <v>953</v>
      </c>
      <c r="E7102" t="s">
        <v>968</v>
      </c>
      <c r="F7102" t="s">
        <v>35</v>
      </c>
      <c r="G7102" t="s">
        <v>35</v>
      </c>
      <c r="H7102" t="s">
        <v>35</v>
      </c>
      <c r="J7102" t="s">
        <v>6996</v>
      </c>
      <c r="K7102" t="s">
        <v>1092</v>
      </c>
      <c r="M7102">
        <v>0.25</v>
      </c>
      <c r="N7102">
        <v>167</v>
      </c>
      <c r="O7102" t="s">
        <v>38</v>
      </c>
      <c r="Q7102" t="s">
        <v>1120</v>
      </c>
      <c r="R7102" t="s">
        <v>133</v>
      </c>
      <c r="S7102" t="s">
        <v>134</v>
      </c>
    </row>
    <row r="7103" spans="1:19" x14ac:dyDescent="0.25">
      <c r="A7103" t="s">
        <v>59</v>
      </c>
      <c r="B7103" t="s">
        <v>60</v>
      </c>
      <c r="C7103" t="s">
        <v>32</v>
      </c>
      <c r="D7103" t="s">
        <v>953</v>
      </c>
      <c r="E7103" t="s">
        <v>968</v>
      </c>
      <c r="F7103" t="s">
        <v>35</v>
      </c>
      <c r="G7103" t="s">
        <v>35</v>
      </c>
      <c r="H7103" t="s">
        <v>35</v>
      </c>
      <c r="J7103" t="s">
        <v>6996</v>
      </c>
      <c r="K7103" t="s">
        <v>1092</v>
      </c>
      <c r="M7103">
        <v>0.5</v>
      </c>
      <c r="N7103">
        <v>91</v>
      </c>
      <c r="O7103" t="s">
        <v>106</v>
      </c>
      <c r="Q7103" t="s">
        <v>1147</v>
      </c>
      <c r="R7103" t="s">
        <v>133</v>
      </c>
      <c r="S7103" t="s">
        <v>134</v>
      </c>
    </row>
    <row r="7104" spans="1:19" x14ac:dyDescent="0.25">
      <c r="A7104" t="s">
        <v>44</v>
      </c>
      <c r="B7104" t="s">
        <v>3</v>
      </c>
      <c r="C7104" t="s">
        <v>32</v>
      </c>
      <c r="D7104" t="s">
        <v>953</v>
      </c>
      <c r="E7104" t="s">
        <v>968</v>
      </c>
      <c r="F7104" t="s">
        <v>35</v>
      </c>
      <c r="G7104" t="s">
        <v>35</v>
      </c>
      <c r="H7104" t="s">
        <v>35</v>
      </c>
      <c r="J7104" t="s">
        <v>6996</v>
      </c>
      <c r="K7104" t="s">
        <v>1092</v>
      </c>
      <c r="M7104">
        <v>0.25</v>
      </c>
      <c r="N7104">
        <v>32</v>
      </c>
      <c r="O7104" t="s">
        <v>52</v>
      </c>
      <c r="Q7104" t="s">
        <v>547</v>
      </c>
      <c r="R7104" t="s">
        <v>133</v>
      </c>
      <c r="S7104" t="s">
        <v>134</v>
      </c>
    </row>
    <row r="7105" spans="1:19" x14ac:dyDescent="0.25">
      <c r="A7105" t="s">
        <v>59</v>
      </c>
      <c r="B7105" t="s">
        <v>60</v>
      </c>
      <c r="C7105" t="s">
        <v>32</v>
      </c>
      <c r="D7105" t="s">
        <v>953</v>
      </c>
      <c r="E7105" t="s">
        <v>968</v>
      </c>
      <c r="F7105" t="s">
        <v>35</v>
      </c>
      <c r="G7105" t="s">
        <v>35</v>
      </c>
      <c r="H7105" t="s">
        <v>35</v>
      </c>
      <c r="J7105" t="s">
        <v>6997</v>
      </c>
      <c r="K7105" t="s">
        <v>1092</v>
      </c>
      <c r="M7105">
        <v>2.25</v>
      </c>
      <c r="N7105">
        <v>91</v>
      </c>
      <c r="O7105" t="s">
        <v>106</v>
      </c>
      <c r="Q7105" t="s">
        <v>1147</v>
      </c>
      <c r="R7105" t="s">
        <v>6709</v>
      </c>
      <c r="S7105" t="s">
        <v>1022</v>
      </c>
    </row>
    <row r="7106" spans="1:19" x14ac:dyDescent="0.25">
      <c r="A7106" t="s">
        <v>30</v>
      </c>
      <c r="B7106" t="s">
        <v>31</v>
      </c>
      <c r="C7106" t="s">
        <v>32</v>
      </c>
      <c r="D7106" t="s">
        <v>953</v>
      </c>
      <c r="E7106" t="s">
        <v>968</v>
      </c>
      <c r="F7106" t="s">
        <v>35</v>
      </c>
      <c r="G7106" t="s">
        <v>35</v>
      </c>
      <c r="H7106" t="s">
        <v>35</v>
      </c>
      <c r="J7106" t="s">
        <v>6997</v>
      </c>
      <c r="K7106" t="s">
        <v>1092</v>
      </c>
      <c r="M7106">
        <v>9.3149999999999995</v>
      </c>
      <c r="N7106">
        <v>21</v>
      </c>
      <c r="O7106" t="s">
        <v>46</v>
      </c>
      <c r="Q7106" t="s">
        <v>1874</v>
      </c>
      <c r="R7106" t="s">
        <v>6720</v>
      </c>
      <c r="S7106" t="s">
        <v>961</v>
      </c>
    </row>
    <row r="7107" spans="1:19" x14ac:dyDescent="0.25">
      <c r="A7107" t="s">
        <v>59</v>
      </c>
      <c r="B7107" t="s">
        <v>60</v>
      </c>
      <c r="C7107" t="s">
        <v>32</v>
      </c>
      <c r="D7107" t="s">
        <v>953</v>
      </c>
      <c r="E7107" t="s">
        <v>968</v>
      </c>
      <c r="F7107" t="s">
        <v>35</v>
      </c>
      <c r="G7107" t="s">
        <v>35</v>
      </c>
      <c r="H7107" t="s">
        <v>35</v>
      </c>
      <c r="J7107" t="s">
        <v>6998</v>
      </c>
      <c r="K7107" t="s">
        <v>1092</v>
      </c>
      <c r="M7107">
        <v>6</v>
      </c>
      <c r="N7107">
        <v>27</v>
      </c>
      <c r="O7107" t="s">
        <v>46</v>
      </c>
      <c r="Q7107" t="s">
        <v>1011</v>
      </c>
      <c r="R7107" t="s">
        <v>6939</v>
      </c>
      <c r="S7107" t="s">
        <v>969</v>
      </c>
    </row>
    <row r="7108" spans="1:19" x14ac:dyDescent="0.25">
      <c r="A7108" t="s">
        <v>44</v>
      </c>
      <c r="B7108" t="s">
        <v>3</v>
      </c>
      <c r="C7108" t="s">
        <v>32</v>
      </c>
      <c r="D7108" t="s">
        <v>953</v>
      </c>
      <c r="E7108" t="s">
        <v>968</v>
      </c>
      <c r="F7108" t="s">
        <v>35</v>
      </c>
      <c r="G7108" t="s">
        <v>35</v>
      </c>
      <c r="H7108" t="s">
        <v>35</v>
      </c>
      <c r="J7108" t="s">
        <v>6998</v>
      </c>
      <c r="K7108" t="s">
        <v>1092</v>
      </c>
      <c r="M7108">
        <v>0.05</v>
      </c>
      <c r="N7108">
        <v>401</v>
      </c>
      <c r="O7108" t="s">
        <v>294</v>
      </c>
      <c r="Q7108" t="s">
        <v>1434</v>
      </c>
      <c r="R7108" t="s">
        <v>6939</v>
      </c>
      <c r="S7108" t="s">
        <v>969</v>
      </c>
    </row>
    <row r="7109" spans="1:19" x14ac:dyDescent="0.25">
      <c r="A7109" t="s">
        <v>59</v>
      </c>
      <c r="B7109" t="s">
        <v>60</v>
      </c>
      <c r="C7109" t="s">
        <v>32</v>
      </c>
      <c r="D7109" t="s">
        <v>953</v>
      </c>
      <c r="E7109" t="s">
        <v>968</v>
      </c>
      <c r="F7109" t="s">
        <v>35</v>
      </c>
      <c r="G7109" t="s">
        <v>35</v>
      </c>
      <c r="H7109" t="s">
        <v>35</v>
      </c>
      <c r="J7109" t="s">
        <v>6998</v>
      </c>
      <c r="K7109" t="s">
        <v>1092</v>
      </c>
      <c r="M7109">
        <v>0.2</v>
      </c>
      <c r="N7109">
        <v>78</v>
      </c>
      <c r="O7109" t="s">
        <v>61</v>
      </c>
      <c r="Q7109" t="s">
        <v>4851</v>
      </c>
      <c r="R7109" t="s">
        <v>6939</v>
      </c>
      <c r="S7109" t="s">
        <v>969</v>
      </c>
    </row>
    <row r="7110" spans="1:19" x14ac:dyDescent="0.25">
      <c r="A7110" t="s">
        <v>44</v>
      </c>
      <c r="B7110" t="s">
        <v>3</v>
      </c>
      <c r="C7110" t="s">
        <v>32</v>
      </c>
      <c r="D7110" t="s">
        <v>953</v>
      </c>
      <c r="E7110" t="s">
        <v>968</v>
      </c>
      <c r="F7110" t="s">
        <v>35</v>
      </c>
      <c r="G7110" t="s">
        <v>35</v>
      </c>
      <c r="H7110" t="s">
        <v>35</v>
      </c>
      <c r="J7110" t="s">
        <v>6999</v>
      </c>
      <c r="K7110" t="s">
        <v>1092</v>
      </c>
      <c r="M7110">
        <v>5</v>
      </c>
      <c r="N7110">
        <v>62</v>
      </c>
      <c r="O7110" t="s">
        <v>61</v>
      </c>
      <c r="Q7110" t="s">
        <v>90</v>
      </c>
      <c r="R7110" t="s">
        <v>6709</v>
      </c>
      <c r="S7110" t="s">
        <v>1022</v>
      </c>
    </row>
    <row r="7111" spans="1:19" x14ac:dyDescent="0.25">
      <c r="A7111" t="s">
        <v>59</v>
      </c>
      <c r="B7111" t="s">
        <v>60</v>
      </c>
      <c r="C7111" t="s">
        <v>32</v>
      </c>
      <c r="D7111" t="s">
        <v>953</v>
      </c>
      <c r="E7111" t="s">
        <v>968</v>
      </c>
      <c r="F7111" t="s">
        <v>35</v>
      </c>
      <c r="G7111" t="s">
        <v>35</v>
      </c>
      <c r="H7111" t="s">
        <v>35</v>
      </c>
      <c r="J7111" t="s">
        <v>7000</v>
      </c>
      <c r="K7111" t="s">
        <v>1092</v>
      </c>
      <c r="M7111">
        <v>2.9</v>
      </c>
      <c r="N7111">
        <v>59</v>
      </c>
      <c r="O7111" t="s">
        <v>52</v>
      </c>
      <c r="Q7111" t="s">
        <v>84</v>
      </c>
      <c r="R7111" t="s">
        <v>6709</v>
      </c>
      <c r="S7111" t="s">
        <v>1022</v>
      </c>
    </row>
    <row r="7112" spans="1:19" x14ac:dyDescent="0.25">
      <c r="A7112" t="s">
        <v>30</v>
      </c>
      <c r="B7112" t="s">
        <v>31</v>
      </c>
      <c r="C7112" t="s">
        <v>32</v>
      </c>
      <c r="D7112" t="s">
        <v>953</v>
      </c>
      <c r="E7112" t="s">
        <v>968</v>
      </c>
      <c r="F7112" t="s">
        <v>35</v>
      </c>
      <c r="G7112" t="s">
        <v>35</v>
      </c>
      <c r="H7112" t="s">
        <v>35</v>
      </c>
      <c r="J7112" t="s">
        <v>7000</v>
      </c>
      <c r="K7112" t="s">
        <v>1092</v>
      </c>
      <c r="M7112">
        <v>9.2249999999999996</v>
      </c>
      <c r="N7112">
        <v>21</v>
      </c>
      <c r="O7112" t="s">
        <v>46</v>
      </c>
      <c r="Q7112" t="s">
        <v>1874</v>
      </c>
      <c r="R7112" t="s">
        <v>6720</v>
      </c>
      <c r="S7112" t="s">
        <v>961</v>
      </c>
    </row>
    <row r="7113" spans="1:19" x14ac:dyDescent="0.25">
      <c r="A7113" t="s">
        <v>44</v>
      </c>
      <c r="B7113" t="s">
        <v>3</v>
      </c>
      <c r="C7113" t="s">
        <v>32</v>
      </c>
      <c r="D7113" t="s">
        <v>953</v>
      </c>
      <c r="E7113" t="s">
        <v>968</v>
      </c>
      <c r="F7113" t="s">
        <v>35</v>
      </c>
      <c r="G7113" t="s">
        <v>35</v>
      </c>
      <c r="H7113" t="s">
        <v>35</v>
      </c>
      <c r="J7113" t="s">
        <v>7000</v>
      </c>
      <c r="K7113" t="s">
        <v>1092</v>
      </c>
      <c r="M7113">
        <v>4.8</v>
      </c>
      <c r="N7113">
        <v>62</v>
      </c>
      <c r="O7113" t="s">
        <v>61</v>
      </c>
      <c r="Q7113" t="s">
        <v>90</v>
      </c>
      <c r="R7113" t="s">
        <v>6709</v>
      </c>
      <c r="S7113" t="s">
        <v>1022</v>
      </c>
    </row>
    <row r="7114" spans="1:19" x14ac:dyDescent="0.25">
      <c r="A7114" t="s">
        <v>59</v>
      </c>
      <c r="B7114" t="s">
        <v>60</v>
      </c>
      <c r="C7114" t="s">
        <v>32</v>
      </c>
      <c r="D7114" t="s">
        <v>953</v>
      </c>
      <c r="E7114" t="s">
        <v>968</v>
      </c>
      <c r="F7114" t="s">
        <v>35</v>
      </c>
      <c r="G7114" t="s">
        <v>35</v>
      </c>
      <c r="H7114" t="s">
        <v>35</v>
      </c>
      <c r="J7114" t="s">
        <v>7001</v>
      </c>
      <c r="K7114" t="s">
        <v>1092</v>
      </c>
      <c r="M7114">
        <v>1.048</v>
      </c>
      <c r="N7114">
        <v>244</v>
      </c>
      <c r="O7114" t="s">
        <v>5</v>
      </c>
      <c r="Q7114" t="s">
        <v>1242</v>
      </c>
      <c r="R7114" t="s">
        <v>6709</v>
      </c>
      <c r="S7114" t="s">
        <v>1022</v>
      </c>
    </row>
    <row r="7115" spans="1:19" x14ac:dyDescent="0.25">
      <c r="A7115" t="s">
        <v>44</v>
      </c>
      <c r="B7115" t="s">
        <v>3</v>
      </c>
      <c r="C7115" t="s">
        <v>32</v>
      </c>
      <c r="D7115" t="s">
        <v>953</v>
      </c>
      <c r="E7115" t="s">
        <v>968</v>
      </c>
      <c r="F7115" t="s">
        <v>35</v>
      </c>
      <c r="G7115" t="s">
        <v>35</v>
      </c>
      <c r="H7115" t="s">
        <v>35</v>
      </c>
      <c r="J7115" t="s">
        <v>7002</v>
      </c>
      <c r="K7115" t="s">
        <v>1092</v>
      </c>
      <c r="M7115">
        <v>3</v>
      </c>
      <c r="N7115">
        <v>34</v>
      </c>
      <c r="O7115" t="s">
        <v>52</v>
      </c>
      <c r="Q7115" t="s">
        <v>809</v>
      </c>
      <c r="R7115" t="s">
        <v>6897</v>
      </c>
      <c r="S7115" t="s">
        <v>1062</v>
      </c>
    </row>
    <row r="7116" spans="1:19" x14ac:dyDescent="0.25">
      <c r="A7116" t="s">
        <v>30</v>
      </c>
      <c r="B7116" t="s">
        <v>31</v>
      </c>
      <c r="C7116" t="s">
        <v>32</v>
      </c>
      <c r="D7116" t="s">
        <v>953</v>
      </c>
      <c r="E7116" t="s">
        <v>968</v>
      </c>
      <c r="F7116" t="s">
        <v>35</v>
      </c>
      <c r="G7116" t="s">
        <v>35</v>
      </c>
      <c r="H7116" t="s">
        <v>35</v>
      </c>
      <c r="J7116" t="s">
        <v>7003</v>
      </c>
      <c r="K7116" t="s">
        <v>1092</v>
      </c>
      <c r="M7116">
        <v>2.9249999999999998</v>
      </c>
      <c r="N7116">
        <v>20</v>
      </c>
      <c r="O7116" t="s">
        <v>46</v>
      </c>
      <c r="Q7116" t="s">
        <v>1004</v>
      </c>
      <c r="R7116" t="s">
        <v>6847</v>
      </c>
      <c r="S7116" t="s">
        <v>1034</v>
      </c>
    </row>
    <row r="7117" spans="1:19" x14ac:dyDescent="0.25">
      <c r="A7117" t="s">
        <v>59</v>
      </c>
      <c r="B7117" t="s">
        <v>60</v>
      </c>
      <c r="C7117" t="s">
        <v>32</v>
      </c>
      <c r="D7117" t="s">
        <v>953</v>
      </c>
      <c r="E7117" t="s">
        <v>968</v>
      </c>
      <c r="F7117" t="s">
        <v>35</v>
      </c>
      <c r="G7117" t="s">
        <v>35</v>
      </c>
      <c r="H7117" t="s">
        <v>35</v>
      </c>
      <c r="J7117" t="s">
        <v>7004</v>
      </c>
      <c r="K7117" t="s">
        <v>1092</v>
      </c>
      <c r="M7117">
        <v>1.35</v>
      </c>
      <c r="N7117">
        <v>1015</v>
      </c>
      <c r="O7117" t="s">
        <v>575</v>
      </c>
      <c r="Q7117" t="s">
        <v>7005</v>
      </c>
      <c r="R7117" t="s">
        <v>6705</v>
      </c>
      <c r="S7117" t="s">
        <v>981</v>
      </c>
    </row>
    <row r="7118" spans="1:19" x14ac:dyDescent="0.25">
      <c r="A7118" t="s">
        <v>59</v>
      </c>
      <c r="B7118" t="s">
        <v>60</v>
      </c>
      <c r="C7118" t="s">
        <v>32</v>
      </c>
      <c r="D7118" t="s">
        <v>953</v>
      </c>
      <c r="E7118" t="s">
        <v>968</v>
      </c>
      <c r="F7118" t="s">
        <v>35</v>
      </c>
      <c r="G7118" t="s">
        <v>35</v>
      </c>
      <c r="H7118" t="s">
        <v>35</v>
      </c>
      <c r="J7118" t="s">
        <v>7006</v>
      </c>
      <c r="K7118" t="s">
        <v>1092</v>
      </c>
      <c r="M7118">
        <v>8.75</v>
      </c>
      <c r="N7118">
        <v>91</v>
      </c>
      <c r="O7118" t="s">
        <v>106</v>
      </c>
      <c r="Q7118" t="s">
        <v>1147</v>
      </c>
      <c r="R7118" t="s">
        <v>133</v>
      </c>
      <c r="S7118" t="s">
        <v>134</v>
      </c>
    </row>
    <row r="7119" spans="1:19" x14ac:dyDescent="0.25">
      <c r="A7119" t="s">
        <v>59</v>
      </c>
      <c r="B7119" t="s">
        <v>60</v>
      </c>
      <c r="C7119" t="s">
        <v>32</v>
      </c>
      <c r="D7119" t="s">
        <v>953</v>
      </c>
      <c r="E7119" t="s">
        <v>968</v>
      </c>
      <c r="F7119" t="s">
        <v>35</v>
      </c>
      <c r="G7119" t="s">
        <v>35</v>
      </c>
      <c r="H7119" t="s">
        <v>35</v>
      </c>
      <c r="J7119" t="s">
        <v>7007</v>
      </c>
      <c r="K7119" t="s">
        <v>1092</v>
      </c>
      <c r="M7119">
        <v>5</v>
      </c>
      <c r="N7119">
        <v>86</v>
      </c>
      <c r="O7119" t="s">
        <v>61</v>
      </c>
      <c r="Q7119" t="s">
        <v>1076</v>
      </c>
      <c r="R7119" t="s">
        <v>133</v>
      </c>
      <c r="S7119" t="s">
        <v>134</v>
      </c>
    </row>
    <row r="7120" spans="1:19" x14ac:dyDescent="0.25">
      <c r="A7120" t="s">
        <v>44</v>
      </c>
      <c r="B7120" t="s">
        <v>3</v>
      </c>
      <c r="C7120" t="s">
        <v>32</v>
      </c>
      <c r="D7120" t="s">
        <v>953</v>
      </c>
      <c r="E7120" t="s">
        <v>968</v>
      </c>
      <c r="F7120" t="s">
        <v>35</v>
      </c>
      <c r="G7120" t="s">
        <v>35</v>
      </c>
      <c r="H7120" t="s">
        <v>35</v>
      </c>
      <c r="J7120" t="s">
        <v>7008</v>
      </c>
      <c r="K7120" t="s">
        <v>1092</v>
      </c>
      <c r="M7120">
        <v>5</v>
      </c>
      <c r="N7120">
        <v>62</v>
      </c>
      <c r="O7120" t="s">
        <v>61</v>
      </c>
      <c r="Q7120" t="s">
        <v>90</v>
      </c>
      <c r="R7120" t="s">
        <v>6709</v>
      </c>
      <c r="S7120" t="s">
        <v>1022</v>
      </c>
    </row>
    <row r="7121" spans="1:19" x14ac:dyDescent="0.25">
      <c r="A7121" t="s">
        <v>59</v>
      </c>
      <c r="B7121" t="s">
        <v>31</v>
      </c>
      <c r="C7121" t="s">
        <v>32</v>
      </c>
      <c r="D7121" t="s">
        <v>953</v>
      </c>
      <c r="E7121" t="s">
        <v>968</v>
      </c>
      <c r="F7121" t="s">
        <v>35</v>
      </c>
      <c r="G7121" t="s">
        <v>35</v>
      </c>
      <c r="H7121" t="s">
        <v>35</v>
      </c>
      <c r="J7121" t="s">
        <v>7008</v>
      </c>
      <c r="K7121" t="s">
        <v>1092</v>
      </c>
      <c r="M7121">
        <v>1.8</v>
      </c>
      <c r="N7121">
        <v>59</v>
      </c>
      <c r="O7121" t="s">
        <v>52</v>
      </c>
      <c r="Q7121" t="s">
        <v>84</v>
      </c>
      <c r="R7121" t="s">
        <v>6709</v>
      </c>
      <c r="S7121" t="s">
        <v>1022</v>
      </c>
    </row>
    <row r="7122" spans="1:19" x14ac:dyDescent="0.25">
      <c r="A7122" t="s">
        <v>44</v>
      </c>
      <c r="B7122" t="s">
        <v>3</v>
      </c>
      <c r="C7122" t="s">
        <v>32</v>
      </c>
      <c r="D7122" t="s">
        <v>953</v>
      </c>
      <c r="E7122" t="s">
        <v>968</v>
      </c>
      <c r="F7122" t="s">
        <v>35</v>
      </c>
      <c r="G7122" t="s">
        <v>35</v>
      </c>
      <c r="H7122" t="s">
        <v>35</v>
      </c>
      <c r="J7122" t="s">
        <v>7009</v>
      </c>
      <c r="K7122" t="s">
        <v>1092</v>
      </c>
      <c r="M7122">
        <v>9</v>
      </c>
      <c r="N7122">
        <v>58</v>
      </c>
      <c r="O7122" t="s">
        <v>52</v>
      </c>
      <c r="Q7122" t="s">
        <v>58</v>
      </c>
      <c r="R7122" t="s">
        <v>6705</v>
      </c>
      <c r="S7122" t="s">
        <v>981</v>
      </c>
    </row>
    <row r="7123" spans="1:19" x14ac:dyDescent="0.25">
      <c r="A7123" t="s">
        <v>59</v>
      </c>
      <c r="B7123" t="s">
        <v>60</v>
      </c>
      <c r="C7123" t="s">
        <v>32</v>
      </c>
      <c r="D7123" t="s">
        <v>953</v>
      </c>
      <c r="E7123" t="s">
        <v>968</v>
      </c>
      <c r="F7123" t="s">
        <v>35</v>
      </c>
      <c r="G7123" t="s">
        <v>35</v>
      </c>
      <c r="H7123" t="s">
        <v>35</v>
      </c>
      <c r="J7123" t="s">
        <v>7010</v>
      </c>
      <c r="K7123" t="s">
        <v>1092</v>
      </c>
      <c r="M7123">
        <v>0.4</v>
      </c>
      <c r="N7123">
        <v>850</v>
      </c>
      <c r="O7123" t="s">
        <v>575</v>
      </c>
      <c r="Q7123" t="s">
        <v>5227</v>
      </c>
      <c r="R7123" t="s">
        <v>6847</v>
      </c>
      <c r="S7123" t="s">
        <v>1034</v>
      </c>
    </row>
    <row r="7124" spans="1:19" x14ac:dyDescent="0.25">
      <c r="A7124" t="s">
        <v>59</v>
      </c>
      <c r="B7124" t="s">
        <v>60</v>
      </c>
      <c r="C7124" t="s">
        <v>32</v>
      </c>
      <c r="D7124" t="s">
        <v>953</v>
      </c>
      <c r="E7124" t="s">
        <v>968</v>
      </c>
      <c r="F7124" t="s">
        <v>35</v>
      </c>
      <c r="G7124" t="s">
        <v>35</v>
      </c>
      <c r="H7124" t="s">
        <v>35</v>
      </c>
      <c r="J7124" t="s">
        <v>7010</v>
      </c>
      <c r="K7124" t="s">
        <v>1092</v>
      </c>
      <c r="M7124">
        <v>0.75</v>
      </c>
      <c r="N7124">
        <v>647</v>
      </c>
      <c r="O7124" t="s">
        <v>575</v>
      </c>
      <c r="Q7124" t="s">
        <v>7011</v>
      </c>
      <c r="R7124" t="s">
        <v>6847</v>
      </c>
      <c r="S7124" t="s">
        <v>1034</v>
      </c>
    </row>
    <row r="7125" spans="1:19" x14ac:dyDescent="0.25">
      <c r="A7125" t="s">
        <v>30</v>
      </c>
      <c r="B7125" t="s">
        <v>31</v>
      </c>
      <c r="C7125" t="s">
        <v>32</v>
      </c>
      <c r="D7125" t="s">
        <v>953</v>
      </c>
      <c r="E7125" t="s">
        <v>968</v>
      </c>
      <c r="F7125" t="s">
        <v>35</v>
      </c>
      <c r="G7125" t="s">
        <v>35</v>
      </c>
      <c r="H7125" t="s">
        <v>35</v>
      </c>
      <c r="J7125" t="s">
        <v>7010</v>
      </c>
      <c r="K7125" t="s">
        <v>1092</v>
      </c>
      <c r="M7125">
        <v>0.5</v>
      </c>
      <c r="N7125">
        <v>1067</v>
      </c>
      <c r="O7125" t="s">
        <v>575</v>
      </c>
      <c r="Q7125" t="s">
        <v>1407</v>
      </c>
      <c r="R7125" t="s">
        <v>6847</v>
      </c>
      <c r="S7125" t="s">
        <v>1034</v>
      </c>
    </row>
    <row r="7126" spans="1:19" x14ac:dyDescent="0.25">
      <c r="A7126" t="s">
        <v>30</v>
      </c>
      <c r="B7126" t="s">
        <v>31</v>
      </c>
      <c r="C7126" t="s">
        <v>32</v>
      </c>
      <c r="D7126" t="s">
        <v>953</v>
      </c>
      <c r="E7126" t="s">
        <v>968</v>
      </c>
      <c r="F7126" t="s">
        <v>35</v>
      </c>
      <c r="G7126" t="s">
        <v>35</v>
      </c>
      <c r="H7126" t="s">
        <v>35</v>
      </c>
      <c r="J7126" t="s">
        <v>7012</v>
      </c>
      <c r="K7126" t="s">
        <v>1092</v>
      </c>
      <c r="M7126">
        <v>0.15</v>
      </c>
      <c r="N7126">
        <v>213</v>
      </c>
      <c r="O7126" t="s">
        <v>5</v>
      </c>
      <c r="Q7126" t="s">
        <v>1298</v>
      </c>
      <c r="R7126" t="s">
        <v>6847</v>
      </c>
      <c r="S7126" t="s">
        <v>1034</v>
      </c>
    </row>
    <row r="7127" spans="1:19" x14ac:dyDescent="0.25">
      <c r="A7127" t="s">
        <v>59</v>
      </c>
      <c r="B7127" t="s">
        <v>60</v>
      </c>
      <c r="C7127" t="s">
        <v>32</v>
      </c>
      <c r="D7127" t="s">
        <v>953</v>
      </c>
      <c r="E7127" t="s">
        <v>968</v>
      </c>
      <c r="F7127" t="s">
        <v>35</v>
      </c>
      <c r="G7127" t="s">
        <v>35</v>
      </c>
      <c r="H7127" t="s">
        <v>35</v>
      </c>
      <c r="J7127" t="s">
        <v>7012</v>
      </c>
      <c r="K7127" t="s">
        <v>1092</v>
      </c>
      <c r="M7127">
        <v>0.15</v>
      </c>
      <c r="N7127">
        <v>150</v>
      </c>
      <c r="O7127" t="s">
        <v>38</v>
      </c>
      <c r="Q7127" t="s">
        <v>1612</v>
      </c>
      <c r="R7127" t="s">
        <v>6847</v>
      </c>
      <c r="S7127" t="s">
        <v>1034</v>
      </c>
    </row>
    <row r="7128" spans="1:19" x14ac:dyDescent="0.25">
      <c r="A7128" t="s">
        <v>59</v>
      </c>
      <c r="B7128" t="s">
        <v>31</v>
      </c>
      <c r="C7128" t="s">
        <v>32</v>
      </c>
      <c r="D7128" t="s">
        <v>953</v>
      </c>
      <c r="E7128" t="s">
        <v>968</v>
      </c>
      <c r="F7128" t="s">
        <v>35</v>
      </c>
      <c r="G7128" t="s">
        <v>35</v>
      </c>
      <c r="H7128" t="s">
        <v>35</v>
      </c>
      <c r="J7128" t="s">
        <v>7012</v>
      </c>
      <c r="K7128" t="s">
        <v>1092</v>
      </c>
      <c r="M7128">
        <v>7.4999999999999997E-2</v>
      </c>
      <c r="N7128">
        <v>142</v>
      </c>
      <c r="O7128" t="s">
        <v>38</v>
      </c>
      <c r="Q7128" t="s">
        <v>2067</v>
      </c>
      <c r="R7128" t="s">
        <v>6847</v>
      </c>
      <c r="S7128" t="s">
        <v>1034</v>
      </c>
    </row>
    <row r="7129" spans="1:19" x14ac:dyDescent="0.25">
      <c r="A7129" t="s">
        <v>30</v>
      </c>
      <c r="B7129" t="s">
        <v>31</v>
      </c>
      <c r="C7129" t="s">
        <v>32</v>
      </c>
      <c r="D7129" t="s">
        <v>953</v>
      </c>
      <c r="E7129" t="s">
        <v>968</v>
      </c>
      <c r="F7129" t="s">
        <v>35</v>
      </c>
      <c r="G7129" t="s">
        <v>35</v>
      </c>
      <c r="H7129" t="s">
        <v>35</v>
      </c>
      <c r="J7129" t="s">
        <v>7013</v>
      </c>
      <c r="K7129" t="s">
        <v>1092</v>
      </c>
      <c r="M7129">
        <v>15.93</v>
      </c>
      <c r="N7129">
        <v>397</v>
      </c>
      <c r="O7129" t="s">
        <v>294</v>
      </c>
      <c r="Q7129" t="s">
        <v>1808</v>
      </c>
      <c r="R7129" t="s">
        <v>133</v>
      </c>
      <c r="S7129" t="s">
        <v>134</v>
      </c>
    </row>
    <row r="7130" spans="1:19" x14ac:dyDescent="0.25">
      <c r="A7130" t="s">
        <v>59</v>
      </c>
      <c r="B7130" t="s">
        <v>60</v>
      </c>
      <c r="C7130" t="s">
        <v>32</v>
      </c>
      <c r="D7130" t="s">
        <v>953</v>
      </c>
      <c r="E7130" t="s">
        <v>968</v>
      </c>
      <c r="F7130" t="s">
        <v>35</v>
      </c>
      <c r="G7130" t="s">
        <v>35</v>
      </c>
      <c r="H7130" t="s">
        <v>35</v>
      </c>
      <c r="J7130" t="s">
        <v>7014</v>
      </c>
      <c r="K7130" t="s">
        <v>1092</v>
      </c>
      <c r="M7130">
        <v>1.4</v>
      </c>
      <c r="N7130">
        <v>91</v>
      </c>
      <c r="O7130" t="s">
        <v>106</v>
      </c>
      <c r="Q7130" t="s">
        <v>1147</v>
      </c>
      <c r="R7130" t="s">
        <v>133</v>
      </c>
      <c r="S7130" t="s">
        <v>134</v>
      </c>
    </row>
    <row r="7131" spans="1:19" x14ac:dyDescent="0.25">
      <c r="A7131" t="s">
        <v>59</v>
      </c>
      <c r="B7131" t="s">
        <v>60</v>
      </c>
      <c r="C7131" t="s">
        <v>32</v>
      </c>
      <c r="D7131" t="s">
        <v>953</v>
      </c>
      <c r="E7131" t="s">
        <v>968</v>
      </c>
      <c r="F7131" t="s">
        <v>35</v>
      </c>
      <c r="G7131" t="s">
        <v>35</v>
      </c>
      <c r="H7131" t="s">
        <v>35</v>
      </c>
      <c r="J7131" t="s">
        <v>7014</v>
      </c>
      <c r="K7131" t="s">
        <v>1092</v>
      </c>
      <c r="M7131">
        <v>5</v>
      </c>
      <c r="N7131">
        <v>59</v>
      </c>
      <c r="O7131" t="s">
        <v>52</v>
      </c>
      <c r="Q7131" t="s">
        <v>84</v>
      </c>
      <c r="R7131" t="s">
        <v>133</v>
      </c>
      <c r="S7131" t="s">
        <v>134</v>
      </c>
    </row>
    <row r="7132" spans="1:19" x14ac:dyDescent="0.25">
      <c r="A7132" t="s">
        <v>59</v>
      </c>
      <c r="B7132" t="s">
        <v>60</v>
      </c>
      <c r="C7132" t="s">
        <v>32</v>
      </c>
      <c r="D7132" t="s">
        <v>953</v>
      </c>
      <c r="E7132" t="s">
        <v>968</v>
      </c>
      <c r="F7132" t="s">
        <v>35</v>
      </c>
      <c r="G7132" t="s">
        <v>35</v>
      </c>
      <c r="H7132" t="s">
        <v>35</v>
      </c>
      <c r="J7132" t="s">
        <v>7015</v>
      </c>
      <c r="K7132" t="s">
        <v>1092</v>
      </c>
      <c r="M7132">
        <v>3.3</v>
      </c>
      <c r="N7132">
        <v>65</v>
      </c>
      <c r="O7132" t="s">
        <v>61</v>
      </c>
      <c r="Q7132" t="s">
        <v>128</v>
      </c>
      <c r="R7132" t="s">
        <v>6742</v>
      </c>
      <c r="S7132" t="s">
        <v>1016</v>
      </c>
    </row>
    <row r="7133" spans="1:19" x14ac:dyDescent="0.25">
      <c r="A7133" t="s">
        <v>30</v>
      </c>
      <c r="B7133" t="s">
        <v>31</v>
      </c>
      <c r="C7133" t="s">
        <v>32</v>
      </c>
      <c r="D7133" t="s">
        <v>953</v>
      </c>
      <c r="E7133" t="s">
        <v>968</v>
      </c>
      <c r="F7133" t="s">
        <v>35</v>
      </c>
      <c r="G7133" t="s">
        <v>35</v>
      </c>
      <c r="H7133" t="s">
        <v>35</v>
      </c>
      <c r="J7133" t="s">
        <v>7015</v>
      </c>
      <c r="K7133" t="s">
        <v>1092</v>
      </c>
      <c r="M7133">
        <v>9.99</v>
      </c>
      <c r="N7133">
        <v>23</v>
      </c>
      <c r="O7133" t="s">
        <v>46</v>
      </c>
      <c r="Q7133" t="s">
        <v>1819</v>
      </c>
      <c r="R7133" t="s">
        <v>6742</v>
      </c>
      <c r="S7133" t="s">
        <v>1016</v>
      </c>
    </row>
    <row r="7134" spans="1:19" x14ac:dyDescent="0.25">
      <c r="A7134" t="s">
        <v>44</v>
      </c>
      <c r="B7134" t="s">
        <v>3</v>
      </c>
      <c r="C7134" t="s">
        <v>32</v>
      </c>
      <c r="D7134" t="s">
        <v>953</v>
      </c>
      <c r="E7134" t="s">
        <v>968</v>
      </c>
      <c r="F7134" t="s">
        <v>35</v>
      </c>
      <c r="G7134" t="s">
        <v>35</v>
      </c>
      <c r="H7134" t="s">
        <v>35</v>
      </c>
      <c r="J7134" t="s">
        <v>7015</v>
      </c>
      <c r="K7134" t="s">
        <v>1092</v>
      </c>
      <c r="M7134">
        <v>3.3</v>
      </c>
      <c r="N7134">
        <v>69</v>
      </c>
      <c r="O7134" t="s">
        <v>61</v>
      </c>
      <c r="Q7134" t="s">
        <v>139</v>
      </c>
      <c r="R7134" t="s">
        <v>6742</v>
      </c>
      <c r="S7134" t="s">
        <v>1016</v>
      </c>
    </row>
    <row r="7135" spans="1:19" x14ac:dyDescent="0.25">
      <c r="A7135" t="s">
        <v>59</v>
      </c>
      <c r="B7135" t="s">
        <v>31</v>
      </c>
      <c r="C7135" t="s">
        <v>32</v>
      </c>
      <c r="D7135" t="s">
        <v>953</v>
      </c>
      <c r="E7135" t="s">
        <v>968</v>
      </c>
      <c r="F7135" t="s">
        <v>35</v>
      </c>
      <c r="G7135" t="s">
        <v>35</v>
      </c>
      <c r="H7135" t="s">
        <v>35</v>
      </c>
      <c r="J7135" t="s">
        <v>7015</v>
      </c>
      <c r="K7135" t="s">
        <v>1092</v>
      </c>
      <c r="M7135">
        <v>1.17</v>
      </c>
      <c r="N7135">
        <v>65</v>
      </c>
      <c r="O7135" t="s">
        <v>61</v>
      </c>
      <c r="Q7135" t="s">
        <v>128</v>
      </c>
      <c r="R7135" t="s">
        <v>6742</v>
      </c>
      <c r="S7135" t="s">
        <v>1016</v>
      </c>
    </row>
    <row r="7136" spans="1:19" x14ac:dyDescent="0.25">
      <c r="A7136" t="s">
        <v>59</v>
      </c>
      <c r="B7136" t="s">
        <v>60</v>
      </c>
      <c r="C7136" t="s">
        <v>32</v>
      </c>
      <c r="D7136" t="s">
        <v>953</v>
      </c>
      <c r="E7136" t="s">
        <v>968</v>
      </c>
      <c r="F7136" t="s">
        <v>35</v>
      </c>
      <c r="G7136" t="s">
        <v>35</v>
      </c>
      <c r="H7136" t="s">
        <v>35</v>
      </c>
      <c r="J7136" t="s">
        <v>7016</v>
      </c>
      <c r="K7136" t="s">
        <v>1092</v>
      </c>
      <c r="M7136">
        <v>0.5</v>
      </c>
      <c r="N7136">
        <v>91</v>
      </c>
      <c r="O7136" t="s">
        <v>106</v>
      </c>
      <c r="Q7136" t="s">
        <v>1147</v>
      </c>
      <c r="R7136" t="s">
        <v>6709</v>
      </c>
      <c r="S7136" t="s">
        <v>1022</v>
      </c>
    </row>
    <row r="7137" spans="1:19" x14ac:dyDescent="0.25">
      <c r="A7137" t="s">
        <v>59</v>
      </c>
      <c r="B7137" t="s">
        <v>60</v>
      </c>
      <c r="C7137" t="s">
        <v>32</v>
      </c>
      <c r="D7137" t="s">
        <v>953</v>
      </c>
      <c r="E7137" t="s">
        <v>968</v>
      </c>
      <c r="F7137" t="s">
        <v>35</v>
      </c>
      <c r="G7137" t="s">
        <v>35</v>
      </c>
      <c r="H7137" t="s">
        <v>35</v>
      </c>
      <c r="J7137" t="s">
        <v>7016</v>
      </c>
      <c r="K7137" t="s">
        <v>1092</v>
      </c>
      <c r="M7137">
        <v>1.5</v>
      </c>
      <c r="N7137">
        <v>79</v>
      </c>
      <c r="O7137" t="s">
        <v>61</v>
      </c>
      <c r="Q7137" t="s">
        <v>1156</v>
      </c>
      <c r="R7137" t="s">
        <v>6709</v>
      </c>
      <c r="S7137" t="s">
        <v>1022</v>
      </c>
    </row>
    <row r="7138" spans="1:19" x14ac:dyDescent="0.25">
      <c r="A7138" t="s">
        <v>44</v>
      </c>
      <c r="B7138" t="s">
        <v>3</v>
      </c>
      <c r="C7138" t="s">
        <v>32</v>
      </c>
      <c r="D7138" t="s">
        <v>953</v>
      </c>
      <c r="E7138" t="s">
        <v>968</v>
      </c>
      <c r="F7138" t="s">
        <v>35</v>
      </c>
      <c r="G7138" t="s">
        <v>35</v>
      </c>
      <c r="H7138" t="s">
        <v>35</v>
      </c>
      <c r="J7138" t="s">
        <v>7016</v>
      </c>
      <c r="K7138" t="s">
        <v>1092</v>
      </c>
      <c r="M7138">
        <v>5</v>
      </c>
      <c r="N7138">
        <v>62</v>
      </c>
      <c r="O7138" t="s">
        <v>61</v>
      </c>
      <c r="Q7138" t="s">
        <v>90</v>
      </c>
      <c r="R7138" t="s">
        <v>6709</v>
      </c>
      <c r="S7138" t="s">
        <v>1022</v>
      </c>
    </row>
    <row r="7139" spans="1:19" x14ac:dyDescent="0.25">
      <c r="A7139" t="s">
        <v>44</v>
      </c>
      <c r="B7139" t="s">
        <v>3</v>
      </c>
      <c r="C7139" t="s">
        <v>32</v>
      </c>
      <c r="D7139" t="s">
        <v>953</v>
      </c>
      <c r="E7139" t="s">
        <v>968</v>
      </c>
      <c r="F7139" t="s">
        <v>35</v>
      </c>
      <c r="G7139" t="s">
        <v>35</v>
      </c>
      <c r="H7139" t="s">
        <v>35</v>
      </c>
      <c r="J7139" t="s">
        <v>7017</v>
      </c>
      <c r="K7139" t="s">
        <v>1092</v>
      </c>
      <c r="M7139">
        <v>0.25</v>
      </c>
      <c r="N7139">
        <v>25</v>
      </c>
      <c r="O7139" t="s">
        <v>46</v>
      </c>
      <c r="Q7139" t="s">
        <v>831</v>
      </c>
      <c r="R7139" t="s">
        <v>133</v>
      </c>
      <c r="S7139" t="s">
        <v>134</v>
      </c>
    </row>
    <row r="7140" spans="1:19" x14ac:dyDescent="0.25">
      <c r="A7140" t="s">
        <v>59</v>
      </c>
      <c r="B7140" t="s">
        <v>60</v>
      </c>
      <c r="C7140" t="s">
        <v>32</v>
      </c>
      <c r="D7140" t="s">
        <v>953</v>
      </c>
      <c r="E7140" t="s">
        <v>968</v>
      </c>
      <c r="F7140" t="s">
        <v>35</v>
      </c>
      <c r="G7140" t="s">
        <v>35</v>
      </c>
      <c r="H7140" t="s">
        <v>35</v>
      </c>
      <c r="J7140" t="s">
        <v>7017</v>
      </c>
      <c r="K7140" t="s">
        <v>1092</v>
      </c>
      <c r="M7140">
        <v>0.25</v>
      </c>
      <c r="N7140">
        <v>25</v>
      </c>
      <c r="O7140" t="s">
        <v>46</v>
      </c>
      <c r="Q7140" t="s">
        <v>831</v>
      </c>
      <c r="R7140" t="s">
        <v>133</v>
      </c>
      <c r="S7140" t="s">
        <v>134</v>
      </c>
    </row>
    <row r="7141" spans="1:19" x14ac:dyDescent="0.25">
      <c r="A7141" t="s">
        <v>59</v>
      </c>
      <c r="B7141" t="s">
        <v>60</v>
      </c>
      <c r="C7141" t="s">
        <v>32</v>
      </c>
      <c r="D7141" t="s">
        <v>953</v>
      </c>
      <c r="E7141" t="s">
        <v>968</v>
      </c>
      <c r="F7141" t="s">
        <v>35</v>
      </c>
      <c r="G7141" t="s">
        <v>35</v>
      </c>
      <c r="H7141" t="s">
        <v>35</v>
      </c>
      <c r="J7141" t="s">
        <v>7017</v>
      </c>
      <c r="K7141" t="s">
        <v>1092</v>
      </c>
      <c r="M7141">
        <v>0.8</v>
      </c>
      <c r="N7141">
        <v>49</v>
      </c>
      <c r="O7141" t="s">
        <v>52</v>
      </c>
      <c r="Q7141" t="s">
        <v>219</v>
      </c>
      <c r="R7141" t="s">
        <v>133</v>
      </c>
      <c r="S7141" t="s">
        <v>134</v>
      </c>
    </row>
    <row r="7142" spans="1:19" x14ac:dyDescent="0.25">
      <c r="A7142" t="s">
        <v>44</v>
      </c>
      <c r="B7142" t="s">
        <v>3</v>
      </c>
      <c r="C7142" t="s">
        <v>32</v>
      </c>
      <c r="D7142" t="s">
        <v>953</v>
      </c>
      <c r="E7142" t="s">
        <v>968</v>
      </c>
      <c r="F7142" t="s">
        <v>35</v>
      </c>
      <c r="G7142" t="s">
        <v>35</v>
      </c>
      <c r="H7142" t="s">
        <v>35</v>
      </c>
      <c r="J7142" t="s">
        <v>7018</v>
      </c>
      <c r="K7142" t="s">
        <v>1092</v>
      </c>
      <c r="M7142">
        <v>10</v>
      </c>
      <c r="N7142">
        <v>59</v>
      </c>
      <c r="O7142" t="s">
        <v>52</v>
      </c>
      <c r="Q7142" t="s">
        <v>84</v>
      </c>
      <c r="R7142" t="s">
        <v>6709</v>
      </c>
      <c r="S7142" t="s">
        <v>1022</v>
      </c>
    </row>
    <row r="7143" spans="1:19" x14ac:dyDescent="0.25">
      <c r="A7143" t="s">
        <v>59</v>
      </c>
      <c r="B7143" t="s">
        <v>31</v>
      </c>
      <c r="C7143" t="s">
        <v>32</v>
      </c>
      <c r="D7143" t="s">
        <v>953</v>
      </c>
      <c r="E7143" t="s">
        <v>968</v>
      </c>
      <c r="F7143" t="s">
        <v>35</v>
      </c>
      <c r="G7143" t="s">
        <v>35</v>
      </c>
      <c r="H7143" t="s">
        <v>35</v>
      </c>
      <c r="J7143" t="s">
        <v>7018</v>
      </c>
      <c r="K7143" t="s">
        <v>1092</v>
      </c>
      <c r="M7143">
        <v>4.9950000000000001</v>
      </c>
      <c r="N7143">
        <v>91</v>
      </c>
      <c r="O7143" t="s">
        <v>106</v>
      </c>
      <c r="Q7143" t="s">
        <v>1147</v>
      </c>
      <c r="R7143" t="s">
        <v>6899</v>
      </c>
      <c r="S7143" t="s">
        <v>6900</v>
      </c>
    </row>
    <row r="7144" spans="1:19" x14ac:dyDescent="0.25">
      <c r="A7144" t="s">
        <v>59</v>
      </c>
      <c r="B7144" t="s">
        <v>31</v>
      </c>
      <c r="C7144" t="s">
        <v>32</v>
      </c>
      <c r="D7144" t="s">
        <v>953</v>
      </c>
      <c r="E7144" t="s">
        <v>968</v>
      </c>
      <c r="F7144" t="s">
        <v>35</v>
      </c>
      <c r="G7144" t="s">
        <v>35</v>
      </c>
      <c r="H7144" t="s">
        <v>35</v>
      </c>
      <c r="J7144" t="s">
        <v>7018</v>
      </c>
      <c r="K7144" t="s">
        <v>1092</v>
      </c>
      <c r="M7144">
        <v>9.99</v>
      </c>
      <c r="N7144">
        <v>89</v>
      </c>
      <c r="O7144" t="s">
        <v>61</v>
      </c>
      <c r="Q7144" t="s">
        <v>299</v>
      </c>
      <c r="R7144" t="s">
        <v>987</v>
      </c>
      <c r="S7144" t="s">
        <v>988</v>
      </c>
    </row>
    <row r="7145" spans="1:19" x14ac:dyDescent="0.25">
      <c r="A7145" t="s">
        <v>59</v>
      </c>
      <c r="B7145" t="s">
        <v>60</v>
      </c>
      <c r="C7145" t="s">
        <v>32</v>
      </c>
      <c r="D7145" t="s">
        <v>953</v>
      </c>
      <c r="E7145" t="s">
        <v>968</v>
      </c>
      <c r="F7145" t="s">
        <v>35</v>
      </c>
      <c r="G7145" t="s">
        <v>35</v>
      </c>
      <c r="H7145" t="s">
        <v>35</v>
      </c>
      <c r="J7145" t="s">
        <v>7018</v>
      </c>
      <c r="K7145" t="s">
        <v>1092</v>
      </c>
      <c r="M7145">
        <v>3.6</v>
      </c>
      <c r="N7145">
        <v>59</v>
      </c>
      <c r="O7145" t="s">
        <v>52</v>
      </c>
      <c r="Q7145" t="s">
        <v>84</v>
      </c>
      <c r="R7145" t="s">
        <v>6709</v>
      </c>
      <c r="S7145" t="s">
        <v>1022</v>
      </c>
    </row>
    <row r="7146" spans="1:19" x14ac:dyDescent="0.25">
      <c r="A7146" t="s">
        <v>30</v>
      </c>
      <c r="B7146" t="s">
        <v>31</v>
      </c>
      <c r="C7146" t="s">
        <v>32</v>
      </c>
      <c r="D7146" t="s">
        <v>953</v>
      </c>
      <c r="E7146" t="s">
        <v>968</v>
      </c>
      <c r="F7146" t="s">
        <v>35</v>
      </c>
      <c r="G7146" t="s">
        <v>35</v>
      </c>
      <c r="H7146" t="s">
        <v>35</v>
      </c>
      <c r="J7146" t="s">
        <v>7018</v>
      </c>
      <c r="K7146" t="s">
        <v>1092</v>
      </c>
      <c r="M7146">
        <v>9.99</v>
      </c>
      <c r="N7146">
        <v>20</v>
      </c>
      <c r="O7146" t="s">
        <v>46</v>
      </c>
      <c r="Q7146" t="s">
        <v>1004</v>
      </c>
      <c r="R7146" t="s">
        <v>133</v>
      </c>
      <c r="S7146" t="s">
        <v>134</v>
      </c>
    </row>
    <row r="7147" spans="1:19" x14ac:dyDescent="0.25">
      <c r="A7147" t="s">
        <v>44</v>
      </c>
      <c r="B7147" t="s">
        <v>3</v>
      </c>
      <c r="C7147" t="s">
        <v>32</v>
      </c>
      <c r="D7147" t="s">
        <v>953</v>
      </c>
      <c r="E7147" t="s">
        <v>968</v>
      </c>
      <c r="F7147" t="s">
        <v>35</v>
      </c>
      <c r="G7147" t="s">
        <v>35</v>
      </c>
      <c r="H7147" t="s">
        <v>35</v>
      </c>
      <c r="J7147" t="s">
        <v>7018</v>
      </c>
      <c r="K7147" t="s">
        <v>1092</v>
      </c>
      <c r="M7147">
        <v>1</v>
      </c>
      <c r="N7147">
        <v>25</v>
      </c>
      <c r="O7147" t="s">
        <v>46</v>
      </c>
      <c r="Q7147" t="s">
        <v>831</v>
      </c>
      <c r="R7147" t="s">
        <v>133</v>
      </c>
      <c r="S7147" t="s">
        <v>134</v>
      </c>
    </row>
    <row r="7148" spans="1:19" x14ac:dyDescent="0.25">
      <c r="A7148" t="s">
        <v>59</v>
      </c>
      <c r="B7148" t="s">
        <v>60</v>
      </c>
      <c r="C7148" t="s">
        <v>32</v>
      </c>
      <c r="D7148" t="s">
        <v>953</v>
      </c>
      <c r="E7148" t="s">
        <v>968</v>
      </c>
      <c r="F7148" t="s">
        <v>35</v>
      </c>
      <c r="G7148" t="s">
        <v>35</v>
      </c>
      <c r="H7148" t="s">
        <v>35</v>
      </c>
      <c r="J7148" t="s">
        <v>7018</v>
      </c>
      <c r="K7148" t="s">
        <v>1092</v>
      </c>
      <c r="M7148">
        <v>1.6</v>
      </c>
      <c r="N7148">
        <v>10</v>
      </c>
      <c r="O7148" t="s">
        <v>46</v>
      </c>
      <c r="Q7148" t="s">
        <v>1676</v>
      </c>
      <c r="R7148" t="s">
        <v>133</v>
      </c>
      <c r="S7148" t="s">
        <v>134</v>
      </c>
    </row>
    <row r="7149" spans="1:19" x14ac:dyDescent="0.25">
      <c r="A7149" t="s">
        <v>59</v>
      </c>
      <c r="B7149" t="s">
        <v>60</v>
      </c>
      <c r="C7149" t="s">
        <v>32</v>
      </c>
      <c r="D7149" t="s">
        <v>953</v>
      </c>
      <c r="E7149" t="s">
        <v>968</v>
      </c>
      <c r="F7149" t="s">
        <v>35</v>
      </c>
      <c r="G7149" t="s">
        <v>35</v>
      </c>
      <c r="H7149" t="s">
        <v>35</v>
      </c>
      <c r="J7149" t="s">
        <v>7018</v>
      </c>
      <c r="K7149" t="s">
        <v>1092</v>
      </c>
      <c r="M7149">
        <v>0.75</v>
      </c>
      <c r="N7149">
        <v>25</v>
      </c>
      <c r="O7149" t="s">
        <v>46</v>
      </c>
      <c r="Q7149" t="s">
        <v>831</v>
      </c>
      <c r="R7149" t="s">
        <v>133</v>
      </c>
      <c r="S7149" t="s">
        <v>134</v>
      </c>
    </row>
    <row r="7150" spans="1:19" x14ac:dyDescent="0.25">
      <c r="A7150" t="s">
        <v>30</v>
      </c>
      <c r="B7150" t="s">
        <v>31</v>
      </c>
      <c r="C7150" t="s">
        <v>32</v>
      </c>
      <c r="D7150" t="s">
        <v>953</v>
      </c>
      <c r="E7150" t="s">
        <v>968</v>
      </c>
      <c r="F7150" t="s">
        <v>35</v>
      </c>
      <c r="G7150" t="s">
        <v>35</v>
      </c>
      <c r="H7150" t="s">
        <v>35</v>
      </c>
      <c r="J7150" t="s">
        <v>7018</v>
      </c>
      <c r="K7150" t="s">
        <v>1092</v>
      </c>
      <c r="M7150">
        <v>1.575</v>
      </c>
      <c r="N7150">
        <v>49</v>
      </c>
      <c r="O7150" t="s">
        <v>52</v>
      </c>
      <c r="Q7150" t="s">
        <v>219</v>
      </c>
      <c r="R7150" t="s">
        <v>133</v>
      </c>
      <c r="S7150" t="s">
        <v>134</v>
      </c>
    </row>
    <row r="7151" spans="1:19" x14ac:dyDescent="0.25">
      <c r="A7151" t="s">
        <v>59</v>
      </c>
      <c r="B7151" t="s">
        <v>60</v>
      </c>
      <c r="C7151" t="s">
        <v>32</v>
      </c>
      <c r="D7151" t="s">
        <v>953</v>
      </c>
      <c r="E7151" t="s">
        <v>968</v>
      </c>
      <c r="F7151" t="s">
        <v>35</v>
      </c>
      <c r="G7151" t="s">
        <v>35</v>
      </c>
      <c r="H7151" t="s">
        <v>35</v>
      </c>
      <c r="J7151" t="s">
        <v>7018</v>
      </c>
      <c r="K7151" t="s">
        <v>1092</v>
      </c>
      <c r="M7151">
        <v>0.25</v>
      </c>
      <c r="N7151">
        <v>49</v>
      </c>
      <c r="O7151" t="s">
        <v>52</v>
      </c>
      <c r="Q7151" t="s">
        <v>219</v>
      </c>
      <c r="R7151" t="s">
        <v>133</v>
      </c>
      <c r="S7151" t="s">
        <v>134</v>
      </c>
    </row>
    <row r="7152" spans="1:19" x14ac:dyDescent="0.25">
      <c r="A7152" t="s">
        <v>59</v>
      </c>
      <c r="B7152" t="s">
        <v>31</v>
      </c>
      <c r="C7152" t="s">
        <v>32</v>
      </c>
      <c r="D7152" t="s">
        <v>953</v>
      </c>
      <c r="E7152" t="s">
        <v>968</v>
      </c>
      <c r="F7152" t="s">
        <v>35</v>
      </c>
      <c r="G7152" t="s">
        <v>35</v>
      </c>
      <c r="H7152" t="s">
        <v>35</v>
      </c>
      <c r="J7152" t="s">
        <v>7018</v>
      </c>
      <c r="K7152" t="s">
        <v>1092</v>
      </c>
      <c r="M7152">
        <v>4.1849999999999996</v>
      </c>
      <c r="N7152">
        <v>143</v>
      </c>
      <c r="O7152" t="s">
        <v>38</v>
      </c>
      <c r="Q7152" t="s">
        <v>2121</v>
      </c>
      <c r="R7152" t="s">
        <v>133</v>
      </c>
      <c r="S7152" t="s">
        <v>134</v>
      </c>
    </row>
    <row r="7153" spans="1:19" x14ac:dyDescent="0.25">
      <c r="A7153" t="s">
        <v>30</v>
      </c>
      <c r="B7153" t="s">
        <v>31</v>
      </c>
      <c r="C7153" t="s">
        <v>32</v>
      </c>
      <c r="D7153" t="s">
        <v>953</v>
      </c>
      <c r="E7153" t="s">
        <v>968</v>
      </c>
      <c r="F7153" t="s">
        <v>35</v>
      </c>
      <c r="G7153" t="s">
        <v>35</v>
      </c>
      <c r="H7153" t="s">
        <v>35</v>
      </c>
      <c r="J7153" t="s">
        <v>7018</v>
      </c>
      <c r="K7153" t="s">
        <v>1092</v>
      </c>
      <c r="M7153">
        <v>1.05</v>
      </c>
      <c r="N7153">
        <v>257</v>
      </c>
      <c r="O7153" t="s">
        <v>5</v>
      </c>
      <c r="Q7153" t="s">
        <v>1286</v>
      </c>
      <c r="R7153" t="s">
        <v>133</v>
      </c>
      <c r="S7153" t="s">
        <v>134</v>
      </c>
    </row>
    <row r="7154" spans="1:19" x14ac:dyDescent="0.25">
      <c r="A7154" t="s">
        <v>30</v>
      </c>
      <c r="B7154" t="s">
        <v>31</v>
      </c>
      <c r="C7154" t="s">
        <v>32</v>
      </c>
      <c r="D7154" t="s">
        <v>953</v>
      </c>
      <c r="E7154" t="s">
        <v>968</v>
      </c>
      <c r="F7154" t="s">
        <v>35</v>
      </c>
      <c r="G7154" t="s">
        <v>35</v>
      </c>
      <c r="H7154" t="s">
        <v>35</v>
      </c>
      <c r="J7154" t="s">
        <v>7018</v>
      </c>
      <c r="K7154" t="s">
        <v>1092</v>
      </c>
      <c r="M7154">
        <v>6.3</v>
      </c>
      <c r="N7154">
        <v>230</v>
      </c>
      <c r="O7154" t="s">
        <v>5</v>
      </c>
      <c r="Q7154" t="s">
        <v>1544</v>
      </c>
      <c r="R7154" t="s">
        <v>133</v>
      </c>
      <c r="S7154" t="s">
        <v>134</v>
      </c>
    </row>
    <row r="7155" spans="1:19" x14ac:dyDescent="0.25">
      <c r="A7155" t="s">
        <v>59</v>
      </c>
      <c r="B7155" t="s">
        <v>31</v>
      </c>
      <c r="C7155" t="s">
        <v>32</v>
      </c>
      <c r="D7155" t="s">
        <v>953</v>
      </c>
      <c r="E7155" t="s">
        <v>968</v>
      </c>
      <c r="F7155" t="s">
        <v>35</v>
      </c>
      <c r="G7155" t="s">
        <v>35</v>
      </c>
      <c r="H7155" t="s">
        <v>35</v>
      </c>
      <c r="J7155" t="s">
        <v>7019</v>
      </c>
      <c r="K7155" t="s">
        <v>1092</v>
      </c>
      <c r="M7155">
        <v>2.25</v>
      </c>
      <c r="N7155">
        <v>466</v>
      </c>
      <c r="O7155" t="s">
        <v>294</v>
      </c>
      <c r="Q7155" t="s">
        <v>1114</v>
      </c>
      <c r="R7155" t="s">
        <v>133</v>
      </c>
      <c r="S7155" t="s">
        <v>134</v>
      </c>
    </row>
    <row r="7156" spans="1:19" x14ac:dyDescent="0.25">
      <c r="A7156" t="s">
        <v>59</v>
      </c>
      <c r="B7156" t="s">
        <v>60</v>
      </c>
      <c r="C7156" t="s">
        <v>32</v>
      </c>
      <c r="D7156" t="s">
        <v>953</v>
      </c>
      <c r="E7156" t="s">
        <v>968</v>
      </c>
      <c r="F7156" t="s">
        <v>35</v>
      </c>
      <c r="G7156" t="s">
        <v>35</v>
      </c>
      <c r="H7156" t="s">
        <v>35</v>
      </c>
      <c r="J7156" t="s">
        <v>7020</v>
      </c>
      <c r="K7156" t="s">
        <v>1092</v>
      </c>
      <c r="M7156">
        <v>1</v>
      </c>
      <c r="N7156">
        <v>31</v>
      </c>
      <c r="O7156" t="s">
        <v>52</v>
      </c>
      <c r="Q7156" t="s">
        <v>972</v>
      </c>
      <c r="R7156" t="s">
        <v>133</v>
      </c>
      <c r="S7156" t="s">
        <v>134</v>
      </c>
    </row>
    <row r="7157" spans="1:19" x14ac:dyDescent="0.25">
      <c r="A7157" t="s">
        <v>44</v>
      </c>
      <c r="B7157" t="s">
        <v>3</v>
      </c>
      <c r="C7157" t="s">
        <v>32</v>
      </c>
      <c r="D7157" t="s">
        <v>953</v>
      </c>
      <c r="E7157" t="s">
        <v>968</v>
      </c>
      <c r="F7157" t="s">
        <v>35</v>
      </c>
      <c r="G7157" t="s">
        <v>35</v>
      </c>
      <c r="H7157" t="s">
        <v>35</v>
      </c>
      <c r="J7157" t="s">
        <v>7020</v>
      </c>
      <c r="K7157" t="s">
        <v>1092</v>
      </c>
      <c r="M7157">
        <v>0.5</v>
      </c>
      <c r="N7157">
        <v>31</v>
      </c>
      <c r="O7157" t="s">
        <v>52</v>
      </c>
      <c r="Q7157" t="s">
        <v>972</v>
      </c>
      <c r="R7157" t="s">
        <v>133</v>
      </c>
      <c r="S7157" t="s">
        <v>134</v>
      </c>
    </row>
    <row r="7158" spans="1:19" x14ac:dyDescent="0.25">
      <c r="A7158" t="s">
        <v>44</v>
      </c>
      <c r="B7158" t="s">
        <v>3</v>
      </c>
      <c r="C7158" t="s">
        <v>32</v>
      </c>
      <c r="D7158" t="s">
        <v>953</v>
      </c>
      <c r="E7158" t="s">
        <v>968</v>
      </c>
      <c r="F7158" t="s">
        <v>35</v>
      </c>
      <c r="G7158" t="s">
        <v>35</v>
      </c>
      <c r="H7158" t="s">
        <v>35</v>
      </c>
      <c r="J7158" t="s">
        <v>7020</v>
      </c>
      <c r="K7158" t="s">
        <v>1092</v>
      </c>
      <c r="M7158">
        <v>0.5</v>
      </c>
      <c r="N7158">
        <v>26</v>
      </c>
      <c r="O7158" t="s">
        <v>46</v>
      </c>
      <c r="Q7158" t="s">
        <v>94</v>
      </c>
      <c r="R7158" t="s">
        <v>133</v>
      </c>
      <c r="S7158" t="s">
        <v>134</v>
      </c>
    </row>
    <row r="7159" spans="1:19" x14ac:dyDescent="0.25">
      <c r="A7159" t="s">
        <v>59</v>
      </c>
      <c r="B7159" t="s">
        <v>60</v>
      </c>
      <c r="C7159" t="s">
        <v>32</v>
      </c>
      <c r="D7159" t="s">
        <v>953</v>
      </c>
      <c r="E7159" t="s">
        <v>968</v>
      </c>
      <c r="F7159" t="s">
        <v>35</v>
      </c>
      <c r="G7159" t="s">
        <v>35</v>
      </c>
      <c r="H7159" t="s">
        <v>35</v>
      </c>
      <c r="J7159" t="s">
        <v>7021</v>
      </c>
      <c r="K7159" t="s">
        <v>1092</v>
      </c>
      <c r="M7159">
        <v>2</v>
      </c>
      <c r="N7159">
        <v>177</v>
      </c>
      <c r="O7159" t="s">
        <v>38</v>
      </c>
      <c r="Q7159" t="s">
        <v>4657</v>
      </c>
      <c r="R7159" t="s">
        <v>6709</v>
      </c>
      <c r="S7159" t="s">
        <v>1022</v>
      </c>
    </row>
    <row r="7160" spans="1:19" x14ac:dyDescent="0.25">
      <c r="A7160" t="s">
        <v>59</v>
      </c>
      <c r="B7160" t="s">
        <v>60</v>
      </c>
      <c r="C7160" t="s">
        <v>32</v>
      </c>
      <c r="D7160" t="s">
        <v>953</v>
      </c>
      <c r="E7160" t="s">
        <v>968</v>
      </c>
      <c r="F7160" t="s">
        <v>35</v>
      </c>
      <c r="G7160" t="s">
        <v>35</v>
      </c>
      <c r="H7160" t="s">
        <v>35</v>
      </c>
      <c r="J7160" t="s">
        <v>7022</v>
      </c>
      <c r="K7160" t="s">
        <v>1092</v>
      </c>
      <c r="M7160">
        <v>0.01</v>
      </c>
      <c r="N7160">
        <v>137</v>
      </c>
      <c r="O7160" t="s">
        <v>38</v>
      </c>
      <c r="Q7160" t="s">
        <v>1602</v>
      </c>
      <c r="R7160" t="s">
        <v>6939</v>
      </c>
      <c r="S7160" t="s">
        <v>969</v>
      </c>
    </row>
    <row r="7161" spans="1:19" x14ac:dyDescent="0.25">
      <c r="A7161" t="s">
        <v>30</v>
      </c>
      <c r="B7161" t="s">
        <v>31</v>
      </c>
      <c r="C7161" t="s">
        <v>32</v>
      </c>
      <c r="D7161" t="s">
        <v>953</v>
      </c>
      <c r="E7161" t="s">
        <v>968</v>
      </c>
      <c r="F7161" t="s">
        <v>35</v>
      </c>
      <c r="G7161" t="s">
        <v>35</v>
      </c>
      <c r="H7161" t="s">
        <v>35</v>
      </c>
      <c r="J7161" t="s">
        <v>7022</v>
      </c>
      <c r="K7161" t="s">
        <v>1092</v>
      </c>
      <c r="M7161">
        <v>3.96</v>
      </c>
      <c r="N7161">
        <v>200</v>
      </c>
      <c r="O7161" t="s">
        <v>5</v>
      </c>
      <c r="Q7161" t="s">
        <v>3691</v>
      </c>
      <c r="R7161" t="s">
        <v>6939</v>
      </c>
      <c r="S7161" t="s">
        <v>969</v>
      </c>
    </row>
    <row r="7162" spans="1:19" x14ac:dyDescent="0.25">
      <c r="A7162" t="s">
        <v>44</v>
      </c>
      <c r="B7162" t="s">
        <v>3</v>
      </c>
      <c r="C7162" t="s">
        <v>32</v>
      </c>
      <c r="D7162" t="s">
        <v>953</v>
      </c>
      <c r="E7162" t="s">
        <v>968</v>
      </c>
      <c r="F7162" t="s">
        <v>35</v>
      </c>
      <c r="G7162" t="s">
        <v>35</v>
      </c>
      <c r="H7162" t="s">
        <v>35</v>
      </c>
      <c r="J7162" t="s">
        <v>7022</v>
      </c>
      <c r="K7162" t="s">
        <v>1092</v>
      </c>
      <c r="M7162">
        <v>4.5999999999999996</v>
      </c>
      <c r="N7162">
        <v>401</v>
      </c>
      <c r="O7162" t="s">
        <v>294</v>
      </c>
      <c r="Q7162" t="s">
        <v>1434</v>
      </c>
      <c r="R7162" t="s">
        <v>6939</v>
      </c>
      <c r="S7162" t="s">
        <v>969</v>
      </c>
    </row>
    <row r="7163" spans="1:19" x14ac:dyDescent="0.25">
      <c r="A7163" t="s">
        <v>59</v>
      </c>
      <c r="B7163" t="s">
        <v>31</v>
      </c>
      <c r="C7163" t="s">
        <v>32</v>
      </c>
      <c r="D7163" t="s">
        <v>953</v>
      </c>
      <c r="E7163" t="s">
        <v>968</v>
      </c>
      <c r="F7163" t="s">
        <v>35</v>
      </c>
      <c r="G7163" t="s">
        <v>35</v>
      </c>
      <c r="H7163" t="s">
        <v>35</v>
      </c>
      <c r="J7163" t="s">
        <v>7023</v>
      </c>
      <c r="K7163" t="s">
        <v>1092</v>
      </c>
      <c r="M7163">
        <v>4.4999999999999998E-2</v>
      </c>
      <c r="N7163">
        <v>592</v>
      </c>
      <c r="O7163" t="s">
        <v>575</v>
      </c>
      <c r="Q7163" t="s">
        <v>4004</v>
      </c>
      <c r="R7163" t="s">
        <v>6939</v>
      </c>
      <c r="S7163" t="s">
        <v>969</v>
      </c>
    </row>
    <row r="7164" spans="1:19" x14ac:dyDescent="0.25">
      <c r="A7164" t="s">
        <v>30</v>
      </c>
      <c r="B7164" t="s">
        <v>31</v>
      </c>
      <c r="C7164" t="s">
        <v>32</v>
      </c>
      <c r="D7164" t="s">
        <v>953</v>
      </c>
      <c r="E7164" t="s">
        <v>968</v>
      </c>
      <c r="F7164" t="s">
        <v>35</v>
      </c>
      <c r="G7164" t="s">
        <v>35</v>
      </c>
      <c r="H7164" t="s">
        <v>35</v>
      </c>
      <c r="J7164" t="s">
        <v>2243</v>
      </c>
      <c r="K7164" t="s">
        <v>1092</v>
      </c>
      <c r="M7164">
        <v>3.15</v>
      </c>
      <c r="N7164">
        <v>20</v>
      </c>
      <c r="O7164" t="s">
        <v>46</v>
      </c>
      <c r="Q7164" t="s">
        <v>1004</v>
      </c>
      <c r="R7164" t="s">
        <v>6847</v>
      </c>
      <c r="S7164" t="s">
        <v>1034</v>
      </c>
    </row>
    <row r="7165" spans="1:19" x14ac:dyDescent="0.25">
      <c r="A7165" t="s">
        <v>44</v>
      </c>
      <c r="B7165" t="s">
        <v>3</v>
      </c>
      <c r="C7165" t="s">
        <v>32</v>
      </c>
      <c r="D7165" t="s">
        <v>953</v>
      </c>
      <c r="E7165" t="s">
        <v>968</v>
      </c>
      <c r="F7165" t="s">
        <v>35</v>
      </c>
      <c r="G7165" t="s">
        <v>35</v>
      </c>
      <c r="H7165" t="s">
        <v>35</v>
      </c>
      <c r="J7165" t="s">
        <v>2243</v>
      </c>
      <c r="K7165" t="s">
        <v>1092</v>
      </c>
      <c r="M7165">
        <v>0.5</v>
      </c>
      <c r="N7165">
        <v>33</v>
      </c>
      <c r="O7165" t="s">
        <v>52</v>
      </c>
      <c r="Q7165" t="s">
        <v>137</v>
      </c>
      <c r="R7165" t="s">
        <v>6847</v>
      </c>
      <c r="S7165" t="s">
        <v>1034</v>
      </c>
    </row>
    <row r="7166" spans="1:19" x14ac:dyDescent="0.25">
      <c r="A7166" t="s">
        <v>59</v>
      </c>
      <c r="B7166" t="s">
        <v>60</v>
      </c>
      <c r="C7166" t="s">
        <v>32</v>
      </c>
      <c r="D7166" t="s">
        <v>953</v>
      </c>
      <c r="E7166" t="s">
        <v>968</v>
      </c>
      <c r="F7166" t="s">
        <v>35</v>
      </c>
      <c r="G7166" t="s">
        <v>35</v>
      </c>
      <c r="H7166" t="s">
        <v>35</v>
      </c>
      <c r="J7166" t="s">
        <v>7024</v>
      </c>
      <c r="K7166" t="s">
        <v>1092</v>
      </c>
      <c r="M7166">
        <v>2.1</v>
      </c>
      <c r="N7166">
        <v>80</v>
      </c>
      <c r="O7166" t="s">
        <v>61</v>
      </c>
      <c r="Q7166" t="s">
        <v>477</v>
      </c>
      <c r="R7166" t="s">
        <v>6897</v>
      </c>
      <c r="S7166" t="s">
        <v>1062</v>
      </c>
    </row>
    <row r="7167" spans="1:19" x14ac:dyDescent="0.25">
      <c r="A7167" t="s">
        <v>59</v>
      </c>
      <c r="B7167" t="s">
        <v>60</v>
      </c>
      <c r="C7167" t="s">
        <v>32</v>
      </c>
      <c r="D7167" t="s">
        <v>953</v>
      </c>
      <c r="E7167" t="s">
        <v>968</v>
      </c>
      <c r="F7167" t="s">
        <v>35</v>
      </c>
      <c r="G7167" t="s">
        <v>35</v>
      </c>
      <c r="H7167" t="s">
        <v>35</v>
      </c>
      <c r="J7167" t="s">
        <v>7025</v>
      </c>
      <c r="K7167" t="s">
        <v>1092</v>
      </c>
      <c r="M7167">
        <v>6.9</v>
      </c>
      <c r="N7167">
        <v>90</v>
      </c>
      <c r="O7167" t="s">
        <v>61</v>
      </c>
      <c r="Q7167" t="s">
        <v>897</v>
      </c>
      <c r="R7167" t="s">
        <v>6705</v>
      </c>
      <c r="S7167" t="s">
        <v>981</v>
      </c>
    </row>
    <row r="7168" spans="1:19" x14ac:dyDescent="0.25">
      <c r="A7168" t="s">
        <v>59</v>
      </c>
      <c r="B7168" t="s">
        <v>31</v>
      </c>
      <c r="C7168" t="s">
        <v>32</v>
      </c>
      <c r="D7168" t="s">
        <v>953</v>
      </c>
      <c r="E7168" t="s">
        <v>968</v>
      </c>
      <c r="F7168" t="s">
        <v>35</v>
      </c>
      <c r="G7168" t="s">
        <v>35</v>
      </c>
      <c r="H7168" t="s">
        <v>35</v>
      </c>
      <c r="J7168" t="s">
        <v>7025</v>
      </c>
      <c r="K7168" t="s">
        <v>1092</v>
      </c>
      <c r="M7168">
        <v>9.5399999999999991</v>
      </c>
      <c r="N7168">
        <v>65</v>
      </c>
      <c r="O7168" t="s">
        <v>61</v>
      </c>
      <c r="Q7168" t="s">
        <v>128</v>
      </c>
      <c r="R7168" t="s">
        <v>6897</v>
      </c>
      <c r="S7168" t="s">
        <v>1062</v>
      </c>
    </row>
    <row r="7169" spans="1:19" x14ac:dyDescent="0.25">
      <c r="A7169" t="s">
        <v>44</v>
      </c>
      <c r="B7169" t="s">
        <v>3</v>
      </c>
      <c r="C7169" t="s">
        <v>32</v>
      </c>
      <c r="D7169" t="s">
        <v>953</v>
      </c>
      <c r="E7169" t="s">
        <v>968</v>
      </c>
      <c r="F7169" t="s">
        <v>35</v>
      </c>
      <c r="G7169" t="s">
        <v>35</v>
      </c>
      <c r="H7169" t="s">
        <v>35</v>
      </c>
      <c r="J7169" t="s">
        <v>7025</v>
      </c>
      <c r="K7169" t="s">
        <v>1092</v>
      </c>
      <c r="M7169">
        <v>5</v>
      </c>
      <c r="N7169">
        <v>7</v>
      </c>
      <c r="O7169" t="s">
        <v>46</v>
      </c>
      <c r="Q7169" t="s">
        <v>8164</v>
      </c>
      <c r="R7169" t="s">
        <v>987</v>
      </c>
      <c r="S7169" t="s">
        <v>988</v>
      </c>
    </row>
    <row r="7170" spans="1:19" x14ac:dyDescent="0.25">
      <c r="A7170" t="s">
        <v>59</v>
      </c>
      <c r="B7170" t="s">
        <v>60</v>
      </c>
      <c r="C7170" t="s">
        <v>32</v>
      </c>
      <c r="D7170" t="s">
        <v>953</v>
      </c>
      <c r="E7170" t="s">
        <v>968</v>
      </c>
      <c r="F7170" t="s">
        <v>35</v>
      </c>
      <c r="G7170" t="s">
        <v>35</v>
      </c>
      <c r="H7170" t="s">
        <v>35</v>
      </c>
      <c r="J7170" t="s">
        <v>7026</v>
      </c>
      <c r="K7170" t="s">
        <v>1092</v>
      </c>
      <c r="M7170">
        <v>4.6500000000000004</v>
      </c>
      <c r="N7170">
        <v>60</v>
      </c>
      <c r="O7170" t="s">
        <v>52</v>
      </c>
      <c r="Q7170" t="s">
        <v>1734</v>
      </c>
      <c r="R7170" t="s">
        <v>6709</v>
      </c>
      <c r="S7170" t="s">
        <v>1022</v>
      </c>
    </row>
    <row r="7171" spans="1:19" x14ac:dyDescent="0.25">
      <c r="A7171" t="s">
        <v>30</v>
      </c>
      <c r="B7171" t="s">
        <v>31</v>
      </c>
      <c r="C7171" t="s">
        <v>32</v>
      </c>
      <c r="D7171" t="s">
        <v>953</v>
      </c>
      <c r="E7171" t="s">
        <v>968</v>
      </c>
      <c r="F7171" t="s">
        <v>35</v>
      </c>
      <c r="G7171" t="s">
        <v>35</v>
      </c>
      <c r="H7171" t="s">
        <v>35</v>
      </c>
      <c r="J7171" t="s">
        <v>7028</v>
      </c>
      <c r="K7171" t="s">
        <v>1092</v>
      </c>
      <c r="M7171">
        <v>10.98</v>
      </c>
      <c r="N7171">
        <v>15</v>
      </c>
      <c r="O7171" t="s">
        <v>46</v>
      </c>
      <c r="Q7171" t="s">
        <v>1944</v>
      </c>
      <c r="R7171" t="s">
        <v>6939</v>
      </c>
      <c r="S7171" t="s">
        <v>969</v>
      </c>
    </row>
    <row r="7172" spans="1:19" x14ac:dyDescent="0.25">
      <c r="A7172" t="s">
        <v>30</v>
      </c>
      <c r="B7172" t="s">
        <v>31</v>
      </c>
      <c r="C7172" t="s">
        <v>32</v>
      </c>
      <c r="D7172" t="s">
        <v>953</v>
      </c>
      <c r="E7172" t="s">
        <v>968</v>
      </c>
      <c r="F7172" t="s">
        <v>35</v>
      </c>
      <c r="G7172" t="s">
        <v>35</v>
      </c>
      <c r="H7172" t="s">
        <v>35</v>
      </c>
      <c r="J7172" t="s">
        <v>7028</v>
      </c>
      <c r="K7172" t="s">
        <v>1092</v>
      </c>
      <c r="M7172">
        <v>0.18</v>
      </c>
      <c r="N7172">
        <v>455</v>
      </c>
      <c r="O7172" t="s">
        <v>294</v>
      </c>
      <c r="Q7172" t="s">
        <v>1760</v>
      </c>
      <c r="R7172" t="s">
        <v>7029</v>
      </c>
      <c r="S7172" t="s">
        <v>7030</v>
      </c>
    </row>
    <row r="7173" spans="1:19" x14ac:dyDescent="0.25">
      <c r="A7173" t="s">
        <v>59</v>
      </c>
      <c r="B7173" t="s">
        <v>31</v>
      </c>
      <c r="C7173" t="s">
        <v>32</v>
      </c>
      <c r="D7173" t="s">
        <v>953</v>
      </c>
      <c r="E7173" t="s">
        <v>968</v>
      </c>
      <c r="F7173" t="s">
        <v>35</v>
      </c>
      <c r="G7173" t="s">
        <v>35</v>
      </c>
      <c r="H7173" t="s">
        <v>35</v>
      </c>
      <c r="J7173" t="s">
        <v>7028</v>
      </c>
      <c r="K7173" t="s">
        <v>1092</v>
      </c>
      <c r="M7173">
        <v>4.9950000000000001</v>
      </c>
      <c r="N7173">
        <v>149</v>
      </c>
      <c r="O7173" t="s">
        <v>38</v>
      </c>
      <c r="Q7173" t="s">
        <v>73</v>
      </c>
      <c r="R7173" t="s">
        <v>6742</v>
      </c>
      <c r="S7173" t="s">
        <v>1016</v>
      </c>
    </row>
    <row r="7174" spans="1:19" x14ac:dyDescent="0.25">
      <c r="A7174" t="s">
        <v>59</v>
      </c>
      <c r="B7174" t="s">
        <v>31</v>
      </c>
      <c r="C7174" t="s">
        <v>32</v>
      </c>
      <c r="D7174" t="s">
        <v>953</v>
      </c>
      <c r="E7174" t="s">
        <v>968</v>
      </c>
      <c r="F7174" t="s">
        <v>35</v>
      </c>
      <c r="G7174" t="s">
        <v>35</v>
      </c>
      <c r="H7174" t="s">
        <v>35</v>
      </c>
      <c r="J7174" t="s">
        <v>7028</v>
      </c>
      <c r="K7174" t="s">
        <v>1092</v>
      </c>
      <c r="M7174">
        <v>3.8250000000000002</v>
      </c>
      <c r="N7174">
        <v>180</v>
      </c>
      <c r="O7174" t="s">
        <v>38</v>
      </c>
      <c r="Q7174" t="s">
        <v>2138</v>
      </c>
      <c r="R7174" t="s">
        <v>6709</v>
      </c>
      <c r="S7174" t="s">
        <v>1022</v>
      </c>
    </row>
    <row r="7175" spans="1:19" x14ac:dyDescent="0.25">
      <c r="A7175" t="s">
        <v>59</v>
      </c>
      <c r="B7175" t="s">
        <v>31</v>
      </c>
      <c r="C7175" t="s">
        <v>32</v>
      </c>
      <c r="D7175" t="s">
        <v>953</v>
      </c>
      <c r="E7175" t="s">
        <v>968</v>
      </c>
      <c r="F7175" t="s">
        <v>35</v>
      </c>
      <c r="G7175" t="s">
        <v>35</v>
      </c>
      <c r="H7175" t="s">
        <v>35</v>
      </c>
      <c r="J7175" t="s">
        <v>7032</v>
      </c>
      <c r="K7175" t="s">
        <v>1092</v>
      </c>
      <c r="M7175">
        <v>3.4649999999999999</v>
      </c>
      <c r="N7175">
        <v>244</v>
      </c>
      <c r="O7175" t="s">
        <v>5</v>
      </c>
      <c r="Q7175" t="s">
        <v>1242</v>
      </c>
      <c r="R7175" t="s">
        <v>6742</v>
      </c>
      <c r="S7175" t="s">
        <v>1016</v>
      </c>
    </row>
    <row r="7176" spans="1:19" x14ac:dyDescent="0.25">
      <c r="A7176" t="s">
        <v>30</v>
      </c>
      <c r="B7176" t="s">
        <v>31</v>
      </c>
      <c r="C7176" t="s">
        <v>32</v>
      </c>
      <c r="D7176" t="s">
        <v>953</v>
      </c>
      <c r="E7176" t="s">
        <v>968</v>
      </c>
      <c r="F7176" t="s">
        <v>35</v>
      </c>
      <c r="G7176" t="s">
        <v>35</v>
      </c>
      <c r="H7176" t="s">
        <v>35</v>
      </c>
      <c r="J7176" t="s">
        <v>7033</v>
      </c>
      <c r="K7176" t="s">
        <v>1092</v>
      </c>
      <c r="M7176">
        <v>9.99</v>
      </c>
      <c r="N7176">
        <v>19</v>
      </c>
      <c r="O7176" t="s">
        <v>46</v>
      </c>
      <c r="Q7176" t="s">
        <v>1192</v>
      </c>
      <c r="R7176" t="s">
        <v>6709</v>
      </c>
      <c r="S7176" t="s">
        <v>1022</v>
      </c>
    </row>
    <row r="7177" spans="1:19" x14ac:dyDescent="0.25">
      <c r="A7177" t="s">
        <v>59</v>
      </c>
      <c r="B7177" t="s">
        <v>60</v>
      </c>
      <c r="C7177" t="s">
        <v>32</v>
      </c>
      <c r="D7177" t="s">
        <v>953</v>
      </c>
      <c r="E7177" t="s">
        <v>968</v>
      </c>
      <c r="F7177" t="s">
        <v>35</v>
      </c>
      <c r="G7177" t="s">
        <v>35</v>
      </c>
      <c r="H7177" t="s">
        <v>35</v>
      </c>
      <c r="J7177" t="s">
        <v>7034</v>
      </c>
      <c r="K7177" t="s">
        <v>3132</v>
      </c>
      <c r="M7177">
        <v>1</v>
      </c>
      <c r="N7177">
        <v>178</v>
      </c>
      <c r="O7177" t="s">
        <v>38</v>
      </c>
      <c r="Q7177" t="s">
        <v>2827</v>
      </c>
      <c r="R7177" t="s">
        <v>6939</v>
      </c>
      <c r="S7177" t="s">
        <v>969</v>
      </c>
    </row>
    <row r="7178" spans="1:19" x14ac:dyDescent="0.25">
      <c r="A7178" t="s">
        <v>30</v>
      </c>
      <c r="B7178" t="s">
        <v>31</v>
      </c>
      <c r="C7178" t="s">
        <v>32</v>
      </c>
      <c r="D7178" t="s">
        <v>953</v>
      </c>
      <c r="E7178" t="s">
        <v>968</v>
      </c>
      <c r="F7178" t="s">
        <v>35</v>
      </c>
      <c r="G7178" t="s">
        <v>35</v>
      </c>
      <c r="H7178" t="s">
        <v>35</v>
      </c>
      <c r="J7178" t="s">
        <v>7034</v>
      </c>
      <c r="K7178" t="s">
        <v>3132</v>
      </c>
      <c r="M7178">
        <v>16.38</v>
      </c>
      <c r="N7178">
        <v>277</v>
      </c>
      <c r="O7178" t="s">
        <v>5</v>
      </c>
      <c r="Q7178" t="s">
        <v>5812</v>
      </c>
      <c r="R7178" t="s">
        <v>6709</v>
      </c>
      <c r="S7178" t="s">
        <v>1022</v>
      </c>
    </row>
    <row r="7179" spans="1:19" x14ac:dyDescent="0.25">
      <c r="A7179" t="s">
        <v>59</v>
      </c>
      <c r="B7179" t="s">
        <v>60</v>
      </c>
      <c r="C7179" t="s">
        <v>32</v>
      </c>
      <c r="D7179" t="s">
        <v>953</v>
      </c>
      <c r="E7179" t="s">
        <v>968</v>
      </c>
      <c r="F7179" t="s">
        <v>35</v>
      </c>
      <c r="G7179" t="s">
        <v>35</v>
      </c>
      <c r="H7179" t="s">
        <v>35</v>
      </c>
      <c r="J7179" t="s">
        <v>7035</v>
      </c>
      <c r="K7179" t="s">
        <v>1092</v>
      </c>
      <c r="M7179">
        <v>10</v>
      </c>
      <c r="N7179">
        <v>133</v>
      </c>
      <c r="O7179" t="s">
        <v>38</v>
      </c>
      <c r="Q7179" t="s">
        <v>68</v>
      </c>
      <c r="R7179" t="s">
        <v>6897</v>
      </c>
      <c r="S7179" t="s">
        <v>1062</v>
      </c>
    </row>
    <row r="7180" spans="1:19" x14ac:dyDescent="0.25">
      <c r="A7180" t="s">
        <v>44</v>
      </c>
      <c r="B7180" t="s">
        <v>3</v>
      </c>
      <c r="C7180" t="s">
        <v>32</v>
      </c>
      <c r="D7180" t="s">
        <v>953</v>
      </c>
      <c r="E7180" t="s">
        <v>968</v>
      </c>
      <c r="F7180" t="s">
        <v>35</v>
      </c>
      <c r="G7180" t="s">
        <v>35</v>
      </c>
      <c r="H7180" t="s">
        <v>35</v>
      </c>
      <c r="J7180" t="s">
        <v>7036</v>
      </c>
      <c r="K7180" t="s">
        <v>1092</v>
      </c>
      <c r="M7180">
        <v>5</v>
      </c>
      <c r="N7180">
        <v>66</v>
      </c>
      <c r="O7180" t="s">
        <v>61</v>
      </c>
      <c r="Q7180" t="s">
        <v>203</v>
      </c>
      <c r="R7180" t="s">
        <v>6877</v>
      </c>
      <c r="S7180" t="s">
        <v>1041</v>
      </c>
    </row>
    <row r="7181" spans="1:19" x14ac:dyDescent="0.25">
      <c r="A7181" t="s">
        <v>30</v>
      </c>
      <c r="B7181" t="s">
        <v>31</v>
      </c>
      <c r="C7181" t="s">
        <v>32</v>
      </c>
      <c r="D7181" t="s">
        <v>953</v>
      </c>
      <c r="E7181" t="s">
        <v>968</v>
      </c>
      <c r="F7181" t="s">
        <v>35</v>
      </c>
      <c r="G7181" t="s">
        <v>35</v>
      </c>
      <c r="H7181" t="s">
        <v>35</v>
      </c>
      <c r="J7181" t="s">
        <v>7037</v>
      </c>
      <c r="K7181" t="s">
        <v>1092</v>
      </c>
      <c r="M7181">
        <v>0.58499999999999996</v>
      </c>
      <c r="N7181">
        <v>277</v>
      </c>
      <c r="O7181" t="s">
        <v>5</v>
      </c>
      <c r="Q7181" t="s">
        <v>5812</v>
      </c>
      <c r="R7181" t="s">
        <v>6709</v>
      </c>
      <c r="S7181" t="s">
        <v>1022</v>
      </c>
    </row>
    <row r="7182" spans="1:19" x14ac:dyDescent="0.25">
      <c r="A7182" t="s">
        <v>59</v>
      </c>
      <c r="B7182" t="s">
        <v>60</v>
      </c>
      <c r="C7182" t="s">
        <v>32</v>
      </c>
      <c r="D7182" t="s">
        <v>953</v>
      </c>
      <c r="E7182" t="s">
        <v>968</v>
      </c>
      <c r="F7182" t="s">
        <v>35</v>
      </c>
      <c r="G7182" t="s">
        <v>35</v>
      </c>
      <c r="H7182" t="s">
        <v>35</v>
      </c>
      <c r="J7182" t="s">
        <v>7037</v>
      </c>
      <c r="K7182" t="s">
        <v>1092</v>
      </c>
      <c r="M7182">
        <v>2.5</v>
      </c>
      <c r="N7182">
        <v>52</v>
      </c>
      <c r="O7182" t="s">
        <v>52</v>
      </c>
      <c r="Q7182" t="s">
        <v>1230</v>
      </c>
      <c r="R7182" t="s">
        <v>6709</v>
      </c>
      <c r="S7182" t="s">
        <v>1022</v>
      </c>
    </row>
    <row r="7183" spans="1:19" x14ac:dyDescent="0.25">
      <c r="A7183" t="s">
        <v>59</v>
      </c>
      <c r="B7183" t="s">
        <v>60</v>
      </c>
      <c r="C7183" t="s">
        <v>32</v>
      </c>
      <c r="D7183" t="s">
        <v>953</v>
      </c>
      <c r="E7183" t="s">
        <v>968</v>
      </c>
      <c r="F7183" t="s">
        <v>35</v>
      </c>
      <c r="G7183" t="s">
        <v>35</v>
      </c>
      <c r="H7183" t="s">
        <v>35</v>
      </c>
      <c r="J7183" t="s">
        <v>7038</v>
      </c>
      <c r="K7183" t="s">
        <v>1092</v>
      </c>
      <c r="M7183">
        <v>0.86199999999999999</v>
      </c>
      <c r="N7183">
        <v>91</v>
      </c>
      <c r="O7183" t="s">
        <v>106</v>
      </c>
      <c r="Q7183" t="s">
        <v>1147</v>
      </c>
      <c r="R7183" t="s">
        <v>6899</v>
      </c>
      <c r="S7183" t="s">
        <v>6900</v>
      </c>
    </row>
    <row r="7184" spans="1:19" x14ac:dyDescent="0.25">
      <c r="A7184" t="s">
        <v>30</v>
      </c>
      <c r="B7184" t="s">
        <v>31</v>
      </c>
      <c r="C7184" t="s">
        <v>32</v>
      </c>
      <c r="D7184" t="s">
        <v>953</v>
      </c>
      <c r="E7184" t="s">
        <v>968</v>
      </c>
      <c r="F7184" t="s">
        <v>35</v>
      </c>
      <c r="G7184" t="s">
        <v>35</v>
      </c>
      <c r="H7184" t="s">
        <v>35</v>
      </c>
      <c r="J7184" t="s">
        <v>7038</v>
      </c>
      <c r="K7184" t="s">
        <v>1092</v>
      </c>
      <c r="M7184">
        <v>2.5649999999999999</v>
      </c>
      <c r="N7184">
        <v>201</v>
      </c>
      <c r="O7184" t="s">
        <v>5</v>
      </c>
      <c r="Q7184" t="s">
        <v>1428</v>
      </c>
      <c r="R7184" t="s">
        <v>6709</v>
      </c>
      <c r="S7184" t="s">
        <v>1022</v>
      </c>
    </row>
    <row r="7185" spans="1:19" x14ac:dyDescent="0.25">
      <c r="A7185" t="s">
        <v>59</v>
      </c>
      <c r="B7185" t="s">
        <v>60</v>
      </c>
      <c r="C7185" t="s">
        <v>32</v>
      </c>
      <c r="D7185" t="s">
        <v>953</v>
      </c>
      <c r="E7185" t="s">
        <v>968</v>
      </c>
      <c r="F7185" t="s">
        <v>35</v>
      </c>
      <c r="G7185" t="s">
        <v>35</v>
      </c>
      <c r="H7185" t="s">
        <v>35</v>
      </c>
      <c r="J7185" t="s">
        <v>7039</v>
      </c>
      <c r="K7185" t="s">
        <v>1092</v>
      </c>
      <c r="M7185">
        <v>1.2</v>
      </c>
      <c r="N7185">
        <v>143</v>
      </c>
      <c r="O7185" t="s">
        <v>38</v>
      </c>
      <c r="Q7185" t="s">
        <v>2121</v>
      </c>
      <c r="R7185" t="s">
        <v>133</v>
      </c>
      <c r="S7185" t="s">
        <v>134</v>
      </c>
    </row>
    <row r="7186" spans="1:19" x14ac:dyDescent="0.25">
      <c r="A7186" t="s">
        <v>59</v>
      </c>
      <c r="B7186" t="s">
        <v>60</v>
      </c>
      <c r="C7186" t="s">
        <v>32</v>
      </c>
      <c r="D7186" t="s">
        <v>953</v>
      </c>
      <c r="E7186" t="s">
        <v>968</v>
      </c>
      <c r="F7186" t="s">
        <v>35</v>
      </c>
      <c r="G7186" t="s">
        <v>35</v>
      </c>
      <c r="H7186" t="s">
        <v>35</v>
      </c>
      <c r="J7186" t="s">
        <v>7039</v>
      </c>
      <c r="K7186" t="s">
        <v>1092</v>
      </c>
      <c r="M7186">
        <v>4</v>
      </c>
      <c r="N7186">
        <v>91</v>
      </c>
      <c r="O7186" t="s">
        <v>106</v>
      </c>
      <c r="Q7186" t="s">
        <v>1147</v>
      </c>
      <c r="R7186" t="s">
        <v>133</v>
      </c>
      <c r="S7186" t="s">
        <v>134</v>
      </c>
    </row>
    <row r="7187" spans="1:19" x14ac:dyDescent="0.25">
      <c r="A7187" t="s">
        <v>44</v>
      </c>
      <c r="B7187" t="s">
        <v>3</v>
      </c>
      <c r="C7187" t="s">
        <v>32</v>
      </c>
      <c r="D7187" t="s">
        <v>953</v>
      </c>
      <c r="E7187" t="s">
        <v>968</v>
      </c>
      <c r="F7187" t="s">
        <v>35</v>
      </c>
      <c r="G7187" t="s">
        <v>35</v>
      </c>
      <c r="H7187" t="s">
        <v>35</v>
      </c>
      <c r="J7187" t="s">
        <v>7040</v>
      </c>
      <c r="K7187" t="s">
        <v>1092</v>
      </c>
      <c r="M7187">
        <v>5.4</v>
      </c>
      <c r="N7187">
        <v>69</v>
      </c>
      <c r="O7187" t="s">
        <v>61</v>
      </c>
      <c r="Q7187" t="s">
        <v>139</v>
      </c>
      <c r="R7187" t="s">
        <v>6742</v>
      </c>
      <c r="S7187" t="s">
        <v>1016</v>
      </c>
    </row>
    <row r="7188" spans="1:19" x14ac:dyDescent="0.25">
      <c r="A7188" t="s">
        <v>59</v>
      </c>
      <c r="B7188" t="s">
        <v>60</v>
      </c>
      <c r="C7188" t="s">
        <v>32</v>
      </c>
      <c r="D7188" t="s">
        <v>953</v>
      </c>
      <c r="E7188" t="s">
        <v>968</v>
      </c>
      <c r="F7188" t="s">
        <v>35</v>
      </c>
      <c r="G7188" t="s">
        <v>35</v>
      </c>
      <c r="H7188" t="s">
        <v>35</v>
      </c>
      <c r="J7188" t="s">
        <v>7040</v>
      </c>
      <c r="K7188" t="s">
        <v>1092</v>
      </c>
      <c r="M7188">
        <v>1.75</v>
      </c>
      <c r="N7188">
        <v>65</v>
      </c>
      <c r="O7188" t="s">
        <v>61</v>
      </c>
      <c r="Q7188" t="s">
        <v>128</v>
      </c>
      <c r="R7188" t="s">
        <v>6742</v>
      </c>
      <c r="S7188" t="s">
        <v>1016</v>
      </c>
    </row>
    <row r="7189" spans="1:19" x14ac:dyDescent="0.25">
      <c r="A7189" t="s">
        <v>44</v>
      </c>
      <c r="B7189" t="s">
        <v>3</v>
      </c>
      <c r="C7189" t="s">
        <v>32</v>
      </c>
      <c r="D7189" t="s">
        <v>953</v>
      </c>
      <c r="E7189" t="s">
        <v>968</v>
      </c>
      <c r="F7189" t="s">
        <v>35</v>
      </c>
      <c r="G7189" t="s">
        <v>35</v>
      </c>
      <c r="H7189" t="s">
        <v>35</v>
      </c>
      <c r="J7189" t="s">
        <v>7041</v>
      </c>
      <c r="K7189" t="s">
        <v>1092</v>
      </c>
      <c r="M7189">
        <v>0.75</v>
      </c>
      <c r="N7189">
        <v>17</v>
      </c>
      <c r="O7189" t="s">
        <v>46</v>
      </c>
      <c r="Q7189" t="s">
        <v>1302</v>
      </c>
      <c r="R7189" t="s">
        <v>133</v>
      </c>
      <c r="S7189" t="s">
        <v>134</v>
      </c>
    </row>
    <row r="7190" spans="1:19" x14ac:dyDescent="0.25">
      <c r="A7190" t="s">
        <v>59</v>
      </c>
      <c r="B7190" t="s">
        <v>60</v>
      </c>
      <c r="C7190" t="s">
        <v>32</v>
      </c>
      <c r="D7190" t="s">
        <v>953</v>
      </c>
      <c r="E7190" t="s">
        <v>968</v>
      </c>
      <c r="F7190" t="s">
        <v>35</v>
      </c>
      <c r="G7190" t="s">
        <v>35</v>
      </c>
      <c r="H7190" t="s">
        <v>35</v>
      </c>
      <c r="J7190" t="s">
        <v>7041</v>
      </c>
      <c r="K7190" t="s">
        <v>1092</v>
      </c>
      <c r="M7190">
        <v>0.5</v>
      </c>
      <c r="N7190">
        <v>49</v>
      </c>
      <c r="O7190" t="s">
        <v>52</v>
      </c>
      <c r="Q7190" t="s">
        <v>219</v>
      </c>
      <c r="R7190" t="s">
        <v>133</v>
      </c>
      <c r="S7190" t="s">
        <v>134</v>
      </c>
    </row>
    <row r="7191" spans="1:19" x14ac:dyDescent="0.25">
      <c r="A7191" t="s">
        <v>59</v>
      </c>
      <c r="B7191" t="s">
        <v>31</v>
      </c>
      <c r="C7191" t="s">
        <v>32</v>
      </c>
      <c r="D7191" t="s">
        <v>953</v>
      </c>
      <c r="E7191" t="s">
        <v>968</v>
      </c>
      <c r="F7191" t="s">
        <v>35</v>
      </c>
      <c r="G7191" t="s">
        <v>35</v>
      </c>
      <c r="H7191" t="s">
        <v>35</v>
      </c>
      <c r="J7191" t="s">
        <v>7042</v>
      </c>
      <c r="K7191" t="s">
        <v>1092</v>
      </c>
      <c r="M7191">
        <v>4.5449999999999999</v>
      </c>
      <c r="N7191">
        <v>244</v>
      </c>
      <c r="O7191" t="s">
        <v>5</v>
      </c>
      <c r="Q7191" t="s">
        <v>1242</v>
      </c>
      <c r="R7191" t="s">
        <v>6709</v>
      </c>
      <c r="S7191" t="s">
        <v>1022</v>
      </c>
    </row>
    <row r="7192" spans="1:19" x14ac:dyDescent="0.25">
      <c r="A7192" t="s">
        <v>59</v>
      </c>
      <c r="B7192" t="s">
        <v>60</v>
      </c>
      <c r="C7192" t="s">
        <v>32</v>
      </c>
      <c r="D7192" t="s">
        <v>953</v>
      </c>
      <c r="E7192" t="s">
        <v>968</v>
      </c>
      <c r="F7192" t="s">
        <v>35</v>
      </c>
      <c r="G7192" t="s">
        <v>35</v>
      </c>
      <c r="H7192" t="s">
        <v>35</v>
      </c>
      <c r="J7192" t="s">
        <v>7042</v>
      </c>
      <c r="K7192" t="s">
        <v>1092</v>
      </c>
      <c r="M7192">
        <v>2.5</v>
      </c>
      <c r="N7192">
        <v>244</v>
      </c>
      <c r="O7192" t="s">
        <v>5</v>
      </c>
      <c r="Q7192" t="s">
        <v>1242</v>
      </c>
      <c r="R7192" t="s">
        <v>6709</v>
      </c>
      <c r="S7192" t="s">
        <v>1022</v>
      </c>
    </row>
    <row r="7193" spans="1:19" x14ac:dyDescent="0.25">
      <c r="A7193" t="s">
        <v>59</v>
      </c>
      <c r="B7193" t="s">
        <v>31</v>
      </c>
      <c r="C7193" t="s">
        <v>32</v>
      </c>
      <c r="D7193" t="s">
        <v>953</v>
      </c>
      <c r="E7193" t="s">
        <v>968</v>
      </c>
      <c r="F7193" t="s">
        <v>35</v>
      </c>
      <c r="G7193" t="s">
        <v>35</v>
      </c>
      <c r="H7193" t="s">
        <v>35</v>
      </c>
      <c r="J7193" t="s">
        <v>7043</v>
      </c>
      <c r="K7193" t="s">
        <v>1092</v>
      </c>
      <c r="M7193">
        <v>0.09</v>
      </c>
      <c r="N7193">
        <v>360</v>
      </c>
      <c r="O7193" t="s">
        <v>5</v>
      </c>
      <c r="Q7193" t="s">
        <v>1435</v>
      </c>
      <c r="R7193" t="s">
        <v>6877</v>
      </c>
      <c r="S7193" t="s">
        <v>1041</v>
      </c>
    </row>
    <row r="7194" spans="1:19" x14ac:dyDescent="0.25">
      <c r="A7194" t="s">
        <v>30</v>
      </c>
      <c r="B7194" t="s">
        <v>31</v>
      </c>
      <c r="C7194" t="s">
        <v>32</v>
      </c>
      <c r="D7194" t="s">
        <v>953</v>
      </c>
      <c r="E7194" t="s">
        <v>968</v>
      </c>
      <c r="F7194" t="s">
        <v>35</v>
      </c>
      <c r="G7194" t="s">
        <v>35</v>
      </c>
      <c r="H7194" t="s">
        <v>35</v>
      </c>
      <c r="J7194" t="s">
        <v>7043</v>
      </c>
      <c r="K7194" t="s">
        <v>1092</v>
      </c>
      <c r="M7194">
        <v>9.99</v>
      </c>
      <c r="N7194">
        <v>22</v>
      </c>
      <c r="O7194" t="s">
        <v>46</v>
      </c>
      <c r="Q7194" t="s">
        <v>979</v>
      </c>
      <c r="R7194" t="s">
        <v>6723</v>
      </c>
      <c r="S7194" t="s">
        <v>6724</v>
      </c>
    </row>
    <row r="7195" spans="1:19" x14ac:dyDescent="0.25">
      <c r="A7195" t="s">
        <v>44</v>
      </c>
      <c r="B7195" t="s">
        <v>3</v>
      </c>
      <c r="C7195" t="s">
        <v>32</v>
      </c>
      <c r="D7195" t="s">
        <v>953</v>
      </c>
      <c r="E7195" t="s">
        <v>968</v>
      </c>
      <c r="F7195" t="s">
        <v>35</v>
      </c>
      <c r="G7195" t="s">
        <v>35</v>
      </c>
      <c r="H7195" t="s">
        <v>35</v>
      </c>
      <c r="J7195" t="s">
        <v>7043</v>
      </c>
      <c r="K7195" t="s">
        <v>1092</v>
      </c>
      <c r="M7195">
        <v>0.6</v>
      </c>
      <c r="N7195">
        <v>59</v>
      </c>
      <c r="O7195" t="s">
        <v>52</v>
      </c>
      <c r="Q7195" t="s">
        <v>84</v>
      </c>
      <c r="R7195" t="s">
        <v>133</v>
      </c>
      <c r="S7195" t="s">
        <v>134</v>
      </c>
    </row>
    <row r="7196" spans="1:19" x14ac:dyDescent="0.25">
      <c r="A7196" t="s">
        <v>59</v>
      </c>
      <c r="B7196" t="s">
        <v>60</v>
      </c>
      <c r="C7196" t="s">
        <v>32</v>
      </c>
      <c r="D7196" t="s">
        <v>953</v>
      </c>
      <c r="E7196" t="s">
        <v>968</v>
      </c>
      <c r="F7196" t="s">
        <v>35</v>
      </c>
      <c r="G7196" t="s">
        <v>35</v>
      </c>
      <c r="H7196" t="s">
        <v>35</v>
      </c>
      <c r="J7196" t="s">
        <v>7043</v>
      </c>
      <c r="K7196" t="s">
        <v>1092</v>
      </c>
      <c r="M7196">
        <v>0.25</v>
      </c>
      <c r="N7196">
        <v>59</v>
      </c>
      <c r="O7196" t="s">
        <v>52</v>
      </c>
      <c r="Q7196" t="s">
        <v>84</v>
      </c>
      <c r="R7196" t="s">
        <v>133</v>
      </c>
      <c r="S7196" t="s">
        <v>134</v>
      </c>
    </row>
    <row r="7197" spans="1:19" x14ac:dyDescent="0.25">
      <c r="A7197" t="s">
        <v>59</v>
      </c>
      <c r="B7197" t="s">
        <v>60</v>
      </c>
      <c r="C7197" t="s">
        <v>32</v>
      </c>
      <c r="D7197" t="s">
        <v>953</v>
      </c>
      <c r="E7197" t="s">
        <v>968</v>
      </c>
      <c r="F7197" t="s">
        <v>35</v>
      </c>
      <c r="G7197" t="s">
        <v>35</v>
      </c>
      <c r="H7197" t="s">
        <v>35</v>
      </c>
      <c r="J7197" t="s">
        <v>7044</v>
      </c>
      <c r="K7197" t="s">
        <v>1092</v>
      </c>
      <c r="M7197">
        <v>1</v>
      </c>
      <c r="N7197">
        <v>174</v>
      </c>
      <c r="O7197" t="s">
        <v>38</v>
      </c>
      <c r="Q7197" t="s">
        <v>1565</v>
      </c>
      <c r="R7197" t="s">
        <v>6877</v>
      </c>
      <c r="S7197" t="s">
        <v>1041</v>
      </c>
    </row>
    <row r="7198" spans="1:19" x14ac:dyDescent="0.25">
      <c r="A7198" t="s">
        <v>44</v>
      </c>
      <c r="B7198" t="s">
        <v>3</v>
      </c>
      <c r="C7198" t="s">
        <v>32</v>
      </c>
      <c r="D7198" t="s">
        <v>953</v>
      </c>
      <c r="E7198" t="s">
        <v>968</v>
      </c>
      <c r="F7198" t="s">
        <v>35</v>
      </c>
      <c r="G7198" t="s">
        <v>35</v>
      </c>
      <c r="H7198" t="s">
        <v>35</v>
      </c>
      <c r="J7198" t="s">
        <v>7045</v>
      </c>
      <c r="K7198" t="s">
        <v>1092</v>
      </c>
      <c r="M7198">
        <v>0.25</v>
      </c>
      <c r="N7198">
        <v>14</v>
      </c>
      <c r="O7198" t="s">
        <v>46</v>
      </c>
      <c r="Q7198" t="s">
        <v>2440</v>
      </c>
      <c r="R7198" t="s">
        <v>133</v>
      </c>
      <c r="S7198" t="s">
        <v>134</v>
      </c>
    </row>
    <row r="7199" spans="1:19" x14ac:dyDescent="0.25">
      <c r="A7199" t="s">
        <v>44</v>
      </c>
      <c r="B7199" t="s">
        <v>3</v>
      </c>
      <c r="C7199" t="s">
        <v>32</v>
      </c>
      <c r="D7199" t="s">
        <v>953</v>
      </c>
      <c r="E7199" t="s">
        <v>968</v>
      </c>
      <c r="F7199" t="s">
        <v>35</v>
      </c>
      <c r="G7199" t="s">
        <v>35</v>
      </c>
      <c r="H7199" t="s">
        <v>35</v>
      </c>
      <c r="J7199" t="s">
        <v>7045</v>
      </c>
      <c r="K7199" t="s">
        <v>1092</v>
      </c>
      <c r="M7199">
        <v>0.75</v>
      </c>
      <c r="N7199">
        <v>32</v>
      </c>
      <c r="O7199" t="s">
        <v>52</v>
      </c>
      <c r="Q7199" t="s">
        <v>547</v>
      </c>
      <c r="R7199" t="s">
        <v>133</v>
      </c>
      <c r="S7199" t="s">
        <v>134</v>
      </c>
    </row>
    <row r="7200" spans="1:19" x14ac:dyDescent="0.25">
      <c r="A7200" t="s">
        <v>59</v>
      </c>
      <c r="B7200" t="s">
        <v>60</v>
      </c>
      <c r="C7200" t="s">
        <v>32</v>
      </c>
      <c r="D7200" t="s">
        <v>953</v>
      </c>
      <c r="E7200" t="s">
        <v>968</v>
      </c>
      <c r="F7200" t="s">
        <v>35</v>
      </c>
      <c r="G7200" t="s">
        <v>35</v>
      </c>
      <c r="H7200" t="s">
        <v>35</v>
      </c>
      <c r="J7200" t="s">
        <v>7045</v>
      </c>
      <c r="K7200" t="s">
        <v>1092</v>
      </c>
      <c r="M7200">
        <v>1.75</v>
      </c>
      <c r="N7200">
        <v>91</v>
      </c>
      <c r="O7200" t="s">
        <v>106</v>
      </c>
      <c r="Q7200" t="s">
        <v>1147</v>
      </c>
      <c r="R7200" t="s">
        <v>133</v>
      </c>
      <c r="S7200" t="s">
        <v>134</v>
      </c>
    </row>
    <row r="7201" spans="1:19" x14ac:dyDescent="0.25">
      <c r="A7201" t="s">
        <v>44</v>
      </c>
      <c r="B7201" t="s">
        <v>3</v>
      </c>
      <c r="C7201" t="s">
        <v>32</v>
      </c>
      <c r="D7201" t="s">
        <v>953</v>
      </c>
      <c r="E7201" t="s">
        <v>968</v>
      </c>
      <c r="F7201" t="s">
        <v>35</v>
      </c>
      <c r="G7201" t="s">
        <v>35</v>
      </c>
      <c r="H7201" t="s">
        <v>35</v>
      </c>
      <c r="J7201" t="s">
        <v>7046</v>
      </c>
      <c r="K7201" t="s">
        <v>1092</v>
      </c>
      <c r="M7201">
        <v>3.2</v>
      </c>
      <c r="N7201">
        <v>53</v>
      </c>
      <c r="O7201" t="s">
        <v>52</v>
      </c>
      <c r="Q7201" t="s">
        <v>332</v>
      </c>
      <c r="R7201" t="s">
        <v>6723</v>
      </c>
      <c r="S7201" t="s">
        <v>6724</v>
      </c>
    </row>
    <row r="7202" spans="1:19" x14ac:dyDescent="0.25">
      <c r="A7202" t="s">
        <v>30</v>
      </c>
      <c r="B7202" t="s">
        <v>31</v>
      </c>
      <c r="C7202" t="s">
        <v>32</v>
      </c>
      <c r="D7202" t="s">
        <v>953</v>
      </c>
      <c r="E7202" t="s">
        <v>968</v>
      </c>
      <c r="F7202" t="s">
        <v>35</v>
      </c>
      <c r="G7202" t="s">
        <v>35</v>
      </c>
      <c r="H7202" t="s">
        <v>35</v>
      </c>
      <c r="J7202" t="s">
        <v>7046</v>
      </c>
      <c r="K7202" t="s">
        <v>1092</v>
      </c>
      <c r="M7202">
        <v>5.76</v>
      </c>
      <c r="N7202">
        <v>44</v>
      </c>
      <c r="O7202" t="s">
        <v>52</v>
      </c>
      <c r="Q7202" t="s">
        <v>192</v>
      </c>
      <c r="R7202" t="s">
        <v>6723</v>
      </c>
      <c r="S7202" t="s">
        <v>6724</v>
      </c>
    </row>
    <row r="7203" spans="1:19" x14ac:dyDescent="0.25">
      <c r="A7203" t="s">
        <v>30</v>
      </c>
      <c r="B7203" t="s">
        <v>31</v>
      </c>
      <c r="C7203" t="s">
        <v>32</v>
      </c>
      <c r="D7203" t="s">
        <v>953</v>
      </c>
      <c r="E7203" t="s">
        <v>968</v>
      </c>
      <c r="F7203" t="s">
        <v>35</v>
      </c>
      <c r="G7203" t="s">
        <v>35</v>
      </c>
      <c r="H7203" t="s">
        <v>35</v>
      </c>
      <c r="J7203" t="s">
        <v>7047</v>
      </c>
      <c r="K7203" t="s">
        <v>1092</v>
      </c>
      <c r="M7203">
        <v>3.4649999999999999</v>
      </c>
      <c r="N7203">
        <v>23</v>
      </c>
      <c r="O7203" t="s">
        <v>46</v>
      </c>
      <c r="Q7203" t="s">
        <v>1819</v>
      </c>
      <c r="R7203" t="s">
        <v>6899</v>
      </c>
      <c r="S7203" t="s">
        <v>6900</v>
      </c>
    </row>
    <row r="7204" spans="1:19" x14ac:dyDescent="0.25">
      <c r="A7204" t="s">
        <v>59</v>
      </c>
      <c r="B7204" t="s">
        <v>60</v>
      </c>
      <c r="C7204" t="s">
        <v>32</v>
      </c>
      <c r="D7204" t="s">
        <v>953</v>
      </c>
      <c r="E7204" t="s">
        <v>968</v>
      </c>
      <c r="F7204" t="s">
        <v>35</v>
      </c>
      <c r="G7204" t="s">
        <v>35</v>
      </c>
      <c r="H7204" t="s">
        <v>35</v>
      </c>
      <c r="J7204" t="s">
        <v>7047</v>
      </c>
      <c r="K7204" t="s">
        <v>1092</v>
      </c>
      <c r="M7204">
        <v>1.4</v>
      </c>
      <c r="N7204">
        <v>59</v>
      </c>
      <c r="O7204" t="s">
        <v>52</v>
      </c>
      <c r="Q7204" t="s">
        <v>84</v>
      </c>
      <c r="R7204" t="s">
        <v>6709</v>
      </c>
      <c r="S7204" t="s">
        <v>1022</v>
      </c>
    </row>
    <row r="7205" spans="1:19" x14ac:dyDescent="0.25">
      <c r="A7205" t="s">
        <v>59</v>
      </c>
      <c r="B7205" t="s">
        <v>60</v>
      </c>
      <c r="C7205" t="s">
        <v>32</v>
      </c>
      <c r="D7205" t="s">
        <v>953</v>
      </c>
      <c r="E7205" t="s">
        <v>968</v>
      </c>
      <c r="F7205" t="s">
        <v>35</v>
      </c>
      <c r="G7205" t="s">
        <v>35</v>
      </c>
      <c r="H7205" t="s">
        <v>35</v>
      </c>
      <c r="J7205" t="s">
        <v>7048</v>
      </c>
      <c r="K7205" t="s">
        <v>1092</v>
      </c>
      <c r="M7205">
        <v>0.5</v>
      </c>
      <c r="N7205">
        <v>78</v>
      </c>
      <c r="O7205" t="s">
        <v>61</v>
      </c>
      <c r="Q7205" t="s">
        <v>4851</v>
      </c>
      <c r="R7205" t="s">
        <v>6939</v>
      </c>
      <c r="S7205" t="s">
        <v>969</v>
      </c>
    </row>
    <row r="7206" spans="1:19" x14ac:dyDescent="0.25">
      <c r="A7206" t="s">
        <v>59</v>
      </c>
      <c r="B7206" t="s">
        <v>60</v>
      </c>
      <c r="C7206" t="s">
        <v>32</v>
      </c>
      <c r="D7206" t="s">
        <v>953</v>
      </c>
      <c r="E7206" t="s">
        <v>968</v>
      </c>
      <c r="F7206" t="s">
        <v>35</v>
      </c>
      <c r="G7206" t="s">
        <v>35</v>
      </c>
      <c r="H7206" t="s">
        <v>35</v>
      </c>
      <c r="J7206" t="s">
        <v>7049</v>
      </c>
      <c r="K7206" t="s">
        <v>1092</v>
      </c>
      <c r="M7206">
        <v>12.2</v>
      </c>
      <c r="N7206">
        <v>61</v>
      </c>
      <c r="O7206" t="s">
        <v>61</v>
      </c>
      <c r="Q7206" t="s">
        <v>671</v>
      </c>
      <c r="R7206" t="s">
        <v>6899</v>
      </c>
      <c r="S7206" t="s">
        <v>6900</v>
      </c>
    </row>
    <row r="7207" spans="1:19" x14ac:dyDescent="0.25">
      <c r="A7207" t="s">
        <v>30</v>
      </c>
      <c r="B7207" t="s">
        <v>31</v>
      </c>
      <c r="C7207" t="s">
        <v>32</v>
      </c>
      <c r="D7207" t="s">
        <v>953</v>
      </c>
      <c r="E7207" t="s">
        <v>968</v>
      </c>
      <c r="F7207" t="s">
        <v>35</v>
      </c>
      <c r="G7207" t="s">
        <v>35</v>
      </c>
      <c r="H7207" t="s">
        <v>35</v>
      </c>
      <c r="J7207" t="s">
        <v>7049</v>
      </c>
      <c r="K7207" t="s">
        <v>1092</v>
      </c>
      <c r="M7207">
        <v>4.9950000000000001</v>
      </c>
      <c r="N7207">
        <v>18</v>
      </c>
      <c r="O7207" t="s">
        <v>46</v>
      </c>
      <c r="Q7207" t="s">
        <v>1476</v>
      </c>
      <c r="R7207" t="s">
        <v>6899</v>
      </c>
      <c r="S7207" t="s">
        <v>6900</v>
      </c>
    </row>
    <row r="7208" spans="1:19" x14ac:dyDescent="0.25">
      <c r="A7208" t="s">
        <v>59</v>
      </c>
      <c r="B7208" t="s">
        <v>31</v>
      </c>
      <c r="C7208" t="s">
        <v>32</v>
      </c>
      <c r="D7208" t="s">
        <v>953</v>
      </c>
      <c r="E7208" t="s">
        <v>968</v>
      </c>
      <c r="F7208" t="s">
        <v>35</v>
      </c>
      <c r="G7208" t="s">
        <v>35</v>
      </c>
      <c r="H7208" t="s">
        <v>35</v>
      </c>
      <c r="J7208" t="s">
        <v>7049</v>
      </c>
      <c r="K7208" t="s">
        <v>1092</v>
      </c>
      <c r="M7208">
        <v>1.575</v>
      </c>
      <c r="N7208">
        <v>61</v>
      </c>
      <c r="O7208" t="s">
        <v>61</v>
      </c>
      <c r="Q7208" t="s">
        <v>671</v>
      </c>
      <c r="R7208" t="s">
        <v>6899</v>
      </c>
      <c r="S7208" t="s">
        <v>6900</v>
      </c>
    </row>
    <row r="7209" spans="1:19" x14ac:dyDescent="0.25">
      <c r="A7209" t="s">
        <v>30</v>
      </c>
      <c r="B7209" t="s">
        <v>31</v>
      </c>
      <c r="C7209" t="s">
        <v>32</v>
      </c>
      <c r="D7209" t="s">
        <v>953</v>
      </c>
      <c r="E7209" t="s">
        <v>968</v>
      </c>
      <c r="F7209" t="s">
        <v>35</v>
      </c>
      <c r="G7209" t="s">
        <v>35</v>
      </c>
      <c r="H7209" t="s">
        <v>35</v>
      </c>
      <c r="J7209" t="s">
        <v>7050</v>
      </c>
      <c r="K7209" t="s">
        <v>1092</v>
      </c>
      <c r="M7209">
        <v>0.09</v>
      </c>
      <c r="N7209">
        <v>1199</v>
      </c>
      <c r="O7209" t="s">
        <v>575</v>
      </c>
      <c r="Q7209" t="s">
        <v>7051</v>
      </c>
      <c r="R7209" t="s">
        <v>133</v>
      </c>
      <c r="S7209" t="s">
        <v>134</v>
      </c>
    </row>
    <row r="7210" spans="1:19" x14ac:dyDescent="0.25">
      <c r="A7210" t="s">
        <v>59</v>
      </c>
      <c r="B7210" t="s">
        <v>31</v>
      </c>
      <c r="C7210" t="s">
        <v>32</v>
      </c>
      <c r="D7210" t="s">
        <v>953</v>
      </c>
      <c r="E7210" t="s">
        <v>968</v>
      </c>
      <c r="F7210" t="s">
        <v>35</v>
      </c>
      <c r="G7210" t="s">
        <v>35</v>
      </c>
      <c r="H7210" t="s">
        <v>35</v>
      </c>
      <c r="J7210" t="s">
        <v>7050</v>
      </c>
      <c r="K7210" t="s">
        <v>1092</v>
      </c>
      <c r="M7210">
        <v>0.18</v>
      </c>
      <c r="N7210">
        <v>1384</v>
      </c>
      <c r="O7210" t="s">
        <v>575</v>
      </c>
      <c r="Q7210" t="s">
        <v>7052</v>
      </c>
      <c r="R7210" t="s">
        <v>133</v>
      </c>
      <c r="S7210" t="s">
        <v>134</v>
      </c>
    </row>
    <row r="7211" spans="1:19" x14ac:dyDescent="0.25">
      <c r="A7211" t="s">
        <v>59</v>
      </c>
      <c r="B7211" t="s">
        <v>60</v>
      </c>
      <c r="C7211" t="s">
        <v>32</v>
      </c>
      <c r="D7211" t="s">
        <v>953</v>
      </c>
      <c r="E7211" t="s">
        <v>968</v>
      </c>
      <c r="F7211" t="s">
        <v>35</v>
      </c>
      <c r="G7211" t="s">
        <v>35</v>
      </c>
      <c r="H7211" t="s">
        <v>35</v>
      </c>
      <c r="J7211" t="s">
        <v>7050</v>
      </c>
      <c r="K7211" t="s">
        <v>1092</v>
      </c>
      <c r="M7211">
        <v>0.15</v>
      </c>
      <c r="N7211">
        <v>1384</v>
      </c>
      <c r="O7211" t="s">
        <v>575</v>
      </c>
      <c r="Q7211" t="s">
        <v>7052</v>
      </c>
      <c r="R7211" t="s">
        <v>133</v>
      </c>
      <c r="S7211" t="s">
        <v>134</v>
      </c>
    </row>
    <row r="7212" spans="1:19" x14ac:dyDescent="0.25">
      <c r="A7212" t="s">
        <v>30</v>
      </c>
      <c r="B7212" t="s">
        <v>31</v>
      </c>
      <c r="C7212" t="s">
        <v>32</v>
      </c>
      <c r="D7212" t="s">
        <v>953</v>
      </c>
      <c r="E7212" t="s">
        <v>968</v>
      </c>
      <c r="F7212" t="s">
        <v>35</v>
      </c>
      <c r="G7212" t="s">
        <v>35</v>
      </c>
      <c r="H7212" t="s">
        <v>35</v>
      </c>
      <c r="J7212" t="s">
        <v>7053</v>
      </c>
      <c r="K7212" t="s">
        <v>1092</v>
      </c>
      <c r="M7212">
        <v>0.13500000000000001</v>
      </c>
      <c r="N7212">
        <v>35</v>
      </c>
      <c r="O7212" t="s">
        <v>52</v>
      </c>
      <c r="Q7212" t="s">
        <v>48</v>
      </c>
      <c r="R7212" t="s">
        <v>6899</v>
      </c>
      <c r="S7212" t="s">
        <v>6900</v>
      </c>
    </row>
    <row r="7213" spans="1:19" x14ac:dyDescent="0.25">
      <c r="A7213" t="s">
        <v>59</v>
      </c>
      <c r="B7213" t="s">
        <v>31</v>
      </c>
      <c r="C7213" t="s">
        <v>32</v>
      </c>
      <c r="D7213" t="s">
        <v>953</v>
      </c>
      <c r="E7213" t="s">
        <v>968</v>
      </c>
      <c r="F7213" t="s">
        <v>35</v>
      </c>
      <c r="G7213" t="s">
        <v>35</v>
      </c>
      <c r="H7213" t="s">
        <v>35</v>
      </c>
      <c r="J7213" t="s">
        <v>7054</v>
      </c>
      <c r="K7213" t="s">
        <v>1092</v>
      </c>
      <c r="M7213">
        <v>3.06</v>
      </c>
      <c r="N7213">
        <v>362</v>
      </c>
      <c r="O7213" t="s">
        <v>5</v>
      </c>
      <c r="Q7213" t="s">
        <v>2408</v>
      </c>
      <c r="R7213" t="s">
        <v>133</v>
      </c>
      <c r="S7213" t="s">
        <v>134</v>
      </c>
    </row>
    <row r="7214" spans="1:19" x14ac:dyDescent="0.25">
      <c r="A7214" t="s">
        <v>30</v>
      </c>
      <c r="B7214" t="s">
        <v>31</v>
      </c>
      <c r="C7214" t="s">
        <v>32</v>
      </c>
      <c r="D7214" t="s">
        <v>953</v>
      </c>
      <c r="E7214" t="s">
        <v>968</v>
      </c>
      <c r="F7214" t="s">
        <v>35</v>
      </c>
      <c r="G7214" t="s">
        <v>35</v>
      </c>
      <c r="H7214" t="s">
        <v>35</v>
      </c>
      <c r="J7214" t="s">
        <v>7054</v>
      </c>
      <c r="K7214" t="s">
        <v>1092</v>
      </c>
      <c r="M7214">
        <v>5.13</v>
      </c>
      <c r="N7214">
        <v>212</v>
      </c>
      <c r="O7214" t="s">
        <v>5</v>
      </c>
      <c r="Q7214" t="s">
        <v>1711</v>
      </c>
      <c r="R7214" t="s">
        <v>133</v>
      </c>
      <c r="S7214" t="s">
        <v>134</v>
      </c>
    </row>
    <row r="7215" spans="1:19" x14ac:dyDescent="0.25">
      <c r="A7215" t="s">
        <v>44</v>
      </c>
      <c r="B7215" t="s">
        <v>3</v>
      </c>
      <c r="C7215" t="s">
        <v>32</v>
      </c>
      <c r="D7215" t="s">
        <v>953</v>
      </c>
      <c r="E7215" t="s">
        <v>968</v>
      </c>
      <c r="F7215" t="s">
        <v>35</v>
      </c>
      <c r="G7215" t="s">
        <v>35</v>
      </c>
      <c r="H7215" t="s">
        <v>35</v>
      </c>
      <c r="J7215" t="s">
        <v>7054</v>
      </c>
      <c r="K7215" t="s">
        <v>1092</v>
      </c>
      <c r="M7215">
        <v>1.35</v>
      </c>
      <c r="N7215">
        <v>65</v>
      </c>
      <c r="O7215" t="s">
        <v>61</v>
      </c>
      <c r="Q7215" t="s">
        <v>128</v>
      </c>
      <c r="R7215" t="s">
        <v>133</v>
      </c>
      <c r="S7215" t="s">
        <v>134</v>
      </c>
    </row>
    <row r="7216" spans="1:19" x14ac:dyDescent="0.25">
      <c r="A7216" t="s">
        <v>30</v>
      </c>
      <c r="B7216" t="s">
        <v>31</v>
      </c>
      <c r="C7216" t="s">
        <v>32</v>
      </c>
      <c r="D7216" t="s">
        <v>953</v>
      </c>
      <c r="E7216" t="s">
        <v>968</v>
      </c>
      <c r="F7216" t="s">
        <v>35</v>
      </c>
      <c r="G7216" t="s">
        <v>35</v>
      </c>
      <c r="H7216" t="s">
        <v>35</v>
      </c>
      <c r="J7216" t="s">
        <v>7054</v>
      </c>
      <c r="K7216" t="s">
        <v>1092</v>
      </c>
      <c r="M7216">
        <v>4.9950000000000001</v>
      </c>
      <c r="N7216">
        <v>23</v>
      </c>
      <c r="O7216" t="s">
        <v>46</v>
      </c>
      <c r="Q7216" t="s">
        <v>1819</v>
      </c>
      <c r="R7216" t="s">
        <v>6899</v>
      </c>
      <c r="S7216" t="s">
        <v>6900</v>
      </c>
    </row>
    <row r="7217" spans="1:19" x14ac:dyDescent="0.25">
      <c r="A7217" t="s">
        <v>59</v>
      </c>
      <c r="B7217" t="s">
        <v>60</v>
      </c>
      <c r="C7217" t="s">
        <v>32</v>
      </c>
      <c r="D7217" t="s">
        <v>953</v>
      </c>
      <c r="E7217" t="s">
        <v>968</v>
      </c>
      <c r="F7217" t="s">
        <v>35</v>
      </c>
      <c r="G7217" t="s">
        <v>35</v>
      </c>
      <c r="H7217" t="s">
        <v>35</v>
      </c>
      <c r="J7217" t="s">
        <v>7054</v>
      </c>
      <c r="K7217" t="s">
        <v>1092</v>
      </c>
      <c r="M7217">
        <v>3.65</v>
      </c>
      <c r="N7217">
        <v>59</v>
      </c>
      <c r="O7217" t="s">
        <v>52</v>
      </c>
      <c r="Q7217" t="s">
        <v>84</v>
      </c>
      <c r="R7217" t="s">
        <v>133</v>
      </c>
      <c r="S7217" t="s">
        <v>134</v>
      </c>
    </row>
    <row r="7218" spans="1:19" x14ac:dyDescent="0.25">
      <c r="A7218" t="s">
        <v>59</v>
      </c>
      <c r="B7218" t="s">
        <v>31</v>
      </c>
      <c r="C7218" t="s">
        <v>32</v>
      </c>
      <c r="D7218" t="s">
        <v>953</v>
      </c>
      <c r="E7218" t="s">
        <v>968</v>
      </c>
      <c r="F7218" t="s">
        <v>35</v>
      </c>
      <c r="G7218" t="s">
        <v>35</v>
      </c>
      <c r="H7218" t="s">
        <v>35</v>
      </c>
      <c r="J7218" t="s">
        <v>7054</v>
      </c>
      <c r="K7218" t="s">
        <v>1092</v>
      </c>
      <c r="M7218">
        <v>9.99</v>
      </c>
      <c r="N7218">
        <v>59</v>
      </c>
      <c r="O7218" t="s">
        <v>52</v>
      </c>
      <c r="Q7218" t="s">
        <v>84</v>
      </c>
      <c r="R7218" t="s">
        <v>133</v>
      </c>
      <c r="S7218" t="s">
        <v>134</v>
      </c>
    </row>
    <row r="7219" spans="1:19" x14ac:dyDescent="0.25">
      <c r="A7219" t="s">
        <v>59</v>
      </c>
      <c r="B7219" t="s">
        <v>60</v>
      </c>
      <c r="C7219" t="s">
        <v>32</v>
      </c>
      <c r="D7219" t="s">
        <v>953</v>
      </c>
      <c r="E7219" t="s">
        <v>968</v>
      </c>
      <c r="F7219" t="s">
        <v>35</v>
      </c>
      <c r="G7219" t="s">
        <v>35</v>
      </c>
      <c r="H7219" t="s">
        <v>35</v>
      </c>
      <c r="J7219" t="s">
        <v>7054</v>
      </c>
      <c r="K7219" t="s">
        <v>1092</v>
      </c>
      <c r="M7219">
        <v>5</v>
      </c>
      <c r="N7219">
        <v>42</v>
      </c>
      <c r="O7219" t="s">
        <v>52</v>
      </c>
      <c r="Q7219" t="s">
        <v>991</v>
      </c>
      <c r="R7219" t="s">
        <v>133</v>
      </c>
      <c r="S7219" t="s">
        <v>134</v>
      </c>
    </row>
    <row r="7220" spans="1:19" x14ac:dyDescent="0.25">
      <c r="A7220" t="s">
        <v>59</v>
      </c>
      <c r="B7220" t="s">
        <v>31</v>
      </c>
      <c r="C7220" t="s">
        <v>32</v>
      </c>
      <c r="D7220" t="s">
        <v>953</v>
      </c>
      <c r="E7220" t="s">
        <v>968</v>
      </c>
      <c r="F7220" t="s">
        <v>35</v>
      </c>
      <c r="G7220" t="s">
        <v>35</v>
      </c>
      <c r="H7220" t="s">
        <v>35</v>
      </c>
      <c r="J7220" t="s">
        <v>7056</v>
      </c>
      <c r="K7220" t="s">
        <v>1092</v>
      </c>
      <c r="M7220">
        <v>2.4300000000000002</v>
      </c>
      <c r="N7220">
        <v>1305</v>
      </c>
      <c r="O7220" t="s">
        <v>575</v>
      </c>
      <c r="Q7220" t="s">
        <v>4748</v>
      </c>
      <c r="R7220" t="s">
        <v>133</v>
      </c>
      <c r="S7220" t="s">
        <v>134</v>
      </c>
    </row>
    <row r="7221" spans="1:19" x14ac:dyDescent="0.25">
      <c r="A7221" t="s">
        <v>59</v>
      </c>
      <c r="B7221" t="s">
        <v>60</v>
      </c>
      <c r="C7221" t="s">
        <v>32</v>
      </c>
      <c r="D7221" t="s">
        <v>953</v>
      </c>
      <c r="E7221" t="s">
        <v>968</v>
      </c>
      <c r="F7221" t="s">
        <v>35</v>
      </c>
      <c r="G7221" t="s">
        <v>35</v>
      </c>
      <c r="H7221" t="s">
        <v>35</v>
      </c>
      <c r="J7221" t="s">
        <v>7056</v>
      </c>
      <c r="K7221" t="s">
        <v>1092</v>
      </c>
      <c r="M7221">
        <v>7.25</v>
      </c>
      <c r="N7221">
        <v>1305</v>
      </c>
      <c r="O7221" t="s">
        <v>575</v>
      </c>
      <c r="Q7221" t="s">
        <v>4748</v>
      </c>
      <c r="R7221" t="s">
        <v>133</v>
      </c>
      <c r="S7221" t="s">
        <v>134</v>
      </c>
    </row>
    <row r="7222" spans="1:19" x14ac:dyDescent="0.25">
      <c r="A7222" t="s">
        <v>59</v>
      </c>
      <c r="B7222" t="s">
        <v>60</v>
      </c>
      <c r="C7222" t="s">
        <v>32</v>
      </c>
      <c r="D7222" t="s">
        <v>953</v>
      </c>
      <c r="E7222" t="s">
        <v>968</v>
      </c>
      <c r="F7222" t="s">
        <v>35</v>
      </c>
      <c r="G7222" t="s">
        <v>35</v>
      </c>
      <c r="H7222" t="s">
        <v>35</v>
      </c>
      <c r="J7222" t="s">
        <v>628</v>
      </c>
      <c r="K7222" t="s">
        <v>1092</v>
      </c>
      <c r="M7222">
        <v>4.75</v>
      </c>
      <c r="N7222">
        <v>78</v>
      </c>
      <c r="O7222" t="s">
        <v>61</v>
      </c>
      <c r="Q7222" t="s">
        <v>4851</v>
      </c>
      <c r="R7222" t="s">
        <v>6939</v>
      </c>
      <c r="S7222" t="s">
        <v>969</v>
      </c>
    </row>
    <row r="7223" spans="1:19" x14ac:dyDescent="0.25">
      <c r="A7223" t="s">
        <v>59</v>
      </c>
      <c r="B7223" t="s">
        <v>60</v>
      </c>
      <c r="C7223" t="s">
        <v>32</v>
      </c>
      <c r="D7223" t="s">
        <v>953</v>
      </c>
      <c r="E7223" t="s">
        <v>968</v>
      </c>
      <c r="F7223" t="s">
        <v>35</v>
      </c>
      <c r="G7223" t="s">
        <v>35</v>
      </c>
      <c r="H7223" t="s">
        <v>35</v>
      </c>
      <c r="J7223" t="s">
        <v>628</v>
      </c>
      <c r="K7223" t="s">
        <v>1092</v>
      </c>
      <c r="M7223">
        <v>6</v>
      </c>
      <c r="N7223">
        <v>27</v>
      </c>
      <c r="O7223" t="s">
        <v>46</v>
      </c>
      <c r="Q7223" t="s">
        <v>1011</v>
      </c>
      <c r="R7223" t="s">
        <v>6939</v>
      </c>
      <c r="S7223" t="s">
        <v>969</v>
      </c>
    </row>
    <row r="7224" spans="1:19" x14ac:dyDescent="0.25">
      <c r="A7224" t="s">
        <v>44</v>
      </c>
      <c r="B7224" t="s">
        <v>3</v>
      </c>
      <c r="C7224" t="s">
        <v>32</v>
      </c>
      <c r="D7224" t="s">
        <v>953</v>
      </c>
      <c r="E7224" t="s">
        <v>968</v>
      </c>
      <c r="F7224" t="s">
        <v>35</v>
      </c>
      <c r="G7224" t="s">
        <v>35</v>
      </c>
      <c r="H7224" t="s">
        <v>35</v>
      </c>
      <c r="J7224" t="s">
        <v>628</v>
      </c>
      <c r="K7224" t="s">
        <v>1092</v>
      </c>
      <c r="M7224">
        <v>5</v>
      </c>
      <c r="N7224">
        <v>24</v>
      </c>
      <c r="O7224" t="s">
        <v>46</v>
      </c>
      <c r="Q7224" t="s">
        <v>255</v>
      </c>
      <c r="R7224" t="s">
        <v>7057</v>
      </c>
      <c r="S7224" t="s">
        <v>1008</v>
      </c>
    </row>
    <row r="7225" spans="1:19" x14ac:dyDescent="0.25">
      <c r="A7225" t="s">
        <v>30</v>
      </c>
      <c r="B7225" t="s">
        <v>31</v>
      </c>
      <c r="C7225" t="s">
        <v>32</v>
      </c>
      <c r="D7225" t="s">
        <v>953</v>
      </c>
      <c r="E7225" t="s">
        <v>968</v>
      </c>
      <c r="F7225" t="s">
        <v>35</v>
      </c>
      <c r="G7225" t="s">
        <v>35</v>
      </c>
      <c r="H7225" t="s">
        <v>35</v>
      </c>
      <c r="J7225" t="s">
        <v>628</v>
      </c>
      <c r="K7225" t="s">
        <v>1092</v>
      </c>
      <c r="M7225">
        <v>4.0949999999999998</v>
      </c>
      <c r="N7225">
        <v>35</v>
      </c>
      <c r="O7225" t="s">
        <v>52</v>
      </c>
      <c r="Q7225" t="s">
        <v>48</v>
      </c>
      <c r="R7225" t="s">
        <v>6899</v>
      </c>
      <c r="S7225" t="s">
        <v>6900</v>
      </c>
    </row>
    <row r="7226" spans="1:19" x14ac:dyDescent="0.25">
      <c r="A7226" t="s">
        <v>59</v>
      </c>
      <c r="B7226" t="s">
        <v>60</v>
      </c>
      <c r="C7226" t="s">
        <v>32</v>
      </c>
      <c r="D7226" t="s">
        <v>953</v>
      </c>
      <c r="E7226" t="s">
        <v>968</v>
      </c>
      <c r="F7226" t="s">
        <v>35</v>
      </c>
      <c r="G7226" t="s">
        <v>35</v>
      </c>
      <c r="H7226" t="s">
        <v>35</v>
      </c>
      <c r="J7226" t="s">
        <v>7058</v>
      </c>
      <c r="K7226" t="s">
        <v>1092</v>
      </c>
      <c r="M7226">
        <v>5</v>
      </c>
      <c r="N7226">
        <v>51</v>
      </c>
      <c r="O7226" t="s">
        <v>52</v>
      </c>
      <c r="Q7226" t="s">
        <v>54</v>
      </c>
      <c r="R7226" t="s">
        <v>6705</v>
      </c>
      <c r="S7226" t="s">
        <v>981</v>
      </c>
    </row>
    <row r="7227" spans="1:19" x14ac:dyDescent="0.25">
      <c r="A7227" t="s">
        <v>59</v>
      </c>
      <c r="B7227" t="s">
        <v>31</v>
      </c>
      <c r="C7227" t="s">
        <v>32</v>
      </c>
      <c r="D7227" t="s">
        <v>953</v>
      </c>
      <c r="E7227" t="s">
        <v>968</v>
      </c>
      <c r="F7227" t="s">
        <v>35</v>
      </c>
      <c r="G7227" t="s">
        <v>35</v>
      </c>
      <c r="H7227" t="s">
        <v>35</v>
      </c>
      <c r="J7227" t="s">
        <v>7058</v>
      </c>
      <c r="K7227" t="s">
        <v>1092</v>
      </c>
      <c r="M7227">
        <v>0.94499999999999995</v>
      </c>
      <c r="N7227">
        <v>90</v>
      </c>
      <c r="O7227" t="s">
        <v>61</v>
      </c>
      <c r="Q7227" t="s">
        <v>897</v>
      </c>
      <c r="R7227" t="s">
        <v>6705</v>
      </c>
      <c r="S7227" t="s">
        <v>981</v>
      </c>
    </row>
    <row r="7228" spans="1:19" x14ac:dyDescent="0.25">
      <c r="A7228" t="s">
        <v>59</v>
      </c>
      <c r="B7228" t="s">
        <v>60</v>
      </c>
      <c r="C7228" t="s">
        <v>32</v>
      </c>
      <c r="D7228" t="s">
        <v>953</v>
      </c>
      <c r="E7228" t="s">
        <v>968</v>
      </c>
      <c r="F7228" t="s">
        <v>35</v>
      </c>
      <c r="G7228" t="s">
        <v>35</v>
      </c>
      <c r="H7228" t="s">
        <v>35</v>
      </c>
      <c r="J7228" t="s">
        <v>7058</v>
      </c>
      <c r="K7228" t="s">
        <v>1092</v>
      </c>
      <c r="M7228">
        <v>0.15</v>
      </c>
      <c r="N7228">
        <v>90</v>
      </c>
      <c r="O7228" t="s">
        <v>61</v>
      </c>
      <c r="Q7228" t="s">
        <v>897</v>
      </c>
      <c r="R7228" t="s">
        <v>6705</v>
      </c>
      <c r="S7228" t="s">
        <v>981</v>
      </c>
    </row>
    <row r="7229" spans="1:19" x14ac:dyDescent="0.25">
      <c r="A7229" t="s">
        <v>59</v>
      </c>
      <c r="B7229" t="s">
        <v>31</v>
      </c>
      <c r="C7229" t="s">
        <v>32</v>
      </c>
      <c r="D7229" t="s">
        <v>953</v>
      </c>
      <c r="E7229" t="s">
        <v>968</v>
      </c>
      <c r="F7229" t="s">
        <v>35</v>
      </c>
      <c r="G7229" t="s">
        <v>35</v>
      </c>
      <c r="H7229" t="s">
        <v>35</v>
      </c>
      <c r="J7229" t="s">
        <v>7058</v>
      </c>
      <c r="K7229" t="s">
        <v>1092</v>
      </c>
      <c r="M7229">
        <v>4.9950000000000001</v>
      </c>
      <c r="N7229">
        <v>51</v>
      </c>
      <c r="O7229" t="s">
        <v>52</v>
      </c>
      <c r="Q7229" t="s">
        <v>54</v>
      </c>
      <c r="R7229" t="s">
        <v>6705</v>
      </c>
      <c r="S7229" t="s">
        <v>981</v>
      </c>
    </row>
    <row r="7230" spans="1:19" x14ac:dyDescent="0.25">
      <c r="A7230" t="s">
        <v>59</v>
      </c>
      <c r="B7230" t="s">
        <v>31</v>
      </c>
      <c r="C7230" t="s">
        <v>32</v>
      </c>
      <c r="D7230" t="s">
        <v>953</v>
      </c>
      <c r="E7230" t="s">
        <v>968</v>
      </c>
      <c r="F7230" t="s">
        <v>35</v>
      </c>
      <c r="G7230" t="s">
        <v>35</v>
      </c>
      <c r="H7230" t="s">
        <v>35</v>
      </c>
      <c r="J7230" t="s">
        <v>7059</v>
      </c>
      <c r="K7230" t="s">
        <v>1092</v>
      </c>
      <c r="M7230">
        <v>4.2750000000000004</v>
      </c>
      <c r="N7230">
        <v>59</v>
      </c>
      <c r="O7230" t="s">
        <v>52</v>
      </c>
      <c r="Q7230" t="s">
        <v>84</v>
      </c>
      <c r="R7230" t="s">
        <v>6709</v>
      </c>
      <c r="S7230" t="s">
        <v>1022</v>
      </c>
    </row>
    <row r="7231" spans="1:19" x14ac:dyDescent="0.25">
      <c r="A7231" t="s">
        <v>59</v>
      </c>
      <c r="B7231" t="s">
        <v>60</v>
      </c>
      <c r="C7231" t="s">
        <v>32</v>
      </c>
      <c r="D7231" t="s">
        <v>953</v>
      </c>
      <c r="E7231" t="s">
        <v>968</v>
      </c>
      <c r="F7231" t="s">
        <v>35</v>
      </c>
      <c r="G7231" t="s">
        <v>35</v>
      </c>
      <c r="H7231" t="s">
        <v>35</v>
      </c>
      <c r="J7231" t="s">
        <v>7059</v>
      </c>
      <c r="K7231" t="s">
        <v>1092</v>
      </c>
      <c r="M7231">
        <v>9.1999999999999993</v>
      </c>
      <c r="N7231">
        <v>59</v>
      </c>
      <c r="O7231" t="s">
        <v>52</v>
      </c>
      <c r="Q7231" t="s">
        <v>84</v>
      </c>
      <c r="R7231" t="s">
        <v>6709</v>
      </c>
      <c r="S7231" t="s">
        <v>1022</v>
      </c>
    </row>
    <row r="7232" spans="1:19" x14ac:dyDescent="0.25">
      <c r="A7232" t="s">
        <v>59</v>
      </c>
      <c r="B7232" t="s">
        <v>60</v>
      </c>
      <c r="C7232" t="s">
        <v>32</v>
      </c>
      <c r="D7232" t="s">
        <v>953</v>
      </c>
      <c r="E7232" t="s">
        <v>968</v>
      </c>
      <c r="F7232" t="s">
        <v>35</v>
      </c>
      <c r="G7232" t="s">
        <v>35</v>
      </c>
      <c r="H7232" t="s">
        <v>35</v>
      </c>
      <c r="J7232" t="s">
        <v>7060</v>
      </c>
      <c r="K7232" t="s">
        <v>1092</v>
      </c>
      <c r="M7232">
        <v>0.75</v>
      </c>
      <c r="N7232">
        <v>167</v>
      </c>
      <c r="O7232" t="s">
        <v>38</v>
      </c>
      <c r="Q7232" t="s">
        <v>1120</v>
      </c>
      <c r="R7232" t="s">
        <v>133</v>
      </c>
      <c r="S7232" t="s">
        <v>134</v>
      </c>
    </row>
    <row r="7233" spans="1:19" x14ac:dyDescent="0.25">
      <c r="A7233" t="s">
        <v>59</v>
      </c>
      <c r="B7233" t="s">
        <v>31</v>
      </c>
      <c r="C7233" t="s">
        <v>32</v>
      </c>
      <c r="D7233" t="s">
        <v>953</v>
      </c>
      <c r="E7233" t="s">
        <v>968</v>
      </c>
      <c r="F7233" t="s">
        <v>35</v>
      </c>
      <c r="G7233" t="s">
        <v>35</v>
      </c>
      <c r="H7233" t="s">
        <v>35</v>
      </c>
      <c r="J7233" t="s">
        <v>7061</v>
      </c>
      <c r="K7233" t="s">
        <v>1092</v>
      </c>
      <c r="M7233">
        <v>2.88</v>
      </c>
      <c r="N7233">
        <v>36</v>
      </c>
      <c r="O7233" t="s">
        <v>52</v>
      </c>
      <c r="Q7233" t="s">
        <v>2005</v>
      </c>
      <c r="R7233" t="s">
        <v>6939</v>
      </c>
      <c r="S7233" t="s">
        <v>969</v>
      </c>
    </row>
    <row r="7234" spans="1:19" x14ac:dyDescent="0.25">
      <c r="A7234" t="s">
        <v>30</v>
      </c>
      <c r="B7234" t="s">
        <v>31</v>
      </c>
      <c r="C7234" t="s">
        <v>32</v>
      </c>
      <c r="D7234" t="s">
        <v>953</v>
      </c>
      <c r="E7234" t="s">
        <v>968</v>
      </c>
      <c r="F7234" t="s">
        <v>35</v>
      </c>
      <c r="G7234" t="s">
        <v>35</v>
      </c>
      <c r="H7234" t="s">
        <v>35</v>
      </c>
      <c r="J7234" t="s">
        <v>7061</v>
      </c>
      <c r="K7234" t="s">
        <v>1092</v>
      </c>
      <c r="M7234">
        <v>4.0949999999999998</v>
      </c>
      <c r="N7234">
        <v>9</v>
      </c>
      <c r="O7234" t="s">
        <v>46</v>
      </c>
      <c r="Q7234" t="s">
        <v>2009</v>
      </c>
      <c r="R7234" t="s">
        <v>6939</v>
      </c>
      <c r="S7234" t="s">
        <v>969</v>
      </c>
    </row>
    <row r="7235" spans="1:19" x14ac:dyDescent="0.25">
      <c r="A7235" t="s">
        <v>59</v>
      </c>
      <c r="B7235" t="s">
        <v>60</v>
      </c>
      <c r="C7235" t="s">
        <v>32</v>
      </c>
      <c r="D7235" t="s">
        <v>953</v>
      </c>
      <c r="E7235" t="s">
        <v>968</v>
      </c>
      <c r="F7235" t="s">
        <v>35</v>
      </c>
      <c r="G7235" t="s">
        <v>35</v>
      </c>
      <c r="H7235" t="s">
        <v>35</v>
      </c>
      <c r="J7235" t="s">
        <v>7062</v>
      </c>
      <c r="K7235" t="s">
        <v>1092</v>
      </c>
      <c r="M7235">
        <v>5</v>
      </c>
      <c r="N7235">
        <v>27</v>
      </c>
      <c r="O7235" t="s">
        <v>46</v>
      </c>
      <c r="Q7235" t="s">
        <v>1011</v>
      </c>
      <c r="R7235" t="s">
        <v>6939</v>
      </c>
      <c r="S7235" t="s">
        <v>969</v>
      </c>
    </row>
    <row r="7236" spans="1:19" x14ac:dyDescent="0.25">
      <c r="A7236" t="s">
        <v>59</v>
      </c>
      <c r="B7236" t="s">
        <v>60</v>
      </c>
      <c r="C7236" t="s">
        <v>32</v>
      </c>
      <c r="D7236" t="s">
        <v>953</v>
      </c>
      <c r="E7236" t="s">
        <v>968</v>
      </c>
      <c r="F7236" t="s">
        <v>35</v>
      </c>
      <c r="G7236" t="s">
        <v>35</v>
      </c>
      <c r="H7236" t="s">
        <v>35</v>
      </c>
      <c r="J7236" t="s">
        <v>7062</v>
      </c>
      <c r="K7236" t="s">
        <v>1092</v>
      </c>
      <c r="M7236">
        <v>2.6</v>
      </c>
      <c r="N7236">
        <v>155</v>
      </c>
      <c r="O7236" t="s">
        <v>38</v>
      </c>
      <c r="Q7236" t="s">
        <v>3942</v>
      </c>
      <c r="R7236" t="s">
        <v>6939</v>
      </c>
      <c r="S7236" t="s">
        <v>969</v>
      </c>
    </row>
    <row r="7237" spans="1:19" x14ac:dyDescent="0.25">
      <c r="A7237" t="s">
        <v>59</v>
      </c>
      <c r="B7237" t="s">
        <v>31</v>
      </c>
      <c r="C7237" t="s">
        <v>32</v>
      </c>
      <c r="D7237" t="s">
        <v>953</v>
      </c>
      <c r="E7237" t="s">
        <v>968</v>
      </c>
      <c r="F7237" t="s">
        <v>35</v>
      </c>
      <c r="G7237" t="s">
        <v>35</v>
      </c>
      <c r="H7237" t="s">
        <v>35</v>
      </c>
      <c r="J7237" t="s">
        <v>7062</v>
      </c>
      <c r="K7237" t="s">
        <v>1092</v>
      </c>
      <c r="M7237">
        <v>4.9950000000000001</v>
      </c>
      <c r="N7237">
        <v>178</v>
      </c>
      <c r="O7237" t="s">
        <v>38</v>
      </c>
      <c r="Q7237" t="s">
        <v>2827</v>
      </c>
      <c r="R7237" t="s">
        <v>6939</v>
      </c>
      <c r="S7237" t="s">
        <v>969</v>
      </c>
    </row>
    <row r="7238" spans="1:19" x14ac:dyDescent="0.25">
      <c r="A7238" t="s">
        <v>59</v>
      </c>
      <c r="B7238" t="s">
        <v>60</v>
      </c>
      <c r="C7238" t="s">
        <v>32</v>
      </c>
      <c r="D7238" t="s">
        <v>953</v>
      </c>
      <c r="E7238" t="s">
        <v>980</v>
      </c>
      <c r="F7238" t="s">
        <v>35</v>
      </c>
      <c r="G7238" t="s">
        <v>35</v>
      </c>
      <c r="H7238" t="s">
        <v>35</v>
      </c>
      <c r="J7238" t="s">
        <v>7063</v>
      </c>
      <c r="K7238" t="s">
        <v>1092</v>
      </c>
      <c r="M7238">
        <v>3.15</v>
      </c>
      <c r="N7238">
        <v>97</v>
      </c>
      <c r="O7238" t="s">
        <v>106</v>
      </c>
      <c r="Q7238" t="s">
        <v>557</v>
      </c>
      <c r="R7238" t="s">
        <v>7064</v>
      </c>
      <c r="S7238" t="s">
        <v>7065</v>
      </c>
    </row>
    <row r="7239" spans="1:19" x14ac:dyDescent="0.25">
      <c r="A7239" t="s">
        <v>30</v>
      </c>
      <c r="B7239" t="s">
        <v>31</v>
      </c>
      <c r="C7239" t="s">
        <v>32</v>
      </c>
      <c r="D7239" t="s">
        <v>953</v>
      </c>
      <c r="E7239" t="s">
        <v>980</v>
      </c>
      <c r="F7239" t="s">
        <v>35</v>
      </c>
      <c r="G7239" t="s">
        <v>35</v>
      </c>
      <c r="H7239" t="s">
        <v>35</v>
      </c>
      <c r="J7239" t="s">
        <v>7063</v>
      </c>
      <c r="K7239" t="s">
        <v>1092</v>
      </c>
      <c r="M7239">
        <v>5.49</v>
      </c>
      <c r="N7239">
        <v>42</v>
      </c>
      <c r="O7239" t="s">
        <v>52</v>
      </c>
      <c r="Q7239" t="s">
        <v>991</v>
      </c>
      <c r="R7239" t="s">
        <v>6709</v>
      </c>
      <c r="S7239" t="s">
        <v>1022</v>
      </c>
    </row>
    <row r="7240" spans="1:19" x14ac:dyDescent="0.25">
      <c r="A7240" t="s">
        <v>59</v>
      </c>
      <c r="B7240" t="s">
        <v>60</v>
      </c>
      <c r="C7240" t="s">
        <v>32</v>
      </c>
      <c r="D7240" t="s">
        <v>953</v>
      </c>
      <c r="E7240" t="s">
        <v>980</v>
      </c>
      <c r="F7240" t="s">
        <v>35</v>
      </c>
      <c r="G7240" t="s">
        <v>35</v>
      </c>
      <c r="H7240" t="s">
        <v>35</v>
      </c>
      <c r="J7240" t="s">
        <v>7063</v>
      </c>
      <c r="K7240" t="s">
        <v>1092</v>
      </c>
      <c r="M7240">
        <v>5</v>
      </c>
      <c r="N7240">
        <v>62</v>
      </c>
      <c r="O7240" t="s">
        <v>61</v>
      </c>
      <c r="Q7240" t="s">
        <v>90</v>
      </c>
      <c r="R7240" t="s">
        <v>6705</v>
      </c>
      <c r="S7240" t="s">
        <v>981</v>
      </c>
    </row>
    <row r="7241" spans="1:19" x14ac:dyDescent="0.25">
      <c r="A7241" t="s">
        <v>59</v>
      </c>
      <c r="B7241" t="s">
        <v>60</v>
      </c>
      <c r="C7241" t="s">
        <v>32</v>
      </c>
      <c r="D7241" t="s">
        <v>953</v>
      </c>
      <c r="E7241" t="s">
        <v>980</v>
      </c>
      <c r="F7241" t="s">
        <v>35</v>
      </c>
      <c r="G7241" t="s">
        <v>35</v>
      </c>
      <c r="H7241" t="s">
        <v>35</v>
      </c>
      <c r="J7241" t="s">
        <v>7067</v>
      </c>
      <c r="K7241" t="s">
        <v>1092</v>
      </c>
      <c r="M7241">
        <v>0.6</v>
      </c>
      <c r="N7241">
        <v>73</v>
      </c>
      <c r="O7241" t="s">
        <v>61</v>
      </c>
      <c r="Q7241" t="s">
        <v>552</v>
      </c>
      <c r="R7241" t="s">
        <v>6705</v>
      </c>
      <c r="S7241" t="s">
        <v>981</v>
      </c>
    </row>
    <row r="7242" spans="1:19" x14ac:dyDescent="0.25">
      <c r="A7242" t="s">
        <v>30</v>
      </c>
      <c r="B7242" t="s">
        <v>31</v>
      </c>
      <c r="C7242" t="s">
        <v>32</v>
      </c>
      <c r="D7242" t="s">
        <v>953</v>
      </c>
      <c r="E7242" t="s">
        <v>980</v>
      </c>
      <c r="F7242" t="s">
        <v>35</v>
      </c>
      <c r="G7242" t="s">
        <v>35</v>
      </c>
      <c r="H7242" t="s">
        <v>35</v>
      </c>
      <c r="J7242" t="s">
        <v>7067</v>
      </c>
      <c r="K7242" t="s">
        <v>1092</v>
      </c>
      <c r="M7242">
        <v>4.59</v>
      </c>
      <c r="N7242">
        <v>48</v>
      </c>
      <c r="O7242" t="s">
        <v>52</v>
      </c>
      <c r="Q7242" t="s">
        <v>496</v>
      </c>
      <c r="R7242" t="s">
        <v>6705</v>
      </c>
      <c r="S7242" t="s">
        <v>981</v>
      </c>
    </row>
    <row r="7243" spans="1:19" x14ac:dyDescent="0.25">
      <c r="A7243" t="s">
        <v>44</v>
      </c>
      <c r="B7243" t="s">
        <v>51</v>
      </c>
      <c r="C7243" t="s">
        <v>32</v>
      </c>
      <c r="D7243" t="s">
        <v>953</v>
      </c>
      <c r="E7243" t="s">
        <v>980</v>
      </c>
      <c r="F7243" t="s">
        <v>35</v>
      </c>
      <c r="G7243" t="s">
        <v>35</v>
      </c>
      <c r="H7243" t="s">
        <v>35</v>
      </c>
      <c r="J7243" t="s">
        <v>7067</v>
      </c>
      <c r="K7243" t="s">
        <v>1092</v>
      </c>
      <c r="M7243">
        <v>4.7</v>
      </c>
      <c r="N7243">
        <v>59</v>
      </c>
      <c r="O7243" t="s">
        <v>52</v>
      </c>
      <c r="Q7243" t="s">
        <v>84</v>
      </c>
      <c r="R7243" t="s">
        <v>6705</v>
      </c>
      <c r="S7243" t="s">
        <v>981</v>
      </c>
    </row>
    <row r="7244" spans="1:19" x14ac:dyDescent="0.25">
      <c r="A7244" t="s">
        <v>44</v>
      </c>
      <c r="B7244" t="s">
        <v>3</v>
      </c>
      <c r="C7244" t="s">
        <v>32</v>
      </c>
      <c r="D7244" t="s">
        <v>953</v>
      </c>
      <c r="E7244" t="s">
        <v>980</v>
      </c>
      <c r="F7244" t="s">
        <v>35</v>
      </c>
      <c r="G7244" t="s">
        <v>35</v>
      </c>
      <c r="H7244" t="s">
        <v>35</v>
      </c>
      <c r="J7244" t="s">
        <v>7067</v>
      </c>
      <c r="K7244" t="s">
        <v>1092</v>
      </c>
      <c r="M7244">
        <v>1.5</v>
      </c>
      <c r="N7244">
        <v>60</v>
      </c>
      <c r="O7244" t="s">
        <v>52</v>
      </c>
      <c r="Q7244" t="s">
        <v>1734</v>
      </c>
      <c r="R7244" t="s">
        <v>6705</v>
      </c>
      <c r="S7244" t="s">
        <v>981</v>
      </c>
    </row>
    <row r="7245" spans="1:19" x14ac:dyDescent="0.25">
      <c r="A7245" t="s">
        <v>59</v>
      </c>
      <c r="B7245" t="s">
        <v>60</v>
      </c>
      <c r="C7245" t="s">
        <v>32</v>
      </c>
      <c r="D7245" t="s">
        <v>953</v>
      </c>
      <c r="E7245" t="s">
        <v>980</v>
      </c>
      <c r="F7245" t="s">
        <v>35</v>
      </c>
      <c r="G7245" t="s">
        <v>35</v>
      </c>
      <c r="H7245" t="s">
        <v>35</v>
      </c>
      <c r="J7245" t="s">
        <v>1288</v>
      </c>
      <c r="K7245" t="s">
        <v>1092</v>
      </c>
      <c r="M7245">
        <v>0.4</v>
      </c>
      <c r="N7245">
        <v>75</v>
      </c>
      <c r="O7245" t="s">
        <v>61</v>
      </c>
      <c r="Q7245" t="s">
        <v>805</v>
      </c>
      <c r="R7245" t="s">
        <v>6721</v>
      </c>
      <c r="S7245" t="s">
        <v>1078</v>
      </c>
    </row>
    <row r="7246" spans="1:19" x14ac:dyDescent="0.25">
      <c r="A7246" t="s">
        <v>59</v>
      </c>
      <c r="B7246" t="s">
        <v>60</v>
      </c>
      <c r="C7246" t="s">
        <v>32</v>
      </c>
      <c r="D7246" t="s">
        <v>953</v>
      </c>
      <c r="E7246" t="s">
        <v>980</v>
      </c>
      <c r="F7246" t="s">
        <v>35</v>
      </c>
      <c r="G7246" t="s">
        <v>35</v>
      </c>
      <c r="H7246" t="s">
        <v>35</v>
      </c>
      <c r="J7246" t="s">
        <v>7068</v>
      </c>
      <c r="K7246" t="s">
        <v>1092</v>
      </c>
      <c r="M7246">
        <v>2.5449999999999999</v>
      </c>
      <c r="N7246">
        <v>1610</v>
      </c>
      <c r="O7246" t="s">
        <v>575</v>
      </c>
      <c r="Q7246" t="s">
        <v>7069</v>
      </c>
      <c r="R7246" t="s">
        <v>133</v>
      </c>
      <c r="S7246" t="s">
        <v>134</v>
      </c>
    </row>
    <row r="7247" spans="1:19" x14ac:dyDescent="0.25">
      <c r="A7247" t="s">
        <v>30</v>
      </c>
      <c r="B7247" t="s">
        <v>31</v>
      </c>
      <c r="C7247" t="s">
        <v>32</v>
      </c>
      <c r="D7247" t="s">
        <v>953</v>
      </c>
      <c r="E7247" t="s">
        <v>980</v>
      </c>
      <c r="F7247" t="s">
        <v>35</v>
      </c>
      <c r="G7247" t="s">
        <v>35</v>
      </c>
      <c r="H7247" t="s">
        <v>35</v>
      </c>
      <c r="J7247" t="s">
        <v>7070</v>
      </c>
      <c r="K7247" t="s">
        <v>1092</v>
      </c>
      <c r="M7247">
        <v>9.7200000000000006</v>
      </c>
      <c r="N7247">
        <v>21</v>
      </c>
      <c r="O7247" t="s">
        <v>46</v>
      </c>
      <c r="Q7247" t="s">
        <v>1874</v>
      </c>
      <c r="R7247" t="s">
        <v>6709</v>
      </c>
      <c r="S7247" t="s">
        <v>1022</v>
      </c>
    </row>
    <row r="7248" spans="1:19" x14ac:dyDescent="0.25">
      <c r="A7248" t="s">
        <v>59</v>
      </c>
      <c r="B7248" t="s">
        <v>60</v>
      </c>
      <c r="C7248" t="s">
        <v>32</v>
      </c>
      <c r="D7248" t="s">
        <v>953</v>
      </c>
      <c r="E7248" t="s">
        <v>980</v>
      </c>
      <c r="F7248" t="s">
        <v>35</v>
      </c>
      <c r="G7248" t="s">
        <v>35</v>
      </c>
      <c r="H7248" t="s">
        <v>35</v>
      </c>
      <c r="J7248" t="s">
        <v>7070</v>
      </c>
      <c r="K7248" t="s">
        <v>1092</v>
      </c>
      <c r="M7248">
        <v>9.65</v>
      </c>
      <c r="N7248">
        <v>59</v>
      </c>
      <c r="O7248" t="s">
        <v>52</v>
      </c>
      <c r="Q7248" t="s">
        <v>84</v>
      </c>
      <c r="R7248" t="s">
        <v>6709</v>
      </c>
      <c r="S7248" t="s">
        <v>1022</v>
      </c>
    </row>
    <row r="7249" spans="1:19" x14ac:dyDescent="0.25">
      <c r="A7249" t="s">
        <v>59</v>
      </c>
      <c r="B7249" t="s">
        <v>60</v>
      </c>
      <c r="C7249" t="s">
        <v>32</v>
      </c>
      <c r="D7249" t="s">
        <v>953</v>
      </c>
      <c r="E7249" t="s">
        <v>980</v>
      </c>
      <c r="F7249" t="s">
        <v>35</v>
      </c>
      <c r="G7249" t="s">
        <v>35</v>
      </c>
      <c r="H7249" t="s">
        <v>35</v>
      </c>
      <c r="J7249" t="s">
        <v>7071</v>
      </c>
      <c r="K7249" t="s">
        <v>1092</v>
      </c>
      <c r="M7249">
        <v>0.25</v>
      </c>
      <c r="N7249">
        <v>60</v>
      </c>
      <c r="O7249" t="s">
        <v>52</v>
      </c>
      <c r="Q7249" t="s">
        <v>1734</v>
      </c>
      <c r="R7249" t="s">
        <v>6707</v>
      </c>
      <c r="S7249" t="s">
        <v>955</v>
      </c>
    </row>
    <row r="7250" spans="1:19" x14ac:dyDescent="0.25">
      <c r="A7250" t="s">
        <v>30</v>
      </c>
      <c r="B7250" t="s">
        <v>31</v>
      </c>
      <c r="C7250" t="s">
        <v>32</v>
      </c>
      <c r="D7250" t="s">
        <v>953</v>
      </c>
      <c r="E7250" t="s">
        <v>980</v>
      </c>
      <c r="F7250" t="s">
        <v>35</v>
      </c>
      <c r="G7250" t="s">
        <v>35</v>
      </c>
      <c r="H7250" t="s">
        <v>35</v>
      </c>
      <c r="J7250" t="s">
        <v>7072</v>
      </c>
      <c r="K7250" t="s">
        <v>1092</v>
      </c>
      <c r="M7250">
        <v>8.73</v>
      </c>
      <c r="N7250">
        <v>21</v>
      </c>
      <c r="O7250" t="s">
        <v>46</v>
      </c>
      <c r="Q7250" t="s">
        <v>1874</v>
      </c>
      <c r="R7250" t="s">
        <v>6705</v>
      </c>
      <c r="S7250" t="s">
        <v>981</v>
      </c>
    </row>
    <row r="7251" spans="1:19" x14ac:dyDescent="0.25">
      <c r="A7251" t="s">
        <v>44</v>
      </c>
      <c r="B7251" t="s">
        <v>51</v>
      </c>
      <c r="C7251" t="s">
        <v>32</v>
      </c>
      <c r="D7251" t="s">
        <v>953</v>
      </c>
      <c r="E7251" t="s">
        <v>980</v>
      </c>
      <c r="F7251" t="s">
        <v>35</v>
      </c>
      <c r="G7251" t="s">
        <v>35</v>
      </c>
      <c r="H7251" t="s">
        <v>35</v>
      </c>
      <c r="J7251" t="s">
        <v>7072</v>
      </c>
      <c r="K7251" t="s">
        <v>1092</v>
      </c>
      <c r="M7251">
        <v>1</v>
      </c>
      <c r="N7251">
        <v>9</v>
      </c>
      <c r="O7251" t="s">
        <v>46</v>
      </c>
      <c r="Q7251" t="s">
        <v>2009</v>
      </c>
      <c r="R7251" t="s">
        <v>6865</v>
      </c>
      <c r="S7251" t="s">
        <v>984</v>
      </c>
    </row>
    <row r="7252" spans="1:19" x14ac:dyDescent="0.25">
      <c r="A7252" t="s">
        <v>59</v>
      </c>
      <c r="B7252" t="s">
        <v>60</v>
      </c>
      <c r="C7252" t="s">
        <v>32</v>
      </c>
      <c r="D7252" t="s">
        <v>953</v>
      </c>
      <c r="E7252" t="s">
        <v>980</v>
      </c>
      <c r="F7252" t="s">
        <v>35</v>
      </c>
      <c r="G7252" t="s">
        <v>35</v>
      </c>
      <c r="H7252" t="s">
        <v>35</v>
      </c>
      <c r="J7252" t="s">
        <v>7073</v>
      </c>
      <c r="K7252" t="s">
        <v>1092</v>
      </c>
      <c r="M7252">
        <v>0.25</v>
      </c>
      <c r="N7252">
        <v>181</v>
      </c>
      <c r="O7252" t="s">
        <v>5</v>
      </c>
      <c r="Q7252" t="s">
        <v>1684</v>
      </c>
      <c r="R7252" t="s">
        <v>7074</v>
      </c>
      <c r="S7252" t="s">
        <v>7075</v>
      </c>
    </row>
    <row r="7253" spans="1:19" x14ac:dyDescent="0.25">
      <c r="A7253" t="s">
        <v>44</v>
      </c>
      <c r="B7253" t="s">
        <v>51</v>
      </c>
      <c r="C7253" t="s">
        <v>32</v>
      </c>
      <c r="D7253" t="s">
        <v>953</v>
      </c>
      <c r="E7253" t="s">
        <v>980</v>
      </c>
      <c r="F7253" t="s">
        <v>35</v>
      </c>
      <c r="G7253" t="s">
        <v>35</v>
      </c>
      <c r="H7253" t="s">
        <v>35</v>
      </c>
      <c r="J7253" t="s">
        <v>7077</v>
      </c>
      <c r="K7253" t="s">
        <v>1092</v>
      </c>
      <c r="M7253">
        <v>0.3</v>
      </c>
      <c r="N7253">
        <v>34</v>
      </c>
      <c r="O7253" t="s">
        <v>52</v>
      </c>
      <c r="Q7253" t="s">
        <v>809</v>
      </c>
      <c r="R7253" t="s">
        <v>6865</v>
      </c>
      <c r="S7253" t="s">
        <v>984</v>
      </c>
    </row>
    <row r="7254" spans="1:19" x14ac:dyDescent="0.25">
      <c r="A7254" t="s">
        <v>44</v>
      </c>
      <c r="B7254" t="s">
        <v>51</v>
      </c>
      <c r="C7254" t="s">
        <v>32</v>
      </c>
      <c r="D7254" t="s">
        <v>953</v>
      </c>
      <c r="E7254" t="s">
        <v>980</v>
      </c>
      <c r="F7254" t="s">
        <v>35</v>
      </c>
      <c r="G7254" t="s">
        <v>35</v>
      </c>
      <c r="H7254" t="s">
        <v>35</v>
      </c>
      <c r="J7254" t="s">
        <v>7078</v>
      </c>
      <c r="K7254" t="s">
        <v>1092</v>
      </c>
      <c r="M7254">
        <v>0.55000000000000004</v>
      </c>
      <c r="N7254">
        <v>45</v>
      </c>
      <c r="O7254" t="s">
        <v>52</v>
      </c>
      <c r="Q7254" t="s">
        <v>716</v>
      </c>
      <c r="R7254" t="s">
        <v>6865</v>
      </c>
      <c r="S7254" t="s">
        <v>984</v>
      </c>
    </row>
    <row r="7255" spans="1:19" x14ac:dyDescent="0.25">
      <c r="A7255" t="s">
        <v>59</v>
      </c>
      <c r="B7255" t="s">
        <v>60</v>
      </c>
      <c r="C7255" t="s">
        <v>32</v>
      </c>
      <c r="D7255" t="s">
        <v>953</v>
      </c>
      <c r="E7255" t="s">
        <v>980</v>
      </c>
      <c r="F7255" t="s">
        <v>35</v>
      </c>
      <c r="G7255" t="s">
        <v>35</v>
      </c>
      <c r="H7255" t="s">
        <v>35</v>
      </c>
      <c r="J7255" t="s">
        <v>7078</v>
      </c>
      <c r="K7255" t="s">
        <v>1092</v>
      </c>
      <c r="M7255">
        <v>4.0999999999999996</v>
      </c>
      <c r="N7255">
        <v>60</v>
      </c>
      <c r="O7255" t="s">
        <v>52</v>
      </c>
      <c r="Q7255" t="s">
        <v>1734</v>
      </c>
      <c r="R7255" t="s">
        <v>133</v>
      </c>
      <c r="S7255" t="s">
        <v>134</v>
      </c>
    </row>
    <row r="7256" spans="1:19" x14ac:dyDescent="0.25">
      <c r="A7256" t="s">
        <v>59</v>
      </c>
      <c r="B7256" t="s">
        <v>31</v>
      </c>
      <c r="C7256" t="s">
        <v>32</v>
      </c>
      <c r="D7256" t="s">
        <v>953</v>
      </c>
      <c r="E7256" t="s">
        <v>980</v>
      </c>
      <c r="F7256" t="s">
        <v>35</v>
      </c>
      <c r="G7256" t="s">
        <v>35</v>
      </c>
      <c r="H7256" t="s">
        <v>35</v>
      </c>
      <c r="J7256" t="s">
        <v>7078</v>
      </c>
      <c r="K7256" t="s">
        <v>1092</v>
      </c>
      <c r="M7256">
        <v>0.45</v>
      </c>
      <c r="N7256">
        <v>60</v>
      </c>
      <c r="O7256" t="s">
        <v>52</v>
      </c>
      <c r="Q7256" t="s">
        <v>1734</v>
      </c>
      <c r="R7256" t="s">
        <v>133</v>
      </c>
      <c r="S7256" t="s">
        <v>134</v>
      </c>
    </row>
    <row r="7257" spans="1:19" x14ac:dyDescent="0.25">
      <c r="A7257" t="s">
        <v>44</v>
      </c>
      <c r="B7257" t="s">
        <v>51</v>
      </c>
      <c r="C7257" t="s">
        <v>32</v>
      </c>
      <c r="D7257" t="s">
        <v>953</v>
      </c>
      <c r="E7257" t="s">
        <v>980</v>
      </c>
      <c r="F7257" t="s">
        <v>35</v>
      </c>
      <c r="G7257" t="s">
        <v>35</v>
      </c>
      <c r="H7257" t="s">
        <v>35</v>
      </c>
      <c r="J7257" t="s">
        <v>7079</v>
      </c>
      <c r="K7257" t="s">
        <v>1092</v>
      </c>
      <c r="M7257">
        <v>0.5</v>
      </c>
      <c r="N7257">
        <v>20</v>
      </c>
      <c r="O7257" t="s">
        <v>46</v>
      </c>
      <c r="Q7257" t="s">
        <v>1004</v>
      </c>
      <c r="R7257" t="s">
        <v>6865</v>
      </c>
      <c r="S7257" t="s">
        <v>984</v>
      </c>
    </row>
    <row r="7258" spans="1:19" x14ac:dyDescent="0.25">
      <c r="A7258" t="s">
        <v>59</v>
      </c>
      <c r="B7258" t="s">
        <v>31</v>
      </c>
      <c r="C7258" t="s">
        <v>32</v>
      </c>
      <c r="D7258" t="s">
        <v>953</v>
      </c>
      <c r="E7258" t="s">
        <v>980</v>
      </c>
      <c r="F7258" t="s">
        <v>35</v>
      </c>
      <c r="G7258" t="s">
        <v>35</v>
      </c>
      <c r="H7258" t="s">
        <v>35</v>
      </c>
      <c r="J7258" t="s">
        <v>7080</v>
      </c>
      <c r="K7258" t="s">
        <v>1092</v>
      </c>
      <c r="M7258">
        <v>3.51</v>
      </c>
      <c r="N7258">
        <v>73</v>
      </c>
      <c r="O7258" t="s">
        <v>61</v>
      </c>
      <c r="Q7258" t="s">
        <v>552</v>
      </c>
      <c r="R7258" t="s">
        <v>6705</v>
      </c>
      <c r="S7258" t="s">
        <v>981</v>
      </c>
    </row>
    <row r="7259" spans="1:19" x14ac:dyDescent="0.25">
      <c r="A7259" t="s">
        <v>59</v>
      </c>
      <c r="B7259" t="s">
        <v>31</v>
      </c>
      <c r="C7259" t="s">
        <v>32</v>
      </c>
      <c r="D7259" t="s">
        <v>953</v>
      </c>
      <c r="E7259" t="s">
        <v>980</v>
      </c>
      <c r="F7259" t="s">
        <v>35</v>
      </c>
      <c r="G7259" t="s">
        <v>35</v>
      </c>
      <c r="H7259" t="s">
        <v>35</v>
      </c>
      <c r="J7259" t="s">
        <v>7080</v>
      </c>
      <c r="K7259" t="s">
        <v>1092</v>
      </c>
      <c r="M7259">
        <v>3.0150000000000001</v>
      </c>
      <c r="N7259">
        <v>62</v>
      </c>
      <c r="O7259" t="s">
        <v>61</v>
      </c>
      <c r="Q7259" t="s">
        <v>90</v>
      </c>
      <c r="R7259" t="s">
        <v>6705</v>
      </c>
      <c r="S7259" t="s">
        <v>981</v>
      </c>
    </row>
    <row r="7260" spans="1:19" x14ac:dyDescent="0.25">
      <c r="A7260" t="s">
        <v>59</v>
      </c>
      <c r="B7260" t="s">
        <v>60</v>
      </c>
      <c r="C7260" t="s">
        <v>32</v>
      </c>
      <c r="D7260" t="s">
        <v>953</v>
      </c>
      <c r="E7260" t="s">
        <v>980</v>
      </c>
      <c r="F7260" t="s">
        <v>35</v>
      </c>
      <c r="G7260" t="s">
        <v>35</v>
      </c>
      <c r="H7260" t="s">
        <v>35</v>
      </c>
      <c r="J7260" t="s">
        <v>7080</v>
      </c>
      <c r="K7260" t="s">
        <v>1092</v>
      </c>
      <c r="M7260">
        <v>2.75</v>
      </c>
      <c r="N7260">
        <v>73</v>
      </c>
      <c r="O7260" t="s">
        <v>61</v>
      </c>
      <c r="Q7260" t="s">
        <v>552</v>
      </c>
      <c r="R7260" t="s">
        <v>6705</v>
      </c>
      <c r="S7260" t="s">
        <v>981</v>
      </c>
    </row>
    <row r="7261" spans="1:19" x14ac:dyDescent="0.25">
      <c r="A7261" t="s">
        <v>59</v>
      </c>
      <c r="B7261" t="s">
        <v>60</v>
      </c>
      <c r="C7261" t="s">
        <v>32</v>
      </c>
      <c r="D7261" t="s">
        <v>953</v>
      </c>
      <c r="E7261" t="s">
        <v>980</v>
      </c>
      <c r="F7261" t="s">
        <v>35</v>
      </c>
      <c r="G7261" t="s">
        <v>35</v>
      </c>
      <c r="H7261" t="s">
        <v>35</v>
      </c>
      <c r="J7261" t="s">
        <v>7080</v>
      </c>
      <c r="K7261" t="s">
        <v>1092</v>
      </c>
      <c r="M7261">
        <v>2</v>
      </c>
      <c r="N7261">
        <v>62</v>
      </c>
      <c r="O7261" t="s">
        <v>61</v>
      </c>
      <c r="Q7261" t="s">
        <v>90</v>
      </c>
      <c r="R7261" t="s">
        <v>6705</v>
      </c>
      <c r="S7261" t="s">
        <v>981</v>
      </c>
    </row>
    <row r="7262" spans="1:19" x14ac:dyDescent="0.25">
      <c r="A7262" t="s">
        <v>59</v>
      </c>
      <c r="B7262" t="s">
        <v>31</v>
      </c>
      <c r="C7262" t="s">
        <v>32</v>
      </c>
      <c r="D7262" t="s">
        <v>953</v>
      </c>
      <c r="E7262" t="s">
        <v>980</v>
      </c>
      <c r="F7262" t="s">
        <v>35</v>
      </c>
      <c r="G7262" t="s">
        <v>35</v>
      </c>
      <c r="H7262" t="s">
        <v>35</v>
      </c>
      <c r="J7262" t="s">
        <v>7080</v>
      </c>
      <c r="K7262" t="s">
        <v>1092</v>
      </c>
      <c r="M7262">
        <v>2.4750000000000001</v>
      </c>
      <c r="N7262">
        <v>100</v>
      </c>
      <c r="O7262" t="s">
        <v>106</v>
      </c>
      <c r="Q7262" t="s">
        <v>1112</v>
      </c>
      <c r="R7262" t="s">
        <v>6705</v>
      </c>
      <c r="S7262" t="s">
        <v>981</v>
      </c>
    </row>
    <row r="7263" spans="1:19" x14ac:dyDescent="0.25">
      <c r="A7263" t="s">
        <v>44</v>
      </c>
      <c r="B7263" t="s">
        <v>51</v>
      </c>
      <c r="C7263" t="s">
        <v>32</v>
      </c>
      <c r="D7263" t="s">
        <v>953</v>
      </c>
      <c r="E7263" t="s">
        <v>980</v>
      </c>
      <c r="F7263" t="s">
        <v>35</v>
      </c>
      <c r="G7263" t="s">
        <v>35</v>
      </c>
      <c r="H7263" t="s">
        <v>35</v>
      </c>
      <c r="J7263" t="s">
        <v>7081</v>
      </c>
      <c r="K7263" t="s">
        <v>1092</v>
      </c>
      <c r="M7263">
        <v>0.75</v>
      </c>
      <c r="N7263">
        <v>23</v>
      </c>
      <c r="O7263" t="s">
        <v>46</v>
      </c>
      <c r="Q7263" t="s">
        <v>1819</v>
      </c>
      <c r="R7263" t="s">
        <v>6865</v>
      </c>
      <c r="S7263" t="s">
        <v>984</v>
      </c>
    </row>
    <row r="7264" spans="1:19" x14ac:dyDescent="0.25">
      <c r="A7264" t="s">
        <v>30</v>
      </c>
      <c r="B7264" t="s">
        <v>31</v>
      </c>
      <c r="C7264" t="s">
        <v>32</v>
      </c>
      <c r="D7264" t="s">
        <v>953</v>
      </c>
      <c r="E7264" t="s">
        <v>980</v>
      </c>
      <c r="F7264" t="s">
        <v>35</v>
      </c>
      <c r="G7264" t="s">
        <v>35</v>
      </c>
      <c r="H7264" t="s">
        <v>35</v>
      </c>
      <c r="J7264" t="s">
        <v>7081</v>
      </c>
      <c r="K7264" t="s">
        <v>1092</v>
      </c>
      <c r="M7264">
        <v>4.7699999999999996</v>
      </c>
      <c r="N7264">
        <v>47</v>
      </c>
      <c r="O7264" t="s">
        <v>52</v>
      </c>
      <c r="Q7264" t="s">
        <v>132</v>
      </c>
      <c r="R7264" t="s">
        <v>987</v>
      </c>
      <c r="S7264" t="s">
        <v>988</v>
      </c>
    </row>
    <row r="7265" spans="1:19" x14ac:dyDescent="0.25">
      <c r="A7265" t="s">
        <v>59</v>
      </c>
      <c r="B7265" t="s">
        <v>60</v>
      </c>
      <c r="C7265" t="s">
        <v>32</v>
      </c>
      <c r="D7265" t="s">
        <v>953</v>
      </c>
      <c r="E7265" t="s">
        <v>980</v>
      </c>
      <c r="F7265" t="s">
        <v>35</v>
      </c>
      <c r="G7265" t="s">
        <v>35</v>
      </c>
      <c r="H7265" t="s">
        <v>35</v>
      </c>
      <c r="J7265" t="s">
        <v>7082</v>
      </c>
      <c r="K7265" t="s">
        <v>1092</v>
      </c>
      <c r="M7265">
        <v>3.2</v>
      </c>
      <c r="N7265">
        <v>100</v>
      </c>
      <c r="O7265" t="s">
        <v>106</v>
      </c>
      <c r="Q7265" t="s">
        <v>1112</v>
      </c>
      <c r="R7265" t="s">
        <v>6705</v>
      </c>
      <c r="S7265" t="s">
        <v>981</v>
      </c>
    </row>
    <row r="7266" spans="1:19" x14ac:dyDescent="0.25">
      <c r="A7266" t="s">
        <v>30</v>
      </c>
      <c r="B7266" t="s">
        <v>31</v>
      </c>
      <c r="C7266" t="s">
        <v>32</v>
      </c>
      <c r="D7266" t="s">
        <v>953</v>
      </c>
      <c r="E7266" t="s">
        <v>980</v>
      </c>
      <c r="F7266" t="s">
        <v>35</v>
      </c>
      <c r="G7266" t="s">
        <v>35</v>
      </c>
      <c r="H7266" t="s">
        <v>35</v>
      </c>
      <c r="J7266" t="s">
        <v>7082</v>
      </c>
      <c r="K7266" t="s">
        <v>1092</v>
      </c>
      <c r="M7266">
        <v>9.99</v>
      </c>
      <c r="N7266">
        <v>25</v>
      </c>
      <c r="O7266" t="s">
        <v>46</v>
      </c>
      <c r="Q7266" t="s">
        <v>831</v>
      </c>
      <c r="R7266" t="s">
        <v>6705</v>
      </c>
      <c r="S7266" t="s">
        <v>981</v>
      </c>
    </row>
    <row r="7267" spans="1:19" x14ac:dyDescent="0.25">
      <c r="A7267" t="s">
        <v>59</v>
      </c>
      <c r="B7267" t="s">
        <v>31</v>
      </c>
      <c r="C7267" t="s">
        <v>32</v>
      </c>
      <c r="D7267" t="s">
        <v>953</v>
      </c>
      <c r="E7267" t="s">
        <v>980</v>
      </c>
      <c r="F7267" t="s">
        <v>35</v>
      </c>
      <c r="G7267" t="s">
        <v>35</v>
      </c>
      <c r="H7267" t="s">
        <v>35</v>
      </c>
      <c r="J7267" t="s">
        <v>7082</v>
      </c>
      <c r="K7267" t="s">
        <v>1092</v>
      </c>
      <c r="M7267">
        <v>5.49</v>
      </c>
      <c r="N7267">
        <v>100</v>
      </c>
      <c r="O7267" t="s">
        <v>106</v>
      </c>
      <c r="Q7267" t="s">
        <v>1112</v>
      </c>
      <c r="R7267" t="s">
        <v>6705</v>
      </c>
      <c r="S7267" t="s">
        <v>981</v>
      </c>
    </row>
    <row r="7268" spans="1:19" x14ac:dyDescent="0.25">
      <c r="A7268" t="s">
        <v>59</v>
      </c>
      <c r="B7268" t="s">
        <v>31</v>
      </c>
      <c r="C7268" t="s">
        <v>32</v>
      </c>
      <c r="D7268" t="s">
        <v>953</v>
      </c>
      <c r="E7268" t="s">
        <v>980</v>
      </c>
      <c r="F7268" t="s">
        <v>35</v>
      </c>
      <c r="G7268" t="s">
        <v>35</v>
      </c>
      <c r="H7268" t="s">
        <v>35</v>
      </c>
      <c r="J7268" t="s">
        <v>7082</v>
      </c>
      <c r="K7268" t="s">
        <v>1092</v>
      </c>
      <c r="M7268">
        <v>1.395</v>
      </c>
      <c r="N7268">
        <v>146</v>
      </c>
      <c r="O7268" t="s">
        <v>38</v>
      </c>
      <c r="Q7268" t="s">
        <v>1335</v>
      </c>
      <c r="R7268" t="s">
        <v>6705</v>
      </c>
      <c r="S7268" t="s">
        <v>981</v>
      </c>
    </row>
    <row r="7269" spans="1:19" x14ac:dyDescent="0.25">
      <c r="A7269" t="s">
        <v>59</v>
      </c>
      <c r="B7269" t="s">
        <v>60</v>
      </c>
      <c r="C7269" t="s">
        <v>32</v>
      </c>
      <c r="D7269" t="s">
        <v>953</v>
      </c>
      <c r="E7269" t="s">
        <v>980</v>
      </c>
      <c r="F7269" t="s">
        <v>35</v>
      </c>
      <c r="G7269" t="s">
        <v>35</v>
      </c>
      <c r="H7269" t="s">
        <v>35</v>
      </c>
      <c r="J7269" t="s">
        <v>7083</v>
      </c>
      <c r="K7269" t="s">
        <v>1092</v>
      </c>
      <c r="M7269">
        <v>0.75</v>
      </c>
      <c r="N7269">
        <v>22</v>
      </c>
      <c r="O7269" t="s">
        <v>46</v>
      </c>
      <c r="Q7269" t="s">
        <v>979</v>
      </c>
      <c r="R7269" t="s">
        <v>6721</v>
      </c>
      <c r="S7269" t="s">
        <v>1078</v>
      </c>
    </row>
    <row r="7270" spans="1:19" x14ac:dyDescent="0.25">
      <c r="A7270" t="s">
        <v>59</v>
      </c>
      <c r="B7270" t="s">
        <v>60</v>
      </c>
      <c r="C7270" t="s">
        <v>32</v>
      </c>
      <c r="D7270" t="s">
        <v>953</v>
      </c>
      <c r="E7270" t="s">
        <v>980</v>
      </c>
      <c r="F7270" t="s">
        <v>35</v>
      </c>
      <c r="G7270" t="s">
        <v>35</v>
      </c>
      <c r="H7270" t="s">
        <v>35</v>
      </c>
      <c r="J7270" t="s">
        <v>7083</v>
      </c>
      <c r="K7270" t="s">
        <v>1092</v>
      </c>
      <c r="M7270">
        <v>0.3</v>
      </c>
      <c r="N7270">
        <v>24</v>
      </c>
      <c r="O7270" t="s">
        <v>46</v>
      </c>
      <c r="Q7270" t="s">
        <v>255</v>
      </c>
      <c r="R7270" t="s">
        <v>6721</v>
      </c>
      <c r="S7270" t="s">
        <v>1078</v>
      </c>
    </row>
    <row r="7271" spans="1:19" x14ac:dyDescent="0.25">
      <c r="A7271" t="s">
        <v>44</v>
      </c>
      <c r="B7271" t="s">
        <v>51</v>
      </c>
      <c r="C7271" t="s">
        <v>32</v>
      </c>
      <c r="D7271" t="s">
        <v>953</v>
      </c>
      <c r="E7271" t="s">
        <v>980</v>
      </c>
      <c r="F7271" t="s">
        <v>35</v>
      </c>
      <c r="G7271" t="s">
        <v>35</v>
      </c>
      <c r="H7271" t="s">
        <v>35</v>
      </c>
      <c r="J7271" t="s">
        <v>7083</v>
      </c>
      <c r="K7271" t="s">
        <v>1092</v>
      </c>
      <c r="M7271">
        <v>0.25</v>
      </c>
      <c r="N7271">
        <v>43</v>
      </c>
      <c r="O7271" t="s">
        <v>52</v>
      </c>
      <c r="Q7271" t="s">
        <v>892</v>
      </c>
      <c r="R7271" t="s">
        <v>6721</v>
      </c>
      <c r="S7271" t="s">
        <v>1078</v>
      </c>
    </row>
    <row r="7272" spans="1:19" x14ac:dyDescent="0.25">
      <c r="A7272" t="s">
        <v>44</v>
      </c>
      <c r="B7272" t="s">
        <v>3</v>
      </c>
      <c r="C7272" t="s">
        <v>32</v>
      </c>
      <c r="D7272" t="s">
        <v>953</v>
      </c>
      <c r="E7272" t="s">
        <v>980</v>
      </c>
      <c r="F7272" t="s">
        <v>35</v>
      </c>
      <c r="G7272" t="s">
        <v>35</v>
      </c>
      <c r="H7272" t="s">
        <v>35</v>
      </c>
      <c r="J7272" t="s">
        <v>7083</v>
      </c>
      <c r="K7272" t="s">
        <v>1092</v>
      </c>
      <c r="M7272">
        <v>0.65</v>
      </c>
      <c r="N7272">
        <v>57</v>
      </c>
      <c r="O7272" t="s">
        <v>52</v>
      </c>
      <c r="Q7272" t="s">
        <v>665</v>
      </c>
      <c r="R7272" t="s">
        <v>6721</v>
      </c>
      <c r="S7272" t="s">
        <v>1078</v>
      </c>
    </row>
    <row r="7273" spans="1:19" x14ac:dyDescent="0.25">
      <c r="A7273" t="s">
        <v>44</v>
      </c>
      <c r="B7273" t="s">
        <v>51</v>
      </c>
      <c r="C7273" t="s">
        <v>32</v>
      </c>
      <c r="D7273" t="s">
        <v>953</v>
      </c>
      <c r="E7273" t="s">
        <v>980</v>
      </c>
      <c r="F7273" t="s">
        <v>35</v>
      </c>
      <c r="G7273" t="s">
        <v>35</v>
      </c>
      <c r="H7273" t="s">
        <v>35</v>
      </c>
      <c r="J7273" t="s">
        <v>7083</v>
      </c>
      <c r="K7273" t="s">
        <v>1092</v>
      </c>
      <c r="M7273">
        <v>2.5</v>
      </c>
      <c r="N7273">
        <v>13</v>
      </c>
      <c r="O7273" t="s">
        <v>46</v>
      </c>
      <c r="Q7273" t="s">
        <v>310</v>
      </c>
      <c r="R7273" t="s">
        <v>133</v>
      </c>
      <c r="S7273" t="s">
        <v>134</v>
      </c>
    </row>
    <row r="7274" spans="1:19" x14ac:dyDescent="0.25">
      <c r="A7274" t="s">
        <v>44</v>
      </c>
      <c r="B7274" t="s">
        <v>3</v>
      </c>
      <c r="C7274" t="s">
        <v>32</v>
      </c>
      <c r="D7274" t="s">
        <v>953</v>
      </c>
      <c r="E7274" t="s">
        <v>980</v>
      </c>
      <c r="F7274" t="s">
        <v>35</v>
      </c>
      <c r="G7274" t="s">
        <v>35</v>
      </c>
      <c r="H7274" t="s">
        <v>35</v>
      </c>
      <c r="J7274" t="s">
        <v>7083</v>
      </c>
      <c r="K7274" t="s">
        <v>1092</v>
      </c>
      <c r="M7274">
        <v>0.5</v>
      </c>
      <c r="N7274">
        <v>64</v>
      </c>
      <c r="O7274" t="s">
        <v>61</v>
      </c>
      <c r="Q7274" t="s">
        <v>381</v>
      </c>
      <c r="R7274" t="s">
        <v>6721</v>
      </c>
      <c r="S7274" t="s">
        <v>1078</v>
      </c>
    </row>
    <row r="7275" spans="1:19" x14ac:dyDescent="0.25">
      <c r="A7275" t="s">
        <v>44</v>
      </c>
      <c r="B7275" t="s">
        <v>3</v>
      </c>
      <c r="C7275" t="s">
        <v>32</v>
      </c>
      <c r="D7275" t="s">
        <v>953</v>
      </c>
      <c r="E7275" t="s">
        <v>980</v>
      </c>
      <c r="F7275" t="s">
        <v>35</v>
      </c>
      <c r="G7275" t="s">
        <v>35</v>
      </c>
      <c r="H7275" t="s">
        <v>35</v>
      </c>
      <c r="J7275" t="s">
        <v>7083</v>
      </c>
      <c r="K7275" t="s">
        <v>1092</v>
      </c>
      <c r="M7275">
        <v>0.4</v>
      </c>
      <c r="N7275">
        <v>24</v>
      </c>
      <c r="O7275" t="s">
        <v>46</v>
      </c>
      <c r="Q7275" t="s">
        <v>255</v>
      </c>
      <c r="R7275" t="s">
        <v>6721</v>
      </c>
      <c r="S7275" t="s">
        <v>1078</v>
      </c>
    </row>
    <row r="7276" spans="1:19" x14ac:dyDescent="0.25">
      <c r="A7276" t="s">
        <v>44</v>
      </c>
      <c r="B7276" t="s">
        <v>3</v>
      </c>
      <c r="C7276" t="s">
        <v>32</v>
      </c>
      <c r="D7276" t="s">
        <v>953</v>
      </c>
      <c r="E7276" t="s">
        <v>980</v>
      </c>
      <c r="F7276" t="s">
        <v>35</v>
      </c>
      <c r="G7276" t="s">
        <v>35</v>
      </c>
      <c r="H7276" t="s">
        <v>35</v>
      </c>
      <c r="J7276" t="s">
        <v>7083</v>
      </c>
      <c r="K7276" t="s">
        <v>1092</v>
      </c>
      <c r="M7276">
        <v>1.25</v>
      </c>
      <c r="N7276">
        <v>43</v>
      </c>
      <c r="O7276" t="s">
        <v>52</v>
      </c>
      <c r="Q7276" t="s">
        <v>892</v>
      </c>
      <c r="R7276" t="s">
        <v>6721</v>
      </c>
      <c r="S7276" t="s">
        <v>1078</v>
      </c>
    </row>
    <row r="7277" spans="1:19" x14ac:dyDescent="0.25">
      <c r="A7277" t="s">
        <v>44</v>
      </c>
      <c r="B7277" t="s">
        <v>51</v>
      </c>
      <c r="C7277" t="s">
        <v>32</v>
      </c>
      <c r="D7277" t="s">
        <v>953</v>
      </c>
      <c r="E7277" t="s">
        <v>980</v>
      </c>
      <c r="F7277" t="s">
        <v>35</v>
      </c>
      <c r="G7277" t="s">
        <v>35</v>
      </c>
      <c r="H7277" t="s">
        <v>35</v>
      </c>
      <c r="J7277" t="s">
        <v>7083</v>
      </c>
      <c r="K7277" t="s">
        <v>1092</v>
      </c>
      <c r="M7277">
        <v>0.25</v>
      </c>
      <c r="N7277">
        <v>57</v>
      </c>
      <c r="O7277" t="s">
        <v>52</v>
      </c>
      <c r="Q7277" t="s">
        <v>665</v>
      </c>
      <c r="R7277" t="s">
        <v>6721</v>
      </c>
      <c r="S7277" t="s">
        <v>1078</v>
      </c>
    </row>
    <row r="7278" spans="1:19" x14ac:dyDescent="0.25">
      <c r="A7278" t="s">
        <v>44</v>
      </c>
      <c r="B7278" t="s">
        <v>3</v>
      </c>
      <c r="C7278" t="s">
        <v>32</v>
      </c>
      <c r="D7278" t="s">
        <v>953</v>
      </c>
      <c r="E7278" t="s">
        <v>980</v>
      </c>
      <c r="F7278" t="s">
        <v>35</v>
      </c>
      <c r="G7278" t="s">
        <v>35</v>
      </c>
      <c r="H7278" t="s">
        <v>35</v>
      </c>
      <c r="J7278" t="s">
        <v>7084</v>
      </c>
      <c r="K7278" t="s">
        <v>1092</v>
      </c>
      <c r="M7278">
        <v>4</v>
      </c>
      <c r="N7278">
        <v>62</v>
      </c>
      <c r="O7278" t="s">
        <v>61</v>
      </c>
      <c r="Q7278" t="s">
        <v>90</v>
      </c>
      <c r="R7278" t="s">
        <v>6709</v>
      </c>
      <c r="S7278" t="s">
        <v>1022</v>
      </c>
    </row>
    <row r="7279" spans="1:19" x14ac:dyDescent="0.25">
      <c r="A7279" t="s">
        <v>59</v>
      </c>
      <c r="B7279" t="s">
        <v>31</v>
      </c>
      <c r="C7279" t="s">
        <v>32</v>
      </c>
      <c r="D7279" t="s">
        <v>953</v>
      </c>
      <c r="E7279" t="s">
        <v>980</v>
      </c>
      <c r="F7279" t="s">
        <v>35</v>
      </c>
      <c r="G7279" t="s">
        <v>35</v>
      </c>
      <c r="H7279" t="s">
        <v>35</v>
      </c>
      <c r="J7279" t="s">
        <v>7084</v>
      </c>
      <c r="K7279" t="s">
        <v>1092</v>
      </c>
      <c r="M7279">
        <v>8.01</v>
      </c>
      <c r="N7279">
        <v>140</v>
      </c>
      <c r="O7279" t="s">
        <v>38</v>
      </c>
      <c r="Q7279" t="s">
        <v>609</v>
      </c>
      <c r="R7279" t="s">
        <v>133</v>
      </c>
      <c r="S7279" t="s">
        <v>134</v>
      </c>
    </row>
    <row r="7280" spans="1:19" x14ac:dyDescent="0.25">
      <c r="A7280" t="s">
        <v>30</v>
      </c>
      <c r="B7280" t="s">
        <v>31</v>
      </c>
      <c r="C7280" t="s">
        <v>32</v>
      </c>
      <c r="D7280" t="s">
        <v>953</v>
      </c>
      <c r="E7280" t="s">
        <v>980</v>
      </c>
      <c r="F7280" t="s">
        <v>35</v>
      </c>
      <c r="G7280" t="s">
        <v>35</v>
      </c>
      <c r="H7280" t="s">
        <v>35</v>
      </c>
      <c r="J7280" t="s">
        <v>7084</v>
      </c>
      <c r="K7280" t="s">
        <v>1092</v>
      </c>
      <c r="M7280">
        <v>5.49</v>
      </c>
      <c r="N7280">
        <v>45</v>
      </c>
      <c r="O7280" t="s">
        <v>52</v>
      </c>
      <c r="Q7280" t="s">
        <v>716</v>
      </c>
      <c r="R7280" t="s">
        <v>6709</v>
      </c>
      <c r="S7280" t="s">
        <v>1022</v>
      </c>
    </row>
    <row r="7281" spans="1:19" x14ac:dyDescent="0.25">
      <c r="A7281" t="s">
        <v>59</v>
      </c>
      <c r="B7281" t="s">
        <v>60</v>
      </c>
      <c r="C7281" t="s">
        <v>32</v>
      </c>
      <c r="D7281" t="s">
        <v>953</v>
      </c>
      <c r="E7281" t="s">
        <v>980</v>
      </c>
      <c r="F7281" t="s">
        <v>35</v>
      </c>
      <c r="G7281" t="s">
        <v>35</v>
      </c>
      <c r="H7281" t="s">
        <v>35</v>
      </c>
      <c r="J7281" t="s">
        <v>7084</v>
      </c>
      <c r="K7281" t="s">
        <v>1092</v>
      </c>
      <c r="M7281">
        <v>0.85</v>
      </c>
      <c r="N7281">
        <v>60</v>
      </c>
      <c r="O7281" t="s">
        <v>52</v>
      </c>
      <c r="Q7281" t="s">
        <v>1734</v>
      </c>
      <c r="R7281" t="s">
        <v>6709</v>
      </c>
      <c r="S7281" t="s">
        <v>1022</v>
      </c>
    </row>
    <row r="7282" spans="1:19" x14ac:dyDescent="0.25">
      <c r="A7282" t="s">
        <v>30</v>
      </c>
      <c r="B7282" t="s">
        <v>31</v>
      </c>
      <c r="C7282" t="s">
        <v>32</v>
      </c>
      <c r="D7282" t="s">
        <v>953</v>
      </c>
      <c r="E7282" t="s">
        <v>980</v>
      </c>
      <c r="F7282" t="s">
        <v>35</v>
      </c>
      <c r="G7282" t="s">
        <v>35</v>
      </c>
      <c r="H7282" t="s">
        <v>35</v>
      </c>
      <c r="J7282" t="s">
        <v>7085</v>
      </c>
      <c r="K7282" t="s">
        <v>1092</v>
      </c>
      <c r="M7282">
        <v>4.5449999999999999</v>
      </c>
      <c r="N7282">
        <v>47</v>
      </c>
      <c r="O7282" t="s">
        <v>52</v>
      </c>
      <c r="Q7282" t="s">
        <v>132</v>
      </c>
      <c r="R7282" t="s">
        <v>987</v>
      </c>
      <c r="S7282" t="s">
        <v>988</v>
      </c>
    </row>
    <row r="7283" spans="1:19" x14ac:dyDescent="0.25">
      <c r="A7283" t="s">
        <v>59</v>
      </c>
      <c r="B7283" t="s">
        <v>60</v>
      </c>
      <c r="C7283" t="s">
        <v>32</v>
      </c>
      <c r="D7283" t="s">
        <v>953</v>
      </c>
      <c r="E7283" t="s">
        <v>980</v>
      </c>
      <c r="F7283" t="s">
        <v>35</v>
      </c>
      <c r="G7283" t="s">
        <v>35</v>
      </c>
      <c r="H7283" t="s">
        <v>35</v>
      </c>
      <c r="J7283" t="s">
        <v>7085</v>
      </c>
      <c r="K7283" t="s">
        <v>1092</v>
      </c>
      <c r="M7283">
        <v>2.2999999999999998</v>
      </c>
      <c r="N7283">
        <v>73</v>
      </c>
      <c r="O7283" t="s">
        <v>61</v>
      </c>
      <c r="Q7283" t="s">
        <v>552</v>
      </c>
      <c r="R7283" t="s">
        <v>6705</v>
      </c>
      <c r="S7283" t="s">
        <v>981</v>
      </c>
    </row>
    <row r="7284" spans="1:19" x14ac:dyDescent="0.25">
      <c r="A7284" t="s">
        <v>30</v>
      </c>
      <c r="B7284" t="s">
        <v>31</v>
      </c>
      <c r="C7284" t="s">
        <v>32</v>
      </c>
      <c r="D7284" t="s">
        <v>953</v>
      </c>
      <c r="E7284" t="s">
        <v>980</v>
      </c>
      <c r="F7284" t="s">
        <v>35</v>
      </c>
      <c r="G7284" t="s">
        <v>35</v>
      </c>
      <c r="H7284" t="s">
        <v>35</v>
      </c>
      <c r="J7284" t="s">
        <v>1304</v>
      </c>
      <c r="K7284" t="s">
        <v>1092</v>
      </c>
      <c r="M7284">
        <v>7.6</v>
      </c>
      <c r="N7284">
        <v>25</v>
      </c>
      <c r="O7284" t="s">
        <v>46</v>
      </c>
      <c r="Q7284" t="s">
        <v>831</v>
      </c>
      <c r="R7284" t="s">
        <v>987</v>
      </c>
      <c r="S7284" t="s">
        <v>988</v>
      </c>
    </row>
    <row r="7285" spans="1:19" x14ac:dyDescent="0.25">
      <c r="A7285" t="s">
        <v>59</v>
      </c>
      <c r="B7285" t="s">
        <v>60</v>
      </c>
      <c r="C7285" t="s">
        <v>32</v>
      </c>
      <c r="D7285" t="s">
        <v>953</v>
      </c>
      <c r="E7285" t="s">
        <v>980</v>
      </c>
      <c r="F7285" t="s">
        <v>35</v>
      </c>
      <c r="G7285" t="s">
        <v>35</v>
      </c>
      <c r="H7285" t="s">
        <v>35</v>
      </c>
      <c r="J7285" t="s">
        <v>1304</v>
      </c>
      <c r="K7285" t="s">
        <v>1092</v>
      </c>
      <c r="M7285">
        <v>11.3</v>
      </c>
      <c r="N7285">
        <v>93</v>
      </c>
      <c r="O7285" t="s">
        <v>106</v>
      </c>
      <c r="Q7285" t="s">
        <v>941</v>
      </c>
      <c r="R7285" t="s">
        <v>987</v>
      </c>
      <c r="S7285" t="s">
        <v>988</v>
      </c>
    </row>
    <row r="7286" spans="1:19" x14ac:dyDescent="0.25">
      <c r="A7286" t="s">
        <v>59</v>
      </c>
      <c r="B7286" t="s">
        <v>60</v>
      </c>
      <c r="C7286" t="s">
        <v>32</v>
      </c>
      <c r="D7286" t="s">
        <v>953</v>
      </c>
      <c r="E7286" t="s">
        <v>980</v>
      </c>
      <c r="F7286" t="s">
        <v>35</v>
      </c>
      <c r="G7286" t="s">
        <v>35</v>
      </c>
      <c r="H7286" t="s">
        <v>35</v>
      </c>
      <c r="J7286" t="s">
        <v>7086</v>
      </c>
      <c r="K7286" t="s">
        <v>1092</v>
      </c>
      <c r="M7286">
        <v>0.81</v>
      </c>
      <c r="N7286">
        <v>91</v>
      </c>
      <c r="O7286" t="s">
        <v>106</v>
      </c>
      <c r="Q7286" t="s">
        <v>1147</v>
      </c>
      <c r="R7286" t="s">
        <v>6707</v>
      </c>
      <c r="S7286" t="s">
        <v>955</v>
      </c>
    </row>
    <row r="7287" spans="1:19" x14ac:dyDescent="0.25">
      <c r="A7287" t="s">
        <v>44</v>
      </c>
      <c r="B7287" t="s">
        <v>51</v>
      </c>
      <c r="C7287" t="s">
        <v>32</v>
      </c>
      <c r="D7287" t="s">
        <v>953</v>
      </c>
      <c r="E7287" t="s">
        <v>980</v>
      </c>
      <c r="F7287" t="s">
        <v>35</v>
      </c>
      <c r="G7287" t="s">
        <v>35</v>
      </c>
      <c r="H7287" t="s">
        <v>35</v>
      </c>
      <c r="J7287" t="s">
        <v>7086</v>
      </c>
      <c r="K7287" t="s">
        <v>1092</v>
      </c>
      <c r="M7287">
        <v>0.35</v>
      </c>
      <c r="N7287">
        <v>20</v>
      </c>
      <c r="O7287" t="s">
        <v>46</v>
      </c>
      <c r="Q7287" t="s">
        <v>1004</v>
      </c>
      <c r="R7287" t="s">
        <v>6707</v>
      </c>
      <c r="S7287" t="s">
        <v>955</v>
      </c>
    </row>
    <row r="7288" spans="1:19" x14ac:dyDescent="0.25">
      <c r="A7288" t="s">
        <v>30</v>
      </c>
      <c r="B7288" t="s">
        <v>31</v>
      </c>
      <c r="C7288" t="s">
        <v>32</v>
      </c>
      <c r="D7288" t="s">
        <v>953</v>
      </c>
      <c r="E7288" t="s">
        <v>980</v>
      </c>
      <c r="F7288" t="s">
        <v>35</v>
      </c>
      <c r="G7288" t="s">
        <v>35</v>
      </c>
      <c r="H7288" t="s">
        <v>35</v>
      </c>
      <c r="J7288" t="s">
        <v>7086</v>
      </c>
      <c r="K7288" t="s">
        <v>1092</v>
      </c>
      <c r="M7288">
        <v>4.9950000000000001</v>
      </c>
      <c r="N7288">
        <v>20</v>
      </c>
      <c r="O7288" t="s">
        <v>46</v>
      </c>
      <c r="Q7288" t="s">
        <v>1004</v>
      </c>
      <c r="R7288" t="s">
        <v>6707</v>
      </c>
      <c r="S7288" t="s">
        <v>955</v>
      </c>
    </row>
    <row r="7289" spans="1:19" x14ac:dyDescent="0.25">
      <c r="A7289" t="s">
        <v>44</v>
      </c>
      <c r="B7289" t="s">
        <v>51</v>
      </c>
      <c r="C7289" t="s">
        <v>32</v>
      </c>
      <c r="D7289" t="s">
        <v>953</v>
      </c>
      <c r="E7289" t="s">
        <v>980</v>
      </c>
      <c r="F7289" t="s">
        <v>35</v>
      </c>
      <c r="G7289" t="s">
        <v>35</v>
      </c>
      <c r="H7289" t="s">
        <v>35</v>
      </c>
      <c r="J7289" t="s">
        <v>7087</v>
      </c>
      <c r="K7289" t="s">
        <v>1092</v>
      </c>
      <c r="M7289">
        <v>0.35</v>
      </c>
      <c r="N7289">
        <v>32</v>
      </c>
      <c r="O7289" t="s">
        <v>52</v>
      </c>
      <c r="Q7289" t="s">
        <v>547</v>
      </c>
      <c r="R7289" t="s">
        <v>6865</v>
      </c>
      <c r="S7289" t="s">
        <v>984</v>
      </c>
    </row>
    <row r="7290" spans="1:19" x14ac:dyDescent="0.25">
      <c r="A7290" t="s">
        <v>59</v>
      </c>
      <c r="B7290" t="s">
        <v>60</v>
      </c>
      <c r="C7290" t="s">
        <v>32</v>
      </c>
      <c r="D7290" t="s">
        <v>953</v>
      </c>
      <c r="E7290" t="s">
        <v>980</v>
      </c>
      <c r="F7290" t="s">
        <v>35</v>
      </c>
      <c r="G7290" t="s">
        <v>35</v>
      </c>
      <c r="H7290" t="s">
        <v>35</v>
      </c>
      <c r="J7290" t="s">
        <v>7088</v>
      </c>
      <c r="K7290" t="s">
        <v>1092</v>
      </c>
      <c r="M7290">
        <v>0.25</v>
      </c>
      <c r="N7290">
        <v>89</v>
      </c>
      <c r="O7290" t="s">
        <v>61</v>
      </c>
      <c r="Q7290" t="s">
        <v>299</v>
      </c>
      <c r="R7290" t="s">
        <v>6721</v>
      </c>
      <c r="S7290" t="s">
        <v>1078</v>
      </c>
    </row>
    <row r="7291" spans="1:19" x14ac:dyDescent="0.25">
      <c r="A7291" t="s">
        <v>59</v>
      </c>
      <c r="B7291" t="s">
        <v>60</v>
      </c>
      <c r="C7291" t="s">
        <v>32</v>
      </c>
      <c r="D7291" t="s">
        <v>953</v>
      </c>
      <c r="E7291" t="s">
        <v>980</v>
      </c>
      <c r="F7291" t="s">
        <v>35</v>
      </c>
      <c r="G7291" t="s">
        <v>35</v>
      </c>
      <c r="H7291" t="s">
        <v>35</v>
      </c>
      <c r="J7291" t="s">
        <v>7088</v>
      </c>
      <c r="K7291" t="s">
        <v>1092</v>
      </c>
      <c r="M7291">
        <v>0.15</v>
      </c>
      <c r="N7291">
        <v>75</v>
      </c>
      <c r="O7291" t="s">
        <v>61</v>
      </c>
      <c r="Q7291" t="s">
        <v>805</v>
      </c>
      <c r="R7291" t="s">
        <v>6721</v>
      </c>
      <c r="S7291" t="s">
        <v>1078</v>
      </c>
    </row>
    <row r="7292" spans="1:19" x14ac:dyDescent="0.25">
      <c r="A7292" t="s">
        <v>59</v>
      </c>
      <c r="B7292" t="s">
        <v>60</v>
      </c>
      <c r="C7292" t="s">
        <v>32</v>
      </c>
      <c r="D7292" t="s">
        <v>953</v>
      </c>
      <c r="E7292" t="s">
        <v>980</v>
      </c>
      <c r="F7292" t="s">
        <v>35</v>
      </c>
      <c r="G7292" t="s">
        <v>35</v>
      </c>
      <c r="H7292" t="s">
        <v>35</v>
      </c>
      <c r="J7292" t="s">
        <v>7088</v>
      </c>
      <c r="K7292" t="s">
        <v>1092</v>
      </c>
      <c r="M7292">
        <v>0.25</v>
      </c>
      <c r="N7292">
        <v>64</v>
      </c>
      <c r="O7292" t="s">
        <v>61</v>
      </c>
      <c r="Q7292" t="s">
        <v>381</v>
      </c>
      <c r="R7292" t="s">
        <v>6721</v>
      </c>
      <c r="S7292" t="s">
        <v>1078</v>
      </c>
    </row>
    <row r="7293" spans="1:19" x14ac:dyDescent="0.25">
      <c r="A7293" t="s">
        <v>44</v>
      </c>
      <c r="B7293" t="s">
        <v>3</v>
      </c>
      <c r="C7293" t="s">
        <v>32</v>
      </c>
      <c r="D7293" t="s">
        <v>953</v>
      </c>
      <c r="E7293" t="s">
        <v>980</v>
      </c>
      <c r="F7293" t="s">
        <v>35</v>
      </c>
      <c r="G7293" t="s">
        <v>35</v>
      </c>
      <c r="H7293" t="s">
        <v>35</v>
      </c>
      <c r="J7293" t="s">
        <v>7088</v>
      </c>
      <c r="K7293" t="s">
        <v>1092</v>
      </c>
      <c r="M7293">
        <v>0.2</v>
      </c>
      <c r="N7293">
        <v>64</v>
      </c>
      <c r="O7293" t="s">
        <v>61</v>
      </c>
      <c r="Q7293" t="s">
        <v>381</v>
      </c>
      <c r="R7293" t="s">
        <v>6721</v>
      </c>
      <c r="S7293" t="s">
        <v>1078</v>
      </c>
    </row>
    <row r="7294" spans="1:19" x14ac:dyDescent="0.25">
      <c r="A7294" t="s">
        <v>59</v>
      </c>
      <c r="B7294" t="s">
        <v>31</v>
      </c>
      <c r="C7294" t="s">
        <v>32</v>
      </c>
      <c r="D7294" t="s">
        <v>953</v>
      </c>
      <c r="E7294" t="s">
        <v>980</v>
      </c>
      <c r="F7294" t="s">
        <v>35</v>
      </c>
      <c r="G7294" t="s">
        <v>35</v>
      </c>
      <c r="H7294" t="s">
        <v>35</v>
      </c>
      <c r="J7294" t="s">
        <v>7088</v>
      </c>
      <c r="K7294" t="s">
        <v>1092</v>
      </c>
      <c r="M7294">
        <v>0.67500000000000004</v>
      </c>
      <c r="N7294">
        <v>89</v>
      </c>
      <c r="O7294" t="s">
        <v>61</v>
      </c>
      <c r="Q7294" t="s">
        <v>299</v>
      </c>
      <c r="R7294" t="s">
        <v>6721</v>
      </c>
      <c r="S7294" t="s">
        <v>1078</v>
      </c>
    </row>
    <row r="7295" spans="1:19" x14ac:dyDescent="0.25">
      <c r="A7295" t="s">
        <v>59</v>
      </c>
      <c r="B7295" t="s">
        <v>31</v>
      </c>
      <c r="C7295" t="s">
        <v>32</v>
      </c>
      <c r="D7295" t="s">
        <v>953</v>
      </c>
      <c r="E7295" t="s">
        <v>980</v>
      </c>
      <c r="F7295" t="s">
        <v>35</v>
      </c>
      <c r="G7295" t="s">
        <v>35</v>
      </c>
      <c r="H7295" t="s">
        <v>35</v>
      </c>
      <c r="J7295" t="s">
        <v>7088</v>
      </c>
      <c r="K7295" t="s">
        <v>1092</v>
      </c>
      <c r="M7295">
        <v>0.495</v>
      </c>
      <c r="N7295">
        <v>64</v>
      </c>
      <c r="O7295" t="s">
        <v>61</v>
      </c>
      <c r="Q7295" t="s">
        <v>381</v>
      </c>
      <c r="R7295" t="s">
        <v>6721</v>
      </c>
      <c r="S7295" t="s">
        <v>1078</v>
      </c>
    </row>
    <row r="7296" spans="1:19" x14ac:dyDescent="0.25">
      <c r="A7296" t="s">
        <v>59</v>
      </c>
      <c r="B7296" t="s">
        <v>60</v>
      </c>
      <c r="C7296" t="s">
        <v>32</v>
      </c>
      <c r="D7296" t="s">
        <v>953</v>
      </c>
      <c r="E7296" t="s">
        <v>980</v>
      </c>
      <c r="F7296" t="s">
        <v>35</v>
      </c>
      <c r="G7296" t="s">
        <v>35</v>
      </c>
      <c r="H7296" t="s">
        <v>35</v>
      </c>
      <c r="J7296" t="s">
        <v>7088</v>
      </c>
      <c r="K7296" t="s">
        <v>1092</v>
      </c>
      <c r="M7296">
        <v>0.25</v>
      </c>
      <c r="N7296">
        <v>197</v>
      </c>
      <c r="O7296" t="s">
        <v>5</v>
      </c>
      <c r="Q7296" t="s">
        <v>6822</v>
      </c>
      <c r="R7296" t="s">
        <v>6721</v>
      </c>
      <c r="S7296" t="s">
        <v>1078</v>
      </c>
    </row>
    <row r="7297" spans="1:19" x14ac:dyDescent="0.25">
      <c r="A7297" t="s">
        <v>30</v>
      </c>
      <c r="B7297" t="s">
        <v>31</v>
      </c>
      <c r="C7297" t="s">
        <v>32</v>
      </c>
      <c r="D7297" t="s">
        <v>953</v>
      </c>
      <c r="E7297" t="s">
        <v>980</v>
      </c>
      <c r="F7297" t="s">
        <v>35</v>
      </c>
      <c r="G7297" t="s">
        <v>35</v>
      </c>
      <c r="H7297" t="s">
        <v>35</v>
      </c>
      <c r="J7297" t="s">
        <v>7088</v>
      </c>
      <c r="K7297" t="s">
        <v>1092</v>
      </c>
      <c r="M7297">
        <v>0.67500000000000004</v>
      </c>
      <c r="N7297">
        <v>125</v>
      </c>
      <c r="O7297" t="s">
        <v>38</v>
      </c>
      <c r="Q7297" t="s">
        <v>1954</v>
      </c>
      <c r="R7297" t="s">
        <v>6721</v>
      </c>
      <c r="S7297" t="s">
        <v>1078</v>
      </c>
    </row>
    <row r="7298" spans="1:19" x14ac:dyDescent="0.25">
      <c r="A7298" t="s">
        <v>59</v>
      </c>
      <c r="B7298" t="s">
        <v>60</v>
      </c>
      <c r="C7298" t="s">
        <v>32</v>
      </c>
      <c r="D7298" t="s">
        <v>953</v>
      </c>
      <c r="E7298" t="s">
        <v>980</v>
      </c>
      <c r="F7298" t="s">
        <v>35</v>
      </c>
      <c r="G7298" t="s">
        <v>35</v>
      </c>
      <c r="H7298" t="s">
        <v>35</v>
      </c>
      <c r="J7298" t="s">
        <v>7088</v>
      </c>
      <c r="K7298" t="s">
        <v>1092</v>
      </c>
      <c r="M7298">
        <v>0.2</v>
      </c>
      <c r="N7298">
        <v>43</v>
      </c>
      <c r="O7298" t="s">
        <v>52</v>
      </c>
      <c r="Q7298" t="s">
        <v>892</v>
      </c>
      <c r="R7298" t="s">
        <v>6721</v>
      </c>
      <c r="S7298" t="s">
        <v>1078</v>
      </c>
    </row>
    <row r="7299" spans="1:19" x14ac:dyDescent="0.25">
      <c r="A7299" t="s">
        <v>44</v>
      </c>
      <c r="B7299" t="s">
        <v>51</v>
      </c>
      <c r="C7299" t="s">
        <v>32</v>
      </c>
      <c r="D7299" t="s">
        <v>953</v>
      </c>
      <c r="E7299" t="s">
        <v>980</v>
      </c>
      <c r="F7299" t="s">
        <v>35</v>
      </c>
      <c r="G7299" t="s">
        <v>35</v>
      </c>
      <c r="H7299" t="s">
        <v>35</v>
      </c>
      <c r="J7299" t="s">
        <v>7088</v>
      </c>
      <c r="K7299" t="s">
        <v>1092</v>
      </c>
      <c r="M7299">
        <v>0.2</v>
      </c>
      <c r="N7299">
        <v>43</v>
      </c>
      <c r="O7299" t="s">
        <v>52</v>
      </c>
      <c r="Q7299" t="s">
        <v>892</v>
      </c>
      <c r="R7299" t="s">
        <v>6721</v>
      </c>
      <c r="S7299" t="s">
        <v>1078</v>
      </c>
    </row>
    <row r="7300" spans="1:19" x14ac:dyDescent="0.25">
      <c r="A7300" t="s">
        <v>44</v>
      </c>
      <c r="B7300" t="s">
        <v>3</v>
      </c>
      <c r="C7300" t="s">
        <v>32</v>
      </c>
      <c r="D7300" t="s">
        <v>953</v>
      </c>
      <c r="E7300" t="s">
        <v>980</v>
      </c>
      <c r="F7300" t="s">
        <v>35</v>
      </c>
      <c r="G7300" t="s">
        <v>35</v>
      </c>
      <c r="H7300" t="s">
        <v>35</v>
      </c>
      <c r="J7300" t="s">
        <v>7088</v>
      </c>
      <c r="K7300" t="s">
        <v>1092</v>
      </c>
      <c r="M7300">
        <v>0.3</v>
      </c>
      <c r="N7300">
        <v>45</v>
      </c>
      <c r="O7300" t="s">
        <v>52</v>
      </c>
      <c r="Q7300" t="s">
        <v>716</v>
      </c>
      <c r="R7300" t="s">
        <v>6721</v>
      </c>
      <c r="S7300" t="s">
        <v>1078</v>
      </c>
    </row>
    <row r="7301" spans="1:19" x14ac:dyDescent="0.25">
      <c r="A7301" t="s">
        <v>30</v>
      </c>
      <c r="B7301" t="s">
        <v>31</v>
      </c>
      <c r="C7301" t="s">
        <v>32</v>
      </c>
      <c r="D7301" t="s">
        <v>953</v>
      </c>
      <c r="E7301" t="s">
        <v>980</v>
      </c>
      <c r="F7301" t="s">
        <v>35</v>
      </c>
      <c r="G7301" t="s">
        <v>35</v>
      </c>
      <c r="H7301" t="s">
        <v>35</v>
      </c>
      <c r="J7301" t="s">
        <v>7088</v>
      </c>
      <c r="K7301" t="s">
        <v>1092</v>
      </c>
      <c r="M7301">
        <v>0.36</v>
      </c>
      <c r="N7301">
        <v>43</v>
      </c>
      <c r="O7301" t="s">
        <v>52</v>
      </c>
      <c r="Q7301" t="s">
        <v>892</v>
      </c>
      <c r="R7301" t="s">
        <v>6721</v>
      </c>
      <c r="S7301" t="s">
        <v>1078</v>
      </c>
    </row>
    <row r="7302" spans="1:19" x14ac:dyDescent="0.25">
      <c r="A7302" t="s">
        <v>59</v>
      </c>
      <c r="B7302" t="s">
        <v>60</v>
      </c>
      <c r="C7302" t="s">
        <v>32</v>
      </c>
      <c r="D7302" t="s">
        <v>953</v>
      </c>
      <c r="E7302" t="s">
        <v>980</v>
      </c>
      <c r="F7302" t="s">
        <v>35</v>
      </c>
      <c r="G7302" t="s">
        <v>35</v>
      </c>
      <c r="H7302" t="s">
        <v>35</v>
      </c>
      <c r="J7302" t="s">
        <v>7088</v>
      </c>
      <c r="K7302" t="s">
        <v>1092</v>
      </c>
      <c r="M7302">
        <v>0.25</v>
      </c>
      <c r="N7302">
        <v>113</v>
      </c>
      <c r="O7302" t="s">
        <v>106</v>
      </c>
      <c r="Q7302" t="s">
        <v>6066</v>
      </c>
      <c r="R7302" t="s">
        <v>6721</v>
      </c>
      <c r="S7302" t="s">
        <v>1078</v>
      </c>
    </row>
    <row r="7303" spans="1:19" x14ac:dyDescent="0.25">
      <c r="A7303" t="s">
        <v>59</v>
      </c>
      <c r="B7303" t="s">
        <v>60</v>
      </c>
      <c r="C7303" t="s">
        <v>32</v>
      </c>
      <c r="D7303" t="s">
        <v>953</v>
      </c>
      <c r="E7303" t="s">
        <v>980</v>
      </c>
      <c r="F7303" t="s">
        <v>35</v>
      </c>
      <c r="G7303" t="s">
        <v>35</v>
      </c>
      <c r="H7303" t="s">
        <v>35</v>
      </c>
      <c r="J7303" t="s">
        <v>7088</v>
      </c>
      <c r="K7303" t="s">
        <v>1092</v>
      </c>
      <c r="M7303">
        <v>0.25</v>
      </c>
      <c r="N7303">
        <v>141</v>
      </c>
      <c r="O7303" t="s">
        <v>38</v>
      </c>
      <c r="Q7303" t="s">
        <v>1822</v>
      </c>
      <c r="R7303" t="s">
        <v>6721</v>
      </c>
      <c r="S7303" t="s">
        <v>1078</v>
      </c>
    </row>
    <row r="7304" spans="1:19" x14ac:dyDescent="0.25">
      <c r="A7304" t="s">
        <v>59</v>
      </c>
      <c r="B7304" t="s">
        <v>60</v>
      </c>
      <c r="C7304" t="s">
        <v>32</v>
      </c>
      <c r="D7304" t="s">
        <v>953</v>
      </c>
      <c r="E7304" t="s">
        <v>980</v>
      </c>
      <c r="F7304" t="s">
        <v>35</v>
      </c>
      <c r="G7304" t="s">
        <v>35</v>
      </c>
      <c r="H7304" t="s">
        <v>35</v>
      </c>
      <c r="J7304" t="s">
        <v>7088</v>
      </c>
      <c r="K7304" t="s">
        <v>1092</v>
      </c>
      <c r="M7304">
        <v>0.1</v>
      </c>
      <c r="N7304">
        <v>155</v>
      </c>
      <c r="O7304" t="s">
        <v>38</v>
      </c>
      <c r="Q7304" t="s">
        <v>3942</v>
      </c>
      <c r="R7304" t="s">
        <v>6721</v>
      </c>
      <c r="S7304" t="s">
        <v>1078</v>
      </c>
    </row>
    <row r="7305" spans="1:19" x14ac:dyDescent="0.25">
      <c r="A7305" t="s">
        <v>59</v>
      </c>
      <c r="B7305" t="s">
        <v>60</v>
      </c>
      <c r="C7305" t="s">
        <v>32</v>
      </c>
      <c r="D7305" t="s">
        <v>953</v>
      </c>
      <c r="E7305" t="s">
        <v>980</v>
      </c>
      <c r="F7305" t="s">
        <v>35</v>
      </c>
      <c r="G7305" t="s">
        <v>35</v>
      </c>
      <c r="H7305" t="s">
        <v>35</v>
      </c>
      <c r="J7305" t="s">
        <v>7088</v>
      </c>
      <c r="K7305" t="s">
        <v>1092</v>
      </c>
      <c r="M7305">
        <v>0.25</v>
      </c>
      <c r="N7305">
        <v>160</v>
      </c>
      <c r="O7305" t="s">
        <v>38</v>
      </c>
      <c r="Q7305" t="s">
        <v>260</v>
      </c>
      <c r="R7305" t="s">
        <v>6721</v>
      </c>
      <c r="S7305" t="s">
        <v>1078</v>
      </c>
    </row>
    <row r="7306" spans="1:19" x14ac:dyDescent="0.25">
      <c r="A7306" t="s">
        <v>59</v>
      </c>
      <c r="B7306" t="s">
        <v>60</v>
      </c>
      <c r="C7306" t="s">
        <v>32</v>
      </c>
      <c r="D7306" t="s">
        <v>953</v>
      </c>
      <c r="E7306" t="s">
        <v>980</v>
      </c>
      <c r="F7306" t="s">
        <v>35</v>
      </c>
      <c r="G7306" t="s">
        <v>35</v>
      </c>
      <c r="H7306" t="s">
        <v>35</v>
      </c>
      <c r="J7306" t="s">
        <v>7088</v>
      </c>
      <c r="K7306" t="s">
        <v>1092</v>
      </c>
      <c r="M7306">
        <v>0.25</v>
      </c>
      <c r="N7306">
        <v>161</v>
      </c>
      <c r="O7306" t="s">
        <v>38</v>
      </c>
      <c r="Q7306" t="s">
        <v>2639</v>
      </c>
      <c r="R7306" t="s">
        <v>6721</v>
      </c>
      <c r="S7306" t="s">
        <v>1078</v>
      </c>
    </row>
    <row r="7307" spans="1:19" x14ac:dyDescent="0.25">
      <c r="A7307" t="s">
        <v>59</v>
      </c>
      <c r="B7307" t="s">
        <v>31</v>
      </c>
      <c r="C7307" t="s">
        <v>32</v>
      </c>
      <c r="D7307" t="s">
        <v>953</v>
      </c>
      <c r="E7307" t="s">
        <v>980</v>
      </c>
      <c r="F7307" t="s">
        <v>35</v>
      </c>
      <c r="G7307" t="s">
        <v>35</v>
      </c>
      <c r="H7307" t="s">
        <v>35</v>
      </c>
      <c r="J7307" t="s">
        <v>7088</v>
      </c>
      <c r="K7307" t="s">
        <v>1092</v>
      </c>
      <c r="M7307">
        <v>0.25</v>
      </c>
      <c r="N7307">
        <v>141</v>
      </c>
      <c r="O7307" t="s">
        <v>38</v>
      </c>
      <c r="Q7307" t="s">
        <v>1822</v>
      </c>
      <c r="R7307" t="s">
        <v>6721</v>
      </c>
      <c r="S7307" t="s">
        <v>1078</v>
      </c>
    </row>
    <row r="7308" spans="1:19" x14ac:dyDescent="0.25">
      <c r="A7308" t="s">
        <v>59</v>
      </c>
      <c r="B7308" t="s">
        <v>60</v>
      </c>
      <c r="C7308" t="s">
        <v>32</v>
      </c>
      <c r="D7308" t="s">
        <v>953</v>
      </c>
      <c r="E7308" t="s">
        <v>980</v>
      </c>
      <c r="F7308" t="s">
        <v>35</v>
      </c>
      <c r="G7308" t="s">
        <v>35</v>
      </c>
      <c r="H7308" t="s">
        <v>35</v>
      </c>
      <c r="J7308" t="s">
        <v>7089</v>
      </c>
      <c r="K7308" t="s">
        <v>1092</v>
      </c>
      <c r="M7308">
        <v>0.15</v>
      </c>
      <c r="N7308">
        <v>52</v>
      </c>
      <c r="O7308" t="s">
        <v>52</v>
      </c>
      <c r="Q7308" t="s">
        <v>1230</v>
      </c>
      <c r="R7308" t="s">
        <v>6865</v>
      </c>
      <c r="S7308" t="s">
        <v>984</v>
      </c>
    </row>
    <row r="7309" spans="1:19" x14ac:dyDescent="0.25">
      <c r="A7309" t="s">
        <v>44</v>
      </c>
      <c r="B7309" t="s">
        <v>3</v>
      </c>
      <c r="C7309" t="s">
        <v>32</v>
      </c>
      <c r="D7309" t="s">
        <v>953</v>
      </c>
      <c r="E7309" t="s">
        <v>980</v>
      </c>
      <c r="F7309" t="s">
        <v>35</v>
      </c>
      <c r="G7309" t="s">
        <v>35</v>
      </c>
      <c r="H7309" t="s">
        <v>35</v>
      </c>
      <c r="J7309" t="s">
        <v>7090</v>
      </c>
      <c r="K7309" t="s">
        <v>1092</v>
      </c>
      <c r="M7309">
        <v>0.25</v>
      </c>
      <c r="N7309">
        <v>59</v>
      </c>
      <c r="O7309" t="s">
        <v>52</v>
      </c>
      <c r="Q7309" t="s">
        <v>84</v>
      </c>
      <c r="R7309" t="s">
        <v>6711</v>
      </c>
      <c r="S7309" t="s">
        <v>6712</v>
      </c>
    </row>
    <row r="7310" spans="1:19" x14ac:dyDescent="0.25">
      <c r="A7310" t="s">
        <v>44</v>
      </c>
      <c r="B7310" t="s">
        <v>3</v>
      </c>
      <c r="C7310" t="s">
        <v>32</v>
      </c>
      <c r="D7310" t="s">
        <v>953</v>
      </c>
      <c r="E7310" t="s">
        <v>980</v>
      </c>
      <c r="F7310" t="s">
        <v>35</v>
      </c>
      <c r="G7310" t="s">
        <v>35</v>
      </c>
      <c r="H7310" t="s">
        <v>35</v>
      </c>
      <c r="J7310" t="s">
        <v>7090</v>
      </c>
      <c r="K7310" t="s">
        <v>1092</v>
      </c>
      <c r="M7310">
        <v>0.25</v>
      </c>
      <c r="N7310">
        <v>56</v>
      </c>
      <c r="O7310" t="s">
        <v>52</v>
      </c>
      <c r="Q7310" t="s">
        <v>453</v>
      </c>
      <c r="R7310" t="s">
        <v>6720</v>
      </c>
      <c r="S7310" t="s">
        <v>961</v>
      </c>
    </row>
    <row r="7311" spans="1:19" x14ac:dyDescent="0.25">
      <c r="A7311" t="s">
        <v>59</v>
      </c>
      <c r="B7311" t="s">
        <v>60</v>
      </c>
      <c r="C7311" t="s">
        <v>32</v>
      </c>
      <c r="D7311" t="s">
        <v>953</v>
      </c>
      <c r="E7311" t="s">
        <v>980</v>
      </c>
      <c r="F7311" t="s">
        <v>35</v>
      </c>
      <c r="G7311" t="s">
        <v>35</v>
      </c>
      <c r="H7311" t="s">
        <v>35</v>
      </c>
      <c r="J7311" t="s">
        <v>7090</v>
      </c>
      <c r="K7311" t="s">
        <v>1092</v>
      </c>
      <c r="M7311">
        <v>0.2</v>
      </c>
      <c r="N7311">
        <v>136</v>
      </c>
      <c r="O7311" t="s">
        <v>38</v>
      </c>
      <c r="Q7311" t="s">
        <v>157</v>
      </c>
      <c r="R7311" t="s">
        <v>6720</v>
      </c>
      <c r="S7311" t="s">
        <v>961</v>
      </c>
    </row>
    <row r="7312" spans="1:19" x14ac:dyDescent="0.25">
      <c r="A7312" t="s">
        <v>44</v>
      </c>
      <c r="B7312" t="s">
        <v>3</v>
      </c>
      <c r="C7312" t="s">
        <v>32</v>
      </c>
      <c r="D7312" t="s">
        <v>953</v>
      </c>
      <c r="E7312" t="s">
        <v>980</v>
      </c>
      <c r="F7312" t="s">
        <v>35</v>
      </c>
      <c r="G7312" t="s">
        <v>35</v>
      </c>
      <c r="H7312" t="s">
        <v>35</v>
      </c>
      <c r="J7312" t="s">
        <v>7090</v>
      </c>
      <c r="K7312" t="s">
        <v>1092</v>
      </c>
      <c r="M7312">
        <v>0.15</v>
      </c>
      <c r="N7312">
        <v>44</v>
      </c>
      <c r="O7312" t="s">
        <v>52</v>
      </c>
      <c r="Q7312" t="s">
        <v>192</v>
      </c>
      <c r="R7312" t="s">
        <v>6720</v>
      </c>
      <c r="S7312" t="s">
        <v>961</v>
      </c>
    </row>
    <row r="7313" spans="1:19" x14ac:dyDescent="0.25">
      <c r="A7313" t="s">
        <v>59</v>
      </c>
      <c r="B7313" t="s">
        <v>31</v>
      </c>
      <c r="C7313" t="s">
        <v>32</v>
      </c>
      <c r="D7313" t="s">
        <v>953</v>
      </c>
      <c r="E7313" t="s">
        <v>980</v>
      </c>
      <c r="F7313" t="s">
        <v>35</v>
      </c>
      <c r="G7313" t="s">
        <v>35</v>
      </c>
      <c r="H7313" t="s">
        <v>35</v>
      </c>
      <c r="J7313" t="s">
        <v>7091</v>
      </c>
      <c r="K7313" t="s">
        <v>1092</v>
      </c>
      <c r="M7313">
        <v>0.22500000000000001</v>
      </c>
      <c r="N7313">
        <v>60</v>
      </c>
      <c r="O7313" t="s">
        <v>52</v>
      </c>
      <c r="Q7313" t="s">
        <v>1734</v>
      </c>
      <c r="R7313" t="s">
        <v>6720</v>
      </c>
      <c r="S7313" t="s">
        <v>961</v>
      </c>
    </row>
    <row r="7314" spans="1:19" x14ac:dyDescent="0.25">
      <c r="A7314" t="s">
        <v>59</v>
      </c>
      <c r="B7314" t="s">
        <v>31</v>
      </c>
      <c r="C7314" t="s">
        <v>32</v>
      </c>
      <c r="D7314" t="s">
        <v>953</v>
      </c>
      <c r="E7314" t="s">
        <v>980</v>
      </c>
      <c r="F7314" t="s">
        <v>35</v>
      </c>
      <c r="G7314" t="s">
        <v>35</v>
      </c>
      <c r="H7314" t="s">
        <v>35</v>
      </c>
      <c r="J7314" t="s">
        <v>7091</v>
      </c>
      <c r="K7314" t="s">
        <v>1092</v>
      </c>
      <c r="M7314">
        <v>0.67500000000000004</v>
      </c>
      <c r="N7314">
        <v>63</v>
      </c>
      <c r="O7314" t="s">
        <v>61</v>
      </c>
      <c r="Q7314" t="s">
        <v>423</v>
      </c>
      <c r="R7314" t="s">
        <v>6707</v>
      </c>
      <c r="S7314" t="s">
        <v>955</v>
      </c>
    </row>
    <row r="7315" spans="1:19" x14ac:dyDescent="0.25">
      <c r="A7315" t="s">
        <v>59</v>
      </c>
      <c r="B7315" t="s">
        <v>31</v>
      </c>
      <c r="C7315" t="s">
        <v>32</v>
      </c>
      <c r="D7315" t="s">
        <v>953</v>
      </c>
      <c r="E7315" t="s">
        <v>980</v>
      </c>
      <c r="F7315" t="s">
        <v>35</v>
      </c>
      <c r="G7315" t="s">
        <v>35</v>
      </c>
      <c r="H7315" t="s">
        <v>35</v>
      </c>
      <c r="J7315" t="s">
        <v>7091</v>
      </c>
      <c r="K7315" t="s">
        <v>1092</v>
      </c>
      <c r="M7315">
        <v>0.18</v>
      </c>
      <c r="N7315">
        <v>86</v>
      </c>
      <c r="O7315" t="s">
        <v>61</v>
      </c>
      <c r="Q7315" t="s">
        <v>1076</v>
      </c>
      <c r="R7315" t="s">
        <v>6707</v>
      </c>
      <c r="S7315" t="s">
        <v>955</v>
      </c>
    </row>
    <row r="7316" spans="1:19" x14ac:dyDescent="0.25">
      <c r="A7316" t="s">
        <v>30</v>
      </c>
      <c r="B7316" t="s">
        <v>31</v>
      </c>
      <c r="C7316" t="s">
        <v>32</v>
      </c>
      <c r="D7316" t="s">
        <v>953</v>
      </c>
      <c r="E7316" t="s">
        <v>980</v>
      </c>
      <c r="F7316" t="s">
        <v>35</v>
      </c>
      <c r="G7316" t="s">
        <v>35</v>
      </c>
      <c r="H7316" t="s">
        <v>35</v>
      </c>
      <c r="J7316" t="s">
        <v>7091</v>
      </c>
      <c r="K7316" t="s">
        <v>1092</v>
      </c>
      <c r="M7316">
        <v>1.2150000000000001</v>
      </c>
      <c r="N7316">
        <v>40</v>
      </c>
      <c r="O7316" t="s">
        <v>52</v>
      </c>
      <c r="Q7316" t="s">
        <v>130</v>
      </c>
      <c r="R7316" t="s">
        <v>6707</v>
      </c>
      <c r="S7316" t="s">
        <v>955</v>
      </c>
    </row>
    <row r="7317" spans="1:19" x14ac:dyDescent="0.25">
      <c r="A7317" t="s">
        <v>30</v>
      </c>
      <c r="B7317" t="s">
        <v>31</v>
      </c>
      <c r="C7317" t="s">
        <v>32</v>
      </c>
      <c r="D7317" t="s">
        <v>953</v>
      </c>
      <c r="E7317" t="s">
        <v>980</v>
      </c>
      <c r="F7317" t="s">
        <v>35</v>
      </c>
      <c r="G7317" t="s">
        <v>35</v>
      </c>
      <c r="H7317" t="s">
        <v>35</v>
      </c>
      <c r="J7317" t="s">
        <v>7091</v>
      </c>
      <c r="K7317" t="s">
        <v>1092</v>
      </c>
      <c r="M7317">
        <v>0.45</v>
      </c>
      <c r="N7317">
        <v>37</v>
      </c>
      <c r="O7317" t="s">
        <v>52</v>
      </c>
      <c r="Q7317" t="s">
        <v>3499</v>
      </c>
      <c r="R7317" t="s">
        <v>6720</v>
      </c>
      <c r="S7317" t="s">
        <v>961</v>
      </c>
    </row>
    <row r="7318" spans="1:19" x14ac:dyDescent="0.25">
      <c r="A7318" t="s">
        <v>44</v>
      </c>
      <c r="B7318" t="s">
        <v>3</v>
      </c>
      <c r="C7318" t="s">
        <v>32</v>
      </c>
      <c r="D7318" t="s">
        <v>953</v>
      </c>
      <c r="E7318" t="s">
        <v>980</v>
      </c>
      <c r="F7318" t="s">
        <v>35</v>
      </c>
      <c r="G7318" t="s">
        <v>35</v>
      </c>
      <c r="H7318" t="s">
        <v>35</v>
      </c>
      <c r="J7318" t="s">
        <v>7091</v>
      </c>
      <c r="K7318" t="s">
        <v>1092</v>
      </c>
      <c r="M7318">
        <v>0.5</v>
      </c>
      <c r="N7318">
        <v>44</v>
      </c>
      <c r="O7318" t="s">
        <v>52</v>
      </c>
      <c r="Q7318" t="s">
        <v>192</v>
      </c>
      <c r="R7318" t="s">
        <v>6720</v>
      </c>
      <c r="S7318" t="s">
        <v>961</v>
      </c>
    </row>
    <row r="7319" spans="1:19" x14ac:dyDescent="0.25">
      <c r="A7319" t="s">
        <v>44</v>
      </c>
      <c r="B7319" t="s">
        <v>3</v>
      </c>
      <c r="C7319" t="s">
        <v>32</v>
      </c>
      <c r="D7319" t="s">
        <v>953</v>
      </c>
      <c r="E7319" t="s">
        <v>980</v>
      </c>
      <c r="F7319" t="s">
        <v>35</v>
      </c>
      <c r="G7319" t="s">
        <v>35</v>
      </c>
      <c r="H7319" t="s">
        <v>35</v>
      </c>
      <c r="J7319" t="s">
        <v>7091</v>
      </c>
      <c r="K7319" t="s">
        <v>1092</v>
      </c>
      <c r="M7319">
        <v>0.5</v>
      </c>
      <c r="N7319">
        <v>56</v>
      </c>
      <c r="O7319" t="s">
        <v>52</v>
      </c>
      <c r="Q7319" t="s">
        <v>453</v>
      </c>
      <c r="R7319" t="s">
        <v>6720</v>
      </c>
      <c r="S7319" t="s">
        <v>961</v>
      </c>
    </row>
    <row r="7320" spans="1:19" x14ac:dyDescent="0.25">
      <c r="A7320" t="s">
        <v>30</v>
      </c>
      <c r="B7320" t="s">
        <v>31</v>
      </c>
      <c r="C7320" t="s">
        <v>32</v>
      </c>
      <c r="D7320" t="s">
        <v>953</v>
      </c>
      <c r="E7320" t="s">
        <v>980</v>
      </c>
      <c r="F7320" t="s">
        <v>35</v>
      </c>
      <c r="G7320" t="s">
        <v>35</v>
      </c>
      <c r="H7320" t="s">
        <v>35</v>
      </c>
      <c r="J7320" t="s">
        <v>7091</v>
      </c>
      <c r="K7320" t="s">
        <v>1092</v>
      </c>
      <c r="M7320">
        <v>0.18</v>
      </c>
      <c r="N7320">
        <v>30</v>
      </c>
      <c r="O7320" t="s">
        <v>46</v>
      </c>
      <c r="Q7320" t="s">
        <v>793</v>
      </c>
      <c r="R7320" t="s">
        <v>6720</v>
      </c>
      <c r="S7320" t="s">
        <v>961</v>
      </c>
    </row>
    <row r="7321" spans="1:19" x14ac:dyDescent="0.25">
      <c r="A7321" t="s">
        <v>44</v>
      </c>
      <c r="B7321" t="s">
        <v>3</v>
      </c>
      <c r="C7321" t="s">
        <v>32</v>
      </c>
      <c r="D7321" t="s">
        <v>953</v>
      </c>
      <c r="E7321" t="s">
        <v>980</v>
      </c>
      <c r="F7321" t="s">
        <v>35</v>
      </c>
      <c r="G7321" t="s">
        <v>35</v>
      </c>
      <c r="H7321" t="s">
        <v>35</v>
      </c>
      <c r="J7321" t="s">
        <v>7091</v>
      </c>
      <c r="K7321" t="s">
        <v>1092</v>
      </c>
      <c r="M7321">
        <v>0.25</v>
      </c>
      <c r="N7321">
        <v>30</v>
      </c>
      <c r="O7321" t="s">
        <v>46</v>
      </c>
      <c r="Q7321" t="s">
        <v>793</v>
      </c>
      <c r="R7321" t="s">
        <v>6720</v>
      </c>
      <c r="S7321" t="s">
        <v>961</v>
      </c>
    </row>
    <row r="7322" spans="1:19" x14ac:dyDescent="0.25">
      <c r="A7322" t="s">
        <v>44</v>
      </c>
      <c r="B7322" t="s">
        <v>51</v>
      </c>
      <c r="C7322" t="s">
        <v>32</v>
      </c>
      <c r="D7322" t="s">
        <v>953</v>
      </c>
      <c r="E7322" t="s">
        <v>980</v>
      </c>
      <c r="F7322" t="s">
        <v>35</v>
      </c>
      <c r="G7322" t="s">
        <v>35</v>
      </c>
      <c r="H7322" t="s">
        <v>35</v>
      </c>
      <c r="J7322" t="s">
        <v>7092</v>
      </c>
      <c r="K7322" t="s">
        <v>1092</v>
      </c>
      <c r="M7322">
        <v>0.8</v>
      </c>
      <c r="N7322">
        <v>32</v>
      </c>
      <c r="O7322" t="s">
        <v>52</v>
      </c>
      <c r="Q7322" t="s">
        <v>547</v>
      </c>
      <c r="R7322" t="s">
        <v>6865</v>
      </c>
      <c r="S7322" t="s">
        <v>984</v>
      </c>
    </row>
    <row r="7323" spans="1:19" x14ac:dyDescent="0.25">
      <c r="A7323" t="s">
        <v>59</v>
      </c>
      <c r="B7323" t="s">
        <v>60</v>
      </c>
      <c r="C7323" t="s">
        <v>32</v>
      </c>
      <c r="D7323" t="s">
        <v>953</v>
      </c>
      <c r="E7323" t="s">
        <v>980</v>
      </c>
      <c r="F7323" t="s">
        <v>35</v>
      </c>
      <c r="G7323" t="s">
        <v>35</v>
      </c>
      <c r="H7323" t="s">
        <v>35</v>
      </c>
      <c r="J7323" t="s">
        <v>7093</v>
      </c>
      <c r="K7323" t="s">
        <v>1092</v>
      </c>
      <c r="M7323">
        <v>0.65</v>
      </c>
      <c r="N7323">
        <v>776</v>
      </c>
      <c r="O7323" t="s">
        <v>575</v>
      </c>
      <c r="Q7323" t="s">
        <v>7094</v>
      </c>
      <c r="R7323" t="s">
        <v>6709</v>
      </c>
      <c r="S7323" t="s">
        <v>1022</v>
      </c>
    </row>
    <row r="7324" spans="1:19" x14ac:dyDescent="0.25">
      <c r="A7324" t="s">
        <v>59</v>
      </c>
      <c r="B7324" t="s">
        <v>31</v>
      </c>
      <c r="C7324" t="s">
        <v>32</v>
      </c>
      <c r="D7324" t="s">
        <v>953</v>
      </c>
      <c r="E7324" t="s">
        <v>980</v>
      </c>
      <c r="F7324" t="s">
        <v>35</v>
      </c>
      <c r="G7324" t="s">
        <v>35</v>
      </c>
      <c r="H7324" t="s">
        <v>35</v>
      </c>
      <c r="J7324" t="s">
        <v>7095</v>
      </c>
      <c r="K7324" t="s">
        <v>1092</v>
      </c>
      <c r="M7324">
        <v>1.44</v>
      </c>
      <c r="N7324">
        <v>107</v>
      </c>
      <c r="O7324" t="s">
        <v>106</v>
      </c>
      <c r="Q7324" t="s">
        <v>1621</v>
      </c>
      <c r="R7324" t="s">
        <v>6709</v>
      </c>
      <c r="S7324" t="s">
        <v>1022</v>
      </c>
    </row>
    <row r="7325" spans="1:19" x14ac:dyDescent="0.25">
      <c r="A7325" t="s">
        <v>59</v>
      </c>
      <c r="B7325" t="s">
        <v>31</v>
      </c>
      <c r="C7325" t="s">
        <v>32</v>
      </c>
      <c r="D7325" t="s">
        <v>953</v>
      </c>
      <c r="E7325" t="s">
        <v>980</v>
      </c>
      <c r="F7325" t="s">
        <v>35</v>
      </c>
      <c r="G7325" t="s">
        <v>35</v>
      </c>
      <c r="H7325" t="s">
        <v>35</v>
      </c>
      <c r="J7325" t="s">
        <v>7095</v>
      </c>
      <c r="K7325" t="s">
        <v>1092</v>
      </c>
      <c r="M7325">
        <v>5.49</v>
      </c>
      <c r="N7325">
        <v>73</v>
      </c>
      <c r="O7325" t="s">
        <v>61</v>
      </c>
      <c r="Q7325" t="s">
        <v>552</v>
      </c>
      <c r="R7325" t="s">
        <v>6705</v>
      </c>
      <c r="S7325" t="s">
        <v>981</v>
      </c>
    </row>
    <row r="7326" spans="1:19" x14ac:dyDescent="0.25">
      <c r="A7326" t="s">
        <v>59</v>
      </c>
      <c r="B7326" t="s">
        <v>60</v>
      </c>
      <c r="C7326" t="s">
        <v>32</v>
      </c>
      <c r="D7326" t="s">
        <v>953</v>
      </c>
      <c r="E7326" t="s">
        <v>980</v>
      </c>
      <c r="F7326" t="s">
        <v>35</v>
      </c>
      <c r="G7326" t="s">
        <v>35</v>
      </c>
      <c r="H7326" t="s">
        <v>35</v>
      </c>
      <c r="J7326" t="s">
        <v>7095</v>
      </c>
      <c r="K7326" t="s">
        <v>1092</v>
      </c>
      <c r="M7326">
        <v>0.5</v>
      </c>
      <c r="N7326">
        <v>73</v>
      </c>
      <c r="O7326" t="s">
        <v>61</v>
      </c>
      <c r="Q7326" t="s">
        <v>552</v>
      </c>
      <c r="R7326" t="s">
        <v>6705</v>
      </c>
      <c r="S7326" t="s">
        <v>981</v>
      </c>
    </row>
    <row r="7327" spans="1:19" x14ac:dyDescent="0.25">
      <c r="A7327" t="s">
        <v>59</v>
      </c>
      <c r="B7327" t="s">
        <v>60</v>
      </c>
      <c r="C7327" t="s">
        <v>32</v>
      </c>
      <c r="D7327" t="s">
        <v>953</v>
      </c>
      <c r="E7327" t="s">
        <v>980</v>
      </c>
      <c r="F7327" t="s">
        <v>35</v>
      </c>
      <c r="G7327" t="s">
        <v>35</v>
      </c>
      <c r="H7327" t="s">
        <v>35</v>
      </c>
      <c r="J7327" t="s">
        <v>7096</v>
      </c>
      <c r="K7327" t="s">
        <v>1092</v>
      </c>
      <c r="M7327">
        <v>0.25</v>
      </c>
      <c r="N7327">
        <v>53</v>
      </c>
      <c r="O7327" t="s">
        <v>52</v>
      </c>
      <c r="Q7327" t="s">
        <v>332</v>
      </c>
      <c r="R7327" t="s">
        <v>6865</v>
      </c>
      <c r="S7327" t="s">
        <v>984</v>
      </c>
    </row>
    <row r="7328" spans="1:19" x14ac:dyDescent="0.25">
      <c r="A7328" t="s">
        <v>44</v>
      </c>
      <c r="B7328" t="s">
        <v>51</v>
      </c>
      <c r="C7328" t="s">
        <v>32</v>
      </c>
      <c r="D7328" t="s">
        <v>953</v>
      </c>
      <c r="E7328" t="s">
        <v>980</v>
      </c>
      <c r="F7328" t="s">
        <v>35</v>
      </c>
      <c r="G7328" t="s">
        <v>35</v>
      </c>
      <c r="H7328" t="s">
        <v>35</v>
      </c>
      <c r="J7328" t="s">
        <v>7096</v>
      </c>
      <c r="K7328" t="s">
        <v>1092</v>
      </c>
      <c r="M7328">
        <v>0.5</v>
      </c>
      <c r="N7328">
        <v>28</v>
      </c>
      <c r="O7328" t="s">
        <v>46</v>
      </c>
      <c r="Q7328" t="s">
        <v>176</v>
      </c>
      <c r="R7328" t="s">
        <v>6865</v>
      </c>
      <c r="S7328" t="s">
        <v>984</v>
      </c>
    </row>
    <row r="7329" spans="1:19" x14ac:dyDescent="0.25">
      <c r="A7329" t="s">
        <v>59</v>
      </c>
      <c r="B7329" t="s">
        <v>60</v>
      </c>
      <c r="C7329" t="s">
        <v>32</v>
      </c>
      <c r="D7329" t="s">
        <v>953</v>
      </c>
      <c r="E7329" t="s">
        <v>980</v>
      </c>
      <c r="F7329" t="s">
        <v>35</v>
      </c>
      <c r="G7329" t="s">
        <v>35</v>
      </c>
      <c r="H7329" t="s">
        <v>35</v>
      </c>
      <c r="J7329" t="s">
        <v>7097</v>
      </c>
      <c r="K7329" t="s">
        <v>1092</v>
      </c>
      <c r="M7329">
        <v>0.15</v>
      </c>
      <c r="N7329">
        <v>45</v>
      </c>
      <c r="O7329" t="s">
        <v>52</v>
      </c>
      <c r="Q7329" t="s">
        <v>716</v>
      </c>
      <c r="R7329" t="s">
        <v>6865</v>
      </c>
      <c r="S7329" t="s">
        <v>984</v>
      </c>
    </row>
    <row r="7330" spans="1:19" x14ac:dyDescent="0.25">
      <c r="A7330" t="s">
        <v>44</v>
      </c>
      <c r="B7330" t="s">
        <v>51</v>
      </c>
      <c r="C7330" t="s">
        <v>32</v>
      </c>
      <c r="D7330" t="s">
        <v>953</v>
      </c>
      <c r="E7330" t="s">
        <v>980</v>
      </c>
      <c r="F7330" t="s">
        <v>35</v>
      </c>
      <c r="G7330" t="s">
        <v>35</v>
      </c>
      <c r="H7330" t="s">
        <v>35</v>
      </c>
      <c r="J7330" t="s">
        <v>7097</v>
      </c>
      <c r="K7330" t="s">
        <v>1092</v>
      </c>
      <c r="M7330">
        <v>0.1</v>
      </c>
      <c r="N7330">
        <v>24</v>
      </c>
      <c r="O7330" t="s">
        <v>46</v>
      </c>
      <c r="Q7330" t="s">
        <v>255</v>
      </c>
      <c r="R7330" t="s">
        <v>6865</v>
      </c>
      <c r="S7330" t="s">
        <v>984</v>
      </c>
    </row>
    <row r="7331" spans="1:19" x14ac:dyDescent="0.25">
      <c r="A7331" t="s">
        <v>44</v>
      </c>
      <c r="B7331" t="s">
        <v>51</v>
      </c>
      <c r="C7331" t="s">
        <v>32</v>
      </c>
      <c r="D7331" t="s">
        <v>953</v>
      </c>
      <c r="E7331" t="s">
        <v>980</v>
      </c>
      <c r="F7331" t="s">
        <v>35</v>
      </c>
      <c r="G7331" t="s">
        <v>35</v>
      </c>
      <c r="H7331" t="s">
        <v>35</v>
      </c>
      <c r="J7331" t="s">
        <v>7098</v>
      </c>
      <c r="K7331" t="s">
        <v>1092</v>
      </c>
      <c r="M7331">
        <v>0.5</v>
      </c>
      <c r="N7331">
        <v>20</v>
      </c>
      <c r="O7331" t="s">
        <v>46</v>
      </c>
      <c r="Q7331" t="s">
        <v>1004</v>
      </c>
      <c r="R7331" t="s">
        <v>6865</v>
      </c>
      <c r="S7331" t="s">
        <v>984</v>
      </c>
    </row>
    <row r="7332" spans="1:19" x14ac:dyDescent="0.25">
      <c r="A7332" t="s">
        <v>59</v>
      </c>
      <c r="B7332" t="s">
        <v>31</v>
      </c>
      <c r="C7332" t="s">
        <v>32</v>
      </c>
      <c r="D7332" t="s">
        <v>953</v>
      </c>
      <c r="E7332" t="s">
        <v>980</v>
      </c>
      <c r="F7332" t="s">
        <v>35</v>
      </c>
      <c r="G7332" t="s">
        <v>35</v>
      </c>
      <c r="H7332" t="s">
        <v>35</v>
      </c>
      <c r="J7332" t="s">
        <v>7098</v>
      </c>
      <c r="K7332" t="s">
        <v>1092</v>
      </c>
      <c r="M7332">
        <v>1.35</v>
      </c>
      <c r="N7332">
        <v>100</v>
      </c>
      <c r="O7332" t="s">
        <v>106</v>
      </c>
      <c r="Q7332" t="s">
        <v>1112</v>
      </c>
      <c r="R7332" t="s">
        <v>6705</v>
      </c>
      <c r="S7332" t="s">
        <v>981</v>
      </c>
    </row>
    <row r="7333" spans="1:19" x14ac:dyDescent="0.25">
      <c r="A7333" t="s">
        <v>59</v>
      </c>
      <c r="B7333" t="s">
        <v>60</v>
      </c>
      <c r="C7333" t="s">
        <v>32</v>
      </c>
      <c r="D7333" t="s">
        <v>953</v>
      </c>
      <c r="E7333" t="s">
        <v>980</v>
      </c>
      <c r="F7333" t="s">
        <v>35</v>
      </c>
      <c r="G7333" t="s">
        <v>35</v>
      </c>
      <c r="H7333" t="s">
        <v>35</v>
      </c>
      <c r="J7333" t="s">
        <v>7098</v>
      </c>
      <c r="K7333" t="s">
        <v>1092</v>
      </c>
      <c r="M7333">
        <v>3.3</v>
      </c>
      <c r="N7333">
        <v>73</v>
      </c>
      <c r="O7333" t="s">
        <v>61</v>
      </c>
      <c r="Q7333" t="s">
        <v>552</v>
      </c>
      <c r="R7333" t="s">
        <v>6705</v>
      </c>
      <c r="S7333" t="s">
        <v>981</v>
      </c>
    </row>
    <row r="7334" spans="1:19" x14ac:dyDescent="0.25">
      <c r="A7334" t="s">
        <v>59</v>
      </c>
      <c r="B7334" t="s">
        <v>60</v>
      </c>
      <c r="C7334" t="s">
        <v>32</v>
      </c>
      <c r="D7334" t="s">
        <v>953</v>
      </c>
      <c r="E7334" t="s">
        <v>980</v>
      </c>
      <c r="F7334" t="s">
        <v>35</v>
      </c>
      <c r="G7334" t="s">
        <v>35</v>
      </c>
      <c r="H7334" t="s">
        <v>35</v>
      </c>
      <c r="J7334" t="s">
        <v>7098</v>
      </c>
      <c r="K7334" t="s">
        <v>1092</v>
      </c>
      <c r="M7334">
        <v>2</v>
      </c>
      <c r="N7334">
        <v>62</v>
      </c>
      <c r="O7334" t="s">
        <v>61</v>
      </c>
      <c r="Q7334" t="s">
        <v>90</v>
      </c>
      <c r="R7334" t="s">
        <v>6705</v>
      </c>
      <c r="S7334" t="s">
        <v>981</v>
      </c>
    </row>
    <row r="7335" spans="1:19" x14ac:dyDescent="0.25">
      <c r="A7335" t="s">
        <v>30</v>
      </c>
      <c r="B7335" t="s">
        <v>31</v>
      </c>
      <c r="C7335" t="s">
        <v>32</v>
      </c>
      <c r="D7335" t="s">
        <v>953</v>
      </c>
      <c r="E7335" t="s">
        <v>980</v>
      </c>
      <c r="F7335" t="s">
        <v>35</v>
      </c>
      <c r="G7335" t="s">
        <v>35</v>
      </c>
      <c r="H7335" t="s">
        <v>35</v>
      </c>
      <c r="J7335" t="s">
        <v>7099</v>
      </c>
      <c r="K7335" t="s">
        <v>1092</v>
      </c>
      <c r="M7335">
        <v>1.575</v>
      </c>
      <c r="N7335">
        <v>48</v>
      </c>
      <c r="O7335" t="s">
        <v>52</v>
      </c>
      <c r="Q7335" t="s">
        <v>496</v>
      </c>
      <c r="R7335" t="s">
        <v>6705</v>
      </c>
      <c r="S7335" t="s">
        <v>981</v>
      </c>
    </row>
    <row r="7336" spans="1:19" x14ac:dyDescent="0.25">
      <c r="A7336" t="s">
        <v>59</v>
      </c>
      <c r="B7336" t="s">
        <v>60</v>
      </c>
      <c r="C7336" t="s">
        <v>32</v>
      </c>
      <c r="D7336" t="s">
        <v>953</v>
      </c>
      <c r="E7336" t="s">
        <v>980</v>
      </c>
      <c r="F7336" t="s">
        <v>35</v>
      </c>
      <c r="G7336" t="s">
        <v>35</v>
      </c>
      <c r="H7336" t="s">
        <v>35</v>
      </c>
      <c r="J7336" t="s">
        <v>7099</v>
      </c>
      <c r="K7336" t="s">
        <v>1092</v>
      </c>
      <c r="M7336">
        <v>0.5</v>
      </c>
      <c r="N7336">
        <v>34</v>
      </c>
      <c r="O7336" t="s">
        <v>52</v>
      </c>
      <c r="Q7336" t="s">
        <v>809</v>
      </c>
      <c r="R7336" t="s">
        <v>6865</v>
      </c>
      <c r="S7336" t="s">
        <v>984</v>
      </c>
    </row>
    <row r="7337" spans="1:19" x14ac:dyDescent="0.25">
      <c r="A7337" t="s">
        <v>59</v>
      </c>
      <c r="B7337" t="s">
        <v>60</v>
      </c>
      <c r="C7337" t="s">
        <v>32</v>
      </c>
      <c r="D7337" t="s">
        <v>953</v>
      </c>
      <c r="E7337" t="s">
        <v>980</v>
      </c>
      <c r="F7337" t="s">
        <v>35</v>
      </c>
      <c r="G7337" t="s">
        <v>35</v>
      </c>
      <c r="H7337" t="s">
        <v>35</v>
      </c>
      <c r="J7337" t="s">
        <v>7099</v>
      </c>
      <c r="K7337" t="s">
        <v>1092</v>
      </c>
      <c r="M7337">
        <v>0.4</v>
      </c>
      <c r="N7337">
        <v>90</v>
      </c>
      <c r="O7337" t="s">
        <v>61</v>
      </c>
      <c r="Q7337" t="s">
        <v>897</v>
      </c>
      <c r="R7337" t="s">
        <v>6705</v>
      </c>
      <c r="S7337" t="s">
        <v>981</v>
      </c>
    </row>
    <row r="7338" spans="1:19" x14ac:dyDescent="0.25">
      <c r="A7338" t="s">
        <v>44</v>
      </c>
      <c r="B7338" t="s">
        <v>51</v>
      </c>
      <c r="C7338" t="s">
        <v>32</v>
      </c>
      <c r="D7338" t="s">
        <v>953</v>
      </c>
      <c r="E7338" t="s">
        <v>980</v>
      </c>
      <c r="F7338" t="s">
        <v>35</v>
      </c>
      <c r="G7338" t="s">
        <v>35</v>
      </c>
      <c r="H7338" t="s">
        <v>35</v>
      </c>
      <c r="J7338" t="s">
        <v>7099</v>
      </c>
      <c r="K7338" t="s">
        <v>1092</v>
      </c>
      <c r="M7338">
        <v>3.45</v>
      </c>
      <c r="N7338">
        <v>59</v>
      </c>
      <c r="O7338" t="s">
        <v>52</v>
      </c>
      <c r="Q7338" t="s">
        <v>84</v>
      </c>
      <c r="R7338" t="s">
        <v>6705</v>
      </c>
      <c r="S7338" t="s">
        <v>981</v>
      </c>
    </row>
    <row r="7339" spans="1:19" x14ac:dyDescent="0.25">
      <c r="A7339" t="s">
        <v>59</v>
      </c>
      <c r="B7339" t="s">
        <v>60</v>
      </c>
      <c r="C7339" t="s">
        <v>32</v>
      </c>
      <c r="D7339" t="s">
        <v>953</v>
      </c>
      <c r="E7339" t="s">
        <v>980</v>
      </c>
      <c r="F7339" t="s">
        <v>35</v>
      </c>
      <c r="G7339" t="s">
        <v>35</v>
      </c>
      <c r="H7339" t="s">
        <v>35</v>
      </c>
      <c r="J7339" t="s">
        <v>7100</v>
      </c>
      <c r="K7339" t="s">
        <v>1092</v>
      </c>
      <c r="M7339">
        <v>0.3</v>
      </c>
      <c r="N7339">
        <v>181</v>
      </c>
      <c r="O7339" t="s">
        <v>5</v>
      </c>
      <c r="Q7339" t="s">
        <v>1684</v>
      </c>
      <c r="R7339" t="s">
        <v>7074</v>
      </c>
      <c r="S7339" t="s">
        <v>7075</v>
      </c>
    </row>
    <row r="7340" spans="1:19" x14ac:dyDescent="0.25">
      <c r="A7340" t="s">
        <v>59</v>
      </c>
      <c r="B7340" t="s">
        <v>60</v>
      </c>
      <c r="C7340" t="s">
        <v>32</v>
      </c>
      <c r="D7340" t="s">
        <v>953</v>
      </c>
      <c r="E7340" t="s">
        <v>980</v>
      </c>
      <c r="F7340" t="s">
        <v>35</v>
      </c>
      <c r="G7340" t="s">
        <v>35</v>
      </c>
      <c r="H7340" t="s">
        <v>35</v>
      </c>
      <c r="J7340" t="s">
        <v>7101</v>
      </c>
      <c r="K7340" t="s">
        <v>1092</v>
      </c>
      <c r="M7340">
        <v>0.5</v>
      </c>
      <c r="N7340">
        <v>181</v>
      </c>
      <c r="O7340" t="s">
        <v>5</v>
      </c>
      <c r="Q7340" t="s">
        <v>1684</v>
      </c>
      <c r="R7340" t="s">
        <v>7074</v>
      </c>
      <c r="S7340" t="s">
        <v>7075</v>
      </c>
    </row>
    <row r="7341" spans="1:19" x14ac:dyDescent="0.25">
      <c r="A7341" t="s">
        <v>59</v>
      </c>
      <c r="B7341" t="s">
        <v>31</v>
      </c>
      <c r="C7341" t="s">
        <v>32</v>
      </c>
      <c r="D7341" t="s">
        <v>953</v>
      </c>
      <c r="E7341" t="s">
        <v>980</v>
      </c>
      <c r="F7341" t="s">
        <v>35</v>
      </c>
      <c r="G7341" t="s">
        <v>35</v>
      </c>
      <c r="H7341" t="s">
        <v>35</v>
      </c>
      <c r="J7341" t="s">
        <v>7101</v>
      </c>
      <c r="K7341" t="s">
        <v>1092</v>
      </c>
      <c r="M7341">
        <v>0.01</v>
      </c>
      <c r="N7341">
        <v>804</v>
      </c>
      <c r="O7341" t="s">
        <v>575</v>
      </c>
      <c r="Q7341" t="s">
        <v>7102</v>
      </c>
      <c r="R7341" t="s">
        <v>133</v>
      </c>
      <c r="S7341" t="s">
        <v>134</v>
      </c>
    </row>
    <row r="7342" spans="1:19" x14ac:dyDescent="0.25">
      <c r="A7342" t="s">
        <v>44</v>
      </c>
      <c r="B7342" t="s">
        <v>3</v>
      </c>
      <c r="C7342" t="s">
        <v>32</v>
      </c>
      <c r="D7342" t="s">
        <v>953</v>
      </c>
      <c r="E7342" t="s">
        <v>980</v>
      </c>
      <c r="F7342" t="s">
        <v>35</v>
      </c>
      <c r="G7342" t="s">
        <v>35</v>
      </c>
      <c r="H7342" t="s">
        <v>35</v>
      </c>
      <c r="J7342" t="s">
        <v>7103</v>
      </c>
      <c r="K7342" t="s">
        <v>1092</v>
      </c>
      <c r="M7342">
        <v>5.5</v>
      </c>
      <c r="N7342">
        <v>59</v>
      </c>
      <c r="O7342" t="s">
        <v>52</v>
      </c>
      <c r="Q7342" t="s">
        <v>84</v>
      </c>
      <c r="R7342" t="s">
        <v>133</v>
      </c>
      <c r="S7342" t="s">
        <v>134</v>
      </c>
    </row>
    <row r="7343" spans="1:19" x14ac:dyDescent="0.25">
      <c r="A7343" t="s">
        <v>59</v>
      </c>
      <c r="B7343" t="s">
        <v>60</v>
      </c>
      <c r="C7343" t="s">
        <v>32</v>
      </c>
      <c r="D7343" t="s">
        <v>953</v>
      </c>
      <c r="E7343" t="s">
        <v>980</v>
      </c>
      <c r="F7343" t="s">
        <v>35</v>
      </c>
      <c r="G7343" t="s">
        <v>35</v>
      </c>
      <c r="H7343" t="s">
        <v>35</v>
      </c>
      <c r="J7343" t="s">
        <v>7103</v>
      </c>
      <c r="K7343" t="s">
        <v>1092</v>
      </c>
      <c r="M7343">
        <v>2.355</v>
      </c>
      <c r="N7343">
        <v>58</v>
      </c>
      <c r="O7343" t="s">
        <v>52</v>
      </c>
      <c r="Q7343" t="s">
        <v>58</v>
      </c>
      <c r="R7343" t="s">
        <v>133</v>
      </c>
      <c r="S7343" t="s">
        <v>134</v>
      </c>
    </row>
    <row r="7344" spans="1:19" x14ac:dyDescent="0.25">
      <c r="A7344" t="s">
        <v>44</v>
      </c>
      <c r="B7344" t="s">
        <v>51</v>
      </c>
      <c r="C7344" t="s">
        <v>32</v>
      </c>
      <c r="D7344" t="s">
        <v>953</v>
      </c>
      <c r="E7344" t="s">
        <v>980</v>
      </c>
      <c r="F7344" t="s">
        <v>35</v>
      </c>
      <c r="G7344" t="s">
        <v>35</v>
      </c>
      <c r="H7344" t="s">
        <v>35</v>
      </c>
      <c r="J7344" t="s">
        <v>7103</v>
      </c>
      <c r="K7344" t="s">
        <v>1092</v>
      </c>
      <c r="M7344">
        <v>1.4</v>
      </c>
      <c r="N7344">
        <v>51</v>
      </c>
      <c r="O7344" t="s">
        <v>52</v>
      </c>
      <c r="Q7344" t="s">
        <v>54</v>
      </c>
      <c r="R7344" t="s">
        <v>133</v>
      </c>
      <c r="S7344" t="s">
        <v>134</v>
      </c>
    </row>
    <row r="7345" spans="1:19" x14ac:dyDescent="0.25">
      <c r="A7345" t="s">
        <v>30</v>
      </c>
      <c r="B7345" t="s">
        <v>31</v>
      </c>
      <c r="C7345" t="s">
        <v>32</v>
      </c>
      <c r="D7345" t="s">
        <v>953</v>
      </c>
      <c r="E7345" t="s">
        <v>980</v>
      </c>
      <c r="F7345" t="s">
        <v>35</v>
      </c>
      <c r="G7345" t="s">
        <v>35</v>
      </c>
      <c r="H7345" t="s">
        <v>35</v>
      </c>
      <c r="J7345" t="s">
        <v>7104</v>
      </c>
      <c r="K7345" t="s">
        <v>1092</v>
      </c>
      <c r="M7345">
        <v>1.53</v>
      </c>
      <c r="N7345">
        <v>48</v>
      </c>
      <c r="O7345" t="s">
        <v>52</v>
      </c>
      <c r="Q7345" t="s">
        <v>496</v>
      </c>
      <c r="R7345" t="s">
        <v>6705</v>
      </c>
      <c r="S7345" t="s">
        <v>981</v>
      </c>
    </row>
    <row r="7346" spans="1:19" x14ac:dyDescent="0.25">
      <c r="A7346" t="s">
        <v>44</v>
      </c>
      <c r="B7346" t="s">
        <v>3</v>
      </c>
      <c r="C7346" t="s">
        <v>32</v>
      </c>
      <c r="D7346" t="s">
        <v>953</v>
      </c>
      <c r="E7346" t="s">
        <v>980</v>
      </c>
      <c r="F7346" t="s">
        <v>35</v>
      </c>
      <c r="G7346" t="s">
        <v>35</v>
      </c>
      <c r="H7346" t="s">
        <v>35</v>
      </c>
      <c r="J7346" t="s">
        <v>7104</v>
      </c>
      <c r="K7346" t="s">
        <v>1092</v>
      </c>
      <c r="M7346">
        <v>2.2000000000000002</v>
      </c>
      <c r="N7346">
        <v>69</v>
      </c>
      <c r="O7346" t="s">
        <v>61</v>
      </c>
      <c r="Q7346" t="s">
        <v>139</v>
      </c>
      <c r="R7346" t="s">
        <v>6705</v>
      </c>
      <c r="S7346" t="s">
        <v>981</v>
      </c>
    </row>
    <row r="7347" spans="1:19" x14ac:dyDescent="0.25">
      <c r="A7347" t="s">
        <v>59</v>
      </c>
      <c r="B7347" t="s">
        <v>60</v>
      </c>
      <c r="C7347" t="s">
        <v>32</v>
      </c>
      <c r="D7347" t="s">
        <v>953</v>
      </c>
      <c r="E7347" t="s">
        <v>980</v>
      </c>
      <c r="F7347" t="s">
        <v>35</v>
      </c>
      <c r="G7347" t="s">
        <v>35</v>
      </c>
      <c r="H7347" t="s">
        <v>35</v>
      </c>
      <c r="J7347" t="s">
        <v>7105</v>
      </c>
      <c r="K7347" t="s">
        <v>1092</v>
      </c>
      <c r="M7347">
        <v>0.3</v>
      </c>
      <c r="N7347">
        <v>45</v>
      </c>
      <c r="O7347" t="s">
        <v>52</v>
      </c>
      <c r="Q7347" t="s">
        <v>716</v>
      </c>
      <c r="R7347" t="s">
        <v>6865</v>
      </c>
      <c r="S7347" t="s">
        <v>984</v>
      </c>
    </row>
    <row r="7348" spans="1:19" x14ac:dyDescent="0.25">
      <c r="A7348" t="s">
        <v>59</v>
      </c>
      <c r="B7348" t="s">
        <v>60</v>
      </c>
      <c r="C7348" t="s">
        <v>32</v>
      </c>
      <c r="D7348" t="s">
        <v>953</v>
      </c>
      <c r="E7348" t="s">
        <v>980</v>
      </c>
      <c r="F7348" t="s">
        <v>35</v>
      </c>
      <c r="G7348" t="s">
        <v>35</v>
      </c>
      <c r="H7348" t="s">
        <v>35</v>
      </c>
      <c r="J7348" t="s">
        <v>7106</v>
      </c>
      <c r="K7348" t="s">
        <v>1092</v>
      </c>
      <c r="M7348">
        <v>0.1</v>
      </c>
      <c r="N7348">
        <v>181</v>
      </c>
      <c r="O7348" t="s">
        <v>5</v>
      </c>
      <c r="Q7348" t="s">
        <v>1684</v>
      </c>
      <c r="R7348" t="s">
        <v>7074</v>
      </c>
      <c r="S7348" t="s">
        <v>7075</v>
      </c>
    </row>
    <row r="7349" spans="1:19" x14ac:dyDescent="0.25">
      <c r="A7349" t="s">
        <v>44</v>
      </c>
      <c r="B7349" t="s">
        <v>51</v>
      </c>
      <c r="C7349" t="s">
        <v>32</v>
      </c>
      <c r="D7349" t="s">
        <v>953</v>
      </c>
      <c r="E7349" t="s">
        <v>980</v>
      </c>
      <c r="F7349" t="s">
        <v>35</v>
      </c>
      <c r="G7349" t="s">
        <v>35</v>
      </c>
      <c r="H7349" t="s">
        <v>35</v>
      </c>
      <c r="J7349" t="s">
        <v>7107</v>
      </c>
      <c r="K7349" t="s">
        <v>1092</v>
      </c>
      <c r="M7349">
        <v>1</v>
      </c>
      <c r="N7349">
        <v>30</v>
      </c>
      <c r="O7349" t="s">
        <v>46</v>
      </c>
      <c r="Q7349" t="s">
        <v>793</v>
      </c>
      <c r="R7349" t="s">
        <v>6865</v>
      </c>
      <c r="S7349" t="s">
        <v>984</v>
      </c>
    </row>
    <row r="7350" spans="1:19" x14ac:dyDescent="0.25">
      <c r="A7350" t="s">
        <v>59</v>
      </c>
      <c r="B7350" t="s">
        <v>31</v>
      </c>
      <c r="C7350" t="s">
        <v>32</v>
      </c>
      <c r="D7350" t="s">
        <v>953</v>
      </c>
      <c r="E7350" t="s">
        <v>980</v>
      </c>
      <c r="F7350" t="s">
        <v>35</v>
      </c>
      <c r="G7350" t="s">
        <v>35</v>
      </c>
      <c r="H7350" t="s">
        <v>35</v>
      </c>
      <c r="J7350" t="s">
        <v>7108</v>
      </c>
      <c r="K7350" t="s">
        <v>1092</v>
      </c>
      <c r="M7350">
        <v>0.63500000000000001</v>
      </c>
      <c r="N7350">
        <v>54</v>
      </c>
      <c r="O7350" t="s">
        <v>52</v>
      </c>
      <c r="Q7350" t="s">
        <v>1207</v>
      </c>
      <c r="R7350" t="s">
        <v>6762</v>
      </c>
      <c r="S7350" t="s">
        <v>992</v>
      </c>
    </row>
    <row r="7351" spans="1:19" x14ac:dyDescent="0.25">
      <c r="A7351" t="s">
        <v>44</v>
      </c>
      <c r="B7351" t="s">
        <v>3</v>
      </c>
      <c r="C7351" t="s">
        <v>32</v>
      </c>
      <c r="D7351" t="s">
        <v>953</v>
      </c>
      <c r="E7351" t="s">
        <v>980</v>
      </c>
      <c r="F7351" t="s">
        <v>35</v>
      </c>
      <c r="G7351" t="s">
        <v>35</v>
      </c>
      <c r="H7351" t="s">
        <v>35</v>
      </c>
      <c r="J7351" t="s">
        <v>7108</v>
      </c>
      <c r="K7351" t="s">
        <v>1092</v>
      </c>
      <c r="M7351">
        <v>0.05</v>
      </c>
      <c r="N7351">
        <v>54</v>
      </c>
      <c r="O7351" t="s">
        <v>52</v>
      </c>
      <c r="Q7351" t="s">
        <v>1207</v>
      </c>
      <c r="R7351" t="s">
        <v>6762</v>
      </c>
      <c r="S7351" t="s">
        <v>992</v>
      </c>
    </row>
    <row r="7352" spans="1:19" x14ac:dyDescent="0.25">
      <c r="A7352" t="s">
        <v>44</v>
      </c>
      <c r="B7352" t="s">
        <v>51</v>
      </c>
      <c r="C7352" t="s">
        <v>32</v>
      </c>
      <c r="D7352" t="s">
        <v>953</v>
      </c>
      <c r="E7352" t="s">
        <v>980</v>
      </c>
      <c r="F7352" t="s">
        <v>35</v>
      </c>
      <c r="G7352" t="s">
        <v>35</v>
      </c>
      <c r="H7352" t="s">
        <v>35</v>
      </c>
      <c r="J7352" t="s">
        <v>7109</v>
      </c>
      <c r="K7352" t="s">
        <v>1092</v>
      </c>
      <c r="M7352">
        <v>0.5</v>
      </c>
      <c r="N7352">
        <v>19</v>
      </c>
      <c r="O7352" t="s">
        <v>46</v>
      </c>
      <c r="Q7352" t="s">
        <v>1192</v>
      </c>
      <c r="R7352" t="s">
        <v>6865</v>
      </c>
      <c r="S7352" t="s">
        <v>984</v>
      </c>
    </row>
    <row r="7353" spans="1:19" x14ac:dyDescent="0.25">
      <c r="A7353" t="s">
        <v>44</v>
      </c>
      <c r="B7353" t="s">
        <v>51</v>
      </c>
      <c r="C7353" t="s">
        <v>32</v>
      </c>
      <c r="D7353" t="s">
        <v>953</v>
      </c>
      <c r="E7353" t="s">
        <v>980</v>
      </c>
      <c r="F7353" t="s">
        <v>35</v>
      </c>
      <c r="G7353" t="s">
        <v>35</v>
      </c>
      <c r="H7353" t="s">
        <v>35</v>
      </c>
      <c r="J7353" t="s">
        <v>7109</v>
      </c>
      <c r="K7353" t="s">
        <v>1092</v>
      </c>
      <c r="M7353">
        <v>0.5</v>
      </c>
      <c r="N7353">
        <v>231</v>
      </c>
      <c r="O7353" t="s">
        <v>5</v>
      </c>
      <c r="Q7353" t="s">
        <v>402</v>
      </c>
      <c r="R7353" t="s">
        <v>6865</v>
      </c>
      <c r="S7353" t="s">
        <v>984</v>
      </c>
    </row>
    <row r="7354" spans="1:19" x14ac:dyDescent="0.25">
      <c r="A7354" t="s">
        <v>59</v>
      </c>
      <c r="B7354" t="s">
        <v>31</v>
      </c>
      <c r="C7354" t="s">
        <v>32</v>
      </c>
      <c r="D7354" t="s">
        <v>953</v>
      </c>
      <c r="E7354" t="s">
        <v>980</v>
      </c>
      <c r="F7354" t="s">
        <v>35</v>
      </c>
      <c r="G7354" t="s">
        <v>35</v>
      </c>
      <c r="H7354" t="s">
        <v>35</v>
      </c>
      <c r="J7354" t="s">
        <v>7109</v>
      </c>
      <c r="K7354" t="s">
        <v>1092</v>
      </c>
      <c r="M7354">
        <v>3.96</v>
      </c>
      <c r="N7354">
        <v>62</v>
      </c>
      <c r="O7354" t="s">
        <v>61</v>
      </c>
      <c r="Q7354" t="s">
        <v>90</v>
      </c>
      <c r="R7354" t="s">
        <v>6705</v>
      </c>
      <c r="S7354" t="s">
        <v>981</v>
      </c>
    </row>
    <row r="7355" spans="1:19" x14ac:dyDescent="0.25">
      <c r="A7355" t="s">
        <v>44</v>
      </c>
      <c r="B7355" t="s">
        <v>51</v>
      </c>
      <c r="C7355" t="s">
        <v>32</v>
      </c>
      <c r="D7355" t="s">
        <v>953</v>
      </c>
      <c r="E7355" t="s">
        <v>980</v>
      </c>
      <c r="F7355" t="s">
        <v>35</v>
      </c>
      <c r="G7355" t="s">
        <v>35</v>
      </c>
      <c r="H7355" t="s">
        <v>35</v>
      </c>
      <c r="J7355" t="s">
        <v>7110</v>
      </c>
      <c r="K7355" t="s">
        <v>1092</v>
      </c>
      <c r="M7355">
        <v>0.7</v>
      </c>
      <c r="N7355">
        <v>20</v>
      </c>
      <c r="O7355" t="s">
        <v>46</v>
      </c>
      <c r="Q7355" t="s">
        <v>1004</v>
      </c>
      <c r="R7355" t="s">
        <v>6707</v>
      </c>
      <c r="S7355" t="s">
        <v>955</v>
      </c>
    </row>
    <row r="7356" spans="1:19" x14ac:dyDescent="0.25">
      <c r="A7356" t="s">
        <v>30</v>
      </c>
      <c r="B7356" t="s">
        <v>31</v>
      </c>
      <c r="C7356" t="s">
        <v>32</v>
      </c>
      <c r="D7356" t="s">
        <v>953</v>
      </c>
      <c r="E7356" t="s">
        <v>980</v>
      </c>
      <c r="F7356" t="s">
        <v>35</v>
      </c>
      <c r="G7356" t="s">
        <v>35</v>
      </c>
      <c r="H7356" t="s">
        <v>35</v>
      </c>
      <c r="J7356" t="s">
        <v>7111</v>
      </c>
      <c r="K7356" t="s">
        <v>1092</v>
      </c>
      <c r="M7356">
        <v>10.98</v>
      </c>
      <c r="N7356">
        <v>48</v>
      </c>
      <c r="O7356" t="s">
        <v>52</v>
      </c>
      <c r="Q7356" t="s">
        <v>496</v>
      </c>
      <c r="R7356" t="s">
        <v>6705</v>
      </c>
      <c r="S7356" t="s">
        <v>981</v>
      </c>
    </row>
    <row r="7357" spans="1:19" x14ac:dyDescent="0.25">
      <c r="A7357" t="s">
        <v>30</v>
      </c>
      <c r="B7357" t="s">
        <v>31</v>
      </c>
      <c r="C7357" t="s">
        <v>32</v>
      </c>
      <c r="D7357" t="s">
        <v>953</v>
      </c>
      <c r="E7357" t="s">
        <v>980</v>
      </c>
      <c r="F7357" t="s">
        <v>35</v>
      </c>
      <c r="G7357" t="s">
        <v>35</v>
      </c>
      <c r="H7357" t="s">
        <v>35</v>
      </c>
      <c r="J7357" t="s">
        <v>7111</v>
      </c>
      <c r="K7357" t="s">
        <v>1092</v>
      </c>
      <c r="M7357">
        <v>4.2750000000000004</v>
      </c>
      <c r="N7357">
        <v>77</v>
      </c>
      <c r="O7357" t="s">
        <v>61</v>
      </c>
      <c r="Q7357" t="s">
        <v>305</v>
      </c>
      <c r="R7357" t="s">
        <v>6705</v>
      </c>
      <c r="S7357" t="s">
        <v>981</v>
      </c>
    </row>
    <row r="7358" spans="1:19" x14ac:dyDescent="0.25">
      <c r="A7358" t="s">
        <v>44</v>
      </c>
      <c r="B7358" t="s">
        <v>3</v>
      </c>
      <c r="C7358" t="s">
        <v>32</v>
      </c>
      <c r="D7358" t="s">
        <v>953</v>
      </c>
      <c r="E7358" t="s">
        <v>980</v>
      </c>
      <c r="F7358" t="s">
        <v>35</v>
      </c>
      <c r="G7358" t="s">
        <v>35</v>
      </c>
      <c r="H7358" t="s">
        <v>35</v>
      </c>
      <c r="J7358" t="s">
        <v>7111</v>
      </c>
      <c r="K7358" t="s">
        <v>1092</v>
      </c>
      <c r="M7358">
        <v>3</v>
      </c>
      <c r="N7358">
        <v>69</v>
      </c>
      <c r="O7358" t="s">
        <v>61</v>
      </c>
      <c r="Q7358" t="s">
        <v>139</v>
      </c>
      <c r="R7358" t="s">
        <v>6705</v>
      </c>
      <c r="S7358" t="s">
        <v>981</v>
      </c>
    </row>
    <row r="7359" spans="1:19" x14ac:dyDescent="0.25">
      <c r="A7359" t="s">
        <v>59</v>
      </c>
      <c r="B7359" t="s">
        <v>60</v>
      </c>
      <c r="C7359" t="s">
        <v>32</v>
      </c>
      <c r="D7359" t="s">
        <v>953</v>
      </c>
      <c r="E7359" t="s">
        <v>980</v>
      </c>
      <c r="F7359" t="s">
        <v>35</v>
      </c>
      <c r="G7359" t="s">
        <v>35</v>
      </c>
      <c r="H7359" t="s">
        <v>35</v>
      </c>
      <c r="J7359" t="s">
        <v>7111</v>
      </c>
      <c r="K7359" t="s">
        <v>1092</v>
      </c>
      <c r="M7359">
        <v>3.3</v>
      </c>
      <c r="N7359">
        <v>73</v>
      </c>
      <c r="O7359" t="s">
        <v>61</v>
      </c>
      <c r="Q7359" t="s">
        <v>552</v>
      </c>
      <c r="R7359" t="s">
        <v>6705</v>
      </c>
      <c r="S7359" t="s">
        <v>981</v>
      </c>
    </row>
    <row r="7360" spans="1:19" x14ac:dyDescent="0.25">
      <c r="A7360" t="s">
        <v>30</v>
      </c>
      <c r="B7360" t="s">
        <v>31</v>
      </c>
      <c r="C7360" t="s">
        <v>32</v>
      </c>
      <c r="D7360" t="s">
        <v>953</v>
      </c>
      <c r="E7360" t="s">
        <v>980</v>
      </c>
      <c r="F7360" t="s">
        <v>35</v>
      </c>
      <c r="G7360" t="s">
        <v>35</v>
      </c>
      <c r="H7360" t="s">
        <v>35</v>
      </c>
      <c r="J7360" t="s">
        <v>7111</v>
      </c>
      <c r="K7360" t="s">
        <v>1092</v>
      </c>
      <c r="M7360">
        <v>10.98</v>
      </c>
      <c r="N7360">
        <v>46</v>
      </c>
      <c r="O7360" t="s">
        <v>52</v>
      </c>
      <c r="Q7360" t="s">
        <v>493</v>
      </c>
      <c r="R7360" t="s">
        <v>133</v>
      </c>
      <c r="S7360" t="s">
        <v>134</v>
      </c>
    </row>
    <row r="7361" spans="1:19" x14ac:dyDescent="0.25">
      <c r="A7361" t="s">
        <v>44</v>
      </c>
      <c r="B7361" t="s">
        <v>51</v>
      </c>
      <c r="C7361" t="s">
        <v>32</v>
      </c>
      <c r="D7361" t="s">
        <v>953</v>
      </c>
      <c r="E7361" t="s">
        <v>980</v>
      </c>
      <c r="F7361" t="s">
        <v>35</v>
      </c>
      <c r="G7361" t="s">
        <v>35</v>
      </c>
      <c r="H7361" t="s">
        <v>35</v>
      </c>
      <c r="J7361" t="s">
        <v>7111</v>
      </c>
      <c r="K7361" t="s">
        <v>1092</v>
      </c>
      <c r="M7361">
        <v>11</v>
      </c>
      <c r="N7361">
        <v>59</v>
      </c>
      <c r="O7361" t="s">
        <v>52</v>
      </c>
      <c r="Q7361" t="s">
        <v>84</v>
      </c>
      <c r="R7361" t="s">
        <v>6705</v>
      </c>
      <c r="S7361" t="s">
        <v>981</v>
      </c>
    </row>
    <row r="7362" spans="1:19" x14ac:dyDescent="0.25">
      <c r="A7362" t="s">
        <v>59</v>
      </c>
      <c r="B7362" t="s">
        <v>31</v>
      </c>
      <c r="C7362" t="s">
        <v>32</v>
      </c>
      <c r="D7362" t="s">
        <v>953</v>
      </c>
      <c r="E7362" t="s">
        <v>980</v>
      </c>
      <c r="F7362" t="s">
        <v>35</v>
      </c>
      <c r="G7362" t="s">
        <v>35</v>
      </c>
      <c r="H7362" t="s">
        <v>35</v>
      </c>
      <c r="J7362" t="s">
        <v>7112</v>
      </c>
      <c r="K7362" t="s">
        <v>1092</v>
      </c>
      <c r="M7362">
        <v>1.62</v>
      </c>
      <c r="N7362">
        <v>73</v>
      </c>
      <c r="O7362" t="s">
        <v>61</v>
      </c>
      <c r="Q7362" t="s">
        <v>552</v>
      </c>
      <c r="R7362" t="s">
        <v>6705</v>
      </c>
      <c r="S7362" t="s">
        <v>981</v>
      </c>
    </row>
    <row r="7363" spans="1:19" x14ac:dyDescent="0.25">
      <c r="A7363" t="s">
        <v>44</v>
      </c>
      <c r="B7363" t="s">
        <v>51</v>
      </c>
      <c r="C7363" t="s">
        <v>32</v>
      </c>
      <c r="D7363" t="s">
        <v>953</v>
      </c>
      <c r="E7363" t="s">
        <v>980</v>
      </c>
      <c r="F7363" t="s">
        <v>35</v>
      </c>
      <c r="G7363" t="s">
        <v>35</v>
      </c>
      <c r="H7363" t="s">
        <v>35</v>
      </c>
      <c r="J7363" t="s">
        <v>7112</v>
      </c>
      <c r="K7363" t="s">
        <v>1092</v>
      </c>
      <c r="M7363">
        <v>0.5</v>
      </c>
      <c r="N7363">
        <v>19</v>
      </c>
      <c r="O7363" t="s">
        <v>46</v>
      </c>
      <c r="Q7363" t="s">
        <v>1192</v>
      </c>
      <c r="R7363" t="s">
        <v>6865</v>
      </c>
      <c r="S7363" t="s">
        <v>984</v>
      </c>
    </row>
    <row r="7364" spans="1:19" x14ac:dyDescent="0.25">
      <c r="A7364" t="s">
        <v>59</v>
      </c>
      <c r="B7364" t="s">
        <v>60</v>
      </c>
      <c r="C7364" t="s">
        <v>32</v>
      </c>
      <c r="D7364" t="s">
        <v>953</v>
      </c>
      <c r="E7364" t="s">
        <v>980</v>
      </c>
      <c r="F7364" t="s">
        <v>35</v>
      </c>
      <c r="G7364" t="s">
        <v>35</v>
      </c>
      <c r="H7364" t="s">
        <v>35</v>
      </c>
      <c r="J7364" t="s">
        <v>7112</v>
      </c>
      <c r="K7364" t="s">
        <v>1092</v>
      </c>
      <c r="M7364">
        <v>1.8</v>
      </c>
      <c r="N7364">
        <v>62</v>
      </c>
      <c r="O7364" t="s">
        <v>61</v>
      </c>
      <c r="Q7364" t="s">
        <v>90</v>
      </c>
      <c r="R7364" t="s">
        <v>6705</v>
      </c>
      <c r="S7364" t="s">
        <v>981</v>
      </c>
    </row>
    <row r="7365" spans="1:19" x14ac:dyDescent="0.25">
      <c r="A7365" t="s">
        <v>59</v>
      </c>
      <c r="B7365" t="s">
        <v>31</v>
      </c>
      <c r="C7365" t="s">
        <v>32</v>
      </c>
      <c r="D7365" t="s">
        <v>953</v>
      </c>
      <c r="E7365" t="s">
        <v>980</v>
      </c>
      <c r="F7365" t="s">
        <v>35</v>
      </c>
      <c r="G7365" t="s">
        <v>35</v>
      </c>
      <c r="H7365" t="s">
        <v>35</v>
      </c>
      <c r="J7365" t="s">
        <v>7112</v>
      </c>
      <c r="K7365" t="s">
        <v>1092</v>
      </c>
      <c r="M7365">
        <v>3.0150000000000001</v>
      </c>
      <c r="N7365">
        <v>62</v>
      </c>
      <c r="O7365" t="s">
        <v>61</v>
      </c>
      <c r="Q7365" t="s">
        <v>90</v>
      </c>
      <c r="R7365" t="s">
        <v>6705</v>
      </c>
      <c r="S7365" t="s">
        <v>981</v>
      </c>
    </row>
    <row r="7366" spans="1:19" x14ac:dyDescent="0.25">
      <c r="A7366" t="s">
        <v>44</v>
      </c>
      <c r="B7366" t="s">
        <v>3</v>
      </c>
      <c r="C7366" t="s">
        <v>32</v>
      </c>
      <c r="D7366" t="s">
        <v>953</v>
      </c>
      <c r="E7366" t="s">
        <v>980</v>
      </c>
      <c r="F7366" t="s">
        <v>35</v>
      </c>
      <c r="G7366" t="s">
        <v>35</v>
      </c>
      <c r="H7366" t="s">
        <v>35</v>
      </c>
      <c r="J7366" t="s">
        <v>7113</v>
      </c>
      <c r="K7366" t="s">
        <v>1092</v>
      </c>
      <c r="M7366">
        <v>1.5</v>
      </c>
      <c r="N7366">
        <v>2</v>
      </c>
      <c r="O7366" t="s">
        <v>46</v>
      </c>
      <c r="Q7366" t="s">
        <v>8155</v>
      </c>
      <c r="R7366" t="s">
        <v>6762</v>
      </c>
      <c r="S7366" t="s">
        <v>992</v>
      </c>
    </row>
    <row r="7367" spans="1:19" x14ac:dyDescent="0.25">
      <c r="A7367" t="s">
        <v>30</v>
      </c>
      <c r="B7367" t="s">
        <v>31</v>
      </c>
      <c r="C7367" t="s">
        <v>32</v>
      </c>
      <c r="D7367" t="s">
        <v>953</v>
      </c>
      <c r="E7367" t="s">
        <v>980</v>
      </c>
      <c r="F7367" t="s">
        <v>35</v>
      </c>
      <c r="G7367" t="s">
        <v>35</v>
      </c>
      <c r="H7367" t="s">
        <v>35</v>
      </c>
      <c r="J7367" t="s">
        <v>7114</v>
      </c>
      <c r="K7367" t="s">
        <v>1092</v>
      </c>
      <c r="M7367">
        <v>4.9050000000000002</v>
      </c>
      <c r="N7367">
        <v>48</v>
      </c>
      <c r="O7367" t="s">
        <v>52</v>
      </c>
      <c r="Q7367" t="s">
        <v>496</v>
      </c>
      <c r="R7367" t="s">
        <v>6705</v>
      </c>
      <c r="S7367" t="s">
        <v>981</v>
      </c>
    </row>
    <row r="7368" spans="1:19" x14ac:dyDescent="0.25">
      <c r="A7368" t="s">
        <v>44</v>
      </c>
      <c r="B7368" t="s">
        <v>51</v>
      </c>
      <c r="C7368" t="s">
        <v>32</v>
      </c>
      <c r="D7368" t="s">
        <v>953</v>
      </c>
      <c r="E7368" t="s">
        <v>980</v>
      </c>
      <c r="F7368" t="s">
        <v>35</v>
      </c>
      <c r="G7368" t="s">
        <v>35</v>
      </c>
      <c r="H7368" t="s">
        <v>35</v>
      </c>
      <c r="J7368" t="s">
        <v>7114</v>
      </c>
      <c r="K7368" t="s">
        <v>1092</v>
      </c>
      <c r="M7368">
        <v>5</v>
      </c>
      <c r="N7368">
        <v>59</v>
      </c>
      <c r="O7368" t="s">
        <v>52</v>
      </c>
      <c r="Q7368" t="s">
        <v>84</v>
      </c>
      <c r="R7368" t="s">
        <v>6705</v>
      </c>
      <c r="S7368" t="s">
        <v>981</v>
      </c>
    </row>
    <row r="7369" spans="1:19" x14ac:dyDescent="0.25">
      <c r="A7369" t="s">
        <v>44</v>
      </c>
      <c r="B7369" t="s">
        <v>3</v>
      </c>
      <c r="C7369" t="s">
        <v>32</v>
      </c>
      <c r="D7369" t="s">
        <v>953</v>
      </c>
      <c r="E7369" t="s">
        <v>980</v>
      </c>
      <c r="F7369" t="s">
        <v>35</v>
      </c>
      <c r="G7369" t="s">
        <v>35</v>
      </c>
      <c r="H7369" t="s">
        <v>35</v>
      </c>
      <c r="J7369" t="s">
        <v>7114</v>
      </c>
      <c r="K7369" t="s">
        <v>1092</v>
      </c>
      <c r="M7369">
        <v>4.75</v>
      </c>
      <c r="N7369">
        <v>60</v>
      </c>
      <c r="O7369" t="s">
        <v>52</v>
      </c>
      <c r="Q7369" t="s">
        <v>1734</v>
      </c>
      <c r="R7369" t="s">
        <v>6705</v>
      </c>
      <c r="S7369" t="s">
        <v>981</v>
      </c>
    </row>
    <row r="7370" spans="1:19" x14ac:dyDescent="0.25">
      <c r="A7370" t="s">
        <v>30</v>
      </c>
      <c r="B7370" t="s">
        <v>31</v>
      </c>
      <c r="C7370" t="s">
        <v>32</v>
      </c>
      <c r="D7370" t="s">
        <v>953</v>
      </c>
      <c r="E7370" t="s">
        <v>980</v>
      </c>
      <c r="F7370" t="s">
        <v>35</v>
      </c>
      <c r="G7370" t="s">
        <v>35</v>
      </c>
      <c r="H7370" t="s">
        <v>35</v>
      </c>
      <c r="J7370" t="s">
        <v>7115</v>
      </c>
      <c r="K7370" t="s">
        <v>1092</v>
      </c>
      <c r="M7370">
        <v>3.6</v>
      </c>
      <c r="N7370">
        <v>47</v>
      </c>
      <c r="O7370" t="s">
        <v>52</v>
      </c>
      <c r="Q7370" t="s">
        <v>132</v>
      </c>
      <c r="R7370" t="s">
        <v>987</v>
      </c>
      <c r="S7370" t="s">
        <v>988</v>
      </c>
    </row>
    <row r="7371" spans="1:19" x14ac:dyDescent="0.25">
      <c r="A7371" t="s">
        <v>59</v>
      </c>
      <c r="B7371" t="s">
        <v>60</v>
      </c>
      <c r="C7371" t="s">
        <v>32</v>
      </c>
      <c r="D7371" t="s">
        <v>953</v>
      </c>
      <c r="E7371" t="s">
        <v>980</v>
      </c>
      <c r="F7371" t="s">
        <v>35</v>
      </c>
      <c r="G7371" t="s">
        <v>35</v>
      </c>
      <c r="H7371" t="s">
        <v>35</v>
      </c>
      <c r="J7371" t="s">
        <v>7115</v>
      </c>
      <c r="K7371" t="s">
        <v>1092</v>
      </c>
      <c r="M7371">
        <v>3.9</v>
      </c>
      <c r="N7371">
        <v>60</v>
      </c>
      <c r="O7371" t="s">
        <v>52</v>
      </c>
      <c r="Q7371" t="s">
        <v>1734</v>
      </c>
      <c r="R7371" t="s">
        <v>133</v>
      </c>
      <c r="S7371" t="s">
        <v>134</v>
      </c>
    </row>
    <row r="7372" spans="1:19" x14ac:dyDescent="0.25">
      <c r="A7372" t="s">
        <v>59</v>
      </c>
      <c r="B7372" t="s">
        <v>60</v>
      </c>
      <c r="C7372" t="s">
        <v>32</v>
      </c>
      <c r="D7372" t="s">
        <v>953</v>
      </c>
      <c r="E7372" t="s">
        <v>980</v>
      </c>
      <c r="F7372" t="s">
        <v>35</v>
      </c>
      <c r="G7372" t="s">
        <v>35</v>
      </c>
      <c r="H7372" t="s">
        <v>35</v>
      </c>
      <c r="J7372" t="s">
        <v>7116</v>
      </c>
      <c r="K7372" t="s">
        <v>1092</v>
      </c>
      <c r="M7372">
        <v>0.248</v>
      </c>
      <c r="N7372">
        <v>51</v>
      </c>
      <c r="O7372" t="s">
        <v>52</v>
      </c>
      <c r="Q7372" t="s">
        <v>54</v>
      </c>
      <c r="R7372" t="s">
        <v>6865</v>
      </c>
      <c r="S7372" t="s">
        <v>984</v>
      </c>
    </row>
    <row r="7373" spans="1:19" x14ac:dyDescent="0.25">
      <c r="A7373" t="s">
        <v>59</v>
      </c>
      <c r="B7373" t="s">
        <v>60</v>
      </c>
      <c r="C7373" t="s">
        <v>32</v>
      </c>
      <c r="D7373" t="s">
        <v>953</v>
      </c>
      <c r="E7373" t="s">
        <v>980</v>
      </c>
      <c r="F7373" t="s">
        <v>35</v>
      </c>
      <c r="G7373" t="s">
        <v>35</v>
      </c>
      <c r="H7373" t="s">
        <v>35</v>
      </c>
      <c r="J7373" t="s">
        <v>7116</v>
      </c>
      <c r="K7373" t="s">
        <v>1092</v>
      </c>
      <c r="M7373">
        <v>0.25</v>
      </c>
      <c r="N7373">
        <v>41</v>
      </c>
      <c r="O7373" t="s">
        <v>52</v>
      </c>
      <c r="Q7373" t="s">
        <v>249</v>
      </c>
      <c r="R7373" t="s">
        <v>6865</v>
      </c>
      <c r="S7373" t="s">
        <v>984</v>
      </c>
    </row>
    <row r="7374" spans="1:19" x14ac:dyDescent="0.25">
      <c r="A7374" t="s">
        <v>59</v>
      </c>
      <c r="B7374" t="s">
        <v>31</v>
      </c>
      <c r="C7374" t="s">
        <v>32</v>
      </c>
      <c r="D7374" t="s">
        <v>953</v>
      </c>
      <c r="E7374" t="s">
        <v>980</v>
      </c>
      <c r="F7374" t="s">
        <v>35</v>
      </c>
      <c r="G7374" t="s">
        <v>35</v>
      </c>
      <c r="H7374" t="s">
        <v>35</v>
      </c>
      <c r="J7374" t="s">
        <v>7117</v>
      </c>
      <c r="K7374" t="s">
        <v>1092</v>
      </c>
      <c r="M7374">
        <v>0.01</v>
      </c>
      <c r="N7374">
        <v>868</v>
      </c>
      <c r="O7374" t="s">
        <v>575</v>
      </c>
      <c r="Q7374" t="s">
        <v>5042</v>
      </c>
      <c r="R7374" t="s">
        <v>6721</v>
      </c>
      <c r="S7374" t="s">
        <v>1078</v>
      </c>
    </row>
    <row r="7375" spans="1:19" x14ac:dyDescent="0.25">
      <c r="A7375" t="s">
        <v>59</v>
      </c>
      <c r="B7375" t="s">
        <v>60</v>
      </c>
      <c r="C7375" t="s">
        <v>32</v>
      </c>
      <c r="D7375" t="s">
        <v>953</v>
      </c>
      <c r="E7375" t="s">
        <v>980</v>
      </c>
      <c r="F7375" t="s">
        <v>35</v>
      </c>
      <c r="G7375" t="s">
        <v>35</v>
      </c>
      <c r="H7375" t="s">
        <v>35</v>
      </c>
      <c r="J7375" t="s">
        <v>7117</v>
      </c>
      <c r="K7375" t="s">
        <v>1092</v>
      </c>
      <c r="M7375">
        <v>0.75</v>
      </c>
      <c r="N7375">
        <v>720</v>
      </c>
      <c r="O7375" t="s">
        <v>575</v>
      </c>
      <c r="Q7375" t="s">
        <v>7118</v>
      </c>
      <c r="R7375" t="s">
        <v>6721</v>
      </c>
      <c r="S7375" t="s">
        <v>1078</v>
      </c>
    </row>
    <row r="7376" spans="1:19" x14ac:dyDescent="0.25">
      <c r="A7376" t="s">
        <v>30</v>
      </c>
      <c r="B7376" t="s">
        <v>31</v>
      </c>
      <c r="C7376" t="s">
        <v>32</v>
      </c>
      <c r="D7376" t="s">
        <v>953</v>
      </c>
      <c r="E7376" t="s">
        <v>980</v>
      </c>
      <c r="F7376" t="s">
        <v>35</v>
      </c>
      <c r="G7376" t="s">
        <v>35</v>
      </c>
      <c r="H7376" t="s">
        <v>35</v>
      </c>
      <c r="J7376" t="s">
        <v>7119</v>
      </c>
      <c r="K7376" t="s">
        <v>1092</v>
      </c>
      <c r="M7376">
        <v>4.8150000000000004</v>
      </c>
      <c r="N7376">
        <v>45</v>
      </c>
      <c r="O7376" t="s">
        <v>52</v>
      </c>
      <c r="Q7376" t="s">
        <v>716</v>
      </c>
      <c r="R7376" t="s">
        <v>6709</v>
      </c>
      <c r="S7376" t="s">
        <v>1022</v>
      </c>
    </row>
    <row r="7377" spans="1:19" x14ac:dyDescent="0.25">
      <c r="A7377" t="s">
        <v>59</v>
      </c>
      <c r="B7377" t="s">
        <v>60</v>
      </c>
      <c r="C7377" t="s">
        <v>32</v>
      </c>
      <c r="D7377" t="s">
        <v>953</v>
      </c>
      <c r="E7377" t="s">
        <v>980</v>
      </c>
      <c r="F7377" t="s">
        <v>35</v>
      </c>
      <c r="G7377" t="s">
        <v>35</v>
      </c>
      <c r="H7377" t="s">
        <v>35</v>
      </c>
      <c r="J7377" t="s">
        <v>7119</v>
      </c>
      <c r="K7377" t="s">
        <v>1092</v>
      </c>
      <c r="M7377">
        <v>0.25</v>
      </c>
      <c r="N7377">
        <v>721</v>
      </c>
      <c r="O7377" t="s">
        <v>575</v>
      </c>
      <c r="Q7377" t="s">
        <v>7120</v>
      </c>
      <c r="R7377" t="s">
        <v>133</v>
      </c>
      <c r="S7377" t="s">
        <v>134</v>
      </c>
    </row>
    <row r="7378" spans="1:19" x14ac:dyDescent="0.25">
      <c r="A7378" t="s">
        <v>44</v>
      </c>
      <c r="B7378" t="s">
        <v>51</v>
      </c>
      <c r="C7378" t="s">
        <v>32</v>
      </c>
      <c r="D7378" t="s">
        <v>953</v>
      </c>
      <c r="E7378" t="s">
        <v>980</v>
      </c>
      <c r="F7378" t="s">
        <v>35</v>
      </c>
      <c r="G7378" t="s">
        <v>35</v>
      </c>
      <c r="H7378" t="s">
        <v>35</v>
      </c>
      <c r="J7378" t="s">
        <v>7121</v>
      </c>
      <c r="K7378" t="s">
        <v>1092</v>
      </c>
      <c r="M7378">
        <v>0.25</v>
      </c>
      <c r="N7378">
        <v>23</v>
      </c>
      <c r="O7378" t="s">
        <v>46</v>
      </c>
      <c r="Q7378" t="s">
        <v>1819</v>
      </c>
      <c r="R7378" t="s">
        <v>6865</v>
      </c>
      <c r="S7378" t="s">
        <v>984</v>
      </c>
    </row>
    <row r="7379" spans="1:19" x14ac:dyDescent="0.25">
      <c r="A7379" t="s">
        <v>30</v>
      </c>
      <c r="B7379" t="s">
        <v>31</v>
      </c>
      <c r="C7379" t="s">
        <v>32</v>
      </c>
      <c r="D7379" t="s">
        <v>953</v>
      </c>
      <c r="E7379" t="s">
        <v>980</v>
      </c>
      <c r="F7379" t="s">
        <v>35</v>
      </c>
      <c r="G7379" t="s">
        <v>35</v>
      </c>
      <c r="H7379" t="s">
        <v>35</v>
      </c>
      <c r="J7379" t="s">
        <v>7122</v>
      </c>
      <c r="K7379" t="s">
        <v>1092</v>
      </c>
      <c r="M7379">
        <v>0.315</v>
      </c>
      <c r="N7379">
        <v>16</v>
      </c>
      <c r="O7379" t="s">
        <v>46</v>
      </c>
      <c r="Q7379" t="s">
        <v>323</v>
      </c>
      <c r="R7379" t="s">
        <v>6720</v>
      </c>
      <c r="S7379" t="s">
        <v>961</v>
      </c>
    </row>
    <row r="7380" spans="1:19" x14ac:dyDescent="0.25">
      <c r="A7380" t="s">
        <v>59</v>
      </c>
      <c r="B7380" t="s">
        <v>60</v>
      </c>
      <c r="C7380" t="s">
        <v>32</v>
      </c>
      <c r="D7380" t="s">
        <v>953</v>
      </c>
      <c r="E7380" t="s">
        <v>980</v>
      </c>
      <c r="F7380" t="s">
        <v>35</v>
      </c>
      <c r="G7380" t="s">
        <v>35</v>
      </c>
      <c r="H7380" t="s">
        <v>35</v>
      </c>
      <c r="J7380" t="s">
        <v>7122</v>
      </c>
      <c r="K7380" t="s">
        <v>1092</v>
      </c>
      <c r="M7380">
        <v>0.05</v>
      </c>
      <c r="N7380">
        <v>30</v>
      </c>
      <c r="O7380" t="s">
        <v>46</v>
      </c>
      <c r="Q7380" t="s">
        <v>793</v>
      </c>
      <c r="R7380" t="s">
        <v>6720</v>
      </c>
      <c r="S7380" t="s">
        <v>961</v>
      </c>
    </row>
    <row r="7381" spans="1:19" x14ac:dyDescent="0.25">
      <c r="A7381" t="s">
        <v>44</v>
      </c>
      <c r="B7381" t="s">
        <v>51</v>
      </c>
      <c r="C7381" t="s">
        <v>32</v>
      </c>
      <c r="D7381" t="s">
        <v>953</v>
      </c>
      <c r="E7381" t="s">
        <v>980</v>
      </c>
      <c r="F7381" t="s">
        <v>35</v>
      </c>
      <c r="G7381" t="s">
        <v>35</v>
      </c>
      <c r="H7381" t="s">
        <v>35</v>
      </c>
      <c r="J7381" t="s">
        <v>7123</v>
      </c>
      <c r="K7381" t="s">
        <v>1092</v>
      </c>
      <c r="M7381">
        <v>5.5</v>
      </c>
      <c r="N7381">
        <v>41</v>
      </c>
      <c r="O7381" t="s">
        <v>52</v>
      </c>
      <c r="Q7381" t="s">
        <v>249</v>
      </c>
      <c r="R7381" t="s">
        <v>6865</v>
      </c>
      <c r="S7381" t="s">
        <v>984</v>
      </c>
    </row>
    <row r="7382" spans="1:19" x14ac:dyDescent="0.25">
      <c r="A7382" t="s">
        <v>59</v>
      </c>
      <c r="B7382" t="s">
        <v>31</v>
      </c>
      <c r="C7382" t="s">
        <v>32</v>
      </c>
      <c r="D7382" t="s">
        <v>953</v>
      </c>
      <c r="E7382" t="s">
        <v>980</v>
      </c>
      <c r="F7382" t="s">
        <v>35</v>
      </c>
      <c r="G7382" t="s">
        <v>35</v>
      </c>
      <c r="H7382" t="s">
        <v>35</v>
      </c>
      <c r="J7382" t="s">
        <v>7123</v>
      </c>
      <c r="K7382" t="s">
        <v>1092</v>
      </c>
      <c r="M7382">
        <v>5.49</v>
      </c>
      <c r="N7382">
        <v>73</v>
      </c>
      <c r="O7382" t="s">
        <v>61</v>
      </c>
      <c r="Q7382" t="s">
        <v>552</v>
      </c>
      <c r="R7382" t="s">
        <v>6705</v>
      </c>
      <c r="S7382" t="s">
        <v>981</v>
      </c>
    </row>
    <row r="7383" spans="1:19" x14ac:dyDescent="0.25">
      <c r="A7383" t="s">
        <v>44</v>
      </c>
      <c r="B7383" t="s">
        <v>3</v>
      </c>
      <c r="C7383" t="s">
        <v>32</v>
      </c>
      <c r="D7383" t="s">
        <v>953</v>
      </c>
      <c r="E7383" t="s">
        <v>980</v>
      </c>
      <c r="F7383" t="s">
        <v>35</v>
      </c>
      <c r="G7383" t="s">
        <v>35</v>
      </c>
      <c r="H7383" t="s">
        <v>35</v>
      </c>
      <c r="J7383" t="s">
        <v>7123</v>
      </c>
      <c r="K7383" t="s">
        <v>1092</v>
      </c>
      <c r="M7383">
        <v>5.5</v>
      </c>
      <c r="N7383">
        <v>69</v>
      </c>
      <c r="O7383" t="s">
        <v>61</v>
      </c>
      <c r="Q7383" t="s">
        <v>139</v>
      </c>
      <c r="R7383" t="s">
        <v>6705</v>
      </c>
      <c r="S7383" t="s">
        <v>981</v>
      </c>
    </row>
    <row r="7384" spans="1:19" x14ac:dyDescent="0.25">
      <c r="A7384" t="s">
        <v>59</v>
      </c>
      <c r="B7384" t="s">
        <v>60</v>
      </c>
      <c r="C7384" t="s">
        <v>32</v>
      </c>
      <c r="D7384" t="s">
        <v>953</v>
      </c>
      <c r="E7384" t="s">
        <v>980</v>
      </c>
      <c r="F7384" t="s">
        <v>35</v>
      </c>
      <c r="G7384" t="s">
        <v>35</v>
      </c>
      <c r="H7384" t="s">
        <v>35</v>
      </c>
      <c r="J7384" t="s">
        <v>7123</v>
      </c>
      <c r="K7384" t="s">
        <v>1092</v>
      </c>
      <c r="M7384">
        <v>5.5</v>
      </c>
      <c r="N7384">
        <v>73</v>
      </c>
      <c r="O7384" t="s">
        <v>61</v>
      </c>
      <c r="Q7384" t="s">
        <v>552</v>
      </c>
      <c r="R7384" t="s">
        <v>6705</v>
      </c>
      <c r="S7384" t="s">
        <v>981</v>
      </c>
    </row>
    <row r="7385" spans="1:19" x14ac:dyDescent="0.25">
      <c r="A7385" t="s">
        <v>59</v>
      </c>
      <c r="B7385" t="s">
        <v>31</v>
      </c>
      <c r="C7385" t="s">
        <v>32</v>
      </c>
      <c r="D7385" t="s">
        <v>953</v>
      </c>
      <c r="E7385" t="s">
        <v>980</v>
      </c>
      <c r="F7385" t="s">
        <v>35</v>
      </c>
      <c r="G7385" t="s">
        <v>35</v>
      </c>
      <c r="H7385" t="s">
        <v>35</v>
      </c>
      <c r="J7385" t="s">
        <v>7123</v>
      </c>
      <c r="K7385" t="s">
        <v>1092</v>
      </c>
      <c r="M7385">
        <v>4.41</v>
      </c>
      <c r="N7385">
        <v>100</v>
      </c>
      <c r="O7385" t="s">
        <v>106</v>
      </c>
      <c r="Q7385" t="s">
        <v>1112</v>
      </c>
      <c r="R7385" t="s">
        <v>6705</v>
      </c>
      <c r="S7385" t="s">
        <v>981</v>
      </c>
    </row>
    <row r="7386" spans="1:19" x14ac:dyDescent="0.25">
      <c r="A7386" t="s">
        <v>59</v>
      </c>
      <c r="B7386" t="s">
        <v>60</v>
      </c>
      <c r="C7386" t="s">
        <v>32</v>
      </c>
      <c r="D7386" t="s">
        <v>953</v>
      </c>
      <c r="E7386" t="s">
        <v>980</v>
      </c>
      <c r="F7386" t="s">
        <v>35</v>
      </c>
      <c r="G7386" t="s">
        <v>35</v>
      </c>
      <c r="H7386" t="s">
        <v>35</v>
      </c>
      <c r="J7386" t="s">
        <v>7123</v>
      </c>
      <c r="K7386" t="s">
        <v>1092</v>
      </c>
      <c r="M7386">
        <v>0.25</v>
      </c>
      <c r="N7386">
        <v>100</v>
      </c>
      <c r="O7386" t="s">
        <v>106</v>
      </c>
      <c r="Q7386" t="s">
        <v>1112</v>
      </c>
      <c r="R7386" t="s">
        <v>6705</v>
      </c>
      <c r="S7386" t="s">
        <v>981</v>
      </c>
    </row>
    <row r="7387" spans="1:19" x14ac:dyDescent="0.25">
      <c r="A7387" t="s">
        <v>30</v>
      </c>
      <c r="B7387" t="s">
        <v>31</v>
      </c>
      <c r="C7387" t="s">
        <v>32</v>
      </c>
      <c r="D7387" t="s">
        <v>953</v>
      </c>
      <c r="E7387" t="s">
        <v>980</v>
      </c>
      <c r="F7387" t="s">
        <v>35</v>
      </c>
      <c r="G7387" t="s">
        <v>35</v>
      </c>
      <c r="H7387" t="s">
        <v>35</v>
      </c>
      <c r="J7387" t="s">
        <v>7123</v>
      </c>
      <c r="K7387" t="s">
        <v>1092</v>
      </c>
      <c r="M7387">
        <v>10.62</v>
      </c>
      <c r="N7387">
        <v>48</v>
      </c>
      <c r="O7387" t="s">
        <v>52</v>
      </c>
      <c r="Q7387" t="s">
        <v>496</v>
      </c>
      <c r="R7387" t="s">
        <v>6705</v>
      </c>
      <c r="S7387" t="s">
        <v>981</v>
      </c>
    </row>
    <row r="7388" spans="1:19" x14ac:dyDescent="0.25">
      <c r="A7388" t="s">
        <v>44</v>
      </c>
      <c r="B7388" t="s">
        <v>51</v>
      </c>
      <c r="C7388" t="s">
        <v>32</v>
      </c>
      <c r="D7388" t="s">
        <v>953</v>
      </c>
      <c r="E7388" t="s">
        <v>980</v>
      </c>
      <c r="F7388" t="s">
        <v>35</v>
      </c>
      <c r="G7388" t="s">
        <v>35</v>
      </c>
      <c r="H7388" t="s">
        <v>35</v>
      </c>
      <c r="J7388" t="s">
        <v>7123</v>
      </c>
      <c r="K7388" t="s">
        <v>1092</v>
      </c>
      <c r="M7388">
        <v>5.5</v>
      </c>
      <c r="N7388">
        <v>59</v>
      </c>
      <c r="O7388" t="s">
        <v>52</v>
      </c>
      <c r="Q7388" t="s">
        <v>84</v>
      </c>
      <c r="R7388" t="s">
        <v>6705</v>
      </c>
      <c r="S7388" t="s">
        <v>981</v>
      </c>
    </row>
    <row r="7389" spans="1:19" x14ac:dyDescent="0.25">
      <c r="A7389" t="s">
        <v>30</v>
      </c>
      <c r="B7389" t="s">
        <v>31</v>
      </c>
      <c r="C7389" t="s">
        <v>32</v>
      </c>
      <c r="D7389" t="s">
        <v>953</v>
      </c>
      <c r="E7389" t="s">
        <v>980</v>
      </c>
      <c r="F7389" t="s">
        <v>35</v>
      </c>
      <c r="G7389" t="s">
        <v>35</v>
      </c>
      <c r="H7389" t="s">
        <v>35</v>
      </c>
      <c r="J7389" t="s">
        <v>7124</v>
      </c>
      <c r="K7389" t="s">
        <v>1092</v>
      </c>
      <c r="M7389">
        <v>4.68</v>
      </c>
      <c r="N7389">
        <v>47</v>
      </c>
      <c r="O7389" t="s">
        <v>52</v>
      </c>
      <c r="Q7389" t="s">
        <v>132</v>
      </c>
      <c r="R7389" t="s">
        <v>987</v>
      </c>
      <c r="S7389" t="s">
        <v>988</v>
      </c>
    </row>
    <row r="7390" spans="1:19" x14ac:dyDescent="0.25">
      <c r="A7390" t="s">
        <v>59</v>
      </c>
      <c r="B7390" t="s">
        <v>60</v>
      </c>
      <c r="C7390" t="s">
        <v>32</v>
      </c>
      <c r="D7390" t="s">
        <v>953</v>
      </c>
      <c r="E7390" t="s">
        <v>980</v>
      </c>
      <c r="F7390" t="s">
        <v>35</v>
      </c>
      <c r="G7390" t="s">
        <v>35</v>
      </c>
      <c r="H7390" t="s">
        <v>35</v>
      </c>
      <c r="J7390" t="s">
        <v>7124</v>
      </c>
      <c r="K7390" t="s">
        <v>1092</v>
      </c>
      <c r="M7390">
        <v>0.2</v>
      </c>
      <c r="N7390">
        <v>52</v>
      </c>
      <c r="O7390" t="s">
        <v>52</v>
      </c>
      <c r="Q7390" t="s">
        <v>1230</v>
      </c>
      <c r="R7390" t="s">
        <v>6865</v>
      </c>
      <c r="S7390" t="s">
        <v>984</v>
      </c>
    </row>
    <row r="7391" spans="1:19" x14ac:dyDescent="0.25">
      <c r="A7391" t="s">
        <v>44</v>
      </c>
      <c r="B7391" t="s">
        <v>51</v>
      </c>
      <c r="C7391" t="s">
        <v>32</v>
      </c>
      <c r="D7391" t="s">
        <v>953</v>
      </c>
      <c r="E7391" t="s">
        <v>980</v>
      </c>
      <c r="F7391" t="s">
        <v>35</v>
      </c>
      <c r="G7391" t="s">
        <v>35</v>
      </c>
      <c r="H7391" t="s">
        <v>35</v>
      </c>
      <c r="J7391" t="s">
        <v>7124</v>
      </c>
      <c r="K7391" t="s">
        <v>1092</v>
      </c>
      <c r="M7391">
        <v>1.25</v>
      </c>
      <c r="N7391">
        <v>25</v>
      </c>
      <c r="O7391" t="s">
        <v>46</v>
      </c>
      <c r="Q7391" t="s">
        <v>831</v>
      </c>
      <c r="R7391" t="s">
        <v>6865</v>
      </c>
      <c r="S7391" t="s">
        <v>984</v>
      </c>
    </row>
    <row r="7392" spans="1:19" x14ac:dyDescent="0.25">
      <c r="A7392" t="s">
        <v>59</v>
      </c>
      <c r="B7392" t="s">
        <v>60</v>
      </c>
      <c r="C7392" t="s">
        <v>32</v>
      </c>
      <c r="D7392" t="s">
        <v>953</v>
      </c>
      <c r="E7392" t="s">
        <v>980</v>
      </c>
      <c r="F7392" t="s">
        <v>35</v>
      </c>
      <c r="G7392" t="s">
        <v>35</v>
      </c>
      <c r="H7392" t="s">
        <v>35</v>
      </c>
      <c r="J7392" t="s">
        <v>7125</v>
      </c>
      <c r="K7392" t="s">
        <v>1092</v>
      </c>
      <c r="M7392">
        <v>5.5</v>
      </c>
      <c r="N7392">
        <v>75</v>
      </c>
      <c r="O7392" t="s">
        <v>61</v>
      </c>
      <c r="Q7392" t="s">
        <v>805</v>
      </c>
      <c r="R7392" t="s">
        <v>7064</v>
      </c>
      <c r="S7392" t="s">
        <v>7065</v>
      </c>
    </row>
    <row r="7393" spans="1:19" x14ac:dyDescent="0.25">
      <c r="A7393" t="s">
        <v>59</v>
      </c>
      <c r="B7393" t="s">
        <v>60</v>
      </c>
      <c r="C7393" t="s">
        <v>32</v>
      </c>
      <c r="D7393" t="s">
        <v>953</v>
      </c>
      <c r="E7393" t="s">
        <v>980</v>
      </c>
      <c r="F7393" t="s">
        <v>35</v>
      </c>
      <c r="G7393" t="s">
        <v>35</v>
      </c>
      <c r="H7393" t="s">
        <v>35</v>
      </c>
      <c r="J7393" t="s">
        <v>7125</v>
      </c>
      <c r="K7393" t="s">
        <v>1092</v>
      </c>
      <c r="M7393">
        <v>8.75</v>
      </c>
      <c r="N7393">
        <v>131</v>
      </c>
      <c r="O7393" t="s">
        <v>38</v>
      </c>
      <c r="Q7393" t="s">
        <v>646</v>
      </c>
      <c r="R7393" t="s">
        <v>6807</v>
      </c>
      <c r="S7393" t="s">
        <v>1066</v>
      </c>
    </row>
    <row r="7394" spans="1:19" x14ac:dyDescent="0.25">
      <c r="A7394" t="s">
        <v>30</v>
      </c>
      <c r="B7394" t="s">
        <v>31</v>
      </c>
      <c r="C7394" t="s">
        <v>32</v>
      </c>
      <c r="D7394" t="s">
        <v>953</v>
      </c>
      <c r="E7394" t="s">
        <v>980</v>
      </c>
      <c r="F7394" t="s">
        <v>35</v>
      </c>
      <c r="G7394" t="s">
        <v>35</v>
      </c>
      <c r="H7394" t="s">
        <v>35</v>
      </c>
      <c r="J7394" t="s">
        <v>7126</v>
      </c>
      <c r="K7394" t="s">
        <v>1092</v>
      </c>
      <c r="M7394">
        <v>4.5</v>
      </c>
      <c r="N7394">
        <v>48</v>
      </c>
      <c r="O7394" t="s">
        <v>52</v>
      </c>
      <c r="Q7394" t="s">
        <v>496</v>
      </c>
      <c r="R7394" t="s">
        <v>6705</v>
      </c>
      <c r="S7394" t="s">
        <v>981</v>
      </c>
    </row>
    <row r="7395" spans="1:19" x14ac:dyDescent="0.25">
      <c r="A7395" t="s">
        <v>44</v>
      </c>
      <c r="B7395" t="s">
        <v>3</v>
      </c>
      <c r="C7395" t="s">
        <v>32</v>
      </c>
      <c r="D7395" t="s">
        <v>953</v>
      </c>
      <c r="E7395" t="s">
        <v>980</v>
      </c>
      <c r="F7395" t="s">
        <v>35</v>
      </c>
      <c r="G7395" t="s">
        <v>35</v>
      </c>
      <c r="H7395" t="s">
        <v>35</v>
      </c>
      <c r="J7395" t="s">
        <v>7126</v>
      </c>
      <c r="K7395" t="s">
        <v>1092</v>
      </c>
      <c r="M7395">
        <v>4.5999999999999996</v>
      </c>
      <c r="N7395">
        <v>63</v>
      </c>
      <c r="O7395" t="s">
        <v>61</v>
      </c>
      <c r="Q7395" t="s">
        <v>423</v>
      </c>
      <c r="R7395" t="s">
        <v>133</v>
      </c>
      <c r="S7395" t="s">
        <v>134</v>
      </c>
    </row>
    <row r="7396" spans="1:19" x14ac:dyDescent="0.25">
      <c r="A7396" t="s">
        <v>44</v>
      </c>
      <c r="B7396" t="s">
        <v>51</v>
      </c>
      <c r="C7396" t="s">
        <v>32</v>
      </c>
      <c r="D7396" t="s">
        <v>953</v>
      </c>
      <c r="E7396" t="s">
        <v>980</v>
      </c>
      <c r="F7396" t="s">
        <v>35</v>
      </c>
      <c r="G7396" t="s">
        <v>35</v>
      </c>
      <c r="H7396" t="s">
        <v>35</v>
      </c>
      <c r="J7396" t="s">
        <v>7126</v>
      </c>
      <c r="K7396" t="s">
        <v>1092</v>
      </c>
      <c r="M7396">
        <v>3.7</v>
      </c>
      <c r="N7396">
        <v>59</v>
      </c>
      <c r="O7396" t="s">
        <v>52</v>
      </c>
      <c r="Q7396" t="s">
        <v>84</v>
      </c>
      <c r="R7396" t="s">
        <v>6705</v>
      </c>
      <c r="S7396" t="s">
        <v>981</v>
      </c>
    </row>
    <row r="7397" spans="1:19" x14ac:dyDescent="0.25">
      <c r="A7397" t="s">
        <v>59</v>
      </c>
      <c r="B7397" t="s">
        <v>60</v>
      </c>
      <c r="C7397" t="s">
        <v>32</v>
      </c>
      <c r="D7397" t="s">
        <v>953</v>
      </c>
      <c r="E7397" t="s">
        <v>980</v>
      </c>
      <c r="F7397" t="s">
        <v>35</v>
      </c>
      <c r="G7397" t="s">
        <v>35</v>
      </c>
      <c r="H7397" t="s">
        <v>35</v>
      </c>
      <c r="J7397" t="s">
        <v>7126</v>
      </c>
      <c r="K7397" t="s">
        <v>1092</v>
      </c>
      <c r="M7397">
        <v>0.7</v>
      </c>
      <c r="N7397">
        <v>73</v>
      </c>
      <c r="O7397" t="s">
        <v>61</v>
      </c>
      <c r="Q7397" t="s">
        <v>552</v>
      </c>
      <c r="R7397" t="s">
        <v>6705</v>
      </c>
      <c r="S7397" t="s">
        <v>981</v>
      </c>
    </row>
    <row r="7398" spans="1:19" x14ac:dyDescent="0.25">
      <c r="A7398" t="s">
        <v>59</v>
      </c>
      <c r="B7398" t="s">
        <v>31</v>
      </c>
      <c r="C7398" t="s">
        <v>32</v>
      </c>
      <c r="D7398" t="s">
        <v>953</v>
      </c>
      <c r="E7398" t="s">
        <v>980</v>
      </c>
      <c r="F7398" t="s">
        <v>35</v>
      </c>
      <c r="G7398" t="s">
        <v>35</v>
      </c>
      <c r="H7398" t="s">
        <v>35</v>
      </c>
      <c r="J7398" t="s">
        <v>7127</v>
      </c>
      <c r="K7398" t="s">
        <v>1092</v>
      </c>
      <c r="M7398">
        <v>0.27</v>
      </c>
      <c r="N7398">
        <v>457</v>
      </c>
      <c r="O7398" t="s">
        <v>294</v>
      </c>
      <c r="Q7398" t="s">
        <v>2104</v>
      </c>
      <c r="R7398" t="s">
        <v>6720</v>
      </c>
      <c r="S7398" t="s">
        <v>961</v>
      </c>
    </row>
    <row r="7399" spans="1:19" x14ac:dyDescent="0.25">
      <c r="A7399" t="s">
        <v>59</v>
      </c>
      <c r="B7399" t="s">
        <v>60</v>
      </c>
      <c r="C7399" t="s">
        <v>32</v>
      </c>
      <c r="D7399" t="s">
        <v>953</v>
      </c>
      <c r="E7399" t="s">
        <v>980</v>
      </c>
      <c r="F7399" t="s">
        <v>35</v>
      </c>
      <c r="G7399" t="s">
        <v>35</v>
      </c>
      <c r="H7399" t="s">
        <v>35</v>
      </c>
      <c r="J7399" t="s">
        <v>7127</v>
      </c>
      <c r="K7399" t="s">
        <v>1092</v>
      </c>
      <c r="M7399">
        <v>0.5</v>
      </c>
      <c r="N7399">
        <v>253</v>
      </c>
      <c r="O7399" t="s">
        <v>5</v>
      </c>
      <c r="Q7399" t="s">
        <v>1502</v>
      </c>
      <c r="R7399" t="s">
        <v>6720</v>
      </c>
      <c r="S7399" t="s">
        <v>961</v>
      </c>
    </row>
    <row r="7400" spans="1:19" x14ac:dyDescent="0.25">
      <c r="A7400" t="s">
        <v>59</v>
      </c>
      <c r="B7400" t="s">
        <v>31</v>
      </c>
      <c r="C7400" t="s">
        <v>32</v>
      </c>
      <c r="D7400" t="s">
        <v>953</v>
      </c>
      <c r="E7400" t="s">
        <v>980</v>
      </c>
      <c r="F7400" t="s">
        <v>35</v>
      </c>
      <c r="G7400" t="s">
        <v>35</v>
      </c>
      <c r="H7400" t="s">
        <v>35</v>
      </c>
      <c r="J7400" t="s">
        <v>7127</v>
      </c>
      <c r="K7400" t="s">
        <v>1092</v>
      </c>
      <c r="M7400">
        <v>2.5000000000000001E-2</v>
      </c>
      <c r="N7400">
        <v>514</v>
      </c>
      <c r="O7400" t="s">
        <v>294</v>
      </c>
      <c r="Q7400" t="s">
        <v>7128</v>
      </c>
      <c r="R7400" t="s">
        <v>6720</v>
      </c>
      <c r="S7400" t="s">
        <v>961</v>
      </c>
    </row>
    <row r="7401" spans="1:19" x14ac:dyDescent="0.25">
      <c r="A7401" t="s">
        <v>59</v>
      </c>
      <c r="B7401" t="s">
        <v>31</v>
      </c>
      <c r="C7401" t="s">
        <v>32</v>
      </c>
      <c r="D7401" t="s">
        <v>953</v>
      </c>
      <c r="E7401" t="s">
        <v>980</v>
      </c>
      <c r="F7401" t="s">
        <v>35</v>
      </c>
      <c r="G7401" t="s">
        <v>35</v>
      </c>
      <c r="H7401" t="s">
        <v>35</v>
      </c>
      <c r="J7401" t="s">
        <v>7127</v>
      </c>
      <c r="K7401" t="s">
        <v>1092</v>
      </c>
      <c r="M7401">
        <v>0.40500000000000003</v>
      </c>
      <c r="N7401">
        <v>512</v>
      </c>
      <c r="O7401" t="s">
        <v>294</v>
      </c>
      <c r="Q7401" t="s">
        <v>4645</v>
      </c>
      <c r="R7401" t="s">
        <v>6720</v>
      </c>
      <c r="S7401" t="s">
        <v>961</v>
      </c>
    </row>
    <row r="7402" spans="1:19" x14ac:dyDescent="0.25">
      <c r="A7402" t="s">
        <v>59</v>
      </c>
      <c r="B7402" t="s">
        <v>31</v>
      </c>
      <c r="C7402" t="s">
        <v>32</v>
      </c>
      <c r="D7402" t="s">
        <v>953</v>
      </c>
      <c r="E7402" t="s">
        <v>980</v>
      </c>
      <c r="F7402" t="s">
        <v>35</v>
      </c>
      <c r="G7402" t="s">
        <v>35</v>
      </c>
      <c r="H7402" t="s">
        <v>35</v>
      </c>
      <c r="J7402" t="s">
        <v>7127</v>
      </c>
      <c r="K7402" t="s">
        <v>1092</v>
      </c>
      <c r="M7402">
        <v>0.13500000000000001</v>
      </c>
      <c r="N7402">
        <v>477</v>
      </c>
      <c r="O7402" t="s">
        <v>294</v>
      </c>
      <c r="Q7402" t="s">
        <v>6754</v>
      </c>
      <c r="R7402" t="s">
        <v>6720</v>
      </c>
      <c r="S7402" t="s">
        <v>961</v>
      </c>
    </row>
    <row r="7403" spans="1:19" x14ac:dyDescent="0.25">
      <c r="A7403" t="s">
        <v>59</v>
      </c>
      <c r="B7403" t="s">
        <v>60</v>
      </c>
      <c r="C7403" t="s">
        <v>32</v>
      </c>
      <c r="D7403" t="s">
        <v>953</v>
      </c>
      <c r="E7403" t="s">
        <v>980</v>
      </c>
      <c r="F7403" t="s">
        <v>35</v>
      </c>
      <c r="G7403" t="s">
        <v>35</v>
      </c>
      <c r="H7403" t="s">
        <v>35</v>
      </c>
      <c r="J7403" t="s">
        <v>7127</v>
      </c>
      <c r="K7403" t="s">
        <v>1092</v>
      </c>
      <c r="M7403">
        <v>0.14299999999999999</v>
      </c>
      <c r="N7403">
        <v>292</v>
      </c>
      <c r="O7403" t="s">
        <v>5</v>
      </c>
      <c r="Q7403" t="s">
        <v>1234</v>
      </c>
      <c r="R7403" t="s">
        <v>6720</v>
      </c>
      <c r="S7403" t="s">
        <v>961</v>
      </c>
    </row>
    <row r="7404" spans="1:19" x14ac:dyDescent="0.25">
      <c r="A7404" t="s">
        <v>59</v>
      </c>
      <c r="B7404" t="s">
        <v>31</v>
      </c>
      <c r="C7404" t="s">
        <v>32</v>
      </c>
      <c r="D7404" t="s">
        <v>953</v>
      </c>
      <c r="E7404" t="s">
        <v>980</v>
      </c>
      <c r="F7404" t="s">
        <v>35</v>
      </c>
      <c r="G7404" t="s">
        <v>35</v>
      </c>
      <c r="H7404" t="s">
        <v>35</v>
      </c>
      <c r="J7404" t="s">
        <v>7129</v>
      </c>
      <c r="K7404" t="s">
        <v>1092</v>
      </c>
      <c r="M7404">
        <v>7.1550000000000002</v>
      </c>
      <c r="N7404">
        <v>67</v>
      </c>
      <c r="O7404" t="s">
        <v>61</v>
      </c>
      <c r="Q7404" t="s">
        <v>1311</v>
      </c>
      <c r="R7404" t="s">
        <v>133</v>
      </c>
      <c r="S7404" t="s">
        <v>134</v>
      </c>
    </row>
    <row r="7405" spans="1:19" x14ac:dyDescent="0.25">
      <c r="A7405" t="s">
        <v>59</v>
      </c>
      <c r="B7405" t="s">
        <v>60</v>
      </c>
      <c r="C7405" t="s">
        <v>32</v>
      </c>
      <c r="D7405" t="s">
        <v>953</v>
      </c>
      <c r="E7405" t="s">
        <v>980</v>
      </c>
      <c r="F7405" t="s">
        <v>35</v>
      </c>
      <c r="G7405" t="s">
        <v>35</v>
      </c>
      <c r="H7405" t="s">
        <v>35</v>
      </c>
      <c r="J7405" t="s">
        <v>7129</v>
      </c>
      <c r="K7405" t="s">
        <v>1092</v>
      </c>
      <c r="M7405">
        <v>4.0999999999999996</v>
      </c>
      <c r="N7405">
        <v>58</v>
      </c>
      <c r="O7405" t="s">
        <v>52</v>
      </c>
      <c r="Q7405" t="s">
        <v>58</v>
      </c>
      <c r="R7405" t="s">
        <v>133</v>
      </c>
      <c r="S7405" t="s">
        <v>134</v>
      </c>
    </row>
    <row r="7406" spans="1:19" x14ac:dyDescent="0.25">
      <c r="A7406" t="s">
        <v>44</v>
      </c>
      <c r="B7406" t="s">
        <v>51</v>
      </c>
      <c r="C7406" t="s">
        <v>32</v>
      </c>
      <c r="D7406" t="s">
        <v>953</v>
      </c>
      <c r="E7406" t="s">
        <v>980</v>
      </c>
      <c r="F7406" t="s">
        <v>35</v>
      </c>
      <c r="G7406" t="s">
        <v>35</v>
      </c>
      <c r="H7406" t="s">
        <v>35</v>
      </c>
      <c r="J7406" t="s">
        <v>7129</v>
      </c>
      <c r="K7406" t="s">
        <v>1092</v>
      </c>
      <c r="M7406">
        <v>3.75</v>
      </c>
      <c r="N7406">
        <v>51</v>
      </c>
      <c r="O7406" t="s">
        <v>52</v>
      </c>
      <c r="Q7406" t="s">
        <v>54</v>
      </c>
      <c r="R7406" t="s">
        <v>133</v>
      </c>
      <c r="S7406" t="s">
        <v>134</v>
      </c>
    </row>
    <row r="7407" spans="1:19" x14ac:dyDescent="0.25">
      <c r="A7407" t="s">
        <v>44</v>
      </c>
      <c r="B7407" t="s">
        <v>3</v>
      </c>
      <c r="C7407" t="s">
        <v>32</v>
      </c>
      <c r="D7407" t="s">
        <v>953</v>
      </c>
      <c r="E7407" t="s">
        <v>980</v>
      </c>
      <c r="F7407" t="s">
        <v>35</v>
      </c>
      <c r="G7407" t="s">
        <v>35</v>
      </c>
      <c r="H7407" t="s">
        <v>35</v>
      </c>
      <c r="J7407" t="s">
        <v>7129</v>
      </c>
      <c r="K7407" t="s">
        <v>1092</v>
      </c>
      <c r="M7407">
        <v>4.75</v>
      </c>
      <c r="N7407">
        <v>59</v>
      </c>
      <c r="O7407" t="s">
        <v>52</v>
      </c>
      <c r="Q7407" t="s">
        <v>84</v>
      </c>
      <c r="R7407" t="s">
        <v>133</v>
      </c>
      <c r="S7407" t="s">
        <v>134</v>
      </c>
    </row>
    <row r="7408" spans="1:19" x14ac:dyDescent="0.25">
      <c r="A7408" t="s">
        <v>30</v>
      </c>
      <c r="B7408" t="s">
        <v>31</v>
      </c>
      <c r="C7408" t="s">
        <v>32</v>
      </c>
      <c r="D7408" t="s">
        <v>953</v>
      </c>
      <c r="E7408" t="s">
        <v>980</v>
      </c>
      <c r="F7408" t="s">
        <v>35</v>
      </c>
      <c r="G7408" t="s">
        <v>35</v>
      </c>
      <c r="H7408" t="s">
        <v>35</v>
      </c>
      <c r="J7408" t="s">
        <v>7129</v>
      </c>
      <c r="K7408" t="s">
        <v>1092</v>
      </c>
      <c r="M7408">
        <v>1.44</v>
      </c>
      <c r="N7408">
        <v>47</v>
      </c>
      <c r="O7408" t="s">
        <v>52</v>
      </c>
      <c r="Q7408" t="s">
        <v>132</v>
      </c>
      <c r="R7408" t="s">
        <v>987</v>
      </c>
      <c r="S7408" t="s">
        <v>988</v>
      </c>
    </row>
    <row r="7409" spans="1:19" x14ac:dyDescent="0.25">
      <c r="A7409" t="s">
        <v>30</v>
      </c>
      <c r="B7409" t="s">
        <v>31</v>
      </c>
      <c r="C7409" t="s">
        <v>32</v>
      </c>
      <c r="D7409" t="s">
        <v>953</v>
      </c>
      <c r="E7409" t="s">
        <v>980</v>
      </c>
      <c r="F7409" t="s">
        <v>35</v>
      </c>
      <c r="G7409" t="s">
        <v>35</v>
      </c>
      <c r="H7409" t="s">
        <v>35</v>
      </c>
      <c r="J7409" t="s">
        <v>7130</v>
      </c>
      <c r="K7409" t="s">
        <v>1092</v>
      </c>
      <c r="M7409">
        <v>3.2850000000000001</v>
      </c>
      <c r="N7409">
        <v>16</v>
      </c>
      <c r="O7409" t="s">
        <v>46</v>
      </c>
      <c r="Q7409" t="s">
        <v>323</v>
      </c>
      <c r="R7409" t="s">
        <v>133</v>
      </c>
      <c r="S7409" t="s">
        <v>134</v>
      </c>
    </row>
    <row r="7410" spans="1:19" x14ac:dyDescent="0.25">
      <c r="A7410" t="s">
        <v>44</v>
      </c>
      <c r="B7410" t="s">
        <v>51</v>
      </c>
      <c r="C7410" t="s">
        <v>32</v>
      </c>
      <c r="D7410" t="s">
        <v>953</v>
      </c>
      <c r="E7410" t="s">
        <v>980</v>
      </c>
      <c r="F7410" t="s">
        <v>35</v>
      </c>
      <c r="G7410" t="s">
        <v>35</v>
      </c>
      <c r="H7410" t="s">
        <v>35</v>
      </c>
      <c r="J7410" t="s">
        <v>7130</v>
      </c>
      <c r="K7410" t="s">
        <v>1092</v>
      </c>
      <c r="M7410">
        <v>0.4</v>
      </c>
      <c r="N7410">
        <v>30</v>
      </c>
      <c r="O7410" t="s">
        <v>46</v>
      </c>
      <c r="Q7410" t="s">
        <v>793</v>
      </c>
      <c r="R7410" t="s">
        <v>6720</v>
      </c>
      <c r="S7410" t="s">
        <v>961</v>
      </c>
    </row>
    <row r="7411" spans="1:19" x14ac:dyDescent="0.25">
      <c r="A7411" t="s">
        <v>59</v>
      </c>
      <c r="B7411" t="s">
        <v>60</v>
      </c>
      <c r="C7411" t="s">
        <v>32</v>
      </c>
      <c r="D7411" t="s">
        <v>953</v>
      </c>
      <c r="E7411" t="s">
        <v>980</v>
      </c>
      <c r="F7411" t="s">
        <v>35</v>
      </c>
      <c r="G7411" t="s">
        <v>35</v>
      </c>
      <c r="H7411" t="s">
        <v>35</v>
      </c>
      <c r="J7411" t="s">
        <v>7130</v>
      </c>
      <c r="K7411" t="s">
        <v>1092</v>
      </c>
      <c r="M7411">
        <v>0.05</v>
      </c>
      <c r="N7411">
        <v>48</v>
      </c>
      <c r="O7411" t="s">
        <v>52</v>
      </c>
      <c r="Q7411" t="s">
        <v>496</v>
      </c>
      <c r="R7411" t="s">
        <v>6720</v>
      </c>
      <c r="S7411" t="s">
        <v>961</v>
      </c>
    </row>
    <row r="7412" spans="1:19" x14ac:dyDescent="0.25">
      <c r="A7412" t="s">
        <v>59</v>
      </c>
      <c r="B7412" t="s">
        <v>60</v>
      </c>
      <c r="C7412" t="s">
        <v>32</v>
      </c>
      <c r="D7412" t="s">
        <v>953</v>
      </c>
      <c r="E7412" t="s">
        <v>980</v>
      </c>
      <c r="F7412" t="s">
        <v>35</v>
      </c>
      <c r="G7412" t="s">
        <v>35</v>
      </c>
      <c r="H7412" t="s">
        <v>35</v>
      </c>
      <c r="J7412" t="s">
        <v>7130</v>
      </c>
      <c r="K7412" t="s">
        <v>1092</v>
      </c>
      <c r="M7412">
        <v>0.5</v>
      </c>
      <c r="N7412">
        <v>68</v>
      </c>
      <c r="O7412" t="s">
        <v>61</v>
      </c>
      <c r="Q7412" t="s">
        <v>146</v>
      </c>
      <c r="R7412" t="s">
        <v>6720</v>
      </c>
      <c r="S7412" t="s">
        <v>961</v>
      </c>
    </row>
    <row r="7413" spans="1:19" x14ac:dyDescent="0.25">
      <c r="A7413" t="s">
        <v>59</v>
      </c>
      <c r="B7413" t="s">
        <v>31</v>
      </c>
      <c r="C7413" t="s">
        <v>32</v>
      </c>
      <c r="D7413" t="s">
        <v>953</v>
      </c>
      <c r="E7413" t="s">
        <v>980</v>
      </c>
      <c r="F7413" t="s">
        <v>35</v>
      </c>
      <c r="G7413" t="s">
        <v>35</v>
      </c>
      <c r="H7413" t="s">
        <v>35</v>
      </c>
      <c r="J7413" t="s">
        <v>7130</v>
      </c>
      <c r="K7413" t="s">
        <v>1092</v>
      </c>
      <c r="M7413">
        <v>0.36</v>
      </c>
      <c r="N7413">
        <v>92</v>
      </c>
      <c r="O7413" t="s">
        <v>106</v>
      </c>
      <c r="Q7413" t="s">
        <v>1100</v>
      </c>
      <c r="R7413" t="s">
        <v>6720</v>
      </c>
      <c r="S7413" t="s">
        <v>961</v>
      </c>
    </row>
    <row r="7414" spans="1:19" x14ac:dyDescent="0.25">
      <c r="A7414" t="s">
        <v>44</v>
      </c>
      <c r="B7414" t="s">
        <v>3</v>
      </c>
      <c r="C7414" t="s">
        <v>32</v>
      </c>
      <c r="D7414" t="s">
        <v>953</v>
      </c>
      <c r="E7414" t="s">
        <v>980</v>
      </c>
      <c r="F7414" t="s">
        <v>35</v>
      </c>
      <c r="G7414" t="s">
        <v>35</v>
      </c>
      <c r="H7414" t="s">
        <v>35</v>
      </c>
      <c r="J7414" t="s">
        <v>7130</v>
      </c>
      <c r="K7414" t="s">
        <v>1092</v>
      </c>
      <c r="M7414">
        <v>0.25</v>
      </c>
      <c r="N7414">
        <v>48</v>
      </c>
      <c r="O7414" t="s">
        <v>52</v>
      </c>
      <c r="Q7414" t="s">
        <v>496</v>
      </c>
      <c r="R7414" t="s">
        <v>6720</v>
      </c>
      <c r="S7414" t="s">
        <v>961</v>
      </c>
    </row>
    <row r="7415" spans="1:19" x14ac:dyDescent="0.25">
      <c r="A7415" t="s">
        <v>44</v>
      </c>
      <c r="B7415" t="s">
        <v>51</v>
      </c>
      <c r="C7415" t="s">
        <v>32</v>
      </c>
      <c r="D7415" t="s">
        <v>953</v>
      </c>
      <c r="E7415" t="s">
        <v>980</v>
      </c>
      <c r="F7415" t="s">
        <v>35</v>
      </c>
      <c r="G7415" t="s">
        <v>35</v>
      </c>
      <c r="H7415" t="s">
        <v>35</v>
      </c>
      <c r="J7415" t="s">
        <v>7130</v>
      </c>
      <c r="K7415" t="s">
        <v>1092</v>
      </c>
      <c r="M7415">
        <v>0.15</v>
      </c>
      <c r="N7415">
        <v>16</v>
      </c>
      <c r="O7415" t="s">
        <v>46</v>
      </c>
      <c r="Q7415" t="s">
        <v>323</v>
      </c>
      <c r="R7415" t="s">
        <v>6720</v>
      </c>
      <c r="S7415" t="s">
        <v>961</v>
      </c>
    </row>
    <row r="7416" spans="1:19" x14ac:dyDescent="0.25">
      <c r="A7416" t="s">
        <v>59</v>
      </c>
      <c r="B7416" t="s">
        <v>60</v>
      </c>
      <c r="C7416" t="s">
        <v>32</v>
      </c>
      <c r="D7416" t="s">
        <v>953</v>
      </c>
      <c r="E7416" t="s">
        <v>980</v>
      </c>
      <c r="F7416" t="s">
        <v>35</v>
      </c>
      <c r="G7416" t="s">
        <v>35</v>
      </c>
      <c r="H7416" t="s">
        <v>35</v>
      </c>
      <c r="J7416" t="s">
        <v>7131</v>
      </c>
      <c r="K7416" t="s">
        <v>1092</v>
      </c>
      <c r="M7416">
        <v>0.35</v>
      </c>
      <c r="N7416">
        <v>143</v>
      </c>
      <c r="O7416" t="s">
        <v>38</v>
      </c>
      <c r="Q7416" t="s">
        <v>2121</v>
      </c>
      <c r="R7416" t="s">
        <v>6707</v>
      </c>
      <c r="S7416" t="s">
        <v>955</v>
      </c>
    </row>
    <row r="7417" spans="1:19" x14ac:dyDescent="0.25">
      <c r="A7417" t="s">
        <v>59</v>
      </c>
      <c r="B7417" t="s">
        <v>60</v>
      </c>
      <c r="C7417" t="s">
        <v>32</v>
      </c>
      <c r="D7417" t="s">
        <v>953</v>
      </c>
      <c r="E7417" t="s">
        <v>980</v>
      </c>
      <c r="F7417" t="s">
        <v>35</v>
      </c>
      <c r="G7417" t="s">
        <v>35</v>
      </c>
      <c r="H7417" t="s">
        <v>35</v>
      </c>
      <c r="J7417" t="s">
        <v>7132</v>
      </c>
      <c r="K7417" t="s">
        <v>1092</v>
      </c>
      <c r="M7417">
        <v>0.1</v>
      </c>
      <c r="N7417">
        <v>59</v>
      </c>
      <c r="O7417" t="s">
        <v>52</v>
      </c>
      <c r="Q7417" t="s">
        <v>84</v>
      </c>
      <c r="R7417" t="s">
        <v>6865</v>
      </c>
      <c r="S7417" t="s">
        <v>984</v>
      </c>
    </row>
    <row r="7418" spans="1:19" x14ac:dyDescent="0.25">
      <c r="A7418" t="s">
        <v>44</v>
      </c>
      <c r="B7418" t="s">
        <v>51</v>
      </c>
      <c r="C7418" t="s">
        <v>32</v>
      </c>
      <c r="D7418" t="s">
        <v>953</v>
      </c>
      <c r="E7418" t="s">
        <v>980</v>
      </c>
      <c r="F7418" t="s">
        <v>35</v>
      </c>
      <c r="G7418" t="s">
        <v>35</v>
      </c>
      <c r="H7418" t="s">
        <v>35</v>
      </c>
      <c r="J7418" t="s">
        <v>7133</v>
      </c>
      <c r="K7418" t="s">
        <v>1092</v>
      </c>
      <c r="M7418">
        <v>1</v>
      </c>
      <c r="N7418">
        <v>54</v>
      </c>
      <c r="O7418" t="s">
        <v>52</v>
      </c>
      <c r="Q7418" t="s">
        <v>1207</v>
      </c>
      <c r="R7418" t="s">
        <v>6762</v>
      </c>
      <c r="S7418" t="s">
        <v>992</v>
      </c>
    </row>
    <row r="7419" spans="1:19" x14ac:dyDescent="0.25">
      <c r="A7419" t="s">
        <v>59</v>
      </c>
      <c r="B7419" t="s">
        <v>31</v>
      </c>
      <c r="C7419" t="s">
        <v>32</v>
      </c>
      <c r="D7419" t="s">
        <v>953</v>
      </c>
      <c r="E7419" t="s">
        <v>980</v>
      </c>
      <c r="F7419" t="s">
        <v>35</v>
      </c>
      <c r="G7419" t="s">
        <v>35</v>
      </c>
      <c r="H7419" t="s">
        <v>35</v>
      </c>
      <c r="J7419" t="s">
        <v>7133</v>
      </c>
      <c r="K7419" t="s">
        <v>1092</v>
      </c>
      <c r="M7419">
        <v>1</v>
      </c>
      <c r="N7419">
        <v>54</v>
      </c>
      <c r="O7419" t="s">
        <v>52</v>
      </c>
      <c r="Q7419" t="s">
        <v>1207</v>
      </c>
      <c r="R7419" t="s">
        <v>6762</v>
      </c>
      <c r="S7419" t="s">
        <v>992</v>
      </c>
    </row>
    <row r="7420" spans="1:19" x14ac:dyDescent="0.25">
      <c r="A7420" t="s">
        <v>44</v>
      </c>
      <c r="B7420" t="s">
        <v>3</v>
      </c>
      <c r="C7420" t="s">
        <v>32</v>
      </c>
      <c r="D7420" t="s">
        <v>953</v>
      </c>
      <c r="E7420" t="s">
        <v>980</v>
      </c>
      <c r="F7420" t="s">
        <v>35</v>
      </c>
      <c r="G7420" t="s">
        <v>35</v>
      </c>
      <c r="H7420" t="s">
        <v>35</v>
      </c>
      <c r="J7420" t="s">
        <v>7133</v>
      </c>
      <c r="K7420" t="s">
        <v>1092</v>
      </c>
      <c r="M7420">
        <v>1</v>
      </c>
      <c r="N7420">
        <v>54</v>
      </c>
      <c r="O7420" t="s">
        <v>52</v>
      </c>
      <c r="Q7420" t="s">
        <v>1207</v>
      </c>
      <c r="R7420" t="s">
        <v>6762</v>
      </c>
      <c r="S7420" t="s">
        <v>992</v>
      </c>
    </row>
    <row r="7421" spans="1:19" x14ac:dyDescent="0.25">
      <c r="A7421" t="s">
        <v>59</v>
      </c>
      <c r="B7421" t="s">
        <v>60</v>
      </c>
      <c r="C7421" t="s">
        <v>32</v>
      </c>
      <c r="D7421" t="s">
        <v>953</v>
      </c>
      <c r="E7421" t="s">
        <v>980</v>
      </c>
      <c r="F7421" t="s">
        <v>35</v>
      </c>
      <c r="G7421" t="s">
        <v>35</v>
      </c>
      <c r="H7421" t="s">
        <v>35</v>
      </c>
      <c r="J7421" t="s">
        <v>7133</v>
      </c>
      <c r="K7421" t="s">
        <v>1092</v>
      </c>
      <c r="M7421">
        <v>0.25</v>
      </c>
      <c r="N7421">
        <v>411</v>
      </c>
      <c r="O7421" t="s">
        <v>294</v>
      </c>
      <c r="Q7421" t="s">
        <v>3336</v>
      </c>
      <c r="R7421" t="s">
        <v>6707</v>
      </c>
      <c r="S7421" t="s">
        <v>955</v>
      </c>
    </row>
    <row r="7422" spans="1:19" x14ac:dyDescent="0.25">
      <c r="A7422" t="s">
        <v>59</v>
      </c>
      <c r="B7422" t="s">
        <v>31</v>
      </c>
      <c r="C7422" t="s">
        <v>32</v>
      </c>
      <c r="D7422" t="s">
        <v>953</v>
      </c>
      <c r="E7422" t="s">
        <v>980</v>
      </c>
      <c r="F7422" t="s">
        <v>35</v>
      </c>
      <c r="G7422" t="s">
        <v>35</v>
      </c>
      <c r="H7422" t="s">
        <v>35</v>
      </c>
      <c r="J7422" t="s">
        <v>7133</v>
      </c>
      <c r="K7422" t="s">
        <v>1092</v>
      </c>
      <c r="M7422">
        <v>0.315</v>
      </c>
      <c r="N7422">
        <v>380</v>
      </c>
      <c r="O7422" t="s">
        <v>294</v>
      </c>
      <c r="Q7422" t="s">
        <v>2664</v>
      </c>
      <c r="R7422" t="s">
        <v>6707</v>
      </c>
      <c r="S7422" t="s">
        <v>955</v>
      </c>
    </row>
    <row r="7423" spans="1:19" x14ac:dyDescent="0.25">
      <c r="A7423" t="s">
        <v>59</v>
      </c>
      <c r="B7423" t="s">
        <v>31</v>
      </c>
      <c r="C7423" t="s">
        <v>32</v>
      </c>
      <c r="D7423" t="s">
        <v>953</v>
      </c>
      <c r="E7423" t="s">
        <v>980</v>
      </c>
      <c r="F7423" t="s">
        <v>35</v>
      </c>
      <c r="G7423" t="s">
        <v>35</v>
      </c>
      <c r="H7423" t="s">
        <v>35</v>
      </c>
      <c r="J7423" t="s">
        <v>7133</v>
      </c>
      <c r="K7423" t="s">
        <v>1092</v>
      </c>
      <c r="M7423">
        <v>1.8</v>
      </c>
      <c r="N7423">
        <v>92</v>
      </c>
      <c r="O7423" t="s">
        <v>106</v>
      </c>
      <c r="Q7423" t="s">
        <v>1100</v>
      </c>
      <c r="R7423" t="s">
        <v>6762</v>
      </c>
      <c r="S7423" t="s">
        <v>992</v>
      </c>
    </row>
    <row r="7424" spans="1:19" x14ac:dyDescent="0.25">
      <c r="A7424" t="s">
        <v>30</v>
      </c>
      <c r="B7424" t="s">
        <v>31</v>
      </c>
      <c r="C7424" t="s">
        <v>32</v>
      </c>
      <c r="D7424" t="s">
        <v>953</v>
      </c>
      <c r="E7424" t="s">
        <v>980</v>
      </c>
      <c r="F7424" t="s">
        <v>35</v>
      </c>
      <c r="G7424" t="s">
        <v>35</v>
      </c>
      <c r="H7424" t="s">
        <v>35</v>
      </c>
      <c r="J7424" t="s">
        <v>7134</v>
      </c>
      <c r="K7424" t="s">
        <v>1092</v>
      </c>
      <c r="M7424">
        <v>5.49</v>
      </c>
      <c r="N7424">
        <v>42</v>
      </c>
      <c r="O7424" t="s">
        <v>52</v>
      </c>
      <c r="Q7424" t="s">
        <v>991</v>
      </c>
      <c r="R7424" t="s">
        <v>6709</v>
      </c>
      <c r="S7424" t="s">
        <v>1022</v>
      </c>
    </row>
    <row r="7425" spans="1:19" x14ac:dyDescent="0.25">
      <c r="A7425" t="s">
        <v>30</v>
      </c>
      <c r="B7425" t="s">
        <v>31</v>
      </c>
      <c r="C7425" t="s">
        <v>32</v>
      </c>
      <c r="D7425" t="s">
        <v>953</v>
      </c>
      <c r="E7425" t="s">
        <v>980</v>
      </c>
      <c r="F7425" t="s">
        <v>35</v>
      </c>
      <c r="G7425" t="s">
        <v>35</v>
      </c>
      <c r="H7425" t="s">
        <v>35</v>
      </c>
      <c r="J7425" t="s">
        <v>7134</v>
      </c>
      <c r="K7425" t="s">
        <v>1092</v>
      </c>
      <c r="M7425">
        <v>4.2300000000000004</v>
      </c>
      <c r="N7425">
        <v>47</v>
      </c>
      <c r="O7425" t="s">
        <v>52</v>
      </c>
      <c r="Q7425" t="s">
        <v>132</v>
      </c>
      <c r="R7425" t="s">
        <v>987</v>
      </c>
      <c r="S7425" t="s">
        <v>988</v>
      </c>
    </row>
    <row r="7426" spans="1:19" x14ac:dyDescent="0.25">
      <c r="A7426" t="s">
        <v>44</v>
      </c>
      <c r="B7426" t="s">
        <v>51</v>
      </c>
      <c r="C7426" t="s">
        <v>32</v>
      </c>
      <c r="D7426" t="s">
        <v>953</v>
      </c>
      <c r="E7426" t="s">
        <v>980</v>
      </c>
      <c r="F7426" t="s">
        <v>35</v>
      </c>
      <c r="G7426" t="s">
        <v>35</v>
      </c>
      <c r="H7426" t="s">
        <v>35</v>
      </c>
      <c r="J7426" t="s">
        <v>7135</v>
      </c>
      <c r="K7426" t="s">
        <v>1092</v>
      </c>
      <c r="M7426">
        <v>0.5</v>
      </c>
      <c r="N7426">
        <v>24</v>
      </c>
      <c r="O7426" t="s">
        <v>46</v>
      </c>
      <c r="Q7426" t="s">
        <v>255</v>
      </c>
      <c r="R7426" t="s">
        <v>6865</v>
      </c>
      <c r="S7426" t="s">
        <v>984</v>
      </c>
    </row>
    <row r="7427" spans="1:19" x14ac:dyDescent="0.25">
      <c r="A7427" t="s">
        <v>44</v>
      </c>
      <c r="B7427" t="s">
        <v>51</v>
      </c>
      <c r="C7427" t="s">
        <v>32</v>
      </c>
      <c r="D7427" t="s">
        <v>953</v>
      </c>
      <c r="E7427" t="s">
        <v>980</v>
      </c>
      <c r="F7427" t="s">
        <v>35</v>
      </c>
      <c r="G7427" t="s">
        <v>35</v>
      </c>
      <c r="H7427" t="s">
        <v>35</v>
      </c>
      <c r="J7427" t="s">
        <v>7135</v>
      </c>
      <c r="K7427" t="s">
        <v>1092</v>
      </c>
      <c r="M7427">
        <v>1.7</v>
      </c>
      <c r="N7427">
        <v>33</v>
      </c>
      <c r="O7427" t="s">
        <v>52</v>
      </c>
      <c r="Q7427" t="s">
        <v>137</v>
      </c>
      <c r="R7427" t="s">
        <v>6865</v>
      </c>
      <c r="S7427" t="s">
        <v>984</v>
      </c>
    </row>
    <row r="7428" spans="1:19" x14ac:dyDescent="0.25">
      <c r="A7428" t="s">
        <v>30</v>
      </c>
      <c r="B7428" t="s">
        <v>31</v>
      </c>
      <c r="C7428" t="s">
        <v>32</v>
      </c>
      <c r="D7428" t="s">
        <v>953</v>
      </c>
      <c r="E7428" t="s">
        <v>980</v>
      </c>
      <c r="F7428" t="s">
        <v>35</v>
      </c>
      <c r="G7428" t="s">
        <v>35</v>
      </c>
      <c r="H7428" t="s">
        <v>35</v>
      </c>
      <c r="J7428" t="s">
        <v>7135</v>
      </c>
      <c r="K7428" t="s">
        <v>1092</v>
      </c>
      <c r="M7428">
        <v>0.45</v>
      </c>
      <c r="N7428">
        <v>47</v>
      </c>
      <c r="O7428" t="s">
        <v>52</v>
      </c>
      <c r="Q7428" t="s">
        <v>132</v>
      </c>
      <c r="R7428" t="s">
        <v>987</v>
      </c>
      <c r="S7428" t="s">
        <v>988</v>
      </c>
    </row>
    <row r="7429" spans="1:19" x14ac:dyDescent="0.25">
      <c r="A7429" t="s">
        <v>44</v>
      </c>
      <c r="B7429" t="s">
        <v>51</v>
      </c>
      <c r="C7429" t="s">
        <v>32</v>
      </c>
      <c r="D7429" t="s">
        <v>953</v>
      </c>
      <c r="E7429" t="s">
        <v>980</v>
      </c>
      <c r="F7429" t="s">
        <v>35</v>
      </c>
      <c r="G7429" t="s">
        <v>35</v>
      </c>
      <c r="H7429" t="s">
        <v>35</v>
      </c>
      <c r="J7429" t="s">
        <v>7136</v>
      </c>
      <c r="K7429" t="s">
        <v>1092</v>
      </c>
      <c r="M7429">
        <v>4.4000000000000004</v>
      </c>
      <c r="N7429">
        <v>51</v>
      </c>
      <c r="O7429" t="s">
        <v>52</v>
      </c>
      <c r="Q7429" t="s">
        <v>54</v>
      </c>
      <c r="R7429" t="s">
        <v>6865</v>
      </c>
      <c r="S7429" t="s">
        <v>984</v>
      </c>
    </row>
    <row r="7430" spans="1:19" x14ac:dyDescent="0.25">
      <c r="A7430" t="s">
        <v>59</v>
      </c>
      <c r="B7430" t="s">
        <v>60</v>
      </c>
      <c r="C7430" t="s">
        <v>32</v>
      </c>
      <c r="D7430" t="s">
        <v>953</v>
      </c>
      <c r="E7430" t="s">
        <v>980</v>
      </c>
      <c r="F7430" t="s">
        <v>35</v>
      </c>
      <c r="G7430" t="s">
        <v>35</v>
      </c>
      <c r="H7430" t="s">
        <v>35</v>
      </c>
      <c r="J7430" t="s">
        <v>7136</v>
      </c>
      <c r="K7430" t="s">
        <v>1092</v>
      </c>
      <c r="M7430">
        <v>3.05</v>
      </c>
      <c r="N7430">
        <v>58</v>
      </c>
      <c r="O7430" t="s">
        <v>52</v>
      </c>
      <c r="Q7430" t="s">
        <v>58</v>
      </c>
      <c r="R7430" t="s">
        <v>133</v>
      </c>
      <c r="S7430" t="s">
        <v>134</v>
      </c>
    </row>
    <row r="7431" spans="1:19" x14ac:dyDescent="0.25">
      <c r="A7431" t="s">
        <v>30</v>
      </c>
      <c r="B7431" t="s">
        <v>31</v>
      </c>
      <c r="C7431" t="s">
        <v>32</v>
      </c>
      <c r="D7431" t="s">
        <v>953</v>
      </c>
      <c r="E7431" t="s">
        <v>980</v>
      </c>
      <c r="F7431" t="s">
        <v>35</v>
      </c>
      <c r="G7431" t="s">
        <v>35</v>
      </c>
      <c r="H7431" t="s">
        <v>35</v>
      </c>
      <c r="J7431" t="s">
        <v>7136</v>
      </c>
      <c r="K7431" t="s">
        <v>1092</v>
      </c>
      <c r="M7431">
        <v>4.9950000000000001</v>
      </c>
      <c r="N7431">
        <v>21</v>
      </c>
      <c r="O7431" t="s">
        <v>46</v>
      </c>
      <c r="Q7431" t="s">
        <v>1874</v>
      </c>
      <c r="R7431" t="s">
        <v>6705</v>
      </c>
      <c r="S7431" t="s">
        <v>981</v>
      </c>
    </row>
    <row r="7432" spans="1:19" x14ac:dyDescent="0.25">
      <c r="A7432" t="s">
        <v>30</v>
      </c>
      <c r="B7432" t="s">
        <v>31</v>
      </c>
      <c r="C7432" t="s">
        <v>32</v>
      </c>
      <c r="D7432" t="s">
        <v>953</v>
      </c>
      <c r="E7432" t="s">
        <v>980</v>
      </c>
      <c r="F7432" t="s">
        <v>35</v>
      </c>
      <c r="G7432" t="s">
        <v>35</v>
      </c>
      <c r="H7432" t="s">
        <v>35</v>
      </c>
      <c r="J7432" t="s">
        <v>7137</v>
      </c>
      <c r="K7432" t="s">
        <v>1092</v>
      </c>
      <c r="M7432">
        <v>4.6349999999999998</v>
      </c>
      <c r="N7432">
        <v>21</v>
      </c>
      <c r="O7432" t="s">
        <v>46</v>
      </c>
      <c r="Q7432" t="s">
        <v>1874</v>
      </c>
      <c r="R7432" t="s">
        <v>6705</v>
      </c>
      <c r="S7432" t="s">
        <v>981</v>
      </c>
    </row>
    <row r="7433" spans="1:19" x14ac:dyDescent="0.25">
      <c r="A7433" t="s">
        <v>59</v>
      </c>
      <c r="B7433" t="s">
        <v>60</v>
      </c>
      <c r="C7433" t="s">
        <v>32</v>
      </c>
      <c r="D7433" t="s">
        <v>953</v>
      </c>
      <c r="E7433" t="s">
        <v>980</v>
      </c>
      <c r="F7433" t="s">
        <v>35</v>
      </c>
      <c r="G7433" t="s">
        <v>35</v>
      </c>
      <c r="H7433" t="s">
        <v>35</v>
      </c>
      <c r="J7433" t="s">
        <v>7137</v>
      </c>
      <c r="K7433" t="s">
        <v>1092</v>
      </c>
      <c r="M7433">
        <v>0.5</v>
      </c>
      <c r="N7433">
        <v>62</v>
      </c>
      <c r="O7433" t="s">
        <v>61</v>
      </c>
      <c r="Q7433" t="s">
        <v>90</v>
      </c>
      <c r="R7433" t="s">
        <v>6865</v>
      </c>
      <c r="S7433" t="s">
        <v>984</v>
      </c>
    </row>
    <row r="7434" spans="1:19" x14ac:dyDescent="0.25">
      <c r="A7434" t="s">
        <v>59</v>
      </c>
      <c r="B7434" t="s">
        <v>60</v>
      </c>
      <c r="C7434" t="s">
        <v>32</v>
      </c>
      <c r="D7434" t="s">
        <v>953</v>
      </c>
      <c r="E7434" t="s">
        <v>980</v>
      </c>
      <c r="F7434" t="s">
        <v>35</v>
      </c>
      <c r="G7434" t="s">
        <v>35</v>
      </c>
      <c r="H7434" t="s">
        <v>35</v>
      </c>
      <c r="J7434" t="s">
        <v>7137</v>
      </c>
      <c r="K7434" t="s">
        <v>1092</v>
      </c>
      <c r="M7434">
        <v>3</v>
      </c>
      <c r="N7434">
        <v>58</v>
      </c>
      <c r="O7434" t="s">
        <v>52</v>
      </c>
      <c r="Q7434" t="s">
        <v>58</v>
      </c>
      <c r="R7434" t="s">
        <v>133</v>
      </c>
      <c r="S7434" t="s">
        <v>134</v>
      </c>
    </row>
    <row r="7435" spans="1:19" x14ac:dyDescent="0.25">
      <c r="A7435" t="s">
        <v>44</v>
      </c>
      <c r="B7435" t="s">
        <v>51</v>
      </c>
      <c r="C7435" t="s">
        <v>32</v>
      </c>
      <c r="D7435" t="s">
        <v>953</v>
      </c>
      <c r="E7435" t="s">
        <v>980</v>
      </c>
      <c r="F7435" t="s">
        <v>35</v>
      </c>
      <c r="G7435" t="s">
        <v>35</v>
      </c>
      <c r="H7435" t="s">
        <v>35</v>
      </c>
      <c r="J7435" t="s">
        <v>7138</v>
      </c>
      <c r="K7435" t="s">
        <v>1092</v>
      </c>
      <c r="M7435">
        <v>0.25</v>
      </c>
      <c r="N7435">
        <v>23</v>
      </c>
      <c r="O7435" t="s">
        <v>46</v>
      </c>
      <c r="Q7435" t="s">
        <v>1819</v>
      </c>
      <c r="R7435" t="s">
        <v>6865</v>
      </c>
      <c r="S7435" t="s">
        <v>984</v>
      </c>
    </row>
    <row r="7436" spans="1:19" x14ac:dyDescent="0.25">
      <c r="A7436" t="s">
        <v>59</v>
      </c>
      <c r="B7436" t="s">
        <v>60</v>
      </c>
      <c r="C7436" t="s">
        <v>32</v>
      </c>
      <c r="D7436" t="s">
        <v>953</v>
      </c>
      <c r="E7436" t="s">
        <v>980</v>
      </c>
      <c r="F7436" t="s">
        <v>35</v>
      </c>
      <c r="G7436" t="s">
        <v>35</v>
      </c>
      <c r="H7436" t="s">
        <v>35</v>
      </c>
      <c r="J7436" t="s">
        <v>7138</v>
      </c>
      <c r="K7436" t="s">
        <v>1092</v>
      </c>
      <c r="M7436">
        <v>0.03</v>
      </c>
      <c r="N7436">
        <v>250</v>
      </c>
      <c r="O7436" t="s">
        <v>5</v>
      </c>
      <c r="Q7436" t="s">
        <v>3296</v>
      </c>
      <c r="R7436" t="s">
        <v>6865</v>
      </c>
      <c r="S7436" t="s">
        <v>984</v>
      </c>
    </row>
    <row r="7437" spans="1:19" x14ac:dyDescent="0.25">
      <c r="A7437" t="s">
        <v>59</v>
      </c>
      <c r="B7437" t="s">
        <v>60</v>
      </c>
      <c r="C7437" t="s">
        <v>32</v>
      </c>
      <c r="D7437" t="s">
        <v>953</v>
      </c>
      <c r="E7437" t="s">
        <v>980</v>
      </c>
      <c r="F7437" t="s">
        <v>35</v>
      </c>
      <c r="G7437" t="s">
        <v>35</v>
      </c>
      <c r="H7437" t="s">
        <v>35</v>
      </c>
      <c r="J7437" t="s">
        <v>7138</v>
      </c>
      <c r="K7437" t="s">
        <v>1092</v>
      </c>
      <c r="M7437">
        <v>0.2</v>
      </c>
      <c r="N7437">
        <v>47</v>
      </c>
      <c r="O7437" t="s">
        <v>52</v>
      </c>
      <c r="Q7437" t="s">
        <v>132</v>
      </c>
      <c r="R7437" t="s">
        <v>6865</v>
      </c>
      <c r="S7437" t="s">
        <v>984</v>
      </c>
    </row>
    <row r="7438" spans="1:19" x14ac:dyDescent="0.25">
      <c r="A7438" t="s">
        <v>59</v>
      </c>
      <c r="B7438" t="s">
        <v>60</v>
      </c>
      <c r="C7438" t="s">
        <v>32</v>
      </c>
      <c r="D7438" t="s">
        <v>953</v>
      </c>
      <c r="E7438" t="s">
        <v>980</v>
      </c>
      <c r="F7438" t="s">
        <v>35</v>
      </c>
      <c r="G7438" t="s">
        <v>35</v>
      </c>
      <c r="H7438" t="s">
        <v>35</v>
      </c>
      <c r="J7438" t="s">
        <v>7139</v>
      </c>
      <c r="K7438" t="s">
        <v>1092</v>
      </c>
      <c r="M7438">
        <v>0.745</v>
      </c>
      <c r="N7438">
        <v>510</v>
      </c>
      <c r="O7438" t="s">
        <v>294</v>
      </c>
      <c r="Q7438" t="s">
        <v>4279</v>
      </c>
      <c r="R7438" t="s">
        <v>6709</v>
      </c>
      <c r="S7438" t="s">
        <v>1022</v>
      </c>
    </row>
    <row r="7439" spans="1:19" x14ac:dyDescent="0.25">
      <c r="A7439" t="s">
        <v>59</v>
      </c>
      <c r="B7439" t="s">
        <v>60</v>
      </c>
      <c r="C7439" t="s">
        <v>32</v>
      </c>
      <c r="D7439" t="s">
        <v>953</v>
      </c>
      <c r="E7439" t="s">
        <v>980</v>
      </c>
      <c r="F7439" t="s">
        <v>35</v>
      </c>
      <c r="G7439" t="s">
        <v>35</v>
      </c>
      <c r="H7439" t="s">
        <v>35</v>
      </c>
      <c r="J7439" t="s">
        <v>7140</v>
      </c>
      <c r="K7439" t="s">
        <v>1092</v>
      </c>
      <c r="M7439">
        <v>1.75</v>
      </c>
      <c r="N7439">
        <v>54</v>
      </c>
      <c r="O7439" t="s">
        <v>52</v>
      </c>
      <c r="Q7439" t="s">
        <v>1207</v>
      </c>
      <c r="R7439" t="s">
        <v>6762</v>
      </c>
      <c r="S7439" t="s">
        <v>992</v>
      </c>
    </row>
    <row r="7440" spans="1:19" x14ac:dyDescent="0.25">
      <c r="A7440" t="s">
        <v>44</v>
      </c>
      <c r="B7440" t="s">
        <v>3</v>
      </c>
      <c r="C7440" t="s">
        <v>32</v>
      </c>
      <c r="D7440" t="s">
        <v>953</v>
      </c>
      <c r="E7440" t="s">
        <v>980</v>
      </c>
      <c r="F7440" t="s">
        <v>35</v>
      </c>
      <c r="G7440" t="s">
        <v>35</v>
      </c>
      <c r="H7440" t="s">
        <v>35</v>
      </c>
      <c r="J7440" t="s">
        <v>7140</v>
      </c>
      <c r="K7440" t="s">
        <v>1092</v>
      </c>
      <c r="M7440">
        <v>2</v>
      </c>
      <c r="N7440">
        <v>54</v>
      </c>
      <c r="O7440" t="s">
        <v>52</v>
      </c>
      <c r="Q7440" t="s">
        <v>1207</v>
      </c>
      <c r="R7440" t="s">
        <v>6762</v>
      </c>
      <c r="S7440" t="s">
        <v>992</v>
      </c>
    </row>
    <row r="7441" spans="1:19" x14ac:dyDescent="0.25">
      <c r="A7441" t="s">
        <v>44</v>
      </c>
      <c r="B7441" t="s">
        <v>51</v>
      </c>
      <c r="C7441" t="s">
        <v>32</v>
      </c>
      <c r="D7441" t="s">
        <v>953</v>
      </c>
      <c r="E7441" t="s">
        <v>980</v>
      </c>
      <c r="F7441" t="s">
        <v>35</v>
      </c>
      <c r="G7441" t="s">
        <v>35</v>
      </c>
      <c r="H7441" t="s">
        <v>35</v>
      </c>
      <c r="J7441" t="s">
        <v>7140</v>
      </c>
      <c r="K7441" t="s">
        <v>1092</v>
      </c>
      <c r="M7441">
        <v>1.5</v>
      </c>
      <c r="N7441">
        <v>54</v>
      </c>
      <c r="O7441" t="s">
        <v>52</v>
      </c>
      <c r="Q7441" t="s">
        <v>1207</v>
      </c>
      <c r="R7441" t="s">
        <v>6762</v>
      </c>
      <c r="S7441" t="s">
        <v>992</v>
      </c>
    </row>
    <row r="7442" spans="1:19" x14ac:dyDescent="0.25">
      <c r="A7442" t="s">
        <v>59</v>
      </c>
      <c r="B7442" t="s">
        <v>31</v>
      </c>
      <c r="C7442" t="s">
        <v>32</v>
      </c>
      <c r="D7442" t="s">
        <v>953</v>
      </c>
      <c r="E7442" t="s">
        <v>980</v>
      </c>
      <c r="F7442" t="s">
        <v>35</v>
      </c>
      <c r="G7442" t="s">
        <v>35</v>
      </c>
      <c r="H7442" t="s">
        <v>35</v>
      </c>
      <c r="J7442" t="s">
        <v>7140</v>
      </c>
      <c r="K7442" t="s">
        <v>1092</v>
      </c>
      <c r="M7442">
        <v>1.4850000000000001</v>
      </c>
      <c r="N7442">
        <v>54</v>
      </c>
      <c r="O7442" t="s">
        <v>52</v>
      </c>
      <c r="Q7442" t="s">
        <v>1207</v>
      </c>
      <c r="R7442" t="s">
        <v>6762</v>
      </c>
      <c r="S7442" t="s">
        <v>992</v>
      </c>
    </row>
    <row r="7443" spans="1:19" x14ac:dyDescent="0.25">
      <c r="A7443" t="s">
        <v>59</v>
      </c>
      <c r="B7443" t="s">
        <v>60</v>
      </c>
      <c r="C7443" t="s">
        <v>32</v>
      </c>
      <c r="D7443" t="s">
        <v>953</v>
      </c>
      <c r="E7443" t="s">
        <v>980</v>
      </c>
      <c r="F7443" t="s">
        <v>35</v>
      </c>
      <c r="G7443" t="s">
        <v>35</v>
      </c>
      <c r="H7443" t="s">
        <v>35</v>
      </c>
      <c r="J7443" t="s">
        <v>7140</v>
      </c>
      <c r="K7443" t="s">
        <v>1092</v>
      </c>
      <c r="M7443">
        <v>0.4</v>
      </c>
      <c r="N7443">
        <v>151</v>
      </c>
      <c r="O7443" t="s">
        <v>38</v>
      </c>
      <c r="Q7443" t="s">
        <v>1269</v>
      </c>
      <c r="R7443" t="s">
        <v>6762</v>
      </c>
      <c r="S7443" t="s">
        <v>992</v>
      </c>
    </row>
    <row r="7444" spans="1:19" x14ac:dyDescent="0.25">
      <c r="A7444" t="s">
        <v>44</v>
      </c>
      <c r="B7444" t="s">
        <v>51</v>
      </c>
      <c r="C7444" t="s">
        <v>32</v>
      </c>
      <c r="D7444" t="s">
        <v>953</v>
      </c>
      <c r="E7444" t="s">
        <v>980</v>
      </c>
      <c r="F7444" t="s">
        <v>35</v>
      </c>
      <c r="G7444" t="s">
        <v>35</v>
      </c>
      <c r="H7444" t="s">
        <v>35</v>
      </c>
      <c r="J7444" t="s">
        <v>7141</v>
      </c>
      <c r="K7444" t="s">
        <v>1092</v>
      </c>
      <c r="M7444">
        <v>1.65</v>
      </c>
      <c r="N7444">
        <v>51</v>
      </c>
      <c r="O7444" t="s">
        <v>52</v>
      </c>
      <c r="Q7444" t="s">
        <v>54</v>
      </c>
      <c r="R7444" t="s">
        <v>133</v>
      </c>
      <c r="S7444" t="s">
        <v>134</v>
      </c>
    </row>
    <row r="7445" spans="1:19" x14ac:dyDescent="0.25">
      <c r="A7445" t="s">
        <v>59</v>
      </c>
      <c r="B7445" t="s">
        <v>60</v>
      </c>
      <c r="C7445" t="s">
        <v>32</v>
      </c>
      <c r="D7445" t="s">
        <v>953</v>
      </c>
      <c r="E7445" t="s">
        <v>980</v>
      </c>
      <c r="F7445" t="s">
        <v>35</v>
      </c>
      <c r="G7445" t="s">
        <v>35</v>
      </c>
      <c r="H7445" t="s">
        <v>35</v>
      </c>
      <c r="J7445" t="s">
        <v>7141</v>
      </c>
      <c r="K7445" t="s">
        <v>1092</v>
      </c>
      <c r="M7445">
        <v>0.4</v>
      </c>
      <c r="N7445">
        <v>58</v>
      </c>
      <c r="O7445" t="s">
        <v>52</v>
      </c>
      <c r="Q7445" t="s">
        <v>58</v>
      </c>
      <c r="R7445" t="s">
        <v>133</v>
      </c>
      <c r="S7445" t="s">
        <v>134</v>
      </c>
    </row>
    <row r="7446" spans="1:19" x14ac:dyDescent="0.25">
      <c r="A7446" t="s">
        <v>44</v>
      </c>
      <c r="B7446" t="s">
        <v>3</v>
      </c>
      <c r="C7446" t="s">
        <v>32</v>
      </c>
      <c r="D7446" t="s">
        <v>953</v>
      </c>
      <c r="E7446" t="s">
        <v>980</v>
      </c>
      <c r="F7446" t="s">
        <v>35</v>
      </c>
      <c r="G7446" t="s">
        <v>35</v>
      </c>
      <c r="H7446" t="s">
        <v>35</v>
      </c>
      <c r="J7446" t="s">
        <v>7141</v>
      </c>
      <c r="K7446" t="s">
        <v>1092</v>
      </c>
      <c r="M7446">
        <v>10.75</v>
      </c>
      <c r="N7446">
        <v>59</v>
      </c>
      <c r="O7446" t="s">
        <v>52</v>
      </c>
      <c r="Q7446" t="s">
        <v>84</v>
      </c>
      <c r="R7446" t="s">
        <v>133</v>
      </c>
      <c r="S7446" t="s">
        <v>134</v>
      </c>
    </row>
    <row r="7447" spans="1:19" x14ac:dyDescent="0.25">
      <c r="A7447" t="s">
        <v>59</v>
      </c>
      <c r="B7447" t="s">
        <v>60</v>
      </c>
      <c r="C7447" t="s">
        <v>32</v>
      </c>
      <c r="D7447" t="s">
        <v>953</v>
      </c>
      <c r="E7447" t="s">
        <v>980</v>
      </c>
      <c r="F7447" t="s">
        <v>35</v>
      </c>
      <c r="G7447" t="s">
        <v>35</v>
      </c>
      <c r="H7447" t="s">
        <v>35</v>
      </c>
      <c r="J7447" t="s">
        <v>7142</v>
      </c>
      <c r="K7447" t="s">
        <v>1092</v>
      </c>
      <c r="M7447">
        <v>0.15</v>
      </c>
      <c r="N7447">
        <v>249</v>
      </c>
      <c r="O7447" t="s">
        <v>5</v>
      </c>
      <c r="Q7447" t="s">
        <v>6137</v>
      </c>
      <c r="R7447" t="s">
        <v>6865</v>
      </c>
      <c r="S7447" t="s">
        <v>984</v>
      </c>
    </row>
    <row r="7448" spans="1:19" x14ac:dyDescent="0.25">
      <c r="A7448" t="s">
        <v>59</v>
      </c>
      <c r="B7448" t="s">
        <v>60</v>
      </c>
      <c r="C7448" t="s">
        <v>32</v>
      </c>
      <c r="D7448" t="s">
        <v>953</v>
      </c>
      <c r="E7448" t="s">
        <v>980</v>
      </c>
      <c r="F7448" t="s">
        <v>35</v>
      </c>
      <c r="G7448" t="s">
        <v>35</v>
      </c>
      <c r="H7448" t="s">
        <v>35</v>
      </c>
      <c r="J7448" t="s">
        <v>7142</v>
      </c>
      <c r="K7448" t="s">
        <v>1092</v>
      </c>
      <c r="M7448">
        <v>0.15</v>
      </c>
      <c r="N7448">
        <v>282</v>
      </c>
      <c r="O7448" t="s">
        <v>5</v>
      </c>
      <c r="Q7448" t="s">
        <v>1225</v>
      </c>
      <c r="R7448" t="s">
        <v>6865</v>
      </c>
      <c r="S7448" t="s">
        <v>984</v>
      </c>
    </row>
    <row r="7449" spans="1:19" x14ac:dyDescent="0.25">
      <c r="A7449" t="s">
        <v>59</v>
      </c>
      <c r="B7449" t="s">
        <v>60</v>
      </c>
      <c r="C7449" t="s">
        <v>32</v>
      </c>
      <c r="D7449" t="s">
        <v>953</v>
      </c>
      <c r="E7449" t="s">
        <v>980</v>
      </c>
      <c r="F7449" t="s">
        <v>35</v>
      </c>
      <c r="G7449" t="s">
        <v>35</v>
      </c>
      <c r="H7449" t="s">
        <v>35</v>
      </c>
      <c r="J7449" t="s">
        <v>7142</v>
      </c>
      <c r="K7449" t="s">
        <v>1092</v>
      </c>
      <c r="M7449">
        <v>0.1</v>
      </c>
      <c r="N7449">
        <v>255</v>
      </c>
      <c r="O7449" t="s">
        <v>5</v>
      </c>
      <c r="Q7449" t="s">
        <v>1747</v>
      </c>
      <c r="R7449" t="s">
        <v>6865</v>
      </c>
      <c r="S7449" t="s">
        <v>984</v>
      </c>
    </row>
    <row r="7450" spans="1:19" x14ac:dyDescent="0.25">
      <c r="A7450" t="s">
        <v>59</v>
      </c>
      <c r="B7450" t="s">
        <v>60</v>
      </c>
      <c r="C7450" t="s">
        <v>32</v>
      </c>
      <c r="D7450" t="s">
        <v>953</v>
      </c>
      <c r="E7450" t="s">
        <v>980</v>
      </c>
      <c r="F7450" t="s">
        <v>35</v>
      </c>
      <c r="G7450" t="s">
        <v>35</v>
      </c>
      <c r="H7450" t="s">
        <v>35</v>
      </c>
      <c r="J7450" t="s">
        <v>7142</v>
      </c>
      <c r="K7450" t="s">
        <v>1092</v>
      </c>
      <c r="M7450">
        <v>0.25</v>
      </c>
      <c r="N7450">
        <v>34</v>
      </c>
      <c r="O7450" t="s">
        <v>52</v>
      </c>
      <c r="Q7450" t="s">
        <v>809</v>
      </c>
      <c r="R7450" t="s">
        <v>6865</v>
      </c>
      <c r="S7450" t="s">
        <v>984</v>
      </c>
    </row>
    <row r="7451" spans="1:19" x14ac:dyDescent="0.25">
      <c r="A7451" t="s">
        <v>59</v>
      </c>
      <c r="B7451" t="s">
        <v>60</v>
      </c>
      <c r="C7451" t="s">
        <v>32</v>
      </c>
      <c r="D7451" t="s">
        <v>953</v>
      </c>
      <c r="E7451" t="s">
        <v>980</v>
      </c>
      <c r="F7451" t="s">
        <v>35</v>
      </c>
      <c r="G7451" t="s">
        <v>35</v>
      </c>
      <c r="H7451" t="s">
        <v>35</v>
      </c>
      <c r="J7451" t="s">
        <v>7142</v>
      </c>
      <c r="K7451" t="s">
        <v>1092</v>
      </c>
      <c r="M7451">
        <v>0.25</v>
      </c>
      <c r="N7451">
        <v>61</v>
      </c>
      <c r="O7451" t="s">
        <v>61</v>
      </c>
      <c r="Q7451" t="s">
        <v>671</v>
      </c>
      <c r="R7451" t="s">
        <v>6865</v>
      </c>
      <c r="S7451" t="s">
        <v>984</v>
      </c>
    </row>
    <row r="7452" spans="1:19" x14ac:dyDescent="0.25">
      <c r="A7452" t="s">
        <v>59</v>
      </c>
      <c r="B7452" t="s">
        <v>60</v>
      </c>
      <c r="C7452" t="s">
        <v>32</v>
      </c>
      <c r="D7452" t="s">
        <v>953</v>
      </c>
      <c r="E7452" t="s">
        <v>980</v>
      </c>
      <c r="F7452" t="s">
        <v>35</v>
      </c>
      <c r="G7452" t="s">
        <v>35</v>
      </c>
      <c r="H7452" t="s">
        <v>35</v>
      </c>
      <c r="J7452" t="s">
        <v>7142</v>
      </c>
      <c r="K7452" t="s">
        <v>1092</v>
      </c>
      <c r="M7452">
        <v>0.35</v>
      </c>
      <c r="N7452">
        <v>222</v>
      </c>
      <c r="O7452" t="s">
        <v>5</v>
      </c>
      <c r="Q7452" t="s">
        <v>1746</v>
      </c>
      <c r="R7452" t="s">
        <v>6865</v>
      </c>
      <c r="S7452" t="s">
        <v>984</v>
      </c>
    </row>
    <row r="7453" spans="1:19" x14ac:dyDescent="0.25">
      <c r="A7453" t="s">
        <v>59</v>
      </c>
      <c r="B7453" t="s">
        <v>60</v>
      </c>
      <c r="C7453" t="s">
        <v>32</v>
      </c>
      <c r="D7453" t="s">
        <v>953</v>
      </c>
      <c r="E7453" t="s">
        <v>980</v>
      </c>
      <c r="F7453" t="s">
        <v>35</v>
      </c>
      <c r="G7453" t="s">
        <v>35</v>
      </c>
      <c r="H7453" t="s">
        <v>35</v>
      </c>
      <c r="J7453" t="s">
        <v>7143</v>
      </c>
      <c r="K7453" t="s">
        <v>1092</v>
      </c>
      <c r="M7453">
        <v>1</v>
      </c>
      <c r="N7453">
        <v>53</v>
      </c>
      <c r="O7453" t="s">
        <v>52</v>
      </c>
      <c r="Q7453" t="s">
        <v>332</v>
      </c>
      <c r="R7453" t="s">
        <v>6865</v>
      </c>
      <c r="S7453" t="s">
        <v>984</v>
      </c>
    </row>
    <row r="7454" spans="1:19" x14ac:dyDescent="0.25">
      <c r="A7454" t="s">
        <v>59</v>
      </c>
      <c r="B7454" t="s">
        <v>60</v>
      </c>
      <c r="C7454" t="s">
        <v>32</v>
      </c>
      <c r="D7454" t="s">
        <v>953</v>
      </c>
      <c r="E7454" t="s">
        <v>980</v>
      </c>
      <c r="F7454" t="s">
        <v>35</v>
      </c>
      <c r="G7454" t="s">
        <v>35</v>
      </c>
      <c r="H7454" t="s">
        <v>35</v>
      </c>
      <c r="J7454" t="s">
        <v>7143</v>
      </c>
      <c r="K7454" t="s">
        <v>1092</v>
      </c>
      <c r="M7454">
        <v>0.5</v>
      </c>
      <c r="N7454">
        <v>254</v>
      </c>
      <c r="O7454" t="s">
        <v>5</v>
      </c>
      <c r="Q7454" t="s">
        <v>367</v>
      </c>
      <c r="R7454" t="s">
        <v>6865</v>
      </c>
      <c r="S7454" t="s">
        <v>984</v>
      </c>
    </row>
    <row r="7455" spans="1:19" x14ac:dyDescent="0.25">
      <c r="A7455" t="s">
        <v>59</v>
      </c>
      <c r="B7455" t="s">
        <v>31</v>
      </c>
      <c r="C7455" t="s">
        <v>32</v>
      </c>
      <c r="D7455" t="s">
        <v>953</v>
      </c>
      <c r="E7455" t="s">
        <v>980</v>
      </c>
      <c r="F7455" t="s">
        <v>35</v>
      </c>
      <c r="G7455" t="s">
        <v>35</v>
      </c>
      <c r="H7455" t="s">
        <v>35</v>
      </c>
      <c r="J7455" t="s">
        <v>7144</v>
      </c>
      <c r="K7455" t="s">
        <v>1092</v>
      </c>
      <c r="M7455">
        <v>1.9350000000000001</v>
      </c>
      <c r="N7455">
        <v>399</v>
      </c>
      <c r="O7455" t="s">
        <v>294</v>
      </c>
      <c r="Q7455" t="s">
        <v>1707</v>
      </c>
      <c r="R7455" t="s">
        <v>133</v>
      </c>
      <c r="S7455" t="s">
        <v>134</v>
      </c>
    </row>
    <row r="7456" spans="1:19" x14ac:dyDescent="0.25">
      <c r="A7456" t="s">
        <v>44</v>
      </c>
      <c r="B7456" t="s">
        <v>51</v>
      </c>
      <c r="C7456" t="s">
        <v>32</v>
      </c>
      <c r="D7456" t="s">
        <v>953</v>
      </c>
      <c r="E7456" t="s">
        <v>980</v>
      </c>
      <c r="F7456" t="s">
        <v>35</v>
      </c>
      <c r="G7456" t="s">
        <v>35</v>
      </c>
      <c r="H7456" t="s">
        <v>35</v>
      </c>
      <c r="J7456" t="s">
        <v>7145</v>
      </c>
      <c r="K7456" t="s">
        <v>1092</v>
      </c>
      <c r="M7456">
        <v>0.25</v>
      </c>
      <c r="N7456">
        <v>20</v>
      </c>
      <c r="O7456" t="s">
        <v>46</v>
      </c>
      <c r="Q7456" t="s">
        <v>1004</v>
      </c>
      <c r="R7456" t="s">
        <v>6865</v>
      </c>
      <c r="S7456" t="s">
        <v>984</v>
      </c>
    </row>
    <row r="7457" spans="1:19" x14ac:dyDescent="0.25">
      <c r="A7457" t="s">
        <v>30</v>
      </c>
      <c r="B7457" t="s">
        <v>31</v>
      </c>
      <c r="C7457" t="s">
        <v>32</v>
      </c>
      <c r="D7457" t="s">
        <v>953</v>
      </c>
      <c r="E7457" t="s">
        <v>980</v>
      </c>
      <c r="F7457" t="s">
        <v>35</v>
      </c>
      <c r="G7457" t="s">
        <v>35</v>
      </c>
      <c r="H7457" t="s">
        <v>35</v>
      </c>
      <c r="J7457" t="s">
        <v>7146</v>
      </c>
      <c r="K7457" t="s">
        <v>1092</v>
      </c>
      <c r="M7457">
        <v>0.94499999999999995</v>
      </c>
      <c r="N7457">
        <v>47</v>
      </c>
      <c r="O7457" t="s">
        <v>52</v>
      </c>
      <c r="Q7457" t="s">
        <v>132</v>
      </c>
      <c r="R7457" t="s">
        <v>987</v>
      </c>
      <c r="S7457" t="s">
        <v>988</v>
      </c>
    </row>
    <row r="7458" spans="1:19" x14ac:dyDescent="0.25">
      <c r="A7458" t="s">
        <v>44</v>
      </c>
      <c r="B7458" t="s">
        <v>51</v>
      </c>
      <c r="C7458" t="s">
        <v>32</v>
      </c>
      <c r="D7458" t="s">
        <v>953</v>
      </c>
      <c r="E7458" t="s">
        <v>980</v>
      </c>
      <c r="F7458" t="s">
        <v>35</v>
      </c>
      <c r="G7458" t="s">
        <v>35</v>
      </c>
      <c r="H7458" t="s">
        <v>35</v>
      </c>
      <c r="J7458" t="s">
        <v>7146</v>
      </c>
      <c r="K7458" t="s">
        <v>1092</v>
      </c>
      <c r="M7458">
        <v>0.05</v>
      </c>
      <c r="N7458">
        <v>24</v>
      </c>
      <c r="O7458" t="s">
        <v>46</v>
      </c>
      <c r="Q7458" t="s">
        <v>255</v>
      </c>
      <c r="R7458" t="s">
        <v>6865</v>
      </c>
      <c r="S7458" t="s">
        <v>984</v>
      </c>
    </row>
    <row r="7459" spans="1:19" x14ac:dyDescent="0.25">
      <c r="A7459" t="s">
        <v>59</v>
      </c>
      <c r="B7459" t="s">
        <v>60</v>
      </c>
      <c r="C7459" t="s">
        <v>32</v>
      </c>
      <c r="D7459" t="s">
        <v>953</v>
      </c>
      <c r="E7459" t="s">
        <v>980</v>
      </c>
      <c r="F7459" t="s">
        <v>35</v>
      </c>
      <c r="G7459" t="s">
        <v>35</v>
      </c>
      <c r="H7459" t="s">
        <v>35</v>
      </c>
      <c r="J7459" t="s">
        <v>7146</v>
      </c>
      <c r="K7459" t="s">
        <v>1092</v>
      </c>
      <c r="M7459">
        <v>2.13</v>
      </c>
      <c r="N7459">
        <v>62</v>
      </c>
      <c r="O7459" t="s">
        <v>61</v>
      </c>
      <c r="Q7459" t="s">
        <v>90</v>
      </c>
      <c r="R7459" t="s">
        <v>6705</v>
      </c>
      <c r="S7459" t="s">
        <v>981</v>
      </c>
    </row>
    <row r="7460" spans="1:19" x14ac:dyDescent="0.25">
      <c r="A7460" t="s">
        <v>59</v>
      </c>
      <c r="B7460" t="s">
        <v>31</v>
      </c>
      <c r="C7460" t="s">
        <v>32</v>
      </c>
      <c r="D7460" t="s">
        <v>953</v>
      </c>
      <c r="E7460" t="s">
        <v>980</v>
      </c>
      <c r="F7460" t="s">
        <v>35</v>
      </c>
      <c r="G7460" t="s">
        <v>35</v>
      </c>
      <c r="H7460" t="s">
        <v>35</v>
      </c>
      <c r="J7460" t="s">
        <v>7147</v>
      </c>
      <c r="K7460" t="s">
        <v>1092</v>
      </c>
      <c r="M7460">
        <v>3.78</v>
      </c>
      <c r="N7460">
        <v>90</v>
      </c>
      <c r="O7460" t="s">
        <v>61</v>
      </c>
      <c r="Q7460" t="s">
        <v>897</v>
      </c>
      <c r="R7460" t="s">
        <v>6709</v>
      </c>
      <c r="S7460" t="s">
        <v>1022</v>
      </c>
    </row>
    <row r="7461" spans="1:19" x14ac:dyDescent="0.25">
      <c r="A7461" t="s">
        <v>30</v>
      </c>
      <c r="B7461" t="s">
        <v>31</v>
      </c>
      <c r="C7461" t="s">
        <v>32</v>
      </c>
      <c r="D7461" t="s">
        <v>953</v>
      </c>
      <c r="E7461" t="s">
        <v>980</v>
      </c>
      <c r="F7461" t="s">
        <v>35</v>
      </c>
      <c r="G7461" t="s">
        <v>35</v>
      </c>
      <c r="H7461" t="s">
        <v>35</v>
      </c>
      <c r="J7461" t="s">
        <v>7148</v>
      </c>
      <c r="K7461" t="s">
        <v>1092</v>
      </c>
      <c r="M7461">
        <v>4.9050000000000002</v>
      </c>
      <c r="N7461">
        <v>282</v>
      </c>
      <c r="O7461" t="s">
        <v>5</v>
      </c>
      <c r="Q7461" t="s">
        <v>1225</v>
      </c>
      <c r="R7461" t="s">
        <v>6705</v>
      </c>
      <c r="S7461" t="s">
        <v>981</v>
      </c>
    </row>
    <row r="7462" spans="1:19" x14ac:dyDescent="0.25">
      <c r="A7462" t="s">
        <v>30</v>
      </c>
      <c r="B7462" t="s">
        <v>31</v>
      </c>
      <c r="C7462" t="s">
        <v>32</v>
      </c>
      <c r="D7462" t="s">
        <v>953</v>
      </c>
      <c r="E7462" t="s">
        <v>980</v>
      </c>
      <c r="F7462" t="s">
        <v>35</v>
      </c>
      <c r="G7462" t="s">
        <v>35</v>
      </c>
      <c r="H7462" t="s">
        <v>35</v>
      </c>
      <c r="J7462" t="s">
        <v>7148</v>
      </c>
      <c r="K7462" t="s">
        <v>1092</v>
      </c>
      <c r="M7462">
        <v>5.49</v>
      </c>
      <c r="N7462">
        <v>48</v>
      </c>
      <c r="O7462" t="s">
        <v>52</v>
      </c>
      <c r="Q7462" t="s">
        <v>496</v>
      </c>
      <c r="R7462" t="s">
        <v>6705</v>
      </c>
      <c r="S7462" t="s">
        <v>981</v>
      </c>
    </row>
    <row r="7463" spans="1:19" x14ac:dyDescent="0.25">
      <c r="A7463" t="s">
        <v>59</v>
      </c>
      <c r="B7463" t="s">
        <v>60</v>
      </c>
      <c r="C7463" t="s">
        <v>32</v>
      </c>
      <c r="D7463" t="s">
        <v>953</v>
      </c>
      <c r="E7463" t="s">
        <v>980</v>
      </c>
      <c r="F7463" t="s">
        <v>35</v>
      </c>
      <c r="G7463" t="s">
        <v>35</v>
      </c>
      <c r="H7463" t="s">
        <v>35</v>
      </c>
      <c r="J7463" t="s">
        <v>7148</v>
      </c>
      <c r="K7463" t="s">
        <v>1092</v>
      </c>
      <c r="M7463">
        <v>0.25</v>
      </c>
      <c r="N7463">
        <v>45</v>
      </c>
      <c r="O7463" t="s">
        <v>52</v>
      </c>
      <c r="Q7463" t="s">
        <v>716</v>
      </c>
      <c r="R7463" t="s">
        <v>6865</v>
      </c>
      <c r="S7463" t="s">
        <v>984</v>
      </c>
    </row>
    <row r="7464" spans="1:19" x14ac:dyDescent="0.25">
      <c r="A7464" t="s">
        <v>44</v>
      </c>
      <c r="B7464" t="s">
        <v>51</v>
      </c>
      <c r="C7464" t="s">
        <v>32</v>
      </c>
      <c r="D7464" t="s">
        <v>953</v>
      </c>
      <c r="E7464" t="s">
        <v>980</v>
      </c>
      <c r="F7464" t="s">
        <v>35</v>
      </c>
      <c r="G7464" t="s">
        <v>35</v>
      </c>
      <c r="H7464" t="s">
        <v>35</v>
      </c>
      <c r="J7464" t="s">
        <v>7148</v>
      </c>
      <c r="K7464" t="s">
        <v>1092</v>
      </c>
      <c r="M7464">
        <v>0.4</v>
      </c>
      <c r="N7464">
        <v>17</v>
      </c>
      <c r="O7464" t="s">
        <v>46</v>
      </c>
      <c r="Q7464" t="s">
        <v>1302</v>
      </c>
      <c r="R7464" t="s">
        <v>6865</v>
      </c>
      <c r="S7464" t="s">
        <v>984</v>
      </c>
    </row>
    <row r="7465" spans="1:19" x14ac:dyDescent="0.25">
      <c r="A7465" t="s">
        <v>44</v>
      </c>
      <c r="B7465" t="s">
        <v>51</v>
      </c>
      <c r="C7465" t="s">
        <v>32</v>
      </c>
      <c r="D7465" t="s">
        <v>953</v>
      </c>
      <c r="E7465" t="s">
        <v>980</v>
      </c>
      <c r="F7465" t="s">
        <v>35</v>
      </c>
      <c r="G7465" t="s">
        <v>35</v>
      </c>
      <c r="H7465" t="s">
        <v>35</v>
      </c>
      <c r="J7465" t="s">
        <v>7148</v>
      </c>
      <c r="K7465" t="s">
        <v>1092</v>
      </c>
      <c r="M7465">
        <v>0.25</v>
      </c>
      <c r="N7465">
        <v>27</v>
      </c>
      <c r="O7465" t="s">
        <v>46</v>
      </c>
      <c r="Q7465" t="s">
        <v>1011</v>
      </c>
      <c r="R7465" t="s">
        <v>6865</v>
      </c>
      <c r="S7465" t="s">
        <v>984</v>
      </c>
    </row>
    <row r="7466" spans="1:19" x14ac:dyDescent="0.25">
      <c r="A7466" t="s">
        <v>44</v>
      </c>
      <c r="B7466" t="s">
        <v>51</v>
      </c>
      <c r="C7466" t="s">
        <v>32</v>
      </c>
      <c r="D7466" t="s">
        <v>953</v>
      </c>
      <c r="E7466" t="s">
        <v>980</v>
      </c>
      <c r="F7466" t="s">
        <v>35</v>
      </c>
      <c r="G7466" t="s">
        <v>35</v>
      </c>
      <c r="H7466" t="s">
        <v>35</v>
      </c>
      <c r="J7466" t="s">
        <v>7149</v>
      </c>
      <c r="K7466" t="s">
        <v>1092</v>
      </c>
      <c r="M7466">
        <v>0.75</v>
      </c>
      <c r="N7466">
        <v>30</v>
      </c>
      <c r="O7466" t="s">
        <v>46</v>
      </c>
      <c r="Q7466" t="s">
        <v>793</v>
      </c>
      <c r="R7466" t="s">
        <v>6865</v>
      </c>
      <c r="S7466" t="s">
        <v>984</v>
      </c>
    </row>
    <row r="7467" spans="1:19" x14ac:dyDescent="0.25">
      <c r="A7467" t="s">
        <v>59</v>
      </c>
      <c r="B7467" t="s">
        <v>31</v>
      </c>
      <c r="C7467" t="s">
        <v>32</v>
      </c>
      <c r="D7467" t="s">
        <v>953</v>
      </c>
      <c r="E7467" t="s">
        <v>980</v>
      </c>
      <c r="F7467" t="s">
        <v>35</v>
      </c>
      <c r="G7467" t="s">
        <v>35</v>
      </c>
      <c r="H7467" t="s">
        <v>35</v>
      </c>
      <c r="J7467" t="s">
        <v>7150</v>
      </c>
      <c r="K7467" t="s">
        <v>1092</v>
      </c>
      <c r="M7467">
        <v>0.03</v>
      </c>
      <c r="N7467">
        <v>2673</v>
      </c>
      <c r="O7467" t="s">
        <v>575</v>
      </c>
      <c r="Q7467" t="s">
        <v>1486</v>
      </c>
      <c r="R7467" t="s">
        <v>1487</v>
      </c>
      <c r="S7467" t="s">
        <v>1488</v>
      </c>
    </row>
    <row r="7468" spans="1:19" x14ac:dyDescent="0.25">
      <c r="A7468" t="s">
        <v>59</v>
      </c>
      <c r="B7468" t="s">
        <v>60</v>
      </c>
      <c r="C7468" t="s">
        <v>32</v>
      </c>
      <c r="D7468" t="s">
        <v>953</v>
      </c>
      <c r="E7468" t="s">
        <v>980</v>
      </c>
      <c r="F7468" t="s">
        <v>35</v>
      </c>
      <c r="G7468" t="s">
        <v>35</v>
      </c>
      <c r="H7468" t="s">
        <v>35</v>
      </c>
      <c r="J7468" t="s">
        <v>7151</v>
      </c>
      <c r="K7468" t="s">
        <v>1092</v>
      </c>
      <c r="M7468">
        <v>0.4</v>
      </c>
      <c r="N7468">
        <v>132</v>
      </c>
      <c r="O7468" t="s">
        <v>38</v>
      </c>
      <c r="Q7468" t="s">
        <v>2901</v>
      </c>
      <c r="R7468" t="s">
        <v>6707</v>
      </c>
      <c r="S7468" t="s">
        <v>955</v>
      </c>
    </row>
    <row r="7469" spans="1:19" x14ac:dyDescent="0.25">
      <c r="A7469" t="s">
        <v>59</v>
      </c>
      <c r="B7469" t="s">
        <v>60</v>
      </c>
      <c r="C7469" t="s">
        <v>32</v>
      </c>
      <c r="D7469" t="s">
        <v>953</v>
      </c>
      <c r="E7469" t="s">
        <v>980</v>
      </c>
      <c r="F7469" t="s">
        <v>35</v>
      </c>
      <c r="G7469" t="s">
        <v>35</v>
      </c>
      <c r="H7469" t="s">
        <v>35</v>
      </c>
      <c r="J7469" t="s">
        <v>7151</v>
      </c>
      <c r="K7469" t="s">
        <v>1092</v>
      </c>
      <c r="M7469">
        <v>0.1</v>
      </c>
      <c r="N7469">
        <v>142</v>
      </c>
      <c r="O7469" t="s">
        <v>38</v>
      </c>
      <c r="Q7469" t="s">
        <v>2067</v>
      </c>
      <c r="R7469" t="s">
        <v>6707</v>
      </c>
      <c r="S7469" t="s">
        <v>955</v>
      </c>
    </row>
    <row r="7470" spans="1:19" x14ac:dyDescent="0.25">
      <c r="A7470" t="s">
        <v>30</v>
      </c>
      <c r="B7470" t="s">
        <v>31</v>
      </c>
      <c r="C7470" t="s">
        <v>32</v>
      </c>
      <c r="D7470" t="s">
        <v>953</v>
      </c>
      <c r="E7470" t="s">
        <v>980</v>
      </c>
      <c r="F7470" t="s">
        <v>35</v>
      </c>
      <c r="G7470" t="s">
        <v>35</v>
      </c>
      <c r="H7470" t="s">
        <v>35</v>
      </c>
      <c r="J7470" t="s">
        <v>7152</v>
      </c>
      <c r="K7470" t="s">
        <v>1092</v>
      </c>
      <c r="M7470">
        <v>0.39500000000000002</v>
      </c>
      <c r="N7470">
        <v>1064</v>
      </c>
      <c r="O7470" t="s">
        <v>575</v>
      </c>
      <c r="Q7470" t="s">
        <v>7153</v>
      </c>
      <c r="R7470" t="s">
        <v>133</v>
      </c>
      <c r="S7470" t="s">
        <v>134</v>
      </c>
    </row>
    <row r="7471" spans="1:19" x14ac:dyDescent="0.25">
      <c r="A7471" t="s">
        <v>44</v>
      </c>
      <c r="B7471" t="s">
        <v>3</v>
      </c>
      <c r="C7471" t="s">
        <v>32</v>
      </c>
      <c r="D7471" t="s">
        <v>953</v>
      </c>
      <c r="E7471" t="s">
        <v>980</v>
      </c>
      <c r="F7471" t="s">
        <v>35</v>
      </c>
      <c r="G7471" t="s">
        <v>35</v>
      </c>
      <c r="H7471" t="s">
        <v>35</v>
      </c>
      <c r="J7471" t="s">
        <v>7154</v>
      </c>
      <c r="K7471" t="s">
        <v>1092</v>
      </c>
      <c r="M7471">
        <v>0.35</v>
      </c>
      <c r="N7471">
        <v>36</v>
      </c>
      <c r="O7471" t="s">
        <v>52</v>
      </c>
      <c r="Q7471" t="s">
        <v>2005</v>
      </c>
      <c r="R7471" t="s">
        <v>6721</v>
      </c>
      <c r="S7471" t="s">
        <v>1078</v>
      </c>
    </row>
    <row r="7472" spans="1:19" x14ac:dyDescent="0.25">
      <c r="A7472" t="s">
        <v>59</v>
      </c>
      <c r="B7472" t="s">
        <v>31</v>
      </c>
      <c r="C7472" t="s">
        <v>32</v>
      </c>
      <c r="D7472" t="s">
        <v>953</v>
      </c>
      <c r="E7472" t="s">
        <v>980</v>
      </c>
      <c r="F7472" t="s">
        <v>35</v>
      </c>
      <c r="G7472" t="s">
        <v>35</v>
      </c>
      <c r="H7472" t="s">
        <v>35</v>
      </c>
      <c r="J7472" t="s">
        <v>7155</v>
      </c>
      <c r="K7472" t="s">
        <v>1092</v>
      </c>
      <c r="M7472">
        <v>5.0049999999999999</v>
      </c>
      <c r="N7472">
        <v>804</v>
      </c>
      <c r="O7472" t="s">
        <v>575</v>
      </c>
      <c r="Q7472" t="s">
        <v>7102</v>
      </c>
      <c r="R7472" t="s">
        <v>133</v>
      </c>
      <c r="S7472" t="s">
        <v>134</v>
      </c>
    </row>
    <row r="7473" spans="1:19" x14ac:dyDescent="0.25">
      <c r="A7473" t="s">
        <v>30</v>
      </c>
      <c r="B7473" t="s">
        <v>31</v>
      </c>
      <c r="C7473" t="s">
        <v>32</v>
      </c>
      <c r="D7473" t="s">
        <v>953</v>
      </c>
      <c r="E7473" t="s">
        <v>980</v>
      </c>
      <c r="F7473" t="s">
        <v>35</v>
      </c>
      <c r="G7473" t="s">
        <v>35</v>
      </c>
      <c r="H7473" t="s">
        <v>35</v>
      </c>
      <c r="J7473" t="s">
        <v>7155</v>
      </c>
      <c r="K7473" t="s">
        <v>1092</v>
      </c>
      <c r="M7473">
        <v>2.0699999999999998</v>
      </c>
      <c r="N7473">
        <v>1064</v>
      </c>
      <c r="O7473" t="s">
        <v>575</v>
      </c>
      <c r="Q7473" t="s">
        <v>7153</v>
      </c>
      <c r="R7473" t="s">
        <v>133</v>
      </c>
      <c r="S7473" t="s">
        <v>134</v>
      </c>
    </row>
    <row r="7474" spans="1:19" x14ac:dyDescent="0.25">
      <c r="A7474" t="s">
        <v>30</v>
      </c>
      <c r="B7474" t="s">
        <v>31</v>
      </c>
      <c r="C7474" t="s">
        <v>32</v>
      </c>
      <c r="D7474" t="s">
        <v>953</v>
      </c>
      <c r="E7474" t="s">
        <v>980</v>
      </c>
      <c r="F7474" t="s">
        <v>35</v>
      </c>
      <c r="G7474" t="s">
        <v>35</v>
      </c>
      <c r="H7474" t="s">
        <v>35</v>
      </c>
      <c r="J7474" t="s">
        <v>7156</v>
      </c>
      <c r="K7474" t="s">
        <v>1092</v>
      </c>
      <c r="M7474">
        <v>4.4999999999999998E-2</v>
      </c>
      <c r="N7474">
        <v>2015</v>
      </c>
      <c r="O7474" t="s">
        <v>575</v>
      </c>
      <c r="Q7474" t="s">
        <v>6069</v>
      </c>
      <c r="R7474" t="s">
        <v>6711</v>
      </c>
      <c r="S7474" t="s">
        <v>6712</v>
      </c>
    </row>
    <row r="7475" spans="1:19" x14ac:dyDescent="0.25">
      <c r="A7475" t="s">
        <v>44</v>
      </c>
      <c r="B7475" t="s">
        <v>51</v>
      </c>
      <c r="C7475" t="s">
        <v>32</v>
      </c>
      <c r="D7475" t="s">
        <v>953</v>
      </c>
      <c r="E7475" t="s">
        <v>980</v>
      </c>
      <c r="F7475" t="s">
        <v>35</v>
      </c>
      <c r="G7475" t="s">
        <v>35</v>
      </c>
      <c r="H7475" t="s">
        <v>35</v>
      </c>
      <c r="J7475" t="s">
        <v>7157</v>
      </c>
      <c r="K7475" t="s">
        <v>1092</v>
      </c>
      <c r="M7475">
        <v>0.25</v>
      </c>
      <c r="N7475">
        <v>244</v>
      </c>
      <c r="O7475" t="s">
        <v>5</v>
      </c>
      <c r="Q7475" t="s">
        <v>1242</v>
      </c>
      <c r="R7475" t="s">
        <v>6865</v>
      </c>
      <c r="S7475" t="s">
        <v>984</v>
      </c>
    </row>
    <row r="7476" spans="1:19" x14ac:dyDescent="0.25">
      <c r="A7476" t="s">
        <v>59</v>
      </c>
      <c r="B7476" t="s">
        <v>31</v>
      </c>
      <c r="C7476" t="s">
        <v>32</v>
      </c>
      <c r="D7476" t="s">
        <v>953</v>
      </c>
      <c r="E7476" t="s">
        <v>980</v>
      </c>
      <c r="F7476" t="s">
        <v>35</v>
      </c>
      <c r="G7476" t="s">
        <v>35</v>
      </c>
      <c r="H7476" t="s">
        <v>35</v>
      </c>
      <c r="J7476" t="s">
        <v>7157</v>
      </c>
      <c r="K7476" t="s">
        <v>1092</v>
      </c>
      <c r="M7476">
        <v>1.4999999999999999E-2</v>
      </c>
      <c r="N7476">
        <v>628</v>
      </c>
      <c r="O7476" t="s">
        <v>575</v>
      </c>
      <c r="Q7476" t="s">
        <v>2423</v>
      </c>
      <c r="R7476" t="s">
        <v>6762</v>
      </c>
      <c r="S7476" t="s">
        <v>992</v>
      </c>
    </row>
    <row r="7477" spans="1:19" x14ac:dyDescent="0.25">
      <c r="A7477" t="s">
        <v>59</v>
      </c>
      <c r="B7477" t="s">
        <v>60</v>
      </c>
      <c r="C7477" t="s">
        <v>32</v>
      </c>
      <c r="D7477" t="s">
        <v>953</v>
      </c>
      <c r="E7477" t="s">
        <v>980</v>
      </c>
      <c r="F7477" t="s">
        <v>35</v>
      </c>
      <c r="G7477" t="s">
        <v>35</v>
      </c>
      <c r="H7477" t="s">
        <v>35</v>
      </c>
      <c r="J7477" t="s">
        <v>7157</v>
      </c>
      <c r="K7477" t="s">
        <v>1092</v>
      </c>
      <c r="M7477">
        <v>0.1</v>
      </c>
      <c r="N7477">
        <v>219</v>
      </c>
      <c r="O7477" t="s">
        <v>5</v>
      </c>
      <c r="Q7477" t="s">
        <v>1578</v>
      </c>
      <c r="R7477" t="s">
        <v>6865</v>
      </c>
      <c r="S7477" t="s">
        <v>984</v>
      </c>
    </row>
    <row r="7478" spans="1:19" x14ac:dyDescent="0.25">
      <c r="A7478" t="s">
        <v>59</v>
      </c>
      <c r="B7478" t="s">
        <v>60</v>
      </c>
      <c r="C7478" t="s">
        <v>32</v>
      </c>
      <c r="D7478" t="s">
        <v>953</v>
      </c>
      <c r="E7478" t="s">
        <v>980</v>
      </c>
      <c r="F7478" t="s">
        <v>35</v>
      </c>
      <c r="G7478" t="s">
        <v>35</v>
      </c>
      <c r="H7478" t="s">
        <v>35</v>
      </c>
      <c r="J7478" t="s">
        <v>7157</v>
      </c>
      <c r="K7478" t="s">
        <v>1092</v>
      </c>
      <c r="M7478">
        <v>0.25</v>
      </c>
      <c r="N7478">
        <v>41</v>
      </c>
      <c r="O7478" t="s">
        <v>52</v>
      </c>
      <c r="Q7478" t="s">
        <v>249</v>
      </c>
      <c r="R7478" t="s">
        <v>6865</v>
      </c>
      <c r="S7478" t="s">
        <v>984</v>
      </c>
    </row>
    <row r="7479" spans="1:19" x14ac:dyDescent="0.25">
      <c r="A7479" t="s">
        <v>44</v>
      </c>
      <c r="B7479" t="s">
        <v>51</v>
      </c>
      <c r="C7479" t="s">
        <v>32</v>
      </c>
      <c r="D7479" t="s">
        <v>953</v>
      </c>
      <c r="E7479" t="s">
        <v>980</v>
      </c>
      <c r="F7479" t="s">
        <v>35</v>
      </c>
      <c r="G7479" t="s">
        <v>35</v>
      </c>
      <c r="H7479" t="s">
        <v>35</v>
      </c>
      <c r="J7479" t="s">
        <v>7158</v>
      </c>
      <c r="K7479" t="s">
        <v>1092</v>
      </c>
      <c r="M7479">
        <v>0.5</v>
      </c>
      <c r="N7479">
        <v>26</v>
      </c>
      <c r="O7479" t="s">
        <v>46</v>
      </c>
      <c r="Q7479" t="s">
        <v>94</v>
      </c>
      <c r="R7479" t="s">
        <v>6865</v>
      </c>
      <c r="S7479" t="s">
        <v>984</v>
      </c>
    </row>
    <row r="7480" spans="1:19" x14ac:dyDescent="0.25">
      <c r="A7480" t="s">
        <v>44</v>
      </c>
      <c r="B7480" t="s">
        <v>51</v>
      </c>
      <c r="C7480" t="s">
        <v>32</v>
      </c>
      <c r="D7480" t="s">
        <v>953</v>
      </c>
      <c r="E7480" t="s">
        <v>980</v>
      </c>
      <c r="F7480" t="s">
        <v>35</v>
      </c>
      <c r="G7480" t="s">
        <v>35</v>
      </c>
      <c r="H7480" t="s">
        <v>35</v>
      </c>
      <c r="J7480" t="s">
        <v>7158</v>
      </c>
      <c r="K7480" t="s">
        <v>1092</v>
      </c>
      <c r="M7480">
        <v>0.25</v>
      </c>
      <c r="N7480">
        <v>41</v>
      </c>
      <c r="O7480" t="s">
        <v>52</v>
      </c>
      <c r="Q7480" t="s">
        <v>249</v>
      </c>
      <c r="R7480" t="s">
        <v>6865</v>
      </c>
      <c r="S7480" t="s">
        <v>984</v>
      </c>
    </row>
    <row r="7481" spans="1:19" x14ac:dyDescent="0.25">
      <c r="A7481" t="s">
        <v>59</v>
      </c>
      <c r="B7481" t="s">
        <v>60</v>
      </c>
      <c r="C7481" t="s">
        <v>32</v>
      </c>
      <c r="D7481" t="s">
        <v>953</v>
      </c>
      <c r="E7481" t="s">
        <v>980</v>
      </c>
      <c r="F7481" t="s">
        <v>35</v>
      </c>
      <c r="G7481" t="s">
        <v>35</v>
      </c>
      <c r="H7481" t="s">
        <v>35</v>
      </c>
      <c r="J7481" t="s">
        <v>7158</v>
      </c>
      <c r="K7481" t="s">
        <v>1092</v>
      </c>
      <c r="M7481">
        <v>0.5</v>
      </c>
      <c r="N7481">
        <v>41</v>
      </c>
      <c r="O7481" t="s">
        <v>52</v>
      </c>
      <c r="Q7481" t="s">
        <v>249</v>
      </c>
      <c r="R7481" t="s">
        <v>6865</v>
      </c>
      <c r="S7481" t="s">
        <v>984</v>
      </c>
    </row>
    <row r="7482" spans="1:19" x14ac:dyDescent="0.25">
      <c r="A7482" t="s">
        <v>59</v>
      </c>
      <c r="B7482" t="s">
        <v>60</v>
      </c>
      <c r="C7482" t="s">
        <v>32</v>
      </c>
      <c r="D7482" t="s">
        <v>953</v>
      </c>
      <c r="E7482" t="s">
        <v>980</v>
      </c>
      <c r="F7482" t="s">
        <v>35</v>
      </c>
      <c r="G7482" t="s">
        <v>35</v>
      </c>
      <c r="H7482" t="s">
        <v>35</v>
      </c>
      <c r="J7482" t="s">
        <v>7158</v>
      </c>
      <c r="K7482" t="s">
        <v>1092</v>
      </c>
      <c r="M7482">
        <v>0.2</v>
      </c>
      <c r="N7482">
        <v>63</v>
      </c>
      <c r="O7482" t="s">
        <v>61</v>
      </c>
      <c r="Q7482" t="s">
        <v>423</v>
      </c>
      <c r="R7482" t="s">
        <v>6865</v>
      </c>
      <c r="S7482" t="s">
        <v>984</v>
      </c>
    </row>
    <row r="7483" spans="1:19" x14ac:dyDescent="0.25">
      <c r="A7483" t="s">
        <v>44</v>
      </c>
      <c r="B7483" t="s">
        <v>51</v>
      </c>
      <c r="C7483" t="s">
        <v>32</v>
      </c>
      <c r="D7483" t="s">
        <v>953</v>
      </c>
      <c r="E7483" t="s">
        <v>980</v>
      </c>
      <c r="F7483" t="s">
        <v>35</v>
      </c>
      <c r="G7483" t="s">
        <v>35</v>
      </c>
      <c r="H7483" t="s">
        <v>35</v>
      </c>
      <c r="J7483" t="s">
        <v>7159</v>
      </c>
      <c r="K7483" t="s">
        <v>1092</v>
      </c>
      <c r="M7483">
        <v>0.2</v>
      </c>
      <c r="N7483">
        <v>24</v>
      </c>
      <c r="O7483" t="s">
        <v>46</v>
      </c>
      <c r="Q7483" t="s">
        <v>255</v>
      </c>
      <c r="R7483" t="s">
        <v>6865</v>
      </c>
      <c r="S7483" t="s">
        <v>984</v>
      </c>
    </row>
    <row r="7484" spans="1:19" x14ac:dyDescent="0.25">
      <c r="A7484" t="s">
        <v>59</v>
      </c>
      <c r="B7484" t="s">
        <v>60</v>
      </c>
      <c r="C7484" t="s">
        <v>32</v>
      </c>
      <c r="D7484" t="s">
        <v>953</v>
      </c>
      <c r="E7484" t="s">
        <v>980</v>
      </c>
      <c r="F7484" t="s">
        <v>35</v>
      </c>
      <c r="G7484" t="s">
        <v>35</v>
      </c>
      <c r="H7484" t="s">
        <v>35</v>
      </c>
      <c r="J7484" t="s">
        <v>7159</v>
      </c>
      <c r="K7484" t="s">
        <v>1092</v>
      </c>
      <c r="M7484">
        <v>0.10299999999999999</v>
      </c>
      <c r="N7484">
        <v>58</v>
      </c>
      <c r="O7484" t="s">
        <v>52</v>
      </c>
      <c r="Q7484" t="s">
        <v>58</v>
      </c>
      <c r="R7484" t="s">
        <v>6865</v>
      </c>
      <c r="S7484" t="s">
        <v>984</v>
      </c>
    </row>
    <row r="7485" spans="1:19" x14ac:dyDescent="0.25">
      <c r="A7485" t="s">
        <v>44</v>
      </c>
      <c r="B7485" t="s">
        <v>51</v>
      </c>
      <c r="C7485" t="s">
        <v>32</v>
      </c>
      <c r="D7485" t="s">
        <v>953</v>
      </c>
      <c r="E7485" t="s">
        <v>980</v>
      </c>
      <c r="F7485" t="s">
        <v>35</v>
      </c>
      <c r="G7485" t="s">
        <v>35</v>
      </c>
      <c r="H7485" t="s">
        <v>35</v>
      </c>
      <c r="J7485" t="s">
        <v>7160</v>
      </c>
      <c r="K7485" t="s">
        <v>1092</v>
      </c>
      <c r="M7485">
        <v>6.5</v>
      </c>
      <c r="N7485">
        <v>59</v>
      </c>
      <c r="O7485" t="s">
        <v>52</v>
      </c>
      <c r="Q7485" t="s">
        <v>84</v>
      </c>
      <c r="R7485" t="s">
        <v>6705</v>
      </c>
      <c r="S7485" t="s">
        <v>981</v>
      </c>
    </row>
    <row r="7486" spans="1:19" x14ac:dyDescent="0.25">
      <c r="A7486" t="s">
        <v>30</v>
      </c>
      <c r="B7486" t="s">
        <v>31</v>
      </c>
      <c r="C7486" t="s">
        <v>32</v>
      </c>
      <c r="D7486" t="s">
        <v>953</v>
      </c>
      <c r="E7486" t="s">
        <v>980</v>
      </c>
      <c r="F7486" t="s">
        <v>35</v>
      </c>
      <c r="G7486" t="s">
        <v>35</v>
      </c>
      <c r="H7486" t="s">
        <v>35</v>
      </c>
      <c r="J7486" t="s">
        <v>7160</v>
      </c>
      <c r="K7486" t="s">
        <v>1092</v>
      </c>
      <c r="M7486">
        <v>4.32</v>
      </c>
      <c r="N7486">
        <v>25</v>
      </c>
      <c r="O7486" t="s">
        <v>46</v>
      </c>
      <c r="Q7486" t="s">
        <v>831</v>
      </c>
      <c r="R7486" t="s">
        <v>6705</v>
      </c>
      <c r="S7486" t="s">
        <v>981</v>
      </c>
    </row>
    <row r="7487" spans="1:19" x14ac:dyDescent="0.25">
      <c r="A7487" t="s">
        <v>59</v>
      </c>
      <c r="B7487" t="s">
        <v>60</v>
      </c>
      <c r="C7487" t="s">
        <v>32</v>
      </c>
      <c r="D7487" t="s">
        <v>953</v>
      </c>
      <c r="E7487" t="s">
        <v>980</v>
      </c>
      <c r="F7487" t="s">
        <v>35</v>
      </c>
      <c r="G7487" t="s">
        <v>35</v>
      </c>
      <c r="H7487" t="s">
        <v>35</v>
      </c>
      <c r="J7487" t="s">
        <v>7160</v>
      </c>
      <c r="K7487" t="s">
        <v>1092</v>
      </c>
      <c r="M7487">
        <v>0.5</v>
      </c>
      <c r="N7487">
        <v>100</v>
      </c>
      <c r="O7487" t="s">
        <v>106</v>
      </c>
      <c r="Q7487" t="s">
        <v>1112</v>
      </c>
      <c r="R7487" t="s">
        <v>6705</v>
      </c>
      <c r="S7487" t="s">
        <v>981</v>
      </c>
    </row>
    <row r="7488" spans="1:19" x14ac:dyDescent="0.25">
      <c r="A7488" t="s">
        <v>44</v>
      </c>
      <c r="B7488" t="s">
        <v>3</v>
      </c>
      <c r="C7488" t="s">
        <v>32</v>
      </c>
      <c r="D7488" t="s">
        <v>953</v>
      </c>
      <c r="E7488" t="s">
        <v>980</v>
      </c>
      <c r="F7488" t="s">
        <v>35</v>
      </c>
      <c r="G7488" t="s">
        <v>35</v>
      </c>
      <c r="H7488" t="s">
        <v>35</v>
      </c>
      <c r="J7488" t="s">
        <v>7161</v>
      </c>
      <c r="K7488" t="s">
        <v>1092</v>
      </c>
      <c r="M7488">
        <v>0.2</v>
      </c>
      <c r="N7488">
        <v>423</v>
      </c>
      <c r="O7488" t="s">
        <v>294</v>
      </c>
      <c r="Q7488" t="s">
        <v>1607</v>
      </c>
      <c r="R7488" t="s">
        <v>6711</v>
      </c>
      <c r="S7488" t="s">
        <v>6712</v>
      </c>
    </row>
    <row r="7489" spans="1:19" x14ac:dyDescent="0.25">
      <c r="A7489" t="s">
        <v>59</v>
      </c>
      <c r="B7489" t="s">
        <v>60</v>
      </c>
      <c r="C7489" t="s">
        <v>32</v>
      </c>
      <c r="D7489" t="s">
        <v>953</v>
      </c>
      <c r="E7489" t="s">
        <v>980</v>
      </c>
      <c r="F7489" t="s">
        <v>35</v>
      </c>
      <c r="G7489" t="s">
        <v>35</v>
      </c>
      <c r="H7489" t="s">
        <v>35</v>
      </c>
      <c r="J7489" t="s">
        <v>7161</v>
      </c>
      <c r="K7489" t="s">
        <v>1092</v>
      </c>
      <c r="M7489">
        <v>0.1</v>
      </c>
      <c r="N7489">
        <v>251</v>
      </c>
      <c r="O7489" t="s">
        <v>5</v>
      </c>
      <c r="Q7489" t="s">
        <v>1688</v>
      </c>
      <c r="R7489" t="s">
        <v>6705</v>
      </c>
      <c r="S7489" t="s">
        <v>981</v>
      </c>
    </row>
    <row r="7490" spans="1:19" x14ac:dyDescent="0.25">
      <c r="A7490" t="s">
        <v>59</v>
      </c>
      <c r="B7490" t="s">
        <v>60</v>
      </c>
      <c r="C7490" t="s">
        <v>32</v>
      </c>
      <c r="D7490" t="s">
        <v>953</v>
      </c>
      <c r="E7490" t="s">
        <v>980</v>
      </c>
      <c r="F7490" t="s">
        <v>35</v>
      </c>
      <c r="G7490" t="s">
        <v>35</v>
      </c>
      <c r="H7490" t="s">
        <v>35</v>
      </c>
      <c r="J7490" t="s">
        <v>7162</v>
      </c>
      <c r="K7490" t="s">
        <v>1092</v>
      </c>
      <c r="M7490">
        <v>0.1</v>
      </c>
      <c r="N7490">
        <v>309</v>
      </c>
      <c r="O7490" t="s">
        <v>5</v>
      </c>
      <c r="Q7490" t="s">
        <v>1360</v>
      </c>
      <c r="R7490" t="s">
        <v>6711</v>
      </c>
      <c r="S7490" t="s">
        <v>6712</v>
      </c>
    </row>
    <row r="7491" spans="1:19" x14ac:dyDescent="0.25">
      <c r="A7491" t="s">
        <v>59</v>
      </c>
      <c r="B7491" t="s">
        <v>60</v>
      </c>
      <c r="C7491" t="s">
        <v>32</v>
      </c>
      <c r="D7491" t="s">
        <v>953</v>
      </c>
      <c r="E7491" t="s">
        <v>980</v>
      </c>
      <c r="F7491" t="s">
        <v>35</v>
      </c>
      <c r="G7491" t="s">
        <v>35</v>
      </c>
      <c r="H7491" t="s">
        <v>35</v>
      </c>
      <c r="J7491" t="s">
        <v>7163</v>
      </c>
      <c r="K7491" t="s">
        <v>1092</v>
      </c>
      <c r="M7491">
        <v>0.75</v>
      </c>
      <c r="N7491">
        <v>13</v>
      </c>
      <c r="O7491" t="s">
        <v>46</v>
      </c>
      <c r="Q7491" t="s">
        <v>310</v>
      </c>
      <c r="R7491" t="s">
        <v>133</v>
      </c>
      <c r="S7491" t="s">
        <v>134</v>
      </c>
    </row>
    <row r="7492" spans="1:19" x14ac:dyDescent="0.25">
      <c r="A7492" t="s">
        <v>59</v>
      </c>
      <c r="B7492" t="s">
        <v>31</v>
      </c>
      <c r="C7492" t="s">
        <v>32</v>
      </c>
      <c r="D7492" t="s">
        <v>953</v>
      </c>
      <c r="E7492" t="s">
        <v>980</v>
      </c>
      <c r="F7492" t="s">
        <v>35</v>
      </c>
      <c r="G7492" t="s">
        <v>35</v>
      </c>
      <c r="H7492" t="s">
        <v>35</v>
      </c>
      <c r="J7492" t="s">
        <v>7163</v>
      </c>
      <c r="K7492" t="s">
        <v>1092</v>
      </c>
      <c r="M7492">
        <v>8.5000000000000006E-2</v>
      </c>
      <c r="N7492">
        <v>141</v>
      </c>
      <c r="O7492" t="s">
        <v>38</v>
      </c>
      <c r="Q7492" t="s">
        <v>1822</v>
      </c>
      <c r="R7492" t="s">
        <v>6762</v>
      </c>
      <c r="S7492" t="s">
        <v>992</v>
      </c>
    </row>
    <row r="7493" spans="1:19" x14ac:dyDescent="0.25">
      <c r="A7493" t="s">
        <v>30</v>
      </c>
      <c r="B7493" t="s">
        <v>31</v>
      </c>
      <c r="C7493" t="s">
        <v>32</v>
      </c>
      <c r="D7493" t="s">
        <v>953</v>
      </c>
      <c r="E7493" t="s">
        <v>7164</v>
      </c>
      <c r="F7493" t="s">
        <v>35</v>
      </c>
      <c r="G7493" t="s">
        <v>35</v>
      </c>
      <c r="H7493" t="s">
        <v>35</v>
      </c>
      <c r="J7493" t="s">
        <v>7165</v>
      </c>
      <c r="K7493" t="s">
        <v>1092</v>
      </c>
      <c r="M7493">
        <v>0.40500000000000003</v>
      </c>
      <c r="N7493">
        <v>454</v>
      </c>
      <c r="O7493" t="s">
        <v>294</v>
      </c>
      <c r="Q7493" t="s">
        <v>1413</v>
      </c>
      <c r="R7493" t="s">
        <v>6709</v>
      </c>
      <c r="S7493" t="s">
        <v>1022</v>
      </c>
    </row>
    <row r="7494" spans="1:19" x14ac:dyDescent="0.25">
      <c r="A7494" t="s">
        <v>30</v>
      </c>
      <c r="B7494" t="s">
        <v>31</v>
      </c>
      <c r="C7494" t="s">
        <v>32</v>
      </c>
      <c r="D7494" t="s">
        <v>953</v>
      </c>
      <c r="E7494" t="s">
        <v>7164</v>
      </c>
      <c r="F7494" t="s">
        <v>35</v>
      </c>
      <c r="G7494" t="s">
        <v>35</v>
      </c>
      <c r="H7494" t="s">
        <v>35</v>
      </c>
      <c r="J7494" t="s">
        <v>7165</v>
      </c>
      <c r="K7494" t="s">
        <v>1092</v>
      </c>
      <c r="M7494">
        <v>9.99</v>
      </c>
      <c r="N7494">
        <v>160</v>
      </c>
      <c r="O7494" t="s">
        <v>38</v>
      </c>
      <c r="Q7494" t="s">
        <v>260</v>
      </c>
      <c r="R7494" t="s">
        <v>6709</v>
      </c>
      <c r="S7494" t="s">
        <v>1022</v>
      </c>
    </row>
    <row r="7495" spans="1:19" x14ac:dyDescent="0.25">
      <c r="A7495" t="s">
        <v>59</v>
      </c>
      <c r="B7495" t="s">
        <v>31</v>
      </c>
      <c r="C7495" t="s">
        <v>32</v>
      </c>
      <c r="D7495" t="s">
        <v>953</v>
      </c>
      <c r="E7495" t="s">
        <v>7164</v>
      </c>
      <c r="F7495" t="s">
        <v>35</v>
      </c>
      <c r="G7495" t="s">
        <v>35</v>
      </c>
      <c r="H7495" t="s">
        <v>35</v>
      </c>
      <c r="J7495" t="s">
        <v>7166</v>
      </c>
      <c r="K7495" t="s">
        <v>1092</v>
      </c>
      <c r="M7495">
        <v>7.47</v>
      </c>
      <c r="N7495">
        <v>542</v>
      </c>
      <c r="O7495" t="s">
        <v>294</v>
      </c>
      <c r="Q7495" t="s">
        <v>7167</v>
      </c>
      <c r="R7495" t="s">
        <v>987</v>
      </c>
      <c r="S7495" t="s">
        <v>988</v>
      </c>
    </row>
    <row r="7496" spans="1:19" x14ac:dyDescent="0.25">
      <c r="A7496" t="s">
        <v>30</v>
      </c>
      <c r="B7496" t="s">
        <v>31</v>
      </c>
      <c r="C7496" t="s">
        <v>32</v>
      </c>
      <c r="D7496" t="s">
        <v>953</v>
      </c>
      <c r="E7496" t="s">
        <v>7164</v>
      </c>
      <c r="F7496" t="s">
        <v>35</v>
      </c>
      <c r="G7496" t="s">
        <v>35</v>
      </c>
      <c r="H7496" t="s">
        <v>35</v>
      </c>
      <c r="J7496" t="s">
        <v>7166</v>
      </c>
      <c r="K7496" t="s">
        <v>1092</v>
      </c>
      <c r="M7496">
        <v>2.31</v>
      </c>
      <c r="N7496">
        <v>1253</v>
      </c>
      <c r="O7496" t="s">
        <v>575</v>
      </c>
      <c r="Q7496" t="s">
        <v>5573</v>
      </c>
      <c r="R7496" t="s">
        <v>6705</v>
      </c>
      <c r="S7496" t="s">
        <v>981</v>
      </c>
    </row>
    <row r="7497" spans="1:19" x14ac:dyDescent="0.25">
      <c r="A7497" t="s">
        <v>30</v>
      </c>
      <c r="B7497" t="s">
        <v>31</v>
      </c>
      <c r="C7497" t="s">
        <v>32</v>
      </c>
      <c r="D7497" t="s">
        <v>953</v>
      </c>
      <c r="E7497" t="s">
        <v>7164</v>
      </c>
      <c r="F7497" t="s">
        <v>35</v>
      </c>
      <c r="G7497" t="s">
        <v>35</v>
      </c>
      <c r="H7497" t="s">
        <v>35</v>
      </c>
      <c r="J7497" t="s">
        <v>7168</v>
      </c>
      <c r="K7497" t="s">
        <v>1092</v>
      </c>
      <c r="M7497">
        <v>2.0249999999999999</v>
      </c>
      <c r="N7497">
        <v>20</v>
      </c>
      <c r="O7497" t="s">
        <v>46</v>
      </c>
      <c r="Q7497" t="s">
        <v>1004</v>
      </c>
      <c r="R7497" t="s">
        <v>133</v>
      </c>
      <c r="S7497" t="s">
        <v>134</v>
      </c>
    </row>
    <row r="7498" spans="1:19" x14ac:dyDescent="0.25">
      <c r="A7498" t="s">
        <v>59</v>
      </c>
      <c r="B7498" t="s">
        <v>31</v>
      </c>
      <c r="C7498" t="s">
        <v>32</v>
      </c>
      <c r="D7498" t="s">
        <v>953</v>
      </c>
      <c r="E7498" t="s">
        <v>7164</v>
      </c>
      <c r="F7498" t="s">
        <v>35</v>
      </c>
      <c r="G7498" t="s">
        <v>35</v>
      </c>
      <c r="H7498" t="s">
        <v>35</v>
      </c>
      <c r="J7498" t="s">
        <v>7169</v>
      </c>
      <c r="K7498" t="s">
        <v>1092</v>
      </c>
      <c r="M7498">
        <v>2.5649999999999999</v>
      </c>
      <c r="N7498">
        <v>286</v>
      </c>
      <c r="O7498" t="s">
        <v>5</v>
      </c>
      <c r="Q7498" t="s">
        <v>3945</v>
      </c>
      <c r="R7498" t="s">
        <v>6709</v>
      </c>
      <c r="S7498" t="s">
        <v>1022</v>
      </c>
    </row>
    <row r="7499" spans="1:19" x14ac:dyDescent="0.25">
      <c r="A7499" t="s">
        <v>30</v>
      </c>
      <c r="B7499" t="s">
        <v>31</v>
      </c>
      <c r="C7499" t="s">
        <v>32</v>
      </c>
      <c r="D7499" t="s">
        <v>953</v>
      </c>
      <c r="E7499" t="s">
        <v>7164</v>
      </c>
      <c r="F7499" t="s">
        <v>35</v>
      </c>
      <c r="G7499" t="s">
        <v>35</v>
      </c>
      <c r="H7499" t="s">
        <v>35</v>
      </c>
      <c r="J7499" t="s">
        <v>7169</v>
      </c>
      <c r="K7499" t="s">
        <v>1092</v>
      </c>
      <c r="M7499">
        <v>0.58499999999999996</v>
      </c>
      <c r="N7499">
        <v>272</v>
      </c>
      <c r="O7499" t="s">
        <v>5</v>
      </c>
      <c r="Q7499" t="s">
        <v>1264</v>
      </c>
      <c r="R7499" t="s">
        <v>6847</v>
      </c>
      <c r="S7499" t="s">
        <v>1034</v>
      </c>
    </row>
    <row r="7500" spans="1:19" x14ac:dyDescent="0.25">
      <c r="A7500" t="s">
        <v>30</v>
      </c>
      <c r="B7500" t="s">
        <v>31</v>
      </c>
      <c r="C7500" t="s">
        <v>32</v>
      </c>
      <c r="D7500" t="s">
        <v>953</v>
      </c>
      <c r="E7500" t="s">
        <v>7164</v>
      </c>
      <c r="F7500" t="s">
        <v>35</v>
      </c>
      <c r="G7500" t="s">
        <v>35</v>
      </c>
      <c r="H7500" t="s">
        <v>35</v>
      </c>
      <c r="J7500" t="s">
        <v>7170</v>
      </c>
      <c r="K7500" t="s">
        <v>1092</v>
      </c>
      <c r="M7500">
        <v>0.315</v>
      </c>
      <c r="N7500">
        <v>272</v>
      </c>
      <c r="O7500" t="s">
        <v>5</v>
      </c>
      <c r="Q7500" t="s">
        <v>1264</v>
      </c>
      <c r="R7500" t="s">
        <v>7171</v>
      </c>
      <c r="S7500" t="s">
        <v>7172</v>
      </c>
    </row>
    <row r="7501" spans="1:19" x14ac:dyDescent="0.25">
      <c r="A7501" t="s">
        <v>44</v>
      </c>
      <c r="B7501" t="s">
        <v>3</v>
      </c>
      <c r="C7501" t="s">
        <v>32</v>
      </c>
      <c r="D7501" t="s">
        <v>953</v>
      </c>
      <c r="E7501" t="s">
        <v>7164</v>
      </c>
      <c r="F7501" t="s">
        <v>35</v>
      </c>
      <c r="G7501" t="s">
        <v>35</v>
      </c>
      <c r="H7501" t="s">
        <v>35</v>
      </c>
      <c r="J7501" t="s">
        <v>6094</v>
      </c>
      <c r="K7501" t="s">
        <v>1092</v>
      </c>
      <c r="M7501">
        <v>1.5</v>
      </c>
      <c r="N7501">
        <v>247</v>
      </c>
      <c r="O7501" t="s">
        <v>5</v>
      </c>
      <c r="Q7501" t="s">
        <v>574</v>
      </c>
      <c r="R7501" t="s">
        <v>6891</v>
      </c>
      <c r="S7501" t="s">
        <v>1085</v>
      </c>
    </row>
    <row r="7502" spans="1:19" x14ac:dyDescent="0.25">
      <c r="A7502" t="s">
        <v>59</v>
      </c>
      <c r="B7502" t="s">
        <v>60</v>
      </c>
      <c r="C7502" t="s">
        <v>32</v>
      </c>
      <c r="D7502" t="s">
        <v>953</v>
      </c>
      <c r="E7502" t="s">
        <v>7164</v>
      </c>
      <c r="F7502" t="s">
        <v>35</v>
      </c>
      <c r="G7502" t="s">
        <v>35</v>
      </c>
      <c r="H7502" t="s">
        <v>35</v>
      </c>
      <c r="J7502" t="s">
        <v>6094</v>
      </c>
      <c r="K7502" t="s">
        <v>1092</v>
      </c>
      <c r="M7502">
        <v>5</v>
      </c>
      <c r="N7502">
        <v>74</v>
      </c>
      <c r="O7502" t="s">
        <v>61</v>
      </c>
      <c r="Q7502" t="s">
        <v>488</v>
      </c>
      <c r="R7502" t="s">
        <v>6964</v>
      </c>
      <c r="S7502" t="s">
        <v>6965</v>
      </c>
    </row>
    <row r="7503" spans="1:19" x14ac:dyDescent="0.25">
      <c r="A7503" t="s">
        <v>59</v>
      </c>
      <c r="B7503" t="s">
        <v>31</v>
      </c>
      <c r="C7503" t="s">
        <v>32</v>
      </c>
      <c r="D7503" t="s">
        <v>953</v>
      </c>
      <c r="E7503" t="s">
        <v>7164</v>
      </c>
      <c r="F7503" t="s">
        <v>35</v>
      </c>
      <c r="G7503" t="s">
        <v>35</v>
      </c>
      <c r="H7503" t="s">
        <v>35</v>
      </c>
      <c r="J7503" t="s">
        <v>7174</v>
      </c>
      <c r="K7503" t="s">
        <v>1092</v>
      </c>
      <c r="M7503">
        <v>9.99</v>
      </c>
      <c r="N7503">
        <v>84</v>
      </c>
      <c r="O7503" t="s">
        <v>61</v>
      </c>
      <c r="Q7503" t="s">
        <v>778</v>
      </c>
      <c r="R7503" t="s">
        <v>6897</v>
      </c>
      <c r="S7503" t="s">
        <v>1062</v>
      </c>
    </row>
    <row r="7504" spans="1:19" x14ac:dyDescent="0.25">
      <c r="A7504" t="s">
        <v>59</v>
      </c>
      <c r="B7504" t="s">
        <v>31</v>
      </c>
      <c r="C7504" t="s">
        <v>32</v>
      </c>
      <c r="D7504" t="s">
        <v>953</v>
      </c>
      <c r="E7504" t="s">
        <v>7164</v>
      </c>
      <c r="F7504" t="s">
        <v>35</v>
      </c>
      <c r="G7504" t="s">
        <v>35</v>
      </c>
      <c r="H7504" t="s">
        <v>35</v>
      </c>
      <c r="J7504" t="s">
        <v>7174</v>
      </c>
      <c r="K7504" t="s">
        <v>1092</v>
      </c>
      <c r="M7504">
        <v>9.99</v>
      </c>
      <c r="N7504">
        <v>65</v>
      </c>
      <c r="O7504" t="s">
        <v>61</v>
      </c>
      <c r="Q7504" t="s">
        <v>128</v>
      </c>
      <c r="R7504" t="s">
        <v>6742</v>
      </c>
      <c r="S7504" t="s">
        <v>1016</v>
      </c>
    </row>
    <row r="7505" spans="1:19" x14ac:dyDescent="0.25">
      <c r="A7505" t="s">
        <v>59</v>
      </c>
      <c r="B7505" t="s">
        <v>60</v>
      </c>
      <c r="C7505" t="s">
        <v>32</v>
      </c>
      <c r="D7505" t="s">
        <v>953</v>
      </c>
      <c r="E7505" t="s">
        <v>7164</v>
      </c>
      <c r="F7505" t="s">
        <v>35</v>
      </c>
      <c r="G7505" t="s">
        <v>35</v>
      </c>
      <c r="H7505" t="s">
        <v>35</v>
      </c>
      <c r="J7505" t="s">
        <v>7175</v>
      </c>
      <c r="K7505" t="s">
        <v>1092</v>
      </c>
      <c r="M7505">
        <v>1</v>
      </c>
      <c r="N7505">
        <v>194</v>
      </c>
      <c r="O7505" t="s">
        <v>5</v>
      </c>
      <c r="Q7505" t="s">
        <v>2315</v>
      </c>
      <c r="R7505" t="s">
        <v>6709</v>
      </c>
      <c r="S7505" t="s">
        <v>1022</v>
      </c>
    </row>
    <row r="7506" spans="1:19" x14ac:dyDescent="0.25">
      <c r="A7506" t="s">
        <v>30</v>
      </c>
      <c r="B7506" t="s">
        <v>31</v>
      </c>
      <c r="C7506" t="s">
        <v>32</v>
      </c>
      <c r="D7506" t="s">
        <v>953</v>
      </c>
      <c r="E7506" t="s">
        <v>7164</v>
      </c>
      <c r="F7506" t="s">
        <v>35</v>
      </c>
      <c r="G7506" t="s">
        <v>35</v>
      </c>
      <c r="H7506" t="s">
        <v>35</v>
      </c>
      <c r="J7506" t="s">
        <v>7176</v>
      </c>
      <c r="K7506" t="s">
        <v>1092</v>
      </c>
      <c r="M7506">
        <v>3.5999999999999997E-2</v>
      </c>
      <c r="N7506">
        <v>1187</v>
      </c>
      <c r="O7506" t="s">
        <v>575</v>
      </c>
      <c r="Q7506" t="s">
        <v>7177</v>
      </c>
      <c r="R7506" t="s">
        <v>6709</v>
      </c>
      <c r="S7506" t="s">
        <v>1022</v>
      </c>
    </row>
    <row r="7507" spans="1:19" x14ac:dyDescent="0.25">
      <c r="A7507" t="s">
        <v>59</v>
      </c>
      <c r="B7507" t="s">
        <v>31</v>
      </c>
      <c r="C7507" t="s">
        <v>32</v>
      </c>
      <c r="D7507" t="s">
        <v>953</v>
      </c>
      <c r="E7507" t="s">
        <v>7164</v>
      </c>
      <c r="F7507" t="s">
        <v>35</v>
      </c>
      <c r="G7507" t="s">
        <v>35</v>
      </c>
      <c r="H7507" t="s">
        <v>35</v>
      </c>
      <c r="J7507" t="s">
        <v>7176</v>
      </c>
      <c r="K7507" t="s">
        <v>1092</v>
      </c>
      <c r="M7507">
        <v>0.13500000000000001</v>
      </c>
      <c r="N7507">
        <v>531</v>
      </c>
      <c r="O7507" t="s">
        <v>294</v>
      </c>
      <c r="Q7507" t="s">
        <v>1619</v>
      </c>
      <c r="R7507" t="s">
        <v>6723</v>
      </c>
      <c r="S7507" t="s">
        <v>6724</v>
      </c>
    </row>
    <row r="7508" spans="1:19" x14ac:dyDescent="0.25">
      <c r="A7508" t="s">
        <v>59</v>
      </c>
      <c r="B7508" t="s">
        <v>31</v>
      </c>
      <c r="C7508" t="s">
        <v>32</v>
      </c>
      <c r="D7508" t="s">
        <v>953</v>
      </c>
      <c r="E7508" t="s">
        <v>7179</v>
      </c>
      <c r="F7508" t="s">
        <v>35</v>
      </c>
      <c r="G7508" t="s">
        <v>35</v>
      </c>
      <c r="H7508" t="s">
        <v>35</v>
      </c>
      <c r="J7508" t="s">
        <v>7180</v>
      </c>
      <c r="K7508" t="s">
        <v>1092</v>
      </c>
      <c r="M7508">
        <v>0.09</v>
      </c>
      <c r="N7508">
        <v>49</v>
      </c>
      <c r="O7508" t="s">
        <v>52</v>
      </c>
      <c r="Q7508" t="s">
        <v>219</v>
      </c>
      <c r="R7508" t="s">
        <v>6707</v>
      </c>
      <c r="S7508" t="s">
        <v>955</v>
      </c>
    </row>
    <row r="7509" spans="1:19" x14ac:dyDescent="0.25">
      <c r="A7509" t="s">
        <v>30</v>
      </c>
      <c r="B7509" t="s">
        <v>31</v>
      </c>
      <c r="C7509" t="s">
        <v>32</v>
      </c>
      <c r="D7509" t="s">
        <v>953</v>
      </c>
      <c r="E7509" t="s">
        <v>7179</v>
      </c>
      <c r="F7509" t="s">
        <v>35</v>
      </c>
      <c r="G7509" t="s">
        <v>35</v>
      </c>
      <c r="H7509" t="s">
        <v>35</v>
      </c>
      <c r="J7509" t="s">
        <v>7180</v>
      </c>
      <c r="K7509" t="s">
        <v>1092</v>
      </c>
      <c r="M7509">
        <v>1.8</v>
      </c>
      <c r="N7509">
        <v>9</v>
      </c>
      <c r="O7509" t="s">
        <v>46</v>
      </c>
      <c r="Q7509" t="s">
        <v>2009</v>
      </c>
      <c r="R7509" t="s">
        <v>6707</v>
      </c>
      <c r="S7509" t="s">
        <v>955</v>
      </c>
    </row>
    <row r="7510" spans="1:19" x14ac:dyDescent="0.25">
      <c r="A7510" t="s">
        <v>44</v>
      </c>
      <c r="B7510" t="s">
        <v>51</v>
      </c>
      <c r="C7510" t="s">
        <v>32</v>
      </c>
      <c r="D7510" t="s">
        <v>953</v>
      </c>
      <c r="E7510" t="s">
        <v>7179</v>
      </c>
      <c r="F7510" t="s">
        <v>35</v>
      </c>
      <c r="G7510" t="s">
        <v>35</v>
      </c>
      <c r="H7510" t="s">
        <v>35</v>
      </c>
      <c r="J7510" t="s">
        <v>7181</v>
      </c>
      <c r="K7510" t="s">
        <v>1092</v>
      </c>
      <c r="M7510">
        <v>1</v>
      </c>
      <c r="N7510">
        <v>15</v>
      </c>
      <c r="O7510" t="s">
        <v>46</v>
      </c>
      <c r="Q7510" t="s">
        <v>1944</v>
      </c>
      <c r="R7510" t="s">
        <v>6762</v>
      </c>
      <c r="S7510" t="s">
        <v>992</v>
      </c>
    </row>
    <row r="7511" spans="1:19" x14ac:dyDescent="0.25">
      <c r="A7511" t="s">
        <v>59</v>
      </c>
      <c r="B7511" t="s">
        <v>60</v>
      </c>
      <c r="C7511" t="s">
        <v>32</v>
      </c>
      <c r="D7511" t="s">
        <v>953</v>
      </c>
      <c r="E7511" t="s">
        <v>7179</v>
      </c>
      <c r="F7511" t="s">
        <v>35</v>
      </c>
      <c r="G7511" t="s">
        <v>35</v>
      </c>
      <c r="H7511" t="s">
        <v>35</v>
      </c>
      <c r="J7511" t="s">
        <v>7181</v>
      </c>
      <c r="K7511" t="s">
        <v>1092</v>
      </c>
      <c r="M7511">
        <v>0.13400000000000001</v>
      </c>
      <c r="N7511">
        <v>180</v>
      </c>
      <c r="O7511" t="s">
        <v>38</v>
      </c>
      <c r="Q7511" t="s">
        <v>2138</v>
      </c>
      <c r="R7511" t="s">
        <v>6762</v>
      </c>
      <c r="S7511" t="s">
        <v>992</v>
      </c>
    </row>
    <row r="7512" spans="1:19" x14ac:dyDescent="0.25">
      <c r="A7512" t="s">
        <v>44</v>
      </c>
      <c r="B7512" t="s">
        <v>3</v>
      </c>
      <c r="C7512" t="s">
        <v>32</v>
      </c>
      <c r="D7512" t="s">
        <v>953</v>
      </c>
      <c r="E7512" t="s">
        <v>7179</v>
      </c>
      <c r="F7512" t="s">
        <v>35</v>
      </c>
      <c r="G7512" t="s">
        <v>35</v>
      </c>
      <c r="H7512" t="s">
        <v>35</v>
      </c>
      <c r="J7512" t="s">
        <v>7181</v>
      </c>
      <c r="K7512" t="s">
        <v>1092</v>
      </c>
      <c r="M7512">
        <v>1</v>
      </c>
      <c r="N7512">
        <v>15</v>
      </c>
      <c r="O7512" t="s">
        <v>46</v>
      </c>
      <c r="Q7512" t="s">
        <v>1944</v>
      </c>
      <c r="R7512" t="s">
        <v>6762</v>
      </c>
      <c r="S7512" t="s">
        <v>992</v>
      </c>
    </row>
    <row r="7513" spans="1:19" x14ac:dyDescent="0.25">
      <c r="A7513" t="s">
        <v>30</v>
      </c>
      <c r="B7513" t="s">
        <v>31</v>
      </c>
      <c r="C7513" t="s">
        <v>32</v>
      </c>
      <c r="D7513" t="s">
        <v>953</v>
      </c>
      <c r="E7513" t="s">
        <v>7179</v>
      </c>
      <c r="F7513" t="s">
        <v>35</v>
      </c>
      <c r="G7513" t="s">
        <v>35</v>
      </c>
      <c r="H7513" t="s">
        <v>35</v>
      </c>
      <c r="J7513" t="s">
        <v>7181</v>
      </c>
      <c r="K7513" t="s">
        <v>1092</v>
      </c>
      <c r="M7513">
        <v>0.68500000000000005</v>
      </c>
      <c r="N7513">
        <v>15</v>
      </c>
      <c r="O7513" t="s">
        <v>46</v>
      </c>
      <c r="Q7513" t="s">
        <v>1944</v>
      </c>
      <c r="R7513" t="s">
        <v>6762</v>
      </c>
      <c r="S7513" t="s">
        <v>992</v>
      </c>
    </row>
    <row r="7514" spans="1:19" x14ac:dyDescent="0.25">
      <c r="A7514" t="s">
        <v>44</v>
      </c>
      <c r="B7514" t="s">
        <v>51</v>
      </c>
      <c r="C7514" t="s">
        <v>32</v>
      </c>
      <c r="D7514" t="s">
        <v>953</v>
      </c>
      <c r="E7514" t="s">
        <v>7179</v>
      </c>
      <c r="F7514" t="s">
        <v>35</v>
      </c>
      <c r="G7514" t="s">
        <v>35</v>
      </c>
      <c r="H7514" t="s">
        <v>35</v>
      </c>
      <c r="J7514" t="s">
        <v>7181</v>
      </c>
      <c r="K7514" t="s">
        <v>1092</v>
      </c>
      <c r="M7514">
        <v>0.59199999999999997</v>
      </c>
      <c r="N7514">
        <v>54</v>
      </c>
      <c r="O7514" t="s">
        <v>52</v>
      </c>
      <c r="Q7514" t="s">
        <v>1207</v>
      </c>
      <c r="R7514" t="s">
        <v>6762</v>
      </c>
      <c r="S7514" t="s">
        <v>992</v>
      </c>
    </row>
    <row r="7515" spans="1:19" x14ac:dyDescent="0.25">
      <c r="A7515" t="s">
        <v>44</v>
      </c>
      <c r="B7515" t="s">
        <v>3</v>
      </c>
      <c r="C7515" t="s">
        <v>32</v>
      </c>
      <c r="D7515" t="s">
        <v>953</v>
      </c>
      <c r="E7515" t="s">
        <v>7179</v>
      </c>
      <c r="F7515" t="s">
        <v>35</v>
      </c>
      <c r="G7515" t="s">
        <v>35</v>
      </c>
      <c r="H7515" t="s">
        <v>35</v>
      </c>
      <c r="J7515" t="s">
        <v>7181</v>
      </c>
      <c r="K7515" t="s">
        <v>1092</v>
      </c>
      <c r="M7515">
        <v>0.79400000000000004</v>
      </c>
      <c r="N7515">
        <v>54</v>
      </c>
      <c r="O7515" t="s">
        <v>52</v>
      </c>
      <c r="Q7515" t="s">
        <v>1207</v>
      </c>
      <c r="R7515" t="s">
        <v>6762</v>
      </c>
      <c r="S7515" t="s">
        <v>992</v>
      </c>
    </row>
    <row r="7516" spans="1:19" x14ac:dyDescent="0.25">
      <c r="A7516" t="s">
        <v>59</v>
      </c>
      <c r="B7516" t="s">
        <v>31</v>
      </c>
      <c r="C7516" t="s">
        <v>32</v>
      </c>
      <c r="D7516" t="s">
        <v>953</v>
      </c>
      <c r="E7516" t="s">
        <v>7179</v>
      </c>
      <c r="F7516" t="s">
        <v>35</v>
      </c>
      <c r="G7516" t="s">
        <v>35</v>
      </c>
      <c r="H7516" t="s">
        <v>35</v>
      </c>
      <c r="J7516" t="s">
        <v>7181</v>
      </c>
      <c r="K7516" t="s">
        <v>1092</v>
      </c>
      <c r="M7516">
        <v>1.659</v>
      </c>
      <c r="N7516">
        <v>54</v>
      </c>
      <c r="O7516" t="s">
        <v>52</v>
      </c>
      <c r="Q7516" t="s">
        <v>1207</v>
      </c>
      <c r="R7516" t="s">
        <v>6762</v>
      </c>
      <c r="S7516" t="s">
        <v>992</v>
      </c>
    </row>
    <row r="7517" spans="1:19" x14ac:dyDescent="0.25">
      <c r="A7517" t="s">
        <v>44</v>
      </c>
      <c r="B7517" t="s">
        <v>51</v>
      </c>
      <c r="C7517" t="s">
        <v>32</v>
      </c>
      <c r="D7517" t="s">
        <v>953</v>
      </c>
      <c r="E7517" t="s">
        <v>7179</v>
      </c>
      <c r="F7517" t="s">
        <v>35</v>
      </c>
      <c r="G7517" t="s">
        <v>35</v>
      </c>
      <c r="H7517" t="s">
        <v>35</v>
      </c>
      <c r="J7517" t="s">
        <v>7182</v>
      </c>
      <c r="K7517" t="s">
        <v>1092</v>
      </c>
      <c r="M7517">
        <v>3.6999999999999998E-2</v>
      </c>
      <c r="N7517">
        <v>342</v>
      </c>
      <c r="O7517" t="s">
        <v>5</v>
      </c>
      <c r="Q7517" t="s">
        <v>3213</v>
      </c>
      <c r="R7517" t="s">
        <v>6721</v>
      </c>
      <c r="S7517" t="s">
        <v>1078</v>
      </c>
    </row>
    <row r="7518" spans="1:19" x14ac:dyDescent="0.25">
      <c r="A7518" t="s">
        <v>44</v>
      </c>
      <c r="B7518" t="s">
        <v>3</v>
      </c>
      <c r="C7518" t="s">
        <v>32</v>
      </c>
      <c r="D7518" t="s">
        <v>953</v>
      </c>
      <c r="E7518" t="s">
        <v>7179</v>
      </c>
      <c r="F7518" t="s">
        <v>35</v>
      </c>
      <c r="G7518" t="s">
        <v>35</v>
      </c>
      <c r="H7518" t="s">
        <v>35</v>
      </c>
      <c r="J7518" t="s">
        <v>7182</v>
      </c>
      <c r="K7518" t="s">
        <v>1092</v>
      </c>
      <c r="M7518">
        <v>0.5</v>
      </c>
      <c r="N7518">
        <v>24</v>
      </c>
      <c r="O7518" t="s">
        <v>46</v>
      </c>
      <c r="Q7518" t="s">
        <v>255</v>
      </c>
      <c r="R7518" t="s">
        <v>6721</v>
      </c>
      <c r="S7518" t="s">
        <v>1078</v>
      </c>
    </row>
    <row r="7519" spans="1:19" x14ac:dyDescent="0.25">
      <c r="A7519" t="s">
        <v>59</v>
      </c>
      <c r="B7519" t="s">
        <v>60</v>
      </c>
      <c r="C7519" t="s">
        <v>32</v>
      </c>
      <c r="D7519" t="s">
        <v>953</v>
      </c>
      <c r="E7519" t="s">
        <v>7179</v>
      </c>
      <c r="F7519" t="s">
        <v>35</v>
      </c>
      <c r="G7519" t="s">
        <v>35</v>
      </c>
      <c r="H7519" t="s">
        <v>35</v>
      </c>
      <c r="J7519" t="s">
        <v>7182</v>
      </c>
      <c r="K7519" t="s">
        <v>1092</v>
      </c>
      <c r="M7519">
        <v>1.1000000000000001</v>
      </c>
      <c r="N7519">
        <v>24</v>
      </c>
      <c r="O7519" t="s">
        <v>46</v>
      </c>
      <c r="Q7519" t="s">
        <v>255</v>
      </c>
      <c r="R7519" t="s">
        <v>6721</v>
      </c>
      <c r="S7519" t="s">
        <v>1078</v>
      </c>
    </row>
    <row r="7520" spans="1:19" x14ac:dyDescent="0.25">
      <c r="A7520" t="s">
        <v>59</v>
      </c>
      <c r="B7520" t="s">
        <v>31</v>
      </c>
      <c r="C7520" t="s">
        <v>32</v>
      </c>
      <c r="D7520" t="s">
        <v>953</v>
      </c>
      <c r="E7520" t="s">
        <v>7179</v>
      </c>
      <c r="F7520" t="s">
        <v>35</v>
      </c>
      <c r="G7520" t="s">
        <v>35</v>
      </c>
      <c r="H7520" t="s">
        <v>35</v>
      </c>
      <c r="J7520" t="s">
        <v>7182</v>
      </c>
      <c r="K7520" t="s">
        <v>1092</v>
      </c>
      <c r="M7520">
        <v>0.67500000000000004</v>
      </c>
      <c r="N7520">
        <v>92</v>
      </c>
      <c r="O7520" t="s">
        <v>106</v>
      </c>
      <c r="Q7520" t="s">
        <v>1100</v>
      </c>
      <c r="R7520" t="s">
        <v>6721</v>
      </c>
      <c r="S7520" t="s">
        <v>1078</v>
      </c>
    </row>
    <row r="7521" spans="1:19" x14ac:dyDescent="0.25">
      <c r="A7521" t="s">
        <v>30</v>
      </c>
      <c r="B7521" t="s">
        <v>31</v>
      </c>
      <c r="C7521" t="s">
        <v>32</v>
      </c>
      <c r="D7521" t="s">
        <v>953</v>
      </c>
      <c r="E7521" t="s">
        <v>7179</v>
      </c>
      <c r="F7521" t="s">
        <v>35</v>
      </c>
      <c r="G7521" t="s">
        <v>35</v>
      </c>
      <c r="H7521" t="s">
        <v>35</v>
      </c>
      <c r="J7521" t="s">
        <v>7182</v>
      </c>
      <c r="K7521" t="s">
        <v>1092</v>
      </c>
      <c r="M7521">
        <v>0.13500000000000001</v>
      </c>
      <c r="N7521">
        <v>198</v>
      </c>
      <c r="O7521" t="s">
        <v>5</v>
      </c>
      <c r="Q7521" t="s">
        <v>4086</v>
      </c>
      <c r="R7521" t="s">
        <v>6721</v>
      </c>
      <c r="S7521" t="s">
        <v>1078</v>
      </c>
    </row>
    <row r="7522" spans="1:19" x14ac:dyDescent="0.25">
      <c r="A7522" t="s">
        <v>44</v>
      </c>
      <c r="B7522" t="s">
        <v>51</v>
      </c>
      <c r="C7522" t="s">
        <v>32</v>
      </c>
      <c r="D7522" t="s">
        <v>953</v>
      </c>
      <c r="E7522" t="s">
        <v>7179</v>
      </c>
      <c r="F7522" t="s">
        <v>35</v>
      </c>
      <c r="G7522" t="s">
        <v>35</v>
      </c>
      <c r="H7522" t="s">
        <v>35</v>
      </c>
      <c r="J7522" t="s">
        <v>7182</v>
      </c>
      <c r="K7522" t="s">
        <v>1092</v>
      </c>
      <c r="M7522">
        <v>0.25</v>
      </c>
      <c r="N7522">
        <v>57</v>
      </c>
      <c r="O7522" t="s">
        <v>52</v>
      </c>
      <c r="Q7522" t="s">
        <v>665</v>
      </c>
      <c r="R7522" t="s">
        <v>6721</v>
      </c>
      <c r="S7522" t="s">
        <v>1078</v>
      </c>
    </row>
    <row r="7523" spans="1:19" x14ac:dyDescent="0.25">
      <c r="A7523" t="s">
        <v>59</v>
      </c>
      <c r="B7523" t="s">
        <v>31</v>
      </c>
      <c r="C7523" t="s">
        <v>32</v>
      </c>
      <c r="D7523" t="s">
        <v>953</v>
      </c>
      <c r="E7523" t="s">
        <v>7179</v>
      </c>
      <c r="F7523" t="s">
        <v>35</v>
      </c>
      <c r="G7523" t="s">
        <v>35</v>
      </c>
      <c r="H7523" t="s">
        <v>35</v>
      </c>
      <c r="J7523" t="s">
        <v>7182</v>
      </c>
      <c r="K7523" t="s">
        <v>1092</v>
      </c>
      <c r="M7523">
        <v>4.4999999999999998E-2</v>
      </c>
      <c r="N7523">
        <v>145</v>
      </c>
      <c r="O7523" t="s">
        <v>38</v>
      </c>
      <c r="Q7523" t="s">
        <v>1149</v>
      </c>
      <c r="R7523" t="s">
        <v>6721</v>
      </c>
      <c r="S7523" t="s">
        <v>1078</v>
      </c>
    </row>
    <row r="7524" spans="1:19" x14ac:dyDescent="0.25">
      <c r="A7524" t="s">
        <v>59</v>
      </c>
      <c r="B7524" t="s">
        <v>31</v>
      </c>
      <c r="C7524" t="s">
        <v>32</v>
      </c>
      <c r="D7524" t="s">
        <v>953</v>
      </c>
      <c r="E7524" t="s">
        <v>7179</v>
      </c>
      <c r="F7524" t="s">
        <v>35</v>
      </c>
      <c r="G7524" t="s">
        <v>35</v>
      </c>
      <c r="H7524" t="s">
        <v>35</v>
      </c>
      <c r="J7524" t="s">
        <v>7182</v>
      </c>
      <c r="K7524" t="s">
        <v>1092</v>
      </c>
      <c r="M7524">
        <v>0.9</v>
      </c>
      <c r="N7524">
        <v>71</v>
      </c>
      <c r="O7524" t="s">
        <v>61</v>
      </c>
      <c r="Q7524" t="s">
        <v>102</v>
      </c>
      <c r="R7524" t="s">
        <v>6721</v>
      </c>
      <c r="S7524" t="s">
        <v>1078</v>
      </c>
    </row>
    <row r="7525" spans="1:19" x14ac:dyDescent="0.25">
      <c r="A7525" t="s">
        <v>44</v>
      </c>
      <c r="B7525" t="s">
        <v>3</v>
      </c>
      <c r="C7525" t="s">
        <v>32</v>
      </c>
      <c r="D7525" t="s">
        <v>953</v>
      </c>
      <c r="E7525" t="s">
        <v>7179</v>
      </c>
      <c r="F7525" t="s">
        <v>35</v>
      </c>
      <c r="G7525" t="s">
        <v>35</v>
      </c>
      <c r="H7525" t="s">
        <v>35</v>
      </c>
      <c r="J7525" t="s">
        <v>7182</v>
      </c>
      <c r="K7525" t="s">
        <v>1092</v>
      </c>
      <c r="M7525">
        <v>0.5</v>
      </c>
      <c r="N7525">
        <v>57</v>
      </c>
      <c r="O7525" t="s">
        <v>52</v>
      </c>
      <c r="Q7525" t="s">
        <v>665</v>
      </c>
      <c r="R7525" t="s">
        <v>6721</v>
      </c>
      <c r="S7525" t="s">
        <v>1078</v>
      </c>
    </row>
    <row r="7526" spans="1:19" x14ac:dyDescent="0.25">
      <c r="A7526" t="s">
        <v>59</v>
      </c>
      <c r="B7526" t="s">
        <v>60</v>
      </c>
      <c r="C7526" t="s">
        <v>32</v>
      </c>
      <c r="D7526" t="s">
        <v>953</v>
      </c>
      <c r="E7526" t="s">
        <v>7179</v>
      </c>
      <c r="F7526" t="s">
        <v>35</v>
      </c>
      <c r="G7526" t="s">
        <v>35</v>
      </c>
      <c r="H7526" t="s">
        <v>35</v>
      </c>
      <c r="J7526" t="s">
        <v>7183</v>
      </c>
      <c r="K7526" t="s">
        <v>1092</v>
      </c>
      <c r="M7526">
        <v>0.95</v>
      </c>
      <c r="N7526">
        <v>87</v>
      </c>
      <c r="O7526" t="s">
        <v>61</v>
      </c>
      <c r="Q7526" t="s">
        <v>1639</v>
      </c>
      <c r="R7526" t="s">
        <v>6707</v>
      </c>
      <c r="S7526" t="s">
        <v>955</v>
      </c>
    </row>
    <row r="7527" spans="1:19" x14ac:dyDescent="0.25">
      <c r="A7527" t="s">
        <v>59</v>
      </c>
      <c r="B7527" t="s">
        <v>60</v>
      </c>
      <c r="C7527" t="s">
        <v>32</v>
      </c>
      <c r="D7527" t="s">
        <v>953</v>
      </c>
      <c r="E7527" t="s">
        <v>7179</v>
      </c>
      <c r="F7527" t="s">
        <v>35</v>
      </c>
      <c r="G7527" t="s">
        <v>35</v>
      </c>
      <c r="H7527" t="s">
        <v>35</v>
      </c>
      <c r="J7527" t="s">
        <v>7183</v>
      </c>
      <c r="K7527" t="s">
        <v>1092</v>
      </c>
      <c r="M7527">
        <v>0.25</v>
      </c>
      <c r="N7527">
        <v>81</v>
      </c>
      <c r="O7527" t="s">
        <v>61</v>
      </c>
      <c r="Q7527" t="s">
        <v>527</v>
      </c>
      <c r="R7527" t="s">
        <v>6707</v>
      </c>
      <c r="S7527" t="s">
        <v>955</v>
      </c>
    </row>
    <row r="7528" spans="1:19" x14ac:dyDescent="0.25">
      <c r="A7528" t="s">
        <v>59</v>
      </c>
      <c r="B7528" t="s">
        <v>60</v>
      </c>
      <c r="C7528" t="s">
        <v>32</v>
      </c>
      <c r="D7528" t="s">
        <v>953</v>
      </c>
      <c r="E7528" t="s">
        <v>7184</v>
      </c>
      <c r="F7528" t="s">
        <v>35</v>
      </c>
      <c r="G7528" t="s">
        <v>35</v>
      </c>
      <c r="H7528" t="s">
        <v>35</v>
      </c>
      <c r="J7528" t="s">
        <v>7185</v>
      </c>
      <c r="K7528" t="s">
        <v>1092</v>
      </c>
      <c r="M7528">
        <v>0.5</v>
      </c>
      <c r="N7528">
        <v>150</v>
      </c>
      <c r="O7528" t="s">
        <v>38</v>
      </c>
      <c r="Q7528" t="s">
        <v>1612</v>
      </c>
      <c r="R7528" t="s">
        <v>6904</v>
      </c>
      <c r="S7528" t="s">
        <v>999</v>
      </c>
    </row>
    <row r="7529" spans="1:19" x14ac:dyDescent="0.25">
      <c r="A7529" t="s">
        <v>59</v>
      </c>
      <c r="B7529" t="s">
        <v>60</v>
      </c>
      <c r="C7529" t="s">
        <v>32</v>
      </c>
      <c r="D7529" t="s">
        <v>953</v>
      </c>
      <c r="E7529" t="s">
        <v>7184</v>
      </c>
      <c r="F7529" t="s">
        <v>35</v>
      </c>
      <c r="G7529" t="s">
        <v>35</v>
      </c>
      <c r="H7529" t="s">
        <v>35</v>
      </c>
      <c r="J7529" t="s">
        <v>7186</v>
      </c>
      <c r="K7529" t="s">
        <v>404</v>
      </c>
      <c r="M7529">
        <v>7</v>
      </c>
      <c r="N7529">
        <v>144</v>
      </c>
      <c r="O7529" t="s">
        <v>38</v>
      </c>
      <c r="Q7529" t="s">
        <v>2929</v>
      </c>
      <c r="R7529" t="s">
        <v>158</v>
      </c>
      <c r="S7529" t="s">
        <v>159</v>
      </c>
    </row>
    <row r="7530" spans="1:19" x14ac:dyDescent="0.25">
      <c r="A7530" t="s">
        <v>59</v>
      </c>
      <c r="B7530" t="s">
        <v>60</v>
      </c>
      <c r="C7530" t="s">
        <v>32</v>
      </c>
      <c r="D7530" t="s">
        <v>953</v>
      </c>
      <c r="E7530" t="s">
        <v>7184</v>
      </c>
      <c r="F7530" t="s">
        <v>35</v>
      </c>
      <c r="G7530" t="s">
        <v>35</v>
      </c>
      <c r="H7530" t="s">
        <v>35</v>
      </c>
      <c r="J7530" t="s">
        <v>7187</v>
      </c>
      <c r="K7530" t="s">
        <v>1092</v>
      </c>
      <c r="M7530">
        <v>0.55000000000000004</v>
      </c>
      <c r="N7530">
        <v>709</v>
      </c>
      <c r="O7530" t="s">
        <v>575</v>
      </c>
      <c r="Q7530" t="s">
        <v>7188</v>
      </c>
      <c r="R7530" t="s">
        <v>158</v>
      </c>
      <c r="S7530" t="s">
        <v>159</v>
      </c>
    </row>
    <row r="7531" spans="1:19" x14ac:dyDescent="0.25">
      <c r="A7531" t="s">
        <v>59</v>
      </c>
      <c r="B7531" t="s">
        <v>60</v>
      </c>
      <c r="C7531" t="s">
        <v>32</v>
      </c>
      <c r="D7531" t="s">
        <v>953</v>
      </c>
      <c r="E7531" t="s">
        <v>7184</v>
      </c>
      <c r="F7531" t="s">
        <v>35</v>
      </c>
      <c r="G7531" t="s">
        <v>35</v>
      </c>
      <c r="H7531" t="s">
        <v>35</v>
      </c>
      <c r="J7531" t="s">
        <v>7189</v>
      </c>
      <c r="K7531" t="s">
        <v>1092</v>
      </c>
      <c r="M7531">
        <v>1.4</v>
      </c>
      <c r="N7531">
        <v>86</v>
      </c>
      <c r="O7531" t="s">
        <v>61</v>
      </c>
      <c r="Q7531" t="s">
        <v>1076</v>
      </c>
      <c r="R7531" t="s">
        <v>158</v>
      </c>
      <c r="S7531" t="s">
        <v>159</v>
      </c>
    </row>
    <row r="7532" spans="1:19" x14ac:dyDescent="0.25">
      <c r="A7532" t="s">
        <v>59</v>
      </c>
      <c r="B7532" t="s">
        <v>60</v>
      </c>
      <c r="C7532" t="s">
        <v>32</v>
      </c>
      <c r="D7532" t="s">
        <v>953</v>
      </c>
      <c r="E7532" t="s">
        <v>7184</v>
      </c>
      <c r="F7532" t="s">
        <v>35</v>
      </c>
      <c r="G7532" t="s">
        <v>35</v>
      </c>
      <c r="H7532" t="s">
        <v>35</v>
      </c>
      <c r="J7532" t="s">
        <v>7190</v>
      </c>
      <c r="K7532" t="s">
        <v>1092</v>
      </c>
      <c r="M7532">
        <v>0.05</v>
      </c>
      <c r="N7532">
        <v>150</v>
      </c>
      <c r="O7532" t="s">
        <v>38</v>
      </c>
      <c r="Q7532" t="s">
        <v>1612</v>
      </c>
      <c r="R7532" t="s">
        <v>6904</v>
      </c>
      <c r="S7532" t="s">
        <v>999</v>
      </c>
    </row>
    <row r="7533" spans="1:19" x14ac:dyDescent="0.25">
      <c r="A7533" t="s">
        <v>59</v>
      </c>
      <c r="B7533" t="s">
        <v>60</v>
      </c>
      <c r="C7533" t="s">
        <v>32</v>
      </c>
      <c r="D7533" t="s">
        <v>953</v>
      </c>
      <c r="E7533" t="s">
        <v>7184</v>
      </c>
      <c r="F7533" t="s">
        <v>35</v>
      </c>
      <c r="G7533" t="s">
        <v>35</v>
      </c>
      <c r="H7533" t="s">
        <v>35</v>
      </c>
      <c r="J7533" t="s">
        <v>7190</v>
      </c>
      <c r="K7533" t="s">
        <v>1092</v>
      </c>
      <c r="M7533">
        <v>1.75</v>
      </c>
      <c r="N7533">
        <v>45</v>
      </c>
      <c r="O7533" t="s">
        <v>52</v>
      </c>
      <c r="Q7533" t="s">
        <v>716</v>
      </c>
      <c r="R7533" t="s">
        <v>6904</v>
      </c>
      <c r="S7533" t="s">
        <v>999</v>
      </c>
    </row>
    <row r="7534" spans="1:19" x14ac:dyDescent="0.25">
      <c r="A7534" t="s">
        <v>44</v>
      </c>
      <c r="B7534" t="s">
        <v>51</v>
      </c>
      <c r="C7534" t="s">
        <v>32</v>
      </c>
      <c r="D7534" t="s">
        <v>953</v>
      </c>
      <c r="E7534" t="s">
        <v>7184</v>
      </c>
      <c r="F7534" t="s">
        <v>35</v>
      </c>
      <c r="G7534" t="s">
        <v>35</v>
      </c>
      <c r="H7534" t="s">
        <v>35</v>
      </c>
      <c r="J7534" t="s">
        <v>7191</v>
      </c>
      <c r="K7534" t="s">
        <v>1092</v>
      </c>
      <c r="M7534">
        <v>0.6</v>
      </c>
      <c r="N7534">
        <v>300</v>
      </c>
      <c r="O7534" t="s">
        <v>5</v>
      </c>
      <c r="Q7534" t="s">
        <v>1223</v>
      </c>
      <c r="R7534" t="s">
        <v>158</v>
      </c>
      <c r="S7534" t="s">
        <v>159</v>
      </c>
    </row>
    <row r="7535" spans="1:19" x14ac:dyDescent="0.25">
      <c r="A7535" t="s">
        <v>44</v>
      </c>
      <c r="B7535" t="s">
        <v>51</v>
      </c>
      <c r="C7535" t="s">
        <v>32</v>
      </c>
      <c r="D7535" t="s">
        <v>953</v>
      </c>
      <c r="E7535" t="s">
        <v>7184</v>
      </c>
      <c r="F7535" t="s">
        <v>35</v>
      </c>
      <c r="G7535" t="s">
        <v>35</v>
      </c>
      <c r="H7535" t="s">
        <v>35</v>
      </c>
      <c r="J7535" t="s">
        <v>7191</v>
      </c>
      <c r="K7535" t="s">
        <v>1092</v>
      </c>
      <c r="M7535">
        <v>3</v>
      </c>
      <c r="N7535">
        <v>44</v>
      </c>
      <c r="O7535" t="s">
        <v>52</v>
      </c>
      <c r="Q7535" t="s">
        <v>192</v>
      </c>
      <c r="R7535" t="s">
        <v>158</v>
      </c>
      <c r="S7535" t="s">
        <v>159</v>
      </c>
    </row>
    <row r="7536" spans="1:19" x14ac:dyDescent="0.25">
      <c r="A7536" t="s">
        <v>59</v>
      </c>
      <c r="B7536" t="s">
        <v>60</v>
      </c>
      <c r="C7536" t="s">
        <v>32</v>
      </c>
      <c r="D7536" t="s">
        <v>953</v>
      </c>
      <c r="E7536" t="s">
        <v>7184</v>
      </c>
      <c r="F7536" t="s">
        <v>35</v>
      </c>
      <c r="G7536" t="s">
        <v>35</v>
      </c>
      <c r="H7536" t="s">
        <v>35</v>
      </c>
      <c r="J7536" t="s">
        <v>7192</v>
      </c>
      <c r="K7536" t="s">
        <v>1092</v>
      </c>
      <c r="M7536">
        <v>0.5</v>
      </c>
      <c r="N7536">
        <v>180</v>
      </c>
      <c r="O7536" t="s">
        <v>38</v>
      </c>
      <c r="Q7536" t="s">
        <v>2138</v>
      </c>
      <c r="R7536" t="s">
        <v>158</v>
      </c>
      <c r="S7536" t="s">
        <v>159</v>
      </c>
    </row>
    <row r="7537" spans="1:19" x14ac:dyDescent="0.25">
      <c r="A7537" t="s">
        <v>59</v>
      </c>
      <c r="B7537" t="s">
        <v>60</v>
      </c>
      <c r="C7537" t="s">
        <v>32</v>
      </c>
      <c r="D7537" t="s">
        <v>953</v>
      </c>
      <c r="E7537" t="s">
        <v>7184</v>
      </c>
      <c r="F7537" t="s">
        <v>35</v>
      </c>
      <c r="G7537" t="s">
        <v>35</v>
      </c>
      <c r="H7537" t="s">
        <v>35</v>
      </c>
      <c r="J7537" t="s">
        <v>7193</v>
      </c>
      <c r="K7537" t="s">
        <v>1092</v>
      </c>
      <c r="M7537">
        <v>1.6</v>
      </c>
      <c r="N7537">
        <v>212</v>
      </c>
      <c r="O7537" t="s">
        <v>5</v>
      </c>
      <c r="Q7537" t="s">
        <v>1711</v>
      </c>
      <c r="R7537" t="s">
        <v>158</v>
      </c>
      <c r="S7537" t="s">
        <v>159</v>
      </c>
    </row>
    <row r="7538" spans="1:19" x14ac:dyDescent="0.25">
      <c r="A7538" t="s">
        <v>59</v>
      </c>
      <c r="B7538" t="s">
        <v>60</v>
      </c>
      <c r="C7538" t="s">
        <v>32</v>
      </c>
      <c r="D7538" t="s">
        <v>953</v>
      </c>
      <c r="E7538" t="s">
        <v>7184</v>
      </c>
      <c r="F7538" t="s">
        <v>35</v>
      </c>
      <c r="G7538" t="s">
        <v>35</v>
      </c>
      <c r="H7538" t="s">
        <v>35</v>
      </c>
      <c r="J7538" t="s">
        <v>7193</v>
      </c>
      <c r="K7538" t="s">
        <v>1092</v>
      </c>
      <c r="M7538">
        <v>5</v>
      </c>
      <c r="N7538">
        <v>86</v>
      </c>
      <c r="O7538" t="s">
        <v>61</v>
      </c>
      <c r="Q7538" t="s">
        <v>1076</v>
      </c>
      <c r="R7538" t="s">
        <v>158</v>
      </c>
      <c r="S7538" t="s">
        <v>159</v>
      </c>
    </row>
    <row r="7539" spans="1:19" x14ac:dyDescent="0.25">
      <c r="A7539" t="s">
        <v>30</v>
      </c>
      <c r="B7539" t="s">
        <v>31</v>
      </c>
      <c r="C7539" t="s">
        <v>32</v>
      </c>
      <c r="D7539" t="s">
        <v>953</v>
      </c>
      <c r="E7539" t="s">
        <v>7184</v>
      </c>
      <c r="F7539" t="s">
        <v>35</v>
      </c>
      <c r="G7539" t="s">
        <v>35</v>
      </c>
      <c r="H7539" t="s">
        <v>35</v>
      </c>
      <c r="J7539" t="s">
        <v>7194</v>
      </c>
      <c r="K7539" t="s">
        <v>1092</v>
      </c>
      <c r="M7539">
        <v>8.91</v>
      </c>
      <c r="N7539">
        <v>23</v>
      </c>
      <c r="O7539" t="s">
        <v>46</v>
      </c>
      <c r="Q7539" t="s">
        <v>1819</v>
      </c>
      <c r="R7539" t="s">
        <v>6877</v>
      </c>
      <c r="S7539" t="s">
        <v>1041</v>
      </c>
    </row>
    <row r="7540" spans="1:19" x14ac:dyDescent="0.25">
      <c r="A7540" t="s">
        <v>59</v>
      </c>
      <c r="B7540" t="s">
        <v>60</v>
      </c>
      <c r="C7540" t="s">
        <v>32</v>
      </c>
      <c r="D7540" t="s">
        <v>953</v>
      </c>
      <c r="E7540" t="s">
        <v>7184</v>
      </c>
      <c r="F7540" t="s">
        <v>35</v>
      </c>
      <c r="G7540" t="s">
        <v>35</v>
      </c>
      <c r="H7540" t="s">
        <v>35</v>
      </c>
      <c r="J7540" t="s">
        <v>7194</v>
      </c>
      <c r="K7540" t="s">
        <v>1092</v>
      </c>
      <c r="M7540">
        <v>9.8000000000000007</v>
      </c>
      <c r="N7540">
        <v>110</v>
      </c>
      <c r="O7540" t="s">
        <v>106</v>
      </c>
      <c r="Q7540" t="s">
        <v>1494</v>
      </c>
      <c r="R7540" t="s">
        <v>158</v>
      </c>
      <c r="S7540" t="s">
        <v>159</v>
      </c>
    </row>
    <row r="7541" spans="1:19" x14ac:dyDescent="0.25">
      <c r="A7541" t="s">
        <v>30</v>
      </c>
      <c r="B7541" t="s">
        <v>31</v>
      </c>
      <c r="C7541" t="s">
        <v>32</v>
      </c>
      <c r="D7541" t="s">
        <v>953</v>
      </c>
      <c r="E7541" t="s">
        <v>7184</v>
      </c>
      <c r="F7541" t="s">
        <v>35</v>
      </c>
      <c r="G7541" t="s">
        <v>35</v>
      </c>
      <c r="H7541" t="s">
        <v>35</v>
      </c>
      <c r="J7541" t="s">
        <v>7194</v>
      </c>
      <c r="K7541" t="s">
        <v>1092</v>
      </c>
      <c r="M7541">
        <v>9.99</v>
      </c>
      <c r="N7541">
        <v>23</v>
      </c>
      <c r="O7541" t="s">
        <v>46</v>
      </c>
      <c r="Q7541" t="s">
        <v>1819</v>
      </c>
      <c r="R7541" t="s">
        <v>6742</v>
      </c>
      <c r="S7541" t="s">
        <v>1016</v>
      </c>
    </row>
    <row r="7542" spans="1:19" x14ac:dyDescent="0.25">
      <c r="A7542" t="s">
        <v>59</v>
      </c>
      <c r="B7542" t="s">
        <v>60</v>
      </c>
      <c r="C7542" t="s">
        <v>32</v>
      </c>
      <c r="D7542" t="s">
        <v>953</v>
      </c>
      <c r="E7542" t="s">
        <v>7184</v>
      </c>
      <c r="F7542" t="s">
        <v>35</v>
      </c>
      <c r="G7542" t="s">
        <v>35</v>
      </c>
      <c r="H7542" t="s">
        <v>35</v>
      </c>
      <c r="J7542" t="s">
        <v>7196</v>
      </c>
      <c r="K7542" t="s">
        <v>1092</v>
      </c>
      <c r="M7542">
        <v>2.35</v>
      </c>
      <c r="N7542">
        <v>212</v>
      </c>
      <c r="O7542" t="s">
        <v>5</v>
      </c>
      <c r="Q7542" t="s">
        <v>1711</v>
      </c>
      <c r="R7542" t="s">
        <v>158</v>
      </c>
      <c r="S7542" t="s">
        <v>159</v>
      </c>
    </row>
    <row r="7543" spans="1:19" x14ac:dyDescent="0.25">
      <c r="A7543" t="s">
        <v>59</v>
      </c>
      <c r="B7543" t="s">
        <v>60</v>
      </c>
      <c r="C7543" t="s">
        <v>32</v>
      </c>
      <c r="D7543" t="s">
        <v>953</v>
      </c>
      <c r="E7543" t="s">
        <v>7184</v>
      </c>
      <c r="F7543" t="s">
        <v>35</v>
      </c>
      <c r="G7543" t="s">
        <v>35</v>
      </c>
      <c r="H7543" t="s">
        <v>35</v>
      </c>
      <c r="J7543" t="s">
        <v>7197</v>
      </c>
      <c r="K7543" t="s">
        <v>1092</v>
      </c>
      <c r="M7543">
        <v>0.65</v>
      </c>
      <c r="N7543">
        <v>212</v>
      </c>
      <c r="O7543" t="s">
        <v>5</v>
      </c>
      <c r="Q7543" t="s">
        <v>1711</v>
      </c>
      <c r="R7543" t="s">
        <v>158</v>
      </c>
      <c r="S7543" t="s">
        <v>159</v>
      </c>
    </row>
    <row r="7544" spans="1:19" x14ac:dyDescent="0.25">
      <c r="A7544" t="s">
        <v>59</v>
      </c>
      <c r="B7544" t="s">
        <v>31</v>
      </c>
      <c r="C7544" t="s">
        <v>32</v>
      </c>
      <c r="D7544" t="s">
        <v>953</v>
      </c>
      <c r="E7544" t="s">
        <v>7184</v>
      </c>
      <c r="F7544" t="s">
        <v>35</v>
      </c>
      <c r="G7544" t="s">
        <v>35</v>
      </c>
      <c r="H7544" t="s">
        <v>35</v>
      </c>
      <c r="J7544" t="s">
        <v>7198</v>
      </c>
      <c r="K7544" t="s">
        <v>1092</v>
      </c>
      <c r="M7544">
        <v>0.81</v>
      </c>
      <c r="N7544">
        <v>1213</v>
      </c>
      <c r="O7544" t="s">
        <v>575</v>
      </c>
      <c r="Q7544" t="s">
        <v>4152</v>
      </c>
      <c r="R7544" t="s">
        <v>7199</v>
      </c>
      <c r="S7544" t="s">
        <v>1069</v>
      </c>
    </row>
    <row r="7545" spans="1:19" x14ac:dyDescent="0.25">
      <c r="A7545" t="s">
        <v>59</v>
      </c>
      <c r="B7545" t="s">
        <v>60</v>
      </c>
      <c r="C7545" t="s">
        <v>32</v>
      </c>
      <c r="D7545" t="s">
        <v>953</v>
      </c>
      <c r="E7545" t="s">
        <v>7184</v>
      </c>
      <c r="F7545" t="s">
        <v>35</v>
      </c>
      <c r="G7545" t="s">
        <v>35</v>
      </c>
      <c r="H7545" t="s">
        <v>35</v>
      </c>
      <c r="J7545" t="s">
        <v>7198</v>
      </c>
      <c r="K7545" t="s">
        <v>1092</v>
      </c>
      <c r="M7545">
        <v>1.5</v>
      </c>
      <c r="N7545">
        <v>880</v>
      </c>
      <c r="O7545" t="s">
        <v>575</v>
      </c>
      <c r="Q7545" t="s">
        <v>1531</v>
      </c>
      <c r="R7545" t="s">
        <v>6807</v>
      </c>
      <c r="S7545" t="s">
        <v>1066</v>
      </c>
    </row>
    <row r="7546" spans="1:19" x14ac:dyDescent="0.25">
      <c r="A7546" t="s">
        <v>59</v>
      </c>
      <c r="B7546" t="s">
        <v>60</v>
      </c>
      <c r="C7546" t="s">
        <v>32</v>
      </c>
      <c r="D7546" t="s">
        <v>953</v>
      </c>
      <c r="E7546" t="s">
        <v>7184</v>
      </c>
      <c r="F7546" t="s">
        <v>35</v>
      </c>
      <c r="G7546" t="s">
        <v>35</v>
      </c>
      <c r="H7546" t="s">
        <v>35</v>
      </c>
      <c r="J7546" t="s">
        <v>7198</v>
      </c>
      <c r="K7546" t="s">
        <v>1092</v>
      </c>
      <c r="M7546">
        <v>1</v>
      </c>
      <c r="N7546">
        <v>869</v>
      </c>
      <c r="O7546" t="s">
        <v>575</v>
      </c>
      <c r="Q7546" t="s">
        <v>7200</v>
      </c>
      <c r="R7546" t="s">
        <v>6723</v>
      </c>
      <c r="S7546" t="s">
        <v>6724</v>
      </c>
    </row>
    <row r="7547" spans="1:19" x14ac:dyDescent="0.25">
      <c r="A7547" t="s">
        <v>59</v>
      </c>
      <c r="B7547" t="s">
        <v>60</v>
      </c>
      <c r="C7547" t="s">
        <v>32</v>
      </c>
      <c r="D7547" t="s">
        <v>953</v>
      </c>
      <c r="E7547" t="s">
        <v>7184</v>
      </c>
      <c r="F7547" t="s">
        <v>35</v>
      </c>
      <c r="G7547" t="s">
        <v>35</v>
      </c>
      <c r="H7547" t="s">
        <v>35</v>
      </c>
      <c r="J7547" t="s">
        <v>7198</v>
      </c>
      <c r="K7547" t="s">
        <v>1092</v>
      </c>
      <c r="M7547">
        <v>4.8499999999999996</v>
      </c>
      <c r="N7547">
        <v>912</v>
      </c>
      <c r="O7547" t="s">
        <v>575</v>
      </c>
      <c r="Q7547" t="s">
        <v>5310</v>
      </c>
      <c r="R7547" t="s">
        <v>6709</v>
      </c>
      <c r="S7547" t="s">
        <v>1022</v>
      </c>
    </row>
    <row r="7548" spans="1:19" x14ac:dyDescent="0.25">
      <c r="A7548" t="s">
        <v>59</v>
      </c>
      <c r="B7548" t="s">
        <v>60</v>
      </c>
      <c r="C7548" t="s">
        <v>32</v>
      </c>
      <c r="D7548" t="s">
        <v>953</v>
      </c>
      <c r="E7548" t="s">
        <v>7184</v>
      </c>
      <c r="F7548" t="s">
        <v>35</v>
      </c>
      <c r="G7548" t="s">
        <v>35</v>
      </c>
      <c r="H7548" t="s">
        <v>35</v>
      </c>
      <c r="J7548" t="s">
        <v>7201</v>
      </c>
      <c r="K7548" t="s">
        <v>1092</v>
      </c>
      <c r="M7548">
        <v>1.5</v>
      </c>
      <c r="N7548">
        <v>155</v>
      </c>
      <c r="O7548" t="s">
        <v>38</v>
      </c>
      <c r="Q7548" t="s">
        <v>3942</v>
      </c>
      <c r="R7548" t="s">
        <v>6904</v>
      </c>
      <c r="S7548" t="s">
        <v>999</v>
      </c>
    </row>
    <row r="7549" spans="1:19" x14ac:dyDescent="0.25">
      <c r="A7549" t="s">
        <v>59</v>
      </c>
      <c r="B7549" t="s">
        <v>60</v>
      </c>
      <c r="C7549" t="s">
        <v>32</v>
      </c>
      <c r="D7549" t="s">
        <v>953</v>
      </c>
      <c r="E7549" t="s">
        <v>7184</v>
      </c>
      <c r="F7549" t="s">
        <v>35</v>
      </c>
      <c r="G7549" t="s">
        <v>35</v>
      </c>
      <c r="H7549" t="s">
        <v>35</v>
      </c>
      <c r="J7549" t="s">
        <v>7202</v>
      </c>
      <c r="K7549" t="s">
        <v>1092</v>
      </c>
      <c r="M7549">
        <v>1</v>
      </c>
      <c r="N7549">
        <v>68</v>
      </c>
      <c r="O7549" t="s">
        <v>61</v>
      </c>
      <c r="Q7549" t="s">
        <v>146</v>
      </c>
      <c r="R7549" t="s">
        <v>6891</v>
      </c>
      <c r="S7549" t="s">
        <v>1085</v>
      </c>
    </row>
    <row r="7550" spans="1:19" x14ac:dyDescent="0.25">
      <c r="A7550" t="s">
        <v>30</v>
      </c>
      <c r="B7550" t="s">
        <v>31</v>
      </c>
      <c r="C7550" t="s">
        <v>32</v>
      </c>
      <c r="D7550" t="s">
        <v>953</v>
      </c>
      <c r="E7550" t="s">
        <v>7184</v>
      </c>
      <c r="F7550" t="s">
        <v>35</v>
      </c>
      <c r="G7550" t="s">
        <v>35</v>
      </c>
      <c r="H7550" t="s">
        <v>35</v>
      </c>
      <c r="J7550" t="s">
        <v>7202</v>
      </c>
      <c r="K7550" t="s">
        <v>1092</v>
      </c>
      <c r="M7550">
        <v>0.45</v>
      </c>
      <c r="N7550">
        <v>7</v>
      </c>
      <c r="O7550" t="s">
        <v>46</v>
      </c>
      <c r="Q7550" t="s">
        <v>8164</v>
      </c>
      <c r="R7550" t="s">
        <v>6891</v>
      </c>
      <c r="S7550" t="s">
        <v>1085</v>
      </c>
    </row>
    <row r="7551" spans="1:19" x14ac:dyDescent="0.25">
      <c r="A7551" t="s">
        <v>30</v>
      </c>
      <c r="B7551" t="s">
        <v>31</v>
      </c>
      <c r="C7551" t="s">
        <v>32</v>
      </c>
      <c r="D7551" t="s">
        <v>953</v>
      </c>
      <c r="E7551" t="s">
        <v>7184</v>
      </c>
      <c r="F7551" t="s">
        <v>35</v>
      </c>
      <c r="G7551" t="s">
        <v>35</v>
      </c>
      <c r="H7551" t="s">
        <v>35</v>
      </c>
      <c r="J7551" t="s">
        <v>7202</v>
      </c>
      <c r="K7551" t="s">
        <v>1092</v>
      </c>
      <c r="M7551">
        <v>0.45</v>
      </c>
      <c r="N7551">
        <v>18</v>
      </c>
      <c r="O7551" t="s">
        <v>46</v>
      </c>
      <c r="Q7551" t="s">
        <v>1476</v>
      </c>
      <c r="R7551" t="s">
        <v>6891</v>
      </c>
      <c r="S7551" t="s">
        <v>1085</v>
      </c>
    </row>
    <row r="7552" spans="1:19" x14ac:dyDescent="0.25">
      <c r="A7552" t="s">
        <v>30</v>
      </c>
      <c r="B7552" t="s">
        <v>31</v>
      </c>
      <c r="C7552" t="s">
        <v>32</v>
      </c>
      <c r="D7552" t="s">
        <v>953</v>
      </c>
      <c r="E7552" t="s">
        <v>7184</v>
      </c>
      <c r="F7552" t="s">
        <v>35</v>
      </c>
      <c r="G7552" t="s">
        <v>35</v>
      </c>
      <c r="H7552" t="s">
        <v>35</v>
      </c>
      <c r="J7552" t="s">
        <v>7203</v>
      </c>
      <c r="K7552" t="s">
        <v>1092</v>
      </c>
      <c r="M7552">
        <v>1.44</v>
      </c>
      <c r="N7552">
        <v>14</v>
      </c>
      <c r="O7552" t="s">
        <v>46</v>
      </c>
      <c r="Q7552" t="s">
        <v>2440</v>
      </c>
      <c r="R7552" t="s">
        <v>7205</v>
      </c>
      <c r="S7552" t="s">
        <v>7206</v>
      </c>
    </row>
    <row r="7553" spans="1:19" x14ac:dyDescent="0.25">
      <c r="A7553" t="s">
        <v>59</v>
      </c>
      <c r="B7553" t="s">
        <v>60</v>
      </c>
      <c r="C7553" t="s">
        <v>32</v>
      </c>
      <c r="D7553" t="s">
        <v>953</v>
      </c>
      <c r="E7553" t="s">
        <v>7184</v>
      </c>
      <c r="F7553" t="s">
        <v>35</v>
      </c>
      <c r="G7553" t="s">
        <v>35</v>
      </c>
      <c r="H7553" t="s">
        <v>35</v>
      </c>
      <c r="J7553" t="s">
        <v>7207</v>
      </c>
      <c r="K7553" t="s">
        <v>1092</v>
      </c>
      <c r="M7553">
        <v>0.7</v>
      </c>
      <c r="N7553">
        <v>696</v>
      </c>
      <c r="O7553" t="s">
        <v>575</v>
      </c>
      <c r="Q7553" t="s">
        <v>7208</v>
      </c>
      <c r="R7553" t="s">
        <v>158</v>
      </c>
      <c r="S7553" t="s">
        <v>159</v>
      </c>
    </row>
    <row r="7554" spans="1:19" x14ac:dyDescent="0.25">
      <c r="A7554" t="s">
        <v>59</v>
      </c>
      <c r="B7554" t="s">
        <v>60</v>
      </c>
      <c r="C7554" t="s">
        <v>32</v>
      </c>
      <c r="D7554" t="s">
        <v>953</v>
      </c>
      <c r="E7554" t="s">
        <v>7184</v>
      </c>
      <c r="F7554" t="s">
        <v>35</v>
      </c>
      <c r="G7554" t="s">
        <v>35</v>
      </c>
      <c r="H7554" t="s">
        <v>35</v>
      </c>
      <c r="J7554" t="s">
        <v>7209</v>
      </c>
      <c r="K7554" t="s">
        <v>1092</v>
      </c>
      <c r="M7554">
        <v>2.5</v>
      </c>
      <c r="N7554">
        <v>86</v>
      </c>
      <c r="O7554" t="s">
        <v>61</v>
      </c>
      <c r="Q7554" t="s">
        <v>1076</v>
      </c>
      <c r="R7554" t="s">
        <v>158</v>
      </c>
      <c r="S7554" t="s">
        <v>159</v>
      </c>
    </row>
    <row r="7555" spans="1:19" x14ac:dyDescent="0.25">
      <c r="A7555" t="s">
        <v>59</v>
      </c>
      <c r="B7555" t="s">
        <v>60</v>
      </c>
      <c r="C7555" t="s">
        <v>32</v>
      </c>
      <c r="D7555" t="s">
        <v>953</v>
      </c>
      <c r="E7555" t="s">
        <v>7184</v>
      </c>
      <c r="F7555" t="s">
        <v>35</v>
      </c>
      <c r="G7555" t="s">
        <v>35</v>
      </c>
      <c r="H7555" t="s">
        <v>35</v>
      </c>
      <c r="J7555" t="s">
        <v>7210</v>
      </c>
      <c r="K7555" t="s">
        <v>1092</v>
      </c>
      <c r="M7555">
        <v>0.3</v>
      </c>
      <c r="N7555">
        <v>696</v>
      </c>
      <c r="O7555" t="s">
        <v>575</v>
      </c>
      <c r="Q7555" t="s">
        <v>7208</v>
      </c>
      <c r="R7555" t="s">
        <v>158</v>
      </c>
      <c r="S7555" t="s">
        <v>159</v>
      </c>
    </row>
    <row r="7556" spans="1:19" x14ac:dyDescent="0.25">
      <c r="A7556" t="s">
        <v>59</v>
      </c>
      <c r="B7556" t="s">
        <v>60</v>
      </c>
      <c r="C7556" t="s">
        <v>32</v>
      </c>
      <c r="D7556" t="s">
        <v>953</v>
      </c>
      <c r="E7556" t="s">
        <v>7184</v>
      </c>
      <c r="F7556" t="s">
        <v>35</v>
      </c>
      <c r="G7556" t="s">
        <v>35</v>
      </c>
      <c r="H7556" t="s">
        <v>35</v>
      </c>
      <c r="J7556" t="s">
        <v>7210</v>
      </c>
      <c r="K7556" t="s">
        <v>1092</v>
      </c>
      <c r="M7556">
        <v>5</v>
      </c>
      <c r="N7556">
        <v>144</v>
      </c>
      <c r="O7556" t="s">
        <v>38</v>
      </c>
      <c r="Q7556" t="s">
        <v>2929</v>
      </c>
      <c r="R7556" t="s">
        <v>158</v>
      </c>
      <c r="S7556" t="s">
        <v>159</v>
      </c>
    </row>
    <row r="7557" spans="1:19" x14ac:dyDescent="0.25">
      <c r="A7557" t="s">
        <v>30</v>
      </c>
      <c r="B7557" t="s">
        <v>31</v>
      </c>
      <c r="C7557" t="s">
        <v>32</v>
      </c>
      <c r="D7557" t="s">
        <v>953</v>
      </c>
      <c r="E7557" t="s">
        <v>7184</v>
      </c>
      <c r="F7557" t="s">
        <v>35</v>
      </c>
      <c r="G7557" t="s">
        <v>35</v>
      </c>
      <c r="H7557" t="s">
        <v>35</v>
      </c>
      <c r="J7557" t="s">
        <v>7211</v>
      </c>
      <c r="K7557" t="s">
        <v>1092</v>
      </c>
      <c r="M7557">
        <v>4.3650000000000002</v>
      </c>
      <c r="N7557">
        <v>1255</v>
      </c>
      <c r="O7557" t="s">
        <v>575</v>
      </c>
      <c r="Q7557" t="s">
        <v>7212</v>
      </c>
      <c r="R7557" t="s">
        <v>6847</v>
      </c>
      <c r="S7557" t="s">
        <v>1034</v>
      </c>
    </row>
    <row r="7558" spans="1:19" x14ac:dyDescent="0.25">
      <c r="A7558" t="s">
        <v>44</v>
      </c>
      <c r="B7558" t="s">
        <v>51</v>
      </c>
      <c r="C7558" t="s">
        <v>32</v>
      </c>
      <c r="D7558" t="s">
        <v>953</v>
      </c>
      <c r="E7558" t="s">
        <v>7184</v>
      </c>
      <c r="F7558" t="s">
        <v>35</v>
      </c>
      <c r="G7558" t="s">
        <v>35</v>
      </c>
      <c r="H7558" t="s">
        <v>35</v>
      </c>
      <c r="J7558" t="s">
        <v>7213</v>
      </c>
      <c r="K7558" t="s">
        <v>1092</v>
      </c>
      <c r="M7558">
        <v>1</v>
      </c>
      <c r="N7558">
        <v>44</v>
      </c>
      <c r="O7558" t="s">
        <v>52</v>
      </c>
      <c r="Q7558" t="s">
        <v>192</v>
      </c>
      <c r="R7558" t="s">
        <v>158</v>
      </c>
      <c r="S7558" t="s">
        <v>159</v>
      </c>
    </row>
    <row r="7559" spans="1:19" x14ac:dyDescent="0.25">
      <c r="A7559" t="s">
        <v>59</v>
      </c>
      <c r="B7559" t="s">
        <v>60</v>
      </c>
      <c r="C7559" t="s">
        <v>32</v>
      </c>
      <c r="D7559" t="s">
        <v>953</v>
      </c>
      <c r="E7559" t="s">
        <v>7184</v>
      </c>
      <c r="F7559" t="s">
        <v>35</v>
      </c>
      <c r="G7559" t="s">
        <v>35</v>
      </c>
      <c r="H7559" t="s">
        <v>35</v>
      </c>
      <c r="J7559" t="s">
        <v>7214</v>
      </c>
      <c r="K7559" t="s">
        <v>1092</v>
      </c>
      <c r="M7559">
        <v>0.2</v>
      </c>
      <c r="N7559">
        <v>212</v>
      </c>
      <c r="O7559" t="s">
        <v>5</v>
      </c>
      <c r="Q7559" t="s">
        <v>1711</v>
      </c>
      <c r="R7559" t="s">
        <v>158</v>
      </c>
      <c r="S7559" t="s">
        <v>159</v>
      </c>
    </row>
    <row r="7560" spans="1:19" x14ac:dyDescent="0.25">
      <c r="A7560" t="s">
        <v>59</v>
      </c>
      <c r="B7560" t="s">
        <v>60</v>
      </c>
      <c r="C7560" t="s">
        <v>32</v>
      </c>
      <c r="D7560" t="s">
        <v>953</v>
      </c>
      <c r="E7560" t="s">
        <v>7184</v>
      </c>
      <c r="F7560" t="s">
        <v>35</v>
      </c>
      <c r="G7560" t="s">
        <v>35</v>
      </c>
      <c r="H7560" t="s">
        <v>35</v>
      </c>
      <c r="J7560" t="s">
        <v>7215</v>
      </c>
      <c r="K7560" t="s">
        <v>1092</v>
      </c>
      <c r="M7560">
        <v>0.05</v>
      </c>
      <c r="N7560">
        <v>180</v>
      </c>
      <c r="O7560" t="s">
        <v>38</v>
      </c>
      <c r="Q7560" t="s">
        <v>2138</v>
      </c>
      <c r="R7560" t="s">
        <v>158</v>
      </c>
      <c r="S7560" t="s">
        <v>159</v>
      </c>
    </row>
    <row r="7561" spans="1:19" x14ac:dyDescent="0.25">
      <c r="A7561" t="s">
        <v>59</v>
      </c>
      <c r="B7561" t="s">
        <v>60</v>
      </c>
      <c r="C7561" t="s">
        <v>32</v>
      </c>
      <c r="D7561" t="s">
        <v>953</v>
      </c>
      <c r="E7561" t="s">
        <v>7184</v>
      </c>
      <c r="F7561" t="s">
        <v>35</v>
      </c>
      <c r="G7561" t="s">
        <v>35</v>
      </c>
      <c r="H7561" t="s">
        <v>35</v>
      </c>
      <c r="J7561" t="s">
        <v>7216</v>
      </c>
      <c r="K7561" t="s">
        <v>1092</v>
      </c>
      <c r="M7561">
        <v>0.75</v>
      </c>
      <c r="N7561">
        <v>311</v>
      </c>
      <c r="O7561" t="s">
        <v>5</v>
      </c>
      <c r="Q7561" t="s">
        <v>4940</v>
      </c>
      <c r="R7561" t="s">
        <v>6904</v>
      </c>
      <c r="S7561" t="s">
        <v>999</v>
      </c>
    </row>
    <row r="7562" spans="1:19" x14ac:dyDescent="0.25">
      <c r="A7562" t="s">
        <v>30</v>
      </c>
      <c r="B7562" t="s">
        <v>31</v>
      </c>
      <c r="C7562" t="s">
        <v>32</v>
      </c>
      <c r="D7562" t="s">
        <v>953</v>
      </c>
      <c r="E7562" t="s">
        <v>7184</v>
      </c>
      <c r="F7562" t="s">
        <v>35</v>
      </c>
      <c r="G7562" t="s">
        <v>35</v>
      </c>
      <c r="H7562" t="s">
        <v>35</v>
      </c>
      <c r="J7562" t="s">
        <v>7217</v>
      </c>
      <c r="K7562" t="s">
        <v>1092</v>
      </c>
      <c r="M7562">
        <v>8.8650000000000002</v>
      </c>
      <c r="N7562">
        <v>278</v>
      </c>
      <c r="O7562" t="s">
        <v>5</v>
      </c>
      <c r="Q7562" t="s">
        <v>1724</v>
      </c>
      <c r="R7562" t="s">
        <v>6709</v>
      </c>
      <c r="S7562" t="s">
        <v>1022</v>
      </c>
    </row>
    <row r="7563" spans="1:19" x14ac:dyDescent="0.25">
      <c r="A7563" t="s">
        <v>59</v>
      </c>
      <c r="B7563" t="s">
        <v>60</v>
      </c>
      <c r="C7563" t="s">
        <v>32</v>
      </c>
      <c r="D7563" t="s">
        <v>953</v>
      </c>
      <c r="E7563" t="s">
        <v>7184</v>
      </c>
      <c r="F7563" t="s">
        <v>35</v>
      </c>
      <c r="G7563" t="s">
        <v>35</v>
      </c>
      <c r="H7563" t="s">
        <v>35</v>
      </c>
      <c r="J7563" t="s">
        <v>7218</v>
      </c>
      <c r="K7563" t="s">
        <v>1092</v>
      </c>
      <c r="M7563">
        <v>1.75</v>
      </c>
      <c r="N7563">
        <v>180</v>
      </c>
      <c r="O7563" t="s">
        <v>38</v>
      </c>
      <c r="Q7563" t="s">
        <v>2138</v>
      </c>
      <c r="R7563" t="s">
        <v>158</v>
      </c>
      <c r="S7563" t="s">
        <v>159</v>
      </c>
    </row>
    <row r="7564" spans="1:19" x14ac:dyDescent="0.25">
      <c r="A7564" t="s">
        <v>59</v>
      </c>
      <c r="B7564" t="s">
        <v>60</v>
      </c>
      <c r="C7564" t="s">
        <v>32</v>
      </c>
      <c r="D7564" t="s">
        <v>953</v>
      </c>
      <c r="E7564" t="s">
        <v>7184</v>
      </c>
      <c r="F7564" t="s">
        <v>35</v>
      </c>
      <c r="G7564" t="s">
        <v>35</v>
      </c>
      <c r="H7564" t="s">
        <v>35</v>
      </c>
      <c r="J7564" t="s">
        <v>7219</v>
      </c>
      <c r="K7564" t="s">
        <v>1092</v>
      </c>
      <c r="M7564">
        <v>0.6</v>
      </c>
      <c r="N7564">
        <v>532</v>
      </c>
      <c r="O7564" t="s">
        <v>294</v>
      </c>
      <c r="Q7564" t="s">
        <v>2400</v>
      </c>
      <c r="R7564" t="s">
        <v>158</v>
      </c>
      <c r="S7564" t="s">
        <v>159</v>
      </c>
    </row>
    <row r="7565" spans="1:19" x14ac:dyDescent="0.25">
      <c r="A7565" t="s">
        <v>59</v>
      </c>
      <c r="B7565" t="s">
        <v>60</v>
      </c>
      <c r="C7565" t="s">
        <v>32</v>
      </c>
      <c r="D7565" t="s">
        <v>953</v>
      </c>
      <c r="E7565" t="s">
        <v>7184</v>
      </c>
      <c r="F7565" t="s">
        <v>35</v>
      </c>
      <c r="G7565" t="s">
        <v>35</v>
      </c>
      <c r="H7565" t="s">
        <v>35</v>
      </c>
      <c r="J7565" t="s">
        <v>7220</v>
      </c>
      <c r="K7565" t="s">
        <v>1092</v>
      </c>
      <c r="M7565">
        <v>0.21</v>
      </c>
      <c r="N7565">
        <v>212</v>
      </c>
      <c r="O7565" t="s">
        <v>5</v>
      </c>
      <c r="Q7565" t="s">
        <v>1711</v>
      </c>
      <c r="R7565" t="s">
        <v>158</v>
      </c>
      <c r="S7565" t="s">
        <v>159</v>
      </c>
    </row>
    <row r="7566" spans="1:19" x14ac:dyDescent="0.25">
      <c r="A7566" t="s">
        <v>30</v>
      </c>
      <c r="B7566" t="s">
        <v>31</v>
      </c>
      <c r="C7566" t="s">
        <v>32</v>
      </c>
      <c r="D7566" t="s">
        <v>953</v>
      </c>
      <c r="E7566" t="s">
        <v>7184</v>
      </c>
      <c r="F7566" t="s">
        <v>35</v>
      </c>
      <c r="G7566" t="s">
        <v>35</v>
      </c>
      <c r="H7566" t="s">
        <v>35</v>
      </c>
      <c r="J7566" t="s">
        <v>7220</v>
      </c>
      <c r="K7566" t="s">
        <v>1092</v>
      </c>
      <c r="M7566">
        <v>2.7450000000000001</v>
      </c>
      <c r="N7566">
        <v>2</v>
      </c>
      <c r="O7566" t="s">
        <v>46</v>
      </c>
      <c r="Q7566" t="s">
        <v>8155</v>
      </c>
      <c r="R7566" t="s">
        <v>133</v>
      </c>
      <c r="S7566" t="s">
        <v>134</v>
      </c>
    </row>
    <row r="7567" spans="1:19" x14ac:dyDescent="0.25">
      <c r="A7567" t="s">
        <v>59</v>
      </c>
      <c r="B7567" t="s">
        <v>60</v>
      </c>
      <c r="C7567" t="s">
        <v>32</v>
      </c>
      <c r="D7567" t="s">
        <v>953</v>
      </c>
      <c r="E7567" t="s">
        <v>7184</v>
      </c>
      <c r="F7567" t="s">
        <v>35</v>
      </c>
      <c r="G7567" t="s">
        <v>35</v>
      </c>
      <c r="H7567" t="s">
        <v>35</v>
      </c>
      <c r="J7567" t="s">
        <v>7221</v>
      </c>
      <c r="K7567" t="s">
        <v>1092</v>
      </c>
      <c r="M7567">
        <v>0.5</v>
      </c>
      <c r="N7567">
        <v>251</v>
      </c>
      <c r="O7567" t="s">
        <v>5</v>
      </c>
      <c r="Q7567" t="s">
        <v>1688</v>
      </c>
      <c r="R7567" t="s">
        <v>6891</v>
      </c>
      <c r="S7567" t="s">
        <v>1085</v>
      </c>
    </row>
    <row r="7568" spans="1:19" x14ac:dyDescent="0.25">
      <c r="A7568" t="s">
        <v>59</v>
      </c>
      <c r="B7568" t="s">
        <v>60</v>
      </c>
      <c r="C7568" t="s">
        <v>32</v>
      </c>
      <c r="D7568" t="s">
        <v>953</v>
      </c>
      <c r="E7568" t="s">
        <v>7184</v>
      </c>
      <c r="F7568" t="s">
        <v>35</v>
      </c>
      <c r="G7568" t="s">
        <v>35</v>
      </c>
      <c r="H7568" t="s">
        <v>35</v>
      </c>
      <c r="J7568" t="s">
        <v>7221</v>
      </c>
      <c r="K7568" t="s">
        <v>1092</v>
      </c>
      <c r="M7568">
        <v>0.05</v>
      </c>
      <c r="N7568">
        <v>445</v>
      </c>
      <c r="O7568" t="s">
        <v>294</v>
      </c>
      <c r="Q7568" t="s">
        <v>2532</v>
      </c>
      <c r="R7568" t="s">
        <v>6891</v>
      </c>
      <c r="S7568" t="s">
        <v>1085</v>
      </c>
    </row>
    <row r="7569" spans="1:19" x14ac:dyDescent="0.25">
      <c r="A7569" t="s">
        <v>59</v>
      </c>
      <c r="B7569" t="s">
        <v>60</v>
      </c>
      <c r="C7569" t="s">
        <v>32</v>
      </c>
      <c r="D7569" t="s">
        <v>953</v>
      </c>
      <c r="E7569" t="s">
        <v>7184</v>
      </c>
      <c r="F7569" t="s">
        <v>35</v>
      </c>
      <c r="G7569" t="s">
        <v>35</v>
      </c>
      <c r="H7569" t="s">
        <v>35</v>
      </c>
      <c r="J7569" t="s">
        <v>7222</v>
      </c>
      <c r="K7569" t="s">
        <v>1092</v>
      </c>
      <c r="M7569">
        <v>0.3</v>
      </c>
      <c r="N7569">
        <v>180</v>
      </c>
      <c r="O7569" t="s">
        <v>38</v>
      </c>
      <c r="Q7569" t="s">
        <v>2138</v>
      </c>
      <c r="R7569" t="s">
        <v>158</v>
      </c>
      <c r="S7569" t="s">
        <v>159</v>
      </c>
    </row>
    <row r="7570" spans="1:19" x14ac:dyDescent="0.25">
      <c r="A7570" t="s">
        <v>30</v>
      </c>
      <c r="B7570" t="s">
        <v>31</v>
      </c>
      <c r="C7570" t="s">
        <v>32</v>
      </c>
      <c r="D7570" t="s">
        <v>953</v>
      </c>
      <c r="E7570" t="s">
        <v>7184</v>
      </c>
      <c r="F7570" t="s">
        <v>35</v>
      </c>
      <c r="G7570" t="s">
        <v>35</v>
      </c>
      <c r="H7570" t="s">
        <v>35</v>
      </c>
      <c r="J7570" t="s">
        <v>7223</v>
      </c>
      <c r="K7570" t="s">
        <v>1092</v>
      </c>
      <c r="M7570">
        <v>1.125</v>
      </c>
      <c r="N7570">
        <v>92</v>
      </c>
      <c r="O7570" t="s">
        <v>106</v>
      </c>
      <c r="Q7570" t="s">
        <v>1100</v>
      </c>
      <c r="R7570" t="s">
        <v>7205</v>
      </c>
      <c r="S7570" t="s">
        <v>7206</v>
      </c>
    </row>
    <row r="7571" spans="1:19" x14ac:dyDescent="0.25">
      <c r="A7571" t="s">
        <v>30</v>
      </c>
      <c r="B7571" t="s">
        <v>31</v>
      </c>
      <c r="C7571" t="s">
        <v>32</v>
      </c>
      <c r="D7571" t="s">
        <v>953</v>
      </c>
      <c r="E7571" t="s">
        <v>7184</v>
      </c>
      <c r="F7571" t="s">
        <v>35</v>
      </c>
      <c r="G7571" t="s">
        <v>35</v>
      </c>
      <c r="H7571" t="s">
        <v>35</v>
      </c>
      <c r="J7571" t="s">
        <v>7224</v>
      </c>
      <c r="K7571" t="s">
        <v>1092</v>
      </c>
      <c r="M7571">
        <v>1.125</v>
      </c>
      <c r="N7571">
        <v>92</v>
      </c>
      <c r="O7571" t="s">
        <v>106</v>
      </c>
      <c r="Q7571" t="s">
        <v>1100</v>
      </c>
      <c r="R7571" t="s">
        <v>7205</v>
      </c>
      <c r="S7571" t="s">
        <v>7206</v>
      </c>
    </row>
    <row r="7572" spans="1:19" x14ac:dyDescent="0.25">
      <c r="A7572" t="s">
        <v>59</v>
      </c>
      <c r="B7572" t="s">
        <v>60</v>
      </c>
      <c r="C7572" t="s">
        <v>32</v>
      </c>
      <c r="D7572" t="s">
        <v>953</v>
      </c>
      <c r="E7572" t="s">
        <v>7184</v>
      </c>
      <c r="F7572" t="s">
        <v>35</v>
      </c>
      <c r="G7572" t="s">
        <v>35</v>
      </c>
      <c r="H7572" t="s">
        <v>35</v>
      </c>
      <c r="J7572" t="s">
        <v>7225</v>
      </c>
      <c r="K7572" t="s">
        <v>1092</v>
      </c>
      <c r="M7572">
        <v>0.1</v>
      </c>
      <c r="N7572">
        <v>33</v>
      </c>
      <c r="O7572" t="s">
        <v>52</v>
      </c>
      <c r="Q7572" t="s">
        <v>137</v>
      </c>
      <c r="R7572" t="s">
        <v>6904</v>
      </c>
      <c r="S7572" t="s">
        <v>999</v>
      </c>
    </row>
    <row r="7573" spans="1:19" x14ac:dyDescent="0.25">
      <c r="A7573" t="s">
        <v>59</v>
      </c>
      <c r="B7573" t="s">
        <v>60</v>
      </c>
      <c r="C7573" t="s">
        <v>32</v>
      </c>
      <c r="D7573" t="s">
        <v>953</v>
      </c>
      <c r="E7573" t="s">
        <v>7184</v>
      </c>
      <c r="F7573" t="s">
        <v>35</v>
      </c>
      <c r="G7573" t="s">
        <v>35</v>
      </c>
      <c r="H7573" t="s">
        <v>35</v>
      </c>
      <c r="J7573" t="s">
        <v>7225</v>
      </c>
      <c r="K7573" t="s">
        <v>1092</v>
      </c>
      <c r="M7573">
        <v>0.5</v>
      </c>
      <c r="N7573">
        <v>44</v>
      </c>
      <c r="O7573" t="s">
        <v>52</v>
      </c>
      <c r="Q7573" t="s">
        <v>192</v>
      </c>
      <c r="R7573" t="s">
        <v>6904</v>
      </c>
      <c r="S7573" t="s">
        <v>999</v>
      </c>
    </row>
    <row r="7574" spans="1:19" x14ac:dyDescent="0.25">
      <c r="A7574" t="s">
        <v>59</v>
      </c>
      <c r="B7574" t="s">
        <v>60</v>
      </c>
      <c r="C7574" t="s">
        <v>32</v>
      </c>
      <c r="D7574" t="s">
        <v>953</v>
      </c>
      <c r="E7574" t="s">
        <v>7184</v>
      </c>
      <c r="F7574" t="s">
        <v>35</v>
      </c>
      <c r="G7574" t="s">
        <v>35</v>
      </c>
      <c r="H7574" t="s">
        <v>35</v>
      </c>
      <c r="J7574" t="s">
        <v>7225</v>
      </c>
      <c r="K7574" t="s">
        <v>1092</v>
      </c>
      <c r="M7574">
        <v>0.4</v>
      </c>
      <c r="N7574">
        <v>151</v>
      </c>
      <c r="O7574" t="s">
        <v>38</v>
      </c>
      <c r="Q7574" t="s">
        <v>1269</v>
      </c>
      <c r="R7574" t="s">
        <v>6904</v>
      </c>
      <c r="S7574" t="s">
        <v>999</v>
      </c>
    </row>
    <row r="7575" spans="1:19" x14ac:dyDescent="0.25">
      <c r="A7575" t="s">
        <v>59</v>
      </c>
      <c r="B7575" t="s">
        <v>60</v>
      </c>
      <c r="C7575" t="s">
        <v>32</v>
      </c>
      <c r="D7575" t="s">
        <v>953</v>
      </c>
      <c r="E7575" t="s">
        <v>7184</v>
      </c>
      <c r="F7575" t="s">
        <v>35</v>
      </c>
      <c r="G7575" t="s">
        <v>35</v>
      </c>
      <c r="H7575" t="s">
        <v>35</v>
      </c>
      <c r="J7575" t="s">
        <v>7226</v>
      </c>
      <c r="K7575" t="s">
        <v>1092</v>
      </c>
      <c r="M7575">
        <v>0.3</v>
      </c>
      <c r="N7575">
        <v>357</v>
      </c>
      <c r="O7575" t="s">
        <v>5</v>
      </c>
      <c r="Q7575" t="s">
        <v>6620</v>
      </c>
      <c r="R7575" t="s">
        <v>6904</v>
      </c>
      <c r="S7575" t="s">
        <v>999</v>
      </c>
    </row>
    <row r="7576" spans="1:19" x14ac:dyDescent="0.25">
      <c r="A7576" t="s">
        <v>59</v>
      </c>
      <c r="B7576" t="s">
        <v>60</v>
      </c>
      <c r="C7576" t="s">
        <v>32</v>
      </c>
      <c r="D7576" t="s">
        <v>953</v>
      </c>
      <c r="E7576" t="s">
        <v>7184</v>
      </c>
      <c r="F7576" t="s">
        <v>35</v>
      </c>
      <c r="G7576" t="s">
        <v>35</v>
      </c>
      <c r="H7576" t="s">
        <v>35</v>
      </c>
      <c r="J7576" t="s">
        <v>7227</v>
      </c>
      <c r="K7576" t="s">
        <v>1092</v>
      </c>
      <c r="M7576">
        <v>0.2</v>
      </c>
      <c r="N7576">
        <v>532</v>
      </c>
      <c r="O7576" t="s">
        <v>294</v>
      </c>
      <c r="Q7576" t="s">
        <v>2400</v>
      </c>
      <c r="R7576" t="s">
        <v>158</v>
      </c>
      <c r="S7576" t="s">
        <v>159</v>
      </c>
    </row>
    <row r="7577" spans="1:19" x14ac:dyDescent="0.25">
      <c r="A7577" t="s">
        <v>30</v>
      </c>
      <c r="B7577" t="s">
        <v>31</v>
      </c>
      <c r="C7577" t="s">
        <v>32</v>
      </c>
      <c r="D7577" t="s">
        <v>953</v>
      </c>
      <c r="E7577" t="s">
        <v>7184</v>
      </c>
      <c r="F7577" t="s">
        <v>35</v>
      </c>
      <c r="G7577" t="s">
        <v>35</v>
      </c>
      <c r="H7577" t="s">
        <v>35</v>
      </c>
      <c r="J7577" t="s">
        <v>7228</v>
      </c>
      <c r="K7577" t="s">
        <v>1092</v>
      </c>
      <c r="M7577">
        <v>0.09</v>
      </c>
      <c r="N7577">
        <v>1249</v>
      </c>
      <c r="O7577" t="s">
        <v>575</v>
      </c>
      <c r="Q7577" t="s">
        <v>3627</v>
      </c>
      <c r="R7577" t="s">
        <v>6709</v>
      </c>
      <c r="S7577" t="s">
        <v>1022</v>
      </c>
    </row>
    <row r="7578" spans="1:19" x14ac:dyDescent="0.25">
      <c r="A7578" t="s">
        <v>30</v>
      </c>
      <c r="B7578" t="s">
        <v>31</v>
      </c>
      <c r="C7578" t="s">
        <v>32</v>
      </c>
      <c r="D7578" t="s">
        <v>953</v>
      </c>
      <c r="E7578" t="s">
        <v>7184</v>
      </c>
      <c r="F7578" t="s">
        <v>35</v>
      </c>
      <c r="G7578" t="s">
        <v>35</v>
      </c>
      <c r="H7578" t="s">
        <v>35</v>
      </c>
      <c r="J7578" t="s">
        <v>7229</v>
      </c>
      <c r="K7578" t="s">
        <v>1092</v>
      </c>
      <c r="M7578">
        <v>0.9</v>
      </c>
      <c r="N7578">
        <v>20</v>
      </c>
      <c r="O7578" t="s">
        <v>46</v>
      </c>
      <c r="Q7578" t="s">
        <v>1004</v>
      </c>
      <c r="R7578" t="s">
        <v>133</v>
      </c>
      <c r="S7578" t="s">
        <v>134</v>
      </c>
    </row>
    <row r="7579" spans="1:19" x14ac:dyDescent="0.25">
      <c r="A7579" t="s">
        <v>59</v>
      </c>
      <c r="B7579" t="s">
        <v>60</v>
      </c>
      <c r="C7579" t="s">
        <v>32</v>
      </c>
      <c r="D7579" t="s">
        <v>953</v>
      </c>
      <c r="E7579" t="s">
        <v>7184</v>
      </c>
      <c r="F7579" t="s">
        <v>35</v>
      </c>
      <c r="G7579" t="s">
        <v>35</v>
      </c>
      <c r="H7579" t="s">
        <v>35</v>
      </c>
      <c r="J7579" t="s">
        <v>7230</v>
      </c>
      <c r="K7579" t="s">
        <v>1092</v>
      </c>
      <c r="M7579">
        <v>0.05</v>
      </c>
      <c r="N7579">
        <v>270</v>
      </c>
      <c r="O7579" t="s">
        <v>5</v>
      </c>
      <c r="Q7579" t="s">
        <v>2486</v>
      </c>
      <c r="R7579" t="s">
        <v>158</v>
      </c>
      <c r="S7579" t="s">
        <v>159</v>
      </c>
    </row>
    <row r="7580" spans="1:19" x14ac:dyDescent="0.25">
      <c r="A7580" t="s">
        <v>59</v>
      </c>
      <c r="B7580" t="s">
        <v>60</v>
      </c>
      <c r="C7580" t="s">
        <v>32</v>
      </c>
      <c r="D7580" t="s">
        <v>953</v>
      </c>
      <c r="E7580" t="s">
        <v>7184</v>
      </c>
      <c r="F7580" t="s">
        <v>35</v>
      </c>
      <c r="G7580" t="s">
        <v>35</v>
      </c>
      <c r="H7580" t="s">
        <v>35</v>
      </c>
      <c r="J7580" t="s">
        <v>7230</v>
      </c>
      <c r="K7580" t="s">
        <v>1092</v>
      </c>
      <c r="M7580">
        <v>0.75</v>
      </c>
      <c r="N7580">
        <v>74</v>
      </c>
      <c r="O7580" t="s">
        <v>61</v>
      </c>
      <c r="Q7580" t="s">
        <v>488</v>
      </c>
      <c r="R7580" t="s">
        <v>6904</v>
      </c>
      <c r="S7580" t="s">
        <v>999</v>
      </c>
    </row>
    <row r="7581" spans="1:19" x14ac:dyDescent="0.25">
      <c r="A7581" t="s">
        <v>59</v>
      </c>
      <c r="B7581" t="s">
        <v>60</v>
      </c>
      <c r="C7581" t="s">
        <v>32</v>
      </c>
      <c r="D7581" t="s">
        <v>953</v>
      </c>
      <c r="E7581" t="s">
        <v>7184</v>
      </c>
      <c r="F7581" t="s">
        <v>35</v>
      </c>
      <c r="G7581" t="s">
        <v>35</v>
      </c>
      <c r="H7581" t="s">
        <v>35</v>
      </c>
      <c r="J7581" t="s">
        <v>7230</v>
      </c>
      <c r="K7581" t="s">
        <v>1092</v>
      </c>
      <c r="M7581">
        <v>0.5</v>
      </c>
      <c r="N7581">
        <v>33</v>
      </c>
      <c r="O7581" t="s">
        <v>52</v>
      </c>
      <c r="Q7581" t="s">
        <v>137</v>
      </c>
      <c r="R7581" t="s">
        <v>6904</v>
      </c>
      <c r="S7581" t="s">
        <v>999</v>
      </c>
    </row>
    <row r="7582" spans="1:19" x14ac:dyDescent="0.25">
      <c r="A7582" t="s">
        <v>59</v>
      </c>
      <c r="B7582" t="s">
        <v>60</v>
      </c>
      <c r="C7582" t="s">
        <v>32</v>
      </c>
      <c r="D7582" t="s">
        <v>953</v>
      </c>
      <c r="E7582" t="s">
        <v>7184</v>
      </c>
      <c r="F7582" t="s">
        <v>35</v>
      </c>
      <c r="G7582" t="s">
        <v>35</v>
      </c>
      <c r="H7582" t="s">
        <v>35</v>
      </c>
      <c r="J7582" t="s">
        <v>7230</v>
      </c>
      <c r="K7582" t="s">
        <v>1092</v>
      </c>
      <c r="M7582">
        <v>0.5</v>
      </c>
      <c r="N7582">
        <v>64</v>
      </c>
      <c r="O7582" t="s">
        <v>61</v>
      </c>
      <c r="Q7582" t="s">
        <v>381</v>
      </c>
      <c r="R7582" t="s">
        <v>6904</v>
      </c>
      <c r="S7582" t="s">
        <v>999</v>
      </c>
    </row>
    <row r="7583" spans="1:19" x14ac:dyDescent="0.25">
      <c r="A7583" t="s">
        <v>59</v>
      </c>
      <c r="B7583" t="s">
        <v>60</v>
      </c>
      <c r="C7583" t="s">
        <v>32</v>
      </c>
      <c r="D7583" t="s">
        <v>953</v>
      </c>
      <c r="E7583" t="s">
        <v>998</v>
      </c>
      <c r="F7583" t="s">
        <v>35</v>
      </c>
      <c r="G7583" t="s">
        <v>35</v>
      </c>
      <c r="H7583" t="s">
        <v>35</v>
      </c>
      <c r="J7583" t="s">
        <v>7231</v>
      </c>
      <c r="K7583" t="s">
        <v>1092</v>
      </c>
      <c r="M7583">
        <v>0.9</v>
      </c>
      <c r="N7583">
        <v>194</v>
      </c>
      <c r="O7583" t="s">
        <v>5</v>
      </c>
      <c r="Q7583" t="s">
        <v>2315</v>
      </c>
      <c r="R7583" t="s">
        <v>6709</v>
      </c>
      <c r="S7583" t="s">
        <v>1022</v>
      </c>
    </row>
    <row r="7584" spans="1:19" x14ac:dyDescent="0.25">
      <c r="A7584" t="s">
        <v>59</v>
      </c>
      <c r="B7584" t="s">
        <v>31</v>
      </c>
      <c r="C7584" t="s">
        <v>32</v>
      </c>
      <c r="D7584" t="s">
        <v>953</v>
      </c>
      <c r="E7584" t="s">
        <v>998</v>
      </c>
      <c r="F7584" t="s">
        <v>35</v>
      </c>
      <c r="G7584" t="s">
        <v>35</v>
      </c>
      <c r="H7584" t="s">
        <v>35</v>
      </c>
      <c r="J7584" t="s">
        <v>7232</v>
      </c>
      <c r="K7584" t="s">
        <v>1092</v>
      </c>
      <c r="M7584">
        <v>12.28</v>
      </c>
      <c r="N7584">
        <v>61</v>
      </c>
      <c r="O7584" t="s">
        <v>61</v>
      </c>
      <c r="Q7584" t="s">
        <v>671</v>
      </c>
      <c r="R7584" t="s">
        <v>6847</v>
      </c>
      <c r="S7584" t="s">
        <v>1034</v>
      </c>
    </row>
    <row r="7585" spans="1:19" x14ac:dyDescent="0.25">
      <c r="A7585" t="s">
        <v>59</v>
      </c>
      <c r="B7585" t="s">
        <v>60</v>
      </c>
      <c r="C7585" t="s">
        <v>32</v>
      </c>
      <c r="D7585" t="s">
        <v>953</v>
      </c>
      <c r="E7585" t="s">
        <v>998</v>
      </c>
      <c r="F7585" t="s">
        <v>35</v>
      </c>
      <c r="G7585" t="s">
        <v>35</v>
      </c>
      <c r="H7585" t="s">
        <v>35</v>
      </c>
      <c r="J7585" t="s">
        <v>7232</v>
      </c>
      <c r="K7585" t="s">
        <v>1092</v>
      </c>
      <c r="M7585">
        <v>0.01</v>
      </c>
      <c r="N7585">
        <v>49</v>
      </c>
      <c r="O7585" t="s">
        <v>52</v>
      </c>
      <c r="Q7585" t="s">
        <v>219</v>
      </c>
      <c r="R7585" t="s">
        <v>6847</v>
      </c>
      <c r="S7585" t="s">
        <v>1034</v>
      </c>
    </row>
    <row r="7586" spans="1:19" x14ac:dyDescent="0.25">
      <c r="A7586" t="s">
        <v>30</v>
      </c>
      <c r="B7586" t="s">
        <v>31</v>
      </c>
      <c r="C7586" t="s">
        <v>32</v>
      </c>
      <c r="D7586" t="s">
        <v>953</v>
      </c>
      <c r="E7586" t="s">
        <v>998</v>
      </c>
      <c r="F7586" t="s">
        <v>35</v>
      </c>
      <c r="G7586" t="s">
        <v>35</v>
      </c>
      <c r="H7586" t="s">
        <v>35</v>
      </c>
      <c r="J7586" t="s">
        <v>7232</v>
      </c>
      <c r="K7586" t="s">
        <v>1092</v>
      </c>
      <c r="M7586">
        <v>20.25</v>
      </c>
      <c r="N7586">
        <v>48</v>
      </c>
      <c r="O7586" t="s">
        <v>52</v>
      </c>
      <c r="Q7586" t="s">
        <v>496</v>
      </c>
      <c r="R7586" t="s">
        <v>6847</v>
      </c>
      <c r="S7586" t="s">
        <v>1034</v>
      </c>
    </row>
    <row r="7587" spans="1:19" x14ac:dyDescent="0.25">
      <c r="A7587" t="s">
        <v>59</v>
      </c>
      <c r="B7587" t="s">
        <v>60</v>
      </c>
      <c r="C7587" t="s">
        <v>32</v>
      </c>
      <c r="D7587" t="s">
        <v>953</v>
      </c>
      <c r="E7587" t="s">
        <v>998</v>
      </c>
      <c r="F7587" t="s">
        <v>35</v>
      </c>
      <c r="G7587" t="s">
        <v>35</v>
      </c>
      <c r="H7587" t="s">
        <v>35</v>
      </c>
      <c r="J7587" t="s">
        <v>7233</v>
      </c>
      <c r="K7587" t="s">
        <v>1092</v>
      </c>
      <c r="M7587">
        <v>2.8</v>
      </c>
      <c r="N7587">
        <v>86</v>
      </c>
      <c r="O7587" t="s">
        <v>61</v>
      </c>
      <c r="Q7587" t="s">
        <v>1076</v>
      </c>
      <c r="R7587" t="s">
        <v>158</v>
      </c>
      <c r="S7587" t="s">
        <v>159</v>
      </c>
    </row>
    <row r="7588" spans="1:19" x14ac:dyDescent="0.25">
      <c r="A7588" t="s">
        <v>59</v>
      </c>
      <c r="B7588" t="s">
        <v>60</v>
      </c>
      <c r="C7588" t="s">
        <v>32</v>
      </c>
      <c r="D7588" t="s">
        <v>953</v>
      </c>
      <c r="E7588" t="s">
        <v>998</v>
      </c>
      <c r="F7588" t="s">
        <v>35</v>
      </c>
      <c r="G7588" t="s">
        <v>35</v>
      </c>
      <c r="H7588" t="s">
        <v>35</v>
      </c>
      <c r="J7588" t="s">
        <v>7234</v>
      </c>
      <c r="K7588" t="s">
        <v>1092</v>
      </c>
      <c r="M7588">
        <v>0.5</v>
      </c>
      <c r="N7588">
        <v>325</v>
      </c>
      <c r="O7588" t="s">
        <v>5</v>
      </c>
      <c r="Q7588" t="s">
        <v>1782</v>
      </c>
      <c r="R7588" t="s">
        <v>6904</v>
      </c>
      <c r="S7588" t="s">
        <v>999</v>
      </c>
    </row>
    <row r="7589" spans="1:19" x14ac:dyDescent="0.25">
      <c r="A7589" t="s">
        <v>59</v>
      </c>
      <c r="B7589" t="s">
        <v>60</v>
      </c>
      <c r="C7589" t="s">
        <v>32</v>
      </c>
      <c r="D7589" t="s">
        <v>953</v>
      </c>
      <c r="E7589" t="s">
        <v>998</v>
      </c>
      <c r="F7589" t="s">
        <v>35</v>
      </c>
      <c r="G7589" t="s">
        <v>35</v>
      </c>
      <c r="H7589" t="s">
        <v>35</v>
      </c>
      <c r="J7589" t="s">
        <v>7234</v>
      </c>
      <c r="K7589" t="s">
        <v>1092</v>
      </c>
      <c r="M7589">
        <v>0.5</v>
      </c>
      <c r="N7589">
        <v>140</v>
      </c>
      <c r="O7589" t="s">
        <v>38</v>
      </c>
      <c r="Q7589" t="s">
        <v>609</v>
      </c>
      <c r="R7589" t="s">
        <v>6904</v>
      </c>
      <c r="S7589" t="s">
        <v>999</v>
      </c>
    </row>
    <row r="7590" spans="1:19" x14ac:dyDescent="0.25">
      <c r="A7590" t="s">
        <v>59</v>
      </c>
      <c r="B7590" t="s">
        <v>60</v>
      </c>
      <c r="C7590" t="s">
        <v>32</v>
      </c>
      <c r="D7590" t="s">
        <v>953</v>
      </c>
      <c r="E7590" t="s">
        <v>998</v>
      </c>
      <c r="F7590" t="s">
        <v>35</v>
      </c>
      <c r="G7590" t="s">
        <v>35</v>
      </c>
      <c r="H7590" t="s">
        <v>35</v>
      </c>
      <c r="J7590" t="s">
        <v>7235</v>
      </c>
      <c r="K7590" t="s">
        <v>1092</v>
      </c>
      <c r="M7590">
        <v>0.1</v>
      </c>
      <c r="N7590">
        <v>140</v>
      </c>
      <c r="O7590" t="s">
        <v>38</v>
      </c>
      <c r="Q7590" t="s">
        <v>609</v>
      </c>
      <c r="R7590" t="s">
        <v>6904</v>
      </c>
      <c r="S7590" t="s">
        <v>999</v>
      </c>
    </row>
    <row r="7591" spans="1:19" x14ac:dyDescent="0.25">
      <c r="A7591" t="s">
        <v>59</v>
      </c>
      <c r="B7591" t="s">
        <v>60</v>
      </c>
      <c r="C7591" t="s">
        <v>32</v>
      </c>
      <c r="D7591" t="s">
        <v>953</v>
      </c>
      <c r="E7591" t="s">
        <v>998</v>
      </c>
      <c r="F7591" t="s">
        <v>35</v>
      </c>
      <c r="G7591" t="s">
        <v>35</v>
      </c>
      <c r="H7591" t="s">
        <v>35</v>
      </c>
      <c r="J7591" t="s">
        <v>7236</v>
      </c>
      <c r="K7591" t="s">
        <v>1092</v>
      </c>
      <c r="M7591">
        <v>1.55</v>
      </c>
      <c r="N7591">
        <v>68</v>
      </c>
      <c r="O7591" t="s">
        <v>61</v>
      </c>
      <c r="Q7591" t="s">
        <v>146</v>
      </c>
      <c r="R7591" t="s">
        <v>6904</v>
      </c>
      <c r="S7591" t="s">
        <v>999</v>
      </c>
    </row>
    <row r="7592" spans="1:19" x14ac:dyDescent="0.25">
      <c r="A7592" t="s">
        <v>30</v>
      </c>
      <c r="B7592" t="s">
        <v>31</v>
      </c>
      <c r="C7592" t="s">
        <v>32</v>
      </c>
      <c r="D7592" t="s">
        <v>953</v>
      </c>
      <c r="E7592" t="s">
        <v>998</v>
      </c>
      <c r="F7592" t="s">
        <v>35</v>
      </c>
      <c r="G7592" t="s">
        <v>35</v>
      </c>
      <c r="H7592" t="s">
        <v>35</v>
      </c>
      <c r="J7592" t="s">
        <v>7236</v>
      </c>
      <c r="K7592" t="s">
        <v>1092</v>
      </c>
      <c r="M7592">
        <v>3.78</v>
      </c>
      <c r="N7592">
        <v>24</v>
      </c>
      <c r="O7592" t="s">
        <v>46</v>
      </c>
      <c r="Q7592" t="s">
        <v>255</v>
      </c>
      <c r="R7592" t="s">
        <v>6897</v>
      </c>
      <c r="S7592" t="s">
        <v>1062</v>
      </c>
    </row>
    <row r="7593" spans="1:19" x14ac:dyDescent="0.25">
      <c r="A7593" t="s">
        <v>59</v>
      </c>
      <c r="B7593" t="s">
        <v>60</v>
      </c>
      <c r="C7593" t="s">
        <v>32</v>
      </c>
      <c r="D7593" t="s">
        <v>953</v>
      </c>
      <c r="E7593" t="s">
        <v>998</v>
      </c>
      <c r="F7593" t="s">
        <v>35</v>
      </c>
      <c r="G7593" t="s">
        <v>35</v>
      </c>
      <c r="H7593" t="s">
        <v>35</v>
      </c>
      <c r="J7593" t="s">
        <v>7237</v>
      </c>
      <c r="K7593" t="s">
        <v>1092</v>
      </c>
      <c r="M7593">
        <v>0.85</v>
      </c>
      <c r="N7593">
        <v>140</v>
      </c>
      <c r="O7593" t="s">
        <v>38</v>
      </c>
      <c r="Q7593" t="s">
        <v>609</v>
      </c>
      <c r="R7593" t="s">
        <v>6904</v>
      </c>
      <c r="S7593" t="s">
        <v>999</v>
      </c>
    </row>
    <row r="7594" spans="1:19" x14ac:dyDescent="0.25">
      <c r="A7594" t="s">
        <v>59</v>
      </c>
      <c r="B7594" t="s">
        <v>60</v>
      </c>
      <c r="C7594" t="s">
        <v>32</v>
      </c>
      <c r="D7594" t="s">
        <v>953</v>
      </c>
      <c r="E7594" t="s">
        <v>998</v>
      </c>
      <c r="F7594" t="s">
        <v>35</v>
      </c>
      <c r="G7594" t="s">
        <v>35</v>
      </c>
      <c r="H7594" t="s">
        <v>35</v>
      </c>
      <c r="J7594" t="s">
        <v>7237</v>
      </c>
      <c r="K7594" t="s">
        <v>1092</v>
      </c>
      <c r="M7594">
        <v>0.5</v>
      </c>
      <c r="N7594">
        <v>130</v>
      </c>
      <c r="O7594" t="s">
        <v>38</v>
      </c>
      <c r="Q7594" t="s">
        <v>1656</v>
      </c>
      <c r="R7594" t="s">
        <v>6904</v>
      </c>
      <c r="S7594" t="s">
        <v>999</v>
      </c>
    </row>
    <row r="7595" spans="1:19" x14ac:dyDescent="0.25">
      <c r="A7595" t="s">
        <v>59</v>
      </c>
      <c r="B7595" t="s">
        <v>60</v>
      </c>
      <c r="C7595" t="s">
        <v>32</v>
      </c>
      <c r="D7595" t="s">
        <v>953</v>
      </c>
      <c r="E7595" t="s">
        <v>998</v>
      </c>
      <c r="F7595" t="s">
        <v>35</v>
      </c>
      <c r="G7595" t="s">
        <v>35</v>
      </c>
      <c r="H7595" t="s">
        <v>35</v>
      </c>
      <c r="J7595" t="s">
        <v>7238</v>
      </c>
      <c r="K7595" t="s">
        <v>1092</v>
      </c>
      <c r="M7595">
        <v>1.3</v>
      </c>
      <c r="N7595">
        <v>257</v>
      </c>
      <c r="O7595" t="s">
        <v>5</v>
      </c>
      <c r="Q7595" t="s">
        <v>1286</v>
      </c>
      <c r="R7595" t="s">
        <v>6709</v>
      </c>
      <c r="S7595" t="s">
        <v>1022</v>
      </c>
    </row>
    <row r="7596" spans="1:19" x14ac:dyDescent="0.25">
      <c r="A7596" t="s">
        <v>59</v>
      </c>
      <c r="B7596" t="s">
        <v>60</v>
      </c>
      <c r="C7596" t="s">
        <v>32</v>
      </c>
      <c r="D7596" t="s">
        <v>953</v>
      </c>
      <c r="E7596" t="s">
        <v>998</v>
      </c>
      <c r="F7596" t="s">
        <v>35</v>
      </c>
      <c r="G7596" t="s">
        <v>35</v>
      </c>
      <c r="H7596" t="s">
        <v>35</v>
      </c>
      <c r="J7596" t="s">
        <v>7239</v>
      </c>
      <c r="K7596" t="s">
        <v>1092</v>
      </c>
      <c r="M7596">
        <v>0.5</v>
      </c>
      <c r="N7596">
        <v>64</v>
      </c>
      <c r="O7596" t="s">
        <v>61</v>
      </c>
      <c r="Q7596" t="s">
        <v>381</v>
      </c>
      <c r="R7596" t="s">
        <v>6904</v>
      </c>
      <c r="S7596" t="s">
        <v>999</v>
      </c>
    </row>
    <row r="7597" spans="1:19" x14ac:dyDescent="0.25">
      <c r="A7597" t="s">
        <v>59</v>
      </c>
      <c r="B7597" t="s">
        <v>60</v>
      </c>
      <c r="C7597" t="s">
        <v>32</v>
      </c>
      <c r="D7597" t="s">
        <v>953</v>
      </c>
      <c r="E7597" t="s">
        <v>998</v>
      </c>
      <c r="F7597" t="s">
        <v>35</v>
      </c>
      <c r="G7597" t="s">
        <v>35</v>
      </c>
      <c r="H7597" t="s">
        <v>35</v>
      </c>
      <c r="J7597" t="s">
        <v>7240</v>
      </c>
      <c r="K7597" t="s">
        <v>1092</v>
      </c>
      <c r="M7597">
        <v>2.5</v>
      </c>
      <c r="N7597">
        <v>709</v>
      </c>
      <c r="O7597" t="s">
        <v>575</v>
      </c>
      <c r="Q7597" t="s">
        <v>7188</v>
      </c>
      <c r="R7597" t="s">
        <v>158</v>
      </c>
      <c r="S7597" t="s">
        <v>159</v>
      </c>
    </row>
    <row r="7598" spans="1:19" x14ac:dyDescent="0.25">
      <c r="A7598" t="s">
        <v>59</v>
      </c>
      <c r="B7598" t="s">
        <v>60</v>
      </c>
      <c r="C7598" t="s">
        <v>32</v>
      </c>
      <c r="D7598" t="s">
        <v>953</v>
      </c>
      <c r="E7598" t="s">
        <v>998</v>
      </c>
      <c r="F7598" t="s">
        <v>35</v>
      </c>
      <c r="G7598" t="s">
        <v>35</v>
      </c>
      <c r="H7598" t="s">
        <v>35</v>
      </c>
      <c r="J7598" t="s">
        <v>7240</v>
      </c>
      <c r="K7598" t="s">
        <v>1092</v>
      </c>
      <c r="M7598">
        <v>9</v>
      </c>
      <c r="N7598">
        <v>7</v>
      </c>
      <c r="O7598" t="s">
        <v>46</v>
      </c>
      <c r="Q7598" t="s">
        <v>8164</v>
      </c>
      <c r="R7598" t="s">
        <v>158</v>
      </c>
      <c r="S7598" t="s">
        <v>159</v>
      </c>
    </row>
    <row r="7599" spans="1:19" x14ac:dyDescent="0.25">
      <c r="A7599" t="s">
        <v>59</v>
      </c>
      <c r="B7599" t="s">
        <v>60</v>
      </c>
      <c r="C7599" t="s">
        <v>32</v>
      </c>
      <c r="D7599" t="s">
        <v>953</v>
      </c>
      <c r="E7599" t="s">
        <v>998</v>
      </c>
      <c r="F7599" t="s">
        <v>35</v>
      </c>
      <c r="G7599" t="s">
        <v>35</v>
      </c>
      <c r="H7599" t="s">
        <v>35</v>
      </c>
      <c r="J7599" t="s">
        <v>7241</v>
      </c>
      <c r="K7599" t="s">
        <v>1092</v>
      </c>
      <c r="M7599">
        <v>1</v>
      </c>
      <c r="N7599">
        <v>52</v>
      </c>
      <c r="O7599" t="s">
        <v>52</v>
      </c>
      <c r="Q7599" t="s">
        <v>1230</v>
      </c>
      <c r="R7599" t="s">
        <v>6904</v>
      </c>
      <c r="S7599" t="s">
        <v>999</v>
      </c>
    </row>
    <row r="7600" spans="1:19" x14ac:dyDescent="0.25">
      <c r="A7600" t="s">
        <v>59</v>
      </c>
      <c r="B7600" t="s">
        <v>60</v>
      </c>
      <c r="C7600" t="s">
        <v>32</v>
      </c>
      <c r="D7600" t="s">
        <v>953</v>
      </c>
      <c r="E7600" t="s">
        <v>998</v>
      </c>
      <c r="F7600" t="s">
        <v>35</v>
      </c>
      <c r="G7600" t="s">
        <v>35</v>
      </c>
      <c r="H7600" t="s">
        <v>35</v>
      </c>
      <c r="J7600" t="s">
        <v>7241</v>
      </c>
      <c r="K7600" t="s">
        <v>1092</v>
      </c>
      <c r="M7600">
        <v>1.5</v>
      </c>
      <c r="N7600">
        <v>33</v>
      </c>
      <c r="O7600" t="s">
        <v>52</v>
      </c>
      <c r="Q7600" t="s">
        <v>137</v>
      </c>
      <c r="R7600" t="s">
        <v>6904</v>
      </c>
      <c r="S7600" t="s">
        <v>999</v>
      </c>
    </row>
    <row r="7601" spans="1:19" x14ac:dyDescent="0.25">
      <c r="A7601" t="s">
        <v>59</v>
      </c>
      <c r="B7601" t="s">
        <v>60</v>
      </c>
      <c r="C7601" t="s">
        <v>32</v>
      </c>
      <c r="D7601" t="s">
        <v>953</v>
      </c>
      <c r="E7601" t="s">
        <v>998</v>
      </c>
      <c r="F7601" t="s">
        <v>35</v>
      </c>
      <c r="G7601" t="s">
        <v>35</v>
      </c>
      <c r="H7601" t="s">
        <v>35</v>
      </c>
      <c r="J7601" t="s">
        <v>7241</v>
      </c>
      <c r="K7601" t="s">
        <v>1092</v>
      </c>
      <c r="M7601">
        <v>1.5</v>
      </c>
      <c r="N7601">
        <v>36</v>
      </c>
      <c r="O7601" t="s">
        <v>52</v>
      </c>
      <c r="Q7601" t="s">
        <v>2005</v>
      </c>
      <c r="R7601" t="s">
        <v>6904</v>
      </c>
      <c r="S7601" t="s">
        <v>999</v>
      </c>
    </row>
    <row r="7602" spans="1:19" x14ac:dyDescent="0.25">
      <c r="A7602" t="s">
        <v>59</v>
      </c>
      <c r="B7602" t="s">
        <v>60</v>
      </c>
      <c r="C7602" t="s">
        <v>32</v>
      </c>
      <c r="D7602" t="s">
        <v>953</v>
      </c>
      <c r="E7602" t="s">
        <v>998</v>
      </c>
      <c r="F7602" t="s">
        <v>35</v>
      </c>
      <c r="G7602" t="s">
        <v>35</v>
      </c>
      <c r="H7602" t="s">
        <v>35</v>
      </c>
      <c r="J7602" t="s">
        <v>7241</v>
      </c>
      <c r="K7602" t="s">
        <v>1092</v>
      </c>
      <c r="M7602">
        <v>0.75</v>
      </c>
      <c r="N7602">
        <v>64</v>
      </c>
      <c r="O7602" t="s">
        <v>61</v>
      </c>
      <c r="Q7602" t="s">
        <v>381</v>
      </c>
      <c r="R7602" t="s">
        <v>6904</v>
      </c>
      <c r="S7602" t="s">
        <v>999</v>
      </c>
    </row>
    <row r="7603" spans="1:19" x14ac:dyDescent="0.25">
      <c r="A7603" t="s">
        <v>59</v>
      </c>
      <c r="B7603" t="s">
        <v>60</v>
      </c>
      <c r="C7603" t="s">
        <v>32</v>
      </c>
      <c r="D7603" t="s">
        <v>953</v>
      </c>
      <c r="E7603" t="s">
        <v>998</v>
      </c>
      <c r="F7603" t="s">
        <v>35</v>
      </c>
      <c r="G7603" t="s">
        <v>35</v>
      </c>
      <c r="H7603" t="s">
        <v>35</v>
      </c>
      <c r="J7603" t="s">
        <v>7241</v>
      </c>
      <c r="K7603" t="s">
        <v>1092</v>
      </c>
      <c r="M7603">
        <v>0.55000000000000004</v>
      </c>
      <c r="N7603">
        <v>74</v>
      </c>
      <c r="O7603" t="s">
        <v>61</v>
      </c>
      <c r="Q7603" t="s">
        <v>488</v>
      </c>
      <c r="R7603" t="s">
        <v>6904</v>
      </c>
      <c r="S7603" t="s">
        <v>999</v>
      </c>
    </row>
    <row r="7604" spans="1:19" x14ac:dyDescent="0.25">
      <c r="A7604" t="s">
        <v>59</v>
      </c>
      <c r="B7604" t="s">
        <v>60</v>
      </c>
      <c r="C7604" t="s">
        <v>32</v>
      </c>
      <c r="D7604" t="s">
        <v>953</v>
      </c>
      <c r="E7604" t="s">
        <v>998</v>
      </c>
      <c r="F7604" t="s">
        <v>35</v>
      </c>
      <c r="G7604" t="s">
        <v>35</v>
      </c>
      <c r="H7604" t="s">
        <v>35</v>
      </c>
      <c r="J7604" t="s">
        <v>7241</v>
      </c>
      <c r="K7604" t="s">
        <v>1092</v>
      </c>
      <c r="M7604">
        <v>2</v>
      </c>
      <c r="N7604">
        <v>60</v>
      </c>
      <c r="O7604" t="s">
        <v>52</v>
      </c>
      <c r="Q7604" t="s">
        <v>1734</v>
      </c>
      <c r="R7604" t="s">
        <v>6904</v>
      </c>
      <c r="S7604" t="s">
        <v>999</v>
      </c>
    </row>
    <row r="7605" spans="1:19" x14ac:dyDescent="0.25">
      <c r="A7605" t="s">
        <v>59</v>
      </c>
      <c r="B7605" t="s">
        <v>60</v>
      </c>
      <c r="C7605" t="s">
        <v>32</v>
      </c>
      <c r="D7605" t="s">
        <v>953</v>
      </c>
      <c r="E7605" t="s">
        <v>998</v>
      </c>
      <c r="F7605" t="s">
        <v>35</v>
      </c>
      <c r="G7605" t="s">
        <v>35</v>
      </c>
      <c r="H7605" t="s">
        <v>35</v>
      </c>
      <c r="J7605" t="s">
        <v>7242</v>
      </c>
      <c r="K7605" t="s">
        <v>1092</v>
      </c>
      <c r="M7605">
        <v>1.6</v>
      </c>
      <c r="N7605">
        <v>155</v>
      </c>
      <c r="O7605" t="s">
        <v>38</v>
      </c>
      <c r="Q7605" t="s">
        <v>3942</v>
      </c>
      <c r="R7605" t="s">
        <v>6904</v>
      </c>
      <c r="S7605" t="s">
        <v>999</v>
      </c>
    </row>
    <row r="7606" spans="1:19" x14ac:dyDescent="0.25">
      <c r="A7606" t="s">
        <v>59</v>
      </c>
      <c r="B7606" t="s">
        <v>60</v>
      </c>
      <c r="C7606" t="s">
        <v>32</v>
      </c>
      <c r="D7606" t="s">
        <v>953</v>
      </c>
      <c r="E7606" t="s">
        <v>998</v>
      </c>
      <c r="F7606" t="s">
        <v>35</v>
      </c>
      <c r="G7606" t="s">
        <v>35</v>
      </c>
      <c r="H7606" t="s">
        <v>35</v>
      </c>
      <c r="J7606" t="s">
        <v>7242</v>
      </c>
      <c r="K7606" t="s">
        <v>1092</v>
      </c>
      <c r="M7606">
        <v>8.85</v>
      </c>
      <c r="N7606">
        <v>121</v>
      </c>
      <c r="O7606" t="s">
        <v>38</v>
      </c>
      <c r="Q7606" t="s">
        <v>2895</v>
      </c>
      <c r="R7606" t="s">
        <v>6904</v>
      </c>
      <c r="S7606" t="s">
        <v>999</v>
      </c>
    </row>
    <row r="7607" spans="1:19" x14ac:dyDescent="0.25">
      <c r="A7607" t="s">
        <v>59</v>
      </c>
      <c r="B7607" t="s">
        <v>60</v>
      </c>
      <c r="C7607" t="s">
        <v>32</v>
      </c>
      <c r="D7607" t="s">
        <v>953</v>
      </c>
      <c r="E7607" t="s">
        <v>998</v>
      </c>
      <c r="F7607" t="s">
        <v>35</v>
      </c>
      <c r="G7607" t="s">
        <v>35</v>
      </c>
      <c r="H7607" t="s">
        <v>35</v>
      </c>
      <c r="J7607" t="s">
        <v>7243</v>
      </c>
      <c r="K7607" t="s">
        <v>1092</v>
      </c>
      <c r="M7607">
        <v>7.6</v>
      </c>
      <c r="N7607">
        <v>121</v>
      </c>
      <c r="O7607" t="s">
        <v>38</v>
      </c>
      <c r="Q7607" t="s">
        <v>2895</v>
      </c>
      <c r="R7607" t="s">
        <v>158</v>
      </c>
      <c r="S7607" t="s">
        <v>159</v>
      </c>
    </row>
    <row r="7608" spans="1:19" x14ac:dyDescent="0.25">
      <c r="A7608" t="s">
        <v>59</v>
      </c>
      <c r="B7608" t="s">
        <v>60</v>
      </c>
      <c r="C7608" t="s">
        <v>32</v>
      </c>
      <c r="D7608" t="s">
        <v>953</v>
      </c>
      <c r="E7608" t="s">
        <v>998</v>
      </c>
      <c r="F7608" t="s">
        <v>35</v>
      </c>
      <c r="G7608" t="s">
        <v>35</v>
      </c>
      <c r="H7608" t="s">
        <v>35</v>
      </c>
      <c r="J7608" t="s">
        <v>7244</v>
      </c>
      <c r="K7608" t="s">
        <v>1092</v>
      </c>
      <c r="M7608">
        <v>0.3</v>
      </c>
      <c r="N7608">
        <v>218</v>
      </c>
      <c r="O7608" t="s">
        <v>5</v>
      </c>
      <c r="Q7608" t="s">
        <v>1504</v>
      </c>
      <c r="R7608" t="s">
        <v>6891</v>
      </c>
      <c r="S7608" t="s">
        <v>1085</v>
      </c>
    </row>
    <row r="7609" spans="1:19" x14ac:dyDescent="0.25">
      <c r="A7609" t="s">
        <v>59</v>
      </c>
      <c r="B7609" t="s">
        <v>60</v>
      </c>
      <c r="C7609" t="s">
        <v>32</v>
      </c>
      <c r="D7609" t="s">
        <v>953</v>
      </c>
      <c r="E7609" t="s">
        <v>998</v>
      </c>
      <c r="F7609" t="s">
        <v>35</v>
      </c>
      <c r="G7609" t="s">
        <v>35</v>
      </c>
      <c r="H7609" t="s">
        <v>35</v>
      </c>
      <c r="J7609" t="s">
        <v>7245</v>
      </c>
      <c r="K7609" t="s">
        <v>1092</v>
      </c>
      <c r="M7609">
        <v>0.2</v>
      </c>
      <c r="N7609">
        <v>1642</v>
      </c>
      <c r="O7609" t="s">
        <v>575</v>
      </c>
      <c r="Q7609" t="s">
        <v>7246</v>
      </c>
      <c r="R7609" t="s">
        <v>6891</v>
      </c>
      <c r="S7609" t="s">
        <v>1085</v>
      </c>
    </row>
    <row r="7610" spans="1:19" x14ac:dyDescent="0.25">
      <c r="A7610" t="s">
        <v>59</v>
      </c>
      <c r="B7610" t="s">
        <v>60</v>
      </c>
      <c r="C7610" t="s">
        <v>32</v>
      </c>
      <c r="D7610" t="s">
        <v>953</v>
      </c>
      <c r="E7610" t="s">
        <v>998</v>
      </c>
      <c r="F7610" t="s">
        <v>35</v>
      </c>
      <c r="G7610" t="s">
        <v>35</v>
      </c>
      <c r="H7610" t="s">
        <v>35</v>
      </c>
      <c r="J7610" t="s">
        <v>7247</v>
      </c>
      <c r="K7610" t="s">
        <v>1092</v>
      </c>
      <c r="M7610">
        <v>2</v>
      </c>
      <c r="N7610">
        <v>63</v>
      </c>
      <c r="O7610" t="s">
        <v>61</v>
      </c>
      <c r="Q7610" t="s">
        <v>423</v>
      </c>
      <c r="R7610" t="s">
        <v>6891</v>
      </c>
      <c r="S7610" t="s">
        <v>1085</v>
      </c>
    </row>
    <row r="7611" spans="1:19" x14ac:dyDescent="0.25">
      <c r="A7611" t="s">
        <v>59</v>
      </c>
      <c r="B7611" t="s">
        <v>60</v>
      </c>
      <c r="C7611" t="s">
        <v>32</v>
      </c>
      <c r="D7611" t="s">
        <v>953</v>
      </c>
      <c r="E7611" t="s">
        <v>998</v>
      </c>
      <c r="F7611" t="s">
        <v>35</v>
      </c>
      <c r="G7611" t="s">
        <v>35</v>
      </c>
      <c r="H7611" t="s">
        <v>35</v>
      </c>
      <c r="J7611" t="s">
        <v>7247</v>
      </c>
      <c r="K7611" t="s">
        <v>1092</v>
      </c>
      <c r="M7611">
        <v>1.5</v>
      </c>
      <c r="N7611">
        <v>39</v>
      </c>
      <c r="O7611" t="s">
        <v>52</v>
      </c>
      <c r="Q7611" t="s">
        <v>816</v>
      </c>
      <c r="R7611" t="s">
        <v>6891</v>
      </c>
      <c r="S7611" t="s">
        <v>1085</v>
      </c>
    </row>
    <row r="7612" spans="1:19" x14ac:dyDescent="0.25">
      <c r="A7612" t="s">
        <v>59</v>
      </c>
      <c r="B7612" t="s">
        <v>60</v>
      </c>
      <c r="C7612" t="s">
        <v>32</v>
      </c>
      <c r="D7612" t="s">
        <v>953</v>
      </c>
      <c r="E7612" t="s">
        <v>998</v>
      </c>
      <c r="F7612" t="s">
        <v>35</v>
      </c>
      <c r="G7612" t="s">
        <v>35</v>
      </c>
      <c r="H7612" t="s">
        <v>35</v>
      </c>
      <c r="J7612" t="s">
        <v>7247</v>
      </c>
      <c r="K7612" t="s">
        <v>1092</v>
      </c>
      <c r="M7612">
        <v>4</v>
      </c>
      <c r="N7612">
        <v>86</v>
      </c>
      <c r="O7612" t="s">
        <v>61</v>
      </c>
      <c r="Q7612" t="s">
        <v>1076</v>
      </c>
      <c r="R7612" t="s">
        <v>158</v>
      </c>
      <c r="S7612" t="s">
        <v>159</v>
      </c>
    </row>
    <row r="7613" spans="1:19" x14ac:dyDescent="0.25">
      <c r="A7613" t="s">
        <v>59</v>
      </c>
      <c r="B7613" t="s">
        <v>31</v>
      </c>
      <c r="C7613" t="s">
        <v>32</v>
      </c>
      <c r="D7613" t="s">
        <v>953</v>
      </c>
      <c r="E7613" t="s">
        <v>998</v>
      </c>
      <c r="F7613" t="s">
        <v>35</v>
      </c>
      <c r="G7613" t="s">
        <v>35</v>
      </c>
      <c r="H7613" t="s">
        <v>35</v>
      </c>
      <c r="J7613" t="s">
        <v>7248</v>
      </c>
      <c r="K7613" t="s">
        <v>1092</v>
      </c>
      <c r="M7613">
        <v>9.99</v>
      </c>
      <c r="N7613">
        <v>77</v>
      </c>
      <c r="O7613" t="s">
        <v>61</v>
      </c>
      <c r="Q7613" t="s">
        <v>305</v>
      </c>
      <c r="R7613" t="s">
        <v>6877</v>
      </c>
      <c r="S7613" t="s">
        <v>1041</v>
      </c>
    </row>
    <row r="7614" spans="1:19" x14ac:dyDescent="0.25">
      <c r="A7614" t="s">
        <v>59</v>
      </c>
      <c r="B7614" t="s">
        <v>31</v>
      </c>
      <c r="C7614" t="s">
        <v>32</v>
      </c>
      <c r="D7614" t="s">
        <v>953</v>
      </c>
      <c r="E7614" t="s">
        <v>998</v>
      </c>
      <c r="F7614" t="s">
        <v>35</v>
      </c>
      <c r="G7614" t="s">
        <v>35</v>
      </c>
      <c r="H7614" t="s">
        <v>35</v>
      </c>
      <c r="J7614" t="s">
        <v>7249</v>
      </c>
      <c r="K7614" t="s">
        <v>1092</v>
      </c>
      <c r="M7614">
        <v>0.315</v>
      </c>
      <c r="N7614">
        <v>173</v>
      </c>
      <c r="O7614" t="s">
        <v>38</v>
      </c>
      <c r="Q7614" t="s">
        <v>1345</v>
      </c>
      <c r="R7614" t="s">
        <v>6891</v>
      </c>
      <c r="S7614" t="s">
        <v>1085</v>
      </c>
    </row>
    <row r="7615" spans="1:19" x14ac:dyDescent="0.25">
      <c r="A7615" t="s">
        <v>59</v>
      </c>
      <c r="B7615" t="s">
        <v>60</v>
      </c>
      <c r="C7615" t="s">
        <v>32</v>
      </c>
      <c r="D7615" t="s">
        <v>953</v>
      </c>
      <c r="E7615" t="s">
        <v>998</v>
      </c>
      <c r="F7615" t="s">
        <v>35</v>
      </c>
      <c r="G7615" t="s">
        <v>35</v>
      </c>
      <c r="H7615" t="s">
        <v>35</v>
      </c>
      <c r="J7615" t="s">
        <v>7249</v>
      </c>
      <c r="K7615" t="s">
        <v>1092</v>
      </c>
      <c r="M7615">
        <v>0.5</v>
      </c>
      <c r="N7615">
        <v>134</v>
      </c>
      <c r="O7615" t="s">
        <v>38</v>
      </c>
      <c r="Q7615" t="s">
        <v>3640</v>
      </c>
      <c r="R7615" t="s">
        <v>6891</v>
      </c>
      <c r="S7615" t="s">
        <v>1085</v>
      </c>
    </row>
    <row r="7616" spans="1:19" x14ac:dyDescent="0.25">
      <c r="A7616" t="s">
        <v>59</v>
      </c>
      <c r="B7616" t="s">
        <v>60</v>
      </c>
      <c r="C7616" t="s">
        <v>32</v>
      </c>
      <c r="D7616" t="s">
        <v>953</v>
      </c>
      <c r="E7616" t="s">
        <v>998</v>
      </c>
      <c r="F7616" t="s">
        <v>35</v>
      </c>
      <c r="G7616" t="s">
        <v>35</v>
      </c>
      <c r="H7616" t="s">
        <v>35</v>
      </c>
      <c r="J7616" t="s">
        <v>7249</v>
      </c>
      <c r="K7616" t="s">
        <v>1092</v>
      </c>
      <c r="M7616">
        <v>0.2</v>
      </c>
      <c r="N7616">
        <v>328</v>
      </c>
      <c r="O7616" t="s">
        <v>5</v>
      </c>
      <c r="Q7616" t="s">
        <v>2520</v>
      </c>
      <c r="R7616" t="s">
        <v>6891</v>
      </c>
      <c r="S7616" t="s">
        <v>1085</v>
      </c>
    </row>
    <row r="7617" spans="1:19" x14ac:dyDescent="0.25">
      <c r="A7617" t="s">
        <v>30</v>
      </c>
      <c r="B7617" t="s">
        <v>31</v>
      </c>
      <c r="C7617" t="s">
        <v>32</v>
      </c>
      <c r="D7617" t="s">
        <v>953</v>
      </c>
      <c r="E7617" t="s">
        <v>998</v>
      </c>
      <c r="F7617" t="s">
        <v>35</v>
      </c>
      <c r="G7617" t="s">
        <v>35</v>
      </c>
      <c r="H7617" t="s">
        <v>35</v>
      </c>
      <c r="J7617" t="s">
        <v>7250</v>
      </c>
      <c r="K7617" t="s">
        <v>1092</v>
      </c>
      <c r="M7617">
        <v>1.8</v>
      </c>
      <c r="N7617">
        <v>457</v>
      </c>
      <c r="O7617" t="s">
        <v>294</v>
      </c>
      <c r="Q7617" t="s">
        <v>2104</v>
      </c>
      <c r="R7617" t="s">
        <v>6891</v>
      </c>
      <c r="S7617" t="s">
        <v>1085</v>
      </c>
    </row>
    <row r="7618" spans="1:19" x14ac:dyDescent="0.25">
      <c r="A7618" t="s">
        <v>59</v>
      </c>
      <c r="B7618" t="s">
        <v>60</v>
      </c>
      <c r="C7618" t="s">
        <v>32</v>
      </c>
      <c r="D7618" t="s">
        <v>953</v>
      </c>
      <c r="E7618" t="s">
        <v>998</v>
      </c>
      <c r="F7618" t="s">
        <v>35</v>
      </c>
      <c r="G7618" t="s">
        <v>35</v>
      </c>
      <c r="H7618" t="s">
        <v>35</v>
      </c>
      <c r="J7618" t="s">
        <v>7251</v>
      </c>
      <c r="K7618" t="s">
        <v>1092</v>
      </c>
      <c r="M7618">
        <v>1</v>
      </c>
      <c r="N7618">
        <v>241</v>
      </c>
      <c r="O7618" t="s">
        <v>5</v>
      </c>
      <c r="Q7618" t="s">
        <v>3415</v>
      </c>
      <c r="R7618" t="s">
        <v>6891</v>
      </c>
      <c r="S7618" t="s">
        <v>1085</v>
      </c>
    </row>
    <row r="7619" spans="1:19" x14ac:dyDescent="0.25">
      <c r="A7619" t="s">
        <v>59</v>
      </c>
      <c r="B7619" t="s">
        <v>60</v>
      </c>
      <c r="C7619" t="s">
        <v>32</v>
      </c>
      <c r="D7619" t="s">
        <v>953</v>
      </c>
      <c r="E7619" t="s">
        <v>998</v>
      </c>
      <c r="F7619" t="s">
        <v>35</v>
      </c>
      <c r="G7619" t="s">
        <v>35</v>
      </c>
      <c r="H7619" t="s">
        <v>35</v>
      </c>
      <c r="J7619" t="s">
        <v>7251</v>
      </c>
      <c r="K7619" t="s">
        <v>1092</v>
      </c>
      <c r="M7619">
        <v>1</v>
      </c>
      <c r="N7619">
        <v>89</v>
      </c>
      <c r="O7619" t="s">
        <v>61</v>
      </c>
      <c r="Q7619" t="s">
        <v>299</v>
      </c>
      <c r="R7619" t="s">
        <v>6891</v>
      </c>
      <c r="S7619" t="s">
        <v>1085</v>
      </c>
    </row>
    <row r="7620" spans="1:19" x14ac:dyDescent="0.25">
      <c r="A7620" t="s">
        <v>59</v>
      </c>
      <c r="B7620" t="s">
        <v>31</v>
      </c>
      <c r="C7620" t="s">
        <v>32</v>
      </c>
      <c r="D7620" t="s">
        <v>953</v>
      </c>
      <c r="E7620" t="s">
        <v>998</v>
      </c>
      <c r="F7620" t="s">
        <v>35</v>
      </c>
      <c r="G7620" t="s">
        <v>35</v>
      </c>
      <c r="H7620" t="s">
        <v>35</v>
      </c>
      <c r="J7620" t="s">
        <v>7251</v>
      </c>
      <c r="K7620" t="s">
        <v>1092</v>
      </c>
      <c r="M7620">
        <v>1.395</v>
      </c>
      <c r="N7620">
        <v>89</v>
      </c>
      <c r="O7620" t="s">
        <v>61</v>
      </c>
      <c r="Q7620" t="s">
        <v>299</v>
      </c>
      <c r="R7620" t="s">
        <v>6891</v>
      </c>
      <c r="S7620" t="s">
        <v>1085</v>
      </c>
    </row>
    <row r="7621" spans="1:19" x14ac:dyDescent="0.25">
      <c r="A7621" t="s">
        <v>59</v>
      </c>
      <c r="B7621" t="s">
        <v>60</v>
      </c>
      <c r="C7621" t="s">
        <v>32</v>
      </c>
      <c r="D7621" t="s">
        <v>953</v>
      </c>
      <c r="E7621" t="s">
        <v>998</v>
      </c>
      <c r="F7621" t="s">
        <v>35</v>
      </c>
      <c r="G7621" t="s">
        <v>35</v>
      </c>
      <c r="H7621" t="s">
        <v>35</v>
      </c>
      <c r="J7621" t="s">
        <v>7251</v>
      </c>
      <c r="K7621" t="s">
        <v>1092</v>
      </c>
      <c r="M7621">
        <v>0.1</v>
      </c>
      <c r="N7621">
        <v>305</v>
      </c>
      <c r="O7621" t="s">
        <v>5</v>
      </c>
      <c r="Q7621" t="s">
        <v>4947</v>
      </c>
      <c r="R7621" t="s">
        <v>6891</v>
      </c>
      <c r="S7621" t="s">
        <v>1085</v>
      </c>
    </row>
    <row r="7622" spans="1:19" x14ac:dyDescent="0.25">
      <c r="A7622" t="s">
        <v>59</v>
      </c>
      <c r="B7622" t="s">
        <v>60</v>
      </c>
      <c r="C7622" t="s">
        <v>32</v>
      </c>
      <c r="D7622" t="s">
        <v>953</v>
      </c>
      <c r="E7622" t="s">
        <v>998</v>
      </c>
      <c r="F7622" t="s">
        <v>35</v>
      </c>
      <c r="G7622" t="s">
        <v>35</v>
      </c>
      <c r="H7622" t="s">
        <v>35</v>
      </c>
      <c r="J7622" t="s">
        <v>7251</v>
      </c>
      <c r="K7622" t="s">
        <v>1092</v>
      </c>
      <c r="M7622">
        <v>0.5</v>
      </c>
      <c r="N7622">
        <v>260</v>
      </c>
      <c r="O7622" t="s">
        <v>5</v>
      </c>
      <c r="Q7622" t="s">
        <v>5106</v>
      </c>
      <c r="R7622" t="s">
        <v>6891</v>
      </c>
      <c r="S7622" t="s">
        <v>1085</v>
      </c>
    </row>
    <row r="7623" spans="1:19" x14ac:dyDescent="0.25">
      <c r="A7623" t="s">
        <v>59</v>
      </c>
      <c r="B7623" t="s">
        <v>60</v>
      </c>
      <c r="C7623" t="s">
        <v>32</v>
      </c>
      <c r="D7623" t="s">
        <v>953</v>
      </c>
      <c r="E7623" t="s">
        <v>998</v>
      </c>
      <c r="F7623" t="s">
        <v>35</v>
      </c>
      <c r="G7623" t="s">
        <v>35</v>
      </c>
      <c r="H7623" t="s">
        <v>35</v>
      </c>
      <c r="J7623" t="s">
        <v>7251</v>
      </c>
      <c r="K7623" t="s">
        <v>1092</v>
      </c>
      <c r="M7623">
        <v>1</v>
      </c>
      <c r="N7623">
        <v>182</v>
      </c>
      <c r="O7623" t="s">
        <v>5</v>
      </c>
      <c r="Q7623" t="s">
        <v>1764</v>
      </c>
      <c r="R7623" t="s">
        <v>6891</v>
      </c>
      <c r="S7623" t="s">
        <v>1085</v>
      </c>
    </row>
    <row r="7624" spans="1:19" x14ac:dyDescent="0.25">
      <c r="A7624" t="s">
        <v>59</v>
      </c>
      <c r="B7624" t="s">
        <v>60</v>
      </c>
      <c r="C7624" t="s">
        <v>32</v>
      </c>
      <c r="D7624" t="s">
        <v>953</v>
      </c>
      <c r="E7624" t="s">
        <v>998</v>
      </c>
      <c r="F7624" t="s">
        <v>35</v>
      </c>
      <c r="G7624" t="s">
        <v>35</v>
      </c>
      <c r="H7624" t="s">
        <v>35</v>
      </c>
      <c r="J7624" t="s">
        <v>4210</v>
      </c>
      <c r="K7624" t="s">
        <v>1092</v>
      </c>
      <c r="M7624">
        <v>2.5</v>
      </c>
      <c r="N7624">
        <v>224</v>
      </c>
      <c r="O7624" t="s">
        <v>5</v>
      </c>
      <c r="Q7624" t="s">
        <v>1150</v>
      </c>
      <c r="R7624" t="s">
        <v>6891</v>
      </c>
      <c r="S7624" t="s">
        <v>1085</v>
      </c>
    </row>
    <row r="7625" spans="1:19" x14ac:dyDescent="0.25">
      <c r="A7625" t="s">
        <v>59</v>
      </c>
      <c r="B7625" t="s">
        <v>60</v>
      </c>
      <c r="C7625" t="s">
        <v>32</v>
      </c>
      <c r="D7625" t="s">
        <v>953</v>
      </c>
      <c r="E7625" t="s">
        <v>998</v>
      </c>
      <c r="F7625" t="s">
        <v>35</v>
      </c>
      <c r="G7625" t="s">
        <v>35</v>
      </c>
      <c r="H7625" t="s">
        <v>35</v>
      </c>
      <c r="J7625" t="s">
        <v>4210</v>
      </c>
      <c r="K7625" t="s">
        <v>1092</v>
      </c>
      <c r="M7625">
        <v>0.5</v>
      </c>
      <c r="N7625">
        <v>172</v>
      </c>
      <c r="O7625" t="s">
        <v>38</v>
      </c>
      <c r="Q7625" t="s">
        <v>1124</v>
      </c>
      <c r="R7625" t="s">
        <v>6891</v>
      </c>
      <c r="S7625" t="s">
        <v>1085</v>
      </c>
    </row>
    <row r="7626" spans="1:19" x14ac:dyDescent="0.25">
      <c r="A7626" t="s">
        <v>59</v>
      </c>
      <c r="B7626" t="s">
        <v>60</v>
      </c>
      <c r="C7626" t="s">
        <v>32</v>
      </c>
      <c r="D7626" t="s">
        <v>953</v>
      </c>
      <c r="E7626" t="s">
        <v>998</v>
      </c>
      <c r="F7626" t="s">
        <v>35</v>
      </c>
      <c r="G7626" t="s">
        <v>35</v>
      </c>
      <c r="H7626" t="s">
        <v>35</v>
      </c>
      <c r="J7626" t="s">
        <v>7252</v>
      </c>
      <c r="K7626" t="s">
        <v>1092</v>
      </c>
      <c r="M7626">
        <v>1.5</v>
      </c>
      <c r="N7626">
        <v>54</v>
      </c>
      <c r="O7626" t="s">
        <v>52</v>
      </c>
      <c r="Q7626" t="s">
        <v>1207</v>
      </c>
      <c r="R7626" t="s">
        <v>6891</v>
      </c>
      <c r="S7626" t="s">
        <v>1085</v>
      </c>
    </row>
    <row r="7627" spans="1:19" x14ac:dyDescent="0.25">
      <c r="A7627" t="s">
        <v>59</v>
      </c>
      <c r="B7627" t="s">
        <v>31</v>
      </c>
      <c r="C7627" t="s">
        <v>32</v>
      </c>
      <c r="D7627" t="s">
        <v>953</v>
      </c>
      <c r="E7627" t="s">
        <v>998</v>
      </c>
      <c r="F7627" t="s">
        <v>35</v>
      </c>
      <c r="G7627" t="s">
        <v>35</v>
      </c>
      <c r="H7627" t="s">
        <v>35</v>
      </c>
      <c r="J7627" t="s">
        <v>7253</v>
      </c>
      <c r="K7627" t="s">
        <v>1092</v>
      </c>
      <c r="M7627">
        <v>0.45</v>
      </c>
      <c r="N7627">
        <v>899</v>
      </c>
      <c r="O7627" t="s">
        <v>575</v>
      </c>
      <c r="Q7627" t="s">
        <v>5800</v>
      </c>
      <c r="R7627" t="s">
        <v>6891</v>
      </c>
      <c r="S7627" t="s">
        <v>1085</v>
      </c>
    </row>
    <row r="7628" spans="1:19" x14ac:dyDescent="0.25">
      <c r="A7628" t="s">
        <v>59</v>
      </c>
      <c r="B7628" t="s">
        <v>60</v>
      </c>
      <c r="C7628" t="s">
        <v>32</v>
      </c>
      <c r="D7628" t="s">
        <v>953</v>
      </c>
      <c r="E7628" t="s">
        <v>998</v>
      </c>
      <c r="F7628" t="s">
        <v>35</v>
      </c>
      <c r="G7628" t="s">
        <v>35</v>
      </c>
      <c r="H7628" t="s">
        <v>35</v>
      </c>
      <c r="J7628" t="s">
        <v>7254</v>
      </c>
      <c r="K7628" t="s">
        <v>1092</v>
      </c>
      <c r="M7628">
        <v>0.1</v>
      </c>
      <c r="N7628">
        <v>1915</v>
      </c>
      <c r="O7628" t="s">
        <v>575</v>
      </c>
      <c r="Q7628" t="s">
        <v>2088</v>
      </c>
      <c r="R7628" t="s">
        <v>7255</v>
      </c>
      <c r="S7628" t="s">
        <v>7256</v>
      </c>
    </row>
    <row r="7629" spans="1:19" x14ac:dyDescent="0.25">
      <c r="A7629" t="s">
        <v>59</v>
      </c>
      <c r="B7629" t="s">
        <v>60</v>
      </c>
      <c r="C7629" t="s">
        <v>32</v>
      </c>
      <c r="D7629" t="s">
        <v>953</v>
      </c>
      <c r="E7629" t="s">
        <v>998</v>
      </c>
      <c r="F7629" t="s">
        <v>35</v>
      </c>
      <c r="G7629" t="s">
        <v>35</v>
      </c>
      <c r="H7629" t="s">
        <v>35</v>
      </c>
      <c r="J7629" t="s">
        <v>7258</v>
      </c>
      <c r="K7629" t="s">
        <v>1092</v>
      </c>
      <c r="M7629">
        <v>0.25</v>
      </c>
      <c r="N7629">
        <v>39</v>
      </c>
      <c r="O7629" t="s">
        <v>52</v>
      </c>
      <c r="Q7629" t="s">
        <v>816</v>
      </c>
      <c r="R7629" t="s">
        <v>6891</v>
      </c>
      <c r="S7629" t="s">
        <v>1085</v>
      </c>
    </row>
    <row r="7630" spans="1:19" x14ac:dyDescent="0.25">
      <c r="A7630" t="s">
        <v>59</v>
      </c>
      <c r="B7630" t="s">
        <v>60</v>
      </c>
      <c r="C7630" t="s">
        <v>32</v>
      </c>
      <c r="D7630" t="s">
        <v>953</v>
      </c>
      <c r="E7630" t="s">
        <v>998</v>
      </c>
      <c r="F7630" t="s">
        <v>35</v>
      </c>
      <c r="G7630" t="s">
        <v>35</v>
      </c>
      <c r="H7630" t="s">
        <v>35</v>
      </c>
      <c r="J7630" t="s">
        <v>7259</v>
      </c>
      <c r="K7630" t="s">
        <v>1092</v>
      </c>
      <c r="M7630">
        <v>0.4</v>
      </c>
      <c r="N7630">
        <v>1092</v>
      </c>
      <c r="O7630" t="s">
        <v>575</v>
      </c>
      <c r="Q7630" t="s">
        <v>7260</v>
      </c>
      <c r="R7630" t="s">
        <v>6891</v>
      </c>
      <c r="S7630" t="s">
        <v>1085</v>
      </c>
    </row>
    <row r="7631" spans="1:19" x14ac:dyDescent="0.25">
      <c r="A7631" t="s">
        <v>59</v>
      </c>
      <c r="B7631" t="s">
        <v>60</v>
      </c>
      <c r="C7631" t="s">
        <v>32</v>
      </c>
      <c r="D7631" t="s">
        <v>953</v>
      </c>
      <c r="E7631" t="s">
        <v>998</v>
      </c>
      <c r="F7631" t="s">
        <v>35</v>
      </c>
      <c r="G7631" t="s">
        <v>35</v>
      </c>
      <c r="H7631" t="s">
        <v>35</v>
      </c>
      <c r="J7631" t="s">
        <v>7261</v>
      </c>
      <c r="K7631" t="s">
        <v>1092</v>
      </c>
      <c r="M7631">
        <v>0.5</v>
      </c>
      <c r="N7631">
        <v>60</v>
      </c>
      <c r="O7631" t="s">
        <v>52</v>
      </c>
      <c r="Q7631" t="s">
        <v>1734</v>
      </c>
      <c r="R7631" t="s">
        <v>6904</v>
      </c>
      <c r="S7631" t="s">
        <v>999</v>
      </c>
    </row>
    <row r="7632" spans="1:19" x14ac:dyDescent="0.25">
      <c r="A7632" t="s">
        <v>30</v>
      </c>
      <c r="B7632" t="s">
        <v>31</v>
      </c>
      <c r="C7632" t="s">
        <v>32</v>
      </c>
      <c r="D7632" t="s">
        <v>953</v>
      </c>
      <c r="E7632" t="s">
        <v>998</v>
      </c>
      <c r="F7632" t="s">
        <v>35</v>
      </c>
      <c r="G7632" t="s">
        <v>35</v>
      </c>
      <c r="H7632" t="s">
        <v>35</v>
      </c>
      <c r="J7632" t="s">
        <v>7262</v>
      </c>
      <c r="K7632" t="s">
        <v>1092</v>
      </c>
      <c r="M7632">
        <v>0.09</v>
      </c>
      <c r="N7632">
        <v>1717</v>
      </c>
      <c r="O7632" t="s">
        <v>575</v>
      </c>
      <c r="Q7632" t="s">
        <v>7263</v>
      </c>
      <c r="R7632" t="s">
        <v>6904</v>
      </c>
      <c r="S7632" t="s">
        <v>999</v>
      </c>
    </row>
    <row r="7633" spans="1:19" x14ac:dyDescent="0.25">
      <c r="A7633" t="s">
        <v>59</v>
      </c>
      <c r="B7633" t="s">
        <v>60</v>
      </c>
      <c r="C7633" t="s">
        <v>32</v>
      </c>
      <c r="D7633" t="s">
        <v>953</v>
      </c>
      <c r="E7633" t="s">
        <v>998</v>
      </c>
      <c r="F7633" t="s">
        <v>35</v>
      </c>
      <c r="G7633" t="s">
        <v>35</v>
      </c>
      <c r="H7633" t="s">
        <v>35</v>
      </c>
      <c r="J7633" t="s">
        <v>7262</v>
      </c>
      <c r="K7633" t="s">
        <v>1092</v>
      </c>
      <c r="M7633">
        <v>0.75</v>
      </c>
      <c r="N7633">
        <v>311</v>
      </c>
      <c r="O7633" t="s">
        <v>5</v>
      </c>
      <c r="Q7633" t="s">
        <v>4940</v>
      </c>
      <c r="R7633" t="s">
        <v>6904</v>
      </c>
      <c r="S7633" t="s">
        <v>999</v>
      </c>
    </row>
    <row r="7634" spans="1:19" x14ac:dyDescent="0.25">
      <c r="A7634" t="s">
        <v>59</v>
      </c>
      <c r="B7634" t="s">
        <v>60</v>
      </c>
      <c r="C7634" t="s">
        <v>32</v>
      </c>
      <c r="D7634" t="s">
        <v>953</v>
      </c>
      <c r="E7634" t="s">
        <v>998</v>
      </c>
      <c r="F7634" t="s">
        <v>35</v>
      </c>
      <c r="G7634" t="s">
        <v>35</v>
      </c>
      <c r="H7634" t="s">
        <v>35</v>
      </c>
      <c r="J7634" t="s">
        <v>7262</v>
      </c>
      <c r="K7634" t="s">
        <v>1092</v>
      </c>
      <c r="M7634">
        <v>0.25</v>
      </c>
      <c r="N7634">
        <v>764</v>
      </c>
      <c r="O7634" t="s">
        <v>575</v>
      </c>
      <c r="Q7634" t="s">
        <v>7264</v>
      </c>
      <c r="R7634" t="s">
        <v>6904</v>
      </c>
      <c r="S7634" t="s">
        <v>999</v>
      </c>
    </row>
    <row r="7635" spans="1:19" x14ac:dyDescent="0.25">
      <c r="A7635" t="s">
        <v>59</v>
      </c>
      <c r="B7635" t="s">
        <v>60</v>
      </c>
      <c r="C7635" t="s">
        <v>32</v>
      </c>
      <c r="D7635" t="s">
        <v>953</v>
      </c>
      <c r="E7635" t="s">
        <v>998</v>
      </c>
      <c r="F7635" t="s">
        <v>35</v>
      </c>
      <c r="G7635" t="s">
        <v>35</v>
      </c>
      <c r="H7635" t="s">
        <v>35</v>
      </c>
      <c r="J7635" t="s">
        <v>7262</v>
      </c>
      <c r="K7635" t="s">
        <v>1092</v>
      </c>
      <c r="M7635">
        <v>0.5</v>
      </c>
      <c r="N7635">
        <v>357</v>
      </c>
      <c r="O7635" t="s">
        <v>5</v>
      </c>
      <c r="Q7635" t="s">
        <v>6620</v>
      </c>
      <c r="R7635" t="s">
        <v>6904</v>
      </c>
      <c r="S7635" t="s">
        <v>999</v>
      </c>
    </row>
    <row r="7636" spans="1:19" x14ac:dyDescent="0.25">
      <c r="A7636" t="s">
        <v>44</v>
      </c>
      <c r="B7636" t="s">
        <v>51</v>
      </c>
      <c r="C7636" t="s">
        <v>32</v>
      </c>
      <c r="D7636" t="s">
        <v>953</v>
      </c>
      <c r="E7636" t="s">
        <v>998</v>
      </c>
      <c r="F7636" t="s">
        <v>35</v>
      </c>
      <c r="G7636" t="s">
        <v>35</v>
      </c>
      <c r="H7636" t="s">
        <v>35</v>
      </c>
      <c r="J7636" t="s">
        <v>7265</v>
      </c>
      <c r="K7636" t="s">
        <v>1092</v>
      </c>
      <c r="M7636">
        <v>0.5</v>
      </c>
      <c r="N7636">
        <v>244</v>
      </c>
      <c r="O7636" t="s">
        <v>5</v>
      </c>
      <c r="Q7636" t="s">
        <v>1242</v>
      </c>
      <c r="R7636" t="s">
        <v>6891</v>
      </c>
      <c r="S7636" t="s">
        <v>1085</v>
      </c>
    </row>
    <row r="7637" spans="1:19" x14ac:dyDescent="0.25">
      <c r="A7637" t="s">
        <v>59</v>
      </c>
      <c r="B7637" t="s">
        <v>60</v>
      </c>
      <c r="C7637" t="s">
        <v>32</v>
      </c>
      <c r="D7637" t="s">
        <v>953</v>
      </c>
      <c r="E7637" t="s">
        <v>998</v>
      </c>
      <c r="F7637" t="s">
        <v>35</v>
      </c>
      <c r="G7637" t="s">
        <v>35</v>
      </c>
      <c r="H7637" t="s">
        <v>35</v>
      </c>
      <c r="J7637" t="s">
        <v>7265</v>
      </c>
      <c r="K7637" t="s">
        <v>1092</v>
      </c>
      <c r="M7637">
        <v>0.5</v>
      </c>
      <c r="N7637">
        <v>251</v>
      </c>
      <c r="O7637" t="s">
        <v>5</v>
      </c>
      <c r="Q7637" t="s">
        <v>1688</v>
      </c>
      <c r="R7637" t="s">
        <v>6891</v>
      </c>
      <c r="S7637" t="s">
        <v>1085</v>
      </c>
    </row>
    <row r="7638" spans="1:19" x14ac:dyDescent="0.25">
      <c r="A7638" t="s">
        <v>59</v>
      </c>
      <c r="B7638" t="s">
        <v>60</v>
      </c>
      <c r="C7638" t="s">
        <v>32</v>
      </c>
      <c r="D7638" t="s">
        <v>953</v>
      </c>
      <c r="E7638" t="s">
        <v>998</v>
      </c>
      <c r="F7638" t="s">
        <v>35</v>
      </c>
      <c r="G7638" t="s">
        <v>35</v>
      </c>
      <c r="H7638" t="s">
        <v>35</v>
      </c>
      <c r="J7638" t="s">
        <v>7266</v>
      </c>
      <c r="K7638" t="s">
        <v>1092</v>
      </c>
      <c r="M7638">
        <v>0.1</v>
      </c>
      <c r="N7638">
        <v>356</v>
      </c>
      <c r="O7638" t="s">
        <v>5</v>
      </c>
      <c r="Q7638" t="s">
        <v>4728</v>
      </c>
      <c r="R7638" t="s">
        <v>6904</v>
      </c>
      <c r="S7638" t="s">
        <v>999</v>
      </c>
    </row>
    <row r="7639" spans="1:19" x14ac:dyDescent="0.25">
      <c r="A7639" t="s">
        <v>59</v>
      </c>
      <c r="B7639" t="s">
        <v>60</v>
      </c>
      <c r="C7639" t="s">
        <v>32</v>
      </c>
      <c r="D7639" t="s">
        <v>953</v>
      </c>
      <c r="E7639" t="s">
        <v>998</v>
      </c>
      <c r="F7639" t="s">
        <v>35</v>
      </c>
      <c r="G7639" t="s">
        <v>35</v>
      </c>
      <c r="H7639" t="s">
        <v>35</v>
      </c>
      <c r="J7639" t="s">
        <v>7267</v>
      </c>
      <c r="K7639" t="s">
        <v>1092</v>
      </c>
      <c r="M7639">
        <v>0.15</v>
      </c>
      <c r="N7639">
        <v>42</v>
      </c>
      <c r="O7639" t="s">
        <v>52</v>
      </c>
      <c r="Q7639" t="s">
        <v>991</v>
      </c>
      <c r="R7639" t="s">
        <v>6904</v>
      </c>
      <c r="S7639" t="s">
        <v>999</v>
      </c>
    </row>
    <row r="7640" spans="1:19" x14ac:dyDescent="0.25">
      <c r="A7640" t="s">
        <v>59</v>
      </c>
      <c r="B7640" t="s">
        <v>60</v>
      </c>
      <c r="C7640" t="s">
        <v>32</v>
      </c>
      <c r="D7640" t="s">
        <v>953</v>
      </c>
      <c r="E7640" t="s">
        <v>998</v>
      </c>
      <c r="F7640" t="s">
        <v>35</v>
      </c>
      <c r="G7640" t="s">
        <v>35</v>
      </c>
      <c r="H7640" t="s">
        <v>35</v>
      </c>
      <c r="J7640" t="s">
        <v>7267</v>
      </c>
      <c r="K7640" t="s">
        <v>1092</v>
      </c>
      <c r="M7640">
        <v>0.5</v>
      </c>
      <c r="N7640">
        <v>33</v>
      </c>
      <c r="O7640" t="s">
        <v>52</v>
      </c>
      <c r="Q7640" t="s">
        <v>137</v>
      </c>
      <c r="R7640" t="s">
        <v>6904</v>
      </c>
      <c r="S7640" t="s">
        <v>999</v>
      </c>
    </row>
    <row r="7641" spans="1:19" x14ac:dyDescent="0.25">
      <c r="A7641" t="s">
        <v>59</v>
      </c>
      <c r="B7641" t="s">
        <v>60</v>
      </c>
      <c r="C7641" t="s">
        <v>32</v>
      </c>
      <c r="D7641" t="s">
        <v>953</v>
      </c>
      <c r="E7641" t="s">
        <v>998</v>
      </c>
      <c r="F7641" t="s">
        <v>35</v>
      </c>
      <c r="G7641" t="s">
        <v>35</v>
      </c>
      <c r="H7641" t="s">
        <v>35</v>
      </c>
      <c r="J7641" t="s">
        <v>7268</v>
      </c>
      <c r="K7641" t="s">
        <v>1092</v>
      </c>
      <c r="M7641">
        <v>0.15</v>
      </c>
      <c r="N7641">
        <v>42</v>
      </c>
      <c r="O7641" t="s">
        <v>52</v>
      </c>
      <c r="Q7641" t="s">
        <v>991</v>
      </c>
      <c r="R7641" t="s">
        <v>6904</v>
      </c>
      <c r="S7641" t="s">
        <v>999</v>
      </c>
    </row>
    <row r="7642" spans="1:19" x14ac:dyDescent="0.25">
      <c r="A7642" t="s">
        <v>59</v>
      </c>
      <c r="B7642" t="s">
        <v>60</v>
      </c>
      <c r="C7642" t="s">
        <v>32</v>
      </c>
      <c r="D7642" t="s">
        <v>953</v>
      </c>
      <c r="E7642" t="s">
        <v>998</v>
      </c>
      <c r="F7642" t="s">
        <v>35</v>
      </c>
      <c r="G7642" t="s">
        <v>35</v>
      </c>
      <c r="H7642" t="s">
        <v>35</v>
      </c>
      <c r="J7642" t="s">
        <v>7268</v>
      </c>
      <c r="K7642" t="s">
        <v>1092</v>
      </c>
      <c r="M7642">
        <v>0.25</v>
      </c>
      <c r="N7642">
        <v>64</v>
      </c>
      <c r="O7642" t="s">
        <v>61</v>
      </c>
      <c r="Q7642" t="s">
        <v>381</v>
      </c>
      <c r="R7642" t="s">
        <v>6904</v>
      </c>
      <c r="S7642" t="s">
        <v>999</v>
      </c>
    </row>
    <row r="7643" spans="1:19" x14ac:dyDescent="0.25">
      <c r="A7643" t="s">
        <v>59</v>
      </c>
      <c r="B7643" t="s">
        <v>60</v>
      </c>
      <c r="C7643" t="s">
        <v>32</v>
      </c>
      <c r="D7643" t="s">
        <v>953</v>
      </c>
      <c r="E7643" t="s">
        <v>998</v>
      </c>
      <c r="F7643" t="s">
        <v>35</v>
      </c>
      <c r="G7643" t="s">
        <v>35</v>
      </c>
      <c r="H7643" t="s">
        <v>35</v>
      </c>
      <c r="J7643" t="s">
        <v>7268</v>
      </c>
      <c r="K7643" t="s">
        <v>1092</v>
      </c>
      <c r="M7643">
        <v>0.25</v>
      </c>
      <c r="N7643">
        <v>44</v>
      </c>
      <c r="O7643" t="s">
        <v>52</v>
      </c>
      <c r="Q7643" t="s">
        <v>192</v>
      </c>
      <c r="R7643" t="s">
        <v>6904</v>
      </c>
      <c r="S7643" t="s">
        <v>999</v>
      </c>
    </row>
    <row r="7644" spans="1:19" x14ac:dyDescent="0.25">
      <c r="A7644" t="s">
        <v>59</v>
      </c>
      <c r="B7644" t="s">
        <v>31</v>
      </c>
      <c r="C7644" t="s">
        <v>32</v>
      </c>
      <c r="D7644" t="s">
        <v>953</v>
      </c>
      <c r="E7644" t="s">
        <v>998</v>
      </c>
      <c r="F7644" t="s">
        <v>35</v>
      </c>
      <c r="G7644" t="s">
        <v>35</v>
      </c>
      <c r="H7644" t="s">
        <v>35</v>
      </c>
      <c r="J7644" t="s">
        <v>7269</v>
      </c>
      <c r="K7644" t="s">
        <v>1092</v>
      </c>
      <c r="M7644">
        <v>0.13500000000000001</v>
      </c>
      <c r="N7644">
        <v>176</v>
      </c>
      <c r="O7644" t="s">
        <v>38</v>
      </c>
      <c r="Q7644" t="s">
        <v>4838</v>
      </c>
      <c r="R7644" t="s">
        <v>6891</v>
      </c>
      <c r="S7644" t="s">
        <v>1085</v>
      </c>
    </row>
    <row r="7645" spans="1:19" x14ac:dyDescent="0.25">
      <c r="A7645" t="s">
        <v>59</v>
      </c>
      <c r="B7645" t="s">
        <v>60</v>
      </c>
      <c r="C7645" t="s">
        <v>32</v>
      </c>
      <c r="D7645" t="s">
        <v>953</v>
      </c>
      <c r="E7645" t="s">
        <v>998</v>
      </c>
      <c r="F7645" t="s">
        <v>35</v>
      </c>
      <c r="G7645" t="s">
        <v>35</v>
      </c>
      <c r="H7645" t="s">
        <v>35</v>
      </c>
      <c r="J7645" t="s">
        <v>7270</v>
      </c>
      <c r="K7645" t="s">
        <v>1092</v>
      </c>
      <c r="M7645">
        <v>0.05</v>
      </c>
      <c r="N7645">
        <v>44</v>
      </c>
      <c r="O7645" t="s">
        <v>52</v>
      </c>
      <c r="Q7645" t="s">
        <v>192</v>
      </c>
      <c r="R7645" t="s">
        <v>6904</v>
      </c>
      <c r="S7645" t="s">
        <v>999</v>
      </c>
    </row>
    <row r="7646" spans="1:19" x14ac:dyDescent="0.25">
      <c r="A7646" t="s">
        <v>59</v>
      </c>
      <c r="B7646" t="s">
        <v>60</v>
      </c>
      <c r="C7646" t="s">
        <v>32</v>
      </c>
      <c r="D7646" t="s">
        <v>953</v>
      </c>
      <c r="E7646" t="s">
        <v>998</v>
      </c>
      <c r="F7646" t="s">
        <v>35</v>
      </c>
      <c r="G7646" t="s">
        <v>35</v>
      </c>
      <c r="H7646" t="s">
        <v>35</v>
      </c>
      <c r="J7646" t="s">
        <v>7271</v>
      </c>
      <c r="K7646" t="s">
        <v>1092</v>
      </c>
      <c r="M7646">
        <v>0.4</v>
      </c>
      <c r="N7646">
        <v>357</v>
      </c>
      <c r="O7646" t="s">
        <v>5</v>
      </c>
      <c r="Q7646" t="s">
        <v>6620</v>
      </c>
      <c r="R7646" t="s">
        <v>6904</v>
      </c>
      <c r="S7646" t="s">
        <v>999</v>
      </c>
    </row>
    <row r="7647" spans="1:19" x14ac:dyDescent="0.25">
      <c r="A7647" t="s">
        <v>59</v>
      </c>
      <c r="B7647" t="s">
        <v>60</v>
      </c>
      <c r="C7647" t="s">
        <v>32</v>
      </c>
      <c r="D7647" t="s">
        <v>953</v>
      </c>
      <c r="E7647" t="s">
        <v>998</v>
      </c>
      <c r="F7647" t="s">
        <v>35</v>
      </c>
      <c r="G7647" t="s">
        <v>35</v>
      </c>
      <c r="H7647" t="s">
        <v>35</v>
      </c>
      <c r="J7647" t="s">
        <v>7271</v>
      </c>
      <c r="K7647" t="s">
        <v>1092</v>
      </c>
      <c r="M7647">
        <v>1</v>
      </c>
      <c r="N7647">
        <v>129</v>
      </c>
      <c r="O7647" t="s">
        <v>38</v>
      </c>
      <c r="Q7647" t="s">
        <v>1449</v>
      </c>
      <c r="R7647" t="s">
        <v>6904</v>
      </c>
      <c r="S7647" t="s">
        <v>999</v>
      </c>
    </row>
    <row r="7648" spans="1:19" x14ac:dyDescent="0.25">
      <c r="A7648" t="s">
        <v>59</v>
      </c>
      <c r="B7648" t="s">
        <v>60</v>
      </c>
      <c r="C7648" t="s">
        <v>32</v>
      </c>
      <c r="D7648" t="s">
        <v>953</v>
      </c>
      <c r="E7648" t="s">
        <v>998</v>
      </c>
      <c r="F7648" t="s">
        <v>35</v>
      </c>
      <c r="G7648" t="s">
        <v>35</v>
      </c>
      <c r="H7648" t="s">
        <v>35</v>
      </c>
      <c r="J7648" t="s">
        <v>7271</v>
      </c>
      <c r="K7648" t="s">
        <v>1092</v>
      </c>
      <c r="M7648">
        <v>0.5</v>
      </c>
      <c r="N7648">
        <v>151</v>
      </c>
      <c r="O7648" t="s">
        <v>38</v>
      </c>
      <c r="Q7648" t="s">
        <v>1269</v>
      </c>
      <c r="R7648" t="s">
        <v>6904</v>
      </c>
      <c r="S7648" t="s">
        <v>999</v>
      </c>
    </row>
    <row r="7649" spans="1:19" x14ac:dyDescent="0.25">
      <c r="A7649" t="s">
        <v>59</v>
      </c>
      <c r="B7649" t="s">
        <v>60</v>
      </c>
      <c r="C7649" t="s">
        <v>32</v>
      </c>
      <c r="D7649" t="s">
        <v>953</v>
      </c>
      <c r="E7649" t="s">
        <v>998</v>
      </c>
      <c r="F7649" t="s">
        <v>35</v>
      </c>
      <c r="G7649" t="s">
        <v>35</v>
      </c>
      <c r="H7649" t="s">
        <v>35</v>
      </c>
      <c r="J7649" t="s">
        <v>7271</v>
      </c>
      <c r="K7649" t="s">
        <v>1092</v>
      </c>
      <c r="M7649">
        <v>1</v>
      </c>
      <c r="N7649">
        <v>74</v>
      </c>
      <c r="O7649" t="s">
        <v>61</v>
      </c>
      <c r="Q7649" t="s">
        <v>488</v>
      </c>
      <c r="R7649" t="s">
        <v>6904</v>
      </c>
      <c r="S7649" t="s">
        <v>999</v>
      </c>
    </row>
    <row r="7650" spans="1:19" x14ac:dyDescent="0.25">
      <c r="A7650" t="s">
        <v>59</v>
      </c>
      <c r="B7650" t="s">
        <v>60</v>
      </c>
      <c r="C7650" t="s">
        <v>32</v>
      </c>
      <c r="D7650" t="s">
        <v>953</v>
      </c>
      <c r="E7650" t="s">
        <v>998</v>
      </c>
      <c r="F7650" t="s">
        <v>35</v>
      </c>
      <c r="G7650" t="s">
        <v>35</v>
      </c>
      <c r="H7650" t="s">
        <v>35</v>
      </c>
      <c r="J7650" t="s">
        <v>7272</v>
      </c>
      <c r="K7650" t="s">
        <v>1092</v>
      </c>
      <c r="M7650">
        <v>0.1</v>
      </c>
      <c r="N7650">
        <v>602</v>
      </c>
      <c r="O7650" t="s">
        <v>575</v>
      </c>
      <c r="Q7650" t="s">
        <v>7273</v>
      </c>
      <c r="R7650" t="s">
        <v>6891</v>
      </c>
      <c r="S7650" t="s">
        <v>1085</v>
      </c>
    </row>
    <row r="7651" spans="1:19" x14ac:dyDescent="0.25">
      <c r="A7651" t="s">
        <v>30</v>
      </c>
      <c r="B7651" t="s">
        <v>31</v>
      </c>
      <c r="C7651" t="s">
        <v>32</v>
      </c>
      <c r="D7651" t="s">
        <v>953</v>
      </c>
      <c r="E7651" t="s">
        <v>998</v>
      </c>
      <c r="F7651" t="s">
        <v>35</v>
      </c>
      <c r="G7651" t="s">
        <v>35</v>
      </c>
      <c r="H7651" t="s">
        <v>35</v>
      </c>
      <c r="J7651" t="s">
        <v>7274</v>
      </c>
      <c r="K7651" t="s">
        <v>1092</v>
      </c>
      <c r="M7651">
        <v>0.85499999999999998</v>
      </c>
      <c r="N7651">
        <v>39</v>
      </c>
      <c r="O7651" t="s">
        <v>52</v>
      </c>
      <c r="Q7651" t="s">
        <v>816</v>
      </c>
      <c r="R7651" t="s">
        <v>6891</v>
      </c>
      <c r="S7651" t="s">
        <v>1085</v>
      </c>
    </row>
    <row r="7652" spans="1:19" x14ac:dyDescent="0.25">
      <c r="A7652" t="s">
        <v>59</v>
      </c>
      <c r="B7652" t="s">
        <v>60</v>
      </c>
      <c r="C7652" t="s">
        <v>32</v>
      </c>
      <c r="D7652" t="s">
        <v>953</v>
      </c>
      <c r="E7652" t="s">
        <v>998</v>
      </c>
      <c r="F7652" t="s">
        <v>35</v>
      </c>
      <c r="G7652" t="s">
        <v>35</v>
      </c>
      <c r="H7652" t="s">
        <v>35</v>
      </c>
      <c r="J7652" t="s">
        <v>7274</v>
      </c>
      <c r="K7652" t="s">
        <v>1092</v>
      </c>
      <c r="M7652">
        <v>0.5</v>
      </c>
      <c r="N7652">
        <v>39</v>
      </c>
      <c r="O7652" t="s">
        <v>52</v>
      </c>
      <c r="Q7652" t="s">
        <v>816</v>
      </c>
      <c r="R7652" t="s">
        <v>6891</v>
      </c>
      <c r="S7652" t="s">
        <v>1085</v>
      </c>
    </row>
    <row r="7653" spans="1:19" x14ac:dyDescent="0.25">
      <c r="A7653" t="s">
        <v>59</v>
      </c>
      <c r="B7653" t="s">
        <v>31</v>
      </c>
      <c r="C7653" t="s">
        <v>32</v>
      </c>
      <c r="D7653" t="s">
        <v>953</v>
      </c>
      <c r="E7653" t="s">
        <v>998</v>
      </c>
      <c r="F7653" t="s">
        <v>35</v>
      </c>
      <c r="G7653" t="s">
        <v>35</v>
      </c>
      <c r="H7653" t="s">
        <v>35</v>
      </c>
      <c r="J7653" t="s">
        <v>7274</v>
      </c>
      <c r="K7653" t="s">
        <v>1092</v>
      </c>
      <c r="M7653">
        <v>0.67500000000000004</v>
      </c>
      <c r="N7653">
        <v>91</v>
      </c>
      <c r="O7653" t="s">
        <v>106</v>
      </c>
      <c r="Q7653" t="s">
        <v>1147</v>
      </c>
      <c r="R7653" t="s">
        <v>6891</v>
      </c>
      <c r="S7653" t="s">
        <v>1085</v>
      </c>
    </row>
    <row r="7654" spans="1:19" x14ac:dyDescent="0.25">
      <c r="A7654" t="s">
        <v>59</v>
      </c>
      <c r="B7654" t="s">
        <v>31</v>
      </c>
      <c r="C7654" t="s">
        <v>32</v>
      </c>
      <c r="D7654" t="s">
        <v>953</v>
      </c>
      <c r="E7654" t="s">
        <v>998</v>
      </c>
      <c r="F7654" t="s">
        <v>35</v>
      </c>
      <c r="G7654" t="s">
        <v>35</v>
      </c>
      <c r="H7654" t="s">
        <v>35</v>
      </c>
      <c r="J7654" t="s">
        <v>7275</v>
      </c>
      <c r="K7654" t="s">
        <v>1092</v>
      </c>
      <c r="M7654">
        <v>0.22500000000000001</v>
      </c>
      <c r="N7654">
        <v>1200</v>
      </c>
      <c r="O7654" t="s">
        <v>575</v>
      </c>
      <c r="Q7654" t="s">
        <v>3747</v>
      </c>
      <c r="R7654" t="s">
        <v>133</v>
      </c>
      <c r="S7654" t="s">
        <v>134</v>
      </c>
    </row>
    <row r="7655" spans="1:19" x14ac:dyDescent="0.25">
      <c r="A7655" t="s">
        <v>30</v>
      </c>
      <c r="B7655" t="s">
        <v>31</v>
      </c>
      <c r="C7655" t="s">
        <v>32</v>
      </c>
      <c r="D7655" t="s">
        <v>953</v>
      </c>
      <c r="E7655" t="s">
        <v>998</v>
      </c>
      <c r="F7655" t="s">
        <v>35</v>
      </c>
      <c r="G7655" t="s">
        <v>35</v>
      </c>
      <c r="H7655" t="s">
        <v>35</v>
      </c>
      <c r="J7655" t="s">
        <v>7276</v>
      </c>
      <c r="K7655" t="s">
        <v>1092</v>
      </c>
      <c r="M7655">
        <v>2.7</v>
      </c>
      <c r="N7655">
        <v>92</v>
      </c>
      <c r="O7655" t="s">
        <v>106</v>
      </c>
      <c r="Q7655" t="s">
        <v>1100</v>
      </c>
      <c r="R7655" t="s">
        <v>7205</v>
      </c>
      <c r="S7655" t="s">
        <v>7206</v>
      </c>
    </row>
    <row r="7656" spans="1:19" x14ac:dyDescent="0.25">
      <c r="A7656" t="s">
        <v>59</v>
      </c>
      <c r="B7656" t="s">
        <v>60</v>
      </c>
      <c r="C7656" t="s">
        <v>32</v>
      </c>
      <c r="D7656" t="s">
        <v>953</v>
      </c>
      <c r="E7656" t="s">
        <v>998</v>
      </c>
      <c r="F7656" t="s">
        <v>35</v>
      </c>
      <c r="G7656" t="s">
        <v>35</v>
      </c>
      <c r="H7656" t="s">
        <v>35</v>
      </c>
      <c r="J7656" t="s">
        <v>7277</v>
      </c>
      <c r="K7656" t="s">
        <v>1092</v>
      </c>
      <c r="M7656">
        <v>1</v>
      </c>
      <c r="N7656">
        <v>709</v>
      </c>
      <c r="O7656" t="s">
        <v>575</v>
      </c>
      <c r="Q7656" t="s">
        <v>7188</v>
      </c>
      <c r="R7656" t="s">
        <v>6891</v>
      </c>
      <c r="S7656" t="s">
        <v>1085</v>
      </c>
    </row>
    <row r="7657" spans="1:19" x14ac:dyDescent="0.25">
      <c r="A7657" t="s">
        <v>59</v>
      </c>
      <c r="B7657" t="s">
        <v>60</v>
      </c>
      <c r="C7657" t="s">
        <v>32</v>
      </c>
      <c r="D7657" t="s">
        <v>953</v>
      </c>
      <c r="E7657" t="s">
        <v>998</v>
      </c>
      <c r="F7657" t="s">
        <v>35</v>
      </c>
      <c r="G7657" t="s">
        <v>35</v>
      </c>
      <c r="H7657" t="s">
        <v>35</v>
      </c>
      <c r="J7657" t="s">
        <v>7278</v>
      </c>
      <c r="K7657" t="s">
        <v>1092</v>
      </c>
      <c r="M7657">
        <v>3.4</v>
      </c>
      <c r="N7657">
        <v>86</v>
      </c>
      <c r="O7657" t="s">
        <v>61</v>
      </c>
      <c r="Q7657" t="s">
        <v>1076</v>
      </c>
      <c r="R7657" t="s">
        <v>158</v>
      </c>
      <c r="S7657" t="s">
        <v>159</v>
      </c>
    </row>
    <row r="7658" spans="1:19" x14ac:dyDescent="0.25">
      <c r="A7658" t="s">
        <v>59</v>
      </c>
      <c r="B7658" t="s">
        <v>60</v>
      </c>
      <c r="C7658" t="s">
        <v>32</v>
      </c>
      <c r="D7658" t="s">
        <v>953</v>
      </c>
      <c r="E7658" t="s">
        <v>998</v>
      </c>
      <c r="F7658" t="s">
        <v>35</v>
      </c>
      <c r="G7658" t="s">
        <v>35</v>
      </c>
      <c r="H7658" t="s">
        <v>35</v>
      </c>
      <c r="J7658" t="s">
        <v>7279</v>
      </c>
      <c r="K7658" t="s">
        <v>1092</v>
      </c>
      <c r="M7658">
        <v>0.5</v>
      </c>
      <c r="N7658">
        <v>967</v>
      </c>
      <c r="O7658" t="s">
        <v>575</v>
      </c>
      <c r="Q7658" t="s">
        <v>7280</v>
      </c>
      <c r="R7658" t="s">
        <v>6904</v>
      </c>
      <c r="S7658" t="s">
        <v>999</v>
      </c>
    </row>
    <row r="7659" spans="1:19" x14ac:dyDescent="0.25">
      <c r="A7659" t="s">
        <v>30</v>
      </c>
      <c r="B7659" t="s">
        <v>31</v>
      </c>
      <c r="C7659" t="s">
        <v>32</v>
      </c>
      <c r="D7659" t="s">
        <v>953</v>
      </c>
      <c r="E7659" t="s">
        <v>998</v>
      </c>
      <c r="F7659" t="s">
        <v>35</v>
      </c>
      <c r="G7659" t="s">
        <v>35</v>
      </c>
      <c r="H7659" t="s">
        <v>35</v>
      </c>
      <c r="J7659" t="s">
        <v>7281</v>
      </c>
      <c r="K7659" t="s">
        <v>1092</v>
      </c>
      <c r="M7659">
        <v>1.0349999999999999</v>
      </c>
      <c r="N7659">
        <v>1250</v>
      </c>
      <c r="O7659" t="s">
        <v>575</v>
      </c>
      <c r="Q7659" t="s">
        <v>7282</v>
      </c>
      <c r="R7659" t="s">
        <v>133</v>
      </c>
      <c r="S7659" t="s">
        <v>134</v>
      </c>
    </row>
    <row r="7660" spans="1:19" x14ac:dyDescent="0.25">
      <c r="A7660" t="s">
        <v>59</v>
      </c>
      <c r="B7660" t="s">
        <v>60</v>
      </c>
      <c r="C7660" t="s">
        <v>32</v>
      </c>
      <c r="D7660" t="s">
        <v>953</v>
      </c>
      <c r="E7660" t="s">
        <v>998</v>
      </c>
      <c r="F7660" t="s">
        <v>35</v>
      </c>
      <c r="G7660" t="s">
        <v>35</v>
      </c>
      <c r="H7660" t="s">
        <v>35</v>
      </c>
      <c r="J7660" t="s">
        <v>7281</v>
      </c>
      <c r="K7660" t="s">
        <v>1092</v>
      </c>
      <c r="M7660">
        <v>1.5</v>
      </c>
      <c r="N7660">
        <v>693</v>
      </c>
      <c r="O7660" t="s">
        <v>575</v>
      </c>
      <c r="Q7660" t="s">
        <v>7283</v>
      </c>
      <c r="R7660" t="s">
        <v>6877</v>
      </c>
      <c r="S7660" t="s">
        <v>1041</v>
      </c>
    </row>
    <row r="7661" spans="1:19" x14ac:dyDescent="0.25">
      <c r="A7661" t="s">
        <v>59</v>
      </c>
      <c r="B7661" t="s">
        <v>60</v>
      </c>
      <c r="C7661" t="s">
        <v>32</v>
      </c>
      <c r="D7661" t="s">
        <v>953</v>
      </c>
      <c r="E7661" t="s">
        <v>998</v>
      </c>
      <c r="F7661" t="s">
        <v>35</v>
      </c>
      <c r="G7661" t="s">
        <v>35</v>
      </c>
      <c r="H7661" t="s">
        <v>35</v>
      </c>
      <c r="J7661" t="s">
        <v>7284</v>
      </c>
      <c r="K7661" t="s">
        <v>1092</v>
      </c>
      <c r="M7661">
        <v>0.45</v>
      </c>
      <c r="N7661">
        <v>637</v>
      </c>
      <c r="O7661" t="s">
        <v>575</v>
      </c>
      <c r="Q7661" t="s">
        <v>4788</v>
      </c>
      <c r="R7661" t="s">
        <v>6891</v>
      </c>
      <c r="S7661" t="s">
        <v>1085</v>
      </c>
    </row>
    <row r="7662" spans="1:19" x14ac:dyDescent="0.25">
      <c r="A7662" t="s">
        <v>59</v>
      </c>
      <c r="B7662" t="s">
        <v>60</v>
      </c>
      <c r="C7662" t="s">
        <v>32</v>
      </c>
      <c r="D7662" t="s">
        <v>953</v>
      </c>
      <c r="E7662" t="s">
        <v>998</v>
      </c>
      <c r="F7662" t="s">
        <v>35</v>
      </c>
      <c r="G7662" t="s">
        <v>35</v>
      </c>
      <c r="H7662" t="s">
        <v>35</v>
      </c>
      <c r="J7662" t="s">
        <v>7284</v>
      </c>
      <c r="K7662" t="s">
        <v>1092</v>
      </c>
      <c r="M7662">
        <v>0.25</v>
      </c>
      <c r="N7662">
        <v>893</v>
      </c>
      <c r="O7662" t="s">
        <v>575</v>
      </c>
      <c r="Q7662" t="s">
        <v>2390</v>
      </c>
      <c r="R7662" t="s">
        <v>6891</v>
      </c>
      <c r="S7662" t="s">
        <v>1085</v>
      </c>
    </row>
    <row r="7663" spans="1:19" x14ac:dyDescent="0.25">
      <c r="A7663" t="s">
        <v>59</v>
      </c>
      <c r="B7663" t="s">
        <v>31</v>
      </c>
      <c r="C7663" t="s">
        <v>32</v>
      </c>
      <c r="D7663" t="s">
        <v>953</v>
      </c>
      <c r="E7663" t="s">
        <v>998</v>
      </c>
      <c r="F7663" t="s">
        <v>35</v>
      </c>
      <c r="G7663" t="s">
        <v>35</v>
      </c>
      <c r="H7663" t="s">
        <v>35</v>
      </c>
      <c r="J7663" t="s">
        <v>7285</v>
      </c>
      <c r="K7663" t="s">
        <v>1092</v>
      </c>
      <c r="M7663">
        <v>3.1949999999999998</v>
      </c>
      <c r="N7663">
        <v>868</v>
      </c>
      <c r="O7663" t="s">
        <v>575</v>
      </c>
      <c r="Q7663" t="s">
        <v>5042</v>
      </c>
      <c r="R7663" t="s">
        <v>6904</v>
      </c>
      <c r="S7663" t="s">
        <v>999</v>
      </c>
    </row>
    <row r="7664" spans="1:19" x14ac:dyDescent="0.25">
      <c r="A7664" t="s">
        <v>30</v>
      </c>
      <c r="B7664" t="s">
        <v>31</v>
      </c>
      <c r="C7664" t="s">
        <v>32</v>
      </c>
      <c r="D7664" t="s">
        <v>953</v>
      </c>
      <c r="E7664" t="s">
        <v>998</v>
      </c>
      <c r="F7664" t="s">
        <v>35</v>
      </c>
      <c r="G7664" t="s">
        <v>35</v>
      </c>
      <c r="H7664" t="s">
        <v>35</v>
      </c>
      <c r="J7664" t="s">
        <v>7286</v>
      </c>
      <c r="K7664" t="s">
        <v>1092</v>
      </c>
      <c r="M7664">
        <v>0.18</v>
      </c>
      <c r="N7664">
        <v>18</v>
      </c>
      <c r="O7664" t="s">
        <v>46</v>
      </c>
      <c r="Q7664" t="s">
        <v>1476</v>
      </c>
      <c r="R7664" t="s">
        <v>6891</v>
      </c>
      <c r="S7664" t="s">
        <v>1085</v>
      </c>
    </row>
    <row r="7665" spans="1:19" x14ac:dyDescent="0.25">
      <c r="A7665" t="s">
        <v>59</v>
      </c>
      <c r="B7665" t="s">
        <v>60</v>
      </c>
      <c r="C7665" t="s">
        <v>32</v>
      </c>
      <c r="D7665" t="s">
        <v>953</v>
      </c>
      <c r="E7665" t="s">
        <v>998</v>
      </c>
      <c r="F7665" t="s">
        <v>35</v>
      </c>
      <c r="G7665" t="s">
        <v>35</v>
      </c>
      <c r="H7665" t="s">
        <v>35</v>
      </c>
      <c r="J7665" t="s">
        <v>7287</v>
      </c>
      <c r="K7665" t="s">
        <v>1092</v>
      </c>
      <c r="M7665">
        <v>0.4</v>
      </c>
      <c r="N7665">
        <v>738</v>
      </c>
      <c r="O7665" t="s">
        <v>575</v>
      </c>
      <c r="Q7665" t="s">
        <v>1778</v>
      </c>
      <c r="R7665" t="s">
        <v>6891</v>
      </c>
      <c r="S7665" t="s">
        <v>1085</v>
      </c>
    </row>
    <row r="7666" spans="1:19" x14ac:dyDescent="0.25">
      <c r="A7666" t="s">
        <v>59</v>
      </c>
      <c r="B7666" t="s">
        <v>60</v>
      </c>
      <c r="C7666" t="s">
        <v>32</v>
      </c>
      <c r="D7666" t="s">
        <v>953</v>
      </c>
      <c r="E7666" t="s">
        <v>998</v>
      </c>
      <c r="F7666" t="s">
        <v>35</v>
      </c>
      <c r="G7666" t="s">
        <v>35</v>
      </c>
      <c r="H7666" t="s">
        <v>35</v>
      </c>
      <c r="J7666" t="s">
        <v>7288</v>
      </c>
      <c r="K7666" t="s">
        <v>1092</v>
      </c>
      <c r="M7666">
        <v>0.2</v>
      </c>
      <c r="N7666">
        <v>259</v>
      </c>
      <c r="O7666" t="s">
        <v>5</v>
      </c>
      <c r="Q7666" t="s">
        <v>1425</v>
      </c>
      <c r="R7666" t="s">
        <v>6891</v>
      </c>
      <c r="S7666" t="s">
        <v>1085</v>
      </c>
    </row>
    <row r="7667" spans="1:19" x14ac:dyDescent="0.25">
      <c r="A7667" t="s">
        <v>59</v>
      </c>
      <c r="B7667" t="s">
        <v>60</v>
      </c>
      <c r="C7667" t="s">
        <v>32</v>
      </c>
      <c r="D7667" t="s">
        <v>953</v>
      </c>
      <c r="E7667" t="s">
        <v>998</v>
      </c>
      <c r="F7667" t="s">
        <v>35</v>
      </c>
      <c r="G7667" t="s">
        <v>35</v>
      </c>
      <c r="H7667" t="s">
        <v>35</v>
      </c>
      <c r="J7667" t="s">
        <v>7288</v>
      </c>
      <c r="K7667" t="s">
        <v>1092</v>
      </c>
      <c r="M7667">
        <v>0.25</v>
      </c>
      <c r="N7667">
        <v>227</v>
      </c>
      <c r="O7667" t="s">
        <v>5</v>
      </c>
      <c r="Q7667" t="s">
        <v>2236</v>
      </c>
      <c r="R7667" t="s">
        <v>6891</v>
      </c>
      <c r="S7667" t="s">
        <v>1085</v>
      </c>
    </row>
    <row r="7668" spans="1:19" x14ac:dyDescent="0.25">
      <c r="A7668" t="s">
        <v>59</v>
      </c>
      <c r="B7668" t="s">
        <v>60</v>
      </c>
      <c r="C7668" t="s">
        <v>32</v>
      </c>
      <c r="D7668" t="s">
        <v>953</v>
      </c>
      <c r="E7668" t="s">
        <v>998</v>
      </c>
      <c r="F7668" t="s">
        <v>35</v>
      </c>
      <c r="G7668" t="s">
        <v>35</v>
      </c>
      <c r="H7668" t="s">
        <v>35</v>
      </c>
      <c r="J7668" t="s">
        <v>7288</v>
      </c>
      <c r="K7668" t="s">
        <v>1092</v>
      </c>
      <c r="M7668">
        <v>0.5</v>
      </c>
      <c r="N7668">
        <v>39</v>
      </c>
      <c r="O7668" t="s">
        <v>52</v>
      </c>
      <c r="Q7668" t="s">
        <v>816</v>
      </c>
      <c r="R7668" t="s">
        <v>6891</v>
      </c>
      <c r="S7668" t="s">
        <v>1085</v>
      </c>
    </row>
    <row r="7669" spans="1:19" x14ac:dyDescent="0.25">
      <c r="A7669" t="s">
        <v>59</v>
      </c>
      <c r="B7669" t="s">
        <v>60</v>
      </c>
      <c r="C7669" t="s">
        <v>32</v>
      </c>
      <c r="D7669" t="s">
        <v>953</v>
      </c>
      <c r="E7669" t="s">
        <v>998</v>
      </c>
      <c r="F7669" t="s">
        <v>35</v>
      </c>
      <c r="G7669" t="s">
        <v>35</v>
      </c>
      <c r="H7669" t="s">
        <v>35</v>
      </c>
      <c r="J7669" t="s">
        <v>7289</v>
      </c>
      <c r="K7669" t="s">
        <v>1092</v>
      </c>
      <c r="M7669">
        <v>0.2</v>
      </c>
      <c r="N7669">
        <v>129</v>
      </c>
      <c r="O7669" t="s">
        <v>38</v>
      </c>
      <c r="Q7669" t="s">
        <v>1449</v>
      </c>
      <c r="R7669" t="s">
        <v>158</v>
      </c>
      <c r="S7669" t="s">
        <v>159</v>
      </c>
    </row>
    <row r="7670" spans="1:19" x14ac:dyDescent="0.25">
      <c r="A7670" t="s">
        <v>59</v>
      </c>
      <c r="B7670" t="s">
        <v>60</v>
      </c>
      <c r="C7670" t="s">
        <v>32</v>
      </c>
      <c r="D7670" t="s">
        <v>953</v>
      </c>
      <c r="E7670" t="s">
        <v>998</v>
      </c>
      <c r="F7670" t="s">
        <v>35</v>
      </c>
      <c r="G7670" t="s">
        <v>35</v>
      </c>
      <c r="H7670" t="s">
        <v>35</v>
      </c>
      <c r="J7670" t="s">
        <v>7290</v>
      </c>
      <c r="K7670" t="s">
        <v>1092</v>
      </c>
      <c r="M7670">
        <v>3.2</v>
      </c>
      <c r="N7670">
        <v>1561</v>
      </c>
      <c r="O7670" t="s">
        <v>575</v>
      </c>
      <c r="Q7670" t="s">
        <v>2812</v>
      </c>
      <c r="R7670" t="s">
        <v>7291</v>
      </c>
      <c r="S7670" t="s">
        <v>7292</v>
      </c>
    </row>
    <row r="7671" spans="1:19" x14ac:dyDescent="0.25">
      <c r="A7671" t="s">
        <v>30</v>
      </c>
      <c r="B7671" t="s">
        <v>31</v>
      </c>
      <c r="C7671" t="s">
        <v>32</v>
      </c>
      <c r="D7671" t="s">
        <v>953</v>
      </c>
      <c r="E7671" t="s">
        <v>998</v>
      </c>
      <c r="F7671" t="s">
        <v>35</v>
      </c>
      <c r="G7671" t="s">
        <v>35</v>
      </c>
      <c r="H7671" t="s">
        <v>35</v>
      </c>
      <c r="J7671" t="s">
        <v>7294</v>
      </c>
      <c r="K7671" t="s">
        <v>1092</v>
      </c>
      <c r="M7671">
        <v>0.09</v>
      </c>
      <c r="N7671">
        <v>1251</v>
      </c>
      <c r="O7671" t="s">
        <v>575</v>
      </c>
      <c r="Q7671" t="s">
        <v>2549</v>
      </c>
      <c r="R7671" t="s">
        <v>133</v>
      </c>
      <c r="S7671" t="s">
        <v>134</v>
      </c>
    </row>
    <row r="7672" spans="1:19" x14ac:dyDescent="0.25">
      <c r="A7672" t="s">
        <v>30</v>
      </c>
      <c r="B7672" t="s">
        <v>31</v>
      </c>
      <c r="C7672" t="s">
        <v>32</v>
      </c>
      <c r="D7672" t="s">
        <v>953</v>
      </c>
      <c r="E7672" t="s">
        <v>998</v>
      </c>
      <c r="F7672" t="s">
        <v>35</v>
      </c>
      <c r="G7672" t="s">
        <v>35</v>
      </c>
      <c r="H7672" t="s">
        <v>35</v>
      </c>
      <c r="J7672" t="s">
        <v>7294</v>
      </c>
      <c r="K7672" t="s">
        <v>1092</v>
      </c>
      <c r="M7672">
        <v>0.45</v>
      </c>
      <c r="N7672">
        <v>255</v>
      </c>
      <c r="O7672" t="s">
        <v>5</v>
      </c>
      <c r="Q7672" t="s">
        <v>1747</v>
      </c>
      <c r="R7672" t="s">
        <v>6891</v>
      </c>
      <c r="S7672" t="s">
        <v>1085</v>
      </c>
    </row>
    <row r="7673" spans="1:19" x14ac:dyDescent="0.25">
      <c r="A7673" t="s">
        <v>59</v>
      </c>
      <c r="B7673" t="s">
        <v>31</v>
      </c>
      <c r="C7673" t="s">
        <v>32</v>
      </c>
      <c r="D7673" t="s">
        <v>953</v>
      </c>
      <c r="E7673" t="s">
        <v>998</v>
      </c>
      <c r="F7673" t="s">
        <v>35</v>
      </c>
      <c r="G7673" t="s">
        <v>35</v>
      </c>
      <c r="H7673" t="s">
        <v>35</v>
      </c>
      <c r="J7673" t="s">
        <v>7295</v>
      </c>
      <c r="K7673" t="s">
        <v>1092</v>
      </c>
      <c r="M7673">
        <v>0.72</v>
      </c>
      <c r="N7673">
        <v>91</v>
      </c>
      <c r="O7673" t="s">
        <v>106</v>
      </c>
      <c r="Q7673" t="s">
        <v>1147</v>
      </c>
      <c r="R7673" t="s">
        <v>6891</v>
      </c>
      <c r="S7673" t="s">
        <v>1085</v>
      </c>
    </row>
    <row r="7674" spans="1:19" x14ac:dyDescent="0.25">
      <c r="A7674" t="s">
        <v>59</v>
      </c>
      <c r="B7674" t="s">
        <v>60</v>
      </c>
      <c r="C7674" t="s">
        <v>32</v>
      </c>
      <c r="D7674" t="s">
        <v>953</v>
      </c>
      <c r="E7674" t="s">
        <v>998</v>
      </c>
      <c r="F7674" t="s">
        <v>35</v>
      </c>
      <c r="G7674" t="s">
        <v>35</v>
      </c>
      <c r="H7674" t="s">
        <v>35</v>
      </c>
      <c r="J7674" t="s">
        <v>7296</v>
      </c>
      <c r="K7674" t="s">
        <v>1092</v>
      </c>
      <c r="M7674">
        <v>0.15</v>
      </c>
      <c r="N7674">
        <v>65</v>
      </c>
      <c r="O7674" t="s">
        <v>61</v>
      </c>
      <c r="Q7674" t="s">
        <v>128</v>
      </c>
      <c r="R7674" t="s">
        <v>6904</v>
      </c>
      <c r="S7674" t="s">
        <v>999</v>
      </c>
    </row>
    <row r="7675" spans="1:19" x14ac:dyDescent="0.25">
      <c r="A7675" t="s">
        <v>59</v>
      </c>
      <c r="B7675" t="s">
        <v>60</v>
      </c>
      <c r="C7675" t="s">
        <v>32</v>
      </c>
      <c r="D7675" t="s">
        <v>953</v>
      </c>
      <c r="E7675" t="s">
        <v>998</v>
      </c>
      <c r="F7675" t="s">
        <v>35</v>
      </c>
      <c r="G7675" t="s">
        <v>35</v>
      </c>
      <c r="H7675" t="s">
        <v>35</v>
      </c>
      <c r="J7675" t="s">
        <v>7296</v>
      </c>
      <c r="K7675" t="s">
        <v>1092</v>
      </c>
      <c r="M7675">
        <v>0.05</v>
      </c>
      <c r="N7675">
        <v>357</v>
      </c>
      <c r="O7675" t="s">
        <v>5</v>
      </c>
      <c r="Q7675" t="s">
        <v>6620</v>
      </c>
      <c r="R7675" t="s">
        <v>6904</v>
      </c>
      <c r="S7675" t="s">
        <v>999</v>
      </c>
    </row>
    <row r="7676" spans="1:19" x14ac:dyDescent="0.25">
      <c r="A7676" t="s">
        <v>59</v>
      </c>
      <c r="B7676" t="s">
        <v>60</v>
      </c>
      <c r="C7676" t="s">
        <v>32</v>
      </c>
      <c r="D7676" t="s">
        <v>953</v>
      </c>
      <c r="E7676" t="s">
        <v>998</v>
      </c>
      <c r="F7676" t="s">
        <v>35</v>
      </c>
      <c r="G7676" t="s">
        <v>35</v>
      </c>
      <c r="H7676" t="s">
        <v>35</v>
      </c>
      <c r="J7676" t="s">
        <v>7297</v>
      </c>
      <c r="K7676" t="s">
        <v>1092</v>
      </c>
      <c r="M7676">
        <v>0.65</v>
      </c>
      <c r="N7676">
        <v>152</v>
      </c>
      <c r="O7676" t="s">
        <v>38</v>
      </c>
      <c r="Q7676" t="s">
        <v>408</v>
      </c>
      <c r="R7676" t="s">
        <v>6891</v>
      </c>
      <c r="S7676" t="s">
        <v>1085</v>
      </c>
    </row>
    <row r="7677" spans="1:19" x14ac:dyDescent="0.25">
      <c r="A7677" t="s">
        <v>59</v>
      </c>
      <c r="B7677" t="s">
        <v>60</v>
      </c>
      <c r="C7677" t="s">
        <v>32</v>
      </c>
      <c r="D7677" t="s">
        <v>953</v>
      </c>
      <c r="E7677" t="s">
        <v>998</v>
      </c>
      <c r="F7677" t="s">
        <v>35</v>
      </c>
      <c r="G7677" t="s">
        <v>35</v>
      </c>
      <c r="H7677" t="s">
        <v>35</v>
      </c>
      <c r="J7677" t="s">
        <v>7298</v>
      </c>
      <c r="K7677" t="s">
        <v>1092</v>
      </c>
      <c r="M7677">
        <v>0.4</v>
      </c>
      <c r="N7677">
        <v>242</v>
      </c>
      <c r="O7677" t="s">
        <v>5</v>
      </c>
      <c r="Q7677" t="s">
        <v>2904</v>
      </c>
      <c r="R7677" t="s">
        <v>6891</v>
      </c>
      <c r="S7677" t="s">
        <v>1085</v>
      </c>
    </row>
    <row r="7678" spans="1:19" x14ac:dyDescent="0.25">
      <c r="A7678" t="s">
        <v>30</v>
      </c>
      <c r="B7678" t="s">
        <v>31</v>
      </c>
      <c r="C7678" t="s">
        <v>32</v>
      </c>
      <c r="D7678" t="s">
        <v>953</v>
      </c>
      <c r="E7678" t="s">
        <v>998</v>
      </c>
      <c r="F7678" t="s">
        <v>35</v>
      </c>
      <c r="G7678" t="s">
        <v>35</v>
      </c>
      <c r="H7678" t="s">
        <v>35</v>
      </c>
      <c r="J7678" t="s">
        <v>7299</v>
      </c>
      <c r="K7678" t="s">
        <v>1092</v>
      </c>
      <c r="M7678">
        <v>0.495</v>
      </c>
      <c r="N7678">
        <v>187</v>
      </c>
      <c r="O7678" t="s">
        <v>5</v>
      </c>
      <c r="Q7678" t="s">
        <v>1798</v>
      </c>
      <c r="R7678" t="s">
        <v>6891</v>
      </c>
      <c r="S7678" t="s">
        <v>1085</v>
      </c>
    </row>
    <row r="7679" spans="1:19" x14ac:dyDescent="0.25">
      <c r="A7679" t="s">
        <v>59</v>
      </c>
      <c r="B7679" t="s">
        <v>31</v>
      </c>
      <c r="C7679" t="s">
        <v>32</v>
      </c>
      <c r="D7679" t="s">
        <v>953</v>
      </c>
      <c r="E7679" t="s">
        <v>998</v>
      </c>
      <c r="F7679" t="s">
        <v>35</v>
      </c>
      <c r="G7679" t="s">
        <v>35</v>
      </c>
      <c r="H7679" t="s">
        <v>35</v>
      </c>
      <c r="J7679" t="s">
        <v>7299</v>
      </c>
      <c r="K7679" t="s">
        <v>1092</v>
      </c>
      <c r="M7679">
        <v>0.9</v>
      </c>
      <c r="N7679">
        <v>87</v>
      </c>
      <c r="O7679" t="s">
        <v>61</v>
      </c>
      <c r="Q7679" t="s">
        <v>1639</v>
      </c>
      <c r="R7679" t="s">
        <v>6891</v>
      </c>
      <c r="S7679" t="s">
        <v>1085</v>
      </c>
    </row>
    <row r="7680" spans="1:19" x14ac:dyDescent="0.25">
      <c r="A7680" t="s">
        <v>30</v>
      </c>
      <c r="B7680" t="s">
        <v>31</v>
      </c>
      <c r="C7680" t="s">
        <v>32</v>
      </c>
      <c r="D7680" t="s">
        <v>953</v>
      </c>
      <c r="E7680" t="s">
        <v>998</v>
      </c>
      <c r="F7680" t="s">
        <v>35</v>
      </c>
      <c r="G7680" t="s">
        <v>35</v>
      </c>
      <c r="H7680" t="s">
        <v>35</v>
      </c>
      <c r="J7680" t="s">
        <v>7300</v>
      </c>
      <c r="K7680" t="s">
        <v>1092</v>
      </c>
      <c r="M7680">
        <v>1.8</v>
      </c>
      <c r="N7680">
        <v>278</v>
      </c>
      <c r="O7680" t="s">
        <v>5</v>
      </c>
      <c r="Q7680" t="s">
        <v>1724</v>
      </c>
      <c r="R7680" t="s">
        <v>133</v>
      </c>
      <c r="S7680" t="s">
        <v>134</v>
      </c>
    </row>
    <row r="7681" spans="1:19" x14ac:dyDescent="0.25">
      <c r="A7681" t="s">
        <v>59</v>
      </c>
      <c r="B7681" t="s">
        <v>60</v>
      </c>
      <c r="C7681" t="s">
        <v>32</v>
      </c>
      <c r="D7681" t="s">
        <v>953</v>
      </c>
      <c r="E7681" t="s">
        <v>1007</v>
      </c>
      <c r="F7681" t="s">
        <v>35</v>
      </c>
      <c r="G7681" t="s">
        <v>35</v>
      </c>
      <c r="H7681" t="s">
        <v>35</v>
      </c>
      <c r="J7681" t="s">
        <v>7301</v>
      </c>
      <c r="K7681" t="s">
        <v>404</v>
      </c>
      <c r="M7681">
        <v>10</v>
      </c>
      <c r="N7681">
        <v>359</v>
      </c>
      <c r="O7681" t="s">
        <v>5</v>
      </c>
      <c r="Q7681" t="s">
        <v>7302</v>
      </c>
      <c r="R7681" t="s">
        <v>6709</v>
      </c>
      <c r="S7681" t="s">
        <v>1022</v>
      </c>
    </row>
    <row r="7682" spans="1:19" x14ac:dyDescent="0.25">
      <c r="A7682" t="s">
        <v>59</v>
      </c>
      <c r="B7682" t="s">
        <v>60</v>
      </c>
      <c r="C7682" t="s">
        <v>32</v>
      </c>
      <c r="D7682" t="s">
        <v>953</v>
      </c>
      <c r="E7682" t="s">
        <v>1007</v>
      </c>
      <c r="F7682" t="s">
        <v>35</v>
      </c>
      <c r="G7682" t="s">
        <v>35</v>
      </c>
      <c r="H7682" t="s">
        <v>35</v>
      </c>
      <c r="J7682" t="s">
        <v>7303</v>
      </c>
      <c r="K7682" t="s">
        <v>1144</v>
      </c>
      <c r="M7682">
        <v>10</v>
      </c>
      <c r="N7682">
        <v>59</v>
      </c>
      <c r="O7682" t="s">
        <v>52</v>
      </c>
      <c r="Q7682" t="s">
        <v>84</v>
      </c>
      <c r="R7682" t="s">
        <v>6709</v>
      </c>
      <c r="S7682" t="s">
        <v>1022</v>
      </c>
    </row>
    <row r="7683" spans="1:19" x14ac:dyDescent="0.25">
      <c r="A7683" t="s">
        <v>59</v>
      </c>
      <c r="B7683" t="s">
        <v>60</v>
      </c>
      <c r="C7683" t="s">
        <v>32</v>
      </c>
      <c r="D7683" t="s">
        <v>953</v>
      </c>
      <c r="E7683" t="s">
        <v>1007</v>
      </c>
      <c r="F7683" t="s">
        <v>35</v>
      </c>
      <c r="G7683" t="s">
        <v>35</v>
      </c>
      <c r="H7683" t="s">
        <v>35</v>
      </c>
      <c r="J7683" t="s">
        <v>7303</v>
      </c>
      <c r="K7683" t="s">
        <v>1144</v>
      </c>
      <c r="M7683">
        <v>2.9</v>
      </c>
      <c r="N7683">
        <v>91</v>
      </c>
      <c r="O7683" t="s">
        <v>106</v>
      </c>
      <c r="Q7683" t="s">
        <v>1147</v>
      </c>
      <c r="R7683" t="s">
        <v>6709</v>
      </c>
      <c r="S7683" t="s">
        <v>1022</v>
      </c>
    </row>
    <row r="7684" spans="1:19" x14ac:dyDescent="0.25">
      <c r="A7684" t="s">
        <v>44</v>
      </c>
      <c r="B7684" t="s">
        <v>3</v>
      </c>
      <c r="C7684" t="s">
        <v>32</v>
      </c>
      <c r="D7684" t="s">
        <v>953</v>
      </c>
      <c r="E7684" t="s">
        <v>1007</v>
      </c>
      <c r="F7684" t="s">
        <v>35</v>
      </c>
      <c r="G7684" t="s">
        <v>35</v>
      </c>
      <c r="H7684" t="s">
        <v>35</v>
      </c>
      <c r="J7684" t="s">
        <v>7303</v>
      </c>
      <c r="K7684" t="s">
        <v>1144</v>
      </c>
      <c r="M7684">
        <v>5</v>
      </c>
      <c r="N7684">
        <v>59</v>
      </c>
      <c r="O7684" t="s">
        <v>52</v>
      </c>
      <c r="Q7684" t="s">
        <v>84</v>
      </c>
      <c r="R7684" t="s">
        <v>6709</v>
      </c>
      <c r="S7684" t="s">
        <v>1022</v>
      </c>
    </row>
    <row r="7685" spans="1:19" x14ac:dyDescent="0.25">
      <c r="A7685" t="s">
        <v>59</v>
      </c>
      <c r="B7685" t="s">
        <v>31</v>
      </c>
      <c r="C7685" t="s">
        <v>32</v>
      </c>
      <c r="D7685" t="s">
        <v>953</v>
      </c>
      <c r="E7685" t="s">
        <v>1007</v>
      </c>
      <c r="F7685" t="s">
        <v>35</v>
      </c>
      <c r="G7685" t="s">
        <v>35</v>
      </c>
      <c r="H7685" t="s">
        <v>35</v>
      </c>
      <c r="J7685" t="s">
        <v>7304</v>
      </c>
      <c r="K7685" t="s">
        <v>1092</v>
      </c>
      <c r="M7685">
        <v>4.7699999999999996</v>
      </c>
      <c r="N7685">
        <v>60</v>
      </c>
      <c r="O7685" t="s">
        <v>52</v>
      </c>
      <c r="Q7685" t="s">
        <v>1734</v>
      </c>
      <c r="R7685" t="s">
        <v>6709</v>
      </c>
      <c r="S7685" t="s">
        <v>1022</v>
      </c>
    </row>
    <row r="7686" spans="1:19" x14ac:dyDescent="0.25">
      <c r="A7686" t="s">
        <v>44</v>
      </c>
      <c r="B7686" t="s">
        <v>3</v>
      </c>
      <c r="C7686" t="s">
        <v>32</v>
      </c>
      <c r="D7686" t="s">
        <v>953</v>
      </c>
      <c r="E7686" t="s">
        <v>1007</v>
      </c>
      <c r="F7686" t="s">
        <v>35</v>
      </c>
      <c r="G7686" t="s">
        <v>35</v>
      </c>
      <c r="H7686" t="s">
        <v>35</v>
      </c>
      <c r="J7686" t="s">
        <v>7304</v>
      </c>
      <c r="K7686" t="s">
        <v>1092</v>
      </c>
      <c r="M7686">
        <v>10</v>
      </c>
      <c r="N7686">
        <v>67</v>
      </c>
      <c r="O7686" t="s">
        <v>61</v>
      </c>
      <c r="Q7686" t="s">
        <v>1311</v>
      </c>
      <c r="R7686" t="s">
        <v>6709</v>
      </c>
      <c r="S7686" t="s">
        <v>1022</v>
      </c>
    </row>
    <row r="7687" spans="1:19" x14ac:dyDescent="0.25">
      <c r="A7687" t="s">
        <v>44</v>
      </c>
      <c r="B7687" t="s">
        <v>3</v>
      </c>
      <c r="C7687" t="s">
        <v>32</v>
      </c>
      <c r="D7687" t="s">
        <v>953</v>
      </c>
      <c r="E7687" t="s">
        <v>1007</v>
      </c>
      <c r="F7687" t="s">
        <v>35</v>
      </c>
      <c r="G7687" t="s">
        <v>35</v>
      </c>
      <c r="H7687" t="s">
        <v>35</v>
      </c>
      <c r="J7687" t="s">
        <v>7305</v>
      </c>
      <c r="K7687" t="s">
        <v>1092</v>
      </c>
      <c r="M7687">
        <v>5</v>
      </c>
      <c r="N7687">
        <v>65</v>
      </c>
      <c r="O7687" t="s">
        <v>61</v>
      </c>
      <c r="Q7687" t="s">
        <v>128</v>
      </c>
      <c r="R7687" t="s">
        <v>6847</v>
      </c>
      <c r="S7687" t="s">
        <v>1034</v>
      </c>
    </row>
    <row r="7688" spans="1:19" x14ac:dyDescent="0.25">
      <c r="A7688" t="s">
        <v>30</v>
      </c>
      <c r="B7688" t="s">
        <v>31</v>
      </c>
      <c r="C7688" t="s">
        <v>32</v>
      </c>
      <c r="D7688" t="s">
        <v>953</v>
      </c>
      <c r="E7688" t="s">
        <v>1007</v>
      </c>
      <c r="F7688" t="s">
        <v>35</v>
      </c>
      <c r="G7688" t="s">
        <v>35</v>
      </c>
      <c r="H7688" t="s">
        <v>35</v>
      </c>
      <c r="J7688" t="s">
        <v>7306</v>
      </c>
      <c r="K7688" t="s">
        <v>1092</v>
      </c>
      <c r="M7688">
        <v>9.3149999999999995</v>
      </c>
      <c r="N7688">
        <v>20</v>
      </c>
      <c r="O7688" t="s">
        <v>46</v>
      </c>
      <c r="Q7688" t="s">
        <v>1004</v>
      </c>
      <c r="R7688" t="s">
        <v>6847</v>
      </c>
      <c r="S7688" t="s">
        <v>1034</v>
      </c>
    </row>
    <row r="7689" spans="1:19" x14ac:dyDescent="0.25">
      <c r="A7689" t="s">
        <v>30</v>
      </c>
      <c r="B7689" t="s">
        <v>31</v>
      </c>
      <c r="C7689" t="s">
        <v>32</v>
      </c>
      <c r="D7689" t="s">
        <v>953</v>
      </c>
      <c r="E7689" t="s">
        <v>1007</v>
      </c>
      <c r="F7689" t="s">
        <v>35</v>
      </c>
      <c r="G7689" t="s">
        <v>35</v>
      </c>
      <c r="H7689" t="s">
        <v>35</v>
      </c>
      <c r="J7689" t="s">
        <v>7307</v>
      </c>
      <c r="K7689" t="s">
        <v>1092</v>
      </c>
      <c r="M7689">
        <v>8.73</v>
      </c>
      <c r="N7689">
        <v>23</v>
      </c>
      <c r="O7689" t="s">
        <v>46</v>
      </c>
      <c r="Q7689" t="s">
        <v>1819</v>
      </c>
      <c r="R7689" t="s">
        <v>987</v>
      </c>
      <c r="S7689" t="s">
        <v>988</v>
      </c>
    </row>
    <row r="7690" spans="1:19" x14ac:dyDescent="0.25">
      <c r="A7690" t="s">
        <v>59</v>
      </c>
      <c r="B7690" t="s">
        <v>60</v>
      </c>
      <c r="C7690" t="s">
        <v>32</v>
      </c>
      <c r="D7690" t="s">
        <v>953</v>
      </c>
      <c r="E7690" t="s">
        <v>1007</v>
      </c>
      <c r="F7690" t="s">
        <v>35</v>
      </c>
      <c r="G7690" t="s">
        <v>35</v>
      </c>
      <c r="H7690" t="s">
        <v>35</v>
      </c>
      <c r="J7690" t="s">
        <v>7307</v>
      </c>
      <c r="K7690" t="s">
        <v>1092</v>
      </c>
      <c r="M7690">
        <v>10</v>
      </c>
      <c r="N7690">
        <v>81</v>
      </c>
      <c r="O7690" t="s">
        <v>61</v>
      </c>
      <c r="Q7690" t="s">
        <v>527</v>
      </c>
      <c r="R7690" t="s">
        <v>6709</v>
      </c>
      <c r="S7690" t="s">
        <v>1022</v>
      </c>
    </row>
    <row r="7691" spans="1:19" x14ac:dyDescent="0.25">
      <c r="A7691" t="s">
        <v>59</v>
      </c>
      <c r="B7691" t="s">
        <v>60</v>
      </c>
      <c r="C7691" t="s">
        <v>32</v>
      </c>
      <c r="D7691" t="s">
        <v>953</v>
      </c>
      <c r="E7691" t="s">
        <v>1007</v>
      </c>
      <c r="F7691" t="s">
        <v>35</v>
      </c>
      <c r="G7691" t="s">
        <v>35</v>
      </c>
      <c r="H7691" t="s">
        <v>35</v>
      </c>
      <c r="J7691" t="s">
        <v>7307</v>
      </c>
      <c r="K7691" t="s">
        <v>1092</v>
      </c>
      <c r="M7691">
        <v>2</v>
      </c>
      <c r="N7691">
        <v>131</v>
      </c>
      <c r="O7691" t="s">
        <v>38</v>
      </c>
      <c r="Q7691" t="s">
        <v>646</v>
      </c>
      <c r="R7691" t="s">
        <v>6807</v>
      </c>
      <c r="S7691" t="s">
        <v>1066</v>
      </c>
    </row>
    <row r="7692" spans="1:19" x14ac:dyDescent="0.25">
      <c r="A7692" t="s">
        <v>59</v>
      </c>
      <c r="B7692" t="s">
        <v>60</v>
      </c>
      <c r="C7692" t="s">
        <v>32</v>
      </c>
      <c r="D7692" t="s">
        <v>953</v>
      </c>
      <c r="E7692" t="s">
        <v>1007</v>
      </c>
      <c r="F7692" t="s">
        <v>35</v>
      </c>
      <c r="G7692" t="s">
        <v>35</v>
      </c>
      <c r="H7692" t="s">
        <v>35</v>
      </c>
      <c r="J7692" t="s">
        <v>7308</v>
      </c>
      <c r="K7692" t="s">
        <v>1092</v>
      </c>
      <c r="M7692">
        <v>0.4</v>
      </c>
      <c r="N7692">
        <v>84</v>
      </c>
      <c r="O7692" t="s">
        <v>61</v>
      </c>
      <c r="Q7692" t="s">
        <v>778</v>
      </c>
      <c r="R7692" t="s">
        <v>6847</v>
      </c>
      <c r="S7692" t="s">
        <v>1034</v>
      </c>
    </row>
    <row r="7693" spans="1:19" x14ac:dyDescent="0.25">
      <c r="A7693" t="s">
        <v>30</v>
      </c>
      <c r="B7693" t="s">
        <v>31</v>
      </c>
      <c r="C7693" t="s">
        <v>32</v>
      </c>
      <c r="D7693" t="s">
        <v>953</v>
      </c>
      <c r="E7693" t="s">
        <v>1007</v>
      </c>
      <c r="F7693" t="s">
        <v>35</v>
      </c>
      <c r="G7693" t="s">
        <v>35</v>
      </c>
      <c r="H7693" t="s">
        <v>35</v>
      </c>
      <c r="J7693" t="s">
        <v>7308</v>
      </c>
      <c r="K7693" t="s">
        <v>1092</v>
      </c>
      <c r="M7693">
        <v>9</v>
      </c>
      <c r="N7693">
        <v>20</v>
      </c>
      <c r="O7693" t="s">
        <v>46</v>
      </c>
      <c r="Q7693" t="s">
        <v>1004</v>
      </c>
      <c r="R7693" t="s">
        <v>6847</v>
      </c>
      <c r="S7693" t="s">
        <v>1034</v>
      </c>
    </row>
    <row r="7694" spans="1:19" x14ac:dyDescent="0.25">
      <c r="A7694" t="s">
        <v>59</v>
      </c>
      <c r="B7694" t="s">
        <v>60</v>
      </c>
      <c r="C7694" t="s">
        <v>32</v>
      </c>
      <c r="D7694" t="s">
        <v>953</v>
      </c>
      <c r="E7694" t="s">
        <v>1007</v>
      </c>
      <c r="F7694" t="s">
        <v>35</v>
      </c>
      <c r="G7694" t="s">
        <v>35</v>
      </c>
      <c r="H7694" t="s">
        <v>35</v>
      </c>
      <c r="J7694" t="s">
        <v>7309</v>
      </c>
      <c r="K7694" t="s">
        <v>1092</v>
      </c>
      <c r="M7694">
        <v>0.45</v>
      </c>
      <c r="N7694">
        <v>1422</v>
      </c>
      <c r="O7694" t="s">
        <v>575</v>
      </c>
      <c r="Q7694" t="s">
        <v>7310</v>
      </c>
      <c r="R7694" t="s">
        <v>7311</v>
      </c>
      <c r="S7694" t="s">
        <v>7312</v>
      </c>
    </row>
    <row r="7695" spans="1:19" x14ac:dyDescent="0.25">
      <c r="A7695" t="s">
        <v>59</v>
      </c>
      <c r="B7695" t="s">
        <v>60</v>
      </c>
      <c r="C7695" t="s">
        <v>32</v>
      </c>
      <c r="D7695" t="s">
        <v>953</v>
      </c>
      <c r="E7695" t="s">
        <v>1007</v>
      </c>
      <c r="F7695" t="s">
        <v>35</v>
      </c>
      <c r="G7695" t="s">
        <v>35</v>
      </c>
      <c r="H7695" t="s">
        <v>35</v>
      </c>
      <c r="J7695" t="s">
        <v>7314</v>
      </c>
      <c r="K7695" t="s">
        <v>1092</v>
      </c>
      <c r="M7695">
        <v>0.1</v>
      </c>
      <c r="N7695">
        <v>60</v>
      </c>
      <c r="O7695" t="s">
        <v>52</v>
      </c>
      <c r="Q7695" t="s">
        <v>1734</v>
      </c>
      <c r="R7695" t="s">
        <v>6720</v>
      </c>
      <c r="S7695" t="s">
        <v>961</v>
      </c>
    </row>
    <row r="7696" spans="1:19" x14ac:dyDescent="0.25">
      <c r="A7696" t="s">
        <v>44</v>
      </c>
      <c r="B7696" t="s">
        <v>3</v>
      </c>
      <c r="C7696" t="s">
        <v>32</v>
      </c>
      <c r="D7696" t="s">
        <v>953</v>
      </c>
      <c r="E7696" t="s">
        <v>1007</v>
      </c>
      <c r="F7696" t="s">
        <v>35</v>
      </c>
      <c r="G7696" t="s">
        <v>35</v>
      </c>
      <c r="H7696" t="s">
        <v>35</v>
      </c>
      <c r="J7696" t="s">
        <v>7315</v>
      </c>
      <c r="K7696" t="s">
        <v>1092</v>
      </c>
      <c r="M7696">
        <v>0.25</v>
      </c>
      <c r="N7696">
        <v>19</v>
      </c>
      <c r="O7696" t="s">
        <v>46</v>
      </c>
      <c r="Q7696" t="s">
        <v>1192</v>
      </c>
      <c r="R7696" t="s">
        <v>7057</v>
      </c>
      <c r="S7696" t="s">
        <v>1008</v>
      </c>
    </row>
    <row r="7697" spans="1:19" x14ac:dyDescent="0.25">
      <c r="A7697" t="s">
        <v>59</v>
      </c>
      <c r="B7697" t="s">
        <v>60</v>
      </c>
      <c r="C7697" t="s">
        <v>32</v>
      </c>
      <c r="D7697" t="s">
        <v>953</v>
      </c>
      <c r="E7697" t="s">
        <v>1007</v>
      </c>
      <c r="F7697" t="s">
        <v>35</v>
      </c>
      <c r="G7697" t="s">
        <v>35</v>
      </c>
      <c r="H7697" t="s">
        <v>35</v>
      </c>
      <c r="J7697" t="s">
        <v>7315</v>
      </c>
      <c r="K7697" t="s">
        <v>1092</v>
      </c>
      <c r="M7697">
        <v>0.35</v>
      </c>
      <c r="N7697">
        <v>352</v>
      </c>
      <c r="O7697" t="s">
        <v>5</v>
      </c>
      <c r="Q7697" t="s">
        <v>1190</v>
      </c>
      <c r="R7697" t="s">
        <v>7057</v>
      </c>
      <c r="S7697" t="s">
        <v>1008</v>
      </c>
    </row>
    <row r="7698" spans="1:19" x14ac:dyDescent="0.25">
      <c r="A7698" t="s">
        <v>44</v>
      </c>
      <c r="B7698" t="s">
        <v>3</v>
      </c>
      <c r="C7698" t="s">
        <v>32</v>
      </c>
      <c r="D7698" t="s">
        <v>953</v>
      </c>
      <c r="E7698" t="s">
        <v>1007</v>
      </c>
      <c r="F7698" t="s">
        <v>35</v>
      </c>
      <c r="G7698" t="s">
        <v>35</v>
      </c>
      <c r="H7698" t="s">
        <v>35</v>
      </c>
      <c r="J7698" t="s">
        <v>7316</v>
      </c>
      <c r="K7698" t="s">
        <v>1092</v>
      </c>
      <c r="M7698">
        <v>2</v>
      </c>
      <c r="N7698">
        <v>59</v>
      </c>
      <c r="O7698" t="s">
        <v>52</v>
      </c>
      <c r="Q7698" t="s">
        <v>84</v>
      </c>
      <c r="R7698" t="s">
        <v>6709</v>
      </c>
      <c r="S7698" t="s">
        <v>1022</v>
      </c>
    </row>
    <row r="7699" spans="1:19" x14ac:dyDescent="0.25">
      <c r="A7699" t="s">
        <v>59</v>
      </c>
      <c r="B7699" t="s">
        <v>31</v>
      </c>
      <c r="C7699" t="s">
        <v>32</v>
      </c>
      <c r="D7699" t="s">
        <v>953</v>
      </c>
      <c r="E7699" t="s">
        <v>1007</v>
      </c>
      <c r="F7699" t="s">
        <v>35</v>
      </c>
      <c r="G7699" t="s">
        <v>35</v>
      </c>
      <c r="H7699" t="s">
        <v>35</v>
      </c>
      <c r="J7699" t="s">
        <v>7316</v>
      </c>
      <c r="K7699" t="s">
        <v>1092</v>
      </c>
      <c r="M7699">
        <v>2.7</v>
      </c>
      <c r="N7699">
        <v>59</v>
      </c>
      <c r="O7699" t="s">
        <v>52</v>
      </c>
      <c r="Q7699" t="s">
        <v>84</v>
      </c>
      <c r="R7699" t="s">
        <v>6709</v>
      </c>
      <c r="S7699" t="s">
        <v>1022</v>
      </c>
    </row>
    <row r="7700" spans="1:19" x14ac:dyDescent="0.25">
      <c r="A7700" t="s">
        <v>59</v>
      </c>
      <c r="B7700" t="s">
        <v>60</v>
      </c>
      <c r="C7700" t="s">
        <v>32</v>
      </c>
      <c r="D7700" t="s">
        <v>953</v>
      </c>
      <c r="E7700" t="s">
        <v>1007</v>
      </c>
      <c r="F7700" t="s">
        <v>35</v>
      </c>
      <c r="G7700" t="s">
        <v>35</v>
      </c>
      <c r="H7700" t="s">
        <v>35</v>
      </c>
      <c r="J7700" t="s">
        <v>7316</v>
      </c>
      <c r="K7700" t="s">
        <v>1092</v>
      </c>
      <c r="M7700">
        <v>4.25</v>
      </c>
      <c r="N7700">
        <v>59</v>
      </c>
      <c r="O7700" t="s">
        <v>52</v>
      </c>
      <c r="Q7700" t="s">
        <v>84</v>
      </c>
      <c r="R7700" t="s">
        <v>6709</v>
      </c>
      <c r="S7700" t="s">
        <v>1022</v>
      </c>
    </row>
    <row r="7701" spans="1:19" x14ac:dyDescent="0.25">
      <c r="A7701" t="s">
        <v>30</v>
      </c>
      <c r="B7701" t="s">
        <v>31</v>
      </c>
      <c r="C7701" t="s">
        <v>32</v>
      </c>
      <c r="D7701" t="s">
        <v>953</v>
      </c>
      <c r="E7701" t="s">
        <v>1007</v>
      </c>
      <c r="F7701" t="s">
        <v>35</v>
      </c>
      <c r="G7701" t="s">
        <v>35</v>
      </c>
      <c r="H7701" t="s">
        <v>35</v>
      </c>
      <c r="J7701" t="s">
        <v>7317</v>
      </c>
      <c r="K7701" t="s">
        <v>1092</v>
      </c>
      <c r="M7701">
        <v>27.405000000000001</v>
      </c>
      <c r="N7701">
        <v>161</v>
      </c>
      <c r="O7701" t="s">
        <v>38</v>
      </c>
      <c r="Q7701" t="s">
        <v>2639</v>
      </c>
      <c r="R7701" t="s">
        <v>6709</v>
      </c>
      <c r="S7701" t="s">
        <v>1022</v>
      </c>
    </row>
    <row r="7702" spans="1:19" x14ac:dyDescent="0.25">
      <c r="A7702" t="s">
        <v>59</v>
      </c>
      <c r="B7702" t="s">
        <v>31</v>
      </c>
      <c r="C7702" t="s">
        <v>32</v>
      </c>
      <c r="D7702" t="s">
        <v>953</v>
      </c>
      <c r="E7702" t="s">
        <v>1007</v>
      </c>
      <c r="F7702" t="s">
        <v>35</v>
      </c>
      <c r="G7702" t="s">
        <v>35</v>
      </c>
      <c r="H7702" t="s">
        <v>35</v>
      </c>
      <c r="J7702" t="s">
        <v>7318</v>
      </c>
      <c r="K7702" t="s">
        <v>1092</v>
      </c>
      <c r="M7702">
        <v>1.395</v>
      </c>
      <c r="N7702">
        <v>143</v>
      </c>
      <c r="O7702" t="s">
        <v>38</v>
      </c>
      <c r="Q7702" t="s">
        <v>2121</v>
      </c>
      <c r="R7702" t="s">
        <v>133</v>
      </c>
      <c r="S7702" t="s">
        <v>134</v>
      </c>
    </row>
    <row r="7703" spans="1:19" x14ac:dyDescent="0.25">
      <c r="A7703" t="s">
        <v>59</v>
      </c>
      <c r="B7703" t="s">
        <v>31</v>
      </c>
      <c r="C7703" t="s">
        <v>32</v>
      </c>
      <c r="D7703" t="s">
        <v>953</v>
      </c>
      <c r="E7703" t="s">
        <v>1007</v>
      </c>
      <c r="F7703" t="s">
        <v>35</v>
      </c>
      <c r="G7703" t="s">
        <v>35</v>
      </c>
      <c r="H7703" t="s">
        <v>35</v>
      </c>
      <c r="J7703" t="s">
        <v>7318</v>
      </c>
      <c r="K7703" t="s">
        <v>1092</v>
      </c>
      <c r="M7703">
        <v>0.67500000000000004</v>
      </c>
      <c r="N7703">
        <v>175</v>
      </c>
      <c r="O7703" t="s">
        <v>38</v>
      </c>
      <c r="Q7703" t="s">
        <v>1692</v>
      </c>
      <c r="R7703" t="s">
        <v>133</v>
      </c>
      <c r="S7703" t="s">
        <v>134</v>
      </c>
    </row>
    <row r="7704" spans="1:19" x14ac:dyDescent="0.25">
      <c r="A7704" t="s">
        <v>30</v>
      </c>
      <c r="B7704" t="s">
        <v>31</v>
      </c>
      <c r="C7704" t="s">
        <v>32</v>
      </c>
      <c r="D7704" t="s">
        <v>953</v>
      </c>
      <c r="E7704" t="s">
        <v>1007</v>
      </c>
      <c r="F7704" t="s">
        <v>35</v>
      </c>
      <c r="G7704" t="s">
        <v>35</v>
      </c>
      <c r="H7704" t="s">
        <v>35</v>
      </c>
      <c r="J7704" t="s">
        <v>7318</v>
      </c>
      <c r="K7704" t="s">
        <v>1092</v>
      </c>
      <c r="M7704">
        <v>0.54</v>
      </c>
      <c r="N7704">
        <v>214</v>
      </c>
      <c r="O7704" t="s">
        <v>5</v>
      </c>
      <c r="Q7704" t="s">
        <v>537</v>
      </c>
      <c r="R7704" t="s">
        <v>6705</v>
      </c>
      <c r="S7704" t="s">
        <v>981</v>
      </c>
    </row>
    <row r="7705" spans="1:19" x14ac:dyDescent="0.25">
      <c r="A7705" t="s">
        <v>30</v>
      </c>
      <c r="B7705" t="s">
        <v>31</v>
      </c>
      <c r="C7705" t="s">
        <v>32</v>
      </c>
      <c r="D7705" t="s">
        <v>953</v>
      </c>
      <c r="E7705" t="s">
        <v>1007</v>
      </c>
      <c r="F7705" t="s">
        <v>35</v>
      </c>
      <c r="G7705" t="s">
        <v>35</v>
      </c>
      <c r="H7705" t="s">
        <v>35</v>
      </c>
      <c r="J7705" t="s">
        <v>7318</v>
      </c>
      <c r="K7705" t="s">
        <v>1092</v>
      </c>
      <c r="M7705">
        <v>3.6</v>
      </c>
      <c r="N7705">
        <v>143</v>
      </c>
      <c r="O7705" t="s">
        <v>38</v>
      </c>
      <c r="Q7705" t="s">
        <v>2121</v>
      </c>
      <c r="R7705" t="s">
        <v>133</v>
      </c>
      <c r="S7705" t="s">
        <v>134</v>
      </c>
    </row>
    <row r="7706" spans="1:19" x14ac:dyDescent="0.25">
      <c r="A7706" t="s">
        <v>30</v>
      </c>
      <c r="B7706" t="s">
        <v>31</v>
      </c>
      <c r="C7706" t="s">
        <v>32</v>
      </c>
      <c r="D7706" t="s">
        <v>953</v>
      </c>
      <c r="E7706" t="s">
        <v>1007</v>
      </c>
      <c r="F7706" t="s">
        <v>35</v>
      </c>
      <c r="G7706" t="s">
        <v>35</v>
      </c>
      <c r="H7706" t="s">
        <v>35</v>
      </c>
      <c r="J7706" t="s">
        <v>7318</v>
      </c>
      <c r="K7706" t="s">
        <v>1092</v>
      </c>
      <c r="M7706">
        <v>5.49</v>
      </c>
      <c r="N7706">
        <v>46</v>
      </c>
      <c r="O7706" t="s">
        <v>52</v>
      </c>
      <c r="Q7706" t="s">
        <v>493</v>
      </c>
      <c r="R7706" t="s">
        <v>6723</v>
      </c>
      <c r="S7706" t="s">
        <v>6724</v>
      </c>
    </row>
    <row r="7707" spans="1:19" x14ac:dyDescent="0.25">
      <c r="A7707" t="s">
        <v>59</v>
      </c>
      <c r="B7707" t="s">
        <v>60</v>
      </c>
      <c r="C7707" t="s">
        <v>32</v>
      </c>
      <c r="D7707" t="s">
        <v>953</v>
      </c>
      <c r="E7707" t="s">
        <v>1007</v>
      </c>
      <c r="F7707" t="s">
        <v>35</v>
      </c>
      <c r="G7707" t="s">
        <v>35</v>
      </c>
      <c r="H7707" t="s">
        <v>35</v>
      </c>
      <c r="J7707" t="s">
        <v>7318</v>
      </c>
      <c r="K7707" t="s">
        <v>1092</v>
      </c>
      <c r="M7707">
        <v>1.7</v>
      </c>
      <c r="N7707">
        <v>63</v>
      </c>
      <c r="O7707" t="s">
        <v>61</v>
      </c>
      <c r="Q7707" t="s">
        <v>423</v>
      </c>
      <c r="R7707" t="s">
        <v>6723</v>
      </c>
      <c r="S7707" t="s">
        <v>6724</v>
      </c>
    </row>
    <row r="7708" spans="1:19" x14ac:dyDescent="0.25">
      <c r="A7708" t="s">
        <v>30</v>
      </c>
      <c r="B7708" t="s">
        <v>31</v>
      </c>
      <c r="C7708" t="s">
        <v>32</v>
      </c>
      <c r="D7708" t="s">
        <v>953</v>
      </c>
      <c r="E7708" t="s">
        <v>1007</v>
      </c>
      <c r="F7708" t="s">
        <v>35</v>
      </c>
      <c r="G7708" t="s">
        <v>35</v>
      </c>
      <c r="H7708" t="s">
        <v>35</v>
      </c>
      <c r="J7708" t="s">
        <v>7319</v>
      </c>
      <c r="K7708" t="s">
        <v>1092</v>
      </c>
      <c r="M7708">
        <v>37.484999999999999</v>
      </c>
      <c r="N7708">
        <v>24</v>
      </c>
      <c r="O7708" t="s">
        <v>46</v>
      </c>
      <c r="Q7708" t="s">
        <v>255</v>
      </c>
      <c r="R7708" t="s">
        <v>987</v>
      </c>
      <c r="S7708" t="s">
        <v>988</v>
      </c>
    </row>
    <row r="7709" spans="1:19" x14ac:dyDescent="0.25">
      <c r="A7709" t="s">
        <v>30</v>
      </c>
      <c r="B7709" t="s">
        <v>31</v>
      </c>
      <c r="C7709" t="s">
        <v>32</v>
      </c>
      <c r="D7709" t="s">
        <v>953</v>
      </c>
      <c r="E7709" t="s">
        <v>1007</v>
      </c>
      <c r="F7709" t="s">
        <v>35</v>
      </c>
      <c r="G7709" t="s">
        <v>35</v>
      </c>
      <c r="H7709" t="s">
        <v>35</v>
      </c>
      <c r="J7709" t="s">
        <v>7319</v>
      </c>
      <c r="K7709" t="s">
        <v>1092</v>
      </c>
      <c r="M7709">
        <v>49.95</v>
      </c>
      <c r="N7709">
        <v>21</v>
      </c>
      <c r="O7709" t="s">
        <v>46</v>
      </c>
      <c r="Q7709" t="s">
        <v>1874</v>
      </c>
      <c r="R7709" t="s">
        <v>6709</v>
      </c>
      <c r="S7709" t="s">
        <v>1022</v>
      </c>
    </row>
    <row r="7710" spans="1:19" x14ac:dyDescent="0.25">
      <c r="A7710" t="s">
        <v>59</v>
      </c>
      <c r="B7710" t="s">
        <v>31</v>
      </c>
      <c r="C7710" t="s">
        <v>32</v>
      </c>
      <c r="D7710" t="s">
        <v>953</v>
      </c>
      <c r="E7710" t="s">
        <v>1007</v>
      </c>
      <c r="F7710" t="s">
        <v>35</v>
      </c>
      <c r="G7710" t="s">
        <v>35</v>
      </c>
      <c r="H7710" t="s">
        <v>35</v>
      </c>
      <c r="J7710" t="s">
        <v>7319</v>
      </c>
      <c r="K7710" t="s">
        <v>1092</v>
      </c>
      <c r="M7710">
        <v>8.82</v>
      </c>
      <c r="N7710">
        <v>62</v>
      </c>
      <c r="O7710" t="s">
        <v>61</v>
      </c>
      <c r="Q7710" t="s">
        <v>90</v>
      </c>
      <c r="R7710" t="s">
        <v>987</v>
      </c>
      <c r="S7710" t="s">
        <v>988</v>
      </c>
    </row>
    <row r="7711" spans="1:19" x14ac:dyDescent="0.25">
      <c r="A7711" t="s">
        <v>59</v>
      </c>
      <c r="B7711" t="s">
        <v>60</v>
      </c>
      <c r="C7711" t="s">
        <v>32</v>
      </c>
      <c r="D7711" t="s">
        <v>953</v>
      </c>
      <c r="E7711" t="s">
        <v>1007</v>
      </c>
      <c r="F7711" t="s">
        <v>35</v>
      </c>
      <c r="G7711" t="s">
        <v>35</v>
      </c>
      <c r="H7711" t="s">
        <v>35</v>
      </c>
      <c r="J7711" t="s">
        <v>7319</v>
      </c>
      <c r="K7711" t="s">
        <v>1092</v>
      </c>
      <c r="M7711">
        <v>19.399999999999999</v>
      </c>
      <c r="N7711">
        <v>62</v>
      </c>
      <c r="O7711" t="s">
        <v>61</v>
      </c>
      <c r="Q7711" t="s">
        <v>90</v>
      </c>
      <c r="R7711" t="s">
        <v>987</v>
      </c>
      <c r="S7711" t="s">
        <v>988</v>
      </c>
    </row>
    <row r="7712" spans="1:19" x14ac:dyDescent="0.25">
      <c r="A7712" t="s">
        <v>44</v>
      </c>
      <c r="B7712" t="s">
        <v>3</v>
      </c>
      <c r="C7712" t="s">
        <v>32</v>
      </c>
      <c r="D7712" t="s">
        <v>953</v>
      </c>
      <c r="E7712" t="s">
        <v>1007</v>
      </c>
      <c r="F7712" t="s">
        <v>35</v>
      </c>
      <c r="G7712" t="s">
        <v>35</v>
      </c>
      <c r="H7712" t="s">
        <v>35</v>
      </c>
      <c r="J7712" t="s">
        <v>7319</v>
      </c>
      <c r="K7712" t="s">
        <v>1092</v>
      </c>
      <c r="M7712">
        <v>13.5</v>
      </c>
      <c r="N7712">
        <v>63</v>
      </c>
      <c r="O7712" t="s">
        <v>61</v>
      </c>
      <c r="Q7712" t="s">
        <v>423</v>
      </c>
      <c r="R7712" t="s">
        <v>987</v>
      </c>
      <c r="S7712" t="s">
        <v>988</v>
      </c>
    </row>
    <row r="7713" spans="1:19" x14ac:dyDescent="0.25">
      <c r="A7713" t="s">
        <v>44</v>
      </c>
      <c r="B7713" t="s">
        <v>3</v>
      </c>
      <c r="C7713" t="s">
        <v>32</v>
      </c>
      <c r="D7713" t="s">
        <v>953</v>
      </c>
      <c r="E7713" t="s">
        <v>1007</v>
      </c>
      <c r="F7713" t="s">
        <v>35</v>
      </c>
      <c r="G7713" t="s">
        <v>35</v>
      </c>
      <c r="H7713" t="s">
        <v>35</v>
      </c>
      <c r="J7713" t="s">
        <v>7320</v>
      </c>
      <c r="K7713" t="s">
        <v>1092</v>
      </c>
      <c r="M7713">
        <v>2.5</v>
      </c>
      <c r="N7713">
        <v>62</v>
      </c>
      <c r="O7713" t="s">
        <v>61</v>
      </c>
      <c r="Q7713" t="s">
        <v>90</v>
      </c>
      <c r="R7713" t="s">
        <v>987</v>
      </c>
      <c r="S7713" t="s">
        <v>988</v>
      </c>
    </row>
    <row r="7714" spans="1:19" x14ac:dyDescent="0.25">
      <c r="A7714" t="s">
        <v>59</v>
      </c>
      <c r="B7714" t="s">
        <v>60</v>
      </c>
      <c r="C7714" t="s">
        <v>32</v>
      </c>
      <c r="D7714" t="s">
        <v>953</v>
      </c>
      <c r="E7714" t="s">
        <v>1007</v>
      </c>
      <c r="F7714" t="s">
        <v>35</v>
      </c>
      <c r="G7714" t="s">
        <v>35</v>
      </c>
      <c r="H7714" t="s">
        <v>35</v>
      </c>
      <c r="J7714" t="s">
        <v>7321</v>
      </c>
      <c r="K7714" t="s">
        <v>1092</v>
      </c>
      <c r="M7714">
        <v>8.5500000000000007</v>
      </c>
      <c r="N7714">
        <v>1052</v>
      </c>
      <c r="O7714" t="s">
        <v>575</v>
      </c>
      <c r="Q7714" t="s">
        <v>7322</v>
      </c>
      <c r="R7714" t="s">
        <v>133</v>
      </c>
      <c r="S7714" t="s">
        <v>134</v>
      </c>
    </row>
    <row r="7715" spans="1:19" x14ac:dyDescent="0.25">
      <c r="A7715" t="s">
        <v>59</v>
      </c>
      <c r="B7715" t="s">
        <v>60</v>
      </c>
      <c r="C7715" t="s">
        <v>32</v>
      </c>
      <c r="D7715" t="s">
        <v>953</v>
      </c>
      <c r="E7715" t="s">
        <v>1007</v>
      </c>
      <c r="F7715" t="s">
        <v>35</v>
      </c>
      <c r="G7715" t="s">
        <v>35</v>
      </c>
      <c r="H7715" t="s">
        <v>35</v>
      </c>
      <c r="J7715" t="s">
        <v>7323</v>
      </c>
      <c r="K7715" t="s">
        <v>1092</v>
      </c>
      <c r="M7715">
        <v>3</v>
      </c>
      <c r="N7715">
        <v>62</v>
      </c>
      <c r="O7715" t="s">
        <v>61</v>
      </c>
      <c r="Q7715" t="s">
        <v>90</v>
      </c>
      <c r="R7715" t="s">
        <v>6847</v>
      </c>
      <c r="S7715" t="s">
        <v>1034</v>
      </c>
    </row>
    <row r="7716" spans="1:19" x14ac:dyDescent="0.25">
      <c r="A7716" t="s">
        <v>59</v>
      </c>
      <c r="B7716" t="s">
        <v>31</v>
      </c>
      <c r="C7716" t="s">
        <v>32</v>
      </c>
      <c r="D7716" t="s">
        <v>953</v>
      </c>
      <c r="E7716" t="s">
        <v>1007</v>
      </c>
      <c r="F7716" t="s">
        <v>35</v>
      </c>
      <c r="G7716" t="s">
        <v>35</v>
      </c>
      <c r="H7716" t="s">
        <v>35</v>
      </c>
      <c r="J7716" t="s">
        <v>7323</v>
      </c>
      <c r="K7716" t="s">
        <v>1092</v>
      </c>
      <c r="M7716">
        <v>1.0349999999999999</v>
      </c>
      <c r="N7716">
        <v>62</v>
      </c>
      <c r="O7716" t="s">
        <v>61</v>
      </c>
      <c r="Q7716" t="s">
        <v>90</v>
      </c>
      <c r="R7716" t="s">
        <v>6847</v>
      </c>
      <c r="S7716" t="s">
        <v>1034</v>
      </c>
    </row>
    <row r="7717" spans="1:19" x14ac:dyDescent="0.25">
      <c r="A7717" t="s">
        <v>44</v>
      </c>
      <c r="B7717" t="s">
        <v>3</v>
      </c>
      <c r="C7717" t="s">
        <v>32</v>
      </c>
      <c r="D7717" t="s">
        <v>953</v>
      </c>
      <c r="E7717" t="s">
        <v>1007</v>
      </c>
      <c r="F7717" t="s">
        <v>35</v>
      </c>
      <c r="G7717" t="s">
        <v>35</v>
      </c>
      <c r="H7717" t="s">
        <v>35</v>
      </c>
      <c r="J7717" t="s">
        <v>7323</v>
      </c>
      <c r="K7717" t="s">
        <v>1092</v>
      </c>
      <c r="M7717">
        <v>3.25</v>
      </c>
      <c r="N7717">
        <v>65</v>
      </c>
      <c r="O7717" t="s">
        <v>61</v>
      </c>
      <c r="Q7717" t="s">
        <v>128</v>
      </c>
      <c r="R7717" t="s">
        <v>6847</v>
      </c>
      <c r="S7717" t="s">
        <v>1034</v>
      </c>
    </row>
    <row r="7718" spans="1:19" x14ac:dyDescent="0.25">
      <c r="A7718" t="s">
        <v>59</v>
      </c>
      <c r="B7718" t="s">
        <v>31</v>
      </c>
      <c r="C7718" t="s">
        <v>32</v>
      </c>
      <c r="D7718" t="s">
        <v>953</v>
      </c>
      <c r="E7718" t="s">
        <v>1007</v>
      </c>
      <c r="F7718" t="s">
        <v>35</v>
      </c>
      <c r="G7718" t="s">
        <v>35</v>
      </c>
      <c r="H7718" t="s">
        <v>35</v>
      </c>
      <c r="J7718" t="s">
        <v>7324</v>
      </c>
      <c r="K7718" t="s">
        <v>1092</v>
      </c>
      <c r="M7718">
        <v>3.78</v>
      </c>
      <c r="N7718">
        <v>90</v>
      </c>
      <c r="O7718" t="s">
        <v>61</v>
      </c>
      <c r="Q7718" t="s">
        <v>897</v>
      </c>
      <c r="R7718" t="s">
        <v>6847</v>
      </c>
      <c r="S7718" t="s">
        <v>1034</v>
      </c>
    </row>
    <row r="7719" spans="1:19" x14ac:dyDescent="0.25">
      <c r="A7719" t="s">
        <v>59</v>
      </c>
      <c r="B7719" t="s">
        <v>60</v>
      </c>
      <c r="C7719" t="s">
        <v>32</v>
      </c>
      <c r="D7719" t="s">
        <v>953</v>
      </c>
      <c r="E7719" t="s">
        <v>1007</v>
      </c>
      <c r="F7719" t="s">
        <v>35</v>
      </c>
      <c r="G7719" t="s">
        <v>35</v>
      </c>
      <c r="H7719" t="s">
        <v>35</v>
      </c>
      <c r="J7719" t="s">
        <v>7325</v>
      </c>
      <c r="K7719" t="s">
        <v>1092</v>
      </c>
      <c r="M7719">
        <v>0.8</v>
      </c>
      <c r="N7719">
        <v>140</v>
      </c>
      <c r="O7719" t="s">
        <v>38</v>
      </c>
      <c r="Q7719" t="s">
        <v>609</v>
      </c>
      <c r="R7719" t="s">
        <v>6709</v>
      </c>
      <c r="S7719" t="s">
        <v>1022</v>
      </c>
    </row>
    <row r="7720" spans="1:19" x14ac:dyDescent="0.25">
      <c r="A7720" t="s">
        <v>59</v>
      </c>
      <c r="B7720" t="s">
        <v>60</v>
      </c>
      <c r="C7720" t="s">
        <v>32</v>
      </c>
      <c r="D7720" t="s">
        <v>953</v>
      </c>
      <c r="E7720" t="s">
        <v>1007</v>
      </c>
      <c r="F7720" t="s">
        <v>35</v>
      </c>
      <c r="G7720" t="s">
        <v>35</v>
      </c>
      <c r="H7720" t="s">
        <v>35</v>
      </c>
      <c r="J7720" t="s">
        <v>1417</v>
      </c>
      <c r="K7720" t="s">
        <v>1092</v>
      </c>
      <c r="M7720">
        <v>0.1</v>
      </c>
      <c r="N7720">
        <v>339</v>
      </c>
      <c r="O7720" t="s">
        <v>5</v>
      </c>
      <c r="Q7720" t="s">
        <v>5298</v>
      </c>
      <c r="R7720" t="s">
        <v>7057</v>
      </c>
      <c r="S7720" t="s">
        <v>1008</v>
      </c>
    </row>
    <row r="7721" spans="1:19" x14ac:dyDescent="0.25">
      <c r="A7721" t="s">
        <v>59</v>
      </c>
      <c r="B7721" t="s">
        <v>60</v>
      </c>
      <c r="C7721" t="s">
        <v>32</v>
      </c>
      <c r="D7721" t="s">
        <v>953</v>
      </c>
      <c r="E7721" t="s">
        <v>1007</v>
      </c>
      <c r="F7721" t="s">
        <v>35</v>
      </c>
      <c r="G7721" t="s">
        <v>35</v>
      </c>
      <c r="H7721" t="s">
        <v>35</v>
      </c>
      <c r="J7721" t="s">
        <v>7326</v>
      </c>
      <c r="K7721" t="s">
        <v>1092</v>
      </c>
      <c r="M7721">
        <v>0.7</v>
      </c>
      <c r="N7721">
        <v>143</v>
      </c>
      <c r="O7721" t="s">
        <v>38</v>
      </c>
      <c r="Q7721" t="s">
        <v>2121</v>
      </c>
      <c r="R7721" t="s">
        <v>6877</v>
      </c>
      <c r="S7721" t="s">
        <v>1041</v>
      </c>
    </row>
    <row r="7722" spans="1:19" x14ac:dyDescent="0.25">
      <c r="A7722" t="s">
        <v>30</v>
      </c>
      <c r="B7722" t="s">
        <v>31</v>
      </c>
      <c r="C7722" t="s">
        <v>32</v>
      </c>
      <c r="D7722" t="s">
        <v>953</v>
      </c>
      <c r="E7722" t="s">
        <v>1007</v>
      </c>
      <c r="F7722" t="s">
        <v>35</v>
      </c>
      <c r="G7722" t="s">
        <v>35</v>
      </c>
      <c r="H7722" t="s">
        <v>35</v>
      </c>
      <c r="J7722" t="s">
        <v>7327</v>
      </c>
      <c r="K7722" t="s">
        <v>1092</v>
      </c>
      <c r="M7722">
        <v>0.13500000000000001</v>
      </c>
      <c r="N7722">
        <v>254</v>
      </c>
      <c r="O7722" t="s">
        <v>5</v>
      </c>
      <c r="Q7722" t="s">
        <v>367</v>
      </c>
      <c r="R7722" t="s">
        <v>6709</v>
      </c>
      <c r="S7722" t="s">
        <v>1022</v>
      </c>
    </row>
    <row r="7723" spans="1:19" x14ac:dyDescent="0.25">
      <c r="A7723" t="s">
        <v>30</v>
      </c>
      <c r="B7723" t="s">
        <v>31</v>
      </c>
      <c r="C7723" t="s">
        <v>32</v>
      </c>
      <c r="D7723" t="s">
        <v>953</v>
      </c>
      <c r="E7723" t="s">
        <v>1007</v>
      </c>
      <c r="F7723" t="s">
        <v>35</v>
      </c>
      <c r="G7723" t="s">
        <v>35</v>
      </c>
      <c r="H7723" t="s">
        <v>35</v>
      </c>
      <c r="J7723" t="s">
        <v>7328</v>
      </c>
      <c r="K7723" t="s">
        <v>1092</v>
      </c>
      <c r="M7723">
        <v>4.9950000000000001</v>
      </c>
      <c r="N7723">
        <v>23</v>
      </c>
      <c r="O7723" t="s">
        <v>46</v>
      </c>
      <c r="Q7723" t="s">
        <v>1819</v>
      </c>
      <c r="R7723" t="s">
        <v>6742</v>
      </c>
      <c r="S7723" t="s">
        <v>1016</v>
      </c>
    </row>
    <row r="7724" spans="1:19" x14ac:dyDescent="0.25">
      <c r="A7724" t="s">
        <v>30</v>
      </c>
      <c r="B7724" t="s">
        <v>31</v>
      </c>
      <c r="C7724" t="s">
        <v>32</v>
      </c>
      <c r="D7724" t="s">
        <v>953</v>
      </c>
      <c r="E7724" t="s">
        <v>1007</v>
      </c>
      <c r="F7724" t="s">
        <v>35</v>
      </c>
      <c r="G7724" t="s">
        <v>35</v>
      </c>
      <c r="H7724" t="s">
        <v>35</v>
      </c>
      <c r="J7724" t="s">
        <v>7328</v>
      </c>
      <c r="K7724" t="s">
        <v>1092</v>
      </c>
      <c r="M7724">
        <v>1.575</v>
      </c>
      <c r="N7724">
        <v>214</v>
      </c>
      <c r="O7724" t="s">
        <v>5</v>
      </c>
      <c r="Q7724" t="s">
        <v>537</v>
      </c>
      <c r="R7724" t="s">
        <v>6705</v>
      </c>
      <c r="S7724" t="s">
        <v>981</v>
      </c>
    </row>
    <row r="7725" spans="1:19" x14ac:dyDescent="0.25">
      <c r="A7725" t="s">
        <v>44</v>
      </c>
      <c r="B7725" t="s">
        <v>3</v>
      </c>
      <c r="C7725" t="s">
        <v>32</v>
      </c>
      <c r="D7725" t="s">
        <v>953</v>
      </c>
      <c r="E7725" t="s">
        <v>1007</v>
      </c>
      <c r="F7725" t="s">
        <v>35</v>
      </c>
      <c r="G7725" t="s">
        <v>35</v>
      </c>
      <c r="H7725" t="s">
        <v>35</v>
      </c>
      <c r="J7725" t="s">
        <v>7328</v>
      </c>
      <c r="K7725" t="s">
        <v>1092</v>
      </c>
      <c r="M7725">
        <v>5</v>
      </c>
      <c r="N7725">
        <v>58</v>
      </c>
      <c r="O7725" t="s">
        <v>52</v>
      </c>
      <c r="Q7725" t="s">
        <v>58</v>
      </c>
      <c r="R7725" t="s">
        <v>6885</v>
      </c>
      <c r="S7725" t="s">
        <v>6886</v>
      </c>
    </row>
    <row r="7726" spans="1:19" x14ac:dyDescent="0.25">
      <c r="A7726" t="s">
        <v>59</v>
      </c>
      <c r="B7726" t="s">
        <v>60</v>
      </c>
      <c r="C7726" t="s">
        <v>32</v>
      </c>
      <c r="D7726" t="s">
        <v>953</v>
      </c>
      <c r="E7726" t="s">
        <v>1007</v>
      </c>
      <c r="F7726" t="s">
        <v>35</v>
      </c>
      <c r="G7726" t="s">
        <v>35</v>
      </c>
      <c r="H7726" t="s">
        <v>35</v>
      </c>
      <c r="J7726" t="s">
        <v>7328</v>
      </c>
      <c r="K7726" t="s">
        <v>1092</v>
      </c>
      <c r="M7726">
        <v>2.4500000000000002</v>
      </c>
      <c r="N7726">
        <v>143</v>
      </c>
      <c r="O7726" t="s">
        <v>38</v>
      </c>
      <c r="Q7726" t="s">
        <v>2121</v>
      </c>
      <c r="R7726" t="s">
        <v>6877</v>
      </c>
      <c r="S7726" t="s">
        <v>1041</v>
      </c>
    </row>
    <row r="7727" spans="1:19" x14ac:dyDescent="0.25">
      <c r="A7727" t="s">
        <v>59</v>
      </c>
      <c r="B7727" t="s">
        <v>60</v>
      </c>
      <c r="C7727" t="s">
        <v>32</v>
      </c>
      <c r="D7727" t="s">
        <v>953</v>
      </c>
      <c r="E7727" t="s">
        <v>1007</v>
      </c>
      <c r="F7727" t="s">
        <v>35</v>
      </c>
      <c r="G7727" t="s">
        <v>35</v>
      </c>
      <c r="H7727" t="s">
        <v>35</v>
      </c>
      <c r="J7727" t="s">
        <v>7329</v>
      </c>
      <c r="K7727" t="s">
        <v>1092</v>
      </c>
      <c r="M7727">
        <v>0.1</v>
      </c>
      <c r="N7727">
        <v>810</v>
      </c>
      <c r="O7727" t="s">
        <v>575</v>
      </c>
      <c r="Q7727" t="s">
        <v>2939</v>
      </c>
      <c r="R7727" t="s">
        <v>6723</v>
      </c>
      <c r="S7727" t="s">
        <v>6724</v>
      </c>
    </row>
    <row r="7728" spans="1:19" x14ac:dyDescent="0.25">
      <c r="A7728" t="s">
        <v>59</v>
      </c>
      <c r="B7728" t="s">
        <v>60</v>
      </c>
      <c r="C7728" t="s">
        <v>32</v>
      </c>
      <c r="D7728" t="s">
        <v>953</v>
      </c>
      <c r="E7728" t="s">
        <v>1007</v>
      </c>
      <c r="F7728" t="s">
        <v>35</v>
      </c>
      <c r="G7728" t="s">
        <v>35</v>
      </c>
      <c r="H7728" t="s">
        <v>35</v>
      </c>
      <c r="J7728" t="s">
        <v>7330</v>
      </c>
      <c r="K7728" t="s">
        <v>1092</v>
      </c>
      <c r="M7728">
        <v>2.35</v>
      </c>
      <c r="N7728">
        <v>90</v>
      </c>
      <c r="O7728" t="s">
        <v>61</v>
      </c>
      <c r="Q7728" t="s">
        <v>897</v>
      </c>
      <c r="R7728" t="s">
        <v>133</v>
      </c>
      <c r="S7728" t="s">
        <v>134</v>
      </c>
    </row>
    <row r="7729" spans="1:19" x14ac:dyDescent="0.25">
      <c r="A7729" t="s">
        <v>44</v>
      </c>
      <c r="B7729" t="s">
        <v>3</v>
      </c>
      <c r="C7729" t="s">
        <v>32</v>
      </c>
      <c r="D7729" t="s">
        <v>953</v>
      </c>
      <c r="E7729" t="s">
        <v>1007</v>
      </c>
      <c r="F7729" t="s">
        <v>35</v>
      </c>
      <c r="G7729" t="s">
        <v>35</v>
      </c>
      <c r="H7729" t="s">
        <v>35</v>
      </c>
      <c r="J7729" t="s">
        <v>7331</v>
      </c>
      <c r="K7729" t="s">
        <v>1092</v>
      </c>
      <c r="M7729">
        <v>5</v>
      </c>
      <c r="N7729">
        <v>58</v>
      </c>
      <c r="O7729" t="s">
        <v>52</v>
      </c>
      <c r="Q7729" t="s">
        <v>58</v>
      </c>
      <c r="R7729" t="s">
        <v>6709</v>
      </c>
      <c r="S7729" t="s">
        <v>1022</v>
      </c>
    </row>
    <row r="7730" spans="1:19" x14ac:dyDescent="0.25">
      <c r="A7730" t="s">
        <v>30</v>
      </c>
      <c r="B7730" t="s">
        <v>31</v>
      </c>
      <c r="C7730" t="s">
        <v>32</v>
      </c>
      <c r="D7730" t="s">
        <v>953</v>
      </c>
      <c r="E7730" t="s">
        <v>1007</v>
      </c>
      <c r="F7730" t="s">
        <v>35</v>
      </c>
      <c r="G7730" t="s">
        <v>35</v>
      </c>
      <c r="H7730" t="s">
        <v>35</v>
      </c>
      <c r="J7730" t="s">
        <v>7331</v>
      </c>
      <c r="K7730" t="s">
        <v>1092</v>
      </c>
      <c r="M7730">
        <v>4.9950000000000001</v>
      </c>
      <c r="N7730">
        <v>14</v>
      </c>
      <c r="O7730" t="s">
        <v>46</v>
      </c>
      <c r="Q7730" t="s">
        <v>2440</v>
      </c>
      <c r="R7730" t="s">
        <v>987</v>
      </c>
      <c r="S7730" t="s">
        <v>988</v>
      </c>
    </row>
    <row r="7731" spans="1:19" x14ac:dyDescent="0.25">
      <c r="A7731" t="s">
        <v>59</v>
      </c>
      <c r="B7731" t="s">
        <v>31</v>
      </c>
      <c r="C7731" t="s">
        <v>32</v>
      </c>
      <c r="D7731" t="s">
        <v>953</v>
      </c>
      <c r="E7731" t="s">
        <v>1007</v>
      </c>
      <c r="F7731" t="s">
        <v>35</v>
      </c>
      <c r="G7731" t="s">
        <v>35</v>
      </c>
      <c r="H7731" t="s">
        <v>35</v>
      </c>
      <c r="J7731" t="s">
        <v>7331</v>
      </c>
      <c r="K7731" t="s">
        <v>1092</v>
      </c>
      <c r="M7731">
        <v>4.4999999999999998E-2</v>
      </c>
      <c r="N7731">
        <v>83</v>
      </c>
      <c r="O7731" t="s">
        <v>61</v>
      </c>
      <c r="Q7731" t="s">
        <v>455</v>
      </c>
      <c r="R7731" t="s">
        <v>6705</v>
      </c>
      <c r="S7731" t="s">
        <v>981</v>
      </c>
    </row>
    <row r="7732" spans="1:19" x14ac:dyDescent="0.25">
      <c r="A7732" t="s">
        <v>59</v>
      </c>
      <c r="B7732" t="s">
        <v>60</v>
      </c>
      <c r="C7732" t="s">
        <v>32</v>
      </c>
      <c r="D7732" t="s">
        <v>953</v>
      </c>
      <c r="E7732" t="s">
        <v>1007</v>
      </c>
      <c r="F7732" t="s">
        <v>35</v>
      </c>
      <c r="G7732" t="s">
        <v>35</v>
      </c>
      <c r="H7732" t="s">
        <v>35</v>
      </c>
      <c r="J7732" t="s">
        <v>7331</v>
      </c>
      <c r="K7732" t="s">
        <v>1092</v>
      </c>
      <c r="M7732">
        <v>1.9</v>
      </c>
      <c r="N7732">
        <v>83</v>
      </c>
      <c r="O7732" t="s">
        <v>61</v>
      </c>
      <c r="Q7732" t="s">
        <v>455</v>
      </c>
      <c r="R7732" t="s">
        <v>6705</v>
      </c>
      <c r="S7732" t="s">
        <v>981</v>
      </c>
    </row>
    <row r="7733" spans="1:19" x14ac:dyDescent="0.25">
      <c r="A7733" t="s">
        <v>59</v>
      </c>
      <c r="B7733" t="s">
        <v>60</v>
      </c>
      <c r="C7733" t="s">
        <v>32</v>
      </c>
      <c r="D7733" t="s">
        <v>953</v>
      </c>
      <c r="E7733" t="s">
        <v>1007</v>
      </c>
      <c r="F7733" t="s">
        <v>35</v>
      </c>
      <c r="G7733" t="s">
        <v>35</v>
      </c>
      <c r="H7733" t="s">
        <v>35</v>
      </c>
      <c r="J7733" t="s">
        <v>7332</v>
      </c>
      <c r="K7733" t="s">
        <v>1092</v>
      </c>
      <c r="M7733">
        <v>0.85</v>
      </c>
      <c r="N7733">
        <v>287</v>
      </c>
      <c r="O7733" t="s">
        <v>5</v>
      </c>
      <c r="Q7733" t="s">
        <v>3688</v>
      </c>
      <c r="R7733" t="s">
        <v>6847</v>
      </c>
      <c r="S7733" t="s">
        <v>1034</v>
      </c>
    </row>
    <row r="7734" spans="1:19" x14ac:dyDescent="0.25">
      <c r="A7734" t="s">
        <v>59</v>
      </c>
      <c r="B7734" t="s">
        <v>60</v>
      </c>
      <c r="C7734" t="s">
        <v>32</v>
      </c>
      <c r="D7734" t="s">
        <v>953</v>
      </c>
      <c r="E7734" t="s">
        <v>1007</v>
      </c>
      <c r="F7734" t="s">
        <v>35</v>
      </c>
      <c r="G7734" t="s">
        <v>35</v>
      </c>
      <c r="H7734" t="s">
        <v>35</v>
      </c>
      <c r="J7734" t="s">
        <v>7333</v>
      </c>
      <c r="K7734" t="s">
        <v>1092</v>
      </c>
      <c r="M7734">
        <v>0.15</v>
      </c>
      <c r="N7734">
        <v>297</v>
      </c>
      <c r="O7734" t="s">
        <v>5</v>
      </c>
      <c r="Q7734" t="s">
        <v>6028</v>
      </c>
      <c r="R7734" t="s">
        <v>6847</v>
      </c>
      <c r="S7734" t="s">
        <v>1034</v>
      </c>
    </row>
    <row r="7735" spans="1:19" x14ac:dyDescent="0.25">
      <c r="A7735" t="s">
        <v>59</v>
      </c>
      <c r="B7735" t="s">
        <v>60</v>
      </c>
      <c r="C7735" t="s">
        <v>32</v>
      </c>
      <c r="D7735" t="s">
        <v>953</v>
      </c>
      <c r="E7735" t="s">
        <v>1007</v>
      </c>
      <c r="F7735" t="s">
        <v>35</v>
      </c>
      <c r="G7735" t="s">
        <v>35</v>
      </c>
      <c r="H7735" t="s">
        <v>35</v>
      </c>
      <c r="J7735" t="s">
        <v>7334</v>
      </c>
      <c r="K7735" t="s">
        <v>1092</v>
      </c>
      <c r="M7735">
        <v>0.2</v>
      </c>
      <c r="N7735">
        <v>344</v>
      </c>
      <c r="O7735" t="s">
        <v>5</v>
      </c>
      <c r="Q7735" t="s">
        <v>1859</v>
      </c>
      <c r="R7735" t="s">
        <v>7057</v>
      </c>
      <c r="S7735" t="s">
        <v>1008</v>
      </c>
    </row>
    <row r="7736" spans="1:19" x14ac:dyDescent="0.25">
      <c r="A7736" t="s">
        <v>59</v>
      </c>
      <c r="B7736" t="s">
        <v>60</v>
      </c>
      <c r="C7736" t="s">
        <v>32</v>
      </c>
      <c r="D7736" t="s">
        <v>953</v>
      </c>
      <c r="E7736" t="s">
        <v>1007</v>
      </c>
      <c r="F7736" t="s">
        <v>35</v>
      </c>
      <c r="G7736" t="s">
        <v>35</v>
      </c>
      <c r="H7736" t="s">
        <v>35</v>
      </c>
      <c r="J7736" t="s">
        <v>7335</v>
      </c>
      <c r="K7736" t="s">
        <v>1092</v>
      </c>
      <c r="M7736">
        <v>0.05</v>
      </c>
      <c r="N7736">
        <v>1316</v>
      </c>
      <c r="O7736" t="s">
        <v>575</v>
      </c>
      <c r="Q7736" t="s">
        <v>7336</v>
      </c>
      <c r="R7736" t="s">
        <v>6891</v>
      </c>
      <c r="S7736" t="s">
        <v>1085</v>
      </c>
    </row>
    <row r="7737" spans="1:19" x14ac:dyDescent="0.25">
      <c r="A7737" t="s">
        <v>59</v>
      </c>
      <c r="B7737" t="s">
        <v>60</v>
      </c>
      <c r="C7737" t="s">
        <v>32</v>
      </c>
      <c r="D7737" t="s">
        <v>953</v>
      </c>
      <c r="E7737" t="s">
        <v>1007</v>
      </c>
      <c r="F7737" t="s">
        <v>35</v>
      </c>
      <c r="G7737" t="s">
        <v>35</v>
      </c>
      <c r="H7737" t="s">
        <v>35</v>
      </c>
      <c r="J7737" t="s">
        <v>7337</v>
      </c>
      <c r="K7737" t="s">
        <v>1092</v>
      </c>
      <c r="M7737">
        <v>0.25</v>
      </c>
      <c r="N7737">
        <v>143</v>
      </c>
      <c r="O7737" t="s">
        <v>38</v>
      </c>
      <c r="Q7737" t="s">
        <v>2121</v>
      </c>
      <c r="R7737" t="s">
        <v>6877</v>
      </c>
      <c r="S7737" t="s">
        <v>1041</v>
      </c>
    </row>
    <row r="7738" spans="1:19" x14ac:dyDescent="0.25">
      <c r="A7738" t="s">
        <v>44</v>
      </c>
      <c r="B7738" t="s">
        <v>3</v>
      </c>
      <c r="C7738" t="s">
        <v>32</v>
      </c>
      <c r="D7738" t="s">
        <v>953</v>
      </c>
      <c r="E7738" t="s">
        <v>1007</v>
      </c>
      <c r="F7738" t="s">
        <v>35</v>
      </c>
      <c r="G7738" t="s">
        <v>35</v>
      </c>
      <c r="H7738" t="s">
        <v>35</v>
      </c>
      <c r="J7738" t="s">
        <v>7337</v>
      </c>
      <c r="K7738" t="s">
        <v>1092</v>
      </c>
      <c r="M7738">
        <v>0.25</v>
      </c>
      <c r="N7738">
        <v>16</v>
      </c>
      <c r="O7738" t="s">
        <v>46</v>
      </c>
      <c r="Q7738" t="s">
        <v>323</v>
      </c>
      <c r="R7738" t="s">
        <v>7057</v>
      </c>
      <c r="S7738" t="s">
        <v>1008</v>
      </c>
    </row>
    <row r="7739" spans="1:19" x14ac:dyDescent="0.25">
      <c r="A7739" t="s">
        <v>59</v>
      </c>
      <c r="B7739" t="s">
        <v>60</v>
      </c>
      <c r="C7739" t="s">
        <v>32</v>
      </c>
      <c r="D7739" t="s">
        <v>953</v>
      </c>
      <c r="E7739" t="s">
        <v>1007</v>
      </c>
      <c r="F7739" t="s">
        <v>35</v>
      </c>
      <c r="G7739" t="s">
        <v>35</v>
      </c>
      <c r="H7739" t="s">
        <v>35</v>
      </c>
      <c r="J7739" t="s">
        <v>7338</v>
      </c>
      <c r="K7739" t="s">
        <v>1092</v>
      </c>
      <c r="M7739">
        <v>0.2</v>
      </c>
      <c r="N7739">
        <v>344</v>
      </c>
      <c r="O7739" t="s">
        <v>5</v>
      </c>
      <c r="Q7739" t="s">
        <v>1859</v>
      </c>
      <c r="R7739" t="s">
        <v>7057</v>
      </c>
      <c r="S7739" t="s">
        <v>1008</v>
      </c>
    </row>
    <row r="7740" spans="1:19" x14ac:dyDescent="0.25">
      <c r="A7740" t="s">
        <v>59</v>
      </c>
      <c r="B7740" t="s">
        <v>31</v>
      </c>
      <c r="C7740" t="s">
        <v>32</v>
      </c>
      <c r="D7740" t="s">
        <v>953</v>
      </c>
      <c r="E7740" t="s">
        <v>1007</v>
      </c>
      <c r="F7740" t="s">
        <v>35</v>
      </c>
      <c r="G7740" t="s">
        <v>35</v>
      </c>
      <c r="H7740" t="s">
        <v>35</v>
      </c>
      <c r="J7740" t="s">
        <v>7338</v>
      </c>
      <c r="K7740" t="s">
        <v>1092</v>
      </c>
      <c r="M7740">
        <v>4.4999999999999998E-2</v>
      </c>
      <c r="N7740">
        <v>555</v>
      </c>
      <c r="O7740" t="s">
        <v>575</v>
      </c>
      <c r="Q7740" t="s">
        <v>4974</v>
      </c>
      <c r="R7740" t="s">
        <v>7057</v>
      </c>
      <c r="S7740" t="s">
        <v>1008</v>
      </c>
    </row>
    <row r="7741" spans="1:19" x14ac:dyDescent="0.25">
      <c r="A7741" t="s">
        <v>59</v>
      </c>
      <c r="B7741" t="s">
        <v>60</v>
      </c>
      <c r="C7741" t="s">
        <v>32</v>
      </c>
      <c r="D7741" t="s">
        <v>953</v>
      </c>
      <c r="E7741" t="s">
        <v>1007</v>
      </c>
      <c r="F7741" t="s">
        <v>35</v>
      </c>
      <c r="G7741" t="s">
        <v>35</v>
      </c>
      <c r="H7741" t="s">
        <v>35</v>
      </c>
      <c r="J7741" t="s">
        <v>7338</v>
      </c>
      <c r="K7741" t="s">
        <v>1092</v>
      </c>
      <c r="M7741">
        <v>0.15</v>
      </c>
      <c r="N7741">
        <v>568</v>
      </c>
      <c r="O7741" t="s">
        <v>575</v>
      </c>
      <c r="Q7741" t="s">
        <v>7339</v>
      </c>
      <c r="R7741" t="s">
        <v>7057</v>
      </c>
      <c r="S7741" t="s">
        <v>1008</v>
      </c>
    </row>
    <row r="7742" spans="1:19" x14ac:dyDescent="0.25">
      <c r="A7742" t="s">
        <v>59</v>
      </c>
      <c r="B7742" t="s">
        <v>31</v>
      </c>
      <c r="C7742" t="s">
        <v>32</v>
      </c>
      <c r="D7742" t="s">
        <v>953</v>
      </c>
      <c r="E7742" t="s">
        <v>1007</v>
      </c>
      <c r="F7742" t="s">
        <v>35</v>
      </c>
      <c r="G7742" t="s">
        <v>35</v>
      </c>
      <c r="H7742" t="s">
        <v>35</v>
      </c>
      <c r="J7742" t="s">
        <v>7340</v>
      </c>
      <c r="K7742" t="s">
        <v>1092</v>
      </c>
      <c r="M7742">
        <v>0.73</v>
      </c>
      <c r="N7742">
        <v>224</v>
      </c>
      <c r="O7742" t="s">
        <v>5</v>
      </c>
      <c r="Q7742" t="s">
        <v>1150</v>
      </c>
      <c r="R7742" t="s">
        <v>6807</v>
      </c>
      <c r="S7742" t="s">
        <v>1066</v>
      </c>
    </row>
    <row r="7743" spans="1:19" x14ac:dyDescent="0.25">
      <c r="A7743" t="s">
        <v>59</v>
      </c>
      <c r="B7743" t="s">
        <v>60</v>
      </c>
      <c r="C7743" t="s">
        <v>32</v>
      </c>
      <c r="D7743" t="s">
        <v>953</v>
      </c>
      <c r="E7743" t="s">
        <v>1007</v>
      </c>
      <c r="F7743" t="s">
        <v>35</v>
      </c>
      <c r="G7743" t="s">
        <v>35</v>
      </c>
      <c r="H7743" t="s">
        <v>35</v>
      </c>
      <c r="J7743" t="s">
        <v>7340</v>
      </c>
      <c r="K7743" t="s">
        <v>1092</v>
      </c>
      <c r="M7743">
        <v>1.79</v>
      </c>
      <c r="N7743">
        <v>91</v>
      </c>
      <c r="O7743" t="s">
        <v>106</v>
      </c>
      <c r="Q7743" t="s">
        <v>1147</v>
      </c>
      <c r="R7743" t="s">
        <v>6723</v>
      </c>
      <c r="S7743" t="s">
        <v>6724</v>
      </c>
    </row>
    <row r="7744" spans="1:19" x14ac:dyDescent="0.25">
      <c r="A7744" t="s">
        <v>59</v>
      </c>
      <c r="B7744" t="s">
        <v>60</v>
      </c>
      <c r="C7744" t="s">
        <v>32</v>
      </c>
      <c r="D7744" t="s">
        <v>953</v>
      </c>
      <c r="E7744" t="s">
        <v>1007</v>
      </c>
      <c r="F7744" t="s">
        <v>35</v>
      </c>
      <c r="G7744" t="s">
        <v>35</v>
      </c>
      <c r="H7744" t="s">
        <v>35</v>
      </c>
      <c r="J7744" t="s">
        <v>7341</v>
      </c>
      <c r="K7744" t="s">
        <v>1092</v>
      </c>
      <c r="M7744">
        <v>1</v>
      </c>
      <c r="N7744">
        <v>81</v>
      </c>
      <c r="O7744" t="s">
        <v>61</v>
      </c>
      <c r="Q7744" t="s">
        <v>527</v>
      </c>
      <c r="R7744" t="s">
        <v>6723</v>
      </c>
      <c r="S7744" t="s">
        <v>6724</v>
      </c>
    </row>
    <row r="7745" spans="1:19" x14ac:dyDescent="0.25">
      <c r="A7745" t="s">
        <v>59</v>
      </c>
      <c r="B7745" t="s">
        <v>31</v>
      </c>
      <c r="C7745" t="s">
        <v>32</v>
      </c>
      <c r="D7745" t="s">
        <v>953</v>
      </c>
      <c r="E7745" t="s">
        <v>1007</v>
      </c>
      <c r="F7745" t="s">
        <v>35</v>
      </c>
      <c r="G7745" t="s">
        <v>35</v>
      </c>
      <c r="H7745" t="s">
        <v>35</v>
      </c>
      <c r="J7745" t="s">
        <v>4697</v>
      </c>
      <c r="K7745" t="s">
        <v>1092</v>
      </c>
      <c r="M7745">
        <v>4.4999999999999998E-2</v>
      </c>
      <c r="N7745">
        <v>182</v>
      </c>
      <c r="O7745" t="s">
        <v>5</v>
      </c>
      <c r="Q7745" t="s">
        <v>1764</v>
      </c>
      <c r="R7745" t="s">
        <v>6705</v>
      </c>
      <c r="S7745" t="s">
        <v>981</v>
      </c>
    </row>
    <row r="7746" spans="1:19" x14ac:dyDescent="0.25">
      <c r="A7746" t="s">
        <v>30</v>
      </c>
      <c r="B7746" t="s">
        <v>31</v>
      </c>
      <c r="C7746" t="s">
        <v>32</v>
      </c>
      <c r="D7746" t="s">
        <v>953</v>
      </c>
      <c r="E7746" t="s">
        <v>1007</v>
      </c>
      <c r="F7746" t="s">
        <v>35</v>
      </c>
      <c r="G7746" t="s">
        <v>35</v>
      </c>
      <c r="H7746" t="s">
        <v>35</v>
      </c>
      <c r="J7746" t="s">
        <v>4697</v>
      </c>
      <c r="K7746" t="s">
        <v>1092</v>
      </c>
      <c r="M7746">
        <v>0.13500000000000001</v>
      </c>
      <c r="N7746">
        <v>279</v>
      </c>
      <c r="O7746" t="s">
        <v>5</v>
      </c>
      <c r="Q7746" t="s">
        <v>1717</v>
      </c>
      <c r="R7746" t="s">
        <v>987</v>
      </c>
      <c r="S7746" t="s">
        <v>988</v>
      </c>
    </row>
    <row r="7747" spans="1:19" x14ac:dyDescent="0.25">
      <c r="A7747" t="s">
        <v>59</v>
      </c>
      <c r="B7747" t="s">
        <v>60</v>
      </c>
      <c r="C7747" t="s">
        <v>32</v>
      </c>
      <c r="D7747" t="s">
        <v>953</v>
      </c>
      <c r="E7747" t="s">
        <v>1015</v>
      </c>
      <c r="F7747" t="s">
        <v>35</v>
      </c>
      <c r="G7747" t="s">
        <v>35</v>
      </c>
      <c r="H7747" t="s">
        <v>35</v>
      </c>
      <c r="J7747" t="s">
        <v>7342</v>
      </c>
      <c r="K7747" t="s">
        <v>1092</v>
      </c>
      <c r="M7747">
        <v>5</v>
      </c>
      <c r="N7747">
        <v>79</v>
      </c>
      <c r="O7747" t="s">
        <v>61</v>
      </c>
      <c r="Q7747" t="s">
        <v>1156</v>
      </c>
      <c r="R7747" t="s">
        <v>6885</v>
      </c>
      <c r="S7747" t="s">
        <v>6886</v>
      </c>
    </row>
    <row r="7748" spans="1:19" x14ac:dyDescent="0.25">
      <c r="A7748" t="s">
        <v>59</v>
      </c>
      <c r="B7748" t="s">
        <v>60</v>
      </c>
      <c r="C7748" t="s">
        <v>32</v>
      </c>
      <c r="D7748" t="s">
        <v>953</v>
      </c>
      <c r="E7748" t="s">
        <v>1015</v>
      </c>
      <c r="F7748" t="s">
        <v>35</v>
      </c>
      <c r="G7748" t="s">
        <v>35</v>
      </c>
      <c r="H7748" t="s">
        <v>35</v>
      </c>
      <c r="J7748" t="s">
        <v>7342</v>
      </c>
      <c r="K7748" t="s">
        <v>1092</v>
      </c>
      <c r="M7748">
        <v>0.45</v>
      </c>
      <c r="N7748">
        <v>243</v>
      </c>
      <c r="O7748" t="s">
        <v>5</v>
      </c>
      <c r="Q7748" t="s">
        <v>1151</v>
      </c>
      <c r="R7748" t="s">
        <v>6705</v>
      </c>
      <c r="S7748" t="s">
        <v>981</v>
      </c>
    </row>
    <row r="7749" spans="1:19" x14ac:dyDescent="0.25">
      <c r="A7749" t="s">
        <v>59</v>
      </c>
      <c r="B7749" t="s">
        <v>31</v>
      </c>
      <c r="C7749" t="s">
        <v>32</v>
      </c>
      <c r="D7749" t="s">
        <v>953</v>
      </c>
      <c r="E7749" t="s">
        <v>1015</v>
      </c>
      <c r="F7749" t="s">
        <v>35</v>
      </c>
      <c r="G7749" t="s">
        <v>35</v>
      </c>
      <c r="H7749" t="s">
        <v>35</v>
      </c>
      <c r="J7749" t="s">
        <v>7342</v>
      </c>
      <c r="K7749" t="s">
        <v>1092</v>
      </c>
      <c r="M7749">
        <v>2.1150000000000002</v>
      </c>
      <c r="N7749">
        <v>213</v>
      </c>
      <c r="O7749" t="s">
        <v>5</v>
      </c>
      <c r="Q7749" t="s">
        <v>1298</v>
      </c>
      <c r="R7749" t="s">
        <v>133</v>
      </c>
      <c r="S7749" t="s">
        <v>134</v>
      </c>
    </row>
    <row r="7750" spans="1:19" x14ac:dyDescent="0.25">
      <c r="A7750" t="s">
        <v>30</v>
      </c>
      <c r="B7750" t="s">
        <v>31</v>
      </c>
      <c r="C7750" t="s">
        <v>32</v>
      </c>
      <c r="D7750" t="s">
        <v>953</v>
      </c>
      <c r="E7750" t="s">
        <v>1015</v>
      </c>
      <c r="F7750" t="s">
        <v>35</v>
      </c>
      <c r="G7750" t="s">
        <v>35</v>
      </c>
      <c r="H7750" t="s">
        <v>35</v>
      </c>
      <c r="J7750" t="s">
        <v>7342</v>
      </c>
      <c r="K7750" t="s">
        <v>1092</v>
      </c>
      <c r="M7750">
        <v>9.99</v>
      </c>
      <c r="N7750">
        <v>25</v>
      </c>
      <c r="O7750" t="s">
        <v>46</v>
      </c>
      <c r="Q7750" t="s">
        <v>831</v>
      </c>
      <c r="R7750" t="s">
        <v>987</v>
      </c>
      <c r="S7750" t="s">
        <v>988</v>
      </c>
    </row>
    <row r="7751" spans="1:19" x14ac:dyDescent="0.25">
      <c r="A7751" t="s">
        <v>59</v>
      </c>
      <c r="B7751" t="s">
        <v>60</v>
      </c>
      <c r="C7751" t="s">
        <v>32</v>
      </c>
      <c r="D7751" t="s">
        <v>953</v>
      </c>
      <c r="E7751" t="s">
        <v>1015</v>
      </c>
      <c r="F7751" t="s">
        <v>35</v>
      </c>
      <c r="G7751" t="s">
        <v>35</v>
      </c>
      <c r="H7751" t="s">
        <v>35</v>
      </c>
      <c r="J7751" t="s">
        <v>6391</v>
      </c>
      <c r="K7751" t="s">
        <v>1092</v>
      </c>
      <c r="M7751">
        <v>6.45</v>
      </c>
      <c r="N7751">
        <v>62</v>
      </c>
      <c r="O7751" t="s">
        <v>61</v>
      </c>
      <c r="Q7751" t="s">
        <v>90</v>
      </c>
      <c r="R7751" t="s">
        <v>6742</v>
      </c>
      <c r="S7751" t="s">
        <v>1016</v>
      </c>
    </row>
    <row r="7752" spans="1:19" x14ac:dyDescent="0.25">
      <c r="A7752" t="s">
        <v>59</v>
      </c>
      <c r="B7752" t="s">
        <v>60</v>
      </c>
      <c r="C7752" t="s">
        <v>32</v>
      </c>
      <c r="D7752" t="s">
        <v>953</v>
      </c>
      <c r="E7752" t="s">
        <v>1015</v>
      </c>
      <c r="F7752" t="s">
        <v>35</v>
      </c>
      <c r="G7752" t="s">
        <v>35</v>
      </c>
      <c r="H7752" t="s">
        <v>35</v>
      </c>
      <c r="J7752" t="s">
        <v>7343</v>
      </c>
      <c r="K7752" t="s">
        <v>1092</v>
      </c>
      <c r="M7752">
        <v>2.4</v>
      </c>
      <c r="N7752">
        <v>68</v>
      </c>
      <c r="O7752" t="s">
        <v>61</v>
      </c>
      <c r="Q7752" t="s">
        <v>146</v>
      </c>
      <c r="R7752" t="s">
        <v>6709</v>
      </c>
      <c r="S7752" t="s">
        <v>1022</v>
      </c>
    </row>
    <row r="7753" spans="1:19" x14ac:dyDescent="0.25">
      <c r="A7753" t="s">
        <v>59</v>
      </c>
      <c r="B7753" t="s">
        <v>60</v>
      </c>
      <c r="C7753" t="s">
        <v>32</v>
      </c>
      <c r="D7753" t="s">
        <v>953</v>
      </c>
      <c r="E7753" t="s">
        <v>1015</v>
      </c>
      <c r="F7753" t="s">
        <v>35</v>
      </c>
      <c r="G7753" t="s">
        <v>35</v>
      </c>
      <c r="H7753" t="s">
        <v>35</v>
      </c>
      <c r="J7753" t="s">
        <v>7343</v>
      </c>
      <c r="K7753" t="s">
        <v>1092</v>
      </c>
      <c r="M7753">
        <v>1</v>
      </c>
      <c r="N7753">
        <v>42</v>
      </c>
      <c r="O7753" t="s">
        <v>52</v>
      </c>
      <c r="Q7753" t="s">
        <v>991</v>
      </c>
      <c r="R7753" t="s">
        <v>6847</v>
      </c>
      <c r="S7753" t="s">
        <v>1034</v>
      </c>
    </row>
    <row r="7754" spans="1:19" x14ac:dyDescent="0.25">
      <c r="A7754" t="s">
        <v>44</v>
      </c>
      <c r="B7754" t="s">
        <v>3</v>
      </c>
      <c r="C7754" t="s">
        <v>32</v>
      </c>
      <c r="D7754" t="s">
        <v>953</v>
      </c>
      <c r="E7754" t="s">
        <v>1015</v>
      </c>
      <c r="F7754" t="s">
        <v>35</v>
      </c>
      <c r="G7754" t="s">
        <v>35</v>
      </c>
      <c r="H7754" t="s">
        <v>35</v>
      </c>
      <c r="J7754" t="s">
        <v>7343</v>
      </c>
      <c r="K7754" t="s">
        <v>1092</v>
      </c>
      <c r="M7754">
        <v>1</v>
      </c>
      <c r="N7754">
        <v>42</v>
      </c>
      <c r="O7754" t="s">
        <v>52</v>
      </c>
      <c r="Q7754" t="s">
        <v>991</v>
      </c>
      <c r="R7754" t="s">
        <v>6847</v>
      </c>
      <c r="S7754" t="s">
        <v>1034</v>
      </c>
    </row>
    <row r="7755" spans="1:19" x14ac:dyDescent="0.25">
      <c r="A7755" t="s">
        <v>59</v>
      </c>
      <c r="B7755" t="s">
        <v>31</v>
      </c>
      <c r="C7755" t="s">
        <v>32</v>
      </c>
      <c r="D7755" t="s">
        <v>953</v>
      </c>
      <c r="E7755" t="s">
        <v>1015</v>
      </c>
      <c r="F7755" t="s">
        <v>35</v>
      </c>
      <c r="G7755" t="s">
        <v>35</v>
      </c>
      <c r="H7755" t="s">
        <v>35</v>
      </c>
      <c r="J7755" t="s">
        <v>7344</v>
      </c>
      <c r="K7755" t="s">
        <v>1092</v>
      </c>
      <c r="M7755">
        <v>2.4750000000000001</v>
      </c>
      <c r="N7755">
        <v>62</v>
      </c>
      <c r="O7755" t="s">
        <v>61</v>
      </c>
      <c r="Q7755" t="s">
        <v>90</v>
      </c>
      <c r="R7755" t="s">
        <v>6847</v>
      </c>
      <c r="S7755" t="s">
        <v>1034</v>
      </c>
    </row>
    <row r="7756" spans="1:19" x14ac:dyDescent="0.25">
      <c r="A7756" t="s">
        <v>44</v>
      </c>
      <c r="B7756" t="s">
        <v>3</v>
      </c>
      <c r="C7756" t="s">
        <v>32</v>
      </c>
      <c r="D7756" t="s">
        <v>953</v>
      </c>
      <c r="E7756" t="s">
        <v>1015</v>
      </c>
      <c r="F7756" t="s">
        <v>35</v>
      </c>
      <c r="G7756" t="s">
        <v>35</v>
      </c>
      <c r="H7756" t="s">
        <v>35</v>
      </c>
      <c r="J7756" t="s">
        <v>7344</v>
      </c>
      <c r="K7756" t="s">
        <v>1092</v>
      </c>
      <c r="M7756">
        <v>1.95</v>
      </c>
      <c r="N7756">
        <v>65</v>
      </c>
      <c r="O7756" t="s">
        <v>61</v>
      </c>
      <c r="Q7756" t="s">
        <v>128</v>
      </c>
      <c r="R7756" t="s">
        <v>6847</v>
      </c>
      <c r="S7756" t="s">
        <v>1034</v>
      </c>
    </row>
    <row r="7757" spans="1:19" x14ac:dyDescent="0.25">
      <c r="A7757" t="s">
        <v>59</v>
      </c>
      <c r="B7757" t="s">
        <v>31</v>
      </c>
      <c r="C7757" t="s">
        <v>32</v>
      </c>
      <c r="D7757" t="s">
        <v>953</v>
      </c>
      <c r="E7757" t="s">
        <v>1015</v>
      </c>
      <c r="F7757" t="s">
        <v>35</v>
      </c>
      <c r="G7757" t="s">
        <v>35</v>
      </c>
      <c r="H7757" t="s">
        <v>35</v>
      </c>
      <c r="J7757" t="s">
        <v>7344</v>
      </c>
      <c r="K7757" t="s">
        <v>1092</v>
      </c>
      <c r="M7757">
        <v>2.88</v>
      </c>
      <c r="N7757">
        <v>68</v>
      </c>
      <c r="O7757" t="s">
        <v>61</v>
      </c>
      <c r="Q7757" t="s">
        <v>146</v>
      </c>
      <c r="R7757" t="s">
        <v>6709</v>
      </c>
      <c r="S7757" t="s">
        <v>1022</v>
      </c>
    </row>
    <row r="7758" spans="1:19" x14ac:dyDescent="0.25">
      <c r="A7758" t="s">
        <v>59</v>
      </c>
      <c r="B7758" t="s">
        <v>60</v>
      </c>
      <c r="C7758" t="s">
        <v>32</v>
      </c>
      <c r="D7758" t="s">
        <v>953</v>
      </c>
      <c r="E7758" t="s">
        <v>1015</v>
      </c>
      <c r="F7758" t="s">
        <v>35</v>
      </c>
      <c r="G7758" t="s">
        <v>35</v>
      </c>
      <c r="H7758" t="s">
        <v>35</v>
      </c>
      <c r="J7758" t="s">
        <v>7345</v>
      </c>
      <c r="K7758" t="s">
        <v>1092</v>
      </c>
      <c r="M7758">
        <v>5.75</v>
      </c>
      <c r="N7758">
        <v>60</v>
      </c>
      <c r="O7758" t="s">
        <v>52</v>
      </c>
      <c r="Q7758" t="s">
        <v>1734</v>
      </c>
      <c r="R7758" t="s">
        <v>133</v>
      </c>
      <c r="S7758" t="s">
        <v>134</v>
      </c>
    </row>
    <row r="7759" spans="1:19" x14ac:dyDescent="0.25">
      <c r="A7759" t="s">
        <v>59</v>
      </c>
      <c r="B7759" t="s">
        <v>60</v>
      </c>
      <c r="C7759" t="s">
        <v>32</v>
      </c>
      <c r="D7759" t="s">
        <v>953</v>
      </c>
      <c r="E7759" t="s">
        <v>1015</v>
      </c>
      <c r="F7759" t="s">
        <v>35</v>
      </c>
      <c r="G7759" t="s">
        <v>35</v>
      </c>
      <c r="H7759" t="s">
        <v>35</v>
      </c>
      <c r="J7759" t="s">
        <v>7346</v>
      </c>
      <c r="K7759" t="s">
        <v>1092</v>
      </c>
      <c r="M7759">
        <v>0.1</v>
      </c>
      <c r="N7759">
        <v>157</v>
      </c>
      <c r="O7759" t="s">
        <v>38</v>
      </c>
      <c r="Q7759" t="s">
        <v>1145</v>
      </c>
      <c r="R7759" t="s">
        <v>133</v>
      </c>
      <c r="S7759" t="s">
        <v>134</v>
      </c>
    </row>
    <row r="7760" spans="1:19" x14ac:dyDescent="0.25">
      <c r="A7760" t="s">
        <v>59</v>
      </c>
      <c r="B7760" t="s">
        <v>60</v>
      </c>
      <c r="C7760" t="s">
        <v>32</v>
      </c>
      <c r="D7760" t="s">
        <v>953</v>
      </c>
      <c r="E7760" t="s">
        <v>1015</v>
      </c>
      <c r="F7760" t="s">
        <v>35</v>
      </c>
      <c r="G7760" t="s">
        <v>35</v>
      </c>
      <c r="H7760" t="s">
        <v>35</v>
      </c>
      <c r="J7760" t="s">
        <v>7346</v>
      </c>
      <c r="K7760" t="s">
        <v>1092</v>
      </c>
      <c r="M7760">
        <v>0.25</v>
      </c>
      <c r="N7760">
        <v>72</v>
      </c>
      <c r="O7760" t="s">
        <v>61</v>
      </c>
      <c r="Q7760" t="s">
        <v>63</v>
      </c>
      <c r="R7760" t="s">
        <v>133</v>
      </c>
      <c r="S7760" t="s">
        <v>134</v>
      </c>
    </row>
    <row r="7761" spans="1:19" x14ac:dyDescent="0.25">
      <c r="A7761" t="s">
        <v>59</v>
      </c>
      <c r="B7761" t="s">
        <v>31</v>
      </c>
      <c r="C7761" t="s">
        <v>32</v>
      </c>
      <c r="D7761" t="s">
        <v>953</v>
      </c>
      <c r="E7761" t="s">
        <v>1015</v>
      </c>
      <c r="F7761" t="s">
        <v>35</v>
      </c>
      <c r="G7761" t="s">
        <v>35</v>
      </c>
      <c r="H7761" t="s">
        <v>35</v>
      </c>
      <c r="J7761" t="s">
        <v>7347</v>
      </c>
      <c r="K7761" t="s">
        <v>1092</v>
      </c>
      <c r="M7761">
        <v>1.35</v>
      </c>
      <c r="N7761">
        <v>54</v>
      </c>
      <c r="O7761" t="s">
        <v>52</v>
      </c>
      <c r="Q7761" t="s">
        <v>1207</v>
      </c>
      <c r="R7761" t="s">
        <v>6709</v>
      </c>
      <c r="S7761" t="s">
        <v>1022</v>
      </c>
    </row>
    <row r="7762" spans="1:19" x14ac:dyDescent="0.25">
      <c r="A7762" t="s">
        <v>59</v>
      </c>
      <c r="B7762" t="s">
        <v>60</v>
      </c>
      <c r="C7762" t="s">
        <v>32</v>
      </c>
      <c r="D7762" t="s">
        <v>953</v>
      </c>
      <c r="E7762" t="s">
        <v>1015</v>
      </c>
      <c r="F7762" t="s">
        <v>35</v>
      </c>
      <c r="G7762" t="s">
        <v>35</v>
      </c>
      <c r="H7762" t="s">
        <v>35</v>
      </c>
      <c r="J7762" t="s">
        <v>7348</v>
      </c>
      <c r="K7762" t="s">
        <v>1092</v>
      </c>
      <c r="M7762">
        <v>0.45</v>
      </c>
      <c r="N7762">
        <v>73</v>
      </c>
      <c r="O7762" t="s">
        <v>61</v>
      </c>
      <c r="Q7762" t="s">
        <v>552</v>
      </c>
      <c r="R7762" t="s">
        <v>133</v>
      </c>
      <c r="S7762" t="s">
        <v>134</v>
      </c>
    </row>
    <row r="7763" spans="1:19" x14ac:dyDescent="0.25">
      <c r="A7763" t="s">
        <v>59</v>
      </c>
      <c r="B7763" t="s">
        <v>60</v>
      </c>
      <c r="C7763" t="s">
        <v>32</v>
      </c>
      <c r="D7763" t="s">
        <v>953</v>
      </c>
      <c r="E7763" t="s">
        <v>1015</v>
      </c>
      <c r="F7763" t="s">
        <v>35</v>
      </c>
      <c r="G7763" t="s">
        <v>35</v>
      </c>
      <c r="H7763" t="s">
        <v>35</v>
      </c>
      <c r="J7763" t="s">
        <v>7349</v>
      </c>
      <c r="K7763" t="s">
        <v>1092</v>
      </c>
      <c r="M7763">
        <v>1</v>
      </c>
      <c r="N7763">
        <v>54</v>
      </c>
      <c r="O7763" t="s">
        <v>52</v>
      </c>
      <c r="Q7763" t="s">
        <v>1207</v>
      </c>
      <c r="R7763" t="s">
        <v>6847</v>
      </c>
      <c r="S7763" t="s">
        <v>1034</v>
      </c>
    </row>
    <row r="7764" spans="1:19" x14ac:dyDescent="0.25">
      <c r="A7764" t="s">
        <v>59</v>
      </c>
      <c r="B7764" t="s">
        <v>60</v>
      </c>
      <c r="C7764" t="s">
        <v>32</v>
      </c>
      <c r="D7764" t="s">
        <v>953</v>
      </c>
      <c r="E7764" t="s">
        <v>1015</v>
      </c>
      <c r="F7764" t="s">
        <v>35</v>
      </c>
      <c r="G7764" t="s">
        <v>35</v>
      </c>
      <c r="H7764" t="s">
        <v>35</v>
      </c>
      <c r="J7764" t="s">
        <v>7349</v>
      </c>
      <c r="K7764" t="s">
        <v>1092</v>
      </c>
      <c r="M7764">
        <v>0.6</v>
      </c>
      <c r="N7764">
        <v>61</v>
      </c>
      <c r="O7764" t="s">
        <v>61</v>
      </c>
      <c r="Q7764" t="s">
        <v>671</v>
      </c>
      <c r="R7764" t="s">
        <v>6847</v>
      </c>
      <c r="S7764" t="s">
        <v>1034</v>
      </c>
    </row>
    <row r="7765" spans="1:19" x14ac:dyDescent="0.25">
      <c r="A7765" t="s">
        <v>30</v>
      </c>
      <c r="B7765" t="s">
        <v>31</v>
      </c>
      <c r="C7765" t="s">
        <v>32</v>
      </c>
      <c r="D7765" t="s">
        <v>953</v>
      </c>
      <c r="E7765" t="s">
        <v>1015</v>
      </c>
      <c r="F7765" t="s">
        <v>35</v>
      </c>
      <c r="G7765" t="s">
        <v>35</v>
      </c>
      <c r="H7765" t="s">
        <v>35</v>
      </c>
      <c r="J7765" t="s">
        <v>7349</v>
      </c>
      <c r="K7765" t="s">
        <v>1092</v>
      </c>
      <c r="M7765">
        <v>4.9950000000000001</v>
      </c>
      <c r="N7765">
        <v>9</v>
      </c>
      <c r="O7765" t="s">
        <v>46</v>
      </c>
      <c r="Q7765" t="s">
        <v>2009</v>
      </c>
      <c r="R7765" t="s">
        <v>6847</v>
      </c>
      <c r="S7765" t="s">
        <v>1034</v>
      </c>
    </row>
    <row r="7766" spans="1:19" x14ac:dyDescent="0.25">
      <c r="A7766" t="s">
        <v>30</v>
      </c>
      <c r="B7766" t="s">
        <v>31</v>
      </c>
      <c r="C7766" t="s">
        <v>32</v>
      </c>
      <c r="D7766" t="s">
        <v>953</v>
      </c>
      <c r="E7766" t="s">
        <v>1015</v>
      </c>
      <c r="F7766" t="s">
        <v>35</v>
      </c>
      <c r="G7766" t="s">
        <v>35</v>
      </c>
      <c r="H7766" t="s">
        <v>35</v>
      </c>
      <c r="J7766" t="s">
        <v>7350</v>
      </c>
      <c r="K7766" t="s">
        <v>1092</v>
      </c>
      <c r="M7766">
        <v>8.9550000000000001</v>
      </c>
      <c r="N7766">
        <v>73</v>
      </c>
      <c r="O7766" t="s">
        <v>61</v>
      </c>
      <c r="Q7766" t="s">
        <v>552</v>
      </c>
      <c r="R7766" t="s">
        <v>6705</v>
      </c>
      <c r="S7766" t="s">
        <v>981</v>
      </c>
    </row>
    <row r="7767" spans="1:19" x14ac:dyDescent="0.25">
      <c r="A7767" t="s">
        <v>59</v>
      </c>
      <c r="B7767" t="s">
        <v>60</v>
      </c>
      <c r="C7767" t="s">
        <v>32</v>
      </c>
      <c r="D7767" t="s">
        <v>953</v>
      </c>
      <c r="E7767" t="s">
        <v>1015</v>
      </c>
      <c r="F7767" t="s">
        <v>35</v>
      </c>
      <c r="G7767" t="s">
        <v>35</v>
      </c>
      <c r="H7767" t="s">
        <v>35</v>
      </c>
      <c r="J7767" t="s">
        <v>7350</v>
      </c>
      <c r="K7767" t="s">
        <v>1092</v>
      </c>
      <c r="M7767">
        <v>0.25</v>
      </c>
      <c r="N7767">
        <v>142</v>
      </c>
      <c r="O7767" t="s">
        <v>38</v>
      </c>
      <c r="Q7767" t="s">
        <v>2067</v>
      </c>
      <c r="R7767" t="s">
        <v>133</v>
      </c>
      <c r="S7767" t="s">
        <v>134</v>
      </c>
    </row>
    <row r="7768" spans="1:19" x14ac:dyDescent="0.25">
      <c r="A7768" t="s">
        <v>30</v>
      </c>
      <c r="B7768" t="s">
        <v>31</v>
      </c>
      <c r="C7768" t="s">
        <v>32</v>
      </c>
      <c r="D7768" t="s">
        <v>953</v>
      </c>
      <c r="E7768" t="s">
        <v>1015</v>
      </c>
      <c r="F7768" t="s">
        <v>35</v>
      </c>
      <c r="G7768" t="s">
        <v>35</v>
      </c>
      <c r="H7768" t="s">
        <v>35</v>
      </c>
      <c r="J7768" t="s">
        <v>7352</v>
      </c>
      <c r="K7768" t="s">
        <v>1092</v>
      </c>
      <c r="M7768">
        <v>7.83</v>
      </c>
      <c r="N7768">
        <v>22</v>
      </c>
      <c r="O7768" t="s">
        <v>46</v>
      </c>
      <c r="Q7768" t="s">
        <v>979</v>
      </c>
      <c r="R7768" t="s">
        <v>6723</v>
      </c>
      <c r="S7768" t="s">
        <v>6724</v>
      </c>
    </row>
    <row r="7769" spans="1:19" x14ac:dyDescent="0.25">
      <c r="A7769" t="s">
        <v>44</v>
      </c>
      <c r="B7769" t="s">
        <v>3</v>
      </c>
      <c r="C7769" t="s">
        <v>32</v>
      </c>
      <c r="D7769" t="s">
        <v>953</v>
      </c>
      <c r="E7769" t="s">
        <v>1015</v>
      </c>
      <c r="F7769" t="s">
        <v>35</v>
      </c>
      <c r="G7769" t="s">
        <v>35</v>
      </c>
      <c r="H7769" t="s">
        <v>35</v>
      </c>
      <c r="J7769" t="s">
        <v>7353</v>
      </c>
      <c r="K7769" t="s">
        <v>1092</v>
      </c>
      <c r="M7769">
        <v>0.15</v>
      </c>
      <c r="N7769">
        <v>61</v>
      </c>
      <c r="O7769" t="s">
        <v>61</v>
      </c>
      <c r="Q7769" t="s">
        <v>671</v>
      </c>
      <c r="R7769" t="s">
        <v>6847</v>
      </c>
      <c r="S7769" t="s">
        <v>1034</v>
      </c>
    </row>
    <row r="7770" spans="1:19" x14ac:dyDescent="0.25">
      <c r="A7770" t="s">
        <v>44</v>
      </c>
      <c r="B7770" t="s">
        <v>3</v>
      </c>
      <c r="C7770" t="s">
        <v>32</v>
      </c>
      <c r="D7770" t="s">
        <v>953</v>
      </c>
      <c r="E7770" t="s">
        <v>1015</v>
      </c>
      <c r="F7770" t="s">
        <v>35</v>
      </c>
      <c r="G7770" t="s">
        <v>35</v>
      </c>
      <c r="H7770" t="s">
        <v>35</v>
      </c>
      <c r="J7770" t="s">
        <v>1705</v>
      </c>
      <c r="K7770" t="s">
        <v>1092</v>
      </c>
      <c r="M7770">
        <v>1.2</v>
      </c>
      <c r="N7770">
        <v>60</v>
      </c>
      <c r="O7770" t="s">
        <v>52</v>
      </c>
      <c r="Q7770" t="s">
        <v>1734</v>
      </c>
      <c r="R7770" t="s">
        <v>133</v>
      </c>
      <c r="S7770" t="s">
        <v>134</v>
      </c>
    </row>
    <row r="7771" spans="1:19" x14ac:dyDescent="0.25">
      <c r="A7771" t="s">
        <v>59</v>
      </c>
      <c r="B7771" t="s">
        <v>60</v>
      </c>
      <c r="C7771" t="s">
        <v>32</v>
      </c>
      <c r="D7771" t="s">
        <v>953</v>
      </c>
      <c r="E7771" t="s">
        <v>1015</v>
      </c>
      <c r="F7771" t="s">
        <v>35</v>
      </c>
      <c r="G7771" t="s">
        <v>35</v>
      </c>
      <c r="H7771" t="s">
        <v>35</v>
      </c>
      <c r="J7771" t="s">
        <v>1705</v>
      </c>
      <c r="K7771" t="s">
        <v>1092</v>
      </c>
      <c r="M7771">
        <v>6.7960000000000003</v>
      </c>
      <c r="N7771">
        <v>62</v>
      </c>
      <c r="O7771" t="s">
        <v>61</v>
      </c>
      <c r="Q7771" t="s">
        <v>90</v>
      </c>
      <c r="R7771" t="s">
        <v>987</v>
      </c>
      <c r="S7771" t="s">
        <v>988</v>
      </c>
    </row>
    <row r="7772" spans="1:19" x14ac:dyDescent="0.25">
      <c r="A7772" t="s">
        <v>59</v>
      </c>
      <c r="B7772" t="s">
        <v>60</v>
      </c>
      <c r="C7772" t="s">
        <v>32</v>
      </c>
      <c r="D7772" t="s">
        <v>953</v>
      </c>
      <c r="E7772" t="s">
        <v>1015</v>
      </c>
      <c r="F7772" t="s">
        <v>35</v>
      </c>
      <c r="G7772" t="s">
        <v>35</v>
      </c>
      <c r="H7772" t="s">
        <v>35</v>
      </c>
      <c r="J7772" t="s">
        <v>7355</v>
      </c>
      <c r="K7772" t="s">
        <v>1092</v>
      </c>
      <c r="M7772">
        <v>2.4049999999999998</v>
      </c>
      <c r="N7772">
        <v>180</v>
      </c>
      <c r="O7772" t="s">
        <v>38</v>
      </c>
      <c r="Q7772" t="s">
        <v>2138</v>
      </c>
      <c r="R7772" t="s">
        <v>6709</v>
      </c>
      <c r="S7772" t="s">
        <v>1022</v>
      </c>
    </row>
    <row r="7773" spans="1:19" x14ac:dyDescent="0.25">
      <c r="A7773" t="s">
        <v>59</v>
      </c>
      <c r="B7773" t="s">
        <v>60</v>
      </c>
      <c r="C7773" t="s">
        <v>32</v>
      </c>
      <c r="D7773" t="s">
        <v>953</v>
      </c>
      <c r="E7773" t="s">
        <v>1015</v>
      </c>
      <c r="F7773" t="s">
        <v>35</v>
      </c>
      <c r="G7773" t="s">
        <v>35</v>
      </c>
      <c r="H7773" t="s">
        <v>35</v>
      </c>
      <c r="J7773" t="s">
        <v>7356</v>
      </c>
      <c r="K7773" t="s">
        <v>1092</v>
      </c>
      <c r="M7773">
        <v>0.05</v>
      </c>
      <c r="N7773">
        <v>179</v>
      </c>
      <c r="O7773" t="s">
        <v>38</v>
      </c>
      <c r="Q7773" t="s">
        <v>346</v>
      </c>
      <c r="R7773" t="s">
        <v>133</v>
      </c>
      <c r="S7773" t="s">
        <v>134</v>
      </c>
    </row>
    <row r="7774" spans="1:19" x14ac:dyDescent="0.25">
      <c r="A7774" t="s">
        <v>59</v>
      </c>
      <c r="B7774" t="s">
        <v>60</v>
      </c>
      <c r="C7774" t="s">
        <v>32</v>
      </c>
      <c r="D7774" t="s">
        <v>953</v>
      </c>
      <c r="E7774" t="s">
        <v>1015</v>
      </c>
      <c r="F7774" t="s">
        <v>35</v>
      </c>
      <c r="G7774" t="s">
        <v>35</v>
      </c>
      <c r="H7774" t="s">
        <v>35</v>
      </c>
      <c r="J7774" t="s">
        <v>7357</v>
      </c>
      <c r="K7774" t="s">
        <v>1092</v>
      </c>
      <c r="M7774">
        <v>0.15</v>
      </c>
      <c r="N7774">
        <v>143</v>
      </c>
      <c r="O7774" t="s">
        <v>38</v>
      </c>
      <c r="Q7774" t="s">
        <v>2121</v>
      </c>
      <c r="R7774" t="s">
        <v>133</v>
      </c>
      <c r="S7774" t="s">
        <v>134</v>
      </c>
    </row>
    <row r="7775" spans="1:19" x14ac:dyDescent="0.25">
      <c r="A7775" t="s">
        <v>59</v>
      </c>
      <c r="B7775" t="s">
        <v>31</v>
      </c>
      <c r="C7775" t="s">
        <v>32</v>
      </c>
      <c r="D7775" t="s">
        <v>953</v>
      </c>
      <c r="E7775" t="s">
        <v>1015</v>
      </c>
      <c r="F7775" t="s">
        <v>35</v>
      </c>
      <c r="G7775" t="s">
        <v>35</v>
      </c>
      <c r="H7775" t="s">
        <v>35</v>
      </c>
      <c r="J7775" t="s">
        <v>7357</v>
      </c>
      <c r="K7775" t="s">
        <v>1092</v>
      </c>
      <c r="M7775">
        <v>0.22500000000000001</v>
      </c>
      <c r="N7775">
        <v>40</v>
      </c>
      <c r="O7775" t="s">
        <v>52</v>
      </c>
      <c r="Q7775" t="s">
        <v>130</v>
      </c>
      <c r="R7775" t="s">
        <v>133</v>
      </c>
      <c r="S7775" t="s">
        <v>134</v>
      </c>
    </row>
    <row r="7776" spans="1:19" x14ac:dyDescent="0.25">
      <c r="A7776" t="s">
        <v>59</v>
      </c>
      <c r="B7776" t="s">
        <v>31</v>
      </c>
      <c r="C7776" t="s">
        <v>32</v>
      </c>
      <c r="D7776" t="s">
        <v>953</v>
      </c>
      <c r="E7776" t="s">
        <v>1015</v>
      </c>
      <c r="F7776" t="s">
        <v>35</v>
      </c>
      <c r="G7776" t="s">
        <v>35</v>
      </c>
      <c r="H7776" t="s">
        <v>35</v>
      </c>
      <c r="J7776" t="s">
        <v>7358</v>
      </c>
      <c r="K7776" t="s">
        <v>1092</v>
      </c>
      <c r="M7776">
        <v>2.52</v>
      </c>
      <c r="N7776">
        <v>62</v>
      </c>
      <c r="O7776" t="s">
        <v>61</v>
      </c>
      <c r="Q7776" t="s">
        <v>90</v>
      </c>
      <c r="R7776" t="s">
        <v>6847</v>
      </c>
      <c r="S7776" t="s">
        <v>1034</v>
      </c>
    </row>
    <row r="7777" spans="1:19" x14ac:dyDescent="0.25">
      <c r="A7777" t="s">
        <v>30</v>
      </c>
      <c r="B7777" t="s">
        <v>31</v>
      </c>
      <c r="C7777" t="s">
        <v>32</v>
      </c>
      <c r="D7777" t="s">
        <v>953</v>
      </c>
      <c r="E7777" t="s">
        <v>1015</v>
      </c>
      <c r="F7777" t="s">
        <v>35</v>
      </c>
      <c r="G7777" t="s">
        <v>35</v>
      </c>
      <c r="H7777" t="s">
        <v>35</v>
      </c>
      <c r="J7777" t="s">
        <v>7358</v>
      </c>
      <c r="K7777" t="s">
        <v>1092</v>
      </c>
      <c r="M7777">
        <v>10.98</v>
      </c>
      <c r="N7777">
        <v>48</v>
      </c>
      <c r="O7777" t="s">
        <v>52</v>
      </c>
      <c r="Q7777" t="s">
        <v>496</v>
      </c>
      <c r="R7777" t="s">
        <v>6847</v>
      </c>
      <c r="S7777" t="s">
        <v>1034</v>
      </c>
    </row>
    <row r="7778" spans="1:19" x14ac:dyDescent="0.25">
      <c r="A7778" t="s">
        <v>59</v>
      </c>
      <c r="B7778" t="s">
        <v>60</v>
      </c>
      <c r="C7778" t="s">
        <v>32</v>
      </c>
      <c r="D7778" t="s">
        <v>953</v>
      </c>
      <c r="E7778" t="s">
        <v>1015</v>
      </c>
      <c r="F7778" t="s">
        <v>35</v>
      </c>
      <c r="G7778" t="s">
        <v>35</v>
      </c>
      <c r="H7778" t="s">
        <v>35</v>
      </c>
      <c r="J7778" t="s">
        <v>7358</v>
      </c>
      <c r="K7778" t="s">
        <v>1092</v>
      </c>
      <c r="M7778">
        <v>1.5</v>
      </c>
      <c r="N7778">
        <v>62</v>
      </c>
      <c r="O7778" t="s">
        <v>61</v>
      </c>
      <c r="Q7778" t="s">
        <v>90</v>
      </c>
      <c r="R7778" t="s">
        <v>6847</v>
      </c>
      <c r="S7778" t="s">
        <v>1034</v>
      </c>
    </row>
    <row r="7779" spans="1:19" x14ac:dyDescent="0.25">
      <c r="A7779" t="s">
        <v>44</v>
      </c>
      <c r="B7779" t="s">
        <v>3</v>
      </c>
      <c r="C7779" t="s">
        <v>32</v>
      </c>
      <c r="D7779" t="s">
        <v>953</v>
      </c>
      <c r="E7779" t="s">
        <v>1015</v>
      </c>
      <c r="F7779" t="s">
        <v>35</v>
      </c>
      <c r="G7779" t="s">
        <v>35</v>
      </c>
      <c r="H7779" t="s">
        <v>35</v>
      </c>
      <c r="J7779" t="s">
        <v>7358</v>
      </c>
      <c r="K7779" t="s">
        <v>1092</v>
      </c>
      <c r="M7779">
        <v>4.75</v>
      </c>
      <c r="N7779">
        <v>65</v>
      </c>
      <c r="O7779" t="s">
        <v>61</v>
      </c>
      <c r="Q7779" t="s">
        <v>128</v>
      </c>
      <c r="R7779" t="s">
        <v>6847</v>
      </c>
      <c r="S7779" t="s">
        <v>1034</v>
      </c>
    </row>
    <row r="7780" spans="1:19" x14ac:dyDescent="0.25">
      <c r="A7780" t="s">
        <v>59</v>
      </c>
      <c r="B7780" t="s">
        <v>60</v>
      </c>
      <c r="C7780" t="s">
        <v>32</v>
      </c>
      <c r="D7780" t="s">
        <v>953</v>
      </c>
      <c r="E7780" t="s">
        <v>1015</v>
      </c>
      <c r="F7780" t="s">
        <v>35</v>
      </c>
      <c r="G7780" t="s">
        <v>35</v>
      </c>
      <c r="H7780" t="s">
        <v>35</v>
      </c>
      <c r="J7780" t="s">
        <v>7359</v>
      </c>
      <c r="K7780" t="s">
        <v>1092</v>
      </c>
      <c r="M7780">
        <v>0.8</v>
      </c>
      <c r="N7780">
        <v>251</v>
      </c>
      <c r="O7780" t="s">
        <v>5</v>
      </c>
      <c r="Q7780" t="s">
        <v>1688</v>
      </c>
      <c r="R7780" t="s">
        <v>6847</v>
      </c>
      <c r="S7780" t="s">
        <v>1034</v>
      </c>
    </row>
    <row r="7781" spans="1:19" x14ac:dyDescent="0.25">
      <c r="A7781" t="s">
        <v>59</v>
      </c>
      <c r="B7781" t="s">
        <v>60</v>
      </c>
      <c r="C7781" t="s">
        <v>32</v>
      </c>
      <c r="D7781" t="s">
        <v>953</v>
      </c>
      <c r="E7781" t="s">
        <v>1015</v>
      </c>
      <c r="F7781" t="s">
        <v>35</v>
      </c>
      <c r="G7781" t="s">
        <v>35</v>
      </c>
      <c r="H7781" t="s">
        <v>35</v>
      </c>
      <c r="J7781" t="s">
        <v>7360</v>
      </c>
      <c r="K7781" t="s">
        <v>1092</v>
      </c>
      <c r="M7781">
        <v>1</v>
      </c>
      <c r="N7781">
        <v>77</v>
      </c>
      <c r="O7781" t="s">
        <v>61</v>
      </c>
      <c r="Q7781" t="s">
        <v>305</v>
      </c>
      <c r="R7781" t="s">
        <v>6709</v>
      </c>
      <c r="S7781" t="s">
        <v>1022</v>
      </c>
    </row>
    <row r="7782" spans="1:19" x14ac:dyDescent="0.25">
      <c r="A7782" t="s">
        <v>59</v>
      </c>
      <c r="B7782" t="s">
        <v>60</v>
      </c>
      <c r="C7782" t="s">
        <v>32</v>
      </c>
      <c r="D7782" t="s">
        <v>953</v>
      </c>
      <c r="E7782" t="s">
        <v>1015</v>
      </c>
      <c r="F7782" t="s">
        <v>35</v>
      </c>
      <c r="G7782" t="s">
        <v>35</v>
      </c>
      <c r="H7782" t="s">
        <v>35</v>
      </c>
      <c r="J7782" t="s">
        <v>7360</v>
      </c>
      <c r="K7782" t="s">
        <v>1092</v>
      </c>
      <c r="M7782">
        <v>2</v>
      </c>
      <c r="N7782">
        <v>86</v>
      </c>
      <c r="O7782" t="s">
        <v>61</v>
      </c>
      <c r="Q7782" t="s">
        <v>1076</v>
      </c>
      <c r="R7782" t="s">
        <v>133</v>
      </c>
      <c r="S7782" t="s">
        <v>134</v>
      </c>
    </row>
    <row r="7783" spans="1:19" x14ac:dyDescent="0.25">
      <c r="A7783" t="s">
        <v>30</v>
      </c>
      <c r="B7783" t="s">
        <v>31</v>
      </c>
      <c r="C7783" t="s">
        <v>32</v>
      </c>
      <c r="D7783" t="s">
        <v>953</v>
      </c>
      <c r="E7783" t="s">
        <v>1015</v>
      </c>
      <c r="F7783" t="s">
        <v>35</v>
      </c>
      <c r="G7783" t="s">
        <v>35</v>
      </c>
      <c r="H7783" t="s">
        <v>35</v>
      </c>
      <c r="J7783" t="s">
        <v>7361</v>
      </c>
      <c r="K7783" t="s">
        <v>1092</v>
      </c>
      <c r="M7783">
        <v>2.7</v>
      </c>
      <c r="N7783">
        <v>21</v>
      </c>
      <c r="O7783" t="s">
        <v>46</v>
      </c>
      <c r="Q7783" t="s">
        <v>1874</v>
      </c>
      <c r="R7783" t="s">
        <v>6720</v>
      </c>
      <c r="S7783" t="s">
        <v>961</v>
      </c>
    </row>
    <row r="7784" spans="1:19" x14ac:dyDescent="0.25">
      <c r="A7784" t="s">
        <v>44</v>
      </c>
      <c r="B7784" t="s">
        <v>51</v>
      </c>
      <c r="C7784" t="s">
        <v>32</v>
      </c>
      <c r="D7784" t="s">
        <v>953</v>
      </c>
      <c r="E7784" t="s">
        <v>1015</v>
      </c>
      <c r="F7784" t="s">
        <v>35</v>
      </c>
      <c r="G7784" t="s">
        <v>35</v>
      </c>
      <c r="H7784" t="s">
        <v>35</v>
      </c>
      <c r="J7784" t="s">
        <v>7361</v>
      </c>
      <c r="K7784" t="s">
        <v>1092</v>
      </c>
      <c r="M7784">
        <v>0.95</v>
      </c>
      <c r="N7784">
        <v>29</v>
      </c>
      <c r="O7784" t="s">
        <v>46</v>
      </c>
      <c r="Q7784" t="s">
        <v>1645</v>
      </c>
      <c r="R7784" t="s">
        <v>6720</v>
      </c>
      <c r="S7784" t="s">
        <v>961</v>
      </c>
    </row>
    <row r="7785" spans="1:19" x14ac:dyDescent="0.25">
      <c r="A7785" t="s">
        <v>59</v>
      </c>
      <c r="B7785" t="s">
        <v>60</v>
      </c>
      <c r="C7785" t="s">
        <v>32</v>
      </c>
      <c r="D7785" t="s">
        <v>953</v>
      </c>
      <c r="E7785" t="s">
        <v>1015</v>
      </c>
      <c r="F7785" t="s">
        <v>35</v>
      </c>
      <c r="G7785" t="s">
        <v>35</v>
      </c>
      <c r="H7785" t="s">
        <v>35</v>
      </c>
      <c r="J7785" t="s">
        <v>7361</v>
      </c>
      <c r="K7785" t="s">
        <v>1092</v>
      </c>
      <c r="M7785">
        <v>0.5</v>
      </c>
      <c r="N7785">
        <v>46</v>
      </c>
      <c r="O7785" t="s">
        <v>52</v>
      </c>
      <c r="Q7785" t="s">
        <v>493</v>
      </c>
      <c r="R7785" t="s">
        <v>6720</v>
      </c>
      <c r="S7785" t="s">
        <v>961</v>
      </c>
    </row>
    <row r="7786" spans="1:19" x14ac:dyDescent="0.25">
      <c r="A7786" t="s">
        <v>44</v>
      </c>
      <c r="B7786" t="s">
        <v>3</v>
      </c>
      <c r="C7786" t="s">
        <v>32</v>
      </c>
      <c r="D7786" t="s">
        <v>953</v>
      </c>
      <c r="E7786" t="s">
        <v>1015</v>
      </c>
      <c r="F7786" t="s">
        <v>35</v>
      </c>
      <c r="G7786" t="s">
        <v>35</v>
      </c>
      <c r="H7786" t="s">
        <v>35</v>
      </c>
      <c r="J7786" t="s">
        <v>7361</v>
      </c>
      <c r="K7786" t="s">
        <v>1092</v>
      </c>
      <c r="M7786">
        <v>0.25</v>
      </c>
      <c r="N7786">
        <v>46</v>
      </c>
      <c r="O7786" t="s">
        <v>52</v>
      </c>
      <c r="Q7786" t="s">
        <v>493</v>
      </c>
      <c r="R7786" t="s">
        <v>6720</v>
      </c>
      <c r="S7786" t="s">
        <v>961</v>
      </c>
    </row>
    <row r="7787" spans="1:19" x14ac:dyDescent="0.25">
      <c r="A7787" t="s">
        <v>59</v>
      </c>
      <c r="B7787" t="s">
        <v>60</v>
      </c>
      <c r="C7787" t="s">
        <v>32</v>
      </c>
      <c r="D7787" t="s">
        <v>953</v>
      </c>
      <c r="E7787" t="s">
        <v>1015</v>
      </c>
      <c r="F7787" t="s">
        <v>35</v>
      </c>
      <c r="G7787" t="s">
        <v>35</v>
      </c>
      <c r="H7787" t="s">
        <v>35</v>
      </c>
      <c r="J7787" t="s">
        <v>7361</v>
      </c>
      <c r="K7787" t="s">
        <v>1092</v>
      </c>
      <c r="M7787">
        <v>0.3</v>
      </c>
      <c r="N7787">
        <v>77</v>
      </c>
      <c r="O7787" t="s">
        <v>61</v>
      </c>
      <c r="Q7787" t="s">
        <v>305</v>
      </c>
      <c r="R7787" t="s">
        <v>6720</v>
      </c>
      <c r="S7787" t="s">
        <v>961</v>
      </c>
    </row>
    <row r="7788" spans="1:19" x14ac:dyDescent="0.25">
      <c r="A7788" t="s">
        <v>44</v>
      </c>
      <c r="B7788" t="s">
        <v>51</v>
      </c>
      <c r="C7788" t="s">
        <v>32</v>
      </c>
      <c r="D7788" t="s">
        <v>953</v>
      </c>
      <c r="E7788" t="s">
        <v>1015</v>
      </c>
      <c r="F7788" t="s">
        <v>35</v>
      </c>
      <c r="G7788" t="s">
        <v>35</v>
      </c>
      <c r="H7788" t="s">
        <v>35</v>
      </c>
      <c r="J7788" t="s">
        <v>7361</v>
      </c>
      <c r="K7788" t="s">
        <v>1092</v>
      </c>
      <c r="M7788">
        <v>0.5</v>
      </c>
      <c r="N7788">
        <v>6</v>
      </c>
      <c r="O7788" t="s">
        <v>46</v>
      </c>
      <c r="Q7788" t="s">
        <v>8168</v>
      </c>
      <c r="R7788" t="s">
        <v>6720</v>
      </c>
      <c r="S7788" t="s">
        <v>961</v>
      </c>
    </row>
    <row r="7789" spans="1:19" x14ac:dyDescent="0.25">
      <c r="A7789" t="s">
        <v>44</v>
      </c>
      <c r="B7789" t="s">
        <v>3</v>
      </c>
      <c r="C7789" t="s">
        <v>32</v>
      </c>
      <c r="D7789" t="s">
        <v>953</v>
      </c>
      <c r="E7789" t="s">
        <v>1015</v>
      </c>
      <c r="F7789" t="s">
        <v>35</v>
      </c>
      <c r="G7789" t="s">
        <v>35</v>
      </c>
      <c r="H7789" t="s">
        <v>35</v>
      </c>
      <c r="J7789" t="s">
        <v>7361</v>
      </c>
      <c r="K7789" t="s">
        <v>1092</v>
      </c>
      <c r="M7789">
        <v>0.5</v>
      </c>
      <c r="N7789">
        <v>29</v>
      </c>
      <c r="O7789" t="s">
        <v>46</v>
      </c>
      <c r="Q7789" t="s">
        <v>1645</v>
      </c>
      <c r="R7789" t="s">
        <v>6720</v>
      </c>
      <c r="S7789" t="s">
        <v>961</v>
      </c>
    </row>
    <row r="7790" spans="1:19" x14ac:dyDescent="0.25">
      <c r="A7790" t="s">
        <v>44</v>
      </c>
      <c r="B7790" t="s">
        <v>3</v>
      </c>
      <c r="C7790" t="s">
        <v>32</v>
      </c>
      <c r="D7790" t="s">
        <v>953</v>
      </c>
      <c r="E7790" t="s">
        <v>1015</v>
      </c>
      <c r="F7790" t="s">
        <v>35</v>
      </c>
      <c r="G7790" t="s">
        <v>35</v>
      </c>
      <c r="H7790" t="s">
        <v>35</v>
      </c>
      <c r="J7790" t="s">
        <v>7361</v>
      </c>
      <c r="K7790" t="s">
        <v>1092</v>
      </c>
      <c r="M7790">
        <v>0.5</v>
      </c>
      <c r="N7790">
        <v>6</v>
      </c>
      <c r="O7790" t="s">
        <v>46</v>
      </c>
      <c r="Q7790" t="s">
        <v>8168</v>
      </c>
      <c r="R7790" t="s">
        <v>6720</v>
      </c>
      <c r="S7790" t="s">
        <v>961</v>
      </c>
    </row>
    <row r="7791" spans="1:19" x14ac:dyDescent="0.25">
      <c r="A7791" t="s">
        <v>59</v>
      </c>
      <c r="B7791" t="s">
        <v>31</v>
      </c>
      <c r="C7791" t="s">
        <v>32</v>
      </c>
      <c r="D7791" t="s">
        <v>953</v>
      </c>
      <c r="E7791" t="s">
        <v>1015</v>
      </c>
      <c r="F7791" t="s">
        <v>35</v>
      </c>
      <c r="G7791" t="s">
        <v>35</v>
      </c>
      <c r="H7791" t="s">
        <v>35</v>
      </c>
      <c r="J7791" t="s">
        <v>7362</v>
      </c>
      <c r="K7791" t="s">
        <v>1092</v>
      </c>
      <c r="M7791">
        <v>0.22500000000000001</v>
      </c>
      <c r="N7791">
        <v>243</v>
      </c>
      <c r="O7791" t="s">
        <v>5</v>
      </c>
      <c r="Q7791" t="s">
        <v>1151</v>
      </c>
      <c r="R7791" t="s">
        <v>133</v>
      </c>
      <c r="S7791" t="s">
        <v>134</v>
      </c>
    </row>
    <row r="7792" spans="1:19" x14ac:dyDescent="0.25">
      <c r="A7792" t="s">
        <v>59</v>
      </c>
      <c r="B7792" t="s">
        <v>31</v>
      </c>
      <c r="C7792" t="s">
        <v>32</v>
      </c>
      <c r="D7792" t="s">
        <v>953</v>
      </c>
      <c r="E7792" t="s">
        <v>1015</v>
      </c>
      <c r="F7792" t="s">
        <v>35</v>
      </c>
      <c r="G7792" t="s">
        <v>35</v>
      </c>
      <c r="H7792" t="s">
        <v>35</v>
      </c>
      <c r="J7792" t="s">
        <v>7362</v>
      </c>
      <c r="K7792" t="s">
        <v>1092</v>
      </c>
      <c r="M7792">
        <v>4.4999999999999998E-2</v>
      </c>
      <c r="N7792">
        <v>437</v>
      </c>
      <c r="O7792" t="s">
        <v>294</v>
      </c>
      <c r="Q7792" t="s">
        <v>7363</v>
      </c>
      <c r="R7792" t="s">
        <v>133</v>
      </c>
      <c r="S7792" t="s">
        <v>134</v>
      </c>
    </row>
    <row r="7793" spans="1:19" x14ac:dyDescent="0.25">
      <c r="A7793" t="s">
        <v>59</v>
      </c>
      <c r="B7793" t="s">
        <v>31</v>
      </c>
      <c r="C7793" t="s">
        <v>32</v>
      </c>
      <c r="D7793" t="s">
        <v>953</v>
      </c>
      <c r="E7793" t="s">
        <v>1015</v>
      </c>
      <c r="F7793" t="s">
        <v>35</v>
      </c>
      <c r="G7793" t="s">
        <v>35</v>
      </c>
      <c r="H7793" t="s">
        <v>35</v>
      </c>
      <c r="J7793" t="s">
        <v>7362</v>
      </c>
      <c r="K7793" t="s">
        <v>1092</v>
      </c>
      <c r="M7793">
        <v>0.09</v>
      </c>
      <c r="N7793">
        <v>433</v>
      </c>
      <c r="O7793" t="s">
        <v>294</v>
      </c>
      <c r="Q7793" t="s">
        <v>1935</v>
      </c>
      <c r="R7793" t="s">
        <v>133</v>
      </c>
      <c r="S7793" t="s">
        <v>134</v>
      </c>
    </row>
    <row r="7794" spans="1:19" x14ac:dyDescent="0.25">
      <c r="A7794" t="s">
        <v>59</v>
      </c>
      <c r="B7794" t="s">
        <v>31</v>
      </c>
      <c r="C7794" t="s">
        <v>32</v>
      </c>
      <c r="D7794" t="s">
        <v>953</v>
      </c>
      <c r="E7794" t="s">
        <v>1015</v>
      </c>
      <c r="F7794" t="s">
        <v>35</v>
      </c>
      <c r="G7794" t="s">
        <v>35</v>
      </c>
      <c r="H7794" t="s">
        <v>35</v>
      </c>
      <c r="J7794" t="s">
        <v>7362</v>
      </c>
      <c r="K7794" t="s">
        <v>1092</v>
      </c>
      <c r="M7794">
        <v>0.13500000000000001</v>
      </c>
      <c r="N7794">
        <v>427</v>
      </c>
      <c r="O7794" t="s">
        <v>294</v>
      </c>
      <c r="Q7794" t="s">
        <v>1463</v>
      </c>
      <c r="R7794" t="s">
        <v>133</v>
      </c>
      <c r="S7794" t="s">
        <v>134</v>
      </c>
    </row>
    <row r="7795" spans="1:19" x14ac:dyDescent="0.25">
      <c r="A7795" t="s">
        <v>59</v>
      </c>
      <c r="B7795" t="s">
        <v>60</v>
      </c>
      <c r="C7795" t="s">
        <v>32</v>
      </c>
      <c r="D7795" t="s">
        <v>953</v>
      </c>
      <c r="E7795" t="s">
        <v>1015</v>
      </c>
      <c r="F7795" t="s">
        <v>35</v>
      </c>
      <c r="G7795" t="s">
        <v>35</v>
      </c>
      <c r="H7795" t="s">
        <v>35</v>
      </c>
      <c r="J7795" t="s">
        <v>7362</v>
      </c>
      <c r="K7795" t="s">
        <v>1092</v>
      </c>
      <c r="M7795">
        <v>0.05</v>
      </c>
      <c r="N7795">
        <v>313</v>
      </c>
      <c r="O7795" t="s">
        <v>5</v>
      </c>
      <c r="Q7795" t="s">
        <v>6056</v>
      </c>
      <c r="R7795" t="s">
        <v>133</v>
      </c>
      <c r="S7795" t="s">
        <v>134</v>
      </c>
    </row>
    <row r="7796" spans="1:19" x14ac:dyDescent="0.25">
      <c r="A7796" t="s">
        <v>59</v>
      </c>
      <c r="B7796" t="s">
        <v>60</v>
      </c>
      <c r="C7796" t="s">
        <v>32</v>
      </c>
      <c r="D7796" t="s">
        <v>953</v>
      </c>
      <c r="E7796" t="s">
        <v>1015</v>
      </c>
      <c r="F7796" t="s">
        <v>35</v>
      </c>
      <c r="G7796" t="s">
        <v>35</v>
      </c>
      <c r="H7796" t="s">
        <v>35</v>
      </c>
      <c r="J7796" t="s">
        <v>7362</v>
      </c>
      <c r="K7796" t="s">
        <v>1092</v>
      </c>
      <c r="M7796">
        <v>0.05</v>
      </c>
      <c r="N7796">
        <v>179</v>
      </c>
      <c r="O7796" t="s">
        <v>38</v>
      </c>
      <c r="Q7796" t="s">
        <v>346</v>
      </c>
      <c r="R7796" t="s">
        <v>133</v>
      </c>
      <c r="S7796" t="s">
        <v>134</v>
      </c>
    </row>
    <row r="7797" spans="1:19" x14ac:dyDescent="0.25">
      <c r="A7797" t="s">
        <v>30</v>
      </c>
      <c r="B7797" t="s">
        <v>31</v>
      </c>
      <c r="C7797" t="s">
        <v>32</v>
      </c>
      <c r="D7797" t="s">
        <v>953</v>
      </c>
      <c r="E7797" t="s">
        <v>1015</v>
      </c>
      <c r="F7797" t="s">
        <v>35</v>
      </c>
      <c r="G7797" t="s">
        <v>35</v>
      </c>
      <c r="H7797" t="s">
        <v>35</v>
      </c>
      <c r="J7797" t="s">
        <v>7362</v>
      </c>
      <c r="K7797" t="s">
        <v>1092</v>
      </c>
      <c r="M7797">
        <v>0.45</v>
      </c>
      <c r="N7797">
        <v>135</v>
      </c>
      <c r="O7797" t="s">
        <v>38</v>
      </c>
      <c r="Q7797" t="s">
        <v>98</v>
      </c>
      <c r="R7797" t="s">
        <v>133</v>
      </c>
      <c r="S7797" t="s">
        <v>134</v>
      </c>
    </row>
    <row r="7798" spans="1:19" x14ac:dyDescent="0.25">
      <c r="A7798" t="s">
        <v>59</v>
      </c>
      <c r="B7798" t="s">
        <v>60</v>
      </c>
      <c r="C7798" t="s">
        <v>32</v>
      </c>
      <c r="D7798" t="s">
        <v>953</v>
      </c>
      <c r="E7798" t="s">
        <v>1015</v>
      </c>
      <c r="F7798" t="s">
        <v>35</v>
      </c>
      <c r="G7798" t="s">
        <v>35</v>
      </c>
      <c r="H7798" t="s">
        <v>35</v>
      </c>
      <c r="J7798" t="s">
        <v>7362</v>
      </c>
      <c r="K7798" t="s">
        <v>1092</v>
      </c>
      <c r="M7798">
        <v>0.05</v>
      </c>
      <c r="N7798">
        <v>76</v>
      </c>
      <c r="O7798" t="s">
        <v>61</v>
      </c>
      <c r="Q7798" t="s">
        <v>234</v>
      </c>
      <c r="R7798" t="s">
        <v>133</v>
      </c>
      <c r="S7798" t="s">
        <v>134</v>
      </c>
    </row>
    <row r="7799" spans="1:19" x14ac:dyDescent="0.25">
      <c r="A7799" t="s">
        <v>59</v>
      </c>
      <c r="B7799" t="s">
        <v>31</v>
      </c>
      <c r="C7799" t="s">
        <v>32</v>
      </c>
      <c r="D7799" t="s">
        <v>953</v>
      </c>
      <c r="E7799" t="s">
        <v>1015</v>
      </c>
      <c r="F7799" t="s">
        <v>35</v>
      </c>
      <c r="G7799" t="s">
        <v>35</v>
      </c>
      <c r="H7799" t="s">
        <v>35</v>
      </c>
      <c r="J7799" t="s">
        <v>7362</v>
      </c>
      <c r="K7799" t="s">
        <v>1092</v>
      </c>
      <c r="M7799">
        <v>0.22500000000000001</v>
      </c>
      <c r="N7799">
        <v>86</v>
      </c>
      <c r="O7799" t="s">
        <v>61</v>
      </c>
      <c r="Q7799" t="s">
        <v>1076</v>
      </c>
      <c r="R7799" t="s">
        <v>133</v>
      </c>
      <c r="S7799" t="s">
        <v>134</v>
      </c>
    </row>
    <row r="7800" spans="1:19" x14ac:dyDescent="0.25">
      <c r="A7800" t="s">
        <v>59</v>
      </c>
      <c r="B7800" t="s">
        <v>60</v>
      </c>
      <c r="C7800" t="s">
        <v>32</v>
      </c>
      <c r="D7800" t="s">
        <v>953</v>
      </c>
      <c r="E7800" t="s">
        <v>1015</v>
      </c>
      <c r="F7800" t="s">
        <v>35</v>
      </c>
      <c r="G7800" t="s">
        <v>35</v>
      </c>
      <c r="H7800" t="s">
        <v>35</v>
      </c>
      <c r="J7800" t="s">
        <v>7362</v>
      </c>
      <c r="K7800" t="s">
        <v>1092</v>
      </c>
      <c r="M7800">
        <v>0.05</v>
      </c>
      <c r="N7800">
        <v>60</v>
      </c>
      <c r="O7800" t="s">
        <v>52</v>
      </c>
      <c r="Q7800" t="s">
        <v>1734</v>
      </c>
      <c r="R7800" t="s">
        <v>133</v>
      </c>
      <c r="S7800" t="s">
        <v>134</v>
      </c>
    </row>
    <row r="7801" spans="1:19" x14ac:dyDescent="0.25">
      <c r="A7801" t="s">
        <v>59</v>
      </c>
      <c r="B7801" t="s">
        <v>60</v>
      </c>
      <c r="C7801" t="s">
        <v>32</v>
      </c>
      <c r="D7801" t="s">
        <v>953</v>
      </c>
      <c r="E7801" t="s">
        <v>1015</v>
      </c>
      <c r="F7801" t="s">
        <v>35</v>
      </c>
      <c r="G7801" t="s">
        <v>35</v>
      </c>
      <c r="H7801" t="s">
        <v>35</v>
      </c>
      <c r="J7801" t="s">
        <v>7362</v>
      </c>
      <c r="K7801" t="s">
        <v>1092</v>
      </c>
      <c r="M7801">
        <v>0.05</v>
      </c>
      <c r="N7801">
        <v>47</v>
      </c>
      <c r="O7801" t="s">
        <v>52</v>
      </c>
      <c r="Q7801" t="s">
        <v>132</v>
      </c>
      <c r="R7801" t="s">
        <v>133</v>
      </c>
      <c r="S7801" t="s">
        <v>134</v>
      </c>
    </row>
    <row r="7802" spans="1:19" x14ac:dyDescent="0.25">
      <c r="A7802" t="s">
        <v>59</v>
      </c>
      <c r="B7802" t="s">
        <v>31</v>
      </c>
      <c r="C7802" t="s">
        <v>32</v>
      </c>
      <c r="D7802" t="s">
        <v>953</v>
      </c>
      <c r="E7802" t="s">
        <v>1015</v>
      </c>
      <c r="F7802" t="s">
        <v>35</v>
      </c>
      <c r="G7802" t="s">
        <v>35</v>
      </c>
      <c r="H7802" t="s">
        <v>35</v>
      </c>
      <c r="J7802" t="s">
        <v>7362</v>
      </c>
      <c r="K7802" t="s">
        <v>1092</v>
      </c>
      <c r="M7802">
        <v>0.315</v>
      </c>
      <c r="N7802">
        <v>60</v>
      </c>
      <c r="O7802" t="s">
        <v>52</v>
      </c>
      <c r="Q7802" t="s">
        <v>1734</v>
      </c>
      <c r="R7802" t="s">
        <v>133</v>
      </c>
      <c r="S7802" t="s">
        <v>134</v>
      </c>
    </row>
    <row r="7803" spans="1:19" x14ac:dyDescent="0.25">
      <c r="A7803" t="s">
        <v>30</v>
      </c>
      <c r="B7803" t="s">
        <v>31</v>
      </c>
      <c r="C7803" t="s">
        <v>32</v>
      </c>
      <c r="D7803" t="s">
        <v>953</v>
      </c>
      <c r="E7803" t="s">
        <v>1015</v>
      </c>
      <c r="F7803" t="s">
        <v>35</v>
      </c>
      <c r="G7803" t="s">
        <v>35</v>
      </c>
      <c r="H7803" t="s">
        <v>35</v>
      </c>
      <c r="J7803" t="s">
        <v>7362</v>
      </c>
      <c r="K7803" t="s">
        <v>1092</v>
      </c>
      <c r="M7803">
        <v>0.22500000000000001</v>
      </c>
      <c r="N7803">
        <v>47</v>
      </c>
      <c r="O7803" t="s">
        <v>52</v>
      </c>
      <c r="Q7803" t="s">
        <v>132</v>
      </c>
      <c r="R7803" t="s">
        <v>133</v>
      </c>
      <c r="S7803" t="s">
        <v>134</v>
      </c>
    </row>
    <row r="7804" spans="1:19" x14ac:dyDescent="0.25">
      <c r="A7804" t="s">
        <v>44</v>
      </c>
      <c r="B7804" t="s">
        <v>3</v>
      </c>
      <c r="C7804" t="s">
        <v>32</v>
      </c>
      <c r="D7804" t="s">
        <v>953</v>
      </c>
      <c r="E7804" t="s">
        <v>1015</v>
      </c>
      <c r="F7804" t="s">
        <v>35</v>
      </c>
      <c r="G7804" t="s">
        <v>35</v>
      </c>
      <c r="H7804" t="s">
        <v>35</v>
      </c>
      <c r="J7804" t="s">
        <v>7362</v>
      </c>
      <c r="K7804" t="s">
        <v>1092</v>
      </c>
      <c r="M7804">
        <v>0.05</v>
      </c>
      <c r="N7804">
        <v>17</v>
      </c>
      <c r="O7804" t="s">
        <v>46</v>
      </c>
      <c r="Q7804" t="s">
        <v>1302</v>
      </c>
      <c r="R7804" t="s">
        <v>133</v>
      </c>
      <c r="S7804" t="s">
        <v>134</v>
      </c>
    </row>
    <row r="7805" spans="1:19" x14ac:dyDescent="0.25">
      <c r="A7805" t="s">
        <v>59</v>
      </c>
      <c r="B7805" t="s">
        <v>60</v>
      </c>
      <c r="C7805" t="s">
        <v>32</v>
      </c>
      <c r="D7805" t="s">
        <v>953</v>
      </c>
      <c r="E7805" t="s">
        <v>1015</v>
      </c>
      <c r="F7805" t="s">
        <v>35</v>
      </c>
      <c r="G7805" t="s">
        <v>35</v>
      </c>
      <c r="H7805" t="s">
        <v>35</v>
      </c>
      <c r="J7805" t="s">
        <v>7362</v>
      </c>
      <c r="K7805" t="s">
        <v>1092</v>
      </c>
      <c r="M7805">
        <v>0.35</v>
      </c>
      <c r="N7805">
        <v>401</v>
      </c>
      <c r="O7805" t="s">
        <v>294</v>
      </c>
      <c r="Q7805" t="s">
        <v>1434</v>
      </c>
      <c r="R7805" t="s">
        <v>133</v>
      </c>
      <c r="S7805" t="s">
        <v>134</v>
      </c>
    </row>
    <row r="7806" spans="1:19" x14ac:dyDescent="0.25">
      <c r="A7806" t="s">
        <v>59</v>
      </c>
      <c r="B7806" t="s">
        <v>60</v>
      </c>
      <c r="C7806" t="s">
        <v>32</v>
      </c>
      <c r="D7806" t="s">
        <v>953</v>
      </c>
      <c r="E7806" t="s">
        <v>1015</v>
      </c>
      <c r="F7806" t="s">
        <v>35</v>
      </c>
      <c r="G7806" t="s">
        <v>35</v>
      </c>
      <c r="H7806" t="s">
        <v>35</v>
      </c>
      <c r="J7806" t="s">
        <v>7362</v>
      </c>
      <c r="K7806" t="s">
        <v>1092</v>
      </c>
      <c r="M7806">
        <v>0.05</v>
      </c>
      <c r="N7806">
        <v>427</v>
      </c>
      <c r="O7806" t="s">
        <v>294</v>
      </c>
      <c r="Q7806" t="s">
        <v>1463</v>
      </c>
      <c r="R7806" t="s">
        <v>133</v>
      </c>
      <c r="S7806" t="s">
        <v>134</v>
      </c>
    </row>
    <row r="7807" spans="1:19" x14ac:dyDescent="0.25">
      <c r="A7807" t="s">
        <v>44</v>
      </c>
      <c r="B7807" t="s">
        <v>3</v>
      </c>
      <c r="C7807" t="s">
        <v>32</v>
      </c>
      <c r="D7807" t="s">
        <v>953</v>
      </c>
      <c r="E7807" t="s">
        <v>1015</v>
      </c>
      <c r="F7807" t="s">
        <v>35</v>
      </c>
      <c r="G7807" t="s">
        <v>35</v>
      </c>
      <c r="H7807" t="s">
        <v>35</v>
      </c>
      <c r="J7807" t="s">
        <v>7362</v>
      </c>
      <c r="K7807" t="s">
        <v>1092</v>
      </c>
      <c r="M7807">
        <v>0.05</v>
      </c>
      <c r="N7807">
        <v>487</v>
      </c>
      <c r="O7807" t="s">
        <v>294</v>
      </c>
      <c r="Q7807" t="s">
        <v>6492</v>
      </c>
      <c r="R7807" t="s">
        <v>133</v>
      </c>
      <c r="S7807" t="s">
        <v>134</v>
      </c>
    </row>
    <row r="7808" spans="1:19" x14ac:dyDescent="0.25">
      <c r="A7808" t="s">
        <v>59</v>
      </c>
      <c r="B7808" t="s">
        <v>60</v>
      </c>
      <c r="C7808" t="s">
        <v>32</v>
      </c>
      <c r="D7808" t="s">
        <v>953</v>
      </c>
      <c r="E7808" t="s">
        <v>1015</v>
      </c>
      <c r="F7808" t="s">
        <v>35</v>
      </c>
      <c r="G7808" t="s">
        <v>35</v>
      </c>
      <c r="H7808" t="s">
        <v>35</v>
      </c>
      <c r="J7808" t="s">
        <v>7362</v>
      </c>
      <c r="K7808" t="s">
        <v>1092</v>
      </c>
      <c r="M7808">
        <v>0.1</v>
      </c>
      <c r="N7808">
        <v>466</v>
      </c>
      <c r="O7808" t="s">
        <v>294</v>
      </c>
      <c r="Q7808" t="s">
        <v>1114</v>
      </c>
      <c r="R7808" t="s">
        <v>133</v>
      </c>
      <c r="S7808" t="s">
        <v>134</v>
      </c>
    </row>
    <row r="7809" spans="1:19" x14ac:dyDescent="0.25">
      <c r="A7809" t="s">
        <v>44</v>
      </c>
      <c r="B7809" t="s">
        <v>3</v>
      </c>
      <c r="C7809" t="s">
        <v>32</v>
      </c>
      <c r="D7809" t="s">
        <v>953</v>
      </c>
      <c r="E7809" t="s">
        <v>1015</v>
      </c>
      <c r="F7809" t="s">
        <v>35</v>
      </c>
      <c r="G7809" t="s">
        <v>35</v>
      </c>
      <c r="H7809" t="s">
        <v>35</v>
      </c>
      <c r="J7809" t="s">
        <v>7364</v>
      </c>
      <c r="K7809" t="s">
        <v>1092</v>
      </c>
      <c r="M7809">
        <v>1.25</v>
      </c>
      <c r="N7809">
        <v>22</v>
      </c>
      <c r="O7809" t="s">
        <v>46</v>
      </c>
      <c r="Q7809" t="s">
        <v>979</v>
      </c>
      <c r="R7809" t="s">
        <v>6723</v>
      </c>
      <c r="S7809" t="s">
        <v>6724</v>
      </c>
    </row>
    <row r="7810" spans="1:19" x14ac:dyDescent="0.25">
      <c r="A7810" t="s">
        <v>59</v>
      </c>
      <c r="B7810" t="s">
        <v>60</v>
      </c>
      <c r="C7810" t="s">
        <v>32</v>
      </c>
      <c r="D7810" t="s">
        <v>953</v>
      </c>
      <c r="E7810" t="s">
        <v>1015</v>
      </c>
      <c r="F7810" t="s">
        <v>35</v>
      </c>
      <c r="G7810" t="s">
        <v>35</v>
      </c>
      <c r="H7810" t="s">
        <v>35</v>
      </c>
      <c r="J7810" t="s">
        <v>7365</v>
      </c>
      <c r="K7810" t="s">
        <v>1092</v>
      </c>
      <c r="M7810">
        <v>6</v>
      </c>
      <c r="N7810">
        <v>67</v>
      </c>
      <c r="O7810" t="s">
        <v>61</v>
      </c>
      <c r="Q7810" t="s">
        <v>1311</v>
      </c>
      <c r="R7810" t="s">
        <v>133</v>
      </c>
      <c r="S7810" t="s">
        <v>134</v>
      </c>
    </row>
    <row r="7811" spans="1:19" x14ac:dyDescent="0.25">
      <c r="A7811" t="s">
        <v>59</v>
      </c>
      <c r="B7811" t="s">
        <v>60</v>
      </c>
      <c r="C7811" t="s">
        <v>32</v>
      </c>
      <c r="D7811" t="s">
        <v>953</v>
      </c>
      <c r="E7811" t="s">
        <v>1015</v>
      </c>
      <c r="F7811" t="s">
        <v>35</v>
      </c>
      <c r="G7811" t="s">
        <v>35</v>
      </c>
      <c r="H7811" t="s">
        <v>35</v>
      </c>
      <c r="J7811" t="s">
        <v>7366</v>
      </c>
      <c r="K7811" t="s">
        <v>1092</v>
      </c>
      <c r="M7811">
        <v>0.02</v>
      </c>
      <c r="N7811">
        <v>58</v>
      </c>
      <c r="O7811" t="s">
        <v>52</v>
      </c>
      <c r="Q7811" t="s">
        <v>58</v>
      </c>
      <c r="R7811" t="s">
        <v>6720</v>
      </c>
      <c r="S7811" t="s">
        <v>961</v>
      </c>
    </row>
    <row r="7812" spans="1:19" x14ac:dyDescent="0.25">
      <c r="A7812" t="s">
        <v>59</v>
      </c>
      <c r="B7812" t="s">
        <v>31</v>
      </c>
      <c r="C7812" t="s">
        <v>32</v>
      </c>
      <c r="D7812" t="s">
        <v>953</v>
      </c>
      <c r="E7812" t="s">
        <v>1015</v>
      </c>
      <c r="F7812" t="s">
        <v>35</v>
      </c>
      <c r="G7812" t="s">
        <v>35</v>
      </c>
      <c r="H7812" t="s">
        <v>35</v>
      </c>
      <c r="J7812" t="s">
        <v>7367</v>
      </c>
      <c r="K7812" t="s">
        <v>1092</v>
      </c>
      <c r="M7812">
        <v>4.9950000000000001</v>
      </c>
      <c r="N7812">
        <v>58</v>
      </c>
      <c r="O7812" t="s">
        <v>52</v>
      </c>
      <c r="Q7812" t="s">
        <v>58</v>
      </c>
      <c r="R7812" t="s">
        <v>6705</v>
      </c>
      <c r="S7812" t="s">
        <v>981</v>
      </c>
    </row>
    <row r="7813" spans="1:19" x14ac:dyDescent="0.25">
      <c r="A7813" t="s">
        <v>30</v>
      </c>
      <c r="B7813" t="s">
        <v>31</v>
      </c>
      <c r="C7813" t="s">
        <v>32</v>
      </c>
      <c r="D7813" t="s">
        <v>953</v>
      </c>
      <c r="E7813" t="s">
        <v>1015</v>
      </c>
      <c r="F7813" t="s">
        <v>35</v>
      </c>
      <c r="G7813" t="s">
        <v>35</v>
      </c>
      <c r="H7813" t="s">
        <v>35</v>
      </c>
      <c r="J7813" t="s">
        <v>7367</v>
      </c>
      <c r="K7813" t="s">
        <v>1092</v>
      </c>
      <c r="M7813">
        <v>4.5449999999999999</v>
      </c>
      <c r="N7813">
        <v>24</v>
      </c>
      <c r="O7813" t="s">
        <v>46</v>
      </c>
      <c r="Q7813" t="s">
        <v>255</v>
      </c>
      <c r="R7813" t="s">
        <v>6877</v>
      </c>
      <c r="S7813" t="s">
        <v>1041</v>
      </c>
    </row>
    <row r="7814" spans="1:19" x14ac:dyDescent="0.25">
      <c r="A7814" t="s">
        <v>30</v>
      </c>
      <c r="B7814" t="s">
        <v>31</v>
      </c>
      <c r="C7814" t="s">
        <v>32</v>
      </c>
      <c r="D7814" t="s">
        <v>953</v>
      </c>
      <c r="E7814" t="s">
        <v>1015</v>
      </c>
      <c r="F7814" t="s">
        <v>35</v>
      </c>
      <c r="G7814" t="s">
        <v>35</v>
      </c>
      <c r="H7814" t="s">
        <v>35</v>
      </c>
      <c r="J7814" t="s">
        <v>7367</v>
      </c>
      <c r="K7814" t="s">
        <v>1092</v>
      </c>
      <c r="M7814">
        <v>4.9950000000000001</v>
      </c>
      <c r="N7814">
        <v>23</v>
      </c>
      <c r="O7814" t="s">
        <v>46</v>
      </c>
      <c r="Q7814" t="s">
        <v>1819</v>
      </c>
      <c r="R7814" t="s">
        <v>6877</v>
      </c>
      <c r="S7814" t="s">
        <v>1041</v>
      </c>
    </row>
    <row r="7815" spans="1:19" x14ac:dyDescent="0.25">
      <c r="A7815" t="s">
        <v>30</v>
      </c>
      <c r="B7815" t="s">
        <v>31</v>
      </c>
      <c r="C7815" t="s">
        <v>32</v>
      </c>
      <c r="D7815" t="s">
        <v>953</v>
      </c>
      <c r="E7815" t="s">
        <v>1015</v>
      </c>
      <c r="F7815" t="s">
        <v>35</v>
      </c>
      <c r="G7815" t="s">
        <v>35</v>
      </c>
      <c r="H7815" t="s">
        <v>35</v>
      </c>
      <c r="J7815" t="s">
        <v>7367</v>
      </c>
      <c r="K7815" t="s">
        <v>1092</v>
      </c>
      <c r="M7815">
        <v>9.99</v>
      </c>
      <c r="N7815">
        <v>20</v>
      </c>
      <c r="O7815" t="s">
        <v>46</v>
      </c>
      <c r="Q7815" t="s">
        <v>1004</v>
      </c>
      <c r="R7815" t="s">
        <v>133</v>
      </c>
      <c r="S7815" t="s">
        <v>134</v>
      </c>
    </row>
    <row r="7816" spans="1:19" x14ac:dyDescent="0.25">
      <c r="A7816" t="s">
        <v>30</v>
      </c>
      <c r="B7816" t="s">
        <v>31</v>
      </c>
      <c r="C7816" t="s">
        <v>32</v>
      </c>
      <c r="D7816" t="s">
        <v>953</v>
      </c>
      <c r="E7816" t="s">
        <v>1015</v>
      </c>
      <c r="F7816" t="s">
        <v>35</v>
      </c>
      <c r="G7816" t="s">
        <v>35</v>
      </c>
      <c r="H7816" t="s">
        <v>35</v>
      </c>
      <c r="J7816" t="s">
        <v>7368</v>
      </c>
      <c r="K7816" t="s">
        <v>1092</v>
      </c>
      <c r="M7816">
        <v>1.08</v>
      </c>
      <c r="N7816">
        <v>48</v>
      </c>
      <c r="O7816" t="s">
        <v>52</v>
      </c>
      <c r="Q7816" t="s">
        <v>496</v>
      </c>
      <c r="R7816" t="s">
        <v>6742</v>
      </c>
      <c r="S7816" t="s">
        <v>1016</v>
      </c>
    </row>
    <row r="7817" spans="1:19" x14ac:dyDescent="0.25">
      <c r="A7817" t="s">
        <v>59</v>
      </c>
      <c r="B7817" t="s">
        <v>60</v>
      </c>
      <c r="C7817" t="s">
        <v>32</v>
      </c>
      <c r="D7817" t="s">
        <v>953</v>
      </c>
      <c r="E7817" t="s">
        <v>1015</v>
      </c>
      <c r="F7817" t="s">
        <v>35</v>
      </c>
      <c r="G7817" t="s">
        <v>35</v>
      </c>
      <c r="H7817" t="s">
        <v>35</v>
      </c>
      <c r="J7817" t="s">
        <v>7369</v>
      </c>
      <c r="K7817" t="s">
        <v>1092</v>
      </c>
      <c r="M7817">
        <v>5.25</v>
      </c>
      <c r="N7817">
        <v>60</v>
      </c>
      <c r="O7817" t="s">
        <v>52</v>
      </c>
      <c r="Q7817" t="s">
        <v>1734</v>
      </c>
      <c r="R7817" t="s">
        <v>133</v>
      </c>
      <c r="S7817" t="s">
        <v>134</v>
      </c>
    </row>
    <row r="7818" spans="1:19" x14ac:dyDescent="0.25">
      <c r="A7818" t="s">
        <v>59</v>
      </c>
      <c r="B7818" t="s">
        <v>60</v>
      </c>
      <c r="C7818" t="s">
        <v>32</v>
      </c>
      <c r="D7818" t="s">
        <v>953</v>
      </c>
      <c r="E7818" t="s">
        <v>1015</v>
      </c>
      <c r="F7818" t="s">
        <v>35</v>
      </c>
      <c r="G7818" t="s">
        <v>35</v>
      </c>
      <c r="H7818" t="s">
        <v>35</v>
      </c>
      <c r="J7818" t="s">
        <v>7370</v>
      </c>
      <c r="K7818" t="s">
        <v>1092</v>
      </c>
      <c r="M7818">
        <v>0.4</v>
      </c>
      <c r="N7818">
        <v>457</v>
      </c>
      <c r="O7818" t="s">
        <v>294</v>
      </c>
      <c r="Q7818" t="s">
        <v>2104</v>
      </c>
      <c r="R7818" t="s">
        <v>6709</v>
      </c>
      <c r="S7818" t="s">
        <v>1022</v>
      </c>
    </row>
    <row r="7819" spans="1:19" x14ac:dyDescent="0.25">
      <c r="A7819" t="s">
        <v>44</v>
      </c>
      <c r="B7819" t="s">
        <v>3</v>
      </c>
      <c r="C7819" t="s">
        <v>32</v>
      </c>
      <c r="D7819" t="s">
        <v>953</v>
      </c>
      <c r="E7819" t="s">
        <v>1015</v>
      </c>
      <c r="F7819" t="s">
        <v>35</v>
      </c>
      <c r="G7819" t="s">
        <v>35</v>
      </c>
      <c r="H7819" t="s">
        <v>35</v>
      </c>
      <c r="J7819" t="s">
        <v>7371</v>
      </c>
      <c r="K7819" t="s">
        <v>1092</v>
      </c>
      <c r="M7819">
        <v>0.5</v>
      </c>
      <c r="N7819">
        <v>25</v>
      </c>
      <c r="O7819" t="s">
        <v>46</v>
      </c>
      <c r="Q7819" t="s">
        <v>831</v>
      </c>
      <c r="R7819" t="s">
        <v>133</v>
      </c>
      <c r="S7819" t="s">
        <v>134</v>
      </c>
    </row>
    <row r="7820" spans="1:19" x14ac:dyDescent="0.25">
      <c r="A7820" t="s">
        <v>59</v>
      </c>
      <c r="B7820" t="s">
        <v>60</v>
      </c>
      <c r="C7820" t="s">
        <v>32</v>
      </c>
      <c r="D7820" t="s">
        <v>953</v>
      </c>
      <c r="E7820" t="s">
        <v>1015</v>
      </c>
      <c r="F7820" t="s">
        <v>35</v>
      </c>
      <c r="G7820" t="s">
        <v>35</v>
      </c>
      <c r="H7820" t="s">
        <v>35</v>
      </c>
      <c r="J7820" t="s">
        <v>7371</v>
      </c>
      <c r="K7820" t="s">
        <v>1092</v>
      </c>
      <c r="M7820">
        <v>0.2</v>
      </c>
      <c r="N7820">
        <v>86</v>
      </c>
      <c r="O7820" t="s">
        <v>61</v>
      </c>
      <c r="Q7820" t="s">
        <v>1076</v>
      </c>
      <c r="R7820" t="s">
        <v>133</v>
      </c>
      <c r="S7820" t="s">
        <v>134</v>
      </c>
    </row>
    <row r="7821" spans="1:19" x14ac:dyDescent="0.25">
      <c r="A7821" t="s">
        <v>59</v>
      </c>
      <c r="B7821" t="s">
        <v>60</v>
      </c>
      <c r="C7821" t="s">
        <v>32</v>
      </c>
      <c r="D7821" t="s">
        <v>953</v>
      </c>
      <c r="E7821" t="s">
        <v>1015</v>
      </c>
      <c r="F7821" t="s">
        <v>35</v>
      </c>
      <c r="G7821" t="s">
        <v>35</v>
      </c>
      <c r="H7821" t="s">
        <v>35</v>
      </c>
      <c r="J7821" t="s">
        <v>7371</v>
      </c>
      <c r="K7821" t="s">
        <v>1092</v>
      </c>
      <c r="M7821">
        <v>0.5</v>
      </c>
      <c r="N7821">
        <v>25</v>
      </c>
      <c r="O7821" t="s">
        <v>46</v>
      </c>
      <c r="Q7821" t="s">
        <v>831</v>
      </c>
      <c r="R7821" t="s">
        <v>133</v>
      </c>
      <c r="S7821" t="s">
        <v>134</v>
      </c>
    </row>
    <row r="7822" spans="1:19" x14ac:dyDescent="0.25">
      <c r="A7822" t="s">
        <v>44</v>
      </c>
      <c r="B7822" t="s">
        <v>3</v>
      </c>
      <c r="C7822" t="s">
        <v>32</v>
      </c>
      <c r="D7822" t="s">
        <v>953</v>
      </c>
      <c r="E7822" t="s">
        <v>1015</v>
      </c>
      <c r="F7822" t="s">
        <v>35</v>
      </c>
      <c r="G7822" t="s">
        <v>35</v>
      </c>
      <c r="H7822" t="s">
        <v>35</v>
      </c>
      <c r="J7822" t="s">
        <v>7372</v>
      </c>
      <c r="K7822" t="s">
        <v>1092</v>
      </c>
      <c r="M7822">
        <v>0.4</v>
      </c>
      <c r="N7822">
        <v>69</v>
      </c>
      <c r="O7822" t="s">
        <v>61</v>
      </c>
      <c r="Q7822" t="s">
        <v>139</v>
      </c>
      <c r="R7822" t="s">
        <v>6723</v>
      </c>
      <c r="S7822" t="s">
        <v>6724</v>
      </c>
    </row>
    <row r="7823" spans="1:19" x14ac:dyDescent="0.25">
      <c r="A7823" t="s">
        <v>44</v>
      </c>
      <c r="B7823" t="s">
        <v>51</v>
      </c>
      <c r="C7823" t="s">
        <v>32</v>
      </c>
      <c r="D7823" t="s">
        <v>953</v>
      </c>
      <c r="E7823" t="s">
        <v>1015</v>
      </c>
      <c r="F7823" t="s">
        <v>35</v>
      </c>
      <c r="G7823" t="s">
        <v>35</v>
      </c>
      <c r="H7823" t="s">
        <v>35</v>
      </c>
      <c r="J7823" t="s">
        <v>7372</v>
      </c>
      <c r="K7823" t="s">
        <v>1092</v>
      </c>
      <c r="M7823">
        <v>1.25</v>
      </c>
      <c r="N7823">
        <v>21</v>
      </c>
      <c r="O7823" t="s">
        <v>46</v>
      </c>
      <c r="Q7823" t="s">
        <v>1874</v>
      </c>
      <c r="R7823" t="s">
        <v>6723</v>
      </c>
      <c r="S7823" t="s">
        <v>6724</v>
      </c>
    </row>
    <row r="7824" spans="1:19" x14ac:dyDescent="0.25">
      <c r="A7824" t="s">
        <v>30</v>
      </c>
      <c r="B7824" t="s">
        <v>31</v>
      </c>
      <c r="C7824" t="s">
        <v>32</v>
      </c>
      <c r="D7824" t="s">
        <v>953</v>
      </c>
      <c r="E7824" t="s">
        <v>1015</v>
      </c>
      <c r="F7824" t="s">
        <v>35</v>
      </c>
      <c r="G7824" t="s">
        <v>35</v>
      </c>
      <c r="H7824" t="s">
        <v>35</v>
      </c>
      <c r="J7824" t="s">
        <v>7372</v>
      </c>
      <c r="K7824" t="s">
        <v>1092</v>
      </c>
      <c r="M7824">
        <v>1.89</v>
      </c>
      <c r="N7824">
        <v>22</v>
      </c>
      <c r="O7824" t="s">
        <v>46</v>
      </c>
      <c r="Q7824" t="s">
        <v>979</v>
      </c>
      <c r="R7824" t="s">
        <v>6723</v>
      </c>
      <c r="S7824" t="s">
        <v>6724</v>
      </c>
    </row>
    <row r="7825" spans="1:19" x14ac:dyDescent="0.25">
      <c r="A7825" t="s">
        <v>30</v>
      </c>
      <c r="B7825" t="s">
        <v>31</v>
      </c>
      <c r="C7825" t="s">
        <v>32</v>
      </c>
      <c r="D7825" t="s">
        <v>953</v>
      </c>
      <c r="E7825" t="s">
        <v>1015</v>
      </c>
      <c r="F7825" t="s">
        <v>35</v>
      </c>
      <c r="G7825" t="s">
        <v>35</v>
      </c>
      <c r="H7825" t="s">
        <v>35</v>
      </c>
      <c r="J7825" t="s">
        <v>7372</v>
      </c>
      <c r="K7825" t="s">
        <v>1092</v>
      </c>
      <c r="M7825">
        <v>4.9950000000000001</v>
      </c>
      <c r="N7825">
        <v>15</v>
      </c>
      <c r="O7825" t="s">
        <v>46</v>
      </c>
      <c r="Q7825" t="s">
        <v>1944</v>
      </c>
      <c r="R7825" t="s">
        <v>6723</v>
      </c>
      <c r="S7825" t="s">
        <v>6724</v>
      </c>
    </row>
    <row r="7826" spans="1:19" x14ac:dyDescent="0.25">
      <c r="A7826" t="s">
        <v>59</v>
      </c>
      <c r="B7826" t="s">
        <v>60</v>
      </c>
      <c r="C7826" t="s">
        <v>32</v>
      </c>
      <c r="D7826" t="s">
        <v>953</v>
      </c>
      <c r="E7826" t="s">
        <v>1015</v>
      </c>
      <c r="F7826" t="s">
        <v>35</v>
      </c>
      <c r="G7826" t="s">
        <v>35</v>
      </c>
      <c r="H7826" t="s">
        <v>35</v>
      </c>
      <c r="J7826" t="s">
        <v>7373</v>
      </c>
      <c r="K7826" t="s">
        <v>1092</v>
      </c>
      <c r="M7826">
        <v>0.8</v>
      </c>
      <c r="N7826">
        <v>179</v>
      </c>
      <c r="O7826" t="s">
        <v>38</v>
      </c>
      <c r="Q7826" t="s">
        <v>346</v>
      </c>
      <c r="R7826" t="s">
        <v>133</v>
      </c>
      <c r="S7826" t="s">
        <v>134</v>
      </c>
    </row>
    <row r="7827" spans="1:19" x14ac:dyDescent="0.25">
      <c r="A7827" t="s">
        <v>30</v>
      </c>
      <c r="B7827" t="s">
        <v>31</v>
      </c>
      <c r="C7827" t="s">
        <v>32</v>
      </c>
      <c r="D7827" t="s">
        <v>953</v>
      </c>
      <c r="E7827" t="s">
        <v>1015</v>
      </c>
      <c r="F7827" t="s">
        <v>35</v>
      </c>
      <c r="G7827" t="s">
        <v>35</v>
      </c>
      <c r="H7827" t="s">
        <v>35</v>
      </c>
      <c r="J7827" t="s">
        <v>7373</v>
      </c>
      <c r="K7827" t="s">
        <v>1092</v>
      </c>
      <c r="M7827">
        <v>1.4999999999999999E-2</v>
      </c>
      <c r="N7827">
        <v>1825</v>
      </c>
      <c r="O7827" t="s">
        <v>575</v>
      </c>
      <c r="Q7827" t="s">
        <v>7374</v>
      </c>
      <c r="R7827" t="s">
        <v>6807</v>
      </c>
      <c r="S7827" t="s">
        <v>1066</v>
      </c>
    </row>
    <row r="7828" spans="1:19" x14ac:dyDescent="0.25">
      <c r="A7828" t="s">
        <v>59</v>
      </c>
      <c r="B7828" t="s">
        <v>31</v>
      </c>
      <c r="C7828" t="s">
        <v>32</v>
      </c>
      <c r="D7828" t="s">
        <v>953</v>
      </c>
      <c r="E7828" t="s">
        <v>1015</v>
      </c>
      <c r="F7828" t="s">
        <v>35</v>
      </c>
      <c r="G7828" t="s">
        <v>35</v>
      </c>
      <c r="H7828" t="s">
        <v>35</v>
      </c>
      <c r="J7828" t="s">
        <v>7373</v>
      </c>
      <c r="K7828" t="s">
        <v>1092</v>
      </c>
      <c r="M7828">
        <v>0.09</v>
      </c>
      <c r="N7828">
        <v>230</v>
      </c>
      <c r="O7828" t="s">
        <v>5</v>
      </c>
      <c r="Q7828" t="s">
        <v>1544</v>
      </c>
      <c r="R7828" t="s">
        <v>133</v>
      </c>
      <c r="S7828" t="s">
        <v>134</v>
      </c>
    </row>
    <row r="7829" spans="1:19" x14ac:dyDescent="0.25">
      <c r="A7829" t="s">
        <v>59</v>
      </c>
      <c r="B7829" t="s">
        <v>60</v>
      </c>
      <c r="C7829" t="s">
        <v>32</v>
      </c>
      <c r="D7829" t="s">
        <v>953</v>
      </c>
      <c r="E7829" t="s">
        <v>1015</v>
      </c>
      <c r="F7829" t="s">
        <v>35</v>
      </c>
      <c r="G7829" t="s">
        <v>35</v>
      </c>
      <c r="H7829" t="s">
        <v>35</v>
      </c>
      <c r="J7829" t="s">
        <v>1353</v>
      </c>
      <c r="K7829" t="s">
        <v>1092</v>
      </c>
      <c r="M7829">
        <v>0.2</v>
      </c>
      <c r="N7829">
        <v>52</v>
      </c>
      <c r="O7829" t="s">
        <v>52</v>
      </c>
      <c r="Q7829" t="s">
        <v>1230</v>
      </c>
      <c r="R7829" t="s">
        <v>6709</v>
      </c>
      <c r="S7829" t="s">
        <v>1022</v>
      </c>
    </row>
    <row r="7830" spans="1:19" x14ac:dyDescent="0.25">
      <c r="A7830" t="s">
        <v>59</v>
      </c>
      <c r="B7830" t="s">
        <v>31</v>
      </c>
      <c r="C7830" t="s">
        <v>32</v>
      </c>
      <c r="D7830" t="s">
        <v>953</v>
      </c>
      <c r="E7830" t="s">
        <v>1015</v>
      </c>
      <c r="F7830" t="s">
        <v>35</v>
      </c>
      <c r="G7830" t="s">
        <v>35</v>
      </c>
      <c r="H7830" t="s">
        <v>35</v>
      </c>
      <c r="J7830" t="s">
        <v>3952</v>
      </c>
      <c r="K7830" t="s">
        <v>1092</v>
      </c>
      <c r="M7830">
        <v>1.35</v>
      </c>
      <c r="N7830">
        <v>227</v>
      </c>
      <c r="O7830" t="s">
        <v>5</v>
      </c>
      <c r="Q7830" t="s">
        <v>2236</v>
      </c>
      <c r="R7830" t="s">
        <v>133</v>
      </c>
      <c r="S7830" t="s">
        <v>134</v>
      </c>
    </row>
    <row r="7831" spans="1:19" x14ac:dyDescent="0.25">
      <c r="A7831" t="s">
        <v>44</v>
      </c>
      <c r="B7831" t="s">
        <v>51</v>
      </c>
      <c r="C7831" t="s">
        <v>32</v>
      </c>
      <c r="D7831" t="s">
        <v>953</v>
      </c>
      <c r="E7831" t="s">
        <v>1015</v>
      </c>
      <c r="F7831" t="s">
        <v>35</v>
      </c>
      <c r="G7831" t="s">
        <v>35</v>
      </c>
      <c r="H7831" t="s">
        <v>35</v>
      </c>
      <c r="J7831" t="s">
        <v>3952</v>
      </c>
      <c r="K7831" t="s">
        <v>1092</v>
      </c>
      <c r="M7831">
        <v>0.25</v>
      </c>
      <c r="N7831">
        <v>459</v>
      </c>
      <c r="O7831" t="s">
        <v>294</v>
      </c>
      <c r="Q7831" t="s">
        <v>1199</v>
      </c>
      <c r="R7831" t="s">
        <v>133</v>
      </c>
      <c r="S7831" t="s">
        <v>134</v>
      </c>
    </row>
    <row r="7832" spans="1:19" x14ac:dyDescent="0.25">
      <c r="A7832" t="s">
        <v>59</v>
      </c>
      <c r="B7832" t="s">
        <v>60</v>
      </c>
      <c r="C7832" t="s">
        <v>32</v>
      </c>
      <c r="D7832" t="s">
        <v>953</v>
      </c>
      <c r="E7832" t="s">
        <v>1015</v>
      </c>
      <c r="F7832" t="s">
        <v>35</v>
      </c>
      <c r="G7832" t="s">
        <v>35</v>
      </c>
      <c r="H7832" t="s">
        <v>35</v>
      </c>
      <c r="J7832" t="s">
        <v>3952</v>
      </c>
      <c r="K7832" t="s">
        <v>1092</v>
      </c>
      <c r="M7832">
        <v>0.25</v>
      </c>
      <c r="N7832">
        <v>32</v>
      </c>
      <c r="O7832" t="s">
        <v>52</v>
      </c>
      <c r="Q7832" t="s">
        <v>547</v>
      </c>
      <c r="R7832" t="s">
        <v>133</v>
      </c>
      <c r="S7832" t="s">
        <v>134</v>
      </c>
    </row>
    <row r="7833" spans="1:19" x14ac:dyDescent="0.25">
      <c r="A7833" t="s">
        <v>30</v>
      </c>
      <c r="B7833" t="s">
        <v>31</v>
      </c>
      <c r="C7833" t="s">
        <v>32</v>
      </c>
      <c r="D7833" t="s">
        <v>953</v>
      </c>
      <c r="E7833" t="s">
        <v>1015</v>
      </c>
      <c r="F7833" t="s">
        <v>35</v>
      </c>
      <c r="G7833" t="s">
        <v>35</v>
      </c>
      <c r="H7833" t="s">
        <v>35</v>
      </c>
      <c r="J7833" t="s">
        <v>3952</v>
      </c>
      <c r="K7833" t="s">
        <v>1092</v>
      </c>
      <c r="M7833">
        <v>0.45</v>
      </c>
      <c r="N7833">
        <v>38</v>
      </c>
      <c r="O7833" t="s">
        <v>52</v>
      </c>
      <c r="Q7833" t="s">
        <v>748</v>
      </c>
      <c r="R7833" t="s">
        <v>133</v>
      </c>
      <c r="S7833" t="s">
        <v>134</v>
      </c>
    </row>
    <row r="7834" spans="1:19" x14ac:dyDescent="0.25">
      <c r="A7834" t="s">
        <v>44</v>
      </c>
      <c r="B7834" t="s">
        <v>3</v>
      </c>
      <c r="C7834" t="s">
        <v>32</v>
      </c>
      <c r="D7834" t="s">
        <v>953</v>
      </c>
      <c r="E7834" t="s">
        <v>1015</v>
      </c>
      <c r="F7834" t="s">
        <v>35</v>
      </c>
      <c r="G7834" t="s">
        <v>35</v>
      </c>
      <c r="H7834" t="s">
        <v>35</v>
      </c>
      <c r="J7834" t="s">
        <v>3952</v>
      </c>
      <c r="K7834" t="s">
        <v>1092</v>
      </c>
      <c r="M7834">
        <v>0.25</v>
      </c>
      <c r="N7834">
        <v>59</v>
      </c>
      <c r="O7834" t="s">
        <v>52</v>
      </c>
      <c r="Q7834" t="s">
        <v>84</v>
      </c>
      <c r="R7834" t="s">
        <v>133</v>
      </c>
      <c r="S7834" t="s">
        <v>134</v>
      </c>
    </row>
    <row r="7835" spans="1:19" x14ac:dyDescent="0.25">
      <c r="A7835" t="s">
        <v>59</v>
      </c>
      <c r="B7835" t="s">
        <v>60</v>
      </c>
      <c r="C7835" t="s">
        <v>32</v>
      </c>
      <c r="D7835" t="s">
        <v>953</v>
      </c>
      <c r="E7835" t="s">
        <v>1015</v>
      </c>
      <c r="F7835" t="s">
        <v>35</v>
      </c>
      <c r="G7835" t="s">
        <v>35</v>
      </c>
      <c r="H7835" t="s">
        <v>35</v>
      </c>
      <c r="J7835" t="s">
        <v>3952</v>
      </c>
      <c r="K7835" t="s">
        <v>1092</v>
      </c>
      <c r="M7835">
        <v>0.5</v>
      </c>
      <c r="N7835">
        <v>38</v>
      </c>
      <c r="O7835" t="s">
        <v>52</v>
      </c>
      <c r="Q7835" t="s">
        <v>748</v>
      </c>
      <c r="R7835" t="s">
        <v>133</v>
      </c>
      <c r="S7835" t="s">
        <v>134</v>
      </c>
    </row>
    <row r="7836" spans="1:19" x14ac:dyDescent="0.25">
      <c r="A7836" t="s">
        <v>59</v>
      </c>
      <c r="B7836" t="s">
        <v>60</v>
      </c>
      <c r="C7836" t="s">
        <v>32</v>
      </c>
      <c r="D7836" t="s">
        <v>953</v>
      </c>
      <c r="E7836" t="s">
        <v>1015</v>
      </c>
      <c r="F7836" t="s">
        <v>35</v>
      </c>
      <c r="G7836" t="s">
        <v>35</v>
      </c>
      <c r="H7836" t="s">
        <v>35</v>
      </c>
      <c r="J7836" t="s">
        <v>3952</v>
      </c>
      <c r="K7836" t="s">
        <v>1092</v>
      </c>
      <c r="M7836">
        <v>0.25</v>
      </c>
      <c r="N7836">
        <v>25</v>
      </c>
      <c r="O7836" t="s">
        <v>46</v>
      </c>
      <c r="Q7836" t="s">
        <v>831</v>
      </c>
      <c r="R7836" t="s">
        <v>133</v>
      </c>
      <c r="S7836" t="s">
        <v>134</v>
      </c>
    </row>
    <row r="7837" spans="1:19" x14ac:dyDescent="0.25">
      <c r="A7837" t="s">
        <v>59</v>
      </c>
      <c r="B7837" t="s">
        <v>31</v>
      </c>
      <c r="C7837" t="s">
        <v>32</v>
      </c>
      <c r="D7837" t="s">
        <v>953</v>
      </c>
      <c r="E7837" t="s">
        <v>1015</v>
      </c>
      <c r="F7837" t="s">
        <v>35</v>
      </c>
      <c r="G7837" t="s">
        <v>35</v>
      </c>
      <c r="H7837" t="s">
        <v>35</v>
      </c>
      <c r="J7837" t="s">
        <v>3952</v>
      </c>
      <c r="K7837" t="s">
        <v>1092</v>
      </c>
      <c r="M7837">
        <v>0.67500000000000004</v>
      </c>
      <c r="N7837">
        <v>143</v>
      </c>
      <c r="O7837" t="s">
        <v>38</v>
      </c>
      <c r="Q7837" t="s">
        <v>2121</v>
      </c>
      <c r="R7837" t="s">
        <v>133</v>
      </c>
      <c r="S7837" t="s">
        <v>134</v>
      </c>
    </row>
    <row r="7838" spans="1:19" x14ac:dyDescent="0.25">
      <c r="A7838" t="s">
        <v>59</v>
      </c>
      <c r="B7838" t="s">
        <v>31</v>
      </c>
      <c r="C7838" t="s">
        <v>32</v>
      </c>
      <c r="D7838" t="s">
        <v>953</v>
      </c>
      <c r="E7838" t="s">
        <v>1015</v>
      </c>
      <c r="F7838" t="s">
        <v>35</v>
      </c>
      <c r="G7838" t="s">
        <v>35</v>
      </c>
      <c r="H7838" t="s">
        <v>35</v>
      </c>
      <c r="J7838" t="s">
        <v>3952</v>
      </c>
      <c r="K7838" t="s">
        <v>1092</v>
      </c>
      <c r="M7838">
        <v>0.72</v>
      </c>
      <c r="N7838">
        <v>243</v>
      </c>
      <c r="O7838" t="s">
        <v>5</v>
      </c>
      <c r="Q7838" t="s">
        <v>1151</v>
      </c>
      <c r="R7838" t="s">
        <v>133</v>
      </c>
      <c r="S7838" t="s">
        <v>134</v>
      </c>
    </row>
    <row r="7839" spans="1:19" x14ac:dyDescent="0.25">
      <c r="A7839" t="s">
        <v>59</v>
      </c>
      <c r="B7839" t="s">
        <v>31</v>
      </c>
      <c r="C7839" t="s">
        <v>32</v>
      </c>
      <c r="D7839" t="s">
        <v>953</v>
      </c>
      <c r="E7839" t="s">
        <v>1015</v>
      </c>
      <c r="F7839" t="s">
        <v>35</v>
      </c>
      <c r="G7839" t="s">
        <v>35</v>
      </c>
      <c r="H7839" t="s">
        <v>35</v>
      </c>
      <c r="J7839" t="s">
        <v>3952</v>
      </c>
      <c r="K7839" t="s">
        <v>1092</v>
      </c>
      <c r="M7839">
        <v>0.315</v>
      </c>
      <c r="N7839">
        <v>59</v>
      </c>
      <c r="O7839" t="s">
        <v>52</v>
      </c>
      <c r="Q7839" t="s">
        <v>84</v>
      </c>
      <c r="R7839" t="s">
        <v>133</v>
      </c>
      <c r="S7839" t="s">
        <v>134</v>
      </c>
    </row>
    <row r="7840" spans="1:19" x14ac:dyDescent="0.25">
      <c r="A7840" t="s">
        <v>44</v>
      </c>
      <c r="B7840" t="s">
        <v>3</v>
      </c>
      <c r="C7840" t="s">
        <v>32</v>
      </c>
      <c r="D7840" t="s">
        <v>953</v>
      </c>
      <c r="E7840" t="s">
        <v>1015</v>
      </c>
      <c r="F7840" t="s">
        <v>35</v>
      </c>
      <c r="G7840" t="s">
        <v>35</v>
      </c>
      <c r="H7840" t="s">
        <v>35</v>
      </c>
      <c r="J7840" t="s">
        <v>3952</v>
      </c>
      <c r="K7840" t="s">
        <v>1092</v>
      </c>
      <c r="M7840">
        <v>0.25</v>
      </c>
      <c r="N7840">
        <v>25</v>
      </c>
      <c r="O7840" t="s">
        <v>46</v>
      </c>
      <c r="Q7840" t="s">
        <v>831</v>
      </c>
      <c r="R7840" t="s">
        <v>133</v>
      </c>
      <c r="S7840" t="s">
        <v>134</v>
      </c>
    </row>
    <row r="7841" spans="1:19" x14ac:dyDescent="0.25">
      <c r="A7841" t="s">
        <v>59</v>
      </c>
      <c r="B7841" t="s">
        <v>60</v>
      </c>
      <c r="C7841" t="s">
        <v>32</v>
      </c>
      <c r="D7841" t="s">
        <v>953</v>
      </c>
      <c r="E7841" t="s">
        <v>1015</v>
      </c>
      <c r="F7841" t="s">
        <v>35</v>
      </c>
      <c r="G7841" t="s">
        <v>35</v>
      </c>
      <c r="H7841" t="s">
        <v>35</v>
      </c>
      <c r="J7841" t="s">
        <v>3952</v>
      </c>
      <c r="K7841" t="s">
        <v>1092</v>
      </c>
      <c r="M7841">
        <v>0.5</v>
      </c>
      <c r="N7841">
        <v>73</v>
      </c>
      <c r="O7841" t="s">
        <v>61</v>
      </c>
      <c r="Q7841" t="s">
        <v>552</v>
      </c>
      <c r="R7841" t="s">
        <v>133</v>
      </c>
      <c r="S7841" t="s">
        <v>134</v>
      </c>
    </row>
    <row r="7842" spans="1:19" x14ac:dyDescent="0.25">
      <c r="A7842" t="s">
        <v>59</v>
      </c>
      <c r="B7842" t="s">
        <v>60</v>
      </c>
      <c r="C7842" t="s">
        <v>32</v>
      </c>
      <c r="D7842" t="s">
        <v>953</v>
      </c>
      <c r="E7842" t="s">
        <v>1015</v>
      </c>
      <c r="F7842" t="s">
        <v>35</v>
      </c>
      <c r="G7842" t="s">
        <v>35</v>
      </c>
      <c r="H7842" t="s">
        <v>35</v>
      </c>
      <c r="J7842" t="s">
        <v>3952</v>
      </c>
      <c r="K7842" t="s">
        <v>1092</v>
      </c>
      <c r="M7842">
        <v>0.4</v>
      </c>
      <c r="N7842">
        <v>86</v>
      </c>
      <c r="O7842" t="s">
        <v>61</v>
      </c>
      <c r="Q7842" t="s">
        <v>1076</v>
      </c>
      <c r="R7842" t="s">
        <v>133</v>
      </c>
      <c r="S7842" t="s">
        <v>134</v>
      </c>
    </row>
    <row r="7843" spans="1:19" x14ac:dyDescent="0.25">
      <c r="A7843" t="s">
        <v>44</v>
      </c>
      <c r="B7843" t="s">
        <v>3</v>
      </c>
      <c r="C7843" t="s">
        <v>32</v>
      </c>
      <c r="D7843" t="s">
        <v>953</v>
      </c>
      <c r="E7843" t="s">
        <v>1015</v>
      </c>
      <c r="F7843" t="s">
        <v>35</v>
      </c>
      <c r="G7843" t="s">
        <v>35</v>
      </c>
      <c r="H7843" t="s">
        <v>35</v>
      </c>
      <c r="J7843" t="s">
        <v>3952</v>
      </c>
      <c r="K7843" t="s">
        <v>1092</v>
      </c>
      <c r="M7843">
        <v>0.65</v>
      </c>
      <c r="N7843">
        <v>32</v>
      </c>
      <c r="O7843" t="s">
        <v>52</v>
      </c>
      <c r="Q7843" t="s">
        <v>547</v>
      </c>
      <c r="R7843" t="s">
        <v>133</v>
      </c>
      <c r="S7843" t="s">
        <v>134</v>
      </c>
    </row>
    <row r="7844" spans="1:19" x14ac:dyDescent="0.25">
      <c r="A7844" t="s">
        <v>59</v>
      </c>
      <c r="B7844" t="s">
        <v>60</v>
      </c>
      <c r="C7844" t="s">
        <v>32</v>
      </c>
      <c r="D7844" t="s">
        <v>953</v>
      </c>
      <c r="E7844" t="s">
        <v>1015</v>
      </c>
      <c r="F7844" t="s">
        <v>35</v>
      </c>
      <c r="G7844" t="s">
        <v>35</v>
      </c>
      <c r="H7844" t="s">
        <v>35</v>
      </c>
      <c r="J7844" t="s">
        <v>5418</v>
      </c>
      <c r="K7844" t="s">
        <v>1092</v>
      </c>
      <c r="M7844">
        <v>1</v>
      </c>
      <c r="N7844">
        <v>60</v>
      </c>
      <c r="O7844" t="s">
        <v>52</v>
      </c>
      <c r="Q7844" t="s">
        <v>1734</v>
      </c>
      <c r="R7844" t="s">
        <v>133</v>
      </c>
      <c r="S7844" t="s">
        <v>134</v>
      </c>
    </row>
    <row r="7845" spans="1:19" x14ac:dyDescent="0.25">
      <c r="A7845" t="s">
        <v>30</v>
      </c>
      <c r="B7845" t="s">
        <v>31</v>
      </c>
      <c r="C7845" t="s">
        <v>32</v>
      </c>
      <c r="D7845" t="s">
        <v>953</v>
      </c>
      <c r="E7845" t="s">
        <v>1015</v>
      </c>
      <c r="F7845" t="s">
        <v>35</v>
      </c>
      <c r="G7845" t="s">
        <v>35</v>
      </c>
      <c r="H7845" t="s">
        <v>35</v>
      </c>
      <c r="J7845" t="s">
        <v>7375</v>
      </c>
      <c r="K7845" t="s">
        <v>1092</v>
      </c>
      <c r="M7845">
        <v>0.9</v>
      </c>
      <c r="N7845">
        <v>12</v>
      </c>
      <c r="O7845" t="s">
        <v>46</v>
      </c>
      <c r="Q7845" t="s">
        <v>1865</v>
      </c>
      <c r="R7845" t="s">
        <v>133</v>
      </c>
      <c r="S7845" t="s">
        <v>134</v>
      </c>
    </row>
    <row r="7846" spans="1:19" x14ac:dyDescent="0.25">
      <c r="A7846" t="s">
        <v>59</v>
      </c>
      <c r="B7846" t="s">
        <v>60</v>
      </c>
      <c r="C7846" t="s">
        <v>32</v>
      </c>
      <c r="D7846" t="s">
        <v>953</v>
      </c>
      <c r="E7846" t="s">
        <v>1015</v>
      </c>
      <c r="F7846" t="s">
        <v>35</v>
      </c>
      <c r="G7846" t="s">
        <v>35</v>
      </c>
      <c r="H7846" t="s">
        <v>35</v>
      </c>
      <c r="J7846" t="s">
        <v>7376</v>
      </c>
      <c r="K7846" t="s">
        <v>1092</v>
      </c>
      <c r="M7846">
        <v>0.5</v>
      </c>
      <c r="N7846">
        <v>130</v>
      </c>
      <c r="O7846" t="s">
        <v>38</v>
      </c>
      <c r="Q7846" t="s">
        <v>1656</v>
      </c>
      <c r="R7846" t="s">
        <v>6847</v>
      </c>
      <c r="S7846" t="s">
        <v>1034</v>
      </c>
    </row>
    <row r="7847" spans="1:19" x14ac:dyDescent="0.25">
      <c r="A7847" t="s">
        <v>59</v>
      </c>
      <c r="B7847" t="s">
        <v>60</v>
      </c>
      <c r="C7847" t="s">
        <v>32</v>
      </c>
      <c r="D7847" t="s">
        <v>953</v>
      </c>
      <c r="E7847" t="s">
        <v>1015</v>
      </c>
      <c r="F7847" t="s">
        <v>35</v>
      </c>
      <c r="G7847" t="s">
        <v>35</v>
      </c>
      <c r="H7847" t="s">
        <v>35</v>
      </c>
      <c r="J7847" t="s">
        <v>7376</v>
      </c>
      <c r="K7847" t="s">
        <v>1092</v>
      </c>
      <c r="M7847">
        <v>5</v>
      </c>
      <c r="N7847">
        <v>90</v>
      </c>
      <c r="O7847" t="s">
        <v>61</v>
      </c>
      <c r="Q7847" t="s">
        <v>897</v>
      </c>
      <c r="R7847" t="s">
        <v>6847</v>
      </c>
      <c r="S7847" t="s">
        <v>1034</v>
      </c>
    </row>
    <row r="7848" spans="1:19" x14ac:dyDescent="0.25">
      <c r="A7848" t="s">
        <v>59</v>
      </c>
      <c r="B7848" t="s">
        <v>60</v>
      </c>
      <c r="C7848" t="s">
        <v>32</v>
      </c>
      <c r="D7848" t="s">
        <v>953</v>
      </c>
      <c r="E7848" t="s">
        <v>1015</v>
      </c>
      <c r="F7848" t="s">
        <v>35</v>
      </c>
      <c r="G7848" t="s">
        <v>35</v>
      </c>
      <c r="H7848" t="s">
        <v>35</v>
      </c>
      <c r="J7848" t="s">
        <v>7376</v>
      </c>
      <c r="K7848" t="s">
        <v>1092</v>
      </c>
      <c r="M7848">
        <v>4</v>
      </c>
      <c r="N7848">
        <v>62</v>
      </c>
      <c r="O7848" t="s">
        <v>61</v>
      </c>
      <c r="Q7848" t="s">
        <v>90</v>
      </c>
      <c r="R7848" t="s">
        <v>6847</v>
      </c>
      <c r="S7848" t="s">
        <v>1034</v>
      </c>
    </row>
    <row r="7849" spans="1:19" x14ac:dyDescent="0.25">
      <c r="A7849" t="s">
        <v>44</v>
      </c>
      <c r="B7849" t="s">
        <v>3</v>
      </c>
      <c r="C7849" t="s">
        <v>32</v>
      </c>
      <c r="D7849" t="s">
        <v>953</v>
      </c>
      <c r="E7849" t="s">
        <v>1015</v>
      </c>
      <c r="F7849" t="s">
        <v>35</v>
      </c>
      <c r="G7849" t="s">
        <v>35</v>
      </c>
      <c r="H7849" t="s">
        <v>35</v>
      </c>
      <c r="J7849" t="s">
        <v>7376</v>
      </c>
      <c r="K7849" t="s">
        <v>1092</v>
      </c>
      <c r="M7849">
        <v>3.45</v>
      </c>
      <c r="N7849">
        <v>65</v>
      </c>
      <c r="O7849" t="s">
        <v>61</v>
      </c>
      <c r="Q7849" t="s">
        <v>128</v>
      </c>
      <c r="R7849" t="s">
        <v>6847</v>
      </c>
      <c r="S7849" t="s">
        <v>1034</v>
      </c>
    </row>
    <row r="7850" spans="1:19" x14ac:dyDescent="0.25">
      <c r="A7850" t="s">
        <v>59</v>
      </c>
      <c r="B7850" t="s">
        <v>60</v>
      </c>
      <c r="C7850" t="s">
        <v>32</v>
      </c>
      <c r="D7850" t="s">
        <v>953</v>
      </c>
      <c r="E7850" t="s">
        <v>1015</v>
      </c>
      <c r="F7850" t="s">
        <v>35</v>
      </c>
      <c r="G7850" t="s">
        <v>35</v>
      </c>
      <c r="H7850" t="s">
        <v>35</v>
      </c>
      <c r="J7850" t="s">
        <v>7377</v>
      </c>
      <c r="K7850" t="s">
        <v>1092</v>
      </c>
      <c r="M7850">
        <v>1.25</v>
      </c>
      <c r="N7850">
        <v>52</v>
      </c>
      <c r="O7850" t="s">
        <v>52</v>
      </c>
      <c r="Q7850" t="s">
        <v>1230</v>
      </c>
      <c r="R7850" t="s">
        <v>6709</v>
      </c>
      <c r="S7850" t="s">
        <v>1022</v>
      </c>
    </row>
    <row r="7851" spans="1:19" x14ac:dyDescent="0.25">
      <c r="A7851" t="s">
        <v>59</v>
      </c>
      <c r="B7851" t="s">
        <v>31</v>
      </c>
      <c r="C7851" t="s">
        <v>32</v>
      </c>
      <c r="D7851" t="s">
        <v>953</v>
      </c>
      <c r="E7851" t="s">
        <v>1015</v>
      </c>
      <c r="F7851" t="s">
        <v>35</v>
      </c>
      <c r="G7851" t="s">
        <v>35</v>
      </c>
      <c r="H7851" t="s">
        <v>35</v>
      </c>
      <c r="J7851" t="s">
        <v>7378</v>
      </c>
      <c r="K7851" t="s">
        <v>1092</v>
      </c>
      <c r="M7851">
        <v>0.18</v>
      </c>
      <c r="N7851">
        <v>452</v>
      </c>
      <c r="O7851" t="s">
        <v>294</v>
      </c>
      <c r="Q7851" t="s">
        <v>2713</v>
      </c>
      <c r="R7851" t="s">
        <v>7029</v>
      </c>
      <c r="S7851" t="s">
        <v>7030</v>
      </c>
    </row>
    <row r="7852" spans="1:19" x14ac:dyDescent="0.25">
      <c r="A7852" t="s">
        <v>59</v>
      </c>
      <c r="B7852" t="s">
        <v>60</v>
      </c>
      <c r="C7852" t="s">
        <v>32</v>
      </c>
      <c r="D7852" t="s">
        <v>953</v>
      </c>
      <c r="E7852" t="s">
        <v>1015</v>
      </c>
      <c r="F7852" t="s">
        <v>35</v>
      </c>
      <c r="G7852" t="s">
        <v>35</v>
      </c>
      <c r="H7852" t="s">
        <v>35</v>
      </c>
      <c r="J7852" t="s">
        <v>3285</v>
      </c>
      <c r="K7852" t="s">
        <v>1092</v>
      </c>
      <c r="M7852">
        <v>3</v>
      </c>
      <c r="N7852">
        <v>62</v>
      </c>
      <c r="O7852" t="s">
        <v>61</v>
      </c>
      <c r="Q7852" t="s">
        <v>90</v>
      </c>
      <c r="R7852" t="s">
        <v>6742</v>
      </c>
      <c r="S7852" t="s">
        <v>1016</v>
      </c>
    </row>
    <row r="7853" spans="1:19" x14ac:dyDescent="0.25">
      <c r="A7853" t="s">
        <v>59</v>
      </c>
      <c r="B7853" t="s">
        <v>60</v>
      </c>
      <c r="C7853" t="s">
        <v>32</v>
      </c>
      <c r="D7853" t="s">
        <v>953</v>
      </c>
      <c r="E7853" t="s">
        <v>1015</v>
      </c>
      <c r="F7853" t="s">
        <v>35</v>
      </c>
      <c r="G7853" t="s">
        <v>35</v>
      </c>
      <c r="H7853" t="s">
        <v>35</v>
      </c>
      <c r="J7853" t="s">
        <v>3285</v>
      </c>
      <c r="K7853" t="s">
        <v>1092</v>
      </c>
      <c r="M7853">
        <v>2.35</v>
      </c>
      <c r="N7853">
        <v>86</v>
      </c>
      <c r="O7853" t="s">
        <v>61</v>
      </c>
      <c r="Q7853" t="s">
        <v>1076</v>
      </c>
      <c r="R7853" t="s">
        <v>133</v>
      </c>
      <c r="S7853" t="s">
        <v>134</v>
      </c>
    </row>
    <row r="7854" spans="1:19" x14ac:dyDescent="0.25">
      <c r="A7854" t="s">
        <v>59</v>
      </c>
      <c r="B7854" t="s">
        <v>31</v>
      </c>
      <c r="C7854" t="s">
        <v>32</v>
      </c>
      <c r="D7854" t="s">
        <v>953</v>
      </c>
      <c r="E7854" t="s">
        <v>1015</v>
      </c>
      <c r="F7854" t="s">
        <v>35</v>
      </c>
      <c r="G7854" t="s">
        <v>35</v>
      </c>
      <c r="H7854" t="s">
        <v>35</v>
      </c>
      <c r="J7854" t="s">
        <v>3285</v>
      </c>
      <c r="K7854" t="s">
        <v>1092</v>
      </c>
      <c r="M7854">
        <v>2.4750000000000001</v>
      </c>
      <c r="N7854">
        <v>86</v>
      </c>
      <c r="O7854" t="s">
        <v>61</v>
      </c>
      <c r="Q7854" t="s">
        <v>1076</v>
      </c>
      <c r="R7854" t="s">
        <v>133</v>
      </c>
      <c r="S7854" t="s">
        <v>134</v>
      </c>
    </row>
    <row r="7855" spans="1:19" x14ac:dyDescent="0.25">
      <c r="A7855" t="s">
        <v>59</v>
      </c>
      <c r="B7855" t="s">
        <v>60</v>
      </c>
      <c r="C7855" t="s">
        <v>32</v>
      </c>
      <c r="D7855" t="s">
        <v>953</v>
      </c>
      <c r="E7855" t="s">
        <v>1015</v>
      </c>
      <c r="F7855" t="s">
        <v>35</v>
      </c>
      <c r="G7855" t="s">
        <v>35</v>
      </c>
      <c r="H7855" t="s">
        <v>35</v>
      </c>
      <c r="J7855" t="s">
        <v>7379</v>
      </c>
      <c r="K7855" t="s">
        <v>1092</v>
      </c>
      <c r="M7855">
        <v>0.6</v>
      </c>
      <c r="N7855">
        <v>86</v>
      </c>
      <c r="O7855" t="s">
        <v>61</v>
      </c>
      <c r="Q7855" t="s">
        <v>1076</v>
      </c>
      <c r="R7855" t="s">
        <v>133</v>
      </c>
      <c r="S7855" t="s">
        <v>134</v>
      </c>
    </row>
    <row r="7856" spans="1:19" x14ac:dyDescent="0.25">
      <c r="A7856" t="s">
        <v>59</v>
      </c>
      <c r="B7856" t="s">
        <v>31</v>
      </c>
      <c r="C7856" t="s">
        <v>32</v>
      </c>
      <c r="D7856" t="s">
        <v>953</v>
      </c>
      <c r="E7856" t="s">
        <v>1015</v>
      </c>
      <c r="F7856" t="s">
        <v>35</v>
      </c>
      <c r="G7856" t="s">
        <v>35</v>
      </c>
      <c r="H7856" t="s">
        <v>35</v>
      </c>
      <c r="J7856" t="s">
        <v>7379</v>
      </c>
      <c r="K7856" t="s">
        <v>1092</v>
      </c>
      <c r="M7856">
        <v>1.17</v>
      </c>
      <c r="N7856">
        <v>86</v>
      </c>
      <c r="O7856" t="s">
        <v>61</v>
      </c>
      <c r="Q7856" t="s">
        <v>1076</v>
      </c>
      <c r="R7856" t="s">
        <v>133</v>
      </c>
      <c r="S7856" t="s">
        <v>134</v>
      </c>
    </row>
    <row r="7857" spans="1:19" x14ac:dyDescent="0.25">
      <c r="A7857" t="s">
        <v>59</v>
      </c>
      <c r="B7857" t="s">
        <v>60</v>
      </c>
      <c r="C7857" t="s">
        <v>32</v>
      </c>
      <c r="D7857" t="s">
        <v>953</v>
      </c>
      <c r="E7857" t="s">
        <v>1015</v>
      </c>
      <c r="F7857" t="s">
        <v>35</v>
      </c>
      <c r="G7857" t="s">
        <v>35</v>
      </c>
      <c r="H7857" t="s">
        <v>35</v>
      </c>
      <c r="J7857" t="s">
        <v>7380</v>
      </c>
      <c r="K7857" t="s">
        <v>1092</v>
      </c>
      <c r="M7857">
        <v>5</v>
      </c>
      <c r="N7857">
        <v>60</v>
      </c>
      <c r="O7857" t="s">
        <v>52</v>
      </c>
      <c r="Q7857" t="s">
        <v>1734</v>
      </c>
      <c r="R7857" t="s">
        <v>133</v>
      </c>
      <c r="S7857" t="s">
        <v>134</v>
      </c>
    </row>
    <row r="7858" spans="1:19" x14ac:dyDescent="0.25">
      <c r="A7858" t="s">
        <v>30</v>
      </c>
      <c r="B7858" t="s">
        <v>31</v>
      </c>
      <c r="C7858" t="s">
        <v>32</v>
      </c>
      <c r="D7858" t="s">
        <v>953</v>
      </c>
      <c r="E7858" t="s">
        <v>1015</v>
      </c>
      <c r="F7858" t="s">
        <v>35</v>
      </c>
      <c r="G7858" t="s">
        <v>35</v>
      </c>
      <c r="H7858" t="s">
        <v>35</v>
      </c>
      <c r="J7858" t="s">
        <v>7380</v>
      </c>
      <c r="K7858" t="s">
        <v>1092</v>
      </c>
      <c r="M7858">
        <v>4.9950000000000001</v>
      </c>
      <c r="N7858">
        <v>60</v>
      </c>
      <c r="O7858" t="s">
        <v>52</v>
      </c>
      <c r="Q7858" t="s">
        <v>1734</v>
      </c>
      <c r="R7858" t="s">
        <v>133</v>
      </c>
      <c r="S7858" t="s">
        <v>134</v>
      </c>
    </row>
    <row r="7859" spans="1:19" x14ac:dyDescent="0.25">
      <c r="A7859" t="s">
        <v>59</v>
      </c>
      <c r="B7859" t="s">
        <v>60</v>
      </c>
      <c r="C7859" t="s">
        <v>32</v>
      </c>
      <c r="D7859" t="s">
        <v>953</v>
      </c>
      <c r="E7859" t="s">
        <v>1015</v>
      </c>
      <c r="F7859" t="s">
        <v>35</v>
      </c>
      <c r="G7859" t="s">
        <v>35</v>
      </c>
      <c r="H7859" t="s">
        <v>35</v>
      </c>
      <c r="J7859" t="s">
        <v>7380</v>
      </c>
      <c r="K7859" t="s">
        <v>1092</v>
      </c>
      <c r="M7859">
        <v>0.55000000000000004</v>
      </c>
      <c r="N7859">
        <v>91</v>
      </c>
      <c r="O7859" t="s">
        <v>106</v>
      </c>
      <c r="Q7859" t="s">
        <v>1147</v>
      </c>
      <c r="R7859" t="s">
        <v>133</v>
      </c>
      <c r="S7859" t="s">
        <v>134</v>
      </c>
    </row>
    <row r="7860" spans="1:19" x14ac:dyDescent="0.25">
      <c r="A7860" t="s">
        <v>59</v>
      </c>
      <c r="B7860" t="s">
        <v>60</v>
      </c>
      <c r="C7860" t="s">
        <v>32</v>
      </c>
      <c r="D7860" t="s">
        <v>953</v>
      </c>
      <c r="E7860" t="s">
        <v>1015</v>
      </c>
      <c r="F7860" t="s">
        <v>35</v>
      </c>
      <c r="G7860" t="s">
        <v>35</v>
      </c>
      <c r="H7860" t="s">
        <v>35</v>
      </c>
      <c r="J7860" t="s">
        <v>3676</v>
      </c>
      <c r="K7860" t="s">
        <v>1092</v>
      </c>
      <c r="M7860">
        <v>1.2</v>
      </c>
      <c r="N7860">
        <v>59</v>
      </c>
      <c r="O7860" t="s">
        <v>52</v>
      </c>
      <c r="Q7860" t="s">
        <v>84</v>
      </c>
      <c r="R7860" t="s">
        <v>133</v>
      </c>
      <c r="S7860" t="s">
        <v>134</v>
      </c>
    </row>
    <row r="7861" spans="1:19" x14ac:dyDescent="0.25">
      <c r="A7861" t="s">
        <v>59</v>
      </c>
      <c r="B7861" t="s">
        <v>31</v>
      </c>
      <c r="C7861" t="s">
        <v>32</v>
      </c>
      <c r="D7861" t="s">
        <v>953</v>
      </c>
      <c r="E7861" t="s">
        <v>1015</v>
      </c>
      <c r="F7861" t="s">
        <v>35</v>
      </c>
      <c r="G7861" t="s">
        <v>35</v>
      </c>
      <c r="H7861" t="s">
        <v>35</v>
      </c>
      <c r="J7861" t="s">
        <v>3676</v>
      </c>
      <c r="K7861" t="s">
        <v>1092</v>
      </c>
      <c r="M7861">
        <v>1.665</v>
      </c>
      <c r="N7861">
        <v>60</v>
      </c>
      <c r="O7861" t="s">
        <v>52</v>
      </c>
      <c r="Q7861" t="s">
        <v>1734</v>
      </c>
      <c r="R7861" t="s">
        <v>133</v>
      </c>
      <c r="S7861" t="s">
        <v>134</v>
      </c>
    </row>
    <row r="7862" spans="1:19" x14ac:dyDescent="0.25">
      <c r="A7862" t="s">
        <v>59</v>
      </c>
      <c r="B7862" t="s">
        <v>31</v>
      </c>
      <c r="C7862" t="s">
        <v>32</v>
      </c>
      <c r="D7862" t="s">
        <v>953</v>
      </c>
      <c r="E7862" t="s">
        <v>1015</v>
      </c>
      <c r="F7862" t="s">
        <v>35</v>
      </c>
      <c r="G7862" t="s">
        <v>35</v>
      </c>
      <c r="H7862" t="s">
        <v>35</v>
      </c>
      <c r="J7862" t="s">
        <v>7381</v>
      </c>
      <c r="K7862" t="s">
        <v>1092</v>
      </c>
      <c r="M7862">
        <v>0.9</v>
      </c>
      <c r="N7862">
        <v>90</v>
      </c>
      <c r="O7862" t="s">
        <v>61</v>
      </c>
      <c r="Q7862" t="s">
        <v>897</v>
      </c>
      <c r="R7862" t="s">
        <v>133</v>
      </c>
      <c r="S7862" t="s">
        <v>134</v>
      </c>
    </row>
    <row r="7863" spans="1:19" x14ac:dyDescent="0.25">
      <c r="A7863" t="s">
        <v>59</v>
      </c>
      <c r="B7863" t="s">
        <v>31</v>
      </c>
      <c r="C7863" t="s">
        <v>32</v>
      </c>
      <c r="D7863" t="s">
        <v>953</v>
      </c>
      <c r="E7863" t="s">
        <v>1015</v>
      </c>
      <c r="F7863" t="s">
        <v>35</v>
      </c>
      <c r="G7863" t="s">
        <v>35</v>
      </c>
      <c r="H7863" t="s">
        <v>35</v>
      </c>
      <c r="J7863" t="s">
        <v>7382</v>
      </c>
      <c r="K7863" t="s">
        <v>1092</v>
      </c>
      <c r="M7863">
        <v>0.72</v>
      </c>
      <c r="N7863">
        <v>62</v>
      </c>
      <c r="O7863" t="s">
        <v>61</v>
      </c>
      <c r="Q7863" t="s">
        <v>90</v>
      </c>
      <c r="R7863" t="s">
        <v>987</v>
      </c>
      <c r="S7863" t="s">
        <v>988</v>
      </c>
    </row>
    <row r="7864" spans="1:19" x14ac:dyDescent="0.25">
      <c r="A7864" t="s">
        <v>44</v>
      </c>
      <c r="B7864" t="s">
        <v>3</v>
      </c>
      <c r="C7864" t="s">
        <v>32</v>
      </c>
      <c r="D7864" t="s">
        <v>953</v>
      </c>
      <c r="E7864" t="s">
        <v>1015</v>
      </c>
      <c r="F7864" t="s">
        <v>35</v>
      </c>
      <c r="G7864" t="s">
        <v>35</v>
      </c>
      <c r="H7864" t="s">
        <v>35</v>
      </c>
      <c r="J7864" t="s">
        <v>7382</v>
      </c>
      <c r="K7864" t="s">
        <v>1092</v>
      </c>
      <c r="M7864">
        <v>4.0999999999999996</v>
      </c>
      <c r="N7864">
        <v>63</v>
      </c>
      <c r="O7864" t="s">
        <v>61</v>
      </c>
      <c r="Q7864" t="s">
        <v>423</v>
      </c>
      <c r="R7864" t="s">
        <v>987</v>
      </c>
      <c r="S7864" t="s">
        <v>988</v>
      </c>
    </row>
    <row r="7865" spans="1:19" x14ac:dyDescent="0.25">
      <c r="A7865" t="s">
        <v>59</v>
      </c>
      <c r="B7865" t="s">
        <v>60</v>
      </c>
      <c r="C7865" t="s">
        <v>32</v>
      </c>
      <c r="D7865" t="s">
        <v>953</v>
      </c>
      <c r="E7865" t="s">
        <v>1015</v>
      </c>
      <c r="F7865" t="s">
        <v>35</v>
      </c>
      <c r="G7865" t="s">
        <v>35</v>
      </c>
      <c r="H7865" t="s">
        <v>35</v>
      </c>
      <c r="J7865" t="s">
        <v>7382</v>
      </c>
      <c r="K7865" t="s">
        <v>1092</v>
      </c>
      <c r="M7865">
        <v>1.55</v>
      </c>
      <c r="N7865">
        <v>105</v>
      </c>
      <c r="O7865" t="s">
        <v>106</v>
      </c>
      <c r="Q7865" t="s">
        <v>4971</v>
      </c>
      <c r="R7865" t="s">
        <v>6885</v>
      </c>
      <c r="S7865" t="s">
        <v>6886</v>
      </c>
    </row>
    <row r="7866" spans="1:19" x14ac:dyDescent="0.25">
      <c r="A7866" t="s">
        <v>44</v>
      </c>
      <c r="B7866" t="s">
        <v>3</v>
      </c>
      <c r="C7866" t="s">
        <v>32</v>
      </c>
      <c r="D7866" t="s">
        <v>953</v>
      </c>
      <c r="E7866" t="s">
        <v>1015</v>
      </c>
      <c r="F7866" t="s">
        <v>35</v>
      </c>
      <c r="G7866" t="s">
        <v>35</v>
      </c>
      <c r="H7866" t="s">
        <v>35</v>
      </c>
      <c r="J7866" t="s">
        <v>7383</v>
      </c>
      <c r="K7866" t="s">
        <v>1092</v>
      </c>
      <c r="M7866">
        <v>0.5</v>
      </c>
      <c r="N7866">
        <v>17</v>
      </c>
      <c r="O7866" t="s">
        <v>46</v>
      </c>
      <c r="Q7866" t="s">
        <v>1302</v>
      </c>
      <c r="R7866" t="s">
        <v>133</v>
      </c>
      <c r="S7866" t="s">
        <v>134</v>
      </c>
    </row>
    <row r="7867" spans="1:19" x14ac:dyDescent="0.25">
      <c r="A7867" t="s">
        <v>44</v>
      </c>
      <c r="B7867" t="s">
        <v>3</v>
      </c>
      <c r="C7867" t="s">
        <v>32</v>
      </c>
      <c r="D7867" t="s">
        <v>953</v>
      </c>
      <c r="E7867" t="s">
        <v>1015</v>
      </c>
      <c r="F7867" t="s">
        <v>35</v>
      </c>
      <c r="G7867" t="s">
        <v>35</v>
      </c>
      <c r="H7867" t="s">
        <v>35</v>
      </c>
      <c r="J7867" t="s">
        <v>7384</v>
      </c>
      <c r="K7867" t="s">
        <v>1092</v>
      </c>
      <c r="M7867">
        <v>0.25</v>
      </c>
      <c r="N7867">
        <v>32</v>
      </c>
      <c r="O7867" t="s">
        <v>52</v>
      </c>
      <c r="Q7867" t="s">
        <v>547</v>
      </c>
      <c r="R7867" t="s">
        <v>133</v>
      </c>
      <c r="S7867" t="s">
        <v>134</v>
      </c>
    </row>
    <row r="7868" spans="1:19" x14ac:dyDescent="0.25">
      <c r="A7868" t="s">
        <v>59</v>
      </c>
      <c r="B7868" t="s">
        <v>60</v>
      </c>
      <c r="C7868" t="s">
        <v>32</v>
      </c>
      <c r="D7868" t="s">
        <v>953</v>
      </c>
      <c r="E7868" t="s">
        <v>1015</v>
      </c>
      <c r="F7868" t="s">
        <v>35</v>
      </c>
      <c r="G7868" t="s">
        <v>35</v>
      </c>
      <c r="H7868" t="s">
        <v>35</v>
      </c>
      <c r="J7868" t="s">
        <v>7384</v>
      </c>
      <c r="K7868" t="s">
        <v>1092</v>
      </c>
      <c r="M7868">
        <v>0.45</v>
      </c>
      <c r="N7868">
        <v>38</v>
      </c>
      <c r="O7868" t="s">
        <v>52</v>
      </c>
      <c r="Q7868" t="s">
        <v>748</v>
      </c>
      <c r="R7868" t="s">
        <v>133</v>
      </c>
      <c r="S7868" t="s">
        <v>134</v>
      </c>
    </row>
    <row r="7869" spans="1:19" x14ac:dyDescent="0.25">
      <c r="A7869" t="s">
        <v>44</v>
      </c>
      <c r="B7869" t="s">
        <v>3</v>
      </c>
      <c r="C7869" t="s">
        <v>32</v>
      </c>
      <c r="D7869" t="s">
        <v>953</v>
      </c>
      <c r="E7869" t="s">
        <v>1015</v>
      </c>
      <c r="F7869" t="s">
        <v>35</v>
      </c>
      <c r="G7869" t="s">
        <v>35</v>
      </c>
      <c r="H7869" t="s">
        <v>35</v>
      </c>
      <c r="J7869" t="s">
        <v>7385</v>
      </c>
      <c r="K7869" t="s">
        <v>1092</v>
      </c>
      <c r="M7869">
        <v>2.75</v>
      </c>
      <c r="N7869">
        <v>62</v>
      </c>
      <c r="O7869" t="s">
        <v>61</v>
      </c>
      <c r="Q7869" t="s">
        <v>90</v>
      </c>
      <c r="R7869" t="s">
        <v>6709</v>
      </c>
      <c r="S7869" t="s">
        <v>1022</v>
      </c>
    </row>
    <row r="7870" spans="1:19" x14ac:dyDescent="0.25">
      <c r="A7870" t="s">
        <v>59</v>
      </c>
      <c r="B7870" t="s">
        <v>60</v>
      </c>
      <c r="C7870" t="s">
        <v>32</v>
      </c>
      <c r="D7870" t="s">
        <v>953</v>
      </c>
      <c r="E7870" t="s">
        <v>1015</v>
      </c>
      <c r="F7870" t="s">
        <v>35</v>
      </c>
      <c r="G7870" t="s">
        <v>35</v>
      </c>
      <c r="H7870" t="s">
        <v>35</v>
      </c>
      <c r="J7870" t="s">
        <v>7386</v>
      </c>
      <c r="K7870" t="s">
        <v>1092</v>
      </c>
      <c r="M7870">
        <v>1.8</v>
      </c>
      <c r="N7870">
        <v>149</v>
      </c>
      <c r="O7870" t="s">
        <v>38</v>
      </c>
      <c r="Q7870" t="s">
        <v>73</v>
      </c>
      <c r="R7870" t="s">
        <v>987</v>
      </c>
      <c r="S7870" t="s">
        <v>988</v>
      </c>
    </row>
    <row r="7871" spans="1:19" x14ac:dyDescent="0.25">
      <c r="A7871" t="s">
        <v>59</v>
      </c>
      <c r="B7871" t="s">
        <v>31</v>
      </c>
      <c r="C7871" t="s">
        <v>32</v>
      </c>
      <c r="D7871" t="s">
        <v>953</v>
      </c>
      <c r="E7871" t="s">
        <v>1015</v>
      </c>
      <c r="F7871" t="s">
        <v>35</v>
      </c>
      <c r="G7871" t="s">
        <v>35</v>
      </c>
      <c r="H7871" t="s">
        <v>35</v>
      </c>
      <c r="J7871" t="s">
        <v>7386</v>
      </c>
      <c r="K7871" t="s">
        <v>1092</v>
      </c>
      <c r="M7871">
        <v>2.25</v>
      </c>
      <c r="N7871">
        <v>91</v>
      </c>
      <c r="O7871" t="s">
        <v>106</v>
      </c>
      <c r="Q7871" t="s">
        <v>1147</v>
      </c>
      <c r="R7871" t="s">
        <v>987</v>
      </c>
      <c r="S7871" t="s">
        <v>988</v>
      </c>
    </row>
    <row r="7872" spans="1:19" x14ac:dyDescent="0.25">
      <c r="A7872" t="s">
        <v>59</v>
      </c>
      <c r="B7872" t="s">
        <v>60</v>
      </c>
      <c r="C7872" t="s">
        <v>32</v>
      </c>
      <c r="D7872" t="s">
        <v>953</v>
      </c>
      <c r="E7872" t="s">
        <v>1015</v>
      </c>
      <c r="F7872" t="s">
        <v>35</v>
      </c>
      <c r="G7872" t="s">
        <v>35</v>
      </c>
      <c r="H7872" t="s">
        <v>35</v>
      </c>
      <c r="J7872" t="s">
        <v>7386</v>
      </c>
      <c r="K7872" t="s">
        <v>1092</v>
      </c>
      <c r="M7872">
        <v>2.5</v>
      </c>
      <c r="N7872">
        <v>91</v>
      </c>
      <c r="O7872" t="s">
        <v>106</v>
      </c>
      <c r="Q7872" t="s">
        <v>1147</v>
      </c>
      <c r="R7872" t="s">
        <v>987</v>
      </c>
      <c r="S7872" t="s">
        <v>988</v>
      </c>
    </row>
    <row r="7873" spans="1:19" x14ac:dyDescent="0.25">
      <c r="A7873" t="s">
        <v>59</v>
      </c>
      <c r="B7873" t="s">
        <v>31</v>
      </c>
      <c r="C7873" t="s">
        <v>32</v>
      </c>
      <c r="D7873" t="s">
        <v>953</v>
      </c>
      <c r="E7873" t="s">
        <v>1015</v>
      </c>
      <c r="F7873" t="s">
        <v>35</v>
      </c>
      <c r="G7873" t="s">
        <v>35</v>
      </c>
      <c r="H7873" t="s">
        <v>35</v>
      </c>
      <c r="J7873" t="s">
        <v>7386</v>
      </c>
      <c r="K7873" t="s">
        <v>1092</v>
      </c>
      <c r="M7873">
        <v>0.9</v>
      </c>
      <c r="N7873">
        <v>170</v>
      </c>
      <c r="O7873" t="s">
        <v>38</v>
      </c>
      <c r="Q7873" t="s">
        <v>2780</v>
      </c>
      <c r="R7873" t="s">
        <v>6709</v>
      </c>
      <c r="S7873" t="s">
        <v>1022</v>
      </c>
    </row>
    <row r="7874" spans="1:19" x14ac:dyDescent="0.25">
      <c r="A7874" t="s">
        <v>59</v>
      </c>
      <c r="B7874" t="s">
        <v>31</v>
      </c>
      <c r="C7874" t="s">
        <v>32</v>
      </c>
      <c r="D7874" t="s">
        <v>953</v>
      </c>
      <c r="E7874" t="s">
        <v>1015</v>
      </c>
      <c r="F7874" t="s">
        <v>35</v>
      </c>
      <c r="G7874" t="s">
        <v>35</v>
      </c>
      <c r="H7874" t="s">
        <v>35</v>
      </c>
      <c r="J7874" t="s">
        <v>7387</v>
      </c>
      <c r="K7874" t="s">
        <v>1092</v>
      </c>
      <c r="M7874">
        <v>8.2799999999999994</v>
      </c>
      <c r="N7874">
        <v>59</v>
      </c>
      <c r="O7874" t="s">
        <v>52</v>
      </c>
      <c r="Q7874" t="s">
        <v>84</v>
      </c>
      <c r="R7874" t="s">
        <v>6709</v>
      </c>
      <c r="S7874" t="s">
        <v>1022</v>
      </c>
    </row>
    <row r="7875" spans="1:19" x14ac:dyDescent="0.25">
      <c r="A7875" t="s">
        <v>59</v>
      </c>
      <c r="B7875" t="s">
        <v>60</v>
      </c>
      <c r="C7875" t="s">
        <v>32</v>
      </c>
      <c r="D7875" t="s">
        <v>953</v>
      </c>
      <c r="E7875" t="s">
        <v>1015</v>
      </c>
      <c r="F7875" t="s">
        <v>35</v>
      </c>
      <c r="G7875" t="s">
        <v>35</v>
      </c>
      <c r="H7875" t="s">
        <v>35</v>
      </c>
      <c r="J7875" t="s">
        <v>7387</v>
      </c>
      <c r="K7875" t="s">
        <v>1092</v>
      </c>
      <c r="M7875">
        <v>4.8769999999999998</v>
      </c>
      <c r="N7875">
        <v>68</v>
      </c>
      <c r="O7875" t="s">
        <v>61</v>
      </c>
      <c r="Q7875" t="s">
        <v>146</v>
      </c>
      <c r="R7875" t="s">
        <v>6709</v>
      </c>
      <c r="S7875" t="s">
        <v>1022</v>
      </c>
    </row>
    <row r="7876" spans="1:19" x14ac:dyDescent="0.25">
      <c r="A7876" t="s">
        <v>30</v>
      </c>
      <c r="B7876" t="s">
        <v>31</v>
      </c>
      <c r="C7876" t="s">
        <v>32</v>
      </c>
      <c r="D7876" t="s">
        <v>953</v>
      </c>
      <c r="E7876" t="s">
        <v>1015</v>
      </c>
      <c r="F7876" t="s">
        <v>35</v>
      </c>
      <c r="G7876" t="s">
        <v>35</v>
      </c>
      <c r="H7876" t="s">
        <v>35</v>
      </c>
      <c r="J7876" t="s">
        <v>7387</v>
      </c>
      <c r="K7876" t="s">
        <v>1092</v>
      </c>
      <c r="M7876">
        <v>9.99</v>
      </c>
      <c r="N7876">
        <v>17</v>
      </c>
      <c r="O7876" t="s">
        <v>46</v>
      </c>
      <c r="Q7876" t="s">
        <v>1302</v>
      </c>
      <c r="R7876" t="s">
        <v>987</v>
      </c>
      <c r="S7876" t="s">
        <v>988</v>
      </c>
    </row>
    <row r="7877" spans="1:19" x14ac:dyDescent="0.25">
      <c r="A7877" t="s">
        <v>59</v>
      </c>
      <c r="B7877" t="s">
        <v>60</v>
      </c>
      <c r="C7877" t="s">
        <v>32</v>
      </c>
      <c r="D7877" t="s">
        <v>953</v>
      </c>
      <c r="E7877" t="s">
        <v>1015</v>
      </c>
      <c r="F7877" t="s">
        <v>35</v>
      </c>
      <c r="G7877" t="s">
        <v>35</v>
      </c>
      <c r="H7877" t="s">
        <v>35</v>
      </c>
      <c r="J7877" t="s">
        <v>7365</v>
      </c>
      <c r="K7877" t="s">
        <v>1092</v>
      </c>
      <c r="M7877">
        <v>0.4</v>
      </c>
      <c r="N7877">
        <v>180</v>
      </c>
      <c r="O7877" t="s">
        <v>38</v>
      </c>
      <c r="Q7877" t="s">
        <v>2138</v>
      </c>
      <c r="R7877" t="s">
        <v>6807</v>
      </c>
      <c r="S7877" t="s">
        <v>1066</v>
      </c>
    </row>
    <row r="7878" spans="1:19" x14ac:dyDescent="0.25">
      <c r="A7878" t="s">
        <v>59</v>
      </c>
      <c r="B7878" t="s">
        <v>31</v>
      </c>
      <c r="C7878" t="s">
        <v>32</v>
      </c>
      <c r="D7878" t="s">
        <v>953</v>
      </c>
      <c r="E7878" t="s">
        <v>1015</v>
      </c>
      <c r="F7878" t="s">
        <v>35</v>
      </c>
      <c r="G7878" t="s">
        <v>35</v>
      </c>
      <c r="H7878" t="s">
        <v>35</v>
      </c>
      <c r="J7878" t="s">
        <v>7365</v>
      </c>
      <c r="K7878" t="s">
        <v>1092</v>
      </c>
      <c r="M7878">
        <v>2.2949999999999999</v>
      </c>
      <c r="N7878">
        <v>252</v>
      </c>
      <c r="O7878" t="s">
        <v>5</v>
      </c>
      <c r="Q7878" t="s">
        <v>1222</v>
      </c>
      <c r="R7878" t="s">
        <v>987</v>
      </c>
      <c r="S7878" t="s">
        <v>988</v>
      </c>
    </row>
    <row r="7879" spans="1:19" x14ac:dyDescent="0.25">
      <c r="A7879" t="s">
        <v>44</v>
      </c>
      <c r="B7879" t="s">
        <v>3</v>
      </c>
      <c r="C7879" t="s">
        <v>32</v>
      </c>
      <c r="D7879" t="s">
        <v>953</v>
      </c>
      <c r="E7879" t="s">
        <v>1015</v>
      </c>
      <c r="F7879" t="s">
        <v>35</v>
      </c>
      <c r="G7879" t="s">
        <v>35</v>
      </c>
      <c r="H7879" t="s">
        <v>35</v>
      </c>
      <c r="J7879" t="s">
        <v>7388</v>
      </c>
      <c r="K7879" t="s">
        <v>1092</v>
      </c>
      <c r="M7879">
        <v>0.1</v>
      </c>
      <c r="N7879">
        <v>32</v>
      </c>
      <c r="O7879" t="s">
        <v>52</v>
      </c>
      <c r="Q7879" t="s">
        <v>547</v>
      </c>
      <c r="R7879" t="s">
        <v>133</v>
      </c>
      <c r="S7879" t="s">
        <v>134</v>
      </c>
    </row>
    <row r="7880" spans="1:19" x14ac:dyDescent="0.25">
      <c r="A7880" t="s">
        <v>59</v>
      </c>
      <c r="B7880" t="s">
        <v>60</v>
      </c>
      <c r="C7880" t="s">
        <v>32</v>
      </c>
      <c r="D7880" t="s">
        <v>953</v>
      </c>
      <c r="E7880" t="s">
        <v>1015</v>
      </c>
      <c r="F7880" t="s">
        <v>35</v>
      </c>
      <c r="G7880" t="s">
        <v>35</v>
      </c>
      <c r="H7880" t="s">
        <v>35</v>
      </c>
      <c r="J7880" t="s">
        <v>7389</v>
      </c>
      <c r="K7880" t="s">
        <v>1092</v>
      </c>
      <c r="M7880">
        <v>0.25</v>
      </c>
      <c r="N7880">
        <v>62</v>
      </c>
      <c r="O7880" t="s">
        <v>61</v>
      </c>
      <c r="Q7880" t="s">
        <v>90</v>
      </c>
      <c r="R7880" t="s">
        <v>6709</v>
      </c>
      <c r="S7880" t="s">
        <v>1022</v>
      </c>
    </row>
    <row r="7881" spans="1:19" x14ac:dyDescent="0.25">
      <c r="A7881" t="s">
        <v>59</v>
      </c>
      <c r="B7881" t="s">
        <v>31</v>
      </c>
      <c r="C7881" t="s">
        <v>32</v>
      </c>
      <c r="D7881" t="s">
        <v>953</v>
      </c>
      <c r="E7881" t="s">
        <v>1015</v>
      </c>
      <c r="F7881" t="s">
        <v>35</v>
      </c>
      <c r="G7881" t="s">
        <v>35</v>
      </c>
      <c r="H7881" t="s">
        <v>35</v>
      </c>
      <c r="J7881" t="s">
        <v>7389</v>
      </c>
      <c r="K7881" t="s">
        <v>1092</v>
      </c>
      <c r="M7881">
        <v>0.08</v>
      </c>
      <c r="N7881">
        <v>62</v>
      </c>
      <c r="O7881" t="s">
        <v>61</v>
      </c>
      <c r="Q7881" t="s">
        <v>90</v>
      </c>
      <c r="R7881" t="s">
        <v>6709</v>
      </c>
      <c r="S7881" t="s">
        <v>1022</v>
      </c>
    </row>
    <row r="7882" spans="1:19" x14ac:dyDescent="0.25">
      <c r="A7882" t="s">
        <v>30</v>
      </c>
      <c r="B7882" t="s">
        <v>31</v>
      </c>
      <c r="C7882" t="s">
        <v>32</v>
      </c>
      <c r="D7882" t="s">
        <v>953</v>
      </c>
      <c r="E7882" t="s">
        <v>1015</v>
      </c>
      <c r="F7882" t="s">
        <v>35</v>
      </c>
      <c r="G7882" t="s">
        <v>35</v>
      </c>
      <c r="H7882" t="s">
        <v>35</v>
      </c>
      <c r="J7882" t="s">
        <v>7389</v>
      </c>
      <c r="K7882" t="s">
        <v>1092</v>
      </c>
      <c r="M7882">
        <v>1.62</v>
      </c>
      <c r="N7882">
        <v>21</v>
      </c>
      <c r="O7882" t="s">
        <v>46</v>
      </c>
      <c r="Q7882" t="s">
        <v>1874</v>
      </c>
      <c r="R7882" t="s">
        <v>6709</v>
      </c>
      <c r="S7882" t="s">
        <v>1022</v>
      </c>
    </row>
    <row r="7883" spans="1:19" x14ac:dyDescent="0.25">
      <c r="A7883" t="s">
        <v>44</v>
      </c>
      <c r="B7883" t="s">
        <v>3</v>
      </c>
      <c r="C7883" t="s">
        <v>32</v>
      </c>
      <c r="D7883" t="s">
        <v>953</v>
      </c>
      <c r="E7883" t="s">
        <v>1015</v>
      </c>
      <c r="F7883" t="s">
        <v>35</v>
      </c>
      <c r="G7883" t="s">
        <v>35</v>
      </c>
      <c r="H7883" t="s">
        <v>35</v>
      </c>
      <c r="J7883" t="s">
        <v>7389</v>
      </c>
      <c r="K7883" t="s">
        <v>1092</v>
      </c>
      <c r="M7883">
        <v>1</v>
      </c>
      <c r="N7883">
        <v>62</v>
      </c>
      <c r="O7883" t="s">
        <v>61</v>
      </c>
      <c r="Q7883" t="s">
        <v>90</v>
      </c>
      <c r="R7883" t="s">
        <v>6709</v>
      </c>
      <c r="S7883" t="s">
        <v>1022</v>
      </c>
    </row>
    <row r="7884" spans="1:19" x14ac:dyDescent="0.25">
      <c r="A7884" t="s">
        <v>30</v>
      </c>
      <c r="B7884" t="s">
        <v>31</v>
      </c>
      <c r="C7884" t="s">
        <v>32</v>
      </c>
      <c r="D7884" t="s">
        <v>953</v>
      </c>
      <c r="E7884" t="s">
        <v>1015</v>
      </c>
      <c r="F7884" t="s">
        <v>35</v>
      </c>
      <c r="G7884" t="s">
        <v>35</v>
      </c>
      <c r="H7884" t="s">
        <v>35</v>
      </c>
      <c r="J7884" t="s">
        <v>7390</v>
      </c>
      <c r="K7884" t="s">
        <v>1092</v>
      </c>
      <c r="M7884">
        <v>4.59</v>
      </c>
      <c r="N7884">
        <v>21</v>
      </c>
      <c r="O7884" t="s">
        <v>46</v>
      </c>
      <c r="Q7884" t="s">
        <v>1874</v>
      </c>
      <c r="R7884" t="s">
        <v>6709</v>
      </c>
      <c r="S7884" t="s">
        <v>1022</v>
      </c>
    </row>
    <row r="7885" spans="1:19" x14ac:dyDescent="0.25">
      <c r="A7885" t="s">
        <v>59</v>
      </c>
      <c r="B7885" t="s">
        <v>60</v>
      </c>
      <c r="C7885" t="s">
        <v>32</v>
      </c>
      <c r="D7885" t="s">
        <v>953</v>
      </c>
      <c r="E7885" t="s">
        <v>1015</v>
      </c>
      <c r="F7885" t="s">
        <v>35</v>
      </c>
      <c r="G7885" t="s">
        <v>35</v>
      </c>
      <c r="H7885" t="s">
        <v>35</v>
      </c>
      <c r="J7885" t="s">
        <v>7391</v>
      </c>
      <c r="K7885" t="s">
        <v>1092</v>
      </c>
      <c r="M7885">
        <v>0.5</v>
      </c>
      <c r="N7885">
        <v>360</v>
      </c>
      <c r="O7885" t="s">
        <v>5</v>
      </c>
      <c r="Q7885" t="s">
        <v>1435</v>
      </c>
      <c r="R7885" t="s">
        <v>6877</v>
      </c>
      <c r="S7885" t="s">
        <v>1041</v>
      </c>
    </row>
    <row r="7886" spans="1:19" x14ac:dyDescent="0.25">
      <c r="A7886" t="s">
        <v>30</v>
      </c>
      <c r="B7886" t="s">
        <v>31</v>
      </c>
      <c r="C7886" t="s">
        <v>32</v>
      </c>
      <c r="D7886" t="s">
        <v>953</v>
      </c>
      <c r="E7886" t="s">
        <v>1015</v>
      </c>
      <c r="F7886" t="s">
        <v>35</v>
      </c>
      <c r="G7886" t="s">
        <v>35</v>
      </c>
      <c r="H7886" t="s">
        <v>35</v>
      </c>
      <c r="J7886" t="s">
        <v>7391</v>
      </c>
      <c r="K7886" t="s">
        <v>1092</v>
      </c>
      <c r="M7886">
        <v>0.54</v>
      </c>
      <c r="N7886">
        <v>457</v>
      </c>
      <c r="O7886" t="s">
        <v>294</v>
      </c>
      <c r="Q7886" t="s">
        <v>2104</v>
      </c>
      <c r="R7886" t="s">
        <v>6877</v>
      </c>
      <c r="S7886" t="s">
        <v>1041</v>
      </c>
    </row>
    <row r="7887" spans="1:19" x14ac:dyDescent="0.25">
      <c r="A7887" t="s">
        <v>59</v>
      </c>
      <c r="B7887" t="s">
        <v>60</v>
      </c>
      <c r="C7887" t="s">
        <v>32</v>
      </c>
      <c r="D7887" t="s">
        <v>953</v>
      </c>
      <c r="E7887" t="s">
        <v>1015</v>
      </c>
      <c r="F7887" t="s">
        <v>35</v>
      </c>
      <c r="G7887" t="s">
        <v>35</v>
      </c>
      <c r="H7887" t="s">
        <v>35</v>
      </c>
      <c r="J7887" t="s">
        <v>7392</v>
      </c>
      <c r="K7887" t="s">
        <v>1092</v>
      </c>
      <c r="M7887">
        <v>0.75</v>
      </c>
      <c r="N7887">
        <v>83</v>
      </c>
      <c r="O7887" t="s">
        <v>61</v>
      </c>
      <c r="Q7887" t="s">
        <v>455</v>
      </c>
      <c r="R7887" t="s">
        <v>6705</v>
      </c>
      <c r="S7887" t="s">
        <v>981</v>
      </c>
    </row>
    <row r="7888" spans="1:19" x14ac:dyDescent="0.25">
      <c r="A7888" t="s">
        <v>59</v>
      </c>
      <c r="B7888" t="s">
        <v>31</v>
      </c>
      <c r="C7888" t="s">
        <v>32</v>
      </c>
      <c r="D7888" t="s">
        <v>953</v>
      </c>
      <c r="E7888" t="s">
        <v>1015</v>
      </c>
      <c r="F7888" t="s">
        <v>35</v>
      </c>
      <c r="G7888" t="s">
        <v>35</v>
      </c>
      <c r="H7888" t="s">
        <v>35</v>
      </c>
      <c r="J7888" t="s">
        <v>7393</v>
      </c>
      <c r="K7888" t="s">
        <v>1092</v>
      </c>
      <c r="M7888">
        <v>3.15</v>
      </c>
      <c r="N7888">
        <v>90</v>
      </c>
      <c r="O7888" t="s">
        <v>61</v>
      </c>
      <c r="Q7888" t="s">
        <v>897</v>
      </c>
      <c r="R7888" t="s">
        <v>6847</v>
      </c>
      <c r="S7888" t="s">
        <v>1034</v>
      </c>
    </row>
    <row r="7889" spans="1:19" x14ac:dyDescent="0.25">
      <c r="A7889" t="s">
        <v>59</v>
      </c>
      <c r="B7889" t="s">
        <v>60</v>
      </c>
      <c r="C7889" t="s">
        <v>32</v>
      </c>
      <c r="D7889" t="s">
        <v>953</v>
      </c>
      <c r="E7889" t="s">
        <v>1015</v>
      </c>
      <c r="F7889" t="s">
        <v>35</v>
      </c>
      <c r="G7889" t="s">
        <v>35</v>
      </c>
      <c r="H7889" t="s">
        <v>35</v>
      </c>
      <c r="J7889" t="s">
        <v>7393</v>
      </c>
      <c r="K7889" t="s">
        <v>1092</v>
      </c>
      <c r="M7889">
        <v>0.5</v>
      </c>
      <c r="N7889">
        <v>90</v>
      </c>
      <c r="O7889" t="s">
        <v>61</v>
      </c>
      <c r="Q7889" t="s">
        <v>897</v>
      </c>
      <c r="R7889" t="s">
        <v>6847</v>
      </c>
      <c r="S7889" t="s">
        <v>1034</v>
      </c>
    </row>
    <row r="7890" spans="1:19" x14ac:dyDescent="0.25">
      <c r="A7890" t="s">
        <v>30</v>
      </c>
      <c r="B7890" t="s">
        <v>31</v>
      </c>
      <c r="C7890" t="s">
        <v>32</v>
      </c>
      <c r="D7890" t="s">
        <v>953</v>
      </c>
      <c r="E7890" t="s">
        <v>1015</v>
      </c>
      <c r="F7890" t="s">
        <v>35</v>
      </c>
      <c r="G7890" t="s">
        <v>35</v>
      </c>
      <c r="H7890" t="s">
        <v>35</v>
      </c>
      <c r="J7890" t="s">
        <v>7394</v>
      </c>
      <c r="K7890" t="s">
        <v>1092</v>
      </c>
      <c r="M7890">
        <v>3.5000000000000003E-2</v>
      </c>
      <c r="N7890">
        <v>437</v>
      </c>
      <c r="O7890" t="s">
        <v>294</v>
      </c>
      <c r="Q7890" t="s">
        <v>7363</v>
      </c>
      <c r="R7890" t="s">
        <v>7029</v>
      </c>
      <c r="S7890" t="s">
        <v>7030</v>
      </c>
    </row>
    <row r="7891" spans="1:19" x14ac:dyDescent="0.25">
      <c r="A7891" t="s">
        <v>59</v>
      </c>
      <c r="B7891" t="s">
        <v>31</v>
      </c>
      <c r="C7891" t="s">
        <v>32</v>
      </c>
      <c r="D7891" t="s">
        <v>953</v>
      </c>
      <c r="E7891" t="s">
        <v>1015</v>
      </c>
      <c r="F7891" t="s">
        <v>35</v>
      </c>
      <c r="G7891" t="s">
        <v>35</v>
      </c>
      <c r="H7891" t="s">
        <v>35</v>
      </c>
      <c r="J7891" t="s">
        <v>7394</v>
      </c>
      <c r="K7891" t="s">
        <v>1092</v>
      </c>
      <c r="M7891">
        <v>2.02</v>
      </c>
      <c r="N7891">
        <v>65</v>
      </c>
      <c r="O7891" t="s">
        <v>61</v>
      </c>
      <c r="Q7891" t="s">
        <v>128</v>
      </c>
      <c r="R7891" t="s">
        <v>7029</v>
      </c>
      <c r="S7891" t="s">
        <v>7030</v>
      </c>
    </row>
    <row r="7892" spans="1:19" x14ac:dyDescent="0.25">
      <c r="A7892" t="s">
        <v>59</v>
      </c>
      <c r="B7892" t="s">
        <v>60</v>
      </c>
      <c r="C7892" t="s">
        <v>32</v>
      </c>
      <c r="D7892" t="s">
        <v>953</v>
      </c>
      <c r="E7892" t="s">
        <v>1015</v>
      </c>
      <c r="F7892" t="s">
        <v>35</v>
      </c>
      <c r="G7892" t="s">
        <v>35</v>
      </c>
      <c r="H7892" t="s">
        <v>35</v>
      </c>
      <c r="J7892" t="s">
        <v>7394</v>
      </c>
      <c r="K7892" t="s">
        <v>1092</v>
      </c>
      <c r="M7892">
        <v>2</v>
      </c>
      <c r="N7892">
        <v>124</v>
      </c>
      <c r="O7892" t="s">
        <v>38</v>
      </c>
      <c r="Q7892" t="s">
        <v>406</v>
      </c>
      <c r="R7892" t="s">
        <v>7029</v>
      </c>
      <c r="S7892" t="s">
        <v>7030</v>
      </c>
    </row>
    <row r="7893" spans="1:19" x14ac:dyDescent="0.25">
      <c r="A7893" t="s">
        <v>59</v>
      </c>
      <c r="B7893" t="s">
        <v>60</v>
      </c>
      <c r="C7893" t="s">
        <v>32</v>
      </c>
      <c r="D7893" t="s">
        <v>953</v>
      </c>
      <c r="E7893" t="s">
        <v>1015</v>
      </c>
      <c r="F7893" t="s">
        <v>35</v>
      </c>
      <c r="G7893" t="s">
        <v>35</v>
      </c>
      <c r="H7893" t="s">
        <v>35</v>
      </c>
      <c r="J7893" t="s">
        <v>7394</v>
      </c>
      <c r="K7893" t="s">
        <v>1092</v>
      </c>
      <c r="M7893">
        <v>0.53</v>
      </c>
      <c r="N7893">
        <v>151</v>
      </c>
      <c r="O7893" t="s">
        <v>38</v>
      </c>
      <c r="Q7893" t="s">
        <v>1269</v>
      </c>
      <c r="R7893" t="s">
        <v>7029</v>
      </c>
      <c r="S7893" t="s">
        <v>7030</v>
      </c>
    </row>
    <row r="7894" spans="1:19" x14ac:dyDescent="0.25">
      <c r="A7894" t="s">
        <v>44</v>
      </c>
      <c r="B7894" t="s">
        <v>51</v>
      </c>
      <c r="C7894" t="s">
        <v>32</v>
      </c>
      <c r="D7894" t="s">
        <v>953</v>
      </c>
      <c r="E7894" t="s">
        <v>1015</v>
      </c>
      <c r="F7894" t="s">
        <v>35</v>
      </c>
      <c r="G7894" t="s">
        <v>35</v>
      </c>
      <c r="H7894" t="s">
        <v>35</v>
      </c>
      <c r="J7894" t="s">
        <v>7394</v>
      </c>
      <c r="K7894" t="s">
        <v>1092</v>
      </c>
      <c r="M7894">
        <v>1</v>
      </c>
      <c r="N7894">
        <v>255</v>
      </c>
      <c r="O7894" t="s">
        <v>5</v>
      </c>
      <c r="Q7894" t="s">
        <v>1747</v>
      </c>
      <c r="R7894" t="s">
        <v>7029</v>
      </c>
      <c r="S7894" t="s">
        <v>7030</v>
      </c>
    </row>
    <row r="7895" spans="1:19" x14ac:dyDescent="0.25">
      <c r="A7895" t="s">
        <v>44</v>
      </c>
      <c r="B7895" t="s">
        <v>51</v>
      </c>
      <c r="C7895" t="s">
        <v>32</v>
      </c>
      <c r="D7895" t="s">
        <v>953</v>
      </c>
      <c r="E7895" t="s">
        <v>1015</v>
      </c>
      <c r="F7895" t="s">
        <v>35</v>
      </c>
      <c r="G7895" t="s">
        <v>35</v>
      </c>
      <c r="H7895" t="s">
        <v>35</v>
      </c>
      <c r="J7895" t="s">
        <v>7394</v>
      </c>
      <c r="K7895" t="s">
        <v>1092</v>
      </c>
      <c r="M7895">
        <v>0.4</v>
      </c>
      <c r="N7895">
        <v>282</v>
      </c>
      <c r="O7895" t="s">
        <v>5</v>
      </c>
      <c r="Q7895" t="s">
        <v>1225</v>
      </c>
      <c r="R7895" t="s">
        <v>7029</v>
      </c>
      <c r="S7895" t="s">
        <v>7030</v>
      </c>
    </row>
    <row r="7896" spans="1:19" x14ac:dyDescent="0.25">
      <c r="A7896" t="s">
        <v>59</v>
      </c>
      <c r="B7896" t="s">
        <v>60</v>
      </c>
      <c r="C7896" t="s">
        <v>32</v>
      </c>
      <c r="D7896" t="s">
        <v>953</v>
      </c>
      <c r="E7896" t="s">
        <v>1015</v>
      </c>
      <c r="F7896" t="s">
        <v>35</v>
      </c>
      <c r="G7896" t="s">
        <v>35</v>
      </c>
      <c r="H7896" t="s">
        <v>35</v>
      </c>
      <c r="J7896" t="s">
        <v>7394</v>
      </c>
      <c r="K7896" t="s">
        <v>1092</v>
      </c>
      <c r="M7896">
        <v>1.5</v>
      </c>
      <c r="N7896">
        <v>19</v>
      </c>
      <c r="O7896" t="s">
        <v>46</v>
      </c>
      <c r="Q7896" t="s">
        <v>1192</v>
      </c>
      <c r="R7896" t="s">
        <v>7029</v>
      </c>
      <c r="S7896" t="s">
        <v>7030</v>
      </c>
    </row>
    <row r="7897" spans="1:19" x14ac:dyDescent="0.25">
      <c r="A7897" t="s">
        <v>59</v>
      </c>
      <c r="B7897" t="s">
        <v>31</v>
      </c>
      <c r="C7897" t="s">
        <v>32</v>
      </c>
      <c r="D7897" t="s">
        <v>953</v>
      </c>
      <c r="E7897" t="s">
        <v>1015</v>
      </c>
      <c r="F7897" t="s">
        <v>35</v>
      </c>
      <c r="G7897" t="s">
        <v>35</v>
      </c>
      <c r="H7897" t="s">
        <v>35</v>
      </c>
      <c r="J7897" t="s">
        <v>7395</v>
      </c>
      <c r="K7897" t="s">
        <v>1092</v>
      </c>
      <c r="M7897">
        <v>0.9</v>
      </c>
      <c r="N7897">
        <v>245</v>
      </c>
      <c r="O7897" t="s">
        <v>5</v>
      </c>
      <c r="Q7897" t="s">
        <v>111</v>
      </c>
      <c r="R7897" t="s">
        <v>7029</v>
      </c>
      <c r="S7897" t="s">
        <v>7030</v>
      </c>
    </row>
    <row r="7898" spans="1:19" x14ac:dyDescent="0.25">
      <c r="A7898" t="s">
        <v>44</v>
      </c>
      <c r="B7898" t="s">
        <v>3</v>
      </c>
      <c r="C7898" t="s">
        <v>32</v>
      </c>
      <c r="D7898" t="s">
        <v>953</v>
      </c>
      <c r="E7898" t="s">
        <v>1015</v>
      </c>
      <c r="F7898" t="s">
        <v>35</v>
      </c>
      <c r="G7898" t="s">
        <v>35</v>
      </c>
      <c r="H7898" t="s">
        <v>35</v>
      </c>
      <c r="J7898" t="s">
        <v>7396</v>
      </c>
      <c r="K7898" t="s">
        <v>1092</v>
      </c>
      <c r="M7898">
        <v>0.8</v>
      </c>
      <c r="N7898">
        <v>59</v>
      </c>
      <c r="O7898" t="s">
        <v>52</v>
      </c>
      <c r="Q7898" t="s">
        <v>84</v>
      </c>
      <c r="R7898" t="s">
        <v>6709</v>
      </c>
      <c r="S7898" t="s">
        <v>1022</v>
      </c>
    </row>
    <row r="7899" spans="1:19" x14ac:dyDescent="0.25">
      <c r="A7899" t="s">
        <v>59</v>
      </c>
      <c r="B7899" t="s">
        <v>60</v>
      </c>
      <c r="C7899" t="s">
        <v>32</v>
      </c>
      <c r="D7899" t="s">
        <v>953</v>
      </c>
      <c r="E7899" t="s">
        <v>1015</v>
      </c>
      <c r="F7899" t="s">
        <v>35</v>
      </c>
      <c r="G7899" t="s">
        <v>35</v>
      </c>
      <c r="H7899" t="s">
        <v>35</v>
      </c>
      <c r="J7899" t="s">
        <v>7398</v>
      </c>
      <c r="K7899" t="s">
        <v>1092</v>
      </c>
      <c r="M7899">
        <v>8</v>
      </c>
      <c r="N7899">
        <v>90</v>
      </c>
      <c r="O7899" t="s">
        <v>61</v>
      </c>
      <c r="Q7899" t="s">
        <v>897</v>
      </c>
      <c r="R7899" t="s">
        <v>6847</v>
      </c>
      <c r="S7899" t="s">
        <v>1034</v>
      </c>
    </row>
    <row r="7900" spans="1:19" x14ac:dyDescent="0.25">
      <c r="A7900" t="s">
        <v>59</v>
      </c>
      <c r="B7900" t="s">
        <v>60</v>
      </c>
      <c r="C7900" t="s">
        <v>32</v>
      </c>
      <c r="D7900" t="s">
        <v>953</v>
      </c>
      <c r="E7900" t="s">
        <v>1015</v>
      </c>
      <c r="F7900" t="s">
        <v>35</v>
      </c>
      <c r="G7900" t="s">
        <v>35</v>
      </c>
      <c r="H7900" t="s">
        <v>35</v>
      </c>
      <c r="J7900" t="s">
        <v>7398</v>
      </c>
      <c r="K7900" t="s">
        <v>1092</v>
      </c>
      <c r="M7900">
        <v>10</v>
      </c>
      <c r="N7900">
        <v>59</v>
      </c>
      <c r="O7900" t="s">
        <v>52</v>
      </c>
      <c r="Q7900" t="s">
        <v>84</v>
      </c>
      <c r="R7900" t="s">
        <v>133</v>
      </c>
      <c r="S7900" t="s">
        <v>134</v>
      </c>
    </row>
    <row r="7901" spans="1:19" x14ac:dyDescent="0.25">
      <c r="A7901" t="s">
        <v>44</v>
      </c>
      <c r="B7901" t="s">
        <v>3</v>
      </c>
      <c r="C7901" t="s">
        <v>32</v>
      </c>
      <c r="D7901" t="s">
        <v>953</v>
      </c>
      <c r="E7901" t="s">
        <v>1015</v>
      </c>
      <c r="F7901" t="s">
        <v>35</v>
      </c>
      <c r="G7901" t="s">
        <v>35</v>
      </c>
      <c r="H7901" t="s">
        <v>35</v>
      </c>
      <c r="J7901" t="s">
        <v>7398</v>
      </c>
      <c r="K7901" t="s">
        <v>1092</v>
      </c>
      <c r="M7901">
        <v>1.6</v>
      </c>
      <c r="N7901">
        <v>63</v>
      </c>
      <c r="O7901" t="s">
        <v>61</v>
      </c>
      <c r="Q7901" t="s">
        <v>423</v>
      </c>
      <c r="R7901" t="s">
        <v>6877</v>
      </c>
      <c r="S7901" t="s">
        <v>1041</v>
      </c>
    </row>
    <row r="7902" spans="1:19" x14ac:dyDescent="0.25">
      <c r="A7902" t="s">
        <v>59</v>
      </c>
      <c r="B7902" t="s">
        <v>31</v>
      </c>
      <c r="C7902" t="s">
        <v>32</v>
      </c>
      <c r="D7902" t="s">
        <v>953</v>
      </c>
      <c r="E7902" t="s">
        <v>1015</v>
      </c>
      <c r="F7902" t="s">
        <v>35</v>
      </c>
      <c r="G7902" t="s">
        <v>35</v>
      </c>
      <c r="H7902" t="s">
        <v>35</v>
      </c>
      <c r="J7902" t="s">
        <v>7399</v>
      </c>
      <c r="K7902" t="s">
        <v>1092</v>
      </c>
      <c r="M7902">
        <v>0.98099999999999998</v>
      </c>
      <c r="N7902">
        <v>91</v>
      </c>
      <c r="O7902" t="s">
        <v>106</v>
      </c>
      <c r="Q7902" t="s">
        <v>1147</v>
      </c>
      <c r="R7902" t="s">
        <v>6709</v>
      </c>
      <c r="S7902" t="s">
        <v>1022</v>
      </c>
    </row>
    <row r="7903" spans="1:19" x14ac:dyDescent="0.25">
      <c r="A7903" t="s">
        <v>59</v>
      </c>
      <c r="B7903" t="s">
        <v>60</v>
      </c>
      <c r="C7903" t="s">
        <v>32</v>
      </c>
      <c r="D7903" t="s">
        <v>953</v>
      </c>
      <c r="E7903" t="s">
        <v>1015</v>
      </c>
      <c r="F7903" t="s">
        <v>35</v>
      </c>
      <c r="G7903" t="s">
        <v>35</v>
      </c>
      <c r="H7903" t="s">
        <v>35</v>
      </c>
      <c r="J7903" t="s">
        <v>7399</v>
      </c>
      <c r="K7903" t="s">
        <v>1092</v>
      </c>
      <c r="M7903">
        <v>3.1</v>
      </c>
      <c r="N7903">
        <v>91</v>
      </c>
      <c r="O7903" t="s">
        <v>106</v>
      </c>
      <c r="Q7903" t="s">
        <v>1147</v>
      </c>
      <c r="R7903" t="s">
        <v>6709</v>
      </c>
      <c r="S7903" t="s">
        <v>1022</v>
      </c>
    </row>
    <row r="7904" spans="1:19" x14ac:dyDescent="0.25">
      <c r="A7904" t="s">
        <v>44</v>
      </c>
      <c r="B7904" t="s">
        <v>3</v>
      </c>
      <c r="C7904" t="s">
        <v>32</v>
      </c>
      <c r="D7904" t="s">
        <v>953</v>
      </c>
      <c r="E7904" t="s">
        <v>1015</v>
      </c>
      <c r="F7904" t="s">
        <v>35</v>
      </c>
      <c r="G7904" t="s">
        <v>35</v>
      </c>
      <c r="H7904" t="s">
        <v>35</v>
      </c>
      <c r="J7904" t="s">
        <v>7400</v>
      </c>
      <c r="K7904" t="s">
        <v>1092</v>
      </c>
      <c r="M7904">
        <v>5</v>
      </c>
      <c r="N7904">
        <v>62</v>
      </c>
      <c r="O7904" t="s">
        <v>61</v>
      </c>
      <c r="Q7904" t="s">
        <v>90</v>
      </c>
      <c r="R7904" t="s">
        <v>6709</v>
      </c>
      <c r="S7904" t="s">
        <v>1022</v>
      </c>
    </row>
    <row r="7905" spans="1:19" x14ac:dyDescent="0.25">
      <c r="A7905" t="s">
        <v>59</v>
      </c>
      <c r="B7905" t="s">
        <v>31</v>
      </c>
      <c r="C7905" t="s">
        <v>32</v>
      </c>
      <c r="D7905" t="s">
        <v>953</v>
      </c>
      <c r="E7905" t="s">
        <v>1015</v>
      </c>
      <c r="F7905" t="s">
        <v>35</v>
      </c>
      <c r="G7905" t="s">
        <v>35</v>
      </c>
      <c r="H7905" t="s">
        <v>35</v>
      </c>
      <c r="J7905" t="s">
        <v>7401</v>
      </c>
      <c r="K7905" t="s">
        <v>1092</v>
      </c>
      <c r="M7905">
        <v>1.17</v>
      </c>
      <c r="N7905">
        <v>398</v>
      </c>
      <c r="O7905" t="s">
        <v>294</v>
      </c>
      <c r="Q7905" t="s">
        <v>3592</v>
      </c>
      <c r="R7905" t="s">
        <v>133</v>
      </c>
      <c r="S7905" t="s">
        <v>134</v>
      </c>
    </row>
    <row r="7906" spans="1:19" x14ac:dyDescent="0.25">
      <c r="A7906" t="s">
        <v>59</v>
      </c>
      <c r="B7906" t="s">
        <v>60</v>
      </c>
      <c r="C7906" t="s">
        <v>32</v>
      </c>
      <c r="D7906" t="s">
        <v>953</v>
      </c>
      <c r="E7906" t="s">
        <v>1015</v>
      </c>
      <c r="F7906" t="s">
        <v>35</v>
      </c>
      <c r="G7906" t="s">
        <v>35</v>
      </c>
      <c r="H7906" t="s">
        <v>35</v>
      </c>
      <c r="J7906" t="s">
        <v>7402</v>
      </c>
      <c r="K7906" t="s">
        <v>1092</v>
      </c>
      <c r="M7906">
        <v>5</v>
      </c>
      <c r="N7906">
        <v>90</v>
      </c>
      <c r="O7906" t="s">
        <v>61</v>
      </c>
      <c r="Q7906" t="s">
        <v>897</v>
      </c>
      <c r="R7906" t="s">
        <v>6705</v>
      </c>
      <c r="S7906" t="s">
        <v>981</v>
      </c>
    </row>
    <row r="7907" spans="1:19" x14ac:dyDescent="0.25">
      <c r="A7907" t="s">
        <v>59</v>
      </c>
      <c r="B7907" t="s">
        <v>31</v>
      </c>
      <c r="C7907" t="s">
        <v>32</v>
      </c>
      <c r="D7907" t="s">
        <v>953</v>
      </c>
      <c r="E7907" t="s">
        <v>1015</v>
      </c>
      <c r="F7907" t="s">
        <v>35</v>
      </c>
      <c r="G7907" t="s">
        <v>35</v>
      </c>
      <c r="H7907" t="s">
        <v>35</v>
      </c>
      <c r="J7907" t="s">
        <v>7402</v>
      </c>
      <c r="K7907" t="s">
        <v>1092</v>
      </c>
      <c r="M7907">
        <v>4.9950000000000001</v>
      </c>
      <c r="N7907">
        <v>90</v>
      </c>
      <c r="O7907" t="s">
        <v>61</v>
      </c>
      <c r="Q7907" t="s">
        <v>897</v>
      </c>
      <c r="R7907" t="s">
        <v>6705</v>
      </c>
      <c r="S7907" t="s">
        <v>981</v>
      </c>
    </row>
    <row r="7908" spans="1:19" x14ac:dyDescent="0.25">
      <c r="A7908" t="s">
        <v>59</v>
      </c>
      <c r="B7908" t="s">
        <v>60</v>
      </c>
      <c r="C7908" t="s">
        <v>32</v>
      </c>
      <c r="D7908" t="s">
        <v>953</v>
      </c>
      <c r="E7908" t="s">
        <v>1015</v>
      </c>
      <c r="F7908" t="s">
        <v>35</v>
      </c>
      <c r="G7908" t="s">
        <v>35</v>
      </c>
      <c r="H7908" t="s">
        <v>35</v>
      </c>
      <c r="J7908" t="s">
        <v>7402</v>
      </c>
      <c r="K7908" t="s">
        <v>1092</v>
      </c>
      <c r="M7908">
        <v>2.25</v>
      </c>
      <c r="N7908">
        <v>192</v>
      </c>
      <c r="O7908" t="s">
        <v>5</v>
      </c>
      <c r="Q7908" t="s">
        <v>2046</v>
      </c>
      <c r="R7908" t="s">
        <v>6885</v>
      </c>
      <c r="S7908" t="s">
        <v>6886</v>
      </c>
    </row>
    <row r="7909" spans="1:19" x14ac:dyDescent="0.25">
      <c r="A7909" t="s">
        <v>59</v>
      </c>
      <c r="B7909" t="s">
        <v>60</v>
      </c>
      <c r="C7909" t="s">
        <v>32</v>
      </c>
      <c r="D7909" t="s">
        <v>953</v>
      </c>
      <c r="E7909" t="s">
        <v>1015</v>
      </c>
      <c r="F7909" t="s">
        <v>35</v>
      </c>
      <c r="G7909" t="s">
        <v>35</v>
      </c>
      <c r="H7909" t="s">
        <v>35</v>
      </c>
      <c r="J7909" t="s">
        <v>7402</v>
      </c>
      <c r="K7909" t="s">
        <v>1092</v>
      </c>
      <c r="M7909">
        <v>6</v>
      </c>
      <c r="N7909">
        <v>151</v>
      </c>
      <c r="O7909" t="s">
        <v>38</v>
      </c>
      <c r="Q7909" t="s">
        <v>1269</v>
      </c>
      <c r="R7909" t="s">
        <v>6885</v>
      </c>
      <c r="S7909" t="s">
        <v>6886</v>
      </c>
    </row>
    <row r="7910" spans="1:19" x14ac:dyDescent="0.25">
      <c r="A7910" t="s">
        <v>44</v>
      </c>
      <c r="B7910" t="s">
        <v>3</v>
      </c>
      <c r="C7910" t="s">
        <v>32</v>
      </c>
      <c r="D7910" t="s">
        <v>953</v>
      </c>
      <c r="E7910" t="s">
        <v>1015</v>
      </c>
      <c r="F7910" t="s">
        <v>35</v>
      </c>
      <c r="G7910" t="s">
        <v>35</v>
      </c>
      <c r="H7910" t="s">
        <v>35</v>
      </c>
      <c r="J7910" t="s">
        <v>7403</v>
      </c>
      <c r="K7910" t="s">
        <v>1092</v>
      </c>
      <c r="M7910">
        <v>2.5</v>
      </c>
      <c r="N7910">
        <v>62</v>
      </c>
      <c r="O7910" t="s">
        <v>61</v>
      </c>
      <c r="Q7910" t="s">
        <v>90</v>
      </c>
      <c r="R7910" t="s">
        <v>987</v>
      </c>
      <c r="S7910" t="s">
        <v>988</v>
      </c>
    </row>
    <row r="7911" spans="1:19" x14ac:dyDescent="0.25">
      <c r="A7911" t="s">
        <v>59</v>
      </c>
      <c r="B7911" t="s">
        <v>60</v>
      </c>
      <c r="C7911" t="s">
        <v>32</v>
      </c>
      <c r="D7911" t="s">
        <v>953</v>
      </c>
      <c r="E7911" t="s">
        <v>1015</v>
      </c>
      <c r="F7911" t="s">
        <v>35</v>
      </c>
      <c r="G7911" t="s">
        <v>35</v>
      </c>
      <c r="H7911" t="s">
        <v>35</v>
      </c>
      <c r="J7911" t="s">
        <v>7403</v>
      </c>
      <c r="K7911" t="s">
        <v>1092</v>
      </c>
      <c r="M7911">
        <v>3.75</v>
      </c>
      <c r="N7911">
        <v>62</v>
      </c>
      <c r="O7911" t="s">
        <v>61</v>
      </c>
      <c r="Q7911" t="s">
        <v>90</v>
      </c>
      <c r="R7911" t="s">
        <v>987</v>
      </c>
      <c r="S7911" t="s">
        <v>988</v>
      </c>
    </row>
    <row r="7912" spans="1:19" x14ac:dyDescent="0.25">
      <c r="A7912" t="s">
        <v>59</v>
      </c>
      <c r="B7912" t="s">
        <v>31</v>
      </c>
      <c r="C7912" t="s">
        <v>32</v>
      </c>
      <c r="D7912" t="s">
        <v>953</v>
      </c>
      <c r="E7912" t="s">
        <v>1015</v>
      </c>
      <c r="F7912" t="s">
        <v>35</v>
      </c>
      <c r="G7912" t="s">
        <v>35</v>
      </c>
      <c r="H7912" t="s">
        <v>35</v>
      </c>
      <c r="J7912" t="s">
        <v>7403</v>
      </c>
      <c r="K7912" t="s">
        <v>1092</v>
      </c>
      <c r="M7912">
        <v>4.32</v>
      </c>
      <c r="N7912">
        <v>62</v>
      </c>
      <c r="O7912" t="s">
        <v>61</v>
      </c>
      <c r="Q7912" t="s">
        <v>90</v>
      </c>
      <c r="R7912" t="s">
        <v>987</v>
      </c>
      <c r="S7912" t="s">
        <v>988</v>
      </c>
    </row>
    <row r="7913" spans="1:19" x14ac:dyDescent="0.25">
      <c r="A7913" t="s">
        <v>59</v>
      </c>
      <c r="B7913" t="s">
        <v>31</v>
      </c>
      <c r="C7913" t="s">
        <v>32</v>
      </c>
      <c r="D7913" t="s">
        <v>953</v>
      </c>
      <c r="E7913" t="s">
        <v>1015</v>
      </c>
      <c r="F7913" t="s">
        <v>35</v>
      </c>
      <c r="G7913" t="s">
        <v>35</v>
      </c>
      <c r="H7913" t="s">
        <v>35</v>
      </c>
      <c r="J7913" t="s">
        <v>7404</v>
      </c>
      <c r="K7913" t="s">
        <v>1092</v>
      </c>
      <c r="M7913">
        <v>18.45</v>
      </c>
      <c r="N7913">
        <v>222</v>
      </c>
      <c r="O7913" t="s">
        <v>5</v>
      </c>
      <c r="Q7913" t="s">
        <v>1746</v>
      </c>
      <c r="R7913" t="s">
        <v>133</v>
      </c>
      <c r="S7913" t="s">
        <v>134</v>
      </c>
    </row>
    <row r="7914" spans="1:19" x14ac:dyDescent="0.25">
      <c r="A7914" t="s">
        <v>59</v>
      </c>
      <c r="B7914" t="s">
        <v>31</v>
      </c>
      <c r="C7914" t="s">
        <v>32</v>
      </c>
      <c r="D7914" t="s">
        <v>953</v>
      </c>
      <c r="E7914" t="s">
        <v>1015</v>
      </c>
      <c r="F7914" t="s">
        <v>35</v>
      </c>
      <c r="G7914" t="s">
        <v>35</v>
      </c>
      <c r="H7914" t="s">
        <v>35</v>
      </c>
      <c r="J7914" t="s">
        <v>7405</v>
      </c>
      <c r="K7914" t="s">
        <v>1092</v>
      </c>
      <c r="M7914">
        <v>3.87</v>
      </c>
      <c r="N7914">
        <v>157</v>
      </c>
      <c r="O7914" t="s">
        <v>38</v>
      </c>
      <c r="Q7914" t="s">
        <v>1145</v>
      </c>
      <c r="R7914" t="s">
        <v>133</v>
      </c>
      <c r="S7914" t="s">
        <v>134</v>
      </c>
    </row>
    <row r="7915" spans="1:19" x14ac:dyDescent="0.25">
      <c r="A7915" t="s">
        <v>30</v>
      </c>
      <c r="B7915" t="s">
        <v>31</v>
      </c>
      <c r="C7915" t="s">
        <v>32</v>
      </c>
      <c r="D7915" t="s">
        <v>953</v>
      </c>
      <c r="E7915" t="s">
        <v>1015</v>
      </c>
      <c r="F7915" t="s">
        <v>35</v>
      </c>
      <c r="G7915" t="s">
        <v>35</v>
      </c>
      <c r="H7915" t="s">
        <v>35</v>
      </c>
      <c r="J7915" t="s">
        <v>7406</v>
      </c>
      <c r="K7915" t="s">
        <v>1092</v>
      </c>
      <c r="M7915">
        <v>2.7</v>
      </c>
      <c r="N7915">
        <v>20</v>
      </c>
      <c r="O7915" t="s">
        <v>46</v>
      </c>
      <c r="Q7915" t="s">
        <v>1004</v>
      </c>
      <c r="R7915" t="s">
        <v>133</v>
      </c>
      <c r="S7915" t="s">
        <v>134</v>
      </c>
    </row>
    <row r="7916" spans="1:19" x14ac:dyDescent="0.25">
      <c r="A7916" t="s">
        <v>59</v>
      </c>
      <c r="B7916" t="s">
        <v>60</v>
      </c>
      <c r="C7916" t="s">
        <v>32</v>
      </c>
      <c r="D7916" t="s">
        <v>953</v>
      </c>
      <c r="E7916" t="s">
        <v>1015</v>
      </c>
      <c r="F7916" t="s">
        <v>35</v>
      </c>
      <c r="G7916" t="s">
        <v>35</v>
      </c>
      <c r="H7916" t="s">
        <v>35</v>
      </c>
      <c r="J7916" t="s">
        <v>7406</v>
      </c>
      <c r="K7916" t="s">
        <v>1092</v>
      </c>
      <c r="M7916">
        <v>0.05</v>
      </c>
      <c r="N7916">
        <v>76</v>
      </c>
      <c r="O7916" t="s">
        <v>61</v>
      </c>
      <c r="Q7916" t="s">
        <v>234</v>
      </c>
      <c r="R7916" t="s">
        <v>133</v>
      </c>
      <c r="S7916" t="s">
        <v>134</v>
      </c>
    </row>
    <row r="7917" spans="1:19" x14ac:dyDescent="0.25">
      <c r="A7917" t="s">
        <v>59</v>
      </c>
      <c r="B7917" t="s">
        <v>31</v>
      </c>
      <c r="C7917" t="s">
        <v>32</v>
      </c>
      <c r="D7917" t="s">
        <v>953</v>
      </c>
      <c r="E7917" t="s">
        <v>1015</v>
      </c>
      <c r="F7917" t="s">
        <v>35</v>
      </c>
      <c r="G7917" t="s">
        <v>35</v>
      </c>
      <c r="H7917" t="s">
        <v>35</v>
      </c>
      <c r="J7917" t="s">
        <v>7407</v>
      </c>
      <c r="K7917" t="s">
        <v>1092</v>
      </c>
      <c r="M7917">
        <v>2.2949999999999999</v>
      </c>
      <c r="N7917">
        <v>83</v>
      </c>
      <c r="O7917" t="s">
        <v>61</v>
      </c>
      <c r="Q7917" t="s">
        <v>455</v>
      </c>
      <c r="R7917" t="s">
        <v>133</v>
      </c>
      <c r="S7917" t="s">
        <v>134</v>
      </c>
    </row>
    <row r="7918" spans="1:19" x14ac:dyDescent="0.25">
      <c r="A7918" t="s">
        <v>59</v>
      </c>
      <c r="B7918" t="s">
        <v>31</v>
      </c>
      <c r="C7918" t="s">
        <v>32</v>
      </c>
      <c r="D7918" t="s">
        <v>953</v>
      </c>
      <c r="E7918" t="s">
        <v>1015</v>
      </c>
      <c r="F7918" t="s">
        <v>35</v>
      </c>
      <c r="G7918" t="s">
        <v>35</v>
      </c>
      <c r="H7918" t="s">
        <v>35</v>
      </c>
      <c r="J7918" t="s">
        <v>7407</v>
      </c>
      <c r="K7918" t="s">
        <v>1092</v>
      </c>
      <c r="M7918">
        <v>0.45</v>
      </c>
      <c r="N7918">
        <v>816</v>
      </c>
      <c r="O7918" t="s">
        <v>575</v>
      </c>
      <c r="Q7918" t="s">
        <v>7411</v>
      </c>
      <c r="R7918" t="s">
        <v>133</v>
      </c>
      <c r="S7918" t="s">
        <v>134</v>
      </c>
    </row>
    <row r="7919" spans="1:19" x14ac:dyDescent="0.25">
      <c r="A7919" t="s">
        <v>59</v>
      </c>
      <c r="B7919" t="s">
        <v>60</v>
      </c>
      <c r="C7919" t="s">
        <v>32</v>
      </c>
      <c r="D7919" t="s">
        <v>953</v>
      </c>
      <c r="E7919" t="s">
        <v>1015</v>
      </c>
      <c r="F7919" t="s">
        <v>35</v>
      </c>
      <c r="G7919" t="s">
        <v>35</v>
      </c>
      <c r="H7919" t="s">
        <v>35</v>
      </c>
      <c r="J7919" t="s">
        <v>7407</v>
      </c>
      <c r="K7919" t="s">
        <v>1092</v>
      </c>
      <c r="M7919">
        <v>0.9</v>
      </c>
      <c r="N7919">
        <v>776</v>
      </c>
      <c r="O7919" t="s">
        <v>575</v>
      </c>
      <c r="Q7919" t="s">
        <v>7094</v>
      </c>
      <c r="R7919" t="s">
        <v>7408</v>
      </c>
      <c r="S7919" t="s">
        <v>7409</v>
      </c>
    </row>
    <row r="7920" spans="1:19" x14ac:dyDescent="0.25">
      <c r="A7920" t="s">
        <v>59</v>
      </c>
      <c r="B7920" t="s">
        <v>31</v>
      </c>
      <c r="C7920" t="s">
        <v>32</v>
      </c>
      <c r="D7920" t="s">
        <v>953</v>
      </c>
      <c r="E7920" t="s">
        <v>1015</v>
      </c>
      <c r="F7920" t="s">
        <v>35</v>
      </c>
      <c r="G7920" t="s">
        <v>35</v>
      </c>
      <c r="H7920" t="s">
        <v>35</v>
      </c>
      <c r="J7920" t="s">
        <v>7412</v>
      </c>
      <c r="K7920" t="s">
        <v>1092</v>
      </c>
      <c r="M7920">
        <v>0.54</v>
      </c>
      <c r="N7920">
        <v>252</v>
      </c>
      <c r="O7920" t="s">
        <v>5</v>
      </c>
      <c r="Q7920" t="s">
        <v>1222</v>
      </c>
      <c r="R7920" t="s">
        <v>6897</v>
      </c>
      <c r="S7920" t="s">
        <v>1062</v>
      </c>
    </row>
    <row r="7921" spans="1:19" x14ac:dyDescent="0.25">
      <c r="A7921" t="s">
        <v>59</v>
      </c>
      <c r="B7921" t="s">
        <v>31</v>
      </c>
      <c r="C7921" t="s">
        <v>32</v>
      </c>
      <c r="D7921" t="s">
        <v>953</v>
      </c>
      <c r="E7921" t="s">
        <v>1015</v>
      </c>
      <c r="F7921" t="s">
        <v>35</v>
      </c>
      <c r="G7921" t="s">
        <v>35</v>
      </c>
      <c r="H7921" t="s">
        <v>35</v>
      </c>
      <c r="J7921" t="s">
        <v>7412</v>
      </c>
      <c r="K7921" t="s">
        <v>1092</v>
      </c>
      <c r="M7921">
        <v>2.7</v>
      </c>
      <c r="N7921">
        <v>63</v>
      </c>
      <c r="O7921" t="s">
        <v>61</v>
      </c>
      <c r="Q7921" t="s">
        <v>423</v>
      </c>
      <c r="R7921" t="s">
        <v>6723</v>
      </c>
      <c r="S7921" t="s">
        <v>6724</v>
      </c>
    </row>
    <row r="7922" spans="1:19" x14ac:dyDescent="0.25">
      <c r="A7922" t="s">
        <v>59</v>
      </c>
      <c r="B7922" t="s">
        <v>60</v>
      </c>
      <c r="C7922" t="s">
        <v>32</v>
      </c>
      <c r="D7922" t="s">
        <v>953</v>
      </c>
      <c r="E7922" t="s">
        <v>1015</v>
      </c>
      <c r="F7922" t="s">
        <v>35</v>
      </c>
      <c r="G7922" t="s">
        <v>35</v>
      </c>
      <c r="H7922" t="s">
        <v>35</v>
      </c>
      <c r="J7922" t="s">
        <v>7413</v>
      </c>
      <c r="K7922" t="s">
        <v>1092</v>
      </c>
      <c r="M7922">
        <v>1.4</v>
      </c>
      <c r="N7922">
        <v>60</v>
      </c>
      <c r="O7922" t="s">
        <v>52</v>
      </c>
      <c r="Q7922" t="s">
        <v>1734</v>
      </c>
      <c r="R7922" t="s">
        <v>133</v>
      </c>
      <c r="S7922" t="s">
        <v>134</v>
      </c>
    </row>
    <row r="7923" spans="1:19" x14ac:dyDescent="0.25">
      <c r="A7923" t="s">
        <v>59</v>
      </c>
      <c r="B7923" t="s">
        <v>60</v>
      </c>
      <c r="C7923" t="s">
        <v>32</v>
      </c>
      <c r="D7923" t="s">
        <v>953</v>
      </c>
      <c r="E7923" t="s">
        <v>1015</v>
      </c>
      <c r="F7923" t="s">
        <v>35</v>
      </c>
      <c r="G7923" t="s">
        <v>35</v>
      </c>
      <c r="H7923" t="s">
        <v>35</v>
      </c>
      <c r="J7923" t="s">
        <v>7414</v>
      </c>
      <c r="K7923" t="s">
        <v>1092</v>
      </c>
      <c r="M7923">
        <v>0.75</v>
      </c>
      <c r="N7923">
        <v>61</v>
      </c>
      <c r="O7923" t="s">
        <v>61</v>
      </c>
      <c r="Q7923" t="s">
        <v>671</v>
      </c>
      <c r="R7923" t="s">
        <v>6847</v>
      </c>
      <c r="S7923" t="s">
        <v>1034</v>
      </c>
    </row>
    <row r="7924" spans="1:19" x14ac:dyDescent="0.25">
      <c r="A7924" t="s">
        <v>44</v>
      </c>
      <c r="B7924" t="s">
        <v>3</v>
      </c>
      <c r="C7924" t="s">
        <v>32</v>
      </c>
      <c r="D7924" t="s">
        <v>953</v>
      </c>
      <c r="E7924" t="s">
        <v>1015</v>
      </c>
      <c r="F7924" t="s">
        <v>35</v>
      </c>
      <c r="G7924" t="s">
        <v>35</v>
      </c>
      <c r="H7924" t="s">
        <v>35</v>
      </c>
      <c r="J7924" t="s">
        <v>7414</v>
      </c>
      <c r="K7924" t="s">
        <v>1092</v>
      </c>
      <c r="M7924">
        <v>0.2</v>
      </c>
      <c r="N7924">
        <v>53</v>
      </c>
      <c r="O7924" t="s">
        <v>52</v>
      </c>
      <c r="Q7924" t="s">
        <v>332</v>
      </c>
      <c r="R7924" t="s">
        <v>6723</v>
      </c>
      <c r="S7924" t="s">
        <v>6724</v>
      </c>
    </row>
    <row r="7925" spans="1:19" x14ac:dyDescent="0.25">
      <c r="A7925" t="s">
        <v>30</v>
      </c>
      <c r="B7925" t="s">
        <v>31</v>
      </c>
      <c r="C7925" t="s">
        <v>32</v>
      </c>
      <c r="D7925" t="s">
        <v>953</v>
      </c>
      <c r="E7925" t="s">
        <v>1015</v>
      </c>
      <c r="F7925" t="s">
        <v>35</v>
      </c>
      <c r="G7925" t="s">
        <v>35</v>
      </c>
      <c r="H7925" t="s">
        <v>35</v>
      </c>
      <c r="J7925" t="s">
        <v>7414</v>
      </c>
      <c r="K7925" t="s">
        <v>1092</v>
      </c>
      <c r="M7925">
        <v>1.08</v>
      </c>
      <c r="N7925">
        <v>47</v>
      </c>
      <c r="O7925" t="s">
        <v>52</v>
      </c>
      <c r="Q7925" t="s">
        <v>132</v>
      </c>
      <c r="R7925" t="s">
        <v>6723</v>
      </c>
      <c r="S7925" t="s">
        <v>6724</v>
      </c>
    </row>
    <row r="7926" spans="1:19" x14ac:dyDescent="0.25">
      <c r="A7926" t="s">
        <v>44</v>
      </c>
      <c r="B7926" t="s">
        <v>3</v>
      </c>
      <c r="C7926" t="s">
        <v>32</v>
      </c>
      <c r="D7926" t="s">
        <v>953</v>
      </c>
      <c r="E7926" t="s">
        <v>1015</v>
      </c>
      <c r="F7926" t="s">
        <v>35</v>
      </c>
      <c r="G7926" t="s">
        <v>35</v>
      </c>
      <c r="H7926" t="s">
        <v>35</v>
      </c>
      <c r="J7926" t="s">
        <v>7415</v>
      </c>
      <c r="K7926" t="s">
        <v>1092</v>
      </c>
      <c r="M7926">
        <v>1</v>
      </c>
      <c r="N7926">
        <v>61</v>
      </c>
      <c r="O7926" t="s">
        <v>61</v>
      </c>
      <c r="Q7926" t="s">
        <v>671</v>
      </c>
      <c r="R7926" t="s">
        <v>6847</v>
      </c>
      <c r="S7926" t="s">
        <v>1034</v>
      </c>
    </row>
    <row r="7927" spans="1:19" x14ac:dyDescent="0.25">
      <c r="A7927" t="s">
        <v>59</v>
      </c>
      <c r="B7927" t="s">
        <v>31</v>
      </c>
      <c r="C7927" t="s">
        <v>32</v>
      </c>
      <c r="D7927" t="s">
        <v>953</v>
      </c>
      <c r="E7927" t="s">
        <v>1015</v>
      </c>
      <c r="F7927" t="s">
        <v>35</v>
      </c>
      <c r="G7927" t="s">
        <v>35</v>
      </c>
      <c r="H7927" t="s">
        <v>35</v>
      </c>
      <c r="J7927" t="s">
        <v>2384</v>
      </c>
      <c r="K7927" t="s">
        <v>1092</v>
      </c>
      <c r="M7927">
        <v>0.04</v>
      </c>
      <c r="N7927">
        <v>398</v>
      </c>
      <c r="O7927" t="s">
        <v>294</v>
      </c>
      <c r="Q7927" t="s">
        <v>3592</v>
      </c>
      <c r="R7927" t="s">
        <v>133</v>
      </c>
      <c r="S7927" t="s">
        <v>134</v>
      </c>
    </row>
    <row r="7928" spans="1:19" x14ac:dyDescent="0.25">
      <c r="A7928" t="s">
        <v>30</v>
      </c>
      <c r="B7928" t="s">
        <v>31</v>
      </c>
      <c r="C7928" t="s">
        <v>32</v>
      </c>
      <c r="D7928" t="s">
        <v>953</v>
      </c>
      <c r="E7928" t="s">
        <v>1015</v>
      </c>
      <c r="F7928" t="s">
        <v>35</v>
      </c>
      <c r="G7928" t="s">
        <v>35</v>
      </c>
      <c r="H7928" t="s">
        <v>35</v>
      </c>
      <c r="J7928" t="s">
        <v>7417</v>
      </c>
      <c r="K7928" t="s">
        <v>1092</v>
      </c>
      <c r="M7928">
        <v>2.7E-2</v>
      </c>
      <c r="N7928">
        <v>1474</v>
      </c>
      <c r="O7928" t="s">
        <v>575</v>
      </c>
      <c r="Q7928" t="s">
        <v>2257</v>
      </c>
      <c r="R7928" t="s">
        <v>133</v>
      </c>
      <c r="S7928" t="s">
        <v>134</v>
      </c>
    </row>
    <row r="7929" spans="1:19" x14ac:dyDescent="0.25">
      <c r="A7929" t="s">
        <v>59</v>
      </c>
      <c r="B7929" t="s">
        <v>31</v>
      </c>
      <c r="C7929" t="s">
        <v>32</v>
      </c>
      <c r="D7929" t="s">
        <v>953</v>
      </c>
      <c r="E7929" t="s">
        <v>1015</v>
      </c>
      <c r="F7929" t="s">
        <v>35</v>
      </c>
      <c r="G7929" t="s">
        <v>35</v>
      </c>
      <c r="H7929" t="s">
        <v>35</v>
      </c>
      <c r="J7929" t="s">
        <v>7417</v>
      </c>
      <c r="K7929" t="s">
        <v>1092</v>
      </c>
      <c r="M7929">
        <v>0.09</v>
      </c>
      <c r="N7929">
        <v>1608</v>
      </c>
      <c r="O7929" t="s">
        <v>575</v>
      </c>
      <c r="Q7929" t="s">
        <v>7418</v>
      </c>
      <c r="R7929" t="s">
        <v>133</v>
      </c>
      <c r="S7929" t="s">
        <v>134</v>
      </c>
    </row>
    <row r="7930" spans="1:19" x14ac:dyDescent="0.25">
      <c r="A7930" t="s">
        <v>59</v>
      </c>
      <c r="B7930" t="s">
        <v>60</v>
      </c>
      <c r="C7930" t="s">
        <v>32</v>
      </c>
      <c r="D7930" t="s">
        <v>953</v>
      </c>
      <c r="E7930" t="s">
        <v>1015</v>
      </c>
      <c r="F7930" t="s">
        <v>35</v>
      </c>
      <c r="G7930" t="s">
        <v>35</v>
      </c>
      <c r="H7930" t="s">
        <v>35</v>
      </c>
      <c r="J7930" t="s">
        <v>7417</v>
      </c>
      <c r="K7930" t="s">
        <v>1092</v>
      </c>
      <c r="M7930">
        <v>0.3</v>
      </c>
      <c r="N7930">
        <v>251</v>
      </c>
      <c r="O7930" t="s">
        <v>5</v>
      </c>
      <c r="Q7930" t="s">
        <v>1688</v>
      </c>
      <c r="R7930" t="s">
        <v>133</v>
      </c>
      <c r="S7930" t="s">
        <v>134</v>
      </c>
    </row>
    <row r="7931" spans="1:19" x14ac:dyDescent="0.25">
      <c r="A7931" t="s">
        <v>44</v>
      </c>
      <c r="B7931" t="s">
        <v>3</v>
      </c>
      <c r="C7931" t="s">
        <v>32</v>
      </c>
      <c r="D7931" t="s">
        <v>953</v>
      </c>
      <c r="E7931" t="s">
        <v>1015</v>
      </c>
      <c r="F7931" t="s">
        <v>35</v>
      </c>
      <c r="G7931" t="s">
        <v>35</v>
      </c>
      <c r="H7931" t="s">
        <v>35</v>
      </c>
      <c r="J7931" t="s">
        <v>3984</v>
      </c>
      <c r="K7931" t="s">
        <v>1092</v>
      </c>
      <c r="M7931">
        <v>9.6</v>
      </c>
      <c r="N7931">
        <v>65</v>
      </c>
      <c r="O7931" t="s">
        <v>61</v>
      </c>
      <c r="Q7931" t="s">
        <v>128</v>
      </c>
      <c r="R7931" t="s">
        <v>133</v>
      </c>
      <c r="S7931" t="s">
        <v>134</v>
      </c>
    </row>
    <row r="7932" spans="1:19" x14ac:dyDescent="0.25">
      <c r="A7932" t="s">
        <v>59</v>
      </c>
      <c r="B7932" t="s">
        <v>60</v>
      </c>
      <c r="C7932" t="s">
        <v>32</v>
      </c>
      <c r="D7932" t="s">
        <v>953</v>
      </c>
      <c r="E7932" t="s">
        <v>1015</v>
      </c>
      <c r="F7932" t="s">
        <v>35</v>
      </c>
      <c r="G7932" t="s">
        <v>35</v>
      </c>
      <c r="H7932" t="s">
        <v>35</v>
      </c>
      <c r="J7932" t="s">
        <v>7419</v>
      </c>
      <c r="K7932" t="s">
        <v>1092</v>
      </c>
      <c r="M7932">
        <v>0.02</v>
      </c>
      <c r="N7932">
        <v>1837</v>
      </c>
      <c r="O7932" t="s">
        <v>575</v>
      </c>
      <c r="Q7932" t="s">
        <v>7420</v>
      </c>
      <c r="R7932" t="s">
        <v>7421</v>
      </c>
      <c r="S7932" t="s">
        <v>7422</v>
      </c>
    </row>
    <row r="7933" spans="1:19" x14ac:dyDescent="0.25">
      <c r="A7933" t="s">
        <v>59</v>
      </c>
      <c r="B7933" t="s">
        <v>60</v>
      </c>
      <c r="C7933" t="s">
        <v>32</v>
      </c>
      <c r="D7933" t="s">
        <v>953</v>
      </c>
      <c r="E7933" t="s">
        <v>1015</v>
      </c>
      <c r="F7933" t="s">
        <v>35</v>
      </c>
      <c r="G7933" t="s">
        <v>35</v>
      </c>
      <c r="H7933" t="s">
        <v>35</v>
      </c>
      <c r="J7933" t="s">
        <v>7423</v>
      </c>
      <c r="K7933" t="s">
        <v>1092</v>
      </c>
      <c r="M7933">
        <v>1.5</v>
      </c>
      <c r="N7933">
        <v>249</v>
      </c>
      <c r="O7933" t="s">
        <v>5</v>
      </c>
      <c r="Q7933" t="s">
        <v>6137</v>
      </c>
      <c r="R7933" t="s">
        <v>133</v>
      </c>
      <c r="S7933" t="s">
        <v>134</v>
      </c>
    </row>
    <row r="7934" spans="1:19" x14ac:dyDescent="0.25">
      <c r="A7934" t="s">
        <v>59</v>
      </c>
      <c r="B7934" t="s">
        <v>60</v>
      </c>
      <c r="C7934" t="s">
        <v>32</v>
      </c>
      <c r="D7934" t="s">
        <v>953</v>
      </c>
      <c r="E7934" t="s">
        <v>1015</v>
      </c>
      <c r="F7934" t="s">
        <v>35</v>
      </c>
      <c r="G7934" t="s">
        <v>35</v>
      </c>
      <c r="H7934" t="s">
        <v>35</v>
      </c>
      <c r="J7934" t="s">
        <v>7424</v>
      </c>
      <c r="K7934" t="s">
        <v>1092</v>
      </c>
      <c r="M7934">
        <v>1.8</v>
      </c>
      <c r="N7934">
        <v>69</v>
      </c>
      <c r="O7934" t="s">
        <v>61</v>
      </c>
      <c r="Q7934" t="s">
        <v>139</v>
      </c>
      <c r="R7934" t="s">
        <v>133</v>
      </c>
      <c r="S7934" t="s">
        <v>134</v>
      </c>
    </row>
    <row r="7935" spans="1:19" x14ac:dyDescent="0.25">
      <c r="A7935" t="s">
        <v>59</v>
      </c>
      <c r="B7935" t="s">
        <v>31</v>
      </c>
      <c r="C7935" t="s">
        <v>32</v>
      </c>
      <c r="D7935" t="s">
        <v>953</v>
      </c>
      <c r="E7935" t="s">
        <v>1015</v>
      </c>
      <c r="F7935" t="s">
        <v>35</v>
      </c>
      <c r="G7935" t="s">
        <v>35</v>
      </c>
      <c r="H7935" t="s">
        <v>35</v>
      </c>
      <c r="J7935" t="s">
        <v>7425</v>
      </c>
      <c r="K7935" t="s">
        <v>1092</v>
      </c>
      <c r="M7935">
        <v>0.21</v>
      </c>
      <c r="N7935">
        <v>249</v>
      </c>
      <c r="O7935" t="s">
        <v>5</v>
      </c>
      <c r="Q7935" t="s">
        <v>6137</v>
      </c>
      <c r="R7935" t="s">
        <v>133</v>
      </c>
      <c r="S7935" t="s">
        <v>134</v>
      </c>
    </row>
    <row r="7936" spans="1:19" x14ac:dyDescent="0.25">
      <c r="A7936" t="s">
        <v>59</v>
      </c>
      <c r="B7936" t="s">
        <v>60</v>
      </c>
      <c r="C7936" t="s">
        <v>32</v>
      </c>
      <c r="D7936" t="s">
        <v>953</v>
      </c>
      <c r="E7936" t="s">
        <v>1015</v>
      </c>
      <c r="F7936" t="s">
        <v>35</v>
      </c>
      <c r="G7936" t="s">
        <v>35</v>
      </c>
      <c r="H7936" t="s">
        <v>35</v>
      </c>
      <c r="J7936" t="s">
        <v>7425</v>
      </c>
      <c r="K7936" t="s">
        <v>1092</v>
      </c>
      <c r="M7936">
        <v>1.6</v>
      </c>
      <c r="N7936">
        <v>69</v>
      </c>
      <c r="O7936" t="s">
        <v>61</v>
      </c>
      <c r="Q7936" t="s">
        <v>139</v>
      </c>
      <c r="R7936" t="s">
        <v>133</v>
      </c>
      <c r="S7936" t="s">
        <v>134</v>
      </c>
    </row>
    <row r="7937" spans="1:19" x14ac:dyDescent="0.25">
      <c r="A7937" t="s">
        <v>59</v>
      </c>
      <c r="B7937" t="s">
        <v>31</v>
      </c>
      <c r="C7937" t="s">
        <v>32</v>
      </c>
      <c r="D7937" t="s">
        <v>953</v>
      </c>
      <c r="E7937" t="s">
        <v>1015</v>
      </c>
      <c r="F7937" t="s">
        <v>35</v>
      </c>
      <c r="G7937" t="s">
        <v>35</v>
      </c>
      <c r="H7937" t="s">
        <v>35</v>
      </c>
      <c r="J7937" t="s">
        <v>7426</v>
      </c>
      <c r="K7937" t="s">
        <v>1092</v>
      </c>
      <c r="M7937">
        <v>2.25</v>
      </c>
      <c r="N7937">
        <v>90</v>
      </c>
      <c r="O7937" t="s">
        <v>61</v>
      </c>
      <c r="Q7937" t="s">
        <v>897</v>
      </c>
      <c r="R7937" t="s">
        <v>6877</v>
      </c>
      <c r="S7937" t="s">
        <v>1041</v>
      </c>
    </row>
    <row r="7938" spans="1:19" x14ac:dyDescent="0.25">
      <c r="A7938" t="s">
        <v>59</v>
      </c>
      <c r="B7938" t="s">
        <v>60</v>
      </c>
      <c r="C7938" t="s">
        <v>32</v>
      </c>
      <c r="D7938" t="s">
        <v>953</v>
      </c>
      <c r="E7938" t="s">
        <v>1015</v>
      </c>
      <c r="F7938" t="s">
        <v>35</v>
      </c>
      <c r="G7938" t="s">
        <v>35</v>
      </c>
      <c r="H7938" t="s">
        <v>35</v>
      </c>
      <c r="J7938" t="s">
        <v>7426</v>
      </c>
      <c r="K7938" t="s">
        <v>1092</v>
      </c>
      <c r="M7938">
        <v>2.5</v>
      </c>
      <c r="N7938">
        <v>90</v>
      </c>
      <c r="O7938" t="s">
        <v>61</v>
      </c>
      <c r="Q7938" t="s">
        <v>897</v>
      </c>
      <c r="R7938" t="s">
        <v>6877</v>
      </c>
      <c r="S7938" t="s">
        <v>1041</v>
      </c>
    </row>
    <row r="7939" spans="1:19" x14ac:dyDescent="0.25">
      <c r="A7939" t="s">
        <v>59</v>
      </c>
      <c r="B7939" t="s">
        <v>31</v>
      </c>
      <c r="C7939" t="s">
        <v>32</v>
      </c>
      <c r="D7939" t="s">
        <v>953</v>
      </c>
      <c r="E7939" t="s">
        <v>1015</v>
      </c>
      <c r="F7939" t="s">
        <v>35</v>
      </c>
      <c r="G7939" t="s">
        <v>35</v>
      </c>
      <c r="H7939" t="s">
        <v>35</v>
      </c>
      <c r="J7939" t="s">
        <v>7427</v>
      </c>
      <c r="K7939" t="s">
        <v>1092</v>
      </c>
      <c r="M7939">
        <v>0.67500000000000004</v>
      </c>
      <c r="N7939">
        <v>437</v>
      </c>
      <c r="O7939" t="s">
        <v>294</v>
      </c>
      <c r="Q7939" t="s">
        <v>7363</v>
      </c>
      <c r="R7939" t="s">
        <v>133</v>
      </c>
      <c r="S7939" t="s">
        <v>134</v>
      </c>
    </row>
    <row r="7940" spans="1:19" x14ac:dyDescent="0.25">
      <c r="A7940" t="s">
        <v>59</v>
      </c>
      <c r="B7940" t="s">
        <v>60</v>
      </c>
      <c r="C7940" t="s">
        <v>32</v>
      </c>
      <c r="D7940" t="s">
        <v>953</v>
      </c>
      <c r="E7940" t="s">
        <v>1015</v>
      </c>
      <c r="F7940" t="s">
        <v>35</v>
      </c>
      <c r="G7940" t="s">
        <v>35</v>
      </c>
      <c r="H7940" t="s">
        <v>35</v>
      </c>
      <c r="J7940" t="s">
        <v>7427</v>
      </c>
      <c r="K7940" t="s">
        <v>1092</v>
      </c>
      <c r="M7940">
        <v>2</v>
      </c>
      <c r="N7940">
        <v>272</v>
      </c>
      <c r="O7940" t="s">
        <v>5</v>
      </c>
      <c r="Q7940" t="s">
        <v>1264</v>
      </c>
      <c r="R7940" t="s">
        <v>6877</v>
      </c>
      <c r="S7940" t="s">
        <v>1041</v>
      </c>
    </row>
    <row r="7941" spans="1:19" x14ac:dyDescent="0.25">
      <c r="A7941" t="s">
        <v>59</v>
      </c>
      <c r="B7941" t="s">
        <v>60</v>
      </c>
      <c r="C7941" t="s">
        <v>32</v>
      </c>
      <c r="D7941" t="s">
        <v>953</v>
      </c>
      <c r="E7941" t="s">
        <v>1015</v>
      </c>
      <c r="F7941" t="s">
        <v>35</v>
      </c>
      <c r="G7941" t="s">
        <v>35</v>
      </c>
      <c r="H7941" t="s">
        <v>35</v>
      </c>
      <c r="J7941" t="s">
        <v>7427</v>
      </c>
      <c r="K7941" t="s">
        <v>1092</v>
      </c>
      <c r="M7941">
        <v>0.2</v>
      </c>
      <c r="N7941">
        <v>501</v>
      </c>
      <c r="O7941" t="s">
        <v>294</v>
      </c>
      <c r="Q7941" t="s">
        <v>4620</v>
      </c>
      <c r="R7941" t="s">
        <v>133</v>
      </c>
      <c r="S7941" t="s">
        <v>134</v>
      </c>
    </row>
    <row r="7942" spans="1:19" x14ac:dyDescent="0.25">
      <c r="A7942" t="s">
        <v>59</v>
      </c>
      <c r="B7942" t="s">
        <v>60</v>
      </c>
      <c r="C7942" t="s">
        <v>32</v>
      </c>
      <c r="D7942" t="s">
        <v>953</v>
      </c>
      <c r="E7942" t="s">
        <v>1015</v>
      </c>
      <c r="F7942" t="s">
        <v>35</v>
      </c>
      <c r="G7942" t="s">
        <v>35</v>
      </c>
      <c r="H7942" t="s">
        <v>35</v>
      </c>
      <c r="J7942" t="s">
        <v>7427</v>
      </c>
      <c r="K7942" t="s">
        <v>1092</v>
      </c>
      <c r="M7942">
        <v>0.1</v>
      </c>
      <c r="N7942">
        <v>76</v>
      </c>
      <c r="O7942" t="s">
        <v>61</v>
      </c>
      <c r="Q7942" t="s">
        <v>234</v>
      </c>
      <c r="R7942" t="s">
        <v>133</v>
      </c>
      <c r="S7942" t="s">
        <v>134</v>
      </c>
    </row>
    <row r="7943" spans="1:19" x14ac:dyDescent="0.25">
      <c r="A7943" t="s">
        <v>59</v>
      </c>
      <c r="B7943" t="s">
        <v>60</v>
      </c>
      <c r="C7943" t="s">
        <v>32</v>
      </c>
      <c r="D7943" t="s">
        <v>953</v>
      </c>
      <c r="E7943" t="s">
        <v>1015</v>
      </c>
      <c r="F7943" t="s">
        <v>35</v>
      </c>
      <c r="G7943" t="s">
        <v>35</v>
      </c>
      <c r="H7943" t="s">
        <v>35</v>
      </c>
      <c r="J7943" t="s">
        <v>7427</v>
      </c>
      <c r="K7943" t="s">
        <v>1092</v>
      </c>
      <c r="M7943">
        <v>1.2</v>
      </c>
      <c r="N7943">
        <v>314</v>
      </c>
      <c r="O7943" t="s">
        <v>5</v>
      </c>
      <c r="Q7943" t="s">
        <v>6168</v>
      </c>
      <c r="R7943" t="s">
        <v>6877</v>
      </c>
      <c r="S7943" t="s">
        <v>1041</v>
      </c>
    </row>
    <row r="7944" spans="1:19" x14ac:dyDescent="0.25">
      <c r="A7944" t="s">
        <v>44</v>
      </c>
      <c r="B7944" t="s">
        <v>3</v>
      </c>
      <c r="C7944" t="s">
        <v>32</v>
      </c>
      <c r="D7944" t="s">
        <v>953</v>
      </c>
      <c r="E7944" t="s">
        <v>1015</v>
      </c>
      <c r="F7944" t="s">
        <v>35</v>
      </c>
      <c r="G7944" t="s">
        <v>35</v>
      </c>
      <c r="H7944" t="s">
        <v>35</v>
      </c>
      <c r="J7944" t="s">
        <v>7428</v>
      </c>
      <c r="K7944" t="s">
        <v>1092</v>
      </c>
      <c r="M7944">
        <v>0.35</v>
      </c>
      <c r="N7944">
        <v>32</v>
      </c>
      <c r="O7944" t="s">
        <v>52</v>
      </c>
      <c r="Q7944" t="s">
        <v>547</v>
      </c>
      <c r="R7944" t="s">
        <v>133</v>
      </c>
      <c r="S7944" t="s">
        <v>134</v>
      </c>
    </row>
    <row r="7945" spans="1:19" x14ac:dyDescent="0.25">
      <c r="A7945" t="s">
        <v>59</v>
      </c>
      <c r="B7945" t="s">
        <v>60</v>
      </c>
      <c r="C7945" t="s">
        <v>32</v>
      </c>
      <c r="D7945" t="s">
        <v>953</v>
      </c>
      <c r="E7945" t="s">
        <v>1015</v>
      </c>
      <c r="F7945" t="s">
        <v>35</v>
      </c>
      <c r="G7945" t="s">
        <v>35</v>
      </c>
      <c r="H7945" t="s">
        <v>35</v>
      </c>
      <c r="J7945" t="s">
        <v>7428</v>
      </c>
      <c r="K7945" t="s">
        <v>1092</v>
      </c>
      <c r="M7945">
        <v>0.25</v>
      </c>
      <c r="N7945">
        <v>38</v>
      </c>
      <c r="O7945" t="s">
        <v>52</v>
      </c>
      <c r="Q7945" t="s">
        <v>748</v>
      </c>
      <c r="R7945" t="s">
        <v>133</v>
      </c>
      <c r="S7945" t="s">
        <v>134</v>
      </c>
    </row>
    <row r="7946" spans="1:19" x14ac:dyDescent="0.25">
      <c r="A7946" t="s">
        <v>59</v>
      </c>
      <c r="B7946" t="s">
        <v>60</v>
      </c>
      <c r="C7946" t="s">
        <v>32</v>
      </c>
      <c r="D7946" t="s">
        <v>953</v>
      </c>
      <c r="E7946" t="s">
        <v>1015</v>
      </c>
      <c r="F7946" t="s">
        <v>35</v>
      </c>
      <c r="G7946" t="s">
        <v>35</v>
      </c>
      <c r="H7946" t="s">
        <v>35</v>
      </c>
      <c r="J7946" t="s">
        <v>7430</v>
      </c>
      <c r="K7946" t="s">
        <v>1092</v>
      </c>
      <c r="M7946">
        <v>1</v>
      </c>
      <c r="N7946">
        <v>86</v>
      </c>
      <c r="O7946" t="s">
        <v>61</v>
      </c>
      <c r="Q7946" t="s">
        <v>1076</v>
      </c>
      <c r="R7946" t="s">
        <v>133</v>
      </c>
      <c r="S7946" t="s">
        <v>134</v>
      </c>
    </row>
    <row r="7947" spans="1:19" x14ac:dyDescent="0.25">
      <c r="A7947" t="s">
        <v>44</v>
      </c>
      <c r="B7947" t="s">
        <v>3</v>
      </c>
      <c r="C7947" t="s">
        <v>32</v>
      </c>
      <c r="D7947" t="s">
        <v>953</v>
      </c>
      <c r="E7947" t="s">
        <v>1015</v>
      </c>
      <c r="F7947" t="s">
        <v>35</v>
      </c>
      <c r="G7947" t="s">
        <v>35</v>
      </c>
      <c r="H7947" t="s">
        <v>35</v>
      </c>
      <c r="J7947" t="s">
        <v>7430</v>
      </c>
      <c r="K7947" t="s">
        <v>1092</v>
      </c>
      <c r="M7947">
        <v>1.7</v>
      </c>
      <c r="N7947">
        <v>60</v>
      </c>
      <c r="O7947" t="s">
        <v>52</v>
      </c>
      <c r="Q7947" t="s">
        <v>1734</v>
      </c>
      <c r="R7947" t="s">
        <v>133</v>
      </c>
      <c r="S7947" t="s">
        <v>134</v>
      </c>
    </row>
    <row r="7948" spans="1:19" x14ac:dyDescent="0.25">
      <c r="A7948" t="s">
        <v>30</v>
      </c>
      <c r="B7948" t="s">
        <v>31</v>
      </c>
      <c r="C7948" t="s">
        <v>32</v>
      </c>
      <c r="D7948" t="s">
        <v>953</v>
      </c>
      <c r="E7948" t="s">
        <v>1015</v>
      </c>
      <c r="F7948" t="s">
        <v>35</v>
      </c>
      <c r="G7948" t="s">
        <v>35</v>
      </c>
      <c r="H7948" t="s">
        <v>35</v>
      </c>
      <c r="J7948" t="s">
        <v>7431</v>
      </c>
      <c r="K7948" t="s">
        <v>1092</v>
      </c>
      <c r="M7948">
        <v>0.45</v>
      </c>
      <c r="N7948">
        <v>38</v>
      </c>
      <c r="O7948" t="s">
        <v>52</v>
      </c>
      <c r="Q7948" t="s">
        <v>748</v>
      </c>
      <c r="R7948" t="s">
        <v>133</v>
      </c>
      <c r="S7948" t="s">
        <v>134</v>
      </c>
    </row>
    <row r="7949" spans="1:19" x14ac:dyDescent="0.25">
      <c r="A7949" t="s">
        <v>59</v>
      </c>
      <c r="B7949" t="s">
        <v>31</v>
      </c>
      <c r="C7949" t="s">
        <v>32</v>
      </c>
      <c r="D7949" t="s">
        <v>953</v>
      </c>
      <c r="E7949" t="s">
        <v>1015</v>
      </c>
      <c r="F7949" t="s">
        <v>35</v>
      </c>
      <c r="G7949" t="s">
        <v>35</v>
      </c>
      <c r="H7949" t="s">
        <v>35</v>
      </c>
      <c r="J7949" t="s">
        <v>7431</v>
      </c>
      <c r="K7949" t="s">
        <v>1092</v>
      </c>
      <c r="M7949">
        <v>0.45</v>
      </c>
      <c r="N7949">
        <v>18</v>
      </c>
      <c r="O7949" t="s">
        <v>46</v>
      </c>
      <c r="Q7949" t="s">
        <v>1476</v>
      </c>
      <c r="R7949" t="s">
        <v>133</v>
      </c>
      <c r="S7949" t="s">
        <v>134</v>
      </c>
    </row>
    <row r="7950" spans="1:19" x14ac:dyDescent="0.25">
      <c r="A7950" t="s">
        <v>59</v>
      </c>
      <c r="B7950" t="s">
        <v>60</v>
      </c>
      <c r="C7950" t="s">
        <v>32</v>
      </c>
      <c r="D7950" t="s">
        <v>953</v>
      </c>
      <c r="E7950" t="s">
        <v>1015</v>
      </c>
      <c r="F7950" t="s">
        <v>35</v>
      </c>
      <c r="G7950" t="s">
        <v>35</v>
      </c>
      <c r="H7950" t="s">
        <v>35</v>
      </c>
      <c r="J7950" t="s">
        <v>7431</v>
      </c>
      <c r="K7950" t="s">
        <v>1092</v>
      </c>
      <c r="M7950">
        <v>4.55</v>
      </c>
      <c r="N7950">
        <v>91</v>
      </c>
      <c r="O7950" t="s">
        <v>106</v>
      </c>
      <c r="Q7950" t="s">
        <v>1147</v>
      </c>
      <c r="R7950" t="s">
        <v>133</v>
      </c>
      <c r="S7950" t="s">
        <v>134</v>
      </c>
    </row>
    <row r="7951" spans="1:19" x14ac:dyDescent="0.25">
      <c r="A7951" t="s">
        <v>59</v>
      </c>
      <c r="B7951" t="s">
        <v>60</v>
      </c>
      <c r="C7951" t="s">
        <v>32</v>
      </c>
      <c r="D7951" t="s">
        <v>953</v>
      </c>
      <c r="E7951" t="s">
        <v>1015</v>
      </c>
      <c r="F7951" t="s">
        <v>35</v>
      </c>
      <c r="G7951" t="s">
        <v>35</v>
      </c>
      <c r="H7951" t="s">
        <v>35</v>
      </c>
      <c r="J7951" t="s">
        <v>7432</v>
      </c>
      <c r="K7951" t="s">
        <v>1092</v>
      </c>
      <c r="M7951">
        <v>0.15</v>
      </c>
      <c r="N7951">
        <v>157</v>
      </c>
      <c r="O7951" t="s">
        <v>38</v>
      </c>
      <c r="Q7951" t="s">
        <v>1145</v>
      </c>
      <c r="R7951" t="s">
        <v>133</v>
      </c>
      <c r="S7951" t="s">
        <v>134</v>
      </c>
    </row>
    <row r="7952" spans="1:19" x14ac:dyDescent="0.25">
      <c r="A7952" t="s">
        <v>59</v>
      </c>
      <c r="B7952" t="s">
        <v>60</v>
      </c>
      <c r="C7952" t="s">
        <v>32</v>
      </c>
      <c r="D7952" t="s">
        <v>953</v>
      </c>
      <c r="E7952" t="s">
        <v>1015</v>
      </c>
      <c r="F7952" t="s">
        <v>35</v>
      </c>
      <c r="G7952" t="s">
        <v>35</v>
      </c>
      <c r="H7952" t="s">
        <v>35</v>
      </c>
      <c r="J7952" t="s">
        <v>7432</v>
      </c>
      <c r="K7952" t="s">
        <v>1092</v>
      </c>
      <c r="M7952">
        <v>0.2</v>
      </c>
      <c r="N7952">
        <v>466</v>
      </c>
      <c r="O7952" t="s">
        <v>294</v>
      </c>
      <c r="Q7952" t="s">
        <v>1114</v>
      </c>
      <c r="R7952" t="s">
        <v>133</v>
      </c>
      <c r="S7952" t="s">
        <v>134</v>
      </c>
    </row>
    <row r="7953" spans="1:19" x14ac:dyDescent="0.25">
      <c r="A7953" t="s">
        <v>30</v>
      </c>
      <c r="B7953" t="s">
        <v>31</v>
      </c>
      <c r="C7953" t="s">
        <v>32</v>
      </c>
      <c r="D7953" t="s">
        <v>953</v>
      </c>
      <c r="E7953" t="s">
        <v>1015</v>
      </c>
      <c r="F7953" t="s">
        <v>35</v>
      </c>
      <c r="G7953" t="s">
        <v>35</v>
      </c>
      <c r="H7953" t="s">
        <v>35</v>
      </c>
      <c r="J7953" t="s">
        <v>7432</v>
      </c>
      <c r="K7953" t="s">
        <v>1092</v>
      </c>
      <c r="M7953">
        <v>4.4999999999999998E-2</v>
      </c>
      <c r="N7953">
        <v>170</v>
      </c>
      <c r="O7953" t="s">
        <v>38</v>
      </c>
      <c r="Q7953" t="s">
        <v>2780</v>
      </c>
      <c r="R7953" t="s">
        <v>133</v>
      </c>
      <c r="S7953" t="s">
        <v>134</v>
      </c>
    </row>
    <row r="7954" spans="1:19" x14ac:dyDescent="0.25">
      <c r="A7954" t="s">
        <v>59</v>
      </c>
      <c r="B7954" t="s">
        <v>60</v>
      </c>
      <c r="C7954" t="s">
        <v>32</v>
      </c>
      <c r="D7954" t="s">
        <v>953</v>
      </c>
      <c r="E7954" t="s">
        <v>1015</v>
      </c>
      <c r="F7954" t="s">
        <v>35</v>
      </c>
      <c r="G7954" t="s">
        <v>35</v>
      </c>
      <c r="H7954" t="s">
        <v>35</v>
      </c>
      <c r="J7954" t="s">
        <v>7433</v>
      </c>
      <c r="K7954" t="s">
        <v>1092</v>
      </c>
      <c r="M7954">
        <v>1.25</v>
      </c>
      <c r="N7954">
        <v>362</v>
      </c>
      <c r="O7954" t="s">
        <v>5</v>
      </c>
      <c r="Q7954" t="s">
        <v>2408</v>
      </c>
      <c r="R7954" t="s">
        <v>133</v>
      </c>
      <c r="S7954" t="s">
        <v>134</v>
      </c>
    </row>
    <row r="7955" spans="1:19" x14ac:dyDescent="0.25">
      <c r="A7955" t="s">
        <v>59</v>
      </c>
      <c r="B7955" t="s">
        <v>31</v>
      </c>
      <c r="C7955" t="s">
        <v>32</v>
      </c>
      <c r="D7955" t="s">
        <v>953</v>
      </c>
      <c r="E7955" t="s">
        <v>1015</v>
      </c>
      <c r="F7955" t="s">
        <v>35</v>
      </c>
      <c r="G7955" t="s">
        <v>35</v>
      </c>
      <c r="H7955" t="s">
        <v>35</v>
      </c>
      <c r="J7955" t="s">
        <v>7433</v>
      </c>
      <c r="K7955" t="s">
        <v>1092</v>
      </c>
      <c r="M7955">
        <v>1.575</v>
      </c>
      <c r="N7955">
        <v>466</v>
      </c>
      <c r="O7955" t="s">
        <v>294</v>
      </c>
      <c r="Q7955" t="s">
        <v>1114</v>
      </c>
      <c r="R7955" t="s">
        <v>133</v>
      </c>
      <c r="S7955" t="s">
        <v>134</v>
      </c>
    </row>
    <row r="7956" spans="1:19" x14ac:dyDescent="0.25">
      <c r="A7956" t="s">
        <v>59</v>
      </c>
      <c r="B7956" t="s">
        <v>31</v>
      </c>
      <c r="C7956" t="s">
        <v>32</v>
      </c>
      <c r="D7956" t="s">
        <v>953</v>
      </c>
      <c r="E7956" t="s">
        <v>1015</v>
      </c>
      <c r="F7956" t="s">
        <v>35</v>
      </c>
      <c r="G7956" t="s">
        <v>35</v>
      </c>
      <c r="H7956" t="s">
        <v>35</v>
      </c>
      <c r="J7956" t="s">
        <v>7434</v>
      </c>
      <c r="K7956" t="s">
        <v>1092</v>
      </c>
      <c r="M7956">
        <v>1.8</v>
      </c>
      <c r="N7956">
        <v>32</v>
      </c>
      <c r="O7956" t="s">
        <v>52</v>
      </c>
      <c r="Q7956" t="s">
        <v>547</v>
      </c>
      <c r="R7956" t="s">
        <v>133</v>
      </c>
      <c r="S7956" t="s">
        <v>134</v>
      </c>
    </row>
    <row r="7957" spans="1:19" x14ac:dyDescent="0.25">
      <c r="A7957" t="s">
        <v>59</v>
      </c>
      <c r="B7957" t="s">
        <v>31</v>
      </c>
      <c r="C7957" t="s">
        <v>32</v>
      </c>
      <c r="D7957" t="s">
        <v>953</v>
      </c>
      <c r="E7957" t="s">
        <v>1015</v>
      </c>
      <c r="F7957" t="s">
        <v>35</v>
      </c>
      <c r="G7957" t="s">
        <v>35</v>
      </c>
      <c r="H7957" t="s">
        <v>35</v>
      </c>
      <c r="J7957" t="s">
        <v>7434</v>
      </c>
      <c r="K7957" t="s">
        <v>1092</v>
      </c>
      <c r="M7957">
        <v>1.125</v>
      </c>
      <c r="N7957">
        <v>62</v>
      </c>
      <c r="O7957" t="s">
        <v>61</v>
      </c>
      <c r="Q7957" t="s">
        <v>90</v>
      </c>
      <c r="R7957" t="s">
        <v>6877</v>
      </c>
      <c r="S7957" t="s">
        <v>1041</v>
      </c>
    </row>
    <row r="7958" spans="1:19" x14ac:dyDescent="0.25">
      <c r="A7958" t="s">
        <v>30</v>
      </c>
      <c r="B7958" t="s">
        <v>31</v>
      </c>
      <c r="C7958" t="s">
        <v>32</v>
      </c>
      <c r="D7958" t="s">
        <v>953</v>
      </c>
      <c r="E7958" t="s">
        <v>1015</v>
      </c>
      <c r="F7958" t="s">
        <v>35</v>
      </c>
      <c r="G7958" t="s">
        <v>35</v>
      </c>
      <c r="H7958" t="s">
        <v>35</v>
      </c>
      <c r="J7958" t="s">
        <v>7435</v>
      </c>
      <c r="K7958" t="s">
        <v>1092</v>
      </c>
      <c r="M7958">
        <v>1.35</v>
      </c>
      <c r="N7958">
        <v>12</v>
      </c>
      <c r="O7958" t="s">
        <v>46</v>
      </c>
      <c r="Q7958" t="s">
        <v>1865</v>
      </c>
      <c r="R7958" t="s">
        <v>133</v>
      </c>
      <c r="S7958" t="s">
        <v>134</v>
      </c>
    </row>
    <row r="7959" spans="1:19" x14ac:dyDescent="0.25">
      <c r="A7959" t="s">
        <v>44</v>
      </c>
      <c r="B7959" t="s">
        <v>3</v>
      </c>
      <c r="C7959" t="s">
        <v>32</v>
      </c>
      <c r="D7959" t="s">
        <v>953</v>
      </c>
      <c r="E7959" t="s">
        <v>1015</v>
      </c>
      <c r="F7959" t="s">
        <v>35</v>
      </c>
      <c r="G7959" t="s">
        <v>35</v>
      </c>
      <c r="H7959" t="s">
        <v>35</v>
      </c>
      <c r="J7959" t="s">
        <v>7435</v>
      </c>
      <c r="K7959" t="s">
        <v>1092</v>
      </c>
      <c r="M7959">
        <v>0.25</v>
      </c>
      <c r="N7959">
        <v>17</v>
      </c>
      <c r="O7959" t="s">
        <v>46</v>
      </c>
      <c r="Q7959" t="s">
        <v>1302</v>
      </c>
      <c r="R7959" t="s">
        <v>133</v>
      </c>
      <c r="S7959" t="s">
        <v>134</v>
      </c>
    </row>
    <row r="7960" spans="1:19" x14ac:dyDescent="0.25">
      <c r="A7960" t="s">
        <v>59</v>
      </c>
      <c r="B7960" t="s">
        <v>31</v>
      </c>
      <c r="C7960" t="s">
        <v>32</v>
      </c>
      <c r="D7960" t="s">
        <v>953</v>
      </c>
      <c r="E7960" t="s">
        <v>1015</v>
      </c>
      <c r="F7960" t="s">
        <v>35</v>
      </c>
      <c r="G7960" t="s">
        <v>35</v>
      </c>
      <c r="H7960" t="s">
        <v>35</v>
      </c>
      <c r="J7960" t="s">
        <v>7435</v>
      </c>
      <c r="K7960" t="s">
        <v>1092</v>
      </c>
      <c r="M7960">
        <v>2.61</v>
      </c>
      <c r="N7960">
        <v>93</v>
      </c>
      <c r="O7960" t="s">
        <v>106</v>
      </c>
      <c r="Q7960" t="s">
        <v>941</v>
      </c>
      <c r="R7960" t="s">
        <v>987</v>
      </c>
      <c r="S7960" t="s">
        <v>988</v>
      </c>
    </row>
    <row r="7961" spans="1:19" x14ac:dyDescent="0.25">
      <c r="A7961" t="s">
        <v>44</v>
      </c>
      <c r="B7961" t="s">
        <v>3</v>
      </c>
      <c r="C7961" t="s">
        <v>32</v>
      </c>
      <c r="D7961" t="s">
        <v>953</v>
      </c>
      <c r="E7961" t="s">
        <v>1015</v>
      </c>
      <c r="F7961" t="s">
        <v>35</v>
      </c>
      <c r="G7961" t="s">
        <v>35</v>
      </c>
      <c r="H7961" t="s">
        <v>35</v>
      </c>
      <c r="J7961" t="s">
        <v>7436</v>
      </c>
      <c r="K7961" t="s">
        <v>1092</v>
      </c>
      <c r="M7961">
        <v>10</v>
      </c>
      <c r="N7961">
        <v>65</v>
      </c>
      <c r="O7961" t="s">
        <v>61</v>
      </c>
      <c r="Q7961" t="s">
        <v>128</v>
      </c>
      <c r="R7961" t="s">
        <v>6847</v>
      </c>
      <c r="S7961" t="s">
        <v>1034</v>
      </c>
    </row>
    <row r="7962" spans="1:19" x14ac:dyDescent="0.25">
      <c r="A7962" t="s">
        <v>30</v>
      </c>
      <c r="B7962" t="s">
        <v>31</v>
      </c>
      <c r="C7962" t="s">
        <v>32</v>
      </c>
      <c r="D7962" t="s">
        <v>953</v>
      </c>
      <c r="E7962" t="s">
        <v>1015</v>
      </c>
      <c r="F7962" t="s">
        <v>35</v>
      </c>
      <c r="G7962" t="s">
        <v>35</v>
      </c>
      <c r="H7962" t="s">
        <v>35</v>
      </c>
      <c r="J7962" t="s">
        <v>7436</v>
      </c>
      <c r="K7962" t="s">
        <v>1092</v>
      </c>
      <c r="M7962">
        <v>9.99</v>
      </c>
      <c r="N7962">
        <v>20</v>
      </c>
      <c r="O7962" t="s">
        <v>46</v>
      </c>
      <c r="Q7962" t="s">
        <v>1004</v>
      </c>
      <c r="R7962" t="s">
        <v>6847</v>
      </c>
      <c r="S7962" t="s">
        <v>1034</v>
      </c>
    </row>
    <row r="7963" spans="1:19" x14ac:dyDescent="0.25">
      <c r="A7963" t="s">
        <v>59</v>
      </c>
      <c r="B7963" t="s">
        <v>31</v>
      </c>
      <c r="C7963" t="s">
        <v>32</v>
      </c>
      <c r="D7963" t="s">
        <v>953</v>
      </c>
      <c r="E7963" t="s">
        <v>1015</v>
      </c>
      <c r="F7963" t="s">
        <v>35</v>
      </c>
      <c r="G7963" t="s">
        <v>35</v>
      </c>
      <c r="H7963" t="s">
        <v>35</v>
      </c>
      <c r="J7963" t="s">
        <v>7436</v>
      </c>
      <c r="K7963" t="s">
        <v>1092</v>
      </c>
      <c r="M7963">
        <v>4.9950000000000001</v>
      </c>
      <c r="N7963">
        <v>62</v>
      </c>
      <c r="O7963" t="s">
        <v>61</v>
      </c>
      <c r="Q7963" t="s">
        <v>90</v>
      </c>
      <c r="R7963" t="s">
        <v>6847</v>
      </c>
      <c r="S7963" t="s">
        <v>1034</v>
      </c>
    </row>
    <row r="7964" spans="1:19" x14ac:dyDescent="0.25">
      <c r="A7964" t="s">
        <v>59</v>
      </c>
      <c r="B7964" t="s">
        <v>60</v>
      </c>
      <c r="C7964" t="s">
        <v>32</v>
      </c>
      <c r="D7964" t="s">
        <v>953</v>
      </c>
      <c r="E7964" t="s">
        <v>1015</v>
      </c>
      <c r="F7964" t="s">
        <v>35</v>
      </c>
      <c r="G7964" t="s">
        <v>35</v>
      </c>
      <c r="H7964" t="s">
        <v>35</v>
      </c>
      <c r="J7964" t="s">
        <v>7436</v>
      </c>
      <c r="K7964" t="s">
        <v>1092</v>
      </c>
      <c r="M7964">
        <v>5</v>
      </c>
      <c r="N7964">
        <v>62</v>
      </c>
      <c r="O7964" t="s">
        <v>61</v>
      </c>
      <c r="Q7964" t="s">
        <v>90</v>
      </c>
      <c r="R7964" t="s">
        <v>6847</v>
      </c>
      <c r="S7964" t="s">
        <v>1034</v>
      </c>
    </row>
    <row r="7965" spans="1:19" x14ac:dyDescent="0.25">
      <c r="A7965" t="s">
        <v>30</v>
      </c>
      <c r="B7965" t="s">
        <v>31</v>
      </c>
      <c r="C7965" t="s">
        <v>32</v>
      </c>
      <c r="D7965" t="s">
        <v>953</v>
      </c>
      <c r="E7965" t="s">
        <v>1015</v>
      </c>
      <c r="F7965" t="s">
        <v>35</v>
      </c>
      <c r="G7965" t="s">
        <v>35</v>
      </c>
      <c r="H7965" t="s">
        <v>35</v>
      </c>
      <c r="J7965" t="s">
        <v>7436</v>
      </c>
      <c r="K7965" t="s">
        <v>1092</v>
      </c>
      <c r="M7965">
        <v>4.9950000000000001</v>
      </c>
      <c r="N7965">
        <v>60</v>
      </c>
      <c r="O7965" t="s">
        <v>52</v>
      </c>
      <c r="Q7965" t="s">
        <v>1734</v>
      </c>
      <c r="R7965" t="s">
        <v>133</v>
      </c>
      <c r="S7965" t="s">
        <v>134</v>
      </c>
    </row>
    <row r="7966" spans="1:19" x14ac:dyDescent="0.25">
      <c r="A7966" t="s">
        <v>59</v>
      </c>
      <c r="B7966" t="s">
        <v>60</v>
      </c>
      <c r="C7966" t="s">
        <v>32</v>
      </c>
      <c r="D7966" t="s">
        <v>953</v>
      </c>
      <c r="E7966" t="s">
        <v>1015</v>
      </c>
      <c r="F7966" t="s">
        <v>35</v>
      </c>
      <c r="G7966" t="s">
        <v>35</v>
      </c>
      <c r="H7966" t="s">
        <v>35</v>
      </c>
      <c r="J7966" t="s">
        <v>7436</v>
      </c>
      <c r="K7966" t="s">
        <v>1092</v>
      </c>
      <c r="M7966">
        <v>5</v>
      </c>
      <c r="N7966">
        <v>59</v>
      </c>
      <c r="O7966" t="s">
        <v>52</v>
      </c>
      <c r="Q7966" t="s">
        <v>84</v>
      </c>
      <c r="R7966" t="s">
        <v>133</v>
      </c>
      <c r="S7966" t="s">
        <v>134</v>
      </c>
    </row>
    <row r="7967" spans="1:19" x14ac:dyDescent="0.25">
      <c r="A7967" t="s">
        <v>44</v>
      </c>
      <c r="B7967" t="s">
        <v>3</v>
      </c>
      <c r="C7967" t="s">
        <v>32</v>
      </c>
      <c r="D7967" t="s">
        <v>953</v>
      </c>
      <c r="E7967" t="s">
        <v>1015</v>
      </c>
      <c r="F7967" t="s">
        <v>35</v>
      </c>
      <c r="G7967" t="s">
        <v>35</v>
      </c>
      <c r="H7967" t="s">
        <v>35</v>
      </c>
      <c r="J7967" t="s">
        <v>7436</v>
      </c>
      <c r="K7967" t="s">
        <v>1092</v>
      </c>
      <c r="M7967">
        <v>5</v>
      </c>
      <c r="N7967">
        <v>65</v>
      </c>
      <c r="O7967" t="s">
        <v>61</v>
      </c>
      <c r="Q7967" t="s">
        <v>128</v>
      </c>
      <c r="R7967" t="s">
        <v>133</v>
      </c>
      <c r="S7967" t="s">
        <v>134</v>
      </c>
    </row>
    <row r="7968" spans="1:19" x14ac:dyDescent="0.25">
      <c r="A7968" t="s">
        <v>59</v>
      </c>
      <c r="B7968" t="s">
        <v>60</v>
      </c>
      <c r="C7968" t="s">
        <v>32</v>
      </c>
      <c r="D7968" t="s">
        <v>953</v>
      </c>
      <c r="E7968" t="s">
        <v>1015</v>
      </c>
      <c r="F7968" t="s">
        <v>35</v>
      </c>
      <c r="G7968" t="s">
        <v>35</v>
      </c>
      <c r="H7968" t="s">
        <v>35</v>
      </c>
      <c r="J7968" t="s">
        <v>7436</v>
      </c>
      <c r="K7968" t="s">
        <v>1092</v>
      </c>
      <c r="M7968">
        <v>4</v>
      </c>
      <c r="N7968">
        <v>143</v>
      </c>
      <c r="O7968" t="s">
        <v>38</v>
      </c>
      <c r="Q7968" t="s">
        <v>2121</v>
      </c>
      <c r="R7968" t="s">
        <v>133</v>
      </c>
      <c r="S7968" t="s">
        <v>134</v>
      </c>
    </row>
    <row r="7969" spans="1:19" x14ac:dyDescent="0.25">
      <c r="A7969" t="s">
        <v>59</v>
      </c>
      <c r="B7969" t="s">
        <v>31</v>
      </c>
      <c r="C7969" t="s">
        <v>32</v>
      </c>
      <c r="D7969" t="s">
        <v>953</v>
      </c>
      <c r="E7969" t="s">
        <v>1015</v>
      </c>
      <c r="F7969" t="s">
        <v>35</v>
      </c>
      <c r="G7969" t="s">
        <v>35</v>
      </c>
      <c r="H7969" t="s">
        <v>35</v>
      </c>
      <c r="J7969" t="s">
        <v>7437</v>
      </c>
      <c r="K7969" t="s">
        <v>1092</v>
      </c>
      <c r="M7969">
        <v>0.58499999999999996</v>
      </c>
      <c r="N7969">
        <v>248</v>
      </c>
      <c r="O7969" t="s">
        <v>5</v>
      </c>
      <c r="Q7969" t="s">
        <v>1154</v>
      </c>
      <c r="R7969" t="s">
        <v>6877</v>
      </c>
      <c r="S7969" t="s">
        <v>1041</v>
      </c>
    </row>
    <row r="7970" spans="1:19" x14ac:dyDescent="0.25">
      <c r="A7970" t="s">
        <v>59</v>
      </c>
      <c r="B7970" t="s">
        <v>60</v>
      </c>
      <c r="C7970" t="s">
        <v>32</v>
      </c>
      <c r="D7970" t="s">
        <v>953</v>
      </c>
      <c r="E7970" t="s">
        <v>1015</v>
      </c>
      <c r="F7970" t="s">
        <v>35</v>
      </c>
      <c r="G7970" t="s">
        <v>35</v>
      </c>
      <c r="H7970" t="s">
        <v>35</v>
      </c>
      <c r="J7970" t="s">
        <v>7437</v>
      </c>
      <c r="K7970" t="s">
        <v>1092</v>
      </c>
      <c r="M7970">
        <v>4.4999999999999998E-2</v>
      </c>
      <c r="N7970">
        <v>248</v>
      </c>
      <c r="O7970" t="s">
        <v>5</v>
      </c>
      <c r="Q7970" t="s">
        <v>1154</v>
      </c>
      <c r="R7970" t="s">
        <v>6877</v>
      </c>
      <c r="S7970" t="s">
        <v>1041</v>
      </c>
    </row>
    <row r="7971" spans="1:19" x14ac:dyDescent="0.25">
      <c r="A7971" t="s">
        <v>59</v>
      </c>
      <c r="B7971" t="s">
        <v>60</v>
      </c>
      <c r="C7971" t="s">
        <v>32</v>
      </c>
      <c r="D7971" t="s">
        <v>953</v>
      </c>
      <c r="E7971" t="s">
        <v>1015</v>
      </c>
      <c r="F7971" t="s">
        <v>35</v>
      </c>
      <c r="G7971" t="s">
        <v>35</v>
      </c>
      <c r="H7971" t="s">
        <v>35</v>
      </c>
      <c r="J7971" t="s">
        <v>7438</v>
      </c>
      <c r="K7971" t="s">
        <v>1092</v>
      </c>
      <c r="M7971">
        <v>0.15</v>
      </c>
      <c r="N7971">
        <v>76</v>
      </c>
      <c r="O7971" t="s">
        <v>61</v>
      </c>
      <c r="Q7971" t="s">
        <v>234</v>
      </c>
      <c r="R7971" t="s">
        <v>133</v>
      </c>
      <c r="S7971" t="s">
        <v>134</v>
      </c>
    </row>
    <row r="7972" spans="1:19" x14ac:dyDescent="0.25">
      <c r="A7972" t="s">
        <v>59</v>
      </c>
      <c r="B7972" t="s">
        <v>31</v>
      </c>
      <c r="C7972" t="s">
        <v>32</v>
      </c>
      <c r="D7972" t="s">
        <v>953</v>
      </c>
      <c r="E7972" t="s">
        <v>1015</v>
      </c>
      <c r="F7972" t="s">
        <v>35</v>
      </c>
      <c r="G7972" t="s">
        <v>35</v>
      </c>
      <c r="H7972" t="s">
        <v>35</v>
      </c>
      <c r="J7972" t="s">
        <v>7438</v>
      </c>
      <c r="K7972" t="s">
        <v>1092</v>
      </c>
      <c r="M7972">
        <v>0.9</v>
      </c>
      <c r="N7972">
        <v>86</v>
      </c>
      <c r="O7972" t="s">
        <v>61</v>
      </c>
      <c r="Q7972" t="s">
        <v>1076</v>
      </c>
      <c r="R7972" t="s">
        <v>133</v>
      </c>
      <c r="S7972" t="s">
        <v>134</v>
      </c>
    </row>
    <row r="7973" spans="1:19" x14ac:dyDescent="0.25">
      <c r="A7973" t="s">
        <v>30</v>
      </c>
      <c r="B7973" t="s">
        <v>31</v>
      </c>
      <c r="C7973" t="s">
        <v>32</v>
      </c>
      <c r="D7973" t="s">
        <v>953</v>
      </c>
      <c r="E7973" t="s">
        <v>1015</v>
      </c>
      <c r="F7973" t="s">
        <v>35</v>
      </c>
      <c r="G7973" t="s">
        <v>35</v>
      </c>
      <c r="H7973" t="s">
        <v>35</v>
      </c>
      <c r="J7973" t="s">
        <v>7438</v>
      </c>
      <c r="K7973" t="s">
        <v>1092</v>
      </c>
      <c r="M7973">
        <v>0.81</v>
      </c>
      <c r="N7973">
        <v>193</v>
      </c>
      <c r="O7973" t="s">
        <v>5</v>
      </c>
      <c r="Q7973" t="s">
        <v>1894</v>
      </c>
      <c r="R7973" t="s">
        <v>133</v>
      </c>
      <c r="S7973" t="s">
        <v>134</v>
      </c>
    </row>
    <row r="7974" spans="1:19" x14ac:dyDescent="0.25">
      <c r="A7974" t="s">
        <v>30</v>
      </c>
      <c r="B7974" t="s">
        <v>31</v>
      </c>
      <c r="C7974" t="s">
        <v>32</v>
      </c>
      <c r="D7974" t="s">
        <v>953</v>
      </c>
      <c r="E7974" t="s">
        <v>1015</v>
      </c>
      <c r="F7974" t="s">
        <v>35</v>
      </c>
      <c r="G7974" t="s">
        <v>35</v>
      </c>
      <c r="H7974" t="s">
        <v>35</v>
      </c>
      <c r="J7974" t="s">
        <v>7438</v>
      </c>
      <c r="K7974" t="s">
        <v>1092</v>
      </c>
      <c r="M7974">
        <v>1.26</v>
      </c>
      <c r="N7974">
        <v>202</v>
      </c>
      <c r="O7974" t="s">
        <v>5</v>
      </c>
      <c r="Q7974" t="s">
        <v>1299</v>
      </c>
      <c r="R7974" t="s">
        <v>133</v>
      </c>
      <c r="S7974" t="s">
        <v>134</v>
      </c>
    </row>
    <row r="7975" spans="1:19" x14ac:dyDescent="0.25">
      <c r="A7975" t="s">
        <v>59</v>
      </c>
      <c r="B7975" t="s">
        <v>60</v>
      </c>
      <c r="C7975" t="s">
        <v>32</v>
      </c>
      <c r="D7975" t="s">
        <v>953</v>
      </c>
      <c r="E7975" t="s">
        <v>1015</v>
      </c>
      <c r="F7975" t="s">
        <v>35</v>
      </c>
      <c r="G7975" t="s">
        <v>35</v>
      </c>
      <c r="H7975" t="s">
        <v>35</v>
      </c>
      <c r="J7975" t="s">
        <v>7438</v>
      </c>
      <c r="K7975" t="s">
        <v>1092</v>
      </c>
      <c r="M7975">
        <v>0.15</v>
      </c>
      <c r="N7975">
        <v>47</v>
      </c>
      <c r="O7975" t="s">
        <v>52</v>
      </c>
      <c r="Q7975" t="s">
        <v>132</v>
      </c>
      <c r="R7975" t="s">
        <v>133</v>
      </c>
      <c r="S7975" t="s">
        <v>134</v>
      </c>
    </row>
    <row r="7976" spans="1:19" x14ac:dyDescent="0.25">
      <c r="A7976" t="s">
        <v>30</v>
      </c>
      <c r="B7976" t="s">
        <v>31</v>
      </c>
      <c r="C7976" t="s">
        <v>32</v>
      </c>
      <c r="D7976" t="s">
        <v>953</v>
      </c>
      <c r="E7976" t="s">
        <v>1015</v>
      </c>
      <c r="F7976" t="s">
        <v>35</v>
      </c>
      <c r="G7976" t="s">
        <v>35</v>
      </c>
      <c r="H7976" t="s">
        <v>35</v>
      </c>
      <c r="J7976" t="s">
        <v>7439</v>
      </c>
      <c r="K7976" t="s">
        <v>1092</v>
      </c>
      <c r="M7976">
        <v>7.875</v>
      </c>
      <c r="N7976">
        <v>212</v>
      </c>
      <c r="O7976" t="s">
        <v>5</v>
      </c>
      <c r="Q7976" t="s">
        <v>1711</v>
      </c>
      <c r="R7976" t="s">
        <v>133</v>
      </c>
      <c r="S7976" t="s">
        <v>134</v>
      </c>
    </row>
    <row r="7977" spans="1:19" x14ac:dyDescent="0.25">
      <c r="A7977" t="s">
        <v>59</v>
      </c>
      <c r="B7977" t="s">
        <v>31</v>
      </c>
      <c r="C7977" t="s">
        <v>32</v>
      </c>
      <c r="D7977" t="s">
        <v>953</v>
      </c>
      <c r="E7977" t="s">
        <v>1015</v>
      </c>
      <c r="F7977" t="s">
        <v>35</v>
      </c>
      <c r="G7977" t="s">
        <v>35</v>
      </c>
      <c r="H7977" t="s">
        <v>35</v>
      </c>
      <c r="J7977" t="s">
        <v>7439</v>
      </c>
      <c r="K7977" t="s">
        <v>1092</v>
      </c>
      <c r="M7977">
        <v>4.9950000000000001</v>
      </c>
      <c r="N7977">
        <v>174</v>
      </c>
      <c r="O7977" t="s">
        <v>38</v>
      </c>
      <c r="Q7977" t="s">
        <v>1565</v>
      </c>
      <c r="R7977" t="s">
        <v>133</v>
      </c>
      <c r="S7977" t="s">
        <v>134</v>
      </c>
    </row>
    <row r="7978" spans="1:19" x14ac:dyDescent="0.25">
      <c r="A7978" t="s">
        <v>44</v>
      </c>
      <c r="B7978" t="s">
        <v>3</v>
      </c>
      <c r="C7978" t="s">
        <v>32</v>
      </c>
      <c r="D7978" t="s">
        <v>953</v>
      </c>
      <c r="E7978" t="s">
        <v>1015</v>
      </c>
      <c r="F7978" t="s">
        <v>35</v>
      </c>
      <c r="G7978" t="s">
        <v>35</v>
      </c>
      <c r="H7978" t="s">
        <v>35</v>
      </c>
      <c r="J7978" t="s">
        <v>7439</v>
      </c>
      <c r="K7978" t="s">
        <v>1092</v>
      </c>
      <c r="M7978">
        <v>10</v>
      </c>
      <c r="N7978">
        <v>65</v>
      </c>
      <c r="O7978" t="s">
        <v>61</v>
      </c>
      <c r="Q7978" t="s">
        <v>128</v>
      </c>
      <c r="R7978" t="s">
        <v>133</v>
      </c>
      <c r="S7978" t="s">
        <v>134</v>
      </c>
    </row>
    <row r="7979" spans="1:19" x14ac:dyDescent="0.25">
      <c r="A7979" t="s">
        <v>59</v>
      </c>
      <c r="B7979" t="s">
        <v>31</v>
      </c>
      <c r="C7979" t="s">
        <v>32</v>
      </c>
      <c r="D7979" t="s">
        <v>953</v>
      </c>
      <c r="E7979" t="s">
        <v>1015</v>
      </c>
      <c r="F7979" t="s">
        <v>35</v>
      </c>
      <c r="G7979" t="s">
        <v>35</v>
      </c>
      <c r="H7979" t="s">
        <v>35</v>
      </c>
      <c r="J7979" t="s">
        <v>7439</v>
      </c>
      <c r="K7979" t="s">
        <v>1092</v>
      </c>
      <c r="M7979">
        <v>3.7349999999999999</v>
      </c>
      <c r="N7979">
        <v>362</v>
      </c>
      <c r="O7979" t="s">
        <v>5</v>
      </c>
      <c r="Q7979" t="s">
        <v>2408</v>
      </c>
      <c r="R7979" t="s">
        <v>133</v>
      </c>
      <c r="S7979" t="s">
        <v>134</v>
      </c>
    </row>
    <row r="7980" spans="1:19" x14ac:dyDescent="0.25">
      <c r="A7980" t="s">
        <v>59</v>
      </c>
      <c r="B7980" t="s">
        <v>60</v>
      </c>
      <c r="C7980" t="s">
        <v>32</v>
      </c>
      <c r="D7980" t="s">
        <v>953</v>
      </c>
      <c r="E7980" t="s">
        <v>1015</v>
      </c>
      <c r="F7980" t="s">
        <v>35</v>
      </c>
      <c r="G7980" t="s">
        <v>35</v>
      </c>
      <c r="H7980" t="s">
        <v>35</v>
      </c>
      <c r="J7980" t="s">
        <v>7439</v>
      </c>
      <c r="K7980" t="s">
        <v>1092</v>
      </c>
      <c r="M7980">
        <v>10</v>
      </c>
      <c r="N7980">
        <v>59</v>
      </c>
      <c r="O7980" t="s">
        <v>52</v>
      </c>
      <c r="Q7980" t="s">
        <v>84</v>
      </c>
      <c r="R7980" t="s">
        <v>133</v>
      </c>
      <c r="S7980" t="s">
        <v>134</v>
      </c>
    </row>
    <row r="7981" spans="1:19" x14ac:dyDescent="0.25">
      <c r="A7981" t="s">
        <v>59</v>
      </c>
      <c r="B7981" t="s">
        <v>31</v>
      </c>
      <c r="C7981" t="s">
        <v>32</v>
      </c>
      <c r="D7981" t="s">
        <v>953</v>
      </c>
      <c r="E7981" t="s">
        <v>1015</v>
      </c>
      <c r="F7981" t="s">
        <v>35</v>
      </c>
      <c r="G7981" t="s">
        <v>35</v>
      </c>
      <c r="H7981" t="s">
        <v>35</v>
      </c>
      <c r="J7981" t="s">
        <v>7439</v>
      </c>
      <c r="K7981" t="s">
        <v>1092</v>
      </c>
      <c r="M7981">
        <v>4.9950000000000001</v>
      </c>
      <c r="N7981">
        <v>59</v>
      </c>
      <c r="O7981" t="s">
        <v>52</v>
      </c>
      <c r="Q7981" t="s">
        <v>84</v>
      </c>
      <c r="R7981" t="s">
        <v>133</v>
      </c>
      <c r="S7981" t="s">
        <v>134</v>
      </c>
    </row>
    <row r="7982" spans="1:19" x14ac:dyDescent="0.25">
      <c r="A7982" t="s">
        <v>59</v>
      </c>
      <c r="B7982" t="s">
        <v>60</v>
      </c>
      <c r="C7982" t="s">
        <v>32</v>
      </c>
      <c r="D7982" t="s">
        <v>953</v>
      </c>
      <c r="E7982" t="s">
        <v>1015</v>
      </c>
      <c r="F7982" t="s">
        <v>35</v>
      </c>
      <c r="G7982" t="s">
        <v>35</v>
      </c>
      <c r="H7982" t="s">
        <v>35</v>
      </c>
      <c r="J7982" t="s">
        <v>7439</v>
      </c>
      <c r="K7982" t="s">
        <v>1092</v>
      </c>
      <c r="M7982">
        <v>10</v>
      </c>
      <c r="N7982">
        <v>91</v>
      </c>
      <c r="O7982" t="s">
        <v>106</v>
      </c>
      <c r="Q7982" t="s">
        <v>1147</v>
      </c>
      <c r="R7982" t="s">
        <v>133</v>
      </c>
      <c r="S7982" t="s">
        <v>134</v>
      </c>
    </row>
    <row r="7983" spans="1:19" x14ac:dyDescent="0.25">
      <c r="A7983" t="s">
        <v>59</v>
      </c>
      <c r="B7983" t="s">
        <v>60</v>
      </c>
      <c r="C7983" t="s">
        <v>32</v>
      </c>
      <c r="D7983" t="s">
        <v>953</v>
      </c>
      <c r="E7983" t="s">
        <v>1015</v>
      </c>
      <c r="F7983" t="s">
        <v>35</v>
      </c>
      <c r="G7983" t="s">
        <v>35</v>
      </c>
      <c r="H7983" t="s">
        <v>35</v>
      </c>
      <c r="J7983" t="s">
        <v>7440</v>
      </c>
      <c r="K7983" t="s">
        <v>1092</v>
      </c>
      <c r="M7983">
        <v>0.3</v>
      </c>
      <c r="N7983">
        <v>47</v>
      </c>
      <c r="O7983" t="s">
        <v>52</v>
      </c>
      <c r="Q7983" t="s">
        <v>132</v>
      </c>
      <c r="R7983" t="s">
        <v>133</v>
      </c>
      <c r="S7983" t="s">
        <v>134</v>
      </c>
    </row>
    <row r="7984" spans="1:19" x14ac:dyDescent="0.25">
      <c r="A7984" t="s">
        <v>44</v>
      </c>
      <c r="B7984" t="s">
        <v>51</v>
      </c>
      <c r="C7984" t="s">
        <v>32</v>
      </c>
      <c r="D7984" t="s">
        <v>953</v>
      </c>
      <c r="E7984" t="s">
        <v>1015</v>
      </c>
      <c r="F7984" t="s">
        <v>35</v>
      </c>
      <c r="G7984" t="s">
        <v>35</v>
      </c>
      <c r="H7984" t="s">
        <v>35</v>
      </c>
      <c r="J7984" t="s">
        <v>3127</v>
      </c>
      <c r="K7984" t="s">
        <v>1092</v>
      </c>
      <c r="M7984">
        <v>2.5</v>
      </c>
      <c r="N7984">
        <v>9</v>
      </c>
      <c r="O7984" t="s">
        <v>46</v>
      </c>
      <c r="Q7984" t="s">
        <v>2009</v>
      </c>
      <c r="R7984" t="s">
        <v>6723</v>
      </c>
      <c r="S7984" t="s">
        <v>6724</v>
      </c>
    </row>
    <row r="7985" spans="1:19" x14ac:dyDescent="0.25">
      <c r="A7985" t="s">
        <v>30</v>
      </c>
      <c r="B7985" t="s">
        <v>31</v>
      </c>
      <c r="C7985" t="s">
        <v>32</v>
      </c>
      <c r="D7985" t="s">
        <v>953</v>
      </c>
      <c r="E7985" t="s">
        <v>1015</v>
      </c>
      <c r="F7985" t="s">
        <v>35</v>
      </c>
      <c r="G7985" t="s">
        <v>35</v>
      </c>
      <c r="H7985" t="s">
        <v>35</v>
      </c>
      <c r="J7985" t="s">
        <v>7441</v>
      </c>
      <c r="K7985" t="s">
        <v>1092</v>
      </c>
      <c r="M7985">
        <v>0.54</v>
      </c>
      <c r="N7985">
        <v>12</v>
      </c>
      <c r="O7985" t="s">
        <v>46</v>
      </c>
      <c r="Q7985" t="s">
        <v>1865</v>
      </c>
      <c r="R7985" t="s">
        <v>133</v>
      </c>
      <c r="S7985" t="s">
        <v>134</v>
      </c>
    </row>
    <row r="7986" spans="1:19" x14ac:dyDescent="0.25">
      <c r="A7986" t="s">
        <v>59</v>
      </c>
      <c r="B7986" t="s">
        <v>60</v>
      </c>
      <c r="C7986" t="s">
        <v>32</v>
      </c>
      <c r="D7986" t="s">
        <v>953</v>
      </c>
      <c r="E7986" t="s">
        <v>1015</v>
      </c>
      <c r="F7986" t="s">
        <v>35</v>
      </c>
      <c r="G7986" t="s">
        <v>35</v>
      </c>
      <c r="H7986" t="s">
        <v>35</v>
      </c>
      <c r="J7986" t="s">
        <v>7443</v>
      </c>
      <c r="K7986" t="s">
        <v>1092</v>
      </c>
      <c r="M7986">
        <v>1.7</v>
      </c>
      <c r="N7986">
        <v>180</v>
      </c>
      <c r="O7986" t="s">
        <v>38</v>
      </c>
      <c r="Q7986" t="s">
        <v>2138</v>
      </c>
      <c r="R7986" t="s">
        <v>6807</v>
      </c>
      <c r="S7986" t="s">
        <v>1066</v>
      </c>
    </row>
    <row r="7987" spans="1:19" x14ac:dyDescent="0.25">
      <c r="A7987" t="s">
        <v>59</v>
      </c>
      <c r="B7987" t="s">
        <v>60</v>
      </c>
      <c r="C7987" t="s">
        <v>32</v>
      </c>
      <c r="D7987" t="s">
        <v>953</v>
      </c>
      <c r="E7987" t="s">
        <v>1015</v>
      </c>
      <c r="F7987" t="s">
        <v>35</v>
      </c>
      <c r="G7987" t="s">
        <v>35</v>
      </c>
      <c r="H7987" t="s">
        <v>35</v>
      </c>
      <c r="J7987" t="s">
        <v>628</v>
      </c>
      <c r="K7987" t="s">
        <v>1092</v>
      </c>
      <c r="M7987">
        <v>1</v>
      </c>
      <c r="N7987">
        <v>76</v>
      </c>
      <c r="O7987" t="s">
        <v>61</v>
      </c>
      <c r="Q7987" t="s">
        <v>234</v>
      </c>
      <c r="R7987" t="s">
        <v>133</v>
      </c>
      <c r="S7987" t="s">
        <v>134</v>
      </c>
    </row>
    <row r="7988" spans="1:19" x14ac:dyDescent="0.25">
      <c r="A7988" t="s">
        <v>59</v>
      </c>
      <c r="B7988" t="s">
        <v>60</v>
      </c>
      <c r="C7988" t="s">
        <v>32</v>
      </c>
      <c r="D7988" t="s">
        <v>953</v>
      </c>
      <c r="E7988" t="s">
        <v>1015</v>
      </c>
      <c r="F7988" t="s">
        <v>35</v>
      </c>
      <c r="G7988" t="s">
        <v>35</v>
      </c>
      <c r="H7988" t="s">
        <v>35</v>
      </c>
      <c r="J7988" t="s">
        <v>628</v>
      </c>
      <c r="K7988" t="s">
        <v>1092</v>
      </c>
      <c r="M7988">
        <v>0.45</v>
      </c>
      <c r="N7988">
        <v>399</v>
      </c>
      <c r="O7988" t="s">
        <v>294</v>
      </c>
      <c r="Q7988" t="s">
        <v>1707</v>
      </c>
      <c r="R7988" t="s">
        <v>6709</v>
      </c>
      <c r="S7988" t="s">
        <v>1022</v>
      </c>
    </row>
    <row r="7989" spans="1:19" x14ac:dyDescent="0.25">
      <c r="A7989" t="s">
        <v>44</v>
      </c>
      <c r="B7989" t="s">
        <v>3</v>
      </c>
      <c r="C7989" t="s">
        <v>32</v>
      </c>
      <c r="D7989" t="s">
        <v>953</v>
      </c>
      <c r="E7989" t="s">
        <v>1015</v>
      </c>
      <c r="F7989" t="s">
        <v>35</v>
      </c>
      <c r="G7989" t="s">
        <v>35</v>
      </c>
      <c r="H7989" t="s">
        <v>35</v>
      </c>
      <c r="J7989" t="s">
        <v>628</v>
      </c>
      <c r="K7989" t="s">
        <v>1092</v>
      </c>
      <c r="M7989">
        <v>0.25</v>
      </c>
      <c r="N7989">
        <v>32</v>
      </c>
      <c r="O7989" t="s">
        <v>52</v>
      </c>
      <c r="Q7989" t="s">
        <v>547</v>
      </c>
      <c r="R7989" t="s">
        <v>133</v>
      </c>
      <c r="S7989" t="s">
        <v>134</v>
      </c>
    </row>
    <row r="7990" spans="1:19" x14ac:dyDescent="0.25">
      <c r="A7990" t="s">
        <v>59</v>
      </c>
      <c r="B7990" t="s">
        <v>60</v>
      </c>
      <c r="C7990" t="s">
        <v>32</v>
      </c>
      <c r="D7990" t="s">
        <v>953</v>
      </c>
      <c r="E7990" t="s">
        <v>1015</v>
      </c>
      <c r="F7990" t="s">
        <v>35</v>
      </c>
      <c r="G7990" t="s">
        <v>35</v>
      </c>
      <c r="H7990" t="s">
        <v>35</v>
      </c>
      <c r="J7990" t="s">
        <v>628</v>
      </c>
      <c r="K7990" t="s">
        <v>1092</v>
      </c>
      <c r="M7990">
        <v>1</v>
      </c>
      <c r="N7990">
        <v>175</v>
      </c>
      <c r="O7990" t="s">
        <v>38</v>
      </c>
      <c r="Q7990" t="s">
        <v>1692</v>
      </c>
      <c r="R7990" t="s">
        <v>6847</v>
      </c>
      <c r="S7990" t="s">
        <v>1034</v>
      </c>
    </row>
    <row r="7991" spans="1:19" x14ac:dyDescent="0.25">
      <c r="A7991" t="s">
        <v>59</v>
      </c>
      <c r="B7991" t="s">
        <v>31</v>
      </c>
      <c r="C7991" t="s">
        <v>32</v>
      </c>
      <c r="D7991" t="s">
        <v>953</v>
      </c>
      <c r="E7991" t="s">
        <v>1015</v>
      </c>
      <c r="F7991" t="s">
        <v>35</v>
      </c>
      <c r="G7991" t="s">
        <v>35</v>
      </c>
      <c r="H7991" t="s">
        <v>35</v>
      </c>
      <c r="J7991" t="s">
        <v>7444</v>
      </c>
      <c r="K7991" t="s">
        <v>1092</v>
      </c>
      <c r="M7991">
        <v>2.25</v>
      </c>
      <c r="N7991">
        <v>247</v>
      </c>
      <c r="O7991" t="s">
        <v>5</v>
      </c>
      <c r="Q7991" t="s">
        <v>574</v>
      </c>
      <c r="R7991" t="s">
        <v>133</v>
      </c>
      <c r="S7991" t="s">
        <v>134</v>
      </c>
    </row>
    <row r="7992" spans="1:19" x14ac:dyDescent="0.25">
      <c r="A7992" t="s">
        <v>59</v>
      </c>
      <c r="B7992" t="s">
        <v>31</v>
      </c>
      <c r="C7992" t="s">
        <v>32</v>
      </c>
      <c r="D7992" t="s">
        <v>953</v>
      </c>
      <c r="E7992" t="s">
        <v>1015</v>
      </c>
      <c r="F7992" t="s">
        <v>35</v>
      </c>
      <c r="G7992" t="s">
        <v>35</v>
      </c>
      <c r="H7992" t="s">
        <v>35</v>
      </c>
      <c r="J7992" t="s">
        <v>7444</v>
      </c>
      <c r="K7992" t="s">
        <v>1092</v>
      </c>
      <c r="M7992">
        <v>1.0349999999999999</v>
      </c>
      <c r="N7992">
        <v>359</v>
      </c>
      <c r="O7992" t="s">
        <v>5</v>
      </c>
      <c r="Q7992" t="s">
        <v>7302</v>
      </c>
      <c r="R7992" t="s">
        <v>6877</v>
      </c>
      <c r="S7992" t="s">
        <v>1041</v>
      </c>
    </row>
    <row r="7993" spans="1:19" x14ac:dyDescent="0.25">
      <c r="A7993" t="s">
        <v>59</v>
      </c>
      <c r="B7993" t="s">
        <v>31</v>
      </c>
      <c r="C7993" t="s">
        <v>32</v>
      </c>
      <c r="D7993" t="s">
        <v>953</v>
      </c>
      <c r="E7993" t="s">
        <v>1015</v>
      </c>
      <c r="F7993" t="s">
        <v>35</v>
      </c>
      <c r="G7993" t="s">
        <v>35</v>
      </c>
      <c r="H7993" t="s">
        <v>35</v>
      </c>
      <c r="J7993" t="s">
        <v>7444</v>
      </c>
      <c r="K7993" t="s">
        <v>1092</v>
      </c>
      <c r="M7993">
        <v>0.58499999999999996</v>
      </c>
      <c r="N7993">
        <v>427</v>
      </c>
      <c r="O7993" t="s">
        <v>294</v>
      </c>
      <c r="Q7993" t="s">
        <v>1463</v>
      </c>
      <c r="R7993" t="s">
        <v>133</v>
      </c>
      <c r="S7993" t="s">
        <v>134</v>
      </c>
    </row>
    <row r="7994" spans="1:19" x14ac:dyDescent="0.25">
      <c r="A7994" t="s">
        <v>30</v>
      </c>
      <c r="B7994" t="s">
        <v>31</v>
      </c>
      <c r="C7994" t="s">
        <v>32</v>
      </c>
      <c r="D7994" t="s">
        <v>953</v>
      </c>
      <c r="E7994" t="s">
        <v>1015</v>
      </c>
      <c r="F7994" t="s">
        <v>35</v>
      </c>
      <c r="G7994" t="s">
        <v>35</v>
      </c>
      <c r="H7994" t="s">
        <v>35</v>
      </c>
      <c r="J7994" t="s">
        <v>7444</v>
      </c>
      <c r="K7994" t="s">
        <v>1092</v>
      </c>
      <c r="M7994">
        <v>0.94499999999999995</v>
      </c>
      <c r="N7994">
        <v>432</v>
      </c>
      <c r="O7994" t="s">
        <v>294</v>
      </c>
      <c r="Q7994" t="s">
        <v>1271</v>
      </c>
      <c r="R7994" t="s">
        <v>133</v>
      </c>
      <c r="S7994" t="s">
        <v>134</v>
      </c>
    </row>
    <row r="7995" spans="1:19" x14ac:dyDescent="0.25">
      <c r="A7995" t="s">
        <v>59</v>
      </c>
      <c r="B7995" t="s">
        <v>60</v>
      </c>
      <c r="C7995" t="s">
        <v>32</v>
      </c>
      <c r="D7995" t="s">
        <v>953</v>
      </c>
      <c r="E7995" t="s">
        <v>1015</v>
      </c>
      <c r="F7995" t="s">
        <v>35</v>
      </c>
      <c r="G7995" t="s">
        <v>35</v>
      </c>
      <c r="H7995" t="s">
        <v>35</v>
      </c>
      <c r="J7995" t="s">
        <v>7444</v>
      </c>
      <c r="K7995" t="s">
        <v>1092</v>
      </c>
      <c r="M7995">
        <v>0.5</v>
      </c>
      <c r="N7995">
        <v>734</v>
      </c>
      <c r="O7995" t="s">
        <v>575</v>
      </c>
      <c r="Q7995" t="s">
        <v>7446</v>
      </c>
      <c r="R7995" t="s">
        <v>133</v>
      </c>
      <c r="S7995" t="s">
        <v>134</v>
      </c>
    </row>
    <row r="7996" spans="1:19" x14ac:dyDescent="0.25">
      <c r="A7996" t="s">
        <v>59</v>
      </c>
      <c r="B7996" t="s">
        <v>60</v>
      </c>
      <c r="C7996" t="s">
        <v>32</v>
      </c>
      <c r="D7996" t="s">
        <v>953</v>
      </c>
      <c r="E7996" t="s">
        <v>1015</v>
      </c>
      <c r="F7996" t="s">
        <v>35</v>
      </c>
      <c r="G7996" t="s">
        <v>35</v>
      </c>
      <c r="H7996" t="s">
        <v>35</v>
      </c>
      <c r="J7996" t="s">
        <v>7444</v>
      </c>
      <c r="K7996" t="s">
        <v>1092</v>
      </c>
      <c r="M7996">
        <v>1</v>
      </c>
      <c r="N7996">
        <v>661</v>
      </c>
      <c r="O7996" t="s">
        <v>575</v>
      </c>
      <c r="Q7996" t="s">
        <v>7447</v>
      </c>
      <c r="R7996" t="s">
        <v>133</v>
      </c>
      <c r="S7996" t="s">
        <v>134</v>
      </c>
    </row>
    <row r="7997" spans="1:19" x14ac:dyDescent="0.25">
      <c r="A7997" t="s">
        <v>59</v>
      </c>
      <c r="B7997" t="s">
        <v>60</v>
      </c>
      <c r="C7997" t="s">
        <v>32</v>
      </c>
      <c r="D7997" t="s">
        <v>953</v>
      </c>
      <c r="E7997" t="s">
        <v>1015</v>
      </c>
      <c r="F7997" t="s">
        <v>35</v>
      </c>
      <c r="G7997" t="s">
        <v>35</v>
      </c>
      <c r="H7997" t="s">
        <v>35</v>
      </c>
      <c r="J7997" t="s">
        <v>7444</v>
      </c>
      <c r="K7997" t="s">
        <v>1092</v>
      </c>
      <c r="M7997">
        <v>2</v>
      </c>
      <c r="N7997">
        <v>975</v>
      </c>
      <c r="O7997" t="s">
        <v>575</v>
      </c>
      <c r="Q7997" t="s">
        <v>7445</v>
      </c>
      <c r="R7997" t="s">
        <v>133</v>
      </c>
      <c r="S7997" t="s">
        <v>134</v>
      </c>
    </row>
    <row r="7998" spans="1:19" x14ac:dyDescent="0.25">
      <c r="A7998" t="s">
        <v>59</v>
      </c>
      <c r="B7998" t="s">
        <v>31</v>
      </c>
      <c r="C7998" t="s">
        <v>32</v>
      </c>
      <c r="D7998" t="s">
        <v>953</v>
      </c>
      <c r="E7998" t="s">
        <v>1015</v>
      </c>
      <c r="F7998" t="s">
        <v>35</v>
      </c>
      <c r="G7998" t="s">
        <v>35</v>
      </c>
      <c r="H7998" t="s">
        <v>35</v>
      </c>
      <c r="J7998" t="s">
        <v>7448</v>
      </c>
      <c r="K7998" t="s">
        <v>1092</v>
      </c>
      <c r="M7998">
        <v>0.54</v>
      </c>
      <c r="N7998">
        <v>177</v>
      </c>
      <c r="O7998" t="s">
        <v>38</v>
      </c>
      <c r="Q7998" t="s">
        <v>4657</v>
      </c>
      <c r="R7998" t="s">
        <v>7029</v>
      </c>
      <c r="S7998" t="s">
        <v>7030</v>
      </c>
    </row>
    <row r="7999" spans="1:19" x14ac:dyDescent="0.25">
      <c r="A7999" t="s">
        <v>59</v>
      </c>
      <c r="B7999" t="s">
        <v>60</v>
      </c>
      <c r="C7999" t="s">
        <v>32</v>
      </c>
      <c r="D7999" t="s">
        <v>953</v>
      </c>
      <c r="E7999" t="s">
        <v>1015</v>
      </c>
      <c r="F7999" t="s">
        <v>35</v>
      </c>
      <c r="G7999" t="s">
        <v>35</v>
      </c>
      <c r="H7999" t="s">
        <v>35</v>
      </c>
      <c r="J7999" t="s">
        <v>7448</v>
      </c>
      <c r="K7999" t="s">
        <v>1092</v>
      </c>
      <c r="M7999">
        <v>0.25</v>
      </c>
      <c r="N7999">
        <v>89</v>
      </c>
      <c r="O7999" t="s">
        <v>61</v>
      </c>
      <c r="Q7999" t="s">
        <v>299</v>
      </c>
      <c r="R7999" t="s">
        <v>7029</v>
      </c>
      <c r="S7999" t="s">
        <v>7030</v>
      </c>
    </row>
    <row r="8000" spans="1:19" x14ac:dyDescent="0.25">
      <c r="A8000" t="s">
        <v>59</v>
      </c>
      <c r="B8000" t="s">
        <v>60</v>
      </c>
      <c r="C8000" t="s">
        <v>32</v>
      </c>
      <c r="D8000" t="s">
        <v>953</v>
      </c>
      <c r="E8000" t="s">
        <v>1015</v>
      </c>
      <c r="F8000" t="s">
        <v>35</v>
      </c>
      <c r="G8000" t="s">
        <v>35</v>
      </c>
      <c r="H8000" t="s">
        <v>35</v>
      </c>
      <c r="J8000" t="s">
        <v>7448</v>
      </c>
      <c r="K8000" t="s">
        <v>1092</v>
      </c>
      <c r="M8000">
        <v>0.25</v>
      </c>
      <c r="N8000">
        <v>56</v>
      </c>
      <c r="O8000" t="s">
        <v>52</v>
      </c>
      <c r="Q8000" t="s">
        <v>453</v>
      </c>
      <c r="R8000" t="s">
        <v>7029</v>
      </c>
      <c r="S8000" t="s">
        <v>7030</v>
      </c>
    </row>
    <row r="8001" spans="1:19" x14ac:dyDescent="0.25">
      <c r="A8001" t="s">
        <v>59</v>
      </c>
      <c r="B8001" t="s">
        <v>60</v>
      </c>
      <c r="C8001" t="s">
        <v>32</v>
      </c>
      <c r="D8001" t="s">
        <v>953</v>
      </c>
      <c r="E8001" t="s">
        <v>1015</v>
      </c>
      <c r="F8001" t="s">
        <v>35</v>
      </c>
      <c r="G8001" t="s">
        <v>35</v>
      </c>
      <c r="H8001" t="s">
        <v>35</v>
      </c>
      <c r="J8001" t="s">
        <v>7448</v>
      </c>
      <c r="K8001" t="s">
        <v>1092</v>
      </c>
      <c r="M8001">
        <v>0.75</v>
      </c>
      <c r="N8001">
        <v>216</v>
      </c>
      <c r="O8001" t="s">
        <v>5</v>
      </c>
      <c r="Q8001" t="s">
        <v>1492</v>
      </c>
      <c r="R8001" t="s">
        <v>7029</v>
      </c>
      <c r="S8001" t="s">
        <v>7030</v>
      </c>
    </row>
    <row r="8002" spans="1:19" x14ac:dyDescent="0.25">
      <c r="A8002" t="s">
        <v>59</v>
      </c>
      <c r="B8002" t="s">
        <v>60</v>
      </c>
      <c r="C8002" t="s">
        <v>32</v>
      </c>
      <c r="D8002" t="s">
        <v>953</v>
      </c>
      <c r="E8002" t="s">
        <v>1015</v>
      </c>
      <c r="F8002" t="s">
        <v>35</v>
      </c>
      <c r="G8002" t="s">
        <v>35</v>
      </c>
      <c r="H8002" t="s">
        <v>35</v>
      </c>
      <c r="J8002" t="s">
        <v>7448</v>
      </c>
      <c r="K8002" t="s">
        <v>1092</v>
      </c>
      <c r="M8002">
        <v>0.5</v>
      </c>
      <c r="N8002">
        <v>192</v>
      </c>
      <c r="O8002" t="s">
        <v>5</v>
      </c>
      <c r="Q8002" t="s">
        <v>2046</v>
      </c>
      <c r="R8002" t="s">
        <v>7029</v>
      </c>
      <c r="S8002" t="s">
        <v>7030</v>
      </c>
    </row>
    <row r="8003" spans="1:19" x14ac:dyDescent="0.25">
      <c r="A8003" t="s">
        <v>59</v>
      </c>
      <c r="B8003" t="s">
        <v>31</v>
      </c>
      <c r="C8003" t="s">
        <v>32</v>
      </c>
      <c r="D8003" t="s">
        <v>953</v>
      </c>
      <c r="E8003" t="s">
        <v>1015</v>
      </c>
      <c r="F8003" t="s">
        <v>35</v>
      </c>
      <c r="G8003" t="s">
        <v>35</v>
      </c>
      <c r="H8003" t="s">
        <v>35</v>
      </c>
      <c r="J8003" t="s">
        <v>7448</v>
      </c>
      <c r="K8003" t="s">
        <v>1092</v>
      </c>
      <c r="M8003">
        <v>1.35</v>
      </c>
      <c r="N8003">
        <v>89</v>
      </c>
      <c r="O8003" t="s">
        <v>61</v>
      </c>
      <c r="Q8003" t="s">
        <v>299</v>
      </c>
      <c r="R8003" t="s">
        <v>7029</v>
      </c>
      <c r="S8003" t="s">
        <v>7030</v>
      </c>
    </row>
    <row r="8004" spans="1:19" x14ac:dyDescent="0.25">
      <c r="A8004" t="s">
        <v>59</v>
      </c>
      <c r="B8004" t="s">
        <v>60</v>
      </c>
      <c r="C8004" t="s">
        <v>32</v>
      </c>
      <c r="D8004" t="s">
        <v>953</v>
      </c>
      <c r="E8004" t="s">
        <v>1015</v>
      </c>
      <c r="F8004" t="s">
        <v>35</v>
      </c>
      <c r="G8004" t="s">
        <v>35</v>
      </c>
      <c r="H8004" t="s">
        <v>35</v>
      </c>
      <c r="J8004" t="s">
        <v>7448</v>
      </c>
      <c r="K8004" t="s">
        <v>1092</v>
      </c>
      <c r="M8004">
        <v>0.5</v>
      </c>
      <c r="N8004">
        <v>142</v>
      </c>
      <c r="O8004" t="s">
        <v>38</v>
      </c>
      <c r="Q8004" t="s">
        <v>2067</v>
      </c>
      <c r="R8004" t="s">
        <v>7029</v>
      </c>
      <c r="S8004" t="s">
        <v>7030</v>
      </c>
    </row>
    <row r="8005" spans="1:19" x14ac:dyDescent="0.25">
      <c r="A8005" t="s">
        <v>59</v>
      </c>
      <c r="B8005" t="s">
        <v>60</v>
      </c>
      <c r="C8005" t="s">
        <v>32</v>
      </c>
      <c r="D8005" t="s">
        <v>953</v>
      </c>
      <c r="E8005" t="s">
        <v>1015</v>
      </c>
      <c r="F8005" t="s">
        <v>35</v>
      </c>
      <c r="G8005" t="s">
        <v>35</v>
      </c>
      <c r="H8005" t="s">
        <v>35</v>
      </c>
      <c r="J8005" t="s">
        <v>7448</v>
      </c>
      <c r="K8005" t="s">
        <v>1092</v>
      </c>
      <c r="M8005">
        <v>0.5</v>
      </c>
      <c r="N8005">
        <v>45</v>
      </c>
      <c r="O8005" t="s">
        <v>52</v>
      </c>
      <c r="Q8005" t="s">
        <v>716</v>
      </c>
      <c r="R8005" t="s">
        <v>7029</v>
      </c>
      <c r="S8005" t="s">
        <v>7030</v>
      </c>
    </row>
    <row r="8006" spans="1:19" x14ac:dyDescent="0.25">
      <c r="A8006" t="s">
        <v>59</v>
      </c>
      <c r="B8006" t="s">
        <v>31</v>
      </c>
      <c r="C8006" t="s">
        <v>32</v>
      </c>
      <c r="D8006" t="s">
        <v>953</v>
      </c>
      <c r="E8006" t="s">
        <v>1015</v>
      </c>
      <c r="F8006" t="s">
        <v>35</v>
      </c>
      <c r="G8006" t="s">
        <v>35</v>
      </c>
      <c r="H8006" t="s">
        <v>35</v>
      </c>
      <c r="J8006" t="s">
        <v>7448</v>
      </c>
      <c r="K8006" t="s">
        <v>1092</v>
      </c>
      <c r="M8006">
        <v>0.36</v>
      </c>
      <c r="N8006">
        <v>216</v>
      </c>
      <c r="O8006" t="s">
        <v>5</v>
      </c>
      <c r="Q8006" t="s">
        <v>1492</v>
      </c>
      <c r="R8006" t="s">
        <v>7029</v>
      </c>
      <c r="S8006" t="s">
        <v>7030</v>
      </c>
    </row>
    <row r="8007" spans="1:19" x14ac:dyDescent="0.25">
      <c r="A8007" t="s">
        <v>59</v>
      </c>
      <c r="B8007" t="s">
        <v>60</v>
      </c>
      <c r="C8007" t="s">
        <v>32</v>
      </c>
      <c r="D8007" t="s">
        <v>953</v>
      </c>
      <c r="E8007" t="s">
        <v>1015</v>
      </c>
      <c r="F8007" t="s">
        <v>35</v>
      </c>
      <c r="G8007" t="s">
        <v>35</v>
      </c>
      <c r="H8007" t="s">
        <v>35</v>
      </c>
      <c r="J8007" t="s">
        <v>7448</v>
      </c>
      <c r="K8007" t="s">
        <v>1092</v>
      </c>
      <c r="M8007">
        <v>0.85</v>
      </c>
      <c r="N8007">
        <v>272</v>
      </c>
      <c r="O8007" t="s">
        <v>5</v>
      </c>
      <c r="Q8007" t="s">
        <v>1264</v>
      </c>
      <c r="R8007" t="s">
        <v>7029</v>
      </c>
      <c r="S8007" t="s">
        <v>7030</v>
      </c>
    </row>
    <row r="8008" spans="1:19" x14ac:dyDescent="0.25">
      <c r="A8008" t="s">
        <v>59</v>
      </c>
      <c r="B8008" t="s">
        <v>31</v>
      </c>
      <c r="C8008" t="s">
        <v>32</v>
      </c>
      <c r="D8008" t="s">
        <v>953</v>
      </c>
      <c r="E8008" t="s">
        <v>1015</v>
      </c>
      <c r="F8008" t="s">
        <v>35</v>
      </c>
      <c r="G8008" t="s">
        <v>35</v>
      </c>
      <c r="H8008" t="s">
        <v>35</v>
      </c>
      <c r="J8008" t="s">
        <v>7448</v>
      </c>
      <c r="K8008" t="s">
        <v>1092</v>
      </c>
      <c r="M8008">
        <v>1.125</v>
      </c>
      <c r="N8008">
        <v>142</v>
      </c>
      <c r="O8008" t="s">
        <v>38</v>
      </c>
      <c r="Q8008" t="s">
        <v>2067</v>
      </c>
      <c r="R8008" t="s">
        <v>7029</v>
      </c>
      <c r="S8008" t="s">
        <v>7030</v>
      </c>
    </row>
    <row r="8009" spans="1:19" x14ac:dyDescent="0.25">
      <c r="A8009" t="s">
        <v>59</v>
      </c>
      <c r="B8009" t="s">
        <v>60</v>
      </c>
      <c r="C8009" t="s">
        <v>32</v>
      </c>
      <c r="D8009" t="s">
        <v>953</v>
      </c>
      <c r="E8009" t="s">
        <v>1015</v>
      </c>
      <c r="F8009" t="s">
        <v>35</v>
      </c>
      <c r="G8009" t="s">
        <v>35</v>
      </c>
      <c r="H8009" t="s">
        <v>35</v>
      </c>
      <c r="J8009" t="s">
        <v>7449</v>
      </c>
      <c r="K8009" t="s">
        <v>1092</v>
      </c>
      <c r="M8009">
        <v>1.25</v>
      </c>
      <c r="N8009">
        <v>179</v>
      </c>
      <c r="O8009" t="s">
        <v>38</v>
      </c>
      <c r="Q8009" t="s">
        <v>346</v>
      </c>
      <c r="R8009" t="s">
        <v>133</v>
      </c>
      <c r="S8009" t="s">
        <v>134</v>
      </c>
    </row>
    <row r="8010" spans="1:19" x14ac:dyDescent="0.25">
      <c r="A8010" t="s">
        <v>59</v>
      </c>
      <c r="B8010" t="s">
        <v>60</v>
      </c>
      <c r="C8010" t="s">
        <v>32</v>
      </c>
      <c r="D8010" t="s">
        <v>953</v>
      </c>
      <c r="E8010" t="s">
        <v>1015</v>
      </c>
      <c r="F8010" t="s">
        <v>35</v>
      </c>
      <c r="G8010" t="s">
        <v>35</v>
      </c>
      <c r="H8010" t="s">
        <v>35</v>
      </c>
      <c r="J8010" t="s">
        <v>7450</v>
      </c>
      <c r="K8010" t="s">
        <v>1092</v>
      </c>
      <c r="M8010">
        <v>2.5</v>
      </c>
      <c r="N8010">
        <v>906</v>
      </c>
      <c r="O8010" t="s">
        <v>575</v>
      </c>
      <c r="Q8010" t="s">
        <v>7452</v>
      </c>
      <c r="R8010" t="s">
        <v>987</v>
      </c>
      <c r="S8010" t="s">
        <v>988</v>
      </c>
    </row>
    <row r="8011" spans="1:19" x14ac:dyDescent="0.25">
      <c r="A8011" t="s">
        <v>59</v>
      </c>
      <c r="B8011" t="s">
        <v>60</v>
      </c>
      <c r="C8011" t="s">
        <v>32</v>
      </c>
      <c r="D8011" t="s">
        <v>953</v>
      </c>
      <c r="E8011" t="s">
        <v>1015</v>
      </c>
      <c r="F8011" t="s">
        <v>35</v>
      </c>
      <c r="G8011" t="s">
        <v>35</v>
      </c>
      <c r="H8011" t="s">
        <v>35</v>
      </c>
      <c r="J8011" t="s">
        <v>7450</v>
      </c>
      <c r="K8011" t="s">
        <v>1092</v>
      </c>
      <c r="M8011">
        <v>2.5</v>
      </c>
      <c r="N8011">
        <v>1018</v>
      </c>
      <c r="O8011" t="s">
        <v>575</v>
      </c>
      <c r="Q8011" t="s">
        <v>2234</v>
      </c>
      <c r="R8011" t="s">
        <v>987</v>
      </c>
      <c r="S8011" t="s">
        <v>988</v>
      </c>
    </row>
    <row r="8012" spans="1:19" x14ac:dyDescent="0.25">
      <c r="A8012" t="s">
        <v>59</v>
      </c>
      <c r="B8012" t="s">
        <v>60</v>
      </c>
      <c r="C8012" t="s">
        <v>32</v>
      </c>
      <c r="D8012" t="s">
        <v>953</v>
      </c>
      <c r="E8012" t="s">
        <v>1015</v>
      </c>
      <c r="F8012" t="s">
        <v>35</v>
      </c>
      <c r="G8012" t="s">
        <v>35</v>
      </c>
      <c r="H8012" t="s">
        <v>35</v>
      </c>
      <c r="J8012" t="s">
        <v>7450</v>
      </c>
      <c r="K8012" t="s">
        <v>1092</v>
      </c>
      <c r="M8012">
        <v>0.1</v>
      </c>
      <c r="N8012">
        <v>1275</v>
      </c>
      <c r="O8012" t="s">
        <v>575</v>
      </c>
      <c r="Q8012" t="s">
        <v>7451</v>
      </c>
      <c r="R8012" t="s">
        <v>6723</v>
      </c>
      <c r="S8012" t="s">
        <v>6724</v>
      </c>
    </row>
    <row r="8013" spans="1:19" x14ac:dyDescent="0.25">
      <c r="A8013" t="s">
        <v>30</v>
      </c>
      <c r="B8013" t="s">
        <v>31</v>
      </c>
      <c r="C8013" t="s">
        <v>32</v>
      </c>
      <c r="D8013" t="s">
        <v>953</v>
      </c>
      <c r="E8013" t="s">
        <v>1015</v>
      </c>
      <c r="F8013" t="s">
        <v>35</v>
      </c>
      <c r="G8013" t="s">
        <v>35</v>
      </c>
      <c r="H8013" t="s">
        <v>35</v>
      </c>
      <c r="J8013" t="s">
        <v>7450</v>
      </c>
      <c r="K8013" t="s">
        <v>1092</v>
      </c>
      <c r="M8013">
        <v>2.6549999999999998</v>
      </c>
      <c r="N8013">
        <v>1202</v>
      </c>
      <c r="O8013" t="s">
        <v>575</v>
      </c>
      <c r="Q8013" t="s">
        <v>3758</v>
      </c>
      <c r="R8013" t="s">
        <v>6723</v>
      </c>
      <c r="S8013" t="s">
        <v>6724</v>
      </c>
    </row>
    <row r="8014" spans="1:19" x14ac:dyDescent="0.25">
      <c r="A8014" t="s">
        <v>59</v>
      </c>
      <c r="B8014" t="s">
        <v>60</v>
      </c>
      <c r="C8014" t="s">
        <v>32</v>
      </c>
      <c r="D8014" t="s">
        <v>953</v>
      </c>
      <c r="E8014" t="s">
        <v>1015</v>
      </c>
      <c r="F8014" t="s">
        <v>35</v>
      </c>
      <c r="G8014" t="s">
        <v>35</v>
      </c>
      <c r="H8014" t="s">
        <v>35</v>
      </c>
      <c r="J8014" t="s">
        <v>7450</v>
      </c>
      <c r="K8014" t="s">
        <v>1092</v>
      </c>
      <c r="M8014">
        <v>0.5</v>
      </c>
      <c r="N8014">
        <v>1256</v>
      </c>
      <c r="O8014" t="s">
        <v>575</v>
      </c>
      <c r="Q8014" t="s">
        <v>7453</v>
      </c>
      <c r="R8014" t="s">
        <v>6723</v>
      </c>
      <c r="S8014" t="s">
        <v>6724</v>
      </c>
    </row>
    <row r="8015" spans="1:19" x14ac:dyDescent="0.25">
      <c r="A8015" t="s">
        <v>59</v>
      </c>
      <c r="B8015" t="s">
        <v>60</v>
      </c>
      <c r="C8015" t="s">
        <v>32</v>
      </c>
      <c r="D8015" t="s">
        <v>953</v>
      </c>
      <c r="E8015" t="s">
        <v>1015</v>
      </c>
      <c r="F8015" t="s">
        <v>35</v>
      </c>
      <c r="G8015" t="s">
        <v>35</v>
      </c>
      <c r="H8015" t="s">
        <v>35</v>
      </c>
      <c r="J8015" t="s">
        <v>7454</v>
      </c>
      <c r="K8015" t="s">
        <v>1092</v>
      </c>
      <c r="M8015">
        <v>0.3</v>
      </c>
      <c r="N8015">
        <v>65</v>
      </c>
      <c r="O8015" t="s">
        <v>61</v>
      </c>
      <c r="Q8015" t="s">
        <v>128</v>
      </c>
      <c r="R8015" t="s">
        <v>133</v>
      </c>
      <c r="S8015" t="s">
        <v>134</v>
      </c>
    </row>
    <row r="8016" spans="1:19" x14ac:dyDescent="0.25">
      <c r="A8016" t="s">
        <v>59</v>
      </c>
      <c r="B8016" t="s">
        <v>31</v>
      </c>
      <c r="C8016" t="s">
        <v>32</v>
      </c>
      <c r="D8016" t="s">
        <v>953</v>
      </c>
      <c r="E8016" t="s">
        <v>1015</v>
      </c>
      <c r="F8016" t="s">
        <v>35</v>
      </c>
      <c r="G8016" t="s">
        <v>35</v>
      </c>
      <c r="H8016" t="s">
        <v>35</v>
      </c>
      <c r="J8016" t="s">
        <v>7454</v>
      </c>
      <c r="K8016" t="s">
        <v>1092</v>
      </c>
      <c r="M8016">
        <v>0.45</v>
      </c>
      <c r="N8016">
        <v>65</v>
      </c>
      <c r="O8016" t="s">
        <v>61</v>
      </c>
      <c r="Q8016" t="s">
        <v>128</v>
      </c>
      <c r="R8016" t="s">
        <v>133</v>
      </c>
      <c r="S8016" t="s">
        <v>134</v>
      </c>
    </row>
    <row r="8017" spans="1:19" x14ac:dyDescent="0.25">
      <c r="A8017" t="s">
        <v>59</v>
      </c>
      <c r="B8017" t="s">
        <v>31</v>
      </c>
      <c r="C8017" t="s">
        <v>32</v>
      </c>
      <c r="D8017" t="s">
        <v>953</v>
      </c>
      <c r="E8017" t="s">
        <v>1015</v>
      </c>
      <c r="F8017" t="s">
        <v>35</v>
      </c>
      <c r="G8017" t="s">
        <v>35</v>
      </c>
      <c r="H8017" t="s">
        <v>35</v>
      </c>
      <c r="J8017" t="s">
        <v>7455</v>
      </c>
      <c r="K8017" t="s">
        <v>1092</v>
      </c>
      <c r="M8017">
        <v>4.4999999999999998E-2</v>
      </c>
      <c r="N8017">
        <v>76</v>
      </c>
      <c r="O8017" t="s">
        <v>61</v>
      </c>
      <c r="Q8017" t="s">
        <v>234</v>
      </c>
      <c r="R8017" t="s">
        <v>133</v>
      </c>
      <c r="S8017" t="s">
        <v>134</v>
      </c>
    </row>
    <row r="8018" spans="1:19" x14ac:dyDescent="0.25">
      <c r="A8018" t="s">
        <v>59</v>
      </c>
      <c r="B8018" t="s">
        <v>60</v>
      </c>
      <c r="C8018" t="s">
        <v>32</v>
      </c>
      <c r="D8018" t="s">
        <v>953</v>
      </c>
      <c r="E8018" t="s">
        <v>1015</v>
      </c>
      <c r="F8018" t="s">
        <v>35</v>
      </c>
      <c r="G8018" t="s">
        <v>35</v>
      </c>
      <c r="H8018" t="s">
        <v>35</v>
      </c>
      <c r="J8018" t="s">
        <v>7455</v>
      </c>
      <c r="K8018" t="s">
        <v>1092</v>
      </c>
      <c r="M8018">
        <v>0.15</v>
      </c>
      <c r="N8018">
        <v>76</v>
      </c>
      <c r="O8018" t="s">
        <v>61</v>
      </c>
      <c r="Q8018" t="s">
        <v>234</v>
      </c>
      <c r="R8018" t="s">
        <v>133</v>
      </c>
      <c r="S8018" t="s">
        <v>134</v>
      </c>
    </row>
    <row r="8019" spans="1:19" x14ac:dyDescent="0.25">
      <c r="A8019" t="s">
        <v>59</v>
      </c>
      <c r="B8019" t="s">
        <v>60</v>
      </c>
      <c r="C8019" t="s">
        <v>32</v>
      </c>
      <c r="D8019" t="s">
        <v>953</v>
      </c>
      <c r="E8019" t="s">
        <v>1015</v>
      </c>
      <c r="F8019" t="s">
        <v>35</v>
      </c>
      <c r="G8019" t="s">
        <v>35</v>
      </c>
      <c r="H8019" t="s">
        <v>35</v>
      </c>
      <c r="J8019" t="s">
        <v>4452</v>
      </c>
      <c r="K8019" t="s">
        <v>1092</v>
      </c>
      <c r="M8019">
        <v>0.2</v>
      </c>
      <c r="N8019">
        <v>59</v>
      </c>
      <c r="O8019" t="s">
        <v>52</v>
      </c>
      <c r="Q8019" t="s">
        <v>84</v>
      </c>
      <c r="R8019" t="s">
        <v>133</v>
      </c>
      <c r="S8019" t="s">
        <v>134</v>
      </c>
    </row>
    <row r="8020" spans="1:19" x14ac:dyDescent="0.25">
      <c r="A8020" t="s">
        <v>59</v>
      </c>
      <c r="B8020" t="s">
        <v>60</v>
      </c>
      <c r="C8020" t="s">
        <v>32</v>
      </c>
      <c r="D8020" t="s">
        <v>953</v>
      </c>
      <c r="E8020" t="s">
        <v>1015</v>
      </c>
      <c r="F8020" t="s">
        <v>35</v>
      </c>
      <c r="G8020" t="s">
        <v>35</v>
      </c>
      <c r="H8020" t="s">
        <v>35</v>
      </c>
      <c r="J8020" t="s">
        <v>6339</v>
      </c>
      <c r="K8020" t="s">
        <v>1092</v>
      </c>
      <c r="M8020">
        <v>1.95</v>
      </c>
      <c r="N8020">
        <v>90</v>
      </c>
      <c r="O8020" t="s">
        <v>61</v>
      </c>
      <c r="Q8020" t="s">
        <v>897</v>
      </c>
      <c r="R8020" t="s">
        <v>6877</v>
      </c>
      <c r="S8020" t="s">
        <v>1041</v>
      </c>
    </row>
    <row r="8021" spans="1:19" x14ac:dyDescent="0.25">
      <c r="A8021" t="s">
        <v>59</v>
      </c>
      <c r="B8021" t="s">
        <v>31</v>
      </c>
      <c r="C8021" t="s">
        <v>32</v>
      </c>
      <c r="D8021" t="s">
        <v>953</v>
      </c>
      <c r="E8021" t="s">
        <v>1015</v>
      </c>
      <c r="F8021" t="s">
        <v>35</v>
      </c>
      <c r="G8021" t="s">
        <v>35</v>
      </c>
      <c r="H8021" t="s">
        <v>35</v>
      </c>
      <c r="J8021" t="s">
        <v>7456</v>
      </c>
      <c r="K8021" t="s">
        <v>1092</v>
      </c>
      <c r="M8021">
        <v>4.4999999999999998E-2</v>
      </c>
      <c r="N8021">
        <v>60</v>
      </c>
      <c r="O8021" t="s">
        <v>52</v>
      </c>
      <c r="Q8021" t="s">
        <v>1734</v>
      </c>
      <c r="R8021" t="s">
        <v>133</v>
      </c>
      <c r="S8021" t="s">
        <v>134</v>
      </c>
    </row>
    <row r="8022" spans="1:19" x14ac:dyDescent="0.25">
      <c r="A8022" t="s">
        <v>59</v>
      </c>
      <c r="B8022" t="s">
        <v>60</v>
      </c>
      <c r="C8022" t="s">
        <v>32</v>
      </c>
      <c r="D8022" t="s">
        <v>953</v>
      </c>
      <c r="E8022" t="s">
        <v>1015</v>
      </c>
      <c r="F8022" t="s">
        <v>35</v>
      </c>
      <c r="G8022" t="s">
        <v>35</v>
      </c>
      <c r="H8022" t="s">
        <v>35</v>
      </c>
      <c r="J8022" t="s">
        <v>7457</v>
      </c>
      <c r="K8022" t="s">
        <v>1092</v>
      </c>
      <c r="M8022">
        <v>1.95</v>
      </c>
      <c r="N8022">
        <v>86</v>
      </c>
      <c r="O8022" t="s">
        <v>61</v>
      </c>
      <c r="Q8022" t="s">
        <v>1076</v>
      </c>
      <c r="R8022" t="s">
        <v>133</v>
      </c>
      <c r="S8022" t="s">
        <v>134</v>
      </c>
    </row>
    <row r="8023" spans="1:19" x14ac:dyDescent="0.25">
      <c r="A8023" t="s">
        <v>59</v>
      </c>
      <c r="B8023" t="s">
        <v>60</v>
      </c>
      <c r="C8023" t="s">
        <v>32</v>
      </c>
      <c r="D8023" t="s">
        <v>953</v>
      </c>
      <c r="E8023" t="s">
        <v>1015</v>
      </c>
      <c r="F8023" t="s">
        <v>35</v>
      </c>
      <c r="G8023" t="s">
        <v>35</v>
      </c>
      <c r="H8023" t="s">
        <v>35</v>
      </c>
      <c r="J8023" t="s">
        <v>7457</v>
      </c>
      <c r="K8023" t="s">
        <v>1092</v>
      </c>
      <c r="M8023">
        <v>1</v>
      </c>
      <c r="N8023">
        <v>42</v>
      </c>
      <c r="O8023" t="s">
        <v>52</v>
      </c>
      <c r="Q8023" t="s">
        <v>991</v>
      </c>
      <c r="R8023" t="s">
        <v>6877</v>
      </c>
      <c r="S8023" t="s">
        <v>1041</v>
      </c>
    </row>
    <row r="8024" spans="1:19" x14ac:dyDescent="0.25">
      <c r="A8024" t="s">
        <v>44</v>
      </c>
      <c r="B8024" t="s">
        <v>3</v>
      </c>
      <c r="C8024" t="s">
        <v>32</v>
      </c>
      <c r="D8024" t="s">
        <v>953</v>
      </c>
      <c r="E8024" t="s">
        <v>1015</v>
      </c>
      <c r="F8024" t="s">
        <v>35</v>
      </c>
      <c r="G8024" t="s">
        <v>35</v>
      </c>
      <c r="H8024" t="s">
        <v>35</v>
      </c>
      <c r="J8024" t="s">
        <v>7458</v>
      </c>
      <c r="K8024" t="s">
        <v>1092</v>
      </c>
      <c r="M8024">
        <v>5</v>
      </c>
      <c r="N8024">
        <v>62</v>
      </c>
      <c r="O8024" t="s">
        <v>61</v>
      </c>
      <c r="Q8024" t="s">
        <v>90</v>
      </c>
      <c r="R8024" t="s">
        <v>987</v>
      </c>
      <c r="S8024" t="s">
        <v>988</v>
      </c>
    </row>
    <row r="8025" spans="1:19" x14ac:dyDescent="0.25">
      <c r="A8025" t="s">
        <v>30</v>
      </c>
      <c r="B8025" t="s">
        <v>31</v>
      </c>
      <c r="C8025" t="s">
        <v>32</v>
      </c>
      <c r="D8025" t="s">
        <v>953</v>
      </c>
      <c r="E8025" t="s">
        <v>1015</v>
      </c>
      <c r="F8025" t="s">
        <v>35</v>
      </c>
      <c r="G8025" t="s">
        <v>35</v>
      </c>
      <c r="H8025" t="s">
        <v>35</v>
      </c>
      <c r="J8025" t="s">
        <v>7458</v>
      </c>
      <c r="K8025" t="s">
        <v>1092</v>
      </c>
      <c r="M8025">
        <v>9.5399999999999991</v>
      </c>
      <c r="N8025">
        <v>17</v>
      </c>
      <c r="O8025" t="s">
        <v>46</v>
      </c>
      <c r="Q8025" t="s">
        <v>1302</v>
      </c>
      <c r="R8025" t="s">
        <v>987</v>
      </c>
      <c r="S8025" t="s">
        <v>988</v>
      </c>
    </row>
    <row r="8026" spans="1:19" x14ac:dyDescent="0.25">
      <c r="A8026" t="s">
        <v>44</v>
      </c>
      <c r="B8026" t="s">
        <v>3</v>
      </c>
      <c r="C8026" t="s">
        <v>32</v>
      </c>
      <c r="D8026" t="s">
        <v>953</v>
      </c>
      <c r="E8026" t="s">
        <v>1015</v>
      </c>
      <c r="F8026" t="s">
        <v>35</v>
      </c>
      <c r="G8026" t="s">
        <v>35</v>
      </c>
      <c r="H8026" t="s">
        <v>35</v>
      </c>
      <c r="J8026" t="s">
        <v>7458</v>
      </c>
      <c r="K8026" t="s">
        <v>1092</v>
      </c>
      <c r="M8026">
        <v>5</v>
      </c>
      <c r="N8026">
        <v>58</v>
      </c>
      <c r="O8026" t="s">
        <v>52</v>
      </c>
      <c r="Q8026" t="s">
        <v>58</v>
      </c>
      <c r="R8026" t="s">
        <v>6709</v>
      </c>
      <c r="S8026" t="s">
        <v>1022</v>
      </c>
    </row>
    <row r="8027" spans="1:19" x14ac:dyDescent="0.25">
      <c r="A8027" t="s">
        <v>30</v>
      </c>
      <c r="B8027" t="s">
        <v>31</v>
      </c>
      <c r="C8027" t="s">
        <v>32</v>
      </c>
      <c r="D8027" t="s">
        <v>953</v>
      </c>
      <c r="E8027" t="s">
        <v>1015</v>
      </c>
      <c r="F8027" t="s">
        <v>35</v>
      </c>
      <c r="G8027" t="s">
        <v>35</v>
      </c>
      <c r="H8027" t="s">
        <v>35</v>
      </c>
      <c r="J8027" t="s">
        <v>7459</v>
      </c>
      <c r="K8027" t="s">
        <v>1092</v>
      </c>
      <c r="M8027">
        <v>0.9</v>
      </c>
      <c r="N8027">
        <v>60</v>
      </c>
      <c r="O8027" t="s">
        <v>52</v>
      </c>
      <c r="Q8027" t="s">
        <v>1734</v>
      </c>
      <c r="R8027" t="s">
        <v>133</v>
      </c>
      <c r="S8027" t="s">
        <v>134</v>
      </c>
    </row>
    <row r="8028" spans="1:19" x14ac:dyDescent="0.25">
      <c r="A8028" t="s">
        <v>30</v>
      </c>
      <c r="B8028" t="s">
        <v>31</v>
      </c>
      <c r="C8028" t="s">
        <v>32</v>
      </c>
      <c r="D8028" t="s">
        <v>953</v>
      </c>
      <c r="E8028" t="s">
        <v>1015</v>
      </c>
      <c r="F8028" t="s">
        <v>35</v>
      </c>
      <c r="G8028" t="s">
        <v>35</v>
      </c>
      <c r="H8028" t="s">
        <v>35</v>
      </c>
      <c r="J8028" t="s">
        <v>7459</v>
      </c>
      <c r="K8028" t="s">
        <v>1092</v>
      </c>
      <c r="M8028">
        <v>1.125</v>
      </c>
      <c r="N8028">
        <v>49</v>
      </c>
      <c r="O8028" t="s">
        <v>52</v>
      </c>
      <c r="Q8028" t="s">
        <v>219</v>
      </c>
      <c r="R8028" t="s">
        <v>133</v>
      </c>
      <c r="S8028" t="s">
        <v>134</v>
      </c>
    </row>
    <row r="8029" spans="1:19" x14ac:dyDescent="0.25">
      <c r="A8029" t="s">
        <v>59</v>
      </c>
      <c r="B8029" t="s">
        <v>31</v>
      </c>
      <c r="C8029" t="s">
        <v>32</v>
      </c>
      <c r="D8029" t="s">
        <v>953</v>
      </c>
      <c r="E8029" t="s">
        <v>1015</v>
      </c>
      <c r="F8029" t="s">
        <v>35</v>
      </c>
      <c r="G8029" t="s">
        <v>35</v>
      </c>
      <c r="H8029" t="s">
        <v>35</v>
      </c>
      <c r="J8029" t="s">
        <v>7459</v>
      </c>
      <c r="K8029" t="s">
        <v>1092</v>
      </c>
      <c r="M8029">
        <v>0.18</v>
      </c>
      <c r="N8029">
        <v>538</v>
      </c>
      <c r="O8029" t="s">
        <v>294</v>
      </c>
      <c r="Q8029" t="s">
        <v>7460</v>
      </c>
      <c r="R8029" t="s">
        <v>133</v>
      </c>
      <c r="S8029" t="s">
        <v>134</v>
      </c>
    </row>
    <row r="8030" spans="1:19" x14ac:dyDescent="0.25">
      <c r="A8030" t="s">
        <v>59</v>
      </c>
      <c r="B8030" t="s">
        <v>60</v>
      </c>
      <c r="C8030" t="s">
        <v>32</v>
      </c>
      <c r="D8030" t="s">
        <v>953</v>
      </c>
      <c r="E8030" t="s">
        <v>1015</v>
      </c>
      <c r="F8030" t="s">
        <v>35</v>
      </c>
      <c r="G8030" t="s">
        <v>35</v>
      </c>
      <c r="H8030" t="s">
        <v>35</v>
      </c>
      <c r="J8030" t="s">
        <v>7459</v>
      </c>
      <c r="K8030" t="s">
        <v>1092</v>
      </c>
      <c r="M8030">
        <v>0.03</v>
      </c>
      <c r="N8030">
        <v>59</v>
      </c>
      <c r="O8030" t="s">
        <v>52</v>
      </c>
      <c r="Q8030" t="s">
        <v>84</v>
      </c>
      <c r="R8030" t="s">
        <v>133</v>
      </c>
      <c r="S8030" t="s">
        <v>134</v>
      </c>
    </row>
    <row r="8031" spans="1:19" x14ac:dyDescent="0.25">
      <c r="A8031" t="s">
        <v>59</v>
      </c>
      <c r="B8031" t="s">
        <v>60</v>
      </c>
      <c r="C8031" t="s">
        <v>32</v>
      </c>
      <c r="D8031" t="s">
        <v>953</v>
      </c>
      <c r="E8031" t="s">
        <v>1015</v>
      </c>
      <c r="F8031" t="s">
        <v>35</v>
      </c>
      <c r="G8031" t="s">
        <v>35</v>
      </c>
      <c r="H8031" t="s">
        <v>35</v>
      </c>
      <c r="J8031" t="s">
        <v>7461</v>
      </c>
      <c r="K8031" t="s">
        <v>1092</v>
      </c>
      <c r="M8031">
        <v>1</v>
      </c>
      <c r="N8031">
        <v>33</v>
      </c>
      <c r="O8031" t="s">
        <v>52</v>
      </c>
      <c r="Q8031" t="s">
        <v>137</v>
      </c>
      <c r="R8031" t="s">
        <v>6847</v>
      </c>
      <c r="S8031" t="s">
        <v>1034</v>
      </c>
    </row>
    <row r="8032" spans="1:19" x14ac:dyDescent="0.25">
      <c r="A8032" t="s">
        <v>59</v>
      </c>
      <c r="B8032" t="s">
        <v>60</v>
      </c>
      <c r="C8032" t="s">
        <v>32</v>
      </c>
      <c r="D8032" t="s">
        <v>953</v>
      </c>
      <c r="E8032" t="s">
        <v>1015</v>
      </c>
      <c r="F8032" t="s">
        <v>35</v>
      </c>
      <c r="G8032" t="s">
        <v>35</v>
      </c>
      <c r="H8032" t="s">
        <v>35</v>
      </c>
      <c r="J8032" t="s">
        <v>7462</v>
      </c>
      <c r="K8032" t="s">
        <v>1092</v>
      </c>
      <c r="M8032">
        <v>1.4</v>
      </c>
      <c r="N8032">
        <v>90</v>
      </c>
      <c r="O8032" t="s">
        <v>61</v>
      </c>
      <c r="Q8032" t="s">
        <v>897</v>
      </c>
      <c r="R8032" t="s">
        <v>6877</v>
      </c>
      <c r="S8032" t="s">
        <v>1041</v>
      </c>
    </row>
    <row r="8033" spans="1:19" x14ac:dyDescent="0.25">
      <c r="A8033" t="s">
        <v>59</v>
      </c>
      <c r="B8033" t="s">
        <v>60</v>
      </c>
      <c r="C8033" t="s">
        <v>32</v>
      </c>
      <c r="D8033" t="s">
        <v>953</v>
      </c>
      <c r="E8033" t="s">
        <v>1015</v>
      </c>
      <c r="F8033" t="s">
        <v>35</v>
      </c>
      <c r="G8033" t="s">
        <v>35</v>
      </c>
      <c r="H8033" t="s">
        <v>35</v>
      </c>
      <c r="J8033" t="s">
        <v>7462</v>
      </c>
      <c r="K8033" t="s">
        <v>1092</v>
      </c>
      <c r="M8033">
        <v>3</v>
      </c>
      <c r="N8033">
        <v>62</v>
      </c>
      <c r="O8033" t="s">
        <v>61</v>
      </c>
      <c r="Q8033" t="s">
        <v>90</v>
      </c>
      <c r="R8033" t="s">
        <v>6877</v>
      </c>
      <c r="S8033" t="s">
        <v>1041</v>
      </c>
    </row>
    <row r="8034" spans="1:19" x14ac:dyDescent="0.25">
      <c r="A8034" t="s">
        <v>44</v>
      </c>
      <c r="B8034" t="s">
        <v>3</v>
      </c>
      <c r="C8034" t="s">
        <v>32</v>
      </c>
      <c r="D8034" t="s">
        <v>953</v>
      </c>
      <c r="E8034" t="s">
        <v>1015</v>
      </c>
      <c r="F8034" t="s">
        <v>35</v>
      </c>
      <c r="G8034" t="s">
        <v>35</v>
      </c>
      <c r="H8034" t="s">
        <v>35</v>
      </c>
      <c r="J8034" t="s">
        <v>7463</v>
      </c>
      <c r="K8034" t="s">
        <v>1092</v>
      </c>
      <c r="M8034">
        <v>0.5</v>
      </c>
      <c r="N8034">
        <v>17</v>
      </c>
      <c r="O8034" t="s">
        <v>46</v>
      </c>
      <c r="Q8034" t="s">
        <v>1302</v>
      </c>
      <c r="R8034" t="s">
        <v>133</v>
      </c>
      <c r="S8034" t="s">
        <v>134</v>
      </c>
    </row>
    <row r="8035" spans="1:19" x14ac:dyDescent="0.25">
      <c r="A8035" t="s">
        <v>44</v>
      </c>
      <c r="B8035" t="s">
        <v>3</v>
      </c>
      <c r="C8035" t="s">
        <v>32</v>
      </c>
      <c r="D8035" t="s">
        <v>953</v>
      </c>
      <c r="E8035" t="s">
        <v>1015</v>
      </c>
      <c r="F8035" t="s">
        <v>35</v>
      </c>
      <c r="G8035" t="s">
        <v>35</v>
      </c>
      <c r="H8035" t="s">
        <v>35</v>
      </c>
      <c r="J8035" t="s">
        <v>7463</v>
      </c>
      <c r="K8035" t="s">
        <v>1092</v>
      </c>
      <c r="M8035">
        <v>0.3</v>
      </c>
      <c r="N8035">
        <v>32</v>
      </c>
      <c r="O8035" t="s">
        <v>52</v>
      </c>
      <c r="Q8035" t="s">
        <v>547</v>
      </c>
      <c r="R8035" t="s">
        <v>133</v>
      </c>
      <c r="S8035" t="s">
        <v>134</v>
      </c>
    </row>
    <row r="8036" spans="1:19" x14ac:dyDescent="0.25">
      <c r="A8036" t="s">
        <v>59</v>
      </c>
      <c r="B8036" t="s">
        <v>31</v>
      </c>
      <c r="C8036" t="s">
        <v>32</v>
      </c>
      <c r="D8036" t="s">
        <v>953</v>
      </c>
      <c r="E8036" t="s">
        <v>1015</v>
      </c>
      <c r="F8036" t="s">
        <v>35</v>
      </c>
      <c r="G8036" t="s">
        <v>35</v>
      </c>
      <c r="H8036" t="s">
        <v>35</v>
      </c>
      <c r="J8036" t="s">
        <v>7463</v>
      </c>
      <c r="K8036" t="s">
        <v>1092</v>
      </c>
      <c r="M8036">
        <v>0.40500000000000003</v>
      </c>
      <c r="N8036">
        <v>35</v>
      </c>
      <c r="O8036" t="s">
        <v>52</v>
      </c>
      <c r="Q8036" t="s">
        <v>48</v>
      </c>
      <c r="R8036" t="s">
        <v>133</v>
      </c>
      <c r="S8036" t="s">
        <v>134</v>
      </c>
    </row>
    <row r="8037" spans="1:19" x14ac:dyDescent="0.25">
      <c r="A8037" t="s">
        <v>59</v>
      </c>
      <c r="B8037" t="s">
        <v>60</v>
      </c>
      <c r="C8037" t="s">
        <v>32</v>
      </c>
      <c r="D8037" t="s">
        <v>953</v>
      </c>
      <c r="E8037" t="s">
        <v>1015</v>
      </c>
      <c r="F8037" t="s">
        <v>35</v>
      </c>
      <c r="G8037" t="s">
        <v>35</v>
      </c>
      <c r="H8037" t="s">
        <v>35</v>
      </c>
      <c r="J8037" t="s">
        <v>7464</v>
      </c>
      <c r="K8037" t="s">
        <v>1092</v>
      </c>
      <c r="M8037">
        <v>2</v>
      </c>
      <c r="N8037">
        <v>91</v>
      </c>
      <c r="O8037" t="s">
        <v>106</v>
      </c>
      <c r="Q8037" t="s">
        <v>1147</v>
      </c>
      <c r="R8037" t="s">
        <v>6709</v>
      </c>
      <c r="S8037" t="s">
        <v>1022</v>
      </c>
    </row>
    <row r="8038" spans="1:19" x14ac:dyDescent="0.25">
      <c r="A8038" t="s">
        <v>30</v>
      </c>
      <c r="B8038" t="s">
        <v>31</v>
      </c>
      <c r="C8038" t="s">
        <v>32</v>
      </c>
      <c r="D8038" t="s">
        <v>953</v>
      </c>
      <c r="E8038" t="s">
        <v>1015</v>
      </c>
      <c r="F8038" t="s">
        <v>35</v>
      </c>
      <c r="G8038" t="s">
        <v>35</v>
      </c>
      <c r="H8038" t="s">
        <v>35</v>
      </c>
      <c r="J8038" t="s">
        <v>7465</v>
      </c>
      <c r="K8038" t="s">
        <v>1092</v>
      </c>
      <c r="M8038">
        <v>9.99</v>
      </c>
      <c r="N8038">
        <v>20</v>
      </c>
      <c r="O8038" t="s">
        <v>46</v>
      </c>
      <c r="Q8038" t="s">
        <v>1004</v>
      </c>
      <c r="R8038" t="s">
        <v>6847</v>
      </c>
      <c r="S8038" t="s">
        <v>1034</v>
      </c>
    </row>
    <row r="8039" spans="1:19" x14ac:dyDescent="0.25">
      <c r="A8039" t="s">
        <v>59</v>
      </c>
      <c r="B8039" t="s">
        <v>60</v>
      </c>
      <c r="C8039" t="s">
        <v>32</v>
      </c>
      <c r="D8039" t="s">
        <v>953</v>
      </c>
      <c r="E8039" t="s">
        <v>1015</v>
      </c>
      <c r="F8039" t="s">
        <v>35</v>
      </c>
      <c r="G8039" t="s">
        <v>35</v>
      </c>
      <c r="H8039" t="s">
        <v>35</v>
      </c>
      <c r="J8039" t="s">
        <v>7465</v>
      </c>
      <c r="K8039" t="s">
        <v>1092</v>
      </c>
      <c r="M8039">
        <v>2</v>
      </c>
      <c r="N8039">
        <v>33</v>
      </c>
      <c r="O8039" t="s">
        <v>52</v>
      </c>
      <c r="Q8039" t="s">
        <v>137</v>
      </c>
      <c r="R8039" t="s">
        <v>6847</v>
      </c>
      <c r="S8039" t="s">
        <v>1034</v>
      </c>
    </row>
    <row r="8040" spans="1:19" x14ac:dyDescent="0.25">
      <c r="A8040" t="s">
        <v>44</v>
      </c>
      <c r="B8040" t="s">
        <v>3</v>
      </c>
      <c r="C8040" t="s">
        <v>32</v>
      </c>
      <c r="D8040" t="s">
        <v>953</v>
      </c>
      <c r="E8040" t="s">
        <v>1015</v>
      </c>
      <c r="F8040" t="s">
        <v>35</v>
      </c>
      <c r="G8040" t="s">
        <v>35</v>
      </c>
      <c r="H8040" t="s">
        <v>35</v>
      </c>
      <c r="J8040" t="s">
        <v>7466</v>
      </c>
      <c r="K8040" t="s">
        <v>1092</v>
      </c>
      <c r="M8040">
        <v>1</v>
      </c>
      <c r="N8040">
        <v>54</v>
      </c>
      <c r="O8040" t="s">
        <v>52</v>
      </c>
      <c r="Q8040" t="s">
        <v>1207</v>
      </c>
      <c r="R8040" t="s">
        <v>6897</v>
      </c>
      <c r="S8040" t="s">
        <v>1062</v>
      </c>
    </row>
    <row r="8041" spans="1:19" x14ac:dyDescent="0.25">
      <c r="A8041" t="s">
        <v>59</v>
      </c>
      <c r="B8041" t="s">
        <v>60</v>
      </c>
      <c r="C8041" t="s">
        <v>32</v>
      </c>
      <c r="D8041" t="s">
        <v>953</v>
      </c>
      <c r="E8041" t="s">
        <v>7467</v>
      </c>
      <c r="F8041" t="s">
        <v>35</v>
      </c>
      <c r="G8041" t="s">
        <v>35</v>
      </c>
      <c r="H8041" t="s">
        <v>35</v>
      </c>
      <c r="J8041" t="s">
        <v>7468</v>
      </c>
      <c r="K8041" t="s">
        <v>1092</v>
      </c>
      <c r="M8041">
        <v>1.25</v>
      </c>
      <c r="N8041">
        <v>91</v>
      </c>
      <c r="O8041" t="s">
        <v>106</v>
      </c>
      <c r="Q8041" t="s">
        <v>1147</v>
      </c>
      <c r="R8041" t="s">
        <v>133</v>
      </c>
      <c r="S8041" t="s">
        <v>134</v>
      </c>
    </row>
    <row r="8042" spans="1:19" x14ac:dyDescent="0.25">
      <c r="A8042" t="s">
        <v>59</v>
      </c>
      <c r="B8042" t="s">
        <v>31</v>
      </c>
      <c r="C8042" t="s">
        <v>32</v>
      </c>
      <c r="D8042" t="s">
        <v>953</v>
      </c>
      <c r="E8042" t="s">
        <v>7467</v>
      </c>
      <c r="F8042" t="s">
        <v>35</v>
      </c>
      <c r="G8042" t="s">
        <v>35</v>
      </c>
      <c r="H8042" t="s">
        <v>35</v>
      </c>
      <c r="J8042" t="s">
        <v>7468</v>
      </c>
      <c r="K8042" t="s">
        <v>1092</v>
      </c>
      <c r="M8042">
        <v>2.0699999999999998</v>
      </c>
      <c r="N8042">
        <v>91</v>
      </c>
      <c r="O8042" t="s">
        <v>106</v>
      </c>
      <c r="Q8042" t="s">
        <v>1147</v>
      </c>
      <c r="R8042" t="s">
        <v>133</v>
      </c>
      <c r="S8042" t="s">
        <v>134</v>
      </c>
    </row>
    <row r="8043" spans="1:19" x14ac:dyDescent="0.25">
      <c r="A8043" t="s">
        <v>30</v>
      </c>
      <c r="B8043" t="s">
        <v>31</v>
      </c>
      <c r="C8043" t="s">
        <v>32</v>
      </c>
      <c r="D8043" t="s">
        <v>953</v>
      </c>
      <c r="E8043" t="s">
        <v>7467</v>
      </c>
      <c r="F8043" t="s">
        <v>35</v>
      </c>
      <c r="G8043" t="s">
        <v>35</v>
      </c>
      <c r="H8043" t="s">
        <v>35</v>
      </c>
      <c r="J8043" t="s">
        <v>7469</v>
      </c>
      <c r="K8043" t="s">
        <v>1092</v>
      </c>
      <c r="M8043">
        <v>0.67500000000000004</v>
      </c>
      <c r="N8043">
        <v>277</v>
      </c>
      <c r="O8043" t="s">
        <v>5</v>
      </c>
      <c r="Q8043" t="s">
        <v>5812</v>
      </c>
      <c r="R8043" t="s">
        <v>6709</v>
      </c>
      <c r="S8043" t="s">
        <v>1022</v>
      </c>
    </row>
    <row r="8044" spans="1:19" x14ac:dyDescent="0.25">
      <c r="A8044" t="s">
        <v>59</v>
      </c>
      <c r="B8044" t="s">
        <v>60</v>
      </c>
      <c r="C8044" t="s">
        <v>32</v>
      </c>
      <c r="D8044" t="s">
        <v>953</v>
      </c>
      <c r="E8044" t="s">
        <v>7467</v>
      </c>
      <c r="F8044" t="s">
        <v>35</v>
      </c>
      <c r="G8044" t="s">
        <v>35</v>
      </c>
      <c r="H8044" t="s">
        <v>35</v>
      </c>
      <c r="J8044" t="s">
        <v>7469</v>
      </c>
      <c r="K8044" t="s">
        <v>1092</v>
      </c>
      <c r="M8044">
        <v>10</v>
      </c>
      <c r="N8044">
        <v>51</v>
      </c>
      <c r="O8044" t="s">
        <v>52</v>
      </c>
      <c r="Q8044" t="s">
        <v>54</v>
      </c>
      <c r="R8044" t="s">
        <v>6705</v>
      </c>
      <c r="S8044" t="s">
        <v>981</v>
      </c>
    </row>
    <row r="8045" spans="1:19" x14ac:dyDescent="0.25">
      <c r="A8045" t="s">
        <v>44</v>
      </c>
      <c r="B8045" t="s">
        <v>51</v>
      </c>
      <c r="C8045" t="s">
        <v>32</v>
      </c>
      <c r="D8045" t="s">
        <v>953</v>
      </c>
      <c r="E8045" t="s">
        <v>7467</v>
      </c>
      <c r="F8045" t="s">
        <v>35</v>
      </c>
      <c r="G8045" t="s">
        <v>35</v>
      </c>
      <c r="H8045" t="s">
        <v>35</v>
      </c>
      <c r="J8045" t="s">
        <v>7469</v>
      </c>
      <c r="K8045" t="s">
        <v>1092</v>
      </c>
      <c r="M8045">
        <v>2</v>
      </c>
      <c r="N8045">
        <v>345</v>
      </c>
      <c r="O8045" t="s">
        <v>5</v>
      </c>
      <c r="Q8045" t="s">
        <v>3421</v>
      </c>
      <c r="R8045" t="s">
        <v>6877</v>
      </c>
      <c r="S8045" t="s">
        <v>1041</v>
      </c>
    </row>
    <row r="8046" spans="1:19" x14ac:dyDescent="0.25">
      <c r="A8046" t="s">
        <v>59</v>
      </c>
      <c r="B8046" t="s">
        <v>31</v>
      </c>
      <c r="C8046" t="s">
        <v>32</v>
      </c>
      <c r="D8046" t="s">
        <v>953</v>
      </c>
      <c r="E8046" t="s">
        <v>7467</v>
      </c>
      <c r="F8046" t="s">
        <v>35</v>
      </c>
      <c r="G8046" t="s">
        <v>35</v>
      </c>
      <c r="H8046" t="s">
        <v>35</v>
      </c>
      <c r="J8046" t="s">
        <v>7469</v>
      </c>
      <c r="K8046" t="s">
        <v>1092</v>
      </c>
      <c r="M8046">
        <v>0.315</v>
      </c>
      <c r="N8046">
        <v>174</v>
      </c>
      <c r="O8046" t="s">
        <v>38</v>
      </c>
      <c r="Q8046" t="s">
        <v>1565</v>
      </c>
      <c r="R8046" t="s">
        <v>6877</v>
      </c>
      <c r="S8046" t="s">
        <v>1041</v>
      </c>
    </row>
    <row r="8047" spans="1:19" x14ac:dyDescent="0.25">
      <c r="A8047" t="s">
        <v>59</v>
      </c>
      <c r="B8047" t="s">
        <v>60</v>
      </c>
      <c r="C8047" t="s">
        <v>32</v>
      </c>
      <c r="D8047" t="s">
        <v>953</v>
      </c>
      <c r="E8047" t="s">
        <v>7467</v>
      </c>
      <c r="F8047" t="s">
        <v>35</v>
      </c>
      <c r="G8047" t="s">
        <v>35</v>
      </c>
      <c r="H8047" t="s">
        <v>35</v>
      </c>
      <c r="J8047" t="s">
        <v>7469</v>
      </c>
      <c r="K8047" t="s">
        <v>1092</v>
      </c>
      <c r="M8047">
        <v>0.25</v>
      </c>
      <c r="N8047">
        <v>74</v>
      </c>
      <c r="O8047" t="s">
        <v>61</v>
      </c>
      <c r="Q8047" t="s">
        <v>488</v>
      </c>
      <c r="R8047" t="s">
        <v>6885</v>
      </c>
      <c r="S8047" t="s">
        <v>6886</v>
      </c>
    </row>
    <row r="8048" spans="1:19" x14ac:dyDescent="0.25">
      <c r="A8048" t="s">
        <v>59</v>
      </c>
      <c r="B8048" t="s">
        <v>60</v>
      </c>
      <c r="C8048" t="s">
        <v>32</v>
      </c>
      <c r="D8048" t="s">
        <v>953</v>
      </c>
      <c r="E8048" t="s">
        <v>7467</v>
      </c>
      <c r="F8048" t="s">
        <v>35</v>
      </c>
      <c r="G8048" t="s">
        <v>35</v>
      </c>
      <c r="H8048" t="s">
        <v>35</v>
      </c>
      <c r="J8048" t="s">
        <v>7471</v>
      </c>
      <c r="K8048" t="s">
        <v>1092</v>
      </c>
      <c r="M8048">
        <v>0.22500000000000001</v>
      </c>
      <c r="N8048">
        <v>251</v>
      </c>
      <c r="O8048" t="s">
        <v>5</v>
      </c>
      <c r="Q8048" t="s">
        <v>1688</v>
      </c>
      <c r="R8048" t="s">
        <v>133</v>
      </c>
      <c r="S8048" t="s">
        <v>134</v>
      </c>
    </row>
    <row r="8049" spans="1:19" x14ac:dyDescent="0.25">
      <c r="A8049" t="s">
        <v>30</v>
      </c>
      <c r="B8049" t="s">
        <v>31</v>
      </c>
      <c r="C8049" t="s">
        <v>32</v>
      </c>
      <c r="D8049" t="s">
        <v>953</v>
      </c>
      <c r="E8049" t="s">
        <v>7467</v>
      </c>
      <c r="F8049" t="s">
        <v>35</v>
      </c>
      <c r="G8049" t="s">
        <v>35</v>
      </c>
      <c r="H8049" t="s">
        <v>35</v>
      </c>
      <c r="J8049" t="s">
        <v>7471</v>
      </c>
      <c r="K8049" t="s">
        <v>1092</v>
      </c>
      <c r="M8049">
        <v>9.99</v>
      </c>
      <c r="N8049">
        <v>20</v>
      </c>
      <c r="O8049" t="s">
        <v>46</v>
      </c>
      <c r="Q8049" t="s">
        <v>1004</v>
      </c>
      <c r="R8049" t="s">
        <v>133</v>
      </c>
      <c r="S8049" t="s">
        <v>134</v>
      </c>
    </row>
    <row r="8050" spans="1:19" x14ac:dyDescent="0.25">
      <c r="A8050" t="s">
        <v>59</v>
      </c>
      <c r="B8050" t="s">
        <v>60</v>
      </c>
      <c r="C8050" t="s">
        <v>32</v>
      </c>
      <c r="D8050" t="s">
        <v>953</v>
      </c>
      <c r="E8050" t="s">
        <v>7467</v>
      </c>
      <c r="F8050" t="s">
        <v>35</v>
      </c>
      <c r="G8050" t="s">
        <v>35</v>
      </c>
      <c r="H8050" t="s">
        <v>35</v>
      </c>
      <c r="J8050" t="s">
        <v>7471</v>
      </c>
      <c r="K8050" t="s">
        <v>1092</v>
      </c>
      <c r="M8050">
        <v>2.5</v>
      </c>
      <c r="N8050">
        <v>25</v>
      </c>
      <c r="O8050" t="s">
        <v>46</v>
      </c>
      <c r="Q8050" t="s">
        <v>831</v>
      </c>
      <c r="R8050" t="s">
        <v>133</v>
      </c>
      <c r="S8050" t="s">
        <v>134</v>
      </c>
    </row>
    <row r="8051" spans="1:19" x14ac:dyDescent="0.25">
      <c r="A8051" t="s">
        <v>44</v>
      </c>
      <c r="B8051" t="s">
        <v>3</v>
      </c>
      <c r="C8051" t="s">
        <v>32</v>
      </c>
      <c r="D8051" t="s">
        <v>953</v>
      </c>
      <c r="E8051" t="s">
        <v>7467</v>
      </c>
      <c r="F8051" t="s">
        <v>35</v>
      </c>
      <c r="G8051" t="s">
        <v>35</v>
      </c>
      <c r="H8051" t="s">
        <v>35</v>
      </c>
      <c r="J8051" t="s">
        <v>7471</v>
      </c>
      <c r="K8051" t="s">
        <v>1092</v>
      </c>
      <c r="M8051">
        <v>2.5</v>
      </c>
      <c r="N8051">
        <v>25</v>
      </c>
      <c r="O8051" t="s">
        <v>46</v>
      </c>
      <c r="Q8051" t="s">
        <v>831</v>
      </c>
      <c r="R8051" t="s">
        <v>133</v>
      </c>
      <c r="S8051" t="s">
        <v>134</v>
      </c>
    </row>
    <row r="8052" spans="1:19" x14ac:dyDescent="0.25">
      <c r="A8052" t="s">
        <v>59</v>
      </c>
      <c r="B8052" t="s">
        <v>60</v>
      </c>
      <c r="C8052" t="s">
        <v>32</v>
      </c>
      <c r="D8052" t="s">
        <v>953</v>
      </c>
      <c r="E8052" t="s">
        <v>7467</v>
      </c>
      <c r="F8052" t="s">
        <v>35</v>
      </c>
      <c r="G8052" t="s">
        <v>35</v>
      </c>
      <c r="H8052" t="s">
        <v>35</v>
      </c>
      <c r="J8052" t="s">
        <v>3952</v>
      </c>
      <c r="K8052" t="s">
        <v>1092</v>
      </c>
      <c r="M8052">
        <v>5</v>
      </c>
      <c r="N8052">
        <v>91</v>
      </c>
      <c r="O8052" t="s">
        <v>106</v>
      </c>
      <c r="Q8052" t="s">
        <v>1147</v>
      </c>
      <c r="R8052" t="s">
        <v>6709</v>
      </c>
      <c r="S8052" t="s">
        <v>1022</v>
      </c>
    </row>
    <row r="8053" spans="1:19" x14ac:dyDescent="0.25">
      <c r="A8053" t="s">
        <v>59</v>
      </c>
      <c r="B8053" t="s">
        <v>31</v>
      </c>
      <c r="C8053" t="s">
        <v>32</v>
      </c>
      <c r="D8053" t="s">
        <v>953</v>
      </c>
      <c r="E8053" t="s">
        <v>7467</v>
      </c>
      <c r="F8053" t="s">
        <v>35</v>
      </c>
      <c r="G8053" t="s">
        <v>35</v>
      </c>
      <c r="H8053" t="s">
        <v>35</v>
      </c>
      <c r="J8053" t="s">
        <v>3952</v>
      </c>
      <c r="K8053" t="s">
        <v>1092</v>
      </c>
      <c r="M8053">
        <v>4.9950000000000001</v>
      </c>
      <c r="N8053">
        <v>91</v>
      </c>
      <c r="O8053" t="s">
        <v>106</v>
      </c>
      <c r="Q8053" t="s">
        <v>1147</v>
      </c>
      <c r="R8053" t="s">
        <v>6709</v>
      </c>
      <c r="S8053" t="s">
        <v>1022</v>
      </c>
    </row>
    <row r="8054" spans="1:19" x14ac:dyDescent="0.25">
      <c r="A8054" t="s">
        <v>59</v>
      </c>
      <c r="B8054" t="s">
        <v>31</v>
      </c>
      <c r="C8054" t="s">
        <v>32</v>
      </c>
      <c r="D8054" t="s">
        <v>953</v>
      </c>
      <c r="E8054" t="s">
        <v>7467</v>
      </c>
      <c r="F8054" t="s">
        <v>35</v>
      </c>
      <c r="G8054" t="s">
        <v>35</v>
      </c>
      <c r="H8054" t="s">
        <v>35</v>
      </c>
      <c r="J8054" t="s">
        <v>7472</v>
      </c>
      <c r="K8054" t="s">
        <v>1092</v>
      </c>
      <c r="M8054">
        <v>0.58499999999999996</v>
      </c>
      <c r="N8054">
        <v>65</v>
      </c>
      <c r="O8054" t="s">
        <v>61</v>
      </c>
      <c r="Q8054" t="s">
        <v>128</v>
      </c>
      <c r="R8054" t="s">
        <v>7029</v>
      </c>
      <c r="S8054" t="s">
        <v>7030</v>
      </c>
    </row>
    <row r="8055" spans="1:19" x14ac:dyDescent="0.25">
      <c r="A8055" t="s">
        <v>59</v>
      </c>
      <c r="B8055" t="s">
        <v>60</v>
      </c>
      <c r="C8055" t="s">
        <v>32</v>
      </c>
      <c r="D8055" t="s">
        <v>953</v>
      </c>
      <c r="E8055" t="s">
        <v>7467</v>
      </c>
      <c r="F8055" t="s">
        <v>35</v>
      </c>
      <c r="G8055" t="s">
        <v>35</v>
      </c>
      <c r="H8055" t="s">
        <v>35</v>
      </c>
      <c r="J8055" t="s">
        <v>7473</v>
      </c>
      <c r="K8055" t="s">
        <v>1092</v>
      </c>
      <c r="M8055">
        <v>2.25</v>
      </c>
      <c r="N8055">
        <v>62</v>
      </c>
      <c r="O8055" t="s">
        <v>61</v>
      </c>
      <c r="Q8055" t="s">
        <v>90</v>
      </c>
      <c r="R8055" t="s">
        <v>987</v>
      </c>
      <c r="S8055" t="s">
        <v>988</v>
      </c>
    </row>
    <row r="8056" spans="1:19" x14ac:dyDescent="0.25">
      <c r="A8056" t="s">
        <v>59</v>
      </c>
      <c r="B8056" t="s">
        <v>31</v>
      </c>
      <c r="C8056" t="s">
        <v>32</v>
      </c>
      <c r="D8056" t="s">
        <v>953</v>
      </c>
      <c r="E8056" t="s">
        <v>7467</v>
      </c>
      <c r="F8056" t="s">
        <v>35</v>
      </c>
      <c r="G8056" t="s">
        <v>35</v>
      </c>
      <c r="H8056" t="s">
        <v>35</v>
      </c>
      <c r="J8056" t="s">
        <v>7473</v>
      </c>
      <c r="K8056" t="s">
        <v>1092</v>
      </c>
      <c r="M8056">
        <v>0.99</v>
      </c>
      <c r="N8056">
        <v>54</v>
      </c>
      <c r="O8056" t="s">
        <v>52</v>
      </c>
      <c r="Q8056" t="s">
        <v>1207</v>
      </c>
      <c r="R8056" t="s">
        <v>6709</v>
      </c>
      <c r="S8056" t="s">
        <v>1022</v>
      </c>
    </row>
    <row r="8057" spans="1:19" x14ac:dyDescent="0.25">
      <c r="A8057" t="s">
        <v>59</v>
      </c>
      <c r="B8057" t="s">
        <v>60</v>
      </c>
      <c r="C8057" t="s">
        <v>32</v>
      </c>
      <c r="D8057" t="s">
        <v>953</v>
      </c>
      <c r="E8057" t="s">
        <v>7467</v>
      </c>
      <c r="F8057" t="s">
        <v>35</v>
      </c>
      <c r="G8057" t="s">
        <v>35</v>
      </c>
      <c r="H8057" t="s">
        <v>35</v>
      </c>
      <c r="J8057" t="s">
        <v>7474</v>
      </c>
      <c r="K8057" t="s">
        <v>1092</v>
      </c>
      <c r="M8057">
        <v>0.25</v>
      </c>
      <c r="N8057">
        <v>255</v>
      </c>
      <c r="O8057" t="s">
        <v>5</v>
      </c>
      <c r="Q8057" t="s">
        <v>1747</v>
      </c>
      <c r="R8057" t="s">
        <v>7029</v>
      </c>
      <c r="S8057" t="s">
        <v>7030</v>
      </c>
    </row>
    <row r="8058" spans="1:19" x14ac:dyDescent="0.25">
      <c r="A8058" t="s">
        <v>59</v>
      </c>
      <c r="B8058" t="s">
        <v>60</v>
      </c>
      <c r="C8058" t="s">
        <v>32</v>
      </c>
      <c r="D8058" t="s">
        <v>953</v>
      </c>
      <c r="E8058" t="s">
        <v>7467</v>
      </c>
      <c r="F8058" t="s">
        <v>35</v>
      </c>
      <c r="G8058" t="s">
        <v>35</v>
      </c>
      <c r="H8058" t="s">
        <v>35</v>
      </c>
      <c r="J8058" t="s">
        <v>7475</v>
      </c>
      <c r="K8058" t="s">
        <v>1092</v>
      </c>
      <c r="M8058">
        <v>0.15</v>
      </c>
      <c r="N8058">
        <v>469</v>
      </c>
      <c r="O8058" t="s">
        <v>294</v>
      </c>
      <c r="Q8058" t="s">
        <v>3662</v>
      </c>
      <c r="R8058" t="s">
        <v>7476</v>
      </c>
      <c r="S8058" t="s">
        <v>7477</v>
      </c>
    </row>
    <row r="8059" spans="1:19" x14ac:dyDescent="0.25">
      <c r="A8059" t="s">
        <v>59</v>
      </c>
      <c r="B8059" t="s">
        <v>31</v>
      </c>
      <c r="C8059" t="s">
        <v>32</v>
      </c>
      <c r="D8059" t="s">
        <v>953</v>
      </c>
      <c r="E8059" t="s">
        <v>7467</v>
      </c>
      <c r="F8059" t="s">
        <v>35</v>
      </c>
      <c r="G8059" t="s">
        <v>35</v>
      </c>
      <c r="H8059" t="s">
        <v>35</v>
      </c>
      <c r="J8059" t="s">
        <v>7479</v>
      </c>
      <c r="K8059" t="s">
        <v>1092</v>
      </c>
      <c r="M8059">
        <v>9.99</v>
      </c>
      <c r="N8059">
        <v>170</v>
      </c>
      <c r="O8059" t="s">
        <v>38</v>
      </c>
      <c r="Q8059" t="s">
        <v>2780</v>
      </c>
      <c r="R8059" t="s">
        <v>7029</v>
      </c>
      <c r="S8059" t="s">
        <v>7030</v>
      </c>
    </row>
    <row r="8060" spans="1:19" x14ac:dyDescent="0.25">
      <c r="A8060" t="s">
        <v>59</v>
      </c>
      <c r="B8060" t="s">
        <v>31</v>
      </c>
      <c r="C8060" t="s">
        <v>32</v>
      </c>
      <c r="D8060" t="s">
        <v>953</v>
      </c>
      <c r="E8060" t="s">
        <v>7467</v>
      </c>
      <c r="F8060" t="s">
        <v>35</v>
      </c>
      <c r="G8060" t="s">
        <v>35</v>
      </c>
      <c r="H8060" t="s">
        <v>35</v>
      </c>
      <c r="J8060" t="s">
        <v>7479</v>
      </c>
      <c r="K8060" t="s">
        <v>1092</v>
      </c>
      <c r="M8060">
        <v>4.9950000000000001</v>
      </c>
      <c r="N8060">
        <v>80</v>
      </c>
      <c r="O8060" t="s">
        <v>61</v>
      </c>
      <c r="Q8060" t="s">
        <v>477</v>
      </c>
      <c r="R8060" t="s">
        <v>6705</v>
      </c>
      <c r="S8060" t="s">
        <v>981</v>
      </c>
    </row>
    <row r="8061" spans="1:19" x14ac:dyDescent="0.25">
      <c r="A8061" t="s">
        <v>59</v>
      </c>
      <c r="B8061" t="s">
        <v>31</v>
      </c>
      <c r="C8061" t="s">
        <v>32</v>
      </c>
      <c r="D8061" t="s">
        <v>953</v>
      </c>
      <c r="E8061" t="s">
        <v>7467</v>
      </c>
      <c r="F8061" t="s">
        <v>35</v>
      </c>
      <c r="G8061" t="s">
        <v>35</v>
      </c>
      <c r="H8061" t="s">
        <v>35</v>
      </c>
      <c r="J8061" t="s">
        <v>7479</v>
      </c>
      <c r="K8061" t="s">
        <v>1092</v>
      </c>
      <c r="M8061">
        <v>2.4750000000000001</v>
      </c>
      <c r="N8061">
        <v>124</v>
      </c>
      <c r="O8061" t="s">
        <v>38</v>
      </c>
      <c r="Q8061" t="s">
        <v>406</v>
      </c>
      <c r="R8061" t="s">
        <v>6705</v>
      </c>
      <c r="S8061" t="s">
        <v>981</v>
      </c>
    </row>
    <row r="8062" spans="1:19" x14ac:dyDescent="0.25">
      <c r="A8062" t="s">
        <v>59</v>
      </c>
      <c r="B8062" t="s">
        <v>31</v>
      </c>
      <c r="C8062" t="s">
        <v>32</v>
      </c>
      <c r="D8062" t="s">
        <v>953</v>
      </c>
      <c r="E8062" t="s">
        <v>7467</v>
      </c>
      <c r="F8062" t="s">
        <v>35</v>
      </c>
      <c r="G8062" t="s">
        <v>35</v>
      </c>
      <c r="H8062" t="s">
        <v>35</v>
      </c>
      <c r="J8062" t="s">
        <v>7479</v>
      </c>
      <c r="K8062" t="s">
        <v>1092</v>
      </c>
      <c r="M8062">
        <v>0.94499999999999995</v>
      </c>
      <c r="N8062">
        <v>178</v>
      </c>
      <c r="O8062" t="s">
        <v>38</v>
      </c>
      <c r="Q8062" t="s">
        <v>2827</v>
      </c>
      <c r="R8062" t="s">
        <v>6705</v>
      </c>
      <c r="S8062" t="s">
        <v>981</v>
      </c>
    </row>
    <row r="8063" spans="1:19" x14ac:dyDescent="0.25">
      <c r="A8063" t="s">
        <v>59</v>
      </c>
      <c r="B8063" t="s">
        <v>60</v>
      </c>
      <c r="C8063" t="s">
        <v>32</v>
      </c>
      <c r="D8063" t="s">
        <v>953</v>
      </c>
      <c r="E8063" t="s">
        <v>7467</v>
      </c>
      <c r="F8063" t="s">
        <v>35</v>
      </c>
      <c r="G8063" t="s">
        <v>35</v>
      </c>
      <c r="H8063" t="s">
        <v>35</v>
      </c>
      <c r="J8063" t="s">
        <v>7479</v>
      </c>
      <c r="K8063" t="s">
        <v>1092</v>
      </c>
      <c r="M8063">
        <v>7.95</v>
      </c>
      <c r="N8063">
        <v>86</v>
      </c>
      <c r="O8063" t="s">
        <v>61</v>
      </c>
      <c r="Q8063" t="s">
        <v>1076</v>
      </c>
      <c r="R8063" t="s">
        <v>7029</v>
      </c>
      <c r="S8063" t="s">
        <v>7030</v>
      </c>
    </row>
    <row r="8064" spans="1:19" x14ac:dyDescent="0.25">
      <c r="A8064" t="s">
        <v>30</v>
      </c>
      <c r="B8064" t="s">
        <v>31</v>
      </c>
      <c r="C8064" t="s">
        <v>32</v>
      </c>
      <c r="D8064" t="s">
        <v>953</v>
      </c>
      <c r="E8064" t="s">
        <v>7467</v>
      </c>
      <c r="F8064" t="s">
        <v>35</v>
      </c>
      <c r="G8064" t="s">
        <v>35</v>
      </c>
      <c r="H8064" t="s">
        <v>35</v>
      </c>
      <c r="J8064" t="s">
        <v>7479</v>
      </c>
      <c r="K8064" t="s">
        <v>1092</v>
      </c>
      <c r="M8064">
        <v>2.2050000000000001</v>
      </c>
      <c r="N8064">
        <v>186</v>
      </c>
      <c r="O8064" t="s">
        <v>5</v>
      </c>
      <c r="Q8064" t="s">
        <v>1363</v>
      </c>
      <c r="R8064" t="s">
        <v>6705</v>
      </c>
      <c r="S8064" t="s">
        <v>981</v>
      </c>
    </row>
    <row r="8065" spans="1:19" x14ac:dyDescent="0.25">
      <c r="A8065" t="s">
        <v>30</v>
      </c>
      <c r="B8065" t="s">
        <v>31</v>
      </c>
      <c r="C8065" t="s">
        <v>32</v>
      </c>
      <c r="D8065" t="s">
        <v>953</v>
      </c>
      <c r="E8065" t="s">
        <v>7467</v>
      </c>
      <c r="F8065" t="s">
        <v>35</v>
      </c>
      <c r="G8065" t="s">
        <v>35</v>
      </c>
      <c r="H8065" t="s">
        <v>35</v>
      </c>
      <c r="J8065" t="s">
        <v>7479</v>
      </c>
      <c r="K8065" t="s">
        <v>1092</v>
      </c>
      <c r="M8065">
        <v>4.05</v>
      </c>
      <c r="N8065">
        <v>153</v>
      </c>
      <c r="O8065" t="s">
        <v>38</v>
      </c>
      <c r="Q8065" t="s">
        <v>569</v>
      </c>
      <c r="R8065" t="s">
        <v>6709</v>
      </c>
      <c r="S8065" t="s">
        <v>1022</v>
      </c>
    </row>
    <row r="8066" spans="1:19" x14ac:dyDescent="0.25">
      <c r="A8066" t="s">
        <v>59</v>
      </c>
      <c r="B8066" t="s">
        <v>31</v>
      </c>
      <c r="C8066" t="s">
        <v>32</v>
      </c>
      <c r="D8066" t="s">
        <v>953</v>
      </c>
      <c r="E8066" t="s">
        <v>7467</v>
      </c>
      <c r="F8066" t="s">
        <v>35</v>
      </c>
      <c r="G8066" t="s">
        <v>35</v>
      </c>
      <c r="H8066" t="s">
        <v>35</v>
      </c>
      <c r="J8066" t="s">
        <v>7479</v>
      </c>
      <c r="K8066" t="s">
        <v>1092</v>
      </c>
      <c r="M8066">
        <v>2.2949999999999999</v>
      </c>
      <c r="N8066">
        <v>112</v>
      </c>
      <c r="O8066" t="s">
        <v>106</v>
      </c>
      <c r="Q8066" t="s">
        <v>171</v>
      </c>
      <c r="R8066" t="s">
        <v>6897</v>
      </c>
      <c r="S8066" t="s">
        <v>1062</v>
      </c>
    </row>
    <row r="8067" spans="1:19" x14ac:dyDescent="0.25">
      <c r="A8067" t="s">
        <v>59</v>
      </c>
      <c r="B8067" t="s">
        <v>60</v>
      </c>
      <c r="C8067" t="s">
        <v>32</v>
      </c>
      <c r="D8067" t="s">
        <v>953</v>
      </c>
      <c r="E8067" t="s">
        <v>7467</v>
      </c>
      <c r="F8067" t="s">
        <v>35</v>
      </c>
      <c r="G8067" t="s">
        <v>35</v>
      </c>
      <c r="H8067" t="s">
        <v>35</v>
      </c>
      <c r="J8067" t="s">
        <v>7480</v>
      </c>
      <c r="K8067" t="s">
        <v>1092</v>
      </c>
      <c r="M8067">
        <v>1.45</v>
      </c>
      <c r="N8067">
        <v>170</v>
      </c>
      <c r="O8067" t="s">
        <v>38</v>
      </c>
      <c r="Q8067" t="s">
        <v>2780</v>
      </c>
      <c r="R8067" t="s">
        <v>7029</v>
      </c>
      <c r="S8067" t="s">
        <v>7030</v>
      </c>
    </row>
    <row r="8068" spans="1:19" x14ac:dyDescent="0.25">
      <c r="A8068" t="s">
        <v>59</v>
      </c>
      <c r="B8068" t="s">
        <v>60</v>
      </c>
      <c r="C8068" t="s">
        <v>32</v>
      </c>
      <c r="D8068" t="s">
        <v>953</v>
      </c>
      <c r="E8068" t="s">
        <v>7467</v>
      </c>
      <c r="F8068" t="s">
        <v>35</v>
      </c>
      <c r="G8068" t="s">
        <v>35</v>
      </c>
      <c r="H8068" t="s">
        <v>35</v>
      </c>
      <c r="J8068" t="s">
        <v>7481</v>
      </c>
      <c r="K8068" t="s">
        <v>1092</v>
      </c>
      <c r="M8068">
        <v>5</v>
      </c>
      <c r="N8068">
        <v>90</v>
      </c>
      <c r="O8068" t="s">
        <v>61</v>
      </c>
      <c r="Q8068" t="s">
        <v>897</v>
      </c>
      <c r="R8068" t="s">
        <v>6847</v>
      </c>
      <c r="S8068" t="s">
        <v>1034</v>
      </c>
    </row>
    <row r="8069" spans="1:19" x14ac:dyDescent="0.25">
      <c r="A8069" t="s">
        <v>59</v>
      </c>
      <c r="B8069" t="s">
        <v>31</v>
      </c>
      <c r="C8069" t="s">
        <v>32</v>
      </c>
      <c r="D8069" t="s">
        <v>953</v>
      </c>
      <c r="E8069" t="s">
        <v>7467</v>
      </c>
      <c r="F8069" t="s">
        <v>35</v>
      </c>
      <c r="G8069" t="s">
        <v>35</v>
      </c>
      <c r="H8069" t="s">
        <v>35</v>
      </c>
      <c r="J8069" t="s">
        <v>7481</v>
      </c>
      <c r="K8069" t="s">
        <v>1092</v>
      </c>
      <c r="M8069">
        <v>4.9950000000000001</v>
      </c>
      <c r="N8069">
        <v>90</v>
      </c>
      <c r="O8069" t="s">
        <v>61</v>
      </c>
      <c r="Q8069" t="s">
        <v>897</v>
      </c>
      <c r="R8069" t="s">
        <v>6847</v>
      </c>
      <c r="S8069" t="s">
        <v>1034</v>
      </c>
    </row>
    <row r="8070" spans="1:19" x14ac:dyDescent="0.25">
      <c r="A8070" t="s">
        <v>59</v>
      </c>
      <c r="B8070" t="s">
        <v>60</v>
      </c>
      <c r="C8070" t="s">
        <v>32</v>
      </c>
      <c r="D8070" t="s">
        <v>953</v>
      </c>
      <c r="E8070" t="s">
        <v>7467</v>
      </c>
      <c r="F8070" t="s">
        <v>35</v>
      </c>
      <c r="G8070" t="s">
        <v>35</v>
      </c>
      <c r="H8070" t="s">
        <v>35</v>
      </c>
      <c r="J8070" t="s">
        <v>7482</v>
      </c>
      <c r="K8070" t="s">
        <v>1092</v>
      </c>
      <c r="M8070">
        <v>8.1999999999999993</v>
      </c>
      <c r="N8070">
        <v>91</v>
      </c>
      <c r="O8070" t="s">
        <v>106</v>
      </c>
      <c r="Q8070" t="s">
        <v>1147</v>
      </c>
      <c r="R8070" t="s">
        <v>6709</v>
      </c>
      <c r="S8070" t="s">
        <v>1022</v>
      </c>
    </row>
    <row r="8071" spans="1:19" x14ac:dyDescent="0.25">
      <c r="A8071" t="s">
        <v>59</v>
      </c>
      <c r="B8071" t="s">
        <v>31</v>
      </c>
      <c r="C8071" t="s">
        <v>32</v>
      </c>
      <c r="D8071" t="s">
        <v>953</v>
      </c>
      <c r="E8071" t="s">
        <v>7467</v>
      </c>
      <c r="F8071" t="s">
        <v>35</v>
      </c>
      <c r="G8071" t="s">
        <v>35</v>
      </c>
      <c r="H8071" t="s">
        <v>35</v>
      </c>
      <c r="J8071" t="s">
        <v>7482</v>
      </c>
      <c r="K8071" t="s">
        <v>1092</v>
      </c>
      <c r="M8071">
        <v>1.7549999999999999</v>
      </c>
      <c r="N8071">
        <v>91</v>
      </c>
      <c r="O8071" t="s">
        <v>106</v>
      </c>
      <c r="Q8071" t="s">
        <v>1147</v>
      </c>
      <c r="R8071" t="s">
        <v>6709</v>
      </c>
      <c r="S8071" t="s">
        <v>1022</v>
      </c>
    </row>
    <row r="8072" spans="1:19" x14ac:dyDescent="0.25">
      <c r="A8072" t="s">
        <v>44</v>
      </c>
      <c r="B8072" t="s">
        <v>3</v>
      </c>
      <c r="C8072" t="s">
        <v>32</v>
      </c>
      <c r="D8072" t="s">
        <v>953</v>
      </c>
      <c r="E8072" t="s">
        <v>7467</v>
      </c>
      <c r="F8072" t="s">
        <v>35</v>
      </c>
      <c r="G8072" t="s">
        <v>35</v>
      </c>
      <c r="H8072" t="s">
        <v>35</v>
      </c>
      <c r="J8072" t="s">
        <v>7482</v>
      </c>
      <c r="K8072" t="s">
        <v>1092</v>
      </c>
      <c r="M8072">
        <v>5</v>
      </c>
      <c r="N8072">
        <v>65</v>
      </c>
      <c r="O8072" t="s">
        <v>61</v>
      </c>
      <c r="Q8072" t="s">
        <v>128</v>
      </c>
      <c r="R8072" t="s">
        <v>6742</v>
      </c>
      <c r="S8072" t="s">
        <v>1016</v>
      </c>
    </row>
    <row r="8073" spans="1:19" x14ac:dyDescent="0.25">
      <c r="A8073" t="s">
        <v>59</v>
      </c>
      <c r="B8073" t="s">
        <v>60</v>
      </c>
      <c r="C8073" t="s">
        <v>32</v>
      </c>
      <c r="D8073" t="s">
        <v>953</v>
      </c>
      <c r="E8073" t="s">
        <v>7467</v>
      </c>
      <c r="F8073" t="s">
        <v>35</v>
      </c>
      <c r="G8073" t="s">
        <v>35</v>
      </c>
      <c r="H8073" t="s">
        <v>35</v>
      </c>
      <c r="J8073" t="s">
        <v>7483</v>
      </c>
      <c r="K8073" t="s">
        <v>1092</v>
      </c>
      <c r="M8073">
        <v>4</v>
      </c>
      <c r="N8073">
        <v>80</v>
      </c>
      <c r="O8073" t="s">
        <v>61</v>
      </c>
      <c r="Q8073" t="s">
        <v>477</v>
      </c>
      <c r="R8073" t="s">
        <v>6705</v>
      </c>
      <c r="S8073" t="s">
        <v>981</v>
      </c>
    </row>
    <row r="8074" spans="1:19" x14ac:dyDescent="0.25">
      <c r="A8074" t="s">
        <v>30</v>
      </c>
      <c r="B8074" t="s">
        <v>31</v>
      </c>
      <c r="C8074" t="s">
        <v>32</v>
      </c>
      <c r="D8074" t="s">
        <v>953</v>
      </c>
      <c r="E8074" t="s">
        <v>7467</v>
      </c>
      <c r="F8074" t="s">
        <v>35</v>
      </c>
      <c r="G8074" t="s">
        <v>35</v>
      </c>
      <c r="H8074" t="s">
        <v>35</v>
      </c>
      <c r="J8074" t="s">
        <v>7484</v>
      </c>
      <c r="K8074" t="s">
        <v>1092</v>
      </c>
      <c r="M8074">
        <v>9.99</v>
      </c>
      <c r="N8074">
        <v>22</v>
      </c>
      <c r="O8074" t="s">
        <v>46</v>
      </c>
      <c r="Q8074" t="s">
        <v>979</v>
      </c>
      <c r="R8074" t="s">
        <v>6723</v>
      </c>
      <c r="S8074" t="s">
        <v>6724</v>
      </c>
    </row>
    <row r="8075" spans="1:19" x14ac:dyDescent="0.25">
      <c r="A8075" t="s">
        <v>30</v>
      </c>
      <c r="B8075" t="s">
        <v>31</v>
      </c>
      <c r="C8075" t="s">
        <v>32</v>
      </c>
      <c r="D8075" t="s">
        <v>953</v>
      </c>
      <c r="E8075" t="s">
        <v>7467</v>
      </c>
      <c r="F8075" t="s">
        <v>35</v>
      </c>
      <c r="G8075" t="s">
        <v>35</v>
      </c>
      <c r="H8075" t="s">
        <v>35</v>
      </c>
      <c r="J8075" t="s">
        <v>7485</v>
      </c>
      <c r="K8075" t="s">
        <v>1092</v>
      </c>
      <c r="M8075">
        <v>2E-3</v>
      </c>
      <c r="N8075">
        <v>1915</v>
      </c>
      <c r="O8075" t="s">
        <v>575</v>
      </c>
      <c r="Q8075" t="s">
        <v>2088</v>
      </c>
      <c r="R8075" t="s">
        <v>7486</v>
      </c>
      <c r="S8075" t="s">
        <v>7469</v>
      </c>
    </row>
    <row r="8076" spans="1:19" x14ac:dyDescent="0.25">
      <c r="A8076" t="s">
        <v>59</v>
      </c>
      <c r="B8076" t="s">
        <v>60</v>
      </c>
      <c r="C8076" t="s">
        <v>32</v>
      </c>
      <c r="D8076" t="s">
        <v>953</v>
      </c>
      <c r="E8076" t="s">
        <v>7467</v>
      </c>
      <c r="F8076" t="s">
        <v>35</v>
      </c>
      <c r="G8076" t="s">
        <v>35</v>
      </c>
      <c r="H8076" t="s">
        <v>35</v>
      </c>
      <c r="J8076" t="s">
        <v>7485</v>
      </c>
      <c r="K8076" t="s">
        <v>1092</v>
      </c>
      <c r="M8076">
        <v>0.8</v>
      </c>
      <c r="N8076">
        <v>1915</v>
      </c>
      <c r="O8076" t="s">
        <v>575</v>
      </c>
      <c r="Q8076" t="s">
        <v>2088</v>
      </c>
      <c r="R8076" t="s">
        <v>7486</v>
      </c>
      <c r="S8076" t="s">
        <v>7469</v>
      </c>
    </row>
    <row r="8077" spans="1:19" x14ac:dyDescent="0.25">
      <c r="A8077" t="s">
        <v>59</v>
      </c>
      <c r="B8077" t="s">
        <v>60</v>
      </c>
      <c r="C8077" t="s">
        <v>32</v>
      </c>
      <c r="D8077" t="s">
        <v>953</v>
      </c>
      <c r="E8077" t="s">
        <v>7467</v>
      </c>
      <c r="F8077" t="s">
        <v>35</v>
      </c>
      <c r="G8077" t="s">
        <v>35</v>
      </c>
      <c r="H8077" t="s">
        <v>35</v>
      </c>
      <c r="J8077" t="s">
        <v>7487</v>
      </c>
      <c r="K8077" t="s">
        <v>1092</v>
      </c>
      <c r="M8077">
        <v>0.2</v>
      </c>
      <c r="N8077">
        <v>397</v>
      </c>
      <c r="O8077" t="s">
        <v>294</v>
      </c>
      <c r="Q8077" t="s">
        <v>1808</v>
      </c>
      <c r="R8077" t="s">
        <v>133</v>
      </c>
      <c r="S8077" t="s">
        <v>134</v>
      </c>
    </row>
    <row r="8078" spans="1:19" x14ac:dyDescent="0.25">
      <c r="A8078" t="s">
        <v>44</v>
      </c>
      <c r="B8078" t="s">
        <v>3</v>
      </c>
      <c r="C8078" t="s">
        <v>32</v>
      </c>
      <c r="D8078" t="s">
        <v>953</v>
      </c>
      <c r="E8078" t="s">
        <v>7467</v>
      </c>
      <c r="F8078" t="s">
        <v>35</v>
      </c>
      <c r="G8078" t="s">
        <v>35</v>
      </c>
      <c r="H8078" t="s">
        <v>35</v>
      </c>
      <c r="J8078" t="s">
        <v>7487</v>
      </c>
      <c r="K8078" t="s">
        <v>1092</v>
      </c>
      <c r="M8078">
        <v>0.25</v>
      </c>
      <c r="N8078">
        <v>493</v>
      </c>
      <c r="O8078" t="s">
        <v>294</v>
      </c>
      <c r="Q8078" t="s">
        <v>1107</v>
      </c>
      <c r="R8078" t="s">
        <v>133</v>
      </c>
      <c r="S8078" t="s">
        <v>134</v>
      </c>
    </row>
    <row r="8079" spans="1:19" x14ac:dyDescent="0.25">
      <c r="A8079" t="s">
        <v>44</v>
      </c>
      <c r="B8079" t="s">
        <v>51</v>
      </c>
      <c r="C8079" t="s">
        <v>32</v>
      </c>
      <c r="D8079" t="s">
        <v>953</v>
      </c>
      <c r="E8079" t="s">
        <v>7467</v>
      </c>
      <c r="F8079" t="s">
        <v>35</v>
      </c>
      <c r="G8079" t="s">
        <v>35</v>
      </c>
      <c r="H8079" t="s">
        <v>35</v>
      </c>
      <c r="J8079" t="s">
        <v>7487</v>
      </c>
      <c r="K8079" t="s">
        <v>1092</v>
      </c>
      <c r="M8079">
        <v>0.5</v>
      </c>
      <c r="N8079">
        <v>493</v>
      </c>
      <c r="O8079" t="s">
        <v>294</v>
      </c>
      <c r="Q8079" t="s">
        <v>1107</v>
      </c>
      <c r="R8079" t="s">
        <v>133</v>
      </c>
      <c r="S8079" t="s">
        <v>134</v>
      </c>
    </row>
    <row r="8080" spans="1:19" x14ac:dyDescent="0.25">
      <c r="A8080" t="s">
        <v>30</v>
      </c>
      <c r="B8080" t="s">
        <v>31</v>
      </c>
      <c r="C8080" t="s">
        <v>32</v>
      </c>
      <c r="D8080" t="s">
        <v>953</v>
      </c>
      <c r="E8080" t="s">
        <v>7467</v>
      </c>
      <c r="F8080" t="s">
        <v>35</v>
      </c>
      <c r="G8080" t="s">
        <v>35</v>
      </c>
      <c r="H8080" t="s">
        <v>35</v>
      </c>
      <c r="J8080" t="s">
        <v>7487</v>
      </c>
      <c r="K8080" t="s">
        <v>1092</v>
      </c>
      <c r="M8080">
        <v>4.32</v>
      </c>
      <c r="N8080">
        <v>20</v>
      </c>
      <c r="O8080" t="s">
        <v>46</v>
      </c>
      <c r="Q8080" t="s">
        <v>1004</v>
      </c>
      <c r="R8080" t="s">
        <v>133</v>
      </c>
      <c r="S8080" t="s">
        <v>134</v>
      </c>
    </row>
    <row r="8081" spans="1:19" x14ac:dyDescent="0.25">
      <c r="A8081" t="s">
        <v>59</v>
      </c>
      <c r="B8081" t="s">
        <v>31</v>
      </c>
      <c r="C8081" t="s">
        <v>32</v>
      </c>
      <c r="D8081" t="s">
        <v>953</v>
      </c>
      <c r="E8081" t="s">
        <v>7467</v>
      </c>
      <c r="F8081" t="s">
        <v>35</v>
      </c>
      <c r="G8081" t="s">
        <v>35</v>
      </c>
      <c r="H8081" t="s">
        <v>35</v>
      </c>
      <c r="J8081" t="s">
        <v>7487</v>
      </c>
      <c r="K8081" t="s">
        <v>1092</v>
      </c>
      <c r="M8081">
        <v>0.495</v>
      </c>
      <c r="N8081">
        <v>437</v>
      </c>
      <c r="O8081" t="s">
        <v>294</v>
      </c>
      <c r="Q8081" t="s">
        <v>7363</v>
      </c>
      <c r="R8081" t="s">
        <v>133</v>
      </c>
      <c r="S8081" t="s">
        <v>134</v>
      </c>
    </row>
    <row r="8082" spans="1:19" x14ac:dyDescent="0.25">
      <c r="A8082" t="s">
        <v>59</v>
      </c>
      <c r="B8082" t="s">
        <v>60</v>
      </c>
      <c r="C8082" t="s">
        <v>32</v>
      </c>
      <c r="D8082" t="s">
        <v>953</v>
      </c>
      <c r="E8082" t="s">
        <v>7467</v>
      </c>
      <c r="F8082" t="s">
        <v>35</v>
      </c>
      <c r="G8082" t="s">
        <v>35</v>
      </c>
      <c r="H8082" t="s">
        <v>35</v>
      </c>
      <c r="J8082" t="s">
        <v>2419</v>
      </c>
      <c r="K8082" t="s">
        <v>1092</v>
      </c>
      <c r="M8082">
        <v>0.9</v>
      </c>
      <c r="N8082">
        <v>531</v>
      </c>
      <c r="O8082" t="s">
        <v>294</v>
      </c>
      <c r="Q8082" t="s">
        <v>1619</v>
      </c>
      <c r="R8082" t="s">
        <v>6847</v>
      </c>
      <c r="S8082" t="s">
        <v>1034</v>
      </c>
    </row>
    <row r="8083" spans="1:19" x14ac:dyDescent="0.25">
      <c r="A8083" t="s">
        <v>59</v>
      </c>
      <c r="B8083" t="s">
        <v>31</v>
      </c>
      <c r="C8083" t="s">
        <v>32</v>
      </c>
      <c r="D8083" t="s">
        <v>953</v>
      </c>
      <c r="E8083" t="s">
        <v>7467</v>
      </c>
      <c r="F8083" t="s">
        <v>35</v>
      </c>
      <c r="G8083" t="s">
        <v>35</v>
      </c>
      <c r="H8083" t="s">
        <v>35</v>
      </c>
      <c r="J8083" t="s">
        <v>2419</v>
      </c>
      <c r="K8083" t="s">
        <v>1092</v>
      </c>
      <c r="M8083">
        <v>0.76500000000000001</v>
      </c>
      <c r="N8083">
        <v>510</v>
      </c>
      <c r="O8083" t="s">
        <v>294</v>
      </c>
      <c r="Q8083" t="s">
        <v>4279</v>
      </c>
      <c r="R8083" t="s">
        <v>6742</v>
      </c>
      <c r="S8083" t="s">
        <v>1016</v>
      </c>
    </row>
    <row r="8084" spans="1:19" x14ac:dyDescent="0.25">
      <c r="A8084" t="s">
        <v>44</v>
      </c>
      <c r="B8084" t="s">
        <v>51</v>
      </c>
      <c r="C8084" t="s">
        <v>32</v>
      </c>
      <c r="D8084" t="s">
        <v>953</v>
      </c>
      <c r="E8084" t="s">
        <v>7467</v>
      </c>
      <c r="F8084" t="s">
        <v>35</v>
      </c>
      <c r="G8084" t="s">
        <v>35</v>
      </c>
      <c r="H8084" t="s">
        <v>35</v>
      </c>
      <c r="J8084" t="s">
        <v>2419</v>
      </c>
      <c r="K8084" t="s">
        <v>1092</v>
      </c>
      <c r="M8084">
        <v>0.05</v>
      </c>
      <c r="N8084">
        <v>510</v>
      </c>
      <c r="O8084" t="s">
        <v>294</v>
      </c>
      <c r="Q8084" t="s">
        <v>4279</v>
      </c>
      <c r="R8084" t="s">
        <v>973</v>
      </c>
      <c r="S8084" t="s">
        <v>974</v>
      </c>
    </row>
    <row r="8085" spans="1:19" x14ac:dyDescent="0.25">
      <c r="A8085" t="s">
        <v>44</v>
      </c>
      <c r="B8085" t="s">
        <v>3</v>
      </c>
      <c r="C8085" t="s">
        <v>32</v>
      </c>
      <c r="D8085" t="s">
        <v>953</v>
      </c>
      <c r="E8085" t="s">
        <v>7467</v>
      </c>
      <c r="F8085" t="s">
        <v>35</v>
      </c>
      <c r="G8085" t="s">
        <v>35</v>
      </c>
      <c r="H8085" t="s">
        <v>35</v>
      </c>
      <c r="J8085" t="s">
        <v>2419</v>
      </c>
      <c r="K8085" t="s">
        <v>1092</v>
      </c>
      <c r="M8085">
        <v>0.4</v>
      </c>
      <c r="N8085">
        <v>485</v>
      </c>
      <c r="O8085" t="s">
        <v>294</v>
      </c>
      <c r="Q8085" t="s">
        <v>7488</v>
      </c>
      <c r="R8085" t="s">
        <v>6897</v>
      </c>
      <c r="S8085" t="s">
        <v>1062</v>
      </c>
    </row>
    <row r="8086" spans="1:19" x14ac:dyDescent="0.25">
      <c r="A8086" t="s">
        <v>30</v>
      </c>
      <c r="B8086" t="s">
        <v>31</v>
      </c>
      <c r="C8086" t="s">
        <v>32</v>
      </c>
      <c r="D8086" t="s">
        <v>953</v>
      </c>
      <c r="E8086" t="s">
        <v>7467</v>
      </c>
      <c r="F8086" t="s">
        <v>35</v>
      </c>
      <c r="G8086" t="s">
        <v>35</v>
      </c>
      <c r="H8086" t="s">
        <v>35</v>
      </c>
      <c r="J8086" t="s">
        <v>2419</v>
      </c>
      <c r="K8086" t="s">
        <v>1092</v>
      </c>
      <c r="M8086">
        <v>0.18</v>
      </c>
      <c r="N8086">
        <v>1067</v>
      </c>
      <c r="O8086" t="s">
        <v>575</v>
      </c>
      <c r="Q8086" t="s">
        <v>1407</v>
      </c>
      <c r="R8086" t="s">
        <v>6847</v>
      </c>
      <c r="S8086" t="s">
        <v>1034</v>
      </c>
    </row>
    <row r="8087" spans="1:19" x14ac:dyDescent="0.25">
      <c r="A8087" t="s">
        <v>59</v>
      </c>
      <c r="B8087" t="s">
        <v>31</v>
      </c>
      <c r="C8087" t="s">
        <v>32</v>
      </c>
      <c r="D8087" t="s">
        <v>953</v>
      </c>
      <c r="E8087" t="s">
        <v>7467</v>
      </c>
      <c r="F8087" t="s">
        <v>35</v>
      </c>
      <c r="G8087" t="s">
        <v>35</v>
      </c>
      <c r="H8087" t="s">
        <v>35</v>
      </c>
      <c r="J8087" t="s">
        <v>7489</v>
      </c>
      <c r="K8087" t="s">
        <v>1092</v>
      </c>
      <c r="M8087">
        <v>4.4999999999999998E-2</v>
      </c>
      <c r="N8087">
        <v>93</v>
      </c>
      <c r="O8087" t="s">
        <v>106</v>
      </c>
      <c r="Q8087" t="s">
        <v>941</v>
      </c>
      <c r="R8087" t="s">
        <v>6742</v>
      </c>
      <c r="S8087" t="s">
        <v>1016</v>
      </c>
    </row>
    <row r="8088" spans="1:19" x14ac:dyDescent="0.25">
      <c r="A8088" t="s">
        <v>59</v>
      </c>
      <c r="B8088" t="s">
        <v>60</v>
      </c>
      <c r="C8088" t="s">
        <v>32</v>
      </c>
      <c r="D8088" t="s">
        <v>953</v>
      </c>
      <c r="E8088" t="s">
        <v>7467</v>
      </c>
      <c r="F8088" t="s">
        <v>35</v>
      </c>
      <c r="G8088" t="s">
        <v>35</v>
      </c>
      <c r="H8088" t="s">
        <v>35</v>
      </c>
      <c r="J8088" t="s">
        <v>7490</v>
      </c>
      <c r="K8088" t="s">
        <v>1092</v>
      </c>
      <c r="M8088">
        <v>2.4</v>
      </c>
      <c r="N8088">
        <v>230</v>
      </c>
      <c r="O8088" t="s">
        <v>5</v>
      </c>
      <c r="Q8088" t="s">
        <v>1544</v>
      </c>
      <c r="R8088" t="s">
        <v>7029</v>
      </c>
      <c r="S8088" t="s">
        <v>7030</v>
      </c>
    </row>
    <row r="8089" spans="1:19" x14ac:dyDescent="0.25">
      <c r="A8089" t="s">
        <v>59</v>
      </c>
      <c r="B8089" t="s">
        <v>31</v>
      </c>
      <c r="C8089" t="s">
        <v>32</v>
      </c>
      <c r="D8089" t="s">
        <v>953</v>
      </c>
      <c r="E8089" t="s">
        <v>7467</v>
      </c>
      <c r="F8089" t="s">
        <v>35</v>
      </c>
      <c r="G8089" t="s">
        <v>35</v>
      </c>
      <c r="H8089" t="s">
        <v>35</v>
      </c>
      <c r="J8089" t="s">
        <v>628</v>
      </c>
      <c r="K8089" t="s">
        <v>1092</v>
      </c>
      <c r="M8089">
        <v>0.63</v>
      </c>
      <c r="N8089">
        <v>1173</v>
      </c>
      <c r="O8089" t="s">
        <v>575</v>
      </c>
      <c r="Q8089" t="s">
        <v>7492</v>
      </c>
      <c r="R8089" t="s">
        <v>6705</v>
      </c>
      <c r="S8089" t="s">
        <v>981</v>
      </c>
    </row>
    <row r="8090" spans="1:19" x14ac:dyDescent="0.25">
      <c r="A8090" t="s">
        <v>59</v>
      </c>
      <c r="B8090" t="s">
        <v>60</v>
      </c>
      <c r="C8090" t="s">
        <v>32</v>
      </c>
      <c r="D8090" t="s">
        <v>953</v>
      </c>
      <c r="E8090" t="s">
        <v>7467</v>
      </c>
      <c r="F8090" t="s">
        <v>35</v>
      </c>
      <c r="G8090" t="s">
        <v>35</v>
      </c>
      <c r="H8090" t="s">
        <v>35</v>
      </c>
      <c r="J8090" t="s">
        <v>628</v>
      </c>
      <c r="K8090" t="s">
        <v>1092</v>
      </c>
      <c r="M8090">
        <v>4.5</v>
      </c>
      <c r="N8090">
        <v>695</v>
      </c>
      <c r="O8090" t="s">
        <v>575</v>
      </c>
      <c r="Q8090" t="s">
        <v>7491</v>
      </c>
      <c r="R8090" t="s">
        <v>133</v>
      </c>
      <c r="S8090" t="s">
        <v>134</v>
      </c>
    </row>
    <row r="8091" spans="1:19" x14ac:dyDescent="0.25">
      <c r="A8091" t="s">
        <v>59</v>
      </c>
      <c r="B8091" t="s">
        <v>60</v>
      </c>
      <c r="C8091" t="s">
        <v>32</v>
      </c>
      <c r="D8091" t="s">
        <v>953</v>
      </c>
      <c r="E8091" t="s">
        <v>7467</v>
      </c>
      <c r="F8091" t="s">
        <v>35</v>
      </c>
      <c r="G8091" t="s">
        <v>35</v>
      </c>
      <c r="H8091" t="s">
        <v>35</v>
      </c>
      <c r="J8091" t="s">
        <v>628</v>
      </c>
      <c r="K8091" t="s">
        <v>1092</v>
      </c>
      <c r="M8091">
        <v>0.45</v>
      </c>
      <c r="N8091">
        <v>170</v>
      </c>
      <c r="O8091" t="s">
        <v>38</v>
      </c>
      <c r="Q8091" t="s">
        <v>2780</v>
      </c>
      <c r="R8091" t="s">
        <v>7029</v>
      </c>
      <c r="S8091" t="s">
        <v>7030</v>
      </c>
    </row>
    <row r="8092" spans="1:19" x14ac:dyDescent="0.25">
      <c r="A8092" t="s">
        <v>30</v>
      </c>
      <c r="B8092" t="s">
        <v>31</v>
      </c>
      <c r="C8092" t="s">
        <v>32</v>
      </c>
      <c r="D8092" t="s">
        <v>953</v>
      </c>
      <c r="E8092" t="s">
        <v>7467</v>
      </c>
      <c r="F8092" t="s">
        <v>35</v>
      </c>
      <c r="G8092" t="s">
        <v>35</v>
      </c>
      <c r="H8092" t="s">
        <v>35</v>
      </c>
      <c r="J8092" t="s">
        <v>7241</v>
      </c>
      <c r="K8092" t="s">
        <v>1092</v>
      </c>
      <c r="M8092">
        <v>1.395</v>
      </c>
      <c r="N8092">
        <v>26</v>
      </c>
      <c r="O8092" t="s">
        <v>46</v>
      </c>
      <c r="Q8092" t="s">
        <v>94</v>
      </c>
      <c r="R8092" t="s">
        <v>133</v>
      </c>
      <c r="S8092" t="s">
        <v>134</v>
      </c>
    </row>
    <row r="8093" spans="1:19" x14ac:dyDescent="0.25">
      <c r="A8093" t="s">
        <v>59</v>
      </c>
      <c r="B8093" t="s">
        <v>60</v>
      </c>
      <c r="C8093" t="s">
        <v>32</v>
      </c>
      <c r="D8093" t="s">
        <v>953</v>
      </c>
      <c r="E8093" t="s">
        <v>7467</v>
      </c>
      <c r="F8093" t="s">
        <v>35</v>
      </c>
      <c r="G8093" t="s">
        <v>35</v>
      </c>
      <c r="H8093" t="s">
        <v>35</v>
      </c>
      <c r="J8093" t="s">
        <v>7241</v>
      </c>
      <c r="K8093" t="s">
        <v>1092</v>
      </c>
      <c r="M8093">
        <v>2</v>
      </c>
      <c r="N8093">
        <v>157</v>
      </c>
      <c r="O8093" t="s">
        <v>38</v>
      </c>
      <c r="Q8093" t="s">
        <v>1145</v>
      </c>
      <c r="R8093" t="s">
        <v>133</v>
      </c>
      <c r="S8093" t="s">
        <v>134</v>
      </c>
    </row>
    <row r="8094" spans="1:19" x14ac:dyDescent="0.25">
      <c r="A8094" t="s">
        <v>59</v>
      </c>
      <c r="B8094" t="s">
        <v>60</v>
      </c>
      <c r="C8094" t="s">
        <v>32</v>
      </c>
      <c r="D8094" t="s">
        <v>953</v>
      </c>
      <c r="E8094" t="s">
        <v>7467</v>
      </c>
      <c r="F8094" t="s">
        <v>35</v>
      </c>
      <c r="G8094" t="s">
        <v>35</v>
      </c>
      <c r="H8094" t="s">
        <v>35</v>
      </c>
      <c r="J8094" t="s">
        <v>7241</v>
      </c>
      <c r="K8094" t="s">
        <v>1092</v>
      </c>
      <c r="M8094">
        <v>0.45</v>
      </c>
      <c r="N8094">
        <v>86</v>
      </c>
      <c r="O8094" t="s">
        <v>61</v>
      </c>
      <c r="Q8094" t="s">
        <v>1076</v>
      </c>
      <c r="R8094" t="s">
        <v>133</v>
      </c>
      <c r="S8094" t="s">
        <v>134</v>
      </c>
    </row>
    <row r="8095" spans="1:19" x14ac:dyDescent="0.25">
      <c r="A8095" t="s">
        <v>59</v>
      </c>
      <c r="B8095" t="s">
        <v>60</v>
      </c>
      <c r="C8095" t="s">
        <v>32</v>
      </c>
      <c r="D8095" t="s">
        <v>953</v>
      </c>
      <c r="E8095" t="s">
        <v>7467</v>
      </c>
      <c r="F8095" t="s">
        <v>35</v>
      </c>
      <c r="G8095" t="s">
        <v>35</v>
      </c>
      <c r="H8095" t="s">
        <v>35</v>
      </c>
      <c r="J8095" t="s">
        <v>7241</v>
      </c>
      <c r="K8095" t="s">
        <v>1092</v>
      </c>
      <c r="M8095">
        <v>0.5</v>
      </c>
      <c r="N8095">
        <v>76</v>
      </c>
      <c r="O8095" t="s">
        <v>61</v>
      </c>
      <c r="Q8095" t="s">
        <v>234</v>
      </c>
      <c r="R8095" t="s">
        <v>133</v>
      </c>
      <c r="S8095" t="s">
        <v>134</v>
      </c>
    </row>
    <row r="8096" spans="1:19" x14ac:dyDescent="0.25">
      <c r="A8096" t="s">
        <v>59</v>
      </c>
      <c r="B8096" t="s">
        <v>60</v>
      </c>
      <c r="C8096" t="s">
        <v>32</v>
      </c>
      <c r="D8096" t="s">
        <v>953</v>
      </c>
      <c r="E8096" t="s">
        <v>7467</v>
      </c>
      <c r="F8096" t="s">
        <v>35</v>
      </c>
      <c r="G8096" t="s">
        <v>35</v>
      </c>
      <c r="H8096" t="s">
        <v>35</v>
      </c>
      <c r="J8096" t="s">
        <v>7241</v>
      </c>
      <c r="K8096" t="s">
        <v>1092</v>
      </c>
      <c r="M8096">
        <v>1</v>
      </c>
      <c r="N8096">
        <v>73</v>
      </c>
      <c r="O8096" t="s">
        <v>61</v>
      </c>
      <c r="Q8096" t="s">
        <v>552</v>
      </c>
      <c r="R8096" t="s">
        <v>133</v>
      </c>
      <c r="S8096" t="s">
        <v>134</v>
      </c>
    </row>
    <row r="8097" spans="1:19" x14ac:dyDescent="0.25">
      <c r="A8097" t="s">
        <v>59</v>
      </c>
      <c r="B8097" t="s">
        <v>31</v>
      </c>
      <c r="C8097" t="s">
        <v>32</v>
      </c>
      <c r="D8097" t="s">
        <v>953</v>
      </c>
      <c r="E8097" t="s">
        <v>7467</v>
      </c>
      <c r="F8097" t="s">
        <v>35</v>
      </c>
      <c r="G8097" t="s">
        <v>35</v>
      </c>
      <c r="H8097" t="s">
        <v>35</v>
      </c>
      <c r="J8097" t="s">
        <v>7241</v>
      </c>
      <c r="K8097" t="s">
        <v>1092</v>
      </c>
      <c r="M8097">
        <v>1.35</v>
      </c>
      <c r="N8097">
        <v>86</v>
      </c>
      <c r="O8097" t="s">
        <v>61</v>
      </c>
      <c r="Q8097" t="s">
        <v>1076</v>
      </c>
      <c r="R8097" t="s">
        <v>133</v>
      </c>
      <c r="S8097" t="s">
        <v>134</v>
      </c>
    </row>
    <row r="8098" spans="1:19" x14ac:dyDescent="0.25">
      <c r="A8098" t="s">
        <v>59</v>
      </c>
      <c r="B8098" t="s">
        <v>60</v>
      </c>
      <c r="C8098" t="s">
        <v>32</v>
      </c>
      <c r="D8098" t="s">
        <v>953</v>
      </c>
      <c r="E8098" t="s">
        <v>7467</v>
      </c>
      <c r="F8098" t="s">
        <v>35</v>
      </c>
      <c r="G8098" t="s">
        <v>35</v>
      </c>
      <c r="H8098" t="s">
        <v>35</v>
      </c>
      <c r="J8098" t="s">
        <v>7241</v>
      </c>
      <c r="K8098" t="s">
        <v>1092</v>
      </c>
      <c r="M8098">
        <v>0.75</v>
      </c>
      <c r="N8098">
        <v>49</v>
      </c>
      <c r="O8098" t="s">
        <v>52</v>
      </c>
      <c r="Q8098" t="s">
        <v>219</v>
      </c>
      <c r="R8098" t="s">
        <v>133</v>
      </c>
      <c r="S8098" t="s">
        <v>134</v>
      </c>
    </row>
    <row r="8099" spans="1:19" x14ac:dyDescent="0.25">
      <c r="A8099" t="s">
        <v>44</v>
      </c>
      <c r="B8099" t="s">
        <v>3</v>
      </c>
      <c r="C8099" t="s">
        <v>32</v>
      </c>
      <c r="D8099" t="s">
        <v>953</v>
      </c>
      <c r="E8099" t="s">
        <v>7467</v>
      </c>
      <c r="F8099" t="s">
        <v>35</v>
      </c>
      <c r="G8099" t="s">
        <v>35</v>
      </c>
      <c r="H8099" t="s">
        <v>35</v>
      </c>
      <c r="J8099" t="s">
        <v>7241</v>
      </c>
      <c r="K8099" t="s">
        <v>1092</v>
      </c>
      <c r="M8099">
        <v>1</v>
      </c>
      <c r="N8099">
        <v>60</v>
      </c>
      <c r="O8099" t="s">
        <v>52</v>
      </c>
      <c r="Q8099" t="s">
        <v>1734</v>
      </c>
      <c r="R8099" t="s">
        <v>133</v>
      </c>
      <c r="S8099" t="s">
        <v>134</v>
      </c>
    </row>
    <row r="8100" spans="1:19" x14ac:dyDescent="0.25">
      <c r="A8100" t="s">
        <v>59</v>
      </c>
      <c r="B8100" t="s">
        <v>60</v>
      </c>
      <c r="C8100" t="s">
        <v>32</v>
      </c>
      <c r="D8100" t="s">
        <v>953</v>
      </c>
      <c r="E8100" t="s">
        <v>7467</v>
      </c>
      <c r="F8100" t="s">
        <v>35</v>
      </c>
      <c r="G8100" t="s">
        <v>35</v>
      </c>
      <c r="H8100" t="s">
        <v>35</v>
      </c>
      <c r="J8100" t="s">
        <v>7493</v>
      </c>
      <c r="K8100" t="s">
        <v>404</v>
      </c>
      <c r="M8100">
        <v>2.25</v>
      </c>
      <c r="N8100">
        <v>93</v>
      </c>
      <c r="O8100" t="s">
        <v>106</v>
      </c>
      <c r="Q8100" t="s">
        <v>941</v>
      </c>
      <c r="R8100" t="s">
        <v>987</v>
      </c>
      <c r="S8100" t="s">
        <v>988</v>
      </c>
    </row>
    <row r="8101" spans="1:19" x14ac:dyDescent="0.25">
      <c r="A8101" t="s">
        <v>59</v>
      </c>
      <c r="B8101" t="s">
        <v>31</v>
      </c>
      <c r="C8101" t="s">
        <v>32</v>
      </c>
      <c r="D8101" t="s">
        <v>953</v>
      </c>
      <c r="E8101" t="s">
        <v>7467</v>
      </c>
      <c r="F8101" t="s">
        <v>35</v>
      </c>
      <c r="G8101" t="s">
        <v>35</v>
      </c>
      <c r="H8101" t="s">
        <v>35</v>
      </c>
      <c r="J8101" t="s">
        <v>1613</v>
      </c>
      <c r="K8101" t="s">
        <v>1092</v>
      </c>
      <c r="M8101">
        <v>0.22500000000000001</v>
      </c>
      <c r="N8101">
        <v>90</v>
      </c>
      <c r="O8101" t="s">
        <v>61</v>
      </c>
      <c r="Q8101" t="s">
        <v>897</v>
      </c>
      <c r="R8101" t="s">
        <v>6877</v>
      </c>
      <c r="S8101" t="s">
        <v>1041</v>
      </c>
    </row>
    <row r="8102" spans="1:19" x14ac:dyDescent="0.25">
      <c r="A8102" t="s">
        <v>59</v>
      </c>
      <c r="B8102" t="s">
        <v>31</v>
      </c>
      <c r="C8102" t="s">
        <v>32</v>
      </c>
      <c r="D8102" t="s">
        <v>953</v>
      </c>
      <c r="E8102" t="s">
        <v>7494</v>
      </c>
      <c r="F8102" t="s">
        <v>35</v>
      </c>
      <c r="G8102" t="s">
        <v>35</v>
      </c>
      <c r="H8102" t="s">
        <v>35</v>
      </c>
      <c r="J8102" t="s">
        <v>7495</v>
      </c>
      <c r="K8102" t="s">
        <v>1092</v>
      </c>
      <c r="M8102">
        <v>4.59</v>
      </c>
      <c r="N8102">
        <v>54</v>
      </c>
      <c r="O8102" t="s">
        <v>52</v>
      </c>
      <c r="Q8102" t="s">
        <v>1207</v>
      </c>
      <c r="R8102" t="s">
        <v>6847</v>
      </c>
      <c r="S8102" t="s">
        <v>1034</v>
      </c>
    </row>
    <row r="8103" spans="1:19" x14ac:dyDescent="0.25">
      <c r="A8103" t="s">
        <v>59</v>
      </c>
      <c r="B8103" t="s">
        <v>31</v>
      </c>
      <c r="C8103" t="s">
        <v>32</v>
      </c>
      <c r="D8103" t="s">
        <v>953</v>
      </c>
      <c r="E8103" t="s">
        <v>7494</v>
      </c>
      <c r="F8103" t="s">
        <v>35</v>
      </c>
      <c r="G8103" t="s">
        <v>35</v>
      </c>
      <c r="H8103" t="s">
        <v>35</v>
      </c>
      <c r="J8103" t="s">
        <v>7496</v>
      </c>
      <c r="K8103" t="s">
        <v>1092</v>
      </c>
      <c r="M8103">
        <v>1.64</v>
      </c>
      <c r="N8103">
        <v>49</v>
      </c>
      <c r="O8103" t="s">
        <v>52</v>
      </c>
      <c r="Q8103" t="s">
        <v>219</v>
      </c>
      <c r="R8103" t="s">
        <v>6762</v>
      </c>
      <c r="S8103" t="s">
        <v>992</v>
      </c>
    </row>
    <row r="8104" spans="1:19" x14ac:dyDescent="0.25">
      <c r="A8104" t="s">
        <v>59</v>
      </c>
      <c r="B8104" t="s">
        <v>60</v>
      </c>
      <c r="C8104" t="s">
        <v>32</v>
      </c>
      <c r="D8104" t="s">
        <v>953</v>
      </c>
      <c r="E8104" t="s">
        <v>7494</v>
      </c>
      <c r="F8104" t="s">
        <v>35</v>
      </c>
      <c r="G8104" t="s">
        <v>35</v>
      </c>
      <c r="H8104" t="s">
        <v>35</v>
      </c>
      <c r="J8104" t="s">
        <v>7496</v>
      </c>
      <c r="K8104" t="s">
        <v>1092</v>
      </c>
      <c r="M8104">
        <v>0.33</v>
      </c>
      <c r="N8104">
        <v>30</v>
      </c>
      <c r="O8104" t="s">
        <v>46</v>
      </c>
      <c r="Q8104" t="s">
        <v>793</v>
      </c>
      <c r="R8104" t="s">
        <v>6720</v>
      </c>
      <c r="S8104" t="s">
        <v>961</v>
      </c>
    </row>
    <row r="8105" spans="1:19" x14ac:dyDescent="0.25">
      <c r="A8105" t="s">
        <v>44</v>
      </c>
      <c r="B8105" t="s">
        <v>3</v>
      </c>
      <c r="C8105" t="s">
        <v>32</v>
      </c>
      <c r="D8105" t="s">
        <v>953</v>
      </c>
      <c r="E8105" t="s">
        <v>7494</v>
      </c>
      <c r="F8105" t="s">
        <v>35</v>
      </c>
      <c r="G8105" t="s">
        <v>35</v>
      </c>
      <c r="H8105" t="s">
        <v>35</v>
      </c>
      <c r="J8105" t="s">
        <v>7496</v>
      </c>
      <c r="K8105" t="s">
        <v>1092</v>
      </c>
      <c r="M8105">
        <v>0.83499999999999996</v>
      </c>
      <c r="N8105">
        <v>49</v>
      </c>
      <c r="O8105" t="s">
        <v>52</v>
      </c>
      <c r="Q8105" t="s">
        <v>219</v>
      </c>
      <c r="R8105" t="s">
        <v>6762</v>
      </c>
      <c r="S8105" t="s">
        <v>992</v>
      </c>
    </row>
    <row r="8106" spans="1:19" x14ac:dyDescent="0.25">
      <c r="A8106" t="s">
        <v>44</v>
      </c>
      <c r="B8106" t="s">
        <v>51</v>
      </c>
      <c r="C8106" t="s">
        <v>32</v>
      </c>
      <c r="D8106" t="s">
        <v>953</v>
      </c>
      <c r="E8106" t="s">
        <v>7494</v>
      </c>
      <c r="F8106" t="s">
        <v>35</v>
      </c>
      <c r="G8106" t="s">
        <v>35</v>
      </c>
      <c r="H8106" t="s">
        <v>35</v>
      </c>
      <c r="J8106" t="s">
        <v>7496</v>
      </c>
      <c r="K8106" t="s">
        <v>1092</v>
      </c>
      <c r="M8106">
        <v>0.21</v>
      </c>
      <c r="N8106">
        <v>49</v>
      </c>
      <c r="O8106" t="s">
        <v>52</v>
      </c>
      <c r="Q8106" t="s">
        <v>219</v>
      </c>
      <c r="R8106" t="s">
        <v>6762</v>
      </c>
      <c r="S8106" t="s">
        <v>992</v>
      </c>
    </row>
    <row r="8107" spans="1:19" x14ac:dyDescent="0.25">
      <c r="A8107" t="s">
        <v>44</v>
      </c>
      <c r="B8107" t="s">
        <v>51</v>
      </c>
      <c r="C8107" t="s">
        <v>32</v>
      </c>
      <c r="D8107" t="s">
        <v>953</v>
      </c>
      <c r="E8107" t="s">
        <v>7494</v>
      </c>
      <c r="F8107" t="s">
        <v>35</v>
      </c>
      <c r="G8107" t="s">
        <v>35</v>
      </c>
      <c r="H8107" t="s">
        <v>35</v>
      </c>
      <c r="J8107" t="s">
        <v>7496</v>
      </c>
      <c r="K8107" t="s">
        <v>1092</v>
      </c>
      <c r="M8107">
        <v>1</v>
      </c>
      <c r="N8107">
        <v>21</v>
      </c>
      <c r="O8107" t="s">
        <v>46</v>
      </c>
      <c r="Q8107" t="s">
        <v>1874</v>
      </c>
      <c r="R8107" t="s">
        <v>6762</v>
      </c>
      <c r="S8107" t="s">
        <v>992</v>
      </c>
    </row>
    <row r="8108" spans="1:19" x14ac:dyDescent="0.25">
      <c r="A8108" t="s">
        <v>59</v>
      </c>
      <c r="B8108" t="s">
        <v>60</v>
      </c>
      <c r="C8108" t="s">
        <v>32</v>
      </c>
      <c r="D8108" t="s">
        <v>953</v>
      </c>
      <c r="E8108" t="s">
        <v>7494</v>
      </c>
      <c r="F8108" t="s">
        <v>35</v>
      </c>
      <c r="G8108" t="s">
        <v>35</v>
      </c>
      <c r="H8108" t="s">
        <v>35</v>
      </c>
      <c r="J8108" t="s">
        <v>7497</v>
      </c>
      <c r="K8108" t="s">
        <v>1092</v>
      </c>
      <c r="M8108">
        <v>0.11</v>
      </c>
      <c r="N8108">
        <v>179</v>
      </c>
      <c r="O8108" t="s">
        <v>38</v>
      </c>
      <c r="Q8108" t="s">
        <v>346</v>
      </c>
      <c r="R8108" t="s">
        <v>6720</v>
      </c>
      <c r="S8108" t="s">
        <v>961</v>
      </c>
    </row>
    <row r="8109" spans="1:19" x14ac:dyDescent="0.25">
      <c r="A8109" t="s">
        <v>59</v>
      </c>
      <c r="B8109" t="s">
        <v>60</v>
      </c>
      <c r="C8109" t="s">
        <v>32</v>
      </c>
      <c r="D8109" t="s">
        <v>953</v>
      </c>
      <c r="E8109" t="s">
        <v>7494</v>
      </c>
      <c r="F8109" t="s">
        <v>35</v>
      </c>
      <c r="G8109" t="s">
        <v>35</v>
      </c>
      <c r="H8109" t="s">
        <v>35</v>
      </c>
      <c r="J8109" t="s">
        <v>7497</v>
      </c>
      <c r="K8109" t="s">
        <v>1092</v>
      </c>
      <c r="M8109">
        <v>1</v>
      </c>
      <c r="N8109">
        <v>87</v>
      </c>
      <c r="O8109" t="s">
        <v>61</v>
      </c>
      <c r="Q8109" t="s">
        <v>1639</v>
      </c>
      <c r="R8109" t="s">
        <v>6707</v>
      </c>
      <c r="S8109" t="s">
        <v>955</v>
      </c>
    </row>
    <row r="8110" spans="1:19" x14ac:dyDescent="0.25">
      <c r="A8110" t="s">
        <v>59</v>
      </c>
      <c r="B8110" t="s">
        <v>31</v>
      </c>
      <c r="C8110" t="s">
        <v>32</v>
      </c>
      <c r="D8110" t="s">
        <v>953</v>
      </c>
      <c r="E8110" t="s">
        <v>7494</v>
      </c>
      <c r="F8110" t="s">
        <v>35</v>
      </c>
      <c r="G8110" t="s">
        <v>35</v>
      </c>
      <c r="H8110" t="s">
        <v>35</v>
      </c>
      <c r="J8110" t="s">
        <v>7497</v>
      </c>
      <c r="K8110" t="s">
        <v>1092</v>
      </c>
      <c r="M8110">
        <v>1.155</v>
      </c>
      <c r="N8110">
        <v>155</v>
      </c>
      <c r="O8110" t="s">
        <v>38</v>
      </c>
      <c r="Q8110" t="s">
        <v>3942</v>
      </c>
      <c r="R8110" t="s">
        <v>6707</v>
      </c>
      <c r="S8110" t="s">
        <v>955</v>
      </c>
    </row>
    <row r="8111" spans="1:19" x14ac:dyDescent="0.25">
      <c r="A8111" t="s">
        <v>59</v>
      </c>
      <c r="B8111" t="s">
        <v>31</v>
      </c>
      <c r="C8111" t="s">
        <v>32</v>
      </c>
      <c r="D8111" t="s">
        <v>953</v>
      </c>
      <c r="E8111" t="s">
        <v>7494</v>
      </c>
      <c r="F8111" t="s">
        <v>35</v>
      </c>
      <c r="G8111" t="s">
        <v>35</v>
      </c>
      <c r="H8111" t="s">
        <v>35</v>
      </c>
      <c r="J8111" t="s">
        <v>7497</v>
      </c>
      <c r="K8111" t="s">
        <v>1092</v>
      </c>
      <c r="M8111">
        <v>0.45</v>
      </c>
      <c r="N8111">
        <v>87</v>
      </c>
      <c r="O8111" t="s">
        <v>61</v>
      </c>
      <c r="Q8111" t="s">
        <v>1639</v>
      </c>
      <c r="R8111" t="s">
        <v>6707</v>
      </c>
      <c r="S8111" t="s">
        <v>955</v>
      </c>
    </row>
    <row r="8112" spans="1:19" x14ac:dyDescent="0.25">
      <c r="A8112" t="s">
        <v>59</v>
      </c>
      <c r="B8112" t="s">
        <v>60</v>
      </c>
      <c r="C8112" t="s">
        <v>32</v>
      </c>
      <c r="D8112" t="s">
        <v>953</v>
      </c>
      <c r="E8112" t="s">
        <v>7494</v>
      </c>
      <c r="F8112" t="s">
        <v>35</v>
      </c>
      <c r="G8112" t="s">
        <v>35</v>
      </c>
      <c r="H8112" t="s">
        <v>35</v>
      </c>
      <c r="J8112" t="s">
        <v>7497</v>
      </c>
      <c r="K8112" t="s">
        <v>1092</v>
      </c>
      <c r="M8112">
        <v>0.5</v>
      </c>
      <c r="N8112">
        <v>49</v>
      </c>
      <c r="O8112" t="s">
        <v>52</v>
      </c>
      <c r="Q8112" t="s">
        <v>219</v>
      </c>
      <c r="R8112" t="s">
        <v>6707</v>
      </c>
      <c r="S8112" t="s">
        <v>955</v>
      </c>
    </row>
    <row r="8113" spans="1:19" x14ac:dyDescent="0.25">
      <c r="A8113" t="s">
        <v>59</v>
      </c>
      <c r="B8113" t="s">
        <v>60</v>
      </c>
      <c r="C8113" t="s">
        <v>32</v>
      </c>
      <c r="D8113" t="s">
        <v>953</v>
      </c>
      <c r="E8113" t="s">
        <v>7494</v>
      </c>
      <c r="F8113" t="s">
        <v>35</v>
      </c>
      <c r="G8113" t="s">
        <v>35</v>
      </c>
      <c r="H8113" t="s">
        <v>35</v>
      </c>
      <c r="J8113" t="s">
        <v>7498</v>
      </c>
      <c r="K8113" t="s">
        <v>1092</v>
      </c>
      <c r="M8113">
        <v>0.5</v>
      </c>
      <c r="N8113">
        <v>1150</v>
      </c>
      <c r="O8113" t="s">
        <v>575</v>
      </c>
      <c r="Q8113" t="s">
        <v>7499</v>
      </c>
      <c r="R8113" t="s">
        <v>133</v>
      </c>
      <c r="S8113" t="s">
        <v>134</v>
      </c>
    </row>
    <row r="8114" spans="1:19" x14ac:dyDescent="0.25">
      <c r="A8114" t="s">
        <v>59</v>
      </c>
      <c r="B8114" t="s">
        <v>60</v>
      </c>
      <c r="C8114" t="s">
        <v>32</v>
      </c>
      <c r="D8114" t="s">
        <v>953</v>
      </c>
      <c r="E8114" t="s">
        <v>7494</v>
      </c>
      <c r="F8114" t="s">
        <v>35</v>
      </c>
      <c r="G8114" t="s">
        <v>35</v>
      </c>
      <c r="H8114" t="s">
        <v>35</v>
      </c>
      <c r="J8114" t="s">
        <v>7500</v>
      </c>
      <c r="K8114" t="s">
        <v>1092</v>
      </c>
      <c r="M8114">
        <v>10</v>
      </c>
      <c r="N8114">
        <v>59</v>
      </c>
      <c r="O8114" t="s">
        <v>52</v>
      </c>
      <c r="Q8114" t="s">
        <v>84</v>
      </c>
      <c r="R8114" t="s">
        <v>133</v>
      </c>
      <c r="S8114" t="s">
        <v>134</v>
      </c>
    </row>
    <row r="8115" spans="1:19" x14ac:dyDescent="0.25">
      <c r="A8115" t="s">
        <v>59</v>
      </c>
      <c r="B8115" t="s">
        <v>31</v>
      </c>
      <c r="C8115" t="s">
        <v>32</v>
      </c>
      <c r="D8115" t="s">
        <v>953</v>
      </c>
      <c r="E8115" t="s">
        <v>7494</v>
      </c>
      <c r="F8115" t="s">
        <v>35</v>
      </c>
      <c r="G8115" t="s">
        <v>35</v>
      </c>
      <c r="H8115" t="s">
        <v>35</v>
      </c>
      <c r="J8115" t="s">
        <v>7501</v>
      </c>
      <c r="K8115" t="s">
        <v>1092</v>
      </c>
      <c r="M8115">
        <v>8.0549999999999997</v>
      </c>
      <c r="N8115">
        <v>122</v>
      </c>
      <c r="O8115" t="s">
        <v>38</v>
      </c>
      <c r="Q8115" t="s">
        <v>3430</v>
      </c>
      <c r="R8115" t="s">
        <v>133</v>
      </c>
      <c r="S8115" t="s">
        <v>134</v>
      </c>
    </row>
    <row r="8116" spans="1:19" x14ac:dyDescent="0.25">
      <c r="A8116" t="s">
        <v>59</v>
      </c>
      <c r="B8116" t="s">
        <v>60</v>
      </c>
      <c r="C8116" t="s">
        <v>32</v>
      </c>
      <c r="D8116" t="s">
        <v>953</v>
      </c>
      <c r="E8116" t="s">
        <v>7494</v>
      </c>
      <c r="F8116" t="s">
        <v>35</v>
      </c>
      <c r="G8116" t="s">
        <v>35</v>
      </c>
      <c r="H8116" t="s">
        <v>35</v>
      </c>
      <c r="J8116" t="s">
        <v>7502</v>
      </c>
      <c r="K8116" t="s">
        <v>1092</v>
      </c>
      <c r="M8116">
        <v>1.25</v>
      </c>
      <c r="N8116">
        <v>90</v>
      </c>
      <c r="O8116" t="s">
        <v>61</v>
      </c>
      <c r="Q8116" t="s">
        <v>897</v>
      </c>
      <c r="R8116" t="s">
        <v>6877</v>
      </c>
      <c r="S8116" t="s">
        <v>1041</v>
      </c>
    </row>
    <row r="8117" spans="1:19" x14ac:dyDescent="0.25">
      <c r="A8117" t="s">
        <v>59</v>
      </c>
      <c r="B8117" t="s">
        <v>31</v>
      </c>
      <c r="C8117" t="s">
        <v>32</v>
      </c>
      <c r="D8117" t="s">
        <v>953</v>
      </c>
      <c r="E8117" t="s">
        <v>7494</v>
      </c>
      <c r="F8117" t="s">
        <v>35</v>
      </c>
      <c r="G8117" t="s">
        <v>35</v>
      </c>
      <c r="H8117" t="s">
        <v>35</v>
      </c>
      <c r="J8117" t="s">
        <v>7502</v>
      </c>
      <c r="K8117" t="s">
        <v>1092</v>
      </c>
      <c r="M8117">
        <v>0.72</v>
      </c>
      <c r="N8117">
        <v>90</v>
      </c>
      <c r="O8117" t="s">
        <v>61</v>
      </c>
      <c r="Q8117" t="s">
        <v>897</v>
      </c>
      <c r="R8117" t="s">
        <v>6877</v>
      </c>
      <c r="S8117" t="s">
        <v>1041</v>
      </c>
    </row>
    <row r="8118" spans="1:19" x14ac:dyDescent="0.25">
      <c r="A8118" t="s">
        <v>59</v>
      </c>
      <c r="B8118" t="s">
        <v>31</v>
      </c>
      <c r="C8118" t="s">
        <v>32</v>
      </c>
      <c r="D8118" t="s">
        <v>953</v>
      </c>
      <c r="E8118" t="s">
        <v>7494</v>
      </c>
      <c r="F8118" t="s">
        <v>35</v>
      </c>
      <c r="G8118" t="s">
        <v>35</v>
      </c>
      <c r="H8118" t="s">
        <v>35</v>
      </c>
      <c r="J8118" t="s">
        <v>7503</v>
      </c>
      <c r="K8118" t="s">
        <v>1092</v>
      </c>
      <c r="M8118">
        <v>2.835</v>
      </c>
      <c r="N8118">
        <v>222</v>
      </c>
      <c r="O8118" t="s">
        <v>5</v>
      </c>
      <c r="Q8118" t="s">
        <v>1746</v>
      </c>
      <c r="R8118" t="s">
        <v>133</v>
      </c>
      <c r="S8118" t="s">
        <v>134</v>
      </c>
    </row>
    <row r="8119" spans="1:19" x14ac:dyDescent="0.25">
      <c r="A8119" t="s">
        <v>30</v>
      </c>
      <c r="B8119" t="s">
        <v>31</v>
      </c>
      <c r="C8119" t="s">
        <v>32</v>
      </c>
      <c r="D8119" t="s">
        <v>953</v>
      </c>
      <c r="E8119" t="s">
        <v>7494</v>
      </c>
      <c r="F8119" t="s">
        <v>35</v>
      </c>
      <c r="G8119" t="s">
        <v>35</v>
      </c>
      <c r="H8119" t="s">
        <v>35</v>
      </c>
      <c r="J8119" t="s">
        <v>7504</v>
      </c>
      <c r="K8119" t="s">
        <v>1092</v>
      </c>
      <c r="M8119">
        <v>1.71</v>
      </c>
      <c r="N8119">
        <v>457</v>
      </c>
      <c r="O8119" t="s">
        <v>294</v>
      </c>
      <c r="Q8119" t="s">
        <v>2104</v>
      </c>
      <c r="R8119" t="s">
        <v>6847</v>
      </c>
      <c r="S8119" t="s">
        <v>1034</v>
      </c>
    </row>
    <row r="8120" spans="1:19" x14ac:dyDescent="0.25">
      <c r="A8120" t="s">
        <v>30</v>
      </c>
      <c r="B8120" t="s">
        <v>31</v>
      </c>
      <c r="C8120" t="s">
        <v>32</v>
      </c>
      <c r="D8120" t="s">
        <v>953</v>
      </c>
      <c r="E8120" t="s">
        <v>7494</v>
      </c>
      <c r="F8120" t="s">
        <v>35</v>
      </c>
      <c r="G8120" t="s">
        <v>35</v>
      </c>
      <c r="H8120" t="s">
        <v>35</v>
      </c>
      <c r="J8120" t="s">
        <v>7505</v>
      </c>
      <c r="K8120" t="s">
        <v>1092</v>
      </c>
      <c r="M8120">
        <v>0.67500000000000004</v>
      </c>
      <c r="N8120">
        <v>193</v>
      </c>
      <c r="O8120" t="s">
        <v>5</v>
      </c>
      <c r="Q8120" t="s">
        <v>1894</v>
      </c>
      <c r="R8120" t="s">
        <v>6709</v>
      </c>
      <c r="S8120" t="s">
        <v>1022</v>
      </c>
    </row>
    <row r="8121" spans="1:19" x14ac:dyDescent="0.25">
      <c r="A8121" t="s">
        <v>59</v>
      </c>
      <c r="B8121" t="s">
        <v>60</v>
      </c>
      <c r="C8121" t="s">
        <v>32</v>
      </c>
      <c r="D8121" t="s">
        <v>953</v>
      </c>
      <c r="E8121" t="s">
        <v>7494</v>
      </c>
      <c r="F8121" t="s">
        <v>35</v>
      </c>
      <c r="G8121" t="s">
        <v>35</v>
      </c>
      <c r="H8121" t="s">
        <v>35</v>
      </c>
      <c r="J8121" t="s">
        <v>7505</v>
      </c>
      <c r="K8121" t="s">
        <v>1092</v>
      </c>
      <c r="M8121">
        <v>0.65</v>
      </c>
      <c r="N8121">
        <v>249</v>
      </c>
      <c r="O8121" t="s">
        <v>5</v>
      </c>
      <c r="Q8121" t="s">
        <v>6137</v>
      </c>
      <c r="R8121" t="s">
        <v>133</v>
      </c>
      <c r="S8121" t="s">
        <v>134</v>
      </c>
    </row>
    <row r="8122" spans="1:19" x14ac:dyDescent="0.25">
      <c r="A8122" t="s">
        <v>59</v>
      </c>
      <c r="B8122" t="s">
        <v>31</v>
      </c>
      <c r="C8122" t="s">
        <v>32</v>
      </c>
      <c r="D8122" t="s">
        <v>953</v>
      </c>
      <c r="E8122" t="s">
        <v>7494</v>
      </c>
      <c r="F8122" t="s">
        <v>35</v>
      </c>
      <c r="G8122" t="s">
        <v>35</v>
      </c>
      <c r="H8122" t="s">
        <v>35</v>
      </c>
      <c r="J8122" t="s">
        <v>7505</v>
      </c>
      <c r="K8122" t="s">
        <v>1092</v>
      </c>
      <c r="M8122">
        <v>0.35299999999999998</v>
      </c>
      <c r="N8122">
        <v>249</v>
      </c>
      <c r="O8122" t="s">
        <v>5</v>
      </c>
      <c r="Q8122" t="s">
        <v>6137</v>
      </c>
      <c r="R8122" t="s">
        <v>133</v>
      </c>
      <c r="S8122" t="s">
        <v>134</v>
      </c>
    </row>
    <row r="8123" spans="1:19" x14ac:dyDescent="0.25">
      <c r="A8123" t="s">
        <v>59</v>
      </c>
      <c r="B8123" t="s">
        <v>60</v>
      </c>
      <c r="C8123" t="s">
        <v>32</v>
      </c>
      <c r="D8123" t="s">
        <v>953</v>
      </c>
      <c r="E8123" t="s">
        <v>7494</v>
      </c>
      <c r="F8123" t="s">
        <v>35</v>
      </c>
      <c r="G8123" t="s">
        <v>35</v>
      </c>
      <c r="H8123" t="s">
        <v>35</v>
      </c>
      <c r="J8123" t="s">
        <v>7506</v>
      </c>
      <c r="K8123" t="s">
        <v>1092</v>
      </c>
      <c r="M8123">
        <v>0.75</v>
      </c>
      <c r="N8123">
        <v>60</v>
      </c>
      <c r="O8123" t="s">
        <v>52</v>
      </c>
      <c r="Q8123" t="s">
        <v>1734</v>
      </c>
      <c r="R8123" t="s">
        <v>133</v>
      </c>
      <c r="S8123" t="s">
        <v>134</v>
      </c>
    </row>
    <row r="8124" spans="1:19" x14ac:dyDescent="0.25">
      <c r="A8124" t="s">
        <v>59</v>
      </c>
      <c r="B8124" t="s">
        <v>60</v>
      </c>
      <c r="C8124" t="s">
        <v>32</v>
      </c>
      <c r="D8124" t="s">
        <v>953</v>
      </c>
      <c r="E8124" t="s">
        <v>7494</v>
      </c>
      <c r="F8124" t="s">
        <v>35</v>
      </c>
      <c r="G8124" t="s">
        <v>35</v>
      </c>
      <c r="H8124" t="s">
        <v>35</v>
      </c>
      <c r="J8124" t="s">
        <v>7507</v>
      </c>
      <c r="K8124" t="s">
        <v>1092</v>
      </c>
      <c r="M8124">
        <v>4.55</v>
      </c>
      <c r="N8124">
        <v>713</v>
      </c>
      <c r="O8124" t="s">
        <v>575</v>
      </c>
      <c r="Q8124" t="s">
        <v>7508</v>
      </c>
      <c r="R8124" t="s">
        <v>6877</v>
      </c>
      <c r="S8124" t="s">
        <v>1041</v>
      </c>
    </row>
    <row r="8125" spans="1:19" x14ac:dyDescent="0.25">
      <c r="A8125" t="s">
        <v>30</v>
      </c>
      <c r="B8125" t="s">
        <v>31</v>
      </c>
      <c r="C8125" t="s">
        <v>32</v>
      </c>
      <c r="D8125" t="s">
        <v>953</v>
      </c>
      <c r="E8125" t="s">
        <v>7494</v>
      </c>
      <c r="F8125" t="s">
        <v>35</v>
      </c>
      <c r="G8125" t="s">
        <v>35</v>
      </c>
      <c r="H8125" t="s">
        <v>35</v>
      </c>
      <c r="J8125" t="s">
        <v>1885</v>
      </c>
      <c r="K8125" t="s">
        <v>1092</v>
      </c>
      <c r="M8125">
        <v>0.81</v>
      </c>
      <c r="N8125">
        <v>193</v>
      </c>
      <c r="O8125" t="s">
        <v>5</v>
      </c>
      <c r="Q8125" t="s">
        <v>1894</v>
      </c>
      <c r="R8125" t="s">
        <v>6709</v>
      </c>
      <c r="S8125" t="s">
        <v>1022</v>
      </c>
    </row>
    <row r="8126" spans="1:19" x14ac:dyDescent="0.25">
      <c r="A8126" t="s">
        <v>59</v>
      </c>
      <c r="B8126" t="s">
        <v>31</v>
      </c>
      <c r="C8126" t="s">
        <v>32</v>
      </c>
      <c r="D8126" t="s">
        <v>953</v>
      </c>
      <c r="E8126" t="s">
        <v>7494</v>
      </c>
      <c r="F8126" t="s">
        <v>35</v>
      </c>
      <c r="G8126" t="s">
        <v>35</v>
      </c>
      <c r="H8126" t="s">
        <v>35</v>
      </c>
      <c r="J8126" t="s">
        <v>7509</v>
      </c>
      <c r="K8126" t="s">
        <v>1092</v>
      </c>
      <c r="M8126">
        <v>8.3699999999999992</v>
      </c>
      <c r="N8126">
        <v>90</v>
      </c>
      <c r="O8126" t="s">
        <v>61</v>
      </c>
      <c r="Q8126" t="s">
        <v>897</v>
      </c>
      <c r="R8126" t="s">
        <v>133</v>
      </c>
      <c r="S8126" t="s">
        <v>134</v>
      </c>
    </row>
    <row r="8127" spans="1:19" x14ac:dyDescent="0.25">
      <c r="A8127" t="s">
        <v>59</v>
      </c>
      <c r="B8127" t="s">
        <v>31</v>
      </c>
      <c r="C8127" t="s">
        <v>32</v>
      </c>
      <c r="D8127" t="s">
        <v>953</v>
      </c>
      <c r="E8127" t="s">
        <v>7494</v>
      </c>
      <c r="F8127" t="s">
        <v>35</v>
      </c>
      <c r="G8127" t="s">
        <v>35</v>
      </c>
      <c r="H8127" t="s">
        <v>35</v>
      </c>
      <c r="J8127" t="s">
        <v>7510</v>
      </c>
      <c r="K8127" t="s">
        <v>1092</v>
      </c>
      <c r="M8127">
        <v>1.89</v>
      </c>
      <c r="N8127">
        <v>222</v>
      </c>
      <c r="O8127" t="s">
        <v>5</v>
      </c>
      <c r="Q8127" t="s">
        <v>1746</v>
      </c>
      <c r="R8127" t="s">
        <v>133</v>
      </c>
      <c r="S8127" t="s">
        <v>134</v>
      </c>
    </row>
    <row r="8128" spans="1:19" x14ac:dyDescent="0.25">
      <c r="A8128" t="s">
        <v>59</v>
      </c>
      <c r="B8128" t="s">
        <v>60</v>
      </c>
      <c r="C8128" t="s">
        <v>32</v>
      </c>
      <c r="D8128" t="s">
        <v>953</v>
      </c>
      <c r="E8128" t="s">
        <v>7494</v>
      </c>
      <c r="F8128" t="s">
        <v>35</v>
      </c>
      <c r="G8128" t="s">
        <v>35</v>
      </c>
      <c r="H8128" t="s">
        <v>35</v>
      </c>
      <c r="J8128" t="s">
        <v>7511</v>
      </c>
      <c r="K8128" t="s">
        <v>1092</v>
      </c>
      <c r="M8128">
        <v>0.25</v>
      </c>
      <c r="N8128">
        <v>143</v>
      </c>
      <c r="O8128" t="s">
        <v>38</v>
      </c>
      <c r="Q8128" t="s">
        <v>2121</v>
      </c>
      <c r="R8128" t="s">
        <v>133</v>
      </c>
      <c r="S8128" t="s">
        <v>134</v>
      </c>
    </row>
    <row r="8129" spans="1:19" x14ac:dyDescent="0.25">
      <c r="A8129" t="s">
        <v>59</v>
      </c>
      <c r="B8129" t="s">
        <v>60</v>
      </c>
      <c r="C8129" t="s">
        <v>32</v>
      </c>
      <c r="D8129" t="s">
        <v>953</v>
      </c>
      <c r="E8129" t="s">
        <v>7494</v>
      </c>
      <c r="F8129" t="s">
        <v>35</v>
      </c>
      <c r="G8129" t="s">
        <v>35</v>
      </c>
      <c r="H8129" t="s">
        <v>35</v>
      </c>
      <c r="J8129" t="s">
        <v>7511</v>
      </c>
      <c r="K8129" t="s">
        <v>1092</v>
      </c>
      <c r="M8129">
        <v>0.25</v>
      </c>
      <c r="N8129">
        <v>109</v>
      </c>
      <c r="O8129" t="s">
        <v>106</v>
      </c>
      <c r="Q8129" t="s">
        <v>2624</v>
      </c>
      <c r="R8129" t="s">
        <v>133</v>
      </c>
      <c r="S8129" t="s">
        <v>134</v>
      </c>
    </row>
    <row r="8130" spans="1:19" x14ac:dyDescent="0.25">
      <c r="A8130" t="s">
        <v>59</v>
      </c>
      <c r="B8130" t="s">
        <v>60</v>
      </c>
      <c r="C8130" t="s">
        <v>32</v>
      </c>
      <c r="D8130" t="s">
        <v>953</v>
      </c>
      <c r="E8130" t="s">
        <v>7494</v>
      </c>
      <c r="F8130" t="s">
        <v>35</v>
      </c>
      <c r="G8130" t="s">
        <v>35</v>
      </c>
      <c r="H8130" t="s">
        <v>35</v>
      </c>
      <c r="J8130" t="s">
        <v>7512</v>
      </c>
      <c r="K8130" t="s">
        <v>1092</v>
      </c>
      <c r="M8130">
        <v>0.25</v>
      </c>
      <c r="N8130">
        <v>362</v>
      </c>
      <c r="O8130" t="s">
        <v>5</v>
      </c>
      <c r="Q8130" t="s">
        <v>2408</v>
      </c>
      <c r="R8130" t="s">
        <v>133</v>
      </c>
      <c r="S8130" t="s">
        <v>134</v>
      </c>
    </row>
    <row r="8131" spans="1:19" x14ac:dyDescent="0.25">
      <c r="A8131" t="s">
        <v>30</v>
      </c>
      <c r="B8131" t="s">
        <v>31</v>
      </c>
      <c r="C8131" t="s">
        <v>32</v>
      </c>
      <c r="D8131" t="s">
        <v>953</v>
      </c>
      <c r="E8131" t="s">
        <v>1072</v>
      </c>
      <c r="F8131" t="s">
        <v>35</v>
      </c>
      <c r="G8131" t="s">
        <v>35</v>
      </c>
      <c r="H8131" t="s">
        <v>35</v>
      </c>
      <c r="J8131" t="s">
        <v>8263</v>
      </c>
      <c r="K8131" t="s">
        <v>1092</v>
      </c>
      <c r="M8131">
        <v>19.98</v>
      </c>
      <c r="N8131">
        <v>21</v>
      </c>
      <c r="O8131" t="s">
        <v>46</v>
      </c>
      <c r="Q8131" t="s">
        <v>1874</v>
      </c>
      <c r="R8131" t="s">
        <v>6709</v>
      </c>
      <c r="S8131" t="s">
        <v>1022</v>
      </c>
    </row>
    <row r="8132" spans="1:19" x14ac:dyDescent="0.25">
      <c r="A8132" t="s">
        <v>30</v>
      </c>
      <c r="B8132" t="s">
        <v>31</v>
      </c>
      <c r="C8132" t="s">
        <v>32</v>
      </c>
      <c r="D8132" t="s">
        <v>953</v>
      </c>
      <c r="E8132" t="s">
        <v>1072</v>
      </c>
      <c r="F8132" t="s">
        <v>35</v>
      </c>
      <c r="G8132" t="s">
        <v>35</v>
      </c>
      <c r="H8132" t="s">
        <v>35</v>
      </c>
      <c r="J8132" t="s">
        <v>1613</v>
      </c>
      <c r="K8132" t="s">
        <v>1092</v>
      </c>
      <c r="M8132">
        <v>4.9950000000000001</v>
      </c>
      <c r="N8132">
        <v>25</v>
      </c>
      <c r="O8132" t="s">
        <v>46</v>
      </c>
      <c r="Q8132" t="s">
        <v>831</v>
      </c>
      <c r="R8132" t="s">
        <v>987</v>
      </c>
      <c r="S8132" t="s">
        <v>988</v>
      </c>
    </row>
    <row r="8133" spans="1:19" x14ac:dyDescent="0.25">
      <c r="A8133" t="s">
        <v>30</v>
      </c>
      <c r="B8133" t="s">
        <v>31</v>
      </c>
      <c r="C8133" t="s">
        <v>32</v>
      </c>
      <c r="D8133" t="s">
        <v>953</v>
      </c>
      <c r="E8133" t="s">
        <v>1072</v>
      </c>
      <c r="F8133" t="s">
        <v>35</v>
      </c>
      <c r="G8133" t="s">
        <v>35</v>
      </c>
      <c r="H8133" t="s">
        <v>35</v>
      </c>
      <c r="J8133" t="s">
        <v>7513</v>
      </c>
      <c r="K8133" t="s">
        <v>1092</v>
      </c>
      <c r="M8133">
        <v>4.9950000000000001</v>
      </c>
      <c r="N8133">
        <v>25</v>
      </c>
      <c r="O8133" t="s">
        <v>46</v>
      </c>
      <c r="Q8133" t="s">
        <v>831</v>
      </c>
      <c r="R8133" t="s">
        <v>987</v>
      </c>
      <c r="S8133" t="s">
        <v>988</v>
      </c>
    </row>
    <row r="8134" spans="1:19" x14ac:dyDescent="0.25">
      <c r="A8134" t="s">
        <v>59</v>
      </c>
      <c r="B8134" t="s">
        <v>60</v>
      </c>
      <c r="C8134" t="s">
        <v>32</v>
      </c>
      <c r="D8134" t="s">
        <v>953</v>
      </c>
      <c r="E8134" t="s">
        <v>1072</v>
      </c>
      <c r="F8134" t="s">
        <v>35</v>
      </c>
      <c r="G8134" t="s">
        <v>35</v>
      </c>
      <c r="H8134" t="s">
        <v>35</v>
      </c>
      <c r="J8134" t="s">
        <v>7513</v>
      </c>
      <c r="K8134" t="s">
        <v>1092</v>
      </c>
      <c r="M8134">
        <v>3.25</v>
      </c>
      <c r="N8134">
        <v>51</v>
      </c>
      <c r="O8134" t="s">
        <v>52</v>
      </c>
      <c r="Q8134" t="s">
        <v>54</v>
      </c>
      <c r="R8134" t="s">
        <v>6705</v>
      </c>
      <c r="S8134" t="s">
        <v>981</v>
      </c>
    </row>
    <row r="8135" spans="1:19" x14ac:dyDescent="0.25">
      <c r="A8135" t="s">
        <v>44</v>
      </c>
      <c r="B8135" t="s">
        <v>3</v>
      </c>
      <c r="C8135" t="s">
        <v>32</v>
      </c>
      <c r="D8135" t="s">
        <v>953</v>
      </c>
      <c r="E8135" t="s">
        <v>1072</v>
      </c>
      <c r="F8135" t="s">
        <v>35</v>
      </c>
      <c r="G8135" t="s">
        <v>35</v>
      </c>
      <c r="H8135" t="s">
        <v>35</v>
      </c>
      <c r="J8135" t="s">
        <v>7513</v>
      </c>
      <c r="K8135" t="s">
        <v>1092</v>
      </c>
      <c r="M8135">
        <v>5</v>
      </c>
      <c r="N8135">
        <v>58</v>
      </c>
      <c r="O8135" t="s">
        <v>52</v>
      </c>
      <c r="Q8135" t="s">
        <v>58</v>
      </c>
      <c r="R8135" t="s">
        <v>6885</v>
      </c>
      <c r="S8135" t="s">
        <v>6886</v>
      </c>
    </row>
    <row r="8136" spans="1:19" x14ac:dyDescent="0.25">
      <c r="A8136" t="s">
        <v>59</v>
      </c>
      <c r="B8136" t="s">
        <v>31</v>
      </c>
      <c r="C8136" t="s">
        <v>32</v>
      </c>
      <c r="D8136" t="s">
        <v>953</v>
      </c>
      <c r="E8136" t="s">
        <v>1072</v>
      </c>
      <c r="F8136" t="s">
        <v>35</v>
      </c>
      <c r="G8136" t="s">
        <v>35</v>
      </c>
      <c r="H8136" t="s">
        <v>35</v>
      </c>
      <c r="J8136" t="s">
        <v>7513</v>
      </c>
      <c r="K8136" t="s">
        <v>1092</v>
      </c>
      <c r="M8136">
        <v>4.9950000000000001</v>
      </c>
      <c r="N8136">
        <v>51</v>
      </c>
      <c r="O8136" t="s">
        <v>52</v>
      </c>
      <c r="Q8136" t="s">
        <v>54</v>
      </c>
      <c r="R8136" t="s">
        <v>6705</v>
      </c>
      <c r="S8136" t="s">
        <v>981</v>
      </c>
    </row>
    <row r="8137" spans="1:19" x14ac:dyDescent="0.25">
      <c r="A8137" t="s">
        <v>59</v>
      </c>
      <c r="B8137" t="s">
        <v>31</v>
      </c>
      <c r="C8137" t="s">
        <v>32</v>
      </c>
      <c r="D8137" t="s">
        <v>953</v>
      </c>
      <c r="E8137" t="s">
        <v>1072</v>
      </c>
      <c r="F8137" t="s">
        <v>35</v>
      </c>
      <c r="G8137" t="s">
        <v>35</v>
      </c>
      <c r="H8137" t="s">
        <v>35</v>
      </c>
      <c r="J8137" t="s">
        <v>7513</v>
      </c>
      <c r="K8137" t="s">
        <v>1092</v>
      </c>
      <c r="M8137">
        <v>3.7349999999999999</v>
      </c>
      <c r="N8137">
        <v>62</v>
      </c>
      <c r="O8137" t="s">
        <v>61</v>
      </c>
      <c r="Q8137" t="s">
        <v>90</v>
      </c>
      <c r="R8137" t="s">
        <v>987</v>
      </c>
      <c r="S8137" t="s">
        <v>988</v>
      </c>
    </row>
    <row r="8138" spans="1:19" x14ac:dyDescent="0.25">
      <c r="A8138" t="s">
        <v>59</v>
      </c>
      <c r="B8138" t="s">
        <v>31</v>
      </c>
      <c r="C8138" t="s">
        <v>32</v>
      </c>
      <c r="D8138" t="s">
        <v>953</v>
      </c>
      <c r="E8138" t="s">
        <v>1072</v>
      </c>
      <c r="F8138" t="s">
        <v>35</v>
      </c>
      <c r="G8138" t="s">
        <v>35</v>
      </c>
      <c r="H8138" t="s">
        <v>35</v>
      </c>
      <c r="J8138" t="s">
        <v>7514</v>
      </c>
      <c r="K8138" t="s">
        <v>1092</v>
      </c>
      <c r="M8138">
        <v>0.36</v>
      </c>
      <c r="N8138">
        <v>858</v>
      </c>
      <c r="O8138" t="s">
        <v>575</v>
      </c>
      <c r="Q8138" t="s">
        <v>4266</v>
      </c>
      <c r="R8138" t="s">
        <v>133</v>
      </c>
      <c r="S8138" t="s">
        <v>134</v>
      </c>
    </row>
    <row r="8139" spans="1:19" x14ac:dyDescent="0.25">
      <c r="A8139" t="s">
        <v>59</v>
      </c>
      <c r="B8139" t="s">
        <v>31</v>
      </c>
      <c r="C8139" t="s">
        <v>32</v>
      </c>
      <c r="D8139" t="s">
        <v>953</v>
      </c>
      <c r="E8139" t="s">
        <v>1072</v>
      </c>
      <c r="F8139" t="s">
        <v>35</v>
      </c>
      <c r="G8139" t="s">
        <v>35</v>
      </c>
      <c r="H8139" t="s">
        <v>35</v>
      </c>
      <c r="J8139" t="s">
        <v>7515</v>
      </c>
      <c r="K8139" t="s">
        <v>1092</v>
      </c>
      <c r="M8139">
        <v>0.27</v>
      </c>
      <c r="N8139">
        <v>576</v>
      </c>
      <c r="O8139" t="s">
        <v>575</v>
      </c>
      <c r="Q8139" t="s">
        <v>2557</v>
      </c>
      <c r="R8139" t="s">
        <v>133</v>
      </c>
      <c r="S8139" t="s">
        <v>134</v>
      </c>
    </row>
    <row r="8140" spans="1:19" x14ac:dyDescent="0.25">
      <c r="A8140" t="s">
        <v>59</v>
      </c>
      <c r="B8140" t="s">
        <v>31</v>
      </c>
      <c r="C8140" t="s">
        <v>32</v>
      </c>
      <c r="D8140" t="s">
        <v>953</v>
      </c>
      <c r="E8140" t="s">
        <v>1072</v>
      </c>
      <c r="F8140" t="s">
        <v>35</v>
      </c>
      <c r="G8140" t="s">
        <v>35</v>
      </c>
      <c r="H8140" t="s">
        <v>35</v>
      </c>
      <c r="J8140" t="s">
        <v>7516</v>
      </c>
      <c r="K8140" t="s">
        <v>1092</v>
      </c>
      <c r="M8140">
        <v>3.2850000000000001</v>
      </c>
      <c r="N8140">
        <v>293</v>
      </c>
      <c r="O8140" t="s">
        <v>5</v>
      </c>
      <c r="Q8140" t="s">
        <v>6131</v>
      </c>
      <c r="R8140" t="s">
        <v>6705</v>
      </c>
      <c r="S8140" t="s">
        <v>981</v>
      </c>
    </row>
    <row r="8141" spans="1:19" x14ac:dyDescent="0.25">
      <c r="A8141" t="s">
        <v>30</v>
      </c>
      <c r="B8141" t="s">
        <v>31</v>
      </c>
      <c r="C8141" t="s">
        <v>32</v>
      </c>
      <c r="D8141" t="s">
        <v>953</v>
      </c>
      <c r="E8141" t="s">
        <v>1072</v>
      </c>
      <c r="F8141" t="s">
        <v>35</v>
      </c>
      <c r="G8141" t="s">
        <v>35</v>
      </c>
      <c r="H8141" t="s">
        <v>35</v>
      </c>
      <c r="J8141" t="s">
        <v>7516</v>
      </c>
      <c r="K8141" t="s">
        <v>1092</v>
      </c>
      <c r="M8141">
        <v>9.99</v>
      </c>
      <c r="N8141">
        <v>279</v>
      </c>
      <c r="O8141" t="s">
        <v>5</v>
      </c>
      <c r="Q8141" t="s">
        <v>1717</v>
      </c>
      <c r="R8141" t="s">
        <v>6705</v>
      </c>
      <c r="S8141" t="s">
        <v>981</v>
      </c>
    </row>
    <row r="8142" spans="1:19" x14ac:dyDescent="0.25">
      <c r="A8142" t="s">
        <v>30</v>
      </c>
      <c r="B8142" t="s">
        <v>31</v>
      </c>
      <c r="C8142" t="s">
        <v>32</v>
      </c>
      <c r="D8142" t="s">
        <v>953</v>
      </c>
      <c r="E8142" t="s">
        <v>1072</v>
      </c>
      <c r="F8142" t="s">
        <v>35</v>
      </c>
      <c r="G8142" t="s">
        <v>35</v>
      </c>
      <c r="H8142" t="s">
        <v>35</v>
      </c>
      <c r="J8142" t="s">
        <v>7516</v>
      </c>
      <c r="K8142" t="s">
        <v>1092</v>
      </c>
      <c r="M8142">
        <v>9.99</v>
      </c>
      <c r="N8142">
        <v>213</v>
      </c>
      <c r="O8142" t="s">
        <v>5</v>
      </c>
      <c r="Q8142" t="s">
        <v>1298</v>
      </c>
      <c r="R8142" t="s">
        <v>6720</v>
      </c>
      <c r="S8142" t="s">
        <v>961</v>
      </c>
    </row>
    <row r="8143" spans="1:19" x14ac:dyDescent="0.25">
      <c r="A8143" t="s">
        <v>44</v>
      </c>
      <c r="B8143" t="s">
        <v>3</v>
      </c>
      <c r="C8143" t="s">
        <v>32</v>
      </c>
      <c r="D8143" t="s">
        <v>953</v>
      </c>
      <c r="E8143" t="s">
        <v>1072</v>
      </c>
      <c r="F8143" t="s">
        <v>35</v>
      </c>
      <c r="G8143" t="s">
        <v>35</v>
      </c>
      <c r="H8143" t="s">
        <v>35</v>
      </c>
      <c r="J8143" t="s">
        <v>7517</v>
      </c>
      <c r="K8143" t="s">
        <v>1092</v>
      </c>
      <c r="M8143">
        <v>1.5</v>
      </c>
      <c r="N8143">
        <v>48</v>
      </c>
      <c r="O8143" t="s">
        <v>52</v>
      </c>
      <c r="Q8143" t="s">
        <v>496</v>
      </c>
      <c r="R8143" t="s">
        <v>6742</v>
      </c>
      <c r="S8143" t="s">
        <v>1016</v>
      </c>
    </row>
    <row r="8144" spans="1:19" x14ac:dyDescent="0.25">
      <c r="A8144" t="s">
        <v>30</v>
      </c>
      <c r="B8144" t="s">
        <v>31</v>
      </c>
      <c r="C8144" t="s">
        <v>32</v>
      </c>
      <c r="D8144" t="s">
        <v>953</v>
      </c>
      <c r="E8144" t="s">
        <v>1072</v>
      </c>
      <c r="F8144" t="s">
        <v>35</v>
      </c>
      <c r="G8144" t="s">
        <v>35</v>
      </c>
      <c r="H8144" t="s">
        <v>35</v>
      </c>
      <c r="J8144" t="s">
        <v>7518</v>
      </c>
      <c r="K8144" t="s">
        <v>1092</v>
      </c>
      <c r="M8144">
        <v>2.2949999999999999</v>
      </c>
      <c r="N8144">
        <v>276</v>
      </c>
      <c r="O8144" t="s">
        <v>5</v>
      </c>
      <c r="Q8144" t="s">
        <v>1952</v>
      </c>
      <c r="R8144" t="s">
        <v>6709</v>
      </c>
      <c r="S8144" t="s">
        <v>1022</v>
      </c>
    </row>
    <row r="8145" spans="1:19" x14ac:dyDescent="0.25">
      <c r="A8145" t="s">
        <v>59</v>
      </c>
      <c r="B8145" t="s">
        <v>60</v>
      </c>
      <c r="C8145" t="s">
        <v>32</v>
      </c>
      <c r="D8145" t="s">
        <v>953</v>
      </c>
      <c r="E8145" t="s">
        <v>1072</v>
      </c>
      <c r="F8145" t="s">
        <v>35</v>
      </c>
      <c r="G8145" t="s">
        <v>35</v>
      </c>
      <c r="H8145" t="s">
        <v>35</v>
      </c>
      <c r="J8145" t="s">
        <v>7519</v>
      </c>
      <c r="K8145" t="s">
        <v>1092</v>
      </c>
      <c r="M8145">
        <v>1.5</v>
      </c>
      <c r="N8145">
        <v>48</v>
      </c>
      <c r="O8145" t="s">
        <v>52</v>
      </c>
      <c r="Q8145" t="s">
        <v>496</v>
      </c>
      <c r="R8145" t="s">
        <v>6742</v>
      </c>
      <c r="S8145" t="s">
        <v>1016</v>
      </c>
    </row>
    <row r="8146" spans="1:19" x14ac:dyDescent="0.25">
      <c r="A8146" t="s">
        <v>30</v>
      </c>
      <c r="B8146" t="s">
        <v>31</v>
      </c>
      <c r="C8146" t="s">
        <v>32</v>
      </c>
      <c r="D8146" t="s">
        <v>953</v>
      </c>
      <c r="E8146" t="s">
        <v>1072</v>
      </c>
      <c r="F8146" t="s">
        <v>35</v>
      </c>
      <c r="G8146" t="s">
        <v>35</v>
      </c>
      <c r="H8146" t="s">
        <v>35</v>
      </c>
      <c r="J8146" t="s">
        <v>7519</v>
      </c>
      <c r="K8146" t="s">
        <v>1092</v>
      </c>
      <c r="M8146">
        <v>4.2300000000000004</v>
      </c>
      <c r="N8146">
        <v>16</v>
      </c>
      <c r="O8146" t="s">
        <v>46</v>
      </c>
      <c r="Q8146" t="s">
        <v>323</v>
      </c>
      <c r="R8146" t="s">
        <v>6742</v>
      </c>
      <c r="S8146" t="s">
        <v>1016</v>
      </c>
    </row>
    <row r="8147" spans="1:19" x14ac:dyDescent="0.25">
      <c r="A8147" t="s">
        <v>30</v>
      </c>
      <c r="B8147" t="s">
        <v>31</v>
      </c>
      <c r="C8147" t="s">
        <v>32</v>
      </c>
      <c r="D8147" t="s">
        <v>953</v>
      </c>
      <c r="E8147" t="s">
        <v>1072</v>
      </c>
      <c r="F8147" t="s">
        <v>35</v>
      </c>
      <c r="G8147" t="s">
        <v>35</v>
      </c>
      <c r="H8147" t="s">
        <v>35</v>
      </c>
      <c r="J8147" t="s">
        <v>8264</v>
      </c>
      <c r="K8147" t="s">
        <v>1092</v>
      </c>
      <c r="M8147">
        <v>4.9950000000000001</v>
      </c>
      <c r="N8147">
        <v>16</v>
      </c>
      <c r="O8147" t="s">
        <v>46</v>
      </c>
      <c r="Q8147" t="s">
        <v>323</v>
      </c>
      <c r="R8147" t="s">
        <v>6742</v>
      </c>
      <c r="S8147" t="s">
        <v>1016</v>
      </c>
    </row>
    <row r="8148" spans="1:19" x14ac:dyDescent="0.25">
      <c r="A8148" t="s">
        <v>44</v>
      </c>
      <c r="B8148" t="s">
        <v>3</v>
      </c>
      <c r="C8148" t="s">
        <v>32</v>
      </c>
      <c r="D8148" t="s">
        <v>953</v>
      </c>
      <c r="E8148" t="s">
        <v>1072</v>
      </c>
      <c r="F8148" t="s">
        <v>35</v>
      </c>
      <c r="G8148" t="s">
        <v>35</v>
      </c>
      <c r="H8148" t="s">
        <v>35</v>
      </c>
      <c r="J8148" t="s">
        <v>7520</v>
      </c>
      <c r="K8148" t="s">
        <v>1092</v>
      </c>
      <c r="M8148">
        <v>2</v>
      </c>
      <c r="N8148">
        <v>60</v>
      </c>
      <c r="O8148" t="s">
        <v>52</v>
      </c>
      <c r="Q8148" t="s">
        <v>1734</v>
      </c>
      <c r="R8148" t="s">
        <v>133</v>
      </c>
      <c r="S8148" t="s">
        <v>134</v>
      </c>
    </row>
    <row r="8149" spans="1:19" x14ac:dyDescent="0.25">
      <c r="A8149" t="s">
        <v>44</v>
      </c>
      <c r="B8149" t="s">
        <v>3</v>
      </c>
      <c r="C8149" t="s">
        <v>32</v>
      </c>
      <c r="D8149" t="s">
        <v>953</v>
      </c>
      <c r="E8149" t="s">
        <v>1072</v>
      </c>
      <c r="F8149" t="s">
        <v>35</v>
      </c>
      <c r="G8149" t="s">
        <v>35</v>
      </c>
      <c r="H8149" t="s">
        <v>35</v>
      </c>
      <c r="J8149" t="s">
        <v>7521</v>
      </c>
      <c r="K8149" t="s">
        <v>1092</v>
      </c>
      <c r="M8149">
        <v>1.8</v>
      </c>
      <c r="N8149">
        <v>65</v>
      </c>
      <c r="O8149" t="s">
        <v>61</v>
      </c>
      <c r="Q8149" t="s">
        <v>128</v>
      </c>
      <c r="R8149" t="s">
        <v>6742</v>
      </c>
      <c r="S8149" t="s">
        <v>1016</v>
      </c>
    </row>
    <row r="8150" spans="1:19" x14ac:dyDescent="0.25">
      <c r="A8150" t="s">
        <v>59</v>
      </c>
      <c r="B8150" t="s">
        <v>31</v>
      </c>
      <c r="C8150" t="s">
        <v>32</v>
      </c>
      <c r="D8150" t="s">
        <v>953</v>
      </c>
      <c r="E8150" t="s">
        <v>1072</v>
      </c>
      <c r="F8150" t="s">
        <v>35</v>
      </c>
      <c r="G8150" t="s">
        <v>35</v>
      </c>
      <c r="H8150" t="s">
        <v>35</v>
      </c>
      <c r="J8150" t="s">
        <v>7521</v>
      </c>
      <c r="K8150" t="s">
        <v>1092</v>
      </c>
      <c r="M8150">
        <v>29.76</v>
      </c>
      <c r="N8150">
        <v>222</v>
      </c>
      <c r="O8150" t="s">
        <v>5</v>
      </c>
      <c r="Q8150" t="s">
        <v>1746</v>
      </c>
      <c r="R8150" t="s">
        <v>133</v>
      </c>
      <c r="S8150" t="s">
        <v>134</v>
      </c>
    </row>
    <row r="8151" spans="1:19" x14ac:dyDescent="0.25">
      <c r="A8151" t="s">
        <v>30</v>
      </c>
      <c r="B8151" t="s">
        <v>31</v>
      </c>
      <c r="C8151" t="s">
        <v>32</v>
      </c>
      <c r="D8151" t="s">
        <v>953</v>
      </c>
      <c r="E8151" t="s">
        <v>1072</v>
      </c>
      <c r="F8151" t="s">
        <v>35</v>
      </c>
      <c r="G8151" t="s">
        <v>35</v>
      </c>
      <c r="H8151" t="s">
        <v>35</v>
      </c>
      <c r="J8151" t="s">
        <v>7521</v>
      </c>
      <c r="K8151" t="s">
        <v>1092</v>
      </c>
      <c r="M8151">
        <v>42.15</v>
      </c>
      <c r="N8151">
        <v>201</v>
      </c>
      <c r="O8151" t="s">
        <v>5</v>
      </c>
      <c r="Q8151" t="s">
        <v>1428</v>
      </c>
      <c r="R8151" t="s">
        <v>133</v>
      </c>
      <c r="S8151" t="s">
        <v>134</v>
      </c>
    </row>
    <row r="8152" spans="1:19" x14ac:dyDescent="0.25">
      <c r="A8152" t="s">
        <v>59</v>
      </c>
      <c r="B8152" t="s">
        <v>60</v>
      </c>
      <c r="C8152" t="s">
        <v>32</v>
      </c>
      <c r="D8152" t="s">
        <v>953</v>
      </c>
      <c r="E8152" t="s">
        <v>1072</v>
      </c>
      <c r="F8152" t="s">
        <v>35</v>
      </c>
      <c r="G8152" t="s">
        <v>35</v>
      </c>
      <c r="H8152" t="s">
        <v>35</v>
      </c>
      <c r="J8152" t="s">
        <v>7521</v>
      </c>
      <c r="K8152" t="s">
        <v>1092</v>
      </c>
      <c r="M8152">
        <v>5</v>
      </c>
      <c r="N8152">
        <v>65</v>
      </c>
      <c r="O8152" t="s">
        <v>61</v>
      </c>
      <c r="Q8152" t="s">
        <v>128</v>
      </c>
      <c r="R8152" t="s">
        <v>6742</v>
      </c>
      <c r="S8152" t="s">
        <v>1016</v>
      </c>
    </row>
    <row r="8153" spans="1:19" x14ac:dyDescent="0.25">
      <c r="A8153" t="s">
        <v>59</v>
      </c>
      <c r="B8153" t="s">
        <v>31</v>
      </c>
      <c r="C8153" t="s">
        <v>32</v>
      </c>
      <c r="D8153" t="s">
        <v>953</v>
      </c>
      <c r="E8153" t="s">
        <v>1072</v>
      </c>
      <c r="F8153" t="s">
        <v>35</v>
      </c>
      <c r="G8153" t="s">
        <v>35</v>
      </c>
      <c r="H8153" t="s">
        <v>35</v>
      </c>
      <c r="J8153" t="s">
        <v>7522</v>
      </c>
      <c r="K8153" t="s">
        <v>1092</v>
      </c>
      <c r="M8153">
        <v>4.9950000000000001</v>
      </c>
      <c r="N8153">
        <v>51</v>
      </c>
      <c r="O8153" t="s">
        <v>52</v>
      </c>
      <c r="Q8153" t="s">
        <v>54</v>
      </c>
      <c r="R8153" t="s">
        <v>6705</v>
      </c>
      <c r="S8153" t="s">
        <v>981</v>
      </c>
    </row>
    <row r="8154" spans="1:19" x14ac:dyDescent="0.25">
      <c r="A8154" t="s">
        <v>44</v>
      </c>
      <c r="B8154" t="s">
        <v>3</v>
      </c>
      <c r="C8154" t="s">
        <v>32</v>
      </c>
      <c r="D8154" t="s">
        <v>953</v>
      </c>
      <c r="E8154" t="s">
        <v>1072</v>
      </c>
      <c r="F8154" t="s">
        <v>35</v>
      </c>
      <c r="G8154" t="s">
        <v>35</v>
      </c>
      <c r="H8154" t="s">
        <v>35</v>
      </c>
      <c r="J8154" t="s">
        <v>7522</v>
      </c>
      <c r="K8154" t="s">
        <v>1092</v>
      </c>
      <c r="M8154">
        <v>5</v>
      </c>
      <c r="N8154">
        <v>58</v>
      </c>
      <c r="O8154" t="s">
        <v>52</v>
      </c>
      <c r="Q8154" t="s">
        <v>58</v>
      </c>
      <c r="R8154" t="s">
        <v>6885</v>
      </c>
      <c r="S8154" t="s">
        <v>6886</v>
      </c>
    </row>
    <row r="8155" spans="1:19" x14ac:dyDescent="0.25">
      <c r="A8155" t="s">
        <v>59</v>
      </c>
      <c r="B8155" t="s">
        <v>31</v>
      </c>
      <c r="C8155" t="s">
        <v>32</v>
      </c>
      <c r="D8155" t="s">
        <v>953</v>
      </c>
      <c r="E8155" t="s">
        <v>1072</v>
      </c>
      <c r="F8155" t="s">
        <v>35</v>
      </c>
      <c r="G8155" t="s">
        <v>35</v>
      </c>
      <c r="H8155" t="s">
        <v>35</v>
      </c>
      <c r="J8155" t="s">
        <v>7523</v>
      </c>
      <c r="K8155" t="s">
        <v>1092</v>
      </c>
      <c r="M8155">
        <v>1.125</v>
      </c>
      <c r="N8155">
        <v>150</v>
      </c>
      <c r="O8155" t="s">
        <v>38</v>
      </c>
      <c r="Q8155" t="s">
        <v>1612</v>
      </c>
      <c r="R8155" t="s">
        <v>6723</v>
      </c>
      <c r="S8155" t="s">
        <v>6724</v>
      </c>
    </row>
    <row r="8156" spans="1:19" x14ac:dyDescent="0.25">
      <c r="A8156" t="s">
        <v>30</v>
      </c>
      <c r="B8156" t="s">
        <v>31</v>
      </c>
      <c r="C8156" t="s">
        <v>32</v>
      </c>
      <c r="D8156" t="s">
        <v>953</v>
      </c>
      <c r="E8156" t="s">
        <v>1072</v>
      </c>
      <c r="F8156" t="s">
        <v>35</v>
      </c>
      <c r="G8156" t="s">
        <v>35</v>
      </c>
      <c r="H8156" t="s">
        <v>35</v>
      </c>
      <c r="J8156" t="s">
        <v>7524</v>
      </c>
      <c r="K8156" t="s">
        <v>1092</v>
      </c>
      <c r="M8156">
        <v>0.01</v>
      </c>
      <c r="N8156">
        <v>1962</v>
      </c>
      <c r="O8156" t="s">
        <v>575</v>
      </c>
      <c r="Q8156" t="s">
        <v>7525</v>
      </c>
      <c r="R8156" t="s">
        <v>7526</v>
      </c>
      <c r="S8156" t="s">
        <v>7527</v>
      </c>
    </row>
    <row r="8157" spans="1:19" x14ac:dyDescent="0.25">
      <c r="A8157" t="s">
        <v>30</v>
      </c>
      <c r="B8157" t="s">
        <v>31</v>
      </c>
      <c r="C8157" t="s">
        <v>32</v>
      </c>
      <c r="D8157" t="s">
        <v>953</v>
      </c>
      <c r="E8157" t="s">
        <v>1072</v>
      </c>
      <c r="F8157" t="s">
        <v>35</v>
      </c>
      <c r="G8157" t="s">
        <v>35</v>
      </c>
      <c r="H8157" t="s">
        <v>35</v>
      </c>
      <c r="J8157" t="s">
        <v>7529</v>
      </c>
      <c r="K8157" t="s">
        <v>1092</v>
      </c>
      <c r="M8157">
        <v>9.99</v>
      </c>
      <c r="N8157">
        <v>24</v>
      </c>
      <c r="O8157" t="s">
        <v>46</v>
      </c>
      <c r="Q8157" t="s">
        <v>255</v>
      </c>
      <c r="R8157" t="s">
        <v>6897</v>
      </c>
      <c r="S8157" t="s">
        <v>1062</v>
      </c>
    </row>
    <row r="8158" spans="1:19" x14ac:dyDescent="0.25">
      <c r="A8158" t="s">
        <v>59</v>
      </c>
      <c r="B8158" t="s">
        <v>60</v>
      </c>
      <c r="C8158" t="s">
        <v>32</v>
      </c>
      <c r="D8158" t="s">
        <v>953</v>
      </c>
      <c r="E8158" t="s">
        <v>1072</v>
      </c>
      <c r="F8158" t="s">
        <v>35</v>
      </c>
      <c r="G8158" t="s">
        <v>35</v>
      </c>
      <c r="H8158" t="s">
        <v>35</v>
      </c>
      <c r="J8158" t="s">
        <v>7530</v>
      </c>
      <c r="K8158" t="s">
        <v>1092</v>
      </c>
      <c r="M8158">
        <v>0.3</v>
      </c>
      <c r="N8158">
        <v>48</v>
      </c>
      <c r="O8158" t="s">
        <v>52</v>
      </c>
      <c r="Q8158" t="s">
        <v>496</v>
      </c>
      <c r="R8158" t="s">
        <v>6742</v>
      </c>
      <c r="S8158" t="s">
        <v>1016</v>
      </c>
    </row>
    <row r="8159" spans="1:19" x14ac:dyDescent="0.25">
      <c r="A8159" t="s">
        <v>59</v>
      </c>
      <c r="B8159" t="s">
        <v>31</v>
      </c>
      <c r="C8159" t="s">
        <v>32</v>
      </c>
      <c r="D8159" t="s">
        <v>953</v>
      </c>
      <c r="E8159" t="s">
        <v>1072</v>
      </c>
      <c r="F8159" t="s">
        <v>35</v>
      </c>
      <c r="G8159" t="s">
        <v>35</v>
      </c>
      <c r="H8159" t="s">
        <v>35</v>
      </c>
      <c r="J8159" t="s">
        <v>7531</v>
      </c>
      <c r="K8159" t="s">
        <v>1092</v>
      </c>
      <c r="M8159">
        <v>1.35</v>
      </c>
      <c r="N8159">
        <v>515</v>
      </c>
      <c r="O8159" t="s">
        <v>294</v>
      </c>
      <c r="Q8159" t="s">
        <v>2573</v>
      </c>
      <c r="R8159" t="s">
        <v>133</v>
      </c>
      <c r="S8159" t="s">
        <v>134</v>
      </c>
    </row>
    <row r="8160" spans="1:19" x14ac:dyDescent="0.25">
      <c r="A8160" t="s">
        <v>30</v>
      </c>
      <c r="B8160" t="s">
        <v>31</v>
      </c>
      <c r="C8160" t="s">
        <v>32</v>
      </c>
      <c r="D8160" t="s">
        <v>953</v>
      </c>
      <c r="E8160" t="s">
        <v>1072</v>
      </c>
      <c r="F8160" t="s">
        <v>35</v>
      </c>
      <c r="G8160" t="s">
        <v>35</v>
      </c>
      <c r="H8160" t="s">
        <v>35</v>
      </c>
      <c r="J8160" t="s">
        <v>7532</v>
      </c>
      <c r="K8160" t="s">
        <v>1092</v>
      </c>
      <c r="M8160">
        <v>4.9950000000000001</v>
      </c>
      <c r="N8160">
        <v>16</v>
      </c>
      <c r="O8160" t="s">
        <v>46</v>
      </c>
      <c r="Q8160" t="s">
        <v>323</v>
      </c>
      <c r="R8160" t="s">
        <v>6742</v>
      </c>
      <c r="S8160" t="s">
        <v>1016</v>
      </c>
    </row>
    <row r="8161" spans="1:19" x14ac:dyDescent="0.25">
      <c r="A8161" t="s">
        <v>59</v>
      </c>
      <c r="B8161" t="s">
        <v>31</v>
      </c>
      <c r="C8161" t="s">
        <v>32</v>
      </c>
      <c r="D8161" t="s">
        <v>953</v>
      </c>
      <c r="E8161" t="s">
        <v>1072</v>
      </c>
      <c r="F8161" t="s">
        <v>35</v>
      </c>
      <c r="G8161" t="s">
        <v>35</v>
      </c>
      <c r="H8161" t="s">
        <v>35</v>
      </c>
      <c r="J8161" t="s">
        <v>7532</v>
      </c>
      <c r="K8161" t="s">
        <v>1092</v>
      </c>
      <c r="M8161">
        <v>0.40500000000000003</v>
      </c>
      <c r="N8161">
        <v>240</v>
      </c>
      <c r="O8161" t="s">
        <v>5</v>
      </c>
      <c r="Q8161" t="s">
        <v>2516</v>
      </c>
      <c r="R8161" t="s">
        <v>6742</v>
      </c>
      <c r="S8161" t="s">
        <v>1016</v>
      </c>
    </row>
    <row r="8162" spans="1:19" x14ac:dyDescent="0.25">
      <c r="A8162" t="s">
        <v>59</v>
      </c>
      <c r="B8162" t="s">
        <v>31</v>
      </c>
      <c r="C8162" t="s">
        <v>32</v>
      </c>
      <c r="D8162" t="s">
        <v>953</v>
      </c>
      <c r="E8162" t="s">
        <v>1072</v>
      </c>
      <c r="F8162" t="s">
        <v>35</v>
      </c>
      <c r="G8162" t="s">
        <v>35</v>
      </c>
      <c r="H8162" t="s">
        <v>35</v>
      </c>
      <c r="J8162" t="s">
        <v>7532</v>
      </c>
      <c r="K8162" t="s">
        <v>1092</v>
      </c>
      <c r="M8162">
        <v>2.7450000000000001</v>
      </c>
      <c r="N8162">
        <v>62</v>
      </c>
      <c r="O8162" t="s">
        <v>61</v>
      </c>
      <c r="Q8162" t="s">
        <v>90</v>
      </c>
      <c r="R8162" t="s">
        <v>6742</v>
      </c>
      <c r="S8162" t="s">
        <v>1016</v>
      </c>
    </row>
    <row r="8163" spans="1:19" x14ac:dyDescent="0.25">
      <c r="A8163" t="s">
        <v>30</v>
      </c>
      <c r="B8163" t="s">
        <v>31</v>
      </c>
      <c r="C8163" t="s">
        <v>32</v>
      </c>
      <c r="D8163" t="s">
        <v>953</v>
      </c>
      <c r="E8163" t="s">
        <v>1072</v>
      </c>
      <c r="F8163" t="s">
        <v>35</v>
      </c>
      <c r="G8163" t="s">
        <v>35</v>
      </c>
      <c r="H8163" t="s">
        <v>35</v>
      </c>
      <c r="J8163" t="s">
        <v>7533</v>
      </c>
      <c r="K8163" t="s">
        <v>1092</v>
      </c>
      <c r="M8163">
        <v>9.99</v>
      </c>
      <c r="N8163">
        <v>23</v>
      </c>
      <c r="O8163" t="s">
        <v>46</v>
      </c>
      <c r="Q8163" t="s">
        <v>1819</v>
      </c>
      <c r="R8163" t="s">
        <v>6742</v>
      </c>
      <c r="S8163" t="s">
        <v>1016</v>
      </c>
    </row>
    <row r="8164" spans="1:19" x14ac:dyDescent="0.25">
      <c r="A8164" t="s">
        <v>59</v>
      </c>
      <c r="B8164" t="s">
        <v>60</v>
      </c>
      <c r="C8164" t="s">
        <v>32</v>
      </c>
      <c r="D8164" t="s">
        <v>953</v>
      </c>
      <c r="E8164" t="s">
        <v>1072</v>
      </c>
      <c r="F8164" t="s">
        <v>35</v>
      </c>
      <c r="G8164" t="s">
        <v>35</v>
      </c>
      <c r="H8164" t="s">
        <v>35</v>
      </c>
      <c r="J8164" t="s">
        <v>7534</v>
      </c>
      <c r="K8164" t="s">
        <v>1092</v>
      </c>
      <c r="M8164">
        <v>1</v>
      </c>
      <c r="N8164">
        <v>48</v>
      </c>
      <c r="O8164" t="s">
        <v>52</v>
      </c>
      <c r="Q8164" t="s">
        <v>496</v>
      </c>
      <c r="R8164" t="s">
        <v>6742</v>
      </c>
      <c r="S8164" t="s">
        <v>1016</v>
      </c>
    </row>
    <row r="8165" spans="1:19" x14ac:dyDescent="0.25">
      <c r="A8165" t="s">
        <v>59</v>
      </c>
      <c r="B8165" t="s">
        <v>31</v>
      </c>
      <c r="C8165" t="s">
        <v>32</v>
      </c>
      <c r="D8165" t="s">
        <v>953</v>
      </c>
      <c r="E8165" t="s">
        <v>1072</v>
      </c>
      <c r="F8165" t="s">
        <v>35</v>
      </c>
      <c r="G8165" t="s">
        <v>35</v>
      </c>
      <c r="H8165" t="s">
        <v>35</v>
      </c>
      <c r="J8165" t="s">
        <v>7535</v>
      </c>
      <c r="K8165" t="s">
        <v>1092</v>
      </c>
      <c r="M8165">
        <v>0.36</v>
      </c>
      <c r="N8165">
        <v>238</v>
      </c>
      <c r="O8165" t="s">
        <v>5</v>
      </c>
      <c r="Q8165" t="s">
        <v>933</v>
      </c>
      <c r="R8165" t="s">
        <v>133</v>
      </c>
      <c r="S8165" t="s">
        <v>134</v>
      </c>
    </row>
    <row r="8166" spans="1:19" x14ac:dyDescent="0.25">
      <c r="A8166" t="s">
        <v>44</v>
      </c>
      <c r="B8166" t="s">
        <v>3</v>
      </c>
      <c r="C8166" t="s">
        <v>32</v>
      </c>
      <c r="D8166" t="s">
        <v>953</v>
      </c>
      <c r="E8166" t="s">
        <v>1072</v>
      </c>
      <c r="F8166" t="s">
        <v>35</v>
      </c>
      <c r="G8166" t="s">
        <v>35</v>
      </c>
      <c r="H8166" t="s">
        <v>35</v>
      </c>
      <c r="J8166" t="s">
        <v>7536</v>
      </c>
      <c r="K8166" t="s">
        <v>1092</v>
      </c>
      <c r="M8166">
        <v>5</v>
      </c>
      <c r="N8166">
        <v>48</v>
      </c>
      <c r="O8166" t="s">
        <v>52</v>
      </c>
      <c r="Q8166" t="s">
        <v>496</v>
      </c>
      <c r="R8166" t="s">
        <v>6742</v>
      </c>
      <c r="S8166" t="s">
        <v>1016</v>
      </c>
    </row>
    <row r="8167" spans="1:19" x14ac:dyDescent="0.25">
      <c r="A8167" t="s">
        <v>59</v>
      </c>
      <c r="B8167" t="s">
        <v>31</v>
      </c>
      <c r="C8167" t="s">
        <v>32</v>
      </c>
      <c r="D8167" t="s">
        <v>953</v>
      </c>
      <c r="E8167" t="s">
        <v>1072</v>
      </c>
      <c r="F8167" t="s">
        <v>35</v>
      </c>
      <c r="G8167" t="s">
        <v>35</v>
      </c>
      <c r="H8167" t="s">
        <v>35</v>
      </c>
      <c r="J8167" t="s">
        <v>7537</v>
      </c>
      <c r="K8167" t="s">
        <v>1092</v>
      </c>
      <c r="M8167">
        <v>2.25</v>
      </c>
      <c r="N8167">
        <v>62</v>
      </c>
      <c r="O8167" t="s">
        <v>61</v>
      </c>
      <c r="Q8167" t="s">
        <v>90</v>
      </c>
      <c r="R8167" t="s">
        <v>6742</v>
      </c>
      <c r="S8167" t="s">
        <v>1016</v>
      </c>
    </row>
    <row r="8168" spans="1:19" x14ac:dyDescent="0.25">
      <c r="A8168" t="s">
        <v>59</v>
      </c>
      <c r="B8168" t="s">
        <v>60</v>
      </c>
      <c r="C8168" t="s">
        <v>32</v>
      </c>
      <c r="D8168" t="s">
        <v>953</v>
      </c>
      <c r="E8168" t="s">
        <v>1072</v>
      </c>
      <c r="F8168" t="s">
        <v>35</v>
      </c>
      <c r="G8168" t="s">
        <v>35</v>
      </c>
      <c r="H8168" t="s">
        <v>35</v>
      </c>
      <c r="J8168" t="s">
        <v>7537</v>
      </c>
      <c r="K8168" t="s">
        <v>1092</v>
      </c>
      <c r="M8168">
        <v>5</v>
      </c>
      <c r="N8168">
        <v>90</v>
      </c>
      <c r="O8168" t="s">
        <v>61</v>
      </c>
      <c r="Q8168" t="s">
        <v>897</v>
      </c>
      <c r="R8168" t="s">
        <v>6709</v>
      </c>
      <c r="S8168" t="s">
        <v>1022</v>
      </c>
    </row>
    <row r="8169" spans="1:19" x14ac:dyDescent="0.25">
      <c r="A8169" t="s">
        <v>44</v>
      </c>
      <c r="B8169" t="s">
        <v>3</v>
      </c>
      <c r="C8169" t="s">
        <v>32</v>
      </c>
      <c r="D8169" t="s">
        <v>953</v>
      </c>
      <c r="E8169" t="s">
        <v>1072</v>
      </c>
      <c r="F8169" t="s">
        <v>35</v>
      </c>
      <c r="G8169" t="s">
        <v>35</v>
      </c>
      <c r="H8169" t="s">
        <v>35</v>
      </c>
      <c r="J8169" t="s">
        <v>7538</v>
      </c>
      <c r="K8169" t="s">
        <v>1092</v>
      </c>
      <c r="M8169">
        <v>0.4</v>
      </c>
      <c r="N8169">
        <v>48</v>
      </c>
      <c r="O8169" t="s">
        <v>52</v>
      </c>
      <c r="Q8169" t="s">
        <v>496</v>
      </c>
      <c r="R8169" t="s">
        <v>6742</v>
      </c>
      <c r="S8169" t="s">
        <v>1016</v>
      </c>
    </row>
    <row r="8170" spans="1:19" x14ac:dyDescent="0.25">
      <c r="A8170" t="s">
        <v>30</v>
      </c>
      <c r="B8170" t="s">
        <v>31</v>
      </c>
      <c r="C8170" t="s">
        <v>32</v>
      </c>
      <c r="D8170" t="s">
        <v>953</v>
      </c>
      <c r="E8170" t="s">
        <v>1072</v>
      </c>
      <c r="F8170" t="s">
        <v>35</v>
      </c>
      <c r="G8170" t="s">
        <v>35</v>
      </c>
      <c r="H8170" t="s">
        <v>35</v>
      </c>
      <c r="J8170" t="s">
        <v>7539</v>
      </c>
      <c r="K8170" t="s">
        <v>1092</v>
      </c>
      <c r="M8170">
        <v>9.99</v>
      </c>
      <c r="N8170">
        <v>23</v>
      </c>
      <c r="O8170" t="s">
        <v>46</v>
      </c>
      <c r="Q8170" t="s">
        <v>1819</v>
      </c>
      <c r="R8170" t="s">
        <v>6877</v>
      </c>
      <c r="S8170" t="s">
        <v>1041</v>
      </c>
    </row>
    <row r="8171" spans="1:19" x14ac:dyDescent="0.25">
      <c r="A8171" t="s">
        <v>59</v>
      </c>
      <c r="B8171" t="s">
        <v>60</v>
      </c>
      <c r="C8171" t="s">
        <v>32</v>
      </c>
      <c r="D8171" t="s">
        <v>953</v>
      </c>
      <c r="E8171" t="s">
        <v>1072</v>
      </c>
      <c r="F8171" t="s">
        <v>35</v>
      </c>
      <c r="G8171" t="s">
        <v>35</v>
      </c>
      <c r="H8171" t="s">
        <v>35</v>
      </c>
      <c r="J8171" t="s">
        <v>7541</v>
      </c>
      <c r="K8171" t="s">
        <v>1092</v>
      </c>
      <c r="M8171">
        <v>9.25</v>
      </c>
      <c r="N8171">
        <v>822</v>
      </c>
      <c r="O8171" t="s">
        <v>575</v>
      </c>
      <c r="Q8171" t="s">
        <v>7542</v>
      </c>
      <c r="R8171" t="s">
        <v>7543</v>
      </c>
      <c r="S8171" t="s">
        <v>7544</v>
      </c>
    </row>
    <row r="8172" spans="1:19" x14ac:dyDescent="0.25">
      <c r="A8172" t="s">
        <v>30</v>
      </c>
      <c r="B8172" t="s">
        <v>31</v>
      </c>
      <c r="C8172" t="s">
        <v>32</v>
      </c>
      <c r="D8172" t="s">
        <v>953</v>
      </c>
      <c r="E8172" t="s">
        <v>1072</v>
      </c>
      <c r="F8172" t="s">
        <v>35</v>
      </c>
      <c r="G8172" t="s">
        <v>35</v>
      </c>
      <c r="H8172" t="s">
        <v>35</v>
      </c>
      <c r="J8172" t="s">
        <v>7546</v>
      </c>
      <c r="K8172" t="s">
        <v>1092</v>
      </c>
      <c r="M8172">
        <v>2.4750000000000001</v>
      </c>
      <c r="N8172">
        <v>277</v>
      </c>
      <c r="O8172" t="s">
        <v>5</v>
      </c>
      <c r="Q8172" t="s">
        <v>5812</v>
      </c>
      <c r="R8172" t="s">
        <v>6709</v>
      </c>
      <c r="S8172" t="s">
        <v>1022</v>
      </c>
    </row>
    <row r="8173" spans="1:19" x14ac:dyDescent="0.25">
      <c r="A8173" t="s">
        <v>44</v>
      </c>
      <c r="B8173" t="s">
        <v>3</v>
      </c>
      <c r="C8173" t="s">
        <v>32</v>
      </c>
      <c r="D8173" t="s">
        <v>953</v>
      </c>
      <c r="E8173" t="s">
        <v>1072</v>
      </c>
      <c r="F8173" t="s">
        <v>35</v>
      </c>
      <c r="G8173" t="s">
        <v>35</v>
      </c>
      <c r="H8173" t="s">
        <v>35</v>
      </c>
      <c r="J8173" t="s">
        <v>7547</v>
      </c>
      <c r="K8173" t="s">
        <v>1092</v>
      </c>
      <c r="M8173">
        <v>1.5</v>
      </c>
      <c r="N8173">
        <v>48</v>
      </c>
      <c r="O8173" t="s">
        <v>52</v>
      </c>
      <c r="Q8173" t="s">
        <v>496</v>
      </c>
      <c r="R8173" t="s">
        <v>6742</v>
      </c>
      <c r="S8173" t="s">
        <v>1016</v>
      </c>
    </row>
    <row r="8174" spans="1:19" x14ac:dyDescent="0.25">
      <c r="A8174" t="s">
        <v>30</v>
      </c>
      <c r="B8174" t="s">
        <v>31</v>
      </c>
      <c r="C8174" t="s">
        <v>32</v>
      </c>
      <c r="D8174" t="s">
        <v>953</v>
      </c>
      <c r="E8174" t="s">
        <v>1072</v>
      </c>
      <c r="F8174" t="s">
        <v>35</v>
      </c>
      <c r="G8174" t="s">
        <v>35</v>
      </c>
      <c r="H8174" t="s">
        <v>35</v>
      </c>
      <c r="J8174" t="s">
        <v>7548</v>
      </c>
      <c r="K8174" t="s">
        <v>1092</v>
      </c>
      <c r="M8174">
        <v>9.99</v>
      </c>
      <c r="N8174">
        <v>18</v>
      </c>
      <c r="O8174" t="s">
        <v>46</v>
      </c>
      <c r="Q8174" t="s">
        <v>1476</v>
      </c>
      <c r="R8174" t="s">
        <v>6723</v>
      </c>
      <c r="S8174" t="s">
        <v>6724</v>
      </c>
    </row>
    <row r="8175" spans="1:19" x14ac:dyDescent="0.25">
      <c r="A8175" t="s">
        <v>59</v>
      </c>
      <c r="B8175" t="s">
        <v>60</v>
      </c>
      <c r="C8175" t="s">
        <v>32</v>
      </c>
      <c r="D8175" t="s">
        <v>953</v>
      </c>
      <c r="E8175" t="s">
        <v>1072</v>
      </c>
      <c r="F8175" t="s">
        <v>35</v>
      </c>
      <c r="G8175" t="s">
        <v>35</v>
      </c>
      <c r="H8175" t="s">
        <v>35</v>
      </c>
      <c r="J8175" t="s">
        <v>7549</v>
      </c>
      <c r="K8175" t="s">
        <v>1092</v>
      </c>
      <c r="M8175">
        <v>3.5</v>
      </c>
      <c r="N8175">
        <v>251</v>
      </c>
      <c r="O8175" t="s">
        <v>5</v>
      </c>
      <c r="Q8175" t="s">
        <v>1688</v>
      </c>
      <c r="R8175" t="s">
        <v>7550</v>
      </c>
      <c r="S8175" t="s">
        <v>1073</v>
      </c>
    </row>
    <row r="8176" spans="1:19" x14ac:dyDescent="0.25">
      <c r="A8176" t="s">
        <v>30</v>
      </c>
      <c r="B8176" t="s">
        <v>31</v>
      </c>
      <c r="C8176" t="s">
        <v>32</v>
      </c>
      <c r="D8176" t="s">
        <v>953</v>
      </c>
      <c r="E8176" t="s">
        <v>1072</v>
      </c>
      <c r="F8176" t="s">
        <v>35</v>
      </c>
      <c r="G8176" t="s">
        <v>35</v>
      </c>
      <c r="H8176" t="s">
        <v>35</v>
      </c>
      <c r="J8176" t="s">
        <v>7551</v>
      </c>
      <c r="K8176" t="s">
        <v>1092</v>
      </c>
      <c r="M8176">
        <v>4.4999999999999998E-2</v>
      </c>
      <c r="N8176">
        <v>215</v>
      </c>
      <c r="O8176" t="s">
        <v>5</v>
      </c>
      <c r="Q8176" t="s">
        <v>3122</v>
      </c>
      <c r="R8176" t="s">
        <v>987</v>
      </c>
      <c r="S8176" t="s">
        <v>988</v>
      </c>
    </row>
    <row r="8177" spans="1:19" x14ac:dyDescent="0.25">
      <c r="A8177" t="s">
        <v>59</v>
      </c>
      <c r="B8177" t="s">
        <v>31</v>
      </c>
      <c r="C8177" t="s">
        <v>32</v>
      </c>
      <c r="D8177" t="s">
        <v>953</v>
      </c>
      <c r="E8177" t="s">
        <v>1072</v>
      </c>
      <c r="F8177" t="s">
        <v>35</v>
      </c>
      <c r="G8177" t="s">
        <v>35</v>
      </c>
      <c r="H8177" t="s">
        <v>35</v>
      </c>
      <c r="J8177" t="s">
        <v>7552</v>
      </c>
      <c r="K8177" t="s">
        <v>1092</v>
      </c>
      <c r="M8177">
        <v>4.4999999999999998E-2</v>
      </c>
      <c r="N8177">
        <v>435</v>
      </c>
      <c r="O8177" t="s">
        <v>294</v>
      </c>
      <c r="Q8177" t="s">
        <v>1350</v>
      </c>
      <c r="R8177" t="s">
        <v>6723</v>
      </c>
      <c r="S8177" t="s">
        <v>6724</v>
      </c>
    </row>
    <row r="8178" spans="1:19" x14ac:dyDescent="0.25">
      <c r="A8178" t="s">
        <v>30</v>
      </c>
      <c r="B8178" t="s">
        <v>31</v>
      </c>
      <c r="C8178" t="s">
        <v>32</v>
      </c>
      <c r="D8178" t="s">
        <v>953</v>
      </c>
      <c r="E8178" t="s">
        <v>1072</v>
      </c>
      <c r="F8178" t="s">
        <v>35</v>
      </c>
      <c r="G8178" t="s">
        <v>35</v>
      </c>
      <c r="H8178" t="s">
        <v>35</v>
      </c>
      <c r="J8178" t="s">
        <v>7552</v>
      </c>
      <c r="K8178" t="s">
        <v>1092</v>
      </c>
      <c r="M8178">
        <v>0.315</v>
      </c>
      <c r="N8178">
        <v>339</v>
      </c>
      <c r="O8178" t="s">
        <v>5</v>
      </c>
      <c r="Q8178" t="s">
        <v>5298</v>
      </c>
      <c r="R8178" t="s">
        <v>7550</v>
      </c>
      <c r="S8178" t="s">
        <v>1073</v>
      </c>
    </row>
    <row r="8179" spans="1:19" x14ac:dyDescent="0.25">
      <c r="A8179" t="s">
        <v>59</v>
      </c>
      <c r="B8179" t="s">
        <v>31</v>
      </c>
      <c r="C8179" t="s">
        <v>32</v>
      </c>
      <c r="D8179" t="s">
        <v>953</v>
      </c>
      <c r="E8179" t="s">
        <v>1072</v>
      </c>
      <c r="F8179" t="s">
        <v>35</v>
      </c>
      <c r="G8179" t="s">
        <v>35</v>
      </c>
      <c r="H8179" t="s">
        <v>35</v>
      </c>
      <c r="J8179" t="s">
        <v>7553</v>
      </c>
      <c r="K8179" t="s">
        <v>1092</v>
      </c>
      <c r="M8179">
        <v>3.24</v>
      </c>
      <c r="N8179">
        <v>59</v>
      </c>
      <c r="O8179" t="s">
        <v>52</v>
      </c>
      <c r="Q8179" t="s">
        <v>84</v>
      </c>
      <c r="R8179" t="s">
        <v>133</v>
      </c>
      <c r="S8179" t="s">
        <v>134</v>
      </c>
    </row>
    <row r="8180" spans="1:19" x14ac:dyDescent="0.25">
      <c r="A8180" t="s">
        <v>30</v>
      </c>
      <c r="B8180" t="s">
        <v>31</v>
      </c>
      <c r="C8180" t="s">
        <v>32</v>
      </c>
      <c r="D8180" t="s">
        <v>953</v>
      </c>
      <c r="E8180" t="s">
        <v>1072</v>
      </c>
      <c r="F8180" t="s">
        <v>35</v>
      </c>
      <c r="G8180" t="s">
        <v>35</v>
      </c>
      <c r="H8180" t="s">
        <v>35</v>
      </c>
      <c r="J8180" t="s">
        <v>7554</v>
      </c>
      <c r="K8180" t="s">
        <v>1092</v>
      </c>
      <c r="M8180">
        <v>9.99</v>
      </c>
      <c r="N8180">
        <v>192</v>
      </c>
      <c r="O8180" t="s">
        <v>5</v>
      </c>
      <c r="Q8180" t="s">
        <v>2046</v>
      </c>
      <c r="R8180" t="s">
        <v>7029</v>
      </c>
      <c r="S8180" t="s">
        <v>7030</v>
      </c>
    </row>
    <row r="8181" spans="1:19" x14ac:dyDescent="0.25">
      <c r="A8181" t="s">
        <v>59</v>
      </c>
      <c r="B8181" t="s">
        <v>31</v>
      </c>
      <c r="C8181" t="s">
        <v>32</v>
      </c>
      <c r="D8181" t="s">
        <v>953</v>
      </c>
      <c r="E8181" t="s">
        <v>1072</v>
      </c>
      <c r="F8181" t="s">
        <v>35</v>
      </c>
      <c r="G8181" t="s">
        <v>35</v>
      </c>
      <c r="H8181" t="s">
        <v>35</v>
      </c>
      <c r="J8181" t="s">
        <v>7554</v>
      </c>
      <c r="K8181" t="s">
        <v>1092</v>
      </c>
      <c r="M8181">
        <v>0.9</v>
      </c>
      <c r="N8181">
        <v>433</v>
      </c>
      <c r="O8181" t="s">
        <v>294</v>
      </c>
      <c r="Q8181" t="s">
        <v>1935</v>
      </c>
      <c r="R8181" t="s">
        <v>6705</v>
      </c>
      <c r="S8181" t="s">
        <v>981</v>
      </c>
    </row>
    <row r="8182" spans="1:19" x14ac:dyDescent="0.25">
      <c r="A8182" t="s">
        <v>59</v>
      </c>
      <c r="B8182" t="s">
        <v>31</v>
      </c>
      <c r="C8182" t="s">
        <v>32</v>
      </c>
      <c r="D8182" t="s">
        <v>953</v>
      </c>
      <c r="E8182" t="s">
        <v>1072</v>
      </c>
      <c r="F8182" t="s">
        <v>35</v>
      </c>
      <c r="G8182" t="s">
        <v>35</v>
      </c>
      <c r="H8182" t="s">
        <v>35</v>
      </c>
      <c r="J8182" t="s">
        <v>7554</v>
      </c>
      <c r="K8182" t="s">
        <v>1092</v>
      </c>
      <c r="M8182">
        <v>4.9950000000000001</v>
      </c>
      <c r="N8182">
        <v>111</v>
      </c>
      <c r="O8182" t="s">
        <v>106</v>
      </c>
      <c r="Q8182" t="s">
        <v>4219</v>
      </c>
      <c r="R8182" t="s">
        <v>7029</v>
      </c>
      <c r="S8182" t="s">
        <v>7030</v>
      </c>
    </row>
    <row r="8183" spans="1:19" x14ac:dyDescent="0.25">
      <c r="A8183" t="s">
        <v>59</v>
      </c>
      <c r="B8183" t="s">
        <v>60</v>
      </c>
      <c r="C8183" t="s">
        <v>32</v>
      </c>
      <c r="D8183" t="s">
        <v>953</v>
      </c>
      <c r="E8183" t="s">
        <v>1072</v>
      </c>
      <c r="F8183" t="s">
        <v>35</v>
      </c>
      <c r="G8183" t="s">
        <v>35</v>
      </c>
      <c r="H8183" t="s">
        <v>35</v>
      </c>
      <c r="J8183" t="s">
        <v>7554</v>
      </c>
      <c r="K8183" t="s">
        <v>1092</v>
      </c>
      <c r="M8183">
        <v>0.35</v>
      </c>
      <c r="N8183">
        <v>230</v>
      </c>
      <c r="O8183" t="s">
        <v>5</v>
      </c>
      <c r="Q8183" t="s">
        <v>1544</v>
      </c>
      <c r="R8183" t="s">
        <v>7029</v>
      </c>
      <c r="S8183" t="s">
        <v>7030</v>
      </c>
    </row>
    <row r="8184" spans="1:19" x14ac:dyDescent="0.25">
      <c r="A8184" t="s">
        <v>59</v>
      </c>
      <c r="B8184" t="s">
        <v>31</v>
      </c>
      <c r="C8184" t="s">
        <v>32</v>
      </c>
      <c r="D8184" t="s">
        <v>953</v>
      </c>
      <c r="E8184" t="s">
        <v>1072</v>
      </c>
      <c r="F8184" t="s">
        <v>35</v>
      </c>
      <c r="G8184" t="s">
        <v>35</v>
      </c>
      <c r="H8184" t="s">
        <v>35</v>
      </c>
      <c r="J8184" t="s">
        <v>7555</v>
      </c>
      <c r="K8184" t="s">
        <v>1092</v>
      </c>
      <c r="M8184">
        <v>2.34</v>
      </c>
      <c r="N8184">
        <v>1246</v>
      </c>
      <c r="O8184" t="s">
        <v>575</v>
      </c>
      <c r="Q8184" t="s">
        <v>3026</v>
      </c>
      <c r="R8184" t="s">
        <v>6877</v>
      </c>
      <c r="S8184" t="s">
        <v>1041</v>
      </c>
    </row>
    <row r="8185" spans="1:19" x14ac:dyDescent="0.25">
      <c r="A8185" t="s">
        <v>59</v>
      </c>
      <c r="B8185" t="s">
        <v>60</v>
      </c>
      <c r="C8185" t="s">
        <v>32</v>
      </c>
      <c r="D8185" t="s">
        <v>953</v>
      </c>
      <c r="E8185" t="s">
        <v>1072</v>
      </c>
      <c r="F8185" t="s">
        <v>35</v>
      </c>
      <c r="G8185" t="s">
        <v>35</v>
      </c>
      <c r="H8185" t="s">
        <v>35</v>
      </c>
      <c r="J8185" t="s">
        <v>7556</v>
      </c>
      <c r="K8185" t="s">
        <v>404</v>
      </c>
      <c r="M8185">
        <v>10</v>
      </c>
      <c r="N8185">
        <v>93</v>
      </c>
      <c r="O8185" t="s">
        <v>106</v>
      </c>
      <c r="Q8185" t="s">
        <v>941</v>
      </c>
      <c r="R8185" t="s">
        <v>987</v>
      </c>
      <c r="S8185" t="s">
        <v>988</v>
      </c>
    </row>
    <row r="8186" spans="1:19" x14ac:dyDescent="0.25">
      <c r="A8186" t="s">
        <v>59</v>
      </c>
      <c r="B8186" t="s">
        <v>60</v>
      </c>
      <c r="C8186" t="s">
        <v>32</v>
      </c>
      <c r="D8186" t="s">
        <v>953</v>
      </c>
      <c r="E8186" t="s">
        <v>1072</v>
      </c>
      <c r="F8186" t="s">
        <v>35</v>
      </c>
      <c r="G8186" t="s">
        <v>35</v>
      </c>
      <c r="H8186" t="s">
        <v>35</v>
      </c>
      <c r="J8186" t="s">
        <v>7556</v>
      </c>
      <c r="K8186" t="s">
        <v>404</v>
      </c>
      <c r="M8186">
        <v>1.55</v>
      </c>
      <c r="N8186">
        <v>240</v>
      </c>
      <c r="O8186" t="s">
        <v>5</v>
      </c>
      <c r="Q8186" t="s">
        <v>2516</v>
      </c>
      <c r="R8186" t="s">
        <v>6742</v>
      </c>
      <c r="S8186" t="s">
        <v>1016</v>
      </c>
    </row>
    <row r="8187" spans="1:19" x14ac:dyDescent="0.25">
      <c r="A8187" t="s">
        <v>59</v>
      </c>
      <c r="B8187" t="s">
        <v>60</v>
      </c>
      <c r="C8187" t="s">
        <v>32</v>
      </c>
      <c r="D8187" t="s">
        <v>953</v>
      </c>
      <c r="E8187" t="s">
        <v>1072</v>
      </c>
      <c r="F8187" t="s">
        <v>35</v>
      </c>
      <c r="G8187" t="s">
        <v>35</v>
      </c>
      <c r="H8187" t="s">
        <v>35</v>
      </c>
      <c r="J8187" t="s">
        <v>7557</v>
      </c>
      <c r="K8187" t="s">
        <v>1092</v>
      </c>
      <c r="M8187">
        <v>0.75</v>
      </c>
      <c r="N8187">
        <v>125</v>
      </c>
      <c r="O8187" t="s">
        <v>38</v>
      </c>
      <c r="Q8187" t="s">
        <v>1954</v>
      </c>
      <c r="R8187" t="s">
        <v>7199</v>
      </c>
      <c r="S8187" t="s">
        <v>1069</v>
      </c>
    </row>
    <row r="8188" spans="1:19" x14ac:dyDescent="0.25">
      <c r="A8188" t="s">
        <v>59</v>
      </c>
      <c r="B8188" t="s">
        <v>60</v>
      </c>
      <c r="C8188" t="s">
        <v>32</v>
      </c>
      <c r="D8188" t="s">
        <v>953</v>
      </c>
      <c r="E8188" t="s">
        <v>7558</v>
      </c>
      <c r="F8188" t="s">
        <v>35</v>
      </c>
      <c r="G8188" t="s">
        <v>35</v>
      </c>
      <c r="H8188" t="s">
        <v>35</v>
      </c>
      <c r="J8188" t="s">
        <v>7559</v>
      </c>
      <c r="K8188" t="s">
        <v>404</v>
      </c>
      <c r="M8188">
        <v>9.1</v>
      </c>
      <c r="N8188">
        <v>151</v>
      </c>
      <c r="O8188" t="s">
        <v>38</v>
      </c>
      <c r="Q8188" t="s">
        <v>1269</v>
      </c>
      <c r="R8188" t="s">
        <v>6885</v>
      </c>
      <c r="S8188" t="s">
        <v>6886</v>
      </c>
    </row>
    <row r="8189" spans="1:19" x14ac:dyDescent="0.25">
      <c r="A8189" t="s">
        <v>59</v>
      </c>
      <c r="B8189" t="s">
        <v>60</v>
      </c>
      <c r="C8189" t="s">
        <v>32</v>
      </c>
      <c r="D8189" t="s">
        <v>953</v>
      </c>
      <c r="E8189" t="s">
        <v>7558</v>
      </c>
      <c r="F8189" t="s">
        <v>35</v>
      </c>
      <c r="G8189" t="s">
        <v>35</v>
      </c>
      <c r="H8189" t="s">
        <v>35</v>
      </c>
      <c r="J8189" t="s">
        <v>7560</v>
      </c>
      <c r="K8189" t="s">
        <v>1092</v>
      </c>
      <c r="M8189">
        <v>1.6E-2</v>
      </c>
      <c r="N8189">
        <v>559</v>
      </c>
      <c r="O8189" t="s">
        <v>575</v>
      </c>
      <c r="Q8189" t="s">
        <v>2199</v>
      </c>
      <c r="R8189" t="s">
        <v>6847</v>
      </c>
      <c r="S8189" t="s">
        <v>1034</v>
      </c>
    </row>
    <row r="8190" spans="1:19" x14ac:dyDescent="0.25">
      <c r="A8190" t="s">
        <v>44</v>
      </c>
      <c r="B8190" t="s">
        <v>3</v>
      </c>
      <c r="C8190" t="s">
        <v>32</v>
      </c>
      <c r="D8190" t="s">
        <v>953</v>
      </c>
      <c r="E8190" t="s">
        <v>7558</v>
      </c>
      <c r="F8190" t="s">
        <v>35</v>
      </c>
      <c r="G8190" t="s">
        <v>35</v>
      </c>
      <c r="H8190" t="s">
        <v>35</v>
      </c>
      <c r="J8190" t="s">
        <v>7561</v>
      </c>
      <c r="K8190" t="s">
        <v>1092</v>
      </c>
      <c r="M8190">
        <v>1.5</v>
      </c>
      <c r="N8190">
        <v>58</v>
      </c>
      <c r="O8190" t="s">
        <v>52</v>
      </c>
      <c r="Q8190" t="s">
        <v>58</v>
      </c>
      <c r="R8190" t="s">
        <v>6885</v>
      </c>
      <c r="S8190" t="s">
        <v>6886</v>
      </c>
    </row>
    <row r="8191" spans="1:19" x14ac:dyDescent="0.25">
      <c r="A8191" t="s">
        <v>59</v>
      </c>
      <c r="B8191" t="s">
        <v>31</v>
      </c>
      <c r="C8191" t="s">
        <v>32</v>
      </c>
      <c r="D8191" t="s">
        <v>953</v>
      </c>
      <c r="E8191" t="s">
        <v>7558</v>
      </c>
      <c r="F8191" t="s">
        <v>35</v>
      </c>
      <c r="G8191" t="s">
        <v>35</v>
      </c>
      <c r="H8191" t="s">
        <v>35</v>
      </c>
      <c r="J8191" t="s">
        <v>7562</v>
      </c>
      <c r="K8191" t="s">
        <v>1092</v>
      </c>
      <c r="M8191">
        <v>0.315</v>
      </c>
      <c r="N8191">
        <v>72</v>
      </c>
      <c r="O8191" t="s">
        <v>61</v>
      </c>
      <c r="Q8191" t="s">
        <v>63</v>
      </c>
      <c r="R8191" t="s">
        <v>133</v>
      </c>
      <c r="S8191" t="s">
        <v>134</v>
      </c>
    </row>
    <row r="8192" spans="1:19" x14ac:dyDescent="0.25">
      <c r="A8192" t="s">
        <v>59</v>
      </c>
      <c r="B8192" t="s">
        <v>60</v>
      </c>
      <c r="C8192" t="s">
        <v>32</v>
      </c>
      <c r="D8192" t="s">
        <v>953</v>
      </c>
      <c r="E8192" t="s">
        <v>7558</v>
      </c>
      <c r="F8192" t="s">
        <v>35</v>
      </c>
      <c r="G8192" t="s">
        <v>35</v>
      </c>
      <c r="H8192" t="s">
        <v>35</v>
      </c>
      <c r="J8192" t="s">
        <v>7564</v>
      </c>
      <c r="K8192" t="s">
        <v>1092</v>
      </c>
      <c r="M8192">
        <v>0.45</v>
      </c>
      <c r="N8192">
        <v>59</v>
      </c>
      <c r="O8192" t="s">
        <v>52</v>
      </c>
      <c r="Q8192" t="s">
        <v>84</v>
      </c>
      <c r="R8192" t="s">
        <v>133</v>
      </c>
      <c r="S8192" t="s">
        <v>134</v>
      </c>
    </row>
    <row r="8193" spans="1:19" x14ac:dyDescent="0.25">
      <c r="A8193" t="s">
        <v>59</v>
      </c>
      <c r="B8193" t="s">
        <v>31</v>
      </c>
      <c r="C8193" t="s">
        <v>32</v>
      </c>
      <c r="D8193" t="s">
        <v>953</v>
      </c>
      <c r="E8193" t="s">
        <v>7558</v>
      </c>
      <c r="F8193" t="s">
        <v>35</v>
      </c>
      <c r="G8193" t="s">
        <v>35</v>
      </c>
      <c r="H8193" t="s">
        <v>35</v>
      </c>
      <c r="J8193" t="s">
        <v>7564</v>
      </c>
      <c r="K8193" t="s">
        <v>1092</v>
      </c>
      <c r="M8193">
        <v>4.4999999999999998E-2</v>
      </c>
      <c r="N8193">
        <v>88</v>
      </c>
      <c r="O8193" t="s">
        <v>61</v>
      </c>
      <c r="Q8193" t="s">
        <v>858</v>
      </c>
      <c r="R8193" t="s">
        <v>133</v>
      </c>
      <c r="S8193" t="s">
        <v>134</v>
      </c>
    </row>
    <row r="8194" spans="1:19" x14ac:dyDescent="0.25">
      <c r="A8194" t="s">
        <v>30</v>
      </c>
      <c r="B8194" t="s">
        <v>31</v>
      </c>
      <c r="C8194" t="s">
        <v>32</v>
      </c>
      <c r="D8194" t="s">
        <v>953</v>
      </c>
      <c r="E8194" t="s">
        <v>7558</v>
      </c>
      <c r="F8194" t="s">
        <v>35</v>
      </c>
      <c r="G8194" t="s">
        <v>35</v>
      </c>
      <c r="H8194" t="s">
        <v>35</v>
      </c>
      <c r="J8194" t="s">
        <v>7564</v>
      </c>
      <c r="K8194" t="s">
        <v>1092</v>
      </c>
      <c r="M8194">
        <v>0.27</v>
      </c>
      <c r="N8194">
        <v>60</v>
      </c>
      <c r="O8194" t="s">
        <v>52</v>
      </c>
      <c r="Q8194" t="s">
        <v>1734</v>
      </c>
      <c r="R8194" t="s">
        <v>133</v>
      </c>
      <c r="S8194" t="s">
        <v>134</v>
      </c>
    </row>
    <row r="8195" spans="1:19" x14ac:dyDescent="0.25">
      <c r="A8195" t="s">
        <v>44</v>
      </c>
      <c r="B8195" t="s">
        <v>3</v>
      </c>
      <c r="C8195" t="s">
        <v>32</v>
      </c>
      <c r="D8195" t="s">
        <v>953</v>
      </c>
      <c r="E8195" t="s">
        <v>7558</v>
      </c>
      <c r="F8195" t="s">
        <v>35</v>
      </c>
      <c r="G8195" t="s">
        <v>35</v>
      </c>
      <c r="H8195" t="s">
        <v>35</v>
      </c>
      <c r="J8195" t="s">
        <v>7564</v>
      </c>
      <c r="K8195" t="s">
        <v>1092</v>
      </c>
      <c r="M8195">
        <v>3</v>
      </c>
      <c r="N8195">
        <v>42</v>
      </c>
      <c r="O8195" t="s">
        <v>52</v>
      </c>
      <c r="Q8195" t="s">
        <v>991</v>
      </c>
      <c r="R8195" t="s">
        <v>6807</v>
      </c>
      <c r="S8195" t="s">
        <v>1066</v>
      </c>
    </row>
    <row r="8196" spans="1:19" x14ac:dyDescent="0.25">
      <c r="A8196" t="s">
        <v>30</v>
      </c>
      <c r="B8196" t="s">
        <v>31</v>
      </c>
      <c r="C8196" t="s">
        <v>32</v>
      </c>
      <c r="D8196" t="s">
        <v>953</v>
      </c>
      <c r="E8196" t="s">
        <v>7558</v>
      </c>
      <c r="F8196" t="s">
        <v>35</v>
      </c>
      <c r="G8196" t="s">
        <v>35</v>
      </c>
      <c r="H8196" t="s">
        <v>35</v>
      </c>
      <c r="J8196" t="s">
        <v>8265</v>
      </c>
      <c r="K8196" t="s">
        <v>1092</v>
      </c>
      <c r="M8196">
        <v>9.99</v>
      </c>
      <c r="N8196">
        <v>24</v>
      </c>
      <c r="O8196" t="s">
        <v>46</v>
      </c>
      <c r="Q8196" t="s">
        <v>255</v>
      </c>
      <c r="R8196" t="s">
        <v>6897</v>
      </c>
      <c r="S8196" t="s">
        <v>1062</v>
      </c>
    </row>
    <row r="8197" spans="1:19" x14ac:dyDescent="0.25">
      <c r="A8197" t="s">
        <v>30</v>
      </c>
      <c r="B8197" t="s">
        <v>31</v>
      </c>
      <c r="C8197" t="s">
        <v>32</v>
      </c>
      <c r="D8197" t="s">
        <v>953</v>
      </c>
      <c r="E8197" t="s">
        <v>7558</v>
      </c>
      <c r="F8197" t="s">
        <v>35</v>
      </c>
      <c r="G8197" t="s">
        <v>35</v>
      </c>
      <c r="H8197" t="s">
        <v>35</v>
      </c>
      <c r="J8197" t="s">
        <v>7565</v>
      </c>
      <c r="K8197" t="s">
        <v>1092</v>
      </c>
      <c r="M8197">
        <v>5.49</v>
      </c>
      <c r="N8197">
        <v>43</v>
      </c>
      <c r="O8197" t="s">
        <v>52</v>
      </c>
      <c r="Q8197" t="s">
        <v>892</v>
      </c>
      <c r="R8197" t="s">
        <v>6721</v>
      </c>
      <c r="S8197" t="s">
        <v>1078</v>
      </c>
    </row>
    <row r="8198" spans="1:19" x14ac:dyDescent="0.25">
      <c r="A8198" t="s">
        <v>59</v>
      </c>
      <c r="B8198" t="s">
        <v>60</v>
      </c>
      <c r="C8198" t="s">
        <v>32</v>
      </c>
      <c r="D8198" t="s">
        <v>953</v>
      </c>
      <c r="E8198" t="s">
        <v>7558</v>
      </c>
      <c r="F8198" t="s">
        <v>35</v>
      </c>
      <c r="G8198" t="s">
        <v>35</v>
      </c>
      <c r="H8198" t="s">
        <v>35</v>
      </c>
      <c r="J8198" t="s">
        <v>7565</v>
      </c>
      <c r="K8198" t="s">
        <v>1092</v>
      </c>
      <c r="M8198">
        <v>0.28000000000000003</v>
      </c>
      <c r="N8198">
        <v>64</v>
      </c>
      <c r="O8198" t="s">
        <v>61</v>
      </c>
      <c r="Q8198" t="s">
        <v>381</v>
      </c>
      <c r="R8198" t="s">
        <v>6721</v>
      </c>
      <c r="S8198" t="s">
        <v>1078</v>
      </c>
    </row>
    <row r="8199" spans="1:19" x14ac:dyDescent="0.25">
      <c r="A8199" t="s">
        <v>30</v>
      </c>
      <c r="B8199" t="s">
        <v>31</v>
      </c>
      <c r="C8199" t="s">
        <v>32</v>
      </c>
      <c r="D8199" t="s">
        <v>953</v>
      </c>
      <c r="E8199" t="s">
        <v>7558</v>
      </c>
      <c r="F8199" t="s">
        <v>35</v>
      </c>
      <c r="G8199" t="s">
        <v>35</v>
      </c>
      <c r="H8199" t="s">
        <v>35</v>
      </c>
      <c r="J8199" t="s">
        <v>7565</v>
      </c>
      <c r="K8199" t="s">
        <v>1092</v>
      </c>
      <c r="M8199">
        <v>0.1</v>
      </c>
      <c r="N8199">
        <v>198</v>
      </c>
      <c r="O8199" t="s">
        <v>5</v>
      </c>
      <c r="Q8199" t="s">
        <v>4086</v>
      </c>
      <c r="R8199" t="s">
        <v>6721</v>
      </c>
      <c r="S8199" t="s">
        <v>1078</v>
      </c>
    </row>
    <row r="8200" spans="1:19" x14ac:dyDescent="0.25">
      <c r="A8200" t="s">
        <v>44</v>
      </c>
      <c r="B8200" t="s">
        <v>51</v>
      </c>
      <c r="C8200" t="s">
        <v>32</v>
      </c>
      <c r="D8200" t="s">
        <v>953</v>
      </c>
      <c r="E8200" t="s">
        <v>7558</v>
      </c>
      <c r="F8200" t="s">
        <v>35</v>
      </c>
      <c r="G8200" t="s">
        <v>35</v>
      </c>
      <c r="H8200" t="s">
        <v>35</v>
      </c>
      <c r="J8200" t="s">
        <v>7565</v>
      </c>
      <c r="K8200" t="s">
        <v>1092</v>
      </c>
      <c r="M8200">
        <v>1.25</v>
      </c>
      <c r="N8200">
        <v>57</v>
      </c>
      <c r="O8200" t="s">
        <v>52</v>
      </c>
      <c r="Q8200" t="s">
        <v>665</v>
      </c>
      <c r="R8200" t="s">
        <v>6721</v>
      </c>
      <c r="S8200" t="s">
        <v>1078</v>
      </c>
    </row>
    <row r="8201" spans="1:19" x14ac:dyDescent="0.25">
      <c r="A8201" t="s">
        <v>44</v>
      </c>
      <c r="B8201" t="s">
        <v>3</v>
      </c>
      <c r="C8201" t="s">
        <v>32</v>
      </c>
      <c r="D8201" t="s">
        <v>953</v>
      </c>
      <c r="E8201" t="s">
        <v>7558</v>
      </c>
      <c r="F8201" t="s">
        <v>35</v>
      </c>
      <c r="G8201" t="s">
        <v>35</v>
      </c>
      <c r="H8201" t="s">
        <v>35</v>
      </c>
      <c r="J8201" t="s">
        <v>7565</v>
      </c>
      <c r="K8201" t="s">
        <v>1092</v>
      </c>
      <c r="M8201">
        <v>1.75</v>
      </c>
      <c r="N8201">
        <v>64</v>
      </c>
      <c r="O8201" t="s">
        <v>61</v>
      </c>
      <c r="Q8201" t="s">
        <v>381</v>
      </c>
      <c r="R8201" t="s">
        <v>6721</v>
      </c>
      <c r="S8201" t="s">
        <v>1078</v>
      </c>
    </row>
    <row r="8202" spans="1:19" x14ac:dyDescent="0.25">
      <c r="A8202" t="s">
        <v>59</v>
      </c>
      <c r="B8202" t="s">
        <v>31</v>
      </c>
      <c r="C8202" t="s">
        <v>32</v>
      </c>
      <c r="D8202" t="s">
        <v>953</v>
      </c>
      <c r="E8202" t="s">
        <v>7558</v>
      </c>
      <c r="F8202" t="s">
        <v>35</v>
      </c>
      <c r="G8202" t="s">
        <v>35</v>
      </c>
      <c r="H8202" t="s">
        <v>35</v>
      </c>
      <c r="J8202" t="s">
        <v>7565</v>
      </c>
      <c r="K8202" t="s">
        <v>1092</v>
      </c>
      <c r="M8202">
        <v>4.9950000000000001</v>
      </c>
      <c r="N8202">
        <v>24</v>
      </c>
      <c r="O8202" t="s">
        <v>46</v>
      </c>
      <c r="Q8202" t="s">
        <v>255</v>
      </c>
      <c r="R8202" t="s">
        <v>6721</v>
      </c>
      <c r="S8202" t="s">
        <v>1078</v>
      </c>
    </row>
    <row r="8203" spans="1:19" x14ac:dyDescent="0.25">
      <c r="A8203" t="s">
        <v>44</v>
      </c>
      <c r="B8203" t="s">
        <v>51</v>
      </c>
      <c r="C8203" t="s">
        <v>32</v>
      </c>
      <c r="D8203" t="s">
        <v>953</v>
      </c>
      <c r="E8203" t="s">
        <v>7558</v>
      </c>
      <c r="F8203" t="s">
        <v>35</v>
      </c>
      <c r="G8203" t="s">
        <v>35</v>
      </c>
      <c r="H8203" t="s">
        <v>35</v>
      </c>
      <c r="J8203" t="s">
        <v>7565</v>
      </c>
      <c r="K8203" t="s">
        <v>1092</v>
      </c>
      <c r="M8203">
        <v>1</v>
      </c>
      <c r="N8203">
        <v>11</v>
      </c>
      <c r="O8203" t="s">
        <v>46</v>
      </c>
      <c r="Q8203" t="s">
        <v>1053</v>
      </c>
      <c r="R8203" t="s">
        <v>6720</v>
      </c>
      <c r="S8203" t="s">
        <v>961</v>
      </c>
    </row>
    <row r="8204" spans="1:19" x14ac:dyDescent="0.25">
      <c r="A8204" t="s">
        <v>59</v>
      </c>
      <c r="B8204" t="s">
        <v>60</v>
      </c>
      <c r="C8204" t="s">
        <v>32</v>
      </c>
      <c r="D8204" t="s">
        <v>953</v>
      </c>
      <c r="E8204" t="s">
        <v>7558</v>
      </c>
      <c r="F8204" t="s">
        <v>35</v>
      </c>
      <c r="G8204" t="s">
        <v>35</v>
      </c>
      <c r="H8204" t="s">
        <v>35</v>
      </c>
      <c r="J8204" t="s">
        <v>7566</v>
      </c>
      <c r="K8204" t="s">
        <v>1092</v>
      </c>
      <c r="M8204">
        <v>5</v>
      </c>
      <c r="N8204">
        <v>61</v>
      </c>
      <c r="O8204" t="s">
        <v>61</v>
      </c>
      <c r="Q8204" t="s">
        <v>671</v>
      </c>
      <c r="R8204" t="s">
        <v>6897</v>
      </c>
      <c r="S8204" t="s">
        <v>1062</v>
      </c>
    </row>
    <row r="8205" spans="1:19" x14ac:dyDescent="0.25">
      <c r="A8205" t="s">
        <v>59</v>
      </c>
      <c r="B8205" t="s">
        <v>60</v>
      </c>
      <c r="C8205" t="s">
        <v>32</v>
      </c>
      <c r="D8205" t="s">
        <v>953</v>
      </c>
      <c r="E8205" t="s">
        <v>7558</v>
      </c>
      <c r="F8205" t="s">
        <v>35</v>
      </c>
      <c r="G8205" t="s">
        <v>35</v>
      </c>
      <c r="H8205" t="s">
        <v>35</v>
      </c>
      <c r="J8205" t="s">
        <v>7566</v>
      </c>
      <c r="K8205" t="s">
        <v>1092</v>
      </c>
      <c r="M8205">
        <v>2.6</v>
      </c>
      <c r="N8205">
        <v>91</v>
      </c>
      <c r="O8205" t="s">
        <v>106</v>
      </c>
      <c r="Q8205" t="s">
        <v>1147</v>
      </c>
      <c r="R8205" t="s">
        <v>6709</v>
      </c>
      <c r="S8205" t="s">
        <v>1022</v>
      </c>
    </row>
    <row r="8206" spans="1:19" x14ac:dyDescent="0.25">
      <c r="A8206" t="s">
        <v>30</v>
      </c>
      <c r="B8206" t="s">
        <v>31</v>
      </c>
      <c r="C8206" t="s">
        <v>32</v>
      </c>
      <c r="D8206" t="s">
        <v>953</v>
      </c>
      <c r="E8206" t="s">
        <v>7558</v>
      </c>
      <c r="F8206" t="s">
        <v>35</v>
      </c>
      <c r="G8206" t="s">
        <v>35</v>
      </c>
      <c r="H8206" t="s">
        <v>35</v>
      </c>
      <c r="J8206" t="s">
        <v>7567</v>
      </c>
      <c r="K8206" t="s">
        <v>1092</v>
      </c>
      <c r="M8206">
        <v>14.625</v>
      </c>
      <c r="N8206">
        <v>48</v>
      </c>
      <c r="O8206" t="s">
        <v>52</v>
      </c>
      <c r="Q8206" t="s">
        <v>496</v>
      </c>
      <c r="R8206" t="s">
        <v>6847</v>
      </c>
      <c r="S8206" t="s">
        <v>1034</v>
      </c>
    </row>
    <row r="8207" spans="1:19" x14ac:dyDescent="0.25">
      <c r="A8207" t="s">
        <v>59</v>
      </c>
      <c r="B8207" t="s">
        <v>60</v>
      </c>
      <c r="C8207" t="s">
        <v>32</v>
      </c>
      <c r="D8207" t="s">
        <v>953</v>
      </c>
      <c r="E8207" t="s">
        <v>7558</v>
      </c>
      <c r="F8207" t="s">
        <v>35</v>
      </c>
      <c r="G8207" t="s">
        <v>35</v>
      </c>
      <c r="H8207" t="s">
        <v>35</v>
      </c>
      <c r="J8207" t="s">
        <v>7567</v>
      </c>
      <c r="K8207" t="s">
        <v>1092</v>
      </c>
      <c r="M8207">
        <v>2.7</v>
      </c>
      <c r="N8207">
        <v>62</v>
      </c>
      <c r="O8207" t="s">
        <v>61</v>
      </c>
      <c r="Q8207" t="s">
        <v>90</v>
      </c>
      <c r="R8207" t="s">
        <v>6847</v>
      </c>
      <c r="S8207" t="s">
        <v>1034</v>
      </c>
    </row>
    <row r="8208" spans="1:19" x14ac:dyDescent="0.25">
      <c r="A8208" t="s">
        <v>44</v>
      </c>
      <c r="B8208" t="s">
        <v>51</v>
      </c>
      <c r="C8208" t="s">
        <v>32</v>
      </c>
      <c r="D8208" t="s">
        <v>953</v>
      </c>
      <c r="E8208" t="s">
        <v>7558</v>
      </c>
      <c r="F8208" t="s">
        <v>35</v>
      </c>
      <c r="G8208" t="s">
        <v>35</v>
      </c>
      <c r="H8208" t="s">
        <v>35</v>
      </c>
      <c r="J8208" t="s">
        <v>7567</v>
      </c>
      <c r="K8208" t="s">
        <v>1092</v>
      </c>
      <c r="M8208">
        <v>3.95</v>
      </c>
      <c r="N8208">
        <v>61</v>
      </c>
      <c r="O8208" t="s">
        <v>61</v>
      </c>
      <c r="Q8208" t="s">
        <v>671</v>
      </c>
      <c r="R8208" t="s">
        <v>6847</v>
      </c>
      <c r="S8208" t="s">
        <v>1034</v>
      </c>
    </row>
    <row r="8209" spans="1:19" x14ac:dyDescent="0.25">
      <c r="A8209" t="s">
        <v>44</v>
      </c>
      <c r="B8209" t="s">
        <v>3</v>
      </c>
      <c r="C8209" t="s">
        <v>32</v>
      </c>
      <c r="D8209" t="s">
        <v>953</v>
      </c>
      <c r="E8209" t="s">
        <v>7558</v>
      </c>
      <c r="F8209" t="s">
        <v>35</v>
      </c>
      <c r="G8209" t="s">
        <v>35</v>
      </c>
      <c r="H8209" t="s">
        <v>35</v>
      </c>
      <c r="J8209" t="s">
        <v>7567</v>
      </c>
      <c r="K8209" t="s">
        <v>1092</v>
      </c>
      <c r="M8209">
        <v>5.4</v>
      </c>
      <c r="N8209">
        <v>65</v>
      </c>
      <c r="O8209" t="s">
        <v>61</v>
      </c>
      <c r="Q8209" t="s">
        <v>128</v>
      </c>
      <c r="R8209" t="s">
        <v>6847</v>
      </c>
      <c r="S8209" t="s">
        <v>1034</v>
      </c>
    </row>
    <row r="8210" spans="1:19" x14ac:dyDescent="0.25">
      <c r="A8210" t="s">
        <v>59</v>
      </c>
      <c r="B8210" t="s">
        <v>60</v>
      </c>
      <c r="C8210" t="s">
        <v>32</v>
      </c>
      <c r="D8210" t="s">
        <v>953</v>
      </c>
      <c r="E8210" t="s">
        <v>7558</v>
      </c>
      <c r="F8210" t="s">
        <v>35</v>
      </c>
      <c r="G8210" t="s">
        <v>35</v>
      </c>
      <c r="H8210" t="s">
        <v>35</v>
      </c>
      <c r="J8210" t="s">
        <v>7568</v>
      </c>
      <c r="K8210" t="s">
        <v>1092</v>
      </c>
      <c r="M8210">
        <v>2</v>
      </c>
      <c r="N8210">
        <v>33</v>
      </c>
      <c r="O8210" t="s">
        <v>52</v>
      </c>
      <c r="Q8210" t="s">
        <v>137</v>
      </c>
      <c r="R8210" t="s">
        <v>6847</v>
      </c>
      <c r="S8210" t="s">
        <v>1034</v>
      </c>
    </row>
    <row r="8211" spans="1:19" x14ac:dyDescent="0.25">
      <c r="A8211" t="s">
        <v>30</v>
      </c>
      <c r="B8211" t="s">
        <v>31</v>
      </c>
      <c r="C8211" t="s">
        <v>32</v>
      </c>
      <c r="D8211" t="s">
        <v>953</v>
      </c>
      <c r="E8211" t="s">
        <v>7558</v>
      </c>
      <c r="F8211" t="s">
        <v>35</v>
      </c>
      <c r="G8211" t="s">
        <v>35</v>
      </c>
      <c r="H8211" t="s">
        <v>35</v>
      </c>
      <c r="J8211" t="s">
        <v>7568</v>
      </c>
      <c r="K8211" t="s">
        <v>1092</v>
      </c>
      <c r="M8211">
        <v>19.98</v>
      </c>
      <c r="N8211">
        <v>20</v>
      </c>
      <c r="O8211" t="s">
        <v>46</v>
      </c>
      <c r="Q8211" t="s">
        <v>1004</v>
      </c>
      <c r="R8211" t="s">
        <v>6847</v>
      </c>
      <c r="S8211" t="s">
        <v>1034</v>
      </c>
    </row>
    <row r="8212" spans="1:19" x14ac:dyDescent="0.25">
      <c r="A8212" t="s">
        <v>59</v>
      </c>
      <c r="B8212" t="s">
        <v>60</v>
      </c>
      <c r="C8212" t="s">
        <v>32</v>
      </c>
      <c r="D8212" t="s">
        <v>953</v>
      </c>
      <c r="E8212" t="s">
        <v>7558</v>
      </c>
      <c r="F8212" t="s">
        <v>35</v>
      </c>
      <c r="G8212" t="s">
        <v>35</v>
      </c>
      <c r="H8212" t="s">
        <v>35</v>
      </c>
      <c r="J8212" t="s">
        <v>7568</v>
      </c>
      <c r="K8212" t="s">
        <v>1092</v>
      </c>
      <c r="M8212">
        <v>1.05</v>
      </c>
      <c r="N8212">
        <v>246</v>
      </c>
      <c r="O8212" t="s">
        <v>5</v>
      </c>
      <c r="Q8212" t="s">
        <v>1903</v>
      </c>
      <c r="R8212" t="s">
        <v>6721</v>
      </c>
      <c r="S8212" t="s">
        <v>1078</v>
      </c>
    </row>
    <row r="8213" spans="1:19" x14ac:dyDescent="0.25">
      <c r="A8213" t="s">
        <v>59</v>
      </c>
      <c r="B8213" t="s">
        <v>60</v>
      </c>
      <c r="C8213" t="s">
        <v>32</v>
      </c>
      <c r="D8213" t="s">
        <v>953</v>
      </c>
      <c r="E8213" t="s">
        <v>7558</v>
      </c>
      <c r="F8213" t="s">
        <v>35</v>
      </c>
      <c r="G8213" t="s">
        <v>35</v>
      </c>
      <c r="H8213" t="s">
        <v>35</v>
      </c>
      <c r="J8213" t="s">
        <v>7569</v>
      </c>
      <c r="K8213" t="s">
        <v>1092</v>
      </c>
      <c r="M8213">
        <v>0.48</v>
      </c>
      <c r="N8213">
        <v>179</v>
      </c>
      <c r="O8213" t="s">
        <v>38</v>
      </c>
      <c r="Q8213" t="s">
        <v>346</v>
      </c>
      <c r="R8213" t="s">
        <v>6720</v>
      </c>
      <c r="S8213" t="s">
        <v>961</v>
      </c>
    </row>
    <row r="8214" spans="1:19" x14ac:dyDescent="0.25">
      <c r="A8214" t="s">
        <v>44</v>
      </c>
      <c r="B8214" t="s">
        <v>3</v>
      </c>
      <c r="C8214" t="s">
        <v>32</v>
      </c>
      <c r="D8214" t="s">
        <v>953</v>
      </c>
      <c r="E8214" t="s">
        <v>7558</v>
      </c>
      <c r="F8214" t="s">
        <v>35</v>
      </c>
      <c r="G8214" t="s">
        <v>35</v>
      </c>
      <c r="H8214" t="s">
        <v>35</v>
      </c>
      <c r="J8214" t="s">
        <v>7569</v>
      </c>
      <c r="K8214" t="s">
        <v>1092</v>
      </c>
      <c r="M8214">
        <v>1</v>
      </c>
      <c r="N8214">
        <v>11</v>
      </c>
      <c r="O8214" t="s">
        <v>46</v>
      </c>
      <c r="Q8214" t="s">
        <v>1053</v>
      </c>
      <c r="R8214" t="s">
        <v>6720</v>
      </c>
      <c r="S8214" t="s">
        <v>961</v>
      </c>
    </row>
    <row r="8215" spans="1:19" x14ac:dyDescent="0.25">
      <c r="A8215" t="s">
        <v>30</v>
      </c>
      <c r="B8215" t="s">
        <v>31</v>
      </c>
      <c r="C8215" t="s">
        <v>32</v>
      </c>
      <c r="D8215" t="s">
        <v>953</v>
      </c>
      <c r="E8215" t="s">
        <v>7558</v>
      </c>
      <c r="F8215" t="s">
        <v>35</v>
      </c>
      <c r="G8215" t="s">
        <v>35</v>
      </c>
      <c r="H8215" t="s">
        <v>35</v>
      </c>
      <c r="J8215" t="s">
        <v>7569</v>
      </c>
      <c r="K8215" t="s">
        <v>1092</v>
      </c>
      <c r="M8215">
        <v>0.83</v>
      </c>
      <c r="N8215">
        <v>40</v>
      </c>
      <c r="O8215" t="s">
        <v>52</v>
      </c>
      <c r="Q8215" t="s">
        <v>130</v>
      </c>
      <c r="R8215" t="s">
        <v>6707</v>
      </c>
      <c r="S8215" t="s">
        <v>955</v>
      </c>
    </row>
    <row r="8216" spans="1:19" x14ac:dyDescent="0.25">
      <c r="A8216" t="s">
        <v>30</v>
      </c>
      <c r="B8216" t="s">
        <v>31</v>
      </c>
      <c r="C8216" t="s">
        <v>32</v>
      </c>
      <c r="D8216" t="s">
        <v>953</v>
      </c>
      <c r="E8216" t="s">
        <v>7558</v>
      </c>
      <c r="F8216" t="s">
        <v>35</v>
      </c>
      <c r="G8216" t="s">
        <v>35</v>
      </c>
      <c r="H8216" t="s">
        <v>35</v>
      </c>
      <c r="J8216" t="s">
        <v>7570</v>
      </c>
      <c r="K8216" t="s">
        <v>1092</v>
      </c>
      <c r="M8216">
        <v>4.4999999999999998E-2</v>
      </c>
      <c r="N8216">
        <v>20</v>
      </c>
      <c r="O8216" t="s">
        <v>46</v>
      </c>
      <c r="Q8216" t="s">
        <v>1004</v>
      </c>
      <c r="R8216" t="s">
        <v>6707</v>
      </c>
      <c r="S8216" t="s">
        <v>955</v>
      </c>
    </row>
    <row r="8217" spans="1:19" x14ac:dyDescent="0.25">
      <c r="A8217" t="s">
        <v>30</v>
      </c>
      <c r="B8217" t="s">
        <v>31</v>
      </c>
      <c r="C8217" t="s">
        <v>32</v>
      </c>
      <c r="D8217" t="s">
        <v>953</v>
      </c>
      <c r="E8217" t="s">
        <v>7558</v>
      </c>
      <c r="F8217" t="s">
        <v>35</v>
      </c>
      <c r="G8217" t="s">
        <v>35</v>
      </c>
      <c r="H8217" t="s">
        <v>35</v>
      </c>
      <c r="J8217" t="s">
        <v>7570</v>
      </c>
      <c r="K8217" t="s">
        <v>1092</v>
      </c>
      <c r="M8217">
        <v>0.45</v>
      </c>
      <c r="N8217">
        <v>12</v>
      </c>
      <c r="O8217" t="s">
        <v>46</v>
      </c>
      <c r="Q8217" t="s">
        <v>1865</v>
      </c>
      <c r="R8217" t="s">
        <v>6707</v>
      </c>
      <c r="S8217" t="s">
        <v>955</v>
      </c>
    </row>
    <row r="8218" spans="1:19" x14ac:dyDescent="0.25">
      <c r="A8218" t="s">
        <v>1439</v>
      </c>
      <c r="B8218" t="s">
        <v>1440</v>
      </c>
      <c r="C8218" t="s">
        <v>32</v>
      </c>
      <c r="D8218" t="s">
        <v>953</v>
      </c>
      <c r="E8218" t="s">
        <v>7558</v>
      </c>
      <c r="F8218" t="s">
        <v>35</v>
      </c>
      <c r="G8218" t="s">
        <v>35</v>
      </c>
      <c r="H8218" t="s">
        <v>35</v>
      </c>
      <c r="J8218" t="s">
        <v>7570</v>
      </c>
      <c r="K8218" t="s">
        <v>1092</v>
      </c>
      <c r="M8218">
        <v>0.01</v>
      </c>
      <c r="N8218">
        <v>596</v>
      </c>
      <c r="O8218" t="s">
        <v>575</v>
      </c>
      <c r="Q8218" t="s">
        <v>7571</v>
      </c>
      <c r="R8218" t="s">
        <v>6707</v>
      </c>
      <c r="S8218" t="s">
        <v>955</v>
      </c>
    </row>
    <row r="8219" spans="1:19" x14ac:dyDescent="0.25">
      <c r="A8219" t="s">
        <v>44</v>
      </c>
      <c r="B8219" t="s">
        <v>51</v>
      </c>
      <c r="C8219" t="s">
        <v>32</v>
      </c>
      <c r="D8219" t="s">
        <v>953</v>
      </c>
      <c r="E8219" t="s">
        <v>7558</v>
      </c>
      <c r="F8219" t="s">
        <v>35</v>
      </c>
      <c r="G8219" t="s">
        <v>35</v>
      </c>
      <c r="H8219" t="s">
        <v>35</v>
      </c>
      <c r="J8219" t="s">
        <v>7570</v>
      </c>
      <c r="K8219" t="s">
        <v>1092</v>
      </c>
      <c r="M8219">
        <v>0.35</v>
      </c>
      <c r="N8219">
        <v>20</v>
      </c>
      <c r="O8219" t="s">
        <v>46</v>
      </c>
      <c r="Q8219" t="s">
        <v>1004</v>
      </c>
      <c r="R8219" t="s">
        <v>6707</v>
      </c>
      <c r="S8219" t="s">
        <v>955</v>
      </c>
    </row>
    <row r="8220" spans="1:19" x14ac:dyDescent="0.25">
      <c r="A8220" t="s">
        <v>44</v>
      </c>
      <c r="B8220" t="s">
        <v>3</v>
      </c>
      <c r="C8220" t="s">
        <v>32</v>
      </c>
      <c r="D8220" t="s">
        <v>953</v>
      </c>
      <c r="E8220" t="s">
        <v>7558</v>
      </c>
      <c r="F8220" t="s">
        <v>35</v>
      </c>
      <c r="G8220" t="s">
        <v>35</v>
      </c>
      <c r="H8220" t="s">
        <v>35</v>
      </c>
      <c r="J8220" t="s">
        <v>7572</v>
      </c>
      <c r="K8220" t="s">
        <v>1092</v>
      </c>
      <c r="M8220">
        <v>2</v>
      </c>
      <c r="N8220">
        <v>17</v>
      </c>
      <c r="O8220" t="s">
        <v>46</v>
      </c>
      <c r="Q8220" t="s">
        <v>1302</v>
      </c>
      <c r="R8220" t="s">
        <v>133</v>
      </c>
      <c r="S8220" t="s">
        <v>134</v>
      </c>
    </row>
    <row r="8221" spans="1:19" x14ac:dyDescent="0.25">
      <c r="A8221" t="s">
        <v>44</v>
      </c>
      <c r="B8221" t="s">
        <v>51</v>
      </c>
      <c r="C8221" t="s">
        <v>32</v>
      </c>
      <c r="D8221" t="s">
        <v>953</v>
      </c>
      <c r="E8221" t="s">
        <v>7558</v>
      </c>
      <c r="F8221" t="s">
        <v>35</v>
      </c>
      <c r="G8221" t="s">
        <v>35</v>
      </c>
      <c r="H8221" t="s">
        <v>35</v>
      </c>
      <c r="J8221" t="s">
        <v>7572</v>
      </c>
      <c r="K8221" t="s">
        <v>1092</v>
      </c>
      <c r="M8221">
        <v>4.8499999999999996</v>
      </c>
      <c r="N8221">
        <v>241</v>
      </c>
      <c r="O8221" t="s">
        <v>5</v>
      </c>
      <c r="Q8221" t="s">
        <v>3415</v>
      </c>
      <c r="R8221" t="s">
        <v>133</v>
      </c>
      <c r="S8221" t="s">
        <v>134</v>
      </c>
    </row>
    <row r="8222" spans="1:19" x14ac:dyDescent="0.25">
      <c r="A8222" t="s">
        <v>59</v>
      </c>
      <c r="B8222" t="s">
        <v>60</v>
      </c>
      <c r="C8222" t="s">
        <v>32</v>
      </c>
      <c r="D8222" t="s">
        <v>953</v>
      </c>
      <c r="E8222" t="s">
        <v>7558</v>
      </c>
      <c r="F8222" t="s">
        <v>35</v>
      </c>
      <c r="G8222" t="s">
        <v>35</v>
      </c>
      <c r="H8222" t="s">
        <v>35</v>
      </c>
      <c r="J8222" t="s">
        <v>7572</v>
      </c>
      <c r="K8222" t="s">
        <v>1092</v>
      </c>
      <c r="M8222">
        <v>1.76</v>
      </c>
      <c r="N8222">
        <v>150</v>
      </c>
      <c r="O8222" t="s">
        <v>38</v>
      </c>
      <c r="Q8222" t="s">
        <v>1612</v>
      </c>
      <c r="R8222" t="s">
        <v>6705</v>
      </c>
      <c r="S8222" t="s">
        <v>981</v>
      </c>
    </row>
    <row r="8223" spans="1:19" x14ac:dyDescent="0.25">
      <c r="A8223" t="s">
        <v>59</v>
      </c>
      <c r="B8223" t="s">
        <v>31</v>
      </c>
      <c r="C8223" t="s">
        <v>32</v>
      </c>
      <c r="D8223" t="s">
        <v>953</v>
      </c>
      <c r="E8223" t="s">
        <v>7558</v>
      </c>
      <c r="F8223" t="s">
        <v>35</v>
      </c>
      <c r="G8223" t="s">
        <v>35</v>
      </c>
      <c r="H8223" t="s">
        <v>35</v>
      </c>
      <c r="J8223" t="s">
        <v>7572</v>
      </c>
      <c r="K8223" t="s">
        <v>1092</v>
      </c>
      <c r="M8223">
        <v>0.45</v>
      </c>
      <c r="N8223">
        <v>150</v>
      </c>
      <c r="O8223" t="s">
        <v>38</v>
      </c>
      <c r="Q8223" t="s">
        <v>1612</v>
      </c>
      <c r="R8223" t="s">
        <v>6705</v>
      </c>
      <c r="S8223" t="s">
        <v>981</v>
      </c>
    </row>
    <row r="8224" spans="1:19" x14ac:dyDescent="0.25">
      <c r="A8224" t="s">
        <v>59</v>
      </c>
      <c r="B8224" t="s">
        <v>31</v>
      </c>
      <c r="C8224" t="s">
        <v>32</v>
      </c>
      <c r="D8224" t="s">
        <v>953</v>
      </c>
      <c r="E8224" t="s">
        <v>7558</v>
      </c>
      <c r="F8224" t="s">
        <v>35</v>
      </c>
      <c r="G8224" t="s">
        <v>35</v>
      </c>
      <c r="H8224" t="s">
        <v>35</v>
      </c>
      <c r="J8224" t="s">
        <v>7573</v>
      </c>
      <c r="K8224" t="s">
        <v>1092</v>
      </c>
      <c r="M8224">
        <v>3.7650000000000001</v>
      </c>
      <c r="N8224">
        <v>1461</v>
      </c>
      <c r="O8224" t="s">
        <v>575</v>
      </c>
      <c r="Q8224" t="s">
        <v>7574</v>
      </c>
      <c r="R8224" t="s">
        <v>6762</v>
      </c>
      <c r="S8224" t="s">
        <v>992</v>
      </c>
    </row>
    <row r="8225" spans="1:19" x14ac:dyDescent="0.25">
      <c r="A8225" t="s">
        <v>59</v>
      </c>
      <c r="B8225" t="s">
        <v>60</v>
      </c>
      <c r="C8225" t="s">
        <v>32</v>
      </c>
      <c r="D8225" t="s">
        <v>953</v>
      </c>
      <c r="E8225" t="s">
        <v>7558</v>
      </c>
      <c r="F8225" t="s">
        <v>35</v>
      </c>
      <c r="G8225" t="s">
        <v>35</v>
      </c>
      <c r="H8225" t="s">
        <v>35</v>
      </c>
      <c r="J8225" t="s">
        <v>7573</v>
      </c>
      <c r="K8225" t="s">
        <v>1092</v>
      </c>
      <c r="M8225">
        <v>0.1</v>
      </c>
      <c r="N8225">
        <v>1526</v>
      </c>
      <c r="O8225" t="s">
        <v>575</v>
      </c>
      <c r="Q8225" t="s">
        <v>7575</v>
      </c>
      <c r="R8225" t="s">
        <v>6762</v>
      </c>
      <c r="S8225" t="s">
        <v>992</v>
      </c>
    </row>
    <row r="8226" spans="1:19" x14ac:dyDescent="0.25">
      <c r="A8226" t="s">
        <v>44</v>
      </c>
      <c r="B8226" t="s">
        <v>3</v>
      </c>
      <c r="C8226" t="s">
        <v>32</v>
      </c>
      <c r="D8226" t="s">
        <v>953</v>
      </c>
      <c r="E8226" t="s">
        <v>7558</v>
      </c>
      <c r="F8226" t="s">
        <v>35</v>
      </c>
      <c r="G8226" t="s">
        <v>35</v>
      </c>
      <c r="H8226" t="s">
        <v>35</v>
      </c>
      <c r="J8226" t="s">
        <v>7576</v>
      </c>
      <c r="K8226" t="s">
        <v>1092</v>
      </c>
      <c r="M8226">
        <v>0.1</v>
      </c>
      <c r="N8226">
        <v>23</v>
      </c>
      <c r="O8226" t="s">
        <v>46</v>
      </c>
      <c r="Q8226" t="s">
        <v>1819</v>
      </c>
      <c r="R8226" t="s">
        <v>6721</v>
      </c>
      <c r="S8226" t="s">
        <v>1078</v>
      </c>
    </row>
    <row r="8227" spans="1:19" x14ac:dyDescent="0.25">
      <c r="A8227" t="s">
        <v>30</v>
      </c>
      <c r="B8227" t="s">
        <v>31</v>
      </c>
      <c r="C8227" t="s">
        <v>32</v>
      </c>
      <c r="D8227" t="s">
        <v>953</v>
      </c>
      <c r="E8227" t="s">
        <v>7558</v>
      </c>
      <c r="F8227" t="s">
        <v>35</v>
      </c>
      <c r="G8227" t="s">
        <v>35</v>
      </c>
      <c r="H8227" t="s">
        <v>35</v>
      </c>
      <c r="J8227" t="s">
        <v>7576</v>
      </c>
      <c r="K8227" t="s">
        <v>1092</v>
      </c>
      <c r="M8227">
        <v>5.0000000000000001E-3</v>
      </c>
      <c r="N8227">
        <v>43</v>
      </c>
      <c r="O8227" t="s">
        <v>52</v>
      </c>
      <c r="Q8227" t="s">
        <v>892</v>
      </c>
      <c r="R8227" t="s">
        <v>6721</v>
      </c>
      <c r="S8227" t="s">
        <v>1078</v>
      </c>
    </row>
    <row r="8228" spans="1:19" x14ac:dyDescent="0.25">
      <c r="A8228" t="s">
        <v>44</v>
      </c>
      <c r="B8228" t="s">
        <v>3</v>
      </c>
      <c r="C8228" t="s">
        <v>32</v>
      </c>
      <c r="D8228" t="s">
        <v>953</v>
      </c>
      <c r="E8228" t="s">
        <v>7558</v>
      </c>
      <c r="F8228" t="s">
        <v>35</v>
      </c>
      <c r="G8228" t="s">
        <v>35</v>
      </c>
      <c r="H8228" t="s">
        <v>35</v>
      </c>
      <c r="J8228" t="s">
        <v>7576</v>
      </c>
      <c r="K8228" t="s">
        <v>1092</v>
      </c>
      <c r="M8228">
        <v>0.05</v>
      </c>
      <c r="N8228">
        <v>43</v>
      </c>
      <c r="O8228" t="s">
        <v>52</v>
      </c>
      <c r="Q8228" t="s">
        <v>892</v>
      </c>
      <c r="R8228" t="s">
        <v>6721</v>
      </c>
      <c r="S8228" t="s">
        <v>1078</v>
      </c>
    </row>
    <row r="8229" spans="1:19" x14ac:dyDescent="0.25">
      <c r="A8229" t="s">
        <v>44</v>
      </c>
      <c r="B8229" t="s">
        <v>51</v>
      </c>
      <c r="C8229" t="s">
        <v>32</v>
      </c>
      <c r="D8229" t="s">
        <v>953</v>
      </c>
      <c r="E8229" t="s">
        <v>7558</v>
      </c>
      <c r="F8229" t="s">
        <v>35</v>
      </c>
      <c r="G8229" t="s">
        <v>35</v>
      </c>
      <c r="H8229" t="s">
        <v>35</v>
      </c>
      <c r="J8229" t="s">
        <v>7576</v>
      </c>
      <c r="K8229" t="s">
        <v>1092</v>
      </c>
      <c r="M8229">
        <v>0.1</v>
      </c>
      <c r="N8229">
        <v>23</v>
      </c>
      <c r="O8229" t="s">
        <v>46</v>
      </c>
      <c r="Q8229" t="s">
        <v>1819</v>
      </c>
      <c r="R8229" t="s">
        <v>6721</v>
      </c>
      <c r="S8229" t="s">
        <v>1078</v>
      </c>
    </row>
    <row r="8230" spans="1:19" x14ac:dyDescent="0.25">
      <c r="A8230" t="s">
        <v>30</v>
      </c>
      <c r="B8230" t="s">
        <v>31</v>
      </c>
      <c r="C8230" t="s">
        <v>32</v>
      </c>
      <c r="D8230" t="s">
        <v>953</v>
      </c>
      <c r="E8230" t="s">
        <v>7558</v>
      </c>
      <c r="F8230" t="s">
        <v>35</v>
      </c>
      <c r="G8230" t="s">
        <v>35</v>
      </c>
      <c r="H8230" t="s">
        <v>35</v>
      </c>
      <c r="J8230" t="s">
        <v>7577</v>
      </c>
      <c r="K8230" t="s">
        <v>1092</v>
      </c>
      <c r="M8230">
        <v>4.4999999999999998E-2</v>
      </c>
      <c r="N8230">
        <v>458</v>
      </c>
      <c r="O8230" t="s">
        <v>294</v>
      </c>
      <c r="Q8230" t="s">
        <v>1355</v>
      </c>
      <c r="R8230" t="s">
        <v>6847</v>
      </c>
      <c r="S8230" t="s">
        <v>1034</v>
      </c>
    </row>
    <row r="8231" spans="1:19" x14ac:dyDescent="0.25">
      <c r="A8231" t="s">
        <v>59</v>
      </c>
      <c r="B8231" t="s">
        <v>31</v>
      </c>
      <c r="C8231" t="s">
        <v>32</v>
      </c>
      <c r="D8231" t="s">
        <v>953</v>
      </c>
      <c r="E8231" t="s">
        <v>7558</v>
      </c>
      <c r="F8231" t="s">
        <v>35</v>
      </c>
      <c r="G8231" t="s">
        <v>35</v>
      </c>
      <c r="H8231" t="s">
        <v>35</v>
      </c>
      <c r="J8231" t="s">
        <v>7577</v>
      </c>
      <c r="K8231" t="s">
        <v>1092</v>
      </c>
      <c r="M8231">
        <v>4.4999999999999998E-2</v>
      </c>
      <c r="N8231">
        <v>436</v>
      </c>
      <c r="O8231" t="s">
        <v>294</v>
      </c>
      <c r="Q8231" t="s">
        <v>1787</v>
      </c>
      <c r="R8231" t="s">
        <v>6847</v>
      </c>
      <c r="S8231" t="s">
        <v>1034</v>
      </c>
    </row>
    <row r="8232" spans="1:19" x14ac:dyDescent="0.25">
      <c r="A8232" t="s">
        <v>59</v>
      </c>
      <c r="B8232" t="s">
        <v>60</v>
      </c>
      <c r="C8232" t="s">
        <v>32</v>
      </c>
      <c r="D8232" t="s">
        <v>953</v>
      </c>
      <c r="E8232" t="s">
        <v>7558</v>
      </c>
      <c r="F8232" t="s">
        <v>35</v>
      </c>
      <c r="G8232" t="s">
        <v>35</v>
      </c>
      <c r="H8232" t="s">
        <v>35</v>
      </c>
      <c r="J8232" t="s">
        <v>7578</v>
      </c>
      <c r="K8232" t="s">
        <v>1092</v>
      </c>
      <c r="M8232">
        <v>0.5</v>
      </c>
      <c r="N8232">
        <v>707</v>
      </c>
      <c r="O8232" t="s">
        <v>575</v>
      </c>
      <c r="Q8232" t="s">
        <v>7580</v>
      </c>
      <c r="R8232" t="s">
        <v>7581</v>
      </c>
      <c r="S8232" t="s">
        <v>7562</v>
      </c>
    </row>
    <row r="8233" spans="1:19" x14ac:dyDescent="0.25">
      <c r="A8233" t="s">
        <v>30</v>
      </c>
      <c r="B8233" t="s">
        <v>31</v>
      </c>
      <c r="C8233" t="s">
        <v>32</v>
      </c>
      <c r="D8233" t="s">
        <v>953</v>
      </c>
      <c r="E8233" t="s">
        <v>7558</v>
      </c>
      <c r="F8233" t="s">
        <v>35</v>
      </c>
      <c r="G8233" t="s">
        <v>35</v>
      </c>
      <c r="H8233" t="s">
        <v>35</v>
      </c>
      <c r="J8233" t="s">
        <v>7578</v>
      </c>
      <c r="K8233" t="s">
        <v>1092</v>
      </c>
      <c r="M8233">
        <v>3.71</v>
      </c>
      <c r="N8233">
        <v>1064</v>
      </c>
      <c r="O8233" t="s">
        <v>575</v>
      </c>
      <c r="Q8233" t="s">
        <v>7153</v>
      </c>
      <c r="R8233" t="s">
        <v>133</v>
      </c>
      <c r="S8233" t="s">
        <v>134</v>
      </c>
    </row>
    <row r="8234" spans="1:19" x14ac:dyDescent="0.25">
      <c r="A8234" t="s">
        <v>59</v>
      </c>
      <c r="B8234" t="s">
        <v>60</v>
      </c>
      <c r="C8234" t="s">
        <v>32</v>
      </c>
      <c r="D8234" t="s">
        <v>953</v>
      </c>
      <c r="E8234" t="s">
        <v>7558</v>
      </c>
      <c r="F8234" t="s">
        <v>35</v>
      </c>
      <c r="G8234" t="s">
        <v>35</v>
      </c>
      <c r="H8234" t="s">
        <v>35</v>
      </c>
      <c r="J8234" t="s">
        <v>7578</v>
      </c>
      <c r="K8234" t="s">
        <v>1092</v>
      </c>
      <c r="M8234">
        <v>4.05</v>
      </c>
      <c r="N8234">
        <v>781</v>
      </c>
      <c r="O8234" t="s">
        <v>575</v>
      </c>
      <c r="Q8234" t="s">
        <v>7579</v>
      </c>
      <c r="R8234" t="s">
        <v>6847</v>
      </c>
      <c r="S8234" t="s">
        <v>1034</v>
      </c>
    </row>
    <row r="8235" spans="1:19" x14ac:dyDescent="0.25">
      <c r="A8235" t="s">
        <v>59</v>
      </c>
      <c r="B8235" t="s">
        <v>31</v>
      </c>
      <c r="C8235" t="s">
        <v>32</v>
      </c>
      <c r="D8235" t="s">
        <v>953</v>
      </c>
      <c r="E8235" t="s">
        <v>7558</v>
      </c>
      <c r="F8235" t="s">
        <v>35</v>
      </c>
      <c r="G8235" t="s">
        <v>35</v>
      </c>
      <c r="H8235" t="s">
        <v>35</v>
      </c>
      <c r="J8235" t="s">
        <v>7578</v>
      </c>
      <c r="K8235" t="s">
        <v>1092</v>
      </c>
      <c r="M8235">
        <v>3.24</v>
      </c>
      <c r="N8235">
        <v>868</v>
      </c>
      <c r="O8235" t="s">
        <v>575</v>
      </c>
      <c r="Q8235" t="s">
        <v>5042</v>
      </c>
      <c r="R8235" t="s">
        <v>6847</v>
      </c>
      <c r="S8235" t="s">
        <v>1034</v>
      </c>
    </row>
    <row r="8236" spans="1:19" x14ac:dyDescent="0.25">
      <c r="A8236" t="s">
        <v>59</v>
      </c>
      <c r="B8236" t="s">
        <v>31</v>
      </c>
      <c r="C8236" t="s">
        <v>32</v>
      </c>
      <c r="D8236" t="s">
        <v>953</v>
      </c>
      <c r="E8236" t="s">
        <v>7558</v>
      </c>
      <c r="F8236" t="s">
        <v>35</v>
      </c>
      <c r="G8236" t="s">
        <v>35</v>
      </c>
      <c r="H8236" t="s">
        <v>35</v>
      </c>
      <c r="J8236" t="s">
        <v>7578</v>
      </c>
      <c r="K8236" t="s">
        <v>1092</v>
      </c>
      <c r="M8236">
        <v>4.9950000000000001</v>
      </c>
      <c r="N8236">
        <v>781</v>
      </c>
      <c r="O8236" t="s">
        <v>575</v>
      </c>
      <c r="Q8236" t="s">
        <v>7579</v>
      </c>
      <c r="R8236" t="s">
        <v>6847</v>
      </c>
      <c r="S8236" t="s">
        <v>1034</v>
      </c>
    </row>
    <row r="8237" spans="1:19" x14ac:dyDescent="0.25">
      <c r="A8237" t="s">
        <v>44</v>
      </c>
      <c r="B8237" t="s">
        <v>3</v>
      </c>
      <c r="C8237" t="s">
        <v>32</v>
      </c>
      <c r="D8237" t="s">
        <v>953</v>
      </c>
      <c r="E8237" t="s">
        <v>7558</v>
      </c>
      <c r="F8237" t="s">
        <v>35</v>
      </c>
      <c r="G8237" t="s">
        <v>35</v>
      </c>
      <c r="H8237" t="s">
        <v>35</v>
      </c>
      <c r="J8237" t="s">
        <v>7582</v>
      </c>
      <c r="K8237" t="s">
        <v>1092</v>
      </c>
      <c r="M8237">
        <v>1.8</v>
      </c>
      <c r="N8237">
        <v>58</v>
      </c>
      <c r="O8237" t="s">
        <v>52</v>
      </c>
      <c r="Q8237" t="s">
        <v>58</v>
      </c>
      <c r="R8237" t="s">
        <v>6885</v>
      </c>
      <c r="S8237" t="s">
        <v>6886</v>
      </c>
    </row>
    <row r="8238" spans="1:19" x14ac:dyDescent="0.25">
      <c r="A8238" t="s">
        <v>59</v>
      </c>
      <c r="B8238" t="s">
        <v>60</v>
      </c>
      <c r="C8238" t="s">
        <v>32</v>
      </c>
      <c r="D8238" t="s">
        <v>953</v>
      </c>
      <c r="E8238" t="s">
        <v>7558</v>
      </c>
      <c r="F8238" t="s">
        <v>35</v>
      </c>
      <c r="G8238" t="s">
        <v>35</v>
      </c>
      <c r="H8238" t="s">
        <v>35</v>
      </c>
      <c r="J8238" t="s">
        <v>7582</v>
      </c>
      <c r="K8238" t="s">
        <v>1092</v>
      </c>
      <c r="M8238">
        <v>6.7</v>
      </c>
      <c r="N8238">
        <v>39</v>
      </c>
      <c r="O8238" t="s">
        <v>52</v>
      </c>
      <c r="Q8238" t="s">
        <v>816</v>
      </c>
      <c r="R8238" t="s">
        <v>6885</v>
      </c>
      <c r="S8238" t="s">
        <v>6886</v>
      </c>
    </row>
    <row r="8239" spans="1:19" x14ac:dyDescent="0.25">
      <c r="A8239" t="s">
        <v>44</v>
      </c>
      <c r="B8239" t="s">
        <v>3</v>
      </c>
      <c r="C8239" t="s">
        <v>32</v>
      </c>
      <c r="D8239" t="s">
        <v>953</v>
      </c>
      <c r="E8239" t="s">
        <v>7558</v>
      </c>
      <c r="F8239" t="s">
        <v>35</v>
      </c>
      <c r="G8239" t="s">
        <v>35</v>
      </c>
      <c r="H8239" t="s">
        <v>35</v>
      </c>
      <c r="J8239" t="s">
        <v>7583</v>
      </c>
      <c r="K8239" t="s">
        <v>1092</v>
      </c>
      <c r="M8239">
        <v>2.5499999999999998</v>
      </c>
      <c r="N8239">
        <v>62</v>
      </c>
      <c r="O8239" t="s">
        <v>61</v>
      </c>
      <c r="Q8239" t="s">
        <v>90</v>
      </c>
      <c r="R8239" t="s">
        <v>6709</v>
      </c>
      <c r="S8239" t="s">
        <v>1022</v>
      </c>
    </row>
    <row r="8240" spans="1:19" x14ac:dyDescent="0.25">
      <c r="A8240" t="s">
        <v>59</v>
      </c>
      <c r="B8240" t="s">
        <v>60</v>
      </c>
      <c r="C8240" t="s">
        <v>32</v>
      </c>
      <c r="D8240" t="s">
        <v>953</v>
      </c>
      <c r="E8240" t="s">
        <v>7558</v>
      </c>
      <c r="F8240" t="s">
        <v>35</v>
      </c>
      <c r="G8240" t="s">
        <v>35</v>
      </c>
      <c r="H8240" t="s">
        <v>35</v>
      </c>
      <c r="J8240" t="s">
        <v>7583</v>
      </c>
      <c r="K8240" t="s">
        <v>1092</v>
      </c>
      <c r="M8240">
        <v>5</v>
      </c>
      <c r="N8240">
        <v>59</v>
      </c>
      <c r="O8240" t="s">
        <v>52</v>
      </c>
      <c r="Q8240" t="s">
        <v>84</v>
      </c>
      <c r="R8240" t="s">
        <v>6709</v>
      </c>
      <c r="S8240" t="s">
        <v>1022</v>
      </c>
    </row>
    <row r="8241" spans="1:19" x14ac:dyDescent="0.25">
      <c r="A8241" t="s">
        <v>59</v>
      </c>
      <c r="B8241" t="s">
        <v>60</v>
      </c>
      <c r="C8241" t="s">
        <v>32</v>
      </c>
      <c r="D8241" t="s">
        <v>953</v>
      </c>
      <c r="E8241" t="s">
        <v>7558</v>
      </c>
      <c r="F8241" t="s">
        <v>35</v>
      </c>
      <c r="G8241" t="s">
        <v>35</v>
      </c>
      <c r="H8241" t="s">
        <v>35</v>
      </c>
      <c r="J8241" t="s">
        <v>7584</v>
      </c>
      <c r="K8241" t="s">
        <v>1092</v>
      </c>
      <c r="M8241">
        <v>0.75</v>
      </c>
      <c r="N8241">
        <v>54</v>
      </c>
      <c r="O8241" t="s">
        <v>52</v>
      </c>
      <c r="Q8241" t="s">
        <v>1207</v>
      </c>
      <c r="R8241" t="s">
        <v>6847</v>
      </c>
      <c r="S8241" t="s">
        <v>1034</v>
      </c>
    </row>
    <row r="8242" spans="1:19" x14ac:dyDescent="0.25">
      <c r="A8242" t="s">
        <v>59</v>
      </c>
      <c r="B8242" t="s">
        <v>60</v>
      </c>
      <c r="C8242" t="s">
        <v>32</v>
      </c>
      <c r="D8242" t="s">
        <v>953</v>
      </c>
      <c r="E8242" t="s">
        <v>7558</v>
      </c>
      <c r="F8242" t="s">
        <v>35</v>
      </c>
      <c r="G8242" t="s">
        <v>35</v>
      </c>
      <c r="H8242" t="s">
        <v>35</v>
      </c>
      <c r="J8242" t="s">
        <v>7585</v>
      </c>
      <c r="K8242" t="s">
        <v>1092</v>
      </c>
      <c r="M8242">
        <v>5</v>
      </c>
      <c r="N8242">
        <v>67</v>
      </c>
      <c r="O8242" t="s">
        <v>61</v>
      </c>
      <c r="Q8242" t="s">
        <v>1311</v>
      </c>
      <c r="R8242" t="s">
        <v>133</v>
      </c>
      <c r="S8242" t="s">
        <v>134</v>
      </c>
    </row>
    <row r="8243" spans="1:19" x14ac:dyDescent="0.25">
      <c r="A8243" t="s">
        <v>59</v>
      </c>
      <c r="B8243" t="s">
        <v>60</v>
      </c>
      <c r="C8243" t="s">
        <v>32</v>
      </c>
      <c r="D8243" t="s">
        <v>953</v>
      </c>
      <c r="E8243" t="s">
        <v>7558</v>
      </c>
      <c r="F8243" t="s">
        <v>35</v>
      </c>
      <c r="G8243" t="s">
        <v>35</v>
      </c>
      <c r="H8243" t="s">
        <v>35</v>
      </c>
      <c r="J8243" t="s">
        <v>7586</v>
      </c>
      <c r="K8243" t="s">
        <v>1092</v>
      </c>
      <c r="M8243">
        <v>0.04</v>
      </c>
      <c r="N8243">
        <v>640</v>
      </c>
      <c r="O8243" t="s">
        <v>575</v>
      </c>
      <c r="Q8243" t="s">
        <v>7587</v>
      </c>
      <c r="R8243" t="s">
        <v>133</v>
      </c>
      <c r="S8243" t="s">
        <v>134</v>
      </c>
    </row>
    <row r="8244" spans="1:19" x14ac:dyDescent="0.25">
      <c r="A8244" t="s">
        <v>30</v>
      </c>
      <c r="B8244" t="s">
        <v>31</v>
      </c>
      <c r="C8244" t="s">
        <v>32</v>
      </c>
      <c r="D8244" t="s">
        <v>953</v>
      </c>
      <c r="E8244" t="s">
        <v>7558</v>
      </c>
      <c r="F8244" t="s">
        <v>35</v>
      </c>
      <c r="G8244" t="s">
        <v>35</v>
      </c>
      <c r="H8244" t="s">
        <v>35</v>
      </c>
      <c r="J8244" t="s">
        <v>3952</v>
      </c>
      <c r="K8244" t="s">
        <v>1092</v>
      </c>
      <c r="M8244">
        <v>0.18</v>
      </c>
      <c r="N8244">
        <v>1064</v>
      </c>
      <c r="O8244" t="s">
        <v>575</v>
      </c>
      <c r="Q8244" t="s">
        <v>7153</v>
      </c>
      <c r="R8244" t="s">
        <v>133</v>
      </c>
      <c r="S8244" t="s">
        <v>134</v>
      </c>
    </row>
    <row r="8245" spans="1:19" x14ac:dyDescent="0.25">
      <c r="A8245" t="s">
        <v>44</v>
      </c>
      <c r="B8245" t="s">
        <v>51</v>
      </c>
      <c r="C8245" t="s">
        <v>32</v>
      </c>
      <c r="D8245" t="s">
        <v>953</v>
      </c>
      <c r="E8245" t="s">
        <v>7558</v>
      </c>
      <c r="F8245" t="s">
        <v>35</v>
      </c>
      <c r="G8245" t="s">
        <v>35</v>
      </c>
      <c r="H8245" t="s">
        <v>35</v>
      </c>
      <c r="J8245" t="s">
        <v>7588</v>
      </c>
      <c r="K8245" t="s">
        <v>1092</v>
      </c>
      <c r="M8245">
        <v>0.4</v>
      </c>
      <c r="N8245">
        <v>33</v>
      </c>
      <c r="O8245" t="s">
        <v>52</v>
      </c>
      <c r="Q8245" t="s">
        <v>137</v>
      </c>
      <c r="R8245" t="s">
        <v>6865</v>
      </c>
      <c r="S8245" t="s">
        <v>984</v>
      </c>
    </row>
    <row r="8246" spans="1:19" x14ac:dyDescent="0.25">
      <c r="A8246" t="s">
        <v>59</v>
      </c>
      <c r="B8246" t="s">
        <v>60</v>
      </c>
      <c r="C8246" t="s">
        <v>32</v>
      </c>
      <c r="D8246" t="s">
        <v>953</v>
      </c>
      <c r="E8246" t="s">
        <v>7558</v>
      </c>
      <c r="F8246" t="s">
        <v>35</v>
      </c>
      <c r="G8246" t="s">
        <v>35</v>
      </c>
      <c r="H8246" t="s">
        <v>35</v>
      </c>
      <c r="J8246" t="s">
        <v>7589</v>
      </c>
      <c r="K8246" t="s">
        <v>1092</v>
      </c>
      <c r="M8246">
        <v>0.05</v>
      </c>
      <c r="N8246">
        <v>238</v>
      </c>
      <c r="O8246" t="s">
        <v>5</v>
      </c>
      <c r="Q8246" t="s">
        <v>933</v>
      </c>
      <c r="R8246" t="s">
        <v>6707</v>
      </c>
      <c r="S8246" t="s">
        <v>955</v>
      </c>
    </row>
    <row r="8247" spans="1:19" x14ac:dyDescent="0.25">
      <c r="A8247" t="s">
        <v>44</v>
      </c>
      <c r="B8247" t="s">
        <v>51</v>
      </c>
      <c r="C8247" t="s">
        <v>32</v>
      </c>
      <c r="D8247" t="s">
        <v>953</v>
      </c>
      <c r="E8247" t="s">
        <v>7558</v>
      </c>
      <c r="F8247" t="s">
        <v>35</v>
      </c>
      <c r="G8247" t="s">
        <v>35</v>
      </c>
      <c r="H8247" t="s">
        <v>35</v>
      </c>
      <c r="J8247" t="s">
        <v>7589</v>
      </c>
      <c r="K8247" t="s">
        <v>1092</v>
      </c>
      <c r="M8247">
        <v>0.1</v>
      </c>
      <c r="N8247">
        <v>238</v>
      </c>
      <c r="O8247" t="s">
        <v>5</v>
      </c>
      <c r="Q8247" t="s">
        <v>933</v>
      </c>
      <c r="R8247" t="s">
        <v>6707</v>
      </c>
      <c r="S8247" t="s">
        <v>955</v>
      </c>
    </row>
    <row r="8248" spans="1:19" x14ac:dyDescent="0.25">
      <c r="A8248" t="s">
        <v>59</v>
      </c>
      <c r="B8248" t="s">
        <v>31</v>
      </c>
      <c r="C8248" t="s">
        <v>32</v>
      </c>
      <c r="D8248" t="s">
        <v>953</v>
      </c>
      <c r="E8248" t="s">
        <v>7558</v>
      </c>
      <c r="F8248" t="s">
        <v>35</v>
      </c>
      <c r="G8248" t="s">
        <v>35</v>
      </c>
      <c r="H8248" t="s">
        <v>35</v>
      </c>
      <c r="J8248" t="s">
        <v>7589</v>
      </c>
      <c r="K8248" t="s">
        <v>1092</v>
      </c>
      <c r="M8248">
        <v>0.27</v>
      </c>
      <c r="N8248">
        <v>238</v>
      </c>
      <c r="O8248" t="s">
        <v>5</v>
      </c>
      <c r="Q8248" t="s">
        <v>933</v>
      </c>
      <c r="R8248" t="s">
        <v>6707</v>
      </c>
      <c r="S8248" t="s">
        <v>955</v>
      </c>
    </row>
    <row r="8249" spans="1:19" x14ac:dyDescent="0.25">
      <c r="A8249" t="s">
        <v>44</v>
      </c>
      <c r="B8249" t="s">
        <v>3005</v>
      </c>
      <c r="C8249" t="s">
        <v>32</v>
      </c>
      <c r="D8249" t="s">
        <v>953</v>
      </c>
      <c r="E8249" t="s">
        <v>7558</v>
      </c>
      <c r="F8249" t="s">
        <v>35</v>
      </c>
      <c r="G8249" t="s">
        <v>35</v>
      </c>
      <c r="H8249" t="s">
        <v>35</v>
      </c>
      <c r="J8249" t="s">
        <v>7590</v>
      </c>
      <c r="K8249" t="s">
        <v>1092</v>
      </c>
      <c r="M8249">
        <v>0.25</v>
      </c>
      <c r="N8249">
        <v>2673</v>
      </c>
      <c r="O8249" t="s">
        <v>575</v>
      </c>
      <c r="Q8249" t="s">
        <v>1486</v>
      </c>
      <c r="R8249" t="s">
        <v>1487</v>
      </c>
      <c r="S8249" t="s">
        <v>1488</v>
      </c>
    </row>
    <row r="8250" spans="1:19" x14ac:dyDescent="0.25">
      <c r="A8250" t="s">
        <v>59</v>
      </c>
      <c r="B8250" t="s">
        <v>60</v>
      </c>
      <c r="C8250" t="s">
        <v>32</v>
      </c>
      <c r="D8250" t="s">
        <v>953</v>
      </c>
      <c r="E8250" t="s">
        <v>7558</v>
      </c>
      <c r="F8250" t="s">
        <v>35</v>
      </c>
      <c r="G8250" t="s">
        <v>35</v>
      </c>
      <c r="H8250" t="s">
        <v>35</v>
      </c>
      <c r="J8250" t="s">
        <v>7590</v>
      </c>
      <c r="K8250" t="s">
        <v>1092</v>
      </c>
      <c r="M8250">
        <v>0.25</v>
      </c>
      <c r="N8250">
        <v>2673</v>
      </c>
      <c r="O8250" t="s">
        <v>575</v>
      </c>
      <c r="Q8250" t="s">
        <v>1486</v>
      </c>
      <c r="R8250" t="s">
        <v>1487</v>
      </c>
      <c r="S8250" t="s">
        <v>1488</v>
      </c>
    </row>
    <row r="8251" spans="1:19" x14ac:dyDescent="0.25">
      <c r="A8251" t="s">
        <v>44</v>
      </c>
      <c r="B8251" t="s">
        <v>51</v>
      </c>
      <c r="C8251" t="s">
        <v>32</v>
      </c>
      <c r="D8251" t="s">
        <v>953</v>
      </c>
      <c r="E8251" t="s">
        <v>7558</v>
      </c>
      <c r="F8251" t="s">
        <v>35</v>
      </c>
      <c r="G8251" t="s">
        <v>35</v>
      </c>
      <c r="H8251" t="s">
        <v>35</v>
      </c>
      <c r="J8251" t="s">
        <v>7591</v>
      </c>
      <c r="K8251" t="s">
        <v>1092</v>
      </c>
      <c r="M8251">
        <v>5.25</v>
      </c>
      <c r="N8251">
        <v>61</v>
      </c>
      <c r="O8251" t="s">
        <v>61</v>
      </c>
      <c r="Q8251" t="s">
        <v>671</v>
      </c>
      <c r="R8251" t="s">
        <v>6847</v>
      </c>
      <c r="S8251" t="s">
        <v>1034</v>
      </c>
    </row>
    <row r="8252" spans="1:19" x14ac:dyDescent="0.25">
      <c r="A8252" t="s">
        <v>59</v>
      </c>
      <c r="B8252" t="s">
        <v>60</v>
      </c>
      <c r="C8252" t="s">
        <v>32</v>
      </c>
      <c r="D8252" t="s">
        <v>953</v>
      </c>
      <c r="E8252" t="s">
        <v>7558</v>
      </c>
      <c r="F8252" t="s">
        <v>35</v>
      </c>
      <c r="G8252" t="s">
        <v>35</v>
      </c>
      <c r="H8252" t="s">
        <v>35</v>
      </c>
      <c r="J8252" t="s">
        <v>7592</v>
      </c>
      <c r="K8252" t="s">
        <v>1092</v>
      </c>
      <c r="M8252">
        <v>5</v>
      </c>
      <c r="N8252">
        <v>91</v>
      </c>
      <c r="O8252" t="s">
        <v>106</v>
      </c>
      <c r="Q8252" t="s">
        <v>1147</v>
      </c>
      <c r="R8252" t="s">
        <v>6807</v>
      </c>
      <c r="S8252" t="s">
        <v>1066</v>
      </c>
    </row>
    <row r="8253" spans="1:19" x14ac:dyDescent="0.25">
      <c r="A8253" t="s">
        <v>59</v>
      </c>
      <c r="B8253" t="s">
        <v>60</v>
      </c>
      <c r="C8253" t="s">
        <v>32</v>
      </c>
      <c r="D8253" t="s">
        <v>953</v>
      </c>
      <c r="E8253" t="s">
        <v>7558</v>
      </c>
      <c r="F8253" t="s">
        <v>35</v>
      </c>
      <c r="G8253" t="s">
        <v>35</v>
      </c>
      <c r="H8253" t="s">
        <v>35</v>
      </c>
      <c r="J8253" t="s">
        <v>7592</v>
      </c>
      <c r="K8253" t="s">
        <v>1092</v>
      </c>
      <c r="M8253">
        <v>10</v>
      </c>
      <c r="N8253">
        <v>62</v>
      </c>
      <c r="O8253" t="s">
        <v>61</v>
      </c>
      <c r="Q8253" t="s">
        <v>90</v>
      </c>
      <c r="R8253" t="s">
        <v>987</v>
      </c>
      <c r="S8253" t="s">
        <v>988</v>
      </c>
    </row>
    <row r="8254" spans="1:19" x14ac:dyDescent="0.25">
      <c r="A8254" t="s">
        <v>59</v>
      </c>
      <c r="B8254" t="s">
        <v>60</v>
      </c>
      <c r="C8254" t="s">
        <v>32</v>
      </c>
      <c r="D8254" t="s">
        <v>953</v>
      </c>
      <c r="E8254" t="s">
        <v>7558</v>
      </c>
      <c r="F8254" t="s">
        <v>35</v>
      </c>
      <c r="G8254" t="s">
        <v>35</v>
      </c>
      <c r="H8254" t="s">
        <v>35</v>
      </c>
      <c r="J8254" t="s">
        <v>7592</v>
      </c>
      <c r="K8254" t="s">
        <v>1092</v>
      </c>
      <c r="M8254">
        <v>5.9</v>
      </c>
      <c r="N8254">
        <v>131</v>
      </c>
      <c r="O8254" t="s">
        <v>38</v>
      </c>
      <c r="Q8254" t="s">
        <v>646</v>
      </c>
      <c r="R8254" t="s">
        <v>6807</v>
      </c>
      <c r="S8254" t="s">
        <v>1066</v>
      </c>
    </row>
    <row r="8255" spans="1:19" x14ac:dyDescent="0.25">
      <c r="A8255" t="s">
        <v>30</v>
      </c>
      <c r="B8255" t="s">
        <v>31</v>
      </c>
      <c r="C8255" t="s">
        <v>32</v>
      </c>
      <c r="D8255" t="s">
        <v>953</v>
      </c>
      <c r="E8255" t="s">
        <v>7558</v>
      </c>
      <c r="F8255" t="s">
        <v>35</v>
      </c>
      <c r="G8255" t="s">
        <v>35</v>
      </c>
      <c r="H8255" t="s">
        <v>35</v>
      </c>
      <c r="J8255" t="s">
        <v>4467</v>
      </c>
      <c r="K8255" t="s">
        <v>1092</v>
      </c>
      <c r="M8255">
        <v>0.94499999999999995</v>
      </c>
      <c r="N8255">
        <v>1199</v>
      </c>
      <c r="O8255" t="s">
        <v>575</v>
      </c>
      <c r="Q8255" t="s">
        <v>7051</v>
      </c>
      <c r="R8255" t="s">
        <v>133</v>
      </c>
      <c r="S8255" t="s">
        <v>134</v>
      </c>
    </row>
    <row r="8256" spans="1:19" x14ac:dyDescent="0.25">
      <c r="A8256" t="s">
        <v>59</v>
      </c>
      <c r="B8256" t="s">
        <v>60</v>
      </c>
      <c r="C8256" t="s">
        <v>32</v>
      </c>
      <c r="D8256" t="s">
        <v>953</v>
      </c>
      <c r="E8256" t="s">
        <v>7558</v>
      </c>
      <c r="F8256" t="s">
        <v>35</v>
      </c>
      <c r="G8256" t="s">
        <v>35</v>
      </c>
      <c r="H8256" t="s">
        <v>35</v>
      </c>
      <c r="J8256" t="s">
        <v>7593</v>
      </c>
      <c r="K8256" t="s">
        <v>1092</v>
      </c>
      <c r="M8256">
        <v>1.05</v>
      </c>
      <c r="N8256">
        <v>480</v>
      </c>
      <c r="O8256" t="s">
        <v>294</v>
      </c>
      <c r="Q8256" t="s">
        <v>1405</v>
      </c>
      <c r="R8256" t="s">
        <v>7594</v>
      </c>
      <c r="S8256" t="s">
        <v>7595</v>
      </c>
    </row>
    <row r="8257" spans="1:19" x14ac:dyDescent="0.25">
      <c r="A8257" t="s">
        <v>59</v>
      </c>
      <c r="B8257" t="s">
        <v>31</v>
      </c>
      <c r="C8257" t="s">
        <v>32</v>
      </c>
      <c r="D8257" t="s">
        <v>953</v>
      </c>
      <c r="E8257" t="s">
        <v>7558</v>
      </c>
      <c r="F8257" t="s">
        <v>35</v>
      </c>
      <c r="G8257" t="s">
        <v>35</v>
      </c>
      <c r="H8257" t="s">
        <v>35</v>
      </c>
      <c r="J8257" t="s">
        <v>7596</v>
      </c>
      <c r="K8257" t="s">
        <v>1092</v>
      </c>
      <c r="M8257">
        <v>2.2949999999999999</v>
      </c>
      <c r="N8257">
        <v>63</v>
      </c>
      <c r="O8257" t="s">
        <v>61</v>
      </c>
      <c r="Q8257" t="s">
        <v>423</v>
      </c>
      <c r="R8257" t="s">
        <v>6865</v>
      </c>
      <c r="S8257" t="s">
        <v>984</v>
      </c>
    </row>
    <row r="8258" spans="1:19" x14ac:dyDescent="0.25">
      <c r="A8258" t="s">
        <v>59</v>
      </c>
      <c r="B8258" t="s">
        <v>60</v>
      </c>
      <c r="C8258" t="s">
        <v>32</v>
      </c>
      <c r="D8258" t="s">
        <v>953</v>
      </c>
      <c r="E8258" t="s">
        <v>7558</v>
      </c>
      <c r="F8258" t="s">
        <v>35</v>
      </c>
      <c r="G8258" t="s">
        <v>35</v>
      </c>
      <c r="H8258" t="s">
        <v>35</v>
      </c>
      <c r="J8258" t="s">
        <v>7596</v>
      </c>
      <c r="K8258" t="s">
        <v>1092</v>
      </c>
      <c r="M8258">
        <v>2.5</v>
      </c>
      <c r="N8258">
        <v>62</v>
      </c>
      <c r="O8258" t="s">
        <v>61</v>
      </c>
      <c r="Q8258" t="s">
        <v>90</v>
      </c>
      <c r="R8258" t="s">
        <v>6705</v>
      </c>
      <c r="S8258" t="s">
        <v>981</v>
      </c>
    </row>
    <row r="8259" spans="1:19" x14ac:dyDescent="0.25">
      <c r="A8259" t="s">
        <v>44</v>
      </c>
      <c r="B8259" t="s">
        <v>3</v>
      </c>
      <c r="C8259" t="s">
        <v>32</v>
      </c>
      <c r="D8259" t="s">
        <v>953</v>
      </c>
      <c r="E8259" t="s">
        <v>7558</v>
      </c>
      <c r="F8259" t="s">
        <v>35</v>
      </c>
      <c r="G8259" t="s">
        <v>35</v>
      </c>
      <c r="H8259" t="s">
        <v>35</v>
      </c>
      <c r="J8259" t="s">
        <v>7597</v>
      </c>
      <c r="K8259" t="s">
        <v>1092</v>
      </c>
      <c r="M8259">
        <v>3</v>
      </c>
      <c r="N8259">
        <v>65</v>
      </c>
      <c r="O8259" t="s">
        <v>61</v>
      </c>
      <c r="Q8259" t="s">
        <v>128</v>
      </c>
      <c r="R8259" t="s">
        <v>6847</v>
      </c>
      <c r="S8259" t="s">
        <v>1034</v>
      </c>
    </row>
    <row r="8260" spans="1:19" x14ac:dyDescent="0.25">
      <c r="A8260" t="s">
        <v>59</v>
      </c>
      <c r="B8260" t="s">
        <v>60</v>
      </c>
      <c r="C8260" t="s">
        <v>32</v>
      </c>
      <c r="D8260" t="s">
        <v>953</v>
      </c>
      <c r="E8260" t="s">
        <v>7558</v>
      </c>
      <c r="F8260" t="s">
        <v>35</v>
      </c>
      <c r="G8260" t="s">
        <v>35</v>
      </c>
      <c r="H8260" t="s">
        <v>35</v>
      </c>
      <c r="J8260" t="s">
        <v>7597</v>
      </c>
      <c r="K8260" t="s">
        <v>1092</v>
      </c>
      <c r="M8260">
        <v>3</v>
      </c>
      <c r="N8260">
        <v>62</v>
      </c>
      <c r="O8260" t="s">
        <v>61</v>
      </c>
      <c r="Q8260" t="s">
        <v>90</v>
      </c>
      <c r="R8260" t="s">
        <v>6847</v>
      </c>
      <c r="S8260" t="s">
        <v>1034</v>
      </c>
    </row>
    <row r="8261" spans="1:19" x14ac:dyDescent="0.25">
      <c r="A8261" t="s">
        <v>59</v>
      </c>
      <c r="B8261" t="s">
        <v>60</v>
      </c>
      <c r="C8261" t="s">
        <v>32</v>
      </c>
      <c r="D8261" t="s">
        <v>953</v>
      </c>
      <c r="E8261" t="s">
        <v>7558</v>
      </c>
      <c r="F8261" t="s">
        <v>35</v>
      </c>
      <c r="G8261" t="s">
        <v>35</v>
      </c>
      <c r="H8261" t="s">
        <v>35</v>
      </c>
      <c r="J8261" t="s">
        <v>7597</v>
      </c>
      <c r="K8261" t="s">
        <v>1092</v>
      </c>
      <c r="M8261">
        <v>1.1000000000000001</v>
      </c>
      <c r="N8261">
        <v>90</v>
      </c>
      <c r="O8261" t="s">
        <v>61</v>
      </c>
      <c r="Q8261" t="s">
        <v>897</v>
      </c>
      <c r="R8261" t="s">
        <v>6847</v>
      </c>
      <c r="S8261" t="s">
        <v>1034</v>
      </c>
    </row>
    <row r="8262" spans="1:19" x14ac:dyDescent="0.25">
      <c r="A8262" t="s">
        <v>59</v>
      </c>
      <c r="B8262" t="s">
        <v>31</v>
      </c>
      <c r="C8262" t="s">
        <v>32</v>
      </c>
      <c r="D8262" t="s">
        <v>953</v>
      </c>
      <c r="E8262" t="s">
        <v>7558</v>
      </c>
      <c r="F8262" t="s">
        <v>35</v>
      </c>
      <c r="G8262" t="s">
        <v>35</v>
      </c>
      <c r="H8262" t="s">
        <v>35</v>
      </c>
      <c r="J8262" t="s">
        <v>7597</v>
      </c>
      <c r="K8262" t="s">
        <v>1092</v>
      </c>
      <c r="M8262">
        <v>2.5</v>
      </c>
      <c r="N8262">
        <v>180</v>
      </c>
      <c r="O8262" t="s">
        <v>38</v>
      </c>
      <c r="Q8262" t="s">
        <v>2138</v>
      </c>
      <c r="R8262" t="s">
        <v>6847</v>
      </c>
      <c r="S8262" t="s">
        <v>1034</v>
      </c>
    </row>
    <row r="8263" spans="1:19" x14ac:dyDescent="0.25">
      <c r="A8263" t="s">
        <v>59</v>
      </c>
      <c r="B8263" t="s">
        <v>31</v>
      </c>
      <c r="C8263" t="s">
        <v>32</v>
      </c>
      <c r="D8263" t="s">
        <v>953</v>
      </c>
      <c r="E8263" t="s">
        <v>7558</v>
      </c>
      <c r="F8263" t="s">
        <v>35</v>
      </c>
      <c r="G8263" t="s">
        <v>35</v>
      </c>
      <c r="H8263" t="s">
        <v>35</v>
      </c>
      <c r="J8263" t="s">
        <v>7597</v>
      </c>
      <c r="K8263" t="s">
        <v>1092</v>
      </c>
      <c r="M8263">
        <v>0.58499999999999996</v>
      </c>
      <c r="N8263">
        <v>251</v>
      </c>
      <c r="O8263" t="s">
        <v>5</v>
      </c>
      <c r="Q8263" t="s">
        <v>1688</v>
      </c>
      <c r="R8263" t="s">
        <v>6847</v>
      </c>
      <c r="S8263" t="s">
        <v>1034</v>
      </c>
    </row>
    <row r="8264" spans="1:19" x14ac:dyDescent="0.25">
      <c r="A8264" t="s">
        <v>30</v>
      </c>
      <c r="B8264" t="s">
        <v>31</v>
      </c>
      <c r="C8264" t="s">
        <v>32</v>
      </c>
      <c r="D8264" t="s">
        <v>953</v>
      </c>
      <c r="E8264" t="s">
        <v>7558</v>
      </c>
      <c r="F8264" t="s">
        <v>35</v>
      </c>
      <c r="G8264" t="s">
        <v>35</v>
      </c>
      <c r="H8264" t="s">
        <v>35</v>
      </c>
      <c r="J8264" t="s">
        <v>7598</v>
      </c>
      <c r="K8264" t="s">
        <v>1092</v>
      </c>
      <c r="M8264">
        <v>0.63</v>
      </c>
      <c r="N8264">
        <v>47</v>
      </c>
      <c r="O8264" t="s">
        <v>52</v>
      </c>
      <c r="Q8264" t="s">
        <v>132</v>
      </c>
      <c r="R8264" t="s">
        <v>987</v>
      </c>
      <c r="S8264" t="s">
        <v>988</v>
      </c>
    </row>
    <row r="8265" spans="1:19" x14ac:dyDescent="0.25">
      <c r="A8265" t="s">
        <v>30</v>
      </c>
      <c r="B8265" t="s">
        <v>31</v>
      </c>
      <c r="C8265" t="s">
        <v>32</v>
      </c>
      <c r="D8265" t="s">
        <v>953</v>
      </c>
      <c r="E8265" t="s">
        <v>7558</v>
      </c>
      <c r="F8265" t="s">
        <v>35</v>
      </c>
      <c r="G8265" t="s">
        <v>35</v>
      </c>
      <c r="H8265" t="s">
        <v>35</v>
      </c>
      <c r="J8265" t="s">
        <v>7598</v>
      </c>
      <c r="K8265" t="s">
        <v>1092</v>
      </c>
      <c r="M8265">
        <v>9.99</v>
      </c>
      <c r="N8265">
        <v>21</v>
      </c>
      <c r="O8265" t="s">
        <v>46</v>
      </c>
      <c r="Q8265" t="s">
        <v>1874</v>
      </c>
      <c r="R8265" t="s">
        <v>6705</v>
      </c>
      <c r="S8265" t="s">
        <v>981</v>
      </c>
    </row>
    <row r="8266" spans="1:19" x14ac:dyDescent="0.25">
      <c r="A8266" t="s">
        <v>59</v>
      </c>
      <c r="B8266" t="s">
        <v>60</v>
      </c>
      <c r="C8266" t="s">
        <v>32</v>
      </c>
      <c r="D8266" t="s">
        <v>953</v>
      </c>
      <c r="E8266" t="s">
        <v>7558</v>
      </c>
      <c r="F8266" t="s">
        <v>35</v>
      </c>
      <c r="G8266" t="s">
        <v>35</v>
      </c>
      <c r="H8266" t="s">
        <v>35</v>
      </c>
      <c r="J8266" t="s">
        <v>7598</v>
      </c>
      <c r="K8266" t="s">
        <v>1092</v>
      </c>
      <c r="M8266">
        <v>0.5</v>
      </c>
      <c r="N8266">
        <v>62</v>
      </c>
      <c r="O8266" t="s">
        <v>61</v>
      </c>
      <c r="Q8266" t="s">
        <v>90</v>
      </c>
      <c r="R8266" t="s">
        <v>6705</v>
      </c>
      <c r="S8266" t="s">
        <v>981</v>
      </c>
    </row>
    <row r="8267" spans="1:19" x14ac:dyDescent="0.25">
      <c r="A8267" t="s">
        <v>30</v>
      </c>
      <c r="B8267" t="s">
        <v>31</v>
      </c>
      <c r="C8267" t="s">
        <v>32</v>
      </c>
      <c r="D8267" t="s">
        <v>953</v>
      </c>
      <c r="E8267" t="s">
        <v>7558</v>
      </c>
      <c r="F8267" t="s">
        <v>35</v>
      </c>
      <c r="G8267" t="s">
        <v>35</v>
      </c>
      <c r="H8267" t="s">
        <v>35</v>
      </c>
      <c r="J8267" t="s">
        <v>7600</v>
      </c>
      <c r="K8267" t="s">
        <v>1092</v>
      </c>
      <c r="M8267">
        <v>0.495</v>
      </c>
      <c r="N8267">
        <v>277</v>
      </c>
      <c r="O8267" t="s">
        <v>5</v>
      </c>
      <c r="Q8267" t="s">
        <v>5812</v>
      </c>
      <c r="R8267" t="s">
        <v>6709</v>
      </c>
      <c r="S8267" t="s">
        <v>1022</v>
      </c>
    </row>
    <row r="8268" spans="1:19" x14ac:dyDescent="0.25">
      <c r="A8268" t="s">
        <v>44</v>
      </c>
      <c r="B8268" t="s">
        <v>51</v>
      </c>
      <c r="C8268" t="s">
        <v>32</v>
      </c>
      <c r="D8268" t="s">
        <v>953</v>
      </c>
      <c r="E8268" t="s">
        <v>7558</v>
      </c>
      <c r="F8268" t="s">
        <v>35</v>
      </c>
      <c r="G8268" t="s">
        <v>35</v>
      </c>
      <c r="H8268" t="s">
        <v>35</v>
      </c>
      <c r="J8268" t="s">
        <v>7601</v>
      </c>
      <c r="K8268" t="s">
        <v>1092</v>
      </c>
      <c r="M8268">
        <v>0.4</v>
      </c>
      <c r="N8268">
        <v>333</v>
      </c>
      <c r="O8268" t="s">
        <v>5</v>
      </c>
      <c r="Q8268" t="s">
        <v>1600</v>
      </c>
      <c r="R8268" t="s">
        <v>6716</v>
      </c>
      <c r="S8268" t="s">
        <v>6717</v>
      </c>
    </row>
    <row r="8269" spans="1:19" x14ac:dyDescent="0.25">
      <c r="A8269" t="s">
        <v>30</v>
      </c>
      <c r="B8269" t="s">
        <v>31</v>
      </c>
      <c r="C8269" t="s">
        <v>32</v>
      </c>
      <c r="D8269" t="s">
        <v>953</v>
      </c>
      <c r="E8269" t="s">
        <v>7558</v>
      </c>
      <c r="F8269" t="s">
        <v>35</v>
      </c>
      <c r="G8269" t="s">
        <v>35</v>
      </c>
      <c r="H8269" t="s">
        <v>35</v>
      </c>
      <c r="J8269" t="s">
        <v>7601</v>
      </c>
      <c r="K8269" t="s">
        <v>1092</v>
      </c>
      <c r="M8269">
        <v>9.9450000000000003</v>
      </c>
      <c r="N8269">
        <v>202</v>
      </c>
      <c r="O8269" t="s">
        <v>5</v>
      </c>
      <c r="Q8269" t="s">
        <v>1299</v>
      </c>
      <c r="R8269" t="s">
        <v>6716</v>
      </c>
      <c r="S8269" t="s">
        <v>6717</v>
      </c>
    </row>
    <row r="8270" spans="1:19" x14ac:dyDescent="0.25">
      <c r="A8270" t="s">
        <v>30</v>
      </c>
      <c r="B8270" t="s">
        <v>31</v>
      </c>
      <c r="C8270" t="s">
        <v>32</v>
      </c>
      <c r="D8270" t="s">
        <v>953</v>
      </c>
      <c r="E8270" t="s">
        <v>7558</v>
      </c>
      <c r="F8270" t="s">
        <v>35</v>
      </c>
      <c r="G8270" t="s">
        <v>35</v>
      </c>
      <c r="H8270" t="s">
        <v>35</v>
      </c>
      <c r="J8270" t="s">
        <v>7601</v>
      </c>
      <c r="K8270" t="s">
        <v>1092</v>
      </c>
      <c r="M8270">
        <v>3.1949999999999998</v>
      </c>
      <c r="N8270">
        <v>181</v>
      </c>
      <c r="O8270" t="s">
        <v>5</v>
      </c>
      <c r="Q8270" t="s">
        <v>1684</v>
      </c>
      <c r="R8270" t="s">
        <v>6716</v>
      </c>
      <c r="S8270" t="s">
        <v>6717</v>
      </c>
    </row>
    <row r="8271" spans="1:19" x14ac:dyDescent="0.25">
      <c r="A8271" t="s">
        <v>59</v>
      </c>
      <c r="B8271" t="s">
        <v>60</v>
      </c>
      <c r="C8271" t="s">
        <v>32</v>
      </c>
      <c r="D8271" t="s">
        <v>953</v>
      </c>
      <c r="E8271" t="s">
        <v>7558</v>
      </c>
      <c r="F8271" t="s">
        <v>35</v>
      </c>
      <c r="G8271" t="s">
        <v>35</v>
      </c>
      <c r="H8271" t="s">
        <v>35</v>
      </c>
      <c r="J8271" t="s">
        <v>7602</v>
      </c>
      <c r="K8271" t="s">
        <v>1092</v>
      </c>
      <c r="M8271">
        <v>5.65</v>
      </c>
      <c r="N8271">
        <v>64</v>
      </c>
      <c r="O8271" t="s">
        <v>61</v>
      </c>
      <c r="Q8271" t="s">
        <v>381</v>
      </c>
      <c r="R8271" t="s">
        <v>6707</v>
      </c>
      <c r="S8271" t="s">
        <v>955</v>
      </c>
    </row>
    <row r="8272" spans="1:19" x14ac:dyDescent="0.25">
      <c r="A8272" t="s">
        <v>59</v>
      </c>
      <c r="B8272" t="s">
        <v>60</v>
      </c>
      <c r="C8272" t="s">
        <v>32</v>
      </c>
      <c r="D8272" t="s">
        <v>953</v>
      </c>
      <c r="E8272" t="s">
        <v>7558</v>
      </c>
      <c r="F8272" t="s">
        <v>35</v>
      </c>
      <c r="G8272" t="s">
        <v>35</v>
      </c>
      <c r="H8272" t="s">
        <v>35</v>
      </c>
      <c r="J8272" t="s">
        <v>7602</v>
      </c>
      <c r="K8272" t="s">
        <v>1092</v>
      </c>
      <c r="M8272">
        <v>1.25</v>
      </c>
      <c r="N8272">
        <v>17</v>
      </c>
      <c r="O8272" t="s">
        <v>46</v>
      </c>
      <c r="Q8272" t="s">
        <v>1302</v>
      </c>
      <c r="R8272" t="s">
        <v>133</v>
      </c>
      <c r="S8272" t="s">
        <v>134</v>
      </c>
    </row>
    <row r="8273" spans="1:19" x14ac:dyDescent="0.25">
      <c r="A8273" t="s">
        <v>59</v>
      </c>
      <c r="B8273" t="s">
        <v>31</v>
      </c>
      <c r="C8273" t="s">
        <v>32</v>
      </c>
      <c r="D8273" t="s">
        <v>953</v>
      </c>
      <c r="E8273" t="s">
        <v>7558</v>
      </c>
      <c r="F8273" t="s">
        <v>35</v>
      </c>
      <c r="G8273" t="s">
        <v>35</v>
      </c>
      <c r="H8273" t="s">
        <v>35</v>
      </c>
      <c r="J8273" t="s">
        <v>7602</v>
      </c>
      <c r="K8273" t="s">
        <v>1092</v>
      </c>
      <c r="M8273">
        <v>2.2949999999999999</v>
      </c>
      <c r="N8273">
        <v>59</v>
      </c>
      <c r="O8273" t="s">
        <v>52</v>
      </c>
      <c r="Q8273" t="s">
        <v>84</v>
      </c>
      <c r="R8273" t="s">
        <v>133</v>
      </c>
      <c r="S8273" t="s">
        <v>134</v>
      </c>
    </row>
    <row r="8274" spans="1:19" x14ac:dyDescent="0.25">
      <c r="A8274" t="s">
        <v>59</v>
      </c>
      <c r="B8274" t="s">
        <v>31</v>
      </c>
      <c r="C8274" t="s">
        <v>32</v>
      </c>
      <c r="D8274" t="s">
        <v>953</v>
      </c>
      <c r="E8274" t="s">
        <v>7558</v>
      </c>
      <c r="F8274" t="s">
        <v>35</v>
      </c>
      <c r="G8274" t="s">
        <v>35</v>
      </c>
      <c r="H8274" t="s">
        <v>35</v>
      </c>
      <c r="J8274" t="s">
        <v>7602</v>
      </c>
      <c r="K8274" t="s">
        <v>1092</v>
      </c>
      <c r="M8274">
        <v>10.98</v>
      </c>
      <c r="N8274">
        <v>40</v>
      </c>
      <c r="O8274" t="s">
        <v>52</v>
      </c>
      <c r="Q8274" t="s">
        <v>130</v>
      </c>
      <c r="R8274" t="s">
        <v>133</v>
      </c>
      <c r="S8274" t="s">
        <v>134</v>
      </c>
    </row>
    <row r="8275" spans="1:19" x14ac:dyDescent="0.25">
      <c r="A8275" t="s">
        <v>59</v>
      </c>
      <c r="B8275" t="s">
        <v>60</v>
      </c>
      <c r="C8275" t="s">
        <v>32</v>
      </c>
      <c r="D8275" t="s">
        <v>953</v>
      </c>
      <c r="E8275" t="s">
        <v>7558</v>
      </c>
      <c r="F8275" t="s">
        <v>35</v>
      </c>
      <c r="G8275" t="s">
        <v>35</v>
      </c>
      <c r="H8275" t="s">
        <v>35</v>
      </c>
      <c r="J8275" t="s">
        <v>7602</v>
      </c>
      <c r="K8275" t="s">
        <v>1092</v>
      </c>
      <c r="M8275">
        <v>10</v>
      </c>
      <c r="N8275">
        <v>59</v>
      </c>
      <c r="O8275" t="s">
        <v>52</v>
      </c>
      <c r="Q8275" t="s">
        <v>84</v>
      </c>
      <c r="R8275" t="s">
        <v>133</v>
      </c>
      <c r="S8275" t="s">
        <v>134</v>
      </c>
    </row>
    <row r="8276" spans="1:19" x14ac:dyDescent="0.25">
      <c r="A8276" t="s">
        <v>44</v>
      </c>
      <c r="B8276" t="s">
        <v>3</v>
      </c>
      <c r="C8276" t="s">
        <v>32</v>
      </c>
      <c r="D8276" t="s">
        <v>953</v>
      </c>
      <c r="E8276" t="s">
        <v>7558</v>
      </c>
      <c r="F8276" t="s">
        <v>35</v>
      </c>
      <c r="G8276" t="s">
        <v>35</v>
      </c>
      <c r="H8276" t="s">
        <v>35</v>
      </c>
      <c r="J8276" t="s">
        <v>7602</v>
      </c>
      <c r="K8276" t="s">
        <v>1092</v>
      </c>
      <c r="M8276">
        <v>4.25</v>
      </c>
      <c r="N8276">
        <v>65</v>
      </c>
      <c r="O8276" t="s">
        <v>61</v>
      </c>
      <c r="Q8276" t="s">
        <v>128</v>
      </c>
      <c r="R8276" t="s">
        <v>133</v>
      </c>
      <c r="S8276" t="s">
        <v>134</v>
      </c>
    </row>
    <row r="8277" spans="1:19" x14ac:dyDescent="0.25">
      <c r="A8277" t="s">
        <v>30</v>
      </c>
      <c r="B8277" t="s">
        <v>31</v>
      </c>
      <c r="C8277" t="s">
        <v>32</v>
      </c>
      <c r="D8277" t="s">
        <v>953</v>
      </c>
      <c r="E8277" t="s">
        <v>7558</v>
      </c>
      <c r="F8277" t="s">
        <v>35</v>
      </c>
      <c r="G8277" t="s">
        <v>35</v>
      </c>
      <c r="H8277" t="s">
        <v>35</v>
      </c>
      <c r="J8277" t="s">
        <v>7603</v>
      </c>
      <c r="K8277" t="s">
        <v>1092</v>
      </c>
      <c r="M8277">
        <v>4.68</v>
      </c>
      <c r="N8277">
        <v>1063</v>
      </c>
      <c r="O8277" t="s">
        <v>575</v>
      </c>
      <c r="Q8277" t="s">
        <v>7604</v>
      </c>
      <c r="R8277" t="s">
        <v>6705</v>
      </c>
      <c r="S8277" t="s">
        <v>981</v>
      </c>
    </row>
    <row r="8278" spans="1:19" x14ac:dyDescent="0.25">
      <c r="A8278" t="s">
        <v>59</v>
      </c>
      <c r="B8278" t="s">
        <v>60</v>
      </c>
      <c r="C8278" t="s">
        <v>32</v>
      </c>
      <c r="D8278" t="s">
        <v>953</v>
      </c>
      <c r="E8278" t="s">
        <v>7558</v>
      </c>
      <c r="F8278" t="s">
        <v>35</v>
      </c>
      <c r="G8278" t="s">
        <v>35</v>
      </c>
      <c r="H8278" t="s">
        <v>35</v>
      </c>
      <c r="J8278" t="s">
        <v>7605</v>
      </c>
      <c r="K8278" t="s">
        <v>1092</v>
      </c>
      <c r="M8278">
        <v>0.3</v>
      </c>
      <c r="N8278">
        <v>243</v>
      </c>
      <c r="O8278" t="s">
        <v>5</v>
      </c>
      <c r="Q8278" t="s">
        <v>1151</v>
      </c>
      <c r="R8278" t="s">
        <v>6705</v>
      </c>
      <c r="S8278" t="s">
        <v>981</v>
      </c>
    </row>
    <row r="8279" spans="1:19" x14ac:dyDescent="0.25">
      <c r="A8279" t="s">
        <v>30</v>
      </c>
      <c r="B8279" t="s">
        <v>31</v>
      </c>
      <c r="C8279" t="s">
        <v>32</v>
      </c>
      <c r="D8279" t="s">
        <v>953</v>
      </c>
      <c r="E8279" t="s">
        <v>7558</v>
      </c>
      <c r="F8279" t="s">
        <v>35</v>
      </c>
      <c r="G8279" t="s">
        <v>35</v>
      </c>
      <c r="H8279" t="s">
        <v>35</v>
      </c>
      <c r="J8279" t="s">
        <v>7605</v>
      </c>
      <c r="K8279" t="s">
        <v>1092</v>
      </c>
      <c r="M8279">
        <v>0.09</v>
      </c>
      <c r="N8279">
        <v>1825</v>
      </c>
      <c r="O8279" t="s">
        <v>575</v>
      </c>
      <c r="Q8279" t="s">
        <v>7374</v>
      </c>
      <c r="R8279" t="s">
        <v>6807</v>
      </c>
      <c r="S8279" t="s">
        <v>1066</v>
      </c>
    </row>
    <row r="8280" spans="1:19" x14ac:dyDescent="0.25">
      <c r="A8280" t="s">
        <v>59</v>
      </c>
      <c r="B8280" t="s">
        <v>31</v>
      </c>
      <c r="C8280" t="s">
        <v>32</v>
      </c>
      <c r="D8280" t="s">
        <v>953</v>
      </c>
      <c r="E8280" t="s">
        <v>7558</v>
      </c>
      <c r="F8280" t="s">
        <v>35</v>
      </c>
      <c r="G8280" t="s">
        <v>35</v>
      </c>
      <c r="H8280" t="s">
        <v>35</v>
      </c>
      <c r="J8280" t="s">
        <v>7605</v>
      </c>
      <c r="K8280" t="s">
        <v>1092</v>
      </c>
      <c r="M8280">
        <v>1.9350000000000001</v>
      </c>
      <c r="N8280">
        <v>200</v>
      </c>
      <c r="O8280" t="s">
        <v>5</v>
      </c>
      <c r="Q8280" t="s">
        <v>3691</v>
      </c>
      <c r="R8280" t="s">
        <v>6705</v>
      </c>
      <c r="S8280" t="s">
        <v>981</v>
      </c>
    </row>
    <row r="8281" spans="1:19" x14ac:dyDescent="0.25">
      <c r="A8281" t="s">
        <v>59</v>
      </c>
      <c r="B8281" t="s">
        <v>60</v>
      </c>
      <c r="C8281" t="s">
        <v>32</v>
      </c>
      <c r="D8281" t="s">
        <v>953</v>
      </c>
      <c r="E8281" t="s">
        <v>7558</v>
      </c>
      <c r="F8281" t="s">
        <v>35</v>
      </c>
      <c r="G8281" t="s">
        <v>35</v>
      </c>
      <c r="H8281" t="s">
        <v>35</v>
      </c>
      <c r="J8281" t="s">
        <v>7606</v>
      </c>
      <c r="K8281" t="s">
        <v>1092</v>
      </c>
      <c r="M8281">
        <v>1.2999999999999999E-2</v>
      </c>
      <c r="N8281">
        <v>536</v>
      </c>
      <c r="O8281" t="s">
        <v>294</v>
      </c>
      <c r="Q8281" t="s">
        <v>7607</v>
      </c>
      <c r="R8281" t="s">
        <v>6897</v>
      </c>
      <c r="S8281" t="s">
        <v>1062</v>
      </c>
    </row>
    <row r="8282" spans="1:19" x14ac:dyDescent="0.25">
      <c r="A8282" t="s">
        <v>59</v>
      </c>
      <c r="B8282" t="s">
        <v>60</v>
      </c>
      <c r="C8282" t="s">
        <v>32</v>
      </c>
      <c r="D8282" t="s">
        <v>953</v>
      </c>
      <c r="E8282" t="s">
        <v>7558</v>
      </c>
      <c r="F8282" t="s">
        <v>35</v>
      </c>
      <c r="G8282" t="s">
        <v>35</v>
      </c>
      <c r="H8282" t="s">
        <v>35</v>
      </c>
      <c r="J8282" t="s">
        <v>2414</v>
      </c>
      <c r="K8282" t="s">
        <v>1092</v>
      </c>
      <c r="M8282">
        <v>0.85</v>
      </c>
      <c r="N8282">
        <v>62</v>
      </c>
      <c r="O8282" t="s">
        <v>61</v>
      </c>
      <c r="Q8282" t="s">
        <v>90</v>
      </c>
      <c r="R8282" t="s">
        <v>6705</v>
      </c>
      <c r="S8282" t="s">
        <v>981</v>
      </c>
    </row>
    <row r="8283" spans="1:19" x14ac:dyDescent="0.25">
      <c r="A8283" t="s">
        <v>59</v>
      </c>
      <c r="B8283" t="s">
        <v>31</v>
      </c>
      <c r="C8283" t="s">
        <v>32</v>
      </c>
      <c r="D8283" t="s">
        <v>953</v>
      </c>
      <c r="E8283" t="s">
        <v>7558</v>
      </c>
      <c r="F8283" t="s">
        <v>35</v>
      </c>
      <c r="G8283" t="s">
        <v>35</v>
      </c>
      <c r="H8283" t="s">
        <v>35</v>
      </c>
      <c r="J8283" t="s">
        <v>2414</v>
      </c>
      <c r="K8283" t="s">
        <v>1092</v>
      </c>
      <c r="M8283">
        <v>0.85499999999999998</v>
      </c>
      <c r="N8283">
        <v>62</v>
      </c>
      <c r="O8283" t="s">
        <v>61</v>
      </c>
      <c r="Q8283" t="s">
        <v>90</v>
      </c>
      <c r="R8283" t="s">
        <v>6705</v>
      </c>
      <c r="S8283" t="s">
        <v>981</v>
      </c>
    </row>
    <row r="8284" spans="1:19" x14ac:dyDescent="0.25">
      <c r="A8284" t="s">
        <v>59</v>
      </c>
      <c r="B8284" t="s">
        <v>31</v>
      </c>
      <c r="C8284" t="s">
        <v>32</v>
      </c>
      <c r="D8284" t="s">
        <v>953</v>
      </c>
      <c r="E8284" t="s">
        <v>7558</v>
      </c>
      <c r="F8284" t="s">
        <v>35</v>
      </c>
      <c r="G8284" t="s">
        <v>35</v>
      </c>
      <c r="H8284" t="s">
        <v>35</v>
      </c>
      <c r="J8284" t="s">
        <v>1885</v>
      </c>
      <c r="K8284" t="s">
        <v>1092</v>
      </c>
      <c r="M8284">
        <v>0.27</v>
      </c>
      <c r="N8284">
        <v>399</v>
      </c>
      <c r="O8284" t="s">
        <v>294</v>
      </c>
      <c r="Q8284" t="s">
        <v>1707</v>
      </c>
      <c r="R8284" t="s">
        <v>6721</v>
      </c>
      <c r="S8284" t="s">
        <v>1078</v>
      </c>
    </row>
    <row r="8285" spans="1:19" x14ac:dyDescent="0.25">
      <c r="A8285" t="s">
        <v>59</v>
      </c>
      <c r="B8285" t="s">
        <v>60</v>
      </c>
      <c r="C8285" t="s">
        <v>32</v>
      </c>
      <c r="D8285" t="s">
        <v>953</v>
      </c>
      <c r="E8285" t="s">
        <v>7558</v>
      </c>
      <c r="F8285" t="s">
        <v>35</v>
      </c>
      <c r="G8285" t="s">
        <v>35</v>
      </c>
      <c r="H8285" t="s">
        <v>35</v>
      </c>
      <c r="J8285" t="s">
        <v>1885</v>
      </c>
      <c r="K8285" t="s">
        <v>1092</v>
      </c>
      <c r="M8285">
        <v>0.1</v>
      </c>
      <c r="N8285">
        <v>22</v>
      </c>
      <c r="O8285" t="s">
        <v>46</v>
      </c>
      <c r="Q8285" t="s">
        <v>979</v>
      </c>
      <c r="R8285" t="s">
        <v>6721</v>
      </c>
      <c r="S8285" t="s">
        <v>1078</v>
      </c>
    </row>
    <row r="8286" spans="1:19" x14ac:dyDescent="0.25">
      <c r="A8286" t="s">
        <v>59</v>
      </c>
      <c r="B8286" t="s">
        <v>60</v>
      </c>
      <c r="C8286" t="s">
        <v>32</v>
      </c>
      <c r="D8286" t="s">
        <v>953</v>
      </c>
      <c r="E8286" t="s">
        <v>7558</v>
      </c>
      <c r="F8286" t="s">
        <v>35</v>
      </c>
      <c r="G8286" t="s">
        <v>35</v>
      </c>
      <c r="H8286" t="s">
        <v>35</v>
      </c>
      <c r="J8286" t="s">
        <v>2669</v>
      </c>
      <c r="K8286" t="s">
        <v>1092</v>
      </c>
      <c r="M8286">
        <v>0.35</v>
      </c>
      <c r="N8286">
        <v>39</v>
      </c>
      <c r="O8286" t="s">
        <v>52</v>
      </c>
      <c r="Q8286" t="s">
        <v>816</v>
      </c>
      <c r="R8286" t="s">
        <v>6720</v>
      </c>
      <c r="S8286" t="s">
        <v>961</v>
      </c>
    </row>
    <row r="8287" spans="1:19" x14ac:dyDescent="0.25">
      <c r="A8287" t="s">
        <v>59</v>
      </c>
      <c r="B8287" t="s">
        <v>60</v>
      </c>
      <c r="C8287" t="s">
        <v>32</v>
      </c>
      <c r="D8287" t="s">
        <v>953</v>
      </c>
      <c r="E8287" t="s">
        <v>7558</v>
      </c>
      <c r="F8287" t="s">
        <v>35</v>
      </c>
      <c r="G8287" t="s">
        <v>35</v>
      </c>
      <c r="H8287" t="s">
        <v>35</v>
      </c>
      <c r="J8287" t="s">
        <v>2669</v>
      </c>
      <c r="K8287" t="s">
        <v>1092</v>
      </c>
      <c r="M8287">
        <v>0.05</v>
      </c>
      <c r="N8287">
        <v>44</v>
      </c>
      <c r="O8287" t="s">
        <v>52</v>
      </c>
      <c r="Q8287" t="s">
        <v>192</v>
      </c>
      <c r="R8287" t="s">
        <v>6720</v>
      </c>
      <c r="S8287" t="s">
        <v>961</v>
      </c>
    </row>
    <row r="8288" spans="1:19" x14ac:dyDescent="0.25">
      <c r="A8288" t="s">
        <v>30</v>
      </c>
      <c r="B8288" t="s">
        <v>31</v>
      </c>
      <c r="C8288" t="s">
        <v>32</v>
      </c>
      <c r="D8288" t="s">
        <v>953</v>
      </c>
      <c r="E8288" t="s">
        <v>7558</v>
      </c>
      <c r="F8288" t="s">
        <v>35</v>
      </c>
      <c r="G8288" t="s">
        <v>35</v>
      </c>
      <c r="H8288" t="s">
        <v>35</v>
      </c>
      <c r="J8288" t="s">
        <v>2669</v>
      </c>
      <c r="K8288" t="s">
        <v>1092</v>
      </c>
      <c r="M8288">
        <v>0.67500000000000004</v>
      </c>
      <c r="N8288">
        <v>30</v>
      </c>
      <c r="O8288" t="s">
        <v>46</v>
      </c>
      <c r="Q8288" t="s">
        <v>793</v>
      </c>
      <c r="R8288" t="s">
        <v>6720</v>
      </c>
      <c r="S8288" t="s">
        <v>961</v>
      </c>
    </row>
    <row r="8289" spans="1:19" x14ac:dyDescent="0.25">
      <c r="A8289" t="s">
        <v>30</v>
      </c>
      <c r="B8289" t="s">
        <v>31</v>
      </c>
      <c r="C8289" t="s">
        <v>32</v>
      </c>
      <c r="D8289" t="s">
        <v>953</v>
      </c>
      <c r="E8289" t="s">
        <v>7558</v>
      </c>
      <c r="F8289" t="s">
        <v>35</v>
      </c>
      <c r="G8289" t="s">
        <v>35</v>
      </c>
      <c r="H8289" t="s">
        <v>35</v>
      </c>
      <c r="J8289" t="s">
        <v>2669</v>
      </c>
      <c r="K8289" t="s">
        <v>1092</v>
      </c>
      <c r="M8289">
        <v>0.63</v>
      </c>
      <c r="N8289">
        <v>21</v>
      </c>
      <c r="O8289" t="s">
        <v>46</v>
      </c>
      <c r="Q8289" t="s">
        <v>1874</v>
      </c>
      <c r="R8289" t="s">
        <v>6720</v>
      </c>
      <c r="S8289" t="s">
        <v>961</v>
      </c>
    </row>
    <row r="8290" spans="1:19" x14ac:dyDescent="0.25">
      <c r="A8290" t="s">
        <v>44</v>
      </c>
      <c r="B8290" t="s">
        <v>3</v>
      </c>
      <c r="C8290" t="s">
        <v>32</v>
      </c>
      <c r="D8290" t="s">
        <v>953</v>
      </c>
      <c r="E8290" t="s">
        <v>7558</v>
      </c>
      <c r="F8290" t="s">
        <v>35</v>
      </c>
      <c r="G8290" t="s">
        <v>35</v>
      </c>
      <c r="H8290" t="s">
        <v>35</v>
      </c>
      <c r="J8290" t="s">
        <v>2669</v>
      </c>
      <c r="K8290" t="s">
        <v>1092</v>
      </c>
      <c r="M8290">
        <v>0.05</v>
      </c>
      <c r="N8290">
        <v>21</v>
      </c>
      <c r="O8290" t="s">
        <v>46</v>
      </c>
      <c r="Q8290" t="s">
        <v>1874</v>
      </c>
      <c r="R8290" t="s">
        <v>6720</v>
      </c>
      <c r="S8290" t="s">
        <v>961</v>
      </c>
    </row>
    <row r="8291" spans="1:19" x14ac:dyDescent="0.25">
      <c r="A8291" t="s">
        <v>59</v>
      </c>
      <c r="B8291" t="s">
        <v>60</v>
      </c>
      <c r="C8291" t="s">
        <v>32</v>
      </c>
      <c r="D8291" t="s">
        <v>953</v>
      </c>
      <c r="E8291" t="s">
        <v>7558</v>
      </c>
      <c r="F8291" t="s">
        <v>35</v>
      </c>
      <c r="G8291" t="s">
        <v>35</v>
      </c>
      <c r="H8291" t="s">
        <v>35</v>
      </c>
      <c r="J8291" t="s">
        <v>7608</v>
      </c>
      <c r="K8291" t="s">
        <v>1092</v>
      </c>
      <c r="M8291">
        <v>0.1</v>
      </c>
      <c r="N8291">
        <v>253</v>
      </c>
      <c r="O8291" t="s">
        <v>5</v>
      </c>
      <c r="Q8291" t="s">
        <v>1502</v>
      </c>
      <c r="R8291" t="s">
        <v>6720</v>
      </c>
      <c r="S8291" t="s">
        <v>961</v>
      </c>
    </row>
    <row r="8292" spans="1:19" x14ac:dyDescent="0.25">
      <c r="A8292" t="s">
        <v>59</v>
      </c>
      <c r="B8292" t="s">
        <v>60</v>
      </c>
      <c r="C8292" t="s">
        <v>32</v>
      </c>
      <c r="D8292" t="s">
        <v>953</v>
      </c>
      <c r="E8292" t="s">
        <v>7558</v>
      </c>
      <c r="F8292" t="s">
        <v>35</v>
      </c>
      <c r="G8292" t="s">
        <v>35</v>
      </c>
      <c r="H8292" t="s">
        <v>35</v>
      </c>
      <c r="J8292" t="s">
        <v>7608</v>
      </c>
      <c r="K8292" t="s">
        <v>1092</v>
      </c>
      <c r="M8292">
        <v>0.1</v>
      </c>
      <c r="N8292">
        <v>233</v>
      </c>
      <c r="O8292" t="s">
        <v>5</v>
      </c>
      <c r="Q8292" t="s">
        <v>2002</v>
      </c>
      <c r="R8292" t="s">
        <v>6720</v>
      </c>
      <c r="S8292" t="s">
        <v>961</v>
      </c>
    </row>
    <row r="8293" spans="1:19" x14ac:dyDescent="0.25">
      <c r="A8293" t="s">
        <v>59</v>
      </c>
      <c r="B8293" t="s">
        <v>31</v>
      </c>
      <c r="C8293" t="s">
        <v>32</v>
      </c>
      <c r="D8293" t="s">
        <v>953</v>
      </c>
      <c r="E8293" t="s">
        <v>7558</v>
      </c>
      <c r="F8293" t="s">
        <v>35</v>
      </c>
      <c r="G8293" t="s">
        <v>35</v>
      </c>
      <c r="H8293" t="s">
        <v>35</v>
      </c>
      <c r="J8293" t="s">
        <v>7608</v>
      </c>
      <c r="K8293" t="s">
        <v>1092</v>
      </c>
      <c r="M8293">
        <v>4.4999999999999998E-2</v>
      </c>
      <c r="N8293">
        <v>623</v>
      </c>
      <c r="O8293" t="s">
        <v>575</v>
      </c>
      <c r="Q8293" t="s">
        <v>6812</v>
      </c>
      <c r="R8293" t="s">
        <v>6720</v>
      </c>
      <c r="S8293" t="s">
        <v>961</v>
      </c>
    </row>
    <row r="8294" spans="1:19" x14ac:dyDescent="0.25">
      <c r="A8294" t="s">
        <v>59</v>
      </c>
      <c r="B8294" t="s">
        <v>60</v>
      </c>
      <c r="C8294" t="s">
        <v>32</v>
      </c>
      <c r="D8294" t="s">
        <v>953</v>
      </c>
      <c r="E8294" t="s">
        <v>7558</v>
      </c>
      <c r="F8294" t="s">
        <v>35</v>
      </c>
      <c r="G8294" t="s">
        <v>35</v>
      </c>
      <c r="H8294" t="s">
        <v>35</v>
      </c>
      <c r="J8294" t="s">
        <v>7608</v>
      </c>
      <c r="K8294" t="s">
        <v>1092</v>
      </c>
      <c r="M8294">
        <v>0.05</v>
      </c>
      <c r="N8294">
        <v>369</v>
      </c>
      <c r="O8294" t="s">
        <v>294</v>
      </c>
      <c r="Q8294" t="s">
        <v>2769</v>
      </c>
      <c r="R8294" t="s">
        <v>6720</v>
      </c>
      <c r="S8294" t="s">
        <v>961</v>
      </c>
    </row>
    <row r="8295" spans="1:19" x14ac:dyDescent="0.25">
      <c r="A8295" t="s">
        <v>59</v>
      </c>
      <c r="B8295" t="s">
        <v>60</v>
      </c>
      <c r="C8295" t="s">
        <v>32</v>
      </c>
      <c r="D8295" t="s">
        <v>953</v>
      </c>
      <c r="E8295" t="s">
        <v>7558</v>
      </c>
      <c r="F8295" t="s">
        <v>35</v>
      </c>
      <c r="G8295" t="s">
        <v>35</v>
      </c>
      <c r="H8295" t="s">
        <v>35</v>
      </c>
      <c r="J8295" t="s">
        <v>7608</v>
      </c>
      <c r="K8295" t="s">
        <v>1092</v>
      </c>
      <c r="M8295">
        <v>0.25</v>
      </c>
      <c r="N8295">
        <v>278</v>
      </c>
      <c r="O8295" t="s">
        <v>5</v>
      </c>
      <c r="Q8295" t="s">
        <v>1724</v>
      </c>
      <c r="R8295" t="s">
        <v>6720</v>
      </c>
      <c r="S8295" t="s">
        <v>961</v>
      </c>
    </row>
    <row r="8296" spans="1:19" x14ac:dyDescent="0.25">
      <c r="A8296" t="s">
        <v>30</v>
      </c>
      <c r="B8296" t="s">
        <v>31</v>
      </c>
      <c r="C8296" t="s">
        <v>32</v>
      </c>
      <c r="D8296" t="s">
        <v>953</v>
      </c>
      <c r="E8296" t="s">
        <v>7558</v>
      </c>
      <c r="F8296" t="s">
        <v>35</v>
      </c>
      <c r="G8296" t="s">
        <v>35</v>
      </c>
      <c r="H8296" t="s">
        <v>35</v>
      </c>
      <c r="J8296" t="s">
        <v>7608</v>
      </c>
      <c r="K8296" t="s">
        <v>1092</v>
      </c>
      <c r="M8296">
        <v>0.09</v>
      </c>
      <c r="N8296">
        <v>457</v>
      </c>
      <c r="O8296" t="s">
        <v>294</v>
      </c>
      <c r="Q8296" t="s">
        <v>2104</v>
      </c>
      <c r="R8296" t="s">
        <v>6720</v>
      </c>
      <c r="S8296" t="s">
        <v>961</v>
      </c>
    </row>
    <row r="8297" spans="1:19" x14ac:dyDescent="0.25">
      <c r="A8297" t="s">
        <v>59</v>
      </c>
      <c r="B8297" t="s">
        <v>60</v>
      </c>
      <c r="C8297" t="s">
        <v>32</v>
      </c>
      <c r="D8297" t="s">
        <v>953</v>
      </c>
      <c r="E8297" t="s">
        <v>7558</v>
      </c>
      <c r="F8297" t="s">
        <v>35</v>
      </c>
      <c r="G8297" t="s">
        <v>35</v>
      </c>
      <c r="H8297" t="s">
        <v>35</v>
      </c>
      <c r="J8297" t="s">
        <v>7609</v>
      </c>
      <c r="K8297" t="s">
        <v>404</v>
      </c>
      <c r="M8297">
        <v>8.7590000000000003</v>
      </c>
      <c r="N8297">
        <v>42</v>
      </c>
      <c r="O8297" t="s">
        <v>52</v>
      </c>
      <c r="Q8297" t="s">
        <v>991</v>
      </c>
      <c r="R8297" t="s">
        <v>133</v>
      </c>
      <c r="S8297" t="s">
        <v>134</v>
      </c>
    </row>
    <row r="8298" spans="1:19" x14ac:dyDescent="0.25">
      <c r="A8298" t="s">
        <v>59</v>
      </c>
      <c r="B8298" t="s">
        <v>60</v>
      </c>
      <c r="C8298" t="s">
        <v>32</v>
      </c>
      <c r="D8298" t="s">
        <v>953</v>
      </c>
      <c r="E8298" t="s">
        <v>7558</v>
      </c>
      <c r="F8298" t="s">
        <v>35</v>
      </c>
      <c r="G8298" t="s">
        <v>35</v>
      </c>
      <c r="H8298" t="s">
        <v>35</v>
      </c>
      <c r="J8298" t="s">
        <v>7610</v>
      </c>
      <c r="K8298" t="s">
        <v>404</v>
      </c>
      <c r="M8298">
        <v>7.15</v>
      </c>
      <c r="N8298">
        <v>42</v>
      </c>
      <c r="O8298" t="s">
        <v>52</v>
      </c>
      <c r="Q8298" t="s">
        <v>991</v>
      </c>
      <c r="R8298" t="s">
        <v>133</v>
      </c>
      <c r="S8298" t="s">
        <v>134</v>
      </c>
    </row>
    <row r="8299" spans="1:19" x14ac:dyDescent="0.25">
      <c r="A8299" t="s">
        <v>59</v>
      </c>
      <c r="B8299" t="s">
        <v>31</v>
      </c>
      <c r="C8299" t="s">
        <v>32</v>
      </c>
      <c r="D8299" t="s">
        <v>953</v>
      </c>
      <c r="E8299" t="s">
        <v>7558</v>
      </c>
      <c r="F8299" t="s">
        <v>35</v>
      </c>
      <c r="G8299" t="s">
        <v>35</v>
      </c>
      <c r="H8299" t="s">
        <v>35</v>
      </c>
      <c r="J8299" t="s">
        <v>7611</v>
      </c>
      <c r="K8299" t="s">
        <v>1092</v>
      </c>
      <c r="M8299">
        <v>2.1150000000000002</v>
      </c>
      <c r="N8299">
        <v>81</v>
      </c>
      <c r="O8299" t="s">
        <v>61</v>
      </c>
      <c r="Q8299" t="s">
        <v>527</v>
      </c>
      <c r="R8299" t="s">
        <v>133</v>
      </c>
      <c r="S8299" t="s">
        <v>134</v>
      </c>
    </row>
    <row r="8300" spans="1:19" x14ac:dyDescent="0.25">
      <c r="A8300" t="s">
        <v>59</v>
      </c>
      <c r="B8300" t="s">
        <v>60</v>
      </c>
      <c r="C8300" t="s">
        <v>32</v>
      </c>
      <c r="D8300" t="s">
        <v>953</v>
      </c>
      <c r="E8300" t="s">
        <v>7558</v>
      </c>
      <c r="F8300" t="s">
        <v>35</v>
      </c>
      <c r="G8300" t="s">
        <v>35</v>
      </c>
      <c r="H8300" t="s">
        <v>35</v>
      </c>
      <c r="J8300" t="s">
        <v>7611</v>
      </c>
      <c r="K8300" t="s">
        <v>1092</v>
      </c>
      <c r="M8300">
        <v>1.95</v>
      </c>
      <c r="N8300">
        <v>81</v>
      </c>
      <c r="O8300" t="s">
        <v>61</v>
      </c>
      <c r="Q8300" t="s">
        <v>527</v>
      </c>
      <c r="R8300" t="s">
        <v>133</v>
      </c>
      <c r="S8300" t="s">
        <v>134</v>
      </c>
    </row>
    <row r="8301" spans="1:19" x14ac:dyDescent="0.25">
      <c r="A8301" t="s">
        <v>44</v>
      </c>
      <c r="B8301" t="s">
        <v>51</v>
      </c>
      <c r="C8301" t="s">
        <v>32</v>
      </c>
      <c r="D8301" t="s">
        <v>953</v>
      </c>
      <c r="E8301" t="s">
        <v>7558</v>
      </c>
      <c r="F8301" t="s">
        <v>35</v>
      </c>
      <c r="G8301" t="s">
        <v>35</v>
      </c>
      <c r="H8301" t="s">
        <v>35</v>
      </c>
      <c r="J8301" t="s">
        <v>6412</v>
      </c>
      <c r="K8301" t="s">
        <v>1092</v>
      </c>
      <c r="M8301">
        <v>3.25</v>
      </c>
      <c r="N8301">
        <v>231</v>
      </c>
      <c r="O8301" t="s">
        <v>5</v>
      </c>
      <c r="Q8301" t="s">
        <v>402</v>
      </c>
      <c r="R8301" t="s">
        <v>987</v>
      </c>
      <c r="S8301" t="s">
        <v>988</v>
      </c>
    </row>
    <row r="8302" spans="1:19" x14ac:dyDescent="0.25">
      <c r="A8302" t="s">
        <v>59</v>
      </c>
      <c r="B8302" t="s">
        <v>60</v>
      </c>
      <c r="C8302" t="s">
        <v>32</v>
      </c>
      <c r="D8302" t="s">
        <v>953</v>
      </c>
      <c r="E8302" t="s">
        <v>7558</v>
      </c>
      <c r="F8302" t="s">
        <v>35</v>
      </c>
      <c r="G8302" t="s">
        <v>35</v>
      </c>
      <c r="H8302" t="s">
        <v>35</v>
      </c>
      <c r="J8302" t="s">
        <v>6412</v>
      </c>
      <c r="K8302" t="s">
        <v>1092</v>
      </c>
      <c r="M8302">
        <v>5</v>
      </c>
      <c r="N8302">
        <v>65</v>
      </c>
      <c r="O8302" t="s">
        <v>61</v>
      </c>
      <c r="Q8302" t="s">
        <v>128</v>
      </c>
      <c r="R8302" t="s">
        <v>6742</v>
      </c>
      <c r="S8302" t="s">
        <v>1016</v>
      </c>
    </row>
    <row r="8303" spans="1:19" x14ac:dyDescent="0.25">
      <c r="A8303" t="s">
        <v>30</v>
      </c>
      <c r="B8303" t="s">
        <v>31</v>
      </c>
      <c r="C8303" t="s">
        <v>32</v>
      </c>
      <c r="D8303" t="s">
        <v>953</v>
      </c>
      <c r="E8303" t="s">
        <v>7558</v>
      </c>
      <c r="F8303" t="s">
        <v>35</v>
      </c>
      <c r="G8303" t="s">
        <v>35</v>
      </c>
      <c r="H8303" t="s">
        <v>35</v>
      </c>
      <c r="J8303" t="s">
        <v>7612</v>
      </c>
      <c r="K8303" t="s">
        <v>1092</v>
      </c>
      <c r="M8303">
        <v>0.58499999999999996</v>
      </c>
      <c r="N8303">
        <v>271</v>
      </c>
      <c r="O8303" t="s">
        <v>5</v>
      </c>
      <c r="Q8303" t="s">
        <v>1881</v>
      </c>
      <c r="R8303" t="s">
        <v>7613</v>
      </c>
      <c r="S8303" t="s">
        <v>7614</v>
      </c>
    </row>
    <row r="8304" spans="1:19" x14ac:dyDescent="0.25">
      <c r="A8304" t="s">
        <v>30</v>
      </c>
      <c r="B8304" t="s">
        <v>31</v>
      </c>
      <c r="C8304" t="s">
        <v>32</v>
      </c>
      <c r="D8304" t="s">
        <v>953</v>
      </c>
      <c r="E8304" t="s">
        <v>7558</v>
      </c>
      <c r="F8304" t="s">
        <v>35</v>
      </c>
      <c r="G8304" t="s">
        <v>35</v>
      </c>
      <c r="H8304" t="s">
        <v>35</v>
      </c>
      <c r="J8304" t="s">
        <v>7615</v>
      </c>
      <c r="K8304" t="s">
        <v>1092</v>
      </c>
      <c r="M8304">
        <v>0.18</v>
      </c>
      <c r="N8304">
        <v>305</v>
      </c>
      <c r="O8304" t="s">
        <v>5</v>
      </c>
      <c r="Q8304" t="s">
        <v>4947</v>
      </c>
      <c r="R8304" t="s">
        <v>7613</v>
      </c>
      <c r="S8304" t="s">
        <v>7614</v>
      </c>
    </row>
    <row r="8305" spans="1:19" x14ac:dyDescent="0.25">
      <c r="A8305" t="s">
        <v>59</v>
      </c>
      <c r="B8305" t="s">
        <v>60</v>
      </c>
      <c r="C8305" t="s">
        <v>32</v>
      </c>
      <c r="D8305" t="s">
        <v>953</v>
      </c>
      <c r="E8305" t="s">
        <v>7558</v>
      </c>
      <c r="F8305" t="s">
        <v>35</v>
      </c>
      <c r="G8305" t="s">
        <v>35</v>
      </c>
      <c r="H8305" t="s">
        <v>35</v>
      </c>
      <c r="J8305" t="s">
        <v>7616</v>
      </c>
      <c r="K8305" t="s">
        <v>1092</v>
      </c>
      <c r="M8305">
        <v>2.5</v>
      </c>
      <c r="N8305">
        <v>82</v>
      </c>
      <c r="O8305" t="s">
        <v>61</v>
      </c>
      <c r="Q8305" t="s">
        <v>447</v>
      </c>
      <c r="R8305" t="s">
        <v>6709</v>
      </c>
      <c r="S8305" t="s">
        <v>1022</v>
      </c>
    </row>
    <row r="8306" spans="1:19" x14ac:dyDescent="0.25">
      <c r="A8306" t="s">
        <v>44</v>
      </c>
      <c r="B8306" t="s">
        <v>3</v>
      </c>
      <c r="C8306" t="s">
        <v>32</v>
      </c>
      <c r="D8306" t="s">
        <v>953</v>
      </c>
      <c r="E8306" t="s">
        <v>7558</v>
      </c>
      <c r="F8306" t="s">
        <v>35</v>
      </c>
      <c r="G8306" t="s">
        <v>35</v>
      </c>
      <c r="H8306" t="s">
        <v>35</v>
      </c>
      <c r="J8306" t="s">
        <v>7616</v>
      </c>
      <c r="K8306" t="s">
        <v>1092</v>
      </c>
      <c r="M8306">
        <v>0.1</v>
      </c>
      <c r="N8306">
        <v>15</v>
      </c>
      <c r="O8306" t="s">
        <v>46</v>
      </c>
      <c r="Q8306" t="s">
        <v>1944</v>
      </c>
      <c r="R8306" t="s">
        <v>6721</v>
      </c>
      <c r="S8306" t="s">
        <v>1078</v>
      </c>
    </row>
    <row r="8307" spans="1:19" x14ac:dyDescent="0.25">
      <c r="A8307" t="s">
        <v>59</v>
      </c>
      <c r="B8307" t="s">
        <v>31</v>
      </c>
      <c r="C8307" t="s">
        <v>32</v>
      </c>
      <c r="D8307" t="s">
        <v>953</v>
      </c>
      <c r="E8307" t="s">
        <v>7558</v>
      </c>
      <c r="F8307" t="s">
        <v>35</v>
      </c>
      <c r="G8307" t="s">
        <v>35</v>
      </c>
      <c r="H8307" t="s">
        <v>35</v>
      </c>
      <c r="J8307" t="s">
        <v>7616</v>
      </c>
      <c r="K8307" t="s">
        <v>1092</v>
      </c>
      <c r="M8307">
        <v>4.32</v>
      </c>
      <c r="N8307">
        <v>82</v>
      </c>
      <c r="O8307" t="s">
        <v>61</v>
      </c>
      <c r="Q8307" t="s">
        <v>447</v>
      </c>
      <c r="R8307" t="s">
        <v>6709</v>
      </c>
      <c r="S8307" t="s">
        <v>1022</v>
      </c>
    </row>
    <row r="8308" spans="1:19" x14ac:dyDescent="0.25">
      <c r="A8308" t="s">
        <v>44</v>
      </c>
      <c r="B8308" t="s">
        <v>3</v>
      </c>
      <c r="C8308" t="s">
        <v>32</v>
      </c>
      <c r="D8308" t="s">
        <v>953</v>
      </c>
      <c r="E8308" t="s">
        <v>7558</v>
      </c>
      <c r="F8308" t="s">
        <v>35</v>
      </c>
      <c r="G8308" t="s">
        <v>35</v>
      </c>
      <c r="H8308" t="s">
        <v>35</v>
      </c>
      <c r="J8308" t="s">
        <v>7617</v>
      </c>
      <c r="K8308" t="s">
        <v>1092</v>
      </c>
      <c r="M8308">
        <v>0.2</v>
      </c>
      <c r="N8308">
        <v>65</v>
      </c>
      <c r="O8308" t="s">
        <v>61</v>
      </c>
      <c r="Q8308" t="s">
        <v>128</v>
      </c>
      <c r="R8308" t="s">
        <v>6847</v>
      </c>
      <c r="S8308" t="s">
        <v>1034</v>
      </c>
    </row>
    <row r="8309" spans="1:19" x14ac:dyDescent="0.25">
      <c r="A8309" t="s">
        <v>59</v>
      </c>
      <c r="B8309" t="s">
        <v>31</v>
      </c>
      <c r="C8309" t="s">
        <v>32</v>
      </c>
      <c r="D8309" t="s">
        <v>953</v>
      </c>
      <c r="E8309" t="s">
        <v>7558</v>
      </c>
      <c r="F8309" t="s">
        <v>35</v>
      </c>
      <c r="G8309" t="s">
        <v>35</v>
      </c>
      <c r="H8309" t="s">
        <v>35</v>
      </c>
      <c r="J8309" t="s">
        <v>7617</v>
      </c>
      <c r="K8309" t="s">
        <v>1092</v>
      </c>
      <c r="M8309">
        <v>2.5649999999999999</v>
      </c>
      <c r="N8309">
        <v>62</v>
      </c>
      <c r="O8309" t="s">
        <v>61</v>
      </c>
      <c r="Q8309" t="s">
        <v>90</v>
      </c>
      <c r="R8309" t="s">
        <v>6847</v>
      </c>
      <c r="S8309" t="s">
        <v>1034</v>
      </c>
    </row>
    <row r="8310" spans="1:19" x14ac:dyDescent="0.25">
      <c r="A8310" t="s">
        <v>30</v>
      </c>
      <c r="B8310" t="s">
        <v>31</v>
      </c>
      <c r="C8310" t="s">
        <v>32</v>
      </c>
      <c r="D8310" t="s">
        <v>953</v>
      </c>
      <c r="E8310" t="s">
        <v>7558</v>
      </c>
      <c r="F8310" t="s">
        <v>35</v>
      </c>
      <c r="G8310" t="s">
        <v>35</v>
      </c>
      <c r="H8310" t="s">
        <v>35</v>
      </c>
      <c r="J8310" t="s">
        <v>7617</v>
      </c>
      <c r="K8310" t="s">
        <v>1092</v>
      </c>
      <c r="M8310">
        <v>9.99</v>
      </c>
      <c r="N8310">
        <v>20</v>
      </c>
      <c r="O8310" t="s">
        <v>46</v>
      </c>
      <c r="Q8310" t="s">
        <v>1004</v>
      </c>
      <c r="R8310" t="s">
        <v>6847</v>
      </c>
      <c r="S8310" t="s">
        <v>1034</v>
      </c>
    </row>
    <row r="8311" spans="1:19" x14ac:dyDescent="0.25">
      <c r="A8311" t="s">
        <v>30</v>
      </c>
      <c r="B8311" t="s">
        <v>31</v>
      </c>
      <c r="C8311" t="s">
        <v>32</v>
      </c>
      <c r="D8311" t="s">
        <v>953</v>
      </c>
      <c r="E8311" t="s">
        <v>7558</v>
      </c>
      <c r="F8311" t="s">
        <v>35</v>
      </c>
      <c r="G8311" t="s">
        <v>35</v>
      </c>
      <c r="H8311" t="s">
        <v>35</v>
      </c>
      <c r="J8311" t="s">
        <v>7617</v>
      </c>
      <c r="K8311" t="s">
        <v>1092</v>
      </c>
      <c r="M8311">
        <v>7.29</v>
      </c>
      <c r="N8311">
        <v>48</v>
      </c>
      <c r="O8311" t="s">
        <v>52</v>
      </c>
      <c r="Q8311" t="s">
        <v>496</v>
      </c>
      <c r="R8311" t="s">
        <v>6847</v>
      </c>
      <c r="S8311" t="s">
        <v>1034</v>
      </c>
    </row>
    <row r="8312" spans="1:19" x14ac:dyDescent="0.25">
      <c r="A8312" t="s">
        <v>59</v>
      </c>
      <c r="B8312" t="s">
        <v>60</v>
      </c>
      <c r="C8312" t="s">
        <v>32</v>
      </c>
      <c r="D8312" t="s">
        <v>953</v>
      </c>
      <c r="E8312" t="s">
        <v>7558</v>
      </c>
      <c r="F8312" t="s">
        <v>35</v>
      </c>
      <c r="G8312" t="s">
        <v>35</v>
      </c>
      <c r="H8312" t="s">
        <v>35</v>
      </c>
      <c r="J8312" t="s">
        <v>7618</v>
      </c>
      <c r="K8312" t="s">
        <v>1092</v>
      </c>
      <c r="M8312">
        <v>0.6</v>
      </c>
      <c r="N8312">
        <v>82</v>
      </c>
      <c r="O8312" t="s">
        <v>61</v>
      </c>
      <c r="Q8312" t="s">
        <v>447</v>
      </c>
      <c r="R8312" t="s">
        <v>6709</v>
      </c>
      <c r="S8312" t="s">
        <v>1022</v>
      </c>
    </row>
    <row r="8313" spans="1:19" x14ac:dyDescent="0.25">
      <c r="A8313" t="s">
        <v>59</v>
      </c>
      <c r="B8313" t="s">
        <v>60</v>
      </c>
      <c r="C8313" t="s">
        <v>32</v>
      </c>
      <c r="D8313" t="s">
        <v>953</v>
      </c>
      <c r="E8313" t="s">
        <v>1077</v>
      </c>
      <c r="F8313" t="s">
        <v>35</v>
      </c>
      <c r="G8313" t="s">
        <v>35</v>
      </c>
      <c r="H8313" t="s">
        <v>35</v>
      </c>
      <c r="J8313" t="s">
        <v>7619</v>
      </c>
      <c r="K8313" t="s">
        <v>404</v>
      </c>
      <c r="M8313">
        <v>5</v>
      </c>
      <c r="N8313">
        <v>44</v>
      </c>
      <c r="O8313" t="s">
        <v>52</v>
      </c>
      <c r="Q8313" t="s">
        <v>192</v>
      </c>
      <c r="R8313" t="s">
        <v>133</v>
      </c>
      <c r="S8313" t="s">
        <v>134</v>
      </c>
    </row>
    <row r="8314" spans="1:19" x14ac:dyDescent="0.25">
      <c r="A8314" t="s">
        <v>59</v>
      </c>
      <c r="B8314" t="s">
        <v>60</v>
      </c>
      <c r="C8314" t="s">
        <v>32</v>
      </c>
      <c r="D8314" t="s">
        <v>953</v>
      </c>
      <c r="E8314" t="s">
        <v>1077</v>
      </c>
      <c r="F8314" t="s">
        <v>35</v>
      </c>
      <c r="G8314" t="s">
        <v>35</v>
      </c>
      <c r="H8314" t="s">
        <v>35</v>
      </c>
      <c r="J8314" t="s">
        <v>7619</v>
      </c>
      <c r="K8314" t="s">
        <v>404</v>
      </c>
      <c r="M8314">
        <v>10</v>
      </c>
      <c r="N8314">
        <v>42</v>
      </c>
      <c r="O8314" t="s">
        <v>52</v>
      </c>
      <c r="Q8314" t="s">
        <v>991</v>
      </c>
      <c r="R8314" t="s">
        <v>133</v>
      </c>
      <c r="S8314" t="s">
        <v>134</v>
      </c>
    </row>
    <row r="8315" spans="1:19" x14ac:dyDescent="0.25">
      <c r="A8315" t="s">
        <v>44</v>
      </c>
      <c r="B8315" t="s">
        <v>3</v>
      </c>
      <c r="C8315" t="s">
        <v>32</v>
      </c>
      <c r="D8315" t="s">
        <v>953</v>
      </c>
      <c r="E8315" t="s">
        <v>1077</v>
      </c>
      <c r="F8315" t="s">
        <v>35</v>
      </c>
      <c r="G8315" t="s">
        <v>35</v>
      </c>
      <c r="H8315" t="s">
        <v>35</v>
      </c>
      <c r="J8315" t="s">
        <v>7619</v>
      </c>
      <c r="K8315" t="s">
        <v>404</v>
      </c>
      <c r="M8315">
        <v>5</v>
      </c>
      <c r="N8315">
        <v>44</v>
      </c>
      <c r="O8315" t="s">
        <v>52</v>
      </c>
      <c r="Q8315" t="s">
        <v>192</v>
      </c>
      <c r="R8315" t="s">
        <v>133</v>
      </c>
      <c r="S8315" t="s">
        <v>134</v>
      </c>
    </row>
    <row r="8316" spans="1:19" x14ac:dyDescent="0.25">
      <c r="A8316" t="s">
        <v>59</v>
      </c>
      <c r="B8316" t="s">
        <v>60</v>
      </c>
      <c r="C8316" t="s">
        <v>32</v>
      </c>
      <c r="D8316" t="s">
        <v>953</v>
      </c>
      <c r="E8316" t="s">
        <v>1077</v>
      </c>
      <c r="F8316" t="s">
        <v>35</v>
      </c>
      <c r="G8316" t="s">
        <v>35</v>
      </c>
      <c r="H8316" t="s">
        <v>35</v>
      </c>
      <c r="J8316" t="s">
        <v>7619</v>
      </c>
      <c r="K8316" t="s">
        <v>404</v>
      </c>
      <c r="M8316">
        <v>4.5</v>
      </c>
      <c r="N8316">
        <v>418</v>
      </c>
      <c r="O8316" t="s">
        <v>294</v>
      </c>
      <c r="Q8316" t="s">
        <v>6204</v>
      </c>
      <c r="R8316" t="s">
        <v>133</v>
      </c>
      <c r="S8316" t="s">
        <v>134</v>
      </c>
    </row>
    <row r="8317" spans="1:19" x14ac:dyDescent="0.25">
      <c r="A8317" t="s">
        <v>44</v>
      </c>
      <c r="B8317" t="s">
        <v>3</v>
      </c>
      <c r="C8317" t="s">
        <v>32</v>
      </c>
      <c r="D8317" t="s">
        <v>953</v>
      </c>
      <c r="E8317" t="s">
        <v>1077</v>
      </c>
      <c r="F8317" t="s">
        <v>35</v>
      </c>
      <c r="G8317" t="s">
        <v>35</v>
      </c>
      <c r="H8317" t="s">
        <v>35</v>
      </c>
      <c r="J8317" t="s">
        <v>7620</v>
      </c>
      <c r="K8317" t="s">
        <v>1092</v>
      </c>
      <c r="M8317">
        <v>6.85</v>
      </c>
      <c r="N8317">
        <v>62</v>
      </c>
      <c r="O8317" t="s">
        <v>61</v>
      </c>
      <c r="Q8317" t="s">
        <v>90</v>
      </c>
      <c r="R8317" t="s">
        <v>6742</v>
      </c>
      <c r="S8317" t="s">
        <v>1016</v>
      </c>
    </row>
    <row r="8318" spans="1:19" x14ac:dyDescent="0.25">
      <c r="A8318" t="s">
        <v>59</v>
      </c>
      <c r="B8318" t="s">
        <v>60</v>
      </c>
      <c r="C8318" t="s">
        <v>32</v>
      </c>
      <c r="D8318" t="s">
        <v>953</v>
      </c>
      <c r="E8318" t="s">
        <v>1077</v>
      </c>
      <c r="F8318" t="s">
        <v>35</v>
      </c>
      <c r="G8318" t="s">
        <v>35</v>
      </c>
      <c r="H8318" t="s">
        <v>35</v>
      </c>
      <c r="J8318" t="s">
        <v>7620</v>
      </c>
      <c r="K8318" t="s">
        <v>1092</v>
      </c>
      <c r="M8318">
        <v>0.45</v>
      </c>
      <c r="N8318">
        <v>65</v>
      </c>
      <c r="O8318" t="s">
        <v>61</v>
      </c>
      <c r="Q8318" t="s">
        <v>128</v>
      </c>
      <c r="R8318" t="s">
        <v>6742</v>
      </c>
      <c r="S8318" t="s">
        <v>1016</v>
      </c>
    </row>
    <row r="8319" spans="1:19" x14ac:dyDescent="0.25">
      <c r="A8319" t="s">
        <v>30</v>
      </c>
      <c r="B8319" t="s">
        <v>31</v>
      </c>
      <c r="C8319" t="s">
        <v>32</v>
      </c>
      <c r="D8319" t="s">
        <v>953</v>
      </c>
      <c r="E8319" t="s">
        <v>1077</v>
      </c>
      <c r="F8319" t="s">
        <v>35</v>
      </c>
      <c r="G8319" t="s">
        <v>35</v>
      </c>
      <c r="H8319" t="s">
        <v>35</v>
      </c>
      <c r="J8319" t="s">
        <v>7620</v>
      </c>
      <c r="K8319" t="s">
        <v>1092</v>
      </c>
      <c r="M8319">
        <v>8.7750000000000004</v>
      </c>
      <c r="N8319">
        <v>23</v>
      </c>
      <c r="O8319" t="s">
        <v>46</v>
      </c>
      <c r="Q8319" t="s">
        <v>1819</v>
      </c>
      <c r="R8319" t="s">
        <v>6742</v>
      </c>
      <c r="S8319" t="s">
        <v>1016</v>
      </c>
    </row>
    <row r="8320" spans="1:19" x14ac:dyDescent="0.25">
      <c r="A8320" t="s">
        <v>30</v>
      </c>
      <c r="B8320" t="s">
        <v>31</v>
      </c>
      <c r="C8320" t="s">
        <v>32</v>
      </c>
      <c r="D8320" t="s">
        <v>953</v>
      </c>
      <c r="E8320" t="s">
        <v>1077</v>
      </c>
      <c r="F8320" t="s">
        <v>35</v>
      </c>
      <c r="G8320" t="s">
        <v>35</v>
      </c>
      <c r="H8320" t="s">
        <v>35</v>
      </c>
      <c r="J8320" t="s">
        <v>7621</v>
      </c>
      <c r="K8320" t="s">
        <v>1092</v>
      </c>
      <c r="M8320">
        <v>9.99</v>
      </c>
      <c r="N8320">
        <v>20</v>
      </c>
      <c r="O8320" t="s">
        <v>46</v>
      </c>
      <c r="Q8320" t="s">
        <v>1004</v>
      </c>
      <c r="R8320" t="s">
        <v>133</v>
      </c>
      <c r="S8320" t="s">
        <v>134</v>
      </c>
    </row>
    <row r="8321" spans="1:19" x14ac:dyDescent="0.25">
      <c r="A8321" t="s">
        <v>44</v>
      </c>
      <c r="B8321" t="s">
        <v>3</v>
      </c>
      <c r="C8321" t="s">
        <v>32</v>
      </c>
      <c r="D8321" t="s">
        <v>953</v>
      </c>
      <c r="E8321" t="s">
        <v>1077</v>
      </c>
      <c r="F8321" t="s">
        <v>35</v>
      </c>
      <c r="G8321" t="s">
        <v>35</v>
      </c>
      <c r="H8321" t="s">
        <v>35</v>
      </c>
      <c r="J8321" t="s">
        <v>7621</v>
      </c>
      <c r="K8321" t="s">
        <v>1092</v>
      </c>
      <c r="M8321">
        <v>5</v>
      </c>
      <c r="N8321">
        <v>32</v>
      </c>
      <c r="O8321" t="s">
        <v>52</v>
      </c>
      <c r="Q8321" t="s">
        <v>547</v>
      </c>
      <c r="R8321" t="s">
        <v>133</v>
      </c>
      <c r="S8321" t="s">
        <v>134</v>
      </c>
    </row>
    <row r="8322" spans="1:19" x14ac:dyDescent="0.25">
      <c r="A8322" t="s">
        <v>59</v>
      </c>
      <c r="B8322" t="s">
        <v>60</v>
      </c>
      <c r="C8322" t="s">
        <v>32</v>
      </c>
      <c r="D8322" t="s">
        <v>953</v>
      </c>
      <c r="E8322" t="s">
        <v>1077</v>
      </c>
      <c r="F8322" t="s">
        <v>35</v>
      </c>
      <c r="G8322" t="s">
        <v>35</v>
      </c>
      <c r="H8322" t="s">
        <v>35</v>
      </c>
      <c r="J8322" t="s">
        <v>7621</v>
      </c>
      <c r="K8322" t="s">
        <v>1092</v>
      </c>
      <c r="M8322">
        <v>0.5</v>
      </c>
      <c r="N8322">
        <v>59</v>
      </c>
      <c r="O8322" t="s">
        <v>52</v>
      </c>
      <c r="Q8322" t="s">
        <v>84</v>
      </c>
      <c r="R8322" t="s">
        <v>133</v>
      </c>
      <c r="S8322" t="s">
        <v>134</v>
      </c>
    </row>
    <row r="8323" spans="1:19" x14ac:dyDescent="0.25">
      <c r="A8323" t="s">
        <v>59</v>
      </c>
      <c r="B8323" t="s">
        <v>60</v>
      </c>
      <c r="C8323" t="s">
        <v>32</v>
      </c>
      <c r="D8323" t="s">
        <v>953</v>
      </c>
      <c r="E8323" t="s">
        <v>1077</v>
      </c>
      <c r="F8323" t="s">
        <v>35</v>
      </c>
      <c r="G8323" t="s">
        <v>35</v>
      </c>
      <c r="H8323" t="s">
        <v>35</v>
      </c>
      <c r="J8323" t="s">
        <v>7622</v>
      </c>
      <c r="K8323" t="s">
        <v>1092</v>
      </c>
      <c r="M8323">
        <v>0.1</v>
      </c>
      <c r="N8323">
        <v>80</v>
      </c>
      <c r="O8323" t="s">
        <v>61</v>
      </c>
      <c r="Q8323" t="s">
        <v>477</v>
      </c>
      <c r="R8323" t="s">
        <v>6847</v>
      </c>
      <c r="S8323" t="s">
        <v>1034</v>
      </c>
    </row>
    <row r="8324" spans="1:19" x14ac:dyDescent="0.25">
      <c r="A8324" t="s">
        <v>44</v>
      </c>
      <c r="B8324" t="s">
        <v>3</v>
      </c>
      <c r="C8324" t="s">
        <v>32</v>
      </c>
      <c r="D8324" t="s">
        <v>953</v>
      </c>
      <c r="E8324" t="s">
        <v>1077</v>
      </c>
      <c r="F8324" t="s">
        <v>35</v>
      </c>
      <c r="G8324" t="s">
        <v>35</v>
      </c>
      <c r="H8324" t="s">
        <v>35</v>
      </c>
      <c r="J8324" t="s">
        <v>7622</v>
      </c>
      <c r="K8324" t="s">
        <v>1092</v>
      </c>
      <c r="M8324">
        <v>0.8</v>
      </c>
      <c r="N8324">
        <v>33</v>
      </c>
      <c r="O8324" t="s">
        <v>52</v>
      </c>
      <c r="Q8324" t="s">
        <v>137</v>
      </c>
      <c r="R8324" t="s">
        <v>6847</v>
      </c>
      <c r="S8324" t="s">
        <v>1034</v>
      </c>
    </row>
    <row r="8325" spans="1:19" x14ac:dyDescent="0.25">
      <c r="A8325" t="s">
        <v>44</v>
      </c>
      <c r="B8325" t="s">
        <v>3</v>
      </c>
      <c r="C8325" t="s">
        <v>32</v>
      </c>
      <c r="D8325" t="s">
        <v>953</v>
      </c>
      <c r="E8325" t="s">
        <v>1077</v>
      </c>
      <c r="F8325" t="s">
        <v>35</v>
      </c>
      <c r="G8325" t="s">
        <v>35</v>
      </c>
      <c r="H8325" t="s">
        <v>35</v>
      </c>
      <c r="J8325" t="s">
        <v>7623</v>
      </c>
      <c r="K8325" t="s">
        <v>1092</v>
      </c>
      <c r="M8325">
        <v>2.6</v>
      </c>
      <c r="N8325">
        <v>62</v>
      </c>
      <c r="O8325" t="s">
        <v>61</v>
      </c>
      <c r="Q8325" t="s">
        <v>90</v>
      </c>
      <c r="R8325" t="s">
        <v>6709</v>
      </c>
      <c r="S8325" t="s">
        <v>1022</v>
      </c>
    </row>
    <row r="8326" spans="1:19" x14ac:dyDescent="0.25">
      <c r="A8326" t="s">
        <v>30</v>
      </c>
      <c r="B8326" t="s">
        <v>31</v>
      </c>
      <c r="C8326" t="s">
        <v>32</v>
      </c>
      <c r="D8326" t="s">
        <v>953</v>
      </c>
      <c r="E8326" t="s">
        <v>1077</v>
      </c>
      <c r="F8326" t="s">
        <v>35</v>
      </c>
      <c r="G8326" t="s">
        <v>35</v>
      </c>
      <c r="H8326" t="s">
        <v>35</v>
      </c>
      <c r="J8326" t="s">
        <v>7623</v>
      </c>
      <c r="K8326" t="s">
        <v>1092</v>
      </c>
      <c r="M8326">
        <v>10.395</v>
      </c>
      <c r="N8326">
        <v>45</v>
      </c>
      <c r="O8326" t="s">
        <v>52</v>
      </c>
      <c r="Q8326" t="s">
        <v>716</v>
      </c>
      <c r="R8326" t="s">
        <v>6709</v>
      </c>
      <c r="S8326" t="s">
        <v>1022</v>
      </c>
    </row>
    <row r="8327" spans="1:19" x14ac:dyDescent="0.25">
      <c r="A8327" t="s">
        <v>44</v>
      </c>
      <c r="B8327" t="s">
        <v>3</v>
      </c>
      <c r="C8327" t="s">
        <v>32</v>
      </c>
      <c r="D8327" t="s">
        <v>953</v>
      </c>
      <c r="E8327" t="s">
        <v>1077</v>
      </c>
      <c r="F8327" t="s">
        <v>35</v>
      </c>
      <c r="G8327" t="s">
        <v>35</v>
      </c>
      <c r="H8327" t="s">
        <v>35</v>
      </c>
      <c r="J8327" t="s">
        <v>2787</v>
      </c>
      <c r="K8327" t="s">
        <v>1092</v>
      </c>
      <c r="M8327">
        <v>5</v>
      </c>
      <c r="N8327">
        <v>62</v>
      </c>
      <c r="O8327" t="s">
        <v>61</v>
      </c>
      <c r="Q8327" t="s">
        <v>90</v>
      </c>
      <c r="R8327" t="s">
        <v>6709</v>
      </c>
      <c r="S8327" t="s">
        <v>1022</v>
      </c>
    </row>
    <row r="8328" spans="1:19" x14ac:dyDescent="0.25">
      <c r="A8328" t="s">
        <v>44</v>
      </c>
      <c r="B8328" t="s">
        <v>51</v>
      </c>
      <c r="C8328" t="s">
        <v>32</v>
      </c>
      <c r="D8328" t="s">
        <v>953</v>
      </c>
      <c r="E8328" t="s">
        <v>1077</v>
      </c>
      <c r="F8328" t="s">
        <v>35</v>
      </c>
      <c r="G8328" t="s">
        <v>35</v>
      </c>
      <c r="H8328" t="s">
        <v>35</v>
      </c>
      <c r="J8328" t="s">
        <v>7624</v>
      </c>
      <c r="K8328" t="s">
        <v>1092</v>
      </c>
      <c r="M8328">
        <v>20</v>
      </c>
      <c r="N8328">
        <v>61</v>
      </c>
      <c r="O8328" t="s">
        <v>61</v>
      </c>
      <c r="Q8328" t="s">
        <v>671</v>
      </c>
      <c r="R8328" t="s">
        <v>6847</v>
      </c>
      <c r="S8328" t="s">
        <v>1034</v>
      </c>
    </row>
    <row r="8329" spans="1:19" x14ac:dyDescent="0.25">
      <c r="A8329" t="s">
        <v>44</v>
      </c>
      <c r="B8329" t="s">
        <v>3</v>
      </c>
      <c r="C8329" t="s">
        <v>32</v>
      </c>
      <c r="D8329" t="s">
        <v>953</v>
      </c>
      <c r="E8329" t="s">
        <v>1077</v>
      </c>
      <c r="F8329" t="s">
        <v>35</v>
      </c>
      <c r="G8329" t="s">
        <v>35</v>
      </c>
      <c r="H8329" t="s">
        <v>35</v>
      </c>
      <c r="J8329" t="s">
        <v>7624</v>
      </c>
      <c r="K8329" t="s">
        <v>1092</v>
      </c>
      <c r="M8329">
        <v>10</v>
      </c>
      <c r="N8329">
        <v>65</v>
      </c>
      <c r="O8329" t="s">
        <v>61</v>
      </c>
      <c r="Q8329" t="s">
        <v>128</v>
      </c>
      <c r="R8329" t="s">
        <v>6847</v>
      </c>
      <c r="S8329" t="s">
        <v>1034</v>
      </c>
    </row>
    <row r="8330" spans="1:19" x14ac:dyDescent="0.25">
      <c r="A8330" t="s">
        <v>59</v>
      </c>
      <c r="B8330" t="s">
        <v>31</v>
      </c>
      <c r="C8330" t="s">
        <v>32</v>
      </c>
      <c r="D8330" t="s">
        <v>953</v>
      </c>
      <c r="E8330" t="s">
        <v>1077</v>
      </c>
      <c r="F8330" t="s">
        <v>35</v>
      </c>
      <c r="G8330" t="s">
        <v>35</v>
      </c>
      <c r="H8330" t="s">
        <v>35</v>
      </c>
      <c r="J8330" t="s">
        <v>7624</v>
      </c>
      <c r="K8330" t="s">
        <v>1092</v>
      </c>
      <c r="M8330">
        <v>4.9950000000000001</v>
      </c>
      <c r="N8330">
        <v>150</v>
      </c>
      <c r="O8330" t="s">
        <v>38</v>
      </c>
      <c r="Q8330" t="s">
        <v>1612</v>
      </c>
      <c r="R8330" t="s">
        <v>6847</v>
      </c>
      <c r="S8330" t="s">
        <v>1034</v>
      </c>
    </row>
    <row r="8331" spans="1:19" x14ac:dyDescent="0.25">
      <c r="A8331" t="s">
        <v>59</v>
      </c>
      <c r="B8331" t="s">
        <v>60</v>
      </c>
      <c r="C8331" t="s">
        <v>32</v>
      </c>
      <c r="D8331" t="s">
        <v>953</v>
      </c>
      <c r="E8331" t="s">
        <v>1077</v>
      </c>
      <c r="F8331" t="s">
        <v>35</v>
      </c>
      <c r="G8331" t="s">
        <v>35</v>
      </c>
      <c r="H8331" t="s">
        <v>35</v>
      </c>
      <c r="J8331" t="s">
        <v>7624</v>
      </c>
      <c r="K8331" t="s">
        <v>1092</v>
      </c>
      <c r="M8331">
        <v>3.05</v>
      </c>
      <c r="N8331">
        <v>62</v>
      </c>
      <c r="O8331" t="s">
        <v>61</v>
      </c>
      <c r="Q8331" t="s">
        <v>90</v>
      </c>
      <c r="R8331" t="s">
        <v>6847</v>
      </c>
      <c r="S8331" t="s">
        <v>1034</v>
      </c>
    </row>
    <row r="8332" spans="1:19" x14ac:dyDescent="0.25">
      <c r="A8332" t="s">
        <v>30</v>
      </c>
      <c r="B8332" t="s">
        <v>31</v>
      </c>
      <c r="C8332" t="s">
        <v>32</v>
      </c>
      <c r="D8332" t="s">
        <v>953</v>
      </c>
      <c r="E8332" t="s">
        <v>1077</v>
      </c>
      <c r="F8332" t="s">
        <v>35</v>
      </c>
      <c r="G8332" t="s">
        <v>35</v>
      </c>
      <c r="H8332" t="s">
        <v>35</v>
      </c>
      <c r="J8332" t="s">
        <v>7624</v>
      </c>
      <c r="K8332" t="s">
        <v>1092</v>
      </c>
      <c r="M8332">
        <v>10.98</v>
      </c>
      <c r="N8332">
        <v>48</v>
      </c>
      <c r="O8332" t="s">
        <v>52</v>
      </c>
      <c r="Q8332" t="s">
        <v>496</v>
      </c>
      <c r="R8332" t="s">
        <v>6847</v>
      </c>
      <c r="S8332" t="s">
        <v>1034</v>
      </c>
    </row>
    <row r="8333" spans="1:19" x14ac:dyDescent="0.25">
      <c r="A8333" t="s">
        <v>44</v>
      </c>
      <c r="B8333" t="s">
        <v>51</v>
      </c>
      <c r="C8333" t="s">
        <v>32</v>
      </c>
      <c r="D8333" t="s">
        <v>953</v>
      </c>
      <c r="E8333" t="s">
        <v>1077</v>
      </c>
      <c r="F8333" t="s">
        <v>35</v>
      </c>
      <c r="G8333" t="s">
        <v>35</v>
      </c>
      <c r="H8333" t="s">
        <v>35</v>
      </c>
      <c r="J8333" t="s">
        <v>7625</v>
      </c>
      <c r="K8333" t="s">
        <v>1092</v>
      </c>
      <c r="M8333">
        <v>6</v>
      </c>
      <c r="N8333">
        <v>61</v>
      </c>
      <c r="O8333" t="s">
        <v>61</v>
      </c>
      <c r="Q8333" t="s">
        <v>671</v>
      </c>
      <c r="R8333" t="s">
        <v>6847</v>
      </c>
      <c r="S8333" t="s">
        <v>1034</v>
      </c>
    </row>
    <row r="8334" spans="1:19" x14ac:dyDescent="0.25">
      <c r="A8334" t="s">
        <v>59</v>
      </c>
      <c r="B8334" t="s">
        <v>60</v>
      </c>
      <c r="C8334" t="s">
        <v>32</v>
      </c>
      <c r="D8334" t="s">
        <v>953</v>
      </c>
      <c r="E8334" t="s">
        <v>1077</v>
      </c>
      <c r="F8334" t="s">
        <v>35</v>
      </c>
      <c r="G8334" t="s">
        <v>35</v>
      </c>
      <c r="H8334" t="s">
        <v>35</v>
      </c>
      <c r="J8334" t="s">
        <v>7625</v>
      </c>
      <c r="K8334" t="s">
        <v>1092</v>
      </c>
      <c r="M8334">
        <v>2.0499999999999998</v>
      </c>
      <c r="N8334">
        <v>90</v>
      </c>
      <c r="O8334" t="s">
        <v>61</v>
      </c>
      <c r="Q8334" t="s">
        <v>897</v>
      </c>
      <c r="R8334" t="s">
        <v>6847</v>
      </c>
      <c r="S8334" t="s">
        <v>1034</v>
      </c>
    </row>
    <row r="8335" spans="1:19" x14ac:dyDescent="0.25">
      <c r="A8335" t="s">
        <v>30</v>
      </c>
      <c r="B8335" t="s">
        <v>31</v>
      </c>
      <c r="C8335" t="s">
        <v>32</v>
      </c>
      <c r="D8335" t="s">
        <v>953</v>
      </c>
      <c r="E8335" t="s">
        <v>1077</v>
      </c>
      <c r="F8335" t="s">
        <v>35</v>
      </c>
      <c r="G8335" t="s">
        <v>35</v>
      </c>
      <c r="H8335" t="s">
        <v>35</v>
      </c>
      <c r="J8335" t="s">
        <v>7625</v>
      </c>
      <c r="K8335" t="s">
        <v>1092</v>
      </c>
      <c r="M8335">
        <v>9.6300000000000008</v>
      </c>
      <c r="N8335">
        <v>20</v>
      </c>
      <c r="O8335" t="s">
        <v>46</v>
      </c>
      <c r="Q8335" t="s">
        <v>1004</v>
      </c>
      <c r="R8335" t="s">
        <v>6847</v>
      </c>
      <c r="S8335" t="s">
        <v>1034</v>
      </c>
    </row>
    <row r="8336" spans="1:19" x14ac:dyDescent="0.25">
      <c r="A8336" t="s">
        <v>44</v>
      </c>
      <c r="B8336" t="s">
        <v>3</v>
      </c>
      <c r="C8336" t="s">
        <v>32</v>
      </c>
      <c r="D8336" t="s">
        <v>953</v>
      </c>
      <c r="E8336" t="s">
        <v>1077</v>
      </c>
      <c r="F8336" t="s">
        <v>35</v>
      </c>
      <c r="G8336" t="s">
        <v>35</v>
      </c>
      <c r="H8336" t="s">
        <v>35</v>
      </c>
      <c r="J8336" t="s">
        <v>7625</v>
      </c>
      <c r="K8336" t="s">
        <v>1092</v>
      </c>
      <c r="M8336">
        <v>4.75</v>
      </c>
      <c r="N8336">
        <v>65</v>
      </c>
      <c r="O8336" t="s">
        <v>61</v>
      </c>
      <c r="Q8336" t="s">
        <v>128</v>
      </c>
      <c r="R8336" t="s">
        <v>6847</v>
      </c>
      <c r="S8336" t="s">
        <v>1034</v>
      </c>
    </row>
    <row r="8337" spans="1:19" x14ac:dyDescent="0.25">
      <c r="A8337" t="s">
        <v>59</v>
      </c>
      <c r="B8337" t="s">
        <v>31</v>
      </c>
      <c r="C8337" t="s">
        <v>32</v>
      </c>
      <c r="D8337" t="s">
        <v>953</v>
      </c>
      <c r="E8337" t="s">
        <v>1077</v>
      </c>
      <c r="F8337" t="s">
        <v>35</v>
      </c>
      <c r="G8337" t="s">
        <v>35</v>
      </c>
      <c r="H8337" t="s">
        <v>35</v>
      </c>
      <c r="J8337" t="s">
        <v>7625</v>
      </c>
      <c r="K8337" t="s">
        <v>1092</v>
      </c>
      <c r="M8337">
        <v>2.4750000000000001</v>
      </c>
      <c r="N8337">
        <v>62</v>
      </c>
      <c r="O8337" t="s">
        <v>61</v>
      </c>
      <c r="Q8337" t="s">
        <v>90</v>
      </c>
      <c r="R8337" t="s">
        <v>6847</v>
      </c>
      <c r="S8337" t="s">
        <v>1034</v>
      </c>
    </row>
    <row r="8338" spans="1:19" x14ac:dyDescent="0.25">
      <c r="A8338" t="s">
        <v>59</v>
      </c>
      <c r="B8338" t="s">
        <v>60</v>
      </c>
      <c r="C8338" t="s">
        <v>32</v>
      </c>
      <c r="D8338" t="s">
        <v>953</v>
      </c>
      <c r="E8338" t="s">
        <v>1077</v>
      </c>
      <c r="F8338" t="s">
        <v>35</v>
      </c>
      <c r="G8338" t="s">
        <v>35</v>
      </c>
      <c r="H8338" t="s">
        <v>35</v>
      </c>
      <c r="J8338" t="s">
        <v>7626</v>
      </c>
      <c r="K8338" t="s">
        <v>1092</v>
      </c>
      <c r="M8338">
        <v>0.5</v>
      </c>
      <c r="N8338">
        <v>187</v>
      </c>
      <c r="O8338" t="s">
        <v>5</v>
      </c>
      <c r="Q8338" t="s">
        <v>1798</v>
      </c>
      <c r="R8338" t="s">
        <v>6939</v>
      </c>
      <c r="S8338" t="s">
        <v>969</v>
      </c>
    </row>
    <row r="8339" spans="1:19" x14ac:dyDescent="0.25">
      <c r="A8339" t="s">
        <v>59</v>
      </c>
      <c r="B8339" t="s">
        <v>31</v>
      </c>
      <c r="C8339" t="s">
        <v>32</v>
      </c>
      <c r="D8339" t="s">
        <v>953</v>
      </c>
      <c r="E8339" t="s">
        <v>1077</v>
      </c>
      <c r="F8339" t="s">
        <v>35</v>
      </c>
      <c r="G8339" t="s">
        <v>35</v>
      </c>
      <c r="H8339" t="s">
        <v>35</v>
      </c>
      <c r="J8339" t="s">
        <v>7626</v>
      </c>
      <c r="K8339" t="s">
        <v>1092</v>
      </c>
      <c r="M8339">
        <v>1.53</v>
      </c>
      <c r="N8339">
        <v>135</v>
      </c>
      <c r="O8339" t="s">
        <v>38</v>
      </c>
      <c r="Q8339" t="s">
        <v>98</v>
      </c>
      <c r="R8339" t="s">
        <v>6939</v>
      </c>
      <c r="S8339" t="s">
        <v>969</v>
      </c>
    </row>
    <row r="8340" spans="1:19" x14ac:dyDescent="0.25">
      <c r="A8340" t="s">
        <v>59</v>
      </c>
      <c r="B8340" t="s">
        <v>60</v>
      </c>
      <c r="C8340" t="s">
        <v>32</v>
      </c>
      <c r="D8340" t="s">
        <v>953</v>
      </c>
      <c r="E8340" t="s">
        <v>1077</v>
      </c>
      <c r="F8340" t="s">
        <v>35</v>
      </c>
      <c r="G8340" t="s">
        <v>35</v>
      </c>
      <c r="H8340" t="s">
        <v>35</v>
      </c>
      <c r="J8340" t="s">
        <v>7626</v>
      </c>
      <c r="K8340" t="s">
        <v>1092</v>
      </c>
      <c r="M8340">
        <v>2</v>
      </c>
      <c r="N8340">
        <v>135</v>
      </c>
      <c r="O8340" t="s">
        <v>38</v>
      </c>
      <c r="Q8340" t="s">
        <v>98</v>
      </c>
      <c r="R8340" t="s">
        <v>6939</v>
      </c>
      <c r="S8340" t="s">
        <v>969</v>
      </c>
    </row>
    <row r="8341" spans="1:19" x14ac:dyDescent="0.25">
      <c r="A8341" t="s">
        <v>59</v>
      </c>
      <c r="B8341" t="s">
        <v>31</v>
      </c>
      <c r="C8341" t="s">
        <v>32</v>
      </c>
      <c r="D8341" t="s">
        <v>953</v>
      </c>
      <c r="E8341" t="s">
        <v>1077</v>
      </c>
      <c r="F8341" t="s">
        <v>35</v>
      </c>
      <c r="G8341" t="s">
        <v>35</v>
      </c>
      <c r="H8341" t="s">
        <v>35</v>
      </c>
      <c r="J8341" t="s">
        <v>7627</v>
      </c>
      <c r="K8341" t="s">
        <v>1092</v>
      </c>
      <c r="M8341">
        <v>2.97</v>
      </c>
      <c r="N8341">
        <v>146</v>
      </c>
      <c r="O8341" t="s">
        <v>38</v>
      </c>
      <c r="Q8341" t="s">
        <v>1335</v>
      </c>
      <c r="R8341" t="s">
        <v>6709</v>
      </c>
      <c r="S8341" t="s">
        <v>1022</v>
      </c>
    </row>
    <row r="8342" spans="1:19" x14ac:dyDescent="0.25">
      <c r="A8342" t="s">
        <v>44</v>
      </c>
      <c r="B8342" t="s">
        <v>3</v>
      </c>
      <c r="C8342" t="s">
        <v>32</v>
      </c>
      <c r="D8342" t="s">
        <v>953</v>
      </c>
      <c r="E8342" t="s">
        <v>1077</v>
      </c>
      <c r="F8342" t="s">
        <v>35</v>
      </c>
      <c r="G8342" t="s">
        <v>35</v>
      </c>
      <c r="H8342" t="s">
        <v>35</v>
      </c>
      <c r="J8342" t="s">
        <v>7627</v>
      </c>
      <c r="K8342" t="s">
        <v>1092</v>
      </c>
      <c r="M8342">
        <v>1.45</v>
      </c>
      <c r="N8342">
        <v>62</v>
      </c>
      <c r="O8342" t="s">
        <v>61</v>
      </c>
      <c r="Q8342" t="s">
        <v>90</v>
      </c>
      <c r="R8342" t="s">
        <v>6709</v>
      </c>
      <c r="S8342" t="s">
        <v>1022</v>
      </c>
    </row>
    <row r="8343" spans="1:19" x14ac:dyDescent="0.25">
      <c r="A8343" t="s">
        <v>30</v>
      </c>
      <c r="B8343" t="s">
        <v>31</v>
      </c>
      <c r="C8343" t="s">
        <v>32</v>
      </c>
      <c r="D8343" t="s">
        <v>953</v>
      </c>
      <c r="E8343" t="s">
        <v>1077</v>
      </c>
      <c r="F8343" t="s">
        <v>35</v>
      </c>
      <c r="G8343" t="s">
        <v>35</v>
      </c>
      <c r="H8343" t="s">
        <v>35</v>
      </c>
      <c r="J8343" t="s">
        <v>7627</v>
      </c>
      <c r="K8343" t="s">
        <v>1092</v>
      </c>
      <c r="M8343">
        <v>10.98</v>
      </c>
      <c r="N8343">
        <v>45</v>
      </c>
      <c r="O8343" t="s">
        <v>52</v>
      </c>
      <c r="Q8343" t="s">
        <v>716</v>
      </c>
      <c r="R8343" t="s">
        <v>6709</v>
      </c>
      <c r="S8343" t="s">
        <v>1022</v>
      </c>
    </row>
    <row r="8344" spans="1:19" x14ac:dyDescent="0.25">
      <c r="A8344" t="s">
        <v>59</v>
      </c>
      <c r="B8344" t="s">
        <v>60</v>
      </c>
      <c r="C8344" t="s">
        <v>32</v>
      </c>
      <c r="D8344" t="s">
        <v>953</v>
      </c>
      <c r="E8344" t="s">
        <v>1077</v>
      </c>
      <c r="F8344" t="s">
        <v>35</v>
      </c>
      <c r="G8344" t="s">
        <v>35</v>
      </c>
      <c r="H8344" t="s">
        <v>35</v>
      </c>
      <c r="J8344" t="s">
        <v>7627</v>
      </c>
      <c r="K8344" t="s">
        <v>1092</v>
      </c>
      <c r="M8344">
        <v>5</v>
      </c>
      <c r="N8344">
        <v>59</v>
      </c>
      <c r="O8344" t="s">
        <v>52</v>
      </c>
      <c r="Q8344" t="s">
        <v>84</v>
      </c>
      <c r="R8344" t="s">
        <v>6709</v>
      </c>
      <c r="S8344" t="s">
        <v>1022</v>
      </c>
    </row>
    <row r="8345" spans="1:19" x14ac:dyDescent="0.25">
      <c r="A8345" t="s">
        <v>30</v>
      </c>
      <c r="B8345" t="s">
        <v>31</v>
      </c>
      <c r="C8345" t="s">
        <v>32</v>
      </c>
      <c r="D8345" t="s">
        <v>953</v>
      </c>
      <c r="E8345" t="s">
        <v>1077</v>
      </c>
      <c r="F8345" t="s">
        <v>35</v>
      </c>
      <c r="G8345" t="s">
        <v>35</v>
      </c>
      <c r="H8345" t="s">
        <v>35</v>
      </c>
      <c r="J8345" t="s">
        <v>7627</v>
      </c>
      <c r="K8345" t="s">
        <v>1092</v>
      </c>
      <c r="M8345">
        <v>10.98</v>
      </c>
      <c r="N8345">
        <v>41</v>
      </c>
      <c r="O8345" t="s">
        <v>52</v>
      </c>
      <c r="Q8345" t="s">
        <v>249</v>
      </c>
      <c r="R8345" t="s">
        <v>6877</v>
      </c>
      <c r="S8345" t="s">
        <v>1041</v>
      </c>
    </row>
    <row r="8346" spans="1:19" x14ac:dyDescent="0.25">
      <c r="A8346" t="s">
        <v>59</v>
      </c>
      <c r="B8346" t="s">
        <v>31</v>
      </c>
      <c r="C8346" t="s">
        <v>32</v>
      </c>
      <c r="D8346" t="s">
        <v>953</v>
      </c>
      <c r="E8346" t="s">
        <v>1077</v>
      </c>
      <c r="F8346" t="s">
        <v>35</v>
      </c>
      <c r="G8346" t="s">
        <v>35</v>
      </c>
      <c r="H8346" t="s">
        <v>35</v>
      </c>
      <c r="J8346" t="s">
        <v>7627</v>
      </c>
      <c r="K8346" t="s">
        <v>1092</v>
      </c>
      <c r="M8346">
        <v>4.9950000000000001</v>
      </c>
      <c r="N8346">
        <v>63</v>
      </c>
      <c r="O8346" t="s">
        <v>61</v>
      </c>
      <c r="Q8346" t="s">
        <v>423</v>
      </c>
      <c r="R8346" t="s">
        <v>6877</v>
      </c>
      <c r="S8346" t="s">
        <v>1041</v>
      </c>
    </row>
    <row r="8347" spans="1:19" x14ac:dyDescent="0.25">
      <c r="A8347" t="s">
        <v>59</v>
      </c>
      <c r="B8347" t="s">
        <v>60</v>
      </c>
      <c r="C8347" t="s">
        <v>32</v>
      </c>
      <c r="D8347" t="s">
        <v>953</v>
      </c>
      <c r="E8347" t="s">
        <v>1077</v>
      </c>
      <c r="F8347" t="s">
        <v>35</v>
      </c>
      <c r="G8347" t="s">
        <v>35</v>
      </c>
      <c r="H8347" t="s">
        <v>35</v>
      </c>
      <c r="J8347" t="s">
        <v>7627</v>
      </c>
      <c r="K8347" t="s">
        <v>1092</v>
      </c>
      <c r="M8347">
        <v>10</v>
      </c>
      <c r="N8347">
        <v>63</v>
      </c>
      <c r="O8347" t="s">
        <v>61</v>
      </c>
      <c r="Q8347" t="s">
        <v>423</v>
      </c>
      <c r="R8347" t="s">
        <v>6877</v>
      </c>
      <c r="S8347" t="s">
        <v>1041</v>
      </c>
    </row>
    <row r="8348" spans="1:19" x14ac:dyDescent="0.25">
      <c r="A8348" t="s">
        <v>30</v>
      </c>
      <c r="B8348" t="s">
        <v>31</v>
      </c>
      <c r="C8348" t="s">
        <v>32</v>
      </c>
      <c r="D8348" t="s">
        <v>953</v>
      </c>
      <c r="E8348" t="s">
        <v>1077</v>
      </c>
      <c r="F8348" t="s">
        <v>35</v>
      </c>
      <c r="G8348" t="s">
        <v>35</v>
      </c>
      <c r="H8348" t="s">
        <v>35</v>
      </c>
      <c r="J8348" t="s">
        <v>7627</v>
      </c>
      <c r="K8348" t="s">
        <v>1092</v>
      </c>
      <c r="M8348">
        <v>3.6</v>
      </c>
      <c r="N8348">
        <v>27</v>
      </c>
      <c r="O8348" t="s">
        <v>46</v>
      </c>
      <c r="Q8348" t="s">
        <v>1011</v>
      </c>
      <c r="R8348" t="s">
        <v>6742</v>
      </c>
      <c r="S8348" t="s">
        <v>1016</v>
      </c>
    </row>
    <row r="8349" spans="1:19" x14ac:dyDescent="0.25">
      <c r="A8349" t="s">
        <v>59</v>
      </c>
      <c r="B8349" t="s">
        <v>60</v>
      </c>
      <c r="C8349" t="s">
        <v>32</v>
      </c>
      <c r="D8349" t="s">
        <v>953</v>
      </c>
      <c r="E8349" t="s">
        <v>1077</v>
      </c>
      <c r="F8349" t="s">
        <v>35</v>
      </c>
      <c r="G8349" t="s">
        <v>35</v>
      </c>
      <c r="H8349" t="s">
        <v>35</v>
      </c>
      <c r="J8349" t="s">
        <v>7627</v>
      </c>
      <c r="K8349" t="s">
        <v>1092</v>
      </c>
      <c r="M8349">
        <v>9.5500000000000007</v>
      </c>
      <c r="N8349">
        <v>74</v>
      </c>
      <c r="O8349" t="s">
        <v>61</v>
      </c>
      <c r="Q8349" t="s">
        <v>488</v>
      </c>
      <c r="R8349" t="s">
        <v>6885</v>
      </c>
      <c r="S8349" t="s">
        <v>6886</v>
      </c>
    </row>
    <row r="8350" spans="1:19" x14ac:dyDescent="0.25">
      <c r="A8350" t="s">
        <v>44</v>
      </c>
      <c r="B8350" t="s">
        <v>3</v>
      </c>
      <c r="C8350" t="s">
        <v>32</v>
      </c>
      <c r="D8350" t="s">
        <v>953</v>
      </c>
      <c r="E8350" t="s">
        <v>1077</v>
      </c>
      <c r="F8350" t="s">
        <v>35</v>
      </c>
      <c r="G8350" t="s">
        <v>35</v>
      </c>
      <c r="H8350" t="s">
        <v>35</v>
      </c>
      <c r="J8350" t="s">
        <v>7627</v>
      </c>
      <c r="K8350" t="s">
        <v>1092</v>
      </c>
      <c r="M8350">
        <v>5</v>
      </c>
      <c r="N8350">
        <v>58</v>
      </c>
      <c r="O8350" t="s">
        <v>52</v>
      </c>
      <c r="Q8350" t="s">
        <v>58</v>
      </c>
      <c r="R8350" t="s">
        <v>6885</v>
      </c>
      <c r="S8350" t="s">
        <v>6886</v>
      </c>
    </row>
    <row r="8351" spans="1:19" x14ac:dyDescent="0.25">
      <c r="A8351" t="s">
        <v>59</v>
      </c>
      <c r="B8351" t="s">
        <v>31</v>
      </c>
      <c r="C8351" t="s">
        <v>32</v>
      </c>
      <c r="D8351" t="s">
        <v>953</v>
      </c>
      <c r="E8351" t="s">
        <v>1077</v>
      </c>
      <c r="F8351" t="s">
        <v>35</v>
      </c>
      <c r="G8351" t="s">
        <v>35</v>
      </c>
      <c r="H8351" t="s">
        <v>35</v>
      </c>
      <c r="J8351" t="s">
        <v>7629</v>
      </c>
      <c r="K8351" t="s">
        <v>1092</v>
      </c>
      <c r="M8351">
        <v>0.27</v>
      </c>
      <c r="N8351">
        <v>2154</v>
      </c>
      <c r="O8351" t="s">
        <v>575</v>
      </c>
      <c r="Q8351" t="s">
        <v>7630</v>
      </c>
      <c r="R8351" t="s">
        <v>6897</v>
      </c>
      <c r="S8351" t="s">
        <v>1062</v>
      </c>
    </row>
    <row r="8352" spans="1:19" x14ac:dyDescent="0.25">
      <c r="A8352" t="s">
        <v>59</v>
      </c>
      <c r="B8352" t="s">
        <v>60</v>
      </c>
      <c r="C8352" t="s">
        <v>32</v>
      </c>
      <c r="D8352" t="s">
        <v>953</v>
      </c>
      <c r="E8352" t="s">
        <v>1077</v>
      </c>
      <c r="F8352" t="s">
        <v>35</v>
      </c>
      <c r="G8352" t="s">
        <v>35</v>
      </c>
      <c r="H8352" t="s">
        <v>35</v>
      </c>
      <c r="J8352" t="s">
        <v>7629</v>
      </c>
      <c r="K8352" t="s">
        <v>1092</v>
      </c>
      <c r="M8352">
        <v>0.05</v>
      </c>
      <c r="N8352">
        <v>2245</v>
      </c>
      <c r="O8352" t="s">
        <v>575</v>
      </c>
      <c r="Q8352" t="s">
        <v>7631</v>
      </c>
      <c r="R8352" t="s">
        <v>7632</v>
      </c>
      <c r="S8352" t="s">
        <v>1820</v>
      </c>
    </row>
    <row r="8353" spans="1:19" x14ac:dyDescent="0.25">
      <c r="A8353" t="s">
        <v>30</v>
      </c>
      <c r="B8353" t="s">
        <v>31</v>
      </c>
      <c r="C8353" t="s">
        <v>32</v>
      </c>
      <c r="D8353" t="s">
        <v>953</v>
      </c>
      <c r="E8353" t="s">
        <v>1077</v>
      </c>
      <c r="F8353" t="s">
        <v>35</v>
      </c>
      <c r="G8353" t="s">
        <v>35</v>
      </c>
      <c r="H8353" t="s">
        <v>35</v>
      </c>
      <c r="J8353" t="s">
        <v>7629</v>
      </c>
      <c r="K8353" t="s">
        <v>1092</v>
      </c>
      <c r="M8353">
        <v>0.36</v>
      </c>
      <c r="N8353">
        <v>2245</v>
      </c>
      <c r="O8353" t="s">
        <v>575</v>
      </c>
      <c r="Q8353" t="s">
        <v>7631</v>
      </c>
      <c r="R8353" t="s">
        <v>7632</v>
      </c>
      <c r="S8353" t="s">
        <v>1820</v>
      </c>
    </row>
    <row r="8354" spans="1:19" x14ac:dyDescent="0.25">
      <c r="A8354" t="s">
        <v>59</v>
      </c>
      <c r="B8354" t="s">
        <v>60</v>
      </c>
      <c r="C8354" t="s">
        <v>32</v>
      </c>
      <c r="D8354" t="s">
        <v>953</v>
      </c>
      <c r="E8354" t="s">
        <v>1077</v>
      </c>
      <c r="F8354" t="s">
        <v>35</v>
      </c>
      <c r="G8354" t="s">
        <v>35</v>
      </c>
      <c r="H8354" t="s">
        <v>35</v>
      </c>
      <c r="J8354" t="s">
        <v>7629</v>
      </c>
      <c r="K8354" t="s">
        <v>1092</v>
      </c>
      <c r="M8354">
        <v>0.25</v>
      </c>
      <c r="N8354">
        <v>2236</v>
      </c>
      <c r="O8354" t="s">
        <v>575</v>
      </c>
      <c r="Q8354" t="s">
        <v>5861</v>
      </c>
      <c r="R8354" t="s">
        <v>7632</v>
      </c>
      <c r="S8354" t="s">
        <v>1820</v>
      </c>
    </row>
    <row r="8355" spans="1:19" x14ac:dyDescent="0.25">
      <c r="A8355" t="s">
        <v>30</v>
      </c>
      <c r="B8355" t="s">
        <v>31</v>
      </c>
      <c r="C8355" t="s">
        <v>32</v>
      </c>
      <c r="D8355" t="s">
        <v>953</v>
      </c>
      <c r="E8355" t="s">
        <v>1077</v>
      </c>
      <c r="F8355" t="s">
        <v>35</v>
      </c>
      <c r="G8355" t="s">
        <v>35</v>
      </c>
      <c r="H8355" t="s">
        <v>35</v>
      </c>
      <c r="J8355" t="s">
        <v>7633</v>
      </c>
      <c r="K8355" t="s">
        <v>1092</v>
      </c>
      <c r="M8355">
        <v>0.18</v>
      </c>
      <c r="N8355">
        <v>43</v>
      </c>
      <c r="O8355" t="s">
        <v>52</v>
      </c>
      <c r="Q8355" t="s">
        <v>892</v>
      </c>
      <c r="R8355" t="s">
        <v>6721</v>
      </c>
      <c r="S8355" t="s">
        <v>1078</v>
      </c>
    </row>
    <row r="8356" spans="1:19" x14ac:dyDescent="0.25">
      <c r="A8356" t="s">
        <v>44</v>
      </c>
      <c r="B8356" t="s">
        <v>51</v>
      </c>
      <c r="C8356" t="s">
        <v>32</v>
      </c>
      <c r="D8356" t="s">
        <v>953</v>
      </c>
      <c r="E8356" t="s">
        <v>1077</v>
      </c>
      <c r="F8356" t="s">
        <v>35</v>
      </c>
      <c r="G8356" t="s">
        <v>35</v>
      </c>
      <c r="H8356" t="s">
        <v>35</v>
      </c>
      <c r="J8356" t="s">
        <v>7633</v>
      </c>
      <c r="K8356" t="s">
        <v>1092</v>
      </c>
      <c r="M8356">
        <v>0.15</v>
      </c>
      <c r="N8356">
        <v>23</v>
      </c>
      <c r="O8356" t="s">
        <v>46</v>
      </c>
      <c r="Q8356" t="s">
        <v>1819</v>
      </c>
      <c r="R8356" t="s">
        <v>6721</v>
      </c>
      <c r="S8356" t="s">
        <v>1078</v>
      </c>
    </row>
    <row r="8357" spans="1:19" x14ac:dyDescent="0.25">
      <c r="A8357" t="s">
        <v>59</v>
      </c>
      <c r="B8357" t="s">
        <v>31</v>
      </c>
      <c r="C8357" t="s">
        <v>32</v>
      </c>
      <c r="D8357" t="s">
        <v>953</v>
      </c>
      <c r="E8357" t="s">
        <v>1077</v>
      </c>
      <c r="F8357" t="s">
        <v>35</v>
      </c>
      <c r="G8357" t="s">
        <v>35</v>
      </c>
      <c r="H8357" t="s">
        <v>35</v>
      </c>
      <c r="J8357" t="s">
        <v>7633</v>
      </c>
      <c r="K8357" t="s">
        <v>1092</v>
      </c>
      <c r="M8357">
        <v>8.1000000000000003E-2</v>
      </c>
      <c r="N8357">
        <v>57</v>
      </c>
      <c r="O8357" t="s">
        <v>52</v>
      </c>
      <c r="Q8357" t="s">
        <v>665</v>
      </c>
      <c r="R8357" t="s">
        <v>6721</v>
      </c>
      <c r="S8357" t="s">
        <v>1078</v>
      </c>
    </row>
    <row r="8358" spans="1:19" x14ac:dyDescent="0.25">
      <c r="A8358" t="s">
        <v>59</v>
      </c>
      <c r="B8358" t="s">
        <v>60</v>
      </c>
      <c r="C8358" t="s">
        <v>32</v>
      </c>
      <c r="D8358" t="s">
        <v>953</v>
      </c>
      <c r="E8358" t="s">
        <v>1077</v>
      </c>
      <c r="F8358" t="s">
        <v>35</v>
      </c>
      <c r="G8358" t="s">
        <v>35</v>
      </c>
      <c r="H8358" t="s">
        <v>35</v>
      </c>
      <c r="J8358" t="s">
        <v>7633</v>
      </c>
      <c r="K8358" t="s">
        <v>1092</v>
      </c>
      <c r="M8358">
        <v>0.1</v>
      </c>
      <c r="N8358">
        <v>57</v>
      </c>
      <c r="O8358" t="s">
        <v>52</v>
      </c>
      <c r="Q8358" t="s">
        <v>665</v>
      </c>
      <c r="R8358" t="s">
        <v>6721</v>
      </c>
      <c r="S8358" t="s">
        <v>1078</v>
      </c>
    </row>
    <row r="8359" spans="1:19" x14ac:dyDescent="0.25">
      <c r="A8359" t="s">
        <v>44</v>
      </c>
      <c r="B8359" t="s">
        <v>51</v>
      </c>
      <c r="C8359" t="s">
        <v>32</v>
      </c>
      <c r="D8359" t="s">
        <v>953</v>
      </c>
      <c r="E8359" t="s">
        <v>1077</v>
      </c>
      <c r="F8359" t="s">
        <v>35</v>
      </c>
      <c r="G8359" t="s">
        <v>35</v>
      </c>
      <c r="H8359" t="s">
        <v>35</v>
      </c>
      <c r="J8359" t="s">
        <v>7633</v>
      </c>
      <c r="K8359" t="s">
        <v>1092</v>
      </c>
      <c r="M8359">
        <v>0.1</v>
      </c>
      <c r="N8359">
        <v>57</v>
      </c>
      <c r="O8359" t="s">
        <v>52</v>
      </c>
      <c r="Q8359" t="s">
        <v>665</v>
      </c>
      <c r="R8359" t="s">
        <v>6721</v>
      </c>
      <c r="S8359" t="s">
        <v>1078</v>
      </c>
    </row>
    <row r="8360" spans="1:19" x14ac:dyDescent="0.25">
      <c r="A8360" t="s">
        <v>44</v>
      </c>
      <c r="B8360" t="s">
        <v>3</v>
      </c>
      <c r="C8360" t="s">
        <v>32</v>
      </c>
      <c r="D8360" t="s">
        <v>953</v>
      </c>
      <c r="E8360" t="s">
        <v>1077</v>
      </c>
      <c r="F8360" t="s">
        <v>35</v>
      </c>
      <c r="G8360" t="s">
        <v>35</v>
      </c>
      <c r="H8360" t="s">
        <v>35</v>
      </c>
      <c r="J8360" t="s">
        <v>7633</v>
      </c>
      <c r="K8360" t="s">
        <v>1092</v>
      </c>
      <c r="M8360">
        <v>0.1</v>
      </c>
      <c r="N8360">
        <v>57</v>
      </c>
      <c r="O8360" t="s">
        <v>52</v>
      </c>
      <c r="Q8360" t="s">
        <v>665</v>
      </c>
      <c r="R8360" t="s">
        <v>6721</v>
      </c>
      <c r="S8360" t="s">
        <v>1078</v>
      </c>
    </row>
    <row r="8361" spans="1:19" x14ac:dyDescent="0.25">
      <c r="A8361" t="s">
        <v>59</v>
      </c>
      <c r="B8361" t="s">
        <v>31</v>
      </c>
      <c r="C8361" t="s">
        <v>32</v>
      </c>
      <c r="D8361" t="s">
        <v>953</v>
      </c>
      <c r="E8361" t="s">
        <v>1077</v>
      </c>
      <c r="F8361" t="s">
        <v>35</v>
      </c>
      <c r="G8361" t="s">
        <v>35</v>
      </c>
      <c r="H8361" t="s">
        <v>35</v>
      </c>
      <c r="J8361" t="s">
        <v>7634</v>
      </c>
      <c r="K8361" t="s">
        <v>1092</v>
      </c>
      <c r="M8361">
        <v>5.0000000000000001E-3</v>
      </c>
      <c r="N8361">
        <v>82</v>
      </c>
      <c r="O8361" t="s">
        <v>61</v>
      </c>
      <c r="Q8361" t="s">
        <v>447</v>
      </c>
      <c r="R8361" t="s">
        <v>6721</v>
      </c>
      <c r="S8361" t="s">
        <v>1078</v>
      </c>
    </row>
    <row r="8362" spans="1:19" x14ac:dyDescent="0.25">
      <c r="A8362" t="s">
        <v>59</v>
      </c>
      <c r="B8362" t="s">
        <v>60</v>
      </c>
      <c r="C8362" t="s">
        <v>32</v>
      </c>
      <c r="D8362" t="s">
        <v>953</v>
      </c>
      <c r="E8362" t="s">
        <v>1077</v>
      </c>
      <c r="F8362" t="s">
        <v>35</v>
      </c>
      <c r="G8362" t="s">
        <v>35</v>
      </c>
      <c r="H8362" t="s">
        <v>35</v>
      </c>
      <c r="J8362" t="s">
        <v>7634</v>
      </c>
      <c r="K8362" t="s">
        <v>1092</v>
      </c>
      <c r="M8362">
        <v>0.13</v>
      </c>
      <c r="N8362">
        <v>82</v>
      </c>
      <c r="O8362" t="s">
        <v>61</v>
      </c>
      <c r="Q8362" t="s">
        <v>447</v>
      </c>
      <c r="R8362" t="s">
        <v>6721</v>
      </c>
      <c r="S8362" t="s">
        <v>1078</v>
      </c>
    </row>
    <row r="8363" spans="1:19" x14ac:dyDescent="0.25">
      <c r="A8363" t="s">
        <v>44</v>
      </c>
      <c r="B8363" t="s">
        <v>51</v>
      </c>
      <c r="C8363" t="s">
        <v>32</v>
      </c>
      <c r="D8363" t="s">
        <v>953</v>
      </c>
      <c r="E8363" t="s">
        <v>1077</v>
      </c>
      <c r="F8363" t="s">
        <v>35</v>
      </c>
      <c r="G8363" t="s">
        <v>35</v>
      </c>
      <c r="H8363" t="s">
        <v>35</v>
      </c>
      <c r="J8363" t="s">
        <v>7635</v>
      </c>
      <c r="K8363" t="s">
        <v>1092</v>
      </c>
      <c r="M8363">
        <v>0.25</v>
      </c>
      <c r="N8363">
        <v>45</v>
      </c>
      <c r="O8363" t="s">
        <v>52</v>
      </c>
      <c r="Q8363" t="s">
        <v>716</v>
      </c>
      <c r="R8363" t="s">
        <v>6721</v>
      </c>
      <c r="S8363" t="s">
        <v>1078</v>
      </c>
    </row>
    <row r="8364" spans="1:19" x14ac:dyDescent="0.25">
      <c r="A8364" t="s">
        <v>59</v>
      </c>
      <c r="B8364" t="s">
        <v>60</v>
      </c>
      <c r="C8364" t="s">
        <v>32</v>
      </c>
      <c r="D8364" t="s">
        <v>953</v>
      </c>
      <c r="E8364" t="s">
        <v>1077</v>
      </c>
      <c r="F8364" t="s">
        <v>35</v>
      </c>
      <c r="G8364" t="s">
        <v>35</v>
      </c>
      <c r="H8364" t="s">
        <v>35</v>
      </c>
      <c r="J8364" t="s">
        <v>7635</v>
      </c>
      <c r="K8364" t="s">
        <v>1092</v>
      </c>
      <c r="M8364">
        <v>0.45</v>
      </c>
      <c r="N8364">
        <v>22</v>
      </c>
      <c r="O8364" t="s">
        <v>46</v>
      </c>
      <c r="Q8364" t="s">
        <v>979</v>
      </c>
      <c r="R8364" t="s">
        <v>6721</v>
      </c>
      <c r="S8364" t="s">
        <v>1078</v>
      </c>
    </row>
    <row r="8365" spans="1:19" x14ac:dyDescent="0.25">
      <c r="A8365" t="s">
        <v>44</v>
      </c>
      <c r="B8365" t="s">
        <v>51</v>
      </c>
      <c r="C8365" t="s">
        <v>32</v>
      </c>
      <c r="D8365" t="s">
        <v>953</v>
      </c>
      <c r="E8365" t="s">
        <v>1077</v>
      </c>
      <c r="F8365" t="s">
        <v>35</v>
      </c>
      <c r="G8365" t="s">
        <v>35</v>
      </c>
      <c r="H8365" t="s">
        <v>35</v>
      </c>
      <c r="J8365" t="s">
        <v>7635</v>
      </c>
      <c r="K8365" t="s">
        <v>1092</v>
      </c>
      <c r="M8365">
        <v>0.5</v>
      </c>
      <c r="N8365">
        <v>24</v>
      </c>
      <c r="O8365" t="s">
        <v>46</v>
      </c>
      <c r="Q8365" t="s">
        <v>255</v>
      </c>
      <c r="R8365" t="s">
        <v>6721</v>
      </c>
      <c r="S8365" t="s">
        <v>1078</v>
      </c>
    </row>
    <row r="8366" spans="1:19" x14ac:dyDescent="0.25">
      <c r="A8366" t="s">
        <v>59</v>
      </c>
      <c r="B8366" t="s">
        <v>31</v>
      </c>
      <c r="C8366" t="s">
        <v>32</v>
      </c>
      <c r="D8366" t="s">
        <v>953</v>
      </c>
      <c r="E8366" t="s">
        <v>1077</v>
      </c>
      <c r="F8366" t="s">
        <v>35</v>
      </c>
      <c r="G8366" t="s">
        <v>35</v>
      </c>
      <c r="H8366" t="s">
        <v>35</v>
      </c>
      <c r="J8366" t="s">
        <v>7635</v>
      </c>
      <c r="K8366" t="s">
        <v>1092</v>
      </c>
      <c r="M8366">
        <v>0.45</v>
      </c>
      <c r="N8366">
        <v>89</v>
      </c>
      <c r="O8366" t="s">
        <v>61</v>
      </c>
      <c r="Q8366" t="s">
        <v>299</v>
      </c>
      <c r="R8366" t="s">
        <v>6721</v>
      </c>
      <c r="S8366" t="s">
        <v>1078</v>
      </c>
    </row>
    <row r="8367" spans="1:19" x14ac:dyDescent="0.25">
      <c r="A8367" t="s">
        <v>59</v>
      </c>
      <c r="B8367" t="s">
        <v>31</v>
      </c>
      <c r="C8367" t="s">
        <v>32</v>
      </c>
      <c r="D8367" t="s">
        <v>953</v>
      </c>
      <c r="E8367" t="s">
        <v>1077</v>
      </c>
      <c r="F8367" t="s">
        <v>35</v>
      </c>
      <c r="G8367" t="s">
        <v>35</v>
      </c>
      <c r="H8367" t="s">
        <v>35</v>
      </c>
      <c r="J8367" t="s">
        <v>7635</v>
      </c>
      <c r="K8367" t="s">
        <v>1092</v>
      </c>
      <c r="M8367">
        <v>0.09</v>
      </c>
      <c r="N8367">
        <v>178</v>
      </c>
      <c r="O8367" t="s">
        <v>38</v>
      </c>
      <c r="Q8367" t="s">
        <v>2827</v>
      </c>
      <c r="R8367" t="s">
        <v>6721</v>
      </c>
      <c r="S8367" t="s">
        <v>1078</v>
      </c>
    </row>
    <row r="8368" spans="1:19" x14ac:dyDescent="0.25">
      <c r="A8368" t="s">
        <v>44</v>
      </c>
      <c r="B8368" t="s">
        <v>3</v>
      </c>
      <c r="C8368" t="s">
        <v>32</v>
      </c>
      <c r="D8368" t="s">
        <v>953</v>
      </c>
      <c r="E8368" t="s">
        <v>1077</v>
      </c>
      <c r="F8368" t="s">
        <v>35</v>
      </c>
      <c r="G8368" t="s">
        <v>35</v>
      </c>
      <c r="H8368" t="s">
        <v>35</v>
      </c>
      <c r="J8368" t="s">
        <v>7635</v>
      </c>
      <c r="K8368" t="s">
        <v>1092</v>
      </c>
      <c r="M8368">
        <v>0.35</v>
      </c>
      <c r="N8368">
        <v>24</v>
      </c>
      <c r="O8368" t="s">
        <v>46</v>
      </c>
      <c r="Q8368" t="s">
        <v>255</v>
      </c>
      <c r="R8368" t="s">
        <v>6721</v>
      </c>
      <c r="S8368" t="s">
        <v>1078</v>
      </c>
    </row>
    <row r="8369" spans="1:19" x14ac:dyDescent="0.25">
      <c r="A8369" t="s">
        <v>59</v>
      </c>
      <c r="B8369" t="s">
        <v>31</v>
      </c>
      <c r="C8369" t="s">
        <v>32</v>
      </c>
      <c r="D8369" t="s">
        <v>953</v>
      </c>
      <c r="E8369" t="s">
        <v>1077</v>
      </c>
      <c r="F8369" t="s">
        <v>35</v>
      </c>
      <c r="G8369" t="s">
        <v>35</v>
      </c>
      <c r="H8369" t="s">
        <v>35</v>
      </c>
      <c r="J8369" t="s">
        <v>7635</v>
      </c>
      <c r="K8369" t="s">
        <v>1092</v>
      </c>
      <c r="M8369">
        <v>0.45</v>
      </c>
      <c r="N8369">
        <v>135</v>
      </c>
      <c r="O8369" t="s">
        <v>38</v>
      </c>
      <c r="Q8369" t="s">
        <v>98</v>
      </c>
      <c r="R8369" t="s">
        <v>6721</v>
      </c>
      <c r="S8369" t="s">
        <v>1078</v>
      </c>
    </row>
    <row r="8370" spans="1:19" x14ac:dyDescent="0.25">
      <c r="A8370" t="s">
        <v>44</v>
      </c>
      <c r="B8370" t="s">
        <v>51</v>
      </c>
      <c r="C8370" t="s">
        <v>32</v>
      </c>
      <c r="D8370" t="s">
        <v>953</v>
      </c>
      <c r="E8370" t="s">
        <v>1077</v>
      </c>
      <c r="F8370" t="s">
        <v>35</v>
      </c>
      <c r="G8370" t="s">
        <v>35</v>
      </c>
      <c r="H8370" t="s">
        <v>35</v>
      </c>
      <c r="J8370" t="s">
        <v>7635</v>
      </c>
      <c r="K8370" t="s">
        <v>1092</v>
      </c>
      <c r="M8370">
        <v>0.25</v>
      </c>
      <c r="N8370">
        <v>36</v>
      </c>
      <c r="O8370" t="s">
        <v>52</v>
      </c>
      <c r="Q8370" t="s">
        <v>2005</v>
      </c>
      <c r="R8370" t="s">
        <v>6721</v>
      </c>
      <c r="S8370" t="s">
        <v>1078</v>
      </c>
    </row>
    <row r="8371" spans="1:19" x14ac:dyDescent="0.25">
      <c r="A8371" t="s">
        <v>44</v>
      </c>
      <c r="B8371" t="s">
        <v>3</v>
      </c>
      <c r="C8371" t="s">
        <v>32</v>
      </c>
      <c r="D8371" t="s">
        <v>953</v>
      </c>
      <c r="E8371" t="s">
        <v>1077</v>
      </c>
      <c r="F8371" t="s">
        <v>35</v>
      </c>
      <c r="G8371" t="s">
        <v>35</v>
      </c>
      <c r="H8371" t="s">
        <v>35</v>
      </c>
      <c r="J8371" t="s">
        <v>1357</v>
      </c>
      <c r="K8371" t="s">
        <v>1092</v>
      </c>
      <c r="M8371">
        <v>5</v>
      </c>
      <c r="N8371">
        <v>10</v>
      </c>
      <c r="O8371" t="s">
        <v>46</v>
      </c>
      <c r="Q8371" t="s">
        <v>1676</v>
      </c>
      <c r="R8371" t="s">
        <v>133</v>
      </c>
      <c r="S8371" t="s">
        <v>134</v>
      </c>
    </row>
    <row r="8372" spans="1:19" x14ac:dyDescent="0.25">
      <c r="A8372" t="s">
        <v>59</v>
      </c>
      <c r="B8372" t="s">
        <v>60</v>
      </c>
      <c r="C8372" t="s">
        <v>32</v>
      </c>
      <c r="D8372" t="s">
        <v>953</v>
      </c>
      <c r="E8372" t="s">
        <v>1077</v>
      </c>
      <c r="F8372" t="s">
        <v>35</v>
      </c>
      <c r="G8372" t="s">
        <v>35</v>
      </c>
      <c r="H8372" t="s">
        <v>35</v>
      </c>
      <c r="J8372" t="s">
        <v>1357</v>
      </c>
      <c r="K8372" t="s">
        <v>1092</v>
      </c>
      <c r="M8372">
        <v>0.2</v>
      </c>
      <c r="N8372">
        <v>91</v>
      </c>
      <c r="O8372" t="s">
        <v>106</v>
      </c>
      <c r="Q8372" t="s">
        <v>1147</v>
      </c>
      <c r="R8372" t="s">
        <v>133</v>
      </c>
      <c r="S8372" t="s">
        <v>134</v>
      </c>
    </row>
    <row r="8373" spans="1:19" x14ac:dyDescent="0.25">
      <c r="A8373" t="s">
        <v>59</v>
      </c>
      <c r="B8373" t="s">
        <v>31</v>
      </c>
      <c r="C8373" t="s">
        <v>32</v>
      </c>
      <c r="D8373" t="s">
        <v>953</v>
      </c>
      <c r="E8373" t="s">
        <v>1077</v>
      </c>
      <c r="F8373" t="s">
        <v>35</v>
      </c>
      <c r="G8373" t="s">
        <v>35</v>
      </c>
      <c r="H8373" t="s">
        <v>35</v>
      </c>
      <c r="J8373" t="s">
        <v>1357</v>
      </c>
      <c r="K8373" t="s">
        <v>1092</v>
      </c>
      <c r="M8373">
        <v>5.22</v>
      </c>
      <c r="N8373">
        <v>38</v>
      </c>
      <c r="O8373" t="s">
        <v>52</v>
      </c>
      <c r="Q8373" t="s">
        <v>748</v>
      </c>
      <c r="R8373" t="s">
        <v>133</v>
      </c>
      <c r="S8373" t="s">
        <v>134</v>
      </c>
    </row>
    <row r="8374" spans="1:19" x14ac:dyDescent="0.25">
      <c r="A8374" t="s">
        <v>30</v>
      </c>
      <c r="B8374" t="s">
        <v>31</v>
      </c>
      <c r="C8374" t="s">
        <v>32</v>
      </c>
      <c r="D8374" t="s">
        <v>953</v>
      </c>
      <c r="E8374" t="s">
        <v>1077</v>
      </c>
      <c r="F8374" t="s">
        <v>35</v>
      </c>
      <c r="G8374" t="s">
        <v>35</v>
      </c>
      <c r="H8374" t="s">
        <v>35</v>
      </c>
      <c r="J8374" t="s">
        <v>7636</v>
      </c>
      <c r="K8374" t="s">
        <v>1092</v>
      </c>
      <c r="M8374">
        <v>4.3650000000000002</v>
      </c>
      <c r="N8374">
        <v>23</v>
      </c>
      <c r="O8374" t="s">
        <v>46</v>
      </c>
      <c r="Q8374" t="s">
        <v>1819</v>
      </c>
      <c r="R8374" t="s">
        <v>6742</v>
      </c>
      <c r="S8374" t="s">
        <v>1016</v>
      </c>
    </row>
    <row r="8375" spans="1:19" x14ac:dyDescent="0.25">
      <c r="A8375" t="s">
        <v>59</v>
      </c>
      <c r="B8375" t="s">
        <v>60</v>
      </c>
      <c r="C8375" t="s">
        <v>32</v>
      </c>
      <c r="D8375" t="s">
        <v>953</v>
      </c>
      <c r="E8375" t="s">
        <v>1077</v>
      </c>
      <c r="F8375" t="s">
        <v>35</v>
      </c>
      <c r="G8375" t="s">
        <v>35</v>
      </c>
      <c r="H8375" t="s">
        <v>35</v>
      </c>
      <c r="J8375" t="s">
        <v>7636</v>
      </c>
      <c r="K8375" t="s">
        <v>1092</v>
      </c>
      <c r="M8375">
        <v>2.4</v>
      </c>
      <c r="N8375">
        <v>65</v>
      </c>
      <c r="O8375" t="s">
        <v>61</v>
      </c>
      <c r="Q8375" t="s">
        <v>128</v>
      </c>
      <c r="R8375" t="s">
        <v>6897</v>
      </c>
      <c r="S8375" t="s">
        <v>1062</v>
      </c>
    </row>
    <row r="8376" spans="1:19" x14ac:dyDescent="0.25">
      <c r="A8376" t="s">
        <v>59</v>
      </c>
      <c r="B8376" t="s">
        <v>60</v>
      </c>
      <c r="C8376" t="s">
        <v>32</v>
      </c>
      <c r="D8376" t="s">
        <v>953</v>
      </c>
      <c r="E8376" t="s">
        <v>1077</v>
      </c>
      <c r="F8376" t="s">
        <v>35</v>
      </c>
      <c r="G8376" t="s">
        <v>35</v>
      </c>
      <c r="H8376" t="s">
        <v>35</v>
      </c>
      <c r="J8376" t="s">
        <v>7637</v>
      </c>
      <c r="K8376" t="s">
        <v>1092</v>
      </c>
      <c r="M8376">
        <v>5</v>
      </c>
      <c r="N8376">
        <v>13</v>
      </c>
      <c r="O8376" t="s">
        <v>46</v>
      </c>
      <c r="Q8376" t="s">
        <v>310</v>
      </c>
      <c r="R8376" t="s">
        <v>133</v>
      </c>
      <c r="S8376" t="s">
        <v>134</v>
      </c>
    </row>
    <row r="8377" spans="1:19" x14ac:dyDescent="0.25">
      <c r="A8377" t="s">
        <v>44</v>
      </c>
      <c r="B8377" t="s">
        <v>3</v>
      </c>
      <c r="C8377" t="s">
        <v>32</v>
      </c>
      <c r="D8377" t="s">
        <v>953</v>
      </c>
      <c r="E8377" t="s">
        <v>1077</v>
      </c>
      <c r="F8377" t="s">
        <v>35</v>
      </c>
      <c r="G8377" t="s">
        <v>35</v>
      </c>
      <c r="H8377" t="s">
        <v>35</v>
      </c>
      <c r="J8377" t="s">
        <v>7637</v>
      </c>
      <c r="K8377" t="s">
        <v>1092</v>
      </c>
      <c r="M8377">
        <v>1.25</v>
      </c>
      <c r="N8377">
        <v>44</v>
      </c>
      <c r="O8377" t="s">
        <v>52</v>
      </c>
      <c r="Q8377" t="s">
        <v>192</v>
      </c>
      <c r="R8377" t="s">
        <v>6847</v>
      </c>
      <c r="S8377" t="s">
        <v>1034</v>
      </c>
    </row>
    <row r="8378" spans="1:19" x14ac:dyDescent="0.25">
      <c r="A8378" t="s">
        <v>59</v>
      </c>
      <c r="B8378" t="s">
        <v>60</v>
      </c>
      <c r="C8378" t="s">
        <v>32</v>
      </c>
      <c r="D8378" t="s">
        <v>953</v>
      </c>
      <c r="E8378" t="s">
        <v>1077</v>
      </c>
      <c r="F8378" t="s">
        <v>35</v>
      </c>
      <c r="G8378" t="s">
        <v>35</v>
      </c>
      <c r="H8378" t="s">
        <v>35</v>
      </c>
      <c r="J8378" t="s">
        <v>7637</v>
      </c>
      <c r="K8378" t="s">
        <v>1092</v>
      </c>
      <c r="M8378">
        <v>1.25</v>
      </c>
      <c r="N8378">
        <v>44</v>
      </c>
      <c r="O8378" t="s">
        <v>52</v>
      </c>
      <c r="Q8378" t="s">
        <v>192</v>
      </c>
      <c r="R8378" t="s">
        <v>6847</v>
      </c>
      <c r="S8378" t="s">
        <v>1034</v>
      </c>
    </row>
    <row r="8379" spans="1:19" x14ac:dyDescent="0.25">
      <c r="A8379" t="s">
        <v>59</v>
      </c>
      <c r="B8379" t="s">
        <v>60</v>
      </c>
      <c r="C8379" t="s">
        <v>32</v>
      </c>
      <c r="D8379" t="s">
        <v>953</v>
      </c>
      <c r="E8379" t="s">
        <v>1077</v>
      </c>
      <c r="F8379" t="s">
        <v>35</v>
      </c>
      <c r="G8379" t="s">
        <v>35</v>
      </c>
      <c r="H8379" t="s">
        <v>35</v>
      </c>
      <c r="J8379" t="s">
        <v>7637</v>
      </c>
      <c r="K8379" t="s">
        <v>1092</v>
      </c>
      <c r="M8379">
        <v>4.6500000000000004</v>
      </c>
      <c r="N8379">
        <v>59</v>
      </c>
      <c r="O8379" t="s">
        <v>52</v>
      </c>
      <c r="Q8379" t="s">
        <v>84</v>
      </c>
      <c r="R8379" t="s">
        <v>6709</v>
      </c>
      <c r="S8379" t="s">
        <v>1022</v>
      </c>
    </row>
    <row r="8380" spans="1:19" x14ac:dyDescent="0.25">
      <c r="A8380" t="s">
        <v>59</v>
      </c>
      <c r="B8380" t="s">
        <v>31</v>
      </c>
      <c r="C8380" t="s">
        <v>32</v>
      </c>
      <c r="D8380" t="s">
        <v>953</v>
      </c>
      <c r="E8380" t="s">
        <v>1077</v>
      </c>
      <c r="F8380" t="s">
        <v>35</v>
      </c>
      <c r="G8380" t="s">
        <v>35</v>
      </c>
      <c r="H8380" t="s">
        <v>35</v>
      </c>
      <c r="J8380" t="s">
        <v>7637</v>
      </c>
      <c r="K8380" t="s">
        <v>1092</v>
      </c>
      <c r="M8380">
        <v>4.2300000000000004</v>
      </c>
      <c r="N8380">
        <v>59</v>
      </c>
      <c r="O8380" t="s">
        <v>52</v>
      </c>
      <c r="Q8380" t="s">
        <v>84</v>
      </c>
      <c r="R8380" t="s">
        <v>6709</v>
      </c>
      <c r="S8380" t="s">
        <v>1022</v>
      </c>
    </row>
    <row r="8381" spans="1:19" x14ac:dyDescent="0.25">
      <c r="A8381" t="s">
        <v>44</v>
      </c>
      <c r="B8381" t="s">
        <v>3</v>
      </c>
      <c r="C8381" t="s">
        <v>32</v>
      </c>
      <c r="D8381" t="s">
        <v>953</v>
      </c>
      <c r="E8381" t="s">
        <v>1077</v>
      </c>
      <c r="F8381" t="s">
        <v>35</v>
      </c>
      <c r="G8381" t="s">
        <v>35</v>
      </c>
      <c r="H8381" t="s">
        <v>35</v>
      </c>
      <c r="J8381" t="s">
        <v>7638</v>
      </c>
      <c r="K8381" t="s">
        <v>1092</v>
      </c>
      <c r="M8381">
        <v>5</v>
      </c>
      <c r="N8381">
        <v>65</v>
      </c>
      <c r="O8381" t="s">
        <v>61</v>
      </c>
      <c r="Q8381" t="s">
        <v>128</v>
      </c>
      <c r="R8381" t="s">
        <v>6847</v>
      </c>
      <c r="S8381" t="s">
        <v>1034</v>
      </c>
    </row>
    <row r="8382" spans="1:19" x14ac:dyDescent="0.25">
      <c r="A8382" t="s">
        <v>59</v>
      </c>
      <c r="B8382" t="s">
        <v>60</v>
      </c>
      <c r="C8382" t="s">
        <v>32</v>
      </c>
      <c r="D8382" t="s">
        <v>953</v>
      </c>
      <c r="E8382" t="s">
        <v>1077</v>
      </c>
      <c r="F8382" t="s">
        <v>35</v>
      </c>
      <c r="G8382" t="s">
        <v>35</v>
      </c>
      <c r="H8382" t="s">
        <v>35</v>
      </c>
      <c r="J8382" t="s">
        <v>7638</v>
      </c>
      <c r="K8382" t="s">
        <v>1092</v>
      </c>
      <c r="M8382">
        <v>1.75</v>
      </c>
      <c r="N8382">
        <v>62</v>
      </c>
      <c r="O8382" t="s">
        <v>61</v>
      </c>
      <c r="Q8382" t="s">
        <v>90</v>
      </c>
      <c r="R8382" t="s">
        <v>6847</v>
      </c>
      <c r="S8382" t="s">
        <v>1034</v>
      </c>
    </row>
    <row r="8383" spans="1:19" x14ac:dyDescent="0.25">
      <c r="A8383" t="s">
        <v>44</v>
      </c>
      <c r="B8383" t="s">
        <v>51</v>
      </c>
      <c r="C8383" t="s">
        <v>32</v>
      </c>
      <c r="D8383" t="s">
        <v>953</v>
      </c>
      <c r="E8383" t="s">
        <v>1077</v>
      </c>
      <c r="F8383" t="s">
        <v>35</v>
      </c>
      <c r="G8383" t="s">
        <v>35</v>
      </c>
      <c r="H8383" t="s">
        <v>35</v>
      </c>
      <c r="J8383" t="s">
        <v>7638</v>
      </c>
      <c r="K8383" t="s">
        <v>1092</v>
      </c>
      <c r="M8383">
        <v>4.5</v>
      </c>
      <c r="N8383">
        <v>61</v>
      </c>
      <c r="O8383" t="s">
        <v>61</v>
      </c>
      <c r="Q8383" t="s">
        <v>671</v>
      </c>
      <c r="R8383" t="s">
        <v>6847</v>
      </c>
      <c r="S8383" t="s">
        <v>1034</v>
      </c>
    </row>
    <row r="8384" spans="1:19" x14ac:dyDescent="0.25">
      <c r="A8384" t="s">
        <v>30</v>
      </c>
      <c r="B8384" t="s">
        <v>31</v>
      </c>
      <c r="C8384" t="s">
        <v>32</v>
      </c>
      <c r="D8384" t="s">
        <v>953</v>
      </c>
      <c r="E8384" t="s">
        <v>1077</v>
      </c>
      <c r="F8384" t="s">
        <v>35</v>
      </c>
      <c r="G8384" t="s">
        <v>35</v>
      </c>
      <c r="H8384" t="s">
        <v>35</v>
      </c>
      <c r="J8384" t="s">
        <v>7639</v>
      </c>
      <c r="K8384" t="s">
        <v>1092</v>
      </c>
      <c r="M8384">
        <v>8.9550000000000001</v>
      </c>
      <c r="N8384">
        <v>223</v>
      </c>
      <c r="O8384" t="s">
        <v>5</v>
      </c>
      <c r="Q8384" t="s">
        <v>3310</v>
      </c>
      <c r="R8384" t="s">
        <v>133</v>
      </c>
      <c r="S8384" t="s">
        <v>134</v>
      </c>
    </row>
    <row r="8385" spans="1:19" x14ac:dyDescent="0.25">
      <c r="A8385" t="s">
        <v>59</v>
      </c>
      <c r="B8385" t="s">
        <v>60</v>
      </c>
      <c r="C8385" t="s">
        <v>32</v>
      </c>
      <c r="D8385" t="s">
        <v>953</v>
      </c>
      <c r="E8385" t="s">
        <v>1077</v>
      </c>
      <c r="F8385" t="s">
        <v>35</v>
      </c>
      <c r="G8385" t="s">
        <v>35</v>
      </c>
      <c r="H8385" t="s">
        <v>35</v>
      </c>
      <c r="J8385" t="s">
        <v>7639</v>
      </c>
      <c r="K8385" t="s">
        <v>1092</v>
      </c>
      <c r="M8385">
        <v>3</v>
      </c>
      <c r="N8385">
        <v>27</v>
      </c>
      <c r="O8385" t="s">
        <v>46</v>
      </c>
      <c r="Q8385" t="s">
        <v>1011</v>
      </c>
      <c r="R8385" t="s">
        <v>6939</v>
      </c>
      <c r="S8385" t="s">
        <v>969</v>
      </c>
    </row>
    <row r="8386" spans="1:19" x14ac:dyDescent="0.25">
      <c r="A8386" t="s">
        <v>44</v>
      </c>
      <c r="B8386" t="s">
        <v>3</v>
      </c>
      <c r="C8386" t="s">
        <v>32</v>
      </c>
      <c r="D8386" t="s">
        <v>953</v>
      </c>
      <c r="E8386" t="s">
        <v>1077</v>
      </c>
      <c r="F8386" t="s">
        <v>35</v>
      </c>
      <c r="G8386" t="s">
        <v>35</v>
      </c>
      <c r="H8386" t="s">
        <v>35</v>
      </c>
      <c r="J8386" t="s">
        <v>7640</v>
      </c>
      <c r="K8386" t="s">
        <v>1092</v>
      </c>
      <c r="M8386">
        <v>5</v>
      </c>
      <c r="N8386">
        <v>65</v>
      </c>
      <c r="O8386" t="s">
        <v>61</v>
      </c>
      <c r="Q8386" t="s">
        <v>128</v>
      </c>
      <c r="R8386" t="s">
        <v>6847</v>
      </c>
      <c r="S8386" t="s">
        <v>1034</v>
      </c>
    </row>
    <row r="8387" spans="1:19" x14ac:dyDescent="0.25">
      <c r="A8387" t="s">
        <v>30</v>
      </c>
      <c r="B8387" t="s">
        <v>31</v>
      </c>
      <c r="C8387" t="s">
        <v>32</v>
      </c>
      <c r="D8387" t="s">
        <v>953</v>
      </c>
      <c r="E8387" t="s">
        <v>1077</v>
      </c>
      <c r="F8387" t="s">
        <v>35</v>
      </c>
      <c r="G8387" t="s">
        <v>35</v>
      </c>
      <c r="H8387" t="s">
        <v>35</v>
      </c>
      <c r="J8387" t="s">
        <v>7640</v>
      </c>
      <c r="K8387" t="s">
        <v>1092</v>
      </c>
      <c r="M8387">
        <v>7.56</v>
      </c>
      <c r="N8387">
        <v>48</v>
      </c>
      <c r="O8387" t="s">
        <v>52</v>
      </c>
      <c r="Q8387" t="s">
        <v>496</v>
      </c>
      <c r="R8387" t="s">
        <v>6847</v>
      </c>
      <c r="S8387" t="s">
        <v>1034</v>
      </c>
    </row>
    <row r="8388" spans="1:19" x14ac:dyDescent="0.25">
      <c r="A8388" t="s">
        <v>59</v>
      </c>
      <c r="B8388" t="s">
        <v>60</v>
      </c>
      <c r="C8388" t="s">
        <v>32</v>
      </c>
      <c r="D8388" t="s">
        <v>953</v>
      </c>
      <c r="E8388" t="s">
        <v>1077</v>
      </c>
      <c r="F8388" t="s">
        <v>35</v>
      </c>
      <c r="G8388" t="s">
        <v>35</v>
      </c>
      <c r="H8388" t="s">
        <v>35</v>
      </c>
      <c r="J8388" t="s">
        <v>7641</v>
      </c>
      <c r="K8388" t="s">
        <v>1092</v>
      </c>
      <c r="M8388">
        <v>0.02</v>
      </c>
      <c r="N8388">
        <v>67</v>
      </c>
      <c r="O8388" t="s">
        <v>61</v>
      </c>
      <c r="Q8388" t="s">
        <v>1311</v>
      </c>
      <c r="R8388" t="s">
        <v>6939</v>
      </c>
      <c r="S8388" t="s">
        <v>969</v>
      </c>
    </row>
    <row r="8389" spans="1:19" x14ac:dyDescent="0.25">
      <c r="A8389" t="s">
        <v>59</v>
      </c>
      <c r="B8389" t="s">
        <v>31</v>
      </c>
      <c r="C8389" t="s">
        <v>32</v>
      </c>
      <c r="D8389" t="s">
        <v>953</v>
      </c>
      <c r="E8389" t="s">
        <v>1077</v>
      </c>
      <c r="F8389" t="s">
        <v>35</v>
      </c>
      <c r="G8389" t="s">
        <v>35</v>
      </c>
      <c r="H8389" t="s">
        <v>35</v>
      </c>
      <c r="J8389" t="s">
        <v>7642</v>
      </c>
      <c r="K8389" t="s">
        <v>1092</v>
      </c>
      <c r="M8389">
        <v>4.9950000000000001</v>
      </c>
      <c r="N8389">
        <v>59</v>
      </c>
      <c r="O8389" t="s">
        <v>52</v>
      </c>
      <c r="Q8389" t="s">
        <v>84</v>
      </c>
      <c r="R8389" t="s">
        <v>6709</v>
      </c>
      <c r="S8389" t="s">
        <v>1022</v>
      </c>
    </row>
    <row r="8390" spans="1:19" x14ac:dyDescent="0.25">
      <c r="A8390" t="s">
        <v>30</v>
      </c>
      <c r="B8390" t="s">
        <v>31</v>
      </c>
      <c r="C8390" t="s">
        <v>32</v>
      </c>
      <c r="D8390" t="s">
        <v>953</v>
      </c>
      <c r="E8390" t="s">
        <v>1077</v>
      </c>
      <c r="F8390" t="s">
        <v>35</v>
      </c>
      <c r="G8390" t="s">
        <v>35</v>
      </c>
      <c r="H8390" t="s">
        <v>35</v>
      </c>
      <c r="J8390" t="s">
        <v>7642</v>
      </c>
      <c r="K8390" t="s">
        <v>1092</v>
      </c>
      <c r="M8390">
        <v>10.98</v>
      </c>
      <c r="N8390">
        <v>45</v>
      </c>
      <c r="O8390" t="s">
        <v>52</v>
      </c>
      <c r="Q8390" t="s">
        <v>716</v>
      </c>
      <c r="R8390" t="s">
        <v>6709</v>
      </c>
      <c r="S8390" t="s">
        <v>1022</v>
      </c>
    </row>
    <row r="8391" spans="1:19" x14ac:dyDescent="0.25">
      <c r="A8391" t="s">
        <v>44</v>
      </c>
      <c r="B8391" t="s">
        <v>3</v>
      </c>
      <c r="C8391" t="s">
        <v>32</v>
      </c>
      <c r="D8391" t="s">
        <v>953</v>
      </c>
      <c r="E8391" t="s">
        <v>1077</v>
      </c>
      <c r="F8391" t="s">
        <v>35</v>
      </c>
      <c r="G8391" t="s">
        <v>35</v>
      </c>
      <c r="H8391" t="s">
        <v>35</v>
      </c>
      <c r="J8391" t="s">
        <v>7642</v>
      </c>
      <c r="K8391" t="s">
        <v>1092</v>
      </c>
      <c r="M8391">
        <v>10</v>
      </c>
      <c r="N8391">
        <v>62</v>
      </c>
      <c r="O8391" t="s">
        <v>61</v>
      </c>
      <c r="Q8391" t="s">
        <v>90</v>
      </c>
      <c r="R8391" t="s">
        <v>6709</v>
      </c>
      <c r="S8391" t="s">
        <v>1022</v>
      </c>
    </row>
    <row r="8392" spans="1:19" x14ac:dyDescent="0.25">
      <c r="A8392" t="s">
        <v>59</v>
      </c>
      <c r="B8392" t="s">
        <v>60</v>
      </c>
      <c r="C8392" t="s">
        <v>32</v>
      </c>
      <c r="D8392" t="s">
        <v>953</v>
      </c>
      <c r="E8392" t="s">
        <v>1077</v>
      </c>
      <c r="F8392" t="s">
        <v>35</v>
      </c>
      <c r="G8392" t="s">
        <v>35</v>
      </c>
      <c r="H8392" t="s">
        <v>35</v>
      </c>
      <c r="J8392" t="s">
        <v>7643</v>
      </c>
      <c r="K8392" t="s">
        <v>1092</v>
      </c>
      <c r="M8392">
        <v>0.63</v>
      </c>
      <c r="N8392">
        <v>93</v>
      </c>
      <c r="O8392" t="s">
        <v>106</v>
      </c>
      <c r="Q8392" t="s">
        <v>941</v>
      </c>
      <c r="R8392" t="s">
        <v>6742</v>
      </c>
      <c r="S8392" t="s">
        <v>1016</v>
      </c>
    </row>
    <row r="8393" spans="1:19" x14ac:dyDescent="0.25">
      <c r="A8393" t="s">
        <v>44</v>
      </c>
      <c r="B8393" t="s">
        <v>51</v>
      </c>
      <c r="C8393" t="s">
        <v>32</v>
      </c>
      <c r="D8393" t="s">
        <v>953</v>
      </c>
      <c r="E8393" t="s">
        <v>1077</v>
      </c>
      <c r="F8393" t="s">
        <v>35</v>
      </c>
      <c r="G8393" t="s">
        <v>35</v>
      </c>
      <c r="H8393" t="s">
        <v>35</v>
      </c>
      <c r="J8393" t="s">
        <v>7644</v>
      </c>
      <c r="K8393" t="s">
        <v>1092</v>
      </c>
      <c r="M8393">
        <v>2</v>
      </c>
      <c r="N8393">
        <v>228</v>
      </c>
      <c r="O8393" t="s">
        <v>5</v>
      </c>
      <c r="Q8393" t="s">
        <v>1979</v>
      </c>
      <c r="R8393" t="s">
        <v>6720</v>
      </c>
      <c r="S8393" t="s">
        <v>961</v>
      </c>
    </row>
    <row r="8394" spans="1:19" x14ac:dyDescent="0.25">
      <c r="A8394" t="s">
        <v>44</v>
      </c>
      <c r="B8394" t="s">
        <v>51</v>
      </c>
      <c r="C8394" t="s">
        <v>32</v>
      </c>
      <c r="D8394" t="s">
        <v>953</v>
      </c>
      <c r="E8394" t="s">
        <v>1077</v>
      </c>
      <c r="F8394" t="s">
        <v>35</v>
      </c>
      <c r="G8394" t="s">
        <v>35</v>
      </c>
      <c r="H8394" t="s">
        <v>35</v>
      </c>
      <c r="J8394" t="s">
        <v>7644</v>
      </c>
      <c r="K8394" t="s">
        <v>1092</v>
      </c>
      <c r="M8394">
        <v>0.1</v>
      </c>
      <c r="N8394">
        <v>246</v>
      </c>
      <c r="O8394" t="s">
        <v>5</v>
      </c>
      <c r="Q8394" t="s">
        <v>1903</v>
      </c>
      <c r="R8394" t="s">
        <v>6720</v>
      </c>
      <c r="S8394" t="s">
        <v>961</v>
      </c>
    </row>
    <row r="8395" spans="1:19" x14ac:dyDescent="0.25">
      <c r="A8395" t="s">
        <v>44</v>
      </c>
      <c r="B8395" t="s">
        <v>3</v>
      </c>
      <c r="C8395" t="s">
        <v>32</v>
      </c>
      <c r="D8395" t="s">
        <v>953</v>
      </c>
      <c r="E8395" t="s">
        <v>1077</v>
      </c>
      <c r="F8395" t="s">
        <v>35</v>
      </c>
      <c r="G8395" t="s">
        <v>35</v>
      </c>
      <c r="H8395" t="s">
        <v>35</v>
      </c>
      <c r="J8395" t="s">
        <v>7644</v>
      </c>
      <c r="K8395" t="s">
        <v>1092</v>
      </c>
      <c r="M8395">
        <v>2.95</v>
      </c>
      <c r="N8395">
        <v>58</v>
      </c>
      <c r="O8395" t="s">
        <v>52</v>
      </c>
      <c r="Q8395" t="s">
        <v>58</v>
      </c>
      <c r="R8395" t="s">
        <v>6885</v>
      </c>
      <c r="S8395" t="s">
        <v>6886</v>
      </c>
    </row>
    <row r="8396" spans="1:19" x14ac:dyDescent="0.25">
      <c r="A8396" t="s">
        <v>59</v>
      </c>
      <c r="B8396" t="s">
        <v>60</v>
      </c>
      <c r="C8396" t="s">
        <v>32</v>
      </c>
      <c r="D8396" t="s">
        <v>953</v>
      </c>
      <c r="E8396" t="s">
        <v>1077</v>
      </c>
      <c r="F8396" t="s">
        <v>35</v>
      </c>
      <c r="G8396" t="s">
        <v>35</v>
      </c>
      <c r="H8396" t="s">
        <v>35</v>
      </c>
      <c r="J8396" t="s">
        <v>7644</v>
      </c>
      <c r="K8396" t="s">
        <v>1092</v>
      </c>
      <c r="M8396">
        <v>6.95</v>
      </c>
      <c r="N8396">
        <v>74</v>
      </c>
      <c r="O8396" t="s">
        <v>61</v>
      </c>
      <c r="Q8396" t="s">
        <v>488</v>
      </c>
      <c r="R8396" t="s">
        <v>6885</v>
      </c>
      <c r="S8396" t="s">
        <v>6886</v>
      </c>
    </row>
    <row r="8397" spans="1:19" x14ac:dyDescent="0.25">
      <c r="A8397" t="s">
        <v>59</v>
      </c>
      <c r="B8397" t="s">
        <v>60</v>
      </c>
      <c r="C8397" t="s">
        <v>32</v>
      </c>
      <c r="D8397" t="s">
        <v>953</v>
      </c>
      <c r="E8397" t="s">
        <v>1077</v>
      </c>
      <c r="F8397" t="s">
        <v>35</v>
      </c>
      <c r="G8397" t="s">
        <v>35</v>
      </c>
      <c r="H8397" t="s">
        <v>35</v>
      </c>
      <c r="J8397" t="s">
        <v>7645</v>
      </c>
      <c r="K8397" t="s">
        <v>1092</v>
      </c>
      <c r="M8397">
        <v>2</v>
      </c>
      <c r="N8397">
        <v>256</v>
      </c>
      <c r="O8397" t="s">
        <v>5</v>
      </c>
      <c r="Q8397" t="s">
        <v>4299</v>
      </c>
      <c r="R8397" t="s">
        <v>6709</v>
      </c>
      <c r="S8397" t="s">
        <v>1022</v>
      </c>
    </row>
    <row r="8398" spans="1:19" x14ac:dyDescent="0.25">
      <c r="A8398" t="s">
        <v>59</v>
      </c>
      <c r="B8398" t="s">
        <v>60</v>
      </c>
      <c r="C8398" t="s">
        <v>32</v>
      </c>
      <c r="D8398" t="s">
        <v>953</v>
      </c>
      <c r="E8398" t="s">
        <v>1077</v>
      </c>
      <c r="F8398" t="s">
        <v>35</v>
      </c>
      <c r="G8398" t="s">
        <v>35</v>
      </c>
      <c r="H8398" t="s">
        <v>35</v>
      </c>
      <c r="J8398" t="s">
        <v>7645</v>
      </c>
      <c r="K8398" t="s">
        <v>1092</v>
      </c>
      <c r="M8398">
        <v>0.3</v>
      </c>
      <c r="N8398">
        <v>480</v>
      </c>
      <c r="O8398" t="s">
        <v>294</v>
      </c>
      <c r="Q8398" t="s">
        <v>1405</v>
      </c>
      <c r="R8398" t="s">
        <v>7646</v>
      </c>
      <c r="S8398" t="s">
        <v>7647</v>
      </c>
    </row>
    <row r="8399" spans="1:19" x14ac:dyDescent="0.25">
      <c r="A8399" t="s">
        <v>59</v>
      </c>
      <c r="B8399" t="s">
        <v>31</v>
      </c>
      <c r="C8399" t="s">
        <v>32</v>
      </c>
      <c r="D8399" t="s">
        <v>953</v>
      </c>
      <c r="E8399" t="s">
        <v>1077</v>
      </c>
      <c r="F8399" t="s">
        <v>35</v>
      </c>
      <c r="G8399" t="s">
        <v>35</v>
      </c>
      <c r="H8399" t="s">
        <v>35</v>
      </c>
      <c r="J8399" t="s">
        <v>7648</v>
      </c>
      <c r="K8399" t="s">
        <v>1092</v>
      </c>
      <c r="M8399">
        <v>3.4580000000000002</v>
      </c>
      <c r="N8399">
        <v>152</v>
      </c>
      <c r="O8399" t="s">
        <v>38</v>
      </c>
      <c r="Q8399" t="s">
        <v>408</v>
      </c>
      <c r="R8399" t="s">
        <v>6847</v>
      </c>
      <c r="S8399" t="s">
        <v>1034</v>
      </c>
    </row>
    <row r="8400" spans="1:19" x14ac:dyDescent="0.25">
      <c r="A8400" t="s">
        <v>59</v>
      </c>
      <c r="B8400" t="s">
        <v>60</v>
      </c>
      <c r="C8400" t="s">
        <v>32</v>
      </c>
      <c r="D8400" t="s">
        <v>953</v>
      </c>
      <c r="E8400" t="s">
        <v>1077</v>
      </c>
      <c r="F8400" t="s">
        <v>35</v>
      </c>
      <c r="G8400" t="s">
        <v>35</v>
      </c>
      <c r="H8400" t="s">
        <v>35</v>
      </c>
      <c r="J8400" t="s">
        <v>7649</v>
      </c>
      <c r="K8400" t="s">
        <v>1092</v>
      </c>
      <c r="M8400">
        <v>0.55000000000000004</v>
      </c>
      <c r="N8400">
        <v>90</v>
      </c>
      <c r="O8400" t="s">
        <v>61</v>
      </c>
      <c r="Q8400" t="s">
        <v>897</v>
      </c>
      <c r="R8400" t="s">
        <v>6847</v>
      </c>
      <c r="S8400" t="s">
        <v>1034</v>
      </c>
    </row>
    <row r="8401" spans="1:19" x14ac:dyDescent="0.25">
      <c r="A8401" t="s">
        <v>30</v>
      </c>
      <c r="B8401" t="s">
        <v>31</v>
      </c>
      <c r="C8401" t="s">
        <v>32</v>
      </c>
      <c r="D8401" t="s">
        <v>953</v>
      </c>
      <c r="E8401" t="s">
        <v>1077</v>
      </c>
      <c r="F8401" t="s">
        <v>35</v>
      </c>
      <c r="G8401" t="s">
        <v>35</v>
      </c>
      <c r="H8401" t="s">
        <v>35</v>
      </c>
      <c r="J8401" t="s">
        <v>7649</v>
      </c>
      <c r="K8401" t="s">
        <v>1092</v>
      </c>
      <c r="M8401">
        <v>6.2549999999999999</v>
      </c>
      <c r="N8401">
        <v>20</v>
      </c>
      <c r="O8401" t="s">
        <v>46</v>
      </c>
      <c r="Q8401" t="s">
        <v>1004</v>
      </c>
      <c r="R8401" t="s">
        <v>6847</v>
      </c>
      <c r="S8401" t="s">
        <v>1034</v>
      </c>
    </row>
    <row r="8402" spans="1:19" x14ac:dyDescent="0.25">
      <c r="A8402" t="s">
        <v>44</v>
      </c>
      <c r="B8402" t="s">
        <v>51</v>
      </c>
      <c r="C8402" t="s">
        <v>32</v>
      </c>
      <c r="D8402" t="s">
        <v>953</v>
      </c>
      <c r="E8402" t="s">
        <v>1077</v>
      </c>
      <c r="F8402" t="s">
        <v>35</v>
      </c>
      <c r="G8402" t="s">
        <v>35</v>
      </c>
      <c r="H8402" t="s">
        <v>35</v>
      </c>
      <c r="J8402" t="s">
        <v>7649</v>
      </c>
      <c r="K8402" t="s">
        <v>1092</v>
      </c>
      <c r="M8402">
        <v>2.0499999999999998</v>
      </c>
      <c r="N8402">
        <v>61</v>
      </c>
      <c r="O8402" t="s">
        <v>61</v>
      </c>
      <c r="Q8402" t="s">
        <v>671</v>
      </c>
      <c r="R8402" t="s">
        <v>6847</v>
      </c>
      <c r="S8402" t="s">
        <v>1034</v>
      </c>
    </row>
    <row r="8403" spans="1:19" x14ac:dyDescent="0.25">
      <c r="A8403" t="s">
        <v>59</v>
      </c>
      <c r="B8403" t="s">
        <v>60</v>
      </c>
      <c r="C8403" t="s">
        <v>32</v>
      </c>
      <c r="D8403" t="s">
        <v>953</v>
      </c>
      <c r="E8403" t="s">
        <v>1077</v>
      </c>
      <c r="F8403" t="s">
        <v>35</v>
      </c>
      <c r="G8403" t="s">
        <v>35</v>
      </c>
      <c r="H8403" t="s">
        <v>35</v>
      </c>
      <c r="J8403" t="s">
        <v>7650</v>
      </c>
      <c r="K8403" t="s">
        <v>1092</v>
      </c>
      <c r="M8403">
        <v>1.2509999999999999</v>
      </c>
      <c r="N8403">
        <v>329</v>
      </c>
      <c r="O8403" t="s">
        <v>5</v>
      </c>
      <c r="Q8403" t="s">
        <v>7651</v>
      </c>
      <c r="R8403" t="s">
        <v>6709</v>
      </c>
      <c r="S8403" t="s">
        <v>1022</v>
      </c>
    </row>
    <row r="8404" spans="1:19" x14ac:dyDescent="0.25">
      <c r="A8404" t="s">
        <v>59</v>
      </c>
      <c r="B8404" t="s">
        <v>31</v>
      </c>
      <c r="C8404" t="s">
        <v>32</v>
      </c>
      <c r="D8404" t="s">
        <v>953</v>
      </c>
      <c r="E8404" t="s">
        <v>1077</v>
      </c>
      <c r="F8404" t="s">
        <v>35</v>
      </c>
      <c r="G8404" t="s">
        <v>35</v>
      </c>
      <c r="H8404" t="s">
        <v>35</v>
      </c>
      <c r="J8404" t="s">
        <v>7652</v>
      </c>
      <c r="K8404" t="s">
        <v>1092</v>
      </c>
      <c r="M8404">
        <v>1.98</v>
      </c>
      <c r="N8404">
        <v>434</v>
      </c>
      <c r="O8404" t="s">
        <v>294</v>
      </c>
      <c r="Q8404" t="s">
        <v>1370</v>
      </c>
      <c r="R8404" t="s">
        <v>6847</v>
      </c>
      <c r="S8404" t="s">
        <v>1034</v>
      </c>
    </row>
    <row r="8405" spans="1:19" x14ac:dyDescent="0.25">
      <c r="A8405" t="s">
        <v>30</v>
      </c>
      <c r="B8405" t="s">
        <v>31</v>
      </c>
      <c r="C8405" t="s">
        <v>32</v>
      </c>
      <c r="D8405" t="s">
        <v>953</v>
      </c>
      <c r="E8405" t="s">
        <v>1077</v>
      </c>
      <c r="F8405" t="s">
        <v>35</v>
      </c>
      <c r="G8405" t="s">
        <v>35</v>
      </c>
      <c r="H8405" t="s">
        <v>35</v>
      </c>
      <c r="J8405" t="s">
        <v>7653</v>
      </c>
      <c r="K8405" t="s">
        <v>1092</v>
      </c>
      <c r="M8405">
        <v>9.9</v>
      </c>
      <c r="N8405">
        <v>47</v>
      </c>
      <c r="O8405" t="s">
        <v>52</v>
      </c>
      <c r="Q8405" t="s">
        <v>132</v>
      </c>
      <c r="R8405" t="s">
        <v>987</v>
      </c>
      <c r="S8405" t="s">
        <v>988</v>
      </c>
    </row>
    <row r="8406" spans="1:19" x14ac:dyDescent="0.25">
      <c r="A8406" t="s">
        <v>59</v>
      </c>
      <c r="B8406" t="s">
        <v>60</v>
      </c>
      <c r="C8406" t="s">
        <v>32</v>
      </c>
      <c r="D8406" t="s">
        <v>953</v>
      </c>
      <c r="E8406" t="s">
        <v>1077</v>
      </c>
      <c r="F8406" t="s">
        <v>35</v>
      </c>
      <c r="G8406" t="s">
        <v>35</v>
      </c>
      <c r="H8406" t="s">
        <v>35</v>
      </c>
      <c r="J8406" t="s">
        <v>7653</v>
      </c>
      <c r="K8406" t="s">
        <v>1092</v>
      </c>
      <c r="M8406">
        <v>8.8000000000000007</v>
      </c>
      <c r="N8406">
        <v>54</v>
      </c>
      <c r="O8406" t="s">
        <v>52</v>
      </c>
      <c r="Q8406" t="s">
        <v>1207</v>
      </c>
      <c r="R8406" t="s">
        <v>133</v>
      </c>
      <c r="S8406" t="s">
        <v>134</v>
      </c>
    </row>
    <row r="8407" spans="1:19" x14ac:dyDescent="0.25">
      <c r="A8407" t="s">
        <v>59</v>
      </c>
      <c r="B8407" t="s">
        <v>31</v>
      </c>
      <c r="C8407" t="s">
        <v>32</v>
      </c>
      <c r="D8407" t="s">
        <v>953</v>
      </c>
      <c r="E8407" t="s">
        <v>1077</v>
      </c>
      <c r="F8407" t="s">
        <v>35</v>
      </c>
      <c r="G8407" t="s">
        <v>35</v>
      </c>
      <c r="H8407" t="s">
        <v>35</v>
      </c>
      <c r="J8407" t="s">
        <v>7653</v>
      </c>
      <c r="K8407" t="s">
        <v>1092</v>
      </c>
      <c r="M8407">
        <v>3.2850000000000001</v>
      </c>
      <c r="N8407">
        <v>62</v>
      </c>
      <c r="O8407" t="s">
        <v>61</v>
      </c>
      <c r="Q8407" t="s">
        <v>90</v>
      </c>
      <c r="R8407" t="s">
        <v>6705</v>
      </c>
      <c r="S8407" t="s">
        <v>981</v>
      </c>
    </row>
    <row r="8408" spans="1:19" x14ac:dyDescent="0.25">
      <c r="A8408" t="s">
        <v>59</v>
      </c>
      <c r="B8408" t="s">
        <v>31</v>
      </c>
      <c r="C8408" t="s">
        <v>32</v>
      </c>
      <c r="D8408" t="s">
        <v>953</v>
      </c>
      <c r="E8408" t="s">
        <v>1077</v>
      </c>
      <c r="F8408" t="s">
        <v>35</v>
      </c>
      <c r="G8408" t="s">
        <v>35</v>
      </c>
      <c r="H8408" t="s">
        <v>35</v>
      </c>
      <c r="J8408" t="s">
        <v>7653</v>
      </c>
      <c r="K8408" t="s">
        <v>1092</v>
      </c>
      <c r="M8408">
        <v>4.9950000000000001</v>
      </c>
      <c r="N8408">
        <v>62</v>
      </c>
      <c r="O8408" t="s">
        <v>61</v>
      </c>
      <c r="Q8408" t="s">
        <v>90</v>
      </c>
      <c r="R8408" t="s">
        <v>6865</v>
      </c>
      <c r="S8408" t="s">
        <v>984</v>
      </c>
    </row>
    <row r="8409" spans="1:19" x14ac:dyDescent="0.25">
      <c r="A8409" t="s">
        <v>44</v>
      </c>
      <c r="B8409" t="s">
        <v>3</v>
      </c>
      <c r="C8409" t="s">
        <v>32</v>
      </c>
      <c r="D8409" t="s">
        <v>953</v>
      </c>
      <c r="E8409" t="s">
        <v>1077</v>
      </c>
      <c r="F8409" t="s">
        <v>35</v>
      </c>
      <c r="G8409" t="s">
        <v>35</v>
      </c>
      <c r="H8409" t="s">
        <v>35</v>
      </c>
      <c r="J8409" t="s">
        <v>7653</v>
      </c>
      <c r="K8409" t="s">
        <v>1092</v>
      </c>
      <c r="M8409">
        <v>0.2</v>
      </c>
      <c r="N8409">
        <v>486</v>
      </c>
      <c r="O8409" t="s">
        <v>294</v>
      </c>
      <c r="Q8409" t="s">
        <v>4765</v>
      </c>
      <c r="R8409" t="s">
        <v>6897</v>
      </c>
      <c r="S8409" t="s">
        <v>1062</v>
      </c>
    </row>
    <row r="8410" spans="1:19" x14ac:dyDescent="0.25">
      <c r="A8410" t="s">
        <v>30</v>
      </c>
      <c r="B8410" t="s">
        <v>31</v>
      </c>
      <c r="C8410" t="s">
        <v>32</v>
      </c>
      <c r="D8410" t="s">
        <v>953</v>
      </c>
      <c r="E8410" t="s">
        <v>1077</v>
      </c>
      <c r="F8410" t="s">
        <v>35</v>
      </c>
      <c r="G8410" t="s">
        <v>35</v>
      </c>
      <c r="H8410" t="s">
        <v>35</v>
      </c>
      <c r="J8410" t="s">
        <v>7654</v>
      </c>
      <c r="K8410" t="s">
        <v>1092</v>
      </c>
      <c r="M8410">
        <v>4.8600000000000003</v>
      </c>
      <c r="N8410">
        <v>38</v>
      </c>
      <c r="O8410" t="s">
        <v>52</v>
      </c>
      <c r="Q8410" t="s">
        <v>748</v>
      </c>
      <c r="R8410" t="s">
        <v>133</v>
      </c>
      <c r="S8410" t="s">
        <v>134</v>
      </c>
    </row>
    <row r="8411" spans="1:19" x14ac:dyDescent="0.25">
      <c r="A8411" t="s">
        <v>59</v>
      </c>
      <c r="B8411" t="s">
        <v>60</v>
      </c>
      <c r="C8411" t="s">
        <v>32</v>
      </c>
      <c r="D8411" t="s">
        <v>953</v>
      </c>
      <c r="E8411" t="s">
        <v>1077</v>
      </c>
      <c r="F8411" t="s">
        <v>35</v>
      </c>
      <c r="G8411" t="s">
        <v>35</v>
      </c>
      <c r="H8411" t="s">
        <v>35</v>
      </c>
      <c r="J8411" t="s">
        <v>7655</v>
      </c>
      <c r="K8411" t="s">
        <v>1092</v>
      </c>
      <c r="M8411">
        <v>7.2759999999999998</v>
      </c>
      <c r="N8411">
        <v>174</v>
      </c>
      <c r="O8411" t="s">
        <v>38</v>
      </c>
      <c r="Q8411" t="s">
        <v>1565</v>
      </c>
      <c r="R8411" t="s">
        <v>6807</v>
      </c>
      <c r="S8411" t="s">
        <v>1066</v>
      </c>
    </row>
    <row r="8412" spans="1:19" x14ac:dyDescent="0.25">
      <c r="A8412" t="s">
        <v>30</v>
      </c>
      <c r="B8412" t="s">
        <v>31</v>
      </c>
      <c r="C8412" t="s">
        <v>32</v>
      </c>
      <c r="D8412" t="s">
        <v>953</v>
      </c>
      <c r="E8412" t="s">
        <v>1077</v>
      </c>
      <c r="F8412" t="s">
        <v>35</v>
      </c>
      <c r="G8412" t="s">
        <v>35</v>
      </c>
      <c r="H8412" t="s">
        <v>35</v>
      </c>
      <c r="J8412" t="s">
        <v>7656</v>
      </c>
      <c r="K8412" t="s">
        <v>1092</v>
      </c>
      <c r="M8412">
        <v>0.9</v>
      </c>
      <c r="N8412">
        <v>12</v>
      </c>
      <c r="O8412" t="s">
        <v>46</v>
      </c>
      <c r="Q8412" t="s">
        <v>1865</v>
      </c>
      <c r="R8412" t="s">
        <v>6707</v>
      </c>
      <c r="S8412" t="s">
        <v>955</v>
      </c>
    </row>
    <row r="8413" spans="1:19" x14ac:dyDescent="0.25">
      <c r="A8413" t="s">
        <v>59</v>
      </c>
      <c r="B8413" t="s">
        <v>60</v>
      </c>
      <c r="C8413" t="s">
        <v>32</v>
      </c>
      <c r="D8413" t="s">
        <v>953</v>
      </c>
      <c r="E8413" t="s">
        <v>1077</v>
      </c>
      <c r="F8413" t="s">
        <v>35</v>
      </c>
      <c r="G8413" t="s">
        <v>35</v>
      </c>
      <c r="H8413" t="s">
        <v>35</v>
      </c>
      <c r="J8413" t="s">
        <v>7656</v>
      </c>
      <c r="K8413" t="s">
        <v>1092</v>
      </c>
      <c r="M8413">
        <v>1</v>
      </c>
      <c r="N8413">
        <v>223</v>
      </c>
      <c r="O8413" t="s">
        <v>5</v>
      </c>
      <c r="Q8413" t="s">
        <v>3310</v>
      </c>
      <c r="R8413" t="s">
        <v>6716</v>
      </c>
      <c r="S8413" t="s">
        <v>6717</v>
      </c>
    </row>
    <row r="8414" spans="1:19" x14ac:dyDescent="0.25">
      <c r="A8414" t="s">
        <v>44</v>
      </c>
      <c r="B8414" t="s">
        <v>51</v>
      </c>
      <c r="C8414" t="s">
        <v>32</v>
      </c>
      <c r="D8414" t="s">
        <v>953</v>
      </c>
      <c r="E8414" t="s">
        <v>1077</v>
      </c>
      <c r="F8414" t="s">
        <v>35</v>
      </c>
      <c r="G8414" t="s">
        <v>35</v>
      </c>
      <c r="H8414" t="s">
        <v>35</v>
      </c>
      <c r="J8414" t="s">
        <v>7656</v>
      </c>
      <c r="K8414" t="s">
        <v>1092</v>
      </c>
      <c r="M8414">
        <v>0.25</v>
      </c>
      <c r="N8414">
        <v>12</v>
      </c>
      <c r="O8414" t="s">
        <v>46</v>
      </c>
      <c r="Q8414" t="s">
        <v>1865</v>
      </c>
      <c r="R8414" t="s">
        <v>6707</v>
      </c>
      <c r="S8414" t="s">
        <v>955</v>
      </c>
    </row>
    <row r="8415" spans="1:19" x14ac:dyDescent="0.25">
      <c r="A8415" t="s">
        <v>59</v>
      </c>
      <c r="B8415" t="s">
        <v>60</v>
      </c>
      <c r="C8415" t="s">
        <v>32</v>
      </c>
      <c r="D8415" t="s">
        <v>953</v>
      </c>
      <c r="E8415" t="s">
        <v>1077</v>
      </c>
      <c r="F8415" t="s">
        <v>35</v>
      </c>
      <c r="G8415" t="s">
        <v>35</v>
      </c>
      <c r="H8415" t="s">
        <v>35</v>
      </c>
      <c r="J8415" t="s">
        <v>7656</v>
      </c>
      <c r="K8415" t="s">
        <v>1092</v>
      </c>
      <c r="M8415">
        <v>0.25</v>
      </c>
      <c r="N8415">
        <v>224</v>
      </c>
      <c r="O8415" t="s">
        <v>5</v>
      </c>
      <c r="Q8415" t="s">
        <v>1150</v>
      </c>
      <c r="R8415" t="s">
        <v>6746</v>
      </c>
      <c r="S8415" t="s">
        <v>6747</v>
      </c>
    </row>
    <row r="8416" spans="1:19" x14ac:dyDescent="0.25">
      <c r="A8416" t="s">
        <v>59</v>
      </c>
      <c r="B8416" t="s">
        <v>60</v>
      </c>
      <c r="C8416" t="s">
        <v>32</v>
      </c>
      <c r="D8416" t="s">
        <v>953</v>
      </c>
      <c r="E8416" t="s">
        <v>1077</v>
      </c>
      <c r="F8416" t="s">
        <v>35</v>
      </c>
      <c r="G8416" t="s">
        <v>35</v>
      </c>
      <c r="H8416" t="s">
        <v>35</v>
      </c>
      <c r="J8416" t="s">
        <v>7656</v>
      </c>
      <c r="K8416" t="s">
        <v>1092</v>
      </c>
      <c r="M8416">
        <v>0.75</v>
      </c>
      <c r="N8416">
        <v>130</v>
      </c>
      <c r="O8416" t="s">
        <v>38</v>
      </c>
      <c r="Q8416" t="s">
        <v>1656</v>
      </c>
      <c r="R8416" t="s">
        <v>6746</v>
      </c>
      <c r="S8416" t="s">
        <v>6747</v>
      </c>
    </row>
    <row r="8417" spans="1:19" x14ac:dyDescent="0.25">
      <c r="A8417" t="s">
        <v>59</v>
      </c>
      <c r="B8417" t="s">
        <v>60</v>
      </c>
      <c r="C8417" t="s">
        <v>32</v>
      </c>
      <c r="D8417" t="s">
        <v>953</v>
      </c>
      <c r="E8417" t="s">
        <v>1077</v>
      </c>
      <c r="F8417" t="s">
        <v>35</v>
      </c>
      <c r="G8417" t="s">
        <v>35</v>
      </c>
      <c r="H8417" t="s">
        <v>35</v>
      </c>
      <c r="J8417" t="s">
        <v>7656</v>
      </c>
      <c r="K8417" t="s">
        <v>1092</v>
      </c>
      <c r="M8417">
        <v>1.5</v>
      </c>
      <c r="N8417">
        <v>88</v>
      </c>
      <c r="O8417" t="s">
        <v>61</v>
      </c>
      <c r="Q8417" t="s">
        <v>858</v>
      </c>
      <c r="R8417" t="s">
        <v>6716</v>
      </c>
      <c r="S8417" t="s">
        <v>6717</v>
      </c>
    </row>
    <row r="8418" spans="1:19" x14ac:dyDescent="0.25">
      <c r="A8418" t="s">
        <v>59</v>
      </c>
      <c r="B8418" t="s">
        <v>60</v>
      </c>
      <c r="C8418" t="s">
        <v>32</v>
      </c>
      <c r="D8418" t="s">
        <v>953</v>
      </c>
      <c r="E8418" t="s">
        <v>1077</v>
      </c>
      <c r="F8418" t="s">
        <v>35</v>
      </c>
      <c r="G8418" t="s">
        <v>35</v>
      </c>
      <c r="H8418" t="s">
        <v>35</v>
      </c>
      <c r="J8418" t="s">
        <v>7657</v>
      </c>
      <c r="K8418" t="s">
        <v>1092</v>
      </c>
      <c r="M8418">
        <v>0.1</v>
      </c>
      <c r="N8418">
        <v>1134</v>
      </c>
      <c r="O8418" t="s">
        <v>575</v>
      </c>
      <c r="Q8418" t="s">
        <v>4716</v>
      </c>
      <c r="R8418" t="s">
        <v>6707</v>
      </c>
      <c r="S8418" t="s">
        <v>955</v>
      </c>
    </row>
    <row r="8419" spans="1:19" x14ac:dyDescent="0.25">
      <c r="A8419" t="s">
        <v>59</v>
      </c>
      <c r="B8419" t="s">
        <v>60</v>
      </c>
      <c r="C8419" t="s">
        <v>32</v>
      </c>
      <c r="D8419" t="s">
        <v>953</v>
      </c>
      <c r="E8419" t="s">
        <v>1077</v>
      </c>
      <c r="F8419" t="s">
        <v>35</v>
      </c>
      <c r="G8419" t="s">
        <v>35</v>
      </c>
      <c r="H8419" t="s">
        <v>35</v>
      </c>
      <c r="J8419" t="s">
        <v>7657</v>
      </c>
      <c r="K8419" t="s">
        <v>1092</v>
      </c>
      <c r="M8419">
        <v>1</v>
      </c>
      <c r="N8419">
        <v>789</v>
      </c>
      <c r="O8419" t="s">
        <v>575</v>
      </c>
      <c r="Q8419" t="s">
        <v>7659</v>
      </c>
      <c r="R8419" t="s">
        <v>6707</v>
      </c>
      <c r="S8419" t="s">
        <v>955</v>
      </c>
    </row>
    <row r="8420" spans="1:19" x14ac:dyDescent="0.25">
      <c r="A8420" t="s">
        <v>59</v>
      </c>
      <c r="B8420" t="s">
        <v>60</v>
      </c>
      <c r="C8420" t="s">
        <v>32</v>
      </c>
      <c r="D8420" t="s">
        <v>953</v>
      </c>
      <c r="E8420" t="s">
        <v>1077</v>
      </c>
      <c r="F8420" t="s">
        <v>35</v>
      </c>
      <c r="G8420" t="s">
        <v>35</v>
      </c>
      <c r="H8420" t="s">
        <v>35</v>
      </c>
      <c r="J8420" t="s">
        <v>7657</v>
      </c>
      <c r="K8420" t="s">
        <v>1092</v>
      </c>
      <c r="M8420">
        <v>1</v>
      </c>
      <c r="N8420">
        <v>793</v>
      </c>
      <c r="O8420" t="s">
        <v>575</v>
      </c>
      <c r="Q8420" t="s">
        <v>7658</v>
      </c>
      <c r="R8420" t="s">
        <v>6707</v>
      </c>
      <c r="S8420" t="s">
        <v>955</v>
      </c>
    </row>
    <row r="8421" spans="1:19" x14ac:dyDescent="0.25">
      <c r="A8421" t="s">
        <v>59</v>
      </c>
      <c r="B8421" t="s">
        <v>60</v>
      </c>
      <c r="C8421" t="s">
        <v>32</v>
      </c>
      <c r="D8421" t="s">
        <v>953</v>
      </c>
      <c r="E8421" t="s">
        <v>1077</v>
      </c>
      <c r="F8421" t="s">
        <v>35</v>
      </c>
      <c r="G8421" t="s">
        <v>35</v>
      </c>
      <c r="H8421" t="s">
        <v>35</v>
      </c>
      <c r="J8421" t="s">
        <v>7657</v>
      </c>
      <c r="K8421" t="s">
        <v>1092</v>
      </c>
      <c r="M8421">
        <v>0.5</v>
      </c>
      <c r="N8421">
        <v>946</v>
      </c>
      <c r="O8421" t="s">
        <v>575</v>
      </c>
      <c r="Q8421" t="s">
        <v>7660</v>
      </c>
      <c r="R8421" t="s">
        <v>6707</v>
      </c>
      <c r="S8421" t="s">
        <v>955</v>
      </c>
    </row>
    <row r="8422" spans="1:19" x14ac:dyDescent="0.25">
      <c r="A8422" t="s">
        <v>30</v>
      </c>
      <c r="B8422" t="s">
        <v>31</v>
      </c>
      <c r="C8422" t="s">
        <v>32</v>
      </c>
      <c r="D8422" t="s">
        <v>953</v>
      </c>
      <c r="E8422" t="s">
        <v>1077</v>
      </c>
      <c r="F8422" t="s">
        <v>35</v>
      </c>
      <c r="G8422" t="s">
        <v>35</v>
      </c>
      <c r="H8422" t="s">
        <v>35</v>
      </c>
      <c r="J8422" t="s">
        <v>7657</v>
      </c>
      <c r="K8422" t="s">
        <v>1092</v>
      </c>
      <c r="M8422">
        <v>7.6050000000000004</v>
      </c>
      <c r="N8422">
        <v>283</v>
      </c>
      <c r="O8422" t="s">
        <v>5</v>
      </c>
      <c r="Q8422" t="s">
        <v>1771</v>
      </c>
      <c r="R8422" t="s">
        <v>6707</v>
      </c>
      <c r="S8422" t="s">
        <v>955</v>
      </c>
    </row>
    <row r="8423" spans="1:19" x14ac:dyDescent="0.25">
      <c r="A8423" t="s">
        <v>44</v>
      </c>
      <c r="B8423" t="s">
        <v>3</v>
      </c>
      <c r="C8423" t="s">
        <v>32</v>
      </c>
      <c r="D8423" t="s">
        <v>953</v>
      </c>
      <c r="E8423" t="s">
        <v>1077</v>
      </c>
      <c r="F8423" t="s">
        <v>35</v>
      </c>
      <c r="G8423" t="s">
        <v>35</v>
      </c>
      <c r="H8423" t="s">
        <v>35</v>
      </c>
      <c r="J8423" t="s">
        <v>7661</v>
      </c>
      <c r="K8423" t="s">
        <v>1092</v>
      </c>
      <c r="M8423">
        <v>0.4</v>
      </c>
      <c r="N8423">
        <v>45</v>
      </c>
      <c r="O8423" t="s">
        <v>52</v>
      </c>
      <c r="Q8423" t="s">
        <v>716</v>
      </c>
      <c r="R8423" t="s">
        <v>6721</v>
      </c>
      <c r="S8423" t="s">
        <v>1078</v>
      </c>
    </row>
    <row r="8424" spans="1:19" x14ac:dyDescent="0.25">
      <c r="A8424" t="s">
        <v>44</v>
      </c>
      <c r="B8424" t="s">
        <v>3</v>
      </c>
      <c r="C8424" t="s">
        <v>32</v>
      </c>
      <c r="D8424" t="s">
        <v>953</v>
      </c>
      <c r="E8424" t="s">
        <v>1077</v>
      </c>
      <c r="F8424" t="s">
        <v>35</v>
      </c>
      <c r="G8424" t="s">
        <v>35</v>
      </c>
      <c r="H8424" t="s">
        <v>35</v>
      </c>
      <c r="J8424" t="s">
        <v>7661</v>
      </c>
      <c r="K8424" t="s">
        <v>1092</v>
      </c>
      <c r="M8424">
        <v>0.1</v>
      </c>
      <c r="N8424">
        <v>57</v>
      </c>
      <c r="O8424" t="s">
        <v>52</v>
      </c>
      <c r="Q8424" t="s">
        <v>665</v>
      </c>
      <c r="R8424" t="s">
        <v>6721</v>
      </c>
      <c r="S8424" t="s">
        <v>1078</v>
      </c>
    </row>
    <row r="8425" spans="1:19" x14ac:dyDescent="0.25">
      <c r="A8425" t="s">
        <v>59</v>
      </c>
      <c r="B8425" t="s">
        <v>31</v>
      </c>
      <c r="C8425" t="s">
        <v>32</v>
      </c>
      <c r="D8425" t="s">
        <v>953</v>
      </c>
      <c r="E8425" t="s">
        <v>1077</v>
      </c>
      <c r="F8425" t="s">
        <v>35</v>
      </c>
      <c r="G8425" t="s">
        <v>35</v>
      </c>
      <c r="H8425" t="s">
        <v>35</v>
      </c>
      <c r="J8425" t="s">
        <v>7662</v>
      </c>
      <c r="K8425" t="s">
        <v>1092</v>
      </c>
      <c r="M8425">
        <v>4.9050000000000002</v>
      </c>
      <c r="N8425">
        <v>9</v>
      </c>
      <c r="O8425" t="s">
        <v>46</v>
      </c>
      <c r="Q8425" t="s">
        <v>2009</v>
      </c>
      <c r="R8425" t="s">
        <v>6939</v>
      </c>
      <c r="S8425" t="s">
        <v>969</v>
      </c>
    </row>
    <row r="8426" spans="1:19" x14ac:dyDescent="0.25">
      <c r="A8426" t="s">
        <v>59</v>
      </c>
      <c r="B8426" t="s">
        <v>31</v>
      </c>
      <c r="C8426" t="s">
        <v>32</v>
      </c>
      <c r="D8426" t="s">
        <v>953</v>
      </c>
      <c r="E8426" t="s">
        <v>1077</v>
      </c>
      <c r="F8426" t="s">
        <v>35</v>
      </c>
      <c r="G8426" t="s">
        <v>35</v>
      </c>
      <c r="H8426" t="s">
        <v>35</v>
      </c>
      <c r="J8426" t="s">
        <v>7663</v>
      </c>
      <c r="K8426" t="s">
        <v>1092</v>
      </c>
      <c r="M8426">
        <v>0.76500000000000001</v>
      </c>
      <c r="N8426">
        <v>90</v>
      </c>
      <c r="O8426" t="s">
        <v>61</v>
      </c>
      <c r="Q8426" t="s">
        <v>897</v>
      </c>
      <c r="R8426" t="s">
        <v>6847</v>
      </c>
      <c r="S8426" t="s">
        <v>1034</v>
      </c>
    </row>
    <row r="8427" spans="1:19" x14ac:dyDescent="0.25">
      <c r="A8427" t="s">
        <v>44</v>
      </c>
      <c r="B8427" t="s">
        <v>51</v>
      </c>
      <c r="C8427" t="s">
        <v>32</v>
      </c>
      <c r="D8427" t="s">
        <v>953</v>
      </c>
      <c r="E8427" t="s">
        <v>1077</v>
      </c>
      <c r="F8427" t="s">
        <v>35</v>
      </c>
      <c r="G8427" t="s">
        <v>35</v>
      </c>
      <c r="H8427" t="s">
        <v>35</v>
      </c>
      <c r="J8427" t="s">
        <v>7663</v>
      </c>
      <c r="K8427" t="s">
        <v>1092</v>
      </c>
      <c r="M8427">
        <v>1.5</v>
      </c>
      <c r="N8427">
        <v>61</v>
      </c>
      <c r="O8427" t="s">
        <v>61</v>
      </c>
      <c r="Q8427" t="s">
        <v>671</v>
      </c>
      <c r="R8427" t="s">
        <v>6847</v>
      </c>
      <c r="S8427" t="s">
        <v>1034</v>
      </c>
    </row>
    <row r="8428" spans="1:19" x14ac:dyDescent="0.25">
      <c r="A8428" t="s">
        <v>59</v>
      </c>
      <c r="B8428" t="s">
        <v>60</v>
      </c>
      <c r="C8428" t="s">
        <v>32</v>
      </c>
      <c r="D8428" t="s">
        <v>953</v>
      </c>
      <c r="E8428" t="s">
        <v>1077</v>
      </c>
      <c r="F8428" t="s">
        <v>35</v>
      </c>
      <c r="G8428" t="s">
        <v>35</v>
      </c>
      <c r="H8428" t="s">
        <v>35</v>
      </c>
      <c r="J8428" t="s">
        <v>7663</v>
      </c>
      <c r="K8428" t="s">
        <v>1092</v>
      </c>
      <c r="M8428">
        <v>1.25</v>
      </c>
      <c r="N8428">
        <v>90</v>
      </c>
      <c r="O8428" t="s">
        <v>61</v>
      </c>
      <c r="Q8428" t="s">
        <v>897</v>
      </c>
      <c r="R8428" t="s">
        <v>6847</v>
      </c>
      <c r="S8428" t="s">
        <v>1034</v>
      </c>
    </row>
    <row r="8429" spans="1:19" x14ac:dyDescent="0.25">
      <c r="A8429" t="s">
        <v>44</v>
      </c>
      <c r="B8429" t="s">
        <v>3</v>
      </c>
      <c r="C8429" t="s">
        <v>32</v>
      </c>
      <c r="D8429" t="s">
        <v>953</v>
      </c>
      <c r="E8429" t="s">
        <v>1077</v>
      </c>
      <c r="F8429" t="s">
        <v>35</v>
      </c>
      <c r="G8429" t="s">
        <v>35</v>
      </c>
      <c r="H8429" t="s">
        <v>35</v>
      </c>
      <c r="J8429" t="s">
        <v>7664</v>
      </c>
      <c r="K8429" t="s">
        <v>1092</v>
      </c>
      <c r="M8429">
        <v>0.25</v>
      </c>
      <c r="N8429">
        <v>449</v>
      </c>
      <c r="O8429" t="s">
        <v>294</v>
      </c>
      <c r="Q8429" t="s">
        <v>7665</v>
      </c>
      <c r="R8429" t="s">
        <v>6721</v>
      </c>
      <c r="S8429" t="s">
        <v>1078</v>
      </c>
    </row>
    <row r="8430" spans="1:19" x14ac:dyDescent="0.25">
      <c r="A8430" t="s">
        <v>59</v>
      </c>
      <c r="B8430" t="s">
        <v>60</v>
      </c>
      <c r="C8430" t="s">
        <v>32</v>
      </c>
      <c r="D8430" t="s">
        <v>953</v>
      </c>
      <c r="E8430" t="s">
        <v>1077</v>
      </c>
      <c r="F8430" t="s">
        <v>35</v>
      </c>
      <c r="G8430" t="s">
        <v>35</v>
      </c>
      <c r="H8430" t="s">
        <v>35</v>
      </c>
      <c r="J8430" t="s">
        <v>7664</v>
      </c>
      <c r="K8430" t="s">
        <v>1092</v>
      </c>
      <c r="M8430">
        <v>0.5</v>
      </c>
      <c r="N8430">
        <v>113</v>
      </c>
      <c r="O8430" t="s">
        <v>106</v>
      </c>
      <c r="Q8430" t="s">
        <v>6066</v>
      </c>
      <c r="R8430" t="s">
        <v>6721</v>
      </c>
      <c r="S8430" t="s">
        <v>1078</v>
      </c>
    </row>
    <row r="8431" spans="1:19" x14ac:dyDescent="0.25">
      <c r="A8431" t="s">
        <v>44</v>
      </c>
      <c r="B8431" t="s">
        <v>3</v>
      </c>
      <c r="C8431" t="s">
        <v>32</v>
      </c>
      <c r="D8431" t="s">
        <v>953</v>
      </c>
      <c r="E8431" t="s">
        <v>1077</v>
      </c>
      <c r="F8431" t="s">
        <v>35</v>
      </c>
      <c r="G8431" t="s">
        <v>35</v>
      </c>
      <c r="H8431" t="s">
        <v>35</v>
      </c>
      <c r="J8431" t="s">
        <v>7664</v>
      </c>
      <c r="K8431" t="s">
        <v>1092</v>
      </c>
      <c r="M8431">
        <v>0.2</v>
      </c>
      <c r="N8431">
        <v>463</v>
      </c>
      <c r="O8431" t="s">
        <v>294</v>
      </c>
      <c r="Q8431" t="s">
        <v>4882</v>
      </c>
      <c r="R8431" t="s">
        <v>6721</v>
      </c>
      <c r="S8431" t="s">
        <v>1078</v>
      </c>
    </row>
    <row r="8432" spans="1:19" x14ac:dyDescent="0.25">
      <c r="A8432" t="s">
        <v>59</v>
      </c>
      <c r="B8432" t="s">
        <v>60</v>
      </c>
      <c r="C8432" t="s">
        <v>32</v>
      </c>
      <c r="D8432" t="s">
        <v>953</v>
      </c>
      <c r="E8432" t="s">
        <v>1077</v>
      </c>
      <c r="F8432" t="s">
        <v>35</v>
      </c>
      <c r="G8432" t="s">
        <v>35</v>
      </c>
      <c r="H8432" t="s">
        <v>35</v>
      </c>
      <c r="J8432" t="s">
        <v>7664</v>
      </c>
      <c r="K8432" t="s">
        <v>1092</v>
      </c>
      <c r="M8432">
        <v>0.5</v>
      </c>
      <c r="N8432">
        <v>45</v>
      </c>
      <c r="O8432" t="s">
        <v>52</v>
      </c>
      <c r="Q8432" t="s">
        <v>716</v>
      </c>
      <c r="R8432" t="s">
        <v>6721</v>
      </c>
      <c r="S8432" t="s">
        <v>1078</v>
      </c>
    </row>
    <row r="8433" spans="1:19" x14ac:dyDescent="0.25">
      <c r="A8433" t="s">
        <v>44</v>
      </c>
      <c r="B8433" t="s">
        <v>51</v>
      </c>
      <c r="C8433" t="s">
        <v>32</v>
      </c>
      <c r="D8433" t="s">
        <v>953</v>
      </c>
      <c r="E8433" t="s">
        <v>1077</v>
      </c>
      <c r="F8433" t="s">
        <v>35</v>
      </c>
      <c r="G8433" t="s">
        <v>35</v>
      </c>
      <c r="H8433" t="s">
        <v>35</v>
      </c>
      <c r="J8433" t="s">
        <v>7664</v>
      </c>
      <c r="K8433" t="s">
        <v>1092</v>
      </c>
      <c r="M8433">
        <v>0.5</v>
      </c>
      <c r="N8433">
        <v>45</v>
      </c>
      <c r="O8433" t="s">
        <v>52</v>
      </c>
      <c r="Q8433" t="s">
        <v>716</v>
      </c>
      <c r="R8433" t="s">
        <v>6721</v>
      </c>
      <c r="S8433" t="s">
        <v>1078</v>
      </c>
    </row>
    <row r="8434" spans="1:19" x14ac:dyDescent="0.25">
      <c r="A8434" t="s">
        <v>44</v>
      </c>
      <c r="B8434" t="s">
        <v>3</v>
      </c>
      <c r="C8434" t="s">
        <v>32</v>
      </c>
      <c r="D8434" t="s">
        <v>953</v>
      </c>
      <c r="E8434" t="s">
        <v>1077</v>
      </c>
      <c r="F8434" t="s">
        <v>35</v>
      </c>
      <c r="G8434" t="s">
        <v>35</v>
      </c>
      <c r="H8434" t="s">
        <v>35</v>
      </c>
      <c r="J8434" t="s">
        <v>7664</v>
      </c>
      <c r="K8434" t="s">
        <v>1092</v>
      </c>
      <c r="M8434">
        <v>0.5</v>
      </c>
      <c r="N8434">
        <v>45</v>
      </c>
      <c r="O8434" t="s">
        <v>52</v>
      </c>
      <c r="Q8434" t="s">
        <v>716</v>
      </c>
      <c r="R8434" t="s">
        <v>6721</v>
      </c>
      <c r="S8434" t="s">
        <v>1078</v>
      </c>
    </row>
    <row r="8435" spans="1:19" x14ac:dyDescent="0.25">
      <c r="A8435" t="s">
        <v>59</v>
      </c>
      <c r="B8435" t="s">
        <v>31</v>
      </c>
      <c r="C8435" t="s">
        <v>32</v>
      </c>
      <c r="D8435" t="s">
        <v>953</v>
      </c>
      <c r="E8435" t="s">
        <v>1077</v>
      </c>
      <c r="F8435" t="s">
        <v>35</v>
      </c>
      <c r="G8435" t="s">
        <v>35</v>
      </c>
      <c r="H8435" t="s">
        <v>35</v>
      </c>
      <c r="J8435" t="s">
        <v>7664</v>
      </c>
      <c r="K8435" t="s">
        <v>1092</v>
      </c>
      <c r="M8435">
        <v>5.0000000000000001E-3</v>
      </c>
      <c r="N8435">
        <v>356</v>
      </c>
      <c r="O8435" t="s">
        <v>5</v>
      </c>
      <c r="Q8435" t="s">
        <v>4728</v>
      </c>
      <c r="R8435" t="s">
        <v>6721</v>
      </c>
      <c r="S8435" t="s">
        <v>1078</v>
      </c>
    </row>
    <row r="8436" spans="1:19" x14ac:dyDescent="0.25">
      <c r="A8436" t="s">
        <v>59</v>
      </c>
      <c r="B8436" t="s">
        <v>60</v>
      </c>
      <c r="C8436" t="s">
        <v>32</v>
      </c>
      <c r="D8436" t="s">
        <v>953</v>
      </c>
      <c r="E8436" t="s">
        <v>1077</v>
      </c>
      <c r="F8436" t="s">
        <v>35</v>
      </c>
      <c r="G8436" t="s">
        <v>35</v>
      </c>
      <c r="H8436" t="s">
        <v>35</v>
      </c>
      <c r="J8436" t="s">
        <v>7664</v>
      </c>
      <c r="K8436" t="s">
        <v>1092</v>
      </c>
      <c r="M8436">
        <v>1.25</v>
      </c>
      <c r="N8436">
        <v>89</v>
      </c>
      <c r="O8436" t="s">
        <v>61</v>
      </c>
      <c r="Q8436" t="s">
        <v>299</v>
      </c>
      <c r="R8436" t="s">
        <v>6721</v>
      </c>
      <c r="S8436" t="s">
        <v>1078</v>
      </c>
    </row>
    <row r="8437" spans="1:19" x14ac:dyDescent="0.25">
      <c r="A8437" t="s">
        <v>44</v>
      </c>
      <c r="B8437" t="s">
        <v>3</v>
      </c>
      <c r="C8437" t="s">
        <v>32</v>
      </c>
      <c r="D8437" t="s">
        <v>953</v>
      </c>
      <c r="E8437" t="s">
        <v>1077</v>
      </c>
      <c r="F8437" t="s">
        <v>35</v>
      </c>
      <c r="G8437" t="s">
        <v>35</v>
      </c>
      <c r="H8437" t="s">
        <v>35</v>
      </c>
      <c r="J8437" t="s">
        <v>7664</v>
      </c>
      <c r="K8437" t="s">
        <v>1092</v>
      </c>
      <c r="M8437">
        <v>0.25</v>
      </c>
      <c r="N8437">
        <v>64</v>
      </c>
      <c r="O8437" t="s">
        <v>61</v>
      </c>
      <c r="Q8437" t="s">
        <v>381</v>
      </c>
      <c r="R8437" t="s">
        <v>6721</v>
      </c>
      <c r="S8437" t="s">
        <v>1078</v>
      </c>
    </row>
    <row r="8438" spans="1:19" x14ac:dyDescent="0.25">
      <c r="A8438" t="s">
        <v>59</v>
      </c>
      <c r="B8438" t="s">
        <v>31</v>
      </c>
      <c r="C8438" t="s">
        <v>32</v>
      </c>
      <c r="D8438" t="s">
        <v>953</v>
      </c>
      <c r="E8438" t="s">
        <v>1077</v>
      </c>
      <c r="F8438" t="s">
        <v>35</v>
      </c>
      <c r="G8438" t="s">
        <v>35</v>
      </c>
      <c r="H8438" t="s">
        <v>35</v>
      </c>
      <c r="J8438" t="s">
        <v>7664</v>
      </c>
      <c r="K8438" t="s">
        <v>1092</v>
      </c>
      <c r="M8438">
        <v>0.45</v>
      </c>
      <c r="N8438">
        <v>64</v>
      </c>
      <c r="O8438" t="s">
        <v>61</v>
      </c>
      <c r="Q8438" t="s">
        <v>381</v>
      </c>
      <c r="R8438" t="s">
        <v>6721</v>
      </c>
      <c r="S8438" t="s">
        <v>1078</v>
      </c>
    </row>
    <row r="8439" spans="1:19" x14ac:dyDescent="0.25">
      <c r="A8439" t="s">
        <v>59</v>
      </c>
      <c r="B8439" t="s">
        <v>31</v>
      </c>
      <c r="C8439" t="s">
        <v>32</v>
      </c>
      <c r="D8439" t="s">
        <v>953</v>
      </c>
      <c r="E8439" t="s">
        <v>1077</v>
      </c>
      <c r="F8439" t="s">
        <v>35</v>
      </c>
      <c r="G8439" t="s">
        <v>35</v>
      </c>
      <c r="H8439" t="s">
        <v>35</v>
      </c>
      <c r="J8439" t="s">
        <v>7664</v>
      </c>
      <c r="K8439" t="s">
        <v>1092</v>
      </c>
      <c r="M8439">
        <v>0.9</v>
      </c>
      <c r="N8439">
        <v>113</v>
      </c>
      <c r="O8439" t="s">
        <v>106</v>
      </c>
      <c r="Q8439" t="s">
        <v>6066</v>
      </c>
      <c r="R8439" t="s">
        <v>6721</v>
      </c>
      <c r="S8439" t="s">
        <v>1078</v>
      </c>
    </row>
    <row r="8440" spans="1:19" x14ac:dyDescent="0.25">
      <c r="A8440" t="s">
        <v>59</v>
      </c>
      <c r="B8440" t="s">
        <v>60</v>
      </c>
      <c r="C8440" t="s">
        <v>32</v>
      </c>
      <c r="D8440" t="s">
        <v>953</v>
      </c>
      <c r="E8440" t="s">
        <v>1077</v>
      </c>
      <c r="F8440" t="s">
        <v>35</v>
      </c>
      <c r="G8440" t="s">
        <v>35</v>
      </c>
      <c r="H8440" t="s">
        <v>35</v>
      </c>
      <c r="J8440" t="s">
        <v>7666</v>
      </c>
      <c r="K8440" t="s">
        <v>1092</v>
      </c>
      <c r="M8440">
        <v>0.311</v>
      </c>
      <c r="N8440">
        <v>487</v>
      </c>
      <c r="O8440" t="s">
        <v>294</v>
      </c>
      <c r="Q8440" t="s">
        <v>6492</v>
      </c>
      <c r="R8440" t="s">
        <v>6709</v>
      </c>
      <c r="S8440" t="s">
        <v>1022</v>
      </c>
    </row>
    <row r="8441" spans="1:19" x14ac:dyDescent="0.25">
      <c r="A8441" t="s">
        <v>30</v>
      </c>
      <c r="B8441" t="s">
        <v>31</v>
      </c>
      <c r="C8441" t="s">
        <v>32</v>
      </c>
      <c r="D8441" t="s">
        <v>953</v>
      </c>
      <c r="E8441" t="s">
        <v>1077</v>
      </c>
      <c r="F8441" t="s">
        <v>35</v>
      </c>
      <c r="G8441" t="s">
        <v>35</v>
      </c>
      <c r="H8441" t="s">
        <v>35</v>
      </c>
      <c r="J8441" t="s">
        <v>3870</v>
      </c>
      <c r="K8441" t="s">
        <v>1092</v>
      </c>
      <c r="M8441">
        <v>9.7110000000000003</v>
      </c>
      <c r="N8441">
        <v>47</v>
      </c>
      <c r="O8441" t="s">
        <v>52</v>
      </c>
      <c r="Q8441" t="s">
        <v>132</v>
      </c>
      <c r="R8441" t="s">
        <v>133</v>
      </c>
      <c r="S8441" t="s">
        <v>134</v>
      </c>
    </row>
    <row r="8442" spans="1:19" x14ac:dyDescent="0.25">
      <c r="A8442" t="s">
        <v>59</v>
      </c>
      <c r="B8442" t="s">
        <v>60</v>
      </c>
      <c r="C8442" t="s">
        <v>32</v>
      </c>
      <c r="D8442" t="s">
        <v>953</v>
      </c>
      <c r="E8442" t="s">
        <v>1077</v>
      </c>
      <c r="F8442" t="s">
        <v>35</v>
      </c>
      <c r="G8442" t="s">
        <v>35</v>
      </c>
      <c r="H8442" t="s">
        <v>35</v>
      </c>
      <c r="J8442" t="s">
        <v>7667</v>
      </c>
      <c r="K8442" t="s">
        <v>1092</v>
      </c>
      <c r="M8442">
        <v>1.55</v>
      </c>
      <c r="N8442">
        <v>177</v>
      </c>
      <c r="O8442" t="s">
        <v>38</v>
      </c>
      <c r="Q8442" t="s">
        <v>4657</v>
      </c>
      <c r="R8442" t="s">
        <v>6709</v>
      </c>
      <c r="S8442" t="s">
        <v>1022</v>
      </c>
    </row>
    <row r="8443" spans="1:19" x14ac:dyDescent="0.25">
      <c r="A8443" t="s">
        <v>59</v>
      </c>
      <c r="B8443" t="s">
        <v>31</v>
      </c>
      <c r="C8443" t="s">
        <v>32</v>
      </c>
      <c r="D8443" t="s">
        <v>953</v>
      </c>
      <c r="E8443" t="s">
        <v>1077</v>
      </c>
      <c r="F8443" t="s">
        <v>35</v>
      </c>
      <c r="G8443" t="s">
        <v>35</v>
      </c>
      <c r="H8443" t="s">
        <v>35</v>
      </c>
      <c r="J8443" t="s">
        <v>7667</v>
      </c>
      <c r="K8443" t="s">
        <v>1092</v>
      </c>
      <c r="M8443">
        <v>0.99</v>
      </c>
      <c r="N8443">
        <v>177</v>
      </c>
      <c r="O8443" t="s">
        <v>38</v>
      </c>
      <c r="Q8443" t="s">
        <v>4657</v>
      </c>
      <c r="R8443" t="s">
        <v>6709</v>
      </c>
      <c r="S8443" t="s">
        <v>1022</v>
      </c>
    </row>
    <row r="8444" spans="1:19" x14ac:dyDescent="0.25">
      <c r="A8444" t="s">
        <v>59</v>
      </c>
      <c r="B8444" t="s">
        <v>60</v>
      </c>
      <c r="C8444" t="s">
        <v>32</v>
      </c>
      <c r="D8444" t="s">
        <v>953</v>
      </c>
      <c r="E8444" t="s">
        <v>1077</v>
      </c>
      <c r="F8444" t="s">
        <v>35</v>
      </c>
      <c r="G8444" t="s">
        <v>35</v>
      </c>
      <c r="H8444" t="s">
        <v>35</v>
      </c>
      <c r="J8444" t="s">
        <v>7668</v>
      </c>
      <c r="K8444" t="s">
        <v>1092</v>
      </c>
      <c r="M8444">
        <v>0.2</v>
      </c>
      <c r="N8444">
        <v>239</v>
      </c>
      <c r="O8444" t="s">
        <v>5</v>
      </c>
      <c r="Q8444" t="s">
        <v>1471</v>
      </c>
      <c r="R8444" t="s">
        <v>6720</v>
      </c>
      <c r="S8444" t="s">
        <v>961</v>
      </c>
    </row>
    <row r="8445" spans="1:19" x14ac:dyDescent="0.25">
      <c r="A8445" t="s">
        <v>30</v>
      </c>
      <c r="B8445" t="s">
        <v>31</v>
      </c>
      <c r="C8445" t="s">
        <v>32</v>
      </c>
      <c r="D8445" t="s">
        <v>953</v>
      </c>
      <c r="E8445" t="s">
        <v>1077</v>
      </c>
      <c r="F8445" t="s">
        <v>35</v>
      </c>
      <c r="G8445" t="s">
        <v>35</v>
      </c>
      <c r="H8445" t="s">
        <v>35</v>
      </c>
      <c r="J8445" t="s">
        <v>7668</v>
      </c>
      <c r="K8445" t="s">
        <v>1092</v>
      </c>
      <c r="M8445">
        <v>0.36</v>
      </c>
      <c r="N8445">
        <v>200</v>
      </c>
      <c r="O8445" t="s">
        <v>5</v>
      </c>
      <c r="Q8445" t="s">
        <v>3691</v>
      </c>
      <c r="R8445" t="s">
        <v>6720</v>
      </c>
      <c r="S8445" t="s">
        <v>961</v>
      </c>
    </row>
    <row r="8446" spans="1:19" x14ac:dyDescent="0.25">
      <c r="A8446" t="s">
        <v>44</v>
      </c>
      <c r="B8446" t="s">
        <v>51</v>
      </c>
      <c r="C8446" t="s">
        <v>32</v>
      </c>
      <c r="D8446" t="s">
        <v>953</v>
      </c>
      <c r="E8446" t="s">
        <v>1077</v>
      </c>
      <c r="F8446" t="s">
        <v>35</v>
      </c>
      <c r="G8446" t="s">
        <v>35</v>
      </c>
      <c r="H8446" t="s">
        <v>35</v>
      </c>
      <c r="J8446" t="s">
        <v>7669</v>
      </c>
      <c r="K8446" t="s">
        <v>1092</v>
      </c>
      <c r="M8446">
        <v>0.5</v>
      </c>
      <c r="N8446">
        <v>56</v>
      </c>
      <c r="O8446" t="s">
        <v>52</v>
      </c>
      <c r="Q8446" t="s">
        <v>453</v>
      </c>
      <c r="R8446" t="s">
        <v>6716</v>
      </c>
      <c r="S8446" t="s">
        <v>6717</v>
      </c>
    </row>
    <row r="8447" spans="1:19" x14ac:dyDescent="0.25">
      <c r="A8447" t="s">
        <v>59</v>
      </c>
      <c r="B8447" t="s">
        <v>31</v>
      </c>
      <c r="C8447" t="s">
        <v>32</v>
      </c>
      <c r="D8447" t="s">
        <v>953</v>
      </c>
      <c r="E8447" t="s">
        <v>1077</v>
      </c>
      <c r="F8447" t="s">
        <v>35</v>
      </c>
      <c r="G8447" t="s">
        <v>35</v>
      </c>
      <c r="H8447" t="s">
        <v>35</v>
      </c>
      <c r="J8447" t="s">
        <v>7669</v>
      </c>
      <c r="K8447" t="s">
        <v>1092</v>
      </c>
      <c r="M8447">
        <v>0.67500000000000004</v>
      </c>
      <c r="N8447">
        <v>49</v>
      </c>
      <c r="O8447" t="s">
        <v>52</v>
      </c>
      <c r="Q8447" t="s">
        <v>219</v>
      </c>
      <c r="R8447" t="s">
        <v>6720</v>
      </c>
      <c r="S8447" t="s">
        <v>961</v>
      </c>
    </row>
    <row r="8448" spans="1:19" x14ac:dyDescent="0.25">
      <c r="A8448" t="s">
        <v>30</v>
      </c>
      <c r="B8448" t="s">
        <v>31</v>
      </c>
      <c r="C8448" t="s">
        <v>32</v>
      </c>
      <c r="D8448" t="s">
        <v>953</v>
      </c>
      <c r="E8448" t="s">
        <v>1077</v>
      </c>
      <c r="F8448" t="s">
        <v>35</v>
      </c>
      <c r="G8448" t="s">
        <v>35</v>
      </c>
      <c r="H8448" t="s">
        <v>35</v>
      </c>
      <c r="J8448" t="s">
        <v>7669</v>
      </c>
      <c r="K8448" t="s">
        <v>1092</v>
      </c>
      <c r="M8448">
        <v>0.54</v>
      </c>
      <c r="N8448">
        <v>966</v>
      </c>
      <c r="O8448" t="s">
        <v>575</v>
      </c>
      <c r="Q8448" t="s">
        <v>7671</v>
      </c>
      <c r="R8448" t="s">
        <v>6720</v>
      </c>
      <c r="S8448" t="s">
        <v>961</v>
      </c>
    </row>
    <row r="8449" spans="1:19" x14ac:dyDescent="0.25">
      <c r="A8449" t="s">
        <v>59</v>
      </c>
      <c r="B8449" t="s">
        <v>31</v>
      </c>
      <c r="C8449" t="s">
        <v>32</v>
      </c>
      <c r="D8449" t="s">
        <v>953</v>
      </c>
      <c r="E8449" t="s">
        <v>1077</v>
      </c>
      <c r="F8449" t="s">
        <v>35</v>
      </c>
      <c r="G8449" t="s">
        <v>35</v>
      </c>
      <c r="H8449" t="s">
        <v>35</v>
      </c>
      <c r="J8449" t="s">
        <v>7669</v>
      </c>
      <c r="K8449" t="s">
        <v>1092</v>
      </c>
      <c r="M8449">
        <v>0.45</v>
      </c>
      <c r="N8449">
        <v>251</v>
      </c>
      <c r="O8449" t="s">
        <v>5</v>
      </c>
      <c r="Q8449" t="s">
        <v>1688</v>
      </c>
      <c r="R8449" t="s">
        <v>6720</v>
      </c>
      <c r="S8449" t="s">
        <v>961</v>
      </c>
    </row>
    <row r="8450" spans="1:19" x14ac:dyDescent="0.25">
      <c r="A8450" t="s">
        <v>30</v>
      </c>
      <c r="B8450" t="s">
        <v>31</v>
      </c>
      <c r="C8450" t="s">
        <v>32</v>
      </c>
      <c r="D8450" t="s">
        <v>953</v>
      </c>
      <c r="E8450" t="s">
        <v>1077</v>
      </c>
      <c r="F8450" t="s">
        <v>35</v>
      </c>
      <c r="G8450" t="s">
        <v>35</v>
      </c>
      <c r="H8450" t="s">
        <v>35</v>
      </c>
      <c r="J8450" t="s">
        <v>7669</v>
      </c>
      <c r="K8450" t="s">
        <v>1092</v>
      </c>
      <c r="M8450">
        <v>0.9</v>
      </c>
      <c r="N8450">
        <v>457</v>
      </c>
      <c r="O8450" t="s">
        <v>294</v>
      </c>
      <c r="Q8450" t="s">
        <v>2104</v>
      </c>
      <c r="R8450" t="s">
        <v>6720</v>
      </c>
      <c r="S8450" t="s">
        <v>961</v>
      </c>
    </row>
    <row r="8451" spans="1:19" x14ac:dyDescent="0.25">
      <c r="A8451" t="s">
        <v>44</v>
      </c>
      <c r="B8451" t="s">
        <v>3</v>
      </c>
      <c r="C8451" t="s">
        <v>32</v>
      </c>
      <c r="D8451" t="s">
        <v>953</v>
      </c>
      <c r="E8451" t="s">
        <v>1077</v>
      </c>
      <c r="F8451" t="s">
        <v>35</v>
      </c>
      <c r="G8451" t="s">
        <v>35</v>
      </c>
      <c r="H8451" t="s">
        <v>35</v>
      </c>
      <c r="J8451" t="s">
        <v>7669</v>
      </c>
      <c r="K8451" t="s">
        <v>1092</v>
      </c>
      <c r="M8451">
        <v>0.1</v>
      </c>
      <c r="N8451">
        <v>417</v>
      </c>
      <c r="O8451" t="s">
        <v>294</v>
      </c>
      <c r="Q8451" t="s">
        <v>4858</v>
      </c>
      <c r="R8451" t="s">
        <v>6720</v>
      </c>
      <c r="S8451" t="s">
        <v>961</v>
      </c>
    </row>
    <row r="8452" spans="1:19" x14ac:dyDescent="0.25">
      <c r="A8452" t="s">
        <v>44</v>
      </c>
      <c r="B8452" t="s">
        <v>3</v>
      </c>
      <c r="C8452" t="s">
        <v>32</v>
      </c>
      <c r="D8452" t="s">
        <v>953</v>
      </c>
      <c r="E8452" t="s">
        <v>1077</v>
      </c>
      <c r="F8452" t="s">
        <v>35</v>
      </c>
      <c r="G8452" t="s">
        <v>35</v>
      </c>
      <c r="H8452" t="s">
        <v>35</v>
      </c>
      <c r="J8452" t="s">
        <v>7669</v>
      </c>
      <c r="K8452" t="s">
        <v>1092</v>
      </c>
      <c r="M8452">
        <v>0.05</v>
      </c>
      <c r="N8452">
        <v>422</v>
      </c>
      <c r="O8452" t="s">
        <v>294</v>
      </c>
      <c r="Q8452" t="s">
        <v>4141</v>
      </c>
      <c r="R8452" t="s">
        <v>6720</v>
      </c>
      <c r="S8452" t="s">
        <v>961</v>
      </c>
    </row>
    <row r="8453" spans="1:19" x14ac:dyDescent="0.25">
      <c r="A8453" t="s">
        <v>44</v>
      </c>
      <c r="B8453" t="s">
        <v>3</v>
      </c>
      <c r="C8453" t="s">
        <v>32</v>
      </c>
      <c r="D8453" t="s">
        <v>953</v>
      </c>
      <c r="E8453" t="s">
        <v>1077</v>
      </c>
      <c r="F8453" t="s">
        <v>35</v>
      </c>
      <c r="G8453" t="s">
        <v>35</v>
      </c>
      <c r="H8453" t="s">
        <v>35</v>
      </c>
      <c r="J8453" t="s">
        <v>7669</v>
      </c>
      <c r="K8453" t="s">
        <v>1092</v>
      </c>
      <c r="M8453">
        <v>0.1</v>
      </c>
      <c r="N8453">
        <v>425</v>
      </c>
      <c r="O8453" t="s">
        <v>294</v>
      </c>
      <c r="Q8453" t="s">
        <v>7670</v>
      </c>
      <c r="R8453" t="s">
        <v>6720</v>
      </c>
      <c r="S8453" t="s">
        <v>961</v>
      </c>
    </row>
    <row r="8454" spans="1:19" x14ac:dyDescent="0.25">
      <c r="A8454" t="s">
        <v>44</v>
      </c>
      <c r="B8454" t="s">
        <v>3</v>
      </c>
      <c r="C8454" t="s">
        <v>32</v>
      </c>
      <c r="D8454" t="s">
        <v>953</v>
      </c>
      <c r="E8454" t="s">
        <v>1077</v>
      </c>
      <c r="F8454" t="s">
        <v>35</v>
      </c>
      <c r="G8454" t="s">
        <v>35</v>
      </c>
      <c r="H8454" t="s">
        <v>35</v>
      </c>
      <c r="J8454" t="s">
        <v>7669</v>
      </c>
      <c r="K8454" t="s">
        <v>1092</v>
      </c>
      <c r="M8454">
        <v>0.1</v>
      </c>
      <c r="N8454">
        <v>432</v>
      </c>
      <c r="O8454" t="s">
        <v>294</v>
      </c>
      <c r="Q8454" t="s">
        <v>1271</v>
      </c>
      <c r="R8454" t="s">
        <v>6720</v>
      </c>
      <c r="S8454" t="s">
        <v>961</v>
      </c>
    </row>
    <row r="8455" spans="1:19" x14ac:dyDescent="0.25">
      <c r="A8455" t="s">
        <v>44</v>
      </c>
      <c r="B8455" t="s">
        <v>3</v>
      </c>
      <c r="C8455" t="s">
        <v>32</v>
      </c>
      <c r="D8455" t="s">
        <v>953</v>
      </c>
      <c r="E8455" t="s">
        <v>1077</v>
      </c>
      <c r="F8455" t="s">
        <v>35</v>
      </c>
      <c r="G8455" t="s">
        <v>35</v>
      </c>
      <c r="H8455" t="s">
        <v>35</v>
      </c>
      <c r="J8455" t="s">
        <v>7669</v>
      </c>
      <c r="K8455" t="s">
        <v>1092</v>
      </c>
      <c r="M8455">
        <v>0.1</v>
      </c>
      <c r="N8455">
        <v>438</v>
      </c>
      <c r="O8455" t="s">
        <v>294</v>
      </c>
      <c r="Q8455" t="s">
        <v>1663</v>
      </c>
      <c r="R8455" t="s">
        <v>6720</v>
      </c>
      <c r="S8455" t="s">
        <v>961</v>
      </c>
    </row>
    <row r="8456" spans="1:19" x14ac:dyDescent="0.25">
      <c r="A8456" t="s">
        <v>44</v>
      </c>
      <c r="B8456" t="s">
        <v>3</v>
      </c>
      <c r="C8456" t="s">
        <v>32</v>
      </c>
      <c r="D8456" t="s">
        <v>953</v>
      </c>
      <c r="E8456" t="s">
        <v>1077</v>
      </c>
      <c r="F8456" t="s">
        <v>35</v>
      </c>
      <c r="G8456" t="s">
        <v>35</v>
      </c>
      <c r="H8456" t="s">
        <v>35</v>
      </c>
      <c r="J8456" t="s">
        <v>7669</v>
      </c>
      <c r="K8456" t="s">
        <v>1092</v>
      </c>
      <c r="M8456">
        <v>0.2</v>
      </c>
      <c r="N8456">
        <v>443</v>
      </c>
      <c r="O8456" t="s">
        <v>294</v>
      </c>
      <c r="Q8456" t="s">
        <v>3148</v>
      </c>
      <c r="R8456" t="s">
        <v>6720</v>
      </c>
      <c r="S8456" t="s">
        <v>961</v>
      </c>
    </row>
    <row r="8457" spans="1:19" x14ac:dyDescent="0.25">
      <c r="A8457" t="s">
        <v>59</v>
      </c>
      <c r="B8457" t="s">
        <v>31</v>
      </c>
      <c r="C8457" t="s">
        <v>32</v>
      </c>
      <c r="D8457" t="s">
        <v>953</v>
      </c>
      <c r="E8457" t="s">
        <v>1077</v>
      </c>
      <c r="F8457" t="s">
        <v>35</v>
      </c>
      <c r="G8457" t="s">
        <v>35</v>
      </c>
      <c r="H8457" t="s">
        <v>35</v>
      </c>
      <c r="J8457" t="s">
        <v>7669</v>
      </c>
      <c r="K8457" t="s">
        <v>1092</v>
      </c>
      <c r="M8457">
        <v>4.9950000000000001</v>
      </c>
      <c r="N8457">
        <v>56</v>
      </c>
      <c r="O8457" t="s">
        <v>52</v>
      </c>
      <c r="Q8457" t="s">
        <v>453</v>
      </c>
      <c r="R8457" t="s">
        <v>6716</v>
      </c>
      <c r="S8457" t="s">
        <v>6717</v>
      </c>
    </row>
    <row r="8458" spans="1:19" x14ac:dyDescent="0.25">
      <c r="A8458" t="s">
        <v>44</v>
      </c>
      <c r="B8458" t="s">
        <v>3</v>
      </c>
      <c r="C8458" t="s">
        <v>32</v>
      </c>
      <c r="D8458" t="s">
        <v>953</v>
      </c>
      <c r="E8458" t="s">
        <v>1077</v>
      </c>
      <c r="F8458" t="s">
        <v>35</v>
      </c>
      <c r="G8458" t="s">
        <v>35</v>
      </c>
      <c r="H8458" t="s">
        <v>35</v>
      </c>
      <c r="J8458" t="s">
        <v>7669</v>
      </c>
      <c r="K8458" t="s">
        <v>1092</v>
      </c>
      <c r="M8458">
        <v>0.5</v>
      </c>
      <c r="N8458">
        <v>56</v>
      </c>
      <c r="O8458" t="s">
        <v>52</v>
      </c>
      <c r="Q8458" t="s">
        <v>453</v>
      </c>
      <c r="R8458" t="s">
        <v>6716</v>
      </c>
      <c r="S8458" t="s">
        <v>6717</v>
      </c>
    </row>
    <row r="8459" spans="1:19" x14ac:dyDescent="0.25">
      <c r="A8459" t="s">
        <v>59</v>
      </c>
      <c r="B8459" t="s">
        <v>60</v>
      </c>
      <c r="C8459" t="s">
        <v>32</v>
      </c>
      <c r="D8459" t="s">
        <v>953</v>
      </c>
      <c r="E8459" t="s">
        <v>1077</v>
      </c>
      <c r="F8459" t="s">
        <v>35</v>
      </c>
      <c r="G8459" t="s">
        <v>35</v>
      </c>
      <c r="H8459" t="s">
        <v>35</v>
      </c>
      <c r="J8459" t="s">
        <v>7669</v>
      </c>
      <c r="K8459" t="s">
        <v>1092</v>
      </c>
      <c r="M8459">
        <v>1</v>
      </c>
      <c r="N8459">
        <v>56</v>
      </c>
      <c r="O8459" t="s">
        <v>52</v>
      </c>
      <c r="Q8459" t="s">
        <v>453</v>
      </c>
      <c r="R8459" t="s">
        <v>6716</v>
      </c>
      <c r="S8459" t="s">
        <v>6717</v>
      </c>
    </row>
    <row r="8460" spans="1:19" x14ac:dyDescent="0.25">
      <c r="A8460" t="s">
        <v>59</v>
      </c>
      <c r="B8460" t="s">
        <v>60</v>
      </c>
      <c r="C8460" t="s">
        <v>32</v>
      </c>
      <c r="D8460" t="s">
        <v>953</v>
      </c>
      <c r="E8460" t="s">
        <v>1077</v>
      </c>
      <c r="F8460" t="s">
        <v>35</v>
      </c>
      <c r="G8460" t="s">
        <v>35</v>
      </c>
      <c r="H8460" t="s">
        <v>35</v>
      </c>
      <c r="J8460" t="s">
        <v>1392</v>
      </c>
      <c r="K8460" t="s">
        <v>1092</v>
      </c>
      <c r="M8460">
        <v>1.4</v>
      </c>
      <c r="N8460">
        <v>88</v>
      </c>
      <c r="O8460" t="s">
        <v>61</v>
      </c>
      <c r="Q8460" t="s">
        <v>858</v>
      </c>
      <c r="R8460" t="s">
        <v>6716</v>
      </c>
      <c r="S8460" t="s">
        <v>6717</v>
      </c>
    </row>
    <row r="8461" spans="1:19" x14ac:dyDescent="0.25">
      <c r="A8461" t="s">
        <v>44</v>
      </c>
      <c r="B8461" t="s">
        <v>3</v>
      </c>
      <c r="C8461" t="s">
        <v>32</v>
      </c>
      <c r="D8461" t="s">
        <v>953</v>
      </c>
      <c r="E8461" t="s">
        <v>1077</v>
      </c>
      <c r="F8461" t="s">
        <v>35</v>
      </c>
      <c r="G8461" t="s">
        <v>35</v>
      </c>
      <c r="H8461" t="s">
        <v>35</v>
      </c>
      <c r="J8461" t="s">
        <v>1392</v>
      </c>
      <c r="K8461" t="s">
        <v>1092</v>
      </c>
      <c r="M8461">
        <v>0.23799999999999999</v>
      </c>
      <c r="N8461">
        <v>476</v>
      </c>
      <c r="O8461" t="s">
        <v>294</v>
      </c>
      <c r="Q8461" t="s">
        <v>3520</v>
      </c>
      <c r="R8461" t="s">
        <v>6716</v>
      </c>
      <c r="S8461" t="s">
        <v>6717</v>
      </c>
    </row>
    <row r="8462" spans="1:19" x14ac:dyDescent="0.25">
      <c r="A8462" t="s">
        <v>44</v>
      </c>
      <c r="B8462" t="s">
        <v>51</v>
      </c>
      <c r="C8462" t="s">
        <v>32</v>
      </c>
      <c r="D8462" t="s">
        <v>953</v>
      </c>
      <c r="E8462" t="s">
        <v>1077</v>
      </c>
      <c r="F8462" t="s">
        <v>35</v>
      </c>
      <c r="G8462" t="s">
        <v>35</v>
      </c>
      <c r="H8462" t="s">
        <v>35</v>
      </c>
      <c r="J8462" t="s">
        <v>823</v>
      </c>
      <c r="K8462" t="s">
        <v>1092</v>
      </c>
      <c r="M8462">
        <v>0.05</v>
      </c>
      <c r="N8462">
        <v>491</v>
      </c>
      <c r="O8462" t="s">
        <v>294</v>
      </c>
      <c r="Q8462" t="s">
        <v>7672</v>
      </c>
      <c r="R8462" t="s">
        <v>6721</v>
      </c>
      <c r="S8462" t="s">
        <v>1078</v>
      </c>
    </row>
    <row r="8463" spans="1:19" x14ac:dyDescent="0.25">
      <c r="A8463" t="s">
        <v>59</v>
      </c>
      <c r="B8463" t="s">
        <v>60</v>
      </c>
      <c r="C8463" t="s">
        <v>32</v>
      </c>
      <c r="D8463" t="s">
        <v>953</v>
      </c>
      <c r="E8463" t="s">
        <v>1077</v>
      </c>
      <c r="F8463" t="s">
        <v>35</v>
      </c>
      <c r="G8463" t="s">
        <v>35</v>
      </c>
      <c r="H8463" t="s">
        <v>35</v>
      </c>
      <c r="J8463" t="s">
        <v>823</v>
      </c>
      <c r="K8463" t="s">
        <v>1092</v>
      </c>
      <c r="M8463">
        <v>1.7999999999999999E-2</v>
      </c>
      <c r="N8463">
        <v>399</v>
      </c>
      <c r="O8463" t="s">
        <v>294</v>
      </c>
      <c r="Q8463" t="s">
        <v>1707</v>
      </c>
      <c r="R8463" t="s">
        <v>6721</v>
      </c>
      <c r="S8463" t="s">
        <v>1078</v>
      </c>
    </row>
    <row r="8464" spans="1:19" x14ac:dyDescent="0.25">
      <c r="A8464" t="s">
        <v>30</v>
      </c>
      <c r="B8464" t="s">
        <v>31</v>
      </c>
      <c r="C8464" t="s">
        <v>32</v>
      </c>
      <c r="D8464" t="s">
        <v>953</v>
      </c>
      <c r="E8464" t="s">
        <v>1077</v>
      </c>
      <c r="F8464" t="s">
        <v>35</v>
      </c>
      <c r="G8464" t="s">
        <v>35</v>
      </c>
      <c r="H8464" t="s">
        <v>35</v>
      </c>
      <c r="J8464" t="s">
        <v>823</v>
      </c>
      <c r="K8464" t="s">
        <v>1092</v>
      </c>
      <c r="M8464">
        <v>0.04</v>
      </c>
      <c r="N8464">
        <v>946</v>
      </c>
      <c r="O8464" t="s">
        <v>575</v>
      </c>
      <c r="Q8464" t="s">
        <v>7660</v>
      </c>
      <c r="R8464" t="s">
        <v>6721</v>
      </c>
      <c r="S8464" t="s">
        <v>1078</v>
      </c>
    </row>
    <row r="8465" spans="1:19" x14ac:dyDescent="0.25">
      <c r="A8465" t="s">
        <v>59</v>
      </c>
      <c r="B8465" t="s">
        <v>31</v>
      </c>
      <c r="C8465" t="s">
        <v>32</v>
      </c>
      <c r="D8465" t="s">
        <v>953</v>
      </c>
      <c r="E8465" t="s">
        <v>1077</v>
      </c>
      <c r="F8465" t="s">
        <v>35</v>
      </c>
      <c r="G8465" t="s">
        <v>35</v>
      </c>
      <c r="H8465" t="s">
        <v>35</v>
      </c>
      <c r="J8465" t="s">
        <v>823</v>
      </c>
      <c r="K8465" t="s">
        <v>1092</v>
      </c>
      <c r="M8465">
        <v>5.0000000000000001E-3</v>
      </c>
      <c r="N8465">
        <v>536</v>
      </c>
      <c r="O8465" t="s">
        <v>294</v>
      </c>
      <c r="Q8465" t="s">
        <v>7607</v>
      </c>
      <c r="R8465" t="s">
        <v>6721</v>
      </c>
      <c r="S8465" t="s">
        <v>1078</v>
      </c>
    </row>
    <row r="8466" spans="1:19" x14ac:dyDescent="0.25">
      <c r="A8466" t="s">
        <v>59</v>
      </c>
      <c r="B8466" t="s">
        <v>60</v>
      </c>
      <c r="C8466" t="s">
        <v>32</v>
      </c>
      <c r="D8466" t="s">
        <v>953</v>
      </c>
      <c r="E8466" t="s">
        <v>1077</v>
      </c>
      <c r="F8466" t="s">
        <v>35</v>
      </c>
      <c r="G8466" t="s">
        <v>35</v>
      </c>
      <c r="H8466" t="s">
        <v>35</v>
      </c>
      <c r="J8466" t="s">
        <v>7673</v>
      </c>
      <c r="K8466" t="s">
        <v>1092</v>
      </c>
      <c r="M8466">
        <v>0.28499999999999998</v>
      </c>
      <c r="N8466">
        <v>556</v>
      </c>
      <c r="O8466" t="s">
        <v>575</v>
      </c>
      <c r="Q8466" t="s">
        <v>3825</v>
      </c>
      <c r="R8466" t="s">
        <v>6838</v>
      </c>
      <c r="S8466" t="s">
        <v>6839</v>
      </c>
    </row>
    <row r="8467" spans="1:19" x14ac:dyDescent="0.25">
      <c r="A8467" t="s">
        <v>30</v>
      </c>
      <c r="B8467" t="s">
        <v>31</v>
      </c>
      <c r="C8467" t="s">
        <v>32</v>
      </c>
      <c r="D8467" t="s">
        <v>953</v>
      </c>
      <c r="E8467" t="s">
        <v>1077</v>
      </c>
      <c r="F8467" t="s">
        <v>35</v>
      </c>
      <c r="G8467" t="s">
        <v>35</v>
      </c>
      <c r="H8467" t="s">
        <v>35</v>
      </c>
      <c r="J8467" t="s">
        <v>7674</v>
      </c>
      <c r="K8467" t="s">
        <v>1092</v>
      </c>
      <c r="M8467">
        <v>3.87</v>
      </c>
      <c r="N8467">
        <v>43</v>
      </c>
      <c r="O8467" t="s">
        <v>52</v>
      </c>
      <c r="Q8467" t="s">
        <v>892</v>
      </c>
      <c r="R8467" t="s">
        <v>6721</v>
      </c>
      <c r="S8467" t="s">
        <v>1078</v>
      </c>
    </row>
    <row r="8468" spans="1:19" x14ac:dyDescent="0.25">
      <c r="A8468" t="s">
        <v>44</v>
      </c>
      <c r="B8468" t="s">
        <v>3</v>
      </c>
      <c r="C8468" t="s">
        <v>32</v>
      </c>
      <c r="D8468" t="s">
        <v>953</v>
      </c>
      <c r="E8468" t="s">
        <v>1077</v>
      </c>
      <c r="F8468" t="s">
        <v>35</v>
      </c>
      <c r="G8468" t="s">
        <v>35</v>
      </c>
      <c r="H8468" t="s">
        <v>35</v>
      </c>
      <c r="J8468" t="s">
        <v>7674</v>
      </c>
      <c r="K8468" t="s">
        <v>1092</v>
      </c>
      <c r="M8468">
        <v>2.75</v>
      </c>
      <c r="N8468">
        <v>36</v>
      </c>
      <c r="O8468" t="s">
        <v>52</v>
      </c>
      <c r="Q8468" t="s">
        <v>2005</v>
      </c>
      <c r="R8468" t="s">
        <v>6721</v>
      </c>
      <c r="S8468" t="s">
        <v>1078</v>
      </c>
    </row>
    <row r="8469" spans="1:19" x14ac:dyDescent="0.25">
      <c r="A8469" t="s">
        <v>59</v>
      </c>
      <c r="B8469" t="s">
        <v>60</v>
      </c>
      <c r="C8469" t="s">
        <v>32</v>
      </c>
      <c r="D8469" t="s">
        <v>953</v>
      </c>
      <c r="E8469" t="s">
        <v>1077</v>
      </c>
      <c r="F8469" t="s">
        <v>35</v>
      </c>
      <c r="G8469" t="s">
        <v>35</v>
      </c>
      <c r="H8469" t="s">
        <v>35</v>
      </c>
      <c r="J8469" t="s">
        <v>7674</v>
      </c>
      <c r="K8469" t="s">
        <v>1092</v>
      </c>
      <c r="M8469">
        <v>1.4</v>
      </c>
      <c r="N8469">
        <v>57</v>
      </c>
      <c r="O8469" t="s">
        <v>52</v>
      </c>
      <c r="Q8469" t="s">
        <v>665</v>
      </c>
      <c r="R8469" t="s">
        <v>6721</v>
      </c>
      <c r="S8469" t="s">
        <v>1078</v>
      </c>
    </row>
    <row r="8470" spans="1:19" x14ac:dyDescent="0.25">
      <c r="A8470" t="s">
        <v>30</v>
      </c>
      <c r="B8470" t="s">
        <v>31</v>
      </c>
      <c r="C8470" t="s">
        <v>32</v>
      </c>
      <c r="D8470" t="s">
        <v>953</v>
      </c>
      <c r="E8470" t="s">
        <v>1077</v>
      </c>
      <c r="F8470" t="s">
        <v>35</v>
      </c>
      <c r="G8470" t="s">
        <v>35</v>
      </c>
      <c r="H8470" t="s">
        <v>35</v>
      </c>
      <c r="J8470" t="s">
        <v>7675</v>
      </c>
      <c r="K8470" t="s">
        <v>1092</v>
      </c>
      <c r="M8470">
        <v>4.79</v>
      </c>
      <c r="N8470">
        <v>1183</v>
      </c>
      <c r="O8470" t="s">
        <v>575</v>
      </c>
      <c r="Q8470" t="s">
        <v>5087</v>
      </c>
      <c r="R8470" t="s">
        <v>133</v>
      </c>
      <c r="S8470" t="s">
        <v>134</v>
      </c>
    </row>
    <row r="8471" spans="1:19" x14ac:dyDescent="0.25">
      <c r="A8471" t="s">
        <v>59</v>
      </c>
      <c r="B8471" t="s">
        <v>31</v>
      </c>
      <c r="C8471" t="s">
        <v>32</v>
      </c>
      <c r="D8471" t="s">
        <v>953</v>
      </c>
      <c r="E8471" t="s">
        <v>1077</v>
      </c>
      <c r="F8471" t="s">
        <v>35</v>
      </c>
      <c r="G8471" t="s">
        <v>35</v>
      </c>
      <c r="H8471" t="s">
        <v>35</v>
      </c>
      <c r="J8471" t="s">
        <v>7676</v>
      </c>
      <c r="K8471" t="s">
        <v>1092</v>
      </c>
      <c r="M8471">
        <v>0.45</v>
      </c>
      <c r="N8471">
        <v>533</v>
      </c>
      <c r="O8471" t="s">
        <v>294</v>
      </c>
      <c r="Q8471" t="s">
        <v>4047</v>
      </c>
      <c r="R8471" t="s">
        <v>6721</v>
      </c>
      <c r="S8471" t="s">
        <v>1078</v>
      </c>
    </row>
    <row r="8472" spans="1:19" x14ac:dyDescent="0.25">
      <c r="A8472" t="s">
        <v>44</v>
      </c>
      <c r="B8472" t="s">
        <v>3</v>
      </c>
      <c r="C8472" t="s">
        <v>32</v>
      </c>
      <c r="D8472" t="s">
        <v>953</v>
      </c>
      <c r="E8472" t="s">
        <v>1077</v>
      </c>
      <c r="F8472" t="s">
        <v>35</v>
      </c>
      <c r="G8472" t="s">
        <v>35</v>
      </c>
      <c r="H8472" t="s">
        <v>35</v>
      </c>
      <c r="J8472" t="s">
        <v>7677</v>
      </c>
      <c r="K8472" t="s">
        <v>1092</v>
      </c>
      <c r="M8472">
        <v>0.25</v>
      </c>
      <c r="N8472">
        <v>64</v>
      </c>
      <c r="O8472" t="s">
        <v>61</v>
      </c>
      <c r="Q8472" t="s">
        <v>381</v>
      </c>
      <c r="R8472" t="s">
        <v>6721</v>
      </c>
      <c r="S8472" t="s">
        <v>1078</v>
      </c>
    </row>
    <row r="8473" spans="1:19" x14ac:dyDescent="0.25">
      <c r="A8473" t="s">
        <v>44</v>
      </c>
      <c r="B8473" t="s">
        <v>3</v>
      </c>
      <c r="C8473" t="s">
        <v>32</v>
      </c>
      <c r="D8473" t="s">
        <v>953</v>
      </c>
      <c r="E8473" t="s">
        <v>1077</v>
      </c>
      <c r="F8473" t="s">
        <v>35</v>
      </c>
      <c r="G8473" t="s">
        <v>35</v>
      </c>
      <c r="H8473" t="s">
        <v>35</v>
      </c>
      <c r="J8473" t="s">
        <v>7677</v>
      </c>
      <c r="K8473" t="s">
        <v>1092</v>
      </c>
      <c r="M8473">
        <v>0.25</v>
      </c>
      <c r="N8473">
        <v>43</v>
      </c>
      <c r="O8473" t="s">
        <v>52</v>
      </c>
      <c r="Q8473" t="s">
        <v>892</v>
      </c>
      <c r="R8473" t="s">
        <v>6721</v>
      </c>
      <c r="S8473" t="s">
        <v>1078</v>
      </c>
    </row>
    <row r="8474" spans="1:19" x14ac:dyDescent="0.25">
      <c r="A8474" t="s">
        <v>59</v>
      </c>
      <c r="B8474" t="s">
        <v>60</v>
      </c>
      <c r="C8474" t="s">
        <v>32</v>
      </c>
      <c r="D8474" t="s">
        <v>953</v>
      </c>
      <c r="E8474" t="s">
        <v>1077</v>
      </c>
      <c r="F8474" t="s">
        <v>35</v>
      </c>
      <c r="G8474" t="s">
        <v>35</v>
      </c>
      <c r="H8474" t="s">
        <v>35</v>
      </c>
      <c r="J8474" t="s">
        <v>7678</v>
      </c>
      <c r="K8474" t="s">
        <v>1092</v>
      </c>
      <c r="M8474">
        <v>0.25</v>
      </c>
      <c r="N8474">
        <v>92</v>
      </c>
      <c r="O8474" t="s">
        <v>106</v>
      </c>
      <c r="Q8474" t="s">
        <v>1100</v>
      </c>
      <c r="R8474" t="s">
        <v>6721</v>
      </c>
      <c r="S8474" t="s">
        <v>1078</v>
      </c>
    </row>
    <row r="8475" spans="1:19" x14ac:dyDescent="0.25">
      <c r="A8475" t="s">
        <v>44</v>
      </c>
      <c r="B8475" t="s">
        <v>51</v>
      </c>
      <c r="C8475" t="s">
        <v>32</v>
      </c>
      <c r="D8475" t="s">
        <v>953</v>
      </c>
      <c r="E8475" t="s">
        <v>1077</v>
      </c>
      <c r="F8475" t="s">
        <v>35</v>
      </c>
      <c r="G8475" t="s">
        <v>35</v>
      </c>
      <c r="H8475" t="s">
        <v>35</v>
      </c>
      <c r="J8475" t="s">
        <v>7678</v>
      </c>
      <c r="K8475" t="s">
        <v>1092</v>
      </c>
      <c r="M8475">
        <v>0.25</v>
      </c>
      <c r="N8475">
        <v>36</v>
      </c>
      <c r="O8475" t="s">
        <v>52</v>
      </c>
      <c r="Q8475" t="s">
        <v>2005</v>
      </c>
      <c r="R8475" t="s">
        <v>6721</v>
      </c>
      <c r="S8475" t="s">
        <v>1078</v>
      </c>
    </row>
    <row r="8476" spans="1:19" x14ac:dyDescent="0.25">
      <c r="A8476" t="s">
        <v>44</v>
      </c>
      <c r="B8476" t="s">
        <v>3</v>
      </c>
      <c r="C8476" t="s">
        <v>32</v>
      </c>
      <c r="D8476" t="s">
        <v>953</v>
      </c>
      <c r="E8476" t="s">
        <v>1077</v>
      </c>
      <c r="F8476" t="s">
        <v>35</v>
      </c>
      <c r="G8476" t="s">
        <v>35</v>
      </c>
      <c r="H8476" t="s">
        <v>35</v>
      </c>
      <c r="J8476" t="s">
        <v>7678</v>
      </c>
      <c r="K8476" t="s">
        <v>1092</v>
      </c>
      <c r="M8476">
        <v>0.25</v>
      </c>
      <c r="N8476">
        <v>45</v>
      </c>
      <c r="O8476" t="s">
        <v>52</v>
      </c>
      <c r="Q8476" t="s">
        <v>716</v>
      </c>
      <c r="R8476" t="s">
        <v>6721</v>
      </c>
      <c r="S8476" t="s">
        <v>1078</v>
      </c>
    </row>
    <row r="8477" spans="1:19" x14ac:dyDescent="0.25">
      <c r="A8477" t="s">
        <v>44</v>
      </c>
      <c r="B8477" t="s">
        <v>51</v>
      </c>
      <c r="C8477" t="s">
        <v>32</v>
      </c>
      <c r="D8477" t="s">
        <v>953</v>
      </c>
      <c r="E8477" t="s">
        <v>1077</v>
      </c>
      <c r="F8477" t="s">
        <v>35</v>
      </c>
      <c r="G8477" t="s">
        <v>35</v>
      </c>
      <c r="H8477" t="s">
        <v>35</v>
      </c>
      <c r="J8477" t="s">
        <v>7678</v>
      </c>
      <c r="K8477" t="s">
        <v>1092</v>
      </c>
      <c r="M8477">
        <v>0.15</v>
      </c>
      <c r="N8477">
        <v>57</v>
      </c>
      <c r="O8477" t="s">
        <v>52</v>
      </c>
      <c r="Q8477" t="s">
        <v>665</v>
      </c>
      <c r="R8477" t="s">
        <v>6721</v>
      </c>
      <c r="S8477" t="s">
        <v>1078</v>
      </c>
    </row>
    <row r="8478" spans="1:19" x14ac:dyDescent="0.25">
      <c r="A8478" t="s">
        <v>59</v>
      </c>
      <c r="B8478" t="s">
        <v>60</v>
      </c>
      <c r="C8478" t="s">
        <v>32</v>
      </c>
      <c r="D8478" t="s">
        <v>953</v>
      </c>
      <c r="E8478" t="s">
        <v>1077</v>
      </c>
      <c r="F8478" t="s">
        <v>35</v>
      </c>
      <c r="G8478" t="s">
        <v>35</v>
      </c>
      <c r="H8478" t="s">
        <v>35</v>
      </c>
      <c r="J8478" t="s">
        <v>7678</v>
      </c>
      <c r="K8478" t="s">
        <v>1092</v>
      </c>
      <c r="M8478">
        <v>0.25</v>
      </c>
      <c r="N8478">
        <v>36</v>
      </c>
      <c r="O8478" t="s">
        <v>52</v>
      </c>
      <c r="Q8478" t="s">
        <v>2005</v>
      </c>
      <c r="R8478" t="s">
        <v>6721</v>
      </c>
      <c r="S8478" t="s">
        <v>1078</v>
      </c>
    </row>
    <row r="8479" spans="1:19" x14ac:dyDescent="0.25">
      <c r="A8479" t="s">
        <v>59</v>
      </c>
      <c r="B8479" t="s">
        <v>60</v>
      </c>
      <c r="C8479" t="s">
        <v>32</v>
      </c>
      <c r="D8479" t="s">
        <v>953</v>
      </c>
      <c r="E8479" t="s">
        <v>1077</v>
      </c>
      <c r="F8479" t="s">
        <v>35</v>
      </c>
      <c r="G8479" t="s">
        <v>35</v>
      </c>
      <c r="H8479" t="s">
        <v>35</v>
      </c>
      <c r="J8479" t="s">
        <v>7678</v>
      </c>
      <c r="K8479" t="s">
        <v>1092</v>
      </c>
      <c r="M8479">
        <v>0.25</v>
      </c>
      <c r="N8479">
        <v>57</v>
      </c>
      <c r="O8479" t="s">
        <v>52</v>
      </c>
      <c r="Q8479" t="s">
        <v>665</v>
      </c>
      <c r="R8479" t="s">
        <v>6721</v>
      </c>
      <c r="S8479" t="s">
        <v>1078</v>
      </c>
    </row>
    <row r="8480" spans="1:19" x14ac:dyDescent="0.25">
      <c r="A8480" t="s">
        <v>59</v>
      </c>
      <c r="B8480" t="s">
        <v>60</v>
      </c>
      <c r="C8480" t="s">
        <v>32</v>
      </c>
      <c r="D8480" t="s">
        <v>953</v>
      </c>
      <c r="E8480" t="s">
        <v>1077</v>
      </c>
      <c r="F8480" t="s">
        <v>35</v>
      </c>
      <c r="G8480" t="s">
        <v>35</v>
      </c>
      <c r="H8480" t="s">
        <v>35</v>
      </c>
      <c r="J8480" t="s">
        <v>7678</v>
      </c>
      <c r="K8480" t="s">
        <v>1092</v>
      </c>
      <c r="M8480">
        <v>0.5</v>
      </c>
      <c r="N8480">
        <v>82</v>
      </c>
      <c r="O8480" t="s">
        <v>61</v>
      </c>
      <c r="Q8480" t="s">
        <v>447</v>
      </c>
      <c r="R8480" t="s">
        <v>6721</v>
      </c>
      <c r="S8480" t="s">
        <v>1078</v>
      </c>
    </row>
    <row r="8481" spans="1:19" x14ac:dyDescent="0.25">
      <c r="A8481" t="s">
        <v>59</v>
      </c>
      <c r="B8481" t="s">
        <v>31</v>
      </c>
      <c r="C8481" t="s">
        <v>32</v>
      </c>
      <c r="D8481" t="s">
        <v>953</v>
      </c>
      <c r="E8481" t="s">
        <v>1077</v>
      </c>
      <c r="F8481" t="s">
        <v>35</v>
      </c>
      <c r="G8481" t="s">
        <v>35</v>
      </c>
      <c r="H8481" t="s">
        <v>35</v>
      </c>
      <c r="J8481" t="s">
        <v>7678</v>
      </c>
      <c r="K8481" t="s">
        <v>1092</v>
      </c>
      <c r="M8481">
        <v>0.9</v>
      </c>
      <c r="N8481">
        <v>92</v>
      </c>
      <c r="O8481" t="s">
        <v>106</v>
      </c>
      <c r="Q8481" t="s">
        <v>1100</v>
      </c>
      <c r="R8481" t="s">
        <v>6721</v>
      </c>
      <c r="S8481" t="s">
        <v>1078</v>
      </c>
    </row>
    <row r="8482" spans="1:19" x14ac:dyDescent="0.25">
      <c r="A8482" t="s">
        <v>59</v>
      </c>
      <c r="B8482" t="s">
        <v>31</v>
      </c>
      <c r="C8482" t="s">
        <v>32</v>
      </c>
      <c r="D8482" t="s">
        <v>953</v>
      </c>
      <c r="E8482" t="s">
        <v>1077</v>
      </c>
      <c r="F8482" t="s">
        <v>35</v>
      </c>
      <c r="G8482" t="s">
        <v>35</v>
      </c>
      <c r="H8482" t="s">
        <v>35</v>
      </c>
      <c r="J8482" t="s">
        <v>7678</v>
      </c>
      <c r="K8482" t="s">
        <v>1092</v>
      </c>
      <c r="M8482">
        <v>0.40500000000000003</v>
      </c>
      <c r="N8482">
        <v>71</v>
      </c>
      <c r="O8482" t="s">
        <v>61</v>
      </c>
      <c r="Q8482" t="s">
        <v>102</v>
      </c>
      <c r="R8482" t="s">
        <v>6721</v>
      </c>
      <c r="S8482" t="s">
        <v>1078</v>
      </c>
    </row>
    <row r="8483" spans="1:19" x14ac:dyDescent="0.25">
      <c r="A8483" t="s">
        <v>59</v>
      </c>
      <c r="B8483" t="s">
        <v>60</v>
      </c>
      <c r="C8483" t="s">
        <v>32</v>
      </c>
      <c r="D8483" t="s">
        <v>953</v>
      </c>
      <c r="E8483" t="s">
        <v>1077</v>
      </c>
      <c r="F8483" t="s">
        <v>35</v>
      </c>
      <c r="G8483" t="s">
        <v>35</v>
      </c>
      <c r="H8483" t="s">
        <v>35</v>
      </c>
      <c r="J8483" t="s">
        <v>7678</v>
      </c>
      <c r="K8483" t="s">
        <v>1092</v>
      </c>
      <c r="M8483">
        <v>0.25</v>
      </c>
      <c r="N8483">
        <v>24</v>
      </c>
      <c r="O8483" t="s">
        <v>46</v>
      </c>
      <c r="Q8483" t="s">
        <v>255</v>
      </c>
      <c r="R8483" t="s">
        <v>6721</v>
      </c>
      <c r="S8483" t="s">
        <v>1078</v>
      </c>
    </row>
    <row r="8484" spans="1:19" x14ac:dyDescent="0.25">
      <c r="A8484" t="s">
        <v>44</v>
      </c>
      <c r="B8484" t="s">
        <v>51</v>
      </c>
      <c r="C8484" t="s">
        <v>32</v>
      </c>
      <c r="D8484" t="s">
        <v>953</v>
      </c>
      <c r="E8484" t="s">
        <v>1077</v>
      </c>
      <c r="F8484" t="s">
        <v>35</v>
      </c>
      <c r="G8484" t="s">
        <v>35</v>
      </c>
      <c r="H8484" t="s">
        <v>35</v>
      </c>
      <c r="J8484" t="s">
        <v>7678</v>
      </c>
      <c r="K8484" t="s">
        <v>1092</v>
      </c>
      <c r="M8484">
        <v>0.25</v>
      </c>
      <c r="N8484">
        <v>24</v>
      </c>
      <c r="O8484" t="s">
        <v>46</v>
      </c>
      <c r="Q8484" t="s">
        <v>255</v>
      </c>
      <c r="R8484" t="s">
        <v>6721</v>
      </c>
      <c r="S8484" t="s">
        <v>1078</v>
      </c>
    </row>
    <row r="8485" spans="1:19" x14ac:dyDescent="0.25">
      <c r="A8485" t="s">
        <v>44</v>
      </c>
      <c r="B8485" t="s">
        <v>3</v>
      </c>
      <c r="C8485" t="s">
        <v>32</v>
      </c>
      <c r="D8485" t="s">
        <v>953</v>
      </c>
      <c r="E8485" t="s">
        <v>1077</v>
      </c>
      <c r="F8485" t="s">
        <v>35</v>
      </c>
      <c r="G8485" t="s">
        <v>35</v>
      </c>
      <c r="H8485" t="s">
        <v>35</v>
      </c>
      <c r="J8485" t="s">
        <v>7678</v>
      </c>
      <c r="K8485" t="s">
        <v>1092</v>
      </c>
      <c r="M8485">
        <v>0.45</v>
      </c>
      <c r="N8485">
        <v>57</v>
      </c>
      <c r="O8485" t="s">
        <v>52</v>
      </c>
      <c r="Q8485" t="s">
        <v>665</v>
      </c>
      <c r="R8485" t="s">
        <v>6721</v>
      </c>
      <c r="S8485" t="s">
        <v>1078</v>
      </c>
    </row>
    <row r="8486" spans="1:19" x14ac:dyDescent="0.25">
      <c r="A8486" t="s">
        <v>59</v>
      </c>
      <c r="B8486" t="s">
        <v>60</v>
      </c>
      <c r="C8486" t="s">
        <v>32</v>
      </c>
      <c r="D8486" t="s">
        <v>953</v>
      </c>
      <c r="E8486" t="s">
        <v>1077</v>
      </c>
      <c r="F8486" t="s">
        <v>35</v>
      </c>
      <c r="G8486" t="s">
        <v>35</v>
      </c>
      <c r="H8486" t="s">
        <v>35</v>
      </c>
      <c r="J8486" t="s">
        <v>7181</v>
      </c>
      <c r="K8486" t="s">
        <v>1092</v>
      </c>
      <c r="M8486">
        <v>0.115</v>
      </c>
      <c r="N8486">
        <v>1820</v>
      </c>
      <c r="O8486" t="s">
        <v>575</v>
      </c>
      <c r="Q8486" t="s">
        <v>7679</v>
      </c>
      <c r="R8486" t="s">
        <v>7680</v>
      </c>
      <c r="S8486" t="s">
        <v>7681</v>
      </c>
    </row>
    <row r="8487" spans="1:19" x14ac:dyDescent="0.25">
      <c r="A8487" t="s">
        <v>59</v>
      </c>
      <c r="B8487" t="s">
        <v>60</v>
      </c>
      <c r="C8487" t="s">
        <v>32</v>
      </c>
      <c r="D8487" t="s">
        <v>953</v>
      </c>
      <c r="E8487" t="s">
        <v>1077</v>
      </c>
      <c r="F8487" t="s">
        <v>35</v>
      </c>
      <c r="G8487" t="s">
        <v>35</v>
      </c>
      <c r="H8487" t="s">
        <v>35</v>
      </c>
      <c r="J8487" t="s">
        <v>7181</v>
      </c>
      <c r="K8487" t="s">
        <v>1092</v>
      </c>
      <c r="M8487">
        <v>0.3</v>
      </c>
      <c r="N8487">
        <v>772</v>
      </c>
      <c r="O8487" t="s">
        <v>575</v>
      </c>
      <c r="Q8487" t="s">
        <v>7683</v>
      </c>
      <c r="R8487" t="s">
        <v>6711</v>
      </c>
      <c r="S8487" t="s">
        <v>6712</v>
      </c>
    </row>
    <row r="8488" spans="1:19" x14ac:dyDescent="0.25">
      <c r="A8488" t="s">
        <v>44</v>
      </c>
      <c r="B8488" t="s">
        <v>3</v>
      </c>
      <c r="C8488" t="s">
        <v>32</v>
      </c>
      <c r="D8488" t="s">
        <v>953</v>
      </c>
      <c r="E8488" t="s">
        <v>1077</v>
      </c>
      <c r="F8488" t="s">
        <v>35</v>
      </c>
      <c r="G8488" t="s">
        <v>35</v>
      </c>
      <c r="H8488" t="s">
        <v>35</v>
      </c>
      <c r="J8488" t="s">
        <v>7684</v>
      </c>
      <c r="K8488" t="s">
        <v>1092</v>
      </c>
      <c r="M8488">
        <v>3</v>
      </c>
      <c r="N8488">
        <v>64</v>
      </c>
      <c r="O8488" t="s">
        <v>61</v>
      </c>
      <c r="Q8488" t="s">
        <v>381</v>
      </c>
      <c r="R8488" t="s">
        <v>6721</v>
      </c>
      <c r="S8488" t="s">
        <v>1078</v>
      </c>
    </row>
    <row r="8489" spans="1:19" x14ac:dyDescent="0.25">
      <c r="A8489" t="s">
        <v>59</v>
      </c>
      <c r="B8489" t="s">
        <v>60</v>
      </c>
      <c r="C8489" t="s">
        <v>32</v>
      </c>
      <c r="D8489" t="s">
        <v>953</v>
      </c>
      <c r="E8489" t="s">
        <v>1077</v>
      </c>
      <c r="F8489" t="s">
        <v>35</v>
      </c>
      <c r="G8489" t="s">
        <v>35</v>
      </c>
      <c r="H8489" t="s">
        <v>35</v>
      </c>
      <c r="J8489" t="s">
        <v>7684</v>
      </c>
      <c r="K8489" t="s">
        <v>1092</v>
      </c>
      <c r="M8489">
        <v>0.45</v>
      </c>
      <c r="N8489">
        <v>75</v>
      </c>
      <c r="O8489" t="s">
        <v>61</v>
      </c>
      <c r="Q8489" t="s">
        <v>805</v>
      </c>
      <c r="R8489" t="s">
        <v>6721</v>
      </c>
      <c r="S8489" t="s">
        <v>1078</v>
      </c>
    </row>
    <row r="8490" spans="1:19" x14ac:dyDescent="0.25">
      <c r="A8490" t="s">
        <v>44</v>
      </c>
      <c r="B8490" t="s">
        <v>51</v>
      </c>
      <c r="C8490" t="s">
        <v>32</v>
      </c>
      <c r="D8490" t="s">
        <v>953</v>
      </c>
      <c r="E8490" t="s">
        <v>1077</v>
      </c>
      <c r="F8490" t="s">
        <v>35</v>
      </c>
      <c r="G8490" t="s">
        <v>35</v>
      </c>
      <c r="H8490" t="s">
        <v>35</v>
      </c>
      <c r="J8490" t="s">
        <v>7684</v>
      </c>
      <c r="K8490" t="s">
        <v>1092</v>
      </c>
      <c r="M8490">
        <v>0.3</v>
      </c>
      <c r="N8490">
        <v>323</v>
      </c>
      <c r="O8490" t="s">
        <v>5</v>
      </c>
      <c r="Q8490" t="s">
        <v>6781</v>
      </c>
      <c r="R8490" t="s">
        <v>6721</v>
      </c>
      <c r="S8490" t="s">
        <v>1078</v>
      </c>
    </row>
    <row r="8491" spans="1:19" x14ac:dyDescent="0.25">
      <c r="A8491" t="s">
        <v>59</v>
      </c>
      <c r="B8491" t="s">
        <v>60</v>
      </c>
      <c r="C8491" t="s">
        <v>32</v>
      </c>
      <c r="D8491" t="s">
        <v>953</v>
      </c>
      <c r="E8491" t="s">
        <v>1077</v>
      </c>
      <c r="F8491" t="s">
        <v>35</v>
      </c>
      <c r="G8491" t="s">
        <v>35</v>
      </c>
      <c r="H8491" t="s">
        <v>35</v>
      </c>
      <c r="J8491" t="s">
        <v>7684</v>
      </c>
      <c r="K8491" t="s">
        <v>1092</v>
      </c>
      <c r="M8491">
        <v>5</v>
      </c>
      <c r="N8491">
        <v>64</v>
      </c>
      <c r="O8491" t="s">
        <v>61</v>
      </c>
      <c r="Q8491" t="s">
        <v>381</v>
      </c>
      <c r="R8491" t="s">
        <v>6721</v>
      </c>
      <c r="S8491" t="s">
        <v>1078</v>
      </c>
    </row>
    <row r="8492" spans="1:19" x14ac:dyDescent="0.25">
      <c r="A8492" t="s">
        <v>59</v>
      </c>
      <c r="B8492" t="s">
        <v>31</v>
      </c>
      <c r="C8492" t="s">
        <v>32</v>
      </c>
      <c r="D8492" t="s">
        <v>953</v>
      </c>
      <c r="E8492" t="s">
        <v>1077</v>
      </c>
      <c r="F8492" t="s">
        <v>35</v>
      </c>
      <c r="G8492" t="s">
        <v>35</v>
      </c>
      <c r="H8492" t="s">
        <v>35</v>
      </c>
      <c r="J8492" t="s">
        <v>7684</v>
      </c>
      <c r="K8492" t="s">
        <v>1092</v>
      </c>
      <c r="M8492">
        <v>3.42</v>
      </c>
      <c r="N8492">
        <v>64</v>
      </c>
      <c r="O8492" t="s">
        <v>61</v>
      </c>
      <c r="Q8492" t="s">
        <v>381</v>
      </c>
      <c r="R8492" t="s">
        <v>6721</v>
      </c>
      <c r="S8492" t="s">
        <v>1078</v>
      </c>
    </row>
    <row r="8493" spans="1:19" x14ac:dyDescent="0.25">
      <c r="A8493" t="s">
        <v>59</v>
      </c>
      <c r="B8493" t="s">
        <v>60</v>
      </c>
      <c r="C8493" t="s">
        <v>32</v>
      </c>
      <c r="D8493" t="s">
        <v>953</v>
      </c>
      <c r="E8493" t="s">
        <v>1077</v>
      </c>
      <c r="F8493" t="s">
        <v>35</v>
      </c>
      <c r="G8493" t="s">
        <v>35</v>
      </c>
      <c r="H8493" t="s">
        <v>35</v>
      </c>
      <c r="J8493" t="s">
        <v>7685</v>
      </c>
      <c r="K8493" t="s">
        <v>1092</v>
      </c>
      <c r="M8493">
        <v>0.85</v>
      </c>
      <c r="N8493">
        <v>773</v>
      </c>
      <c r="O8493" t="s">
        <v>575</v>
      </c>
      <c r="Q8493" t="s">
        <v>7686</v>
      </c>
      <c r="R8493" t="s">
        <v>6709</v>
      </c>
      <c r="S8493" t="s">
        <v>1022</v>
      </c>
    </row>
    <row r="8494" spans="1:19" x14ac:dyDescent="0.25">
      <c r="A8494" t="s">
        <v>30</v>
      </c>
      <c r="B8494" t="s">
        <v>31</v>
      </c>
      <c r="C8494" t="s">
        <v>32</v>
      </c>
      <c r="D8494" t="s">
        <v>953</v>
      </c>
      <c r="E8494" t="s">
        <v>1077</v>
      </c>
      <c r="F8494" t="s">
        <v>35</v>
      </c>
      <c r="G8494" t="s">
        <v>35</v>
      </c>
      <c r="H8494" t="s">
        <v>35</v>
      </c>
      <c r="J8494" t="s">
        <v>7685</v>
      </c>
      <c r="K8494" t="s">
        <v>1092</v>
      </c>
      <c r="M8494">
        <v>2.5999999999999999E-2</v>
      </c>
      <c r="N8494">
        <v>1844</v>
      </c>
      <c r="O8494" t="s">
        <v>575</v>
      </c>
      <c r="Q8494" t="s">
        <v>7687</v>
      </c>
      <c r="R8494" t="s">
        <v>7688</v>
      </c>
      <c r="S8494" t="s">
        <v>7689</v>
      </c>
    </row>
    <row r="8495" spans="1:19" x14ac:dyDescent="0.25">
      <c r="A8495" t="s">
        <v>59</v>
      </c>
      <c r="B8495" t="s">
        <v>31</v>
      </c>
      <c r="C8495" t="s">
        <v>32</v>
      </c>
      <c r="D8495" t="s">
        <v>953</v>
      </c>
      <c r="E8495" t="s">
        <v>1077</v>
      </c>
      <c r="F8495" t="s">
        <v>35</v>
      </c>
      <c r="G8495" t="s">
        <v>35</v>
      </c>
      <c r="H8495" t="s">
        <v>35</v>
      </c>
      <c r="J8495" t="s">
        <v>7691</v>
      </c>
      <c r="K8495" t="s">
        <v>1092</v>
      </c>
      <c r="M8495">
        <v>0.36</v>
      </c>
      <c r="N8495">
        <v>141</v>
      </c>
      <c r="O8495" t="s">
        <v>38</v>
      </c>
      <c r="Q8495" t="s">
        <v>1822</v>
      </c>
      <c r="R8495" t="s">
        <v>6721</v>
      </c>
      <c r="S8495" t="s">
        <v>1078</v>
      </c>
    </row>
    <row r="8496" spans="1:19" x14ac:dyDescent="0.25">
      <c r="A8496" t="s">
        <v>44</v>
      </c>
      <c r="B8496" t="s">
        <v>51</v>
      </c>
      <c r="C8496" t="s">
        <v>32</v>
      </c>
      <c r="D8496" t="s">
        <v>953</v>
      </c>
      <c r="E8496" t="s">
        <v>1077</v>
      </c>
      <c r="F8496" t="s">
        <v>35</v>
      </c>
      <c r="G8496" t="s">
        <v>35</v>
      </c>
      <c r="H8496" t="s">
        <v>35</v>
      </c>
      <c r="J8496" t="s">
        <v>7691</v>
      </c>
      <c r="K8496" t="s">
        <v>1092</v>
      </c>
      <c r="M8496">
        <v>2.5</v>
      </c>
      <c r="N8496">
        <v>13</v>
      </c>
      <c r="O8496" t="s">
        <v>46</v>
      </c>
      <c r="Q8496" t="s">
        <v>310</v>
      </c>
      <c r="R8496" t="s">
        <v>133</v>
      </c>
      <c r="S8496" t="s">
        <v>134</v>
      </c>
    </row>
    <row r="8497" spans="1:19" x14ac:dyDescent="0.25">
      <c r="A8497" t="s">
        <v>30</v>
      </c>
      <c r="B8497" t="s">
        <v>31</v>
      </c>
      <c r="C8497" t="s">
        <v>32</v>
      </c>
      <c r="D8497" t="s">
        <v>953</v>
      </c>
      <c r="E8497" t="s">
        <v>1077</v>
      </c>
      <c r="F8497" t="s">
        <v>35</v>
      </c>
      <c r="G8497" t="s">
        <v>35</v>
      </c>
      <c r="H8497" t="s">
        <v>35</v>
      </c>
      <c r="J8497" t="s">
        <v>7691</v>
      </c>
      <c r="K8497" t="s">
        <v>1092</v>
      </c>
      <c r="M8497">
        <v>9.81</v>
      </c>
      <c r="N8497">
        <v>11</v>
      </c>
      <c r="O8497" t="s">
        <v>46</v>
      </c>
      <c r="Q8497" t="s">
        <v>1053</v>
      </c>
      <c r="R8497" t="s">
        <v>133</v>
      </c>
      <c r="S8497" t="s">
        <v>134</v>
      </c>
    </row>
    <row r="8498" spans="1:19" x14ac:dyDescent="0.25">
      <c r="A8498" t="s">
        <v>59</v>
      </c>
      <c r="B8498" t="s">
        <v>60</v>
      </c>
      <c r="C8498" t="s">
        <v>32</v>
      </c>
      <c r="D8498" t="s">
        <v>953</v>
      </c>
      <c r="E8498" t="s">
        <v>1077</v>
      </c>
      <c r="F8498" t="s">
        <v>35</v>
      </c>
      <c r="G8498" t="s">
        <v>35</v>
      </c>
      <c r="H8498" t="s">
        <v>35</v>
      </c>
      <c r="J8498" t="s">
        <v>7691</v>
      </c>
      <c r="K8498" t="s">
        <v>1092</v>
      </c>
      <c r="M8498">
        <v>2.5</v>
      </c>
      <c r="N8498">
        <v>13</v>
      </c>
      <c r="O8498" t="s">
        <v>46</v>
      </c>
      <c r="Q8498" t="s">
        <v>310</v>
      </c>
      <c r="R8498" t="s">
        <v>133</v>
      </c>
      <c r="S8498" t="s">
        <v>134</v>
      </c>
    </row>
    <row r="8499" spans="1:19" x14ac:dyDescent="0.25">
      <c r="A8499" t="s">
        <v>59</v>
      </c>
      <c r="B8499" t="s">
        <v>60</v>
      </c>
      <c r="C8499" t="s">
        <v>32</v>
      </c>
      <c r="D8499" t="s">
        <v>953</v>
      </c>
      <c r="E8499" t="s">
        <v>1077</v>
      </c>
      <c r="F8499" t="s">
        <v>35</v>
      </c>
      <c r="G8499" t="s">
        <v>35</v>
      </c>
      <c r="H8499" t="s">
        <v>35</v>
      </c>
      <c r="J8499" t="s">
        <v>7691</v>
      </c>
      <c r="K8499" t="s">
        <v>1092</v>
      </c>
      <c r="M8499">
        <v>1.1000000000000001</v>
      </c>
      <c r="N8499">
        <v>60</v>
      </c>
      <c r="O8499" t="s">
        <v>52</v>
      </c>
      <c r="Q8499" t="s">
        <v>1734</v>
      </c>
      <c r="R8499" t="s">
        <v>6705</v>
      </c>
      <c r="S8499" t="s">
        <v>981</v>
      </c>
    </row>
    <row r="8500" spans="1:19" x14ac:dyDescent="0.25">
      <c r="A8500" t="s">
        <v>59</v>
      </c>
      <c r="B8500" t="s">
        <v>60</v>
      </c>
      <c r="C8500" t="s">
        <v>32</v>
      </c>
      <c r="D8500" t="s">
        <v>953</v>
      </c>
      <c r="E8500" t="s">
        <v>1077</v>
      </c>
      <c r="F8500" t="s">
        <v>35</v>
      </c>
      <c r="G8500" t="s">
        <v>35</v>
      </c>
      <c r="H8500" t="s">
        <v>35</v>
      </c>
      <c r="J8500" t="s">
        <v>7692</v>
      </c>
      <c r="K8500" t="s">
        <v>1092</v>
      </c>
      <c r="M8500">
        <v>0.02</v>
      </c>
      <c r="N8500">
        <v>592</v>
      </c>
      <c r="O8500" t="s">
        <v>575</v>
      </c>
      <c r="Q8500" t="s">
        <v>4004</v>
      </c>
      <c r="R8500" t="s">
        <v>6709</v>
      </c>
      <c r="S8500" t="s">
        <v>1022</v>
      </c>
    </row>
    <row r="8501" spans="1:19" x14ac:dyDescent="0.25">
      <c r="A8501" t="s">
        <v>30</v>
      </c>
      <c r="B8501" t="s">
        <v>31</v>
      </c>
      <c r="C8501" t="s">
        <v>32</v>
      </c>
      <c r="D8501" t="s">
        <v>953</v>
      </c>
      <c r="E8501" t="s">
        <v>1077</v>
      </c>
      <c r="F8501" t="s">
        <v>35</v>
      </c>
      <c r="G8501" t="s">
        <v>35</v>
      </c>
      <c r="H8501" t="s">
        <v>35</v>
      </c>
      <c r="J8501" t="s">
        <v>7693</v>
      </c>
      <c r="K8501" t="s">
        <v>1092</v>
      </c>
      <c r="M8501">
        <v>4.9950000000000001</v>
      </c>
      <c r="N8501">
        <v>17</v>
      </c>
      <c r="O8501" t="s">
        <v>46</v>
      </c>
      <c r="Q8501" t="s">
        <v>1302</v>
      </c>
      <c r="R8501" t="s">
        <v>7646</v>
      </c>
      <c r="S8501" t="s">
        <v>7647</v>
      </c>
    </row>
    <row r="8502" spans="1:19" x14ac:dyDescent="0.25">
      <c r="A8502" t="s">
        <v>59</v>
      </c>
      <c r="B8502" t="s">
        <v>60</v>
      </c>
      <c r="C8502" t="s">
        <v>32</v>
      </c>
      <c r="D8502" t="s">
        <v>953</v>
      </c>
      <c r="E8502" t="s">
        <v>1077</v>
      </c>
      <c r="F8502" t="s">
        <v>35</v>
      </c>
      <c r="G8502" t="s">
        <v>35</v>
      </c>
      <c r="H8502" t="s">
        <v>35</v>
      </c>
      <c r="J8502" t="s">
        <v>7694</v>
      </c>
      <c r="K8502" t="s">
        <v>404</v>
      </c>
      <c r="M8502">
        <v>1.05</v>
      </c>
      <c r="N8502">
        <v>494</v>
      </c>
      <c r="O8502" t="s">
        <v>294</v>
      </c>
      <c r="Q8502" t="s">
        <v>3564</v>
      </c>
      <c r="R8502" t="s">
        <v>133</v>
      </c>
      <c r="S8502" t="s">
        <v>134</v>
      </c>
    </row>
    <row r="8503" spans="1:19" x14ac:dyDescent="0.25">
      <c r="A8503" t="s">
        <v>44</v>
      </c>
      <c r="B8503" t="s">
        <v>3</v>
      </c>
      <c r="C8503" t="s">
        <v>32</v>
      </c>
      <c r="D8503" t="s">
        <v>953</v>
      </c>
      <c r="E8503" t="s">
        <v>1077</v>
      </c>
      <c r="F8503" t="s">
        <v>35</v>
      </c>
      <c r="G8503" t="s">
        <v>35</v>
      </c>
      <c r="H8503" t="s">
        <v>35</v>
      </c>
      <c r="J8503" t="s">
        <v>7694</v>
      </c>
      <c r="K8503" t="s">
        <v>404</v>
      </c>
      <c r="M8503">
        <v>0.5</v>
      </c>
      <c r="N8503">
        <v>422</v>
      </c>
      <c r="O8503" t="s">
        <v>294</v>
      </c>
      <c r="Q8503" t="s">
        <v>4141</v>
      </c>
      <c r="R8503" t="s">
        <v>6720</v>
      </c>
      <c r="S8503" t="s">
        <v>961</v>
      </c>
    </row>
    <row r="8504" spans="1:19" x14ac:dyDescent="0.25">
      <c r="A8504" t="s">
        <v>44</v>
      </c>
      <c r="B8504" t="s">
        <v>3</v>
      </c>
      <c r="C8504" t="s">
        <v>32</v>
      </c>
      <c r="D8504" t="s">
        <v>953</v>
      </c>
      <c r="E8504" t="s">
        <v>1077</v>
      </c>
      <c r="F8504" t="s">
        <v>35</v>
      </c>
      <c r="G8504" t="s">
        <v>35</v>
      </c>
      <c r="H8504" t="s">
        <v>35</v>
      </c>
      <c r="J8504" t="s">
        <v>7694</v>
      </c>
      <c r="K8504" t="s">
        <v>404</v>
      </c>
      <c r="M8504">
        <v>1</v>
      </c>
      <c r="N8504">
        <v>462</v>
      </c>
      <c r="O8504" t="s">
        <v>294</v>
      </c>
      <c r="Q8504" t="s">
        <v>7695</v>
      </c>
      <c r="R8504" t="s">
        <v>6720</v>
      </c>
      <c r="S8504" t="s">
        <v>961</v>
      </c>
    </row>
    <row r="8505" spans="1:19" x14ac:dyDescent="0.25">
      <c r="A8505" t="s">
        <v>59</v>
      </c>
      <c r="B8505" t="s">
        <v>31</v>
      </c>
      <c r="C8505" t="s">
        <v>32</v>
      </c>
      <c r="D8505" t="s">
        <v>953</v>
      </c>
      <c r="E8505" t="s">
        <v>1077</v>
      </c>
      <c r="F8505" t="s">
        <v>35</v>
      </c>
      <c r="G8505" t="s">
        <v>35</v>
      </c>
      <c r="H8505" t="s">
        <v>35</v>
      </c>
      <c r="J8505" t="s">
        <v>7696</v>
      </c>
      <c r="K8505" t="s">
        <v>1092</v>
      </c>
      <c r="M8505">
        <v>0.315</v>
      </c>
      <c r="N8505">
        <v>435</v>
      </c>
      <c r="O8505" t="s">
        <v>294</v>
      </c>
      <c r="Q8505" t="s">
        <v>1350</v>
      </c>
      <c r="R8505" t="s">
        <v>6721</v>
      </c>
      <c r="S8505" t="s">
        <v>1078</v>
      </c>
    </row>
    <row r="8506" spans="1:19" x14ac:dyDescent="0.25">
      <c r="A8506" t="s">
        <v>59</v>
      </c>
      <c r="B8506" t="s">
        <v>31</v>
      </c>
      <c r="C8506" t="s">
        <v>32</v>
      </c>
      <c r="D8506" t="s">
        <v>953</v>
      </c>
      <c r="E8506" t="s">
        <v>1077</v>
      </c>
      <c r="F8506" t="s">
        <v>35</v>
      </c>
      <c r="G8506" t="s">
        <v>35</v>
      </c>
      <c r="H8506" t="s">
        <v>35</v>
      </c>
      <c r="J8506" t="s">
        <v>7696</v>
      </c>
      <c r="K8506" t="s">
        <v>1092</v>
      </c>
      <c r="M8506">
        <v>0.45</v>
      </c>
      <c r="N8506">
        <v>390</v>
      </c>
      <c r="O8506" t="s">
        <v>294</v>
      </c>
      <c r="Q8506" t="s">
        <v>7697</v>
      </c>
      <c r="R8506" t="s">
        <v>6721</v>
      </c>
      <c r="S8506" t="s">
        <v>1078</v>
      </c>
    </row>
    <row r="8507" spans="1:19" x14ac:dyDescent="0.25">
      <c r="A8507" t="s">
        <v>44</v>
      </c>
      <c r="B8507" t="s">
        <v>51</v>
      </c>
      <c r="C8507" t="s">
        <v>32</v>
      </c>
      <c r="D8507" t="s">
        <v>953</v>
      </c>
      <c r="E8507" t="s">
        <v>1077</v>
      </c>
      <c r="F8507" t="s">
        <v>35</v>
      </c>
      <c r="G8507" t="s">
        <v>35</v>
      </c>
      <c r="H8507" t="s">
        <v>35</v>
      </c>
      <c r="J8507" t="s">
        <v>7696</v>
      </c>
      <c r="K8507" t="s">
        <v>1092</v>
      </c>
      <c r="M8507">
        <v>0.05</v>
      </c>
      <c r="N8507">
        <v>337</v>
      </c>
      <c r="O8507" t="s">
        <v>5</v>
      </c>
      <c r="Q8507" t="s">
        <v>1825</v>
      </c>
      <c r="R8507" t="s">
        <v>6721</v>
      </c>
      <c r="S8507" t="s">
        <v>1078</v>
      </c>
    </row>
    <row r="8508" spans="1:19" x14ac:dyDescent="0.25">
      <c r="A8508" t="s">
        <v>59</v>
      </c>
      <c r="B8508" t="s">
        <v>60</v>
      </c>
      <c r="C8508" t="s">
        <v>32</v>
      </c>
      <c r="D8508" t="s">
        <v>953</v>
      </c>
      <c r="E8508" t="s">
        <v>1077</v>
      </c>
      <c r="F8508" t="s">
        <v>35</v>
      </c>
      <c r="G8508" t="s">
        <v>35</v>
      </c>
      <c r="H8508" t="s">
        <v>35</v>
      </c>
      <c r="J8508" t="s">
        <v>7696</v>
      </c>
      <c r="K8508" t="s">
        <v>1092</v>
      </c>
      <c r="M8508">
        <v>0.223</v>
      </c>
      <c r="N8508">
        <v>349</v>
      </c>
      <c r="O8508" t="s">
        <v>5</v>
      </c>
      <c r="Q8508" t="s">
        <v>3644</v>
      </c>
      <c r="R8508" t="s">
        <v>6721</v>
      </c>
      <c r="S8508" t="s">
        <v>1078</v>
      </c>
    </row>
    <row r="8509" spans="1:19" x14ac:dyDescent="0.25">
      <c r="A8509" t="s">
        <v>30</v>
      </c>
      <c r="B8509" t="s">
        <v>31</v>
      </c>
      <c r="C8509" t="s">
        <v>32</v>
      </c>
      <c r="D8509" t="s">
        <v>953</v>
      </c>
      <c r="E8509" t="s">
        <v>1077</v>
      </c>
      <c r="F8509" t="s">
        <v>35</v>
      </c>
      <c r="G8509" t="s">
        <v>35</v>
      </c>
      <c r="H8509" t="s">
        <v>35</v>
      </c>
      <c r="J8509" t="s">
        <v>7696</v>
      </c>
      <c r="K8509" t="s">
        <v>1092</v>
      </c>
      <c r="M8509">
        <v>0.27</v>
      </c>
      <c r="N8509">
        <v>448</v>
      </c>
      <c r="O8509" t="s">
        <v>294</v>
      </c>
      <c r="Q8509" t="s">
        <v>1899</v>
      </c>
      <c r="R8509" t="s">
        <v>6721</v>
      </c>
      <c r="S8509" t="s">
        <v>1078</v>
      </c>
    </row>
    <row r="8510" spans="1:19" x14ac:dyDescent="0.25">
      <c r="A8510" t="s">
        <v>59</v>
      </c>
      <c r="B8510" t="s">
        <v>31</v>
      </c>
      <c r="C8510" t="s">
        <v>32</v>
      </c>
      <c r="D8510" t="s">
        <v>953</v>
      </c>
      <c r="E8510" t="s">
        <v>1077</v>
      </c>
      <c r="F8510" t="s">
        <v>35</v>
      </c>
      <c r="G8510" t="s">
        <v>35</v>
      </c>
      <c r="H8510" t="s">
        <v>35</v>
      </c>
      <c r="J8510" t="s">
        <v>7696</v>
      </c>
      <c r="K8510" t="s">
        <v>1092</v>
      </c>
      <c r="M8510">
        <v>0.33</v>
      </c>
      <c r="N8510">
        <v>470</v>
      </c>
      <c r="O8510" t="s">
        <v>294</v>
      </c>
      <c r="Q8510" t="s">
        <v>1327</v>
      </c>
      <c r="R8510" t="s">
        <v>6721</v>
      </c>
      <c r="S8510" t="s">
        <v>1078</v>
      </c>
    </row>
    <row r="8511" spans="1:19" x14ac:dyDescent="0.25">
      <c r="A8511" t="s">
        <v>59</v>
      </c>
      <c r="B8511" t="s">
        <v>60</v>
      </c>
      <c r="C8511" t="s">
        <v>32</v>
      </c>
      <c r="D8511" t="s">
        <v>953</v>
      </c>
      <c r="E8511" t="s">
        <v>1077</v>
      </c>
      <c r="F8511" t="s">
        <v>35</v>
      </c>
      <c r="G8511" t="s">
        <v>35</v>
      </c>
      <c r="H8511" t="s">
        <v>35</v>
      </c>
      <c r="J8511" t="s">
        <v>7698</v>
      </c>
      <c r="K8511" t="s">
        <v>1092</v>
      </c>
      <c r="M8511">
        <v>0.25</v>
      </c>
      <c r="N8511">
        <v>239</v>
      </c>
      <c r="O8511" t="s">
        <v>5</v>
      </c>
      <c r="Q8511" t="s">
        <v>1471</v>
      </c>
      <c r="R8511" t="s">
        <v>6721</v>
      </c>
      <c r="S8511" t="s">
        <v>1078</v>
      </c>
    </row>
    <row r="8512" spans="1:19" x14ac:dyDescent="0.25">
      <c r="A8512" t="s">
        <v>44</v>
      </c>
      <c r="B8512" t="s">
        <v>3</v>
      </c>
      <c r="C8512" t="s">
        <v>32</v>
      </c>
      <c r="D8512" t="s">
        <v>953</v>
      </c>
      <c r="E8512" t="s">
        <v>1077</v>
      </c>
      <c r="F8512" t="s">
        <v>35</v>
      </c>
      <c r="G8512" t="s">
        <v>35</v>
      </c>
      <c r="H8512" t="s">
        <v>35</v>
      </c>
      <c r="J8512" t="s">
        <v>7698</v>
      </c>
      <c r="K8512" t="s">
        <v>1092</v>
      </c>
      <c r="M8512">
        <v>9.6000000000000002E-2</v>
      </c>
      <c r="N8512">
        <v>441</v>
      </c>
      <c r="O8512" t="s">
        <v>294</v>
      </c>
      <c r="Q8512" t="s">
        <v>1888</v>
      </c>
      <c r="R8512" t="s">
        <v>6721</v>
      </c>
      <c r="S8512" t="s">
        <v>1078</v>
      </c>
    </row>
    <row r="8513" spans="1:19" x14ac:dyDescent="0.25">
      <c r="A8513" t="s">
        <v>59</v>
      </c>
      <c r="B8513" t="s">
        <v>60</v>
      </c>
      <c r="C8513" t="s">
        <v>32</v>
      </c>
      <c r="D8513" t="s">
        <v>953</v>
      </c>
      <c r="E8513" t="s">
        <v>1077</v>
      </c>
      <c r="F8513" t="s">
        <v>35</v>
      </c>
      <c r="G8513" t="s">
        <v>35</v>
      </c>
      <c r="H8513" t="s">
        <v>35</v>
      </c>
      <c r="J8513" t="s">
        <v>7698</v>
      </c>
      <c r="K8513" t="s">
        <v>1092</v>
      </c>
      <c r="M8513">
        <v>0.1</v>
      </c>
      <c r="N8513">
        <v>260</v>
      </c>
      <c r="O8513" t="s">
        <v>5</v>
      </c>
      <c r="Q8513" t="s">
        <v>5106</v>
      </c>
      <c r="R8513" t="s">
        <v>6721</v>
      </c>
      <c r="S8513" t="s">
        <v>1078</v>
      </c>
    </row>
    <row r="8514" spans="1:19" x14ac:dyDescent="0.25">
      <c r="A8514" t="s">
        <v>59</v>
      </c>
      <c r="B8514" t="s">
        <v>31</v>
      </c>
      <c r="C8514" t="s">
        <v>32</v>
      </c>
      <c r="D8514" t="s">
        <v>953</v>
      </c>
      <c r="E8514" t="s">
        <v>1077</v>
      </c>
      <c r="F8514" t="s">
        <v>35</v>
      </c>
      <c r="G8514" t="s">
        <v>35</v>
      </c>
      <c r="H8514" t="s">
        <v>35</v>
      </c>
      <c r="J8514" t="s">
        <v>7698</v>
      </c>
      <c r="K8514" t="s">
        <v>1092</v>
      </c>
      <c r="M8514">
        <v>0.45</v>
      </c>
      <c r="N8514">
        <v>239</v>
      </c>
      <c r="O8514" t="s">
        <v>5</v>
      </c>
      <c r="Q8514" t="s">
        <v>1471</v>
      </c>
      <c r="R8514" t="s">
        <v>6721</v>
      </c>
      <c r="S8514" t="s">
        <v>1078</v>
      </c>
    </row>
    <row r="8515" spans="1:19" x14ac:dyDescent="0.25">
      <c r="A8515" t="s">
        <v>59</v>
      </c>
      <c r="B8515" t="s">
        <v>31</v>
      </c>
      <c r="C8515" t="s">
        <v>32</v>
      </c>
      <c r="D8515" t="s">
        <v>953</v>
      </c>
      <c r="E8515" t="s">
        <v>1077</v>
      </c>
      <c r="F8515" t="s">
        <v>35</v>
      </c>
      <c r="G8515" t="s">
        <v>35</v>
      </c>
      <c r="H8515" t="s">
        <v>35</v>
      </c>
      <c r="J8515" t="s">
        <v>7698</v>
      </c>
      <c r="K8515" t="s">
        <v>1092</v>
      </c>
      <c r="M8515">
        <v>0.22500000000000001</v>
      </c>
      <c r="N8515">
        <v>390</v>
      </c>
      <c r="O8515" t="s">
        <v>294</v>
      </c>
      <c r="Q8515" t="s">
        <v>7697</v>
      </c>
      <c r="R8515" t="s">
        <v>6721</v>
      </c>
      <c r="S8515" t="s">
        <v>1078</v>
      </c>
    </row>
    <row r="8516" spans="1:19" x14ac:dyDescent="0.25">
      <c r="A8516" t="s">
        <v>30</v>
      </c>
      <c r="B8516" t="s">
        <v>31</v>
      </c>
      <c r="C8516" t="s">
        <v>32</v>
      </c>
      <c r="D8516" t="s">
        <v>953</v>
      </c>
      <c r="E8516" t="s">
        <v>1077</v>
      </c>
      <c r="F8516" t="s">
        <v>35</v>
      </c>
      <c r="G8516" t="s">
        <v>35</v>
      </c>
      <c r="H8516" t="s">
        <v>35</v>
      </c>
      <c r="J8516" t="s">
        <v>7698</v>
      </c>
      <c r="K8516" t="s">
        <v>1092</v>
      </c>
      <c r="M8516">
        <v>0.36</v>
      </c>
      <c r="N8516">
        <v>449</v>
      </c>
      <c r="O8516" t="s">
        <v>294</v>
      </c>
      <c r="Q8516" t="s">
        <v>7665</v>
      </c>
      <c r="R8516" t="s">
        <v>6721</v>
      </c>
      <c r="S8516" t="s">
        <v>1078</v>
      </c>
    </row>
    <row r="8517" spans="1:19" x14ac:dyDescent="0.25">
      <c r="A8517" t="s">
        <v>59</v>
      </c>
      <c r="B8517" t="s">
        <v>60</v>
      </c>
      <c r="C8517" t="s">
        <v>32</v>
      </c>
      <c r="D8517" t="s">
        <v>953</v>
      </c>
      <c r="E8517" t="s">
        <v>1077</v>
      </c>
      <c r="F8517" t="s">
        <v>35</v>
      </c>
      <c r="G8517" t="s">
        <v>35</v>
      </c>
      <c r="H8517" t="s">
        <v>35</v>
      </c>
      <c r="J8517" t="s">
        <v>7698</v>
      </c>
      <c r="K8517" t="s">
        <v>1092</v>
      </c>
      <c r="M8517">
        <v>0.1</v>
      </c>
      <c r="N8517">
        <v>323</v>
      </c>
      <c r="O8517" t="s">
        <v>5</v>
      </c>
      <c r="Q8517" t="s">
        <v>6781</v>
      </c>
      <c r="R8517" t="s">
        <v>6721</v>
      </c>
      <c r="S8517" t="s">
        <v>1078</v>
      </c>
    </row>
    <row r="8518" spans="1:19" x14ac:dyDescent="0.25">
      <c r="A8518" t="s">
        <v>59</v>
      </c>
      <c r="B8518" t="s">
        <v>60</v>
      </c>
      <c r="C8518" t="s">
        <v>32</v>
      </c>
      <c r="D8518" t="s">
        <v>953</v>
      </c>
      <c r="E8518" t="s">
        <v>1077</v>
      </c>
      <c r="F8518" t="s">
        <v>35</v>
      </c>
      <c r="G8518" t="s">
        <v>35</v>
      </c>
      <c r="H8518" t="s">
        <v>35</v>
      </c>
      <c r="J8518" t="s">
        <v>7698</v>
      </c>
      <c r="K8518" t="s">
        <v>1092</v>
      </c>
      <c r="M8518">
        <v>0.2</v>
      </c>
      <c r="N8518">
        <v>302</v>
      </c>
      <c r="O8518" t="s">
        <v>5</v>
      </c>
      <c r="Q8518" t="s">
        <v>6862</v>
      </c>
      <c r="R8518" t="s">
        <v>6721</v>
      </c>
      <c r="S8518" t="s">
        <v>1078</v>
      </c>
    </row>
    <row r="8519" spans="1:19" x14ac:dyDescent="0.25">
      <c r="A8519" t="s">
        <v>59</v>
      </c>
      <c r="B8519" t="s">
        <v>60</v>
      </c>
      <c r="C8519" t="s">
        <v>32</v>
      </c>
      <c r="D8519" t="s">
        <v>953</v>
      </c>
      <c r="E8519" t="s">
        <v>1077</v>
      </c>
      <c r="F8519" t="s">
        <v>35</v>
      </c>
      <c r="G8519" t="s">
        <v>35</v>
      </c>
      <c r="H8519" t="s">
        <v>35</v>
      </c>
      <c r="J8519" t="s">
        <v>7698</v>
      </c>
      <c r="K8519" t="s">
        <v>1092</v>
      </c>
      <c r="M8519">
        <v>0.1</v>
      </c>
      <c r="N8519">
        <v>288</v>
      </c>
      <c r="O8519" t="s">
        <v>5</v>
      </c>
      <c r="Q8519" t="s">
        <v>1421</v>
      </c>
      <c r="R8519" t="s">
        <v>6721</v>
      </c>
      <c r="S8519" t="s">
        <v>1078</v>
      </c>
    </row>
    <row r="8520" spans="1:19" x14ac:dyDescent="0.25">
      <c r="A8520" t="s">
        <v>59</v>
      </c>
      <c r="B8520" t="s">
        <v>60</v>
      </c>
      <c r="C8520" t="s">
        <v>32</v>
      </c>
      <c r="D8520" t="s">
        <v>953</v>
      </c>
      <c r="E8520" t="s">
        <v>1077</v>
      </c>
      <c r="F8520" t="s">
        <v>35</v>
      </c>
      <c r="G8520" t="s">
        <v>35</v>
      </c>
      <c r="H8520" t="s">
        <v>35</v>
      </c>
      <c r="J8520" t="s">
        <v>7698</v>
      </c>
      <c r="K8520" t="s">
        <v>1092</v>
      </c>
      <c r="M8520">
        <v>0.2</v>
      </c>
      <c r="N8520">
        <v>271</v>
      </c>
      <c r="O8520" t="s">
        <v>5</v>
      </c>
      <c r="Q8520" t="s">
        <v>1881</v>
      </c>
      <c r="R8520" t="s">
        <v>6721</v>
      </c>
      <c r="S8520" t="s">
        <v>1078</v>
      </c>
    </row>
    <row r="8521" spans="1:19" x14ac:dyDescent="0.25">
      <c r="A8521" t="s">
        <v>44</v>
      </c>
      <c r="B8521" t="s">
        <v>51</v>
      </c>
      <c r="C8521" t="s">
        <v>32</v>
      </c>
      <c r="D8521" t="s">
        <v>953</v>
      </c>
      <c r="E8521" t="s">
        <v>1077</v>
      </c>
      <c r="F8521" t="s">
        <v>35</v>
      </c>
      <c r="G8521" t="s">
        <v>35</v>
      </c>
      <c r="H8521" t="s">
        <v>35</v>
      </c>
      <c r="J8521" t="s">
        <v>7698</v>
      </c>
      <c r="K8521" t="s">
        <v>1092</v>
      </c>
      <c r="M8521">
        <v>0.1</v>
      </c>
      <c r="N8521">
        <v>502</v>
      </c>
      <c r="O8521" t="s">
        <v>294</v>
      </c>
      <c r="Q8521" t="s">
        <v>1181</v>
      </c>
      <c r="R8521" t="s">
        <v>6721</v>
      </c>
      <c r="S8521" t="s">
        <v>1078</v>
      </c>
    </row>
    <row r="8522" spans="1:19" x14ac:dyDescent="0.25">
      <c r="A8522" t="s">
        <v>59</v>
      </c>
      <c r="B8522" t="s">
        <v>31</v>
      </c>
      <c r="C8522" t="s">
        <v>32</v>
      </c>
      <c r="D8522" t="s">
        <v>953</v>
      </c>
      <c r="E8522" t="s">
        <v>1077</v>
      </c>
      <c r="F8522" t="s">
        <v>35</v>
      </c>
      <c r="G8522" t="s">
        <v>35</v>
      </c>
      <c r="H8522" t="s">
        <v>35</v>
      </c>
      <c r="J8522" t="s">
        <v>7698</v>
      </c>
      <c r="K8522" t="s">
        <v>1092</v>
      </c>
      <c r="M8522">
        <v>0.28000000000000003</v>
      </c>
      <c r="N8522">
        <v>477</v>
      </c>
      <c r="O8522" t="s">
        <v>294</v>
      </c>
      <c r="Q8522" t="s">
        <v>6754</v>
      </c>
      <c r="R8522" t="s">
        <v>6721</v>
      </c>
      <c r="S8522" t="s">
        <v>1078</v>
      </c>
    </row>
    <row r="8523" spans="1:19" x14ac:dyDescent="0.25">
      <c r="A8523" t="s">
        <v>30</v>
      </c>
      <c r="B8523" t="s">
        <v>31</v>
      </c>
      <c r="C8523" t="s">
        <v>32</v>
      </c>
      <c r="D8523" t="s">
        <v>953</v>
      </c>
      <c r="E8523" t="s">
        <v>1077</v>
      </c>
      <c r="F8523" t="s">
        <v>35</v>
      </c>
      <c r="G8523" t="s">
        <v>35</v>
      </c>
      <c r="H8523" t="s">
        <v>35</v>
      </c>
      <c r="J8523" t="s">
        <v>7698</v>
      </c>
      <c r="K8523" t="s">
        <v>1092</v>
      </c>
      <c r="M8523">
        <v>0.13500000000000001</v>
      </c>
      <c r="N8523">
        <v>1016</v>
      </c>
      <c r="O8523" t="s">
        <v>575</v>
      </c>
      <c r="Q8523" t="s">
        <v>7699</v>
      </c>
      <c r="R8523" t="s">
        <v>6721</v>
      </c>
      <c r="S8523" t="s">
        <v>1078</v>
      </c>
    </row>
    <row r="8524" spans="1:19" x14ac:dyDescent="0.25">
      <c r="A8524" t="s">
        <v>59</v>
      </c>
      <c r="B8524" t="s">
        <v>60</v>
      </c>
      <c r="C8524" t="s">
        <v>32</v>
      </c>
      <c r="D8524" t="s">
        <v>953</v>
      </c>
      <c r="E8524" t="s">
        <v>1077</v>
      </c>
      <c r="F8524" t="s">
        <v>35</v>
      </c>
      <c r="G8524" t="s">
        <v>35</v>
      </c>
      <c r="H8524" t="s">
        <v>35</v>
      </c>
      <c r="J8524" t="s">
        <v>7700</v>
      </c>
      <c r="K8524" t="s">
        <v>404</v>
      </c>
      <c r="M8524">
        <v>18.149999999999999</v>
      </c>
      <c r="N8524">
        <v>44</v>
      </c>
      <c r="O8524" t="s">
        <v>52</v>
      </c>
      <c r="Q8524" t="s">
        <v>192</v>
      </c>
      <c r="R8524" t="s">
        <v>133</v>
      </c>
      <c r="S8524" t="s">
        <v>134</v>
      </c>
    </row>
    <row r="8525" spans="1:19" x14ac:dyDescent="0.25">
      <c r="A8525" t="s">
        <v>59</v>
      </c>
      <c r="B8525" t="s">
        <v>60</v>
      </c>
      <c r="C8525" t="s">
        <v>32</v>
      </c>
      <c r="D8525" t="s">
        <v>953</v>
      </c>
      <c r="E8525" t="s">
        <v>1077</v>
      </c>
      <c r="F8525" t="s">
        <v>35</v>
      </c>
      <c r="G8525" t="s">
        <v>35</v>
      </c>
      <c r="H8525" t="s">
        <v>35</v>
      </c>
      <c r="J8525" t="s">
        <v>7701</v>
      </c>
      <c r="K8525" t="s">
        <v>1092</v>
      </c>
      <c r="M8525">
        <v>3.5630000000000002</v>
      </c>
      <c r="N8525">
        <v>277</v>
      </c>
      <c r="O8525" t="s">
        <v>5</v>
      </c>
      <c r="Q8525" t="s">
        <v>5812</v>
      </c>
      <c r="R8525" t="s">
        <v>6709</v>
      </c>
      <c r="S8525" t="s">
        <v>1022</v>
      </c>
    </row>
    <row r="8526" spans="1:19" x14ac:dyDescent="0.25">
      <c r="A8526" t="s">
        <v>59</v>
      </c>
      <c r="B8526" t="s">
        <v>60</v>
      </c>
      <c r="C8526" t="s">
        <v>32</v>
      </c>
      <c r="D8526" t="s">
        <v>953</v>
      </c>
      <c r="E8526" t="s">
        <v>1077</v>
      </c>
      <c r="F8526" t="s">
        <v>35</v>
      </c>
      <c r="G8526" t="s">
        <v>35</v>
      </c>
      <c r="H8526" t="s">
        <v>35</v>
      </c>
      <c r="J8526" t="s">
        <v>7702</v>
      </c>
      <c r="K8526" t="s">
        <v>404</v>
      </c>
      <c r="M8526">
        <v>2.5499999999999998</v>
      </c>
      <c r="N8526">
        <v>453</v>
      </c>
      <c r="O8526" t="s">
        <v>294</v>
      </c>
      <c r="Q8526" t="s">
        <v>6465</v>
      </c>
      <c r="R8526" t="s">
        <v>133</v>
      </c>
      <c r="S8526" t="s">
        <v>134</v>
      </c>
    </row>
    <row r="8527" spans="1:19" x14ac:dyDescent="0.25">
      <c r="A8527" t="s">
        <v>59</v>
      </c>
      <c r="B8527" t="s">
        <v>60</v>
      </c>
      <c r="C8527" t="s">
        <v>32</v>
      </c>
      <c r="D8527" t="s">
        <v>953</v>
      </c>
      <c r="E8527" t="s">
        <v>1077</v>
      </c>
      <c r="F8527" t="s">
        <v>35</v>
      </c>
      <c r="G8527" t="s">
        <v>35</v>
      </c>
      <c r="H8527" t="s">
        <v>35</v>
      </c>
      <c r="J8527" t="s">
        <v>7703</v>
      </c>
      <c r="K8527" t="s">
        <v>1092</v>
      </c>
      <c r="M8527">
        <v>0.45</v>
      </c>
      <c r="N8527">
        <v>137</v>
      </c>
      <c r="O8527" t="s">
        <v>38</v>
      </c>
      <c r="Q8527" t="s">
        <v>1602</v>
      </c>
      <c r="R8527" t="s">
        <v>6939</v>
      </c>
      <c r="S8527" t="s">
        <v>969</v>
      </c>
    </row>
    <row r="8528" spans="1:19" x14ac:dyDescent="0.25">
      <c r="A8528" t="s">
        <v>59</v>
      </c>
      <c r="B8528" t="s">
        <v>60</v>
      </c>
      <c r="C8528" t="s">
        <v>32</v>
      </c>
      <c r="D8528" t="s">
        <v>953</v>
      </c>
      <c r="E8528" t="s">
        <v>1077</v>
      </c>
      <c r="F8528" t="s">
        <v>35</v>
      </c>
      <c r="G8528" t="s">
        <v>35</v>
      </c>
      <c r="H8528" t="s">
        <v>35</v>
      </c>
      <c r="J8528" t="s">
        <v>6820</v>
      </c>
      <c r="K8528" t="s">
        <v>1092</v>
      </c>
      <c r="M8528">
        <v>2.5</v>
      </c>
      <c r="N8528">
        <v>42</v>
      </c>
      <c r="O8528" t="s">
        <v>52</v>
      </c>
      <c r="Q8528" t="s">
        <v>991</v>
      </c>
      <c r="R8528" t="s">
        <v>6847</v>
      </c>
      <c r="S8528" t="s">
        <v>1034</v>
      </c>
    </row>
    <row r="8529" spans="1:19" x14ac:dyDescent="0.25">
      <c r="A8529" t="s">
        <v>44</v>
      </c>
      <c r="B8529" t="s">
        <v>51</v>
      </c>
      <c r="C8529" t="s">
        <v>32</v>
      </c>
      <c r="D8529" t="s">
        <v>953</v>
      </c>
      <c r="E8529" t="s">
        <v>1077</v>
      </c>
      <c r="F8529" t="s">
        <v>35</v>
      </c>
      <c r="G8529" t="s">
        <v>35</v>
      </c>
      <c r="H8529" t="s">
        <v>35</v>
      </c>
      <c r="J8529" t="s">
        <v>6820</v>
      </c>
      <c r="K8529" t="s">
        <v>1092</v>
      </c>
      <c r="M8529">
        <v>11</v>
      </c>
      <c r="N8529">
        <v>61</v>
      </c>
      <c r="O8529" t="s">
        <v>61</v>
      </c>
      <c r="Q8529" t="s">
        <v>671</v>
      </c>
      <c r="R8529" t="s">
        <v>6847</v>
      </c>
      <c r="S8529" t="s">
        <v>1034</v>
      </c>
    </row>
    <row r="8530" spans="1:19" x14ac:dyDescent="0.25">
      <c r="A8530" t="s">
        <v>59</v>
      </c>
      <c r="B8530" t="s">
        <v>60</v>
      </c>
      <c r="C8530" t="s">
        <v>32</v>
      </c>
      <c r="D8530" t="s">
        <v>953</v>
      </c>
      <c r="E8530" t="s">
        <v>1077</v>
      </c>
      <c r="F8530" t="s">
        <v>35</v>
      </c>
      <c r="G8530" t="s">
        <v>35</v>
      </c>
      <c r="H8530" t="s">
        <v>35</v>
      </c>
      <c r="J8530" t="s">
        <v>6820</v>
      </c>
      <c r="K8530" t="s">
        <v>1092</v>
      </c>
      <c r="M8530">
        <v>1.5</v>
      </c>
      <c r="N8530">
        <v>54</v>
      </c>
      <c r="O8530" t="s">
        <v>52</v>
      </c>
      <c r="Q8530" t="s">
        <v>1207</v>
      </c>
      <c r="R8530" t="s">
        <v>6847</v>
      </c>
      <c r="S8530" t="s">
        <v>1034</v>
      </c>
    </row>
    <row r="8531" spans="1:19" x14ac:dyDescent="0.25">
      <c r="A8531" t="s">
        <v>44</v>
      </c>
      <c r="B8531" t="s">
        <v>51</v>
      </c>
      <c r="C8531" t="s">
        <v>32</v>
      </c>
      <c r="D8531" t="s">
        <v>953</v>
      </c>
      <c r="E8531" t="s">
        <v>1077</v>
      </c>
      <c r="F8531" t="s">
        <v>35</v>
      </c>
      <c r="G8531" t="s">
        <v>35</v>
      </c>
      <c r="H8531" t="s">
        <v>35</v>
      </c>
      <c r="J8531" t="s">
        <v>6820</v>
      </c>
      <c r="K8531" t="s">
        <v>1092</v>
      </c>
      <c r="M8531">
        <v>1.25</v>
      </c>
      <c r="N8531">
        <v>230</v>
      </c>
      <c r="O8531" t="s">
        <v>5</v>
      </c>
      <c r="Q8531" t="s">
        <v>1544</v>
      </c>
      <c r="R8531" t="s">
        <v>6847</v>
      </c>
      <c r="S8531" t="s">
        <v>1034</v>
      </c>
    </row>
    <row r="8532" spans="1:19" x14ac:dyDescent="0.25">
      <c r="A8532" t="s">
        <v>59</v>
      </c>
      <c r="B8532" t="s">
        <v>31</v>
      </c>
      <c r="C8532" t="s">
        <v>32</v>
      </c>
      <c r="D8532" t="s">
        <v>953</v>
      </c>
      <c r="E8532" t="s">
        <v>1077</v>
      </c>
      <c r="F8532" t="s">
        <v>35</v>
      </c>
      <c r="G8532" t="s">
        <v>35</v>
      </c>
      <c r="H8532" t="s">
        <v>35</v>
      </c>
      <c r="J8532" t="s">
        <v>6820</v>
      </c>
      <c r="K8532" t="s">
        <v>1092</v>
      </c>
      <c r="M8532">
        <v>1.575</v>
      </c>
      <c r="N8532">
        <v>245</v>
      </c>
      <c r="O8532" t="s">
        <v>5</v>
      </c>
      <c r="Q8532" t="s">
        <v>111</v>
      </c>
      <c r="R8532" t="s">
        <v>6847</v>
      </c>
      <c r="S8532" t="s">
        <v>1034</v>
      </c>
    </row>
    <row r="8533" spans="1:19" x14ac:dyDescent="0.25">
      <c r="A8533" t="s">
        <v>30</v>
      </c>
      <c r="B8533" t="s">
        <v>31</v>
      </c>
      <c r="C8533" t="s">
        <v>32</v>
      </c>
      <c r="D8533" t="s">
        <v>953</v>
      </c>
      <c r="E8533" t="s">
        <v>1077</v>
      </c>
      <c r="F8533" t="s">
        <v>35</v>
      </c>
      <c r="G8533" t="s">
        <v>35</v>
      </c>
      <c r="H8533" t="s">
        <v>35</v>
      </c>
      <c r="J8533" t="s">
        <v>6820</v>
      </c>
      <c r="K8533" t="s">
        <v>1092</v>
      </c>
      <c r="M8533">
        <v>3.15</v>
      </c>
      <c r="N8533">
        <v>213</v>
      </c>
      <c r="O8533" t="s">
        <v>5</v>
      </c>
      <c r="Q8533" t="s">
        <v>1298</v>
      </c>
      <c r="R8533" t="s">
        <v>6847</v>
      </c>
      <c r="S8533" t="s">
        <v>1034</v>
      </c>
    </row>
    <row r="8534" spans="1:19" x14ac:dyDescent="0.25">
      <c r="A8534" t="s">
        <v>59</v>
      </c>
      <c r="B8534" t="s">
        <v>31</v>
      </c>
      <c r="C8534" t="s">
        <v>32</v>
      </c>
      <c r="D8534" t="s">
        <v>953</v>
      </c>
      <c r="E8534" t="s">
        <v>1077</v>
      </c>
      <c r="F8534" t="s">
        <v>35</v>
      </c>
      <c r="G8534" t="s">
        <v>35</v>
      </c>
      <c r="H8534" t="s">
        <v>35</v>
      </c>
      <c r="J8534" t="s">
        <v>6820</v>
      </c>
      <c r="K8534" t="s">
        <v>1092</v>
      </c>
      <c r="M8534">
        <v>4.9950000000000001</v>
      </c>
      <c r="N8534">
        <v>90</v>
      </c>
      <c r="O8534" t="s">
        <v>61</v>
      </c>
      <c r="Q8534" t="s">
        <v>897</v>
      </c>
      <c r="R8534" t="s">
        <v>6847</v>
      </c>
      <c r="S8534" t="s">
        <v>1034</v>
      </c>
    </row>
    <row r="8535" spans="1:19" x14ac:dyDescent="0.25">
      <c r="A8535" t="s">
        <v>44</v>
      </c>
      <c r="B8535" t="s">
        <v>3</v>
      </c>
      <c r="C8535" t="s">
        <v>32</v>
      </c>
      <c r="D8535" t="s">
        <v>953</v>
      </c>
      <c r="E8535" t="s">
        <v>1077</v>
      </c>
      <c r="F8535" t="s">
        <v>35</v>
      </c>
      <c r="G8535" t="s">
        <v>35</v>
      </c>
      <c r="H8535" t="s">
        <v>35</v>
      </c>
      <c r="J8535" t="s">
        <v>6820</v>
      </c>
      <c r="K8535" t="s">
        <v>1092</v>
      </c>
      <c r="M8535">
        <v>2</v>
      </c>
      <c r="N8535">
        <v>54</v>
      </c>
      <c r="O8535" t="s">
        <v>52</v>
      </c>
      <c r="Q8535" t="s">
        <v>1207</v>
      </c>
      <c r="R8535" t="s">
        <v>6847</v>
      </c>
      <c r="S8535" t="s">
        <v>1034</v>
      </c>
    </row>
    <row r="8536" spans="1:19" x14ac:dyDescent="0.25">
      <c r="A8536" t="s">
        <v>59</v>
      </c>
      <c r="B8536" t="s">
        <v>31</v>
      </c>
      <c r="C8536" t="s">
        <v>32</v>
      </c>
      <c r="D8536" t="s">
        <v>953</v>
      </c>
      <c r="E8536" t="s">
        <v>1077</v>
      </c>
      <c r="F8536" t="s">
        <v>35</v>
      </c>
      <c r="G8536" t="s">
        <v>35</v>
      </c>
      <c r="H8536" t="s">
        <v>35</v>
      </c>
      <c r="J8536" t="s">
        <v>7704</v>
      </c>
      <c r="K8536" t="s">
        <v>404</v>
      </c>
      <c r="M8536">
        <v>1.125</v>
      </c>
      <c r="N8536">
        <v>73</v>
      </c>
      <c r="O8536" t="s">
        <v>61</v>
      </c>
      <c r="Q8536" t="s">
        <v>552</v>
      </c>
      <c r="R8536" t="s">
        <v>6723</v>
      </c>
      <c r="S8536" t="s">
        <v>6724</v>
      </c>
    </row>
    <row r="8537" spans="1:19" x14ac:dyDescent="0.25">
      <c r="A8537" t="s">
        <v>59</v>
      </c>
      <c r="B8537" t="s">
        <v>31</v>
      </c>
      <c r="C8537" t="s">
        <v>32</v>
      </c>
      <c r="D8537" t="s">
        <v>953</v>
      </c>
      <c r="E8537" t="s">
        <v>1077</v>
      </c>
      <c r="F8537" t="s">
        <v>35</v>
      </c>
      <c r="G8537" t="s">
        <v>35</v>
      </c>
      <c r="H8537" t="s">
        <v>35</v>
      </c>
      <c r="J8537" t="s">
        <v>7705</v>
      </c>
      <c r="K8537" t="s">
        <v>1092</v>
      </c>
      <c r="M8537">
        <v>0.85499999999999998</v>
      </c>
      <c r="N8537">
        <v>1123</v>
      </c>
      <c r="O8537" t="s">
        <v>575</v>
      </c>
      <c r="Q8537" t="s">
        <v>5478</v>
      </c>
      <c r="R8537" t="s">
        <v>6709</v>
      </c>
      <c r="S8537" t="s">
        <v>1022</v>
      </c>
    </row>
    <row r="8538" spans="1:19" x14ac:dyDescent="0.25">
      <c r="A8538" t="s">
        <v>59</v>
      </c>
      <c r="B8538" t="s">
        <v>60</v>
      </c>
      <c r="C8538" t="s">
        <v>32</v>
      </c>
      <c r="D8538" t="s">
        <v>953</v>
      </c>
      <c r="E8538" t="s">
        <v>1077</v>
      </c>
      <c r="F8538" t="s">
        <v>35</v>
      </c>
      <c r="G8538" t="s">
        <v>35</v>
      </c>
      <c r="H8538" t="s">
        <v>35</v>
      </c>
      <c r="J8538" t="s">
        <v>7706</v>
      </c>
      <c r="K8538" t="s">
        <v>1092</v>
      </c>
      <c r="M8538">
        <v>0.06</v>
      </c>
      <c r="N8538">
        <v>194</v>
      </c>
      <c r="O8538" t="s">
        <v>5</v>
      </c>
      <c r="Q8538" t="s">
        <v>2315</v>
      </c>
      <c r="R8538" t="s">
        <v>7646</v>
      </c>
      <c r="S8538" t="s">
        <v>7647</v>
      </c>
    </row>
    <row r="8539" spans="1:19" x14ac:dyDescent="0.25">
      <c r="A8539" t="s">
        <v>59</v>
      </c>
      <c r="B8539" t="s">
        <v>60</v>
      </c>
      <c r="C8539" t="s">
        <v>32</v>
      </c>
      <c r="D8539" t="s">
        <v>953</v>
      </c>
      <c r="E8539" t="s">
        <v>1077</v>
      </c>
      <c r="F8539" t="s">
        <v>35</v>
      </c>
      <c r="G8539" t="s">
        <v>35</v>
      </c>
      <c r="H8539" t="s">
        <v>35</v>
      </c>
      <c r="J8539" t="s">
        <v>7707</v>
      </c>
      <c r="K8539" t="s">
        <v>1092</v>
      </c>
      <c r="M8539">
        <v>9.75</v>
      </c>
      <c r="N8539">
        <v>79</v>
      </c>
      <c r="O8539" t="s">
        <v>61</v>
      </c>
      <c r="Q8539" t="s">
        <v>1156</v>
      </c>
      <c r="R8539" t="s">
        <v>6939</v>
      </c>
      <c r="S8539" t="s">
        <v>969</v>
      </c>
    </row>
    <row r="8540" spans="1:19" x14ac:dyDescent="0.25">
      <c r="A8540" t="s">
        <v>59</v>
      </c>
      <c r="B8540" t="s">
        <v>60</v>
      </c>
      <c r="C8540" t="s">
        <v>32</v>
      </c>
      <c r="D8540" t="s">
        <v>953</v>
      </c>
      <c r="E8540" t="s">
        <v>1077</v>
      </c>
      <c r="F8540" t="s">
        <v>35</v>
      </c>
      <c r="G8540" t="s">
        <v>35</v>
      </c>
      <c r="H8540" t="s">
        <v>35</v>
      </c>
      <c r="J8540" t="s">
        <v>7708</v>
      </c>
      <c r="K8540" t="s">
        <v>1092</v>
      </c>
      <c r="M8540">
        <v>0.5</v>
      </c>
      <c r="N8540">
        <v>1039</v>
      </c>
      <c r="O8540" t="s">
        <v>575</v>
      </c>
      <c r="Q8540" t="s">
        <v>7709</v>
      </c>
      <c r="R8540" t="s">
        <v>6709</v>
      </c>
      <c r="S8540" t="s">
        <v>1022</v>
      </c>
    </row>
    <row r="8541" spans="1:19" x14ac:dyDescent="0.25">
      <c r="A8541" t="s">
        <v>59</v>
      </c>
      <c r="B8541" t="s">
        <v>31</v>
      </c>
      <c r="C8541" t="s">
        <v>32</v>
      </c>
      <c r="D8541" t="s">
        <v>953</v>
      </c>
      <c r="E8541" t="s">
        <v>1077</v>
      </c>
      <c r="F8541" t="s">
        <v>35</v>
      </c>
      <c r="G8541" t="s">
        <v>35</v>
      </c>
      <c r="H8541" t="s">
        <v>35</v>
      </c>
      <c r="J8541" t="s">
        <v>7710</v>
      </c>
      <c r="K8541" t="s">
        <v>1092</v>
      </c>
      <c r="M8541">
        <v>0.04</v>
      </c>
      <c r="N8541">
        <v>1112</v>
      </c>
      <c r="O8541" t="s">
        <v>575</v>
      </c>
      <c r="Q8541" t="s">
        <v>7711</v>
      </c>
      <c r="R8541" t="s">
        <v>6709</v>
      </c>
      <c r="S8541" t="s">
        <v>1022</v>
      </c>
    </row>
    <row r="8542" spans="1:19" x14ac:dyDescent="0.25">
      <c r="A8542" t="s">
        <v>59</v>
      </c>
      <c r="B8542" t="s">
        <v>60</v>
      </c>
      <c r="C8542" t="s">
        <v>32</v>
      </c>
      <c r="D8542" t="s">
        <v>953</v>
      </c>
      <c r="E8542" t="s">
        <v>1077</v>
      </c>
      <c r="F8542" t="s">
        <v>35</v>
      </c>
      <c r="G8542" t="s">
        <v>35</v>
      </c>
      <c r="H8542" t="s">
        <v>35</v>
      </c>
      <c r="J8542" t="s">
        <v>7712</v>
      </c>
      <c r="K8542" t="s">
        <v>1092</v>
      </c>
      <c r="M8542">
        <v>1.65</v>
      </c>
      <c r="N8542">
        <v>488</v>
      </c>
      <c r="O8542" t="s">
        <v>294</v>
      </c>
      <c r="Q8542" t="s">
        <v>7713</v>
      </c>
      <c r="R8542" t="s">
        <v>6709</v>
      </c>
      <c r="S8542" t="s">
        <v>1022</v>
      </c>
    </row>
    <row r="8543" spans="1:19" x14ac:dyDescent="0.25">
      <c r="A8543" t="s">
        <v>59</v>
      </c>
      <c r="B8543" t="s">
        <v>60</v>
      </c>
      <c r="C8543" t="s">
        <v>32</v>
      </c>
      <c r="D8543" t="s">
        <v>953</v>
      </c>
      <c r="E8543" t="s">
        <v>1077</v>
      </c>
      <c r="F8543" t="s">
        <v>35</v>
      </c>
      <c r="G8543" t="s">
        <v>35</v>
      </c>
      <c r="H8543" t="s">
        <v>35</v>
      </c>
      <c r="J8543" t="s">
        <v>7714</v>
      </c>
      <c r="K8543" t="s">
        <v>1092</v>
      </c>
      <c r="M8543">
        <v>1</v>
      </c>
      <c r="N8543">
        <v>150</v>
      </c>
      <c r="O8543" t="s">
        <v>38</v>
      </c>
      <c r="Q8543" t="s">
        <v>1612</v>
      </c>
      <c r="R8543" t="s">
        <v>133</v>
      </c>
      <c r="S8543" t="s">
        <v>134</v>
      </c>
    </row>
    <row r="8544" spans="1:19" x14ac:dyDescent="0.25">
      <c r="A8544" t="s">
        <v>30</v>
      </c>
      <c r="B8544" t="s">
        <v>31</v>
      </c>
      <c r="C8544" t="s">
        <v>32</v>
      </c>
      <c r="D8544" t="s">
        <v>953</v>
      </c>
      <c r="E8544" t="s">
        <v>1077</v>
      </c>
      <c r="F8544" t="s">
        <v>35</v>
      </c>
      <c r="G8544" t="s">
        <v>35</v>
      </c>
      <c r="H8544" t="s">
        <v>35</v>
      </c>
      <c r="J8544" t="s">
        <v>7714</v>
      </c>
      <c r="K8544" t="s">
        <v>1092</v>
      </c>
      <c r="M8544">
        <v>4.4999999999999998E-2</v>
      </c>
      <c r="N8544">
        <v>1439</v>
      </c>
      <c r="O8544" t="s">
        <v>575</v>
      </c>
      <c r="Q8544" t="s">
        <v>4273</v>
      </c>
      <c r="R8544" t="s">
        <v>133</v>
      </c>
      <c r="S8544" t="s">
        <v>134</v>
      </c>
    </row>
    <row r="8545" spans="1:19" x14ac:dyDescent="0.25">
      <c r="A8545" t="s">
        <v>59</v>
      </c>
      <c r="B8545" t="s">
        <v>31</v>
      </c>
      <c r="C8545" t="s">
        <v>32</v>
      </c>
      <c r="D8545" t="s">
        <v>953</v>
      </c>
      <c r="E8545" t="s">
        <v>1077</v>
      </c>
      <c r="F8545" t="s">
        <v>35</v>
      </c>
      <c r="G8545" t="s">
        <v>35</v>
      </c>
      <c r="H8545" t="s">
        <v>35</v>
      </c>
      <c r="J8545" t="s">
        <v>7714</v>
      </c>
      <c r="K8545" t="s">
        <v>1092</v>
      </c>
      <c r="M8545">
        <v>0.52300000000000002</v>
      </c>
      <c r="N8545">
        <v>1209</v>
      </c>
      <c r="O8545" t="s">
        <v>575</v>
      </c>
      <c r="Q8545" t="s">
        <v>7715</v>
      </c>
      <c r="R8545" t="s">
        <v>133</v>
      </c>
      <c r="S8545" t="s">
        <v>134</v>
      </c>
    </row>
    <row r="8546" spans="1:19" x14ac:dyDescent="0.25">
      <c r="A8546" t="s">
        <v>44</v>
      </c>
      <c r="B8546" t="s">
        <v>51</v>
      </c>
      <c r="C8546" t="s">
        <v>32</v>
      </c>
      <c r="D8546" t="s">
        <v>953</v>
      </c>
      <c r="E8546" t="s">
        <v>1077</v>
      </c>
      <c r="F8546" t="s">
        <v>35</v>
      </c>
      <c r="G8546" t="s">
        <v>35</v>
      </c>
      <c r="H8546" t="s">
        <v>35</v>
      </c>
      <c r="J8546" t="s">
        <v>7714</v>
      </c>
      <c r="K8546" t="s">
        <v>1092</v>
      </c>
      <c r="M8546">
        <v>0.5</v>
      </c>
      <c r="N8546">
        <v>249</v>
      </c>
      <c r="O8546" t="s">
        <v>5</v>
      </c>
      <c r="Q8546" t="s">
        <v>6137</v>
      </c>
      <c r="R8546" t="s">
        <v>133</v>
      </c>
      <c r="S8546" t="s">
        <v>134</v>
      </c>
    </row>
    <row r="8547" spans="1:19" x14ac:dyDescent="0.25">
      <c r="A8547" t="s">
        <v>59</v>
      </c>
      <c r="B8547" t="s">
        <v>60</v>
      </c>
      <c r="C8547" t="s">
        <v>32</v>
      </c>
      <c r="D8547" t="s">
        <v>953</v>
      </c>
      <c r="E8547" t="s">
        <v>1077</v>
      </c>
      <c r="F8547" t="s">
        <v>35</v>
      </c>
      <c r="G8547" t="s">
        <v>35</v>
      </c>
      <c r="H8547" t="s">
        <v>35</v>
      </c>
      <c r="J8547" t="s">
        <v>7716</v>
      </c>
      <c r="K8547" t="s">
        <v>1092</v>
      </c>
      <c r="M8547">
        <v>0.05</v>
      </c>
      <c r="N8547">
        <v>693</v>
      </c>
      <c r="O8547" t="s">
        <v>575</v>
      </c>
      <c r="Q8547" t="s">
        <v>7283</v>
      </c>
      <c r="R8547" t="s">
        <v>7581</v>
      </c>
      <c r="S8547" t="s">
        <v>7562</v>
      </c>
    </row>
    <row r="8548" spans="1:19" x14ac:dyDescent="0.25">
      <c r="A8548" t="s">
        <v>59</v>
      </c>
      <c r="B8548" t="s">
        <v>60</v>
      </c>
      <c r="C8548" t="s">
        <v>32</v>
      </c>
      <c r="D8548" t="s">
        <v>953</v>
      </c>
      <c r="E8548" t="s">
        <v>1077</v>
      </c>
      <c r="F8548" t="s">
        <v>35</v>
      </c>
      <c r="G8548" t="s">
        <v>35</v>
      </c>
      <c r="H8548" t="s">
        <v>35</v>
      </c>
      <c r="J8548" t="s">
        <v>7716</v>
      </c>
      <c r="K8548" t="s">
        <v>1092</v>
      </c>
      <c r="M8548">
        <v>1</v>
      </c>
      <c r="N8548">
        <v>681</v>
      </c>
      <c r="O8548" t="s">
        <v>575</v>
      </c>
      <c r="Q8548" t="s">
        <v>7717</v>
      </c>
      <c r="R8548" t="s">
        <v>7581</v>
      </c>
      <c r="S8548" t="s">
        <v>7562</v>
      </c>
    </row>
    <row r="8549" spans="1:19" x14ac:dyDescent="0.25">
      <c r="A8549" t="s">
        <v>30</v>
      </c>
      <c r="B8549" t="s">
        <v>31</v>
      </c>
      <c r="C8549" t="s">
        <v>32</v>
      </c>
      <c r="D8549" t="s">
        <v>953</v>
      </c>
      <c r="E8549" t="s">
        <v>1077</v>
      </c>
      <c r="F8549" t="s">
        <v>35</v>
      </c>
      <c r="G8549" t="s">
        <v>35</v>
      </c>
      <c r="H8549" t="s">
        <v>35</v>
      </c>
      <c r="J8549" t="s">
        <v>7718</v>
      </c>
      <c r="K8549" t="s">
        <v>1092</v>
      </c>
      <c r="M8549">
        <v>0.01</v>
      </c>
      <c r="N8549">
        <v>520</v>
      </c>
      <c r="O8549" t="s">
        <v>294</v>
      </c>
      <c r="Q8549" t="s">
        <v>2816</v>
      </c>
      <c r="R8549" t="s">
        <v>133</v>
      </c>
      <c r="S8549" t="s">
        <v>134</v>
      </c>
    </row>
    <row r="8550" spans="1:19" x14ac:dyDescent="0.25">
      <c r="A8550" t="s">
        <v>59</v>
      </c>
      <c r="B8550" t="s">
        <v>60</v>
      </c>
      <c r="C8550" t="s">
        <v>32</v>
      </c>
      <c r="D8550" t="s">
        <v>953</v>
      </c>
      <c r="E8550" t="s">
        <v>1077</v>
      </c>
      <c r="F8550" t="s">
        <v>35</v>
      </c>
      <c r="G8550" t="s">
        <v>35</v>
      </c>
      <c r="H8550" t="s">
        <v>35</v>
      </c>
      <c r="J8550" t="s">
        <v>7719</v>
      </c>
      <c r="K8550" t="s">
        <v>404</v>
      </c>
      <c r="M8550">
        <v>11</v>
      </c>
      <c r="N8550">
        <v>79</v>
      </c>
      <c r="O8550" t="s">
        <v>61</v>
      </c>
      <c r="Q8550" t="s">
        <v>1156</v>
      </c>
      <c r="R8550" t="s">
        <v>6885</v>
      </c>
      <c r="S8550" t="s">
        <v>6886</v>
      </c>
    </row>
    <row r="8551" spans="1:19" x14ac:dyDescent="0.25">
      <c r="A8551" t="s">
        <v>59</v>
      </c>
      <c r="B8551" t="s">
        <v>31</v>
      </c>
      <c r="C8551" t="s">
        <v>32</v>
      </c>
      <c r="D8551" t="s">
        <v>953</v>
      </c>
      <c r="E8551" t="s">
        <v>1077</v>
      </c>
      <c r="F8551" t="s">
        <v>35</v>
      </c>
      <c r="G8551" t="s">
        <v>35</v>
      </c>
      <c r="H8551" t="s">
        <v>35</v>
      </c>
      <c r="J8551" t="s">
        <v>7720</v>
      </c>
      <c r="K8551" t="s">
        <v>1092</v>
      </c>
      <c r="M8551">
        <v>0.04</v>
      </c>
      <c r="N8551">
        <v>2637</v>
      </c>
      <c r="O8551" t="s">
        <v>575</v>
      </c>
      <c r="Q8551" t="s">
        <v>7722</v>
      </c>
      <c r="R8551" t="s">
        <v>6847</v>
      </c>
      <c r="S8551" t="s">
        <v>1034</v>
      </c>
    </row>
    <row r="8552" spans="1:19" x14ac:dyDescent="0.25">
      <c r="A8552" t="s">
        <v>59</v>
      </c>
      <c r="B8552" t="s">
        <v>60</v>
      </c>
      <c r="C8552" t="s">
        <v>32</v>
      </c>
      <c r="D8552" t="s">
        <v>953</v>
      </c>
      <c r="E8552" t="s">
        <v>1077</v>
      </c>
      <c r="F8552" t="s">
        <v>35</v>
      </c>
      <c r="G8552" t="s">
        <v>35</v>
      </c>
      <c r="H8552" t="s">
        <v>35</v>
      </c>
      <c r="J8552" t="s">
        <v>7720</v>
      </c>
      <c r="K8552" t="s">
        <v>1092</v>
      </c>
      <c r="M8552">
        <v>0.55000000000000004</v>
      </c>
      <c r="N8552">
        <v>2079</v>
      </c>
      <c r="O8552" t="s">
        <v>575</v>
      </c>
      <c r="Q8552" t="s">
        <v>7721</v>
      </c>
      <c r="R8552" t="s">
        <v>6847</v>
      </c>
      <c r="S8552" t="s">
        <v>1034</v>
      </c>
    </row>
    <row r="8553" spans="1:19" x14ac:dyDescent="0.25">
      <c r="A8553" t="s">
        <v>59</v>
      </c>
      <c r="B8553" t="s">
        <v>60</v>
      </c>
      <c r="C8553" t="s">
        <v>32</v>
      </c>
      <c r="D8553" t="s">
        <v>953</v>
      </c>
      <c r="E8553" t="s">
        <v>1077</v>
      </c>
      <c r="F8553" t="s">
        <v>35</v>
      </c>
      <c r="G8553" t="s">
        <v>35</v>
      </c>
      <c r="H8553" t="s">
        <v>35</v>
      </c>
      <c r="J8553" t="s">
        <v>7723</v>
      </c>
      <c r="K8553" t="s">
        <v>1092</v>
      </c>
      <c r="M8553">
        <v>0.5</v>
      </c>
      <c r="N8553">
        <v>638</v>
      </c>
      <c r="O8553" t="s">
        <v>575</v>
      </c>
      <c r="Q8553" t="s">
        <v>5102</v>
      </c>
      <c r="R8553" t="s">
        <v>6721</v>
      </c>
      <c r="S8553" t="s">
        <v>1078</v>
      </c>
    </row>
    <row r="8554" spans="1:19" x14ac:dyDescent="0.25">
      <c r="A8554" t="s">
        <v>59</v>
      </c>
      <c r="B8554" t="s">
        <v>60</v>
      </c>
      <c r="C8554" t="s">
        <v>32</v>
      </c>
      <c r="D8554" t="s">
        <v>953</v>
      </c>
      <c r="E8554" t="s">
        <v>1077</v>
      </c>
      <c r="F8554" t="s">
        <v>35</v>
      </c>
      <c r="G8554" t="s">
        <v>35</v>
      </c>
      <c r="H8554" t="s">
        <v>35</v>
      </c>
      <c r="J8554" t="s">
        <v>7723</v>
      </c>
      <c r="K8554" t="s">
        <v>1092</v>
      </c>
      <c r="M8554">
        <v>0.1</v>
      </c>
      <c r="N8554">
        <v>667</v>
      </c>
      <c r="O8554" t="s">
        <v>575</v>
      </c>
      <c r="Q8554" t="s">
        <v>1518</v>
      </c>
      <c r="R8554" t="s">
        <v>6721</v>
      </c>
      <c r="S8554" t="s">
        <v>1078</v>
      </c>
    </row>
    <row r="8555" spans="1:19" x14ac:dyDescent="0.25">
      <c r="A8555" t="s">
        <v>44</v>
      </c>
      <c r="B8555" t="s">
        <v>51</v>
      </c>
      <c r="C8555" t="s">
        <v>32</v>
      </c>
      <c r="D8555" t="s">
        <v>953</v>
      </c>
      <c r="E8555" t="s">
        <v>1077</v>
      </c>
      <c r="F8555" t="s">
        <v>35</v>
      </c>
      <c r="G8555" t="s">
        <v>35</v>
      </c>
      <c r="H8555" t="s">
        <v>35</v>
      </c>
      <c r="J8555" t="s">
        <v>7723</v>
      </c>
      <c r="K8555" t="s">
        <v>1092</v>
      </c>
      <c r="M8555">
        <v>0.05</v>
      </c>
      <c r="N8555">
        <v>925</v>
      </c>
      <c r="O8555" t="s">
        <v>575</v>
      </c>
      <c r="Q8555" t="s">
        <v>7725</v>
      </c>
      <c r="R8555" t="s">
        <v>6721</v>
      </c>
      <c r="S8555" t="s">
        <v>1078</v>
      </c>
    </row>
    <row r="8556" spans="1:19" x14ac:dyDescent="0.25">
      <c r="A8556" t="s">
        <v>30</v>
      </c>
      <c r="B8556" t="s">
        <v>31</v>
      </c>
      <c r="C8556" t="s">
        <v>32</v>
      </c>
      <c r="D8556" t="s">
        <v>953</v>
      </c>
      <c r="E8556" t="s">
        <v>1077</v>
      </c>
      <c r="F8556" t="s">
        <v>35</v>
      </c>
      <c r="G8556" t="s">
        <v>35</v>
      </c>
      <c r="H8556" t="s">
        <v>35</v>
      </c>
      <c r="J8556" t="s">
        <v>7723</v>
      </c>
      <c r="K8556" t="s">
        <v>1092</v>
      </c>
      <c r="M8556">
        <v>0.18</v>
      </c>
      <c r="N8556">
        <v>1200</v>
      </c>
      <c r="O8556" t="s">
        <v>575</v>
      </c>
      <c r="Q8556" t="s">
        <v>3747</v>
      </c>
      <c r="R8556" t="s">
        <v>6721</v>
      </c>
      <c r="S8556" t="s">
        <v>1078</v>
      </c>
    </row>
    <row r="8557" spans="1:19" x14ac:dyDescent="0.25">
      <c r="A8557" t="s">
        <v>30</v>
      </c>
      <c r="B8557" t="s">
        <v>31</v>
      </c>
      <c r="C8557" t="s">
        <v>32</v>
      </c>
      <c r="D8557" t="s">
        <v>953</v>
      </c>
      <c r="E8557" t="s">
        <v>1077</v>
      </c>
      <c r="F8557" t="s">
        <v>35</v>
      </c>
      <c r="G8557" t="s">
        <v>35</v>
      </c>
      <c r="H8557" t="s">
        <v>35</v>
      </c>
      <c r="J8557" t="s">
        <v>7723</v>
      </c>
      <c r="K8557" t="s">
        <v>1092</v>
      </c>
      <c r="M8557">
        <v>0.45</v>
      </c>
      <c r="N8557">
        <v>1021</v>
      </c>
      <c r="O8557" t="s">
        <v>575</v>
      </c>
      <c r="Q8557" t="s">
        <v>7724</v>
      </c>
      <c r="R8557" t="s">
        <v>6721</v>
      </c>
      <c r="S8557" t="s">
        <v>1078</v>
      </c>
    </row>
    <row r="8558" spans="1:19" x14ac:dyDescent="0.25">
      <c r="A8558" t="s">
        <v>59</v>
      </c>
      <c r="B8558" t="s">
        <v>60</v>
      </c>
      <c r="C8558" t="s">
        <v>32</v>
      </c>
      <c r="D8558" t="s">
        <v>953</v>
      </c>
      <c r="E8558" t="s">
        <v>1077</v>
      </c>
      <c r="F8558" t="s">
        <v>35</v>
      </c>
      <c r="G8558" t="s">
        <v>35</v>
      </c>
      <c r="H8558" t="s">
        <v>35</v>
      </c>
      <c r="J8558" t="s">
        <v>7723</v>
      </c>
      <c r="K8558" t="s">
        <v>1092</v>
      </c>
      <c r="M8558">
        <v>0.1</v>
      </c>
      <c r="N8558">
        <v>71</v>
      </c>
      <c r="O8558" t="s">
        <v>61</v>
      </c>
      <c r="Q8558" t="s">
        <v>102</v>
      </c>
      <c r="R8558" t="s">
        <v>6721</v>
      </c>
      <c r="S8558" t="s">
        <v>1078</v>
      </c>
    </row>
    <row r="8559" spans="1:19" x14ac:dyDescent="0.25">
      <c r="A8559" t="s">
        <v>59</v>
      </c>
      <c r="B8559" t="s">
        <v>60</v>
      </c>
      <c r="C8559" t="s">
        <v>32</v>
      </c>
      <c r="D8559" t="s">
        <v>953</v>
      </c>
      <c r="E8559" t="s">
        <v>1077</v>
      </c>
      <c r="F8559" t="s">
        <v>35</v>
      </c>
      <c r="G8559" t="s">
        <v>35</v>
      </c>
      <c r="H8559" t="s">
        <v>35</v>
      </c>
      <c r="J8559" t="s">
        <v>7723</v>
      </c>
      <c r="K8559" t="s">
        <v>1092</v>
      </c>
      <c r="M8559">
        <v>0.25</v>
      </c>
      <c r="N8559">
        <v>594</v>
      </c>
      <c r="O8559" t="s">
        <v>575</v>
      </c>
      <c r="Q8559" t="s">
        <v>1321</v>
      </c>
      <c r="R8559" t="s">
        <v>6721</v>
      </c>
      <c r="S8559" t="s">
        <v>1078</v>
      </c>
    </row>
    <row r="8560" spans="1:19" x14ac:dyDescent="0.25">
      <c r="A8560" t="s">
        <v>59</v>
      </c>
      <c r="B8560" t="s">
        <v>60</v>
      </c>
      <c r="C8560" t="s">
        <v>32</v>
      </c>
      <c r="D8560" t="s">
        <v>953</v>
      </c>
      <c r="E8560" t="s">
        <v>1077</v>
      </c>
      <c r="F8560" t="s">
        <v>35</v>
      </c>
      <c r="G8560" t="s">
        <v>35</v>
      </c>
      <c r="H8560" t="s">
        <v>35</v>
      </c>
      <c r="J8560" t="s">
        <v>7723</v>
      </c>
      <c r="K8560" t="s">
        <v>1092</v>
      </c>
      <c r="M8560">
        <v>0.15</v>
      </c>
      <c r="N8560">
        <v>36</v>
      </c>
      <c r="O8560" t="s">
        <v>52</v>
      </c>
      <c r="Q8560" t="s">
        <v>2005</v>
      </c>
      <c r="R8560" t="s">
        <v>6721</v>
      </c>
      <c r="S8560" t="s">
        <v>1078</v>
      </c>
    </row>
    <row r="8561" spans="1:19" x14ac:dyDescent="0.25">
      <c r="A8561" t="s">
        <v>59</v>
      </c>
      <c r="B8561" t="s">
        <v>60</v>
      </c>
      <c r="C8561" t="s">
        <v>32</v>
      </c>
      <c r="D8561" t="s">
        <v>953</v>
      </c>
      <c r="E8561" t="s">
        <v>1077</v>
      </c>
      <c r="F8561" t="s">
        <v>35</v>
      </c>
      <c r="G8561" t="s">
        <v>35</v>
      </c>
      <c r="H8561" t="s">
        <v>35</v>
      </c>
      <c r="J8561" t="s">
        <v>7723</v>
      </c>
      <c r="K8561" t="s">
        <v>1092</v>
      </c>
      <c r="M8561">
        <v>0.39900000000000002</v>
      </c>
      <c r="N8561">
        <v>720</v>
      </c>
      <c r="O8561" t="s">
        <v>575</v>
      </c>
      <c r="Q8561" t="s">
        <v>7118</v>
      </c>
      <c r="R8561" t="s">
        <v>6721</v>
      </c>
      <c r="S8561" t="s">
        <v>1078</v>
      </c>
    </row>
    <row r="8562" spans="1:19" x14ac:dyDescent="0.25">
      <c r="A8562" t="s">
        <v>30</v>
      </c>
      <c r="B8562" t="s">
        <v>31</v>
      </c>
      <c r="C8562" t="s">
        <v>32</v>
      </c>
      <c r="D8562" t="s">
        <v>953</v>
      </c>
      <c r="E8562" t="s">
        <v>1077</v>
      </c>
      <c r="F8562" t="s">
        <v>35</v>
      </c>
      <c r="G8562" t="s">
        <v>35</v>
      </c>
      <c r="H8562" t="s">
        <v>35</v>
      </c>
      <c r="J8562" t="s">
        <v>7726</v>
      </c>
      <c r="K8562" t="s">
        <v>1092</v>
      </c>
      <c r="M8562">
        <v>7.6950000000000003</v>
      </c>
      <c r="N8562">
        <v>45</v>
      </c>
      <c r="O8562" t="s">
        <v>52</v>
      </c>
      <c r="Q8562" t="s">
        <v>716</v>
      </c>
      <c r="R8562" t="s">
        <v>6709</v>
      </c>
      <c r="S8562" t="s">
        <v>1022</v>
      </c>
    </row>
    <row r="8563" spans="1:19" x14ac:dyDescent="0.25">
      <c r="A8563" t="s">
        <v>44</v>
      </c>
      <c r="B8563" t="s">
        <v>3</v>
      </c>
      <c r="C8563" t="s">
        <v>32</v>
      </c>
      <c r="D8563" t="s">
        <v>953</v>
      </c>
      <c r="E8563" t="s">
        <v>1077</v>
      </c>
      <c r="F8563" t="s">
        <v>35</v>
      </c>
      <c r="G8563" t="s">
        <v>35</v>
      </c>
      <c r="H8563" t="s">
        <v>35</v>
      </c>
      <c r="J8563" t="s">
        <v>7726</v>
      </c>
      <c r="K8563" t="s">
        <v>1092</v>
      </c>
      <c r="M8563">
        <v>1.6</v>
      </c>
      <c r="N8563">
        <v>62</v>
      </c>
      <c r="O8563" t="s">
        <v>61</v>
      </c>
      <c r="Q8563" t="s">
        <v>90</v>
      </c>
      <c r="R8563" t="s">
        <v>6709</v>
      </c>
      <c r="S8563" t="s">
        <v>1022</v>
      </c>
    </row>
    <row r="8564" spans="1:19" x14ac:dyDescent="0.25">
      <c r="A8564" t="s">
        <v>44</v>
      </c>
      <c r="B8564" t="s">
        <v>51</v>
      </c>
      <c r="C8564" t="s">
        <v>32</v>
      </c>
      <c r="D8564" t="s">
        <v>953</v>
      </c>
      <c r="E8564" t="s">
        <v>1077</v>
      </c>
      <c r="F8564" t="s">
        <v>35</v>
      </c>
      <c r="G8564" t="s">
        <v>35</v>
      </c>
      <c r="H8564" t="s">
        <v>35</v>
      </c>
      <c r="J8564" t="s">
        <v>7727</v>
      </c>
      <c r="K8564" t="s">
        <v>1092</v>
      </c>
      <c r="M8564">
        <v>0.1</v>
      </c>
      <c r="N8564">
        <v>316</v>
      </c>
      <c r="O8564" t="s">
        <v>5</v>
      </c>
      <c r="Q8564" t="s">
        <v>6835</v>
      </c>
      <c r="R8564" t="s">
        <v>6721</v>
      </c>
      <c r="S8564" t="s">
        <v>1078</v>
      </c>
    </row>
    <row r="8565" spans="1:19" x14ac:dyDescent="0.25">
      <c r="A8565" t="s">
        <v>59</v>
      </c>
      <c r="B8565" t="s">
        <v>60</v>
      </c>
      <c r="C8565" t="s">
        <v>32</v>
      </c>
      <c r="D8565" t="s">
        <v>953</v>
      </c>
      <c r="E8565" t="s">
        <v>1077</v>
      </c>
      <c r="F8565" t="s">
        <v>35</v>
      </c>
      <c r="G8565" t="s">
        <v>35</v>
      </c>
      <c r="H8565" t="s">
        <v>35</v>
      </c>
      <c r="J8565" t="s">
        <v>7727</v>
      </c>
      <c r="K8565" t="s">
        <v>1092</v>
      </c>
      <c r="M8565">
        <v>0.1</v>
      </c>
      <c r="N8565">
        <v>160</v>
      </c>
      <c r="O8565" t="s">
        <v>38</v>
      </c>
      <c r="Q8565" t="s">
        <v>260</v>
      </c>
      <c r="R8565" t="s">
        <v>6721</v>
      </c>
      <c r="S8565" t="s">
        <v>1078</v>
      </c>
    </row>
    <row r="8566" spans="1:19" x14ac:dyDescent="0.25">
      <c r="A8566" t="s">
        <v>59</v>
      </c>
      <c r="B8566" t="s">
        <v>31</v>
      </c>
      <c r="C8566" t="s">
        <v>32</v>
      </c>
      <c r="D8566" t="s">
        <v>953</v>
      </c>
      <c r="E8566" t="s">
        <v>1077</v>
      </c>
      <c r="F8566" t="s">
        <v>35</v>
      </c>
      <c r="G8566" t="s">
        <v>35</v>
      </c>
      <c r="H8566" t="s">
        <v>35</v>
      </c>
      <c r="J8566" t="s">
        <v>7727</v>
      </c>
      <c r="K8566" t="s">
        <v>1092</v>
      </c>
      <c r="M8566">
        <v>0.16500000000000001</v>
      </c>
      <c r="N8566">
        <v>271</v>
      </c>
      <c r="O8566" t="s">
        <v>5</v>
      </c>
      <c r="Q8566" t="s">
        <v>1881</v>
      </c>
      <c r="R8566" t="s">
        <v>6721</v>
      </c>
      <c r="S8566" t="s">
        <v>1078</v>
      </c>
    </row>
    <row r="8567" spans="1:19" x14ac:dyDescent="0.25">
      <c r="A8567" t="s">
        <v>59</v>
      </c>
      <c r="B8567" t="s">
        <v>31</v>
      </c>
      <c r="C8567" t="s">
        <v>32</v>
      </c>
      <c r="D8567" t="s">
        <v>953</v>
      </c>
      <c r="E8567" t="s">
        <v>1077</v>
      </c>
      <c r="F8567" t="s">
        <v>35</v>
      </c>
      <c r="G8567" t="s">
        <v>35</v>
      </c>
      <c r="H8567" t="s">
        <v>35</v>
      </c>
      <c r="J8567" t="s">
        <v>7727</v>
      </c>
      <c r="K8567" t="s">
        <v>1092</v>
      </c>
      <c r="M8567">
        <v>0.45</v>
      </c>
      <c r="N8567">
        <v>246</v>
      </c>
      <c r="O8567" t="s">
        <v>5</v>
      </c>
      <c r="Q8567" t="s">
        <v>1903</v>
      </c>
      <c r="R8567" t="s">
        <v>6721</v>
      </c>
      <c r="S8567" t="s">
        <v>1078</v>
      </c>
    </row>
    <row r="8568" spans="1:19" x14ac:dyDescent="0.25">
      <c r="A8568" t="s">
        <v>59</v>
      </c>
      <c r="B8568" t="s">
        <v>60</v>
      </c>
      <c r="C8568" t="s">
        <v>32</v>
      </c>
      <c r="D8568" t="s">
        <v>953</v>
      </c>
      <c r="E8568" t="s">
        <v>1077</v>
      </c>
      <c r="F8568" t="s">
        <v>35</v>
      </c>
      <c r="G8568" t="s">
        <v>35</v>
      </c>
      <c r="H8568" t="s">
        <v>35</v>
      </c>
      <c r="J8568" t="s">
        <v>7727</v>
      </c>
      <c r="K8568" t="s">
        <v>1092</v>
      </c>
      <c r="M8568">
        <v>0.15</v>
      </c>
      <c r="N8568">
        <v>173</v>
      </c>
      <c r="O8568" t="s">
        <v>38</v>
      </c>
      <c r="Q8568" t="s">
        <v>1345</v>
      </c>
      <c r="R8568" t="s">
        <v>6721</v>
      </c>
      <c r="S8568" t="s">
        <v>1078</v>
      </c>
    </row>
    <row r="8569" spans="1:19" x14ac:dyDescent="0.25">
      <c r="A8569" t="s">
        <v>59</v>
      </c>
      <c r="B8569" t="s">
        <v>31</v>
      </c>
      <c r="C8569" t="s">
        <v>32</v>
      </c>
      <c r="D8569" t="s">
        <v>953</v>
      </c>
      <c r="E8569" t="s">
        <v>1077</v>
      </c>
      <c r="F8569" t="s">
        <v>35</v>
      </c>
      <c r="G8569" t="s">
        <v>35</v>
      </c>
      <c r="H8569" t="s">
        <v>35</v>
      </c>
      <c r="J8569" t="s">
        <v>7727</v>
      </c>
      <c r="K8569" t="s">
        <v>1092</v>
      </c>
      <c r="M8569">
        <v>0.45</v>
      </c>
      <c r="N8569">
        <v>173</v>
      </c>
      <c r="O8569" t="s">
        <v>38</v>
      </c>
      <c r="Q8569" t="s">
        <v>1345</v>
      </c>
      <c r="R8569" t="s">
        <v>6721</v>
      </c>
      <c r="S8569" t="s">
        <v>1078</v>
      </c>
    </row>
    <row r="8570" spans="1:19" x14ac:dyDescent="0.25">
      <c r="A8570" t="s">
        <v>59</v>
      </c>
      <c r="B8570" t="s">
        <v>60</v>
      </c>
      <c r="C8570" t="s">
        <v>32</v>
      </c>
      <c r="D8570" t="s">
        <v>953</v>
      </c>
      <c r="E8570" t="s">
        <v>1077</v>
      </c>
      <c r="F8570" t="s">
        <v>35</v>
      </c>
      <c r="G8570" t="s">
        <v>35</v>
      </c>
      <c r="H8570" t="s">
        <v>35</v>
      </c>
      <c r="J8570" t="s">
        <v>7727</v>
      </c>
      <c r="K8570" t="s">
        <v>1092</v>
      </c>
      <c r="M8570">
        <v>0.15</v>
      </c>
      <c r="N8570">
        <v>75</v>
      </c>
      <c r="O8570" t="s">
        <v>61</v>
      </c>
      <c r="Q8570" t="s">
        <v>805</v>
      </c>
      <c r="R8570" t="s">
        <v>6721</v>
      </c>
      <c r="S8570" t="s">
        <v>1078</v>
      </c>
    </row>
    <row r="8571" spans="1:19" x14ac:dyDescent="0.25">
      <c r="A8571" t="s">
        <v>59</v>
      </c>
      <c r="B8571" t="s">
        <v>31</v>
      </c>
      <c r="C8571" t="s">
        <v>32</v>
      </c>
      <c r="D8571" t="s">
        <v>953</v>
      </c>
      <c r="E8571" t="s">
        <v>1077</v>
      </c>
      <c r="F8571" t="s">
        <v>35</v>
      </c>
      <c r="G8571" t="s">
        <v>35</v>
      </c>
      <c r="H8571" t="s">
        <v>35</v>
      </c>
      <c r="J8571" t="s">
        <v>7727</v>
      </c>
      <c r="K8571" t="s">
        <v>1092</v>
      </c>
      <c r="M8571">
        <v>0.45</v>
      </c>
      <c r="N8571">
        <v>239</v>
      </c>
      <c r="O8571" t="s">
        <v>5</v>
      </c>
      <c r="Q8571" t="s">
        <v>1471</v>
      </c>
      <c r="R8571" t="s">
        <v>6721</v>
      </c>
      <c r="S8571" t="s">
        <v>1078</v>
      </c>
    </row>
    <row r="8572" spans="1:19" x14ac:dyDescent="0.25">
      <c r="A8572" t="s">
        <v>59</v>
      </c>
      <c r="B8572" t="s">
        <v>60</v>
      </c>
      <c r="C8572" t="s">
        <v>32</v>
      </c>
      <c r="D8572" t="s">
        <v>953</v>
      </c>
      <c r="E8572" t="s">
        <v>1077</v>
      </c>
      <c r="F8572" t="s">
        <v>35</v>
      </c>
      <c r="G8572" t="s">
        <v>35</v>
      </c>
      <c r="H8572" t="s">
        <v>35</v>
      </c>
      <c r="J8572" t="s">
        <v>7728</v>
      </c>
      <c r="K8572" t="s">
        <v>1092</v>
      </c>
      <c r="M8572">
        <v>3.75</v>
      </c>
      <c r="N8572">
        <v>90</v>
      </c>
      <c r="O8572" t="s">
        <v>61</v>
      </c>
      <c r="Q8572" t="s">
        <v>897</v>
      </c>
      <c r="R8572" t="s">
        <v>6742</v>
      </c>
      <c r="S8572" t="s">
        <v>1016</v>
      </c>
    </row>
    <row r="8573" spans="1:19" x14ac:dyDescent="0.25">
      <c r="A8573" t="s">
        <v>59</v>
      </c>
      <c r="B8573" t="s">
        <v>31</v>
      </c>
      <c r="C8573" t="s">
        <v>32</v>
      </c>
      <c r="D8573" t="s">
        <v>953</v>
      </c>
      <c r="E8573" t="s">
        <v>1077</v>
      </c>
      <c r="F8573" t="s">
        <v>35</v>
      </c>
      <c r="G8573" t="s">
        <v>35</v>
      </c>
      <c r="H8573" t="s">
        <v>35</v>
      </c>
      <c r="J8573" t="s">
        <v>7728</v>
      </c>
      <c r="K8573" t="s">
        <v>1092</v>
      </c>
      <c r="M8573">
        <v>4.4999999999999998E-2</v>
      </c>
      <c r="N8573">
        <v>815</v>
      </c>
      <c r="O8573" t="s">
        <v>575</v>
      </c>
      <c r="Q8573" t="s">
        <v>7729</v>
      </c>
      <c r="R8573" t="s">
        <v>6847</v>
      </c>
      <c r="S8573" t="s">
        <v>1034</v>
      </c>
    </row>
    <row r="8574" spans="1:19" x14ac:dyDescent="0.25">
      <c r="A8574" t="s">
        <v>59</v>
      </c>
      <c r="B8574" t="s">
        <v>60</v>
      </c>
      <c r="C8574" t="s">
        <v>32</v>
      </c>
      <c r="D8574" t="s">
        <v>953</v>
      </c>
      <c r="E8574" t="s">
        <v>1077</v>
      </c>
      <c r="F8574" t="s">
        <v>35</v>
      </c>
      <c r="G8574" t="s">
        <v>35</v>
      </c>
      <c r="H8574" t="s">
        <v>35</v>
      </c>
      <c r="J8574" t="s">
        <v>7730</v>
      </c>
      <c r="K8574" t="s">
        <v>1092</v>
      </c>
      <c r="M8574">
        <v>1.35</v>
      </c>
      <c r="N8574">
        <v>252</v>
      </c>
      <c r="O8574" t="s">
        <v>5</v>
      </c>
      <c r="Q8574" t="s">
        <v>1222</v>
      </c>
      <c r="R8574" t="s">
        <v>6709</v>
      </c>
      <c r="S8574" t="s">
        <v>1022</v>
      </c>
    </row>
    <row r="8575" spans="1:19" x14ac:dyDescent="0.25">
      <c r="A8575" t="s">
        <v>30</v>
      </c>
      <c r="B8575" t="s">
        <v>31</v>
      </c>
      <c r="C8575" t="s">
        <v>32</v>
      </c>
      <c r="D8575" t="s">
        <v>953</v>
      </c>
      <c r="E8575" t="s">
        <v>1077</v>
      </c>
      <c r="F8575" t="s">
        <v>35</v>
      </c>
      <c r="G8575" t="s">
        <v>35</v>
      </c>
      <c r="H8575" t="s">
        <v>35</v>
      </c>
      <c r="J8575" t="s">
        <v>7730</v>
      </c>
      <c r="K8575" t="s">
        <v>1092</v>
      </c>
      <c r="M8575">
        <v>3.32</v>
      </c>
      <c r="N8575">
        <v>48</v>
      </c>
      <c r="O8575" t="s">
        <v>52</v>
      </c>
      <c r="Q8575" t="s">
        <v>496</v>
      </c>
      <c r="R8575" t="s">
        <v>6742</v>
      </c>
      <c r="S8575" t="s">
        <v>1016</v>
      </c>
    </row>
    <row r="8576" spans="1:19" x14ac:dyDescent="0.25">
      <c r="A8576" t="s">
        <v>30</v>
      </c>
      <c r="B8576" t="s">
        <v>31</v>
      </c>
      <c r="C8576" t="s">
        <v>32</v>
      </c>
      <c r="D8576" t="s">
        <v>953</v>
      </c>
      <c r="E8576" t="s">
        <v>1077</v>
      </c>
      <c r="F8576" t="s">
        <v>35</v>
      </c>
      <c r="G8576" t="s">
        <v>35</v>
      </c>
      <c r="H8576" t="s">
        <v>35</v>
      </c>
      <c r="J8576" t="s">
        <v>7731</v>
      </c>
      <c r="K8576" t="s">
        <v>1092</v>
      </c>
      <c r="M8576">
        <v>0.54</v>
      </c>
      <c r="N8576">
        <v>290</v>
      </c>
      <c r="O8576" t="s">
        <v>5</v>
      </c>
      <c r="Q8576" t="s">
        <v>4463</v>
      </c>
      <c r="R8576" t="s">
        <v>7613</v>
      </c>
      <c r="S8576" t="s">
        <v>7614</v>
      </c>
    </row>
    <row r="8577" spans="1:19" x14ac:dyDescent="0.25">
      <c r="A8577" t="s">
        <v>59</v>
      </c>
      <c r="B8577" t="s">
        <v>31</v>
      </c>
      <c r="C8577" t="s">
        <v>32</v>
      </c>
      <c r="D8577" t="s">
        <v>953</v>
      </c>
      <c r="E8577" t="s">
        <v>1077</v>
      </c>
      <c r="F8577" t="s">
        <v>35</v>
      </c>
      <c r="G8577" t="s">
        <v>35</v>
      </c>
      <c r="H8577" t="s">
        <v>35</v>
      </c>
      <c r="J8577" t="s">
        <v>7731</v>
      </c>
      <c r="K8577" t="s">
        <v>1092</v>
      </c>
      <c r="M8577">
        <v>0.315</v>
      </c>
      <c r="N8577">
        <v>469</v>
      </c>
      <c r="O8577" t="s">
        <v>294</v>
      </c>
      <c r="Q8577" t="s">
        <v>3662</v>
      </c>
      <c r="R8577" t="s">
        <v>6721</v>
      </c>
      <c r="S8577" t="s">
        <v>1078</v>
      </c>
    </row>
    <row r="8578" spans="1:19" x14ac:dyDescent="0.25">
      <c r="A8578" t="s">
        <v>59</v>
      </c>
      <c r="B8578" t="s">
        <v>60</v>
      </c>
      <c r="C8578" t="s">
        <v>32</v>
      </c>
      <c r="D8578" t="s">
        <v>953</v>
      </c>
      <c r="E8578" t="s">
        <v>1077</v>
      </c>
      <c r="F8578" t="s">
        <v>35</v>
      </c>
      <c r="G8578" t="s">
        <v>35</v>
      </c>
      <c r="H8578" t="s">
        <v>35</v>
      </c>
      <c r="J8578" t="s">
        <v>7732</v>
      </c>
      <c r="K8578" t="s">
        <v>1092</v>
      </c>
      <c r="M8578">
        <v>1.6</v>
      </c>
      <c r="N8578">
        <v>135</v>
      </c>
      <c r="O8578" t="s">
        <v>38</v>
      </c>
      <c r="Q8578" t="s">
        <v>98</v>
      </c>
      <c r="R8578" t="s">
        <v>6709</v>
      </c>
      <c r="S8578" t="s">
        <v>1022</v>
      </c>
    </row>
    <row r="8579" spans="1:19" x14ac:dyDescent="0.25">
      <c r="A8579" t="s">
        <v>59</v>
      </c>
      <c r="B8579" t="s">
        <v>31</v>
      </c>
      <c r="C8579" t="s">
        <v>32</v>
      </c>
      <c r="D8579" t="s">
        <v>953</v>
      </c>
      <c r="E8579" t="s">
        <v>1077</v>
      </c>
      <c r="F8579" t="s">
        <v>35</v>
      </c>
      <c r="G8579" t="s">
        <v>35</v>
      </c>
      <c r="H8579" t="s">
        <v>35</v>
      </c>
      <c r="J8579" t="s">
        <v>7732</v>
      </c>
      <c r="K8579" t="s">
        <v>1092</v>
      </c>
      <c r="M8579">
        <v>0.40500000000000003</v>
      </c>
      <c r="N8579">
        <v>132</v>
      </c>
      <c r="O8579" t="s">
        <v>38</v>
      </c>
      <c r="Q8579" t="s">
        <v>2901</v>
      </c>
      <c r="R8579" t="s">
        <v>6716</v>
      </c>
      <c r="S8579" t="s">
        <v>6717</v>
      </c>
    </row>
    <row r="8580" spans="1:19" x14ac:dyDescent="0.25">
      <c r="A8580" t="s">
        <v>59</v>
      </c>
      <c r="B8580" t="s">
        <v>60</v>
      </c>
      <c r="C8580" t="s">
        <v>32</v>
      </c>
      <c r="D8580" t="s">
        <v>953</v>
      </c>
      <c r="E8580" t="s">
        <v>1077</v>
      </c>
      <c r="F8580" t="s">
        <v>35</v>
      </c>
      <c r="G8580" t="s">
        <v>35</v>
      </c>
      <c r="H8580" t="s">
        <v>35</v>
      </c>
      <c r="J8580" t="s">
        <v>7733</v>
      </c>
      <c r="K8580" t="s">
        <v>1092</v>
      </c>
      <c r="M8580">
        <v>2.2999999999999998</v>
      </c>
      <c r="N8580">
        <v>82</v>
      </c>
      <c r="O8580" t="s">
        <v>61</v>
      </c>
      <c r="Q8580" t="s">
        <v>447</v>
      </c>
      <c r="R8580" t="s">
        <v>6709</v>
      </c>
      <c r="S8580" t="s">
        <v>1022</v>
      </c>
    </row>
    <row r="8581" spans="1:19" x14ac:dyDescent="0.25">
      <c r="A8581" t="s">
        <v>59</v>
      </c>
      <c r="B8581" t="s">
        <v>60</v>
      </c>
      <c r="C8581" t="s">
        <v>32</v>
      </c>
      <c r="D8581" t="s">
        <v>953</v>
      </c>
      <c r="E8581" t="s">
        <v>1077</v>
      </c>
      <c r="F8581" t="s">
        <v>35</v>
      </c>
      <c r="G8581" t="s">
        <v>35</v>
      </c>
      <c r="H8581" t="s">
        <v>35</v>
      </c>
      <c r="J8581" t="s">
        <v>7028</v>
      </c>
      <c r="K8581" t="s">
        <v>1092</v>
      </c>
      <c r="M8581">
        <v>1.5</v>
      </c>
      <c r="N8581">
        <v>33</v>
      </c>
      <c r="O8581" t="s">
        <v>52</v>
      </c>
      <c r="Q8581" t="s">
        <v>137</v>
      </c>
      <c r="R8581" t="s">
        <v>6847</v>
      </c>
      <c r="S8581" t="s">
        <v>1034</v>
      </c>
    </row>
    <row r="8582" spans="1:19" x14ac:dyDescent="0.25">
      <c r="A8582" t="s">
        <v>30</v>
      </c>
      <c r="B8582" t="s">
        <v>31</v>
      </c>
      <c r="C8582" t="s">
        <v>32</v>
      </c>
      <c r="D8582" t="s">
        <v>953</v>
      </c>
      <c r="E8582" t="s">
        <v>1077</v>
      </c>
      <c r="F8582" t="s">
        <v>35</v>
      </c>
      <c r="G8582" t="s">
        <v>35</v>
      </c>
      <c r="H8582" t="s">
        <v>35</v>
      </c>
      <c r="J8582" t="s">
        <v>7028</v>
      </c>
      <c r="K8582" t="s">
        <v>1092</v>
      </c>
      <c r="M8582">
        <v>10.98</v>
      </c>
      <c r="N8582">
        <v>48</v>
      </c>
      <c r="O8582" t="s">
        <v>52</v>
      </c>
      <c r="Q8582" t="s">
        <v>496</v>
      </c>
      <c r="R8582" t="s">
        <v>6847</v>
      </c>
      <c r="S8582" t="s">
        <v>1034</v>
      </c>
    </row>
    <row r="8583" spans="1:19" x14ac:dyDescent="0.25">
      <c r="A8583" t="s">
        <v>44</v>
      </c>
      <c r="B8583" t="s">
        <v>3</v>
      </c>
      <c r="C8583" t="s">
        <v>32</v>
      </c>
      <c r="D8583" t="s">
        <v>953</v>
      </c>
      <c r="E8583" t="s">
        <v>1077</v>
      </c>
      <c r="F8583" t="s">
        <v>35</v>
      </c>
      <c r="G8583" t="s">
        <v>35</v>
      </c>
      <c r="H8583" t="s">
        <v>35</v>
      </c>
      <c r="J8583" t="s">
        <v>7028</v>
      </c>
      <c r="K8583" t="s">
        <v>1092</v>
      </c>
      <c r="M8583">
        <v>1.5</v>
      </c>
      <c r="N8583">
        <v>33</v>
      </c>
      <c r="O8583" t="s">
        <v>52</v>
      </c>
      <c r="Q8583" t="s">
        <v>137</v>
      </c>
      <c r="R8583" t="s">
        <v>6847</v>
      </c>
      <c r="S8583" t="s">
        <v>1034</v>
      </c>
    </row>
    <row r="8584" spans="1:19" x14ac:dyDescent="0.25">
      <c r="A8584" t="s">
        <v>59</v>
      </c>
      <c r="B8584" t="s">
        <v>60</v>
      </c>
      <c r="C8584" t="s">
        <v>32</v>
      </c>
      <c r="D8584" t="s">
        <v>953</v>
      </c>
      <c r="E8584" t="s">
        <v>1077</v>
      </c>
      <c r="F8584" t="s">
        <v>35</v>
      </c>
      <c r="G8584" t="s">
        <v>35</v>
      </c>
      <c r="H8584" t="s">
        <v>35</v>
      </c>
      <c r="J8584" t="s">
        <v>7028</v>
      </c>
      <c r="K8584" t="s">
        <v>1092</v>
      </c>
      <c r="M8584">
        <v>0.05</v>
      </c>
      <c r="N8584">
        <v>46</v>
      </c>
      <c r="O8584" t="s">
        <v>52</v>
      </c>
      <c r="Q8584" t="s">
        <v>493</v>
      </c>
      <c r="R8584" t="s">
        <v>6847</v>
      </c>
      <c r="S8584" t="s">
        <v>1034</v>
      </c>
    </row>
    <row r="8585" spans="1:19" x14ac:dyDescent="0.25">
      <c r="A8585" t="s">
        <v>59</v>
      </c>
      <c r="B8585" t="s">
        <v>60</v>
      </c>
      <c r="C8585" t="s">
        <v>32</v>
      </c>
      <c r="D8585" t="s">
        <v>953</v>
      </c>
      <c r="E8585" t="s">
        <v>1077</v>
      </c>
      <c r="F8585" t="s">
        <v>35</v>
      </c>
      <c r="G8585" t="s">
        <v>35</v>
      </c>
      <c r="H8585" t="s">
        <v>35</v>
      </c>
      <c r="J8585" t="s">
        <v>7734</v>
      </c>
      <c r="K8585" t="s">
        <v>1092</v>
      </c>
      <c r="M8585">
        <v>0.35</v>
      </c>
      <c r="N8585">
        <v>251</v>
      </c>
      <c r="O8585" t="s">
        <v>5</v>
      </c>
      <c r="Q8585" t="s">
        <v>1688</v>
      </c>
      <c r="R8585" t="s">
        <v>6742</v>
      </c>
      <c r="S8585" t="s">
        <v>1016</v>
      </c>
    </row>
    <row r="8586" spans="1:19" x14ac:dyDescent="0.25">
      <c r="A8586" t="s">
        <v>30</v>
      </c>
      <c r="B8586" t="s">
        <v>31</v>
      </c>
      <c r="C8586" t="s">
        <v>32</v>
      </c>
      <c r="D8586" t="s">
        <v>953</v>
      </c>
      <c r="E8586" t="s">
        <v>1077</v>
      </c>
      <c r="F8586" t="s">
        <v>35</v>
      </c>
      <c r="G8586" t="s">
        <v>35</v>
      </c>
      <c r="H8586" t="s">
        <v>35</v>
      </c>
      <c r="J8586" t="s">
        <v>7735</v>
      </c>
      <c r="K8586" t="s">
        <v>1092</v>
      </c>
      <c r="M8586">
        <v>2.16</v>
      </c>
      <c r="N8586">
        <v>200</v>
      </c>
      <c r="O8586" t="s">
        <v>5</v>
      </c>
      <c r="Q8586" t="s">
        <v>3691</v>
      </c>
      <c r="R8586" t="s">
        <v>6939</v>
      </c>
      <c r="S8586" t="s">
        <v>969</v>
      </c>
    </row>
    <row r="8587" spans="1:19" x14ac:dyDescent="0.25">
      <c r="A8587" t="s">
        <v>59</v>
      </c>
      <c r="B8587" t="s">
        <v>60</v>
      </c>
      <c r="C8587" t="s">
        <v>32</v>
      </c>
      <c r="D8587" t="s">
        <v>953</v>
      </c>
      <c r="E8587" t="s">
        <v>1077</v>
      </c>
      <c r="F8587" t="s">
        <v>35</v>
      </c>
      <c r="G8587" t="s">
        <v>35</v>
      </c>
      <c r="H8587" t="s">
        <v>35</v>
      </c>
      <c r="J8587" t="s">
        <v>7736</v>
      </c>
      <c r="K8587" t="s">
        <v>1092</v>
      </c>
      <c r="M8587">
        <v>0.08</v>
      </c>
      <c r="N8587">
        <v>31</v>
      </c>
      <c r="O8587" t="s">
        <v>52</v>
      </c>
      <c r="Q8587" t="s">
        <v>972</v>
      </c>
      <c r="R8587" t="s">
        <v>6716</v>
      </c>
      <c r="S8587" t="s">
        <v>6717</v>
      </c>
    </row>
    <row r="8588" spans="1:19" x14ac:dyDescent="0.25">
      <c r="A8588" t="s">
        <v>59</v>
      </c>
      <c r="B8588" t="s">
        <v>60</v>
      </c>
      <c r="C8588" t="s">
        <v>32</v>
      </c>
      <c r="D8588" t="s">
        <v>953</v>
      </c>
      <c r="E8588" t="s">
        <v>1077</v>
      </c>
      <c r="F8588" t="s">
        <v>35</v>
      </c>
      <c r="G8588" t="s">
        <v>35</v>
      </c>
      <c r="H8588" t="s">
        <v>35</v>
      </c>
      <c r="J8588" t="s">
        <v>7737</v>
      </c>
      <c r="K8588" t="s">
        <v>1092</v>
      </c>
      <c r="M8588">
        <v>0.3</v>
      </c>
      <c r="N8588">
        <v>22</v>
      </c>
      <c r="O8588" t="s">
        <v>46</v>
      </c>
      <c r="Q8588" t="s">
        <v>979</v>
      </c>
      <c r="R8588" t="s">
        <v>6721</v>
      </c>
      <c r="S8588" t="s">
        <v>1078</v>
      </c>
    </row>
    <row r="8589" spans="1:19" x14ac:dyDescent="0.25">
      <c r="A8589" t="s">
        <v>44</v>
      </c>
      <c r="B8589" t="s">
        <v>51</v>
      </c>
      <c r="C8589" t="s">
        <v>32</v>
      </c>
      <c r="D8589" t="s">
        <v>953</v>
      </c>
      <c r="E8589" t="s">
        <v>1077</v>
      </c>
      <c r="F8589" t="s">
        <v>35</v>
      </c>
      <c r="G8589" t="s">
        <v>35</v>
      </c>
      <c r="H8589" t="s">
        <v>35</v>
      </c>
      <c r="J8589" t="s">
        <v>7738</v>
      </c>
      <c r="K8589" t="s">
        <v>1092</v>
      </c>
      <c r="M8589">
        <v>0.2</v>
      </c>
      <c r="N8589">
        <v>271</v>
      </c>
      <c r="O8589" t="s">
        <v>5</v>
      </c>
      <c r="Q8589" t="s">
        <v>1881</v>
      </c>
      <c r="R8589" t="s">
        <v>6746</v>
      </c>
      <c r="S8589" t="s">
        <v>6747</v>
      </c>
    </row>
    <row r="8590" spans="1:19" x14ac:dyDescent="0.25">
      <c r="A8590" t="s">
        <v>59</v>
      </c>
      <c r="B8590" t="s">
        <v>60</v>
      </c>
      <c r="C8590" t="s">
        <v>32</v>
      </c>
      <c r="D8590" t="s">
        <v>953</v>
      </c>
      <c r="E8590" t="s">
        <v>1077</v>
      </c>
      <c r="F8590" t="s">
        <v>35</v>
      </c>
      <c r="G8590" t="s">
        <v>35</v>
      </c>
      <c r="H8590" t="s">
        <v>35</v>
      </c>
      <c r="J8590" t="s">
        <v>7738</v>
      </c>
      <c r="K8590" t="s">
        <v>1092</v>
      </c>
      <c r="M8590">
        <v>0.2</v>
      </c>
      <c r="N8590">
        <v>267</v>
      </c>
      <c r="O8590" t="s">
        <v>5</v>
      </c>
      <c r="Q8590" t="s">
        <v>2559</v>
      </c>
      <c r="R8590" t="s">
        <v>6716</v>
      </c>
      <c r="S8590" t="s">
        <v>6717</v>
      </c>
    </row>
    <row r="8591" spans="1:19" x14ac:dyDescent="0.25">
      <c r="A8591" t="s">
        <v>59</v>
      </c>
      <c r="B8591" t="s">
        <v>60</v>
      </c>
      <c r="C8591" t="s">
        <v>32</v>
      </c>
      <c r="D8591" t="s">
        <v>953</v>
      </c>
      <c r="E8591" t="s">
        <v>1077</v>
      </c>
      <c r="F8591" t="s">
        <v>35</v>
      </c>
      <c r="G8591" t="s">
        <v>35</v>
      </c>
      <c r="H8591" t="s">
        <v>35</v>
      </c>
      <c r="J8591" t="s">
        <v>7738</v>
      </c>
      <c r="K8591" t="s">
        <v>1092</v>
      </c>
      <c r="M8591">
        <v>0.25</v>
      </c>
      <c r="N8591">
        <v>224</v>
      </c>
      <c r="O8591" t="s">
        <v>5</v>
      </c>
      <c r="Q8591" t="s">
        <v>1150</v>
      </c>
      <c r="R8591" t="s">
        <v>6746</v>
      </c>
      <c r="S8591" t="s">
        <v>6747</v>
      </c>
    </row>
    <row r="8592" spans="1:19" x14ac:dyDescent="0.25">
      <c r="A8592" t="s">
        <v>59</v>
      </c>
      <c r="B8592" t="s">
        <v>60</v>
      </c>
      <c r="C8592" t="s">
        <v>32</v>
      </c>
      <c r="D8592" t="s">
        <v>953</v>
      </c>
      <c r="E8592" t="s">
        <v>1077</v>
      </c>
      <c r="F8592" t="s">
        <v>35</v>
      </c>
      <c r="G8592" t="s">
        <v>35</v>
      </c>
      <c r="H8592" t="s">
        <v>35</v>
      </c>
      <c r="J8592" t="s">
        <v>7739</v>
      </c>
      <c r="K8592" t="s">
        <v>1092</v>
      </c>
      <c r="M8592">
        <v>0.45</v>
      </c>
      <c r="N8592">
        <v>45</v>
      </c>
      <c r="O8592" t="s">
        <v>52</v>
      </c>
      <c r="Q8592" t="s">
        <v>716</v>
      </c>
      <c r="R8592" t="s">
        <v>6721</v>
      </c>
      <c r="S8592" t="s">
        <v>1078</v>
      </c>
    </row>
    <row r="8593" spans="1:19" x14ac:dyDescent="0.25">
      <c r="A8593" t="s">
        <v>30</v>
      </c>
      <c r="B8593" t="s">
        <v>31</v>
      </c>
      <c r="C8593" t="s">
        <v>32</v>
      </c>
      <c r="D8593" t="s">
        <v>953</v>
      </c>
      <c r="E8593" t="s">
        <v>1077</v>
      </c>
      <c r="F8593" t="s">
        <v>35</v>
      </c>
      <c r="G8593" t="s">
        <v>35</v>
      </c>
      <c r="H8593" t="s">
        <v>35</v>
      </c>
      <c r="J8593" t="s">
        <v>7739</v>
      </c>
      <c r="K8593" t="s">
        <v>1092</v>
      </c>
      <c r="M8593">
        <v>1.17</v>
      </c>
      <c r="N8593">
        <v>43</v>
      </c>
      <c r="O8593" t="s">
        <v>52</v>
      </c>
      <c r="Q8593" t="s">
        <v>892</v>
      </c>
      <c r="R8593" t="s">
        <v>6721</v>
      </c>
      <c r="S8593" t="s">
        <v>1078</v>
      </c>
    </row>
    <row r="8594" spans="1:19" x14ac:dyDescent="0.25">
      <c r="A8594" t="s">
        <v>44</v>
      </c>
      <c r="B8594" t="s">
        <v>3</v>
      </c>
      <c r="C8594" t="s">
        <v>32</v>
      </c>
      <c r="D8594" t="s">
        <v>953</v>
      </c>
      <c r="E8594" t="s">
        <v>1077</v>
      </c>
      <c r="F8594" t="s">
        <v>35</v>
      </c>
      <c r="G8594" t="s">
        <v>35</v>
      </c>
      <c r="H8594" t="s">
        <v>35</v>
      </c>
      <c r="J8594" t="s">
        <v>7739</v>
      </c>
      <c r="K8594" t="s">
        <v>1092</v>
      </c>
      <c r="M8594">
        <v>0.35</v>
      </c>
      <c r="N8594">
        <v>45</v>
      </c>
      <c r="O8594" t="s">
        <v>52</v>
      </c>
      <c r="Q8594" t="s">
        <v>716</v>
      </c>
      <c r="R8594" t="s">
        <v>6721</v>
      </c>
      <c r="S8594" t="s">
        <v>1078</v>
      </c>
    </row>
    <row r="8595" spans="1:19" x14ac:dyDescent="0.25">
      <c r="A8595" t="s">
        <v>59</v>
      </c>
      <c r="B8595" t="s">
        <v>60</v>
      </c>
      <c r="C8595" t="s">
        <v>32</v>
      </c>
      <c r="D8595" t="s">
        <v>953</v>
      </c>
      <c r="E8595" t="s">
        <v>7740</v>
      </c>
      <c r="F8595" t="s">
        <v>35</v>
      </c>
      <c r="G8595" t="s">
        <v>35</v>
      </c>
      <c r="H8595" t="s">
        <v>35</v>
      </c>
      <c r="J8595" t="s">
        <v>7741</v>
      </c>
      <c r="K8595" t="s">
        <v>1092</v>
      </c>
      <c r="M8595">
        <v>1.5</v>
      </c>
      <c r="N8595">
        <v>60</v>
      </c>
      <c r="O8595" t="s">
        <v>52</v>
      </c>
      <c r="Q8595" t="s">
        <v>1734</v>
      </c>
      <c r="R8595" t="s">
        <v>133</v>
      </c>
      <c r="S8595" t="s">
        <v>134</v>
      </c>
    </row>
    <row r="8596" spans="1:19" x14ac:dyDescent="0.25">
      <c r="A8596" t="s">
        <v>30</v>
      </c>
      <c r="B8596" t="s">
        <v>31</v>
      </c>
      <c r="C8596" t="s">
        <v>32</v>
      </c>
      <c r="D8596" t="s">
        <v>953</v>
      </c>
      <c r="E8596" t="s">
        <v>7740</v>
      </c>
      <c r="F8596" t="s">
        <v>35</v>
      </c>
      <c r="G8596" t="s">
        <v>35</v>
      </c>
      <c r="H8596" t="s">
        <v>35</v>
      </c>
      <c r="J8596" t="s">
        <v>7742</v>
      </c>
      <c r="K8596" t="s">
        <v>1092</v>
      </c>
      <c r="M8596">
        <v>0.36</v>
      </c>
      <c r="N8596">
        <v>21</v>
      </c>
      <c r="O8596" t="s">
        <v>46</v>
      </c>
      <c r="Q8596" t="s">
        <v>1874</v>
      </c>
      <c r="R8596" t="s">
        <v>6709</v>
      </c>
      <c r="S8596" t="s">
        <v>1022</v>
      </c>
    </row>
    <row r="8597" spans="1:19" x14ac:dyDescent="0.25">
      <c r="A8597" t="s">
        <v>44</v>
      </c>
      <c r="B8597" t="s">
        <v>3</v>
      </c>
      <c r="C8597" t="s">
        <v>32</v>
      </c>
      <c r="D8597" t="s">
        <v>953</v>
      </c>
      <c r="E8597" t="s">
        <v>7740</v>
      </c>
      <c r="F8597" t="s">
        <v>35</v>
      </c>
      <c r="G8597" t="s">
        <v>35</v>
      </c>
      <c r="H8597" t="s">
        <v>35</v>
      </c>
      <c r="J8597" t="s">
        <v>7742</v>
      </c>
      <c r="K8597" t="s">
        <v>1092</v>
      </c>
      <c r="M8597">
        <v>0.9</v>
      </c>
      <c r="N8597">
        <v>53</v>
      </c>
      <c r="O8597" t="s">
        <v>52</v>
      </c>
      <c r="Q8597" t="s">
        <v>332</v>
      </c>
      <c r="R8597" t="s">
        <v>6709</v>
      </c>
      <c r="S8597" t="s">
        <v>1022</v>
      </c>
    </row>
    <row r="8598" spans="1:19" x14ac:dyDescent="0.25">
      <c r="A8598" t="s">
        <v>59</v>
      </c>
      <c r="B8598" t="s">
        <v>60</v>
      </c>
      <c r="C8598" t="s">
        <v>32</v>
      </c>
      <c r="D8598" t="s">
        <v>953</v>
      </c>
      <c r="E8598" t="s">
        <v>7740</v>
      </c>
      <c r="F8598" t="s">
        <v>35</v>
      </c>
      <c r="G8598" t="s">
        <v>35</v>
      </c>
      <c r="H8598" t="s">
        <v>35</v>
      </c>
      <c r="J8598" t="s">
        <v>823</v>
      </c>
      <c r="K8598" t="s">
        <v>1092</v>
      </c>
      <c r="M8598">
        <v>0.5</v>
      </c>
      <c r="N8598">
        <v>60</v>
      </c>
      <c r="O8598" t="s">
        <v>52</v>
      </c>
      <c r="Q8598" t="s">
        <v>1734</v>
      </c>
      <c r="R8598" t="s">
        <v>133</v>
      </c>
      <c r="S8598" t="s">
        <v>134</v>
      </c>
    </row>
    <row r="8599" spans="1:19" x14ac:dyDescent="0.25">
      <c r="A8599" t="s">
        <v>59</v>
      </c>
      <c r="B8599" t="s">
        <v>60</v>
      </c>
      <c r="C8599" t="s">
        <v>32</v>
      </c>
      <c r="D8599" t="s">
        <v>953</v>
      </c>
      <c r="E8599" t="s">
        <v>7740</v>
      </c>
      <c r="F8599" t="s">
        <v>35</v>
      </c>
      <c r="G8599" t="s">
        <v>35</v>
      </c>
      <c r="H8599" t="s">
        <v>35</v>
      </c>
      <c r="J8599" t="s">
        <v>7743</v>
      </c>
      <c r="K8599" t="s">
        <v>1092</v>
      </c>
      <c r="M8599">
        <v>0.1</v>
      </c>
      <c r="N8599">
        <v>61</v>
      </c>
      <c r="O8599" t="s">
        <v>61</v>
      </c>
      <c r="Q8599" t="s">
        <v>671</v>
      </c>
      <c r="R8599" t="s">
        <v>6897</v>
      </c>
      <c r="S8599" t="s">
        <v>1062</v>
      </c>
    </row>
    <row r="8600" spans="1:19" x14ac:dyDescent="0.25">
      <c r="A8600" t="s">
        <v>59</v>
      </c>
      <c r="B8600" t="s">
        <v>60</v>
      </c>
      <c r="C8600" t="s">
        <v>32</v>
      </c>
      <c r="D8600" t="s">
        <v>953</v>
      </c>
      <c r="E8600" t="s">
        <v>7740</v>
      </c>
      <c r="F8600" t="s">
        <v>35</v>
      </c>
      <c r="G8600" t="s">
        <v>35</v>
      </c>
      <c r="H8600" t="s">
        <v>35</v>
      </c>
      <c r="J8600" t="s">
        <v>7744</v>
      </c>
      <c r="K8600" t="s">
        <v>1092</v>
      </c>
      <c r="M8600">
        <v>0.75</v>
      </c>
      <c r="N8600">
        <v>51</v>
      </c>
      <c r="O8600" t="s">
        <v>52</v>
      </c>
      <c r="Q8600" t="s">
        <v>54</v>
      </c>
      <c r="R8600" t="s">
        <v>6705</v>
      </c>
      <c r="S8600" t="s">
        <v>981</v>
      </c>
    </row>
    <row r="8601" spans="1:19" x14ac:dyDescent="0.25">
      <c r="A8601" t="s">
        <v>59</v>
      </c>
      <c r="B8601" t="s">
        <v>31</v>
      </c>
      <c r="C8601" t="s">
        <v>32</v>
      </c>
      <c r="D8601" t="s">
        <v>953</v>
      </c>
      <c r="E8601" t="s">
        <v>7740</v>
      </c>
      <c r="F8601" t="s">
        <v>35</v>
      </c>
      <c r="G8601" t="s">
        <v>35</v>
      </c>
      <c r="H8601" t="s">
        <v>35</v>
      </c>
      <c r="J8601" t="s">
        <v>7744</v>
      </c>
      <c r="K8601" t="s">
        <v>1092</v>
      </c>
      <c r="M8601">
        <v>1.4850000000000001</v>
      </c>
      <c r="N8601">
        <v>51</v>
      </c>
      <c r="O8601" t="s">
        <v>52</v>
      </c>
      <c r="Q8601" t="s">
        <v>54</v>
      </c>
      <c r="R8601" t="s">
        <v>6705</v>
      </c>
      <c r="S8601" t="s">
        <v>981</v>
      </c>
    </row>
    <row r="8602" spans="1:19" x14ac:dyDescent="0.25">
      <c r="A8602" t="s">
        <v>59</v>
      </c>
      <c r="B8602" t="s">
        <v>60</v>
      </c>
      <c r="C8602" t="s">
        <v>32</v>
      </c>
      <c r="D8602" t="s">
        <v>953</v>
      </c>
      <c r="E8602" t="s">
        <v>7740</v>
      </c>
      <c r="F8602" t="s">
        <v>35</v>
      </c>
      <c r="G8602" t="s">
        <v>35</v>
      </c>
      <c r="H8602" t="s">
        <v>35</v>
      </c>
      <c r="J8602" t="s">
        <v>7745</v>
      </c>
      <c r="K8602" t="s">
        <v>1092</v>
      </c>
      <c r="M8602">
        <v>0.5</v>
      </c>
      <c r="N8602">
        <v>75</v>
      </c>
      <c r="O8602" t="s">
        <v>61</v>
      </c>
      <c r="Q8602" t="s">
        <v>805</v>
      </c>
      <c r="R8602" t="s">
        <v>6847</v>
      </c>
      <c r="S8602" t="s">
        <v>1034</v>
      </c>
    </row>
    <row r="8603" spans="1:19" x14ac:dyDescent="0.25">
      <c r="A8603" t="s">
        <v>30</v>
      </c>
      <c r="B8603" t="s">
        <v>31</v>
      </c>
      <c r="C8603" t="s">
        <v>32</v>
      </c>
      <c r="D8603" t="s">
        <v>953</v>
      </c>
      <c r="E8603" t="s">
        <v>7740</v>
      </c>
      <c r="F8603" t="s">
        <v>35</v>
      </c>
      <c r="G8603" t="s">
        <v>35</v>
      </c>
      <c r="H8603" t="s">
        <v>35</v>
      </c>
      <c r="J8603" t="s">
        <v>7746</v>
      </c>
      <c r="K8603" t="s">
        <v>1092</v>
      </c>
      <c r="M8603">
        <v>9.4949999999999992</v>
      </c>
      <c r="N8603">
        <v>48</v>
      </c>
      <c r="O8603" t="s">
        <v>52</v>
      </c>
      <c r="Q8603" t="s">
        <v>496</v>
      </c>
      <c r="R8603" t="s">
        <v>6847</v>
      </c>
      <c r="S8603" t="s">
        <v>1034</v>
      </c>
    </row>
    <row r="8604" spans="1:19" x14ac:dyDescent="0.25">
      <c r="A8604" t="s">
        <v>59</v>
      </c>
      <c r="B8604" t="s">
        <v>60</v>
      </c>
      <c r="C8604" t="s">
        <v>32</v>
      </c>
      <c r="D8604" t="s">
        <v>953</v>
      </c>
      <c r="E8604" t="s">
        <v>7740</v>
      </c>
      <c r="F8604" t="s">
        <v>35</v>
      </c>
      <c r="G8604" t="s">
        <v>35</v>
      </c>
      <c r="H8604" t="s">
        <v>35</v>
      </c>
      <c r="J8604" t="s">
        <v>7746</v>
      </c>
      <c r="K8604" t="s">
        <v>1092</v>
      </c>
      <c r="M8604">
        <v>3.1</v>
      </c>
      <c r="N8604">
        <v>90</v>
      </c>
      <c r="O8604" t="s">
        <v>61</v>
      </c>
      <c r="Q8604" t="s">
        <v>897</v>
      </c>
      <c r="R8604" t="s">
        <v>6847</v>
      </c>
      <c r="S8604" t="s">
        <v>1034</v>
      </c>
    </row>
    <row r="8605" spans="1:19" x14ac:dyDescent="0.25">
      <c r="A8605" t="s">
        <v>59</v>
      </c>
      <c r="B8605" t="s">
        <v>60</v>
      </c>
      <c r="C8605" t="s">
        <v>32</v>
      </c>
      <c r="D8605" t="s">
        <v>953</v>
      </c>
      <c r="E8605" t="s">
        <v>7740</v>
      </c>
      <c r="F8605" t="s">
        <v>35</v>
      </c>
      <c r="G8605" t="s">
        <v>35</v>
      </c>
      <c r="H8605" t="s">
        <v>35</v>
      </c>
      <c r="J8605" t="s">
        <v>7747</v>
      </c>
      <c r="K8605" t="s">
        <v>1092</v>
      </c>
      <c r="M8605">
        <v>0.1</v>
      </c>
      <c r="N8605">
        <v>401</v>
      </c>
      <c r="O8605" t="s">
        <v>294</v>
      </c>
      <c r="Q8605" t="s">
        <v>1434</v>
      </c>
      <c r="R8605" t="s">
        <v>6742</v>
      </c>
      <c r="S8605" t="s">
        <v>1016</v>
      </c>
    </row>
    <row r="8606" spans="1:19" x14ac:dyDescent="0.25">
      <c r="A8606" t="s">
        <v>59</v>
      </c>
      <c r="B8606" t="s">
        <v>60</v>
      </c>
      <c r="C8606" t="s">
        <v>32</v>
      </c>
      <c r="D8606" t="s">
        <v>953</v>
      </c>
      <c r="E8606" t="s">
        <v>7740</v>
      </c>
      <c r="F8606" t="s">
        <v>35</v>
      </c>
      <c r="G8606" t="s">
        <v>35</v>
      </c>
      <c r="H8606" t="s">
        <v>35</v>
      </c>
      <c r="J8606" t="s">
        <v>7748</v>
      </c>
      <c r="K8606" t="s">
        <v>1092</v>
      </c>
      <c r="M8606">
        <v>1.64</v>
      </c>
      <c r="N8606">
        <v>93</v>
      </c>
      <c r="O8606" t="s">
        <v>106</v>
      </c>
      <c r="Q8606" t="s">
        <v>941</v>
      </c>
      <c r="R8606" t="s">
        <v>6742</v>
      </c>
      <c r="S8606" t="s">
        <v>1016</v>
      </c>
    </row>
    <row r="8607" spans="1:19" x14ac:dyDescent="0.25">
      <c r="A8607" t="s">
        <v>59</v>
      </c>
      <c r="B8607" t="s">
        <v>60</v>
      </c>
      <c r="C8607" t="s">
        <v>32</v>
      </c>
      <c r="D8607" t="s">
        <v>953</v>
      </c>
      <c r="E8607" t="s">
        <v>7740</v>
      </c>
      <c r="F8607" t="s">
        <v>35</v>
      </c>
      <c r="G8607" t="s">
        <v>35</v>
      </c>
      <c r="H8607" t="s">
        <v>35</v>
      </c>
      <c r="J8607" t="s">
        <v>7749</v>
      </c>
      <c r="K8607" t="s">
        <v>1092</v>
      </c>
      <c r="M8607">
        <v>1</v>
      </c>
      <c r="N8607">
        <v>143</v>
      </c>
      <c r="O8607" t="s">
        <v>38</v>
      </c>
      <c r="Q8607" t="s">
        <v>2121</v>
      </c>
      <c r="R8607" t="s">
        <v>133</v>
      </c>
      <c r="S8607" t="s">
        <v>134</v>
      </c>
    </row>
    <row r="8608" spans="1:19" x14ac:dyDescent="0.25">
      <c r="A8608" t="s">
        <v>30</v>
      </c>
      <c r="B8608" t="s">
        <v>31</v>
      </c>
      <c r="C8608" t="s">
        <v>32</v>
      </c>
      <c r="D8608" t="s">
        <v>953</v>
      </c>
      <c r="E8608" t="s">
        <v>7740</v>
      </c>
      <c r="F8608" t="s">
        <v>35</v>
      </c>
      <c r="G8608" t="s">
        <v>35</v>
      </c>
      <c r="H8608" t="s">
        <v>35</v>
      </c>
      <c r="J8608" t="s">
        <v>7749</v>
      </c>
      <c r="K8608" t="s">
        <v>1092</v>
      </c>
      <c r="M8608">
        <v>1.125</v>
      </c>
      <c r="N8608">
        <v>12</v>
      </c>
      <c r="O8608" t="s">
        <v>46</v>
      </c>
      <c r="Q8608" t="s">
        <v>1865</v>
      </c>
      <c r="R8608" t="s">
        <v>133</v>
      </c>
      <c r="S8608" t="s">
        <v>134</v>
      </c>
    </row>
    <row r="8609" spans="1:19" x14ac:dyDescent="0.25">
      <c r="A8609" t="s">
        <v>59</v>
      </c>
      <c r="B8609" t="s">
        <v>60</v>
      </c>
      <c r="C8609" t="s">
        <v>32</v>
      </c>
      <c r="D8609" t="s">
        <v>953</v>
      </c>
      <c r="E8609" t="s">
        <v>7740</v>
      </c>
      <c r="F8609" t="s">
        <v>35</v>
      </c>
      <c r="G8609" t="s">
        <v>35</v>
      </c>
      <c r="H8609" t="s">
        <v>35</v>
      </c>
      <c r="J8609" t="s">
        <v>7750</v>
      </c>
      <c r="K8609" t="s">
        <v>1092</v>
      </c>
      <c r="M8609">
        <v>2</v>
      </c>
      <c r="N8609">
        <v>63</v>
      </c>
      <c r="O8609" t="s">
        <v>61</v>
      </c>
      <c r="Q8609" t="s">
        <v>423</v>
      </c>
      <c r="R8609" t="s">
        <v>6877</v>
      </c>
      <c r="S8609" t="s">
        <v>1041</v>
      </c>
    </row>
    <row r="8610" spans="1:19" x14ac:dyDescent="0.25">
      <c r="A8610" t="s">
        <v>59</v>
      </c>
      <c r="B8610" t="s">
        <v>60</v>
      </c>
      <c r="C8610" t="s">
        <v>32</v>
      </c>
      <c r="D8610" t="s">
        <v>953</v>
      </c>
      <c r="E8610" t="s">
        <v>7740</v>
      </c>
      <c r="F8610" t="s">
        <v>35</v>
      </c>
      <c r="G8610" t="s">
        <v>35</v>
      </c>
      <c r="H8610" t="s">
        <v>35</v>
      </c>
      <c r="J8610" t="s">
        <v>7750</v>
      </c>
      <c r="K8610" t="s">
        <v>1092</v>
      </c>
      <c r="M8610">
        <v>3</v>
      </c>
      <c r="N8610">
        <v>91</v>
      </c>
      <c r="O8610" t="s">
        <v>106</v>
      </c>
      <c r="Q8610" t="s">
        <v>1147</v>
      </c>
      <c r="R8610" t="s">
        <v>6877</v>
      </c>
      <c r="S8610" t="s">
        <v>1041</v>
      </c>
    </row>
    <row r="8611" spans="1:19" x14ac:dyDescent="0.25">
      <c r="A8611" t="s">
        <v>30</v>
      </c>
      <c r="B8611" t="s">
        <v>31</v>
      </c>
      <c r="C8611" t="s">
        <v>32</v>
      </c>
      <c r="D8611" t="s">
        <v>953</v>
      </c>
      <c r="E8611" t="s">
        <v>7740</v>
      </c>
      <c r="F8611" t="s">
        <v>35</v>
      </c>
      <c r="G8611" t="s">
        <v>35</v>
      </c>
      <c r="H8611" t="s">
        <v>35</v>
      </c>
      <c r="J8611" t="s">
        <v>7751</v>
      </c>
      <c r="K8611" t="s">
        <v>1092</v>
      </c>
      <c r="M8611">
        <v>1.53</v>
      </c>
      <c r="N8611">
        <v>38</v>
      </c>
      <c r="O8611" t="s">
        <v>52</v>
      </c>
      <c r="Q8611" t="s">
        <v>748</v>
      </c>
      <c r="R8611" t="s">
        <v>133</v>
      </c>
      <c r="S8611" t="s">
        <v>134</v>
      </c>
    </row>
    <row r="8612" spans="1:19" x14ac:dyDescent="0.25">
      <c r="A8612" t="s">
        <v>59</v>
      </c>
      <c r="B8612" t="s">
        <v>60</v>
      </c>
      <c r="C8612" t="s">
        <v>32</v>
      </c>
      <c r="D8612" t="s">
        <v>953</v>
      </c>
      <c r="E8612" t="s">
        <v>7740</v>
      </c>
      <c r="F8612" t="s">
        <v>35</v>
      </c>
      <c r="G8612" t="s">
        <v>35</v>
      </c>
      <c r="H8612" t="s">
        <v>35</v>
      </c>
      <c r="J8612" t="s">
        <v>7752</v>
      </c>
      <c r="K8612" t="s">
        <v>1092</v>
      </c>
      <c r="M8612">
        <v>1</v>
      </c>
      <c r="N8612">
        <v>90</v>
      </c>
      <c r="O8612" t="s">
        <v>61</v>
      </c>
      <c r="Q8612" t="s">
        <v>897</v>
      </c>
      <c r="R8612" t="s">
        <v>133</v>
      </c>
      <c r="S8612" t="s">
        <v>134</v>
      </c>
    </row>
    <row r="8613" spans="1:19" x14ac:dyDescent="0.25">
      <c r="A8613" t="s">
        <v>30</v>
      </c>
      <c r="B8613" t="s">
        <v>31</v>
      </c>
      <c r="C8613" t="s">
        <v>32</v>
      </c>
      <c r="D8613" t="s">
        <v>953</v>
      </c>
      <c r="E8613" t="s">
        <v>7740</v>
      </c>
      <c r="F8613" t="s">
        <v>35</v>
      </c>
      <c r="G8613" t="s">
        <v>35</v>
      </c>
      <c r="H8613" t="s">
        <v>35</v>
      </c>
      <c r="J8613" t="s">
        <v>8266</v>
      </c>
      <c r="K8613" t="s">
        <v>1092</v>
      </c>
      <c r="M8613">
        <v>0.9</v>
      </c>
      <c r="N8613">
        <v>21</v>
      </c>
      <c r="O8613" t="s">
        <v>46</v>
      </c>
      <c r="Q8613" t="s">
        <v>1874</v>
      </c>
      <c r="R8613" t="s">
        <v>6720</v>
      </c>
      <c r="S8613" t="s">
        <v>961</v>
      </c>
    </row>
    <row r="8614" spans="1:19" x14ac:dyDescent="0.25">
      <c r="A8614" t="s">
        <v>59</v>
      </c>
      <c r="B8614" t="s">
        <v>60</v>
      </c>
      <c r="C8614" t="s">
        <v>32</v>
      </c>
      <c r="D8614" t="s">
        <v>953</v>
      </c>
      <c r="E8614" t="s">
        <v>7740</v>
      </c>
      <c r="F8614" t="s">
        <v>35</v>
      </c>
      <c r="G8614" t="s">
        <v>35</v>
      </c>
      <c r="H8614" t="s">
        <v>35</v>
      </c>
      <c r="J8614" t="s">
        <v>7753</v>
      </c>
      <c r="K8614" t="s">
        <v>1092</v>
      </c>
      <c r="M8614">
        <v>5</v>
      </c>
      <c r="N8614">
        <v>90</v>
      </c>
      <c r="O8614" t="s">
        <v>61</v>
      </c>
      <c r="Q8614" t="s">
        <v>897</v>
      </c>
      <c r="R8614" t="s">
        <v>133</v>
      </c>
      <c r="S8614" t="s">
        <v>134</v>
      </c>
    </row>
    <row r="8615" spans="1:19" x14ac:dyDescent="0.25">
      <c r="A8615" t="s">
        <v>59</v>
      </c>
      <c r="B8615" t="s">
        <v>31</v>
      </c>
      <c r="C8615" t="s">
        <v>32</v>
      </c>
      <c r="D8615" t="s">
        <v>953</v>
      </c>
      <c r="E8615" t="s">
        <v>7740</v>
      </c>
      <c r="F8615" t="s">
        <v>35</v>
      </c>
      <c r="G8615" t="s">
        <v>35</v>
      </c>
      <c r="H8615" t="s">
        <v>35</v>
      </c>
      <c r="J8615" t="s">
        <v>7753</v>
      </c>
      <c r="K8615" t="s">
        <v>1092</v>
      </c>
      <c r="M8615">
        <v>4.9950000000000001</v>
      </c>
      <c r="N8615">
        <v>60</v>
      </c>
      <c r="O8615" t="s">
        <v>52</v>
      </c>
      <c r="Q8615" t="s">
        <v>1734</v>
      </c>
      <c r="R8615" t="s">
        <v>133</v>
      </c>
      <c r="S8615" t="s">
        <v>134</v>
      </c>
    </row>
    <row r="8616" spans="1:19" x14ac:dyDescent="0.25">
      <c r="A8616" t="s">
        <v>44</v>
      </c>
      <c r="B8616" t="s">
        <v>3</v>
      </c>
      <c r="C8616" t="s">
        <v>32</v>
      </c>
      <c r="D8616" t="s">
        <v>953</v>
      </c>
      <c r="E8616" t="s">
        <v>7740</v>
      </c>
      <c r="F8616" t="s">
        <v>35</v>
      </c>
      <c r="G8616" t="s">
        <v>35</v>
      </c>
      <c r="H8616" t="s">
        <v>35</v>
      </c>
      <c r="J8616" t="s">
        <v>7753</v>
      </c>
      <c r="K8616" t="s">
        <v>1092</v>
      </c>
      <c r="M8616">
        <v>0.5</v>
      </c>
      <c r="N8616">
        <v>14</v>
      </c>
      <c r="O8616" t="s">
        <v>46</v>
      </c>
      <c r="Q8616" t="s">
        <v>2440</v>
      </c>
      <c r="R8616" t="s">
        <v>133</v>
      </c>
      <c r="S8616" t="s">
        <v>134</v>
      </c>
    </row>
    <row r="8617" spans="1:19" x14ac:dyDescent="0.25">
      <c r="A8617" t="s">
        <v>59</v>
      </c>
      <c r="B8617" t="s">
        <v>31</v>
      </c>
      <c r="C8617" t="s">
        <v>32</v>
      </c>
      <c r="D8617" t="s">
        <v>953</v>
      </c>
      <c r="E8617" t="s">
        <v>7740</v>
      </c>
      <c r="F8617" t="s">
        <v>35</v>
      </c>
      <c r="G8617" t="s">
        <v>35</v>
      </c>
      <c r="H8617" t="s">
        <v>35</v>
      </c>
      <c r="J8617" t="s">
        <v>7754</v>
      </c>
      <c r="K8617" t="s">
        <v>1092</v>
      </c>
      <c r="M8617">
        <v>1.17</v>
      </c>
      <c r="N8617">
        <v>93</v>
      </c>
      <c r="O8617" t="s">
        <v>106</v>
      </c>
      <c r="Q8617" t="s">
        <v>941</v>
      </c>
      <c r="R8617" t="s">
        <v>987</v>
      </c>
      <c r="S8617" t="s">
        <v>988</v>
      </c>
    </row>
    <row r="8618" spans="1:19" x14ac:dyDescent="0.25">
      <c r="A8618" t="s">
        <v>59</v>
      </c>
      <c r="B8618" t="s">
        <v>60</v>
      </c>
      <c r="C8618" t="s">
        <v>32</v>
      </c>
      <c r="D8618" t="s">
        <v>953</v>
      </c>
      <c r="E8618" t="s">
        <v>7740</v>
      </c>
      <c r="F8618" t="s">
        <v>35</v>
      </c>
      <c r="G8618" t="s">
        <v>35</v>
      </c>
      <c r="H8618" t="s">
        <v>35</v>
      </c>
      <c r="J8618" t="s">
        <v>7754</v>
      </c>
      <c r="K8618" t="s">
        <v>1092</v>
      </c>
      <c r="M8618">
        <v>0.65</v>
      </c>
      <c r="N8618">
        <v>93</v>
      </c>
      <c r="O8618" t="s">
        <v>106</v>
      </c>
      <c r="Q8618" t="s">
        <v>941</v>
      </c>
      <c r="R8618" t="s">
        <v>987</v>
      </c>
      <c r="S8618" t="s">
        <v>988</v>
      </c>
    </row>
    <row r="8619" spans="1:19" x14ac:dyDescent="0.25">
      <c r="A8619" t="s">
        <v>59</v>
      </c>
      <c r="B8619" t="s">
        <v>60</v>
      </c>
      <c r="C8619" t="s">
        <v>32</v>
      </c>
      <c r="D8619" t="s">
        <v>953</v>
      </c>
      <c r="E8619" t="s">
        <v>7740</v>
      </c>
      <c r="F8619" t="s">
        <v>35</v>
      </c>
      <c r="G8619" t="s">
        <v>35</v>
      </c>
      <c r="H8619" t="s">
        <v>35</v>
      </c>
      <c r="J8619" t="s">
        <v>7755</v>
      </c>
      <c r="K8619" t="s">
        <v>1092</v>
      </c>
      <c r="M8619">
        <v>0.45</v>
      </c>
      <c r="N8619">
        <v>284</v>
      </c>
      <c r="O8619" t="s">
        <v>5</v>
      </c>
      <c r="Q8619" t="s">
        <v>1220</v>
      </c>
      <c r="R8619" t="s">
        <v>133</v>
      </c>
      <c r="S8619" t="s">
        <v>134</v>
      </c>
    </row>
    <row r="8620" spans="1:19" x14ac:dyDescent="0.25">
      <c r="A8620" t="s">
        <v>30</v>
      </c>
      <c r="B8620" t="s">
        <v>31</v>
      </c>
      <c r="C8620" t="s">
        <v>32</v>
      </c>
      <c r="D8620" t="s">
        <v>953</v>
      </c>
      <c r="E8620" t="s">
        <v>7740</v>
      </c>
      <c r="F8620" t="s">
        <v>35</v>
      </c>
      <c r="G8620" t="s">
        <v>35</v>
      </c>
      <c r="H8620" t="s">
        <v>35</v>
      </c>
      <c r="J8620" t="s">
        <v>7755</v>
      </c>
      <c r="K8620" t="s">
        <v>1092</v>
      </c>
      <c r="M8620">
        <v>5.8049999999999997</v>
      </c>
      <c r="N8620">
        <v>47</v>
      </c>
      <c r="O8620" t="s">
        <v>52</v>
      </c>
      <c r="Q8620" t="s">
        <v>132</v>
      </c>
      <c r="R8620" t="s">
        <v>987</v>
      </c>
      <c r="S8620" t="s">
        <v>988</v>
      </c>
    </row>
    <row r="8621" spans="1:19" x14ac:dyDescent="0.25">
      <c r="A8621" t="s">
        <v>59</v>
      </c>
      <c r="B8621" t="s">
        <v>31</v>
      </c>
      <c r="C8621" t="s">
        <v>32</v>
      </c>
      <c r="D8621" t="s">
        <v>953</v>
      </c>
      <c r="E8621" t="s">
        <v>7740</v>
      </c>
      <c r="F8621" t="s">
        <v>35</v>
      </c>
      <c r="G8621" t="s">
        <v>35</v>
      </c>
      <c r="H8621" t="s">
        <v>35</v>
      </c>
      <c r="J8621" t="s">
        <v>7756</v>
      </c>
      <c r="K8621" t="s">
        <v>1092</v>
      </c>
      <c r="M8621">
        <v>1.8</v>
      </c>
      <c r="N8621">
        <v>91</v>
      </c>
      <c r="O8621" t="s">
        <v>106</v>
      </c>
      <c r="Q8621" t="s">
        <v>1147</v>
      </c>
      <c r="R8621" t="s">
        <v>133</v>
      </c>
      <c r="S8621" t="s">
        <v>134</v>
      </c>
    </row>
    <row r="8622" spans="1:19" x14ac:dyDescent="0.25">
      <c r="A8622" t="s">
        <v>59</v>
      </c>
      <c r="B8622" t="s">
        <v>60</v>
      </c>
      <c r="C8622" t="s">
        <v>32</v>
      </c>
      <c r="D8622" t="s">
        <v>953</v>
      </c>
      <c r="E8622" t="s">
        <v>7740</v>
      </c>
      <c r="F8622" t="s">
        <v>35</v>
      </c>
      <c r="G8622" t="s">
        <v>35</v>
      </c>
      <c r="H8622" t="s">
        <v>35</v>
      </c>
      <c r="J8622" t="s">
        <v>7756</v>
      </c>
      <c r="K8622" t="s">
        <v>1092</v>
      </c>
      <c r="M8622">
        <v>3.5</v>
      </c>
      <c r="N8622">
        <v>91</v>
      </c>
      <c r="O8622" t="s">
        <v>106</v>
      </c>
      <c r="Q8622" t="s">
        <v>1147</v>
      </c>
      <c r="R8622" t="s">
        <v>133</v>
      </c>
      <c r="S8622" t="s">
        <v>134</v>
      </c>
    </row>
    <row r="8623" spans="1:19" x14ac:dyDescent="0.25">
      <c r="A8623" t="s">
        <v>30</v>
      </c>
      <c r="B8623" t="s">
        <v>31</v>
      </c>
      <c r="C8623" t="s">
        <v>32</v>
      </c>
      <c r="D8623" t="s">
        <v>953</v>
      </c>
      <c r="E8623" t="s">
        <v>7740</v>
      </c>
      <c r="F8623" t="s">
        <v>35</v>
      </c>
      <c r="G8623" t="s">
        <v>35</v>
      </c>
      <c r="H8623" t="s">
        <v>35</v>
      </c>
      <c r="J8623" t="s">
        <v>7757</v>
      </c>
      <c r="K8623" t="s">
        <v>1092</v>
      </c>
      <c r="M8623">
        <v>1.8</v>
      </c>
      <c r="N8623">
        <v>12</v>
      </c>
      <c r="O8623" t="s">
        <v>46</v>
      </c>
      <c r="Q8623" t="s">
        <v>1865</v>
      </c>
      <c r="R8623" t="s">
        <v>133</v>
      </c>
      <c r="S8623" t="s">
        <v>134</v>
      </c>
    </row>
    <row r="8624" spans="1:19" x14ac:dyDescent="0.25">
      <c r="A8624" t="s">
        <v>59</v>
      </c>
      <c r="B8624" t="s">
        <v>60</v>
      </c>
      <c r="C8624" t="s">
        <v>32</v>
      </c>
      <c r="D8624" t="s">
        <v>953</v>
      </c>
      <c r="E8624" t="s">
        <v>7740</v>
      </c>
      <c r="F8624" t="s">
        <v>35</v>
      </c>
      <c r="G8624" t="s">
        <v>35</v>
      </c>
      <c r="H8624" t="s">
        <v>35</v>
      </c>
      <c r="J8624" t="s">
        <v>7757</v>
      </c>
      <c r="K8624" t="s">
        <v>1092</v>
      </c>
      <c r="M8624">
        <v>0.25</v>
      </c>
      <c r="N8624">
        <v>242</v>
      </c>
      <c r="O8624" t="s">
        <v>5</v>
      </c>
      <c r="Q8624" t="s">
        <v>2904</v>
      </c>
      <c r="R8624" t="s">
        <v>133</v>
      </c>
      <c r="S8624" t="s">
        <v>134</v>
      </c>
    </row>
    <row r="8625" spans="1:19" x14ac:dyDescent="0.25">
      <c r="A8625" t="s">
        <v>30</v>
      </c>
      <c r="B8625" t="s">
        <v>31</v>
      </c>
      <c r="C8625" t="s">
        <v>32</v>
      </c>
      <c r="D8625" t="s">
        <v>953</v>
      </c>
      <c r="E8625" t="s">
        <v>7740</v>
      </c>
      <c r="F8625" t="s">
        <v>35</v>
      </c>
      <c r="G8625" t="s">
        <v>35</v>
      </c>
      <c r="H8625" t="s">
        <v>35</v>
      </c>
      <c r="J8625" t="s">
        <v>7758</v>
      </c>
      <c r="K8625" t="s">
        <v>1092</v>
      </c>
      <c r="M8625">
        <v>0.76500000000000001</v>
      </c>
      <c r="N8625">
        <v>943</v>
      </c>
      <c r="O8625" t="s">
        <v>575</v>
      </c>
      <c r="Q8625" t="s">
        <v>7759</v>
      </c>
      <c r="R8625" t="s">
        <v>133</v>
      </c>
      <c r="S8625" t="s">
        <v>134</v>
      </c>
    </row>
    <row r="8626" spans="1:19" x14ac:dyDescent="0.25">
      <c r="A8626" t="s">
        <v>59</v>
      </c>
      <c r="B8626" t="s">
        <v>60</v>
      </c>
      <c r="C8626" t="s">
        <v>32</v>
      </c>
      <c r="D8626" t="s">
        <v>953</v>
      </c>
      <c r="E8626" t="s">
        <v>7740</v>
      </c>
      <c r="F8626" t="s">
        <v>35</v>
      </c>
      <c r="G8626" t="s">
        <v>35</v>
      </c>
      <c r="H8626" t="s">
        <v>35</v>
      </c>
      <c r="J8626" t="s">
        <v>3111</v>
      </c>
      <c r="K8626" t="s">
        <v>1092</v>
      </c>
      <c r="M8626">
        <v>0.2</v>
      </c>
      <c r="N8626">
        <v>90</v>
      </c>
      <c r="O8626" t="s">
        <v>61</v>
      </c>
      <c r="Q8626" t="s">
        <v>897</v>
      </c>
      <c r="R8626" t="s">
        <v>133</v>
      </c>
      <c r="S8626" t="s">
        <v>134</v>
      </c>
    </row>
    <row r="8627" spans="1:19" x14ac:dyDescent="0.25">
      <c r="A8627" t="s">
        <v>59</v>
      </c>
      <c r="B8627" t="s">
        <v>60</v>
      </c>
      <c r="C8627" t="s">
        <v>32</v>
      </c>
      <c r="D8627" t="s">
        <v>953</v>
      </c>
      <c r="E8627" t="s">
        <v>7740</v>
      </c>
      <c r="F8627" t="s">
        <v>35</v>
      </c>
      <c r="G8627" t="s">
        <v>35</v>
      </c>
      <c r="H8627" t="s">
        <v>35</v>
      </c>
      <c r="J8627" t="s">
        <v>7760</v>
      </c>
      <c r="K8627" t="s">
        <v>1092</v>
      </c>
      <c r="M8627">
        <v>0.55000000000000004</v>
      </c>
      <c r="N8627">
        <v>457</v>
      </c>
      <c r="O8627" t="s">
        <v>294</v>
      </c>
      <c r="Q8627" t="s">
        <v>2104</v>
      </c>
      <c r="R8627" t="s">
        <v>6707</v>
      </c>
      <c r="S8627" t="s">
        <v>955</v>
      </c>
    </row>
    <row r="8628" spans="1:19" x14ac:dyDescent="0.25">
      <c r="A8628" t="s">
        <v>44</v>
      </c>
      <c r="B8628" t="s">
        <v>51</v>
      </c>
      <c r="C8628" t="s">
        <v>32</v>
      </c>
      <c r="D8628" t="s">
        <v>953</v>
      </c>
      <c r="E8628" t="s">
        <v>7740</v>
      </c>
      <c r="F8628" t="s">
        <v>35</v>
      </c>
      <c r="G8628" t="s">
        <v>35</v>
      </c>
      <c r="H8628" t="s">
        <v>35</v>
      </c>
      <c r="J8628" t="s">
        <v>7761</v>
      </c>
      <c r="K8628" t="s">
        <v>1092</v>
      </c>
      <c r="M8628">
        <v>0.05</v>
      </c>
      <c r="N8628">
        <v>167</v>
      </c>
      <c r="O8628" t="s">
        <v>38</v>
      </c>
      <c r="Q8628" t="s">
        <v>1120</v>
      </c>
      <c r="R8628" t="s">
        <v>6720</v>
      </c>
      <c r="S8628" t="s">
        <v>961</v>
      </c>
    </row>
    <row r="8629" spans="1:19" x14ac:dyDescent="0.25">
      <c r="A8629" t="s">
        <v>30</v>
      </c>
      <c r="B8629" t="s">
        <v>31</v>
      </c>
      <c r="C8629" t="s">
        <v>32</v>
      </c>
      <c r="D8629" t="s">
        <v>953</v>
      </c>
      <c r="E8629" t="s">
        <v>7740</v>
      </c>
      <c r="F8629" t="s">
        <v>35</v>
      </c>
      <c r="G8629" t="s">
        <v>35</v>
      </c>
      <c r="H8629" t="s">
        <v>35</v>
      </c>
      <c r="J8629" t="s">
        <v>7761</v>
      </c>
      <c r="K8629" t="s">
        <v>1092</v>
      </c>
      <c r="M8629">
        <v>2.34</v>
      </c>
      <c r="N8629">
        <v>21</v>
      </c>
      <c r="O8629" t="s">
        <v>46</v>
      </c>
      <c r="Q8629" t="s">
        <v>1874</v>
      </c>
      <c r="R8629" t="s">
        <v>6720</v>
      </c>
      <c r="S8629" t="s">
        <v>961</v>
      </c>
    </row>
    <row r="8630" spans="1:19" x14ac:dyDescent="0.25">
      <c r="A8630" t="s">
        <v>59</v>
      </c>
      <c r="B8630" t="s">
        <v>60</v>
      </c>
      <c r="C8630" t="s">
        <v>32</v>
      </c>
      <c r="D8630" t="s">
        <v>953</v>
      </c>
      <c r="E8630" t="s">
        <v>7740</v>
      </c>
      <c r="F8630" t="s">
        <v>35</v>
      </c>
      <c r="G8630" t="s">
        <v>35</v>
      </c>
      <c r="H8630" t="s">
        <v>35</v>
      </c>
      <c r="J8630" t="s">
        <v>7761</v>
      </c>
      <c r="K8630" t="s">
        <v>1092</v>
      </c>
      <c r="M8630">
        <v>0.1</v>
      </c>
      <c r="N8630">
        <v>285</v>
      </c>
      <c r="O8630" t="s">
        <v>5</v>
      </c>
      <c r="Q8630" t="s">
        <v>1687</v>
      </c>
      <c r="R8630" t="s">
        <v>6720</v>
      </c>
      <c r="S8630" t="s">
        <v>961</v>
      </c>
    </row>
    <row r="8631" spans="1:19" x14ac:dyDescent="0.25">
      <c r="A8631" t="s">
        <v>59</v>
      </c>
      <c r="B8631" t="s">
        <v>60</v>
      </c>
      <c r="C8631" t="s">
        <v>32</v>
      </c>
      <c r="D8631" t="s">
        <v>953</v>
      </c>
      <c r="E8631" t="s">
        <v>7740</v>
      </c>
      <c r="F8631" t="s">
        <v>35</v>
      </c>
      <c r="G8631" t="s">
        <v>35</v>
      </c>
      <c r="H8631" t="s">
        <v>35</v>
      </c>
      <c r="J8631" t="s">
        <v>7761</v>
      </c>
      <c r="K8631" t="s">
        <v>1092</v>
      </c>
      <c r="M8631">
        <v>0.25</v>
      </c>
      <c r="N8631">
        <v>167</v>
      </c>
      <c r="O8631" t="s">
        <v>38</v>
      </c>
      <c r="Q8631" t="s">
        <v>1120</v>
      </c>
      <c r="R8631" t="s">
        <v>6720</v>
      </c>
      <c r="S8631" t="s">
        <v>961</v>
      </c>
    </row>
    <row r="8632" spans="1:19" x14ac:dyDescent="0.25">
      <c r="A8632" t="s">
        <v>59</v>
      </c>
      <c r="B8632" t="s">
        <v>60</v>
      </c>
      <c r="C8632" t="s">
        <v>32</v>
      </c>
      <c r="D8632" t="s">
        <v>953</v>
      </c>
      <c r="E8632" t="s">
        <v>7740</v>
      </c>
      <c r="F8632" t="s">
        <v>35</v>
      </c>
      <c r="G8632" t="s">
        <v>35</v>
      </c>
      <c r="H8632" t="s">
        <v>35</v>
      </c>
      <c r="J8632" t="s">
        <v>7762</v>
      </c>
      <c r="K8632" t="s">
        <v>1092</v>
      </c>
      <c r="M8632">
        <v>0.25</v>
      </c>
      <c r="N8632">
        <v>46</v>
      </c>
      <c r="O8632" t="s">
        <v>52</v>
      </c>
      <c r="Q8632" t="s">
        <v>493</v>
      </c>
      <c r="R8632" t="s">
        <v>6720</v>
      </c>
      <c r="S8632" t="s">
        <v>961</v>
      </c>
    </row>
    <row r="8633" spans="1:19" x14ac:dyDescent="0.25">
      <c r="A8633" t="s">
        <v>30</v>
      </c>
      <c r="B8633" t="s">
        <v>31</v>
      </c>
      <c r="C8633" t="s">
        <v>32</v>
      </c>
      <c r="D8633" t="s">
        <v>953</v>
      </c>
      <c r="E8633" t="s">
        <v>7740</v>
      </c>
      <c r="F8633" t="s">
        <v>35</v>
      </c>
      <c r="G8633" t="s">
        <v>35</v>
      </c>
      <c r="H8633" t="s">
        <v>35</v>
      </c>
      <c r="J8633" t="s">
        <v>7762</v>
      </c>
      <c r="K8633" t="s">
        <v>1092</v>
      </c>
      <c r="M8633">
        <v>1.17</v>
      </c>
      <c r="N8633">
        <v>21</v>
      </c>
      <c r="O8633" t="s">
        <v>46</v>
      </c>
      <c r="Q8633" t="s">
        <v>1874</v>
      </c>
      <c r="R8633" t="s">
        <v>6720</v>
      </c>
      <c r="S8633" t="s">
        <v>961</v>
      </c>
    </row>
    <row r="8634" spans="1:19" x14ac:dyDescent="0.25">
      <c r="A8634" t="s">
        <v>44</v>
      </c>
      <c r="B8634" t="s">
        <v>51</v>
      </c>
      <c r="C8634" t="s">
        <v>32</v>
      </c>
      <c r="D8634" t="s">
        <v>953</v>
      </c>
      <c r="E8634" t="s">
        <v>7740</v>
      </c>
      <c r="F8634" t="s">
        <v>35</v>
      </c>
      <c r="G8634" t="s">
        <v>35</v>
      </c>
      <c r="H8634" t="s">
        <v>35</v>
      </c>
      <c r="J8634" t="s">
        <v>7762</v>
      </c>
      <c r="K8634" t="s">
        <v>1092</v>
      </c>
      <c r="M8634">
        <v>0.85</v>
      </c>
      <c r="N8634">
        <v>11</v>
      </c>
      <c r="O8634" t="s">
        <v>46</v>
      </c>
      <c r="Q8634" t="s">
        <v>1053</v>
      </c>
      <c r="R8634" t="s">
        <v>6720</v>
      </c>
      <c r="S8634" t="s">
        <v>961</v>
      </c>
    </row>
    <row r="8635" spans="1:19" x14ac:dyDescent="0.25">
      <c r="A8635" t="s">
        <v>30</v>
      </c>
      <c r="B8635" t="s">
        <v>31</v>
      </c>
      <c r="C8635" t="s">
        <v>32</v>
      </c>
      <c r="D8635" t="s">
        <v>953</v>
      </c>
      <c r="E8635" t="s">
        <v>7740</v>
      </c>
      <c r="F8635" t="s">
        <v>35</v>
      </c>
      <c r="G8635" t="s">
        <v>35</v>
      </c>
      <c r="H8635" t="s">
        <v>35</v>
      </c>
      <c r="J8635" t="s">
        <v>8267</v>
      </c>
      <c r="K8635" t="s">
        <v>1092</v>
      </c>
      <c r="M8635">
        <v>0.76500000000000001</v>
      </c>
      <c r="N8635">
        <v>10</v>
      </c>
      <c r="O8635" t="s">
        <v>46</v>
      </c>
      <c r="Q8635" t="s">
        <v>1676</v>
      </c>
      <c r="R8635" t="s">
        <v>133</v>
      </c>
      <c r="S8635" t="s">
        <v>134</v>
      </c>
    </row>
    <row r="8636" spans="1:19" x14ac:dyDescent="0.25">
      <c r="A8636" t="s">
        <v>44</v>
      </c>
      <c r="B8636" t="s">
        <v>3</v>
      </c>
      <c r="C8636" t="s">
        <v>32</v>
      </c>
      <c r="D8636" t="s">
        <v>953</v>
      </c>
      <c r="E8636" t="s">
        <v>7740</v>
      </c>
      <c r="F8636" t="s">
        <v>35</v>
      </c>
      <c r="G8636" t="s">
        <v>35</v>
      </c>
      <c r="H8636" t="s">
        <v>35</v>
      </c>
      <c r="J8636" t="s">
        <v>7763</v>
      </c>
      <c r="K8636" t="s">
        <v>1092</v>
      </c>
      <c r="M8636">
        <v>0.35</v>
      </c>
      <c r="N8636">
        <v>60</v>
      </c>
      <c r="O8636" t="s">
        <v>52</v>
      </c>
      <c r="Q8636" t="s">
        <v>1734</v>
      </c>
      <c r="R8636" t="s">
        <v>133</v>
      </c>
      <c r="S8636" t="s">
        <v>134</v>
      </c>
    </row>
    <row r="8637" spans="1:19" x14ac:dyDescent="0.25">
      <c r="A8637" t="s">
        <v>59</v>
      </c>
      <c r="B8637" t="s">
        <v>60</v>
      </c>
      <c r="C8637" t="s">
        <v>32</v>
      </c>
      <c r="D8637" t="s">
        <v>953</v>
      </c>
      <c r="E8637" t="s">
        <v>7740</v>
      </c>
      <c r="F8637" t="s">
        <v>35</v>
      </c>
      <c r="G8637" t="s">
        <v>35</v>
      </c>
      <c r="H8637" t="s">
        <v>35</v>
      </c>
      <c r="J8637" t="s">
        <v>7763</v>
      </c>
      <c r="K8637" t="s">
        <v>1092</v>
      </c>
      <c r="M8637">
        <v>5</v>
      </c>
      <c r="N8637">
        <v>90</v>
      </c>
      <c r="O8637" t="s">
        <v>61</v>
      </c>
      <c r="Q8637" t="s">
        <v>897</v>
      </c>
      <c r="R8637" t="s">
        <v>6742</v>
      </c>
      <c r="S8637" t="s">
        <v>1016</v>
      </c>
    </row>
    <row r="8638" spans="1:19" x14ac:dyDescent="0.25">
      <c r="A8638" t="s">
        <v>59</v>
      </c>
      <c r="B8638" t="s">
        <v>60</v>
      </c>
      <c r="C8638" t="s">
        <v>32</v>
      </c>
      <c r="D8638" t="s">
        <v>953</v>
      </c>
      <c r="E8638" t="s">
        <v>7740</v>
      </c>
      <c r="F8638" t="s">
        <v>35</v>
      </c>
      <c r="G8638" t="s">
        <v>35</v>
      </c>
      <c r="H8638" t="s">
        <v>35</v>
      </c>
      <c r="J8638" t="s">
        <v>7764</v>
      </c>
      <c r="K8638" t="s">
        <v>1092</v>
      </c>
      <c r="M8638">
        <v>1</v>
      </c>
      <c r="N8638">
        <v>76</v>
      </c>
      <c r="O8638" t="s">
        <v>61</v>
      </c>
      <c r="Q8638" t="s">
        <v>234</v>
      </c>
      <c r="R8638" t="s">
        <v>133</v>
      </c>
      <c r="S8638" t="s">
        <v>134</v>
      </c>
    </row>
    <row r="8639" spans="1:19" x14ac:dyDescent="0.25">
      <c r="A8639" t="s">
        <v>30</v>
      </c>
      <c r="B8639" t="s">
        <v>31</v>
      </c>
      <c r="C8639" t="s">
        <v>32</v>
      </c>
      <c r="D8639" t="s">
        <v>953</v>
      </c>
      <c r="E8639" t="s">
        <v>7740</v>
      </c>
      <c r="F8639" t="s">
        <v>35</v>
      </c>
      <c r="G8639" t="s">
        <v>35</v>
      </c>
      <c r="H8639" t="s">
        <v>35</v>
      </c>
      <c r="J8639" t="s">
        <v>7765</v>
      </c>
      <c r="K8639" t="s">
        <v>1092</v>
      </c>
      <c r="M8639">
        <v>0.36</v>
      </c>
      <c r="N8639">
        <v>12</v>
      </c>
      <c r="O8639" t="s">
        <v>46</v>
      </c>
      <c r="Q8639" t="s">
        <v>1865</v>
      </c>
      <c r="R8639" t="s">
        <v>133</v>
      </c>
      <c r="S8639" t="s">
        <v>134</v>
      </c>
    </row>
    <row r="8640" spans="1:19" x14ac:dyDescent="0.25">
      <c r="A8640" t="s">
        <v>30</v>
      </c>
      <c r="B8640" t="s">
        <v>31</v>
      </c>
      <c r="C8640" t="s">
        <v>32</v>
      </c>
      <c r="D8640" t="s">
        <v>953</v>
      </c>
      <c r="E8640" t="s">
        <v>7740</v>
      </c>
      <c r="F8640" t="s">
        <v>35</v>
      </c>
      <c r="G8640" t="s">
        <v>35</v>
      </c>
      <c r="H8640" t="s">
        <v>35</v>
      </c>
      <c r="J8640" t="s">
        <v>7766</v>
      </c>
      <c r="K8640" t="s">
        <v>1092</v>
      </c>
      <c r="M8640">
        <v>0.76500000000000001</v>
      </c>
      <c r="N8640">
        <v>200</v>
      </c>
      <c r="O8640" t="s">
        <v>5</v>
      </c>
      <c r="Q8640" t="s">
        <v>3691</v>
      </c>
      <c r="R8640" t="s">
        <v>133</v>
      </c>
      <c r="S8640" t="s">
        <v>134</v>
      </c>
    </row>
    <row r="8641" spans="1:19" x14ac:dyDescent="0.25">
      <c r="A8641" t="s">
        <v>30</v>
      </c>
      <c r="B8641" t="s">
        <v>31</v>
      </c>
      <c r="C8641" t="s">
        <v>32</v>
      </c>
      <c r="D8641" t="s">
        <v>953</v>
      </c>
      <c r="E8641" t="s">
        <v>7740</v>
      </c>
      <c r="F8641" t="s">
        <v>35</v>
      </c>
      <c r="G8641" t="s">
        <v>35</v>
      </c>
      <c r="H8641" t="s">
        <v>35</v>
      </c>
      <c r="J8641" t="s">
        <v>7766</v>
      </c>
      <c r="K8641" t="s">
        <v>1092</v>
      </c>
      <c r="M8641">
        <v>1.2150000000000001</v>
      </c>
      <c r="N8641">
        <v>12</v>
      </c>
      <c r="O8641" t="s">
        <v>46</v>
      </c>
      <c r="Q8641" t="s">
        <v>1865</v>
      </c>
      <c r="R8641" t="s">
        <v>133</v>
      </c>
      <c r="S8641" t="s">
        <v>134</v>
      </c>
    </row>
    <row r="8642" spans="1:19" x14ac:dyDescent="0.25">
      <c r="A8642" t="s">
        <v>59</v>
      </c>
      <c r="B8642" t="s">
        <v>31</v>
      </c>
      <c r="C8642" t="s">
        <v>32</v>
      </c>
      <c r="D8642" t="s">
        <v>953</v>
      </c>
      <c r="E8642" t="s">
        <v>7740</v>
      </c>
      <c r="F8642" t="s">
        <v>35</v>
      </c>
      <c r="G8642" t="s">
        <v>35</v>
      </c>
      <c r="H8642" t="s">
        <v>35</v>
      </c>
      <c r="J8642" t="s">
        <v>7766</v>
      </c>
      <c r="K8642" t="s">
        <v>1092</v>
      </c>
      <c r="M8642">
        <v>0.99</v>
      </c>
      <c r="N8642">
        <v>143</v>
      </c>
      <c r="O8642" t="s">
        <v>38</v>
      </c>
      <c r="Q8642" t="s">
        <v>2121</v>
      </c>
      <c r="R8642" t="s">
        <v>133</v>
      </c>
      <c r="S8642" t="s">
        <v>134</v>
      </c>
    </row>
    <row r="8643" spans="1:19" x14ac:dyDescent="0.25">
      <c r="A8643" t="s">
        <v>59</v>
      </c>
      <c r="B8643" t="s">
        <v>60</v>
      </c>
      <c r="C8643" t="s">
        <v>32</v>
      </c>
      <c r="D8643" t="s">
        <v>953</v>
      </c>
      <c r="E8643" t="s">
        <v>7740</v>
      </c>
      <c r="F8643" t="s">
        <v>35</v>
      </c>
      <c r="G8643" t="s">
        <v>35</v>
      </c>
      <c r="H8643" t="s">
        <v>35</v>
      </c>
      <c r="J8643" t="s">
        <v>7767</v>
      </c>
      <c r="K8643" t="s">
        <v>1092</v>
      </c>
      <c r="M8643">
        <v>0.5</v>
      </c>
      <c r="N8643">
        <v>122</v>
      </c>
      <c r="O8643" t="s">
        <v>38</v>
      </c>
      <c r="Q8643" t="s">
        <v>3430</v>
      </c>
      <c r="R8643" t="s">
        <v>133</v>
      </c>
      <c r="S8643" t="s">
        <v>134</v>
      </c>
    </row>
    <row r="8644" spans="1:19" x14ac:dyDescent="0.25">
      <c r="A8644" t="s">
        <v>44</v>
      </c>
      <c r="B8644" t="s">
        <v>3</v>
      </c>
      <c r="C8644" t="s">
        <v>32</v>
      </c>
      <c r="D8644" t="s">
        <v>953</v>
      </c>
      <c r="E8644" t="s">
        <v>7740</v>
      </c>
      <c r="F8644" t="s">
        <v>35</v>
      </c>
      <c r="G8644" t="s">
        <v>35</v>
      </c>
      <c r="H8644" t="s">
        <v>35</v>
      </c>
      <c r="J8644" t="s">
        <v>7768</v>
      </c>
      <c r="K8644" t="s">
        <v>1092</v>
      </c>
      <c r="M8644">
        <v>0.85</v>
      </c>
      <c r="N8644">
        <v>65</v>
      </c>
      <c r="O8644" t="s">
        <v>61</v>
      </c>
      <c r="Q8644" t="s">
        <v>128</v>
      </c>
      <c r="R8644" t="s">
        <v>6847</v>
      </c>
      <c r="S8644" t="s">
        <v>1034</v>
      </c>
    </row>
    <row r="8645" spans="1:19" x14ac:dyDescent="0.25">
      <c r="A8645" t="s">
        <v>44</v>
      </c>
      <c r="B8645" t="s">
        <v>3</v>
      </c>
      <c r="C8645" t="s">
        <v>32</v>
      </c>
      <c r="D8645" t="s">
        <v>953</v>
      </c>
      <c r="E8645" t="s">
        <v>1084</v>
      </c>
      <c r="F8645" t="s">
        <v>35</v>
      </c>
      <c r="G8645" t="s">
        <v>35</v>
      </c>
      <c r="H8645" t="s">
        <v>35</v>
      </c>
      <c r="J8645" t="s">
        <v>7769</v>
      </c>
      <c r="K8645" t="s">
        <v>1092</v>
      </c>
      <c r="M8645">
        <v>9.0500000000000007</v>
      </c>
      <c r="N8645">
        <v>161</v>
      </c>
      <c r="O8645" t="s">
        <v>38</v>
      </c>
      <c r="Q8645" t="s">
        <v>2639</v>
      </c>
      <c r="R8645" t="s">
        <v>6891</v>
      </c>
      <c r="S8645" t="s">
        <v>1085</v>
      </c>
    </row>
    <row r="8646" spans="1:19" x14ac:dyDescent="0.25">
      <c r="A8646" t="s">
        <v>44</v>
      </c>
      <c r="B8646" t="s">
        <v>51</v>
      </c>
      <c r="C8646" t="s">
        <v>32</v>
      </c>
      <c r="D8646" t="s">
        <v>953</v>
      </c>
      <c r="E8646" t="s">
        <v>1084</v>
      </c>
      <c r="F8646" t="s">
        <v>35</v>
      </c>
      <c r="G8646" t="s">
        <v>35</v>
      </c>
      <c r="H8646" t="s">
        <v>35</v>
      </c>
      <c r="J8646" t="s">
        <v>7769</v>
      </c>
      <c r="K8646" t="s">
        <v>1092</v>
      </c>
      <c r="M8646">
        <v>11.75</v>
      </c>
      <c r="N8646">
        <v>161</v>
      </c>
      <c r="O8646" t="s">
        <v>38</v>
      </c>
      <c r="Q8646" t="s">
        <v>2639</v>
      </c>
      <c r="R8646" t="s">
        <v>6891</v>
      </c>
      <c r="S8646" t="s">
        <v>1085</v>
      </c>
    </row>
    <row r="8647" spans="1:19" x14ac:dyDescent="0.25">
      <c r="A8647" t="s">
        <v>59</v>
      </c>
      <c r="B8647" t="s">
        <v>60</v>
      </c>
      <c r="C8647" t="s">
        <v>32</v>
      </c>
      <c r="D8647" t="s">
        <v>953</v>
      </c>
      <c r="E8647" t="s">
        <v>1084</v>
      </c>
      <c r="F8647" t="s">
        <v>35</v>
      </c>
      <c r="G8647" t="s">
        <v>35</v>
      </c>
      <c r="H8647" t="s">
        <v>35</v>
      </c>
      <c r="J8647" t="s">
        <v>7770</v>
      </c>
      <c r="K8647" t="s">
        <v>1092</v>
      </c>
      <c r="M8647">
        <v>4.3</v>
      </c>
      <c r="N8647">
        <v>175</v>
      </c>
      <c r="O8647" t="s">
        <v>38</v>
      </c>
      <c r="Q8647" t="s">
        <v>1692</v>
      </c>
      <c r="R8647" t="s">
        <v>133</v>
      </c>
      <c r="S8647" t="s">
        <v>134</v>
      </c>
    </row>
    <row r="8648" spans="1:19" x14ac:dyDescent="0.25">
      <c r="A8648" t="s">
        <v>44</v>
      </c>
      <c r="B8648" t="s">
        <v>3</v>
      </c>
      <c r="C8648" t="s">
        <v>32</v>
      </c>
      <c r="D8648" t="s">
        <v>953</v>
      </c>
      <c r="E8648" t="s">
        <v>1084</v>
      </c>
      <c r="F8648" t="s">
        <v>35</v>
      </c>
      <c r="G8648" t="s">
        <v>35</v>
      </c>
      <c r="H8648" t="s">
        <v>35</v>
      </c>
      <c r="J8648" t="s">
        <v>7771</v>
      </c>
      <c r="K8648" t="s">
        <v>1092</v>
      </c>
      <c r="M8648">
        <v>9.3000000000000007</v>
      </c>
      <c r="N8648">
        <v>68</v>
      </c>
      <c r="O8648" t="s">
        <v>61</v>
      </c>
      <c r="Q8648" t="s">
        <v>146</v>
      </c>
      <c r="R8648" t="s">
        <v>6899</v>
      </c>
      <c r="S8648" t="s">
        <v>6900</v>
      </c>
    </row>
    <row r="8649" spans="1:19" x14ac:dyDescent="0.25">
      <c r="A8649" t="s">
        <v>59</v>
      </c>
      <c r="B8649" t="s">
        <v>31</v>
      </c>
      <c r="C8649" t="s">
        <v>32</v>
      </c>
      <c r="D8649" t="s">
        <v>953</v>
      </c>
      <c r="E8649" t="s">
        <v>1084</v>
      </c>
      <c r="F8649" t="s">
        <v>35</v>
      </c>
      <c r="G8649" t="s">
        <v>35</v>
      </c>
      <c r="H8649" t="s">
        <v>35</v>
      </c>
      <c r="J8649" t="s">
        <v>7771</v>
      </c>
      <c r="K8649" t="s">
        <v>1092</v>
      </c>
      <c r="M8649">
        <v>4.2750000000000004</v>
      </c>
      <c r="N8649">
        <v>61</v>
      </c>
      <c r="O8649" t="s">
        <v>61</v>
      </c>
      <c r="Q8649" t="s">
        <v>671</v>
      </c>
      <c r="R8649" t="s">
        <v>6899</v>
      </c>
      <c r="S8649" t="s">
        <v>6900</v>
      </c>
    </row>
    <row r="8650" spans="1:19" x14ac:dyDescent="0.25">
      <c r="A8650" t="s">
        <v>30</v>
      </c>
      <c r="B8650" t="s">
        <v>31</v>
      </c>
      <c r="C8650" t="s">
        <v>32</v>
      </c>
      <c r="D8650" t="s">
        <v>953</v>
      </c>
      <c r="E8650" t="s">
        <v>1084</v>
      </c>
      <c r="F8650" t="s">
        <v>35</v>
      </c>
      <c r="G8650" t="s">
        <v>35</v>
      </c>
      <c r="H8650" t="s">
        <v>35</v>
      </c>
      <c r="J8650" t="s">
        <v>7772</v>
      </c>
      <c r="K8650" t="s">
        <v>1092</v>
      </c>
      <c r="M8650">
        <v>0.18</v>
      </c>
      <c r="N8650">
        <v>294</v>
      </c>
      <c r="O8650" t="s">
        <v>5</v>
      </c>
      <c r="Q8650" t="s">
        <v>1418</v>
      </c>
      <c r="R8650" t="s">
        <v>7613</v>
      </c>
      <c r="S8650" t="s">
        <v>7614</v>
      </c>
    </row>
    <row r="8651" spans="1:19" x14ac:dyDescent="0.25">
      <c r="A8651" t="s">
        <v>30</v>
      </c>
      <c r="B8651" t="s">
        <v>31</v>
      </c>
      <c r="C8651" t="s">
        <v>32</v>
      </c>
      <c r="D8651" t="s">
        <v>953</v>
      </c>
      <c r="E8651" t="s">
        <v>1084</v>
      </c>
      <c r="F8651" t="s">
        <v>35</v>
      </c>
      <c r="G8651" t="s">
        <v>35</v>
      </c>
      <c r="H8651" t="s">
        <v>35</v>
      </c>
      <c r="J8651" t="s">
        <v>7773</v>
      </c>
      <c r="K8651" t="s">
        <v>1092</v>
      </c>
      <c r="M8651">
        <v>1.35</v>
      </c>
      <c r="N8651">
        <v>18</v>
      </c>
      <c r="O8651" t="s">
        <v>46</v>
      </c>
      <c r="Q8651" t="s">
        <v>1476</v>
      </c>
      <c r="R8651" t="s">
        <v>6891</v>
      </c>
      <c r="S8651" t="s">
        <v>1085</v>
      </c>
    </row>
    <row r="8652" spans="1:19" x14ac:dyDescent="0.25">
      <c r="A8652" t="s">
        <v>59</v>
      </c>
      <c r="B8652" t="s">
        <v>60</v>
      </c>
      <c r="C8652" t="s">
        <v>32</v>
      </c>
      <c r="D8652" t="s">
        <v>953</v>
      </c>
      <c r="E8652" t="s">
        <v>1084</v>
      </c>
      <c r="F8652" t="s">
        <v>35</v>
      </c>
      <c r="G8652" t="s">
        <v>35</v>
      </c>
      <c r="H8652" t="s">
        <v>35</v>
      </c>
      <c r="J8652" t="s">
        <v>7774</v>
      </c>
      <c r="K8652" t="s">
        <v>1092</v>
      </c>
      <c r="M8652">
        <v>0.5</v>
      </c>
      <c r="N8652">
        <v>56</v>
      </c>
      <c r="O8652" t="s">
        <v>52</v>
      </c>
      <c r="Q8652" t="s">
        <v>453</v>
      </c>
      <c r="R8652" t="s">
        <v>6891</v>
      </c>
      <c r="S8652" t="s">
        <v>1085</v>
      </c>
    </row>
    <row r="8653" spans="1:19" x14ac:dyDescent="0.25">
      <c r="A8653" t="s">
        <v>59</v>
      </c>
      <c r="B8653" t="s">
        <v>60</v>
      </c>
      <c r="C8653" t="s">
        <v>32</v>
      </c>
      <c r="D8653" t="s">
        <v>953</v>
      </c>
      <c r="E8653" t="s">
        <v>1084</v>
      </c>
      <c r="F8653" t="s">
        <v>35</v>
      </c>
      <c r="G8653" t="s">
        <v>35</v>
      </c>
      <c r="H8653" t="s">
        <v>35</v>
      </c>
      <c r="J8653" t="s">
        <v>7774</v>
      </c>
      <c r="K8653" t="s">
        <v>1092</v>
      </c>
      <c r="M8653">
        <v>0.7</v>
      </c>
      <c r="N8653">
        <v>68</v>
      </c>
      <c r="O8653" t="s">
        <v>61</v>
      </c>
      <c r="Q8653" t="s">
        <v>146</v>
      </c>
      <c r="R8653" t="s">
        <v>6891</v>
      </c>
      <c r="S8653" t="s">
        <v>1085</v>
      </c>
    </row>
    <row r="8654" spans="1:19" x14ac:dyDescent="0.25">
      <c r="A8654" t="s">
        <v>30</v>
      </c>
      <c r="B8654" t="s">
        <v>31</v>
      </c>
      <c r="C8654" t="s">
        <v>32</v>
      </c>
      <c r="D8654" t="s">
        <v>953</v>
      </c>
      <c r="E8654" t="s">
        <v>1084</v>
      </c>
      <c r="F8654" t="s">
        <v>35</v>
      </c>
      <c r="G8654" t="s">
        <v>35</v>
      </c>
      <c r="H8654" t="s">
        <v>35</v>
      </c>
      <c r="J8654" t="s">
        <v>7775</v>
      </c>
      <c r="K8654" t="s">
        <v>1092</v>
      </c>
      <c r="M8654">
        <v>0.45</v>
      </c>
      <c r="N8654">
        <v>4</v>
      </c>
      <c r="O8654" t="s">
        <v>46</v>
      </c>
      <c r="Q8654" t="s">
        <v>8230</v>
      </c>
      <c r="R8654" t="s">
        <v>6891</v>
      </c>
      <c r="S8654" t="s">
        <v>1085</v>
      </c>
    </row>
    <row r="8655" spans="1:19" x14ac:dyDescent="0.25">
      <c r="A8655" t="s">
        <v>59</v>
      </c>
      <c r="B8655" t="s">
        <v>31</v>
      </c>
      <c r="C8655" t="s">
        <v>32</v>
      </c>
      <c r="D8655" t="s">
        <v>953</v>
      </c>
      <c r="E8655" t="s">
        <v>1084</v>
      </c>
      <c r="F8655" t="s">
        <v>35</v>
      </c>
      <c r="G8655" t="s">
        <v>35</v>
      </c>
      <c r="H8655" t="s">
        <v>35</v>
      </c>
      <c r="J8655" t="s">
        <v>7775</v>
      </c>
      <c r="K8655" t="s">
        <v>1092</v>
      </c>
      <c r="M8655">
        <v>0.18</v>
      </c>
      <c r="N8655">
        <v>89</v>
      </c>
      <c r="O8655" t="s">
        <v>61</v>
      </c>
      <c r="Q8655" t="s">
        <v>299</v>
      </c>
      <c r="R8655" t="s">
        <v>6891</v>
      </c>
      <c r="S8655" t="s">
        <v>1085</v>
      </c>
    </row>
    <row r="8656" spans="1:19" x14ac:dyDescent="0.25">
      <c r="A8656" t="s">
        <v>59</v>
      </c>
      <c r="B8656" t="s">
        <v>60</v>
      </c>
      <c r="C8656" t="s">
        <v>32</v>
      </c>
      <c r="D8656" t="s">
        <v>953</v>
      </c>
      <c r="E8656" t="s">
        <v>1084</v>
      </c>
      <c r="F8656" t="s">
        <v>35</v>
      </c>
      <c r="G8656" t="s">
        <v>35</v>
      </c>
      <c r="H8656" t="s">
        <v>35</v>
      </c>
      <c r="J8656" t="s">
        <v>7775</v>
      </c>
      <c r="K8656" t="s">
        <v>1092</v>
      </c>
      <c r="M8656">
        <v>0.5</v>
      </c>
      <c r="N8656">
        <v>39</v>
      </c>
      <c r="O8656" t="s">
        <v>52</v>
      </c>
      <c r="Q8656" t="s">
        <v>816</v>
      </c>
      <c r="R8656" t="s">
        <v>6891</v>
      </c>
      <c r="S8656" t="s">
        <v>1085</v>
      </c>
    </row>
    <row r="8657" spans="1:19" x14ac:dyDescent="0.25">
      <c r="A8657" t="s">
        <v>30</v>
      </c>
      <c r="B8657" t="s">
        <v>31</v>
      </c>
      <c r="C8657" t="s">
        <v>32</v>
      </c>
      <c r="D8657" t="s">
        <v>953</v>
      </c>
      <c r="E8657" t="s">
        <v>1084</v>
      </c>
      <c r="F8657" t="s">
        <v>35</v>
      </c>
      <c r="G8657" t="s">
        <v>35</v>
      </c>
      <c r="H8657" t="s">
        <v>35</v>
      </c>
      <c r="J8657" t="s">
        <v>7775</v>
      </c>
      <c r="K8657" t="s">
        <v>1092</v>
      </c>
      <c r="M8657">
        <v>0.63</v>
      </c>
      <c r="N8657">
        <v>17</v>
      </c>
      <c r="O8657" t="s">
        <v>46</v>
      </c>
      <c r="Q8657" t="s">
        <v>1302</v>
      </c>
      <c r="R8657" t="s">
        <v>6891</v>
      </c>
      <c r="S8657" t="s">
        <v>1085</v>
      </c>
    </row>
    <row r="8658" spans="1:19" x14ac:dyDescent="0.25">
      <c r="A8658" t="s">
        <v>44</v>
      </c>
      <c r="B8658" t="s">
        <v>51</v>
      </c>
      <c r="C8658" t="s">
        <v>32</v>
      </c>
      <c r="D8658" t="s">
        <v>953</v>
      </c>
      <c r="E8658" t="s">
        <v>1084</v>
      </c>
      <c r="F8658" t="s">
        <v>35</v>
      </c>
      <c r="G8658" t="s">
        <v>35</v>
      </c>
      <c r="H8658" t="s">
        <v>35</v>
      </c>
      <c r="J8658" t="s">
        <v>7775</v>
      </c>
      <c r="K8658" t="s">
        <v>1092</v>
      </c>
      <c r="M8658">
        <v>0.3</v>
      </c>
      <c r="N8658">
        <v>223</v>
      </c>
      <c r="O8658" t="s">
        <v>5</v>
      </c>
      <c r="Q8658" t="s">
        <v>3310</v>
      </c>
      <c r="R8658" t="s">
        <v>6891</v>
      </c>
      <c r="S8658" t="s">
        <v>1085</v>
      </c>
    </row>
    <row r="8659" spans="1:19" x14ac:dyDescent="0.25">
      <c r="A8659" t="s">
        <v>30</v>
      </c>
      <c r="B8659" t="s">
        <v>31</v>
      </c>
      <c r="C8659" t="s">
        <v>32</v>
      </c>
      <c r="D8659" t="s">
        <v>953</v>
      </c>
      <c r="E8659" t="s">
        <v>1084</v>
      </c>
      <c r="F8659" t="s">
        <v>35</v>
      </c>
      <c r="G8659" t="s">
        <v>35</v>
      </c>
      <c r="H8659" t="s">
        <v>35</v>
      </c>
      <c r="J8659" t="s">
        <v>8268</v>
      </c>
      <c r="K8659" t="s">
        <v>1092</v>
      </c>
      <c r="M8659">
        <v>0.9</v>
      </c>
      <c r="N8659">
        <v>4</v>
      </c>
      <c r="O8659" t="s">
        <v>46</v>
      </c>
      <c r="Q8659" t="s">
        <v>8230</v>
      </c>
      <c r="R8659" t="s">
        <v>6891</v>
      </c>
      <c r="S8659" t="s">
        <v>1085</v>
      </c>
    </row>
    <row r="8660" spans="1:19" x14ac:dyDescent="0.25">
      <c r="A8660" t="s">
        <v>59</v>
      </c>
      <c r="B8660" t="s">
        <v>60</v>
      </c>
      <c r="C8660" t="s">
        <v>32</v>
      </c>
      <c r="D8660" t="s">
        <v>953</v>
      </c>
      <c r="E8660" t="s">
        <v>1084</v>
      </c>
      <c r="F8660" t="s">
        <v>35</v>
      </c>
      <c r="G8660" t="s">
        <v>35</v>
      </c>
      <c r="H8660" t="s">
        <v>35</v>
      </c>
      <c r="J8660" t="s">
        <v>7776</v>
      </c>
      <c r="K8660" t="s">
        <v>1092</v>
      </c>
      <c r="M8660">
        <v>3.25</v>
      </c>
      <c r="N8660">
        <v>121</v>
      </c>
      <c r="O8660" t="s">
        <v>38</v>
      </c>
      <c r="Q8660" t="s">
        <v>2895</v>
      </c>
      <c r="R8660" t="s">
        <v>158</v>
      </c>
      <c r="S8660" t="s">
        <v>159</v>
      </c>
    </row>
    <row r="8661" spans="1:19" x14ac:dyDescent="0.25">
      <c r="A8661" t="s">
        <v>59</v>
      </c>
      <c r="B8661" t="s">
        <v>31</v>
      </c>
      <c r="C8661" t="s">
        <v>32</v>
      </c>
      <c r="D8661" t="s">
        <v>953</v>
      </c>
      <c r="E8661" t="s">
        <v>1084</v>
      </c>
      <c r="F8661" t="s">
        <v>35</v>
      </c>
      <c r="G8661" t="s">
        <v>35</v>
      </c>
      <c r="H8661" t="s">
        <v>35</v>
      </c>
      <c r="J8661" t="s">
        <v>7777</v>
      </c>
      <c r="K8661" t="s">
        <v>1092</v>
      </c>
      <c r="M8661">
        <v>0.9</v>
      </c>
      <c r="N8661">
        <v>63</v>
      </c>
      <c r="O8661" t="s">
        <v>61</v>
      </c>
      <c r="Q8661" t="s">
        <v>423</v>
      </c>
      <c r="R8661" t="s">
        <v>6891</v>
      </c>
      <c r="S8661" t="s">
        <v>1085</v>
      </c>
    </row>
    <row r="8662" spans="1:19" x14ac:dyDescent="0.25">
      <c r="A8662" t="s">
        <v>59</v>
      </c>
      <c r="B8662" t="s">
        <v>60</v>
      </c>
      <c r="C8662" t="s">
        <v>32</v>
      </c>
      <c r="D8662" t="s">
        <v>953</v>
      </c>
      <c r="E8662" t="s">
        <v>1084</v>
      </c>
      <c r="F8662" t="s">
        <v>35</v>
      </c>
      <c r="G8662" t="s">
        <v>35</v>
      </c>
      <c r="H8662" t="s">
        <v>35</v>
      </c>
      <c r="J8662" t="s">
        <v>7777</v>
      </c>
      <c r="K8662" t="s">
        <v>1092</v>
      </c>
      <c r="M8662">
        <v>0.5</v>
      </c>
      <c r="N8662">
        <v>39</v>
      </c>
      <c r="O8662" t="s">
        <v>52</v>
      </c>
      <c r="Q8662" t="s">
        <v>816</v>
      </c>
      <c r="R8662" t="s">
        <v>6891</v>
      </c>
      <c r="S8662" t="s">
        <v>1085</v>
      </c>
    </row>
    <row r="8663" spans="1:19" x14ac:dyDescent="0.25">
      <c r="A8663" t="s">
        <v>59</v>
      </c>
      <c r="B8663" t="s">
        <v>31</v>
      </c>
      <c r="C8663" t="s">
        <v>32</v>
      </c>
      <c r="D8663" t="s">
        <v>953</v>
      </c>
      <c r="E8663" t="s">
        <v>1084</v>
      </c>
      <c r="F8663" t="s">
        <v>35</v>
      </c>
      <c r="G8663" t="s">
        <v>35</v>
      </c>
      <c r="H8663" t="s">
        <v>35</v>
      </c>
      <c r="J8663" t="s">
        <v>7777</v>
      </c>
      <c r="K8663" t="s">
        <v>1092</v>
      </c>
      <c r="M8663">
        <v>4.4999999999999998E-2</v>
      </c>
      <c r="N8663">
        <v>93</v>
      </c>
      <c r="O8663" t="s">
        <v>106</v>
      </c>
      <c r="Q8663" t="s">
        <v>941</v>
      </c>
      <c r="R8663" t="s">
        <v>6891</v>
      </c>
      <c r="S8663" t="s">
        <v>1085</v>
      </c>
    </row>
    <row r="8664" spans="1:19" x14ac:dyDescent="0.25">
      <c r="A8664" t="s">
        <v>59</v>
      </c>
      <c r="B8664" t="s">
        <v>60</v>
      </c>
      <c r="C8664" t="s">
        <v>32</v>
      </c>
      <c r="D8664" t="s">
        <v>953</v>
      </c>
      <c r="E8664" t="s">
        <v>1084</v>
      </c>
      <c r="F8664" t="s">
        <v>35</v>
      </c>
      <c r="G8664" t="s">
        <v>35</v>
      </c>
      <c r="H8664" t="s">
        <v>35</v>
      </c>
      <c r="J8664" t="s">
        <v>7777</v>
      </c>
      <c r="K8664" t="s">
        <v>1092</v>
      </c>
      <c r="M8664">
        <v>0.22500000000000001</v>
      </c>
      <c r="N8664">
        <v>142</v>
      </c>
      <c r="O8664" t="s">
        <v>38</v>
      </c>
      <c r="Q8664" t="s">
        <v>2067</v>
      </c>
      <c r="R8664" t="s">
        <v>6891</v>
      </c>
      <c r="S8664" t="s">
        <v>1085</v>
      </c>
    </row>
    <row r="8665" spans="1:19" x14ac:dyDescent="0.25">
      <c r="A8665" t="s">
        <v>59</v>
      </c>
      <c r="B8665" t="s">
        <v>60</v>
      </c>
      <c r="C8665" t="s">
        <v>32</v>
      </c>
      <c r="D8665" t="s">
        <v>953</v>
      </c>
      <c r="E8665" t="s">
        <v>1084</v>
      </c>
      <c r="F8665" t="s">
        <v>35</v>
      </c>
      <c r="G8665" t="s">
        <v>35</v>
      </c>
      <c r="H8665" t="s">
        <v>35</v>
      </c>
      <c r="J8665" t="s">
        <v>7778</v>
      </c>
      <c r="K8665" t="s">
        <v>1092</v>
      </c>
      <c r="M8665">
        <v>2.15</v>
      </c>
      <c r="N8665">
        <v>155</v>
      </c>
      <c r="O8665" t="s">
        <v>38</v>
      </c>
      <c r="Q8665" t="s">
        <v>3942</v>
      </c>
      <c r="R8665" t="s">
        <v>6904</v>
      </c>
      <c r="S8665" t="s">
        <v>999</v>
      </c>
    </row>
    <row r="8666" spans="1:19" x14ac:dyDescent="0.25">
      <c r="A8666" t="s">
        <v>59</v>
      </c>
      <c r="B8666" t="s">
        <v>31</v>
      </c>
      <c r="C8666" t="s">
        <v>32</v>
      </c>
      <c r="D8666" t="s">
        <v>953</v>
      </c>
      <c r="E8666" t="s">
        <v>1084</v>
      </c>
      <c r="F8666" t="s">
        <v>35</v>
      </c>
      <c r="G8666" t="s">
        <v>35</v>
      </c>
      <c r="H8666" t="s">
        <v>35</v>
      </c>
      <c r="J8666" t="s">
        <v>7779</v>
      </c>
      <c r="K8666" t="s">
        <v>1092</v>
      </c>
      <c r="M8666">
        <v>4.7249999999999996</v>
      </c>
      <c r="N8666">
        <v>537</v>
      </c>
      <c r="O8666" t="s">
        <v>294</v>
      </c>
      <c r="Q8666" t="s">
        <v>1388</v>
      </c>
      <c r="R8666" t="s">
        <v>6709</v>
      </c>
      <c r="S8666" t="s">
        <v>1022</v>
      </c>
    </row>
    <row r="8667" spans="1:19" x14ac:dyDescent="0.25">
      <c r="A8667" t="s">
        <v>30</v>
      </c>
      <c r="B8667" t="s">
        <v>31</v>
      </c>
      <c r="C8667" t="s">
        <v>32</v>
      </c>
      <c r="D8667" t="s">
        <v>953</v>
      </c>
      <c r="E8667" t="s">
        <v>1084</v>
      </c>
      <c r="F8667" t="s">
        <v>35</v>
      </c>
      <c r="G8667" t="s">
        <v>35</v>
      </c>
      <c r="H8667" t="s">
        <v>35</v>
      </c>
      <c r="J8667" t="s">
        <v>7780</v>
      </c>
      <c r="K8667" t="s">
        <v>1092</v>
      </c>
      <c r="M8667">
        <v>0.76500000000000001</v>
      </c>
      <c r="N8667">
        <v>47</v>
      </c>
      <c r="O8667" t="s">
        <v>52</v>
      </c>
      <c r="Q8667" t="s">
        <v>132</v>
      </c>
      <c r="R8667" t="s">
        <v>6891</v>
      </c>
      <c r="S8667" t="s">
        <v>1085</v>
      </c>
    </row>
    <row r="8668" spans="1:19" x14ac:dyDescent="0.25">
      <c r="A8668" t="s">
        <v>59</v>
      </c>
      <c r="B8668" t="s">
        <v>31</v>
      </c>
      <c r="C8668" t="s">
        <v>32</v>
      </c>
      <c r="D8668" t="s">
        <v>953</v>
      </c>
      <c r="E8668" t="s">
        <v>1084</v>
      </c>
      <c r="F8668" t="s">
        <v>35</v>
      </c>
      <c r="G8668" t="s">
        <v>35</v>
      </c>
      <c r="H8668" t="s">
        <v>35</v>
      </c>
      <c r="J8668" t="s">
        <v>7781</v>
      </c>
      <c r="K8668" t="s">
        <v>1092</v>
      </c>
      <c r="M8668">
        <v>0.09</v>
      </c>
      <c r="N8668">
        <v>63</v>
      </c>
      <c r="O8668" t="s">
        <v>61</v>
      </c>
      <c r="Q8668" t="s">
        <v>423</v>
      </c>
      <c r="R8668" t="s">
        <v>6891</v>
      </c>
      <c r="S8668" t="s">
        <v>1085</v>
      </c>
    </row>
    <row r="8669" spans="1:19" x14ac:dyDescent="0.25">
      <c r="A8669" t="s">
        <v>59</v>
      </c>
      <c r="B8669" t="s">
        <v>60</v>
      </c>
      <c r="C8669" t="s">
        <v>32</v>
      </c>
      <c r="D8669" t="s">
        <v>953</v>
      </c>
      <c r="E8669" t="s">
        <v>1084</v>
      </c>
      <c r="F8669" t="s">
        <v>35</v>
      </c>
      <c r="G8669" t="s">
        <v>35</v>
      </c>
      <c r="H8669" t="s">
        <v>35</v>
      </c>
      <c r="J8669" t="s">
        <v>7781</v>
      </c>
      <c r="K8669" t="s">
        <v>1092</v>
      </c>
      <c r="M8669">
        <v>1.4</v>
      </c>
      <c r="N8669">
        <v>63</v>
      </c>
      <c r="O8669" t="s">
        <v>61</v>
      </c>
      <c r="Q8669" t="s">
        <v>423</v>
      </c>
      <c r="R8669" t="s">
        <v>6891</v>
      </c>
      <c r="S8669" t="s">
        <v>1085</v>
      </c>
    </row>
    <row r="8670" spans="1:19" x14ac:dyDescent="0.25">
      <c r="A8670" t="s">
        <v>59</v>
      </c>
      <c r="B8670" t="s">
        <v>60</v>
      </c>
      <c r="C8670" t="s">
        <v>32</v>
      </c>
      <c r="D8670" t="s">
        <v>953</v>
      </c>
      <c r="E8670" t="s">
        <v>1084</v>
      </c>
      <c r="F8670" t="s">
        <v>35</v>
      </c>
      <c r="G8670" t="s">
        <v>35</v>
      </c>
      <c r="H8670" t="s">
        <v>35</v>
      </c>
      <c r="J8670" t="s">
        <v>7782</v>
      </c>
      <c r="K8670" t="s">
        <v>1092</v>
      </c>
      <c r="M8670">
        <v>1</v>
      </c>
      <c r="N8670">
        <v>36</v>
      </c>
      <c r="O8670" t="s">
        <v>52</v>
      </c>
      <c r="Q8670" t="s">
        <v>2005</v>
      </c>
      <c r="R8670" t="s">
        <v>6891</v>
      </c>
      <c r="S8670" t="s">
        <v>1085</v>
      </c>
    </row>
    <row r="8671" spans="1:19" x14ac:dyDescent="0.25">
      <c r="A8671" t="s">
        <v>59</v>
      </c>
      <c r="B8671" t="s">
        <v>31</v>
      </c>
      <c r="C8671" t="s">
        <v>32</v>
      </c>
      <c r="D8671" t="s">
        <v>953</v>
      </c>
      <c r="E8671" t="s">
        <v>1084</v>
      </c>
      <c r="F8671" t="s">
        <v>35</v>
      </c>
      <c r="G8671" t="s">
        <v>35</v>
      </c>
      <c r="H8671" t="s">
        <v>35</v>
      </c>
      <c r="J8671" t="s">
        <v>7782</v>
      </c>
      <c r="K8671" t="s">
        <v>1092</v>
      </c>
      <c r="M8671">
        <v>0.40500000000000003</v>
      </c>
      <c r="N8671">
        <v>52</v>
      </c>
      <c r="O8671" t="s">
        <v>52</v>
      </c>
      <c r="Q8671" t="s">
        <v>1230</v>
      </c>
      <c r="R8671" t="s">
        <v>6891</v>
      </c>
      <c r="S8671" t="s">
        <v>1085</v>
      </c>
    </row>
    <row r="8672" spans="1:19" x14ac:dyDescent="0.25">
      <c r="A8672" t="s">
        <v>59</v>
      </c>
      <c r="B8672" t="s">
        <v>60</v>
      </c>
      <c r="C8672" t="s">
        <v>32</v>
      </c>
      <c r="D8672" t="s">
        <v>953</v>
      </c>
      <c r="E8672" t="s">
        <v>1084</v>
      </c>
      <c r="F8672" t="s">
        <v>35</v>
      </c>
      <c r="G8672" t="s">
        <v>35</v>
      </c>
      <c r="H8672" t="s">
        <v>35</v>
      </c>
      <c r="J8672" t="s">
        <v>7782</v>
      </c>
      <c r="K8672" t="s">
        <v>1092</v>
      </c>
      <c r="M8672">
        <v>1.2</v>
      </c>
      <c r="N8672">
        <v>65</v>
      </c>
      <c r="O8672" t="s">
        <v>61</v>
      </c>
      <c r="Q8672" t="s">
        <v>128</v>
      </c>
      <c r="R8672" t="s">
        <v>6891</v>
      </c>
      <c r="S8672" t="s">
        <v>1085</v>
      </c>
    </row>
    <row r="8673" spans="1:19" x14ac:dyDescent="0.25">
      <c r="A8673" t="s">
        <v>59</v>
      </c>
      <c r="B8673" t="s">
        <v>60</v>
      </c>
      <c r="C8673" t="s">
        <v>32</v>
      </c>
      <c r="D8673" t="s">
        <v>953</v>
      </c>
      <c r="E8673" t="s">
        <v>1084</v>
      </c>
      <c r="F8673" t="s">
        <v>35</v>
      </c>
      <c r="G8673" t="s">
        <v>35</v>
      </c>
      <c r="H8673" t="s">
        <v>35</v>
      </c>
      <c r="J8673" t="s">
        <v>7782</v>
      </c>
      <c r="K8673" t="s">
        <v>1092</v>
      </c>
      <c r="M8673">
        <v>1</v>
      </c>
      <c r="N8673">
        <v>56</v>
      </c>
      <c r="O8673" t="s">
        <v>52</v>
      </c>
      <c r="Q8673" t="s">
        <v>453</v>
      </c>
      <c r="R8673" t="s">
        <v>6891</v>
      </c>
      <c r="S8673" t="s">
        <v>1085</v>
      </c>
    </row>
    <row r="8674" spans="1:19" x14ac:dyDescent="0.25">
      <c r="A8674" t="s">
        <v>59</v>
      </c>
      <c r="B8674" t="s">
        <v>60</v>
      </c>
      <c r="C8674" t="s">
        <v>32</v>
      </c>
      <c r="D8674" t="s">
        <v>953</v>
      </c>
      <c r="E8674" t="s">
        <v>1084</v>
      </c>
      <c r="F8674" t="s">
        <v>35</v>
      </c>
      <c r="G8674" t="s">
        <v>35</v>
      </c>
      <c r="H8674" t="s">
        <v>35</v>
      </c>
      <c r="J8674" t="s">
        <v>7782</v>
      </c>
      <c r="K8674" t="s">
        <v>1092</v>
      </c>
      <c r="M8674">
        <v>1.5</v>
      </c>
      <c r="N8674">
        <v>39</v>
      </c>
      <c r="O8674" t="s">
        <v>52</v>
      </c>
      <c r="Q8674" t="s">
        <v>816</v>
      </c>
      <c r="R8674" t="s">
        <v>6891</v>
      </c>
      <c r="S8674" t="s">
        <v>1085</v>
      </c>
    </row>
    <row r="8675" spans="1:19" x14ac:dyDescent="0.25">
      <c r="A8675" t="s">
        <v>59</v>
      </c>
      <c r="B8675" t="s">
        <v>31</v>
      </c>
      <c r="C8675" t="s">
        <v>32</v>
      </c>
      <c r="D8675" t="s">
        <v>953</v>
      </c>
      <c r="E8675" t="s">
        <v>1084</v>
      </c>
      <c r="F8675" t="s">
        <v>35</v>
      </c>
      <c r="G8675" t="s">
        <v>35</v>
      </c>
      <c r="H8675" t="s">
        <v>35</v>
      </c>
      <c r="J8675" t="s">
        <v>7402</v>
      </c>
      <c r="K8675" t="s">
        <v>1092</v>
      </c>
      <c r="M8675">
        <v>5.5E-2</v>
      </c>
      <c r="N8675">
        <v>372</v>
      </c>
      <c r="O8675" t="s">
        <v>294</v>
      </c>
      <c r="Q8675" t="s">
        <v>7783</v>
      </c>
      <c r="R8675" t="s">
        <v>6891</v>
      </c>
      <c r="S8675" t="s">
        <v>1085</v>
      </c>
    </row>
    <row r="8676" spans="1:19" x14ac:dyDescent="0.25">
      <c r="A8676" t="s">
        <v>59</v>
      </c>
      <c r="B8676" t="s">
        <v>31</v>
      </c>
      <c r="C8676" t="s">
        <v>32</v>
      </c>
      <c r="D8676" t="s">
        <v>953</v>
      </c>
      <c r="E8676" t="s">
        <v>1084</v>
      </c>
      <c r="F8676" t="s">
        <v>35</v>
      </c>
      <c r="G8676" t="s">
        <v>35</v>
      </c>
      <c r="H8676" t="s">
        <v>35</v>
      </c>
      <c r="J8676" t="s">
        <v>7402</v>
      </c>
      <c r="K8676" t="s">
        <v>1092</v>
      </c>
      <c r="M8676">
        <v>0.9</v>
      </c>
      <c r="N8676">
        <v>247</v>
      </c>
      <c r="O8676" t="s">
        <v>5</v>
      </c>
      <c r="Q8676" t="s">
        <v>574</v>
      </c>
      <c r="R8676" t="s">
        <v>6891</v>
      </c>
      <c r="S8676" t="s">
        <v>1085</v>
      </c>
    </row>
    <row r="8677" spans="1:19" x14ac:dyDescent="0.25">
      <c r="A8677" t="s">
        <v>30</v>
      </c>
      <c r="B8677" t="s">
        <v>31</v>
      </c>
      <c r="C8677" t="s">
        <v>32</v>
      </c>
      <c r="D8677" t="s">
        <v>953</v>
      </c>
      <c r="E8677" t="s">
        <v>1084</v>
      </c>
      <c r="F8677" t="s">
        <v>35</v>
      </c>
      <c r="G8677" t="s">
        <v>35</v>
      </c>
      <c r="H8677" t="s">
        <v>35</v>
      </c>
      <c r="J8677" t="s">
        <v>7402</v>
      </c>
      <c r="K8677" t="s">
        <v>1092</v>
      </c>
      <c r="M8677">
        <v>0.54</v>
      </c>
      <c r="N8677">
        <v>271</v>
      </c>
      <c r="O8677" t="s">
        <v>5</v>
      </c>
      <c r="Q8677" t="s">
        <v>1881</v>
      </c>
      <c r="R8677" t="s">
        <v>6891</v>
      </c>
      <c r="S8677" t="s">
        <v>1085</v>
      </c>
    </row>
    <row r="8678" spans="1:19" x14ac:dyDescent="0.25">
      <c r="A8678" t="s">
        <v>59</v>
      </c>
      <c r="B8678" t="s">
        <v>60</v>
      </c>
      <c r="C8678" t="s">
        <v>32</v>
      </c>
      <c r="D8678" t="s">
        <v>953</v>
      </c>
      <c r="E8678" t="s">
        <v>1084</v>
      </c>
      <c r="F8678" t="s">
        <v>35</v>
      </c>
      <c r="G8678" t="s">
        <v>35</v>
      </c>
      <c r="H8678" t="s">
        <v>35</v>
      </c>
      <c r="J8678" t="s">
        <v>7784</v>
      </c>
      <c r="K8678" t="s">
        <v>1092</v>
      </c>
      <c r="M8678">
        <v>1.85</v>
      </c>
      <c r="N8678">
        <v>282</v>
      </c>
      <c r="O8678" t="s">
        <v>5</v>
      </c>
      <c r="Q8678" t="s">
        <v>1225</v>
      </c>
      <c r="R8678" t="s">
        <v>6877</v>
      </c>
      <c r="S8678" t="s">
        <v>1041</v>
      </c>
    </row>
    <row r="8679" spans="1:19" x14ac:dyDescent="0.25">
      <c r="A8679" t="s">
        <v>44</v>
      </c>
      <c r="B8679" t="s">
        <v>51</v>
      </c>
      <c r="C8679" t="s">
        <v>32</v>
      </c>
      <c r="D8679" t="s">
        <v>953</v>
      </c>
      <c r="E8679" t="s">
        <v>1084</v>
      </c>
      <c r="F8679" t="s">
        <v>35</v>
      </c>
      <c r="G8679" t="s">
        <v>35</v>
      </c>
      <c r="H8679" t="s">
        <v>35</v>
      </c>
      <c r="J8679" t="s">
        <v>7784</v>
      </c>
      <c r="K8679" t="s">
        <v>1092</v>
      </c>
      <c r="M8679">
        <v>0.4</v>
      </c>
      <c r="N8679">
        <v>494</v>
      </c>
      <c r="O8679" t="s">
        <v>294</v>
      </c>
      <c r="Q8679" t="s">
        <v>3564</v>
      </c>
      <c r="R8679" t="s">
        <v>6877</v>
      </c>
      <c r="S8679" t="s">
        <v>1041</v>
      </c>
    </row>
    <row r="8680" spans="1:19" x14ac:dyDescent="0.25">
      <c r="A8680" t="s">
        <v>44</v>
      </c>
      <c r="B8680" t="s">
        <v>3</v>
      </c>
      <c r="C8680" t="s">
        <v>32</v>
      </c>
      <c r="D8680" t="s">
        <v>953</v>
      </c>
      <c r="E8680" t="s">
        <v>1084</v>
      </c>
      <c r="F8680" t="s">
        <v>35</v>
      </c>
      <c r="G8680" t="s">
        <v>35</v>
      </c>
      <c r="H8680" t="s">
        <v>35</v>
      </c>
      <c r="J8680" t="s">
        <v>7784</v>
      </c>
      <c r="K8680" t="s">
        <v>1092</v>
      </c>
      <c r="M8680">
        <v>1.2</v>
      </c>
      <c r="N8680">
        <v>494</v>
      </c>
      <c r="O8680" t="s">
        <v>294</v>
      </c>
      <c r="Q8680" t="s">
        <v>3564</v>
      </c>
      <c r="R8680" t="s">
        <v>6877</v>
      </c>
      <c r="S8680" t="s">
        <v>1041</v>
      </c>
    </row>
    <row r="8681" spans="1:19" x14ac:dyDescent="0.25">
      <c r="A8681" t="s">
        <v>59</v>
      </c>
      <c r="B8681" t="s">
        <v>31</v>
      </c>
      <c r="C8681" t="s">
        <v>32</v>
      </c>
      <c r="D8681" t="s">
        <v>953</v>
      </c>
      <c r="E8681" t="s">
        <v>1084</v>
      </c>
      <c r="F8681" t="s">
        <v>35</v>
      </c>
      <c r="G8681" t="s">
        <v>35</v>
      </c>
      <c r="H8681" t="s">
        <v>35</v>
      </c>
      <c r="J8681" t="s">
        <v>7785</v>
      </c>
      <c r="K8681" t="s">
        <v>1092</v>
      </c>
      <c r="M8681">
        <v>0.22500000000000001</v>
      </c>
      <c r="N8681">
        <v>47</v>
      </c>
      <c r="O8681" t="s">
        <v>52</v>
      </c>
      <c r="Q8681" t="s">
        <v>132</v>
      </c>
      <c r="R8681" t="s">
        <v>6891</v>
      </c>
      <c r="S8681" t="s">
        <v>1085</v>
      </c>
    </row>
    <row r="8682" spans="1:19" x14ac:dyDescent="0.25">
      <c r="A8682" t="s">
        <v>59</v>
      </c>
      <c r="B8682" t="s">
        <v>60</v>
      </c>
      <c r="C8682" t="s">
        <v>32</v>
      </c>
      <c r="D8682" t="s">
        <v>953</v>
      </c>
      <c r="E8682" t="s">
        <v>1084</v>
      </c>
      <c r="F8682" t="s">
        <v>35</v>
      </c>
      <c r="G8682" t="s">
        <v>35</v>
      </c>
      <c r="H8682" t="s">
        <v>35</v>
      </c>
      <c r="J8682" t="s">
        <v>7786</v>
      </c>
      <c r="K8682" t="s">
        <v>1092</v>
      </c>
      <c r="M8682">
        <v>7</v>
      </c>
      <c r="N8682">
        <v>86</v>
      </c>
      <c r="O8682" t="s">
        <v>61</v>
      </c>
      <c r="Q8682" t="s">
        <v>1076</v>
      </c>
      <c r="R8682" t="s">
        <v>158</v>
      </c>
      <c r="S8682" t="s">
        <v>159</v>
      </c>
    </row>
    <row r="8683" spans="1:19" x14ac:dyDescent="0.25">
      <c r="A8683" t="s">
        <v>59</v>
      </c>
      <c r="B8683" t="s">
        <v>60</v>
      </c>
      <c r="C8683" t="s">
        <v>32</v>
      </c>
      <c r="D8683" t="s">
        <v>953</v>
      </c>
      <c r="E8683" t="s">
        <v>1084</v>
      </c>
      <c r="F8683" t="s">
        <v>35</v>
      </c>
      <c r="G8683" t="s">
        <v>35</v>
      </c>
      <c r="H8683" t="s">
        <v>35</v>
      </c>
      <c r="J8683" t="s">
        <v>7786</v>
      </c>
      <c r="K8683" t="s">
        <v>1092</v>
      </c>
      <c r="M8683">
        <v>3.05</v>
      </c>
      <c r="N8683">
        <v>121</v>
      </c>
      <c r="O8683" t="s">
        <v>38</v>
      </c>
      <c r="Q8683" t="s">
        <v>2895</v>
      </c>
      <c r="R8683" t="s">
        <v>158</v>
      </c>
      <c r="S8683" t="s">
        <v>159</v>
      </c>
    </row>
    <row r="8684" spans="1:19" x14ac:dyDescent="0.25">
      <c r="A8684" t="s">
        <v>30</v>
      </c>
      <c r="B8684" t="s">
        <v>31</v>
      </c>
      <c r="C8684" t="s">
        <v>32</v>
      </c>
      <c r="D8684" t="s">
        <v>953</v>
      </c>
      <c r="E8684" t="s">
        <v>1084</v>
      </c>
      <c r="F8684" t="s">
        <v>35</v>
      </c>
      <c r="G8684" t="s">
        <v>35</v>
      </c>
      <c r="H8684" t="s">
        <v>35</v>
      </c>
      <c r="J8684" t="s">
        <v>7787</v>
      </c>
      <c r="K8684" t="s">
        <v>1092</v>
      </c>
      <c r="M8684">
        <v>0.85499999999999998</v>
      </c>
      <c r="N8684">
        <v>1589</v>
      </c>
      <c r="O8684" t="s">
        <v>575</v>
      </c>
      <c r="Q8684" t="s">
        <v>4921</v>
      </c>
      <c r="R8684" t="s">
        <v>6720</v>
      </c>
      <c r="S8684" t="s">
        <v>961</v>
      </c>
    </row>
    <row r="8685" spans="1:19" x14ac:dyDescent="0.25">
      <c r="A8685" t="s">
        <v>59</v>
      </c>
      <c r="B8685" t="s">
        <v>60</v>
      </c>
      <c r="C8685" t="s">
        <v>32</v>
      </c>
      <c r="D8685" t="s">
        <v>953</v>
      </c>
      <c r="E8685" t="s">
        <v>1084</v>
      </c>
      <c r="F8685" t="s">
        <v>35</v>
      </c>
      <c r="G8685" t="s">
        <v>35</v>
      </c>
      <c r="H8685" t="s">
        <v>35</v>
      </c>
      <c r="J8685" t="s">
        <v>7787</v>
      </c>
      <c r="K8685" t="s">
        <v>1092</v>
      </c>
      <c r="M8685">
        <v>0.75</v>
      </c>
      <c r="N8685">
        <v>1589</v>
      </c>
      <c r="O8685" t="s">
        <v>575</v>
      </c>
      <c r="Q8685" t="s">
        <v>4921</v>
      </c>
      <c r="R8685" t="s">
        <v>6720</v>
      </c>
      <c r="S8685" t="s">
        <v>961</v>
      </c>
    </row>
    <row r="8686" spans="1:19" x14ac:dyDescent="0.25">
      <c r="A8686" t="s">
        <v>59</v>
      </c>
      <c r="B8686" t="s">
        <v>60</v>
      </c>
      <c r="C8686" t="s">
        <v>32</v>
      </c>
      <c r="D8686" t="s">
        <v>953</v>
      </c>
      <c r="E8686" t="s">
        <v>1084</v>
      </c>
      <c r="F8686" t="s">
        <v>35</v>
      </c>
      <c r="G8686" t="s">
        <v>35</v>
      </c>
      <c r="H8686" t="s">
        <v>35</v>
      </c>
      <c r="J8686" t="s">
        <v>7788</v>
      </c>
      <c r="K8686" t="s">
        <v>1092</v>
      </c>
      <c r="M8686">
        <v>1.325</v>
      </c>
      <c r="N8686">
        <v>91</v>
      </c>
      <c r="O8686" t="s">
        <v>106</v>
      </c>
      <c r="Q8686" t="s">
        <v>1147</v>
      </c>
      <c r="R8686" t="s">
        <v>133</v>
      </c>
      <c r="S8686" t="s">
        <v>134</v>
      </c>
    </row>
    <row r="8687" spans="1:19" x14ac:dyDescent="0.25">
      <c r="A8687" t="s">
        <v>59</v>
      </c>
      <c r="B8687" t="s">
        <v>60</v>
      </c>
      <c r="C8687" t="s">
        <v>32</v>
      </c>
      <c r="D8687" t="s">
        <v>953</v>
      </c>
      <c r="E8687" t="s">
        <v>1084</v>
      </c>
      <c r="F8687" t="s">
        <v>35</v>
      </c>
      <c r="G8687" t="s">
        <v>35</v>
      </c>
      <c r="H8687" t="s">
        <v>35</v>
      </c>
      <c r="J8687" t="s">
        <v>7185</v>
      </c>
      <c r="K8687" t="s">
        <v>1092</v>
      </c>
      <c r="M8687">
        <v>0.7</v>
      </c>
      <c r="N8687">
        <v>19</v>
      </c>
      <c r="O8687" t="s">
        <v>46</v>
      </c>
      <c r="Q8687" t="s">
        <v>1192</v>
      </c>
      <c r="R8687" t="s">
        <v>6891</v>
      </c>
      <c r="S8687" t="s">
        <v>1085</v>
      </c>
    </row>
    <row r="8688" spans="1:19" x14ac:dyDescent="0.25">
      <c r="A8688" t="s">
        <v>30</v>
      </c>
      <c r="B8688" t="s">
        <v>31</v>
      </c>
      <c r="C8688" t="s">
        <v>32</v>
      </c>
      <c r="D8688" t="s">
        <v>953</v>
      </c>
      <c r="E8688" t="s">
        <v>1084</v>
      </c>
      <c r="F8688" t="s">
        <v>35</v>
      </c>
      <c r="G8688" t="s">
        <v>35</v>
      </c>
      <c r="H8688" t="s">
        <v>35</v>
      </c>
      <c r="J8688" t="s">
        <v>7185</v>
      </c>
      <c r="K8688" t="s">
        <v>1092</v>
      </c>
      <c r="M8688">
        <v>0.9</v>
      </c>
      <c r="N8688">
        <v>19</v>
      </c>
      <c r="O8688" t="s">
        <v>46</v>
      </c>
      <c r="Q8688" t="s">
        <v>1192</v>
      </c>
      <c r="R8688" t="s">
        <v>6891</v>
      </c>
      <c r="S8688" t="s">
        <v>1085</v>
      </c>
    </row>
    <row r="8689" spans="1:19" x14ac:dyDescent="0.25">
      <c r="A8689" t="s">
        <v>30</v>
      </c>
      <c r="B8689" t="s">
        <v>31</v>
      </c>
      <c r="C8689" t="s">
        <v>32</v>
      </c>
      <c r="D8689" t="s">
        <v>953</v>
      </c>
      <c r="E8689" t="s">
        <v>1084</v>
      </c>
      <c r="F8689" t="s">
        <v>35</v>
      </c>
      <c r="G8689" t="s">
        <v>35</v>
      </c>
      <c r="H8689" t="s">
        <v>35</v>
      </c>
      <c r="J8689" t="s">
        <v>7789</v>
      </c>
      <c r="K8689" t="s">
        <v>1092</v>
      </c>
      <c r="M8689">
        <v>0.58499999999999996</v>
      </c>
      <c r="N8689">
        <v>272</v>
      </c>
      <c r="O8689" t="s">
        <v>5</v>
      </c>
      <c r="Q8689" t="s">
        <v>1264</v>
      </c>
      <c r="R8689" t="s">
        <v>6891</v>
      </c>
      <c r="S8689" t="s">
        <v>1085</v>
      </c>
    </row>
    <row r="8690" spans="1:19" x14ac:dyDescent="0.25">
      <c r="A8690" t="s">
        <v>59</v>
      </c>
      <c r="B8690" t="s">
        <v>60</v>
      </c>
      <c r="C8690" t="s">
        <v>32</v>
      </c>
      <c r="D8690" t="s">
        <v>953</v>
      </c>
      <c r="E8690" t="s">
        <v>1084</v>
      </c>
      <c r="F8690" t="s">
        <v>35</v>
      </c>
      <c r="G8690" t="s">
        <v>35</v>
      </c>
      <c r="H8690" t="s">
        <v>35</v>
      </c>
      <c r="J8690" t="s">
        <v>7789</v>
      </c>
      <c r="K8690" t="s">
        <v>1092</v>
      </c>
      <c r="M8690">
        <v>1</v>
      </c>
      <c r="N8690">
        <v>30</v>
      </c>
      <c r="O8690" t="s">
        <v>46</v>
      </c>
      <c r="Q8690" t="s">
        <v>793</v>
      </c>
      <c r="R8690" t="s">
        <v>6891</v>
      </c>
      <c r="S8690" t="s">
        <v>1085</v>
      </c>
    </row>
    <row r="8691" spans="1:19" x14ac:dyDescent="0.25">
      <c r="A8691" t="s">
        <v>30</v>
      </c>
      <c r="B8691" t="s">
        <v>31</v>
      </c>
      <c r="C8691" t="s">
        <v>32</v>
      </c>
      <c r="D8691" t="s">
        <v>953</v>
      </c>
      <c r="E8691" t="s">
        <v>1084</v>
      </c>
      <c r="F8691" t="s">
        <v>35</v>
      </c>
      <c r="G8691" t="s">
        <v>35</v>
      </c>
      <c r="H8691" t="s">
        <v>35</v>
      </c>
      <c r="J8691" t="s">
        <v>7789</v>
      </c>
      <c r="K8691" t="s">
        <v>1092</v>
      </c>
      <c r="M8691">
        <v>1.35</v>
      </c>
      <c r="N8691">
        <v>30</v>
      </c>
      <c r="O8691" t="s">
        <v>46</v>
      </c>
      <c r="Q8691" t="s">
        <v>793</v>
      </c>
      <c r="R8691" t="s">
        <v>6891</v>
      </c>
      <c r="S8691" t="s">
        <v>1085</v>
      </c>
    </row>
    <row r="8692" spans="1:19" x14ac:dyDescent="0.25">
      <c r="A8692" t="s">
        <v>59</v>
      </c>
      <c r="B8692" t="s">
        <v>60</v>
      </c>
      <c r="C8692" t="s">
        <v>32</v>
      </c>
      <c r="D8692" t="s">
        <v>953</v>
      </c>
      <c r="E8692" t="s">
        <v>1084</v>
      </c>
      <c r="F8692" t="s">
        <v>35</v>
      </c>
      <c r="G8692" t="s">
        <v>35</v>
      </c>
      <c r="H8692" t="s">
        <v>35</v>
      </c>
      <c r="J8692" t="s">
        <v>7790</v>
      </c>
      <c r="K8692" t="s">
        <v>1092</v>
      </c>
      <c r="M8692">
        <v>0.5</v>
      </c>
      <c r="N8692">
        <v>50</v>
      </c>
      <c r="O8692" t="s">
        <v>52</v>
      </c>
      <c r="Q8692" t="s">
        <v>425</v>
      </c>
      <c r="R8692" t="s">
        <v>6891</v>
      </c>
      <c r="S8692" t="s">
        <v>1085</v>
      </c>
    </row>
    <row r="8693" spans="1:19" x14ac:dyDescent="0.25">
      <c r="A8693" t="s">
        <v>59</v>
      </c>
      <c r="B8693" t="s">
        <v>60</v>
      </c>
      <c r="C8693" t="s">
        <v>32</v>
      </c>
      <c r="D8693" t="s">
        <v>953</v>
      </c>
      <c r="E8693" t="s">
        <v>1084</v>
      </c>
      <c r="F8693" t="s">
        <v>35</v>
      </c>
      <c r="G8693" t="s">
        <v>35</v>
      </c>
      <c r="H8693" t="s">
        <v>35</v>
      </c>
      <c r="J8693" t="s">
        <v>7790</v>
      </c>
      <c r="K8693" t="s">
        <v>1092</v>
      </c>
      <c r="M8693">
        <v>0.5</v>
      </c>
      <c r="N8693">
        <v>87</v>
      </c>
      <c r="O8693" t="s">
        <v>61</v>
      </c>
      <c r="Q8693" t="s">
        <v>1639</v>
      </c>
      <c r="R8693" t="s">
        <v>6891</v>
      </c>
      <c r="S8693" t="s">
        <v>1085</v>
      </c>
    </row>
    <row r="8694" spans="1:19" x14ac:dyDescent="0.25">
      <c r="A8694" t="s">
        <v>59</v>
      </c>
      <c r="B8694" t="s">
        <v>60</v>
      </c>
      <c r="C8694" t="s">
        <v>32</v>
      </c>
      <c r="D8694" t="s">
        <v>953</v>
      </c>
      <c r="E8694" t="s">
        <v>1084</v>
      </c>
      <c r="F8694" t="s">
        <v>35</v>
      </c>
      <c r="G8694" t="s">
        <v>35</v>
      </c>
      <c r="H8694" t="s">
        <v>35</v>
      </c>
      <c r="J8694" t="s">
        <v>7790</v>
      </c>
      <c r="K8694" t="s">
        <v>1092</v>
      </c>
      <c r="M8694">
        <v>0.5</v>
      </c>
      <c r="N8694">
        <v>65</v>
      </c>
      <c r="O8694" t="s">
        <v>61</v>
      </c>
      <c r="Q8694" t="s">
        <v>128</v>
      </c>
      <c r="R8694" t="s">
        <v>6891</v>
      </c>
      <c r="S8694" t="s">
        <v>1085</v>
      </c>
    </row>
    <row r="8695" spans="1:19" x14ac:dyDescent="0.25">
      <c r="A8695" t="s">
        <v>30</v>
      </c>
      <c r="B8695" t="s">
        <v>31</v>
      </c>
      <c r="C8695" t="s">
        <v>32</v>
      </c>
      <c r="D8695" t="s">
        <v>953</v>
      </c>
      <c r="E8695" t="s">
        <v>1084</v>
      </c>
      <c r="F8695" t="s">
        <v>35</v>
      </c>
      <c r="G8695" t="s">
        <v>35</v>
      </c>
      <c r="H8695" t="s">
        <v>35</v>
      </c>
      <c r="J8695" t="s">
        <v>7791</v>
      </c>
      <c r="K8695" t="s">
        <v>1092</v>
      </c>
      <c r="M8695">
        <v>0.45</v>
      </c>
      <c r="N8695">
        <v>17</v>
      </c>
      <c r="O8695" t="s">
        <v>46</v>
      </c>
      <c r="Q8695" t="s">
        <v>1302</v>
      </c>
      <c r="R8695" t="s">
        <v>6891</v>
      </c>
      <c r="S8695" t="s">
        <v>1085</v>
      </c>
    </row>
    <row r="8696" spans="1:19" x14ac:dyDescent="0.25">
      <c r="A8696" t="s">
        <v>59</v>
      </c>
      <c r="B8696" t="s">
        <v>31</v>
      </c>
      <c r="C8696" t="s">
        <v>32</v>
      </c>
      <c r="D8696" t="s">
        <v>953</v>
      </c>
      <c r="E8696" t="s">
        <v>1084</v>
      </c>
      <c r="F8696" t="s">
        <v>35</v>
      </c>
      <c r="G8696" t="s">
        <v>35</v>
      </c>
      <c r="H8696" t="s">
        <v>35</v>
      </c>
      <c r="J8696" t="s">
        <v>7792</v>
      </c>
      <c r="K8696" t="s">
        <v>1092</v>
      </c>
      <c r="M8696">
        <v>3.5550000000000002</v>
      </c>
      <c r="N8696">
        <v>142</v>
      </c>
      <c r="O8696" t="s">
        <v>38</v>
      </c>
      <c r="Q8696" t="s">
        <v>2067</v>
      </c>
      <c r="R8696" t="s">
        <v>6877</v>
      </c>
      <c r="S8696" t="s">
        <v>1041</v>
      </c>
    </row>
    <row r="8697" spans="1:19" x14ac:dyDescent="0.25">
      <c r="A8697" t="s">
        <v>59</v>
      </c>
      <c r="B8697" t="s">
        <v>60</v>
      </c>
      <c r="C8697" t="s">
        <v>32</v>
      </c>
      <c r="D8697" t="s">
        <v>953</v>
      </c>
      <c r="E8697" t="s">
        <v>1084</v>
      </c>
      <c r="F8697" t="s">
        <v>35</v>
      </c>
      <c r="G8697" t="s">
        <v>35</v>
      </c>
      <c r="H8697" t="s">
        <v>35</v>
      </c>
      <c r="J8697" t="s">
        <v>7793</v>
      </c>
      <c r="K8697" t="s">
        <v>1092</v>
      </c>
      <c r="M8697">
        <v>0.5</v>
      </c>
      <c r="N8697">
        <v>287</v>
      </c>
      <c r="O8697" t="s">
        <v>5</v>
      </c>
      <c r="Q8697" t="s">
        <v>3688</v>
      </c>
      <c r="R8697" t="s">
        <v>6891</v>
      </c>
      <c r="S8697" t="s">
        <v>1085</v>
      </c>
    </row>
    <row r="8698" spans="1:19" x14ac:dyDescent="0.25">
      <c r="A8698" t="s">
        <v>59</v>
      </c>
      <c r="B8698" t="s">
        <v>60</v>
      </c>
      <c r="C8698" t="s">
        <v>32</v>
      </c>
      <c r="D8698" t="s">
        <v>953</v>
      </c>
      <c r="E8698" t="s">
        <v>1084</v>
      </c>
      <c r="F8698" t="s">
        <v>35</v>
      </c>
      <c r="G8698" t="s">
        <v>35</v>
      </c>
      <c r="H8698" t="s">
        <v>35</v>
      </c>
      <c r="J8698" t="s">
        <v>7793</v>
      </c>
      <c r="K8698" t="s">
        <v>1092</v>
      </c>
      <c r="M8698">
        <v>0.3</v>
      </c>
      <c r="N8698">
        <v>342</v>
      </c>
      <c r="O8698" t="s">
        <v>5</v>
      </c>
      <c r="Q8698" t="s">
        <v>3213</v>
      </c>
      <c r="R8698" t="s">
        <v>6891</v>
      </c>
      <c r="S8698" t="s">
        <v>1085</v>
      </c>
    </row>
    <row r="8699" spans="1:19" x14ac:dyDescent="0.25">
      <c r="A8699" t="s">
        <v>59</v>
      </c>
      <c r="B8699" t="s">
        <v>60</v>
      </c>
      <c r="C8699" t="s">
        <v>32</v>
      </c>
      <c r="D8699" t="s">
        <v>953</v>
      </c>
      <c r="E8699" t="s">
        <v>1084</v>
      </c>
      <c r="F8699" t="s">
        <v>35</v>
      </c>
      <c r="G8699" t="s">
        <v>35</v>
      </c>
      <c r="H8699" t="s">
        <v>35</v>
      </c>
      <c r="J8699" t="s">
        <v>7793</v>
      </c>
      <c r="K8699" t="s">
        <v>1092</v>
      </c>
      <c r="M8699">
        <v>0.5</v>
      </c>
      <c r="N8699">
        <v>54</v>
      </c>
      <c r="O8699" t="s">
        <v>52</v>
      </c>
      <c r="Q8699" t="s">
        <v>1207</v>
      </c>
      <c r="R8699" t="s">
        <v>6891</v>
      </c>
      <c r="S8699" t="s">
        <v>1085</v>
      </c>
    </row>
    <row r="8700" spans="1:19" x14ac:dyDescent="0.25">
      <c r="A8700" t="s">
        <v>59</v>
      </c>
      <c r="B8700" t="s">
        <v>60</v>
      </c>
      <c r="C8700" t="s">
        <v>32</v>
      </c>
      <c r="D8700" t="s">
        <v>953</v>
      </c>
      <c r="E8700" t="s">
        <v>1084</v>
      </c>
      <c r="F8700" t="s">
        <v>35</v>
      </c>
      <c r="G8700" t="s">
        <v>35</v>
      </c>
      <c r="H8700" t="s">
        <v>35</v>
      </c>
      <c r="J8700" t="s">
        <v>7793</v>
      </c>
      <c r="K8700" t="s">
        <v>1092</v>
      </c>
      <c r="M8700">
        <v>0.5</v>
      </c>
      <c r="N8700">
        <v>313</v>
      </c>
      <c r="O8700" t="s">
        <v>5</v>
      </c>
      <c r="Q8700" t="s">
        <v>6056</v>
      </c>
      <c r="R8700" t="s">
        <v>6891</v>
      </c>
      <c r="S8700" t="s">
        <v>1085</v>
      </c>
    </row>
    <row r="8701" spans="1:19" x14ac:dyDescent="0.25">
      <c r="A8701" t="s">
        <v>59</v>
      </c>
      <c r="B8701" t="s">
        <v>60</v>
      </c>
      <c r="C8701" t="s">
        <v>32</v>
      </c>
      <c r="D8701" t="s">
        <v>953</v>
      </c>
      <c r="E8701" t="s">
        <v>1084</v>
      </c>
      <c r="F8701" t="s">
        <v>35</v>
      </c>
      <c r="G8701" t="s">
        <v>35</v>
      </c>
      <c r="H8701" t="s">
        <v>35</v>
      </c>
      <c r="J8701" t="s">
        <v>7794</v>
      </c>
      <c r="K8701" t="s">
        <v>1092</v>
      </c>
      <c r="M8701">
        <v>0.15</v>
      </c>
      <c r="N8701">
        <v>80</v>
      </c>
      <c r="O8701" t="s">
        <v>61</v>
      </c>
      <c r="Q8701" t="s">
        <v>477</v>
      </c>
      <c r="R8701" t="s">
        <v>6891</v>
      </c>
      <c r="S8701" t="s">
        <v>1085</v>
      </c>
    </row>
    <row r="8702" spans="1:19" x14ac:dyDescent="0.25">
      <c r="A8702" t="s">
        <v>59</v>
      </c>
      <c r="B8702" t="s">
        <v>60</v>
      </c>
      <c r="C8702" t="s">
        <v>32</v>
      </c>
      <c r="D8702" t="s">
        <v>953</v>
      </c>
      <c r="E8702" t="s">
        <v>1084</v>
      </c>
      <c r="F8702" t="s">
        <v>35</v>
      </c>
      <c r="G8702" t="s">
        <v>35</v>
      </c>
      <c r="H8702" t="s">
        <v>35</v>
      </c>
      <c r="J8702" t="s">
        <v>7794</v>
      </c>
      <c r="K8702" t="s">
        <v>1092</v>
      </c>
      <c r="M8702">
        <v>0.5</v>
      </c>
      <c r="N8702">
        <v>61</v>
      </c>
      <c r="O8702" t="s">
        <v>61</v>
      </c>
      <c r="Q8702" t="s">
        <v>671</v>
      </c>
      <c r="R8702" t="s">
        <v>6891</v>
      </c>
      <c r="S8702" t="s">
        <v>1085</v>
      </c>
    </row>
    <row r="8703" spans="1:19" x14ac:dyDescent="0.25">
      <c r="A8703" t="s">
        <v>30</v>
      </c>
      <c r="B8703" t="s">
        <v>31</v>
      </c>
      <c r="C8703" t="s">
        <v>32</v>
      </c>
      <c r="D8703" t="s">
        <v>953</v>
      </c>
      <c r="E8703" t="s">
        <v>1084</v>
      </c>
      <c r="F8703" t="s">
        <v>35</v>
      </c>
      <c r="G8703" t="s">
        <v>35</v>
      </c>
      <c r="H8703" t="s">
        <v>35</v>
      </c>
      <c r="J8703" t="s">
        <v>7795</v>
      </c>
      <c r="K8703" t="s">
        <v>1092</v>
      </c>
      <c r="M8703">
        <v>0.45</v>
      </c>
      <c r="N8703">
        <v>17</v>
      </c>
      <c r="O8703" t="s">
        <v>46</v>
      </c>
      <c r="Q8703" t="s">
        <v>1302</v>
      </c>
      <c r="R8703" t="s">
        <v>6891</v>
      </c>
      <c r="S8703" t="s">
        <v>1085</v>
      </c>
    </row>
    <row r="8704" spans="1:19" x14ac:dyDescent="0.25">
      <c r="A8704" t="s">
        <v>59</v>
      </c>
      <c r="B8704" t="s">
        <v>60</v>
      </c>
      <c r="C8704" t="s">
        <v>32</v>
      </c>
      <c r="D8704" t="s">
        <v>953</v>
      </c>
      <c r="E8704" t="s">
        <v>1084</v>
      </c>
      <c r="F8704" t="s">
        <v>35</v>
      </c>
      <c r="G8704" t="s">
        <v>35</v>
      </c>
      <c r="H8704" t="s">
        <v>35</v>
      </c>
      <c r="J8704" t="s">
        <v>7795</v>
      </c>
      <c r="K8704" t="s">
        <v>1092</v>
      </c>
      <c r="M8704">
        <v>0.15</v>
      </c>
      <c r="N8704">
        <v>17</v>
      </c>
      <c r="O8704" t="s">
        <v>46</v>
      </c>
      <c r="Q8704" t="s">
        <v>1302</v>
      </c>
      <c r="R8704" t="s">
        <v>6891</v>
      </c>
      <c r="S8704" t="s">
        <v>1085</v>
      </c>
    </row>
    <row r="8705" spans="1:19" x14ac:dyDescent="0.25">
      <c r="A8705" t="s">
        <v>59</v>
      </c>
      <c r="B8705" t="s">
        <v>60</v>
      </c>
      <c r="C8705" t="s">
        <v>32</v>
      </c>
      <c r="D8705" t="s">
        <v>953</v>
      </c>
      <c r="E8705" t="s">
        <v>1084</v>
      </c>
      <c r="F8705" t="s">
        <v>35</v>
      </c>
      <c r="G8705" t="s">
        <v>35</v>
      </c>
      <c r="H8705" t="s">
        <v>35</v>
      </c>
      <c r="J8705" t="s">
        <v>7796</v>
      </c>
      <c r="K8705" t="s">
        <v>1092</v>
      </c>
      <c r="M8705">
        <v>4</v>
      </c>
      <c r="N8705">
        <v>86</v>
      </c>
      <c r="O8705" t="s">
        <v>61</v>
      </c>
      <c r="Q8705" t="s">
        <v>1076</v>
      </c>
      <c r="R8705" t="s">
        <v>158</v>
      </c>
      <c r="S8705" t="s">
        <v>159</v>
      </c>
    </row>
    <row r="8706" spans="1:19" x14ac:dyDescent="0.25">
      <c r="A8706" t="s">
        <v>59</v>
      </c>
      <c r="B8706" t="s">
        <v>60</v>
      </c>
      <c r="C8706" t="s">
        <v>32</v>
      </c>
      <c r="D8706" t="s">
        <v>953</v>
      </c>
      <c r="E8706" t="s">
        <v>1084</v>
      </c>
      <c r="F8706" t="s">
        <v>35</v>
      </c>
      <c r="G8706" t="s">
        <v>35</v>
      </c>
      <c r="H8706" t="s">
        <v>35</v>
      </c>
      <c r="J8706" t="s">
        <v>7796</v>
      </c>
      <c r="K8706" t="s">
        <v>1092</v>
      </c>
      <c r="M8706">
        <v>0.15</v>
      </c>
      <c r="N8706">
        <v>275</v>
      </c>
      <c r="O8706" t="s">
        <v>5</v>
      </c>
      <c r="Q8706" t="s">
        <v>4238</v>
      </c>
      <c r="R8706" t="s">
        <v>158</v>
      </c>
      <c r="S8706" t="s">
        <v>159</v>
      </c>
    </row>
    <row r="8707" spans="1:19" x14ac:dyDescent="0.25">
      <c r="A8707" t="s">
        <v>59</v>
      </c>
      <c r="B8707" t="s">
        <v>31</v>
      </c>
      <c r="C8707" t="s">
        <v>32</v>
      </c>
      <c r="D8707" t="s">
        <v>953</v>
      </c>
      <c r="E8707" t="s">
        <v>1084</v>
      </c>
      <c r="F8707" t="s">
        <v>35</v>
      </c>
      <c r="G8707" t="s">
        <v>35</v>
      </c>
      <c r="H8707" t="s">
        <v>35</v>
      </c>
      <c r="J8707" t="s">
        <v>7797</v>
      </c>
      <c r="K8707" t="s">
        <v>1092</v>
      </c>
      <c r="M8707">
        <v>0.36</v>
      </c>
      <c r="N8707">
        <v>139</v>
      </c>
      <c r="O8707" t="s">
        <v>38</v>
      </c>
      <c r="Q8707" t="s">
        <v>1696</v>
      </c>
      <c r="R8707" t="s">
        <v>133</v>
      </c>
      <c r="S8707" t="s">
        <v>134</v>
      </c>
    </row>
    <row r="8708" spans="1:19" x14ac:dyDescent="0.25">
      <c r="A8708" t="s">
        <v>59</v>
      </c>
      <c r="B8708" t="s">
        <v>60</v>
      </c>
      <c r="C8708" t="s">
        <v>32</v>
      </c>
      <c r="D8708" t="s">
        <v>953</v>
      </c>
      <c r="E8708" t="s">
        <v>1084</v>
      </c>
      <c r="F8708" t="s">
        <v>35</v>
      </c>
      <c r="G8708" t="s">
        <v>35</v>
      </c>
      <c r="H8708" t="s">
        <v>35</v>
      </c>
      <c r="J8708" t="s">
        <v>7798</v>
      </c>
      <c r="K8708" t="s">
        <v>1092</v>
      </c>
      <c r="M8708">
        <v>0.312</v>
      </c>
      <c r="N8708">
        <v>234</v>
      </c>
      <c r="O8708" t="s">
        <v>5</v>
      </c>
      <c r="Q8708" t="s">
        <v>1780</v>
      </c>
      <c r="R8708" t="s">
        <v>6891</v>
      </c>
      <c r="S8708" t="s">
        <v>1085</v>
      </c>
    </row>
    <row r="8709" spans="1:19" x14ac:dyDescent="0.25">
      <c r="A8709" t="s">
        <v>44</v>
      </c>
      <c r="B8709" t="s">
        <v>3</v>
      </c>
      <c r="C8709" t="s">
        <v>32</v>
      </c>
      <c r="D8709" t="s">
        <v>953</v>
      </c>
      <c r="E8709" t="s">
        <v>1084</v>
      </c>
      <c r="F8709" t="s">
        <v>35</v>
      </c>
      <c r="G8709" t="s">
        <v>35</v>
      </c>
      <c r="H8709" t="s">
        <v>35</v>
      </c>
      <c r="J8709" t="s">
        <v>7798</v>
      </c>
      <c r="K8709" t="s">
        <v>1092</v>
      </c>
      <c r="M8709">
        <v>0.2</v>
      </c>
      <c r="N8709">
        <v>234</v>
      </c>
      <c r="O8709" t="s">
        <v>5</v>
      </c>
      <c r="Q8709" t="s">
        <v>1780</v>
      </c>
      <c r="R8709" t="s">
        <v>6891</v>
      </c>
      <c r="S8709" t="s">
        <v>1085</v>
      </c>
    </row>
    <row r="8710" spans="1:19" x14ac:dyDescent="0.25">
      <c r="A8710" t="s">
        <v>30</v>
      </c>
      <c r="B8710" t="s">
        <v>31</v>
      </c>
      <c r="C8710" t="s">
        <v>32</v>
      </c>
      <c r="D8710" t="s">
        <v>953</v>
      </c>
      <c r="E8710" t="s">
        <v>1084</v>
      </c>
      <c r="F8710" t="s">
        <v>35</v>
      </c>
      <c r="G8710" t="s">
        <v>35</v>
      </c>
      <c r="H8710" t="s">
        <v>35</v>
      </c>
      <c r="J8710" t="s">
        <v>7798</v>
      </c>
      <c r="K8710" t="s">
        <v>1092</v>
      </c>
      <c r="M8710">
        <v>0.72</v>
      </c>
      <c r="N8710">
        <v>30</v>
      </c>
      <c r="O8710" t="s">
        <v>46</v>
      </c>
      <c r="Q8710" t="s">
        <v>793</v>
      </c>
      <c r="R8710" t="s">
        <v>6891</v>
      </c>
      <c r="S8710" t="s">
        <v>1085</v>
      </c>
    </row>
    <row r="8711" spans="1:19" x14ac:dyDescent="0.25">
      <c r="A8711" t="s">
        <v>59</v>
      </c>
      <c r="B8711" t="s">
        <v>60</v>
      </c>
      <c r="C8711" t="s">
        <v>32</v>
      </c>
      <c r="D8711" t="s">
        <v>953</v>
      </c>
      <c r="E8711" t="s">
        <v>1084</v>
      </c>
      <c r="F8711" t="s">
        <v>35</v>
      </c>
      <c r="G8711" t="s">
        <v>35</v>
      </c>
      <c r="H8711" t="s">
        <v>35</v>
      </c>
      <c r="J8711" t="s">
        <v>7799</v>
      </c>
      <c r="K8711" t="s">
        <v>1092</v>
      </c>
      <c r="M8711">
        <v>0.65</v>
      </c>
      <c r="N8711">
        <v>47</v>
      </c>
      <c r="O8711" t="s">
        <v>52</v>
      </c>
      <c r="Q8711" t="s">
        <v>132</v>
      </c>
      <c r="R8711" t="s">
        <v>6891</v>
      </c>
      <c r="S8711" t="s">
        <v>1085</v>
      </c>
    </row>
    <row r="8712" spans="1:19" x14ac:dyDescent="0.25">
      <c r="A8712" t="s">
        <v>59</v>
      </c>
      <c r="B8712" t="s">
        <v>31</v>
      </c>
      <c r="C8712" t="s">
        <v>32</v>
      </c>
      <c r="D8712" t="s">
        <v>953</v>
      </c>
      <c r="E8712" t="s">
        <v>1084</v>
      </c>
      <c r="F8712" t="s">
        <v>35</v>
      </c>
      <c r="G8712" t="s">
        <v>35</v>
      </c>
      <c r="H8712" t="s">
        <v>35</v>
      </c>
      <c r="J8712" t="s">
        <v>7799</v>
      </c>
      <c r="K8712" t="s">
        <v>1092</v>
      </c>
      <c r="M8712">
        <v>0.27</v>
      </c>
      <c r="N8712">
        <v>61</v>
      </c>
      <c r="O8712" t="s">
        <v>61</v>
      </c>
      <c r="Q8712" t="s">
        <v>671</v>
      </c>
      <c r="R8712" t="s">
        <v>6891</v>
      </c>
      <c r="S8712" t="s">
        <v>1085</v>
      </c>
    </row>
    <row r="8713" spans="1:19" x14ac:dyDescent="0.25">
      <c r="A8713" t="s">
        <v>30</v>
      </c>
      <c r="B8713" t="s">
        <v>31</v>
      </c>
      <c r="C8713" t="s">
        <v>32</v>
      </c>
      <c r="D8713" t="s">
        <v>953</v>
      </c>
      <c r="E8713" t="s">
        <v>1084</v>
      </c>
      <c r="F8713" t="s">
        <v>35</v>
      </c>
      <c r="G8713" t="s">
        <v>35</v>
      </c>
      <c r="H8713" t="s">
        <v>35</v>
      </c>
      <c r="J8713" t="s">
        <v>8269</v>
      </c>
      <c r="K8713" t="s">
        <v>1092</v>
      </c>
      <c r="M8713">
        <v>4.9950000000000001</v>
      </c>
      <c r="N8713">
        <v>24</v>
      </c>
      <c r="O8713" t="s">
        <v>46</v>
      </c>
      <c r="Q8713" t="s">
        <v>255</v>
      </c>
      <c r="R8713" t="s">
        <v>6897</v>
      </c>
      <c r="S8713" t="s">
        <v>1062</v>
      </c>
    </row>
    <row r="8714" spans="1:19" x14ac:dyDescent="0.25">
      <c r="A8714" t="s">
        <v>59</v>
      </c>
      <c r="B8714" t="s">
        <v>60</v>
      </c>
      <c r="C8714" t="s">
        <v>32</v>
      </c>
      <c r="D8714" t="s">
        <v>953</v>
      </c>
      <c r="E8714" t="s">
        <v>1084</v>
      </c>
      <c r="F8714" t="s">
        <v>35</v>
      </c>
      <c r="G8714" t="s">
        <v>35</v>
      </c>
      <c r="H8714" t="s">
        <v>35</v>
      </c>
      <c r="J8714" t="s">
        <v>7800</v>
      </c>
      <c r="K8714" t="s">
        <v>1092</v>
      </c>
      <c r="M8714">
        <v>3</v>
      </c>
      <c r="N8714">
        <v>47</v>
      </c>
      <c r="O8714" t="s">
        <v>52</v>
      </c>
      <c r="Q8714" t="s">
        <v>132</v>
      </c>
      <c r="R8714" t="s">
        <v>6891</v>
      </c>
      <c r="S8714" t="s">
        <v>1085</v>
      </c>
    </row>
    <row r="8715" spans="1:19" x14ac:dyDescent="0.25">
      <c r="A8715" t="s">
        <v>59</v>
      </c>
      <c r="B8715" t="s">
        <v>31</v>
      </c>
      <c r="C8715" t="s">
        <v>32</v>
      </c>
      <c r="D8715" t="s">
        <v>953</v>
      </c>
      <c r="E8715" t="s">
        <v>1084</v>
      </c>
      <c r="F8715" t="s">
        <v>35</v>
      </c>
      <c r="G8715" t="s">
        <v>35</v>
      </c>
      <c r="H8715" t="s">
        <v>35</v>
      </c>
      <c r="J8715" t="s">
        <v>7801</v>
      </c>
      <c r="K8715" t="s">
        <v>1092</v>
      </c>
      <c r="M8715">
        <v>0.9</v>
      </c>
      <c r="N8715">
        <v>59</v>
      </c>
      <c r="O8715" t="s">
        <v>52</v>
      </c>
      <c r="Q8715" t="s">
        <v>84</v>
      </c>
      <c r="R8715" t="s">
        <v>6891</v>
      </c>
      <c r="S8715" t="s">
        <v>1085</v>
      </c>
    </row>
    <row r="8716" spans="1:19" x14ac:dyDescent="0.25">
      <c r="A8716" t="s">
        <v>59</v>
      </c>
      <c r="B8716" t="s">
        <v>60</v>
      </c>
      <c r="C8716" t="s">
        <v>32</v>
      </c>
      <c r="D8716" t="s">
        <v>953</v>
      </c>
      <c r="E8716" t="s">
        <v>1084</v>
      </c>
      <c r="F8716" t="s">
        <v>35</v>
      </c>
      <c r="G8716" t="s">
        <v>35</v>
      </c>
      <c r="H8716" t="s">
        <v>35</v>
      </c>
      <c r="J8716" t="s">
        <v>7801</v>
      </c>
      <c r="K8716" t="s">
        <v>1092</v>
      </c>
      <c r="M8716">
        <v>0.25</v>
      </c>
      <c r="N8716">
        <v>282</v>
      </c>
      <c r="O8716" t="s">
        <v>5</v>
      </c>
      <c r="Q8716" t="s">
        <v>1225</v>
      </c>
      <c r="R8716" t="s">
        <v>6891</v>
      </c>
      <c r="S8716" t="s">
        <v>1085</v>
      </c>
    </row>
    <row r="8717" spans="1:19" x14ac:dyDescent="0.25">
      <c r="A8717" t="s">
        <v>59</v>
      </c>
      <c r="B8717" t="s">
        <v>60</v>
      </c>
      <c r="C8717" t="s">
        <v>32</v>
      </c>
      <c r="D8717" t="s">
        <v>953</v>
      </c>
      <c r="E8717" t="s">
        <v>1084</v>
      </c>
      <c r="F8717" t="s">
        <v>35</v>
      </c>
      <c r="G8717" t="s">
        <v>35</v>
      </c>
      <c r="H8717" t="s">
        <v>35</v>
      </c>
      <c r="J8717" t="s">
        <v>7801</v>
      </c>
      <c r="K8717" t="s">
        <v>1092</v>
      </c>
      <c r="M8717">
        <v>0.5</v>
      </c>
      <c r="N8717">
        <v>287</v>
      </c>
      <c r="O8717" t="s">
        <v>5</v>
      </c>
      <c r="Q8717" t="s">
        <v>3688</v>
      </c>
      <c r="R8717" t="s">
        <v>6891</v>
      </c>
      <c r="S8717" t="s">
        <v>1085</v>
      </c>
    </row>
    <row r="8718" spans="1:19" x14ac:dyDescent="0.25">
      <c r="A8718" t="s">
        <v>59</v>
      </c>
      <c r="B8718" t="s">
        <v>60</v>
      </c>
      <c r="C8718" t="s">
        <v>32</v>
      </c>
      <c r="D8718" t="s">
        <v>953</v>
      </c>
      <c r="E8718" t="s">
        <v>1084</v>
      </c>
      <c r="F8718" t="s">
        <v>35</v>
      </c>
      <c r="G8718" t="s">
        <v>35</v>
      </c>
      <c r="H8718" t="s">
        <v>35</v>
      </c>
      <c r="J8718" t="s">
        <v>7801</v>
      </c>
      <c r="K8718" t="s">
        <v>1092</v>
      </c>
      <c r="M8718">
        <v>0.1</v>
      </c>
      <c r="N8718">
        <v>308</v>
      </c>
      <c r="O8718" t="s">
        <v>5</v>
      </c>
      <c r="Q8718" t="s">
        <v>1567</v>
      </c>
      <c r="R8718" t="s">
        <v>6891</v>
      </c>
      <c r="S8718" t="s">
        <v>1085</v>
      </c>
    </row>
    <row r="8719" spans="1:19" x14ac:dyDescent="0.25">
      <c r="A8719" t="s">
        <v>44</v>
      </c>
      <c r="B8719" t="s">
        <v>3</v>
      </c>
      <c r="C8719" t="s">
        <v>32</v>
      </c>
      <c r="D8719" t="s">
        <v>953</v>
      </c>
      <c r="E8719" t="s">
        <v>1084</v>
      </c>
      <c r="F8719" t="s">
        <v>35</v>
      </c>
      <c r="G8719" t="s">
        <v>35</v>
      </c>
      <c r="H8719" t="s">
        <v>35</v>
      </c>
      <c r="J8719" t="s">
        <v>7801</v>
      </c>
      <c r="K8719" t="s">
        <v>1092</v>
      </c>
      <c r="M8719">
        <v>0.25</v>
      </c>
      <c r="N8719">
        <v>455</v>
      </c>
      <c r="O8719" t="s">
        <v>294</v>
      </c>
      <c r="Q8719" t="s">
        <v>1760</v>
      </c>
      <c r="R8719" t="s">
        <v>6891</v>
      </c>
      <c r="S8719" t="s">
        <v>1085</v>
      </c>
    </row>
    <row r="8720" spans="1:19" x14ac:dyDescent="0.25">
      <c r="A8720" t="s">
        <v>30</v>
      </c>
      <c r="B8720" t="s">
        <v>31</v>
      </c>
      <c r="C8720" t="s">
        <v>32</v>
      </c>
      <c r="D8720" t="s">
        <v>953</v>
      </c>
      <c r="E8720" t="s">
        <v>1084</v>
      </c>
      <c r="F8720" t="s">
        <v>35</v>
      </c>
      <c r="G8720" t="s">
        <v>35</v>
      </c>
      <c r="H8720" t="s">
        <v>35</v>
      </c>
      <c r="J8720" t="s">
        <v>7801</v>
      </c>
      <c r="K8720" t="s">
        <v>1092</v>
      </c>
      <c r="M8720">
        <v>4.4999999999999998E-2</v>
      </c>
      <c r="N8720">
        <v>260</v>
      </c>
      <c r="O8720" t="s">
        <v>5</v>
      </c>
      <c r="Q8720" t="s">
        <v>5106</v>
      </c>
      <c r="R8720" t="s">
        <v>6891</v>
      </c>
      <c r="S8720" t="s">
        <v>1085</v>
      </c>
    </row>
    <row r="8721" spans="1:19" x14ac:dyDescent="0.25">
      <c r="A8721" t="s">
        <v>30</v>
      </c>
      <c r="B8721" t="s">
        <v>31</v>
      </c>
      <c r="C8721" t="s">
        <v>32</v>
      </c>
      <c r="D8721" t="s">
        <v>953</v>
      </c>
      <c r="E8721" t="s">
        <v>1084</v>
      </c>
      <c r="F8721" t="s">
        <v>35</v>
      </c>
      <c r="G8721" t="s">
        <v>35</v>
      </c>
      <c r="H8721" t="s">
        <v>35</v>
      </c>
      <c r="J8721" t="s">
        <v>7801</v>
      </c>
      <c r="K8721" t="s">
        <v>1092</v>
      </c>
      <c r="M8721">
        <v>0.45</v>
      </c>
      <c r="N8721">
        <v>257</v>
      </c>
      <c r="O8721" t="s">
        <v>5</v>
      </c>
      <c r="Q8721" t="s">
        <v>1286</v>
      </c>
      <c r="R8721" t="s">
        <v>6891</v>
      </c>
      <c r="S8721" t="s">
        <v>1085</v>
      </c>
    </row>
    <row r="8722" spans="1:19" x14ac:dyDescent="0.25">
      <c r="A8722" t="s">
        <v>59</v>
      </c>
      <c r="B8722" t="s">
        <v>31</v>
      </c>
      <c r="C8722" t="s">
        <v>32</v>
      </c>
      <c r="D8722" t="s">
        <v>953</v>
      </c>
      <c r="E8722" t="s">
        <v>1084</v>
      </c>
      <c r="F8722" t="s">
        <v>35</v>
      </c>
      <c r="G8722" t="s">
        <v>35</v>
      </c>
      <c r="H8722" t="s">
        <v>35</v>
      </c>
      <c r="J8722" t="s">
        <v>7801</v>
      </c>
      <c r="K8722" t="s">
        <v>1092</v>
      </c>
      <c r="M8722">
        <v>0.45</v>
      </c>
      <c r="N8722">
        <v>93</v>
      </c>
      <c r="O8722" t="s">
        <v>106</v>
      </c>
      <c r="Q8722" t="s">
        <v>941</v>
      </c>
      <c r="R8722" t="s">
        <v>6891</v>
      </c>
      <c r="S8722" t="s">
        <v>1085</v>
      </c>
    </row>
    <row r="8723" spans="1:19" x14ac:dyDescent="0.25">
      <c r="A8723" t="s">
        <v>59</v>
      </c>
      <c r="B8723" t="s">
        <v>31</v>
      </c>
      <c r="C8723" t="s">
        <v>32</v>
      </c>
      <c r="D8723" t="s">
        <v>953</v>
      </c>
      <c r="E8723" t="s">
        <v>1084</v>
      </c>
      <c r="F8723" t="s">
        <v>35</v>
      </c>
      <c r="G8723" t="s">
        <v>35</v>
      </c>
      <c r="H8723" t="s">
        <v>35</v>
      </c>
      <c r="J8723" t="s">
        <v>7801</v>
      </c>
      <c r="K8723" t="s">
        <v>1092</v>
      </c>
      <c r="M8723">
        <v>0.45</v>
      </c>
      <c r="N8723">
        <v>246</v>
      </c>
      <c r="O8723" t="s">
        <v>5</v>
      </c>
      <c r="Q8723" t="s">
        <v>1903</v>
      </c>
      <c r="R8723" t="s">
        <v>6891</v>
      </c>
      <c r="S8723" t="s">
        <v>1085</v>
      </c>
    </row>
    <row r="8724" spans="1:19" x14ac:dyDescent="0.25">
      <c r="A8724" t="s">
        <v>30</v>
      </c>
      <c r="B8724" t="s">
        <v>31</v>
      </c>
      <c r="C8724" t="s">
        <v>32</v>
      </c>
      <c r="D8724" t="s">
        <v>953</v>
      </c>
      <c r="E8724" t="s">
        <v>1084</v>
      </c>
      <c r="F8724" t="s">
        <v>35</v>
      </c>
      <c r="G8724" t="s">
        <v>35</v>
      </c>
      <c r="H8724" t="s">
        <v>35</v>
      </c>
      <c r="J8724" t="s">
        <v>7802</v>
      </c>
      <c r="K8724" t="s">
        <v>1092</v>
      </c>
      <c r="M8724">
        <v>4.7450000000000001</v>
      </c>
      <c r="N8724">
        <v>6</v>
      </c>
      <c r="O8724" t="s">
        <v>46</v>
      </c>
      <c r="Q8724" t="s">
        <v>8168</v>
      </c>
      <c r="R8724" t="s">
        <v>6742</v>
      </c>
      <c r="S8724" t="s">
        <v>1016</v>
      </c>
    </row>
    <row r="8725" spans="1:19" x14ac:dyDescent="0.25">
      <c r="A8725" t="s">
        <v>59</v>
      </c>
      <c r="B8725" t="s">
        <v>60</v>
      </c>
      <c r="C8725" t="s">
        <v>32</v>
      </c>
      <c r="D8725" t="s">
        <v>953</v>
      </c>
      <c r="E8725" t="s">
        <v>1084</v>
      </c>
      <c r="F8725" t="s">
        <v>35</v>
      </c>
      <c r="G8725" t="s">
        <v>35</v>
      </c>
      <c r="H8725" t="s">
        <v>35</v>
      </c>
      <c r="J8725" t="s">
        <v>7802</v>
      </c>
      <c r="K8725" t="s">
        <v>1092</v>
      </c>
      <c r="M8725">
        <v>0.52</v>
      </c>
      <c r="N8725">
        <v>68</v>
      </c>
      <c r="O8725" t="s">
        <v>61</v>
      </c>
      <c r="Q8725" t="s">
        <v>146</v>
      </c>
      <c r="R8725" t="s">
        <v>6891</v>
      </c>
      <c r="S8725" t="s">
        <v>1085</v>
      </c>
    </row>
    <row r="8726" spans="1:19" x14ac:dyDescent="0.25">
      <c r="A8726" t="s">
        <v>59</v>
      </c>
      <c r="B8726" t="s">
        <v>60</v>
      </c>
      <c r="C8726" t="s">
        <v>32</v>
      </c>
      <c r="D8726" t="s">
        <v>953</v>
      </c>
      <c r="E8726" t="s">
        <v>1084</v>
      </c>
      <c r="F8726" t="s">
        <v>35</v>
      </c>
      <c r="G8726" t="s">
        <v>35</v>
      </c>
      <c r="H8726" t="s">
        <v>35</v>
      </c>
      <c r="J8726" t="s">
        <v>7802</v>
      </c>
      <c r="K8726" t="s">
        <v>1092</v>
      </c>
      <c r="M8726">
        <v>1.5</v>
      </c>
      <c r="N8726">
        <v>50</v>
      </c>
      <c r="O8726" t="s">
        <v>52</v>
      </c>
      <c r="Q8726" t="s">
        <v>425</v>
      </c>
      <c r="R8726" t="s">
        <v>6891</v>
      </c>
      <c r="S8726" t="s">
        <v>1085</v>
      </c>
    </row>
    <row r="8727" spans="1:19" x14ac:dyDescent="0.25">
      <c r="A8727" t="s">
        <v>59</v>
      </c>
      <c r="B8727" t="s">
        <v>60</v>
      </c>
      <c r="C8727" t="s">
        <v>32</v>
      </c>
      <c r="D8727" t="s">
        <v>953</v>
      </c>
      <c r="E8727" t="s">
        <v>1084</v>
      </c>
      <c r="F8727" t="s">
        <v>35</v>
      </c>
      <c r="G8727" t="s">
        <v>35</v>
      </c>
      <c r="H8727" t="s">
        <v>35</v>
      </c>
      <c r="J8727" t="s">
        <v>7804</v>
      </c>
      <c r="K8727" t="s">
        <v>1092</v>
      </c>
      <c r="M8727">
        <v>8.8000000000000007</v>
      </c>
      <c r="N8727">
        <v>178</v>
      </c>
      <c r="O8727" t="s">
        <v>38</v>
      </c>
      <c r="Q8727" t="s">
        <v>2827</v>
      </c>
      <c r="R8727" t="s">
        <v>158</v>
      </c>
      <c r="S8727" t="s">
        <v>159</v>
      </c>
    </row>
    <row r="8728" spans="1:19" x14ac:dyDescent="0.25">
      <c r="A8728" t="s">
        <v>59</v>
      </c>
      <c r="B8728" t="s">
        <v>60</v>
      </c>
      <c r="C8728" t="s">
        <v>32</v>
      </c>
      <c r="D8728" t="s">
        <v>953</v>
      </c>
      <c r="E8728" t="s">
        <v>1084</v>
      </c>
      <c r="F8728" t="s">
        <v>35</v>
      </c>
      <c r="G8728" t="s">
        <v>35</v>
      </c>
      <c r="H8728" t="s">
        <v>35</v>
      </c>
      <c r="J8728" t="s">
        <v>7806</v>
      </c>
      <c r="K8728" t="s">
        <v>1092</v>
      </c>
      <c r="M8728">
        <v>0.75</v>
      </c>
      <c r="N8728">
        <v>184</v>
      </c>
      <c r="O8728" t="s">
        <v>5</v>
      </c>
      <c r="Q8728" t="s">
        <v>4625</v>
      </c>
      <c r="R8728" t="s">
        <v>6891</v>
      </c>
      <c r="S8728" t="s">
        <v>1085</v>
      </c>
    </row>
    <row r="8729" spans="1:19" x14ac:dyDescent="0.25">
      <c r="A8729" t="s">
        <v>59</v>
      </c>
      <c r="B8729" t="s">
        <v>31</v>
      </c>
      <c r="C8729" t="s">
        <v>32</v>
      </c>
      <c r="D8729" t="s">
        <v>953</v>
      </c>
      <c r="E8729" t="s">
        <v>1084</v>
      </c>
      <c r="F8729" t="s">
        <v>35</v>
      </c>
      <c r="G8729" t="s">
        <v>35</v>
      </c>
      <c r="H8729" t="s">
        <v>35</v>
      </c>
      <c r="J8729" t="s">
        <v>7806</v>
      </c>
      <c r="K8729" t="s">
        <v>1092</v>
      </c>
      <c r="M8729">
        <v>4.4999999999999998E-2</v>
      </c>
      <c r="N8729">
        <v>218</v>
      </c>
      <c r="O8729" t="s">
        <v>5</v>
      </c>
      <c r="Q8729" t="s">
        <v>1504</v>
      </c>
      <c r="R8729" t="s">
        <v>6891</v>
      </c>
      <c r="S8729" t="s">
        <v>1085</v>
      </c>
    </row>
    <row r="8730" spans="1:19" x14ac:dyDescent="0.25">
      <c r="A8730" t="s">
        <v>30</v>
      </c>
      <c r="B8730" t="s">
        <v>31</v>
      </c>
      <c r="C8730" t="s">
        <v>32</v>
      </c>
      <c r="D8730" t="s">
        <v>953</v>
      </c>
      <c r="E8730" t="s">
        <v>1084</v>
      </c>
      <c r="F8730" t="s">
        <v>35</v>
      </c>
      <c r="G8730" t="s">
        <v>35</v>
      </c>
      <c r="H8730" t="s">
        <v>35</v>
      </c>
      <c r="J8730" t="s">
        <v>7806</v>
      </c>
      <c r="K8730" t="s">
        <v>1092</v>
      </c>
      <c r="M8730">
        <v>0.36</v>
      </c>
      <c r="N8730">
        <v>184</v>
      </c>
      <c r="O8730" t="s">
        <v>5</v>
      </c>
      <c r="Q8730" t="s">
        <v>4625</v>
      </c>
      <c r="R8730" t="s">
        <v>6891</v>
      </c>
      <c r="S8730" t="s">
        <v>1085</v>
      </c>
    </row>
    <row r="8731" spans="1:19" x14ac:dyDescent="0.25">
      <c r="A8731" t="s">
        <v>44</v>
      </c>
      <c r="B8731" t="s">
        <v>3</v>
      </c>
      <c r="C8731" t="s">
        <v>32</v>
      </c>
      <c r="D8731" t="s">
        <v>953</v>
      </c>
      <c r="E8731" t="s">
        <v>1084</v>
      </c>
      <c r="F8731" t="s">
        <v>35</v>
      </c>
      <c r="G8731" t="s">
        <v>35</v>
      </c>
      <c r="H8731" t="s">
        <v>35</v>
      </c>
      <c r="J8731" t="s">
        <v>7807</v>
      </c>
      <c r="K8731" t="s">
        <v>1092</v>
      </c>
      <c r="M8731">
        <v>0.5</v>
      </c>
      <c r="N8731">
        <v>226</v>
      </c>
      <c r="O8731" t="s">
        <v>5</v>
      </c>
      <c r="Q8731" t="s">
        <v>3300</v>
      </c>
      <c r="R8731" t="s">
        <v>6891</v>
      </c>
      <c r="S8731" t="s">
        <v>1085</v>
      </c>
    </row>
    <row r="8732" spans="1:19" x14ac:dyDescent="0.25">
      <c r="A8732" t="s">
        <v>44</v>
      </c>
      <c r="B8732" t="s">
        <v>3</v>
      </c>
      <c r="C8732" t="s">
        <v>32</v>
      </c>
      <c r="D8732" t="s">
        <v>953</v>
      </c>
      <c r="E8732" t="s">
        <v>1084</v>
      </c>
      <c r="F8732" t="s">
        <v>35</v>
      </c>
      <c r="G8732" t="s">
        <v>35</v>
      </c>
      <c r="H8732" t="s">
        <v>35</v>
      </c>
      <c r="J8732" t="s">
        <v>7807</v>
      </c>
      <c r="K8732" t="s">
        <v>1092</v>
      </c>
      <c r="M8732">
        <v>0.5</v>
      </c>
      <c r="N8732">
        <v>218</v>
      </c>
      <c r="O8732" t="s">
        <v>5</v>
      </c>
      <c r="Q8732" t="s">
        <v>1504</v>
      </c>
      <c r="R8732" t="s">
        <v>6891</v>
      </c>
      <c r="S8732" t="s">
        <v>1085</v>
      </c>
    </row>
    <row r="8733" spans="1:19" x14ac:dyDescent="0.25">
      <c r="A8733" t="s">
        <v>30</v>
      </c>
      <c r="B8733" t="s">
        <v>31</v>
      </c>
      <c r="C8733" t="s">
        <v>32</v>
      </c>
      <c r="D8733" t="s">
        <v>953</v>
      </c>
      <c r="E8733" t="s">
        <v>1084</v>
      </c>
      <c r="F8733" t="s">
        <v>35</v>
      </c>
      <c r="G8733" t="s">
        <v>35</v>
      </c>
      <c r="H8733" t="s">
        <v>35</v>
      </c>
      <c r="J8733" t="s">
        <v>7807</v>
      </c>
      <c r="K8733" t="s">
        <v>1092</v>
      </c>
      <c r="M8733">
        <v>0.9</v>
      </c>
      <c r="N8733">
        <v>43</v>
      </c>
      <c r="O8733" t="s">
        <v>52</v>
      </c>
      <c r="Q8733" t="s">
        <v>892</v>
      </c>
      <c r="R8733" t="s">
        <v>6891</v>
      </c>
      <c r="S8733" t="s">
        <v>1085</v>
      </c>
    </row>
    <row r="8734" spans="1:19" x14ac:dyDescent="0.25">
      <c r="A8734" t="s">
        <v>30</v>
      </c>
      <c r="B8734" t="s">
        <v>31</v>
      </c>
      <c r="C8734" t="s">
        <v>32</v>
      </c>
      <c r="D8734" t="s">
        <v>953</v>
      </c>
      <c r="E8734" t="s">
        <v>1084</v>
      </c>
      <c r="F8734" t="s">
        <v>35</v>
      </c>
      <c r="G8734" t="s">
        <v>35</v>
      </c>
      <c r="H8734" t="s">
        <v>35</v>
      </c>
      <c r="J8734" t="s">
        <v>7807</v>
      </c>
      <c r="K8734" t="s">
        <v>1092</v>
      </c>
      <c r="M8734">
        <v>1.35</v>
      </c>
      <c r="N8734">
        <v>36</v>
      </c>
      <c r="O8734" t="s">
        <v>52</v>
      </c>
      <c r="Q8734" t="s">
        <v>2005</v>
      </c>
      <c r="R8734" t="s">
        <v>6891</v>
      </c>
      <c r="S8734" t="s">
        <v>1085</v>
      </c>
    </row>
    <row r="8735" spans="1:19" x14ac:dyDescent="0.25">
      <c r="A8735" t="s">
        <v>59</v>
      </c>
      <c r="B8735" t="s">
        <v>60</v>
      </c>
      <c r="C8735" t="s">
        <v>32</v>
      </c>
      <c r="D8735" t="s">
        <v>953</v>
      </c>
      <c r="E8735" t="s">
        <v>1084</v>
      </c>
      <c r="F8735" t="s">
        <v>35</v>
      </c>
      <c r="G8735" t="s">
        <v>35</v>
      </c>
      <c r="H8735" t="s">
        <v>35</v>
      </c>
      <c r="J8735" t="s">
        <v>7808</v>
      </c>
      <c r="K8735" t="s">
        <v>1092</v>
      </c>
      <c r="M8735">
        <v>0.5</v>
      </c>
      <c r="N8735">
        <v>134</v>
      </c>
      <c r="O8735" t="s">
        <v>38</v>
      </c>
      <c r="Q8735" t="s">
        <v>3640</v>
      </c>
      <c r="R8735" t="s">
        <v>6891</v>
      </c>
      <c r="S8735" t="s">
        <v>1085</v>
      </c>
    </row>
    <row r="8736" spans="1:19" x14ac:dyDescent="0.25">
      <c r="A8736" t="s">
        <v>59</v>
      </c>
      <c r="B8736" t="s">
        <v>60</v>
      </c>
      <c r="C8736" t="s">
        <v>32</v>
      </c>
      <c r="D8736" t="s">
        <v>953</v>
      </c>
      <c r="E8736" t="s">
        <v>1084</v>
      </c>
      <c r="F8736" t="s">
        <v>35</v>
      </c>
      <c r="G8736" t="s">
        <v>35</v>
      </c>
      <c r="H8736" t="s">
        <v>35</v>
      </c>
      <c r="J8736" t="s">
        <v>7808</v>
      </c>
      <c r="K8736" t="s">
        <v>1092</v>
      </c>
      <c r="M8736">
        <v>0.5</v>
      </c>
      <c r="N8736">
        <v>128</v>
      </c>
      <c r="O8736" t="s">
        <v>38</v>
      </c>
      <c r="Q8736" t="s">
        <v>1170</v>
      </c>
      <c r="R8736" t="s">
        <v>6891</v>
      </c>
      <c r="S8736" t="s">
        <v>1085</v>
      </c>
    </row>
    <row r="8737" spans="1:19" x14ac:dyDescent="0.25">
      <c r="A8737" t="s">
        <v>30</v>
      </c>
      <c r="B8737" t="s">
        <v>31</v>
      </c>
      <c r="C8737" t="s">
        <v>32</v>
      </c>
      <c r="D8737" t="s">
        <v>953</v>
      </c>
      <c r="E8737" t="s">
        <v>1084</v>
      </c>
      <c r="F8737" t="s">
        <v>35</v>
      </c>
      <c r="G8737" t="s">
        <v>35</v>
      </c>
      <c r="H8737" t="s">
        <v>35</v>
      </c>
      <c r="J8737" t="s">
        <v>7809</v>
      </c>
      <c r="K8737" t="s">
        <v>1092</v>
      </c>
      <c r="M8737">
        <v>0.27</v>
      </c>
      <c r="N8737">
        <v>30</v>
      </c>
      <c r="O8737" t="s">
        <v>46</v>
      </c>
      <c r="Q8737" t="s">
        <v>793</v>
      </c>
      <c r="R8737" t="s">
        <v>6891</v>
      </c>
      <c r="S8737" t="s">
        <v>1085</v>
      </c>
    </row>
    <row r="8738" spans="1:19" x14ac:dyDescent="0.25">
      <c r="A8738" t="s">
        <v>30</v>
      </c>
      <c r="B8738" t="s">
        <v>31</v>
      </c>
      <c r="C8738" t="s">
        <v>32</v>
      </c>
      <c r="D8738" t="s">
        <v>953</v>
      </c>
      <c r="E8738" t="s">
        <v>1084</v>
      </c>
      <c r="F8738" t="s">
        <v>35</v>
      </c>
      <c r="G8738" t="s">
        <v>35</v>
      </c>
      <c r="H8738" t="s">
        <v>35</v>
      </c>
      <c r="J8738" t="s">
        <v>7810</v>
      </c>
      <c r="K8738" t="s">
        <v>1092</v>
      </c>
      <c r="M8738">
        <v>1.62</v>
      </c>
      <c r="N8738">
        <v>196</v>
      </c>
      <c r="O8738" t="s">
        <v>5</v>
      </c>
      <c r="Q8738" t="s">
        <v>5616</v>
      </c>
      <c r="R8738" t="s">
        <v>6877</v>
      </c>
      <c r="S8738" t="s">
        <v>1041</v>
      </c>
    </row>
    <row r="8739" spans="1:19" x14ac:dyDescent="0.25">
      <c r="A8739" t="s">
        <v>59</v>
      </c>
      <c r="B8739" t="s">
        <v>31</v>
      </c>
      <c r="C8739" t="s">
        <v>32</v>
      </c>
      <c r="D8739" t="s">
        <v>953</v>
      </c>
      <c r="E8739" t="s">
        <v>1084</v>
      </c>
      <c r="F8739" t="s">
        <v>35</v>
      </c>
      <c r="G8739" t="s">
        <v>35</v>
      </c>
      <c r="H8739" t="s">
        <v>35</v>
      </c>
      <c r="J8739" t="s">
        <v>7811</v>
      </c>
      <c r="K8739" t="s">
        <v>1092</v>
      </c>
      <c r="M8739">
        <v>9.5000000000000001E-2</v>
      </c>
      <c r="N8739">
        <v>216</v>
      </c>
      <c r="O8739" t="s">
        <v>5</v>
      </c>
      <c r="Q8739" t="s">
        <v>1492</v>
      </c>
      <c r="R8739" t="s">
        <v>6891</v>
      </c>
      <c r="S8739" t="s">
        <v>1085</v>
      </c>
    </row>
    <row r="8740" spans="1:19" x14ac:dyDescent="0.25">
      <c r="A8740" t="s">
        <v>30</v>
      </c>
      <c r="B8740" t="s">
        <v>31</v>
      </c>
      <c r="C8740" t="s">
        <v>32</v>
      </c>
      <c r="D8740" t="s">
        <v>953</v>
      </c>
      <c r="E8740" t="s">
        <v>1084</v>
      </c>
      <c r="F8740" t="s">
        <v>35</v>
      </c>
      <c r="G8740" t="s">
        <v>35</v>
      </c>
      <c r="H8740" t="s">
        <v>35</v>
      </c>
      <c r="J8740" t="s">
        <v>7811</v>
      </c>
      <c r="K8740" t="s">
        <v>1092</v>
      </c>
      <c r="M8740">
        <v>0.22500000000000001</v>
      </c>
      <c r="N8740">
        <v>30</v>
      </c>
      <c r="O8740" t="s">
        <v>46</v>
      </c>
      <c r="Q8740" t="s">
        <v>793</v>
      </c>
      <c r="R8740" t="s">
        <v>6891</v>
      </c>
      <c r="S8740" t="s">
        <v>1085</v>
      </c>
    </row>
    <row r="8741" spans="1:19" x14ac:dyDescent="0.25">
      <c r="A8741" t="s">
        <v>59</v>
      </c>
      <c r="B8741" t="s">
        <v>31</v>
      </c>
      <c r="C8741" t="s">
        <v>32</v>
      </c>
      <c r="D8741" t="s">
        <v>953</v>
      </c>
      <c r="E8741" t="s">
        <v>1084</v>
      </c>
      <c r="F8741" t="s">
        <v>35</v>
      </c>
      <c r="G8741" t="s">
        <v>35</v>
      </c>
      <c r="H8741" t="s">
        <v>35</v>
      </c>
      <c r="J8741" t="s">
        <v>2748</v>
      </c>
      <c r="K8741" t="s">
        <v>1092</v>
      </c>
      <c r="M8741">
        <v>0.36</v>
      </c>
      <c r="N8741">
        <v>233</v>
      </c>
      <c r="O8741" t="s">
        <v>5</v>
      </c>
      <c r="Q8741" t="s">
        <v>2002</v>
      </c>
      <c r="R8741" t="s">
        <v>6891</v>
      </c>
      <c r="S8741" t="s">
        <v>1085</v>
      </c>
    </row>
    <row r="8742" spans="1:19" x14ac:dyDescent="0.25">
      <c r="A8742" t="s">
        <v>59</v>
      </c>
      <c r="B8742" t="s">
        <v>60</v>
      </c>
      <c r="C8742" t="s">
        <v>32</v>
      </c>
      <c r="D8742" t="s">
        <v>953</v>
      </c>
      <c r="E8742" t="s">
        <v>1084</v>
      </c>
      <c r="F8742" t="s">
        <v>35</v>
      </c>
      <c r="G8742" t="s">
        <v>35</v>
      </c>
      <c r="H8742" t="s">
        <v>35</v>
      </c>
      <c r="J8742" t="s">
        <v>7812</v>
      </c>
      <c r="K8742" t="s">
        <v>1092</v>
      </c>
      <c r="M8742">
        <v>0.1</v>
      </c>
      <c r="N8742">
        <v>556</v>
      </c>
      <c r="O8742" t="s">
        <v>575</v>
      </c>
      <c r="Q8742" t="s">
        <v>3825</v>
      </c>
      <c r="R8742" t="s">
        <v>7813</v>
      </c>
      <c r="S8742" t="s">
        <v>7814</v>
      </c>
    </row>
    <row r="8743" spans="1:19" x14ac:dyDescent="0.25">
      <c r="A8743" t="s">
        <v>59</v>
      </c>
      <c r="B8743" t="s">
        <v>60</v>
      </c>
      <c r="C8743" t="s">
        <v>32</v>
      </c>
      <c r="D8743" t="s">
        <v>953</v>
      </c>
      <c r="E8743" t="s">
        <v>1084</v>
      </c>
      <c r="F8743" t="s">
        <v>35</v>
      </c>
      <c r="G8743" t="s">
        <v>35</v>
      </c>
      <c r="H8743" t="s">
        <v>35</v>
      </c>
      <c r="J8743" t="s">
        <v>7816</v>
      </c>
      <c r="K8743" t="s">
        <v>1092</v>
      </c>
      <c r="M8743">
        <v>0.03</v>
      </c>
      <c r="N8743">
        <v>264</v>
      </c>
      <c r="O8743" t="s">
        <v>5</v>
      </c>
      <c r="Q8743" t="s">
        <v>1721</v>
      </c>
      <c r="R8743" t="s">
        <v>6891</v>
      </c>
      <c r="S8743" t="s">
        <v>1085</v>
      </c>
    </row>
    <row r="8744" spans="1:19" x14ac:dyDescent="0.25">
      <c r="A8744" t="s">
        <v>59</v>
      </c>
      <c r="B8744" t="s">
        <v>31</v>
      </c>
      <c r="C8744" t="s">
        <v>32</v>
      </c>
      <c r="D8744" t="s">
        <v>953</v>
      </c>
      <c r="E8744" t="s">
        <v>1084</v>
      </c>
      <c r="F8744" t="s">
        <v>35</v>
      </c>
      <c r="G8744" t="s">
        <v>35</v>
      </c>
      <c r="H8744" t="s">
        <v>35</v>
      </c>
      <c r="J8744" t="s">
        <v>7810</v>
      </c>
      <c r="K8744" t="s">
        <v>1092</v>
      </c>
      <c r="M8744">
        <v>0.995</v>
      </c>
      <c r="N8744">
        <v>173</v>
      </c>
      <c r="O8744" t="s">
        <v>38</v>
      </c>
      <c r="Q8744" t="s">
        <v>1345</v>
      </c>
      <c r="R8744" t="s">
        <v>6877</v>
      </c>
      <c r="S8744" t="s">
        <v>1041</v>
      </c>
    </row>
    <row r="8745" spans="1:19" x14ac:dyDescent="0.25">
      <c r="A8745" t="s">
        <v>44</v>
      </c>
      <c r="B8745" t="s">
        <v>3</v>
      </c>
      <c r="C8745" t="s">
        <v>32</v>
      </c>
      <c r="D8745" t="s">
        <v>953</v>
      </c>
      <c r="E8745" t="s">
        <v>1084</v>
      </c>
      <c r="F8745" t="s">
        <v>35</v>
      </c>
      <c r="G8745" t="s">
        <v>35</v>
      </c>
      <c r="H8745" t="s">
        <v>35</v>
      </c>
      <c r="J8745" t="s">
        <v>7810</v>
      </c>
      <c r="K8745" t="s">
        <v>1092</v>
      </c>
      <c r="M8745">
        <v>0.25</v>
      </c>
      <c r="N8745">
        <v>485</v>
      </c>
      <c r="O8745" t="s">
        <v>294</v>
      </c>
      <c r="Q8745" t="s">
        <v>7488</v>
      </c>
      <c r="R8745" t="s">
        <v>6877</v>
      </c>
      <c r="S8745" t="s">
        <v>1041</v>
      </c>
    </row>
    <row r="8746" spans="1:19" x14ac:dyDescent="0.25">
      <c r="A8746" t="s">
        <v>59</v>
      </c>
      <c r="B8746" t="s">
        <v>60</v>
      </c>
      <c r="C8746" t="s">
        <v>32</v>
      </c>
      <c r="D8746" t="s">
        <v>953</v>
      </c>
      <c r="E8746" t="s">
        <v>1084</v>
      </c>
      <c r="F8746" t="s">
        <v>35</v>
      </c>
      <c r="G8746" t="s">
        <v>35</v>
      </c>
      <c r="H8746" t="s">
        <v>35</v>
      </c>
      <c r="J8746" t="s">
        <v>7817</v>
      </c>
      <c r="K8746" t="s">
        <v>1092</v>
      </c>
      <c r="M8746">
        <v>0.75</v>
      </c>
      <c r="N8746">
        <v>633</v>
      </c>
      <c r="O8746" t="s">
        <v>575</v>
      </c>
      <c r="Q8746" t="s">
        <v>7818</v>
      </c>
      <c r="R8746" t="s">
        <v>6891</v>
      </c>
      <c r="S8746" t="s">
        <v>1085</v>
      </c>
    </row>
    <row r="8747" spans="1:19" x14ac:dyDescent="0.25">
      <c r="A8747" t="s">
        <v>59</v>
      </c>
      <c r="B8747" t="s">
        <v>60</v>
      </c>
      <c r="C8747" t="s">
        <v>32</v>
      </c>
      <c r="D8747" t="s">
        <v>953</v>
      </c>
      <c r="E8747" t="s">
        <v>1084</v>
      </c>
      <c r="F8747" t="s">
        <v>35</v>
      </c>
      <c r="G8747" t="s">
        <v>35</v>
      </c>
      <c r="H8747" t="s">
        <v>35</v>
      </c>
      <c r="J8747" t="s">
        <v>7819</v>
      </c>
      <c r="K8747" t="s">
        <v>1092</v>
      </c>
      <c r="M8747">
        <v>0.3</v>
      </c>
      <c r="N8747">
        <v>313</v>
      </c>
      <c r="O8747" t="s">
        <v>5</v>
      </c>
      <c r="Q8747" t="s">
        <v>6056</v>
      </c>
      <c r="R8747" t="s">
        <v>6891</v>
      </c>
      <c r="S8747" t="s">
        <v>1085</v>
      </c>
    </row>
    <row r="8748" spans="1:19" x14ac:dyDescent="0.25">
      <c r="A8748" t="s">
        <v>59</v>
      </c>
      <c r="B8748" t="s">
        <v>60</v>
      </c>
      <c r="C8748" t="s">
        <v>32</v>
      </c>
      <c r="D8748" t="s">
        <v>953</v>
      </c>
      <c r="E8748" t="s">
        <v>1084</v>
      </c>
      <c r="F8748" t="s">
        <v>35</v>
      </c>
      <c r="G8748" t="s">
        <v>35</v>
      </c>
      <c r="H8748" t="s">
        <v>35</v>
      </c>
      <c r="J8748" t="s">
        <v>7819</v>
      </c>
      <c r="K8748" t="s">
        <v>1092</v>
      </c>
      <c r="M8748">
        <v>0.75</v>
      </c>
      <c r="N8748">
        <v>87</v>
      </c>
      <c r="O8748" t="s">
        <v>61</v>
      </c>
      <c r="Q8748" t="s">
        <v>1639</v>
      </c>
      <c r="R8748" t="s">
        <v>6891</v>
      </c>
      <c r="S8748" t="s">
        <v>1085</v>
      </c>
    </row>
    <row r="8749" spans="1:19" x14ac:dyDescent="0.25">
      <c r="A8749" t="s">
        <v>30</v>
      </c>
      <c r="B8749" t="s">
        <v>31</v>
      </c>
      <c r="C8749" t="s">
        <v>32</v>
      </c>
      <c r="D8749" t="s">
        <v>953</v>
      </c>
      <c r="E8749" t="s">
        <v>1084</v>
      </c>
      <c r="F8749" t="s">
        <v>35</v>
      </c>
      <c r="G8749" t="s">
        <v>35</v>
      </c>
      <c r="H8749" t="s">
        <v>35</v>
      </c>
      <c r="J8749" t="s">
        <v>7819</v>
      </c>
      <c r="K8749" t="s">
        <v>1092</v>
      </c>
      <c r="M8749">
        <v>0.9</v>
      </c>
      <c r="N8749">
        <v>32</v>
      </c>
      <c r="O8749" t="s">
        <v>52</v>
      </c>
      <c r="Q8749" t="s">
        <v>547</v>
      </c>
      <c r="R8749" t="s">
        <v>6891</v>
      </c>
      <c r="S8749" t="s">
        <v>1085</v>
      </c>
    </row>
    <row r="8750" spans="1:19" x14ac:dyDescent="0.25">
      <c r="A8750" t="s">
        <v>59</v>
      </c>
      <c r="B8750" t="s">
        <v>60</v>
      </c>
      <c r="C8750" t="s">
        <v>32</v>
      </c>
      <c r="D8750" t="s">
        <v>953</v>
      </c>
      <c r="E8750" t="s">
        <v>1084</v>
      </c>
      <c r="F8750" t="s">
        <v>35</v>
      </c>
      <c r="G8750" t="s">
        <v>35</v>
      </c>
      <c r="H8750" t="s">
        <v>35</v>
      </c>
      <c r="J8750" t="s">
        <v>7819</v>
      </c>
      <c r="K8750" t="s">
        <v>1092</v>
      </c>
      <c r="M8750">
        <v>0.5</v>
      </c>
      <c r="N8750">
        <v>231</v>
      </c>
      <c r="O8750" t="s">
        <v>5</v>
      </c>
      <c r="Q8750" t="s">
        <v>402</v>
      </c>
      <c r="R8750" t="s">
        <v>6891</v>
      </c>
      <c r="S8750" t="s">
        <v>1085</v>
      </c>
    </row>
    <row r="8751" spans="1:19" x14ac:dyDescent="0.25">
      <c r="A8751" t="s">
        <v>59</v>
      </c>
      <c r="B8751" t="s">
        <v>31</v>
      </c>
      <c r="C8751" t="s">
        <v>32</v>
      </c>
      <c r="D8751" t="s">
        <v>953</v>
      </c>
      <c r="E8751" t="s">
        <v>1084</v>
      </c>
      <c r="F8751" t="s">
        <v>35</v>
      </c>
      <c r="G8751" t="s">
        <v>35</v>
      </c>
      <c r="H8751" t="s">
        <v>35</v>
      </c>
      <c r="J8751" t="s">
        <v>7820</v>
      </c>
      <c r="K8751" t="s">
        <v>1092</v>
      </c>
      <c r="M8751">
        <v>1.71</v>
      </c>
      <c r="N8751">
        <v>455</v>
      </c>
      <c r="O8751" t="s">
        <v>294</v>
      </c>
      <c r="Q8751" t="s">
        <v>1760</v>
      </c>
      <c r="R8751" t="s">
        <v>6877</v>
      </c>
      <c r="S8751" t="s">
        <v>1041</v>
      </c>
    </row>
    <row r="8752" spans="1:19" x14ac:dyDescent="0.25">
      <c r="A8752" t="s">
        <v>30</v>
      </c>
      <c r="B8752" t="s">
        <v>31</v>
      </c>
      <c r="C8752" t="s">
        <v>32</v>
      </c>
      <c r="D8752" t="s">
        <v>953</v>
      </c>
      <c r="E8752" t="s">
        <v>1084</v>
      </c>
      <c r="F8752" t="s">
        <v>35</v>
      </c>
      <c r="G8752" t="s">
        <v>35</v>
      </c>
      <c r="H8752" t="s">
        <v>35</v>
      </c>
      <c r="J8752" t="s">
        <v>7821</v>
      </c>
      <c r="K8752" t="s">
        <v>1092</v>
      </c>
      <c r="M8752">
        <v>4.8150000000000004</v>
      </c>
      <c r="N8752">
        <v>24</v>
      </c>
      <c r="O8752" t="s">
        <v>46</v>
      </c>
      <c r="Q8752" t="s">
        <v>255</v>
      </c>
      <c r="R8752" t="s">
        <v>6877</v>
      </c>
      <c r="S8752" t="s">
        <v>1041</v>
      </c>
    </row>
    <row r="8753" spans="1:19" x14ac:dyDescent="0.25">
      <c r="A8753" t="s">
        <v>30</v>
      </c>
      <c r="B8753" t="s">
        <v>31</v>
      </c>
      <c r="C8753" t="s">
        <v>32</v>
      </c>
      <c r="D8753" t="s">
        <v>953</v>
      </c>
      <c r="E8753" t="s">
        <v>1084</v>
      </c>
      <c r="F8753" t="s">
        <v>35</v>
      </c>
      <c r="G8753" t="s">
        <v>35</v>
      </c>
      <c r="H8753" t="s">
        <v>35</v>
      </c>
      <c r="J8753" t="s">
        <v>7822</v>
      </c>
      <c r="K8753" t="s">
        <v>1092</v>
      </c>
      <c r="M8753">
        <v>8.6850000000000005</v>
      </c>
      <c r="N8753">
        <v>20</v>
      </c>
      <c r="O8753" t="s">
        <v>46</v>
      </c>
      <c r="Q8753" t="s">
        <v>1004</v>
      </c>
      <c r="R8753" t="s">
        <v>133</v>
      </c>
      <c r="S8753" t="s">
        <v>134</v>
      </c>
    </row>
    <row r="8754" spans="1:19" x14ac:dyDescent="0.25">
      <c r="A8754" t="s">
        <v>30</v>
      </c>
      <c r="B8754" t="s">
        <v>31</v>
      </c>
      <c r="C8754" t="s">
        <v>32</v>
      </c>
      <c r="D8754" t="s">
        <v>953</v>
      </c>
      <c r="E8754" t="s">
        <v>1084</v>
      </c>
      <c r="F8754" t="s">
        <v>35</v>
      </c>
      <c r="G8754" t="s">
        <v>35</v>
      </c>
      <c r="H8754" t="s">
        <v>35</v>
      </c>
      <c r="J8754" t="s">
        <v>7823</v>
      </c>
      <c r="K8754" t="s">
        <v>1092</v>
      </c>
      <c r="M8754">
        <v>4.8150000000000004</v>
      </c>
      <c r="N8754">
        <v>24</v>
      </c>
      <c r="O8754" t="s">
        <v>46</v>
      </c>
      <c r="Q8754" t="s">
        <v>255</v>
      </c>
      <c r="R8754" t="s">
        <v>6877</v>
      </c>
      <c r="S8754" t="s">
        <v>1041</v>
      </c>
    </row>
    <row r="8755" spans="1:19" x14ac:dyDescent="0.25">
      <c r="A8755" t="s">
        <v>30</v>
      </c>
      <c r="B8755" t="s">
        <v>31</v>
      </c>
      <c r="C8755" t="s">
        <v>32</v>
      </c>
      <c r="D8755" t="s">
        <v>953</v>
      </c>
      <c r="E8755" t="s">
        <v>1084</v>
      </c>
      <c r="F8755" t="s">
        <v>35</v>
      </c>
      <c r="G8755" t="s">
        <v>35</v>
      </c>
      <c r="H8755" t="s">
        <v>35</v>
      </c>
      <c r="J8755" t="s">
        <v>7824</v>
      </c>
      <c r="K8755" t="s">
        <v>1092</v>
      </c>
      <c r="M8755">
        <v>9.99</v>
      </c>
      <c r="N8755">
        <v>20</v>
      </c>
      <c r="O8755" t="s">
        <v>46</v>
      </c>
      <c r="Q8755" t="s">
        <v>1004</v>
      </c>
      <c r="R8755" t="s">
        <v>133</v>
      </c>
      <c r="S8755" t="s">
        <v>134</v>
      </c>
    </row>
    <row r="8756" spans="1:19" x14ac:dyDescent="0.25">
      <c r="A8756" t="s">
        <v>59</v>
      </c>
      <c r="B8756" t="s">
        <v>60</v>
      </c>
      <c r="C8756" t="s">
        <v>32</v>
      </c>
      <c r="D8756" t="s">
        <v>953</v>
      </c>
      <c r="E8756" t="s">
        <v>1084</v>
      </c>
      <c r="F8756" t="s">
        <v>35</v>
      </c>
      <c r="G8756" t="s">
        <v>35</v>
      </c>
      <c r="H8756" t="s">
        <v>35</v>
      </c>
      <c r="J8756" t="s">
        <v>3684</v>
      </c>
      <c r="K8756" t="s">
        <v>1092</v>
      </c>
      <c r="M8756">
        <v>0.05</v>
      </c>
      <c r="N8756">
        <v>56</v>
      </c>
      <c r="O8756" t="s">
        <v>52</v>
      </c>
      <c r="Q8756" t="s">
        <v>453</v>
      </c>
      <c r="R8756" t="s">
        <v>6891</v>
      </c>
      <c r="S8756" t="s">
        <v>1085</v>
      </c>
    </row>
    <row r="8757" spans="1:19" x14ac:dyDescent="0.25">
      <c r="A8757" t="s">
        <v>44</v>
      </c>
      <c r="B8757" t="s">
        <v>51</v>
      </c>
      <c r="C8757" t="s">
        <v>32</v>
      </c>
      <c r="D8757" t="s">
        <v>953</v>
      </c>
      <c r="E8757" t="s">
        <v>1084</v>
      </c>
      <c r="F8757" t="s">
        <v>35</v>
      </c>
      <c r="G8757" t="s">
        <v>35</v>
      </c>
      <c r="H8757" t="s">
        <v>35</v>
      </c>
      <c r="J8757" t="s">
        <v>6803</v>
      </c>
      <c r="K8757" t="s">
        <v>1092</v>
      </c>
      <c r="M8757">
        <v>0.05</v>
      </c>
      <c r="N8757">
        <v>226</v>
      </c>
      <c r="O8757" t="s">
        <v>5</v>
      </c>
      <c r="Q8757" t="s">
        <v>3300</v>
      </c>
      <c r="R8757" t="s">
        <v>6891</v>
      </c>
      <c r="S8757" t="s">
        <v>1085</v>
      </c>
    </row>
    <row r="8758" spans="1:19" x14ac:dyDescent="0.25">
      <c r="A8758" t="s">
        <v>59</v>
      </c>
      <c r="B8758" t="s">
        <v>31</v>
      </c>
      <c r="C8758" t="s">
        <v>32</v>
      </c>
      <c r="D8758" t="s">
        <v>953</v>
      </c>
      <c r="E8758" t="s">
        <v>1084</v>
      </c>
      <c r="F8758" t="s">
        <v>35</v>
      </c>
      <c r="G8758" t="s">
        <v>35</v>
      </c>
      <c r="H8758" t="s">
        <v>35</v>
      </c>
      <c r="J8758" t="s">
        <v>6803</v>
      </c>
      <c r="K8758" t="s">
        <v>1092</v>
      </c>
      <c r="M8758">
        <v>0.09</v>
      </c>
      <c r="N8758">
        <v>149</v>
      </c>
      <c r="O8758" t="s">
        <v>38</v>
      </c>
      <c r="Q8758" t="s">
        <v>73</v>
      </c>
      <c r="R8758" t="s">
        <v>6891</v>
      </c>
      <c r="S8758" t="s">
        <v>1085</v>
      </c>
    </row>
    <row r="8759" spans="1:19" x14ac:dyDescent="0.25">
      <c r="A8759" t="s">
        <v>59</v>
      </c>
      <c r="B8759" t="s">
        <v>60</v>
      </c>
      <c r="C8759" t="s">
        <v>32</v>
      </c>
      <c r="D8759" t="s">
        <v>953</v>
      </c>
      <c r="E8759" t="s">
        <v>1084</v>
      </c>
      <c r="F8759" t="s">
        <v>35</v>
      </c>
      <c r="G8759" t="s">
        <v>35</v>
      </c>
      <c r="H8759" t="s">
        <v>35</v>
      </c>
      <c r="J8759" t="s">
        <v>7825</v>
      </c>
      <c r="K8759" t="s">
        <v>1092</v>
      </c>
      <c r="M8759">
        <v>0.25</v>
      </c>
      <c r="N8759">
        <v>68</v>
      </c>
      <c r="O8759" t="s">
        <v>61</v>
      </c>
      <c r="Q8759" t="s">
        <v>146</v>
      </c>
      <c r="R8759" t="s">
        <v>6891</v>
      </c>
      <c r="S8759" t="s">
        <v>1085</v>
      </c>
    </row>
    <row r="8760" spans="1:19" x14ac:dyDescent="0.25">
      <c r="A8760" t="s">
        <v>59</v>
      </c>
      <c r="B8760" t="s">
        <v>60</v>
      </c>
      <c r="C8760" t="s">
        <v>32</v>
      </c>
      <c r="D8760" t="s">
        <v>953</v>
      </c>
      <c r="E8760" t="s">
        <v>1084</v>
      </c>
      <c r="F8760" t="s">
        <v>35</v>
      </c>
      <c r="G8760" t="s">
        <v>35</v>
      </c>
      <c r="H8760" t="s">
        <v>35</v>
      </c>
      <c r="J8760" t="s">
        <v>7827</v>
      </c>
      <c r="K8760" t="s">
        <v>1092</v>
      </c>
      <c r="M8760">
        <v>0.5</v>
      </c>
      <c r="N8760">
        <v>36</v>
      </c>
      <c r="O8760" t="s">
        <v>52</v>
      </c>
      <c r="Q8760" t="s">
        <v>2005</v>
      </c>
      <c r="R8760" t="s">
        <v>6891</v>
      </c>
      <c r="S8760" t="s">
        <v>1085</v>
      </c>
    </row>
    <row r="8761" spans="1:19" x14ac:dyDescent="0.25">
      <c r="A8761" t="s">
        <v>59</v>
      </c>
      <c r="B8761" t="s">
        <v>60</v>
      </c>
      <c r="C8761" t="s">
        <v>32</v>
      </c>
      <c r="D8761" t="s">
        <v>953</v>
      </c>
      <c r="E8761" t="s">
        <v>1084</v>
      </c>
      <c r="F8761" t="s">
        <v>35</v>
      </c>
      <c r="G8761" t="s">
        <v>35</v>
      </c>
      <c r="H8761" t="s">
        <v>35</v>
      </c>
      <c r="J8761" t="s">
        <v>7827</v>
      </c>
      <c r="K8761" t="s">
        <v>1092</v>
      </c>
      <c r="M8761">
        <v>3.5</v>
      </c>
      <c r="N8761">
        <v>39</v>
      </c>
      <c r="O8761" t="s">
        <v>52</v>
      </c>
      <c r="Q8761" t="s">
        <v>816</v>
      </c>
      <c r="R8761" t="s">
        <v>6891</v>
      </c>
      <c r="S8761" t="s">
        <v>1085</v>
      </c>
    </row>
    <row r="8762" spans="1:19" x14ac:dyDescent="0.25">
      <c r="A8762" t="s">
        <v>59</v>
      </c>
      <c r="B8762" t="s">
        <v>60</v>
      </c>
      <c r="C8762" t="s">
        <v>32</v>
      </c>
      <c r="D8762" t="s">
        <v>953</v>
      </c>
      <c r="E8762" t="s">
        <v>1084</v>
      </c>
      <c r="F8762" t="s">
        <v>35</v>
      </c>
      <c r="G8762" t="s">
        <v>35</v>
      </c>
      <c r="H8762" t="s">
        <v>35</v>
      </c>
      <c r="J8762" t="s">
        <v>7827</v>
      </c>
      <c r="K8762" t="s">
        <v>1092</v>
      </c>
      <c r="M8762">
        <v>0.45</v>
      </c>
      <c r="N8762">
        <v>175</v>
      </c>
      <c r="O8762" t="s">
        <v>38</v>
      </c>
      <c r="Q8762" t="s">
        <v>1692</v>
      </c>
      <c r="R8762" t="s">
        <v>133</v>
      </c>
      <c r="S8762" t="s">
        <v>134</v>
      </c>
    </row>
    <row r="8763" spans="1:19" x14ac:dyDescent="0.25">
      <c r="A8763" t="s">
        <v>59</v>
      </c>
      <c r="B8763" t="s">
        <v>60</v>
      </c>
      <c r="C8763" t="s">
        <v>32</v>
      </c>
      <c r="D8763" t="s">
        <v>953</v>
      </c>
      <c r="E8763" t="s">
        <v>1084</v>
      </c>
      <c r="F8763" t="s">
        <v>35</v>
      </c>
      <c r="G8763" t="s">
        <v>35</v>
      </c>
      <c r="H8763" t="s">
        <v>35</v>
      </c>
      <c r="J8763" t="s">
        <v>7828</v>
      </c>
      <c r="K8763" t="s">
        <v>1092</v>
      </c>
      <c r="M8763">
        <v>0.82499999999999996</v>
      </c>
      <c r="N8763">
        <v>182</v>
      </c>
      <c r="O8763" t="s">
        <v>5</v>
      </c>
      <c r="Q8763" t="s">
        <v>1764</v>
      </c>
      <c r="R8763" t="s">
        <v>6891</v>
      </c>
      <c r="S8763" t="s">
        <v>1085</v>
      </c>
    </row>
    <row r="8764" spans="1:19" x14ac:dyDescent="0.25">
      <c r="A8764" t="s">
        <v>30</v>
      </c>
      <c r="B8764" t="s">
        <v>31</v>
      </c>
      <c r="C8764" t="s">
        <v>32</v>
      </c>
      <c r="D8764" t="s">
        <v>953</v>
      </c>
      <c r="E8764" t="s">
        <v>1084</v>
      </c>
      <c r="F8764" t="s">
        <v>35</v>
      </c>
      <c r="G8764" t="s">
        <v>35</v>
      </c>
      <c r="H8764" t="s">
        <v>35</v>
      </c>
      <c r="J8764" t="s">
        <v>7829</v>
      </c>
      <c r="K8764" t="s">
        <v>1092</v>
      </c>
      <c r="M8764">
        <v>0.01</v>
      </c>
      <c r="N8764">
        <v>266</v>
      </c>
      <c r="O8764" t="s">
        <v>5</v>
      </c>
      <c r="Q8764" t="s">
        <v>117</v>
      </c>
      <c r="R8764" t="s">
        <v>6891</v>
      </c>
      <c r="S8764" t="s">
        <v>1085</v>
      </c>
    </row>
    <row r="8765" spans="1:19" x14ac:dyDescent="0.25">
      <c r="A8765" t="s">
        <v>59</v>
      </c>
      <c r="B8765" t="s">
        <v>31</v>
      </c>
      <c r="C8765" t="s">
        <v>32</v>
      </c>
      <c r="D8765" t="s">
        <v>953</v>
      </c>
      <c r="E8765" t="s">
        <v>1084</v>
      </c>
      <c r="F8765" t="s">
        <v>35</v>
      </c>
      <c r="G8765" t="s">
        <v>35</v>
      </c>
      <c r="H8765" t="s">
        <v>35</v>
      </c>
      <c r="J8765" t="s">
        <v>7830</v>
      </c>
      <c r="K8765" t="s">
        <v>1092</v>
      </c>
      <c r="M8765">
        <v>0.27</v>
      </c>
      <c r="N8765">
        <v>615</v>
      </c>
      <c r="O8765" t="s">
        <v>575</v>
      </c>
      <c r="Q8765" t="s">
        <v>7831</v>
      </c>
      <c r="R8765" t="s">
        <v>6891</v>
      </c>
      <c r="S8765" t="s">
        <v>1085</v>
      </c>
    </row>
    <row r="8766" spans="1:19" x14ac:dyDescent="0.25">
      <c r="A8766" t="s">
        <v>30</v>
      </c>
      <c r="B8766" t="s">
        <v>31</v>
      </c>
      <c r="C8766" t="s">
        <v>32</v>
      </c>
      <c r="D8766" t="s">
        <v>953</v>
      </c>
      <c r="E8766" t="s">
        <v>1084</v>
      </c>
      <c r="F8766" t="s">
        <v>35</v>
      </c>
      <c r="G8766" t="s">
        <v>35</v>
      </c>
      <c r="H8766" t="s">
        <v>35</v>
      </c>
      <c r="J8766" t="s">
        <v>7830</v>
      </c>
      <c r="K8766" t="s">
        <v>1092</v>
      </c>
      <c r="M8766">
        <v>4.4999999999999998E-2</v>
      </c>
      <c r="N8766">
        <v>450</v>
      </c>
      <c r="O8766" t="s">
        <v>294</v>
      </c>
      <c r="Q8766" t="s">
        <v>4616</v>
      </c>
      <c r="R8766" t="s">
        <v>6891</v>
      </c>
      <c r="S8766" t="s">
        <v>1085</v>
      </c>
    </row>
    <row r="8767" spans="1:19" x14ac:dyDescent="0.25">
      <c r="A8767" t="s">
        <v>30</v>
      </c>
      <c r="B8767" t="s">
        <v>31</v>
      </c>
      <c r="C8767" t="s">
        <v>32</v>
      </c>
      <c r="D8767" t="s">
        <v>953</v>
      </c>
      <c r="E8767" t="s">
        <v>1084</v>
      </c>
      <c r="F8767" t="s">
        <v>35</v>
      </c>
      <c r="G8767" t="s">
        <v>35</v>
      </c>
      <c r="H8767" t="s">
        <v>35</v>
      </c>
      <c r="J8767" t="s">
        <v>7830</v>
      </c>
      <c r="K8767" t="s">
        <v>1092</v>
      </c>
      <c r="M8767">
        <v>0.9</v>
      </c>
      <c r="N8767">
        <v>266</v>
      </c>
      <c r="O8767" t="s">
        <v>5</v>
      </c>
      <c r="Q8767" t="s">
        <v>117</v>
      </c>
      <c r="R8767" t="s">
        <v>6891</v>
      </c>
      <c r="S8767" t="s">
        <v>1085</v>
      </c>
    </row>
    <row r="8768" spans="1:19" x14ac:dyDescent="0.25">
      <c r="A8768" t="s">
        <v>30</v>
      </c>
      <c r="B8768" t="s">
        <v>31</v>
      </c>
      <c r="C8768" t="s">
        <v>32</v>
      </c>
      <c r="D8768" t="s">
        <v>953</v>
      </c>
      <c r="E8768" t="s">
        <v>1084</v>
      </c>
      <c r="F8768" t="s">
        <v>35</v>
      </c>
      <c r="G8768" t="s">
        <v>35</v>
      </c>
      <c r="H8768" t="s">
        <v>35</v>
      </c>
      <c r="J8768" t="s">
        <v>7832</v>
      </c>
      <c r="K8768" t="s">
        <v>1092</v>
      </c>
      <c r="M8768">
        <v>0.129</v>
      </c>
      <c r="N8768">
        <v>1203</v>
      </c>
      <c r="O8768" t="s">
        <v>575</v>
      </c>
      <c r="Q8768" t="s">
        <v>2190</v>
      </c>
      <c r="R8768" t="s">
        <v>7199</v>
      </c>
      <c r="S8768" t="s">
        <v>1069</v>
      </c>
    </row>
    <row r="8769" spans="1:19" x14ac:dyDescent="0.25">
      <c r="A8769" t="s">
        <v>59</v>
      </c>
      <c r="B8769" t="s">
        <v>60</v>
      </c>
      <c r="C8769" t="s">
        <v>32</v>
      </c>
      <c r="D8769" t="s">
        <v>953</v>
      </c>
      <c r="E8769" t="s">
        <v>1084</v>
      </c>
      <c r="F8769" t="s">
        <v>35</v>
      </c>
      <c r="G8769" t="s">
        <v>35</v>
      </c>
      <c r="H8769" t="s">
        <v>35</v>
      </c>
      <c r="J8769" t="s">
        <v>7832</v>
      </c>
      <c r="K8769" t="s">
        <v>1092</v>
      </c>
      <c r="M8769">
        <v>0.5</v>
      </c>
      <c r="N8769">
        <v>814</v>
      </c>
      <c r="O8769" t="s">
        <v>575</v>
      </c>
      <c r="Q8769" t="s">
        <v>2539</v>
      </c>
      <c r="R8769" t="s">
        <v>6891</v>
      </c>
      <c r="S8769" t="s">
        <v>1085</v>
      </c>
    </row>
    <row r="8770" spans="1:19" x14ac:dyDescent="0.25">
      <c r="A8770" t="s">
        <v>59</v>
      </c>
      <c r="B8770" t="s">
        <v>60</v>
      </c>
      <c r="C8770" t="s">
        <v>32</v>
      </c>
      <c r="D8770" t="s">
        <v>953</v>
      </c>
      <c r="E8770" t="s">
        <v>1084</v>
      </c>
      <c r="F8770" t="s">
        <v>35</v>
      </c>
      <c r="G8770" t="s">
        <v>35</v>
      </c>
      <c r="H8770" t="s">
        <v>35</v>
      </c>
      <c r="J8770" t="s">
        <v>7832</v>
      </c>
      <c r="K8770" t="s">
        <v>1092</v>
      </c>
      <c r="M8770">
        <v>0.25</v>
      </c>
      <c r="N8770">
        <v>868</v>
      </c>
      <c r="O8770" t="s">
        <v>575</v>
      </c>
      <c r="Q8770" t="s">
        <v>5042</v>
      </c>
      <c r="R8770" t="s">
        <v>6891</v>
      </c>
      <c r="S8770" t="s">
        <v>1085</v>
      </c>
    </row>
    <row r="8771" spans="1:19" x14ac:dyDescent="0.25">
      <c r="A8771" t="s">
        <v>59</v>
      </c>
      <c r="B8771" t="s">
        <v>31</v>
      </c>
      <c r="C8771" t="s">
        <v>32</v>
      </c>
      <c r="D8771" t="s">
        <v>953</v>
      </c>
      <c r="E8771" t="s">
        <v>1084</v>
      </c>
      <c r="F8771" t="s">
        <v>35</v>
      </c>
      <c r="G8771" t="s">
        <v>35</v>
      </c>
      <c r="H8771" t="s">
        <v>35</v>
      </c>
      <c r="J8771" t="s">
        <v>7833</v>
      </c>
      <c r="K8771" t="s">
        <v>1092</v>
      </c>
      <c r="M8771">
        <v>0.22</v>
      </c>
      <c r="N8771">
        <v>748</v>
      </c>
      <c r="O8771" t="s">
        <v>575</v>
      </c>
      <c r="Q8771" t="s">
        <v>7834</v>
      </c>
      <c r="R8771" t="s">
        <v>6847</v>
      </c>
      <c r="S8771" t="s">
        <v>1034</v>
      </c>
    </row>
    <row r="8772" spans="1:19" x14ac:dyDescent="0.25">
      <c r="A8772" t="s">
        <v>30</v>
      </c>
      <c r="B8772" t="s">
        <v>31</v>
      </c>
      <c r="C8772" t="s">
        <v>32</v>
      </c>
      <c r="D8772" t="s">
        <v>953</v>
      </c>
      <c r="E8772" t="s">
        <v>1084</v>
      </c>
      <c r="F8772" t="s">
        <v>35</v>
      </c>
      <c r="G8772" t="s">
        <v>35</v>
      </c>
      <c r="H8772" t="s">
        <v>35</v>
      </c>
      <c r="J8772" t="s">
        <v>7835</v>
      </c>
      <c r="K8772" t="s">
        <v>1092</v>
      </c>
      <c r="M8772">
        <v>0.495</v>
      </c>
      <c r="N8772">
        <v>445</v>
      </c>
      <c r="O8772" t="s">
        <v>294</v>
      </c>
      <c r="Q8772" t="s">
        <v>2532</v>
      </c>
      <c r="R8772" t="s">
        <v>6891</v>
      </c>
      <c r="S8772" t="s">
        <v>1085</v>
      </c>
    </row>
    <row r="8773" spans="1:19" x14ac:dyDescent="0.25">
      <c r="A8773" t="s">
        <v>59</v>
      </c>
      <c r="B8773" t="s">
        <v>60</v>
      </c>
      <c r="C8773" t="s">
        <v>32</v>
      </c>
      <c r="D8773" t="s">
        <v>953</v>
      </c>
      <c r="E8773" t="s">
        <v>1084</v>
      </c>
      <c r="F8773" t="s">
        <v>35</v>
      </c>
      <c r="G8773" t="s">
        <v>35</v>
      </c>
      <c r="H8773" t="s">
        <v>35</v>
      </c>
      <c r="J8773" t="s">
        <v>7835</v>
      </c>
      <c r="K8773" t="s">
        <v>1092</v>
      </c>
      <c r="M8773">
        <v>0.25</v>
      </c>
      <c r="N8773">
        <v>556</v>
      </c>
      <c r="O8773" t="s">
        <v>575</v>
      </c>
      <c r="Q8773" t="s">
        <v>3825</v>
      </c>
      <c r="R8773" t="s">
        <v>7813</v>
      </c>
      <c r="S8773" t="s">
        <v>7814</v>
      </c>
    </row>
    <row r="8774" spans="1:19" x14ac:dyDescent="0.25">
      <c r="A8774" t="s">
        <v>30</v>
      </c>
      <c r="B8774" t="s">
        <v>31</v>
      </c>
      <c r="C8774" t="s">
        <v>32</v>
      </c>
      <c r="D8774" t="s">
        <v>953</v>
      </c>
      <c r="E8774" t="s">
        <v>1084</v>
      </c>
      <c r="F8774" t="s">
        <v>35</v>
      </c>
      <c r="G8774" t="s">
        <v>35</v>
      </c>
      <c r="H8774" t="s">
        <v>35</v>
      </c>
      <c r="J8774" t="s">
        <v>8270</v>
      </c>
      <c r="K8774" t="s">
        <v>1092</v>
      </c>
      <c r="M8774">
        <v>1.62</v>
      </c>
      <c r="N8774">
        <v>7</v>
      </c>
      <c r="O8774" t="s">
        <v>46</v>
      </c>
      <c r="Q8774" t="s">
        <v>8164</v>
      </c>
      <c r="R8774" t="s">
        <v>6709</v>
      </c>
      <c r="S8774" t="s">
        <v>1022</v>
      </c>
    </row>
    <row r="8775" spans="1:19" x14ac:dyDescent="0.25">
      <c r="A8775" t="s">
        <v>59</v>
      </c>
      <c r="B8775" t="s">
        <v>31</v>
      </c>
      <c r="C8775" t="s">
        <v>32</v>
      </c>
      <c r="D8775" t="s">
        <v>953</v>
      </c>
      <c r="E8775" t="s">
        <v>1084</v>
      </c>
      <c r="F8775" t="s">
        <v>35</v>
      </c>
      <c r="G8775" t="s">
        <v>35</v>
      </c>
      <c r="H8775" t="s">
        <v>35</v>
      </c>
      <c r="J8775" t="s">
        <v>7836</v>
      </c>
      <c r="K8775" t="s">
        <v>1092</v>
      </c>
      <c r="M8775">
        <v>0.54</v>
      </c>
      <c r="N8775">
        <v>498</v>
      </c>
      <c r="O8775" t="s">
        <v>294</v>
      </c>
      <c r="Q8775" t="s">
        <v>2487</v>
      </c>
      <c r="R8775" t="s">
        <v>6891</v>
      </c>
      <c r="S8775" t="s">
        <v>1085</v>
      </c>
    </row>
    <row r="8776" spans="1:19" x14ac:dyDescent="0.25">
      <c r="A8776" t="s">
        <v>59</v>
      </c>
      <c r="B8776" t="s">
        <v>31</v>
      </c>
      <c r="C8776" t="s">
        <v>32</v>
      </c>
      <c r="D8776" t="s">
        <v>953</v>
      </c>
      <c r="E8776" t="s">
        <v>1084</v>
      </c>
      <c r="F8776" t="s">
        <v>35</v>
      </c>
      <c r="G8776" t="s">
        <v>35</v>
      </c>
      <c r="H8776" t="s">
        <v>35</v>
      </c>
      <c r="J8776" t="s">
        <v>7836</v>
      </c>
      <c r="K8776" t="s">
        <v>1092</v>
      </c>
      <c r="M8776">
        <v>0.45</v>
      </c>
      <c r="N8776">
        <v>146</v>
      </c>
      <c r="O8776" t="s">
        <v>38</v>
      </c>
      <c r="Q8776" t="s">
        <v>1335</v>
      </c>
      <c r="R8776" t="s">
        <v>6891</v>
      </c>
      <c r="S8776" t="s">
        <v>1085</v>
      </c>
    </row>
    <row r="8777" spans="1:19" x14ac:dyDescent="0.25">
      <c r="A8777" t="s">
        <v>59</v>
      </c>
      <c r="B8777" t="s">
        <v>60</v>
      </c>
      <c r="C8777" t="s">
        <v>32</v>
      </c>
      <c r="D8777" t="s">
        <v>953</v>
      </c>
      <c r="E8777" t="s">
        <v>1084</v>
      </c>
      <c r="F8777" t="s">
        <v>35</v>
      </c>
      <c r="G8777" t="s">
        <v>35</v>
      </c>
      <c r="H8777" t="s">
        <v>35</v>
      </c>
      <c r="J8777" t="s">
        <v>7837</v>
      </c>
      <c r="K8777" t="s">
        <v>1092</v>
      </c>
      <c r="M8777">
        <v>0.25</v>
      </c>
      <c r="N8777">
        <v>203</v>
      </c>
      <c r="O8777" t="s">
        <v>5</v>
      </c>
      <c r="Q8777" t="s">
        <v>6960</v>
      </c>
      <c r="R8777" t="s">
        <v>6847</v>
      </c>
      <c r="S8777" t="s">
        <v>1034</v>
      </c>
    </row>
    <row r="8778" spans="1:19" x14ac:dyDescent="0.25">
      <c r="A8778" t="s">
        <v>59</v>
      </c>
      <c r="B8778" t="s">
        <v>31</v>
      </c>
      <c r="C8778" t="s">
        <v>32</v>
      </c>
      <c r="D8778" t="s">
        <v>953</v>
      </c>
      <c r="E8778" t="s">
        <v>1084</v>
      </c>
      <c r="F8778" t="s">
        <v>35</v>
      </c>
      <c r="G8778" t="s">
        <v>35</v>
      </c>
      <c r="H8778" t="s">
        <v>35</v>
      </c>
      <c r="J8778" t="s">
        <v>7838</v>
      </c>
      <c r="K8778" t="s">
        <v>1092</v>
      </c>
      <c r="M8778">
        <v>4.5</v>
      </c>
      <c r="N8778">
        <v>161</v>
      </c>
      <c r="O8778" t="s">
        <v>38</v>
      </c>
      <c r="Q8778" t="s">
        <v>2639</v>
      </c>
      <c r="R8778" t="s">
        <v>6891</v>
      </c>
      <c r="S8778" t="s">
        <v>1085</v>
      </c>
    </row>
    <row r="8779" spans="1:19" x14ac:dyDescent="0.25">
      <c r="A8779" t="s">
        <v>59</v>
      </c>
      <c r="B8779" t="s">
        <v>60</v>
      </c>
      <c r="C8779" t="s">
        <v>32</v>
      </c>
      <c r="D8779" t="s">
        <v>953</v>
      </c>
      <c r="E8779" t="s">
        <v>1084</v>
      </c>
      <c r="F8779" t="s">
        <v>35</v>
      </c>
      <c r="G8779" t="s">
        <v>35</v>
      </c>
      <c r="H8779" t="s">
        <v>35</v>
      </c>
      <c r="J8779" t="s">
        <v>1885</v>
      </c>
      <c r="K8779" t="s">
        <v>1092</v>
      </c>
      <c r="M8779">
        <v>0.3</v>
      </c>
      <c r="N8779">
        <v>19</v>
      </c>
      <c r="O8779" t="s">
        <v>46</v>
      </c>
      <c r="Q8779" t="s">
        <v>1192</v>
      </c>
      <c r="R8779" t="s">
        <v>6891</v>
      </c>
      <c r="S8779" t="s">
        <v>1085</v>
      </c>
    </row>
    <row r="8780" spans="1:19" x14ac:dyDescent="0.25">
      <c r="A8780" t="s">
        <v>30</v>
      </c>
      <c r="B8780" t="s">
        <v>31</v>
      </c>
      <c r="C8780" t="s">
        <v>32</v>
      </c>
      <c r="D8780" t="s">
        <v>953</v>
      </c>
      <c r="E8780" t="s">
        <v>1084</v>
      </c>
      <c r="F8780" t="s">
        <v>35</v>
      </c>
      <c r="G8780" t="s">
        <v>35</v>
      </c>
      <c r="H8780" t="s">
        <v>35</v>
      </c>
      <c r="J8780" t="s">
        <v>1885</v>
      </c>
      <c r="K8780" t="s">
        <v>1092</v>
      </c>
      <c r="M8780">
        <v>0.45</v>
      </c>
      <c r="N8780">
        <v>19</v>
      </c>
      <c r="O8780" t="s">
        <v>46</v>
      </c>
      <c r="Q8780" t="s">
        <v>1192</v>
      </c>
      <c r="R8780" t="s">
        <v>6891</v>
      </c>
      <c r="S8780" t="s">
        <v>1085</v>
      </c>
    </row>
    <row r="8781" spans="1:19" x14ac:dyDescent="0.25">
      <c r="A8781" t="s">
        <v>59</v>
      </c>
      <c r="B8781" t="s">
        <v>60</v>
      </c>
      <c r="C8781" t="s">
        <v>32</v>
      </c>
      <c r="D8781" t="s">
        <v>953</v>
      </c>
      <c r="E8781" t="s">
        <v>1084</v>
      </c>
      <c r="F8781" t="s">
        <v>35</v>
      </c>
      <c r="G8781" t="s">
        <v>35</v>
      </c>
      <c r="H8781" t="s">
        <v>35</v>
      </c>
      <c r="J8781" t="s">
        <v>7839</v>
      </c>
      <c r="K8781" t="s">
        <v>1092</v>
      </c>
      <c r="M8781">
        <v>0.5</v>
      </c>
      <c r="N8781">
        <v>32</v>
      </c>
      <c r="O8781" t="s">
        <v>52</v>
      </c>
      <c r="Q8781" t="s">
        <v>547</v>
      </c>
      <c r="R8781" t="s">
        <v>6891</v>
      </c>
      <c r="S8781" t="s">
        <v>1085</v>
      </c>
    </row>
    <row r="8782" spans="1:19" x14ac:dyDescent="0.25">
      <c r="A8782" t="s">
        <v>30</v>
      </c>
      <c r="B8782" t="s">
        <v>31</v>
      </c>
      <c r="C8782" t="s">
        <v>32</v>
      </c>
      <c r="D8782" t="s">
        <v>953</v>
      </c>
      <c r="E8782" t="s">
        <v>1084</v>
      </c>
      <c r="F8782" t="s">
        <v>35</v>
      </c>
      <c r="G8782" t="s">
        <v>35</v>
      </c>
      <c r="H8782" t="s">
        <v>35</v>
      </c>
      <c r="J8782" t="s">
        <v>628</v>
      </c>
      <c r="K8782" t="s">
        <v>1092</v>
      </c>
      <c r="M8782">
        <v>0.315</v>
      </c>
      <c r="N8782">
        <v>20</v>
      </c>
      <c r="O8782" t="s">
        <v>46</v>
      </c>
      <c r="Q8782" t="s">
        <v>1004</v>
      </c>
      <c r="R8782" t="s">
        <v>6891</v>
      </c>
      <c r="S8782" t="s">
        <v>1085</v>
      </c>
    </row>
    <row r="8783" spans="1:19" x14ac:dyDescent="0.25">
      <c r="A8783" t="s">
        <v>59</v>
      </c>
      <c r="B8783" t="s">
        <v>31</v>
      </c>
      <c r="C8783" t="s">
        <v>32</v>
      </c>
      <c r="D8783" t="s">
        <v>953</v>
      </c>
      <c r="E8783" t="s">
        <v>1084</v>
      </c>
      <c r="F8783" t="s">
        <v>35</v>
      </c>
      <c r="G8783" t="s">
        <v>35</v>
      </c>
      <c r="H8783" t="s">
        <v>35</v>
      </c>
      <c r="J8783" t="s">
        <v>628</v>
      </c>
      <c r="K8783" t="s">
        <v>1092</v>
      </c>
      <c r="M8783">
        <v>2.3E-2</v>
      </c>
      <c r="N8783">
        <v>59</v>
      </c>
      <c r="O8783" t="s">
        <v>52</v>
      </c>
      <c r="Q8783" t="s">
        <v>84</v>
      </c>
      <c r="R8783" t="s">
        <v>6891</v>
      </c>
      <c r="S8783" t="s">
        <v>1085</v>
      </c>
    </row>
    <row r="8784" spans="1:19" x14ac:dyDescent="0.25">
      <c r="A8784" t="s">
        <v>30</v>
      </c>
      <c r="B8784" t="s">
        <v>31</v>
      </c>
      <c r="C8784" t="s">
        <v>32</v>
      </c>
      <c r="D8784" t="s">
        <v>953</v>
      </c>
      <c r="E8784" t="s">
        <v>1084</v>
      </c>
      <c r="F8784" t="s">
        <v>35</v>
      </c>
      <c r="G8784" t="s">
        <v>35</v>
      </c>
      <c r="H8784" t="s">
        <v>35</v>
      </c>
      <c r="J8784" t="s">
        <v>7840</v>
      </c>
      <c r="K8784" t="s">
        <v>1092</v>
      </c>
      <c r="M8784">
        <v>2.16</v>
      </c>
      <c r="N8784">
        <v>15</v>
      </c>
      <c r="O8784" t="s">
        <v>46</v>
      </c>
      <c r="Q8784" t="s">
        <v>1944</v>
      </c>
      <c r="R8784" t="s">
        <v>6891</v>
      </c>
      <c r="S8784" t="s">
        <v>1085</v>
      </c>
    </row>
    <row r="8785" spans="1:19" x14ac:dyDescent="0.25">
      <c r="A8785" t="s">
        <v>59</v>
      </c>
      <c r="B8785" t="s">
        <v>60</v>
      </c>
      <c r="C8785" t="s">
        <v>32</v>
      </c>
      <c r="D8785" t="s">
        <v>953</v>
      </c>
      <c r="E8785" t="s">
        <v>1084</v>
      </c>
      <c r="F8785" t="s">
        <v>35</v>
      </c>
      <c r="G8785" t="s">
        <v>35</v>
      </c>
      <c r="H8785" t="s">
        <v>35</v>
      </c>
      <c r="J8785" t="s">
        <v>7252</v>
      </c>
      <c r="K8785" t="s">
        <v>1092</v>
      </c>
      <c r="M8785">
        <v>0.5</v>
      </c>
      <c r="N8785">
        <v>78</v>
      </c>
      <c r="O8785" t="s">
        <v>61</v>
      </c>
      <c r="Q8785" t="s">
        <v>4851</v>
      </c>
      <c r="R8785" t="s">
        <v>6891</v>
      </c>
      <c r="S8785" t="s">
        <v>1085</v>
      </c>
    </row>
    <row r="8786" spans="1:19" x14ac:dyDescent="0.25">
      <c r="A8786" t="s">
        <v>59</v>
      </c>
      <c r="B8786" t="s">
        <v>60</v>
      </c>
      <c r="C8786" t="s">
        <v>32</v>
      </c>
      <c r="D8786" t="s">
        <v>953</v>
      </c>
      <c r="E8786" t="s">
        <v>1084</v>
      </c>
      <c r="F8786" t="s">
        <v>35</v>
      </c>
      <c r="G8786" t="s">
        <v>35</v>
      </c>
      <c r="H8786" t="s">
        <v>35</v>
      </c>
      <c r="J8786" t="s">
        <v>7252</v>
      </c>
      <c r="K8786" t="s">
        <v>1092</v>
      </c>
      <c r="M8786">
        <v>1</v>
      </c>
      <c r="N8786">
        <v>14</v>
      </c>
      <c r="O8786" t="s">
        <v>46</v>
      </c>
      <c r="Q8786" t="s">
        <v>2440</v>
      </c>
      <c r="R8786" t="s">
        <v>6891</v>
      </c>
      <c r="S8786" t="s">
        <v>1085</v>
      </c>
    </row>
    <row r="8787" spans="1:19" x14ac:dyDescent="0.25">
      <c r="A8787" t="s">
        <v>59</v>
      </c>
      <c r="B8787" t="s">
        <v>60</v>
      </c>
      <c r="C8787" t="s">
        <v>32</v>
      </c>
      <c r="D8787" t="s">
        <v>953</v>
      </c>
      <c r="E8787" t="s">
        <v>1084</v>
      </c>
      <c r="F8787" t="s">
        <v>35</v>
      </c>
      <c r="G8787" t="s">
        <v>35</v>
      </c>
      <c r="H8787" t="s">
        <v>35</v>
      </c>
      <c r="J8787" t="s">
        <v>7841</v>
      </c>
      <c r="K8787" t="s">
        <v>1092</v>
      </c>
      <c r="M8787">
        <v>0.55000000000000004</v>
      </c>
      <c r="N8787">
        <v>173</v>
      </c>
      <c r="O8787" t="s">
        <v>38</v>
      </c>
      <c r="Q8787" t="s">
        <v>1345</v>
      </c>
      <c r="R8787" t="s">
        <v>6877</v>
      </c>
      <c r="S8787" t="s">
        <v>1041</v>
      </c>
    </row>
    <row r="8788" spans="1:19" x14ac:dyDescent="0.25">
      <c r="A8788" t="s">
        <v>59</v>
      </c>
      <c r="B8788" t="s">
        <v>60</v>
      </c>
      <c r="C8788" t="s">
        <v>32</v>
      </c>
      <c r="D8788" t="s">
        <v>953</v>
      </c>
      <c r="E8788" t="s">
        <v>7842</v>
      </c>
      <c r="F8788" t="s">
        <v>35</v>
      </c>
      <c r="G8788" t="s">
        <v>35</v>
      </c>
      <c r="H8788" t="s">
        <v>35</v>
      </c>
      <c r="J8788" t="s">
        <v>7843</v>
      </c>
      <c r="K8788" t="s">
        <v>1092</v>
      </c>
      <c r="M8788">
        <v>0.5</v>
      </c>
      <c r="N8788">
        <v>223</v>
      </c>
      <c r="O8788" t="s">
        <v>5</v>
      </c>
      <c r="Q8788" t="s">
        <v>3310</v>
      </c>
      <c r="R8788" t="s">
        <v>6891</v>
      </c>
      <c r="S8788" t="s">
        <v>1085</v>
      </c>
    </row>
    <row r="8789" spans="1:19" x14ac:dyDescent="0.25">
      <c r="A8789" t="s">
        <v>59</v>
      </c>
      <c r="B8789" t="s">
        <v>60</v>
      </c>
      <c r="C8789" t="s">
        <v>32</v>
      </c>
      <c r="D8789" t="s">
        <v>953</v>
      </c>
      <c r="E8789" t="s">
        <v>7842</v>
      </c>
      <c r="F8789" t="s">
        <v>35</v>
      </c>
      <c r="G8789" t="s">
        <v>35</v>
      </c>
      <c r="H8789" t="s">
        <v>35</v>
      </c>
      <c r="J8789" t="s">
        <v>7843</v>
      </c>
      <c r="K8789" t="s">
        <v>1092</v>
      </c>
      <c r="M8789">
        <v>0.5</v>
      </c>
      <c r="N8789">
        <v>173</v>
      </c>
      <c r="O8789" t="s">
        <v>38</v>
      </c>
      <c r="Q8789" t="s">
        <v>1345</v>
      </c>
      <c r="R8789" t="s">
        <v>6891</v>
      </c>
      <c r="S8789" t="s">
        <v>1085</v>
      </c>
    </row>
    <row r="8790" spans="1:19" x14ac:dyDescent="0.25">
      <c r="A8790" t="s">
        <v>59</v>
      </c>
      <c r="B8790" t="s">
        <v>31</v>
      </c>
      <c r="C8790" t="s">
        <v>32</v>
      </c>
      <c r="D8790" t="s">
        <v>953</v>
      </c>
      <c r="E8790" t="s">
        <v>7842</v>
      </c>
      <c r="F8790" t="s">
        <v>35</v>
      </c>
      <c r="G8790" t="s">
        <v>35</v>
      </c>
      <c r="H8790" t="s">
        <v>35</v>
      </c>
      <c r="J8790" t="s">
        <v>7843</v>
      </c>
      <c r="K8790" t="s">
        <v>1092</v>
      </c>
      <c r="M8790">
        <v>0.9</v>
      </c>
      <c r="N8790">
        <v>63</v>
      </c>
      <c r="O8790" t="s">
        <v>61</v>
      </c>
      <c r="Q8790" t="s">
        <v>423</v>
      </c>
      <c r="R8790" t="s">
        <v>6891</v>
      </c>
      <c r="S8790" t="s">
        <v>1085</v>
      </c>
    </row>
    <row r="8791" spans="1:19" x14ac:dyDescent="0.25">
      <c r="A8791" t="s">
        <v>30</v>
      </c>
      <c r="B8791" t="s">
        <v>31</v>
      </c>
      <c r="C8791" t="s">
        <v>32</v>
      </c>
      <c r="D8791" t="s">
        <v>953</v>
      </c>
      <c r="E8791" t="s">
        <v>7842</v>
      </c>
      <c r="F8791" t="s">
        <v>35</v>
      </c>
      <c r="G8791" t="s">
        <v>35</v>
      </c>
      <c r="H8791" t="s">
        <v>35</v>
      </c>
      <c r="J8791" t="s">
        <v>7943</v>
      </c>
      <c r="K8791" t="s">
        <v>1092</v>
      </c>
      <c r="M8791">
        <v>4.9950000000000001</v>
      </c>
      <c r="N8791">
        <v>7</v>
      </c>
      <c r="O8791" t="s">
        <v>46</v>
      </c>
      <c r="Q8791" t="s">
        <v>8164</v>
      </c>
      <c r="R8791" t="s">
        <v>6709</v>
      </c>
      <c r="S8791" t="s">
        <v>1022</v>
      </c>
    </row>
    <row r="8792" spans="1:19" x14ac:dyDescent="0.25">
      <c r="A8792" t="s">
        <v>44</v>
      </c>
      <c r="B8792" t="s">
        <v>3</v>
      </c>
      <c r="C8792" t="s">
        <v>32</v>
      </c>
      <c r="D8792" t="s">
        <v>953</v>
      </c>
      <c r="E8792" t="s">
        <v>7842</v>
      </c>
      <c r="F8792" t="s">
        <v>35</v>
      </c>
      <c r="G8792" t="s">
        <v>35</v>
      </c>
      <c r="H8792" t="s">
        <v>35</v>
      </c>
      <c r="J8792" t="s">
        <v>6555</v>
      </c>
      <c r="K8792" t="s">
        <v>1092</v>
      </c>
      <c r="M8792">
        <v>10</v>
      </c>
      <c r="N8792">
        <v>65</v>
      </c>
      <c r="O8792" t="s">
        <v>61</v>
      </c>
      <c r="Q8792" t="s">
        <v>128</v>
      </c>
      <c r="R8792" t="s">
        <v>133</v>
      </c>
      <c r="S8792" t="s">
        <v>134</v>
      </c>
    </row>
    <row r="8793" spans="1:19" x14ac:dyDescent="0.25">
      <c r="A8793" t="s">
        <v>59</v>
      </c>
      <c r="B8793" t="s">
        <v>60</v>
      </c>
      <c r="C8793" t="s">
        <v>32</v>
      </c>
      <c r="D8793" t="s">
        <v>953</v>
      </c>
      <c r="E8793" t="s">
        <v>7842</v>
      </c>
      <c r="F8793" t="s">
        <v>35</v>
      </c>
      <c r="G8793" t="s">
        <v>35</v>
      </c>
      <c r="H8793" t="s">
        <v>35</v>
      </c>
      <c r="J8793" t="s">
        <v>7844</v>
      </c>
      <c r="K8793" t="s">
        <v>1092</v>
      </c>
      <c r="M8793">
        <v>0.1</v>
      </c>
      <c r="N8793">
        <v>134</v>
      </c>
      <c r="O8793" t="s">
        <v>38</v>
      </c>
      <c r="Q8793" t="s">
        <v>3640</v>
      </c>
      <c r="R8793" t="s">
        <v>6891</v>
      </c>
      <c r="S8793" t="s">
        <v>1085</v>
      </c>
    </row>
    <row r="8794" spans="1:19" x14ac:dyDescent="0.25">
      <c r="A8794" t="s">
        <v>59</v>
      </c>
      <c r="B8794" t="s">
        <v>60</v>
      </c>
      <c r="C8794" t="s">
        <v>32</v>
      </c>
      <c r="D8794" t="s">
        <v>953</v>
      </c>
      <c r="E8794" t="s">
        <v>7842</v>
      </c>
      <c r="F8794" t="s">
        <v>35</v>
      </c>
      <c r="G8794" t="s">
        <v>35</v>
      </c>
      <c r="H8794" t="s">
        <v>35</v>
      </c>
      <c r="J8794" t="s">
        <v>7845</v>
      </c>
      <c r="K8794" t="s">
        <v>1092</v>
      </c>
      <c r="M8794">
        <v>0.5</v>
      </c>
      <c r="N8794">
        <v>50</v>
      </c>
      <c r="O8794" t="s">
        <v>52</v>
      </c>
      <c r="Q8794" t="s">
        <v>425</v>
      </c>
      <c r="R8794" t="s">
        <v>6891</v>
      </c>
      <c r="S8794" t="s">
        <v>1085</v>
      </c>
    </row>
    <row r="8795" spans="1:19" x14ac:dyDescent="0.25">
      <c r="A8795" t="s">
        <v>59</v>
      </c>
      <c r="B8795" t="s">
        <v>60</v>
      </c>
      <c r="C8795" t="s">
        <v>32</v>
      </c>
      <c r="D8795" t="s">
        <v>953</v>
      </c>
      <c r="E8795" t="s">
        <v>7842</v>
      </c>
      <c r="F8795" t="s">
        <v>35</v>
      </c>
      <c r="G8795" t="s">
        <v>35</v>
      </c>
      <c r="H8795" t="s">
        <v>35</v>
      </c>
      <c r="J8795" t="s">
        <v>7845</v>
      </c>
      <c r="K8795" t="s">
        <v>1092</v>
      </c>
      <c r="M8795">
        <v>0.25</v>
      </c>
      <c r="N8795">
        <v>52</v>
      </c>
      <c r="O8795" t="s">
        <v>52</v>
      </c>
      <c r="Q8795" t="s">
        <v>1230</v>
      </c>
      <c r="R8795" t="s">
        <v>6891</v>
      </c>
      <c r="S8795" t="s">
        <v>1085</v>
      </c>
    </row>
    <row r="8796" spans="1:19" x14ac:dyDescent="0.25">
      <c r="A8796" t="s">
        <v>59</v>
      </c>
      <c r="B8796" t="s">
        <v>31</v>
      </c>
      <c r="C8796" t="s">
        <v>32</v>
      </c>
      <c r="D8796" t="s">
        <v>953</v>
      </c>
      <c r="E8796" t="s">
        <v>7842</v>
      </c>
      <c r="F8796" t="s">
        <v>35</v>
      </c>
      <c r="G8796" t="s">
        <v>35</v>
      </c>
      <c r="H8796" t="s">
        <v>35</v>
      </c>
      <c r="J8796" t="s">
        <v>7846</v>
      </c>
      <c r="K8796" t="s">
        <v>1092</v>
      </c>
      <c r="M8796">
        <v>0.45</v>
      </c>
      <c r="N8796">
        <v>47</v>
      </c>
      <c r="O8796" t="s">
        <v>52</v>
      </c>
      <c r="Q8796" t="s">
        <v>132</v>
      </c>
      <c r="R8796" t="s">
        <v>6891</v>
      </c>
      <c r="S8796" t="s">
        <v>1085</v>
      </c>
    </row>
    <row r="8797" spans="1:19" x14ac:dyDescent="0.25">
      <c r="A8797" t="s">
        <v>30</v>
      </c>
      <c r="B8797" t="s">
        <v>31</v>
      </c>
      <c r="C8797" t="s">
        <v>32</v>
      </c>
      <c r="D8797" t="s">
        <v>953</v>
      </c>
      <c r="E8797" t="s">
        <v>7842</v>
      </c>
      <c r="F8797" t="s">
        <v>35</v>
      </c>
      <c r="G8797" t="s">
        <v>35</v>
      </c>
      <c r="H8797" t="s">
        <v>35</v>
      </c>
      <c r="J8797" t="s">
        <v>7846</v>
      </c>
      <c r="K8797" t="s">
        <v>1092</v>
      </c>
      <c r="M8797">
        <v>3.6</v>
      </c>
      <c r="N8797">
        <v>18</v>
      </c>
      <c r="O8797" t="s">
        <v>46</v>
      </c>
      <c r="Q8797" t="s">
        <v>1476</v>
      </c>
      <c r="R8797" t="s">
        <v>6891</v>
      </c>
      <c r="S8797" t="s">
        <v>1085</v>
      </c>
    </row>
    <row r="8798" spans="1:19" x14ac:dyDescent="0.25">
      <c r="A8798" t="s">
        <v>44</v>
      </c>
      <c r="B8798" t="s">
        <v>3</v>
      </c>
      <c r="C8798" t="s">
        <v>32</v>
      </c>
      <c r="D8798" t="s">
        <v>953</v>
      </c>
      <c r="E8798" t="s">
        <v>7842</v>
      </c>
      <c r="F8798" t="s">
        <v>35</v>
      </c>
      <c r="G8798" t="s">
        <v>35</v>
      </c>
      <c r="H8798" t="s">
        <v>35</v>
      </c>
      <c r="J8798" t="s">
        <v>1675</v>
      </c>
      <c r="K8798" t="s">
        <v>1092</v>
      </c>
      <c r="M8798">
        <v>0.25</v>
      </c>
      <c r="N8798">
        <v>200</v>
      </c>
      <c r="O8798" t="s">
        <v>5</v>
      </c>
      <c r="Q8798" t="s">
        <v>3691</v>
      </c>
      <c r="R8798" t="s">
        <v>6891</v>
      </c>
      <c r="S8798" t="s">
        <v>1085</v>
      </c>
    </row>
    <row r="8799" spans="1:19" x14ac:dyDescent="0.25">
      <c r="A8799" t="s">
        <v>44</v>
      </c>
      <c r="B8799" t="s">
        <v>3</v>
      </c>
      <c r="C8799" t="s">
        <v>32</v>
      </c>
      <c r="D8799" t="s">
        <v>953</v>
      </c>
      <c r="E8799" t="s">
        <v>7842</v>
      </c>
      <c r="F8799" t="s">
        <v>35</v>
      </c>
      <c r="G8799" t="s">
        <v>35</v>
      </c>
      <c r="H8799" t="s">
        <v>35</v>
      </c>
      <c r="J8799" t="s">
        <v>8271</v>
      </c>
      <c r="K8799" t="s">
        <v>1092</v>
      </c>
      <c r="M8799">
        <v>1</v>
      </c>
      <c r="N8799">
        <v>10</v>
      </c>
      <c r="O8799" t="s">
        <v>46</v>
      </c>
      <c r="Q8799" t="s">
        <v>1676</v>
      </c>
      <c r="R8799" t="s">
        <v>133</v>
      </c>
      <c r="S8799" t="s">
        <v>134</v>
      </c>
    </row>
    <row r="8800" spans="1:19" x14ac:dyDescent="0.25">
      <c r="A8800" t="s">
        <v>44</v>
      </c>
      <c r="B8800" t="s">
        <v>3</v>
      </c>
      <c r="C8800" t="s">
        <v>32</v>
      </c>
      <c r="D8800" t="s">
        <v>953</v>
      </c>
      <c r="E8800" t="s">
        <v>7842</v>
      </c>
      <c r="F8800" t="s">
        <v>35</v>
      </c>
      <c r="G8800" t="s">
        <v>35</v>
      </c>
      <c r="H8800" t="s">
        <v>35</v>
      </c>
      <c r="J8800" t="s">
        <v>8271</v>
      </c>
      <c r="K8800" t="s">
        <v>1092</v>
      </c>
      <c r="M8800">
        <v>0.5</v>
      </c>
      <c r="N8800">
        <v>14</v>
      </c>
      <c r="O8800" t="s">
        <v>46</v>
      </c>
      <c r="Q8800" t="s">
        <v>2440</v>
      </c>
      <c r="R8800" t="s">
        <v>133</v>
      </c>
      <c r="S8800" t="s">
        <v>134</v>
      </c>
    </row>
    <row r="8801" spans="1:19" x14ac:dyDescent="0.25">
      <c r="A8801" t="s">
        <v>44</v>
      </c>
      <c r="B8801" t="s">
        <v>3</v>
      </c>
      <c r="C8801" t="s">
        <v>32</v>
      </c>
      <c r="D8801" t="s">
        <v>953</v>
      </c>
      <c r="E8801" t="s">
        <v>7842</v>
      </c>
      <c r="F8801" t="s">
        <v>35</v>
      </c>
      <c r="G8801" t="s">
        <v>35</v>
      </c>
      <c r="H8801" t="s">
        <v>35</v>
      </c>
      <c r="J8801" t="s">
        <v>7847</v>
      </c>
      <c r="K8801" t="s">
        <v>1092</v>
      </c>
      <c r="M8801">
        <v>0.5</v>
      </c>
      <c r="N8801">
        <v>232</v>
      </c>
      <c r="O8801" t="s">
        <v>5</v>
      </c>
      <c r="Q8801" t="s">
        <v>6223</v>
      </c>
      <c r="R8801" t="s">
        <v>6891</v>
      </c>
      <c r="S8801" t="s">
        <v>1085</v>
      </c>
    </row>
    <row r="8802" spans="1:19" x14ac:dyDescent="0.25">
      <c r="A8802" t="s">
        <v>44</v>
      </c>
      <c r="B8802" t="s">
        <v>51</v>
      </c>
      <c r="C8802" t="s">
        <v>32</v>
      </c>
      <c r="D8802" t="s">
        <v>953</v>
      </c>
      <c r="E8802" t="s">
        <v>7842</v>
      </c>
      <c r="F8802" t="s">
        <v>35</v>
      </c>
      <c r="G8802" t="s">
        <v>35</v>
      </c>
      <c r="H8802" t="s">
        <v>35</v>
      </c>
      <c r="J8802" t="s">
        <v>7847</v>
      </c>
      <c r="K8802" t="s">
        <v>1092</v>
      </c>
      <c r="M8802">
        <v>0.5</v>
      </c>
      <c r="N8802">
        <v>240</v>
      </c>
      <c r="O8802" t="s">
        <v>5</v>
      </c>
      <c r="Q8802" t="s">
        <v>2516</v>
      </c>
      <c r="R8802" t="s">
        <v>6891</v>
      </c>
      <c r="S8802" t="s">
        <v>1085</v>
      </c>
    </row>
    <row r="8803" spans="1:19" x14ac:dyDescent="0.25">
      <c r="A8803" t="s">
        <v>30</v>
      </c>
      <c r="B8803" t="s">
        <v>31</v>
      </c>
      <c r="C8803" t="s">
        <v>32</v>
      </c>
      <c r="D8803" t="s">
        <v>953</v>
      </c>
      <c r="E8803" t="s">
        <v>7842</v>
      </c>
      <c r="F8803" t="s">
        <v>35</v>
      </c>
      <c r="G8803" t="s">
        <v>35</v>
      </c>
      <c r="H8803" t="s">
        <v>35</v>
      </c>
      <c r="J8803" t="s">
        <v>8272</v>
      </c>
      <c r="K8803" t="s">
        <v>1092</v>
      </c>
      <c r="M8803">
        <v>4.9950000000000001</v>
      </c>
      <c r="N8803">
        <v>7</v>
      </c>
      <c r="O8803" t="s">
        <v>46</v>
      </c>
      <c r="Q8803" t="s">
        <v>8164</v>
      </c>
      <c r="R8803" t="s">
        <v>6709</v>
      </c>
      <c r="S8803" t="s">
        <v>1022</v>
      </c>
    </row>
    <row r="8804" spans="1:19" x14ac:dyDescent="0.25">
      <c r="A8804" t="s">
        <v>59</v>
      </c>
      <c r="B8804" t="s">
        <v>60</v>
      </c>
      <c r="C8804" t="s">
        <v>32</v>
      </c>
      <c r="D8804" t="s">
        <v>953</v>
      </c>
      <c r="E8804" t="s">
        <v>7842</v>
      </c>
      <c r="F8804" t="s">
        <v>35</v>
      </c>
      <c r="G8804" t="s">
        <v>35</v>
      </c>
      <c r="H8804" t="s">
        <v>35</v>
      </c>
      <c r="J8804" t="s">
        <v>7848</v>
      </c>
      <c r="K8804" t="s">
        <v>1092</v>
      </c>
      <c r="M8804">
        <v>0.3</v>
      </c>
      <c r="N8804">
        <v>181</v>
      </c>
      <c r="O8804" t="s">
        <v>5</v>
      </c>
      <c r="Q8804" t="s">
        <v>1684</v>
      </c>
      <c r="R8804" t="s">
        <v>6891</v>
      </c>
      <c r="S8804" t="s">
        <v>1085</v>
      </c>
    </row>
    <row r="8805" spans="1:19" x14ac:dyDescent="0.25">
      <c r="A8805" t="s">
        <v>59</v>
      </c>
      <c r="B8805" t="s">
        <v>60</v>
      </c>
      <c r="C8805" t="s">
        <v>32</v>
      </c>
      <c r="D8805" t="s">
        <v>953</v>
      </c>
      <c r="E8805" t="s">
        <v>7842</v>
      </c>
      <c r="F8805" t="s">
        <v>35</v>
      </c>
      <c r="G8805" t="s">
        <v>35</v>
      </c>
      <c r="H8805" t="s">
        <v>35</v>
      </c>
      <c r="J8805" t="s">
        <v>7848</v>
      </c>
      <c r="K8805" t="s">
        <v>1092</v>
      </c>
      <c r="M8805">
        <v>1</v>
      </c>
      <c r="N8805">
        <v>39</v>
      </c>
      <c r="O8805" t="s">
        <v>52</v>
      </c>
      <c r="Q8805" t="s">
        <v>816</v>
      </c>
      <c r="R8805" t="s">
        <v>6891</v>
      </c>
      <c r="S8805" t="s">
        <v>1085</v>
      </c>
    </row>
    <row r="8806" spans="1:19" x14ac:dyDescent="0.25">
      <c r="A8806" t="s">
        <v>59</v>
      </c>
      <c r="B8806" t="s">
        <v>60</v>
      </c>
      <c r="C8806" t="s">
        <v>32</v>
      </c>
      <c r="D8806" t="s">
        <v>953</v>
      </c>
      <c r="E8806" t="s">
        <v>7842</v>
      </c>
      <c r="F8806" t="s">
        <v>35</v>
      </c>
      <c r="G8806" t="s">
        <v>35</v>
      </c>
      <c r="H8806" t="s">
        <v>35</v>
      </c>
      <c r="J8806" t="s">
        <v>7848</v>
      </c>
      <c r="K8806" t="s">
        <v>1092</v>
      </c>
      <c r="M8806">
        <v>0.5</v>
      </c>
      <c r="N8806">
        <v>149</v>
      </c>
      <c r="O8806" t="s">
        <v>38</v>
      </c>
      <c r="Q8806" t="s">
        <v>73</v>
      </c>
      <c r="R8806" t="s">
        <v>6891</v>
      </c>
      <c r="S8806" t="s">
        <v>1085</v>
      </c>
    </row>
    <row r="8807" spans="1:19" x14ac:dyDescent="0.25">
      <c r="A8807" t="s">
        <v>59</v>
      </c>
      <c r="B8807" t="s">
        <v>60</v>
      </c>
      <c r="C8807" t="s">
        <v>32</v>
      </c>
      <c r="D8807" t="s">
        <v>953</v>
      </c>
      <c r="E8807" t="s">
        <v>7842</v>
      </c>
      <c r="F8807" t="s">
        <v>35</v>
      </c>
      <c r="G8807" t="s">
        <v>35</v>
      </c>
      <c r="H8807" t="s">
        <v>35</v>
      </c>
      <c r="J8807" t="s">
        <v>7848</v>
      </c>
      <c r="K8807" t="s">
        <v>1092</v>
      </c>
      <c r="M8807">
        <v>0.5</v>
      </c>
      <c r="N8807">
        <v>140</v>
      </c>
      <c r="O8807" t="s">
        <v>38</v>
      </c>
      <c r="Q8807" t="s">
        <v>609</v>
      </c>
      <c r="R8807" t="s">
        <v>6891</v>
      </c>
      <c r="S8807" t="s">
        <v>1085</v>
      </c>
    </row>
    <row r="8808" spans="1:19" x14ac:dyDescent="0.25">
      <c r="A8808" t="s">
        <v>30</v>
      </c>
      <c r="B8808" t="s">
        <v>31</v>
      </c>
      <c r="C8808" t="s">
        <v>32</v>
      </c>
      <c r="D8808" t="s">
        <v>953</v>
      </c>
      <c r="E8808" t="s">
        <v>7842</v>
      </c>
      <c r="F8808" t="s">
        <v>35</v>
      </c>
      <c r="G8808" t="s">
        <v>35</v>
      </c>
      <c r="H8808" t="s">
        <v>35</v>
      </c>
      <c r="J8808" t="s">
        <v>8273</v>
      </c>
      <c r="K8808" t="s">
        <v>1092</v>
      </c>
      <c r="M8808">
        <v>9.99</v>
      </c>
      <c r="N8808">
        <v>2</v>
      </c>
      <c r="O8808" t="s">
        <v>46</v>
      </c>
      <c r="Q8808" t="s">
        <v>8155</v>
      </c>
      <c r="R8808" t="s">
        <v>6742</v>
      </c>
      <c r="S8808" t="s">
        <v>1016</v>
      </c>
    </row>
    <row r="8809" spans="1:19" x14ac:dyDescent="0.25">
      <c r="A8809" t="s">
        <v>59</v>
      </c>
      <c r="B8809" t="s">
        <v>60</v>
      </c>
      <c r="C8809" t="s">
        <v>32</v>
      </c>
      <c r="D8809" t="s">
        <v>953</v>
      </c>
      <c r="E8809" t="s">
        <v>7842</v>
      </c>
      <c r="F8809" t="s">
        <v>35</v>
      </c>
      <c r="G8809" t="s">
        <v>35</v>
      </c>
      <c r="H8809" t="s">
        <v>35</v>
      </c>
      <c r="J8809" t="s">
        <v>7676</v>
      </c>
      <c r="K8809" t="s">
        <v>1092</v>
      </c>
      <c r="M8809">
        <v>1.5</v>
      </c>
      <c r="N8809">
        <v>360</v>
      </c>
      <c r="O8809" t="s">
        <v>5</v>
      </c>
      <c r="Q8809" t="s">
        <v>1435</v>
      </c>
      <c r="R8809" t="s">
        <v>6891</v>
      </c>
      <c r="S8809" t="s">
        <v>1085</v>
      </c>
    </row>
    <row r="8810" spans="1:19" x14ac:dyDescent="0.25">
      <c r="A8810" t="s">
        <v>59</v>
      </c>
      <c r="B8810" t="s">
        <v>60</v>
      </c>
      <c r="C8810" t="s">
        <v>32</v>
      </c>
      <c r="D8810" t="s">
        <v>953</v>
      </c>
      <c r="E8810" t="s">
        <v>7842</v>
      </c>
      <c r="F8810" t="s">
        <v>35</v>
      </c>
      <c r="G8810" t="s">
        <v>35</v>
      </c>
      <c r="H8810" t="s">
        <v>35</v>
      </c>
      <c r="J8810" t="s">
        <v>3494</v>
      </c>
      <c r="K8810" t="s">
        <v>1092</v>
      </c>
      <c r="M8810">
        <v>1</v>
      </c>
      <c r="N8810">
        <v>1190</v>
      </c>
      <c r="O8810" t="s">
        <v>575</v>
      </c>
      <c r="Q8810" t="s">
        <v>7849</v>
      </c>
      <c r="R8810" t="s">
        <v>6847</v>
      </c>
      <c r="S8810" t="s">
        <v>1034</v>
      </c>
    </row>
    <row r="8811" spans="1:19" x14ac:dyDescent="0.25">
      <c r="A8811" t="s">
        <v>59</v>
      </c>
      <c r="B8811" t="s">
        <v>60</v>
      </c>
      <c r="C8811" t="s">
        <v>32</v>
      </c>
      <c r="D8811" t="s">
        <v>953</v>
      </c>
      <c r="E8811" t="s">
        <v>7842</v>
      </c>
      <c r="F8811" t="s">
        <v>35</v>
      </c>
      <c r="G8811" t="s">
        <v>35</v>
      </c>
      <c r="H8811" t="s">
        <v>35</v>
      </c>
      <c r="J8811" t="s">
        <v>7850</v>
      </c>
      <c r="K8811" t="s">
        <v>1092</v>
      </c>
      <c r="M8811">
        <v>1.25</v>
      </c>
      <c r="N8811">
        <v>234</v>
      </c>
      <c r="O8811" t="s">
        <v>5</v>
      </c>
      <c r="Q8811" t="s">
        <v>1780</v>
      </c>
      <c r="R8811" t="s">
        <v>6877</v>
      </c>
      <c r="S8811" t="s">
        <v>1041</v>
      </c>
    </row>
    <row r="8812" spans="1:19" x14ac:dyDescent="0.25">
      <c r="A8812" t="s">
        <v>30</v>
      </c>
      <c r="B8812" t="s">
        <v>31</v>
      </c>
      <c r="C8812" t="s">
        <v>32</v>
      </c>
      <c r="D8812" t="s">
        <v>953</v>
      </c>
      <c r="E8812" t="s">
        <v>7842</v>
      </c>
      <c r="F8812" t="s">
        <v>35</v>
      </c>
      <c r="G8812" t="s">
        <v>35</v>
      </c>
      <c r="H8812" t="s">
        <v>35</v>
      </c>
      <c r="J8812" t="s">
        <v>7851</v>
      </c>
      <c r="K8812" t="s">
        <v>1092</v>
      </c>
      <c r="M8812">
        <v>4.4999999999999998E-2</v>
      </c>
      <c r="N8812">
        <v>457</v>
      </c>
      <c r="O8812" t="s">
        <v>294</v>
      </c>
      <c r="Q8812" t="s">
        <v>2104</v>
      </c>
      <c r="R8812" t="s">
        <v>6709</v>
      </c>
      <c r="S8812" t="s">
        <v>1022</v>
      </c>
    </row>
    <row r="8813" spans="1:19" x14ac:dyDescent="0.25">
      <c r="A8813" t="s">
        <v>44</v>
      </c>
      <c r="B8813" t="s">
        <v>3</v>
      </c>
      <c r="C8813" t="s">
        <v>32</v>
      </c>
      <c r="D8813" t="s">
        <v>953</v>
      </c>
      <c r="E8813" t="s">
        <v>7842</v>
      </c>
      <c r="F8813" t="s">
        <v>35</v>
      </c>
      <c r="G8813" t="s">
        <v>35</v>
      </c>
      <c r="H8813" t="s">
        <v>35</v>
      </c>
      <c r="J8813" t="s">
        <v>7852</v>
      </c>
      <c r="K8813" t="s">
        <v>1092</v>
      </c>
      <c r="M8813">
        <v>2.5</v>
      </c>
      <c r="N8813">
        <v>60</v>
      </c>
      <c r="O8813" t="s">
        <v>52</v>
      </c>
      <c r="Q8813" t="s">
        <v>1734</v>
      </c>
      <c r="R8813" t="s">
        <v>133</v>
      </c>
      <c r="S8813" t="s">
        <v>134</v>
      </c>
    </row>
    <row r="8814" spans="1:19" x14ac:dyDescent="0.25">
      <c r="A8814" t="s">
        <v>59</v>
      </c>
      <c r="B8814" t="s">
        <v>60</v>
      </c>
      <c r="C8814" t="s">
        <v>32</v>
      </c>
      <c r="D8814" t="s">
        <v>953</v>
      </c>
      <c r="E8814" t="s">
        <v>7842</v>
      </c>
      <c r="F8814" t="s">
        <v>35</v>
      </c>
      <c r="G8814" t="s">
        <v>35</v>
      </c>
      <c r="H8814" t="s">
        <v>35</v>
      </c>
      <c r="J8814" t="s">
        <v>7853</v>
      </c>
      <c r="K8814" t="s">
        <v>1092</v>
      </c>
      <c r="M8814">
        <v>0.35</v>
      </c>
      <c r="N8814">
        <v>628</v>
      </c>
      <c r="O8814" t="s">
        <v>575</v>
      </c>
      <c r="Q8814" t="s">
        <v>2423</v>
      </c>
      <c r="R8814" t="s">
        <v>6891</v>
      </c>
      <c r="S8814" t="s">
        <v>1085</v>
      </c>
    </row>
    <row r="8815" spans="1:19" x14ac:dyDescent="0.25">
      <c r="A8815" t="s">
        <v>59</v>
      </c>
      <c r="B8815" t="s">
        <v>60</v>
      </c>
      <c r="C8815" t="s">
        <v>32</v>
      </c>
      <c r="D8815" t="s">
        <v>953</v>
      </c>
      <c r="E8815" t="s">
        <v>7842</v>
      </c>
      <c r="F8815" t="s">
        <v>35</v>
      </c>
      <c r="G8815" t="s">
        <v>35</v>
      </c>
      <c r="H8815" t="s">
        <v>35</v>
      </c>
      <c r="J8815" t="s">
        <v>7854</v>
      </c>
      <c r="K8815" t="s">
        <v>1092</v>
      </c>
      <c r="M8815">
        <v>0.2</v>
      </c>
      <c r="N8815">
        <v>236</v>
      </c>
      <c r="O8815" t="s">
        <v>5</v>
      </c>
      <c r="Q8815" t="s">
        <v>1140</v>
      </c>
      <c r="R8815" t="s">
        <v>6847</v>
      </c>
      <c r="S8815" t="s">
        <v>1034</v>
      </c>
    </row>
    <row r="8816" spans="1:19" x14ac:dyDescent="0.25">
      <c r="A8816" t="s">
        <v>30</v>
      </c>
      <c r="B8816" t="s">
        <v>31</v>
      </c>
      <c r="C8816" t="s">
        <v>32</v>
      </c>
      <c r="D8816" t="s">
        <v>953</v>
      </c>
      <c r="E8816" t="s">
        <v>7842</v>
      </c>
      <c r="F8816" t="s">
        <v>35</v>
      </c>
      <c r="G8816" t="s">
        <v>35</v>
      </c>
      <c r="H8816" t="s">
        <v>35</v>
      </c>
      <c r="J8816" t="s">
        <v>7855</v>
      </c>
      <c r="K8816" t="s">
        <v>1092</v>
      </c>
      <c r="M8816">
        <v>0.36</v>
      </c>
      <c r="N8816">
        <v>39</v>
      </c>
      <c r="O8816" t="s">
        <v>52</v>
      </c>
      <c r="Q8816" t="s">
        <v>816</v>
      </c>
      <c r="R8816" t="s">
        <v>6891</v>
      </c>
      <c r="S8816" t="s">
        <v>1085</v>
      </c>
    </row>
    <row r="8817" spans="1:19" x14ac:dyDescent="0.25">
      <c r="A8817" t="s">
        <v>59</v>
      </c>
      <c r="B8817" t="s">
        <v>60</v>
      </c>
      <c r="C8817" t="s">
        <v>32</v>
      </c>
      <c r="D8817" t="s">
        <v>953</v>
      </c>
      <c r="E8817" t="s">
        <v>7842</v>
      </c>
      <c r="F8817" t="s">
        <v>35</v>
      </c>
      <c r="G8817" t="s">
        <v>35</v>
      </c>
      <c r="H8817" t="s">
        <v>35</v>
      </c>
      <c r="J8817" t="s">
        <v>7856</v>
      </c>
      <c r="K8817" t="s">
        <v>1092</v>
      </c>
      <c r="M8817">
        <v>0.1</v>
      </c>
      <c r="N8817">
        <v>615</v>
      </c>
      <c r="O8817" t="s">
        <v>575</v>
      </c>
      <c r="Q8817" t="s">
        <v>7831</v>
      </c>
      <c r="R8817" t="s">
        <v>6891</v>
      </c>
      <c r="S8817" t="s">
        <v>1085</v>
      </c>
    </row>
    <row r="8818" spans="1:19" x14ac:dyDescent="0.25">
      <c r="A8818" t="s">
        <v>30</v>
      </c>
      <c r="B8818" t="s">
        <v>31</v>
      </c>
      <c r="C8818" t="s">
        <v>32</v>
      </c>
      <c r="D8818" t="s">
        <v>953</v>
      </c>
      <c r="E8818" t="s">
        <v>7842</v>
      </c>
      <c r="F8818" t="s">
        <v>35</v>
      </c>
      <c r="G8818" t="s">
        <v>35</v>
      </c>
      <c r="H8818" t="s">
        <v>35</v>
      </c>
      <c r="J8818" t="s">
        <v>7857</v>
      </c>
      <c r="K8818" t="s">
        <v>1092</v>
      </c>
      <c r="M8818">
        <v>0.63</v>
      </c>
      <c r="N8818">
        <v>1792</v>
      </c>
      <c r="O8818" t="s">
        <v>575</v>
      </c>
      <c r="Q8818" t="s">
        <v>7858</v>
      </c>
      <c r="R8818" t="s">
        <v>7859</v>
      </c>
      <c r="S8818" t="s">
        <v>7860</v>
      </c>
    </row>
    <row r="8819" spans="1:19" x14ac:dyDescent="0.25">
      <c r="A8819" t="s">
        <v>30</v>
      </c>
      <c r="B8819" t="s">
        <v>31</v>
      </c>
      <c r="C8819" t="s">
        <v>32</v>
      </c>
      <c r="D8819" t="s">
        <v>953</v>
      </c>
      <c r="E8819" t="s">
        <v>7842</v>
      </c>
      <c r="F8819" t="s">
        <v>35</v>
      </c>
      <c r="G8819" t="s">
        <v>35</v>
      </c>
      <c r="H8819" t="s">
        <v>35</v>
      </c>
      <c r="J8819" t="s">
        <v>7862</v>
      </c>
      <c r="K8819" t="s">
        <v>1092</v>
      </c>
      <c r="M8819">
        <v>0.04</v>
      </c>
      <c r="N8819">
        <v>1928</v>
      </c>
      <c r="O8819" t="s">
        <v>575</v>
      </c>
      <c r="Q8819" t="s">
        <v>7863</v>
      </c>
      <c r="R8819" t="s">
        <v>6897</v>
      </c>
      <c r="S8819" t="s">
        <v>1062</v>
      </c>
    </row>
    <row r="8820" spans="1:19" x14ac:dyDescent="0.25">
      <c r="A8820" t="s">
        <v>30</v>
      </c>
      <c r="B8820" t="s">
        <v>31</v>
      </c>
      <c r="C8820" t="s">
        <v>32</v>
      </c>
      <c r="D8820" t="s">
        <v>953</v>
      </c>
      <c r="E8820" t="s">
        <v>7842</v>
      </c>
      <c r="F8820" t="s">
        <v>35</v>
      </c>
      <c r="G8820" t="s">
        <v>35</v>
      </c>
      <c r="H8820" t="s">
        <v>35</v>
      </c>
      <c r="J8820" t="s">
        <v>7862</v>
      </c>
      <c r="K8820" t="s">
        <v>1092</v>
      </c>
      <c r="M8820">
        <v>0.45</v>
      </c>
      <c r="N8820">
        <v>453</v>
      </c>
      <c r="O8820" t="s">
        <v>294</v>
      </c>
      <c r="Q8820" t="s">
        <v>6465</v>
      </c>
      <c r="R8820" t="s">
        <v>6709</v>
      </c>
      <c r="S8820" t="s">
        <v>1022</v>
      </c>
    </row>
    <row r="8821" spans="1:19" x14ac:dyDescent="0.25">
      <c r="A8821" t="s">
        <v>59</v>
      </c>
      <c r="B8821" t="s">
        <v>60</v>
      </c>
      <c r="C8821" t="s">
        <v>32</v>
      </c>
      <c r="D8821" t="s">
        <v>953</v>
      </c>
      <c r="E8821" t="s">
        <v>7842</v>
      </c>
      <c r="F8821" t="s">
        <v>35</v>
      </c>
      <c r="G8821" t="s">
        <v>35</v>
      </c>
      <c r="H8821" t="s">
        <v>35</v>
      </c>
      <c r="J8821" t="s">
        <v>7864</v>
      </c>
      <c r="K8821" t="s">
        <v>1092</v>
      </c>
      <c r="M8821">
        <v>0.2</v>
      </c>
      <c r="N8821">
        <v>245</v>
      </c>
      <c r="O8821" t="s">
        <v>5</v>
      </c>
      <c r="Q8821" t="s">
        <v>111</v>
      </c>
      <c r="R8821" t="s">
        <v>6891</v>
      </c>
      <c r="S8821" t="s">
        <v>1085</v>
      </c>
    </row>
    <row r="8822" spans="1:19" x14ac:dyDescent="0.25">
      <c r="A8822" t="s">
        <v>59</v>
      </c>
      <c r="B8822" t="s">
        <v>60</v>
      </c>
      <c r="C8822" t="s">
        <v>32</v>
      </c>
      <c r="D8822" t="s">
        <v>953</v>
      </c>
      <c r="E8822" t="s">
        <v>7842</v>
      </c>
      <c r="F8822" t="s">
        <v>35</v>
      </c>
      <c r="G8822" t="s">
        <v>35</v>
      </c>
      <c r="H8822" t="s">
        <v>35</v>
      </c>
      <c r="J8822" t="s">
        <v>7865</v>
      </c>
      <c r="K8822" t="s">
        <v>1092</v>
      </c>
      <c r="M8822">
        <v>0.3</v>
      </c>
      <c r="N8822">
        <v>39</v>
      </c>
      <c r="O8822" t="s">
        <v>52</v>
      </c>
      <c r="Q8822" t="s">
        <v>816</v>
      </c>
      <c r="R8822" t="s">
        <v>6891</v>
      </c>
      <c r="S8822" t="s">
        <v>1085</v>
      </c>
    </row>
    <row r="8823" spans="1:19" x14ac:dyDescent="0.25">
      <c r="A8823" t="s">
        <v>30</v>
      </c>
      <c r="B8823" t="s">
        <v>31</v>
      </c>
      <c r="C8823" t="s">
        <v>32</v>
      </c>
      <c r="D8823" t="s">
        <v>953</v>
      </c>
      <c r="E8823" t="s">
        <v>7842</v>
      </c>
      <c r="F8823" t="s">
        <v>35</v>
      </c>
      <c r="G8823" t="s">
        <v>35</v>
      </c>
      <c r="H8823" t="s">
        <v>35</v>
      </c>
      <c r="J8823" t="s">
        <v>7865</v>
      </c>
      <c r="K8823" t="s">
        <v>1092</v>
      </c>
      <c r="M8823">
        <v>0.58499999999999996</v>
      </c>
      <c r="N8823">
        <v>39</v>
      </c>
      <c r="O8823" t="s">
        <v>52</v>
      </c>
      <c r="Q8823" t="s">
        <v>816</v>
      </c>
      <c r="R8823" t="s">
        <v>6891</v>
      </c>
      <c r="S8823" t="s">
        <v>1085</v>
      </c>
    </row>
    <row r="8824" spans="1:19" x14ac:dyDescent="0.25">
      <c r="A8824" t="s">
        <v>30</v>
      </c>
      <c r="B8824" t="s">
        <v>31</v>
      </c>
      <c r="C8824" t="s">
        <v>32</v>
      </c>
      <c r="D8824" t="s">
        <v>953</v>
      </c>
      <c r="E8824" t="s">
        <v>7842</v>
      </c>
      <c r="F8824" t="s">
        <v>35</v>
      </c>
      <c r="G8824" t="s">
        <v>35</v>
      </c>
      <c r="H8824" t="s">
        <v>35</v>
      </c>
      <c r="J8824" t="s">
        <v>7866</v>
      </c>
      <c r="K8824" t="s">
        <v>1092</v>
      </c>
      <c r="M8824">
        <v>3.8250000000000002</v>
      </c>
      <c r="N8824">
        <v>272</v>
      </c>
      <c r="O8824" t="s">
        <v>5</v>
      </c>
      <c r="Q8824" t="s">
        <v>1264</v>
      </c>
      <c r="R8824" t="s">
        <v>6847</v>
      </c>
      <c r="S8824" t="s">
        <v>1034</v>
      </c>
    </row>
    <row r="8825" spans="1:19" x14ac:dyDescent="0.25">
      <c r="A8825" t="s">
        <v>59</v>
      </c>
      <c r="B8825" t="s">
        <v>31</v>
      </c>
      <c r="C8825" t="s">
        <v>32</v>
      </c>
      <c r="D8825" t="s">
        <v>953</v>
      </c>
      <c r="E8825" t="s">
        <v>7842</v>
      </c>
      <c r="F8825" t="s">
        <v>35</v>
      </c>
      <c r="G8825" t="s">
        <v>35</v>
      </c>
      <c r="H8825" t="s">
        <v>35</v>
      </c>
      <c r="J8825" t="s">
        <v>7867</v>
      </c>
      <c r="K8825" t="s">
        <v>1092</v>
      </c>
      <c r="M8825">
        <v>0.54</v>
      </c>
      <c r="N8825">
        <v>1221</v>
      </c>
      <c r="O8825" t="s">
        <v>575</v>
      </c>
      <c r="Q8825" t="s">
        <v>4540</v>
      </c>
      <c r="R8825" t="s">
        <v>133</v>
      </c>
      <c r="S8825" t="s">
        <v>134</v>
      </c>
    </row>
    <row r="8826" spans="1:19" x14ac:dyDescent="0.25">
      <c r="A8826" t="s">
        <v>30</v>
      </c>
      <c r="B8826" t="s">
        <v>31</v>
      </c>
      <c r="C8826" t="s">
        <v>32</v>
      </c>
      <c r="D8826" t="s">
        <v>953</v>
      </c>
      <c r="E8826" t="s">
        <v>7842</v>
      </c>
      <c r="F8826" t="s">
        <v>35</v>
      </c>
      <c r="G8826" t="s">
        <v>35</v>
      </c>
      <c r="H8826" t="s">
        <v>35</v>
      </c>
      <c r="J8826" t="s">
        <v>7868</v>
      </c>
      <c r="K8826" t="s">
        <v>1092</v>
      </c>
      <c r="M8826">
        <v>1.35</v>
      </c>
      <c r="N8826">
        <v>18</v>
      </c>
      <c r="O8826" t="s">
        <v>46</v>
      </c>
      <c r="Q8826" t="s">
        <v>1476</v>
      </c>
      <c r="R8826" t="s">
        <v>6891</v>
      </c>
      <c r="S8826" t="s">
        <v>1085</v>
      </c>
    </row>
    <row r="8827" spans="1:19" x14ac:dyDescent="0.25">
      <c r="A8827" t="s">
        <v>30</v>
      </c>
      <c r="B8827" t="s">
        <v>31</v>
      </c>
      <c r="C8827" t="s">
        <v>32</v>
      </c>
      <c r="D8827" t="s">
        <v>953</v>
      </c>
      <c r="E8827" t="s">
        <v>7842</v>
      </c>
      <c r="F8827" t="s">
        <v>35</v>
      </c>
      <c r="G8827" t="s">
        <v>35</v>
      </c>
      <c r="H8827" t="s">
        <v>35</v>
      </c>
      <c r="J8827" t="s">
        <v>7868</v>
      </c>
      <c r="K8827" t="s">
        <v>1092</v>
      </c>
      <c r="M8827">
        <v>0.9</v>
      </c>
      <c r="N8827">
        <v>36</v>
      </c>
      <c r="O8827" t="s">
        <v>52</v>
      </c>
      <c r="Q8827" t="s">
        <v>2005</v>
      </c>
      <c r="R8827" t="s">
        <v>6891</v>
      </c>
      <c r="S8827" t="s">
        <v>1085</v>
      </c>
    </row>
    <row r="8828" spans="1:19" x14ac:dyDescent="0.25">
      <c r="A8828" t="s">
        <v>59</v>
      </c>
      <c r="B8828" t="s">
        <v>31</v>
      </c>
      <c r="C8828" t="s">
        <v>32</v>
      </c>
      <c r="D8828" t="s">
        <v>953</v>
      </c>
      <c r="E8828" t="s">
        <v>7842</v>
      </c>
      <c r="F8828" t="s">
        <v>35</v>
      </c>
      <c r="G8828" t="s">
        <v>35</v>
      </c>
      <c r="H8828" t="s">
        <v>35</v>
      </c>
      <c r="J8828" t="s">
        <v>2661</v>
      </c>
      <c r="K8828" t="s">
        <v>1092</v>
      </c>
      <c r="M8828">
        <v>1.35</v>
      </c>
      <c r="N8828">
        <v>61</v>
      </c>
      <c r="O8828" t="s">
        <v>61</v>
      </c>
      <c r="Q8828" t="s">
        <v>671</v>
      </c>
      <c r="R8828" t="s">
        <v>6891</v>
      </c>
      <c r="S8828" t="s">
        <v>1085</v>
      </c>
    </row>
    <row r="8829" spans="1:19" x14ac:dyDescent="0.25">
      <c r="A8829" t="s">
        <v>59</v>
      </c>
      <c r="B8829" t="s">
        <v>31</v>
      </c>
      <c r="C8829" t="s">
        <v>32</v>
      </c>
      <c r="D8829" t="s">
        <v>953</v>
      </c>
      <c r="E8829" t="s">
        <v>7842</v>
      </c>
      <c r="F8829" t="s">
        <v>35</v>
      </c>
      <c r="G8829" t="s">
        <v>35</v>
      </c>
      <c r="H8829" t="s">
        <v>35</v>
      </c>
      <c r="J8829" t="s">
        <v>2661</v>
      </c>
      <c r="K8829" t="s">
        <v>1092</v>
      </c>
      <c r="M8829">
        <v>49.59</v>
      </c>
      <c r="N8829">
        <v>143</v>
      </c>
      <c r="O8829" t="s">
        <v>38</v>
      </c>
      <c r="Q8829" t="s">
        <v>2121</v>
      </c>
      <c r="R8829" t="s">
        <v>133</v>
      </c>
      <c r="S8829" t="s">
        <v>134</v>
      </c>
    </row>
    <row r="8830" spans="1:19" x14ac:dyDescent="0.25">
      <c r="A8830" t="s">
        <v>59</v>
      </c>
      <c r="B8830" t="s">
        <v>31</v>
      </c>
      <c r="C8830" t="s">
        <v>32</v>
      </c>
      <c r="D8830" t="s">
        <v>953</v>
      </c>
      <c r="E8830" t="s">
        <v>7842</v>
      </c>
      <c r="F8830" t="s">
        <v>35</v>
      </c>
      <c r="G8830" t="s">
        <v>35</v>
      </c>
      <c r="H8830" t="s">
        <v>35</v>
      </c>
      <c r="J8830" t="s">
        <v>2661</v>
      </c>
      <c r="K8830" t="s">
        <v>1092</v>
      </c>
      <c r="M8830">
        <v>1.35</v>
      </c>
      <c r="N8830">
        <v>65</v>
      </c>
      <c r="O8830" t="s">
        <v>61</v>
      </c>
      <c r="Q8830" t="s">
        <v>128</v>
      </c>
      <c r="R8830" t="s">
        <v>6891</v>
      </c>
      <c r="S8830" t="s">
        <v>1085</v>
      </c>
    </row>
    <row r="8831" spans="1:19" x14ac:dyDescent="0.25">
      <c r="A8831" t="s">
        <v>44</v>
      </c>
      <c r="B8831" t="s">
        <v>51</v>
      </c>
      <c r="C8831" t="s">
        <v>32</v>
      </c>
      <c r="D8831" t="s">
        <v>953</v>
      </c>
      <c r="E8831" t="s">
        <v>7842</v>
      </c>
      <c r="F8831" t="s">
        <v>35</v>
      </c>
      <c r="G8831" t="s">
        <v>35</v>
      </c>
      <c r="H8831" t="s">
        <v>35</v>
      </c>
      <c r="J8831" t="s">
        <v>7869</v>
      </c>
      <c r="K8831" t="s">
        <v>1092</v>
      </c>
      <c r="M8831">
        <v>1</v>
      </c>
      <c r="N8831">
        <v>498</v>
      </c>
      <c r="O8831" t="s">
        <v>294</v>
      </c>
      <c r="Q8831" t="s">
        <v>2487</v>
      </c>
      <c r="R8831" t="s">
        <v>6891</v>
      </c>
      <c r="S8831" t="s">
        <v>1085</v>
      </c>
    </row>
    <row r="8832" spans="1:19" x14ac:dyDescent="0.25">
      <c r="A8832" t="s">
        <v>59</v>
      </c>
      <c r="B8832" t="s">
        <v>60</v>
      </c>
      <c r="C8832" t="s">
        <v>32</v>
      </c>
      <c r="D8832" t="s">
        <v>953</v>
      </c>
      <c r="E8832" t="s">
        <v>7842</v>
      </c>
      <c r="F8832" t="s">
        <v>35</v>
      </c>
      <c r="G8832" t="s">
        <v>35</v>
      </c>
      <c r="H8832" t="s">
        <v>35</v>
      </c>
      <c r="J8832" t="s">
        <v>7870</v>
      </c>
      <c r="K8832" t="s">
        <v>1092</v>
      </c>
      <c r="M8832">
        <v>2.25</v>
      </c>
      <c r="N8832">
        <v>39</v>
      </c>
      <c r="O8832" t="s">
        <v>52</v>
      </c>
      <c r="Q8832" t="s">
        <v>816</v>
      </c>
      <c r="R8832" t="s">
        <v>6891</v>
      </c>
      <c r="S8832" t="s">
        <v>1085</v>
      </c>
    </row>
    <row r="8833" spans="1:19" x14ac:dyDescent="0.25">
      <c r="A8833" t="s">
        <v>30</v>
      </c>
      <c r="B8833" t="s">
        <v>31</v>
      </c>
      <c r="C8833" t="s">
        <v>32</v>
      </c>
      <c r="D8833" t="s">
        <v>953</v>
      </c>
      <c r="E8833" t="s">
        <v>7842</v>
      </c>
      <c r="F8833" t="s">
        <v>35</v>
      </c>
      <c r="G8833" t="s">
        <v>35</v>
      </c>
      <c r="H8833" t="s">
        <v>35</v>
      </c>
      <c r="J8833" t="s">
        <v>7870</v>
      </c>
      <c r="K8833" t="s">
        <v>1092</v>
      </c>
      <c r="M8833">
        <v>0.81</v>
      </c>
      <c r="N8833">
        <v>30</v>
      </c>
      <c r="O8833" t="s">
        <v>46</v>
      </c>
      <c r="Q8833" t="s">
        <v>793</v>
      </c>
      <c r="R8833" t="s">
        <v>6891</v>
      </c>
      <c r="S8833" t="s">
        <v>1085</v>
      </c>
    </row>
    <row r="8834" spans="1:19" x14ac:dyDescent="0.25">
      <c r="A8834" t="s">
        <v>59</v>
      </c>
      <c r="B8834" t="s">
        <v>31</v>
      </c>
      <c r="C8834" t="s">
        <v>32</v>
      </c>
      <c r="D8834" t="s">
        <v>953</v>
      </c>
      <c r="E8834" t="s">
        <v>7842</v>
      </c>
      <c r="F8834" t="s">
        <v>35</v>
      </c>
      <c r="G8834" t="s">
        <v>35</v>
      </c>
      <c r="H8834" t="s">
        <v>35</v>
      </c>
      <c r="J8834" t="s">
        <v>7870</v>
      </c>
      <c r="K8834" t="s">
        <v>1092</v>
      </c>
      <c r="M8834">
        <v>4.4999999999999998E-2</v>
      </c>
      <c r="N8834">
        <v>89</v>
      </c>
      <c r="O8834" t="s">
        <v>61</v>
      </c>
      <c r="Q8834" t="s">
        <v>299</v>
      </c>
      <c r="R8834" t="s">
        <v>6891</v>
      </c>
      <c r="S8834" t="s">
        <v>1085</v>
      </c>
    </row>
    <row r="8835" spans="1:19" x14ac:dyDescent="0.25">
      <c r="A8835" t="s">
        <v>30</v>
      </c>
      <c r="B8835" t="s">
        <v>31</v>
      </c>
      <c r="C8835" t="s">
        <v>32</v>
      </c>
      <c r="D8835" t="s">
        <v>953</v>
      </c>
      <c r="E8835" t="s">
        <v>7842</v>
      </c>
      <c r="F8835" t="s">
        <v>35</v>
      </c>
      <c r="G8835" t="s">
        <v>35</v>
      </c>
      <c r="H8835" t="s">
        <v>35</v>
      </c>
      <c r="J8835" t="s">
        <v>7871</v>
      </c>
      <c r="K8835" t="s">
        <v>1092</v>
      </c>
      <c r="M8835">
        <v>0.45</v>
      </c>
      <c r="N8835">
        <v>15</v>
      </c>
      <c r="O8835" t="s">
        <v>46</v>
      </c>
      <c r="Q8835" t="s">
        <v>1944</v>
      </c>
      <c r="R8835" t="s">
        <v>6891</v>
      </c>
      <c r="S8835" t="s">
        <v>1085</v>
      </c>
    </row>
    <row r="8836" spans="1:19" x14ac:dyDescent="0.25">
      <c r="A8836" t="s">
        <v>59</v>
      </c>
      <c r="B8836" t="s">
        <v>60</v>
      </c>
      <c r="C8836" t="s">
        <v>32</v>
      </c>
      <c r="D8836" t="s">
        <v>953</v>
      </c>
      <c r="E8836" t="s">
        <v>7842</v>
      </c>
      <c r="F8836" t="s">
        <v>35</v>
      </c>
      <c r="G8836" t="s">
        <v>35</v>
      </c>
      <c r="H8836" t="s">
        <v>35</v>
      </c>
      <c r="J8836" t="s">
        <v>7871</v>
      </c>
      <c r="K8836" t="s">
        <v>1092</v>
      </c>
      <c r="M8836">
        <v>0.15</v>
      </c>
      <c r="N8836">
        <v>78</v>
      </c>
      <c r="O8836" t="s">
        <v>61</v>
      </c>
      <c r="Q8836" t="s">
        <v>4851</v>
      </c>
      <c r="R8836" t="s">
        <v>6891</v>
      </c>
      <c r="S8836" t="s">
        <v>1085</v>
      </c>
    </row>
    <row r="8837" spans="1:19" x14ac:dyDescent="0.25">
      <c r="A8837" t="s">
        <v>30</v>
      </c>
      <c r="B8837" t="s">
        <v>31</v>
      </c>
      <c r="C8837" t="s">
        <v>32</v>
      </c>
      <c r="D8837" t="s">
        <v>953</v>
      </c>
      <c r="E8837" t="s">
        <v>7842</v>
      </c>
      <c r="F8837" t="s">
        <v>35</v>
      </c>
      <c r="G8837" t="s">
        <v>35</v>
      </c>
      <c r="H8837" t="s">
        <v>35</v>
      </c>
      <c r="J8837" t="s">
        <v>7871</v>
      </c>
      <c r="K8837" t="s">
        <v>1092</v>
      </c>
      <c r="M8837">
        <v>0.22500000000000001</v>
      </c>
      <c r="N8837">
        <v>4</v>
      </c>
      <c r="O8837" t="s">
        <v>46</v>
      </c>
      <c r="Q8837" t="s">
        <v>8230</v>
      </c>
      <c r="R8837" t="s">
        <v>6891</v>
      </c>
      <c r="S8837" t="s">
        <v>1085</v>
      </c>
    </row>
    <row r="8838" spans="1:19" x14ac:dyDescent="0.25">
      <c r="A8838" t="s">
        <v>59</v>
      </c>
      <c r="B8838" t="s">
        <v>60</v>
      </c>
      <c r="C8838" t="s">
        <v>32</v>
      </c>
      <c r="D8838" t="s">
        <v>953</v>
      </c>
      <c r="E8838" t="s">
        <v>7842</v>
      </c>
      <c r="F8838" t="s">
        <v>35</v>
      </c>
      <c r="G8838" t="s">
        <v>35</v>
      </c>
      <c r="H8838" t="s">
        <v>35</v>
      </c>
      <c r="J8838" t="s">
        <v>7872</v>
      </c>
      <c r="K8838" t="s">
        <v>1092</v>
      </c>
      <c r="M8838">
        <v>0.1</v>
      </c>
      <c r="N8838">
        <v>591</v>
      </c>
      <c r="O8838" t="s">
        <v>575</v>
      </c>
      <c r="Q8838" t="s">
        <v>4496</v>
      </c>
      <c r="R8838" t="s">
        <v>7873</v>
      </c>
      <c r="S8838" t="s">
        <v>7874</v>
      </c>
    </row>
    <row r="8839" spans="1:19" x14ac:dyDescent="0.25">
      <c r="A8839" t="s">
        <v>59</v>
      </c>
      <c r="B8839" t="s">
        <v>60</v>
      </c>
      <c r="C8839" t="s">
        <v>32</v>
      </c>
      <c r="D8839" t="s">
        <v>953</v>
      </c>
      <c r="E8839" t="s">
        <v>7842</v>
      </c>
      <c r="F8839" t="s">
        <v>35</v>
      </c>
      <c r="G8839" t="s">
        <v>35</v>
      </c>
      <c r="H8839" t="s">
        <v>35</v>
      </c>
      <c r="J8839" t="s">
        <v>7876</v>
      </c>
      <c r="K8839" t="s">
        <v>1092</v>
      </c>
      <c r="M8839">
        <v>0.28999999999999998</v>
      </c>
      <c r="N8839">
        <v>247</v>
      </c>
      <c r="O8839" t="s">
        <v>5</v>
      </c>
      <c r="Q8839" t="s">
        <v>574</v>
      </c>
      <c r="R8839" t="s">
        <v>6891</v>
      </c>
      <c r="S8839" t="s">
        <v>1085</v>
      </c>
    </row>
    <row r="8840" spans="1:19" x14ac:dyDescent="0.25">
      <c r="A8840" t="s">
        <v>59</v>
      </c>
      <c r="B8840" t="s">
        <v>60</v>
      </c>
      <c r="C8840" t="s">
        <v>32</v>
      </c>
      <c r="D8840" t="s">
        <v>953</v>
      </c>
      <c r="F8840" t="s">
        <v>35</v>
      </c>
      <c r="G8840" t="s">
        <v>35</v>
      </c>
      <c r="H8840" t="s">
        <v>35</v>
      </c>
      <c r="J8840" t="s">
        <v>7877</v>
      </c>
      <c r="K8840" t="s">
        <v>1092</v>
      </c>
      <c r="M8840">
        <v>0.3</v>
      </c>
      <c r="N8840">
        <v>2254</v>
      </c>
      <c r="O8840" t="s">
        <v>575</v>
      </c>
      <c r="Q8840" t="s">
        <v>7879</v>
      </c>
      <c r="R8840" t="s">
        <v>7880</v>
      </c>
      <c r="S8840" t="s">
        <v>7881</v>
      </c>
    </row>
    <row r="8841" spans="1:19" x14ac:dyDescent="0.25">
      <c r="A8841" t="s">
        <v>59</v>
      </c>
      <c r="B8841" t="s">
        <v>31</v>
      </c>
      <c r="C8841" t="s">
        <v>32</v>
      </c>
      <c r="D8841" t="s">
        <v>953</v>
      </c>
      <c r="F8841" t="s">
        <v>35</v>
      </c>
      <c r="G8841" t="s">
        <v>35</v>
      </c>
      <c r="H8841" t="s">
        <v>35</v>
      </c>
      <c r="J8841" t="s">
        <v>7877</v>
      </c>
      <c r="K8841" t="s">
        <v>1092</v>
      </c>
      <c r="M8841">
        <v>0.81</v>
      </c>
      <c r="N8841">
        <v>2017</v>
      </c>
      <c r="O8841" t="s">
        <v>575</v>
      </c>
      <c r="Q8841" t="s">
        <v>7882</v>
      </c>
      <c r="R8841" t="s">
        <v>7880</v>
      </c>
      <c r="S8841" t="s">
        <v>7881</v>
      </c>
    </row>
    <row r="8842" spans="1:19" x14ac:dyDescent="0.25">
      <c r="A8842" t="s">
        <v>59</v>
      </c>
      <c r="B8842" t="s">
        <v>60</v>
      </c>
      <c r="C8842" t="s">
        <v>32</v>
      </c>
      <c r="D8842" t="s">
        <v>953</v>
      </c>
      <c r="F8842" t="s">
        <v>35</v>
      </c>
      <c r="G8842" t="s">
        <v>35</v>
      </c>
      <c r="H8842" t="s">
        <v>35</v>
      </c>
      <c r="J8842" t="s">
        <v>7883</v>
      </c>
      <c r="K8842" t="s">
        <v>1092</v>
      </c>
      <c r="M8842">
        <v>1E-3</v>
      </c>
      <c r="N8842">
        <v>627</v>
      </c>
      <c r="O8842" t="s">
        <v>575</v>
      </c>
      <c r="Q8842" t="s">
        <v>7884</v>
      </c>
      <c r="R8842" t="s">
        <v>6709</v>
      </c>
      <c r="S8842" t="s">
        <v>1022</v>
      </c>
    </row>
    <row r="8843" spans="1:19" x14ac:dyDescent="0.25">
      <c r="A8843" t="s">
        <v>59</v>
      </c>
      <c r="B8843" t="s">
        <v>60</v>
      </c>
      <c r="C8843" t="s">
        <v>32</v>
      </c>
      <c r="D8843" t="s">
        <v>953</v>
      </c>
      <c r="F8843" t="s">
        <v>35</v>
      </c>
      <c r="G8843" t="s">
        <v>35</v>
      </c>
      <c r="H8843" t="s">
        <v>35</v>
      </c>
      <c r="J8843" t="s">
        <v>7885</v>
      </c>
      <c r="K8843" t="s">
        <v>1092</v>
      </c>
      <c r="M8843">
        <v>0.27</v>
      </c>
      <c r="N8843">
        <v>1362</v>
      </c>
      <c r="O8843" t="s">
        <v>575</v>
      </c>
      <c r="Q8843" t="s">
        <v>7886</v>
      </c>
      <c r="R8843" t="s">
        <v>6891</v>
      </c>
      <c r="S8843" t="s">
        <v>1085</v>
      </c>
    </row>
    <row r="8844" spans="1:19" x14ac:dyDescent="0.25">
      <c r="A8844" t="s">
        <v>59</v>
      </c>
      <c r="B8844" t="s">
        <v>31</v>
      </c>
      <c r="C8844" t="s">
        <v>32</v>
      </c>
      <c r="D8844" t="s">
        <v>953</v>
      </c>
      <c r="F8844" t="s">
        <v>35</v>
      </c>
      <c r="G8844" t="s">
        <v>35</v>
      </c>
      <c r="H8844" t="s">
        <v>35</v>
      </c>
      <c r="J8844" t="s">
        <v>7885</v>
      </c>
      <c r="K8844" t="s">
        <v>1092</v>
      </c>
      <c r="M8844">
        <v>1.8</v>
      </c>
      <c r="N8844">
        <v>1205</v>
      </c>
      <c r="O8844" t="s">
        <v>575</v>
      </c>
      <c r="Q8844" t="s">
        <v>7887</v>
      </c>
      <c r="R8844" t="s">
        <v>6891</v>
      </c>
      <c r="S8844" t="s">
        <v>1085</v>
      </c>
    </row>
    <row r="8845" spans="1:19" x14ac:dyDescent="0.25">
      <c r="A8845" t="s">
        <v>59</v>
      </c>
      <c r="B8845" t="s">
        <v>31</v>
      </c>
      <c r="C8845" t="s">
        <v>32</v>
      </c>
      <c r="D8845" t="s">
        <v>953</v>
      </c>
      <c r="F8845" t="s">
        <v>35</v>
      </c>
      <c r="G8845" t="s">
        <v>35</v>
      </c>
      <c r="H8845" t="s">
        <v>35</v>
      </c>
      <c r="J8845" t="s">
        <v>7885</v>
      </c>
      <c r="K8845" t="s">
        <v>1092</v>
      </c>
      <c r="M8845">
        <v>0.76</v>
      </c>
      <c r="N8845">
        <v>1246</v>
      </c>
      <c r="O8845" t="s">
        <v>575</v>
      </c>
      <c r="Q8845" t="s">
        <v>3026</v>
      </c>
      <c r="R8845" t="s">
        <v>6891</v>
      </c>
      <c r="S8845" t="s">
        <v>1085</v>
      </c>
    </row>
    <row r="8846" spans="1:19" x14ac:dyDescent="0.25">
      <c r="A8846" t="s">
        <v>59</v>
      </c>
      <c r="B8846" t="s">
        <v>31</v>
      </c>
      <c r="C8846" t="s">
        <v>32</v>
      </c>
      <c r="D8846" t="s">
        <v>953</v>
      </c>
      <c r="F8846" t="s">
        <v>35</v>
      </c>
      <c r="G8846" t="s">
        <v>35</v>
      </c>
      <c r="H8846" t="s">
        <v>35</v>
      </c>
      <c r="J8846" t="s">
        <v>7888</v>
      </c>
      <c r="K8846" t="s">
        <v>1092</v>
      </c>
      <c r="M8846">
        <v>5.94</v>
      </c>
      <c r="N8846">
        <v>1238</v>
      </c>
      <c r="O8846" t="s">
        <v>575</v>
      </c>
      <c r="Q8846" t="s">
        <v>4116</v>
      </c>
      <c r="R8846" t="s">
        <v>6709</v>
      </c>
      <c r="S8846" t="s">
        <v>1022</v>
      </c>
    </row>
    <row r="8847" spans="1:19" x14ac:dyDescent="0.25">
      <c r="A8847" t="s">
        <v>30</v>
      </c>
      <c r="B8847" t="s">
        <v>31</v>
      </c>
      <c r="C8847" t="s">
        <v>32</v>
      </c>
      <c r="D8847" t="s">
        <v>953</v>
      </c>
      <c r="F8847" t="s">
        <v>35</v>
      </c>
      <c r="G8847" t="s">
        <v>35</v>
      </c>
      <c r="H8847" t="s">
        <v>35</v>
      </c>
      <c r="J8847" t="s">
        <v>7889</v>
      </c>
      <c r="K8847" t="s">
        <v>1092</v>
      </c>
      <c r="M8847">
        <v>5.4</v>
      </c>
      <c r="N8847">
        <v>20</v>
      </c>
      <c r="O8847" t="s">
        <v>46</v>
      </c>
      <c r="Q8847" t="s">
        <v>1004</v>
      </c>
      <c r="R8847" t="s">
        <v>133</v>
      </c>
      <c r="S8847" t="s">
        <v>134</v>
      </c>
    </row>
    <row r="8848" spans="1:19" x14ac:dyDescent="0.25">
      <c r="A8848" t="s">
        <v>59</v>
      </c>
      <c r="B8848" t="s">
        <v>31</v>
      </c>
      <c r="C8848" t="s">
        <v>32</v>
      </c>
      <c r="D8848" t="s">
        <v>953</v>
      </c>
      <c r="F8848" t="s">
        <v>35</v>
      </c>
      <c r="G8848" t="s">
        <v>35</v>
      </c>
      <c r="H8848" t="s">
        <v>35</v>
      </c>
      <c r="J8848" t="s">
        <v>7890</v>
      </c>
      <c r="K8848" t="s">
        <v>1144</v>
      </c>
      <c r="M8848">
        <v>8.9550000000000001</v>
      </c>
      <c r="N8848">
        <v>242</v>
      </c>
      <c r="O8848" t="s">
        <v>5</v>
      </c>
      <c r="Q8848" t="s">
        <v>2904</v>
      </c>
      <c r="R8848" t="s">
        <v>6720</v>
      </c>
      <c r="S8848" t="s">
        <v>961</v>
      </c>
    </row>
    <row r="8849" spans="1:19" x14ac:dyDescent="0.25">
      <c r="A8849" t="s">
        <v>30</v>
      </c>
      <c r="B8849" t="s">
        <v>31</v>
      </c>
      <c r="C8849" t="s">
        <v>32</v>
      </c>
      <c r="D8849" t="s">
        <v>953</v>
      </c>
      <c r="F8849" t="s">
        <v>35</v>
      </c>
      <c r="G8849" t="s">
        <v>35</v>
      </c>
      <c r="H8849" t="s">
        <v>35</v>
      </c>
      <c r="J8849" t="s">
        <v>7890</v>
      </c>
      <c r="K8849" t="s">
        <v>1144</v>
      </c>
      <c r="M8849">
        <v>9.99</v>
      </c>
      <c r="N8849">
        <v>21</v>
      </c>
      <c r="O8849" t="s">
        <v>46</v>
      </c>
      <c r="Q8849" t="s">
        <v>1874</v>
      </c>
      <c r="R8849" t="s">
        <v>6709</v>
      </c>
      <c r="S8849" t="s">
        <v>1022</v>
      </c>
    </row>
    <row r="8850" spans="1:19" x14ac:dyDescent="0.25">
      <c r="A8850" t="s">
        <v>59</v>
      </c>
      <c r="B8850" t="s">
        <v>60</v>
      </c>
      <c r="C8850" t="s">
        <v>32</v>
      </c>
      <c r="D8850" t="s">
        <v>953</v>
      </c>
      <c r="F8850" t="s">
        <v>35</v>
      </c>
      <c r="G8850" t="s">
        <v>35</v>
      </c>
      <c r="H8850" t="s">
        <v>35</v>
      </c>
      <c r="J8850" t="s">
        <v>7891</v>
      </c>
      <c r="K8850" t="s">
        <v>1092</v>
      </c>
      <c r="M8850">
        <v>2.5</v>
      </c>
      <c r="N8850">
        <v>91</v>
      </c>
      <c r="O8850" t="s">
        <v>106</v>
      </c>
      <c r="Q8850" t="s">
        <v>1147</v>
      </c>
      <c r="R8850" t="s">
        <v>6709</v>
      </c>
      <c r="S8850" t="s">
        <v>1022</v>
      </c>
    </row>
    <row r="8851" spans="1:19" x14ac:dyDescent="0.25">
      <c r="A8851" t="s">
        <v>59</v>
      </c>
      <c r="B8851" t="s">
        <v>60</v>
      </c>
      <c r="C8851" t="s">
        <v>32</v>
      </c>
      <c r="D8851" t="s">
        <v>953</v>
      </c>
      <c r="F8851" t="s">
        <v>35</v>
      </c>
      <c r="G8851" t="s">
        <v>35</v>
      </c>
      <c r="H8851" t="s">
        <v>35</v>
      </c>
      <c r="J8851" t="s">
        <v>7891</v>
      </c>
      <c r="K8851" t="s">
        <v>1092</v>
      </c>
      <c r="M8851">
        <v>0.8</v>
      </c>
      <c r="N8851">
        <v>146</v>
      </c>
      <c r="O8851" t="s">
        <v>38</v>
      </c>
      <c r="Q8851" t="s">
        <v>1335</v>
      </c>
      <c r="R8851" t="s">
        <v>6709</v>
      </c>
      <c r="S8851" t="s">
        <v>1022</v>
      </c>
    </row>
    <row r="8852" spans="1:19" x14ac:dyDescent="0.25">
      <c r="A8852" t="s">
        <v>44</v>
      </c>
      <c r="B8852" t="s">
        <v>3</v>
      </c>
      <c r="C8852" t="s">
        <v>32</v>
      </c>
      <c r="D8852" t="s">
        <v>953</v>
      </c>
      <c r="F8852" t="s">
        <v>35</v>
      </c>
      <c r="G8852" t="s">
        <v>35</v>
      </c>
      <c r="H8852" t="s">
        <v>35</v>
      </c>
      <c r="J8852" t="s">
        <v>7891</v>
      </c>
      <c r="K8852" t="s">
        <v>1092</v>
      </c>
      <c r="M8852">
        <v>2.5</v>
      </c>
      <c r="N8852">
        <v>62</v>
      </c>
      <c r="O8852" t="s">
        <v>61</v>
      </c>
      <c r="Q8852" t="s">
        <v>90</v>
      </c>
      <c r="R8852" t="s">
        <v>6709</v>
      </c>
      <c r="S8852" t="s">
        <v>1022</v>
      </c>
    </row>
    <row r="8853" spans="1:19" x14ac:dyDescent="0.25">
      <c r="A8853" t="s">
        <v>59</v>
      </c>
      <c r="B8853" t="s">
        <v>60</v>
      </c>
      <c r="C8853" t="s">
        <v>32</v>
      </c>
      <c r="D8853" t="s">
        <v>953</v>
      </c>
      <c r="F8853" t="s">
        <v>35</v>
      </c>
      <c r="G8853" t="s">
        <v>35</v>
      </c>
      <c r="H8853" t="s">
        <v>35</v>
      </c>
      <c r="J8853" t="s">
        <v>7892</v>
      </c>
      <c r="K8853" t="s">
        <v>1092</v>
      </c>
      <c r="M8853">
        <v>4.3</v>
      </c>
      <c r="N8853">
        <v>91</v>
      </c>
      <c r="O8853" t="s">
        <v>106</v>
      </c>
      <c r="Q8853" t="s">
        <v>1147</v>
      </c>
      <c r="R8853" t="s">
        <v>6709</v>
      </c>
      <c r="S8853" t="s">
        <v>1022</v>
      </c>
    </row>
    <row r="8854" spans="1:19" x14ac:dyDescent="0.25">
      <c r="A8854" t="s">
        <v>59</v>
      </c>
      <c r="B8854" t="s">
        <v>60</v>
      </c>
      <c r="C8854" t="s">
        <v>32</v>
      </c>
      <c r="D8854" t="s">
        <v>953</v>
      </c>
      <c r="F8854" t="s">
        <v>35</v>
      </c>
      <c r="G8854" t="s">
        <v>35</v>
      </c>
      <c r="H8854" t="s">
        <v>35</v>
      </c>
      <c r="J8854" t="s">
        <v>6772</v>
      </c>
      <c r="K8854" t="s">
        <v>1092</v>
      </c>
      <c r="M8854">
        <v>5.85</v>
      </c>
      <c r="N8854">
        <v>1427</v>
      </c>
      <c r="O8854" t="s">
        <v>575</v>
      </c>
      <c r="Q8854" t="s">
        <v>7893</v>
      </c>
      <c r="R8854" t="s">
        <v>133</v>
      </c>
      <c r="S8854" t="s">
        <v>134</v>
      </c>
    </row>
    <row r="8855" spans="1:19" x14ac:dyDescent="0.25">
      <c r="A8855" t="s">
        <v>59</v>
      </c>
      <c r="B8855" t="s">
        <v>31</v>
      </c>
      <c r="C8855" t="s">
        <v>32</v>
      </c>
      <c r="D8855" t="s">
        <v>953</v>
      </c>
      <c r="F8855" t="s">
        <v>35</v>
      </c>
      <c r="G8855" t="s">
        <v>35</v>
      </c>
      <c r="H8855" t="s">
        <v>35</v>
      </c>
      <c r="J8855" t="s">
        <v>6772</v>
      </c>
      <c r="K8855" t="s">
        <v>1092</v>
      </c>
      <c r="M8855">
        <v>0.36499999999999999</v>
      </c>
      <c r="N8855">
        <v>1427</v>
      </c>
      <c r="O8855" t="s">
        <v>575</v>
      </c>
      <c r="Q8855" t="s">
        <v>7893</v>
      </c>
      <c r="R8855" t="s">
        <v>133</v>
      </c>
      <c r="S8855" t="s">
        <v>134</v>
      </c>
    </row>
    <row r="8856" spans="1:19" x14ac:dyDescent="0.25">
      <c r="A8856" t="s">
        <v>30</v>
      </c>
      <c r="B8856" t="s">
        <v>31</v>
      </c>
      <c r="C8856" t="s">
        <v>32</v>
      </c>
      <c r="D8856" t="s">
        <v>953</v>
      </c>
      <c r="F8856" t="s">
        <v>35</v>
      </c>
      <c r="G8856" t="s">
        <v>35</v>
      </c>
      <c r="H8856" t="s">
        <v>35</v>
      </c>
      <c r="J8856" t="s">
        <v>7894</v>
      </c>
      <c r="K8856" t="s">
        <v>1092</v>
      </c>
      <c r="M8856">
        <v>2.2949999999999999</v>
      </c>
      <c r="N8856">
        <v>276</v>
      </c>
      <c r="O8856" t="s">
        <v>5</v>
      </c>
      <c r="Q8856" t="s">
        <v>1952</v>
      </c>
      <c r="R8856" t="s">
        <v>6709</v>
      </c>
      <c r="S8856" t="s">
        <v>1022</v>
      </c>
    </row>
    <row r="8857" spans="1:19" x14ac:dyDescent="0.25">
      <c r="A8857" t="s">
        <v>44</v>
      </c>
      <c r="B8857" t="s">
        <v>3</v>
      </c>
      <c r="C8857" t="s">
        <v>32</v>
      </c>
      <c r="D8857" t="s">
        <v>953</v>
      </c>
      <c r="F8857" t="s">
        <v>35</v>
      </c>
      <c r="G8857" t="s">
        <v>35</v>
      </c>
      <c r="H8857" t="s">
        <v>35</v>
      </c>
      <c r="J8857" t="s">
        <v>7894</v>
      </c>
      <c r="K8857" t="s">
        <v>1092</v>
      </c>
      <c r="M8857">
        <v>1</v>
      </c>
      <c r="N8857">
        <v>42</v>
      </c>
      <c r="O8857" t="s">
        <v>52</v>
      </c>
      <c r="Q8857" t="s">
        <v>991</v>
      </c>
      <c r="R8857" t="s">
        <v>6807</v>
      </c>
      <c r="S8857" t="s">
        <v>1066</v>
      </c>
    </row>
    <row r="8858" spans="1:19" x14ac:dyDescent="0.25">
      <c r="A8858" t="s">
        <v>30</v>
      </c>
      <c r="B8858" t="s">
        <v>31</v>
      </c>
      <c r="C8858" t="s">
        <v>32</v>
      </c>
      <c r="D8858" t="s">
        <v>953</v>
      </c>
      <c r="F8858" t="s">
        <v>35</v>
      </c>
      <c r="G8858" t="s">
        <v>35</v>
      </c>
      <c r="H8858" t="s">
        <v>35</v>
      </c>
      <c r="J8858" t="s">
        <v>7895</v>
      </c>
      <c r="K8858" t="s">
        <v>1092</v>
      </c>
      <c r="M8858">
        <v>0.01</v>
      </c>
      <c r="N8858">
        <v>2154</v>
      </c>
      <c r="O8858" t="s">
        <v>575</v>
      </c>
      <c r="Q8858" t="s">
        <v>7630</v>
      </c>
      <c r="R8858" t="s">
        <v>6897</v>
      </c>
      <c r="S8858" t="s">
        <v>1062</v>
      </c>
    </row>
    <row r="8859" spans="1:19" x14ac:dyDescent="0.25">
      <c r="A8859" t="s">
        <v>59</v>
      </c>
      <c r="B8859" t="s">
        <v>60</v>
      </c>
      <c r="C8859" t="s">
        <v>32</v>
      </c>
      <c r="D8859" t="s">
        <v>953</v>
      </c>
      <c r="F8859" t="s">
        <v>35</v>
      </c>
      <c r="G8859" t="s">
        <v>35</v>
      </c>
      <c r="H8859" t="s">
        <v>35</v>
      </c>
      <c r="J8859" t="s">
        <v>7896</v>
      </c>
      <c r="K8859" t="s">
        <v>1092</v>
      </c>
      <c r="M8859">
        <v>1.87</v>
      </c>
      <c r="N8859">
        <v>553</v>
      </c>
      <c r="O8859" t="s">
        <v>575</v>
      </c>
      <c r="Q8859" t="s">
        <v>5345</v>
      </c>
      <c r="R8859" t="s">
        <v>133</v>
      </c>
      <c r="S8859" t="s">
        <v>134</v>
      </c>
    </row>
    <row r="8860" spans="1:19" x14ac:dyDescent="0.25">
      <c r="A8860" t="s">
        <v>59</v>
      </c>
      <c r="B8860" t="s">
        <v>31</v>
      </c>
      <c r="C8860" t="s">
        <v>32</v>
      </c>
      <c r="D8860" t="s">
        <v>953</v>
      </c>
      <c r="F8860" t="s">
        <v>35</v>
      </c>
      <c r="G8860" t="s">
        <v>35</v>
      </c>
      <c r="H8860" t="s">
        <v>35</v>
      </c>
      <c r="J8860" t="s">
        <v>7896</v>
      </c>
      <c r="K8860" t="s">
        <v>1092</v>
      </c>
      <c r="M8860">
        <v>1.98</v>
      </c>
      <c r="N8860">
        <v>553</v>
      </c>
      <c r="O8860" t="s">
        <v>575</v>
      </c>
      <c r="Q8860" t="s">
        <v>5345</v>
      </c>
      <c r="R8860" t="s">
        <v>133</v>
      </c>
      <c r="S8860" t="s">
        <v>134</v>
      </c>
    </row>
    <row r="8861" spans="1:19" x14ac:dyDescent="0.25">
      <c r="A8861" t="s">
        <v>59</v>
      </c>
      <c r="B8861" t="s">
        <v>60</v>
      </c>
      <c r="C8861" t="s">
        <v>32</v>
      </c>
      <c r="D8861" t="s">
        <v>953</v>
      </c>
      <c r="F8861" t="s">
        <v>35</v>
      </c>
      <c r="G8861" t="s">
        <v>35</v>
      </c>
      <c r="H8861" t="s">
        <v>35</v>
      </c>
      <c r="J8861" t="s">
        <v>7897</v>
      </c>
      <c r="K8861" t="s">
        <v>1092</v>
      </c>
      <c r="M8861">
        <v>0.35</v>
      </c>
      <c r="N8861">
        <v>292</v>
      </c>
      <c r="O8861" t="s">
        <v>5</v>
      </c>
      <c r="Q8861" t="s">
        <v>1234</v>
      </c>
      <c r="R8861" t="s">
        <v>6723</v>
      </c>
      <c r="S8861" t="s">
        <v>6724</v>
      </c>
    </row>
    <row r="8862" spans="1:19" x14ac:dyDescent="0.25">
      <c r="A8862" t="s">
        <v>59</v>
      </c>
      <c r="B8862" t="s">
        <v>60</v>
      </c>
      <c r="C8862" t="s">
        <v>32</v>
      </c>
      <c r="D8862" t="s">
        <v>953</v>
      </c>
      <c r="F8862" t="s">
        <v>35</v>
      </c>
      <c r="G8862" t="s">
        <v>35</v>
      </c>
      <c r="H8862" t="s">
        <v>35</v>
      </c>
      <c r="J8862" t="s">
        <v>7898</v>
      </c>
      <c r="K8862" t="s">
        <v>1092</v>
      </c>
      <c r="M8862">
        <v>0.25</v>
      </c>
      <c r="N8862">
        <v>1822</v>
      </c>
      <c r="O8862" t="s">
        <v>575</v>
      </c>
      <c r="Q8862" t="s">
        <v>7899</v>
      </c>
      <c r="R8862" t="s">
        <v>6707</v>
      </c>
      <c r="S8862" t="s">
        <v>955</v>
      </c>
    </row>
    <row r="8863" spans="1:19" x14ac:dyDescent="0.25">
      <c r="A8863" t="s">
        <v>30</v>
      </c>
      <c r="B8863" t="s">
        <v>31</v>
      </c>
      <c r="C8863" t="s">
        <v>32</v>
      </c>
      <c r="D8863" t="s">
        <v>953</v>
      </c>
      <c r="F8863" t="s">
        <v>35</v>
      </c>
      <c r="G8863" t="s">
        <v>35</v>
      </c>
      <c r="H8863" t="s">
        <v>35</v>
      </c>
      <c r="J8863" t="s">
        <v>7898</v>
      </c>
      <c r="K8863" t="s">
        <v>1092</v>
      </c>
      <c r="M8863">
        <v>1.2150000000000001</v>
      </c>
      <c r="N8863">
        <v>1844</v>
      </c>
      <c r="O8863" t="s">
        <v>575</v>
      </c>
      <c r="Q8863" t="s">
        <v>7687</v>
      </c>
      <c r="R8863" t="s">
        <v>6707</v>
      </c>
      <c r="S8863" t="s">
        <v>955</v>
      </c>
    </row>
    <row r="8864" spans="1:19" x14ac:dyDescent="0.25">
      <c r="A8864" t="s">
        <v>59</v>
      </c>
      <c r="B8864" t="s">
        <v>60</v>
      </c>
      <c r="C8864" t="s">
        <v>32</v>
      </c>
      <c r="D8864" t="s">
        <v>953</v>
      </c>
      <c r="F8864" t="s">
        <v>35</v>
      </c>
      <c r="G8864" t="s">
        <v>35</v>
      </c>
      <c r="H8864" t="s">
        <v>35</v>
      </c>
      <c r="J8864" t="s">
        <v>7898</v>
      </c>
      <c r="K8864" t="s">
        <v>1092</v>
      </c>
      <c r="M8864">
        <v>0.7</v>
      </c>
      <c r="N8864">
        <v>1832</v>
      </c>
      <c r="O8864" t="s">
        <v>575</v>
      </c>
      <c r="Q8864" t="s">
        <v>7900</v>
      </c>
      <c r="R8864" t="s">
        <v>6707</v>
      </c>
      <c r="S8864" t="s">
        <v>955</v>
      </c>
    </row>
    <row r="8865" spans="1:19" x14ac:dyDescent="0.25">
      <c r="A8865" t="s">
        <v>44</v>
      </c>
      <c r="B8865" t="s">
        <v>51</v>
      </c>
      <c r="C8865" t="s">
        <v>32</v>
      </c>
      <c r="D8865" t="s">
        <v>953</v>
      </c>
      <c r="F8865" t="s">
        <v>35</v>
      </c>
      <c r="G8865" t="s">
        <v>35</v>
      </c>
      <c r="H8865" t="s">
        <v>35</v>
      </c>
      <c r="J8865" t="s">
        <v>7901</v>
      </c>
      <c r="K8865" t="s">
        <v>1092</v>
      </c>
      <c r="M8865">
        <v>0.25</v>
      </c>
      <c r="N8865">
        <v>200</v>
      </c>
      <c r="O8865" t="s">
        <v>5</v>
      </c>
      <c r="Q8865" t="s">
        <v>3691</v>
      </c>
      <c r="R8865" t="s">
        <v>6711</v>
      </c>
      <c r="S8865" t="s">
        <v>6712</v>
      </c>
    </row>
    <row r="8866" spans="1:19" x14ac:dyDescent="0.25">
      <c r="A8866" t="s">
        <v>59</v>
      </c>
      <c r="B8866" t="s">
        <v>60</v>
      </c>
      <c r="C8866" t="s">
        <v>32</v>
      </c>
      <c r="D8866" t="s">
        <v>953</v>
      </c>
      <c r="F8866" t="s">
        <v>35</v>
      </c>
      <c r="G8866" t="s">
        <v>35</v>
      </c>
      <c r="H8866" t="s">
        <v>35</v>
      </c>
      <c r="J8866" t="s">
        <v>7901</v>
      </c>
      <c r="K8866" t="s">
        <v>1092</v>
      </c>
      <c r="M8866">
        <v>0.17499999999999999</v>
      </c>
      <c r="N8866">
        <v>243</v>
      </c>
      <c r="O8866" t="s">
        <v>5</v>
      </c>
      <c r="Q8866" t="s">
        <v>1151</v>
      </c>
      <c r="R8866" t="s">
        <v>6705</v>
      </c>
      <c r="S8866" t="s">
        <v>981</v>
      </c>
    </row>
    <row r="8867" spans="1:19" x14ac:dyDescent="0.25">
      <c r="A8867" t="s">
        <v>59</v>
      </c>
      <c r="B8867" t="s">
        <v>60</v>
      </c>
      <c r="C8867" t="s">
        <v>32</v>
      </c>
      <c r="D8867" t="s">
        <v>953</v>
      </c>
      <c r="F8867" t="s">
        <v>35</v>
      </c>
      <c r="G8867" t="s">
        <v>35</v>
      </c>
      <c r="H8867" t="s">
        <v>35</v>
      </c>
      <c r="J8867" t="s">
        <v>7902</v>
      </c>
      <c r="K8867" t="s">
        <v>1092</v>
      </c>
      <c r="M8867">
        <v>2</v>
      </c>
      <c r="N8867">
        <v>91</v>
      </c>
      <c r="O8867" t="s">
        <v>106</v>
      </c>
      <c r="Q8867" t="s">
        <v>1147</v>
      </c>
      <c r="R8867" t="s">
        <v>6709</v>
      </c>
      <c r="S8867" t="s">
        <v>1022</v>
      </c>
    </row>
    <row r="8868" spans="1:19" x14ac:dyDescent="0.25">
      <c r="A8868" t="s">
        <v>59</v>
      </c>
      <c r="B8868" t="s">
        <v>60</v>
      </c>
      <c r="C8868" t="s">
        <v>32</v>
      </c>
      <c r="D8868" t="s">
        <v>953</v>
      </c>
      <c r="F8868" t="s">
        <v>35</v>
      </c>
      <c r="G8868" t="s">
        <v>35</v>
      </c>
      <c r="H8868" t="s">
        <v>35</v>
      </c>
      <c r="J8868" t="s">
        <v>7903</v>
      </c>
      <c r="K8868" t="s">
        <v>1092</v>
      </c>
      <c r="M8868">
        <v>0.35</v>
      </c>
      <c r="N8868">
        <v>86</v>
      </c>
      <c r="O8868" t="s">
        <v>61</v>
      </c>
      <c r="Q8868" t="s">
        <v>1076</v>
      </c>
      <c r="R8868" t="s">
        <v>133</v>
      </c>
      <c r="S8868" t="s">
        <v>134</v>
      </c>
    </row>
    <row r="8869" spans="1:19" x14ac:dyDescent="0.25">
      <c r="A8869" t="s">
        <v>59</v>
      </c>
      <c r="B8869" t="s">
        <v>31</v>
      </c>
      <c r="C8869" t="s">
        <v>32</v>
      </c>
      <c r="D8869" t="s">
        <v>953</v>
      </c>
      <c r="F8869" t="s">
        <v>35</v>
      </c>
      <c r="G8869" t="s">
        <v>35</v>
      </c>
      <c r="H8869" t="s">
        <v>35</v>
      </c>
      <c r="J8869" t="s">
        <v>7903</v>
      </c>
      <c r="K8869" t="s">
        <v>1092</v>
      </c>
      <c r="M8869">
        <v>0.09</v>
      </c>
      <c r="N8869">
        <v>86</v>
      </c>
      <c r="O8869" t="s">
        <v>61</v>
      </c>
      <c r="Q8869" t="s">
        <v>1076</v>
      </c>
      <c r="R8869" t="s">
        <v>133</v>
      </c>
      <c r="S8869" t="s">
        <v>134</v>
      </c>
    </row>
    <row r="8870" spans="1:19" x14ac:dyDescent="0.25">
      <c r="A8870" t="s">
        <v>59</v>
      </c>
      <c r="B8870" t="s">
        <v>60</v>
      </c>
      <c r="C8870" t="s">
        <v>32</v>
      </c>
      <c r="D8870" t="s">
        <v>953</v>
      </c>
      <c r="F8870" t="s">
        <v>35</v>
      </c>
      <c r="G8870" t="s">
        <v>35</v>
      </c>
      <c r="H8870" t="s">
        <v>35</v>
      </c>
      <c r="J8870" t="s">
        <v>7905</v>
      </c>
      <c r="K8870" t="s">
        <v>1092</v>
      </c>
      <c r="M8870">
        <v>1.0649999999999999</v>
      </c>
      <c r="N8870">
        <v>555</v>
      </c>
      <c r="O8870" t="s">
        <v>575</v>
      </c>
      <c r="Q8870" t="s">
        <v>4974</v>
      </c>
      <c r="R8870" t="s">
        <v>7476</v>
      </c>
      <c r="S8870" t="s">
        <v>7477</v>
      </c>
    </row>
    <row r="8871" spans="1:19" x14ac:dyDescent="0.25">
      <c r="A8871" t="s">
        <v>59</v>
      </c>
      <c r="B8871" t="s">
        <v>60</v>
      </c>
      <c r="C8871" t="s">
        <v>32</v>
      </c>
      <c r="D8871" t="s">
        <v>953</v>
      </c>
      <c r="F8871" t="s">
        <v>35</v>
      </c>
      <c r="G8871" t="s">
        <v>35</v>
      </c>
      <c r="H8871" t="s">
        <v>35</v>
      </c>
      <c r="J8871" t="s">
        <v>7905</v>
      </c>
      <c r="K8871" t="s">
        <v>1092</v>
      </c>
      <c r="M8871">
        <v>2.5</v>
      </c>
      <c r="N8871">
        <v>234</v>
      </c>
      <c r="O8871" t="s">
        <v>5</v>
      </c>
      <c r="Q8871" t="s">
        <v>1780</v>
      </c>
      <c r="R8871" t="s">
        <v>6709</v>
      </c>
      <c r="S8871" t="s">
        <v>1022</v>
      </c>
    </row>
    <row r="8872" spans="1:19" x14ac:dyDescent="0.25">
      <c r="A8872" t="s">
        <v>59</v>
      </c>
      <c r="B8872" t="s">
        <v>60</v>
      </c>
      <c r="C8872" t="s">
        <v>32</v>
      </c>
      <c r="D8872" t="s">
        <v>953</v>
      </c>
      <c r="F8872" t="s">
        <v>35</v>
      </c>
      <c r="G8872" t="s">
        <v>35</v>
      </c>
      <c r="H8872" t="s">
        <v>35</v>
      </c>
      <c r="J8872" t="s">
        <v>1314</v>
      </c>
      <c r="K8872" t="s">
        <v>1092</v>
      </c>
      <c r="M8872">
        <v>0.25</v>
      </c>
      <c r="N8872">
        <v>758</v>
      </c>
      <c r="O8872" t="s">
        <v>575</v>
      </c>
      <c r="Q8872" t="s">
        <v>7906</v>
      </c>
      <c r="R8872" t="s">
        <v>7581</v>
      </c>
      <c r="S8872" t="s">
        <v>7562</v>
      </c>
    </row>
    <row r="8873" spans="1:19" x14ac:dyDescent="0.25">
      <c r="A8873" t="s">
        <v>59</v>
      </c>
      <c r="B8873" t="s">
        <v>60</v>
      </c>
      <c r="C8873" t="s">
        <v>32</v>
      </c>
      <c r="D8873" t="s">
        <v>953</v>
      </c>
      <c r="F8873" t="s">
        <v>35</v>
      </c>
      <c r="G8873" t="s">
        <v>35</v>
      </c>
      <c r="H8873" t="s">
        <v>35</v>
      </c>
      <c r="J8873" t="s">
        <v>1314</v>
      </c>
      <c r="K8873" t="s">
        <v>1092</v>
      </c>
      <c r="M8873">
        <v>0.4</v>
      </c>
      <c r="N8873">
        <v>750</v>
      </c>
      <c r="O8873" t="s">
        <v>575</v>
      </c>
      <c r="Q8873" t="s">
        <v>7907</v>
      </c>
      <c r="R8873" t="s">
        <v>7581</v>
      </c>
      <c r="S8873" t="s">
        <v>7562</v>
      </c>
    </row>
    <row r="8874" spans="1:19" x14ac:dyDescent="0.25">
      <c r="A8874" t="s">
        <v>44</v>
      </c>
      <c r="B8874" t="s">
        <v>51</v>
      </c>
      <c r="C8874" t="s">
        <v>32</v>
      </c>
      <c r="D8874" t="s">
        <v>953</v>
      </c>
      <c r="F8874" t="s">
        <v>35</v>
      </c>
      <c r="G8874" t="s">
        <v>35</v>
      </c>
      <c r="H8874" t="s">
        <v>35</v>
      </c>
      <c r="J8874" t="s">
        <v>7908</v>
      </c>
      <c r="K8874" t="s">
        <v>1092</v>
      </c>
      <c r="M8874">
        <v>0.5</v>
      </c>
      <c r="N8874">
        <v>45</v>
      </c>
      <c r="O8874" t="s">
        <v>52</v>
      </c>
      <c r="Q8874" t="s">
        <v>716</v>
      </c>
      <c r="R8874" t="s">
        <v>6721</v>
      </c>
      <c r="S8874" t="s">
        <v>1078</v>
      </c>
    </row>
    <row r="8875" spans="1:19" x14ac:dyDescent="0.25">
      <c r="A8875" t="s">
        <v>30</v>
      </c>
      <c r="B8875" t="s">
        <v>31</v>
      </c>
      <c r="C8875" t="s">
        <v>32</v>
      </c>
      <c r="D8875" t="s">
        <v>953</v>
      </c>
      <c r="F8875" t="s">
        <v>35</v>
      </c>
      <c r="G8875" t="s">
        <v>35</v>
      </c>
      <c r="H8875" t="s">
        <v>35</v>
      </c>
      <c r="J8875" t="s">
        <v>7908</v>
      </c>
      <c r="K8875" t="s">
        <v>1092</v>
      </c>
      <c r="M8875">
        <v>0.04</v>
      </c>
      <c r="N8875">
        <v>113</v>
      </c>
      <c r="O8875" t="s">
        <v>106</v>
      </c>
      <c r="Q8875" t="s">
        <v>6066</v>
      </c>
      <c r="R8875" t="s">
        <v>6721</v>
      </c>
      <c r="S8875" t="s">
        <v>1078</v>
      </c>
    </row>
    <row r="8876" spans="1:19" x14ac:dyDescent="0.25">
      <c r="A8876" t="s">
        <v>59</v>
      </c>
      <c r="B8876" t="s">
        <v>60</v>
      </c>
      <c r="C8876" t="s">
        <v>32</v>
      </c>
      <c r="D8876" t="s">
        <v>953</v>
      </c>
      <c r="F8876" t="s">
        <v>35</v>
      </c>
      <c r="G8876" t="s">
        <v>35</v>
      </c>
      <c r="H8876" t="s">
        <v>35</v>
      </c>
      <c r="J8876" t="s">
        <v>7908</v>
      </c>
      <c r="K8876" t="s">
        <v>1092</v>
      </c>
      <c r="M8876">
        <v>0.1</v>
      </c>
      <c r="N8876">
        <v>45</v>
      </c>
      <c r="O8876" t="s">
        <v>52</v>
      </c>
      <c r="Q8876" t="s">
        <v>716</v>
      </c>
      <c r="R8876" t="s">
        <v>6721</v>
      </c>
      <c r="S8876" t="s">
        <v>1078</v>
      </c>
    </row>
    <row r="8877" spans="1:19" x14ac:dyDescent="0.25">
      <c r="A8877" t="s">
        <v>59</v>
      </c>
      <c r="B8877" t="s">
        <v>31</v>
      </c>
      <c r="C8877" t="s">
        <v>32</v>
      </c>
      <c r="D8877" t="s">
        <v>953</v>
      </c>
      <c r="F8877" t="s">
        <v>35</v>
      </c>
      <c r="G8877" t="s">
        <v>35</v>
      </c>
      <c r="H8877" t="s">
        <v>35</v>
      </c>
      <c r="J8877" t="s">
        <v>7908</v>
      </c>
      <c r="K8877" t="s">
        <v>1092</v>
      </c>
      <c r="M8877">
        <v>5.0000000000000001E-3</v>
      </c>
      <c r="N8877">
        <v>113</v>
      </c>
      <c r="O8877" t="s">
        <v>106</v>
      </c>
      <c r="Q8877" t="s">
        <v>6066</v>
      </c>
      <c r="R8877" t="s">
        <v>6721</v>
      </c>
      <c r="S8877" t="s">
        <v>1078</v>
      </c>
    </row>
    <row r="8878" spans="1:19" x14ac:dyDescent="0.25">
      <c r="A8878" t="s">
        <v>30</v>
      </c>
      <c r="B8878" t="s">
        <v>31</v>
      </c>
      <c r="C8878" t="s">
        <v>32</v>
      </c>
      <c r="D8878" t="s">
        <v>953</v>
      </c>
      <c r="F8878" t="s">
        <v>35</v>
      </c>
      <c r="G8878" t="s">
        <v>35</v>
      </c>
      <c r="H8878" t="s">
        <v>35</v>
      </c>
      <c r="J8878" t="s">
        <v>7909</v>
      </c>
      <c r="K8878" t="s">
        <v>1092</v>
      </c>
      <c r="M8878">
        <v>4.4999999999999998E-2</v>
      </c>
      <c r="N8878">
        <v>186</v>
      </c>
      <c r="O8878" t="s">
        <v>5</v>
      </c>
      <c r="Q8878" t="s">
        <v>1363</v>
      </c>
      <c r="R8878" t="s">
        <v>6891</v>
      </c>
      <c r="S8878" t="s">
        <v>1085</v>
      </c>
    </row>
    <row r="8879" spans="1:19" x14ac:dyDescent="0.25">
      <c r="A8879" t="s">
        <v>59</v>
      </c>
      <c r="B8879" t="s">
        <v>31</v>
      </c>
      <c r="C8879" t="s">
        <v>32</v>
      </c>
      <c r="D8879" t="s">
        <v>953</v>
      </c>
      <c r="F8879" t="s">
        <v>35</v>
      </c>
      <c r="G8879" t="s">
        <v>35</v>
      </c>
      <c r="H8879" t="s">
        <v>35</v>
      </c>
      <c r="J8879" t="s">
        <v>7909</v>
      </c>
      <c r="K8879" t="s">
        <v>1092</v>
      </c>
      <c r="M8879">
        <v>2.7</v>
      </c>
      <c r="N8879">
        <v>59</v>
      </c>
      <c r="O8879" t="s">
        <v>52</v>
      </c>
      <c r="Q8879" t="s">
        <v>84</v>
      </c>
      <c r="R8879" t="s">
        <v>6891</v>
      </c>
      <c r="S8879" t="s">
        <v>1085</v>
      </c>
    </row>
    <row r="8880" spans="1:19" x14ac:dyDescent="0.25">
      <c r="A8880" t="s">
        <v>59</v>
      </c>
      <c r="B8880" t="s">
        <v>60</v>
      </c>
      <c r="C8880" t="s">
        <v>32</v>
      </c>
      <c r="D8880" t="s">
        <v>953</v>
      </c>
      <c r="F8880" t="s">
        <v>35</v>
      </c>
      <c r="G8880" t="s">
        <v>35</v>
      </c>
      <c r="H8880" t="s">
        <v>35</v>
      </c>
      <c r="J8880" t="s">
        <v>7909</v>
      </c>
      <c r="K8880" t="s">
        <v>1092</v>
      </c>
      <c r="M8880">
        <v>2</v>
      </c>
      <c r="N8880">
        <v>238</v>
      </c>
      <c r="O8880" t="s">
        <v>5</v>
      </c>
      <c r="Q8880" t="s">
        <v>933</v>
      </c>
      <c r="R8880" t="s">
        <v>6891</v>
      </c>
      <c r="S8880" t="s">
        <v>1085</v>
      </c>
    </row>
    <row r="8881" spans="1:19" x14ac:dyDescent="0.25">
      <c r="A8881" t="s">
        <v>59</v>
      </c>
      <c r="B8881" t="s">
        <v>60</v>
      </c>
      <c r="C8881" t="s">
        <v>32</v>
      </c>
      <c r="D8881" t="s">
        <v>953</v>
      </c>
      <c r="F8881" t="s">
        <v>35</v>
      </c>
      <c r="G8881" t="s">
        <v>35</v>
      </c>
      <c r="H8881" t="s">
        <v>35</v>
      </c>
      <c r="J8881" t="s">
        <v>7910</v>
      </c>
      <c r="K8881" t="s">
        <v>1092</v>
      </c>
      <c r="M8881">
        <v>2</v>
      </c>
      <c r="N8881">
        <v>31</v>
      </c>
      <c r="O8881" t="s">
        <v>52</v>
      </c>
      <c r="Q8881" t="s">
        <v>972</v>
      </c>
      <c r="R8881" t="s">
        <v>6716</v>
      </c>
      <c r="S8881" t="s">
        <v>6717</v>
      </c>
    </row>
    <row r="8882" spans="1:19" x14ac:dyDescent="0.25">
      <c r="A8882" t="s">
        <v>44</v>
      </c>
      <c r="B8882" t="s">
        <v>51</v>
      </c>
      <c r="C8882" t="s">
        <v>32</v>
      </c>
      <c r="D8882" t="s">
        <v>953</v>
      </c>
      <c r="F8882" t="s">
        <v>35</v>
      </c>
      <c r="G8882" t="s">
        <v>35</v>
      </c>
      <c r="H8882" t="s">
        <v>35</v>
      </c>
      <c r="J8882" t="s">
        <v>7910</v>
      </c>
      <c r="K8882" t="s">
        <v>1092</v>
      </c>
      <c r="M8882">
        <v>2</v>
      </c>
      <c r="N8882">
        <v>31</v>
      </c>
      <c r="O8882" t="s">
        <v>52</v>
      </c>
      <c r="Q8882" t="s">
        <v>972</v>
      </c>
      <c r="R8882" t="s">
        <v>6716</v>
      </c>
      <c r="S8882" t="s">
        <v>6717</v>
      </c>
    </row>
    <row r="8883" spans="1:19" x14ac:dyDescent="0.25">
      <c r="A8883" t="s">
        <v>30</v>
      </c>
      <c r="B8883" t="s">
        <v>31</v>
      </c>
      <c r="C8883" t="s">
        <v>32</v>
      </c>
      <c r="D8883" t="s">
        <v>953</v>
      </c>
      <c r="F8883" t="s">
        <v>35</v>
      </c>
      <c r="G8883" t="s">
        <v>35</v>
      </c>
      <c r="H8883" t="s">
        <v>35</v>
      </c>
      <c r="J8883" t="s">
        <v>7910</v>
      </c>
      <c r="K8883" t="s">
        <v>1092</v>
      </c>
      <c r="M8883">
        <v>3.4649999999999999</v>
      </c>
      <c r="N8883">
        <v>31</v>
      </c>
      <c r="O8883" t="s">
        <v>52</v>
      </c>
      <c r="Q8883" t="s">
        <v>972</v>
      </c>
      <c r="R8883" t="s">
        <v>6716</v>
      </c>
      <c r="S8883" t="s">
        <v>6717</v>
      </c>
    </row>
    <row r="8884" spans="1:19" x14ac:dyDescent="0.25">
      <c r="A8884" t="s">
        <v>44</v>
      </c>
      <c r="B8884" t="s">
        <v>3</v>
      </c>
      <c r="C8884" t="s">
        <v>32</v>
      </c>
      <c r="D8884" t="s">
        <v>953</v>
      </c>
      <c r="F8884" t="s">
        <v>35</v>
      </c>
      <c r="G8884" t="s">
        <v>35</v>
      </c>
      <c r="H8884" t="s">
        <v>35</v>
      </c>
      <c r="J8884" t="s">
        <v>7910</v>
      </c>
      <c r="K8884" t="s">
        <v>1092</v>
      </c>
      <c r="M8884">
        <v>2</v>
      </c>
      <c r="N8884">
        <v>31</v>
      </c>
      <c r="O8884" t="s">
        <v>52</v>
      </c>
      <c r="Q8884" t="s">
        <v>972</v>
      </c>
      <c r="R8884" t="s">
        <v>6716</v>
      </c>
      <c r="S8884" t="s">
        <v>6717</v>
      </c>
    </row>
    <row r="8885" spans="1:19" x14ac:dyDescent="0.25">
      <c r="A8885" t="s">
        <v>59</v>
      </c>
      <c r="B8885" t="s">
        <v>60</v>
      </c>
      <c r="C8885" t="s">
        <v>32</v>
      </c>
      <c r="D8885" t="s">
        <v>953</v>
      </c>
      <c r="F8885" t="s">
        <v>35</v>
      </c>
      <c r="G8885" t="s">
        <v>35</v>
      </c>
      <c r="H8885" t="s">
        <v>35</v>
      </c>
      <c r="J8885" t="s">
        <v>7910</v>
      </c>
      <c r="K8885" t="s">
        <v>1092</v>
      </c>
      <c r="M8885">
        <v>0.35</v>
      </c>
      <c r="N8885">
        <v>61</v>
      </c>
      <c r="O8885" t="s">
        <v>61</v>
      </c>
      <c r="Q8885" t="s">
        <v>671</v>
      </c>
      <c r="R8885" t="s">
        <v>6721</v>
      </c>
      <c r="S8885" t="s">
        <v>1078</v>
      </c>
    </row>
    <row r="8886" spans="1:19" x14ac:dyDescent="0.25">
      <c r="A8886" t="s">
        <v>59</v>
      </c>
      <c r="B8886" t="s">
        <v>60</v>
      </c>
      <c r="C8886" t="s">
        <v>32</v>
      </c>
      <c r="D8886" t="s">
        <v>953</v>
      </c>
      <c r="F8886" t="s">
        <v>35</v>
      </c>
      <c r="G8886" t="s">
        <v>35</v>
      </c>
      <c r="H8886" t="s">
        <v>35</v>
      </c>
      <c r="J8886" t="s">
        <v>7911</v>
      </c>
      <c r="K8886" t="s">
        <v>1092</v>
      </c>
      <c r="M8886">
        <v>0.5</v>
      </c>
      <c r="N8886">
        <v>118</v>
      </c>
      <c r="O8886" t="s">
        <v>106</v>
      </c>
      <c r="Q8886" t="s">
        <v>1469</v>
      </c>
      <c r="R8886" t="s">
        <v>6891</v>
      </c>
      <c r="S8886" t="s">
        <v>1085</v>
      </c>
    </row>
    <row r="8887" spans="1:19" x14ac:dyDescent="0.25">
      <c r="A8887" t="s">
        <v>30</v>
      </c>
      <c r="B8887" t="s">
        <v>31</v>
      </c>
      <c r="C8887" t="s">
        <v>32</v>
      </c>
      <c r="D8887" t="s">
        <v>953</v>
      </c>
      <c r="F8887" t="s">
        <v>35</v>
      </c>
      <c r="G8887" t="s">
        <v>35</v>
      </c>
      <c r="H8887" t="s">
        <v>35</v>
      </c>
      <c r="J8887" t="s">
        <v>7912</v>
      </c>
      <c r="K8887" t="s">
        <v>1092</v>
      </c>
      <c r="M8887">
        <v>0.45</v>
      </c>
      <c r="N8887">
        <v>1851</v>
      </c>
      <c r="O8887" t="s">
        <v>575</v>
      </c>
      <c r="Q8887" t="s">
        <v>7913</v>
      </c>
      <c r="R8887" t="s">
        <v>7171</v>
      </c>
      <c r="S8887" t="s">
        <v>7172</v>
      </c>
    </row>
    <row r="8888" spans="1:19" x14ac:dyDescent="0.25">
      <c r="A8888" t="s">
        <v>59</v>
      </c>
      <c r="B8888" t="s">
        <v>60</v>
      </c>
      <c r="C8888" t="s">
        <v>32</v>
      </c>
      <c r="D8888" t="s">
        <v>953</v>
      </c>
      <c r="F8888" t="s">
        <v>35</v>
      </c>
      <c r="G8888" t="s">
        <v>35</v>
      </c>
      <c r="H8888" t="s">
        <v>35</v>
      </c>
      <c r="J8888" t="s">
        <v>7914</v>
      </c>
      <c r="K8888" t="s">
        <v>1092</v>
      </c>
      <c r="M8888">
        <v>0.1</v>
      </c>
      <c r="N8888">
        <v>2194</v>
      </c>
      <c r="O8888" t="s">
        <v>575</v>
      </c>
      <c r="Q8888" t="s">
        <v>7915</v>
      </c>
      <c r="R8888" t="s">
        <v>7916</v>
      </c>
      <c r="S8888" t="s">
        <v>7917</v>
      </c>
    </row>
    <row r="8889" spans="1:19" x14ac:dyDescent="0.25">
      <c r="A8889" t="s">
        <v>30</v>
      </c>
      <c r="B8889" t="s">
        <v>31</v>
      </c>
      <c r="C8889" t="s">
        <v>32</v>
      </c>
      <c r="D8889" t="s">
        <v>953</v>
      </c>
      <c r="F8889" t="s">
        <v>35</v>
      </c>
      <c r="G8889" t="s">
        <v>35</v>
      </c>
      <c r="H8889" t="s">
        <v>35</v>
      </c>
      <c r="J8889" t="s">
        <v>7919</v>
      </c>
      <c r="K8889" t="s">
        <v>1092</v>
      </c>
      <c r="M8889">
        <v>0.29499999999999998</v>
      </c>
      <c r="N8889">
        <v>280</v>
      </c>
      <c r="O8889" t="s">
        <v>5</v>
      </c>
      <c r="Q8889" t="s">
        <v>4595</v>
      </c>
      <c r="R8889" t="s">
        <v>6897</v>
      </c>
      <c r="S8889" t="s">
        <v>1062</v>
      </c>
    </row>
    <row r="8890" spans="1:19" x14ac:dyDescent="0.25">
      <c r="A8890" t="s">
        <v>44</v>
      </c>
      <c r="B8890" t="s">
        <v>3</v>
      </c>
      <c r="C8890" t="s">
        <v>32</v>
      </c>
      <c r="D8890" t="s">
        <v>953</v>
      </c>
      <c r="F8890" t="s">
        <v>35</v>
      </c>
      <c r="G8890" t="s">
        <v>35</v>
      </c>
      <c r="H8890" t="s">
        <v>35</v>
      </c>
      <c r="J8890" t="s">
        <v>7919</v>
      </c>
      <c r="K8890" t="s">
        <v>1092</v>
      </c>
      <c r="M8890">
        <v>2.5</v>
      </c>
      <c r="N8890">
        <v>18</v>
      </c>
      <c r="O8890" t="s">
        <v>46</v>
      </c>
      <c r="Q8890" t="s">
        <v>1476</v>
      </c>
      <c r="R8890" t="s">
        <v>6897</v>
      </c>
      <c r="S8890" t="s">
        <v>1062</v>
      </c>
    </row>
    <row r="8891" spans="1:19" x14ac:dyDescent="0.25">
      <c r="A8891" t="s">
        <v>59</v>
      </c>
      <c r="B8891" t="s">
        <v>60</v>
      </c>
      <c r="C8891" t="s">
        <v>32</v>
      </c>
      <c r="D8891" t="s">
        <v>953</v>
      </c>
      <c r="F8891" t="s">
        <v>35</v>
      </c>
      <c r="G8891" t="s">
        <v>35</v>
      </c>
      <c r="H8891" t="s">
        <v>35</v>
      </c>
      <c r="J8891" t="s">
        <v>7919</v>
      </c>
      <c r="K8891" t="s">
        <v>1092</v>
      </c>
      <c r="M8891">
        <v>2.5</v>
      </c>
      <c r="N8891">
        <v>18</v>
      </c>
      <c r="O8891" t="s">
        <v>46</v>
      </c>
      <c r="Q8891" t="s">
        <v>1476</v>
      </c>
      <c r="R8891" t="s">
        <v>6897</v>
      </c>
      <c r="S8891" t="s">
        <v>1062</v>
      </c>
    </row>
    <row r="8892" spans="1:19" x14ac:dyDescent="0.25">
      <c r="A8892" t="s">
        <v>59</v>
      </c>
      <c r="B8892" t="s">
        <v>60</v>
      </c>
      <c r="C8892" t="s">
        <v>32</v>
      </c>
      <c r="D8892" t="s">
        <v>953</v>
      </c>
      <c r="F8892" t="s">
        <v>35</v>
      </c>
      <c r="G8892" t="s">
        <v>35</v>
      </c>
      <c r="H8892" t="s">
        <v>35</v>
      </c>
      <c r="J8892" t="s">
        <v>7919</v>
      </c>
      <c r="K8892" t="s">
        <v>1092</v>
      </c>
      <c r="M8892">
        <v>5.1999999999999998E-2</v>
      </c>
      <c r="N8892">
        <v>784</v>
      </c>
      <c r="O8892" t="s">
        <v>575</v>
      </c>
      <c r="Q8892" t="s">
        <v>7920</v>
      </c>
      <c r="R8892" t="s">
        <v>6897</v>
      </c>
      <c r="S8892" t="s">
        <v>1062</v>
      </c>
    </row>
    <row r="8893" spans="1:19" x14ac:dyDescent="0.25">
      <c r="A8893" t="s">
        <v>30</v>
      </c>
      <c r="B8893" t="s">
        <v>31</v>
      </c>
      <c r="C8893" t="s">
        <v>32</v>
      </c>
      <c r="D8893" t="s">
        <v>953</v>
      </c>
      <c r="F8893" t="s">
        <v>35</v>
      </c>
      <c r="G8893" t="s">
        <v>35</v>
      </c>
      <c r="H8893" t="s">
        <v>35</v>
      </c>
      <c r="J8893" t="s">
        <v>7921</v>
      </c>
      <c r="K8893" t="s">
        <v>1092</v>
      </c>
      <c r="M8893">
        <v>4.9950000000000001</v>
      </c>
      <c r="N8893">
        <v>22</v>
      </c>
      <c r="O8893" t="s">
        <v>46</v>
      </c>
      <c r="Q8893" t="s">
        <v>979</v>
      </c>
      <c r="R8893" t="s">
        <v>973</v>
      </c>
      <c r="S8893" t="s">
        <v>974</v>
      </c>
    </row>
    <row r="8894" spans="1:19" x14ac:dyDescent="0.25">
      <c r="A8894" t="s">
        <v>30</v>
      </c>
      <c r="B8894" t="s">
        <v>31</v>
      </c>
      <c r="C8894" t="s">
        <v>32</v>
      </c>
      <c r="D8894" t="s">
        <v>953</v>
      </c>
      <c r="F8894" t="s">
        <v>35</v>
      </c>
      <c r="G8894" t="s">
        <v>35</v>
      </c>
      <c r="H8894" t="s">
        <v>35</v>
      </c>
      <c r="J8894" t="s">
        <v>7922</v>
      </c>
      <c r="K8894" t="s">
        <v>1092</v>
      </c>
      <c r="M8894">
        <v>1.8</v>
      </c>
      <c r="N8894">
        <v>1466</v>
      </c>
      <c r="O8894" t="s">
        <v>575</v>
      </c>
      <c r="Q8894" t="s">
        <v>7925</v>
      </c>
      <c r="R8894" t="s">
        <v>133</v>
      </c>
      <c r="S8894" t="s">
        <v>134</v>
      </c>
    </row>
    <row r="8895" spans="1:19" x14ac:dyDescent="0.25">
      <c r="A8895" t="s">
        <v>59</v>
      </c>
      <c r="B8895" t="s">
        <v>60</v>
      </c>
      <c r="C8895" t="s">
        <v>32</v>
      </c>
      <c r="D8895" t="s">
        <v>953</v>
      </c>
      <c r="F8895" t="s">
        <v>35</v>
      </c>
      <c r="G8895" t="s">
        <v>35</v>
      </c>
      <c r="H8895" t="s">
        <v>35</v>
      </c>
      <c r="J8895" t="s">
        <v>7922</v>
      </c>
      <c r="K8895" t="s">
        <v>1092</v>
      </c>
      <c r="M8895">
        <v>0.5</v>
      </c>
      <c r="N8895">
        <v>1362</v>
      </c>
      <c r="O8895" t="s">
        <v>575</v>
      </c>
      <c r="Q8895" t="s">
        <v>7886</v>
      </c>
      <c r="R8895" t="s">
        <v>133</v>
      </c>
      <c r="S8895" t="s">
        <v>134</v>
      </c>
    </row>
    <row r="8896" spans="1:19" x14ac:dyDescent="0.25">
      <c r="A8896" t="s">
        <v>59</v>
      </c>
      <c r="B8896" t="s">
        <v>60</v>
      </c>
      <c r="C8896" t="s">
        <v>32</v>
      </c>
      <c r="D8896" t="s">
        <v>953</v>
      </c>
      <c r="F8896" t="s">
        <v>35</v>
      </c>
      <c r="G8896" t="s">
        <v>35</v>
      </c>
      <c r="H8896" t="s">
        <v>35</v>
      </c>
      <c r="J8896" t="s">
        <v>7922</v>
      </c>
      <c r="K8896" t="s">
        <v>1092</v>
      </c>
      <c r="M8896">
        <v>0.5</v>
      </c>
      <c r="N8896">
        <v>1516</v>
      </c>
      <c r="O8896" t="s">
        <v>575</v>
      </c>
      <c r="Q8896" t="s">
        <v>7924</v>
      </c>
      <c r="R8896" t="s">
        <v>133</v>
      </c>
      <c r="S8896" t="s">
        <v>134</v>
      </c>
    </row>
    <row r="8897" spans="1:19" x14ac:dyDescent="0.25">
      <c r="A8897" t="s">
        <v>59</v>
      </c>
      <c r="B8897" t="s">
        <v>31</v>
      </c>
      <c r="C8897" t="s">
        <v>32</v>
      </c>
      <c r="D8897" t="s">
        <v>953</v>
      </c>
      <c r="F8897" t="s">
        <v>35</v>
      </c>
      <c r="G8897" t="s">
        <v>35</v>
      </c>
      <c r="H8897" t="s">
        <v>35</v>
      </c>
      <c r="J8897" t="s">
        <v>7922</v>
      </c>
      <c r="K8897" t="s">
        <v>1092</v>
      </c>
      <c r="M8897">
        <v>0.63</v>
      </c>
      <c r="N8897">
        <v>1153</v>
      </c>
      <c r="O8897" t="s">
        <v>575</v>
      </c>
      <c r="Q8897" t="s">
        <v>7923</v>
      </c>
      <c r="R8897" t="s">
        <v>133</v>
      </c>
      <c r="S8897" t="s">
        <v>134</v>
      </c>
    </row>
    <row r="8898" spans="1:19" x14ac:dyDescent="0.25">
      <c r="A8898" t="s">
        <v>59</v>
      </c>
      <c r="B8898" t="s">
        <v>60</v>
      </c>
      <c r="C8898" t="s">
        <v>32</v>
      </c>
      <c r="D8898" t="s">
        <v>953</v>
      </c>
      <c r="F8898" t="s">
        <v>35</v>
      </c>
      <c r="G8898" t="s">
        <v>35</v>
      </c>
      <c r="H8898" t="s">
        <v>35</v>
      </c>
      <c r="J8898" t="s">
        <v>7922</v>
      </c>
      <c r="K8898" t="s">
        <v>1092</v>
      </c>
      <c r="M8898">
        <v>0.25</v>
      </c>
      <c r="N8898">
        <v>1153</v>
      </c>
      <c r="O8898" t="s">
        <v>575</v>
      </c>
      <c r="Q8898" t="s">
        <v>7923</v>
      </c>
      <c r="R8898" t="s">
        <v>133</v>
      </c>
      <c r="S8898" t="s">
        <v>134</v>
      </c>
    </row>
    <row r="8899" spans="1:19" x14ac:dyDescent="0.25">
      <c r="A8899" t="s">
        <v>59</v>
      </c>
      <c r="B8899" t="s">
        <v>60</v>
      </c>
      <c r="C8899" t="s">
        <v>32</v>
      </c>
      <c r="D8899" t="s">
        <v>953</v>
      </c>
      <c r="F8899" t="s">
        <v>35</v>
      </c>
      <c r="G8899" t="s">
        <v>35</v>
      </c>
      <c r="H8899" t="s">
        <v>35</v>
      </c>
      <c r="J8899" t="s">
        <v>7926</v>
      </c>
      <c r="K8899" t="s">
        <v>1092</v>
      </c>
      <c r="M8899">
        <v>0.25</v>
      </c>
      <c r="N8899">
        <v>213</v>
      </c>
      <c r="O8899" t="s">
        <v>5</v>
      </c>
      <c r="Q8899" t="s">
        <v>1298</v>
      </c>
      <c r="R8899" t="s">
        <v>133</v>
      </c>
      <c r="S8899" t="s">
        <v>134</v>
      </c>
    </row>
    <row r="8900" spans="1:19" x14ac:dyDescent="0.25">
      <c r="A8900" t="s">
        <v>30</v>
      </c>
      <c r="B8900" t="s">
        <v>31</v>
      </c>
      <c r="C8900" t="s">
        <v>32</v>
      </c>
      <c r="D8900" t="s">
        <v>953</v>
      </c>
      <c r="F8900" t="s">
        <v>35</v>
      </c>
      <c r="G8900" t="s">
        <v>35</v>
      </c>
      <c r="H8900" t="s">
        <v>35</v>
      </c>
      <c r="J8900" t="s">
        <v>7927</v>
      </c>
      <c r="K8900" t="s">
        <v>1092</v>
      </c>
      <c r="M8900">
        <v>1.575</v>
      </c>
      <c r="N8900">
        <v>12</v>
      </c>
      <c r="O8900" t="s">
        <v>46</v>
      </c>
      <c r="Q8900" t="s">
        <v>1865</v>
      </c>
      <c r="R8900" t="s">
        <v>133</v>
      </c>
      <c r="S8900" t="s">
        <v>134</v>
      </c>
    </row>
    <row r="8901" spans="1:19" x14ac:dyDescent="0.25">
      <c r="A8901" t="s">
        <v>59</v>
      </c>
      <c r="B8901" t="s">
        <v>60</v>
      </c>
      <c r="C8901" t="s">
        <v>32</v>
      </c>
      <c r="D8901" t="s">
        <v>953</v>
      </c>
      <c r="F8901" t="s">
        <v>35</v>
      </c>
      <c r="G8901" t="s">
        <v>35</v>
      </c>
      <c r="H8901" t="s">
        <v>35</v>
      </c>
      <c r="J8901" t="s">
        <v>7927</v>
      </c>
      <c r="K8901" t="s">
        <v>1092</v>
      </c>
      <c r="M8901">
        <v>0.27500000000000002</v>
      </c>
      <c r="N8901">
        <v>90</v>
      </c>
      <c r="O8901" t="s">
        <v>61</v>
      </c>
      <c r="Q8901" t="s">
        <v>897</v>
      </c>
      <c r="R8901" t="s">
        <v>133</v>
      </c>
      <c r="S8901" t="s">
        <v>134</v>
      </c>
    </row>
    <row r="8902" spans="1:19" x14ac:dyDescent="0.25">
      <c r="A8902" t="s">
        <v>59</v>
      </c>
      <c r="B8902" t="s">
        <v>60</v>
      </c>
      <c r="C8902" t="s">
        <v>32</v>
      </c>
      <c r="D8902" t="s">
        <v>953</v>
      </c>
      <c r="F8902" t="s">
        <v>35</v>
      </c>
      <c r="G8902" t="s">
        <v>35</v>
      </c>
      <c r="H8902" t="s">
        <v>35</v>
      </c>
      <c r="J8902" t="s">
        <v>7927</v>
      </c>
      <c r="K8902" t="s">
        <v>1092</v>
      </c>
      <c r="M8902">
        <v>1</v>
      </c>
      <c r="N8902">
        <v>59</v>
      </c>
      <c r="O8902" t="s">
        <v>52</v>
      </c>
      <c r="Q8902" t="s">
        <v>84</v>
      </c>
      <c r="R8902" t="s">
        <v>133</v>
      </c>
      <c r="S8902" t="s">
        <v>134</v>
      </c>
    </row>
    <row r="8903" spans="1:19" x14ac:dyDescent="0.25">
      <c r="A8903" t="s">
        <v>30</v>
      </c>
      <c r="B8903" t="s">
        <v>31</v>
      </c>
      <c r="C8903" t="s">
        <v>32</v>
      </c>
      <c r="D8903" t="s">
        <v>953</v>
      </c>
      <c r="F8903" t="s">
        <v>35</v>
      </c>
      <c r="G8903" t="s">
        <v>35</v>
      </c>
      <c r="H8903" t="s">
        <v>35</v>
      </c>
      <c r="J8903" t="s">
        <v>7928</v>
      </c>
      <c r="K8903" t="s">
        <v>1092</v>
      </c>
      <c r="M8903">
        <v>0.45</v>
      </c>
      <c r="N8903">
        <v>44</v>
      </c>
      <c r="O8903" t="s">
        <v>52</v>
      </c>
      <c r="Q8903" t="s">
        <v>192</v>
      </c>
      <c r="R8903" t="s">
        <v>6720</v>
      </c>
      <c r="S8903" t="s">
        <v>961</v>
      </c>
    </row>
    <row r="8904" spans="1:19" x14ac:dyDescent="0.25">
      <c r="A8904" t="s">
        <v>44</v>
      </c>
      <c r="B8904" t="s">
        <v>3</v>
      </c>
      <c r="C8904" t="s">
        <v>32</v>
      </c>
      <c r="D8904" t="s">
        <v>953</v>
      </c>
      <c r="F8904" t="s">
        <v>35</v>
      </c>
      <c r="G8904" t="s">
        <v>35</v>
      </c>
      <c r="H8904" t="s">
        <v>35</v>
      </c>
      <c r="J8904" t="s">
        <v>7928</v>
      </c>
      <c r="K8904" t="s">
        <v>1092</v>
      </c>
      <c r="M8904">
        <v>0.5</v>
      </c>
      <c r="N8904">
        <v>30</v>
      </c>
      <c r="O8904" t="s">
        <v>46</v>
      </c>
      <c r="Q8904" t="s">
        <v>793</v>
      </c>
      <c r="R8904" t="s">
        <v>6720</v>
      </c>
      <c r="S8904" t="s">
        <v>961</v>
      </c>
    </row>
    <row r="8905" spans="1:19" x14ac:dyDescent="0.25">
      <c r="A8905" t="s">
        <v>30</v>
      </c>
      <c r="B8905" t="s">
        <v>31</v>
      </c>
      <c r="C8905" t="s">
        <v>32</v>
      </c>
      <c r="D8905" t="s">
        <v>953</v>
      </c>
      <c r="F8905" t="s">
        <v>35</v>
      </c>
      <c r="G8905" t="s">
        <v>35</v>
      </c>
      <c r="H8905" t="s">
        <v>35</v>
      </c>
      <c r="J8905" t="s">
        <v>7928</v>
      </c>
      <c r="K8905" t="s">
        <v>1092</v>
      </c>
      <c r="M8905">
        <v>0.9</v>
      </c>
      <c r="N8905">
        <v>30</v>
      </c>
      <c r="O8905" t="s">
        <v>46</v>
      </c>
      <c r="Q8905" t="s">
        <v>793</v>
      </c>
      <c r="R8905" t="s">
        <v>6720</v>
      </c>
      <c r="S8905" t="s">
        <v>961</v>
      </c>
    </row>
    <row r="8906" spans="1:19" x14ac:dyDescent="0.25">
      <c r="A8906" t="s">
        <v>44</v>
      </c>
      <c r="B8906" t="s">
        <v>51</v>
      </c>
      <c r="C8906" t="s">
        <v>32</v>
      </c>
      <c r="D8906" t="s">
        <v>953</v>
      </c>
      <c r="F8906" t="s">
        <v>35</v>
      </c>
      <c r="G8906" t="s">
        <v>35</v>
      </c>
      <c r="H8906" t="s">
        <v>35</v>
      </c>
      <c r="J8906" t="s">
        <v>7928</v>
      </c>
      <c r="K8906" t="s">
        <v>1092</v>
      </c>
      <c r="M8906">
        <v>0.25</v>
      </c>
      <c r="N8906">
        <v>230</v>
      </c>
      <c r="O8906" t="s">
        <v>5</v>
      </c>
      <c r="Q8906" t="s">
        <v>1544</v>
      </c>
      <c r="R8906" t="s">
        <v>6720</v>
      </c>
      <c r="S8906" t="s">
        <v>961</v>
      </c>
    </row>
    <row r="8907" spans="1:19" x14ac:dyDescent="0.25">
      <c r="A8907" t="s">
        <v>59</v>
      </c>
      <c r="B8907" t="s">
        <v>60</v>
      </c>
      <c r="C8907" t="s">
        <v>32</v>
      </c>
      <c r="D8907" t="s">
        <v>953</v>
      </c>
      <c r="F8907" t="s">
        <v>35</v>
      </c>
      <c r="G8907" t="s">
        <v>35</v>
      </c>
      <c r="H8907" t="s">
        <v>35</v>
      </c>
      <c r="J8907" t="s">
        <v>7928</v>
      </c>
      <c r="K8907" t="s">
        <v>1092</v>
      </c>
      <c r="M8907">
        <v>0.2</v>
      </c>
      <c r="N8907">
        <v>142</v>
      </c>
      <c r="O8907" t="s">
        <v>38</v>
      </c>
      <c r="Q8907" t="s">
        <v>2067</v>
      </c>
      <c r="R8907" t="s">
        <v>6720</v>
      </c>
      <c r="S8907" t="s">
        <v>961</v>
      </c>
    </row>
    <row r="8908" spans="1:19" x14ac:dyDescent="0.25">
      <c r="A8908" t="s">
        <v>59</v>
      </c>
      <c r="B8908" t="s">
        <v>60</v>
      </c>
      <c r="C8908" t="s">
        <v>32</v>
      </c>
      <c r="D8908" t="s">
        <v>953</v>
      </c>
      <c r="F8908" t="s">
        <v>35</v>
      </c>
      <c r="G8908" t="s">
        <v>35</v>
      </c>
      <c r="H8908" t="s">
        <v>35</v>
      </c>
      <c r="J8908" t="s">
        <v>7928</v>
      </c>
      <c r="K8908" t="s">
        <v>1092</v>
      </c>
      <c r="M8908">
        <v>0.5</v>
      </c>
      <c r="N8908">
        <v>92</v>
      </c>
      <c r="O8908" t="s">
        <v>106</v>
      </c>
      <c r="Q8908" t="s">
        <v>1100</v>
      </c>
      <c r="R8908" t="s">
        <v>6720</v>
      </c>
      <c r="S8908" t="s">
        <v>961</v>
      </c>
    </row>
    <row r="8909" spans="1:19" x14ac:dyDescent="0.25">
      <c r="A8909" t="s">
        <v>44</v>
      </c>
      <c r="B8909" t="s">
        <v>3</v>
      </c>
      <c r="C8909" t="s">
        <v>32</v>
      </c>
      <c r="D8909" t="s">
        <v>953</v>
      </c>
      <c r="F8909" t="s">
        <v>35</v>
      </c>
      <c r="G8909" t="s">
        <v>35</v>
      </c>
      <c r="H8909" t="s">
        <v>35</v>
      </c>
      <c r="J8909" t="s">
        <v>7928</v>
      </c>
      <c r="K8909" t="s">
        <v>1092</v>
      </c>
      <c r="M8909">
        <v>0.25</v>
      </c>
      <c r="N8909">
        <v>64</v>
      </c>
      <c r="O8909" t="s">
        <v>61</v>
      </c>
      <c r="Q8909" t="s">
        <v>381</v>
      </c>
      <c r="R8909" t="s">
        <v>6720</v>
      </c>
      <c r="S8909" t="s">
        <v>961</v>
      </c>
    </row>
    <row r="8910" spans="1:19" x14ac:dyDescent="0.25">
      <c r="A8910" t="s">
        <v>44</v>
      </c>
      <c r="B8910" t="s">
        <v>3</v>
      </c>
      <c r="C8910" t="s">
        <v>32</v>
      </c>
      <c r="D8910" t="s">
        <v>953</v>
      </c>
      <c r="F8910" t="s">
        <v>35</v>
      </c>
      <c r="G8910" t="s">
        <v>35</v>
      </c>
      <c r="H8910" t="s">
        <v>35</v>
      </c>
      <c r="J8910" t="s">
        <v>7928</v>
      </c>
      <c r="K8910" t="s">
        <v>1092</v>
      </c>
      <c r="M8910">
        <v>0.4</v>
      </c>
      <c r="N8910">
        <v>61</v>
      </c>
      <c r="O8910" t="s">
        <v>61</v>
      </c>
      <c r="Q8910" t="s">
        <v>671</v>
      </c>
      <c r="R8910" t="s">
        <v>6720</v>
      </c>
      <c r="S8910" t="s">
        <v>961</v>
      </c>
    </row>
    <row r="8911" spans="1:19" x14ac:dyDescent="0.25">
      <c r="A8911" t="s">
        <v>59</v>
      </c>
      <c r="B8911" t="s">
        <v>31</v>
      </c>
      <c r="C8911" t="s">
        <v>32</v>
      </c>
      <c r="D8911" t="s">
        <v>953</v>
      </c>
      <c r="F8911" t="s">
        <v>35</v>
      </c>
      <c r="G8911" t="s">
        <v>35</v>
      </c>
      <c r="H8911" t="s">
        <v>35</v>
      </c>
      <c r="J8911" t="s">
        <v>7928</v>
      </c>
      <c r="K8911" t="s">
        <v>1092</v>
      </c>
      <c r="M8911">
        <v>0.67500000000000004</v>
      </c>
      <c r="N8911">
        <v>64</v>
      </c>
      <c r="O8911" t="s">
        <v>61</v>
      </c>
      <c r="Q8911" t="s">
        <v>381</v>
      </c>
      <c r="R8911" t="s">
        <v>6720</v>
      </c>
      <c r="S8911" t="s">
        <v>961</v>
      </c>
    </row>
    <row r="8912" spans="1:19" x14ac:dyDescent="0.25">
      <c r="A8912" t="s">
        <v>59</v>
      </c>
      <c r="B8912" t="s">
        <v>60</v>
      </c>
      <c r="C8912" t="s">
        <v>32</v>
      </c>
      <c r="D8912" t="s">
        <v>953</v>
      </c>
      <c r="F8912" t="s">
        <v>35</v>
      </c>
      <c r="G8912" t="s">
        <v>35</v>
      </c>
      <c r="H8912" t="s">
        <v>35</v>
      </c>
      <c r="J8912" t="s">
        <v>7928</v>
      </c>
      <c r="K8912" t="s">
        <v>1092</v>
      </c>
      <c r="M8912">
        <v>0.1</v>
      </c>
      <c r="N8912">
        <v>84</v>
      </c>
      <c r="O8912" t="s">
        <v>61</v>
      </c>
      <c r="Q8912" t="s">
        <v>778</v>
      </c>
      <c r="R8912" t="s">
        <v>6720</v>
      </c>
      <c r="S8912" t="s">
        <v>961</v>
      </c>
    </row>
    <row r="8913" spans="1:19" x14ac:dyDescent="0.25">
      <c r="A8913" t="s">
        <v>59</v>
      </c>
      <c r="B8913" t="s">
        <v>60</v>
      </c>
      <c r="C8913" t="s">
        <v>32</v>
      </c>
      <c r="D8913" t="s">
        <v>953</v>
      </c>
      <c r="F8913" t="s">
        <v>35</v>
      </c>
      <c r="G8913" t="s">
        <v>35</v>
      </c>
      <c r="H8913" t="s">
        <v>35</v>
      </c>
      <c r="J8913" t="s">
        <v>7928</v>
      </c>
      <c r="K8913" t="s">
        <v>1092</v>
      </c>
      <c r="M8913">
        <v>0.25</v>
      </c>
      <c r="N8913">
        <v>68</v>
      </c>
      <c r="O8913" t="s">
        <v>61</v>
      </c>
      <c r="Q8913" t="s">
        <v>146</v>
      </c>
      <c r="R8913" t="s">
        <v>6720</v>
      </c>
      <c r="S8913" t="s">
        <v>961</v>
      </c>
    </row>
    <row r="8914" spans="1:19" x14ac:dyDescent="0.25">
      <c r="A8914" t="s">
        <v>59</v>
      </c>
      <c r="B8914" t="s">
        <v>60</v>
      </c>
      <c r="C8914" t="s">
        <v>32</v>
      </c>
      <c r="D8914" t="s">
        <v>953</v>
      </c>
      <c r="F8914" t="s">
        <v>35</v>
      </c>
      <c r="G8914" t="s">
        <v>35</v>
      </c>
      <c r="H8914" t="s">
        <v>35</v>
      </c>
      <c r="J8914" t="s">
        <v>7928</v>
      </c>
      <c r="K8914" t="s">
        <v>1092</v>
      </c>
      <c r="M8914">
        <v>0.25</v>
      </c>
      <c r="N8914">
        <v>61</v>
      </c>
      <c r="O8914" t="s">
        <v>61</v>
      </c>
      <c r="Q8914" t="s">
        <v>671</v>
      </c>
      <c r="R8914" t="s">
        <v>6720</v>
      </c>
      <c r="S8914" t="s">
        <v>961</v>
      </c>
    </row>
    <row r="8915" spans="1:19" x14ac:dyDescent="0.25">
      <c r="A8915" t="s">
        <v>44</v>
      </c>
      <c r="B8915" t="s">
        <v>51</v>
      </c>
      <c r="C8915" t="s">
        <v>32</v>
      </c>
      <c r="D8915" t="s">
        <v>953</v>
      </c>
      <c r="F8915" t="s">
        <v>35</v>
      </c>
      <c r="G8915" t="s">
        <v>35</v>
      </c>
      <c r="H8915" t="s">
        <v>35</v>
      </c>
      <c r="J8915" t="s">
        <v>7928</v>
      </c>
      <c r="K8915" t="s">
        <v>1092</v>
      </c>
      <c r="M8915">
        <v>0.15</v>
      </c>
      <c r="N8915">
        <v>56</v>
      </c>
      <c r="O8915" t="s">
        <v>52</v>
      </c>
      <c r="Q8915" t="s">
        <v>453</v>
      </c>
      <c r="R8915" t="s">
        <v>6720</v>
      </c>
      <c r="S8915" t="s">
        <v>961</v>
      </c>
    </row>
    <row r="8916" spans="1:19" x14ac:dyDescent="0.25">
      <c r="A8916" t="s">
        <v>44</v>
      </c>
      <c r="B8916" t="s">
        <v>3</v>
      </c>
      <c r="C8916" t="s">
        <v>32</v>
      </c>
      <c r="D8916" t="s">
        <v>953</v>
      </c>
      <c r="F8916" t="s">
        <v>35</v>
      </c>
      <c r="G8916" t="s">
        <v>35</v>
      </c>
      <c r="H8916" t="s">
        <v>35</v>
      </c>
      <c r="J8916" t="s">
        <v>7928</v>
      </c>
      <c r="K8916" t="s">
        <v>1092</v>
      </c>
      <c r="M8916">
        <v>0.1</v>
      </c>
      <c r="N8916">
        <v>56</v>
      </c>
      <c r="O8916" t="s">
        <v>52</v>
      </c>
      <c r="Q8916" t="s">
        <v>453</v>
      </c>
      <c r="R8916" t="s">
        <v>6720</v>
      </c>
      <c r="S8916" t="s">
        <v>961</v>
      </c>
    </row>
    <row r="8917" spans="1:19" x14ac:dyDescent="0.25">
      <c r="A8917" t="s">
        <v>59</v>
      </c>
      <c r="B8917" t="s">
        <v>60</v>
      </c>
      <c r="C8917" t="s">
        <v>32</v>
      </c>
      <c r="D8917" t="s">
        <v>953</v>
      </c>
      <c r="F8917" t="s">
        <v>35</v>
      </c>
      <c r="G8917" t="s">
        <v>35</v>
      </c>
      <c r="H8917" t="s">
        <v>35</v>
      </c>
      <c r="J8917" t="s">
        <v>7929</v>
      </c>
      <c r="K8917" t="s">
        <v>1092</v>
      </c>
      <c r="M8917">
        <v>0.15</v>
      </c>
      <c r="N8917">
        <v>315</v>
      </c>
      <c r="O8917" t="s">
        <v>5</v>
      </c>
      <c r="Q8917" t="s">
        <v>6325</v>
      </c>
      <c r="R8917" t="s">
        <v>6720</v>
      </c>
      <c r="S8917" t="s">
        <v>961</v>
      </c>
    </row>
    <row r="8918" spans="1:19" x14ac:dyDescent="0.25">
      <c r="A8918" t="s">
        <v>59</v>
      </c>
      <c r="B8918" t="s">
        <v>60</v>
      </c>
      <c r="C8918" t="s">
        <v>32</v>
      </c>
      <c r="D8918" t="s">
        <v>953</v>
      </c>
      <c r="F8918" t="s">
        <v>35</v>
      </c>
      <c r="G8918" t="s">
        <v>35</v>
      </c>
      <c r="H8918" t="s">
        <v>35</v>
      </c>
      <c r="J8918" t="s">
        <v>7930</v>
      </c>
      <c r="K8918" t="s">
        <v>1092</v>
      </c>
      <c r="M8918">
        <v>7.75</v>
      </c>
      <c r="N8918">
        <v>281</v>
      </c>
      <c r="O8918" t="s">
        <v>5</v>
      </c>
      <c r="Q8918" t="s">
        <v>1226</v>
      </c>
      <c r="R8918" t="s">
        <v>7646</v>
      </c>
      <c r="S8918" t="s">
        <v>7647</v>
      </c>
    </row>
    <row r="8919" spans="1:19" x14ac:dyDescent="0.25">
      <c r="A8919" t="s">
        <v>30</v>
      </c>
      <c r="B8919" t="s">
        <v>31</v>
      </c>
      <c r="C8919" t="s">
        <v>32</v>
      </c>
      <c r="D8919" t="s">
        <v>953</v>
      </c>
      <c r="F8919" t="s">
        <v>35</v>
      </c>
      <c r="G8919" t="s">
        <v>35</v>
      </c>
      <c r="H8919" t="s">
        <v>35</v>
      </c>
      <c r="J8919" t="s">
        <v>7931</v>
      </c>
      <c r="K8919" t="s">
        <v>1092</v>
      </c>
      <c r="M8919">
        <v>9.99</v>
      </c>
      <c r="N8919">
        <v>20</v>
      </c>
      <c r="O8919" t="s">
        <v>46</v>
      </c>
      <c r="Q8919" t="s">
        <v>1004</v>
      </c>
      <c r="R8919" t="s">
        <v>133</v>
      </c>
      <c r="S8919" t="s">
        <v>134</v>
      </c>
    </row>
    <row r="8920" spans="1:19" x14ac:dyDescent="0.25">
      <c r="A8920" t="s">
        <v>59</v>
      </c>
      <c r="B8920" t="s">
        <v>60</v>
      </c>
      <c r="C8920" t="s">
        <v>32</v>
      </c>
      <c r="D8920" t="s">
        <v>953</v>
      </c>
      <c r="F8920" t="s">
        <v>35</v>
      </c>
      <c r="G8920" t="s">
        <v>35</v>
      </c>
      <c r="H8920" t="s">
        <v>35</v>
      </c>
      <c r="J8920" t="s">
        <v>7931</v>
      </c>
      <c r="K8920" t="s">
        <v>1092</v>
      </c>
      <c r="M8920">
        <v>0.5</v>
      </c>
      <c r="N8920">
        <v>91</v>
      </c>
      <c r="O8920" t="s">
        <v>106</v>
      </c>
      <c r="Q8920" t="s">
        <v>1147</v>
      </c>
      <c r="R8920" t="s">
        <v>133</v>
      </c>
      <c r="S8920" t="s">
        <v>134</v>
      </c>
    </row>
    <row r="8921" spans="1:19" x14ac:dyDescent="0.25">
      <c r="A8921" t="s">
        <v>59</v>
      </c>
      <c r="B8921" t="s">
        <v>60</v>
      </c>
      <c r="C8921" t="s">
        <v>32</v>
      </c>
      <c r="D8921" t="s">
        <v>953</v>
      </c>
      <c r="F8921" t="s">
        <v>35</v>
      </c>
      <c r="G8921" t="s">
        <v>35</v>
      </c>
      <c r="H8921" t="s">
        <v>35</v>
      </c>
      <c r="J8921" t="s">
        <v>7932</v>
      </c>
      <c r="K8921" t="s">
        <v>1092</v>
      </c>
      <c r="M8921">
        <v>1.55</v>
      </c>
      <c r="N8921">
        <v>246</v>
      </c>
      <c r="O8921" t="s">
        <v>5</v>
      </c>
      <c r="Q8921" t="s">
        <v>1903</v>
      </c>
      <c r="R8921" t="s">
        <v>6721</v>
      </c>
      <c r="S8921" t="s">
        <v>1078</v>
      </c>
    </row>
    <row r="8922" spans="1:19" x14ac:dyDescent="0.25">
      <c r="A8922" t="s">
        <v>44</v>
      </c>
      <c r="B8922" t="s">
        <v>3</v>
      </c>
      <c r="C8922" t="s">
        <v>32</v>
      </c>
      <c r="D8922" t="s">
        <v>953</v>
      </c>
      <c r="F8922" t="s">
        <v>35</v>
      </c>
      <c r="G8922" t="s">
        <v>35</v>
      </c>
      <c r="H8922" t="s">
        <v>35</v>
      </c>
      <c r="J8922" t="s">
        <v>7932</v>
      </c>
      <c r="K8922" t="s">
        <v>1092</v>
      </c>
      <c r="M8922">
        <v>0.75</v>
      </c>
      <c r="N8922">
        <v>425</v>
      </c>
      <c r="O8922" t="s">
        <v>294</v>
      </c>
      <c r="Q8922" t="s">
        <v>7670</v>
      </c>
      <c r="R8922" t="s">
        <v>6720</v>
      </c>
      <c r="S8922" t="s">
        <v>961</v>
      </c>
    </row>
    <row r="8923" spans="1:19" x14ac:dyDescent="0.25">
      <c r="A8923" t="s">
        <v>59</v>
      </c>
      <c r="B8923" t="s">
        <v>31</v>
      </c>
      <c r="C8923" t="s">
        <v>32</v>
      </c>
      <c r="D8923" t="s">
        <v>953</v>
      </c>
      <c r="F8923" t="s">
        <v>35</v>
      </c>
      <c r="G8923" t="s">
        <v>35</v>
      </c>
      <c r="H8923" t="s">
        <v>35</v>
      </c>
      <c r="J8923" t="s">
        <v>7932</v>
      </c>
      <c r="K8923" t="s">
        <v>1092</v>
      </c>
      <c r="M8923">
        <v>0.45</v>
      </c>
      <c r="N8923">
        <v>457</v>
      </c>
      <c r="O8923" t="s">
        <v>294</v>
      </c>
      <c r="Q8923" t="s">
        <v>2104</v>
      </c>
      <c r="R8923" t="s">
        <v>6762</v>
      </c>
      <c r="S8923" t="s">
        <v>992</v>
      </c>
    </row>
    <row r="8924" spans="1:19" x14ac:dyDescent="0.25">
      <c r="A8924" t="s">
        <v>59</v>
      </c>
      <c r="B8924" t="s">
        <v>60</v>
      </c>
      <c r="C8924" t="s">
        <v>32</v>
      </c>
      <c r="D8924" t="s">
        <v>953</v>
      </c>
      <c r="F8924" t="s">
        <v>35</v>
      </c>
      <c r="G8924" t="s">
        <v>35</v>
      </c>
      <c r="H8924" t="s">
        <v>35</v>
      </c>
      <c r="J8924" t="s">
        <v>7932</v>
      </c>
      <c r="K8924" t="s">
        <v>1092</v>
      </c>
      <c r="M8924">
        <v>1</v>
      </c>
      <c r="N8924">
        <v>288</v>
      </c>
      <c r="O8924" t="s">
        <v>5</v>
      </c>
      <c r="Q8924" t="s">
        <v>1421</v>
      </c>
      <c r="R8924" t="s">
        <v>6721</v>
      </c>
      <c r="S8924" t="s">
        <v>1078</v>
      </c>
    </row>
    <row r="8925" spans="1:19" x14ac:dyDescent="0.25">
      <c r="A8925" t="s">
        <v>59</v>
      </c>
      <c r="B8925" t="s">
        <v>31</v>
      </c>
      <c r="C8925" t="s">
        <v>32</v>
      </c>
      <c r="D8925" t="s">
        <v>953</v>
      </c>
      <c r="F8925" t="s">
        <v>35</v>
      </c>
      <c r="G8925" t="s">
        <v>35</v>
      </c>
      <c r="H8925" t="s">
        <v>35</v>
      </c>
      <c r="J8925" t="s">
        <v>7932</v>
      </c>
      <c r="K8925" t="s">
        <v>1092</v>
      </c>
      <c r="M8925">
        <v>1.35</v>
      </c>
      <c r="N8925">
        <v>288</v>
      </c>
      <c r="O8925" t="s">
        <v>5</v>
      </c>
      <c r="Q8925" t="s">
        <v>1421</v>
      </c>
      <c r="R8925" t="s">
        <v>6721</v>
      </c>
      <c r="S8925" t="s">
        <v>1078</v>
      </c>
    </row>
    <row r="8926" spans="1:19" x14ac:dyDescent="0.25">
      <c r="A8926" t="s">
        <v>44</v>
      </c>
      <c r="B8926" t="s">
        <v>51</v>
      </c>
      <c r="C8926" t="s">
        <v>32</v>
      </c>
      <c r="D8926" t="s">
        <v>953</v>
      </c>
      <c r="F8926" t="s">
        <v>35</v>
      </c>
      <c r="G8926" t="s">
        <v>35</v>
      </c>
      <c r="H8926" t="s">
        <v>35</v>
      </c>
      <c r="J8926" t="s">
        <v>7932</v>
      </c>
      <c r="K8926" t="s">
        <v>1092</v>
      </c>
      <c r="M8926">
        <v>1.5</v>
      </c>
      <c r="N8926">
        <v>337</v>
      </c>
      <c r="O8926" t="s">
        <v>5</v>
      </c>
      <c r="Q8926" t="s">
        <v>1825</v>
      </c>
      <c r="R8926" t="s">
        <v>6721</v>
      </c>
      <c r="S8926" t="s">
        <v>1078</v>
      </c>
    </row>
    <row r="8927" spans="1:19" x14ac:dyDescent="0.25">
      <c r="A8927" t="s">
        <v>44</v>
      </c>
      <c r="B8927" t="s">
        <v>51</v>
      </c>
      <c r="C8927" t="s">
        <v>32</v>
      </c>
      <c r="D8927" t="s">
        <v>953</v>
      </c>
      <c r="F8927" t="s">
        <v>35</v>
      </c>
      <c r="G8927" t="s">
        <v>35</v>
      </c>
      <c r="H8927" t="s">
        <v>35</v>
      </c>
      <c r="J8927" t="s">
        <v>7932</v>
      </c>
      <c r="K8927" t="s">
        <v>1092</v>
      </c>
      <c r="M8927">
        <v>0.55000000000000004</v>
      </c>
      <c r="N8927">
        <v>344</v>
      </c>
      <c r="O8927" t="s">
        <v>5</v>
      </c>
      <c r="Q8927" t="s">
        <v>1859</v>
      </c>
      <c r="R8927" t="s">
        <v>6721</v>
      </c>
      <c r="S8927" t="s">
        <v>1078</v>
      </c>
    </row>
    <row r="8928" spans="1:19" x14ac:dyDescent="0.25">
      <c r="A8928" t="s">
        <v>59</v>
      </c>
      <c r="B8928" t="s">
        <v>60</v>
      </c>
      <c r="C8928" t="s">
        <v>32</v>
      </c>
      <c r="D8928" t="s">
        <v>953</v>
      </c>
      <c r="F8928" t="s">
        <v>35</v>
      </c>
      <c r="G8928" t="s">
        <v>35</v>
      </c>
      <c r="H8928" t="s">
        <v>35</v>
      </c>
      <c r="J8928" t="s">
        <v>7933</v>
      </c>
      <c r="K8928" t="s">
        <v>1092</v>
      </c>
      <c r="M8928">
        <v>1.85</v>
      </c>
      <c r="N8928">
        <v>326</v>
      </c>
      <c r="O8928" t="s">
        <v>5</v>
      </c>
      <c r="Q8928" t="s">
        <v>6118</v>
      </c>
      <c r="R8928" t="s">
        <v>6720</v>
      </c>
      <c r="S8928" t="s">
        <v>961</v>
      </c>
    </row>
    <row r="8929" spans="1:19" x14ac:dyDescent="0.25">
      <c r="A8929" t="s">
        <v>59</v>
      </c>
      <c r="B8929" t="s">
        <v>60</v>
      </c>
      <c r="C8929" t="s">
        <v>32</v>
      </c>
      <c r="D8929" t="s">
        <v>953</v>
      </c>
      <c r="F8929" t="s">
        <v>35</v>
      </c>
      <c r="G8929" t="s">
        <v>35</v>
      </c>
      <c r="H8929" t="s">
        <v>35</v>
      </c>
      <c r="J8929" t="s">
        <v>7933</v>
      </c>
      <c r="K8929" t="s">
        <v>1092</v>
      </c>
      <c r="M8929">
        <v>1</v>
      </c>
      <c r="N8929">
        <v>52</v>
      </c>
      <c r="O8929" t="s">
        <v>52</v>
      </c>
      <c r="Q8929" t="s">
        <v>1230</v>
      </c>
      <c r="R8929" t="s">
        <v>6709</v>
      </c>
      <c r="S8929" t="s">
        <v>1022</v>
      </c>
    </row>
    <row r="8930" spans="1:19" x14ac:dyDescent="0.25">
      <c r="A8930" t="s">
        <v>30</v>
      </c>
      <c r="B8930" t="s">
        <v>31</v>
      </c>
      <c r="C8930" t="s">
        <v>32</v>
      </c>
      <c r="D8930" t="s">
        <v>953</v>
      </c>
      <c r="F8930" t="s">
        <v>35</v>
      </c>
      <c r="G8930" t="s">
        <v>35</v>
      </c>
      <c r="H8930" t="s">
        <v>35</v>
      </c>
      <c r="J8930" t="s">
        <v>7934</v>
      </c>
      <c r="K8930" t="s">
        <v>1092</v>
      </c>
      <c r="M8930">
        <v>9.99</v>
      </c>
      <c r="N8930">
        <v>25</v>
      </c>
      <c r="O8930" t="s">
        <v>46</v>
      </c>
      <c r="Q8930" t="s">
        <v>831</v>
      </c>
      <c r="R8930" t="s">
        <v>987</v>
      </c>
      <c r="S8930" t="s">
        <v>988</v>
      </c>
    </row>
    <row r="8931" spans="1:19" x14ac:dyDescent="0.25">
      <c r="A8931" t="s">
        <v>59</v>
      </c>
      <c r="B8931" t="s">
        <v>60</v>
      </c>
      <c r="C8931" t="s">
        <v>32</v>
      </c>
      <c r="D8931" t="s">
        <v>953</v>
      </c>
      <c r="F8931" t="s">
        <v>35</v>
      </c>
      <c r="G8931" t="s">
        <v>35</v>
      </c>
      <c r="H8931" t="s">
        <v>35</v>
      </c>
      <c r="J8931" t="s">
        <v>7934</v>
      </c>
      <c r="K8931" t="s">
        <v>1092</v>
      </c>
      <c r="M8931">
        <v>5</v>
      </c>
      <c r="N8931">
        <v>63</v>
      </c>
      <c r="O8931" t="s">
        <v>61</v>
      </c>
      <c r="Q8931" t="s">
        <v>423</v>
      </c>
      <c r="R8931" t="s">
        <v>987</v>
      </c>
      <c r="S8931" t="s">
        <v>988</v>
      </c>
    </row>
    <row r="8932" spans="1:19" x14ac:dyDescent="0.25">
      <c r="A8932" t="s">
        <v>59</v>
      </c>
      <c r="B8932" t="s">
        <v>31</v>
      </c>
      <c r="C8932" t="s">
        <v>32</v>
      </c>
      <c r="D8932" t="s">
        <v>953</v>
      </c>
      <c r="F8932" t="s">
        <v>35</v>
      </c>
      <c r="G8932" t="s">
        <v>35</v>
      </c>
      <c r="H8932" t="s">
        <v>35</v>
      </c>
      <c r="J8932" t="s">
        <v>7934</v>
      </c>
      <c r="K8932" t="s">
        <v>1092</v>
      </c>
      <c r="M8932">
        <v>2.25</v>
      </c>
      <c r="N8932">
        <v>93</v>
      </c>
      <c r="O8932" t="s">
        <v>106</v>
      </c>
      <c r="Q8932" t="s">
        <v>941</v>
      </c>
      <c r="R8932" t="s">
        <v>987</v>
      </c>
      <c r="S8932" t="s">
        <v>988</v>
      </c>
    </row>
    <row r="8933" spans="1:19" x14ac:dyDescent="0.25">
      <c r="A8933" t="s">
        <v>59</v>
      </c>
      <c r="B8933" t="s">
        <v>60</v>
      </c>
      <c r="C8933" t="s">
        <v>32</v>
      </c>
      <c r="D8933" t="s">
        <v>953</v>
      </c>
      <c r="F8933" t="s">
        <v>35</v>
      </c>
      <c r="G8933" t="s">
        <v>35</v>
      </c>
      <c r="H8933" t="s">
        <v>35</v>
      </c>
      <c r="J8933" t="s">
        <v>7934</v>
      </c>
      <c r="K8933" t="s">
        <v>1092</v>
      </c>
      <c r="M8933">
        <v>5.3</v>
      </c>
      <c r="N8933">
        <v>93</v>
      </c>
      <c r="O8933" t="s">
        <v>106</v>
      </c>
      <c r="Q8933" t="s">
        <v>941</v>
      </c>
      <c r="R8933" t="s">
        <v>987</v>
      </c>
      <c r="S8933" t="s">
        <v>988</v>
      </c>
    </row>
    <row r="8934" spans="1:19" x14ac:dyDescent="0.25">
      <c r="A8934" t="s">
        <v>59</v>
      </c>
      <c r="B8934" t="s">
        <v>31</v>
      </c>
      <c r="C8934" t="s">
        <v>32</v>
      </c>
      <c r="D8934" t="s">
        <v>953</v>
      </c>
      <c r="F8934" t="s">
        <v>35</v>
      </c>
      <c r="G8934" t="s">
        <v>35</v>
      </c>
      <c r="H8934" t="s">
        <v>35</v>
      </c>
      <c r="J8934" t="s">
        <v>7934</v>
      </c>
      <c r="K8934" t="s">
        <v>1092</v>
      </c>
      <c r="M8934">
        <v>4.9950000000000001</v>
      </c>
      <c r="N8934">
        <v>63</v>
      </c>
      <c r="O8934" t="s">
        <v>61</v>
      </c>
      <c r="Q8934" t="s">
        <v>423</v>
      </c>
      <c r="R8934" t="s">
        <v>987</v>
      </c>
      <c r="S8934" t="s">
        <v>988</v>
      </c>
    </row>
    <row r="8935" spans="1:19" x14ac:dyDescent="0.25">
      <c r="A8935" t="s">
        <v>59</v>
      </c>
      <c r="B8935" t="s">
        <v>31</v>
      </c>
      <c r="C8935" t="s">
        <v>32</v>
      </c>
      <c r="D8935" t="s">
        <v>953</v>
      </c>
      <c r="F8935" t="s">
        <v>35</v>
      </c>
      <c r="G8935" t="s">
        <v>35</v>
      </c>
      <c r="H8935" t="s">
        <v>35</v>
      </c>
      <c r="J8935" t="s">
        <v>7935</v>
      </c>
      <c r="K8935" t="s">
        <v>1092</v>
      </c>
      <c r="M8935">
        <v>4.0949999999999998</v>
      </c>
      <c r="N8935">
        <v>62</v>
      </c>
      <c r="O8935" t="s">
        <v>61</v>
      </c>
      <c r="Q8935" t="s">
        <v>90</v>
      </c>
      <c r="R8935" t="s">
        <v>6742</v>
      </c>
      <c r="S8935" t="s">
        <v>1016</v>
      </c>
    </row>
    <row r="8936" spans="1:19" x14ac:dyDescent="0.25">
      <c r="A8936" t="s">
        <v>44</v>
      </c>
      <c r="B8936" t="s">
        <v>3</v>
      </c>
      <c r="C8936" t="s">
        <v>32</v>
      </c>
      <c r="D8936" t="s">
        <v>953</v>
      </c>
      <c r="F8936" t="s">
        <v>35</v>
      </c>
      <c r="G8936" t="s">
        <v>35</v>
      </c>
      <c r="H8936" t="s">
        <v>35</v>
      </c>
      <c r="J8936" t="s">
        <v>7935</v>
      </c>
      <c r="K8936" t="s">
        <v>1092</v>
      </c>
      <c r="M8936">
        <v>5</v>
      </c>
      <c r="N8936">
        <v>54</v>
      </c>
      <c r="O8936" t="s">
        <v>52</v>
      </c>
      <c r="Q8936" t="s">
        <v>1207</v>
      </c>
      <c r="R8936" t="s">
        <v>6807</v>
      </c>
      <c r="S8936" t="s">
        <v>1066</v>
      </c>
    </row>
    <row r="8937" spans="1:19" x14ac:dyDescent="0.25">
      <c r="A8937" t="s">
        <v>59</v>
      </c>
      <c r="B8937" t="s">
        <v>60</v>
      </c>
      <c r="C8937" t="s">
        <v>32</v>
      </c>
      <c r="D8937" t="s">
        <v>953</v>
      </c>
      <c r="F8937" t="s">
        <v>35</v>
      </c>
      <c r="G8937" t="s">
        <v>35</v>
      </c>
      <c r="H8937" t="s">
        <v>35</v>
      </c>
      <c r="J8937" t="s">
        <v>7935</v>
      </c>
      <c r="K8937" t="s">
        <v>1092</v>
      </c>
      <c r="M8937">
        <v>1.9</v>
      </c>
      <c r="N8937">
        <v>92</v>
      </c>
      <c r="O8937" t="s">
        <v>106</v>
      </c>
      <c r="Q8937" t="s">
        <v>1100</v>
      </c>
      <c r="R8937" t="s">
        <v>6721</v>
      </c>
      <c r="S8937" t="s">
        <v>1078</v>
      </c>
    </row>
    <row r="8938" spans="1:19" x14ac:dyDescent="0.25">
      <c r="A8938" t="s">
        <v>59</v>
      </c>
      <c r="B8938" t="s">
        <v>31</v>
      </c>
      <c r="C8938" t="s">
        <v>32</v>
      </c>
      <c r="D8938" t="s">
        <v>953</v>
      </c>
      <c r="F8938" t="s">
        <v>35</v>
      </c>
      <c r="G8938" t="s">
        <v>35</v>
      </c>
      <c r="H8938" t="s">
        <v>35</v>
      </c>
      <c r="J8938" t="s">
        <v>7936</v>
      </c>
      <c r="K8938" t="s">
        <v>1092</v>
      </c>
      <c r="M8938">
        <v>0.45</v>
      </c>
      <c r="N8938">
        <v>62</v>
      </c>
      <c r="O8938" t="s">
        <v>61</v>
      </c>
      <c r="Q8938" t="s">
        <v>90</v>
      </c>
      <c r="R8938" t="s">
        <v>6707</v>
      </c>
      <c r="S8938" t="s">
        <v>955</v>
      </c>
    </row>
    <row r="8939" spans="1:19" x14ac:dyDescent="0.25">
      <c r="A8939" t="s">
        <v>59</v>
      </c>
      <c r="B8939" t="s">
        <v>31</v>
      </c>
      <c r="C8939" t="s">
        <v>32</v>
      </c>
      <c r="D8939" t="s">
        <v>953</v>
      </c>
      <c r="F8939" t="s">
        <v>35</v>
      </c>
      <c r="G8939" t="s">
        <v>35</v>
      </c>
      <c r="H8939" t="s">
        <v>35</v>
      </c>
      <c r="J8939" t="s">
        <v>7936</v>
      </c>
      <c r="K8939" t="s">
        <v>1092</v>
      </c>
      <c r="M8939">
        <v>0.02</v>
      </c>
      <c r="N8939">
        <v>310</v>
      </c>
      <c r="O8939" t="s">
        <v>5</v>
      </c>
      <c r="Q8939" t="s">
        <v>168</v>
      </c>
      <c r="R8939" t="s">
        <v>6707</v>
      </c>
      <c r="S8939" t="s">
        <v>955</v>
      </c>
    </row>
    <row r="8940" spans="1:19" x14ac:dyDescent="0.25">
      <c r="A8940" t="s">
        <v>59</v>
      </c>
      <c r="B8940" t="s">
        <v>60</v>
      </c>
      <c r="C8940" t="s">
        <v>32</v>
      </c>
      <c r="D8940" t="s">
        <v>953</v>
      </c>
      <c r="F8940" t="s">
        <v>35</v>
      </c>
      <c r="G8940" t="s">
        <v>35</v>
      </c>
      <c r="H8940" t="s">
        <v>35</v>
      </c>
      <c r="J8940" t="s">
        <v>7936</v>
      </c>
      <c r="K8940" t="s">
        <v>1092</v>
      </c>
      <c r="M8940">
        <v>0.05</v>
      </c>
      <c r="N8940">
        <v>235</v>
      </c>
      <c r="O8940" t="s">
        <v>5</v>
      </c>
      <c r="Q8940" t="s">
        <v>4942</v>
      </c>
      <c r="R8940" t="s">
        <v>6707</v>
      </c>
      <c r="S8940" t="s">
        <v>955</v>
      </c>
    </row>
    <row r="8941" spans="1:19" x14ac:dyDescent="0.25">
      <c r="A8941" t="s">
        <v>59</v>
      </c>
      <c r="B8941" t="s">
        <v>31</v>
      </c>
      <c r="C8941" t="s">
        <v>32</v>
      </c>
      <c r="D8941" t="s">
        <v>953</v>
      </c>
      <c r="F8941" t="s">
        <v>35</v>
      </c>
      <c r="G8941" t="s">
        <v>35</v>
      </c>
      <c r="H8941" t="s">
        <v>35</v>
      </c>
      <c r="J8941" t="s">
        <v>7936</v>
      </c>
      <c r="K8941" t="s">
        <v>1092</v>
      </c>
      <c r="M8941">
        <v>1.8</v>
      </c>
      <c r="N8941">
        <v>91</v>
      </c>
      <c r="O8941" t="s">
        <v>106</v>
      </c>
      <c r="Q8941" t="s">
        <v>1147</v>
      </c>
      <c r="R8941" t="s">
        <v>6707</v>
      </c>
      <c r="S8941" t="s">
        <v>955</v>
      </c>
    </row>
    <row r="8942" spans="1:19" x14ac:dyDescent="0.25">
      <c r="A8942" t="s">
        <v>59</v>
      </c>
      <c r="B8942" t="s">
        <v>60</v>
      </c>
      <c r="C8942" t="s">
        <v>32</v>
      </c>
      <c r="D8942" t="s">
        <v>953</v>
      </c>
      <c r="F8942" t="s">
        <v>35</v>
      </c>
      <c r="G8942" t="s">
        <v>35</v>
      </c>
      <c r="H8942" t="s">
        <v>35</v>
      </c>
      <c r="J8942" t="s">
        <v>7937</v>
      </c>
      <c r="K8942" t="s">
        <v>1092</v>
      </c>
      <c r="M8942">
        <v>0.5</v>
      </c>
      <c r="N8942">
        <v>1139</v>
      </c>
      <c r="O8942" t="s">
        <v>575</v>
      </c>
      <c r="Q8942" t="s">
        <v>7939</v>
      </c>
      <c r="R8942" t="s">
        <v>6720</v>
      </c>
      <c r="S8942" t="s">
        <v>961</v>
      </c>
    </row>
    <row r="8943" spans="1:19" x14ac:dyDescent="0.25">
      <c r="A8943" t="s">
        <v>59</v>
      </c>
      <c r="B8943" t="s">
        <v>31</v>
      </c>
      <c r="C8943" t="s">
        <v>32</v>
      </c>
      <c r="D8943" t="s">
        <v>953</v>
      </c>
      <c r="F8943" t="s">
        <v>35</v>
      </c>
      <c r="G8943" t="s">
        <v>35</v>
      </c>
      <c r="H8943" t="s">
        <v>35</v>
      </c>
      <c r="J8943" t="s">
        <v>7937</v>
      </c>
      <c r="K8943" t="s">
        <v>1092</v>
      </c>
      <c r="M8943">
        <v>4.41</v>
      </c>
      <c r="N8943">
        <v>1153</v>
      </c>
      <c r="O8943" t="s">
        <v>575</v>
      </c>
      <c r="Q8943" t="s">
        <v>7923</v>
      </c>
      <c r="R8943" t="s">
        <v>6877</v>
      </c>
      <c r="S8943" t="s">
        <v>1041</v>
      </c>
    </row>
    <row r="8944" spans="1:19" x14ac:dyDescent="0.25">
      <c r="A8944" t="s">
        <v>59</v>
      </c>
      <c r="B8944" t="s">
        <v>60</v>
      </c>
      <c r="C8944" t="s">
        <v>32</v>
      </c>
      <c r="D8944" t="s">
        <v>953</v>
      </c>
      <c r="F8944" t="s">
        <v>35</v>
      </c>
      <c r="G8944" t="s">
        <v>35</v>
      </c>
      <c r="H8944" t="s">
        <v>35</v>
      </c>
      <c r="J8944" t="s">
        <v>7937</v>
      </c>
      <c r="K8944" t="s">
        <v>1092</v>
      </c>
      <c r="M8944">
        <v>0.45</v>
      </c>
      <c r="N8944">
        <v>1215</v>
      </c>
      <c r="O8944" t="s">
        <v>575</v>
      </c>
      <c r="Q8944" t="s">
        <v>7938</v>
      </c>
      <c r="R8944" t="s">
        <v>6720</v>
      </c>
      <c r="S8944" t="s">
        <v>961</v>
      </c>
    </row>
    <row r="8945" spans="1:19" x14ac:dyDescent="0.25">
      <c r="A8945" t="s">
        <v>30</v>
      </c>
      <c r="B8945" t="s">
        <v>31</v>
      </c>
      <c r="C8945" t="s">
        <v>32</v>
      </c>
      <c r="D8945" t="s">
        <v>953</v>
      </c>
      <c r="F8945" t="s">
        <v>35</v>
      </c>
      <c r="G8945" t="s">
        <v>35</v>
      </c>
      <c r="H8945" t="s">
        <v>35</v>
      </c>
      <c r="J8945" t="s">
        <v>7940</v>
      </c>
      <c r="K8945" t="s">
        <v>1092</v>
      </c>
      <c r="M8945">
        <v>4.3650000000000002</v>
      </c>
      <c r="N8945">
        <v>1164</v>
      </c>
      <c r="O8945" t="s">
        <v>575</v>
      </c>
      <c r="Q8945" t="s">
        <v>2754</v>
      </c>
      <c r="R8945" t="s">
        <v>133</v>
      </c>
      <c r="S8945" t="s">
        <v>134</v>
      </c>
    </row>
    <row r="8946" spans="1:19" x14ac:dyDescent="0.25">
      <c r="A8946" t="s">
        <v>59</v>
      </c>
      <c r="B8946" t="s">
        <v>60</v>
      </c>
      <c r="C8946" t="s">
        <v>32</v>
      </c>
      <c r="D8946" t="s">
        <v>953</v>
      </c>
      <c r="F8946" t="s">
        <v>35</v>
      </c>
      <c r="G8946" t="s">
        <v>35</v>
      </c>
      <c r="H8946" t="s">
        <v>35</v>
      </c>
      <c r="J8946" t="s">
        <v>7940</v>
      </c>
      <c r="K8946" t="s">
        <v>1092</v>
      </c>
      <c r="M8946">
        <v>0.1</v>
      </c>
      <c r="N8946">
        <v>1210</v>
      </c>
      <c r="O8946" t="s">
        <v>575</v>
      </c>
      <c r="Q8946" t="s">
        <v>2291</v>
      </c>
      <c r="R8946" t="s">
        <v>6716</v>
      </c>
      <c r="S8946" t="s">
        <v>6717</v>
      </c>
    </row>
    <row r="8947" spans="1:19" x14ac:dyDescent="0.25">
      <c r="A8947" t="s">
        <v>59</v>
      </c>
      <c r="B8947" t="s">
        <v>31</v>
      </c>
      <c r="C8947" t="s">
        <v>32</v>
      </c>
      <c r="D8947" t="s">
        <v>953</v>
      </c>
      <c r="F8947" t="s">
        <v>35</v>
      </c>
      <c r="G8947" t="s">
        <v>35</v>
      </c>
      <c r="H8947" t="s">
        <v>35</v>
      </c>
      <c r="J8947" t="s">
        <v>7940</v>
      </c>
      <c r="K8947" t="s">
        <v>1092</v>
      </c>
      <c r="M8947">
        <v>3.1949999999999998</v>
      </c>
      <c r="N8947">
        <v>1175</v>
      </c>
      <c r="O8947" t="s">
        <v>575</v>
      </c>
      <c r="Q8947" t="s">
        <v>7941</v>
      </c>
      <c r="R8947" t="s">
        <v>6716</v>
      </c>
      <c r="S8947" t="s">
        <v>6717</v>
      </c>
    </row>
    <row r="8948" spans="1:19" x14ac:dyDescent="0.25">
      <c r="A8948" t="s">
        <v>59</v>
      </c>
      <c r="B8948" t="s">
        <v>31</v>
      </c>
      <c r="C8948" t="s">
        <v>32</v>
      </c>
      <c r="D8948" t="s">
        <v>953</v>
      </c>
      <c r="F8948" t="s">
        <v>35</v>
      </c>
      <c r="G8948" t="s">
        <v>35</v>
      </c>
      <c r="H8948" t="s">
        <v>35</v>
      </c>
      <c r="J8948" t="s">
        <v>7940</v>
      </c>
      <c r="K8948" t="s">
        <v>1092</v>
      </c>
      <c r="M8948">
        <v>4.9950000000000001</v>
      </c>
      <c r="N8948">
        <v>1158</v>
      </c>
      <c r="O8948" t="s">
        <v>575</v>
      </c>
      <c r="Q8948" t="s">
        <v>7942</v>
      </c>
      <c r="R8948" t="s">
        <v>6899</v>
      </c>
      <c r="S8948" t="s">
        <v>6900</v>
      </c>
    </row>
    <row r="8949" spans="1:19" x14ac:dyDescent="0.25">
      <c r="A8949" t="s">
        <v>59</v>
      </c>
      <c r="B8949" t="s">
        <v>60</v>
      </c>
      <c r="C8949" t="s">
        <v>32</v>
      </c>
      <c r="D8949" t="s">
        <v>953</v>
      </c>
      <c r="F8949" t="s">
        <v>35</v>
      </c>
      <c r="G8949" t="s">
        <v>35</v>
      </c>
      <c r="H8949" t="s">
        <v>35</v>
      </c>
      <c r="J8949" t="s">
        <v>7943</v>
      </c>
      <c r="K8949" t="s">
        <v>1092</v>
      </c>
      <c r="M8949">
        <v>2.5</v>
      </c>
      <c r="N8949">
        <v>2345</v>
      </c>
      <c r="O8949" t="s">
        <v>575</v>
      </c>
      <c r="Q8949" t="s">
        <v>7944</v>
      </c>
      <c r="R8949" t="s">
        <v>6847</v>
      </c>
      <c r="S8949" t="s">
        <v>1034</v>
      </c>
    </row>
    <row r="8950" spans="1:19" x14ac:dyDescent="0.25">
      <c r="A8950" t="s">
        <v>44</v>
      </c>
      <c r="B8950" t="s">
        <v>3</v>
      </c>
      <c r="C8950" t="s">
        <v>32</v>
      </c>
      <c r="D8950" t="s">
        <v>953</v>
      </c>
      <c r="F8950" t="s">
        <v>35</v>
      </c>
      <c r="G8950" t="s">
        <v>35</v>
      </c>
      <c r="H8950" t="s">
        <v>35</v>
      </c>
      <c r="J8950" t="s">
        <v>7945</v>
      </c>
      <c r="K8950" t="s">
        <v>1092</v>
      </c>
      <c r="M8950">
        <v>2.5</v>
      </c>
      <c r="N8950">
        <v>62</v>
      </c>
      <c r="O8950" t="s">
        <v>61</v>
      </c>
      <c r="Q8950" t="s">
        <v>90</v>
      </c>
      <c r="R8950" t="s">
        <v>6709</v>
      </c>
      <c r="S8950" t="s">
        <v>1022</v>
      </c>
    </row>
    <row r="8951" spans="1:19" x14ac:dyDescent="0.25">
      <c r="A8951" t="s">
        <v>59</v>
      </c>
      <c r="B8951" t="s">
        <v>60</v>
      </c>
      <c r="C8951" t="s">
        <v>32</v>
      </c>
      <c r="D8951" t="s">
        <v>953</v>
      </c>
      <c r="F8951" t="s">
        <v>35</v>
      </c>
      <c r="G8951" t="s">
        <v>35</v>
      </c>
      <c r="H8951" t="s">
        <v>35</v>
      </c>
      <c r="J8951" t="s">
        <v>7945</v>
      </c>
      <c r="K8951" t="s">
        <v>1092</v>
      </c>
      <c r="M8951">
        <v>2.5</v>
      </c>
      <c r="N8951">
        <v>59</v>
      </c>
      <c r="O8951" t="s">
        <v>52</v>
      </c>
      <c r="Q8951" t="s">
        <v>84</v>
      </c>
      <c r="R8951" t="s">
        <v>6709</v>
      </c>
      <c r="S8951" t="s">
        <v>1022</v>
      </c>
    </row>
    <row r="8952" spans="1:19" x14ac:dyDescent="0.25">
      <c r="A8952" t="s">
        <v>30</v>
      </c>
      <c r="B8952" t="s">
        <v>31</v>
      </c>
      <c r="C8952" t="s">
        <v>32</v>
      </c>
      <c r="D8952" t="s">
        <v>953</v>
      </c>
      <c r="F8952" t="s">
        <v>35</v>
      </c>
      <c r="G8952" t="s">
        <v>35</v>
      </c>
      <c r="H8952" t="s">
        <v>35</v>
      </c>
      <c r="J8952" t="s">
        <v>7945</v>
      </c>
      <c r="K8952" t="s">
        <v>1092</v>
      </c>
      <c r="M8952">
        <v>0.13500000000000001</v>
      </c>
      <c r="N8952">
        <v>277</v>
      </c>
      <c r="O8952" t="s">
        <v>5</v>
      </c>
      <c r="Q8952" t="s">
        <v>5812</v>
      </c>
      <c r="R8952" t="s">
        <v>6709</v>
      </c>
      <c r="S8952" t="s">
        <v>1022</v>
      </c>
    </row>
    <row r="8953" spans="1:19" x14ac:dyDescent="0.25">
      <c r="A8953" t="s">
        <v>59</v>
      </c>
      <c r="B8953" t="s">
        <v>31</v>
      </c>
      <c r="C8953" t="s">
        <v>32</v>
      </c>
      <c r="D8953" t="s">
        <v>953</v>
      </c>
      <c r="F8953" t="s">
        <v>35</v>
      </c>
      <c r="G8953" t="s">
        <v>35</v>
      </c>
      <c r="H8953" t="s">
        <v>35</v>
      </c>
      <c r="J8953" t="s">
        <v>7945</v>
      </c>
      <c r="K8953" t="s">
        <v>1092</v>
      </c>
      <c r="M8953">
        <v>2.52</v>
      </c>
      <c r="N8953">
        <v>146</v>
      </c>
      <c r="O8953" t="s">
        <v>38</v>
      </c>
      <c r="Q8953" t="s">
        <v>1335</v>
      </c>
      <c r="R8953" t="s">
        <v>6709</v>
      </c>
      <c r="S8953" t="s">
        <v>1022</v>
      </c>
    </row>
    <row r="8954" spans="1:19" x14ac:dyDescent="0.25">
      <c r="A8954" t="s">
        <v>59</v>
      </c>
      <c r="B8954" t="s">
        <v>31</v>
      </c>
      <c r="C8954" t="s">
        <v>32</v>
      </c>
      <c r="D8954" t="s">
        <v>953</v>
      </c>
      <c r="F8954" t="s">
        <v>35</v>
      </c>
      <c r="G8954" t="s">
        <v>35</v>
      </c>
      <c r="H8954" t="s">
        <v>35</v>
      </c>
      <c r="J8954" t="s">
        <v>7945</v>
      </c>
      <c r="K8954" t="s">
        <v>1092</v>
      </c>
      <c r="M8954">
        <v>4.9950000000000001</v>
      </c>
      <c r="N8954">
        <v>175</v>
      </c>
      <c r="O8954" t="s">
        <v>38</v>
      </c>
      <c r="Q8954" t="s">
        <v>1692</v>
      </c>
      <c r="R8954" t="s">
        <v>6709</v>
      </c>
      <c r="S8954" t="s">
        <v>1022</v>
      </c>
    </row>
    <row r="8955" spans="1:19" x14ac:dyDescent="0.25">
      <c r="A8955" t="s">
        <v>59</v>
      </c>
      <c r="B8955" t="s">
        <v>60</v>
      </c>
      <c r="C8955" t="s">
        <v>32</v>
      </c>
      <c r="D8955" t="s">
        <v>953</v>
      </c>
      <c r="F8955" t="s">
        <v>35</v>
      </c>
      <c r="G8955" t="s">
        <v>35</v>
      </c>
      <c r="H8955" t="s">
        <v>35</v>
      </c>
      <c r="J8955" t="s">
        <v>7945</v>
      </c>
      <c r="K8955" t="s">
        <v>1092</v>
      </c>
      <c r="M8955">
        <v>0.1</v>
      </c>
      <c r="N8955">
        <v>91</v>
      </c>
      <c r="O8955" t="s">
        <v>106</v>
      </c>
      <c r="Q8955" t="s">
        <v>1147</v>
      </c>
      <c r="R8955" t="s">
        <v>6709</v>
      </c>
      <c r="S8955" t="s">
        <v>1022</v>
      </c>
    </row>
    <row r="8956" spans="1:19" x14ac:dyDescent="0.25">
      <c r="A8956" t="s">
        <v>59</v>
      </c>
      <c r="B8956" t="s">
        <v>31</v>
      </c>
      <c r="C8956" t="s">
        <v>32</v>
      </c>
      <c r="D8956" t="s">
        <v>953</v>
      </c>
      <c r="F8956" t="s">
        <v>35</v>
      </c>
      <c r="G8956" t="s">
        <v>35</v>
      </c>
      <c r="H8956" t="s">
        <v>35</v>
      </c>
      <c r="J8956" t="s">
        <v>7945</v>
      </c>
      <c r="K8956" t="s">
        <v>1092</v>
      </c>
      <c r="M8956">
        <v>1.89</v>
      </c>
      <c r="N8956">
        <v>402</v>
      </c>
      <c r="O8956" t="s">
        <v>294</v>
      </c>
      <c r="Q8956" t="s">
        <v>1369</v>
      </c>
      <c r="R8956" t="s">
        <v>6709</v>
      </c>
      <c r="S8956" t="s">
        <v>1022</v>
      </c>
    </row>
    <row r="8957" spans="1:19" x14ac:dyDescent="0.25">
      <c r="A8957" t="s">
        <v>44</v>
      </c>
      <c r="B8957" t="s">
        <v>3</v>
      </c>
      <c r="C8957" t="s">
        <v>32</v>
      </c>
      <c r="D8957" t="s">
        <v>953</v>
      </c>
      <c r="F8957" t="s">
        <v>35</v>
      </c>
      <c r="G8957" t="s">
        <v>35</v>
      </c>
      <c r="H8957" t="s">
        <v>35</v>
      </c>
      <c r="J8957" t="s">
        <v>7946</v>
      </c>
      <c r="K8957" t="s">
        <v>1092</v>
      </c>
      <c r="M8957">
        <v>0.35</v>
      </c>
      <c r="N8957">
        <v>457</v>
      </c>
      <c r="O8957" t="s">
        <v>294</v>
      </c>
      <c r="Q8957" t="s">
        <v>2104</v>
      </c>
      <c r="R8957" t="s">
        <v>6891</v>
      </c>
      <c r="S8957" t="s">
        <v>1085</v>
      </c>
    </row>
    <row r="8958" spans="1:19" x14ac:dyDescent="0.25">
      <c r="A8958" t="s">
        <v>59</v>
      </c>
      <c r="B8958" t="s">
        <v>31</v>
      </c>
      <c r="C8958" t="s">
        <v>32</v>
      </c>
      <c r="D8958" t="s">
        <v>953</v>
      </c>
      <c r="F8958" t="s">
        <v>35</v>
      </c>
      <c r="G8958" t="s">
        <v>35</v>
      </c>
      <c r="H8958" t="s">
        <v>35</v>
      </c>
      <c r="J8958" t="s">
        <v>7946</v>
      </c>
      <c r="K8958" t="s">
        <v>1092</v>
      </c>
      <c r="M8958">
        <v>7.0000000000000007E-2</v>
      </c>
      <c r="N8958">
        <v>457</v>
      </c>
      <c r="O8958" t="s">
        <v>294</v>
      </c>
      <c r="Q8958" t="s">
        <v>2104</v>
      </c>
      <c r="R8958" t="s">
        <v>6891</v>
      </c>
      <c r="S8958" t="s">
        <v>1085</v>
      </c>
    </row>
    <row r="8959" spans="1:19" x14ac:dyDescent="0.25">
      <c r="A8959" t="s">
        <v>59</v>
      </c>
      <c r="B8959" t="s">
        <v>60</v>
      </c>
      <c r="C8959" t="s">
        <v>32</v>
      </c>
      <c r="D8959" t="s">
        <v>953</v>
      </c>
      <c r="F8959" t="s">
        <v>35</v>
      </c>
      <c r="G8959" t="s">
        <v>35</v>
      </c>
      <c r="H8959" t="s">
        <v>35</v>
      </c>
      <c r="J8959" t="s">
        <v>7947</v>
      </c>
      <c r="K8959" t="s">
        <v>1092</v>
      </c>
      <c r="M8959">
        <v>0.75</v>
      </c>
      <c r="N8959">
        <v>78</v>
      </c>
      <c r="O8959" t="s">
        <v>61</v>
      </c>
      <c r="Q8959" t="s">
        <v>4851</v>
      </c>
      <c r="R8959" t="s">
        <v>6891</v>
      </c>
      <c r="S8959" t="s">
        <v>1085</v>
      </c>
    </row>
    <row r="8960" spans="1:19" x14ac:dyDescent="0.25">
      <c r="A8960" t="s">
        <v>59</v>
      </c>
      <c r="B8960" t="s">
        <v>60</v>
      </c>
      <c r="C8960" t="s">
        <v>32</v>
      </c>
      <c r="D8960" t="s">
        <v>953</v>
      </c>
      <c r="F8960" t="s">
        <v>35</v>
      </c>
      <c r="G8960" t="s">
        <v>35</v>
      </c>
      <c r="H8960" t="s">
        <v>35</v>
      </c>
      <c r="J8960" t="s">
        <v>7947</v>
      </c>
      <c r="K8960" t="s">
        <v>1092</v>
      </c>
      <c r="M8960">
        <v>0.25</v>
      </c>
      <c r="N8960">
        <v>63</v>
      </c>
      <c r="O8960" t="s">
        <v>61</v>
      </c>
      <c r="Q8960" t="s">
        <v>423</v>
      </c>
      <c r="R8960" t="s">
        <v>6891</v>
      </c>
      <c r="S8960" t="s">
        <v>1085</v>
      </c>
    </row>
    <row r="8961" spans="1:19" x14ac:dyDescent="0.25">
      <c r="A8961" t="s">
        <v>59</v>
      </c>
      <c r="B8961" t="s">
        <v>60</v>
      </c>
      <c r="C8961" t="s">
        <v>32</v>
      </c>
      <c r="D8961" t="s">
        <v>953</v>
      </c>
      <c r="F8961" t="s">
        <v>35</v>
      </c>
      <c r="G8961" t="s">
        <v>35</v>
      </c>
      <c r="H8961" t="s">
        <v>35</v>
      </c>
      <c r="J8961" t="s">
        <v>7947</v>
      </c>
      <c r="K8961" t="s">
        <v>1092</v>
      </c>
      <c r="M8961">
        <v>0.5</v>
      </c>
      <c r="N8961">
        <v>52</v>
      </c>
      <c r="O8961" t="s">
        <v>52</v>
      </c>
      <c r="Q8961" t="s">
        <v>1230</v>
      </c>
      <c r="R8961" t="s">
        <v>6891</v>
      </c>
      <c r="S8961" t="s">
        <v>1085</v>
      </c>
    </row>
    <row r="8962" spans="1:19" x14ac:dyDescent="0.25">
      <c r="A8962" t="s">
        <v>59</v>
      </c>
      <c r="B8962" t="s">
        <v>60</v>
      </c>
      <c r="C8962" t="s">
        <v>32</v>
      </c>
      <c r="D8962" t="s">
        <v>953</v>
      </c>
      <c r="F8962" t="s">
        <v>35</v>
      </c>
      <c r="G8962" t="s">
        <v>35</v>
      </c>
      <c r="H8962" t="s">
        <v>35</v>
      </c>
      <c r="J8962" t="s">
        <v>7947</v>
      </c>
      <c r="K8962" t="s">
        <v>1092</v>
      </c>
      <c r="M8962">
        <v>0.9</v>
      </c>
      <c r="N8962">
        <v>91</v>
      </c>
      <c r="O8962" t="s">
        <v>106</v>
      </c>
      <c r="Q8962" t="s">
        <v>1147</v>
      </c>
      <c r="R8962" t="s">
        <v>6891</v>
      </c>
      <c r="S8962" t="s">
        <v>1085</v>
      </c>
    </row>
    <row r="8963" spans="1:19" x14ac:dyDescent="0.25">
      <c r="A8963" t="s">
        <v>59</v>
      </c>
      <c r="B8963" t="s">
        <v>60</v>
      </c>
      <c r="C8963" t="s">
        <v>32</v>
      </c>
      <c r="D8963" t="s">
        <v>953</v>
      </c>
      <c r="F8963" t="s">
        <v>35</v>
      </c>
      <c r="G8963" t="s">
        <v>35</v>
      </c>
      <c r="H8963" t="s">
        <v>35</v>
      </c>
      <c r="J8963" t="s">
        <v>7948</v>
      </c>
      <c r="K8963" t="s">
        <v>1092</v>
      </c>
      <c r="M8963">
        <v>0.25</v>
      </c>
      <c r="N8963">
        <v>235</v>
      </c>
      <c r="O8963" t="s">
        <v>5</v>
      </c>
      <c r="Q8963" t="s">
        <v>4942</v>
      </c>
      <c r="R8963" t="s">
        <v>133</v>
      </c>
      <c r="S8963" t="s">
        <v>134</v>
      </c>
    </row>
    <row r="8964" spans="1:19" x14ac:dyDescent="0.25">
      <c r="A8964" t="s">
        <v>44</v>
      </c>
      <c r="B8964" t="s">
        <v>3</v>
      </c>
      <c r="C8964" t="s">
        <v>32</v>
      </c>
      <c r="D8964" t="s">
        <v>953</v>
      </c>
      <c r="F8964" t="s">
        <v>35</v>
      </c>
      <c r="G8964" t="s">
        <v>35</v>
      </c>
      <c r="H8964" t="s">
        <v>35</v>
      </c>
      <c r="J8964" t="s">
        <v>7949</v>
      </c>
      <c r="K8964" t="s">
        <v>1092</v>
      </c>
      <c r="M8964">
        <v>5</v>
      </c>
      <c r="N8964">
        <v>65</v>
      </c>
      <c r="O8964" t="s">
        <v>61</v>
      </c>
      <c r="Q8964" t="s">
        <v>128</v>
      </c>
      <c r="R8964" t="s">
        <v>6847</v>
      </c>
      <c r="S8964" t="s">
        <v>1034</v>
      </c>
    </row>
    <row r="8965" spans="1:19" x14ac:dyDescent="0.25">
      <c r="A8965" t="s">
        <v>30</v>
      </c>
      <c r="B8965" t="s">
        <v>31</v>
      </c>
      <c r="C8965" t="s">
        <v>32</v>
      </c>
      <c r="D8965" t="s">
        <v>953</v>
      </c>
      <c r="F8965" t="s">
        <v>35</v>
      </c>
      <c r="G8965" t="s">
        <v>35</v>
      </c>
      <c r="H8965" t="s">
        <v>35</v>
      </c>
      <c r="J8965" t="s">
        <v>7949</v>
      </c>
      <c r="K8965" t="s">
        <v>1092</v>
      </c>
      <c r="M8965">
        <v>10.98</v>
      </c>
      <c r="N8965">
        <v>48</v>
      </c>
      <c r="O8965" t="s">
        <v>52</v>
      </c>
      <c r="Q8965" t="s">
        <v>496</v>
      </c>
      <c r="R8965" t="s">
        <v>6742</v>
      </c>
      <c r="S8965" t="s">
        <v>1016</v>
      </c>
    </row>
    <row r="8966" spans="1:19" x14ac:dyDescent="0.25">
      <c r="A8966" t="s">
        <v>59</v>
      </c>
      <c r="B8966" t="s">
        <v>60</v>
      </c>
      <c r="C8966" t="s">
        <v>32</v>
      </c>
      <c r="D8966" t="s">
        <v>953</v>
      </c>
      <c r="F8966" t="s">
        <v>35</v>
      </c>
      <c r="G8966" t="s">
        <v>35</v>
      </c>
      <c r="H8966" t="s">
        <v>35</v>
      </c>
      <c r="J8966" t="s">
        <v>7949</v>
      </c>
      <c r="K8966" t="s">
        <v>1092</v>
      </c>
      <c r="M8966">
        <v>0.5</v>
      </c>
      <c r="N8966">
        <v>132</v>
      </c>
      <c r="O8966" t="s">
        <v>38</v>
      </c>
      <c r="Q8966" t="s">
        <v>2901</v>
      </c>
      <c r="R8966" t="s">
        <v>6847</v>
      </c>
      <c r="S8966" t="s">
        <v>1034</v>
      </c>
    </row>
    <row r="8967" spans="1:19" x14ac:dyDescent="0.25">
      <c r="A8967" t="s">
        <v>59</v>
      </c>
      <c r="B8967" t="s">
        <v>60</v>
      </c>
      <c r="C8967" t="s">
        <v>32</v>
      </c>
      <c r="D8967" t="s">
        <v>953</v>
      </c>
      <c r="F8967" t="s">
        <v>35</v>
      </c>
      <c r="G8967" t="s">
        <v>35</v>
      </c>
      <c r="H8967" t="s">
        <v>35</v>
      </c>
      <c r="J8967" t="s">
        <v>7949</v>
      </c>
      <c r="K8967" t="s">
        <v>1092</v>
      </c>
      <c r="M8967">
        <v>1</v>
      </c>
      <c r="N8967">
        <v>90</v>
      </c>
      <c r="O8967" t="s">
        <v>61</v>
      </c>
      <c r="Q8967" t="s">
        <v>897</v>
      </c>
      <c r="R8967" t="s">
        <v>6847</v>
      </c>
      <c r="S8967" t="s">
        <v>1034</v>
      </c>
    </row>
    <row r="8968" spans="1:19" x14ac:dyDescent="0.25">
      <c r="A8968" t="s">
        <v>59</v>
      </c>
      <c r="B8968" t="s">
        <v>60</v>
      </c>
      <c r="C8968" t="s">
        <v>32</v>
      </c>
      <c r="D8968" t="s">
        <v>953</v>
      </c>
      <c r="F8968" t="s">
        <v>35</v>
      </c>
      <c r="G8968" t="s">
        <v>35</v>
      </c>
      <c r="H8968" t="s">
        <v>35</v>
      </c>
      <c r="J8968" t="s">
        <v>7949</v>
      </c>
      <c r="K8968" t="s">
        <v>1092</v>
      </c>
      <c r="M8968">
        <v>5</v>
      </c>
      <c r="N8968">
        <v>62</v>
      </c>
      <c r="O8968" t="s">
        <v>61</v>
      </c>
      <c r="Q8968" t="s">
        <v>90</v>
      </c>
      <c r="R8968" t="s">
        <v>6847</v>
      </c>
      <c r="S8968" t="s">
        <v>1034</v>
      </c>
    </row>
    <row r="8969" spans="1:19" x14ac:dyDescent="0.25">
      <c r="A8969" t="s">
        <v>44</v>
      </c>
      <c r="B8969" t="s">
        <v>51</v>
      </c>
      <c r="C8969" t="s">
        <v>32</v>
      </c>
      <c r="D8969" t="s">
        <v>953</v>
      </c>
      <c r="F8969" t="s">
        <v>35</v>
      </c>
      <c r="G8969" t="s">
        <v>35</v>
      </c>
      <c r="H8969" t="s">
        <v>35</v>
      </c>
      <c r="J8969" t="s">
        <v>7949</v>
      </c>
      <c r="K8969" t="s">
        <v>1092</v>
      </c>
      <c r="M8969">
        <v>1.5</v>
      </c>
      <c r="N8969">
        <v>214</v>
      </c>
      <c r="O8969" t="s">
        <v>5</v>
      </c>
      <c r="Q8969" t="s">
        <v>537</v>
      </c>
      <c r="R8969" t="s">
        <v>6847</v>
      </c>
      <c r="S8969" t="s">
        <v>1034</v>
      </c>
    </row>
    <row r="8970" spans="1:19" x14ac:dyDescent="0.25">
      <c r="A8970" t="s">
        <v>30</v>
      </c>
      <c r="B8970" t="s">
        <v>31</v>
      </c>
      <c r="C8970" t="s">
        <v>32</v>
      </c>
      <c r="D8970" t="s">
        <v>953</v>
      </c>
      <c r="F8970" t="s">
        <v>35</v>
      </c>
      <c r="G8970" t="s">
        <v>35</v>
      </c>
      <c r="H8970" t="s">
        <v>35</v>
      </c>
      <c r="J8970" t="s">
        <v>7949</v>
      </c>
      <c r="K8970" t="s">
        <v>1092</v>
      </c>
      <c r="M8970">
        <v>10.98</v>
      </c>
      <c r="N8970">
        <v>48</v>
      </c>
      <c r="O8970" t="s">
        <v>52</v>
      </c>
      <c r="Q8970" t="s">
        <v>496</v>
      </c>
      <c r="R8970" t="s">
        <v>6847</v>
      </c>
      <c r="S8970" t="s">
        <v>1034</v>
      </c>
    </row>
    <row r="8971" spans="1:19" x14ac:dyDescent="0.25">
      <c r="A8971" t="s">
        <v>59</v>
      </c>
      <c r="B8971" t="s">
        <v>60</v>
      </c>
      <c r="C8971" t="s">
        <v>32</v>
      </c>
      <c r="D8971" t="s">
        <v>953</v>
      </c>
      <c r="F8971" t="s">
        <v>35</v>
      </c>
      <c r="G8971" t="s">
        <v>35</v>
      </c>
      <c r="H8971" t="s">
        <v>35</v>
      </c>
      <c r="J8971" t="s">
        <v>7950</v>
      </c>
      <c r="K8971" t="s">
        <v>1092</v>
      </c>
      <c r="M8971">
        <v>0.6</v>
      </c>
      <c r="N8971">
        <v>2307</v>
      </c>
      <c r="O8971" t="s">
        <v>575</v>
      </c>
      <c r="Q8971" t="s">
        <v>2338</v>
      </c>
      <c r="R8971" t="s">
        <v>6847</v>
      </c>
      <c r="S8971" t="s">
        <v>1034</v>
      </c>
    </row>
    <row r="8972" spans="1:19" x14ac:dyDescent="0.25">
      <c r="A8972" t="s">
        <v>59</v>
      </c>
      <c r="B8972" t="s">
        <v>31</v>
      </c>
      <c r="C8972" t="s">
        <v>32</v>
      </c>
      <c r="D8972" t="s">
        <v>953</v>
      </c>
      <c r="F8972" t="s">
        <v>35</v>
      </c>
      <c r="G8972" t="s">
        <v>35</v>
      </c>
      <c r="H8972" t="s">
        <v>35</v>
      </c>
      <c r="J8972" t="s">
        <v>7951</v>
      </c>
      <c r="K8972" t="s">
        <v>1092</v>
      </c>
      <c r="M8972">
        <v>0.315</v>
      </c>
      <c r="N8972">
        <v>1245</v>
      </c>
      <c r="O8972" t="s">
        <v>575</v>
      </c>
      <c r="Q8972" t="s">
        <v>7952</v>
      </c>
      <c r="R8972" t="s">
        <v>6742</v>
      </c>
      <c r="S8972" t="s">
        <v>1016</v>
      </c>
    </row>
    <row r="8973" spans="1:19" x14ac:dyDescent="0.25">
      <c r="A8973" t="s">
        <v>30</v>
      </c>
      <c r="B8973" t="s">
        <v>31</v>
      </c>
      <c r="C8973" t="s">
        <v>32</v>
      </c>
      <c r="D8973" t="s">
        <v>953</v>
      </c>
      <c r="F8973" t="s">
        <v>35</v>
      </c>
      <c r="G8973" t="s">
        <v>35</v>
      </c>
      <c r="H8973" t="s">
        <v>35</v>
      </c>
      <c r="J8973" t="s">
        <v>7953</v>
      </c>
      <c r="K8973" t="s">
        <v>1092</v>
      </c>
      <c r="M8973">
        <v>2.3849999999999998</v>
      </c>
      <c r="N8973">
        <v>2072</v>
      </c>
      <c r="O8973" t="s">
        <v>575</v>
      </c>
      <c r="Q8973" t="s">
        <v>7954</v>
      </c>
      <c r="R8973" t="s">
        <v>7955</v>
      </c>
      <c r="S8973" t="s">
        <v>7956</v>
      </c>
    </row>
    <row r="8974" spans="1:19" x14ac:dyDescent="0.25">
      <c r="A8974" t="s">
        <v>59</v>
      </c>
      <c r="B8974" t="s">
        <v>60</v>
      </c>
      <c r="C8974" t="s">
        <v>32</v>
      </c>
      <c r="D8974" t="s">
        <v>953</v>
      </c>
      <c r="F8974" t="s">
        <v>35</v>
      </c>
      <c r="G8974" t="s">
        <v>35</v>
      </c>
      <c r="H8974" t="s">
        <v>35</v>
      </c>
      <c r="J8974" t="s">
        <v>7957</v>
      </c>
      <c r="K8974" t="s">
        <v>1092</v>
      </c>
      <c r="M8974">
        <v>0.5</v>
      </c>
      <c r="N8974">
        <v>527</v>
      </c>
      <c r="O8974" t="s">
        <v>294</v>
      </c>
      <c r="Q8974" t="s">
        <v>4563</v>
      </c>
      <c r="R8974" t="s">
        <v>6847</v>
      </c>
      <c r="S8974" t="s">
        <v>1034</v>
      </c>
    </row>
    <row r="8975" spans="1:19" x14ac:dyDescent="0.25">
      <c r="A8975" t="s">
        <v>59</v>
      </c>
      <c r="B8975" t="s">
        <v>31</v>
      </c>
      <c r="C8975" t="s">
        <v>32</v>
      </c>
      <c r="D8975" t="s">
        <v>953</v>
      </c>
      <c r="F8975" t="s">
        <v>35</v>
      </c>
      <c r="G8975" t="s">
        <v>35</v>
      </c>
      <c r="H8975" t="s">
        <v>35</v>
      </c>
      <c r="J8975" t="s">
        <v>7958</v>
      </c>
      <c r="K8975" t="s">
        <v>1092</v>
      </c>
      <c r="M8975">
        <v>3.69</v>
      </c>
      <c r="N8975">
        <v>60</v>
      </c>
      <c r="O8975" t="s">
        <v>52</v>
      </c>
      <c r="Q8975" t="s">
        <v>1734</v>
      </c>
      <c r="R8975" t="s">
        <v>6709</v>
      </c>
      <c r="S8975" t="s">
        <v>1022</v>
      </c>
    </row>
    <row r="8976" spans="1:19" x14ac:dyDescent="0.25">
      <c r="A8976" t="s">
        <v>44</v>
      </c>
      <c r="B8976" t="s">
        <v>3</v>
      </c>
      <c r="C8976" t="s">
        <v>32</v>
      </c>
      <c r="D8976" t="s">
        <v>953</v>
      </c>
      <c r="F8976" t="s">
        <v>35</v>
      </c>
      <c r="G8976" t="s">
        <v>35</v>
      </c>
      <c r="H8976" t="s">
        <v>35</v>
      </c>
      <c r="J8976" t="s">
        <v>7958</v>
      </c>
      <c r="K8976" t="s">
        <v>1092</v>
      </c>
      <c r="M8976">
        <v>5</v>
      </c>
      <c r="N8976">
        <v>7</v>
      </c>
      <c r="O8976" t="s">
        <v>46</v>
      </c>
      <c r="Q8976" t="s">
        <v>8164</v>
      </c>
      <c r="R8976" t="s">
        <v>987</v>
      </c>
      <c r="S8976" t="s">
        <v>988</v>
      </c>
    </row>
    <row r="8977" spans="1:19" x14ac:dyDescent="0.25">
      <c r="A8977" t="s">
        <v>30</v>
      </c>
      <c r="B8977" t="s">
        <v>31</v>
      </c>
      <c r="C8977" t="s">
        <v>32</v>
      </c>
      <c r="D8977" t="s">
        <v>953</v>
      </c>
      <c r="F8977" t="s">
        <v>35</v>
      </c>
      <c r="G8977" t="s">
        <v>35</v>
      </c>
      <c r="H8977" t="s">
        <v>35</v>
      </c>
      <c r="J8977" t="s">
        <v>7958</v>
      </c>
      <c r="K8977" t="s">
        <v>1092</v>
      </c>
      <c r="M8977">
        <v>14.625</v>
      </c>
      <c r="N8977">
        <v>25</v>
      </c>
      <c r="O8977" t="s">
        <v>46</v>
      </c>
      <c r="Q8977" t="s">
        <v>831</v>
      </c>
      <c r="R8977" t="s">
        <v>987</v>
      </c>
      <c r="S8977" t="s">
        <v>988</v>
      </c>
    </row>
    <row r="8978" spans="1:19" x14ac:dyDescent="0.25">
      <c r="A8978" t="s">
        <v>59</v>
      </c>
      <c r="B8978" t="s">
        <v>60</v>
      </c>
      <c r="C8978" t="s">
        <v>32</v>
      </c>
      <c r="D8978" t="s">
        <v>953</v>
      </c>
      <c r="F8978" t="s">
        <v>35</v>
      </c>
      <c r="G8978" t="s">
        <v>35</v>
      </c>
      <c r="H8978" t="s">
        <v>35</v>
      </c>
      <c r="J8978" t="s">
        <v>7562</v>
      </c>
      <c r="K8978" t="s">
        <v>1092</v>
      </c>
      <c r="M8978">
        <v>0.4</v>
      </c>
      <c r="N8978">
        <v>2514</v>
      </c>
      <c r="O8978" t="s">
        <v>575</v>
      </c>
      <c r="Q8978" t="s">
        <v>1132</v>
      </c>
      <c r="R8978" t="s">
        <v>6891</v>
      </c>
      <c r="S8978" t="s">
        <v>1085</v>
      </c>
    </row>
    <row r="8979" spans="1:19" x14ac:dyDescent="0.25">
      <c r="A8979" t="s">
        <v>59</v>
      </c>
      <c r="B8979" t="s">
        <v>31</v>
      </c>
      <c r="C8979" t="s">
        <v>32</v>
      </c>
      <c r="D8979" t="s">
        <v>953</v>
      </c>
      <c r="F8979" t="s">
        <v>35</v>
      </c>
      <c r="G8979" t="s">
        <v>35</v>
      </c>
      <c r="H8979" t="s">
        <v>35</v>
      </c>
      <c r="J8979" t="s">
        <v>7562</v>
      </c>
      <c r="K8979" t="s">
        <v>1092</v>
      </c>
      <c r="M8979">
        <v>0.45</v>
      </c>
      <c r="N8979">
        <v>2486</v>
      </c>
      <c r="O8979" t="s">
        <v>575</v>
      </c>
      <c r="Q8979" t="s">
        <v>7959</v>
      </c>
      <c r="R8979" t="s">
        <v>6891</v>
      </c>
      <c r="S8979" t="s">
        <v>1085</v>
      </c>
    </row>
    <row r="8980" spans="1:19" x14ac:dyDescent="0.25">
      <c r="A8980" t="s">
        <v>59</v>
      </c>
      <c r="B8980" t="s">
        <v>60</v>
      </c>
      <c r="C8980" t="s">
        <v>32</v>
      </c>
      <c r="D8980" t="s">
        <v>953</v>
      </c>
      <c r="F8980" t="s">
        <v>35</v>
      </c>
      <c r="G8980" t="s">
        <v>35</v>
      </c>
      <c r="H8980" t="s">
        <v>35</v>
      </c>
      <c r="J8980" t="s">
        <v>7960</v>
      </c>
      <c r="K8980" t="s">
        <v>1092</v>
      </c>
      <c r="M8980">
        <v>0.15</v>
      </c>
      <c r="N8980">
        <v>1416</v>
      </c>
      <c r="O8980" t="s">
        <v>575</v>
      </c>
      <c r="Q8980" t="s">
        <v>7962</v>
      </c>
      <c r="R8980" t="s">
        <v>7029</v>
      </c>
      <c r="S8980" t="s">
        <v>7030</v>
      </c>
    </row>
    <row r="8981" spans="1:19" x14ac:dyDescent="0.25">
      <c r="A8981" t="s">
        <v>59</v>
      </c>
      <c r="B8981" t="s">
        <v>31</v>
      </c>
      <c r="C8981" t="s">
        <v>32</v>
      </c>
      <c r="D8981" t="s">
        <v>953</v>
      </c>
      <c r="F8981" t="s">
        <v>35</v>
      </c>
      <c r="G8981" t="s">
        <v>35</v>
      </c>
      <c r="H8981" t="s">
        <v>35</v>
      </c>
      <c r="J8981" t="s">
        <v>7960</v>
      </c>
      <c r="K8981" t="s">
        <v>1092</v>
      </c>
      <c r="M8981">
        <v>0.02</v>
      </c>
      <c r="N8981">
        <v>1538</v>
      </c>
      <c r="O8981" t="s">
        <v>575</v>
      </c>
      <c r="Q8981" t="s">
        <v>7961</v>
      </c>
      <c r="R8981" t="s">
        <v>7029</v>
      </c>
      <c r="S8981" t="s">
        <v>7030</v>
      </c>
    </row>
    <row r="8982" spans="1:19" x14ac:dyDescent="0.25">
      <c r="A8982" t="s">
        <v>59</v>
      </c>
      <c r="B8982" t="s">
        <v>60</v>
      </c>
      <c r="C8982" t="s">
        <v>32</v>
      </c>
      <c r="D8982" t="s">
        <v>953</v>
      </c>
      <c r="F8982" t="s">
        <v>35</v>
      </c>
      <c r="G8982" t="s">
        <v>35</v>
      </c>
      <c r="H8982" t="s">
        <v>35</v>
      </c>
      <c r="J8982" t="s">
        <v>7963</v>
      </c>
      <c r="K8982" t="s">
        <v>1092</v>
      </c>
      <c r="M8982">
        <v>0.15</v>
      </c>
      <c r="N8982">
        <v>1721</v>
      </c>
      <c r="O8982" t="s">
        <v>575</v>
      </c>
      <c r="Q8982" t="s">
        <v>7964</v>
      </c>
      <c r="R8982" t="s">
        <v>6847</v>
      </c>
      <c r="S8982" t="s">
        <v>1034</v>
      </c>
    </row>
    <row r="8983" spans="1:19" x14ac:dyDescent="0.25">
      <c r="A8983" t="s">
        <v>59</v>
      </c>
      <c r="B8983" t="s">
        <v>60</v>
      </c>
      <c r="C8983" t="s">
        <v>32</v>
      </c>
      <c r="D8983" t="s">
        <v>953</v>
      </c>
      <c r="F8983" t="s">
        <v>35</v>
      </c>
      <c r="G8983" t="s">
        <v>35</v>
      </c>
      <c r="H8983" t="s">
        <v>35</v>
      </c>
      <c r="J8983" t="s">
        <v>7965</v>
      </c>
      <c r="K8983" t="s">
        <v>1092</v>
      </c>
      <c r="M8983">
        <v>5.75</v>
      </c>
      <c r="N8983">
        <v>2448</v>
      </c>
      <c r="O8983" t="s">
        <v>575</v>
      </c>
      <c r="Q8983" t="s">
        <v>7966</v>
      </c>
      <c r="R8983" t="s">
        <v>6847</v>
      </c>
      <c r="S8983" t="s">
        <v>1034</v>
      </c>
    </row>
    <row r="8984" spans="1:19" x14ac:dyDescent="0.25">
      <c r="A8984" t="s">
        <v>59</v>
      </c>
      <c r="B8984" t="s">
        <v>60</v>
      </c>
      <c r="C8984" t="s">
        <v>32</v>
      </c>
      <c r="D8984" t="s">
        <v>953</v>
      </c>
      <c r="F8984" t="s">
        <v>35</v>
      </c>
      <c r="G8984" t="s">
        <v>35</v>
      </c>
      <c r="H8984" t="s">
        <v>35</v>
      </c>
      <c r="J8984" t="s">
        <v>7967</v>
      </c>
      <c r="K8984" t="s">
        <v>1092</v>
      </c>
      <c r="M8984">
        <v>1.7999999999999999E-2</v>
      </c>
      <c r="N8984">
        <v>1882</v>
      </c>
      <c r="O8984" t="s">
        <v>575</v>
      </c>
      <c r="Q8984" t="s">
        <v>1800</v>
      </c>
      <c r="R8984" t="s">
        <v>6890</v>
      </c>
      <c r="S8984" t="s">
        <v>6880</v>
      </c>
    </row>
    <row r="8985" spans="1:19" x14ac:dyDescent="0.25">
      <c r="A8985" t="s">
        <v>59</v>
      </c>
      <c r="B8985" t="s">
        <v>60</v>
      </c>
      <c r="C8985" t="s">
        <v>32</v>
      </c>
      <c r="D8985" t="s">
        <v>953</v>
      </c>
      <c r="F8985" t="s">
        <v>35</v>
      </c>
      <c r="G8985" t="s">
        <v>35</v>
      </c>
      <c r="H8985" t="s">
        <v>35</v>
      </c>
      <c r="J8985" t="s">
        <v>2661</v>
      </c>
      <c r="K8985" t="s">
        <v>1092</v>
      </c>
      <c r="M8985">
        <v>0.35</v>
      </c>
      <c r="N8985">
        <v>2673</v>
      </c>
      <c r="O8985" t="s">
        <v>575</v>
      </c>
      <c r="Q8985" t="s">
        <v>1486</v>
      </c>
      <c r="R8985" t="s">
        <v>1487</v>
      </c>
      <c r="S8985" t="s">
        <v>1488</v>
      </c>
    </row>
    <row r="8986" spans="1:19" x14ac:dyDescent="0.25">
      <c r="A8986" t="s">
        <v>59</v>
      </c>
      <c r="B8986" t="s">
        <v>60</v>
      </c>
      <c r="C8986" t="s">
        <v>32</v>
      </c>
      <c r="D8986" t="s">
        <v>953</v>
      </c>
      <c r="F8986" t="s">
        <v>35</v>
      </c>
      <c r="G8986" t="s">
        <v>35</v>
      </c>
      <c r="H8986" t="s">
        <v>35</v>
      </c>
      <c r="J8986" t="s">
        <v>7968</v>
      </c>
      <c r="K8986" t="s">
        <v>1092</v>
      </c>
      <c r="M8986">
        <v>0.25</v>
      </c>
      <c r="N8986">
        <v>926</v>
      </c>
      <c r="O8986" t="s">
        <v>575</v>
      </c>
      <c r="Q8986" t="s">
        <v>3257</v>
      </c>
      <c r="R8986" t="s">
        <v>133</v>
      </c>
      <c r="S8986" t="s">
        <v>134</v>
      </c>
    </row>
    <row r="8987" spans="1:19" x14ac:dyDescent="0.25">
      <c r="A8987" t="s">
        <v>59</v>
      </c>
      <c r="B8987" t="s">
        <v>60</v>
      </c>
      <c r="C8987" t="s">
        <v>32</v>
      </c>
      <c r="D8987" t="s">
        <v>953</v>
      </c>
      <c r="F8987" t="s">
        <v>35</v>
      </c>
      <c r="G8987" t="s">
        <v>35</v>
      </c>
      <c r="H8987" t="s">
        <v>35</v>
      </c>
      <c r="J8987" t="s">
        <v>7969</v>
      </c>
      <c r="K8987" t="s">
        <v>1092</v>
      </c>
      <c r="M8987">
        <v>0.35</v>
      </c>
      <c r="N8987">
        <v>2358</v>
      </c>
      <c r="O8987" t="s">
        <v>575</v>
      </c>
      <c r="Q8987" t="s">
        <v>7970</v>
      </c>
      <c r="R8987" t="s">
        <v>133</v>
      </c>
      <c r="S8987" t="s">
        <v>134</v>
      </c>
    </row>
    <row r="8988" spans="1:19" x14ac:dyDescent="0.25">
      <c r="A8988" t="s">
        <v>59</v>
      </c>
      <c r="B8988" t="s">
        <v>31</v>
      </c>
      <c r="C8988" t="s">
        <v>32</v>
      </c>
      <c r="D8988" t="s">
        <v>953</v>
      </c>
      <c r="F8988" t="s">
        <v>35</v>
      </c>
      <c r="G8988" t="s">
        <v>35</v>
      </c>
      <c r="H8988" t="s">
        <v>35</v>
      </c>
      <c r="J8988" t="s">
        <v>1506</v>
      </c>
      <c r="K8988" t="s">
        <v>1092</v>
      </c>
      <c r="M8988">
        <v>3.5000000000000003E-2</v>
      </c>
      <c r="N8988">
        <v>2417</v>
      </c>
      <c r="O8988" t="s">
        <v>575</v>
      </c>
      <c r="Q8988" t="s">
        <v>2908</v>
      </c>
      <c r="R8988" t="s">
        <v>973</v>
      </c>
      <c r="S8988" t="s">
        <v>974</v>
      </c>
    </row>
    <row r="8989" spans="1:19" x14ac:dyDescent="0.25">
      <c r="A8989" t="s">
        <v>59</v>
      </c>
      <c r="B8989" t="s">
        <v>60</v>
      </c>
      <c r="C8989" t="s">
        <v>32</v>
      </c>
      <c r="D8989" t="s">
        <v>953</v>
      </c>
      <c r="F8989" t="s">
        <v>35</v>
      </c>
      <c r="G8989" t="s">
        <v>35</v>
      </c>
      <c r="H8989" t="s">
        <v>35</v>
      </c>
      <c r="J8989" t="s">
        <v>7971</v>
      </c>
      <c r="K8989" t="s">
        <v>1092</v>
      </c>
      <c r="M8989">
        <v>0.5</v>
      </c>
      <c r="N8989">
        <v>2204</v>
      </c>
      <c r="O8989" t="s">
        <v>575</v>
      </c>
      <c r="Q8989" t="s">
        <v>7972</v>
      </c>
      <c r="R8989" t="s">
        <v>6847</v>
      </c>
      <c r="S8989" t="s">
        <v>1034</v>
      </c>
    </row>
    <row r="8990" spans="1:19" x14ac:dyDescent="0.25">
      <c r="A8990" t="s">
        <v>59</v>
      </c>
      <c r="B8990" t="s">
        <v>31</v>
      </c>
      <c r="C8990" t="s">
        <v>32</v>
      </c>
      <c r="D8990" t="s">
        <v>953</v>
      </c>
      <c r="F8990" t="s">
        <v>35</v>
      </c>
      <c r="G8990" t="s">
        <v>35</v>
      </c>
      <c r="H8990" t="s">
        <v>35</v>
      </c>
      <c r="J8990" t="s">
        <v>7973</v>
      </c>
      <c r="K8990" t="s">
        <v>1092</v>
      </c>
      <c r="M8990">
        <v>1.125</v>
      </c>
      <c r="N8990">
        <v>1315</v>
      </c>
      <c r="O8990" t="s">
        <v>575</v>
      </c>
      <c r="Q8990" t="s">
        <v>5366</v>
      </c>
      <c r="R8990" t="s">
        <v>6891</v>
      </c>
      <c r="S8990" t="s">
        <v>1085</v>
      </c>
    </row>
    <row r="8991" spans="1:19" x14ac:dyDescent="0.25">
      <c r="A8991" t="s">
        <v>59</v>
      </c>
      <c r="B8991" t="s">
        <v>31</v>
      </c>
      <c r="C8991" t="s">
        <v>32</v>
      </c>
      <c r="D8991" t="s">
        <v>953</v>
      </c>
      <c r="F8991" t="s">
        <v>35</v>
      </c>
      <c r="G8991" t="s">
        <v>35</v>
      </c>
      <c r="H8991" t="s">
        <v>35</v>
      </c>
      <c r="J8991" t="s">
        <v>7974</v>
      </c>
      <c r="K8991" t="s">
        <v>1092</v>
      </c>
      <c r="M8991">
        <v>8.4600000000000009</v>
      </c>
      <c r="N8991">
        <v>397</v>
      </c>
      <c r="O8991" t="s">
        <v>294</v>
      </c>
      <c r="Q8991" t="s">
        <v>1808</v>
      </c>
      <c r="R8991" t="s">
        <v>133</v>
      </c>
      <c r="S8991" t="s">
        <v>134</v>
      </c>
    </row>
    <row r="8992" spans="1:19" x14ac:dyDescent="0.25">
      <c r="A8992" t="s">
        <v>59</v>
      </c>
      <c r="B8992" t="s">
        <v>60</v>
      </c>
      <c r="C8992" t="s">
        <v>32</v>
      </c>
      <c r="D8992" t="s">
        <v>953</v>
      </c>
      <c r="F8992" t="s">
        <v>35</v>
      </c>
      <c r="G8992" t="s">
        <v>35</v>
      </c>
      <c r="H8992" t="s">
        <v>35</v>
      </c>
      <c r="J8992" t="s">
        <v>7975</v>
      </c>
      <c r="K8992" t="s">
        <v>1092</v>
      </c>
      <c r="M8992">
        <v>0.75</v>
      </c>
      <c r="N8992">
        <v>1150</v>
      </c>
      <c r="O8992" t="s">
        <v>575</v>
      </c>
      <c r="Q8992" t="s">
        <v>7499</v>
      </c>
      <c r="R8992" t="s">
        <v>7199</v>
      </c>
      <c r="S8992" t="s">
        <v>1069</v>
      </c>
    </row>
    <row r="8993" spans="1:19" x14ac:dyDescent="0.25">
      <c r="A8993" t="s">
        <v>59</v>
      </c>
      <c r="B8993" t="s">
        <v>60</v>
      </c>
      <c r="C8993" t="s">
        <v>32</v>
      </c>
      <c r="D8993" t="s">
        <v>953</v>
      </c>
      <c r="F8993" t="s">
        <v>35</v>
      </c>
      <c r="G8993" t="s">
        <v>35</v>
      </c>
      <c r="H8993" t="s">
        <v>35</v>
      </c>
      <c r="J8993" t="s">
        <v>7975</v>
      </c>
      <c r="K8993" t="s">
        <v>1092</v>
      </c>
      <c r="M8993">
        <v>5</v>
      </c>
      <c r="N8993">
        <v>1094</v>
      </c>
      <c r="O8993" t="s">
        <v>575</v>
      </c>
      <c r="Q8993" t="s">
        <v>7976</v>
      </c>
      <c r="R8993" t="s">
        <v>987</v>
      </c>
      <c r="S8993" t="s">
        <v>988</v>
      </c>
    </row>
    <row r="8994" spans="1:19" x14ac:dyDescent="0.25">
      <c r="A8994" t="s">
        <v>30</v>
      </c>
      <c r="B8994" t="s">
        <v>31</v>
      </c>
      <c r="C8994" t="s">
        <v>32</v>
      </c>
      <c r="D8994" t="s">
        <v>953</v>
      </c>
      <c r="F8994" t="s">
        <v>35</v>
      </c>
      <c r="G8994" t="s">
        <v>35</v>
      </c>
      <c r="H8994" t="s">
        <v>35</v>
      </c>
      <c r="J8994" t="s">
        <v>7977</v>
      </c>
      <c r="K8994" t="s">
        <v>1092</v>
      </c>
      <c r="M8994">
        <v>2.0699999999999998</v>
      </c>
      <c r="N8994">
        <v>276</v>
      </c>
      <c r="O8994" t="s">
        <v>5</v>
      </c>
      <c r="Q8994" t="s">
        <v>1952</v>
      </c>
      <c r="R8994" t="s">
        <v>6709</v>
      </c>
      <c r="S8994" t="s">
        <v>1022</v>
      </c>
    </row>
    <row r="8995" spans="1:19" x14ac:dyDescent="0.25">
      <c r="A8995" t="s">
        <v>59</v>
      </c>
      <c r="B8995" t="s">
        <v>60</v>
      </c>
      <c r="C8995" t="s">
        <v>32</v>
      </c>
      <c r="D8995" t="s">
        <v>953</v>
      </c>
      <c r="F8995" t="s">
        <v>35</v>
      </c>
      <c r="G8995" t="s">
        <v>35</v>
      </c>
      <c r="H8995" t="s">
        <v>35</v>
      </c>
      <c r="J8995" t="s">
        <v>7978</v>
      </c>
      <c r="K8995" t="s">
        <v>1092</v>
      </c>
      <c r="M8995">
        <v>5</v>
      </c>
      <c r="N8995">
        <v>2588</v>
      </c>
      <c r="O8995" t="s">
        <v>575</v>
      </c>
      <c r="Q8995" t="s">
        <v>7979</v>
      </c>
      <c r="R8995" t="s">
        <v>6709</v>
      </c>
      <c r="S8995" t="s">
        <v>1022</v>
      </c>
    </row>
    <row r="8996" spans="1:19" x14ac:dyDescent="0.25">
      <c r="A8996" t="s">
        <v>59</v>
      </c>
      <c r="B8996" t="s">
        <v>60</v>
      </c>
      <c r="C8996" t="s">
        <v>32</v>
      </c>
      <c r="D8996" t="s">
        <v>953</v>
      </c>
      <c r="F8996" t="s">
        <v>35</v>
      </c>
      <c r="G8996" t="s">
        <v>35</v>
      </c>
      <c r="H8996" t="s">
        <v>35</v>
      </c>
      <c r="J8996" t="s">
        <v>7978</v>
      </c>
      <c r="K8996" t="s">
        <v>1092</v>
      </c>
      <c r="M8996">
        <v>2.25</v>
      </c>
      <c r="N8996">
        <v>2673</v>
      </c>
      <c r="O8996" t="s">
        <v>575</v>
      </c>
      <c r="Q8996" t="s">
        <v>1486</v>
      </c>
      <c r="R8996" t="s">
        <v>1487</v>
      </c>
      <c r="S8996" t="s">
        <v>1488</v>
      </c>
    </row>
    <row r="8997" spans="1:19" x14ac:dyDescent="0.25">
      <c r="A8997" t="s">
        <v>59</v>
      </c>
      <c r="B8997" t="s">
        <v>31</v>
      </c>
      <c r="C8997" t="s">
        <v>32</v>
      </c>
      <c r="D8997" t="s">
        <v>953</v>
      </c>
      <c r="F8997" t="s">
        <v>35</v>
      </c>
      <c r="G8997" t="s">
        <v>35</v>
      </c>
      <c r="H8997" t="s">
        <v>35</v>
      </c>
      <c r="J8997" t="s">
        <v>7978</v>
      </c>
      <c r="K8997" t="s">
        <v>1092</v>
      </c>
      <c r="M8997">
        <v>3.5000000000000003E-2</v>
      </c>
      <c r="N8997">
        <v>2673</v>
      </c>
      <c r="O8997" t="s">
        <v>575</v>
      </c>
      <c r="Q8997" t="s">
        <v>1486</v>
      </c>
      <c r="R8997" t="s">
        <v>1487</v>
      </c>
      <c r="S8997" t="s">
        <v>1488</v>
      </c>
    </row>
    <row r="8998" spans="1:19" x14ac:dyDescent="0.25">
      <c r="A8998" t="s">
        <v>59</v>
      </c>
      <c r="B8998" t="s">
        <v>60</v>
      </c>
      <c r="C8998" t="s">
        <v>32</v>
      </c>
      <c r="D8998" t="s">
        <v>953</v>
      </c>
      <c r="F8998" t="s">
        <v>35</v>
      </c>
      <c r="G8998" t="s">
        <v>35</v>
      </c>
      <c r="H8998" t="s">
        <v>35</v>
      </c>
      <c r="J8998" t="s">
        <v>7980</v>
      </c>
      <c r="K8998" t="s">
        <v>1092</v>
      </c>
      <c r="M8998">
        <v>0.32400000000000001</v>
      </c>
      <c r="N8998">
        <v>1892</v>
      </c>
      <c r="O8998" t="s">
        <v>575</v>
      </c>
      <c r="Q8998" t="s">
        <v>1094</v>
      </c>
      <c r="R8998" t="s">
        <v>6707</v>
      </c>
      <c r="S8998" t="s">
        <v>955</v>
      </c>
    </row>
    <row r="8999" spans="1:19" x14ac:dyDescent="0.25">
      <c r="A8999" t="s">
        <v>59</v>
      </c>
      <c r="B8999" t="s">
        <v>60</v>
      </c>
      <c r="C8999" t="s">
        <v>32</v>
      </c>
      <c r="D8999" t="s">
        <v>953</v>
      </c>
      <c r="F8999" t="s">
        <v>35</v>
      </c>
      <c r="G8999" t="s">
        <v>35</v>
      </c>
      <c r="H8999" t="s">
        <v>35</v>
      </c>
      <c r="J8999" t="s">
        <v>7981</v>
      </c>
      <c r="K8999" t="s">
        <v>1092</v>
      </c>
      <c r="M8999">
        <v>1.5</v>
      </c>
      <c r="N8999">
        <v>2424</v>
      </c>
      <c r="O8999" t="s">
        <v>575</v>
      </c>
      <c r="Q8999" t="s">
        <v>7983</v>
      </c>
      <c r="R8999" t="s">
        <v>6711</v>
      </c>
      <c r="S8999" t="s">
        <v>6712</v>
      </c>
    </row>
    <row r="9000" spans="1:19" x14ac:dyDescent="0.25">
      <c r="A9000" t="s">
        <v>59</v>
      </c>
      <c r="B9000" t="s">
        <v>60</v>
      </c>
      <c r="C9000" t="s">
        <v>32</v>
      </c>
      <c r="D9000" t="s">
        <v>953</v>
      </c>
      <c r="F9000" t="s">
        <v>35</v>
      </c>
      <c r="G9000" t="s">
        <v>35</v>
      </c>
      <c r="H9000" t="s">
        <v>35</v>
      </c>
      <c r="J9000" t="s">
        <v>7981</v>
      </c>
      <c r="K9000" t="s">
        <v>1092</v>
      </c>
      <c r="M9000">
        <v>0.92</v>
      </c>
      <c r="N9000">
        <v>2486</v>
      </c>
      <c r="O9000" t="s">
        <v>575</v>
      </c>
      <c r="Q9000" t="s">
        <v>7959</v>
      </c>
      <c r="R9000" t="s">
        <v>6711</v>
      </c>
      <c r="S9000" t="s">
        <v>6712</v>
      </c>
    </row>
    <row r="9001" spans="1:19" x14ac:dyDescent="0.25">
      <c r="A9001" t="s">
        <v>59</v>
      </c>
      <c r="B9001" t="s">
        <v>31</v>
      </c>
      <c r="C9001" t="s">
        <v>32</v>
      </c>
      <c r="D9001" t="s">
        <v>953</v>
      </c>
      <c r="F9001" t="s">
        <v>35</v>
      </c>
      <c r="G9001" t="s">
        <v>35</v>
      </c>
      <c r="H9001" t="s">
        <v>35</v>
      </c>
      <c r="J9001" t="s">
        <v>7981</v>
      </c>
      <c r="K9001" t="s">
        <v>1092</v>
      </c>
      <c r="M9001">
        <v>4.68</v>
      </c>
      <c r="N9001">
        <v>2461</v>
      </c>
      <c r="O9001" t="s">
        <v>575</v>
      </c>
      <c r="Q9001" t="s">
        <v>7982</v>
      </c>
      <c r="R9001" t="s">
        <v>6707</v>
      </c>
      <c r="S9001" t="s">
        <v>955</v>
      </c>
    </row>
    <row r="9002" spans="1:19" x14ac:dyDescent="0.25">
      <c r="A9002" t="s">
        <v>30</v>
      </c>
      <c r="B9002" t="s">
        <v>31</v>
      </c>
      <c r="C9002" t="s">
        <v>32</v>
      </c>
      <c r="D9002" t="s">
        <v>953</v>
      </c>
      <c r="F9002" t="s">
        <v>35</v>
      </c>
      <c r="G9002" t="s">
        <v>35</v>
      </c>
      <c r="H9002" t="s">
        <v>35</v>
      </c>
      <c r="J9002" t="s">
        <v>7984</v>
      </c>
      <c r="K9002" t="s">
        <v>1092</v>
      </c>
      <c r="M9002">
        <v>4.13</v>
      </c>
      <c r="N9002">
        <v>353</v>
      </c>
      <c r="O9002" t="s">
        <v>5</v>
      </c>
      <c r="Q9002" t="s">
        <v>1126</v>
      </c>
      <c r="R9002" t="s">
        <v>133</v>
      </c>
      <c r="S9002" t="s">
        <v>134</v>
      </c>
    </row>
    <row r="9003" spans="1:19" x14ac:dyDescent="0.25">
      <c r="A9003" t="s">
        <v>59</v>
      </c>
      <c r="B9003" t="s">
        <v>31</v>
      </c>
      <c r="C9003" t="s">
        <v>32</v>
      </c>
      <c r="D9003" t="s">
        <v>953</v>
      </c>
      <c r="F9003" t="s">
        <v>35</v>
      </c>
      <c r="G9003" t="s">
        <v>35</v>
      </c>
      <c r="H9003" t="s">
        <v>35</v>
      </c>
      <c r="J9003" t="s">
        <v>7984</v>
      </c>
      <c r="K9003" t="s">
        <v>1092</v>
      </c>
      <c r="M9003">
        <v>7.6150000000000002</v>
      </c>
      <c r="N9003">
        <v>353</v>
      </c>
      <c r="O9003" t="s">
        <v>5</v>
      </c>
      <c r="Q9003" t="s">
        <v>1126</v>
      </c>
      <c r="R9003" t="s">
        <v>133</v>
      </c>
      <c r="S9003" t="s">
        <v>134</v>
      </c>
    </row>
    <row r="9004" spans="1:19" x14ac:dyDescent="0.25">
      <c r="A9004" t="s">
        <v>30</v>
      </c>
      <c r="B9004" t="s">
        <v>31</v>
      </c>
      <c r="C9004" t="s">
        <v>32</v>
      </c>
      <c r="D9004" t="s">
        <v>953</v>
      </c>
      <c r="F9004" t="s">
        <v>35</v>
      </c>
      <c r="G9004" t="s">
        <v>35</v>
      </c>
      <c r="H9004" t="s">
        <v>35</v>
      </c>
      <c r="J9004" t="s">
        <v>7984</v>
      </c>
      <c r="K9004" t="s">
        <v>1092</v>
      </c>
      <c r="M9004">
        <v>2.2949999999999999</v>
      </c>
      <c r="N9004">
        <v>459</v>
      </c>
      <c r="O9004" t="s">
        <v>294</v>
      </c>
      <c r="Q9004" t="s">
        <v>1199</v>
      </c>
      <c r="R9004" t="s">
        <v>6709</v>
      </c>
      <c r="S9004" t="s">
        <v>1022</v>
      </c>
    </row>
    <row r="9005" spans="1:19" x14ac:dyDescent="0.25">
      <c r="A9005" t="s">
        <v>59</v>
      </c>
      <c r="B9005" t="s">
        <v>31</v>
      </c>
      <c r="C9005" t="s">
        <v>32</v>
      </c>
      <c r="D9005" t="s">
        <v>953</v>
      </c>
      <c r="F9005" t="s">
        <v>35</v>
      </c>
      <c r="G9005" t="s">
        <v>35</v>
      </c>
      <c r="H9005" t="s">
        <v>35</v>
      </c>
      <c r="J9005" t="s">
        <v>7985</v>
      </c>
      <c r="K9005" t="s">
        <v>1092</v>
      </c>
      <c r="M9005">
        <v>0.76500000000000001</v>
      </c>
      <c r="N9005">
        <v>2673</v>
      </c>
      <c r="O9005" t="s">
        <v>575</v>
      </c>
      <c r="Q9005" t="s">
        <v>1486</v>
      </c>
      <c r="R9005" t="s">
        <v>1487</v>
      </c>
      <c r="S9005" t="s">
        <v>1488</v>
      </c>
    </row>
    <row r="9006" spans="1:19" x14ac:dyDescent="0.25">
      <c r="A9006" t="s">
        <v>59</v>
      </c>
      <c r="B9006" t="s">
        <v>60</v>
      </c>
      <c r="C9006" t="s">
        <v>32</v>
      </c>
      <c r="D9006" t="s">
        <v>953</v>
      </c>
      <c r="F9006" t="s">
        <v>35</v>
      </c>
      <c r="G9006" t="s">
        <v>35</v>
      </c>
      <c r="H9006" t="s">
        <v>35</v>
      </c>
      <c r="J9006" t="s">
        <v>2419</v>
      </c>
      <c r="K9006" t="s">
        <v>1092</v>
      </c>
      <c r="M9006">
        <v>1</v>
      </c>
      <c r="N9006">
        <v>2044</v>
      </c>
      <c r="O9006" t="s">
        <v>575</v>
      </c>
      <c r="Q9006" t="s">
        <v>2229</v>
      </c>
      <c r="R9006" t="s">
        <v>6933</v>
      </c>
      <c r="S9006" t="s">
        <v>6934</v>
      </c>
    </row>
    <row r="9007" spans="1:19" x14ac:dyDescent="0.25">
      <c r="A9007" t="s">
        <v>59</v>
      </c>
      <c r="B9007" t="s">
        <v>31</v>
      </c>
      <c r="C9007" t="s">
        <v>32</v>
      </c>
      <c r="D9007" t="s">
        <v>953</v>
      </c>
      <c r="F9007" t="s">
        <v>35</v>
      </c>
      <c r="G9007" t="s">
        <v>35</v>
      </c>
      <c r="H9007" t="s">
        <v>35</v>
      </c>
      <c r="J9007" t="s">
        <v>7986</v>
      </c>
      <c r="K9007" t="s">
        <v>1092</v>
      </c>
      <c r="M9007">
        <v>2.25</v>
      </c>
      <c r="N9007">
        <v>1922</v>
      </c>
      <c r="O9007" t="s">
        <v>575</v>
      </c>
      <c r="Q9007" t="s">
        <v>7988</v>
      </c>
      <c r="R9007" t="s">
        <v>973</v>
      </c>
      <c r="S9007" t="s">
        <v>974</v>
      </c>
    </row>
    <row r="9008" spans="1:19" x14ac:dyDescent="0.25">
      <c r="A9008" t="s">
        <v>59</v>
      </c>
      <c r="B9008" t="s">
        <v>60</v>
      </c>
      <c r="C9008" t="s">
        <v>32</v>
      </c>
      <c r="D9008" t="s">
        <v>953</v>
      </c>
      <c r="F9008" t="s">
        <v>35</v>
      </c>
      <c r="G9008" t="s">
        <v>35</v>
      </c>
      <c r="H9008" t="s">
        <v>35</v>
      </c>
      <c r="J9008" t="s">
        <v>7986</v>
      </c>
      <c r="K9008" t="s">
        <v>1092</v>
      </c>
      <c r="M9008">
        <v>5</v>
      </c>
      <c r="N9008">
        <v>1268</v>
      </c>
      <c r="O9008" t="s">
        <v>575</v>
      </c>
      <c r="Q9008" t="s">
        <v>7987</v>
      </c>
      <c r="R9008" t="s">
        <v>973</v>
      </c>
      <c r="S9008" t="s">
        <v>974</v>
      </c>
    </row>
    <row r="9009" spans="1:19" x14ac:dyDescent="0.25">
      <c r="A9009" t="s">
        <v>59</v>
      </c>
      <c r="B9009" t="s">
        <v>60</v>
      </c>
      <c r="C9009" t="s">
        <v>32</v>
      </c>
      <c r="D9009" t="s">
        <v>953</v>
      </c>
      <c r="F9009" t="s">
        <v>35</v>
      </c>
      <c r="G9009" t="s">
        <v>35</v>
      </c>
      <c r="H9009" t="s">
        <v>35</v>
      </c>
      <c r="J9009" t="s">
        <v>7986</v>
      </c>
      <c r="K9009" t="s">
        <v>1092</v>
      </c>
      <c r="M9009">
        <v>1.7</v>
      </c>
      <c r="N9009">
        <v>1720</v>
      </c>
      <c r="O9009" t="s">
        <v>575</v>
      </c>
      <c r="Q9009" t="s">
        <v>7989</v>
      </c>
      <c r="R9009" t="s">
        <v>6899</v>
      </c>
      <c r="S9009" t="s">
        <v>6900</v>
      </c>
    </row>
    <row r="9010" spans="1:19" x14ac:dyDescent="0.25">
      <c r="A9010" t="s">
        <v>59</v>
      </c>
      <c r="B9010" t="s">
        <v>60</v>
      </c>
      <c r="C9010" t="s">
        <v>32</v>
      </c>
      <c r="D9010" t="s">
        <v>953</v>
      </c>
      <c r="F9010" t="s">
        <v>35</v>
      </c>
      <c r="G9010" t="s">
        <v>35</v>
      </c>
      <c r="H9010" t="s">
        <v>35</v>
      </c>
      <c r="J9010" t="s">
        <v>7726</v>
      </c>
      <c r="K9010" t="s">
        <v>1092</v>
      </c>
      <c r="M9010">
        <v>5.15</v>
      </c>
      <c r="N9010">
        <v>2673</v>
      </c>
      <c r="O9010" t="s">
        <v>575</v>
      </c>
      <c r="Q9010" t="s">
        <v>1486</v>
      </c>
      <c r="R9010" t="s">
        <v>1487</v>
      </c>
      <c r="S9010" t="s">
        <v>1488</v>
      </c>
    </row>
    <row r="9011" spans="1:19" x14ac:dyDescent="0.25">
      <c r="A9011" t="s">
        <v>30</v>
      </c>
      <c r="B9011" t="s">
        <v>31</v>
      </c>
      <c r="C9011" t="s">
        <v>32</v>
      </c>
      <c r="D9011" t="s">
        <v>953</v>
      </c>
      <c r="F9011" t="s">
        <v>35</v>
      </c>
      <c r="G9011" t="s">
        <v>35</v>
      </c>
      <c r="H9011" t="s">
        <v>35</v>
      </c>
      <c r="J9011" t="s">
        <v>7990</v>
      </c>
      <c r="K9011" t="s">
        <v>1092</v>
      </c>
      <c r="M9011">
        <v>0.18</v>
      </c>
      <c r="N9011">
        <v>1890</v>
      </c>
      <c r="O9011" t="s">
        <v>575</v>
      </c>
      <c r="Q9011" t="s">
        <v>7991</v>
      </c>
      <c r="R9011" t="s">
        <v>6807</v>
      </c>
      <c r="S9011" t="s">
        <v>1066</v>
      </c>
    </row>
    <row r="9012" spans="1:19" x14ac:dyDescent="0.25">
      <c r="A9012" t="s">
        <v>59</v>
      </c>
      <c r="B9012" t="s">
        <v>60</v>
      </c>
      <c r="C9012" t="s">
        <v>32</v>
      </c>
      <c r="D9012" t="s">
        <v>953</v>
      </c>
      <c r="F9012" t="s">
        <v>35</v>
      </c>
      <c r="G9012" t="s">
        <v>35</v>
      </c>
      <c r="H9012" t="s">
        <v>35</v>
      </c>
      <c r="J9012" t="s">
        <v>7990</v>
      </c>
      <c r="K9012" t="s">
        <v>1092</v>
      </c>
      <c r="M9012">
        <v>0.6</v>
      </c>
      <c r="N9012">
        <v>1959</v>
      </c>
      <c r="O9012" t="s">
        <v>575</v>
      </c>
      <c r="Q9012" t="s">
        <v>7992</v>
      </c>
      <c r="R9012" t="s">
        <v>6807</v>
      </c>
      <c r="S9012" t="s">
        <v>1066</v>
      </c>
    </row>
    <row r="9013" spans="1:19" x14ac:dyDescent="0.25">
      <c r="A9013" t="s">
        <v>59</v>
      </c>
      <c r="B9013" t="s">
        <v>60</v>
      </c>
      <c r="C9013" t="s">
        <v>32</v>
      </c>
      <c r="D9013" t="s">
        <v>953</v>
      </c>
      <c r="F9013" t="s">
        <v>35</v>
      </c>
      <c r="G9013" t="s">
        <v>35</v>
      </c>
      <c r="H9013" t="s">
        <v>35</v>
      </c>
      <c r="J9013" t="s">
        <v>7993</v>
      </c>
      <c r="K9013" t="s">
        <v>1092</v>
      </c>
      <c r="M9013">
        <v>0.22500000000000001</v>
      </c>
      <c r="N9013">
        <v>2561</v>
      </c>
      <c r="O9013" t="s">
        <v>575</v>
      </c>
      <c r="Q9013" t="s">
        <v>7994</v>
      </c>
      <c r="R9013" t="s">
        <v>6865</v>
      </c>
      <c r="S9013" t="s">
        <v>984</v>
      </c>
    </row>
    <row r="9014" spans="1:19" x14ac:dyDescent="0.25">
      <c r="A9014" t="s">
        <v>59</v>
      </c>
      <c r="B9014" t="s">
        <v>60</v>
      </c>
      <c r="C9014" t="s">
        <v>32</v>
      </c>
      <c r="D9014" t="s">
        <v>953</v>
      </c>
      <c r="F9014" t="s">
        <v>35</v>
      </c>
      <c r="G9014" t="s">
        <v>35</v>
      </c>
      <c r="H9014" t="s">
        <v>35</v>
      </c>
      <c r="J9014" t="s">
        <v>7995</v>
      </c>
      <c r="K9014" t="s">
        <v>1092</v>
      </c>
      <c r="M9014">
        <v>0.29899999999999999</v>
      </c>
      <c r="N9014">
        <v>2673</v>
      </c>
      <c r="O9014" t="s">
        <v>575</v>
      </c>
      <c r="Q9014" t="s">
        <v>1486</v>
      </c>
      <c r="R9014" t="s">
        <v>1487</v>
      </c>
      <c r="S9014" t="s">
        <v>1488</v>
      </c>
    </row>
    <row r="9015" spans="1:19" x14ac:dyDescent="0.25">
      <c r="A9015" t="s">
        <v>59</v>
      </c>
      <c r="B9015" t="s">
        <v>31</v>
      </c>
      <c r="C9015" t="s">
        <v>32</v>
      </c>
      <c r="D9015" t="s">
        <v>953</v>
      </c>
      <c r="F9015" t="s">
        <v>35</v>
      </c>
      <c r="G9015" t="s">
        <v>35</v>
      </c>
      <c r="H9015" t="s">
        <v>35</v>
      </c>
      <c r="J9015" t="s">
        <v>7996</v>
      </c>
      <c r="K9015" t="s">
        <v>1092</v>
      </c>
      <c r="M9015">
        <v>0.28999999999999998</v>
      </c>
      <c r="N9015">
        <v>1864</v>
      </c>
      <c r="O9015" t="s">
        <v>575</v>
      </c>
      <c r="Q9015" t="s">
        <v>5934</v>
      </c>
      <c r="R9015" t="s">
        <v>7476</v>
      </c>
      <c r="S9015" t="s">
        <v>7477</v>
      </c>
    </row>
    <row r="9016" spans="1:19" x14ac:dyDescent="0.25">
      <c r="A9016" t="s">
        <v>59</v>
      </c>
      <c r="B9016" t="s">
        <v>60</v>
      </c>
      <c r="C9016" t="s">
        <v>32</v>
      </c>
      <c r="D9016" t="s">
        <v>953</v>
      </c>
      <c r="F9016" t="s">
        <v>35</v>
      </c>
      <c r="G9016" t="s">
        <v>35</v>
      </c>
      <c r="H9016" t="s">
        <v>35</v>
      </c>
      <c r="J9016" t="s">
        <v>7996</v>
      </c>
      <c r="K9016" t="s">
        <v>1092</v>
      </c>
      <c r="M9016">
        <v>0.01</v>
      </c>
      <c r="N9016">
        <v>1878</v>
      </c>
      <c r="O9016" t="s">
        <v>575</v>
      </c>
      <c r="Q9016" t="s">
        <v>2763</v>
      </c>
      <c r="R9016" t="s">
        <v>7476</v>
      </c>
      <c r="S9016" t="s">
        <v>7477</v>
      </c>
    </row>
    <row r="9017" spans="1:19" x14ac:dyDescent="0.25">
      <c r="A9017" t="s">
        <v>59</v>
      </c>
      <c r="B9017" t="s">
        <v>60</v>
      </c>
      <c r="C9017" t="s">
        <v>32</v>
      </c>
      <c r="D9017" t="s">
        <v>953</v>
      </c>
      <c r="F9017" t="s">
        <v>35</v>
      </c>
      <c r="G9017" t="s">
        <v>35</v>
      </c>
      <c r="H9017" t="s">
        <v>35</v>
      </c>
      <c r="J9017" t="s">
        <v>7997</v>
      </c>
      <c r="K9017" t="s">
        <v>1092</v>
      </c>
      <c r="M9017">
        <v>0.3</v>
      </c>
      <c r="N9017">
        <v>2673</v>
      </c>
      <c r="O9017" t="s">
        <v>575</v>
      </c>
      <c r="Q9017" t="s">
        <v>1486</v>
      </c>
      <c r="R9017" t="s">
        <v>1487</v>
      </c>
      <c r="S9017" t="s">
        <v>1488</v>
      </c>
    </row>
    <row r="9018" spans="1:19" x14ac:dyDescent="0.25">
      <c r="A9018" t="s">
        <v>59</v>
      </c>
      <c r="B9018" t="s">
        <v>31</v>
      </c>
      <c r="C9018" t="s">
        <v>32</v>
      </c>
      <c r="D9018" t="s">
        <v>953</v>
      </c>
      <c r="F9018" t="s">
        <v>35</v>
      </c>
      <c r="G9018" t="s">
        <v>35</v>
      </c>
      <c r="H9018" t="s">
        <v>35</v>
      </c>
      <c r="J9018" t="s">
        <v>7998</v>
      </c>
      <c r="K9018" t="s">
        <v>1092</v>
      </c>
      <c r="M9018">
        <v>0.22500000000000001</v>
      </c>
      <c r="N9018">
        <v>1825</v>
      </c>
      <c r="O9018" t="s">
        <v>575</v>
      </c>
      <c r="Q9018" t="s">
        <v>7374</v>
      </c>
      <c r="R9018" t="s">
        <v>6720</v>
      </c>
      <c r="S9018" t="s">
        <v>961</v>
      </c>
    </row>
    <row r="9019" spans="1:19" x14ac:dyDescent="0.25">
      <c r="A9019" t="s">
        <v>59</v>
      </c>
      <c r="B9019" t="s">
        <v>31</v>
      </c>
      <c r="C9019" t="s">
        <v>32</v>
      </c>
      <c r="D9019" t="s">
        <v>953</v>
      </c>
      <c r="F9019" t="s">
        <v>35</v>
      </c>
      <c r="G9019" t="s">
        <v>35</v>
      </c>
      <c r="H9019" t="s">
        <v>35</v>
      </c>
      <c r="J9019" t="s">
        <v>7998</v>
      </c>
      <c r="K9019" t="s">
        <v>1092</v>
      </c>
      <c r="M9019">
        <v>5.5E-2</v>
      </c>
      <c r="N9019">
        <v>1846</v>
      </c>
      <c r="O9019" t="s">
        <v>575</v>
      </c>
      <c r="Q9019" t="s">
        <v>7999</v>
      </c>
      <c r="R9019" t="s">
        <v>8000</v>
      </c>
      <c r="S9019" t="s">
        <v>8001</v>
      </c>
    </row>
    <row r="9020" spans="1:19" x14ac:dyDescent="0.25">
      <c r="A9020" t="s">
        <v>59</v>
      </c>
      <c r="B9020" t="s">
        <v>60</v>
      </c>
      <c r="C9020" t="s">
        <v>32</v>
      </c>
      <c r="D9020" t="s">
        <v>953</v>
      </c>
      <c r="F9020" t="s">
        <v>35</v>
      </c>
      <c r="G9020" t="s">
        <v>35</v>
      </c>
      <c r="H9020" t="s">
        <v>35</v>
      </c>
      <c r="J9020" t="s">
        <v>8003</v>
      </c>
      <c r="K9020" t="s">
        <v>1092</v>
      </c>
      <c r="M9020">
        <v>0.49</v>
      </c>
      <c r="N9020">
        <v>2296</v>
      </c>
      <c r="O9020" t="s">
        <v>575</v>
      </c>
      <c r="Q9020" t="s">
        <v>2977</v>
      </c>
      <c r="R9020" t="s">
        <v>7688</v>
      </c>
      <c r="S9020" t="s">
        <v>7689</v>
      </c>
    </row>
    <row r="9021" spans="1:19" x14ac:dyDescent="0.25">
      <c r="A9021" t="s">
        <v>30</v>
      </c>
      <c r="B9021" t="s">
        <v>31</v>
      </c>
      <c r="C9021" t="s">
        <v>32</v>
      </c>
      <c r="D9021" t="s">
        <v>953</v>
      </c>
      <c r="F9021" t="s">
        <v>35</v>
      </c>
      <c r="G9021" t="s">
        <v>35</v>
      </c>
      <c r="H9021" t="s">
        <v>35</v>
      </c>
      <c r="J9021" t="s">
        <v>8004</v>
      </c>
      <c r="K9021" t="s">
        <v>1092</v>
      </c>
      <c r="M9021">
        <v>0.36</v>
      </c>
      <c r="N9021">
        <v>2238</v>
      </c>
      <c r="O9021" t="s">
        <v>575</v>
      </c>
      <c r="Q9021" t="s">
        <v>8005</v>
      </c>
      <c r="R9021" t="s">
        <v>8006</v>
      </c>
      <c r="S9021" t="s">
        <v>8007</v>
      </c>
    </row>
    <row r="9022" spans="1:19" x14ac:dyDescent="0.25">
      <c r="A9022" t="s">
        <v>59</v>
      </c>
      <c r="B9022" t="s">
        <v>31</v>
      </c>
      <c r="C9022" t="s">
        <v>32</v>
      </c>
      <c r="D9022" t="s">
        <v>953</v>
      </c>
      <c r="F9022" t="s">
        <v>35</v>
      </c>
      <c r="G9022" t="s">
        <v>35</v>
      </c>
      <c r="H9022" t="s">
        <v>35</v>
      </c>
      <c r="J9022" t="s">
        <v>8009</v>
      </c>
      <c r="K9022" t="s">
        <v>1092</v>
      </c>
      <c r="M9022">
        <v>5.0000000000000001E-3</v>
      </c>
      <c r="N9022">
        <v>2124</v>
      </c>
      <c r="O9022" t="s">
        <v>575</v>
      </c>
      <c r="Q9022" t="s">
        <v>8010</v>
      </c>
      <c r="R9022" t="s">
        <v>8011</v>
      </c>
      <c r="S9022" t="s">
        <v>6907</v>
      </c>
    </row>
    <row r="9023" spans="1:19" x14ac:dyDescent="0.25">
      <c r="A9023" t="s">
        <v>59</v>
      </c>
      <c r="B9023" t="s">
        <v>31</v>
      </c>
      <c r="C9023" t="s">
        <v>32</v>
      </c>
      <c r="D9023" t="s">
        <v>953</v>
      </c>
      <c r="F9023" t="s">
        <v>35</v>
      </c>
      <c r="G9023" t="s">
        <v>35</v>
      </c>
      <c r="H9023" t="s">
        <v>35</v>
      </c>
      <c r="J9023" t="s">
        <v>8013</v>
      </c>
      <c r="K9023" t="s">
        <v>1092</v>
      </c>
      <c r="M9023">
        <v>0.3</v>
      </c>
      <c r="N9023">
        <v>2673</v>
      </c>
      <c r="O9023" t="s">
        <v>575</v>
      </c>
      <c r="Q9023" t="s">
        <v>1486</v>
      </c>
      <c r="R9023" t="s">
        <v>1487</v>
      </c>
      <c r="S9023" t="s">
        <v>1488</v>
      </c>
    </row>
    <row r="9024" spans="1:19" x14ac:dyDescent="0.25">
      <c r="A9024" t="s">
        <v>59</v>
      </c>
      <c r="B9024" t="s">
        <v>31</v>
      </c>
      <c r="C9024" t="s">
        <v>32</v>
      </c>
      <c r="D9024" t="s">
        <v>953</v>
      </c>
      <c r="F9024" t="s">
        <v>35</v>
      </c>
      <c r="G9024" t="s">
        <v>35</v>
      </c>
      <c r="H9024" t="s">
        <v>35</v>
      </c>
      <c r="J9024" t="s">
        <v>8014</v>
      </c>
      <c r="K9024" t="s">
        <v>1092</v>
      </c>
      <c r="M9024">
        <v>0.9</v>
      </c>
      <c r="N9024">
        <v>1911</v>
      </c>
      <c r="O9024" t="s">
        <v>575</v>
      </c>
      <c r="Q9024" t="s">
        <v>3031</v>
      </c>
      <c r="R9024" t="s">
        <v>7311</v>
      </c>
      <c r="S9024" t="s">
        <v>7312</v>
      </c>
    </row>
    <row r="9025" spans="1:19" x14ac:dyDescent="0.25">
      <c r="A9025" t="s">
        <v>59</v>
      </c>
      <c r="B9025" t="s">
        <v>60</v>
      </c>
      <c r="C9025" t="s">
        <v>32</v>
      </c>
      <c r="D9025" t="s">
        <v>953</v>
      </c>
      <c r="F9025" t="s">
        <v>35</v>
      </c>
      <c r="G9025" t="s">
        <v>35</v>
      </c>
      <c r="H9025" t="s">
        <v>35</v>
      </c>
      <c r="J9025" t="s">
        <v>8014</v>
      </c>
      <c r="K9025" t="s">
        <v>1092</v>
      </c>
      <c r="M9025">
        <v>1.25</v>
      </c>
      <c r="N9025">
        <v>2673</v>
      </c>
      <c r="O9025" t="s">
        <v>575</v>
      </c>
      <c r="Q9025" t="s">
        <v>1486</v>
      </c>
      <c r="R9025" t="s">
        <v>1487</v>
      </c>
      <c r="S9025" t="s">
        <v>1488</v>
      </c>
    </row>
    <row r="9026" spans="1:19" x14ac:dyDescent="0.25">
      <c r="A9026" t="s">
        <v>59</v>
      </c>
      <c r="B9026" t="s">
        <v>31</v>
      </c>
      <c r="C9026" t="s">
        <v>32</v>
      </c>
      <c r="D9026" t="s">
        <v>953</v>
      </c>
      <c r="F9026" t="s">
        <v>35</v>
      </c>
      <c r="G9026" t="s">
        <v>35</v>
      </c>
      <c r="H9026" t="s">
        <v>35</v>
      </c>
      <c r="J9026" t="s">
        <v>8014</v>
      </c>
      <c r="K9026" t="s">
        <v>1092</v>
      </c>
      <c r="M9026">
        <v>0.76500000000000001</v>
      </c>
      <c r="N9026">
        <v>2673</v>
      </c>
      <c r="O9026" t="s">
        <v>575</v>
      </c>
      <c r="Q9026" t="s">
        <v>1486</v>
      </c>
      <c r="R9026" t="s">
        <v>1487</v>
      </c>
      <c r="S9026" t="s">
        <v>1488</v>
      </c>
    </row>
    <row r="9027" spans="1:19" x14ac:dyDescent="0.25">
      <c r="A9027" t="s">
        <v>59</v>
      </c>
      <c r="B9027" t="s">
        <v>60</v>
      </c>
      <c r="C9027" t="s">
        <v>32</v>
      </c>
      <c r="D9027" t="s">
        <v>953</v>
      </c>
      <c r="F9027" t="s">
        <v>35</v>
      </c>
      <c r="G9027" t="s">
        <v>35</v>
      </c>
      <c r="H9027" t="s">
        <v>35</v>
      </c>
      <c r="J9027" t="s">
        <v>8015</v>
      </c>
      <c r="K9027" t="s">
        <v>1092</v>
      </c>
      <c r="M9027">
        <v>0.1</v>
      </c>
      <c r="N9027">
        <v>2586</v>
      </c>
      <c r="O9027" t="s">
        <v>575</v>
      </c>
      <c r="Q9027" t="s">
        <v>6690</v>
      </c>
      <c r="R9027" t="s">
        <v>7421</v>
      </c>
      <c r="S9027" t="s">
        <v>7422</v>
      </c>
    </row>
    <row r="9028" spans="1:19" x14ac:dyDescent="0.25">
      <c r="A9028" t="s">
        <v>30</v>
      </c>
      <c r="B9028" t="s">
        <v>31</v>
      </c>
      <c r="C9028" t="s">
        <v>32</v>
      </c>
      <c r="D9028" t="s">
        <v>953</v>
      </c>
      <c r="F9028" t="s">
        <v>35</v>
      </c>
      <c r="G9028" t="s">
        <v>35</v>
      </c>
      <c r="H9028" t="s">
        <v>35</v>
      </c>
      <c r="J9028" t="s">
        <v>8016</v>
      </c>
      <c r="K9028" t="s">
        <v>1092</v>
      </c>
      <c r="M9028">
        <v>0.495</v>
      </c>
      <c r="N9028">
        <v>2612</v>
      </c>
      <c r="O9028" t="s">
        <v>575</v>
      </c>
      <c r="Q9028" t="s">
        <v>8017</v>
      </c>
      <c r="R9028" t="s">
        <v>8018</v>
      </c>
      <c r="S9028" t="s">
        <v>8019</v>
      </c>
    </row>
    <row r="9029" spans="1:19" x14ac:dyDescent="0.25">
      <c r="A9029" t="s">
        <v>59</v>
      </c>
      <c r="B9029" t="s">
        <v>60</v>
      </c>
      <c r="C9029" t="s">
        <v>32</v>
      </c>
      <c r="D9029" t="s">
        <v>953</v>
      </c>
      <c r="F9029" t="s">
        <v>35</v>
      </c>
      <c r="G9029" t="s">
        <v>35</v>
      </c>
      <c r="H9029" t="s">
        <v>35</v>
      </c>
      <c r="J9029" t="s">
        <v>8021</v>
      </c>
      <c r="K9029" t="s">
        <v>1092</v>
      </c>
      <c r="M9029">
        <v>3</v>
      </c>
      <c r="N9029">
        <v>1216</v>
      </c>
      <c r="O9029" t="s">
        <v>575</v>
      </c>
      <c r="Q9029" t="s">
        <v>8022</v>
      </c>
      <c r="R9029" t="s">
        <v>6877</v>
      </c>
      <c r="S9029" t="s">
        <v>1041</v>
      </c>
    </row>
    <row r="9030" spans="1:19" x14ac:dyDescent="0.25">
      <c r="A9030" t="s">
        <v>59</v>
      </c>
      <c r="B9030" t="s">
        <v>60</v>
      </c>
      <c r="C9030" t="s">
        <v>32</v>
      </c>
      <c r="D9030" t="s">
        <v>953</v>
      </c>
      <c r="F9030" t="s">
        <v>35</v>
      </c>
      <c r="G9030" t="s">
        <v>35</v>
      </c>
      <c r="H9030" t="s">
        <v>35</v>
      </c>
      <c r="J9030" t="s">
        <v>8021</v>
      </c>
      <c r="K9030" t="s">
        <v>1092</v>
      </c>
      <c r="M9030">
        <v>1</v>
      </c>
      <c r="N9030">
        <v>1721</v>
      </c>
      <c r="O9030" t="s">
        <v>575</v>
      </c>
      <c r="Q9030" t="s">
        <v>7964</v>
      </c>
      <c r="R9030" t="s">
        <v>6742</v>
      </c>
      <c r="S9030" t="s">
        <v>1016</v>
      </c>
    </row>
    <row r="9031" spans="1:19" x14ac:dyDescent="0.25">
      <c r="A9031" t="s">
        <v>59</v>
      </c>
      <c r="B9031" t="s">
        <v>60</v>
      </c>
      <c r="C9031" t="s">
        <v>32</v>
      </c>
      <c r="D9031" t="s">
        <v>953</v>
      </c>
      <c r="F9031" t="s">
        <v>35</v>
      </c>
      <c r="G9031" t="s">
        <v>35</v>
      </c>
      <c r="H9031" t="s">
        <v>35</v>
      </c>
      <c r="J9031" t="s">
        <v>8023</v>
      </c>
      <c r="K9031" t="s">
        <v>1092</v>
      </c>
      <c r="M9031">
        <v>0.25</v>
      </c>
      <c r="N9031">
        <v>1576</v>
      </c>
      <c r="O9031" t="s">
        <v>575</v>
      </c>
      <c r="Q9031" t="s">
        <v>8024</v>
      </c>
      <c r="R9031" t="s">
        <v>6720</v>
      </c>
      <c r="S9031" t="s">
        <v>961</v>
      </c>
    </row>
    <row r="9032" spans="1:19" x14ac:dyDescent="0.25">
      <c r="A9032" t="s">
        <v>59</v>
      </c>
      <c r="B9032" t="s">
        <v>60</v>
      </c>
      <c r="C9032" t="s">
        <v>32</v>
      </c>
      <c r="D9032" t="s">
        <v>953</v>
      </c>
      <c r="F9032" t="s">
        <v>35</v>
      </c>
      <c r="G9032" t="s">
        <v>35</v>
      </c>
      <c r="H9032" t="s">
        <v>35</v>
      </c>
      <c r="J9032" t="s">
        <v>8023</v>
      </c>
      <c r="K9032" t="s">
        <v>1092</v>
      </c>
      <c r="M9032">
        <v>0.05</v>
      </c>
      <c r="N9032">
        <v>1637</v>
      </c>
      <c r="O9032" t="s">
        <v>575</v>
      </c>
      <c r="Q9032" t="s">
        <v>8026</v>
      </c>
      <c r="R9032" t="s">
        <v>6720</v>
      </c>
      <c r="S9032" t="s">
        <v>961</v>
      </c>
    </row>
    <row r="9033" spans="1:19" x14ac:dyDescent="0.25">
      <c r="A9033" t="s">
        <v>59</v>
      </c>
      <c r="B9033" t="s">
        <v>60</v>
      </c>
      <c r="C9033" t="s">
        <v>32</v>
      </c>
      <c r="D9033" t="s">
        <v>953</v>
      </c>
      <c r="F9033" t="s">
        <v>35</v>
      </c>
      <c r="G9033" t="s">
        <v>35</v>
      </c>
      <c r="H9033" t="s">
        <v>35</v>
      </c>
      <c r="J9033" t="s">
        <v>8023</v>
      </c>
      <c r="K9033" t="s">
        <v>1092</v>
      </c>
      <c r="M9033">
        <v>0.5</v>
      </c>
      <c r="N9033">
        <v>1488</v>
      </c>
      <c r="O9033" t="s">
        <v>575</v>
      </c>
      <c r="Q9033" t="s">
        <v>8025</v>
      </c>
      <c r="R9033" t="s">
        <v>6720</v>
      </c>
      <c r="S9033" t="s">
        <v>961</v>
      </c>
    </row>
    <row r="9034" spans="1:19" x14ac:dyDescent="0.25">
      <c r="A9034" t="s">
        <v>59</v>
      </c>
      <c r="B9034" t="s">
        <v>60</v>
      </c>
      <c r="C9034" t="s">
        <v>32</v>
      </c>
      <c r="D9034" t="s">
        <v>953</v>
      </c>
      <c r="F9034" t="s">
        <v>35</v>
      </c>
      <c r="G9034" t="s">
        <v>35</v>
      </c>
      <c r="H9034" t="s">
        <v>35</v>
      </c>
      <c r="J9034" t="s">
        <v>8027</v>
      </c>
      <c r="K9034" t="s">
        <v>1092</v>
      </c>
      <c r="M9034">
        <v>1.75</v>
      </c>
      <c r="N9034">
        <v>1177</v>
      </c>
      <c r="O9034" t="s">
        <v>575</v>
      </c>
      <c r="Q9034" t="s">
        <v>8028</v>
      </c>
      <c r="R9034" t="s">
        <v>6721</v>
      </c>
      <c r="S9034" t="s">
        <v>1078</v>
      </c>
    </row>
    <row r="9035" spans="1:19" x14ac:dyDescent="0.25">
      <c r="A9035" t="s">
        <v>59</v>
      </c>
      <c r="B9035" t="s">
        <v>60</v>
      </c>
      <c r="C9035" t="s">
        <v>32</v>
      </c>
      <c r="D9035" t="s">
        <v>953</v>
      </c>
      <c r="F9035" t="s">
        <v>35</v>
      </c>
      <c r="G9035" t="s">
        <v>35</v>
      </c>
      <c r="H9035" t="s">
        <v>35</v>
      </c>
      <c r="J9035" t="s">
        <v>8029</v>
      </c>
      <c r="K9035" t="s">
        <v>1092</v>
      </c>
      <c r="M9035">
        <v>0.08</v>
      </c>
      <c r="N9035">
        <v>2673</v>
      </c>
      <c r="O9035" t="s">
        <v>575</v>
      </c>
      <c r="Q9035" t="s">
        <v>1486</v>
      </c>
      <c r="R9035" t="s">
        <v>1487</v>
      </c>
      <c r="S9035" t="s">
        <v>1488</v>
      </c>
    </row>
    <row r="9036" spans="1:19" x14ac:dyDescent="0.25">
      <c r="A9036" t="s">
        <v>30</v>
      </c>
      <c r="B9036" t="s">
        <v>31</v>
      </c>
      <c r="C9036" t="s">
        <v>32</v>
      </c>
      <c r="D9036" t="s">
        <v>953</v>
      </c>
      <c r="F9036" t="s">
        <v>35</v>
      </c>
      <c r="G9036" t="s">
        <v>35</v>
      </c>
      <c r="H9036" t="s">
        <v>35</v>
      </c>
      <c r="J9036" t="s">
        <v>8030</v>
      </c>
      <c r="K9036" t="s">
        <v>1092</v>
      </c>
      <c r="M9036">
        <v>0.35499999999999998</v>
      </c>
      <c r="N9036">
        <v>1981</v>
      </c>
      <c r="O9036" t="s">
        <v>575</v>
      </c>
      <c r="Q9036" t="s">
        <v>1137</v>
      </c>
      <c r="R9036" t="s">
        <v>6707</v>
      </c>
      <c r="S9036" t="s">
        <v>955</v>
      </c>
    </row>
    <row r="9037" spans="1:19" x14ac:dyDescent="0.25">
      <c r="A9037" t="s">
        <v>59</v>
      </c>
      <c r="B9037" t="s">
        <v>31</v>
      </c>
      <c r="C9037" t="s">
        <v>32</v>
      </c>
      <c r="D9037" t="s">
        <v>953</v>
      </c>
      <c r="F9037" t="s">
        <v>35</v>
      </c>
      <c r="G9037" t="s">
        <v>35</v>
      </c>
      <c r="H9037" t="s">
        <v>35</v>
      </c>
      <c r="J9037" t="s">
        <v>8031</v>
      </c>
      <c r="K9037" t="s">
        <v>1092</v>
      </c>
      <c r="M9037">
        <v>1.89</v>
      </c>
      <c r="N9037">
        <v>1242</v>
      </c>
      <c r="O9037" t="s">
        <v>575</v>
      </c>
      <c r="Q9037" t="s">
        <v>4887</v>
      </c>
      <c r="R9037" t="s">
        <v>6709</v>
      </c>
      <c r="S9037" t="s">
        <v>1022</v>
      </c>
    </row>
    <row r="9038" spans="1:19" x14ac:dyDescent="0.25">
      <c r="A9038" t="s">
        <v>30</v>
      </c>
      <c r="B9038" t="s">
        <v>31</v>
      </c>
      <c r="C9038" t="s">
        <v>32</v>
      </c>
      <c r="D9038" t="s">
        <v>953</v>
      </c>
      <c r="F9038" t="s">
        <v>35</v>
      </c>
      <c r="G9038" t="s">
        <v>35</v>
      </c>
      <c r="H9038" t="s">
        <v>35</v>
      </c>
      <c r="J9038" t="s">
        <v>8031</v>
      </c>
      <c r="K9038" t="s">
        <v>1092</v>
      </c>
      <c r="M9038">
        <v>1.17</v>
      </c>
      <c r="N9038">
        <v>1249</v>
      </c>
      <c r="O9038" t="s">
        <v>575</v>
      </c>
      <c r="Q9038" t="s">
        <v>3627</v>
      </c>
      <c r="R9038" t="s">
        <v>133</v>
      </c>
      <c r="S9038" t="s">
        <v>134</v>
      </c>
    </row>
    <row r="9039" spans="1:19" x14ac:dyDescent="0.25">
      <c r="A9039" t="s">
        <v>59</v>
      </c>
      <c r="B9039" t="s">
        <v>31</v>
      </c>
      <c r="C9039" t="s">
        <v>32</v>
      </c>
      <c r="D9039" t="s">
        <v>953</v>
      </c>
      <c r="F9039" t="s">
        <v>35</v>
      </c>
      <c r="G9039" t="s">
        <v>35</v>
      </c>
      <c r="H9039" t="s">
        <v>35</v>
      </c>
      <c r="J9039" t="s">
        <v>8031</v>
      </c>
      <c r="K9039" t="s">
        <v>1092</v>
      </c>
      <c r="M9039">
        <v>6.6150000000000002</v>
      </c>
      <c r="N9039">
        <v>1175</v>
      </c>
      <c r="O9039" t="s">
        <v>575</v>
      </c>
      <c r="Q9039" t="s">
        <v>7941</v>
      </c>
      <c r="R9039" t="s">
        <v>6709</v>
      </c>
      <c r="S9039" t="s">
        <v>1022</v>
      </c>
    </row>
    <row r="9040" spans="1:19" x14ac:dyDescent="0.25">
      <c r="A9040" t="s">
        <v>59</v>
      </c>
      <c r="B9040" t="s">
        <v>60</v>
      </c>
      <c r="C9040" t="s">
        <v>32</v>
      </c>
      <c r="D9040" t="s">
        <v>953</v>
      </c>
      <c r="F9040" t="s">
        <v>35</v>
      </c>
      <c r="G9040" t="s">
        <v>35</v>
      </c>
      <c r="H9040" t="s">
        <v>35</v>
      </c>
      <c r="J9040" t="s">
        <v>8032</v>
      </c>
      <c r="K9040" t="s">
        <v>1092</v>
      </c>
      <c r="M9040">
        <v>0.14499999999999999</v>
      </c>
      <c r="N9040">
        <v>2591</v>
      </c>
      <c r="O9040" t="s">
        <v>575</v>
      </c>
      <c r="Q9040" t="s">
        <v>8033</v>
      </c>
      <c r="R9040" t="s">
        <v>6721</v>
      </c>
      <c r="S9040" t="s">
        <v>1078</v>
      </c>
    </row>
    <row r="9041" spans="1:19" x14ac:dyDescent="0.25">
      <c r="A9041" t="s">
        <v>59</v>
      </c>
      <c r="B9041" t="s">
        <v>31</v>
      </c>
      <c r="C9041" t="s">
        <v>32</v>
      </c>
      <c r="D9041" t="s">
        <v>953</v>
      </c>
      <c r="F9041" t="s">
        <v>35</v>
      </c>
      <c r="G9041" t="s">
        <v>35</v>
      </c>
      <c r="H9041" t="s">
        <v>35</v>
      </c>
      <c r="J9041" t="s">
        <v>8032</v>
      </c>
      <c r="K9041" t="s">
        <v>1092</v>
      </c>
      <c r="M9041">
        <v>0.35499999999999998</v>
      </c>
      <c r="N9041">
        <v>2591</v>
      </c>
      <c r="O9041" t="s">
        <v>575</v>
      </c>
      <c r="Q9041" t="s">
        <v>8033</v>
      </c>
      <c r="R9041" t="s">
        <v>6721</v>
      </c>
      <c r="S9041" t="s">
        <v>1078</v>
      </c>
    </row>
    <row r="9042" spans="1:19" x14ac:dyDescent="0.25">
      <c r="A9042" t="s">
        <v>30</v>
      </c>
      <c r="B9042" t="s">
        <v>31</v>
      </c>
      <c r="C9042" t="s">
        <v>32</v>
      </c>
      <c r="D9042" t="s">
        <v>953</v>
      </c>
      <c r="F9042" t="s">
        <v>35</v>
      </c>
      <c r="G9042" t="s">
        <v>35</v>
      </c>
      <c r="H9042" t="s">
        <v>35</v>
      </c>
      <c r="J9042" t="s">
        <v>8034</v>
      </c>
      <c r="K9042" t="s">
        <v>1092</v>
      </c>
      <c r="M9042">
        <v>2.7</v>
      </c>
      <c r="N9042">
        <v>1197</v>
      </c>
      <c r="O9042" t="s">
        <v>575</v>
      </c>
      <c r="Q9042" t="s">
        <v>2473</v>
      </c>
      <c r="R9042" t="s">
        <v>7029</v>
      </c>
      <c r="S9042" t="s">
        <v>7030</v>
      </c>
    </row>
    <row r="9043" spans="1:19" x14ac:dyDescent="0.25">
      <c r="A9043" t="s">
        <v>59</v>
      </c>
      <c r="B9043" t="s">
        <v>60</v>
      </c>
      <c r="C9043" t="s">
        <v>32</v>
      </c>
      <c r="D9043" t="s">
        <v>953</v>
      </c>
      <c r="F9043" t="s">
        <v>35</v>
      </c>
      <c r="G9043" t="s">
        <v>35</v>
      </c>
      <c r="H9043" t="s">
        <v>35</v>
      </c>
      <c r="J9043" t="s">
        <v>8034</v>
      </c>
      <c r="K9043" t="s">
        <v>1092</v>
      </c>
      <c r="M9043">
        <v>2.0499999999999998</v>
      </c>
      <c r="N9043">
        <v>1152</v>
      </c>
      <c r="O9043" t="s">
        <v>575</v>
      </c>
      <c r="Q9043" t="s">
        <v>8035</v>
      </c>
      <c r="R9043" t="s">
        <v>133</v>
      </c>
      <c r="S9043" t="s">
        <v>134</v>
      </c>
    </row>
    <row r="9044" spans="1:19" x14ac:dyDescent="0.25">
      <c r="A9044" t="s">
        <v>30</v>
      </c>
      <c r="B9044" t="s">
        <v>31</v>
      </c>
      <c r="C9044" t="s">
        <v>32</v>
      </c>
      <c r="D9044" t="s">
        <v>953</v>
      </c>
      <c r="F9044" t="s">
        <v>35</v>
      </c>
      <c r="G9044" t="s">
        <v>35</v>
      </c>
      <c r="H9044" t="s">
        <v>35</v>
      </c>
      <c r="J9044" t="s">
        <v>8036</v>
      </c>
      <c r="K9044" t="s">
        <v>1092</v>
      </c>
      <c r="M9044">
        <v>8.7999999999999995E-2</v>
      </c>
      <c r="N9044">
        <v>2450</v>
      </c>
      <c r="O9044" t="s">
        <v>575</v>
      </c>
      <c r="Q9044" t="s">
        <v>8037</v>
      </c>
      <c r="R9044" t="s">
        <v>6709</v>
      </c>
      <c r="S9044" t="s">
        <v>1022</v>
      </c>
    </row>
    <row r="9045" spans="1:19" x14ac:dyDescent="0.25">
      <c r="A9045" t="s">
        <v>59</v>
      </c>
      <c r="B9045" t="s">
        <v>60</v>
      </c>
      <c r="C9045" t="s">
        <v>32</v>
      </c>
      <c r="D9045" t="s">
        <v>953</v>
      </c>
      <c r="F9045" t="s">
        <v>35</v>
      </c>
      <c r="G9045" t="s">
        <v>35</v>
      </c>
      <c r="H9045" t="s">
        <v>35</v>
      </c>
      <c r="J9045" t="s">
        <v>8036</v>
      </c>
      <c r="K9045" t="s">
        <v>1092</v>
      </c>
      <c r="M9045">
        <v>1.7649999999999999</v>
      </c>
      <c r="N9045">
        <v>2450</v>
      </c>
      <c r="O9045" t="s">
        <v>575</v>
      </c>
      <c r="Q9045" t="s">
        <v>8037</v>
      </c>
      <c r="R9045" t="s">
        <v>6709</v>
      </c>
      <c r="S9045" t="s">
        <v>1022</v>
      </c>
    </row>
    <row r="9046" spans="1:19" x14ac:dyDescent="0.25">
      <c r="A9046" t="s">
        <v>59</v>
      </c>
      <c r="B9046" t="s">
        <v>60</v>
      </c>
      <c r="C9046" t="s">
        <v>32</v>
      </c>
      <c r="D9046" t="s">
        <v>953</v>
      </c>
      <c r="F9046" t="s">
        <v>35</v>
      </c>
      <c r="G9046" t="s">
        <v>35</v>
      </c>
      <c r="H9046" t="s">
        <v>35</v>
      </c>
      <c r="J9046" t="s">
        <v>8038</v>
      </c>
      <c r="K9046" t="s">
        <v>1092</v>
      </c>
      <c r="M9046">
        <v>0.2</v>
      </c>
      <c r="N9046">
        <v>2016</v>
      </c>
      <c r="O9046" t="s">
        <v>575</v>
      </c>
      <c r="Q9046" t="s">
        <v>8039</v>
      </c>
      <c r="R9046" t="s">
        <v>6847</v>
      </c>
      <c r="S9046" t="s">
        <v>1034</v>
      </c>
    </row>
    <row r="9047" spans="1:19" x14ac:dyDescent="0.25">
      <c r="A9047" t="s">
        <v>59</v>
      </c>
      <c r="B9047" t="s">
        <v>31</v>
      </c>
      <c r="C9047" t="s">
        <v>32</v>
      </c>
      <c r="D9047" t="s">
        <v>953</v>
      </c>
      <c r="F9047" t="s">
        <v>35</v>
      </c>
      <c r="G9047" t="s">
        <v>35</v>
      </c>
      <c r="H9047" t="s">
        <v>35</v>
      </c>
      <c r="J9047" t="s">
        <v>8038</v>
      </c>
      <c r="K9047" t="s">
        <v>1092</v>
      </c>
      <c r="M9047">
        <v>4.59</v>
      </c>
      <c r="N9047">
        <v>2021</v>
      </c>
      <c r="O9047" t="s">
        <v>575</v>
      </c>
      <c r="Q9047" t="s">
        <v>1671</v>
      </c>
      <c r="R9047" t="s">
        <v>6847</v>
      </c>
      <c r="S9047" t="s">
        <v>1034</v>
      </c>
    </row>
    <row r="9048" spans="1:19" x14ac:dyDescent="0.25">
      <c r="A9048" t="s">
        <v>59</v>
      </c>
      <c r="B9048" t="s">
        <v>31</v>
      </c>
      <c r="C9048" t="s">
        <v>32</v>
      </c>
      <c r="D9048" t="s">
        <v>953</v>
      </c>
      <c r="F9048" t="s">
        <v>35</v>
      </c>
      <c r="G9048" t="s">
        <v>35</v>
      </c>
      <c r="H9048" t="s">
        <v>35</v>
      </c>
      <c r="J9048" t="s">
        <v>8040</v>
      </c>
      <c r="K9048" t="s">
        <v>1092</v>
      </c>
      <c r="M9048">
        <v>1.125</v>
      </c>
      <c r="N9048">
        <v>1426</v>
      </c>
      <c r="O9048" t="s">
        <v>575</v>
      </c>
      <c r="Q9048" t="s">
        <v>3488</v>
      </c>
      <c r="R9048" t="s">
        <v>133</v>
      </c>
      <c r="S9048" t="s">
        <v>134</v>
      </c>
    </row>
    <row r="9049" spans="1:19" x14ac:dyDescent="0.25">
      <c r="A9049" t="s">
        <v>59</v>
      </c>
      <c r="B9049" t="s">
        <v>31</v>
      </c>
      <c r="C9049" t="s">
        <v>32</v>
      </c>
      <c r="D9049" t="s">
        <v>953</v>
      </c>
      <c r="F9049" t="s">
        <v>35</v>
      </c>
      <c r="G9049" t="s">
        <v>35</v>
      </c>
      <c r="H9049" t="s">
        <v>35</v>
      </c>
      <c r="J9049" t="s">
        <v>8040</v>
      </c>
      <c r="K9049" t="s">
        <v>1092</v>
      </c>
      <c r="M9049">
        <v>1.9350000000000001</v>
      </c>
      <c r="N9049">
        <v>1430</v>
      </c>
      <c r="O9049" t="s">
        <v>575</v>
      </c>
      <c r="Q9049" t="s">
        <v>2273</v>
      </c>
      <c r="R9049" t="s">
        <v>6877</v>
      </c>
      <c r="S9049" t="s">
        <v>1041</v>
      </c>
    </row>
    <row r="9050" spans="1:19" x14ac:dyDescent="0.25">
      <c r="A9050" t="s">
        <v>59</v>
      </c>
      <c r="B9050" t="s">
        <v>60</v>
      </c>
      <c r="C9050" t="s">
        <v>32</v>
      </c>
      <c r="D9050" t="s">
        <v>953</v>
      </c>
      <c r="F9050" t="s">
        <v>35</v>
      </c>
      <c r="G9050" t="s">
        <v>35</v>
      </c>
      <c r="H9050" t="s">
        <v>35</v>
      </c>
      <c r="J9050" t="s">
        <v>8040</v>
      </c>
      <c r="K9050" t="s">
        <v>1092</v>
      </c>
      <c r="M9050">
        <v>0.75</v>
      </c>
      <c r="N9050">
        <v>1243</v>
      </c>
      <c r="O9050" t="s">
        <v>575</v>
      </c>
      <c r="Q9050" t="s">
        <v>2998</v>
      </c>
      <c r="R9050" t="s">
        <v>7199</v>
      </c>
      <c r="S9050" t="s">
        <v>1069</v>
      </c>
    </row>
    <row r="9051" spans="1:19" x14ac:dyDescent="0.25">
      <c r="A9051" t="s">
        <v>30</v>
      </c>
      <c r="B9051" t="s">
        <v>31</v>
      </c>
      <c r="C9051" t="s">
        <v>32</v>
      </c>
      <c r="D9051" t="s">
        <v>953</v>
      </c>
      <c r="F9051" t="s">
        <v>35</v>
      </c>
      <c r="G9051" t="s">
        <v>35</v>
      </c>
      <c r="H9051" t="s">
        <v>35</v>
      </c>
      <c r="J9051" t="s">
        <v>8040</v>
      </c>
      <c r="K9051" t="s">
        <v>1092</v>
      </c>
      <c r="M9051">
        <v>3.78</v>
      </c>
      <c r="N9051">
        <v>1248</v>
      </c>
      <c r="O9051" t="s">
        <v>575</v>
      </c>
      <c r="Q9051" t="s">
        <v>8041</v>
      </c>
      <c r="R9051" t="s">
        <v>133</v>
      </c>
      <c r="S9051" t="s">
        <v>134</v>
      </c>
    </row>
    <row r="9052" spans="1:19" x14ac:dyDescent="0.25">
      <c r="A9052" t="s">
        <v>59</v>
      </c>
      <c r="B9052" t="s">
        <v>31</v>
      </c>
      <c r="C9052" t="s">
        <v>32</v>
      </c>
      <c r="D9052" t="s">
        <v>953</v>
      </c>
      <c r="F9052" t="s">
        <v>35</v>
      </c>
      <c r="G9052" t="s">
        <v>35</v>
      </c>
      <c r="H9052" t="s">
        <v>35</v>
      </c>
      <c r="J9052" t="s">
        <v>8042</v>
      </c>
      <c r="K9052" t="s">
        <v>1092</v>
      </c>
      <c r="M9052">
        <v>0.85</v>
      </c>
      <c r="N9052">
        <v>1171</v>
      </c>
      <c r="O9052" t="s">
        <v>575</v>
      </c>
      <c r="Q9052" t="s">
        <v>5807</v>
      </c>
      <c r="R9052" t="s">
        <v>6707</v>
      </c>
      <c r="S9052" t="s">
        <v>955</v>
      </c>
    </row>
    <row r="9053" spans="1:19" x14ac:dyDescent="0.25">
      <c r="A9053" t="s">
        <v>30</v>
      </c>
      <c r="B9053" t="s">
        <v>31</v>
      </c>
      <c r="C9053" t="s">
        <v>32</v>
      </c>
      <c r="D9053" t="s">
        <v>953</v>
      </c>
      <c r="F9053" t="s">
        <v>35</v>
      </c>
      <c r="G9053" t="s">
        <v>35</v>
      </c>
      <c r="H9053" t="s">
        <v>35</v>
      </c>
      <c r="J9053" t="s">
        <v>8042</v>
      </c>
      <c r="K9053" t="s">
        <v>1092</v>
      </c>
      <c r="M9053">
        <v>0.68</v>
      </c>
      <c r="N9053">
        <v>1907</v>
      </c>
      <c r="O9053" t="s">
        <v>575</v>
      </c>
      <c r="Q9053" t="s">
        <v>8043</v>
      </c>
      <c r="R9053" t="s">
        <v>6720</v>
      </c>
      <c r="S9053" t="s">
        <v>961</v>
      </c>
    </row>
    <row r="9054" spans="1:19" x14ac:dyDescent="0.25">
      <c r="A9054" t="s">
        <v>59</v>
      </c>
      <c r="B9054" t="s">
        <v>31</v>
      </c>
      <c r="C9054" t="s">
        <v>32</v>
      </c>
      <c r="D9054" t="s">
        <v>953</v>
      </c>
      <c r="F9054" t="s">
        <v>35</v>
      </c>
      <c r="G9054" t="s">
        <v>35</v>
      </c>
      <c r="H9054" t="s">
        <v>35</v>
      </c>
      <c r="J9054" t="s">
        <v>8044</v>
      </c>
      <c r="K9054" t="s">
        <v>1092</v>
      </c>
      <c r="M9054">
        <v>1.665</v>
      </c>
      <c r="N9054">
        <v>1178</v>
      </c>
      <c r="O9054" t="s">
        <v>575</v>
      </c>
      <c r="Q9054" t="s">
        <v>2326</v>
      </c>
      <c r="R9054" t="s">
        <v>6742</v>
      </c>
      <c r="S9054" t="s">
        <v>1016</v>
      </c>
    </row>
    <row r="9055" spans="1:19" x14ac:dyDescent="0.25">
      <c r="A9055" t="s">
        <v>59</v>
      </c>
      <c r="B9055" t="s">
        <v>31</v>
      </c>
      <c r="C9055" t="s">
        <v>32</v>
      </c>
      <c r="D9055" t="s">
        <v>953</v>
      </c>
      <c r="F9055" t="s">
        <v>35</v>
      </c>
      <c r="G9055" t="s">
        <v>35</v>
      </c>
      <c r="H9055" t="s">
        <v>35</v>
      </c>
      <c r="J9055" t="s">
        <v>8045</v>
      </c>
      <c r="K9055" t="s">
        <v>1092</v>
      </c>
      <c r="M9055">
        <v>0.125</v>
      </c>
      <c r="N9055">
        <v>2172</v>
      </c>
      <c r="O9055" t="s">
        <v>575</v>
      </c>
      <c r="Q9055" t="s">
        <v>8046</v>
      </c>
      <c r="R9055" t="s">
        <v>7255</v>
      </c>
      <c r="S9055" t="s">
        <v>7256</v>
      </c>
    </row>
    <row r="9056" spans="1:19" x14ac:dyDescent="0.25">
      <c r="A9056" t="s">
        <v>59</v>
      </c>
      <c r="B9056" t="s">
        <v>60</v>
      </c>
      <c r="C9056" t="s">
        <v>32</v>
      </c>
      <c r="D9056" t="s">
        <v>953</v>
      </c>
      <c r="F9056" t="s">
        <v>35</v>
      </c>
      <c r="G9056" t="s">
        <v>35</v>
      </c>
      <c r="H9056" t="s">
        <v>35</v>
      </c>
      <c r="J9056" t="s">
        <v>8047</v>
      </c>
      <c r="K9056" t="s">
        <v>1092</v>
      </c>
      <c r="M9056">
        <v>0.15</v>
      </c>
      <c r="N9056">
        <v>2367</v>
      </c>
      <c r="O9056" t="s">
        <v>575</v>
      </c>
      <c r="Q9056" t="s">
        <v>8048</v>
      </c>
      <c r="R9056" t="s">
        <v>8049</v>
      </c>
      <c r="S9056" t="s">
        <v>8050</v>
      </c>
    </row>
    <row r="9057" spans="1:19" x14ac:dyDescent="0.25">
      <c r="A9057" t="s">
        <v>59</v>
      </c>
      <c r="B9057" t="s">
        <v>31</v>
      </c>
      <c r="C9057" t="s">
        <v>32</v>
      </c>
      <c r="D9057" t="s">
        <v>953</v>
      </c>
      <c r="F9057" t="s">
        <v>35</v>
      </c>
      <c r="G9057" t="s">
        <v>35</v>
      </c>
      <c r="H9057" t="s">
        <v>35</v>
      </c>
      <c r="J9057" t="s">
        <v>8047</v>
      </c>
      <c r="K9057" t="s">
        <v>1092</v>
      </c>
      <c r="M9057">
        <v>1.35</v>
      </c>
      <c r="N9057">
        <v>2557</v>
      </c>
      <c r="O9057" t="s">
        <v>575</v>
      </c>
      <c r="Q9057" t="s">
        <v>8052</v>
      </c>
      <c r="R9057" t="s">
        <v>8053</v>
      </c>
      <c r="S9057" t="s">
        <v>8054</v>
      </c>
    </row>
    <row r="9058" spans="1:19" x14ac:dyDescent="0.25">
      <c r="A9058" t="s">
        <v>59</v>
      </c>
      <c r="B9058" t="s">
        <v>60</v>
      </c>
      <c r="C9058" t="s">
        <v>32</v>
      </c>
      <c r="D9058" t="s">
        <v>953</v>
      </c>
      <c r="F9058" t="s">
        <v>35</v>
      </c>
      <c r="G9058" t="s">
        <v>35</v>
      </c>
      <c r="H9058" t="s">
        <v>35</v>
      </c>
      <c r="J9058" t="s">
        <v>6366</v>
      </c>
      <c r="K9058" t="s">
        <v>1092</v>
      </c>
      <c r="M9058">
        <v>2</v>
      </c>
      <c r="N9058">
        <v>941</v>
      </c>
      <c r="O9058" t="s">
        <v>575</v>
      </c>
      <c r="Q9058" t="s">
        <v>1526</v>
      </c>
      <c r="R9058" t="s">
        <v>6904</v>
      </c>
      <c r="S9058" t="s">
        <v>999</v>
      </c>
    </row>
    <row r="9059" spans="1:19" x14ac:dyDescent="0.25">
      <c r="A9059" t="s">
        <v>30</v>
      </c>
      <c r="B9059" t="s">
        <v>31</v>
      </c>
      <c r="C9059" t="s">
        <v>32</v>
      </c>
      <c r="D9059" t="s">
        <v>953</v>
      </c>
      <c r="F9059" t="s">
        <v>35</v>
      </c>
      <c r="G9059" t="s">
        <v>35</v>
      </c>
      <c r="H9059" t="s">
        <v>35</v>
      </c>
      <c r="J9059" t="s">
        <v>8056</v>
      </c>
      <c r="K9059" t="s">
        <v>1092</v>
      </c>
      <c r="M9059">
        <v>9.18</v>
      </c>
      <c r="N9059">
        <v>396</v>
      </c>
      <c r="O9059" t="s">
        <v>294</v>
      </c>
      <c r="Q9059" t="s">
        <v>8057</v>
      </c>
      <c r="R9059" t="s">
        <v>133</v>
      </c>
      <c r="S9059" t="s">
        <v>134</v>
      </c>
    </row>
    <row r="9060" spans="1:19" x14ac:dyDescent="0.25">
      <c r="A9060" t="s">
        <v>59</v>
      </c>
      <c r="B9060" t="s">
        <v>31</v>
      </c>
      <c r="C9060" t="s">
        <v>32</v>
      </c>
      <c r="D9060" t="s">
        <v>953</v>
      </c>
      <c r="F9060" t="s">
        <v>35</v>
      </c>
      <c r="G9060" t="s">
        <v>35</v>
      </c>
      <c r="H9060" t="s">
        <v>35</v>
      </c>
      <c r="J9060" t="s">
        <v>8058</v>
      </c>
      <c r="K9060" t="s">
        <v>1092</v>
      </c>
      <c r="M9060">
        <v>0.45</v>
      </c>
      <c r="N9060">
        <v>2241</v>
      </c>
      <c r="O9060" t="s">
        <v>575</v>
      </c>
      <c r="Q9060" t="s">
        <v>8059</v>
      </c>
      <c r="R9060" t="s">
        <v>8049</v>
      </c>
      <c r="S9060" t="s">
        <v>8050</v>
      </c>
    </row>
    <row r="9061" spans="1:19" x14ac:dyDescent="0.25">
      <c r="A9061" t="s">
        <v>59</v>
      </c>
      <c r="B9061" t="s">
        <v>60</v>
      </c>
      <c r="C9061" t="s">
        <v>32</v>
      </c>
      <c r="D9061" t="s">
        <v>953</v>
      </c>
      <c r="F9061" t="s">
        <v>35</v>
      </c>
      <c r="G9061" t="s">
        <v>35</v>
      </c>
      <c r="H9061" t="s">
        <v>35</v>
      </c>
      <c r="J9061" t="s">
        <v>8058</v>
      </c>
      <c r="K9061" t="s">
        <v>1092</v>
      </c>
      <c r="M9061">
        <v>0.75</v>
      </c>
      <c r="N9061">
        <v>2277</v>
      </c>
      <c r="O9061" t="s">
        <v>575</v>
      </c>
      <c r="Q9061" t="s">
        <v>2320</v>
      </c>
      <c r="R9061" t="s">
        <v>8049</v>
      </c>
      <c r="S9061" t="s">
        <v>8050</v>
      </c>
    </row>
    <row r="9062" spans="1:19" x14ac:dyDescent="0.25">
      <c r="A9062" t="s">
        <v>59</v>
      </c>
      <c r="B9062" t="s">
        <v>60</v>
      </c>
      <c r="C9062" t="s">
        <v>32</v>
      </c>
      <c r="D9062" t="s">
        <v>953</v>
      </c>
      <c r="F9062" t="s">
        <v>35</v>
      </c>
      <c r="G9062" t="s">
        <v>35</v>
      </c>
      <c r="H9062" t="s">
        <v>35</v>
      </c>
      <c r="J9062" t="s">
        <v>8060</v>
      </c>
      <c r="K9062" t="s">
        <v>1092</v>
      </c>
      <c r="M9062">
        <v>0.05</v>
      </c>
      <c r="N9062">
        <v>2191</v>
      </c>
      <c r="O9062" t="s">
        <v>575</v>
      </c>
      <c r="Q9062" t="s">
        <v>8061</v>
      </c>
      <c r="R9062" t="s">
        <v>8049</v>
      </c>
      <c r="S9062" t="s">
        <v>8050</v>
      </c>
    </row>
    <row r="9063" spans="1:19" x14ac:dyDescent="0.25">
      <c r="A9063" t="s">
        <v>59</v>
      </c>
      <c r="B9063" t="s">
        <v>60</v>
      </c>
      <c r="C9063" t="s">
        <v>32</v>
      </c>
      <c r="D9063" t="s">
        <v>953</v>
      </c>
      <c r="F9063" t="s">
        <v>35</v>
      </c>
      <c r="G9063" t="s">
        <v>35</v>
      </c>
      <c r="H9063" t="s">
        <v>35</v>
      </c>
      <c r="J9063" t="s">
        <v>8060</v>
      </c>
      <c r="K9063" t="s">
        <v>1092</v>
      </c>
      <c r="M9063">
        <v>0.25</v>
      </c>
      <c r="N9063">
        <v>2079</v>
      </c>
      <c r="O9063" t="s">
        <v>575</v>
      </c>
      <c r="Q9063" t="s">
        <v>7721</v>
      </c>
      <c r="R9063" t="s">
        <v>8049</v>
      </c>
      <c r="S9063" t="s">
        <v>8050</v>
      </c>
    </row>
    <row r="9064" spans="1:19" x14ac:dyDescent="0.25">
      <c r="A9064" t="s">
        <v>59</v>
      </c>
      <c r="B9064" t="s">
        <v>60</v>
      </c>
      <c r="C9064" t="s">
        <v>32</v>
      </c>
      <c r="D9064" t="s">
        <v>953</v>
      </c>
      <c r="F9064" t="s">
        <v>35</v>
      </c>
      <c r="G9064" t="s">
        <v>35</v>
      </c>
      <c r="H9064" t="s">
        <v>35</v>
      </c>
      <c r="J9064" t="s">
        <v>8062</v>
      </c>
      <c r="K9064" t="s">
        <v>1092</v>
      </c>
      <c r="M9064">
        <v>0.1</v>
      </c>
      <c r="N9064">
        <v>2545</v>
      </c>
      <c r="O9064" t="s">
        <v>575</v>
      </c>
      <c r="Q9064" t="s">
        <v>8063</v>
      </c>
      <c r="R9064" t="s">
        <v>8049</v>
      </c>
      <c r="S9064" t="s">
        <v>8050</v>
      </c>
    </row>
    <row r="9065" spans="1:19" x14ac:dyDescent="0.25">
      <c r="A9065" t="s">
        <v>59</v>
      </c>
      <c r="B9065" t="s">
        <v>31</v>
      </c>
      <c r="C9065" t="s">
        <v>32</v>
      </c>
      <c r="D9065" t="s">
        <v>953</v>
      </c>
      <c r="F9065" t="s">
        <v>35</v>
      </c>
      <c r="G9065" t="s">
        <v>35</v>
      </c>
      <c r="H9065" t="s">
        <v>35</v>
      </c>
      <c r="J9065" t="s">
        <v>8064</v>
      </c>
      <c r="K9065" t="s">
        <v>1092</v>
      </c>
      <c r="M9065">
        <v>1.97</v>
      </c>
      <c r="N9065">
        <v>1200</v>
      </c>
      <c r="O9065" t="s">
        <v>575</v>
      </c>
      <c r="Q9065" t="s">
        <v>3747</v>
      </c>
      <c r="R9065" t="s">
        <v>133</v>
      </c>
      <c r="S9065" t="s">
        <v>134</v>
      </c>
    </row>
    <row r="9066" spans="1:19" x14ac:dyDescent="0.25">
      <c r="A9066" t="s">
        <v>59</v>
      </c>
      <c r="B9066" t="s">
        <v>60</v>
      </c>
      <c r="C9066" t="s">
        <v>32</v>
      </c>
      <c r="D9066" t="s">
        <v>953</v>
      </c>
      <c r="F9066" t="s">
        <v>35</v>
      </c>
      <c r="G9066" t="s">
        <v>35</v>
      </c>
      <c r="H9066" t="s">
        <v>35</v>
      </c>
      <c r="J9066" t="s">
        <v>8065</v>
      </c>
      <c r="K9066" t="s">
        <v>1092</v>
      </c>
      <c r="M9066">
        <v>0.3</v>
      </c>
      <c r="N9066">
        <v>2304</v>
      </c>
      <c r="O9066" t="s">
        <v>575</v>
      </c>
      <c r="Q9066" t="s">
        <v>8070</v>
      </c>
      <c r="R9066" t="s">
        <v>8067</v>
      </c>
      <c r="S9066" t="s">
        <v>8068</v>
      </c>
    </row>
    <row r="9067" spans="1:19" x14ac:dyDescent="0.25">
      <c r="A9067" t="s">
        <v>59</v>
      </c>
      <c r="B9067" t="s">
        <v>60</v>
      </c>
      <c r="C9067" t="s">
        <v>32</v>
      </c>
      <c r="D9067" t="s">
        <v>953</v>
      </c>
      <c r="F9067" t="s">
        <v>35</v>
      </c>
      <c r="G9067" t="s">
        <v>35</v>
      </c>
      <c r="H9067" t="s">
        <v>35</v>
      </c>
      <c r="J9067" t="s">
        <v>8065</v>
      </c>
      <c r="K9067" t="s">
        <v>1092</v>
      </c>
      <c r="M9067">
        <v>0.25</v>
      </c>
      <c r="N9067">
        <v>2213</v>
      </c>
      <c r="O9067" t="s">
        <v>575</v>
      </c>
      <c r="Q9067" t="s">
        <v>8071</v>
      </c>
      <c r="R9067" t="s">
        <v>6891</v>
      </c>
      <c r="S9067" t="s">
        <v>1085</v>
      </c>
    </row>
    <row r="9068" spans="1:19" x14ac:dyDescent="0.25">
      <c r="A9068" t="s">
        <v>59</v>
      </c>
      <c r="B9068" t="s">
        <v>31</v>
      </c>
      <c r="C9068" t="s">
        <v>32</v>
      </c>
      <c r="D9068" t="s">
        <v>953</v>
      </c>
      <c r="F9068" t="s">
        <v>35</v>
      </c>
      <c r="G9068" t="s">
        <v>35</v>
      </c>
      <c r="H9068" t="s">
        <v>35</v>
      </c>
      <c r="J9068" t="s">
        <v>8065</v>
      </c>
      <c r="K9068" t="s">
        <v>1092</v>
      </c>
      <c r="M9068">
        <v>0.9</v>
      </c>
      <c r="N9068">
        <v>2189</v>
      </c>
      <c r="O9068" t="s">
        <v>575</v>
      </c>
      <c r="Q9068" t="s">
        <v>8066</v>
      </c>
      <c r="R9068" t="s">
        <v>8067</v>
      </c>
      <c r="S9068" t="s">
        <v>8068</v>
      </c>
    </row>
    <row r="9069" spans="1:19" x14ac:dyDescent="0.25">
      <c r="A9069" t="s">
        <v>30</v>
      </c>
      <c r="B9069" t="s">
        <v>31</v>
      </c>
      <c r="C9069" t="s">
        <v>32</v>
      </c>
      <c r="D9069" t="s">
        <v>953</v>
      </c>
      <c r="F9069" t="s">
        <v>35</v>
      </c>
      <c r="G9069" t="s">
        <v>35</v>
      </c>
      <c r="H9069" t="s">
        <v>35</v>
      </c>
      <c r="J9069" t="s">
        <v>8072</v>
      </c>
      <c r="K9069" t="s">
        <v>1092</v>
      </c>
      <c r="M9069">
        <v>2.835</v>
      </c>
      <c r="N9069">
        <v>1199</v>
      </c>
      <c r="O9069" t="s">
        <v>575</v>
      </c>
      <c r="Q9069" t="s">
        <v>7051</v>
      </c>
      <c r="R9069" t="s">
        <v>133</v>
      </c>
      <c r="S9069" t="s">
        <v>134</v>
      </c>
    </row>
    <row r="9070" spans="1:19" x14ac:dyDescent="0.25">
      <c r="A9070" t="s">
        <v>59</v>
      </c>
      <c r="B9070" t="s">
        <v>31</v>
      </c>
      <c r="C9070" t="s">
        <v>32</v>
      </c>
      <c r="D9070" t="s">
        <v>953</v>
      </c>
      <c r="F9070" t="s">
        <v>35</v>
      </c>
      <c r="G9070" t="s">
        <v>35</v>
      </c>
      <c r="H9070" t="s">
        <v>35</v>
      </c>
      <c r="J9070" t="s">
        <v>8073</v>
      </c>
      <c r="K9070" t="s">
        <v>1092</v>
      </c>
      <c r="M9070">
        <v>0.03</v>
      </c>
      <c r="N9070">
        <v>2335</v>
      </c>
      <c r="O9070" t="s">
        <v>575</v>
      </c>
      <c r="Q9070" t="s">
        <v>3889</v>
      </c>
      <c r="R9070" t="s">
        <v>8074</v>
      </c>
      <c r="S9070" t="s">
        <v>8075</v>
      </c>
    </row>
    <row r="9071" spans="1:19" x14ac:dyDescent="0.25">
      <c r="A9071" t="s">
        <v>30</v>
      </c>
      <c r="B9071" t="s">
        <v>31</v>
      </c>
      <c r="C9071" t="s">
        <v>32</v>
      </c>
      <c r="D9071" t="s">
        <v>953</v>
      </c>
      <c r="F9071" t="s">
        <v>35</v>
      </c>
      <c r="G9071" t="s">
        <v>35</v>
      </c>
      <c r="H9071" t="s">
        <v>35</v>
      </c>
      <c r="J9071" t="s">
        <v>8073</v>
      </c>
      <c r="K9071" t="s">
        <v>1092</v>
      </c>
      <c r="M9071">
        <v>0.28499999999999998</v>
      </c>
      <c r="N9071">
        <v>1811</v>
      </c>
      <c r="O9071" t="s">
        <v>575</v>
      </c>
      <c r="Q9071" t="s">
        <v>5720</v>
      </c>
      <c r="R9071" t="s">
        <v>8077</v>
      </c>
      <c r="S9071" t="s">
        <v>8078</v>
      </c>
    </row>
    <row r="9072" spans="1:19" x14ac:dyDescent="0.25">
      <c r="A9072" t="s">
        <v>59</v>
      </c>
      <c r="B9072" t="s">
        <v>60</v>
      </c>
      <c r="C9072" t="s">
        <v>32</v>
      </c>
      <c r="D9072" t="s">
        <v>953</v>
      </c>
      <c r="F9072" t="s">
        <v>35</v>
      </c>
      <c r="G9072" t="s">
        <v>35</v>
      </c>
      <c r="H9072" t="s">
        <v>35</v>
      </c>
      <c r="J9072" t="s">
        <v>8080</v>
      </c>
      <c r="K9072" t="s">
        <v>404</v>
      </c>
      <c r="M9072">
        <v>0.18</v>
      </c>
      <c r="N9072">
        <v>2200</v>
      </c>
      <c r="O9072" t="s">
        <v>575</v>
      </c>
      <c r="Q9072" t="s">
        <v>2340</v>
      </c>
      <c r="R9072" t="s">
        <v>6807</v>
      </c>
      <c r="S9072" t="s">
        <v>1066</v>
      </c>
    </row>
    <row r="9073" spans="1:19" x14ac:dyDescent="0.25">
      <c r="A9073" t="s">
        <v>30</v>
      </c>
      <c r="B9073" t="s">
        <v>31</v>
      </c>
      <c r="C9073" t="s">
        <v>32</v>
      </c>
      <c r="D9073" t="s">
        <v>953</v>
      </c>
      <c r="F9073" t="s">
        <v>35</v>
      </c>
      <c r="G9073" t="s">
        <v>35</v>
      </c>
      <c r="H9073" t="s">
        <v>35</v>
      </c>
      <c r="J9073" t="s">
        <v>8081</v>
      </c>
      <c r="K9073" t="s">
        <v>1092</v>
      </c>
      <c r="M9073">
        <v>0.04</v>
      </c>
      <c r="N9073">
        <v>2663</v>
      </c>
      <c r="O9073" t="s">
        <v>575</v>
      </c>
      <c r="Q9073" t="s">
        <v>2222</v>
      </c>
      <c r="R9073" t="s">
        <v>133</v>
      </c>
      <c r="S9073" t="s">
        <v>134</v>
      </c>
    </row>
    <row r="9074" spans="1:19" x14ac:dyDescent="0.25">
      <c r="A9074" t="s">
        <v>30</v>
      </c>
      <c r="B9074" t="s">
        <v>31</v>
      </c>
      <c r="C9074" t="s">
        <v>32</v>
      </c>
      <c r="D9074" t="s">
        <v>953</v>
      </c>
      <c r="F9074" t="s">
        <v>35</v>
      </c>
      <c r="G9074" t="s">
        <v>35</v>
      </c>
      <c r="H9074" t="s">
        <v>35</v>
      </c>
      <c r="J9074" t="s">
        <v>8082</v>
      </c>
      <c r="K9074" t="s">
        <v>1092</v>
      </c>
      <c r="M9074">
        <v>4.9950000000000001</v>
      </c>
      <c r="N9074">
        <v>2305</v>
      </c>
      <c r="O9074" t="s">
        <v>575</v>
      </c>
      <c r="Q9074" t="s">
        <v>8083</v>
      </c>
      <c r="R9074" t="s">
        <v>8077</v>
      </c>
      <c r="S9074" t="s">
        <v>8078</v>
      </c>
    </row>
    <row r="9075" spans="1:19" x14ac:dyDescent="0.25">
      <c r="A9075" t="s">
        <v>59</v>
      </c>
      <c r="B9075" t="s">
        <v>60</v>
      </c>
      <c r="C9075" t="s">
        <v>32</v>
      </c>
      <c r="D9075" t="s">
        <v>953</v>
      </c>
      <c r="F9075" t="s">
        <v>35</v>
      </c>
      <c r="G9075" t="s">
        <v>35</v>
      </c>
      <c r="H9075" t="s">
        <v>35</v>
      </c>
      <c r="J9075" t="s">
        <v>8084</v>
      </c>
      <c r="K9075" t="s">
        <v>1092</v>
      </c>
      <c r="M9075">
        <v>1.5</v>
      </c>
      <c r="N9075">
        <v>2189</v>
      </c>
      <c r="O9075" t="s">
        <v>575</v>
      </c>
      <c r="Q9075" t="s">
        <v>8066</v>
      </c>
      <c r="R9075" t="s">
        <v>8085</v>
      </c>
      <c r="S9075" t="s">
        <v>8086</v>
      </c>
    </row>
    <row r="9076" spans="1:19" x14ac:dyDescent="0.25">
      <c r="A9076" t="s">
        <v>30</v>
      </c>
      <c r="B9076" t="s">
        <v>31</v>
      </c>
      <c r="C9076" t="s">
        <v>32</v>
      </c>
      <c r="D9076" t="s">
        <v>953</v>
      </c>
      <c r="F9076" t="s">
        <v>35</v>
      </c>
      <c r="G9076" t="s">
        <v>35</v>
      </c>
      <c r="H9076" t="s">
        <v>35</v>
      </c>
      <c r="J9076" t="s">
        <v>8084</v>
      </c>
      <c r="K9076" t="s">
        <v>1092</v>
      </c>
      <c r="M9076">
        <v>0.40500000000000003</v>
      </c>
      <c r="N9076">
        <v>2189</v>
      </c>
      <c r="O9076" t="s">
        <v>575</v>
      </c>
      <c r="Q9076" t="s">
        <v>8066</v>
      </c>
      <c r="R9076" t="s">
        <v>8085</v>
      </c>
      <c r="S9076" t="s">
        <v>8086</v>
      </c>
    </row>
    <row r="9077" spans="1:19" x14ac:dyDescent="0.25">
      <c r="A9077" t="s">
        <v>30</v>
      </c>
      <c r="B9077" t="s">
        <v>31</v>
      </c>
      <c r="C9077" t="s">
        <v>32</v>
      </c>
      <c r="D9077" t="s">
        <v>953</v>
      </c>
      <c r="F9077" t="s">
        <v>35</v>
      </c>
      <c r="G9077" t="s">
        <v>35</v>
      </c>
      <c r="H9077" t="s">
        <v>35</v>
      </c>
      <c r="J9077" t="s">
        <v>8088</v>
      </c>
      <c r="K9077" t="s">
        <v>1092</v>
      </c>
      <c r="M9077">
        <v>0.22500000000000001</v>
      </c>
      <c r="N9077">
        <v>1904</v>
      </c>
      <c r="O9077" t="s">
        <v>575</v>
      </c>
      <c r="Q9077" t="s">
        <v>8089</v>
      </c>
      <c r="R9077" t="s">
        <v>8077</v>
      </c>
      <c r="S9077" t="s">
        <v>8078</v>
      </c>
    </row>
    <row r="9078" spans="1:19" x14ac:dyDescent="0.25">
      <c r="A9078" t="s">
        <v>59</v>
      </c>
      <c r="B9078" t="s">
        <v>60</v>
      </c>
      <c r="C9078" t="s">
        <v>32</v>
      </c>
      <c r="D9078" t="s">
        <v>953</v>
      </c>
      <c r="F9078" t="s">
        <v>35</v>
      </c>
      <c r="G9078" t="s">
        <v>35</v>
      </c>
      <c r="H9078" t="s">
        <v>35</v>
      </c>
      <c r="J9078" t="s">
        <v>8090</v>
      </c>
      <c r="K9078" t="s">
        <v>1092</v>
      </c>
      <c r="M9078">
        <v>0.15</v>
      </c>
      <c r="N9078">
        <v>2584</v>
      </c>
      <c r="O9078" t="s">
        <v>575</v>
      </c>
      <c r="Q9078" t="s">
        <v>8091</v>
      </c>
      <c r="R9078" t="s">
        <v>6707</v>
      </c>
      <c r="S9078" t="s">
        <v>955</v>
      </c>
    </row>
    <row r="9079" spans="1:19" x14ac:dyDescent="0.25">
      <c r="A9079" t="s">
        <v>59</v>
      </c>
      <c r="B9079" t="s">
        <v>31</v>
      </c>
      <c r="C9079" t="s">
        <v>32</v>
      </c>
      <c r="D9079" t="s">
        <v>953</v>
      </c>
      <c r="F9079" t="s">
        <v>35</v>
      </c>
      <c r="G9079" t="s">
        <v>35</v>
      </c>
      <c r="H9079" t="s">
        <v>35</v>
      </c>
      <c r="J9079" t="s">
        <v>8090</v>
      </c>
      <c r="K9079" t="s">
        <v>1092</v>
      </c>
      <c r="M9079">
        <v>0.45</v>
      </c>
      <c r="N9079">
        <v>2584</v>
      </c>
      <c r="O9079" t="s">
        <v>575</v>
      </c>
      <c r="Q9079" t="s">
        <v>8091</v>
      </c>
      <c r="R9079" t="s">
        <v>6707</v>
      </c>
      <c r="S9079" t="s">
        <v>955</v>
      </c>
    </row>
    <row r="9080" spans="1:19" x14ac:dyDescent="0.25">
      <c r="A9080" t="s">
        <v>59</v>
      </c>
      <c r="B9080" t="s">
        <v>60</v>
      </c>
      <c r="C9080" t="s">
        <v>32</v>
      </c>
      <c r="D9080" t="s">
        <v>953</v>
      </c>
      <c r="F9080" t="s">
        <v>35</v>
      </c>
      <c r="G9080" t="s">
        <v>35</v>
      </c>
      <c r="H9080" t="s">
        <v>35</v>
      </c>
      <c r="J9080" t="s">
        <v>1885</v>
      </c>
      <c r="K9080" t="s">
        <v>1092</v>
      </c>
      <c r="M9080">
        <v>0.05</v>
      </c>
      <c r="N9080">
        <v>2215</v>
      </c>
      <c r="O9080" t="s">
        <v>575</v>
      </c>
      <c r="Q9080" t="s">
        <v>5869</v>
      </c>
      <c r="R9080" t="s">
        <v>8067</v>
      </c>
      <c r="S9080" t="s">
        <v>8068</v>
      </c>
    </row>
    <row r="9081" spans="1:19" x14ac:dyDescent="0.25">
      <c r="A9081" t="s">
        <v>59</v>
      </c>
      <c r="B9081" t="s">
        <v>31</v>
      </c>
      <c r="C9081" t="s">
        <v>32</v>
      </c>
      <c r="D9081" t="s">
        <v>953</v>
      </c>
      <c r="F9081" t="s">
        <v>35</v>
      </c>
      <c r="G9081" t="s">
        <v>35</v>
      </c>
      <c r="H9081" t="s">
        <v>35</v>
      </c>
      <c r="J9081" t="s">
        <v>1885</v>
      </c>
      <c r="K9081" t="s">
        <v>1092</v>
      </c>
      <c r="M9081">
        <v>0.03</v>
      </c>
      <c r="N9081">
        <v>1828</v>
      </c>
      <c r="O9081" t="s">
        <v>575</v>
      </c>
      <c r="Q9081" t="s">
        <v>6159</v>
      </c>
      <c r="R9081" t="s">
        <v>6922</v>
      </c>
      <c r="S9081" t="s">
        <v>6923</v>
      </c>
    </row>
    <row r="9082" spans="1:19" x14ac:dyDescent="0.25">
      <c r="A9082" t="s">
        <v>30</v>
      </c>
      <c r="B9082" t="s">
        <v>31</v>
      </c>
      <c r="C9082" t="s">
        <v>32</v>
      </c>
      <c r="D9082" t="s">
        <v>953</v>
      </c>
      <c r="F9082" t="s">
        <v>35</v>
      </c>
      <c r="G9082" t="s">
        <v>35</v>
      </c>
      <c r="H9082" t="s">
        <v>35</v>
      </c>
      <c r="J9082" t="s">
        <v>1885</v>
      </c>
      <c r="K9082" t="s">
        <v>1092</v>
      </c>
      <c r="M9082">
        <v>0.12</v>
      </c>
      <c r="N9082">
        <v>2417</v>
      </c>
      <c r="O9082" t="s">
        <v>575</v>
      </c>
      <c r="Q9082" t="s">
        <v>2908</v>
      </c>
      <c r="R9082" t="s">
        <v>8067</v>
      </c>
      <c r="S9082" t="s">
        <v>8068</v>
      </c>
    </row>
    <row r="9083" spans="1:19" x14ac:dyDescent="0.25">
      <c r="A9083" t="s">
        <v>59</v>
      </c>
      <c r="B9083" t="s">
        <v>31</v>
      </c>
      <c r="C9083" t="s">
        <v>32</v>
      </c>
      <c r="D9083" t="s">
        <v>953</v>
      </c>
      <c r="F9083" t="s">
        <v>35</v>
      </c>
      <c r="G9083" t="s">
        <v>35</v>
      </c>
      <c r="H9083" t="s">
        <v>35</v>
      </c>
      <c r="J9083" t="s">
        <v>8092</v>
      </c>
      <c r="K9083" t="s">
        <v>1092</v>
      </c>
      <c r="M9083">
        <v>4.7249999999999996</v>
      </c>
      <c r="N9083">
        <v>1180</v>
      </c>
      <c r="O9083" t="s">
        <v>575</v>
      </c>
      <c r="Q9083" t="s">
        <v>2161</v>
      </c>
      <c r="R9083" t="s">
        <v>7199</v>
      </c>
      <c r="S9083" t="s">
        <v>1069</v>
      </c>
    </row>
    <row r="9084" spans="1:19" x14ac:dyDescent="0.25">
      <c r="A9084" t="s">
        <v>30</v>
      </c>
      <c r="B9084" t="s">
        <v>31</v>
      </c>
      <c r="C9084" t="s">
        <v>32</v>
      </c>
      <c r="D9084" t="s">
        <v>953</v>
      </c>
      <c r="F9084" t="s">
        <v>35</v>
      </c>
      <c r="G9084" t="s">
        <v>35</v>
      </c>
      <c r="H9084" t="s">
        <v>35</v>
      </c>
      <c r="J9084" t="s">
        <v>1897</v>
      </c>
      <c r="K9084" t="s">
        <v>1092</v>
      </c>
      <c r="M9084">
        <v>7.0000000000000007E-2</v>
      </c>
      <c r="N9084">
        <v>1572</v>
      </c>
      <c r="O9084" t="s">
        <v>575</v>
      </c>
      <c r="Q9084" t="s">
        <v>8093</v>
      </c>
      <c r="R9084" t="s">
        <v>6877</v>
      </c>
      <c r="S9084" t="s">
        <v>1041</v>
      </c>
    </row>
    <row r="9085" spans="1:19" x14ac:dyDescent="0.25">
      <c r="A9085" t="s">
        <v>59</v>
      </c>
      <c r="B9085" t="s">
        <v>31</v>
      </c>
      <c r="C9085" t="s">
        <v>32</v>
      </c>
      <c r="D9085" t="s">
        <v>953</v>
      </c>
      <c r="F9085" t="s">
        <v>35</v>
      </c>
      <c r="G9085" t="s">
        <v>35</v>
      </c>
      <c r="H9085" t="s">
        <v>35</v>
      </c>
      <c r="J9085" t="s">
        <v>628</v>
      </c>
      <c r="K9085" t="s">
        <v>1092</v>
      </c>
      <c r="M9085">
        <v>0.72</v>
      </c>
      <c r="N9085">
        <v>1754</v>
      </c>
      <c r="O9085" t="s">
        <v>575</v>
      </c>
      <c r="Q9085" t="s">
        <v>8094</v>
      </c>
      <c r="R9085" t="s">
        <v>6891</v>
      </c>
      <c r="S9085" t="s">
        <v>1085</v>
      </c>
    </row>
    <row r="9086" spans="1:19" x14ac:dyDescent="0.25">
      <c r="A9086" t="s">
        <v>59</v>
      </c>
      <c r="B9086" t="s">
        <v>60</v>
      </c>
      <c r="C9086" t="s">
        <v>32</v>
      </c>
      <c r="D9086" t="s">
        <v>953</v>
      </c>
      <c r="F9086" t="s">
        <v>35</v>
      </c>
      <c r="G9086" t="s">
        <v>35</v>
      </c>
      <c r="H9086" t="s">
        <v>35</v>
      </c>
      <c r="J9086" t="s">
        <v>8095</v>
      </c>
      <c r="K9086" t="s">
        <v>1092</v>
      </c>
      <c r="M9086">
        <v>3</v>
      </c>
      <c r="N9086">
        <v>60</v>
      </c>
      <c r="O9086" t="s">
        <v>52</v>
      </c>
      <c r="Q9086" t="s">
        <v>1734</v>
      </c>
      <c r="R9086" t="s">
        <v>133</v>
      </c>
      <c r="S9086" t="s">
        <v>134</v>
      </c>
    </row>
    <row r="9087" spans="1:19" x14ac:dyDescent="0.25">
      <c r="A9087" t="s">
        <v>30</v>
      </c>
      <c r="B9087" t="s">
        <v>31</v>
      </c>
      <c r="C9087" t="s">
        <v>32</v>
      </c>
      <c r="D9087" t="s">
        <v>953</v>
      </c>
      <c r="F9087" t="s">
        <v>35</v>
      </c>
      <c r="G9087" t="s">
        <v>35</v>
      </c>
      <c r="H9087" t="s">
        <v>35</v>
      </c>
      <c r="J9087" t="s">
        <v>8096</v>
      </c>
      <c r="K9087" t="s">
        <v>1092</v>
      </c>
      <c r="M9087">
        <v>1.08</v>
      </c>
      <c r="N9087">
        <v>45</v>
      </c>
      <c r="O9087" t="s">
        <v>52</v>
      </c>
      <c r="Q9087" t="s">
        <v>716</v>
      </c>
      <c r="R9087" t="s">
        <v>6709</v>
      </c>
      <c r="S9087" t="s">
        <v>1022</v>
      </c>
    </row>
    <row r="9088" spans="1:19" x14ac:dyDescent="0.25">
      <c r="A9088" t="s">
        <v>30</v>
      </c>
      <c r="B9088" t="s">
        <v>31</v>
      </c>
      <c r="C9088" t="s">
        <v>32</v>
      </c>
      <c r="D9088" t="s">
        <v>953</v>
      </c>
      <c r="F9088" t="s">
        <v>35</v>
      </c>
      <c r="G9088" t="s">
        <v>35</v>
      </c>
      <c r="H9088" t="s">
        <v>35</v>
      </c>
      <c r="J9088" t="s">
        <v>8096</v>
      </c>
      <c r="K9088" t="s">
        <v>1092</v>
      </c>
      <c r="M9088">
        <v>4.9950000000000001</v>
      </c>
      <c r="N9088">
        <v>16</v>
      </c>
      <c r="O9088" t="s">
        <v>46</v>
      </c>
      <c r="Q9088" t="s">
        <v>323</v>
      </c>
      <c r="R9088" t="s">
        <v>133</v>
      </c>
      <c r="S9088" t="s">
        <v>134</v>
      </c>
    </row>
    <row r="9089" spans="1:19" x14ac:dyDescent="0.25">
      <c r="A9089" t="s">
        <v>44</v>
      </c>
      <c r="B9089" t="s">
        <v>3</v>
      </c>
      <c r="C9089" t="s">
        <v>32</v>
      </c>
      <c r="D9089" t="s">
        <v>953</v>
      </c>
      <c r="F9089" t="s">
        <v>35</v>
      </c>
      <c r="G9089" t="s">
        <v>35</v>
      </c>
      <c r="H9089" t="s">
        <v>35</v>
      </c>
      <c r="J9089" t="s">
        <v>8097</v>
      </c>
      <c r="K9089" t="s">
        <v>1092</v>
      </c>
      <c r="M9089">
        <v>0.8</v>
      </c>
      <c r="N9089">
        <v>60</v>
      </c>
      <c r="O9089" t="s">
        <v>52</v>
      </c>
      <c r="Q9089" t="s">
        <v>1734</v>
      </c>
      <c r="R9089" t="s">
        <v>133</v>
      </c>
      <c r="S9089" t="s">
        <v>134</v>
      </c>
    </row>
    <row r="9090" spans="1:19" x14ac:dyDescent="0.25">
      <c r="A9090" t="s">
        <v>30</v>
      </c>
      <c r="B9090" t="s">
        <v>31</v>
      </c>
      <c r="C9090" t="s">
        <v>32</v>
      </c>
      <c r="D9090" t="s">
        <v>953</v>
      </c>
      <c r="F9090" t="s">
        <v>35</v>
      </c>
      <c r="G9090" t="s">
        <v>35</v>
      </c>
      <c r="H9090" t="s">
        <v>35</v>
      </c>
      <c r="J9090" t="s">
        <v>8098</v>
      </c>
      <c r="K9090" t="s">
        <v>1092</v>
      </c>
      <c r="M9090">
        <v>2.4750000000000001</v>
      </c>
      <c r="N9090">
        <v>48</v>
      </c>
      <c r="O9090" t="s">
        <v>52</v>
      </c>
      <c r="Q9090" t="s">
        <v>496</v>
      </c>
      <c r="R9090" t="s">
        <v>6742</v>
      </c>
      <c r="S9090" t="s">
        <v>1016</v>
      </c>
    </row>
    <row r="9091" spans="1:19" x14ac:dyDescent="0.25">
      <c r="A9091" t="s">
        <v>44</v>
      </c>
      <c r="B9091" t="s">
        <v>51</v>
      </c>
      <c r="C9091" t="s">
        <v>32</v>
      </c>
      <c r="D9091" t="s">
        <v>953</v>
      </c>
      <c r="F9091" t="s">
        <v>35</v>
      </c>
      <c r="G9091" t="s">
        <v>35</v>
      </c>
      <c r="H9091" t="s">
        <v>35</v>
      </c>
      <c r="J9091" t="s">
        <v>8099</v>
      </c>
      <c r="K9091" t="s">
        <v>1092</v>
      </c>
      <c r="M9091">
        <v>0.25</v>
      </c>
      <c r="N9091">
        <v>38</v>
      </c>
      <c r="O9091" t="s">
        <v>52</v>
      </c>
      <c r="Q9091" t="s">
        <v>748</v>
      </c>
      <c r="R9091" t="s">
        <v>6865</v>
      </c>
      <c r="S9091" t="s">
        <v>984</v>
      </c>
    </row>
    <row r="9092" spans="1:19" x14ac:dyDescent="0.25">
      <c r="A9092" t="s">
        <v>59</v>
      </c>
      <c r="B9092" t="s">
        <v>60</v>
      </c>
      <c r="C9092" t="s">
        <v>32</v>
      </c>
      <c r="D9092" t="s">
        <v>953</v>
      </c>
      <c r="F9092" t="s">
        <v>35</v>
      </c>
      <c r="G9092" t="s">
        <v>35</v>
      </c>
      <c r="H9092" t="s">
        <v>35</v>
      </c>
      <c r="J9092" t="s">
        <v>8099</v>
      </c>
      <c r="K9092" t="s">
        <v>1092</v>
      </c>
      <c r="M9092">
        <v>0.05</v>
      </c>
      <c r="N9092">
        <v>38</v>
      </c>
      <c r="O9092" t="s">
        <v>52</v>
      </c>
      <c r="Q9092" t="s">
        <v>748</v>
      </c>
      <c r="R9092" t="s">
        <v>6865</v>
      </c>
      <c r="S9092" t="s">
        <v>984</v>
      </c>
    </row>
    <row r="9093" spans="1:19" x14ac:dyDescent="0.25">
      <c r="A9093" t="s">
        <v>59</v>
      </c>
      <c r="B9093" t="s">
        <v>31</v>
      </c>
      <c r="C9093" t="s">
        <v>32</v>
      </c>
      <c r="D9093" t="s">
        <v>953</v>
      </c>
      <c r="F9093" t="s">
        <v>35</v>
      </c>
      <c r="G9093" t="s">
        <v>35</v>
      </c>
      <c r="H9093" t="s">
        <v>35</v>
      </c>
      <c r="J9093" t="s">
        <v>8100</v>
      </c>
      <c r="K9093" t="s">
        <v>1092</v>
      </c>
      <c r="M9093">
        <v>4.4999999999999998E-2</v>
      </c>
      <c r="N9093">
        <v>40</v>
      </c>
      <c r="O9093" t="s">
        <v>52</v>
      </c>
      <c r="Q9093" t="s">
        <v>130</v>
      </c>
      <c r="R9093" t="s">
        <v>133</v>
      </c>
      <c r="S9093" t="s">
        <v>134</v>
      </c>
    </row>
    <row r="9094" spans="1:19" x14ac:dyDescent="0.25">
      <c r="A9094" t="s">
        <v>59</v>
      </c>
      <c r="B9094" t="s">
        <v>60</v>
      </c>
      <c r="C9094" t="s">
        <v>32</v>
      </c>
      <c r="D9094" t="s">
        <v>953</v>
      </c>
      <c r="F9094" t="s">
        <v>35</v>
      </c>
      <c r="G9094" t="s">
        <v>35</v>
      </c>
      <c r="H9094" t="s">
        <v>35</v>
      </c>
      <c r="J9094" t="s">
        <v>8101</v>
      </c>
      <c r="K9094" t="s">
        <v>1092</v>
      </c>
      <c r="M9094">
        <v>0.5</v>
      </c>
      <c r="N9094">
        <v>26</v>
      </c>
      <c r="O9094" t="s">
        <v>46</v>
      </c>
      <c r="Q9094" t="s">
        <v>94</v>
      </c>
      <c r="R9094" t="s">
        <v>133</v>
      </c>
      <c r="S9094" t="s">
        <v>134</v>
      </c>
    </row>
    <row r="9095" spans="1:19" x14ac:dyDescent="0.25">
      <c r="A9095" t="s">
        <v>44</v>
      </c>
      <c r="B9095" t="s">
        <v>3</v>
      </c>
      <c r="C9095" t="s">
        <v>32</v>
      </c>
      <c r="D9095" t="s">
        <v>953</v>
      </c>
      <c r="F9095" t="s">
        <v>35</v>
      </c>
      <c r="G9095" t="s">
        <v>35</v>
      </c>
      <c r="H9095" t="s">
        <v>35</v>
      </c>
      <c r="J9095" t="s">
        <v>8101</v>
      </c>
      <c r="K9095" t="s">
        <v>1092</v>
      </c>
      <c r="M9095">
        <v>0.5</v>
      </c>
      <c r="N9095">
        <v>26</v>
      </c>
      <c r="O9095" t="s">
        <v>46</v>
      </c>
      <c r="Q9095" t="s">
        <v>94</v>
      </c>
      <c r="R9095" t="s">
        <v>133</v>
      </c>
      <c r="S9095" t="s">
        <v>134</v>
      </c>
    </row>
    <row r="9096" spans="1:19" x14ac:dyDescent="0.25">
      <c r="A9096" t="s">
        <v>30</v>
      </c>
      <c r="B9096" t="s">
        <v>31</v>
      </c>
      <c r="C9096" t="s">
        <v>32</v>
      </c>
      <c r="D9096" t="s">
        <v>8102</v>
      </c>
      <c r="E9096" t="s">
        <v>8103</v>
      </c>
      <c r="F9096" t="s">
        <v>35</v>
      </c>
      <c r="G9096" t="s">
        <v>35</v>
      </c>
      <c r="H9096" t="s">
        <v>35</v>
      </c>
      <c r="J9096" t="s">
        <v>8104</v>
      </c>
      <c r="K9096" t="s">
        <v>1092</v>
      </c>
      <c r="M9096">
        <v>0.315</v>
      </c>
      <c r="N9096">
        <v>136</v>
      </c>
      <c r="O9096" t="s">
        <v>38</v>
      </c>
      <c r="Q9096" t="s">
        <v>157</v>
      </c>
      <c r="R9096" t="s">
        <v>8105</v>
      </c>
      <c r="S9096" t="s">
        <v>8106</v>
      </c>
    </row>
    <row r="9097" spans="1:19" x14ac:dyDescent="0.25">
      <c r="A9097" t="s">
        <v>59</v>
      </c>
      <c r="B9097" t="s">
        <v>60</v>
      </c>
      <c r="C9097" t="s">
        <v>32</v>
      </c>
      <c r="D9097" t="s">
        <v>8102</v>
      </c>
      <c r="E9097" t="s">
        <v>8107</v>
      </c>
      <c r="F9097" t="s">
        <v>35</v>
      </c>
      <c r="G9097" t="s">
        <v>35</v>
      </c>
      <c r="H9097" t="s">
        <v>35</v>
      </c>
      <c r="J9097" t="s">
        <v>8108</v>
      </c>
      <c r="K9097" t="s">
        <v>1092</v>
      </c>
      <c r="M9097">
        <v>1.05</v>
      </c>
      <c r="N9097">
        <v>146</v>
      </c>
      <c r="O9097" t="s">
        <v>38</v>
      </c>
      <c r="Q9097" t="s">
        <v>1335</v>
      </c>
      <c r="R9097" t="s">
        <v>8105</v>
      </c>
      <c r="S9097" t="s">
        <v>8106</v>
      </c>
    </row>
    <row r="9098" spans="1:19" x14ac:dyDescent="0.25">
      <c r="A9098" t="s">
        <v>59</v>
      </c>
      <c r="B9098" t="s">
        <v>60</v>
      </c>
      <c r="C9098" t="s">
        <v>32</v>
      </c>
      <c r="D9098" t="s">
        <v>8102</v>
      </c>
      <c r="E9098" t="s">
        <v>8107</v>
      </c>
      <c r="F9098" t="s">
        <v>35</v>
      </c>
      <c r="G9098" t="s">
        <v>35</v>
      </c>
      <c r="H9098" t="s">
        <v>35</v>
      </c>
      <c r="J9098" t="s">
        <v>8108</v>
      </c>
      <c r="K9098" t="s">
        <v>1092</v>
      </c>
      <c r="M9098">
        <v>2.5</v>
      </c>
      <c r="N9098">
        <v>111</v>
      </c>
      <c r="O9098" t="s">
        <v>106</v>
      </c>
      <c r="Q9098" t="s">
        <v>4219</v>
      </c>
      <c r="R9098" t="s">
        <v>8105</v>
      </c>
      <c r="S9098" t="s">
        <v>8106</v>
      </c>
    </row>
    <row r="9099" spans="1:19" x14ac:dyDescent="0.25">
      <c r="A9099" t="s">
        <v>59</v>
      </c>
      <c r="B9099" t="s">
        <v>60</v>
      </c>
      <c r="C9099" t="s">
        <v>32</v>
      </c>
      <c r="D9099" t="s">
        <v>8102</v>
      </c>
      <c r="E9099" t="s">
        <v>8107</v>
      </c>
      <c r="F9099" t="s">
        <v>35</v>
      </c>
      <c r="G9099" t="s">
        <v>35</v>
      </c>
      <c r="H9099" t="s">
        <v>35</v>
      </c>
      <c r="J9099" t="s">
        <v>1219</v>
      </c>
      <c r="K9099" t="s">
        <v>1092</v>
      </c>
      <c r="M9099">
        <v>1.1000000000000001</v>
      </c>
      <c r="N9099">
        <v>177</v>
      </c>
      <c r="O9099" t="s">
        <v>38</v>
      </c>
      <c r="Q9099" t="s">
        <v>4657</v>
      </c>
      <c r="R9099" t="s">
        <v>8105</v>
      </c>
      <c r="S9099" t="s">
        <v>8106</v>
      </c>
    </row>
    <row r="9100" spans="1:19" x14ac:dyDescent="0.25">
      <c r="A9100" t="s">
        <v>59</v>
      </c>
      <c r="B9100" t="s">
        <v>60</v>
      </c>
      <c r="C9100" t="s">
        <v>32</v>
      </c>
      <c r="D9100" t="s">
        <v>8102</v>
      </c>
      <c r="E9100" t="s">
        <v>8107</v>
      </c>
      <c r="F9100" t="s">
        <v>35</v>
      </c>
      <c r="G9100" t="s">
        <v>35</v>
      </c>
      <c r="H9100" t="s">
        <v>35</v>
      </c>
      <c r="J9100" t="s">
        <v>1219</v>
      </c>
      <c r="K9100" t="s">
        <v>1092</v>
      </c>
      <c r="M9100">
        <v>0.5</v>
      </c>
      <c r="N9100">
        <v>70</v>
      </c>
      <c r="O9100" t="s">
        <v>61</v>
      </c>
      <c r="Q9100" t="s">
        <v>126</v>
      </c>
      <c r="R9100" t="s">
        <v>8105</v>
      </c>
      <c r="S9100" t="s">
        <v>8106</v>
      </c>
    </row>
    <row r="9101" spans="1:19" x14ac:dyDescent="0.25">
      <c r="A9101" t="s">
        <v>59</v>
      </c>
      <c r="B9101" t="s">
        <v>60</v>
      </c>
      <c r="C9101" t="s">
        <v>32</v>
      </c>
      <c r="D9101" t="s">
        <v>8102</v>
      </c>
      <c r="E9101" t="s">
        <v>8107</v>
      </c>
      <c r="F9101" t="s">
        <v>35</v>
      </c>
      <c r="G9101" t="s">
        <v>35</v>
      </c>
      <c r="H9101" t="s">
        <v>35</v>
      </c>
      <c r="J9101" t="s">
        <v>1219</v>
      </c>
      <c r="K9101" t="s">
        <v>1092</v>
      </c>
      <c r="M9101">
        <v>0.5</v>
      </c>
      <c r="N9101">
        <v>136</v>
      </c>
      <c r="O9101" t="s">
        <v>38</v>
      </c>
      <c r="Q9101" t="s">
        <v>157</v>
      </c>
      <c r="R9101" t="s">
        <v>8105</v>
      </c>
      <c r="S9101" t="s">
        <v>8106</v>
      </c>
    </row>
    <row r="9102" spans="1:19" x14ac:dyDescent="0.25">
      <c r="A9102" t="s">
        <v>30</v>
      </c>
      <c r="B9102" t="s">
        <v>31</v>
      </c>
      <c r="C9102" t="s">
        <v>32</v>
      </c>
      <c r="D9102" t="s">
        <v>8102</v>
      </c>
      <c r="E9102" t="s">
        <v>8109</v>
      </c>
      <c r="F9102" t="s">
        <v>35</v>
      </c>
      <c r="G9102" t="s">
        <v>35</v>
      </c>
      <c r="H9102" t="s">
        <v>35</v>
      </c>
      <c r="J9102" t="s">
        <v>8110</v>
      </c>
      <c r="K9102" t="s">
        <v>1092</v>
      </c>
      <c r="M9102">
        <v>0.18</v>
      </c>
      <c r="N9102">
        <v>136</v>
      </c>
      <c r="O9102" t="s">
        <v>38</v>
      </c>
      <c r="Q9102" t="s">
        <v>157</v>
      </c>
      <c r="R9102" t="s">
        <v>8105</v>
      </c>
      <c r="S9102" t="s">
        <v>8106</v>
      </c>
    </row>
    <row r="9103" spans="1:19" x14ac:dyDescent="0.25">
      <c r="A9103" t="s">
        <v>59</v>
      </c>
      <c r="B9103" t="s">
        <v>60</v>
      </c>
      <c r="C9103" t="s">
        <v>32</v>
      </c>
      <c r="D9103" t="s">
        <v>8102</v>
      </c>
      <c r="E9103" t="s">
        <v>8109</v>
      </c>
      <c r="F9103" t="s">
        <v>35</v>
      </c>
      <c r="G9103" t="s">
        <v>35</v>
      </c>
      <c r="H9103" t="s">
        <v>35</v>
      </c>
      <c r="J9103" t="s">
        <v>8110</v>
      </c>
      <c r="K9103" t="s">
        <v>1092</v>
      </c>
      <c r="M9103">
        <v>0.25</v>
      </c>
      <c r="N9103">
        <v>136</v>
      </c>
      <c r="O9103" t="s">
        <v>38</v>
      </c>
      <c r="Q9103" t="s">
        <v>157</v>
      </c>
      <c r="R9103" t="s">
        <v>8105</v>
      </c>
      <c r="S9103" t="s">
        <v>8106</v>
      </c>
    </row>
    <row r="9104" spans="1:19" x14ac:dyDescent="0.25">
      <c r="A9104" t="s">
        <v>30</v>
      </c>
      <c r="B9104" t="s">
        <v>31</v>
      </c>
      <c r="C9104" t="s">
        <v>32</v>
      </c>
      <c r="D9104" t="s">
        <v>8102</v>
      </c>
      <c r="E9104" t="s">
        <v>8109</v>
      </c>
      <c r="F9104" t="s">
        <v>35</v>
      </c>
      <c r="G9104" t="s">
        <v>35</v>
      </c>
      <c r="H9104" t="s">
        <v>35</v>
      </c>
      <c r="J9104" t="s">
        <v>8111</v>
      </c>
      <c r="K9104" t="s">
        <v>1092</v>
      </c>
      <c r="M9104">
        <v>3.06</v>
      </c>
      <c r="N9104">
        <v>244</v>
      </c>
      <c r="O9104" t="s">
        <v>5</v>
      </c>
      <c r="Q9104" t="s">
        <v>1242</v>
      </c>
      <c r="R9104" t="s">
        <v>8105</v>
      </c>
      <c r="S9104" t="s">
        <v>8106</v>
      </c>
    </row>
    <row r="9105" spans="1:19" x14ac:dyDescent="0.25">
      <c r="A9105" t="s">
        <v>59</v>
      </c>
      <c r="B9105" t="s">
        <v>60</v>
      </c>
      <c r="C9105" t="s">
        <v>32</v>
      </c>
      <c r="D9105" t="s">
        <v>8102</v>
      </c>
      <c r="F9105" t="s">
        <v>35</v>
      </c>
      <c r="G9105" t="s">
        <v>35</v>
      </c>
      <c r="H9105" t="s">
        <v>35</v>
      </c>
      <c r="J9105" t="s">
        <v>8112</v>
      </c>
      <c r="K9105" t="s">
        <v>1092</v>
      </c>
      <c r="M9105">
        <v>1.5</v>
      </c>
      <c r="N9105">
        <v>233</v>
      </c>
      <c r="O9105" t="s">
        <v>5</v>
      </c>
      <c r="Q9105" t="s">
        <v>2002</v>
      </c>
      <c r="R9105" t="s">
        <v>8105</v>
      </c>
      <c r="S9105" t="s">
        <v>8106</v>
      </c>
    </row>
    <row r="9106" spans="1:19" x14ac:dyDescent="0.25">
      <c r="A9106" t="s">
        <v>59</v>
      </c>
      <c r="B9106" t="s">
        <v>31</v>
      </c>
      <c r="C9106" t="s">
        <v>32</v>
      </c>
      <c r="D9106" t="s">
        <v>8102</v>
      </c>
      <c r="F9106" t="s">
        <v>35</v>
      </c>
      <c r="G9106" t="s">
        <v>35</v>
      </c>
      <c r="H9106" t="s">
        <v>35</v>
      </c>
      <c r="J9106" t="s">
        <v>866</v>
      </c>
      <c r="K9106" t="s">
        <v>1092</v>
      </c>
      <c r="M9106">
        <v>3.4649999999999999</v>
      </c>
      <c r="N9106">
        <v>54</v>
      </c>
      <c r="O9106" t="s">
        <v>52</v>
      </c>
      <c r="Q9106" t="s">
        <v>1207</v>
      </c>
      <c r="R9106" t="s">
        <v>8105</v>
      </c>
      <c r="S9106" t="s">
        <v>8106</v>
      </c>
    </row>
  </sheetData>
  <sortState xmlns:xlrd2="http://schemas.microsoft.com/office/spreadsheetml/2017/richdata2" ref="A2:T9207">
    <sortCondition ref="D2:D9207"/>
    <sortCondition ref="S2:S9207"/>
    <sortCondition ref="J2:J9207"/>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3ED9B-8C6D-45C8-99A4-60626E440268}">
  <dimension ref="A3:B23"/>
  <sheetViews>
    <sheetView workbookViewId="0">
      <selection activeCell="D13" sqref="D13"/>
    </sheetView>
  </sheetViews>
  <sheetFormatPr defaultRowHeight="15" x14ac:dyDescent="0.25"/>
  <cols>
    <col min="1" max="1" width="19" bestFit="1" customWidth="1"/>
    <col min="2" max="2" width="17.85546875" bestFit="1" customWidth="1"/>
    <col min="3" max="4" width="9" bestFit="1" customWidth="1"/>
    <col min="5" max="5" width="10" bestFit="1" customWidth="1"/>
    <col min="6" max="6" width="8" bestFit="1" customWidth="1"/>
    <col min="7" max="9" width="9" bestFit="1" customWidth="1"/>
    <col min="10" max="10" width="11.28515625" bestFit="1" customWidth="1"/>
  </cols>
  <sheetData>
    <row r="3" spans="1:2" x14ac:dyDescent="0.25">
      <c r="A3" s="3" t="s">
        <v>8143</v>
      </c>
      <c r="B3" t="s">
        <v>8145</v>
      </c>
    </row>
    <row r="4" spans="1:2" x14ac:dyDescent="0.25">
      <c r="A4" s="4" t="s">
        <v>8102</v>
      </c>
      <c r="B4">
        <v>14.645000000000001</v>
      </c>
    </row>
    <row r="5" spans="1:2" x14ac:dyDescent="0.25">
      <c r="A5" s="4" t="s">
        <v>953</v>
      </c>
      <c r="B5">
        <v>6897.3279999999877</v>
      </c>
    </row>
    <row r="6" spans="1:2" x14ac:dyDescent="0.25">
      <c r="A6" s="4" t="s">
        <v>771</v>
      </c>
      <c r="B6">
        <v>5288.2039999999915</v>
      </c>
    </row>
    <row r="7" spans="1:2" x14ac:dyDescent="0.25">
      <c r="A7" s="4" t="s">
        <v>5966</v>
      </c>
      <c r="B7">
        <v>37.115000000000002</v>
      </c>
    </row>
    <row r="8" spans="1:2" x14ac:dyDescent="0.25">
      <c r="A8" s="4" t="s">
        <v>765</v>
      </c>
      <c r="B8">
        <v>193.78800000000001</v>
      </c>
    </row>
    <row r="9" spans="1:2" x14ac:dyDescent="0.25">
      <c r="A9" s="4" t="s">
        <v>719</v>
      </c>
      <c r="B9">
        <v>3532.9980000000014</v>
      </c>
    </row>
    <row r="10" spans="1:2" x14ac:dyDescent="0.25">
      <c r="A10" s="4" t="s">
        <v>673</v>
      </c>
      <c r="B10">
        <v>1074.4939999999992</v>
      </c>
    </row>
    <row r="11" spans="1:2" x14ac:dyDescent="0.25">
      <c r="A11" s="4" t="s">
        <v>660</v>
      </c>
      <c r="B11">
        <v>37.085000000000001</v>
      </c>
    </row>
    <row r="12" spans="1:2" x14ac:dyDescent="0.25">
      <c r="A12" s="4" t="s">
        <v>639</v>
      </c>
      <c r="B12">
        <v>780.40100000000007</v>
      </c>
    </row>
    <row r="13" spans="1:2" x14ac:dyDescent="0.25">
      <c r="A13" s="4" t="s">
        <v>584</v>
      </c>
      <c r="B13">
        <v>2113.4310000000014</v>
      </c>
    </row>
    <row r="14" spans="1:2" x14ac:dyDescent="0.25">
      <c r="A14" s="4" t="s">
        <v>522</v>
      </c>
      <c r="B14">
        <v>2811.4510000000055</v>
      </c>
    </row>
    <row r="15" spans="1:2" x14ac:dyDescent="0.25">
      <c r="A15" s="4" t="s">
        <v>3926</v>
      </c>
      <c r="B15">
        <v>0.01</v>
      </c>
    </row>
    <row r="16" spans="1:2" x14ac:dyDescent="0.25">
      <c r="A16" s="4" t="s">
        <v>448</v>
      </c>
      <c r="B16">
        <v>634.33599999999967</v>
      </c>
    </row>
    <row r="17" spans="1:2" x14ac:dyDescent="0.25">
      <c r="A17" s="4" t="s">
        <v>418</v>
      </c>
      <c r="B17">
        <v>845.56600000000014</v>
      </c>
    </row>
    <row r="18" spans="1:2" x14ac:dyDescent="0.25">
      <c r="A18" s="4" t="s">
        <v>341</v>
      </c>
      <c r="B18">
        <v>1378.1749999999997</v>
      </c>
    </row>
    <row r="19" spans="1:2" x14ac:dyDescent="0.25">
      <c r="A19" s="4" t="s">
        <v>336</v>
      </c>
      <c r="B19">
        <v>426.89800000000008</v>
      </c>
    </row>
    <row r="20" spans="1:2" x14ac:dyDescent="0.25">
      <c r="A20" s="4" t="s">
        <v>300</v>
      </c>
      <c r="B20">
        <v>213.03600000000009</v>
      </c>
    </row>
    <row r="21" spans="1:2" x14ac:dyDescent="0.25">
      <c r="A21" s="4" t="s">
        <v>227</v>
      </c>
      <c r="B21">
        <v>1423.5480000000002</v>
      </c>
    </row>
    <row r="22" spans="1:2" x14ac:dyDescent="0.25">
      <c r="A22" s="4" t="s">
        <v>33</v>
      </c>
      <c r="B22">
        <v>5227.8289999999952</v>
      </c>
    </row>
    <row r="23" spans="1:2" x14ac:dyDescent="0.25">
      <c r="A23" s="4" t="s">
        <v>8144</v>
      </c>
      <c r="B23">
        <v>32930.337999999982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DD176-3B0C-42FA-B630-CC6CD8EAE4F0}">
  <dimension ref="A3:E34"/>
  <sheetViews>
    <sheetView workbookViewId="0">
      <selection activeCell="A3" sqref="A3"/>
    </sheetView>
  </sheetViews>
  <sheetFormatPr defaultRowHeight="15" x14ac:dyDescent="0.25"/>
  <cols>
    <col min="1" max="1" width="19" bestFit="1" customWidth="1"/>
    <col min="2" max="2" width="16.28515625" bestFit="1" customWidth="1"/>
    <col min="3" max="3" width="8" bestFit="1" customWidth="1"/>
    <col min="4" max="4" width="9" bestFit="1" customWidth="1"/>
    <col min="5" max="5" width="11.28515625" bestFit="1" customWidth="1"/>
    <col min="6" max="6" width="8" bestFit="1" customWidth="1"/>
    <col min="7" max="9" width="9" bestFit="1" customWidth="1"/>
    <col min="10" max="11" width="11.28515625" bestFit="1" customWidth="1"/>
  </cols>
  <sheetData>
    <row r="3" spans="1:5" x14ac:dyDescent="0.25">
      <c r="A3" s="3" t="s">
        <v>8145</v>
      </c>
      <c r="B3" s="3" t="s">
        <v>8146</v>
      </c>
    </row>
    <row r="4" spans="1:5" x14ac:dyDescent="0.25">
      <c r="A4" s="3" t="s">
        <v>8143</v>
      </c>
      <c r="B4" t="s">
        <v>5</v>
      </c>
      <c r="C4" t="s">
        <v>294</v>
      </c>
      <c r="D4" t="s">
        <v>575</v>
      </c>
      <c r="E4" t="s">
        <v>8144</v>
      </c>
    </row>
    <row r="5" spans="1:5" x14ac:dyDescent="0.25">
      <c r="A5" s="4" t="s">
        <v>33</v>
      </c>
      <c r="B5">
        <v>218.17699999999994</v>
      </c>
      <c r="C5">
        <v>79.185000000000031</v>
      </c>
      <c r="D5">
        <v>186.25299999999993</v>
      </c>
      <c r="E5">
        <v>483.6149999999999</v>
      </c>
    </row>
    <row r="6" spans="1:5" x14ac:dyDescent="0.25">
      <c r="A6" s="4" t="s">
        <v>227</v>
      </c>
      <c r="B6">
        <v>99.835000000000022</v>
      </c>
      <c r="C6">
        <v>51.152999999999977</v>
      </c>
      <c r="D6">
        <v>158.42799999999994</v>
      </c>
      <c r="E6">
        <v>309.41599999999994</v>
      </c>
    </row>
    <row r="7" spans="1:5" x14ac:dyDescent="0.25">
      <c r="A7" s="4" t="s">
        <v>300</v>
      </c>
      <c r="B7">
        <v>0.39999999999999997</v>
      </c>
      <c r="C7">
        <v>0.28000000000000003</v>
      </c>
      <c r="D7">
        <v>16.581</v>
      </c>
      <c r="E7">
        <v>17.260999999999999</v>
      </c>
    </row>
    <row r="8" spans="1:5" x14ac:dyDescent="0.25">
      <c r="A8" s="4" t="s">
        <v>336</v>
      </c>
      <c r="B8">
        <v>74.835000000000008</v>
      </c>
      <c r="C8">
        <v>19.574999999999999</v>
      </c>
      <c r="D8">
        <v>18.683</v>
      </c>
      <c r="E8">
        <v>113.09300000000002</v>
      </c>
    </row>
    <row r="9" spans="1:5" x14ac:dyDescent="0.25">
      <c r="A9" s="4" t="s">
        <v>341</v>
      </c>
      <c r="B9">
        <v>164.36999999999998</v>
      </c>
      <c r="C9">
        <v>41.935000000000009</v>
      </c>
      <c r="D9">
        <v>29.02</v>
      </c>
      <c r="E9">
        <v>235.32499999999999</v>
      </c>
    </row>
    <row r="10" spans="1:5" x14ac:dyDescent="0.25">
      <c r="A10" s="4" t="s">
        <v>418</v>
      </c>
      <c r="B10">
        <v>1.4999999999999999E-2</v>
      </c>
      <c r="C10">
        <v>2.8559999999999999</v>
      </c>
      <c r="D10">
        <v>5.04</v>
      </c>
      <c r="E10">
        <v>7.9109999999999996</v>
      </c>
    </row>
    <row r="11" spans="1:5" x14ac:dyDescent="0.25">
      <c r="A11" s="4" t="s">
        <v>448</v>
      </c>
      <c r="B11">
        <v>7.04</v>
      </c>
      <c r="C11">
        <v>26.185000000000009</v>
      </c>
      <c r="D11">
        <v>51.186000000000007</v>
      </c>
      <c r="E11">
        <v>84.411000000000016</v>
      </c>
    </row>
    <row r="12" spans="1:5" x14ac:dyDescent="0.25">
      <c r="A12" s="4" t="s">
        <v>3926</v>
      </c>
      <c r="D12">
        <v>0.01</v>
      </c>
      <c r="E12">
        <v>0.01</v>
      </c>
    </row>
    <row r="13" spans="1:5" x14ac:dyDescent="0.25">
      <c r="A13" s="4" t="s">
        <v>522</v>
      </c>
      <c r="B13">
        <v>139.46999999999997</v>
      </c>
      <c r="C13">
        <v>97.638999999999982</v>
      </c>
      <c r="D13">
        <v>82.894999999999996</v>
      </c>
      <c r="E13">
        <v>320.00399999999996</v>
      </c>
    </row>
    <row r="14" spans="1:5" x14ac:dyDescent="0.25">
      <c r="A14" s="4" t="s">
        <v>584</v>
      </c>
      <c r="B14">
        <v>213.4260000000001</v>
      </c>
      <c r="C14">
        <v>111.87500000000001</v>
      </c>
      <c r="D14">
        <v>70.124999999999986</v>
      </c>
      <c r="E14">
        <v>395.4260000000001</v>
      </c>
    </row>
    <row r="15" spans="1:5" x14ac:dyDescent="0.25">
      <c r="A15" s="4" t="s">
        <v>639</v>
      </c>
      <c r="B15">
        <v>82.915000000000006</v>
      </c>
      <c r="C15">
        <v>18.100000000000001</v>
      </c>
      <c r="D15">
        <v>84.131</v>
      </c>
      <c r="E15">
        <v>185.14600000000002</v>
      </c>
    </row>
    <row r="16" spans="1:5" x14ac:dyDescent="0.25">
      <c r="A16" s="4" t="s">
        <v>660</v>
      </c>
      <c r="B16">
        <v>1.845</v>
      </c>
      <c r="E16">
        <v>1.845</v>
      </c>
    </row>
    <row r="17" spans="1:5" x14ac:dyDescent="0.25">
      <c r="A17" s="4" t="s">
        <v>673</v>
      </c>
      <c r="B17">
        <v>10.132000000000001</v>
      </c>
      <c r="C17">
        <v>3.73</v>
      </c>
      <c r="D17">
        <v>20.661999999999999</v>
      </c>
      <c r="E17">
        <v>34.524000000000001</v>
      </c>
    </row>
    <row r="18" spans="1:5" x14ac:dyDescent="0.25">
      <c r="A18" s="4" t="s">
        <v>719</v>
      </c>
      <c r="B18">
        <v>253.11000000000004</v>
      </c>
      <c r="C18">
        <v>68.7</v>
      </c>
      <c r="D18">
        <v>177.57499999999999</v>
      </c>
      <c r="E18">
        <v>499.38500000000005</v>
      </c>
    </row>
    <row r="19" spans="1:5" x14ac:dyDescent="0.25">
      <c r="A19" s="4" t="s">
        <v>765</v>
      </c>
      <c r="B19">
        <v>15.79</v>
      </c>
      <c r="C19">
        <v>0.1</v>
      </c>
      <c r="D19">
        <v>21.402000000000005</v>
      </c>
      <c r="E19">
        <v>37.292000000000002</v>
      </c>
    </row>
    <row r="20" spans="1:5" x14ac:dyDescent="0.25">
      <c r="A20" s="4" t="s">
        <v>5966</v>
      </c>
      <c r="B20">
        <v>8.4600000000000009</v>
      </c>
      <c r="C20">
        <v>0.01</v>
      </c>
      <c r="D20">
        <v>7.72</v>
      </c>
      <c r="E20">
        <v>16.190000000000001</v>
      </c>
    </row>
    <row r="21" spans="1:5" x14ac:dyDescent="0.25">
      <c r="A21" s="4" t="s">
        <v>771</v>
      </c>
      <c r="B21">
        <v>285.40000000000015</v>
      </c>
      <c r="C21">
        <v>38.220000000000013</v>
      </c>
      <c r="D21">
        <v>109.49200000000003</v>
      </c>
      <c r="E21">
        <v>433.11200000000019</v>
      </c>
    </row>
    <row r="22" spans="1:5" x14ac:dyDescent="0.25">
      <c r="A22" s="4" t="s">
        <v>953</v>
      </c>
      <c r="B22">
        <v>521.16000000000065</v>
      </c>
      <c r="C22">
        <v>136.75400000000002</v>
      </c>
      <c r="D22">
        <v>331.16200000000015</v>
      </c>
      <c r="E22">
        <v>989.07600000000082</v>
      </c>
    </row>
    <row r="23" spans="1:5" x14ac:dyDescent="0.25">
      <c r="A23" s="4" t="s">
        <v>8102</v>
      </c>
      <c r="B23">
        <v>4.5600000000000005</v>
      </c>
      <c r="E23">
        <v>4.5600000000000005</v>
      </c>
    </row>
    <row r="24" spans="1:5" x14ac:dyDescent="0.25">
      <c r="A24" s="4" t="s">
        <v>8144</v>
      </c>
      <c r="B24">
        <v>2100.9400000000005</v>
      </c>
      <c r="C24">
        <v>696.29700000000014</v>
      </c>
      <c r="D24">
        <v>1370.3650000000002</v>
      </c>
      <c r="E24">
        <v>4167.6020000000008</v>
      </c>
    </row>
    <row r="27" spans="1:5" x14ac:dyDescent="0.25">
      <c r="A27" t="s">
        <v>8145</v>
      </c>
    </row>
    <row r="28" spans="1:5" x14ac:dyDescent="0.25">
      <c r="A28">
        <v>32930.337999999982</v>
      </c>
      <c r="B28">
        <f>GETPIVOTDATA("Qty (In MT)",$A$27)</f>
        <v>32930.337999999982</v>
      </c>
    </row>
    <row r="30" spans="1:5" x14ac:dyDescent="0.25">
      <c r="A30" s="3" t="s">
        <v>8143</v>
      </c>
      <c r="B30" t="s">
        <v>8145</v>
      </c>
    </row>
    <row r="31" spans="1:5" x14ac:dyDescent="0.25">
      <c r="A31" s="4" t="s">
        <v>5</v>
      </c>
      <c r="B31">
        <v>2100.9400000000019</v>
      </c>
    </row>
    <row r="32" spans="1:5" x14ac:dyDescent="0.25">
      <c r="A32" s="4" t="s">
        <v>294</v>
      </c>
      <c r="B32">
        <v>696.29699999999991</v>
      </c>
    </row>
    <row r="33" spans="1:3" x14ac:dyDescent="0.25">
      <c r="A33" s="4" t="s">
        <v>575</v>
      </c>
      <c r="B33">
        <v>1370.3650000000002</v>
      </c>
    </row>
    <row r="34" spans="1:3" x14ac:dyDescent="0.25">
      <c r="A34" s="4" t="s">
        <v>8144</v>
      </c>
      <c r="B34">
        <v>4167.6020000000026</v>
      </c>
      <c r="C34">
        <f>GETPIVOTDATA("Qty (In MT)",$A$30)</f>
        <v>4167.6020000000026</v>
      </c>
    </row>
  </sheetData>
  <pageMargins left="0.7" right="0.7" top="0.75" bottom="0.75" header="0.3" footer="0.3"/>
  <drawing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94B33-67E1-49CA-8429-6CB2ED231B08}">
  <dimension ref="A3:B23"/>
  <sheetViews>
    <sheetView topLeftCell="A4" workbookViewId="0">
      <selection activeCell="P20" sqref="P20"/>
    </sheetView>
  </sheetViews>
  <sheetFormatPr defaultRowHeight="15" x14ac:dyDescent="0.25"/>
  <cols>
    <col min="1" max="1" width="19" bestFit="1" customWidth="1"/>
    <col min="2" max="2" width="17.85546875" bestFit="1" customWidth="1"/>
  </cols>
  <sheetData>
    <row r="3" spans="1:2" x14ac:dyDescent="0.25">
      <c r="A3" s="3" t="s">
        <v>8143</v>
      </c>
      <c r="B3" t="s">
        <v>8145</v>
      </c>
    </row>
    <row r="4" spans="1:2" x14ac:dyDescent="0.25">
      <c r="A4" s="4" t="s">
        <v>8102</v>
      </c>
      <c r="B4">
        <v>14.42</v>
      </c>
    </row>
    <row r="5" spans="1:2" x14ac:dyDescent="0.25">
      <c r="A5" s="4" t="s">
        <v>953</v>
      </c>
      <c r="B5">
        <v>6690.6449999999995</v>
      </c>
    </row>
    <row r="6" spans="1:2" x14ac:dyDescent="0.25">
      <c r="A6" s="4" t="s">
        <v>771</v>
      </c>
      <c r="B6">
        <v>5105.5910000000049</v>
      </c>
    </row>
    <row r="7" spans="1:2" x14ac:dyDescent="0.25">
      <c r="A7" s="4" t="s">
        <v>5966</v>
      </c>
      <c r="B7">
        <v>37.115000000000002</v>
      </c>
    </row>
    <row r="8" spans="1:2" x14ac:dyDescent="0.25">
      <c r="A8" s="4" t="s">
        <v>765</v>
      </c>
      <c r="B8">
        <v>185.63299999999998</v>
      </c>
    </row>
    <row r="9" spans="1:2" x14ac:dyDescent="0.25">
      <c r="A9" s="4" t="s">
        <v>719</v>
      </c>
      <c r="B9">
        <v>4709.773000000002</v>
      </c>
    </row>
    <row r="10" spans="1:2" x14ac:dyDescent="0.25">
      <c r="A10" s="4" t="s">
        <v>673</v>
      </c>
      <c r="B10">
        <v>1066.1589999999994</v>
      </c>
    </row>
    <row r="11" spans="1:2" x14ac:dyDescent="0.25">
      <c r="A11" s="4" t="s">
        <v>660</v>
      </c>
      <c r="B11">
        <v>48.065000000000005</v>
      </c>
    </row>
    <row r="12" spans="1:2" x14ac:dyDescent="0.25">
      <c r="A12" s="4" t="s">
        <v>639</v>
      </c>
      <c r="B12">
        <v>757.18600000000004</v>
      </c>
    </row>
    <row r="13" spans="1:2" x14ac:dyDescent="0.25">
      <c r="A13" s="4" t="s">
        <v>584</v>
      </c>
      <c r="B13">
        <v>2353.7110000000066</v>
      </c>
    </row>
    <row r="14" spans="1:2" x14ac:dyDescent="0.25">
      <c r="A14" s="4" t="s">
        <v>522</v>
      </c>
      <c r="B14">
        <v>3229.2170000000024</v>
      </c>
    </row>
    <row r="15" spans="1:2" x14ac:dyDescent="0.25">
      <c r="A15" s="4" t="s">
        <v>3926</v>
      </c>
      <c r="B15">
        <v>0.01</v>
      </c>
    </row>
    <row r="16" spans="1:2" x14ac:dyDescent="0.25">
      <c r="A16" s="4" t="s">
        <v>448</v>
      </c>
      <c r="B16">
        <v>634.66599999999971</v>
      </c>
    </row>
    <row r="17" spans="1:2" x14ac:dyDescent="0.25">
      <c r="A17" s="4" t="s">
        <v>418</v>
      </c>
      <c r="B17">
        <v>526.43599999999981</v>
      </c>
    </row>
    <row r="18" spans="1:2" x14ac:dyDescent="0.25">
      <c r="A18" s="4" t="s">
        <v>341</v>
      </c>
      <c r="B18">
        <v>1287.5450000000003</v>
      </c>
    </row>
    <row r="19" spans="1:2" x14ac:dyDescent="0.25">
      <c r="A19" s="4" t="s">
        <v>336</v>
      </c>
      <c r="B19">
        <v>540.09800000000007</v>
      </c>
    </row>
    <row r="20" spans="1:2" x14ac:dyDescent="0.25">
      <c r="A20" s="4" t="s">
        <v>300</v>
      </c>
      <c r="B20">
        <v>207.87099999999995</v>
      </c>
    </row>
    <row r="21" spans="1:2" x14ac:dyDescent="0.25">
      <c r="A21" s="4" t="s">
        <v>227</v>
      </c>
      <c r="B21">
        <v>1498.6260000000032</v>
      </c>
    </row>
    <row r="22" spans="1:2" x14ac:dyDescent="0.25">
      <c r="A22" s="4" t="s">
        <v>33</v>
      </c>
      <c r="B22">
        <v>4935.8549999999841</v>
      </c>
    </row>
    <row r="23" spans="1:2" x14ac:dyDescent="0.25">
      <c r="A23" s="4" t="s">
        <v>8144</v>
      </c>
      <c r="B23">
        <v>33828.622000000003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95F76-09B8-4061-AF03-4614380A70D0}">
  <dimension ref="A3:B12"/>
  <sheetViews>
    <sheetView workbookViewId="0">
      <selection activeCell="D16" sqref="D16"/>
    </sheetView>
  </sheetViews>
  <sheetFormatPr defaultRowHeight="15" x14ac:dyDescent="0.25"/>
  <cols>
    <col min="1" max="1" width="13.140625" bestFit="1" customWidth="1"/>
    <col min="2" max="2" width="17.85546875" bestFit="1" customWidth="1"/>
    <col min="3" max="3" width="9" bestFit="1" customWidth="1"/>
    <col min="4" max="4" width="8" bestFit="1" customWidth="1"/>
    <col min="5" max="5" width="10" bestFit="1" customWidth="1"/>
    <col min="6" max="6" width="8" bestFit="1" customWidth="1"/>
    <col min="7" max="9" width="9" bestFit="1" customWidth="1"/>
    <col min="10" max="10" width="11.28515625" bestFit="1" customWidth="1"/>
  </cols>
  <sheetData>
    <row r="3" spans="1:2" x14ac:dyDescent="0.25">
      <c r="A3" s="3" t="s">
        <v>8143</v>
      </c>
      <c r="B3" t="s">
        <v>8145</v>
      </c>
    </row>
    <row r="4" spans="1:2" x14ac:dyDescent="0.25">
      <c r="A4" s="4" t="s">
        <v>46</v>
      </c>
      <c r="B4">
        <v>6460.3999999999787</v>
      </c>
    </row>
    <row r="5" spans="1:2" x14ac:dyDescent="0.25">
      <c r="A5" s="4" t="s">
        <v>38</v>
      </c>
      <c r="B5">
        <v>3306.5060000000021</v>
      </c>
    </row>
    <row r="6" spans="1:2" x14ac:dyDescent="0.25">
      <c r="A6" s="4" t="s">
        <v>5</v>
      </c>
      <c r="B6">
        <v>2030.1479999999983</v>
      </c>
    </row>
    <row r="7" spans="1:2" x14ac:dyDescent="0.25">
      <c r="A7" s="4" t="s">
        <v>52</v>
      </c>
      <c r="B7">
        <v>9787.8370000000032</v>
      </c>
    </row>
    <row r="8" spans="1:2" x14ac:dyDescent="0.25">
      <c r="A8" s="4" t="s">
        <v>294</v>
      </c>
      <c r="B8">
        <v>695.23299999999915</v>
      </c>
    </row>
    <row r="9" spans="1:2" x14ac:dyDescent="0.25">
      <c r="A9" s="4" t="s">
        <v>575</v>
      </c>
      <c r="B9">
        <v>1375.9299999999982</v>
      </c>
    </row>
    <row r="10" spans="1:2" x14ac:dyDescent="0.25">
      <c r="A10" s="4" t="s">
        <v>61</v>
      </c>
      <c r="B10">
        <v>7743.3919999999825</v>
      </c>
    </row>
    <row r="11" spans="1:2" x14ac:dyDescent="0.25">
      <c r="A11" s="4" t="s">
        <v>106</v>
      </c>
      <c r="B11">
        <v>2429.1760000000008</v>
      </c>
    </row>
    <row r="12" spans="1:2" x14ac:dyDescent="0.25">
      <c r="A12" s="4" t="s">
        <v>8144</v>
      </c>
      <c r="B12">
        <v>33828.621999999959</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ABB6-10BF-450D-97D9-1DE943335D72}">
  <dimension ref="A3:E36"/>
  <sheetViews>
    <sheetView workbookViewId="0">
      <selection activeCell="J14" sqref="J14"/>
    </sheetView>
  </sheetViews>
  <sheetFormatPr defaultRowHeight="15" x14ac:dyDescent="0.25"/>
  <cols>
    <col min="1" max="1" width="19" bestFit="1" customWidth="1"/>
    <col min="2" max="2" width="16.28515625" bestFit="1" customWidth="1"/>
    <col min="3" max="4" width="8" bestFit="1" customWidth="1"/>
    <col min="5" max="5" width="11.28515625" bestFit="1" customWidth="1"/>
    <col min="6" max="7" width="8" bestFit="1" customWidth="1"/>
    <col min="8" max="9" width="9" bestFit="1" customWidth="1"/>
    <col min="10" max="11" width="11.28515625" bestFit="1" customWidth="1"/>
    <col min="12" max="18" width="6" bestFit="1" customWidth="1"/>
    <col min="19" max="19" width="5" bestFit="1" customWidth="1"/>
    <col min="20" max="25" width="6" bestFit="1" customWidth="1"/>
    <col min="26" max="26" width="5" bestFit="1" customWidth="1"/>
    <col min="27" max="34" width="6" bestFit="1" customWidth="1"/>
    <col min="35" max="35" width="5" bestFit="1" customWidth="1"/>
    <col min="36" max="43" width="6" bestFit="1" customWidth="1"/>
    <col min="44" max="44" width="5" bestFit="1" customWidth="1"/>
    <col min="45" max="47" width="6" bestFit="1" customWidth="1"/>
    <col min="48" max="48" width="5" bestFit="1" customWidth="1"/>
    <col min="49" max="51" width="6" bestFit="1" customWidth="1"/>
    <col min="52" max="52" width="5" bestFit="1" customWidth="1"/>
    <col min="53" max="55" width="6" bestFit="1" customWidth="1"/>
    <col min="56" max="56" width="5" bestFit="1" customWidth="1"/>
    <col min="57" max="61" width="6" bestFit="1" customWidth="1"/>
    <col min="62" max="62" width="5" bestFit="1" customWidth="1"/>
    <col min="63" max="65" width="6" bestFit="1" customWidth="1"/>
    <col min="66" max="66" width="4" bestFit="1" customWidth="1"/>
    <col min="67" max="68" width="6" bestFit="1" customWidth="1"/>
    <col min="69" max="69" width="5" bestFit="1" customWidth="1"/>
    <col min="70" max="71" width="6" bestFit="1" customWidth="1"/>
    <col min="72" max="72" width="5" bestFit="1" customWidth="1"/>
    <col min="73" max="75" width="6" bestFit="1" customWidth="1"/>
    <col min="76" max="76" width="5" bestFit="1" customWidth="1"/>
    <col min="77" max="79" width="6" bestFit="1" customWidth="1"/>
    <col min="80" max="80" width="5" bestFit="1" customWidth="1"/>
    <col min="81" max="82" width="6" bestFit="1" customWidth="1"/>
    <col min="83" max="83" width="5" bestFit="1" customWidth="1"/>
    <col min="84" max="86" width="6" bestFit="1" customWidth="1"/>
    <col min="87" max="87" width="5" bestFit="1" customWidth="1"/>
    <col min="88" max="88" width="6" bestFit="1" customWidth="1"/>
    <col min="89" max="89" width="5" bestFit="1" customWidth="1"/>
    <col min="90" max="91" width="6" bestFit="1" customWidth="1"/>
    <col min="92" max="93" width="5" bestFit="1" customWidth="1"/>
    <col min="94" max="98" width="6" bestFit="1" customWidth="1"/>
    <col min="99" max="99" width="4" bestFit="1" customWidth="1"/>
    <col min="100" max="100" width="6" bestFit="1" customWidth="1"/>
    <col min="101" max="101" width="5" bestFit="1" customWidth="1"/>
    <col min="102" max="104" width="6" bestFit="1" customWidth="1"/>
    <col min="105" max="105" width="5" bestFit="1" customWidth="1"/>
    <col min="106" max="108" width="6" bestFit="1" customWidth="1"/>
    <col min="109" max="109" width="5" bestFit="1" customWidth="1"/>
    <col min="110" max="114" width="6" bestFit="1" customWidth="1"/>
    <col min="115" max="115" width="5" bestFit="1" customWidth="1"/>
    <col min="116" max="116" width="6" bestFit="1" customWidth="1"/>
    <col min="117" max="117" width="5" bestFit="1" customWidth="1"/>
    <col min="118" max="119" width="6" bestFit="1" customWidth="1"/>
    <col min="120" max="120" width="5" bestFit="1" customWidth="1"/>
    <col min="121" max="123" width="6" bestFit="1" customWidth="1"/>
    <col min="124" max="124" width="5" bestFit="1" customWidth="1"/>
    <col min="125" max="127" width="6" bestFit="1" customWidth="1"/>
    <col min="128" max="128" width="5" bestFit="1" customWidth="1"/>
    <col min="129" max="131" width="6" bestFit="1" customWidth="1"/>
    <col min="132" max="132" width="4" bestFit="1" customWidth="1"/>
    <col min="133" max="135" width="6" bestFit="1" customWidth="1"/>
    <col min="136" max="136" width="5" bestFit="1" customWidth="1"/>
    <col min="137" max="139" width="6" bestFit="1" customWidth="1"/>
    <col min="140" max="140" width="5" bestFit="1" customWidth="1"/>
    <col min="141" max="141" width="6" bestFit="1" customWidth="1"/>
    <col min="142" max="143" width="5" bestFit="1" customWidth="1"/>
    <col min="144" max="145" width="6" bestFit="1" customWidth="1"/>
    <col min="146" max="146" width="5" bestFit="1" customWidth="1"/>
    <col min="147" max="148" width="6" bestFit="1" customWidth="1"/>
    <col min="149" max="149" width="5" bestFit="1" customWidth="1"/>
    <col min="150" max="151" width="6" bestFit="1" customWidth="1"/>
    <col min="152" max="153" width="5" bestFit="1" customWidth="1"/>
    <col min="154" max="155" width="6" bestFit="1" customWidth="1"/>
    <col min="156" max="156" width="4" bestFit="1" customWidth="1"/>
    <col min="157" max="158" width="6" bestFit="1" customWidth="1"/>
    <col min="159" max="159" width="5" bestFit="1" customWidth="1"/>
    <col min="160" max="161" width="6" bestFit="1" customWidth="1"/>
    <col min="162" max="162" width="5" bestFit="1" customWidth="1"/>
    <col min="163" max="163" width="6" bestFit="1" customWidth="1"/>
    <col min="164" max="164" width="5" bestFit="1" customWidth="1"/>
    <col min="165" max="165" width="6" bestFit="1" customWidth="1"/>
    <col min="166" max="166" width="5" bestFit="1" customWidth="1"/>
    <col min="167" max="168" width="6" bestFit="1" customWidth="1"/>
    <col min="169" max="169" width="5" bestFit="1" customWidth="1"/>
    <col min="170" max="170" width="6" bestFit="1" customWidth="1"/>
    <col min="171" max="171" width="5" bestFit="1" customWidth="1"/>
    <col min="172" max="176" width="6" bestFit="1" customWidth="1"/>
    <col min="177" max="177" width="5" bestFit="1" customWidth="1"/>
    <col min="178" max="179" width="6" bestFit="1" customWidth="1"/>
    <col min="180" max="180" width="4" bestFit="1" customWidth="1"/>
    <col min="181" max="182" width="6" bestFit="1" customWidth="1"/>
    <col min="183" max="183" width="5" bestFit="1" customWidth="1"/>
    <col min="184" max="185" width="6" bestFit="1" customWidth="1"/>
    <col min="186" max="187" width="5" bestFit="1" customWidth="1"/>
    <col min="188" max="189" width="6" bestFit="1" customWidth="1"/>
    <col min="190" max="191" width="5" bestFit="1" customWidth="1"/>
    <col min="192" max="193" width="6" bestFit="1" customWidth="1"/>
    <col min="194" max="194" width="5" bestFit="1" customWidth="1"/>
    <col min="195" max="196" width="6" bestFit="1" customWidth="1"/>
    <col min="197" max="197" width="5" bestFit="1" customWidth="1"/>
    <col min="198" max="200" width="6" bestFit="1" customWidth="1"/>
    <col min="201" max="201" width="4" bestFit="1" customWidth="1"/>
    <col min="202" max="203" width="6" bestFit="1" customWidth="1"/>
    <col min="204" max="205" width="5" bestFit="1" customWidth="1"/>
    <col min="206" max="206" width="6" bestFit="1" customWidth="1"/>
    <col min="207" max="207" width="5" bestFit="1" customWidth="1"/>
    <col min="208" max="208" width="6" bestFit="1" customWidth="1"/>
    <col min="209" max="209" width="5" bestFit="1" customWidth="1"/>
    <col min="210" max="211" width="6" bestFit="1" customWidth="1"/>
    <col min="212" max="212" width="5" bestFit="1" customWidth="1"/>
    <col min="213" max="214" width="6" bestFit="1" customWidth="1"/>
    <col min="215" max="215" width="5" bestFit="1" customWidth="1"/>
    <col min="216" max="217" width="6" bestFit="1" customWidth="1"/>
    <col min="218" max="218" width="5" bestFit="1" customWidth="1"/>
    <col min="219" max="219" width="6" bestFit="1" customWidth="1"/>
    <col min="220" max="220" width="4" bestFit="1" customWidth="1"/>
    <col min="221" max="221" width="6" bestFit="1" customWidth="1"/>
    <col min="222" max="223" width="5" bestFit="1" customWidth="1"/>
    <col min="224" max="225" width="6" bestFit="1" customWidth="1"/>
    <col min="226" max="226" width="5" bestFit="1" customWidth="1"/>
    <col min="227" max="229" width="6" bestFit="1" customWidth="1"/>
    <col min="230" max="231" width="5" bestFit="1" customWidth="1"/>
    <col min="232" max="234" width="6" bestFit="1" customWidth="1"/>
    <col min="235" max="235" width="5" bestFit="1" customWidth="1"/>
    <col min="236" max="238" width="6" bestFit="1" customWidth="1"/>
    <col min="239" max="239" width="4" bestFit="1" customWidth="1"/>
    <col min="240" max="240" width="6" bestFit="1" customWidth="1"/>
    <col min="241" max="242" width="5" bestFit="1" customWidth="1"/>
    <col min="243" max="244" width="6" bestFit="1" customWidth="1"/>
    <col min="245" max="245" width="5" bestFit="1" customWidth="1"/>
    <col min="246" max="248" width="6" bestFit="1" customWidth="1"/>
    <col min="249" max="249" width="5" bestFit="1" customWidth="1"/>
    <col min="250" max="251" width="6" bestFit="1" customWidth="1"/>
    <col min="252" max="252" width="5" bestFit="1" customWidth="1"/>
    <col min="253" max="253" width="6" bestFit="1" customWidth="1"/>
    <col min="254" max="254" width="5" bestFit="1" customWidth="1"/>
    <col min="255" max="256" width="6" bestFit="1" customWidth="1"/>
    <col min="257" max="257" width="4" bestFit="1" customWidth="1"/>
    <col min="258" max="258" width="5" bestFit="1" customWidth="1"/>
    <col min="259" max="259" width="6" bestFit="1" customWidth="1"/>
    <col min="260" max="261" width="5" bestFit="1" customWidth="1"/>
    <col min="262" max="262" width="6" bestFit="1" customWidth="1"/>
    <col min="263" max="264" width="5" bestFit="1" customWidth="1"/>
    <col min="265" max="265" width="6" bestFit="1" customWidth="1"/>
    <col min="266" max="267" width="5" bestFit="1" customWidth="1"/>
    <col min="268" max="268" width="6" bestFit="1" customWidth="1"/>
    <col min="269" max="269" width="5" bestFit="1" customWidth="1"/>
    <col min="270" max="271" width="6" bestFit="1" customWidth="1"/>
    <col min="272" max="272" width="2" bestFit="1" customWidth="1"/>
    <col min="273" max="275" width="6" bestFit="1" customWidth="1"/>
    <col min="276" max="276" width="5" bestFit="1" customWidth="1"/>
    <col min="277" max="278" width="6" bestFit="1" customWidth="1"/>
    <col min="279" max="279" width="5" bestFit="1" customWidth="1"/>
    <col min="280" max="280" width="4" bestFit="1" customWidth="1"/>
    <col min="281" max="281" width="6" bestFit="1" customWidth="1"/>
    <col min="282" max="282" width="5" bestFit="1" customWidth="1"/>
    <col min="283" max="283" width="6" bestFit="1" customWidth="1"/>
    <col min="284" max="284" width="5" bestFit="1" customWidth="1"/>
    <col min="285" max="285" width="6" bestFit="1" customWidth="1"/>
    <col min="286" max="286" width="5" bestFit="1" customWidth="1"/>
    <col min="287" max="288" width="6" bestFit="1" customWidth="1"/>
    <col min="289" max="289" width="5" bestFit="1" customWidth="1"/>
    <col min="290" max="290" width="6" bestFit="1" customWidth="1"/>
    <col min="291" max="291" width="4" bestFit="1" customWidth="1"/>
    <col min="292" max="292" width="6" bestFit="1" customWidth="1"/>
    <col min="293" max="294" width="5" bestFit="1" customWidth="1"/>
    <col min="295" max="295" width="6" bestFit="1" customWidth="1"/>
    <col min="296" max="296" width="5" bestFit="1" customWidth="1"/>
    <col min="297" max="298" width="6" bestFit="1" customWidth="1"/>
    <col min="299" max="299" width="5" bestFit="1" customWidth="1"/>
    <col min="300" max="301" width="6" bestFit="1" customWidth="1"/>
    <col min="302" max="302" width="4" bestFit="1" customWidth="1"/>
    <col min="303" max="305" width="6" bestFit="1" customWidth="1"/>
    <col min="306" max="306" width="5" bestFit="1" customWidth="1"/>
    <col min="307" max="307" width="6" bestFit="1" customWidth="1"/>
    <col min="308" max="308" width="5" bestFit="1" customWidth="1"/>
    <col min="309" max="309" width="6" bestFit="1" customWidth="1"/>
    <col min="310" max="310" width="4" bestFit="1" customWidth="1"/>
    <col min="311" max="311" width="6" bestFit="1" customWidth="1"/>
    <col min="312" max="313" width="5" bestFit="1" customWidth="1"/>
    <col min="314" max="314" width="6" bestFit="1" customWidth="1"/>
    <col min="315" max="315" width="5" bestFit="1" customWidth="1"/>
    <col min="316" max="317" width="6" bestFit="1" customWidth="1"/>
    <col min="318" max="318" width="4" bestFit="1" customWidth="1"/>
    <col min="319" max="319" width="6" bestFit="1" customWidth="1"/>
    <col min="320" max="322" width="5" bestFit="1" customWidth="1"/>
    <col min="323" max="323" width="6" bestFit="1" customWidth="1"/>
    <col min="324" max="324" width="5" bestFit="1" customWidth="1"/>
    <col min="325" max="325" width="6" bestFit="1" customWidth="1"/>
    <col min="326" max="326" width="5" bestFit="1" customWidth="1"/>
    <col min="327" max="327" width="4" bestFit="1" customWidth="1"/>
    <col min="328" max="328" width="5" bestFit="1" customWidth="1"/>
    <col min="329" max="329" width="6" bestFit="1" customWidth="1"/>
    <col min="330" max="330" width="5" bestFit="1" customWidth="1"/>
    <col min="331" max="331" width="6" bestFit="1" customWidth="1"/>
    <col min="332" max="332" width="5" bestFit="1" customWidth="1"/>
    <col min="333" max="335" width="6" bestFit="1" customWidth="1"/>
    <col min="336" max="336" width="4" bestFit="1" customWidth="1"/>
    <col min="337" max="337" width="5" bestFit="1" customWidth="1"/>
    <col min="338" max="339" width="6" bestFit="1" customWidth="1"/>
    <col min="340" max="340" width="5" bestFit="1" customWidth="1"/>
    <col min="341" max="341" width="6" bestFit="1" customWidth="1"/>
    <col min="342" max="342" width="5" bestFit="1" customWidth="1"/>
    <col min="343" max="343" width="6" bestFit="1" customWidth="1"/>
    <col min="344" max="344" width="5" bestFit="1" customWidth="1"/>
    <col min="345" max="345" width="6" bestFit="1" customWidth="1"/>
    <col min="346" max="347" width="5" bestFit="1" customWidth="1"/>
    <col min="348" max="348" width="6" bestFit="1" customWidth="1"/>
    <col min="349" max="349" width="4" bestFit="1" customWidth="1"/>
    <col min="350" max="350" width="5" bestFit="1" customWidth="1"/>
    <col min="351" max="351" width="6" bestFit="1" customWidth="1"/>
    <col min="352" max="355" width="5" bestFit="1" customWidth="1"/>
    <col min="356" max="356" width="6" bestFit="1" customWidth="1"/>
    <col min="357" max="357" width="4" bestFit="1" customWidth="1"/>
    <col min="358" max="360" width="6" bestFit="1" customWidth="1"/>
    <col min="361" max="361" width="5" bestFit="1" customWidth="1"/>
    <col min="362" max="363" width="6" bestFit="1" customWidth="1"/>
    <col min="364" max="364" width="5" bestFit="1" customWidth="1"/>
    <col min="365" max="365" width="6" bestFit="1" customWidth="1"/>
    <col min="366" max="366" width="5" bestFit="1" customWidth="1"/>
    <col min="367" max="367" width="6" bestFit="1" customWidth="1"/>
    <col min="368" max="368" width="5" bestFit="1" customWidth="1"/>
    <col min="369" max="369" width="2" bestFit="1" customWidth="1"/>
    <col min="370" max="370" width="5" bestFit="1" customWidth="1"/>
    <col min="371" max="371" width="6" bestFit="1" customWidth="1"/>
    <col min="372" max="372" width="5" bestFit="1" customWidth="1"/>
    <col min="373" max="373" width="6" bestFit="1" customWidth="1"/>
    <col min="374" max="374" width="5" bestFit="1" customWidth="1"/>
    <col min="375" max="375" width="6" bestFit="1" customWidth="1"/>
    <col min="376" max="376" width="5" bestFit="1" customWidth="1"/>
    <col min="377" max="377" width="6" bestFit="1" customWidth="1"/>
    <col min="378" max="378" width="4" bestFit="1" customWidth="1"/>
    <col min="379" max="381" width="6" bestFit="1" customWidth="1"/>
    <col min="382" max="382" width="5" bestFit="1" customWidth="1"/>
    <col min="383" max="383" width="6" bestFit="1" customWidth="1"/>
    <col min="384" max="384" width="5" bestFit="1" customWidth="1"/>
    <col min="385" max="385" width="4" bestFit="1" customWidth="1"/>
    <col min="386" max="387" width="6" bestFit="1" customWidth="1"/>
    <col min="388" max="388" width="5" bestFit="1" customWidth="1"/>
    <col min="389" max="389" width="6" bestFit="1" customWidth="1"/>
    <col min="390" max="392" width="5" bestFit="1" customWidth="1"/>
    <col min="393" max="393" width="6" bestFit="1" customWidth="1"/>
    <col min="394" max="395" width="5" bestFit="1" customWidth="1"/>
    <col min="396" max="396" width="6" bestFit="1" customWidth="1"/>
    <col min="397" max="397" width="4" bestFit="1" customWidth="1"/>
    <col min="398" max="398" width="6" bestFit="1" customWidth="1"/>
    <col min="399" max="399" width="5" bestFit="1" customWidth="1"/>
    <col min="400" max="401" width="6" bestFit="1" customWidth="1"/>
    <col min="402" max="403" width="5" bestFit="1" customWidth="1"/>
    <col min="404" max="404" width="6" bestFit="1" customWidth="1"/>
    <col min="405" max="405" width="5" bestFit="1" customWidth="1"/>
    <col min="406" max="406" width="6" bestFit="1" customWidth="1"/>
    <col min="407" max="407" width="4" bestFit="1" customWidth="1"/>
    <col min="408" max="408" width="6" bestFit="1" customWidth="1"/>
    <col min="409" max="411" width="5" bestFit="1" customWidth="1"/>
    <col min="412" max="414" width="6" bestFit="1" customWidth="1"/>
    <col min="415" max="415" width="4" bestFit="1" customWidth="1"/>
    <col min="416" max="416" width="5" bestFit="1" customWidth="1"/>
    <col min="417" max="417" width="6" bestFit="1" customWidth="1"/>
    <col min="418" max="419" width="5" bestFit="1" customWidth="1"/>
    <col min="420" max="421" width="6" bestFit="1" customWidth="1"/>
    <col min="422" max="422" width="4" bestFit="1" customWidth="1"/>
    <col min="423" max="424" width="5" bestFit="1" customWidth="1"/>
    <col min="425" max="428" width="6" bestFit="1" customWidth="1"/>
    <col min="429" max="429" width="4" bestFit="1" customWidth="1"/>
    <col min="430" max="430" width="5" bestFit="1" customWidth="1"/>
    <col min="431" max="431" width="6" bestFit="1" customWidth="1"/>
    <col min="432" max="432" width="5" bestFit="1" customWidth="1"/>
    <col min="433" max="434" width="6" bestFit="1" customWidth="1"/>
    <col min="435" max="435" width="5" bestFit="1" customWidth="1"/>
    <col min="436" max="436" width="4" bestFit="1" customWidth="1"/>
    <col min="437" max="437" width="6" bestFit="1" customWidth="1"/>
    <col min="438" max="438" width="5" bestFit="1" customWidth="1"/>
    <col min="439" max="439" width="6" bestFit="1" customWidth="1"/>
    <col min="440" max="440" width="5" bestFit="1" customWidth="1"/>
    <col min="441" max="441" width="4" bestFit="1" customWidth="1"/>
    <col min="442" max="442" width="6" bestFit="1" customWidth="1"/>
    <col min="443" max="445" width="5" bestFit="1" customWidth="1"/>
    <col min="446" max="446" width="2" bestFit="1" customWidth="1"/>
    <col min="447" max="448" width="6" bestFit="1" customWidth="1"/>
    <col min="449" max="453" width="5" bestFit="1" customWidth="1"/>
    <col min="454" max="454" width="4" bestFit="1" customWidth="1"/>
    <col min="455" max="455" width="6" bestFit="1" customWidth="1"/>
    <col min="456" max="457" width="5" bestFit="1" customWidth="1"/>
    <col min="458" max="458" width="6" bestFit="1" customWidth="1"/>
    <col min="459" max="459" width="4" bestFit="1" customWidth="1"/>
    <col min="460" max="461" width="5" bestFit="1" customWidth="1"/>
    <col min="462" max="464" width="6" bestFit="1" customWidth="1"/>
    <col min="465" max="465" width="4" bestFit="1" customWidth="1"/>
    <col min="466" max="466" width="5" bestFit="1" customWidth="1"/>
    <col min="467" max="467" width="6" bestFit="1" customWidth="1"/>
    <col min="468" max="469" width="5" bestFit="1" customWidth="1"/>
    <col min="470" max="470" width="6" bestFit="1" customWidth="1"/>
    <col min="471" max="471" width="4" bestFit="1" customWidth="1"/>
    <col min="472" max="473" width="5" bestFit="1" customWidth="1"/>
    <col min="474" max="474" width="6" bestFit="1" customWidth="1"/>
    <col min="475" max="477" width="5" bestFit="1" customWidth="1"/>
    <col min="478" max="479" width="6" bestFit="1" customWidth="1"/>
    <col min="480" max="480" width="4" bestFit="1" customWidth="1"/>
    <col min="481" max="482" width="5" bestFit="1" customWidth="1"/>
    <col min="483" max="484" width="6" bestFit="1" customWidth="1"/>
    <col min="485" max="485" width="4" bestFit="1" customWidth="1"/>
    <col min="486" max="486" width="5" bestFit="1" customWidth="1"/>
    <col min="487" max="487" width="6" bestFit="1" customWidth="1"/>
    <col min="488" max="489" width="5" bestFit="1" customWidth="1"/>
    <col min="490" max="490" width="6" bestFit="1" customWidth="1"/>
    <col min="491" max="491" width="4" bestFit="1" customWidth="1"/>
    <col min="492" max="493" width="5" bestFit="1" customWidth="1"/>
    <col min="494" max="494" width="6" bestFit="1" customWidth="1"/>
    <col min="495" max="495" width="5" bestFit="1" customWidth="1"/>
    <col min="496" max="496" width="6" bestFit="1" customWidth="1"/>
    <col min="497" max="497" width="5" bestFit="1" customWidth="1"/>
    <col min="498" max="498" width="4" bestFit="1" customWidth="1"/>
    <col min="499" max="499" width="6" bestFit="1" customWidth="1"/>
    <col min="500" max="503" width="5" bestFit="1" customWidth="1"/>
    <col min="504" max="504" width="4" bestFit="1" customWidth="1"/>
    <col min="505" max="505" width="6" bestFit="1" customWidth="1"/>
    <col min="506" max="509" width="5" bestFit="1" customWidth="1"/>
    <col min="510" max="510" width="2" bestFit="1" customWidth="1"/>
    <col min="511" max="511" width="6" bestFit="1" customWidth="1"/>
    <col min="512" max="513" width="5" bestFit="1" customWidth="1"/>
    <col min="514" max="514" width="6" bestFit="1" customWidth="1"/>
    <col min="515" max="515" width="4" bestFit="1" customWidth="1"/>
    <col min="516" max="519" width="5" bestFit="1" customWidth="1"/>
    <col min="520" max="521" width="6" bestFit="1" customWidth="1"/>
    <col min="522" max="522" width="4" bestFit="1" customWidth="1"/>
    <col min="523" max="524" width="5" bestFit="1" customWidth="1"/>
    <col min="525" max="525" width="6" bestFit="1" customWidth="1"/>
    <col min="526" max="526" width="4" bestFit="1" customWidth="1"/>
    <col min="527" max="527" width="6" bestFit="1" customWidth="1"/>
    <col min="528" max="529" width="5" bestFit="1" customWidth="1"/>
    <col min="530" max="530" width="6" bestFit="1" customWidth="1"/>
    <col min="531" max="531" width="4" bestFit="1" customWidth="1"/>
    <col min="532" max="534" width="5" bestFit="1" customWidth="1"/>
    <col min="535" max="535" width="6" bestFit="1" customWidth="1"/>
    <col min="536" max="536" width="4" bestFit="1" customWidth="1"/>
    <col min="537" max="539" width="6" bestFit="1" customWidth="1"/>
    <col min="540" max="541" width="5" bestFit="1" customWidth="1"/>
    <col min="542" max="542" width="4" bestFit="1" customWidth="1"/>
    <col min="543" max="543" width="5" bestFit="1" customWidth="1"/>
    <col min="544" max="545" width="6" bestFit="1" customWidth="1"/>
    <col min="546" max="546" width="5" bestFit="1" customWidth="1"/>
    <col min="547" max="547" width="6" bestFit="1" customWidth="1"/>
    <col min="548" max="548" width="5" bestFit="1" customWidth="1"/>
    <col min="549" max="549" width="4" bestFit="1" customWidth="1"/>
    <col min="550" max="550" width="6" bestFit="1" customWidth="1"/>
    <col min="551" max="553" width="5" bestFit="1" customWidth="1"/>
    <col min="554" max="554" width="4" bestFit="1" customWidth="1"/>
    <col min="555" max="556" width="6" bestFit="1" customWidth="1"/>
    <col min="557" max="560" width="5" bestFit="1" customWidth="1"/>
    <col min="561" max="563" width="6" bestFit="1" customWidth="1"/>
    <col min="564" max="564" width="4" bestFit="1" customWidth="1"/>
    <col min="565" max="566" width="6" bestFit="1" customWidth="1"/>
    <col min="567" max="567" width="5" bestFit="1" customWidth="1"/>
    <col min="568" max="568" width="6" bestFit="1" customWidth="1"/>
    <col min="569" max="570" width="5" bestFit="1" customWidth="1"/>
    <col min="571" max="571" width="6" bestFit="1" customWidth="1"/>
    <col min="572" max="572" width="2" bestFit="1" customWidth="1"/>
    <col min="573" max="573" width="6" bestFit="1" customWidth="1"/>
    <col min="574" max="575" width="5" bestFit="1" customWidth="1"/>
    <col min="576" max="576" width="6" bestFit="1" customWidth="1"/>
    <col min="577" max="577" width="4" bestFit="1" customWidth="1"/>
    <col min="578" max="579" width="5" bestFit="1" customWidth="1"/>
    <col min="580" max="580" width="6" bestFit="1" customWidth="1"/>
    <col min="581" max="581" width="4" bestFit="1" customWidth="1"/>
    <col min="582" max="584" width="5" bestFit="1" customWidth="1"/>
    <col min="585" max="585" width="6" bestFit="1" customWidth="1"/>
    <col min="586" max="586" width="4" bestFit="1" customWidth="1"/>
    <col min="587" max="587" width="5" bestFit="1" customWidth="1"/>
    <col min="588" max="588" width="6" bestFit="1" customWidth="1"/>
    <col min="589" max="589" width="5" bestFit="1" customWidth="1"/>
    <col min="590" max="591" width="6" bestFit="1" customWidth="1"/>
    <col min="592" max="592" width="4" bestFit="1" customWidth="1"/>
    <col min="593" max="593" width="6" bestFit="1" customWidth="1"/>
    <col min="594" max="596" width="5" bestFit="1" customWidth="1"/>
    <col min="597" max="597" width="4" bestFit="1" customWidth="1"/>
    <col min="598" max="598" width="5" bestFit="1" customWidth="1"/>
    <col min="599" max="599" width="6" bestFit="1" customWidth="1"/>
    <col min="600" max="600" width="5" bestFit="1" customWidth="1"/>
    <col min="601" max="601" width="4" bestFit="1" customWidth="1"/>
    <col min="602" max="602" width="5" bestFit="1" customWidth="1"/>
    <col min="603" max="603" width="6" bestFit="1" customWidth="1"/>
    <col min="604" max="605" width="5" bestFit="1" customWidth="1"/>
    <col min="606" max="606" width="6" bestFit="1" customWidth="1"/>
    <col min="607" max="607" width="4" bestFit="1" customWidth="1"/>
    <col min="608" max="608" width="6" bestFit="1" customWidth="1"/>
    <col min="609" max="610" width="5" bestFit="1" customWidth="1"/>
    <col min="611" max="611" width="4" bestFit="1" customWidth="1"/>
    <col min="612" max="612" width="6" bestFit="1" customWidth="1"/>
    <col min="613" max="613" width="5" bestFit="1" customWidth="1"/>
    <col min="614" max="614" width="6" bestFit="1" customWidth="1"/>
    <col min="615" max="615" width="4" bestFit="1" customWidth="1"/>
    <col min="616" max="617" width="6" bestFit="1" customWidth="1"/>
    <col min="618" max="619" width="5" bestFit="1" customWidth="1"/>
    <col min="620" max="620" width="6" bestFit="1" customWidth="1"/>
    <col min="621" max="621" width="5" bestFit="1" customWidth="1"/>
    <col min="622" max="623" width="6" bestFit="1" customWidth="1"/>
    <col min="624" max="624" width="2" bestFit="1" customWidth="1"/>
    <col min="625" max="626" width="5" bestFit="1" customWidth="1"/>
    <col min="627" max="628" width="6" bestFit="1" customWidth="1"/>
    <col min="629" max="629" width="4" bestFit="1" customWidth="1"/>
    <col min="630" max="632" width="5" bestFit="1" customWidth="1"/>
    <col min="633" max="633" width="6" bestFit="1" customWidth="1"/>
    <col min="634" max="634" width="5" bestFit="1" customWidth="1"/>
    <col min="635" max="635" width="6" bestFit="1" customWidth="1"/>
    <col min="636" max="637" width="5" bestFit="1" customWidth="1"/>
    <col min="638" max="638" width="6" bestFit="1" customWidth="1"/>
    <col min="639" max="639" width="4" bestFit="1" customWidth="1"/>
    <col min="640" max="640" width="6" bestFit="1" customWidth="1"/>
    <col min="641" max="641" width="5" bestFit="1" customWidth="1"/>
    <col min="642" max="642" width="4" bestFit="1" customWidth="1"/>
    <col min="643" max="643" width="6" bestFit="1" customWidth="1"/>
    <col min="644" max="646" width="5" bestFit="1" customWidth="1"/>
    <col min="647" max="647" width="4" bestFit="1" customWidth="1"/>
    <col min="648" max="648" width="6" bestFit="1" customWidth="1"/>
    <col min="649" max="650" width="5" bestFit="1" customWidth="1"/>
    <col min="651" max="651" width="6" bestFit="1" customWidth="1"/>
    <col min="652" max="652" width="5" bestFit="1" customWidth="1"/>
    <col min="653" max="653" width="6" bestFit="1" customWidth="1"/>
    <col min="654" max="655" width="5" bestFit="1" customWidth="1"/>
    <col min="656" max="656" width="4" bestFit="1" customWidth="1"/>
    <col min="657" max="658" width="6" bestFit="1" customWidth="1"/>
    <col min="659" max="659" width="5" bestFit="1" customWidth="1"/>
    <col min="660" max="660" width="6" bestFit="1" customWidth="1"/>
    <col min="661" max="661" width="4" bestFit="1" customWidth="1"/>
    <col min="662" max="662" width="5" bestFit="1" customWidth="1"/>
    <col min="663" max="663" width="6" bestFit="1" customWidth="1"/>
    <col min="664" max="665" width="5" bestFit="1" customWidth="1"/>
    <col min="666" max="666" width="6" bestFit="1" customWidth="1"/>
    <col min="667" max="667" width="5" bestFit="1" customWidth="1"/>
    <col min="668" max="668" width="2" bestFit="1" customWidth="1"/>
    <col min="669" max="669" width="5" bestFit="1" customWidth="1"/>
    <col min="670" max="670" width="6" bestFit="1" customWidth="1"/>
    <col min="671" max="671" width="4" bestFit="1" customWidth="1"/>
    <col min="672" max="673" width="5" bestFit="1" customWidth="1"/>
    <col min="674" max="675" width="6" bestFit="1" customWidth="1"/>
    <col min="676" max="676" width="4" bestFit="1" customWidth="1"/>
    <col min="677" max="677" width="6" bestFit="1" customWidth="1"/>
    <col min="678" max="678" width="5" bestFit="1" customWidth="1"/>
    <col min="679" max="679" width="6" bestFit="1" customWidth="1"/>
    <col min="680" max="680" width="5" bestFit="1" customWidth="1"/>
    <col min="681" max="681" width="4" bestFit="1" customWidth="1"/>
    <col min="682" max="682" width="6" bestFit="1" customWidth="1"/>
    <col min="683" max="683" width="5" bestFit="1" customWidth="1"/>
    <col min="684" max="684" width="6" bestFit="1" customWidth="1"/>
    <col min="685" max="686" width="5" bestFit="1" customWidth="1"/>
    <col min="687" max="687" width="4" bestFit="1" customWidth="1"/>
    <col min="688" max="688" width="6" bestFit="1" customWidth="1"/>
    <col min="689" max="691" width="5" bestFit="1" customWidth="1"/>
    <col min="692" max="692" width="4" bestFit="1" customWidth="1"/>
    <col min="693" max="694" width="6" bestFit="1" customWidth="1"/>
    <col min="695" max="696" width="5" bestFit="1" customWidth="1"/>
    <col min="697" max="697" width="6" bestFit="1" customWidth="1"/>
    <col min="698" max="698" width="4" bestFit="1" customWidth="1"/>
    <col min="699" max="701" width="5" bestFit="1" customWidth="1"/>
    <col min="702" max="703" width="6" bestFit="1" customWidth="1"/>
    <col min="704" max="704" width="5" bestFit="1" customWidth="1"/>
    <col min="705" max="705" width="6" bestFit="1" customWidth="1"/>
    <col min="706" max="706" width="4" bestFit="1" customWidth="1"/>
    <col min="707" max="709" width="5" bestFit="1" customWidth="1"/>
    <col min="710" max="712" width="6" bestFit="1" customWidth="1"/>
    <col min="713" max="714" width="5" bestFit="1" customWidth="1"/>
    <col min="715" max="715" width="6" bestFit="1" customWidth="1"/>
    <col min="716" max="716" width="2" bestFit="1" customWidth="1"/>
    <col min="717" max="718" width="5" bestFit="1" customWidth="1"/>
    <col min="719" max="719" width="6" bestFit="1" customWidth="1"/>
    <col min="720" max="720" width="4" bestFit="1" customWidth="1"/>
    <col min="721" max="721" width="6" bestFit="1" customWidth="1"/>
    <col min="722" max="722" width="5" bestFit="1" customWidth="1"/>
    <col min="723" max="723" width="4" bestFit="1" customWidth="1"/>
    <col min="724" max="725" width="6" bestFit="1" customWidth="1"/>
    <col min="726" max="726" width="5" bestFit="1" customWidth="1"/>
    <col min="727" max="727" width="4" bestFit="1" customWidth="1"/>
    <col min="728" max="728" width="6" bestFit="1" customWidth="1"/>
    <col min="729" max="730" width="5" bestFit="1" customWidth="1"/>
    <col min="731" max="731" width="4" bestFit="1" customWidth="1"/>
    <col min="732" max="732" width="6" bestFit="1" customWidth="1"/>
    <col min="733" max="734" width="5" bestFit="1" customWidth="1"/>
    <col min="735" max="735" width="4" bestFit="1" customWidth="1"/>
    <col min="736" max="736" width="6" bestFit="1" customWidth="1"/>
    <col min="737" max="738" width="5" bestFit="1" customWidth="1"/>
    <col min="739" max="739" width="6" bestFit="1" customWidth="1"/>
    <col min="740" max="741" width="5" bestFit="1" customWidth="1"/>
    <col min="742" max="742" width="6" bestFit="1" customWidth="1"/>
    <col min="743" max="744" width="5" bestFit="1" customWidth="1"/>
    <col min="745" max="745" width="6" bestFit="1" customWidth="1"/>
    <col min="746" max="746" width="4" bestFit="1" customWidth="1"/>
    <col min="747" max="748" width="5" bestFit="1" customWidth="1"/>
    <col min="749" max="749" width="6" bestFit="1" customWidth="1"/>
    <col min="750" max="750" width="4" bestFit="1" customWidth="1"/>
    <col min="751" max="752" width="5" bestFit="1" customWidth="1"/>
    <col min="753" max="753" width="6" bestFit="1" customWidth="1"/>
    <col min="754" max="754" width="2" bestFit="1" customWidth="1"/>
    <col min="755" max="755" width="6" bestFit="1" customWidth="1"/>
    <col min="756" max="756" width="5" bestFit="1" customWidth="1"/>
    <col min="757" max="757" width="6" bestFit="1" customWidth="1"/>
    <col min="758" max="758" width="5" bestFit="1" customWidth="1"/>
    <col min="759" max="759" width="4" bestFit="1" customWidth="1"/>
    <col min="760" max="760" width="5" bestFit="1" customWidth="1"/>
    <col min="761" max="762" width="6" bestFit="1" customWidth="1"/>
    <col min="763" max="764" width="5" bestFit="1" customWidth="1"/>
    <col min="765" max="765" width="6" bestFit="1" customWidth="1"/>
    <col min="766" max="766" width="4" bestFit="1" customWidth="1"/>
    <col min="767" max="767" width="6" bestFit="1" customWidth="1"/>
    <col min="768" max="769" width="5" bestFit="1" customWidth="1"/>
    <col min="770" max="770" width="4" bestFit="1" customWidth="1"/>
    <col min="771" max="771" width="6" bestFit="1" customWidth="1"/>
    <col min="772" max="772" width="5" bestFit="1" customWidth="1"/>
    <col min="773" max="773" width="6" bestFit="1" customWidth="1"/>
    <col min="774" max="774" width="5" bestFit="1" customWidth="1"/>
    <col min="775" max="775" width="6" bestFit="1" customWidth="1"/>
    <col min="776" max="776" width="4" bestFit="1" customWidth="1"/>
    <col min="777" max="777" width="5" bestFit="1" customWidth="1"/>
    <col min="778" max="778" width="6" bestFit="1" customWidth="1"/>
    <col min="779" max="779" width="4" bestFit="1" customWidth="1"/>
    <col min="780" max="780" width="6" bestFit="1" customWidth="1"/>
    <col min="781" max="782" width="5" bestFit="1" customWidth="1"/>
    <col min="783" max="783" width="6" bestFit="1" customWidth="1"/>
    <col min="784" max="784" width="4" bestFit="1" customWidth="1"/>
    <col min="785" max="785" width="6" bestFit="1" customWidth="1"/>
    <col min="786" max="788" width="5" bestFit="1" customWidth="1"/>
    <col min="789" max="789" width="6" bestFit="1" customWidth="1"/>
    <col min="790" max="790" width="5" bestFit="1" customWidth="1"/>
    <col min="791" max="791" width="4" bestFit="1" customWidth="1"/>
    <col min="792" max="792" width="5" bestFit="1" customWidth="1"/>
    <col min="793" max="793" width="6" bestFit="1" customWidth="1"/>
    <col min="794" max="794" width="5" bestFit="1" customWidth="1"/>
    <col min="795" max="795" width="6" bestFit="1" customWidth="1"/>
    <col min="796" max="796" width="4" bestFit="1" customWidth="1"/>
    <col min="797" max="799" width="6" bestFit="1" customWidth="1"/>
    <col min="800" max="801" width="5" bestFit="1" customWidth="1"/>
    <col min="802" max="802" width="3" bestFit="1" customWidth="1"/>
    <col min="803" max="803" width="7" bestFit="1" customWidth="1"/>
    <col min="804" max="805" width="6" bestFit="1" customWidth="1"/>
    <col min="806" max="806" width="5" bestFit="1" customWidth="1"/>
    <col min="807" max="807" width="7" bestFit="1" customWidth="1"/>
    <col min="808" max="808" width="6" bestFit="1" customWidth="1"/>
    <col min="809" max="809" width="7" bestFit="1" customWidth="1"/>
    <col min="810" max="810" width="6" bestFit="1" customWidth="1"/>
    <col min="811" max="811" width="5" bestFit="1" customWidth="1"/>
    <col min="812" max="812" width="7" bestFit="1" customWidth="1"/>
    <col min="813" max="814" width="6" bestFit="1" customWidth="1"/>
    <col min="815" max="815" width="7" bestFit="1" customWidth="1"/>
    <col min="816" max="816" width="6" bestFit="1" customWidth="1"/>
    <col min="817" max="817" width="7" bestFit="1" customWidth="1"/>
    <col min="818" max="819" width="6" bestFit="1" customWidth="1"/>
    <col min="820" max="820" width="7" bestFit="1" customWidth="1"/>
    <col min="821" max="821" width="5" bestFit="1" customWidth="1"/>
    <col min="822" max="822" width="6" bestFit="1" customWidth="1"/>
    <col min="823" max="823" width="7" bestFit="1" customWidth="1"/>
    <col min="824" max="824" width="6" bestFit="1" customWidth="1"/>
    <col min="825" max="825" width="5" bestFit="1" customWidth="1"/>
    <col min="826" max="827" width="6" bestFit="1" customWidth="1"/>
    <col min="828" max="829" width="7" bestFit="1" customWidth="1"/>
    <col min="830" max="831" width="6" bestFit="1" customWidth="1"/>
    <col min="832" max="832" width="7" bestFit="1" customWidth="1"/>
    <col min="833" max="833" width="5" bestFit="1" customWidth="1"/>
    <col min="834" max="834" width="7" bestFit="1" customWidth="1"/>
    <col min="835" max="836" width="6" bestFit="1" customWidth="1"/>
    <col min="837" max="837" width="5" bestFit="1" customWidth="1"/>
    <col min="838" max="838" width="7" bestFit="1" customWidth="1"/>
    <col min="839" max="840" width="6" bestFit="1" customWidth="1"/>
    <col min="841" max="841" width="3" bestFit="1" customWidth="1"/>
    <col min="842" max="842" width="7" bestFit="1" customWidth="1"/>
    <col min="843" max="844" width="6" bestFit="1" customWidth="1"/>
    <col min="845" max="845" width="5" bestFit="1" customWidth="1"/>
    <col min="846" max="846" width="7" bestFit="1" customWidth="1"/>
    <col min="847" max="847" width="6" bestFit="1" customWidth="1"/>
    <col min="848" max="848" width="5" bestFit="1" customWidth="1"/>
    <col min="849" max="850" width="6" bestFit="1" customWidth="1"/>
    <col min="851" max="851" width="7" bestFit="1" customWidth="1"/>
    <col min="852" max="852" width="5" bestFit="1" customWidth="1"/>
    <col min="853" max="853" width="6" bestFit="1" customWidth="1"/>
    <col min="854" max="854" width="7" bestFit="1" customWidth="1"/>
    <col min="855" max="855" width="5" bestFit="1" customWidth="1"/>
    <col min="856" max="857" width="7" bestFit="1" customWidth="1"/>
    <col min="858" max="859" width="6" bestFit="1" customWidth="1"/>
    <col min="860" max="860" width="7" bestFit="1" customWidth="1"/>
    <col min="861" max="861" width="6" bestFit="1" customWidth="1"/>
    <col min="862" max="862" width="7" bestFit="1" customWidth="1"/>
    <col min="863" max="864" width="6" bestFit="1" customWidth="1"/>
    <col min="865" max="865" width="7" bestFit="1" customWidth="1"/>
    <col min="866" max="866" width="6" bestFit="1" customWidth="1"/>
    <col min="867" max="867" width="3" bestFit="1" customWidth="1"/>
    <col min="868" max="868" width="7" bestFit="1" customWidth="1"/>
    <col min="869" max="869" width="6" bestFit="1" customWidth="1"/>
    <col min="870" max="870" width="7" bestFit="1" customWidth="1"/>
    <col min="871" max="871" width="5" bestFit="1" customWidth="1"/>
    <col min="872" max="874" width="6" bestFit="1" customWidth="1"/>
    <col min="875" max="876" width="7" bestFit="1" customWidth="1"/>
    <col min="877" max="877" width="5" bestFit="1" customWidth="1"/>
    <col min="878" max="879" width="6" bestFit="1" customWidth="1"/>
    <col min="880" max="880" width="7" bestFit="1" customWidth="1"/>
    <col min="881" max="881" width="5" bestFit="1" customWidth="1"/>
    <col min="882" max="882" width="7" bestFit="1" customWidth="1"/>
    <col min="883" max="885" width="6" bestFit="1" customWidth="1"/>
    <col min="886" max="886" width="3" bestFit="1" customWidth="1"/>
    <col min="887" max="887" width="7" bestFit="1" customWidth="1"/>
    <col min="888" max="891" width="6" bestFit="1" customWidth="1"/>
    <col min="892" max="892" width="5" bestFit="1" customWidth="1"/>
    <col min="893" max="895" width="6" bestFit="1" customWidth="1"/>
    <col min="896" max="896" width="7" bestFit="1" customWidth="1"/>
    <col min="897" max="897" width="6" bestFit="1" customWidth="1"/>
    <col min="898" max="898" width="3" bestFit="1" customWidth="1"/>
    <col min="899" max="901" width="6" bestFit="1" customWidth="1"/>
    <col min="902" max="902" width="5" bestFit="1" customWidth="1"/>
    <col min="903" max="903" width="7" bestFit="1" customWidth="1"/>
    <col min="904" max="905" width="6" bestFit="1" customWidth="1"/>
    <col min="906" max="906" width="7" bestFit="1" customWidth="1"/>
    <col min="907" max="907" width="3" bestFit="1" customWidth="1"/>
    <col min="908" max="908" width="6" bestFit="1" customWidth="1"/>
    <col min="909" max="910" width="7" bestFit="1" customWidth="1"/>
    <col min="911" max="914" width="6" bestFit="1" customWidth="1"/>
    <col min="915" max="916" width="7" bestFit="1" customWidth="1"/>
    <col min="917" max="917" width="6" bestFit="1" customWidth="1"/>
    <col min="918" max="918" width="3" bestFit="1" customWidth="1"/>
    <col min="919" max="921" width="6" bestFit="1" customWidth="1"/>
    <col min="922" max="923" width="7" bestFit="1" customWidth="1"/>
    <col min="924" max="926" width="6" bestFit="1" customWidth="1"/>
    <col min="927" max="927" width="5" bestFit="1" customWidth="1"/>
    <col min="928" max="928" width="6" bestFit="1" customWidth="1"/>
    <col min="929" max="929" width="3" bestFit="1" customWidth="1"/>
    <col min="930" max="930" width="6" bestFit="1" customWidth="1"/>
    <col min="931" max="931" width="5" bestFit="1" customWidth="1"/>
    <col min="932" max="932" width="6" bestFit="1" customWidth="1"/>
    <col min="933" max="933" width="7" bestFit="1" customWidth="1"/>
    <col min="934" max="934" width="5" bestFit="1" customWidth="1"/>
    <col min="935" max="935" width="6" bestFit="1" customWidth="1"/>
    <col min="936" max="936" width="7" bestFit="1" customWidth="1"/>
    <col min="937" max="938" width="6" bestFit="1" customWidth="1"/>
    <col min="939" max="939" width="3" bestFit="1" customWidth="1"/>
    <col min="940" max="940" width="6" bestFit="1" customWidth="1"/>
    <col min="941" max="941" width="7" bestFit="1" customWidth="1"/>
    <col min="942" max="942" width="6" bestFit="1" customWidth="1"/>
    <col min="943" max="944" width="7" bestFit="1" customWidth="1"/>
    <col min="945" max="945" width="6" bestFit="1" customWidth="1"/>
    <col min="946" max="947" width="5" bestFit="1" customWidth="1"/>
    <col min="948" max="948" width="3" bestFit="1" customWidth="1"/>
    <col min="949" max="950" width="7" bestFit="1" customWidth="1"/>
    <col min="951" max="951" width="6" bestFit="1" customWidth="1"/>
    <col min="952" max="952" width="7" bestFit="1" customWidth="1"/>
    <col min="953" max="953" width="6" bestFit="1" customWidth="1"/>
    <col min="954" max="955" width="7" bestFit="1" customWidth="1"/>
    <col min="956" max="956" width="6" bestFit="1" customWidth="1"/>
    <col min="957" max="957" width="3" bestFit="1" customWidth="1"/>
    <col min="958" max="958" width="5" bestFit="1" customWidth="1"/>
    <col min="959" max="959" width="6" bestFit="1" customWidth="1"/>
    <col min="960" max="960" width="7" bestFit="1" customWidth="1"/>
    <col min="961" max="963" width="6" bestFit="1" customWidth="1"/>
    <col min="964" max="964" width="7" bestFit="1" customWidth="1"/>
    <col min="965" max="965" width="3" bestFit="1" customWidth="1"/>
    <col min="966" max="968" width="6" bestFit="1" customWidth="1"/>
    <col min="969" max="969" width="7" bestFit="1" customWidth="1"/>
    <col min="970" max="970" width="6" bestFit="1" customWidth="1"/>
    <col min="971" max="971" width="5" bestFit="1" customWidth="1"/>
    <col min="972" max="974" width="6" bestFit="1" customWidth="1"/>
    <col min="975" max="975" width="3" bestFit="1" customWidth="1"/>
    <col min="976" max="976" width="6" bestFit="1" customWidth="1"/>
    <col min="977" max="977" width="5" bestFit="1" customWidth="1"/>
    <col min="978" max="978" width="3" bestFit="1" customWidth="1"/>
    <col min="979" max="980" width="6" bestFit="1" customWidth="1"/>
    <col min="981" max="981" width="5" bestFit="1" customWidth="1"/>
    <col min="982" max="982" width="6" bestFit="1" customWidth="1"/>
    <col min="983" max="983" width="3" bestFit="1" customWidth="1"/>
    <col min="984" max="985" width="6" bestFit="1" customWidth="1"/>
    <col min="986" max="986" width="7" bestFit="1" customWidth="1"/>
    <col min="987" max="987" width="5" bestFit="1" customWidth="1"/>
    <col min="988" max="988" width="7" bestFit="1" customWidth="1"/>
    <col min="989" max="989" width="3" bestFit="1" customWidth="1"/>
    <col min="990" max="990" width="6" bestFit="1" customWidth="1"/>
    <col min="991" max="991" width="7" bestFit="1" customWidth="1"/>
    <col min="992" max="992" width="6" bestFit="1" customWidth="1"/>
    <col min="993" max="993" width="5" bestFit="1" customWidth="1"/>
    <col min="994" max="994" width="3" bestFit="1" customWidth="1"/>
    <col min="995" max="995" width="7" bestFit="1" customWidth="1"/>
    <col min="996" max="996" width="3" bestFit="1" customWidth="1"/>
    <col min="997" max="997" width="7" bestFit="1" customWidth="1"/>
    <col min="998" max="998" width="6" bestFit="1" customWidth="1"/>
    <col min="999" max="999" width="5" bestFit="1" customWidth="1"/>
    <col min="1000" max="1000" width="3" bestFit="1" customWidth="1"/>
    <col min="1001" max="1002" width="6" bestFit="1" customWidth="1"/>
    <col min="1003" max="1003" width="7" bestFit="1" customWidth="1"/>
    <col min="1004" max="1004" width="5" bestFit="1" customWidth="1"/>
    <col min="1005" max="1005" width="6" bestFit="1" customWidth="1"/>
    <col min="1006" max="1006" width="7" bestFit="1" customWidth="1"/>
    <col min="1007" max="1007" width="6" bestFit="1" customWidth="1"/>
    <col min="1008" max="1008" width="3" bestFit="1" customWidth="1"/>
    <col min="1009" max="1010" width="6" bestFit="1" customWidth="1"/>
    <col min="1011" max="1011" width="7" bestFit="1" customWidth="1"/>
    <col min="1012" max="1012" width="6" bestFit="1" customWidth="1"/>
    <col min="1013" max="1013" width="3" bestFit="1" customWidth="1"/>
    <col min="1014" max="1014" width="7" bestFit="1" customWidth="1"/>
    <col min="1015" max="1015" width="5" bestFit="1" customWidth="1"/>
    <col min="1016" max="1016" width="6" bestFit="1" customWidth="1"/>
    <col min="1017" max="1017" width="7" bestFit="1" customWidth="1"/>
    <col min="1018" max="1018" width="3" bestFit="1" customWidth="1"/>
    <col min="1019" max="1019" width="7" bestFit="1" customWidth="1"/>
    <col min="1020" max="1020" width="3" bestFit="1" customWidth="1"/>
    <col min="1021" max="1021" width="7" bestFit="1" customWidth="1"/>
    <col min="1022" max="1023" width="6" bestFit="1" customWidth="1"/>
    <col min="1024" max="1024" width="3" bestFit="1" customWidth="1"/>
    <col min="1025" max="1025" width="6" bestFit="1" customWidth="1"/>
    <col min="1026" max="1026" width="3" bestFit="1" customWidth="1"/>
    <col min="1027" max="1027" width="7" bestFit="1" customWidth="1"/>
    <col min="1028" max="1028" width="5" bestFit="1" customWidth="1"/>
    <col min="1029" max="1029" width="3" bestFit="1" customWidth="1"/>
    <col min="1030" max="1030" width="6" bestFit="1" customWidth="1"/>
    <col min="1031" max="1031" width="5" bestFit="1" customWidth="1"/>
    <col min="1032" max="1036" width="6" bestFit="1" customWidth="1"/>
    <col min="1037" max="1038" width="3" bestFit="1" customWidth="1"/>
    <col min="1039" max="1040" width="5" bestFit="1" customWidth="1"/>
    <col min="1041" max="1041" width="3" bestFit="1" customWidth="1"/>
    <col min="1042" max="1042" width="7" bestFit="1" customWidth="1"/>
    <col min="1043" max="1043" width="3" bestFit="1" customWidth="1"/>
    <col min="1044" max="1044" width="5" bestFit="1" customWidth="1"/>
    <col min="1045" max="1048" width="6" bestFit="1" customWidth="1"/>
    <col min="1049" max="1050" width="3" bestFit="1" customWidth="1"/>
    <col min="1051" max="1051" width="5" bestFit="1" customWidth="1"/>
    <col min="1052" max="1052" width="3" bestFit="1" customWidth="1"/>
    <col min="1053" max="1053" width="7" bestFit="1" customWidth="1"/>
    <col min="1054" max="1054" width="3" bestFit="1" customWidth="1"/>
    <col min="1055" max="1055" width="5" bestFit="1" customWidth="1"/>
    <col min="1056" max="1056" width="3" bestFit="1" customWidth="1"/>
    <col min="1057" max="1057" width="11.28515625" bestFit="1" customWidth="1"/>
  </cols>
  <sheetData>
    <row r="3" spans="1:5" x14ac:dyDescent="0.25">
      <c r="A3" s="3" t="s">
        <v>8145</v>
      </c>
      <c r="B3" s="3" t="s">
        <v>8146</v>
      </c>
    </row>
    <row r="4" spans="1:5" x14ac:dyDescent="0.25">
      <c r="A4" s="3" t="s">
        <v>8143</v>
      </c>
      <c r="B4" t="s">
        <v>5</v>
      </c>
      <c r="C4" t="s">
        <v>294</v>
      </c>
      <c r="D4" t="s">
        <v>575</v>
      </c>
      <c r="E4" t="s">
        <v>8144</v>
      </c>
    </row>
    <row r="5" spans="1:5" x14ac:dyDescent="0.25">
      <c r="A5" s="4" t="s">
        <v>33</v>
      </c>
      <c r="B5">
        <v>241.61799999999999</v>
      </c>
      <c r="C5">
        <v>77.201000000000008</v>
      </c>
      <c r="D5">
        <v>185.52799999999999</v>
      </c>
      <c r="E5">
        <v>504.34699999999998</v>
      </c>
    </row>
    <row r="6" spans="1:5" x14ac:dyDescent="0.25">
      <c r="A6" s="4" t="s">
        <v>227</v>
      </c>
      <c r="B6">
        <v>92.664999999999992</v>
      </c>
      <c r="C6">
        <v>57.183000000000021</v>
      </c>
      <c r="D6">
        <v>158.398</v>
      </c>
      <c r="E6">
        <v>308.24599999999998</v>
      </c>
    </row>
    <row r="7" spans="1:5" x14ac:dyDescent="0.25">
      <c r="A7" s="4" t="s">
        <v>300</v>
      </c>
      <c r="B7">
        <v>0.39999999999999997</v>
      </c>
      <c r="C7">
        <v>0.28000000000000003</v>
      </c>
      <c r="D7">
        <v>16.581</v>
      </c>
      <c r="E7">
        <v>17.260999999999999</v>
      </c>
    </row>
    <row r="8" spans="1:5" x14ac:dyDescent="0.25">
      <c r="A8" s="4" t="s">
        <v>336</v>
      </c>
      <c r="B8">
        <v>70.010000000000005</v>
      </c>
      <c r="C8">
        <v>19.574999999999999</v>
      </c>
      <c r="D8">
        <v>18.683</v>
      </c>
      <c r="E8">
        <v>108.268</v>
      </c>
    </row>
    <row r="9" spans="1:5" x14ac:dyDescent="0.25">
      <c r="A9" s="4" t="s">
        <v>341</v>
      </c>
      <c r="B9">
        <v>133.75</v>
      </c>
      <c r="C9">
        <v>38.25</v>
      </c>
      <c r="D9">
        <v>29.344999999999999</v>
      </c>
      <c r="E9">
        <v>201.345</v>
      </c>
    </row>
    <row r="10" spans="1:5" x14ac:dyDescent="0.25">
      <c r="A10" s="4" t="s">
        <v>418</v>
      </c>
      <c r="B10">
        <v>1.4999999999999999E-2</v>
      </c>
      <c r="C10">
        <v>2.8559999999999999</v>
      </c>
      <c r="D10">
        <v>5.04</v>
      </c>
      <c r="E10">
        <v>7.9109999999999996</v>
      </c>
    </row>
    <row r="11" spans="1:5" x14ac:dyDescent="0.25">
      <c r="A11" s="4" t="s">
        <v>448</v>
      </c>
      <c r="B11">
        <v>7.24</v>
      </c>
      <c r="C11">
        <v>25.685000000000002</v>
      </c>
      <c r="D11">
        <v>51.686000000000014</v>
      </c>
      <c r="E11">
        <v>84.611000000000018</v>
      </c>
    </row>
    <row r="12" spans="1:5" x14ac:dyDescent="0.25">
      <c r="A12" s="4" t="s">
        <v>3926</v>
      </c>
      <c r="D12">
        <v>0.01</v>
      </c>
      <c r="E12">
        <v>0.01</v>
      </c>
    </row>
    <row r="13" spans="1:5" x14ac:dyDescent="0.25">
      <c r="A13" s="4" t="s">
        <v>522</v>
      </c>
      <c r="B13">
        <v>121.72499999999997</v>
      </c>
      <c r="C13">
        <v>98.339000000000013</v>
      </c>
      <c r="D13">
        <v>81.994999999999976</v>
      </c>
      <c r="E13">
        <v>302.05899999999997</v>
      </c>
    </row>
    <row r="14" spans="1:5" x14ac:dyDescent="0.25">
      <c r="A14" s="4" t="s">
        <v>584</v>
      </c>
      <c r="B14">
        <v>209.52100000000004</v>
      </c>
      <c r="C14">
        <v>111.33000000000004</v>
      </c>
      <c r="D14">
        <v>71.41</v>
      </c>
      <c r="E14">
        <v>392.26100000000008</v>
      </c>
    </row>
    <row r="15" spans="1:5" x14ac:dyDescent="0.25">
      <c r="A15" s="4" t="s">
        <v>639</v>
      </c>
      <c r="B15">
        <v>81.449999999999989</v>
      </c>
      <c r="C15">
        <v>18.100000000000005</v>
      </c>
      <c r="D15">
        <v>84.131</v>
      </c>
      <c r="E15">
        <v>183.68099999999998</v>
      </c>
    </row>
    <row r="16" spans="1:5" x14ac:dyDescent="0.25">
      <c r="A16" s="4" t="s">
        <v>660</v>
      </c>
      <c r="B16">
        <v>1.845</v>
      </c>
      <c r="E16">
        <v>1.845</v>
      </c>
    </row>
    <row r="17" spans="1:5" x14ac:dyDescent="0.25">
      <c r="A17" s="4" t="s">
        <v>673</v>
      </c>
      <c r="B17">
        <v>10.082000000000001</v>
      </c>
      <c r="C17">
        <v>3.38</v>
      </c>
      <c r="D17">
        <v>21.012</v>
      </c>
      <c r="E17">
        <v>34.474000000000004</v>
      </c>
    </row>
    <row r="18" spans="1:5" x14ac:dyDescent="0.25">
      <c r="A18" s="4" t="s">
        <v>719</v>
      </c>
      <c r="B18">
        <v>222.87500000000003</v>
      </c>
      <c r="C18">
        <v>73.97</v>
      </c>
      <c r="D18">
        <v>178.42000000000004</v>
      </c>
      <c r="E18">
        <v>475.2650000000001</v>
      </c>
    </row>
    <row r="19" spans="1:5" x14ac:dyDescent="0.25">
      <c r="A19" s="4" t="s">
        <v>765</v>
      </c>
      <c r="B19">
        <v>14.381</v>
      </c>
      <c r="C19">
        <v>0.1</v>
      </c>
      <c r="D19">
        <v>21.402000000000001</v>
      </c>
      <c r="E19">
        <v>35.883000000000003</v>
      </c>
    </row>
    <row r="20" spans="1:5" x14ac:dyDescent="0.25">
      <c r="A20" s="4" t="s">
        <v>5966</v>
      </c>
      <c r="B20">
        <v>8.4599999999999991</v>
      </c>
      <c r="C20">
        <v>0.01</v>
      </c>
      <c r="D20">
        <v>7.7200000000000006</v>
      </c>
      <c r="E20">
        <v>16.189999999999998</v>
      </c>
    </row>
    <row r="21" spans="1:5" x14ac:dyDescent="0.25">
      <c r="A21" s="4" t="s">
        <v>771</v>
      </c>
      <c r="B21">
        <v>282.39999999999998</v>
      </c>
      <c r="C21">
        <v>37.520000000000003</v>
      </c>
      <c r="D21">
        <v>110.08699999999996</v>
      </c>
      <c r="E21">
        <v>430.00699999999995</v>
      </c>
    </row>
    <row r="22" spans="1:5" x14ac:dyDescent="0.25">
      <c r="A22" s="4" t="s">
        <v>953</v>
      </c>
      <c r="B22">
        <v>527.15100000000018</v>
      </c>
      <c r="C22">
        <v>131.45400000000004</v>
      </c>
      <c r="D22">
        <v>334.48199999999974</v>
      </c>
      <c r="E22">
        <v>993.08699999999999</v>
      </c>
    </row>
    <row r="23" spans="1:5" x14ac:dyDescent="0.25">
      <c r="A23" s="4" t="s">
        <v>8102</v>
      </c>
      <c r="B23">
        <v>4.5600000000000005</v>
      </c>
      <c r="E23">
        <v>4.5600000000000005</v>
      </c>
    </row>
    <row r="24" spans="1:5" x14ac:dyDescent="0.25">
      <c r="A24" s="4" t="s">
        <v>8144</v>
      </c>
      <c r="B24">
        <v>2030.1480000000006</v>
      </c>
      <c r="C24">
        <v>695.23300000000017</v>
      </c>
      <c r="D24">
        <v>1375.9299999999998</v>
      </c>
      <c r="E24">
        <v>4101.3110000000006</v>
      </c>
    </row>
    <row r="28" spans="1:5" x14ac:dyDescent="0.25">
      <c r="A28" t="s">
        <v>8145</v>
      </c>
    </row>
    <row r="29" spans="1:5" x14ac:dyDescent="0.25">
      <c r="A29">
        <v>33828.622000000069</v>
      </c>
      <c r="B29">
        <f>GETPIVOTDATA("Qty (In MT)",$A$28)</f>
        <v>33828.622000000069</v>
      </c>
    </row>
    <row r="32" spans="1:5" x14ac:dyDescent="0.25">
      <c r="A32" s="3" t="s">
        <v>8143</v>
      </c>
      <c r="B32" t="s">
        <v>8145</v>
      </c>
    </row>
    <row r="33" spans="1:3" x14ac:dyDescent="0.25">
      <c r="A33" s="4" t="s">
        <v>5</v>
      </c>
      <c r="B33">
        <v>2030.148000000002</v>
      </c>
    </row>
    <row r="34" spans="1:3" x14ac:dyDescent="0.25">
      <c r="A34" s="4" t="s">
        <v>294</v>
      </c>
      <c r="B34">
        <v>695.23299999999972</v>
      </c>
    </row>
    <row r="35" spans="1:3" x14ac:dyDescent="0.25">
      <c r="A35" s="4" t="s">
        <v>575</v>
      </c>
      <c r="B35">
        <v>1375.9300000000014</v>
      </c>
    </row>
    <row r="36" spans="1:3" x14ac:dyDescent="0.25">
      <c r="A36" s="4" t="s">
        <v>8144</v>
      </c>
      <c r="B36">
        <v>4101.3110000000033</v>
      </c>
      <c r="C36">
        <f>GETPIVOTDATA("Qty (In MT)",$A$32)</f>
        <v>4101.3110000000033</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DASHBOARD</vt:lpstr>
      <vt:lpstr>N24</vt:lpstr>
      <vt:lpstr>S24</vt:lpstr>
      <vt:lpstr>Alipurduar</vt:lpstr>
      <vt:lpstr>Bankura</vt:lpstr>
      <vt:lpstr>Bardhaman</vt:lpstr>
      <vt:lpstr>Birbhum</vt:lpstr>
      <vt:lpstr>Coochbehar</vt:lpstr>
      <vt:lpstr>N Dinajpur</vt:lpstr>
      <vt:lpstr>S Dinajpur</vt:lpstr>
      <vt:lpstr>Haowrah</vt:lpstr>
      <vt:lpstr>Hooghly</vt:lpstr>
      <vt:lpstr>Jalpaiguri</vt:lpstr>
      <vt:lpstr>Maldah</vt:lpstr>
      <vt:lpstr>E Medinipur</vt:lpstr>
      <vt:lpstr>W Medinipur</vt:lpstr>
      <vt:lpstr>Murshidabad</vt:lpstr>
      <vt:lpstr>Nadia</vt:lpstr>
      <vt:lpstr>WH+RT PREVIOUS</vt:lpstr>
      <vt:lpstr>WH+RT CURRENT</vt:lpstr>
      <vt:lpstr>Analysis Previous Week</vt:lpstr>
      <vt:lpstr>Analysis_Previous_1</vt:lpstr>
      <vt:lpstr>Analysis Current Week</vt:lpstr>
      <vt:lpstr>Analysis_Current_1</vt:lpstr>
      <vt:lpstr>Current_Analysis_2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Shayantan Mitra</cp:lastModifiedBy>
  <dcterms:created xsi:type="dcterms:W3CDTF">2015-06-05T18:17:20Z</dcterms:created>
  <dcterms:modified xsi:type="dcterms:W3CDTF">2026-06-01T02:57:09Z</dcterms:modified>
</cp:coreProperties>
</file>